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harts/chart3.xml" ContentType="application/vnd.openxmlformats-officedocument.drawingml.chart+xml"/>
  <Override PartName="/xl/drawings/drawing4.xml" ContentType="application/vnd.openxmlformats-officedocument.drawing+xml"/>
  <Override PartName="/xl/comments7.xml" ContentType="application/vnd.openxmlformats-officedocument.spreadsheetml.comments+xml"/>
  <Override PartName="/xl/charts/chart4.xml" ContentType="application/vnd.openxmlformats-officedocument.drawingml.chart+xml"/>
  <Override PartName="/xl/drawings/drawing5.xml" ContentType="application/vnd.openxmlformats-officedocument.drawing+xml"/>
  <Override PartName="/xl/comments8.xml" ContentType="application/vnd.openxmlformats-officedocument.spreadsheetml.comments+xml"/>
  <Override PartName="/xl/charts/chart5.xml" ContentType="application/vnd.openxmlformats-officedocument.drawingml.chart+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jpavlik\Dropbox\FP&amp;A\Models\Board Versions\"/>
    </mc:Choice>
  </mc:AlternateContent>
  <bookViews>
    <workbookView xWindow="0" yWindow="0" windowWidth="15300" windowHeight="6150" tabRatio="809" firstSheet="1" activeTab="1"/>
  </bookViews>
  <sheets>
    <sheet name="Board MidQtr" sheetId="124" state="hidden" r:id="rId1"/>
    <sheet name="Board Plan vs Current Plan" sheetId="146" r:id="rId2"/>
    <sheet name="BOD Summary" sheetId="85" r:id="rId3"/>
    <sheet name="Metrics" sheetId="116" r:id="rId4"/>
    <sheet name="Sensativities" sheetId="107" r:id="rId5"/>
    <sheet name="CAC Update" sheetId="126" r:id="rId6"/>
    <sheet name="P&amp;L - Monthly" sheetId="34" r:id="rId7"/>
    <sheet name="BS - Monthly" sheetId="69" r:id="rId8"/>
    <sheet name="CF - Monthly" sheetId="70" r:id="rId9"/>
    <sheet name="HC Summary" sheetId="61" r:id="rId10"/>
    <sheet name="Debt" sheetId="118" r:id="rId11"/>
    <sheet name="EzTxtNote" sheetId="119" r:id="rId12"/>
    <sheet name="Voice Revenue" sheetId="109" r:id="rId13"/>
    <sheet name="SMS Revenue" sheetId="115" r:id="rId14"/>
    <sheet name="SMS Sub" sheetId="125" r:id="rId15"/>
    <sheet name="SMS Exp" sheetId="67" r:id="rId16"/>
    <sheet name="Voice Exp" sheetId="65" r:id="rId17"/>
    <sheet name="Headcount" sheetId="129" r:id="rId18"/>
    <sheet name="Direct People Department Costs" sheetId="127" r:id="rId19"/>
    <sheet name="New Hires Forecast" sheetId="130" r:id="rId20"/>
    <sheet name="Controllable Expenses Forecast" sheetId="128" r:id="rId21"/>
    <sheet name="Sales" sheetId="131" r:id="rId22"/>
    <sheet name="Planning_Mkt" sheetId="142" r:id="rId23"/>
    <sheet name="Marketing" sheetId="132" r:id="rId24"/>
    <sheet name="Software" sheetId="133" r:id="rId25"/>
    <sheet name="Finance" sheetId="134" r:id="rId26"/>
    <sheet name="Dev Ops" sheetId="136" r:id="rId27"/>
    <sheet name="Exec" sheetId="135" r:id="rId28"/>
    <sheet name="BI" sheetId="144" r:id="rId29"/>
    <sheet name="G&amp;A" sheetId="145" r:id="rId30"/>
    <sheet name="CAPEX &amp; Depr " sheetId="138" r:id="rId31"/>
    <sheet name="Cost Summary" sheetId="11" r:id="rId32"/>
    <sheet name="BS - CF Actuals" sheetId="81" r:id="rId33"/>
    <sheet name="Gross Margin Actual" sheetId="140" r:id="rId34"/>
    <sheet name="Dept. Cost Actuals" sheetId="123" r:id="rId35"/>
    <sheet name="TO ADD" sheetId="143" r:id="rId36"/>
    <sheet name="P&amp;L - Qtrly" sheetId="57" r:id="rId37"/>
    <sheet name="P&amp;L - Yrly" sheetId="58" r:id="rId38"/>
  </sheets>
  <externalReferences>
    <externalReference r:id="rId39"/>
    <externalReference r:id="rId40"/>
    <externalReference r:id="rId41"/>
    <externalReference r:id="rId42"/>
    <externalReference r:id="rId43"/>
    <externalReference r:id="rId44"/>
  </externalReferences>
  <definedNames>
    <definedName name="_xlnm._FilterDatabase" localSheetId="8" hidden="1">'CF - Monthly'!$E$54:$AN$56</definedName>
    <definedName name="_xlnm._FilterDatabase" localSheetId="34" hidden="1">'Dept. Cost Actuals'!$E$1:$E$1588</definedName>
    <definedName name="_xlnm._FilterDatabase" localSheetId="18" hidden="1">'Direct People Department Costs'!$B$3:$G$102</definedName>
    <definedName name="_xlnm._FilterDatabase" localSheetId="17" hidden="1">Headcount!$B$4:$U$1048562</definedName>
    <definedName name="costs" localSheetId="28">#REF!</definedName>
    <definedName name="costs" localSheetId="30">#REF!</definedName>
    <definedName name="costs" localSheetId="34">#REF!</definedName>
    <definedName name="costs" localSheetId="26">#REF!</definedName>
    <definedName name="costs" localSheetId="27">#REF!</definedName>
    <definedName name="costs" localSheetId="11">#REF!</definedName>
    <definedName name="costs" localSheetId="25">#REF!</definedName>
    <definedName name="costs" localSheetId="29">#REF!</definedName>
    <definedName name="costs" localSheetId="33">#REF!</definedName>
    <definedName name="costs" localSheetId="23">#REF!</definedName>
    <definedName name="costs" localSheetId="36">#REF!</definedName>
    <definedName name="costs" localSheetId="37">#REF!</definedName>
    <definedName name="costs" localSheetId="22">#REF!</definedName>
    <definedName name="costs" localSheetId="13">#REF!</definedName>
    <definedName name="costs" localSheetId="24">#REF!</definedName>
    <definedName name="costs">#REF!</definedName>
    <definedName name="creative" localSheetId="28">#REF!</definedName>
    <definedName name="creative" localSheetId="30">#REF!</definedName>
    <definedName name="creative" localSheetId="34">#REF!</definedName>
    <definedName name="creative" localSheetId="26">#REF!</definedName>
    <definedName name="creative" localSheetId="27">#REF!</definedName>
    <definedName name="creative" localSheetId="11">#REF!</definedName>
    <definedName name="creative" localSheetId="25">#REF!</definedName>
    <definedName name="creative" localSheetId="29">#REF!</definedName>
    <definedName name="creative" localSheetId="33">#REF!</definedName>
    <definedName name="creative" localSheetId="23">#REF!</definedName>
    <definedName name="creative" localSheetId="36">#REF!</definedName>
    <definedName name="creative" localSheetId="37">#REF!</definedName>
    <definedName name="creative" localSheetId="22">#REF!</definedName>
    <definedName name="creative" localSheetId="13">#REF!</definedName>
    <definedName name="creative" localSheetId="24">#REF!</definedName>
    <definedName name="creative">#REF!</definedName>
    <definedName name="cs_bb" localSheetId="28">#REF!</definedName>
    <definedName name="cs_bb" localSheetId="7">#REF!</definedName>
    <definedName name="cs_bb" localSheetId="30">'[1]HC Forecast C Round'!$B$705</definedName>
    <definedName name="cs_bb" localSheetId="8">#REF!</definedName>
    <definedName name="cs_bb" localSheetId="34">#REF!</definedName>
    <definedName name="cs_bb" localSheetId="26">#REF!</definedName>
    <definedName name="cs_bb" localSheetId="27">#REF!</definedName>
    <definedName name="cs_bb" localSheetId="11">#REF!</definedName>
    <definedName name="cs_bb" localSheetId="25">#REF!</definedName>
    <definedName name="cs_bb" localSheetId="29">#REF!</definedName>
    <definedName name="cs_bb" localSheetId="33">#REF!</definedName>
    <definedName name="cs_bb" localSheetId="23">#REF!</definedName>
    <definedName name="cs_bb" localSheetId="36">#REF!</definedName>
    <definedName name="cs_bb" localSheetId="37">#REF!</definedName>
    <definedName name="cs_bb" localSheetId="22">#REF!</definedName>
    <definedName name="cs_bb" localSheetId="13">#REF!</definedName>
    <definedName name="cs_bb" localSheetId="24">#REF!</definedName>
    <definedName name="cs_bb">#REF!</definedName>
    <definedName name="cs_cell" localSheetId="28">#REF!</definedName>
    <definedName name="cs_cell" localSheetId="7">#REF!</definedName>
    <definedName name="cs_cell" localSheetId="30">'[1]HC Forecast C Round'!$B$704</definedName>
    <definedName name="cs_cell" localSheetId="8">#REF!</definedName>
    <definedName name="cs_cell" localSheetId="34">#REF!</definedName>
    <definedName name="cs_cell" localSheetId="26">#REF!</definedName>
    <definedName name="cs_cell" localSheetId="27">#REF!</definedName>
    <definedName name="cs_cell" localSheetId="11">#REF!</definedName>
    <definedName name="cs_cell" localSheetId="25">#REF!</definedName>
    <definedName name="cs_cell" localSheetId="29">#REF!</definedName>
    <definedName name="cs_cell" localSheetId="33">#REF!</definedName>
    <definedName name="cs_cell" localSheetId="23">#REF!</definedName>
    <definedName name="cs_cell" localSheetId="36">#REF!</definedName>
    <definedName name="cs_cell" localSheetId="37">#REF!</definedName>
    <definedName name="cs_cell" localSheetId="22">#REF!</definedName>
    <definedName name="cs_cell" localSheetId="13">#REF!</definedName>
    <definedName name="cs_cell" localSheetId="24">#REF!</definedName>
    <definedName name="cs_cell">#REF!</definedName>
    <definedName name="cs_ld" localSheetId="28">#REF!</definedName>
    <definedName name="cs_ld" localSheetId="7">#REF!</definedName>
    <definedName name="cs_ld" localSheetId="30">'[1]HC Forecast C Round'!$B$707</definedName>
    <definedName name="cs_ld" localSheetId="8">#REF!</definedName>
    <definedName name="cs_ld" localSheetId="34">#REF!</definedName>
    <definedName name="cs_ld" localSheetId="26">#REF!</definedName>
    <definedName name="cs_ld" localSheetId="27">#REF!</definedName>
    <definedName name="cs_ld" localSheetId="11">#REF!</definedName>
    <definedName name="cs_ld" localSheetId="25">#REF!</definedName>
    <definedName name="cs_ld" localSheetId="29">#REF!</definedName>
    <definedName name="cs_ld" localSheetId="33">#REF!</definedName>
    <definedName name="cs_ld" localSheetId="23">#REF!</definedName>
    <definedName name="cs_ld" localSheetId="36">#REF!</definedName>
    <definedName name="cs_ld" localSheetId="37">#REF!</definedName>
    <definedName name="cs_ld" localSheetId="22">#REF!</definedName>
    <definedName name="cs_ld" localSheetId="13">#REF!</definedName>
    <definedName name="cs_ld" localSheetId="24">#REF!</definedName>
    <definedName name="cs_ld">#REF!</definedName>
    <definedName name="cs_travel" localSheetId="28">#REF!</definedName>
    <definedName name="cs_travel" localSheetId="7">#REF!</definedName>
    <definedName name="cs_travel" localSheetId="30">'[1]HC Forecast C Round'!$B$706</definedName>
    <definedName name="cs_travel" localSheetId="8">#REF!</definedName>
    <definedName name="cs_travel" localSheetId="34">#REF!</definedName>
    <definedName name="cs_travel" localSheetId="26">#REF!</definedName>
    <definedName name="cs_travel" localSheetId="27">#REF!</definedName>
    <definedName name="cs_travel" localSheetId="11">#REF!</definedName>
    <definedName name="cs_travel" localSheetId="25">#REF!</definedName>
    <definedName name="cs_travel" localSheetId="29">#REF!</definedName>
    <definedName name="cs_travel" localSheetId="33">#REF!</definedName>
    <definedName name="cs_travel" localSheetId="23">#REF!</definedName>
    <definedName name="cs_travel" localSheetId="36">#REF!</definedName>
    <definedName name="cs_travel" localSheetId="37">#REF!</definedName>
    <definedName name="cs_travel" localSheetId="22">#REF!</definedName>
    <definedName name="cs_travel" localSheetId="13">#REF!</definedName>
    <definedName name="cs_travel" localSheetId="24">#REF!</definedName>
    <definedName name="cs_travel">#REF!</definedName>
    <definedName name="d" localSheetId="28">#REF!</definedName>
    <definedName name="d" localSheetId="30">#REF!</definedName>
    <definedName name="d" localSheetId="34">#REF!</definedName>
    <definedName name="d" localSheetId="26">#REF!</definedName>
    <definedName name="d" localSheetId="27">#REF!</definedName>
    <definedName name="d" localSheetId="11">#REF!</definedName>
    <definedName name="d" localSheetId="25">#REF!</definedName>
    <definedName name="d" localSheetId="29">#REF!</definedName>
    <definedName name="d" localSheetId="33">#REF!</definedName>
    <definedName name="d" localSheetId="23">#REF!</definedName>
    <definedName name="d" localSheetId="36">#REF!</definedName>
    <definedName name="d" localSheetId="37">#REF!</definedName>
    <definedName name="d" localSheetId="22">#REF!</definedName>
    <definedName name="d" localSheetId="13">#REF!</definedName>
    <definedName name="d" localSheetId="24">#REF!</definedName>
    <definedName name="d">#REF!</definedName>
    <definedName name="ds_bb" localSheetId="28">#REF!</definedName>
    <definedName name="ds_bb" localSheetId="7">#REF!</definedName>
    <definedName name="ds_bb" localSheetId="30">'[1]HC Forecast C Round'!$B$716</definedName>
    <definedName name="ds_bb" localSheetId="8">#REF!</definedName>
    <definedName name="ds_bb" localSheetId="34">#REF!</definedName>
    <definedName name="ds_bb" localSheetId="26">#REF!</definedName>
    <definedName name="ds_bb" localSheetId="27">#REF!</definedName>
    <definedName name="ds_bb" localSheetId="11">#REF!</definedName>
    <definedName name="ds_bb" localSheetId="25">#REF!</definedName>
    <definedName name="ds_bb" localSheetId="29">#REF!</definedName>
    <definedName name="ds_bb" localSheetId="33">#REF!</definedName>
    <definedName name="ds_bb" localSheetId="23">#REF!</definedName>
    <definedName name="ds_bb" localSheetId="36">#REF!</definedName>
    <definedName name="ds_bb" localSheetId="37">#REF!</definedName>
    <definedName name="ds_bb" localSheetId="22">#REF!</definedName>
    <definedName name="ds_bb" localSheetId="13">#REF!</definedName>
    <definedName name="ds_bb" localSheetId="24">#REF!</definedName>
    <definedName name="ds_bb">#REF!</definedName>
    <definedName name="ds_cell" localSheetId="28">#REF!</definedName>
    <definedName name="ds_cell" localSheetId="7">#REF!</definedName>
    <definedName name="ds_cell" localSheetId="30">'[1]HC Forecast C Round'!$B$715</definedName>
    <definedName name="ds_cell" localSheetId="8">#REF!</definedName>
    <definedName name="ds_cell" localSheetId="34">#REF!</definedName>
    <definedName name="ds_cell" localSheetId="26">#REF!</definedName>
    <definedName name="ds_cell" localSheetId="27">#REF!</definedName>
    <definedName name="ds_cell" localSheetId="11">#REF!</definedName>
    <definedName name="ds_cell" localSheetId="25">#REF!</definedName>
    <definedName name="ds_cell" localSheetId="29">#REF!</definedName>
    <definedName name="ds_cell" localSheetId="33">#REF!</definedName>
    <definedName name="ds_cell" localSheetId="23">#REF!</definedName>
    <definedName name="ds_cell" localSheetId="36">#REF!</definedName>
    <definedName name="ds_cell" localSheetId="37">#REF!</definedName>
    <definedName name="ds_cell" localSheetId="22">#REF!</definedName>
    <definedName name="ds_cell" localSheetId="13">#REF!</definedName>
    <definedName name="ds_cell" localSheetId="24">#REF!</definedName>
    <definedName name="ds_cell">#REF!</definedName>
    <definedName name="ds_ld" localSheetId="28">#REF!</definedName>
    <definedName name="ds_ld" localSheetId="7">#REF!</definedName>
    <definedName name="ds_ld" localSheetId="30">'[1]HC Forecast C Round'!$B$718</definedName>
    <definedName name="ds_ld" localSheetId="8">#REF!</definedName>
    <definedName name="ds_ld" localSheetId="34">#REF!</definedName>
    <definedName name="ds_ld" localSheetId="26">#REF!</definedName>
    <definedName name="ds_ld" localSheetId="27">#REF!</definedName>
    <definedName name="ds_ld" localSheetId="11">#REF!</definedName>
    <definedName name="ds_ld" localSheetId="25">#REF!</definedName>
    <definedName name="ds_ld" localSheetId="29">#REF!</definedName>
    <definedName name="ds_ld" localSheetId="33">#REF!</definedName>
    <definedName name="ds_ld" localSheetId="23">#REF!</definedName>
    <definedName name="ds_ld" localSheetId="36">#REF!</definedName>
    <definedName name="ds_ld" localSheetId="37">#REF!</definedName>
    <definedName name="ds_ld" localSheetId="22">#REF!</definedName>
    <definedName name="ds_ld" localSheetId="13">#REF!</definedName>
    <definedName name="ds_ld" localSheetId="24">#REF!</definedName>
    <definedName name="ds_ld">#REF!</definedName>
    <definedName name="ds_travel" localSheetId="28">#REF!</definedName>
    <definedName name="ds_travel" localSheetId="7">#REF!</definedName>
    <definedName name="ds_travel" localSheetId="30">'[1]HC Forecast C Round'!$B$717</definedName>
    <definedName name="ds_travel" localSheetId="8">#REF!</definedName>
    <definedName name="ds_travel" localSheetId="34">#REF!</definedName>
    <definedName name="ds_travel" localSheetId="26">#REF!</definedName>
    <definedName name="ds_travel" localSheetId="27">#REF!</definedName>
    <definedName name="ds_travel" localSheetId="11">#REF!</definedName>
    <definedName name="ds_travel" localSheetId="25">#REF!</definedName>
    <definedName name="ds_travel" localSheetId="29">#REF!</definedName>
    <definedName name="ds_travel" localSheetId="33">#REF!</definedName>
    <definedName name="ds_travel" localSheetId="23">#REF!</definedName>
    <definedName name="ds_travel" localSheetId="36">#REF!</definedName>
    <definedName name="ds_travel" localSheetId="37">#REF!</definedName>
    <definedName name="ds_travel" localSheetId="22">#REF!</definedName>
    <definedName name="ds_travel" localSheetId="13">#REF!</definedName>
    <definedName name="ds_travel" localSheetId="24">#REF!</definedName>
    <definedName name="ds_travel">#REF!</definedName>
    <definedName name="eng_bb" localSheetId="28">#REF!</definedName>
    <definedName name="eng_bb" localSheetId="7">#REF!</definedName>
    <definedName name="eng_bb" localSheetId="30">'[1]HC Forecast C Round'!$B$725</definedName>
    <definedName name="eng_bb" localSheetId="8">#REF!</definedName>
    <definedName name="eng_bb" localSheetId="34">#REF!</definedName>
    <definedName name="eng_bb" localSheetId="26">#REF!</definedName>
    <definedName name="eng_bb" localSheetId="27">#REF!</definedName>
    <definedName name="eng_bb" localSheetId="11">#REF!</definedName>
    <definedName name="eng_bb" localSheetId="25">#REF!</definedName>
    <definedName name="eng_bb" localSheetId="29">#REF!</definedName>
    <definedName name="eng_bb" localSheetId="33">#REF!</definedName>
    <definedName name="eng_bb" localSheetId="23">#REF!</definedName>
    <definedName name="eng_bb" localSheetId="36">#REF!</definedName>
    <definedName name="eng_bb" localSheetId="37">#REF!</definedName>
    <definedName name="eng_bb" localSheetId="22">#REF!</definedName>
    <definedName name="eng_bb" localSheetId="13">#REF!</definedName>
    <definedName name="eng_bb" localSheetId="24">#REF!</definedName>
    <definedName name="eng_bb">#REF!</definedName>
    <definedName name="eng_cell" localSheetId="28">#REF!</definedName>
    <definedName name="eng_cell" localSheetId="7">#REF!</definedName>
    <definedName name="eng_cell" localSheetId="30">'[1]HC Forecast C Round'!$B$724</definedName>
    <definedName name="eng_cell" localSheetId="8">#REF!</definedName>
    <definedName name="eng_cell" localSheetId="34">#REF!</definedName>
    <definedName name="eng_cell" localSheetId="26">#REF!</definedName>
    <definedName name="eng_cell" localSheetId="27">#REF!</definedName>
    <definedName name="eng_cell" localSheetId="11">#REF!</definedName>
    <definedName name="eng_cell" localSheetId="25">#REF!</definedName>
    <definedName name="eng_cell" localSheetId="29">#REF!</definedName>
    <definedName name="eng_cell" localSheetId="33">#REF!</definedName>
    <definedName name="eng_cell" localSheetId="23">#REF!</definedName>
    <definedName name="eng_cell" localSheetId="36">#REF!</definedName>
    <definedName name="eng_cell" localSheetId="37">#REF!</definedName>
    <definedName name="eng_cell" localSheetId="22">#REF!</definedName>
    <definedName name="eng_cell" localSheetId="13">#REF!</definedName>
    <definedName name="eng_cell" localSheetId="24">#REF!</definedName>
    <definedName name="eng_cell">#REF!</definedName>
    <definedName name="eng_ld" localSheetId="28">#REF!</definedName>
    <definedName name="eng_ld" localSheetId="7">#REF!</definedName>
    <definedName name="eng_ld" localSheetId="30">'[1]HC Forecast C Round'!$B$727</definedName>
    <definedName name="eng_ld" localSheetId="8">#REF!</definedName>
    <definedName name="eng_ld" localSheetId="34">#REF!</definedName>
    <definedName name="eng_ld" localSheetId="26">#REF!</definedName>
    <definedName name="eng_ld" localSheetId="27">#REF!</definedName>
    <definedName name="eng_ld" localSheetId="11">#REF!</definedName>
    <definedName name="eng_ld" localSheetId="25">#REF!</definedName>
    <definedName name="eng_ld" localSheetId="29">#REF!</definedName>
    <definedName name="eng_ld" localSheetId="33">#REF!</definedName>
    <definedName name="eng_ld" localSheetId="23">#REF!</definedName>
    <definedName name="eng_ld" localSheetId="36">#REF!</definedName>
    <definedName name="eng_ld" localSheetId="37">#REF!</definedName>
    <definedName name="eng_ld" localSheetId="22">#REF!</definedName>
    <definedName name="eng_ld" localSheetId="13">#REF!</definedName>
    <definedName name="eng_ld" localSheetId="24">#REF!</definedName>
    <definedName name="eng_ld">#REF!</definedName>
    <definedName name="eng_travel" localSheetId="28">#REF!</definedName>
    <definedName name="eng_travel" localSheetId="7">#REF!</definedName>
    <definedName name="eng_travel" localSheetId="30">'[1]HC Forecast C Round'!$B$726</definedName>
    <definedName name="eng_travel" localSheetId="8">#REF!</definedName>
    <definedName name="eng_travel" localSheetId="34">#REF!</definedName>
    <definedName name="eng_travel" localSheetId="26">#REF!</definedName>
    <definedName name="eng_travel" localSheetId="27">#REF!</definedName>
    <definedName name="eng_travel" localSheetId="11">#REF!</definedName>
    <definedName name="eng_travel" localSheetId="25">#REF!</definedName>
    <definedName name="eng_travel" localSheetId="29">#REF!</definedName>
    <definedName name="eng_travel" localSheetId="33">#REF!</definedName>
    <definedName name="eng_travel" localSheetId="23">#REF!</definedName>
    <definedName name="eng_travel" localSheetId="36">#REF!</definedName>
    <definedName name="eng_travel" localSheetId="37">#REF!</definedName>
    <definedName name="eng_travel" localSheetId="22">#REF!</definedName>
    <definedName name="eng_travel" localSheetId="13">#REF!</definedName>
    <definedName name="eng_travel" localSheetId="24">#REF!</definedName>
    <definedName name="eng_travel">#REF!</definedName>
    <definedName name="exec_bb" localSheetId="28">#REF!</definedName>
    <definedName name="exec_bb" localSheetId="7">#REF!</definedName>
    <definedName name="exec_bb" localSheetId="30">'[1]HC Forecast C Round'!$B$737</definedName>
    <definedName name="exec_bb" localSheetId="8">#REF!</definedName>
    <definedName name="exec_bb" localSheetId="34">#REF!</definedName>
    <definedName name="exec_bb" localSheetId="26">#REF!</definedName>
    <definedName name="exec_bb" localSheetId="27">#REF!</definedName>
    <definedName name="exec_bb" localSheetId="11">#REF!</definedName>
    <definedName name="exec_bb" localSheetId="25">#REF!</definedName>
    <definedName name="exec_bb" localSheetId="29">#REF!</definedName>
    <definedName name="exec_bb" localSheetId="33">#REF!</definedName>
    <definedName name="exec_bb" localSheetId="23">#REF!</definedName>
    <definedName name="exec_bb" localSheetId="36">#REF!</definedName>
    <definedName name="exec_bb" localSheetId="37">#REF!</definedName>
    <definedName name="exec_bb" localSheetId="22">#REF!</definedName>
    <definedName name="exec_bb" localSheetId="13">#REF!</definedName>
    <definedName name="exec_bb" localSheetId="24">#REF!</definedName>
    <definedName name="exec_bb">#REF!</definedName>
    <definedName name="exec_cell" localSheetId="28">#REF!</definedName>
    <definedName name="exec_cell" localSheetId="7">#REF!</definedName>
    <definedName name="exec_cell" localSheetId="30">'[1]HC Forecast C Round'!$B$736</definedName>
    <definedName name="exec_cell" localSheetId="8">#REF!</definedName>
    <definedName name="exec_cell" localSheetId="34">#REF!</definedName>
    <definedName name="exec_cell" localSheetId="26">#REF!</definedName>
    <definedName name="exec_cell" localSheetId="27">#REF!</definedName>
    <definedName name="exec_cell" localSheetId="11">#REF!</definedName>
    <definedName name="exec_cell" localSheetId="25">#REF!</definedName>
    <definedName name="exec_cell" localSheetId="29">#REF!</definedName>
    <definedName name="exec_cell" localSheetId="33">#REF!</definedName>
    <definedName name="exec_cell" localSheetId="23">#REF!</definedName>
    <definedName name="exec_cell" localSheetId="36">#REF!</definedName>
    <definedName name="exec_cell" localSheetId="37">#REF!</definedName>
    <definedName name="exec_cell" localSheetId="22">#REF!</definedName>
    <definedName name="exec_cell" localSheetId="13">#REF!</definedName>
    <definedName name="exec_cell" localSheetId="24">#REF!</definedName>
    <definedName name="exec_cell">#REF!</definedName>
    <definedName name="exec_ld" localSheetId="28">#REF!</definedName>
    <definedName name="exec_ld" localSheetId="7">#REF!</definedName>
    <definedName name="exec_ld" localSheetId="30">'[1]HC Forecast C Round'!$B$739</definedName>
    <definedName name="exec_ld" localSheetId="8">#REF!</definedName>
    <definedName name="exec_ld" localSheetId="34">#REF!</definedName>
    <definedName name="exec_ld" localSheetId="26">#REF!</definedName>
    <definedName name="exec_ld" localSheetId="27">#REF!</definedName>
    <definedName name="exec_ld" localSheetId="11">#REF!</definedName>
    <definedName name="exec_ld" localSheetId="25">#REF!</definedName>
    <definedName name="exec_ld" localSheetId="29">#REF!</definedName>
    <definedName name="exec_ld" localSheetId="33">#REF!</definedName>
    <definedName name="exec_ld" localSheetId="23">#REF!</definedName>
    <definedName name="exec_ld" localSheetId="36">#REF!</definedName>
    <definedName name="exec_ld" localSheetId="37">#REF!</definedName>
    <definedName name="exec_ld" localSheetId="22">#REF!</definedName>
    <definedName name="exec_ld" localSheetId="13">#REF!</definedName>
    <definedName name="exec_ld" localSheetId="24">#REF!</definedName>
    <definedName name="exec_ld">#REF!</definedName>
    <definedName name="exec_travel" localSheetId="28">#REF!</definedName>
    <definedName name="exec_travel" localSheetId="7">#REF!</definedName>
    <definedName name="exec_travel" localSheetId="30">'[1]HC Forecast C Round'!$B$738</definedName>
    <definedName name="exec_travel" localSheetId="8">#REF!</definedName>
    <definedName name="exec_travel" localSheetId="34">#REF!</definedName>
    <definedName name="exec_travel" localSheetId="26">#REF!</definedName>
    <definedName name="exec_travel" localSheetId="27">#REF!</definedName>
    <definedName name="exec_travel" localSheetId="11">#REF!</definedName>
    <definedName name="exec_travel" localSheetId="25">#REF!</definedName>
    <definedName name="exec_travel" localSheetId="29">#REF!</definedName>
    <definedName name="exec_travel" localSheetId="33">#REF!</definedName>
    <definedName name="exec_travel" localSheetId="23">#REF!</definedName>
    <definedName name="exec_travel" localSheetId="36">#REF!</definedName>
    <definedName name="exec_travel" localSheetId="37">#REF!</definedName>
    <definedName name="exec_travel" localSheetId="22">#REF!</definedName>
    <definedName name="exec_travel" localSheetId="13">#REF!</definedName>
    <definedName name="exec_travel" localSheetId="24">#REF!</definedName>
    <definedName name="exec_travel">#REF!</definedName>
    <definedName name="f" localSheetId="28">#REF!</definedName>
    <definedName name="f" localSheetId="7">#REF!</definedName>
    <definedName name="f" localSheetId="30">#REF!</definedName>
    <definedName name="f" localSheetId="8">#REF!</definedName>
    <definedName name="f" localSheetId="34">#REF!</definedName>
    <definedName name="f" localSheetId="26">#REF!</definedName>
    <definedName name="f" localSheetId="27">#REF!</definedName>
    <definedName name="f" localSheetId="11">#REF!</definedName>
    <definedName name="f" localSheetId="25">#REF!</definedName>
    <definedName name="f" localSheetId="29">#REF!</definedName>
    <definedName name="f" localSheetId="33">#REF!</definedName>
    <definedName name="f" localSheetId="23">#REF!</definedName>
    <definedName name="f" localSheetId="36">#REF!</definedName>
    <definedName name="f" localSheetId="37">#REF!</definedName>
    <definedName name="f" localSheetId="22">#REF!</definedName>
    <definedName name="f" localSheetId="15">#REF!</definedName>
    <definedName name="f" localSheetId="13">#REF!</definedName>
    <definedName name="f" localSheetId="24">#REF!</definedName>
    <definedName name="f">#REF!</definedName>
    <definedName name="fin_bb" localSheetId="28">#REF!</definedName>
    <definedName name="fin_bb" localSheetId="7">#REF!</definedName>
    <definedName name="fin_bb" localSheetId="30">'[1]HC Forecast C Round'!$B$742</definedName>
    <definedName name="fin_bb" localSheetId="8">#REF!</definedName>
    <definedName name="fin_bb" localSheetId="34">#REF!</definedName>
    <definedName name="fin_bb" localSheetId="26">#REF!</definedName>
    <definedName name="fin_bb" localSheetId="27">#REF!</definedName>
    <definedName name="fin_bb" localSheetId="11">#REF!</definedName>
    <definedName name="fin_bb" localSheetId="25">#REF!</definedName>
    <definedName name="fin_bb" localSheetId="29">#REF!</definedName>
    <definedName name="fin_bb" localSheetId="33">#REF!</definedName>
    <definedName name="fin_bb" localSheetId="23">#REF!</definedName>
    <definedName name="fin_bb" localSheetId="36">#REF!</definedName>
    <definedName name="fin_bb" localSheetId="37">#REF!</definedName>
    <definedName name="fin_bb" localSheetId="22">#REF!</definedName>
    <definedName name="fin_bb" localSheetId="13">#REF!</definedName>
    <definedName name="fin_bb" localSheetId="24">#REF!</definedName>
    <definedName name="fin_bb">#REF!</definedName>
    <definedName name="fin_cell" localSheetId="28">#REF!</definedName>
    <definedName name="fin_cell" localSheetId="7">#REF!</definedName>
    <definedName name="fin_cell" localSheetId="30">'[1]HC Forecast C Round'!$B$741</definedName>
    <definedName name="fin_cell" localSheetId="8">#REF!</definedName>
    <definedName name="fin_cell" localSheetId="34">#REF!</definedName>
    <definedName name="fin_cell" localSheetId="26">#REF!</definedName>
    <definedName name="fin_cell" localSheetId="27">#REF!</definedName>
    <definedName name="fin_cell" localSheetId="11">#REF!</definedName>
    <definedName name="fin_cell" localSheetId="25">#REF!</definedName>
    <definedName name="fin_cell" localSheetId="29">#REF!</definedName>
    <definedName name="fin_cell" localSheetId="33">#REF!</definedName>
    <definedName name="fin_cell" localSheetId="23">#REF!</definedName>
    <definedName name="fin_cell" localSheetId="36">#REF!</definedName>
    <definedName name="fin_cell" localSheetId="37">#REF!</definedName>
    <definedName name="fin_cell" localSheetId="22">#REF!</definedName>
    <definedName name="fin_cell" localSheetId="13">#REF!</definedName>
    <definedName name="fin_cell" localSheetId="24">#REF!</definedName>
    <definedName name="fin_cell">#REF!</definedName>
    <definedName name="fin_ld" localSheetId="28">#REF!</definedName>
    <definedName name="fin_ld" localSheetId="7">#REF!</definedName>
    <definedName name="fin_ld" localSheetId="30">'[1]HC Forecast C Round'!$B$744</definedName>
    <definedName name="fin_ld" localSheetId="8">#REF!</definedName>
    <definedName name="fin_ld" localSheetId="34">#REF!</definedName>
    <definedName name="fin_ld" localSheetId="26">#REF!</definedName>
    <definedName name="fin_ld" localSheetId="27">#REF!</definedName>
    <definedName name="fin_ld" localSheetId="11">#REF!</definedName>
    <definedName name="fin_ld" localSheetId="25">#REF!</definedName>
    <definedName name="fin_ld" localSheetId="29">#REF!</definedName>
    <definedName name="fin_ld" localSheetId="33">#REF!</definedName>
    <definedName name="fin_ld" localSheetId="23">#REF!</definedName>
    <definedName name="fin_ld" localSheetId="36">#REF!</definedName>
    <definedName name="fin_ld" localSheetId="37">#REF!</definedName>
    <definedName name="fin_ld" localSheetId="22">#REF!</definedName>
    <definedName name="fin_ld" localSheetId="13">#REF!</definedName>
    <definedName name="fin_ld" localSheetId="24">#REF!</definedName>
    <definedName name="fin_ld">#REF!</definedName>
    <definedName name="fin_travel" localSheetId="28">#REF!</definedName>
    <definedName name="fin_travel" localSheetId="7">#REF!</definedName>
    <definedName name="fin_travel" localSheetId="30">'[1]HC Forecast C Round'!$B$743</definedName>
    <definedName name="fin_travel" localSheetId="8">#REF!</definedName>
    <definedName name="fin_travel" localSheetId="34">#REF!</definedName>
    <definedName name="fin_travel" localSheetId="26">#REF!</definedName>
    <definedName name="fin_travel" localSheetId="27">#REF!</definedName>
    <definedName name="fin_travel" localSheetId="11">#REF!</definedName>
    <definedName name="fin_travel" localSheetId="25">#REF!</definedName>
    <definedName name="fin_travel" localSheetId="29">#REF!</definedName>
    <definedName name="fin_travel" localSheetId="33">#REF!</definedName>
    <definedName name="fin_travel" localSheetId="23">#REF!</definedName>
    <definedName name="fin_travel" localSheetId="36">#REF!</definedName>
    <definedName name="fin_travel" localSheetId="37">#REF!</definedName>
    <definedName name="fin_travel" localSheetId="22">#REF!</definedName>
    <definedName name="fin_travel" localSheetId="13">#REF!</definedName>
    <definedName name="fin_travel" localSheetId="24">#REF!</definedName>
    <definedName name="fin_travel">#REF!</definedName>
    <definedName name="Interest">OFFSET('[2]Fixed Rate Traditional'!$H$27,0,0,MAX('[2]Fixed Rate Traditional'!$A$27:$A$10026),1)</definedName>
    <definedName name="mo_bb" localSheetId="28">#REF!</definedName>
    <definedName name="mo_bb" localSheetId="7">#REF!</definedName>
    <definedName name="mo_bb" localSheetId="30">'[1]HC Forecast C Round'!$B$710</definedName>
    <definedName name="mo_bb" localSheetId="8">#REF!</definedName>
    <definedName name="mo_bb" localSheetId="34">#REF!</definedName>
    <definedName name="mo_bb" localSheetId="26">#REF!</definedName>
    <definedName name="mo_bb" localSheetId="27">#REF!</definedName>
    <definedName name="mo_bb" localSheetId="11">#REF!</definedName>
    <definedName name="mo_bb" localSheetId="25">#REF!</definedName>
    <definedName name="mo_bb" localSheetId="29">#REF!</definedName>
    <definedName name="mo_bb" localSheetId="33">#REF!</definedName>
    <definedName name="mo_bb" localSheetId="23">#REF!</definedName>
    <definedName name="mo_bb" localSheetId="36">#REF!</definedName>
    <definedName name="mo_bb" localSheetId="37">#REF!</definedName>
    <definedName name="mo_bb" localSheetId="22">#REF!</definedName>
    <definedName name="mo_bb" localSheetId="13">#REF!</definedName>
    <definedName name="mo_bb" localSheetId="24">#REF!</definedName>
    <definedName name="mo_bb">#REF!</definedName>
    <definedName name="mo_cell" localSheetId="28">#REF!</definedName>
    <definedName name="mo_cell" localSheetId="7">#REF!</definedName>
    <definedName name="mo_cell" localSheetId="30">'[1]HC Forecast C Round'!$B$709</definedName>
    <definedName name="mo_cell" localSheetId="8">#REF!</definedName>
    <definedName name="mo_cell" localSheetId="34">#REF!</definedName>
    <definedName name="mo_cell" localSheetId="26">#REF!</definedName>
    <definedName name="mo_cell" localSheetId="27">#REF!</definedName>
    <definedName name="mo_cell" localSheetId="11">#REF!</definedName>
    <definedName name="mo_cell" localSheetId="25">#REF!</definedName>
    <definedName name="mo_cell" localSheetId="29">#REF!</definedName>
    <definedName name="mo_cell" localSheetId="33">#REF!</definedName>
    <definedName name="mo_cell" localSheetId="23">#REF!</definedName>
    <definedName name="mo_cell" localSheetId="36">#REF!</definedName>
    <definedName name="mo_cell" localSheetId="37">#REF!</definedName>
    <definedName name="mo_cell" localSheetId="22">#REF!</definedName>
    <definedName name="mo_cell" localSheetId="13">#REF!</definedName>
    <definedName name="mo_cell" localSheetId="24">#REF!</definedName>
    <definedName name="mo_cell">#REF!</definedName>
    <definedName name="mo_ld" localSheetId="28">#REF!</definedName>
    <definedName name="mo_ld" localSheetId="7">#REF!</definedName>
    <definedName name="mo_ld" localSheetId="30">'[1]HC Forecast C Round'!$B$712</definedName>
    <definedName name="mo_ld" localSheetId="8">#REF!</definedName>
    <definedName name="mo_ld" localSheetId="34">#REF!</definedName>
    <definedName name="mo_ld" localSheetId="26">#REF!</definedName>
    <definedName name="mo_ld" localSheetId="27">#REF!</definedName>
    <definedName name="mo_ld" localSheetId="11">#REF!</definedName>
    <definedName name="mo_ld" localSheetId="25">#REF!</definedName>
    <definedName name="mo_ld" localSheetId="29">#REF!</definedName>
    <definedName name="mo_ld" localSheetId="33">#REF!</definedName>
    <definedName name="mo_ld" localSheetId="23">#REF!</definedName>
    <definedName name="mo_ld" localSheetId="36">#REF!</definedName>
    <definedName name="mo_ld" localSheetId="37">#REF!</definedName>
    <definedName name="mo_ld" localSheetId="22">#REF!</definedName>
    <definedName name="mo_ld" localSheetId="13">#REF!</definedName>
    <definedName name="mo_ld" localSheetId="24">#REF!</definedName>
    <definedName name="mo_ld">#REF!</definedName>
    <definedName name="mo_travel" localSheetId="28">#REF!</definedName>
    <definedName name="mo_travel" localSheetId="7">#REF!</definedName>
    <definedName name="mo_travel" localSheetId="30">'[1]HC Forecast C Round'!$B$711</definedName>
    <definedName name="mo_travel" localSheetId="8">#REF!</definedName>
    <definedName name="mo_travel" localSheetId="34">#REF!</definedName>
    <definedName name="mo_travel" localSheetId="26">#REF!</definedName>
    <definedName name="mo_travel" localSheetId="27">#REF!</definedName>
    <definedName name="mo_travel" localSheetId="11">#REF!</definedName>
    <definedName name="mo_travel" localSheetId="25">#REF!</definedName>
    <definedName name="mo_travel" localSheetId="29">#REF!</definedName>
    <definedName name="mo_travel" localSheetId="33">#REF!</definedName>
    <definedName name="mo_travel" localSheetId="23">#REF!</definedName>
    <definedName name="mo_travel" localSheetId="36">#REF!</definedName>
    <definedName name="mo_travel" localSheetId="37">#REF!</definedName>
    <definedName name="mo_travel" localSheetId="22">#REF!</definedName>
    <definedName name="mo_travel" localSheetId="13">#REF!</definedName>
    <definedName name="mo_travel" localSheetId="24">#REF!</definedName>
    <definedName name="mo_travel">#REF!</definedName>
    <definedName name="PayPeriods">OFFSET('[2]Fixed Rate Traditional'!$A$27,0,0,MAX('[2]Fixed Rate Traditional'!$A$27:$A$10026),1)</definedName>
    <definedName name="pd_bb" localSheetId="28">#REF!</definedName>
    <definedName name="pd_bb" localSheetId="7">#REF!</definedName>
    <definedName name="pd_bb" localSheetId="30">'[1]HC Forecast C Round'!$B$730</definedName>
    <definedName name="pd_bb" localSheetId="8">#REF!</definedName>
    <definedName name="pd_bb" localSheetId="34">#REF!</definedName>
    <definedName name="pd_bb" localSheetId="26">#REF!</definedName>
    <definedName name="pd_bb" localSheetId="27">#REF!</definedName>
    <definedName name="pd_bb" localSheetId="11">#REF!</definedName>
    <definedName name="pd_bb" localSheetId="25">#REF!</definedName>
    <definedName name="pd_bb" localSheetId="29">#REF!</definedName>
    <definedName name="pd_bb" localSheetId="33">#REF!</definedName>
    <definedName name="pd_bb" localSheetId="23">#REF!</definedName>
    <definedName name="pd_bb" localSheetId="36">#REF!</definedName>
    <definedName name="pd_bb" localSheetId="37">#REF!</definedName>
    <definedName name="pd_bb" localSheetId="22">#REF!</definedName>
    <definedName name="pd_bb" localSheetId="13">#REF!</definedName>
    <definedName name="pd_bb" localSheetId="24">#REF!</definedName>
    <definedName name="pd_bb">#REF!</definedName>
    <definedName name="pd_cell" localSheetId="28">#REF!</definedName>
    <definedName name="pd_cell" localSheetId="7">#REF!</definedName>
    <definedName name="pd_cell" localSheetId="30">'[1]HC Forecast C Round'!$B$729</definedName>
    <definedName name="pd_cell" localSheetId="8">#REF!</definedName>
    <definedName name="pd_cell" localSheetId="34">#REF!</definedName>
    <definedName name="pd_cell" localSheetId="26">#REF!</definedName>
    <definedName name="pd_cell" localSheetId="27">#REF!</definedName>
    <definedName name="pd_cell" localSheetId="11">#REF!</definedName>
    <definedName name="pd_cell" localSheetId="25">#REF!</definedName>
    <definedName name="pd_cell" localSheetId="29">#REF!</definedName>
    <definedName name="pd_cell" localSheetId="33">#REF!</definedName>
    <definedName name="pd_cell" localSheetId="23">#REF!</definedName>
    <definedName name="pd_cell" localSheetId="36">#REF!</definedName>
    <definedName name="pd_cell" localSheetId="37">#REF!</definedName>
    <definedName name="pd_cell" localSheetId="22">#REF!</definedName>
    <definedName name="pd_cell" localSheetId="13">#REF!</definedName>
    <definedName name="pd_cell" localSheetId="24">#REF!</definedName>
    <definedName name="pd_cell">#REF!</definedName>
    <definedName name="pd_ld" localSheetId="28">#REF!</definedName>
    <definedName name="pd_ld" localSheetId="7">#REF!</definedName>
    <definedName name="pd_ld" localSheetId="30">'[1]HC Forecast C Round'!$B$732</definedName>
    <definedName name="pd_ld" localSheetId="8">#REF!</definedName>
    <definedName name="pd_ld" localSheetId="34">#REF!</definedName>
    <definedName name="pd_ld" localSheetId="26">#REF!</definedName>
    <definedName name="pd_ld" localSheetId="27">#REF!</definedName>
    <definedName name="pd_ld" localSheetId="11">#REF!</definedName>
    <definedName name="pd_ld" localSheetId="25">#REF!</definedName>
    <definedName name="pd_ld" localSheetId="29">#REF!</definedName>
    <definedName name="pd_ld" localSheetId="33">#REF!</definedName>
    <definedName name="pd_ld" localSheetId="23">#REF!</definedName>
    <definedName name="pd_ld" localSheetId="36">#REF!</definedName>
    <definedName name="pd_ld" localSheetId="37">#REF!</definedName>
    <definedName name="pd_ld" localSheetId="22">#REF!</definedName>
    <definedName name="pd_ld" localSheetId="13">#REF!</definedName>
    <definedName name="pd_ld" localSheetId="24">#REF!</definedName>
    <definedName name="pd_ld">#REF!</definedName>
    <definedName name="pd_travel" localSheetId="28">#REF!</definedName>
    <definedName name="pd_travel" localSheetId="7">#REF!</definedName>
    <definedName name="pd_travel" localSheetId="30">'[1]HC Forecast C Round'!$B$731</definedName>
    <definedName name="pd_travel" localSheetId="8">#REF!</definedName>
    <definedName name="pd_travel" localSheetId="34">#REF!</definedName>
    <definedName name="pd_travel" localSheetId="26">#REF!</definedName>
    <definedName name="pd_travel" localSheetId="27">#REF!</definedName>
    <definedName name="pd_travel" localSheetId="11">#REF!</definedName>
    <definedName name="pd_travel" localSheetId="25">#REF!</definedName>
    <definedName name="pd_travel" localSheetId="29">#REF!</definedName>
    <definedName name="pd_travel" localSheetId="33">#REF!</definedName>
    <definedName name="pd_travel" localSheetId="23">#REF!</definedName>
    <definedName name="pd_travel" localSheetId="36">#REF!</definedName>
    <definedName name="pd_travel" localSheetId="37">#REF!</definedName>
    <definedName name="pd_travel" localSheetId="22">#REF!</definedName>
    <definedName name="pd_travel" localSheetId="13">#REF!</definedName>
    <definedName name="pd_travel" localSheetId="24">#REF!</definedName>
    <definedName name="pd_travel">#REF!</definedName>
    <definedName name="Principal">OFFSET('[2]Fixed Rate Traditional'!$G$27,0,0,MAX('[2]Fixed Rate Traditional'!$A$27:$A$10026),1)</definedName>
    <definedName name="_xlnm.Print_Area" localSheetId="1">'Board Plan vs Current Plan'!$B$2:$X$19</definedName>
    <definedName name="_xlnm.Print_Area" localSheetId="2">'BOD Summary'!$B$4:$T$34</definedName>
    <definedName name="_xlnm.Print_Area" localSheetId="7">'BS - Monthly'!$A$1:$AF$52</definedName>
    <definedName name="_xlnm.Print_Area" localSheetId="8">'CF - Monthly'!$A$1:$AE$42</definedName>
    <definedName name="_xlnm.Print_Area" localSheetId="9">'HC Summary'!$A$1:$Z$15</definedName>
    <definedName name="_xlnm.Print_Area" localSheetId="3">Metrics!$B$1:$V$44</definedName>
    <definedName name="_xlnm.Print_Area" localSheetId="6">'P&amp;L - Monthly'!$B$1:$AE$82</definedName>
    <definedName name="_xlnm.Print_Area" localSheetId="37">'P&amp;L - Yrly'!$B$5:$D$71</definedName>
    <definedName name="_xlnm.Print_Titles" localSheetId="2">'BOD Summary'!$B:$B</definedName>
    <definedName name="_xlnm.Print_Titles" localSheetId="7">'BS - Monthly'!$A:$B,'BS - Monthly'!$1:$3</definedName>
    <definedName name="_xlnm.Print_Titles" localSheetId="8">'CF - Monthly'!$A:$C,'CF - Monthly'!$1:$7</definedName>
    <definedName name="_xlnm.Print_Titles" localSheetId="6">'P&amp;L - Monthly'!$A:$C,'P&amp;L - Monthly'!$1:$4</definedName>
    <definedName name="Product_3" localSheetId="22">[3]Assumptions!$C$53</definedName>
    <definedName name="Product_3">[4]Assumptions!$C$53</definedName>
    <definedName name="pt_bb" localSheetId="28">#REF!</definedName>
    <definedName name="pt_bb" localSheetId="7">#REF!</definedName>
    <definedName name="pt_bb" localSheetId="30">'[1]HC Forecast C Round'!$B$730</definedName>
    <definedName name="pt_bb" localSheetId="8">#REF!</definedName>
    <definedName name="pt_bb" localSheetId="34">#REF!</definedName>
    <definedName name="pt_bb" localSheetId="26">#REF!</definedName>
    <definedName name="pt_bb" localSheetId="27">#REF!</definedName>
    <definedName name="pt_bb" localSheetId="11">#REF!</definedName>
    <definedName name="pt_bb" localSheetId="25">#REF!</definedName>
    <definedName name="pt_bb" localSheetId="29">#REF!</definedName>
    <definedName name="pt_bb" localSheetId="33">#REF!</definedName>
    <definedName name="pt_bb" localSheetId="23">#REF!</definedName>
    <definedName name="pt_bb" localSheetId="36">#REF!</definedName>
    <definedName name="pt_bb" localSheetId="37">#REF!</definedName>
    <definedName name="pt_bb" localSheetId="22">#REF!</definedName>
    <definedName name="pt_bb" localSheetId="13">#REF!</definedName>
    <definedName name="pt_bb" localSheetId="24">#REF!</definedName>
    <definedName name="pt_bb">#REF!</definedName>
    <definedName name="PTB" localSheetId="7">'[1]HC Forecast C Round'!$B$697</definedName>
    <definedName name="PTB" localSheetId="30">'[1]HC Forecast C Round'!$B$697</definedName>
    <definedName name="PTB" localSheetId="8">'[1]HC Forecast C Round'!$B$697</definedName>
    <definedName name="PTB">'[5]HC Forecast C Round'!$B$697</definedName>
    <definedName name="raise_09" localSheetId="28">#REF!</definedName>
    <definedName name="raise_09" localSheetId="7">#REF!</definedName>
    <definedName name="raise_09" localSheetId="30">#REF!</definedName>
    <definedName name="raise_09" localSheetId="8">#REF!</definedName>
    <definedName name="raise_09" localSheetId="34">#REF!</definedName>
    <definedName name="raise_09" localSheetId="26">#REF!</definedName>
    <definedName name="raise_09" localSheetId="27">#REF!</definedName>
    <definedName name="raise_09" localSheetId="11">#REF!</definedName>
    <definedName name="raise_09" localSheetId="25">#REF!</definedName>
    <definedName name="raise_09" localSheetId="29">#REF!</definedName>
    <definedName name="raise_09" localSheetId="33">#REF!</definedName>
    <definedName name="raise_09" localSheetId="23">#REF!</definedName>
    <definedName name="raise_09" localSheetId="36">#REF!</definedName>
    <definedName name="raise_09" localSheetId="37">#REF!</definedName>
    <definedName name="raise_09" localSheetId="22">#REF!</definedName>
    <definedName name="raise_09" localSheetId="13">#REF!</definedName>
    <definedName name="raise_09" localSheetId="24">#REF!</definedName>
    <definedName name="raise_09">#REF!</definedName>
    <definedName name="raise_10" localSheetId="28">#REF!</definedName>
    <definedName name="raise_10" localSheetId="7">#REF!</definedName>
    <definedName name="raise_10" localSheetId="30">#REF!</definedName>
    <definedName name="raise_10" localSheetId="8">#REF!</definedName>
    <definedName name="raise_10" localSheetId="34">#REF!</definedName>
    <definedName name="raise_10" localSheetId="26">#REF!</definedName>
    <definedName name="raise_10" localSheetId="27">#REF!</definedName>
    <definedName name="raise_10" localSheetId="11">#REF!</definedName>
    <definedName name="raise_10" localSheetId="25">#REF!</definedName>
    <definedName name="raise_10" localSheetId="29">#REF!</definedName>
    <definedName name="raise_10" localSheetId="33">#REF!</definedName>
    <definedName name="raise_10" localSheetId="23">#REF!</definedName>
    <definedName name="raise_10" localSheetId="36">#REF!</definedName>
    <definedName name="raise_10" localSheetId="37">#REF!</definedName>
    <definedName name="raise_10" localSheetId="22">#REF!</definedName>
    <definedName name="raise_10" localSheetId="13">#REF!</definedName>
    <definedName name="raise_10" localSheetId="24">#REF!</definedName>
    <definedName name="raise_10">#REF!</definedName>
    <definedName name="sales_bb" localSheetId="28">#REF!</definedName>
    <definedName name="sales_bb" localSheetId="7">#REF!</definedName>
    <definedName name="sales_bb" localSheetId="30">'[1]HC Forecast C Round'!#REF!</definedName>
    <definedName name="sales_bb" localSheetId="8">#REF!</definedName>
    <definedName name="sales_bb" localSheetId="34">#REF!</definedName>
    <definedName name="sales_bb" localSheetId="26">#REF!</definedName>
    <definedName name="sales_bb" localSheetId="27">#REF!</definedName>
    <definedName name="sales_bb" localSheetId="11">#REF!</definedName>
    <definedName name="sales_bb" localSheetId="25">#REF!</definedName>
    <definedName name="sales_bb" localSheetId="29">#REF!</definedName>
    <definedName name="sales_bb" localSheetId="33">#REF!</definedName>
    <definedName name="sales_bb" localSheetId="23">#REF!</definedName>
    <definedName name="sales_bb" localSheetId="36">#REF!</definedName>
    <definedName name="sales_bb" localSheetId="37">#REF!</definedName>
    <definedName name="sales_bb" localSheetId="22">#REF!</definedName>
    <definedName name="sales_bb" localSheetId="13">#REF!</definedName>
    <definedName name="sales_bb" localSheetId="24">#REF!</definedName>
    <definedName name="sales_bb">#REF!</definedName>
    <definedName name="sales_cell" localSheetId="28">#REF!</definedName>
    <definedName name="sales_cell" localSheetId="7">#REF!</definedName>
    <definedName name="sales_cell" localSheetId="30">'[1]HC Forecast C Round'!#REF!</definedName>
    <definedName name="sales_cell" localSheetId="8">#REF!</definedName>
    <definedName name="sales_cell" localSheetId="34">#REF!</definedName>
    <definedName name="sales_cell" localSheetId="26">#REF!</definedName>
    <definedName name="sales_cell" localSheetId="27">#REF!</definedName>
    <definedName name="sales_cell" localSheetId="11">#REF!</definedName>
    <definedName name="sales_cell" localSheetId="25">#REF!</definedName>
    <definedName name="sales_cell" localSheetId="29">#REF!</definedName>
    <definedName name="sales_cell" localSheetId="33">#REF!</definedName>
    <definedName name="sales_cell" localSheetId="23">#REF!</definedName>
    <definedName name="sales_cell" localSheetId="36">#REF!</definedName>
    <definedName name="sales_cell" localSheetId="37">#REF!</definedName>
    <definedName name="sales_cell" localSheetId="22">#REF!</definedName>
    <definedName name="sales_cell" localSheetId="13">#REF!</definedName>
    <definedName name="sales_cell" localSheetId="24">#REF!</definedName>
    <definedName name="sales_cell">#REF!</definedName>
    <definedName name="sales_ld" localSheetId="28">#REF!</definedName>
    <definedName name="sales_ld" localSheetId="7">#REF!</definedName>
    <definedName name="sales_ld" localSheetId="30">'[1]HC Forecast C Round'!#REF!</definedName>
    <definedName name="sales_ld" localSheetId="8">#REF!</definedName>
    <definedName name="sales_ld" localSheetId="34">#REF!</definedName>
    <definedName name="sales_ld" localSheetId="26">#REF!</definedName>
    <definedName name="sales_ld" localSheetId="27">#REF!</definedName>
    <definedName name="sales_ld" localSheetId="11">#REF!</definedName>
    <definedName name="sales_ld" localSheetId="25">#REF!</definedName>
    <definedName name="sales_ld" localSheetId="29">#REF!</definedName>
    <definedName name="sales_ld" localSheetId="33">#REF!</definedName>
    <definedName name="sales_ld" localSheetId="23">#REF!</definedName>
    <definedName name="sales_ld" localSheetId="36">#REF!</definedName>
    <definedName name="sales_ld" localSheetId="37">#REF!</definedName>
    <definedName name="sales_ld" localSheetId="22">#REF!</definedName>
    <definedName name="sales_ld" localSheetId="13">#REF!</definedName>
    <definedName name="sales_ld" localSheetId="24">#REF!</definedName>
    <definedName name="sales_ld">#REF!</definedName>
    <definedName name="sales_travel" localSheetId="28">#REF!</definedName>
    <definedName name="sales_travel" localSheetId="7">#REF!</definedName>
    <definedName name="sales_travel" localSheetId="30">'[1]HC Forecast C Round'!#REF!</definedName>
    <definedName name="sales_travel" localSheetId="8">#REF!</definedName>
    <definedName name="sales_travel" localSheetId="34">#REF!</definedName>
    <definedName name="sales_travel" localSheetId="26">#REF!</definedName>
    <definedName name="sales_travel" localSheetId="27">#REF!</definedName>
    <definedName name="sales_travel" localSheetId="11">#REF!</definedName>
    <definedName name="sales_travel" localSheetId="25">#REF!</definedName>
    <definedName name="sales_travel" localSheetId="29">#REF!</definedName>
    <definedName name="sales_travel" localSheetId="33">#REF!</definedName>
    <definedName name="sales_travel" localSheetId="23">#REF!</definedName>
    <definedName name="sales_travel" localSheetId="36">#REF!</definedName>
    <definedName name="sales_travel" localSheetId="37">#REF!</definedName>
    <definedName name="sales_travel" localSheetId="22">#REF!</definedName>
    <definedName name="sales_travel" localSheetId="13">#REF!</definedName>
    <definedName name="sales_travel" localSheetId="24">#REF!</definedName>
    <definedName name="sales_travel">#REF!</definedName>
    <definedName name="SR">'[6]Names List'!$A$2:$A$200</definedName>
    <definedName name="x" localSheetId="28">#REF!</definedName>
    <definedName name="x" localSheetId="30">#REF!</definedName>
    <definedName name="x" localSheetId="34">#REF!</definedName>
    <definedName name="x" localSheetId="26">#REF!</definedName>
    <definedName name="x" localSheetId="27">#REF!</definedName>
    <definedName name="x" localSheetId="11">#REF!</definedName>
    <definedName name="x" localSheetId="25">#REF!</definedName>
    <definedName name="x" localSheetId="29">#REF!</definedName>
    <definedName name="x" localSheetId="33">#REF!</definedName>
    <definedName name="x" localSheetId="23">#REF!</definedName>
    <definedName name="x" localSheetId="36">#REF!</definedName>
    <definedName name="x" localSheetId="37">#REF!</definedName>
    <definedName name="x" localSheetId="22">#REF!</definedName>
    <definedName name="x" localSheetId="13">#REF!</definedName>
    <definedName name="x" localSheetId="24">#REF!</definedName>
    <definedName name="x">#REF!</definedName>
  </definedNames>
  <calcPr calcId="152511"/>
  <fileRecoveryPr autoRecover="0"/>
</workbook>
</file>

<file path=xl/calcChain.xml><?xml version="1.0" encoding="utf-8"?>
<calcChain xmlns="http://schemas.openxmlformats.org/spreadsheetml/2006/main">
  <c r="I14" i="146" l="1"/>
  <c r="I13" i="146"/>
  <c r="I12" i="146"/>
  <c r="J11" i="146"/>
  <c r="K11" i="146"/>
  <c r="L11" i="146"/>
  <c r="I11" i="146"/>
  <c r="J10" i="146"/>
  <c r="K10" i="146"/>
  <c r="L10" i="146"/>
  <c r="I10" i="146"/>
  <c r="J9" i="146"/>
  <c r="K9" i="146"/>
  <c r="L9" i="146"/>
  <c r="I9" i="146"/>
  <c r="J8" i="146"/>
  <c r="K8" i="146"/>
  <c r="L8" i="146"/>
  <c r="I8" i="146"/>
  <c r="J5" i="146"/>
  <c r="K5" i="146"/>
  <c r="L5" i="146"/>
  <c r="I5" i="146"/>
  <c r="AN132" i="126"/>
  <c r="AM132" i="126"/>
  <c r="AL132" i="126"/>
  <c r="AM130" i="126"/>
  <c r="AN130" i="126"/>
  <c r="AL130" i="126"/>
  <c r="AF57" i="136"/>
  <c r="AE56" i="136"/>
  <c r="AE54" i="136"/>
  <c r="AD54" i="136"/>
  <c r="AE41" i="136"/>
  <c r="AF41" i="136"/>
  <c r="AG41" i="136"/>
  <c r="AH41" i="136"/>
  <c r="AI41" i="136"/>
  <c r="AJ41" i="136"/>
  <c r="AK41" i="136"/>
  <c r="AL41" i="136"/>
  <c r="AM41" i="136"/>
  <c r="AN41" i="136"/>
  <c r="AO41" i="136"/>
  <c r="AP41" i="136"/>
  <c r="AQ41" i="136"/>
  <c r="AR41" i="136"/>
  <c r="AS41" i="136"/>
  <c r="AT41" i="136"/>
  <c r="AU41" i="136"/>
  <c r="AV41" i="136"/>
  <c r="AW41" i="136"/>
  <c r="AX41" i="136"/>
  <c r="AD41" i="136"/>
  <c r="AB4" i="146"/>
  <c r="K17" i="85"/>
  <c r="AY41" i="136" l="1"/>
  <c r="AZ41" i="136"/>
  <c r="BA41" i="136"/>
  <c r="BB41" i="136"/>
  <c r="BC41" i="136"/>
  <c r="BD41" i="136"/>
  <c r="BE41" i="136"/>
  <c r="BF41" i="136"/>
  <c r="BG41" i="136"/>
  <c r="BH41" i="136"/>
  <c r="BI41" i="136"/>
  <c r="BJ41" i="136"/>
  <c r="I37" i="146" l="1"/>
  <c r="I39" i="146" s="1"/>
  <c r="G30" i="146"/>
  <c r="F30" i="146"/>
  <c r="E30" i="146"/>
  <c r="D30" i="146"/>
  <c r="I30" i="146" s="1"/>
  <c r="I34" i="146" s="1"/>
  <c r="I29" i="146"/>
  <c r="I28" i="146"/>
  <c r="I27" i="146"/>
  <c r="I26" i="146"/>
  <c r="I25" i="146"/>
  <c r="I24" i="146"/>
  <c r="I23" i="146"/>
  <c r="V12" i="146" s="1"/>
  <c r="N14" i="146"/>
  <c r="N13" i="146"/>
  <c r="N12" i="146"/>
  <c r="W11" i="146"/>
  <c r="Q11" i="146"/>
  <c r="P11" i="146"/>
  <c r="O11" i="146"/>
  <c r="N11" i="146"/>
  <c r="W10" i="146"/>
  <c r="V10" i="146"/>
  <c r="Q10" i="146"/>
  <c r="P10" i="146"/>
  <c r="O10" i="146"/>
  <c r="N10" i="146"/>
  <c r="Q9" i="146"/>
  <c r="P9" i="146"/>
  <c r="O9" i="146"/>
  <c r="N9" i="146"/>
  <c r="Q8" i="146"/>
  <c r="P8" i="146"/>
  <c r="O8" i="146"/>
  <c r="N8" i="146"/>
  <c r="Q5" i="146"/>
  <c r="P5" i="146"/>
  <c r="O5" i="146"/>
  <c r="N5" i="146"/>
  <c r="S11" i="146" l="1"/>
  <c r="Y11" i="146" s="1"/>
  <c r="V11" i="146"/>
  <c r="V13" i="146" s="1"/>
  <c r="S5" i="146"/>
  <c r="Y5" i="146" s="1"/>
  <c r="S9" i="146"/>
  <c r="Y9" i="146" s="1"/>
  <c r="S10" i="146"/>
  <c r="Y10" i="146" s="1"/>
  <c r="S8" i="146"/>
  <c r="Y8" i="146" s="1"/>
  <c r="W13" i="146"/>
  <c r="I41" i="146"/>
  <c r="AM12" i="136"/>
  <c r="AE12" i="131"/>
  <c r="AF12" i="131"/>
  <c r="AG12" i="131"/>
  <c r="AH12" i="131"/>
  <c r="AI12" i="131"/>
  <c r="AJ12" i="131"/>
  <c r="AK12" i="131"/>
  <c r="AL12" i="131"/>
  <c r="AD12" i="131"/>
  <c r="AE12" i="132"/>
  <c r="AF12" i="132"/>
  <c r="AG12" i="132"/>
  <c r="AH12" i="132"/>
  <c r="AI12" i="132"/>
  <c r="AJ12" i="132"/>
  <c r="AK12" i="132"/>
  <c r="AL12" i="132"/>
  <c r="AD12" i="132"/>
  <c r="AE12" i="133"/>
  <c r="AF12" i="133"/>
  <c r="AG12" i="133"/>
  <c r="AH12" i="133"/>
  <c r="AI12" i="133"/>
  <c r="AJ12" i="133"/>
  <c r="AK12" i="133"/>
  <c r="AL12" i="133"/>
  <c r="AD12" i="133"/>
  <c r="AE12" i="134"/>
  <c r="AF12" i="134"/>
  <c r="AG12" i="134"/>
  <c r="AH12" i="134"/>
  <c r="AI12" i="134"/>
  <c r="AJ12" i="134"/>
  <c r="AK12" i="134"/>
  <c r="AL12" i="134"/>
  <c r="AD12" i="134"/>
  <c r="AE12" i="135"/>
  <c r="AF12" i="135"/>
  <c r="AG12" i="135"/>
  <c r="AH12" i="135"/>
  <c r="AI12" i="135"/>
  <c r="AJ12" i="135"/>
  <c r="AK12" i="135"/>
  <c r="AL12" i="135"/>
  <c r="AD12" i="135"/>
  <c r="AE12" i="136"/>
  <c r="AF12" i="136"/>
  <c r="AG12" i="136"/>
  <c r="AH12" i="136"/>
  <c r="AI12" i="136"/>
  <c r="AJ12" i="136"/>
  <c r="AK12" i="136"/>
  <c r="AL12" i="136"/>
  <c r="AD12" i="136"/>
  <c r="I7" i="129"/>
  <c r="I8" i="129"/>
  <c r="I9" i="129"/>
  <c r="I10" i="129"/>
  <c r="I11" i="129"/>
  <c r="I12" i="129"/>
  <c r="I13" i="129"/>
  <c r="I14" i="129"/>
  <c r="I15" i="129"/>
  <c r="I16" i="129"/>
  <c r="I17" i="129"/>
  <c r="I18" i="129"/>
  <c r="I19" i="129"/>
  <c r="I20" i="129"/>
  <c r="I21" i="129"/>
  <c r="I22" i="129"/>
  <c r="I23" i="129"/>
  <c r="I24" i="129"/>
  <c r="I25" i="129"/>
  <c r="I26" i="129"/>
  <c r="I27" i="129"/>
  <c r="I28" i="129"/>
  <c r="I29" i="129"/>
  <c r="I30" i="129"/>
  <c r="I31" i="129"/>
  <c r="I32" i="129"/>
  <c r="I33" i="129"/>
  <c r="I34" i="129"/>
  <c r="I35" i="129"/>
  <c r="I36" i="129"/>
  <c r="I37" i="129"/>
  <c r="I38" i="129"/>
  <c r="I39" i="129"/>
  <c r="I40" i="129"/>
  <c r="I41" i="129"/>
  <c r="I42" i="129"/>
  <c r="I43" i="129"/>
  <c r="I44" i="129"/>
  <c r="I45" i="129"/>
  <c r="I46" i="129"/>
  <c r="I47" i="129"/>
  <c r="I48" i="129"/>
  <c r="I49" i="129"/>
  <c r="I50" i="129"/>
  <c r="I51" i="129"/>
  <c r="I52" i="129"/>
  <c r="I53" i="129"/>
  <c r="I54" i="129"/>
  <c r="I55" i="129"/>
  <c r="I56" i="129"/>
  <c r="I57" i="129"/>
  <c r="I58" i="129"/>
  <c r="I59" i="129"/>
  <c r="I60" i="129"/>
  <c r="I61" i="129"/>
  <c r="I62" i="129"/>
  <c r="I63" i="129"/>
  <c r="I64" i="129"/>
  <c r="I65" i="129"/>
  <c r="I66" i="129"/>
  <c r="I67" i="129"/>
  <c r="I68" i="129"/>
  <c r="I69" i="129"/>
  <c r="I70" i="129"/>
  <c r="I71" i="129"/>
  <c r="I72" i="129"/>
  <c r="I73" i="129"/>
  <c r="I74" i="129"/>
  <c r="I75" i="129"/>
  <c r="I76" i="129"/>
  <c r="I77" i="129"/>
  <c r="I78" i="129"/>
  <c r="I79" i="129"/>
  <c r="I80" i="129"/>
  <c r="I81" i="129"/>
  <c r="I82" i="129"/>
  <c r="I83" i="129"/>
  <c r="I84" i="129"/>
  <c r="I85" i="129"/>
  <c r="I86" i="129"/>
  <c r="I6" i="129"/>
  <c r="AM12" i="134"/>
  <c r="AC27" i="134"/>
  <c r="AB27" i="134"/>
  <c r="AA27" i="134"/>
  <c r="Z27" i="134"/>
  <c r="Y27" i="134"/>
  <c r="X27" i="134"/>
  <c r="W27" i="134"/>
  <c r="V27" i="134"/>
  <c r="U27" i="134"/>
  <c r="T27" i="134"/>
  <c r="S27" i="134"/>
  <c r="R27" i="134"/>
  <c r="Q27" i="134"/>
  <c r="P27" i="134"/>
  <c r="O27" i="134"/>
  <c r="N27" i="134"/>
  <c r="M27" i="134"/>
  <c r="L27" i="134"/>
  <c r="K27" i="134"/>
  <c r="J27" i="134"/>
  <c r="I27" i="134"/>
  <c r="H27" i="134"/>
  <c r="G27" i="134"/>
  <c r="F27" i="134"/>
  <c r="E27" i="134"/>
  <c r="D27" i="134"/>
  <c r="C27" i="134"/>
  <c r="AC12" i="133"/>
  <c r="AA12" i="133"/>
  <c r="AB12" i="133"/>
  <c r="AM12" i="133"/>
  <c r="AM12" i="132"/>
  <c r="AO12" i="131"/>
  <c r="AP12" i="131"/>
  <c r="AQ12" i="131"/>
  <c r="AR12" i="131"/>
  <c r="AS12" i="131"/>
  <c r="AT12" i="131"/>
  <c r="AU12" i="131"/>
  <c r="AV12" i="131"/>
  <c r="AW12" i="131"/>
  <c r="AX12" i="131"/>
  <c r="AM12" i="131"/>
  <c r="AE27" i="134" l="1"/>
  <c r="AD27" i="134"/>
  <c r="AF27" i="134" s="1"/>
  <c r="P22" i="130"/>
  <c r="Q22" i="130" s="1"/>
  <c r="R22" i="130" s="1"/>
  <c r="D22" i="130"/>
  <c r="AH27" i="134" l="1"/>
  <c r="AG27" i="134"/>
  <c r="AJ27" i="134" l="1"/>
  <c r="AI27" i="134"/>
  <c r="AK27" i="134" s="1"/>
  <c r="L20" i="116"/>
  <c r="AC90" i="34"/>
  <c r="P14" i="85"/>
  <c r="Q14" i="85"/>
  <c r="AA7" i="131"/>
  <c r="AA7" i="61" s="1"/>
  <c r="AA7" i="132"/>
  <c r="AA8" i="61" s="1"/>
  <c r="AA7" i="133"/>
  <c r="AA9" i="61" s="1"/>
  <c r="AA7" i="136"/>
  <c r="AA10" i="61" s="1"/>
  <c r="AA7" i="134"/>
  <c r="AA11" i="61" s="1"/>
  <c r="AA7" i="135"/>
  <c r="AA12" i="61" s="1"/>
  <c r="AB7" i="131"/>
  <c r="AB7" i="61" s="1"/>
  <c r="AB7" i="132"/>
  <c r="AB8" i="61" s="1"/>
  <c r="AB7" i="133"/>
  <c r="AB9" i="61" s="1"/>
  <c r="AB7" i="136"/>
  <c r="AB10" i="61" s="1"/>
  <c r="AB7" i="134"/>
  <c r="AB11" i="61" s="1"/>
  <c r="AB7" i="135"/>
  <c r="AB12" i="61" s="1"/>
  <c r="AC7" i="131"/>
  <c r="AC7" i="61" s="1"/>
  <c r="AC7" i="132"/>
  <c r="AC8" i="61" s="1"/>
  <c r="AC7" i="133"/>
  <c r="AC9" i="61" s="1"/>
  <c r="AC7" i="136"/>
  <c r="AC10" i="61" s="1"/>
  <c r="AC7" i="134"/>
  <c r="AC11" i="61" s="1"/>
  <c r="AC7" i="135"/>
  <c r="AC12" i="61" s="1"/>
  <c r="AD9" i="131"/>
  <c r="AD9" i="132"/>
  <c r="AD9" i="133"/>
  <c r="AD9" i="136"/>
  <c r="AD9" i="134"/>
  <c r="AD9" i="135"/>
  <c r="AE9" i="131"/>
  <c r="AE9" i="132"/>
  <c r="AE9" i="133"/>
  <c r="AE9" i="136"/>
  <c r="AE9" i="134"/>
  <c r="AE9" i="135"/>
  <c r="AF9" i="131"/>
  <c r="AF9" i="132"/>
  <c r="AF9" i="133"/>
  <c r="AF9" i="136"/>
  <c r="AF9" i="134"/>
  <c r="AF9" i="135"/>
  <c r="AG9" i="131"/>
  <c r="AG9" i="132"/>
  <c r="AG9" i="133"/>
  <c r="AG9" i="136"/>
  <c r="AG9" i="134"/>
  <c r="AG9" i="135"/>
  <c r="AH9" i="131"/>
  <c r="AH9" i="132"/>
  <c r="AH9" i="133"/>
  <c r="AH9" i="136"/>
  <c r="AH9" i="134"/>
  <c r="AH9" i="135"/>
  <c r="AI9" i="131"/>
  <c r="AI9" i="132"/>
  <c r="AI9" i="133"/>
  <c r="AI9" i="136"/>
  <c r="AI9" i="134"/>
  <c r="AI9" i="135"/>
  <c r="AJ9" i="131"/>
  <c r="AJ9" i="132"/>
  <c r="AJ9" i="133"/>
  <c r="AJ9" i="136"/>
  <c r="AJ9" i="134"/>
  <c r="AJ9" i="135"/>
  <c r="AK9" i="131"/>
  <c r="AK9" i="132"/>
  <c r="AK9" i="133"/>
  <c r="AK9" i="136"/>
  <c r="AK9" i="134"/>
  <c r="AK9" i="135"/>
  <c r="AL9" i="131"/>
  <c r="AL9" i="132"/>
  <c r="AL9" i="133"/>
  <c r="AL9" i="136"/>
  <c r="AL9" i="134"/>
  <c r="AL9" i="135"/>
  <c r="O7" i="131"/>
  <c r="O7" i="61" s="1"/>
  <c r="O7" i="132"/>
  <c r="O8" i="61" s="1"/>
  <c r="O7" i="133"/>
  <c r="O9" i="61" s="1"/>
  <c r="O7" i="136"/>
  <c r="O10" i="61" s="1"/>
  <c r="O7" i="134"/>
  <c r="O11" i="61" s="1"/>
  <c r="O7" i="135"/>
  <c r="O12" i="61" s="1"/>
  <c r="P7" i="131"/>
  <c r="P7" i="61" s="1"/>
  <c r="P7" i="132"/>
  <c r="P8" i="61" s="1"/>
  <c r="P7" i="133"/>
  <c r="P9" i="61" s="1"/>
  <c r="P7" i="136"/>
  <c r="P10" i="61" s="1"/>
  <c r="P7" i="134"/>
  <c r="P11" i="61" s="1"/>
  <c r="P7" i="135"/>
  <c r="P12" i="61" s="1"/>
  <c r="Q7" i="131"/>
  <c r="Q7" i="61" s="1"/>
  <c r="Q7" i="132"/>
  <c r="Q8" i="61" s="1"/>
  <c r="Q7" i="133"/>
  <c r="Q9" i="61" s="1"/>
  <c r="Q7" i="136"/>
  <c r="Q10" i="61" s="1"/>
  <c r="Q7" i="134"/>
  <c r="Q11" i="61" s="1"/>
  <c r="Q7" i="135"/>
  <c r="Q12" i="61" s="1"/>
  <c r="R7" i="131"/>
  <c r="R7" i="61" s="1"/>
  <c r="R7" i="132"/>
  <c r="R8" i="61" s="1"/>
  <c r="R7" i="133"/>
  <c r="R9" i="61" s="1"/>
  <c r="R7" i="136"/>
  <c r="R10" i="61" s="1"/>
  <c r="R7" i="134"/>
  <c r="R11" i="61" s="1"/>
  <c r="R7" i="135"/>
  <c r="R12" i="61" s="1"/>
  <c r="S7" i="131"/>
  <c r="S7" i="61" s="1"/>
  <c r="S7" i="132"/>
  <c r="S8" i="61" s="1"/>
  <c r="S7" i="133"/>
  <c r="S9" i="61" s="1"/>
  <c r="S7" i="136"/>
  <c r="S10" i="61" s="1"/>
  <c r="S7" i="134"/>
  <c r="S11" i="61" s="1"/>
  <c r="S7" i="135"/>
  <c r="S12" i="61" s="1"/>
  <c r="T7" i="131"/>
  <c r="T7" i="61" s="1"/>
  <c r="T7" i="132"/>
  <c r="T8" i="61" s="1"/>
  <c r="T7" i="133"/>
  <c r="T9" i="61" s="1"/>
  <c r="T7" i="136"/>
  <c r="T10" i="61" s="1"/>
  <c r="T7" i="134"/>
  <c r="T11" i="61" s="1"/>
  <c r="T7" i="135"/>
  <c r="T12" i="61" s="1"/>
  <c r="U7" i="131"/>
  <c r="U7" i="61" s="1"/>
  <c r="U7" i="132"/>
  <c r="U8" i="61" s="1"/>
  <c r="U7" i="133"/>
  <c r="U9" i="61" s="1"/>
  <c r="U7" i="136"/>
  <c r="U10" i="61" s="1"/>
  <c r="U7" i="134"/>
  <c r="U11" i="61" s="1"/>
  <c r="U7" i="135"/>
  <c r="U12" i="61" s="1"/>
  <c r="V7" i="131"/>
  <c r="V7" i="61" s="1"/>
  <c r="V7" i="132"/>
  <c r="V8" i="61" s="1"/>
  <c r="V7" i="133"/>
  <c r="V9" i="61" s="1"/>
  <c r="V7" i="136"/>
  <c r="V10" i="61" s="1"/>
  <c r="V7" i="134"/>
  <c r="V11" i="61" s="1"/>
  <c r="V7" i="135"/>
  <c r="V12" i="61" s="1"/>
  <c r="W7" i="131"/>
  <c r="W7" i="61" s="1"/>
  <c r="W7" i="132"/>
  <c r="W8" i="61" s="1"/>
  <c r="W7" i="133"/>
  <c r="W9" i="61" s="1"/>
  <c r="W7" i="136"/>
  <c r="W10" i="61" s="1"/>
  <c r="W7" i="134"/>
  <c r="W11" i="61" s="1"/>
  <c r="W7" i="135"/>
  <c r="W12" i="61" s="1"/>
  <c r="X7" i="131"/>
  <c r="X7" i="61" s="1"/>
  <c r="X7" i="132"/>
  <c r="X8" i="61" s="1"/>
  <c r="X7" i="133"/>
  <c r="X9" i="61" s="1"/>
  <c r="X7" i="136"/>
  <c r="X10" i="61" s="1"/>
  <c r="X7" i="134"/>
  <c r="X11" i="61" s="1"/>
  <c r="X7" i="135"/>
  <c r="X12" i="61" s="1"/>
  <c r="Y7" i="131"/>
  <c r="Y7" i="61" s="1"/>
  <c r="Y7" i="132"/>
  <c r="Y8" i="61" s="1"/>
  <c r="Y7" i="133"/>
  <c r="Y9" i="61" s="1"/>
  <c r="Y7" i="136"/>
  <c r="Y10" i="61" s="1"/>
  <c r="Y7" i="134"/>
  <c r="Y11" i="61" s="1"/>
  <c r="Y7" i="135"/>
  <c r="Y12" i="61" s="1"/>
  <c r="Z7" i="131"/>
  <c r="Z7" i="61" s="1"/>
  <c r="Z7" i="132"/>
  <c r="Z8" i="61" s="1"/>
  <c r="Z7" i="133"/>
  <c r="Z9" i="61" s="1"/>
  <c r="Z7" i="136"/>
  <c r="Z10" i="61" s="1"/>
  <c r="Z7" i="134"/>
  <c r="Z11" i="61" s="1"/>
  <c r="Z7" i="135"/>
  <c r="Z12" i="61" s="1"/>
  <c r="C7" i="131"/>
  <c r="C7" i="61" s="1"/>
  <c r="C7" i="132"/>
  <c r="C8" i="61" s="1"/>
  <c r="C7" i="133"/>
  <c r="C9" i="61" s="1"/>
  <c r="C7" i="134"/>
  <c r="C11" i="61" s="1"/>
  <c r="C7" i="135"/>
  <c r="C12" i="61" s="1"/>
  <c r="D7" i="131"/>
  <c r="D7" i="61" s="1"/>
  <c r="D7" i="132"/>
  <c r="D8" i="61" s="1"/>
  <c r="D7" i="133"/>
  <c r="D9" i="61" s="1"/>
  <c r="D7" i="136"/>
  <c r="D10" i="61" s="1"/>
  <c r="D7" i="134"/>
  <c r="D11" i="61" s="1"/>
  <c r="D7" i="135"/>
  <c r="D12" i="61" s="1"/>
  <c r="E7" i="131"/>
  <c r="E7" i="61" s="1"/>
  <c r="E7" i="132"/>
  <c r="E8" i="61" s="1"/>
  <c r="E7" i="133"/>
  <c r="E9" i="61" s="1"/>
  <c r="E7" i="136"/>
  <c r="E10" i="61" s="1"/>
  <c r="E7" i="134"/>
  <c r="E11" i="61" s="1"/>
  <c r="E7" i="135"/>
  <c r="E12" i="61" s="1"/>
  <c r="F7" i="131"/>
  <c r="F7" i="61" s="1"/>
  <c r="F7" i="132"/>
  <c r="F8" i="61" s="1"/>
  <c r="F7" i="133"/>
  <c r="F9" i="61" s="1"/>
  <c r="F7" i="136"/>
  <c r="F10" i="61" s="1"/>
  <c r="F7" i="134"/>
  <c r="F11" i="61" s="1"/>
  <c r="F7" i="135"/>
  <c r="F12" i="61" s="1"/>
  <c r="G7" i="131"/>
  <c r="G7" i="61" s="1"/>
  <c r="G7" i="132"/>
  <c r="G8" i="61" s="1"/>
  <c r="G7" i="133"/>
  <c r="G9" i="61" s="1"/>
  <c r="G7" i="136"/>
  <c r="G10" i="61" s="1"/>
  <c r="G7" i="134"/>
  <c r="G11" i="61" s="1"/>
  <c r="G7" i="135"/>
  <c r="G12" i="61" s="1"/>
  <c r="H7" i="131"/>
  <c r="H7" i="61" s="1"/>
  <c r="H7" i="132"/>
  <c r="H8" i="61" s="1"/>
  <c r="H7" i="133"/>
  <c r="H9" i="61" s="1"/>
  <c r="H7" i="136"/>
  <c r="H10" i="61" s="1"/>
  <c r="H7" i="134"/>
  <c r="H11" i="61" s="1"/>
  <c r="H7" i="135"/>
  <c r="H12" i="61" s="1"/>
  <c r="I7" i="131"/>
  <c r="I7" i="61" s="1"/>
  <c r="I7" i="132"/>
  <c r="I8" i="61" s="1"/>
  <c r="I7" i="133"/>
  <c r="I9" i="61" s="1"/>
  <c r="I7" i="136"/>
  <c r="I10" i="61" s="1"/>
  <c r="I7" i="134"/>
  <c r="I11" i="61" s="1"/>
  <c r="I7" i="135"/>
  <c r="I12" i="61" s="1"/>
  <c r="J7" i="131"/>
  <c r="J7" i="61" s="1"/>
  <c r="J7" i="132"/>
  <c r="J8" i="61" s="1"/>
  <c r="J7" i="133"/>
  <c r="J9" i="61" s="1"/>
  <c r="J7" i="136"/>
  <c r="J10" i="61" s="1"/>
  <c r="J7" i="134"/>
  <c r="J11" i="61" s="1"/>
  <c r="J7" i="135"/>
  <c r="J12" i="61" s="1"/>
  <c r="K7" i="131"/>
  <c r="K7" i="61" s="1"/>
  <c r="K7" i="132"/>
  <c r="K8" i="61" s="1"/>
  <c r="K7" i="133"/>
  <c r="K9" i="61" s="1"/>
  <c r="K7" i="136"/>
  <c r="K10" i="61" s="1"/>
  <c r="K7" i="134"/>
  <c r="K11" i="61" s="1"/>
  <c r="K7" i="135"/>
  <c r="K12" i="61" s="1"/>
  <c r="L7" i="131"/>
  <c r="L7" i="61" s="1"/>
  <c r="L7" i="132"/>
  <c r="L8" i="61" s="1"/>
  <c r="L7" i="133"/>
  <c r="L9" i="61" s="1"/>
  <c r="L7" i="136"/>
  <c r="L10" i="61" s="1"/>
  <c r="L7" i="134"/>
  <c r="L11" i="61" s="1"/>
  <c r="L7" i="135"/>
  <c r="L12" i="61" s="1"/>
  <c r="M7" i="131"/>
  <c r="M7" i="61" s="1"/>
  <c r="M7" i="132"/>
  <c r="M8" i="61" s="1"/>
  <c r="M7" i="133"/>
  <c r="M9" i="61" s="1"/>
  <c r="M7" i="136"/>
  <c r="M10" i="61" s="1"/>
  <c r="M7" i="134"/>
  <c r="M11" i="61" s="1"/>
  <c r="M7" i="135"/>
  <c r="M12" i="61" s="1"/>
  <c r="N7" i="131"/>
  <c r="N7" i="61" s="1"/>
  <c r="N7" i="132"/>
  <c r="N8" i="61" s="1"/>
  <c r="N7" i="133"/>
  <c r="N9" i="61" s="1"/>
  <c r="N7" i="136"/>
  <c r="N10" i="61" s="1"/>
  <c r="N7" i="134"/>
  <c r="N11" i="61" s="1"/>
  <c r="N7" i="135"/>
  <c r="N12" i="61" s="1"/>
  <c r="R32" i="134"/>
  <c r="S32" i="134"/>
  <c r="T32" i="134"/>
  <c r="U32" i="134"/>
  <c r="V32" i="134"/>
  <c r="W32" i="134"/>
  <c r="X32" i="134"/>
  <c r="Y32" i="134"/>
  <c r="Z32" i="134"/>
  <c r="AA32" i="134"/>
  <c r="AB32" i="134"/>
  <c r="AC32" i="134"/>
  <c r="R33" i="134"/>
  <c r="S33" i="134"/>
  <c r="T33" i="134"/>
  <c r="U33" i="134"/>
  <c r="V33" i="134"/>
  <c r="W33" i="134"/>
  <c r="X33" i="134"/>
  <c r="Y33" i="134"/>
  <c r="Z33" i="134"/>
  <c r="AA33" i="134"/>
  <c r="AB33" i="134"/>
  <c r="AC33" i="134"/>
  <c r="R34" i="134"/>
  <c r="S34" i="134"/>
  <c r="T34" i="134"/>
  <c r="U34" i="134"/>
  <c r="V34" i="134"/>
  <c r="W34" i="134"/>
  <c r="X34" i="134"/>
  <c r="Y34" i="134"/>
  <c r="Z34" i="134"/>
  <c r="AA34" i="134"/>
  <c r="AB34" i="134"/>
  <c r="AC34" i="134"/>
  <c r="R35" i="134"/>
  <c r="S35" i="134"/>
  <c r="T35" i="134"/>
  <c r="U35" i="134"/>
  <c r="V35" i="134"/>
  <c r="W35" i="134"/>
  <c r="X35" i="134"/>
  <c r="Y35" i="134"/>
  <c r="Z35" i="134"/>
  <c r="AA35" i="134"/>
  <c r="AB35" i="134"/>
  <c r="AC35" i="134"/>
  <c r="R36" i="134"/>
  <c r="S36" i="134"/>
  <c r="T36" i="134"/>
  <c r="U36" i="134"/>
  <c r="V36" i="134"/>
  <c r="W36" i="134"/>
  <c r="X36" i="134"/>
  <c r="Y36" i="134"/>
  <c r="Z36" i="134"/>
  <c r="AA36" i="134"/>
  <c r="AB36" i="134"/>
  <c r="AC36" i="134"/>
  <c r="R37" i="134"/>
  <c r="S37" i="134"/>
  <c r="T37" i="134"/>
  <c r="U37" i="134"/>
  <c r="V37" i="134"/>
  <c r="W37" i="134"/>
  <c r="X37" i="134"/>
  <c r="Y37" i="134"/>
  <c r="Z37" i="134"/>
  <c r="AA37" i="134"/>
  <c r="AB37" i="134"/>
  <c r="AC37" i="134"/>
  <c r="R38" i="134"/>
  <c r="S38" i="134"/>
  <c r="T38" i="134"/>
  <c r="U38" i="134"/>
  <c r="V38" i="134"/>
  <c r="W38" i="134"/>
  <c r="X38" i="134"/>
  <c r="Y38" i="134"/>
  <c r="Z38" i="134"/>
  <c r="AA38" i="134"/>
  <c r="AB38" i="134"/>
  <c r="AC38" i="134"/>
  <c r="R39" i="134"/>
  <c r="S39" i="134"/>
  <c r="T39" i="134"/>
  <c r="U39" i="134"/>
  <c r="V39" i="134"/>
  <c r="W39" i="134"/>
  <c r="X39" i="134"/>
  <c r="Y39" i="134"/>
  <c r="Z39" i="134"/>
  <c r="AA39" i="134"/>
  <c r="AB39" i="134"/>
  <c r="AC39" i="134"/>
  <c r="R41" i="134"/>
  <c r="S41" i="134"/>
  <c r="T41" i="134"/>
  <c r="U41" i="134"/>
  <c r="V41" i="134"/>
  <c r="W41" i="134"/>
  <c r="X41" i="134"/>
  <c r="Y41" i="134"/>
  <c r="Z41" i="134"/>
  <c r="AA41" i="134"/>
  <c r="AB41" i="134"/>
  <c r="AC41" i="134"/>
  <c r="R42" i="134"/>
  <c r="S42" i="134"/>
  <c r="T42" i="134"/>
  <c r="U42" i="134"/>
  <c r="V42" i="134"/>
  <c r="W42" i="134"/>
  <c r="X42" i="134"/>
  <c r="Y42" i="134"/>
  <c r="Z42" i="134"/>
  <c r="AA42" i="134"/>
  <c r="AB42" i="134"/>
  <c r="AC42" i="134"/>
  <c r="AC12" i="134"/>
  <c r="AC19" i="134"/>
  <c r="O20" i="134"/>
  <c r="P20" i="134"/>
  <c r="Q20" i="134"/>
  <c r="R20" i="134"/>
  <c r="S20" i="134"/>
  <c r="T20" i="134"/>
  <c r="U20" i="134"/>
  <c r="V20" i="134"/>
  <c r="W20" i="134"/>
  <c r="X20" i="134"/>
  <c r="Y20" i="134"/>
  <c r="Z20" i="134"/>
  <c r="R26" i="134"/>
  <c r="S26" i="134"/>
  <c r="T26" i="134"/>
  <c r="U26" i="134"/>
  <c r="V26" i="134"/>
  <c r="W26" i="134"/>
  <c r="X26" i="134"/>
  <c r="Y26" i="134"/>
  <c r="Z26" i="134"/>
  <c r="AA26" i="134"/>
  <c r="AB26" i="134"/>
  <c r="AC26" i="134"/>
  <c r="R28" i="134"/>
  <c r="S28" i="134"/>
  <c r="T28" i="134"/>
  <c r="U28" i="134"/>
  <c r="V28" i="134"/>
  <c r="W28" i="134"/>
  <c r="X28" i="134"/>
  <c r="Y28" i="134"/>
  <c r="Z28" i="134"/>
  <c r="AA28" i="134"/>
  <c r="AB28" i="134"/>
  <c r="AC28" i="134"/>
  <c r="AD16" i="134"/>
  <c r="AD16" i="135"/>
  <c r="AC12" i="135"/>
  <c r="AC19" i="135"/>
  <c r="AE16" i="131"/>
  <c r="AC12" i="131"/>
  <c r="AC19" i="131"/>
  <c r="R27" i="131"/>
  <c r="S27" i="131"/>
  <c r="T27" i="131"/>
  <c r="U27" i="131"/>
  <c r="V27" i="131"/>
  <c r="W27" i="131"/>
  <c r="X27" i="131"/>
  <c r="Y27" i="131"/>
  <c r="Z27" i="131"/>
  <c r="AA27" i="131"/>
  <c r="AB27" i="131"/>
  <c r="AC27" i="131"/>
  <c r="AD16" i="132"/>
  <c r="AC12" i="132"/>
  <c r="AC19" i="132"/>
  <c r="Q27" i="132"/>
  <c r="R27" i="132"/>
  <c r="S27" i="132"/>
  <c r="T27" i="132"/>
  <c r="U27" i="132"/>
  <c r="V27" i="132"/>
  <c r="W27" i="132"/>
  <c r="X27" i="132"/>
  <c r="Y27" i="132"/>
  <c r="Z27" i="132"/>
  <c r="AA27" i="132"/>
  <c r="AB27" i="132"/>
  <c r="AD16" i="136"/>
  <c r="AC12" i="136"/>
  <c r="AC19" i="136"/>
  <c r="AD16" i="133"/>
  <c r="AC19" i="133"/>
  <c r="R27" i="133"/>
  <c r="S27" i="133"/>
  <c r="T27" i="133"/>
  <c r="U27" i="133"/>
  <c r="V27" i="133"/>
  <c r="W27" i="133"/>
  <c r="X27" i="133"/>
  <c r="Y27" i="133"/>
  <c r="Z27" i="133"/>
  <c r="AA27" i="133"/>
  <c r="AB27" i="133"/>
  <c r="AC27" i="133"/>
  <c r="AE16" i="134"/>
  <c r="AE16" i="135"/>
  <c r="AF16" i="131"/>
  <c r="Q27" i="131"/>
  <c r="AE16" i="132"/>
  <c r="AC27" i="132"/>
  <c r="AE16" i="136"/>
  <c r="AE16" i="133"/>
  <c r="AF16" i="134"/>
  <c r="AF16" i="135"/>
  <c r="AG16" i="131"/>
  <c r="AF16" i="132"/>
  <c r="AF16" i="136"/>
  <c r="AF16" i="133"/>
  <c r="AG16" i="134"/>
  <c r="AG16" i="135"/>
  <c r="AH16" i="131"/>
  <c r="AG16" i="132"/>
  <c r="AG16" i="136"/>
  <c r="AG16" i="133"/>
  <c r="AH16" i="134"/>
  <c r="AH16" i="135"/>
  <c r="AI16" i="131"/>
  <c r="AH16" i="132"/>
  <c r="AH16" i="136"/>
  <c r="AH16" i="133"/>
  <c r="AI16" i="134"/>
  <c r="AI16" i="135"/>
  <c r="AJ16" i="131"/>
  <c r="AI16" i="132"/>
  <c r="AI16" i="136"/>
  <c r="AI16" i="133"/>
  <c r="AJ16" i="134"/>
  <c r="AJ16" i="135"/>
  <c r="AK16" i="131"/>
  <c r="AJ16" i="132"/>
  <c r="AJ16" i="136"/>
  <c r="AJ16" i="133"/>
  <c r="AK16" i="134"/>
  <c r="AK16" i="135"/>
  <c r="AL16" i="131"/>
  <c r="AK16" i="132"/>
  <c r="AK16" i="136"/>
  <c r="AK16" i="133"/>
  <c r="AL16" i="134"/>
  <c r="AL16" i="135"/>
  <c r="P6" i="129"/>
  <c r="P7" i="129"/>
  <c r="AR16" i="132" s="1"/>
  <c r="P8" i="129"/>
  <c r="Q8" i="129" s="1"/>
  <c r="R8" i="129" s="1"/>
  <c r="P9" i="129"/>
  <c r="Q9" i="129" s="1"/>
  <c r="R9" i="129" s="1"/>
  <c r="P10" i="129"/>
  <c r="Q10" i="129" s="1"/>
  <c r="R10" i="129" s="1"/>
  <c r="P11" i="129"/>
  <c r="Q11" i="129" s="1"/>
  <c r="R11" i="129" s="1"/>
  <c r="P12" i="129"/>
  <c r="P13" i="129"/>
  <c r="Q13" i="129" s="1"/>
  <c r="R13" i="129" s="1"/>
  <c r="P14" i="129"/>
  <c r="Q14" i="129" s="1"/>
  <c r="R14" i="129" s="1"/>
  <c r="P15" i="129"/>
  <c r="Q15" i="129" s="1"/>
  <c r="P16" i="129"/>
  <c r="P17" i="129"/>
  <c r="P18" i="129"/>
  <c r="Q18" i="129" s="1"/>
  <c r="R18" i="129" s="1"/>
  <c r="P19" i="129"/>
  <c r="Q19" i="129" s="1"/>
  <c r="R19" i="129" s="1"/>
  <c r="P20" i="129"/>
  <c r="P21" i="129"/>
  <c r="Q21" i="129" s="1"/>
  <c r="R21" i="129" s="1"/>
  <c r="P22" i="129"/>
  <c r="Q22" i="129" s="1"/>
  <c r="R22" i="129" s="1"/>
  <c r="P23" i="129"/>
  <c r="Q23" i="129" s="1"/>
  <c r="R23" i="129" s="1"/>
  <c r="P24" i="129"/>
  <c r="P25" i="129"/>
  <c r="Q25" i="129" s="1"/>
  <c r="R25" i="129" s="1"/>
  <c r="P26" i="129"/>
  <c r="Q26" i="129" s="1"/>
  <c r="R26" i="129" s="1"/>
  <c r="P27" i="129"/>
  <c r="Q27" i="129" s="1"/>
  <c r="R27" i="129" s="1"/>
  <c r="P28" i="129"/>
  <c r="P29" i="129"/>
  <c r="P30" i="129"/>
  <c r="Q30" i="129" s="1"/>
  <c r="R30" i="129" s="1"/>
  <c r="P31" i="129"/>
  <c r="Q31" i="129" s="1"/>
  <c r="R31" i="129" s="1"/>
  <c r="P32" i="129"/>
  <c r="Q32" i="129" s="1"/>
  <c r="R32" i="129" s="1"/>
  <c r="P33" i="129"/>
  <c r="Q33" i="129" s="1"/>
  <c r="R33" i="129" s="1"/>
  <c r="P34" i="129"/>
  <c r="Q34" i="129" s="1"/>
  <c r="R34" i="129" s="1"/>
  <c r="P35" i="129"/>
  <c r="Q35" i="129" s="1"/>
  <c r="R35" i="129" s="1"/>
  <c r="P36" i="129"/>
  <c r="P37" i="129"/>
  <c r="Q37" i="129" s="1"/>
  <c r="R37" i="129" s="1"/>
  <c r="P38" i="129"/>
  <c r="Q38" i="129" s="1"/>
  <c r="R38" i="129" s="1"/>
  <c r="P39" i="129"/>
  <c r="Q39" i="129" s="1"/>
  <c r="R39" i="129" s="1"/>
  <c r="P40" i="129"/>
  <c r="Q40" i="129" s="1"/>
  <c r="R40" i="129" s="1"/>
  <c r="P41" i="129"/>
  <c r="P42" i="129"/>
  <c r="Q42" i="129" s="1"/>
  <c r="R42" i="129" s="1"/>
  <c r="P43" i="129"/>
  <c r="P44" i="129"/>
  <c r="Q44" i="129" s="1"/>
  <c r="R44" i="129" s="1"/>
  <c r="P45" i="129"/>
  <c r="Q45" i="129" s="1"/>
  <c r="R45" i="129" s="1"/>
  <c r="P46" i="129"/>
  <c r="Q46" i="129" s="1"/>
  <c r="R46" i="129" s="1"/>
  <c r="P47" i="129"/>
  <c r="Q47" i="129" s="1"/>
  <c r="R47" i="129" s="1"/>
  <c r="P48" i="129"/>
  <c r="P49" i="129"/>
  <c r="Q49" i="129" s="1"/>
  <c r="R49" i="129" s="1"/>
  <c r="P50" i="129"/>
  <c r="Q50" i="129" s="1"/>
  <c r="R50" i="129" s="1"/>
  <c r="P51" i="129"/>
  <c r="Q51" i="129" s="1"/>
  <c r="R51" i="129" s="1"/>
  <c r="P52" i="129"/>
  <c r="P53" i="129"/>
  <c r="Q53" i="129" s="1"/>
  <c r="R53" i="129" s="1"/>
  <c r="P54" i="129"/>
  <c r="Q54" i="129" s="1"/>
  <c r="R54" i="129" s="1"/>
  <c r="P55" i="129"/>
  <c r="Q55" i="129" s="1"/>
  <c r="R55" i="129" s="1"/>
  <c r="P56" i="129"/>
  <c r="Q56" i="129" s="1"/>
  <c r="R56" i="129" s="1"/>
  <c r="P57" i="129"/>
  <c r="P58" i="129"/>
  <c r="Q58" i="129" s="1"/>
  <c r="R58" i="129" s="1"/>
  <c r="P59" i="129"/>
  <c r="Q59" i="129" s="1"/>
  <c r="P60" i="129"/>
  <c r="P61" i="129"/>
  <c r="Q61" i="129" s="1"/>
  <c r="R61" i="129" s="1"/>
  <c r="P62" i="129"/>
  <c r="Q62" i="129" s="1"/>
  <c r="R62" i="129" s="1"/>
  <c r="P63" i="129"/>
  <c r="Q63" i="129" s="1"/>
  <c r="R63" i="129" s="1"/>
  <c r="P64" i="129"/>
  <c r="Q64" i="129" s="1"/>
  <c r="R64" i="129" s="1"/>
  <c r="P65" i="129"/>
  <c r="Q65" i="129" s="1"/>
  <c r="R65" i="129" s="1"/>
  <c r="P66" i="129"/>
  <c r="Q66" i="129" s="1"/>
  <c r="R66" i="129" s="1"/>
  <c r="P67" i="129"/>
  <c r="Q67" i="129" s="1"/>
  <c r="R67" i="129" s="1"/>
  <c r="P68" i="129"/>
  <c r="Q68" i="129" s="1"/>
  <c r="R68" i="129" s="1"/>
  <c r="P85" i="129"/>
  <c r="Q85" i="129" s="1"/>
  <c r="R85" i="129" s="1"/>
  <c r="P86" i="129"/>
  <c r="Q86" i="129" s="1"/>
  <c r="R86" i="129" s="1"/>
  <c r="AM9" i="131"/>
  <c r="AL16" i="132"/>
  <c r="AL16" i="136"/>
  <c r="AL16" i="133"/>
  <c r="AA18" i="11"/>
  <c r="AC39" i="34" s="1"/>
  <c r="AK9" i="144"/>
  <c r="AL9" i="144"/>
  <c r="AM9" i="144"/>
  <c r="AN9" i="144"/>
  <c r="AO9" i="144"/>
  <c r="AP9" i="144"/>
  <c r="AQ9" i="144"/>
  <c r="AR9" i="144"/>
  <c r="AS9" i="144"/>
  <c r="AT9" i="144"/>
  <c r="AU9" i="144"/>
  <c r="AV9" i="144"/>
  <c r="AW9" i="144"/>
  <c r="AX9" i="144"/>
  <c r="AY9" i="144"/>
  <c r="AZ9" i="144"/>
  <c r="BA9" i="144"/>
  <c r="BB9" i="144"/>
  <c r="BC9" i="144"/>
  <c r="BD9" i="144"/>
  <c r="BE9" i="144"/>
  <c r="BF9" i="144"/>
  <c r="BG9" i="144"/>
  <c r="BH9" i="144"/>
  <c r="BI9" i="144"/>
  <c r="BJ9" i="144"/>
  <c r="BK9" i="144"/>
  <c r="BL9" i="144"/>
  <c r="BM9" i="144"/>
  <c r="BN9" i="144"/>
  <c r="BO9" i="144"/>
  <c r="BP9" i="144"/>
  <c r="BQ9" i="144"/>
  <c r="BR9" i="144"/>
  <c r="BS9" i="144"/>
  <c r="BT9" i="144"/>
  <c r="BU9" i="144"/>
  <c r="BV9" i="144"/>
  <c r="AA9" i="144"/>
  <c r="AB9" i="144"/>
  <c r="AC9" i="144"/>
  <c r="AD9" i="144"/>
  <c r="AE9" i="144"/>
  <c r="AF9" i="144"/>
  <c r="AG9" i="144"/>
  <c r="AH9" i="144"/>
  <c r="AI9" i="144"/>
  <c r="AJ9" i="144"/>
  <c r="D9" i="135"/>
  <c r="E9" i="135"/>
  <c r="F9" i="135"/>
  <c r="G9" i="135"/>
  <c r="H9" i="135"/>
  <c r="I9" i="135"/>
  <c r="J9" i="135"/>
  <c r="K9" i="135"/>
  <c r="L9" i="135"/>
  <c r="M9" i="135"/>
  <c r="N9" i="135"/>
  <c r="O9" i="135"/>
  <c r="P9" i="135"/>
  <c r="Q9" i="135"/>
  <c r="R9" i="135"/>
  <c r="S9" i="135"/>
  <c r="T9" i="135"/>
  <c r="U9" i="135"/>
  <c r="V9" i="135"/>
  <c r="W9" i="135"/>
  <c r="X9" i="135"/>
  <c r="Y9" i="135"/>
  <c r="Z9" i="135"/>
  <c r="AA9" i="135"/>
  <c r="AB9" i="135"/>
  <c r="AC9" i="135"/>
  <c r="AM9" i="135"/>
  <c r="AN9" i="135"/>
  <c r="AO9" i="135"/>
  <c r="AP9" i="135"/>
  <c r="AQ9" i="135"/>
  <c r="AR9" i="135"/>
  <c r="AS9" i="135"/>
  <c r="AT9" i="135"/>
  <c r="AU9" i="135"/>
  <c r="AV9" i="135"/>
  <c r="AW9" i="135"/>
  <c r="AX9" i="135"/>
  <c r="AY9" i="135"/>
  <c r="AZ9" i="135"/>
  <c r="BA9" i="135"/>
  <c r="BB9" i="135"/>
  <c r="BC9" i="135"/>
  <c r="BD9" i="135"/>
  <c r="BE9" i="135"/>
  <c r="BF9" i="135"/>
  <c r="BG9" i="135"/>
  <c r="BH9" i="135"/>
  <c r="BI9" i="135"/>
  <c r="BJ9" i="135"/>
  <c r="BK9" i="135"/>
  <c r="BL9" i="135"/>
  <c r="BM9" i="135"/>
  <c r="BN9" i="135"/>
  <c r="BO9" i="135"/>
  <c r="BP9" i="135"/>
  <c r="BQ9" i="135"/>
  <c r="BR9" i="135"/>
  <c r="BS9" i="135"/>
  <c r="BT9" i="135"/>
  <c r="BU9" i="135"/>
  <c r="BV9" i="135"/>
  <c r="C9" i="135"/>
  <c r="C9" i="136"/>
  <c r="D9" i="136"/>
  <c r="E9" i="136"/>
  <c r="F9" i="136"/>
  <c r="G9" i="136"/>
  <c r="H9" i="136"/>
  <c r="I9" i="136"/>
  <c r="J9" i="136"/>
  <c r="K9" i="136"/>
  <c r="L9" i="136"/>
  <c r="M9" i="136"/>
  <c r="N9" i="136"/>
  <c r="O9" i="136"/>
  <c r="P9" i="136"/>
  <c r="Q9" i="136"/>
  <c r="R9" i="136"/>
  <c r="S9" i="136"/>
  <c r="T9" i="136"/>
  <c r="U9" i="136"/>
  <c r="V9" i="136"/>
  <c r="W9" i="136"/>
  <c r="X9" i="136"/>
  <c r="Y9" i="136"/>
  <c r="Z9" i="136"/>
  <c r="AA9" i="136"/>
  <c r="AB9" i="136"/>
  <c r="AC9" i="136"/>
  <c r="AM9" i="136"/>
  <c r="AN9" i="136"/>
  <c r="AO9" i="136"/>
  <c r="AP9" i="136"/>
  <c r="AQ9" i="136"/>
  <c r="AR9" i="136"/>
  <c r="AS9" i="136"/>
  <c r="AT9" i="136"/>
  <c r="AU9" i="136"/>
  <c r="AV9" i="136"/>
  <c r="AW9" i="136"/>
  <c r="AX9" i="136"/>
  <c r="AY9" i="136"/>
  <c r="AZ9" i="136"/>
  <c r="BA9" i="136"/>
  <c r="BB9" i="136"/>
  <c r="BC9" i="136"/>
  <c r="BD9" i="136"/>
  <c r="BE9" i="136"/>
  <c r="BF9" i="136"/>
  <c r="BG9" i="136"/>
  <c r="BH9" i="136"/>
  <c r="BI9" i="136"/>
  <c r="BJ9" i="136"/>
  <c r="BK9" i="136"/>
  <c r="BL9" i="136"/>
  <c r="BM9" i="136"/>
  <c r="BN9" i="136"/>
  <c r="BO9" i="136"/>
  <c r="BP9" i="136"/>
  <c r="BQ9" i="136"/>
  <c r="BR9" i="136"/>
  <c r="BS9" i="136"/>
  <c r="BT9" i="136"/>
  <c r="BU9" i="136"/>
  <c r="BV9" i="136"/>
  <c r="AM9" i="134"/>
  <c r="AN9" i="134"/>
  <c r="AO9" i="134"/>
  <c r="AP9" i="134"/>
  <c r="AQ9" i="134"/>
  <c r="AR9" i="134"/>
  <c r="AS9" i="134"/>
  <c r="AT9" i="134"/>
  <c r="AU9" i="134"/>
  <c r="AV9" i="134"/>
  <c r="AW9" i="134"/>
  <c r="AX9" i="134"/>
  <c r="AY9" i="134"/>
  <c r="AZ9" i="134"/>
  <c r="BA9" i="134"/>
  <c r="BB9" i="134"/>
  <c r="BC9" i="134"/>
  <c r="BD9" i="134"/>
  <c r="BE9" i="134"/>
  <c r="BF9" i="134"/>
  <c r="BG9" i="134"/>
  <c r="BH9" i="134"/>
  <c r="BI9" i="134"/>
  <c r="BJ9" i="134"/>
  <c r="BK9" i="134"/>
  <c r="BL9" i="134"/>
  <c r="BM9" i="134"/>
  <c r="BN9" i="134"/>
  <c r="BO9" i="134"/>
  <c r="BP9" i="134"/>
  <c r="BQ9" i="134"/>
  <c r="BR9" i="134"/>
  <c r="BS9" i="134"/>
  <c r="BT9" i="134"/>
  <c r="BU9" i="134"/>
  <c r="BV9" i="134"/>
  <c r="C9" i="134"/>
  <c r="D9" i="134"/>
  <c r="E9" i="134"/>
  <c r="F9" i="134"/>
  <c r="G9" i="134"/>
  <c r="H9" i="134"/>
  <c r="I9" i="134"/>
  <c r="J9" i="134"/>
  <c r="K9" i="134"/>
  <c r="L9" i="134"/>
  <c r="M9" i="134"/>
  <c r="N9" i="134"/>
  <c r="O9" i="134"/>
  <c r="P9" i="134"/>
  <c r="Q9" i="134"/>
  <c r="R9" i="134"/>
  <c r="S9" i="134"/>
  <c r="T9" i="134"/>
  <c r="U9" i="134"/>
  <c r="V9" i="134"/>
  <c r="W9" i="134"/>
  <c r="X9" i="134"/>
  <c r="Y9" i="134"/>
  <c r="Z9" i="134"/>
  <c r="AA9" i="134"/>
  <c r="AB9" i="134"/>
  <c r="AC9" i="134"/>
  <c r="C24" i="116"/>
  <c r="D24" i="116"/>
  <c r="E24" i="116"/>
  <c r="F24" i="116"/>
  <c r="S24" i="116"/>
  <c r="R22" i="85"/>
  <c r="G24" i="116"/>
  <c r="H24" i="116"/>
  <c r="I24" i="116"/>
  <c r="K24" i="116"/>
  <c r="T24" i="116"/>
  <c r="S22" i="85"/>
  <c r="J22" i="85"/>
  <c r="D22" i="85"/>
  <c r="E22" i="85"/>
  <c r="F22" i="85"/>
  <c r="G22" i="85"/>
  <c r="H22" i="85"/>
  <c r="I22" i="85"/>
  <c r="C22" i="85"/>
  <c r="Q21" i="85"/>
  <c r="R21" i="85"/>
  <c r="S21" i="85"/>
  <c r="P21" i="85"/>
  <c r="K21" i="85"/>
  <c r="J21" i="85"/>
  <c r="D21" i="85"/>
  <c r="E21" i="85"/>
  <c r="F21" i="85"/>
  <c r="G21" i="85"/>
  <c r="H21" i="85"/>
  <c r="I21" i="85"/>
  <c r="C21" i="85"/>
  <c r="K30" i="116"/>
  <c r="AA8" i="144"/>
  <c r="AB8" i="144"/>
  <c r="AC8" i="144"/>
  <c r="AD8" i="144"/>
  <c r="AD23" i="144" s="1"/>
  <c r="AE8" i="144"/>
  <c r="AE23" i="144" s="1"/>
  <c r="AG8" i="144"/>
  <c r="AG23" i="144" s="1"/>
  <c r="AH8" i="144"/>
  <c r="AH23" i="144" s="1"/>
  <c r="AI8" i="144"/>
  <c r="AI22" i="144" s="1"/>
  <c r="AJ8" i="144"/>
  <c r="AJ22" i="144" s="1"/>
  <c r="AK8" i="144"/>
  <c r="AK23" i="144" s="1"/>
  <c r="AL8" i="144"/>
  <c r="AM8" i="144"/>
  <c r="AM22" i="144" s="1"/>
  <c r="AN8" i="144"/>
  <c r="AN23" i="144" s="1"/>
  <c r="AO8" i="144"/>
  <c r="AO22" i="144" s="1"/>
  <c r="AP8" i="144"/>
  <c r="AP23" i="144" s="1"/>
  <c r="AQ8" i="144"/>
  <c r="AQ22" i="144" s="1"/>
  <c r="AR8" i="144"/>
  <c r="AR22" i="144" s="1"/>
  <c r="AS8" i="144"/>
  <c r="AS23" i="144" s="1"/>
  <c r="AT8" i="144"/>
  <c r="AU8" i="144"/>
  <c r="AU23" i="144" s="1"/>
  <c r="AV8" i="144"/>
  <c r="AV23" i="144" s="1"/>
  <c r="AW8" i="144"/>
  <c r="AW23" i="144" s="1"/>
  <c r="AX8" i="144"/>
  <c r="AX23" i="144" s="1"/>
  <c r="AY8" i="144"/>
  <c r="AY22" i="144" s="1"/>
  <c r="AZ8" i="144"/>
  <c r="AZ22" i="144" s="1"/>
  <c r="BA8" i="144"/>
  <c r="BA23" i="144" s="1"/>
  <c r="BB8" i="144"/>
  <c r="BC8" i="144"/>
  <c r="BC23" i="144" s="1"/>
  <c r="BD8" i="144"/>
  <c r="BD23" i="144" s="1"/>
  <c r="BE8" i="144"/>
  <c r="BE23" i="144" s="1"/>
  <c r="BF8" i="144"/>
  <c r="BF23" i="144" s="1"/>
  <c r="BG8" i="144"/>
  <c r="BG22" i="144" s="1"/>
  <c r="BH8" i="144"/>
  <c r="BH23" i="144" s="1"/>
  <c r="BI8" i="144"/>
  <c r="BI23" i="144" s="1"/>
  <c r="BJ8" i="144"/>
  <c r="BK8" i="144"/>
  <c r="BK23" i="144" s="1"/>
  <c r="BL8" i="144"/>
  <c r="BL23" i="144" s="1"/>
  <c r="BM8" i="144"/>
  <c r="BM23" i="144" s="1"/>
  <c r="BN8" i="144"/>
  <c r="BN23" i="144" s="1"/>
  <c r="BO8" i="144"/>
  <c r="BO23" i="144" s="1"/>
  <c r="BP8" i="144"/>
  <c r="BP23" i="144" s="1"/>
  <c r="BQ8" i="144"/>
  <c r="BQ23" i="144" s="1"/>
  <c r="BR8" i="144"/>
  <c r="BS8" i="144"/>
  <c r="BS23" i="144" s="1"/>
  <c r="BT8" i="144"/>
  <c r="BT22" i="144" s="1"/>
  <c r="BU8" i="144"/>
  <c r="BU23" i="144" s="1"/>
  <c r="BV8" i="144"/>
  <c r="BV23" i="144" s="1"/>
  <c r="AF8" i="144"/>
  <c r="AF23" i="144" s="1"/>
  <c r="AE8" i="135"/>
  <c r="AE22" i="135" s="1"/>
  <c r="AF8" i="135"/>
  <c r="AF23" i="135" s="1"/>
  <c r="AG8" i="135"/>
  <c r="AG22" i="135" s="1"/>
  <c r="AH8" i="135"/>
  <c r="AH22" i="135" s="1"/>
  <c r="AI8" i="135"/>
  <c r="AI22" i="135" s="1"/>
  <c r="AJ8" i="135"/>
  <c r="AJ22" i="135" s="1"/>
  <c r="AK8" i="135"/>
  <c r="AK22" i="135" s="1"/>
  <c r="AL8" i="135"/>
  <c r="AL23" i="135" s="1"/>
  <c r="AM8" i="135"/>
  <c r="AM23" i="135" s="1"/>
  <c r="AN8" i="135"/>
  <c r="AN22" i="135" s="1"/>
  <c r="AO8" i="135"/>
  <c r="AO22" i="135" s="1"/>
  <c r="AP8" i="135"/>
  <c r="AP22" i="135" s="1"/>
  <c r="AQ8" i="135"/>
  <c r="AQ22" i="135" s="1"/>
  <c r="AR8" i="135"/>
  <c r="AR22" i="135" s="1"/>
  <c r="AS8" i="135"/>
  <c r="AS23" i="135" s="1"/>
  <c r="AT8" i="135"/>
  <c r="AT22" i="135" s="1"/>
  <c r="AU8" i="135"/>
  <c r="AU23" i="135" s="1"/>
  <c r="AV8" i="135"/>
  <c r="AV22" i="135" s="1"/>
  <c r="AW8" i="135"/>
  <c r="AW22" i="135" s="1"/>
  <c r="AX8" i="135"/>
  <c r="AX23" i="135" s="1"/>
  <c r="AY8" i="135"/>
  <c r="AY22" i="135" s="1"/>
  <c r="AZ8" i="135"/>
  <c r="AZ22" i="135" s="1"/>
  <c r="BA8" i="135"/>
  <c r="BA22" i="135" s="1"/>
  <c r="BB8" i="135"/>
  <c r="BB23" i="135" s="1"/>
  <c r="BC8" i="135"/>
  <c r="BC23" i="135" s="1"/>
  <c r="BD8" i="135"/>
  <c r="BD22" i="135" s="1"/>
  <c r="BE8" i="135"/>
  <c r="BE22" i="135" s="1"/>
  <c r="BF8" i="135"/>
  <c r="BF22" i="135" s="1"/>
  <c r="BG8" i="135"/>
  <c r="BG22" i="135" s="1"/>
  <c r="BH8" i="135"/>
  <c r="BH22" i="135" s="1"/>
  <c r="BI8" i="135"/>
  <c r="BI23" i="135" s="1"/>
  <c r="BJ8" i="135"/>
  <c r="BJ22" i="135" s="1"/>
  <c r="BK8" i="135"/>
  <c r="BK22" i="135" s="1"/>
  <c r="BL8" i="135"/>
  <c r="BL22" i="135" s="1"/>
  <c r="BM8" i="135"/>
  <c r="BM22" i="135" s="1"/>
  <c r="BN8" i="135"/>
  <c r="BN23" i="135" s="1"/>
  <c r="BO8" i="135"/>
  <c r="BO22" i="135" s="1"/>
  <c r="BP8" i="135"/>
  <c r="BP22" i="135" s="1"/>
  <c r="BQ8" i="135"/>
  <c r="BQ22" i="135" s="1"/>
  <c r="BR8" i="135"/>
  <c r="BR23" i="135" s="1"/>
  <c r="BS8" i="135"/>
  <c r="BS22" i="135" s="1"/>
  <c r="BT8" i="135"/>
  <c r="BT22" i="135" s="1"/>
  <c r="BU8" i="135"/>
  <c r="BU22" i="135" s="1"/>
  <c r="BV8" i="135"/>
  <c r="BV22" i="135" s="1"/>
  <c r="C8" i="135"/>
  <c r="D8" i="135"/>
  <c r="E8" i="135"/>
  <c r="F8" i="135"/>
  <c r="G8" i="135"/>
  <c r="H8" i="135"/>
  <c r="I8" i="135"/>
  <c r="J8" i="135"/>
  <c r="K8" i="135"/>
  <c r="L8" i="135"/>
  <c r="M8" i="135"/>
  <c r="N8" i="135"/>
  <c r="O8" i="135"/>
  <c r="P8" i="135"/>
  <c r="Q8" i="135"/>
  <c r="R8" i="135"/>
  <c r="S8" i="135"/>
  <c r="T8" i="135"/>
  <c r="U8" i="135"/>
  <c r="V8" i="135"/>
  <c r="W8" i="135"/>
  <c r="X8" i="135"/>
  <c r="Y8" i="135"/>
  <c r="Z8" i="135"/>
  <c r="AA8" i="135"/>
  <c r="AB8" i="135"/>
  <c r="AC8" i="135"/>
  <c r="AD8" i="135"/>
  <c r="AD22" i="135" s="1"/>
  <c r="AE8" i="136"/>
  <c r="AE23" i="136" s="1"/>
  <c r="AF8" i="136"/>
  <c r="AF22" i="136" s="1"/>
  <c r="AG8" i="136"/>
  <c r="AG22" i="136" s="1"/>
  <c r="AH8" i="136"/>
  <c r="AH22" i="136" s="1"/>
  <c r="AI8" i="136"/>
  <c r="AI22" i="136" s="1"/>
  <c r="AJ8" i="136"/>
  <c r="AJ22" i="136" s="1"/>
  <c r="AK8" i="136"/>
  <c r="AK22" i="136" s="1"/>
  <c r="AL8" i="136"/>
  <c r="AL23" i="136" s="1"/>
  <c r="AM8" i="136"/>
  <c r="AM23" i="136" s="1"/>
  <c r="AN8" i="136"/>
  <c r="AN22" i="136" s="1"/>
  <c r="AO8" i="136"/>
  <c r="AO22" i="136" s="1"/>
  <c r="AP8" i="136"/>
  <c r="AP22" i="136" s="1"/>
  <c r="AQ8" i="136"/>
  <c r="AQ22" i="136" s="1"/>
  <c r="AR8" i="136"/>
  <c r="AR22" i="136" s="1"/>
  <c r="AS8" i="136"/>
  <c r="AS23" i="136" s="1"/>
  <c r="AT8" i="136"/>
  <c r="AT23" i="136" s="1"/>
  <c r="AU8" i="136"/>
  <c r="AU23" i="136" s="1"/>
  <c r="AV8" i="136"/>
  <c r="AV22" i="136" s="1"/>
  <c r="AW8" i="136"/>
  <c r="AW22" i="136" s="1"/>
  <c r="AX8" i="136"/>
  <c r="AX22" i="136" s="1"/>
  <c r="AY8" i="136"/>
  <c r="AY22" i="136" s="1"/>
  <c r="AZ8" i="136"/>
  <c r="AZ22" i="136" s="1"/>
  <c r="BA8" i="136"/>
  <c r="BA22" i="136" s="1"/>
  <c r="BB8" i="136"/>
  <c r="BB23" i="136" s="1"/>
  <c r="BC8" i="136"/>
  <c r="BC23" i="136" s="1"/>
  <c r="BD8" i="136"/>
  <c r="BD22" i="136" s="1"/>
  <c r="BE8" i="136"/>
  <c r="BE22" i="136" s="1"/>
  <c r="BF8" i="136"/>
  <c r="BF22" i="136" s="1"/>
  <c r="BG8" i="136"/>
  <c r="BG22" i="136" s="1"/>
  <c r="BH8" i="136"/>
  <c r="BH22" i="136" s="1"/>
  <c r="BI8" i="136"/>
  <c r="BI23" i="136" s="1"/>
  <c r="BJ8" i="136"/>
  <c r="BJ23" i="136" s="1"/>
  <c r="BK8" i="136"/>
  <c r="BK22" i="136" s="1"/>
  <c r="BL8" i="136"/>
  <c r="BL22" i="136" s="1"/>
  <c r="BM8" i="136"/>
  <c r="BM22" i="136" s="1"/>
  <c r="BN8" i="136"/>
  <c r="BN22" i="136" s="1"/>
  <c r="BO8" i="136"/>
  <c r="BO23" i="136" s="1"/>
  <c r="BP8" i="136"/>
  <c r="BP22" i="136" s="1"/>
  <c r="BQ8" i="136"/>
  <c r="BQ22" i="136" s="1"/>
  <c r="BR8" i="136"/>
  <c r="BR23" i="136" s="1"/>
  <c r="BS8" i="136"/>
  <c r="BS22" i="136" s="1"/>
  <c r="BT8" i="136"/>
  <c r="BT22" i="136" s="1"/>
  <c r="BU8" i="136"/>
  <c r="BU22" i="136" s="1"/>
  <c r="BV8" i="136"/>
  <c r="BV22" i="136" s="1"/>
  <c r="C8" i="136"/>
  <c r="D8" i="136"/>
  <c r="E8" i="136"/>
  <c r="F8" i="136"/>
  <c r="G8" i="136"/>
  <c r="H8" i="136"/>
  <c r="I8" i="136"/>
  <c r="J8" i="136"/>
  <c r="K8" i="136"/>
  <c r="L8" i="136"/>
  <c r="M8" i="136"/>
  <c r="N8" i="136"/>
  <c r="O8" i="136"/>
  <c r="P8" i="136"/>
  <c r="Q8" i="136"/>
  <c r="R8" i="136"/>
  <c r="S8" i="136"/>
  <c r="T8" i="136"/>
  <c r="U8" i="136"/>
  <c r="V8" i="136"/>
  <c r="W8" i="136"/>
  <c r="X8" i="136"/>
  <c r="Y8" i="136"/>
  <c r="Z8" i="136"/>
  <c r="AA8" i="136"/>
  <c r="AB8" i="136"/>
  <c r="AC8" i="136"/>
  <c r="AD8" i="136"/>
  <c r="AD23" i="136" s="1"/>
  <c r="AE8" i="134"/>
  <c r="AE22" i="134" s="1"/>
  <c r="AF8" i="134"/>
  <c r="AF22" i="134" s="1"/>
  <c r="AG8" i="134"/>
  <c r="AG22" i="134" s="1"/>
  <c r="AH8" i="134"/>
  <c r="AH23" i="134" s="1"/>
  <c r="AI8" i="134"/>
  <c r="AI23" i="134" s="1"/>
  <c r="AJ8" i="134"/>
  <c r="AJ22" i="134" s="1"/>
  <c r="AK8" i="134"/>
  <c r="AK23" i="134" s="1"/>
  <c r="AL8" i="134"/>
  <c r="AL22" i="134" s="1"/>
  <c r="AM8" i="134"/>
  <c r="AM23" i="134" s="1"/>
  <c r="AN8" i="134"/>
  <c r="AN22" i="134" s="1"/>
  <c r="AO8" i="134"/>
  <c r="AO23" i="134" s="1"/>
  <c r="AP8" i="134"/>
  <c r="AP22" i="134" s="1"/>
  <c r="AQ8" i="134"/>
  <c r="AQ22" i="134" s="1"/>
  <c r="AR8" i="134"/>
  <c r="AR23" i="134" s="1"/>
  <c r="AS8" i="134"/>
  <c r="AS22" i="134" s="1"/>
  <c r="AT8" i="134"/>
  <c r="AT23" i="134" s="1"/>
  <c r="AU8" i="134"/>
  <c r="AU22" i="134" s="1"/>
  <c r="AV8" i="134"/>
  <c r="AV22" i="134" s="1"/>
  <c r="AW8" i="134"/>
  <c r="AW22" i="134" s="1"/>
  <c r="AX8" i="134"/>
  <c r="AX23" i="134" s="1"/>
  <c r="AY8" i="134"/>
  <c r="AY22" i="134" s="1"/>
  <c r="AZ8" i="134"/>
  <c r="AZ23" i="134" s="1"/>
  <c r="BA8" i="134"/>
  <c r="BA23" i="134" s="1"/>
  <c r="BB8" i="134"/>
  <c r="BB22" i="134" s="1"/>
  <c r="BC8" i="134"/>
  <c r="BC23" i="134" s="1"/>
  <c r="BD8" i="134"/>
  <c r="BD23" i="134" s="1"/>
  <c r="BE8" i="134"/>
  <c r="BE22" i="134" s="1"/>
  <c r="BF8" i="134"/>
  <c r="BF22" i="134" s="1"/>
  <c r="BG8" i="134"/>
  <c r="BG22" i="134" s="1"/>
  <c r="BH8" i="134"/>
  <c r="BH22" i="134" s="1"/>
  <c r="BI8" i="134"/>
  <c r="BI23" i="134" s="1"/>
  <c r="BJ8" i="134"/>
  <c r="BJ23" i="134" s="1"/>
  <c r="BK8" i="134"/>
  <c r="BK22" i="134" s="1"/>
  <c r="BL8" i="134"/>
  <c r="BL22" i="134" s="1"/>
  <c r="BM8" i="134"/>
  <c r="BM22" i="134" s="1"/>
  <c r="BN8" i="134"/>
  <c r="BN23" i="134" s="1"/>
  <c r="BO8" i="134"/>
  <c r="BO22" i="134" s="1"/>
  <c r="BP8" i="134"/>
  <c r="BP22" i="134" s="1"/>
  <c r="BQ8" i="134"/>
  <c r="BQ23" i="134" s="1"/>
  <c r="BR8" i="134"/>
  <c r="BR22" i="134" s="1"/>
  <c r="BS8" i="134"/>
  <c r="BS23" i="134" s="1"/>
  <c r="BT8" i="134"/>
  <c r="BT22" i="134" s="1"/>
  <c r="BU8" i="134"/>
  <c r="BU22" i="134" s="1"/>
  <c r="BV8" i="134"/>
  <c r="BV22" i="134" s="1"/>
  <c r="C8" i="134"/>
  <c r="D8" i="134"/>
  <c r="E8" i="134"/>
  <c r="F8" i="134"/>
  <c r="G8" i="134"/>
  <c r="H8" i="134"/>
  <c r="I8" i="134"/>
  <c r="J8" i="134"/>
  <c r="K8" i="134"/>
  <c r="L8" i="134"/>
  <c r="M8" i="134"/>
  <c r="N8" i="134"/>
  <c r="O8" i="134"/>
  <c r="P8" i="134"/>
  <c r="Q8" i="134"/>
  <c r="R8" i="134"/>
  <c r="S8" i="134"/>
  <c r="T8" i="134"/>
  <c r="U8" i="134"/>
  <c r="V8" i="134"/>
  <c r="W8" i="134"/>
  <c r="X8" i="134"/>
  <c r="Y8" i="134"/>
  <c r="Z8" i="134"/>
  <c r="AA8" i="134"/>
  <c r="AB8" i="134"/>
  <c r="AC8" i="134"/>
  <c r="AD8" i="134"/>
  <c r="AD22" i="134" s="1"/>
  <c r="AD4" i="134"/>
  <c r="AC4" i="134"/>
  <c r="Z68" i="109"/>
  <c r="AA68" i="109"/>
  <c r="AB68" i="109"/>
  <c r="Z69" i="115"/>
  <c r="AA69" i="115"/>
  <c r="AB69" i="115"/>
  <c r="Z69" i="125"/>
  <c r="AA69" i="125"/>
  <c r="AB69" i="125"/>
  <c r="AC4" i="132"/>
  <c r="AB4" i="132"/>
  <c r="N85" i="129"/>
  <c r="H11" i="85"/>
  <c r="I11" i="85"/>
  <c r="J11" i="85"/>
  <c r="G11" i="85"/>
  <c r="P19" i="130"/>
  <c r="Q19" i="130" s="1"/>
  <c r="R19" i="130" s="1"/>
  <c r="P20" i="130"/>
  <c r="Q20" i="130" s="1"/>
  <c r="P21" i="130"/>
  <c r="Q21" i="130" s="1"/>
  <c r="R21" i="130" s="1"/>
  <c r="T5" i="85"/>
  <c r="Q13" i="85"/>
  <c r="P13" i="85"/>
  <c r="S8" i="85"/>
  <c r="R8" i="85"/>
  <c r="AG257" i="123"/>
  <c r="AF257" i="123"/>
  <c r="AE257" i="123"/>
  <c r="AD257" i="123"/>
  <c r="D86" i="129"/>
  <c r="Q79" i="129"/>
  <c r="R79" i="129" s="1"/>
  <c r="Q80" i="129"/>
  <c r="R80" i="129" s="1"/>
  <c r="Q81" i="129"/>
  <c r="R81" i="129" s="1"/>
  <c r="Q82" i="129"/>
  <c r="R82" i="129" s="1"/>
  <c r="Q83" i="129"/>
  <c r="R83" i="129" s="1"/>
  <c r="Q84" i="129"/>
  <c r="R84" i="129" s="1"/>
  <c r="L16" i="116"/>
  <c r="AE23" i="70"/>
  <c r="AE76" i="34"/>
  <c r="AJ127" i="81"/>
  <c r="AJ126" i="81"/>
  <c r="AJ125" i="81"/>
  <c r="AJ108" i="81"/>
  <c r="AJ107" i="81"/>
  <c r="AJ102" i="81"/>
  <c r="AJ101" i="81"/>
  <c r="AJ96" i="81"/>
  <c r="AJ81" i="81"/>
  <c r="AJ74" i="81"/>
  <c r="AJ62" i="81"/>
  <c r="AJ61" i="81"/>
  <c r="AJ37" i="81"/>
  <c r="AJ39" i="81"/>
  <c r="AJ36" i="81"/>
  <c r="AJ34" i="81"/>
  <c r="AJ21" i="81"/>
  <c r="AJ18" i="81"/>
  <c r="AD56" i="140"/>
  <c r="AD54" i="140"/>
  <c r="AD52" i="140"/>
  <c r="AD49" i="140"/>
  <c r="AD43" i="140"/>
  <c r="AD39" i="140"/>
  <c r="AD31" i="140"/>
  <c r="AD25" i="140"/>
  <c r="AE25" i="140"/>
  <c r="AF25" i="140"/>
  <c r="AG25" i="140"/>
  <c r="AH25" i="140"/>
  <c r="AI25" i="140"/>
  <c r="AJ25" i="140"/>
  <c r="AK25" i="140"/>
  <c r="AL25" i="140"/>
  <c r="AM25" i="140"/>
  <c r="AN25" i="140"/>
  <c r="AD17" i="140"/>
  <c r="AE17" i="140"/>
  <c r="AF17" i="140"/>
  <c r="AG17" i="140"/>
  <c r="AH17" i="140"/>
  <c r="AI17" i="140"/>
  <c r="AJ17" i="140"/>
  <c r="AK17" i="140"/>
  <c r="AL17" i="140"/>
  <c r="AM17" i="140"/>
  <c r="AN17" i="140"/>
  <c r="AE11" i="140"/>
  <c r="AF11" i="140"/>
  <c r="AG11" i="140"/>
  <c r="AH11" i="140"/>
  <c r="AI11" i="140"/>
  <c r="AJ11" i="140"/>
  <c r="AK11" i="140"/>
  <c r="AL11" i="140"/>
  <c r="AM11" i="140"/>
  <c r="AN11" i="140"/>
  <c r="AD11" i="140"/>
  <c r="AG1577" i="123"/>
  <c r="AG1568" i="123"/>
  <c r="AG1557" i="123"/>
  <c r="AG1548" i="123"/>
  <c r="AG1538" i="123"/>
  <c r="AG1528" i="123"/>
  <c r="AG1550" i="123" s="1"/>
  <c r="AG1570" i="123" s="1"/>
  <c r="AG1516" i="123"/>
  <c r="AG1508" i="123"/>
  <c r="AG1502" i="123"/>
  <c r="AG1494" i="123"/>
  <c r="AG1480" i="123"/>
  <c r="AG1476" i="123"/>
  <c r="AG1456" i="123"/>
  <c r="AG1441" i="123"/>
  <c r="AG1433" i="123"/>
  <c r="AG1426" i="123"/>
  <c r="AG1422" i="123"/>
  <c r="AG1411" i="123"/>
  <c r="AG1393" i="123"/>
  <c r="AG1382" i="123"/>
  <c r="AG1373" i="123"/>
  <c r="AG1363" i="123"/>
  <c r="AG1375" i="123" s="1"/>
  <c r="AG1353" i="123"/>
  <c r="AG1341" i="123"/>
  <c r="AG1333" i="123"/>
  <c r="AG1327" i="123"/>
  <c r="AG1319" i="123"/>
  <c r="AG1305" i="123"/>
  <c r="AG1301" i="123"/>
  <c r="AG1281" i="123"/>
  <c r="AG1258" i="123"/>
  <c r="AG1266" i="123"/>
  <c r="AG1251" i="123"/>
  <c r="AG1247" i="123"/>
  <c r="AG1395" i="123" s="1"/>
  <c r="AG1236" i="123"/>
  <c r="AG1219" i="123"/>
  <c r="AG1208" i="123"/>
  <c r="AG1199" i="123"/>
  <c r="AG1189" i="123"/>
  <c r="AG1179" i="123"/>
  <c r="AG1201" i="123" s="1"/>
  <c r="AG1167" i="123"/>
  <c r="AG1159" i="123"/>
  <c r="AG1153" i="123"/>
  <c r="AG1145" i="123"/>
  <c r="AG1131" i="123"/>
  <c r="AG1127" i="123"/>
  <c r="AG1221" i="123" s="1"/>
  <c r="AG1107" i="123"/>
  <c r="AG1084" i="123"/>
  <c r="AG1092" i="123" s="1"/>
  <c r="AG1077" i="123"/>
  <c r="AG1073" i="123"/>
  <c r="AG1062" i="123"/>
  <c r="AG1045" i="123"/>
  <c r="AG1034" i="123"/>
  <c r="AG1025" i="123"/>
  <c r="AG1015" i="123"/>
  <c r="AG1005" i="123"/>
  <c r="AG993" i="123"/>
  <c r="AG985" i="123"/>
  <c r="AG979" i="123"/>
  <c r="AG971" i="123"/>
  <c r="AG957" i="123"/>
  <c r="AG953" i="123"/>
  <c r="AG933" i="123"/>
  <c r="AG910" i="123"/>
  <c r="AG918" i="123"/>
  <c r="AG903" i="123"/>
  <c r="AG899" i="123"/>
  <c r="AG1047" i="123" s="1"/>
  <c r="AG888" i="123"/>
  <c r="AG871" i="123"/>
  <c r="AG860" i="123"/>
  <c r="AG851" i="123"/>
  <c r="AG841" i="123"/>
  <c r="AG831" i="123"/>
  <c r="AG853" i="123" s="1"/>
  <c r="AG819" i="123"/>
  <c r="AG811" i="123"/>
  <c r="AG805" i="123"/>
  <c r="AG797" i="123"/>
  <c r="AG783" i="123"/>
  <c r="AG779" i="123"/>
  <c r="AG759" i="123"/>
  <c r="AG736" i="123"/>
  <c r="AG744" i="123" s="1"/>
  <c r="AG873" i="123" s="1"/>
  <c r="AG729" i="123"/>
  <c r="AG725" i="123"/>
  <c r="AG714" i="123"/>
  <c r="AG697" i="123"/>
  <c r="AG686" i="123"/>
  <c r="AG677" i="123"/>
  <c r="AG667" i="123"/>
  <c r="AG679" i="123" s="1"/>
  <c r="AG699" i="123" s="1"/>
  <c r="AG657" i="123"/>
  <c r="AG645" i="123"/>
  <c r="AG637" i="123"/>
  <c r="AG631" i="123"/>
  <c r="AG623" i="123"/>
  <c r="AG609" i="123"/>
  <c r="AG605" i="123"/>
  <c r="AG585" i="123"/>
  <c r="AG562" i="123"/>
  <c r="AG570" i="123"/>
  <c r="AG555" i="123"/>
  <c r="AG551" i="123"/>
  <c r="AG540" i="123"/>
  <c r="AG523" i="123"/>
  <c r="AG512" i="123"/>
  <c r="AG503" i="123"/>
  <c r="AG493" i="123"/>
  <c r="AG483" i="123"/>
  <c r="AG505" i="123" s="1"/>
  <c r="AG471" i="123"/>
  <c r="AG463" i="123"/>
  <c r="AG457" i="123"/>
  <c r="AG449" i="123"/>
  <c r="AG435" i="123"/>
  <c r="AG431" i="123"/>
  <c r="AG411" i="123"/>
  <c r="AG388" i="123"/>
  <c r="AG396" i="123" s="1"/>
  <c r="AG381" i="123"/>
  <c r="AG377" i="123"/>
  <c r="AG366" i="123"/>
  <c r="AG349" i="123"/>
  <c r="AG338" i="123"/>
  <c r="AG329" i="123"/>
  <c r="AG319" i="123"/>
  <c r="AG309" i="123"/>
  <c r="AG331" i="123" s="1"/>
  <c r="AG297" i="123"/>
  <c r="AG289" i="123"/>
  <c r="AG283" i="123"/>
  <c r="AG275" i="123"/>
  <c r="AG261" i="123"/>
  <c r="AG237" i="123"/>
  <c r="AG214" i="123"/>
  <c r="AG222" i="123" s="1"/>
  <c r="AG207" i="123"/>
  <c r="AG351" i="123" s="1"/>
  <c r="AG203" i="123"/>
  <c r="AG192" i="123"/>
  <c r="AG1027" i="123"/>
  <c r="N84" i="129"/>
  <c r="N83" i="129"/>
  <c r="C7" i="145"/>
  <c r="E17" i="107"/>
  <c r="F17" i="107"/>
  <c r="G17" i="107"/>
  <c r="H17" i="107"/>
  <c r="I17" i="107"/>
  <c r="J17" i="107"/>
  <c r="K17" i="107"/>
  <c r="L17" i="107"/>
  <c r="M17" i="107"/>
  <c r="N17" i="107"/>
  <c r="O17" i="107"/>
  <c r="P17" i="107"/>
  <c r="Q17" i="107"/>
  <c r="R17" i="107"/>
  <c r="S17" i="107"/>
  <c r="T17" i="107"/>
  <c r="U17" i="107"/>
  <c r="V17" i="107"/>
  <c r="W17" i="107"/>
  <c r="X17" i="107"/>
  <c r="Y17" i="107"/>
  <c r="Z17" i="107"/>
  <c r="AA17" i="107"/>
  <c r="AB17" i="107"/>
  <c r="AC17" i="107"/>
  <c r="AD17" i="107"/>
  <c r="AE17" i="107"/>
  <c r="AF17" i="107"/>
  <c r="AG17" i="107"/>
  <c r="AH17" i="107"/>
  <c r="AI17" i="107"/>
  <c r="AJ17" i="107"/>
  <c r="AK17" i="107"/>
  <c r="AL17" i="107"/>
  <c r="AM17" i="107"/>
  <c r="AN17" i="107"/>
  <c r="AO17" i="107"/>
  <c r="AP17" i="107"/>
  <c r="AQ17" i="107"/>
  <c r="AR17" i="107"/>
  <c r="AS17" i="107"/>
  <c r="AT17" i="107"/>
  <c r="AU17" i="107"/>
  <c r="AV17" i="107"/>
  <c r="AW17" i="107"/>
  <c r="AX17" i="107"/>
  <c r="AY17" i="107"/>
  <c r="AZ17" i="107"/>
  <c r="BA17" i="107"/>
  <c r="BB17" i="107"/>
  <c r="BC17" i="107"/>
  <c r="BD17" i="107"/>
  <c r="BE17" i="107"/>
  <c r="BF17" i="107"/>
  <c r="BG17" i="107"/>
  <c r="BH17" i="107"/>
  <c r="BI17" i="107"/>
  <c r="BJ17" i="107"/>
  <c r="BK17" i="107"/>
  <c r="D17" i="107"/>
  <c r="AA5" i="132"/>
  <c r="AA8" i="132"/>
  <c r="AA9" i="132"/>
  <c r="AA4" i="136"/>
  <c r="AB49" i="132"/>
  <c r="AB50" i="132"/>
  <c r="AB46" i="132"/>
  <c r="AB48" i="132"/>
  <c r="AB47" i="132"/>
  <c r="AB53" i="132"/>
  <c r="AB54" i="132"/>
  <c r="AB32" i="132"/>
  <c r="AB37" i="132"/>
  <c r="AB41" i="132"/>
  <c r="AB34" i="132"/>
  <c r="AB38" i="132"/>
  <c r="AB40" i="132"/>
  <c r="AB35" i="132"/>
  <c r="AB39" i="132"/>
  <c r="AB36" i="132"/>
  <c r="AF1577" i="123"/>
  <c r="AE1577" i="123"/>
  <c r="AD23" i="70"/>
  <c r="AD76" i="34"/>
  <c r="AI125" i="81"/>
  <c r="AI107" i="81"/>
  <c r="AI101" i="81"/>
  <c r="AI102" i="81"/>
  <c r="AI96" i="81"/>
  <c r="AI81" i="81"/>
  <c r="AI73" i="81"/>
  <c r="AI61" i="81"/>
  <c r="AI34" i="81"/>
  <c r="AI36" i="81"/>
  <c r="AI37" i="81"/>
  <c r="AI21" i="81"/>
  <c r="AI18" i="81"/>
  <c r="AC52" i="140"/>
  <c r="AC49" i="140"/>
  <c r="AC43" i="140"/>
  <c r="AC39" i="140"/>
  <c r="AC54" i="140"/>
  <c r="AC56" i="140"/>
  <c r="AC28" i="140"/>
  <c r="AC25" i="140"/>
  <c r="AC31" i="140"/>
  <c r="AC17" i="140"/>
  <c r="AC11" i="140"/>
  <c r="AF1568" i="123"/>
  <c r="AF1557" i="123"/>
  <c r="AF1548" i="123"/>
  <c r="AF1538" i="123"/>
  <c r="AF1528" i="123"/>
  <c r="AF1550" i="123" s="1"/>
  <c r="AF1570" i="123" s="1"/>
  <c r="AF1516" i="123"/>
  <c r="AF1508" i="123"/>
  <c r="AF1502" i="123"/>
  <c r="AF1494" i="123"/>
  <c r="AF1480" i="123"/>
  <c r="AF1476" i="123"/>
  <c r="AF1456" i="123"/>
  <c r="AF1441" i="123"/>
  <c r="AF1433" i="123"/>
  <c r="AF1426" i="123"/>
  <c r="AF1422" i="123"/>
  <c r="AF1411" i="123"/>
  <c r="AF1393" i="123"/>
  <c r="AF1382" i="123"/>
  <c r="AF1373" i="123"/>
  <c r="AF1363" i="123"/>
  <c r="AF1375" i="123" s="1"/>
  <c r="AF1353" i="123"/>
  <c r="AF1341" i="123"/>
  <c r="AF1333" i="123"/>
  <c r="AF1327" i="123"/>
  <c r="AF1319" i="123"/>
  <c r="AF1305" i="123"/>
  <c r="AF1301" i="123"/>
  <c r="AF1281" i="123"/>
  <c r="AF1258" i="123"/>
  <c r="AF1266" i="123"/>
  <c r="AF1251" i="123"/>
  <c r="AF1247" i="123"/>
  <c r="AF1395" i="123" s="1"/>
  <c r="AF1236" i="123"/>
  <c r="AF1219" i="123"/>
  <c r="AF1208" i="123"/>
  <c r="AF1199" i="123"/>
  <c r="AF1189" i="123"/>
  <c r="AF1179" i="123"/>
  <c r="AF1201" i="123" s="1"/>
  <c r="AF1167" i="123"/>
  <c r="AF1159" i="123"/>
  <c r="AF1153" i="123"/>
  <c r="AF1145" i="123"/>
  <c r="AF1131" i="123"/>
  <c r="AF1127" i="123"/>
  <c r="AF1107" i="123"/>
  <c r="AF1084" i="123"/>
  <c r="AF1092" i="123" s="1"/>
  <c r="AF1221" i="123" s="1"/>
  <c r="AF1077" i="123"/>
  <c r="AF1073" i="123"/>
  <c r="AF1062" i="123"/>
  <c r="AF1045" i="123"/>
  <c r="AF1034" i="123"/>
  <c r="AF1025" i="123"/>
  <c r="AF1015" i="123"/>
  <c r="AF1027" i="123" s="1"/>
  <c r="AF1005" i="123"/>
  <c r="AF993" i="123"/>
  <c r="AF985" i="123"/>
  <c r="AF979" i="123"/>
  <c r="AF971" i="123"/>
  <c r="AF957" i="123"/>
  <c r="AF953" i="123"/>
  <c r="AF933" i="123"/>
  <c r="AF910" i="123"/>
  <c r="AF918" i="123"/>
  <c r="AF903" i="123"/>
  <c r="AF899" i="123"/>
  <c r="AF888" i="123"/>
  <c r="AF871" i="123"/>
  <c r="AF860" i="123"/>
  <c r="AF851" i="123"/>
  <c r="AF841" i="123"/>
  <c r="AF831" i="123"/>
  <c r="AF853" i="123" s="1"/>
  <c r="AF819" i="123"/>
  <c r="AF811" i="123"/>
  <c r="AF805" i="123"/>
  <c r="AF797" i="123"/>
  <c r="AF783" i="123"/>
  <c r="AF779" i="123"/>
  <c r="AF759" i="123"/>
  <c r="AF736" i="123"/>
  <c r="AF744" i="123" s="1"/>
  <c r="AF873" i="123" s="1"/>
  <c r="AF729" i="123"/>
  <c r="AF725" i="123"/>
  <c r="AF714" i="123"/>
  <c r="AF697" i="123"/>
  <c r="AF686" i="123"/>
  <c r="AF677" i="123"/>
  <c r="AF667" i="123"/>
  <c r="AF679" i="123" s="1"/>
  <c r="AF657" i="123"/>
  <c r="AF645" i="123"/>
  <c r="AF637" i="123"/>
  <c r="AF631" i="123"/>
  <c r="AF623" i="123"/>
  <c r="AF609" i="123"/>
  <c r="AF605" i="123"/>
  <c r="AF585" i="123"/>
  <c r="AF562" i="123"/>
  <c r="AF570" i="123"/>
  <c r="AF555" i="123"/>
  <c r="AF551" i="123"/>
  <c r="AF699" i="123" s="1"/>
  <c r="AF540" i="123"/>
  <c r="AF523" i="123"/>
  <c r="AF512" i="123"/>
  <c r="AF503" i="123"/>
  <c r="AF493" i="123"/>
  <c r="AF483" i="123"/>
  <c r="AF471" i="123"/>
  <c r="AF463" i="123"/>
  <c r="AF457" i="123"/>
  <c r="AF449" i="123"/>
  <c r="AF435" i="123"/>
  <c r="AF431" i="123"/>
  <c r="AF411" i="123"/>
  <c r="AF388" i="123"/>
  <c r="AF396" i="123" s="1"/>
  <c r="AF381" i="123"/>
  <c r="AF377" i="123"/>
  <c r="AF366" i="123"/>
  <c r="AF175" i="123"/>
  <c r="AF164" i="123"/>
  <c r="AF155" i="123"/>
  <c r="AF145" i="123"/>
  <c r="AF135" i="123"/>
  <c r="AF123" i="123"/>
  <c r="AF115" i="123"/>
  <c r="AF109" i="123"/>
  <c r="AF101" i="123"/>
  <c r="AF87" i="123"/>
  <c r="AF83" i="123"/>
  <c r="AF63" i="123"/>
  <c r="AF40" i="123"/>
  <c r="AF48" i="123"/>
  <c r="AF33" i="123"/>
  <c r="AF29" i="123"/>
  <c r="AF177" i="123" s="1"/>
  <c r="AF18" i="123"/>
  <c r="AF157" i="123"/>
  <c r="AF351" i="123"/>
  <c r="AI108" i="81"/>
  <c r="AI126" i="81"/>
  <c r="AI127" i="81"/>
  <c r="AI74" i="81"/>
  <c r="AE351" i="123"/>
  <c r="BV9" i="145"/>
  <c r="BU9" i="145"/>
  <c r="BT9" i="145"/>
  <c r="BS9" i="145"/>
  <c r="BR9" i="145"/>
  <c r="BQ9" i="145"/>
  <c r="BP9" i="145"/>
  <c r="BO9" i="145"/>
  <c r="BN9" i="145"/>
  <c r="BM9" i="145"/>
  <c r="BL9" i="145"/>
  <c r="BK9" i="145"/>
  <c r="BJ9" i="145"/>
  <c r="BI9" i="145"/>
  <c r="BH9" i="145"/>
  <c r="BG9" i="145"/>
  <c r="BF9" i="145"/>
  <c r="BE9" i="145"/>
  <c r="BD9" i="145"/>
  <c r="BC9" i="145"/>
  <c r="BB9" i="145"/>
  <c r="BA9" i="145"/>
  <c r="AZ9" i="145"/>
  <c r="AY9" i="145"/>
  <c r="AX9" i="145"/>
  <c r="AW9" i="145"/>
  <c r="AV9" i="145"/>
  <c r="AU9" i="145"/>
  <c r="AT9" i="145"/>
  <c r="AS9" i="145"/>
  <c r="AR9" i="145"/>
  <c r="AQ9" i="145"/>
  <c r="AP9" i="145"/>
  <c r="AO9" i="145"/>
  <c r="AN9" i="145"/>
  <c r="AM9" i="145"/>
  <c r="AL9" i="145"/>
  <c r="AK9" i="145"/>
  <c r="AJ9" i="145"/>
  <c r="AI9" i="145"/>
  <c r="AH9" i="145"/>
  <c r="AG9" i="145"/>
  <c r="AF9" i="145"/>
  <c r="AE9" i="145"/>
  <c r="AD9" i="145"/>
  <c r="AC9" i="145"/>
  <c r="AB9" i="145"/>
  <c r="AA9" i="145"/>
  <c r="Z9" i="145"/>
  <c r="Y9" i="145"/>
  <c r="X9" i="145"/>
  <c r="W9" i="145"/>
  <c r="V9" i="145"/>
  <c r="U9" i="145"/>
  <c r="T9" i="145"/>
  <c r="S9" i="145"/>
  <c r="R9" i="145"/>
  <c r="Q9" i="145"/>
  <c r="P9" i="145"/>
  <c r="O9" i="145"/>
  <c r="N9" i="145"/>
  <c r="M9" i="145"/>
  <c r="L9" i="145"/>
  <c r="K9" i="145"/>
  <c r="J9" i="145"/>
  <c r="I9" i="145"/>
  <c r="H9" i="145"/>
  <c r="G9" i="145"/>
  <c r="F9" i="145"/>
  <c r="E9" i="145"/>
  <c r="D9" i="145"/>
  <c r="C9" i="145"/>
  <c r="BV8" i="145"/>
  <c r="BV23" i="145" s="1"/>
  <c r="BU8" i="145"/>
  <c r="BU22" i="145" s="1"/>
  <c r="BT8" i="145"/>
  <c r="BT22" i="145" s="1"/>
  <c r="BS8" i="145"/>
  <c r="BS23" i="145" s="1"/>
  <c r="BR8" i="145"/>
  <c r="BR22" i="145" s="1"/>
  <c r="BQ8" i="145"/>
  <c r="BQ23" i="145" s="1"/>
  <c r="BP8" i="145"/>
  <c r="BP23" i="145" s="1"/>
  <c r="BO8" i="145"/>
  <c r="BO23" i="145" s="1"/>
  <c r="BN8" i="145"/>
  <c r="BN23" i="145" s="1"/>
  <c r="BM8" i="145"/>
  <c r="BL8" i="145"/>
  <c r="BL23" i="145" s="1"/>
  <c r="BK8" i="145"/>
  <c r="BK22" i="145" s="1"/>
  <c r="BJ8" i="145"/>
  <c r="BJ23" i="145" s="1"/>
  <c r="BI8" i="145"/>
  <c r="BI23" i="145" s="1"/>
  <c r="BH8" i="145"/>
  <c r="BH23" i="145" s="1"/>
  <c r="BG8" i="145"/>
  <c r="BG23" i="145" s="1"/>
  <c r="BF8" i="145"/>
  <c r="BF23" i="145" s="1"/>
  <c r="BE8" i="145"/>
  <c r="BD8" i="145"/>
  <c r="BD22" i="145" s="1"/>
  <c r="BC8" i="145"/>
  <c r="BC22" i="145" s="1"/>
  <c r="BB8" i="145"/>
  <c r="BB23" i="145" s="1"/>
  <c r="BA8" i="145"/>
  <c r="AZ8" i="145"/>
  <c r="AZ23" i="145" s="1"/>
  <c r="AY8" i="145"/>
  <c r="AY23" i="145" s="1"/>
  <c r="AX8" i="145"/>
  <c r="AX22" i="145" s="1"/>
  <c r="AW8" i="145"/>
  <c r="AV8" i="145"/>
  <c r="AV23" i="145" s="1"/>
  <c r="AU8" i="145"/>
  <c r="AU22" i="145" s="1"/>
  <c r="AT8" i="145"/>
  <c r="AT22" i="145" s="1"/>
  <c r="AS8" i="145"/>
  <c r="AR8" i="145"/>
  <c r="AR22" i="145" s="1"/>
  <c r="AQ8" i="145"/>
  <c r="AQ23" i="145" s="1"/>
  <c r="AP8" i="145"/>
  <c r="AP22" i="145" s="1"/>
  <c r="AO8" i="145"/>
  <c r="AO22" i="145" s="1"/>
  <c r="AN8" i="145"/>
  <c r="AN22" i="145" s="1"/>
  <c r="AM8" i="145"/>
  <c r="AM23" i="145" s="1"/>
  <c r="AL8" i="145"/>
  <c r="AL23" i="145" s="1"/>
  <c r="AK8" i="145"/>
  <c r="AJ8" i="145"/>
  <c r="AJ23" i="145" s="1"/>
  <c r="AI8" i="145"/>
  <c r="AI23" i="145" s="1"/>
  <c r="AH8" i="145"/>
  <c r="AH22" i="145" s="1"/>
  <c r="AG8" i="145"/>
  <c r="AF8" i="145"/>
  <c r="AF23" i="145" s="1"/>
  <c r="AE8" i="145"/>
  <c r="AE22" i="145" s="1"/>
  <c r="AD8" i="145"/>
  <c r="AD23" i="145" s="1"/>
  <c r="AC8" i="145"/>
  <c r="AB8" i="145"/>
  <c r="AA8" i="145"/>
  <c r="Z8" i="145"/>
  <c r="Y8" i="145"/>
  <c r="X8" i="145"/>
  <c r="W8" i="145"/>
  <c r="V8" i="145"/>
  <c r="U8" i="145"/>
  <c r="T8" i="145"/>
  <c r="S8" i="145"/>
  <c r="R8" i="145"/>
  <c r="Q8" i="145"/>
  <c r="P8" i="145"/>
  <c r="O8" i="145"/>
  <c r="N8" i="145"/>
  <c r="M8" i="145"/>
  <c r="L8" i="145"/>
  <c r="K8" i="145"/>
  <c r="J8" i="145"/>
  <c r="I8" i="145"/>
  <c r="H8" i="145"/>
  <c r="G8" i="145"/>
  <c r="F8" i="145"/>
  <c r="E8" i="145"/>
  <c r="D8" i="145"/>
  <c r="C8" i="145"/>
  <c r="BV5" i="145"/>
  <c r="BU5" i="145"/>
  <c r="BT5" i="145"/>
  <c r="BS5" i="145"/>
  <c r="BR5" i="145"/>
  <c r="BQ5" i="145"/>
  <c r="BP5" i="145"/>
  <c r="BO5" i="145"/>
  <c r="BN5" i="145"/>
  <c r="BM5" i="145"/>
  <c r="BL5" i="145"/>
  <c r="BK5" i="145"/>
  <c r="BJ5" i="145"/>
  <c r="BI5" i="145"/>
  <c r="BH5" i="145"/>
  <c r="BG5" i="145"/>
  <c r="BF5" i="145"/>
  <c r="BE5" i="145"/>
  <c r="BD5" i="145"/>
  <c r="BC5" i="145"/>
  <c r="BB5" i="145"/>
  <c r="BA5" i="145"/>
  <c r="AZ5" i="145"/>
  <c r="AY5" i="145"/>
  <c r="AX5" i="145"/>
  <c r="AW5" i="145"/>
  <c r="AV5" i="145"/>
  <c r="AU5" i="145"/>
  <c r="AT5" i="145"/>
  <c r="AS5" i="145"/>
  <c r="AR5" i="145"/>
  <c r="AQ5" i="145"/>
  <c r="AP5" i="145"/>
  <c r="AO5" i="145"/>
  <c r="AN5" i="145"/>
  <c r="AM5" i="145"/>
  <c r="AL5" i="145"/>
  <c r="AK5" i="145"/>
  <c r="AJ5" i="145"/>
  <c r="AI5" i="145"/>
  <c r="AH5" i="145"/>
  <c r="AG5" i="145"/>
  <c r="AF5" i="145"/>
  <c r="AE5" i="145"/>
  <c r="AD5" i="145"/>
  <c r="AC5" i="145"/>
  <c r="AB5" i="145"/>
  <c r="AA5" i="145"/>
  <c r="Z5" i="145"/>
  <c r="Y5" i="145"/>
  <c r="X5" i="145"/>
  <c r="W5" i="145"/>
  <c r="V5" i="145"/>
  <c r="U5" i="145"/>
  <c r="T5" i="145"/>
  <c r="S5" i="145"/>
  <c r="R5" i="145"/>
  <c r="Q5" i="145"/>
  <c r="P5" i="145"/>
  <c r="O5" i="145"/>
  <c r="N5" i="145"/>
  <c r="M5" i="145"/>
  <c r="L5" i="145"/>
  <c r="K5" i="145"/>
  <c r="J5" i="145"/>
  <c r="I5" i="145"/>
  <c r="H5" i="145"/>
  <c r="G5" i="145"/>
  <c r="F5" i="145"/>
  <c r="E5" i="145"/>
  <c r="D5" i="145"/>
  <c r="C5" i="145"/>
  <c r="BV4" i="145"/>
  <c r="BV20" i="145"/>
  <c r="BU4" i="145"/>
  <c r="BU20" i="145"/>
  <c r="BT4" i="145"/>
  <c r="BT20" i="145"/>
  <c r="BS4" i="145"/>
  <c r="BS20" i="145"/>
  <c r="BR4" i="145"/>
  <c r="BR20" i="145"/>
  <c r="BQ4" i="145"/>
  <c r="BQ20" i="145"/>
  <c r="BP4" i="145"/>
  <c r="BP20" i="145"/>
  <c r="BO4" i="145"/>
  <c r="BO20" i="145"/>
  <c r="BN4" i="145"/>
  <c r="BN20" i="145"/>
  <c r="BM4" i="145"/>
  <c r="BM20" i="145"/>
  <c r="BL4" i="145"/>
  <c r="BL20" i="145"/>
  <c r="BK4" i="145"/>
  <c r="BK20" i="145"/>
  <c r="BJ4" i="145"/>
  <c r="BJ20" i="145"/>
  <c r="BI4" i="145"/>
  <c r="BI20" i="145"/>
  <c r="BH4" i="145"/>
  <c r="BH20" i="145"/>
  <c r="BG4" i="145"/>
  <c r="BG20" i="145"/>
  <c r="BF4" i="145"/>
  <c r="BF20" i="145"/>
  <c r="BE4" i="145"/>
  <c r="BE20" i="145"/>
  <c r="BD4" i="145"/>
  <c r="BD20" i="145"/>
  <c r="BC4" i="145"/>
  <c r="BC20" i="145"/>
  <c r="BB4" i="145"/>
  <c r="BB20" i="145"/>
  <c r="BA4" i="145"/>
  <c r="BA20" i="145"/>
  <c r="AZ4" i="145"/>
  <c r="AZ20" i="145"/>
  <c r="AY4" i="145"/>
  <c r="AY20" i="145"/>
  <c r="AX4" i="145"/>
  <c r="AX20" i="145"/>
  <c r="AW4" i="145"/>
  <c r="AW20" i="145"/>
  <c r="AV4" i="145"/>
  <c r="AV20" i="145"/>
  <c r="AU4" i="145"/>
  <c r="AU20" i="145"/>
  <c r="AT4" i="145"/>
  <c r="AT20" i="145"/>
  <c r="AS4" i="145"/>
  <c r="AS20" i="145"/>
  <c r="AR4" i="145"/>
  <c r="AR20" i="145"/>
  <c r="AQ4" i="145"/>
  <c r="AQ20" i="145"/>
  <c r="AP4" i="145"/>
  <c r="AP20" i="145"/>
  <c r="AO4" i="145"/>
  <c r="AO20" i="145"/>
  <c r="AN4" i="145"/>
  <c r="AN20" i="145"/>
  <c r="AM4" i="145"/>
  <c r="AM20" i="145"/>
  <c r="AL4" i="145"/>
  <c r="AL20" i="145"/>
  <c r="AK4" i="145"/>
  <c r="AK20" i="145"/>
  <c r="AJ4" i="145"/>
  <c r="AJ20" i="145"/>
  <c r="AI4" i="145"/>
  <c r="AI20" i="145"/>
  <c r="AH4" i="145"/>
  <c r="AG4" i="145"/>
  <c r="AG20" i="145"/>
  <c r="AF4" i="145"/>
  <c r="AE4" i="145"/>
  <c r="AD4" i="145"/>
  <c r="AC4" i="145"/>
  <c r="AB4" i="145"/>
  <c r="AA4" i="145"/>
  <c r="Z4" i="145"/>
  <c r="Z7" i="145"/>
  <c r="Y4" i="145"/>
  <c r="Y7" i="145"/>
  <c r="X4" i="145"/>
  <c r="X7" i="145"/>
  <c r="W4" i="145"/>
  <c r="W7" i="145"/>
  <c r="V4" i="145"/>
  <c r="V7" i="145"/>
  <c r="U4" i="145"/>
  <c r="U7" i="145"/>
  <c r="T4" i="145"/>
  <c r="T7" i="145"/>
  <c r="S4" i="145"/>
  <c r="S7" i="145"/>
  <c r="R4" i="145"/>
  <c r="R7" i="145"/>
  <c r="Q4" i="145"/>
  <c r="Q7" i="145"/>
  <c r="P4" i="145"/>
  <c r="P7" i="145"/>
  <c r="O4" i="145"/>
  <c r="O7" i="145"/>
  <c r="N4" i="145"/>
  <c r="N7" i="145"/>
  <c r="M4" i="145"/>
  <c r="M7" i="145"/>
  <c r="L4" i="145"/>
  <c r="L7" i="145"/>
  <c r="K4" i="145"/>
  <c r="K7" i="145"/>
  <c r="J4" i="145"/>
  <c r="J7" i="145"/>
  <c r="I4" i="145"/>
  <c r="I7" i="145"/>
  <c r="H4" i="145"/>
  <c r="H7" i="145"/>
  <c r="G4" i="145"/>
  <c r="G7" i="145"/>
  <c r="F4" i="145"/>
  <c r="F7" i="145"/>
  <c r="E4" i="145"/>
  <c r="E7" i="145"/>
  <c r="D4" i="145"/>
  <c r="D7" i="145"/>
  <c r="C4" i="145"/>
  <c r="BV5" i="144"/>
  <c r="BU5" i="144"/>
  <c r="BT5" i="144"/>
  <c r="BS5" i="144"/>
  <c r="BR5" i="144"/>
  <c r="BQ5" i="144"/>
  <c r="BP5" i="144"/>
  <c r="BO5" i="144"/>
  <c r="BN5" i="144"/>
  <c r="BM5" i="144"/>
  <c r="BL5" i="144"/>
  <c r="BK5" i="144"/>
  <c r="BJ5" i="144"/>
  <c r="BI5" i="144"/>
  <c r="BH5" i="144"/>
  <c r="BG5" i="144"/>
  <c r="BF5" i="144"/>
  <c r="BE5" i="144"/>
  <c r="BD5" i="144"/>
  <c r="BC5" i="144"/>
  <c r="BB5" i="144"/>
  <c r="BA5" i="144"/>
  <c r="AZ5" i="144"/>
  <c r="AY5" i="144"/>
  <c r="AX5" i="144"/>
  <c r="AW5" i="144"/>
  <c r="AV5" i="144"/>
  <c r="AU5" i="144"/>
  <c r="AT5" i="144"/>
  <c r="AS5" i="144"/>
  <c r="AR5" i="144"/>
  <c r="AQ5" i="144"/>
  <c r="AP5" i="144"/>
  <c r="AO5" i="144"/>
  <c r="AN5" i="144"/>
  <c r="AM5" i="144"/>
  <c r="AL5" i="144"/>
  <c r="AK5" i="144"/>
  <c r="AJ5" i="144"/>
  <c r="AI5" i="144"/>
  <c r="AH5" i="144"/>
  <c r="AG5" i="144"/>
  <c r="AF5" i="144"/>
  <c r="AE5" i="144"/>
  <c r="AD5" i="144"/>
  <c r="AC5" i="144"/>
  <c r="AB5" i="144"/>
  <c r="AA5" i="144"/>
  <c r="BV4" i="144"/>
  <c r="BU4" i="144"/>
  <c r="BT4" i="144"/>
  <c r="BS4" i="144"/>
  <c r="BR4" i="144"/>
  <c r="BQ4" i="144"/>
  <c r="BP4" i="144"/>
  <c r="BO4" i="144"/>
  <c r="BN4" i="144"/>
  <c r="BM4" i="144"/>
  <c r="BL4" i="144"/>
  <c r="BK4" i="144"/>
  <c r="BJ4" i="144"/>
  <c r="BI4" i="144"/>
  <c r="BH4" i="144"/>
  <c r="BG4" i="144"/>
  <c r="BF4" i="144"/>
  <c r="BE4" i="144"/>
  <c r="BD4" i="144"/>
  <c r="BC4" i="144"/>
  <c r="BB4" i="144"/>
  <c r="BA4" i="144"/>
  <c r="AZ4" i="144"/>
  <c r="AY4" i="144"/>
  <c r="AX4" i="144"/>
  <c r="AW4" i="144"/>
  <c r="AV4" i="144"/>
  <c r="AU4" i="144"/>
  <c r="AT4" i="144"/>
  <c r="AS4" i="144"/>
  <c r="AR4" i="144"/>
  <c r="AQ4" i="144"/>
  <c r="AP4" i="144"/>
  <c r="AO4" i="144"/>
  <c r="AN4" i="144"/>
  <c r="AM4" i="144"/>
  <c r="AL4" i="144"/>
  <c r="AK4" i="144"/>
  <c r="AJ4" i="144"/>
  <c r="AI4" i="144"/>
  <c r="AH4" i="144"/>
  <c r="AG4" i="144"/>
  <c r="AF4" i="144"/>
  <c r="AE4" i="144"/>
  <c r="AD4" i="144"/>
  <c r="AC4" i="144"/>
  <c r="AB4" i="144"/>
  <c r="AA4" i="144"/>
  <c r="Z4" i="144"/>
  <c r="Y4" i="144"/>
  <c r="X4" i="144"/>
  <c r="W4" i="144"/>
  <c r="V4" i="144"/>
  <c r="U4" i="144"/>
  <c r="T4" i="144"/>
  <c r="S4" i="144"/>
  <c r="R4" i="144"/>
  <c r="Q4" i="144"/>
  <c r="P4" i="144"/>
  <c r="O4" i="144"/>
  <c r="N4" i="144"/>
  <c r="M4" i="144"/>
  <c r="L4" i="144"/>
  <c r="K4" i="144"/>
  <c r="J4" i="144"/>
  <c r="I4" i="144"/>
  <c r="H4" i="144"/>
  <c r="G4" i="144"/>
  <c r="F4" i="144"/>
  <c r="E4" i="144"/>
  <c r="D4" i="144"/>
  <c r="C4" i="144"/>
  <c r="AB7" i="144"/>
  <c r="AC7" i="144"/>
  <c r="AA7" i="144"/>
  <c r="AA7" i="145"/>
  <c r="AB7" i="145"/>
  <c r="AC24" i="144"/>
  <c r="AC13" i="144"/>
  <c r="AC25" i="144"/>
  <c r="AC41" i="144"/>
  <c r="AC20" i="144"/>
  <c r="AC15" i="144"/>
  <c r="AC23" i="144"/>
  <c r="AC22" i="144"/>
  <c r="AO24" i="144"/>
  <c r="AO20" i="144"/>
  <c r="AO41" i="144"/>
  <c r="AO25" i="144"/>
  <c r="BA24" i="144"/>
  <c r="BA25" i="144"/>
  <c r="BA41" i="144"/>
  <c r="BA20" i="144"/>
  <c r="BI24" i="144"/>
  <c r="BI25" i="144"/>
  <c r="BI41" i="144"/>
  <c r="BI20" i="144"/>
  <c r="M18" i="145"/>
  <c r="M43" i="145"/>
  <c r="M25" i="145"/>
  <c r="M49" i="145"/>
  <c r="M50" i="145"/>
  <c r="M51" i="145"/>
  <c r="M44" i="145"/>
  <c r="M46" i="145"/>
  <c r="M48" i="145"/>
  <c r="M45" i="145"/>
  <c r="M47" i="145"/>
  <c r="Y18" i="145"/>
  <c r="Y43" i="145"/>
  <c r="Y48" i="145"/>
  <c r="Y25" i="145"/>
  <c r="Y49" i="145"/>
  <c r="Y50" i="145"/>
  <c r="Y51" i="145"/>
  <c r="Y45" i="145"/>
  <c r="Y47" i="145"/>
  <c r="Y44" i="145"/>
  <c r="Y46" i="145"/>
  <c r="AD41" i="144"/>
  <c r="AD24" i="144"/>
  <c r="AD25" i="144"/>
  <c r="AD20" i="144"/>
  <c r="AH41" i="144"/>
  <c r="AH24" i="144"/>
  <c r="AH25" i="144"/>
  <c r="AH20" i="144"/>
  <c r="AL41" i="144"/>
  <c r="AL24" i="144"/>
  <c r="AL25" i="144"/>
  <c r="AL20" i="144"/>
  <c r="AP41" i="144"/>
  <c r="AP24" i="144"/>
  <c r="AP20" i="144"/>
  <c r="AP25" i="144"/>
  <c r="AT41" i="144"/>
  <c r="AT24" i="144"/>
  <c r="AT25" i="144"/>
  <c r="AT20" i="144"/>
  <c r="AX41" i="144"/>
  <c r="AX24" i="144"/>
  <c r="AX25" i="144"/>
  <c r="AX20" i="144"/>
  <c r="BB41" i="144"/>
  <c r="BB24" i="144"/>
  <c r="BB25" i="144"/>
  <c r="BB20" i="144"/>
  <c r="BF41" i="144"/>
  <c r="BF24" i="144"/>
  <c r="BF25" i="144"/>
  <c r="BF20" i="144"/>
  <c r="BJ41" i="144"/>
  <c r="BJ24" i="144"/>
  <c r="BJ25" i="144"/>
  <c r="BJ20" i="144"/>
  <c r="BN41" i="144"/>
  <c r="BN24" i="144"/>
  <c r="BN20" i="144"/>
  <c r="BN25" i="144"/>
  <c r="BR41" i="144"/>
  <c r="BR24" i="144"/>
  <c r="BR25" i="144"/>
  <c r="BR20" i="144"/>
  <c r="BV24" i="144"/>
  <c r="BV41" i="144"/>
  <c r="BV25" i="144"/>
  <c r="BV20" i="144"/>
  <c r="F18" i="145"/>
  <c r="F43" i="145"/>
  <c r="F44" i="145"/>
  <c r="F45" i="145"/>
  <c r="F46" i="145"/>
  <c r="F47" i="145"/>
  <c r="F48" i="145"/>
  <c r="F25" i="145"/>
  <c r="F49" i="145"/>
  <c r="F51" i="145"/>
  <c r="F50" i="145"/>
  <c r="J18" i="145"/>
  <c r="J43" i="145"/>
  <c r="J44" i="145"/>
  <c r="J45" i="145"/>
  <c r="J46" i="145"/>
  <c r="J47" i="145"/>
  <c r="J48" i="145"/>
  <c r="J50" i="145"/>
  <c r="J25" i="145"/>
  <c r="J49" i="145"/>
  <c r="J51" i="145"/>
  <c r="N18" i="145"/>
  <c r="N48" i="145"/>
  <c r="N43" i="145"/>
  <c r="N44" i="145"/>
  <c r="N45" i="145"/>
  <c r="N46" i="145"/>
  <c r="N47" i="145"/>
  <c r="N50" i="145"/>
  <c r="N49" i="145"/>
  <c r="N25" i="145"/>
  <c r="N51" i="145"/>
  <c r="R18" i="145"/>
  <c r="R48" i="145"/>
  <c r="R43" i="145"/>
  <c r="R44" i="145"/>
  <c r="R45" i="145"/>
  <c r="R46" i="145"/>
  <c r="R47" i="145"/>
  <c r="R49" i="145"/>
  <c r="R51" i="145"/>
  <c r="R50" i="145"/>
  <c r="R25" i="145"/>
  <c r="V18" i="145"/>
  <c r="V48" i="145"/>
  <c r="V43" i="145"/>
  <c r="V44" i="145"/>
  <c r="V45" i="145"/>
  <c r="V46" i="145"/>
  <c r="V47" i="145"/>
  <c r="V25" i="145"/>
  <c r="V49" i="145"/>
  <c r="V51" i="145"/>
  <c r="V50" i="145"/>
  <c r="Z18" i="145"/>
  <c r="Z48" i="145"/>
  <c r="Z43" i="145"/>
  <c r="Z44" i="145"/>
  <c r="Z45" i="145"/>
  <c r="Z46" i="145"/>
  <c r="Z47" i="145"/>
  <c r="Z50" i="145"/>
  <c r="Z25" i="145"/>
  <c r="Z49" i="145"/>
  <c r="Z51" i="145"/>
  <c r="AD20" i="145"/>
  <c r="AH20" i="145"/>
  <c r="AG24" i="144"/>
  <c r="AG20" i="144"/>
  <c r="AG25" i="144"/>
  <c r="AG41" i="144"/>
  <c r="AS24" i="144"/>
  <c r="AS25" i="144"/>
  <c r="AS41" i="144"/>
  <c r="AS20" i="144"/>
  <c r="BE24" i="144"/>
  <c r="BE20" i="144"/>
  <c r="BE25" i="144"/>
  <c r="BE41" i="144"/>
  <c r="BM24" i="144"/>
  <c r="BM20" i="144"/>
  <c r="BM41" i="144"/>
  <c r="BM25" i="144"/>
  <c r="BU24" i="144"/>
  <c r="BU20" i="144"/>
  <c r="BU25" i="144"/>
  <c r="BU41" i="144"/>
  <c r="I18" i="145"/>
  <c r="I43" i="145"/>
  <c r="I25" i="145"/>
  <c r="I49" i="145"/>
  <c r="I50" i="145"/>
  <c r="I51" i="145"/>
  <c r="I45" i="145"/>
  <c r="I47" i="145"/>
  <c r="I44" i="145"/>
  <c r="I48" i="145"/>
  <c r="I46" i="145"/>
  <c r="U18" i="145"/>
  <c r="U43" i="145"/>
  <c r="U48" i="145"/>
  <c r="U25" i="145"/>
  <c r="U49" i="145"/>
  <c r="U50" i="145"/>
  <c r="U51" i="145"/>
  <c r="U45" i="145"/>
  <c r="U47" i="145"/>
  <c r="U44" i="145"/>
  <c r="U46" i="145"/>
  <c r="AA13" i="144"/>
  <c r="AA15" i="144"/>
  <c r="AA16" i="144"/>
  <c r="AA37" i="144"/>
  <c r="AA33" i="144"/>
  <c r="AA26" i="144"/>
  <c r="AA22" i="144"/>
  <c r="AA12" i="144"/>
  <c r="AA41" i="144"/>
  <c r="AA42" i="144"/>
  <c r="AA36" i="144"/>
  <c r="AA32" i="144"/>
  <c r="AA25" i="144"/>
  <c r="AA21" i="144"/>
  <c r="AA40" i="144"/>
  <c r="AA35" i="144"/>
  <c r="AA28" i="144"/>
  <c r="AA24" i="144"/>
  <c r="AA20" i="144"/>
  <c r="AA34" i="144"/>
  <c r="AA27" i="144"/>
  <c r="AA23" i="144"/>
  <c r="AA38" i="144"/>
  <c r="AI25" i="144"/>
  <c r="AI41" i="144"/>
  <c r="AI24" i="144"/>
  <c r="AI20" i="144"/>
  <c r="AQ25" i="144"/>
  <c r="AQ41" i="144"/>
  <c r="AQ24" i="144"/>
  <c r="AQ20" i="144"/>
  <c r="AU25" i="144"/>
  <c r="AU41" i="144"/>
  <c r="AU20" i="144"/>
  <c r="AU24" i="144"/>
  <c r="AY25" i="144"/>
  <c r="AY41" i="144"/>
  <c r="AY24" i="144"/>
  <c r="AY20" i="144"/>
  <c r="BC25" i="144"/>
  <c r="BC41" i="144"/>
  <c r="BC20" i="144"/>
  <c r="BC24" i="144"/>
  <c r="BG25" i="144"/>
  <c r="BG41" i="144"/>
  <c r="BG24" i="144"/>
  <c r="BG20" i="144"/>
  <c r="BK25" i="144"/>
  <c r="BK41" i="144"/>
  <c r="BK24" i="144"/>
  <c r="BK20" i="144"/>
  <c r="BO25" i="144"/>
  <c r="BO41" i="144"/>
  <c r="BO24" i="144"/>
  <c r="BO20" i="144"/>
  <c r="BS25" i="144"/>
  <c r="BS41" i="144"/>
  <c r="BS20" i="144"/>
  <c r="BS24" i="144"/>
  <c r="C18" i="145"/>
  <c r="C43" i="145"/>
  <c r="C25" i="145"/>
  <c r="C49" i="145"/>
  <c r="C50" i="145"/>
  <c r="C51" i="145"/>
  <c r="C44" i="145"/>
  <c r="C45" i="145"/>
  <c r="C46" i="145"/>
  <c r="C47" i="145"/>
  <c r="C48" i="145"/>
  <c r="G18" i="145"/>
  <c r="G43" i="145"/>
  <c r="G25" i="145"/>
  <c r="G49" i="145"/>
  <c r="G50" i="145"/>
  <c r="G51" i="145"/>
  <c r="G44" i="145"/>
  <c r="G45" i="145"/>
  <c r="G46" i="145"/>
  <c r="G47" i="145"/>
  <c r="G48" i="145"/>
  <c r="K18" i="145"/>
  <c r="K43" i="145"/>
  <c r="K25" i="145"/>
  <c r="K49" i="145"/>
  <c r="K50" i="145"/>
  <c r="K51" i="145"/>
  <c r="K44" i="145"/>
  <c r="K45" i="145"/>
  <c r="K46" i="145"/>
  <c r="K47" i="145"/>
  <c r="K48" i="145"/>
  <c r="O18" i="145"/>
  <c r="O48" i="145"/>
  <c r="O43" i="145"/>
  <c r="O25" i="145"/>
  <c r="AA25" i="145"/>
  <c r="O49" i="145"/>
  <c r="AA49" i="145"/>
  <c r="O50" i="145"/>
  <c r="O51" i="145"/>
  <c r="O44" i="145"/>
  <c r="AA44" i="145"/>
  <c r="O45" i="145"/>
  <c r="O46" i="145"/>
  <c r="O47" i="145"/>
  <c r="S18" i="145"/>
  <c r="S48" i="145"/>
  <c r="S43" i="145"/>
  <c r="S25" i="145"/>
  <c r="S49" i="145"/>
  <c r="S50" i="145"/>
  <c r="S51" i="145"/>
  <c r="S44" i="145"/>
  <c r="S45" i="145"/>
  <c r="S46" i="145"/>
  <c r="S47" i="145"/>
  <c r="W18" i="145"/>
  <c r="W48" i="145"/>
  <c r="W43" i="145"/>
  <c r="W25" i="145"/>
  <c r="W49" i="145"/>
  <c r="W50" i="145"/>
  <c r="W51" i="145"/>
  <c r="W44" i="145"/>
  <c r="W45" i="145"/>
  <c r="W46" i="145"/>
  <c r="W47" i="145"/>
  <c r="AA47" i="145"/>
  <c r="AE20" i="145"/>
  <c r="AK24" i="144"/>
  <c r="AK25" i="144"/>
  <c r="AK41" i="144"/>
  <c r="AK20" i="144"/>
  <c r="AW24" i="144"/>
  <c r="AW41" i="144"/>
  <c r="AW20" i="144"/>
  <c r="AW25" i="144"/>
  <c r="BQ24" i="144"/>
  <c r="BQ25" i="144"/>
  <c r="BQ41" i="144"/>
  <c r="BQ20" i="144"/>
  <c r="E18" i="145"/>
  <c r="E43" i="145"/>
  <c r="E25" i="145"/>
  <c r="E49" i="145"/>
  <c r="E50" i="145"/>
  <c r="E51" i="145"/>
  <c r="E45" i="145"/>
  <c r="E47" i="145"/>
  <c r="E44" i="145"/>
  <c r="E46" i="145"/>
  <c r="E48" i="145"/>
  <c r="Q18" i="145"/>
  <c r="Q43" i="145"/>
  <c r="AA43" i="145"/>
  <c r="Q48" i="145"/>
  <c r="Q25" i="145"/>
  <c r="Q49" i="145"/>
  <c r="Q50" i="145"/>
  <c r="AA50" i="145"/>
  <c r="Q51" i="145"/>
  <c r="Q44" i="145"/>
  <c r="Q46" i="145"/>
  <c r="Q45" i="145"/>
  <c r="AA45" i="145"/>
  <c r="Q47" i="145"/>
  <c r="AC20" i="145"/>
  <c r="AE25" i="144"/>
  <c r="AE41" i="144"/>
  <c r="AE20" i="144"/>
  <c r="AE24" i="144"/>
  <c r="AM25" i="144"/>
  <c r="AM41" i="144"/>
  <c r="AM24" i="144"/>
  <c r="AM20" i="144"/>
  <c r="AB25" i="144"/>
  <c r="AB24" i="144"/>
  <c r="AB15" i="144"/>
  <c r="AB41" i="144"/>
  <c r="AB20" i="144"/>
  <c r="AB27" i="144"/>
  <c r="AB12" i="144"/>
  <c r="AB23" i="144"/>
  <c r="AB13" i="144"/>
  <c r="AB22" i="144"/>
  <c r="AF25" i="144"/>
  <c r="AF20" i="144"/>
  <c r="AF24" i="144"/>
  <c r="AF41" i="144"/>
  <c r="AJ25" i="144"/>
  <c r="AJ41" i="144"/>
  <c r="AJ20" i="144"/>
  <c r="AJ24" i="144"/>
  <c r="AN25" i="144"/>
  <c r="AN12" i="144"/>
  <c r="AO12" i="144" s="1"/>
  <c r="AN20" i="144"/>
  <c r="AN24" i="144"/>
  <c r="AN41" i="144"/>
  <c r="AR25" i="144"/>
  <c r="AR41" i="144"/>
  <c r="AR20" i="144"/>
  <c r="AR24" i="144"/>
  <c r="AV25" i="144"/>
  <c r="AV20" i="144"/>
  <c r="AV24" i="144"/>
  <c r="AV41" i="144"/>
  <c r="AZ25" i="144"/>
  <c r="AZ41" i="144"/>
  <c r="AZ20" i="144"/>
  <c r="AZ24" i="144"/>
  <c r="AZ12" i="144"/>
  <c r="BA12" i="144" s="1"/>
  <c r="BB12" i="144" s="1"/>
  <c r="BD25" i="144"/>
  <c r="BD20" i="144"/>
  <c r="BD24" i="144"/>
  <c r="BD41" i="144"/>
  <c r="BH25" i="144"/>
  <c r="BH41" i="144"/>
  <c r="BH20" i="144"/>
  <c r="BH24" i="144"/>
  <c r="BL12" i="144"/>
  <c r="BM12" i="144" s="1"/>
  <c r="BL25" i="144"/>
  <c r="BL20" i="144"/>
  <c r="BL41" i="144"/>
  <c r="BL24" i="144"/>
  <c r="BP25" i="144"/>
  <c r="BP41" i="144"/>
  <c r="BP20" i="144"/>
  <c r="BP24" i="144"/>
  <c r="BT25" i="144"/>
  <c r="BT20" i="144"/>
  <c r="BT24" i="144"/>
  <c r="BT41" i="144"/>
  <c r="D18" i="145"/>
  <c r="D43" i="145"/>
  <c r="D25" i="145"/>
  <c r="D49" i="145"/>
  <c r="D50" i="145"/>
  <c r="D51" i="145"/>
  <c r="D44" i="145"/>
  <c r="D45" i="145"/>
  <c r="D46" i="145"/>
  <c r="D47" i="145"/>
  <c r="D48" i="145"/>
  <c r="H18" i="145"/>
  <c r="H43" i="145"/>
  <c r="H25" i="145"/>
  <c r="H49" i="145"/>
  <c r="H50" i="145"/>
  <c r="H51" i="145"/>
  <c r="H44" i="145"/>
  <c r="H45" i="145"/>
  <c r="H46" i="145"/>
  <c r="H47" i="145"/>
  <c r="H48" i="145"/>
  <c r="L18" i="145"/>
  <c r="L43" i="145"/>
  <c r="L25" i="145"/>
  <c r="L49" i="145"/>
  <c r="L50" i="145"/>
  <c r="L51" i="145"/>
  <c r="L44" i="145"/>
  <c r="L45" i="145"/>
  <c r="L46" i="145"/>
  <c r="L47" i="145"/>
  <c r="L48" i="145"/>
  <c r="P18" i="145"/>
  <c r="P48" i="145"/>
  <c r="AA48" i="145"/>
  <c r="P25" i="145"/>
  <c r="P49" i="145"/>
  <c r="P50" i="145"/>
  <c r="P51" i="145"/>
  <c r="P43" i="145"/>
  <c r="P44" i="145"/>
  <c r="P45" i="145"/>
  <c r="P46" i="145"/>
  <c r="P47" i="145"/>
  <c r="T18" i="145"/>
  <c r="T48" i="145"/>
  <c r="T25" i="145"/>
  <c r="T49" i="145"/>
  <c r="T50" i="145"/>
  <c r="T51" i="145"/>
  <c r="T44" i="145"/>
  <c r="T45" i="145"/>
  <c r="AD45" i="145" s="1"/>
  <c r="AE45" i="145" s="1"/>
  <c r="T46" i="145"/>
  <c r="T47" i="145"/>
  <c r="T43" i="145"/>
  <c r="X18" i="145"/>
  <c r="X48" i="145"/>
  <c r="X43" i="145"/>
  <c r="X25" i="145"/>
  <c r="X49" i="145"/>
  <c r="X50" i="145"/>
  <c r="X51" i="145"/>
  <c r="X44" i="145"/>
  <c r="X45" i="145"/>
  <c r="X46" i="145"/>
  <c r="X47" i="145"/>
  <c r="AB20" i="145"/>
  <c r="AF20" i="145"/>
  <c r="I15" i="145"/>
  <c r="I13" i="145"/>
  <c r="I12" i="145"/>
  <c r="I20" i="145"/>
  <c r="I24" i="145"/>
  <c r="I16" i="145"/>
  <c r="I21" i="145"/>
  <c r="I22" i="145"/>
  <c r="I26" i="145"/>
  <c r="I23" i="145"/>
  <c r="I32" i="145"/>
  <c r="I36" i="145"/>
  <c r="I40" i="145"/>
  <c r="I33" i="145"/>
  <c r="I37" i="145"/>
  <c r="I41" i="145"/>
  <c r="I27" i="145"/>
  <c r="I34" i="145"/>
  <c r="I38" i="145"/>
  <c r="I42" i="145"/>
  <c r="I19" i="145"/>
  <c r="I39" i="145"/>
  <c r="I28" i="145"/>
  <c r="I35" i="145"/>
  <c r="U15" i="145"/>
  <c r="U13" i="145"/>
  <c r="U12" i="145"/>
  <c r="U16" i="145"/>
  <c r="U20" i="145"/>
  <c r="U24" i="145"/>
  <c r="U21" i="145"/>
  <c r="U22" i="145"/>
  <c r="U26" i="145"/>
  <c r="U32" i="145"/>
  <c r="U36" i="145"/>
  <c r="U40" i="145"/>
  <c r="U33" i="145"/>
  <c r="U37" i="145"/>
  <c r="U41" i="145"/>
  <c r="U19" i="145"/>
  <c r="U27" i="145"/>
  <c r="U34" i="145"/>
  <c r="U38" i="145"/>
  <c r="U42" i="145"/>
  <c r="U28" i="145"/>
  <c r="U35" i="145"/>
  <c r="U39" i="145"/>
  <c r="U23" i="145"/>
  <c r="AC15" i="145"/>
  <c r="AC13" i="145"/>
  <c r="AC12" i="145"/>
  <c r="AC16" i="145"/>
  <c r="AC17" i="145" s="1"/>
  <c r="AC22" i="145"/>
  <c r="AC24" i="145"/>
  <c r="AC23" i="145"/>
  <c r="AK15" i="145"/>
  <c r="AK13" i="145"/>
  <c r="AK12" i="145"/>
  <c r="AK16" i="145"/>
  <c r="AK24" i="145"/>
  <c r="AW15" i="145"/>
  <c r="AW13" i="145"/>
  <c r="AW12" i="145"/>
  <c r="AW24" i="145"/>
  <c r="AW16" i="145"/>
  <c r="BE15" i="145"/>
  <c r="BE13" i="145"/>
  <c r="BE12" i="145"/>
  <c r="BE14" i="145" s="1"/>
  <c r="BE18" i="145" s="1"/>
  <c r="BE16" i="145"/>
  <c r="BE24" i="145"/>
  <c r="BQ15" i="145"/>
  <c r="BQ13" i="145"/>
  <c r="BQ12" i="145"/>
  <c r="BQ16" i="145"/>
  <c r="BQ17" i="145" s="1"/>
  <c r="BQ24" i="145"/>
  <c r="F16" i="145"/>
  <c r="F17" i="145" s="1"/>
  <c r="F15" i="145"/>
  <c r="F13" i="145"/>
  <c r="F19" i="145"/>
  <c r="F23" i="145"/>
  <c r="F20" i="145"/>
  <c r="F24" i="145"/>
  <c r="F12" i="145"/>
  <c r="F21" i="145"/>
  <c r="F28" i="145"/>
  <c r="F35" i="145"/>
  <c r="F39" i="145"/>
  <c r="F22" i="145"/>
  <c r="F32" i="145"/>
  <c r="F36" i="145"/>
  <c r="F40" i="145"/>
  <c r="F26" i="145"/>
  <c r="F33" i="145"/>
  <c r="F37" i="145"/>
  <c r="F41" i="145"/>
  <c r="F38" i="145"/>
  <c r="F42" i="145"/>
  <c r="F27" i="145"/>
  <c r="F34" i="145"/>
  <c r="N16" i="145"/>
  <c r="N17" i="145" s="1"/>
  <c r="N15" i="145"/>
  <c r="N13" i="145"/>
  <c r="N12" i="145"/>
  <c r="N19" i="145"/>
  <c r="N23" i="145"/>
  <c r="N20" i="145"/>
  <c r="N24" i="145"/>
  <c r="N21" i="145"/>
  <c r="N28" i="145"/>
  <c r="N35" i="145"/>
  <c r="N39" i="145"/>
  <c r="N32" i="145"/>
  <c r="N36" i="145"/>
  <c r="N40" i="145"/>
  <c r="N26" i="145"/>
  <c r="N33" i="145"/>
  <c r="N37" i="145"/>
  <c r="N41" i="145"/>
  <c r="N27" i="145"/>
  <c r="N22" i="145"/>
  <c r="N34" i="145"/>
  <c r="N42" i="145"/>
  <c r="N38" i="145"/>
  <c r="V16" i="145"/>
  <c r="V17" i="145" s="1"/>
  <c r="V15" i="145"/>
  <c r="V13" i="145"/>
  <c r="V19" i="145"/>
  <c r="V23" i="145"/>
  <c r="V20" i="145"/>
  <c r="V24" i="145"/>
  <c r="V12" i="145"/>
  <c r="V21" i="145"/>
  <c r="V28" i="145"/>
  <c r="V35" i="145"/>
  <c r="V39" i="145"/>
  <c r="V52" i="145" s="1"/>
  <c r="V22" i="145"/>
  <c r="V32" i="145"/>
  <c r="V36" i="145"/>
  <c r="V40" i="145"/>
  <c r="V26" i="145"/>
  <c r="V33" i="145"/>
  <c r="V37" i="145"/>
  <c r="V41" i="145"/>
  <c r="V38" i="145"/>
  <c r="V34" i="145"/>
  <c r="V42" i="145"/>
  <c r="V27" i="145"/>
  <c r="AD16" i="145"/>
  <c r="AD17" i="145" s="1"/>
  <c r="AD15" i="145"/>
  <c r="AD13" i="145"/>
  <c r="AD12" i="145"/>
  <c r="AD24" i="145"/>
  <c r="AL16" i="145"/>
  <c r="AL15" i="145"/>
  <c r="AL13" i="145"/>
  <c r="AL12" i="145"/>
  <c r="AL24" i="145"/>
  <c r="AT16" i="145"/>
  <c r="AT15" i="145"/>
  <c r="AT13" i="145"/>
  <c r="AT12" i="145"/>
  <c r="AT24" i="145"/>
  <c r="BB16" i="145"/>
  <c r="BB15" i="145"/>
  <c r="BB13" i="145"/>
  <c r="BB12" i="145"/>
  <c r="BB14" i="145" s="1"/>
  <c r="BB24" i="145"/>
  <c r="BJ16" i="145"/>
  <c r="BJ17" i="145" s="1"/>
  <c r="BJ15" i="145"/>
  <c r="BJ13" i="145"/>
  <c r="BJ12" i="145"/>
  <c r="BJ24" i="145"/>
  <c r="BV15" i="145"/>
  <c r="BV13" i="145"/>
  <c r="BV16" i="145"/>
  <c r="BV24" i="145"/>
  <c r="BV12" i="145"/>
  <c r="E15" i="145"/>
  <c r="E13" i="145"/>
  <c r="E12" i="145"/>
  <c r="E14" i="145" s="1"/>
  <c r="E16" i="145"/>
  <c r="E20" i="145"/>
  <c r="E24" i="145"/>
  <c r="E21" i="145"/>
  <c r="E22" i="145"/>
  <c r="E26" i="145"/>
  <c r="E32" i="145"/>
  <c r="E36" i="145"/>
  <c r="E40" i="145"/>
  <c r="E33" i="145"/>
  <c r="E37" i="145"/>
  <c r="E41" i="145"/>
  <c r="E19" i="145"/>
  <c r="E27" i="145"/>
  <c r="E34" i="145"/>
  <c r="E38" i="145"/>
  <c r="E42" i="145"/>
  <c r="E28" i="145"/>
  <c r="E35" i="145"/>
  <c r="E23" i="145"/>
  <c r="E39" i="145"/>
  <c r="Q15" i="145"/>
  <c r="Q13" i="145"/>
  <c r="Q12" i="145"/>
  <c r="Q14" i="145" s="1"/>
  <c r="Q20" i="145"/>
  <c r="Q24" i="145"/>
  <c r="Q21" i="145"/>
  <c r="Q22" i="145"/>
  <c r="Q26" i="145"/>
  <c r="Q32" i="145"/>
  <c r="Q36" i="145"/>
  <c r="Q40" i="145"/>
  <c r="Q16" i="145"/>
  <c r="Q19" i="145"/>
  <c r="Q33" i="145"/>
  <c r="Q37" i="145"/>
  <c r="Q41" i="145"/>
  <c r="Q23" i="145"/>
  <c r="Q27" i="145"/>
  <c r="Q34" i="145"/>
  <c r="Q38" i="145"/>
  <c r="Q42" i="145"/>
  <c r="Q35" i="145"/>
  <c r="Q39" i="145"/>
  <c r="Q28" i="145"/>
  <c r="AS15" i="145"/>
  <c r="AS13" i="145"/>
  <c r="AS12" i="145"/>
  <c r="AS14" i="145" s="1"/>
  <c r="AS16" i="145"/>
  <c r="AS24" i="145"/>
  <c r="J16" i="145"/>
  <c r="J15" i="145"/>
  <c r="J13" i="145"/>
  <c r="J19" i="145"/>
  <c r="J23" i="145"/>
  <c r="J20" i="145"/>
  <c r="J24" i="145"/>
  <c r="J21" i="145"/>
  <c r="J26" i="145"/>
  <c r="J28" i="145"/>
  <c r="J35" i="145"/>
  <c r="J39" i="145"/>
  <c r="J12" i="145"/>
  <c r="J32" i="145"/>
  <c r="J36" i="145"/>
  <c r="J40" i="145"/>
  <c r="J22" i="145"/>
  <c r="J33" i="145"/>
  <c r="J37" i="145"/>
  <c r="J41" i="145"/>
  <c r="J34" i="145"/>
  <c r="J38" i="145"/>
  <c r="J42" i="145"/>
  <c r="J27" i="145"/>
  <c r="R16" i="145"/>
  <c r="R15" i="145"/>
  <c r="R13" i="145"/>
  <c r="R19" i="145"/>
  <c r="R23" i="145"/>
  <c r="R12" i="145"/>
  <c r="R20" i="145"/>
  <c r="R24" i="145"/>
  <c r="R21" i="145"/>
  <c r="R22" i="145"/>
  <c r="R26" i="145"/>
  <c r="R28" i="145"/>
  <c r="R35" i="145"/>
  <c r="R39" i="145"/>
  <c r="R32" i="145"/>
  <c r="R36" i="145"/>
  <c r="R40" i="145"/>
  <c r="R33" i="145"/>
  <c r="R37" i="145"/>
  <c r="R41" i="145"/>
  <c r="R42" i="145"/>
  <c r="R27" i="145"/>
  <c r="R34" i="145"/>
  <c r="R38" i="145"/>
  <c r="Z16" i="145"/>
  <c r="Z15" i="145"/>
  <c r="Z13" i="145"/>
  <c r="Z19" i="145"/>
  <c r="Z23" i="145"/>
  <c r="Z20" i="145"/>
  <c r="Z24" i="145"/>
  <c r="Z21" i="145"/>
  <c r="Z26" i="145"/>
  <c r="Z28" i="145"/>
  <c r="Z35" i="145"/>
  <c r="Z39" i="145"/>
  <c r="Z32" i="145"/>
  <c r="Z36" i="145"/>
  <c r="Z40" i="145"/>
  <c r="Z12" i="145"/>
  <c r="Z14" i="145" s="1"/>
  <c r="Z22" i="145"/>
  <c r="Z33" i="145"/>
  <c r="Z37" i="145"/>
  <c r="Z41" i="145"/>
  <c r="Z34" i="145"/>
  <c r="Z38" i="145"/>
  <c r="Z42" i="145"/>
  <c r="Z27" i="145"/>
  <c r="AH16" i="145"/>
  <c r="AH15" i="145"/>
  <c r="AH13" i="145"/>
  <c r="AH12" i="145"/>
  <c r="AH14" i="145" s="1"/>
  <c r="AH18" i="145" s="1"/>
  <c r="AH24" i="145"/>
  <c r="AP16" i="145"/>
  <c r="AP17" i="145" s="1"/>
  <c r="AP15" i="145"/>
  <c r="AP13" i="145"/>
  <c r="AP24" i="145"/>
  <c r="AP12" i="145"/>
  <c r="AX16" i="145"/>
  <c r="AX15" i="145"/>
  <c r="AX13" i="145"/>
  <c r="AX12" i="145"/>
  <c r="AX24" i="145"/>
  <c r="BF16" i="145"/>
  <c r="BF15" i="145"/>
  <c r="BF13" i="145"/>
  <c r="BF12" i="145"/>
  <c r="BF24" i="145"/>
  <c r="BN16" i="145"/>
  <c r="BN15" i="145"/>
  <c r="BN13" i="145"/>
  <c r="BN12" i="145"/>
  <c r="BN14" i="145" s="1"/>
  <c r="BN24" i="145"/>
  <c r="BR15" i="145"/>
  <c r="BR13" i="145"/>
  <c r="BR12" i="145"/>
  <c r="BR16" i="145"/>
  <c r="BR24" i="145"/>
  <c r="C13" i="145"/>
  <c r="C16" i="145"/>
  <c r="C17" i="145" s="1"/>
  <c r="C22" i="145"/>
  <c r="C26" i="145"/>
  <c r="C12" i="145"/>
  <c r="C19" i="145"/>
  <c r="C23" i="145"/>
  <c r="C20" i="145"/>
  <c r="C24" i="145"/>
  <c r="C34" i="145"/>
  <c r="C38" i="145"/>
  <c r="C42" i="145"/>
  <c r="C27" i="145"/>
  <c r="C28" i="145"/>
  <c r="C35" i="145"/>
  <c r="C39" i="145"/>
  <c r="C15" i="145"/>
  <c r="C21" i="145"/>
  <c r="C32" i="145"/>
  <c r="C36" i="145"/>
  <c r="C40" i="145"/>
  <c r="C33" i="145"/>
  <c r="C37" i="145"/>
  <c r="C41" i="145"/>
  <c r="G12" i="145"/>
  <c r="G16" i="145"/>
  <c r="G17" i="145" s="1"/>
  <c r="G15" i="145"/>
  <c r="G13" i="145"/>
  <c r="G22" i="145"/>
  <c r="G26" i="145"/>
  <c r="G19" i="145"/>
  <c r="G23" i="145"/>
  <c r="G20" i="145"/>
  <c r="G24" i="145"/>
  <c r="G27" i="145"/>
  <c r="G34" i="145"/>
  <c r="G38" i="145"/>
  <c r="G42" i="145"/>
  <c r="G28" i="145"/>
  <c r="G35" i="145"/>
  <c r="G39" i="145"/>
  <c r="G32" i="145"/>
  <c r="G36" i="145"/>
  <c r="G40" i="145"/>
  <c r="G41" i="145"/>
  <c r="G33" i="145"/>
  <c r="G37" i="145"/>
  <c r="G21" i="145"/>
  <c r="K12" i="145"/>
  <c r="K16" i="145"/>
  <c r="K17" i="145" s="1"/>
  <c r="K15" i="145"/>
  <c r="K22" i="145"/>
  <c r="K26" i="145"/>
  <c r="K13" i="145"/>
  <c r="K19" i="145"/>
  <c r="K23" i="145"/>
  <c r="K20" i="145"/>
  <c r="K24" i="145"/>
  <c r="K21" i="145"/>
  <c r="K27" i="145"/>
  <c r="K34" i="145"/>
  <c r="K38" i="145"/>
  <c r="K42" i="145"/>
  <c r="K28" i="145"/>
  <c r="K35" i="145"/>
  <c r="K39" i="145"/>
  <c r="K32" i="145"/>
  <c r="K36" i="145"/>
  <c r="K40" i="145"/>
  <c r="K41" i="145"/>
  <c r="K33" i="145"/>
  <c r="K37" i="145"/>
  <c r="O12" i="145"/>
  <c r="O16" i="145"/>
  <c r="O17" i="145" s="1"/>
  <c r="O15" i="145"/>
  <c r="O22" i="145"/>
  <c r="O26" i="145"/>
  <c r="O19" i="145"/>
  <c r="O23" i="145"/>
  <c r="O13" i="145"/>
  <c r="O20" i="145"/>
  <c r="O24" i="145"/>
  <c r="O27" i="145"/>
  <c r="O34" i="145"/>
  <c r="AA34" i="145"/>
  <c r="O38" i="145"/>
  <c r="AA38" i="145"/>
  <c r="O42" i="145"/>
  <c r="AA42" i="145"/>
  <c r="O21" i="145"/>
  <c r="O28" i="145"/>
  <c r="O35" i="145"/>
  <c r="O39" i="145"/>
  <c r="O32" i="145"/>
  <c r="O36" i="145"/>
  <c r="O40" i="145"/>
  <c r="O37" i="145"/>
  <c r="AA37" i="145"/>
  <c r="O41" i="145"/>
  <c r="O33" i="145"/>
  <c r="S12" i="145"/>
  <c r="S16" i="145"/>
  <c r="S17" i="145" s="1"/>
  <c r="S15" i="145"/>
  <c r="S22" i="145"/>
  <c r="S26" i="145"/>
  <c r="S19" i="145"/>
  <c r="S23" i="145"/>
  <c r="S20" i="145"/>
  <c r="AA20" i="145"/>
  <c r="S24" i="145"/>
  <c r="S27" i="145"/>
  <c r="S34" i="145"/>
  <c r="S38" i="145"/>
  <c r="S42" i="145"/>
  <c r="S28" i="145"/>
  <c r="S35" i="145"/>
  <c r="S39" i="145"/>
  <c r="S13" i="145"/>
  <c r="S21" i="145"/>
  <c r="S32" i="145"/>
  <c r="S36" i="145"/>
  <c r="S40" i="145"/>
  <c r="S33" i="145"/>
  <c r="S37" i="145"/>
  <c r="S41" i="145"/>
  <c r="W12" i="145"/>
  <c r="W14" i="145" s="1"/>
  <c r="W16" i="145"/>
  <c r="W15" i="145"/>
  <c r="W13" i="145"/>
  <c r="W22" i="145"/>
  <c r="W26" i="145"/>
  <c r="W19" i="145"/>
  <c r="W23" i="145"/>
  <c r="W20" i="145"/>
  <c r="W24" i="145"/>
  <c r="W27" i="145"/>
  <c r="W34" i="145"/>
  <c r="W38" i="145"/>
  <c r="W42" i="145"/>
  <c r="W28" i="145"/>
  <c r="W35" i="145"/>
  <c r="W39" i="145"/>
  <c r="W32" i="145"/>
  <c r="W36" i="145"/>
  <c r="W40" i="145"/>
  <c r="W21" i="145"/>
  <c r="W33" i="145"/>
  <c r="W37" i="145"/>
  <c r="W41" i="145"/>
  <c r="AA12" i="145"/>
  <c r="AA14" i="145" s="1"/>
  <c r="AA16" i="145"/>
  <c r="AA15" i="145"/>
  <c r="AA22" i="145"/>
  <c r="AA13" i="145"/>
  <c r="AA23" i="145"/>
  <c r="AA24" i="145"/>
  <c r="AE12" i="145"/>
  <c r="AE16" i="145"/>
  <c r="AE17" i="145" s="1"/>
  <c r="AE15" i="145"/>
  <c r="AE13" i="145"/>
  <c r="AE24" i="145"/>
  <c r="AI12" i="145"/>
  <c r="AI16" i="145"/>
  <c r="AI15" i="145"/>
  <c r="AI24" i="145"/>
  <c r="AI13" i="145"/>
  <c r="AM12" i="145"/>
  <c r="AM16" i="145"/>
  <c r="AM15" i="145"/>
  <c r="AM13" i="145"/>
  <c r="AM24" i="145"/>
  <c r="AQ12" i="145"/>
  <c r="AQ14" i="145" s="1"/>
  <c r="AQ16" i="145"/>
  <c r="AQ15" i="145"/>
  <c r="AQ13" i="145"/>
  <c r="AQ24" i="145"/>
  <c r="AU12" i="145"/>
  <c r="AU16" i="145"/>
  <c r="AU17" i="145" s="1"/>
  <c r="AU15" i="145"/>
  <c r="AU13" i="145"/>
  <c r="AU24" i="145"/>
  <c r="AY12" i="145"/>
  <c r="AY16" i="145"/>
  <c r="AY15" i="145"/>
  <c r="AY13" i="145"/>
  <c r="AY24" i="145"/>
  <c r="BC12" i="145"/>
  <c r="BC16" i="145"/>
  <c r="BC15" i="145"/>
  <c r="BC13" i="145"/>
  <c r="BC24" i="145"/>
  <c r="BG12" i="145"/>
  <c r="BG14" i="145" s="1"/>
  <c r="BG16" i="145"/>
  <c r="BG15" i="145"/>
  <c r="BG13" i="145"/>
  <c r="BG24" i="145"/>
  <c r="BK12" i="145"/>
  <c r="BK16" i="145"/>
  <c r="BK17" i="145" s="1"/>
  <c r="BK15" i="145"/>
  <c r="BK13" i="145"/>
  <c r="BK24" i="145"/>
  <c r="BO12" i="145"/>
  <c r="BO16" i="145"/>
  <c r="BO15" i="145"/>
  <c r="BO13" i="145"/>
  <c r="BO24" i="145"/>
  <c r="BS12" i="145"/>
  <c r="BS15" i="145"/>
  <c r="BS13" i="145"/>
  <c r="BS16" i="145"/>
  <c r="BS24" i="145"/>
  <c r="M15" i="145"/>
  <c r="M13" i="145"/>
  <c r="M12" i="145"/>
  <c r="M20" i="145"/>
  <c r="M24" i="145"/>
  <c r="M21" i="145"/>
  <c r="M16" i="145"/>
  <c r="M22" i="145"/>
  <c r="M26" i="145"/>
  <c r="M19" i="145"/>
  <c r="M32" i="145"/>
  <c r="M36" i="145"/>
  <c r="M40" i="145"/>
  <c r="M23" i="145"/>
  <c r="M33" i="145"/>
  <c r="M37" i="145"/>
  <c r="M41" i="145"/>
  <c r="M27" i="145"/>
  <c r="M34" i="145"/>
  <c r="M38" i="145"/>
  <c r="M42" i="145"/>
  <c r="M39" i="145"/>
  <c r="M35" i="145"/>
  <c r="M28" i="145"/>
  <c r="Y15" i="145"/>
  <c r="Y13" i="145"/>
  <c r="Y12" i="145"/>
  <c r="Y20" i="145"/>
  <c r="Y24" i="145"/>
  <c r="Y16" i="145"/>
  <c r="Y21" i="145"/>
  <c r="Y22" i="145"/>
  <c r="Y26" i="145"/>
  <c r="Y23" i="145"/>
  <c r="Y32" i="145"/>
  <c r="Y36" i="145"/>
  <c r="Y40" i="145"/>
  <c r="Y33" i="145"/>
  <c r="Y37" i="145"/>
  <c r="Y41" i="145"/>
  <c r="Y27" i="145"/>
  <c r="Y34" i="145"/>
  <c r="Y38" i="145"/>
  <c r="Y42" i="145"/>
  <c r="Y19" i="145"/>
  <c r="Y28" i="145"/>
  <c r="Y35" i="145"/>
  <c r="Y39" i="145"/>
  <c r="AG15" i="145"/>
  <c r="AG13" i="145"/>
  <c r="AG12" i="145"/>
  <c r="AG24" i="145"/>
  <c r="AG16" i="145"/>
  <c r="AO15" i="145"/>
  <c r="AO13" i="145"/>
  <c r="AO12" i="145"/>
  <c r="AO16" i="145"/>
  <c r="AO24" i="145"/>
  <c r="BA15" i="145"/>
  <c r="BA13" i="145"/>
  <c r="BA12" i="145"/>
  <c r="BA14" i="145" s="1"/>
  <c r="BA18" i="145" s="1"/>
  <c r="BA16" i="145"/>
  <c r="BA24" i="145"/>
  <c r="BI15" i="145"/>
  <c r="BI13" i="145"/>
  <c r="BI12" i="145"/>
  <c r="BI16" i="145"/>
  <c r="BI17" i="145" s="1"/>
  <c r="BI24" i="145"/>
  <c r="BM15" i="145"/>
  <c r="BM13" i="145"/>
  <c r="BM12" i="145"/>
  <c r="BM16" i="145"/>
  <c r="BM24" i="145"/>
  <c r="BU15" i="145"/>
  <c r="BU13" i="145"/>
  <c r="BU12" i="145"/>
  <c r="BU16" i="145"/>
  <c r="BU24" i="145"/>
  <c r="D13" i="145"/>
  <c r="D12" i="145"/>
  <c r="D16" i="145"/>
  <c r="D17" i="145" s="1"/>
  <c r="D21" i="145"/>
  <c r="D22" i="145"/>
  <c r="D26" i="145"/>
  <c r="D15" i="145"/>
  <c r="D19" i="145"/>
  <c r="D23" i="145"/>
  <c r="D27" i="145"/>
  <c r="D20" i="145"/>
  <c r="D33" i="145"/>
  <c r="D37" i="145"/>
  <c r="D41" i="145"/>
  <c r="D24" i="145"/>
  <c r="D34" i="145"/>
  <c r="D38" i="145"/>
  <c r="D42" i="145"/>
  <c r="D28" i="145"/>
  <c r="D35" i="145"/>
  <c r="D39" i="145"/>
  <c r="D40" i="145"/>
  <c r="D32" i="145"/>
  <c r="D36" i="145"/>
  <c r="H13" i="145"/>
  <c r="H12" i="145"/>
  <c r="H16" i="145"/>
  <c r="H17" i="145" s="1"/>
  <c r="H21" i="145"/>
  <c r="H22" i="145"/>
  <c r="H19" i="145"/>
  <c r="H23" i="145"/>
  <c r="H15" i="145"/>
  <c r="H33" i="145"/>
  <c r="H37" i="145"/>
  <c r="H41" i="145"/>
  <c r="H20" i="145"/>
  <c r="H27" i="145"/>
  <c r="H34" i="145"/>
  <c r="H38" i="145"/>
  <c r="H42" i="145"/>
  <c r="H24" i="145"/>
  <c r="H28" i="145"/>
  <c r="H35" i="145"/>
  <c r="H39" i="145"/>
  <c r="H36" i="145"/>
  <c r="H40" i="145"/>
  <c r="H26" i="145"/>
  <c r="H32" i="145"/>
  <c r="L13" i="145"/>
  <c r="L12" i="145"/>
  <c r="L16" i="145"/>
  <c r="L17" i="145" s="1"/>
  <c r="L15" i="145"/>
  <c r="L21" i="145"/>
  <c r="L22" i="145"/>
  <c r="L19" i="145"/>
  <c r="L23" i="145"/>
  <c r="L33" i="145"/>
  <c r="L37" i="145"/>
  <c r="L41" i="145"/>
  <c r="L26" i="145"/>
  <c r="L27" i="145"/>
  <c r="L34" i="145"/>
  <c r="L38" i="145"/>
  <c r="L42" i="145"/>
  <c r="L20" i="145"/>
  <c r="L28" i="145"/>
  <c r="L35" i="145"/>
  <c r="L39" i="145"/>
  <c r="L24" i="145"/>
  <c r="L32" i="145"/>
  <c r="L36" i="145"/>
  <c r="L40" i="145"/>
  <c r="P13" i="145"/>
  <c r="P12" i="145"/>
  <c r="P16" i="145"/>
  <c r="P17" i="145" s="1"/>
  <c r="P21" i="145"/>
  <c r="P15" i="145"/>
  <c r="P22" i="145"/>
  <c r="P19" i="145"/>
  <c r="P23" i="145"/>
  <c r="P24" i="145"/>
  <c r="P33" i="145"/>
  <c r="AA33" i="145"/>
  <c r="P37" i="145"/>
  <c r="P41" i="145"/>
  <c r="AA41" i="145"/>
  <c r="P27" i="145"/>
  <c r="AA27" i="145"/>
  <c r="P34" i="145"/>
  <c r="P38" i="145"/>
  <c r="P42" i="145"/>
  <c r="P28" i="145"/>
  <c r="AA28" i="145"/>
  <c r="P35" i="145"/>
  <c r="AA35" i="145"/>
  <c r="P39" i="145"/>
  <c r="AA39" i="145"/>
  <c r="P26" i="145"/>
  <c r="P32" i="145"/>
  <c r="AA32" i="145"/>
  <c r="P40" i="145"/>
  <c r="AA40" i="145"/>
  <c r="P20" i="145"/>
  <c r="P36" i="145"/>
  <c r="T13" i="145"/>
  <c r="T12" i="145"/>
  <c r="T16" i="145"/>
  <c r="T17" i="145" s="1"/>
  <c r="T21" i="145"/>
  <c r="T22" i="145"/>
  <c r="T15" i="145"/>
  <c r="T19" i="145"/>
  <c r="T23" i="145"/>
  <c r="T20" i="145"/>
  <c r="T33" i="145"/>
  <c r="T37" i="145"/>
  <c r="T41" i="145"/>
  <c r="T24" i="145"/>
  <c r="T26" i="145"/>
  <c r="AA26" i="145"/>
  <c r="T27" i="145"/>
  <c r="T34" i="145"/>
  <c r="T38" i="145"/>
  <c r="T42" i="145"/>
  <c r="T28" i="145"/>
  <c r="T35" i="145"/>
  <c r="T39" i="145"/>
  <c r="T40" i="145"/>
  <c r="T36" i="145"/>
  <c r="T32" i="145"/>
  <c r="X13" i="145"/>
  <c r="X12" i="145"/>
  <c r="X14" i="145" s="1"/>
  <c r="X16" i="145"/>
  <c r="X21" i="145"/>
  <c r="X22" i="145"/>
  <c r="X19" i="145"/>
  <c r="X23" i="145"/>
  <c r="X33" i="145"/>
  <c r="X37" i="145"/>
  <c r="X41" i="145"/>
  <c r="X15" i="145"/>
  <c r="X20" i="145"/>
  <c r="X27" i="145"/>
  <c r="X34" i="145"/>
  <c r="X38" i="145"/>
  <c r="X42" i="145"/>
  <c r="X24" i="145"/>
  <c r="X28" i="145"/>
  <c r="X35" i="145"/>
  <c r="X39" i="145"/>
  <c r="X36" i="145"/>
  <c r="AA36" i="145"/>
  <c r="X32" i="145"/>
  <c r="X26" i="145"/>
  <c r="X40" i="145"/>
  <c r="AB13" i="145"/>
  <c r="AB12" i="145"/>
  <c r="AB16" i="145"/>
  <c r="AB15" i="145"/>
  <c r="AB22" i="145"/>
  <c r="AB24" i="145"/>
  <c r="AB23" i="145"/>
  <c r="AF13" i="145"/>
  <c r="AF12" i="145"/>
  <c r="AF14" i="145" s="1"/>
  <c r="AF16" i="145"/>
  <c r="AF15" i="145"/>
  <c r="AF24" i="145"/>
  <c r="AJ13" i="145"/>
  <c r="AJ12" i="145"/>
  <c r="AJ16" i="145"/>
  <c r="AJ17" i="145" s="1"/>
  <c r="AJ15" i="145"/>
  <c r="AJ24" i="145"/>
  <c r="AN13" i="145"/>
  <c r="AN12" i="145"/>
  <c r="AN14" i="145" s="1"/>
  <c r="AN16" i="145"/>
  <c r="AN15" i="145"/>
  <c r="AN24" i="145"/>
  <c r="AR13" i="145"/>
  <c r="AR12" i="145"/>
  <c r="AR16" i="145"/>
  <c r="AR15" i="145"/>
  <c r="AR24" i="145"/>
  <c r="AV13" i="145"/>
  <c r="AV12" i="145"/>
  <c r="AV14" i="145" s="1"/>
  <c r="AV16" i="145"/>
  <c r="AV15" i="145"/>
  <c r="AV24" i="145"/>
  <c r="AZ13" i="145"/>
  <c r="AZ12" i="145"/>
  <c r="AZ16" i="145"/>
  <c r="AZ17" i="145" s="1"/>
  <c r="AZ15" i="145"/>
  <c r="AZ24" i="145"/>
  <c r="BD13" i="145"/>
  <c r="BD12" i="145"/>
  <c r="BD16" i="145"/>
  <c r="BD24" i="145"/>
  <c r="BD15" i="145"/>
  <c r="BH13" i="145"/>
  <c r="BH12" i="145"/>
  <c r="BH16" i="145"/>
  <c r="BH15" i="145"/>
  <c r="BH24" i="145"/>
  <c r="BL13" i="145"/>
  <c r="BL12" i="145"/>
  <c r="BL14" i="145" s="1"/>
  <c r="BL16" i="145"/>
  <c r="BL15" i="145"/>
  <c r="BL24" i="145"/>
  <c r="BP13" i="145"/>
  <c r="BP12" i="145"/>
  <c r="BP16" i="145"/>
  <c r="BP17" i="145" s="1"/>
  <c r="BP15" i="145"/>
  <c r="BP24" i="145"/>
  <c r="BT13" i="145"/>
  <c r="BT12" i="145"/>
  <c r="BT16" i="145"/>
  <c r="BT15" i="145"/>
  <c r="BT24" i="145"/>
  <c r="AA39" i="144"/>
  <c r="AC7" i="145"/>
  <c r="AB21" i="145"/>
  <c r="AB51" i="145"/>
  <c r="AC21" i="144"/>
  <c r="AB43" i="145"/>
  <c r="AB25" i="145"/>
  <c r="AC25" i="145"/>
  <c r="AC27" i="144"/>
  <c r="AB28" i="144"/>
  <c r="AA21" i="145"/>
  <c r="AA51" i="145"/>
  <c r="AB35" i="144"/>
  <c r="AB32" i="144"/>
  <c r="AB33" i="144"/>
  <c r="AB48" i="145"/>
  <c r="AC48" i="145"/>
  <c r="AA46" i="145"/>
  <c r="AB38" i="144"/>
  <c r="AB40" i="144"/>
  <c r="AB37" i="144"/>
  <c r="AB45" i="145"/>
  <c r="AB50" i="145"/>
  <c r="AC50" i="145"/>
  <c r="AB42" i="144"/>
  <c r="BD17" i="145"/>
  <c r="AC51" i="145"/>
  <c r="AC45" i="145"/>
  <c r="AB44" i="145"/>
  <c r="AD44" i="145" s="1"/>
  <c r="AC44" i="145"/>
  <c r="AB49" i="145"/>
  <c r="AC49" i="145"/>
  <c r="AB47" i="145"/>
  <c r="AC42" i="144"/>
  <c r="AC43" i="145"/>
  <c r="AC47" i="145"/>
  <c r="AC28" i="144"/>
  <c r="AD28" i="144" s="1"/>
  <c r="AB21" i="144"/>
  <c r="AB26" i="144"/>
  <c r="AD26" i="144" s="1"/>
  <c r="AC12" i="144"/>
  <c r="AB36" i="144"/>
  <c r="AD36" i="144" s="1"/>
  <c r="AB34" i="144"/>
  <c r="AC38" i="144"/>
  <c r="AB39" i="144"/>
  <c r="AC14" i="145"/>
  <c r="AC18" i="145"/>
  <c r="I14" i="145"/>
  <c r="R14" i="145"/>
  <c r="BT17" i="145"/>
  <c r="BB17" i="145"/>
  <c r="AN17" i="145"/>
  <c r="AP14" i="145"/>
  <c r="AP18" i="145" s="1"/>
  <c r="AB38" i="145"/>
  <c r="AC38" i="145"/>
  <c r="BG17" i="145"/>
  <c r="AQ17" i="145"/>
  <c r="BR17" i="145"/>
  <c r="AX17" i="145"/>
  <c r="AS17" i="145"/>
  <c r="E17" i="145"/>
  <c r="BU14" i="145"/>
  <c r="BU18" i="145" s="1"/>
  <c r="AO14" i="145"/>
  <c r="AO18" i="145" s="1"/>
  <c r="AW17" i="145"/>
  <c r="BO14" i="145"/>
  <c r="BO18" i="145"/>
  <c r="AF17" i="145"/>
  <c r="X17" i="145"/>
  <c r="AM17" i="145"/>
  <c r="AC41" i="145"/>
  <c r="AT17" i="145"/>
  <c r="P14" i="145"/>
  <c r="AC21" i="145"/>
  <c r="BP14" i="145"/>
  <c r="BP18" i="145"/>
  <c r="BH17" i="145"/>
  <c r="AZ14" i="145"/>
  <c r="AZ18" i="145" s="1"/>
  <c r="AR17" i="145"/>
  <c r="AJ14" i="145"/>
  <c r="AJ18" i="145"/>
  <c r="AB14" i="145"/>
  <c r="AB18" i="145"/>
  <c r="BM17" i="145"/>
  <c r="AG17" i="145"/>
  <c r="Y14" i="145"/>
  <c r="M17" i="145"/>
  <c r="BS17" i="145"/>
  <c r="BF17" i="145"/>
  <c r="V14" i="145"/>
  <c r="F14" i="145"/>
  <c r="H14" i="145"/>
  <c r="AA17" i="145"/>
  <c r="BT14" i="145"/>
  <c r="BT18" i="145"/>
  <c r="BL17" i="145"/>
  <c r="BD14" i="145"/>
  <c r="AV17" i="145"/>
  <c r="AN18" i="145"/>
  <c r="BN17" i="145"/>
  <c r="AH17" i="145"/>
  <c r="R17" i="145"/>
  <c r="AL17" i="145"/>
  <c r="BQ14" i="145"/>
  <c r="BQ18" i="145"/>
  <c r="AK17" i="145"/>
  <c r="AB33" i="145"/>
  <c r="AC33" i="145"/>
  <c r="AB32" i="145"/>
  <c r="AB40" i="145"/>
  <c r="AC40" i="145"/>
  <c r="AB41" i="145"/>
  <c r="AB42" i="145"/>
  <c r="AC42" i="145"/>
  <c r="AB27" i="145"/>
  <c r="AB35" i="145"/>
  <c r="AC35" i="145"/>
  <c r="T14" i="145"/>
  <c r="L14" i="145"/>
  <c r="D14" i="145"/>
  <c r="BM14" i="145"/>
  <c r="BM18" i="145"/>
  <c r="BA17" i="145"/>
  <c r="AG14" i="145"/>
  <c r="AG18" i="145"/>
  <c r="Y17" i="145"/>
  <c r="M14" i="145"/>
  <c r="BO17" i="145"/>
  <c r="BC17" i="145"/>
  <c r="AY17" i="145"/>
  <c r="AI17" i="145"/>
  <c r="W17" i="145"/>
  <c r="BF14" i="145"/>
  <c r="BF18" i="145" s="1"/>
  <c r="AX14" i="145"/>
  <c r="AX18" i="145" s="1"/>
  <c r="Z17" i="145"/>
  <c r="AB37" i="145"/>
  <c r="J14" i="145"/>
  <c r="J17" i="145"/>
  <c r="Q17" i="145"/>
  <c r="BJ14" i="145"/>
  <c r="BJ18" i="145" s="1"/>
  <c r="AT14" i="145"/>
  <c r="AT18" i="145" s="1"/>
  <c r="AL14" i="145"/>
  <c r="AL18" i="145" s="1"/>
  <c r="AD14" i="145"/>
  <c r="N14" i="145"/>
  <c r="AW14" i="145"/>
  <c r="AW18" i="145"/>
  <c r="BH14" i="145"/>
  <c r="BH18" i="145" s="1"/>
  <c r="AR14" i="145"/>
  <c r="AR18" i="145" s="1"/>
  <c r="AB36" i="145"/>
  <c r="AC36" i="145"/>
  <c r="AB26" i="145"/>
  <c r="AC26" i="145"/>
  <c r="BU17" i="145"/>
  <c r="BI14" i="145"/>
  <c r="BI18" i="145" s="1"/>
  <c r="AO17" i="145"/>
  <c r="BS14" i="145"/>
  <c r="BS18" i="145" s="1"/>
  <c r="BK14" i="145"/>
  <c r="BK18" i="145"/>
  <c r="BC14" i="145"/>
  <c r="BC18" i="145" s="1"/>
  <c r="AY14" i="145"/>
  <c r="AY18" i="145" s="1"/>
  <c r="AU14" i="145"/>
  <c r="AU18" i="145" s="1"/>
  <c r="AM14" i="145"/>
  <c r="AM18" i="145" s="1"/>
  <c r="AI14" i="145"/>
  <c r="AI18" i="145" s="1"/>
  <c r="AE14" i="145"/>
  <c r="AE18" i="145"/>
  <c r="O14" i="145"/>
  <c r="G14" i="145"/>
  <c r="BR14" i="145"/>
  <c r="BR18" i="145" s="1"/>
  <c r="AC27" i="145"/>
  <c r="BE17" i="145"/>
  <c r="AK14" i="145"/>
  <c r="AK18" i="145"/>
  <c r="U14" i="145"/>
  <c r="I17" i="145"/>
  <c r="AB34" i="145"/>
  <c r="AC34" i="145"/>
  <c r="S14" i="145"/>
  <c r="K14" i="145"/>
  <c r="C14" i="145"/>
  <c r="AB28" i="145"/>
  <c r="AC28" i="145"/>
  <c r="BV14" i="145"/>
  <c r="BV18" i="145"/>
  <c r="BV17" i="145"/>
  <c r="U17" i="145"/>
  <c r="AB17" i="145"/>
  <c r="AB39" i="145"/>
  <c r="AB52" i="145" s="1"/>
  <c r="AD1573" i="123"/>
  <c r="AD177" i="123"/>
  <c r="AA22" i="136"/>
  <c r="AD51" i="145"/>
  <c r="AE51" i="145"/>
  <c r="AF51" i="145" s="1"/>
  <c r="AC26" i="144"/>
  <c r="AC40" i="144"/>
  <c r="AA18" i="145"/>
  <c r="AA19" i="145"/>
  <c r="AC39" i="144"/>
  <c r="AE28" i="144"/>
  <c r="AB46" i="145"/>
  <c r="AC46" i="145"/>
  <c r="AA18" i="144"/>
  <c r="AA19" i="144"/>
  <c r="AC35" i="144"/>
  <c r="AC34" i="144"/>
  <c r="AC33" i="144"/>
  <c r="AC32" i="144"/>
  <c r="AC43" i="144" s="1"/>
  <c r="AD42" i="144"/>
  <c r="AC37" i="144"/>
  <c r="AD47" i="145"/>
  <c r="AE44" i="145"/>
  <c r="AF28" i="144"/>
  <c r="AC36" i="144"/>
  <c r="AB18" i="144"/>
  <c r="AC32" i="145"/>
  <c r="AC37" i="145"/>
  <c r="AD42" i="145"/>
  <c r="AC39" i="145"/>
  <c r="AB19" i="145"/>
  <c r="AC19" i="145"/>
  <c r="AB43" i="144"/>
  <c r="AA32" i="136"/>
  <c r="AA13" i="136"/>
  <c r="AA15" i="136"/>
  <c r="AA16" i="136"/>
  <c r="AA23" i="136"/>
  <c r="AD33" i="144"/>
  <c r="AE33" i="144"/>
  <c r="AD35" i="144"/>
  <c r="AD34" i="144"/>
  <c r="AB19" i="144"/>
  <c r="AD40" i="144"/>
  <c r="AG51" i="145"/>
  <c r="AH51" i="145" s="1"/>
  <c r="AC18" i="144"/>
  <c r="AC19" i="144"/>
  <c r="AE36" i="144"/>
  <c r="AF36" i="144" s="1"/>
  <c r="AE523" i="123"/>
  <c r="AE512" i="123"/>
  <c r="AE503" i="123"/>
  <c r="AE493" i="123"/>
  <c r="AE483" i="123"/>
  <c r="AE505" i="123" s="1"/>
  <c r="AE471" i="123"/>
  <c r="AE463" i="123"/>
  <c r="AE457" i="123"/>
  <c r="AE449" i="123"/>
  <c r="AE435" i="123"/>
  <c r="AE431" i="123"/>
  <c r="AE411" i="123"/>
  <c r="AE388" i="123"/>
  <c r="AE396" i="123" s="1"/>
  <c r="AE381" i="123"/>
  <c r="AE377" i="123"/>
  <c r="AE366" i="123"/>
  <c r="AE175" i="123"/>
  <c r="AE164" i="123"/>
  <c r="AE155" i="123"/>
  <c r="AE145" i="123"/>
  <c r="AE135" i="123"/>
  <c r="AE123" i="123"/>
  <c r="AE115" i="123"/>
  <c r="AE109" i="123"/>
  <c r="AE101" i="123"/>
  <c r="AE87" i="123"/>
  <c r="AE83" i="123"/>
  <c r="AE63" i="123"/>
  <c r="AE40" i="123"/>
  <c r="AE48" i="123"/>
  <c r="AE33" i="123"/>
  <c r="AE29" i="123"/>
  <c r="AE18" i="123"/>
  <c r="AE1219" i="123"/>
  <c r="AE1208" i="123"/>
  <c r="AE1199" i="123"/>
  <c r="AE1189" i="123"/>
  <c r="AE1179" i="123"/>
  <c r="AE1167" i="123"/>
  <c r="AE1159" i="123"/>
  <c r="AE1153" i="123"/>
  <c r="AE1145" i="123"/>
  <c r="AE1131" i="123"/>
  <c r="AE1127" i="123"/>
  <c r="AE1107" i="123"/>
  <c r="AE1084" i="123"/>
  <c r="AE1092" i="123" s="1"/>
  <c r="AE1077" i="123"/>
  <c r="AE1073" i="123"/>
  <c r="AE1062" i="123"/>
  <c r="AE1393" i="123"/>
  <c r="AE1382" i="123"/>
  <c r="AE1373" i="123"/>
  <c r="AE1363" i="123"/>
  <c r="AE1353" i="123"/>
  <c r="AE1341" i="123"/>
  <c r="AE1333" i="123"/>
  <c r="AE1327" i="123"/>
  <c r="AE1319" i="123"/>
  <c r="AE1305" i="123"/>
  <c r="AE1301" i="123"/>
  <c r="AE1281" i="123"/>
  <c r="AE1258" i="123"/>
  <c r="AE1266" i="123"/>
  <c r="AE1251" i="123"/>
  <c r="AE1247" i="123"/>
  <c r="AE1236" i="123"/>
  <c r="AE697" i="123"/>
  <c r="AE686" i="123"/>
  <c r="AE677" i="123"/>
  <c r="AE667" i="123"/>
  <c r="AE657" i="123"/>
  <c r="AE645" i="123"/>
  <c r="AE637" i="123"/>
  <c r="AE631" i="123"/>
  <c r="AE623" i="123"/>
  <c r="AE609" i="123"/>
  <c r="AE605" i="123"/>
  <c r="AE585" i="123"/>
  <c r="AE562" i="123"/>
  <c r="AE570" i="123"/>
  <c r="AE699" i="123" s="1"/>
  <c r="AE555" i="123"/>
  <c r="AE551" i="123"/>
  <c r="AE540" i="123"/>
  <c r="AE1045" i="123"/>
  <c r="AE1034" i="123"/>
  <c r="AE1025" i="123"/>
  <c r="AE1015" i="123"/>
  <c r="AE1005" i="123"/>
  <c r="AE1027" i="123" s="1"/>
  <c r="AE993" i="123"/>
  <c r="AE985" i="123"/>
  <c r="AE979" i="123"/>
  <c r="AE971" i="123"/>
  <c r="AE957" i="123"/>
  <c r="AE953" i="123"/>
  <c r="AE933" i="123"/>
  <c r="AE910" i="123"/>
  <c r="AE918" i="123" s="1"/>
  <c r="AE903" i="123"/>
  <c r="AE899" i="123"/>
  <c r="AE888" i="123"/>
  <c r="AE871" i="123"/>
  <c r="AE860" i="123"/>
  <c r="AE851" i="123"/>
  <c r="AE841" i="123"/>
  <c r="AE831" i="123"/>
  <c r="AE819" i="123"/>
  <c r="AE811" i="123"/>
  <c r="AE805" i="123"/>
  <c r="AE797" i="123"/>
  <c r="AE783" i="123"/>
  <c r="AE779" i="123"/>
  <c r="AE759" i="123"/>
  <c r="AE736" i="123"/>
  <c r="AE744" i="123" s="1"/>
  <c r="AE729" i="123"/>
  <c r="AE725" i="123"/>
  <c r="AE714" i="123"/>
  <c r="AE1568" i="123"/>
  <c r="AE1557" i="123"/>
  <c r="AE1548" i="123"/>
  <c r="AE1538" i="123"/>
  <c r="AE1550" i="123" s="1"/>
  <c r="AE1528" i="123"/>
  <c r="AE1516" i="123"/>
  <c r="AE1508" i="123"/>
  <c r="AE1502" i="123"/>
  <c r="AE1494" i="123"/>
  <c r="AE1480" i="123"/>
  <c r="AE1476" i="123"/>
  <c r="AE1456" i="123"/>
  <c r="AE1433" i="123"/>
  <c r="AE1441" i="123"/>
  <c r="AE1426" i="123"/>
  <c r="AE1422" i="123"/>
  <c r="AE1570" i="123" s="1"/>
  <c r="AE1411" i="123"/>
  <c r="AE679" i="123"/>
  <c r="Q29" i="129"/>
  <c r="R29" i="129" s="1"/>
  <c r="AA4" i="133"/>
  <c r="AB4" i="133"/>
  <c r="AC4" i="133"/>
  <c r="AD4" i="133"/>
  <c r="AE4" i="133"/>
  <c r="AF4" i="133"/>
  <c r="AG4" i="133"/>
  <c r="AH4" i="133"/>
  <c r="AI4" i="133"/>
  <c r="AJ4" i="133"/>
  <c r="AK4" i="133"/>
  <c r="AL4" i="133"/>
  <c r="AM4" i="133"/>
  <c r="AN4" i="133"/>
  <c r="AO4" i="133"/>
  <c r="AP4" i="133"/>
  <c r="AQ4" i="133"/>
  <c r="AR4" i="133"/>
  <c r="AS4" i="133"/>
  <c r="AT4" i="133"/>
  <c r="AU4" i="133"/>
  <c r="AV4" i="133"/>
  <c r="AW4" i="133"/>
  <c r="AX4" i="133"/>
  <c r="AY4" i="133"/>
  <c r="AZ4" i="133"/>
  <c r="BA4" i="133"/>
  <c r="BB4" i="133"/>
  <c r="BC4" i="133"/>
  <c r="BD4" i="133"/>
  <c r="BE4" i="133"/>
  <c r="BF4" i="133"/>
  <c r="BG4" i="133"/>
  <c r="BH4" i="133"/>
  <c r="BI4" i="133"/>
  <c r="BJ4" i="133"/>
  <c r="BK4" i="133"/>
  <c r="BL4" i="133"/>
  <c r="BM4" i="133"/>
  <c r="BN4" i="133"/>
  <c r="BO4" i="133"/>
  <c r="BP4" i="133"/>
  <c r="BQ4" i="133"/>
  <c r="BR4" i="133"/>
  <c r="BS4" i="133"/>
  <c r="BT4" i="133"/>
  <c r="BU4" i="133"/>
  <c r="BV4" i="133"/>
  <c r="AA4" i="134"/>
  <c r="AB4" i="134"/>
  <c r="AE4" i="134"/>
  <c r="AF4" i="134"/>
  <c r="AG4" i="134"/>
  <c r="AH4" i="134"/>
  <c r="AI4" i="134"/>
  <c r="AJ4" i="134"/>
  <c r="AK4" i="134"/>
  <c r="AL4" i="134"/>
  <c r="AM4" i="134"/>
  <c r="AN4" i="134"/>
  <c r="AO4" i="134"/>
  <c r="AP4" i="134"/>
  <c r="AQ4" i="134"/>
  <c r="AR4" i="134"/>
  <c r="AS4" i="134"/>
  <c r="AT4" i="134"/>
  <c r="AU4" i="134"/>
  <c r="AV4" i="134"/>
  <c r="AW4" i="134"/>
  <c r="AX4" i="134"/>
  <c r="AY4" i="134"/>
  <c r="AZ4" i="134"/>
  <c r="BA4" i="134"/>
  <c r="BB4" i="134"/>
  <c r="BC4" i="134"/>
  <c r="BD4" i="134"/>
  <c r="BE4" i="134"/>
  <c r="BF4" i="134"/>
  <c r="BG4" i="134"/>
  <c r="BH4" i="134"/>
  <c r="BI4" i="134"/>
  <c r="BJ4" i="134"/>
  <c r="BK4" i="134"/>
  <c r="BL4" i="134"/>
  <c r="BM4" i="134"/>
  <c r="BN4" i="134"/>
  <c r="BO4" i="134"/>
  <c r="BP4" i="134"/>
  <c r="BQ4" i="134"/>
  <c r="BR4" i="134"/>
  <c r="BS4" i="134"/>
  <c r="BT4" i="134"/>
  <c r="BU4" i="134"/>
  <c r="BV4" i="134"/>
  <c r="AB4" i="136"/>
  <c r="AC4" i="136"/>
  <c r="AD4" i="136"/>
  <c r="AE4" i="136"/>
  <c r="AF4" i="136"/>
  <c r="AG4" i="136"/>
  <c r="AH4" i="136"/>
  <c r="AI4" i="136"/>
  <c r="AJ4" i="136"/>
  <c r="AK4" i="136"/>
  <c r="AL4" i="136"/>
  <c r="AM4" i="136"/>
  <c r="AN4" i="136"/>
  <c r="AO4" i="136"/>
  <c r="AP4" i="136"/>
  <c r="AQ4" i="136"/>
  <c r="AR4" i="136"/>
  <c r="AS4" i="136"/>
  <c r="AT4" i="136"/>
  <c r="AU4" i="136"/>
  <c r="AV4" i="136"/>
  <c r="AW4" i="136"/>
  <c r="AX4" i="136"/>
  <c r="AY4" i="136"/>
  <c r="AZ4" i="136"/>
  <c r="BA4" i="136"/>
  <c r="BB4" i="136"/>
  <c r="BC4" i="136"/>
  <c r="BD4" i="136"/>
  <c r="BE4" i="136"/>
  <c r="BF4" i="136"/>
  <c r="BG4" i="136"/>
  <c r="BH4" i="136"/>
  <c r="BI4" i="136"/>
  <c r="BJ4" i="136"/>
  <c r="BK4" i="136"/>
  <c r="BL4" i="136"/>
  <c r="BM4" i="136"/>
  <c r="BN4" i="136"/>
  <c r="BO4" i="136"/>
  <c r="BP4" i="136"/>
  <c r="BQ4" i="136"/>
  <c r="BR4" i="136"/>
  <c r="BS4" i="136"/>
  <c r="BT4" i="136"/>
  <c r="BU4" i="136"/>
  <c r="BV4" i="136"/>
  <c r="AA4" i="135"/>
  <c r="AB4" i="135"/>
  <c r="AC4" i="135"/>
  <c r="AD4" i="135"/>
  <c r="AE4" i="135"/>
  <c r="AF4" i="135"/>
  <c r="AG4" i="135"/>
  <c r="AH4" i="135"/>
  <c r="AI4" i="135"/>
  <c r="AJ4" i="135"/>
  <c r="AK4" i="135"/>
  <c r="AL4" i="135"/>
  <c r="AM4" i="135"/>
  <c r="AN4" i="135"/>
  <c r="AO4" i="135"/>
  <c r="AP4" i="135"/>
  <c r="AQ4" i="135"/>
  <c r="AR4" i="135"/>
  <c r="AS4" i="135"/>
  <c r="AT4" i="135"/>
  <c r="AU4" i="135"/>
  <c r="AV4" i="135"/>
  <c r="AW4" i="135"/>
  <c r="AX4" i="135"/>
  <c r="AY4" i="135"/>
  <c r="AZ4" i="135"/>
  <c r="BA4" i="135"/>
  <c r="BB4" i="135"/>
  <c r="BC4" i="135"/>
  <c r="BD4" i="135"/>
  <c r="BE4" i="135"/>
  <c r="BF4" i="135"/>
  <c r="BG4" i="135"/>
  <c r="BH4" i="135"/>
  <c r="BI4" i="135"/>
  <c r="BJ4" i="135"/>
  <c r="BK4" i="135"/>
  <c r="BL4" i="135"/>
  <c r="BM4" i="135"/>
  <c r="BN4" i="135"/>
  <c r="BO4" i="135"/>
  <c r="BP4" i="135"/>
  <c r="BQ4" i="135"/>
  <c r="BR4" i="135"/>
  <c r="BS4" i="135"/>
  <c r="BT4" i="135"/>
  <c r="BU4" i="135"/>
  <c r="BV4" i="135"/>
  <c r="AA4" i="132"/>
  <c r="AD4" i="132"/>
  <c r="AE4" i="132"/>
  <c r="AF4" i="132"/>
  <c r="AG4" i="132"/>
  <c r="AH4" i="132"/>
  <c r="AI4" i="132"/>
  <c r="AJ4" i="132"/>
  <c r="AK4" i="132"/>
  <c r="AL4" i="132"/>
  <c r="AM4" i="132"/>
  <c r="AN4" i="132"/>
  <c r="AN50" i="132"/>
  <c r="AO4" i="132"/>
  <c r="AO50" i="132"/>
  <c r="AP4" i="132"/>
  <c r="AP50" i="132"/>
  <c r="AQ4" i="132"/>
  <c r="AQ50" i="132"/>
  <c r="AR4" i="132"/>
  <c r="AR50" i="132"/>
  <c r="AS4" i="132"/>
  <c r="AS50" i="132"/>
  <c r="AT4" i="132"/>
  <c r="AT50" i="132"/>
  <c r="AU4" i="132"/>
  <c r="AU50" i="132"/>
  <c r="AV4" i="132"/>
  <c r="AV50" i="132"/>
  <c r="AW4" i="132"/>
  <c r="AW50" i="132"/>
  <c r="AX4" i="132"/>
  <c r="AX50" i="132"/>
  <c r="AY4" i="132"/>
  <c r="AY50" i="132"/>
  <c r="AZ4" i="132"/>
  <c r="BA4" i="132"/>
  <c r="BB4" i="132"/>
  <c r="BC4" i="132"/>
  <c r="BD4" i="132"/>
  <c r="BE4" i="132"/>
  <c r="BF4" i="132"/>
  <c r="BG4" i="132"/>
  <c r="BH4" i="132"/>
  <c r="BI4" i="132"/>
  <c r="BJ4" i="132"/>
  <c r="BK4" i="132"/>
  <c r="BL4" i="132"/>
  <c r="BL39" i="132"/>
  <c r="BM4" i="132"/>
  <c r="BM39" i="132"/>
  <c r="BN4" i="132"/>
  <c r="BN39" i="132"/>
  <c r="BO4" i="132"/>
  <c r="BO39" i="132"/>
  <c r="BP4" i="132"/>
  <c r="BP39" i="132"/>
  <c r="BQ4" i="132"/>
  <c r="BQ39" i="132"/>
  <c r="BR4" i="132"/>
  <c r="BR39" i="132"/>
  <c r="BS4" i="132"/>
  <c r="BS39" i="132"/>
  <c r="BT4" i="132"/>
  <c r="BT39" i="132"/>
  <c r="BU4" i="132"/>
  <c r="BU39" i="132"/>
  <c r="BV4" i="132"/>
  <c r="BV39" i="132"/>
  <c r="AB4" i="131"/>
  <c r="AB39" i="131"/>
  <c r="AC4" i="131"/>
  <c r="AC39" i="131"/>
  <c r="AD4" i="131"/>
  <c r="AD39" i="131"/>
  <c r="AE4" i="131"/>
  <c r="AE39" i="131"/>
  <c r="AF4" i="131"/>
  <c r="AF39" i="131"/>
  <c r="AG4" i="131"/>
  <c r="AG39" i="131"/>
  <c r="AH4" i="131"/>
  <c r="AH39" i="131"/>
  <c r="AI4" i="131"/>
  <c r="AI39" i="131"/>
  <c r="AJ4" i="131"/>
  <c r="AJ39" i="131"/>
  <c r="AK4" i="131"/>
  <c r="AK39" i="131"/>
  <c r="AL4" i="131"/>
  <c r="AL39" i="131"/>
  <c r="AM4" i="131"/>
  <c r="AM39" i="131"/>
  <c r="AN4" i="131"/>
  <c r="AN39" i="131"/>
  <c r="AO4" i="131"/>
  <c r="AO39" i="131"/>
  <c r="AP4" i="131"/>
  <c r="AP39" i="131"/>
  <c r="AQ4" i="131"/>
  <c r="AQ39" i="131"/>
  <c r="AR4" i="131"/>
  <c r="AR39" i="131"/>
  <c r="AS4" i="131"/>
  <c r="AS39" i="131"/>
  <c r="AT4" i="131"/>
  <c r="AT39" i="131"/>
  <c r="AU4" i="131"/>
  <c r="AU39" i="131"/>
  <c r="AV4" i="131"/>
  <c r="AV39" i="131"/>
  <c r="AW4" i="131"/>
  <c r="AW39" i="131"/>
  <c r="AX4" i="131"/>
  <c r="AX39" i="131"/>
  <c r="AY4" i="131"/>
  <c r="AY39" i="131"/>
  <c r="AZ4" i="131"/>
  <c r="AZ39" i="131"/>
  <c r="BA4" i="131"/>
  <c r="BA39" i="131"/>
  <c r="BB4" i="131"/>
  <c r="BB39" i="131"/>
  <c r="BC4" i="131"/>
  <c r="BC39" i="131"/>
  <c r="BD4" i="131"/>
  <c r="BD39" i="131"/>
  <c r="BE4" i="131"/>
  <c r="BE39" i="131"/>
  <c r="BF4" i="131"/>
  <c r="BF39" i="131"/>
  <c r="BG4" i="131"/>
  <c r="BG39" i="131"/>
  <c r="BH4" i="131"/>
  <c r="BH39" i="131"/>
  <c r="BI4" i="131"/>
  <c r="BI39" i="131"/>
  <c r="BJ4" i="131"/>
  <c r="BJ39" i="131"/>
  <c r="BK4" i="131"/>
  <c r="BK39" i="131"/>
  <c r="BL4" i="131"/>
  <c r="BL39" i="131"/>
  <c r="BM4" i="131"/>
  <c r="BM39" i="131"/>
  <c r="BN4" i="131"/>
  <c r="BN39" i="131"/>
  <c r="BO4" i="131"/>
  <c r="BO39" i="131"/>
  <c r="BP4" i="131"/>
  <c r="BP39" i="131"/>
  <c r="BQ4" i="131"/>
  <c r="BQ39" i="131"/>
  <c r="BR4" i="131"/>
  <c r="BR39" i="131"/>
  <c r="BS4" i="131"/>
  <c r="BS39" i="131"/>
  <c r="BT4" i="131"/>
  <c r="BT39" i="131"/>
  <c r="BU4" i="131"/>
  <c r="BU39" i="131"/>
  <c r="BV4" i="131"/>
  <c r="BV39" i="131"/>
  <c r="AA4" i="131"/>
  <c r="AD18" i="138"/>
  <c r="AE18" i="138"/>
  <c r="AF18" i="138"/>
  <c r="AG18" i="138"/>
  <c r="AH18" i="138"/>
  <c r="AI18" i="138"/>
  <c r="AJ18" i="138"/>
  <c r="AK18" i="138"/>
  <c r="AL18" i="138"/>
  <c r="AM18" i="138"/>
  <c r="AN18" i="138"/>
  <c r="AO18" i="138"/>
  <c r="AP18" i="138"/>
  <c r="AQ18" i="138"/>
  <c r="AR18" i="138"/>
  <c r="AS18" i="138"/>
  <c r="AT18" i="138"/>
  <c r="AU18" i="138"/>
  <c r="AV18" i="138"/>
  <c r="AW18" i="138"/>
  <c r="AX18" i="138"/>
  <c r="AY18" i="138"/>
  <c r="AC18" i="138"/>
  <c r="AM52" i="132"/>
  <c r="AM50" i="132"/>
  <c r="AI52" i="132"/>
  <c r="AI50" i="132"/>
  <c r="AE52" i="132"/>
  <c r="AE50" i="132"/>
  <c r="AL50" i="132"/>
  <c r="AL52" i="132"/>
  <c r="AH50" i="132"/>
  <c r="AH52" i="132"/>
  <c r="AD52" i="132"/>
  <c r="AD50" i="132"/>
  <c r="AK52" i="132"/>
  <c r="AK50" i="132"/>
  <c r="AG52" i="132"/>
  <c r="AG50" i="132"/>
  <c r="AC48" i="132"/>
  <c r="AC49" i="132"/>
  <c r="AC50" i="132"/>
  <c r="AC46" i="132"/>
  <c r="AC47" i="132"/>
  <c r="AC52" i="132"/>
  <c r="AJ52" i="132"/>
  <c r="AJ50" i="132"/>
  <c r="AF52" i="132"/>
  <c r="AF50" i="132"/>
  <c r="AA50" i="132"/>
  <c r="AA46" i="132"/>
  <c r="AA49" i="132"/>
  <c r="AA47" i="132"/>
  <c r="AA48" i="132"/>
  <c r="BF39" i="132"/>
  <c r="BF54" i="132"/>
  <c r="BF53" i="132"/>
  <c r="AX39" i="132"/>
  <c r="AX54" i="132"/>
  <c r="AX53" i="132"/>
  <c r="AP39" i="132"/>
  <c r="AP54" i="132"/>
  <c r="AP53" i="132"/>
  <c r="AD39" i="132"/>
  <c r="AD54" i="132"/>
  <c r="AD53" i="132"/>
  <c r="AD46" i="132"/>
  <c r="BJ39" i="132"/>
  <c r="BJ54" i="132"/>
  <c r="BJ53" i="132"/>
  <c r="BB39" i="132"/>
  <c r="BB54" i="132"/>
  <c r="BB53" i="132"/>
  <c r="AT39" i="132"/>
  <c r="AT54" i="132"/>
  <c r="AT53" i="132"/>
  <c r="AL39" i="132"/>
  <c r="AL54" i="132"/>
  <c r="AL53" i="132"/>
  <c r="AL46" i="132"/>
  <c r="AH39" i="132"/>
  <c r="AH54" i="132"/>
  <c r="AH53" i="132"/>
  <c r="AH46" i="132"/>
  <c r="BI39" i="132"/>
  <c r="BI54" i="132"/>
  <c r="BI53" i="132"/>
  <c r="BE39" i="132"/>
  <c r="BE54" i="132"/>
  <c r="BE53" i="132"/>
  <c r="BA39" i="132"/>
  <c r="BA54" i="132"/>
  <c r="BA53" i="132"/>
  <c r="AW39" i="132"/>
  <c r="AW54" i="132"/>
  <c r="AW53" i="132"/>
  <c r="AS39" i="132"/>
  <c r="AS54" i="132"/>
  <c r="AS53" i="132"/>
  <c r="AO39" i="132"/>
  <c r="AO54" i="132"/>
  <c r="AO53" i="132"/>
  <c r="AK39" i="132"/>
  <c r="AK54" i="132"/>
  <c r="AK53" i="132"/>
  <c r="AK46" i="132"/>
  <c r="AG39" i="132"/>
  <c r="AG54" i="132"/>
  <c r="AG53" i="132"/>
  <c r="AG46" i="132"/>
  <c r="AC39" i="132"/>
  <c r="BH39" i="132"/>
  <c r="BH53" i="132"/>
  <c r="BH54" i="132"/>
  <c r="BD39" i="132"/>
  <c r="BD53" i="132"/>
  <c r="BD54" i="132"/>
  <c r="AZ39" i="132"/>
  <c r="AZ53" i="132"/>
  <c r="AZ54" i="132"/>
  <c r="AV39" i="132"/>
  <c r="AV53" i="132"/>
  <c r="AV54" i="132"/>
  <c r="AR39" i="132"/>
  <c r="AR53" i="132"/>
  <c r="AR54" i="132"/>
  <c r="AN39" i="132"/>
  <c r="AN53" i="132"/>
  <c r="AN54" i="132"/>
  <c r="AJ39" i="132"/>
  <c r="AJ54" i="132"/>
  <c r="AJ53" i="132"/>
  <c r="AJ46" i="132"/>
  <c r="AF39" i="132"/>
  <c r="AF53" i="132"/>
  <c r="AF54" i="132"/>
  <c r="AF46" i="132"/>
  <c r="AA54" i="132"/>
  <c r="AA53" i="132"/>
  <c r="BK39" i="132"/>
  <c r="BK54" i="132"/>
  <c r="BG39" i="132"/>
  <c r="BG53" i="132"/>
  <c r="BG54" i="132"/>
  <c r="BC39" i="132"/>
  <c r="BC54" i="132"/>
  <c r="BC53" i="132"/>
  <c r="AY39" i="132"/>
  <c r="AY54" i="132"/>
  <c r="AY53" i="132"/>
  <c r="AU39" i="132"/>
  <c r="AU54" i="132"/>
  <c r="AU53" i="132"/>
  <c r="AQ39" i="132"/>
  <c r="AQ53" i="132"/>
  <c r="AQ54" i="132"/>
  <c r="AM39" i="132"/>
  <c r="AM54" i="132"/>
  <c r="AM53" i="132"/>
  <c r="AI39" i="132"/>
  <c r="AI54" i="132"/>
  <c r="AI53" i="132"/>
  <c r="AI46" i="132"/>
  <c r="AI55" i="132" s="1"/>
  <c r="AE39" i="132"/>
  <c r="AE54" i="132"/>
  <c r="AE53" i="132"/>
  <c r="AE46" i="132"/>
  <c r="AA16" i="132"/>
  <c r="AA22" i="132"/>
  <c r="AA13" i="132"/>
  <c r="AA23" i="132"/>
  <c r="AA15" i="132"/>
  <c r="AA24" i="132"/>
  <c r="AA39" i="132"/>
  <c r="BS24" i="135"/>
  <c r="BO24" i="135"/>
  <c r="BK24" i="135"/>
  <c r="BG24" i="135"/>
  <c r="BC24" i="135"/>
  <c r="AY24" i="135"/>
  <c r="AU24" i="135"/>
  <c r="AQ24" i="135"/>
  <c r="AM24" i="135"/>
  <c r="AI24" i="135"/>
  <c r="AE24" i="135"/>
  <c r="AA22" i="135"/>
  <c r="AA16" i="135"/>
  <c r="AA15" i="135"/>
  <c r="AA24" i="135"/>
  <c r="AA13" i="135"/>
  <c r="AA23" i="135"/>
  <c r="BS32" i="136"/>
  <c r="BO32" i="136"/>
  <c r="BK32" i="136"/>
  <c r="BG32" i="136"/>
  <c r="BC32" i="136"/>
  <c r="AY32" i="136"/>
  <c r="AU32" i="136"/>
  <c r="AQ32" i="136"/>
  <c r="AM32" i="136"/>
  <c r="AI32" i="136"/>
  <c r="AE32" i="136"/>
  <c r="AA22" i="131"/>
  <c r="AA39" i="131"/>
  <c r="BV24" i="135"/>
  <c r="BR24" i="135"/>
  <c r="BN24" i="135"/>
  <c r="BJ24" i="135"/>
  <c r="BF24" i="135"/>
  <c r="BB24" i="135"/>
  <c r="AX24" i="135"/>
  <c r="AT24" i="135"/>
  <c r="AP24" i="135"/>
  <c r="AL24" i="135"/>
  <c r="AH24" i="135"/>
  <c r="AD24" i="135"/>
  <c r="BV32" i="136"/>
  <c r="BR32" i="136"/>
  <c r="BN32" i="136"/>
  <c r="BJ32" i="136"/>
  <c r="BF32" i="136"/>
  <c r="BB32" i="136"/>
  <c r="AX32" i="136"/>
  <c r="AT32" i="136"/>
  <c r="AP32" i="136"/>
  <c r="AL32" i="136"/>
  <c r="AH32" i="136"/>
  <c r="AD32" i="136"/>
  <c r="BU24" i="135"/>
  <c r="BQ24" i="135"/>
  <c r="BM24" i="135"/>
  <c r="BI24" i="135"/>
  <c r="BE24" i="135"/>
  <c r="BA24" i="135"/>
  <c r="AW24" i="135"/>
  <c r="AS24" i="135"/>
  <c r="AO24" i="135"/>
  <c r="AK24" i="135"/>
  <c r="AG24" i="135"/>
  <c r="AC15" i="135"/>
  <c r="AC24" i="135"/>
  <c r="AC13" i="135"/>
  <c r="BU32" i="136"/>
  <c r="BQ32" i="136"/>
  <c r="BM32" i="136"/>
  <c r="BI32" i="136"/>
  <c r="BE32" i="136"/>
  <c r="BA32" i="136"/>
  <c r="AW32" i="136"/>
  <c r="AS32" i="136"/>
  <c r="AO32" i="136"/>
  <c r="AK32" i="136"/>
  <c r="AG32" i="136"/>
  <c r="AC32" i="136"/>
  <c r="AC13" i="136"/>
  <c r="AC15" i="136"/>
  <c r="BT24" i="135"/>
  <c r="BP24" i="135"/>
  <c r="BL24" i="135"/>
  <c r="BH24" i="135"/>
  <c r="BD24" i="135"/>
  <c r="AZ24" i="135"/>
  <c r="AV24" i="135"/>
  <c r="AR24" i="135"/>
  <c r="AN24" i="135"/>
  <c r="AJ24" i="135"/>
  <c r="AF24" i="135"/>
  <c r="AB13" i="135"/>
  <c r="AB15" i="135"/>
  <c r="AB24" i="135"/>
  <c r="BT32" i="136"/>
  <c r="BP32" i="136"/>
  <c r="BL32" i="136"/>
  <c r="BH32" i="136"/>
  <c r="BD32" i="136"/>
  <c r="AZ32" i="136"/>
  <c r="AV32" i="136"/>
  <c r="AR32" i="136"/>
  <c r="AN32" i="136"/>
  <c r="AJ32" i="136"/>
  <c r="AF32" i="136"/>
  <c r="AB32" i="136"/>
  <c r="AB15" i="136"/>
  <c r="AA22" i="134"/>
  <c r="AA22" i="133"/>
  <c r="BT46" i="132"/>
  <c r="BT47" i="132"/>
  <c r="BT48" i="132"/>
  <c r="BT49" i="132"/>
  <c r="BT50" i="132"/>
  <c r="BT51" i="132"/>
  <c r="BT52" i="132"/>
  <c r="BT53" i="132"/>
  <c r="BT54" i="132"/>
  <c r="BT32" i="132"/>
  <c r="BT34" i="132"/>
  <c r="BT35" i="132"/>
  <c r="BT36" i="132"/>
  <c r="BT37" i="132"/>
  <c r="BT38" i="132"/>
  <c r="BT40" i="132"/>
  <c r="BT41" i="132"/>
  <c r="BT24" i="132"/>
  <c r="BH46" i="132"/>
  <c r="BH47" i="132"/>
  <c r="BH48" i="132"/>
  <c r="BH49" i="132"/>
  <c r="BH51" i="132"/>
  <c r="BH52" i="132"/>
  <c r="BH32" i="132"/>
  <c r="BH34" i="132"/>
  <c r="BH35" i="132"/>
  <c r="BH36" i="132"/>
  <c r="BH37" i="132"/>
  <c r="BH38" i="132"/>
  <c r="BH40" i="132"/>
  <c r="BH41" i="132"/>
  <c r="BH24" i="132"/>
  <c r="AZ46" i="132"/>
  <c r="AZ47" i="132"/>
  <c r="AZ48" i="132"/>
  <c r="AZ49" i="132"/>
  <c r="AZ51" i="132"/>
  <c r="AZ52" i="132"/>
  <c r="AZ32" i="132"/>
  <c r="AZ34" i="132"/>
  <c r="AZ35" i="132"/>
  <c r="AZ36" i="132"/>
  <c r="AZ37" i="132"/>
  <c r="AZ38" i="132"/>
  <c r="AZ40" i="132"/>
  <c r="AZ41" i="132"/>
  <c r="AZ24" i="132"/>
  <c r="AN46" i="132"/>
  <c r="AN47" i="132"/>
  <c r="AN48" i="132"/>
  <c r="AN49" i="132"/>
  <c r="AN51" i="132"/>
  <c r="AN52" i="132"/>
  <c r="AN32" i="132"/>
  <c r="AN34" i="132"/>
  <c r="AN35" i="132"/>
  <c r="AN37" i="132"/>
  <c r="AN38" i="132"/>
  <c r="AN40" i="132"/>
  <c r="AN41" i="132"/>
  <c r="AN24" i="132"/>
  <c r="AN36" i="132"/>
  <c r="AB51" i="132"/>
  <c r="AB52" i="132"/>
  <c r="AB13" i="132"/>
  <c r="AB24" i="132"/>
  <c r="AB15" i="132"/>
  <c r="BT40" i="134"/>
  <c r="BH40" i="134"/>
  <c r="AN40" i="134"/>
  <c r="AB40" i="134"/>
  <c r="BL24" i="133"/>
  <c r="BL32" i="133"/>
  <c r="AZ24" i="133"/>
  <c r="AZ32" i="133"/>
  <c r="AR24" i="133"/>
  <c r="AR32" i="133"/>
  <c r="BU46" i="132"/>
  <c r="BU47" i="132"/>
  <c r="BU48" i="132"/>
  <c r="BU49" i="132"/>
  <c r="BU55" i="132" s="1"/>
  <c r="BU50" i="132"/>
  <c r="BU51" i="132"/>
  <c r="BU52" i="132"/>
  <c r="BU53" i="132"/>
  <c r="BU54" i="132"/>
  <c r="BU32" i="132"/>
  <c r="BU34" i="132"/>
  <c r="BU35" i="132"/>
  <c r="BU36" i="132"/>
  <c r="BU37" i="132"/>
  <c r="BU38" i="132"/>
  <c r="BU40" i="132"/>
  <c r="BU41" i="132"/>
  <c r="BU24" i="132"/>
  <c r="BQ46" i="132"/>
  <c r="BQ47" i="132"/>
  <c r="BQ48" i="132"/>
  <c r="BQ49" i="132"/>
  <c r="BQ50" i="132"/>
  <c r="BQ51" i="132"/>
  <c r="BQ52" i="132"/>
  <c r="BQ53" i="132"/>
  <c r="BQ54" i="132"/>
  <c r="BQ32" i="132"/>
  <c r="BQ34" i="132"/>
  <c r="BQ35" i="132"/>
  <c r="BQ36" i="132"/>
  <c r="BQ37" i="132"/>
  <c r="BQ38" i="132"/>
  <c r="BQ40" i="132"/>
  <c r="BQ41" i="132"/>
  <c r="BQ24" i="132"/>
  <c r="BM46" i="132"/>
  <c r="BM47" i="132"/>
  <c r="BM48" i="132"/>
  <c r="BM49" i="132"/>
  <c r="BM50" i="132"/>
  <c r="BM51" i="132"/>
  <c r="BM52" i="132"/>
  <c r="BM53" i="132"/>
  <c r="BM54" i="132"/>
  <c r="BM32" i="132"/>
  <c r="BM34" i="132"/>
  <c r="BM35" i="132"/>
  <c r="BM36" i="132"/>
  <c r="BM37" i="132"/>
  <c r="BM38" i="132"/>
  <c r="BM40" i="132"/>
  <c r="BM41" i="132"/>
  <c r="BM24" i="132"/>
  <c r="BI46" i="132"/>
  <c r="BI47" i="132"/>
  <c r="BI48" i="132"/>
  <c r="BI49" i="132"/>
  <c r="BI51" i="132"/>
  <c r="BI52" i="132"/>
  <c r="BI32" i="132"/>
  <c r="BI34" i="132"/>
  <c r="BI35" i="132"/>
  <c r="BI36" i="132"/>
  <c r="BI37" i="132"/>
  <c r="BI38" i="132"/>
  <c r="BI40" i="132"/>
  <c r="BI41" i="132"/>
  <c r="BI24" i="132"/>
  <c r="BE46" i="132"/>
  <c r="BE47" i="132"/>
  <c r="BE48" i="132"/>
  <c r="BE49" i="132"/>
  <c r="BE51" i="132"/>
  <c r="BE52" i="132"/>
  <c r="BE32" i="132"/>
  <c r="BE34" i="132"/>
  <c r="BE35" i="132"/>
  <c r="BE36" i="132"/>
  <c r="BE37" i="132"/>
  <c r="BE38" i="132"/>
  <c r="BE40" i="132"/>
  <c r="BE41" i="132"/>
  <c r="BE24" i="132"/>
  <c r="BA46" i="132"/>
  <c r="BA47" i="132"/>
  <c r="BA48" i="132"/>
  <c r="BA49" i="132"/>
  <c r="BA51" i="132"/>
  <c r="BA52" i="132"/>
  <c r="BA32" i="132"/>
  <c r="BA34" i="132"/>
  <c r="BA35" i="132"/>
  <c r="BA36" i="132"/>
  <c r="BA37" i="132"/>
  <c r="BA38" i="132"/>
  <c r="BA40" i="132"/>
  <c r="BA41" i="132"/>
  <c r="BA24" i="132"/>
  <c r="AW46" i="132"/>
  <c r="AW47" i="132"/>
  <c r="AW48" i="132"/>
  <c r="AW49" i="132"/>
  <c r="AW51" i="132"/>
  <c r="AW52" i="132"/>
  <c r="AW32" i="132"/>
  <c r="AW34" i="132"/>
  <c r="AW35" i="132"/>
  <c r="AW36" i="132"/>
  <c r="AW37" i="132"/>
  <c r="AW38" i="132"/>
  <c r="AW40" i="132"/>
  <c r="AW41" i="132"/>
  <c r="AW24" i="132"/>
  <c r="AS46" i="132"/>
  <c r="AS47" i="132"/>
  <c r="AS55" i="132" s="1"/>
  <c r="AS48" i="132"/>
  <c r="AS49" i="132"/>
  <c r="AS51" i="132"/>
  <c r="AS52" i="132"/>
  <c r="AS32" i="132"/>
  <c r="AS34" i="132"/>
  <c r="AS35" i="132"/>
  <c r="AS36" i="132"/>
  <c r="AS37" i="132"/>
  <c r="AS38" i="132"/>
  <c r="AS40" i="132"/>
  <c r="AS41" i="132"/>
  <c r="AS24" i="132"/>
  <c r="AO46" i="132"/>
  <c r="AO47" i="132"/>
  <c r="AO48" i="132"/>
  <c r="AO55" i="132" s="1"/>
  <c r="AO49" i="132"/>
  <c r="AO51" i="132"/>
  <c r="AO52" i="132"/>
  <c r="AO32" i="132"/>
  <c r="AO34" i="132"/>
  <c r="AO35" i="132"/>
  <c r="AO36" i="132"/>
  <c r="AO37" i="132"/>
  <c r="AO38" i="132"/>
  <c r="AO40" i="132"/>
  <c r="AO41" i="132"/>
  <c r="AO24" i="132"/>
  <c r="AK47" i="132"/>
  <c r="AK48" i="132"/>
  <c r="AK49" i="132"/>
  <c r="AK51" i="132"/>
  <c r="AK55" i="132" s="1"/>
  <c r="AK32" i="132"/>
  <c r="AK34" i="132"/>
  <c r="AK35" i="132"/>
  <c r="AK36" i="132"/>
  <c r="AK37" i="132"/>
  <c r="AK38" i="132"/>
  <c r="AK40" i="132"/>
  <c r="AK41" i="132"/>
  <c r="AK24" i="132"/>
  <c r="AG47" i="132"/>
  <c r="AG48" i="132"/>
  <c r="AG49" i="132"/>
  <c r="AG55" i="132" s="1"/>
  <c r="AG51" i="132"/>
  <c r="AG32" i="132"/>
  <c r="AG34" i="132"/>
  <c r="AG35" i="132"/>
  <c r="AG36" i="132"/>
  <c r="AG37" i="132"/>
  <c r="AG38" i="132"/>
  <c r="AG40" i="132"/>
  <c r="AG41" i="132"/>
  <c r="AG24" i="132"/>
  <c r="AC51" i="132"/>
  <c r="AC32" i="132"/>
  <c r="AC34" i="132"/>
  <c r="AC35" i="132"/>
  <c r="AC36" i="132"/>
  <c r="AC15" i="132"/>
  <c r="AC37" i="132"/>
  <c r="AC38" i="132"/>
  <c r="AC40" i="132"/>
  <c r="AC41" i="132"/>
  <c r="AC13" i="132"/>
  <c r="AC24" i="132"/>
  <c r="BU40" i="134"/>
  <c r="BQ40" i="134"/>
  <c r="BM40" i="134"/>
  <c r="BI40" i="134"/>
  <c r="BE40" i="134"/>
  <c r="BA40" i="134"/>
  <c r="AW40" i="134"/>
  <c r="AS40" i="134"/>
  <c r="AO40" i="134"/>
  <c r="AK40" i="134"/>
  <c r="AG40" i="134"/>
  <c r="AC40" i="134"/>
  <c r="AC15" i="134"/>
  <c r="AC13" i="134"/>
  <c r="BU32" i="133"/>
  <c r="BU24" i="133"/>
  <c r="BQ32" i="133"/>
  <c r="BQ24" i="133"/>
  <c r="BM32" i="133"/>
  <c r="BM24" i="133"/>
  <c r="BI32" i="133"/>
  <c r="BI24" i="133"/>
  <c r="BE32" i="133"/>
  <c r="BE24" i="133"/>
  <c r="BA32" i="133"/>
  <c r="BA24" i="133"/>
  <c r="AW32" i="133"/>
  <c r="AW24" i="133"/>
  <c r="AS32" i="133"/>
  <c r="AS24" i="133"/>
  <c r="AO32" i="133"/>
  <c r="AO24" i="133"/>
  <c r="AK32" i="133"/>
  <c r="AK24" i="133"/>
  <c r="AG32" i="133"/>
  <c r="AG24" i="133"/>
  <c r="AC32" i="133"/>
  <c r="AC15" i="133"/>
  <c r="AC24" i="133"/>
  <c r="AC13" i="133"/>
  <c r="BL46" i="132"/>
  <c r="BL47" i="132"/>
  <c r="BL55" i="132" s="1"/>
  <c r="BL48" i="132"/>
  <c r="BL49" i="132"/>
  <c r="BL50" i="132"/>
  <c r="BL51" i="132"/>
  <c r="BL52" i="132"/>
  <c r="BL53" i="132"/>
  <c r="BL54" i="132"/>
  <c r="BL32" i="132"/>
  <c r="BL34" i="132"/>
  <c r="BL35" i="132"/>
  <c r="BL36" i="132"/>
  <c r="BL37" i="132"/>
  <c r="BL38" i="132"/>
  <c r="BL40" i="132"/>
  <c r="BL41" i="132"/>
  <c r="BL24" i="132"/>
  <c r="AR46" i="132"/>
  <c r="AR47" i="132"/>
  <c r="AR48" i="132"/>
  <c r="AR49" i="132"/>
  <c r="AR51" i="132"/>
  <c r="AR52" i="132"/>
  <c r="AR32" i="132"/>
  <c r="AR34" i="132"/>
  <c r="AR35" i="132"/>
  <c r="AR37" i="132"/>
  <c r="AR38" i="132"/>
  <c r="AR40" i="132"/>
  <c r="AR41" i="132"/>
  <c r="AR24" i="132"/>
  <c r="AR36" i="132"/>
  <c r="AF47" i="132"/>
  <c r="AF55" i="132" s="1"/>
  <c r="AF48" i="132"/>
  <c r="AF49" i="132"/>
  <c r="AF51" i="132"/>
  <c r="AF32" i="132"/>
  <c r="AF34" i="132"/>
  <c r="AF35" i="132"/>
  <c r="AF36" i="132"/>
  <c r="AF37" i="132"/>
  <c r="AF38" i="132"/>
  <c r="AF40" i="132"/>
  <c r="AF41" i="132"/>
  <c r="AF24" i="132"/>
  <c r="BP40" i="134"/>
  <c r="AZ40" i="134"/>
  <c r="AR40" i="134"/>
  <c r="AF40" i="134"/>
  <c r="BP24" i="133"/>
  <c r="BP32" i="133"/>
  <c r="BH24" i="133"/>
  <c r="BH32" i="133"/>
  <c r="AV24" i="133"/>
  <c r="AV32" i="133"/>
  <c r="AN24" i="133"/>
  <c r="AN32" i="133"/>
  <c r="AJ24" i="133"/>
  <c r="AJ32" i="133"/>
  <c r="AF24" i="133"/>
  <c r="AF32" i="133"/>
  <c r="AB13" i="133"/>
  <c r="AB15" i="133"/>
  <c r="AB32" i="133"/>
  <c r="AB24" i="133"/>
  <c r="BS52" i="132"/>
  <c r="BS53" i="132"/>
  <c r="BS54" i="132"/>
  <c r="BS32" i="132"/>
  <c r="BS34" i="132"/>
  <c r="BS35" i="132"/>
  <c r="BS46" i="132"/>
  <c r="BS47" i="132"/>
  <c r="BS48" i="132"/>
  <c r="BS49" i="132"/>
  <c r="BS50" i="132"/>
  <c r="BS51" i="132"/>
  <c r="BS36" i="132"/>
  <c r="BS37" i="132"/>
  <c r="BS38" i="132"/>
  <c r="BS40" i="132"/>
  <c r="BS41" i="132"/>
  <c r="BS24" i="132"/>
  <c r="BO46" i="132"/>
  <c r="BO47" i="132"/>
  <c r="BO48" i="132"/>
  <c r="BO49" i="132"/>
  <c r="BO50" i="132"/>
  <c r="BO51" i="132"/>
  <c r="BO52" i="132"/>
  <c r="BO53" i="132"/>
  <c r="BO54" i="132"/>
  <c r="BO32" i="132"/>
  <c r="BO34" i="132"/>
  <c r="BO35" i="132"/>
  <c r="BO36" i="132"/>
  <c r="BO37" i="132"/>
  <c r="BO38" i="132"/>
  <c r="BO40" i="132"/>
  <c r="BO41" i="132"/>
  <c r="BO24" i="132"/>
  <c r="BK46" i="132"/>
  <c r="BK47" i="132"/>
  <c r="BK48" i="132"/>
  <c r="BK49" i="132"/>
  <c r="BK50" i="132"/>
  <c r="BK51" i="132"/>
  <c r="BK52" i="132"/>
  <c r="BK53" i="132"/>
  <c r="BK32" i="132"/>
  <c r="BK34" i="132"/>
  <c r="BK35" i="132"/>
  <c r="BK36" i="132"/>
  <c r="BK37" i="132"/>
  <c r="BK38" i="132"/>
  <c r="BK40" i="132"/>
  <c r="BK41" i="132"/>
  <c r="BK24" i="132"/>
  <c r="BG46" i="132"/>
  <c r="BG47" i="132"/>
  <c r="BG48" i="132"/>
  <c r="BG49" i="132"/>
  <c r="BG51" i="132"/>
  <c r="BG52" i="132"/>
  <c r="BG32" i="132"/>
  <c r="BG34" i="132"/>
  <c r="BG35" i="132"/>
  <c r="BG36" i="132"/>
  <c r="BG37" i="132"/>
  <c r="BG38" i="132"/>
  <c r="BG40" i="132"/>
  <c r="BG41" i="132"/>
  <c r="BG24" i="132"/>
  <c r="BC52" i="132"/>
  <c r="BC36" i="132"/>
  <c r="BC37" i="132"/>
  <c r="BC38" i="132"/>
  <c r="BC40" i="132"/>
  <c r="BC41" i="132"/>
  <c r="BC24" i="132"/>
  <c r="BC46" i="132"/>
  <c r="BC47" i="132"/>
  <c r="BC48" i="132"/>
  <c r="BC49" i="132"/>
  <c r="BC51" i="132"/>
  <c r="BC32" i="132"/>
  <c r="BC34" i="132"/>
  <c r="BC35" i="132"/>
  <c r="AY46" i="132"/>
  <c r="AY55" i="132" s="1"/>
  <c r="AY47" i="132"/>
  <c r="AY48" i="132"/>
  <c r="AY49" i="132"/>
  <c r="AY51" i="132"/>
  <c r="AY52" i="132"/>
  <c r="AY32" i="132"/>
  <c r="AY34" i="132"/>
  <c r="AY35" i="132"/>
  <c r="AY36" i="132"/>
  <c r="AY37" i="132"/>
  <c r="AY38" i="132"/>
  <c r="AY40" i="132"/>
  <c r="AY41" i="132"/>
  <c r="AY24" i="132"/>
  <c r="AU46" i="132"/>
  <c r="AU47" i="132"/>
  <c r="AU48" i="132"/>
  <c r="AU49" i="132"/>
  <c r="AU51" i="132"/>
  <c r="AU52" i="132"/>
  <c r="AU32" i="132"/>
  <c r="AU34" i="132"/>
  <c r="AU35" i="132"/>
  <c r="AU36" i="132"/>
  <c r="AU37" i="132"/>
  <c r="AU38" i="132"/>
  <c r="AU40" i="132"/>
  <c r="AU41" i="132"/>
  <c r="AU24" i="132"/>
  <c r="AQ36" i="132"/>
  <c r="AQ46" i="132"/>
  <c r="AQ47" i="132"/>
  <c r="AQ48" i="132"/>
  <c r="AQ49" i="132"/>
  <c r="AQ51" i="132"/>
  <c r="AQ52" i="132"/>
  <c r="AQ32" i="132"/>
  <c r="AQ34" i="132"/>
  <c r="AQ35" i="132"/>
  <c r="AQ37" i="132"/>
  <c r="AQ38" i="132"/>
  <c r="AQ40" i="132"/>
  <c r="AQ41" i="132"/>
  <c r="AQ24" i="132"/>
  <c r="AM46" i="132"/>
  <c r="AM47" i="132"/>
  <c r="AM48" i="132"/>
  <c r="AM49" i="132"/>
  <c r="AM55" i="132" s="1"/>
  <c r="AM51" i="132"/>
  <c r="AM32" i="132"/>
  <c r="AM35" i="132"/>
  <c r="AM36" i="132"/>
  <c r="AM37" i="132"/>
  <c r="AM38" i="132"/>
  <c r="AM40" i="132"/>
  <c r="AM41" i="132"/>
  <c r="AM24" i="132"/>
  <c r="AM34" i="132"/>
  <c r="AI47" i="132"/>
  <c r="AI48" i="132"/>
  <c r="AI49" i="132"/>
  <c r="AI51" i="132"/>
  <c r="AI32" i="132"/>
  <c r="AI34" i="132"/>
  <c r="AI35" i="132"/>
  <c r="AI36" i="132"/>
  <c r="AI37" i="132"/>
  <c r="AI38" i="132"/>
  <c r="AI40" i="132"/>
  <c r="AI41" i="132"/>
  <c r="AI24" i="132"/>
  <c r="AE47" i="132"/>
  <c r="AE48" i="132"/>
  <c r="AE49" i="132"/>
  <c r="AE51" i="132"/>
  <c r="AE32" i="132"/>
  <c r="AE34" i="132"/>
  <c r="AE35" i="132"/>
  <c r="AE36" i="132"/>
  <c r="AE37" i="132"/>
  <c r="AE38" i="132"/>
  <c r="AE40" i="132"/>
  <c r="AE41" i="132"/>
  <c r="AE24" i="132"/>
  <c r="AA51" i="132"/>
  <c r="AA52" i="132"/>
  <c r="AA59" i="132" s="1"/>
  <c r="AA32" i="132"/>
  <c r="AA34" i="132"/>
  <c r="AA35" i="132"/>
  <c r="AA36" i="132"/>
  <c r="AA37" i="132"/>
  <c r="AA38" i="132"/>
  <c r="AA40" i="132"/>
  <c r="AA41" i="132"/>
  <c r="BS40" i="134"/>
  <c r="BO40" i="134"/>
  <c r="BK40" i="134"/>
  <c r="BG40" i="134"/>
  <c r="BC40" i="134"/>
  <c r="AY40" i="134"/>
  <c r="AU40" i="134"/>
  <c r="AQ40" i="134"/>
  <c r="AM40" i="134"/>
  <c r="AI40" i="134"/>
  <c r="AE40" i="134"/>
  <c r="AA40" i="134"/>
  <c r="AA15" i="134"/>
  <c r="AA16" i="134"/>
  <c r="AA13" i="134"/>
  <c r="AA23" i="134"/>
  <c r="BS24" i="133"/>
  <c r="BS32" i="133"/>
  <c r="BO24" i="133"/>
  <c r="BO32" i="133"/>
  <c r="BK24" i="133"/>
  <c r="BK32" i="133"/>
  <c r="BG24" i="133"/>
  <c r="BG32" i="133"/>
  <c r="BC24" i="133"/>
  <c r="BC32" i="133"/>
  <c r="AY24" i="133"/>
  <c r="AY32" i="133"/>
  <c r="AU24" i="133"/>
  <c r="AU32" i="133"/>
  <c r="AQ24" i="133"/>
  <c r="AQ32" i="133"/>
  <c r="AM24" i="133"/>
  <c r="AM32" i="133"/>
  <c r="AI24" i="133"/>
  <c r="AI32" i="133"/>
  <c r="AE24" i="133"/>
  <c r="AE32" i="133"/>
  <c r="AA16" i="133"/>
  <c r="AA28" i="133"/>
  <c r="AA23" i="133"/>
  <c r="AA13" i="133"/>
  <c r="AA14" i="133" s="1"/>
  <c r="AA20" i="133"/>
  <c r="AA24" i="133"/>
  <c r="AA26" i="133"/>
  <c r="AA32" i="133"/>
  <c r="AA15" i="133"/>
  <c r="BP46" i="132"/>
  <c r="BP47" i="132"/>
  <c r="BP48" i="132"/>
  <c r="BP49" i="132"/>
  <c r="BP50" i="132"/>
  <c r="BP51" i="132"/>
  <c r="BP52" i="132"/>
  <c r="BP53" i="132"/>
  <c r="BP54" i="132"/>
  <c r="BP32" i="132"/>
  <c r="BP34" i="132"/>
  <c r="BP35" i="132"/>
  <c r="BP36" i="132"/>
  <c r="BP37" i="132"/>
  <c r="BP38" i="132"/>
  <c r="BP40" i="132"/>
  <c r="BP41" i="132"/>
  <c r="BP24" i="132"/>
  <c r="BD46" i="132"/>
  <c r="BD47" i="132"/>
  <c r="BD48" i="132"/>
  <c r="BD49" i="132"/>
  <c r="BD51" i="132"/>
  <c r="BD52" i="132"/>
  <c r="BD32" i="132"/>
  <c r="BD34" i="132"/>
  <c r="BD35" i="132"/>
  <c r="BD36" i="132"/>
  <c r="BD37" i="132"/>
  <c r="BD38" i="132"/>
  <c r="BD40" i="132"/>
  <c r="BD41" i="132"/>
  <c r="BD24" i="132"/>
  <c r="AV46" i="132"/>
  <c r="AV47" i="132"/>
  <c r="AV48" i="132"/>
  <c r="AV49" i="132"/>
  <c r="AV51" i="132"/>
  <c r="AV52" i="132"/>
  <c r="AV32" i="132"/>
  <c r="AV34" i="132"/>
  <c r="AV35" i="132"/>
  <c r="AV36" i="132"/>
  <c r="AV37" i="132"/>
  <c r="AV38" i="132"/>
  <c r="AV40" i="132"/>
  <c r="AV41" i="132"/>
  <c r="AV24" i="132"/>
  <c r="AJ47" i="132"/>
  <c r="AJ48" i="132"/>
  <c r="AJ49" i="132"/>
  <c r="AJ55" i="132" s="1"/>
  <c r="AJ51" i="132"/>
  <c r="AJ32" i="132"/>
  <c r="AJ34" i="132"/>
  <c r="AJ35" i="132"/>
  <c r="AJ36" i="132"/>
  <c r="AJ37" i="132"/>
  <c r="AJ38" i="132"/>
  <c r="AJ40" i="132"/>
  <c r="AJ41" i="132"/>
  <c r="AJ24" i="132"/>
  <c r="BL40" i="134"/>
  <c r="BD40" i="134"/>
  <c r="AV40" i="134"/>
  <c r="AJ40" i="134"/>
  <c r="BT24" i="133"/>
  <c r="BT32" i="133"/>
  <c r="BD24" i="133"/>
  <c r="BD32" i="133"/>
  <c r="BV46" i="132"/>
  <c r="BV47" i="132"/>
  <c r="BV48" i="132"/>
  <c r="BV49" i="132"/>
  <c r="BV50" i="132"/>
  <c r="BV51" i="132"/>
  <c r="BV52" i="132"/>
  <c r="BV53" i="132"/>
  <c r="BV54" i="132"/>
  <c r="BV32" i="132"/>
  <c r="BV34" i="132"/>
  <c r="BV35" i="132"/>
  <c r="BV38" i="132"/>
  <c r="BV40" i="132"/>
  <c r="BV36" i="132"/>
  <c r="BV37" i="132"/>
  <c r="BV41" i="132"/>
  <c r="BV24" i="132"/>
  <c r="BR46" i="132"/>
  <c r="BR47" i="132"/>
  <c r="BR48" i="132"/>
  <c r="BR49" i="132"/>
  <c r="BR50" i="132"/>
  <c r="BR51" i="132"/>
  <c r="BR52" i="132"/>
  <c r="BR53" i="132"/>
  <c r="BR54" i="132"/>
  <c r="BR32" i="132"/>
  <c r="BR34" i="132"/>
  <c r="BR35" i="132"/>
  <c r="BR36" i="132"/>
  <c r="BR37" i="132"/>
  <c r="BR41" i="132"/>
  <c r="BR24" i="132"/>
  <c r="BR38" i="132"/>
  <c r="BR40" i="132"/>
  <c r="BN46" i="132"/>
  <c r="BN47" i="132"/>
  <c r="BN48" i="132"/>
  <c r="BN49" i="132"/>
  <c r="BN50" i="132"/>
  <c r="BN51" i="132"/>
  <c r="BN52" i="132"/>
  <c r="BN53" i="132"/>
  <c r="BN54" i="132"/>
  <c r="BN32" i="132"/>
  <c r="BN34" i="132"/>
  <c r="BN35" i="132"/>
  <c r="BN40" i="132"/>
  <c r="BN24" i="132"/>
  <c r="BN36" i="132"/>
  <c r="BN37" i="132"/>
  <c r="BN38" i="132"/>
  <c r="BN41" i="132"/>
  <c r="BJ46" i="132"/>
  <c r="BJ47" i="132"/>
  <c r="BJ48" i="132"/>
  <c r="BJ49" i="132"/>
  <c r="BJ51" i="132"/>
  <c r="BJ52" i="132"/>
  <c r="BJ32" i="132"/>
  <c r="BJ34" i="132"/>
  <c r="BJ35" i="132"/>
  <c r="BJ38" i="132"/>
  <c r="BJ40" i="132"/>
  <c r="BJ36" i="132"/>
  <c r="BJ37" i="132"/>
  <c r="BJ41" i="132"/>
  <c r="BJ24" i="132"/>
  <c r="BF46" i="132"/>
  <c r="BF47" i="132"/>
  <c r="BF48" i="132"/>
  <c r="BF49" i="132"/>
  <c r="BF51" i="132"/>
  <c r="BF52" i="132"/>
  <c r="BF32" i="132"/>
  <c r="BF34" i="132"/>
  <c r="BF35" i="132"/>
  <c r="BF36" i="132"/>
  <c r="BF37" i="132"/>
  <c r="BF41" i="132"/>
  <c r="BF24" i="132"/>
  <c r="BF38" i="132"/>
  <c r="BF40" i="132"/>
  <c r="BB46" i="132"/>
  <c r="BB47" i="132"/>
  <c r="BB48" i="132"/>
  <c r="BB49" i="132"/>
  <c r="BB51" i="132"/>
  <c r="BB52" i="132"/>
  <c r="BB32" i="132"/>
  <c r="BB34" i="132"/>
  <c r="BB35" i="132"/>
  <c r="BB40" i="132"/>
  <c r="BB24" i="132"/>
  <c r="BB36" i="132"/>
  <c r="BB37" i="132"/>
  <c r="BB38" i="132"/>
  <c r="BB41" i="132"/>
  <c r="AX46" i="132"/>
  <c r="AX47" i="132"/>
  <c r="AX48" i="132"/>
  <c r="AX55" i="132" s="1"/>
  <c r="AX49" i="132"/>
  <c r="AX51" i="132"/>
  <c r="AX52" i="132"/>
  <c r="AX32" i="132"/>
  <c r="AX34" i="132"/>
  <c r="AX35" i="132"/>
  <c r="AX38" i="132"/>
  <c r="AX40" i="132"/>
  <c r="AX41" i="132"/>
  <c r="AX36" i="132"/>
  <c r="AX37" i="132"/>
  <c r="AX24" i="132"/>
  <c r="AT46" i="132"/>
  <c r="AT47" i="132"/>
  <c r="AT48" i="132"/>
  <c r="AT49" i="132"/>
  <c r="AT55" i="132" s="1"/>
  <c r="AT51" i="132"/>
  <c r="AT52" i="132"/>
  <c r="AT32" i="132"/>
  <c r="AT34" i="132"/>
  <c r="AT35" i="132"/>
  <c r="AT36" i="132"/>
  <c r="AT37" i="132"/>
  <c r="AT40" i="132"/>
  <c r="AT41" i="132"/>
  <c r="AT24" i="132"/>
  <c r="AT38" i="132"/>
  <c r="AP46" i="132"/>
  <c r="AP47" i="132"/>
  <c r="AP48" i="132"/>
  <c r="AP49" i="132"/>
  <c r="AP51" i="132"/>
  <c r="AP52" i="132"/>
  <c r="AP32" i="132"/>
  <c r="AP34" i="132"/>
  <c r="AP35" i="132"/>
  <c r="AP36" i="132"/>
  <c r="AP38" i="132"/>
  <c r="AP24" i="132"/>
  <c r="AP37" i="132"/>
  <c r="AP40" i="132"/>
  <c r="AP41" i="132"/>
  <c r="AL47" i="132"/>
  <c r="AL48" i="132"/>
  <c r="AL55" i="132" s="1"/>
  <c r="AL49" i="132"/>
  <c r="AL51" i="132"/>
  <c r="AL32" i="132"/>
  <c r="AL34" i="132"/>
  <c r="AL35" i="132"/>
  <c r="AL36" i="132"/>
  <c r="AL37" i="132"/>
  <c r="AL38" i="132"/>
  <c r="AL40" i="132"/>
  <c r="AL41" i="132"/>
  <c r="AL24" i="132"/>
  <c r="AH47" i="132"/>
  <c r="AH55" i="132" s="1"/>
  <c r="AH48" i="132"/>
  <c r="AH49" i="132"/>
  <c r="AH51" i="132"/>
  <c r="AH32" i="132"/>
  <c r="AH34" i="132"/>
  <c r="AH35" i="132"/>
  <c r="AH36" i="132"/>
  <c r="AH40" i="132"/>
  <c r="AH41" i="132"/>
  <c r="AH24" i="132"/>
  <c r="AH37" i="132"/>
  <c r="AH38" i="132"/>
  <c r="AD47" i="132"/>
  <c r="AD48" i="132"/>
  <c r="AD49" i="132"/>
  <c r="AD51" i="132"/>
  <c r="AD32" i="132"/>
  <c r="AD34" i="132"/>
  <c r="AD35" i="132"/>
  <c r="AD36" i="132"/>
  <c r="AD37" i="132"/>
  <c r="AD38" i="132"/>
  <c r="AD24" i="132"/>
  <c r="AD40" i="132"/>
  <c r="AD41" i="132"/>
  <c r="BV40" i="134"/>
  <c r="BR40" i="134"/>
  <c r="BN40" i="134"/>
  <c r="BJ40" i="134"/>
  <c r="BF40" i="134"/>
  <c r="BB40" i="134"/>
  <c r="AX40" i="134"/>
  <c r="AT40" i="134"/>
  <c r="AP40" i="134"/>
  <c r="AL40" i="134"/>
  <c r="AH40" i="134"/>
  <c r="AD40" i="134"/>
  <c r="BV32" i="133"/>
  <c r="BV24" i="133"/>
  <c r="BR32" i="133"/>
  <c r="BR24" i="133"/>
  <c r="BN32" i="133"/>
  <c r="BN24" i="133"/>
  <c r="BJ32" i="133"/>
  <c r="BJ24" i="133"/>
  <c r="BF32" i="133"/>
  <c r="BF24" i="133"/>
  <c r="BB32" i="133"/>
  <c r="BB24" i="133"/>
  <c r="AX32" i="133"/>
  <c r="AX24" i="133"/>
  <c r="AT32" i="133"/>
  <c r="AT24" i="133"/>
  <c r="AP32" i="133"/>
  <c r="AP24" i="133"/>
  <c r="AL32" i="133"/>
  <c r="AL24" i="133"/>
  <c r="AH32" i="133"/>
  <c r="AH24" i="133"/>
  <c r="AD32" i="133"/>
  <c r="AD24" i="133"/>
  <c r="AA16" i="131"/>
  <c r="AA23" i="131"/>
  <c r="AC13" i="131"/>
  <c r="AA13" i="131"/>
  <c r="AA15" i="131"/>
  <c r="AB13" i="131"/>
  <c r="E7" i="85"/>
  <c r="F7" i="85"/>
  <c r="P7" i="85"/>
  <c r="Q7" i="85"/>
  <c r="R7" i="85"/>
  <c r="BK55" i="132"/>
  <c r="AD55" i="132"/>
  <c r="AB55" i="132"/>
  <c r="C14" i="109"/>
  <c r="N145" i="109"/>
  <c r="N144" i="109"/>
  <c r="N143" i="109"/>
  <c r="N142" i="109"/>
  <c r="N141" i="109"/>
  <c r="N140" i="109"/>
  <c r="N139" i="109"/>
  <c r="N138" i="109"/>
  <c r="N137" i="109"/>
  <c r="N136" i="109"/>
  <c r="N135" i="109"/>
  <c r="N134" i="109"/>
  <c r="N133" i="109"/>
  <c r="N132" i="109"/>
  <c r="N131" i="109"/>
  <c r="N130" i="109"/>
  <c r="N129" i="109"/>
  <c r="N128" i="109"/>
  <c r="N127" i="109"/>
  <c r="N126" i="109"/>
  <c r="N125" i="109"/>
  <c r="N124" i="109"/>
  <c r="N123" i="109"/>
  <c r="N122" i="109"/>
  <c r="N121" i="109"/>
  <c r="N120" i="109"/>
  <c r="N119" i="109"/>
  <c r="N118" i="109"/>
  <c r="N117" i="109"/>
  <c r="N116" i="109"/>
  <c r="N115" i="109"/>
  <c r="N114" i="109"/>
  <c r="M13" i="109"/>
  <c r="M14" i="109"/>
  <c r="M99" i="109"/>
  <c r="M15" i="109"/>
  <c r="M16" i="109"/>
  <c r="M101" i="109"/>
  <c r="M17" i="109"/>
  <c r="M18" i="109"/>
  <c r="M19" i="109"/>
  <c r="M20" i="109"/>
  <c r="M105" i="109"/>
  <c r="M21" i="109"/>
  <c r="M22" i="109"/>
  <c r="M107" i="109"/>
  <c r="M23" i="109"/>
  <c r="M108" i="109"/>
  <c r="M24" i="109"/>
  <c r="M109" i="109"/>
  <c r="M106" i="109"/>
  <c r="M104" i="109"/>
  <c r="M103" i="109"/>
  <c r="M102" i="109"/>
  <c r="M100" i="109"/>
  <c r="M98" i="109"/>
  <c r="B98" i="109"/>
  <c r="M147" i="109"/>
  <c r="P18" i="130"/>
  <c r="Q18" i="130" s="1"/>
  <c r="R18" i="130" s="1"/>
  <c r="AD15" i="69"/>
  <c r="AD22" i="70"/>
  <c r="AH22" i="70"/>
  <c r="AI22" i="70"/>
  <c r="AJ22" i="70"/>
  <c r="AK22" i="70"/>
  <c r="AL22" i="70"/>
  <c r="AM22" i="70"/>
  <c r="AN22" i="70"/>
  <c r="AO22" i="70"/>
  <c r="AP22" i="70"/>
  <c r="AQ22" i="70"/>
  <c r="AR22" i="70"/>
  <c r="AS22" i="70"/>
  <c r="AT22" i="70"/>
  <c r="AU22" i="70"/>
  <c r="AV22" i="70"/>
  <c r="AW22" i="70"/>
  <c r="AX22" i="70"/>
  <c r="AY22" i="70"/>
  <c r="AZ22" i="70"/>
  <c r="BA22" i="70"/>
  <c r="BB22" i="70"/>
  <c r="BC22" i="70"/>
  <c r="BD22" i="70"/>
  <c r="BE22" i="70"/>
  <c r="BF22" i="70"/>
  <c r="BG22" i="70"/>
  <c r="BH22" i="70"/>
  <c r="BI22" i="70"/>
  <c r="BJ22" i="70"/>
  <c r="BK22" i="70"/>
  <c r="BL22" i="70"/>
  <c r="BM22" i="70"/>
  <c r="BN22" i="70"/>
  <c r="BO22" i="70"/>
  <c r="BP22" i="70"/>
  <c r="BQ22" i="70"/>
  <c r="BR22" i="70"/>
  <c r="BS22" i="70"/>
  <c r="BT22" i="70"/>
  <c r="BU22" i="70"/>
  <c r="BV22" i="70"/>
  <c r="AG15" i="69"/>
  <c r="AH15" i="69"/>
  <c r="AI15" i="69"/>
  <c r="AJ15" i="69"/>
  <c r="AK15" i="69"/>
  <c r="AL15" i="69"/>
  <c r="AM15" i="69"/>
  <c r="AN15" i="69"/>
  <c r="AO15" i="69"/>
  <c r="AP15" i="69"/>
  <c r="AQ15" i="69"/>
  <c r="AR15" i="69"/>
  <c r="AS15" i="69"/>
  <c r="AT15" i="69"/>
  <c r="AU15" i="69"/>
  <c r="AV15" i="69"/>
  <c r="AW15" i="69"/>
  <c r="AX15" i="69"/>
  <c r="AY15" i="69"/>
  <c r="AZ15" i="69"/>
  <c r="BA15" i="69"/>
  <c r="BB15" i="69"/>
  <c r="BC15" i="69"/>
  <c r="BD15" i="69"/>
  <c r="BE15" i="69"/>
  <c r="BF15" i="69"/>
  <c r="BG15" i="69"/>
  <c r="BH15" i="69"/>
  <c r="BI15" i="69"/>
  <c r="BJ15" i="69"/>
  <c r="BK15" i="69"/>
  <c r="BL15" i="69"/>
  <c r="BM15" i="69"/>
  <c r="BN15" i="69"/>
  <c r="BO15" i="69"/>
  <c r="BP15" i="69"/>
  <c r="BQ15" i="69"/>
  <c r="BR15" i="69"/>
  <c r="BS15" i="69"/>
  <c r="BT15" i="69"/>
  <c r="BU15" i="69"/>
  <c r="BV15" i="69"/>
  <c r="BW15" i="69"/>
  <c r="BX15" i="69"/>
  <c r="BY15" i="69"/>
  <c r="AD14" i="70"/>
  <c r="AC14" i="70"/>
  <c r="AB14" i="70"/>
  <c r="BX8" i="69"/>
  <c r="BY8" i="69"/>
  <c r="AD11" i="69"/>
  <c r="AD8" i="69"/>
  <c r="AD12" i="69" s="1"/>
  <c r="S8" i="69"/>
  <c r="T8" i="69"/>
  <c r="T40" i="70" s="1"/>
  <c r="U8" i="69"/>
  <c r="U12" i="69" s="1"/>
  <c r="V8" i="69"/>
  <c r="V40" i="70" s="1"/>
  <c r="W8" i="69"/>
  <c r="X8" i="69"/>
  <c r="X40" i="70" s="1"/>
  <c r="Y8" i="69"/>
  <c r="Y12" i="69" s="1"/>
  <c r="Z8" i="69"/>
  <c r="Z40" i="70" s="1"/>
  <c r="AA8" i="69"/>
  <c r="AB8" i="69"/>
  <c r="AB40" i="70" s="1"/>
  <c r="AC8" i="69"/>
  <c r="AC12" i="69" s="1"/>
  <c r="S11" i="69"/>
  <c r="T11" i="69"/>
  <c r="U11" i="69"/>
  <c r="V11" i="69"/>
  <c r="W11" i="69"/>
  <c r="X11" i="69"/>
  <c r="Y11" i="69"/>
  <c r="Z11" i="69"/>
  <c r="AA11" i="69"/>
  <c r="AB11" i="69"/>
  <c r="AC11" i="69"/>
  <c r="R8" i="69"/>
  <c r="R40" i="70" s="1"/>
  <c r="R11" i="69"/>
  <c r="AE36" i="70"/>
  <c r="AF36" i="70"/>
  <c r="AG36" i="70"/>
  <c r="AH36" i="70"/>
  <c r="AI36" i="70"/>
  <c r="AJ36" i="70"/>
  <c r="AK36" i="70"/>
  <c r="AL36" i="70"/>
  <c r="AM36" i="70"/>
  <c r="AN36" i="70"/>
  <c r="AO36" i="70"/>
  <c r="AP36" i="70"/>
  <c r="AQ36" i="70"/>
  <c r="AR36" i="70"/>
  <c r="AS36" i="70"/>
  <c r="AT36" i="70"/>
  <c r="AU36" i="70"/>
  <c r="AV36" i="70"/>
  <c r="AW36" i="70"/>
  <c r="AX36" i="70"/>
  <c r="AY36" i="70"/>
  <c r="AZ36" i="70"/>
  <c r="BA36" i="70"/>
  <c r="BB36" i="70"/>
  <c r="BC36" i="70"/>
  <c r="BD36" i="70"/>
  <c r="BE36" i="70"/>
  <c r="BF36" i="70"/>
  <c r="BG36" i="70"/>
  <c r="BH36" i="70"/>
  <c r="BI36" i="70"/>
  <c r="BJ36" i="70"/>
  <c r="BK36" i="70"/>
  <c r="BL36" i="70"/>
  <c r="BM36" i="70"/>
  <c r="BN36" i="70"/>
  <c r="BO36" i="70"/>
  <c r="BP36" i="70"/>
  <c r="BQ36" i="70"/>
  <c r="BR36" i="70"/>
  <c r="BS36" i="70"/>
  <c r="BT36" i="70"/>
  <c r="BU36" i="70"/>
  <c r="BV36" i="70"/>
  <c r="AB36" i="70"/>
  <c r="AC36" i="70"/>
  <c r="AD36" i="70"/>
  <c r="S36" i="70"/>
  <c r="T36" i="70"/>
  <c r="U36" i="70"/>
  <c r="V36" i="70"/>
  <c r="W36" i="70"/>
  <c r="X36" i="70"/>
  <c r="Y36" i="70"/>
  <c r="Z36" i="70"/>
  <c r="AA36" i="70"/>
  <c r="AG61" i="81"/>
  <c r="AC22" i="70"/>
  <c r="P35" i="69"/>
  <c r="Q35" i="69"/>
  <c r="R35" i="69"/>
  <c r="S35" i="69"/>
  <c r="T35" i="69"/>
  <c r="U35" i="69"/>
  <c r="V35" i="69"/>
  <c r="W35" i="69"/>
  <c r="X35" i="69"/>
  <c r="Y35" i="69"/>
  <c r="Z35" i="69"/>
  <c r="AA35" i="69"/>
  <c r="AB35" i="69"/>
  <c r="AC35" i="69"/>
  <c r="AD35" i="69"/>
  <c r="AH96" i="81"/>
  <c r="AH107" i="81"/>
  <c r="AH125" i="81"/>
  <c r="AH101" i="81"/>
  <c r="AH102" i="81"/>
  <c r="AH108" i="81"/>
  <c r="AH126" i="81"/>
  <c r="AH81" i="81"/>
  <c r="AH73" i="81"/>
  <c r="AJ73" i="81"/>
  <c r="AK73" i="81"/>
  <c r="AL73" i="81"/>
  <c r="AM73" i="81"/>
  <c r="AN73" i="81"/>
  <c r="AO73" i="81"/>
  <c r="AP73" i="81"/>
  <c r="AQ73" i="81"/>
  <c r="AR73" i="81"/>
  <c r="AS73" i="81"/>
  <c r="AH61" i="81"/>
  <c r="AH74" i="81"/>
  <c r="AH39" i="81"/>
  <c r="AH37" i="81"/>
  <c r="AH36" i="81"/>
  <c r="AH34" i="81"/>
  <c r="AH21" i="81"/>
  <c r="AB49" i="140"/>
  <c r="AB54" i="140"/>
  <c r="AB52" i="140"/>
  <c r="AB43" i="140"/>
  <c r="AB39" i="140"/>
  <c r="AB28" i="140"/>
  <c r="AH127" i="81"/>
  <c r="AB56" i="140"/>
  <c r="AA12" i="11"/>
  <c r="AA13" i="11"/>
  <c r="AA8" i="11"/>
  <c r="AA9" i="11"/>
  <c r="AA36" i="11"/>
  <c r="N90" i="142"/>
  <c r="L90" i="142"/>
  <c r="J90" i="142"/>
  <c r="H90" i="142"/>
  <c r="F90" i="142"/>
  <c r="E90" i="142"/>
  <c r="D90" i="142"/>
  <c r="N89" i="142"/>
  <c r="N93" i="142"/>
  <c r="L89" i="142"/>
  <c r="L93" i="142"/>
  <c r="J89" i="142"/>
  <c r="J93" i="142"/>
  <c r="H89" i="142"/>
  <c r="H93" i="142"/>
  <c r="F89" i="142"/>
  <c r="F93" i="142"/>
  <c r="E89" i="142"/>
  <c r="E93" i="142"/>
  <c r="D89" i="142"/>
  <c r="D93" i="142"/>
  <c r="O88" i="142"/>
  <c r="O90" i="142"/>
  <c r="N88" i="142"/>
  <c r="M88" i="142"/>
  <c r="M90" i="142"/>
  <c r="L88" i="142"/>
  <c r="K88" i="142"/>
  <c r="K90" i="142"/>
  <c r="J88" i="142"/>
  <c r="I88" i="142"/>
  <c r="I90" i="142"/>
  <c r="H88" i="142"/>
  <c r="G88" i="142"/>
  <c r="G90" i="142"/>
  <c r="F88" i="142"/>
  <c r="P79" i="142"/>
  <c r="O78" i="142"/>
  <c r="N78" i="142"/>
  <c r="M78" i="142"/>
  <c r="L78" i="142"/>
  <c r="K78" i="142"/>
  <c r="J78" i="142"/>
  <c r="I78" i="142"/>
  <c r="H78" i="142"/>
  <c r="G78" i="142"/>
  <c r="F78" i="142"/>
  <c r="E78" i="142"/>
  <c r="D78" i="142"/>
  <c r="P78" i="142"/>
  <c r="P77" i="142"/>
  <c r="P76" i="142"/>
  <c r="P75" i="142"/>
  <c r="P74" i="142"/>
  <c r="P73" i="142"/>
  <c r="P72" i="142"/>
  <c r="P71" i="142"/>
  <c r="P70" i="142"/>
  <c r="O69" i="142"/>
  <c r="N69" i="142"/>
  <c r="M69" i="142"/>
  <c r="L69" i="142"/>
  <c r="K69" i="142"/>
  <c r="J69" i="142"/>
  <c r="I69" i="142"/>
  <c r="H69" i="142"/>
  <c r="G69" i="142"/>
  <c r="F69" i="142"/>
  <c r="E69" i="142"/>
  <c r="D69" i="142"/>
  <c r="P69" i="142"/>
  <c r="P68" i="142"/>
  <c r="P67" i="142"/>
  <c r="P66" i="142"/>
  <c r="P65" i="142"/>
  <c r="P64" i="142"/>
  <c r="P63" i="142"/>
  <c r="O62" i="142"/>
  <c r="N62" i="142"/>
  <c r="M62" i="142"/>
  <c r="L62" i="142"/>
  <c r="K62" i="142"/>
  <c r="J62" i="142"/>
  <c r="I62" i="142"/>
  <c r="H62" i="142"/>
  <c r="G62" i="142"/>
  <c r="F62" i="142"/>
  <c r="E62" i="142"/>
  <c r="D62" i="142"/>
  <c r="P61" i="142"/>
  <c r="P60" i="142"/>
  <c r="P59" i="142"/>
  <c r="P58" i="142"/>
  <c r="P57" i="142"/>
  <c r="O56" i="142"/>
  <c r="N56" i="142"/>
  <c r="M56" i="142"/>
  <c r="L56" i="142"/>
  <c r="K56" i="142"/>
  <c r="J56" i="142"/>
  <c r="I56" i="142"/>
  <c r="H56" i="142"/>
  <c r="G56" i="142"/>
  <c r="F56" i="142"/>
  <c r="E56" i="142"/>
  <c r="D56" i="142"/>
  <c r="P55" i="142"/>
  <c r="P54" i="142"/>
  <c r="O53" i="142"/>
  <c r="N53" i="142"/>
  <c r="M53" i="142"/>
  <c r="L53" i="142"/>
  <c r="K53" i="142"/>
  <c r="J53" i="142"/>
  <c r="I53" i="142"/>
  <c r="H53" i="142"/>
  <c r="G53" i="142"/>
  <c r="F53" i="142"/>
  <c r="E53" i="142"/>
  <c r="D53" i="142"/>
  <c r="P53" i="142"/>
  <c r="P52" i="142"/>
  <c r="P51" i="142"/>
  <c r="P50" i="142"/>
  <c r="P49" i="142"/>
  <c r="O48" i="142"/>
  <c r="N48" i="142"/>
  <c r="M48" i="142"/>
  <c r="L48" i="142"/>
  <c r="K48" i="142"/>
  <c r="J48" i="142"/>
  <c r="I48" i="142"/>
  <c r="H48" i="142"/>
  <c r="G48" i="142"/>
  <c r="F48" i="142"/>
  <c r="E48" i="142"/>
  <c r="D48" i="142"/>
  <c r="P47" i="142"/>
  <c r="P46" i="142"/>
  <c r="P45" i="142"/>
  <c r="O44" i="142"/>
  <c r="N44" i="142"/>
  <c r="M44" i="142"/>
  <c r="L44" i="142"/>
  <c r="K44" i="142"/>
  <c r="J44" i="142"/>
  <c r="I44" i="142"/>
  <c r="H44" i="142"/>
  <c r="G44" i="142"/>
  <c r="F44" i="142"/>
  <c r="E44" i="142"/>
  <c r="D44" i="142"/>
  <c r="P44" i="142"/>
  <c r="P43" i="142"/>
  <c r="P42" i="142"/>
  <c r="O41" i="142"/>
  <c r="N41" i="142"/>
  <c r="M41" i="142"/>
  <c r="L41" i="142"/>
  <c r="K41" i="142"/>
  <c r="J41" i="142"/>
  <c r="I41" i="142"/>
  <c r="H41" i="142"/>
  <c r="G41" i="142"/>
  <c r="F41" i="142"/>
  <c r="E41" i="142"/>
  <c r="D41" i="142"/>
  <c r="P41" i="142"/>
  <c r="P40" i="142"/>
  <c r="P39" i="142"/>
  <c r="P38" i="142"/>
  <c r="P37" i="142"/>
  <c r="O36" i="142"/>
  <c r="O80" i="142"/>
  <c r="N36" i="142"/>
  <c r="N80" i="142"/>
  <c r="M36" i="142"/>
  <c r="M80" i="142"/>
  <c r="M82" i="142"/>
  <c r="L36" i="142"/>
  <c r="L80" i="142"/>
  <c r="L82" i="142"/>
  <c r="K36" i="142"/>
  <c r="K80" i="142"/>
  <c r="J36" i="142"/>
  <c r="J80" i="142"/>
  <c r="I36" i="142"/>
  <c r="I80" i="142"/>
  <c r="I82" i="142"/>
  <c r="H36" i="142"/>
  <c r="H80" i="142"/>
  <c r="H82" i="142"/>
  <c r="G36" i="142"/>
  <c r="G80" i="142"/>
  <c r="F36" i="142"/>
  <c r="F80" i="142"/>
  <c r="E36" i="142"/>
  <c r="D36" i="142"/>
  <c r="D80" i="142"/>
  <c r="D82" i="142"/>
  <c r="P31" i="142"/>
  <c r="P30" i="142"/>
  <c r="O29" i="142"/>
  <c r="N29" i="142"/>
  <c r="M29" i="142"/>
  <c r="L29" i="142"/>
  <c r="K29" i="142"/>
  <c r="J29" i="142"/>
  <c r="I29" i="142"/>
  <c r="H29" i="142"/>
  <c r="G29" i="142"/>
  <c r="F29" i="142"/>
  <c r="E29" i="142"/>
  <c r="D29" i="142"/>
  <c r="P29" i="142"/>
  <c r="P28" i="142"/>
  <c r="P27" i="142"/>
  <c r="P26" i="142"/>
  <c r="P25" i="142"/>
  <c r="P24" i="142"/>
  <c r="P23" i="142"/>
  <c r="P22" i="142"/>
  <c r="P21" i="142"/>
  <c r="P20" i="142"/>
  <c r="P19" i="142"/>
  <c r="P18" i="142"/>
  <c r="P17" i="142"/>
  <c r="O16" i="142"/>
  <c r="O32" i="142"/>
  <c r="N16" i="142"/>
  <c r="N32" i="142"/>
  <c r="M16" i="142"/>
  <c r="M32" i="142"/>
  <c r="L16" i="142"/>
  <c r="L32" i="142"/>
  <c r="K16" i="142"/>
  <c r="K32" i="142"/>
  <c r="J16" i="142"/>
  <c r="J32" i="142"/>
  <c r="I16" i="142"/>
  <c r="I32" i="142"/>
  <c r="H16" i="142"/>
  <c r="H32" i="142"/>
  <c r="G16" i="142"/>
  <c r="G32" i="142"/>
  <c r="F16" i="142"/>
  <c r="F32" i="142"/>
  <c r="E16" i="142"/>
  <c r="D16" i="142"/>
  <c r="D32" i="142"/>
  <c r="O12" i="142"/>
  <c r="N12" i="142"/>
  <c r="M12" i="142"/>
  <c r="L12" i="142"/>
  <c r="K12" i="142"/>
  <c r="J12" i="142"/>
  <c r="I12" i="142"/>
  <c r="H12" i="142"/>
  <c r="G12" i="142"/>
  <c r="F12" i="142"/>
  <c r="E12" i="142"/>
  <c r="D12" i="142"/>
  <c r="P11" i="142"/>
  <c r="P10" i="142"/>
  <c r="P9" i="142"/>
  <c r="P8" i="142"/>
  <c r="P7" i="142"/>
  <c r="P12" i="142"/>
  <c r="E32" i="142"/>
  <c r="P56" i="142"/>
  <c r="P62" i="142"/>
  <c r="E80" i="142"/>
  <c r="E82" i="142"/>
  <c r="P48" i="142"/>
  <c r="G82" i="142"/>
  <c r="K82" i="142"/>
  <c r="O82" i="142"/>
  <c r="F82" i="142"/>
  <c r="J82" i="142"/>
  <c r="N82" i="142"/>
  <c r="D91" i="142"/>
  <c r="H91" i="142"/>
  <c r="L91" i="142"/>
  <c r="I89" i="142"/>
  <c r="M89" i="142"/>
  <c r="E91" i="142"/>
  <c r="P16" i="142"/>
  <c r="P32" i="142"/>
  <c r="F91" i="142"/>
  <c r="J91" i="142"/>
  <c r="N91" i="142"/>
  <c r="P36" i="142"/>
  <c r="P80" i="142"/>
  <c r="P82" i="142"/>
  <c r="P88" i="142"/>
  <c r="G89" i="142"/>
  <c r="K89" i="142"/>
  <c r="O89" i="142"/>
  <c r="D19" i="107" a="1"/>
  <c r="J21" i="107"/>
  <c r="I93" i="142"/>
  <c r="I91" i="142"/>
  <c r="O93" i="142"/>
  <c r="O91" i="142"/>
  <c r="G93" i="142"/>
  <c r="G91" i="142"/>
  <c r="M93" i="142"/>
  <c r="M91" i="142"/>
  <c r="K93" i="142"/>
  <c r="K91" i="142"/>
  <c r="BC44" i="107"/>
  <c r="AQ44" i="107"/>
  <c r="AE44" i="107"/>
  <c r="O44" i="107"/>
  <c r="BH43" i="107"/>
  <c r="AM43" i="107"/>
  <c r="R43" i="107"/>
  <c r="BJ42" i="107"/>
  <c r="AY42" i="107"/>
  <c r="AI42" i="107"/>
  <c r="S42" i="107"/>
  <c r="BK41" i="107"/>
  <c r="AU41" i="107"/>
  <c r="AE41" i="107"/>
  <c r="T41" i="107"/>
  <c r="J41" i="107"/>
  <c r="BG40" i="107"/>
  <c r="AV40" i="107"/>
  <c r="AQ40" i="107"/>
  <c r="AF40" i="107"/>
  <c r="X40" i="107"/>
  <c r="P40" i="107"/>
  <c r="BH39" i="107"/>
  <c r="AR39" i="107"/>
  <c r="AJ39" i="107"/>
  <c r="AB39" i="107"/>
  <c r="T39" i="107"/>
  <c r="L39" i="107"/>
  <c r="D39" i="107"/>
  <c r="BD38" i="107"/>
  <c r="AV38" i="107"/>
  <c r="AN38" i="107"/>
  <c r="AE38" i="107"/>
  <c r="T38" i="107"/>
  <c r="G38" i="107"/>
  <c r="AY37" i="107"/>
  <c r="AI37" i="107"/>
  <c r="S37" i="107"/>
  <c r="BK36" i="107"/>
  <c r="AU36" i="107"/>
  <c r="AE36" i="107"/>
  <c r="O36" i="107"/>
  <c r="BG35" i="107"/>
  <c r="AQ35" i="107"/>
  <c r="O35" i="107"/>
  <c r="AQ34" i="107"/>
  <c r="K34" i="107"/>
  <c r="AM33" i="107"/>
  <c r="G33" i="107"/>
  <c r="AI32" i="107"/>
  <c r="BK31" i="107"/>
  <c r="AE31" i="107"/>
  <c r="BG30" i="107"/>
  <c r="AA30" i="107"/>
  <c r="AU29" i="107"/>
  <c r="BD28" i="107"/>
  <c r="AZ27" i="107"/>
  <c r="I26" i="107"/>
  <c r="R23" i="107"/>
  <c r="BJ44" i="107"/>
  <c r="BF44" i="107"/>
  <c r="BB44" i="107"/>
  <c r="AX44" i="107"/>
  <c r="AT44" i="107"/>
  <c r="AP44" i="107"/>
  <c r="AL44" i="107"/>
  <c r="AH44" i="107"/>
  <c r="AD44" i="107"/>
  <c r="Z44" i="107"/>
  <c r="V44" i="107"/>
  <c r="R44" i="107"/>
  <c r="N44" i="107"/>
  <c r="J44" i="107"/>
  <c r="D44" i="107"/>
  <c r="BG43" i="107"/>
  <c r="BB43" i="107"/>
  <c r="AV43" i="107"/>
  <c r="AQ43" i="107"/>
  <c r="AL43" i="107"/>
  <c r="AF43" i="107"/>
  <c r="AA43" i="107"/>
  <c r="V43" i="107"/>
  <c r="P43" i="107"/>
  <c r="K43" i="107"/>
  <c r="F43" i="107"/>
  <c r="BH42" i="107"/>
  <c r="BC42" i="107"/>
  <c r="AX42" i="107"/>
  <c r="AR42" i="107"/>
  <c r="AM42" i="107"/>
  <c r="AH42" i="107"/>
  <c r="AB42" i="107"/>
  <c r="W42" i="107"/>
  <c r="R42" i="107"/>
  <c r="L42" i="107"/>
  <c r="G42" i="107"/>
  <c r="BJ41" i="107"/>
  <c r="BD41" i="107"/>
  <c r="AY41" i="107"/>
  <c r="AT41" i="107"/>
  <c r="AN41" i="107"/>
  <c r="AI41" i="107"/>
  <c r="AD41" i="107"/>
  <c r="X41" i="107"/>
  <c r="S41" i="107"/>
  <c r="N41" i="107"/>
  <c r="H41" i="107"/>
  <c r="BK40" i="107"/>
  <c r="BF40" i="107"/>
  <c r="AZ40" i="107"/>
  <c r="AU40" i="107"/>
  <c r="AP40" i="107"/>
  <c r="AJ40" i="107"/>
  <c r="AD40" i="107"/>
  <c r="V40" i="107"/>
  <c r="N40" i="107"/>
  <c r="F40" i="107"/>
  <c r="BF39" i="107"/>
  <c r="AX39" i="107"/>
  <c r="AP39" i="107"/>
  <c r="AH39" i="107"/>
  <c r="Z39" i="107"/>
  <c r="R39" i="107"/>
  <c r="J39" i="107"/>
  <c r="BJ38" i="107"/>
  <c r="BB38" i="107"/>
  <c r="AT38" i="107"/>
  <c r="AL38" i="107"/>
  <c r="AB38" i="107"/>
  <c r="R38" i="107"/>
  <c r="BK37" i="107"/>
  <c r="AU37" i="107"/>
  <c r="AE37" i="107"/>
  <c r="O37" i="107"/>
  <c r="BG36" i="107"/>
  <c r="AQ36" i="107"/>
  <c r="AA36" i="107"/>
  <c r="K36" i="107"/>
  <c r="BC35" i="107"/>
  <c r="AM35" i="107"/>
  <c r="G35" i="107"/>
  <c r="AI34" i="107"/>
  <c r="BK33" i="107"/>
  <c r="AE33" i="107"/>
  <c r="BG32" i="107"/>
  <c r="AA32" i="107"/>
  <c r="BC31" i="107"/>
  <c r="W31" i="107"/>
  <c r="AY30" i="107"/>
  <c r="S30" i="107"/>
  <c r="AJ29" i="107"/>
  <c r="AN28" i="107"/>
  <c r="AJ27" i="107"/>
  <c r="AK25" i="107"/>
  <c r="N22" i="107"/>
  <c r="BG44" i="107"/>
  <c r="AU44" i="107"/>
  <c r="AI44" i="107"/>
  <c r="W44" i="107"/>
  <c r="K44" i="107"/>
  <c r="BC43" i="107"/>
  <c r="AR43" i="107"/>
  <c r="AB43" i="107"/>
  <c r="L43" i="107"/>
  <c r="BD42" i="107"/>
  <c r="AN42" i="107"/>
  <c r="X42" i="107"/>
  <c r="H42" i="107"/>
  <c r="BF41" i="107"/>
  <c r="AP41" i="107"/>
  <c r="O41" i="107"/>
  <c r="H40" i="107"/>
  <c r="BA44" i="107"/>
  <c r="AO44" i="107"/>
  <c r="AC44" i="107"/>
  <c r="U44" i="107"/>
  <c r="H44" i="107"/>
  <c r="BF43" i="107"/>
  <c r="AP43" i="107"/>
  <c r="AE43" i="107"/>
  <c r="O43" i="107"/>
  <c r="D43" i="107"/>
  <c r="BB42" i="107"/>
  <c r="AQ42" i="107"/>
  <c r="AL42" i="107"/>
  <c r="AA42" i="107"/>
  <c r="V42" i="107"/>
  <c r="P42" i="107"/>
  <c r="K42" i="107"/>
  <c r="F42" i="107"/>
  <c r="BC41" i="107"/>
  <c r="AX41" i="107"/>
  <c r="AR41" i="107"/>
  <c r="AM41" i="107"/>
  <c r="AH41" i="107"/>
  <c r="AB41" i="107"/>
  <c r="W41" i="107"/>
  <c r="R41" i="107"/>
  <c r="L41" i="107"/>
  <c r="G41" i="107"/>
  <c r="BJ40" i="107"/>
  <c r="BD40" i="107"/>
  <c r="AY40" i="107"/>
  <c r="AT40" i="107"/>
  <c r="AN40" i="107"/>
  <c r="AI40" i="107"/>
  <c r="AB40" i="107"/>
  <c r="T40" i="107"/>
  <c r="L40" i="107"/>
  <c r="D40" i="107"/>
  <c r="BD39" i="107"/>
  <c r="AV39" i="107"/>
  <c r="AN39" i="107"/>
  <c r="AF39" i="107"/>
  <c r="X39" i="107"/>
  <c r="P39" i="107"/>
  <c r="H39" i="107"/>
  <c r="BH38" i="107"/>
  <c r="AZ38" i="107"/>
  <c r="AR38" i="107"/>
  <c r="AJ38" i="107"/>
  <c r="Z38" i="107"/>
  <c r="O38" i="107"/>
  <c r="BG37" i="107"/>
  <c r="AQ37" i="107"/>
  <c r="AA37" i="107"/>
  <c r="K37" i="107"/>
  <c r="BC36" i="107"/>
  <c r="AM36" i="107"/>
  <c r="W36" i="107"/>
  <c r="G36" i="107"/>
  <c r="AY35" i="107"/>
  <c r="AE35" i="107"/>
  <c r="BG34" i="107"/>
  <c r="AA34" i="107"/>
  <c r="BC33" i="107"/>
  <c r="W33" i="107"/>
  <c r="AY32" i="107"/>
  <c r="S32" i="107"/>
  <c r="AU31" i="107"/>
  <c r="O31" i="107"/>
  <c r="AQ30" i="107"/>
  <c r="H30" i="107"/>
  <c r="Y29" i="107"/>
  <c r="X28" i="107"/>
  <c r="M27" i="107"/>
  <c r="E25" i="107"/>
  <c r="D19" i="107"/>
  <c r="H19" i="107"/>
  <c r="L19" i="107"/>
  <c r="P19" i="107"/>
  <c r="T19" i="107"/>
  <c r="X19" i="107"/>
  <c r="AB19" i="107"/>
  <c r="AF19" i="107"/>
  <c r="AJ19" i="107"/>
  <c r="AN19" i="107"/>
  <c r="AR19" i="107"/>
  <c r="AV19" i="107"/>
  <c r="AZ19" i="107"/>
  <c r="BD19" i="107"/>
  <c r="BH19" i="107"/>
  <c r="D20" i="107"/>
  <c r="H20" i="107"/>
  <c r="L20" i="107"/>
  <c r="P20" i="107"/>
  <c r="T20" i="107"/>
  <c r="X20" i="107"/>
  <c r="AB20" i="107"/>
  <c r="AF20" i="107"/>
  <c r="AJ20" i="107"/>
  <c r="AN20" i="107"/>
  <c r="AR20" i="107"/>
  <c r="AV20" i="107"/>
  <c r="AZ20" i="107"/>
  <c r="BD20" i="107"/>
  <c r="BH20" i="107"/>
  <c r="D21" i="107"/>
  <c r="H21" i="107"/>
  <c r="L21" i="107"/>
  <c r="P21" i="107"/>
  <c r="T21" i="107"/>
  <c r="X21" i="107"/>
  <c r="AB21" i="107"/>
  <c r="AF21" i="107"/>
  <c r="AJ21" i="107"/>
  <c r="AN21" i="107"/>
  <c r="AR21" i="107"/>
  <c r="AV21" i="107"/>
  <c r="AZ21" i="107"/>
  <c r="BD21" i="107"/>
  <c r="BH21" i="107"/>
  <c r="D22" i="107"/>
  <c r="H22" i="107"/>
  <c r="L22" i="107"/>
  <c r="P22" i="107"/>
  <c r="T22" i="107"/>
  <c r="X22" i="107"/>
  <c r="AB22" i="107"/>
  <c r="AF22" i="107"/>
  <c r="AJ22" i="107"/>
  <c r="AN22" i="107"/>
  <c r="AR22" i="107"/>
  <c r="AV22" i="107"/>
  <c r="AZ22" i="107"/>
  <c r="BD22" i="107"/>
  <c r="BH22" i="107"/>
  <c r="D23" i="107"/>
  <c r="H23" i="107"/>
  <c r="L23" i="107"/>
  <c r="P23" i="107"/>
  <c r="T23" i="107"/>
  <c r="X23" i="107"/>
  <c r="AB23" i="107"/>
  <c r="AF23" i="107"/>
  <c r="AJ23" i="107"/>
  <c r="AN23" i="107"/>
  <c r="AR23" i="107"/>
  <c r="AV23" i="107"/>
  <c r="AZ23" i="107"/>
  <c r="BD23" i="107"/>
  <c r="BH23" i="107"/>
  <c r="D24" i="107"/>
  <c r="H24" i="107"/>
  <c r="L24" i="107"/>
  <c r="P24" i="107"/>
  <c r="T24" i="107"/>
  <c r="X24" i="107"/>
  <c r="AB24" i="107"/>
  <c r="AF24" i="107"/>
  <c r="AJ24" i="107"/>
  <c r="AN24" i="107"/>
  <c r="G19" i="107"/>
  <c r="K19" i="107"/>
  <c r="O19" i="107"/>
  <c r="S19" i="107"/>
  <c r="W19" i="107"/>
  <c r="AA19" i="107"/>
  <c r="AE19" i="107"/>
  <c r="AI19" i="107"/>
  <c r="AM19" i="107"/>
  <c r="AQ19" i="107"/>
  <c r="AU19" i="107"/>
  <c r="AY19" i="107"/>
  <c r="BC19" i="107"/>
  <c r="BG19" i="107"/>
  <c r="BK19" i="107"/>
  <c r="G20" i="107"/>
  <c r="K20" i="107"/>
  <c r="O20" i="107"/>
  <c r="S20" i="107"/>
  <c r="W20" i="107"/>
  <c r="AA20" i="107"/>
  <c r="AE20" i="107"/>
  <c r="AI20" i="107"/>
  <c r="AM20" i="107"/>
  <c r="AQ20" i="107"/>
  <c r="AU20" i="107"/>
  <c r="AY20" i="107"/>
  <c r="BC20" i="107"/>
  <c r="BG20" i="107"/>
  <c r="BK20" i="107"/>
  <c r="G21" i="107"/>
  <c r="K21" i="107"/>
  <c r="O21" i="107"/>
  <c r="S21" i="107"/>
  <c r="W21" i="107"/>
  <c r="AA21" i="107"/>
  <c r="AE21" i="107"/>
  <c r="AI21" i="107"/>
  <c r="AM21" i="107"/>
  <c r="AQ21" i="107"/>
  <c r="AU21" i="107"/>
  <c r="AY21" i="107"/>
  <c r="BC21" i="107"/>
  <c r="BG21" i="107"/>
  <c r="BK21" i="107"/>
  <c r="G22" i="107"/>
  <c r="K22" i="107"/>
  <c r="O22" i="107"/>
  <c r="S22" i="107"/>
  <c r="W22" i="107"/>
  <c r="AA22" i="107"/>
  <c r="AE22" i="107"/>
  <c r="AI22" i="107"/>
  <c r="AM22" i="107"/>
  <c r="AQ22" i="107"/>
  <c r="AU22" i="107"/>
  <c r="AY22" i="107"/>
  <c r="BC22" i="107"/>
  <c r="BG22" i="107"/>
  <c r="BK22" i="107"/>
  <c r="G23" i="107"/>
  <c r="K23" i="107"/>
  <c r="O23" i="107"/>
  <c r="S23" i="107"/>
  <c r="W23" i="107"/>
  <c r="AA23" i="107"/>
  <c r="AE23" i="107"/>
  <c r="AI23" i="107"/>
  <c r="AM23" i="107"/>
  <c r="AQ23" i="107"/>
  <c r="AU23" i="107"/>
  <c r="AY23" i="107"/>
  <c r="BC23" i="107"/>
  <c r="BG23" i="107"/>
  <c r="BK23" i="107"/>
  <c r="G24" i="107"/>
  <c r="K24" i="107"/>
  <c r="O24" i="107"/>
  <c r="S24" i="107"/>
  <c r="W24" i="107"/>
  <c r="AA24" i="107"/>
  <c r="AE24" i="107"/>
  <c r="AI24" i="107"/>
  <c r="AM24" i="107"/>
  <c r="AQ24" i="107"/>
  <c r="E19" i="107"/>
  <c r="M19" i="107"/>
  <c r="U19" i="107"/>
  <c r="AC19" i="107"/>
  <c r="AK19" i="107"/>
  <c r="AS19" i="107"/>
  <c r="BA19" i="107"/>
  <c r="BI19" i="107"/>
  <c r="I20" i="107"/>
  <c r="Q20" i="107"/>
  <c r="Y20" i="107"/>
  <c r="AG20" i="107"/>
  <c r="AO20" i="107"/>
  <c r="AW20" i="107"/>
  <c r="BE20" i="107"/>
  <c r="E21" i="107"/>
  <c r="M21" i="107"/>
  <c r="U21" i="107"/>
  <c r="AC21" i="107"/>
  <c r="AK21" i="107"/>
  <c r="AS21" i="107"/>
  <c r="BA21" i="107"/>
  <c r="BI21" i="107"/>
  <c r="I22" i="107"/>
  <c r="Q22" i="107"/>
  <c r="Y22" i="107"/>
  <c r="AG22" i="107"/>
  <c r="AO22" i="107"/>
  <c r="AW22" i="107"/>
  <c r="BE22" i="107"/>
  <c r="E23" i="107"/>
  <c r="M23" i="107"/>
  <c r="U23" i="107"/>
  <c r="AC23" i="107"/>
  <c r="AK23" i="107"/>
  <c r="AS23" i="107"/>
  <c r="BA23" i="107"/>
  <c r="BI23" i="107"/>
  <c r="I24" i="107"/>
  <c r="Q24" i="107"/>
  <c r="Y24" i="107"/>
  <c r="AG24" i="107"/>
  <c r="AO24" i="107"/>
  <c r="AT24" i="107"/>
  <c r="AX24" i="107"/>
  <c r="BB24" i="107"/>
  <c r="BF24" i="107"/>
  <c r="BJ24" i="107"/>
  <c r="F25" i="107"/>
  <c r="J25" i="107"/>
  <c r="N25" i="107"/>
  <c r="R25" i="107"/>
  <c r="V25" i="107"/>
  <c r="Z25" i="107"/>
  <c r="AD25" i="107"/>
  <c r="AH25" i="107"/>
  <c r="AL25" i="107"/>
  <c r="AP25" i="107"/>
  <c r="AT25" i="107"/>
  <c r="AX25" i="107"/>
  <c r="BB25" i="107"/>
  <c r="BF25" i="107"/>
  <c r="BJ25" i="107"/>
  <c r="F26" i="107"/>
  <c r="J26" i="107"/>
  <c r="N26" i="107"/>
  <c r="R26" i="107"/>
  <c r="V26" i="107"/>
  <c r="Z26" i="107"/>
  <c r="AD26" i="107"/>
  <c r="AH26" i="107"/>
  <c r="AL26" i="107"/>
  <c r="AP26" i="107"/>
  <c r="AT26" i="107"/>
  <c r="AX26" i="107"/>
  <c r="BB26" i="107"/>
  <c r="BF26" i="107"/>
  <c r="BJ26" i="107"/>
  <c r="F27" i="107"/>
  <c r="J27" i="107"/>
  <c r="N27" i="107"/>
  <c r="R27" i="107"/>
  <c r="I19" i="107"/>
  <c r="Q19" i="107"/>
  <c r="Y19" i="107"/>
  <c r="AG19" i="107"/>
  <c r="AO19" i="107"/>
  <c r="AW19" i="107"/>
  <c r="BE19" i="107"/>
  <c r="E20" i="107"/>
  <c r="M20" i="107"/>
  <c r="U20" i="107"/>
  <c r="AC20" i="107"/>
  <c r="AK20" i="107"/>
  <c r="AS20" i="107"/>
  <c r="BA20" i="107"/>
  <c r="BI20" i="107"/>
  <c r="I21" i="107"/>
  <c r="Q21" i="107"/>
  <c r="Y21" i="107"/>
  <c r="AG21" i="107"/>
  <c r="AO21" i="107"/>
  <c r="AW21" i="107"/>
  <c r="BE21" i="107"/>
  <c r="E22" i="107"/>
  <c r="M22" i="107"/>
  <c r="U22" i="107"/>
  <c r="AC22" i="107"/>
  <c r="AK22" i="107"/>
  <c r="AS22" i="107"/>
  <c r="BA22" i="107"/>
  <c r="BI22" i="107"/>
  <c r="I23" i="107"/>
  <c r="Q23" i="107"/>
  <c r="Y23" i="107"/>
  <c r="AG23" i="107"/>
  <c r="AO23" i="107"/>
  <c r="AW23" i="107"/>
  <c r="BE23" i="107"/>
  <c r="E24" i="107"/>
  <c r="M24" i="107"/>
  <c r="U24" i="107"/>
  <c r="AC24" i="107"/>
  <c r="AK24" i="107"/>
  <c r="AR24" i="107"/>
  <c r="AV24" i="107"/>
  <c r="AZ24" i="107"/>
  <c r="BD24" i="107"/>
  <c r="BH24" i="107"/>
  <c r="D25" i="107"/>
  <c r="H25" i="107"/>
  <c r="L25" i="107"/>
  <c r="P25" i="107"/>
  <c r="T25" i="107"/>
  <c r="X25" i="107"/>
  <c r="AB25" i="107"/>
  <c r="AF25" i="107"/>
  <c r="AJ25" i="107"/>
  <c r="AN25" i="107"/>
  <c r="AR25" i="107"/>
  <c r="AV25" i="107"/>
  <c r="AZ25" i="107"/>
  <c r="BD25" i="107"/>
  <c r="BH25" i="107"/>
  <c r="D26" i="107"/>
  <c r="H26" i="107"/>
  <c r="L26" i="107"/>
  <c r="P26" i="107"/>
  <c r="T26" i="107"/>
  <c r="X26" i="107"/>
  <c r="AB26" i="107"/>
  <c r="AF26" i="107"/>
  <c r="AJ26" i="107"/>
  <c r="AN26" i="107"/>
  <c r="AR26" i="107"/>
  <c r="AV26" i="107"/>
  <c r="AZ26" i="107"/>
  <c r="BD26" i="107"/>
  <c r="BH26" i="107"/>
  <c r="D27" i="107"/>
  <c r="H27" i="107"/>
  <c r="L27" i="107"/>
  <c r="P27" i="107"/>
  <c r="T27" i="107"/>
  <c r="X27" i="107"/>
  <c r="AB27" i="107"/>
  <c r="AF27" i="107"/>
  <c r="F19" i="107"/>
  <c r="V19" i="107"/>
  <c r="AL19" i="107"/>
  <c r="BB19" i="107"/>
  <c r="J20" i="107"/>
  <c r="Z20" i="107"/>
  <c r="AP20" i="107"/>
  <c r="BF20" i="107"/>
  <c r="N21" i="107"/>
  <c r="AD21" i="107"/>
  <c r="AT21" i="107"/>
  <c r="BJ21" i="107"/>
  <c r="R22" i="107"/>
  <c r="AH22" i="107"/>
  <c r="AX22" i="107"/>
  <c r="F23" i="107"/>
  <c r="V23" i="107"/>
  <c r="AL23" i="107"/>
  <c r="BB23" i="107"/>
  <c r="J24" i="107"/>
  <c r="Z24" i="107"/>
  <c r="AP24" i="107"/>
  <c r="AY24" i="107"/>
  <c r="BG24" i="107"/>
  <c r="G25" i="107"/>
  <c r="O25" i="107"/>
  <c r="W25" i="107"/>
  <c r="AE25" i="107"/>
  <c r="AM25" i="107"/>
  <c r="AU25" i="107"/>
  <c r="BC25" i="107"/>
  <c r="BK25" i="107"/>
  <c r="K26" i="107"/>
  <c r="S26" i="107"/>
  <c r="AA26" i="107"/>
  <c r="AI26" i="107"/>
  <c r="AQ26" i="107"/>
  <c r="AY26" i="107"/>
  <c r="BG26" i="107"/>
  <c r="G27" i="107"/>
  <c r="O27" i="107"/>
  <c r="V27" i="107"/>
  <c r="AA27" i="107"/>
  <c r="AG27" i="107"/>
  <c r="AK27" i="107"/>
  <c r="AO27" i="107"/>
  <c r="AS27" i="107"/>
  <c r="AW27" i="107"/>
  <c r="BA27" i="107"/>
  <c r="BE27" i="107"/>
  <c r="BI27" i="107"/>
  <c r="E28" i="107"/>
  <c r="I28" i="107"/>
  <c r="M28" i="107"/>
  <c r="Q28" i="107"/>
  <c r="U28" i="107"/>
  <c r="Y28" i="107"/>
  <c r="AC28" i="107"/>
  <c r="AG28" i="107"/>
  <c r="AK28" i="107"/>
  <c r="AO28" i="107"/>
  <c r="AS28" i="107"/>
  <c r="AW28" i="107"/>
  <c r="BA28" i="107"/>
  <c r="BE28" i="107"/>
  <c r="BI28" i="107"/>
  <c r="E29" i="107"/>
  <c r="I29" i="107"/>
  <c r="M29" i="107"/>
  <c r="Q29" i="107"/>
  <c r="J19" i="107"/>
  <c r="Z19" i="107"/>
  <c r="AP19" i="107"/>
  <c r="BF19" i="107"/>
  <c r="N20" i="107"/>
  <c r="AD20" i="107"/>
  <c r="AT20" i="107"/>
  <c r="BJ20" i="107"/>
  <c r="R21" i="107"/>
  <c r="AH21" i="107"/>
  <c r="AX21" i="107"/>
  <c r="F22" i="107"/>
  <c r="V22" i="107"/>
  <c r="AL22" i="107"/>
  <c r="BB22" i="107"/>
  <c r="J23" i="107"/>
  <c r="Z23" i="107"/>
  <c r="AP23" i="107"/>
  <c r="BF23" i="107"/>
  <c r="N24" i="107"/>
  <c r="AD24" i="107"/>
  <c r="AS24" i="107"/>
  <c r="BA24" i="107"/>
  <c r="BI24" i="107"/>
  <c r="I25" i="107"/>
  <c r="Q25" i="107"/>
  <c r="Y25" i="107"/>
  <c r="AG25" i="107"/>
  <c r="AO25" i="107"/>
  <c r="AW25" i="107"/>
  <c r="BE25" i="107"/>
  <c r="E26" i="107"/>
  <c r="M26" i="107"/>
  <c r="U26" i="107"/>
  <c r="AC26" i="107"/>
  <c r="AK26" i="107"/>
  <c r="AS26" i="107"/>
  <c r="BA26" i="107"/>
  <c r="BI26" i="107"/>
  <c r="I27" i="107"/>
  <c r="Q27" i="107"/>
  <c r="W27" i="107"/>
  <c r="AC27" i="107"/>
  <c r="AH27" i="107"/>
  <c r="AL27" i="107"/>
  <c r="AP27" i="107"/>
  <c r="AT27" i="107"/>
  <c r="AX27" i="107"/>
  <c r="BB27" i="107"/>
  <c r="BF27" i="107"/>
  <c r="BJ27" i="107"/>
  <c r="F28" i="107"/>
  <c r="J28" i="107"/>
  <c r="N28" i="107"/>
  <c r="R28" i="107"/>
  <c r="V28" i="107"/>
  <c r="Z28" i="107"/>
  <c r="AD28" i="107"/>
  <c r="AH28" i="107"/>
  <c r="AL28" i="107"/>
  <c r="AP28" i="107"/>
  <c r="AT28" i="107"/>
  <c r="AX28" i="107"/>
  <c r="BB28" i="107"/>
  <c r="BF28" i="107"/>
  <c r="BJ28" i="107"/>
  <c r="F29" i="107"/>
  <c r="J29" i="107"/>
  <c r="N29" i="107"/>
  <c r="R29" i="107"/>
  <c r="V29" i="107"/>
  <c r="Z29" i="107"/>
  <c r="AD29" i="107"/>
  <c r="AH29" i="107"/>
  <c r="AL29" i="107"/>
  <c r="AP29" i="107"/>
  <c r="AT29" i="107"/>
  <c r="AX29" i="107"/>
  <c r="BB29" i="107"/>
  <c r="BF29" i="107"/>
  <c r="BJ29" i="107"/>
  <c r="F30" i="107"/>
  <c r="J30" i="107"/>
  <c r="N30" i="107"/>
  <c r="R30" i="107"/>
  <c r="N19" i="107"/>
  <c r="AT19" i="107"/>
  <c r="R20" i="107"/>
  <c r="AX20" i="107"/>
  <c r="V21" i="107"/>
  <c r="BB21" i="107"/>
  <c r="Z22" i="107"/>
  <c r="BF22" i="107"/>
  <c r="AD23" i="107"/>
  <c r="BJ23" i="107"/>
  <c r="AH24" i="107"/>
  <c r="BC24" i="107"/>
  <c r="K25" i="107"/>
  <c r="AA25" i="107"/>
  <c r="AQ25" i="107"/>
  <c r="BG25" i="107"/>
  <c r="O26" i="107"/>
  <c r="AE26" i="107"/>
  <c r="AU26" i="107"/>
  <c r="BK26" i="107"/>
  <c r="S27" i="107"/>
  <c r="AD27" i="107"/>
  <c r="AM27" i="107"/>
  <c r="AU27" i="107"/>
  <c r="BC27" i="107"/>
  <c r="BK27" i="107"/>
  <c r="K28" i="107"/>
  <c r="S28" i="107"/>
  <c r="AA28" i="107"/>
  <c r="AI28" i="107"/>
  <c r="AQ28" i="107"/>
  <c r="AY28" i="107"/>
  <c r="BG28" i="107"/>
  <c r="G29" i="107"/>
  <c r="O29" i="107"/>
  <c r="U29" i="107"/>
  <c r="AA29" i="107"/>
  <c r="AF29" i="107"/>
  <c r="AK29" i="107"/>
  <c r="AQ29" i="107"/>
  <c r="AV29" i="107"/>
  <c r="BA29" i="107"/>
  <c r="BG29" i="107"/>
  <c r="D30" i="107"/>
  <c r="I30" i="107"/>
  <c r="O30" i="107"/>
  <c r="T30" i="107"/>
  <c r="X30" i="107"/>
  <c r="AB30" i="107"/>
  <c r="AF30" i="107"/>
  <c r="AJ30" i="107"/>
  <c r="AN30" i="107"/>
  <c r="AR30" i="107"/>
  <c r="AV30" i="107"/>
  <c r="AZ30" i="107"/>
  <c r="BD30" i="107"/>
  <c r="BH30" i="107"/>
  <c r="D31" i="107"/>
  <c r="H31" i="107"/>
  <c r="L31" i="107"/>
  <c r="P31" i="107"/>
  <c r="T31" i="107"/>
  <c r="X31" i="107"/>
  <c r="AB31" i="107"/>
  <c r="AF31" i="107"/>
  <c r="AJ31" i="107"/>
  <c r="AN31" i="107"/>
  <c r="AR31" i="107"/>
  <c r="AV31" i="107"/>
  <c r="AZ31" i="107"/>
  <c r="BD31" i="107"/>
  <c r="BH31" i="107"/>
  <c r="D32" i="107"/>
  <c r="H32" i="107"/>
  <c r="L32" i="107"/>
  <c r="P32" i="107"/>
  <c r="T32" i="107"/>
  <c r="X32" i="107"/>
  <c r="AB32" i="107"/>
  <c r="AF32" i="107"/>
  <c r="AJ32" i="107"/>
  <c r="AN32" i="107"/>
  <c r="AR32" i="107"/>
  <c r="AV32" i="107"/>
  <c r="AZ32" i="107"/>
  <c r="BD32" i="107"/>
  <c r="BH32" i="107"/>
  <c r="D33" i="107"/>
  <c r="H33" i="107"/>
  <c r="L33" i="107"/>
  <c r="P33" i="107"/>
  <c r="T33" i="107"/>
  <c r="X33" i="107"/>
  <c r="AB33" i="107"/>
  <c r="AF33" i="107"/>
  <c r="AJ33" i="107"/>
  <c r="AN33" i="107"/>
  <c r="AR33" i="107"/>
  <c r="AV33" i="107"/>
  <c r="AZ33" i="107"/>
  <c r="BD33" i="107"/>
  <c r="BH33" i="107"/>
  <c r="D34" i="107"/>
  <c r="H34" i="107"/>
  <c r="L34" i="107"/>
  <c r="P34" i="107"/>
  <c r="T34" i="107"/>
  <c r="X34" i="107"/>
  <c r="AB34" i="107"/>
  <c r="AF34" i="107"/>
  <c r="AJ34" i="107"/>
  <c r="AN34" i="107"/>
  <c r="AR34" i="107"/>
  <c r="AV34" i="107"/>
  <c r="AZ34" i="107"/>
  <c r="BD34" i="107"/>
  <c r="BH34" i="107"/>
  <c r="D35" i="107"/>
  <c r="H35" i="107"/>
  <c r="L35" i="107"/>
  <c r="P35" i="107"/>
  <c r="T35" i="107"/>
  <c r="X35" i="107"/>
  <c r="AB35" i="107"/>
  <c r="AF35" i="107"/>
  <c r="AJ35" i="107"/>
  <c r="AN35" i="107"/>
  <c r="AR35" i="107"/>
  <c r="AV35" i="107"/>
  <c r="AZ35" i="107"/>
  <c r="BD35" i="107"/>
  <c r="BH35" i="107"/>
  <c r="D36" i="107"/>
  <c r="H36" i="107"/>
  <c r="L36" i="107"/>
  <c r="P36" i="107"/>
  <c r="T36" i="107"/>
  <c r="X36" i="107"/>
  <c r="AB36" i="107"/>
  <c r="AF36" i="107"/>
  <c r="AJ36" i="107"/>
  <c r="AN36" i="107"/>
  <c r="AR36" i="107"/>
  <c r="AV36" i="107"/>
  <c r="AZ36" i="107"/>
  <c r="BD36" i="107"/>
  <c r="BH36" i="107"/>
  <c r="D37" i="107"/>
  <c r="H37" i="107"/>
  <c r="L37" i="107"/>
  <c r="P37" i="107"/>
  <c r="T37" i="107"/>
  <c r="X37" i="107"/>
  <c r="AB37" i="107"/>
  <c r="AF37" i="107"/>
  <c r="AJ37" i="107"/>
  <c r="AN37" i="107"/>
  <c r="AR37" i="107"/>
  <c r="AV37" i="107"/>
  <c r="AZ37" i="107"/>
  <c r="BD37" i="107"/>
  <c r="BH37" i="107"/>
  <c r="D38" i="107"/>
  <c r="H38" i="107"/>
  <c r="L38" i="107"/>
  <c r="R19" i="107"/>
  <c r="AX19" i="107"/>
  <c r="V20" i="107"/>
  <c r="BB20" i="107"/>
  <c r="Z21" i="107"/>
  <c r="BF21" i="107"/>
  <c r="AD22" i="107"/>
  <c r="BJ22" i="107"/>
  <c r="AH23" i="107"/>
  <c r="F24" i="107"/>
  <c r="AL24" i="107"/>
  <c r="BE24" i="107"/>
  <c r="M25" i="107"/>
  <c r="AC25" i="107"/>
  <c r="AS25" i="107"/>
  <c r="BI25" i="107"/>
  <c r="Q26" i="107"/>
  <c r="AG26" i="107"/>
  <c r="AW26" i="107"/>
  <c r="E27" i="107"/>
  <c r="U27" i="107"/>
  <c r="AE27" i="107"/>
  <c r="AN27" i="107"/>
  <c r="AV27" i="107"/>
  <c r="BD27" i="107"/>
  <c r="D28" i="107"/>
  <c r="L28" i="107"/>
  <c r="T28" i="107"/>
  <c r="AB28" i="107"/>
  <c r="AJ28" i="107"/>
  <c r="AR28" i="107"/>
  <c r="AZ28" i="107"/>
  <c r="BH28" i="107"/>
  <c r="H29" i="107"/>
  <c r="P29" i="107"/>
  <c r="W29" i="107"/>
  <c r="AB29" i="107"/>
  <c r="AG29" i="107"/>
  <c r="AM29" i="107"/>
  <c r="AR29" i="107"/>
  <c r="AW29" i="107"/>
  <c r="BC29" i="107"/>
  <c r="BH29" i="107"/>
  <c r="E30" i="107"/>
  <c r="K30" i="107"/>
  <c r="P30" i="107"/>
  <c r="U30" i="107"/>
  <c r="Y30" i="107"/>
  <c r="AC30" i="107"/>
  <c r="AG30" i="107"/>
  <c r="AK30" i="107"/>
  <c r="AO30" i="107"/>
  <c r="AS30" i="107"/>
  <c r="AW30" i="107"/>
  <c r="BA30" i="107"/>
  <c r="BE30" i="107"/>
  <c r="BI30" i="107"/>
  <c r="E31" i="107"/>
  <c r="I31" i="107"/>
  <c r="M31" i="107"/>
  <c r="Q31" i="107"/>
  <c r="U31" i="107"/>
  <c r="Y31" i="107"/>
  <c r="AC31" i="107"/>
  <c r="AG31" i="107"/>
  <c r="AK31" i="107"/>
  <c r="AO31" i="107"/>
  <c r="AS31" i="107"/>
  <c r="AW31" i="107"/>
  <c r="BA31" i="107"/>
  <c r="BE31" i="107"/>
  <c r="BI31" i="107"/>
  <c r="E32" i="107"/>
  <c r="I32" i="107"/>
  <c r="M32" i="107"/>
  <c r="Q32" i="107"/>
  <c r="U32" i="107"/>
  <c r="Y32" i="107"/>
  <c r="AC32" i="107"/>
  <c r="AG32" i="107"/>
  <c r="AK32" i="107"/>
  <c r="AO32" i="107"/>
  <c r="AS32" i="107"/>
  <c r="AW32" i="107"/>
  <c r="BA32" i="107"/>
  <c r="BE32" i="107"/>
  <c r="BI32" i="107"/>
  <c r="E33" i="107"/>
  <c r="I33" i="107"/>
  <c r="M33" i="107"/>
  <c r="Q33" i="107"/>
  <c r="U33" i="107"/>
  <c r="Y33" i="107"/>
  <c r="AC33" i="107"/>
  <c r="AG33" i="107"/>
  <c r="AK33" i="107"/>
  <c r="AO33" i="107"/>
  <c r="AS33" i="107"/>
  <c r="AW33" i="107"/>
  <c r="BA33" i="107"/>
  <c r="BE33" i="107"/>
  <c r="BI33" i="107"/>
  <c r="E34" i="107"/>
  <c r="I34" i="107"/>
  <c r="M34" i="107"/>
  <c r="Q34" i="107"/>
  <c r="U34" i="107"/>
  <c r="Y34" i="107"/>
  <c r="AC34" i="107"/>
  <c r="AG34" i="107"/>
  <c r="AK34" i="107"/>
  <c r="AO34" i="107"/>
  <c r="AS34" i="107"/>
  <c r="AW34" i="107"/>
  <c r="BA34" i="107"/>
  <c r="BE34" i="107"/>
  <c r="BI34" i="107"/>
  <c r="E35" i="107"/>
  <c r="I35" i="107"/>
  <c r="M35" i="107"/>
  <c r="Q35" i="107"/>
  <c r="U35" i="107"/>
  <c r="Y35" i="107"/>
  <c r="AC35" i="107"/>
  <c r="AG35" i="107"/>
  <c r="AK35" i="107"/>
  <c r="AO35" i="107"/>
  <c r="AS35" i="107"/>
  <c r="AW35" i="107"/>
  <c r="BA35" i="107"/>
  <c r="BE35" i="107"/>
  <c r="BI35" i="107"/>
  <c r="E36" i="107"/>
  <c r="I36" i="107"/>
  <c r="M36" i="107"/>
  <c r="Q36" i="107"/>
  <c r="U36" i="107"/>
  <c r="Y36" i="107"/>
  <c r="AC36" i="107"/>
  <c r="AG36" i="107"/>
  <c r="AK36" i="107"/>
  <c r="AO36" i="107"/>
  <c r="AS36" i="107"/>
  <c r="AW36" i="107"/>
  <c r="BA36" i="107"/>
  <c r="BE36" i="107"/>
  <c r="BI36" i="107"/>
  <c r="E37" i="107"/>
  <c r="I37" i="107"/>
  <c r="M37" i="107"/>
  <c r="Q37" i="107"/>
  <c r="U37" i="107"/>
  <c r="Y37" i="107"/>
  <c r="AC37" i="107"/>
  <c r="AG37" i="107"/>
  <c r="AK37" i="107"/>
  <c r="AO37" i="107"/>
  <c r="AS37" i="107"/>
  <c r="AW37" i="107"/>
  <c r="BA37" i="107"/>
  <c r="BE37" i="107"/>
  <c r="BI37" i="107"/>
  <c r="E38" i="107"/>
  <c r="I38" i="107"/>
  <c r="M38" i="107"/>
  <c r="Q38" i="107"/>
  <c r="U38" i="107"/>
  <c r="Y38" i="107"/>
  <c r="AC38" i="107"/>
  <c r="AG38" i="107"/>
  <c r="AD19" i="107"/>
  <c r="AH20" i="107"/>
  <c r="AL21" i="107"/>
  <c r="AP22" i="107"/>
  <c r="AT23" i="107"/>
  <c r="AU24" i="107"/>
  <c r="S25" i="107"/>
  <c r="AY25" i="107"/>
  <c r="W26" i="107"/>
  <c r="BC26" i="107"/>
  <c r="Y27" i="107"/>
  <c r="AQ27" i="107"/>
  <c r="BG27" i="107"/>
  <c r="O28" i="107"/>
  <c r="AE28" i="107"/>
  <c r="AU28" i="107"/>
  <c r="BK28" i="107"/>
  <c r="S29" i="107"/>
  <c r="AC29" i="107"/>
  <c r="AN29" i="107"/>
  <c r="AY29" i="107"/>
  <c r="BI29" i="107"/>
  <c r="L30" i="107"/>
  <c r="V30" i="107"/>
  <c r="AD30" i="107"/>
  <c r="AL30" i="107"/>
  <c r="AT30" i="107"/>
  <c r="BB30" i="107"/>
  <c r="BJ30" i="107"/>
  <c r="J31" i="107"/>
  <c r="R31" i="107"/>
  <c r="Z31" i="107"/>
  <c r="AH31" i="107"/>
  <c r="AP31" i="107"/>
  <c r="AX31" i="107"/>
  <c r="BF31" i="107"/>
  <c r="F32" i="107"/>
  <c r="N32" i="107"/>
  <c r="V32" i="107"/>
  <c r="AD32" i="107"/>
  <c r="AL32" i="107"/>
  <c r="AT32" i="107"/>
  <c r="BB32" i="107"/>
  <c r="BJ32" i="107"/>
  <c r="J33" i="107"/>
  <c r="R33" i="107"/>
  <c r="Z33" i="107"/>
  <c r="AH33" i="107"/>
  <c r="AP33" i="107"/>
  <c r="AX33" i="107"/>
  <c r="BF33" i="107"/>
  <c r="F34" i="107"/>
  <c r="N34" i="107"/>
  <c r="V34" i="107"/>
  <c r="AD34" i="107"/>
  <c r="AL34" i="107"/>
  <c r="AT34" i="107"/>
  <c r="BB34" i="107"/>
  <c r="BJ34" i="107"/>
  <c r="J35" i="107"/>
  <c r="R35" i="107"/>
  <c r="Z35" i="107"/>
  <c r="AH35" i="107"/>
  <c r="AP35" i="107"/>
  <c r="AX35" i="107"/>
  <c r="BF35" i="107"/>
  <c r="F36" i="107"/>
  <c r="N36" i="107"/>
  <c r="V36" i="107"/>
  <c r="AD36" i="107"/>
  <c r="AL36" i="107"/>
  <c r="AT36" i="107"/>
  <c r="BB36" i="107"/>
  <c r="BJ36" i="107"/>
  <c r="J37" i="107"/>
  <c r="R37" i="107"/>
  <c r="Z37" i="107"/>
  <c r="AH37" i="107"/>
  <c r="AP37" i="107"/>
  <c r="AX37" i="107"/>
  <c r="BF37" i="107"/>
  <c r="F38" i="107"/>
  <c r="N38" i="107"/>
  <c r="S38" i="107"/>
  <c r="X38" i="107"/>
  <c r="AD38" i="107"/>
  <c r="AI38" i="107"/>
  <c r="AM38" i="107"/>
  <c r="AQ38" i="107"/>
  <c r="AU38" i="107"/>
  <c r="AY38" i="107"/>
  <c r="BC38" i="107"/>
  <c r="BG38" i="107"/>
  <c r="BK38" i="107"/>
  <c r="G39" i="107"/>
  <c r="K39" i="107"/>
  <c r="O39" i="107"/>
  <c r="S39" i="107"/>
  <c r="W39" i="107"/>
  <c r="AA39" i="107"/>
  <c r="AE39" i="107"/>
  <c r="AI39" i="107"/>
  <c r="AM39" i="107"/>
  <c r="AQ39" i="107"/>
  <c r="AU39" i="107"/>
  <c r="AY39" i="107"/>
  <c r="BC39" i="107"/>
  <c r="BG39" i="107"/>
  <c r="BK39" i="107"/>
  <c r="G40" i="107"/>
  <c r="K40" i="107"/>
  <c r="O40" i="107"/>
  <c r="S40" i="107"/>
  <c r="W40" i="107"/>
  <c r="AA40" i="107"/>
  <c r="AE40" i="107"/>
  <c r="AH19" i="107"/>
  <c r="AL20" i="107"/>
  <c r="AP21" i="107"/>
  <c r="AT22" i="107"/>
  <c r="AX23" i="107"/>
  <c r="AW24" i="107"/>
  <c r="U25" i="107"/>
  <c r="BA25" i="107"/>
  <c r="Y26" i="107"/>
  <c r="BE26" i="107"/>
  <c r="Z27" i="107"/>
  <c r="AR27" i="107"/>
  <c r="BH27" i="107"/>
  <c r="P28" i="107"/>
  <c r="AF28" i="107"/>
  <c r="AV28" i="107"/>
  <c r="D29" i="107"/>
  <c r="T29" i="107"/>
  <c r="AE29" i="107"/>
  <c r="AO29" i="107"/>
  <c r="AZ29" i="107"/>
  <c r="BK29" i="107"/>
  <c r="M30" i="107"/>
  <c r="W30" i="107"/>
  <c r="AE30" i="107"/>
  <c r="AM30" i="107"/>
  <c r="AU30" i="107"/>
  <c r="BC30" i="107"/>
  <c r="BK30" i="107"/>
  <c r="K31" i="107"/>
  <c r="S31" i="107"/>
  <c r="AA31" i="107"/>
  <c r="AI31" i="107"/>
  <c r="AQ31" i="107"/>
  <c r="AY31" i="107"/>
  <c r="BG31" i="107"/>
  <c r="G32" i="107"/>
  <c r="O32" i="107"/>
  <c r="W32" i="107"/>
  <c r="AE32" i="107"/>
  <c r="AM32" i="107"/>
  <c r="AU32" i="107"/>
  <c r="BC32" i="107"/>
  <c r="BK32" i="107"/>
  <c r="K33" i="107"/>
  <c r="S33" i="107"/>
  <c r="AA33" i="107"/>
  <c r="AI33" i="107"/>
  <c r="AQ33" i="107"/>
  <c r="AY33" i="107"/>
  <c r="BG33" i="107"/>
  <c r="G34" i="107"/>
  <c r="O34" i="107"/>
  <c r="W34" i="107"/>
  <c r="AE34" i="107"/>
  <c r="AM34" i="107"/>
  <c r="AU34" i="107"/>
  <c r="BC34" i="107"/>
  <c r="BK34" i="107"/>
  <c r="K35" i="107"/>
  <c r="S35" i="107"/>
  <c r="AA35" i="107"/>
  <c r="AI35" i="107"/>
  <c r="BJ19" i="107"/>
  <c r="F21" i="107"/>
  <c r="J22" i="107"/>
  <c r="N23" i="107"/>
  <c r="R24" i="107"/>
  <c r="BK24" i="107"/>
  <c r="AI25" i="107"/>
  <c r="G26" i="107"/>
  <c r="AM26" i="107"/>
  <c r="K27" i="107"/>
  <c r="AI27" i="107"/>
  <c r="AY27" i="107"/>
  <c r="G28" i="107"/>
  <c r="W28" i="107"/>
  <c r="AM28" i="107"/>
  <c r="BC28" i="107"/>
  <c r="K29" i="107"/>
  <c r="X29" i="107"/>
  <c r="AI29" i="107"/>
  <c r="AS29" i="107"/>
  <c r="BD29" i="107"/>
  <c r="G30" i="107"/>
  <c r="Q30" i="107"/>
  <c r="Z30" i="107"/>
  <c r="AH30" i="107"/>
  <c r="AP30" i="107"/>
  <c r="AX30" i="107"/>
  <c r="BF30" i="107"/>
  <c r="F31" i="107"/>
  <c r="N31" i="107"/>
  <c r="V31" i="107"/>
  <c r="AD31" i="107"/>
  <c r="AL31" i="107"/>
  <c r="AT31" i="107"/>
  <c r="BB31" i="107"/>
  <c r="BJ31" i="107"/>
  <c r="J32" i="107"/>
  <c r="R32" i="107"/>
  <c r="Z32" i="107"/>
  <c r="AH32" i="107"/>
  <c r="AP32" i="107"/>
  <c r="AX32" i="107"/>
  <c r="BF32" i="107"/>
  <c r="F33" i="107"/>
  <c r="N33" i="107"/>
  <c r="V33" i="107"/>
  <c r="AD33" i="107"/>
  <c r="AL33" i="107"/>
  <c r="AT33" i="107"/>
  <c r="BB33" i="107"/>
  <c r="BJ33" i="107"/>
  <c r="J34" i="107"/>
  <c r="R34" i="107"/>
  <c r="Z34" i="107"/>
  <c r="AH34" i="107"/>
  <c r="AP34" i="107"/>
  <c r="AX34" i="107"/>
  <c r="BF34" i="107"/>
  <c r="F35" i="107"/>
  <c r="N35" i="107"/>
  <c r="V35" i="107"/>
  <c r="AD35" i="107"/>
  <c r="AL35" i="107"/>
  <c r="AT35" i="107"/>
  <c r="BB35" i="107"/>
  <c r="BJ35" i="107"/>
  <c r="J36" i="107"/>
  <c r="R36" i="107"/>
  <c r="Z36" i="107"/>
  <c r="AH36" i="107"/>
  <c r="AP36" i="107"/>
  <c r="AX36" i="107"/>
  <c r="BF36" i="107"/>
  <c r="F37" i="107"/>
  <c r="N37" i="107"/>
  <c r="V37" i="107"/>
  <c r="AD37" i="107"/>
  <c r="AL37" i="107"/>
  <c r="AT37" i="107"/>
  <c r="BB37" i="107"/>
  <c r="BJ37" i="107"/>
  <c r="J38" i="107"/>
  <c r="P38" i="107"/>
  <c r="V38" i="107"/>
  <c r="AA38" i="107"/>
  <c r="AF38" i="107"/>
  <c r="AK38" i="107"/>
  <c r="AO38" i="107"/>
  <c r="AS38" i="107"/>
  <c r="AW38" i="107"/>
  <c r="BA38" i="107"/>
  <c r="BE38" i="107"/>
  <c r="BI38" i="107"/>
  <c r="E39" i="107"/>
  <c r="I39" i="107"/>
  <c r="M39" i="107"/>
  <c r="Q39" i="107"/>
  <c r="U39" i="107"/>
  <c r="Y39" i="107"/>
  <c r="AC39" i="107"/>
  <c r="AG39" i="107"/>
  <c r="AK39" i="107"/>
  <c r="AO39" i="107"/>
  <c r="AS39" i="107"/>
  <c r="AW39" i="107"/>
  <c r="BA39" i="107"/>
  <c r="BE39" i="107"/>
  <c r="BI39" i="107"/>
  <c r="E40" i="107"/>
  <c r="I40" i="107"/>
  <c r="M40" i="107"/>
  <c r="Q40" i="107"/>
  <c r="U40" i="107"/>
  <c r="Y40" i="107"/>
  <c r="AC40" i="107"/>
  <c r="AG40" i="107"/>
  <c r="AK40" i="107"/>
  <c r="AO40" i="107"/>
  <c r="AS40" i="107"/>
  <c r="AW40" i="107"/>
  <c r="BA40" i="107"/>
  <c r="BE40" i="107"/>
  <c r="BI40" i="107"/>
  <c r="E41" i="107"/>
  <c r="I41" i="107"/>
  <c r="M41" i="107"/>
  <c r="Q41" i="107"/>
  <c r="U41" i="107"/>
  <c r="Y41" i="107"/>
  <c r="AC41" i="107"/>
  <c r="AG41" i="107"/>
  <c r="AK41" i="107"/>
  <c r="AO41" i="107"/>
  <c r="AS41" i="107"/>
  <c r="AW41" i="107"/>
  <c r="BA41" i="107"/>
  <c r="BE41" i="107"/>
  <c r="BI41" i="107"/>
  <c r="E42" i="107"/>
  <c r="I42" i="107"/>
  <c r="M42" i="107"/>
  <c r="Q42" i="107"/>
  <c r="U42" i="107"/>
  <c r="Y42" i="107"/>
  <c r="AC42" i="107"/>
  <c r="AG42" i="107"/>
  <c r="AK42" i="107"/>
  <c r="AO42" i="107"/>
  <c r="AS42" i="107"/>
  <c r="AW42" i="107"/>
  <c r="BA42" i="107"/>
  <c r="BE42" i="107"/>
  <c r="BI42" i="107"/>
  <c r="E43" i="107"/>
  <c r="I43" i="107"/>
  <c r="M43" i="107"/>
  <c r="Q43" i="107"/>
  <c r="U43" i="107"/>
  <c r="Y43" i="107"/>
  <c r="AC43" i="107"/>
  <c r="AG43" i="107"/>
  <c r="AK43" i="107"/>
  <c r="AO43" i="107"/>
  <c r="AS43" i="107"/>
  <c r="AW43" i="107"/>
  <c r="BA43" i="107"/>
  <c r="BE43" i="107"/>
  <c r="BI43" i="107"/>
  <c r="E44" i="107"/>
  <c r="I44" i="107"/>
  <c r="AY44" i="107"/>
  <c r="AM44" i="107"/>
  <c r="AA44" i="107"/>
  <c r="S44" i="107"/>
  <c r="F44" i="107"/>
  <c r="AX43" i="107"/>
  <c r="AH43" i="107"/>
  <c r="W43" i="107"/>
  <c r="G43" i="107"/>
  <c r="AT42" i="107"/>
  <c r="AD42" i="107"/>
  <c r="N42" i="107"/>
  <c r="AZ41" i="107"/>
  <c r="AJ41" i="107"/>
  <c r="Z41" i="107"/>
  <c r="D41" i="107"/>
  <c r="BB40" i="107"/>
  <c r="AL40" i="107"/>
  <c r="AZ39" i="107"/>
  <c r="BI44" i="107"/>
  <c r="BE44" i="107"/>
  <c r="AW44" i="107"/>
  <c r="AS44" i="107"/>
  <c r="AK44" i="107"/>
  <c r="AG44" i="107"/>
  <c r="Y44" i="107"/>
  <c r="Q44" i="107"/>
  <c r="M44" i="107"/>
  <c r="BK43" i="107"/>
  <c r="AZ43" i="107"/>
  <c r="AU43" i="107"/>
  <c r="AJ43" i="107"/>
  <c r="Z43" i="107"/>
  <c r="T43" i="107"/>
  <c r="J43" i="107"/>
  <c r="BG42" i="107"/>
  <c r="AV42" i="107"/>
  <c r="AF42" i="107"/>
  <c r="BH41" i="107"/>
  <c r="BK44" i="107"/>
  <c r="BH44" i="107"/>
  <c r="BD44" i="107"/>
  <c r="AZ44" i="107"/>
  <c r="AV44" i="107"/>
  <c r="AR44" i="107"/>
  <c r="AN44" i="107"/>
  <c r="AJ44" i="107"/>
  <c r="AF44" i="107"/>
  <c r="AB44" i="107"/>
  <c r="X44" i="107"/>
  <c r="T44" i="107"/>
  <c r="P44" i="107"/>
  <c r="L44" i="107"/>
  <c r="G44" i="107"/>
  <c r="BJ43" i="107"/>
  <c r="BD43" i="107"/>
  <c r="AY43" i="107"/>
  <c r="AT43" i="107"/>
  <c r="AN43" i="107"/>
  <c r="AI43" i="107"/>
  <c r="AD43" i="107"/>
  <c r="X43" i="107"/>
  <c r="S43" i="107"/>
  <c r="N43" i="107"/>
  <c r="H43" i="107"/>
  <c r="BK42" i="107"/>
  <c r="BF42" i="107"/>
  <c r="AZ42" i="107"/>
  <c r="AU42" i="107"/>
  <c r="AP42" i="107"/>
  <c r="AJ42" i="107"/>
  <c r="AE42" i="107"/>
  <c r="Z42" i="107"/>
  <c r="T42" i="107"/>
  <c r="O42" i="107"/>
  <c r="J42" i="107"/>
  <c r="D42" i="107"/>
  <c r="BG41" i="107"/>
  <c r="BB41" i="107"/>
  <c r="AV41" i="107"/>
  <c r="AQ41" i="107"/>
  <c r="AL41" i="107"/>
  <c r="AF41" i="107"/>
  <c r="AA41" i="107"/>
  <c r="V41" i="107"/>
  <c r="P41" i="107"/>
  <c r="K41" i="107"/>
  <c r="F41" i="107"/>
  <c r="BH40" i="107"/>
  <c r="BC40" i="107"/>
  <c r="AX40" i="107"/>
  <c r="AR40" i="107"/>
  <c r="AM40" i="107"/>
  <c r="AH40" i="107"/>
  <c r="Z40" i="107"/>
  <c r="R40" i="107"/>
  <c r="J40" i="107"/>
  <c r="BJ39" i="107"/>
  <c r="BB39" i="107"/>
  <c r="AT39" i="107"/>
  <c r="AL39" i="107"/>
  <c r="AD39" i="107"/>
  <c r="V39" i="107"/>
  <c r="N39" i="107"/>
  <c r="F39" i="107"/>
  <c r="BF38" i="107"/>
  <c r="AX38" i="107"/>
  <c r="AP38" i="107"/>
  <c r="AH38" i="107"/>
  <c r="W38" i="107"/>
  <c r="K38" i="107"/>
  <c r="BC37" i="107"/>
  <c r="AM37" i="107"/>
  <c r="W37" i="107"/>
  <c r="G37" i="107"/>
  <c r="AY36" i="107"/>
  <c r="AI36" i="107"/>
  <c r="S36" i="107"/>
  <c r="BK35" i="107"/>
  <c r="AU35" i="107"/>
  <c r="W35" i="107"/>
  <c r="AY34" i="107"/>
  <c r="S34" i="107"/>
  <c r="AU33" i="107"/>
  <c r="O33" i="107"/>
  <c r="AQ32" i="107"/>
  <c r="K32" i="107"/>
  <c r="AM31" i="107"/>
  <c r="G31" i="107"/>
  <c r="AI30" i="107"/>
  <c r="BE29" i="107"/>
  <c r="L29" i="107"/>
  <c r="H28" i="107"/>
  <c r="AO26" i="107"/>
  <c r="V24" i="107"/>
  <c r="F20" i="107"/>
  <c r="AA32" i="11"/>
  <c r="P11" i="130"/>
  <c r="Q11" i="130" s="1"/>
  <c r="R11" i="130" s="1"/>
  <c r="P10" i="130"/>
  <c r="Q10" i="130" s="1"/>
  <c r="R10" i="130" s="1"/>
  <c r="P17" i="130"/>
  <c r="Q17" i="130" s="1"/>
  <c r="P16" i="130"/>
  <c r="Q16" i="130" s="1"/>
  <c r="P93" i="142"/>
  <c r="P15" i="130"/>
  <c r="Q15" i="130"/>
  <c r="R15" i="130" s="1"/>
  <c r="P84" i="129"/>
  <c r="P83" i="129"/>
  <c r="D85" i="129"/>
  <c r="D84" i="129"/>
  <c r="D83" i="129"/>
  <c r="Q70" i="129"/>
  <c r="R70" i="129" s="1"/>
  <c r="Q71" i="129"/>
  <c r="R71" i="129" s="1"/>
  <c r="Q72" i="129"/>
  <c r="R72" i="129" s="1"/>
  <c r="Q73" i="129"/>
  <c r="R73" i="129" s="1"/>
  <c r="Q74" i="129"/>
  <c r="R74" i="129" s="1"/>
  <c r="Q75" i="129"/>
  <c r="R75" i="129" s="1"/>
  <c r="Q76" i="129"/>
  <c r="R76" i="129" s="1"/>
  <c r="Q77" i="129"/>
  <c r="R77" i="129" s="1"/>
  <c r="Q78" i="129"/>
  <c r="R78" i="129" s="1"/>
  <c r="D69" i="129"/>
  <c r="D70" i="129"/>
  <c r="D71" i="129"/>
  <c r="D72" i="129"/>
  <c r="D73" i="129"/>
  <c r="D74" i="129"/>
  <c r="D75" i="129"/>
  <c r="D76" i="129"/>
  <c r="D77" i="129"/>
  <c r="D78" i="129"/>
  <c r="D79" i="129"/>
  <c r="D80" i="129"/>
  <c r="D81" i="129"/>
  <c r="D82" i="129"/>
  <c r="Q69" i="129"/>
  <c r="R69" i="129" s="1"/>
  <c r="AA27" i="11"/>
  <c r="P14" i="130"/>
  <c r="Q14" i="130" s="1"/>
  <c r="D68" i="129"/>
  <c r="D67" i="129"/>
  <c r="D66" i="129"/>
  <c r="D65" i="129"/>
  <c r="D64" i="129"/>
  <c r="D63" i="129"/>
  <c r="L7" i="127"/>
  <c r="CA1568" i="123"/>
  <c r="BZ1568" i="123"/>
  <c r="BY1568" i="123"/>
  <c r="BX1568" i="123"/>
  <c r="BW1568" i="123"/>
  <c r="BV1568" i="123"/>
  <c r="BU1568" i="123"/>
  <c r="BT1568" i="123"/>
  <c r="BS1568" i="123"/>
  <c r="BR1568" i="123"/>
  <c r="BQ1568" i="123"/>
  <c r="BP1568" i="123"/>
  <c r="BO1568" i="123"/>
  <c r="BN1568" i="123"/>
  <c r="BM1568" i="123"/>
  <c r="BL1568" i="123"/>
  <c r="BK1568" i="123"/>
  <c r="BJ1568" i="123"/>
  <c r="BI1568" i="123"/>
  <c r="BH1568" i="123"/>
  <c r="BG1568" i="123"/>
  <c r="BF1568" i="123"/>
  <c r="BE1568" i="123"/>
  <c r="BD1568" i="123"/>
  <c r="BC1568" i="123"/>
  <c r="BB1568" i="123"/>
  <c r="BA1568" i="123"/>
  <c r="AZ1568" i="123"/>
  <c r="AY1568" i="123"/>
  <c r="AX1568" i="123"/>
  <c r="AW1568" i="123"/>
  <c r="AV1568" i="123"/>
  <c r="AU1568" i="123"/>
  <c r="AT1568" i="123"/>
  <c r="AS1568" i="123"/>
  <c r="AR1568" i="123"/>
  <c r="AQ1568" i="123"/>
  <c r="AP1568" i="123"/>
  <c r="AO1568" i="123"/>
  <c r="AN1568" i="123"/>
  <c r="AM1568" i="123"/>
  <c r="AL1568" i="123"/>
  <c r="AK1568" i="123"/>
  <c r="AJ1568" i="123"/>
  <c r="AI1568" i="123"/>
  <c r="AH1568" i="123"/>
  <c r="CA1557" i="123"/>
  <c r="BZ1557" i="123"/>
  <c r="BY1557" i="123"/>
  <c r="BX1557" i="123"/>
  <c r="BW1557" i="123"/>
  <c r="BV1557" i="123"/>
  <c r="BU1557" i="123"/>
  <c r="BT1557" i="123"/>
  <c r="BS1557" i="123"/>
  <c r="BR1557" i="123"/>
  <c r="BQ1557" i="123"/>
  <c r="BP1557" i="123"/>
  <c r="BO1557" i="123"/>
  <c r="BN1557" i="123"/>
  <c r="BM1557" i="123"/>
  <c r="BL1557" i="123"/>
  <c r="BK1557" i="123"/>
  <c r="BJ1557" i="123"/>
  <c r="BI1557" i="123"/>
  <c r="BH1557" i="123"/>
  <c r="BG1557" i="123"/>
  <c r="BF1557" i="123"/>
  <c r="BE1557" i="123"/>
  <c r="BD1557" i="123"/>
  <c r="BC1557" i="123"/>
  <c r="BB1557" i="123"/>
  <c r="BA1557" i="123"/>
  <c r="AZ1557" i="123"/>
  <c r="AY1557" i="123"/>
  <c r="AX1557" i="123"/>
  <c r="AW1557" i="123"/>
  <c r="AV1557" i="123"/>
  <c r="AU1557" i="123"/>
  <c r="AT1557" i="123"/>
  <c r="AS1557" i="123"/>
  <c r="AR1557" i="123"/>
  <c r="AQ1557" i="123"/>
  <c r="AP1557" i="123"/>
  <c r="AO1557" i="123"/>
  <c r="AN1557" i="123"/>
  <c r="AM1557" i="123"/>
  <c r="AL1557" i="123"/>
  <c r="AK1557" i="123"/>
  <c r="AJ1557" i="123"/>
  <c r="AI1557" i="123"/>
  <c r="AH1557" i="123"/>
  <c r="CA1548" i="123"/>
  <c r="BZ1548" i="123"/>
  <c r="BY1548" i="123"/>
  <c r="BX1548" i="123"/>
  <c r="BW1548" i="123"/>
  <c r="BW1550" i="123" s="1"/>
  <c r="BV1548" i="123"/>
  <c r="BV1550" i="123" s="1"/>
  <c r="BU1548" i="123"/>
  <c r="BT1548" i="123"/>
  <c r="BS1548" i="123"/>
  <c r="BR1548" i="123"/>
  <c r="BQ1548" i="123"/>
  <c r="BP1548" i="123"/>
  <c r="BO1548" i="123"/>
  <c r="BO1550" i="123" s="1"/>
  <c r="BN1548" i="123"/>
  <c r="BN1550" i="123" s="1"/>
  <c r="BM1548" i="123"/>
  <c r="BL1548" i="123"/>
  <c r="BK1548" i="123"/>
  <c r="BJ1548" i="123"/>
  <c r="BI1548" i="123"/>
  <c r="BH1548" i="123"/>
  <c r="BG1548" i="123"/>
  <c r="BG1550" i="123" s="1"/>
  <c r="BF1548" i="123"/>
  <c r="BF1550" i="123" s="1"/>
  <c r="BE1548" i="123"/>
  <c r="BD1548" i="123"/>
  <c r="BC1548" i="123"/>
  <c r="BB1548" i="123"/>
  <c r="BA1548" i="123"/>
  <c r="AZ1548" i="123"/>
  <c r="AY1548" i="123"/>
  <c r="AY1550" i="123" s="1"/>
  <c r="AX1548" i="123"/>
  <c r="AX1550" i="123" s="1"/>
  <c r="AW1548" i="123"/>
  <c r="AV1548" i="123"/>
  <c r="AU1548" i="123"/>
  <c r="AT1548" i="123"/>
  <c r="AS1548" i="123"/>
  <c r="AR1548" i="123"/>
  <c r="AQ1548" i="123"/>
  <c r="AQ1550" i="123" s="1"/>
  <c r="AP1548" i="123"/>
  <c r="AP1550" i="123" s="1"/>
  <c r="AO1548" i="123"/>
  <c r="AN1548" i="123"/>
  <c r="AM1548" i="123"/>
  <c r="AL1548" i="123"/>
  <c r="AK1548" i="123"/>
  <c r="AJ1548" i="123"/>
  <c r="AI1548" i="123"/>
  <c r="AI1550" i="123" s="1"/>
  <c r="AH1548" i="123"/>
  <c r="AH1550" i="123" s="1"/>
  <c r="CA1538" i="123"/>
  <c r="BZ1538" i="123"/>
  <c r="BY1538" i="123"/>
  <c r="BY1550" i="123" s="1"/>
  <c r="BX1538" i="123"/>
  <c r="BW1538" i="123"/>
  <c r="BV1538" i="123"/>
  <c r="BU1538" i="123"/>
  <c r="BT1538" i="123"/>
  <c r="BT1550" i="123" s="1"/>
  <c r="BS1538" i="123"/>
  <c r="BR1538" i="123"/>
  <c r="BQ1538" i="123"/>
  <c r="BQ1550" i="123" s="1"/>
  <c r="BP1538" i="123"/>
  <c r="BO1538" i="123"/>
  <c r="BN1538" i="123"/>
  <c r="BM1538" i="123"/>
  <c r="BL1538" i="123"/>
  <c r="BL1550" i="123" s="1"/>
  <c r="BK1538" i="123"/>
  <c r="BJ1538" i="123"/>
  <c r="BI1538" i="123"/>
  <c r="BI1550" i="123" s="1"/>
  <c r="BH1538" i="123"/>
  <c r="BG1538" i="123"/>
  <c r="BF1538" i="123"/>
  <c r="BE1538" i="123"/>
  <c r="BD1538" i="123"/>
  <c r="BD1550" i="123" s="1"/>
  <c r="BC1538" i="123"/>
  <c r="BB1538" i="123"/>
  <c r="BA1538" i="123"/>
  <c r="BA1550" i="123" s="1"/>
  <c r="AZ1538" i="123"/>
  <c r="AY1538" i="123"/>
  <c r="AX1538" i="123"/>
  <c r="AW1538" i="123"/>
  <c r="AV1538" i="123"/>
  <c r="AV1550" i="123" s="1"/>
  <c r="AU1538" i="123"/>
  <c r="AT1538" i="123"/>
  <c r="AS1538" i="123"/>
  <c r="AS1550" i="123" s="1"/>
  <c r="AR1538" i="123"/>
  <c r="AQ1538" i="123"/>
  <c r="AP1538" i="123"/>
  <c r="AO1538" i="123"/>
  <c r="AN1538" i="123"/>
  <c r="AN1550" i="123" s="1"/>
  <c r="AM1538" i="123"/>
  <c r="AL1538" i="123"/>
  <c r="AK1538" i="123"/>
  <c r="AK1550" i="123" s="1"/>
  <c r="AJ1538" i="123"/>
  <c r="AI1538" i="123"/>
  <c r="AH1538" i="123"/>
  <c r="CA1528" i="123"/>
  <c r="BZ1528" i="123"/>
  <c r="BY1528" i="123"/>
  <c r="BX1528" i="123"/>
  <c r="BW1528" i="123"/>
  <c r="BV1528" i="123"/>
  <c r="BU1528" i="123"/>
  <c r="BT1528" i="123"/>
  <c r="BS1528" i="123"/>
  <c r="BR1528" i="123"/>
  <c r="BQ1528" i="123"/>
  <c r="BP1528" i="123"/>
  <c r="BO1528" i="123"/>
  <c r="BN1528" i="123"/>
  <c r="BM1528" i="123"/>
  <c r="BL1528" i="123"/>
  <c r="BK1528" i="123"/>
  <c r="BJ1528" i="123"/>
  <c r="BI1528" i="123"/>
  <c r="BH1528" i="123"/>
  <c r="BG1528" i="123"/>
  <c r="BF1528" i="123"/>
  <c r="BE1528" i="123"/>
  <c r="BD1528" i="123"/>
  <c r="BC1528" i="123"/>
  <c r="BB1528" i="123"/>
  <c r="BA1528" i="123"/>
  <c r="AZ1528" i="123"/>
  <c r="AY1528" i="123"/>
  <c r="AX1528" i="123"/>
  <c r="AW1528" i="123"/>
  <c r="AV1528" i="123"/>
  <c r="AU1528" i="123"/>
  <c r="AT1528" i="123"/>
  <c r="AS1528" i="123"/>
  <c r="AR1528" i="123"/>
  <c r="AQ1528" i="123"/>
  <c r="AP1528" i="123"/>
  <c r="AO1528" i="123"/>
  <c r="AN1528" i="123"/>
  <c r="AM1528" i="123"/>
  <c r="AL1528" i="123"/>
  <c r="AK1528" i="123"/>
  <c r="AJ1528" i="123"/>
  <c r="AI1528" i="123"/>
  <c r="AH1528" i="123"/>
  <c r="CA1516" i="123"/>
  <c r="BZ1516" i="123"/>
  <c r="BY1516" i="123"/>
  <c r="BX1516" i="123"/>
  <c r="BW1516" i="123"/>
  <c r="BV1516" i="123"/>
  <c r="BU1516" i="123"/>
  <c r="BT1516" i="123"/>
  <c r="BS1516" i="123"/>
  <c r="BR1516" i="123"/>
  <c r="BQ1516" i="123"/>
  <c r="BP1516" i="123"/>
  <c r="BO1516" i="123"/>
  <c r="BN1516" i="123"/>
  <c r="BM1516" i="123"/>
  <c r="BL1516" i="123"/>
  <c r="BK1516" i="123"/>
  <c r="BJ1516" i="123"/>
  <c r="BI1516" i="123"/>
  <c r="BH1516" i="123"/>
  <c r="BG1516" i="123"/>
  <c r="BF1516" i="123"/>
  <c r="BE1516" i="123"/>
  <c r="BD1516" i="123"/>
  <c r="BC1516" i="123"/>
  <c r="BB1516" i="123"/>
  <c r="BA1516" i="123"/>
  <c r="AZ1516" i="123"/>
  <c r="AY1516" i="123"/>
  <c r="AX1516" i="123"/>
  <c r="AW1516" i="123"/>
  <c r="AV1516" i="123"/>
  <c r="AU1516" i="123"/>
  <c r="AT1516" i="123"/>
  <c r="AS1516" i="123"/>
  <c r="AR1516" i="123"/>
  <c r="AQ1516" i="123"/>
  <c r="AP1516" i="123"/>
  <c r="AO1516" i="123"/>
  <c r="AN1516" i="123"/>
  <c r="AM1516" i="123"/>
  <c r="AL1516" i="123"/>
  <c r="AK1516" i="123"/>
  <c r="AJ1516" i="123"/>
  <c r="AI1516" i="123"/>
  <c r="AH1516" i="123"/>
  <c r="CA1508" i="123"/>
  <c r="BZ1508" i="123"/>
  <c r="BY1508" i="123"/>
  <c r="BX1508" i="123"/>
  <c r="BW1508" i="123"/>
  <c r="BV1508" i="123"/>
  <c r="BU1508" i="123"/>
  <c r="BT1508" i="123"/>
  <c r="BS1508" i="123"/>
  <c r="BR1508" i="123"/>
  <c r="BQ1508" i="123"/>
  <c r="BP1508" i="123"/>
  <c r="BO1508" i="123"/>
  <c r="BN1508" i="123"/>
  <c r="BM1508" i="123"/>
  <c r="BL1508" i="123"/>
  <c r="BK1508" i="123"/>
  <c r="BJ1508" i="123"/>
  <c r="BI1508" i="123"/>
  <c r="BH1508" i="123"/>
  <c r="BG1508" i="123"/>
  <c r="BF1508" i="123"/>
  <c r="BE1508" i="123"/>
  <c r="BD1508" i="123"/>
  <c r="BC1508" i="123"/>
  <c r="BB1508" i="123"/>
  <c r="BA1508" i="123"/>
  <c r="AZ1508" i="123"/>
  <c r="AY1508" i="123"/>
  <c r="AX1508" i="123"/>
  <c r="AW1508" i="123"/>
  <c r="AV1508" i="123"/>
  <c r="AU1508" i="123"/>
  <c r="AT1508" i="123"/>
  <c r="AS1508" i="123"/>
  <c r="AR1508" i="123"/>
  <c r="AQ1508" i="123"/>
  <c r="AP1508" i="123"/>
  <c r="AO1508" i="123"/>
  <c r="AN1508" i="123"/>
  <c r="AM1508" i="123"/>
  <c r="AL1508" i="123"/>
  <c r="AK1508" i="123"/>
  <c r="AJ1508" i="123"/>
  <c r="AI1508" i="123"/>
  <c r="AH1508" i="123"/>
  <c r="CA1502" i="123"/>
  <c r="BZ1502" i="123"/>
  <c r="BY1502" i="123"/>
  <c r="BX1502" i="123"/>
  <c r="BW1502" i="123"/>
  <c r="BV1502" i="123"/>
  <c r="BU1502" i="123"/>
  <c r="BT1502" i="123"/>
  <c r="BS1502" i="123"/>
  <c r="BR1502" i="123"/>
  <c r="BQ1502" i="123"/>
  <c r="BP1502" i="123"/>
  <c r="BO1502" i="123"/>
  <c r="BN1502" i="123"/>
  <c r="BM1502" i="123"/>
  <c r="BL1502" i="123"/>
  <c r="BK1502" i="123"/>
  <c r="BJ1502" i="123"/>
  <c r="BI1502" i="123"/>
  <c r="BH1502" i="123"/>
  <c r="BG1502" i="123"/>
  <c r="BF1502" i="123"/>
  <c r="BE1502" i="123"/>
  <c r="BD1502" i="123"/>
  <c r="BC1502" i="123"/>
  <c r="BB1502" i="123"/>
  <c r="BA1502" i="123"/>
  <c r="AZ1502" i="123"/>
  <c r="AY1502" i="123"/>
  <c r="AX1502" i="123"/>
  <c r="AW1502" i="123"/>
  <c r="AV1502" i="123"/>
  <c r="AU1502" i="123"/>
  <c r="AT1502" i="123"/>
  <c r="AS1502" i="123"/>
  <c r="AR1502" i="123"/>
  <c r="AQ1502" i="123"/>
  <c r="AP1502" i="123"/>
  <c r="AO1502" i="123"/>
  <c r="AN1502" i="123"/>
  <c r="AM1502" i="123"/>
  <c r="AL1502" i="123"/>
  <c r="AK1502" i="123"/>
  <c r="AJ1502" i="123"/>
  <c r="AI1502" i="123"/>
  <c r="AH1502" i="123"/>
  <c r="CA1494" i="123"/>
  <c r="BZ1494" i="123"/>
  <c r="BY1494" i="123"/>
  <c r="BX1494" i="123"/>
  <c r="BW1494" i="123"/>
  <c r="BV1494" i="123"/>
  <c r="BU1494" i="123"/>
  <c r="BT1494" i="123"/>
  <c r="BS1494" i="123"/>
  <c r="BR1494" i="123"/>
  <c r="BQ1494" i="123"/>
  <c r="BP1494" i="123"/>
  <c r="BO1494" i="123"/>
  <c r="BN1494" i="123"/>
  <c r="BM1494" i="123"/>
  <c r="BL1494" i="123"/>
  <c r="BK1494" i="123"/>
  <c r="BJ1494" i="123"/>
  <c r="BI1494" i="123"/>
  <c r="BH1494" i="123"/>
  <c r="BG1494" i="123"/>
  <c r="BF1494" i="123"/>
  <c r="BE1494" i="123"/>
  <c r="BD1494" i="123"/>
  <c r="BC1494" i="123"/>
  <c r="BB1494" i="123"/>
  <c r="BA1494" i="123"/>
  <c r="AZ1494" i="123"/>
  <c r="AY1494" i="123"/>
  <c r="AX1494" i="123"/>
  <c r="AW1494" i="123"/>
  <c r="AV1494" i="123"/>
  <c r="AU1494" i="123"/>
  <c r="AT1494" i="123"/>
  <c r="AS1494" i="123"/>
  <c r="AR1494" i="123"/>
  <c r="AQ1494" i="123"/>
  <c r="AP1494" i="123"/>
  <c r="AO1494" i="123"/>
  <c r="AN1494" i="123"/>
  <c r="AM1494" i="123"/>
  <c r="AL1494" i="123"/>
  <c r="AK1494" i="123"/>
  <c r="AJ1494" i="123"/>
  <c r="AI1494" i="123"/>
  <c r="AH1494" i="123"/>
  <c r="CA1480" i="123"/>
  <c r="BZ1480" i="123"/>
  <c r="BY1480" i="123"/>
  <c r="BX1480" i="123"/>
  <c r="BW1480" i="123"/>
  <c r="BV1480" i="123"/>
  <c r="BU1480" i="123"/>
  <c r="BT1480" i="123"/>
  <c r="BS1480" i="123"/>
  <c r="BR1480" i="123"/>
  <c r="BQ1480" i="123"/>
  <c r="BP1480" i="123"/>
  <c r="BO1480" i="123"/>
  <c r="BN1480" i="123"/>
  <c r="BM1480" i="123"/>
  <c r="BL1480" i="123"/>
  <c r="BK1480" i="123"/>
  <c r="BJ1480" i="123"/>
  <c r="BI1480" i="123"/>
  <c r="BH1480" i="123"/>
  <c r="BG1480" i="123"/>
  <c r="BF1480" i="123"/>
  <c r="BE1480" i="123"/>
  <c r="BD1480" i="123"/>
  <c r="BC1480" i="123"/>
  <c r="BB1480" i="123"/>
  <c r="BA1480" i="123"/>
  <c r="AZ1480" i="123"/>
  <c r="AY1480" i="123"/>
  <c r="AX1480" i="123"/>
  <c r="AW1480" i="123"/>
  <c r="AV1480" i="123"/>
  <c r="AU1480" i="123"/>
  <c r="AT1480" i="123"/>
  <c r="AS1480" i="123"/>
  <c r="AR1480" i="123"/>
  <c r="AQ1480" i="123"/>
  <c r="AP1480" i="123"/>
  <c r="AO1480" i="123"/>
  <c r="AN1480" i="123"/>
  <c r="AM1480" i="123"/>
  <c r="AL1480" i="123"/>
  <c r="AK1480" i="123"/>
  <c r="AJ1480" i="123"/>
  <c r="AI1480" i="123"/>
  <c r="AH1480" i="123"/>
  <c r="CA1476" i="123"/>
  <c r="BZ1476" i="123"/>
  <c r="BY1476" i="123"/>
  <c r="BX1476" i="123"/>
  <c r="BW1476" i="123"/>
  <c r="BV1476" i="123"/>
  <c r="BU1476" i="123"/>
  <c r="BT1476" i="123"/>
  <c r="BS1476" i="123"/>
  <c r="BR1476" i="123"/>
  <c r="BQ1476" i="123"/>
  <c r="BP1476" i="123"/>
  <c r="BO1476" i="123"/>
  <c r="BN1476" i="123"/>
  <c r="BM1476" i="123"/>
  <c r="BL1476" i="123"/>
  <c r="BK1476" i="123"/>
  <c r="BJ1476" i="123"/>
  <c r="BI1476" i="123"/>
  <c r="BH1476" i="123"/>
  <c r="BG1476" i="123"/>
  <c r="BF1476" i="123"/>
  <c r="BE1476" i="123"/>
  <c r="BD1476" i="123"/>
  <c r="BC1476" i="123"/>
  <c r="BB1476" i="123"/>
  <c r="BA1476" i="123"/>
  <c r="AZ1476" i="123"/>
  <c r="AY1476" i="123"/>
  <c r="AX1476" i="123"/>
  <c r="AW1476" i="123"/>
  <c r="AV1476" i="123"/>
  <c r="AU1476" i="123"/>
  <c r="AT1476" i="123"/>
  <c r="AS1476" i="123"/>
  <c r="AR1476" i="123"/>
  <c r="AQ1476" i="123"/>
  <c r="AP1476" i="123"/>
  <c r="AO1476" i="123"/>
  <c r="AN1476" i="123"/>
  <c r="AM1476" i="123"/>
  <c r="AL1476" i="123"/>
  <c r="AK1476" i="123"/>
  <c r="AJ1476" i="123"/>
  <c r="AI1476" i="123"/>
  <c r="AH1476" i="123"/>
  <c r="CA1456" i="123"/>
  <c r="BZ1456" i="123"/>
  <c r="BY1456" i="123"/>
  <c r="BX1456" i="123"/>
  <c r="BW1456" i="123"/>
  <c r="BV1456" i="123"/>
  <c r="BU1456" i="123"/>
  <c r="BT1456" i="123"/>
  <c r="BS1456" i="123"/>
  <c r="BR1456" i="123"/>
  <c r="BQ1456" i="123"/>
  <c r="BP1456" i="123"/>
  <c r="BO1456" i="123"/>
  <c r="BN1456" i="123"/>
  <c r="BM1456" i="123"/>
  <c r="BL1456" i="123"/>
  <c r="BK1456" i="123"/>
  <c r="BJ1456" i="123"/>
  <c r="BI1456" i="123"/>
  <c r="BH1456" i="123"/>
  <c r="BG1456" i="123"/>
  <c r="BF1456" i="123"/>
  <c r="BE1456" i="123"/>
  <c r="BD1456" i="123"/>
  <c r="BC1456" i="123"/>
  <c r="BB1456" i="123"/>
  <c r="BA1456" i="123"/>
  <c r="AZ1456" i="123"/>
  <c r="AY1456" i="123"/>
  <c r="AX1456" i="123"/>
  <c r="AW1456" i="123"/>
  <c r="AV1456" i="123"/>
  <c r="AU1456" i="123"/>
  <c r="AT1456" i="123"/>
  <c r="AS1456" i="123"/>
  <c r="AR1456" i="123"/>
  <c r="AQ1456" i="123"/>
  <c r="AP1456" i="123"/>
  <c r="AO1456" i="123"/>
  <c r="AN1456" i="123"/>
  <c r="AM1456" i="123"/>
  <c r="AL1456" i="123"/>
  <c r="AK1456" i="123"/>
  <c r="AJ1456" i="123"/>
  <c r="AI1456" i="123"/>
  <c r="AH1456" i="123"/>
  <c r="CA1441" i="123"/>
  <c r="BZ1441" i="123"/>
  <c r="BY1441" i="123"/>
  <c r="BX1441" i="123"/>
  <c r="BW1441" i="123"/>
  <c r="BV1441" i="123"/>
  <c r="BU1441" i="123"/>
  <c r="BT1441" i="123"/>
  <c r="BS1441" i="123"/>
  <c r="BR1441" i="123"/>
  <c r="BQ1441" i="123"/>
  <c r="BP1441" i="123"/>
  <c r="BO1441" i="123"/>
  <c r="BN1441" i="123"/>
  <c r="BM1441" i="123"/>
  <c r="BL1441" i="123"/>
  <c r="BK1441" i="123"/>
  <c r="BJ1441" i="123"/>
  <c r="BI1441" i="123"/>
  <c r="BH1441" i="123"/>
  <c r="BG1441" i="123"/>
  <c r="BF1441" i="123"/>
  <c r="BE1441" i="123"/>
  <c r="BD1441" i="123"/>
  <c r="BC1441" i="123"/>
  <c r="BB1441" i="123"/>
  <c r="BA1441" i="123"/>
  <c r="AZ1441" i="123"/>
  <c r="AY1441" i="123"/>
  <c r="AX1441" i="123"/>
  <c r="AW1441" i="123"/>
  <c r="AV1441" i="123"/>
  <c r="AU1441" i="123"/>
  <c r="AT1441" i="123"/>
  <c r="AS1441" i="123"/>
  <c r="AR1441" i="123"/>
  <c r="AQ1441" i="123"/>
  <c r="AP1441" i="123"/>
  <c r="AO1441" i="123"/>
  <c r="AN1441" i="123"/>
  <c r="AM1441" i="123"/>
  <c r="AL1441" i="123"/>
  <c r="AK1441" i="123"/>
  <c r="AJ1441" i="123"/>
  <c r="AI1441" i="123"/>
  <c r="AH1441" i="123"/>
  <c r="CA1422" i="123"/>
  <c r="BZ1422" i="123"/>
  <c r="BY1422" i="123"/>
  <c r="BX1422" i="123"/>
  <c r="BW1422" i="123"/>
  <c r="BV1422" i="123"/>
  <c r="BU1422" i="123"/>
  <c r="BT1422" i="123"/>
  <c r="BS1422" i="123"/>
  <c r="BR1422" i="123"/>
  <c r="BQ1422" i="123"/>
  <c r="BP1422" i="123"/>
  <c r="BO1422" i="123"/>
  <c r="BN1422" i="123"/>
  <c r="BM1422" i="123"/>
  <c r="BL1422" i="123"/>
  <c r="BK1422" i="123"/>
  <c r="BJ1422" i="123"/>
  <c r="BI1422" i="123"/>
  <c r="BH1422" i="123"/>
  <c r="BG1422" i="123"/>
  <c r="BF1422" i="123"/>
  <c r="BE1422" i="123"/>
  <c r="BD1422" i="123"/>
  <c r="BC1422" i="123"/>
  <c r="BB1422" i="123"/>
  <c r="BA1422" i="123"/>
  <c r="AZ1422" i="123"/>
  <c r="AY1422" i="123"/>
  <c r="AX1422" i="123"/>
  <c r="AW1422" i="123"/>
  <c r="AV1422" i="123"/>
  <c r="AU1422" i="123"/>
  <c r="AT1422" i="123"/>
  <c r="AS1422" i="123"/>
  <c r="AR1422" i="123"/>
  <c r="AQ1422" i="123"/>
  <c r="AP1422" i="123"/>
  <c r="AO1422" i="123"/>
  <c r="AN1422" i="123"/>
  <c r="AM1422" i="123"/>
  <c r="AL1422" i="123"/>
  <c r="AK1422" i="123"/>
  <c r="AJ1422" i="123"/>
  <c r="AI1422" i="123"/>
  <c r="AH1422" i="123"/>
  <c r="CA1433" i="123"/>
  <c r="CA1570" i="123" s="1"/>
  <c r="BZ1433" i="123"/>
  <c r="BY1433" i="123"/>
  <c r="BX1433" i="123"/>
  <c r="BW1433" i="123"/>
  <c r="BV1433" i="123"/>
  <c r="BV1570" i="123" s="1"/>
  <c r="BU1433" i="123"/>
  <c r="BT1433" i="123"/>
  <c r="BS1433" i="123"/>
  <c r="BR1433" i="123"/>
  <c r="BQ1433" i="123"/>
  <c r="BP1433" i="123"/>
  <c r="BO1433" i="123"/>
  <c r="BN1433" i="123"/>
  <c r="BN1570" i="123" s="1"/>
  <c r="BM1433" i="123"/>
  <c r="BL1433" i="123"/>
  <c r="BK1433" i="123"/>
  <c r="BJ1433" i="123"/>
  <c r="BI1433" i="123"/>
  <c r="BH1433" i="123"/>
  <c r="BG1433" i="123"/>
  <c r="BF1433" i="123"/>
  <c r="BF1570" i="123" s="1"/>
  <c r="BE1433" i="123"/>
  <c r="BD1433" i="123"/>
  <c r="BC1433" i="123"/>
  <c r="BB1433" i="123"/>
  <c r="BA1433" i="123"/>
  <c r="AZ1433" i="123"/>
  <c r="AY1433" i="123"/>
  <c r="AX1433" i="123"/>
  <c r="AX1570" i="123" s="1"/>
  <c r="AW1433" i="123"/>
  <c r="AV1433" i="123"/>
  <c r="AU1433" i="123"/>
  <c r="AU1570" i="123" s="1"/>
  <c r="AT1433" i="123"/>
  <c r="AS1433" i="123"/>
  <c r="AR1433" i="123"/>
  <c r="AQ1433" i="123"/>
  <c r="AP1433" i="123"/>
  <c r="AP1570" i="123" s="1"/>
  <c r="AO1433" i="123"/>
  <c r="AN1433" i="123"/>
  <c r="AM1433" i="123"/>
  <c r="AL1433" i="123"/>
  <c r="AK1433" i="123"/>
  <c r="AJ1433" i="123"/>
  <c r="AI1433" i="123"/>
  <c r="AH1433" i="123"/>
  <c r="AH1570" i="123" s="1"/>
  <c r="CA1411" i="123"/>
  <c r="BZ1411" i="123"/>
  <c r="BY1411" i="123"/>
  <c r="BY1570" i="123" s="1"/>
  <c r="BX1411" i="123"/>
  <c r="BW1411" i="123"/>
  <c r="BW1570" i="123" s="1"/>
  <c r="BV1411" i="123"/>
  <c r="BU1411" i="123"/>
  <c r="BU1570" i="123" s="1"/>
  <c r="BT1411" i="123"/>
  <c r="BT1570" i="123" s="1"/>
  <c r="BS1411" i="123"/>
  <c r="BR1411" i="123"/>
  <c r="BQ1411" i="123"/>
  <c r="BQ1570" i="123" s="1"/>
  <c r="BP1411" i="123"/>
  <c r="BO1411" i="123"/>
  <c r="BO1570" i="123" s="1"/>
  <c r="BN1411" i="123"/>
  <c r="BM1411" i="123"/>
  <c r="BL1411" i="123"/>
  <c r="BL1570" i="123" s="1"/>
  <c r="BK1411" i="123"/>
  <c r="BJ1411" i="123"/>
  <c r="BI1411" i="123"/>
  <c r="BI1570" i="123" s="1"/>
  <c r="BH1411" i="123"/>
  <c r="BG1411" i="123"/>
  <c r="BG1570" i="123" s="1"/>
  <c r="BF1411" i="123"/>
  <c r="BE1411" i="123"/>
  <c r="BE1570" i="123" s="1"/>
  <c r="BD1411" i="123"/>
  <c r="BD1570" i="123" s="1"/>
  <c r="BC1411" i="123"/>
  <c r="BB1411" i="123"/>
  <c r="BA1411" i="123"/>
  <c r="BA1570" i="123" s="1"/>
  <c r="AZ1411" i="123"/>
  <c r="AY1411" i="123"/>
  <c r="AY1570" i="123" s="1"/>
  <c r="AX1411" i="123"/>
  <c r="AW1411" i="123"/>
  <c r="AV1411" i="123"/>
  <c r="AV1570" i="123" s="1"/>
  <c r="AU1411" i="123"/>
  <c r="AT1411" i="123"/>
  <c r="AS1411" i="123"/>
  <c r="AS1570" i="123" s="1"/>
  <c r="AR1411" i="123"/>
  <c r="AQ1411" i="123"/>
  <c r="AQ1570" i="123" s="1"/>
  <c r="AP1411" i="123"/>
  <c r="AO1411" i="123"/>
  <c r="AO1570" i="123" s="1"/>
  <c r="AN1411" i="123"/>
  <c r="AN1570" i="123" s="1"/>
  <c r="AM1411" i="123"/>
  <c r="AL1411" i="123"/>
  <c r="AK1411" i="123"/>
  <c r="AK1570" i="123" s="1"/>
  <c r="AJ1411" i="123"/>
  <c r="AI1411" i="123"/>
  <c r="AI1570" i="123" s="1"/>
  <c r="AH1411" i="123"/>
  <c r="AJ1550" i="123"/>
  <c r="AJ1570" i="123" s="1"/>
  <c r="AR1550" i="123"/>
  <c r="AR1570" i="123" s="1"/>
  <c r="AZ1550" i="123"/>
  <c r="AZ1570" i="123" s="1"/>
  <c r="BH1550" i="123"/>
  <c r="BH1570" i="123" s="1"/>
  <c r="BP1550" i="123"/>
  <c r="BP1570" i="123" s="1"/>
  <c r="BX1550" i="123"/>
  <c r="BX1570" i="123" s="1"/>
  <c r="AM1550" i="123"/>
  <c r="AU1550" i="123"/>
  <c r="BC1550" i="123"/>
  <c r="BK1550" i="123"/>
  <c r="BS1550" i="123"/>
  <c r="CA1550" i="123"/>
  <c r="AL1550" i="123"/>
  <c r="AL1570" i="123" s="1"/>
  <c r="AT1550" i="123"/>
  <c r="AT1570" i="123" s="1"/>
  <c r="BB1550" i="123"/>
  <c r="BB1570" i="123" s="1"/>
  <c r="BJ1550" i="123"/>
  <c r="BJ1570" i="123"/>
  <c r="BR1550" i="123"/>
  <c r="BR1570" i="123" s="1"/>
  <c r="BZ1550" i="123"/>
  <c r="BZ1570" i="123"/>
  <c r="AO1550" i="123"/>
  <c r="AW1550" i="123"/>
  <c r="AW1570" i="123"/>
  <c r="BE1550" i="123"/>
  <c r="BM1550" i="123"/>
  <c r="BM1570" i="123"/>
  <c r="BU1550" i="123"/>
  <c r="P9" i="130"/>
  <c r="Q9" i="130" s="1"/>
  <c r="P12" i="130"/>
  <c r="Q12" i="130" s="1"/>
  <c r="P13" i="130"/>
  <c r="Q13" i="130" s="1"/>
  <c r="R13" i="130" s="1"/>
  <c r="D62" i="129"/>
  <c r="D61" i="129"/>
  <c r="J75" i="109"/>
  <c r="J82" i="109"/>
  <c r="J83" i="109"/>
  <c r="BX11" i="34"/>
  <c r="BX12" i="34"/>
  <c r="F13" i="34"/>
  <c r="G13" i="34"/>
  <c r="H13" i="34"/>
  <c r="I13" i="34"/>
  <c r="J13" i="34"/>
  <c r="K13" i="34"/>
  <c r="L13" i="34"/>
  <c r="M13" i="34"/>
  <c r="N13" i="34"/>
  <c r="O13" i="34"/>
  <c r="P13" i="34"/>
  <c r="Q13" i="34"/>
  <c r="R13" i="34"/>
  <c r="S13" i="34"/>
  <c r="T13" i="34"/>
  <c r="U13" i="34"/>
  <c r="V13" i="34"/>
  <c r="W13" i="34"/>
  <c r="X13" i="34"/>
  <c r="Y13" i="34"/>
  <c r="Z13" i="34"/>
  <c r="AA13" i="34"/>
  <c r="AB13" i="34"/>
  <c r="AC13" i="34"/>
  <c r="AD13" i="34"/>
  <c r="AE13" i="34"/>
  <c r="AF13" i="34"/>
  <c r="AG13" i="34"/>
  <c r="AH13" i="34"/>
  <c r="AI13" i="34"/>
  <c r="AJ13" i="34"/>
  <c r="AK13" i="34"/>
  <c r="AL13" i="34"/>
  <c r="AM13" i="34"/>
  <c r="AN13" i="34"/>
  <c r="AO13" i="34"/>
  <c r="AP13" i="34"/>
  <c r="AQ13" i="34"/>
  <c r="AR13" i="34"/>
  <c r="AS13" i="34"/>
  <c r="AT13" i="34"/>
  <c r="AU13" i="34"/>
  <c r="AV13" i="34"/>
  <c r="AW13" i="34"/>
  <c r="AX13" i="34"/>
  <c r="AY13" i="34"/>
  <c r="AZ13" i="34"/>
  <c r="BA13" i="34"/>
  <c r="BB13" i="34"/>
  <c r="BC13" i="34"/>
  <c r="BD13" i="34"/>
  <c r="BE13" i="34"/>
  <c r="BF13" i="34"/>
  <c r="BG13" i="34"/>
  <c r="BH13" i="34"/>
  <c r="BI13" i="34"/>
  <c r="BJ13" i="34"/>
  <c r="BK13" i="34"/>
  <c r="BL13" i="34"/>
  <c r="BM13" i="34"/>
  <c r="BN13" i="34"/>
  <c r="BO13" i="34"/>
  <c r="BP13" i="34"/>
  <c r="BQ13" i="34"/>
  <c r="BR13" i="34"/>
  <c r="BS13" i="34"/>
  <c r="BT13" i="34"/>
  <c r="BU13" i="34"/>
  <c r="BV13" i="34"/>
  <c r="BW13" i="34"/>
  <c r="BX13" i="34"/>
  <c r="F14" i="34"/>
  <c r="G14" i="34"/>
  <c r="H14" i="34"/>
  <c r="I14" i="34"/>
  <c r="J14" i="34"/>
  <c r="K14" i="34"/>
  <c r="L14" i="34"/>
  <c r="M14" i="34"/>
  <c r="N14" i="34"/>
  <c r="O14" i="34"/>
  <c r="P14" i="34"/>
  <c r="Q14" i="34"/>
  <c r="R14" i="34"/>
  <c r="S14" i="34"/>
  <c r="T14" i="34"/>
  <c r="U14" i="34"/>
  <c r="V14" i="34"/>
  <c r="W14" i="34"/>
  <c r="X14" i="34"/>
  <c r="Y14" i="34"/>
  <c r="Z14" i="34"/>
  <c r="AA14" i="34"/>
  <c r="AB14" i="34"/>
  <c r="AC14" i="34"/>
  <c r="AD14" i="34"/>
  <c r="AE14" i="34"/>
  <c r="AF14" i="34"/>
  <c r="AG14" i="34"/>
  <c r="AH14" i="34"/>
  <c r="AI14" i="34"/>
  <c r="AJ14" i="34"/>
  <c r="AK14" i="34"/>
  <c r="AL14" i="34"/>
  <c r="AM14" i="34"/>
  <c r="AN14" i="34"/>
  <c r="AO14" i="34"/>
  <c r="AP14" i="34"/>
  <c r="AQ14" i="34"/>
  <c r="AR14" i="34"/>
  <c r="AS14" i="34"/>
  <c r="AT14" i="34"/>
  <c r="AU14" i="34"/>
  <c r="AV14" i="34"/>
  <c r="AW14" i="34"/>
  <c r="AX14" i="34"/>
  <c r="AY14" i="34"/>
  <c r="AZ14" i="34"/>
  <c r="BA14" i="34"/>
  <c r="BB14" i="34"/>
  <c r="BC14" i="34"/>
  <c r="BD14" i="34"/>
  <c r="BE14" i="34"/>
  <c r="BF14" i="34"/>
  <c r="BG14" i="34"/>
  <c r="BH14" i="34"/>
  <c r="BI14" i="34"/>
  <c r="BJ14" i="34"/>
  <c r="BK14" i="34"/>
  <c r="BL14" i="34"/>
  <c r="BM14" i="34"/>
  <c r="BN14" i="34"/>
  <c r="BO14" i="34"/>
  <c r="BP14" i="34"/>
  <c r="BQ14" i="34"/>
  <c r="BR14" i="34"/>
  <c r="BS14" i="34"/>
  <c r="BT14" i="34"/>
  <c r="BU14" i="34"/>
  <c r="BV14" i="34"/>
  <c r="BW14" i="34"/>
  <c r="BX14" i="34"/>
  <c r="F15" i="34"/>
  <c r="G15" i="34"/>
  <c r="H15" i="34"/>
  <c r="I15" i="34"/>
  <c r="J15" i="34"/>
  <c r="K15" i="34"/>
  <c r="L15" i="34"/>
  <c r="M15" i="34"/>
  <c r="N15" i="34"/>
  <c r="O15" i="34"/>
  <c r="P15" i="34"/>
  <c r="Q15" i="34"/>
  <c r="R15" i="34"/>
  <c r="S15" i="34"/>
  <c r="T15" i="34"/>
  <c r="U15" i="34"/>
  <c r="V15" i="34"/>
  <c r="W15" i="34"/>
  <c r="X15" i="34"/>
  <c r="Y15" i="34"/>
  <c r="Z15" i="34"/>
  <c r="AA15" i="34"/>
  <c r="AB15" i="34"/>
  <c r="AC15" i="34"/>
  <c r="AD15" i="34"/>
  <c r="AE15" i="34"/>
  <c r="AF15" i="34"/>
  <c r="AG15" i="34"/>
  <c r="AH15" i="34"/>
  <c r="AI15" i="34"/>
  <c r="AJ15" i="34"/>
  <c r="AK15" i="34"/>
  <c r="AL15" i="34"/>
  <c r="AM15" i="34"/>
  <c r="AN15" i="34"/>
  <c r="AO15" i="34"/>
  <c r="AP15" i="34"/>
  <c r="AQ15" i="34"/>
  <c r="AR15" i="34"/>
  <c r="AS15" i="34"/>
  <c r="AT15" i="34"/>
  <c r="AU15" i="34"/>
  <c r="AV15" i="34"/>
  <c r="AW15" i="34"/>
  <c r="AX15" i="34"/>
  <c r="AY15" i="34"/>
  <c r="AZ15" i="34"/>
  <c r="BA15" i="34"/>
  <c r="BB15" i="34"/>
  <c r="BC15" i="34"/>
  <c r="BD15" i="34"/>
  <c r="BE15" i="34"/>
  <c r="BF15" i="34"/>
  <c r="BG15" i="34"/>
  <c r="BH15" i="34"/>
  <c r="BI15" i="34"/>
  <c r="BJ15" i="34"/>
  <c r="BK15" i="34"/>
  <c r="BL15" i="34"/>
  <c r="BM15" i="34"/>
  <c r="BN15" i="34"/>
  <c r="BO15" i="34"/>
  <c r="BP15" i="34"/>
  <c r="BQ15" i="34"/>
  <c r="BR15" i="34"/>
  <c r="BS15" i="34"/>
  <c r="BT15" i="34"/>
  <c r="BU15" i="34"/>
  <c r="BV15" i="34"/>
  <c r="BW15" i="34"/>
  <c r="BX15" i="34"/>
  <c r="F16" i="34"/>
  <c r="G16" i="34"/>
  <c r="H16" i="34"/>
  <c r="I16" i="34"/>
  <c r="J16" i="34"/>
  <c r="K16" i="34"/>
  <c r="L16" i="34"/>
  <c r="M16" i="34"/>
  <c r="N16" i="34"/>
  <c r="O16" i="34"/>
  <c r="P16" i="34"/>
  <c r="Q16" i="34"/>
  <c r="R16" i="34"/>
  <c r="S16" i="34"/>
  <c r="T16" i="34"/>
  <c r="U16" i="34"/>
  <c r="V16" i="34"/>
  <c r="W16" i="34"/>
  <c r="X16" i="34"/>
  <c r="Y16" i="34"/>
  <c r="Z16" i="34"/>
  <c r="AA16" i="34"/>
  <c r="AB16" i="34"/>
  <c r="AC16" i="34"/>
  <c r="AD16" i="34"/>
  <c r="AE16" i="34"/>
  <c r="AF16" i="34"/>
  <c r="AG16" i="34"/>
  <c r="AH16" i="34"/>
  <c r="AI16" i="34"/>
  <c r="AJ16" i="34"/>
  <c r="AK16" i="34"/>
  <c r="AL16" i="34"/>
  <c r="AM16" i="34"/>
  <c r="AN16" i="34"/>
  <c r="AO16" i="34"/>
  <c r="AP16" i="34"/>
  <c r="AQ16" i="34"/>
  <c r="AR16" i="34"/>
  <c r="AS16" i="34"/>
  <c r="AT16" i="34"/>
  <c r="AU16" i="34"/>
  <c r="AV16" i="34"/>
  <c r="AW16" i="34"/>
  <c r="AX16" i="34"/>
  <c r="AY16" i="34"/>
  <c r="AZ16" i="34"/>
  <c r="BA16" i="34"/>
  <c r="BB16" i="34"/>
  <c r="BC16" i="34"/>
  <c r="BD16" i="34"/>
  <c r="BE16" i="34"/>
  <c r="BF16" i="34"/>
  <c r="BG16" i="34"/>
  <c r="BH16" i="34"/>
  <c r="BI16" i="34"/>
  <c r="BJ16" i="34"/>
  <c r="BK16" i="34"/>
  <c r="BL16" i="34"/>
  <c r="BM16" i="34"/>
  <c r="BN16" i="34"/>
  <c r="BO16" i="34"/>
  <c r="BP16" i="34"/>
  <c r="BQ16" i="34"/>
  <c r="BR16" i="34"/>
  <c r="BS16" i="34"/>
  <c r="BT16" i="34"/>
  <c r="BU16" i="34"/>
  <c r="BV16" i="34"/>
  <c r="BW16" i="34"/>
  <c r="BX16" i="34"/>
  <c r="E16" i="34"/>
  <c r="E14" i="34"/>
  <c r="E13" i="34"/>
  <c r="E15" i="34"/>
  <c r="AC4" i="34"/>
  <c r="AC76" i="34"/>
  <c r="AD4" i="34"/>
  <c r="AE4" i="34"/>
  <c r="AF4" i="34"/>
  <c r="AG4" i="34"/>
  <c r="AH4" i="34"/>
  <c r="AI4" i="34"/>
  <c r="AJ4" i="34"/>
  <c r="AK4" i="34"/>
  <c r="AL4" i="34"/>
  <c r="AM4" i="34"/>
  <c r="AN4" i="34"/>
  <c r="AO4" i="34"/>
  <c r="AP4" i="34"/>
  <c r="AQ4" i="34"/>
  <c r="AR4" i="34"/>
  <c r="AS4" i="34"/>
  <c r="AT4" i="34"/>
  <c r="AU4" i="34"/>
  <c r="AV4" i="34"/>
  <c r="AW4" i="34"/>
  <c r="AX4" i="34"/>
  <c r="AY4" i="34"/>
  <c r="AZ4" i="34"/>
  <c r="BA4" i="34"/>
  <c r="BB4" i="34"/>
  <c r="BC4" i="34"/>
  <c r="BD4" i="34"/>
  <c r="BE4" i="34"/>
  <c r="BF4" i="34"/>
  <c r="BG4" i="34"/>
  <c r="BH4" i="34"/>
  <c r="BI4" i="34"/>
  <c r="BJ4" i="34"/>
  <c r="BK4" i="34"/>
  <c r="BL4" i="34"/>
  <c r="BM4" i="34"/>
  <c r="BN4" i="34"/>
  <c r="BO4" i="34"/>
  <c r="BP4" i="34"/>
  <c r="BQ4" i="34"/>
  <c r="BR4" i="34"/>
  <c r="BS4" i="34"/>
  <c r="BT4" i="34"/>
  <c r="BU4" i="34"/>
  <c r="BV4" i="34"/>
  <c r="BW4" i="34"/>
  <c r="BX4" i="34"/>
  <c r="AB17" i="140"/>
  <c r="Z17" i="140"/>
  <c r="Y17" i="140"/>
  <c r="X17" i="140"/>
  <c r="W17" i="140"/>
  <c r="V17" i="140"/>
  <c r="U17" i="140"/>
  <c r="T17" i="140"/>
  <c r="S17" i="140"/>
  <c r="R17" i="140"/>
  <c r="Q17" i="140"/>
  <c r="P17" i="140"/>
  <c r="AB11" i="140"/>
  <c r="Z11" i="140"/>
  <c r="Y11" i="140"/>
  <c r="X11" i="140"/>
  <c r="W11" i="140"/>
  <c r="V11" i="140"/>
  <c r="U11" i="140"/>
  <c r="T11" i="140"/>
  <c r="S11" i="140"/>
  <c r="R11" i="140"/>
  <c r="Q11" i="140"/>
  <c r="P11" i="140"/>
  <c r="F25" i="140"/>
  <c r="F31" i="140"/>
  <c r="G25" i="140"/>
  <c r="G31" i="140"/>
  <c r="H25" i="140"/>
  <c r="H31" i="140"/>
  <c r="I25" i="140"/>
  <c r="I31" i="140"/>
  <c r="J25" i="140"/>
  <c r="J31" i="140"/>
  <c r="K25" i="140"/>
  <c r="K31" i="140"/>
  <c r="L25" i="140"/>
  <c r="L31" i="140"/>
  <c r="M25" i="140"/>
  <c r="M31" i="140"/>
  <c r="N25" i="140"/>
  <c r="N31" i="140"/>
  <c r="O25" i="140"/>
  <c r="O31" i="140"/>
  <c r="P25" i="140"/>
  <c r="Q25" i="140"/>
  <c r="R25" i="140"/>
  <c r="S25" i="140"/>
  <c r="T25" i="140"/>
  <c r="U25" i="140"/>
  <c r="V25" i="140"/>
  <c r="W25" i="140"/>
  <c r="X25" i="140"/>
  <c r="Y25" i="140"/>
  <c r="Z25" i="140"/>
  <c r="AA25" i="140"/>
  <c r="AB25" i="140"/>
  <c r="AB31" i="140"/>
  <c r="D25" i="140"/>
  <c r="D31" i="140"/>
  <c r="E25" i="140"/>
  <c r="E31" i="140"/>
  <c r="BW12" i="34"/>
  <c r="BW11" i="34"/>
  <c r="BS12" i="34"/>
  <c r="BS11" i="34"/>
  <c r="BK12" i="34"/>
  <c r="BK11" i="34"/>
  <c r="BG12" i="34"/>
  <c r="BG11" i="34"/>
  <c r="BC12" i="34"/>
  <c r="BC11" i="34"/>
  <c r="BR12" i="34"/>
  <c r="BR11" i="34"/>
  <c r="BF12" i="34"/>
  <c r="BF11" i="34"/>
  <c r="BU11" i="34"/>
  <c r="BU12" i="34"/>
  <c r="BQ11" i="34"/>
  <c r="BQ12" i="34"/>
  <c r="BM11" i="34"/>
  <c r="BM12" i="34"/>
  <c r="BI11" i="34"/>
  <c r="BI12" i="34"/>
  <c r="BE11" i="34"/>
  <c r="BE12" i="34"/>
  <c r="BA11" i="34"/>
  <c r="BA12" i="34"/>
  <c r="BO11" i="34"/>
  <c r="BO12" i="34"/>
  <c r="BV12" i="34"/>
  <c r="BV11" i="34"/>
  <c r="BN12" i="34"/>
  <c r="BN11" i="34"/>
  <c r="BJ12" i="34"/>
  <c r="BJ11" i="34"/>
  <c r="BB12" i="34"/>
  <c r="BB11" i="34"/>
  <c r="BT11" i="34"/>
  <c r="BT12" i="34"/>
  <c r="BP12" i="34"/>
  <c r="BP11" i="34"/>
  <c r="BL11" i="34"/>
  <c r="BL12" i="34"/>
  <c r="BH12" i="34"/>
  <c r="BH11" i="34"/>
  <c r="BD12" i="34"/>
  <c r="BD11" i="34"/>
  <c r="AB4" i="34"/>
  <c r="AB76" i="34"/>
  <c r="AA4" i="34"/>
  <c r="Z4" i="34"/>
  <c r="Y4" i="34"/>
  <c r="X4" i="34"/>
  <c r="W4" i="34"/>
  <c r="V4" i="34"/>
  <c r="U4" i="34"/>
  <c r="T4" i="34"/>
  <c r="S4" i="34"/>
  <c r="R4" i="34"/>
  <c r="Q4" i="34"/>
  <c r="P4" i="34"/>
  <c r="O4" i="34"/>
  <c r="N4" i="34"/>
  <c r="M4" i="34"/>
  <c r="L4" i="34"/>
  <c r="K4" i="34"/>
  <c r="J4" i="34"/>
  <c r="I4" i="34"/>
  <c r="H4" i="34"/>
  <c r="G4" i="34"/>
  <c r="F4" i="34"/>
  <c r="E4" i="34"/>
  <c r="AA52" i="140"/>
  <c r="Z52" i="140"/>
  <c r="Y52" i="140"/>
  <c r="X52" i="140"/>
  <c r="W52" i="140"/>
  <c r="V52" i="140"/>
  <c r="U52" i="140"/>
  <c r="T52" i="140"/>
  <c r="S52" i="140"/>
  <c r="R52" i="140"/>
  <c r="Q52" i="140"/>
  <c r="P52" i="140"/>
  <c r="O52" i="140"/>
  <c r="N52" i="140"/>
  <c r="M52" i="140"/>
  <c r="L52" i="140"/>
  <c r="K52" i="140"/>
  <c r="J52" i="140"/>
  <c r="I52" i="140"/>
  <c r="H52" i="140"/>
  <c r="G52" i="140"/>
  <c r="F52" i="140"/>
  <c r="E52" i="140"/>
  <c r="D52" i="140"/>
  <c r="AA49" i="140"/>
  <c r="Z49" i="140"/>
  <c r="Y49" i="140"/>
  <c r="X49" i="140"/>
  <c r="W49" i="140"/>
  <c r="V49" i="140"/>
  <c r="U49" i="140"/>
  <c r="T49" i="140"/>
  <c r="S49" i="140"/>
  <c r="R49" i="140"/>
  <c r="Q49" i="140"/>
  <c r="P49" i="140"/>
  <c r="O49" i="140"/>
  <c r="N49" i="140"/>
  <c r="M49" i="140"/>
  <c r="L49" i="140"/>
  <c r="K49" i="140"/>
  <c r="J49" i="140"/>
  <c r="I49" i="140"/>
  <c r="H49" i="140"/>
  <c r="G49" i="140"/>
  <c r="F49" i="140"/>
  <c r="E49" i="140"/>
  <c r="D49" i="140"/>
  <c r="AA43" i="140"/>
  <c r="Z43" i="140"/>
  <c r="Y43" i="140"/>
  <c r="X43" i="140"/>
  <c r="W43" i="140"/>
  <c r="V43" i="140"/>
  <c r="U43" i="140"/>
  <c r="T43" i="140"/>
  <c r="S43" i="140"/>
  <c r="R43" i="140"/>
  <c r="Q43" i="140"/>
  <c r="P43" i="140"/>
  <c r="O43" i="140"/>
  <c r="N43" i="140"/>
  <c r="M43" i="140"/>
  <c r="L43" i="140"/>
  <c r="K43" i="140"/>
  <c r="J43" i="140"/>
  <c r="I43" i="140"/>
  <c r="H43" i="140"/>
  <c r="G43" i="140"/>
  <c r="F43" i="140"/>
  <c r="E43" i="140"/>
  <c r="D43" i="140"/>
  <c r="Z39" i="140"/>
  <c r="Y39" i="140"/>
  <c r="X39" i="140"/>
  <c r="W39" i="140"/>
  <c r="V39" i="140"/>
  <c r="U39" i="140"/>
  <c r="T39" i="140"/>
  <c r="S39" i="140"/>
  <c r="R39" i="140"/>
  <c r="Q39" i="140"/>
  <c r="P39" i="140"/>
  <c r="N39" i="140"/>
  <c r="M39" i="140"/>
  <c r="L39" i="140"/>
  <c r="K39" i="140"/>
  <c r="J39" i="140"/>
  <c r="I39" i="140"/>
  <c r="H39" i="140"/>
  <c r="G39" i="140"/>
  <c r="F39" i="140"/>
  <c r="E39" i="140"/>
  <c r="D39" i="140"/>
  <c r="AA39" i="140"/>
  <c r="O37" i="140"/>
  <c r="O39" i="140"/>
  <c r="AA28" i="140"/>
  <c r="Z28" i="140"/>
  <c r="Y28" i="140"/>
  <c r="X28" i="140"/>
  <c r="W28" i="140"/>
  <c r="V28" i="140"/>
  <c r="U28" i="140"/>
  <c r="T28" i="140"/>
  <c r="S28" i="140"/>
  <c r="R28" i="140"/>
  <c r="Q28" i="140"/>
  <c r="P28" i="140"/>
  <c r="O28" i="140"/>
  <c r="N28" i="140"/>
  <c r="M28" i="140"/>
  <c r="L28" i="140"/>
  <c r="K28" i="140"/>
  <c r="J28" i="140"/>
  <c r="I28" i="140"/>
  <c r="H28" i="140"/>
  <c r="G28" i="140"/>
  <c r="F28" i="140"/>
  <c r="E28" i="140"/>
  <c r="D28" i="140"/>
  <c r="Z31" i="140"/>
  <c r="Y31" i="140"/>
  <c r="X31" i="140"/>
  <c r="W31" i="140"/>
  <c r="V31" i="140"/>
  <c r="U31" i="140"/>
  <c r="T31" i="140"/>
  <c r="S31" i="140"/>
  <c r="R31" i="140"/>
  <c r="Q31" i="140"/>
  <c r="P31" i="140"/>
  <c r="AA31" i="140"/>
  <c r="BI17" i="34"/>
  <c r="BC17" i="34"/>
  <c r="BG17" i="34"/>
  <c r="F12" i="34"/>
  <c r="F11" i="34"/>
  <c r="J12" i="34"/>
  <c r="J11" i="34"/>
  <c r="N12" i="34"/>
  <c r="N11" i="34"/>
  <c r="R12" i="34"/>
  <c r="R11" i="34"/>
  <c r="V12" i="34"/>
  <c r="V11" i="34"/>
  <c r="Z12" i="34"/>
  <c r="Z11" i="34"/>
  <c r="BH17" i="34"/>
  <c r="BL17" i="34"/>
  <c r="BB17" i="34"/>
  <c r="BA17" i="34"/>
  <c r="H12" i="34"/>
  <c r="H11" i="34"/>
  <c r="L12" i="34"/>
  <c r="L11" i="34"/>
  <c r="P11" i="34"/>
  <c r="P12" i="34"/>
  <c r="T12" i="34"/>
  <c r="T11" i="34"/>
  <c r="X12" i="34"/>
  <c r="X11" i="34"/>
  <c r="AB11" i="34"/>
  <c r="AB12" i="34"/>
  <c r="E11" i="34"/>
  <c r="E12" i="34"/>
  <c r="I11" i="34"/>
  <c r="I12" i="34"/>
  <c r="M11" i="34"/>
  <c r="M12" i="34"/>
  <c r="Q11" i="34"/>
  <c r="Q12" i="34"/>
  <c r="U11" i="34"/>
  <c r="U12" i="34"/>
  <c r="Y11" i="34"/>
  <c r="Y12" i="34"/>
  <c r="BJ17" i="34"/>
  <c r="BE17" i="34"/>
  <c r="G11" i="34"/>
  <c r="G12" i="34"/>
  <c r="K12" i="34"/>
  <c r="K11" i="34"/>
  <c r="O11" i="34"/>
  <c r="O12" i="34"/>
  <c r="S12" i="34"/>
  <c r="S11" i="34"/>
  <c r="W12" i="34"/>
  <c r="W11" i="34"/>
  <c r="AA11" i="34"/>
  <c r="AA12" i="34"/>
  <c r="BD17" i="34"/>
  <c r="BF17" i="34"/>
  <c r="BK17" i="34"/>
  <c r="P54" i="140"/>
  <c r="G54" i="140"/>
  <c r="G56" i="140"/>
  <c r="K54" i="140"/>
  <c r="K56" i="140"/>
  <c r="O54" i="140"/>
  <c r="O56" i="140"/>
  <c r="S54" i="140"/>
  <c r="S56" i="140"/>
  <c r="W54" i="140"/>
  <c r="AA54" i="140"/>
  <c r="AA56" i="140"/>
  <c r="L54" i="140"/>
  <c r="L56" i="140"/>
  <c r="X54" i="140"/>
  <c r="E54" i="140"/>
  <c r="E56" i="140"/>
  <c r="I54" i="140"/>
  <c r="I56" i="140"/>
  <c r="M54" i="140"/>
  <c r="M56" i="140"/>
  <c r="Q54" i="140"/>
  <c r="U54" i="140"/>
  <c r="Y54" i="140"/>
  <c r="D54" i="140"/>
  <c r="D56" i="140"/>
  <c r="H54" i="140"/>
  <c r="H56" i="140"/>
  <c r="T54" i="140"/>
  <c r="F54" i="140"/>
  <c r="F56" i="140"/>
  <c r="J54" i="140"/>
  <c r="J56" i="140"/>
  <c r="N54" i="140"/>
  <c r="N56" i="140"/>
  <c r="R54" i="140"/>
  <c r="R56" i="140"/>
  <c r="V54" i="140"/>
  <c r="Z54" i="140"/>
  <c r="Z56" i="140"/>
  <c r="AB22" i="134"/>
  <c r="AC22" i="134"/>
  <c r="D9" i="133"/>
  <c r="E9" i="133"/>
  <c r="F9" i="133"/>
  <c r="G9" i="133"/>
  <c r="H9" i="133"/>
  <c r="I9" i="133"/>
  <c r="J9" i="133"/>
  <c r="K9" i="133"/>
  <c r="L9" i="133"/>
  <c r="M9" i="133"/>
  <c r="N9" i="133"/>
  <c r="O9" i="133"/>
  <c r="P9" i="133"/>
  <c r="Q9" i="133"/>
  <c r="R9" i="133"/>
  <c r="S9" i="133"/>
  <c r="T9" i="133"/>
  <c r="U9" i="133"/>
  <c r="V9" i="133"/>
  <c r="W9" i="133"/>
  <c r="X9" i="133"/>
  <c r="Y9" i="133"/>
  <c r="Z9" i="133"/>
  <c r="AA9" i="133"/>
  <c r="AB9" i="133"/>
  <c r="AC9" i="133"/>
  <c r="AM9" i="133"/>
  <c r="AN9" i="133"/>
  <c r="AO9" i="133"/>
  <c r="AP9" i="133"/>
  <c r="AQ9" i="133"/>
  <c r="AR9" i="133"/>
  <c r="AS9" i="133"/>
  <c r="AT9" i="133"/>
  <c r="AU9" i="133"/>
  <c r="AV9" i="133"/>
  <c r="AW9" i="133"/>
  <c r="AX9" i="133"/>
  <c r="AY9" i="133"/>
  <c r="AZ9" i="133"/>
  <c r="BA9" i="133"/>
  <c r="BB9" i="133"/>
  <c r="BC9" i="133"/>
  <c r="BD9" i="133"/>
  <c r="BE9" i="133"/>
  <c r="BF9" i="133"/>
  <c r="BG9" i="133"/>
  <c r="BH9" i="133"/>
  <c r="BI9" i="133"/>
  <c r="BJ9" i="133"/>
  <c r="BK9" i="133"/>
  <c r="BL9" i="133"/>
  <c r="BM9" i="133"/>
  <c r="BN9" i="133"/>
  <c r="BO9" i="133"/>
  <c r="BP9" i="133"/>
  <c r="BQ9" i="133"/>
  <c r="BR9" i="133"/>
  <c r="BS9" i="133"/>
  <c r="BT9" i="133"/>
  <c r="BU9" i="133"/>
  <c r="BV9" i="133"/>
  <c r="C9" i="133"/>
  <c r="D8" i="133"/>
  <c r="E8" i="133"/>
  <c r="F8" i="133"/>
  <c r="G8" i="133"/>
  <c r="H8" i="133"/>
  <c r="I8" i="133"/>
  <c r="J8" i="133"/>
  <c r="K8" i="133"/>
  <c r="L8" i="133"/>
  <c r="M8" i="133"/>
  <c r="N8" i="133"/>
  <c r="O8" i="133"/>
  <c r="P8" i="133"/>
  <c r="Q8" i="133"/>
  <c r="R8" i="133"/>
  <c r="S8" i="133"/>
  <c r="T8" i="133"/>
  <c r="U8" i="133"/>
  <c r="V8" i="133"/>
  <c r="W8" i="133"/>
  <c r="X8" i="133"/>
  <c r="Y8" i="133"/>
  <c r="Z8" i="133"/>
  <c r="AA8" i="133"/>
  <c r="AB8" i="133"/>
  <c r="AB22" i="133"/>
  <c r="AC8" i="133"/>
  <c r="AC22" i="133"/>
  <c r="AD8" i="133"/>
  <c r="AD22" i="133" s="1"/>
  <c r="AE8" i="133"/>
  <c r="AE23" i="133" s="1"/>
  <c r="AF8" i="133"/>
  <c r="AF22" i="133" s="1"/>
  <c r="AG8" i="133"/>
  <c r="AG22" i="133" s="1"/>
  <c r="AH8" i="133"/>
  <c r="AH23" i="133" s="1"/>
  <c r="AI8" i="133"/>
  <c r="AI22" i="133" s="1"/>
  <c r="AJ8" i="133"/>
  <c r="AJ22" i="133" s="1"/>
  <c r="AK8" i="133"/>
  <c r="AK22" i="133" s="1"/>
  <c r="AL8" i="133"/>
  <c r="AL22" i="133" s="1"/>
  <c r="AM8" i="133"/>
  <c r="AM22" i="133" s="1"/>
  <c r="AN8" i="133"/>
  <c r="AN22" i="133" s="1"/>
  <c r="AO8" i="133"/>
  <c r="AO22" i="133" s="1"/>
  <c r="AP8" i="133"/>
  <c r="AP22" i="133" s="1"/>
  <c r="AQ8" i="133"/>
  <c r="AQ22" i="133" s="1"/>
  <c r="AR8" i="133"/>
  <c r="AR23" i="133" s="1"/>
  <c r="AS8" i="133"/>
  <c r="AS22" i="133" s="1"/>
  <c r="AT8" i="133"/>
  <c r="AT22" i="133" s="1"/>
  <c r="AU8" i="133"/>
  <c r="AU23" i="133" s="1"/>
  <c r="AV8" i="133"/>
  <c r="AV23" i="133" s="1"/>
  <c r="AW8" i="133"/>
  <c r="AW22" i="133" s="1"/>
  <c r="AX8" i="133"/>
  <c r="AX23" i="133" s="1"/>
  <c r="AY8" i="133"/>
  <c r="AY23" i="133" s="1"/>
  <c r="AZ8" i="133"/>
  <c r="AZ23" i="133" s="1"/>
  <c r="BA8" i="133"/>
  <c r="BA22" i="133" s="1"/>
  <c r="BB8" i="133"/>
  <c r="BB22" i="133" s="1"/>
  <c r="BC8" i="133"/>
  <c r="BC22" i="133" s="1"/>
  <c r="BD8" i="133"/>
  <c r="BD22" i="133" s="1"/>
  <c r="BE8" i="133"/>
  <c r="BE22" i="133" s="1"/>
  <c r="BF8" i="133"/>
  <c r="BF22" i="133" s="1"/>
  <c r="BG8" i="133"/>
  <c r="BG23" i="133" s="1"/>
  <c r="BH8" i="133"/>
  <c r="BH22" i="133" s="1"/>
  <c r="BI8" i="133"/>
  <c r="BI22" i="133" s="1"/>
  <c r="BJ8" i="133"/>
  <c r="BJ22" i="133" s="1"/>
  <c r="BK8" i="133"/>
  <c r="BK23" i="133" s="1"/>
  <c r="BL8" i="133"/>
  <c r="BL22" i="133" s="1"/>
  <c r="BM8" i="133"/>
  <c r="BM23" i="133" s="1"/>
  <c r="BN8" i="133"/>
  <c r="BN23" i="133" s="1"/>
  <c r="BO8" i="133"/>
  <c r="BO23" i="133" s="1"/>
  <c r="BP8" i="133"/>
  <c r="BP22" i="133" s="1"/>
  <c r="BQ8" i="133"/>
  <c r="BQ22" i="133" s="1"/>
  <c r="BR8" i="133"/>
  <c r="BR22" i="133" s="1"/>
  <c r="BS8" i="133"/>
  <c r="BS22" i="133" s="1"/>
  <c r="BT8" i="133"/>
  <c r="BT22" i="133" s="1"/>
  <c r="BU8" i="133"/>
  <c r="BU22" i="133" s="1"/>
  <c r="BV8" i="133"/>
  <c r="BV22" i="133" s="1"/>
  <c r="C8" i="133"/>
  <c r="AB9" i="132"/>
  <c r="AC9" i="132"/>
  <c r="AM9" i="132"/>
  <c r="AN9" i="132"/>
  <c r="AO9" i="132"/>
  <c r="AP9" i="132"/>
  <c r="AQ9" i="132"/>
  <c r="AR9" i="132"/>
  <c r="AS9" i="132"/>
  <c r="AT9" i="132"/>
  <c r="AU9" i="132"/>
  <c r="AV9" i="132"/>
  <c r="AW9" i="132"/>
  <c r="AX9" i="132"/>
  <c r="AY9" i="132"/>
  <c r="AZ9" i="132"/>
  <c r="BA9" i="132"/>
  <c r="BB9" i="132"/>
  <c r="BC9" i="132"/>
  <c r="BD9" i="132"/>
  <c r="BE9" i="132"/>
  <c r="BF9" i="132"/>
  <c r="BG9" i="132"/>
  <c r="BH9" i="132"/>
  <c r="BI9" i="132"/>
  <c r="BJ9" i="132"/>
  <c r="BK9" i="132"/>
  <c r="BL9" i="132"/>
  <c r="BM9" i="132"/>
  <c r="BN9" i="132"/>
  <c r="BO9" i="132"/>
  <c r="BP9" i="132"/>
  <c r="BQ9" i="132"/>
  <c r="BR9" i="132"/>
  <c r="BS9" i="132"/>
  <c r="BT9" i="132"/>
  <c r="BU9" i="132"/>
  <c r="BV9" i="132"/>
  <c r="C9" i="132"/>
  <c r="D9" i="132"/>
  <c r="E9" i="132"/>
  <c r="F9" i="132"/>
  <c r="G9" i="132"/>
  <c r="H9" i="132"/>
  <c r="I9" i="132"/>
  <c r="J9" i="132"/>
  <c r="K9" i="132"/>
  <c r="L9" i="132"/>
  <c r="M9" i="132"/>
  <c r="N9" i="132"/>
  <c r="O9" i="132"/>
  <c r="P9" i="132"/>
  <c r="Q9" i="132"/>
  <c r="R9" i="132"/>
  <c r="S9" i="132"/>
  <c r="T9" i="132"/>
  <c r="U9" i="132"/>
  <c r="V9" i="132"/>
  <c r="W9" i="132"/>
  <c r="X9" i="132"/>
  <c r="Y9" i="132"/>
  <c r="Z9" i="132"/>
  <c r="C8" i="132"/>
  <c r="D8" i="132"/>
  <c r="E8" i="132"/>
  <c r="F8" i="132"/>
  <c r="G8" i="132"/>
  <c r="H8" i="132"/>
  <c r="I8" i="132"/>
  <c r="J8" i="132"/>
  <c r="K8" i="132"/>
  <c r="L8" i="132"/>
  <c r="M8" i="132"/>
  <c r="N8" i="132"/>
  <c r="O8" i="132"/>
  <c r="P8" i="132"/>
  <c r="Q8" i="132"/>
  <c r="R8" i="132"/>
  <c r="S8" i="132"/>
  <c r="T8" i="132"/>
  <c r="U8" i="132"/>
  <c r="V8" i="132"/>
  <c r="W8" i="132"/>
  <c r="X8" i="132"/>
  <c r="Y8" i="132"/>
  <c r="AB8" i="132"/>
  <c r="AB22" i="132"/>
  <c r="AC8" i="132"/>
  <c r="AC22" i="132"/>
  <c r="AD8" i="132"/>
  <c r="AE8" i="132"/>
  <c r="AE22" i="132" s="1"/>
  <c r="AF8" i="132"/>
  <c r="AF22" i="132" s="1"/>
  <c r="AG8" i="132"/>
  <c r="AG22" i="132" s="1"/>
  <c r="AH8" i="132"/>
  <c r="AH23" i="132" s="1"/>
  <c r="AI8" i="132"/>
  <c r="AI22" i="132" s="1"/>
  <c r="AJ8" i="132"/>
  <c r="AJ22" i="132" s="1"/>
  <c r="AK8" i="132"/>
  <c r="AK22" i="132" s="1"/>
  <c r="AL8" i="132"/>
  <c r="AL22" i="132" s="1"/>
  <c r="AM8" i="132"/>
  <c r="AM22" i="132" s="1"/>
  <c r="AN8" i="132"/>
  <c r="AN22" i="132" s="1"/>
  <c r="AO8" i="132"/>
  <c r="AO23" i="132" s="1"/>
  <c r="AP8" i="132"/>
  <c r="AP22" i="132" s="1"/>
  <c r="AQ8" i="132"/>
  <c r="AQ22" i="132" s="1"/>
  <c r="AR8" i="132"/>
  <c r="AR23" i="132" s="1"/>
  <c r="AS8" i="132"/>
  <c r="AS22" i="132" s="1"/>
  <c r="AT8" i="132"/>
  <c r="AT22" i="132" s="1"/>
  <c r="AU8" i="132"/>
  <c r="AU22" i="132" s="1"/>
  <c r="AV8" i="132"/>
  <c r="AV23" i="132" s="1"/>
  <c r="AW8" i="132"/>
  <c r="AW22" i="132" s="1"/>
  <c r="AX8" i="132"/>
  <c r="AX23" i="132" s="1"/>
  <c r="AY8" i="132"/>
  <c r="AY22" i="132" s="1"/>
  <c r="AZ8" i="132"/>
  <c r="AZ23" i="132" s="1"/>
  <c r="BA8" i="132"/>
  <c r="BA22" i="132" s="1"/>
  <c r="BB8" i="132"/>
  <c r="BB22" i="132" s="1"/>
  <c r="BC8" i="132"/>
  <c r="BC22" i="132" s="1"/>
  <c r="BD8" i="132"/>
  <c r="BD22" i="132" s="1"/>
  <c r="BE8" i="132"/>
  <c r="BE23" i="132" s="1"/>
  <c r="BF8" i="132"/>
  <c r="BF22" i="132" s="1"/>
  <c r="BG8" i="132"/>
  <c r="BG23" i="132" s="1"/>
  <c r="BH8" i="132"/>
  <c r="BH22" i="132" s="1"/>
  <c r="BI8" i="132"/>
  <c r="BI22" i="132" s="1"/>
  <c r="BJ8" i="132"/>
  <c r="BJ22" i="132" s="1"/>
  <c r="BK8" i="132"/>
  <c r="BK22" i="132" s="1"/>
  <c r="BL8" i="132"/>
  <c r="BL22" i="132" s="1"/>
  <c r="BM8" i="132"/>
  <c r="BM23" i="132" s="1"/>
  <c r="BN8" i="132"/>
  <c r="BN23" i="132" s="1"/>
  <c r="BO8" i="132"/>
  <c r="BO23" i="132" s="1"/>
  <c r="BP8" i="132"/>
  <c r="BP22" i="132" s="1"/>
  <c r="BQ8" i="132"/>
  <c r="BQ23" i="132" s="1"/>
  <c r="BR8" i="132"/>
  <c r="BR22" i="132" s="1"/>
  <c r="BS8" i="132"/>
  <c r="BS22" i="132" s="1"/>
  <c r="BT8" i="132"/>
  <c r="BT22" i="132" s="1"/>
  <c r="BU8" i="132"/>
  <c r="BU23" i="132" s="1"/>
  <c r="BV8" i="132"/>
  <c r="BV22" i="132" s="1"/>
  <c r="Z8" i="132"/>
  <c r="N8" i="131"/>
  <c r="O8" i="131"/>
  <c r="P8" i="131"/>
  <c r="Q8" i="131"/>
  <c r="R8" i="131"/>
  <c r="S8" i="131"/>
  <c r="T8" i="131"/>
  <c r="U8" i="131"/>
  <c r="V8" i="131"/>
  <c r="W8" i="131"/>
  <c r="X8" i="131"/>
  <c r="Y8" i="131"/>
  <c r="Z8" i="131"/>
  <c r="AA8" i="131"/>
  <c r="AB8" i="131"/>
  <c r="AB22" i="131"/>
  <c r="AC8" i="131"/>
  <c r="AC22" i="131"/>
  <c r="AD8" i="131"/>
  <c r="AD22" i="131" s="1"/>
  <c r="AE8" i="131"/>
  <c r="AE23" i="131" s="1"/>
  <c r="AF8" i="131"/>
  <c r="AF22" i="131" s="1"/>
  <c r="AG8" i="131"/>
  <c r="AG22" i="131" s="1"/>
  <c r="AH8" i="131"/>
  <c r="AH22" i="131" s="1"/>
  <c r="AI8" i="131"/>
  <c r="AI22" i="131" s="1"/>
  <c r="AJ8" i="131"/>
  <c r="AJ22" i="131" s="1"/>
  <c r="AK8" i="131"/>
  <c r="AK23" i="131" s="1"/>
  <c r="AL8" i="131"/>
  <c r="AL22" i="131" s="1"/>
  <c r="AM8" i="131"/>
  <c r="AM22" i="131" s="1"/>
  <c r="AN8" i="131"/>
  <c r="AN22" i="131" s="1"/>
  <c r="AO8" i="131"/>
  <c r="AO22" i="131" s="1"/>
  <c r="AP8" i="131"/>
  <c r="AP22" i="131" s="1"/>
  <c r="AQ8" i="131"/>
  <c r="AQ22" i="131" s="1"/>
  <c r="AR8" i="131"/>
  <c r="AR22" i="131" s="1"/>
  <c r="AS8" i="131"/>
  <c r="AS22" i="131" s="1"/>
  <c r="AT8" i="131"/>
  <c r="AT22" i="131" s="1"/>
  <c r="AU8" i="131"/>
  <c r="AU22" i="131" s="1"/>
  <c r="AV8" i="131"/>
  <c r="AV22" i="131" s="1"/>
  <c r="AW8" i="131"/>
  <c r="AW22" i="131" s="1"/>
  <c r="AX8" i="131"/>
  <c r="AX22" i="131" s="1"/>
  <c r="AY8" i="131"/>
  <c r="AY22" i="131" s="1"/>
  <c r="AZ8" i="131"/>
  <c r="BA8" i="131"/>
  <c r="BA23" i="131" s="1"/>
  <c r="BB8" i="131"/>
  <c r="BB22" i="131" s="1"/>
  <c r="BC8" i="131"/>
  <c r="BC22" i="131" s="1"/>
  <c r="BD8" i="131"/>
  <c r="BD22" i="131" s="1"/>
  <c r="BE8" i="131"/>
  <c r="BE22" i="131" s="1"/>
  <c r="BF8" i="131"/>
  <c r="BF22" i="131" s="1"/>
  <c r="BG8" i="131"/>
  <c r="BG22" i="131" s="1"/>
  <c r="BH8" i="131"/>
  <c r="BH22" i="131" s="1"/>
  <c r="BI8" i="131"/>
  <c r="BI22" i="131" s="1"/>
  <c r="BJ8" i="131"/>
  <c r="BJ22" i="131" s="1"/>
  <c r="BK8" i="131"/>
  <c r="BK23" i="131" s="1"/>
  <c r="BL8" i="131"/>
  <c r="BL22" i="131" s="1"/>
  <c r="BM8" i="131"/>
  <c r="BM22" i="131" s="1"/>
  <c r="BN8" i="131"/>
  <c r="BN22" i="131" s="1"/>
  <c r="BO8" i="131"/>
  <c r="BO22" i="131" s="1"/>
  <c r="BP8" i="131"/>
  <c r="BQ8" i="131"/>
  <c r="BQ23" i="131" s="1"/>
  <c r="BR8" i="131"/>
  <c r="BR22" i="131" s="1"/>
  <c r="BS8" i="131"/>
  <c r="BS22" i="131" s="1"/>
  <c r="BT8" i="131"/>
  <c r="BT22" i="131" s="1"/>
  <c r="BU8" i="131"/>
  <c r="BU22" i="131" s="1"/>
  <c r="BV8" i="131"/>
  <c r="BV22" i="131" s="1"/>
  <c r="N9" i="131"/>
  <c r="O9" i="131"/>
  <c r="P9" i="131"/>
  <c r="Q9" i="131"/>
  <c r="R9" i="131"/>
  <c r="S9" i="131"/>
  <c r="T9" i="131"/>
  <c r="U9" i="131"/>
  <c r="V9" i="131"/>
  <c r="W9" i="131"/>
  <c r="X9" i="131"/>
  <c r="Y9" i="131"/>
  <c r="Z9" i="131"/>
  <c r="AA9" i="131"/>
  <c r="AB9" i="131"/>
  <c r="AC9" i="131"/>
  <c r="AN9" i="131"/>
  <c r="AO9" i="131"/>
  <c r="AP9" i="131"/>
  <c r="AQ9" i="131"/>
  <c r="AR9" i="131"/>
  <c r="AS9" i="131"/>
  <c r="AT9" i="131"/>
  <c r="AU9" i="131"/>
  <c r="AV9" i="131"/>
  <c r="AW9" i="131"/>
  <c r="AX9" i="131"/>
  <c r="AY9" i="131"/>
  <c r="AZ9" i="131"/>
  <c r="BA9" i="131"/>
  <c r="BB9" i="131"/>
  <c r="BC9" i="131"/>
  <c r="BD9" i="131"/>
  <c r="BE9" i="131"/>
  <c r="BF9" i="131"/>
  <c r="BG9" i="131"/>
  <c r="BH9" i="131"/>
  <c r="BI9" i="131"/>
  <c r="BJ9" i="131"/>
  <c r="BK9" i="131"/>
  <c r="BL9" i="131"/>
  <c r="BM9" i="131"/>
  <c r="BN9" i="131"/>
  <c r="BO9" i="131"/>
  <c r="BP9" i="131"/>
  <c r="BQ9" i="131"/>
  <c r="BR9" i="131"/>
  <c r="BS9" i="131"/>
  <c r="BT9" i="131"/>
  <c r="BU9" i="131"/>
  <c r="BV9" i="131"/>
  <c r="D9" i="131"/>
  <c r="E9" i="131"/>
  <c r="F9" i="131"/>
  <c r="G9" i="131"/>
  <c r="H9" i="131"/>
  <c r="I9" i="131"/>
  <c r="J9" i="131"/>
  <c r="K9" i="131"/>
  <c r="L9" i="131"/>
  <c r="M9" i="131"/>
  <c r="C9" i="131"/>
  <c r="D8" i="131"/>
  <c r="E8" i="131"/>
  <c r="F8" i="131"/>
  <c r="G8" i="131"/>
  <c r="H8" i="131"/>
  <c r="I8" i="131"/>
  <c r="J8" i="131"/>
  <c r="K8" i="131"/>
  <c r="L8" i="131"/>
  <c r="M8" i="131"/>
  <c r="C8" i="131"/>
  <c r="BN23" i="136"/>
  <c r="BA23" i="136"/>
  <c r="AC22" i="136"/>
  <c r="AC23" i="136"/>
  <c r="AP23" i="135"/>
  <c r="AB22" i="136"/>
  <c r="AB23" i="136"/>
  <c r="AS22" i="135"/>
  <c r="AC22" i="135"/>
  <c r="AC23" i="135"/>
  <c r="AB23" i="135"/>
  <c r="AB22" i="135"/>
  <c r="BR23" i="134"/>
  <c r="AC23" i="132"/>
  <c r="AC23" i="133"/>
  <c r="AC23" i="134"/>
  <c r="AB23" i="132"/>
  <c r="AB23" i="133"/>
  <c r="AB23" i="134"/>
  <c r="AC23" i="131"/>
  <c r="AB23" i="131"/>
  <c r="AB17" i="34"/>
  <c r="I17" i="34"/>
  <c r="L17" i="34"/>
  <c r="F17" i="34"/>
  <c r="O17" i="34"/>
  <c r="Y17" i="34"/>
  <c r="S17" i="34"/>
  <c r="X17" i="34"/>
  <c r="R17" i="34"/>
  <c r="AA17" i="34"/>
  <c r="U17" i="34"/>
  <c r="P17" i="34"/>
  <c r="V17" i="34"/>
  <c r="H17" i="34"/>
  <c r="K17" i="34"/>
  <c r="G17" i="34"/>
  <c r="Q17" i="34"/>
  <c r="Z17" i="34"/>
  <c r="J17" i="34"/>
  <c r="W17" i="34"/>
  <c r="M17" i="34"/>
  <c r="T17" i="34"/>
  <c r="N17" i="34"/>
  <c r="AB13" i="136"/>
  <c r="AB13" i="134"/>
  <c r="C4" i="131"/>
  <c r="E4" i="131"/>
  <c r="D4" i="131"/>
  <c r="C37" i="131"/>
  <c r="C22" i="131"/>
  <c r="C39" i="131"/>
  <c r="D37" i="131"/>
  <c r="D22" i="131"/>
  <c r="D39" i="131"/>
  <c r="E37" i="131"/>
  <c r="E22" i="131"/>
  <c r="E39" i="131"/>
  <c r="C20" i="131"/>
  <c r="C27" i="131"/>
  <c r="C18" i="131"/>
  <c r="C21" i="131"/>
  <c r="C16" i="131"/>
  <c r="E27" i="131"/>
  <c r="E18" i="131"/>
  <c r="E21" i="131"/>
  <c r="E20" i="131"/>
  <c r="E16" i="131"/>
  <c r="D16" i="131"/>
  <c r="D20" i="131"/>
  <c r="D27" i="131"/>
  <c r="D18" i="131"/>
  <c r="D21" i="131"/>
  <c r="E32" i="131"/>
  <c r="E33" i="131"/>
  <c r="E34" i="131"/>
  <c r="E35" i="131"/>
  <c r="E36" i="131"/>
  <c r="E38" i="131"/>
  <c r="E40" i="131"/>
  <c r="E41" i="131"/>
  <c r="E42" i="131"/>
  <c r="E24" i="131"/>
  <c r="C32" i="131"/>
  <c r="C33" i="131"/>
  <c r="C34" i="131"/>
  <c r="C35" i="131"/>
  <c r="C36" i="131"/>
  <c r="C38" i="131"/>
  <c r="C40" i="131"/>
  <c r="C41" i="131"/>
  <c r="C42" i="131"/>
  <c r="C24" i="131"/>
  <c r="D24" i="131"/>
  <c r="D32" i="131"/>
  <c r="D34" i="131"/>
  <c r="D33" i="131"/>
  <c r="D35" i="131"/>
  <c r="D36" i="131"/>
  <c r="D38" i="131"/>
  <c r="D40" i="131"/>
  <c r="D41" i="131"/>
  <c r="D42" i="131"/>
  <c r="E25" i="131"/>
  <c r="E28" i="131"/>
  <c r="E23" i="131"/>
  <c r="E26" i="131"/>
  <c r="E12" i="131"/>
  <c r="E19" i="131"/>
  <c r="E15" i="131"/>
  <c r="D28" i="131"/>
  <c r="D23" i="131"/>
  <c r="D26" i="131"/>
  <c r="D25" i="131"/>
  <c r="D12" i="131"/>
  <c r="D19" i="131"/>
  <c r="D15" i="131"/>
  <c r="C26" i="131"/>
  <c r="C25" i="131"/>
  <c r="C23" i="131"/>
  <c r="C19" i="131"/>
  <c r="C28" i="131"/>
  <c r="C12" i="131"/>
  <c r="C15" i="131"/>
  <c r="E13" i="131"/>
  <c r="D13" i="131"/>
  <c r="C13" i="131"/>
  <c r="AC1393" i="123"/>
  <c r="AC1382" i="123"/>
  <c r="AC1373" i="123"/>
  <c r="AC1363" i="123"/>
  <c r="AC1375" i="123" s="1"/>
  <c r="AC1353" i="123"/>
  <c r="AC1341" i="123"/>
  <c r="AC1333" i="123"/>
  <c r="AC1327" i="123"/>
  <c r="AC1319" i="123"/>
  <c r="AC1305" i="123"/>
  <c r="AC1301" i="123"/>
  <c r="AC1281" i="123"/>
  <c r="AC1251" i="123"/>
  <c r="AC1247" i="123"/>
  <c r="AC1258" i="123"/>
  <c r="AC1266" i="123" s="1"/>
  <c r="AC1395" i="123" s="1"/>
  <c r="AC1236" i="123"/>
  <c r="AC1219" i="123"/>
  <c r="AC1208" i="123"/>
  <c r="AC1199" i="123"/>
  <c r="AC1189" i="123"/>
  <c r="AC1179" i="123"/>
  <c r="AC1201" i="123" s="1"/>
  <c r="AC1167" i="123"/>
  <c r="AC1159" i="123"/>
  <c r="AC1153" i="123"/>
  <c r="AC1145" i="123"/>
  <c r="AC1131" i="123"/>
  <c r="AC1127" i="123"/>
  <c r="AC1107" i="123"/>
  <c r="AC1077" i="123"/>
  <c r="AC1073" i="123"/>
  <c r="AC1084" i="123"/>
  <c r="AC1092" i="123" s="1"/>
  <c r="AC1062" i="123"/>
  <c r="AC1045" i="123"/>
  <c r="AC1034" i="123"/>
  <c r="AC1025" i="123"/>
  <c r="AC1015" i="123"/>
  <c r="AC1005" i="123"/>
  <c r="AC993" i="123"/>
  <c r="AC985" i="123"/>
  <c r="AC979" i="123"/>
  <c r="AC971" i="123"/>
  <c r="AC957" i="123"/>
  <c r="AC953" i="123"/>
  <c r="AC933" i="123"/>
  <c r="AC903" i="123"/>
  <c r="AC899" i="123"/>
  <c r="AC910" i="123"/>
  <c r="AC918" i="123"/>
  <c r="AC888" i="123"/>
  <c r="AC871" i="123"/>
  <c r="AC860" i="123"/>
  <c r="AC851" i="123"/>
  <c r="AC841" i="123"/>
  <c r="AC831" i="123"/>
  <c r="AC853" i="123" s="1"/>
  <c r="AC873" i="123" s="1"/>
  <c r="AC819" i="123"/>
  <c r="AC811" i="123"/>
  <c r="AC805" i="123"/>
  <c r="AC797" i="123"/>
  <c r="AC783" i="123"/>
  <c r="AC779" i="123"/>
  <c r="AC759" i="123"/>
  <c r="AC729" i="123"/>
  <c r="AC725" i="123"/>
  <c r="AC736" i="123"/>
  <c r="AC744" i="123"/>
  <c r="AC714" i="123"/>
  <c r="AC697" i="123"/>
  <c r="AC686" i="123"/>
  <c r="AC677" i="123"/>
  <c r="AC667" i="123"/>
  <c r="AC679" i="123" s="1"/>
  <c r="AC657" i="123"/>
  <c r="AC645" i="123"/>
  <c r="AC637" i="123"/>
  <c r="AC631" i="123"/>
  <c r="AC699" i="123" s="1"/>
  <c r="AC623" i="123"/>
  <c r="AC609" i="123"/>
  <c r="AC605" i="123"/>
  <c r="AC585" i="123"/>
  <c r="AC555" i="123"/>
  <c r="AC551" i="123"/>
  <c r="AC562" i="123"/>
  <c r="AC570" i="123"/>
  <c r="AC540" i="123"/>
  <c r="AC523" i="123"/>
  <c r="AC512" i="123"/>
  <c r="AC503" i="123"/>
  <c r="AC505" i="123" s="1"/>
  <c r="AC493" i="123"/>
  <c r="AC483" i="123"/>
  <c r="AC471" i="123"/>
  <c r="AC463" i="123"/>
  <c r="AC457" i="123"/>
  <c r="AC449" i="123"/>
  <c r="AC435" i="123"/>
  <c r="AC431" i="123"/>
  <c r="AC411" i="123"/>
  <c r="AC381" i="123"/>
  <c r="AC377" i="123"/>
  <c r="AC388" i="123"/>
  <c r="AC396" i="123" s="1"/>
  <c r="AC366" i="123"/>
  <c r="AC349" i="123"/>
  <c r="AC338" i="123"/>
  <c r="AC329" i="123"/>
  <c r="AC319" i="123"/>
  <c r="AC309" i="123"/>
  <c r="AC297" i="123"/>
  <c r="AC289" i="123"/>
  <c r="AC283" i="123"/>
  <c r="AC275" i="123"/>
  <c r="AC261" i="123"/>
  <c r="AC257" i="123"/>
  <c r="AC237" i="123"/>
  <c r="AC207" i="123"/>
  <c r="AC203" i="123"/>
  <c r="AC214" i="123"/>
  <c r="AC222" i="123"/>
  <c r="AC192" i="123"/>
  <c r="AC175" i="123"/>
  <c r="AC164" i="123"/>
  <c r="AC155" i="123"/>
  <c r="AC145" i="123"/>
  <c r="AC135" i="123"/>
  <c r="AC123" i="123"/>
  <c r="AC115" i="123"/>
  <c r="AC109" i="123"/>
  <c r="AC101" i="123"/>
  <c r="AC87" i="123"/>
  <c r="AC83" i="123"/>
  <c r="AC63" i="123"/>
  <c r="AC33" i="123"/>
  <c r="AC29" i="123"/>
  <c r="AC40" i="123"/>
  <c r="AC48" i="123" s="1"/>
  <c r="AC18" i="123"/>
  <c r="E43" i="131"/>
  <c r="AC1027" i="123"/>
  <c r="AC1047" i="123"/>
  <c r="AC331" i="123"/>
  <c r="W4" i="116"/>
  <c r="X64" i="69"/>
  <c r="Y64" i="69"/>
  <c r="Z64" i="69"/>
  <c r="AA64" i="69"/>
  <c r="AB64" i="69"/>
  <c r="AC64" i="69"/>
  <c r="AH64" i="69"/>
  <c r="AI64" i="69"/>
  <c r="AP64" i="69"/>
  <c r="AW64" i="69"/>
  <c r="BL49" i="126"/>
  <c r="BK49" i="126"/>
  <c r="BJ49" i="126"/>
  <c r="BI49" i="126"/>
  <c r="BH49" i="126"/>
  <c r="BG49" i="126"/>
  <c r="BF49" i="126"/>
  <c r="BE49" i="126"/>
  <c r="BD49" i="126"/>
  <c r="BC49" i="126"/>
  <c r="BB49" i="126"/>
  <c r="BA49" i="126"/>
  <c r="AZ49" i="126"/>
  <c r="AY49" i="126"/>
  <c r="AX49" i="126"/>
  <c r="AW49" i="126"/>
  <c r="AV49" i="126"/>
  <c r="AU49" i="126"/>
  <c r="AT49" i="126"/>
  <c r="AS49" i="126"/>
  <c r="AR49" i="126"/>
  <c r="AQ49" i="126"/>
  <c r="AP49" i="126"/>
  <c r="AO49" i="126"/>
  <c r="AN49" i="126"/>
  <c r="AM49" i="126"/>
  <c r="AL49" i="126"/>
  <c r="AK49" i="126"/>
  <c r="AJ49" i="126"/>
  <c r="AI49" i="126"/>
  <c r="AH49" i="126"/>
  <c r="AG49" i="126"/>
  <c r="AF49" i="126"/>
  <c r="AE49" i="126"/>
  <c r="AD49" i="126"/>
  <c r="AC49" i="126"/>
  <c r="AB49" i="126"/>
  <c r="AA49" i="126"/>
  <c r="Z49" i="126"/>
  <c r="Y49" i="126"/>
  <c r="X49" i="126"/>
  <c r="W49" i="126"/>
  <c r="V49" i="126"/>
  <c r="U49" i="126"/>
  <c r="T49" i="126"/>
  <c r="S49" i="126"/>
  <c r="R49" i="126"/>
  <c r="Q49" i="126"/>
  <c r="P49" i="126"/>
  <c r="O49" i="126"/>
  <c r="N49" i="126"/>
  <c r="M49" i="126"/>
  <c r="L49" i="126"/>
  <c r="K49" i="126"/>
  <c r="J49" i="126"/>
  <c r="I49" i="126"/>
  <c r="H49" i="126"/>
  <c r="G49" i="126"/>
  <c r="F49" i="126"/>
  <c r="E49" i="126"/>
  <c r="AB22" i="70"/>
  <c r="AB72" i="34"/>
  <c r="AF60" i="81"/>
  <c r="AG125" i="81"/>
  <c r="AG107" i="81"/>
  <c r="AG81" i="81"/>
  <c r="AG73" i="81"/>
  <c r="AG34" i="81"/>
  <c r="AG36" i="81"/>
  <c r="AD1577" i="123"/>
  <c r="AD1393" i="123"/>
  <c r="AD1382" i="123"/>
  <c r="AD1373" i="123"/>
  <c r="AD1363" i="123"/>
  <c r="AD1375" i="123" s="1"/>
  <c r="AD1353" i="123"/>
  <c r="AD1341" i="123"/>
  <c r="AD1333" i="123"/>
  <c r="AD1327" i="123"/>
  <c r="AD1319" i="123"/>
  <c r="AD1305" i="123"/>
  <c r="AD1301" i="123"/>
  <c r="AD1281" i="123"/>
  <c r="AD1251" i="123"/>
  <c r="AD1247" i="123"/>
  <c r="AD1258" i="123"/>
  <c r="AD1266" i="123" s="1"/>
  <c r="AD1236" i="123"/>
  <c r="AD1219" i="123"/>
  <c r="AD1208" i="123"/>
  <c r="AD1199" i="123"/>
  <c r="AD1189" i="123"/>
  <c r="AD1179" i="123"/>
  <c r="AD1167" i="123"/>
  <c r="AD1159" i="123"/>
  <c r="AD1153" i="123"/>
  <c r="AD1145" i="123"/>
  <c r="AD1131" i="123"/>
  <c r="AD1127" i="123"/>
  <c r="AD1107" i="123"/>
  <c r="AD1077" i="123"/>
  <c r="AD1073" i="123"/>
  <c r="AD1084" i="123"/>
  <c r="AD1092" i="123" s="1"/>
  <c r="AD1062" i="123"/>
  <c r="AD1045" i="123"/>
  <c r="AD1034" i="123"/>
  <c r="AD1025" i="123"/>
  <c r="AD1015" i="123"/>
  <c r="AD1005" i="123"/>
  <c r="AD1027" i="123" s="1"/>
  <c r="AD993" i="123"/>
  <c r="AD985" i="123"/>
  <c r="AD979" i="123"/>
  <c r="AD971" i="123"/>
  <c r="AD957" i="123"/>
  <c r="AD953" i="123"/>
  <c r="AD933" i="123"/>
  <c r="AD903" i="123"/>
  <c r="AD899" i="123"/>
  <c r="AD1047" i="123" s="1"/>
  <c r="AD910" i="123"/>
  <c r="AD918" i="123" s="1"/>
  <c r="AD888" i="123"/>
  <c r="AD871" i="123"/>
  <c r="AD860" i="123"/>
  <c r="AD851" i="123"/>
  <c r="AD841" i="123"/>
  <c r="AD831" i="123"/>
  <c r="AD819" i="123"/>
  <c r="AD811" i="123"/>
  <c r="AD805" i="123"/>
  <c r="AD797" i="123"/>
  <c r="AD783" i="123"/>
  <c r="AD779" i="123"/>
  <c r="AD759" i="123"/>
  <c r="AD729" i="123"/>
  <c r="AD725" i="123"/>
  <c r="AD736" i="123"/>
  <c r="AD744" i="123"/>
  <c r="AD714" i="123"/>
  <c r="AD697" i="123"/>
  <c r="AD686" i="123"/>
  <c r="AD677" i="123"/>
  <c r="AD667" i="123"/>
  <c r="AD679" i="123" s="1"/>
  <c r="AD657" i="123"/>
  <c r="AD645" i="123"/>
  <c r="AD637" i="123"/>
  <c r="AD631" i="123"/>
  <c r="AD623" i="123"/>
  <c r="AD609" i="123"/>
  <c r="AD605" i="123"/>
  <c r="AD699" i="123" s="1"/>
  <c r="AD585" i="123"/>
  <c r="AD555" i="123"/>
  <c r="AD551" i="123"/>
  <c r="AD562" i="123"/>
  <c r="AD570" i="123"/>
  <c r="AD540" i="123"/>
  <c r="AD523" i="123"/>
  <c r="AD512" i="123"/>
  <c r="AD503" i="123"/>
  <c r="AD493" i="123"/>
  <c r="AD483" i="123"/>
  <c r="AD471" i="123"/>
  <c r="AD463" i="123"/>
  <c r="AD457" i="123"/>
  <c r="AD449" i="123"/>
  <c r="AD435" i="123"/>
  <c r="AD431" i="123"/>
  <c r="AD411" i="123"/>
  <c r="AD381" i="123"/>
  <c r="AD377" i="123"/>
  <c r="AD388" i="123"/>
  <c r="AD396" i="123" s="1"/>
  <c r="AD366" i="123"/>
  <c r="AD349" i="123"/>
  <c r="AD338" i="123"/>
  <c r="AD329" i="123"/>
  <c r="AD319" i="123"/>
  <c r="AD309" i="123"/>
  <c r="AD297" i="123"/>
  <c r="AD289" i="123"/>
  <c r="AD283" i="123"/>
  <c r="AD275" i="123"/>
  <c r="AD261" i="123"/>
  <c r="AD237" i="123"/>
  <c r="AD207" i="123"/>
  <c r="AD203" i="123"/>
  <c r="AD214" i="123"/>
  <c r="AD222" i="123" s="1"/>
  <c r="AD351" i="123" s="1"/>
  <c r="AD192" i="123"/>
  <c r="AD1201" i="123"/>
  <c r="AD853" i="123"/>
  <c r="AD331" i="123"/>
  <c r="Q60" i="129"/>
  <c r="R60" i="129" s="1"/>
  <c r="D60" i="129"/>
  <c r="D59" i="129"/>
  <c r="D58" i="129"/>
  <c r="K25" i="116"/>
  <c r="Q22" i="116"/>
  <c r="P22" i="116"/>
  <c r="R14" i="116"/>
  <c r="S14" i="116"/>
  <c r="T14" i="116"/>
  <c r="Q14" i="116"/>
  <c r="L46" i="126"/>
  <c r="M46" i="126"/>
  <c r="M51" i="126" s="1"/>
  <c r="N46" i="126"/>
  <c r="O46" i="126"/>
  <c r="P46" i="126"/>
  <c r="Q46" i="126"/>
  <c r="R46" i="126"/>
  <c r="S46" i="126"/>
  <c r="T46" i="126"/>
  <c r="U46" i="126"/>
  <c r="V46" i="126"/>
  <c r="W46" i="126"/>
  <c r="W50" i="126" s="1"/>
  <c r="W15" i="126" s="1"/>
  <c r="W16" i="126" s="1"/>
  <c r="X46" i="126"/>
  <c r="Y46" i="126"/>
  <c r="Z46" i="126"/>
  <c r="Z51" i="126" s="1"/>
  <c r="AA46" i="126"/>
  <c r="AB46" i="126"/>
  <c r="AC46" i="126"/>
  <c r="AD46" i="126"/>
  <c r="AE46" i="126"/>
  <c r="AE50" i="126" s="1"/>
  <c r="AE52" i="126" s="1"/>
  <c r="AF46" i="126"/>
  <c r="AG46" i="126"/>
  <c r="AH46" i="126"/>
  <c r="AI46" i="126"/>
  <c r="AJ46" i="126"/>
  <c r="AK46" i="126"/>
  <c r="AL46" i="126"/>
  <c r="AL51" i="126" s="1"/>
  <c r="AM46" i="126"/>
  <c r="AN46" i="126"/>
  <c r="AO46" i="126"/>
  <c r="AP46" i="126"/>
  <c r="AQ46" i="126"/>
  <c r="AR46" i="126"/>
  <c r="AS46" i="126"/>
  <c r="AS50" i="126" s="1"/>
  <c r="AP6" i="115" s="1"/>
  <c r="AP14" i="115" s="1"/>
  <c r="AT46" i="126"/>
  <c r="AU46" i="126"/>
  <c r="AV46" i="126"/>
  <c r="AW46" i="126"/>
  <c r="AX46" i="126"/>
  <c r="AY46" i="126"/>
  <c r="AZ46" i="126"/>
  <c r="BA46" i="126"/>
  <c r="BB46" i="126"/>
  <c r="BB50" i="126" s="1"/>
  <c r="BB15" i="126" s="1"/>
  <c r="BB16" i="126" s="1"/>
  <c r="BC46" i="126"/>
  <c r="BC50" i="126" s="1"/>
  <c r="BC15" i="126" s="1"/>
  <c r="BC16" i="126" s="1"/>
  <c r="BD46" i="126"/>
  <c r="BE46" i="126"/>
  <c r="BF46" i="126"/>
  <c r="BG46" i="126"/>
  <c r="BG51" i="126" s="1"/>
  <c r="BH46" i="126"/>
  <c r="BI46" i="126"/>
  <c r="BI51" i="126" s="1"/>
  <c r="BJ46" i="126"/>
  <c r="BJ50" i="126" s="1"/>
  <c r="BJ15" i="126" s="1"/>
  <c r="BJ16" i="126" s="1"/>
  <c r="BK46" i="126"/>
  <c r="BK50" i="126" s="1"/>
  <c r="BK15" i="126" s="1"/>
  <c r="BK16" i="126" s="1"/>
  <c r="BL46" i="126"/>
  <c r="F46" i="126"/>
  <c r="G46" i="126"/>
  <c r="G50" i="126" s="1"/>
  <c r="G52" i="126" s="1"/>
  <c r="H46" i="126"/>
  <c r="I46" i="126"/>
  <c r="J46" i="126"/>
  <c r="K46" i="126"/>
  <c r="K51" i="126" s="1"/>
  <c r="E46" i="126"/>
  <c r="E50" i="126" s="1"/>
  <c r="E52" i="126" s="1"/>
  <c r="G53" i="85"/>
  <c r="Z24" i="116"/>
  <c r="Z30" i="116"/>
  <c r="Z42" i="116"/>
  <c r="K28" i="116"/>
  <c r="K14" i="116"/>
  <c r="AK36" i="116"/>
  <c r="AG24" i="116"/>
  <c r="T21" i="116"/>
  <c r="K31" i="116"/>
  <c r="K10" i="116"/>
  <c r="K8" i="116"/>
  <c r="T11" i="116"/>
  <c r="T9" i="116"/>
  <c r="T7" i="116"/>
  <c r="K16" i="116"/>
  <c r="AA76" i="34"/>
  <c r="AA71" i="34"/>
  <c r="AA72" i="34"/>
  <c r="AA22" i="70"/>
  <c r="AF125" i="81"/>
  <c r="AF81" i="81"/>
  <c r="AF73" i="81"/>
  <c r="AF36" i="81"/>
  <c r="AF34" i="81"/>
  <c r="AG18" i="81"/>
  <c r="AH18" i="81"/>
  <c r="AF18" i="81"/>
  <c r="AC1577" i="123"/>
  <c r="AZ8" i="138"/>
  <c r="BA8" i="138"/>
  <c r="BB8" i="138"/>
  <c r="BC8" i="138"/>
  <c r="BD8" i="138"/>
  <c r="BE8" i="138"/>
  <c r="BF8" i="138"/>
  <c r="BG8" i="138"/>
  <c r="BH8" i="138"/>
  <c r="BI8" i="138"/>
  <c r="BJ8" i="138"/>
  <c r="BK8" i="138"/>
  <c r="BL8" i="138"/>
  <c r="BM8" i="138"/>
  <c r="BN8" i="138"/>
  <c r="BO8" i="138"/>
  <c r="BP8" i="138"/>
  <c r="BQ8" i="138"/>
  <c r="BR8" i="138"/>
  <c r="BS8" i="138"/>
  <c r="BT8" i="138"/>
  <c r="BU8" i="138"/>
  <c r="BV8" i="138"/>
  <c r="BW8" i="138"/>
  <c r="AA19" i="138"/>
  <c r="AB19" i="138"/>
  <c r="AC19" i="138"/>
  <c r="AD19" i="138"/>
  <c r="AE19" i="138"/>
  <c r="AF19" i="138"/>
  <c r="AG19" i="138"/>
  <c r="AH19" i="138"/>
  <c r="AI19" i="138"/>
  <c r="AJ19" i="138"/>
  <c r="AK19" i="138"/>
  <c r="AL19" i="138"/>
  <c r="AM19" i="138"/>
  <c r="AN19" i="138"/>
  <c r="AO19" i="138"/>
  <c r="AP19" i="138"/>
  <c r="AQ19" i="138"/>
  <c r="AR19" i="138"/>
  <c r="AS19" i="138"/>
  <c r="AT19" i="138"/>
  <c r="AU19" i="138"/>
  <c r="AV19" i="138"/>
  <c r="AW19" i="138"/>
  <c r="AX19" i="138"/>
  <c r="AY19" i="138"/>
  <c r="BY18" i="123"/>
  <c r="BZ18" i="123"/>
  <c r="CA18" i="123"/>
  <c r="BY40" i="123"/>
  <c r="BZ40" i="123"/>
  <c r="CA40" i="123"/>
  <c r="BY29" i="123"/>
  <c r="BZ29" i="123"/>
  <c r="CA29" i="123"/>
  <c r="BY33" i="123"/>
  <c r="BZ33" i="123"/>
  <c r="CA33" i="123"/>
  <c r="BY48" i="123"/>
  <c r="BZ48" i="123"/>
  <c r="CA48" i="123"/>
  <c r="BY63" i="123"/>
  <c r="BZ63" i="123"/>
  <c r="CA63" i="123"/>
  <c r="BY83" i="123"/>
  <c r="BZ83" i="123"/>
  <c r="CA83" i="123"/>
  <c r="BY87" i="123"/>
  <c r="BZ87" i="123"/>
  <c r="CA87" i="123"/>
  <c r="BY101" i="123"/>
  <c r="BZ101" i="123"/>
  <c r="CA101" i="123"/>
  <c r="BY109" i="123"/>
  <c r="BZ109" i="123"/>
  <c r="CA109" i="123"/>
  <c r="BY115" i="123"/>
  <c r="BZ115" i="123"/>
  <c r="CA115" i="123"/>
  <c r="BY123" i="123"/>
  <c r="BZ123" i="123"/>
  <c r="CA123" i="123"/>
  <c r="BY135" i="123"/>
  <c r="BZ135" i="123"/>
  <c r="CA135" i="123"/>
  <c r="BY145" i="123"/>
  <c r="BY157" i="123" s="1"/>
  <c r="BZ145" i="123"/>
  <c r="CA145" i="123"/>
  <c r="BY155" i="123"/>
  <c r="BZ155" i="123"/>
  <c r="BZ157" i="123" s="1"/>
  <c r="CA155" i="123"/>
  <c r="BY164" i="123"/>
  <c r="BZ164" i="123"/>
  <c r="CA164" i="123"/>
  <c r="BY175" i="123"/>
  <c r="BZ175" i="123"/>
  <c r="CA175" i="123"/>
  <c r="BY192" i="123"/>
  <c r="BY351" i="123" s="1"/>
  <c r="BZ192" i="123"/>
  <c r="CA192" i="123"/>
  <c r="BY214" i="123"/>
  <c r="BZ214" i="123"/>
  <c r="CA214" i="123"/>
  <c r="BY203" i="123"/>
  <c r="BZ203" i="123"/>
  <c r="CA203" i="123"/>
  <c r="BY207" i="123"/>
  <c r="BZ207" i="123"/>
  <c r="CA207" i="123"/>
  <c r="BY222" i="123"/>
  <c r="BZ222" i="123"/>
  <c r="CA222" i="123"/>
  <c r="BY237" i="123"/>
  <c r="BZ237" i="123"/>
  <c r="CA237" i="123"/>
  <c r="BY257" i="123"/>
  <c r="BZ257" i="123"/>
  <c r="CA257" i="123"/>
  <c r="BY261" i="123"/>
  <c r="BZ261" i="123"/>
  <c r="CA261" i="123"/>
  <c r="BY275" i="123"/>
  <c r="BZ275" i="123"/>
  <c r="CA275" i="123"/>
  <c r="BY283" i="123"/>
  <c r="BZ283" i="123"/>
  <c r="CA283" i="123"/>
  <c r="BY289" i="123"/>
  <c r="BZ289" i="123"/>
  <c r="CA289" i="123"/>
  <c r="BY297" i="123"/>
  <c r="BZ297" i="123"/>
  <c r="CA297" i="123"/>
  <c r="BY309" i="123"/>
  <c r="BZ309" i="123"/>
  <c r="CA309" i="123"/>
  <c r="BY319" i="123"/>
  <c r="BZ319" i="123"/>
  <c r="CA319" i="123"/>
  <c r="BY329" i="123"/>
  <c r="BZ329" i="123"/>
  <c r="CA329" i="123"/>
  <c r="CA331" i="123" s="1"/>
  <c r="BY338" i="123"/>
  <c r="BZ338" i="123"/>
  <c r="CA338" i="123"/>
  <c r="BY349" i="123"/>
  <c r="BZ349" i="123"/>
  <c r="CA349" i="123"/>
  <c r="BY366" i="123"/>
  <c r="BZ366" i="123"/>
  <c r="CA366" i="123"/>
  <c r="BY388" i="123"/>
  <c r="BZ388" i="123"/>
  <c r="CA388" i="123"/>
  <c r="BY381" i="123"/>
  <c r="BZ381" i="123"/>
  <c r="CA381" i="123"/>
  <c r="BY396" i="123"/>
  <c r="BZ396" i="123"/>
  <c r="CA396" i="123"/>
  <c r="BY411" i="123"/>
  <c r="BZ411" i="123"/>
  <c r="CA411" i="123"/>
  <c r="BY431" i="123"/>
  <c r="BZ431" i="123"/>
  <c r="CA431" i="123"/>
  <c r="BY435" i="123"/>
  <c r="BZ435" i="123"/>
  <c r="CA435" i="123"/>
  <c r="BY449" i="123"/>
  <c r="BZ449" i="123"/>
  <c r="CA449" i="123"/>
  <c r="BY457" i="123"/>
  <c r="BZ457" i="123"/>
  <c r="CA457" i="123"/>
  <c r="BY463" i="123"/>
  <c r="BZ463" i="123"/>
  <c r="CA463" i="123"/>
  <c r="BY471" i="123"/>
  <c r="BZ471" i="123"/>
  <c r="CA471" i="123"/>
  <c r="BY483" i="123"/>
  <c r="BZ483" i="123"/>
  <c r="CA483" i="123"/>
  <c r="BY493" i="123"/>
  <c r="BZ493" i="123"/>
  <c r="CA493" i="123"/>
  <c r="BY503" i="123"/>
  <c r="BZ503" i="123"/>
  <c r="CA503" i="123"/>
  <c r="BY512" i="123"/>
  <c r="BZ512" i="123"/>
  <c r="CA512" i="123"/>
  <c r="BY523" i="123"/>
  <c r="BZ523" i="123"/>
  <c r="CA523" i="123"/>
  <c r="BY540" i="123"/>
  <c r="BZ540" i="123"/>
  <c r="CA540" i="123"/>
  <c r="BY562" i="123"/>
  <c r="BZ562" i="123"/>
  <c r="CA562" i="123"/>
  <c r="BY551" i="123"/>
  <c r="BZ551" i="123"/>
  <c r="CA551" i="123"/>
  <c r="BY555" i="123"/>
  <c r="BZ555" i="123"/>
  <c r="CA555" i="123"/>
  <c r="BY570" i="123"/>
  <c r="BZ570" i="123"/>
  <c r="CA570" i="123"/>
  <c r="BY585" i="123"/>
  <c r="BZ585" i="123"/>
  <c r="CA585" i="123"/>
  <c r="BY605" i="123"/>
  <c r="BZ605" i="123"/>
  <c r="CA605" i="123"/>
  <c r="BY609" i="123"/>
  <c r="BZ609" i="123"/>
  <c r="CA609" i="123"/>
  <c r="BY623" i="123"/>
  <c r="BZ623" i="123"/>
  <c r="CA623" i="123"/>
  <c r="BY631" i="123"/>
  <c r="BZ631" i="123"/>
  <c r="CA631" i="123"/>
  <c r="BY637" i="123"/>
  <c r="BZ637" i="123"/>
  <c r="CA637" i="123"/>
  <c r="BY645" i="123"/>
  <c r="BZ645" i="123"/>
  <c r="CA645" i="123"/>
  <c r="BY657" i="123"/>
  <c r="BZ657" i="123"/>
  <c r="CA657" i="123"/>
  <c r="BY667" i="123"/>
  <c r="BZ667" i="123"/>
  <c r="CA667" i="123"/>
  <c r="CA679" i="123" s="1"/>
  <c r="BY677" i="123"/>
  <c r="BY679" i="123" s="1"/>
  <c r="BZ677" i="123"/>
  <c r="CA677" i="123"/>
  <c r="BY686" i="123"/>
  <c r="BZ686" i="123"/>
  <c r="CA686" i="123"/>
  <c r="BY697" i="123"/>
  <c r="BZ697" i="123"/>
  <c r="CA697" i="123"/>
  <c r="BY714" i="123"/>
  <c r="BZ714" i="123"/>
  <c r="CA714" i="123"/>
  <c r="BY736" i="123"/>
  <c r="BZ736" i="123"/>
  <c r="CA736" i="123"/>
  <c r="BY725" i="123"/>
  <c r="BZ725" i="123"/>
  <c r="CA725" i="123"/>
  <c r="BY729" i="123"/>
  <c r="BZ729" i="123"/>
  <c r="CA729" i="123"/>
  <c r="BY744" i="123"/>
  <c r="BZ744" i="123"/>
  <c r="CA744" i="123"/>
  <c r="BY759" i="123"/>
  <c r="BZ759" i="123"/>
  <c r="CA759" i="123"/>
  <c r="BY779" i="123"/>
  <c r="BZ779" i="123"/>
  <c r="CA779" i="123"/>
  <c r="BY783" i="123"/>
  <c r="BZ783" i="123"/>
  <c r="CA783" i="123"/>
  <c r="BY797" i="123"/>
  <c r="BZ797" i="123"/>
  <c r="CA797" i="123"/>
  <c r="BY805" i="123"/>
  <c r="BZ805" i="123"/>
  <c r="CA805" i="123"/>
  <c r="BY811" i="123"/>
  <c r="BZ811" i="123"/>
  <c r="CA811" i="123"/>
  <c r="BY819" i="123"/>
  <c r="BZ819" i="123"/>
  <c r="CA819" i="123"/>
  <c r="BY831" i="123"/>
  <c r="BZ831" i="123"/>
  <c r="CA831" i="123"/>
  <c r="BY841" i="123"/>
  <c r="BZ841" i="123"/>
  <c r="CA841" i="123"/>
  <c r="BY851" i="123"/>
  <c r="BY853" i="123" s="1"/>
  <c r="BZ851" i="123"/>
  <c r="CA851" i="123"/>
  <c r="BY860" i="123"/>
  <c r="BZ860" i="123"/>
  <c r="CA860" i="123"/>
  <c r="BY871" i="123"/>
  <c r="BZ871" i="123"/>
  <c r="CA871" i="123"/>
  <c r="BY888" i="123"/>
  <c r="BZ888" i="123"/>
  <c r="CA888" i="123"/>
  <c r="BY910" i="123"/>
  <c r="BZ910" i="123"/>
  <c r="CA910" i="123"/>
  <c r="BY899" i="123"/>
  <c r="BZ899" i="123"/>
  <c r="CA899" i="123"/>
  <c r="BY903" i="123"/>
  <c r="BZ903" i="123"/>
  <c r="CA903" i="123"/>
  <c r="CA1047" i="123" s="1"/>
  <c r="BY918" i="123"/>
  <c r="BZ918" i="123"/>
  <c r="CA918" i="123"/>
  <c r="BY933" i="123"/>
  <c r="BZ933" i="123"/>
  <c r="CA933" i="123"/>
  <c r="BY953" i="123"/>
  <c r="BZ953" i="123"/>
  <c r="CA953" i="123"/>
  <c r="BY957" i="123"/>
  <c r="BZ957" i="123"/>
  <c r="CA957" i="123"/>
  <c r="BY971" i="123"/>
  <c r="BZ971" i="123"/>
  <c r="CA971" i="123"/>
  <c r="BY979" i="123"/>
  <c r="BZ979" i="123"/>
  <c r="CA979" i="123"/>
  <c r="BY985" i="123"/>
  <c r="BZ985" i="123"/>
  <c r="CA985" i="123"/>
  <c r="BY993" i="123"/>
  <c r="BZ993" i="123"/>
  <c r="CA993" i="123"/>
  <c r="BY1005" i="123"/>
  <c r="BZ1005" i="123"/>
  <c r="CA1005" i="123"/>
  <c r="BY1015" i="123"/>
  <c r="BY1027" i="123" s="1"/>
  <c r="BZ1015" i="123"/>
  <c r="CA1015" i="123"/>
  <c r="BY1025" i="123"/>
  <c r="BZ1025" i="123"/>
  <c r="CA1025" i="123"/>
  <c r="CA1027" i="123" s="1"/>
  <c r="BY1034" i="123"/>
  <c r="BZ1034" i="123"/>
  <c r="CA1034" i="123"/>
  <c r="BY1045" i="123"/>
  <c r="BZ1045" i="123"/>
  <c r="CA1045" i="123"/>
  <c r="BY1062" i="123"/>
  <c r="BZ1062" i="123"/>
  <c r="CA1062" i="123"/>
  <c r="BY1084" i="123"/>
  <c r="BZ1084" i="123"/>
  <c r="CA1084" i="123"/>
  <c r="BY1073" i="123"/>
  <c r="BZ1073" i="123"/>
  <c r="CA1073" i="123"/>
  <c r="BY1077" i="123"/>
  <c r="BZ1077" i="123"/>
  <c r="CA1077" i="123"/>
  <c r="BY1092" i="123"/>
  <c r="BZ1092" i="123"/>
  <c r="CA1092" i="123"/>
  <c r="BY1107" i="123"/>
  <c r="BZ1107" i="123"/>
  <c r="CA1107" i="123"/>
  <c r="BY1127" i="123"/>
  <c r="BZ1127" i="123"/>
  <c r="CA1127" i="123"/>
  <c r="BY1131" i="123"/>
  <c r="BZ1131" i="123"/>
  <c r="CA1131" i="123"/>
  <c r="BY1145" i="123"/>
  <c r="BZ1145" i="123"/>
  <c r="CA1145" i="123"/>
  <c r="BY1153" i="123"/>
  <c r="BZ1153" i="123"/>
  <c r="CA1153" i="123"/>
  <c r="BY1159" i="123"/>
  <c r="BZ1159" i="123"/>
  <c r="CA1159" i="123"/>
  <c r="BY1167" i="123"/>
  <c r="BZ1167" i="123"/>
  <c r="CA1167" i="123"/>
  <c r="BY1179" i="123"/>
  <c r="BZ1179" i="123"/>
  <c r="CA1179" i="123"/>
  <c r="BY1189" i="123"/>
  <c r="BZ1189" i="123"/>
  <c r="BZ1201" i="123" s="1"/>
  <c r="CA1189" i="123"/>
  <c r="BY1199" i="123"/>
  <c r="BZ1199" i="123"/>
  <c r="CA1199" i="123"/>
  <c r="BY1208" i="123"/>
  <c r="BZ1208" i="123"/>
  <c r="CA1208" i="123"/>
  <c r="BY1219" i="123"/>
  <c r="BZ1219" i="123"/>
  <c r="CA1219" i="123"/>
  <c r="BY1236" i="123"/>
  <c r="BZ1236" i="123"/>
  <c r="CA1236" i="123"/>
  <c r="BY1258" i="123"/>
  <c r="BZ1258" i="123"/>
  <c r="CA1258" i="123"/>
  <c r="BY1247" i="123"/>
  <c r="BZ1247" i="123"/>
  <c r="CA1247" i="123"/>
  <c r="BY1266" i="123"/>
  <c r="BZ1266" i="123"/>
  <c r="CA1266" i="123"/>
  <c r="BY1281" i="123"/>
  <c r="BZ1281" i="123"/>
  <c r="CA1281" i="123"/>
  <c r="BY1301" i="123"/>
  <c r="BZ1301" i="123"/>
  <c r="CA1301" i="123"/>
  <c r="BY1305" i="123"/>
  <c r="BZ1305" i="123"/>
  <c r="CA1305" i="123"/>
  <c r="BY1319" i="123"/>
  <c r="BZ1319" i="123"/>
  <c r="CA1319" i="123"/>
  <c r="BY1327" i="123"/>
  <c r="BZ1327" i="123"/>
  <c r="CA1327" i="123"/>
  <c r="BY1333" i="123"/>
  <c r="BZ1333" i="123"/>
  <c r="CA1333" i="123"/>
  <c r="BY1341" i="123"/>
  <c r="BZ1341" i="123"/>
  <c r="CA1341" i="123"/>
  <c r="BY1353" i="123"/>
  <c r="BZ1353" i="123"/>
  <c r="CA1353" i="123"/>
  <c r="BY1363" i="123"/>
  <c r="BZ1363" i="123"/>
  <c r="BZ1375" i="123" s="1"/>
  <c r="CA1363" i="123"/>
  <c r="BY1373" i="123"/>
  <c r="BZ1373" i="123"/>
  <c r="CA1373" i="123"/>
  <c r="BY1382" i="123"/>
  <c r="BZ1382" i="123"/>
  <c r="CA1382" i="123"/>
  <c r="BY1393" i="123"/>
  <c r="BZ1393" i="123"/>
  <c r="CA1393" i="123"/>
  <c r="BP18" i="123"/>
  <c r="BQ18" i="123"/>
  <c r="BQ177" i="123" s="1"/>
  <c r="BR18" i="123"/>
  <c r="BR177" i="123" s="1"/>
  <c r="BS18" i="123"/>
  <c r="BT18" i="123"/>
  <c r="BU18" i="123"/>
  <c r="BV18" i="123"/>
  <c r="BW18" i="123"/>
  <c r="BX18" i="123"/>
  <c r="BP40" i="123"/>
  <c r="BP177" i="123" s="1"/>
  <c r="BQ40" i="123"/>
  <c r="BR40" i="123"/>
  <c r="BS40" i="123"/>
  <c r="BT40" i="123"/>
  <c r="BU40" i="123"/>
  <c r="BV40" i="123"/>
  <c r="BW40" i="123"/>
  <c r="BX40" i="123"/>
  <c r="BX177" i="123" s="1"/>
  <c r="BP29" i="123"/>
  <c r="BQ29" i="123"/>
  <c r="BR29" i="123"/>
  <c r="BS29" i="123"/>
  <c r="BT29" i="123"/>
  <c r="BU29" i="123"/>
  <c r="BV29" i="123"/>
  <c r="BW29" i="123"/>
  <c r="BX29" i="123"/>
  <c r="BP33" i="123"/>
  <c r="BQ33" i="123"/>
  <c r="BR33" i="123"/>
  <c r="BS33" i="123"/>
  <c r="BT33" i="123"/>
  <c r="BU33" i="123"/>
  <c r="BV33" i="123"/>
  <c r="BV177" i="123" s="1"/>
  <c r="BW33" i="123"/>
  <c r="BX33" i="123"/>
  <c r="BP48" i="123"/>
  <c r="BQ48" i="123"/>
  <c r="BR48" i="123"/>
  <c r="BS48" i="123"/>
  <c r="BT48" i="123"/>
  <c r="BU48" i="123"/>
  <c r="BV48" i="123"/>
  <c r="BW48" i="123"/>
  <c r="BX48" i="123"/>
  <c r="BP63" i="123"/>
  <c r="BQ63" i="123"/>
  <c r="BR63" i="123"/>
  <c r="BS63" i="123"/>
  <c r="BT63" i="123"/>
  <c r="BU63" i="123"/>
  <c r="BV63" i="123"/>
  <c r="BW63" i="123"/>
  <c r="BX63" i="123"/>
  <c r="BP83" i="123"/>
  <c r="BQ83" i="123"/>
  <c r="BR83" i="123"/>
  <c r="BS83" i="123"/>
  <c r="BT83" i="123"/>
  <c r="BU83" i="123"/>
  <c r="BV83" i="123"/>
  <c r="BW83" i="123"/>
  <c r="BX83" i="123"/>
  <c r="BP87" i="123"/>
  <c r="BQ87" i="123"/>
  <c r="BR87" i="123"/>
  <c r="BS87" i="123"/>
  <c r="BT87" i="123"/>
  <c r="BU87" i="123"/>
  <c r="BV87" i="123"/>
  <c r="BW87" i="123"/>
  <c r="BX87" i="123"/>
  <c r="BP101" i="123"/>
  <c r="BQ101" i="123"/>
  <c r="BR101" i="123"/>
  <c r="BS101" i="123"/>
  <c r="BT101" i="123"/>
  <c r="BU101" i="123"/>
  <c r="BV101" i="123"/>
  <c r="BW101" i="123"/>
  <c r="BX101" i="123"/>
  <c r="BP109" i="123"/>
  <c r="BQ109" i="123"/>
  <c r="BR109" i="123"/>
  <c r="BS109" i="123"/>
  <c r="BT109" i="123"/>
  <c r="BU109" i="123"/>
  <c r="BV109" i="123"/>
  <c r="BW109" i="123"/>
  <c r="BX109" i="123"/>
  <c r="BP115" i="123"/>
  <c r="BQ115" i="123"/>
  <c r="BR115" i="123"/>
  <c r="BS115" i="123"/>
  <c r="BT115" i="123"/>
  <c r="BU115" i="123"/>
  <c r="BV115" i="123"/>
  <c r="BW115" i="123"/>
  <c r="BX115" i="123"/>
  <c r="BP123" i="123"/>
  <c r="BQ123" i="123"/>
  <c r="BR123" i="123"/>
  <c r="BS123" i="123"/>
  <c r="BT123" i="123"/>
  <c r="BU123" i="123"/>
  <c r="BV123" i="123"/>
  <c r="BW123" i="123"/>
  <c r="BX123" i="123"/>
  <c r="BP135" i="123"/>
  <c r="BQ135" i="123"/>
  <c r="BR135" i="123"/>
  <c r="BS135" i="123"/>
  <c r="BT135" i="123"/>
  <c r="BU135" i="123"/>
  <c r="BV135" i="123"/>
  <c r="BW135" i="123"/>
  <c r="BX135" i="123"/>
  <c r="BP145" i="123"/>
  <c r="BQ145" i="123"/>
  <c r="BR145" i="123"/>
  <c r="BS145" i="123"/>
  <c r="BT145" i="123"/>
  <c r="BU145" i="123"/>
  <c r="BV145" i="123"/>
  <c r="BW145" i="123"/>
  <c r="BX145" i="123"/>
  <c r="BP155" i="123"/>
  <c r="BP157" i="123" s="1"/>
  <c r="BQ155" i="123"/>
  <c r="BR155" i="123"/>
  <c r="BS155" i="123"/>
  <c r="BS157" i="123" s="1"/>
  <c r="BT155" i="123"/>
  <c r="BU155" i="123"/>
  <c r="BV155" i="123"/>
  <c r="BW155" i="123"/>
  <c r="BW157" i="123" s="1"/>
  <c r="BX155" i="123"/>
  <c r="BX157" i="123" s="1"/>
  <c r="BP164" i="123"/>
  <c r="BQ164" i="123"/>
  <c r="BR164" i="123"/>
  <c r="BS164" i="123"/>
  <c r="BT164" i="123"/>
  <c r="BU164" i="123"/>
  <c r="BV164" i="123"/>
  <c r="BW164" i="123"/>
  <c r="BX164" i="123"/>
  <c r="BP175" i="123"/>
  <c r="BQ175" i="123"/>
  <c r="BR175" i="123"/>
  <c r="BS175" i="123"/>
  <c r="BT175" i="123"/>
  <c r="BU175" i="123"/>
  <c r="BV175" i="123"/>
  <c r="BW175" i="123"/>
  <c r="BX175" i="123"/>
  <c r="BP192" i="123"/>
  <c r="BQ192" i="123"/>
  <c r="BQ351" i="123" s="1"/>
  <c r="BR192" i="123"/>
  <c r="BS192" i="123"/>
  <c r="BT192" i="123"/>
  <c r="BT351" i="123" s="1"/>
  <c r="BU192" i="123"/>
  <c r="BV192" i="123"/>
  <c r="BW192" i="123"/>
  <c r="BX192" i="123"/>
  <c r="BX351" i="123" s="1"/>
  <c r="BP214" i="123"/>
  <c r="BQ214" i="123"/>
  <c r="BR214" i="123"/>
  <c r="BS214" i="123"/>
  <c r="BT214" i="123"/>
  <c r="BU214" i="123"/>
  <c r="BV214" i="123"/>
  <c r="BW214" i="123"/>
  <c r="BX214" i="123"/>
  <c r="BP203" i="123"/>
  <c r="BQ203" i="123"/>
  <c r="BR203" i="123"/>
  <c r="BS203" i="123"/>
  <c r="BT203" i="123"/>
  <c r="BU203" i="123"/>
  <c r="BV203" i="123"/>
  <c r="BW203" i="123"/>
  <c r="BX203" i="123"/>
  <c r="BP207" i="123"/>
  <c r="BQ207" i="123"/>
  <c r="BR207" i="123"/>
  <c r="BS207" i="123"/>
  <c r="BT207" i="123"/>
  <c r="BU207" i="123"/>
  <c r="BV207" i="123"/>
  <c r="BW207" i="123"/>
  <c r="BX207" i="123"/>
  <c r="BP222" i="123"/>
  <c r="BQ222" i="123"/>
  <c r="BR222" i="123"/>
  <c r="BS222" i="123"/>
  <c r="BT222" i="123"/>
  <c r="BU222" i="123"/>
  <c r="BV222" i="123"/>
  <c r="BW222" i="123"/>
  <c r="BX222" i="123"/>
  <c r="BP237" i="123"/>
  <c r="BQ237" i="123"/>
  <c r="BR237" i="123"/>
  <c r="BS237" i="123"/>
  <c r="BT237" i="123"/>
  <c r="BU237" i="123"/>
  <c r="BV237" i="123"/>
  <c r="BW237" i="123"/>
  <c r="BX237" i="123"/>
  <c r="BP257" i="123"/>
  <c r="BQ257" i="123"/>
  <c r="BR257" i="123"/>
  <c r="BS257" i="123"/>
  <c r="BT257" i="123"/>
  <c r="BU257" i="123"/>
  <c r="BV257" i="123"/>
  <c r="BW257" i="123"/>
  <c r="BX257" i="123"/>
  <c r="BP261" i="123"/>
  <c r="BQ261" i="123"/>
  <c r="BR261" i="123"/>
  <c r="BS261" i="123"/>
  <c r="BT261" i="123"/>
  <c r="BU261" i="123"/>
  <c r="BV261" i="123"/>
  <c r="BW261" i="123"/>
  <c r="BX261" i="123"/>
  <c r="BP275" i="123"/>
  <c r="BQ275" i="123"/>
  <c r="BR275" i="123"/>
  <c r="BS275" i="123"/>
  <c r="BT275" i="123"/>
  <c r="BU275" i="123"/>
  <c r="BV275" i="123"/>
  <c r="BW275" i="123"/>
  <c r="BX275" i="123"/>
  <c r="BP283" i="123"/>
  <c r="BQ283" i="123"/>
  <c r="BR283" i="123"/>
  <c r="BS283" i="123"/>
  <c r="BT283" i="123"/>
  <c r="BU283" i="123"/>
  <c r="BV283" i="123"/>
  <c r="BW283" i="123"/>
  <c r="BX283" i="123"/>
  <c r="BP289" i="123"/>
  <c r="BQ289" i="123"/>
  <c r="BR289" i="123"/>
  <c r="BS289" i="123"/>
  <c r="BT289" i="123"/>
  <c r="BU289" i="123"/>
  <c r="BV289" i="123"/>
  <c r="BW289" i="123"/>
  <c r="BX289" i="123"/>
  <c r="BP297" i="123"/>
  <c r="BQ297" i="123"/>
  <c r="BR297" i="123"/>
  <c r="BS297" i="123"/>
  <c r="BT297" i="123"/>
  <c r="BU297" i="123"/>
  <c r="BV297" i="123"/>
  <c r="BW297" i="123"/>
  <c r="BX297" i="123"/>
  <c r="BP309" i="123"/>
  <c r="BQ309" i="123"/>
  <c r="BR309" i="123"/>
  <c r="BS309" i="123"/>
  <c r="BT309" i="123"/>
  <c r="BU309" i="123"/>
  <c r="BV309" i="123"/>
  <c r="BW309" i="123"/>
  <c r="BX309" i="123"/>
  <c r="BP319" i="123"/>
  <c r="BQ319" i="123"/>
  <c r="BR319" i="123"/>
  <c r="BS319" i="123"/>
  <c r="BT319" i="123"/>
  <c r="BT331" i="123" s="1"/>
  <c r="BU319" i="123"/>
  <c r="BV319" i="123"/>
  <c r="BW319" i="123"/>
  <c r="BX319" i="123"/>
  <c r="BP329" i="123"/>
  <c r="BQ329" i="123"/>
  <c r="BR329" i="123"/>
  <c r="BR331" i="123" s="1"/>
  <c r="BS329" i="123"/>
  <c r="BT329" i="123"/>
  <c r="BU329" i="123"/>
  <c r="BV329" i="123"/>
  <c r="BW329" i="123"/>
  <c r="BW331" i="123" s="1"/>
  <c r="BX329" i="123"/>
  <c r="BP338" i="123"/>
  <c r="BQ338" i="123"/>
  <c r="BR338" i="123"/>
  <c r="BS338" i="123"/>
  <c r="BT338" i="123"/>
  <c r="BU338" i="123"/>
  <c r="BV338" i="123"/>
  <c r="BW338" i="123"/>
  <c r="BX338" i="123"/>
  <c r="BP349" i="123"/>
  <c r="BQ349" i="123"/>
  <c r="BR349" i="123"/>
  <c r="BS349" i="123"/>
  <c r="BT349" i="123"/>
  <c r="BU349" i="123"/>
  <c r="BV349" i="123"/>
  <c r="BW349" i="123"/>
  <c r="BX349" i="123"/>
  <c r="BP366" i="123"/>
  <c r="BQ366" i="123"/>
  <c r="BR366" i="123"/>
  <c r="BS366" i="123"/>
  <c r="BT366" i="123"/>
  <c r="BU366" i="123"/>
  <c r="BV366" i="123"/>
  <c r="BW366" i="123"/>
  <c r="BX366" i="123"/>
  <c r="BP388" i="123"/>
  <c r="BQ388" i="123"/>
  <c r="BR388" i="123"/>
  <c r="BS388" i="123"/>
  <c r="BT388" i="123"/>
  <c r="BU388" i="123"/>
  <c r="BV388" i="123"/>
  <c r="BW388" i="123"/>
  <c r="BX388" i="123"/>
  <c r="BP381" i="123"/>
  <c r="BQ381" i="123"/>
  <c r="BR381" i="123"/>
  <c r="BS381" i="123"/>
  <c r="BT381" i="123"/>
  <c r="BU381" i="123"/>
  <c r="BV381" i="123"/>
  <c r="BW381" i="123"/>
  <c r="BX381" i="123"/>
  <c r="BP396" i="123"/>
  <c r="BQ396" i="123"/>
  <c r="BR396" i="123"/>
  <c r="BS396" i="123"/>
  <c r="BT396" i="123"/>
  <c r="BU396" i="123"/>
  <c r="BV396" i="123"/>
  <c r="BW396" i="123"/>
  <c r="BX396" i="123"/>
  <c r="BP411" i="123"/>
  <c r="BQ411" i="123"/>
  <c r="BR411" i="123"/>
  <c r="BS411" i="123"/>
  <c r="BT411" i="123"/>
  <c r="BU411" i="123"/>
  <c r="BV411" i="123"/>
  <c r="BW411" i="123"/>
  <c r="BX411" i="123"/>
  <c r="BP431" i="123"/>
  <c r="BQ431" i="123"/>
  <c r="BR431" i="123"/>
  <c r="BS431" i="123"/>
  <c r="BT431" i="123"/>
  <c r="BU431" i="123"/>
  <c r="BV431" i="123"/>
  <c r="BW431" i="123"/>
  <c r="BX431" i="123"/>
  <c r="BP435" i="123"/>
  <c r="BQ435" i="123"/>
  <c r="BR435" i="123"/>
  <c r="BS435" i="123"/>
  <c r="BT435" i="123"/>
  <c r="BU435" i="123"/>
  <c r="BV435" i="123"/>
  <c r="BW435" i="123"/>
  <c r="BX435" i="123"/>
  <c r="BP449" i="123"/>
  <c r="BQ449" i="123"/>
  <c r="BR449" i="123"/>
  <c r="BS449" i="123"/>
  <c r="BT449" i="123"/>
  <c r="BU449" i="123"/>
  <c r="BV449" i="123"/>
  <c r="BW449" i="123"/>
  <c r="BX449" i="123"/>
  <c r="BP457" i="123"/>
  <c r="BQ457" i="123"/>
  <c r="BR457" i="123"/>
  <c r="BS457" i="123"/>
  <c r="BT457" i="123"/>
  <c r="BU457" i="123"/>
  <c r="BV457" i="123"/>
  <c r="BW457" i="123"/>
  <c r="BX457" i="123"/>
  <c r="BP463" i="123"/>
  <c r="BQ463" i="123"/>
  <c r="BR463" i="123"/>
  <c r="BS463" i="123"/>
  <c r="BT463" i="123"/>
  <c r="BU463" i="123"/>
  <c r="BV463" i="123"/>
  <c r="BW463" i="123"/>
  <c r="BX463" i="123"/>
  <c r="BP471" i="123"/>
  <c r="BQ471" i="123"/>
  <c r="BR471" i="123"/>
  <c r="BS471" i="123"/>
  <c r="BT471" i="123"/>
  <c r="BU471" i="123"/>
  <c r="BV471" i="123"/>
  <c r="BW471" i="123"/>
  <c r="BX471" i="123"/>
  <c r="BP483" i="123"/>
  <c r="BQ483" i="123"/>
  <c r="BR483" i="123"/>
  <c r="BS483" i="123"/>
  <c r="BT483" i="123"/>
  <c r="BU483" i="123"/>
  <c r="BV483" i="123"/>
  <c r="BW483" i="123"/>
  <c r="BX483" i="123"/>
  <c r="BP493" i="123"/>
  <c r="BQ493" i="123"/>
  <c r="BR493" i="123"/>
  <c r="BS493" i="123"/>
  <c r="BS505" i="123" s="1"/>
  <c r="BT493" i="123"/>
  <c r="BU493" i="123"/>
  <c r="BV493" i="123"/>
  <c r="BW493" i="123"/>
  <c r="BX493" i="123"/>
  <c r="BP503" i="123"/>
  <c r="BQ503" i="123"/>
  <c r="BQ505" i="123" s="1"/>
  <c r="BR503" i="123"/>
  <c r="BS503" i="123"/>
  <c r="BT503" i="123"/>
  <c r="BU503" i="123"/>
  <c r="BU505" i="123" s="1"/>
  <c r="BV503" i="123"/>
  <c r="BW503" i="123"/>
  <c r="BX503" i="123"/>
  <c r="BP512" i="123"/>
  <c r="BQ512" i="123"/>
  <c r="BR512" i="123"/>
  <c r="BS512" i="123"/>
  <c r="BT512" i="123"/>
  <c r="BU512" i="123"/>
  <c r="BV512" i="123"/>
  <c r="BW512" i="123"/>
  <c r="BX512" i="123"/>
  <c r="BP523" i="123"/>
  <c r="BQ523" i="123"/>
  <c r="BR523" i="123"/>
  <c r="BS523" i="123"/>
  <c r="BT523" i="123"/>
  <c r="BU523" i="123"/>
  <c r="BV523" i="123"/>
  <c r="BW523" i="123"/>
  <c r="BX523" i="123"/>
  <c r="BP540" i="123"/>
  <c r="BQ540" i="123"/>
  <c r="BR540" i="123"/>
  <c r="BS540" i="123"/>
  <c r="BT540" i="123"/>
  <c r="BU540" i="123"/>
  <c r="BV540" i="123"/>
  <c r="BW540" i="123"/>
  <c r="BX540" i="123"/>
  <c r="BP562" i="123"/>
  <c r="BQ562" i="123"/>
  <c r="BR562" i="123"/>
  <c r="BS562" i="123"/>
  <c r="BT562" i="123"/>
  <c r="BU562" i="123"/>
  <c r="BV562" i="123"/>
  <c r="BW562" i="123"/>
  <c r="BX562" i="123"/>
  <c r="BP551" i="123"/>
  <c r="BQ551" i="123"/>
  <c r="BR551" i="123"/>
  <c r="BS551" i="123"/>
  <c r="BT551" i="123"/>
  <c r="BU551" i="123"/>
  <c r="BV551" i="123"/>
  <c r="BW551" i="123"/>
  <c r="BX551" i="123"/>
  <c r="BP555" i="123"/>
  <c r="BQ555" i="123"/>
  <c r="BR555" i="123"/>
  <c r="BS555" i="123"/>
  <c r="BT555" i="123"/>
  <c r="BU555" i="123"/>
  <c r="BV555" i="123"/>
  <c r="BW555" i="123"/>
  <c r="BX555" i="123"/>
  <c r="BP570" i="123"/>
  <c r="BQ570" i="123"/>
  <c r="BR570" i="123"/>
  <c r="BS570" i="123"/>
  <c r="BT570" i="123"/>
  <c r="BU570" i="123"/>
  <c r="BV570" i="123"/>
  <c r="BW570" i="123"/>
  <c r="BX570" i="123"/>
  <c r="BP585" i="123"/>
  <c r="BQ585" i="123"/>
  <c r="BR585" i="123"/>
  <c r="BS585" i="123"/>
  <c r="BT585" i="123"/>
  <c r="BU585" i="123"/>
  <c r="BV585" i="123"/>
  <c r="BW585" i="123"/>
  <c r="BX585" i="123"/>
  <c r="BP605" i="123"/>
  <c r="BQ605" i="123"/>
  <c r="BR605" i="123"/>
  <c r="BS605" i="123"/>
  <c r="BT605" i="123"/>
  <c r="BU605" i="123"/>
  <c r="BV605" i="123"/>
  <c r="BW605" i="123"/>
  <c r="BX605" i="123"/>
  <c r="BP609" i="123"/>
  <c r="BQ609" i="123"/>
  <c r="BR609" i="123"/>
  <c r="BS609" i="123"/>
  <c r="BT609" i="123"/>
  <c r="BU609" i="123"/>
  <c r="BV609" i="123"/>
  <c r="BW609" i="123"/>
  <c r="BX609" i="123"/>
  <c r="BP623" i="123"/>
  <c r="BQ623" i="123"/>
  <c r="BR623" i="123"/>
  <c r="BS623" i="123"/>
  <c r="BT623" i="123"/>
  <c r="BU623" i="123"/>
  <c r="BV623" i="123"/>
  <c r="BW623" i="123"/>
  <c r="BX623" i="123"/>
  <c r="BP631" i="123"/>
  <c r="BQ631" i="123"/>
  <c r="BR631" i="123"/>
  <c r="BS631" i="123"/>
  <c r="BT631" i="123"/>
  <c r="BU631" i="123"/>
  <c r="BV631" i="123"/>
  <c r="BW631" i="123"/>
  <c r="BX631" i="123"/>
  <c r="BP637" i="123"/>
  <c r="BQ637" i="123"/>
  <c r="BR637" i="123"/>
  <c r="BS637" i="123"/>
  <c r="BT637" i="123"/>
  <c r="BU637" i="123"/>
  <c r="BV637" i="123"/>
  <c r="BW637" i="123"/>
  <c r="BX637" i="123"/>
  <c r="BP645" i="123"/>
  <c r="BQ645" i="123"/>
  <c r="BR645" i="123"/>
  <c r="BS645" i="123"/>
  <c r="BT645" i="123"/>
  <c r="BU645" i="123"/>
  <c r="BV645" i="123"/>
  <c r="BW645" i="123"/>
  <c r="BX645" i="123"/>
  <c r="BP657" i="123"/>
  <c r="BQ657" i="123"/>
  <c r="BR657" i="123"/>
  <c r="BS657" i="123"/>
  <c r="BT657" i="123"/>
  <c r="BU657" i="123"/>
  <c r="BV657" i="123"/>
  <c r="BW657" i="123"/>
  <c r="BX657" i="123"/>
  <c r="BP667" i="123"/>
  <c r="BQ667" i="123"/>
  <c r="BR667" i="123"/>
  <c r="BS667" i="123"/>
  <c r="BS679" i="123" s="1"/>
  <c r="BT667" i="123"/>
  <c r="BU667" i="123"/>
  <c r="BV667" i="123"/>
  <c r="BW667" i="123"/>
  <c r="BX667" i="123"/>
  <c r="BP677" i="123"/>
  <c r="BQ677" i="123"/>
  <c r="BQ679" i="123" s="1"/>
  <c r="BR677" i="123"/>
  <c r="BR679" i="123" s="1"/>
  <c r="BS677" i="123"/>
  <c r="BT677" i="123"/>
  <c r="BU677" i="123"/>
  <c r="BU679" i="123" s="1"/>
  <c r="BV677" i="123"/>
  <c r="BW677" i="123"/>
  <c r="BX677" i="123"/>
  <c r="BP686" i="123"/>
  <c r="BQ686" i="123"/>
  <c r="BR686" i="123"/>
  <c r="BS686" i="123"/>
  <c r="BT686" i="123"/>
  <c r="BU686" i="123"/>
  <c r="BV686" i="123"/>
  <c r="BW686" i="123"/>
  <c r="BX686" i="123"/>
  <c r="BP697" i="123"/>
  <c r="BQ697" i="123"/>
  <c r="BR697" i="123"/>
  <c r="BS697" i="123"/>
  <c r="BT697" i="123"/>
  <c r="BU697" i="123"/>
  <c r="BV697" i="123"/>
  <c r="BW697" i="123"/>
  <c r="BX697" i="123"/>
  <c r="BP714" i="123"/>
  <c r="BQ714" i="123"/>
  <c r="BR714" i="123"/>
  <c r="BR873" i="123" s="1"/>
  <c r="BS714" i="123"/>
  <c r="BS873" i="123" s="1"/>
  <c r="BT714" i="123"/>
  <c r="BU714" i="123"/>
  <c r="BV714" i="123"/>
  <c r="BW714" i="123"/>
  <c r="BX714" i="123"/>
  <c r="BP736" i="123"/>
  <c r="BQ736" i="123"/>
  <c r="BR736" i="123"/>
  <c r="BS736" i="123"/>
  <c r="BT736" i="123"/>
  <c r="BU736" i="123"/>
  <c r="BV736" i="123"/>
  <c r="BW736" i="123"/>
  <c r="BX736" i="123"/>
  <c r="BP725" i="123"/>
  <c r="BQ725" i="123"/>
  <c r="BR725" i="123"/>
  <c r="BS725" i="123"/>
  <c r="BT725" i="123"/>
  <c r="BU725" i="123"/>
  <c r="BV725" i="123"/>
  <c r="BW725" i="123"/>
  <c r="BX725" i="123"/>
  <c r="BP729" i="123"/>
  <c r="BQ729" i="123"/>
  <c r="BR729" i="123"/>
  <c r="BS729" i="123"/>
  <c r="BT729" i="123"/>
  <c r="BU729" i="123"/>
  <c r="BV729" i="123"/>
  <c r="BW729" i="123"/>
  <c r="BX729" i="123"/>
  <c r="BP744" i="123"/>
  <c r="BQ744" i="123"/>
  <c r="BR744" i="123"/>
  <c r="BS744" i="123"/>
  <c r="BT744" i="123"/>
  <c r="BU744" i="123"/>
  <c r="BV744" i="123"/>
  <c r="BW744" i="123"/>
  <c r="BX744" i="123"/>
  <c r="BP759" i="123"/>
  <c r="BQ759" i="123"/>
  <c r="BR759" i="123"/>
  <c r="BS759" i="123"/>
  <c r="BT759" i="123"/>
  <c r="BU759" i="123"/>
  <c r="BV759" i="123"/>
  <c r="BW759" i="123"/>
  <c r="BX759" i="123"/>
  <c r="BP779" i="123"/>
  <c r="BQ779" i="123"/>
  <c r="BR779" i="123"/>
  <c r="BS779" i="123"/>
  <c r="BT779" i="123"/>
  <c r="BU779" i="123"/>
  <c r="BV779" i="123"/>
  <c r="BW779" i="123"/>
  <c r="BX779" i="123"/>
  <c r="BP783" i="123"/>
  <c r="BQ783" i="123"/>
  <c r="BR783" i="123"/>
  <c r="BS783" i="123"/>
  <c r="BT783" i="123"/>
  <c r="BU783" i="123"/>
  <c r="BV783" i="123"/>
  <c r="BW783" i="123"/>
  <c r="BX783" i="123"/>
  <c r="BP797" i="123"/>
  <c r="BQ797" i="123"/>
  <c r="BR797" i="123"/>
  <c r="BS797" i="123"/>
  <c r="BT797" i="123"/>
  <c r="BU797" i="123"/>
  <c r="BV797" i="123"/>
  <c r="BW797" i="123"/>
  <c r="BX797" i="123"/>
  <c r="BP805" i="123"/>
  <c r="BQ805" i="123"/>
  <c r="BR805" i="123"/>
  <c r="BS805" i="123"/>
  <c r="BT805" i="123"/>
  <c r="BU805" i="123"/>
  <c r="BV805" i="123"/>
  <c r="BW805" i="123"/>
  <c r="BX805" i="123"/>
  <c r="BP811" i="123"/>
  <c r="BQ811" i="123"/>
  <c r="BR811" i="123"/>
  <c r="BS811" i="123"/>
  <c r="BT811" i="123"/>
  <c r="BU811" i="123"/>
  <c r="BV811" i="123"/>
  <c r="BW811" i="123"/>
  <c r="BX811" i="123"/>
  <c r="BP819" i="123"/>
  <c r="BQ819" i="123"/>
  <c r="BR819" i="123"/>
  <c r="BS819" i="123"/>
  <c r="BT819" i="123"/>
  <c r="BU819" i="123"/>
  <c r="BV819" i="123"/>
  <c r="BW819" i="123"/>
  <c r="BX819" i="123"/>
  <c r="BP831" i="123"/>
  <c r="BQ831" i="123"/>
  <c r="BR831" i="123"/>
  <c r="BS831" i="123"/>
  <c r="BT831" i="123"/>
  <c r="BU831" i="123"/>
  <c r="BV831" i="123"/>
  <c r="BW831" i="123"/>
  <c r="BX831" i="123"/>
  <c r="BP841" i="123"/>
  <c r="BQ841" i="123"/>
  <c r="BR841" i="123"/>
  <c r="BS841" i="123"/>
  <c r="BT841" i="123"/>
  <c r="BU841" i="123"/>
  <c r="BV841" i="123"/>
  <c r="BV853" i="123" s="1"/>
  <c r="BW841" i="123"/>
  <c r="BX841" i="123"/>
  <c r="BP851" i="123"/>
  <c r="BP853" i="123" s="1"/>
  <c r="BQ851" i="123"/>
  <c r="BR851" i="123"/>
  <c r="BS851" i="123"/>
  <c r="BT851" i="123"/>
  <c r="BT853" i="123" s="1"/>
  <c r="BT873" i="123" s="1"/>
  <c r="BU851" i="123"/>
  <c r="BU853" i="123" s="1"/>
  <c r="BV851" i="123"/>
  <c r="BW851" i="123"/>
  <c r="BX851" i="123"/>
  <c r="BX853" i="123" s="1"/>
  <c r="BP860" i="123"/>
  <c r="BQ860" i="123"/>
  <c r="BR860" i="123"/>
  <c r="BS860" i="123"/>
  <c r="BT860" i="123"/>
  <c r="BU860" i="123"/>
  <c r="BV860" i="123"/>
  <c r="BW860" i="123"/>
  <c r="BX860" i="123"/>
  <c r="BP871" i="123"/>
  <c r="BQ871" i="123"/>
  <c r="BR871" i="123"/>
  <c r="BS871" i="123"/>
  <c r="BT871" i="123"/>
  <c r="BU871" i="123"/>
  <c r="BV871" i="123"/>
  <c r="BW871" i="123"/>
  <c r="BX871" i="123"/>
  <c r="BP888" i="123"/>
  <c r="BQ888" i="123"/>
  <c r="BR888" i="123"/>
  <c r="BS888" i="123"/>
  <c r="BT888" i="123"/>
  <c r="BU888" i="123"/>
  <c r="BU1047" i="123" s="1"/>
  <c r="BV888" i="123"/>
  <c r="BW888" i="123"/>
  <c r="BX888" i="123"/>
  <c r="BP910" i="123"/>
  <c r="BQ910" i="123"/>
  <c r="BR910" i="123"/>
  <c r="BS910" i="123"/>
  <c r="BT910" i="123"/>
  <c r="BT1047" i="123" s="1"/>
  <c r="BU910" i="123"/>
  <c r="BV910" i="123"/>
  <c r="BW910" i="123"/>
  <c r="BX910" i="123"/>
  <c r="BP899" i="123"/>
  <c r="BQ899" i="123"/>
  <c r="BR899" i="123"/>
  <c r="BS899" i="123"/>
  <c r="BT899" i="123"/>
  <c r="BU899" i="123"/>
  <c r="BV899" i="123"/>
  <c r="BW899" i="123"/>
  <c r="BX899" i="123"/>
  <c r="BP903" i="123"/>
  <c r="BQ903" i="123"/>
  <c r="BR903" i="123"/>
  <c r="BR1047" i="123" s="1"/>
  <c r="BS903" i="123"/>
  <c r="BT903" i="123"/>
  <c r="BU903" i="123"/>
  <c r="BV903" i="123"/>
  <c r="BV1047" i="123" s="1"/>
  <c r="BW903" i="123"/>
  <c r="BX903" i="123"/>
  <c r="BP918" i="123"/>
  <c r="BQ918" i="123"/>
  <c r="BR918" i="123"/>
  <c r="BS918" i="123"/>
  <c r="BT918" i="123"/>
  <c r="BU918" i="123"/>
  <c r="BV918" i="123"/>
  <c r="BW918" i="123"/>
  <c r="BX918" i="123"/>
  <c r="BP933" i="123"/>
  <c r="BQ933" i="123"/>
  <c r="BR933" i="123"/>
  <c r="BS933" i="123"/>
  <c r="BT933" i="123"/>
  <c r="BU933" i="123"/>
  <c r="BV933" i="123"/>
  <c r="BW933" i="123"/>
  <c r="BX933" i="123"/>
  <c r="BP953" i="123"/>
  <c r="BQ953" i="123"/>
  <c r="BR953" i="123"/>
  <c r="BS953" i="123"/>
  <c r="BT953" i="123"/>
  <c r="BU953" i="123"/>
  <c r="BV953" i="123"/>
  <c r="BW953" i="123"/>
  <c r="BX953" i="123"/>
  <c r="BP957" i="123"/>
  <c r="BQ957" i="123"/>
  <c r="BR957" i="123"/>
  <c r="BS957" i="123"/>
  <c r="BT957" i="123"/>
  <c r="BU957" i="123"/>
  <c r="BV957" i="123"/>
  <c r="BW957" i="123"/>
  <c r="BX957" i="123"/>
  <c r="BP971" i="123"/>
  <c r="BQ971" i="123"/>
  <c r="BR971" i="123"/>
  <c r="BS971" i="123"/>
  <c r="BT971" i="123"/>
  <c r="BU971" i="123"/>
  <c r="BV971" i="123"/>
  <c r="BW971" i="123"/>
  <c r="BX971" i="123"/>
  <c r="BP979" i="123"/>
  <c r="BQ979" i="123"/>
  <c r="BR979" i="123"/>
  <c r="BS979" i="123"/>
  <c r="BT979" i="123"/>
  <c r="BU979" i="123"/>
  <c r="BV979" i="123"/>
  <c r="BW979" i="123"/>
  <c r="BX979" i="123"/>
  <c r="BP985" i="123"/>
  <c r="BQ985" i="123"/>
  <c r="BR985" i="123"/>
  <c r="BS985" i="123"/>
  <c r="BT985" i="123"/>
  <c r="BU985" i="123"/>
  <c r="BV985" i="123"/>
  <c r="BW985" i="123"/>
  <c r="BX985" i="123"/>
  <c r="BP993" i="123"/>
  <c r="BQ993" i="123"/>
  <c r="BR993" i="123"/>
  <c r="BS993" i="123"/>
  <c r="BT993" i="123"/>
  <c r="BU993" i="123"/>
  <c r="BV993" i="123"/>
  <c r="BW993" i="123"/>
  <c r="BX993" i="123"/>
  <c r="BP1005" i="123"/>
  <c r="BQ1005" i="123"/>
  <c r="BR1005" i="123"/>
  <c r="BS1005" i="123"/>
  <c r="BT1005" i="123"/>
  <c r="BU1005" i="123"/>
  <c r="BV1005" i="123"/>
  <c r="BW1005" i="123"/>
  <c r="BX1005" i="123"/>
  <c r="BP1015" i="123"/>
  <c r="BQ1015" i="123"/>
  <c r="BQ1027" i="123" s="1"/>
  <c r="BR1015" i="123"/>
  <c r="BS1015" i="123"/>
  <c r="BT1015" i="123"/>
  <c r="BU1015" i="123"/>
  <c r="BU1027" i="123" s="1"/>
  <c r="BV1015" i="123"/>
  <c r="BW1015" i="123"/>
  <c r="BX1015" i="123"/>
  <c r="BP1025" i="123"/>
  <c r="BP1027" i="123" s="1"/>
  <c r="BQ1025" i="123"/>
  <c r="BR1025" i="123"/>
  <c r="BS1025" i="123"/>
  <c r="BS1027" i="123" s="1"/>
  <c r="BT1025" i="123"/>
  <c r="BU1025" i="123"/>
  <c r="BV1025" i="123"/>
  <c r="BW1025" i="123"/>
  <c r="BW1027" i="123" s="1"/>
  <c r="BX1025" i="123"/>
  <c r="BX1027" i="123" s="1"/>
  <c r="BP1034" i="123"/>
  <c r="BQ1034" i="123"/>
  <c r="BR1034" i="123"/>
  <c r="BS1034" i="123"/>
  <c r="BT1034" i="123"/>
  <c r="BU1034" i="123"/>
  <c r="BV1034" i="123"/>
  <c r="BW1034" i="123"/>
  <c r="BX1034" i="123"/>
  <c r="BP1045" i="123"/>
  <c r="BQ1045" i="123"/>
  <c r="BR1045" i="123"/>
  <c r="BS1045" i="123"/>
  <c r="BT1045" i="123"/>
  <c r="BU1045" i="123"/>
  <c r="BV1045" i="123"/>
  <c r="BW1045" i="123"/>
  <c r="BX1045" i="123"/>
  <c r="BP1062" i="123"/>
  <c r="BP1221" i="123" s="1"/>
  <c r="BQ1062" i="123"/>
  <c r="BR1062" i="123"/>
  <c r="BS1062" i="123"/>
  <c r="BT1062" i="123"/>
  <c r="BT1221" i="123" s="1"/>
  <c r="BU1062" i="123"/>
  <c r="BU1221" i="123" s="1"/>
  <c r="BV1062" i="123"/>
  <c r="BW1062" i="123"/>
  <c r="BX1062" i="123"/>
  <c r="BX1221" i="123" s="1"/>
  <c r="BP1084" i="123"/>
  <c r="BQ1084" i="123"/>
  <c r="BR1084" i="123"/>
  <c r="BS1084" i="123"/>
  <c r="BT1084" i="123"/>
  <c r="BU1084" i="123"/>
  <c r="BV1084" i="123"/>
  <c r="BW1084" i="123"/>
  <c r="BX1084" i="123"/>
  <c r="BP1073" i="123"/>
  <c r="BQ1073" i="123"/>
  <c r="BR1073" i="123"/>
  <c r="BS1073" i="123"/>
  <c r="BT1073" i="123"/>
  <c r="BU1073" i="123"/>
  <c r="BV1073" i="123"/>
  <c r="BW1073" i="123"/>
  <c r="BX1073" i="123"/>
  <c r="BP1077" i="123"/>
  <c r="BQ1077" i="123"/>
  <c r="BR1077" i="123"/>
  <c r="BS1077" i="123"/>
  <c r="BT1077" i="123"/>
  <c r="BU1077" i="123"/>
  <c r="BV1077" i="123"/>
  <c r="BW1077" i="123"/>
  <c r="BX1077" i="123"/>
  <c r="BP1092" i="123"/>
  <c r="BQ1092" i="123"/>
  <c r="BR1092" i="123"/>
  <c r="BS1092" i="123"/>
  <c r="BT1092" i="123"/>
  <c r="BU1092" i="123"/>
  <c r="BV1092" i="123"/>
  <c r="BW1092" i="123"/>
  <c r="BX1092" i="123"/>
  <c r="BP1107" i="123"/>
  <c r="BQ1107" i="123"/>
  <c r="BR1107" i="123"/>
  <c r="BS1107" i="123"/>
  <c r="BT1107" i="123"/>
  <c r="BU1107" i="123"/>
  <c r="BV1107" i="123"/>
  <c r="BW1107" i="123"/>
  <c r="BX1107" i="123"/>
  <c r="BP1127" i="123"/>
  <c r="BQ1127" i="123"/>
  <c r="BR1127" i="123"/>
  <c r="BS1127" i="123"/>
  <c r="BT1127" i="123"/>
  <c r="BU1127" i="123"/>
  <c r="BV1127" i="123"/>
  <c r="BW1127" i="123"/>
  <c r="BX1127" i="123"/>
  <c r="BP1131" i="123"/>
  <c r="BQ1131" i="123"/>
  <c r="BR1131" i="123"/>
  <c r="BS1131" i="123"/>
  <c r="BT1131" i="123"/>
  <c r="BU1131" i="123"/>
  <c r="BV1131" i="123"/>
  <c r="BW1131" i="123"/>
  <c r="BX1131" i="123"/>
  <c r="BP1145" i="123"/>
  <c r="BQ1145" i="123"/>
  <c r="BR1145" i="123"/>
  <c r="BS1145" i="123"/>
  <c r="BT1145" i="123"/>
  <c r="BU1145" i="123"/>
  <c r="BV1145" i="123"/>
  <c r="BW1145" i="123"/>
  <c r="BX1145" i="123"/>
  <c r="BP1153" i="123"/>
  <c r="BQ1153" i="123"/>
  <c r="BR1153" i="123"/>
  <c r="BS1153" i="123"/>
  <c r="BT1153" i="123"/>
  <c r="BU1153" i="123"/>
  <c r="BV1153" i="123"/>
  <c r="BW1153" i="123"/>
  <c r="BX1153" i="123"/>
  <c r="BP1159" i="123"/>
  <c r="BQ1159" i="123"/>
  <c r="BR1159" i="123"/>
  <c r="BS1159" i="123"/>
  <c r="BT1159" i="123"/>
  <c r="BU1159" i="123"/>
  <c r="BV1159" i="123"/>
  <c r="BW1159" i="123"/>
  <c r="BX1159" i="123"/>
  <c r="BP1167" i="123"/>
  <c r="BQ1167" i="123"/>
  <c r="BR1167" i="123"/>
  <c r="BS1167" i="123"/>
  <c r="BT1167" i="123"/>
  <c r="BU1167" i="123"/>
  <c r="BV1167" i="123"/>
  <c r="BW1167" i="123"/>
  <c r="BX1167" i="123"/>
  <c r="BP1179" i="123"/>
  <c r="BQ1179" i="123"/>
  <c r="BR1179" i="123"/>
  <c r="BS1179" i="123"/>
  <c r="BT1179" i="123"/>
  <c r="BU1179" i="123"/>
  <c r="BV1179" i="123"/>
  <c r="BW1179" i="123"/>
  <c r="BX1179" i="123"/>
  <c r="BP1189" i="123"/>
  <c r="BQ1189" i="123"/>
  <c r="BR1189" i="123"/>
  <c r="BS1189" i="123"/>
  <c r="BT1189" i="123"/>
  <c r="BU1189" i="123"/>
  <c r="BV1189" i="123"/>
  <c r="BW1189" i="123"/>
  <c r="BX1189" i="123"/>
  <c r="BX1201" i="123" s="1"/>
  <c r="BP1199" i="123"/>
  <c r="BQ1199" i="123"/>
  <c r="BR1199" i="123"/>
  <c r="BS1199" i="123"/>
  <c r="BS1201" i="123" s="1"/>
  <c r="BT1199" i="123"/>
  <c r="BU1199" i="123"/>
  <c r="BU1201" i="123" s="1"/>
  <c r="BV1199" i="123"/>
  <c r="BV1201" i="123" s="1"/>
  <c r="BW1199" i="123"/>
  <c r="BW1201" i="123" s="1"/>
  <c r="BX1199" i="123"/>
  <c r="BP1208" i="123"/>
  <c r="BQ1208" i="123"/>
  <c r="BR1208" i="123"/>
  <c r="BS1208" i="123"/>
  <c r="BT1208" i="123"/>
  <c r="BU1208" i="123"/>
  <c r="BV1208" i="123"/>
  <c r="BW1208" i="123"/>
  <c r="BX1208" i="123"/>
  <c r="BP1219" i="123"/>
  <c r="BQ1219" i="123"/>
  <c r="BR1219" i="123"/>
  <c r="BS1219" i="123"/>
  <c r="BT1219" i="123"/>
  <c r="BU1219" i="123"/>
  <c r="BV1219" i="123"/>
  <c r="BW1219" i="123"/>
  <c r="BX1219" i="123"/>
  <c r="BP1236" i="123"/>
  <c r="BQ1236" i="123"/>
  <c r="BR1236" i="123"/>
  <c r="BS1236" i="123"/>
  <c r="BT1236" i="123"/>
  <c r="BU1236" i="123"/>
  <c r="BV1236" i="123"/>
  <c r="BW1236" i="123"/>
  <c r="BX1236" i="123"/>
  <c r="BP1258" i="123"/>
  <c r="BQ1258" i="123"/>
  <c r="BR1258" i="123"/>
  <c r="BS1258" i="123"/>
  <c r="BT1258" i="123"/>
  <c r="BU1258" i="123"/>
  <c r="BV1258" i="123"/>
  <c r="BW1258" i="123"/>
  <c r="BX1258" i="123"/>
  <c r="BP1247" i="123"/>
  <c r="BQ1247" i="123"/>
  <c r="BQ1395" i="123" s="1"/>
  <c r="BR1247" i="123"/>
  <c r="BS1247" i="123"/>
  <c r="BT1247" i="123"/>
  <c r="BU1247" i="123"/>
  <c r="BU1395" i="123" s="1"/>
  <c r="BV1247" i="123"/>
  <c r="BV1395" i="123" s="1"/>
  <c r="BW1247" i="123"/>
  <c r="BX1247" i="123"/>
  <c r="BP1266" i="123"/>
  <c r="BQ1266" i="123"/>
  <c r="BR1266" i="123"/>
  <c r="BS1266" i="123"/>
  <c r="BT1266" i="123"/>
  <c r="BU1266" i="123"/>
  <c r="BV1266" i="123"/>
  <c r="BW1266" i="123"/>
  <c r="BX1266" i="123"/>
  <c r="BP1281" i="123"/>
  <c r="BQ1281" i="123"/>
  <c r="BR1281" i="123"/>
  <c r="BS1281" i="123"/>
  <c r="BT1281" i="123"/>
  <c r="BU1281" i="123"/>
  <c r="BV1281" i="123"/>
  <c r="BW1281" i="123"/>
  <c r="BX1281" i="123"/>
  <c r="BP1301" i="123"/>
  <c r="BQ1301" i="123"/>
  <c r="BR1301" i="123"/>
  <c r="BS1301" i="123"/>
  <c r="BT1301" i="123"/>
  <c r="BU1301" i="123"/>
  <c r="BV1301" i="123"/>
  <c r="BW1301" i="123"/>
  <c r="BX1301" i="123"/>
  <c r="BP1305" i="123"/>
  <c r="BQ1305" i="123"/>
  <c r="BR1305" i="123"/>
  <c r="BS1305" i="123"/>
  <c r="BT1305" i="123"/>
  <c r="BU1305" i="123"/>
  <c r="BV1305" i="123"/>
  <c r="BW1305" i="123"/>
  <c r="BX1305" i="123"/>
  <c r="BP1319" i="123"/>
  <c r="BQ1319" i="123"/>
  <c r="BR1319" i="123"/>
  <c r="BS1319" i="123"/>
  <c r="BT1319" i="123"/>
  <c r="BU1319" i="123"/>
  <c r="BV1319" i="123"/>
  <c r="BW1319" i="123"/>
  <c r="BX1319" i="123"/>
  <c r="BP1327" i="123"/>
  <c r="BQ1327" i="123"/>
  <c r="BR1327" i="123"/>
  <c r="BS1327" i="123"/>
  <c r="BT1327" i="123"/>
  <c r="BU1327" i="123"/>
  <c r="BV1327" i="123"/>
  <c r="BW1327" i="123"/>
  <c r="BX1327" i="123"/>
  <c r="BP1333" i="123"/>
  <c r="BQ1333" i="123"/>
  <c r="BR1333" i="123"/>
  <c r="BS1333" i="123"/>
  <c r="BT1333" i="123"/>
  <c r="BU1333" i="123"/>
  <c r="BV1333" i="123"/>
  <c r="BW1333" i="123"/>
  <c r="BX1333" i="123"/>
  <c r="BP1341" i="123"/>
  <c r="BQ1341" i="123"/>
  <c r="BR1341" i="123"/>
  <c r="BS1341" i="123"/>
  <c r="BT1341" i="123"/>
  <c r="BU1341" i="123"/>
  <c r="BV1341" i="123"/>
  <c r="BW1341" i="123"/>
  <c r="BX1341" i="123"/>
  <c r="BP1353" i="123"/>
  <c r="BQ1353" i="123"/>
  <c r="BR1353" i="123"/>
  <c r="BS1353" i="123"/>
  <c r="BT1353" i="123"/>
  <c r="BU1353" i="123"/>
  <c r="BV1353" i="123"/>
  <c r="BW1353" i="123"/>
  <c r="BX1353" i="123"/>
  <c r="BP1363" i="123"/>
  <c r="BP1375" i="123" s="1"/>
  <c r="BQ1363" i="123"/>
  <c r="BR1363" i="123"/>
  <c r="BS1363" i="123"/>
  <c r="BT1363" i="123"/>
  <c r="BT1375" i="123" s="1"/>
  <c r="BU1363" i="123"/>
  <c r="BV1363" i="123"/>
  <c r="BV1375" i="123" s="1"/>
  <c r="BW1363" i="123"/>
  <c r="BW1375" i="123" s="1"/>
  <c r="BX1363" i="123"/>
  <c r="BP1373" i="123"/>
  <c r="BQ1373" i="123"/>
  <c r="BR1373" i="123"/>
  <c r="BS1373" i="123"/>
  <c r="BT1373" i="123"/>
  <c r="BU1373" i="123"/>
  <c r="BV1373" i="123"/>
  <c r="BW1373" i="123"/>
  <c r="BX1373" i="123"/>
  <c r="BP1382" i="123"/>
  <c r="BQ1382" i="123"/>
  <c r="BR1382" i="123"/>
  <c r="BS1382" i="123"/>
  <c r="BT1382" i="123"/>
  <c r="BU1382" i="123"/>
  <c r="BV1382" i="123"/>
  <c r="BW1382" i="123"/>
  <c r="BX1382" i="123"/>
  <c r="BP1393" i="123"/>
  <c r="BQ1393" i="123"/>
  <c r="BR1393" i="123"/>
  <c r="BS1393" i="123"/>
  <c r="BT1393" i="123"/>
  <c r="BU1393" i="123"/>
  <c r="BV1393" i="123"/>
  <c r="BW1393" i="123"/>
  <c r="BX1393" i="123"/>
  <c r="BV6" i="11"/>
  <c r="BV12" i="11" s="1"/>
  <c r="BX28" i="34" s="1"/>
  <c r="BU6" i="11"/>
  <c r="BU37" i="11" s="1"/>
  <c r="BW60" i="34" s="1"/>
  <c r="BU36" i="11"/>
  <c r="BW59" i="34" s="1"/>
  <c r="BT6" i="11"/>
  <c r="BT9" i="11" s="1"/>
  <c r="BT10" i="11" s="1"/>
  <c r="BS6" i="11"/>
  <c r="BS31" i="11" s="1"/>
  <c r="BU54" i="34" s="1"/>
  <c r="BS36" i="11"/>
  <c r="BU59" i="34" s="1"/>
  <c r="BR6" i="11"/>
  <c r="BR12" i="11" s="1"/>
  <c r="BT28" i="34" s="1"/>
  <c r="BQ6" i="11"/>
  <c r="BQ37" i="11" s="1"/>
  <c r="BS60" i="34" s="1"/>
  <c r="BQ36" i="11"/>
  <c r="BS59" i="34" s="1"/>
  <c r="BP6" i="11"/>
  <c r="BP12" i="11" s="1"/>
  <c r="BR28" i="34" s="1"/>
  <c r="BO6" i="11"/>
  <c r="BO31" i="11" s="1"/>
  <c r="BQ54" i="34" s="1"/>
  <c r="BO36" i="11"/>
  <c r="BN6" i="11"/>
  <c r="BN12" i="11" s="1"/>
  <c r="BP28" i="34" s="1"/>
  <c r="BM6" i="11"/>
  <c r="BM37" i="11" s="1"/>
  <c r="BO60" i="34" s="1"/>
  <c r="BM36" i="11"/>
  <c r="BO59" i="34" s="1"/>
  <c r="BL6" i="11"/>
  <c r="BL9" i="11" s="1"/>
  <c r="BN27" i="34" s="1"/>
  <c r="BT4" i="61"/>
  <c r="BU4" i="61"/>
  <c r="BV4" i="61"/>
  <c r="BT5" i="61"/>
  <c r="BU5" i="61"/>
  <c r="BV5" i="61"/>
  <c r="BK4" i="11"/>
  <c r="BK5" i="11"/>
  <c r="BK6" i="11"/>
  <c r="BK31" i="11" s="1"/>
  <c r="BM54" i="34" s="1"/>
  <c r="BK36" i="11"/>
  <c r="BM59" i="34" s="1"/>
  <c r="BQ17" i="34"/>
  <c r="BR17" i="34"/>
  <c r="BS17" i="34"/>
  <c r="BU17" i="34"/>
  <c r="BV17" i="34"/>
  <c r="BW17" i="34"/>
  <c r="BM17" i="34"/>
  <c r="BN17" i="34"/>
  <c r="BP17" i="34"/>
  <c r="BT17" i="34"/>
  <c r="BX17" i="34"/>
  <c r="BM71" i="34"/>
  <c r="BM11" i="70"/>
  <c r="BN71" i="34"/>
  <c r="BN11" i="70"/>
  <c r="BO71" i="34"/>
  <c r="BO11" i="70"/>
  <c r="BP71" i="34"/>
  <c r="BP11" i="70"/>
  <c r="BQ71" i="34"/>
  <c r="BQ11" i="70"/>
  <c r="BR71" i="34"/>
  <c r="BR11" i="70"/>
  <c r="BS71" i="34"/>
  <c r="BS11" i="70"/>
  <c r="BT71" i="34"/>
  <c r="BT11" i="70"/>
  <c r="BU71" i="34"/>
  <c r="BU11" i="70"/>
  <c r="BV71" i="34"/>
  <c r="BV11" i="70"/>
  <c r="BW71" i="34"/>
  <c r="BX71" i="34"/>
  <c r="BM72" i="34"/>
  <c r="BM10" i="70"/>
  <c r="BN72" i="34"/>
  <c r="BN10" i="70"/>
  <c r="BO72" i="34"/>
  <c r="BO10" i="70"/>
  <c r="BP72" i="34"/>
  <c r="BP10" i="70"/>
  <c r="BQ72" i="34"/>
  <c r="BQ10" i="70"/>
  <c r="BR72" i="34"/>
  <c r="BR10" i="70"/>
  <c r="BS72" i="34"/>
  <c r="BS10" i="70"/>
  <c r="BT72" i="34"/>
  <c r="BT10" i="70"/>
  <c r="BU72" i="34"/>
  <c r="BU10" i="70"/>
  <c r="BV72" i="34"/>
  <c r="BV10" i="70"/>
  <c r="BW72" i="34"/>
  <c r="BX72" i="34"/>
  <c r="BP76" i="34"/>
  <c r="BT76" i="34"/>
  <c r="BW76" i="34"/>
  <c r="BX76" i="34"/>
  <c r="BK4" i="61"/>
  <c r="BL4" i="61"/>
  <c r="BM4" i="61"/>
  <c r="BN4" i="61"/>
  <c r="BO4" i="61"/>
  <c r="BP4" i="61"/>
  <c r="BQ4" i="61"/>
  <c r="BR4" i="61"/>
  <c r="BS4" i="61"/>
  <c r="BK5" i="61"/>
  <c r="BL5" i="61"/>
  <c r="BM5" i="61"/>
  <c r="BN5" i="61"/>
  <c r="BO5" i="61"/>
  <c r="BP5" i="61"/>
  <c r="BQ5" i="61"/>
  <c r="BR5" i="61"/>
  <c r="BS5" i="61"/>
  <c r="BM7" i="70"/>
  <c r="BM50" i="70"/>
  <c r="BN50" i="70"/>
  <c r="BN51" i="70"/>
  <c r="BO50" i="70"/>
  <c r="BP50" i="70"/>
  <c r="BQ50" i="70"/>
  <c r="BR50" i="70"/>
  <c r="BR51" i="70"/>
  <c r="BS50" i="70"/>
  <c r="BM51" i="70"/>
  <c r="BO51" i="70"/>
  <c r="BO58" i="70"/>
  <c r="BO76" i="34"/>
  <c r="BP51" i="70"/>
  <c r="BQ51" i="70"/>
  <c r="BS51" i="70"/>
  <c r="BM55" i="70"/>
  <c r="BN55" i="70"/>
  <c r="BO55" i="70"/>
  <c r="BP55" i="70"/>
  <c r="BQ55" i="70"/>
  <c r="BR55" i="70"/>
  <c r="BS55" i="70"/>
  <c r="BM56" i="70"/>
  <c r="BM58" i="70"/>
  <c r="BN56" i="70"/>
  <c r="BO56" i="70"/>
  <c r="BP56" i="70"/>
  <c r="BQ56" i="70"/>
  <c r="BQ58" i="70"/>
  <c r="BQ76" i="34"/>
  <c r="BR56" i="70"/>
  <c r="BS56" i="70"/>
  <c r="BP58" i="70"/>
  <c r="BT50" i="70"/>
  <c r="BU50" i="70"/>
  <c r="BU51" i="70"/>
  <c r="BV50" i="70"/>
  <c r="BT51" i="70"/>
  <c r="BV51" i="70"/>
  <c r="BT55" i="70"/>
  <c r="BU55" i="70"/>
  <c r="BV55" i="70"/>
  <c r="BT56" i="70"/>
  <c r="BT58" i="70"/>
  <c r="BU56" i="70"/>
  <c r="BV56" i="70"/>
  <c r="BV58" i="70"/>
  <c r="BV76" i="34"/>
  <c r="BA50" i="70"/>
  <c r="BB50" i="70"/>
  <c r="BC50" i="70"/>
  <c r="BD50" i="70"/>
  <c r="BE50" i="70"/>
  <c r="BF50" i="70"/>
  <c r="BG50" i="70"/>
  <c r="BH50" i="70"/>
  <c r="BI50" i="70"/>
  <c r="BJ50" i="70"/>
  <c r="BK50" i="70"/>
  <c r="BL50" i="70"/>
  <c r="BA51" i="70"/>
  <c r="BB51" i="70"/>
  <c r="BC51" i="70"/>
  <c r="BD51" i="70"/>
  <c r="BE51" i="70"/>
  <c r="BF51" i="70"/>
  <c r="BG51" i="70"/>
  <c r="BH51" i="70"/>
  <c r="BI51" i="70"/>
  <c r="BJ51" i="70"/>
  <c r="BK51" i="70"/>
  <c r="BL51" i="70"/>
  <c r="BA55" i="70"/>
  <c r="BB55" i="70"/>
  <c r="BC55" i="70"/>
  <c r="BD55" i="70"/>
  <c r="BE55" i="70"/>
  <c r="BF55" i="70"/>
  <c r="BG55" i="70"/>
  <c r="BH55" i="70"/>
  <c r="BI55" i="70"/>
  <c r="BJ55" i="70"/>
  <c r="BK55" i="70"/>
  <c r="BL55" i="70"/>
  <c r="BA56" i="70"/>
  <c r="BB56" i="70"/>
  <c r="BC56" i="70"/>
  <c r="BD56" i="70"/>
  <c r="BE56" i="70"/>
  <c r="BF56" i="70"/>
  <c r="BG56" i="70"/>
  <c r="BH56" i="70"/>
  <c r="BI56" i="70"/>
  <c r="BJ56" i="70"/>
  <c r="BK56" i="70"/>
  <c r="BL56" i="70"/>
  <c r="BA58" i="70"/>
  <c r="BB58" i="70"/>
  <c r="BC58" i="70"/>
  <c r="BD58" i="70"/>
  <c r="BE58" i="70"/>
  <c r="BF58" i="70"/>
  <c r="BG58" i="70"/>
  <c r="BH58" i="70"/>
  <c r="BI58" i="70"/>
  <c r="BJ58" i="70"/>
  <c r="BK58" i="70"/>
  <c r="BL58" i="70"/>
  <c r="BN2" i="69"/>
  <c r="BO2" i="69"/>
  <c r="BP2" i="69"/>
  <c r="BQ2" i="69"/>
  <c r="BR2" i="69"/>
  <c r="BS2" i="69"/>
  <c r="BT2" i="69"/>
  <c r="BU2" i="69"/>
  <c r="BV2" i="69"/>
  <c r="BW2" i="69"/>
  <c r="BX2" i="69"/>
  <c r="BY2" i="69"/>
  <c r="BN3" i="69"/>
  <c r="BO3" i="69"/>
  <c r="BP3" i="69"/>
  <c r="BQ3" i="69"/>
  <c r="BR3" i="69"/>
  <c r="BS3" i="69"/>
  <c r="BT3" i="69"/>
  <c r="BU3" i="69"/>
  <c r="BV3" i="69"/>
  <c r="BW3" i="69"/>
  <c r="BX3" i="69"/>
  <c r="BY3" i="69"/>
  <c r="BY31" i="69"/>
  <c r="BN32" i="69"/>
  <c r="BN31" i="70"/>
  <c r="BO32" i="69"/>
  <c r="BP32" i="69"/>
  <c r="BQ32" i="69"/>
  <c r="BR32" i="69"/>
  <c r="BR31" i="70"/>
  <c r="BS32" i="69"/>
  <c r="BT32" i="69"/>
  <c r="BU32" i="69"/>
  <c r="BV32" i="69"/>
  <c r="BV31" i="70"/>
  <c r="BW32" i="69"/>
  <c r="BX32" i="69"/>
  <c r="BY32" i="69"/>
  <c r="BN54" i="69"/>
  <c r="BO54" i="69"/>
  <c r="BP54" i="69"/>
  <c r="BQ54" i="69"/>
  <c r="BR54" i="69"/>
  <c r="BS54" i="69"/>
  <c r="BT54" i="69"/>
  <c r="BU54" i="69"/>
  <c r="BV54" i="69"/>
  <c r="BW54" i="69"/>
  <c r="BX54" i="69"/>
  <c r="BY54" i="69"/>
  <c r="BN55" i="69"/>
  <c r="BO55" i="69"/>
  <c r="BP55" i="69"/>
  <c r="BQ55" i="69"/>
  <c r="BR55" i="69"/>
  <c r="BS55" i="69"/>
  <c r="BT55" i="69"/>
  <c r="BU55" i="69"/>
  <c r="BV55" i="69"/>
  <c r="BW55" i="69"/>
  <c r="BX55" i="69"/>
  <c r="BY55" i="69"/>
  <c r="BN62" i="69"/>
  <c r="BO63" i="69"/>
  <c r="BO68" i="69"/>
  <c r="BO62" i="69"/>
  <c r="BP62" i="69"/>
  <c r="BQ62" i="69"/>
  <c r="BR63" i="69"/>
  <c r="BR62" i="69"/>
  <c r="BS63" i="69"/>
  <c r="BS68" i="69"/>
  <c r="BS62" i="69"/>
  <c r="BT62" i="69"/>
  <c r="BU62" i="69"/>
  <c r="BV63" i="69"/>
  <c r="BV62" i="69"/>
  <c r="BW62" i="69"/>
  <c r="BX62" i="69"/>
  <c r="BY62" i="69"/>
  <c r="BP63" i="69"/>
  <c r="BT63" i="69"/>
  <c r="BW63" i="69"/>
  <c r="BW68" i="69"/>
  <c r="BX63" i="69"/>
  <c r="BL2" i="69"/>
  <c r="BM2" i="69"/>
  <c r="BL3" i="69"/>
  <c r="BM3" i="69"/>
  <c r="BL32" i="69"/>
  <c r="BM32" i="69"/>
  <c r="BM31" i="70"/>
  <c r="BL54" i="69"/>
  <c r="BM54" i="69"/>
  <c r="BL55" i="69"/>
  <c r="BM55" i="69"/>
  <c r="BL62" i="69"/>
  <c r="BM63" i="69"/>
  <c r="BM62" i="69"/>
  <c r="BN63" i="69"/>
  <c r="BC2" i="69"/>
  <c r="BD2" i="69"/>
  <c r="BE2" i="69"/>
  <c r="BF2" i="69"/>
  <c r="BG2" i="69"/>
  <c r="BH2" i="69"/>
  <c r="BI2" i="69"/>
  <c r="BJ2" i="69"/>
  <c r="BK2" i="69"/>
  <c r="BB3" i="69"/>
  <c r="BC3" i="69"/>
  <c r="BD3" i="69"/>
  <c r="BE3" i="69"/>
  <c r="BF3" i="69"/>
  <c r="BG3" i="69"/>
  <c r="BH3" i="69"/>
  <c r="BI3" i="69"/>
  <c r="BJ3" i="69"/>
  <c r="BK3" i="69"/>
  <c r="BB32" i="69"/>
  <c r="BC32" i="69"/>
  <c r="BD32" i="69"/>
  <c r="BE32" i="69"/>
  <c r="BE31" i="70"/>
  <c r="BF32" i="69"/>
  <c r="BG32" i="69"/>
  <c r="BH32" i="69"/>
  <c r="BI32" i="69"/>
  <c r="BI31" i="70"/>
  <c r="BJ32" i="69"/>
  <c r="BK32" i="69"/>
  <c r="BK31" i="70"/>
  <c r="BB54" i="69"/>
  <c r="BC54" i="69"/>
  <c r="BD54" i="69"/>
  <c r="BE54" i="69"/>
  <c r="BF54" i="69"/>
  <c r="BG54" i="69"/>
  <c r="BH54" i="69"/>
  <c r="BI54" i="69"/>
  <c r="BJ54" i="69"/>
  <c r="BK54" i="69"/>
  <c r="BB55" i="69"/>
  <c r="BC55" i="69"/>
  <c r="BD55" i="69"/>
  <c r="BE55" i="69"/>
  <c r="BF55" i="69"/>
  <c r="BG55" i="69"/>
  <c r="BH55" i="69"/>
  <c r="BI55" i="69"/>
  <c r="BJ55" i="69"/>
  <c r="BK55" i="69"/>
  <c r="BB62" i="69"/>
  <c r="BC62" i="69"/>
  <c r="BD63" i="69"/>
  <c r="BD62" i="69"/>
  <c r="BE62" i="69"/>
  <c r="BE68" i="69"/>
  <c r="BF62" i="69"/>
  <c r="BG62" i="69"/>
  <c r="BH63" i="69"/>
  <c r="BH62" i="69"/>
  <c r="BI63" i="69"/>
  <c r="BI62" i="69"/>
  <c r="BJ63" i="69"/>
  <c r="BJ62" i="69"/>
  <c r="BK62" i="69"/>
  <c r="BL63" i="69"/>
  <c r="BE63" i="69"/>
  <c r="BF63" i="69"/>
  <c r="BN2" i="34"/>
  <c r="BO2" i="34"/>
  <c r="BP2" i="34"/>
  <c r="BQ2" i="34"/>
  <c r="BR2" i="34"/>
  <c r="BS2" i="34"/>
  <c r="BT2" i="34"/>
  <c r="BU2" i="34"/>
  <c r="BV2" i="34"/>
  <c r="BW2" i="34"/>
  <c r="BX2" i="34"/>
  <c r="BN3" i="34"/>
  <c r="BO3" i="34"/>
  <c r="BP3" i="34"/>
  <c r="BQ3" i="34"/>
  <c r="BR3" i="34"/>
  <c r="BS3" i="34"/>
  <c r="BT3" i="34"/>
  <c r="BU3" i="34"/>
  <c r="BV3" i="34"/>
  <c r="BW3" i="34"/>
  <c r="BX3" i="34"/>
  <c r="BM31" i="11"/>
  <c r="BO54" i="34" s="1"/>
  <c r="BQ31" i="11"/>
  <c r="BS54" i="34" s="1"/>
  <c r="BU31" i="11"/>
  <c r="BW54" i="34" s="1"/>
  <c r="BN37" i="11"/>
  <c r="BP60" i="34" s="1"/>
  <c r="BR37" i="11"/>
  <c r="BT60" i="34" s="1"/>
  <c r="BV37" i="11"/>
  <c r="BX60" i="34" s="1"/>
  <c r="BK37" i="11"/>
  <c r="BM60" i="34" s="1"/>
  <c r="BO37" i="11"/>
  <c r="BQ60" i="34" s="1"/>
  <c r="BS37" i="11"/>
  <c r="BU60" i="34" s="1"/>
  <c r="BL37" i="11"/>
  <c r="BN60" i="34" s="1"/>
  <c r="BP37" i="11"/>
  <c r="BR60" i="34" s="1"/>
  <c r="BT37" i="11"/>
  <c r="BV60" i="34" s="1"/>
  <c r="BS58" i="70"/>
  <c r="BS76" i="34"/>
  <c r="BU58" i="70"/>
  <c r="BU76" i="34"/>
  <c r="BR58" i="70"/>
  <c r="BR76" i="34"/>
  <c r="BN58" i="70"/>
  <c r="BN76" i="34"/>
  <c r="BM76" i="34"/>
  <c r="BL12" i="11"/>
  <c r="BN28" i="34" s="1"/>
  <c r="BL8" i="11"/>
  <c r="BN26" i="34" s="1"/>
  <c r="BU8" i="11"/>
  <c r="BU10" i="11" s="1"/>
  <c r="BU12" i="11"/>
  <c r="BW28" i="34" s="1"/>
  <c r="BU9" i="11"/>
  <c r="BW27" i="34" s="1"/>
  <c r="BP13" i="11"/>
  <c r="BR29" i="34" s="1"/>
  <c r="BM8" i="11"/>
  <c r="BM10" i="11" s="1"/>
  <c r="BM12" i="11"/>
  <c r="BO28" i="34" s="1"/>
  <c r="BM13" i="11"/>
  <c r="BO29" i="34"/>
  <c r="BM9" i="11"/>
  <c r="BO27" i="34" s="1"/>
  <c r="BN13" i="11"/>
  <c r="BP29" i="34" s="1"/>
  <c r="BN8" i="11"/>
  <c r="BP26" i="34" s="1"/>
  <c r="BR13" i="11"/>
  <c r="BT29" i="34" s="1"/>
  <c r="BR8" i="11"/>
  <c r="BV13" i="11"/>
  <c r="BX29" i="34" s="1"/>
  <c r="BV8" i="11"/>
  <c r="BX26" i="34" s="1"/>
  <c r="BV27" i="34"/>
  <c r="BT12" i="11"/>
  <c r="BV28" i="34" s="1"/>
  <c r="BT8" i="11"/>
  <c r="BV26" i="34" s="1"/>
  <c r="BQ8" i="11"/>
  <c r="BS26" i="34" s="1"/>
  <c r="BQ12" i="11"/>
  <c r="BS28" i="34" s="1"/>
  <c r="BQ9" i="11"/>
  <c r="BS27" i="34" s="1"/>
  <c r="BK8" i="11"/>
  <c r="BK10" i="11" s="1"/>
  <c r="BK12" i="11"/>
  <c r="BM28" i="34"/>
  <c r="BK13" i="11"/>
  <c r="BM29" i="34" s="1"/>
  <c r="BK9" i="11"/>
  <c r="BM27" i="34"/>
  <c r="BO8" i="11"/>
  <c r="BO13" i="11"/>
  <c r="BQ29" i="34" s="1"/>
  <c r="BS8" i="11"/>
  <c r="BS12" i="11"/>
  <c r="BU28" i="34" s="1"/>
  <c r="BF3" i="126"/>
  <c r="BG16" i="69"/>
  <c r="BG31" i="69"/>
  <c r="BT16" i="69"/>
  <c r="BT31" i="69"/>
  <c r="BS30" i="70"/>
  <c r="BJ31" i="70"/>
  <c r="BF31" i="70"/>
  <c r="BI3" i="126"/>
  <c r="BJ16" i="69"/>
  <c r="BJ31" i="69"/>
  <c r="BE3" i="126"/>
  <c r="BF16" i="69"/>
  <c r="BF31" i="69"/>
  <c r="BA3" i="126"/>
  <c r="BB16" i="69"/>
  <c r="BB31" i="69"/>
  <c r="BS31" i="70"/>
  <c r="BO31" i="70"/>
  <c r="BW16" i="69"/>
  <c r="BW31" i="69"/>
  <c r="BS16" i="69"/>
  <c r="BS31" i="69"/>
  <c r="BO16" i="69"/>
  <c r="BO31" i="69"/>
  <c r="BN30" i="70"/>
  <c r="BB3" i="126"/>
  <c r="BC16" i="69"/>
  <c r="BC31" i="69"/>
  <c r="BX16" i="69"/>
  <c r="BH3" i="126"/>
  <c r="BI16" i="69"/>
  <c r="BI31" i="69"/>
  <c r="BD3" i="126"/>
  <c r="BE16" i="69"/>
  <c r="BE31" i="69"/>
  <c r="BD30" i="70"/>
  <c r="BU25" i="70"/>
  <c r="BV16" i="69"/>
  <c r="BV31" i="69"/>
  <c r="BR16" i="69"/>
  <c r="BR31" i="69"/>
  <c r="BN16" i="69"/>
  <c r="BN31" i="69"/>
  <c r="BJ3" i="126"/>
  <c r="BK16" i="69"/>
  <c r="BK31" i="69"/>
  <c r="BK3" i="126"/>
  <c r="BL16" i="69"/>
  <c r="BL31" i="69"/>
  <c r="BP16" i="69"/>
  <c r="BP31" i="69"/>
  <c r="BO30" i="70"/>
  <c r="BG3" i="126"/>
  <c r="BH16" i="69"/>
  <c r="BH31" i="69"/>
  <c r="BC3" i="126"/>
  <c r="BD16" i="69"/>
  <c r="BD31" i="69"/>
  <c r="BL3" i="126"/>
  <c r="BM16" i="69"/>
  <c r="BM31" i="69"/>
  <c r="BY16" i="69"/>
  <c r="BU16" i="69"/>
  <c r="BU31" i="69"/>
  <c r="BU30" i="70"/>
  <c r="BP25" i="70"/>
  <c r="BQ16" i="69"/>
  <c r="BQ31" i="69"/>
  <c r="BM32" i="11"/>
  <c r="BO55" i="34" s="1"/>
  <c r="BQ32" i="11"/>
  <c r="BS55" i="34" s="1"/>
  <c r="BU32" i="11"/>
  <c r="BW55" i="34"/>
  <c r="BR32" i="11"/>
  <c r="BT55" i="34" s="1"/>
  <c r="BV32" i="11"/>
  <c r="BX55" i="34" s="1"/>
  <c r="BK32" i="11"/>
  <c r="BM55" i="34"/>
  <c r="BQ59" i="34"/>
  <c r="BS32" i="11"/>
  <c r="BU55" i="34" s="1"/>
  <c r="BL32" i="11"/>
  <c r="BN55" i="34" s="1"/>
  <c r="BL11" i="11"/>
  <c r="BN20" i="34" s="1"/>
  <c r="BN22" i="34" s="1"/>
  <c r="BO9" i="69" s="1"/>
  <c r="BO13" i="70" s="1"/>
  <c r="BP11" i="11"/>
  <c r="BR20" i="34" s="1"/>
  <c r="BR22" i="34" s="1"/>
  <c r="BS9" i="69" s="1"/>
  <c r="BT11" i="11"/>
  <c r="BV20" i="34" s="1"/>
  <c r="BV22" i="34" s="1"/>
  <c r="BW9" i="69" s="1"/>
  <c r="BM11" i="11"/>
  <c r="BO20" i="34" s="1"/>
  <c r="BO22" i="34" s="1"/>
  <c r="BQ11" i="11"/>
  <c r="BS20" i="34"/>
  <c r="BS22" i="34" s="1"/>
  <c r="BU11" i="11"/>
  <c r="BW20" i="34"/>
  <c r="BW22" i="34" s="1"/>
  <c r="BK11" i="11"/>
  <c r="BM20" i="34"/>
  <c r="BM22" i="34" s="1"/>
  <c r="BO11" i="11"/>
  <c r="BQ20" i="34"/>
  <c r="BQ22" i="34" s="1"/>
  <c r="BS11" i="11"/>
  <c r="BU20" i="34"/>
  <c r="BU22" i="34" s="1"/>
  <c r="BI68" i="69"/>
  <c r="BL68" i="69"/>
  <c r="BR68" i="69"/>
  <c r="BD68" i="69"/>
  <c r="BV68" i="69"/>
  <c r="BN68" i="69"/>
  <c r="BH68" i="69"/>
  <c r="CA157" i="123"/>
  <c r="BT1201" i="123"/>
  <c r="BX1375" i="123"/>
  <c r="BP1201" i="123"/>
  <c r="BN27" i="11"/>
  <c r="BP50" i="34" s="1"/>
  <c r="BR34" i="11"/>
  <c r="BT57" i="34" s="1"/>
  <c r="BR27" i="11"/>
  <c r="BT50" i="34" s="1"/>
  <c r="BV679" i="123"/>
  <c r="BR157" i="123"/>
  <c r="BO17" i="34"/>
  <c r="BS1221" i="123"/>
  <c r="BS1047" i="123"/>
  <c r="BW177" i="123"/>
  <c r="BB31" i="70"/>
  <c r="BH31" i="70"/>
  <c r="BD31" i="70"/>
  <c r="BP31" i="70"/>
  <c r="BQ1047" i="123"/>
  <c r="BW679" i="123"/>
  <c r="BX679" i="123"/>
  <c r="BT679" i="123"/>
  <c r="BP679" i="123"/>
  <c r="BY1375" i="123"/>
  <c r="BY177" i="123"/>
  <c r="BY1047" i="123"/>
  <c r="BR29" i="11"/>
  <c r="BT52" i="34" s="1"/>
  <c r="BR1375" i="123"/>
  <c r="BR1027" i="123"/>
  <c r="CA1375" i="123"/>
  <c r="BQ1375" i="123"/>
  <c r="BS331" i="123"/>
  <c r="BZ853" i="123"/>
  <c r="BS1375" i="123"/>
  <c r="BT1027" i="123"/>
  <c r="BV331" i="123"/>
  <c r="BV157" i="123"/>
  <c r="CA505" i="123"/>
  <c r="BU1375" i="123"/>
  <c r="BR1201" i="123"/>
  <c r="BV1027" i="123"/>
  <c r="BQ853" i="123"/>
  <c r="BT505" i="123"/>
  <c r="BX331" i="123"/>
  <c r="BP331" i="123"/>
  <c r="BT157" i="123"/>
  <c r="BH30" i="70"/>
  <c r="BL31" i="70"/>
  <c r="BT31" i="70"/>
  <c r="BQ31" i="70"/>
  <c r="BG31" i="70"/>
  <c r="BC31" i="70"/>
  <c r="BV30" i="70"/>
  <c r="BU30" i="11"/>
  <c r="BW53" i="34"/>
  <c r="BQ27" i="11"/>
  <c r="BS50" i="34" s="1"/>
  <c r="BM34" i="11"/>
  <c r="BO57" i="34"/>
  <c r="BU29" i="11"/>
  <c r="BW52" i="34" s="1"/>
  <c r="BV873" i="123"/>
  <c r="BR853" i="123"/>
  <c r="BW853" i="123"/>
  <c r="BW873" i="123"/>
  <c r="BS853" i="123"/>
  <c r="BU331" i="123"/>
  <c r="BU351" i="123"/>
  <c r="BQ331" i="123"/>
  <c r="CA853" i="123"/>
  <c r="CA873" i="123"/>
  <c r="BU157" i="123"/>
  <c r="BU177" i="123"/>
  <c r="BQ157" i="123"/>
  <c r="BY1201" i="123"/>
  <c r="BY1221" i="123"/>
  <c r="BZ679" i="123"/>
  <c r="BY505" i="123"/>
  <c r="BZ331" i="123"/>
  <c r="BU28" i="11"/>
  <c r="BW51" i="34" s="1"/>
  <c r="BQ1201" i="123"/>
  <c r="CA1201" i="123"/>
  <c r="BZ1027" i="123"/>
  <c r="BY331" i="123"/>
  <c r="BU33" i="11"/>
  <c r="BW56" i="34" s="1"/>
  <c r="BQ35" i="11"/>
  <c r="BS58" i="34" s="1"/>
  <c r="BQ33" i="11"/>
  <c r="BS56" i="34" s="1"/>
  <c r="BQ29" i="11"/>
  <c r="BS52" i="34" s="1"/>
  <c r="BM27" i="11"/>
  <c r="BO50" i="34" s="1"/>
  <c r="BN34" i="11"/>
  <c r="BP57" i="34" s="1"/>
  <c r="BR30" i="11"/>
  <c r="BT53" i="34" s="1"/>
  <c r="BN28" i="11"/>
  <c r="BP51" i="34" s="1"/>
  <c r="BN33" i="11"/>
  <c r="BP56" i="34" s="1"/>
  <c r="BR28" i="11"/>
  <c r="BT51" i="34" s="1"/>
  <c r="BU31" i="70"/>
  <c r="BT30" i="11"/>
  <c r="BV53" i="34" s="1"/>
  <c r="BK33" i="11"/>
  <c r="BM56" i="34" s="1"/>
  <c r="BL29" i="11"/>
  <c r="BN52" i="34" s="1"/>
  <c r="BK30" i="11"/>
  <c r="BM53" i="34"/>
  <c r="BK29" i="11"/>
  <c r="BM52" i="34" s="1"/>
  <c r="BP29" i="11"/>
  <c r="BR52" i="34" s="1"/>
  <c r="BK34" i="11"/>
  <c r="BM57" i="34"/>
  <c r="BT35" i="11"/>
  <c r="BV58" i="34" s="1"/>
  <c r="BP30" i="11"/>
  <c r="BR53" i="34" s="1"/>
  <c r="BK28" i="11"/>
  <c r="BM51" i="34" s="1"/>
  <c r="BT33" i="11"/>
  <c r="BV56" i="34" s="1"/>
  <c r="BP28" i="11"/>
  <c r="BR51" i="34" s="1"/>
  <c r="BK35" i="11"/>
  <c r="BM58" i="34" s="1"/>
  <c r="BK27" i="11"/>
  <c r="BM50" i="34"/>
  <c r="BU35" i="11"/>
  <c r="BW58" i="34" s="1"/>
  <c r="BQ34" i="11"/>
  <c r="BS57" i="34" s="1"/>
  <c r="BM33" i="11"/>
  <c r="BO56" i="34" s="1"/>
  <c r="BQ30" i="11"/>
  <c r="BS53" i="34"/>
  <c r="BL30" i="11"/>
  <c r="BN53" i="34" s="1"/>
  <c r="BM29" i="11"/>
  <c r="BO52" i="34"/>
  <c r="BT28" i="11"/>
  <c r="BV51" i="34" s="1"/>
  <c r="BU27" i="11"/>
  <c r="BW50" i="34"/>
  <c r="BP27" i="11"/>
  <c r="BR50" i="34" s="1"/>
  <c r="BS35" i="11"/>
  <c r="BU58" i="34"/>
  <c r="BO35" i="11"/>
  <c r="BQ58" i="34" s="1"/>
  <c r="BS27" i="11"/>
  <c r="BU50" i="34"/>
  <c r="BO27" i="11"/>
  <c r="BQ50" i="34" s="1"/>
  <c r="BS28" i="11"/>
  <c r="BU51" i="34"/>
  <c r="BO28" i="11"/>
  <c r="BQ51" i="34" s="1"/>
  <c r="BS33" i="11"/>
  <c r="BU56" i="34"/>
  <c r="BO33" i="11"/>
  <c r="BQ56" i="34" s="1"/>
  <c r="BS29" i="11"/>
  <c r="BU52" i="34"/>
  <c r="BO29" i="11"/>
  <c r="BQ52" i="34" s="1"/>
  <c r="BS34" i="11"/>
  <c r="BU57" i="34"/>
  <c r="BO34" i="11"/>
  <c r="BQ57" i="34" s="1"/>
  <c r="BS30" i="11"/>
  <c r="BU53" i="34"/>
  <c r="BO30" i="11"/>
  <c r="BQ53" i="34" s="1"/>
  <c r="BM4" i="11"/>
  <c r="BM5" i="11"/>
  <c r="BL4" i="11"/>
  <c r="BL5" i="11"/>
  <c r="BM68" i="69"/>
  <c r="BY63" i="69"/>
  <c r="BY68" i="69"/>
  <c r="BX68" i="69"/>
  <c r="BU63" i="69"/>
  <c r="BU68" i="69"/>
  <c r="BT68" i="69"/>
  <c r="BQ63" i="69"/>
  <c r="BQ68" i="69"/>
  <c r="BP68" i="69"/>
  <c r="BX31" i="69"/>
  <c r="BJ68" i="69"/>
  <c r="BK63" i="69"/>
  <c r="BK68" i="69"/>
  <c r="BF68" i="69"/>
  <c r="BG63" i="69"/>
  <c r="BG68" i="69"/>
  <c r="BC63" i="69"/>
  <c r="BC68" i="69"/>
  <c r="BI30" i="70"/>
  <c r="BG30" i="70"/>
  <c r="BQ25" i="70"/>
  <c r="BR25" i="70"/>
  <c r="BE25" i="70"/>
  <c r="BT25" i="70"/>
  <c r="BK25" i="70"/>
  <c r="BJ25" i="70"/>
  <c r="BM25" i="70"/>
  <c r="BB25" i="70"/>
  <c r="BN25" i="70"/>
  <c r="BF25" i="70"/>
  <c r="BV25" i="70"/>
  <c r="BC30" i="70"/>
  <c r="BI25" i="70"/>
  <c r="BE30" i="70"/>
  <c r="BL25" i="70"/>
  <c r="BC25" i="70"/>
  <c r="BG25" i="70"/>
  <c r="BO25" i="70"/>
  <c r="BQ30" i="70"/>
  <c r="BD25" i="70"/>
  <c r="BH25" i="70"/>
  <c r="BR30" i="70"/>
  <c r="BS25" i="70"/>
  <c r="BP9" i="69"/>
  <c r="BL30" i="70"/>
  <c r="BJ30" i="70"/>
  <c r="BT30" i="70"/>
  <c r="BP30" i="70"/>
  <c r="BW26" i="34"/>
  <c r="BB30" i="70"/>
  <c r="BF30" i="70"/>
  <c r="BM30" i="70"/>
  <c r="BK30" i="70"/>
  <c r="BN4" i="11"/>
  <c r="BN5" i="11"/>
  <c r="BO4" i="11"/>
  <c r="BO5" i="11"/>
  <c r="BP4" i="11"/>
  <c r="BP5" i="11"/>
  <c r="BQ5" i="11"/>
  <c r="BQ4" i="11"/>
  <c r="BR4" i="11"/>
  <c r="BR5" i="11"/>
  <c r="BS4" i="11"/>
  <c r="BS5" i="11"/>
  <c r="BT4" i="11"/>
  <c r="BT5" i="11"/>
  <c r="BU4" i="11"/>
  <c r="BU5" i="11"/>
  <c r="BV4" i="11"/>
  <c r="BV5" i="11"/>
  <c r="P6" i="130"/>
  <c r="Q6" i="130" s="1"/>
  <c r="P8" i="130"/>
  <c r="Q8" i="130" s="1"/>
  <c r="R8" i="130" s="1"/>
  <c r="G18" i="123"/>
  <c r="G40" i="123"/>
  <c r="G29" i="123"/>
  <c r="G33" i="123"/>
  <c r="G48" i="123"/>
  <c r="C46" i="138"/>
  <c r="D45" i="138"/>
  <c r="Z37" i="138"/>
  <c r="Y37" i="138"/>
  <c r="X37" i="138"/>
  <c r="W37" i="138"/>
  <c r="V37" i="138"/>
  <c r="U37" i="138"/>
  <c r="T37" i="138"/>
  <c r="S37" i="138"/>
  <c r="R37" i="138"/>
  <c r="Q37" i="138"/>
  <c r="P37" i="138"/>
  <c r="O37" i="138"/>
  <c r="N37" i="138"/>
  <c r="M37" i="138"/>
  <c r="L37" i="138"/>
  <c r="K37" i="138"/>
  <c r="J37" i="138"/>
  <c r="I37" i="138"/>
  <c r="H37" i="138"/>
  <c r="G37" i="138"/>
  <c r="F37" i="138"/>
  <c r="E37" i="138"/>
  <c r="D37" i="138"/>
  <c r="C37" i="138"/>
  <c r="Z31" i="138"/>
  <c r="Z41" i="138"/>
  <c r="Y31" i="138"/>
  <c r="Y41" i="138"/>
  <c r="X31" i="138"/>
  <c r="X39" i="138"/>
  <c r="W31" i="138"/>
  <c r="W39" i="138"/>
  <c r="V31" i="138"/>
  <c r="V41" i="138"/>
  <c r="U31" i="138"/>
  <c r="U41" i="138"/>
  <c r="T31" i="138"/>
  <c r="T39" i="138"/>
  <c r="S31" i="138"/>
  <c r="S39" i="138"/>
  <c r="R31" i="138"/>
  <c r="R41" i="138"/>
  <c r="Q31" i="138"/>
  <c r="Q41" i="138"/>
  <c r="P31" i="138"/>
  <c r="P39" i="138"/>
  <c r="O31" i="138"/>
  <c r="O39" i="138"/>
  <c r="N31" i="138"/>
  <c r="N41" i="138"/>
  <c r="M31" i="138"/>
  <c r="M41" i="138"/>
  <c r="L31" i="138"/>
  <c r="L39" i="138"/>
  <c r="L40" i="138"/>
  <c r="K31" i="138"/>
  <c r="K39" i="138"/>
  <c r="J31" i="138"/>
  <c r="J41" i="138"/>
  <c r="I31" i="138"/>
  <c r="I41" i="138"/>
  <c r="H31" i="138"/>
  <c r="H39" i="138"/>
  <c r="G31" i="138"/>
  <c r="G39" i="138"/>
  <c r="F31" i="138"/>
  <c r="F41" i="138"/>
  <c r="E31" i="138"/>
  <c r="E41" i="138"/>
  <c r="D31" i="138"/>
  <c r="D39" i="138"/>
  <c r="D40" i="138"/>
  <c r="C31" i="138"/>
  <c r="C39" i="138"/>
  <c r="Z25" i="138"/>
  <c r="Y25" i="138"/>
  <c r="X25" i="138"/>
  <c r="W25" i="138"/>
  <c r="V25" i="138"/>
  <c r="U25" i="138"/>
  <c r="T25" i="138"/>
  <c r="S25" i="138"/>
  <c r="R25" i="138"/>
  <c r="Q25" i="138"/>
  <c r="P25" i="138"/>
  <c r="O25" i="138"/>
  <c r="N25" i="138"/>
  <c r="M25" i="138"/>
  <c r="L25" i="138"/>
  <c r="K25" i="138"/>
  <c r="J25" i="138"/>
  <c r="I25" i="138"/>
  <c r="H25" i="138"/>
  <c r="G25" i="138"/>
  <c r="F25" i="138"/>
  <c r="E25" i="138"/>
  <c r="D25" i="138"/>
  <c r="C25" i="138"/>
  <c r="L16" i="138"/>
  <c r="M16" i="138"/>
  <c r="N16" i="138"/>
  <c r="O16" i="138"/>
  <c r="P16" i="138"/>
  <c r="Q16" i="138"/>
  <c r="R16" i="138"/>
  <c r="S16" i="138"/>
  <c r="T16" i="138"/>
  <c r="U16" i="138"/>
  <c r="V16" i="138"/>
  <c r="W16" i="138"/>
  <c r="X16" i="138"/>
  <c r="Y16" i="138"/>
  <c r="Z16" i="138"/>
  <c r="G16" i="138"/>
  <c r="H16" i="138"/>
  <c r="I16" i="138"/>
  <c r="J16" i="138"/>
  <c r="C14" i="138"/>
  <c r="C18" i="138"/>
  <c r="C19" i="138"/>
  <c r="I10" i="138"/>
  <c r="D10" i="138"/>
  <c r="AV8" i="138"/>
  <c r="AN8" i="138"/>
  <c r="AF8" i="138"/>
  <c r="X8" i="138"/>
  <c r="P8" i="138"/>
  <c r="H8" i="138"/>
  <c r="AY8" i="138"/>
  <c r="AW8" i="138"/>
  <c r="AU8" i="138"/>
  <c r="AS8" i="138"/>
  <c r="AR8" i="138"/>
  <c r="AQ8" i="138"/>
  <c r="AO8" i="138"/>
  <c r="AM8" i="138"/>
  <c r="AK8" i="138"/>
  <c r="AJ8" i="138"/>
  <c r="AI8" i="138"/>
  <c r="AG8" i="138"/>
  <c r="AE8" i="138"/>
  <c r="AC8" i="138"/>
  <c r="AB8" i="138"/>
  <c r="AA8" i="138"/>
  <c r="Y8" i="138"/>
  <c r="W8" i="138"/>
  <c r="U8" i="138"/>
  <c r="T8" i="138"/>
  <c r="S8" i="138"/>
  <c r="Q8" i="138"/>
  <c r="O8" i="138"/>
  <c r="M8" i="138"/>
  <c r="L8" i="138"/>
  <c r="K8" i="138"/>
  <c r="I8" i="138"/>
  <c r="G8" i="138"/>
  <c r="E8" i="138"/>
  <c r="D8" i="138"/>
  <c r="Q39" i="138"/>
  <c r="G41" i="138"/>
  <c r="W41" i="138"/>
  <c r="U39" i="138"/>
  <c r="K41" i="138"/>
  <c r="D14" i="138"/>
  <c r="D18" i="138"/>
  <c r="D19" i="138"/>
  <c r="E39" i="138"/>
  <c r="E40" i="138"/>
  <c r="Y39" i="138"/>
  <c r="O41" i="138"/>
  <c r="I39" i="138"/>
  <c r="C41" i="138"/>
  <c r="S41" i="138"/>
  <c r="J10" i="138"/>
  <c r="F8" i="138"/>
  <c r="J8" i="138"/>
  <c r="N8" i="138"/>
  <c r="R8" i="138"/>
  <c r="V8" i="138"/>
  <c r="Z8" i="138"/>
  <c r="AD8" i="138"/>
  <c r="AH8" i="138"/>
  <c r="AL8" i="138"/>
  <c r="AP8" i="138"/>
  <c r="AT8" i="138"/>
  <c r="AX8" i="138"/>
  <c r="E14" i="138"/>
  <c r="M39" i="138"/>
  <c r="M40" i="138"/>
  <c r="D46" i="138"/>
  <c r="E45" i="138"/>
  <c r="E10" i="138"/>
  <c r="F39" i="138"/>
  <c r="J39" i="138"/>
  <c r="N39" i="138"/>
  <c r="R39" i="138"/>
  <c r="V39" i="138"/>
  <c r="Z39" i="138"/>
  <c r="D41" i="138"/>
  <c r="H41" i="138"/>
  <c r="L41" i="138"/>
  <c r="P41" i="138"/>
  <c r="T41" i="138"/>
  <c r="X41" i="138"/>
  <c r="N40" i="138"/>
  <c r="O40" i="138"/>
  <c r="P40" i="138"/>
  <c r="Q40" i="138"/>
  <c r="R40" i="138"/>
  <c r="S40" i="138"/>
  <c r="T40" i="138"/>
  <c r="U40" i="138"/>
  <c r="V40" i="138"/>
  <c r="W40" i="138"/>
  <c r="X40" i="138"/>
  <c r="Y40" i="138"/>
  <c r="Z40" i="138"/>
  <c r="F40" i="138"/>
  <c r="G40" i="138"/>
  <c r="H40" i="138"/>
  <c r="I40" i="138"/>
  <c r="J40" i="138"/>
  <c r="F10" i="138"/>
  <c r="F14" i="138"/>
  <c r="E18" i="138"/>
  <c r="E19" i="138"/>
  <c r="E46" i="138"/>
  <c r="F45" i="138"/>
  <c r="K10" i="138"/>
  <c r="G14" i="138"/>
  <c r="F18" i="138"/>
  <c r="F19" i="138"/>
  <c r="F46" i="138"/>
  <c r="G45" i="138"/>
  <c r="G10" i="138"/>
  <c r="L10" i="138"/>
  <c r="G46" i="138"/>
  <c r="H44" i="138"/>
  <c r="H45" i="138"/>
  <c r="I45" i="138"/>
  <c r="J45" i="138"/>
  <c r="K45" i="138"/>
  <c r="M10" i="138"/>
  <c r="G18" i="138"/>
  <c r="G19" i="138"/>
  <c r="H14" i="138"/>
  <c r="H46" i="138"/>
  <c r="I44" i="138"/>
  <c r="I46" i="138"/>
  <c r="J44" i="138"/>
  <c r="J46" i="138"/>
  <c r="K44" i="138"/>
  <c r="K46" i="138"/>
  <c r="L46" i="138"/>
  <c r="M46" i="138"/>
  <c r="N46" i="138"/>
  <c r="O46" i="138"/>
  <c r="P46" i="138"/>
  <c r="Q46" i="138"/>
  <c r="R46" i="138"/>
  <c r="S46" i="138"/>
  <c r="T46" i="138"/>
  <c r="U46" i="138"/>
  <c r="V46" i="138"/>
  <c r="W46" i="138"/>
  <c r="X46" i="138"/>
  <c r="Y46" i="138"/>
  <c r="Z46" i="138"/>
  <c r="N10" i="138"/>
  <c r="H18" i="138"/>
  <c r="H19" i="138"/>
  <c r="I14" i="138"/>
  <c r="O10" i="138"/>
  <c r="J14" i="138"/>
  <c r="I18" i="138"/>
  <c r="I19" i="138"/>
  <c r="K14" i="138"/>
  <c r="J18" i="138"/>
  <c r="J19" i="138"/>
  <c r="P10" i="138"/>
  <c r="K18" i="138"/>
  <c r="K19" i="138"/>
  <c r="L14" i="138"/>
  <c r="Q10" i="138"/>
  <c r="L18" i="138"/>
  <c r="L19" i="138"/>
  <c r="M14" i="138"/>
  <c r="R10" i="138"/>
  <c r="S10" i="138"/>
  <c r="N14" i="138"/>
  <c r="M18" i="138"/>
  <c r="M19" i="138"/>
  <c r="T10" i="138"/>
  <c r="O14" i="138"/>
  <c r="N18" i="138"/>
  <c r="N19" i="138"/>
  <c r="U10" i="138"/>
  <c r="O18" i="138"/>
  <c r="O19" i="138"/>
  <c r="P14" i="138"/>
  <c r="P18" i="138"/>
  <c r="P19" i="138"/>
  <c r="Q14" i="138"/>
  <c r="V10" i="138"/>
  <c r="R14" i="138"/>
  <c r="Q18" i="138"/>
  <c r="Q19" i="138"/>
  <c r="W10" i="138"/>
  <c r="X10" i="138"/>
  <c r="S14" i="138"/>
  <c r="R18" i="138"/>
  <c r="R19" i="138"/>
  <c r="Y10" i="138"/>
  <c r="S18" i="138"/>
  <c r="S19" i="138"/>
  <c r="T14" i="138"/>
  <c r="T18" i="138"/>
  <c r="T19" i="138"/>
  <c r="U14" i="138"/>
  <c r="Z10" i="138"/>
  <c r="V14" i="138"/>
  <c r="U19" i="138"/>
  <c r="W14" i="138"/>
  <c r="V19" i="138"/>
  <c r="W19" i="138"/>
  <c r="X14" i="138"/>
  <c r="X19" i="138"/>
  <c r="Y14" i="138"/>
  <c r="Z14" i="138"/>
  <c r="Z19" i="138"/>
  <c r="Y19" i="138"/>
  <c r="BV5" i="136"/>
  <c r="BU5" i="136"/>
  <c r="BT5" i="136"/>
  <c r="BS5" i="136"/>
  <c r="BR5" i="136"/>
  <c r="BQ5" i="136"/>
  <c r="BP5" i="136"/>
  <c r="BO5" i="136"/>
  <c r="BN5" i="136"/>
  <c r="BM5" i="136"/>
  <c r="BL5" i="136"/>
  <c r="BK5" i="136"/>
  <c r="BJ5" i="136"/>
  <c r="BI5" i="136"/>
  <c r="BH5" i="136"/>
  <c r="BG5" i="136"/>
  <c r="BF5" i="136"/>
  <c r="BE5" i="136"/>
  <c r="BD5" i="136"/>
  <c r="BC5" i="136"/>
  <c r="BB5" i="136"/>
  <c r="BA5" i="136"/>
  <c r="AZ5" i="136"/>
  <c r="AY5" i="136"/>
  <c r="AX5" i="136"/>
  <c r="AW5" i="136"/>
  <c r="AV5" i="136"/>
  <c r="AU5" i="136"/>
  <c r="AT5" i="136"/>
  <c r="AS5" i="136"/>
  <c r="AR5" i="136"/>
  <c r="AQ5" i="136"/>
  <c r="AP5" i="136"/>
  <c r="AO5" i="136"/>
  <c r="AN5" i="136"/>
  <c r="AM5" i="136"/>
  <c r="AL5" i="136"/>
  <c r="AK5" i="136"/>
  <c r="AJ5" i="136"/>
  <c r="AI5" i="136"/>
  <c r="AH5" i="136"/>
  <c r="AG5" i="136"/>
  <c r="AF5" i="136"/>
  <c r="AE5" i="136"/>
  <c r="AD5" i="136"/>
  <c r="AC5" i="136"/>
  <c r="AB5" i="136"/>
  <c r="AA5" i="136"/>
  <c r="Z5" i="136"/>
  <c r="Y5" i="136"/>
  <c r="X5" i="136"/>
  <c r="W5" i="136"/>
  <c r="V5" i="136"/>
  <c r="U5" i="136"/>
  <c r="T5" i="136"/>
  <c r="S5" i="136"/>
  <c r="R5" i="136"/>
  <c r="Q5" i="136"/>
  <c r="P5" i="136"/>
  <c r="O5" i="136"/>
  <c r="N5" i="136"/>
  <c r="M5" i="136"/>
  <c r="L5" i="136"/>
  <c r="K5" i="136"/>
  <c r="J5" i="136"/>
  <c r="I5" i="136"/>
  <c r="H5" i="136"/>
  <c r="G5" i="136"/>
  <c r="F5" i="136"/>
  <c r="E5" i="136"/>
  <c r="D5" i="136"/>
  <c r="C5" i="136"/>
  <c r="Z4" i="136"/>
  <c r="Y4" i="136"/>
  <c r="X4" i="136"/>
  <c r="W4" i="136"/>
  <c r="V4" i="136"/>
  <c r="U4" i="136"/>
  <c r="T4" i="136"/>
  <c r="S4" i="136"/>
  <c r="R4" i="136"/>
  <c r="Q4" i="136"/>
  <c r="P4" i="136"/>
  <c r="O4" i="136"/>
  <c r="N4" i="136"/>
  <c r="M4" i="136"/>
  <c r="L4" i="136"/>
  <c r="K4" i="136"/>
  <c r="J4" i="136"/>
  <c r="I4" i="136"/>
  <c r="H4" i="136"/>
  <c r="G4" i="136"/>
  <c r="F4" i="136"/>
  <c r="E4" i="136"/>
  <c r="D4" i="136"/>
  <c r="C4" i="136"/>
  <c r="BV5" i="135"/>
  <c r="BU5" i="135"/>
  <c r="BT5" i="135"/>
  <c r="BS5" i="135"/>
  <c r="BR5" i="135"/>
  <c r="BQ5" i="135"/>
  <c r="BP5" i="135"/>
  <c r="BO5" i="135"/>
  <c r="BN5" i="135"/>
  <c r="BM5" i="135"/>
  <c r="BL5" i="135"/>
  <c r="BK5" i="135"/>
  <c r="BJ5" i="135"/>
  <c r="BI5" i="135"/>
  <c r="BH5" i="135"/>
  <c r="BG5" i="135"/>
  <c r="BF5" i="135"/>
  <c r="BE5" i="135"/>
  <c r="BD5" i="135"/>
  <c r="BC5" i="135"/>
  <c r="BB5" i="135"/>
  <c r="BA5" i="135"/>
  <c r="AZ5" i="135"/>
  <c r="AY5" i="135"/>
  <c r="AX5" i="135"/>
  <c r="AW5" i="135"/>
  <c r="AV5" i="135"/>
  <c r="AU5" i="135"/>
  <c r="AT5" i="135"/>
  <c r="AS5" i="135"/>
  <c r="AR5" i="135"/>
  <c r="AQ5" i="135"/>
  <c r="AP5" i="135"/>
  <c r="AO5" i="135"/>
  <c r="AN5" i="135"/>
  <c r="AM5" i="135"/>
  <c r="AL5" i="135"/>
  <c r="AK5" i="135"/>
  <c r="AJ5" i="135"/>
  <c r="AI5" i="135"/>
  <c r="AH5" i="135"/>
  <c r="AG5" i="135"/>
  <c r="AF5" i="135"/>
  <c r="AE5" i="135"/>
  <c r="AD5" i="135"/>
  <c r="AC5" i="135"/>
  <c r="AB5" i="135"/>
  <c r="AA5" i="135"/>
  <c r="Z5" i="135"/>
  <c r="Y5" i="135"/>
  <c r="X5" i="135"/>
  <c r="W5" i="135"/>
  <c r="V5" i="135"/>
  <c r="U5" i="135"/>
  <c r="T5" i="135"/>
  <c r="S5" i="135"/>
  <c r="R5" i="135"/>
  <c r="Q5" i="135"/>
  <c r="P5" i="135"/>
  <c r="O5" i="135"/>
  <c r="N5" i="135"/>
  <c r="M5" i="135"/>
  <c r="L5" i="135"/>
  <c r="K5" i="135"/>
  <c r="J5" i="135"/>
  <c r="I5" i="135"/>
  <c r="H5" i="135"/>
  <c r="G5" i="135"/>
  <c r="F5" i="135"/>
  <c r="E5" i="135"/>
  <c r="D5" i="135"/>
  <c r="C5" i="135"/>
  <c r="Z4" i="135"/>
  <c r="Y4" i="135"/>
  <c r="X4" i="135"/>
  <c r="W4" i="135"/>
  <c r="V4" i="135"/>
  <c r="U4" i="135"/>
  <c r="T4" i="135"/>
  <c r="S4" i="135"/>
  <c r="R4" i="135"/>
  <c r="Q4" i="135"/>
  <c r="P4" i="135"/>
  <c r="O4" i="135"/>
  <c r="N4" i="135"/>
  <c r="M4" i="135"/>
  <c r="L4" i="135"/>
  <c r="K4" i="135"/>
  <c r="J4" i="135"/>
  <c r="I4" i="135"/>
  <c r="H4" i="135"/>
  <c r="G4" i="135"/>
  <c r="F4" i="135"/>
  <c r="E4" i="135"/>
  <c r="D4" i="135"/>
  <c r="C4" i="135"/>
  <c r="BV5" i="134"/>
  <c r="BU5" i="134"/>
  <c r="BT5" i="134"/>
  <c r="BS5" i="134"/>
  <c r="BR5" i="134"/>
  <c r="BQ5" i="134"/>
  <c r="BP5" i="134"/>
  <c r="BO5" i="134"/>
  <c r="BN5" i="134"/>
  <c r="BM5" i="134"/>
  <c r="BL5" i="134"/>
  <c r="BK5" i="134"/>
  <c r="BJ5" i="134"/>
  <c r="BI5" i="134"/>
  <c r="BH5" i="134"/>
  <c r="BG5" i="134"/>
  <c r="BF5" i="134"/>
  <c r="BE5" i="134"/>
  <c r="BD5" i="134"/>
  <c r="BC5" i="134"/>
  <c r="BB5" i="134"/>
  <c r="BA5" i="134"/>
  <c r="AZ5" i="134"/>
  <c r="AY5" i="134"/>
  <c r="AX5" i="134"/>
  <c r="AW5" i="134"/>
  <c r="AV5" i="134"/>
  <c r="AU5" i="134"/>
  <c r="AT5" i="134"/>
  <c r="AS5" i="134"/>
  <c r="AR5" i="134"/>
  <c r="AQ5" i="134"/>
  <c r="AP5" i="134"/>
  <c r="AO5" i="134"/>
  <c r="AN5" i="134"/>
  <c r="AM5" i="134"/>
  <c r="AL5" i="134"/>
  <c r="AK5" i="134"/>
  <c r="AJ5" i="134"/>
  <c r="AI5" i="134"/>
  <c r="AH5" i="134"/>
  <c r="AG5" i="134"/>
  <c r="AF5" i="134"/>
  <c r="AE5" i="134"/>
  <c r="AD5" i="134"/>
  <c r="AC5" i="134"/>
  <c r="AB5" i="134"/>
  <c r="AA5" i="134"/>
  <c r="Z5" i="134"/>
  <c r="Y5" i="134"/>
  <c r="X5" i="134"/>
  <c r="W5" i="134"/>
  <c r="V5" i="134"/>
  <c r="U5" i="134"/>
  <c r="T5" i="134"/>
  <c r="S5" i="134"/>
  <c r="R5" i="134"/>
  <c r="Q5" i="134"/>
  <c r="P5" i="134"/>
  <c r="O5" i="134"/>
  <c r="N5" i="134"/>
  <c r="M5" i="134"/>
  <c r="L5" i="134"/>
  <c r="K5" i="134"/>
  <c r="J5" i="134"/>
  <c r="I5" i="134"/>
  <c r="H5" i="134"/>
  <c r="G5" i="134"/>
  <c r="F5" i="134"/>
  <c r="E5" i="134"/>
  <c r="D5" i="134"/>
  <c r="C5" i="134"/>
  <c r="Z4" i="134"/>
  <c r="Y4" i="134"/>
  <c r="X4" i="134"/>
  <c r="W4" i="134"/>
  <c r="V4" i="134"/>
  <c r="U4" i="134"/>
  <c r="T4" i="134"/>
  <c r="S4" i="134"/>
  <c r="R4" i="134"/>
  <c r="Q4" i="134"/>
  <c r="P4" i="134"/>
  <c r="O4" i="134"/>
  <c r="N4" i="134"/>
  <c r="M4" i="134"/>
  <c r="L4" i="134"/>
  <c r="K4" i="134"/>
  <c r="J4" i="134"/>
  <c r="I4" i="134"/>
  <c r="H4" i="134"/>
  <c r="G4" i="134"/>
  <c r="F4" i="134"/>
  <c r="E4" i="134"/>
  <c r="D4" i="134"/>
  <c r="C4" i="134"/>
  <c r="BV5" i="133"/>
  <c r="BU5" i="133"/>
  <c r="BT5" i="133"/>
  <c r="BS5" i="133"/>
  <c r="BR5" i="133"/>
  <c r="BQ5" i="133"/>
  <c r="BP5" i="133"/>
  <c r="BO5" i="133"/>
  <c r="BN5" i="133"/>
  <c r="BM5" i="133"/>
  <c r="BL5" i="133"/>
  <c r="BK5" i="133"/>
  <c r="BJ5" i="133"/>
  <c r="BI5" i="133"/>
  <c r="BH5" i="133"/>
  <c r="BG5" i="133"/>
  <c r="BF5" i="133"/>
  <c r="BE5" i="133"/>
  <c r="BD5" i="133"/>
  <c r="BC5" i="133"/>
  <c r="BB5" i="133"/>
  <c r="BA5" i="133"/>
  <c r="AZ5" i="133"/>
  <c r="AY5" i="133"/>
  <c r="AX5" i="133"/>
  <c r="AW5" i="133"/>
  <c r="AV5" i="133"/>
  <c r="AU5" i="133"/>
  <c r="AT5" i="133"/>
  <c r="AS5" i="133"/>
  <c r="AR5" i="133"/>
  <c r="AQ5" i="133"/>
  <c r="AP5" i="133"/>
  <c r="AO5" i="133"/>
  <c r="AN5" i="133"/>
  <c r="AM5" i="133"/>
  <c r="AL5" i="133"/>
  <c r="AK5" i="133"/>
  <c r="AJ5" i="133"/>
  <c r="AI5" i="133"/>
  <c r="AH5" i="133"/>
  <c r="AG5" i="133"/>
  <c r="AF5" i="133"/>
  <c r="AE5" i="133"/>
  <c r="AD5" i="133"/>
  <c r="AC5" i="133"/>
  <c r="AB5" i="133"/>
  <c r="AA5" i="133"/>
  <c r="Z5" i="133"/>
  <c r="Y5" i="133"/>
  <c r="X5" i="133"/>
  <c r="W5" i="133"/>
  <c r="V5" i="133"/>
  <c r="U5" i="133"/>
  <c r="T5" i="133"/>
  <c r="S5" i="133"/>
  <c r="R5" i="133"/>
  <c r="Q5" i="133"/>
  <c r="P5" i="133"/>
  <c r="O5" i="133"/>
  <c r="N5" i="133"/>
  <c r="M5" i="133"/>
  <c r="L5" i="133"/>
  <c r="K5" i="133"/>
  <c r="J5" i="133"/>
  <c r="I5" i="133"/>
  <c r="H5" i="133"/>
  <c r="G5" i="133"/>
  <c r="F5" i="133"/>
  <c r="E5" i="133"/>
  <c r="D5" i="133"/>
  <c r="C5" i="133"/>
  <c r="Z4" i="133"/>
  <c r="Y4" i="133"/>
  <c r="X4" i="133"/>
  <c r="W4" i="133"/>
  <c r="V4" i="133"/>
  <c r="U4" i="133"/>
  <c r="T4" i="133"/>
  <c r="S4" i="133"/>
  <c r="R4" i="133"/>
  <c r="Q4" i="133"/>
  <c r="P4" i="133"/>
  <c r="O4" i="133"/>
  <c r="N4" i="133"/>
  <c r="M4" i="133"/>
  <c r="L4" i="133"/>
  <c r="K4" i="133"/>
  <c r="J4" i="133"/>
  <c r="I4" i="133"/>
  <c r="H4" i="133"/>
  <c r="G4" i="133"/>
  <c r="F4" i="133"/>
  <c r="E4" i="133"/>
  <c r="D4" i="133"/>
  <c r="C4" i="133"/>
  <c r="BV5" i="132"/>
  <c r="BU5" i="132"/>
  <c r="BT5" i="132"/>
  <c r="BS5" i="132"/>
  <c r="BR5" i="132"/>
  <c r="BQ5" i="132"/>
  <c r="BP5" i="132"/>
  <c r="BO5" i="132"/>
  <c r="BN5" i="132"/>
  <c r="BM5" i="132"/>
  <c r="BL5" i="132"/>
  <c r="BK5" i="132"/>
  <c r="BJ5" i="132"/>
  <c r="BI5" i="132"/>
  <c r="BH5" i="132"/>
  <c r="BG5" i="132"/>
  <c r="BF5" i="132"/>
  <c r="BE5" i="132"/>
  <c r="BD5" i="132"/>
  <c r="BC5" i="132"/>
  <c r="BB5" i="132"/>
  <c r="BA5" i="132"/>
  <c r="AZ5" i="132"/>
  <c r="AY5" i="132"/>
  <c r="AX5" i="132"/>
  <c r="AW5" i="132"/>
  <c r="AV5" i="132"/>
  <c r="AU5" i="132"/>
  <c r="AT5" i="132"/>
  <c r="AS5" i="132"/>
  <c r="AR5" i="132"/>
  <c r="AQ5" i="132"/>
  <c r="AP5" i="132"/>
  <c r="AO5" i="132"/>
  <c r="AN5" i="132"/>
  <c r="AM5" i="132"/>
  <c r="AL5" i="132"/>
  <c r="AK5" i="132"/>
  <c r="AJ5" i="132"/>
  <c r="AI5" i="132"/>
  <c r="AH5" i="132"/>
  <c r="AG5" i="132"/>
  <c r="AF5" i="132"/>
  <c r="AE5" i="132"/>
  <c r="AD5" i="132"/>
  <c r="AC5" i="132"/>
  <c r="AB5" i="132"/>
  <c r="Z5" i="132"/>
  <c r="Y5" i="132"/>
  <c r="X5" i="132"/>
  <c r="W5" i="132"/>
  <c r="V5" i="132"/>
  <c r="U5" i="132"/>
  <c r="T5" i="132"/>
  <c r="S5" i="132"/>
  <c r="R5" i="132"/>
  <c r="Q5" i="132"/>
  <c r="P5" i="132"/>
  <c r="O5" i="132"/>
  <c r="N5" i="132"/>
  <c r="M5" i="132"/>
  <c r="L5" i="132"/>
  <c r="K5" i="132"/>
  <c r="J5" i="132"/>
  <c r="I5" i="132"/>
  <c r="H5" i="132"/>
  <c r="G5" i="132"/>
  <c r="F5" i="132"/>
  <c r="E5" i="132"/>
  <c r="D5" i="132"/>
  <c r="C5" i="132"/>
  <c r="Z4" i="132"/>
  <c r="Y4" i="132"/>
  <c r="X4" i="132"/>
  <c r="W4" i="132"/>
  <c r="V4" i="132"/>
  <c r="U4" i="132"/>
  <c r="T4" i="132"/>
  <c r="S4" i="132"/>
  <c r="R4" i="132"/>
  <c r="Q4" i="132"/>
  <c r="P4" i="132"/>
  <c r="O4" i="132"/>
  <c r="N4" i="132"/>
  <c r="M4" i="132"/>
  <c r="L4" i="132"/>
  <c r="K4" i="132"/>
  <c r="J4" i="132"/>
  <c r="I4" i="132"/>
  <c r="H4" i="132"/>
  <c r="G4" i="132"/>
  <c r="F4" i="132"/>
  <c r="E4" i="132"/>
  <c r="D4" i="132"/>
  <c r="C4" i="132"/>
  <c r="BV5" i="131"/>
  <c r="BU5" i="131"/>
  <c r="BT5" i="131"/>
  <c r="BS5" i="131"/>
  <c r="BR5" i="131"/>
  <c r="BQ5" i="131"/>
  <c r="BP5" i="131"/>
  <c r="BO5" i="131"/>
  <c r="BN5" i="131"/>
  <c r="BM5" i="131"/>
  <c r="BL5" i="131"/>
  <c r="BK5" i="131"/>
  <c r="BJ5" i="131"/>
  <c r="BI5" i="131"/>
  <c r="BH5" i="131"/>
  <c r="BG5" i="131"/>
  <c r="BF5" i="131"/>
  <c r="BE5" i="131"/>
  <c r="BD5" i="131"/>
  <c r="BC5" i="131"/>
  <c r="BB5" i="131"/>
  <c r="BA5" i="131"/>
  <c r="AZ5" i="131"/>
  <c r="AY5" i="131"/>
  <c r="AX5" i="131"/>
  <c r="AW5" i="131"/>
  <c r="AV5" i="131"/>
  <c r="AU5" i="131"/>
  <c r="AT5" i="131"/>
  <c r="AS5" i="131"/>
  <c r="AR5" i="131"/>
  <c r="AQ5" i="131"/>
  <c r="AP5" i="131"/>
  <c r="AO5" i="131"/>
  <c r="AN5" i="131"/>
  <c r="AM5" i="131"/>
  <c r="AL5" i="131"/>
  <c r="AK5" i="131"/>
  <c r="AJ5" i="131"/>
  <c r="AI5" i="131"/>
  <c r="AH5" i="131"/>
  <c r="AG5" i="131"/>
  <c r="AF5" i="131"/>
  <c r="AE5" i="131"/>
  <c r="AD5" i="131"/>
  <c r="AC5" i="131"/>
  <c r="AB5" i="131"/>
  <c r="AA5" i="131"/>
  <c r="Z5" i="131"/>
  <c r="Y5" i="131"/>
  <c r="X5" i="131"/>
  <c r="W5" i="131"/>
  <c r="V5" i="131"/>
  <c r="U5" i="131"/>
  <c r="T5" i="131"/>
  <c r="S5" i="131"/>
  <c r="R5" i="131"/>
  <c r="Q5" i="131"/>
  <c r="P5" i="131"/>
  <c r="O5" i="131"/>
  <c r="N5" i="131"/>
  <c r="M5" i="131"/>
  <c r="L5" i="131"/>
  <c r="K5" i="131"/>
  <c r="J5" i="131"/>
  <c r="I5" i="131"/>
  <c r="H5" i="131"/>
  <c r="G5" i="131"/>
  <c r="F5" i="131"/>
  <c r="E5" i="131"/>
  <c r="D5" i="131"/>
  <c r="C5" i="131"/>
  <c r="Z4" i="131"/>
  <c r="Y4" i="131"/>
  <c r="X4" i="131"/>
  <c r="W4" i="131"/>
  <c r="V4" i="131"/>
  <c r="U4" i="131"/>
  <c r="T4" i="131"/>
  <c r="S4" i="131"/>
  <c r="R4" i="131"/>
  <c r="Q4" i="131"/>
  <c r="P4" i="131"/>
  <c r="O4" i="131"/>
  <c r="N4" i="131"/>
  <c r="M4" i="131"/>
  <c r="L4" i="131"/>
  <c r="K4" i="131"/>
  <c r="J4" i="131"/>
  <c r="I4" i="131"/>
  <c r="H4" i="131"/>
  <c r="G4" i="131"/>
  <c r="F4" i="131"/>
  <c r="D57" i="129"/>
  <c r="D56" i="129"/>
  <c r="D55" i="129"/>
  <c r="D54" i="129"/>
  <c r="D53" i="129"/>
  <c r="Q52" i="129"/>
  <c r="R52" i="129" s="1"/>
  <c r="D52" i="129"/>
  <c r="D51" i="129"/>
  <c r="D50" i="129"/>
  <c r="D49" i="129"/>
  <c r="Q48" i="129"/>
  <c r="R48" i="129" s="1"/>
  <c r="D48" i="129"/>
  <c r="D47" i="129"/>
  <c r="D46" i="129"/>
  <c r="D45" i="129"/>
  <c r="D44" i="129"/>
  <c r="D43" i="129"/>
  <c r="D42" i="129"/>
  <c r="D41" i="129"/>
  <c r="D40" i="129"/>
  <c r="D39" i="129"/>
  <c r="D38" i="129"/>
  <c r="D37" i="129"/>
  <c r="Q36" i="129"/>
  <c r="R36" i="129" s="1"/>
  <c r="D36" i="129"/>
  <c r="D35" i="129"/>
  <c r="D34" i="129"/>
  <c r="D33" i="129"/>
  <c r="D32" i="129"/>
  <c r="D31" i="129"/>
  <c r="D30" i="129"/>
  <c r="D29" i="129"/>
  <c r="Q28" i="129"/>
  <c r="R28" i="129" s="1"/>
  <c r="D28" i="129"/>
  <c r="D27" i="129"/>
  <c r="D26" i="129"/>
  <c r="D25" i="129"/>
  <c r="Q24" i="129"/>
  <c r="R24" i="129" s="1"/>
  <c r="D24" i="129"/>
  <c r="D23" i="129"/>
  <c r="D22" i="129"/>
  <c r="D21" i="129"/>
  <c r="D20" i="129"/>
  <c r="D19" i="129"/>
  <c r="D18" i="129"/>
  <c r="AB12" i="134"/>
  <c r="D17" i="129"/>
  <c r="Q16" i="129"/>
  <c r="R16" i="129" s="1"/>
  <c r="D16" i="129"/>
  <c r="AB12" i="135"/>
  <c r="D15" i="129"/>
  <c r="D14" i="129"/>
  <c r="D13" i="129"/>
  <c r="Q12" i="129"/>
  <c r="R12" i="129" s="1"/>
  <c r="D12" i="129"/>
  <c r="D11" i="129"/>
  <c r="D10" i="129"/>
  <c r="D9" i="129"/>
  <c r="D8" i="129"/>
  <c r="D6" i="129"/>
  <c r="AA21" i="132"/>
  <c r="G37" i="131"/>
  <c r="G22" i="131"/>
  <c r="G39" i="131"/>
  <c r="K37" i="131"/>
  <c r="K22" i="131"/>
  <c r="K39" i="131"/>
  <c r="O37" i="131"/>
  <c r="O22" i="131"/>
  <c r="O39" i="131"/>
  <c r="S37" i="131"/>
  <c r="S22" i="131"/>
  <c r="S39" i="131"/>
  <c r="W37" i="131"/>
  <c r="W22" i="131"/>
  <c r="W39" i="131"/>
  <c r="C22" i="132"/>
  <c r="C39" i="132"/>
  <c r="G22" i="132"/>
  <c r="G39" i="132"/>
  <c r="K22" i="132"/>
  <c r="K39" i="132"/>
  <c r="O22" i="132"/>
  <c r="O39" i="132"/>
  <c r="S22" i="132"/>
  <c r="S39" i="132"/>
  <c r="W22" i="132"/>
  <c r="W39" i="132"/>
  <c r="C22" i="133"/>
  <c r="C39" i="133"/>
  <c r="C40" i="133"/>
  <c r="G22" i="133"/>
  <c r="G39" i="133"/>
  <c r="G40" i="133"/>
  <c r="K22" i="133"/>
  <c r="K39" i="133"/>
  <c r="K40" i="133"/>
  <c r="O22" i="133"/>
  <c r="O39" i="133"/>
  <c r="O40" i="133"/>
  <c r="S22" i="133"/>
  <c r="S39" i="133"/>
  <c r="S40" i="133"/>
  <c r="W22" i="133"/>
  <c r="W39" i="133"/>
  <c r="W40" i="133"/>
  <c r="C39" i="134"/>
  <c r="C22" i="134"/>
  <c r="G39" i="134"/>
  <c r="G22" i="134"/>
  <c r="K39" i="134"/>
  <c r="K22" i="134"/>
  <c r="O39" i="134"/>
  <c r="O22" i="134"/>
  <c r="S22" i="134"/>
  <c r="W22" i="134"/>
  <c r="C18" i="135"/>
  <c r="C22" i="135"/>
  <c r="C12" i="135"/>
  <c r="C16" i="135"/>
  <c r="C19" i="135"/>
  <c r="C15" i="135"/>
  <c r="C20" i="135"/>
  <c r="C24" i="135"/>
  <c r="C26" i="135"/>
  <c r="C13" i="135"/>
  <c r="C21" i="135"/>
  <c r="C33" i="135"/>
  <c r="C37" i="135"/>
  <c r="C41" i="135"/>
  <c r="C23" i="135"/>
  <c r="C25" i="135"/>
  <c r="C28" i="135"/>
  <c r="C34" i="135"/>
  <c r="C38" i="135"/>
  <c r="C42" i="135"/>
  <c r="C27" i="135"/>
  <c r="C35" i="135"/>
  <c r="C39" i="135"/>
  <c r="C32" i="135"/>
  <c r="C36" i="135"/>
  <c r="C40" i="135"/>
  <c r="G18" i="135"/>
  <c r="G22" i="135"/>
  <c r="G12" i="135"/>
  <c r="G16" i="135"/>
  <c r="G19" i="135"/>
  <c r="G15" i="135"/>
  <c r="G20" i="135"/>
  <c r="G24" i="135"/>
  <c r="G26" i="135"/>
  <c r="G13" i="135"/>
  <c r="G27" i="135"/>
  <c r="G33" i="135"/>
  <c r="G37" i="135"/>
  <c r="G41" i="135"/>
  <c r="G28" i="135"/>
  <c r="G34" i="135"/>
  <c r="G38" i="135"/>
  <c r="G42" i="135"/>
  <c r="G21" i="135"/>
  <c r="G35" i="135"/>
  <c r="G39" i="135"/>
  <c r="G23" i="135"/>
  <c r="G25" i="135"/>
  <c r="G32" i="135"/>
  <c r="G36" i="135"/>
  <c r="G40" i="135"/>
  <c r="K18" i="135"/>
  <c r="K22" i="135"/>
  <c r="K12" i="135"/>
  <c r="K16" i="135"/>
  <c r="K15" i="135"/>
  <c r="K20" i="135"/>
  <c r="K24" i="135"/>
  <c r="K26" i="135"/>
  <c r="K13" i="135"/>
  <c r="K21" i="135"/>
  <c r="K33" i="135"/>
  <c r="K37" i="135"/>
  <c r="K41" i="135"/>
  <c r="K23" i="135"/>
  <c r="K25" i="135"/>
  <c r="K28" i="135"/>
  <c r="K34" i="135"/>
  <c r="K38" i="135"/>
  <c r="K42" i="135"/>
  <c r="K27" i="135"/>
  <c r="K35" i="135"/>
  <c r="K39" i="135"/>
  <c r="K19" i="135"/>
  <c r="K32" i="135"/>
  <c r="K36" i="135"/>
  <c r="K40" i="135"/>
  <c r="O18" i="135"/>
  <c r="O22" i="135"/>
  <c r="O12" i="135"/>
  <c r="O16" i="135"/>
  <c r="O15" i="135"/>
  <c r="O20" i="135"/>
  <c r="O24" i="135"/>
  <c r="O26" i="135"/>
  <c r="O13" i="135"/>
  <c r="O19" i="135"/>
  <c r="O27" i="135"/>
  <c r="O33" i="135"/>
  <c r="O37" i="135"/>
  <c r="O41" i="135"/>
  <c r="O28" i="135"/>
  <c r="O34" i="135"/>
  <c r="O38" i="135"/>
  <c r="O42" i="135"/>
  <c r="O21" i="135"/>
  <c r="O35" i="135"/>
  <c r="O39" i="135"/>
  <c r="O23" i="135"/>
  <c r="O25" i="135"/>
  <c r="O32" i="135"/>
  <c r="O36" i="135"/>
  <c r="O40" i="135"/>
  <c r="S18" i="135"/>
  <c r="S22" i="135"/>
  <c r="S12" i="135"/>
  <c r="S16" i="135"/>
  <c r="S15" i="135"/>
  <c r="S20" i="135"/>
  <c r="S24" i="135"/>
  <c r="S26" i="135"/>
  <c r="S13" i="135"/>
  <c r="S21" i="135"/>
  <c r="S27" i="135"/>
  <c r="S33" i="135"/>
  <c r="S37" i="135"/>
  <c r="S41" i="135"/>
  <c r="S19" i="135"/>
  <c r="S23" i="135"/>
  <c r="S25" i="135"/>
  <c r="S28" i="135"/>
  <c r="S34" i="135"/>
  <c r="S38" i="135"/>
  <c r="S42" i="135"/>
  <c r="S35" i="135"/>
  <c r="S39" i="135"/>
  <c r="S32" i="135"/>
  <c r="S36" i="135"/>
  <c r="S40" i="135"/>
  <c r="W18" i="135"/>
  <c r="W22" i="135"/>
  <c r="W12" i="135"/>
  <c r="W16" i="135"/>
  <c r="W15" i="135"/>
  <c r="W20" i="135"/>
  <c r="W24" i="135"/>
  <c r="W26" i="135"/>
  <c r="W13" i="135"/>
  <c r="W27" i="135"/>
  <c r="W33" i="135"/>
  <c r="W37" i="135"/>
  <c r="W41" i="135"/>
  <c r="W28" i="135"/>
  <c r="W34" i="135"/>
  <c r="W38" i="135"/>
  <c r="W42" i="135"/>
  <c r="W19" i="135"/>
  <c r="W21" i="135"/>
  <c r="W35" i="135"/>
  <c r="W39" i="135"/>
  <c r="W23" i="135"/>
  <c r="W25" i="135"/>
  <c r="W32" i="135"/>
  <c r="W36" i="135"/>
  <c r="W40" i="135"/>
  <c r="C39" i="136"/>
  <c r="C22" i="136"/>
  <c r="C33" i="136"/>
  <c r="C37" i="136"/>
  <c r="C42" i="136"/>
  <c r="C16" i="136"/>
  <c r="C34" i="136"/>
  <c r="C38" i="136"/>
  <c r="C12" i="136"/>
  <c r="C18" i="136"/>
  <c r="C19" i="136"/>
  <c r="C20" i="136"/>
  <c r="C35" i="136"/>
  <c r="C40" i="136"/>
  <c r="C13" i="136"/>
  <c r="C14" i="136" s="1"/>
  <c r="C21" i="136"/>
  <c r="C23" i="136"/>
  <c r="C32" i="136"/>
  <c r="C36" i="136"/>
  <c r="C41" i="136"/>
  <c r="C15" i="136"/>
  <c r="C25" i="136"/>
  <c r="C28" i="136"/>
  <c r="C26" i="136"/>
  <c r="C27" i="136"/>
  <c r="C24" i="136"/>
  <c r="G39" i="136"/>
  <c r="G22" i="136"/>
  <c r="G33" i="136"/>
  <c r="G37" i="136"/>
  <c r="G42" i="136"/>
  <c r="G16" i="136"/>
  <c r="G34" i="136"/>
  <c r="G38" i="136"/>
  <c r="G12" i="136"/>
  <c r="G18" i="136"/>
  <c r="G19" i="136"/>
  <c r="G35" i="136"/>
  <c r="G40" i="136"/>
  <c r="G13" i="136"/>
  <c r="G21" i="136"/>
  <c r="G23" i="136"/>
  <c r="G20" i="136"/>
  <c r="G24" i="136"/>
  <c r="G28" i="136"/>
  <c r="G26" i="136"/>
  <c r="G25" i="136"/>
  <c r="G27" i="136"/>
  <c r="G32" i="136"/>
  <c r="G36" i="136"/>
  <c r="G41" i="136"/>
  <c r="G15" i="136"/>
  <c r="K39" i="136"/>
  <c r="K22" i="136"/>
  <c r="K33" i="136"/>
  <c r="K37" i="136"/>
  <c r="K42" i="136"/>
  <c r="K16" i="136"/>
  <c r="K34" i="136"/>
  <c r="K38" i="136"/>
  <c r="K12" i="136"/>
  <c r="K18" i="136"/>
  <c r="K19" i="136"/>
  <c r="K35" i="136"/>
  <c r="K40" i="136"/>
  <c r="K13" i="136"/>
  <c r="K21" i="136"/>
  <c r="K23" i="136"/>
  <c r="K28" i="136"/>
  <c r="K26" i="136"/>
  <c r="K27" i="136"/>
  <c r="K41" i="136"/>
  <c r="K32" i="136"/>
  <c r="K36" i="136"/>
  <c r="K15" i="136"/>
  <c r="K25" i="136"/>
  <c r="K20" i="136"/>
  <c r="K24" i="136"/>
  <c r="O39" i="136"/>
  <c r="O22" i="136"/>
  <c r="O33" i="136"/>
  <c r="O37" i="136"/>
  <c r="O42" i="136"/>
  <c r="O16" i="136"/>
  <c r="O34" i="136"/>
  <c r="O38" i="136"/>
  <c r="O12" i="136"/>
  <c r="O18" i="136"/>
  <c r="O19" i="136"/>
  <c r="O35" i="136"/>
  <c r="O40" i="136"/>
  <c r="O13" i="136"/>
  <c r="O21" i="136"/>
  <c r="O23" i="136"/>
  <c r="O28" i="136"/>
  <c r="O26" i="136"/>
  <c r="O27" i="136"/>
  <c r="O25" i="136"/>
  <c r="O32" i="136"/>
  <c r="O36" i="136"/>
  <c r="O20" i="136"/>
  <c r="O24" i="136"/>
  <c r="O41" i="136"/>
  <c r="O15" i="136"/>
  <c r="S39" i="136"/>
  <c r="S22" i="136"/>
  <c r="S33" i="136"/>
  <c r="S37" i="136"/>
  <c r="S42" i="136"/>
  <c r="S16" i="136"/>
  <c r="S34" i="136"/>
  <c r="S38" i="136"/>
  <c r="S12" i="136"/>
  <c r="S18" i="136"/>
  <c r="S19" i="136"/>
  <c r="S35" i="136"/>
  <c r="S40" i="136"/>
  <c r="S13" i="136"/>
  <c r="S21" i="136"/>
  <c r="S23" i="136"/>
  <c r="S32" i="136"/>
  <c r="S36" i="136"/>
  <c r="S41" i="136"/>
  <c r="S15" i="136"/>
  <c r="S25" i="136"/>
  <c r="S28" i="136"/>
  <c r="S26" i="136"/>
  <c r="S27" i="136"/>
  <c r="S20" i="136"/>
  <c r="S24" i="136"/>
  <c r="W39" i="136"/>
  <c r="W22" i="136"/>
  <c r="W33" i="136"/>
  <c r="W37" i="136"/>
  <c r="W42" i="136"/>
  <c r="W16" i="136"/>
  <c r="W34" i="136"/>
  <c r="W38" i="136"/>
  <c r="W12" i="136"/>
  <c r="W18" i="136"/>
  <c r="W19" i="136"/>
  <c r="W35" i="136"/>
  <c r="W40" i="136"/>
  <c r="W13" i="136"/>
  <c r="W21" i="136"/>
  <c r="W23" i="136"/>
  <c r="W20" i="136"/>
  <c r="W24" i="136"/>
  <c r="W28" i="136"/>
  <c r="W26" i="136"/>
  <c r="W25" i="136"/>
  <c r="W27" i="136"/>
  <c r="W32" i="136"/>
  <c r="W36" i="136"/>
  <c r="W41" i="136"/>
  <c r="W15" i="136"/>
  <c r="H37" i="131"/>
  <c r="H22" i="131"/>
  <c r="H18" i="131"/>
  <c r="H39" i="131"/>
  <c r="L37" i="131"/>
  <c r="L22" i="131"/>
  <c r="L39" i="131"/>
  <c r="P37" i="131"/>
  <c r="P22" i="131"/>
  <c r="P39" i="131"/>
  <c r="T37" i="131"/>
  <c r="T22" i="131"/>
  <c r="T39" i="131"/>
  <c r="X37" i="131"/>
  <c r="X22" i="131"/>
  <c r="X39" i="131"/>
  <c r="D22" i="132"/>
  <c r="D39" i="132"/>
  <c r="H22" i="132"/>
  <c r="H39" i="132"/>
  <c r="L22" i="132"/>
  <c r="L39" i="132"/>
  <c r="P22" i="132"/>
  <c r="P39" i="132"/>
  <c r="T22" i="132"/>
  <c r="T39" i="132"/>
  <c r="X22" i="132"/>
  <c r="X39" i="132"/>
  <c r="D22" i="133"/>
  <c r="D39" i="133"/>
  <c r="D40" i="133"/>
  <c r="H22" i="133"/>
  <c r="H39" i="133"/>
  <c r="H40" i="133"/>
  <c r="L22" i="133"/>
  <c r="L39" i="133"/>
  <c r="L40" i="133"/>
  <c r="P22" i="133"/>
  <c r="P39" i="133"/>
  <c r="P40" i="133"/>
  <c r="T22" i="133"/>
  <c r="T39" i="133"/>
  <c r="T40" i="133"/>
  <c r="X22" i="133"/>
  <c r="X39" i="133"/>
  <c r="X40" i="133"/>
  <c r="D39" i="134"/>
  <c r="D22" i="134"/>
  <c r="H39" i="134"/>
  <c r="H22" i="134"/>
  <c r="L39" i="134"/>
  <c r="L22" i="134"/>
  <c r="P39" i="134"/>
  <c r="P22" i="134"/>
  <c r="T22" i="134"/>
  <c r="X22" i="134"/>
  <c r="D13" i="135"/>
  <c r="D21" i="135"/>
  <c r="D27" i="135"/>
  <c r="D18" i="135"/>
  <c r="D12" i="135"/>
  <c r="D14" i="135" s="1"/>
  <c r="D16" i="135"/>
  <c r="D19" i="135"/>
  <c r="D23" i="135"/>
  <c r="D25" i="135"/>
  <c r="D15" i="135"/>
  <c r="D20" i="135"/>
  <c r="D32" i="135"/>
  <c r="D36" i="135"/>
  <c r="D40" i="135"/>
  <c r="D22" i="135"/>
  <c r="D33" i="135"/>
  <c r="D37" i="135"/>
  <c r="D41" i="135"/>
  <c r="D24" i="135"/>
  <c r="D26" i="135"/>
  <c r="D28" i="135"/>
  <c r="D34" i="135"/>
  <c r="D38" i="135"/>
  <c r="D42" i="135"/>
  <c r="D35" i="135"/>
  <c r="D39" i="135"/>
  <c r="H13" i="135"/>
  <c r="H21" i="135"/>
  <c r="H27" i="135"/>
  <c r="H18" i="135"/>
  <c r="H12" i="135"/>
  <c r="H14" i="135" s="1"/>
  <c r="H16" i="135"/>
  <c r="H19" i="135"/>
  <c r="H23" i="135"/>
  <c r="H25" i="135"/>
  <c r="H15" i="135"/>
  <c r="H20" i="135"/>
  <c r="H24" i="135"/>
  <c r="H26" i="135"/>
  <c r="H32" i="135"/>
  <c r="H36" i="135"/>
  <c r="H40" i="135"/>
  <c r="H33" i="135"/>
  <c r="H37" i="135"/>
  <c r="H41" i="135"/>
  <c r="H28" i="135"/>
  <c r="H34" i="135"/>
  <c r="H38" i="135"/>
  <c r="H42" i="135"/>
  <c r="H22" i="135"/>
  <c r="H35" i="135"/>
  <c r="H39" i="135"/>
  <c r="L13" i="135"/>
  <c r="L21" i="135"/>
  <c r="L27" i="135"/>
  <c r="L18" i="135"/>
  <c r="L12" i="135"/>
  <c r="L14" i="135" s="1"/>
  <c r="L16" i="135"/>
  <c r="L19" i="135"/>
  <c r="L23" i="135"/>
  <c r="L25" i="135"/>
  <c r="L15" i="135"/>
  <c r="L20" i="135"/>
  <c r="L32" i="135"/>
  <c r="L36" i="135"/>
  <c r="L40" i="135"/>
  <c r="L22" i="135"/>
  <c r="L33" i="135"/>
  <c r="L37" i="135"/>
  <c r="L41" i="135"/>
  <c r="L24" i="135"/>
  <c r="L26" i="135"/>
  <c r="L28" i="135"/>
  <c r="L34" i="135"/>
  <c r="L38" i="135"/>
  <c r="L42" i="135"/>
  <c r="L35" i="135"/>
  <c r="L39" i="135"/>
  <c r="P13" i="135"/>
  <c r="P21" i="135"/>
  <c r="P18" i="135"/>
  <c r="P12" i="135"/>
  <c r="P16" i="135"/>
  <c r="P19" i="135"/>
  <c r="P23" i="135"/>
  <c r="P25" i="135"/>
  <c r="P15" i="135"/>
  <c r="P20" i="135"/>
  <c r="P24" i="135"/>
  <c r="P26" i="135"/>
  <c r="P32" i="135"/>
  <c r="P36" i="135"/>
  <c r="P40" i="135"/>
  <c r="P27" i="135"/>
  <c r="P33" i="135"/>
  <c r="P37" i="135"/>
  <c r="P41" i="135"/>
  <c r="P28" i="135"/>
  <c r="P34" i="135"/>
  <c r="P38" i="135"/>
  <c r="P42" i="135"/>
  <c r="P22" i="135"/>
  <c r="P35" i="135"/>
  <c r="P39" i="135"/>
  <c r="T13" i="135"/>
  <c r="T21" i="135"/>
  <c r="T18" i="135"/>
  <c r="T12" i="135"/>
  <c r="T16" i="135"/>
  <c r="T19" i="135"/>
  <c r="T23" i="135"/>
  <c r="T25" i="135"/>
  <c r="T15" i="135"/>
  <c r="T20" i="135"/>
  <c r="T32" i="135"/>
  <c r="T36" i="135"/>
  <c r="T40" i="135"/>
  <c r="T22" i="135"/>
  <c r="T27" i="135"/>
  <c r="T33" i="135"/>
  <c r="T37" i="135"/>
  <c r="T41" i="135"/>
  <c r="T24" i="135"/>
  <c r="T26" i="135"/>
  <c r="T28" i="135"/>
  <c r="T34" i="135"/>
  <c r="T38" i="135"/>
  <c r="T42" i="135"/>
  <c r="T35" i="135"/>
  <c r="T39" i="135"/>
  <c r="X13" i="135"/>
  <c r="X21" i="135"/>
  <c r="X18" i="135"/>
  <c r="X12" i="135"/>
  <c r="X16" i="135"/>
  <c r="X19" i="135"/>
  <c r="X23" i="135"/>
  <c r="X25" i="135"/>
  <c r="X15" i="135"/>
  <c r="X24" i="135"/>
  <c r="X26" i="135"/>
  <c r="X32" i="135"/>
  <c r="X36" i="135"/>
  <c r="X40" i="135"/>
  <c r="X27" i="135"/>
  <c r="X33" i="135"/>
  <c r="X37" i="135"/>
  <c r="X41" i="135"/>
  <c r="X20" i="135"/>
  <c r="X28" i="135"/>
  <c r="X34" i="135"/>
  <c r="X38" i="135"/>
  <c r="X42" i="135"/>
  <c r="X22" i="135"/>
  <c r="X35" i="135"/>
  <c r="X39" i="135"/>
  <c r="D39" i="136"/>
  <c r="D22" i="136"/>
  <c r="D32" i="136"/>
  <c r="D36" i="136"/>
  <c r="D41" i="136"/>
  <c r="D15" i="136"/>
  <c r="D33" i="136"/>
  <c r="D37" i="136"/>
  <c r="D42" i="136"/>
  <c r="D16" i="136"/>
  <c r="D17" i="136" s="1"/>
  <c r="D34" i="136"/>
  <c r="D38" i="136"/>
  <c r="D12" i="136"/>
  <c r="D18" i="136"/>
  <c r="D19" i="136"/>
  <c r="D20" i="136"/>
  <c r="D26" i="136"/>
  <c r="D21" i="136"/>
  <c r="D27" i="136"/>
  <c r="D35" i="136"/>
  <c r="D40" i="136"/>
  <c r="D13" i="136"/>
  <c r="D25" i="136"/>
  <c r="D28" i="136"/>
  <c r="D23" i="136"/>
  <c r="D24" i="136"/>
  <c r="H39" i="136"/>
  <c r="H22" i="136"/>
  <c r="H32" i="136"/>
  <c r="H36" i="136"/>
  <c r="H41" i="136"/>
  <c r="H15" i="136"/>
  <c r="H33" i="136"/>
  <c r="H37" i="136"/>
  <c r="H42" i="136"/>
  <c r="H16" i="136"/>
  <c r="H17" i="136" s="1"/>
  <c r="H34" i="136"/>
  <c r="H38" i="136"/>
  <c r="H12" i="136"/>
  <c r="H18" i="136"/>
  <c r="H19" i="136"/>
  <c r="H20" i="136"/>
  <c r="H25" i="136"/>
  <c r="H27" i="136"/>
  <c r="H26" i="136"/>
  <c r="H23" i="136"/>
  <c r="H24" i="136"/>
  <c r="H28" i="136"/>
  <c r="H40" i="136"/>
  <c r="H35" i="136"/>
  <c r="H13" i="136"/>
  <c r="H21" i="136"/>
  <c r="L39" i="136"/>
  <c r="L22" i="136"/>
  <c r="L32" i="136"/>
  <c r="L36" i="136"/>
  <c r="L41" i="136"/>
  <c r="L15" i="136"/>
  <c r="L33" i="136"/>
  <c r="L37" i="136"/>
  <c r="L42" i="136"/>
  <c r="L16" i="136"/>
  <c r="L17" i="136" s="1"/>
  <c r="L34" i="136"/>
  <c r="L38" i="136"/>
  <c r="L12" i="136"/>
  <c r="L18" i="136"/>
  <c r="L19" i="136"/>
  <c r="L20" i="136"/>
  <c r="L23" i="136"/>
  <c r="L24" i="136"/>
  <c r="L27" i="136"/>
  <c r="L25" i="136"/>
  <c r="L26" i="136"/>
  <c r="L28" i="136"/>
  <c r="L21" i="136"/>
  <c r="L35" i="136"/>
  <c r="L40" i="136"/>
  <c r="L13" i="136"/>
  <c r="P39" i="136"/>
  <c r="P22" i="136"/>
  <c r="P32" i="136"/>
  <c r="P36" i="136"/>
  <c r="P41" i="136"/>
  <c r="P15" i="136"/>
  <c r="P33" i="136"/>
  <c r="P37" i="136"/>
  <c r="P42" i="136"/>
  <c r="P16" i="136"/>
  <c r="P17" i="136" s="1"/>
  <c r="P34" i="136"/>
  <c r="P38" i="136"/>
  <c r="P12" i="136"/>
  <c r="P18" i="136"/>
  <c r="P19" i="136"/>
  <c r="P20" i="136"/>
  <c r="P35" i="136"/>
  <c r="P40" i="136"/>
  <c r="P13" i="136"/>
  <c r="P27" i="136"/>
  <c r="P26" i="136"/>
  <c r="P21" i="136"/>
  <c r="P28" i="136"/>
  <c r="P25" i="136"/>
  <c r="P23" i="136"/>
  <c r="P24" i="136"/>
  <c r="T39" i="136"/>
  <c r="T22" i="136"/>
  <c r="T32" i="136"/>
  <c r="T36" i="136"/>
  <c r="T41" i="136"/>
  <c r="T15" i="136"/>
  <c r="T33" i="136"/>
  <c r="T37" i="136"/>
  <c r="T42" i="136"/>
  <c r="T16" i="136"/>
  <c r="T17" i="136" s="1"/>
  <c r="T34" i="136"/>
  <c r="T38" i="136"/>
  <c r="T12" i="136"/>
  <c r="T18" i="136"/>
  <c r="T19" i="136"/>
  <c r="T20" i="136"/>
  <c r="T21" i="136"/>
  <c r="T27" i="136"/>
  <c r="T26" i="136"/>
  <c r="T35" i="136"/>
  <c r="T40" i="136"/>
  <c r="T13" i="136"/>
  <c r="T25" i="136"/>
  <c r="T28" i="136"/>
  <c r="T23" i="136"/>
  <c r="T24" i="136"/>
  <c r="X39" i="136"/>
  <c r="X22" i="136"/>
  <c r="X32" i="136"/>
  <c r="X36" i="136"/>
  <c r="X41" i="136"/>
  <c r="X15" i="136"/>
  <c r="X33" i="136"/>
  <c r="X37" i="136"/>
  <c r="X42" i="136"/>
  <c r="X16" i="136"/>
  <c r="X17" i="136" s="1"/>
  <c r="X34" i="136"/>
  <c r="X38" i="136"/>
  <c r="X12" i="136"/>
  <c r="X18" i="136"/>
  <c r="X19" i="136"/>
  <c r="X20" i="136"/>
  <c r="X25" i="136"/>
  <c r="X27" i="136"/>
  <c r="X26" i="136"/>
  <c r="X23" i="136"/>
  <c r="X24" i="136"/>
  <c r="X28" i="136"/>
  <c r="X40" i="136"/>
  <c r="X35" i="136"/>
  <c r="X13" i="136"/>
  <c r="X21" i="136"/>
  <c r="AI16" i="144"/>
  <c r="AK16" i="144"/>
  <c r="AC16" i="144"/>
  <c r="AD16" i="144"/>
  <c r="AH16" i="144"/>
  <c r="AL16" i="144"/>
  <c r="AG16" i="144"/>
  <c r="AE16" i="144"/>
  <c r="AF16" i="144"/>
  <c r="AJ16" i="144"/>
  <c r="AB16" i="144"/>
  <c r="AB17" i="144" s="1"/>
  <c r="AC16" i="135"/>
  <c r="AC16" i="136"/>
  <c r="AB16" i="135"/>
  <c r="AB16" i="136"/>
  <c r="AB12" i="136"/>
  <c r="I37" i="131"/>
  <c r="I22" i="131"/>
  <c r="I39" i="131"/>
  <c r="M37" i="131"/>
  <c r="M22" i="131"/>
  <c r="M39" i="131"/>
  <c r="Q37" i="131"/>
  <c r="Q22" i="131"/>
  <c r="Q39" i="131"/>
  <c r="U37" i="131"/>
  <c r="U22" i="131"/>
  <c r="U39" i="131"/>
  <c r="Y37" i="131"/>
  <c r="Y22" i="131"/>
  <c r="Y39" i="131"/>
  <c r="E22" i="132"/>
  <c r="E39" i="132"/>
  <c r="I22" i="132"/>
  <c r="I39" i="132"/>
  <c r="M22" i="132"/>
  <c r="M39" i="132"/>
  <c r="Q22" i="132"/>
  <c r="Q39" i="132"/>
  <c r="U22" i="132"/>
  <c r="U39" i="132"/>
  <c r="Y22" i="132"/>
  <c r="Y39" i="132"/>
  <c r="E22" i="133"/>
  <c r="E39" i="133"/>
  <c r="E40" i="133"/>
  <c r="I22" i="133"/>
  <c r="I39" i="133"/>
  <c r="I40" i="133"/>
  <c r="M22" i="133"/>
  <c r="M39" i="133"/>
  <c r="M40" i="133"/>
  <c r="Q22" i="133"/>
  <c r="Q39" i="133"/>
  <c r="Q40" i="133"/>
  <c r="U22" i="133"/>
  <c r="U39" i="133"/>
  <c r="U40" i="133"/>
  <c r="Y22" i="133"/>
  <c r="Y39" i="133"/>
  <c r="Y40" i="133"/>
  <c r="E39" i="134"/>
  <c r="E22" i="134"/>
  <c r="I39" i="134"/>
  <c r="I22" i="134"/>
  <c r="M39" i="134"/>
  <c r="M22" i="134"/>
  <c r="Q22" i="134"/>
  <c r="Q39" i="134"/>
  <c r="U22" i="134"/>
  <c r="Y22" i="134"/>
  <c r="E15" i="135"/>
  <c r="E20" i="135"/>
  <c r="E24" i="135"/>
  <c r="E26" i="135"/>
  <c r="E13" i="135"/>
  <c r="E18" i="135"/>
  <c r="E22" i="135"/>
  <c r="E12" i="135"/>
  <c r="E16" i="135"/>
  <c r="E17" i="135" s="1"/>
  <c r="E19" i="135"/>
  <c r="E35" i="135"/>
  <c r="E39" i="135"/>
  <c r="E21" i="135"/>
  <c r="E32" i="135"/>
  <c r="E36" i="135"/>
  <c r="E40" i="135"/>
  <c r="E23" i="135"/>
  <c r="E25" i="135"/>
  <c r="E33" i="135"/>
  <c r="E37" i="135"/>
  <c r="E41" i="135"/>
  <c r="E27" i="135"/>
  <c r="E28" i="135"/>
  <c r="E34" i="135"/>
  <c r="E38" i="135"/>
  <c r="E42" i="135"/>
  <c r="I15" i="135"/>
  <c r="I20" i="135"/>
  <c r="I24" i="135"/>
  <c r="I26" i="135"/>
  <c r="I13" i="135"/>
  <c r="I18" i="135"/>
  <c r="I22" i="135"/>
  <c r="I12" i="135"/>
  <c r="I16" i="135"/>
  <c r="I17" i="135" s="1"/>
  <c r="I19" i="135"/>
  <c r="I23" i="135"/>
  <c r="I25" i="135"/>
  <c r="I35" i="135"/>
  <c r="I39" i="135"/>
  <c r="I27" i="135"/>
  <c r="I32" i="135"/>
  <c r="I36" i="135"/>
  <c r="I40" i="135"/>
  <c r="I33" i="135"/>
  <c r="I37" i="135"/>
  <c r="I41" i="135"/>
  <c r="I21" i="135"/>
  <c r="I28" i="135"/>
  <c r="I34" i="135"/>
  <c r="I38" i="135"/>
  <c r="I42" i="135"/>
  <c r="M15" i="135"/>
  <c r="M20" i="135"/>
  <c r="M24" i="135"/>
  <c r="M26" i="135"/>
  <c r="M13" i="135"/>
  <c r="M18" i="135"/>
  <c r="M22" i="135"/>
  <c r="M12" i="135"/>
  <c r="M16" i="135"/>
  <c r="M17" i="135" s="1"/>
  <c r="M19" i="135"/>
  <c r="M35" i="135"/>
  <c r="M39" i="135"/>
  <c r="M21" i="135"/>
  <c r="M32" i="135"/>
  <c r="M36" i="135"/>
  <c r="M40" i="135"/>
  <c r="M23" i="135"/>
  <c r="M25" i="135"/>
  <c r="M33" i="135"/>
  <c r="M37" i="135"/>
  <c r="M41" i="135"/>
  <c r="M27" i="135"/>
  <c r="M28" i="135"/>
  <c r="M34" i="135"/>
  <c r="M38" i="135"/>
  <c r="M42" i="135"/>
  <c r="Q15" i="135"/>
  <c r="Q20" i="135"/>
  <c r="Q24" i="135"/>
  <c r="Q26" i="135"/>
  <c r="Q13" i="135"/>
  <c r="Q18" i="135"/>
  <c r="Q22" i="135"/>
  <c r="Q12" i="135"/>
  <c r="Q16" i="135"/>
  <c r="Q17" i="135" s="1"/>
  <c r="Q19" i="135"/>
  <c r="Q23" i="135"/>
  <c r="Q25" i="135"/>
  <c r="Q35" i="135"/>
  <c r="Q39" i="135"/>
  <c r="Q32" i="135"/>
  <c r="Q36" i="135"/>
  <c r="Q40" i="135"/>
  <c r="Q27" i="135"/>
  <c r="Q33" i="135"/>
  <c r="Q37" i="135"/>
  <c r="Q41" i="135"/>
  <c r="Q21" i="135"/>
  <c r="Q28" i="135"/>
  <c r="Q34" i="135"/>
  <c r="Q38" i="135"/>
  <c r="Q42" i="135"/>
  <c r="U15" i="135"/>
  <c r="U20" i="135"/>
  <c r="U24" i="135"/>
  <c r="U26" i="135"/>
  <c r="U13" i="135"/>
  <c r="U18" i="135"/>
  <c r="U22" i="135"/>
  <c r="U12" i="135"/>
  <c r="U16" i="135"/>
  <c r="U19" i="135"/>
  <c r="U35" i="135"/>
  <c r="U39" i="135"/>
  <c r="U21" i="135"/>
  <c r="U32" i="135"/>
  <c r="U36" i="135"/>
  <c r="U40" i="135"/>
  <c r="U23" i="135"/>
  <c r="U25" i="135"/>
  <c r="U27" i="135"/>
  <c r="U33" i="135"/>
  <c r="U37" i="135"/>
  <c r="U41" i="135"/>
  <c r="U28" i="135"/>
  <c r="U34" i="135"/>
  <c r="U38" i="135"/>
  <c r="U42" i="135"/>
  <c r="Y15" i="135"/>
  <c r="Y20" i="135"/>
  <c r="Y24" i="135"/>
  <c r="Y26" i="135"/>
  <c r="Y13" i="135"/>
  <c r="Y18" i="135"/>
  <c r="Y22" i="135"/>
  <c r="Y12" i="135"/>
  <c r="Y16" i="135"/>
  <c r="Y17" i="135" s="1"/>
  <c r="Y19" i="135"/>
  <c r="Y23" i="135"/>
  <c r="Y25" i="135"/>
  <c r="Y35" i="135"/>
  <c r="Y39" i="135"/>
  <c r="Y32" i="135"/>
  <c r="Y36" i="135"/>
  <c r="Y40" i="135"/>
  <c r="Y27" i="135"/>
  <c r="Y33" i="135"/>
  <c r="Y37" i="135"/>
  <c r="Y41" i="135"/>
  <c r="Y21" i="135"/>
  <c r="Y28" i="135"/>
  <c r="Y34" i="135"/>
  <c r="Y38" i="135"/>
  <c r="Y42" i="135"/>
  <c r="E39" i="136"/>
  <c r="E22" i="136"/>
  <c r="E35" i="136"/>
  <c r="E40" i="136"/>
  <c r="E13" i="136"/>
  <c r="E32" i="136"/>
  <c r="E36" i="136"/>
  <c r="E41" i="136"/>
  <c r="E15" i="136"/>
  <c r="E33" i="136"/>
  <c r="E37" i="136"/>
  <c r="E42" i="136"/>
  <c r="E16" i="136"/>
  <c r="E17" i="136" s="1"/>
  <c r="E25" i="136"/>
  <c r="E26" i="136"/>
  <c r="E21" i="136"/>
  <c r="E27" i="136"/>
  <c r="E38" i="136"/>
  <c r="E28" i="136"/>
  <c r="E34" i="136"/>
  <c r="E12" i="136"/>
  <c r="E14" i="136" s="1"/>
  <c r="E18" i="136"/>
  <c r="E19" i="136"/>
  <c r="E20" i="136"/>
  <c r="E23" i="136"/>
  <c r="E24" i="136"/>
  <c r="I39" i="136"/>
  <c r="I22" i="136"/>
  <c r="I35" i="136"/>
  <c r="I40" i="136"/>
  <c r="I13" i="136"/>
  <c r="I32" i="136"/>
  <c r="I36" i="136"/>
  <c r="I41" i="136"/>
  <c r="I15" i="136"/>
  <c r="I33" i="136"/>
  <c r="I37" i="136"/>
  <c r="I42" i="136"/>
  <c r="I16" i="136"/>
  <c r="I17" i="136" s="1"/>
  <c r="I25" i="136"/>
  <c r="I18" i="136"/>
  <c r="I19" i="136"/>
  <c r="I21" i="136"/>
  <c r="I26" i="136"/>
  <c r="I20" i="136"/>
  <c r="I27" i="136"/>
  <c r="I28" i="136"/>
  <c r="I23" i="136"/>
  <c r="I24" i="136"/>
  <c r="I34" i="136"/>
  <c r="I38" i="136"/>
  <c r="I12" i="136"/>
  <c r="M39" i="136"/>
  <c r="M22" i="136"/>
  <c r="M35" i="136"/>
  <c r="M40" i="136"/>
  <c r="M13" i="136"/>
  <c r="M32" i="136"/>
  <c r="M36" i="136"/>
  <c r="M41" i="136"/>
  <c r="M15" i="136"/>
  <c r="M33" i="136"/>
  <c r="M37" i="136"/>
  <c r="M42" i="136"/>
  <c r="M16" i="136"/>
  <c r="M17" i="136" s="1"/>
  <c r="M25" i="136"/>
  <c r="M34" i="136"/>
  <c r="M38" i="136"/>
  <c r="M12" i="136"/>
  <c r="M14" i="136" s="1"/>
  <c r="M20" i="136"/>
  <c r="M26" i="136"/>
  <c r="M23" i="136"/>
  <c r="M24" i="136"/>
  <c r="M27" i="136"/>
  <c r="M28" i="136"/>
  <c r="M18" i="136"/>
  <c r="M19" i="136"/>
  <c r="M21" i="136"/>
  <c r="Q39" i="136"/>
  <c r="Q22" i="136"/>
  <c r="Q35" i="136"/>
  <c r="Q40" i="136"/>
  <c r="Q13" i="136"/>
  <c r="Q32" i="136"/>
  <c r="Q36" i="136"/>
  <c r="Q41" i="136"/>
  <c r="Q15" i="136"/>
  <c r="Q33" i="136"/>
  <c r="Q37" i="136"/>
  <c r="Q42" i="136"/>
  <c r="Q16" i="136"/>
  <c r="Q17" i="136" s="1"/>
  <c r="Q25" i="136"/>
  <c r="Q18" i="136"/>
  <c r="Q19" i="136"/>
  <c r="Q23" i="136"/>
  <c r="Q24" i="136"/>
  <c r="Q26" i="136"/>
  <c r="Q34" i="136"/>
  <c r="Q38" i="136"/>
  <c r="Q12" i="136"/>
  <c r="Q27" i="136"/>
  <c r="Q28" i="136"/>
  <c r="Q20" i="136"/>
  <c r="Q21" i="136"/>
  <c r="U22" i="136"/>
  <c r="U39" i="136"/>
  <c r="U35" i="136"/>
  <c r="U40" i="136"/>
  <c r="U13" i="136"/>
  <c r="U32" i="136"/>
  <c r="U36" i="136"/>
  <c r="U41" i="136"/>
  <c r="U15" i="136"/>
  <c r="U33" i="136"/>
  <c r="U37" i="136"/>
  <c r="U42" i="136"/>
  <c r="U16" i="136"/>
  <c r="U17" i="136" s="1"/>
  <c r="U25" i="136"/>
  <c r="U26" i="136"/>
  <c r="U21" i="136"/>
  <c r="U27" i="136"/>
  <c r="U38" i="136"/>
  <c r="U28" i="136"/>
  <c r="U34" i="136"/>
  <c r="U12" i="136"/>
  <c r="U14" i="136" s="1"/>
  <c r="U18" i="136"/>
  <c r="U19" i="136"/>
  <c r="U20" i="136"/>
  <c r="U23" i="136"/>
  <c r="U24" i="136"/>
  <c r="Y22" i="136"/>
  <c r="Y39" i="136"/>
  <c r="Y35" i="136"/>
  <c r="Y40" i="136"/>
  <c r="Y13" i="136"/>
  <c r="Y32" i="136"/>
  <c r="Y36" i="136"/>
  <c r="Y41" i="136"/>
  <c r="Y15" i="136"/>
  <c r="Y33" i="136"/>
  <c r="Y37" i="136"/>
  <c r="Y42" i="136"/>
  <c r="Y16" i="136"/>
  <c r="Y17" i="136" s="1"/>
  <c r="Y25" i="136"/>
  <c r="Y18" i="136"/>
  <c r="Y19" i="136"/>
  <c r="Y21" i="136"/>
  <c r="Y26" i="136"/>
  <c r="Y20" i="136"/>
  <c r="Y27" i="136"/>
  <c r="Y28" i="136"/>
  <c r="Y34" i="136"/>
  <c r="Y38" i="136"/>
  <c r="Y12" i="136"/>
  <c r="Y23" i="136"/>
  <c r="Y24" i="136"/>
  <c r="F37" i="131"/>
  <c r="F22" i="131"/>
  <c r="F39" i="131"/>
  <c r="J37" i="131"/>
  <c r="J22" i="131"/>
  <c r="J39" i="131"/>
  <c r="N37" i="131"/>
  <c r="N22" i="131"/>
  <c r="N18" i="131"/>
  <c r="N39" i="131"/>
  <c r="R37" i="131"/>
  <c r="R22" i="131"/>
  <c r="R39" i="131"/>
  <c r="V37" i="131"/>
  <c r="V22" i="131"/>
  <c r="V39" i="131"/>
  <c r="Z37" i="131"/>
  <c r="Z22" i="131"/>
  <c r="Z42" i="131"/>
  <c r="Z39" i="131"/>
  <c r="F22" i="132"/>
  <c r="F39" i="132"/>
  <c r="J22" i="132"/>
  <c r="J39" i="132"/>
  <c r="N22" i="132"/>
  <c r="N39" i="132"/>
  <c r="R22" i="132"/>
  <c r="R39" i="132"/>
  <c r="V22" i="132"/>
  <c r="V39" i="132"/>
  <c r="Z22" i="132"/>
  <c r="Z39" i="132"/>
  <c r="F22" i="133"/>
  <c r="F39" i="133"/>
  <c r="F40" i="133"/>
  <c r="J22" i="133"/>
  <c r="J39" i="133"/>
  <c r="J40" i="133"/>
  <c r="N22" i="133"/>
  <c r="N39" i="133"/>
  <c r="N40" i="133"/>
  <c r="R22" i="133"/>
  <c r="R39" i="133"/>
  <c r="R40" i="133"/>
  <c r="V22" i="133"/>
  <c r="V39" i="133"/>
  <c r="V40" i="133"/>
  <c r="Z22" i="133"/>
  <c r="Z39" i="133"/>
  <c r="Z40" i="133"/>
  <c r="F39" i="134"/>
  <c r="F22" i="134"/>
  <c r="J39" i="134"/>
  <c r="J22" i="134"/>
  <c r="N22" i="134"/>
  <c r="N39" i="134"/>
  <c r="R22" i="134"/>
  <c r="V22" i="134"/>
  <c r="Z22" i="134"/>
  <c r="F12" i="135"/>
  <c r="F16" i="135"/>
  <c r="F19" i="135"/>
  <c r="F23" i="135"/>
  <c r="F25" i="135"/>
  <c r="F15" i="135"/>
  <c r="F13" i="135"/>
  <c r="F21" i="135"/>
  <c r="F27" i="135"/>
  <c r="F18" i="135"/>
  <c r="F20" i="135"/>
  <c r="F28" i="135"/>
  <c r="F34" i="135"/>
  <c r="F38" i="135"/>
  <c r="F42" i="135"/>
  <c r="F35" i="135"/>
  <c r="F39" i="135"/>
  <c r="F22" i="135"/>
  <c r="F32" i="135"/>
  <c r="F36" i="135"/>
  <c r="F40" i="135"/>
  <c r="F24" i="135"/>
  <c r="F26" i="135"/>
  <c r="F33" i="135"/>
  <c r="F37" i="135"/>
  <c r="F41" i="135"/>
  <c r="J12" i="135"/>
  <c r="J16" i="135"/>
  <c r="J19" i="135"/>
  <c r="J23" i="135"/>
  <c r="J25" i="135"/>
  <c r="J15" i="135"/>
  <c r="J13" i="135"/>
  <c r="J21" i="135"/>
  <c r="J27" i="135"/>
  <c r="J18" i="135"/>
  <c r="J22" i="135"/>
  <c r="J28" i="135"/>
  <c r="J34" i="135"/>
  <c r="J38" i="135"/>
  <c r="J42" i="135"/>
  <c r="J20" i="135"/>
  <c r="J24" i="135"/>
  <c r="J26" i="135"/>
  <c r="J35" i="135"/>
  <c r="J39" i="135"/>
  <c r="J32" i="135"/>
  <c r="J36" i="135"/>
  <c r="J40" i="135"/>
  <c r="J33" i="135"/>
  <c r="J37" i="135"/>
  <c r="J41" i="135"/>
  <c r="N12" i="135"/>
  <c r="N16" i="135"/>
  <c r="N19" i="135"/>
  <c r="N23" i="135"/>
  <c r="N25" i="135"/>
  <c r="N15" i="135"/>
  <c r="N13" i="135"/>
  <c r="N21" i="135"/>
  <c r="N27" i="135"/>
  <c r="N18" i="135"/>
  <c r="N28" i="135"/>
  <c r="N34" i="135"/>
  <c r="N38" i="135"/>
  <c r="N42" i="135"/>
  <c r="N35" i="135"/>
  <c r="N39" i="135"/>
  <c r="N20" i="135"/>
  <c r="N22" i="135"/>
  <c r="N32" i="135"/>
  <c r="N36" i="135"/>
  <c r="N40" i="135"/>
  <c r="N24" i="135"/>
  <c r="N26" i="135"/>
  <c r="N33" i="135"/>
  <c r="N37" i="135"/>
  <c r="N41" i="135"/>
  <c r="R12" i="135"/>
  <c r="R16" i="135"/>
  <c r="R19" i="135"/>
  <c r="R23" i="135"/>
  <c r="R25" i="135"/>
  <c r="R15" i="135"/>
  <c r="R13" i="135"/>
  <c r="R21" i="135"/>
  <c r="R18" i="135"/>
  <c r="R22" i="135"/>
  <c r="R28" i="135"/>
  <c r="R34" i="135"/>
  <c r="R38" i="135"/>
  <c r="R42" i="135"/>
  <c r="R24" i="135"/>
  <c r="R26" i="135"/>
  <c r="R35" i="135"/>
  <c r="R39" i="135"/>
  <c r="R32" i="135"/>
  <c r="R36" i="135"/>
  <c r="R40" i="135"/>
  <c r="R20" i="135"/>
  <c r="R27" i="135"/>
  <c r="R33" i="135"/>
  <c r="R37" i="135"/>
  <c r="R41" i="135"/>
  <c r="V12" i="135"/>
  <c r="V16" i="135"/>
  <c r="V19" i="135"/>
  <c r="V23" i="135"/>
  <c r="V25" i="135"/>
  <c r="V15" i="135"/>
  <c r="V13" i="135"/>
  <c r="V21" i="135"/>
  <c r="V18" i="135"/>
  <c r="V28" i="135"/>
  <c r="V34" i="135"/>
  <c r="V38" i="135"/>
  <c r="V42" i="135"/>
  <c r="V20" i="135"/>
  <c r="V35" i="135"/>
  <c r="V39" i="135"/>
  <c r="V22" i="135"/>
  <c r="V32" i="135"/>
  <c r="V36" i="135"/>
  <c r="V40" i="135"/>
  <c r="V24" i="135"/>
  <c r="V26" i="135"/>
  <c r="V27" i="135"/>
  <c r="V33" i="135"/>
  <c r="V37" i="135"/>
  <c r="V41" i="135"/>
  <c r="Z12" i="135"/>
  <c r="AA12" i="135"/>
  <c r="Z16" i="135"/>
  <c r="Z19" i="135"/>
  <c r="Z23" i="135"/>
  <c r="Z25" i="135"/>
  <c r="Z15" i="135"/>
  <c r="Z13" i="135"/>
  <c r="Z21" i="135"/>
  <c r="Z18" i="135"/>
  <c r="Z22" i="135"/>
  <c r="Z28" i="135"/>
  <c r="Z34" i="135"/>
  <c r="Z38" i="135"/>
  <c r="Z42" i="135"/>
  <c r="Z24" i="135"/>
  <c r="Z26" i="135"/>
  <c r="Z35" i="135"/>
  <c r="Z39" i="135"/>
  <c r="Z32" i="135"/>
  <c r="Z36" i="135"/>
  <c r="Z40" i="135"/>
  <c r="Z20" i="135"/>
  <c r="Z27" i="135"/>
  <c r="Z33" i="135"/>
  <c r="Z37" i="135"/>
  <c r="Z41" i="135"/>
  <c r="F39" i="136"/>
  <c r="F22" i="136"/>
  <c r="F34" i="136"/>
  <c r="F38" i="136"/>
  <c r="F12" i="136"/>
  <c r="F35" i="136"/>
  <c r="F40" i="136"/>
  <c r="F13" i="136"/>
  <c r="F14" i="136" s="1"/>
  <c r="F32" i="136"/>
  <c r="F36" i="136"/>
  <c r="F41" i="136"/>
  <c r="F15" i="136"/>
  <c r="F24" i="136"/>
  <c r="F23" i="136"/>
  <c r="F26" i="136"/>
  <c r="F27" i="136"/>
  <c r="F42" i="136"/>
  <c r="F16" i="136"/>
  <c r="F18" i="136"/>
  <c r="F20" i="136"/>
  <c r="F21" i="136"/>
  <c r="F25" i="136"/>
  <c r="F33" i="136"/>
  <c r="F37" i="136"/>
  <c r="F19" i="136"/>
  <c r="F28" i="136"/>
  <c r="J39" i="136"/>
  <c r="J22" i="136"/>
  <c r="J34" i="136"/>
  <c r="J38" i="136"/>
  <c r="J12" i="136"/>
  <c r="J35" i="136"/>
  <c r="J40" i="136"/>
  <c r="J13" i="136"/>
  <c r="J32" i="136"/>
  <c r="J36" i="136"/>
  <c r="J41" i="136"/>
  <c r="J15" i="136"/>
  <c r="J24" i="136"/>
  <c r="J33" i="136"/>
  <c r="J37" i="136"/>
  <c r="J42" i="136"/>
  <c r="J16" i="136"/>
  <c r="J18" i="136"/>
  <c r="J19" i="136"/>
  <c r="J21" i="136"/>
  <c r="J25" i="136"/>
  <c r="J26" i="136"/>
  <c r="J27" i="136"/>
  <c r="J20" i="136"/>
  <c r="J23" i="136"/>
  <c r="J28" i="136"/>
  <c r="N39" i="136"/>
  <c r="N22" i="136"/>
  <c r="N34" i="136"/>
  <c r="N38" i="136"/>
  <c r="N12" i="136"/>
  <c r="N35" i="136"/>
  <c r="N40" i="136"/>
  <c r="N13" i="136"/>
  <c r="N14" i="136" s="1"/>
  <c r="N32" i="136"/>
  <c r="N36" i="136"/>
  <c r="N41" i="136"/>
  <c r="N15" i="136"/>
  <c r="N24" i="136"/>
  <c r="N21" i="136"/>
  <c r="N25" i="136"/>
  <c r="N33" i="136"/>
  <c r="N37" i="136"/>
  <c r="N42" i="136"/>
  <c r="N16" i="136"/>
  <c r="N20" i="136"/>
  <c r="N26" i="136"/>
  <c r="N27" i="136"/>
  <c r="AA27" i="136"/>
  <c r="N18" i="136"/>
  <c r="N19" i="136"/>
  <c r="N23" i="136"/>
  <c r="N28" i="136"/>
  <c r="R39" i="136"/>
  <c r="R22" i="136"/>
  <c r="R34" i="136"/>
  <c r="R38" i="136"/>
  <c r="R12" i="136"/>
  <c r="R35" i="136"/>
  <c r="R40" i="136"/>
  <c r="R13" i="136"/>
  <c r="R32" i="136"/>
  <c r="R36" i="136"/>
  <c r="R41" i="136"/>
  <c r="R15" i="136"/>
  <c r="R24" i="136"/>
  <c r="R20" i="136"/>
  <c r="R25" i="136"/>
  <c r="R18" i="136"/>
  <c r="R19" i="136"/>
  <c r="R23" i="136"/>
  <c r="R26" i="136"/>
  <c r="R37" i="136"/>
  <c r="R27" i="136"/>
  <c r="R33" i="136"/>
  <c r="R42" i="136"/>
  <c r="R16" i="136"/>
  <c r="R17" i="136" s="1"/>
  <c r="R21" i="136"/>
  <c r="R28" i="136"/>
  <c r="V22" i="136"/>
  <c r="V39" i="136"/>
  <c r="V34" i="136"/>
  <c r="V38" i="136"/>
  <c r="V12" i="136"/>
  <c r="V35" i="136"/>
  <c r="V40" i="136"/>
  <c r="V13" i="136"/>
  <c r="V32" i="136"/>
  <c r="V36" i="136"/>
  <c r="V41" i="136"/>
  <c r="V15" i="136"/>
  <c r="V24" i="136"/>
  <c r="V23" i="136"/>
  <c r="V26" i="136"/>
  <c r="V27" i="136"/>
  <c r="V33" i="136"/>
  <c r="V37" i="136"/>
  <c r="V42" i="136"/>
  <c r="V21" i="136"/>
  <c r="V25" i="136"/>
  <c r="V16" i="136"/>
  <c r="V18" i="136"/>
  <c r="V19" i="136"/>
  <c r="V20" i="136"/>
  <c r="V28" i="136"/>
  <c r="Z39" i="136"/>
  <c r="Z22" i="136"/>
  <c r="Z34" i="136"/>
  <c r="Z38" i="136"/>
  <c r="Z12" i="136"/>
  <c r="AA12" i="136"/>
  <c r="Z35" i="136"/>
  <c r="Z40" i="136"/>
  <c r="Z13" i="136"/>
  <c r="Z32" i="136"/>
  <c r="Z36" i="136"/>
  <c r="Z41" i="136"/>
  <c r="Z15" i="136"/>
  <c r="Z17" i="136" s="1"/>
  <c r="Z24" i="136"/>
  <c r="Z33" i="136"/>
  <c r="Z37" i="136"/>
  <c r="Z42" i="136"/>
  <c r="Z16" i="136"/>
  <c r="Z18" i="136"/>
  <c r="Z19" i="136"/>
  <c r="Z21" i="136"/>
  <c r="Z25" i="136"/>
  <c r="Z26" i="136"/>
  <c r="Z27" i="136"/>
  <c r="Z20" i="136"/>
  <c r="Z23" i="136"/>
  <c r="Z28" i="136"/>
  <c r="C16" i="132"/>
  <c r="C12" i="132"/>
  <c r="C13" i="132"/>
  <c r="C15" i="132"/>
  <c r="C18" i="132"/>
  <c r="C26" i="132"/>
  <c r="C34" i="132"/>
  <c r="C38" i="132"/>
  <c r="C42" i="132"/>
  <c r="C49" i="132"/>
  <c r="C53" i="132"/>
  <c r="C21" i="132"/>
  <c r="C25" i="132"/>
  <c r="C32" i="132"/>
  <c r="C37" i="132"/>
  <c r="C41" i="132"/>
  <c r="C48" i="132"/>
  <c r="C52" i="132"/>
  <c r="C19" i="132"/>
  <c r="C23" i="132"/>
  <c r="C27" i="132"/>
  <c r="C35" i="132"/>
  <c r="C46" i="132"/>
  <c r="C50" i="132"/>
  <c r="C54" i="132"/>
  <c r="C28" i="132"/>
  <c r="C51" i="132"/>
  <c r="C24" i="132"/>
  <c r="C47" i="132"/>
  <c r="C20" i="132"/>
  <c r="C40" i="132"/>
  <c r="C36" i="132"/>
  <c r="G16" i="132"/>
  <c r="G12" i="132"/>
  <c r="G13" i="132"/>
  <c r="G15" i="132"/>
  <c r="G18" i="132"/>
  <c r="G26" i="132"/>
  <c r="G34" i="132"/>
  <c r="G38" i="132"/>
  <c r="G42" i="132"/>
  <c r="G49" i="132"/>
  <c r="G53" i="132"/>
  <c r="G21" i="132"/>
  <c r="G25" i="132"/>
  <c r="G32" i="132"/>
  <c r="G37" i="132"/>
  <c r="G41" i="132"/>
  <c r="G48" i="132"/>
  <c r="G52" i="132"/>
  <c r="G19" i="132"/>
  <c r="G23" i="132"/>
  <c r="G27" i="132"/>
  <c r="G35" i="132"/>
  <c r="G46" i="132"/>
  <c r="G50" i="132"/>
  <c r="G54" i="132"/>
  <c r="G36" i="132"/>
  <c r="G28" i="132"/>
  <c r="G51" i="132"/>
  <c r="G24" i="132"/>
  <c r="G47" i="132"/>
  <c r="G20" i="132"/>
  <c r="G40" i="132"/>
  <c r="K16" i="132"/>
  <c r="K12" i="132"/>
  <c r="K13" i="132"/>
  <c r="K15" i="132"/>
  <c r="K18" i="132"/>
  <c r="K26" i="132"/>
  <c r="K34" i="132"/>
  <c r="K38" i="132"/>
  <c r="K42" i="132"/>
  <c r="K49" i="132"/>
  <c r="K53" i="132"/>
  <c r="K21" i="132"/>
  <c r="K25" i="132"/>
  <c r="K32" i="132"/>
  <c r="K37" i="132"/>
  <c r="K41" i="132"/>
  <c r="K48" i="132"/>
  <c r="K52" i="132"/>
  <c r="K19" i="132"/>
  <c r="K23" i="132"/>
  <c r="K27" i="132"/>
  <c r="K35" i="132"/>
  <c r="K46" i="132"/>
  <c r="K50" i="132"/>
  <c r="K54" i="132"/>
  <c r="K20" i="132"/>
  <c r="K40" i="132"/>
  <c r="K28" i="132"/>
  <c r="K51" i="132"/>
  <c r="K36" i="132"/>
  <c r="K24" i="132"/>
  <c r="K47" i="132"/>
  <c r="K55" i="132" s="1"/>
  <c r="O16" i="132"/>
  <c r="O12" i="132"/>
  <c r="O13" i="132"/>
  <c r="O15" i="132"/>
  <c r="O18" i="132"/>
  <c r="O26" i="132"/>
  <c r="O34" i="132"/>
  <c r="O38" i="132"/>
  <c r="O42" i="132"/>
  <c r="O49" i="132"/>
  <c r="O53" i="132"/>
  <c r="O21" i="132"/>
  <c r="O25" i="132"/>
  <c r="O32" i="132"/>
  <c r="O37" i="132"/>
  <c r="O41" i="132"/>
  <c r="O48" i="132"/>
  <c r="O52" i="132"/>
  <c r="O19" i="132"/>
  <c r="O23" i="132"/>
  <c r="O27" i="132"/>
  <c r="O35" i="132"/>
  <c r="O46" i="132"/>
  <c r="O50" i="132"/>
  <c r="O54" i="132"/>
  <c r="O24" i="132"/>
  <c r="O47" i="132"/>
  <c r="O20" i="132"/>
  <c r="O40" i="132"/>
  <c r="O28" i="132"/>
  <c r="O51" i="132"/>
  <c r="O36" i="132"/>
  <c r="O43" i="132" s="1"/>
  <c r="S16" i="132"/>
  <c r="S12" i="132"/>
  <c r="S13" i="132"/>
  <c r="S15" i="132"/>
  <c r="S18" i="132"/>
  <c r="S26" i="132"/>
  <c r="S34" i="132"/>
  <c r="S38" i="132"/>
  <c r="S42" i="132"/>
  <c r="S49" i="132"/>
  <c r="S53" i="132"/>
  <c r="S21" i="132"/>
  <c r="S25" i="132"/>
  <c r="S32" i="132"/>
  <c r="S37" i="132"/>
  <c r="S41" i="132"/>
  <c r="S48" i="132"/>
  <c r="S52" i="132"/>
  <c r="S19" i="132"/>
  <c r="S23" i="132"/>
  <c r="S35" i="132"/>
  <c r="S46" i="132"/>
  <c r="S50" i="132"/>
  <c r="S55" i="132" s="1"/>
  <c r="S54" i="132"/>
  <c r="S28" i="132"/>
  <c r="S51" i="132"/>
  <c r="S24" i="132"/>
  <c r="S47" i="132"/>
  <c r="S36" i="132"/>
  <c r="S20" i="132"/>
  <c r="S40" i="132"/>
  <c r="W16" i="132"/>
  <c r="W12" i="132"/>
  <c r="W13" i="132"/>
  <c r="W15" i="132"/>
  <c r="W18" i="132"/>
  <c r="W26" i="132"/>
  <c r="W34" i="132"/>
  <c r="W38" i="132"/>
  <c r="W42" i="132"/>
  <c r="W49" i="132"/>
  <c r="W53" i="132"/>
  <c r="W21" i="132"/>
  <c r="W25" i="132"/>
  <c r="W32" i="132"/>
  <c r="W37" i="132"/>
  <c r="W41" i="132"/>
  <c r="W48" i="132"/>
  <c r="W52" i="132"/>
  <c r="W19" i="132"/>
  <c r="W23" i="132"/>
  <c r="W35" i="132"/>
  <c r="W46" i="132"/>
  <c r="W50" i="132"/>
  <c r="W54" i="132"/>
  <c r="W36" i="132"/>
  <c r="W28" i="132"/>
  <c r="W51" i="132"/>
  <c r="W20" i="132"/>
  <c r="W40" i="132"/>
  <c r="W24" i="132"/>
  <c r="W47" i="132"/>
  <c r="C12" i="133"/>
  <c r="C16" i="133"/>
  <c r="C25" i="133"/>
  <c r="C35" i="133"/>
  <c r="C28" i="133"/>
  <c r="C23" i="133"/>
  <c r="C19" i="133"/>
  <c r="C18" i="133"/>
  <c r="C33" i="133"/>
  <c r="C21" i="133"/>
  <c r="C42" i="133"/>
  <c r="C38" i="133"/>
  <c r="C34" i="133"/>
  <c r="C27" i="133"/>
  <c r="C37" i="133"/>
  <c r="C36" i="133"/>
  <c r="C32" i="133"/>
  <c r="C24" i="133"/>
  <c r="C20" i="133"/>
  <c r="C41" i="133"/>
  <c r="C26" i="133"/>
  <c r="G12" i="133"/>
  <c r="G16" i="133"/>
  <c r="G25" i="133"/>
  <c r="G15" i="133"/>
  <c r="G18" i="133"/>
  <c r="G27" i="133"/>
  <c r="G34" i="133"/>
  <c r="G38" i="133"/>
  <c r="G42" i="133"/>
  <c r="G13" i="133"/>
  <c r="G21" i="133"/>
  <c r="G26" i="133"/>
  <c r="G33" i="133"/>
  <c r="G37" i="133"/>
  <c r="G41" i="133"/>
  <c r="G20" i="133"/>
  <c r="G24" i="133"/>
  <c r="G36" i="133"/>
  <c r="G19" i="133"/>
  <c r="G35" i="133"/>
  <c r="G32" i="133"/>
  <c r="G28" i="133"/>
  <c r="G23" i="133"/>
  <c r="K12" i="133"/>
  <c r="K16" i="133"/>
  <c r="K25" i="133"/>
  <c r="K15" i="133"/>
  <c r="K18" i="133"/>
  <c r="K27" i="133"/>
  <c r="K34" i="133"/>
  <c r="K38" i="133"/>
  <c r="K42" i="133"/>
  <c r="K13" i="133"/>
  <c r="K14" i="133" s="1"/>
  <c r="K21" i="133"/>
  <c r="K26" i="133"/>
  <c r="K33" i="133"/>
  <c r="K37" i="133"/>
  <c r="K20" i="133"/>
  <c r="K24" i="133"/>
  <c r="K36" i="133"/>
  <c r="K23" i="133"/>
  <c r="K19" i="133"/>
  <c r="K32" i="133"/>
  <c r="K41" i="133"/>
  <c r="K28" i="133"/>
  <c r="K35" i="133"/>
  <c r="O12" i="133"/>
  <c r="O16" i="133"/>
  <c r="O25" i="133"/>
  <c r="O15" i="133"/>
  <c r="O18" i="133"/>
  <c r="O27" i="133"/>
  <c r="O34" i="133"/>
  <c r="O38" i="133"/>
  <c r="O13" i="133"/>
  <c r="O21" i="133"/>
  <c r="O26" i="133"/>
  <c r="O33" i="133"/>
  <c r="O37" i="133"/>
  <c r="O20" i="133"/>
  <c r="O24" i="133"/>
  <c r="O36" i="133"/>
  <c r="O28" i="133"/>
  <c r="O35" i="133"/>
  <c r="O41" i="133"/>
  <c r="O19" i="133"/>
  <c r="O23" i="133"/>
  <c r="O42" i="133"/>
  <c r="O32" i="133"/>
  <c r="S12" i="133"/>
  <c r="S16" i="133"/>
  <c r="S25" i="133"/>
  <c r="S15" i="133"/>
  <c r="S18" i="133"/>
  <c r="S34" i="133"/>
  <c r="S38" i="133"/>
  <c r="S13" i="133"/>
  <c r="S21" i="133"/>
  <c r="S26" i="133"/>
  <c r="S33" i="133"/>
  <c r="S37" i="133"/>
  <c r="S20" i="133"/>
  <c r="S24" i="133"/>
  <c r="S36" i="133"/>
  <c r="S41" i="133"/>
  <c r="S28" i="133"/>
  <c r="S35" i="133"/>
  <c r="S42" i="133"/>
  <c r="S32" i="133"/>
  <c r="S23" i="133"/>
  <c r="S19" i="133"/>
  <c r="W12" i="133"/>
  <c r="W16" i="133"/>
  <c r="W25" i="133"/>
  <c r="W15" i="133"/>
  <c r="W18" i="133"/>
  <c r="W34" i="133"/>
  <c r="W38" i="133"/>
  <c r="W13" i="133"/>
  <c r="W14" i="133" s="1"/>
  <c r="W21" i="133"/>
  <c r="W26" i="133"/>
  <c r="W33" i="133"/>
  <c r="W37" i="133"/>
  <c r="W20" i="133"/>
  <c r="W24" i="133"/>
  <c r="W36" i="133"/>
  <c r="W19" i="133"/>
  <c r="W41" i="133"/>
  <c r="W42" i="133"/>
  <c r="W32" i="133"/>
  <c r="W35" i="133"/>
  <c r="W23" i="133"/>
  <c r="W28" i="133"/>
  <c r="C36" i="134"/>
  <c r="C40" i="134"/>
  <c r="C32" i="134"/>
  <c r="C33" i="134"/>
  <c r="C37" i="134"/>
  <c r="C35" i="134"/>
  <c r="C41" i="134"/>
  <c r="C15" i="134"/>
  <c r="C38" i="134"/>
  <c r="C16" i="134"/>
  <c r="C12" i="134"/>
  <c r="C21" i="134"/>
  <c r="C25" i="134"/>
  <c r="C42" i="134"/>
  <c r="C26" i="134"/>
  <c r="C18" i="134"/>
  <c r="C19" i="134"/>
  <c r="C23" i="134"/>
  <c r="C24" i="134"/>
  <c r="C34" i="134"/>
  <c r="C28" i="134"/>
  <c r="C13" i="134"/>
  <c r="C20" i="134"/>
  <c r="G32" i="134"/>
  <c r="G36" i="134"/>
  <c r="G40" i="134"/>
  <c r="G33" i="134"/>
  <c r="G37" i="134"/>
  <c r="G15" i="134"/>
  <c r="G34" i="134"/>
  <c r="G12" i="134"/>
  <c r="G16" i="134"/>
  <c r="G35" i="134"/>
  <c r="G42" i="134"/>
  <c r="G38" i="134"/>
  <c r="G13" i="134"/>
  <c r="G18" i="134"/>
  <c r="G21" i="134"/>
  <c r="G25" i="134"/>
  <c r="G41" i="134"/>
  <c r="G26" i="134"/>
  <c r="G19" i="134"/>
  <c r="G23" i="134"/>
  <c r="G20" i="134"/>
  <c r="G24" i="134"/>
  <c r="G28" i="134"/>
  <c r="K32" i="134"/>
  <c r="K36" i="134"/>
  <c r="K40" i="134"/>
  <c r="K33" i="134"/>
  <c r="K37" i="134"/>
  <c r="K35" i="134"/>
  <c r="K12" i="134"/>
  <c r="K15" i="134"/>
  <c r="K38" i="134"/>
  <c r="K42" i="134"/>
  <c r="K16" i="134"/>
  <c r="K41" i="134"/>
  <c r="K34" i="134"/>
  <c r="K21" i="134"/>
  <c r="K25" i="134"/>
  <c r="K13" i="134"/>
  <c r="K26" i="134"/>
  <c r="K18" i="134"/>
  <c r="K19" i="134"/>
  <c r="K23" i="134"/>
  <c r="K20" i="134"/>
  <c r="K28" i="134"/>
  <c r="K24" i="134"/>
  <c r="O32" i="134"/>
  <c r="O36" i="134"/>
  <c r="O40" i="134"/>
  <c r="O33" i="134"/>
  <c r="O37" i="134"/>
  <c r="O42" i="134"/>
  <c r="O15" i="134"/>
  <c r="O34" i="134"/>
  <c r="O41" i="134"/>
  <c r="O16" i="134"/>
  <c r="O35" i="134"/>
  <c r="O12" i="134"/>
  <c r="O21" i="134"/>
  <c r="O25" i="134"/>
  <c r="O38" i="134"/>
  <c r="O18" i="134"/>
  <c r="O26" i="134"/>
  <c r="O13" i="134"/>
  <c r="O19" i="134"/>
  <c r="O23" i="134"/>
  <c r="O28" i="134"/>
  <c r="O24" i="134"/>
  <c r="S40" i="134"/>
  <c r="S15" i="134"/>
  <c r="S16" i="134"/>
  <c r="S12" i="134"/>
  <c r="S21" i="134"/>
  <c r="S25" i="134"/>
  <c r="S18" i="134"/>
  <c r="S19" i="134"/>
  <c r="S23" i="134"/>
  <c r="S13" i="134"/>
  <c r="S24" i="134"/>
  <c r="W40" i="134"/>
  <c r="W15" i="134"/>
  <c r="W16" i="134"/>
  <c r="W12" i="134"/>
  <c r="W13" i="134"/>
  <c r="W21" i="134"/>
  <c r="W25" i="134"/>
  <c r="W18" i="134"/>
  <c r="W19" i="134"/>
  <c r="W23" i="134"/>
  <c r="W24" i="134"/>
  <c r="D16" i="132"/>
  <c r="D12" i="132"/>
  <c r="D19" i="132"/>
  <c r="D23" i="132"/>
  <c r="D27" i="132"/>
  <c r="D35" i="132"/>
  <c r="D46" i="132"/>
  <c r="D50" i="132"/>
  <c r="D54" i="132"/>
  <c r="D13" i="132"/>
  <c r="D15" i="132"/>
  <c r="D18" i="132"/>
  <c r="D26" i="132"/>
  <c r="D34" i="132"/>
  <c r="D38" i="132"/>
  <c r="D42" i="132"/>
  <c r="D49" i="132"/>
  <c r="D53" i="132"/>
  <c r="D20" i="132"/>
  <c r="D24" i="132"/>
  <c r="D28" i="132"/>
  <c r="D36" i="132"/>
  <c r="D40" i="132"/>
  <c r="D47" i="132"/>
  <c r="D51" i="132"/>
  <c r="D21" i="132"/>
  <c r="D41" i="132"/>
  <c r="D37" i="132"/>
  <c r="D52" i="132"/>
  <c r="D25" i="132"/>
  <c r="D48" i="132"/>
  <c r="D32" i="132"/>
  <c r="H16" i="132"/>
  <c r="H12" i="132"/>
  <c r="H19" i="132"/>
  <c r="H23" i="132"/>
  <c r="H27" i="132"/>
  <c r="H35" i="132"/>
  <c r="H46" i="132"/>
  <c r="H50" i="132"/>
  <c r="H54" i="132"/>
  <c r="H13" i="132"/>
  <c r="H15" i="132"/>
  <c r="H18" i="132"/>
  <c r="H26" i="132"/>
  <c r="H34" i="132"/>
  <c r="H38" i="132"/>
  <c r="H42" i="132"/>
  <c r="H49" i="132"/>
  <c r="H53" i="132"/>
  <c r="H20" i="132"/>
  <c r="H24" i="132"/>
  <c r="H28" i="132"/>
  <c r="H36" i="132"/>
  <c r="H40" i="132"/>
  <c r="H47" i="132"/>
  <c r="H51" i="132"/>
  <c r="H25" i="132"/>
  <c r="H48" i="132"/>
  <c r="H37" i="132"/>
  <c r="H21" i="132"/>
  <c r="H41" i="132"/>
  <c r="H32" i="132"/>
  <c r="H52" i="132"/>
  <c r="L16" i="132"/>
  <c r="L12" i="132"/>
  <c r="L19" i="132"/>
  <c r="L23" i="132"/>
  <c r="L27" i="132"/>
  <c r="L35" i="132"/>
  <c r="L46" i="132"/>
  <c r="L50" i="132"/>
  <c r="L54" i="132"/>
  <c r="L13" i="132"/>
  <c r="L15" i="132"/>
  <c r="L18" i="132"/>
  <c r="L26" i="132"/>
  <c r="L34" i="132"/>
  <c r="L38" i="132"/>
  <c r="L42" i="132"/>
  <c r="L49" i="132"/>
  <c r="L53" i="132"/>
  <c r="L20" i="132"/>
  <c r="L24" i="132"/>
  <c r="L28" i="132"/>
  <c r="L36" i="132"/>
  <c r="L40" i="132"/>
  <c r="L47" i="132"/>
  <c r="L51" i="132"/>
  <c r="L32" i="132"/>
  <c r="L52" i="132"/>
  <c r="L21" i="132"/>
  <c r="L41" i="132"/>
  <c r="L43" i="132" s="1"/>
  <c r="L25" i="132"/>
  <c r="L48" i="132"/>
  <c r="L37" i="132"/>
  <c r="P16" i="132"/>
  <c r="P12" i="132"/>
  <c r="P19" i="132"/>
  <c r="P23" i="132"/>
  <c r="P27" i="132"/>
  <c r="P35" i="132"/>
  <c r="P46" i="132"/>
  <c r="P50" i="132"/>
  <c r="P54" i="132"/>
  <c r="P13" i="132"/>
  <c r="P15" i="132"/>
  <c r="P18" i="132"/>
  <c r="P26" i="132"/>
  <c r="P34" i="132"/>
  <c r="P38" i="132"/>
  <c r="P42" i="132"/>
  <c r="P49" i="132"/>
  <c r="P53" i="132"/>
  <c r="P20" i="132"/>
  <c r="P24" i="132"/>
  <c r="P28" i="132"/>
  <c r="P36" i="132"/>
  <c r="P40" i="132"/>
  <c r="P47" i="132"/>
  <c r="P51" i="132"/>
  <c r="P37" i="132"/>
  <c r="P25" i="132"/>
  <c r="P48" i="132"/>
  <c r="P32" i="132"/>
  <c r="P43" i="132" s="1"/>
  <c r="P52" i="132"/>
  <c r="P21" i="132"/>
  <c r="P41" i="132"/>
  <c r="T16" i="132"/>
  <c r="T12" i="132"/>
  <c r="T19" i="132"/>
  <c r="T23" i="132"/>
  <c r="T35" i="132"/>
  <c r="T46" i="132"/>
  <c r="T50" i="132"/>
  <c r="T54" i="132"/>
  <c r="T13" i="132"/>
  <c r="T15" i="132"/>
  <c r="T18" i="132"/>
  <c r="T26" i="132"/>
  <c r="T34" i="132"/>
  <c r="T38" i="132"/>
  <c r="T42" i="132"/>
  <c r="T49" i="132"/>
  <c r="T53" i="132"/>
  <c r="T20" i="132"/>
  <c r="T24" i="132"/>
  <c r="T28" i="132"/>
  <c r="T36" i="132"/>
  <c r="T40" i="132"/>
  <c r="T47" i="132"/>
  <c r="T51" i="132"/>
  <c r="T21" i="132"/>
  <c r="T41" i="132"/>
  <c r="T37" i="132"/>
  <c r="T32" i="132"/>
  <c r="T25" i="132"/>
  <c r="T48" i="132"/>
  <c r="T52" i="132"/>
  <c r="X16" i="132"/>
  <c r="X12" i="132"/>
  <c r="X19" i="132"/>
  <c r="X23" i="132"/>
  <c r="X35" i="132"/>
  <c r="X46" i="132"/>
  <c r="X50" i="132"/>
  <c r="X54" i="132"/>
  <c r="X13" i="132"/>
  <c r="X15" i="132"/>
  <c r="X18" i="132"/>
  <c r="X26" i="132"/>
  <c r="X34" i="132"/>
  <c r="X38" i="132"/>
  <c r="X42" i="132"/>
  <c r="X49" i="132"/>
  <c r="X53" i="132"/>
  <c r="X20" i="132"/>
  <c r="X24" i="132"/>
  <c r="X28" i="132"/>
  <c r="X36" i="132"/>
  <c r="X40" i="132"/>
  <c r="X47" i="132"/>
  <c r="X51" i="132"/>
  <c r="X25" i="132"/>
  <c r="X48" i="132"/>
  <c r="X21" i="132"/>
  <c r="X41" i="132"/>
  <c r="X37" i="132"/>
  <c r="X32" i="132"/>
  <c r="X43" i="132" s="1"/>
  <c r="X52" i="132"/>
  <c r="D25" i="133"/>
  <c r="D12" i="133"/>
  <c r="D19" i="133"/>
  <c r="D23" i="133"/>
  <c r="D28" i="133"/>
  <c r="D35" i="133"/>
  <c r="D15" i="133"/>
  <c r="D18" i="133"/>
  <c r="D27" i="133"/>
  <c r="D34" i="133"/>
  <c r="D38" i="133"/>
  <c r="D13" i="133"/>
  <c r="D21" i="133"/>
  <c r="D26" i="133"/>
  <c r="D33" i="133"/>
  <c r="D37" i="133"/>
  <c r="D41" i="133"/>
  <c r="D24" i="133"/>
  <c r="D32" i="133"/>
  <c r="D20" i="133"/>
  <c r="D16" i="133"/>
  <c r="D36" i="133"/>
  <c r="D42" i="133"/>
  <c r="H25" i="133"/>
  <c r="H12" i="133"/>
  <c r="H19" i="133"/>
  <c r="H23" i="133"/>
  <c r="H28" i="133"/>
  <c r="H35" i="133"/>
  <c r="H15" i="133"/>
  <c r="H18" i="133"/>
  <c r="H27" i="133"/>
  <c r="H34" i="133"/>
  <c r="H38" i="133"/>
  <c r="H16" i="133"/>
  <c r="H13" i="133"/>
  <c r="H21" i="133"/>
  <c r="H26" i="133"/>
  <c r="H33" i="133"/>
  <c r="H37" i="133"/>
  <c r="H41" i="133"/>
  <c r="H36" i="133"/>
  <c r="H42" i="133"/>
  <c r="H24" i="133"/>
  <c r="H20" i="133"/>
  <c r="H32" i="133"/>
  <c r="L25" i="133"/>
  <c r="L12" i="133"/>
  <c r="L19" i="133"/>
  <c r="L23" i="133"/>
  <c r="L28" i="133"/>
  <c r="L35" i="133"/>
  <c r="L16" i="133"/>
  <c r="L15" i="133"/>
  <c r="L18" i="133"/>
  <c r="L27" i="133"/>
  <c r="L34" i="133"/>
  <c r="L38" i="133"/>
  <c r="L13" i="133"/>
  <c r="L21" i="133"/>
  <c r="L26" i="133"/>
  <c r="L33" i="133"/>
  <c r="L37" i="133"/>
  <c r="L41" i="133"/>
  <c r="L24" i="133"/>
  <c r="L36" i="133"/>
  <c r="L42" i="133"/>
  <c r="L32" i="133"/>
  <c r="L20" i="133"/>
  <c r="P25" i="133"/>
  <c r="P12" i="133"/>
  <c r="P16" i="133"/>
  <c r="P19" i="133"/>
  <c r="P23" i="133"/>
  <c r="P28" i="133"/>
  <c r="P35" i="133"/>
  <c r="P15" i="133"/>
  <c r="P18" i="133"/>
  <c r="P27" i="133"/>
  <c r="P34" i="133"/>
  <c r="P38" i="133"/>
  <c r="P13" i="133"/>
  <c r="P21" i="133"/>
  <c r="P26" i="133"/>
  <c r="P33" i="133"/>
  <c r="P37" i="133"/>
  <c r="P41" i="133"/>
  <c r="P20" i="133"/>
  <c r="P42" i="133"/>
  <c r="P32" i="133"/>
  <c r="P24" i="133"/>
  <c r="P36" i="133"/>
  <c r="T25" i="133"/>
  <c r="T12" i="133"/>
  <c r="T19" i="133"/>
  <c r="T23" i="133"/>
  <c r="T28" i="133"/>
  <c r="T35" i="133"/>
  <c r="T15" i="133"/>
  <c r="T18" i="133"/>
  <c r="T34" i="133"/>
  <c r="T38" i="133"/>
  <c r="T13" i="133"/>
  <c r="T21" i="133"/>
  <c r="T26" i="133"/>
  <c r="T33" i="133"/>
  <c r="T37" i="133"/>
  <c r="T41" i="133"/>
  <c r="T24" i="133"/>
  <c r="T20" i="133"/>
  <c r="T16" i="133"/>
  <c r="T17" i="133" s="1"/>
  <c r="T36" i="133"/>
  <c r="T42" i="133"/>
  <c r="T32" i="133"/>
  <c r="X25" i="133"/>
  <c r="X12" i="133"/>
  <c r="X19" i="133"/>
  <c r="X23" i="133"/>
  <c r="X28" i="133"/>
  <c r="X35" i="133"/>
  <c r="X15" i="133"/>
  <c r="X18" i="133"/>
  <c r="X34" i="133"/>
  <c r="X38" i="133"/>
  <c r="X16" i="133"/>
  <c r="X17" i="133" s="1"/>
  <c r="X13" i="133"/>
  <c r="X21" i="133"/>
  <c r="X26" i="133"/>
  <c r="X33" i="133"/>
  <c r="X37" i="133"/>
  <c r="X41" i="133"/>
  <c r="X36" i="133"/>
  <c r="X32" i="133"/>
  <c r="X24" i="133"/>
  <c r="X20" i="133"/>
  <c r="X42" i="133"/>
  <c r="D32" i="134"/>
  <c r="D35" i="134"/>
  <c r="D12" i="134"/>
  <c r="D36" i="134"/>
  <c r="D34" i="134"/>
  <c r="D42" i="134"/>
  <c r="D13" i="134"/>
  <c r="D18" i="134"/>
  <c r="D37" i="134"/>
  <c r="D41" i="134"/>
  <c r="D15" i="134"/>
  <c r="D38" i="134"/>
  <c r="D40" i="134"/>
  <c r="D16" i="134"/>
  <c r="D33" i="134"/>
  <c r="D20" i="134"/>
  <c r="D24" i="134"/>
  <c r="D28" i="134"/>
  <c r="D21" i="134"/>
  <c r="D25" i="134"/>
  <c r="D26" i="134"/>
  <c r="D19" i="134"/>
  <c r="D23" i="134"/>
  <c r="H35" i="134"/>
  <c r="H12" i="134"/>
  <c r="H32" i="134"/>
  <c r="H36" i="134"/>
  <c r="H38" i="134"/>
  <c r="H41" i="134"/>
  <c r="H13" i="134"/>
  <c r="H18" i="134"/>
  <c r="H33" i="134"/>
  <c r="H40" i="134"/>
  <c r="H15" i="134"/>
  <c r="H34" i="134"/>
  <c r="H16" i="134"/>
  <c r="H20" i="134"/>
  <c r="H24" i="134"/>
  <c r="H28" i="134"/>
  <c r="H37" i="134"/>
  <c r="H21" i="134"/>
  <c r="H25" i="134"/>
  <c r="H42" i="134"/>
  <c r="H26" i="134"/>
  <c r="H23" i="134"/>
  <c r="H19" i="134"/>
  <c r="L35" i="134"/>
  <c r="L12" i="134"/>
  <c r="L32" i="134"/>
  <c r="L36" i="134"/>
  <c r="L34" i="134"/>
  <c r="L40" i="134"/>
  <c r="L13" i="134"/>
  <c r="L18" i="134"/>
  <c r="L37" i="134"/>
  <c r="L15" i="134"/>
  <c r="L38" i="134"/>
  <c r="L42" i="134"/>
  <c r="L16" i="134"/>
  <c r="L20" i="134"/>
  <c r="L24" i="134"/>
  <c r="L28" i="134"/>
  <c r="L33" i="134"/>
  <c r="L21" i="134"/>
  <c r="L25" i="134"/>
  <c r="L41" i="134"/>
  <c r="L26" i="134"/>
  <c r="L23" i="134"/>
  <c r="L19" i="134"/>
  <c r="P35" i="134"/>
  <c r="P12" i="134"/>
  <c r="P32" i="134"/>
  <c r="P36" i="134"/>
  <c r="P38" i="134"/>
  <c r="P13" i="134"/>
  <c r="P33" i="134"/>
  <c r="P42" i="134"/>
  <c r="P15" i="134"/>
  <c r="P34" i="134"/>
  <c r="P41" i="134"/>
  <c r="P16" i="134"/>
  <c r="P24" i="134"/>
  <c r="P28" i="134"/>
  <c r="P21" i="134"/>
  <c r="P25" i="134"/>
  <c r="P37" i="134"/>
  <c r="P40" i="134"/>
  <c r="P18" i="134"/>
  <c r="P26" i="134"/>
  <c r="P19" i="134"/>
  <c r="P23" i="134"/>
  <c r="T13" i="134"/>
  <c r="T15" i="134"/>
  <c r="T40" i="134"/>
  <c r="T16" i="134"/>
  <c r="T24" i="134"/>
  <c r="T12" i="134"/>
  <c r="T21" i="134"/>
  <c r="T25" i="134"/>
  <c r="T18" i="134"/>
  <c r="T19" i="134"/>
  <c r="T23" i="134"/>
  <c r="X13" i="134"/>
  <c r="X40" i="134"/>
  <c r="X15" i="134"/>
  <c r="X16" i="134"/>
  <c r="X24" i="134"/>
  <c r="X21" i="134"/>
  <c r="X25" i="134"/>
  <c r="X12" i="134"/>
  <c r="X18" i="134"/>
  <c r="X23" i="134"/>
  <c r="X19" i="134"/>
  <c r="E12" i="132"/>
  <c r="E16" i="132"/>
  <c r="E20" i="132"/>
  <c r="E24" i="132"/>
  <c r="E28" i="132"/>
  <c r="E36" i="132"/>
  <c r="E40" i="132"/>
  <c r="E47" i="132"/>
  <c r="E51" i="132"/>
  <c r="E19" i="132"/>
  <c r="E23" i="132"/>
  <c r="E27" i="132"/>
  <c r="E35" i="132"/>
  <c r="E46" i="132"/>
  <c r="E50" i="132"/>
  <c r="E54" i="132"/>
  <c r="E21" i="132"/>
  <c r="E25" i="132"/>
  <c r="E32" i="132"/>
  <c r="E37" i="132"/>
  <c r="E41" i="132"/>
  <c r="E48" i="132"/>
  <c r="E52" i="132"/>
  <c r="E34" i="132"/>
  <c r="E53" i="132"/>
  <c r="E13" i="132"/>
  <c r="E15" i="132"/>
  <c r="E26" i="132"/>
  <c r="E49" i="132"/>
  <c r="E42" i="132"/>
  <c r="E18" i="132"/>
  <c r="E38" i="132"/>
  <c r="I12" i="132"/>
  <c r="I16" i="132"/>
  <c r="I20" i="132"/>
  <c r="I24" i="132"/>
  <c r="I28" i="132"/>
  <c r="I36" i="132"/>
  <c r="I40" i="132"/>
  <c r="I47" i="132"/>
  <c r="I51" i="132"/>
  <c r="I19" i="132"/>
  <c r="I23" i="132"/>
  <c r="I27" i="132"/>
  <c r="I35" i="132"/>
  <c r="I46" i="132"/>
  <c r="I50" i="132"/>
  <c r="I54" i="132"/>
  <c r="I21" i="132"/>
  <c r="I25" i="132"/>
  <c r="I32" i="132"/>
  <c r="I37" i="132"/>
  <c r="I41" i="132"/>
  <c r="I48" i="132"/>
  <c r="I52" i="132"/>
  <c r="I18" i="132"/>
  <c r="I38" i="132"/>
  <c r="I34" i="132"/>
  <c r="I43" i="132" s="1"/>
  <c r="I53" i="132"/>
  <c r="I15" i="132"/>
  <c r="I49" i="132"/>
  <c r="I13" i="132"/>
  <c r="I42" i="132"/>
  <c r="I26" i="132"/>
  <c r="M12" i="132"/>
  <c r="M16" i="132"/>
  <c r="M20" i="132"/>
  <c r="M24" i="132"/>
  <c r="M28" i="132"/>
  <c r="M36" i="132"/>
  <c r="M40" i="132"/>
  <c r="M47" i="132"/>
  <c r="M51" i="132"/>
  <c r="M19" i="132"/>
  <c r="M23" i="132"/>
  <c r="M27" i="132"/>
  <c r="M35" i="132"/>
  <c r="M46" i="132"/>
  <c r="M50" i="132"/>
  <c r="M54" i="132"/>
  <c r="M21" i="132"/>
  <c r="M25" i="132"/>
  <c r="M32" i="132"/>
  <c r="M37" i="132"/>
  <c r="M41" i="132"/>
  <c r="M48" i="132"/>
  <c r="M52" i="132"/>
  <c r="M13" i="132"/>
  <c r="M42" i="132"/>
  <c r="M34" i="132"/>
  <c r="M43" i="132" s="1"/>
  <c r="M53" i="132"/>
  <c r="M18" i="132"/>
  <c r="M38" i="132"/>
  <c r="M15" i="132"/>
  <c r="M26" i="132"/>
  <c r="M49" i="132"/>
  <c r="Q12" i="132"/>
  <c r="Q16" i="132"/>
  <c r="Q20" i="132"/>
  <c r="Q24" i="132"/>
  <c r="Q28" i="132"/>
  <c r="Q36" i="132"/>
  <c r="Q40" i="132"/>
  <c r="Q47" i="132"/>
  <c r="Q51" i="132"/>
  <c r="Q19" i="132"/>
  <c r="Q23" i="132"/>
  <c r="Q35" i="132"/>
  <c r="Q46" i="132"/>
  <c r="Q50" i="132"/>
  <c r="Q54" i="132"/>
  <c r="Q21" i="132"/>
  <c r="Q25" i="132"/>
  <c r="Q32" i="132"/>
  <c r="Q43" i="132" s="1"/>
  <c r="Q37" i="132"/>
  <c r="Q41" i="132"/>
  <c r="Q48" i="132"/>
  <c r="Q52" i="132"/>
  <c r="Q15" i="132"/>
  <c r="Q26" i="132"/>
  <c r="Q49" i="132"/>
  <c r="Q13" i="132"/>
  <c r="Q42" i="132"/>
  <c r="Q34" i="132"/>
  <c r="Q53" i="132"/>
  <c r="Q18" i="132"/>
  <c r="Q38" i="132"/>
  <c r="U12" i="132"/>
  <c r="U16" i="132"/>
  <c r="U20" i="132"/>
  <c r="U24" i="132"/>
  <c r="U28" i="132"/>
  <c r="U36" i="132"/>
  <c r="U40" i="132"/>
  <c r="U47" i="132"/>
  <c r="U51" i="132"/>
  <c r="U19" i="132"/>
  <c r="U23" i="132"/>
  <c r="U35" i="132"/>
  <c r="U46" i="132"/>
  <c r="U50" i="132"/>
  <c r="U54" i="132"/>
  <c r="U21" i="132"/>
  <c r="U25" i="132"/>
  <c r="U32" i="132"/>
  <c r="U37" i="132"/>
  <c r="U41" i="132"/>
  <c r="U48" i="132"/>
  <c r="U52" i="132"/>
  <c r="U34" i="132"/>
  <c r="U43" i="132" s="1"/>
  <c r="U53" i="132"/>
  <c r="U42" i="132"/>
  <c r="U15" i="132"/>
  <c r="U26" i="132"/>
  <c r="U49" i="132"/>
  <c r="U18" i="132"/>
  <c r="U38" i="132"/>
  <c r="U13" i="132"/>
  <c r="Y12" i="132"/>
  <c r="Y16" i="132"/>
  <c r="Y20" i="132"/>
  <c r="Y24" i="132"/>
  <c r="Y28" i="132"/>
  <c r="Y36" i="132"/>
  <c r="Y40" i="132"/>
  <c r="Y47" i="132"/>
  <c r="Y51" i="132"/>
  <c r="Y19" i="132"/>
  <c r="Y23" i="132"/>
  <c r="Y35" i="132"/>
  <c r="Y46" i="132"/>
  <c r="Y50" i="132"/>
  <c r="Y54" i="132"/>
  <c r="Y21" i="132"/>
  <c r="Y25" i="132"/>
  <c r="Y32" i="132"/>
  <c r="Y37" i="132"/>
  <c r="Y41" i="132"/>
  <c r="Y48" i="132"/>
  <c r="Y52" i="132"/>
  <c r="Y18" i="132"/>
  <c r="Y38" i="132"/>
  <c r="Y49" i="132"/>
  <c r="Y34" i="132"/>
  <c r="Y53" i="132"/>
  <c r="Y26" i="132"/>
  <c r="Y13" i="132"/>
  <c r="Y42" i="132"/>
  <c r="Y15" i="132"/>
  <c r="E16" i="133"/>
  <c r="E25" i="133"/>
  <c r="E20" i="133"/>
  <c r="E24" i="133"/>
  <c r="E36" i="133"/>
  <c r="E12" i="133"/>
  <c r="E19" i="133"/>
  <c r="E23" i="133"/>
  <c r="E28" i="133"/>
  <c r="E35" i="133"/>
  <c r="E15" i="133"/>
  <c r="E18" i="133"/>
  <c r="E27" i="133"/>
  <c r="E34" i="133"/>
  <c r="E38" i="133"/>
  <c r="E42" i="133"/>
  <c r="E41" i="133"/>
  <c r="E33" i="133"/>
  <c r="E37" i="133"/>
  <c r="E21" i="133"/>
  <c r="E32" i="133"/>
  <c r="E13" i="133"/>
  <c r="E26" i="133"/>
  <c r="I16" i="133"/>
  <c r="I25" i="133"/>
  <c r="I12" i="133"/>
  <c r="I20" i="133"/>
  <c r="I24" i="133"/>
  <c r="I36" i="133"/>
  <c r="I19" i="133"/>
  <c r="I23" i="133"/>
  <c r="I28" i="133"/>
  <c r="I35" i="133"/>
  <c r="I15" i="133"/>
  <c r="I18" i="133"/>
  <c r="I27" i="133"/>
  <c r="I34" i="133"/>
  <c r="I38" i="133"/>
  <c r="I42" i="133"/>
  <c r="I21" i="133"/>
  <c r="I37" i="133"/>
  <c r="I41" i="133"/>
  <c r="I13" i="133"/>
  <c r="I26" i="133"/>
  <c r="I33" i="133"/>
  <c r="I32" i="133"/>
  <c r="M16" i="133"/>
  <c r="M25" i="133"/>
  <c r="M20" i="133"/>
  <c r="M24" i="133"/>
  <c r="M36" i="133"/>
  <c r="M19" i="133"/>
  <c r="M23" i="133"/>
  <c r="M28" i="133"/>
  <c r="M35" i="133"/>
  <c r="M15" i="133"/>
  <c r="M18" i="133"/>
  <c r="M27" i="133"/>
  <c r="M34" i="133"/>
  <c r="M38" i="133"/>
  <c r="M12" i="133"/>
  <c r="M13" i="133"/>
  <c r="M26" i="133"/>
  <c r="M33" i="133"/>
  <c r="M21" i="133"/>
  <c r="M37" i="133"/>
  <c r="M41" i="133"/>
  <c r="M42" i="133"/>
  <c r="M32" i="133"/>
  <c r="Q16" i="133"/>
  <c r="Q25" i="133"/>
  <c r="Q20" i="133"/>
  <c r="Q24" i="133"/>
  <c r="Q36" i="133"/>
  <c r="Q19" i="133"/>
  <c r="Q23" i="133"/>
  <c r="Q28" i="133"/>
  <c r="Q35" i="133"/>
  <c r="Q12" i="133"/>
  <c r="Q15" i="133"/>
  <c r="Q18" i="133"/>
  <c r="Q27" i="133"/>
  <c r="Q34" i="133"/>
  <c r="Q38" i="133"/>
  <c r="Q37" i="133"/>
  <c r="Q21" i="133"/>
  <c r="Q13" i="133"/>
  <c r="Q26" i="133"/>
  <c r="Q33" i="133"/>
  <c r="Q41" i="133"/>
  <c r="Q42" i="133"/>
  <c r="Q32" i="133"/>
  <c r="U16" i="133"/>
  <c r="U25" i="133"/>
  <c r="U20" i="133"/>
  <c r="U24" i="133"/>
  <c r="U36" i="133"/>
  <c r="U12" i="133"/>
  <c r="U19" i="133"/>
  <c r="U23" i="133"/>
  <c r="U28" i="133"/>
  <c r="U35" i="133"/>
  <c r="U15" i="133"/>
  <c r="U18" i="133"/>
  <c r="U34" i="133"/>
  <c r="U38" i="133"/>
  <c r="U37" i="133"/>
  <c r="U13" i="133"/>
  <c r="U26" i="133"/>
  <c r="U33" i="133"/>
  <c r="U21" i="133"/>
  <c r="U41" i="133"/>
  <c r="U42" i="133"/>
  <c r="U32" i="133"/>
  <c r="Y16" i="133"/>
  <c r="Y25" i="133"/>
  <c r="Y12" i="133"/>
  <c r="Y20" i="133"/>
  <c r="Y24" i="133"/>
  <c r="Y36" i="133"/>
  <c r="Y19" i="133"/>
  <c r="Y23" i="133"/>
  <c r="Y28" i="133"/>
  <c r="Y35" i="133"/>
  <c r="Y15" i="133"/>
  <c r="Y18" i="133"/>
  <c r="Y34" i="133"/>
  <c r="Y38" i="133"/>
  <c r="Y21" i="133"/>
  <c r="Y41" i="133"/>
  <c r="Y37" i="133"/>
  <c r="Y13" i="133"/>
  <c r="Y26" i="133"/>
  <c r="Y33" i="133"/>
  <c r="Y42" i="133"/>
  <c r="Y32" i="133"/>
  <c r="Y43" i="133" s="1"/>
  <c r="E34" i="134"/>
  <c r="E38" i="134"/>
  <c r="E42" i="134"/>
  <c r="E35" i="134"/>
  <c r="E33" i="134"/>
  <c r="E36" i="134"/>
  <c r="E13" i="134"/>
  <c r="E37" i="134"/>
  <c r="E41" i="134"/>
  <c r="E15" i="134"/>
  <c r="E40" i="134"/>
  <c r="E16" i="134"/>
  <c r="E19" i="134"/>
  <c r="E23" i="134"/>
  <c r="E32" i="134"/>
  <c r="E20" i="134"/>
  <c r="E24" i="134"/>
  <c r="E28" i="134"/>
  <c r="E12" i="134"/>
  <c r="E21" i="134"/>
  <c r="E25" i="134"/>
  <c r="E18" i="134"/>
  <c r="E26" i="134"/>
  <c r="I34" i="134"/>
  <c r="I38" i="134"/>
  <c r="I42" i="134"/>
  <c r="I35" i="134"/>
  <c r="I37" i="134"/>
  <c r="I32" i="134"/>
  <c r="I41" i="134"/>
  <c r="I13" i="134"/>
  <c r="I33" i="134"/>
  <c r="I40" i="134"/>
  <c r="I12" i="134"/>
  <c r="I15" i="134"/>
  <c r="I19" i="134"/>
  <c r="I23" i="134"/>
  <c r="I16" i="134"/>
  <c r="I18" i="134"/>
  <c r="I20" i="134"/>
  <c r="I24" i="134"/>
  <c r="I28" i="134"/>
  <c r="I36" i="134"/>
  <c r="I21" i="134"/>
  <c r="I25" i="134"/>
  <c r="I26" i="134"/>
  <c r="M34" i="134"/>
  <c r="M38" i="134"/>
  <c r="M42" i="134"/>
  <c r="M35" i="134"/>
  <c r="M33" i="134"/>
  <c r="M41" i="134"/>
  <c r="M36" i="134"/>
  <c r="M40" i="134"/>
  <c r="M12" i="134"/>
  <c r="M13" i="134"/>
  <c r="M37" i="134"/>
  <c r="M15" i="134"/>
  <c r="M19" i="134"/>
  <c r="M23" i="134"/>
  <c r="M20" i="134"/>
  <c r="M24" i="134"/>
  <c r="M28" i="134"/>
  <c r="M32" i="134"/>
  <c r="M16" i="134"/>
  <c r="M21" i="134"/>
  <c r="M25" i="134"/>
  <c r="M18" i="134"/>
  <c r="M26" i="134"/>
  <c r="Q34" i="134"/>
  <c r="Q38" i="134"/>
  <c r="Q42" i="134"/>
  <c r="Q35" i="134"/>
  <c r="Q37" i="134"/>
  <c r="Q40" i="134"/>
  <c r="Q12" i="134"/>
  <c r="Q32" i="134"/>
  <c r="Q13" i="134"/>
  <c r="Q33" i="134"/>
  <c r="Q15" i="134"/>
  <c r="Q19" i="134"/>
  <c r="Q23" i="134"/>
  <c r="Q24" i="134"/>
  <c r="Q28" i="134"/>
  <c r="Q21" i="134"/>
  <c r="Q25" i="134"/>
  <c r="Q41" i="134"/>
  <c r="Q26" i="134"/>
  <c r="Q36" i="134"/>
  <c r="Q16" i="134"/>
  <c r="Q18" i="134"/>
  <c r="U12" i="134"/>
  <c r="U13" i="134"/>
  <c r="U15" i="134"/>
  <c r="U16" i="134"/>
  <c r="U19" i="134"/>
  <c r="U23" i="134"/>
  <c r="U24" i="134"/>
  <c r="U21" i="134"/>
  <c r="U25" i="134"/>
  <c r="U40" i="134"/>
  <c r="U18" i="134"/>
  <c r="Y12" i="134"/>
  <c r="Y13" i="134"/>
  <c r="Y40" i="134"/>
  <c r="Y15" i="134"/>
  <c r="Y19" i="134"/>
  <c r="Y23" i="134"/>
  <c r="Y16" i="134"/>
  <c r="Y24" i="134"/>
  <c r="Y21" i="134"/>
  <c r="Y25" i="134"/>
  <c r="Y18" i="134"/>
  <c r="AC16" i="134"/>
  <c r="AB16" i="134"/>
  <c r="F12" i="132"/>
  <c r="F16" i="132"/>
  <c r="F21" i="132"/>
  <c r="F25" i="132"/>
  <c r="F32" i="132"/>
  <c r="F37" i="132"/>
  <c r="F41" i="132"/>
  <c r="F48" i="132"/>
  <c r="F52" i="132"/>
  <c r="F20" i="132"/>
  <c r="F24" i="132"/>
  <c r="F28" i="132"/>
  <c r="F36" i="132"/>
  <c r="F40" i="132"/>
  <c r="F47" i="132"/>
  <c r="F51" i="132"/>
  <c r="F13" i="132"/>
  <c r="F15" i="132"/>
  <c r="F18" i="132"/>
  <c r="F26" i="132"/>
  <c r="F34" i="132"/>
  <c r="F38" i="132"/>
  <c r="F42" i="132"/>
  <c r="F49" i="132"/>
  <c r="F53" i="132"/>
  <c r="F23" i="132"/>
  <c r="F46" i="132"/>
  <c r="F19" i="132"/>
  <c r="F27" i="132"/>
  <c r="F50" i="132"/>
  <c r="F35" i="132"/>
  <c r="F43" i="132" s="1"/>
  <c r="F54" i="132"/>
  <c r="J12" i="132"/>
  <c r="J16" i="132"/>
  <c r="J21" i="132"/>
  <c r="J25" i="132"/>
  <c r="J32" i="132"/>
  <c r="J37" i="132"/>
  <c r="J41" i="132"/>
  <c r="J48" i="132"/>
  <c r="J52" i="132"/>
  <c r="J20" i="132"/>
  <c r="J24" i="132"/>
  <c r="J28" i="132"/>
  <c r="J36" i="132"/>
  <c r="J40" i="132"/>
  <c r="J47" i="132"/>
  <c r="J51" i="132"/>
  <c r="J13" i="132"/>
  <c r="J15" i="132"/>
  <c r="J18" i="132"/>
  <c r="J26" i="132"/>
  <c r="J34" i="132"/>
  <c r="J38" i="132"/>
  <c r="J42" i="132"/>
  <c r="J49" i="132"/>
  <c r="J53" i="132"/>
  <c r="J27" i="132"/>
  <c r="J50" i="132"/>
  <c r="J19" i="132"/>
  <c r="J23" i="132"/>
  <c r="J46" i="132"/>
  <c r="J35" i="132"/>
  <c r="J43" i="132" s="1"/>
  <c r="J54" i="132"/>
  <c r="N12" i="132"/>
  <c r="N16" i="132"/>
  <c r="N21" i="132"/>
  <c r="N25" i="132"/>
  <c r="N32" i="132"/>
  <c r="N37" i="132"/>
  <c r="N41" i="132"/>
  <c r="N48" i="132"/>
  <c r="N52" i="132"/>
  <c r="N20" i="132"/>
  <c r="N24" i="132"/>
  <c r="N28" i="132"/>
  <c r="N36" i="132"/>
  <c r="N40" i="132"/>
  <c r="N47" i="132"/>
  <c r="N51" i="132"/>
  <c r="N13" i="132"/>
  <c r="N15" i="132"/>
  <c r="N18" i="132"/>
  <c r="N26" i="132"/>
  <c r="N34" i="132"/>
  <c r="N38" i="132"/>
  <c r="N42" i="132"/>
  <c r="N49" i="132"/>
  <c r="N53" i="132"/>
  <c r="N35" i="132"/>
  <c r="N54" i="132"/>
  <c r="N23" i="132"/>
  <c r="N27" i="132"/>
  <c r="N50" i="132"/>
  <c r="N19" i="132"/>
  <c r="N46" i="132"/>
  <c r="R12" i="132"/>
  <c r="R16" i="132"/>
  <c r="R21" i="132"/>
  <c r="R25" i="132"/>
  <c r="R32" i="132"/>
  <c r="R37" i="132"/>
  <c r="R41" i="132"/>
  <c r="R48" i="132"/>
  <c r="R52" i="132"/>
  <c r="R20" i="132"/>
  <c r="R24" i="132"/>
  <c r="R28" i="132"/>
  <c r="R36" i="132"/>
  <c r="R40" i="132"/>
  <c r="R47" i="132"/>
  <c r="R51" i="132"/>
  <c r="R13" i="132"/>
  <c r="R15" i="132"/>
  <c r="R18" i="132"/>
  <c r="R26" i="132"/>
  <c r="R34" i="132"/>
  <c r="R38" i="132"/>
  <c r="R42" i="132"/>
  <c r="AD42" i="132" s="1"/>
  <c r="R49" i="132"/>
  <c r="R53" i="132"/>
  <c r="R19" i="132"/>
  <c r="R35" i="132"/>
  <c r="R43" i="132" s="1"/>
  <c r="R54" i="132"/>
  <c r="R23" i="132"/>
  <c r="R46" i="132"/>
  <c r="R50" i="132"/>
  <c r="V12" i="132"/>
  <c r="V16" i="132"/>
  <c r="V21" i="132"/>
  <c r="V25" i="132"/>
  <c r="V32" i="132"/>
  <c r="V37" i="132"/>
  <c r="V41" i="132"/>
  <c r="V48" i="132"/>
  <c r="V52" i="132"/>
  <c r="V20" i="132"/>
  <c r="V24" i="132"/>
  <c r="V28" i="132"/>
  <c r="V36" i="132"/>
  <c r="V40" i="132"/>
  <c r="V47" i="132"/>
  <c r="V51" i="132"/>
  <c r="V13" i="132"/>
  <c r="V15" i="132"/>
  <c r="V18" i="132"/>
  <c r="V26" i="132"/>
  <c r="V34" i="132"/>
  <c r="V38" i="132"/>
  <c r="V42" i="132"/>
  <c r="V49" i="132"/>
  <c r="V53" i="132"/>
  <c r="V23" i="132"/>
  <c r="V46" i="132"/>
  <c r="V19" i="132"/>
  <c r="V35" i="132"/>
  <c r="V54" i="132"/>
  <c r="V50" i="132"/>
  <c r="Z12" i="132"/>
  <c r="AA12" i="132"/>
  <c r="AA14" i="132" s="1"/>
  <c r="Z16" i="132"/>
  <c r="Z51" i="132"/>
  <c r="Z47" i="132"/>
  <c r="Z40" i="132"/>
  <c r="Z36" i="132"/>
  <c r="Z28" i="132"/>
  <c r="Z24" i="132"/>
  <c r="Z20" i="132"/>
  <c r="Z53" i="132"/>
  <c r="Z38" i="132"/>
  <c r="Z54" i="132"/>
  <c r="Z50" i="132"/>
  <c r="Z46" i="132"/>
  <c r="Z35" i="132"/>
  <c r="Z23" i="132"/>
  <c r="Z42" i="132"/>
  <c r="Z26" i="132"/>
  <c r="Z52" i="132"/>
  <c r="Z48" i="132"/>
  <c r="Z41" i="132"/>
  <c r="Z37" i="132"/>
  <c r="Z32" i="132"/>
  <c r="Z25" i="132"/>
  <c r="Z21" i="132"/>
  <c r="Z19" i="132"/>
  <c r="Z49" i="132"/>
  <c r="Z34" i="132"/>
  <c r="Z43" i="132" s="1"/>
  <c r="Z18" i="132"/>
  <c r="F16" i="133"/>
  <c r="F12" i="133"/>
  <c r="F13" i="133"/>
  <c r="F21" i="133"/>
  <c r="F26" i="133"/>
  <c r="F33" i="133"/>
  <c r="F37" i="133"/>
  <c r="F41" i="133"/>
  <c r="F20" i="133"/>
  <c r="F24" i="133"/>
  <c r="F36" i="133"/>
  <c r="F19" i="133"/>
  <c r="F23" i="133"/>
  <c r="F28" i="133"/>
  <c r="F35" i="133"/>
  <c r="F15" i="133"/>
  <c r="F27" i="133"/>
  <c r="F34" i="133"/>
  <c r="F32" i="133"/>
  <c r="F25" i="133"/>
  <c r="F38" i="133"/>
  <c r="F42" i="133"/>
  <c r="F18" i="133"/>
  <c r="J16" i="133"/>
  <c r="J12" i="133"/>
  <c r="J25" i="133"/>
  <c r="J13" i="133"/>
  <c r="J21" i="133"/>
  <c r="J26" i="133"/>
  <c r="J33" i="133"/>
  <c r="J37" i="133"/>
  <c r="J41" i="133"/>
  <c r="J20" i="133"/>
  <c r="J24" i="133"/>
  <c r="J36" i="133"/>
  <c r="J19" i="133"/>
  <c r="J23" i="133"/>
  <c r="J28" i="133"/>
  <c r="J35" i="133"/>
  <c r="J38" i="133"/>
  <c r="J32" i="133"/>
  <c r="J15" i="133"/>
  <c r="J27" i="133"/>
  <c r="J34" i="133"/>
  <c r="J42" i="133"/>
  <c r="J18" i="133"/>
  <c r="N16" i="133"/>
  <c r="N12" i="133"/>
  <c r="N13" i="133"/>
  <c r="N21" i="133"/>
  <c r="N26" i="133"/>
  <c r="N33" i="133"/>
  <c r="N37" i="133"/>
  <c r="N41" i="133"/>
  <c r="N25" i="133"/>
  <c r="N20" i="133"/>
  <c r="N24" i="133"/>
  <c r="N36" i="133"/>
  <c r="N19" i="133"/>
  <c r="N23" i="133"/>
  <c r="N28" i="133"/>
  <c r="N35" i="133"/>
  <c r="N18" i="133"/>
  <c r="N42" i="133"/>
  <c r="N32" i="133"/>
  <c r="N43" i="133" s="1"/>
  <c r="N15" i="133"/>
  <c r="N27" i="133"/>
  <c r="N38" i="133"/>
  <c r="N34" i="133"/>
  <c r="R16" i="133"/>
  <c r="R12" i="133"/>
  <c r="R13" i="133"/>
  <c r="R21" i="133"/>
  <c r="R26" i="133"/>
  <c r="R33" i="133"/>
  <c r="R37" i="133"/>
  <c r="R41" i="133"/>
  <c r="AZ41" i="133" s="1"/>
  <c r="R20" i="133"/>
  <c r="R24" i="133"/>
  <c r="R36" i="133"/>
  <c r="R25" i="133"/>
  <c r="R19" i="133"/>
  <c r="R23" i="133"/>
  <c r="R28" i="133"/>
  <c r="R35" i="133"/>
  <c r="AD35" i="133" s="1"/>
  <c r="R42" i="133"/>
  <c r="R32" i="133"/>
  <c r="R18" i="133"/>
  <c r="R15" i="133"/>
  <c r="R34" i="133"/>
  <c r="R38" i="133"/>
  <c r="V16" i="133"/>
  <c r="V12" i="133"/>
  <c r="V13" i="133"/>
  <c r="V21" i="133"/>
  <c r="V26" i="133"/>
  <c r="V33" i="133"/>
  <c r="V37" i="133"/>
  <c r="V41" i="133"/>
  <c r="V20" i="133"/>
  <c r="V24" i="133"/>
  <c r="V36" i="133"/>
  <c r="V19" i="133"/>
  <c r="V23" i="133"/>
  <c r="V28" i="133"/>
  <c r="V35" i="133"/>
  <c r="V15" i="133"/>
  <c r="V34" i="133"/>
  <c r="V42" i="133"/>
  <c r="V32" i="133"/>
  <c r="V18" i="133"/>
  <c r="V38" i="133"/>
  <c r="V25" i="133"/>
  <c r="Z16" i="133"/>
  <c r="Z12" i="133"/>
  <c r="Z25" i="133"/>
  <c r="Z13" i="133"/>
  <c r="Z21" i="133"/>
  <c r="Z26" i="133"/>
  <c r="Z33" i="133"/>
  <c r="Z37" i="133"/>
  <c r="Z41" i="133"/>
  <c r="Z20" i="133"/>
  <c r="Z24" i="133"/>
  <c r="Z36" i="133"/>
  <c r="Z19" i="133"/>
  <c r="Z23" i="133"/>
  <c r="Z28" i="133"/>
  <c r="Z35" i="133"/>
  <c r="Z38" i="133"/>
  <c r="Z42" i="133"/>
  <c r="Z32" i="133"/>
  <c r="Z15" i="133"/>
  <c r="Z34" i="133"/>
  <c r="Z18" i="133"/>
  <c r="F33" i="134"/>
  <c r="F37" i="134"/>
  <c r="F41" i="134"/>
  <c r="F34" i="134"/>
  <c r="F38" i="134"/>
  <c r="F32" i="134"/>
  <c r="F40" i="134"/>
  <c r="F12" i="134"/>
  <c r="F16" i="134"/>
  <c r="F35" i="134"/>
  <c r="F42" i="134"/>
  <c r="F36" i="134"/>
  <c r="F13" i="134"/>
  <c r="F18" i="134"/>
  <c r="F26" i="134"/>
  <c r="F19" i="134"/>
  <c r="F23" i="134"/>
  <c r="F15" i="134"/>
  <c r="F20" i="134"/>
  <c r="F24" i="134"/>
  <c r="F28" i="134"/>
  <c r="F25" i="134"/>
  <c r="F21" i="134"/>
  <c r="J33" i="134"/>
  <c r="J37" i="134"/>
  <c r="J41" i="134"/>
  <c r="J34" i="134"/>
  <c r="J38" i="134"/>
  <c r="J36" i="134"/>
  <c r="J42" i="134"/>
  <c r="J16" i="134"/>
  <c r="J32" i="134"/>
  <c r="J13" i="134"/>
  <c r="J18" i="134"/>
  <c r="J26" i="134"/>
  <c r="J40" i="134"/>
  <c r="J19" i="134"/>
  <c r="J23" i="134"/>
  <c r="J20" i="134"/>
  <c r="J24" i="134"/>
  <c r="J28" i="134"/>
  <c r="J25" i="134"/>
  <c r="J15" i="134"/>
  <c r="J21" i="134"/>
  <c r="J35" i="134"/>
  <c r="J12" i="134"/>
  <c r="N33" i="134"/>
  <c r="N37" i="134"/>
  <c r="N41" i="134"/>
  <c r="N34" i="134"/>
  <c r="N38" i="134"/>
  <c r="N32" i="134"/>
  <c r="N16" i="134"/>
  <c r="N35" i="134"/>
  <c r="N36" i="134"/>
  <c r="N40" i="134"/>
  <c r="N12" i="134"/>
  <c r="N13" i="134"/>
  <c r="N15" i="134"/>
  <c r="N18" i="134"/>
  <c r="N26" i="134"/>
  <c r="N19" i="134"/>
  <c r="N23" i="134"/>
  <c r="N20" i="134"/>
  <c r="N24" i="134"/>
  <c r="N28" i="134"/>
  <c r="N21" i="134"/>
  <c r="N42" i="134"/>
  <c r="N25" i="134"/>
  <c r="R16" i="134"/>
  <c r="R40" i="134"/>
  <c r="R12" i="134"/>
  <c r="R13" i="134"/>
  <c r="R18" i="134"/>
  <c r="R15" i="134"/>
  <c r="R19" i="134"/>
  <c r="R23" i="134"/>
  <c r="R24" i="134"/>
  <c r="R21" i="134"/>
  <c r="R25" i="134"/>
  <c r="AD25" i="134" s="1"/>
  <c r="V40" i="134"/>
  <c r="V16" i="134"/>
  <c r="V12" i="134"/>
  <c r="V13" i="134"/>
  <c r="V18" i="134"/>
  <c r="V19" i="134"/>
  <c r="V23" i="134"/>
  <c r="V15" i="134"/>
  <c r="V24" i="134"/>
  <c r="V25" i="134"/>
  <c r="V21" i="134"/>
  <c r="Z16" i="134"/>
  <c r="Z12" i="134"/>
  <c r="AA12" i="134"/>
  <c r="AA14" i="134" s="1"/>
  <c r="Z13" i="134"/>
  <c r="Z40" i="134"/>
  <c r="Z18" i="134"/>
  <c r="Z19" i="134"/>
  <c r="Z23" i="134"/>
  <c r="Z24" i="134"/>
  <c r="Z25" i="134"/>
  <c r="Z21" i="134"/>
  <c r="Z15" i="134"/>
  <c r="AB12" i="132"/>
  <c r="AB16" i="133"/>
  <c r="AB17" i="133" s="1"/>
  <c r="AC16" i="132"/>
  <c r="AC17" i="132" s="1"/>
  <c r="AB16" i="132"/>
  <c r="AB17" i="132" s="1"/>
  <c r="AC16" i="133"/>
  <c r="AB14" i="133"/>
  <c r="AB16" i="131"/>
  <c r="AC16" i="131"/>
  <c r="AD16" i="131"/>
  <c r="G20" i="131"/>
  <c r="G27" i="131"/>
  <c r="G18" i="131"/>
  <c r="G21" i="131"/>
  <c r="G16" i="131"/>
  <c r="O16" i="131"/>
  <c r="O20" i="131"/>
  <c r="O27" i="131"/>
  <c r="O18" i="131"/>
  <c r="O21" i="131"/>
  <c r="W20" i="131"/>
  <c r="W16" i="131"/>
  <c r="W18" i="131"/>
  <c r="W21" i="131"/>
  <c r="L16" i="131"/>
  <c r="L20" i="131"/>
  <c r="L27" i="131"/>
  <c r="L18" i="131"/>
  <c r="L21" i="131"/>
  <c r="X20" i="131"/>
  <c r="X16" i="131"/>
  <c r="X18" i="131"/>
  <c r="X21" i="131"/>
  <c r="K16" i="131"/>
  <c r="K20" i="131"/>
  <c r="K27" i="131"/>
  <c r="K18" i="131"/>
  <c r="K21" i="131"/>
  <c r="S20" i="131"/>
  <c r="S18" i="131"/>
  <c r="S21" i="131"/>
  <c r="S16" i="131"/>
  <c r="H16" i="131"/>
  <c r="H20" i="131"/>
  <c r="H27" i="131"/>
  <c r="H21" i="131"/>
  <c r="T16" i="131"/>
  <c r="T20" i="131"/>
  <c r="T18" i="131"/>
  <c r="T21" i="131"/>
  <c r="I27" i="131"/>
  <c r="I18" i="131"/>
  <c r="I21" i="131"/>
  <c r="I20" i="131"/>
  <c r="I16" i="131"/>
  <c r="M27" i="131"/>
  <c r="M18" i="131"/>
  <c r="M21" i="131"/>
  <c r="M20" i="131"/>
  <c r="M16" i="131"/>
  <c r="Q18" i="131"/>
  <c r="Q21" i="131"/>
  <c r="Q20" i="131"/>
  <c r="Q16" i="131"/>
  <c r="U18" i="131"/>
  <c r="U21" i="131"/>
  <c r="U20" i="131"/>
  <c r="U16" i="131"/>
  <c r="Y18" i="131"/>
  <c r="Y21" i="131"/>
  <c r="Y20" i="131"/>
  <c r="Y16" i="131"/>
  <c r="P16" i="131"/>
  <c r="P20" i="131"/>
  <c r="P27" i="131"/>
  <c r="P18" i="131"/>
  <c r="P21" i="131"/>
  <c r="F20" i="131"/>
  <c r="F27" i="131"/>
  <c r="F16" i="131"/>
  <c r="F18" i="131"/>
  <c r="F21" i="131"/>
  <c r="J20" i="131"/>
  <c r="J27" i="131"/>
  <c r="J16" i="131"/>
  <c r="J18" i="131"/>
  <c r="J21" i="131"/>
  <c r="N20" i="131"/>
  <c r="N27" i="131"/>
  <c r="N16" i="131"/>
  <c r="N21" i="131"/>
  <c r="R20" i="131"/>
  <c r="R16" i="131"/>
  <c r="R18" i="131"/>
  <c r="R21" i="131"/>
  <c r="V20" i="131"/>
  <c r="V16" i="131"/>
  <c r="V18" i="131"/>
  <c r="V21" i="131"/>
  <c r="Z18" i="131"/>
  <c r="Z20" i="131"/>
  <c r="Z16" i="131"/>
  <c r="Z21" i="131"/>
  <c r="H24" i="131"/>
  <c r="H32" i="131"/>
  <c r="H36" i="131"/>
  <c r="H38" i="131"/>
  <c r="H41" i="131"/>
  <c r="H34" i="131"/>
  <c r="H35" i="131"/>
  <c r="H40" i="131"/>
  <c r="H42" i="131"/>
  <c r="H33" i="131"/>
  <c r="L24" i="131"/>
  <c r="L33" i="131"/>
  <c r="L32" i="131"/>
  <c r="L34" i="131"/>
  <c r="L35" i="131"/>
  <c r="L36" i="131"/>
  <c r="L38" i="131"/>
  <c r="L40" i="131"/>
  <c r="L41" i="131"/>
  <c r="L42" i="131"/>
  <c r="P24" i="131"/>
  <c r="P35" i="131"/>
  <c r="P40" i="131"/>
  <c r="P42" i="131"/>
  <c r="P33" i="131"/>
  <c r="P34" i="131"/>
  <c r="P36" i="131"/>
  <c r="P38" i="131"/>
  <c r="P41" i="131"/>
  <c r="P32" i="131"/>
  <c r="P43" i="131" s="1"/>
  <c r="T24" i="131"/>
  <c r="T32" i="131"/>
  <c r="T33" i="131"/>
  <c r="T34" i="131"/>
  <c r="T35" i="131"/>
  <c r="T36" i="131"/>
  <c r="T38" i="131"/>
  <c r="T40" i="131"/>
  <c r="T41" i="131"/>
  <c r="T42" i="131"/>
  <c r="X24" i="131"/>
  <c r="X36" i="131"/>
  <c r="X38" i="131"/>
  <c r="X41" i="131"/>
  <c r="X32" i="131"/>
  <c r="X34" i="131"/>
  <c r="X35" i="131"/>
  <c r="X40" i="131"/>
  <c r="X42" i="131"/>
  <c r="X33" i="131"/>
  <c r="I32" i="131"/>
  <c r="I33" i="131"/>
  <c r="I34" i="131"/>
  <c r="I35" i="131"/>
  <c r="I36" i="131"/>
  <c r="I38" i="131"/>
  <c r="I40" i="131"/>
  <c r="I41" i="131"/>
  <c r="I42" i="131"/>
  <c r="I24" i="131"/>
  <c r="M32" i="131"/>
  <c r="M33" i="131"/>
  <c r="M43" i="131" s="1"/>
  <c r="M34" i="131"/>
  <c r="M35" i="131"/>
  <c r="M36" i="131"/>
  <c r="M38" i="131"/>
  <c r="M40" i="131"/>
  <c r="M41" i="131"/>
  <c r="M42" i="131"/>
  <c r="M24" i="131"/>
  <c r="Q32" i="131"/>
  <c r="Q33" i="131"/>
  <c r="Q34" i="131"/>
  <c r="Q35" i="131"/>
  <c r="Q36" i="131"/>
  <c r="Q38" i="131"/>
  <c r="Q40" i="131"/>
  <c r="Q41" i="131"/>
  <c r="Q42" i="131"/>
  <c r="Q24" i="131"/>
  <c r="U32" i="131"/>
  <c r="U33" i="131"/>
  <c r="U34" i="131"/>
  <c r="U35" i="131"/>
  <c r="U36" i="131"/>
  <c r="U38" i="131"/>
  <c r="U40" i="131"/>
  <c r="U41" i="131"/>
  <c r="U42" i="131"/>
  <c r="U24" i="131"/>
  <c r="Y32" i="131"/>
  <c r="Y33" i="131"/>
  <c r="Y34" i="131"/>
  <c r="Y35" i="131"/>
  <c r="Y36" i="131"/>
  <c r="Y38" i="131"/>
  <c r="Y40" i="131"/>
  <c r="Y41" i="131"/>
  <c r="Y42" i="131"/>
  <c r="Y24" i="131"/>
  <c r="G32" i="131"/>
  <c r="G33" i="131"/>
  <c r="G34" i="131"/>
  <c r="G35" i="131"/>
  <c r="G36" i="131"/>
  <c r="G38" i="131"/>
  <c r="G40" i="131"/>
  <c r="G41" i="131"/>
  <c r="G42" i="131"/>
  <c r="G24" i="131"/>
  <c r="K32" i="131"/>
  <c r="K33" i="131"/>
  <c r="K34" i="131"/>
  <c r="K35" i="131"/>
  <c r="K36" i="131"/>
  <c r="K38" i="131"/>
  <c r="K40" i="131"/>
  <c r="K41" i="131"/>
  <c r="K42" i="131"/>
  <c r="K24" i="131"/>
  <c r="O32" i="131"/>
  <c r="O33" i="131"/>
  <c r="O34" i="131"/>
  <c r="O35" i="131"/>
  <c r="O36" i="131"/>
  <c r="O38" i="131"/>
  <c r="O40" i="131"/>
  <c r="O41" i="131"/>
  <c r="O42" i="131"/>
  <c r="O24" i="131"/>
  <c r="S32" i="131"/>
  <c r="S33" i="131"/>
  <c r="S34" i="131"/>
  <c r="S35" i="131"/>
  <c r="S36" i="131"/>
  <c r="S38" i="131"/>
  <c r="S40" i="131"/>
  <c r="S41" i="131"/>
  <c r="S42" i="131"/>
  <c r="S24" i="131"/>
  <c r="W32" i="131"/>
  <c r="W33" i="131"/>
  <c r="W34" i="131"/>
  <c r="W35" i="131"/>
  <c r="W36" i="131"/>
  <c r="W38" i="131"/>
  <c r="W40" i="131"/>
  <c r="W41" i="131"/>
  <c r="W42" i="131"/>
  <c r="W24" i="131"/>
  <c r="F24" i="131"/>
  <c r="F32" i="131"/>
  <c r="F33" i="131"/>
  <c r="F34" i="131"/>
  <c r="F35" i="131"/>
  <c r="F36" i="131"/>
  <c r="F38" i="131"/>
  <c r="F40" i="131"/>
  <c r="F41" i="131"/>
  <c r="F42" i="131"/>
  <c r="J24" i="131"/>
  <c r="J32" i="131"/>
  <c r="J33" i="131"/>
  <c r="J34" i="131"/>
  <c r="J35" i="131"/>
  <c r="J36" i="131"/>
  <c r="J38" i="131"/>
  <c r="J40" i="131"/>
  <c r="J41" i="131"/>
  <c r="J42" i="131"/>
  <c r="N24" i="131"/>
  <c r="N32" i="131"/>
  <c r="N33" i="131"/>
  <c r="N34" i="131"/>
  <c r="N35" i="131"/>
  <c r="N36" i="131"/>
  <c r="N40" i="131"/>
  <c r="N41" i="131"/>
  <c r="N38" i="131"/>
  <c r="N42" i="131"/>
  <c r="R24" i="131"/>
  <c r="R32" i="131"/>
  <c r="R33" i="131"/>
  <c r="R34" i="131"/>
  <c r="R35" i="131"/>
  <c r="R36" i="131"/>
  <c r="R38" i="131"/>
  <c r="R40" i="131"/>
  <c r="R41" i="131"/>
  <c r="R42" i="131"/>
  <c r="V24" i="131"/>
  <c r="V32" i="131"/>
  <c r="V33" i="131"/>
  <c r="V35" i="131"/>
  <c r="V36" i="131"/>
  <c r="V42" i="131"/>
  <c r="V34" i="131"/>
  <c r="V38" i="131"/>
  <c r="V40" i="131"/>
  <c r="V41" i="131"/>
  <c r="Z24" i="131"/>
  <c r="Z32" i="131"/>
  <c r="Z33" i="131"/>
  <c r="Z34" i="131"/>
  <c r="Z35" i="131"/>
  <c r="Z36" i="131"/>
  <c r="Z38" i="131"/>
  <c r="Z40" i="131"/>
  <c r="Z41" i="131"/>
  <c r="I25" i="131"/>
  <c r="I28" i="131"/>
  <c r="I23" i="131"/>
  <c r="I12" i="131"/>
  <c r="I26" i="131"/>
  <c r="I19" i="131"/>
  <c r="I15" i="131"/>
  <c r="M25" i="131"/>
  <c r="M28" i="131"/>
  <c r="M23" i="131"/>
  <c r="M26" i="131"/>
  <c r="M19" i="131"/>
  <c r="M12" i="131"/>
  <c r="M15" i="131"/>
  <c r="Q25" i="131"/>
  <c r="Q28" i="131"/>
  <c r="Q23" i="131"/>
  <c r="Q12" i="131"/>
  <c r="Q26" i="131"/>
  <c r="Q19" i="131"/>
  <c r="Q15" i="131"/>
  <c r="U25" i="131"/>
  <c r="U28" i="131"/>
  <c r="U23" i="131"/>
  <c r="U26" i="131"/>
  <c r="U12" i="131"/>
  <c r="U19" i="131"/>
  <c r="U15" i="131"/>
  <c r="F26" i="131"/>
  <c r="F25" i="131"/>
  <c r="F28" i="131"/>
  <c r="F19" i="131"/>
  <c r="F12" i="131"/>
  <c r="F23" i="131"/>
  <c r="F15" i="131"/>
  <c r="J26" i="131"/>
  <c r="J25" i="131"/>
  <c r="J23" i="131"/>
  <c r="J19" i="131"/>
  <c r="J28" i="131"/>
  <c r="J12" i="131"/>
  <c r="J15" i="131"/>
  <c r="N26" i="131"/>
  <c r="N25" i="131"/>
  <c r="N28" i="131"/>
  <c r="N19" i="131"/>
  <c r="N23" i="131"/>
  <c r="N12" i="131"/>
  <c r="N15" i="131"/>
  <c r="R26" i="131"/>
  <c r="R25" i="131"/>
  <c r="R23" i="131"/>
  <c r="R19" i="131"/>
  <c r="R28" i="131"/>
  <c r="R12" i="131"/>
  <c r="R15" i="131"/>
  <c r="V26" i="131"/>
  <c r="V25" i="131"/>
  <c r="V28" i="131"/>
  <c r="V19" i="131"/>
  <c r="V12" i="131"/>
  <c r="V23" i="131"/>
  <c r="V15" i="131"/>
  <c r="Z25" i="131"/>
  <c r="Z28" i="131"/>
  <c r="Z19" i="131"/>
  <c r="Z26" i="131"/>
  <c r="Z12" i="131"/>
  <c r="AA12" i="131"/>
  <c r="AA14" i="131" s="1"/>
  <c r="Z23" i="131"/>
  <c r="G26" i="131"/>
  <c r="G28" i="131"/>
  <c r="G23" i="131"/>
  <c r="G19" i="131"/>
  <c r="G25" i="131"/>
  <c r="G12" i="131"/>
  <c r="G15" i="131"/>
  <c r="K26" i="131"/>
  <c r="K25" i="131"/>
  <c r="K23" i="131"/>
  <c r="K28" i="131"/>
  <c r="K19" i="131"/>
  <c r="K12" i="131"/>
  <c r="K15" i="131"/>
  <c r="O26" i="131"/>
  <c r="AA26" i="131"/>
  <c r="O28" i="131"/>
  <c r="O25" i="131"/>
  <c r="O23" i="131"/>
  <c r="O12" i="131"/>
  <c r="O19" i="131"/>
  <c r="O15" i="131"/>
  <c r="S26" i="131"/>
  <c r="S25" i="131"/>
  <c r="S23" i="131"/>
  <c r="S19" i="131"/>
  <c r="S28" i="131"/>
  <c r="S12" i="131"/>
  <c r="S15" i="131"/>
  <c r="W26" i="131"/>
  <c r="W28" i="131"/>
  <c r="W23" i="131"/>
  <c r="W19" i="131"/>
  <c r="W25" i="131"/>
  <c r="W12" i="131"/>
  <c r="W15" i="131"/>
  <c r="Y25" i="131"/>
  <c r="Y28" i="131"/>
  <c r="Y23" i="131"/>
  <c r="Y12" i="131"/>
  <c r="Y26" i="131"/>
  <c r="Y19" i="131"/>
  <c r="Y15" i="131"/>
  <c r="H28" i="131"/>
  <c r="H23" i="131"/>
  <c r="H26" i="131"/>
  <c r="H19" i="131"/>
  <c r="H25" i="131"/>
  <c r="H12" i="131"/>
  <c r="H15" i="131"/>
  <c r="L28" i="131"/>
  <c r="L23" i="131"/>
  <c r="L26" i="131"/>
  <c r="L25" i="131"/>
  <c r="L19" i="131"/>
  <c r="L12" i="131"/>
  <c r="L15" i="131"/>
  <c r="P28" i="131"/>
  <c r="P23" i="131"/>
  <c r="P12" i="131"/>
  <c r="P25" i="131"/>
  <c r="P19" i="131"/>
  <c r="P26" i="131"/>
  <c r="P15" i="131"/>
  <c r="T28" i="131"/>
  <c r="T23" i="131"/>
  <c r="T26" i="131"/>
  <c r="T25" i="131"/>
  <c r="T12" i="131"/>
  <c r="T19" i="131"/>
  <c r="T15" i="131"/>
  <c r="X28" i="131"/>
  <c r="X23" i="131"/>
  <c r="X26" i="131"/>
  <c r="X19" i="131"/>
  <c r="X25" i="131"/>
  <c r="X12" i="131"/>
  <c r="X15" i="131"/>
  <c r="AB12" i="131"/>
  <c r="AB14" i="131" s="1"/>
  <c r="C15" i="133"/>
  <c r="AB15" i="134"/>
  <c r="Z15" i="132"/>
  <c r="F13" i="131"/>
  <c r="N13" i="131"/>
  <c r="Z13" i="131"/>
  <c r="Z15" i="131"/>
  <c r="G13" i="131"/>
  <c r="K13" i="131"/>
  <c r="O13" i="131"/>
  <c r="W13" i="131"/>
  <c r="J13" i="131"/>
  <c r="V13" i="131"/>
  <c r="S13" i="131"/>
  <c r="H13" i="131"/>
  <c r="L13" i="131"/>
  <c r="P13" i="131"/>
  <c r="T13" i="131"/>
  <c r="X13" i="131"/>
  <c r="AB15" i="131"/>
  <c r="R13" i="131"/>
  <c r="I13" i="131"/>
  <c r="M13" i="131"/>
  <c r="Q13" i="131"/>
  <c r="U13" i="131"/>
  <c r="Y13" i="131"/>
  <c r="AC15" i="131"/>
  <c r="AA21" i="135"/>
  <c r="AA21" i="133"/>
  <c r="AA21" i="136"/>
  <c r="Z13" i="132"/>
  <c r="C13" i="133"/>
  <c r="C14" i="133" s="1"/>
  <c r="Q57" i="129"/>
  <c r="R57" i="129" s="1"/>
  <c r="C10" i="61"/>
  <c r="AO13" i="144"/>
  <c r="AP13" i="144"/>
  <c r="BF13" i="144"/>
  <c r="BM13" i="144"/>
  <c r="AQ13" i="144"/>
  <c r="AU13" i="144"/>
  <c r="BG13" i="144"/>
  <c r="AK15" i="144"/>
  <c r="AE15" i="144"/>
  <c r="AF13" i="144"/>
  <c r="AJ13" i="144"/>
  <c r="AN13" i="144"/>
  <c r="AN14" i="144" s="1"/>
  <c r="AN18" i="144" s="1"/>
  <c r="AR13" i="144"/>
  <c r="BP13" i="144"/>
  <c r="AX13" i="144"/>
  <c r="BN13" i="144"/>
  <c r="AS13" i="144"/>
  <c r="BK13" i="144"/>
  <c r="BS13" i="144"/>
  <c r="AE13" i="144"/>
  <c r="AF15" i="144"/>
  <c r="AZ13" i="144"/>
  <c r="BA13" i="144"/>
  <c r="BJ13" i="144"/>
  <c r="BV13" i="144"/>
  <c r="AG15" i="144"/>
  <c r="BU13" i="144"/>
  <c r="BC13" i="144"/>
  <c r="AD13" i="144"/>
  <c r="AH13" i="144"/>
  <c r="AL13" i="144"/>
  <c r="BB13" i="144"/>
  <c r="BR13" i="144"/>
  <c r="BE13" i="144"/>
  <c r="AI13" i="144"/>
  <c r="BH13" i="144"/>
  <c r="BL13" i="144"/>
  <c r="BI13" i="144"/>
  <c r="AD15" i="144"/>
  <c r="AD17" i="144" s="1"/>
  <c r="AH15" i="144"/>
  <c r="AL15" i="144"/>
  <c r="AG13" i="144"/>
  <c r="AY13" i="144"/>
  <c r="BO13" i="144"/>
  <c r="BQ13" i="144"/>
  <c r="AM13" i="144"/>
  <c r="AJ15" i="144"/>
  <c r="BD13" i="144"/>
  <c r="AT13" i="144"/>
  <c r="AI15" i="144"/>
  <c r="AI17" i="144" s="1"/>
  <c r="AK13" i="144"/>
  <c r="AW13" i="144"/>
  <c r="AV13" i="144"/>
  <c r="BT13" i="144"/>
  <c r="AE15" i="135"/>
  <c r="AQ13" i="136"/>
  <c r="AI13" i="136"/>
  <c r="AE13" i="136"/>
  <c r="AL15" i="136"/>
  <c r="BU13" i="135"/>
  <c r="BM13" i="135"/>
  <c r="BE13" i="135"/>
  <c r="AW13" i="135"/>
  <c r="AO13" i="135"/>
  <c r="AG15" i="135"/>
  <c r="AG13" i="136"/>
  <c r="BP13" i="135"/>
  <c r="BH13" i="135"/>
  <c r="AZ13" i="135"/>
  <c r="AR13" i="135"/>
  <c r="AJ13" i="135"/>
  <c r="AJ13" i="136"/>
  <c r="AK15" i="132"/>
  <c r="AG13" i="132"/>
  <c r="AK15" i="134"/>
  <c r="AG13" i="134"/>
  <c r="AW13" i="133"/>
  <c r="AK15" i="133"/>
  <c r="AG15" i="133"/>
  <c r="AF15" i="132"/>
  <c r="AJ13" i="133"/>
  <c r="AF13" i="133"/>
  <c r="AI15" i="134"/>
  <c r="AE13" i="134"/>
  <c r="AU13" i="133"/>
  <c r="AE15" i="133"/>
  <c r="AJ15" i="134"/>
  <c r="AP13" i="132"/>
  <c r="AL15" i="132"/>
  <c r="AL13" i="134"/>
  <c r="AH15" i="134"/>
  <c r="AL15" i="133"/>
  <c r="AH15" i="133"/>
  <c r="AD15" i="133"/>
  <c r="AQ13" i="131"/>
  <c r="AT13" i="131"/>
  <c r="AD13" i="131"/>
  <c r="AR13" i="131"/>
  <c r="AE13" i="133"/>
  <c r="AJ13" i="134"/>
  <c r="AD13" i="134"/>
  <c r="AP13" i="133"/>
  <c r="AL13" i="133"/>
  <c r="AD13" i="133"/>
  <c r="AM13" i="131"/>
  <c r="AS13" i="131"/>
  <c r="AN13" i="131"/>
  <c r="AM13" i="133"/>
  <c r="AT13" i="132"/>
  <c r="AD13" i="132"/>
  <c r="AT13" i="133"/>
  <c r="AG13" i="131"/>
  <c r="AW13" i="131"/>
  <c r="AJ13" i="131"/>
  <c r="AE15" i="134"/>
  <c r="BO13" i="135"/>
  <c r="BG13" i="135"/>
  <c r="AY13" i="135"/>
  <c r="AQ13" i="135"/>
  <c r="AI13" i="135"/>
  <c r="BC13" i="136"/>
  <c r="AM13" i="136"/>
  <c r="BR13" i="135"/>
  <c r="BJ13" i="135"/>
  <c r="BB13" i="135"/>
  <c r="AT13" i="135"/>
  <c r="AL13" i="135"/>
  <c r="AD15" i="135"/>
  <c r="AX13" i="136"/>
  <c r="AP13" i="136"/>
  <c r="AD13" i="136"/>
  <c r="BI13" i="136"/>
  <c r="BA13" i="136"/>
  <c r="AS13" i="136"/>
  <c r="AK13" i="136"/>
  <c r="AG15" i="136"/>
  <c r="AJ15" i="135"/>
  <c r="BD13" i="136"/>
  <c r="AV13" i="136"/>
  <c r="AN13" i="136"/>
  <c r="AR13" i="133"/>
  <c r="AK13" i="132"/>
  <c r="AK13" i="134"/>
  <c r="AF15" i="134"/>
  <c r="AN13" i="133"/>
  <c r="AU13" i="132"/>
  <c r="AQ13" i="132"/>
  <c r="AE15" i="132"/>
  <c r="AI13" i="134"/>
  <c r="AI13" i="133"/>
  <c r="AJ13" i="132"/>
  <c r="AL15" i="134"/>
  <c r="AH13" i="133"/>
  <c r="AP13" i="131"/>
  <c r="AH13" i="132"/>
  <c r="AI13" i="131"/>
  <c r="AI13" i="132"/>
  <c r="AI15" i="135"/>
  <c r="AE13" i="135"/>
  <c r="AU13" i="136"/>
  <c r="AE15" i="136"/>
  <c r="AL15" i="135"/>
  <c r="AD13" i="135"/>
  <c r="AH13" i="136"/>
  <c r="AD15" i="136"/>
  <c r="BQ13" i="135"/>
  <c r="BI13" i="135"/>
  <c r="BA13" i="135"/>
  <c r="AS13" i="135"/>
  <c r="AK13" i="135"/>
  <c r="AG13" i="135"/>
  <c r="AK15" i="136"/>
  <c r="BT13" i="135"/>
  <c r="BL13" i="135"/>
  <c r="BD13" i="135"/>
  <c r="AV13" i="135"/>
  <c r="AN13" i="135"/>
  <c r="AF13" i="135"/>
  <c r="AF15" i="136"/>
  <c r="AN13" i="132"/>
  <c r="AW13" i="132"/>
  <c r="AS13" i="132"/>
  <c r="AO13" i="132"/>
  <c r="AO13" i="133"/>
  <c r="AK13" i="133"/>
  <c r="AG13" i="133"/>
  <c r="AF13" i="132"/>
  <c r="AF13" i="134"/>
  <c r="AV13" i="133"/>
  <c r="AJ15" i="133"/>
  <c r="AF15" i="133"/>
  <c r="AI15" i="132"/>
  <c r="AE13" i="132"/>
  <c r="AL13" i="131"/>
  <c r="AQ13" i="133"/>
  <c r="AI15" i="133"/>
  <c r="AV13" i="132"/>
  <c r="BS13" i="135"/>
  <c r="BK13" i="135"/>
  <c r="BC13" i="135"/>
  <c r="AU13" i="135"/>
  <c r="AM13" i="135"/>
  <c r="AY13" i="136"/>
  <c r="AI15" i="136"/>
  <c r="BV13" i="135"/>
  <c r="BN13" i="135"/>
  <c r="BF13" i="135"/>
  <c r="AX13" i="135"/>
  <c r="AP13" i="135"/>
  <c r="BJ13" i="136"/>
  <c r="AT13" i="136"/>
  <c r="AL13" i="136"/>
  <c r="AH15" i="136"/>
  <c r="AK15" i="135"/>
  <c r="BE13" i="136"/>
  <c r="AW13" i="136"/>
  <c r="AO13" i="136"/>
  <c r="AF15" i="135"/>
  <c r="AR13" i="136"/>
  <c r="AJ15" i="136"/>
  <c r="AF13" i="136"/>
  <c r="AG15" i="132"/>
  <c r="AG15" i="134"/>
  <c r="AS13" i="133"/>
  <c r="AR13" i="132"/>
  <c r="AM13" i="132"/>
  <c r="AJ15" i="132"/>
  <c r="AD15" i="134"/>
  <c r="AE13" i="131"/>
  <c r="AK13" i="131"/>
  <c r="AV13" i="131"/>
  <c r="AX13" i="132"/>
  <c r="AD15" i="132"/>
  <c r="AH15" i="132"/>
  <c r="AH13" i="134"/>
  <c r="AO13" i="131"/>
  <c r="AX13" i="131"/>
  <c r="AL13" i="132"/>
  <c r="AX13" i="133"/>
  <c r="AU13" i="131"/>
  <c r="AH13" i="131"/>
  <c r="AF13" i="131"/>
  <c r="AV13" i="134"/>
  <c r="AM13" i="134"/>
  <c r="AT13" i="134"/>
  <c r="AO13" i="134"/>
  <c r="AS13" i="134"/>
  <c r="AW13" i="134"/>
  <c r="AX13" i="134"/>
  <c r="AR13" i="134"/>
  <c r="AQ13" i="134"/>
  <c r="AU13" i="134"/>
  <c r="AN13" i="134"/>
  <c r="AP13" i="134"/>
  <c r="AY13" i="134"/>
  <c r="AZ13" i="134"/>
  <c r="BI13" i="134"/>
  <c r="BA13" i="134"/>
  <c r="BB13" i="134"/>
  <c r="BG13" i="134"/>
  <c r="AH13" i="135"/>
  <c r="AM15" i="144"/>
  <c r="AO15" i="144"/>
  <c r="AQ15" i="144"/>
  <c r="AU15" i="135"/>
  <c r="AO15" i="136"/>
  <c r="AQ15" i="133"/>
  <c r="AX15" i="133"/>
  <c r="AT15" i="134"/>
  <c r="AP15" i="135"/>
  <c r="AR15" i="135"/>
  <c r="AW15" i="133"/>
  <c r="AV15" i="133"/>
  <c r="AM15" i="134"/>
  <c r="AV15" i="135"/>
  <c r="AP15" i="132"/>
  <c r="AT15" i="135"/>
  <c r="AN15" i="136"/>
  <c r="AO15" i="132"/>
  <c r="AO15" i="135"/>
  <c r="AQ15" i="134"/>
  <c r="AO15" i="134"/>
  <c r="AW15" i="136"/>
  <c r="AX15" i="135"/>
  <c r="AN15" i="144"/>
  <c r="AP15" i="144"/>
  <c r="AU15" i="144"/>
  <c r="AM15" i="136"/>
  <c r="AN15" i="135"/>
  <c r="AT15" i="132"/>
  <c r="AP15" i="133"/>
  <c r="AQ15" i="132"/>
  <c r="AT15" i="136"/>
  <c r="AV15" i="136"/>
  <c r="AS15" i="133"/>
  <c r="AN15" i="133"/>
  <c r="AT15" i="133"/>
  <c r="AS15" i="134"/>
  <c r="AM15" i="135"/>
  <c r="AX15" i="136"/>
  <c r="AN15" i="132"/>
  <c r="AW15" i="134"/>
  <c r="AN15" i="134"/>
  <c r="AV15" i="144"/>
  <c r="AX15" i="144"/>
  <c r="AU15" i="133"/>
  <c r="AX15" i="132"/>
  <c r="AR15" i="134"/>
  <c r="AR15" i="132"/>
  <c r="AS15" i="132"/>
  <c r="AR15" i="144"/>
  <c r="AT15" i="144"/>
  <c r="AW15" i="144"/>
  <c r="AP15" i="136"/>
  <c r="AR15" i="136"/>
  <c r="AX15" i="134"/>
  <c r="AW15" i="132"/>
  <c r="AM15" i="133"/>
  <c r="AS15" i="135"/>
  <c r="AR15" i="133"/>
  <c r="AO15" i="133"/>
  <c r="AU15" i="132"/>
  <c r="AW15" i="135"/>
  <c r="AP15" i="134"/>
  <c r="AU15" i="136"/>
  <c r="AQ15" i="135"/>
  <c r="AU15" i="134"/>
  <c r="AS15" i="144"/>
  <c r="AV15" i="134"/>
  <c r="AS15" i="136"/>
  <c r="AM15" i="132"/>
  <c r="AQ15" i="136"/>
  <c r="AV15" i="132"/>
  <c r="AA36" i="131"/>
  <c r="AA26" i="132"/>
  <c r="AA25" i="131"/>
  <c r="AA40" i="131"/>
  <c r="AA34" i="131"/>
  <c r="AA20" i="134"/>
  <c r="AA37" i="133"/>
  <c r="AA20" i="132"/>
  <c r="AB37" i="131"/>
  <c r="AC17" i="144"/>
  <c r="AA41" i="136"/>
  <c r="AA28" i="136"/>
  <c r="AA40" i="136"/>
  <c r="AA42" i="136"/>
  <c r="AA39" i="136"/>
  <c r="AA36" i="135"/>
  <c r="AA39" i="135"/>
  <c r="AA38" i="135"/>
  <c r="AA37" i="135"/>
  <c r="AA28" i="131"/>
  <c r="AA24" i="131"/>
  <c r="AA38" i="131"/>
  <c r="AA33" i="131"/>
  <c r="AA24" i="134"/>
  <c r="AA36" i="133"/>
  <c r="AA33" i="133"/>
  <c r="AA38" i="133"/>
  <c r="AA14" i="136"/>
  <c r="AA18" i="135"/>
  <c r="AA19" i="135"/>
  <c r="AA40" i="133"/>
  <c r="AA24" i="136"/>
  <c r="AA25" i="136"/>
  <c r="AA35" i="136"/>
  <c r="AA38" i="136"/>
  <c r="AA37" i="136"/>
  <c r="AA32" i="135"/>
  <c r="AA35" i="135"/>
  <c r="AA34" i="135"/>
  <c r="AA33" i="135"/>
  <c r="AA26" i="135"/>
  <c r="AA37" i="131"/>
  <c r="AA32" i="131"/>
  <c r="AA28" i="132"/>
  <c r="AA20" i="136"/>
  <c r="AA34" i="136"/>
  <c r="AA33" i="136"/>
  <c r="AA25" i="135"/>
  <c r="AA28" i="135"/>
  <c r="AA39" i="133"/>
  <c r="AA42" i="131"/>
  <c r="AA25" i="134"/>
  <c r="AA41" i="133"/>
  <c r="AA34" i="133"/>
  <c r="AA43" i="133" s="1"/>
  <c r="AA25" i="133"/>
  <c r="AA21" i="131"/>
  <c r="AA21" i="134"/>
  <c r="AA41" i="131"/>
  <c r="AA35" i="131"/>
  <c r="AA20" i="131"/>
  <c r="AA18" i="134"/>
  <c r="AA19" i="134"/>
  <c r="AA18" i="132"/>
  <c r="AA19" i="132"/>
  <c r="AA42" i="133"/>
  <c r="AA35" i="133"/>
  <c r="AA25" i="132"/>
  <c r="AA42" i="132"/>
  <c r="AA43" i="132" s="1"/>
  <c r="AA27" i="135"/>
  <c r="AA36" i="136"/>
  <c r="AF36" i="136" s="1"/>
  <c r="AA26" i="136"/>
  <c r="AA40" i="135"/>
  <c r="AA42" i="135"/>
  <c r="AA41" i="135"/>
  <c r="AA20" i="135"/>
  <c r="C14" i="135"/>
  <c r="AC37" i="131"/>
  <c r="V43" i="136"/>
  <c r="N43" i="136"/>
  <c r="F43" i="136"/>
  <c r="U43" i="136"/>
  <c r="M43" i="136"/>
  <c r="E43" i="136"/>
  <c r="Y14" i="135"/>
  <c r="X43" i="136"/>
  <c r="T14" i="136"/>
  <c r="AB28" i="136"/>
  <c r="AB34" i="136"/>
  <c r="AB33" i="136"/>
  <c r="P43" i="136"/>
  <c r="H43" i="136"/>
  <c r="AB42" i="135"/>
  <c r="AB40" i="135"/>
  <c r="AB39" i="133"/>
  <c r="AD39" i="133" s="1"/>
  <c r="W43" i="136"/>
  <c r="S43" i="136"/>
  <c r="BG20" i="136"/>
  <c r="AI20" i="136"/>
  <c r="BR20" i="136"/>
  <c r="BB20" i="136"/>
  <c r="BC20" i="136"/>
  <c r="AU20" i="136"/>
  <c r="AE20" i="136"/>
  <c r="BV20" i="136"/>
  <c r="BN20" i="136"/>
  <c r="BJ20" i="136"/>
  <c r="BF20" i="136"/>
  <c r="AT20" i="136"/>
  <c r="AH20" i="136"/>
  <c r="AD20" i="136"/>
  <c r="AY20" i="136"/>
  <c r="AQ20" i="136"/>
  <c r="AM20" i="136"/>
  <c r="AX20" i="136"/>
  <c r="AL20" i="136"/>
  <c r="BS20" i="136"/>
  <c r="BO20" i="136"/>
  <c r="BK20" i="136"/>
  <c r="AP20" i="136"/>
  <c r="BE20" i="136"/>
  <c r="AO20" i="136"/>
  <c r="AG20" i="136"/>
  <c r="AC20" i="136"/>
  <c r="BT20" i="136"/>
  <c r="AR20" i="136"/>
  <c r="BU20" i="136"/>
  <c r="BQ20" i="136"/>
  <c r="BM20" i="136"/>
  <c r="BA20" i="136"/>
  <c r="AW20" i="136"/>
  <c r="AK20" i="136"/>
  <c r="BP20" i="136"/>
  <c r="BH20" i="136"/>
  <c r="AN20" i="136"/>
  <c r="AB20" i="136"/>
  <c r="BI20" i="136"/>
  <c r="AS20" i="136"/>
  <c r="AZ20" i="136"/>
  <c r="BL20" i="136"/>
  <c r="BD20" i="136"/>
  <c r="AV20" i="136"/>
  <c r="AJ20" i="136"/>
  <c r="AF20" i="136"/>
  <c r="AB27" i="136"/>
  <c r="K43" i="136"/>
  <c r="G43" i="136"/>
  <c r="AB27" i="135"/>
  <c r="U17" i="135"/>
  <c r="AB24" i="136"/>
  <c r="AB40" i="136"/>
  <c r="AB39" i="135"/>
  <c r="AD39" i="135" s="1"/>
  <c r="AE39" i="135" s="1"/>
  <c r="AB38" i="135"/>
  <c r="AB37" i="135"/>
  <c r="AB36" i="135"/>
  <c r="AC36" i="135"/>
  <c r="BO41" i="135"/>
  <c r="BC41" i="135"/>
  <c r="AY41" i="135"/>
  <c r="BR41" i="135"/>
  <c r="AH41" i="135"/>
  <c r="BK41" i="135"/>
  <c r="BJ41" i="135"/>
  <c r="AL41" i="135"/>
  <c r="BQ41" i="135"/>
  <c r="AK41" i="135"/>
  <c r="BG41" i="135"/>
  <c r="AQ41" i="135"/>
  <c r="AE41" i="135"/>
  <c r="BV41" i="135"/>
  <c r="BB41" i="135"/>
  <c r="AX41" i="135"/>
  <c r="AD41" i="135"/>
  <c r="BM41" i="135"/>
  <c r="BE41" i="135"/>
  <c r="AO41" i="135"/>
  <c r="BS41" i="135"/>
  <c r="AU41" i="135"/>
  <c r="AM41" i="135"/>
  <c r="AI41" i="135"/>
  <c r="BN41" i="135"/>
  <c r="BF41" i="135"/>
  <c r="AT41" i="135"/>
  <c r="AP41" i="135"/>
  <c r="BU41" i="135"/>
  <c r="BA41" i="135"/>
  <c r="AV41" i="135"/>
  <c r="AF41" i="135"/>
  <c r="BI41" i="135"/>
  <c r="AW41" i="135"/>
  <c r="BT41" i="135"/>
  <c r="BP41" i="135"/>
  <c r="BH41" i="135"/>
  <c r="AJ41" i="135"/>
  <c r="AC41" i="135"/>
  <c r="AS41" i="135"/>
  <c r="AG41" i="135"/>
  <c r="BL41" i="135"/>
  <c r="BD41" i="135"/>
  <c r="AZ41" i="135"/>
  <c r="AR41" i="135"/>
  <c r="AN41" i="135"/>
  <c r="AB41" i="135"/>
  <c r="BK20" i="135"/>
  <c r="BN20" i="135"/>
  <c r="BJ20" i="135"/>
  <c r="BG20" i="135"/>
  <c r="AE20" i="135"/>
  <c r="BR20" i="135"/>
  <c r="AH20" i="135"/>
  <c r="AD20" i="135"/>
  <c r="BM20" i="135"/>
  <c r="BI20" i="135"/>
  <c r="BA20" i="135"/>
  <c r="BS20" i="135"/>
  <c r="BO20" i="135"/>
  <c r="BC20" i="135"/>
  <c r="AU20" i="135"/>
  <c r="AM20" i="135"/>
  <c r="AI20" i="135"/>
  <c r="BF20" i="135"/>
  <c r="AT20" i="135"/>
  <c r="AP20" i="135"/>
  <c r="AL20" i="135"/>
  <c r="BQ20" i="135"/>
  <c r="AK20" i="135"/>
  <c r="AG20" i="135"/>
  <c r="AY20" i="135"/>
  <c r="AQ20" i="135"/>
  <c r="BV20" i="135"/>
  <c r="BB20" i="135"/>
  <c r="AX20" i="135"/>
  <c r="AW20" i="135"/>
  <c r="AS20" i="135"/>
  <c r="AO20" i="135"/>
  <c r="BT20" i="135"/>
  <c r="BH20" i="135"/>
  <c r="AZ20" i="135"/>
  <c r="BU20" i="135"/>
  <c r="BE20" i="135"/>
  <c r="AC20" i="135"/>
  <c r="BP20" i="135"/>
  <c r="BL20" i="135"/>
  <c r="BD20" i="135"/>
  <c r="AR20" i="135"/>
  <c r="AN20" i="135"/>
  <c r="AJ20" i="135"/>
  <c r="AV20" i="135"/>
  <c r="AF20" i="135"/>
  <c r="AB20" i="135"/>
  <c r="K17" i="135"/>
  <c r="Z43" i="136"/>
  <c r="R43" i="136"/>
  <c r="J43" i="136"/>
  <c r="Y43" i="136"/>
  <c r="AC33" i="136"/>
  <c r="Q43" i="136"/>
  <c r="I43" i="136"/>
  <c r="T43" i="136"/>
  <c r="AB26" i="136"/>
  <c r="AB35" i="136"/>
  <c r="AB42" i="136"/>
  <c r="AB39" i="136"/>
  <c r="L43" i="136"/>
  <c r="D43" i="136"/>
  <c r="AB35" i="135"/>
  <c r="AB34" i="135"/>
  <c r="AB33" i="135"/>
  <c r="AB32" i="135"/>
  <c r="W14" i="136"/>
  <c r="BS41" i="136"/>
  <c r="BO41" i="136"/>
  <c r="BR41" i="136"/>
  <c r="BK41" i="136"/>
  <c r="BV41" i="136"/>
  <c r="BU41" i="136"/>
  <c r="BN41" i="136"/>
  <c r="BQ41" i="136"/>
  <c r="BL41" i="136"/>
  <c r="BT41" i="136"/>
  <c r="AB41" i="136"/>
  <c r="BM41" i="136"/>
  <c r="BP41" i="136"/>
  <c r="AC41" i="136"/>
  <c r="O43" i="136"/>
  <c r="K14" i="135"/>
  <c r="AB19" i="135"/>
  <c r="AB18" i="135"/>
  <c r="AC39" i="136"/>
  <c r="AB25" i="136"/>
  <c r="AC27" i="136"/>
  <c r="AB38" i="136"/>
  <c r="AB37" i="136"/>
  <c r="AB36" i="136"/>
  <c r="AB28" i="135"/>
  <c r="AC27" i="135"/>
  <c r="AB26" i="135"/>
  <c r="AB25" i="135"/>
  <c r="AC40" i="133"/>
  <c r="C43" i="136"/>
  <c r="AB40" i="133"/>
  <c r="C43" i="133"/>
  <c r="K43" i="133"/>
  <c r="O43" i="133"/>
  <c r="G43" i="133"/>
  <c r="D43" i="132"/>
  <c r="Z43" i="135"/>
  <c r="R43" i="135"/>
  <c r="J43" i="135"/>
  <c r="V43" i="132"/>
  <c r="H43" i="135"/>
  <c r="W43" i="135"/>
  <c r="O43" i="135"/>
  <c r="G43" i="135"/>
  <c r="N43" i="135"/>
  <c r="F43" i="135"/>
  <c r="U43" i="135"/>
  <c r="M43" i="135"/>
  <c r="E43" i="135"/>
  <c r="P43" i="135"/>
  <c r="L43" i="135"/>
  <c r="H43" i="132"/>
  <c r="D55" i="132"/>
  <c r="T43" i="135"/>
  <c r="S43" i="135"/>
  <c r="K43" i="135"/>
  <c r="C43" i="135"/>
  <c r="W55" i="132"/>
  <c r="O55" i="132"/>
  <c r="G55" i="132"/>
  <c r="V43" i="135"/>
  <c r="Y43" i="135"/>
  <c r="Q43" i="135"/>
  <c r="I43" i="135"/>
  <c r="X43" i="135"/>
  <c r="D43" i="135"/>
  <c r="W43" i="132"/>
  <c r="S43" i="132"/>
  <c r="K43" i="132"/>
  <c r="G43" i="132"/>
  <c r="C43" i="132"/>
  <c r="O17" i="133"/>
  <c r="AB36" i="133"/>
  <c r="AB42" i="133"/>
  <c r="AB33" i="133"/>
  <c r="AB38" i="133"/>
  <c r="AB28" i="133"/>
  <c r="AC20" i="134"/>
  <c r="AB20" i="134"/>
  <c r="AB20" i="133"/>
  <c r="AB26" i="133"/>
  <c r="AB34" i="133"/>
  <c r="AB25" i="133"/>
  <c r="AB25" i="132"/>
  <c r="AB41" i="133"/>
  <c r="AC41" i="133"/>
  <c r="AB20" i="132"/>
  <c r="AC20" i="132"/>
  <c r="AB37" i="133"/>
  <c r="AB35" i="133"/>
  <c r="AB28" i="132"/>
  <c r="AB26" i="132"/>
  <c r="Q20" i="129"/>
  <c r="R20" i="129" s="1"/>
  <c r="Q41" i="129"/>
  <c r="R41" i="129" s="1"/>
  <c r="AC20" i="131"/>
  <c r="AB20" i="131"/>
  <c r="AB33" i="131"/>
  <c r="AB35" i="131"/>
  <c r="AB38" i="131"/>
  <c r="AB32" i="131"/>
  <c r="AB43" i="131" s="1"/>
  <c r="AB36" i="131"/>
  <c r="AB40" i="131"/>
  <c r="AT42" i="131"/>
  <c r="AB42" i="131"/>
  <c r="AC42" i="131"/>
  <c r="AB41" i="131"/>
  <c r="AB34" i="131"/>
  <c r="AB24" i="131"/>
  <c r="AB25" i="131"/>
  <c r="AB28" i="131"/>
  <c r="AB26" i="131"/>
  <c r="AB24" i="134"/>
  <c r="AB21" i="136"/>
  <c r="AB21" i="134"/>
  <c r="AB21" i="135"/>
  <c r="D17" i="131"/>
  <c r="Q17" i="129"/>
  <c r="C55" i="132"/>
  <c r="AH15" i="135"/>
  <c r="AX15" i="131"/>
  <c r="AH15" i="131"/>
  <c r="AI15" i="131"/>
  <c r="AF15" i="131"/>
  <c r="AV15" i="131"/>
  <c r="AK15" i="131"/>
  <c r="AE15" i="131"/>
  <c r="AQ15" i="131"/>
  <c r="AJ15" i="131"/>
  <c r="AD15" i="131"/>
  <c r="AM15" i="131"/>
  <c r="AT15" i="131"/>
  <c r="AN15" i="131"/>
  <c r="AS15" i="131"/>
  <c r="AL15" i="131"/>
  <c r="AU15" i="131"/>
  <c r="AR15" i="131"/>
  <c r="AG15" i="131"/>
  <c r="AW15" i="131"/>
  <c r="AP15" i="131"/>
  <c r="AO15" i="131"/>
  <c r="AC26" i="136"/>
  <c r="AC24" i="136"/>
  <c r="AC25" i="136"/>
  <c r="AC37" i="136"/>
  <c r="AA18" i="136"/>
  <c r="AA19" i="136"/>
  <c r="AA19" i="133"/>
  <c r="AA18" i="133"/>
  <c r="AC35" i="136"/>
  <c r="AB42" i="132"/>
  <c r="AB43" i="132"/>
  <c r="AC18" i="134"/>
  <c r="AC28" i="136"/>
  <c r="AC28" i="135"/>
  <c r="AC37" i="135"/>
  <c r="AC18" i="135"/>
  <c r="AC39" i="133"/>
  <c r="AC35" i="131"/>
  <c r="AC42" i="133"/>
  <c r="AC25" i="135"/>
  <c r="AC33" i="135"/>
  <c r="AC40" i="135"/>
  <c r="AC40" i="136"/>
  <c r="AC34" i="133"/>
  <c r="AC28" i="133"/>
  <c r="AC36" i="133"/>
  <c r="AC14" i="136"/>
  <c r="AC34" i="135"/>
  <c r="AD39" i="136"/>
  <c r="AC39" i="135"/>
  <c r="AC42" i="135"/>
  <c r="AD42" i="135" s="1"/>
  <c r="AC42" i="136"/>
  <c r="AC38" i="131"/>
  <c r="AC38" i="133"/>
  <c r="AC38" i="135"/>
  <c r="AC38" i="136"/>
  <c r="AC35" i="135"/>
  <c r="AC32" i="135"/>
  <c r="AC36" i="136"/>
  <c r="AC26" i="135"/>
  <c r="AC34" i="136"/>
  <c r="AC42" i="132"/>
  <c r="AC33" i="133"/>
  <c r="AB18" i="136"/>
  <c r="AB19" i="136"/>
  <c r="AC26" i="133"/>
  <c r="AC20" i="133"/>
  <c r="AC35" i="133"/>
  <c r="AC25" i="133"/>
  <c r="AC37" i="133"/>
  <c r="AC28" i="132"/>
  <c r="AC26" i="132"/>
  <c r="AC25" i="132"/>
  <c r="AC24" i="134"/>
  <c r="AB19" i="134"/>
  <c r="AB18" i="134"/>
  <c r="AB21" i="132"/>
  <c r="AC14" i="133"/>
  <c r="AB19" i="133"/>
  <c r="AB18" i="133"/>
  <c r="AB19" i="132"/>
  <c r="AB18" i="132"/>
  <c r="AC14" i="132"/>
  <c r="AB21" i="133"/>
  <c r="AB18" i="131"/>
  <c r="AB21" i="131"/>
  <c r="AC40" i="131"/>
  <c r="AD35" i="131"/>
  <c r="AC36" i="131"/>
  <c r="AC33" i="131"/>
  <c r="AC41" i="131"/>
  <c r="AC34" i="131"/>
  <c r="AC32" i="131"/>
  <c r="AC24" i="131"/>
  <c r="AC25" i="131"/>
  <c r="AC26" i="131"/>
  <c r="AC28" i="131"/>
  <c r="AC21" i="134"/>
  <c r="AC21" i="135"/>
  <c r="AC21" i="136"/>
  <c r="AD35" i="136"/>
  <c r="AC18" i="136"/>
  <c r="AC18" i="132"/>
  <c r="AC43" i="132"/>
  <c r="AD36" i="136"/>
  <c r="AD38" i="136"/>
  <c r="AE38" i="136"/>
  <c r="AD37" i="135"/>
  <c r="AD40" i="135"/>
  <c r="AD35" i="135"/>
  <c r="AC43" i="136"/>
  <c r="AD28" i="135"/>
  <c r="AC21" i="133"/>
  <c r="AC21" i="132"/>
  <c r="AC18" i="133"/>
  <c r="AC18" i="131"/>
  <c r="AC21" i="131"/>
  <c r="AE35" i="135"/>
  <c r="AF35" i="135" s="1"/>
  <c r="AE40" i="135"/>
  <c r="AE36" i="136"/>
  <c r="AE28" i="135"/>
  <c r="AF28" i="135"/>
  <c r="AB25" i="134"/>
  <c r="AC25" i="134"/>
  <c r="BK15" i="61"/>
  <c r="BL15" i="61"/>
  <c r="BM15" i="61"/>
  <c r="BN15" i="61"/>
  <c r="BO15" i="61"/>
  <c r="BP15" i="61"/>
  <c r="BQ15" i="61"/>
  <c r="BR15" i="61"/>
  <c r="BS15" i="61"/>
  <c r="AB32" i="69"/>
  <c r="B65" i="115"/>
  <c r="C65" i="115"/>
  <c r="D65" i="115"/>
  <c r="E65" i="115"/>
  <c r="F65" i="115"/>
  <c r="G65" i="115"/>
  <c r="H65" i="115"/>
  <c r="I65" i="115"/>
  <c r="J65" i="115"/>
  <c r="K65" i="115"/>
  <c r="L65" i="115"/>
  <c r="M65" i="115"/>
  <c r="O58" i="70"/>
  <c r="N58" i="70"/>
  <c r="M58" i="70"/>
  <c r="L58" i="70"/>
  <c r="K58" i="70"/>
  <c r="J58" i="70"/>
  <c r="Z22" i="70"/>
  <c r="AE125" i="81"/>
  <c r="AE81" i="81"/>
  <c r="AE73" i="81"/>
  <c r="AE34" i="81"/>
  <c r="AE36" i="81"/>
  <c r="AE18" i="81"/>
  <c r="AB1577" i="123"/>
  <c r="AB1393" i="123"/>
  <c r="AB1382" i="123"/>
  <c r="AB1373" i="123"/>
  <c r="AB1363" i="123"/>
  <c r="AB1375" i="123" s="1"/>
  <c r="AB1353" i="123"/>
  <c r="AB1341" i="123"/>
  <c r="AB1333" i="123"/>
  <c r="AB1327" i="123"/>
  <c r="AB1319" i="123"/>
  <c r="AB1305" i="123"/>
  <c r="AB1301" i="123"/>
  <c r="AB1281" i="123"/>
  <c r="AB1251" i="123"/>
  <c r="AB1247" i="123"/>
  <c r="AB1258" i="123"/>
  <c r="AB1266" i="123"/>
  <c r="AB1236" i="123"/>
  <c r="AB1219" i="123"/>
  <c r="AB1208" i="123"/>
  <c r="AB1199" i="123"/>
  <c r="AB1201" i="123" s="1"/>
  <c r="AB1189" i="123"/>
  <c r="AB1179" i="123"/>
  <c r="AB1167" i="123"/>
  <c r="AB1159" i="123"/>
  <c r="AB1153" i="123"/>
  <c r="AB1145" i="123"/>
  <c r="AB1131" i="123"/>
  <c r="AB1127" i="123"/>
  <c r="AB1107" i="123"/>
  <c r="AB1077" i="123"/>
  <c r="AB1073" i="123"/>
  <c r="AB1084" i="123"/>
  <c r="AB1092" i="123" s="1"/>
  <c r="AB1062" i="123"/>
  <c r="AB1045" i="123"/>
  <c r="AB1034" i="123"/>
  <c r="AB1025" i="123"/>
  <c r="AB1015" i="123"/>
  <c r="AB1005" i="123"/>
  <c r="AB993" i="123"/>
  <c r="AB985" i="123"/>
  <c r="AB979" i="123"/>
  <c r="AB971" i="123"/>
  <c r="AB957" i="123"/>
  <c r="AB953" i="123"/>
  <c r="AB933" i="123"/>
  <c r="AB903" i="123"/>
  <c r="AB899" i="123"/>
  <c r="AB910" i="123"/>
  <c r="AB918" i="123"/>
  <c r="AB888" i="123"/>
  <c r="AB871" i="123"/>
  <c r="AB860" i="123"/>
  <c r="AB851" i="123"/>
  <c r="AB841" i="123"/>
  <c r="AB831" i="123"/>
  <c r="AB819" i="123"/>
  <c r="AB811" i="123"/>
  <c r="AB805" i="123"/>
  <c r="AB797" i="123"/>
  <c r="AB783" i="123"/>
  <c r="AB779" i="123"/>
  <c r="AB759" i="123"/>
  <c r="AB729" i="123"/>
  <c r="AB725" i="123"/>
  <c r="AB736" i="123"/>
  <c r="AB744" i="123"/>
  <c r="AB714" i="123"/>
  <c r="AB697" i="123"/>
  <c r="AB686" i="123"/>
  <c r="AB677" i="123"/>
  <c r="AB679" i="123" s="1"/>
  <c r="AB667" i="123"/>
  <c r="AB657" i="123"/>
  <c r="AB645" i="123"/>
  <c r="AB637" i="123"/>
  <c r="AB631" i="123"/>
  <c r="AB623" i="123"/>
  <c r="AB609" i="123"/>
  <c r="AB605" i="123"/>
  <c r="AB585" i="123"/>
  <c r="AB555" i="123"/>
  <c r="AB551" i="123"/>
  <c r="AB562" i="123"/>
  <c r="AB570" i="123" s="1"/>
  <c r="AB540" i="123"/>
  <c r="AB523" i="123"/>
  <c r="AB512" i="123"/>
  <c r="AB503" i="123"/>
  <c r="AB493" i="123"/>
  <c r="AB483" i="123"/>
  <c r="AB471" i="123"/>
  <c r="AB463" i="123"/>
  <c r="AB457" i="123"/>
  <c r="AB449" i="123"/>
  <c r="AB435" i="123"/>
  <c r="AB431" i="123"/>
  <c r="AB411" i="123"/>
  <c r="AB381" i="123"/>
  <c r="AB377" i="123"/>
  <c r="AB388" i="123"/>
  <c r="AB396" i="123" s="1"/>
  <c r="AB366" i="123"/>
  <c r="AB349" i="123"/>
  <c r="AB338" i="123"/>
  <c r="AB329" i="123"/>
  <c r="AB319" i="123"/>
  <c r="AB309" i="123"/>
  <c r="AB331" i="123" s="1"/>
  <c r="AB297" i="123"/>
  <c r="AB289" i="123"/>
  <c r="AB283" i="123"/>
  <c r="AB275" i="123"/>
  <c r="AB261" i="123"/>
  <c r="AB257" i="123"/>
  <c r="AB237" i="123"/>
  <c r="AB207" i="123"/>
  <c r="AB203" i="123"/>
  <c r="AB214" i="123"/>
  <c r="AB222" i="123"/>
  <c r="AB192" i="123"/>
  <c r="AB175" i="123"/>
  <c r="AB164" i="123"/>
  <c r="AB155" i="123"/>
  <c r="AB145" i="123"/>
  <c r="AB157" i="123" s="1"/>
  <c r="AB135" i="123"/>
  <c r="AB123" i="123"/>
  <c r="AB115" i="123"/>
  <c r="AB109" i="123"/>
  <c r="AB101" i="123"/>
  <c r="AB87" i="123"/>
  <c r="AB83" i="123"/>
  <c r="AB63" i="123"/>
  <c r="AB33" i="123"/>
  <c r="AB29" i="123"/>
  <c r="AB40" i="123"/>
  <c r="AB48" i="123"/>
  <c r="AB18" i="123"/>
  <c r="AB1027" i="123"/>
  <c r="AB1047" i="123" s="1"/>
  <c r="AB177" i="123"/>
  <c r="W1577" i="123"/>
  <c r="T1577" i="123"/>
  <c r="U1577" i="123"/>
  <c r="V1577" i="123"/>
  <c r="X1577" i="123"/>
  <c r="Y1577" i="123"/>
  <c r="Z1577" i="123"/>
  <c r="AA1577" i="123"/>
  <c r="S1577" i="123"/>
  <c r="S175" i="123"/>
  <c r="S164" i="123"/>
  <c r="S155" i="123"/>
  <c r="S145" i="123"/>
  <c r="S135" i="123"/>
  <c r="S157" i="123" s="1"/>
  <c r="S123" i="123"/>
  <c r="S115" i="123"/>
  <c r="S109" i="123"/>
  <c r="S101" i="123"/>
  <c r="S87" i="123"/>
  <c r="S83" i="123"/>
  <c r="S63" i="123"/>
  <c r="S33" i="123"/>
  <c r="S29" i="123"/>
  <c r="S40" i="123"/>
  <c r="S48" i="123"/>
  <c r="S18" i="123"/>
  <c r="AA1393" i="123"/>
  <c r="AA1382" i="123"/>
  <c r="AA1373" i="123"/>
  <c r="AA1363" i="123"/>
  <c r="AA1375" i="123" s="1"/>
  <c r="AA1353" i="123"/>
  <c r="AA1341" i="123"/>
  <c r="AA1333" i="123"/>
  <c r="AA1327" i="123"/>
  <c r="AA1319" i="123"/>
  <c r="AA1305" i="123"/>
  <c r="AA1301" i="123"/>
  <c r="AA1281" i="123"/>
  <c r="AA1251" i="123"/>
  <c r="AA1247" i="123"/>
  <c r="AA1258" i="123"/>
  <c r="AA1266" i="123"/>
  <c r="AA1236" i="123"/>
  <c r="Z1393" i="123"/>
  <c r="Z1382" i="123"/>
  <c r="Z1373" i="123"/>
  <c r="Z1375" i="123" s="1"/>
  <c r="Z1363" i="123"/>
  <c r="Z1353" i="123"/>
  <c r="Z1341" i="123"/>
  <c r="Z1333" i="123"/>
  <c r="Z1327" i="123"/>
  <c r="Z1319" i="123"/>
  <c r="Z1305" i="123"/>
  <c r="Z1301" i="123"/>
  <c r="Z1281" i="123"/>
  <c r="Z1251" i="123"/>
  <c r="Z1247" i="123"/>
  <c r="Z1258" i="123"/>
  <c r="Z1266" i="123" s="1"/>
  <c r="Z1236" i="123"/>
  <c r="Y1393" i="123"/>
  <c r="Y1382" i="123"/>
  <c r="Y1373" i="123"/>
  <c r="Y1363" i="123"/>
  <c r="Y1353" i="123"/>
  <c r="Y1341" i="123"/>
  <c r="Y1333" i="123"/>
  <c r="Y1327" i="123"/>
  <c r="Y1319" i="123"/>
  <c r="Y1305" i="123"/>
  <c r="Y1301" i="123"/>
  <c r="Y1281" i="123"/>
  <c r="Y1251" i="123"/>
  <c r="Y1247" i="123"/>
  <c r="Y1395" i="123" s="1"/>
  <c r="Y1258" i="123"/>
  <c r="Y1266" i="123" s="1"/>
  <c r="Y1236" i="123"/>
  <c r="X1393" i="123"/>
  <c r="X1382" i="123"/>
  <c r="X1373" i="123"/>
  <c r="X1363" i="123"/>
  <c r="X1353" i="123"/>
  <c r="X1341" i="123"/>
  <c r="X1333" i="123"/>
  <c r="X1327" i="123"/>
  <c r="X1319" i="123"/>
  <c r="X1305" i="123"/>
  <c r="X1301" i="123"/>
  <c r="X1281" i="123"/>
  <c r="X1251" i="123"/>
  <c r="X1247" i="123"/>
  <c r="X1258" i="123"/>
  <c r="X1266" i="123"/>
  <c r="X1236" i="123"/>
  <c r="W1393" i="123"/>
  <c r="W1382" i="123"/>
  <c r="W1373" i="123"/>
  <c r="W1363" i="123"/>
  <c r="W1353" i="123"/>
  <c r="W1375" i="123" s="1"/>
  <c r="W1341" i="123"/>
  <c r="W1333" i="123"/>
  <c r="W1327" i="123"/>
  <c r="W1319" i="123"/>
  <c r="W1305" i="123"/>
  <c r="W1301" i="123"/>
  <c r="W1281" i="123"/>
  <c r="W1251" i="123"/>
  <c r="W1247" i="123"/>
  <c r="W1258" i="123"/>
  <c r="W1266" i="123" s="1"/>
  <c r="W1236" i="123"/>
  <c r="V1393" i="123"/>
  <c r="V1382" i="123"/>
  <c r="V1373" i="123"/>
  <c r="V1363" i="123"/>
  <c r="V1353" i="123"/>
  <c r="V1341" i="123"/>
  <c r="V1333" i="123"/>
  <c r="V1327" i="123"/>
  <c r="V1319" i="123"/>
  <c r="V1305" i="123"/>
  <c r="V1301" i="123"/>
  <c r="V1281" i="123"/>
  <c r="V1251" i="123"/>
  <c r="V1247" i="123"/>
  <c r="V1258" i="123"/>
  <c r="V1266" i="123"/>
  <c r="V1236" i="123"/>
  <c r="U1393" i="123"/>
  <c r="U1382" i="123"/>
  <c r="U1373" i="123"/>
  <c r="U1363" i="123"/>
  <c r="U1353" i="123"/>
  <c r="U1341" i="123"/>
  <c r="U1333" i="123"/>
  <c r="U1327" i="123"/>
  <c r="U1319" i="123"/>
  <c r="U1305" i="123"/>
  <c r="U1301" i="123"/>
  <c r="U1281" i="123"/>
  <c r="U1251" i="123"/>
  <c r="U1247" i="123"/>
  <c r="U1258" i="123"/>
  <c r="U1266" i="123"/>
  <c r="U1236" i="123"/>
  <c r="T1393" i="123"/>
  <c r="T1382" i="123"/>
  <c r="T1373" i="123"/>
  <c r="T1375" i="123" s="1"/>
  <c r="T1363" i="123"/>
  <c r="T1353" i="123"/>
  <c r="T1341" i="123"/>
  <c r="T1333" i="123"/>
  <c r="T1327" i="123"/>
  <c r="T1319" i="123"/>
  <c r="T1305" i="123"/>
  <c r="T1301" i="123"/>
  <c r="T1281" i="123"/>
  <c r="T1251" i="123"/>
  <c r="T1247" i="123"/>
  <c r="T1395" i="123" s="1"/>
  <c r="T1258" i="123"/>
  <c r="T1266" i="123" s="1"/>
  <c r="T1236" i="123"/>
  <c r="T1219" i="123"/>
  <c r="T1208" i="123"/>
  <c r="T1199" i="123"/>
  <c r="T1189" i="123"/>
  <c r="T1179" i="123"/>
  <c r="T1201" i="123" s="1"/>
  <c r="T1167" i="123"/>
  <c r="T1159" i="123"/>
  <c r="T1153" i="123"/>
  <c r="T1145" i="123"/>
  <c r="T1131" i="123"/>
  <c r="T1127" i="123"/>
  <c r="T1107" i="123"/>
  <c r="T1077" i="123"/>
  <c r="T1073" i="123"/>
  <c r="T1084" i="123"/>
  <c r="T1092" i="123" s="1"/>
  <c r="T1062" i="123"/>
  <c r="U1219" i="123"/>
  <c r="U1208" i="123"/>
  <c r="U1199" i="123"/>
  <c r="U1189" i="123"/>
  <c r="U1179" i="123"/>
  <c r="U1167" i="123"/>
  <c r="U1159" i="123"/>
  <c r="U1153" i="123"/>
  <c r="U1145" i="123"/>
  <c r="U1131" i="123"/>
  <c r="U1127" i="123"/>
  <c r="U1107" i="123"/>
  <c r="U1077" i="123"/>
  <c r="U1073" i="123"/>
  <c r="U1084" i="123"/>
  <c r="U1092" i="123"/>
  <c r="U1062" i="123"/>
  <c r="V1219" i="123"/>
  <c r="V1208" i="123"/>
  <c r="V1199" i="123"/>
  <c r="V1189" i="123"/>
  <c r="V1179" i="123"/>
  <c r="V1201" i="123" s="1"/>
  <c r="V1167" i="123"/>
  <c r="V1159" i="123"/>
  <c r="V1153" i="123"/>
  <c r="V1145" i="123"/>
  <c r="V1131" i="123"/>
  <c r="V1127" i="123"/>
  <c r="V1107" i="123"/>
  <c r="V1077" i="123"/>
  <c r="V1073" i="123"/>
  <c r="V1084" i="123"/>
  <c r="V1092" i="123"/>
  <c r="V1062" i="123"/>
  <c r="W1219" i="123"/>
  <c r="W1208" i="123"/>
  <c r="W1199" i="123"/>
  <c r="W1189" i="123"/>
  <c r="W1201" i="123" s="1"/>
  <c r="W1179" i="123"/>
  <c r="W1167" i="123"/>
  <c r="W1159" i="123"/>
  <c r="W1153" i="123"/>
  <c r="W1145" i="123"/>
  <c r="W1131" i="123"/>
  <c r="W1127" i="123"/>
  <c r="W1221" i="123" s="1"/>
  <c r="W1107" i="123"/>
  <c r="W1077" i="123"/>
  <c r="W1073" i="123"/>
  <c r="W1084" i="123"/>
  <c r="W1092" i="123"/>
  <c r="W1062" i="123"/>
  <c r="X1219" i="123"/>
  <c r="X1208" i="123"/>
  <c r="X1199" i="123"/>
  <c r="X1201" i="123" s="1"/>
  <c r="X1189" i="123"/>
  <c r="X1179" i="123"/>
  <c r="X1167" i="123"/>
  <c r="X1159" i="123"/>
  <c r="X1153" i="123"/>
  <c r="X1145" i="123"/>
  <c r="X1131" i="123"/>
  <c r="X1127" i="123"/>
  <c r="X1107" i="123"/>
  <c r="X1077" i="123"/>
  <c r="X1073" i="123"/>
  <c r="X1221" i="123" s="1"/>
  <c r="X1084" i="123"/>
  <c r="X1092" i="123" s="1"/>
  <c r="X1062" i="123"/>
  <c r="Y1219" i="123"/>
  <c r="Y1208" i="123"/>
  <c r="Y1199" i="123"/>
  <c r="Y1189" i="123"/>
  <c r="Y1179" i="123"/>
  <c r="Y1167" i="123"/>
  <c r="Y1159" i="123"/>
  <c r="Y1153" i="123"/>
  <c r="Y1145" i="123"/>
  <c r="Y1131" i="123"/>
  <c r="Y1127" i="123"/>
  <c r="Y1107" i="123"/>
  <c r="Y1077" i="123"/>
  <c r="Y1073" i="123"/>
  <c r="Y1221" i="123" s="1"/>
  <c r="Y1084" i="123"/>
  <c r="Y1092" i="123"/>
  <c r="Y1062" i="123"/>
  <c r="Z1219" i="123"/>
  <c r="Z1208" i="123"/>
  <c r="Z1199" i="123"/>
  <c r="Z1189" i="123"/>
  <c r="Z1179" i="123"/>
  <c r="Z1167" i="123"/>
  <c r="Z1159" i="123"/>
  <c r="Z1153" i="123"/>
  <c r="Z1145" i="123"/>
  <c r="Z1131" i="123"/>
  <c r="Z1127" i="123"/>
  <c r="Z1107" i="123"/>
  <c r="Z1077" i="123"/>
  <c r="Z1073" i="123"/>
  <c r="Z1084" i="123"/>
  <c r="Z1092" i="123" s="1"/>
  <c r="Z1062" i="123"/>
  <c r="AA1219" i="123"/>
  <c r="AA1208" i="123"/>
  <c r="AA1199" i="123"/>
  <c r="AA1189" i="123"/>
  <c r="AA1179" i="123"/>
  <c r="AA1167" i="123"/>
  <c r="AA1159" i="123"/>
  <c r="AA1153" i="123"/>
  <c r="AA1145" i="123"/>
  <c r="AA1131" i="123"/>
  <c r="AA1127" i="123"/>
  <c r="AA1107" i="123"/>
  <c r="AA1077" i="123"/>
  <c r="AA1073" i="123"/>
  <c r="AA1084" i="123"/>
  <c r="AA1092" i="123"/>
  <c r="AA1062" i="123"/>
  <c r="AA1045" i="123"/>
  <c r="AA1034" i="123"/>
  <c r="AA1025" i="123"/>
  <c r="AA1015" i="123"/>
  <c r="AA1005" i="123"/>
  <c r="AA993" i="123"/>
  <c r="AA985" i="123"/>
  <c r="AA979" i="123"/>
  <c r="AA971" i="123"/>
  <c r="AA957" i="123"/>
  <c r="AA953" i="123"/>
  <c r="AA933" i="123"/>
  <c r="AA903" i="123"/>
  <c r="AA899" i="123"/>
  <c r="AA910" i="123"/>
  <c r="AA918" i="123" s="1"/>
  <c r="AA888" i="123"/>
  <c r="Z1045" i="123"/>
  <c r="Z1034" i="123"/>
  <c r="Z1025" i="123"/>
  <c r="Z1015" i="123"/>
  <c r="Z1027" i="123" s="1"/>
  <c r="Z1005" i="123"/>
  <c r="Z993" i="123"/>
  <c r="Z985" i="123"/>
  <c r="Z979" i="123"/>
  <c r="Z971" i="123"/>
  <c r="Z957" i="123"/>
  <c r="Z953" i="123"/>
  <c r="Z933" i="123"/>
  <c r="Z903" i="123"/>
  <c r="Z899" i="123"/>
  <c r="Z910" i="123"/>
  <c r="Z918" i="123"/>
  <c r="Z888" i="123"/>
  <c r="Y1045" i="123"/>
  <c r="Y1034" i="123"/>
  <c r="Y1025" i="123"/>
  <c r="Y1027" i="123" s="1"/>
  <c r="Y1015" i="123"/>
  <c r="Y1005" i="123"/>
  <c r="Y993" i="123"/>
  <c r="Y985" i="123"/>
  <c r="Y979" i="123"/>
  <c r="Y971" i="123"/>
  <c r="Y957" i="123"/>
  <c r="Y953" i="123"/>
  <c r="Y933" i="123"/>
  <c r="Y903" i="123"/>
  <c r="Y899" i="123"/>
  <c r="Y910" i="123"/>
  <c r="Y918" i="123" s="1"/>
  <c r="Y888" i="123"/>
  <c r="X1045" i="123"/>
  <c r="X1034" i="123"/>
  <c r="X1025" i="123"/>
  <c r="X1015" i="123"/>
  <c r="X1005" i="123"/>
  <c r="X993" i="123"/>
  <c r="X985" i="123"/>
  <c r="X979" i="123"/>
  <c r="X971" i="123"/>
  <c r="X957" i="123"/>
  <c r="X953" i="123"/>
  <c r="X933" i="123"/>
  <c r="X903" i="123"/>
  <c r="X899" i="123"/>
  <c r="X910" i="123"/>
  <c r="X918" i="123" s="1"/>
  <c r="X1047" i="123" s="1"/>
  <c r="X888" i="123"/>
  <c r="W1045" i="123"/>
  <c r="W1034" i="123"/>
  <c r="W1025" i="123"/>
  <c r="W1015" i="123"/>
  <c r="W1005" i="123"/>
  <c r="W1027" i="123" s="1"/>
  <c r="W993" i="123"/>
  <c r="W985" i="123"/>
  <c r="W979" i="123"/>
  <c r="W971" i="123"/>
  <c r="W957" i="123"/>
  <c r="W953" i="123"/>
  <c r="W933" i="123"/>
  <c r="W903" i="123"/>
  <c r="W899" i="123"/>
  <c r="W910" i="123"/>
  <c r="W918" i="123" s="1"/>
  <c r="W888" i="123"/>
  <c r="V1045" i="123"/>
  <c r="V1034" i="123"/>
  <c r="V1025" i="123"/>
  <c r="V1015" i="123"/>
  <c r="V1005" i="123"/>
  <c r="V1027" i="123" s="1"/>
  <c r="V993" i="123"/>
  <c r="V985" i="123"/>
  <c r="V979" i="123"/>
  <c r="V971" i="123"/>
  <c r="V957" i="123"/>
  <c r="V953" i="123"/>
  <c r="V933" i="123"/>
  <c r="V903" i="123"/>
  <c r="V899" i="123"/>
  <c r="V910" i="123"/>
  <c r="V918" i="123"/>
  <c r="V888" i="123"/>
  <c r="U1045" i="123"/>
  <c r="U1034" i="123"/>
  <c r="U1025" i="123"/>
  <c r="U1015" i="123"/>
  <c r="U1027" i="123" s="1"/>
  <c r="U1005" i="123"/>
  <c r="U993" i="123"/>
  <c r="U985" i="123"/>
  <c r="U979" i="123"/>
  <c r="U971" i="123"/>
  <c r="U957" i="123"/>
  <c r="U953" i="123"/>
  <c r="U1047" i="123" s="1"/>
  <c r="U933" i="123"/>
  <c r="U903" i="123"/>
  <c r="U899" i="123"/>
  <c r="U910" i="123"/>
  <c r="U918" i="123"/>
  <c r="U888" i="123"/>
  <c r="T1045" i="123"/>
  <c r="T1034" i="123"/>
  <c r="T1025" i="123"/>
  <c r="T1027" i="123" s="1"/>
  <c r="T1015" i="123"/>
  <c r="T1005" i="123"/>
  <c r="T993" i="123"/>
  <c r="T985" i="123"/>
  <c r="T979" i="123"/>
  <c r="T971" i="123"/>
  <c r="T957" i="123"/>
  <c r="T953" i="123"/>
  <c r="T933" i="123"/>
  <c r="T903" i="123"/>
  <c r="T899" i="123"/>
  <c r="T1047" i="123" s="1"/>
  <c r="T910" i="123"/>
  <c r="T918" i="123" s="1"/>
  <c r="T888" i="123"/>
  <c r="S1045" i="123"/>
  <c r="S1034" i="123"/>
  <c r="S1025" i="123"/>
  <c r="S1015" i="123"/>
  <c r="S1005" i="123"/>
  <c r="S1027" i="123" s="1"/>
  <c r="S993" i="123"/>
  <c r="S985" i="123"/>
  <c r="S979" i="123"/>
  <c r="S971" i="123"/>
  <c r="S957" i="123"/>
  <c r="S953" i="123"/>
  <c r="S933" i="123"/>
  <c r="S903" i="123"/>
  <c r="S899" i="123"/>
  <c r="S910" i="123"/>
  <c r="S918" i="123" s="1"/>
  <c r="S888" i="123"/>
  <c r="S1219" i="123"/>
  <c r="S1208" i="123"/>
  <c r="S1199" i="123"/>
  <c r="S1189" i="123"/>
  <c r="S1179" i="123"/>
  <c r="S1167" i="123"/>
  <c r="S1159" i="123"/>
  <c r="S1153" i="123"/>
  <c r="S1145" i="123"/>
  <c r="S1131" i="123"/>
  <c r="S1127" i="123"/>
  <c r="S1107" i="123"/>
  <c r="S1077" i="123"/>
  <c r="S1073" i="123"/>
  <c r="S1084" i="123"/>
  <c r="S1092" i="123"/>
  <c r="S1062" i="123"/>
  <c r="S1393" i="123"/>
  <c r="S1382" i="123"/>
  <c r="S1373" i="123"/>
  <c r="S1363" i="123"/>
  <c r="S1353" i="123"/>
  <c r="S1341" i="123"/>
  <c r="S1333" i="123"/>
  <c r="S1327" i="123"/>
  <c r="S1319" i="123"/>
  <c r="S1305" i="123"/>
  <c r="S1301" i="123"/>
  <c r="S1281" i="123"/>
  <c r="S1251" i="123"/>
  <c r="S1247" i="123"/>
  <c r="S1258" i="123"/>
  <c r="S1266" i="123"/>
  <c r="S1236" i="123"/>
  <c r="AA871" i="123"/>
  <c r="AA860" i="123"/>
  <c r="AA851" i="123"/>
  <c r="AA841" i="123"/>
  <c r="AA831" i="123"/>
  <c r="AA819" i="123"/>
  <c r="AA811" i="123"/>
  <c r="AA805" i="123"/>
  <c r="AA797" i="123"/>
  <c r="AA783" i="123"/>
  <c r="AA779" i="123"/>
  <c r="AA759" i="123"/>
  <c r="AA729" i="123"/>
  <c r="AA725" i="123"/>
  <c r="AA736" i="123"/>
  <c r="AA744" i="123"/>
  <c r="AA714" i="123"/>
  <c r="Z871" i="123"/>
  <c r="Z860" i="123"/>
  <c r="Z851" i="123"/>
  <c r="Z853" i="123" s="1"/>
  <c r="Z841" i="123"/>
  <c r="Z831" i="123"/>
  <c r="Z819" i="123"/>
  <c r="Z811" i="123"/>
  <c r="Z805" i="123"/>
  <c r="Z797" i="123"/>
  <c r="Z783" i="123"/>
  <c r="Z779" i="123"/>
  <c r="Z759" i="123"/>
  <c r="Z729" i="123"/>
  <c r="Z725" i="123"/>
  <c r="Z736" i="123"/>
  <c r="Z744" i="123" s="1"/>
  <c r="Z714" i="123"/>
  <c r="Y871" i="123"/>
  <c r="Y860" i="123"/>
  <c r="Y851" i="123"/>
  <c r="Y841" i="123"/>
  <c r="Y831" i="123"/>
  <c r="Y819" i="123"/>
  <c r="Y811" i="123"/>
  <c r="Y805" i="123"/>
  <c r="Y797" i="123"/>
  <c r="Y783" i="123"/>
  <c r="Y779" i="123"/>
  <c r="Y759" i="123"/>
  <c r="Y729" i="123"/>
  <c r="Y725" i="123"/>
  <c r="Y873" i="123" s="1"/>
  <c r="Y736" i="123"/>
  <c r="Y744" i="123"/>
  <c r="Y714" i="123"/>
  <c r="X871" i="123"/>
  <c r="X860" i="123"/>
  <c r="X851" i="123"/>
  <c r="X841" i="123"/>
  <c r="X831" i="123"/>
  <c r="X819" i="123"/>
  <c r="X811" i="123"/>
  <c r="X805" i="123"/>
  <c r="X797" i="123"/>
  <c r="X873" i="123" s="1"/>
  <c r="X783" i="123"/>
  <c r="X779" i="123"/>
  <c r="X759" i="123"/>
  <c r="X729" i="123"/>
  <c r="X725" i="123"/>
  <c r="X736" i="123"/>
  <c r="X744" i="123" s="1"/>
  <c r="X714" i="123"/>
  <c r="W871" i="123"/>
  <c r="W860" i="123"/>
  <c r="W851" i="123"/>
  <c r="W841" i="123"/>
  <c r="W853" i="123" s="1"/>
  <c r="W873" i="123" s="1"/>
  <c r="W831" i="123"/>
  <c r="W819" i="123"/>
  <c r="W811" i="123"/>
  <c r="W805" i="123"/>
  <c r="W797" i="123"/>
  <c r="W783" i="123"/>
  <c r="W779" i="123"/>
  <c r="W759" i="123"/>
  <c r="W729" i="123"/>
  <c r="W725" i="123"/>
  <c r="W736" i="123"/>
  <c r="W744" i="123"/>
  <c r="W714" i="123"/>
  <c r="V871" i="123"/>
  <c r="V860" i="123"/>
  <c r="V851" i="123"/>
  <c r="V853" i="123" s="1"/>
  <c r="V841" i="123"/>
  <c r="V831" i="123"/>
  <c r="V819" i="123"/>
  <c r="V811" i="123"/>
  <c r="V805" i="123"/>
  <c r="V797" i="123"/>
  <c r="V783" i="123"/>
  <c r="V779" i="123"/>
  <c r="V759" i="123"/>
  <c r="V729" i="123"/>
  <c r="V725" i="123"/>
  <c r="V736" i="123"/>
  <c r="V744" i="123" s="1"/>
  <c r="V714" i="123"/>
  <c r="V873" i="123" s="1"/>
  <c r="U871" i="123"/>
  <c r="U860" i="123"/>
  <c r="U851" i="123"/>
  <c r="U841" i="123"/>
  <c r="U853" i="123" s="1"/>
  <c r="U831" i="123"/>
  <c r="U819" i="123"/>
  <c r="U811" i="123"/>
  <c r="U805" i="123"/>
  <c r="U797" i="123"/>
  <c r="U783" i="123"/>
  <c r="U779" i="123"/>
  <c r="U759" i="123"/>
  <c r="U729" i="123"/>
  <c r="U725" i="123"/>
  <c r="U736" i="123"/>
  <c r="U744" i="123"/>
  <c r="U714" i="123"/>
  <c r="T871" i="123"/>
  <c r="T860" i="123"/>
  <c r="T851" i="123"/>
  <c r="T853" i="123" s="1"/>
  <c r="T841" i="123"/>
  <c r="T831" i="123"/>
  <c r="T819" i="123"/>
  <c r="T811" i="123"/>
  <c r="T805" i="123"/>
  <c r="T797" i="123"/>
  <c r="T783" i="123"/>
  <c r="T779" i="123"/>
  <c r="T759" i="123"/>
  <c r="T729" i="123"/>
  <c r="T725" i="123"/>
  <c r="T736" i="123"/>
  <c r="T744" i="123" s="1"/>
  <c r="T714" i="123"/>
  <c r="S871" i="123"/>
  <c r="S860" i="123"/>
  <c r="S851" i="123"/>
  <c r="S841" i="123"/>
  <c r="S831" i="123"/>
  <c r="S819" i="123"/>
  <c r="S811" i="123"/>
  <c r="S805" i="123"/>
  <c r="S797" i="123"/>
  <c r="S783" i="123"/>
  <c r="S779" i="123"/>
  <c r="S759" i="123"/>
  <c r="S729" i="123"/>
  <c r="S725" i="123"/>
  <c r="S736" i="123"/>
  <c r="S744" i="123" s="1"/>
  <c r="S714" i="123"/>
  <c r="AA697" i="123"/>
  <c r="AA686" i="123"/>
  <c r="AA677" i="123"/>
  <c r="AA667" i="123"/>
  <c r="AA657" i="123"/>
  <c r="AA679" i="123" s="1"/>
  <c r="AA645" i="123"/>
  <c r="AA637" i="123"/>
  <c r="AA631" i="123"/>
  <c r="AA623" i="123"/>
  <c r="AA609" i="123"/>
  <c r="AA605" i="123"/>
  <c r="AA585" i="123"/>
  <c r="AA555" i="123"/>
  <c r="AA551" i="123"/>
  <c r="AA562" i="123"/>
  <c r="AA570" i="123" s="1"/>
  <c r="AA540" i="123"/>
  <c r="Z697" i="123"/>
  <c r="Z686" i="123"/>
  <c r="Z677" i="123"/>
  <c r="Z667" i="123"/>
  <c r="Z657" i="123"/>
  <c r="Z679" i="123" s="1"/>
  <c r="Z645" i="123"/>
  <c r="Z637" i="123"/>
  <c r="Z631" i="123"/>
  <c r="Z623" i="123"/>
  <c r="Z609" i="123"/>
  <c r="Z605" i="123"/>
  <c r="Z585" i="123"/>
  <c r="Z555" i="123"/>
  <c r="Z551" i="123"/>
  <c r="Z562" i="123"/>
  <c r="Z570" i="123"/>
  <c r="Z540" i="123"/>
  <c r="Y697" i="123"/>
  <c r="Y686" i="123"/>
  <c r="Y677" i="123"/>
  <c r="Y667" i="123"/>
  <c r="Y657" i="123"/>
  <c r="Y645" i="123"/>
  <c r="Y637" i="123"/>
  <c r="Y631" i="123"/>
  <c r="Y623" i="123"/>
  <c r="Y609" i="123"/>
  <c r="Y605" i="123"/>
  <c r="Y585" i="123"/>
  <c r="Y555" i="123"/>
  <c r="Y551" i="123"/>
  <c r="Y562" i="123"/>
  <c r="Y570" i="123"/>
  <c r="Y540" i="123"/>
  <c r="X697" i="123"/>
  <c r="X686" i="123"/>
  <c r="X677" i="123"/>
  <c r="X667" i="123"/>
  <c r="X657" i="123"/>
  <c r="X645" i="123"/>
  <c r="X637" i="123"/>
  <c r="X631" i="123"/>
  <c r="X623" i="123"/>
  <c r="X609" i="123"/>
  <c r="X605" i="123"/>
  <c r="X585" i="123"/>
  <c r="X555" i="123"/>
  <c r="X551" i="123"/>
  <c r="X562" i="123"/>
  <c r="X570" i="123" s="1"/>
  <c r="X540" i="123"/>
  <c r="W697" i="123"/>
  <c r="W686" i="123"/>
  <c r="W677" i="123"/>
  <c r="W667" i="123"/>
  <c r="W657" i="123"/>
  <c r="W645" i="123"/>
  <c r="W637" i="123"/>
  <c r="W631" i="123"/>
  <c r="W623" i="123"/>
  <c r="W609" i="123"/>
  <c r="W605" i="123"/>
  <c r="W585" i="123"/>
  <c r="W555" i="123"/>
  <c r="W551" i="123"/>
  <c r="W699" i="123" s="1"/>
  <c r="W562" i="123"/>
  <c r="W570" i="123" s="1"/>
  <c r="W540" i="123"/>
  <c r="V697" i="123"/>
  <c r="V686" i="123"/>
  <c r="V677" i="123"/>
  <c r="V667" i="123"/>
  <c r="V657" i="123"/>
  <c r="V679" i="123" s="1"/>
  <c r="V645" i="123"/>
  <c r="V637" i="123"/>
  <c r="V631" i="123"/>
  <c r="V623" i="123"/>
  <c r="V609" i="123"/>
  <c r="V605" i="123"/>
  <c r="V585" i="123"/>
  <c r="V555" i="123"/>
  <c r="V551" i="123"/>
  <c r="V562" i="123"/>
  <c r="V570" i="123"/>
  <c r="V540" i="123"/>
  <c r="U697" i="123"/>
  <c r="U686" i="123"/>
  <c r="U677" i="123"/>
  <c r="U667" i="123"/>
  <c r="U657" i="123"/>
  <c r="U679" i="123" s="1"/>
  <c r="U645" i="123"/>
  <c r="U637" i="123"/>
  <c r="U631" i="123"/>
  <c r="U623" i="123"/>
  <c r="U609" i="123"/>
  <c r="U605" i="123"/>
  <c r="U585" i="123"/>
  <c r="U555" i="123"/>
  <c r="U551" i="123"/>
  <c r="U562" i="123"/>
  <c r="U570" i="123"/>
  <c r="U540" i="123"/>
  <c r="T697" i="123"/>
  <c r="T686" i="123"/>
  <c r="T677" i="123"/>
  <c r="T667" i="123"/>
  <c r="T679" i="123" s="1"/>
  <c r="T657" i="123"/>
  <c r="T645" i="123"/>
  <c r="T637" i="123"/>
  <c r="T631" i="123"/>
  <c r="T623" i="123"/>
  <c r="T609" i="123"/>
  <c r="T605" i="123"/>
  <c r="T699" i="123" s="1"/>
  <c r="P25" i="11" s="1"/>
  <c r="T585" i="123"/>
  <c r="T555" i="123"/>
  <c r="T551" i="123"/>
  <c r="T562" i="123"/>
  <c r="T570" i="123"/>
  <c r="T540" i="123"/>
  <c r="S697" i="123"/>
  <c r="S686" i="123"/>
  <c r="S677" i="123"/>
  <c r="S679" i="123" s="1"/>
  <c r="S667" i="123"/>
  <c r="S657" i="123"/>
  <c r="S645" i="123"/>
  <c r="S637" i="123"/>
  <c r="S631" i="123"/>
  <c r="S623" i="123"/>
  <c r="S609" i="123"/>
  <c r="S605" i="123"/>
  <c r="S585" i="123"/>
  <c r="S555" i="123"/>
  <c r="S551" i="123"/>
  <c r="S699" i="123" s="1"/>
  <c r="S562" i="123"/>
  <c r="S570" i="123" s="1"/>
  <c r="S540" i="123"/>
  <c r="S523" i="123"/>
  <c r="S512" i="123"/>
  <c r="S503" i="123"/>
  <c r="S493" i="123"/>
  <c r="S483" i="123"/>
  <c r="S505" i="123" s="1"/>
  <c r="S471" i="123"/>
  <c r="S463" i="123"/>
  <c r="S457" i="123"/>
  <c r="S449" i="123"/>
  <c r="S435" i="123"/>
  <c r="S431" i="123"/>
  <c r="S411" i="123"/>
  <c r="S381" i="123"/>
  <c r="S377" i="123"/>
  <c r="S388" i="123"/>
  <c r="S396" i="123" s="1"/>
  <c r="S525" i="123" s="1"/>
  <c r="S366" i="123"/>
  <c r="T523" i="123"/>
  <c r="T512" i="123"/>
  <c r="T503" i="123"/>
  <c r="T493" i="123"/>
  <c r="T483" i="123"/>
  <c r="T505" i="123" s="1"/>
  <c r="T471" i="123"/>
  <c r="T463" i="123"/>
  <c r="T457" i="123"/>
  <c r="T449" i="123"/>
  <c r="T525" i="123" s="1"/>
  <c r="T435" i="123"/>
  <c r="T431" i="123"/>
  <c r="T411" i="123"/>
  <c r="T381" i="123"/>
  <c r="T377" i="123"/>
  <c r="T388" i="123"/>
  <c r="T396" i="123" s="1"/>
  <c r="T366" i="123"/>
  <c r="U523" i="123"/>
  <c r="U512" i="123"/>
  <c r="U503" i="123"/>
  <c r="U493" i="123"/>
  <c r="U483" i="123"/>
  <c r="U471" i="123"/>
  <c r="U463" i="123"/>
  <c r="U457" i="123"/>
  <c r="U449" i="123"/>
  <c r="U435" i="123"/>
  <c r="U431" i="123"/>
  <c r="U411" i="123"/>
  <c r="U381" i="123"/>
  <c r="U377" i="123"/>
  <c r="U388" i="123"/>
  <c r="U396" i="123"/>
  <c r="U366" i="123"/>
  <c r="V523" i="123"/>
  <c r="V512" i="123"/>
  <c r="V503" i="123"/>
  <c r="V493" i="123"/>
  <c r="V483" i="123"/>
  <c r="V471" i="123"/>
  <c r="V463" i="123"/>
  <c r="V457" i="123"/>
  <c r="V449" i="123"/>
  <c r="V435" i="123"/>
  <c r="V431" i="123"/>
  <c r="V411" i="123"/>
  <c r="V381" i="123"/>
  <c r="V377" i="123"/>
  <c r="V388" i="123"/>
  <c r="V396" i="123" s="1"/>
  <c r="V366" i="123"/>
  <c r="W523" i="123"/>
  <c r="W512" i="123"/>
  <c r="W503" i="123"/>
  <c r="W493" i="123"/>
  <c r="W505" i="123" s="1"/>
  <c r="W483" i="123"/>
  <c r="W471" i="123"/>
  <c r="W463" i="123"/>
  <c r="W457" i="123"/>
  <c r="W449" i="123"/>
  <c r="W435" i="123"/>
  <c r="W431" i="123"/>
  <c r="W411" i="123"/>
  <c r="W381" i="123"/>
  <c r="W377" i="123"/>
  <c r="W388" i="123"/>
  <c r="W396" i="123"/>
  <c r="W366" i="123"/>
  <c r="X523" i="123"/>
  <c r="X512" i="123"/>
  <c r="X503" i="123"/>
  <c r="X505" i="123" s="1"/>
  <c r="X493" i="123"/>
  <c r="X483" i="123"/>
  <c r="X471" i="123"/>
  <c r="X463" i="123"/>
  <c r="X457" i="123"/>
  <c r="X449" i="123"/>
  <c r="X435" i="123"/>
  <c r="X431" i="123"/>
  <c r="X411" i="123"/>
  <c r="X381" i="123"/>
  <c r="X377" i="123"/>
  <c r="X388" i="123"/>
  <c r="X396" i="123" s="1"/>
  <c r="X366" i="123"/>
  <c r="Y523" i="123"/>
  <c r="Y512" i="123"/>
  <c r="Y503" i="123"/>
  <c r="Y493" i="123"/>
  <c r="Y483" i="123"/>
  <c r="Y471" i="123"/>
  <c r="Y463" i="123"/>
  <c r="Y457" i="123"/>
  <c r="Y449" i="123"/>
  <c r="Y435" i="123"/>
  <c r="Y431" i="123"/>
  <c r="Y411" i="123"/>
  <c r="Y381" i="123"/>
  <c r="Y377" i="123"/>
  <c r="Y388" i="123"/>
  <c r="Y396" i="123" s="1"/>
  <c r="Y366" i="123"/>
  <c r="Z523" i="123"/>
  <c r="Z512" i="123"/>
  <c r="Z503" i="123"/>
  <c r="Z505" i="123" s="1"/>
  <c r="Z493" i="123"/>
  <c r="Z483" i="123"/>
  <c r="Z471" i="123"/>
  <c r="Z463" i="123"/>
  <c r="Z457" i="123"/>
  <c r="Z449" i="123"/>
  <c r="Z435" i="123"/>
  <c r="Z431" i="123"/>
  <c r="Z411" i="123"/>
  <c r="Z381" i="123"/>
  <c r="Z377" i="123"/>
  <c r="Z388" i="123"/>
  <c r="Z396" i="123" s="1"/>
  <c r="Z366" i="123"/>
  <c r="AA523" i="123"/>
  <c r="AA512" i="123"/>
  <c r="AA503" i="123"/>
  <c r="AA493" i="123"/>
  <c r="AA483" i="123"/>
  <c r="AA471" i="123"/>
  <c r="AA463" i="123"/>
  <c r="AA457" i="123"/>
  <c r="AA449" i="123"/>
  <c r="AA435" i="123"/>
  <c r="AA431" i="123"/>
  <c r="AA411" i="123"/>
  <c r="AA381" i="123"/>
  <c r="AA377" i="123"/>
  <c r="AA388" i="123"/>
  <c r="AA396" i="123" s="1"/>
  <c r="AA366" i="123"/>
  <c r="AA349" i="123"/>
  <c r="AA338" i="123"/>
  <c r="AA329" i="123"/>
  <c r="AA319" i="123"/>
  <c r="AA309" i="123"/>
  <c r="AA297" i="123"/>
  <c r="AA289" i="123"/>
  <c r="AA283" i="123"/>
  <c r="AA275" i="123"/>
  <c r="AA261" i="123"/>
  <c r="AA257" i="123"/>
  <c r="AA351" i="123" s="1"/>
  <c r="AA237" i="123"/>
  <c r="AA207" i="123"/>
  <c r="AA203" i="123"/>
  <c r="AA214" i="123"/>
  <c r="AA222" i="123"/>
  <c r="AA192" i="123"/>
  <c r="Z349" i="123"/>
  <c r="Z338" i="123"/>
  <c r="Z329" i="123"/>
  <c r="Z331" i="123" s="1"/>
  <c r="Z319" i="123"/>
  <c r="Z309" i="123"/>
  <c r="Z297" i="123"/>
  <c r="Z289" i="123"/>
  <c r="Z283" i="123"/>
  <c r="Z275" i="123"/>
  <c r="Z261" i="123"/>
  <c r="Z257" i="123"/>
  <c r="Z237" i="123"/>
  <c r="Z207" i="123"/>
  <c r="Z203" i="123"/>
  <c r="Z214" i="123"/>
  <c r="Z222" i="123" s="1"/>
  <c r="Z192" i="123"/>
  <c r="Y349" i="123"/>
  <c r="Y338" i="123"/>
  <c r="Y329" i="123"/>
  <c r="Y319" i="123"/>
  <c r="Y309" i="123"/>
  <c r="Y297" i="123"/>
  <c r="Y289" i="123"/>
  <c r="Y283" i="123"/>
  <c r="Y275" i="123"/>
  <c r="Y261" i="123"/>
  <c r="Y257" i="123"/>
  <c r="Y237" i="123"/>
  <c r="Y207" i="123"/>
  <c r="Y203" i="123"/>
  <c r="Y214" i="123"/>
  <c r="Y222" i="123" s="1"/>
  <c r="Y192" i="123"/>
  <c r="X349" i="123"/>
  <c r="X338" i="123"/>
  <c r="X329" i="123"/>
  <c r="X319" i="123"/>
  <c r="X309" i="123"/>
  <c r="X297" i="123"/>
  <c r="X289" i="123"/>
  <c r="X283" i="123"/>
  <c r="X275" i="123"/>
  <c r="X261" i="123"/>
  <c r="X257" i="123"/>
  <c r="X237" i="123"/>
  <c r="X207" i="123"/>
  <c r="X203" i="123"/>
  <c r="X214" i="123"/>
  <c r="X222" i="123"/>
  <c r="X192" i="123"/>
  <c r="W349" i="123"/>
  <c r="W338" i="123"/>
  <c r="W329" i="123"/>
  <c r="W319" i="123"/>
  <c r="W309" i="123"/>
  <c r="W297" i="123"/>
  <c r="W289" i="123"/>
  <c r="W283" i="123"/>
  <c r="W275" i="123"/>
  <c r="W261" i="123"/>
  <c r="W257" i="123"/>
  <c r="W237" i="123"/>
  <c r="W207" i="123"/>
  <c r="W203" i="123"/>
  <c r="W214" i="123"/>
  <c r="W222" i="123"/>
  <c r="W192" i="123"/>
  <c r="V349" i="123"/>
  <c r="V338" i="123"/>
  <c r="V329" i="123"/>
  <c r="V319" i="123"/>
  <c r="V331" i="123" s="1"/>
  <c r="V309" i="123"/>
  <c r="V297" i="123"/>
  <c r="V289" i="123"/>
  <c r="V283" i="123"/>
  <c r="V275" i="123"/>
  <c r="V261" i="123"/>
  <c r="V257" i="123"/>
  <c r="V351" i="123" s="1"/>
  <c r="V237" i="123"/>
  <c r="V207" i="123"/>
  <c r="V203" i="123"/>
  <c r="V214" i="123"/>
  <c r="V222" i="123"/>
  <c r="V192" i="123"/>
  <c r="U349" i="123"/>
  <c r="U338" i="123"/>
  <c r="U329" i="123"/>
  <c r="U331" i="123" s="1"/>
  <c r="U319" i="123"/>
  <c r="U309" i="123"/>
  <c r="U297" i="123"/>
  <c r="U289" i="123"/>
  <c r="U283" i="123"/>
  <c r="U275" i="123"/>
  <c r="U261" i="123"/>
  <c r="U257" i="123"/>
  <c r="U237" i="123"/>
  <c r="U207" i="123"/>
  <c r="U203" i="123"/>
  <c r="U351" i="123" s="1"/>
  <c r="U214" i="123"/>
  <c r="U222" i="123" s="1"/>
  <c r="U192" i="123"/>
  <c r="T349" i="123"/>
  <c r="T338" i="123"/>
  <c r="T329" i="123"/>
  <c r="T319" i="123"/>
  <c r="T309" i="123"/>
  <c r="T331" i="123" s="1"/>
  <c r="T297" i="123"/>
  <c r="T289" i="123"/>
  <c r="T283" i="123"/>
  <c r="T275" i="123"/>
  <c r="T261" i="123"/>
  <c r="T257" i="123"/>
  <c r="T237" i="123"/>
  <c r="T207" i="123"/>
  <c r="T203" i="123"/>
  <c r="T351" i="123" s="1"/>
  <c r="T214" i="123"/>
  <c r="T222" i="123"/>
  <c r="T192" i="123"/>
  <c r="S349" i="123"/>
  <c r="S338" i="123"/>
  <c r="S329" i="123"/>
  <c r="S319" i="123"/>
  <c r="S309" i="123"/>
  <c r="S331" i="123" s="1"/>
  <c r="S297" i="123"/>
  <c r="S289" i="123"/>
  <c r="S283" i="123"/>
  <c r="S275" i="123"/>
  <c r="S261" i="123"/>
  <c r="S257" i="123"/>
  <c r="S237" i="123"/>
  <c r="S207" i="123"/>
  <c r="S203" i="123"/>
  <c r="S214" i="123"/>
  <c r="S222" i="123"/>
  <c r="S192" i="123"/>
  <c r="AA175" i="123"/>
  <c r="AA164" i="123"/>
  <c r="AA155" i="123"/>
  <c r="AA145" i="123"/>
  <c r="AA157" i="123" s="1"/>
  <c r="AA135" i="123"/>
  <c r="AA123" i="123"/>
  <c r="AA115" i="123"/>
  <c r="AA109" i="123"/>
  <c r="AA101" i="123"/>
  <c r="AA87" i="123"/>
  <c r="AA83" i="123"/>
  <c r="AA63" i="123"/>
  <c r="AA33" i="123"/>
  <c r="AA29" i="123"/>
  <c r="AA40" i="123"/>
  <c r="AA48" i="123"/>
  <c r="AA18" i="123"/>
  <c r="Z175" i="123"/>
  <c r="Z164" i="123"/>
  <c r="Z155" i="123"/>
  <c r="Z157" i="123" s="1"/>
  <c r="Z145" i="123"/>
  <c r="Z135" i="123"/>
  <c r="Z123" i="123"/>
  <c r="Z115" i="123"/>
  <c r="Z109" i="123"/>
  <c r="Z101" i="123"/>
  <c r="Z87" i="123"/>
  <c r="Z83" i="123"/>
  <c r="Z63" i="123"/>
  <c r="Z33" i="123"/>
  <c r="Z29" i="123"/>
  <c r="Z40" i="123"/>
  <c r="Z48" i="123" s="1"/>
  <c r="Z18" i="123"/>
  <c r="Y175" i="123"/>
  <c r="Y164" i="123"/>
  <c r="Y155" i="123"/>
  <c r="Y145" i="123"/>
  <c r="Y135" i="123"/>
  <c r="Y123" i="123"/>
  <c r="Y115" i="123"/>
  <c r="Y109" i="123"/>
  <c r="Y101" i="123"/>
  <c r="Y87" i="123"/>
  <c r="Y83" i="123"/>
  <c r="Y63" i="123"/>
  <c r="Y33" i="123"/>
  <c r="Y29" i="123"/>
  <c r="Y40" i="123"/>
  <c r="Y48" i="123" s="1"/>
  <c r="Y18" i="123"/>
  <c r="X175" i="123"/>
  <c r="X164" i="123"/>
  <c r="X155" i="123"/>
  <c r="X145" i="123"/>
  <c r="X135" i="123"/>
  <c r="X157" i="123" s="1"/>
  <c r="X123" i="123"/>
  <c r="X115" i="123"/>
  <c r="X109" i="123"/>
  <c r="X101" i="123"/>
  <c r="X177" i="123" s="1"/>
  <c r="X87" i="123"/>
  <c r="X83" i="123"/>
  <c r="X63" i="123"/>
  <c r="X33" i="123"/>
  <c r="X29" i="123"/>
  <c r="X40" i="123"/>
  <c r="X48" i="123"/>
  <c r="X18" i="123"/>
  <c r="W175" i="123"/>
  <c r="W164" i="123"/>
  <c r="W155" i="123"/>
  <c r="W145" i="123"/>
  <c r="W157" i="123" s="1"/>
  <c r="W135" i="123"/>
  <c r="W123" i="123"/>
  <c r="W115" i="123"/>
  <c r="W109" i="123"/>
  <c r="W101" i="123"/>
  <c r="W87" i="123"/>
  <c r="W83" i="123"/>
  <c r="W63" i="123"/>
  <c r="W33" i="123"/>
  <c r="W29" i="123"/>
  <c r="W40" i="123"/>
  <c r="W48" i="123"/>
  <c r="W18" i="123"/>
  <c r="V175" i="123"/>
  <c r="V164" i="123"/>
  <c r="V155" i="123"/>
  <c r="V157" i="123" s="1"/>
  <c r="V145" i="123"/>
  <c r="V135" i="123"/>
  <c r="V123" i="123"/>
  <c r="V115" i="123"/>
  <c r="V109" i="123"/>
  <c r="V101" i="123"/>
  <c r="V87" i="123"/>
  <c r="V83" i="123"/>
  <c r="V63" i="123"/>
  <c r="V33" i="123"/>
  <c r="V29" i="123"/>
  <c r="V177" i="123" s="1"/>
  <c r="V40" i="123"/>
  <c r="V48" i="123" s="1"/>
  <c r="V18" i="123"/>
  <c r="T18" i="123"/>
  <c r="U18" i="123"/>
  <c r="U175" i="123"/>
  <c r="U164" i="123"/>
  <c r="U155" i="123"/>
  <c r="U145" i="123"/>
  <c r="U157" i="123" s="1"/>
  <c r="U135" i="123"/>
  <c r="U123" i="123"/>
  <c r="U115" i="123"/>
  <c r="U109" i="123"/>
  <c r="U101" i="123"/>
  <c r="U87" i="123"/>
  <c r="U83" i="123"/>
  <c r="U63" i="123"/>
  <c r="U33" i="123"/>
  <c r="U29" i="123"/>
  <c r="U40" i="123"/>
  <c r="U48" i="123"/>
  <c r="T175" i="123"/>
  <c r="T164" i="123"/>
  <c r="T155" i="123"/>
  <c r="T145" i="123"/>
  <c r="T157" i="123" s="1"/>
  <c r="T135" i="123"/>
  <c r="T123" i="123"/>
  <c r="T115" i="123"/>
  <c r="T109" i="123"/>
  <c r="T101" i="123"/>
  <c r="T87" i="123"/>
  <c r="T83" i="123"/>
  <c r="T63" i="123"/>
  <c r="T33" i="123"/>
  <c r="T29" i="123"/>
  <c r="T40" i="123"/>
  <c r="T48" i="123"/>
  <c r="U1375" i="123"/>
  <c r="S1201" i="123"/>
  <c r="X1375" i="123"/>
  <c r="X1395" i="123"/>
  <c r="V1375" i="123"/>
  <c r="V1395" i="123"/>
  <c r="Y1375" i="123"/>
  <c r="W1395" i="123"/>
  <c r="Z1201" i="123"/>
  <c r="Z1221" i="123"/>
  <c r="Y1201" i="123"/>
  <c r="V1221" i="123"/>
  <c r="U1201" i="123"/>
  <c r="U1221" i="123"/>
  <c r="AA1201" i="123"/>
  <c r="W331" i="123"/>
  <c r="S1375" i="123"/>
  <c r="S1395" i="123" s="1"/>
  <c r="Y853" i="123"/>
  <c r="X1027" i="123"/>
  <c r="Y679" i="123"/>
  <c r="AA1027" i="123"/>
  <c r="S853" i="123"/>
  <c r="X853" i="123"/>
  <c r="AA853" i="123"/>
  <c r="Y505" i="123"/>
  <c r="W679" i="123"/>
  <c r="X679" i="123"/>
  <c r="X699" i="123" s="1"/>
  <c r="T25" i="11" s="1"/>
  <c r="V48" i="34" s="1"/>
  <c r="X331" i="123"/>
  <c r="X351" i="123"/>
  <c r="AA331" i="123"/>
  <c r="S351" i="123"/>
  <c r="Y331" i="123"/>
  <c r="Y351" i="123"/>
  <c r="Y157" i="123"/>
  <c r="Z873" i="123"/>
  <c r="AA1047" i="123"/>
  <c r="Y1047" i="123"/>
  <c r="G1251" i="123"/>
  <c r="H1251" i="123"/>
  <c r="I1251" i="123"/>
  <c r="J1251" i="123"/>
  <c r="K1251" i="123"/>
  <c r="L1251" i="123"/>
  <c r="M1251" i="123"/>
  <c r="M1395" i="123" s="1"/>
  <c r="N1251" i="123"/>
  <c r="O1251" i="123"/>
  <c r="P1251" i="123"/>
  <c r="Q1251" i="123"/>
  <c r="R1251" i="123"/>
  <c r="H1393" i="123"/>
  <c r="I1393" i="123"/>
  <c r="J1393" i="123"/>
  <c r="K1393" i="123"/>
  <c r="L1393" i="123"/>
  <c r="M1393" i="123"/>
  <c r="N1393" i="123"/>
  <c r="O1393" i="123"/>
  <c r="P1393" i="123"/>
  <c r="Q1393" i="123"/>
  <c r="R1393" i="123"/>
  <c r="AH1393" i="123"/>
  <c r="AI1393" i="123"/>
  <c r="AJ1393" i="123"/>
  <c r="AK1393" i="123"/>
  <c r="AL1393" i="123"/>
  <c r="AM1393" i="123"/>
  <c r="AN1393" i="123"/>
  <c r="AO1393" i="123"/>
  <c r="AP1393" i="123"/>
  <c r="AQ1393" i="123"/>
  <c r="AR1393" i="123"/>
  <c r="AS1393" i="123"/>
  <c r="AT1393" i="123"/>
  <c r="AU1393" i="123"/>
  <c r="AV1393" i="123"/>
  <c r="AW1393" i="123"/>
  <c r="AX1393" i="123"/>
  <c r="AY1393" i="123"/>
  <c r="AZ1393" i="123"/>
  <c r="BA1393" i="123"/>
  <c r="BB1393" i="123"/>
  <c r="BC1393" i="123"/>
  <c r="BD1393" i="123"/>
  <c r="BE1393" i="123"/>
  <c r="BF1393" i="123"/>
  <c r="BG1393" i="123"/>
  <c r="BH1393" i="123"/>
  <c r="BI1393" i="123"/>
  <c r="BJ1393" i="123"/>
  <c r="BK1393" i="123"/>
  <c r="BL1393" i="123"/>
  <c r="BM1393" i="123"/>
  <c r="BN1393" i="123"/>
  <c r="BO1393" i="123"/>
  <c r="I1382" i="123"/>
  <c r="J1382" i="123"/>
  <c r="K1382" i="123"/>
  <c r="L1382" i="123"/>
  <c r="M1382" i="123"/>
  <c r="N1382" i="123"/>
  <c r="O1382" i="123"/>
  <c r="P1382" i="123"/>
  <c r="Q1382" i="123"/>
  <c r="R1382" i="123"/>
  <c r="AH1382" i="123"/>
  <c r="AI1382" i="123"/>
  <c r="AJ1382" i="123"/>
  <c r="AK1382" i="123"/>
  <c r="AL1382" i="123"/>
  <c r="AM1382" i="123"/>
  <c r="AN1382" i="123"/>
  <c r="AO1382" i="123"/>
  <c r="AP1382" i="123"/>
  <c r="AQ1382" i="123"/>
  <c r="AR1382" i="123"/>
  <c r="AS1382" i="123"/>
  <c r="AT1382" i="123"/>
  <c r="AU1382" i="123"/>
  <c r="AV1382" i="123"/>
  <c r="AW1382" i="123"/>
  <c r="AX1382" i="123"/>
  <c r="AY1382" i="123"/>
  <c r="AZ1382" i="123"/>
  <c r="BA1382" i="123"/>
  <c r="BB1382" i="123"/>
  <c r="BC1382" i="123"/>
  <c r="BD1382" i="123"/>
  <c r="BE1382" i="123"/>
  <c r="BF1382" i="123"/>
  <c r="BG1382" i="123"/>
  <c r="BH1382" i="123"/>
  <c r="BI1382" i="123"/>
  <c r="BJ1382" i="123"/>
  <c r="BK1382" i="123"/>
  <c r="BL1382" i="123"/>
  <c r="BM1382" i="123"/>
  <c r="BN1382" i="123"/>
  <c r="BO1382" i="123"/>
  <c r="H1382" i="123"/>
  <c r="G1393" i="123"/>
  <c r="G1382" i="123"/>
  <c r="H1373" i="123"/>
  <c r="H1375" i="123" s="1"/>
  <c r="I1373" i="123"/>
  <c r="J1373" i="123"/>
  <c r="K1373" i="123"/>
  <c r="K1375" i="123" s="1"/>
  <c r="K1395" i="123" s="1"/>
  <c r="L1373" i="123"/>
  <c r="M1373" i="123"/>
  <c r="N1373" i="123"/>
  <c r="O1373" i="123"/>
  <c r="P1373" i="123"/>
  <c r="P1375" i="123" s="1"/>
  <c r="Q1373" i="123"/>
  <c r="R1373" i="123"/>
  <c r="AH1373" i="123"/>
  <c r="AI1373" i="123"/>
  <c r="AI1375" i="123" s="1"/>
  <c r="AJ1373" i="123"/>
  <c r="AK1373" i="123"/>
  <c r="AL1373" i="123"/>
  <c r="AL1375" i="123" s="1"/>
  <c r="AM1373" i="123"/>
  <c r="AM1375" i="123" s="1"/>
  <c r="AN1373" i="123"/>
  <c r="AO1373" i="123"/>
  <c r="AP1373" i="123"/>
  <c r="AQ1373" i="123"/>
  <c r="AR1373" i="123"/>
  <c r="AS1373" i="123"/>
  <c r="AT1373" i="123"/>
  <c r="AT1375" i="123" s="1"/>
  <c r="AT1395" i="123" s="1"/>
  <c r="AU1373" i="123"/>
  <c r="AU1375" i="123" s="1"/>
  <c r="AV1373" i="123"/>
  <c r="AW1373" i="123"/>
  <c r="AX1373" i="123"/>
  <c r="AY1373" i="123"/>
  <c r="AZ1373" i="123"/>
  <c r="BA1373" i="123"/>
  <c r="BB1373" i="123"/>
  <c r="BB1375" i="123" s="1"/>
  <c r="BC1373" i="123"/>
  <c r="BD1373" i="123"/>
  <c r="BE1373" i="123"/>
  <c r="BF1373" i="123"/>
  <c r="BG1373" i="123"/>
  <c r="BG1375" i="123" s="1"/>
  <c r="BH1373" i="123"/>
  <c r="BI1373" i="123"/>
  <c r="BJ1373" i="123"/>
  <c r="BJ1375" i="123" s="1"/>
  <c r="BJ1395" i="123" s="1"/>
  <c r="BK1373" i="123"/>
  <c r="BL1373" i="123"/>
  <c r="BM1373" i="123"/>
  <c r="BN1373" i="123"/>
  <c r="BO1373" i="123"/>
  <c r="BO1375" i="123" s="1"/>
  <c r="G1373" i="123"/>
  <c r="H1363" i="123"/>
  <c r="I1363" i="123"/>
  <c r="J1363" i="123"/>
  <c r="J1375" i="123" s="1"/>
  <c r="K1363" i="123"/>
  <c r="L1363" i="123"/>
  <c r="M1363" i="123"/>
  <c r="M1375" i="123" s="1"/>
  <c r="N1363" i="123"/>
  <c r="O1363" i="123"/>
  <c r="P1363" i="123"/>
  <c r="Q1363" i="123"/>
  <c r="R1363" i="123"/>
  <c r="R1375" i="123" s="1"/>
  <c r="AH1363" i="123"/>
  <c r="AI1363" i="123"/>
  <c r="AJ1363" i="123"/>
  <c r="AK1363" i="123"/>
  <c r="AK1375" i="123" s="1"/>
  <c r="AL1363" i="123"/>
  <c r="AM1363" i="123"/>
  <c r="AN1363" i="123"/>
  <c r="AN1375" i="123" s="1"/>
  <c r="AN1395" i="123" s="1"/>
  <c r="AO1363" i="123"/>
  <c r="AP1363" i="123"/>
  <c r="AQ1363" i="123"/>
  <c r="AR1363" i="123"/>
  <c r="AS1363" i="123"/>
  <c r="AS1375" i="123" s="1"/>
  <c r="AT1363" i="123"/>
  <c r="AU1363" i="123"/>
  <c r="AV1363" i="123"/>
  <c r="AV1375" i="123" s="1"/>
  <c r="AW1363" i="123"/>
  <c r="AX1363" i="123"/>
  <c r="AY1363" i="123"/>
  <c r="AZ1363" i="123"/>
  <c r="BA1363" i="123"/>
  <c r="BA1375" i="123" s="1"/>
  <c r="BB1363" i="123"/>
  <c r="BC1363" i="123"/>
  <c r="BD1363" i="123"/>
  <c r="BD1375" i="123" s="1"/>
  <c r="BD1395" i="123" s="1"/>
  <c r="BE1363" i="123"/>
  <c r="BF1363" i="123"/>
  <c r="BG1363" i="123"/>
  <c r="BH1363" i="123"/>
  <c r="BI1363" i="123"/>
  <c r="BI1375" i="123" s="1"/>
  <c r="BJ1363" i="123"/>
  <c r="BK1363" i="123"/>
  <c r="BL1363" i="123"/>
  <c r="BL1375" i="123" s="1"/>
  <c r="BM1363" i="123"/>
  <c r="BN1363" i="123"/>
  <c r="BO1363" i="123"/>
  <c r="G1363" i="123"/>
  <c r="H1353" i="123"/>
  <c r="I1353" i="123"/>
  <c r="J1353" i="123"/>
  <c r="K1353" i="123"/>
  <c r="L1353" i="123"/>
  <c r="M1353" i="123"/>
  <c r="N1353" i="123"/>
  <c r="O1353" i="123"/>
  <c r="P1353" i="123"/>
  <c r="Q1353" i="123"/>
  <c r="R1353" i="123"/>
  <c r="AH1353" i="123"/>
  <c r="AI1353" i="123"/>
  <c r="AJ1353" i="123"/>
  <c r="AK1353" i="123"/>
  <c r="AL1353" i="123"/>
  <c r="AM1353" i="123"/>
  <c r="AN1353" i="123"/>
  <c r="AO1353" i="123"/>
  <c r="AP1353" i="123"/>
  <c r="AQ1353" i="123"/>
  <c r="AR1353" i="123"/>
  <c r="AS1353" i="123"/>
  <c r="AT1353" i="123"/>
  <c r="AU1353" i="123"/>
  <c r="AV1353" i="123"/>
  <c r="AW1353" i="123"/>
  <c r="AX1353" i="123"/>
  <c r="AY1353" i="123"/>
  <c r="AZ1353" i="123"/>
  <c r="BA1353" i="123"/>
  <c r="BB1353" i="123"/>
  <c r="BC1353" i="123"/>
  <c r="BD1353" i="123"/>
  <c r="BE1353" i="123"/>
  <c r="BF1353" i="123"/>
  <c r="BG1353" i="123"/>
  <c r="BH1353" i="123"/>
  <c r="BI1353" i="123"/>
  <c r="BJ1353" i="123"/>
  <c r="BK1353" i="123"/>
  <c r="BL1353" i="123"/>
  <c r="BM1353" i="123"/>
  <c r="BN1353" i="123"/>
  <c r="BO1353" i="123"/>
  <c r="G1353" i="123"/>
  <c r="H1341" i="123"/>
  <c r="I1341" i="123"/>
  <c r="J1341" i="123"/>
  <c r="K1341" i="123"/>
  <c r="L1341" i="123"/>
  <c r="M1341" i="123"/>
  <c r="N1341" i="123"/>
  <c r="O1341" i="123"/>
  <c r="P1341" i="123"/>
  <c r="Q1341" i="123"/>
  <c r="R1341" i="123"/>
  <c r="AH1341" i="123"/>
  <c r="AI1341" i="123"/>
  <c r="AJ1341" i="123"/>
  <c r="AK1341" i="123"/>
  <c r="AL1341" i="123"/>
  <c r="AM1341" i="123"/>
  <c r="AN1341" i="123"/>
  <c r="AO1341" i="123"/>
  <c r="AP1341" i="123"/>
  <c r="AQ1341" i="123"/>
  <c r="AR1341" i="123"/>
  <c r="AS1341" i="123"/>
  <c r="AT1341" i="123"/>
  <c r="AU1341" i="123"/>
  <c r="AV1341" i="123"/>
  <c r="AW1341" i="123"/>
  <c r="AX1341" i="123"/>
  <c r="AY1341" i="123"/>
  <c r="AZ1341" i="123"/>
  <c r="BA1341" i="123"/>
  <c r="BB1341" i="123"/>
  <c r="BC1341" i="123"/>
  <c r="BD1341" i="123"/>
  <c r="BE1341" i="123"/>
  <c r="BF1341" i="123"/>
  <c r="BG1341" i="123"/>
  <c r="BH1341" i="123"/>
  <c r="BI1341" i="123"/>
  <c r="BJ1341" i="123"/>
  <c r="BK1341" i="123"/>
  <c r="BL1341" i="123"/>
  <c r="BM1341" i="123"/>
  <c r="BN1341" i="123"/>
  <c r="BO1341" i="123"/>
  <c r="G1341" i="123"/>
  <c r="H1333" i="123"/>
  <c r="I1333" i="123"/>
  <c r="J1333" i="123"/>
  <c r="K1333" i="123"/>
  <c r="L1333" i="123"/>
  <c r="M1333" i="123"/>
  <c r="N1333" i="123"/>
  <c r="O1333" i="123"/>
  <c r="P1333" i="123"/>
  <c r="Q1333" i="123"/>
  <c r="R1333" i="123"/>
  <c r="AH1333" i="123"/>
  <c r="AI1333" i="123"/>
  <c r="AJ1333" i="123"/>
  <c r="AK1333" i="123"/>
  <c r="AL1333" i="123"/>
  <c r="AM1333" i="123"/>
  <c r="AN1333" i="123"/>
  <c r="AO1333" i="123"/>
  <c r="AP1333" i="123"/>
  <c r="AQ1333" i="123"/>
  <c r="AR1333" i="123"/>
  <c r="AS1333" i="123"/>
  <c r="AT1333" i="123"/>
  <c r="AU1333" i="123"/>
  <c r="AV1333" i="123"/>
  <c r="AW1333" i="123"/>
  <c r="AX1333" i="123"/>
  <c r="AY1333" i="123"/>
  <c r="AZ1333" i="123"/>
  <c r="BA1333" i="123"/>
  <c r="BB1333" i="123"/>
  <c r="BC1333" i="123"/>
  <c r="BD1333" i="123"/>
  <c r="BE1333" i="123"/>
  <c r="BF1333" i="123"/>
  <c r="BG1333" i="123"/>
  <c r="BH1333" i="123"/>
  <c r="BI1333" i="123"/>
  <c r="BJ1333" i="123"/>
  <c r="BK1333" i="123"/>
  <c r="BL1333" i="123"/>
  <c r="BM1333" i="123"/>
  <c r="BN1333" i="123"/>
  <c r="BO1333" i="123"/>
  <c r="G1333" i="123"/>
  <c r="H1327" i="123"/>
  <c r="I1327" i="123"/>
  <c r="J1327" i="123"/>
  <c r="K1327" i="123"/>
  <c r="L1327" i="123"/>
  <c r="M1327" i="123"/>
  <c r="N1327" i="123"/>
  <c r="O1327" i="123"/>
  <c r="P1327" i="123"/>
  <c r="Q1327" i="123"/>
  <c r="R1327" i="123"/>
  <c r="AH1327" i="123"/>
  <c r="AI1327" i="123"/>
  <c r="AJ1327" i="123"/>
  <c r="AK1327" i="123"/>
  <c r="AL1327" i="123"/>
  <c r="AM1327" i="123"/>
  <c r="AN1327" i="123"/>
  <c r="AO1327" i="123"/>
  <c r="AP1327" i="123"/>
  <c r="AQ1327" i="123"/>
  <c r="AR1327" i="123"/>
  <c r="AS1327" i="123"/>
  <c r="AT1327" i="123"/>
  <c r="AU1327" i="123"/>
  <c r="AV1327" i="123"/>
  <c r="AW1327" i="123"/>
  <c r="AX1327" i="123"/>
  <c r="AY1327" i="123"/>
  <c r="AZ1327" i="123"/>
  <c r="BA1327" i="123"/>
  <c r="BB1327" i="123"/>
  <c r="BC1327" i="123"/>
  <c r="BD1327" i="123"/>
  <c r="BE1327" i="123"/>
  <c r="BF1327" i="123"/>
  <c r="BG1327" i="123"/>
  <c r="BH1327" i="123"/>
  <c r="BI1327" i="123"/>
  <c r="BJ1327" i="123"/>
  <c r="BK1327" i="123"/>
  <c r="BL1327" i="123"/>
  <c r="BM1327" i="123"/>
  <c r="BN1327" i="123"/>
  <c r="BO1327" i="123"/>
  <c r="G1327" i="123"/>
  <c r="H1319" i="123"/>
  <c r="I1319" i="123"/>
  <c r="J1319" i="123"/>
  <c r="K1319" i="123"/>
  <c r="L1319" i="123"/>
  <c r="M1319" i="123"/>
  <c r="N1319" i="123"/>
  <c r="O1319" i="123"/>
  <c r="P1319" i="123"/>
  <c r="Q1319" i="123"/>
  <c r="R1319" i="123"/>
  <c r="AH1319" i="123"/>
  <c r="AI1319" i="123"/>
  <c r="AJ1319" i="123"/>
  <c r="AK1319" i="123"/>
  <c r="AL1319" i="123"/>
  <c r="AM1319" i="123"/>
  <c r="AN1319" i="123"/>
  <c r="AO1319" i="123"/>
  <c r="AP1319" i="123"/>
  <c r="AQ1319" i="123"/>
  <c r="AR1319" i="123"/>
  <c r="AS1319" i="123"/>
  <c r="AT1319" i="123"/>
  <c r="AU1319" i="123"/>
  <c r="AV1319" i="123"/>
  <c r="AW1319" i="123"/>
  <c r="AX1319" i="123"/>
  <c r="AY1319" i="123"/>
  <c r="AZ1319" i="123"/>
  <c r="BA1319" i="123"/>
  <c r="BB1319" i="123"/>
  <c r="BC1319" i="123"/>
  <c r="BD1319" i="123"/>
  <c r="BE1319" i="123"/>
  <c r="BF1319" i="123"/>
  <c r="BG1319" i="123"/>
  <c r="BH1319" i="123"/>
  <c r="BI1319" i="123"/>
  <c r="BJ1319" i="123"/>
  <c r="BK1319" i="123"/>
  <c r="BL1319" i="123"/>
  <c r="BM1319" i="123"/>
  <c r="BN1319" i="123"/>
  <c r="BO1319" i="123"/>
  <c r="G1319" i="123"/>
  <c r="H1305" i="123"/>
  <c r="I1305" i="123"/>
  <c r="J1305" i="123"/>
  <c r="K1305" i="123"/>
  <c r="L1305" i="123"/>
  <c r="M1305" i="123"/>
  <c r="N1305" i="123"/>
  <c r="O1305" i="123"/>
  <c r="P1305" i="123"/>
  <c r="Q1305" i="123"/>
  <c r="R1305" i="123"/>
  <c r="AH1305" i="123"/>
  <c r="AI1305" i="123"/>
  <c r="AJ1305" i="123"/>
  <c r="AK1305" i="123"/>
  <c r="AL1305" i="123"/>
  <c r="AM1305" i="123"/>
  <c r="AN1305" i="123"/>
  <c r="AO1305" i="123"/>
  <c r="AP1305" i="123"/>
  <c r="AQ1305" i="123"/>
  <c r="AR1305" i="123"/>
  <c r="AS1305" i="123"/>
  <c r="AT1305" i="123"/>
  <c r="AU1305" i="123"/>
  <c r="AV1305" i="123"/>
  <c r="AW1305" i="123"/>
  <c r="AX1305" i="123"/>
  <c r="AY1305" i="123"/>
  <c r="AZ1305" i="123"/>
  <c r="BA1305" i="123"/>
  <c r="BB1305" i="123"/>
  <c r="BC1305" i="123"/>
  <c r="BD1305" i="123"/>
  <c r="BE1305" i="123"/>
  <c r="BF1305" i="123"/>
  <c r="BG1305" i="123"/>
  <c r="BH1305" i="123"/>
  <c r="BI1305" i="123"/>
  <c r="BJ1305" i="123"/>
  <c r="BK1305" i="123"/>
  <c r="BL1305" i="123"/>
  <c r="BM1305" i="123"/>
  <c r="BN1305" i="123"/>
  <c r="BO1305" i="123"/>
  <c r="G1305" i="123"/>
  <c r="H1301" i="123"/>
  <c r="H1395" i="123" s="1"/>
  <c r="D37" i="11" s="1"/>
  <c r="F60" i="34" s="1"/>
  <c r="I1301" i="123"/>
  <c r="J1301" i="123"/>
  <c r="K1301" i="123"/>
  <c r="L1301" i="123"/>
  <c r="M1301" i="123"/>
  <c r="N1301" i="123"/>
  <c r="O1301" i="123"/>
  <c r="P1301" i="123"/>
  <c r="Q1301" i="123"/>
  <c r="R1301" i="123"/>
  <c r="AH1301" i="123"/>
  <c r="AI1301" i="123"/>
  <c r="AJ1301" i="123"/>
  <c r="AK1301" i="123"/>
  <c r="AL1301" i="123"/>
  <c r="AM1301" i="123"/>
  <c r="AN1301" i="123"/>
  <c r="AO1301" i="123"/>
  <c r="AP1301" i="123"/>
  <c r="AQ1301" i="123"/>
  <c r="AR1301" i="123"/>
  <c r="AS1301" i="123"/>
  <c r="AT1301" i="123"/>
  <c r="AU1301" i="123"/>
  <c r="AV1301" i="123"/>
  <c r="AW1301" i="123"/>
  <c r="AX1301" i="123"/>
  <c r="AY1301" i="123"/>
  <c r="AZ1301" i="123"/>
  <c r="BA1301" i="123"/>
  <c r="BB1301" i="123"/>
  <c r="BC1301" i="123"/>
  <c r="BD1301" i="123"/>
  <c r="BE1301" i="123"/>
  <c r="BF1301" i="123"/>
  <c r="BG1301" i="123"/>
  <c r="BH1301" i="123"/>
  <c r="BI1301" i="123"/>
  <c r="BJ1301" i="123"/>
  <c r="BK1301" i="123"/>
  <c r="BL1301" i="123"/>
  <c r="BM1301" i="123"/>
  <c r="BN1301" i="123"/>
  <c r="BO1301" i="123"/>
  <c r="G1301" i="123"/>
  <c r="H1281" i="123"/>
  <c r="I1281" i="123"/>
  <c r="J1281" i="123"/>
  <c r="K1281" i="123"/>
  <c r="L1281" i="123"/>
  <c r="M1281" i="123"/>
  <c r="N1281" i="123"/>
  <c r="O1281" i="123"/>
  <c r="P1281" i="123"/>
  <c r="Q1281" i="123"/>
  <c r="R1281" i="123"/>
  <c r="AH1281" i="123"/>
  <c r="AI1281" i="123"/>
  <c r="AJ1281" i="123"/>
  <c r="AK1281" i="123"/>
  <c r="AL1281" i="123"/>
  <c r="AM1281" i="123"/>
  <c r="AN1281" i="123"/>
  <c r="AO1281" i="123"/>
  <c r="AP1281" i="123"/>
  <c r="AQ1281" i="123"/>
  <c r="AR1281" i="123"/>
  <c r="AS1281" i="123"/>
  <c r="AT1281" i="123"/>
  <c r="AU1281" i="123"/>
  <c r="AV1281" i="123"/>
  <c r="AW1281" i="123"/>
  <c r="AX1281" i="123"/>
  <c r="AY1281" i="123"/>
  <c r="AZ1281" i="123"/>
  <c r="BA1281" i="123"/>
  <c r="BB1281" i="123"/>
  <c r="BC1281" i="123"/>
  <c r="BD1281" i="123"/>
  <c r="BE1281" i="123"/>
  <c r="BF1281" i="123"/>
  <c r="BG1281" i="123"/>
  <c r="BH1281" i="123"/>
  <c r="BI1281" i="123"/>
  <c r="BJ1281" i="123"/>
  <c r="BK1281" i="123"/>
  <c r="BL1281" i="123"/>
  <c r="BM1281" i="123"/>
  <c r="BN1281" i="123"/>
  <c r="BO1281" i="123"/>
  <c r="G1281" i="123"/>
  <c r="H1266" i="123"/>
  <c r="I1266" i="123"/>
  <c r="J1266" i="123"/>
  <c r="K1266" i="123"/>
  <c r="L1266" i="123"/>
  <c r="M1266" i="123"/>
  <c r="N1266" i="123"/>
  <c r="O1266" i="123"/>
  <c r="P1266" i="123"/>
  <c r="Q1266" i="123"/>
  <c r="R1266" i="123"/>
  <c r="AH1266" i="123"/>
  <c r="AI1266" i="123"/>
  <c r="AJ1266" i="123"/>
  <c r="AK1266" i="123"/>
  <c r="AL1266" i="123"/>
  <c r="AM1266" i="123"/>
  <c r="AN1266" i="123"/>
  <c r="AO1266" i="123"/>
  <c r="AP1266" i="123"/>
  <c r="AQ1266" i="123"/>
  <c r="AR1266" i="123"/>
  <c r="AS1266" i="123"/>
  <c r="AT1266" i="123"/>
  <c r="AU1266" i="123"/>
  <c r="AV1266" i="123"/>
  <c r="AW1266" i="123"/>
  <c r="AX1266" i="123"/>
  <c r="AY1266" i="123"/>
  <c r="AZ1266" i="123"/>
  <c r="BA1266" i="123"/>
  <c r="BB1266" i="123"/>
  <c r="BC1266" i="123"/>
  <c r="BD1266" i="123"/>
  <c r="BE1266" i="123"/>
  <c r="BF1266" i="123"/>
  <c r="BG1266" i="123"/>
  <c r="BH1266" i="123"/>
  <c r="BI1266" i="123"/>
  <c r="BJ1266" i="123"/>
  <c r="BK1266" i="123"/>
  <c r="BL1266" i="123"/>
  <c r="BM1266" i="123"/>
  <c r="BN1266" i="123"/>
  <c r="BO1266" i="123"/>
  <c r="G1266" i="123"/>
  <c r="BO1247" i="123"/>
  <c r="BN1247" i="123"/>
  <c r="BM1247" i="123"/>
  <c r="BL1247" i="123"/>
  <c r="BK1247" i="123"/>
  <c r="BJ1247" i="123"/>
  <c r="BI1247" i="123"/>
  <c r="BH1247" i="123"/>
  <c r="BG1247" i="123"/>
  <c r="BF1247" i="123"/>
  <c r="BE1247" i="123"/>
  <c r="BD1247" i="123"/>
  <c r="BC1247" i="123"/>
  <c r="BB1247" i="123"/>
  <c r="BA1247" i="123"/>
  <c r="AZ1247" i="123"/>
  <c r="AY1247" i="123"/>
  <c r="AX1247" i="123"/>
  <c r="AW1247" i="123"/>
  <c r="AV1247" i="123"/>
  <c r="AU1247" i="123"/>
  <c r="AT1247" i="123"/>
  <c r="AS1247" i="123"/>
  <c r="AR1247" i="123"/>
  <c r="AQ1247" i="123"/>
  <c r="AP1247" i="123"/>
  <c r="AO1247" i="123"/>
  <c r="AN1247" i="123"/>
  <c r="AM1247" i="123"/>
  <c r="AL1247" i="123"/>
  <c r="AK1247" i="123"/>
  <c r="AJ1247" i="123"/>
  <c r="AI1247" i="123"/>
  <c r="AH1247" i="123"/>
  <c r="R1247" i="123"/>
  <c r="R1395" i="123" s="1"/>
  <c r="N37" i="11" s="1"/>
  <c r="P60" i="34" s="1"/>
  <c r="Q1247" i="123"/>
  <c r="P1247" i="123"/>
  <c r="O1247" i="123"/>
  <c r="N1247" i="123"/>
  <c r="M1247" i="123"/>
  <c r="L1247" i="123"/>
  <c r="K1247" i="123"/>
  <c r="J1247" i="123"/>
  <c r="I1247" i="123"/>
  <c r="H1247" i="123"/>
  <c r="G1247" i="123"/>
  <c r="BO1258" i="123"/>
  <c r="BO1395" i="123" s="1"/>
  <c r="BN1258" i="123"/>
  <c r="BM1258" i="123"/>
  <c r="BL1258" i="123"/>
  <c r="BK1258" i="123"/>
  <c r="BJ1258" i="123"/>
  <c r="BI1258" i="123"/>
  <c r="BH1258" i="123"/>
  <c r="BG1258" i="123"/>
  <c r="BF1258" i="123"/>
  <c r="BE1258" i="123"/>
  <c r="BD1258" i="123"/>
  <c r="BC1258" i="123"/>
  <c r="BB1258" i="123"/>
  <c r="BA1258" i="123"/>
  <c r="AZ1258" i="123"/>
  <c r="AY1258" i="123"/>
  <c r="AX1258" i="123"/>
  <c r="AW1258" i="123"/>
  <c r="AV1258" i="123"/>
  <c r="AU1258" i="123"/>
  <c r="AU1395" i="123" s="1"/>
  <c r="AT1258" i="123"/>
  <c r="AS1258" i="123"/>
  <c r="AR1258" i="123"/>
  <c r="AQ1258" i="123"/>
  <c r="AP1258" i="123"/>
  <c r="AO1258" i="123"/>
  <c r="AN1258" i="123"/>
  <c r="AM1258" i="123"/>
  <c r="AL1258" i="123"/>
  <c r="AK1258" i="123"/>
  <c r="AJ1258" i="123"/>
  <c r="AI1258" i="123"/>
  <c r="AH1258" i="123"/>
  <c r="R1258" i="123"/>
  <c r="Q1258" i="123"/>
  <c r="P1258" i="123"/>
  <c r="O1258" i="123"/>
  <c r="N1258" i="123"/>
  <c r="M1258" i="123"/>
  <c r="L1258" i="123"/>
  <c r="K1258" i="123"/>
  <c r="J1258" i="123"/>
  <c r="I1258" i="123"/>
  <c r="H1258" i="123"/>
  <c r="G1258" i="123"/>
  <c r="BO1236" i="123"/>
  <c r="BN1236" i="123"/>
  <c r="BM1236" i="123"/>
  <c r="BL1236" i="123"/>
  <c r="BK1236" i="123"/>
  <c r="BJ1236" i="123"/>
  <c r="BI1236" i="123"/>
  <c r="BH1236" i="123"/>
  <c r="BG1236" i="123"/>
  <c r="BF1236" i="123"/>
  <c r="BE1236" i="123"/>
  <c r="BD1236" i="123"/>
  <c r="BC1236" i="123"/>
  <c r="BB1236" i="123"/>
  <c r="BA1236" i="123"/>
  <c r="BA1395" i="123" s="1"/>
  <c r="AZ1236" i="123"/>
  <c r="AY1236" i="123"/>
  <c r="AX1236" i="123"/>
  <c r="AW1236" i="123"/>
  <c r="AV1236" i="123"/>
  <c r="AU1236" i="123"/>
  <c r="AT1236" i="123"/>
  <c r="AS1236" i="123"/>
  <c r="AR1236" i="123"/>
  <c r="AQ1236" i="123"/>
  <c r="AP1236" i="123"/>
  <c r="AO1236" i="123"/>
  <c r="AN1236" i="123"/>
  <c r="AM1236" i="123"/>
  <c r="AL1236" i="123"/>
  <c r="AK1236" i="123"/>
  <c r="AK1395" i="123" s="1"/>
  <c r="AJ1236" i="123"/>
  <c r="AI1236" i="123"/>
  <c r="AH1236" i="123"/>
  <c r="R1236" i="123"/>
  <c r="Q1236" i="123"/>
  <c r="P1236" i="123"/>
  <c r="O1236" i="123"/>
  <c r="N1236" i="123"/>
  <c r="M1236" i="123"/>
  <c r="L1236" i="123"/>
  <c r="K1236" i="123"/>
  <c r="J1236" i="123"/>
  <c r="I1236" i="123"/>
  <c r="H1236" i="123"/>
  <c r="G1236" i="123"/>
  <c r="H1092" i="123"/>
  <c r="I1092" i="123"/>
  <c r="J1092" i="123"/>
  <c r="K1092" i="123"/>
  <c r="L1092" i="123"/>
  <c r="M1092" i="123"/>
  <c r="N1092" i="123"/>
  <c r="O1092" i="123"/>
  <c r="P1092" i="123"/>
  <c r="Q1092" i="123"/>
  <c r="R1092" i="123"/>
  <c r="AH1092" i="123"/>
  <c r="AI1092" i="123"/>
  <c r="AJ1092" i="123"/>
  <c r="AK1092" i="123"/>
  <c r="AL1092" i="123"/>
  <c r="AM1092" i="123"/>
  <c r="AN1092" i="123"/>
  <c r="AO1092" i="123"/>
  <c r="AP1092" i="123"/>
  <c r="AQ1092" i="123"/>
  <c r="AR1092" i="123"/>
  <c r="AS1092" i="123"/>
  <c r="AT1092" i="123"/>
  <c r="AU1092" i="123"/>
  <c r="AV1092" i="123"/>
  <c r="AW1092" i="123"/>
  <c r="AX1092" i="123"/>
  <c r="AY1092" i="123"/>
  <c r="AZ1092" i="123"/>
  <c r="BA1092" i="123"/>
  <c r="BB1092" i="123"/>
  <c r="BC1092" i="123"/>
  <c r="BD1092" i="123"/>
  <c r="BE1092" i="123"/>
  <c r="BF1092" i="123"/>
  <c r="BG1092" i="123"/>
  <c r="BH1092" i="123"/>
  <c r="BI1092" i="123"/>
  <c r="BJ1092" i="123"/>
  <c r="BK1092" i="123"/>
  <c r="BL1092" i="123"/>
  <c r="BM1092" i="123"/>
  <c r="BN1092" i="123"/>
  <c r="BO1092" i="123"/>
  <c r="H1107" i="123"/>
  <c r="I1107" i="123"/>
  <c r="J1107" i="123"/>
  <c r="K1107" i="123"/>
  <c r="L1107" i="123"/>
  <c r="M1107" i="123"/>
  <c r="N1107" i="123"/>
  <c r="O1107" i="123"/>
  <c r="P1107" i="123"/>
  <c r="Q1107" i="123"/>
  <c r="R1107" i="123"/>
  <c r="AH1107" i="123"/>
  <c r="AI1107" i="123"/>
  <c r="AJ1107" i="123"/>
  <c r="AK1107" i="123"/>
  <c r="AL1107" i="123"/>
  <c r="AM1107" i="123"/>
  <c r="AN1107" i="123"/>
  <c r="AO1107" i="123"/>
  <c r="AP1107" i="123"/>
  <c r="AQ1107" i="123"/>
  <c r="AR1107" i="123"/>
  <c r="AS1107" i="123"/>
  <c r="AT1107" i="123"/>
  <c r="AU1107" i="123"/>
  <c r="AV1107" i="123"/>
  <c r="AW1107" i="123"/>
  <c r="AX1107" i="123"/>
  <c r="AY1107" i="123"/>
  <c r="AZ1107" i="123"/>
  <c r="BA1107" i="123"/>
  <c r="BB1107" i="123"/>
  <c r="BC1107" i="123"/>
  <c r="BD1107" i="123"/>
  <c r="BE1107" i="123"/>
  <c r="BF1107" i="123"/>
  <c r="BG1107" i="123"/>
  <c r="BH1107" i="123"/>
  <c r="BI1107" i="123"/>
  <c r="BJ1107" i="123"/>
  <c r="BK1107" i="123"/>
  <c r="BL1107" i="123"/>
  <c r="BM1107" i="123"/>
  <c r="BN1107" i="123"/>
  <c r="BO1107" i="123"/>
  <c r="H1127" i="123"/>
  <c r="I1127" i="123"/>
  <c r="J1127" i="123"/>
  <c r="K1127" i="123"/>
  <c r="L1127" i="123"/>
  <c r="M1127" i="123"/>
  <c r="N1127" i="123"/>
  <c r="O1127" i="123"/>
  <c r="P1127" i="123"/>
  <c r="Q1127" i="123"/>
  <c r="R1127" i="123"/>
  <c r="AH1127" i="123"/>
  <c r="AI1127" i="123"/>
  <c r="AJ1127" i="123"/>
  <c r="AK1127" i="123"/>
  <c r="AL1127" i="123"/>
  <c r="AM1127" i="123"/>
  <c r="AN1127" i="123"/>
  <c r="AO1127" i="123"/>
  <c r="AP1127" i="123"/>
  <c r="AQ1127" i="123"/>
  <c r="AR1127" i="123"/>
  <c r="AS1127" i="123"/>
  <c r="AT1127" i="123"/>
  <c r="AU1127" i="123"/>
  <c r="AV1127" i="123"/>
  <c r="AW1127" i="123"/>
  <c r="AX1127" i="123"/>
  <c r="AY1127" i="123"/>
  <c r="AZ1127" i="123"/>
  <c r="BA1127" i="123"/>
  <c r="BB1127" i="123"/>
  <c r="BC1127" i="123"/>
  <c r="BD1127" i="123"/>
  <c r="BE1127" i="123"/>
  <c r="BF1127" i="123"/>
  <c r="BG1127" i="123"/>
  <c r="BH1127" i="123"/>
  <c r="BI1127" i="123"/>
  <c r="BJ1127" i="123"/>
  <c r="BK1127" i="123"/>
  <c r="BL1127" i="123"/>
  <c r="BM1127" i="123"/>
  <c r="BN1127" i="123"/>
  <c r="BO1127" i="123"/>
  <c r="H1131" i="123"/>
  <c r="I1131" i="123"/>
  <c r="J1131" i="123"/>
  <c r="K1131" i="123"/>
  <c r="L1131" i="123"/>
  <c r="M1131" i="123"/>
  <c r="N1131" i="123"/>
  <c r="O1131" i="123"/>
  <c r="P1131" i="123"/>
  <c r="Q1131" i="123"/>
  <c r="R1131" i="123"/>
  <c r="AH1131" i="123"/>
  <c r="AI1131" i="123"/>
  <c r="AJ1131" i="123"/>
  <c r="AK1131" i="123"/>
  <c r="AL1131" i="123"/>
  <c r="AM1131" i="123"/>
  <c r="AN1131" i="123"/>
  <c r="AO1131" i="123"/>
  <c r="AP1131" i="123"/>
  <c r="AQ1131" i="123"/>
  <c r="AR1131" i="123"/>
  <c r="AS1131" i="123"/>
  <c r="AT1131" i="123"/>
  <c r="AU1131" i="123"/>
  <c r="AV1131" i="123"/>
  <c r="AW1131" i="123"/>
  <c r="AX1131" i="123"/>
  <c r="AY1131" i="123"/>
  <c r="AZ1131" i="123"/>
  <c r="BA1131" i="123"/>
  <c r="BB1131" i="123"/>
  <c r="BC1131" i="123"/>
  <c r="BD1131" i="123"/>
  <c r="BE1131" i="123"/>
  <c r="BF1131" i="123"/>
  <c r="BG1131" i="123"/>
  <c r="BH1131" i="123"/>
  <c r="BI1131" i="123"/>
  <c r="BJ1131" i="123"/>
  <c r="BK1131" i="123"/>
  <c r="BL1131" i="123"/>
  <c r="BM1131" i="123"/>
  <c r="BN1131" i="123"/>
  <c r="BO1131" i="123"/>
  <c r="H1145" i="123"/>
  <c r="I1145" i="123"/>
  <c r="J1145" i="123"/>
  <c r="K1145" i="123"/>
  <c r="L1145" i="123"/>
  <c r="M1145" i="123"/>
  <c r="N1145" i="123"/>
  <c r="O1145" i="123"/>
  <c r="P1145" i="123"/>
  <c r="Q1145" i="123"/>
  <c r="R1145" i="123"/>
  <c r="AH1145" i="123"/>
  <c r="AI1145" i="123"/>
  <c r="AJ1145" i="123"/>
  <c r="AK1145" i="123"/>
  <c r="AL1145" i="123"/>
  <c r="AM1145" i="123"/>
  <c r="AN1145" i="123"/>
  <c r="AO1145" i="123"/>
  <c r="AP1145" i="123"/>
  <c r="AQ1145" i="123"/>
  <c r="AR1145" i="123"/>
  <c r="AS1145" i="123"/>
  <c r="AT1145" i="123"/>
  <c r="AU1145" i="123"/>
  <c r="AV1145" i="123"/>
  <c r="AW1145" i="123"/>
  <c r="AX1145" i="123"/>
  <c r="AY1145" i="123"/>
  <c r="AZ1145" i="123"/>
  <c r="BA1145" i="123"/>
  <c r="BB1145" i="123"/>
  <c r="BC1145" i="123"/>
  <c r="BD1145" i="123"/>
  <c r="BE1145" i="123"/>
  <c r="BF1145" i="123"/>
  <c r="BG1145" i="123"/>
  <c r="BH1145" i="123"/>
  <c r="BI1145" i="123"/>
  <c r="BJ1145" i="123"/>
  <c r="BK1145" i="123"/>
  <c r="BL1145" i="123"/>
  <c r="BM1145" i="123"/>
  <c r="BN1145" i="123"/>
  <c r="BO1145" i="123"/>
  <c r="H1153" i="123"/>
  <c r="I1153" i="123"/>
  <c r="J1153" i="123"/>
  <c r="K1153" i="123"/>
  <c r="L1153" i="123"/>
  <c r="M1153" i="123"/>
  <c r="N1153" i="123"/>
  <c r="O1153" i="123"/>
  <c r="P1153" i="123"/>
  <c r="Q1153" i="123"/>
  <c r="R1153" i="123"/>
  <c r="AH1153" i="123"/>
  <c r="AI1153" i="123"/>
  <c r="AJ1153" i="123"/>
  <c r="AK1153" i="123"/>
  <c r="AL1153" i="123"/>
  <c r="AM1153" i="123"/>
  <c r="AN1153" i="123"/>
  <c r="AO1153" i="123"/>
  <c r="AP1153" i="123"/>
  <c r="AQ1153" i="123"/>
  <c r="AR1153" i="123"/>
  <c r="AS1153" i="123"/>
  <c r="AT1153" i="123"/>
  <c r="AU1153" i="123"/>
  <c r="AV1153" i="123"/>
  <c r="AW1153" i="123"/>
  <c r="AX1153" i="123"/>
  <c r="AY1153" i="123"/>
  <c r="AZ1153" i="123"/>
  <c r="BA1153" i="123"/>
  <c r="BB1153" i="123"/>
  <c r="BC1153" i="123"/>
  <c r="BD1153" i="123"/>
  <c r="BE1153" i="123"/>
  <c r="BF1153" i="123"/>
  <c r="BG1153" i="123"/>
  <c r="BH1153" i="123"/>
  <c r="BI1153" i="123"/>
  <c r="BJ1153" i="123"/>
  <c r="BK1153" i="123"/>
  <c r="BL1153" i="123"/>
  <c r="BM1153" i="123"/>
  <c r="BN1153" i="123"/>
  <c r="BO1153" i="123"/>
  <c r="H1159" i="123"/>
  <c r="I1159" i="123"/>
  <c r="J1159" i="123"/>
  <c r="K1159" i="123"/>
  <c r="L1159" i="123"/>
  <c r="M1159" i="123"/>
  <c r="N1159" i="123"/>
  <c r="O1159" i="123"/>
  <c r="P1159" i="123"/>
  <c r="Q1159" i="123"/>
  <c r="R1159" i="123"/>
  <c r="AH1159" i="123"/>
  <c r="AI1159" i="123"/>
  <c r="AJ1159" i="123"/>
  <c r="AK1159" i="123"/>
  <c r="AL1159" i="123"/>
  <c r="AM1159" i="123"/>
  <c r="AN1159" i="123"/>
  <c r="AO1159" i="123"/>
  <c r="AP1159" i="123"/>
  <c r="AQ1159" i="123"/>
  <c r="AR1159" i="123"/>
  <c r="AS1159" i="123"/>
  <c r="AT1159" i="123"/>
  <c r="AU1159" i="123"/>
  <c r="AV1159" i="123"/>
  <c r="AW1159" i="123"/>
  <c r="AX1159" i="123"/>
  <c r="AY1159" i="123"/>
  <c r="AZ1159" i="123"/>
  <c r="BA1159" i="123"/>
  <c r="BB1159" i="123"/>
  <c r="BC1159" i="123"/>
  <c r="BD1159" i="123"/>
  <c r="BE1159" i="123"/>
  <c r="BF1159" i="123"/>
  <c r="BG1159" i="123"/>
  <c r="BH1159" i="123"/>
  <c r="BI1159" i="123"/>
  <c r="BJ1159" i="123"/>
  <c r="BK1159" i="123"/>
  <c r="BL1159" i="123"/>
  <c r="BM1159" i="123"/>
  <c r="BN1159" i="123"/>
  <c r="BO1159" i="123"/>
  <c r="H1167" i="123"/>
  <c r="I1167" i="123"/>
  <c r="J1167" i="123"/>
  <c r="K1167" i="123"/>
  <c r="L1167" i="123"/>
  <c r="M1167" i="123"/>
  <c r="N1167" i="123"/>
  <c r="O1167" i="123"/>
  <c r="P1167" i="123"/>
  <c r="Q1167" i="123"/>
  <c r="R1167" i="123"/>
  <c r="AH1167" i="123"/>
  <c r="AI1167" i="123"/>
  <c r="AJ1167" i="123"/>
  <c r="AK1167" i="123"/>
  <c r="AL1167" i="123"/>
  <c r="AM1167" i="123"/>
  <c r="AN1167" i="123"/>
  <c r="AO1167" i="123"/>
  <c r="AP1167" i="123"/>
  <c r="AQ1167" i="123"/>
  <c r="AR1167" i="123"/>
  <c r="AS1167" i="123"/>
  <c r="AT1167" i="123"/>
  <c r="AU1167" i="123"/>
  <c r="AV1167" i="123"/>
  <c r="AW1167" i="123"/>
  <c r="AX1167" i="123"/>
  <c r="AY1167" i="123"/>
  <c r="AZ1167" i="123"/>
  <c r="BA1167" i="123"/>
  <c r="BB1167" i="123"/>
  <c r="BC1167" i="123"/>
  <c r="BD1167" i="123"/>
  <c r="BE1167" i="123"/>
  <c r="BF1167" i="123"/>
  <c r="BG1167" i="123"/>
  <c r="BH1167" i="123"/>
  <c r="BI1167" i="123"/>
  <c r="BJ1167" i="123"/>
  <c r="BK1167" i="123"/>
  <c r="BL1167" i="123"/>
  <c r="BM1167" i="123"/>
  <c r="BN1167" i="123"/>
  <c r="BO1167" i="123"/>
  <c r="H1179" i="123"/>
  <c r="I1179" i="123"/>
  <c r="J1179" i="123"/>
  <c r="K1179" i="123"/>
  <c r="L1179" i="123"/>
  <c r="M1179" i="123"/>
  <c r="N1179" i="123"/>
  <c r="O1179" i="123"/>
  <c r="P1179" i="123"/>
  <c r="Q1179" i="123"/>
  <c r="R1179" i="123"/>
  <c r="AH1179" i="123"/>
  <c r="AI1179" i="123"/>
  <c r="AJ1179" i="123"/>
  <c r="AK1179" i="123"/>
  <c r="AL1179" i="123"/>
  <c r="AM1179" i="123"/>
  <c r="AN1179" i="123"/>
  <c r="AO1179" i="123"/>
  <c r="AP1179" i="123"/>
  <c r="AQ1179" i="123"/>
  <c r="AR1179" i="123"/>
  <c r="AS1179" i="123"/>
  <c r="AT1179" i="123"/>
  <c r="AU1179" i="123"/>
  <c r="AV1179" i="123"/>
  <c r="AW1179" i="123"/>
  <c r="AX1179" i="123"/>
  <c r="AY1179" i="123"/>
  <c r="AZ1179" i="123"/>
  <c r="BA1179" i="123"/>
  <c r="BB1179" i="123"/>
  <c r="BC1179" i="123"/>
  <c r="BD1179" i="123"/>
  <c r="BE1179" i="123"/>
  <c r="BF1179" i="123"/>
  <c r="BG1179" i="123"/>
  <c r="BH1179" i="123"/>
  <c r="BI1179" i="123"/>
  <c r="BJ1179" i="123"/>
  <c r="BK1179" i="123"/>
  <c r="BL1179" i="123"/>
  <c r="BM1179" i="123"/>
  <c r="BN1179" i="123"/>
  <c r="BO1179" i="123"/>
  <c r="H1189" i="123"/>
  <c r="I1189" i="123"/>
  <c r="J1189" i="123"/>
  <c r="K1189" i="123"/>
  <c r="K1201" i="123" s="1"/>
  <c r="L1189" i="123"/>
  <c r="M1189" i="123"/>
  <c r="N1189" i="123"/>
  <c r="O1189" i="123"/>
  <c r="O1201" i="123" s="1"/>
  <c r="P1189" i="123"/>
  <c r="Q1189" i="123"/>
  <c r="R1189" i="123"/>
  <c r="AH1189" i="123"/>
  <c r="AI1189" i="123"/>
  <c r="AJ1189" i="123"/>
  <c r="AK1189" i="123"/>
  <c r="AL1189" i="123"/>
  <c r="AL1201" i="123" s="1"/>
  <c r="AM1189" i="123"/>
  <c r="AN1189" i="123"/>
  <c r="AO1189" i="123"/>
  <c r="AP1189" i="123"/>
  <c r="AQ1189" i="123"/>
  <c r="AR1189" i="123"/>
  <c r="AS1189" i="123"/>
  <c r="AT1189" i="123"/>
  <c r="AT1201" i="123" s="1"/>
  <c r="AU1189" i="123"/>
  <c r="AV1189" i="123"/>
  <c r="AW1189" i="123"/>
  <c r="AX1189" i="123"/>
  <c r="AY1189" i="123"/>
  <c r="AZ1189" i="123"/>
  <c r="BA1189" i="123"/>
  <c r="BB1189" i="123"/>
  <c r="BB1201" i="123" s="1"/>
  <c r="BC1189" i="123"/>
  <c r="BD1189" i="123"/>
  <c r="BE1189" i="123"/>
  <c r="BF1189" i="123"/>
  <c r="BG1189" i="123"/>
  <c r="BH1189" i="123"/>
  <c r="BI1189" i="123"/>
  <c r="BJ1189" i="123"/>
  <c r="BJ1201" i="123" s="1"/>
  <c r="BK1189" i="123"/>
  <c r="BL1189" i="123"/>
  <c r="BM1189" i="123"/>
  <c r="BN1189" i="123"/>
  <c r="BO1189" i="123"/>
  <c r="H1199" i="123"/>
  <c r="I1199" i="123"/>
  <c r="I1201" i="123" s="1"/>
  <c r="J1199" i="123"/>
  <c r="K1199" i="123"/>
  <c r="L1199" i="123"/>
  <c r="M1199" i="123"/>
  <c r="N1199" i="123"/>
  <c r="N1201" i="123" s="1"/>
  <c r="O1199" i="123"/>
  <c r="P1199" i="123"/>
  <c r="Q1199" i="123"/>
  <c r="Q1201" i="123" s="1"/>
  <c r="R1199" i="123"/>
  <c r="R1201" i="123" s="1"/>
  <c r="AH1199" i="123"/>
  <c r="AI1199" i="123"/>
  <c r="AJ1199" i="123"/>
  <c r="AJ1201" i="123" s="1"/>
  <c r="AK1199" i="123"/>
  <c r="AK1201" i="123" s="1"/>
  <c r="AL1199" i="123"/>
  <c r="AM1199" i="123"/>
  <c r="AN1199" i="123"/>
  <c r="AN1201" i="123" s="1"/>
  <c r="AO1199" i="123"/>
  <c r="AO1201" i="123" s="1"/>
  <c r="AP1199" i="123"/>
  <c r="AQ1199" i="123"/>
  <c r="AR1199" i="123"/>
  <c r="AS1199" i="123"/>
  <c r="AS1201" i="123" s="1"/>
  <c r="AT1199" i="123"/>
  <c r="AU1199" i="123"/>
  <c r="AV1199" i="123"/>
  <c r="AW1199" i="123"/>
  <c r="AX1199" i="123"/>
  <c r="AY1199" i="123"/>
  <c r="AZ1199" i="123"/>
  <c r="AZ1201" i="123" s="1"/>
  <c r="BA1199" i="123"/>
  <c r="BA1201" i="123" s="1"/>
  <c r="BB1199" i="123"/>
  <c r="BC1199" i="123"/>
  <c r="BD1199" i="123"/>
  <c r="BD1201" i="123" s="1"/>
  <c r="BE1199" i="123"/>
  <c r="BE1201" i="123" s="1"/>
  <c r="BF1199" i="123"/>
  <c r="BG1199" i="123"/>
  <c r="BH1199" i="123"/>
  <c r="BI1199" i="123"/>
  <c r="BI1201" i="123" s="1"/>
  <c r="BJ1199" i="123"/>
  <c r="BK1199" i="123"/>
  <c r="BL1199" i="123"/>
  <c r="BM1199" i="123"/>
  <c r="BN1199" i="123"/>
  <c r="BO1199" i="123"/>
  <c r="H1208" i="123"/>
  <c r="I1208" i="123"/>
  <c r="J1208" i="123"/>
  <c r="K1208" i="123"/>
  <c r="L1208" i="123"/>
  <c r="M1208" i="123"/>
  <c r="N1208" i="123"/>
  <c r="O1208" i="123"/>
  <c r="P1208" i="123"/>
  <c r="Q1208" i="123"/>
  <c r="R1208" i="123"/>
  <c r="AH1208" i="123"/>
  <c r="AI1208" i="123"/>
  <c r="AJ1208" i="123"/>
  <c r="AK1208" i="123"/>
  <c r="AL1208" i="123"/>
  <c r="AM1208" i="123"/>
  <c r="AN1208" i="123"/>
  <c r="AO1208" i="123"/>
  <c r="AP1208" i="123"/>
  <c r="AQ1208" i="123"/>
  <c r="AR1208" i="123"/>
  <c r="AS1208" i="123"/>
  <c r="AT1208" i="123"/>
  <c r="AU1208" i="123"/>
  <c r="AV1208" i="123"/>
  <c r="AW1208" i="123"/>
  <c r="AX1208" i="123"/>
  <c r="AY1208" i="123"/>
  <c r="AZ1208" i="123"/>
  <c r="BA1208" i="123"/>
  <c r="BB1208" i="123"/>
  <c r="BC1208" i="123"/>
  <c r="BD1208" i="123"/>
  <c r="BE1208" i="123"/>
  <c r="BF1208" i="123"/>
  <c r="BG1208" i="123"/>
  <c r="BH1208" i="123"/>
  <c r="BI1208" i="123"/>
  <c r="BJ1208" i="123"/>
  <c r="BK1208" i="123"/>
  <c r="BL1208" i="123"/>
  <c r="BM1208" i="123"/>
  <c r="BN1208" i="123"/>
  <c r="BO1208" i="123"/>
  <c r="H1219" i="123"/>
  <c r="I1219" i="123"/>
  <c r="J1219" i="123"/>
  <c r="K1219" i="123"/>
  <c r="L1219" i="123"/>
  <c r="M1219" i="123"/>
  <c r="N1219" i="123"/>
  <c r="O1219" i="123"/>
  <c r="P1219" i="123"/>
  <c r="Q1219" i="123"/>
  <c r="R1219" i="123"/>
  <c r="AH1219" i="123"/>
  <c r="AI1219" i="123"/>
  <c r="AJ1219" i="123"/>
  <c r="AK1219" i="123"/>
  <c r="AL1219" i="123"/>
  <c r="AM1219" i="123"/>
  <c r="AN1219" i="123"/>
  <c r="AO1219" i="123"/>
  <c r="AP1219" i="123"/>
  <c r="AQ1219" i="123"/>
  <c r="AR1219" i="123"/>
  <c r="AS1219" i="123"/>
  <c r="AT1219" i="123"/>
  <c r="AU1219" i="123"/>
  <c r="AV1219" i="123"/>
  <c r="AW1219" i="123"/>
  <c r="AX1219" i="123"/>
  <c r="AY1219" i="123"/>
  <c r="AZ1219" i="123"/>
  <c r="BA1219" i="123"/>
  <c r="BB1219" i="123"/>
  <c r="BC1219" i="123"/>
  <c r="BD1219" i="123"/>
  <c r="BE1219" i="123"/>
  <c r="BF1219" i="123"/>
  <c r="BG1219" i="123"/>
  <c r="BH1219" i="123"/>
  <c r="BI1219" i="123"/>
  <c r="BJ1219" i="123"/>
  <c r="BK1219" i="123"/>
  <c r="BL1219" i="123"/>
  <c r="BM1219" i="123"/>
  <c r="BN1219" i="123"/>
  <c r="BO1219" i="123"/>
  <c r="G1219" i="123"/>
  <c r="G1208" i="123"/>
  <c r="G1199" i="123"/>
  <c r="G1189" i="123"/>
  <c r="G1179" i="123"/>
  <c r="G1167" i="123"/>
  <c r="G1159" i="123"/>
  <c r="G1153" i="123"/>
  <c r="G1145" i="123"/>
  <c r="G1131" i="123"/>
  <c r="G1127" i="123"/>
  <c r="G1107" i="123"/>
  <c r="G1092" i="123"/>
  <c r="BO1077" i="123"/>
  <c r="BN1077" i="123"/>
  <c r="BM1077" i="123"/>
  <c r="BL1077" i="123"/>
  <c r="BK1077" i="123"/>
  <c r="BJ1077" i="123"/>
  <c r="BJ1221" i="123" s="1"/>
  <c r="BI1077" i="123"/>
  <c r="BH1077" i="123"/>
  <c r="BG1077" i="123"/>
  <c r="BF1077" i="123"/>
  <c r="BE1077" i="123"/>
  <c r="BD1077" i="123"/>
  <c r="BC1077" i="123"/>
  <c r="BB1077" i="123"/>
  <c r="BA1077" i="123"/>
  <c r="AZ1077" i="123"/>
  <c r="AY1077" i="123"/>
  <c r="AX1077" i="123"/>
  <c r="AW1077" i="123"/>
  <c r="AV1077" i="123"/>
  <c r="AU1077" i="123"/>
  <c r="AT1077" i="123"/>
  <c r="AT1221" i="123" s="1"/>
  <c r="AS1077" i="123"/>
  <c r="AR1077" i="123"/>
  <c r="AQ1077" i="123"/>
  <c r="AP1077" i="123"/>
  <c r="AO1077" i="123"/>
  <c r="AN1077" i="123"/>
  <c r="AM1077" i="123"/>
  <c r="AL1077" i="123"/>
  <c r="AK1077" i="123"/>
  <c r="AJ1077" i="123"/>
  <c r="AI1077" i="123"/>
  <c r="AH1077" i="123"/>
  <c r="R1077" i="123"/>
  <c r="Q1077" i="123"/>
  <c r="P1077" i="123"/>
  <c r="O1077" i="123"/>
  <c r="N1077" i="123"/>
  <c r="M1077" i="123"/>
  <c r="L1077" i="123"/>
  <c r="K1077" i="123"/>
  <c r="J1077" i="123"/>
  <c r="I1077" i="123"/>
  <c r="H1077" i="123"/>
  <c r="G1077" i="123"/>
  <c r="BO1073" i="123"/>
  <c r="BN1073" i="123"/>
  <c r="BM1073" i="123"/>
  <c r="BL1073" i="123"/>
  <c r="BK1073" i="123"/>
  <c r="BJ1073" i="123"/>
  <c r="BI1073" i="123"/>
  <c r="BH1073" i="123"/>
  <c r="BG1073" i="123"/>
  <c r="BF1073" i="123"/>
  <c r="BE1073" i="123"/>
  <c r="BD1073" i="123"/>
  <c r="BC1073" i="123"/>
  <c r="BB1073" i="123"/>
  <c r="BA1073" i="123"/>
  <c r="AZ1073" i="123"/>
  <c r="AY1073" i="123"/>
  <c r="AX1073" i="123"/>
  <c r="AW1073" i="123"/>
  <c r="AV1073" i="123"/>
  <c r="AU1073" i="123"/>
  <c r="AT1073" i="123"/>
  <c r="AS1073" i="123"/>
  <c r="AR1073" i="123"/>
  <c r="AQ1073" i="123"/>
  <c r="AP1073" i="123"/>
  <c r="AO1073" i="123"/>
  <c r="AN1073" i="123"/>
  <c r="AM1073" i="123"/>
  <c r="AL1073" i="123"/>
  <c r="AK1073" i="123"/>
  <c r="AJ1073" i="123"/>
  <c r="AI1073" i="123"/>
  <c r="AH1073" i="123"/>
  <c r="R1073" i="123"/>
  <c r="Q1073" i="123"/>
  <c r="P1073" i="123"/>
  <c r="O1073" i="123"/>
  <c r="N1073" i="123"/>
  <c r="M1073" i="123"/>
  <c r="L1073" i="123"/>
  <c r="K1073" i="123"/>
  <c r="J1073" i="123"/>
  <c r="I1073" i="123"/>
  <c r="I1221" i="123" s="1"/>
  <c r="H1073" i="123"/>
  <c r="G1073" i="123"/>
  <c r="BO1084" i="123"/>
  <c r="BN1084" i="123"/>
  <c r="BM1084" i="123"/>
  <c r="BL1084" i="123"/>
  <c r="BK1084" i="123"/>
  <c r="BJ1084" i="123"/>
  <c r="BI1084" i="123"/>
  <c r="BH1084" i="123"/>
  <c r="BG1084" i="123"/>
  <c r="BF1084" i="123"/>
  <c r="BE1084" i="123"/>
  <c r="BD1084" i="123"/>
  <c r="BC1084" i="123"/>
  <c r="BB1084" i="123"/>
  <c r="BA1084" i="123"/>
  <c r="AZ1084" i="123"/>
  <c r="AY1084" i="123"/>
  <c r="AX1084" i="123"/>
  <c r="AW1084" i="123"/>
  <c r="AV1084" i="123"/>
  <c r="AU1084" i="123"/>
  <c r="AT1084" i="123"/>
  <c r="AS1084" i="123"/>
  <c r="AR1084" i="123"/>
  <c r="AQ1084" i="123"/>
  <c r="AP1084" i="123"/>
  <c r="AO1084" i="123"/>
  <c r="AN1084" i="123"/>
  <c r="AM1084" i="123"/>
  <c r="AL1084" i="123"/>
  <c r="AK1084" i="123"/>
  <c r="AJ1084" i="123"/>
  <c r="AI1084" i="123"/>
  <c r="AH1084" i="123"/>
  <c r="R1084" i="123"/>
  <c r="Q1084" i="123"/>
  <c r="P1084" i="123"/>
  <c r="O1084" i="123"/>
  <c r="N1084" i="123"/>
  <c r="M1084" i="123"/>
  <c r="L1084" i="123"/>
  <c r="K1084" i="123"/>
  <c r="J1084" i="123"/>
  <c r="I1084" i="123"/>
  <c r="H1084" i="123"/>
  <c r="G1084" i="123"/>
  <c r="BO1062" i="123"/>
  <c r="BN1062" i="123"/>
  <c r="BM1062" i="123"/>
  <c r="BL1062" i="123"/>
  <c r="BK1062" i="123"/>
  <c r="BJ1062" i="123"/>
  <c r="BI1062" i="123"/>
  <c r="BH1062" i="123"/>
  <c r="BG1062" i="123"/>
  <c r="BG1221" i="123" s="1"/>
  <c r="BF1062" i="123"/>
  <c r="BE1062" i="123"/>
  <c r="BD1062" i="123"/>
  <c r="BD1221" i="123" s="1"/>
  <c r="BC1062" i="123"/>
  <c r="BB1062" i="123"/>
  <c r="BA1062" i="123"/>
  <c r="AZ1062" i="123"/>
  <c r="AZ1221" i="123" s="1"/>
  <c r="AY1062" i="123"/>
  <c r="AX1062" i="123"/>
  <c r="AW1062" i="123"/>
  <c r="AV1062" i="123"/>
  <c r="AU1062" i="123"/>
  <c r="AU1221" i="123" s="1"/>
  <c r="AT1062" i="123"/>
  <c r="AS1062" i="123"/>
  <c r="AR1062" i="123"/>
  <c r="AQ1062" i="123"/>
  <c r="AP1062" i="123"/>
  <c r="AO1062" i="123"/>
  <c r="AN1062" i="123"/>
  <c r="AM1062" i="123"/>
  <c r="AL1062" i="123"/>
  <c r="AK1062" i="123"/>
  <c r="AJ1062" i="123"/>
  <c r="AI1062" i="123"/>
  <c r="AH1062" i="123"/>
  <c r="R1062" i="123"/>
  <c r="Q1062" i="123"/>
  <c r="P1062" i="123"/>
  <c r="O1062" i="123"/>
  <c r="N1062" i="123"/>
  <c r="M1062" i="123"/>
  <c r="L1062" i="123"/>
  <c r="K1062" i="123"/>
  <c r="J1062" i="123"/>
  <c r="I1062" i="123"/>
  <c r="H1062" i="123"/>
  <c r="G1062" i="123"/>
  <c r="H1045" i="123"/>
  <c r="I1045" i="123"/>
  <c r="J1045" i="123"/>
  <c r="K1045" i="123"/>
  <c r="L1045" i="123"/>
  <c r="M1045" i="123"/>
  <c r="N1045" i="123"/>
  <c r="O1045" i="123"/>
  <c r="P1045" i="123"/>
  <c r="Q1045" i="123"/>
  <c r="R1045" i="123"/>
  <c r="AH1045" i="123"/>
  <c r="AI1045" i="123"/>
  <c r="AJ1045" i="123"/>
  <c r="AK1045" i="123"/>
  <c r="AL1045" i="123"/>
  <c r="AM1045" i="123"/>
  <c r="AN1045" i="123"/>
  <c r="AO1045" i="123"/>
  <c r="AP1045" i="123"/>
  <c r="AQ1045" i="123"/>
  <c r="AR1045" i="123"/>
  <c r="AS1045" i="123"/>
  <c r="AT1045" i="123"/>
  <c r="AU1045" i="123"/>
  <c r="AV1045" i="123"/>
  <c r="AW1045" i="123"/>
  <c r="AX1045" i="123"/>
  <c r="AY1045" i="123"/>
  <c r="AZ1045" i="123"/>
  <c r="BA1045" i="123"/>
  <c r="BB1045" i="123"/>
  <c r="BC1045" i="123"/>
  <c r="BD1045" i="123"/>
  <c r="BE1045" i="123"/>
  <c r="BF1045" i="123"/>
  <c r="BG1045" i="123"/>
  <c r="BH1045" i="123"/>
  <c r="BI1045" i="123"/>
  <c r="BJ1045" i="123"/>
  <c r="BK1045" i="123"/>
  <c r="BL1045" i="123"/>
  <c r="BM1045" i="123"/>
  <c r="BN1045" i="123"/>
  <c r="BO1045" i="123"/>
  <c r="G1045" i="123"/>
  <c r="H1034" i="123"/>
  <c r="I1034" i="123"/>
  <c r="J1034" i="123"/>
  <c r="K1034" i="123"/>
  <c r="L1034" i="123"/>
  <c r="M1034" i="123"/>
  <c r="N1034" i="123"/>
  <c r="O1034" i="123"/>
  <c r="P1034" i="123"/>
  <c r="Q1034" i="123"/>
  <c r="R1034" i="123"/>
  <c r="AH1034" i="123"/>
  <c r="AI1034" i="123"/>
  <c r="AJ1034" i="123"/>
  <c r="AK1034" i="123"/>
  <c r="AL1034" i="123"/>
  <c r="AM1034" i="123"/>
  <c r="AN1034" i="123"/>
  <c r="AO1034" i="123"/>
  <c r="AP1034" i="123"/>
  <c r="AQ1034" i="123"/>
  <c r="AR1034" i="123"/>
  <c r="AS1034" i="123"/>
  <c r="AT1034" i="123"/>
  <c r="AU1034" i="123"/>
  <c r="AV1034" i="123"/>
  <c r="AW1034" i="123"/>
  <c r="AX1034" i="123"/>
  <c r="AY1034" i="123"/>
  <c r="AZ1034" i="123"/>
  <c r="BA1034" i="123"/>
  <c r="BB1034" i="123"/>
  <c r="BC1034" i="123"/>
  <c r="BD1034" i="123"/>
  <c r="BE1034" i="123"/>
  <c r="BF1034" i="123"/>
  <c r="BG1034" i="123"/>
  <c r="BH1034" i="123"/>
  <c r="BI1034" i="123"/>
  <c r="BJ1034" i="123"/>
  <c r="BK1034" i="123"/>
  <c r="BL1034" i="123"/>
  <c r="BM1034" i="123"/>
  <c r="BN1034" i="123"/>
  <c r="BO1034" i="123"/>
  <c r="G1034" i="123"/>
  <c r="H1025" i="123"/>
  <c r="I1025" i="123"/>
  <c r="I1027" i="123" s="1"/>
  <c r="J1025" i="123"/>
  <c r="J1027" i="123" s="1"/>
  <c r="K1025" i="123"/>
  <c r="L1025" i="123"/>
  <c r="M1025" i="123"/>
  <c r="M1027" i="123" s="1"/>
  <c r="N1025" i="123"/>
  <c r="N1027" i="123" s="1"/>
  <c r="O1025" i="123"/>
  <c r="P1025" i="123"/>
  <c r="Q1025" i="123"/>
  <c r="Q1027" i="123" s="1"/>
  <c r="R1025" i="123"/>
  <c r="AH1025" i="123"/>
  <c r="AI1025" i="123"/>
  <c r="AJ1025" i="123"/>
  <c r="AJ1027" i="123" s="1"/>
  <c r="AK1025" i="123"/>
  <c r="AL1025" i="123"/>
  <c r="AM1025" i="123"/>
  <c r="AN1025" i="123"/>
  <c r="AO1025" i="123"/>
  <c r="AO1027" i="123" s="1"/>
  <c r="AP1025" i="123"/>
  <c r="AQ1025" i="123"/>
  <c r="AR1025" i="123"/>
  <c r="AR1027" i="123" s="1"/>
  <c r="AS1025" i="123"/>
  <c r="AS1027" i="123" s="1"/>
  <c r="AT1025" i="123"/>
  <c r="AU1025" i="123"/>
  <c r="AV1025" i="123"/>
  <c r="AV1027" i="123" s="1"/>
  <c r="AW1025" i="123"/>
  <c r="AW1027" i="123" s="1"/>
  <c r="AX1025" i="123"/>
  <c r="AY1025" i="123"/>
  <c r="AZ1025" i="123"/>
  <c r="AZ1027" i="123" s="1"/>
  <c r="BA1025" i="123"/>
  <c r="BB1025" i="123"/>
  <c r="BC1025" i="123"/>
  <c r="BD1025" i="123"/>
  <c r="BE1025" i="123"/>
  <c r="BE1027" i="123" s="1"/>
  <c r="BF1025" i="123"/>
  <c r="BG1025" i="123"/>
  <c r="BH1025" i="123"/>
  <c r="BH1027" i="123" s="1"/>
  <c r="BI1025" i="123"/>
  <c r="BI1027" i="123" s="1"/>
  <c r="BJ1025" i="123"/>
  <c r="BK1025" i="123"/>
  <c r="BL1025" i="123"/>
  <c r="BL1027" i="123" s="1"/>
  <c r="BM1025" i="123"/>
  <c r="BM1027" i="123" s="1"/>
  <c r="BN1025" i="123"/>
  <c r="BO1025" i="123"/>
  <c r="G1025" i="123"/>
  <c r="G1027" i="123" s="1"/>
  <c r="H1015" i="123"/>
  <c r="I1015" i="123"/>
  <c r="J1015" i="123"/>
  <c r="K1015" i="123"/>
  <c r="K1027" i="123" s="1"/>
  <c r="L1015" i="123"/>
  <c r="L1027" i="123" s="1"/>
  <c r="M1015" i="123"/>
  <c r="N1015" i="123"/>
  <c r="O1015" i="123"/>
  <c r="O1027" i="123" s="1"/>
  <c r="P1015" i="123"/>
  <c r="P1027" i="123" s="1"/>
  <c r="Q1015" i="123"/>
  <c r="R1015" i="123"/>
  <c r="AH1015" i="123"/>
  <c r="AH1027" i="123" s="1"/>
  <c r="AI1015" i="123"/>
  <c r="AJ1015" i="123"/>
  <c r="AK1015" i="123"/>
  <c r="AL1015" i="123"/>
  <c r="AL1027" i="123" s="1"/>
  <c r="AM1015" i="123"/>
  <c r="AM1027" i="123" s="1"/>
  <c r="AN1015" i="123"/>
  <c r="AO1015" i="123"/>
  <c r="AP1015" i="123"/>
  <c r="AP1027" i="123" s="1"/>
  <c r="AQ1015" i="123"/>
  <c r="AQ1027" i="123" s="1"/>
  <c r="AR1015" i="123"/>
  <c r="AS1015" i="123"/>
  <c r="AT1015" i="123"/>
  <c r="AU1015" i="123"/>
  <c r="AU1027" i="123" s="1"/>
  <c r="AV1015" i="123"/>
  <c r="AW1015" i="123"/>
  <c r="AX1015" i="123"/>
  <c r="AX1027" i="123" s="1"/>
  <c r="AY1015" i="123"/>
  <c r="AZ1015" i="123"/>
  <c r="BA1015" i="123"/>
  <c r="BB1015" i="123"/>
  <c r="BB1027" i="123" s="1"/>
  <c r="BC1015" i="123"/>
  <c r="BC1027" i="123" s="1"/>
  <c r="BD1015" i="123"/>
  <c r="BE1015" i="123"/>
  <c r="BF1015" i="123"/>
  <c r="BF1027" i="123" s="1"/>
  <c r="BG1015" i="123"/>
  <c r="BG1027" i="123" s="1"/>
  <c r="BH1015" i="123"/>
  <c r="BI1015" i="123"/>
  <c r="BJ1015" i="123"/>
  <c r="BK1015" i="123"/>
  <c r="BK1027" i="123" s="1"/>
  <c r="BL1015" i="123"/>
  <c r="BM1015" i="123"/>
  <c r="BN1015" i="123"/>
  <c r="BN1027" i="123" s="1"/>
  <c r="BO1015" i="123"/>
  <c r="G1015" i="123"/>
  <c r="H1005" i="123"/>
  <c r="I1005" i="123"/>
  <c r="J1005" i="123"/>
  <c r="K1005" i="123"/>
  <c r="L1005" i="123"/>
  <c r="M1005" i="123"/>
  <c r="N1005" i="123"/>
  <c r="O1005" i="123"/>
  <c r="P1005" i="123"/>
  <c r="Q1005" i="123"/>
  <c r="R1005" i="123"/>
  <c r="AH1005" i="123"/>
  <c r="AI1005" i="123"/>
  <c r="AJ1005" i="123"/>
  <c r="AK1005" i="123"/>
  <c r="AL1005" i="123"/>
  <c r="AM1005" i="123"/>
  <c r="AN1005" i="123"/>
  <c r="AO1005" i="123"/>
  <c r="AP1005" i="123"/>
  <c r="AQ1005" i="123"/>
  <c r="AR1005" i="123"/>
  <c r="AS1005" i="123"/>
  <c r="AT1005" i="123"/>
  <c r="AU1005" i="123"/>
  <c r="AV1005" i="123"/>
  <c r="AW1005" i="123"/>
  <c r="AX1005" i="123"/>
  <c r="AY1005" i="123"/>
  <c r="AZ1005" i="123"/>
  <c r="BA1005" i="123"/>
  <c r="BB1005" i="123"/>
  <c r="BC1005" i="123"/>
  <c r="BD1005" i="123"/>
  <c r="BE1005" i="123"/>
  <c r="BF1005" i="123"/>
  <c r="BG1005" i="123"/>
  <c r="BH1005" i="123"/>
  <c r="BI1005" i="123"/>
  <c r="BJ1005" i="123"/>
  <c r="BK1005" i="123"/>
  <c r="BL1005" i="123"/>
  <c r="BM1005" i="123"/>
  <c r="BN1005" i="123"/>
  <c r="BO1005" i="123"/>
  <c r="G1005" i="123"/>
  <c r="H993" i="123"/>
  <c r="I993" i="123"/>
  <c r="J993" i="123"/>
  <c r="K993" i="123"/>
  <c r="L993" i="123"/>
  <c r="M993" i="123"/>
  <c r="N993" i="123"/>
  <c r="O993" i="123"/>
  <c r="P993" i="123"/>
  <c r="Q993" i="123"/>
  <c r="R993" i="123"/>
  <c r="AH993" i="123"/>
  <c r="AI993" i="123"/>
  <c r="AJ993" i="123"/>
  <c r="AK993" i="123"/>
  <c r="AL993" i="123"/>
  <c r="AM993" i="123"/>
  <c r="AN993" i="123"/>
  <c r="AO993" i="123"/>
  <c r="AP993" i="123"/>
  <c r="AQ993" i="123"/>
  <c r="AR993" i="123"/>
  <c r="AS993" i="123"/>
  <c r="AT993" i="123"/>
  <c r="AU993" i="123"/>
  <c r="AV993" i="123"/>
  <c r="AW993" i="123"/>
  <c r="AX993" i="123"/>
  <c r="AY993" i="123"/>
  <c r="AZ993" i="123"/>
  <c r="BA993" i="123"/>
  <c r="BB993" i="123"/>
  <c r="BC993" i="123"/>
  <c r="BD993" i="123"/>
  <c r="BE993" i="123"/>
  <c r="BF993" i="123"/>
  <c r="BG993" i="123"/>
  <c r="BH993" i="123"/>
  <c r="BI993" i="123"/>
  <c r="BJ993" i="123"/>
  <c r="BK993" i="123"/>
  <c r="BL993" i="123"/>
  <c r="BM993" i="123"/>
  <c r="BN993" i="123"/>
  <c r="BO993" i="123"/>
  <c r="G993" i="123"/>
  <c r="H985" i="123"/>
  <c r="I985" i="123"/>
  <c r="J985" i="123"/>
  <c r="K985" i="123"/>
  <c r="L985" i="123"/>
  <c r="M985" i="123"/>
  <c r="N985" i="123"/>
  <c r="O985" i="123"/>
  <c r="P985" i="123"/>
  <c r="Q985" i="123"/>
  <c r="R985" i="123"/>
  <c r="AH985" i="123"/>
  <c r="AI985" i="123"/>
  <c r="AJ985" i="123"/>
  <c r="AK985" i="123"/>
  <c r="AL985" i="123"/>
  <c r="AM985" i="123"/>
  <c r="AN985" i="123"/>
  <c r="AO985" i="123"/>
  <c r="AP985" i="123"/>
  <c r="AQ985" i="123"/>
  <c r="AR985" i="123"/>
  <c r="AS985" i="123"/>
  <c r="AT985" i="123"/>
  <c r="AU985" i="123"/>
  <c r="AV985" i="123"/>
  <c r="AW985" i="123"/>
  <c r="AX985" i="123"/>
  <c r="AY985" i="123"/>
  <c r="AZ985" i="123"/>
  <c r="BA985" i="123"/>
  <c r="BB985" i="123"/>
  <c r="BC985" i="123"/>
  <c r="BD985" i="123"/>
  <c r="BE985" i="123"/>
  <c r="BF985" i="123"/>
  <c r="BG985" i="123"/>
  <c r="BH985" i="123"/>
  <c r="BI985" i="123"/>
  <c r="BJ985" i="123"/>
  <c r="BK985" i="123"/>
  <c r="BL985" i="123"/>
  <c r="BM985" i="123"/>
  <c r="BN985" i="123"/>
  <c r="BO985" i="123"/>
  <c r="G985" i="123"/>
  <c r="H979" i="123"/>
  <c r="I979" i="123"/>
  <c r="J979" i="123"/>
  <c r="K979" i="123"/>
  <c r="L979" i="123"/>
  <c r="M979" i="123"/>
  <c r="N979" i="123"/>
  <c r="O979" i="123"/>
  <c r="P979" i="123"/>
  <c r="Q979" i="123"/>
  <c r="R979" i="123"/>
  <c r="AH979" i="123"/>
  <c r="AI979" i="123"/>
  <c r="AJ979" i="123"/>
  <c r="AK979" i="123"/>
  <c r="AL979" i="123"/>
  <c r="AM979" i="123"/>
  <c r="AN979" i="123"/>
  <c r="AO979" i="123"/>
  <c r="AP979" i="123"/>
  <c r="AQ979" i="123"/>
  <c r="AR979" i="123"/>
  <c r="AS979" i="123"/>
  <c r="AT979" i="123"/>
  <c r="AU979" i="123"/>
  <c r="AV979" i="123"/>
  <c r="AW979" i="123"/>
  <c r="AX979" i="123"/>
  <c r="AY979" i="123"/>
  <c r="AZ979" i="123"/>
  <c r="BA979" i="123"/>
  <c r="BB979" i="123"/>
  <c r="BC979" i="123"/>
  <c r="BD979" i="123"/>
  <c r="BE979" i="123"/>
  <c r="BF979" i="123"/>
  <c r="BG979" i="123"/>
  <c r="BH979" i="123"/>
  <c r="BI979" i="123"/>
  <c r="BJ979" i="123"/>
  <c r="BK979" i="123"/>
  <c r="BL979" i="123"/>
  <c r="BM979" i="123"/>
  <c r="BN979" i="123"/>
  <c r="BO979" i="123"/>
  <c r="G979" i="123"/>
  <c r="H971" i="123"/>
  <c r="I971" i="123"/>
  <c r="J971" i="123"/>
  <c r="K971" i="123"/>
  <c r="L971" i="123"/>
  <c r="M971" i="123"/>
  <c r="N971" i="123"/>
  <c r="O971" i="123"/>
  <c r="P971" i="123"/>
  <c r="Q971" i="123"/>
  <c r="R971" i="123"/>
  <c r="AH971" i="123"/>
  <c r="AI971" i="123"/>
  <c r="AJ971" i="123"/>
  <c r="AK971" i="123"/>
  <c r="AL971" i="123"/>
  <c r="AM971" i="123"/>
  <c r="AN971" i="123"/>
  <c r="AO971" i="123"/>
  <c r="AP971" i="123"/>
  <c r="AQ971" i="123"/>
  <c r="AR971" i="123"/>
  <c r="AS971" i="123"/>
  <c r="AT971" i="123"/>
  <c r="AU971" i="123"/>
  <c r="AV971" i="123"/>
  <c r="AW971" i="123"/>
  <c r="AX971" i="123"/>
  <c r="AY971" i="123"/>
  <c r="AZ971" i="123"/>
  <c r="BA971" i="123"/>
  <c r="BB971" i="123"/>
  <c r="BC971" i="123"/>
  <c r="BD971" i="123"/>
  <c r="BE971" i="123"/>
  <c r="BF971" i="123"/>
  <c r="BG971" i="123"/>
  <c r="BH971" i="123"/>
  <c r="BI971" i="123"/>
  <c r="BJ971" i="123"/>
  <c r="BK971" i="123"/>
  <c r="BL971" i="123"/>
  <c r="BM971" i="123"/>
  <c r="BN971" i="123"/>
  <c r="BO971" i="123"/>
  <c r="G971" i="123"/>
  <c r="H957" i="123"/>
  <c r="I957" i="123"/>
  <c r="J957" i="123"/>
  <c r="K957" i="123"/>
  <c r="L957" i="123"/>
  <c r="M957" i="123"/>
  <c r="N957" i="123"/>
  <c r="O957" i="123"/>
  <c r="P957" i="123"/>
  <c r="Q957" i="123"/>
  <c r="R957" i="123"/>
  <c r="AH957" i="123"/>
  <c r="AI957" i="123"/>
  <c r="AJ957" i="123"/>
  <c r="AK957" i="123"/>
  <c r="AL957" i="123"/>
  <c r="AM957" i="123"/>
  <c r="AN957" i="123"/>
  <c r="AO957" i="123"/>
  <c r="AP957" i="123"/>
  <c r="AQ957" i="123"/>
  <c r="AR957" i="123"/>
  <c r="AS957" i="123"/>
  <c r="AT957" i="123"/>
  <c r="AU957" i="123"/>
  <c r="AV957" i="123"/>
  <c r="AW957" i="123"/>
  <c r="AX957" i="123"/>
  <c r="AY957" i="123"/>
  <c r="AZ957" i="123"/>
  <c r="BA957" i="123"/>
  <c r="BB957" i="123"/>
  <c r="BC957" i="123"/>
  <c r="BD957" i="123"/>
  <c r="BE957" i="123"/>
  <c r="BF957" i="123"/>
  <c r="BG957" i="123"/>
  <c r="BH957" i="123"/>
  <c r="BI957" i="123"/>
  <c r="BJ957" i="123"/>
  <c r="BK957" i="123"/>
  <c r="BL957" i="123"/>
  <c r="BM957" i="123"/>
  <c r="BN957" i="123"/>
  <c r="BO957" i="123"/>
  <c r="G957" i="123"/>
  <c r="H953" i="123"/>
  <c r="I953" i="123"/>
  <c r="J953" i="123"/>
  <c r="K953" i="123"/>
  <c r="L953" i="123"/>
  <c r="M953" i="123"/>
  <c r="N953" i="123"/>
  <c r="O953" i="123"/>
  <c r="P953" i="123"/>
  <c r="Q953" i="123"/>
  <c r="R953" i="123"/>
  <c r="AH953" i="123"/>
  <c r="AI953" i="123"/>
  <c r="AJ953" i="123"/>
  <c r="AK953" i="123"/>
  <c r="AL953" i="123"/>
  <c r="AM953" i="123"/>
  <c r="AN953" i="123"/>
  <c r="AO953" i="123"/>
  <c r="AP953" i="123"/>
  <c r="AQ953" i="123"/>
  <c r="AR953" i="123"/>
  <c r="AS953" i="123"/>
  <c r="AT953" i="123"/>
  <c r="AU953" i="123"/>
  <c r="AV953" i="123"/>
  <c r="AW953" i="123"/>
  <c r="AX953" i="123"/>
  <c r="AY953" i="123"/>
  <c r="AZ953" i="123"/>
  <c r="BA953" i="123"/>
  <c r="BB953" i="123"/>
  <c r="BC953" i="123"/>
  <c r="BD953" i="123"/>
  <c r="BE953" i="123"/>
  <c r="BF953" i="123"/>
  <c r="BG953" i="123"/>
  <c r="BH953" i="123"/>
  <c r="BI953" i="123"/>
  <c r="BJ953" i="123"/>
  <c r="BK953" i="123"/>
  <c r="BL953" i="123"/>
  <c r="BM953" i="123"/>
  <c r="BN953" i="123"/>
  <c r="BO953" i="123"/>
  <c r="H933" i="123"/>
  <c r="I933" i="123"/>
  <c r="J933" i="123"/>
  <c r="K933" i="123"/>
  <c r="L933" i="123"/>
  <c r="M933" i="123"/>
  <c r="N933" i="123"/>
  <c r="O933" i="123"/>
  <c r="P933" i="123"/>
  <c r="Q933" i="123"/>
  <c r="R933" i="123"/>
  <c r="AH933" i="123"/>
  <c r="AI933" i="123"/>
  <c r="AJ933" i="123"/>
  <c r="AK933" i="123"/>
  <c r="AL933" i="123"/>
  <c r="AM933" i="123"/>
  <c r="AN933" i="123"/>
  <c r="AO933" i="123"/>
  <c r="AP933" i="123"/>
  <c r="AQ933" i="123"/>
  <c r="AR933" i="123"/>
  <c r="AS933" i="123"/>
  <c r="AT933" i="123"/>
  <c r="AU933" i="123"/>
  <c r="AV933" i="123"/>
  <c r="AW933" i="123"/>
  <c r="AX933" i="123"/>
  <c r="AY933" i="123"/>
  <c r="AZ933" i="123"/>
  <c r="BA933" i="123"/>
  <c r="BB933" i="123"/>
  <c r="BC933" i="123"/>
  <c r="BD933" i="123"/>
  <c r="BE933" i="123"/>
  <c r="BF933" i="123"/>
  <c r="BG933" i="123"/>
  <c r="BH933" i="123"/>
  <c r="BI933" i="123"/>
  <c r="BJ933" i="123"/>
  <c r="BK933" i="123"/>
  <c r="BL933" i="123"/>
  <c r="BM933" i="123"/>
  <c r="BN933" i="123"/>
  <c r="BO933" i="123"/>
  <c r="H918" i="123"/>
  <c r="I918" i="123"/>
  <c r="J918" i="123"/>
  <c r="K918" i="123"/>
  <c r="L918" i="123"/>
  <c r="M918" i="123"/>
  <c r="N918" i="123"/>
  <c r="O918" i="123"/>
  <c r="P918" i="123"/>
  <c r="Q918" i="123"/>
  <c r="R918" i="123"/>
  <c r="AH918" i="123"/>
  <c r="AI918" i="123"/>
  <c r="AJ918" i="123"/>
  <c r="AK918" i="123"/>
  <c r="AL918" i="123"/>
  <c r="AM918" i="123"/>
  <c r="AN918" i="123"/>
  <c r="AO918" i="123"/>
  <c r="AP918" i="123"/>
  <c r="AQ918" i="123"/>
  <c r="AR918" i="123"/>
  <c r="AS918" i="123"/>
  <c r="AT918" i="123"/>
  <c r="AU918" i="123"/>
  <c r="AV918" i="123"/>
  <c r="AW918" i="123"/>
  <c r="AX918" i="123"/>
  <c r="AY918" i="123"/>
  <c r="AZ918" i="123"/>
  <c r="BA918" i="123"/>
  <c r="BB918" i="123"/>
  <c r="BC918" i="123"/>
  <c r="BD918" i="123"/>
  <c r="BE918" i="123"/>
  <c r="BF918" i="123"/>
  <c r="BG918" i="123"/>
  <c r="BH918" i="123"/>
  <c r="BI918" i="123"/>
  <c r="BJ918" i="123"/>
  <c r="BK918" i="123"/>
  <c r="BL918" i="123"/>
  <c r="BM918" i="123"/>
  <c r="BN918" i="123"/>
  <c r="BO918" i="123"/>
  <c r="G918" i="123"/>
  <c r="H903" i="123"/>
  <c r="I903" i="123"/>
  <c r="J903" i="123"/>
  <c r="K903" i="123"/>
  <c r="L903" i="123"/>
  <c r="M903" i="123"/>
  <c r="N903" i="123"/>
  <c r="O903" i="123"/>
  <c r="P903" i="123"/>
  <c r="Q903" i="123"/>
  <c r="R903" i="123"/>
  <c r="AH903" i="123"/>
  <c r="AI903" i="123"/>
  <c r="AJ903" i="123"/>
  <c r="AK903" i="123"/>
  <c r="AL903" i="123"/>
  <c r="AM903" i="123"/>
  <c r="AN903" i="123"/>
  <c r="AO903" i="123"/>
  <c r="AP903" i="123"/>
  <c r="AQ903" i="123"/>
  <c r="AR903" i="123"/>
  <c r="AS903" i="123"/>
  <c r="AT903" i="123"/>
  <c r="AU903" i="123"/>
  <c r="AV903" i="123"/>
  <c r="AW903" i="123"/>
  <c r="AX903" i="123"/>
  <c r="AY903" i="123"/>
  <c r="AZ903" i="123"/>
  <c r="BA903" i="123"/>
  <c r="BB903" i="123"/>
  <c r="BC903" i="123"/>
  <c r="BD903" i="123"/>
  <c r="BE903" i="123"/>
  <c r="BF903" i="123"/>
  <c r="BG903" i="123"/>
  <c r="BH903" i="123"/>
  <c r="BI903" i="123"/>
  <c r="BJ903" i="123"/>
  <c r="BK903" i="123"/>
  <c r="BL903" i="123"/>
  <c r="BM903" i="123"/>
  <c r="BN903" i="123"/>
  <c r="BO903" i="123"/>
  <c r="G903" i="123"/>
  <c r="H899" i="123"/>
  <c r="I899" i="123"/>
  <c r="J899" i="123"/>
  <c r="K899" i="123"/>
  <c r="L899" i="123"/>
  <c r="M899" i="123"/>
  <c r="N899" i="123"/>
  <c r="O899" i="123"/>
  <c r="P899" i="123"/>
  <c r="Q899" i="123"/>
  <c r="R899" i="123"/>
  <c r="AH899" i="123"/>
  <c r="AI899" i="123"/>
  <c r="AJ899" i="123"/>
  <c r="AK899" i="123"/>
  <c r="AL899" i="123"/>
  <c r="AM899" i="123"/>
  <c r="AN899" i="123"/>
  <c r="AO899" i="123"/>
  <c r="AP899" i="123"/>
  <c r="AQ899" i="123"/>
  <c r="AR899" i="123"/>
  <c r="AS899" i="123"/>
  <c r="AT899" i="123"/>
  <c r="AU899" i="123"/>
  <c r="AV899" i="123"/>
  <c r="AW899" i="123"/>
  <c r="AX899" i="123"/>
  <c r="AY899" i="123"/>
  <c r="AZ899" i="123"/>
  <c r="BA899" i="123"/>
  <c r="BB899" i="123"/>
  <c r="BC899" i="123"/>
  <c r="BD899" i="123"/>
  <c r="BE899" i="123"/>
  <c r="BF899" i="123"/>
  <c r="BG899" i="123"/>
  <c r="BH899" i="123"/>
  <c r="BI899" i="123"/>
  <c r="BJ899" i="123"/>
  <c r="BK899" i="123"/>
  <c r="BL899" i="123"/>
  <c r="BM899" i="123"/>
  <c r="BN899" i="123"/>
  <c r="BO899" i="123"/>
  <c r="G899" i="123"/>
  <c r="G953" i="123"/>
  <c r="G933" i="123"/>
  <c r="BO910" i="123"/>
  <c r="BN910" i="123"/>
  <c r="BM910" i="123"/>
  <c r="BL910" i="123"/>
  <c r="BK910" i="123"/>
  <c r="BJ910" i="123"/>
  <c r="BI910" i="123"/>
  <c r="BH910" i="123"/>
  <c r="BG910" i="123"/>
  <c r="BF910" i="123"/>
  <c r="BE910" i="123"/>
  <c r="BD910" i="123"/>
  <c r="BC910" i="123"/>
  <c r="BB910" i="123"/>
  <c r="BA910" i="123"/>
  <c r="AZ910" i="123"/>
  <c r="AY910" i="123"/>
  <c r="AX910" i="123"/>
  <c r="AW910" i="123"/>
  <c r="AV910" i="123"/>
  <c r="AU910" i="123"/>
  <c r="AT910" i="123"/>
  <c r="AS910" i="123"/>
  <c r="AR910" i="123"/>
  <c r="AQ910" i="123"/>
  <c r="AP910" i="123"/>
  <c r="AO910" i="123"/>
  <c r="AN910" i="123"/>
  <c r="AM910" i="123"/>
  <c r="AL910" i="123"/>
  <c r="AK910" i="123"/>
  <c r="AJ910" i="123"/>
  <c r="AI910" i="123"/>
  <c r="AH910" i="123"/>
  <c r="R910" i="123"/>
  <c r="Q910" i="123"/>
  <c r="P910" i="123"/>
  <c r="O910" i="123"/>
  <c r="N910" i="123"/>
  <c r="M910" i="123"/>
  <c r="L910" i="123"/>
  <c r="K910" i="123"/>
  <c r="J910" i="123"/>
  <c r="I910" i="123"/>
  <c r="H910" i="123"/>
  <c r="G910" i="123"/>
  <c r="BO888" i="123"/>
  <c r="BN888" i="123"/>
  <c r="BM888" i="123"/>
  <c r="BL888" i="123"/>
  <c r="BK888" i="123"/>
  <c r="BJ888" i="123"/>
  <c r="BI888" i="123"/>
  <c r="BH888" i="123"/>
  <c r="BG888" i="123"/>
  <c r="BF888" i="123"/>
  <c r="BE888" i="123"/>
  <c r="BD888" i="123"/>
  <c r="BC888" i="123"/>
  <c r="BB888" i="123"/>
  <c r="BA888" i="123"/>
  <c r="AZ888" i="123"/>
  <c r="AY888" i="123"/>
  <c r="AX888" i="123"/>
  <c r="AW888" i="123"/>
  <c r="AV888" i="123"/>
  <c r="AU888" i="123"/>
  <c r="AT888" i="123"/>
  <c r="AS888" i="123"/>
  <c r="AR888" i="123"/>
  <c r="AQ888" i="123"/>
  <c r="AP888" i="123"/>
  <c r="AO888" i="123"/>
  <c r="AN888" i="123"/>
  <c r="AM888" i="123"/>
  <c r="AL888" i="123"/>
  <c r="AK888" i="123"/>
  <c r="AJ888" i="123"/>
  <c r="AI888" i="123"/>
  <c r="AH888" i="123"/>
  <c r="R888" i="123"/>
  <c r="Q888" i="123"/>
  <c r="P888" i="123"/>
  <c r="O888" i="123"/>
  <c r="N888" i="123"/>
  <c r="M888" i="123"/>
  <c r="L888" i="123"/>
  <c r="K888" i="123"/>
  <c r="J888" i="123"/>
  <c r="I888" i="123"/>
  <c r="H888" i="123"/>
  <c r="G888" i="123"/>
  <c r="BO860" i="123"/>
  <c r="H860" i="123"/>
  <c r="I860" i="123"/>
  <c r="J860" i="123"/>
  <c r="K860" i="123"/>
  <c r="L860" i="123"/>
  <c r="M860" i="123"/>
  <c r="N860" i="123"/>
  <c r="O860" i="123"/>
  <c r="P860" i="123"/>
  <c r="Q860" i="123"/>
  <c r="R860" i="123"/>
  <c r="AH860" i="123"/>
  <c r="AI860" i="123"/>
  <c r="AJ860" i="123"/>
  <c r="AK860" i="123"/>
  <c r="AL860" i="123"/>
  <c r="AM860" i="123"/>
  <c r="AN860" i="123"/>
  <c r="AO860" i="123"/>
  <c r="AP860" i="123"/>
  <c r="AQ860" i="123"/>
  <c r="AR860" i="123"/>
  <c r="AS860" i="123"/>
  <c r="AT860" i="123"/>
  <c r="AU860" i="123"/>
  <c r="AV860" i="123"/>
  <c r="AW860" i="123"/>
  <c r="AX860" i="123"/>
  <c r="AY860" i="123"/>
  <c r="AZ860" i="123"/>
  <c r="BA860" i="123"/>
  <c r="BB860" i="123"/>
  <c r="BC860" i="123"/>
  <c r="BD860" i="123"/>
  <c r="BE860" i="123"/>
  <c r="BF860" i="123"/>
  <c r="BG860" i="123"/>
  <c r="BH860" i="123"/>
  <c r="BI860" i="123"/>
  <c r="BJ860" i="123"/>
  <c r="BK860" i="123"/>
  <c r="BL860" i="123"/>
  <c r="BM860" i="123"/>
  <c r="BN860" i="123"/>
  <c r="G860" i="123"/>
  <c r="G759" i="123"/>
  <c r="G729" i="123"/>
  <c r="G736" i="123"/>
  <c r="H736" i="123"/>
  <c r="I736" i="123"/>
  <c r="J736" i="123"/>
  <c r="K736" i="123"/>
  <c r="L736" i="123"/>
  <c r="M736" i="123"/>
  <c r="N736" i="123"/>
  <c r="O736" i="123"/>
  <c r="P736" i="123"/>
  <c r="Q736" i="123"/>
  <c r="R736" i="123"/>
  <c r="AH736" i="123"/>
  <c r="AI736" i="123"/>
  <c r="AJ736" i="123"/>
  <c r="AK736" i="123"/>
  <c r="AL736" i="123"/>
  <c r="AL873" i="123" s="1"/>
  <c r="AM736" i="123"/>
  <c r="AN736" i="123"/>
  <c r="AO736" i="123"/>
  <c r="AP736" i="123"/>
  <c r="AQ736" i="123"/>
  <c r="AR736" i="123"/>
  <c r="AS736" i="123"/>
  <c r="AT736" i="123"/>
  <c r="AU736" i="123"/>
  <c r="AV736" i="123"/>
  <c r="AW736" i="123"/>
  <c r="AX736" i="123"/>
  <c r="AY736" i="123"/>
  <c r="AZ736" i="123"/>
  <c r="BA736" i="123"/>
  <c r="BB736" i="123"/>
  <c r="BC736" i="123"/>
  <c r="BD736" i="123"/>
  <c r="BE736" i="123"/>
  <c r="BF736" i="123"/>
  <c r="BG736" i="123"/>
  <c r="BH736" i="123"/>
  <c r="BI736" i="123"/>
  <c r="BJ736" i="123"/>
  <c r="BK736" i="123"/>
  <c r="BL736" i="123"/>
  <c r="BM736" i="123"/>
  <c r="BN736" i="123"/>
  <c r="BO736" i="123"/>
  <c r="H725" i="123"/>
  <c r="I725" i="123"/>
  <c r="J725" i="123"/>
  <c r="K725" i="123"/>
  <c r="L725" i="123"/>
  <c r="M725" i="123"/>
  <c r="N725" i="123"/>
  <c r="O725" i="123"/>
  <c r="P725" i="123"/>
  <c r="Q725" i="123"/>
  <c r="R725" i="123"/>
  <c r="AH725" i="123"/>
  <c r="AI725" i="123"/>
  <c r="AJ725" i="123"/>
  <c r="AK725" i="123"/>
  <c r="AL725" i="123"/>
  <c r="AM725" i="123"/>
  <c r="AN725" i="123"/>
  <c r="AO725" i="123"/>
  <c r="AO873" i="123" s="1"/>
  <c r="AP725" i="123"/>
  <c r="AQ725" i="123"/>
  <c r="AR725" i="123"/>
  <c r="AS725" i="123"/>
  <c r="AT725" i="123"/>
  <c r="AU725" i="123"/>
  <c r="AV725" i="123"/>
  <c r="AW725" i="123"/>
  <c r="AX725" i="123"/>
  <c r="AY725" i="123"/>
  <c r="AZ725" i="123"/>
  <c r="BA725" i="123"/>
  <c r="BB725" i="123"/>
  <c r="BC725" i="123"/>
  <c r="BD725" i="123"/>
  <c r="BE725" i="123"/>
  <c r="BE873" i="123" s="1"/>
  <c r="BF725" i="123"/>
  <c r="BG725" i="123"/>
  <c r="BH725" i="123"/>
  <c r="BI725" i="123"/>
  <c r="BJ725" i="123"/>
  <c r="BK725" i="123"/>
  <c r="BL725" i="123"/>
  <c r="BM725" i="123"/>
  <c r="BN725" i="123"/>
  <c r="BO725" i="123"/>
  <c r="H729" i="123"/>
  <c r="I729" i="123"/>
  <c r="J729" i="123"/>
  <c r="K729" i="123"/>
  <c r="L729" i="123"/>
  <c r="M729" i="123"/>
  <c r="N729" i="123"/>
  <c r="O729" i="123"/>
  <c r="P729" i="123"/>
  <c r="Q729" i="123"/>
  <c r="R729" i="123"/>
  <c r="AH729" i="123"/>
  <c r="AI729" i="123"/>
  <c r="AJ729" i="123"/>
  <c r="AK729" i="123"/>
  <c r="AL729" i="123"/>
  <c r="AM729" i="123"/>
  <c r="AN729" i="123"/>
  <c r="AO729" i="123"/>
  <c r="AP729" i="123"/>
  <c r="AQ729" i="123"/>
  <c r="AR729" i="123"/>
  <c r="AS729" i="123"/>
  <c r="AT729" i="123"/>
  <c r="AU729" i="123"/>
  <c r="AV729" i="123"/>
  <c r="AW729" i="123"/>
  <c r="AX729" i="123"/>
  <c r="AY729" i="123"/>
  <c r="AZ729" i="123"/>
  <c r="BA729" i="123"/>
  <c r="BB729" i="123"/>
  <c r="BC729" i="123"/>
  <c r="BD729" i="123"/>
  <c r="BE729" i="123"/>
  <c r="BF729" i="123"/>
  <c r="BG729" i="123"/>
  <c r="BH729" i="123"/>
  <c r="BI729" i="123"/>
  <c r="BJ729" i="123"/>
  <c r="BK729" i="123"/>
  <c r="BL729" i="123"/>
  <c r="BM729" i="123"/>
  <c r="BN729" i="123"/>
  <c r="BO729" i="123"/>
  <c r="H744" i="123"/>
  <c r="I744" i="123"/>
  <c r="J744" i="123"/>
  <c r="K744" i="123"/>
  <c r="L744" i="123"/>
  <c r="M744" i="123"/>
  <c r="N744" i="123"/>
  <c r="O744" i="123"/>
  <c r="P744" i="123"/>
  <c r="Q744" i="123"/>
  <c r="R744" i="123"/>
  <c r="AH744" i="123"/>
  <c r="AI744" i="123"/>
  <c r="AJ744" i="123"/>
  <c r="AK744" i="123"/>
  <c r="AL744" i="123"/>
  <c r="AM744" i="123"/>
  <c r="AN744" i="123"/>
  <c r="AO744" i="123"/>
  <c r="AP744" i="123"/>
  <c r="AQ744" i="123"/>
  <c r="AR744" i="123"/>
  <c r="AS744" i="123"/>
  <c r="AT744" i="123"/>
  <c r="AU744" i="123"/>
  <c r="AV744" i="123"/>
  <c r="AW744" i="123"/>
  <c r="AX744" i="123"/>
  <c r="AY744" i="123"/>
  <c r="AZ744" i="123"/>
  <c r="BA744" i="123"/>
  <c r="BB744" i="123"/>
  <c r="BC744" i="123"/>
  <c r="BD744" i="123"/>
  <c r="BE744" i="123"/>
  <c r="BF744" i="123"/>
  <c r="BG744" i="123"/>
  <c r="BH744" i="123"/>
  <c r="BI744" i="123"/>
  <c r="BJ744" i="123"/>
  <c r="BK744" i="123"/>
  <c r="BL744" i="123"/>
  <c r="BM744" i="123"/>
  <c r="BN744" i="123"/>
  <c r="BO744" i="123"/>
  <c r="G744" i="123"/>
  <c r="H759" i="123"/>
  <c r="I759" i="123"/>
  <c r="J759" i="123"/>
  <c r="K759" i="123"/>
  <c r="L759" i="123"/>
  <c r="M759" i="123"/>
  <c r="N759" i="123"/>
  <c r="O759" i="123"/>
  <c r="P759" i="123"/>
  <c r="Q759" i="123"/>
  <c r="R759" i="123"/>
  <c r="AH759" i="123"/>
  <c r="AI759" i="123"/>
  <c r="AJ759" i="123"/>
  <c r="AK759" i="123"/>
  <c r="AL759" i="123"/>
  <c r="AM759" i="123"/>
  <c r="AN759" i="123"/>
  <c r="AO759" i="123"/>
  <c r="AP759" i="123"/>
  <c r="AQ759" i="123"/>
  <c r="AR759" i="123"/>
  <c r="AS759" i="123"/>
  <c r="AT759" i="123"/>
  <c r="AU759" i="123"/>
  <c r="AV759" i="123"/>
  <c r="AW759" i="123"/>
  <c r="AX759" i="123"/>
  <c r="AY759" i="123"/>
  <c r="AZ759" i="123"/>
  <c r="BA759" i="123"/>
  <c r="BB759" i="123"/>
  <c r="BC759" i="123"/>
  <c r="BD759" i="123"/>
  <c r="BE759" i="123"/>
  <c r="BF759" i="123"/>
  <c r="BG759" i="123"/>
  <c r="BH759" i="123"/>
  <c r="BI759" i="123"/>
  <c r="BJ759" i="123"/>
  <c r="BK759" i="123"/>
  <c r="BL759" i="123"/>
  <c r="BM759" i="123"/>
  <c r="BN759" i="123"/>
  <c r="BO759" i="123"/>
  <c r="H779" i="123"/>
  <c r="I779" i="123"/>
  <c r="J779" i="123"/>
  <c r="K779" i="123"/>
  <c r="L779" i="123"/>
  <c r="M779" i="123"/>
  <c r="N779" i="123"/>
  <c r="O779" i="123"/>
  <c r="P779" i="123"/>
  <c r="Q779" i="123"/>
  <c r="R779" i="123"/>
  <c r="AH779" i="123"/>
  <c r="AI779" i="123"/>
  <c r="AJ779" i="123"/>
  <c r="AK779" i="123"/>
  <c r="AL779" i="123"/>
  <c r="AM779" i="123"/>
  <c r="AN779" i="123"/>
  <c r="AO779" i="123"/>
  <c r="AP779" i="123"/>
  <c r="AQ779" i="123"/>
  <c r="AR779" i="123"/>
  <c r="AS779" i="123"/>
  <c r="AT779" i="123"/>
  <c r="AU779" i="123"/>
  <c r="AV779" i="123"/>
  <c r="AW779" i="123"/>
  <c r="AX779" i="123"/>
  <c r="AY779" i="123"/>
  <c r="AZ779" i="123"/>
  <c r="BA779" i="123"/>
  <c r="BB779" i="123"/>
  <c r="BC779" i="123"/>
  <c r="BD779" i="123"/>
  <c r="BE779" i="123"/>
  <c r="BF779" i="123"/>
  <c r="BG779" i="123"/>
  <c r="BH779" i="123"/>
  <c r="BI779" i="123"/>
  <c r="BJ779" i="123"/>
  <c r="BK779" i="123"/>
  <c r="BL779" i="123"/>
  <c r="BM779" i="123"/>
  <c r="BN779" i="123"/>
  <c r="BO779" i="123"/>
  <c r="H783" i="123"/>
  <c r="I783" i="123"/>
  <c r="J783" i="123"/>
  <c r="K783" i="123"/>
  <c r="L783" i="123"/>
  <c r="M783" i="123"/>
  <c r="N783" i="123"/>
  <c r="O783" i="123"/>
  <c r="P783" i="123"/>
  <c r="Q783" i="123"/>
  <c r="R783" i="123"/>
  <c r="AH783" i="123"/>
  <c r="AI783" i="123"/>
  <c r="AJ783" i="123"/>
  <c r="AK783" i="123"/>
  <c r="AL783" i="123"/>
  <c r="AM783" i="123"/>
  <c r="AN783" i="123"/>
  <c r="AO783" i="123"/>
  <c r="AP783" i="123"/>
  <c r="AQ783" i="123"/>
  <c r="AR783" i="123"/>
  <c r="AS783" i="123"/>
  <c r="AT783" i="123"/>
  <c r="AU783" i="123"/>
  <c r="AV783" i="123"/>
  <c r="AW783" i="123"/>
  <c r="AX783" i="123"/>
  <c r="AY783" i="123"/>
  <c r="AZ783" i="123"/>
  <c r="BA783" i="123"/>
  <c r="BB783" i="123"/>
  <c r="BC783" i="123"/>
  <c r="BD783" i="123"/>
  <c r="BE783" i="123"/>
  <c r="BF783" i="123"/>
  <c r="BG783" i="123"/>
  <c r="BH783" i="123"/>
  <c r="BI783" i="123"/>
  <c r="BJ783" i="123"/>
  <c r="BK783" i="123"/>
  <c r="BL783" i="123"/>
  <c r="BM783" i="123"/>
  <c r="BN783" i="123"/>
  <c r="BO783" i="123"/>
  <c r="G779" i="123"/>
  <c r="H797" i="123"/>
  <c r="I797" i="123"/>
  <c r="J797" i="123"/>
  <c r="K797" i="123"/>
  <c r="L797" i="123"/>
  <c r="M797" i="123"/>
  <c r="N797" i="123"/>
  <c r="O797" i="123"/>
  <c r="P797" i="123"/>
  <c r="Q797" i="123"/>
  <c r="R797" i="123"/>
  <c r="AH797" i="123"/>
  <c r="AI797" i="123"/>
  <c r="AJ797" i="123"/>
  <c r="AK797" i="123"/>
  <c r="AL797" i="123"/>
  <c r="AM797" i="123"/>
  <c r="AN797" i="123"/>
  <c r="AO797" i="123"/>
  <c r="AP797" i="123"/>
  <c r="AQ797" i="123"/>
  <c r="AR797" i="123"/>
  <c r="AS797" i="123"/>
  <c r="AT797" i="123"/>
  <c r="AU797" i="123"/>
  <c r="AV797" i="123"/>
  <c r="AW797" i="123"/>
  <c r="AX797" i="123"/>
  <c r="AY797" i="123"/>
  <c r="AZ797" i="123"/>
  <c r="BA797" i="123"/>
  <c r="BB797" i="123"/>
  <c r="BC797" i="123"/>
  <c r="BD797" i="123"/>
  <c r="BE797" i="123"/>
  <c r="BF797" i="123"/>
  <c r="BG797" i="123"/>
  <c r="BH797" i="123"/>
  <c r="BI797" i="123"/>
  <c r="BJ797" i="123"/>
  <c r="BK797" i="123"/>
  <c r="BL797" i="123"/>
  <c r="BM797" i="123"/>
  <c r="BN797" i="123"/>
  <c r="BO797" i="123"/>
  <c r="G797" i="123"/>
  <c r="H805" i="123"/>
  <c r="I805" i="123"/>
  <c r="J805" i="123"/>
  <c r="K805" i="123"/>
  <c r="K873" i="123" s="1"/>
  <c r="L805" i="123"/>
  <c r="M805" i="123"/>
  <c r="N805" i="123"/>
  <c r="O805" i="123"/>
  <c r="P805" i="123"/>
  <c r="Q805" i="123"/>
  <c r="R805" i="123"/>
  <c r="AH805" i="123"/>
  <c r="AI805" i="123"/>
  <c r="AJ805" i="123"/>
  <c r="AK805" i="123"/>
  <c r="AL805" i="123"/>
  <c r="AM805" i="123"/>
  <c r="AN805" i="123"/>
  <c r="AO805" i="123"/>
  <c r="AP805" i="123"/>
  <c r="AQ805" i="123"/>
  <c r="AR805" i="123"/>
  <c r="AS805" i="123"/>
  <c r="AT805" i="123"/>
  <c r="AU805" i="123"/>
  <c r="AV805" i="123"/>
  <c r="AW805" i="123"/>
  <c r="AX805" i="123"/>
  <c r="AY805" i="123"/>
  <c r="AZ805" i="123"/>
  <c r="BA805" i="123"/>
  <c r="BB805" i="123"/>
  <c r="BC805" i="123"/>
  <c r="BD805" i="123"/>
  <c r="BE805" i="123"/>
  <c r="BF805" i="123"/>
  <c r="BG805" i="123"/>
  <c r="BH805" i="123"/>
  <c r="BI805" i="123"/>
  <c r="BJ805" i="123"/>
  <c r="BK805" i="123"/>
  <c r="BL805" i="123"/>
  <c r="BM805" i="123"/>
  <c r="BN805" i="123"/>
  <c r="BO805" i="123"/>
  <c r="G805" i="123"/>
  <c r="H811" i="123"/>
  <c r="I811" i="123"/>
  <c r="J811" i="123"/>
  <c r="K811" i="123"/>
  <c r="L811" i="123"/>
  <c r="M811" i="123"/>
  <c r="N811" i="123"/>
  <c r="O811" i="123"/>
  <c r="P811" i="123"/>
  <c r="Q811" i="123"/>
  <c r="R811" i="123"/>
  <c r="AH811" i="123"/>
  <c r="AI811" i="123"/>
  <c r="AJ811" i="123"/>
  <c r="AK811" i="123"/>
  <c r="AL811" i="123"/>
  <c r="AM811" i="123"/>
  <c r="AN811" i="123"/>
  <c r="AO811" i="123"/>
  <c r="AP811" i="123"/>
  <c r="AQ811" i="123"/>
  <c r="AR811" i="123"/>
  <c r="AS811" i="123"/>
  <c r="AT811" i="123"/>
  <c r="AU811" i="123"/>
  <c r="AV811" i="123"/>
  <c r="AW811" i="123"/>
  <c r="AX811" i="123"/>
  <c r="AY811" i="123"/>
  <c r="AZ811" i="123"/>
  <c r="BA811" i="123"/>
  <c r="BB811" i="123"/>
  <c r="BC811" i="123"/>
  <c r="BD811" i="123"/>
  <c r="BE811" i="123"/>
  <c r="BF811" i="123"/>
  <c r="BG811" i="123"/>
  <c r="BH811" i="123"/>
  <c r="BI811" i="123"/>
  <c r="BJ811" i="123"/>
  <c r="BK811" i="123"/>
  <c r="BL811" i="123"/>
  <c r="BM811" i="123"/>
  <c r="BN811" i="123"/>
  <c r="BO811" i="123"/>
  <c r="G811" i="123"/>
  <c r="H819" i="123"/>
  <c r="I819" i="123"/>
  <c r="J819" i="123"/>
  <c r="K819" i="123"/>
  <c r="L819" i="123"/>
  <c r="M819" i="123"/>
  <c r="N819" i="123"/>
  <c r="O819" i="123"/>
  <c r="P819" i="123"/>
  <c r="Q819" i="123"/>
  <c r="R819" i="123"/>
  <c r="AH819" i="123"/>
  <c r="AI819" i="123"/>
  <c r="AJ819" i="123"/>
  <c r="AK819" i="123"/>
  <c r="AL819" i="123"/>
  <c r="AM819" i="123"/>
  <c r="AN819" i="123"/>
  <c r="AO819" i="123"/>
  <c r="AP819" i="123"/>
  <c r="AQ819" i="123"/>
  <c r="AR819" i="123"/>
  <c r="AS819" i="123"/>
  <c r="AT819" i="123"/>
  <c r="AU819" i="123"/>
  <c r="AV819" i="123"/>
  <c r="AW819" i="123"/>
  <c r="AX819" i="123"/>
  <c r="AY819" i="123"/>
  <c r="AZ819" i="123"/>
  <c r="BA819" i="123"/>
  <c r="BB819" i="123"/>
  <c r="BC819" i="123"/>
  <c r="BD819" i="123"/>
  <c r="BE819" i="123"/>
  <c r="BF819" i="123"/>
  <c r="BG819" i="123"/>
  <c r="BH819" i="123"/>
  <c r="BI819" i="123"/>
  <c r="BJ819" i="123"/>
  <c r="BK819" i="123"/>
  <c r="BL819" i="123"/>
  <c r="BM819" i="123"/>
  <c r="BN819" i="123"/>
  <c r="BO819" i="123"/>
  <c r="G819" i="123"/>
  <c r="H831" i="123"/>
  <c r="I831" i="123"/>
  <c r="J831" i="123"/>
  <c r="K831" i="123"/>
  <c r="L831" i="123"/>
  <c r="M831" i="123"/>
  <c r="N831" i="123"/>
  <c r="O831" i="123"/>
  <c r="P831" i="123"/>
  <c r="Q831" i="123"/>
  <c r="R831" i="123"/>
  <c r="AH831" i="123"/>
  <c r="AI831" i="123"/>
  <c r="AJ831" i="123"/>
  <c r="AK831" i="123"/>
  <c r="AL831" i="123"/>
  <c r="AM831" i="123"/>
  <c r="AN831" i="123"/>
  <c r="AO831" i="123"/>
  <c r="AP831" i="123"/>
  <c r="AQ831" i="123"/>
  <c r="AR831" i="123"/>
  <c r="AS831" i="123"/>
  <c r="AT831" i="123"/>
  <c r="AU831" i="123"/>
  <c r="AV831" i="123"/>
  <c r="AW831" i="123"/>
  <c r="AX831" i="123"/>
  <c r="AY831" i="123"/>
  <c r="AZ831" i="123"/>
  <c r="BA831" i="123"/>
  <c r="BB831" i="123"/>
  <c r="BC831" i="123"/>
  <c r="BD831" i="123"/>
  <c r="BE831" i="123"/>
  <c r="BF831" i="123"/>
  <c r="BG831" i="123"/>
  <c r="BH831" i="123"/>
  <c r="BI831" i="123"/>
  <c r="BJ831" i="123"/>
  <c r="BK831" i="123"/>
  <c r="BL831" i="123"/>
  <c r="BM831" i="123"/>
  <c r="BN831" i="123"/>
  <c r="BO831" i="123"/>
  <c r="G831" i="123"/>
  <c r="H841" i="123"/>
  <c r="I841" i="123"/>
  <c r="J841" i="123"/>
  <c r="K841" i="123"/>
  <c r="K853" i="123" s="1"/>
  <c r="L841" i="123"/>
  <c r="M841" i="123"/>
  <c r="N841" i="123"/>
  <c r="O841" i="123"/>
  <c r="O853" i="123" s="1"/>
  <c r="P841" i="123"/>
  <c r="P853" i="123" s="1"/>
  <c r="Q841" i="123"/>
  <c r="R841" i="123"/>
  <c r="AH841" i="123"/>
  <c r="AH853" i="123" s="1"/>
  <c r="AI841" i="123"/>
  <c r="AI853" i="123" s="1"/>
  <c r="AJ841" i="123"/>
  <c r="AK841" i="123"/>
  <c r="AL841" i="123"/>
  <c r="AM841" i="123"/>
  <c r="AN841" i="123"/>
  <c r="AO841" i="123"/>
  <c r="AP841" i="123"/>
  <c r="AP853" i="123" s="1"/>
  <c r="AQ841" i="123"/>
  <c r="AQ853" i="123" s="1"/>
  <c r="AR841" i="123"/>
  <c r="AS841" i="123"/>
  <c r="AT841" i="123"/>
  <c r="AT853" i="123" s="1"/>
  <c r="AU841" i="123"/>
  <c r="AU853" i="123" s="1"/>
  <c r="AV841" i="123"/>
  <c r="AW841" i="123"/>
  <c r="AX841" i="123"/>
  <c r="AY841" i="123"/>
  <c r="AY853" i="123" s="1"/>
  <c r="AZ841" i="123"/>
  <c r="BA841" i="123"/>
  <c r="BB841" i="123"/>
  <c r="BB853" i="123" s="1"/>
  <c r="BC841" i="123"/>
  <c r="BD841" i="123"/>
  <c r="BE841" i="123"/>
  <c r="BF841" i="123"/>
  <c r="BG841" i="123"/>
  <c r="BG853" i="123" s="1"/>
  <c r="BH841" i="123"/>
  <c r="BI841" i="123"/>
  <c r="BJ841" i="123"/>
  <c r="BJ853" i="123" s="1"/>
  <c r="BK841" i="123"/>
  <c r="BK853" i="123" s="1"/>
  <c r="BL841" i="123"/>
  <c r="BM841" i="123"/>
  <c r="BN841" i="123"/>
  <c r="BN853" i="123" s="1"/>
  <c r="BO841" i="123"/>
  <c r="BO853" i="123" s="1"/>
  <c r="G841" i="123"/>
  <c r="H851" i="123"/>
  <c r="I851" i="123"/>
  <c r="I853" i="123" s="1"/>
  <c r="J851" i="123"/>
  <c r="J853" i="123" s="1"/>
  <c r="K851" i="123"/>
  <c r="L851" i="123"/>
  <c r="M851" i="123"/>
  <c r="N851" i="123"/>
  <c r="N853" i="123" s="1"/>
  <c r="O851" i="123"/>
  <c r="P851" i="123"/>
  <c r="Q851" i="123"/>
  <c r="R851" i="123"/>
  <c r="R853" i="123" s="1"/>
  <c r="AH851" i="123"/>
  <c r="AI851" i="123"/>
  <c r="AJ851" i="123"/>
  <c r="AJ853" i="123" s="1"/>
  <c r="AK851" i="123"/>
  <c r="AK853" i="123" s="1"/>
  <c r="AL851" i="123"/>
  <c r="AM851" i="123"/>
  <c r="AN851" i="123"/>
  <c r="AN853" i="123" s="1"/>
  <c r="AO851" i="123"/>
  <c r="AP851" i="123"/>
  <c r="AQ851" i="123"/>
  <c r="AR851" i="123"/>
  <c r="AS851" i="123"/>
  <c r="AS853" i="123" s="1"/>
  <c r="AT851" i="123"/>
  <c r="AU851" i="123"/>
  <c r="AV851" i="123"/>
  <c r="AV853" i="123" s="1"/>
  <c r="AW851" i="123"/>
  <c r="AX851" i="123"/>
  <c r="AY851" i="123"/>
  <c r="AZ851" i="123"/>
  <c r="AZ853" i="123" s="1"/>
  <c r="BA851" i="123"/>
  <c r="BA853" i="123" s="1"/>
  <c r="BB851" i="123"/>
  <c r="BC851" i="123"/>
  <c r="BD851" i="123"/>
  <c r="BD853" i="123" s="1"/>
  <c r="BE851" i="123"/>
  <c r="BF851" i="123"/>
  <c r="BG851" i="123"/>
  <c r="BH851" i="123"/>
  <c r="BI851" i="123"/>
  <c r="BI853" i="123" s="1"/>
  <c r="BJ851" i="123"/>
  <c r="BK851" i="123"/>
  <c r="BL851" i="123"/>
  <c r="BL853" i="123" s="1"/>
  <c r="BM851" i="123"/>
  <c r="BN851" i="123"/>
  <c r="BO851" i="123"/>
  <c r="G851" i="123"/>
  <c r="G853" i="123" s="1"/>
  <c r="H871" i="123"/>
  <c r="I871" i="123"/>
  <c r="J871" i="123"/>
  <c r="K871" i="123"/>
  <c r="L871" i="123"/>
  <c r="M871" i="123"/>
  <c r="N871" i="123"/>
  <c r="O871" i="123"/>
  <c r="P871" i="123"/>
  <c r="Q871" i="123"/>
  <c r="R871" i="123"/>
  <c r="AH871" i="123"/>
  <c r="AI871" i="123"/>
  <c r="AJ871" i="123"/>
  <c r="AK871" i="123"/>
  <c r="AL871" i="123"/>
  <c r="AM871" i="123"/>
  <c r="AN871" i="123"/>
  <c r="AO871" i="123"/>
  <c r="AP871" i="123"/>
  <c r="AQ871" i="123"/>
  <c r="AR871" i="123"/>
  <c r="AS871" i="123"/>
  <c r="AT871" i="123"/>
  <c r="AU871" i="123"/>
  <c r="AV871" i="123"/>
  <c r="AW871" i="123"/>
  <c r="AX871" i="123"/>
  <c r="AY871" i="123"/>
  <c r="AZ871" i="123"/>
  <c r="BA871" i="123"/>
  <c r="BB871" i="123"/>
  <c r="BC871" i="123"/>
  <c r="BD871" i="123"/>
  <c r="BE871" i="123"/>
  <c r="BF871" i="123"/>
  <c r="BG871" i="123"/>
  <c r="BH871" i="123"/>
  <c r="BI871" i="123"/>
  <c r="BJ871" i="123"/>
  <c r="BK871" i="123"/>
  <c r="BL871" i="123"/>
  <c r="BM871" i="123"/>
  <c r="BN871" i="123"/>
  <c r="BO871" i="123"/>
  <c r="G871" i="123"/>
  <c r="G783" i="123"/>
  <c r="G725" i="123"/>
  <c r="BO714" i="123"/>
  <c r="BN714" i="123"/>
  <c r="BM714" i="123"/>
  <c r="BL714" i="123"/>
  <c r="BK714" i="123"/>
  <c r="BJ714" i="123"/>
  <c r="BI714" i="123"/>
  <c r="BH714" i="123"/>
  <c r="BG714" i="123"/>
  <c r="BF714" i="123"/>
  <c r="BE714" i="123"/>
  <c r="BD714" i="123"/>
  <c r="BC714" i="123"/>
  <c r="BB714" i="123"/>
  <c r="BA714" i="123"/>
  <c r="AZ714" i="123"/>
  <c r="AY714" i="123"/>
  <c r="AX714" i="123"/>
  <c r="AW714" i="123"/>
  <c r="AV714" i="123"/>
  <c r="AU714" i="123"/>
  <c r="AT714" i="123"/>
  <c r="AS714" i="123"/>
  <c r="AR714" i="123"/>
  <c r="AQ714" i="123"/>
  <c r="AP714" i="123"/>
  <c r="AO714" i="123"/>
  <c r="AN714" i="123"/>
  <c r="AM714" i="123"/>
  <c r="AL714" i="123"/>
  <c r="AK714" i="123"/>
  <c r="AJ714" i="123"/>
  <c r="AI714" i="123"/>
  <c r="AH714" i="123"/>
  <c r="R714" i="123"/>
  <c r="Q714" i="123"/>
  <c r="P714" i="123"/>
  <c r="O714" i="123"/>
  <c r="N714" i="123"/>
  <c r="M714" i="123"/>
  <c r="L714" i="123"/>
  <c r="K714" i="123"/>
  <c r="J714" i="123"/>
  <c r="I714" i="123"/>
  <c r="H714" i="123"/>
  <c r="G714" i="123"/>
  <c r="Q1221" i="123"/>
  <c r="M1201" i="123"/>
  <c r="K1221" i="123"/>
  <c r="N1221" i="123"/>
  <c r="J1201" i="123"/>
  <c r="O1221" i="123"/>
  <c r="P1201" i="123"/>
  <c r="L1201" i="123"/>
  <c r="L1221" i="123"/>
  <c r="H1201" i="123"/>
  <c r="G1375" i="123"/>
  <c r="BL1395" i="123"/>
  <c r="BH1375" i="123"/>
  <c r="AZ1375" i="123"/>
  <c r="AV1395" i="123"/>
  <c r="AR1375" i="123"/>
  <c r="AJ1375" i="123"/>
  <c r="P1395" i="123"/>
  <c r="L1375" i="123"/>
  <c r="BK1375" i="123"/>
  <c r="BG1395" i="123"/>
  <c r="BC1375" i="123"/>
  <c r="AQ1375" i="123"/>
  <c r="AM1395" i="123"/>
  <c r="O1375" i="123"/>
  <c r="BM1375" i="123"/>
  <c r="BI1395" i="123"/>
  <c r="BE1375" i="123"/>
  <c r="AW1375" i="123"/>
  <c r="AS1395" i="123"/>
  <c r="AO1375" i="123"/>
  <c r="Q1375" i="123"/>
  <c r="I1375" i="123"/>
  <c r="AY1375" i="123"/>
  <c r="AI1395" i="123"/>
  <c r="BN1375" i="123"/>
  <c r="BF1375" i="123"/>
  <c r="BB1395" i="123"/>
  <c r="AX1375" i="123"/>
  <c r="AP1375" i="123"/>
  <c r="AL1395" i="123"/>
  <c r="AH1375" i="123"/>
  <c r="N1375" i="123"/>
  <c r="J1395" i="123"/>
  <c r="BH1201" i="123"/>
  <c r="AR1201" i="123"/>
  <c r="AN1221" i="123"/>
  <c r="BL1201" i="123"/>
  <c r="AV1201" i="123"/>
  <c r="AJ1221" i="123"/>
  <c r="BN1201" i="123"/>
  <c r="BF1201" i="123"/>
  <c r="BB1221" i="123"/>
  <c r="AX1201" i="123"/>
  <c r="AP1201" i="123"/>
  <c r="AL1221" i="123"/>
  <c r="AH1201" i="123"/>
  <c r="BO1201" i="123"/>
  <c r="BO1221" i="123"/>
  <c r="BK1201" i="123"/>
  <c r="BG1201" i="123"/>
  <c r="BC1201" i="123"/>
  <c r="AY1201" i="123"/>
  <c r="AY1221" i="123"/>
  <c r="AU1201" i="123"/>
  <c r="AQ1201" i="123"/>
  <c r="AQ1221" i="123"/>
  <c r="AM1201" i="123"/>
  <c r="AI1201" i="123"/>
  <c r="AI1221" i="123"/>
  <c r="BM1201" i="123"/>
  <c r="BI1221" i="123"/>
  <c r="BA1221" i="123"/>
  <c r="AW1201" i="123"/>
  <c r="AS1221" i="123"/>
  <c r="AK1221" i="123"/>
  <c r="G1201" i="123"/>
  <c r="G1047" i="123"/>
  <c r="BH1047" i="123"/>
  <c r="BD1027" i="123"/>
  <c r="AZ1047" i="123"/>
  <c r="AR1047" i="123"/>
  <c r="AN1027" i="123"/>
  <c r="AJ1047" i="123"/>
  <c r="L1047" i="123"/>
  <c r="H1027" i="123"/>
  <c r="BM1047" i="123"/>
  <c r="BE1047" i="123"/>
  <c r="BA1027" i="123"/>
  <c r="AW1047" i="123"/>
  <c r="AO1047" i="123"/>
  <c r="AK1027" i="123"/>
  <c r="Q1047" i="123"/>
  <c r="I1047" i="123"/>
  <c r="BO1027" i="123"/>
  <c r="BK1047" i="123"/>
  <c r="BC1047" i="123"/>
  <c r="AY1027" i="123"/>
  <c r="AU1047" i="123"/>
  <c r="AM1047" i="123"/>
  <c r="AI1027" i="123"/>
  <c r="O1047" i="123"/>
  <c r="BN1047" i="123"/>
  <c r="BJ1027" i="123"/>
  <c r="BF1047" i="123"/>
  <c r="AX1047" i="123"/>
  <c r="AT1027" i="123"/>
  <c r="AP1047" i="123"/>
  <c r="AH1047" i="123"/>
  <c r="R1027" i="123"/>
  <c r="N1047" i="123"/>
  <c r="BN873" i="123"/>
  <c r="AX853" i="123"/>
  <c r="AH873" i="123"/>
  <c r="BL873" i="123"/>
  <c r="BH853" i="123"/>
  <c r="BD873" i="123"/>
  <c r="AV873" i="123"/>
  <c r="AR853" i="123"/>
  <c r="AN873" i="123"/>
  <c r="L853" i="123"/>
  <c r="L873" i="123" s="1"/>
  <c r="H853" i="123"/>
  <c r="AL853" i="123"/>
  <c r="BJ873" i="123"/>
  <c r="BF853" i="123"/>
  <c r="AT873" i="123"/>
  <c r="BM853" i="123"/>
  <c r="BM873" i="123" s="1"/>
  <c r="BE853" i="123"/>
  <c r="AW853" i="123"/>
  <c r="AW873" i="123" s="1"/>
  <c r="AO853" i="123"/>
  <c r="Q853" i="123"/>
  <c r="Q873" i="123" s="1"/>
  <c r="M853" i="123"/>
  <c r="BO873" i="123"/>
  <c r="BG873" i="123"/>
  <c r="BC853" i="123"/>
  <c r="AY873" i="123"/>
  <c r="AQ873" i="123"/>
  <c r="AM853" i="123"/>
  <c r="AI873" i="123"/>
  <c r="H697" i="123"/>
  <c r="I697" i="123"/>
  <c r="J697" i="123"/>
  <c r="K697" i="123"/>
  <c r="L697" i="123"/>
  <c r="H631" i="123"/>
  <c r="I631" i="123"/>
  <c r="J631" i="123"/>
  <c r="K631" i="123"/>
  <c r="L631" i="123"/>
  <c r="L699" i="123" s="1"/>
  <c r="M631" i="123"/>
  <c r="N631" i="123"/>
  <c r="O631" i="123"/>
  <c r="P631" i="123"/>
  <c r="Q631" i="123"/>
  <c r="R631" i="123"/>
  <c r="AH631" i="123"/>
  <c r="AI631" i="123"/>
  <c r="AJ631" i="123"/>
  <c r="AK631" i="123"/>
  <c r="AL631" i="123"/>
  <c r="AM631" i="123"/>
  <c r="AN631" i="123"/>
  <c r="AO631" i="123"/>
  <c r="AP631" i="123"/>
  <c r="AQ631" i="123"/>
  <c r="AR631" i="123"/>
  <c r="AS631" i="123"/>
  <c r="AT631" i="123"/>
  <c r="AU631" i="123"/>
  <c r="AV631" i="123"/>
  <c r="AW631" i="123"/>
  <c r="AX631" i="123"/>
  <c r="AY631" i="123"/>
  <c r="AZ631" i="123"/>
  <c r="BA631" i="123"/>
  <c r="BB631" i="123"/>
  <c r="BC631" i="123"/>
  <c r="BD631" i="123"/>
  <c r="BE631" i="123"/>
  <c r="BF631" i="123"/>
  <c r="BG631" i="123"/>
  <c r="BH631" i="123"/>
  <c r="BI631" i="123"/>
  <c r="BJ631" i="123"/>
  <c r="BK631" i="123"/>
  <c r="BL631" i="123"/>
  <c r="BM631" i="123"/>
  <c r="BN631" i="123"/>
  <c r="BO631" i="123"/>
  <c r="G631" i="123"/>
  <c r="H637" i="123"/>
  <c r="I637" i="123"/>
  <c r="J637" i="123"/>
  <c r="K637" i="123"/>
  <c r="L637" i="123"/>
  <c r="M637" i="123"/>
  <c r="N637" i="123"/>
  <c r="O637" i="123"/>
  <c r="P637" i="123"/>
  <c r="Q637" i="123"/>
  <c r="R637" i="123"/>
  <c r="AH637" i="123"/>
  <c r="AI637" i="123"/>
  <c r="AJ637" i="123"/>
  <c r="AK637" i="123"/>
  <c r="AL637" i="123"/>
  <c r="AM637" i="123"/>
  <c r="AN637" i="123"/>
  <c r="AO637" i="123"/>
  <c r="AP637" i="123"/>
  <c r="AQ637" i="123"/>
  <c r="AR637" i="123"/>
  <c r="AS637" i="123"/>
  <c r="AT637" i="123"/>
  <c r="AU637" i="123"/>
  <c r="AV637" i="123"/>
  <c r="AW637" i="123"/>
  <c r="AX637" i="123"/>
  <c r="AY637" i="123"/>
  <c r="AZ637" i="123"/>
  <c r="BA637" i="123"/>
  <c r="BB637" i="123"/>
  <c r="BC637" i="123"/>
  <c r="BD637" i="123"/>
  <c r="BE637" i="123"/>
  <c r="BF637" i="123"/>
  <c r="BG637" i="123"/>
  <c r="BH637" i="123"/>
  <c r="BI637" i="123"/>
  <c r="BJ637" i="123"/>
  <c r="BK637" i="123"/>
  <c r="BL637" i="123"/>
  <c r="BM637" i="123"/>
  <c r="BN637" i="123"/>
  <c r="BO637" i="123"/>
  <c r="H645" i="123"/>
  <c r="I645" i="123"/>
  <c r="J645" i="123"/>
  <c r="K645" i="123"/>
  <c r="L645" i="123"/>
  <c r="M645" i="123"/>
  <c r="N645" i="123"/>
  <c r="O645" i="123"/>
  <c r="P645" i="123"/>
  <c r="Q645" i="123"/>
  <c r="R645" i="123"/>
  <c r="AH645" i="123"/>
  <c r="AI645" i="123"/>
  <c r="AJ645" i="123"/>
  <c r="AK645" i="123"/>
  <c r="AL645" i="123"/>
  <c r="AM645" i="123"/>
  <c r="AN645" i="123"/>
  <c r="AO645" i="123"/>
  <c r="AP645" i="123"/>
  <c r="AQ645" i="123"/>
  <c r="AR645" i="123"/>
  <c r="AS645" i="123"/>
  <c r="AT645" i="123"/>
  <c r="AU645" i="123"/>
  <c r="AV645" i="123"/>
  <c r="AW645" i="123"/>
  <c r="AX645" i="123"/>
  <c r="AY645" i="123"/>
  <c r="AZ645" i="123"/>
  <c r="BA645" i="123"/>
  <c r="BB645" i="123"/>
  <c r="BC645" i="123"/>
  <c r="BD645" i="123"/>
  <c r="BE645" i="123"/>
  <c r="BF645" i="123"/>
  <c r="BG645" i="123"/>
  <c r="BH645" i="123"/>
  <c r="BI645" i="123"/>
  <c r="BJ645" i="123"/>
  <c r="BK645" i="123"/>
  <c r="BL645" i="123"/>
  <c r="BM645" i="123"/>
  <c r="BN645" i="123"/>
  <c r="BO645" i="123"/>
  <c r="H657" i="123"/>
  <c r="I657" i="123"/>
  <c r="J657" i="123"/>
  <c r="K657" i="123"/>
  <c r="L657" i="123"/>
  <c r="M657" i="123"/>
  <c r="N657" i="123"/>
  <c r="O657" i="123"/>
  <c r="P657" i="123"/>
  <c r="Q657" i="123"/>
  <c r="R657" i="123"/>
  <c r="AH657" i="123"/>
  <c r="AI657" i="123"/>
  <c r="AJ657" i="123"/>
  <c r="AK657" i="123"/>
  <c r="AL657" i="123"/>
  <c r="AM657" i="123"/>
  <c r="AN657" i="123"/>
  <c r="AO657" i="123"/>
  <c r="AP657" i="123"/>
  <c r="AQ657" i="123"/>
  <c r="AR657" i="123"/>
  <c r="AS657" i="123"/>
  <c r="AT657" i="123"/>
  <c r="AU657" i="123"/>
  <c r="AV657" i="123"/>
  <c r="AW657" i="123"/>
  <c r="AX657" i="123"/>
  <c r="AY657" i="123"/>
  <c r="AZ657" i="123"/>
  <c r="BA657" i="123"/>
  <c r="BB657" i="123"/>
  <c r="BC657" i="123"/>
  <c r="BD657" i="123"/>
  <c r="BE657" i="123"/>
  <c r="BF657" i="123"/>
  <c r="BG657" i="123"/>
  <c r="BH657" i="123"/>
  <c r="BI657" i="123"/>
  <c r="BJ657" i="123"/>
  <c r="BK657" i="123"/>
  <c r="BL657" i="123"/>
  <c r="BM657" i="123"/>
  <c r="BN657" i="123"/>
  <c r="BO657" i="123"/>
  <c r="H667" i="123"/>
  <c r="I667" i="123"/>
  <c r="J667" i="123"/>
  <c r="K667" i="123"/>
  <c r="L667" i="123"/>
  <c r="M667" i="123"/>
  <c r="N667" i="123"/>
  <c r="O667" i="123"/>
  <c r="P667" i="123"/>
  <c r="Q667" i="123"/>
  <c r="R667" i="123"/>
  <c r="AH667" i="123"/>
  <c r="AI667" i="123"/>
  <c r="AI679" i="123" s="1"/>
  <c r="AJ667" i="123"/>
  <c r="AK667" i="123"/>
  <c r="AL667" i="123"/>
  <c r="AM667" i="123"/>
  <c r="AN667" i="123"/>
  <c r="AO667" i="123"/>
  <c r="AP667" i="123"/>
  <c r="AQ667" i="123"/>
  <c r="AR667" i="123"/>
  <c r="AS667" i="123"/>
  <c r="AT667" i="123"/>
  <c r="AT679" i="123" s="1"/>
  <c r="AU667" i="123"/>
  <c r="AV667" i="123"/>
  <c r="AW667" i="123"/>
  <c r="AX667" i="123"/>
  <c r="AY667" i="123"/>
  <c r="AY679" i="123" s="1"/>
  <c r="AZ667" i="123"/>
  <c r="BA667" i="123"/>
  <c r="BB667" i="123"/>
  <c r="BC667" i="123"/>
  <c r="BD667" i="123"/>
  <c r="BE667" i="123"/>
  <c r="BF667" i="123"/>
  <c r="BG667" i="123"/>
  <c r="BH667" i="123"/>
  <c r="BI667" i="123"/>
  <c r="BJ667" i="123"/>
  <c r="BJ679" i="123" s="1"/>
  <c r="BK667" i="123"/>
  <c r="BL667" i="123"/>
  <c r="BM667" i="123"/>
  <c r="BN667" i="123"/>
  <c r="BO667" i="123"/>
  <c r="BO679" i="123" s="1"/>
  <c r="M697" i="123"/>
  <c r="N697" i="123"/>
  <c r="O697" i="123"/>
  <c r="P697" i="123"/>
  <c r="Q697" i="123"/>
  <c r="R697" i="123"/>
  <c r="AH697" i="123"/>
  <c r="AI697" i="123"/>
  <c r="AJ697" i="123"/>
  <c r="AK697" i="123"/>
  <c r="AL697" i="123"/>
  <c r="AM697" i="123"/>
  <c r="AN697" i="123"/>
  <c r="AO697" i="123"/>
  <c r="AP697" i="123"/>
  <c r="AQ697" i="123"/>
  <c r="AR697" i="123"/>
  <c r="AS697" i="123"/>
  <c r="AT697" i="123"/>
  <c r="AU697" i="123"/>
  <c r="AV697" i="123"/>
  <c r="AW697" i="123"/>
  <c r="AX697" i="123"/>
  <c r="AY697" i="123"/>
  <c r="AZ697" i="123"/>
  <c r="BA697" i="123"/>
  <c r="BB697" i="123"/>
  <c r="BC697" i="123"/>
  <c r="BD697" i="123"/>
  <c r="BE697" i="123"/>
  <c r="BF697" i="123"/>
  <c r="BG697" i="123"/>
  <c r="BH697" i="123"/>
  <c r="BI697" i="123"/>
  <c r="BJ697" i="123"/>
  <c r="BK697" i="123"/>
  <c r="BL697" i="123"/>
  <c r="BM697" i="123"/>
  <c r="BN697" i="123"/>
  <c r="BO697" i="123"/>
  <c r="G697" i="123"/>
  <c r="G667" i="123"/>
  <c r="G657" i="123"/>
  <c r="G645" i="123"/>
  <c r="G637" i="123"/>
  <c r="H623" i="123"/>
  <c r="I623" i="123"/>
  <c r="J623" i="123"/>
  <c r="K623" i="123"/>
  <c r="L623" i="123"/>
  <c r="M623" i="123"/>
  <c r="M699" i="123" s="1"/>
  <c r="I25" i="11" s="1"/>
  <c r="N623" i="123"/>
  <c r="O623" i="123"/>
  <c r="P623" i="123"/>
  <c r="Q623" i="123"/>
  <c r="R623" i="123"/>
  <c r="AH623" i="123"/>
  <c r="AI623" i="123"/>
  <c r="AJ623" i="123"/>
  <c r="AK623" i="123"/>
  <c r="AL623" i="123"/>
  <c r="AM623" i="123"/>
  <c r="AN623" i="123"/>
  <c r="AO623" i="123"/>
  <c r="AP623" i="123"/>
  <c r="AQ623" i="123"/>
  <c r="AR623" i="123"/>
  <c r="AS623" i="123"/>
  <c r="AT623" i="123"/>
  <c r="AU623" i="123"/>
  <c r="AV623" i="123"/>
  <c r="AW623" i="123"/>
  <c r="AX623" i="123"/>
  <c r="AY623" i="123"/>
  <c r="AZ623" i="123"/>
  <c r="BA623" i="123"/>
  <c r="BB623" i="123"/>
  <c r="BC623" i="123"/>
  <c r="BD623" i="123"/>
  <c r="BE623" i="123"/>
  <c r="BF623" i="123"/>
  <c r="BG623" i="123"/>
  <c r="BH623" i="123"/>
  <c r="BI623" i="123"/>
  <c r="BJ623" i="123"/>
  <c r="BK623" i="123"/>
  <c r="BL623" i="123"/>
  <c r="BM623" i="123"/>
  <c r="BN623" i="123"/>
  <c r="BO623" i="123"/>
  <c r="G623" i="123"/>
  <c r="H585" i="123"/>
  <c r="I585" i="123"/>
  <c r="J585" i="123"/>
  <c r="K585" i="123"/>
  <c r="L585" i="123"/>
  <c r="M585" i="123"/>
  <c r="N585" i="123"/>
  <c r="O585" i="123"/>
  <c r="P585" i="123"/>
  <c r="Q585" i="123"/>
  <c r="R585" i="123"/>
  <c r="AH585" i="123"/>
  <c r="AI585" i="123"/>
  <c r="AJ585" i="123"/>
  <c r="AK585" i="123"/>
  <c r="AL585" i="123"/>
  <c r="AM585" i="123"/>
  <c r="AN585" i="123"/>
  <c r="AO585" i="123"/>
  <c r="AP585" i="123"/>
  <c r="AQ585" i="123"/>
  <c r="AR585" i="123"/>
  <c r="AS585" i="123"/>
  <c r="AT585" i="123"/>
  <c r="AU585" i="123"/>
  <c r="AV585" i="123"/>
  <c r="AW585" i="123"/>
  <c r="AX585" i="123"/>
  <c r="AY585" i="123"/>
  <c r="AZ585" i="123"/>
  <c r="BA585" i="123"/>
  <c r="BB585" i="123"/>
  <c r="BC585" i="123"/>
  <c r="BD585" i="123"/>
  <c r="BE585" i="123"/>
  <c r="BF585" i="123"/>
  <c r="BG585" i="123"/>
  <c r="BH585" i="123"/>
  <c r="BI585" i="123"/>
  <c r="BJ585" i="123"/>
  <c r="BK585" i="123"/>
  <c r="BL585" i="123"/>
  <c r="BM585" i="123"/>
  <c r="BN585" i="123"/>
  <c r="BO585" i="123"/>
  <c r="H605" i="123"/>
  <c r="I605" i="123"/>
  <c r="J605" i="123"/>
  <c r="K605" i="123"/>
  <c r="L605" i="123"/>
  <c r="M605" i="123"/>
  <c r="N605" i="123"/>
  <c r="O605" i="123"/>
  <c r="P605" i="123"/>
  <c r="Q605" i="123"/>
  <c r="R605" i="123"/>
  <c r="AH605" i="123"/>
  <c r="AI605" i="123"/>
  <c r="AJ605" i="123"/>
  <c r="AK605" i="123"/>
  <c r="AL605" i="123"/>
  <c r="AM605" i="123"/>
  <c r="AN605" i="123"/>
  <c r="AO605" i="123"/>
  <c r="AP605" i="123"/>
  <c r="AQ605" i="123"/>
  <c r="AR605" i="123"/>
  <c r="AS605" i="123"/>
  <c r="AT605" i="123"/>
  <c r="AU605" i="123"/>
  <c r="AV605" i="123"/>
  <c r="AW605" i="123"/>
  <c r="AX605" i="123"/>
  <c r="AY605" i="123"/>
  <c r="AZ605" i="123"/>
  <c r="BA605" i="123"/>
  <c r="BB605" i="123"/>
  <c r="BC605" i="123"/>
  <c r="BD605" i="123"/>
  <c r="BE605" i="123"/>
  <c r="BF605" i="123"/>
  <c r="BG605" i="123"/>
  <c r="BH605" i="123"/>
  <c r="BI605" i="123"/>
  <c r="BJ605" i="123"/>
  <c r="BK605" i="123"/>
  <c r="BL605" i="123"/>
  <c r="BM605" i="123"/>
  <c r="BN605" i="123"/>
  <c r="BO605" i="123"/>
  <c r="H609" i="123"/>
  <c r="I609" i="123"/>
  <c r="J609" i="123"/>
  <c r="K609" i="123"/>
  <c r="L609" i="123"/>
  <c r="M609" i="123"/>
  <c r="N609" i="123"/>
  <c r="O609" i="123"/>
  <c r="P609" i="123"/>
  <c r="Q609" i="123"/>
  <c r="R609" i="123"/>
  <c r="AH609" i="123"/>
  <c r="AI609" i="123"/>
  <c r="AJ609" i="123"/>
  <c r="AK609" i="123"/>
  <c r="AL609" i="123"/>
  <c r="AM609" i="123"/>
  <c r="AN609" i="123"/>
  <c r="AO609" i="123"/>
  <c r="AP609" i="123"/>
  <c r="AQ609" i="123"/>
  <c r="AR609" i="123"/>
  <c r="AS609" i="123"/>
  <c r="AT609" i="123"/>
  <c r="AU609" i="123"/>
  <c r="AV609" i="123"/>
  <c r="AW609" i="123"/>
  <c r="AX609" i="123"/>
  <c r="AY609" i="123"/>
  <c r="AZ609" i="123"/>
  <c r="BA609" i="123"/>
  <c r="BB609" i="123"/>
  <c r="BC609" i="123"/>
  <c r="BD609" i="123"/>
  <c r="BE609" i="123"/>
  <c r="BF609" i="123"/>
  <c r="BG609" i="123"/>
  <c r="BH609" i="123"/>
  <c r="BI609" i="123"/>
  <c r="BJ609" i="123"/>
  <c r="BK609" i="123"/>
  <c r="BL609" i="123"/>
  <c r="BM609" i="123"/>
  <c r="BN609" i="123"/>
  <c r="BO609" i="123"/>
  <c r="G609" i="123"/>
  <c r="G605" i="123"/>
  <c r="G585" i="123"/>
  <c r="AH570" i="123"/>
  <c r="AI570" i="123"/>
  <c r="AJ570" i="123"/>
  <c r="AK570" i="123"/>
  <c r="AL570" i="123"/>
  <c r="AM570" i="123"/>
  <c r="AN570" i="123"/>
  <c r="AO570" i="123"/>
  <c r="AP570" i="123"/>
  <c r="AQ570" i="123"/>
  <c r="AR570" i="123"/>
  <c r="AS570" i="123"/>
  <c r="AT570" i="123"/>
  <c r="AU570" i="123"/>
  <c r="AV570" i="123"/>
  <c r="AW570" i="123"/>
  <c r="AX570" i="123"/>
  <c r="AY570" i="123"/>
  <c r="AZ570" i="123"/>
  <c r="BA570" i="123"/>
  <c r="BB570" i="123"/>
  <c r="BC570" i="123"/>
  <c r="BD570" i="123"/>
  <c r="BE570" i="123"/>
  <c r="BF570" i="123"/>
  <c r="BG570" i="123"/>
  <c r="BH570" i="123"/>
  <c r="BI570" i="123"/>
  <c r="BJ570" i="123"/>
  <c r="BK570" i="123"/>
  <c r="BL570" i="123"/>
  <c r="BM570" i="123"/>
  <c r="BN570" i="123"/>
  <c r="BO570" i="123"/>
  <c r="R570" i="123"/>
  <c r="Q570" i="123"/>
  <c r="P570" i="123"/>
  <c r="O570" i="123"/>
  <c r="N570" i="123"/>
  <c r="M570" i="123"/>
  <c r="L570" i="123"/>
  <c r="K570" i="123"/>
  <c r="J570" i="123"/>
  <c r="I570" i="123"/>
  <c r="H570" i="123"/>
  <c r="G570" i="123"/>
  <c r="H555" i="123"/>
  <c r="I555" i="123"/>
  <c r="J555" i="123"/>
  <c r="K555" i="123"/>
  <c r="L555" i="123"/>
  <c r="M555" i="123"/>
  <c r="N555" i="123"/>
  <c r="O555" i="123"/>
  <c r="P555" i="123"/>
  <c r="Q555" i="123"/>
  <c r="R555" i="123"/>
  <c r="AH555" i="123"/>
  <c r="AI555" i="123"/>
  <c r="AJ555" i="123"/>
  <c r="AK555" i="123"/>
  <c r="AL555" i="123"/>
  <c r="AM555" i="123"/>
  <c r="AN555" i="123"/>
  <c r="AO555" i="123"/>
  <c r="AP555" i="123"/>
  <c r="AQ555" i="123"/>
  <c r="AR555" i="123"/>
  <c r="AS555" i="123"/>
  <c r="AT555" i="123"/>
  <c r="AU555" i="123"/>
  <c r="AV555" i="123"/>
  <c r="AW555" i="123"/>
  <c r="AX555" i="123"/>
  <c r="AY555" i="123"/>
  <c r="AZ555" i="123"/>
  <c r="BA555" i="123"/>
  <c r="BB555" i="123"/>
  <c r="BC555" i="123"/>
  <c r="BD555" i="123"/>
  <c r="BE555" i="123"/>
  <c r="BF555" i="123"/>
  <c r="BG555" i="123"/>
  <c r="BH555" i="123"/>
  <c r="BI555" i="123"/>
  <c r="BJ555" i="123"/>
  <c r="BK555" i="123"/>
  <c r="BL555" i="123"/>
  <c r="BM555" i="123"/>
  <c r="BN555" i="123"/>
  <c r="BO555" i="123"/>
  <c r="H551" i="123"/>
  <c r="I551" i="123"/>
  <c r="J551" i="123"/>
  <c r="K551" i="123"/>
  <c r="K699" i="123" s="1"/>
  <c r="L551" i="123"/>
  <c r="M551" i="123"/>
  <c r="N551" i="123"/>
  <c r="O551" i="123"/>
  <c r="P551" i="123"/>
  <c r="Q551" i="123"/>
  <c r="R551" i="123"/>
  <c r="AH551" i="123"/>
  <c r="AI551" i="123"/>
  <c r="AJ551" i="123"/>
  <c r="AK551" i="123"/>
  <c r="AL551" i="123"/>
  <c r="AM551" i="123"/>
  <c r="AN551" i="123"/>
  <c r="AO551" i="123"/>
  <c r="AP551" i="123"/>
  <c r="AQ551" i="123"/>
  <c r="AR551" i="123"/>
  <c r="AS551" i="123"/>
  <c r="AT551" i="123"/>
  <c r="AU551" i="123"/>
  <c r="AV551" i="123"/>
  <c r="AW551" i="123"/>
  <c r="AX551" i="123"/>
  <c r="AY551" i="123"/>
  <c r="AZ551" i="123"/>
  <c r="BA551" i="123"/>
  <c r="BB551" i="123"/>
  <c r="BC551" i="123"/>
  <c r="BD551" i="123"/>
  <c r="BE551" i="123"/>
  <c r="BF551" i="123"/>
  <c r="BG551" i="123"/>
  <c r="BH551" i="123"/>
  <c r="BI551" i="123"/>
  <c r="BJ551" i="123"/>
  <c r="BK551" i="123"/>
  <c r="BL551" i="123"/>
  <c r="BM551" i="123"/>
  <c r="BN551" i="123"/>
  <c r="BO551" i="123"/>
  <c r="G555" i="123"/>
  <c r="G551" i="123"/>
  <c r="G699" i="123" s="1"/>
  <c r="C25" i="11" s="1"/>
  <c r="H686" i="123"/>
  <c r="I686" i="123"/>
  <c r="J686" i="123"/>
  <c r="K686" i="123"/>
  <c r="L686" i="123"/>
  <c r="M686" i="123"/>
  <c r="N686" i="123"/>
  <c r="O686" i="123"/>
  <c r="P686" i="123"/>
  <c r="Q686" i="123"/>
  <c r="R686" i="123"/>
  <c r="AH686" i="123"/>
  <c r="AI686" i="123"/>
  <c r="AJ686" i="123"/>
  <c r="AK686" i="123"/>
  <c r="AL686" i="123"/>
  <c r="AM686" i="123"/>
  <c r="AN686" i="123"/>
  <c r="AO686" i="123"/>
  <c r="AP686" i="123"/>
  <c r="AQ686" i="123"/>
  <c r="AR686" i="123"/>
  <c r="AS686" i="123"/>
  <c r="AT686" i="123"/>
  <c r="AU686" i="123"/>
  <c r="AV686" i="123"/>
  <c r="AW686" i="123"/>
  <c r="AX686" i="123"/>
  <c r="AY686" i="123"/>
  <c r="AZ686" i="123"/>
  <c r="BA686" i="123"/>
  <c r="BB686" i="123"/>
  <c r="BC686" i="123"/>
  <c r="BD686" i="123"/>
  <c r="BE686" i="123"/>
  <c r="BF686" i="123"/>
  <c r="BG686" i="123"/>
  <c r="BH686" i="123"/>
  <c r="BI686" i="123"/>
  <c r="BJ686" i="123"/>
  <c r="BK686" i="123"/>
  <c r="BL686" i="123"/>
  <c r="BM686" i="123"/>
  <c r="BN686" i="123"/>
  <c r="BO686" i="123"/>
  <c r="G686" i="123"/>
  <c r="H677" i="123"/>
  <c r="I677" i="123"/>
  <c r="J677" i="123"/>
  <c r="J679" i="123" s="1"/>
  <c r="K677" i="123"/>
  <c r="L677" i="123"/>
  <c r="M677" i="123"/>
  <c r="N677" i="123"/>
  <c r="O677" i="123"/>
  <c r="P677" i="123"/>
  <c r="Q677" i="123"/>
  <c r="R677" i="123"/>
  <c r="R679" i="123" s="1"/>
  <c r="AH677" i="123"/>
  <c r="AI677" i="123"/>
  <c r="AJ677" i="123"/>
  <c r="AJ679" i="123" s="1"/>
  <c r="AK677" i="123"/>
  <c r="AK679" i="123" s="1"/>
  <c r="AL677" i="123"/>
  <c r="AM677" i="123"/>
  <c r="AN677" i="123"/>
  <c r="AO677" i="123"/>
  <c r="AP677" i="123"/>
  <c r="AQ677" i="123"/>
  <c r="AR677" i="123"/>
  <c r="AS677" i="123"/>
  <c r="AT677" i="123"/>
  <c r="AU677" i="123"/>
  <c r="AV677" i="123"/>
  <c r="AW677" i="123"/>
  <c r="AX677" i="123"/>
  <c r="AY677" i="123"/>
  <c r="AZ677" i="123"/>
  <c r="AZ679" i="123" s="1"/>
  <c r="BA677" i="123"/>
  <c r="BA679" i="123" s="1"/>
  <c r="BB677" i="123"/>
  <c r="BC677" i="123"/>
  <c r="BD677" i="123"/>
  <c r="BE677" i="123"/>
  <c r="BF677" i="123"/>
  <c r="BG677" i="123"/>
  <c r="BH677" i="123"/>
  <c r="BI677" i="123"/>
  <c r="BJ677" i="123"/>
  <c r="BK677" i="123"/>
  <c r="BL677" i="123"/>
  <c r="BM677" i="123"/>
  <c r="BN677" i="123"/>
  <c r="BO677" i="123"/>
  <c r="G677" i="123"/>
  <c r="BO562" i="123"/>
  <c r="BN562" i="123"/>
  <c r="BM562" i="123"/>
  <c r="BL562" i="123"/>
  <c r="BK562" i="123"/>
  <c r="BJ562" i="123"/>
  <c r="BI562" i="123"/>
  <c r="BH562" i="123"/>
  <c r="BG562" i="123"/>
  <c r="BF562" i="123"/>
  <c r="BE562" i="123"/>
  <c r="BD562" i="123"/>
  <c r="BC562" i="123"/>
  <c r="BB562" i="123"/>
  <c r="BA562" i="123"/>
  <c r="AZ562" i="123"/>
  <c r="AY562" i="123"/>
  <c r="AX562" i="123"/>
  <c r="AW562" i="123"/>
  <c r="AV562" i="123"/>
  <c r="AU562" i="123"/>
  <c r="AT562" i="123"/>
  <c r="AS562" i="123"/>
  <c r="AR562" i="123"/>
  <c r="AQ562" i="123"/>
  <c r="AP562" i="123"/>
  <c r="AO562" i="123"/>
  <c r="AN562" i="123"/>
  <c r="AM562" i="123"/>
  <c r="AL562" i="123"/>
  <c r="AK562" i="123"/>
  <c r="AJ562" i="123"/>
  <c r="AI562" i="123"/>
  <c r="AH562" i="123"/>
  <c r="R562" i="123"/>
  <c r="Q562" i="123"/>
  <c r="P562" i="123"/>
  <c r="O562" i="123"/>
  <c r="N562" i="123"/>
  <c r="M562" i="123"/>
  <c r="L562" i="123"/>
  <c r="K562" i="123"/>
  <c r="J562" i="123"/>
  <c r="I562" i="123"/>
  <c r="H562" i="123"/>
  <c r="G562" i="123"/>
  <c r="BO540" i="123"/>
  <c r="BN540" i="123"/>
  <c r="BM540" i="123"/>
  <c r="BL540" i="123"/>
  <c r="BK540" i="123"/>
  <c r="BJ540" i="123"/>
  <c r="BI540" i="123"/>
  <c r="BH540" i="123"/>
  <c r="BG540" i="123"/>
  <c r="BF540" i="123"/>
  <c r="BE540" i="123"/>
  <c r="BD540" i="123"/>
  <c r="BC540" i="123"/>
  <c r="BB540" i="123"/>
  <c r="BA540" i="123"/>
  <c r="AZ540" i="123"/>
  <c r="AY540" i="123"/>
  <c r="AX540" i="123"/>
  <c r="AW540" i="123"/>
  <c r="AV540" i="123"/>
  <c r="AU540" i="123"/>
  <c r="AT540" i="123"/>
  <c r="AS540" i="123"/>
  <c r="AR540" i="123"/>
  <c r="AQ540" i="123"/>
  <c r="AP540" i="123"/>
  <c r="AO540" i="123"/>
  <c r="AN540" i="123"/>
  <c r="AM540" i="123"/>
  <c r="AL540" i="123"/>
  <c r="AK540" i="123"/>
  <c r="AJ540" i="123"/>
  <c r="AI540" i="123"/>
  <c r="AH540" i="123"/>
  <c r="R540" i="123"/>
  <c r="Q540" i="123"/>
  <c r="P540" i="123"/>
  <c r="O540" i="123"/>
  <c r="N540" i="123"/>
  <c r="M540" i="123"/>
  <c r="L540" i="123"/>
  <c r="K540" i="123"/>
  <c r="J540" i="123"/>
  <c r="I540" i="123"/>
  <c r="H540" i="123"/>
  <c r="G540" i="123"/>
  <c r="R431" i="123"/>
  <c r="R525" i="123" s="1"/>
  <c r="R366" i="123"/>
  <c r="BO289" i="123"/>
  <c r="BN289" i="123"/>
  <c r="BM289" i="123"/>
  <c r="BL289" i="123"/>
  <c r="BK289" i="123"/>
  <c r="BJ289" i="123"/>
  <c r="BI289" i="123"/>
  <c r="BH289" i="123"/>
  <c r="BG289" i="123"/>
  <c r="BF289" i="123"/>
  <c r="BE289" i="123"/>
  <c r="BD289" i="123"/>
  <c r="BC289" i="123"/>
  <c r="BB289" i="123"/>
  <c r="BA289" i="123"/>
  <c r="AZ289" i="123"/>
  <c r="AY289" i="123"/>
  <c r="AX289" i="123"/>
  <c r="AW289" i="123"/>
  <c r="AV289" i="123"/>
  <c r="AU289" i="123"/>
  <c r="AT289" i="123"/>
  <c r="AS289" i="123"/>
  <c r="AR289" i="123"/>
  <c r="AQ289" i="123"/>
  <c r="AP289" i="123"/>
  <c r="AO289" i="123"/>
  <c r="AN289" i="123"/>
  <c r="AM289" i="123"/>
  <c r="AL289" i="123"/>
  <c r="AK289" i="123"/>
  <c r="AJ289" i="123"/>
  <c r="AI289" i="123"/>
  <c r="AH289" i="123"/>
  <c r="R289" i="123"/>
  <c r="Q289" i="123"/>
  <c r="P289" i="123"/>
  <c r="O289" i="123"/>
  <c r="N289" i="123"/>
  <c r="M289" i="123"/>
  <c r="L289" i="123"/>
  <c r="K289" i="123"/>
  <c r="J289" i="123"/>
  <c r="I289" i="123"/>
  <c r="H289" i="123"/>
  <c r="G289" i="123"/>
  <c r="G214" i="123"/>
  <c r="H523" i="123"/>
  <c r="I523" i="123"/>
  <c r="J523" i="123"/>
  <c r="K523" i="123"/>
  <c r="L523" i="123"/>
  <c r="M523" i="123"/>
  <c r="N523" i="123"/>
  <c r="O523" i="123"/>
  <c r="P523" i="123"/>
  <c r="Q523" i="123"/>
  <c r="R523" i="123"/>
  <c r="AH523" i="123"/>
  <c r="AI523" i="123"/>
  <c r="AJ523" i="123"/>
  <c r="AK523" i="123"/>
  <c r="AL523" i="123"/>
  <c r="AM523" i="123"/>
  <c r="AN523" i="123"/>
  <c r="AO523" i="123"/>
  <c r="AP523" i="123"/>
  <c r="AQ523" i="123"/>
  <c r="AR523" i="123"/>
  <c r="AS523" i="123"/>
  <c r="AT523" i="123"/>
  <c r="AU523" i="123"/>
  <c r="AV523" i="123"/>
  <c r="AW523" i="123"/>
  <c r="AX523" i="123"/>
  <c r="AY523" i="123"/>
  <c r="AZ523" i="123"/>
  <c r="BA523" i="123"/>
  <c r="BB523" i="123"/>
  <c r="BC523" i="123"/>
  <c r="BD523" i="123"/>
  <c r="BE523" i="123"/>
  <c r="BF523" i="123"/>
  <c r="BG523" i="123"/>
  <c r="BH523" i="123"/>
  <c r="BI523" i="123"/>
  <c r="BJ523" i="123"/>
  <c r="BK523" i="123"/>
  <c r="BL523" i="123"/>
  <c r="BM523" i="123"/>
  <c r="BN523" i="123"/>
  <c r="BO523" i="123"/>
  <c r="G523" i="123"/>
  <c r="H512" i="123"/>
  <c r="I512" i="123"/>
  <c r="J512" i="123"/>
  <c r="K512" i="123"/>
  <c r="L512" i="123"/>
  <c r="M512" i="123"/>
  <c r="N512" i="123"/>
  <c r="O512" i="123"/>
  <c r="P512" i="123"/>
  <c r="Q512" i="123"/>
  <c r="R512" i="123"/>
  <c r="AH512" i="123"/>
  <c r="AI512" i="123"/>
  <c r="AJ512" i="123"/>
  <c r="AK512" i="123"/>
  <c r="AL512" i="123"/>
  <c r="AM512" i="123"/>
  <c r="AN512" i="123"/>
  <c r="AO512" i="123"/>
  <c r="AP512" i="123"/>
  <c r="AQ512" i="123"/>
  <c r="AR512" i="123"/>
  <c r="AS512" i="123"/>
  <c r="AT512" i="123"/>
  <c r="AU512" i="123"/>
  <c r="AV512" i="123"/>
  <c r="AW512" i="123"/>
  <c r="AX512" i="123"/>
  <c r="AY512" i="123"/>
  <c r="AZ512" i="123"/>
  <c r="BA512" i="123"/>
  <c r="BB512" i="123"/>
  <c r="BC512" i="123"/>
  <c r="BD512" i="123"/>
  <c r="BE512" i="123"/>
  <c r="BF512" i="123"/>
  <c r="BG512" i="123"/>
  <c r="BH512" i="123"/>
  <c r="BI512" i="123"/>
  <c r="BJ512" i="123"/>
  <c r="BK512" i="123"/>
  <c r="BL512" i="123"/>
  <c r="BM512" i="123"/>
  <c r="BN512" i="123"/>
  <c r="BO512" i="123"/>
  <c r="G512" i="123"/>
  <c r="H503" i="123"/>
  <c r="I503" i="123"/>
  <c r="J503" i="123"/>
  <c r="J505" i="123" s="1"/>
  <c r="K503" i="123"/>
  <c r="K505" i="123" s="1"/>
  <c r="L503" i="123"/>
  <c r="M503" i="123"/>
  <c r="N503" i="123"/>
  <c r="O503" i="123"/>
  <c r="O505" i="123" s="1"/>
  <c r="P503" i="123"/>
  <c r="P505" i="123" s="1"/>
  <c r="Q503" i="123"/>
  <c r="R503" i="123"/>
  <c r="R505" i="123" s="1"/>
  <c r="AH503" i="123"/>
  <c r="AH505" i="123" s="1"/>
  <c r="AI503" i="123"/>
  <c r="AJ503" i="123"/>
  <c r="AK503" i="123"/>
  <c r="AK505" i="123" s="1"/>
  <c r="AL503" i="123"/>
  <c r="AL505" i="123" s="1"/>
  <c r="AM503" i="123"/>
  <c r="AN503" i="123"/>
  <c r="AO503" i="123"/>
  <c r="AO505" i="123" s="1"/>
  <c r="AP503" i="123"/>
  <c r="AP505" i="123" s="1"/>
  <c r="AQ503" i="123"/>
  <c r="AR503" i="123"/>
  <c r="AS503" i="123"/>
  <c r="AT503" i="123"/>
  <c r="AT505" i="123" s="1"/>
  <c r="AU503" i="123"/>
  <c r="AV503" i="123"/>
  <c r="AW503" i="123"/>
  <c r="AW505" i="123" s="1"/>
  <c r="AX503" i="123"/>
  <c r="AX505" i="123" s="1"/>
  <c r="AX525" i="123" s="1"/>
  <c r="AY503" i="123"/>
  <c r="AZ503" i="123"/>
  <c r="BA503" i="123"/>
  <c r="BB503" i="123"/>
  <c r="BB505" i="123" s="1"/>
  <c r="BC503" i="123"/>
  <c r="BD503" i="123"/>
  <c r="BE503" i="123"/>
  <c r="BE505" i="123" s="1"/>
  <c r="BF503" i="123"/>
  <c r="BG503" i="123"/>
  <c r="BH503" i="123"/>
  <c r="BI503" i="123"/>
  <c r="BI505" i="123" s="1"/>
  <c r="BJ503" i="123"/>
  <c r="BJ505" i="123" s="1"/>
  <c r="BK503" i="123"/>
  <c r="BL503" i="123"/>
  <c r="BM503" i="123"/>
  <c r="BM505" i="123" s="1"/>
  <c r="BN503" i="123"/>
  <c r="BN505" i="123" s="1"/>
  <c r="BO503" i="123"/>
  <c r="G503" i="123"/>
  <c r="H493" i="123"/>
  <c r="H505" i="123" s="1"/>
  <c r="I493" i="123"/>
  <c r="I505" i="123" s="1"/>
  <c r="J493" i="123"/>
  <c r="K493" i="123"/>
  <c r="L493" i="123"/>
  <c r="L505" i="123" s="1"/>
  <c r="M493" i="123"/>
  <c r="M505" i="123" s="1"/>
  <c r="N493" i="123"/>
  <c r="O493" i="123"/>
  <c r="P493" i="123"/>
  <c r="Q493" i="123"/>
  <c r="Q505" i="123" s="1"/>
  <c r="R493" i="123"/>
  <c r="AH493" i="123"/>
  <c r="AI493" i="123"/>
  <c r="AI505" i="123" s="1"/>
  <c r="AJ493" i="123"/>
  <c r="AJ505" i="123" s="1"/>
  <c r="AK493" i="123"/>
  <c r="AL493" i="123"/>
  <c r="AM493" i="123"/>
  <c r="AM505" i="123" s="1"/>
  <c r="AN493" i="123"/>
  <c r="AN505" i="123" s="1"/>
  <c r="AN525" i="123" s="1"/>
  <c r="AO493" i="123"/>
  <c r="AP493" i="123"/>
  <c r="AQ493" i="123"/>
  <c r="AR493" i="123"/>
  <c r="AR505" i="123" s="1"/>
  <c r="AS493" i="123"/>
  <c r="AT493" i="123"/>
  <c r="AU493" i="123"/>
  <c r="AV493" i="123"/>
  <c r="AV505" i="123" s="1"/>
  <c r="AV525" i="123" s="1"/>
  <c r="AW493" i="123"/>
  <c r="AX493" i="123"/>
  <c r="AY493" i="123"/>
  <c r="AY505" i="123" s="1"/>
  <c r="AZ493" i="123"/>
  <c r="AZ505" i="123" s="1"/>
  <c r="BA493" i="123"/>
  <c r="BB493" i="123"/>
  <c r="BC493" i="123"/>
  <c r="BC505" i="123" s="1"/>
  <c r="BD493" i="123"/>
  <c r="BD505" i="123" s="1"/>
  <c r="BD525" i="123" s="1"/>
  <c r="BE493" i="123"/>
  <c r="BF493" i="123"/>
  <c r="BG493" i="123"/>
  <c r="BH493" i="123"/>
  <c r="BH505" i="123" s="1"/>
  <c r="BI493" i="123"/>
  <c r="BJ493" i="123"/>
  <c r="BK493" i="123"/>
  <c r="BL493" i="123"/>
  <c r="BL505" i="123" s="1"/>
  <c r="BL525" i="123" s="1"/>
  <c r="BM493" i="123"/>
  <c r="BN493" i="123"/>
  <c r="BO493" i="123"/>
  <c r="BO505" i="123" s="1"/>
  <c r="G493" i="123"/>
  <c r="G505" i="123" s="1"/>
  <c r="H483" i="123"/>
  <c r="I483" i="123"/>
  <c r="J483" i="123"/>
  <c r="K483" i="123"/>
  <c r="L483" i="123"/>
  <c r="M483" i="123"/>
  <c r="N483" i="123"/>
  <c r="O483" i="123"/>
  <c r="P483" i="123"/>
  <c r="Q483" i="123"/>
  <c r="R483" i="123"/>
  <c r="AH483" i="123"/>
  <c r="AI483" i="123"/>
  <c r="AJ483" i="123"/>
  <c r="AK483" i="123"/>
  <c r="AL483" i="123"/>
  <c r="AM483" i="123"/>
  <c r="AN483" i="123"/>
  <c r="AO483" i="123"/>
  <c r="AP483" i="123"/>
  <c r="AQ483" i="123"/>
  <c r="AR483" i="123"/>
  <c r="AS483" i="123"/>
  <c r="AT483" i="123"/>
  <c r="AU483" i="123"/>
  <c r="AV483" i="123"/>
  <c r="AW483" i="123"/>
  <c r="AX483" i="123"/>
  <c r="AY483" i="123"/>
  <c r="AZ483" i="123"/>
  <c r="BA483" i="123"/>
  <c r="BB483" i="123"/>
  <c r="BC483" i="123"/>
  <c r="BD483" i="123"/>
  <c r="BE483" i="123"/>
  <c r="BF483" i="123"/>
  <c r="BG483" i="123"/>
  <c r="BH483" i="123"/>
  <c r="BI483" i="123"/>
  <c r="BJ483" i="123"/>
  <c r="BK483" i="123"/>
  <c r="BL483" i="123"/>
  <c r="BM483" i="123"/>
  <c r="BN483" i="123"/>
  <c r="BO483" i="123"/>
  <c r="G483" i="123"/>
  <c r="H471" i="123"/>
  <c r="I471" i="123"/>
  <c r="J471" i="123"/>
  <c r="K471" i="123"/>
  <c r="L471" i="123"/>
  <c r="M471" i="123"/>
  <c r="N471" i="123"/>
  <c r="O471" i="123"/>
  <c r="P471" i="123"/>
  <c r="Q471" i="123"/>
  <c r="R471" i="123"/>
  <c r="AH471" i="123"/>
  <c r="AI471" i="123"/>
  <c r="AJ471" i="123"/>
  <c r="AK471" i="123"/>
  <c r="AL471" i="123"/>
  <c r="AM471" i="123"/>
  <c r="AN471" i="123"/>
  <c r="AO471" i="123"/>
  <c r="AP471" i="123"/>
  <c r="AQ471" i="123"/>
  <c r="AR471" i="123"/>
  <c r="AS471" i="123"/>
  <c r="AT471" i="123"/>
  <c r="AU471" i="123"/>
  <c r="AV471" i="123"/>
  <c r="AW471" i="123"/>
  <c r="AX471" i="123"/>
  <c r="AY471" i="123"/>
  <c r="AZ471" i="123"/>
  <c r="BA471" i="123"/>
  <c r="BB471" i="123"/>
  <c r="BC471" i="123"/>
  <c r="BD471" i="123"/>
  <c r="BE471" i="123"/>
  <c r="BF471" i="123"/>
  <c r="BG471" i="123"/>
  <c r="BH471" i="123"/>
  <c r="BI471" i="123"/>
  <c r="BJ471" i="123"/>
  <c r="BK471" i="123"/>
  <c r="BL471" i="123"/>
  <c r="BM471" i="123"/>
  <c r="BN471" i="123"/>
  <c r="BO471" i="123"/>
  <c r="G471" i="123"/>
  <c r="H463" i="123"/>
  <c r="I463" i="123"/>
  <c r="J463" i="123"/>
  <c r="K463" i="123"/>
  <c r="L463" i="123"/>
  <c r="M463" i="123"/>
  <c r="N463" i="123"/>
  <c r="O463" i="123"/>
  <c r="P463" i="123"/>
  <c r="Q463" i="123"/>
  <c r="R463" i="123"/>
  <c r="AH463" i="123"/>
  <c r="AI463" i="123"/>
  <c r="AJ463" i="123"/>
  <c r="AK463" i="123"/>
  <c r="AL463" i="123"/>
  <c r="AM463" i="123"/>
  <c r="AN463" i="123"/>
  <c r="AO463" i="123"/>
  <c r="AP463" i="123"/>
  <c r="AQ463" i="123"/>
  <c r="AR463" i="123"/>
  <c r="AS463" i="123"/>
  <c r="AT463" i="123"/>
  <c r="AU463" i="123"/>
  <c r="AV463" i="123"/>
  <c r="AW463" i="123"/>
  <c r="AX463" i="123"/>
  <c r="AY463" i="123"/>
  <c r="AZ463" i="123"/>
  <c r="BA463" i="123"/>
  <c r="BB463" i="123"/>
  <c r="BC463" i="123"/>
  <c r="BD463" i="123"/>
  <c r="BE463" i="123"/>
  <c r="BF463" i="123"/>
  <c r="BG463" i="123"/>
  <c r="BH463" i="123"/>
  <c r="BI463" i="123"/>
  <c r="BJ463" i="123"/>
  <c r="BK463" i="123"/>
  <c r="BL463" i="123"/>
  <c r="BM463" i="123"/>
  <c r="BN463" i="123"/>
  <c r="BO463" i="123"/>
  <c r="G463" i="123"/>
  <c r="H457" i="123"/>
  <c r="I457" i="123"/>
  <c r="I525" i="123" s="1"/>
  <c r="J457" i="123"/>
  <c r="K457" i="123"/>
  <c r="L457" i="123"/>
  <c r="M457" i="123"/>
  <c r="M525" i="123" s="1"/>
  <c r="N457" i="123"/>
  <c r="O457" i="123"/>
  <c r="P457" i="123"/>
  <c r="Q457" i="123"/>
  <c r="R457" i="123"/>
  <c r="AH457" i="123"/>
  <c r="AI457" i="123"/>
  <c r="AJ457" i="123"/>
  <c r="AK457" i="123"/>
  <c r="AL457" i="123"/>
  <c r="AM457" i="123"/>
  <c r="AN457" i="123"/>
  <c r="AO457" i="123"/>
  <c r="AP457" i="123"/>
  <c r="AQ457" i="123"/>
  <c r="AR457" i="123"/>
  <c r="AS457" i="123"/>
  <c r="AT457" i="123"/>
  <c r="AU457" i="123"/>
  <c r="AV457" i="123"/>
  <c r="AW457" i="123"/>
  <c r="AX457" i="123"/>
  <c r="AY457" i="123"/>
  <c r="AZ457" i="123"/>
  <c r="BA457" i="123"/>
  <c r="BB457" i="123"/>
  <c r="BC457" i="123"/>
  <c r="BD457" i="123"/>
  <c r="BE457" i="123"/>
  <c r="BF457" i="123"/>
  <c r="BG457" i="123"/>
  <c r="BH457" i="123"/>
  <c r="BI457" i="123"/>
  <c r="BJ457" i="123"/>
  <c r="BK457" i="123"/>
  <c r="BL457" i="123"/>
  <c r="BM457" i="123"/>
  <c r="BN457" i="123"/>
  <c r="BO457" i="123"/>
  <c r="G457" i="123"/>
  <c r="G525" i="123" s="1"/>
  <c r="H449" i="123"/>
  <c r="I449" i="123"/>
  <c r="J449" i="123"/>
  <c r="K449" i="123"/>
  <c r="L449" i="123"/>
  <c r="M449" i="123"/>
  <c r="N449" i="123"/>
  <c r="O449" i="123"/>
  <c r="P449" i="123"/>
  <c r="Q449" i="123"/>
  <c r="R449" i="123"/>
  <c r="AH449" i="123"/>
  <c r="AI449" i="123"/>
  <c r="AJ449" i="123"/>
  <c r="AK449" i="123"/>
  <c r="AL449" i="123"/>
  <c r="AM449" i="123"/>
  <c r="AN449" i="123"/>
  <c r="AO449" i="123"/>
  <c r="AP449" i="123"/>
  <c r="AP525" i="123" s="1"/>
  <c r="AQ449" i="123"/>
  <c r="AR449" i="123"/>
  <c r="AS449" i="123"/>
  <c r="AT449" i="123"/>
  <c r="AU449" i="123"/>
  <c r="AV449" i="123"/>
  <c r="AW449" i="123"/>
  <c r="AX449" i="123"/>
  <c r="AY449" i="123"/>
  <c r="AZ449" i="123"/>
  <c r="BA449" i="123"/>
  <c r="BB449" i="123"/>
  <c r="BC449" i="123"/>
  <c r="BD449" i="123"/>
  <c r="BE449" i="123"/>
  <c r="BF449" i="123"/>
  <c r="BG449" i="123"/>
  <c r="BH449" i="123"/>
  <c r="BI449" i="123"/>
  <c r="BJ449" i="123"/>
  <c r="BJ525" i="123" s="1"/>
  <c r="BK449" i="123"/>
  <c r="BL449" i="123"/>
  <c r="BM449" i="123"/>
  <c r="BN449" i="123"/>
  <c r="BO449" i="123"/>
  <c r="G449" i="123"/>
  <c r="H435" i="123"/>
  <c r="I435" i="123"/>
  <c r="J435" i="123"/>
  <c r="K435" i="123"/>
  <c r="L435" i="123"/>
  <c r="M435" i="123"/>
  <c r="N435" i="123"/>
  <c r="O435" i="123"/>
  <c r="P435" i="123"/>
  <c r="Q435" i="123"/>
  <c r="R435" i="123"/>
  <c r="AH435" i="123"/>
  <c r="AI435" i="123"/>
  <c r="AJ435" i="123"/>
  <c r="AK435" i="123"/>
  <c r="AL435" i="123"/>
  <c r="AM435" i="123"/>
  <c r="AN435" i="123"/>
  <c r="AO435" i="123"/>
  <c r="AP435" i="123"/>
  <c r="AQ435" i="123"/>
  <c r="AR435" i="123"/>
  <c r="AS435" i="123"/>
  <c r="AT435" i="123"/>
  <c r="AU435" i="123"/>
  <c r="AV435" i="123"/>
  <c r="AW435" i="123"/>
  <c r="AX435" i="123"/>
  <c r="AY435" i="123"/>
  <c r="AZ435" i="123"/>
  <c r="BA435" i="123"/>
  <c r="BB435" i="123"/>
  <c r="BC435" i="123"/>
  <c r="BD435" i="123"/>
  <c r="BE435" i="123"/>
  <c r="BF435" i="123"/>
  <c r="BG435" i="123"/>
  <c r="BH435" i="123"/>
  <c r="BI435" i="123"/>
  <c r="BJ435" i="123"/>
  <c r="BK435" i="123"/>
  <c r="BL435" i="123"/>
  <c r="BM435" i="123"/>
  <c r="BN435" i="123"/>
  <c r="BO435" i="123"/>
  <c r="G435" i="123"/>
  <c r="H431" i="123"/>
  <c r="I431" i="123"/>
  <c r="J431" i="123"/>
  <c r="J525" i="123" s="1"/>
  <c r="K431" i="123"/>
  <c r="L431" i="123"/>
  <c r="M431" i="123"/>
  <c r="N431" i="123"/>
  <c r="N525" i="123" s="1"/>
  <c r="O431" i="123"/>
  <c r="O525" i="123" s="1"/>
  <c r="P431" i="123"/>
  <c r="Q431" i="123"/>
  <c r="AH431" i="123"/>
  <c r="AI431" i="123"/>
  <c r="AJ431" i="123"/>
  <c r="AK431" i="123"/>
  <c r="AL431" i="123"/>
  <c r="AM431" i="123"/>
  <c r="AN431" i="123"/>
  <c r="AO431" i="123"/>
  <c r="AP431" i="123"/>
  <c r="AQ431" i="123"/>
  <c r="AR431" i="123"/>
  <c r="AS431" i="123"/>
  <c r="AT431" i="123"/>
  <c r="AU431" i="123"/>
  <c r="AV431" i="123"/>
  <c r="AW431" i="123"/>
  <c r="AX431" i="123"/>
  <c r="AY431" i="123"/>
  <c r="AZ431" i="123"/>
  <c r="BA431" i="123"/>
  <c r="BB431" i="123"/>
  <c r="BC431" i="123"/>
  <c r="BD431" i="123"/>
  <c r="BE431" i="123"/>
  <c r="BF431" i="123"/>
  <c r="BG431" i="123"/>
  <c r="BH431" i="123"/>
  <c r="BI431" i="123"/>
  <c r="BJ431" i="123"/>
  <c r="BK431" i="123"/>
  <c r="BL431" i="123"/>
  <c r="BM431" i="123"/>
  <c r="BN431" i="123"/>
  <c r="BO431" i="123"/>
  <c r="G431" i="123"/>
  <c r="H411" i="123"/>
  <c r="I411" i="123"/>
  <c r="J411" i="123"/>
  <c r="K411" i="123"/>
  <c r="L411" i="123"/>
  <c r="M411" i="123"/>
  <c r="N411" i="123"/>
  <c r="O411" i="123"/>
  <c r="P411" i="123"/>
  <c r="Q411" i="123"/>
  <c r="R411" i="123"/>
  <c r="AH411" i="123"/>
  <c r="AI411" i="123"/>
  <c r="AJ411" i="123"/>
  <c r="AK411" i="123"/>
  <c r="AL411" i="123"/>
  <c r="AM411" i="123"/>
  <c r="AN411" i="123"/>
  <c r="AO411" i="123"/>
  <c r="AP411" i="123"/>
  <c r="AQ411" i="123"/>
  <c r="AR411" i="123"/>
  <c r="AS411" i="123"/>
  <c r="AT411" i="123"/>
  <c r="AU411" i="123"/>
  <c r="AV411" i="123"/>
  <c r="AW411" i="123"/>
  <c r="AX411" i="123"/>
  <c r="AY411" i="123"/>
  <c r="AZ411" i="123"/>
  <c r="BA411" i="123"/>
  <c r="BB411" i="123"/>
  <c r="BC411" i="123"/>
  <c r="BD411" i="123"/>
  <c r="BE411" i="123"/>
  <c r="BF411" i="123"/>
  <c r="BG411" i="123"/>
  <c r="BH411" i="123"/>
  <c r="BI411" i="123"/>
  <c r="BJ411" i="123"/>
  <c r="BK411" i="123"/>
  <c r="BL411" i="123"/>
  <c r="BM411" i="123"/>
  <c r="BN411" i="123"/>
  <c r="BO411" i="123"/>
  <c r="G411" i="123"/>
  <c r="H396" i="123"/>
  <c r="I396" i="123"/>
  <c r="J396" i="123"/>
  <c r="K396" i="123"/>
  <c r="L396" i="123"/>
  <c r="M396" i="123"/>
  <c r="N396" i="123"/>
  <c r="O396" i="123"/>
  <c r="P396" i="123"/>
  <c r="P525" i="123" s="1"/>
  <c r="Q396" i="123"/>
  <c r="R396" i="123"/>
  <c r="AH396" i="123"/>
  <c r="AI396" i="123"/>
  <c r="AJ396" i="123"/>
  <c r="AK396" i="123"/>
  <c r="AL396" i="123"/>
  <c r="AM396" i="123"/>
  <c r="AN396" i="123"/>
  <c r="AO396" i="123"/>
  <c r="AP396" i="123"/>
  <c r="AQ396" i="123"/>
  <c r="AR396" i="123"/>
  <c r="AS396" i="123"/>
  <c r="AT396" i="123"/>
  <c r="AU396" i="123"/>
  <c r="AV396" i="123"/>
  <c r="AW396" i="123"/>
  <c r="AX396" i="123"/>
  <c r="AY396" i="123"/>
  <c r="AZ396" i="123"/>
  <c r="BA396" i="123"/>
  <c r="BB396" i="123"/>
  <c r="BC396" i="123"/>
  <c r="BD396" i="123"/>
  <c r="BE396" i="123"/>
  <c r="BF396" i="123"/>
  <c r="BG396" i="123"/>
  <c r="BH396" i="123"/>
  <c r="BI396" i="123"/>
  <c r="BJ396" i="123"/>
  <c r="BK396" i="123"/>
  <c r="BL396" i="123"/>
  <c r="BM396" i="123"/>
  <c r="BN396" i="123"/>
  <c r="BO396" i="123"/>
  <c r="G396" i="123"/>
  <c r="H381" i="123"/>
  <c r="I381" i="123"/>
  <c r="J381" i="123"/>
  <c r="K381" i="123"/>
  <c r="L381" i="123"/>
  <c r="M381" i="123"/>
  <c r="N381" i="123"/>
  <c r="O381" i="123"/>
  <c r="P381" i="123"/>
  <c r="Q381" i="123"/>
  <c r="R381" i="123"/>
  <c r="AH381" i="123"/>
  <c r="AI381" i="123"/>
  <c r="AJ381" i="123"/>
  <c r="AJ525" i="123" s="1"/>
  <c r="AK381" i="123"/>
  <c r="AL381" i="123"/>
  <c r="AM381" i="123"/>
  <c r="AN381" i="123"/>
  <c r="AO381" i="123"/>
  <c r="AP381" i="123"/>
  <c r="AQ381" i="123"/>
  <c r="AR381" i="123"/>
  <c r="AS381" i="123"/>
  <c r="AT381" i="123"/>
  <c r="AU381" i="123"/>
  <c r="AV381" i="123"/>
  <c r="AW381" i="123"/>
  <c r="AX381" i="123"/>
  <c r="AY381" i="123"/>
  <c r="AZ381" i="123"/>
  <c r="BA381" i="123"/>
  <c r="BB381" i="123"/>
  <c r="BC381" i="123"/>
  <c r="BD381" i="123"/>
  <c r="BE381" i="123"/>
  <c r="BF381" i="123"/>
  <c r="BG381" i="123"/>
  <c r="BH381" i="123"/>
  <c r="BI381" i="123"/>
  <c r="BJ381" i="123"/>
  <c r="BK381" i="123"/>
  <c r="BL381" i="123"/>
  <c r="BM381" i="123"/>
  <c r="BN381" i="123"/>
  <c r="BO381" i="123"/>
  <c r="G381" i="123"/>
  <c r="BO388" i="123"/>
  <c r="BO525" i="123" s="1"/>
  <c r="BN388" i="123"/>
  <c r="BM388" i="123"/>
  <c r="BL388" i="123"/>
  <c r="BK388" i="123"/>
  <c r="BK525" i="123" s="1"/>
  <c r="BJ388" i="123"/>
  <c r="BI388" i="123"/>
  <c r="BH388" i="123"/>
  <c r="BG388" i="123"/>
  <c r="BG525" i="123" s="1"/>
  <c r="BF388" i="123"/>
  <c r="BE388" i="123"/>
  <c r="BD388" i="123"/>
  <c r="BC388" i="123"/>
  <c r="BC525" i="123" s="1"/>
  <c r="BB388" i="123"/>
  <c r="BA388" i="123"/>
  <c r="AZ388" i="123"/>
  <c r="AY388" i="123"/>
  <c r="AY525" i="123" s="1"/>
  <c r="AX388" i="123"/>
  <c r="AW388" i="123"/>
  <c r="AV388" i="123"/>
  <c r="AU388" i="123"/>
  <c r="AT388" i="123"/>
  <c r="AS388" i="123"/>
  <c r="AR388" i="123"/>
  <c r="AQ388" i="123"/>
  <c r="AP388" i="123"/>
  <c r="AO388" i="123"/>
  <c r="AN388" i="123"/>
  <c r="AM388" i="123"/>
  <c r="AM525" i="123" s="1"/>
  <c r="AL388" i="123"/>
  <c r="AK388" i="123"/>
  <c r="AJ388" i="123"/>
  <c r="AI388" i="123"/>
  <c r="AI525" i="123" s="1"/>
  <c r="AH388" i="123"/>
  <c r="R388" i="123"/>
  <c r="Q388" i="123"/>
  <c r="P388" i="123"/>
  <c r="O388" i="123"/>
  <c r="N388" i="123"/>
  <c r="M388" i="123"/>
  <c r="L388" i="123"/>
  <c r="K388" i="123"/>
  <c r="J388" i="123"/>
  <c r="I388" i="123"/>
  <c r="H388" i="123"/>
  <c r="G388" i="123"/>
  <c r="BO366" i="123"/>
  <c r="BN366" i="123"/>
  <c r="BN525" i="123" s="1"/>
  <c r="BM366" i="123"/>
  <c r="BL366" i="123"/>
  <c r="BK366" i="123"/>
  <c r="BJ366" i="123"/>
  <c r="BI366" i="123"/>
  <c r="BH366" i="123"/>
  <c r="BG366" i="123"/>
  <c r="BF366" i="123"/>
  <c r="BF525" i="123" s="1"/>
  <c r="BE366" i="123"/>
  <c r="BE525" i="123" s="1"/>
  <c r="BD366" i="123"/>
  <c r="BC366" i="123"/>
  <c r="BB366" i="123"/>
  <c r="BB525" i="123" s="1"/>
  <c r="BA366" i="123"/>
  <c r="BA525" i="123" s="1"/>
  <c r="AZ366" i="123"/>
  <c r="AY366" i="123"/>
  <c r="AX366" i="123"/>
  <c r="AW366" i="123"/>
  <c r="AW525" i="123" s="1"/>
  <c r="AV366" i="123"/>
  <c r="AU366" i="123"/>
  <c r="AT366" i="123"/>
  <c r="AT525" i="123" s="1"/>
  <c r="AS366" i="123"/>
  <c r="AR366" i="123"/>
  <c r="AR525" i="123" s="1"/>
  <c r="AQ366" i="123"/>
  <c r="AP366" i="123"/>
  <c r="AO366" i="123"/>
  <c r="AO525" i="123" s="1"/>
  <c r="AN366" i="123"/>
  <c r="AM366" i="123"/>
  <c r="AL366" i="123"/>
  <c r="AK366" i="123"/>
  <c r="AJ366" i="123"/>
  <c r="AI366" i="123"/>
  <c r="AH366" i="123"/>
  <c r="AH525" i="123" s="1"/>
  <c r="Q366" i="123"/>
  <c r="P366" i="123"/>
  <c r="O366" i="123"/>
  <c r="N366" i="123"/>
  <c r="M366" i="123"/>
  <c r="L366" i="123"/>
  <c r="K366" i="123"/>
  <c r="J366" i="123"/>
  <c r="I366" i="123"/>
  <c r="H366" i="123"/>
  <c r="G366" i="123"/>
  <c r="R873" i="123"/>
  <c r="M873" i="123"/>
  <c r="P873" i="123"/>
  <c r="J873" i="123"/>
  <c r="I873" i="123"/>
  <c r="G873" i="123"/>
  <c r="BK679" i="123"/>
  <c r="BG679" i="123"/>
  <c r="BC679" i="123"/>
  <c r="AU679" i="123"/>
  <c r="AQ679" i="123"/>
  <c r="AM679" i="123"/>
  <c r="O679" i="123"/>
  <c r="O699" i="123" s="1"/>
  <c r="K25" i="11" s="1"/>
  <c r="K679" i="123"/>
  <c r="BM679" i="123"/>
  <c r="BI679" i="123"/>
  <c r="BE679" i="123"/>
  <c r="AW679" i="123"/>
  <c r="AS679" i="123"/>
  <c r="AO679" i="123"/>
  <c r="Q679" i="123"/>
  <c r="Q699" i="123" s="1"/>
  <c r="M25" i="11" s="1"/>
  <c r="M679" i="123"/>
  <c r="I679" i="123"/>
  <c r="I699" i="123" s="1"/>
  <c r="E25" i="11" s="1"/>
  <c r="G679" i="123"/>
  <c r="BL679" i="123"/>
  <c r="BH679" i="123"/>
  <c r="BD679" i="123"/>
  <c r="AV679" i="123"/>
  <c r="AR679" i="123"/>
  <c r="AN679" i="123"/>
  <c r="P679" i="123"/>
  <c r="P699" i="123" s="1"/>
  <c r="L25" i="11" s="1"/>
  <c r="N48" i="34" s="1"/>
  <c r="F43" i="57" s="1"/>
  <c r="L679" i="123"/>
  <c r="H679" i="123"/>
  <c r="H699" i="123" s="1"/>
  <c r="D25" i="11" s="1"/>
  <c r="BN679" i="123"/>
  <c r="BF679" i="123"/>
  <c r="BB679" i="123"/>
  <c r="AX679" i="123"/>
  <c r="AP679" i="123"/>
  <c r="AL679" i="123"/>
  <c r="AH679" i="123"/>
  <c r="R699" i="123"/>
  <c r="N25" i="11" s="1"/>
  <c r="N679" i="123"/>
  <c r="N699" i="123" s="1"/>
  <c r="J699" i="123"/>
  <c r="F25" i="11" s="1"/>
  <c r="AZ525" i="123"/>
  <c r="L525" i="123"/>
  <c r="BG505" i="123"/>
  <c r="AQ505" i="123"/>
  <c r="AQ525" i="123"/>
  <c r="BM525" i="123"/>
  <c r="BA505" i="123"/>
  <c r="AS505" i="123"/>
  <c r="AS525" i="123"/>
  <c r="Q525" i="123"/>
  <c r="BK505" i="123"/>
  <c r="AU505" i="123"/>
  <c r="AU525" i="123"/>
  <c r="K525" i="123"/>
  <c r="BF505" i="123"/>
  <c r="AL525" i="123"/>
  <c r="N505" i="123"/>
  <c r="H349" i="123"/>
  <c r="I349" i="123"/>
  <c r="J349" i="123"/>
  <c r="K349" i="123"/>
  <c r="L349" i="123"/>
  <c r="M349" i="123"/>
  <c r="N349" i="123"/>
  <c r="O349" i="123"/>
  <c r="P349" i="123"/>
  <c r="Q349" i="123"/>
  <c r="R349" i="123"/>
  <c r="AH349" i="123"/>
  <c r="AI349" i="123"/>
  <c r="AJ349" i="123"/>
  <c r="AK349" i="123"/>
  <c r="AL349" i="123"/>
  <c r="AM349" i="123"/>
  <c r="AN349" i="123"/>
  <c r="AO349" i="123"/>
  <c r="AP349" i="123"/>
  <c r="AQ349" i="123"/>
  <c r="AR349" i="123"/>
  <c r="AS349" i="123"/>
  <c r="AT349" i="123"/>
  <c r="AU349" i="123"/>
  <c r="AV349" i="123"/>
  <c r="AW349" i="123"/>
  <c r="AX349" i="123"/>
  <c r="AY349" i="123"/>
  <c r="AZ349" i="123"/>
  <c r="BA349" i="123"/>
  <c r="BB349" i="123"/>
  <c r="BC349" i="123"/>
  <c r="BD349" i="123"/>
  <c r="BE349" i="123"/>
  <c r="BF349" i="123"/>
  <c r="BG349" i="123"/>
  <c r="BH349" i="123"/>
  <c r="BI349" i="123"/>
  <c r="BJ349" i="123"/>
  <c r="BK349" i="123"/>
  <c r="BL349" i="123"/>
  <c r="BM349" i="123"/>
  <c r="BN349" i="123"/>
  <c r="BO349" i="123"/>
  <c r="G349" i="123"/>
  <c r="H338" i="123"/>
  <c r="I338" i="123"/>
  <c r="J338" i="123"/>
  <c r="K338" i="123"/>
  <c r="L338" i="123"/>
  <c r="M338" i="123"/>
  <c r="N338" i="123"/>
  <c r="O338" i="123"/>
  <c r="P338" i="123"/>
  <c r="Q338" i="123"/>
  <c r="R338" i="123"/>
  <c r="AH338" i="123"/>
  <c r="AI338" i="123"/>
  <c r="AJ338" i="123"/>
  <c r="AK338" i="123"/>
  <c r="AL338" i="123"/>
  <c r="AM338" i="123"/>
  <c r="AN338" i="123"/>
  <c r="AO338" i="123"/>
  <c r="AP338" i="123"/>
  <c r="AQ338" i="123"/>
  <c r="AR338" i="123"/>
  <c r="AS338" i="123"/>
  <c r="AT338" i="123"/>
  <c r="AU338" i="123"/>
  <c r="AV338" i="123"/>
  <c r="AW338" i="123"/>
  <c r="AX338" i="123"/>
  <c r="AY338" i="123"/>
  <c r="AZ338" i="123"/>
  <c r="BA338" i="123"/>
  <c r="BB338" i="123"/>
  <c r="BC338" i="123"/>
  <c r="BD338" i="123"/>
  <c r="BE338" i="123"/>
  <c r="BF338" i="123"/>
  <c r="BG338" i="123"/>
  <c r="BH338" i="123"/>
  <c r="BI338" i="123"/>
  <c r="BJ338" i="123"/>
  <c r="BK338" i="123"/>
  <c r="BL338" i="123"/>
  <c r="BM338" i="123"/>
  <c r="BN338" i="123"/>
  <c r="BO338" i="123"/>
  <c r="G338" i="123"/>
  <c r="H329" i="123"/>
  <c r="I329" i="123"/>
  <c r="I331" i="123" s="1"/>
  <c r="I351" i="123" s="1"/>
  <c r="J329" i="123"/>
  <c r="K329" i="123"/>
  <c r="K331" i="123" s="1"/>
  <c r="L329" i="123"/>
  <c r="M329" i="123"/>
  <c r="N329" i="123"/>
  <c r="O329" i="123"/>
  <c r="O331" i="123" s="1"/>
  <c r="P329" i="123"/>
  <c r="Q329" i="123"/>
  <c r="Q331" i="123" s="1"/>
  <c r="R329" i="123"/>
  <c r="AH329" i="123"/>
  <c r="AH331" i="123" s="1"/>
  <c r="AI329" i="123"/>
  <c r="AJ329" i="123"/>
  <c r="AK329" i="123"/>
  <c r="AL329" i="123"/>
  <c r="AL331" i="123" s="1"/>
  <c r="AM329" i="123"/>
  <c r="AN329" i="123"/>
  <c r="AN331" i="123" s="1"/>
  <c r="AN351" i="123" s="1"/>
  <c r="AO329" i="123"/>
  <c r="AP329" i="123"/>
  <c r="AP331" i="123" s="1"/>
  <c r="AQ329" i="123"/>
  <c r="AR329" i="123"/>
  <c r="AR331" i="123" s="1"/>
  <c r="AS329" i="123"/>
  <c r="AT329" i="123"/>
  <c r="AT331" i="123" s="1"/>
  <c r="AU329" i="123"/>
  <c r="AV329" i="123"/>
  <c r="AW329" i="123"/>
  <c r="AX329" i="123"/>
  <c r="AX331" i="123" s="1"/>
  <c r="AY329" i="123"/>
  <c r="AZ329" i="123"/>
  <c r="BA329" i="123"/>
  <c r="BB329" i="123"/>
  <c r="BB331" i="123" s="1"/>
  <c r="BC329" i="123"/>
  <c r="BD329" i="123"/>
  <c r="BD331" i="123" s="1"/>
  <c r="BE329" i="123"/>
  <c r="BF329" i="123"/>
  <c r="BF331" i="123" s="1"/>
  <c r="BG329" i="123"/>
  <c r="BH329" i="123"/>
  <c r="BH331" i="123" s="1"/>
  <c r="BH351" i="123" s="1"/>
  <c r="BI329" i="123"/>
  <c r="BJ329" i="123"/>
  <c r="BJ331" i="123" s="1"/>
  <c r="BK329" i="123"/>
  <c r="BL329" i="123"/>
  <c r="BM329" i="123"/>
  <c r="BN329" i="123"/>
  <c r="BN331" i="123" s="1"/>
  <c r="BO329" i="123"/>
  <c r="G329" i="123"/>
  <c r="H309" i="123"/>
  <c r="I309" i="123"/>
  <c r="J309" i="123"/>
  <c r="K309" i="123"/>
  <c r="L309" i="123"/>
  <c r="M309" i="123"/>
  <c r="N309" i="123"/>
  <c r="O309" i="123"/>
  <c r="P309" i="123"/>
  <c r="Q309" i="123"/>
  <c r="R309" i="123"/>
  <c r="AH309" i="123"/>
  <c r="AI309" i="123"/>
  <c r="AJ309" i="123"/>
  <c r="AK309" i="123"/>
  <c r="AL309" i="123"/>
  <c r="AM309" i="123"/>
  <c r="AN309" i="123"/>
  <c r="AO309" i="123"/>
  <c r="AP309" i="123"/>
  <c r="AQ309" i="123"/>
  <c r="AR309" i="123"/>
  <c r="AS309" i="123"/>
  <c r="AT309" i="123"/>
  <c r="AU309" i="123"/>
  <c r="AV309" i="123"/>
  <c r="AW309" i="123"/>
  <c r="AX309" i="123"/>
  <c r="AY309" i="123"/>
  <c r="AZ309" i="123"/>
  <c r="BA309" i="123"/>
  <c r="BB309" i="123"/>
  <c r="BC309" i="123"/>
  <c r="BD309" i="123"/>
  <c r="BE309" i="123"/>
  <c r="BF309" i="123"/>
  <c r="BG309" i="123"/>
  <c r="BH309" i="123"/>
  <c r="BI309" i="123"/>
  <c r="BJ309" i="123"/>
  <c r="BK309" i="123"/>
  <c r="BL309" i="123"/>
  <c r="BM309" i="123"/>
  <c r="BN309" i="123"/>
  <c r="BO309" i="123"/>
  <c r="H319" i="123"/>
  <c r="I319" i="123"/>
  <c r="J319" i="123"/>
  <c r="J331" i="123" s="1"/>
  <c r="J351" i="123" s="1"/>
  <c r="K319" i="123"/>
  <c r="L319" i="123"/>
  <c r="M319" i="123"/>
  <c r="N319" i="123"/>
  <c r="O319" i="123"/>
  <c r="P319" i="123"/>
  <c r="P331" i="123" s="1"/>
  <c r="Q319" i="123"/>
  <c r="R319" i="123"/>
  <c r="R331" i="123" s="1"/>
  <c r="AH319" i="123"/>
  <c r="AI319" i="123"/>
  <c r="AI331" i="123" s="1"/>
  <c r="AJ319" i="123"/>
  <c r="AK319" i="123"/>
  <c r="AK331" i="123" s="1"/>
  <c r="AL319" i="123"/>
  <c r="AM319" i="123"/>
  <c r="AN319" i="123"/>
  <c r="AO319" i="123"/>
  <c r="AO331" i="123" s="1"/>
  <c r="AP319" i="123"/>
  <c r="AQ319" i="123"/>
  <c r="AQ331" i="123" s="1"/>
  <c r="AR319" i="123"/>
  <c r="AS319" i="123"/>
  <c r="AS331" i="123" s="1"/>
  <c r="AT319" i="123"/>
  <c r="AU319" i="123"/>
  <c r="AV319" i="123"/>
  <c r="AW319" i="123"/>
  <c r="AW331" i="123" s="1"/>
  <c r="AW351" i="123" s="1"/>
  <c r="AX319" i="123"/>
  <c r="AY319" i="123"/>
  <c r="AY331" i="123" s="1"/>
  <c r="AZ319" i="123"/>
  <c r="BA319" i="123"/>
  <c r="BA331" i="123" s="1"/>
  <c r="BB319" i="123"/>
  <c r="BC319" i="123"/>
  <c r="BD319" i="123"/>
  <c r="BE319" i="123"/>
  <c r="BE331" i="123" s="1"/>
  <c r="BF319" i="123"/>
  <c r="BG319" i="123"/>
  <c r="BG331" i="123" s="1"/>
  <c r="BH319" i="123"/>
  <c r="BI319" i="123"/>
  <c r="BI331" i="123" s="1"/>
  <c r="BJ319" i="123"/>
  <c r="BK319" i="123"/>
  <c r="BL319" i="123"/>
  <c r="BM319" i="123"/>
  <c r="BM331" i="123" s="1"/>
  <c r="BN319" i="123"/>
  <c r="BO319" i="123"/>
  <c r="BO331" i="123" s="1"/>
  <c r="G319" i="123"/>
  <c r="G309" i="123"/>
  <c r="H297" i="123"/>
  <c r="I297" i="123"/>
  <c r="J297" i="123"/>
  <c r="K297" i="123"/>
  <c r="L297" i="123"/>
  <c r="M297" i="123"/>
  <c r="N297" i="123"/>
  <c r="O297" i="123"/>
  <c r="P297" i="123"/>
  <c r="Q297" i="123"/>
  <c r="R297" i="123"/>
  <c r="AH297" i="123"/>
  <c r="AI297" i="123"/>
  <c r="AJ297" i="123"/>
  <c r="AK297" i="123"/>
  <c r="AL297" i="123"/>
  <c r="AM297" i="123"/>
  <c r="AN297" i="123"/>
  <c r="AO297" i="123"/>
  <c r="AP297" i="123"/>
  <c r="AQ297" i="123"/>
  <c r="AR297" i="123"/>
  <c r="AS297" i="123"/>
  <c r="AT297" i="123"/>
  <c r="AU297" i="123"/>
  <c r="AV297" i="123"/>
  <c r="AW297" i="123"/>
  <c r="AX297" i="123"/>
  <c r="AY297" i="123"/>
  <c r="AZ297" i="123"/>
  <c r="BA297" i="123"/>
  <c r="BB297" i="123"/>
  <c r="BC297" i="123"/>
  <c r="BD297" i="123"/>
  <c r="BE297" i="123"/>
  <c r="BF297" i="123"/>
  <c r="BG297" i="123"/>
  <c r="BH297" i="123"/>
  <c r="BI297" i="123"/>
  <c r="BJ297" i="123"/>
  <c r="BK297" i="123"/>
  <c r="BL297" i="123"/>
  <c r="BM297" i="123"/>
  <c r="BN297" i="123"/>
  <c r="BO297" i="123"/>
  <c r="G297" i="123"/>
  <c r="H283" i="123"/>
  <c r="I283" i="123"/>
  <c r="J283" i="123"/>
  <c r="K283" i="123"/>
  <c r="L283" i="123"/>
  <c r="M283" i="123"/>
  <c r="N283" i="123"/>
  <c r="O283" i="123"/>
  <c r="P283" i="123"/>
  <c r="Q283" i="123"/>
  <c r="R283" i="123"/>
  <c r="AH283" i="123"/>
  <c r="AI283" i="123"/>
  <c r="AJ283" i="123"/>
  <c r="AK283" i="123"/>
  <c r="AL283" i="123"/>
  <c r="AM283" i="123"/>
  <c r="AN283" i="123"/>
  <c r="AO283" i="123"/>
  <c r="AP283" i="123"/>
  <c r="AQ283" i="123"/>
  <c r="AR283" i="123"/>
  <c r="AS283" i="123"/>
  <c r="AT283" i="123"/>
  <c r="AU283" i="123"/>
  <c r="AV283" i="123"/>
  <c r="AW283" i="123"/>
  <c r="AX283" i="123"/>
  <c r="AY283" i="123"/>
  <c r="AZ283" i="123"/>
  <c r="BA283" i="123"/>
  <c r="BB283" i="123"/>
  <c r="BC283" i="123"/>
  <c r="BD283" i="123"/>
  <c r="BE283" i="123"/>
  <c r="BF283" i="123"/>
  <c r="BG283" i="123"/>
  <c r="BH283" i="123"/>
  <c r="BI283" i="123"/>
  <c r="BJ283" i="123"/>
  <c r="BK283" i="123"/>
  <c r="BL283" i="123"/>
  <c r="BM283" i="123"/>
  <c r="BN283" i="123"/>
  <c r="BO283" i="123"/>
  <c r="G283" i="123"/>
  <c r="H275" i="123"/>
  <c r="I275" i="123"/>
  <c r="J275" i="123"/>
  <c r="K275" i="123"/>
  <c r="L275" i="123"/>
  <c r="M275" i="123"/>
  <c r="N275" i="123"/>
  <c r="O275" i="123"/>
  <c r="P275" i="123"/>
  <c r="Q275" i="123"/>
  <c r="R275" i="123"/>
  <c r="AH275" i="123"/>
  <c r="AI275" i="123"/>
  <c r="AJ275" i="123"/>
  <c r="AK275" i="123"/>
  <c r="AL275" i="123"/>
  <c r="AM275" i="123"/>
  <c r="AN275" i="123"/>
  <c r="AO275" i="123"/>
  <c r="AP275" i="123"/>
  <c r="AQ275" i="123"/>
  <c r="AR275" i="123"/>
  <c r="AS275" i="123"/>
  <c r="AT275" i="123"/>
  <c r="AU275" i="123"/>
  <c r="AV275" i="123"/>
  <c r="AW275" i="123"/>
  <c r="AX275" i="123"/>
  <c r="AY275" i="123"/>
  <c r="AZ275" i="123"/>
  <c r="BA275" i="123"/>
  <c r="BB275" i="123"/>
  <c r="BC275" i="123"/>
  <c r="BD275" i="123"/>
  <c r="BE275" i="123"/>
  <c r="BF275" i="123"/>
  <c r="BG275" i="123"/>
  <c r="BH275" i="123"/>
  <c r="BI275" i="123"/>
  <c r="BJ275" i="123"/>
  <c r="BK275" i="123"/>
  <c r="BL275" i="123"/>
  <c r="BM275" i="123"/>
  <c r="BN275" i="123"/>
  <c r="BO275" i="123"/>
  <c r="G275" i="123"/>
  <c r="H261" i="123"/>
  <c r="I261" i="123"/>
  <c r="J261" i="123"/>
  <c r="K261" i="123"/>
  <c r="L261" i="123"/>
  <c r="M261" i="123"/>
  <c r="N261" i="123"/>
  <c r="O261" i="123"/>
  <c r="P261" i="123"/>
  <c r="Q261" i="123"/>
  <c r="R261" i="123"/>
  <c r="AH261" i="123"/>
  <c r="AI261" i="123"/>
  <c r="AJ261" i="123"/>
  <c r="AK261" i="123"/>
  <c r="AL261" i="123"/>
  <c r="AM261" i="123"/>
  <c r="AN261" i="123"/>
  <c r="AO261" i="123"/>
  <c r="AP261" i="123"/>
  <c r="AQ261" i="123"/>
  <c r="AR261" i="123"/>
  <c r="AS261" i="123"/>
  <c r="AT261" i="123"/>
  <c r="AU261" i="123"/>
  <c r="AV261" i="123"/>
  <c r="AW261" i="123"/>
  <c r="AX261" i="123"/>
  <c r="AY261" i="123"/>
  <c r="AZ261" i="123"/>
  <c r="BA261" i="123"/>
  <c r="BB261" i="123"/>
  <c r="BC261" i="123"/>
  <c r="BD261" i="123"/>
  <c r="BE261" i="123"/>
  <c r="BF261" i="123"/>
  <c r="BG261" i="123"/>
  <c r="BH261" i="123"/>
  <c r="BI261" i="123"/>
  <c r="BJ261" i="123"/>
  <c r="BK261" i="123"/>
  <c r="BL261" i="123"/>
  <c r="BM261" i="123"/>
  <c r="BN261" i="123"/>
  <c r="BO261" i="123"/>
  <c r="G261" i="123"/>
  <c r="H237" i="123"/>
  <c r="I237" i="123"/>
  <c r="J237" i="123"/>
  <c r="K237" i="123"/>
  <c r="L237" i="123"/>
  <c r="M237" i="123"/>
  <c r="N237" i="123"/>
  <c r="O237" i="123"/>
  <c r="P237" i="123"/>
  <c r="Q237" i="123"/>
  <c r="R237" i="123"/>
  <c r="AH237" i="123"/>
  <c r="AI237" i="123"/>
  <c r="AJ237" i="123"/>
  <c r="AK237" i="123"/>
  <c r="AL237" i="123"/>
  <c r="AM237" i="123"/>
  <c r="AN237" i="123"/>
  <c r="AO237" i="123"/>
  <c r="AP237" i="123"/>
  <c r="AQ237" i="123"/>
  <c r="AR237" i="123"/>
  <c r="AS237" i="123"/>
  <c r="AT237" i="123"/>
  <c r="AU237" i="123"/>
  <c r="AV237" i="123"/>
  <c r="AW237" i="123"/>
  <c r="AX237" i="123"/>
  <c r="AY237" i="123"/>
  <c r="AZ237" i="123"/>
  <c r="BA237" i="123"/>
  <c r="BB237" i="123"/>
  <c r="BC237" i="123"/>
  <c r="BD237" i="123"/>
  <c r="BE237" i="123"/>
  <c r="BF237" i="123"/>
  <c r="BG237" i="123"/>
  <c r="BH237" i="123"/>
  <c r="BI237" i="123"/>
  <c r="BJ237" i="123"/>
  <c r="BK237" i="123"/>
  <c r="BL237" i="123"/>
  <c r="BM237" i="123"/>
  <c r="BN237" i="123"/>
  <c r="BO237" i="123"/>
  <c r="H257" i="123"/>
  <c r="I257" i="123"/>
  <c r="J257" i="123"/>
  <c r="K257" i="123"/>
  <c r="L257" i="123"/>
  <c r="M257" i="123"/>
  <c r="N257" i="123"/>
  <c r="O257" i="123"/>
  <c r="P257" i="123"/>
  <c r="P351" i="123" s="1"/>
  <c r="Q257" i="123"/>
  <c r="R257" i="123"/>
  <c r="AH257" i="123"/>
  <c r="AI257" i="123"/>
  <c r="AI351" i="123" s="1"/>
  <c r="AJ257" i="123"/>
  <c r="AK257" i="123"/>
  <c r="AL257" i="123"/>
  <c r="AM257" i="123"/>
  <c r="AN257" i="123"/>
  <c r="AO257" i="123"/>
  <c r="AP257" i="123"/>
  <c r="AQ257" i="123"/>
  <c r="AQ351" i="123" s="1"/>
  <c r="AR257" i="123"/>
  <c r="AS257" i="123"/>
  <c r="AT257" i="123"/>
  <c r="AU257" i="123"/>
  <c r="AV257" i="123"/>
  <c r="AW257" i="123"/>
  <c r="AX257" i="123"/>
  <c r="AY257" i="123"/>
  <c r="AY351" i="123" s="1"/>
  <c r="AZ257" i="123"/>
  <c r="BA257" i="123"/>
  <c r="BB257" i="123"/>
  <c r="BC257" i="123"/>
  <c r="BD257" i="123"/>
  <c r="BE257" i="123"/>
  <c r="BF257" i="123"/>
  <c r="BG257" i="123"/>
  <c r="BG351" i="123" s="1"/>
  <c r="BH257" i="123"/>
  <c r="BI257" i="123"/>
  <c r="BJ257" i="123"/>
  <c r="BK257" i="123"/>
  <c r="BL257" i="123"/>
  <c r="BM257" i="123"/>
  <c r="BN257" i="123"/>
  <c r="BO257" i="123"/>
  <c r="BO351" i="123" s="1"/>
  <c r="G257" i="123"/>
  <c r="G237" i="123"/>
  <c r="H222" i="123"/>
  <c r="I222" i="123"/>
  <c r="J222" i="123"/>
  <c r="K222" i="123"/>
  <c r="L222" i="123"/>
  <c r="M222" i="123"/>
  <c r="N222" i="123"/>
  <c r="O222" i="123"/>
  <c r="P222" i="123"/>
  <c r="Q222" i="123"/>
  <c r="R222" i="123"/>
  <c r="AH222" i="123"/>
  <c r="AI222" i="123"/>
  <c r="AJ222" i="123"/>
  <c r="AK222" i="123"/>
  <c r="AL222" i="123"/>
  <c r="AM222" i="123"/>
  <c r="AN222" i="123"/>
  <c r="AO222" i="123"/>
  <c r="AP222" i="123"/>
  <c r="AQ222" i="123"/>
  <c r="AR222" i="123"/>
  <c r="AS222" i="123"/>
  <c r="AT222" i="123"/>
  <c r="AU222" i="123"/>
  <c r="AV222" i="123"/>
  <c r="AW222" i="123"/>
  <c r="AX222" i="123"/>
  <c r="AY222" i="123"/>
  <c r="AZ222" i="123"/>
  <c r="BA222" i="123"/>
  <c r="BB222" i="123"/>
  <c r="BC222" i="123"/>
  <c r="BD222" i="123"/>
  <c r="BE222" i="123"/>
  <c r="BF222" i="123"/>
  <c r="BG222" i="123"/>
  <c r="BH222" i="123"/>
  <c r="BI222" i="123"/>
  <c r="BJ222" i="123"/>
  <c r="BK222" i="123"/>
  <c r="BL222" i="123"/>
  <c r="BM222" i="123"/>
  <c r="BN222" i="123"/>
  <c r="BO222" i="123"/>
  <c r="G222" i="123"/>
  <c r="BO207" i="123"/>
  <c r="BN207" i="123"/>
  <c r="BM207" i="123"/>
  <c r="BL207" i="123"/>
  <c r="BK207" i="123"/>
  <c r="BJ207" i="123"/>
  <c r="BI207" i="123"/>
  <c r="BH207" i="123"/>
  <c r="BG207" i="123"/>
  <c r="BF207" i="123"/>
  <c r="BE207" i="123"/>
  <c r="BD207" i="123"/>
  <c r="BC207" i="123"/>
  <c r="BB207" i="123"/>
  <c r="BA207" i="123"/>
  <c r="AZ207" i="123"/>
  <c r="AY207" i="123"/>
  <c r="AX207" i="123"/>
  <c r="AW207" i="123"/>
  <c r="AV207" i="123"/>
  <c r="AU207" i="123"/>
  <c r="AT207" i="123"/>
  <c r="AS207" i="123"/>
  <c r="AR207" i="123"/>
  <c r="AQ207" i="123"/>
  <c r="AP207" i="123"/>
  <c r="AO207" i="123"/>
  <c r="AN207" i="123"/>
  <c r="AM207" i="123"/>
  <c r="AL207" i="123"/>
  <c r="AK207" i="123"/>
  <c r="AJ207" i="123"/>
  <c r="AI207" i="123"/>
  <c r="AH207" i="123"/>
  <c r="R207" i="123"/>
  <c r="Q207" i="123"/>
  <c r="P207" i="123"/>
  <c r="O207" i="123"/>
  <c r="N207" i="123"/>
  <c r="M207" i="123"/>
  <c r="L207" i="123"/>
  <c r="K207" i="123"/>
  <c r="J207" i="123"/>
  <c r="I207" i="123"/>
  <c r="H207" i="123"/>
  <c r="G207" i="123"/>
  <c r="BO203" i="123"/>
  <c r="BN203" i="123"/>
  <c r="BN351" i="123" s="1"/>
  <c r="BM203" i="123"/>
  <c r="BL203" i="123"/>
  <c r="BK203" i="123"/>
  <c r="BJ203" i="123"/>
  <c r="BI203" i="123"/>
  <c r="BH203" i="123"/>
  <c r="BG203" i="123"/>
  <c r="BF203" i="123"/>
  <c r="BF351" i="123" s="1"/>
  <c r="BE203" i="123"/>
  <c r="BD203" i="123"/>
  <c r="BC203" i="123"/>
  <c r="BB203" i="123"/>
  <c r="BB351" i="123" s="1"/>
  <c r="BA203" i="123"/>
  <c r="AZ203" i="123"/>
  <c r="AY203" i="123"/>
  <c r="AX203" i="123"/>
  <c r="AX351" i="123" s="1"/>
  <c r="AW203" i="123"/>
  <c r="AV203" i="123"/>
  <c r="AU203" i="123"/>
  <c r="AT203" i="123"/>
  <c r="AS203" i="123"/>
  <c r="AR203" i="123"/>
  <c r="AQ203" i="123"/>
  <c r="AP203" i="123"/>
  <c r="AP351" i="123" s="1"/>
  <c r="AO203" i="123"/>
  <c r="AN203" i="123"/>
  <c r="AM203" i="123"/>
  <c r="AL203" i="123"/>
  <c r="AL351" i="123" s="1"/>
  <c r="AK203" i="123"/>
  <c r="AJ203" i="123"/>
  <c r="AI203" i="123"/>
  <c r="AH203" i="123"/>
  <c r="AH351" i="123" s="1"/>
  <c r="R203" i="123"/>
  <c r="Q203" i="123"/>
  <c r="P203" i="123"/>
  <c r="O203" i="123"/>
  <c r="O351" i="123" s="1"/>
  <c r="N203" i="123"/>
  <c r="M203" i="123"/>
  <c r="L203" i="123"/>
  <c r="K203" i="123"/>
  <c r="K351" i="123" s="1"/>
  <c r="J203" i="123"/>
  <c r="I203" i="123"/>
  <c r="H203" i="123"/>
  <c r="G203" i="123"/>
  <c r="BO214" i="123"/>
  <c r="BN214" i="123"/>
  <c r="BM214" i="123"/>
  <c r="BL214" i="123"/>
  <c r="BK214" i="123"/>
  <c r="BJ214" i="123"/>
  <c r="BI214" i="123"/>
  <c r="BH214" i="123"/>
  <c r="BG214" i="123"/>
  <c r="BF214" i="123"/>
  <c r="BE214" i="123"/>
  <c r="BD214" i="123"/>
  <c r="BC214" i="123"/>
  <c r="BB214" i="123"/>
  <c r="BA214" i="123"/>
  <c r="AZ214" i="123"/>
  <c r="AY214" i="123"/>
  <c r="AX214" i="123"/>
  <c r="AW214" i="123"/>
  <c r="AV214" i="123"/>
  <c r="AU214" i="123"/>
  <c r="AT214" i="123"/>
  <c r="AS214" i="123"/>
  <c r="AR214" i="123"/>
  <c r="AQ214" i="123"/>
  <c r="AP214" i="123"/>
  <c r="AO214" i="123"/>
  <c r="AN214" i="123"/>
  <c r="AM214" i="123"/>
  <c r="AL214" i="123"/>
  <c r="AK214" i="123"/>
  <c r="AJ214" i="123"/>
  <c r="AI214" i="123"/>
  <c r="AH214" i="123"/>
  <c r="R214" i="123"/>
  <c r="Q214" i="123"/>
  <c r="P214" i="123"/>
  <c r="O214" i="123"/>
  <c r="N214" i="123"/>
  <c r="M214" i="123"/>
  <c r="L214" i="123"/>
  <c r="K214" i="123"/>
  <c r="J214" i="123"/>
  <c r="I214" i="123"/>
  <c r="H214" i="123"/>
  <c r="BO192" i="123"/>
  <c r="BN192" i="123"/>
  <c r="BM192" i="123"/>
  <c r="BL192" i="123"/>
  <c r="BK192" i="123"/>
  <c r="BJ192" i="123"/>
  <c r="BI192" i="123"/>
  <c r="BH192" i="123"/>
  <c r="BG192" i="123"/>
  <c r="BF192" i="123"/>
  <c r="BE192" i="123"/>
  <c r="BE351" i="123" s="1"/>
  <c r="BD192" i="123"/>
  <c r="BC192" i="123"/>
  <c r="BB192" i="123"/>
  <c r="BA192" i="123"/>
  <c r="AZ192" i="123"/>
  <c r="AY192" i="123"/>
  <c r="AX192" i="123"/>
  <c r="AW192" i="123"/>
  <c r="AV192" i="123"/>
  <c r="AU192" i="123"/>
  <c r="AT192" i="123"/>
  <c r="AS192" i="123"/>
  <c r="AR192" i="123"/>
  <c r="AQ192" i="123"/>
  <c r="AP192" i="123"/>
  <c r="AO192" i="123"/>
  <c r="AO351" i="123" s="1"/>
  <c r="AN192" i="123"/>
  <c r="AM192" i="123"/>
  <c r="AL192" i="123"/>
  <c r="AK192" i="123"/>
  <c r="AJ192" i="123"/>
  <c r="AI192" i="123"/>
  <c r="AH192" i="123"/>
  <c r="R192" i="123"/>
  <c r="Q192" i="123"/>
  <c r="P192" i="123"/>
  <c r="O192" i="123"/>
  <c r="N192" i="123"/>
  <c r="N351" i="123" s="1"/>
  <c r="M192" i="123"/>
  <c r="L192" i="123"/>
  <c r="K192" i="123"/>
  <c r="J192" i="123"/>
  <c r="I192" i="123"/>
  <c r="H192" i="123"/>
  <c r="G192" i="123"/>
  <c r="J25" i="11"/>
  <c r="H25" i="11"/>
  <c r="G25" i="11"/>
  <c r="G331" i="123"/>
  <c r="AZ331" i="123"/>
  <c r="AR351" i="123"/>
  <c r="AJ331" i="123"/>
  <c r="BM351" i="123"/>
  <c r="Q351" i="123"/>
  <c r="M331" i="123"/>
  <c r="BL331" i="123"/>
  <c r="BD351" i="123"/>
  <c r="AV331" i="123"/>
  <c r="BJ351" i="123"/>
  <c r="AT351" i="123"/>
  <c r="R351" i="123"/>
  <c r="N331" i="123"/>
  <c r="H48" i="123"/>
  <c r="I48" i="123"/>
  <c r="J48" i="123"/>
  <c r="K48" i="123"/>
  <c r="L48" i="123"/>
  <c r="M48" i="123"/>
  <c r="N48" i="123"/>
  <c r="O48" i="123"/>
  <c r="P48" i="123"/>
  <c r="Q48" i="123"/>
  <c r="R48" i="123"/>
  <c r="H109" i="123"/>
  <c r="I109" i="123"/>
  <c r="J109" i="123"/>
  <c r="K109" i="123"/>
  <c r="L109" i="123"/>
  <c r="M109" i="123"/>
  <c r="N109" i="123"/>
  <c r="O109" i="123"/>
  <c r="P109" i="123"/>
  <c r="Q109" i="123"/>
  <c r="R109" i="123"/>
  <c r="AH109" i="123"/>
  <c r="AI109" i="123"/>
  <c r="AJ109" i="123"/>
  <c r="AK109" i="123"/>
  <c r="AL109" i="123"/>
  <c r="AM109" i="123"/>
  <c r="AN109" i="123"/>
  <c r="AO109" i="123"/>
  <c r="AP109" i="123"/>
  <c r="AQ109" i="123"/>
  <c r="AR109" i="123"/>
  <c r="AS109" i="123"/>
  <c r="AT109" i="123"/>
  <c r="AU109" i="123"/>
  <c r="AV109" i="123"/>
  <c r="AW109" i="123"/>
  <c r="AX109" i="123"/>
  <c r="AY109" i="123"/>
  <c r="AZ109" i="123"/>
  <c r="BA109" i="123"/>
  <c r="BB109" i="123"/>
  <c r="BC109" i="123"/>
  <c r="BD109" i="123"/>
  <c r="BE109" i="123"/>
  <c r="BF109" i="123"/>
  <c r="BG109" i="123"/>
  <c r="BH109" i="123"/>
  <c r="BI109" i="123"/>
  <c r="BJ109" i="123"/>
  <c r="BK109" i="123"/>
  <c r="BL109" i="123"/>
  <c r="BM109" i="123"/>
  <c r="BN109" i="123"/>
  <c r="BO109" i="123"/>
  <c r="H115" i="123"/>
  <c r="I115" i="123"/>
  <c r="J115" i="123"/>
  <c r="K115" i="123"/>
  <c r="L115" i="123"/>
  <c r="M115" i="123"/>
  <c r="N115" i="123"/>
  <c r="O115" i="123"/>
  <c r="P115" i="123"/>
  <c r="Q115" i="123"/>
  <c r="R115" i="123"/>
  <c r="AH115" i="123"/>
  <c r="AI115" i="123"/>
  <c r="AJ115" i="123"/>
  <c r="AK115" i="123"/>
  <c r="AL115" i="123"/>
  <c r="AM115" i="123"/>
  <c r="AN115" i="123"/>
  <c r="AO115" i="123"/>
  <c r="AP115" i="123"/>
  <c r="AQ115" i="123"/>
  <c r="AR115" i="123"/>
  <c r="AS115" i="123"/>
  <c r="AT115" i="123"/>
  <c r="AU115" i="123"/>
  <c r="AV115" i="123"/>
  <c r="AW115" i="123"/>
  <c r="AX115" i="123"/>
  <c r="AY115" i="123"/>
  <c r="AZ115" i="123"/>
  <c r="BA115" i="123"/>
  <c r="BB115" i="123"/>
  <c r="BC115" i="123"/>
  <c r="BD115" i="123"/>
  <c r="BE115" i="123"/>
  <c r="BF115" i="123"/>
  <c r="BG115" i="123"/>
  <c r="BH115" i="123"/>
  <c r="BI115" i="123"/>
  <c r="BJ115" i="123"/>
  <c r="BK115" i="123"/>
  <c r="BL115" i="123"/>
  <c r="BM115" i="123"/>
  <c r="BN115" i="123"/>
  <c r="BO115" i="123"/>
  <c r="H123" i="123"/>
  <c r="I123" i="123"/>
  <c r="J123" i="123"/>
  <c r="K123" i="123"/>
  <c r="L123" i="123"/>
  <c r="M123" i="123"/>
  <c r="N123" i="123"/>
  <c r="O123" i="123"/>
  <c r="P123" i="123"/>
  <c r="Q123" i="123"/>
  <c r="R123" i="123"/>
  <c r="AH123" i="123"/>
  <c r="AI123" i="123"/>
  <c r="AJ123" i="123"/>
  <c r="AK123" i="123"/>
  <c r="AL123" i="123"/>
  <c r="AM123" i="123"/>
  <c r="AN123" i="123"/>
  <c r="AO123" i="123"/>
  <c r="AP123" i="123"/>
  <c r="AQ123" i="123"/>
  <c r="AR123" i="123"/>
  <c r="AS123" i="123"/>
  <c r="AT123" i="123"/>
  <c r="AU123" i="123"/>
  <c r="AV123" i="123"/>
  <c r="AW123" i="123"/>
  <c r="AX123" i="123"/>
  <c r="AY123" i="123"/>
  <c r="AZ123" i="123"/>
  <c r="BA123" i="123"/>
  <c r="BB123" i="123"/>
  <c r="BC123" i="123"/>
  <c r="BD123" i="123"/>
  <c r="BE123" i="123"/>
  <c r="BF123" i="123"/>
  <c r="BG123" i="123"/>
  <c r="BH123" i="123"/>
  <c r="BI123" i="123"/>
  <c r="BJ123" i="123"/>
  <c r="BK123" i="123"/>
  <c r="BL123" i="123"/>
  <c r="BM123" i="123"/>
  <c r="BN123" i="123"/>
  <c r="BO123" i="123"/>
  <c r="H135" i="123"/>
  <c r="I135" i="123"/>
  <c r="J135" i="123"/>
  <c r="K135" i="123"/>
  <c r="L135" i="123"/>
  <c r="M135" i="123"/>
  <c r="N135" i="123"/>
  <c r="O135" i="123"/>
  <c r="P135" i="123"/>
  <c r="Q135" i="123"/>
  <c r="R135" i="123"/>
  <c r="AH135" i="123"/>
  <c r="AI135" i="123"/>
  <c r="AJ135" i="123"/>
  <c r="AK135" i="123"/>
  <c r="AL135" i="123"/>
  <c r="AM135" i="123"/>
  <c r="AN135" i="123"/>
  <c r="AO135" i="123"/>
  <c r="AP135" i="123"/>
  <c r="AQ135" i="123"/>
  <c r="AR135" i="123"/>
  <c r="AS135" i="123"/>
  <c r="AT135" i="123"/>
  <c r="AU135" i="123"/>
  <c r="AV135" i="123"/>
  <c r="AW135" i="123"/>
  <c r="AX135" i="123"/>
  <c r="AY135" i="123"/>
  <c r="AZ135" i="123"/>
  <c r="BA135" i="123"/>
  <c r="BB135" i="123"/>
  <c r="BC135" i="123"/>
  <c r="BD135" i="123"/>
  <c r="BE135" i="123"/>
  <c r="BF135" i="123"/>
  <c r="BG135" i="123"/>
  <c r="BH135" i="123"/>
  <c r="BI135" i="123"/>
  <c r="BJ135" i="123"/>
  <c r="BK135" i="123"/>
  <c r="BL135" i="123"/>
  <c r="BM135" i="123"/>
  <c r="BN135" i="123"/>
  <c r="BO135" i="123"/>
  <c r="H145" i="123"/>
  <c r="I145" i="123"/>
  <c r="J145" i="123"/>
  <c r="K145" i="123"/>
  <c r="L145" i="123"/>
  <c r="L157" i="123" s="1"/>
  <c r="M145" i="123"/>
  <c r="N145" i="123"/>
  <c r="O145" i="123"/>
  <c r="P145" i="123"/>
  <c r="P157" i="123" s="1"/>
  <c r="Q145" i="123"/>
  <c r="R145" i="123"/>
  <c r="AH145" i="123"/>
  <c r="AI145" i="123"/>
  <c r="AI157" i="123" s="1"/>
  <c r="AJ145" i="123"/>
  <c r="AK145" i="123"/>
  <c r="AL145" i="123"/>
  <c r="AM145" i="123"/>
  <c r="AN145" i="123"/>
  <c r="AO145" i="123"/>
  <c r="AP145" i="123"/>
  <c r="AQ145" i="123"/>
  <c r="AQ157" i="123" s="1"/>
  <c r="AR145" i="123"/>
  <c r="AS145" i="123"/>
  <c r="AS157" i="123" s="1"/>
  <c r="AT145" i="123"/>
  <c r="AU145" i="123"/>
  <c r="AU157" i="123" s="1"/>
  <c r="AV145" i="123"/>
  <c r="AW145" i="123"/>
  <c r="AX145" i="123"/>
  <c r="AY145" i="123"/>
  <c r="AY157" i="123" s="1"/>
  <c r="AZ145" i="123"/>
  <c r="BA145" i="123"/>
  <c r="BA157" i="123" s="1"/>
  <c r="BB145" i="123"/>
  <c r="BC145" i="123"/>
  <c r="BD145" i="123"/>
  <c r="BE145" i="123"/>
  <c r="BF145" i="123"/>
  <c r="BG145" i="123"/>
  <c r="BH145" i="123"/>
  <c r="BI145" i="123"/>
  <c r="BJ145" i="123"/>
  <c r="BK145" i="123"/>
  <c r="BK157" i="123" s="1"/>
  <c r="BL145" i="123"/>
  <c r="BM145" i="123"/>
  <c r="BN145" i="123"/>
  <c r="BO145" i="123"/>
  <c r="BO157" i="123" s="1"/>
  <c r="H155" i="123"/>
  <c r="I155" i="123"/>
  <c r="J155" i="123"/>
  <c r="K155" i="123"/>
  <c r="K157" i="123" s="1"/>
  <c r="L155" i="123"/>
  <c r="M155" i="123"/>
  <c r="N155" i="123"/>
  <c r="O155" i="123"/>
  <c r="O157" i="123" s="1"/>
  <c r="P155" i="123"/>
  <c r="Q155" i="123"/>
  <c r="R155" i="123"/>
  <c r="AH155" i="123"/>
  <c r="AH157" i="123" s="1"/>
  <c r="AI155" i="123"/>
  <c r="AJ155" i="123"/>
  <c r="AK155" i="123"/>
  <c r="AL155" i="123"/>
  <c r="AL157" i="123" s="1"/>
  <c r="AM155" i="123"/>
  <c r="AN155" i="123"/>
  <c r="AN157" i="123" s="1"/>
  <c r="AN177" i="123" s="1"/>
  <c r="AO155" i="123"/>
  <c r="AP155" i="123"/>
  <c r="AP157" i="123" s="1"/>
  <c r="AQ155" i="123"/>
  <c r="AR155" i="123"/>
  <c r="AS155" i="123"/>
  <c r="AT155" i="123"/>
  <c r="AU155" i="123"/>
  <c r="AV155" i="123"/>
  <c r="AW155" i="123"/>
  <c r="AX155" i="123"/>
  <c r="AX157" i="123" s="1"/>
  <c r="AY155" i="123"/>
  <c r="AZ155" i="123"/>
  <c r="BA155" i="123"/>
  <c r="BB155" i="123"/>
  <c r="BB157" i="123" s="1"/>
  <c r="BC155" i="123"/>
  <c r="BD155" i="123"/>
  <c r="BD157" i="123" s="1"/>
  <c r="BE155" i="123"/>
  <c r="BF155" i="123"/>
  <c r="BF157" i="123" s="1"/>
  <c r="BG155" i="123"/>
  <c r="BH155" i="123"/>
  <c r="BH157" i="123" s="1"/>
  <c r="BI155" i="123"/>
  <c r="BJ155" i="123"/>
  <c r="BJ157" i="123" s="1"/>
  <c r="BK155" i="123"/>
  <c r="BL155" i="123"/>
  <c r="BM155" i="123"/>
  <c r="BN155" i="123"/>
  <c r="BN157" i="123" s="1"/>
  <c r="BO155" i="123"/>
  <c r="H164" i="123"/>
  <c r="I164" i="123"/>
  <c r="J164" i="123"/>
  <c r="K164" i="123"/>
  <c r="L164" i="123"/>
  <c r="M164" i="123"/>
  <c r="N164" i="123"/>
  <c r="O164" i="123"/>
  <c r="P164" i="123"/>
  <c r="Q164" i="123"/>
  <c r="R164" i="123"/>
  <c r="AH164" i="123"/>
  <c r="AI164" i="123"/>
  <c r="AJ164" i="123"/>
  <c r="AK164" i="123"/>
  <c r="AL164" i="123"/>
  <c r="AM164" i="123"/>
  <c r="AN164" i="123"/>
  <c r="AO164" i="123"/>
  <c r="AP164" i="123"/>
  <c r="AQ164" i="123"/>
  <c r="AR164" i="123"/>
  <c r="AS164" i="123"/>
  <c r="AT164" i="123"/>
  <c r="AU164" i="123"/>
  <c r="AV164" i="123"/>
  <c r="AW164" i="123"/>
  <c r="AX164" i="123"/>
  <c r="AY164" i="123"/>
  <c r="AZ164" i="123"/>
  <c r="BA164" i="123"/>
  <c r="BB164" i="123"/>
  <c r="BC164" i="123"/>
  <c r="BD164" i="123"/>
  <c r="BE164" i="123"/>
  <c r="BF164" i="123"/>
  <c r="BG164" i="123"/>
  <c r="BH164" i="123"/>
  <c r="BI164" i="123"/>
  <c r="BJ164" i="123"/>
  <c r="BK164" i="123"/>
  <c r="BL164" i="123"/>
  <c r="BM164" i="123"/>
  <c r="BN164" i="123"/>
  <c r="BO164" i="123"/>
  <c r="H175" i="123"/>
  <c r="I175" i="123"/>
  <c r="J175" i="123"/>
  <c r="K175" i="123"/>
  <c r="L175" i="123"/>
  <c r="M175" i="123"/>
  <c r="N175" i="123"/>
  <c r="O175" i="123"/>
  <c r="P175" i="123"/>
  <c r="Q175" i="123"/>
  <c r="R175" i="123"/>
  <c r="AH175" i="123"/>
  <c r="AI175" i="123"/>
  <c r="AJ175" i="123"/>
  <c r="AK175" i="123"/>
  <c r="AL175" i="123"/>
  <c r="AM175" i="123"/>
  <c r="AN175" i="123"/>
  <c r="AO175" i="123"/>
  <c r="AP175" i="123"/>
  <c r="AQ175" i="123"/>
  <c r="AR175" i="123"/>
  <c r="AS175" i="123"/>
  <c r="AT175" i="123"/>
  <c r="AU175" i="123"/>
  <c r="AV175" i="123"/>
  <c r="AW175" i="123"/>
  <c r="AX175" i="123"/>
  <c r="AY175" i="123"/>
  <c r="AZ175" i="123"/>
  <c r="BA175" i="123"/>
  <c r="BB175" i="123"/>
  <c r="BC175" i="123"/>
  <c r="BD175" i="123"/>
  <c r="BE175" i="123"/>
  <c r="BF175" i="123"/>
  <c r="BG175" i="123"/>
  <c r="BH175" i="123"/>
  <c r="BI175" i="123"/>
  <c r="BJ175" i="123"/>
  <c r="BK175" i="123"/>
  <c r="BL175" i="123"/>
  <c r="BM175" i="123"/>
  <c r="BN175" i="123"/>
  <c r="BO175" i="123"/>
  <c r="G175" i="123"/>
  <c r="G164" i="123"/>
  <c r="G155" i="123"/>
  <c r="G157" i="123" s="1"/>
  <c r="G177" i="123" s="1"/>
  <c r="G145" i="123"/>
  <c r="G135" i="123"/>
  <c r="G109" i="123"/>
  <c r="G115" i="123"/>
  <c r="G123" i="123"/>
  <c r="H101" i="123"/>
  <c r="I101" i="123"/>
  <c r="J101" i="123"/>
  <c r="K101" i="123"/>
  <c r="L101" i="123"/>
  <c r="M101" i="123"/>
  <c r="N101" i="123"/>
  <c r="O101" i="123"/>
  <c r="P101" i="123"/>
  <c r="Q101" i="123"/>
  <c r="R101" i="123"/>
  <c r="AH101" i="123"/>
  <c r="AI101" i="123"/>
  <c r="AJ101" i="123"/>
  <c r="AK101" i="123"/>
  <c r="AL101" i="123"/>
  <c r="AM101" i="123"/>
  <c r="AN101" i="123"/>
  <c r="AO101" i="123"/>
  <c r="AP101" i="123"/>
  <c r="AQ101" i="123"/>
  <c r="AR101" i="123"/>
  <c r="AS101" i="123"/>
  <c r="AT101" i="123"/>
  <c r="AU101" i="123"/>
  <c r="AV101" i="123"/>
  <c r="AW101" i="123"/>
  <c r="AX101" i="123"/>
  <c r="AY101" i="123"/>
  <c r="AZ101" i="123"/>
  <c r="BA101" i="123"/>
  <c r="BB101" i="123"/>
  <c r="BC101" i="123"/>
  <c r="BD101" i="123"/>
  <c r="BE101" i="123"/>
  <c r="BF101" i="123"/>
  <c r="BG101" i="123"/>
  <c r="BH101" i="123"/>
  <c r="BI101" i="123"/>
  <c r="BJ101" i="123"/>
  <c r="BK101" i="123"/>
  <c r="BL101" i="123"/>
  <c r="BM101" i="123"/>
  <c r="BN101" i="123"/>
  <c r="BO101" i="123"/>
  <c r="G101" i="123"/>
  <c r="BO87" i="123"/>
  <c r="BN87" i="123"/>
  <c r="BM87" i="123"/>
  <c r="BL87" i="123"/>
  <c r="BK87" i="123"/>
  <c r="BJ87" i="123"/>
  <c r="BI87" i="123"/>
  <c r="BH87" i="123"/>
  <c r="BG87" i="123"/>
  <c r="BF87" i="123"/>
  <c r="BE87" i="123"/>
  <c r="BD87" i="123"/>
  <c r="BC87" i="123"/>
  <c r="BB87" i="123"/>
  <c r="BA87" i="123"/>
  <c r="AZ87" i="123"/>
  <c r="AY87" i="123"/>
  <c r="AX87" i="123"/>
  <c r="AW87" i="123"/>
  <c r="AV87" i="123"/>
  <c r="AU87" i="123"/>
  <c r="AT87" i="123"/>
  <c r="AS87" i="123"/>
  <c r="AR87" i="123"/>
  <c r="AQ87" i="123"/>
  <c r="AP87" i="123"/>
  <c r="AO87" i="123"/>
  <c r="AN87" i="123"/>
  <c r="AM87" i="123"/>
  <c r="AL87" i="123"/>
  <c r="AK87" i="123"/>
  <c r="AJ87" i="123"/>
  <c r="AI87" i="123"/>
  <c r="AH87" i="123"/>
  <c r="R87" i="123"/>
  <c r="Q87" i="123"/>
  <c r="P87" i="123"/>
  <c r="O87" i="123"/>
  <c r="N87" i="123"/>
  <c r="M87" i="123"/>
  <c r="L87" i="123"/>
  <c r="K87" i="123"/>
  <c r="J87" i="123"/>
  <c r="I87" i="123"/>
  <c r="H87" i="123"/>
  <c r="G87" i="123"/>
  <c r="AH83" i="123"/>
  <c r="AI83" i="123"/>
  <c r="AJ83" i="123"/>
  <c r="AK83" i="123"/>
  <c r="AL83" i="123"/>
  <c r="AM83" i="123"/>
  <c r="AN83" i="123"/>
  <c r="AO83" i="123"/>
  <c r="AP83" i="123"/>
  <c r="AQ83" i="123"/>
  <c r="AR83" i="123"/>
  <c r="AS83" i="123"/>
  <c r="AT83" i="123"/>
  <c r="AU83" i="123"/>
  <c r="AV83" i="123"/>
  <c r="AW83" i="123"/>
  <c r="AX83" i="123"/>
  <c r="AY83" i="123"/>
  <c r="AZ83" i="123"/>
  <c r="BA83" i="123"/>
  <c r="BB83" i="123"/>
  <c r="BC83" i="123"/>
  <c r="BD83" i="123"/>
  <c r="BE83" i="123"/>
  <c r="BF83" i="123"/>
  <c r="BG83" i="123"/>
  <c r="BH83" i="123"/>
  <c r="BI83" i="123"/>
  <c r="BJ83" i="123"/>
  <c r="BK83" i="123"/>
  <c r="BL83" i="123"/>
  <c r="BM83" i="123"/>
  <c r="BN83" i="123"/>
  <c r="BO83" i="123"/>
  <c r="H83" i="123"/>
  <c r="H177" i="123" s="1"/>
  <c r="I83" i="123"/>
  <c r="J83" i="123"/>
  <c r="K83" i="123"/>
  <c r="L83" i="123"/>
  <c r="L177" i="123" s="1"/>
  <c r="M83" i="123"/>
  <c r="N83" i="123"/>
  <c r="O83" i="123"/>
  <c r="P83" i="123"/>
  <c r="Q83" i="123"/>
  <c r="R83" i="123"/>
  <c r="G83" i="123"/>
  <c r="H63" i="123"/>
  <c r="I63" i="123"/>
  <c r="J63" i="123"/>
  <c r="K63" i="123"/>
  <c r="L63" i="123"/>
  <c r="M63" i="123"/>
  <c r="N63" i="123"/>
  <c r="O63" i="123"/>
  <c r="P63" i="123"/>
  <c r="Q63" i="123"/>
  <c r="R63" i="123"/>
  <c r="AH63" i="123"/>
  <c r="AI63" i="123"/>
  <c r="AJ63" i="123"/>
  <c r="AK63" i="123"/>
  <c r="AL63" i="123"/>
  <c r="AM63" i="123"/>
  <c r="AN63" i="123"/>
  <c r="AO63" i="123"/>
  <c r="AP63" i="123"/>
  <c r="AQ63" i="123"/>
  <c r="AR63" i="123"/>
  <c r="AS63" i="123"/>
  <c r="AT63" i="123"/>
  <c r="AU63" i="123"/>
  <c r="AV63" i="123"/>
  <c r="AW63" i="123"/>
  <c r="AX63" i="123"/>
  <c r="AY63" i="123"/>
  <c r="AZ63" i="123"/>
  <c r="BA63" i="123"/>
  <c r="BB63" i="123"/>
  <c r="BC63" i="123"/>
  <c r="BD63" i="123"/>
  <c r="BE63" i="123"/>
  <c r="BF63" i="123"/>
  <c r="BG63" i="123"/>
  <c r="BH63" i="123"/>
  <c r="BI63" i="123"/>
  <c r="BJ63" i="123"/>
  <c r="BK63" i="123"/>
  <c r="BL63" i="123"/>
  <c r="BM63" i="123"/>
  <c r="BN63" i="123"/>
  <c r="BO63" i="123"/>
  <c r="G63" i="123"/>
  <c r="AH48" i="123"/>
  <c r="AI48" i="123"/>
  <c r="AJ48" i="123"/>
  <c r="AK48" i="123"/>
  <c r="AL48" i="123"/>
  <c r="AM48" i="123"/>
  <c r="AN48" i="123"/>
  <c r="AO48" i="123"/>
  <c r="AP48" i="123"/>
  <c r="AQ48" i="123"/>
  <c r="AR48" i="123"/>
  <c r="AS48" i="123"/>
  <c r="AT48" i="123"/>
  <c r="AU48" i="123"/>
  <c r="AV48" i="123"/>
  <c r="AW48" i="123"/>
  <c r="AX48" i="123"/>
  <c r="AY48" i="123"/>
  <c r="AZ48" i="123"/>
  <c r="BA48" i="123"/>
  <c r="BB48" i="123"/>
  <c r="BC48" i="123"/>
  <c r="BD48" i="123"/>
  <c r="BE48" i="123"/>
  <c r="BF48" i="123"/>
  <c r="BG48" i="123"/>
  <c r="BH48" i="123"/>
  <c r="BI48" i="123"/>
  <c r="BJ48" i="123"/>
  <c r="BK48" i="123"/>
  <c r="BL48" i="123"/>
  <c r="BM48" i="123"/>
  <c r="BN48" i="123"/>
  <c r="BO48" i="123"/>
  <c r="H33" i="123"/>
  <c r="I33" i="123"/>
  <c r="J33" i="123"/>
  <c r="K33" i="123"/>
  <c r="L33" i="123"/>
  <c r="M33" i="123"/>
  <c r="N33" i="123"/>
  <c r="O33" i="123"/>
  <c r="P33" i="123"/>
  <c r="Q33" i="123"/>
  <c r="R33" i="123"/>
  <c r="AH33" i="123"/>
  <c r="AI33" i="123"/>
  <c r="AJ33" i="123"/>
  <c r="AK33" i="123"/>
  <c r="AK177" i="123" s="1"/>
  <c r="AL33" i="123"/>
  <c r="AM33" i="123"/>
  <c r="AN33" i="123"/>
  <c r="AO33" i="123"/>
  <c r="AP33" i="123"/>
  <c r="AQ33" i="123"/>
  <c r="AR33" i="123"/>
  <c r="AS33" i="123"/>
  <c r="AS177" i="123" s="1"/>
  <c r="AT33" i="123"/>
  <c r="AU33" i="123"/>
  <c r="AV33" i="123"/>
  <c r="AW33" i="123"/>
  <c r="AX33" i="123"/>
  <c r="AY33" i="123"/>
  <c r="AZ33" i="123"/>
  <c r="BA33" i="123"/>
  <c r="BB33" i="123"/>
  <c r="BC33" i="123"/>
  <c r="BD33" i="123"/>
  <c r="BE33" i="123"/>
  <c r="BE177" i="123" s="1"/>
  <c r="BF33" i="123"/>
  <c r="BG33" i="123"/>
  <c r="BH33" i="123"/>
  <c r="BI33" i="123"/>
  <c r="BI177" i="123" s="1"/>
  <c r="BJ33" i="123"/>
  <c r="BK33" i="123"/>
  <c r="BL33" i="123"/>
  <c r="BM33" i="123"/>
  <c r="BN33" i="123"/>
  <c r="BO33" i="123"/>
  <c r="H29" i="123"/>
  <c r="I29" i="123"/>
  <c r="I177" i="123" s="1"/>
  <c r="J29" i="123"/>
  <c r="K29" i="123"/>
  <c r="L29" i="123"/>
  <c r="M29" i="123"/>
  <c r="M177" i="123" s="1"/>
  <c r="N29" i="123"/>
  <c r="O29" i="123"/>
  <c r="P29" i="123"/>
  <c r="Q29" i="123"/>
  <c r="Q177" i="123" s="1"/>
  <c r="R29" i="123"/>
  <c r="AH29" i="123"/>
  <c r="AI29" i="123"/>
  <c r="AJ29" i="123"/>
  <c r="AK29" i="123"/>
  <c r="AL29" i="123"/>
  <c r="AM29" i="123"/>
  <c r="AN29" i="123"/>
  <c r="AO29" i="123"/>
  <c r="AP29" i="123"/>
  <c r="AQ29" i="123"/>
  <c r="AR29" i="123"/>
  <c r="AS29" i="123"/>
  <c r="AT29" i="123"/>
  <c r="AU29" i="123"/>
  <c r="AV29" i="123"/>
  <c r="AV177" i="123" s="1"/>
  <c r="AW29" i="123"/>
  <c r="AX29" i="123"/>
  <c r="AY29" i="123"/>
  <c r="AZ29" i="123"/>
  <c r="BA29" i="123"/>
  <c r="BB29" i="123"/>
  <c r="BC29" i="123"/>
  <c r="BD29" i="123"/>
  <c r="BE29" i="123"/>
  <c r="BF29" i="123"/>
  <c r="BG29" i="123"/>
  <c r="BH29" i="123"/>
  <c r="BH177" i="123" s="1"/>
  <c r="BI29" i="123"/>
  <c r="BJ29" i="123"/>
  <c r="BK29" i="123"/>
  <c r="BL29" i="123"/>
  <c r="BM29" i="123"/>
  <c r="BN29" i="123"/>
  <c r="BO29" i="123"/>
  <c r="H40" i="123"/>
  <c r="I40" i="123"/>
  <c r="J40" i="123"/>
  <c r="K40" i="123"/>
  <c r="L40" i="123"/>
  <c r="M40" i="123"/>
  <c r="N40" i="123"/>
  <c r="O40" i="123"/>
  <c r="P40" i="123"/>
  <c r="Q40" i="123"/>
  <c r="R40" i="123"/>
  <c r="AH40" i="123"/>
  <c r="AI40" i="123"/>
  <c r="AJ40" i="123"/>
  <c r="AK40" i="123"/>
  <c r="AL40" i="123"/>
  <c r="AM40" i="123"/>
  <c r="AN40" i="123"/>
  <c r="AO40" i="123"/>
  <c r="AP40" i="123"/>
  <c r="AQ40" i="123"/>
  <c r="AR40" i="123"/>
  <c r="AS40" i="123"/>
  <c r="AT40" i="123"/>
  <c r="AU40" i="123"/>
  <c r="AU177" i="123" s="1"/>
  <c r="AV40" i="123"/>
  <c r="AW40" i="123"/>
  <c r="AX40" i="123"/>
  <c r="AY40" i="123"/>
  <c r="AZ40" i="123"/>
  <c r="BA40" i="123"/>
  <c r="BB40" i="123"/>
  <c r="BC40" i="123"/>
  <c r="BD40" i="123"/>
  <c r="BE40" i="123"/>
  <c r="BF40" i="123"/>
  <c r="BG40" i="123"/>
  <c r="BH40" i="123"/>
  <c r="BI40" i="123"/>
  <c r="BJ40" i="123"/>
  <c r="BK40" i="123"/>
  <c r="BK177" i="123" s="1"/>
  <c r="BL40" i="123"/>
  <c r="BM40" i="123"/>
  <c r="BN40" i="123"/>
  <c r="BO40" i="123"/>
  <c r="H18" i="123"/>
  <c r="I18" i="123"/>
  <c r="J18" i="123"/>
  <c r="K18" i="123"/>
  <c r="K177" i="123" s="1"/>
  <c r="L18" i="123"/>
  <c r="M18" i="123"/>
  <c r="N18" i="123"/>
  <c r="O18" i="123"/>
  <c r="O177" i="123" s="1"/>
  <c r="P18" i="123"/>
  <c r="Q18" i="123"/>
  <c r="R18" i="123"/>
  <c r="AH18" i="123"/>
  <c r="AH177" i="123" s="1"/>
  <c r="AI18" i="123"/>
  <c r="AJ18" i="123"/>
  <c r="AJ177" i="123" s="1"/>
  <c r="AK18" i="123"/>
  <c r="AL18" i="123"/>
  <c r="AL177" i="123" s="1"/>
  <c r="AM18" i="123"/>
  <c r="AN18" i="123"/>
  <c r="AO18" i="123"/>
  <c r="AP18" i="123"/>
  <c r="AP177" i="123" s="1"/>
  <c r="AQ18" i="123"/>
  <c r="AR18" i="123"/>
  <c r="AR177" i="123" s="1"/>
  <c r="AS18" i="123"/>
  <c r="AT18" i="123"/>
  <c r="AU18" i="123"/>
  <c r="AV18" i="123"/>
  <c r="AW18" i="123"/>
  <c r="AX18" i="123"/>
  <c r="AX177" i="123" s="1"/>
  <c r="AY18" i="123"/>
  <c r="AZ18" i="123"/>
  <c r="AZ177" i="123" s="1"/>
  <c r="BA18" i="123"/>
  <c r="BB18" i="123"/>
  <c r="BB177" i="123" s="1"/>
  <c r="BC18" i="123"/>
  <c r="BD18" i="123"/>
  <c r="BE18" i="123"/>
  <c r="BF18" i="123"/>
  <c r="BG18" i="123"/>
  <c r="BH18" i="123"/>
  <c r="BI18" i="123"/>
  <c r="BJ18" i="123"/>
  <c r="BK18" i="123"/>
  <c r="BL18" i="123"/>
  <c r="BM18" i="123"/>
  <c r="BN18" i="123"/>
  <c r="BN177" i="123" s="1"/>
  <c r="BO18" i="123"/>
  <c r="C43" i="131"/>
  <c r="BF177" i="123"/>
  <c r="AT157" i="123"/>
  <c r="Q157" i="123"/>
  <c r="M157" i="123"/>
  <c r="I157" i="123"/>
  <c r="BM157" i="123"/>
  <c r="AW157" i="123"/>
  <c r="AO157" i="123"/>
  <c r="AK157" i="123"/>
  <c r="H157" i="123"/>
  <c r="BG157" i="123"/>
  <c r="R157" i="123"/>
  <c r="N157" i="123"/>
  <c r="J157" i="123"/>
  <c r="BL157" i="123"/>
  <c r="AZ157" i="123"/>
  <c r="AV157" i="123"/>
  <c r="AR157" i="123"/>
  <c r="AJ157" i="123"/>
  <c r="BE157" i="123"/>
  <c r="BI157" i="123"/>
  <c r="BD177" i="123"/>
  <c r="AA18" i="131"/>
  <c r="AA19" i="131"/>
  <c r="AB19" i="131"/>
  <c r="E14" i="131"/>
  <c r="C75" i="125"/>
  <c r="D75" i="125"/>
  <c r="E75" i="125"/>
  <c r="F75" i="125"/>
  <c r="G75" i="125"/>
  <c r="H75" i="125"/>
  <c r="I75" i="125"/>
  <c r="J75" i="125"/>
  <c r="K75" i="125"/>
  <c r="L75" i="125"/>
  <c r="M75" i="125"/>
  <c r="N75" i="125"/>
  <c r="B75" i="125"/>
  <c r="BL40" i="126"/>
  <c r="BL8" i="126"/>
  <c r="BK40" i="126"/>
  <c r="BK8" i="126"/>
  <c r="BJ40" i="126"/>
  <c r="BJ8" i="126"/>
  <c r="BI40" i="126"/>
  <c r="BI8" i="126"/>
  <c r="BH40" i="126"/>
  <c r="BH8" i="126"/>
  <c r="BG40" i="126"/>
  <c r="BG8" i="126"/>
  <c r="BF40" i="126"/>
  <c r="BF8" i="126"/>
  <c r="BE40" i="126"/>
  <c r="BE8" i="126"/>
  <c r="BD40" i="126"/>
  <c r="BD8" i="126"/>
  <c r="BC40" i="126"/>
  <c r="BC8" i="126"/>
  <c r="BB40" i="126"/>
  <c r="BB8" i="126"/>
  <c r="BA40" i="126"/>
  <c r="BA8" i="126"/>
  <c r="BL39" i="126"/>
  <c r="BK39" i="126"/>
  <c r="BJ39" i="126"/>
  <c r="BI39" i="126"/>
  <c r="BH39" i="126"/>
  <c r="BG39" i="126"/>
  <c r="BF39" i="126"/>
  <c r="BE39" i="126"/>
  <c r="BD39" i="126"/>
  <c r="BC39" i="126"/>
  <c r="BB39" i="126"/>
  <c r="BA39" i="126"/>
  <c r="BL38" i="126"/>
  <c r="BL42" i="126"/>
  <c r="BL43" i="126"/>
  <c r="BK38" i="126"/>
  <c r="BK42" i="126"/>
  <c r="BK43" i="126"/>
  <c r="BJ38" i="126"/>
  <c r="BI38" i="126"/>
  <c r="BI42" i="126"/>
  <c r="BH38" i="126"/>
  <c r="BH42" i="126"/>
  <c r="BG38" i="126"/>
  <c r="BG42" i="126"/>
  <c r="BG43" i="126"/>
  <c r="BF38" i="126"/>
  <c r="BE38" i="126"/>
  <c r="BE42" i="126"/>
  <c r="BD38" i="126"/>
  <c r="BC38" i="126"/>
  <c r="BC42" i="126"/>
  <c r="BC43" i="126"/>
  <c r="BB38" i="126"/>
  <c r="BB42" i="126"/>
  <c r="BB43" i="126"/>
  <c r="BA38" i="126"/>
  <c r="BL32" i="126"/>
  <c r="BL7" i="126"/>
  <c r="BK32" i="126"/>
  <c r="BJ32" i="126"/>
  <c r="BJ7" i="126"/>
  <c r="BI32" i="126"/>
  <c r="BI7" i="126"/>
  <c r="BH32" i="126"/>
  <c r="BH7" i="126"/>
  <c r="BG32" i="126"/>
  <c r="BG7" i="126"/>
  <c r="BF32" i="126"/>
  <c r="BF7" i="126"/>
  <c r="BE32" i="126"/>
  <c r="BE7" i="126"/>
  <c r="BD32" i="126"/>
  <c r="BD7" i="126"/>
  <c r="BC32" i="126"/>
  <c r="BC7" i="126"/>
  <c r="BB32" i="126"/>
  <c r="BB7" i="126"/>
  <c r="BA32" i="126"/>
  <c r="BA7" i="126"/>
  <c r="BL31" i="126"/>
  <c r="BK31" i="126"/>
  <c r="BJ31" i="126"/>
  <c r="BI31" i="126"/>
  <c r="BH31" i="126"/>
  <c r="BG31" i="126"/>
  <c r="BF31" i="126"/>
  <c r="BE31" i="126"/>
  <c r="BD31" i="126"/>
  <c r="BC31" i="126"/>
  <c r="BB31" i="126"/>
  <c r="BA31" i="126"/>
  <c r="BL30" i="126"/>
  <c r="BK30" i="126"/>
  <c r="BK34" i="126"/>
  <c r="BJ30" i="126"/>
  <c r="BI30" i="126"/>
  <c r="BI34" i="126"/>
  <c r="BH30" i="126"/>
  <c r="BH34" i="126"/>
  <c r="BH13" i="126"/>
  <c r="BG30" i="126"/>
  <c r="BF30" i="126"/>
  <c r="BF34" i="126"/>
  <c r="BE30" i="126"/>
  <c r="BE34" i="126"/>
  <c r="BD30" i="126"/>
  <c r="BC30" i="126"/>
  <c r="BB30" i="126"/>
  <c r="BA30" i="126"/>
  <c r="BA34" i="126"/>
  <c r="BL24" i="126"/>
  <c r="BL6" i="126"/>
  <c r="BK24" i="126"/>
  <c r="BK6" i="126"/>
  <c r="BJ24" i="126"/>
  <c r="BJ6" i="126"/>
  <c r="BI24" i="126"/>
  <c r="BI6" i="126"/>
  <c r="BH24" i="126"/>
  <c r="BH6" i="126"/>
  <c r="BG24" i="126"/>
  <c r="BF24" i="126"/>
  <c r="BE24" i="126"/>
  <c r="BE6" i="126"/>
  <c r="BD24" i="126"/>
  <c r="BD6" i="126"/>
  <c r="BC24" i="126"/>
  <c r="BC6" i="126"/>
  <c r="BB24" i="126"/>
  <c r="BA24" i="126"/>
  <c r="BL23" i="126"/>
  <c r="BK23" i="126"/>
  <c r="BJ23" i="126"/>
  <c r="BI23" i="126"/>
  <c r="BH23" i="126"/>
  <c r="BG23" i="126"/>
  <c r="BF23" i="126"/>
  <c r="BE23" i="126"/>
  <c r="BD23" i="126"/>
  <c r="BC23" i="126"/>
  <c r="BB23" i="126"/>
  <c r="BA23" i="126"/>
  <c r="BL22" i="126"/>
  <c r="BL26" i="126"/>
  <c r="BK22" i="126"/>
  <c r="BK26" i="126"/>
  <c r="BK27" i="126"/>
  <c r="BJ22" i="126"/>
  <c r="BJ26" i="126"/>
  <c r="BJ12" i="126"/>
  <c r="BI22" i="126"/>
  <c r="BI26" i="126"/>
  <c r="BI12" i="126"/>
  <c r="BH22" i="126"/>
  <c r="BG22" i="126"/>
  <c r="BF22" i="126"/>
  <c r="BE22" i="126"/>
  <c r="BE26" i="126"/>
  <c r="BE12" i="126"/>
  <c r="BD22" i="126"/>
  <c r="BC22" i="126"/>
  <c r="BB22" i="126"/>
  <c r="BB26" i="126"/>
  <c r="BB12" i="126"/>
  <c r="BA22" i="126"/>
  <c r="BA26" i="126"/>
  <c r="BA12" i="126"/>
  <c r="BB47" i="126"/>
  <c r="BC47" i="126"/>
  <c r="BD47" i="126"/>
  <c r="BE47" i="126"/>
  <c r="BF47" i="126"/>
  <c r="BG47" i="126"/>
  <c r="BH47" i="126"/>
  <c r="BI47" i="126"/>
  <c r="BJ47" i="126"/>
  <c r="BK47" i="126"/>
  <c r="BL47" i="126"/>
  <c r="BA47" i="126"/>
  <c r="BH26" i="126"/>
  <c r="BH12" i="126"/>
  <c r="BD42" i="126"/>
  <c r="BA6" i="126"/>
  <c r="AA76" i="126"/>
  <c r="AZ22" i="126"/>
  <c r="AZ23" i="126"/>
  <c r="AZ24" i="126"/>
  <c r="AZ6" i="126"/>
  <c r="AZ30" i="126"/>
  <c r="AZ31" i="126"/>
  <c r="AZ32" i="126"/>
  <c r="AZ7" i="126"/>
  <c r="AZ38" i="126"/>
  <c r="AZ39" i="126"/>
  <c r="AZ40" i="126"/>
  <c r="AZ8" i="126"/>
  <c r="AZ47" i="126"/>
  <c r="BF26" i="126"/>
  <c r="BF12" i="126"/>
  <c r="BB34" i="126"/>
  <c r="BB13" i="126"/>
  <c r="BJ34" i="126"/>
  <c r="BJ13" i="126"/>
  <c r="BF42" i="126"/>
  <c r="BC26" i="126"/>
  <c r="BG34" i="126"/>
  <c r="BG13" i="126"/>
  <c r="BC34" i="126"/>
  <c r="BC13" i="126"/>
  <c r="BL34" i="126"/>
  <c r="BL13" i="126"/>
  <c r="BJ42" i="126"/>
  <c r="BJ43" i="126"/>
  <c r="BG26" i="126"/>
  <c r="BG12" i="126"/>
  <c r="BD34" i="126"/>
  <c r="BD13" i="126"/>
  <c r="BD26" i="126"/>
  <c r="BD27" i="126"/>
  <c r="BC27" i="126"/>
  <c r="BC12" i="126"/>
  <c r="BK14" i="126"/>
  <c r="BK13" i="126"/>
  <c r="BK35" i="126"/>
  <c r="BK7" i="126"/>
  <c r="BG6" i="126"/>
  <c r="BF50" i="126"/>
  <c r="BF15" i="126" s="1"/>
  <c r="BF16" i="126" s="1"/>
  <c r="BE50" i="126"/>
  <c r="BE52" i="126" s="1"/>
  <c r="BI50" i="126"/>
  <c r="BI52" i="126" s="1"/>
  <c r="BB35" i="126"/>
  <c r="BL50" i="126"/>
  <c r="BL15" i="126" s="1"/>
  <c r="BL16" i="126" s="1"/>
  <c r="BG50" i="126"/>
  <c r="BG52" i="126" s="1"/>
  <c r="BD50" i="126"/>
  <c r="BD15" i="126" s="1"/>
  <c r="BD16" i="126" s="1"/>
  <c r="BH50" i="126"/>
  <c r="BH15" i="126" s="1"/>
  <c r="BH16" i="126" s="1"/>
  <c r="BJ27" i="126"/>
  <c r="BH43" i="126"/>
  <c r="BD43" i="126"/>
  <c r="BA42" i="126"/>
  <c r="BA43" i="126"/>
  <c r="BL12" i="126"/>
  <c r="BL27" i="126"/>
  <c r="BH27" i="126"/>
  <c r="BD14" i="126"/>
  <c r="BF27" i="126"/>
  <c r="BF43" i="126"/>
  <c r="BB27" i="126"/>
  <c r="BF13" i="126"/>
  <c r="BF35" i="126"/>
  <c r="BK12" i="126"/>
  <c r="BH14" i="126"/>
  <c r="BF6" i="126"/>
  <c r="BB6" i="126"/>
  <c r="BH35" i="126"/>
  <c r="BI43" i="126"/>
  <c r="BE43" i="126"/>
  <c r="BA14" i="126"/>
  <c r="BA13" i="126"/>
  <c r="BE13" i="126"/>
  <c r="BE14" i="126"/>
  <c r="BI13" i="126"/>
  <c r="BI14" i="126"/>
  <c r="BJ35" i="126"/>
  <c r="BI35" i="126"/>
  <c r="BE35" i="126"/>
  <c r="BA35" i="126"/>
  <c r="BJ14" i="126"/>
  <c r="BF14" i="126"/>
  <c r="BB14" i="126"/>
  <c r="BA27" i="126"/>
  <c r="BE27" i="126"/>
  <c r="BI27" i="126"/>
  <c r="AZ42" i="126"/>
  <c r="AZ34" i="126"/>
  <c r="AZ14" i="126"/>
  <c r="AZ26" i="126"/>
  <c r="AZ27" i="126"/>
  <c r="P48" i="126"/>
  <c r="P51" i="126" s="1"/>
  <c r="O48" i="126"/>
  <c r="N48" i="126"/>
  <c r="M48" i="126"/>
  <c r="L48" i="126"/>
  <c r="L51" i="126" s="1"/>
  <c r="K48" i="126"/>
  <c r="J48" i="126"/>
  <c r="I48" i="126"/>
  <c r="I51" i="126" s="1"/>
  <c r="H48" i="126"/>
  <c r="G48" i="126"/>
  <c r="G9" i="126" s="1"/>
  <c r="F48" i="126"/>
  <c r="E48" i="126"/>
  <c r="AY47" i="126"/>
  <c r="AX47" i="126"/>
  <c r="AW47" i="126"/>
  <c r="AV47" i="126"/>
  <c r="AU47" i="126"/>
  <c r="AT47" i="126"/>
  <c r="AS47" i="126"/>
  <c r="AR47" i="126"/>
  <c r="AQ47" i="126"/>
  <c r="AP47" i="126"/>
  <c r="AO47" i="126"/>
  <c r="AN47" i="126"/>
  <c r="AM47" i="126"/>
  <c r="AL47" i="126"/>
  <c r="AK47" i="126"/>
  <c r="AJ47" i="126"/>
  <c r="AI47" i="126"/>
  <c r="AH47" i="126"/>
  <c r="AG47" i="126"/>
  <c r="AF47" i="126"/>
  <c r="AE47" i="126"/>
  <c r="AD47" i="126"/>
  <c r="AC47" i="126"/>
  <c r="AB47" i="126"/>
  <c r="AA47" i="126"/>
  <c r="Z47" i="126"/>
  <c r="Y47" i="126"/>
  <c r="X47" i="126"/>
  <c r="W47" i="126"/>
  <c r="V47" i="126"/>
  <c r="U47" i="126"/>
  <c r="T47" i="126"/>
  <c r="S47" i="126"/>
  <c r="R47" i="126"/>
  <c r="Q47" i="126"/>
  <c r="P47" i="126"/>
  <c r="O47" i="126"/>
  <c r="N47" i="126"/>
  <c r="M47" i="126"/>
  <c r="L47" i="126"/>
  <c r="K47" i="126"/>
  <c r="J47" i="126"/>
  <c r="I47" i="126"/>
  <c r="H47" i="126"/>
  <c r="G47" i="126"/>
  <c r="F47" i="126"/>
  <c r="E47" i="126"/>
  <c r="AY40" i="126"/>
  <c r="AY8" i="126"/>
  <c r="AX40" i="126"/>
  <c r="AX8" i="126"/>
  <c r="AW40" i="126"/>
  <c r="AW8" i="126"/>
  <c r="AV40" i="126"/>
  <c r="AV8" i="126"/>
  <c r="AU40" i="126"/>
  <c r="AU8" i="126"/>
  <c r="AT40" i="126"/>
  <c r="AT8" i="126"/>
  <c r="AS40" i="126"/>
  <c r="AS8" i="126"/>
  <c r="AR40" i="126"/>
  <c r="AR8" i="126"/>
  <c r="AQ40" i="126"/>
  <c r="AQ8" i="126"/>
  <c r="AP40" i="126"/>
  <c r="AP8" i="126"/>
  <c r="AO40" i="126"/>
  <c r="AO8" i="126"/>
  <c r="AN40" i="126"/>
  <c r="AN8" i="126"/>
  <c r="AM40" i="126"/>
  <c r="AM8" i="126"/>
  <c r="AL40" i="126"/>
  <c r="AL8" i="126"/>
  <c r="AK40" i="126"/>
  <c r="AK8" i="126"/>
  <c r="AJ40" i="126"/>
  <c r="AJ8" i="126"/>
  <c r="AI40" i="126"/>
  <c r="AI8" i="126"/>
  <c r="AH40" i="126"/>
  <c r="AH8" i="126"/>
  <c r="AG40" i="126"/>
  <c r="AG8" i="126"/>
  <c r="AF40" i="126"/>
  <c r="AF8" i="126"/>
  <c r="AE40" i="126"/>
  <c r="AE8" i="126"/>
  <c r="AD40" i="126"/>
  <c r="AD8" i="126"/>
  <c r="AC40" i="126"/>
  <c r="AC8" i="126"/>
  <c r="AB40" i="126"/>
  <c r="AB8" i="126"/>
  <c r="AA40" i="126"/>
  <c r="AA8" i="126"/>
  <c r="Z40" i="126"/>
  <c r="Z8" i="126"/>
  <c r="Y40" i="126"/>
  <c r="Y8" i="126"/>
  <c r="X40" i="126"/>
  <c r="X8" i="126"/>
  <c r="W40" i="126"/>
  <c r="W8" i="126"/>
  <c r="V40" i="126"/>
  <c r="V8" i="126"/>
  <c r="U40" i="126"/>
  <c r="U8" i="126"/>
  <c r="T40" i="126"/>
  <c r="T8" i="126"/>
  <c r="S40" i="126"/>
  <c r="S8" i="126"/>
  <c r="R40" i="126"/>
  <c r="R8" i="126"/>
  <c r="Q40" i="126"/>
  <c r="Q8" i="126"/>
  <c r="P40" i="126"/>
  <c r="P8" i="126"/>
  <c r="O40" i="126"/>
  <c r="O8" i="126"/>
  <c r="N40" i="126"/>
  <c r="N8" i="126"/>
  <c r="M40" i="126"/>
  <c r="M8" i="126"/>
  <c r="L40" i="126"/>
  <c r="L8" i="126"/>
  <c r="K40" i="126"/>
  <c r="K8" i="126"/>
  <c r="J40" i="126"/>
  <c r="J8" i="126"/>
  <c r="I40" i="126"/>
  <c r="I8" i="126"/>
  <c r="H40" i="126"/>
  <c r="H8" i="126"/>
  <c r="G40" i="126"/>
  <c r="G8" i="126"/>
  <c r="F40" i="126"/>
  <c r="F8" i="126"/>
  <c r="E40" i="126"/>
  <c r="E8" i="126"/>
  <c r="AY39" i="126"/>
  <c r="AX39" i="126"/>
  <c r="AW39" i="126"/>
  <c r="AV39" i="126"/>
  <c r="AU39" i="126"/>
  <c r="AT39" i="126"/>
  <c r="AS39" i="126"/>
  <c r="AR39" i="126"/>
  <c r="AQ39" i="126"/>
  <c r="AP39" i="126"/>
  <c r="AO39" i="126"/>
  <c r="AN39" i="126"/>
  <c r="AM39" i="126"/>
  <c r="AL39" i="126"/>
  <c r="AK39" i="126"/>
  <c r="AJ39" i="126"/>
  <c r="AI39" i="126"/>
  <c r="AH39" i="126"/>
  <c r="AG39" i="126"/>
  <c r="AF39" i="126"/>
  <c r="AE39" i="126"/>
  <c r="AD39" i="126"/>
  <c r="AC39" i="126"/>
  <c r="AB39" i="126"/>
  <c r="AA39" i="126"/>
  <c r="Z39" i="126"/>
  <c r="Y39" i="126"/>
  <c r="X39" i="126"/>
  <c r="W39" i="126"/>
  <c r="V39" i="126"/>
  <c r="U39" i="126"/>
  <c r="T39" i="126"/>
  <c r="S39" i="126"/>
  <c r="R39" i="126"/>
  <c r="Q39" i="126"/>
  <c r="P39" i="126"/>
  <c r="O39" i="126"/>
  <c r="N39" i="126"/>
  <c r="M39" i="126"/>
  <c r="L39" i="126"/>
  <c r="K39" i="126"/>
  <c r="J39" i="126"/>
  <c r="I39" i="126"/>
  <c r="H39" i="126"/>
  <c r="G39" i="126"/>
  <c r="F39" i="126"/>
  <c r="E39" i="126"/>
  <c r="AY38" i="126"/>
  <c r="AX38" i="126"/>
  <c r="AW38" i="126"/>
  <c r="AV38" i="126"/>
  <c r="AU38" i="126"/>
  <c r="AT38" i="126"/>
  <c r="AS38" i="126"/>
  <c r="AR38" i="126"/>
  <c r="AQ38" i="126"/>
  <c r="AP38" i="126"/>
  <c r="AO38" i="126"/>
  <c r="AN38" i="126"/>
  <c r="AM38" i="126"/>
  <c r="AL38" i="126"/>
  <c r="AK38" i="126"/>
  <c r="AJ38" i="126"/>
  <c r="AI38" i="126"/>
  <c r="AH38" i="126"/>
  <c r="AG38" i="126"/>
  <c r="AF38" i="126"/>
  <c r="AE38" i="126"/>
  <c r="AD38" i="126"/>
  <c r="AC38" i="126"/>
  <c r="AB38" i="126"/>
  <c r="AA38" i="126"/>
  <c r="Z38" i="126"/>
  <c r="Y38" i="126"/>
  <c r="X38" i="126"/>
  <c r="W38" i="126"/>
  <c r="V38" i="126"/>
  <c r="U38" i="126"/>
  <c r="T38" i="126"/>
  <c r="S38" i="126"/>
  <c r="R38" i="126"/>
  <c r="Q38" i="126"/>
  <c r="P38" i="126"/>
  <c r="O38" i="126"/>
  <c r="N38" i="126"/>
  <c r="M38" i="126"/>
  <c r="L38" i="126"/>
  <c r="K38" i="126"/>
  <c r="J38" i="126"/>
  <c r="I38" i="126"/>
  <c r="H38" i="126"/>
  <c r="G38" i="126"/>
  <c r="F38" i="126"/>
  <c r="E38" i="126"/>
  <c r="AY32" i="126"/>
  <c r="AY7" i="126"/>
  <c r="AX32" i="126"/>
  <c r="AX7" i="126"/>
  <c r="AW32" i="126"/>
  <c r="AW7" i="126"/>
  <c r="AV32" i="126"/>
  <c r="AV7" i="126"/>
  <c r="AU32" i="126"/>
  <c r="AU7" i="126"/>
  <c r="AT32" i="126"/>
  <c r="AT7" i="126"/>
  <c r="AS32" i="126"/>
  <c r="AS7" i="126"/>
  <c r="AR32" i="126"/>
  <c r="AR7" i="126"/>
  <c r="AQ32" i="126"/>
  <c r="AQ7" i="126"/>
  <c r="AP32" i="126"/>
  <c r="AP7" i="126"/>
  <c r="AO32" i="126"/>
  <c r="AO7" i="126"/>
  <c r="AN32" i="126"/>
  <c r="AM32" i="126"/>
  <c r="AM7" i="126"/>
  <c r="AL32" i="126"/>
  <c r="AL7" i="126"/>
  <c r="AK32" i="126"/>
  <c r="AK7" i="126"/>
  <c r="AJ32" i="126"/>
  <c r="AJ7" i="126"/>
  <c r="AI32" i="126"/>
  <c r="AI7" i="126"/>
  <c r="AH32" i="126"/>
  <c r="AH7" i="126"/>
  <c r="AG32" i="126"/>
  <c r="AG7" i="126"/>
  <c r="AF32" i="126"/>
  <c r="AF7" i="126"/>
  <c r="AE32" i="126"/>
  <c r="AE7" i="126"/>
  <c r="AD32" i="126"/>
  <c r="AD7" i="126"/>
  <c r="AC32" i="126"/>
  <c r="AC7" i="126"/>
  <c r="AB32" i="126"/>
  <c r="AB7" i="126"/>
  <c r="AA32" i="126"/>
  <c r="AA7" i="126"/>
  <c r="Z32" i="126"/>
  <c r="Z7" i="126"/>
  <c r="Y32" i="126"/>
  <c r="Y7" i="126"/>
  <c r="X32" i="126"/>
  <c r="W32" i="126"/>
  <c r="W7" i="126"/>
  <c r="V32" i="126"/>
  <c r="V7" i="126"/>
  <c r="U32" i="126"/>
  <c r="U7" i="126"/>
  <c r="T32" i="126"/>
  <c r="T7" i="126"/>
  <c r="S32" i="126"/>
  <c r="S7" i="126"/>
  <c r="R32" i="126"/>
  <c r="R7" i="126"/>
  <c r="Q32" i="126"/>
  <c r="Q7" i="126"/>
  <c r="P32" i="126"/>
  <c r="P7" i="126"/>
  <c r="O32" i="126"/>
  <c r="O7" i="126"/>
  <c r="N32" i="126"/>
  <c r="N7" i="126"/>
  <c r="M32" i="126"/>
  <c r="M7" i="126"/>
  <c r="L32" i="126"/>
  <c r="K32" i="126"/>
  <c r="K7" i="126"/>
  <c r="J32" i="126"/>
  <c r="J7" i="126"/>
  <c r="I32" i="126"/>
  <c r="I7" i="126"/>
  <c r="H32" i="126"/>
  <c r="H7" i="126"/>
  <c r="G32" i="126"/>
  <c r="G7" i="126"/>
  <c r="F32" i="126"/>
  <c r="F7" i="126"/>
  <c r="E32" i="126"/>
  <c r="E7" i="126"/>
  <c r="AY31" i="126"/>
  <c r="AX31" i="126"/>
  <c r="AW31" i="126"/>
  <c r="AV31" i="126"/>
  <c r="AU31" i="126"/>
  <c r="AT31" i="126"/>
  <c r="AS31" i="126"/>
  <c r="AR31" i="126"/>
  <c r="AQ31" i="126"/>
  <c r="AP31" i="126"/>
  <c r="AO31" i="126"/>
  <c r="AN31" i="126"/>
  <c r="AM31" i="126"/>
  <c r="AL31" i="126"/>
  <c r="AK31" i="126"/>
  <c r="AJ31" i="126"/>
  <c r="AI31" i="126"/>
  <c r="AH31" i="126"/>
  <c r="AG31" i="126"/>
  <c r="AF31" i="126"/>
  <c r="AE31" i="126"/>
  <c r="AD31" i="126"/>
  <c r="AC31" i="126"/>
  <c r="AB31" i="126"/>
  <c r="AA31" i="126"/>
  <c r="Z31" i="126"/>
  <c r="Y31" i="126"/>
  <c r="X31" i="126"/>
  <c r="W31" i="126"/>
  <c r="V31" i="126"/>
  <c r="U31" i="126"/>
  <c r="T31" i="126"/>
  <c r="S31" i="126"/>
  <c r="R31" i="126"/>
  <c r="Q31" i="126"/>
  <c r="P31" i="126"/>
  <c r="O31" i="126"/>
  <c r="N31" i="126"/>
  <c r="M31" i="126"/>
  <c r="L31" i="126"/>
  <c r="K31" i="126"/>
  <c r="J31" i="126"/>
  <c r="I31" i="126"/>
  <c r="H31" i="126"/>
  <c r="G31" i="126"/>
  <c r="F31" i="126"/>
  <c r="E31" i="126"/>
  <c r="AY30" i="126"/>
  <c r="AX30" i="126"/>
  <c r="AW30" i="126"/>
  <c r="AV30" i="126"/>
  <c r="AU30" i="126"/>
  <c r="AT30" i="126"/>
  <c r="AS30" i="126"/>
  <c r="AR30" i="126"/>
  <c r="AQ30" i="126"/>
  <c r="AP30" i="126"/>
  <c r="AO30" i="126"/>
  <c r="AN30" i="126"/>
  <c r="AM30" i="126"/>
  <c r="AL30" i="126"/>
  <c r="AK30" i="126"/>
  <c r="AJ30" i="126"/>
  <c r="AI30" i="126"/>
  <c r="AH30" i="126"/>
  <c r="AG30" i="126"/>
  <c r="AF30" i="126"/>
  <c r="AE30" i="126"/>
  <c r="AD30" i="126"/>
  <c r="AC30" i="126"/>
  <c r="AB30" i="126"/>
  <c r="AA30" i="126"/>
  <c r="Z30" i="126"/>
  <c r="Y30" i="126"/>
  <c r="X30" i="126"/>
  <c r="W30" i="126"/>
  <c r="V30" i="126"/>
  <c r="U30" i="126"/>
  <c r="T30" i="126"/>
  <c r="S30" i="126"/>
  <c r="R30" i="126"/>
  <c r="Q30" i="126"/>
  <c r="P30" i="126"/>
  <c r="O30" i="126"/>
  <c r="N30" i="126"/>
  <c r="M30" i="126"/>
  <c r="L30" i="126"/>
  <c r="K30" i="126"/>
  <c r="J30" i="126"/>
  <c r="I30" i="126"/>
  <c r="H30" i="126"/>
  <c r="G30" i="126"/>
  <c r="F30" i="126"/>
  <c r="E30" i="126"/>
  <c r="AY24" i="126"/>
  <c r="AY6" i="126"/>
  <c r="AX24" i="126"/>
  <c r="AX6" i="126"/>
  <c r="AW24" i="126"/>
  <c r="AW6" i="126"/>
  <c r="AV24" i="126"/>
  <c r="AV6" i="126"/>
  <c r="AU24" i="126"/>
  <c r="AU6" i="126"/>
  <c r="AT24" i="126"/>
  <c r="AT6" i="126"/>
  <c r="AS24" i="126"/>
  <c r="AS6" i="126"/>
  <c r="AR24" i="126"/>
  <c r="AR6" i="126"/>
  <c r="AQ24" i="126"/>
  <c r="AQ6" i="126"/>
  <c r="AP24" i="126"/>
  <c r="AP6" i="126"/>
  <c r="AO24" i="126"/>
  <c r="AO6" i="126"/>
  <c r="AN24" i="126"/>
  <c r="AN6" i="126"/>
  <c r="AM24" i="126"/>
  <c r="AM6" i="126"/>
  <c r="AL24" i="126"/>
  <c r="AL6" i="126"/>
  <c r="AK24" i="126"/>
  <c r="AK6" i="126"/>
  <c r="AJ24" i="126"/>
  <c r="AJ6" i="126"/>
  <c r="AI24" i="126"/>
  <c r="AI6" i="126"/>
  <c r="AH24" i="126"/>
  <c r="AH6" i="126"/>
  <c r="AG24" i="126"/>
  <c r="AG6" i="126"/>
  <c r="AF24" i="126"/>
  <c r="AF6" i="126"/>
  <c r="AE24" i="126"/>
  <c r="AE6" i="126"/>
  <c r="AD24" i="126"/>
  <c r="AD6" i="126"/>
  <c r="AC24" i="126"/>
  <c r="AC6" i="126"/>
  <c r="AB24" i="126"/>
  <c r="AB6" i="126"/>
  <c r="AA24" i="126"/>
  <c r="AA6" i="126"/>
  <c r="Z24" i="126"/>
  <c r="Z6" i="126"/>
  <c r="Y24" i="126"/>
  <c r="Y6" i="126"/>
  <c r="X24" i="126"/>
  <c r="X6" i="126"/>
  <c r="W24" i="126"/>
  <c r="W6" i="126"/>
  <c r="V24" i="126"/>
  <c r="V6" i="126"/>
  <c r="U24" i="126"/>
  <c r="U6" i="126"/>
  <c r="T24" i="126"/>
  <c r="T6" i="126"/>
  <c r="S24" i="126"/>
  <c r="S6" i="126"/>
  <c r="R24" i="126"/>
  <c r="R6" i="126"/>
  <c r="Q24" i="126"/>
  <c r="Q6" i="126"/>
  <c r="P24" i="126"/>
  <c r="P6" i="126"/>
  <c r="O24" i="126"/>
  <c r="O6" i="126"/>
  <c r="N24" i="126"/>
  <c r="M24" i="126"/>
  <c r="M6" i="126"/>
  <c r="L24" i="126"/>
  <c r="L6" i="126"/>
  <c r="K24" i="126"/>
  <c r="K6" i="126"/>
  <c r="J24" i="126"/>
  <c r="J6" i="126"/>
  <c r="I24" i="126"/>
  <c r="I6" i="126"/>
  <c r="H24" i="126"/>
  <c r="H6" i="126"/>
  <c r="G24" i="126"/>
  <c r="G6" i="126"/>
  <c r="F24" i="126"/>
  <c r="F6" i="126"/>
  <c r="E24" i="126"/>
  <c r="E6" i="126"/>
  <c r="AY23" i="126"/>
  <c r="AX23" i="126"/>
  <c r="AW23" i="126"/>
  <c r="AV23" i="126"/>
  <c r="AU23" i="126"/>
  <c r="AT23" i="126"/>
  <c r="AS23" i="126"/>
  <c r="AR23" i="126"/>
  <c r="AQ23" i="126"/>
  <c r="AP23" i="126"/>
  <c r="AO23" i="126"/>
  <c r="AN23" i="126"/>
  <c r="AM23" i="126"/>
  <c r="AL23" i="126"/>
  <c r="AK23" i="126"/>
  <c r="AJ23" i="126"/>
  <c r="AI23" i="126"/>
  <c r="AH23" i="126"/>
  <c r="AG23" i="126"/>
  <c r="AF23" i="126"/>
  <c r="AE23" i="126"/>
  <c r="AD23" i="126"/>
  <c r="AC23" i="126"/>
  <c r="AB23" i="126"/>
  <c r="AA23" i="126"/>
  <c r="Z23" i="126"/>
  <c r="Y23" i="126"/>
  <c r="X23" i="126"/>
  <c r="W23" i="126"/>
  <c r="V23" i="126"/>
  <c r="U23" i="126"/>
  <c r="T23" i="126"/>
  <c r="S23" i="126"/>
  <c r="R23" i="126"/>
  <c r="Q23" i="126"/>
  <c r="P23" i="126"/>
  <c r="O23" i="126"/>
  <c r="N23" i="126"/>
  <c r="M23" i="126"/>
  <c r="L23" i="126"/>
  <c r="K23" i="126"/>
  <c r="J23" i="126"/>
  <c r="I23" i="126"/>
  <c r="H23" i="126"/>
  <c r="G23" i="126"/>
  <c r="F23" i="126"/>
  <c r="E23" i="126"/>
  <c r="AY22" i="126"/>
  <c r="AX22" i="126"/>
  <c r="AW22" i="126"/>
  <c r="AV22" i="126"/>
  <c r="AU22" i="126"/>
  <c r="AT22" i="126"/>
  <c r="AS22" i="126"/>
  <c r="AR22" i="126"/>
  <c r="AQ22" i="126"/>
  <c r="AP22" i="126"/>
  <c r="AO22" i="126"/>
  <c r="AN22" i="126"/>
  <c r="AM22" i="126"/>
  <c r="AL22" i="126"/>
  <c r="AK22" i="126"/>
  <c r="AJ22" i="126"/>
  <c r="AI22" i="126"/>
  <c r="AH22" i="126"/>
  <c r="AG22" i="126"/>
  <c r="AF22" i="126"/>
  <c r="AE22" i="126"/>
  <c r="AD22" i="126"/>
  <c r="AC22" i="126"/>
  <c r="AB22" i="126"/>
  <c r="AA22" i="126"/>
  <c r="Z22" i="126"/>
  <c r="Y22" i="126"/>
  <c r="X22" i="126"/>
  <c r="W22" i="126"/>
  <c r="V22" i="126"/>
  <c r="U22" i="126"/>
  <c r="T22" i="126"/>
  <c r="S22" i="126"/>
  <c r="R22" i="126"/>
  <c r="Q22" i="126"/>
  <c r="P22" i="126"/>
  <c r="O22" i="126"/>
  <c r="N22" i="126"/>
  <c r="M22" i="126"/>
  <c r="L22" i="126"/>
  <c r="K22" i="126"/>
  <c r="J22" i="126"/>
  <c r="I22" i="126"/>
  <c r="H22" i="126"/>
  <c r="G22" i="126"/>
  <c r="F22" i="126"/>
  <c r="E22" i="126"/>
  <c r="AN7" i="126"/>
  <c r="X7" i="126"/>
  <c r="L7" i="126"/>
  <c r="E2" i="126"/>
  <c r="F2" i="126"/>
  <c r="G2" i="126"/>
  <c r="H2" i="126"/>
  <c r="I2" i="126"/>
  <c r="J2" i="126"/>
  <c r="K2" i="126"/>
  <c r="L2" i="126"/>
  <c r="M2" i="126"/>
  <c r="N2" i="126"/>
  <c r="O2" i="126"/>
  <c r="P2" i="126"/>
  <c r="Q2" i="126"/>
  <c r="R2" i="126"/>
  <c r="S2" i="126"/>
  <c r="T2" i="126"/>
  <c r="U2" i="126"/>
  <c r="V2" i="126"/>
  <c r="W2" i="126"/>
  <c r="X2" i="126"/>
  <c r="Y2" i="126"/>
  <c r="Z2" i="126"/>
  <c r="AA2" i="126"/>
  <c r="AB2" i="126"/>
  <c r="AC2" i="126"/>
  <c r="AD2" i="126"/>
  <c r="AE2" i="126"/>
  <c r="AF2" i="126"/>
  <c r="AG2" i="126"/>
  <c r="AH2" i="126"/>
  <c r="AI2" i="126"/>
  <c r="AJ2" i="126"/>
  <c r="AK2" i="126"/>
  <c r="AL2" i="126"/>
  <c r="AM2" i="126"/>
  <c r="AN2" i="126"/>
  <c r="AO2" i="126"/>
  <c r="AP2" i="126"/>
  <c r="AQ2" i="126"/>
  <c r="AR2" i="126"/>
  <c r="AS2" i="126"/>
  <c r="AT2" i="126"/>
  <c r="AU2" i="126"/>
  <c r="AV2" i="126"/>
  <c r="AW2" i="126"/>
  <c r="AX2" i="126"/>
  <c r="AY2" i="126"/>
  <c r="AZ2" i="126"/>
  <c r="BA2" i="126"/>
  <c r="BB2" i="126"/>
  <c r="BC2" i="126"/>
  <c r="BD2" i="126"/>
  <c r="BE2" i="126"/>
  <c r="BF2" i="126"/>
  <c r="BG2" i="126"/>
  <c r="BH2" i="126"/>
  <c r="BI2" i="126"/>
  <c r="BJ2" i="126"/>
  <c r="BK2" i="126"/>
  <c r="BL2" i="126"/>
  <c r="BG14" i="126"/>
  <c r="BL35" i="126"/>
  <c r="L9" i="126"/>
  <c r="E9" i="126"/>
  <c r="M9" i="126"/>
  <c r="I9" i="126"/>
  <c r="I50" i="126"/>
  <c r="K9" i="126"/>
  <c r="BL14" i="126"/>
  <c r="BG35" i="126"/>
  <c r="BC35" i="126"/>
  <c r="BC14" i="126"/>
  <c r="BD35" i="126"/>
  <c r="BG27" i="126"/>
  <c r="BD12" i="126"/>
  <c r="AZ35" i="126"/>
  <c r="AZ43" i="126"/>
  <c r="AX26" i="126"/>
  <c r="AX12" i="126"/>
  <c r="E34" i="126"/>
  <c r="E13" i="126"/>
  <c r="I34" i="126"/>
  <c r="I14" i="126"/>
  <c r="M34" i="126"/>
  <c r="M35" i="126"/>
  <c r="Q34" i="126"/>
  <c r="Q14" i="126"/>
  <c r="U34" i="126"/>
  <c r="U13" i="126"/>
  <c r="Y34" i="126"/>
  <c r="Y14" i="126"/>
  <c r="AC34" i="126"/>
  <c r="AC35" i="126"/>
  <c r="AG34" i="126"/>
  <c r="AG14" i="126"/>
  <c r="AK34" i="126"/>
  <c r="AK14" i="126"/>
  <c r="AO34" i="126"/>
  <c r="AO14" i="126"/>
  <c r="AS34" i="126"/>
  <c r="AS35" i="126"/>
  <c r="AW34" i="126"/>
  <c r="AW14" i="126"/>
  <c r="H42" i="126"/>
  <c r="L42" i="126"/>
  <c r="P42" i="126"/>
  <c r="T42" i="126"/>
  <c r="X42" i="126"/>
  <c r="X43" i="126"/>
  <c r="AB42" i="126"/>
  <c r="AB43" i="126"/>
  <c r="AF42" i="126"/>
  <c r="AJ42" i="126"/>
  <c r="AN42" i="126"/>
  <c r="AR42" i="126"/>
  <c r="AV42" i="126"/>
  <c r="AV43" i="126"/>
  <c r="AZ12" i="126"/>
  <c r="AZ13" i="126"/>
  <c r="K26" i="126"/>
  <c r="K12" i="126"/>
  <c r="S26" i="126"/>
  <c r="S12" i="126"/>
  <c r="AA26" i="126"/>
  <c r="AA12" i="126"/>
  <c r="AI26" i="126"/>
  <c r="AI12" i="126"/>
  <c r="AQ26" i="126"/>
  <c r="AQ12" i="126"/>
  <c r="F34" i="126"/>
  <c r="F14" i="126"/>
  <c r="J34" i="126"/>
  <c r="J14" i="126"/>
  <c r="N34" i="126"/>
  <c r="N14" i="126"/>
  <c r="R34" i="126"/>
  <c r="R14" i="126"/>
  <c r="V34" i="126"/>
  <c r="V14" i="126"/>
  <c r="Z34" i="126"/>
  <c r="Z14" i="126"/>
  <c r="AD34" i="126"/>
  <c r="AD14" i="126"/>
  <c r="AH34" i="126"/>
  <c r="AH14" i="126"/>
  <c r="AL34" i="126"/>
  <c r="AL14" i="126"/>
  <c r="AP34" i="126"/>
  <c r="AP14" i="126"/>
  <c r="AT34" i="126"/>
  <c r="AT14" i="126"/>
  <c r="AX34" i="126"/>
  <c r="AX14" i="126"/>
  <c r="E42" i="126"/>
  <c r="E14" i="126"/>
  <c r="I42" i="126"/>
  <c r="M42" i="126"/>
  <c r="Q42" i="126"/>
  <c r="U42" i="126"/>
  <c r="U43" i="126"/>
  <c r="Y42" i="126"/>
  <c r="Y43" i="126"/>
  <c r="AC42" i="126"/>
  <c r="AG42" i="126"/>
  <c r="AK42" i="126"/>
  <c r="AO42" i="126"/>
  <c r="AS42" i="126"/>
  <c r="AW42" i="126"/>
  <c r="L26" i="126"/>
  <c r="L12" i="126"/>
  <c r="T26" i="126"/>
  <c r="T12" i="126"/>
  <c r="AB26" i="126"/>
  <c r="AB12" i="126"/>
  <c r="AJ26" i="126"/>
  <c r="AJ12" i="126"/>
  <c r="G34" i="126"/>
  <c r="G14" i="126"/>
  <c r="O34" i="126"/>
  <c r="O14" i="126"/>
  <c r="W34" i="126"/>
  <c r="W13" i="126"/>
  <c r="AE34" i="126"/>
  <c r="AE14" i="126"/>
  <c r="AM34" i="126"/>
  <c r="AM14" i="126"/>
  <c r="AU34" i="126"/>
  <c r="AU14" i="126"/>
  <c r="H26" i="126"/>
  <c r="H12" i="126"/>
  <c r="P26" i="126"/>
  <c r="P12" i="126"/>
  <c r="X26" i="126"/>
  <c r="X12" i="126"/>
  <c r="AF26" i="126"/>
  <c r="AF12" i="126"/>
  <c r="AN26" i="126"/>
  <c r="AN12" i="126"/>
  <c r="AR26" i="126"/>
  <c r="AR12" i="126"/>
  <c r="AV26" i="126"/>
  <c r="AV12" i="126"/>
  <c r="K34" i="126"/>
  <c r="K14" i="126"/>
  <c r="S34" i="126"/>
  <c r="S14" i="126"/>
  <c r="AA34" i="126"/>
  <c r="AA14" i="126"/>
  <c r="AI34" i="126"/>
  <c r="AI14" i="126"/>
  <c r="AQ34" i="126"/>
  <c r="AQ14" i="126"/>
  <c r="E26" i="126"/>
  <c r="E12" i="126"/>
  <c r="I26" i="126"/>
  <c r="I12" i="126"/>
  <c r="M26" i="126"/>
  <c r="M12" i="126"/>
  <c r="Q26" i="126"/>
  <c r="Q12" i="126"/>
  <c r="U26" i="126"/>
  <c r="U12" i="126"/>
  <c r="Y26" i="126"/>
  <c r="Y12" i="126"/>
  <c r="AC26" i="126"/>
  <c r="AC12" i="126"/>
  <c r="AG26" i="126"/>
  <c r="AG12" i="126"/>
  <c r="AK26" i="126"/>
  <c r="AK12" i="126"/>
  <c r="AO26" i="126"/>
  <c r="AO12" i="126"/>
  <c r="AS26" i="126"/>
  <c r="AS12" i="126"/>
  <c r="AW26" i="126"/>
  <c r="AW12" i="126"/>
  <c r="G42" i="126"/>
  <c r="G43" i="126"/>
  <c r="K42" i="126"/>
  <c r="O42" i="126"/>
  <c r="S42" i="126"/>
  <c r="W42" i="126"/>
  <c r="AA42" i="126"/>
  <c r="AE42" i="126"/>
  <c r="AI42" i="126"/>
  <c r="AM42" i="126"/>
  <c r="AM43" i="126"/>
  <c r="AQ42" i="126"/>
  <c r="AU42" i="126"/>
  <c r="F26" i="126"/>
  <c r="J26" i="126"/>
  <c r="J27" i="126"/>
  <c r="N26" i="126"/>
  <c r="N12" i="126"/>
  <c r="R26" i="126"/>
  <c r="R27" i="126"/>
  <c r="V26" i="126"/>
  <c r="Z26" i="126"/>
  <c r="Z27" i="126"/>
  <c r="AD26" i="126"/>
  <c r="AD12" i="126"/>
  <c r="AH26" i="126"/>
  <c r="AH27" i="126"/>
  <c r="AL26" i="126"/>
  <c r="AL27" i="126"/>
  <c r="AP26" i="126"/>
  <c r="AT26" i="126"/>
  <c r="AT27" i="126"/>
  <c r="H34" i="126"/>
  <c r="H35" i="126"/>
  <c r="L34" i="126"/>
  <c r="L35" i="126"/>
  <c r="P34" i="126"/>
  <c r="P35" i="126"/>
  <c r="T34" i="126"/>
  <c r="T35" i="126"/>
  <c r="X34" i="126"/>
  <c r="X35" i="126"/>
  <c r="AB34" i="126"/>
  <c r="AB35" i="126"/>
  <c r="AF34" i="126"/>
  <c r="AF35" i="126"/>
  <c r="AJ34" i="126"/>
  <c r="AJ35" i="126"/>
  <c r="AN34" i="126"/>
  <c r="AN35" i="126"/>
  <c r="AR34" i="126"/>
  <c r="AR35" i="126"/>
  <c r="AV34" i="126"/>
  <c r="AV35" i="126"/>
  <c r="F42" i="126"/>
  <c r="J42" i="126"/>
  <c r="N42" i="126"/>
  <c r="R42" i="126"/>
  <c r="V42" i="126"/>
  <c r="Z42" i="126"/>
  <c r="AD42" i="126"/>
  <c r="AH42" i="126"/>
  <c r="AL42" i="126"/>
  <c r="AP42" i="126"/>
  <c r="AT42" i="126"/>
  <c r="AX42" i="126"/>
  <c r="AY34" i="126"/>
  <c r="AY26" i="126"/>
  <c r="AY27" i="126"/>
  <c r="AY42" i="126"/>
  <c r="AY43" i="126"/>
  <c r="G26" i="126"/>
  <c r="G12" i="126"/>
  <c r="O26" i="126"/>
  <c r="O12" i="126"/>
  <c r="W26" i="126"/>
  <c r="W12" i="126"/>
  <c r="AE26" i="126"/>
  <c r="AE12" i="126"/>
  <c r="AM26" i="126"/>
  <c r="AM12" i="126"/>
  <c r="AU26" i="126"/>
  <c r="AU12" i="126"/>
  <c r="N6" i="126"/>
  <c r="Y35" i="126"/>
  <c r="I35" i="126"/>
  <c r="O35" i="126"/>
  <c r="AO35" i="126"/>
  <c r="AK35" i="126"/>
  <c r="E35" i="126"/>
  <c r="F35" i="126"/>
  <c r="AF43" i="126"/>
  <c r="K35" i="126"/>
  <c r="O13" i="126"/>
  <c r="Q13" i="126"/>
  <c r="H43" i="126"/>
  <c r="AU13" i="126"/>
  <c r="U14" i="126"/>
  <c r="T27" i="126"/>
  <c r="AU35" i="126"/>
  <c r="R43" i="126"/>
  <c r="AK13" i="126"/>
  <c r="AN43" i="126"/>
  <c r="P43" i="126"/>
  <c r="U35" i="126"/>
  <c r="K27" i="126"/>
  <c r="V35" i="126"/>
  <c r="F13" i="126"/>
  <c r="AL13" i="126"/>
  <c r="E43" i="126"/>
  <c r="AL35" i="126"/>
  <c r="AK43" i="126"/>
  <c r="AW35" i="126"/>
  <c r="AG35" i="126"/>
  <c r="Q35" i="126"/>
  <c r="S27" i="126"/>
  <c r="V13" i="126"/>
  <c r="H27" i="126"/>
  <c r="AW27" i="126"/>
  <c r="AR43" i="126"/>
  <c r="AX35" i="126"/>
  <c r="R35" i="126"/>
  <c r="J13" i="126"/>
  <c r="AO13" i="126"/>
  <c r="AQ27" i="126"/>
  <c r="Y13" i="126"/>
  <c r="AX43" i="126"/>
  <c r="L43" i="126"/>
  <c r="AH43" i="126"/>
  <c r="AH35" i="126"/>
  <c r="I13" i="126"/>
  <c r="J35" i="126"/>
  <c r="AA27" i="126"/>
  <c r="Z35" i="126"/>
  <c r="AO43" i="126"/>
  <c r="I43" i="126"/>
  <c r="AX27" i="126"/>
  <c r="AP13" i="126"/>
  <c r="AW13" i="126"/>
  <c r="T43" i="126"/>
  <c r="AP35" i="126"/>
  <c r="Z13" i="126"/>
  <c r="AG13" i="126"/>
  <c r="AJ43" i="126"/>
  <c r="AS13" i="126"/>
  <c r="AS14" i="126"/>
  <c r="AC14" i="126"/>
  <c r="AC13" i="126"/>
  <c r="M13" i="126"/>
  <c r="M14" i="126"/>
  <c r="M43" i="126"/>
  <c r="AI27" i="126"/>
  <c r="AU43" i="126"/>
  <c r="AV27" i="126"/>
  <c r="AS27" i="126"/>
  <c r="AE43" i="126"/>
  <c r="O43" i="126"/>
  <c r="AC27" i="126"/>
  <c r="AI13" i="126"/>
  <c r="M27" i="126"/>
  <c r="W43" i="126"/>
  <c r="AT35" i="126"/>
  <c r="AD35" i="126"/>
  <c r="N35" i="126"/>
  <c r="AN27" i="126"/>
  <c r="E27" i="126"/>
  <c r="AC43" i="126"/>
  <c r="AT13" i="126"/>
  <c r="AJ27" i="126"/>
  <c r="AS43" i="126"/>
  <c r="N13" i="126"/>
  <c r="V43" i="126"/>
  <c r="AD27" i="126"/>
  <c r="AT12" i="126"/>
  <c r="AX13" i="126"/>
  <c r="R13" i="126"/>
  <c r="N27" i="126"/>
  <c r="AL43" i="126"/>
  <c r="F43" i="126"/>
  <c r="AG27" i="126"/>
  <c r="AW43" i="126"/>
  <c r="AG43" i="126"/>
  <c r="Q43" i="126"/>
  <c r="S35" i="126"/>
  <c r="AQ43" i="126"/>
  <c r="AD13" i="126"/>
  <c r="AH13" i="126"/>
  <c r="U27" i="126"/>
  <c r="AK27" i="126"/>
  <c r="Q27" i="126"/>
  <c r="S13" i="126"/>
  <c r="W35" i="126"/>
  <c r="AH12" i="126"/>
  <c r="L27" i="126"/>
  <c r="AO27" i="126"/>
  <c r="Y27" i="126"/>
  <c r="I27" i="126"/>
  <c r="AY13" i="126"/>
  <c r="Z12" i="126"/>
  <c r="J12" i="126"/>
  <c r="K43" i="126"/>
  <c r="AM35" i="126"/>
  <c r="AR27" i="126"/>
  <c r="P27" i="126"/>
  <c r="AM13" i="126"/>
  <c r="G13" i="126"/>
  <c r="AA35" i="126"/>
  <c r="AA43" i="126"/>
  <c r="Z43" i="126"/>
  <c r="W27" i="126"/>
  <c r="AA13" i="126"/>
  <c r="AY35" i="126"/>
  <c r="AP43" i="126"/>
  <c r="G35" i="126"/>
  <c r="K13" i="126"/>
  <c r="AQ35" i="126"/>
  <c r="J43" i="126"/>
  <c r="X27" i="126"/>
  <c r="AE35" i="126"/>
  <c r="W14" i="126"/>
  <c r="R12" i="126"/>
  <c r="AF27" i="126"/>
  <c r="AE13" i="126"/>
  <c r="AI43" i="126"/>
  <c r="AB27" i="126"/>
  <c r="AQ13" i="126"/>
  <c r="S43" i="126"/>
  <c r="AI35" i="126"/>
  <c r="AR13" i="126"/>
  <c r="AR14" i="126"/>
  <c r="L13" i="126"/>
  <c r="L14" i="126"/>
  <c r="V27" i="126"/>
  <c r="V12" i="126"/>
  <c r="AN13" i="126"/>
  <c r="AN14" i="126"/>
  <c r="X13" i="126"/>
  <c r="X14" i="126"/>
  <c r="H13" i="126"/>
  <c r="H14" i="126"/>
  <c r="AB13" i="126"/>
  <c r="AB14" i="126"/>
  <c r="F27" i="126"/>
  <c r="F12" i="126"/>
  <c r="AY14" i="126"/>
  <c r="AJ14" i="126"/>
  <c r="AJ13" i="126"/>
  <c r="T14" i="126"/>
  <c r="T13" i="126"/>
  <c r="AT43" i="126"/>
  <c r="AD43" i="126"/>
  <c r="N43" i="126"/>
  <c r="AL12" i="126"/>
  <c r="AY12" i="126"/>
  <c r="AV13" i="126"/>
  <c r="AV14" i="126"/>
  <c r="AF13" i="126"/>
  <c r="AF14" i="126"/>
  <c r="P14" i="126"/>
  <c r="P13" i="126"/>
  <c r="AP27" i="126"/>
  <c r="AP12" i="126"/>
  <c r="O27" i="126"/>
  <c r="G27" i="126"/>
  <c r="AU27" i="126"/>
  <c r="AM27" i="126"/>
  <c r="AE27" i="126"/>
  <c r="BA7" i="67"/>
  <c r="BB7" i="67"/>
  <c r="BC7" i="67"/>
  <c r="B59" i="107"/>
  <c r="Q57" i="107"/>
  <c r="R57" i="107"/>
  <c r="S57" i="107"/>
  <c r="T57" i="107"/>
  <c r="U57" i="107"/>
  <c r="V57" i="107"/>
  <c r="W57" i="107"/>
  <c r="X57" i="107"/>
  <c r="Y57" i="107"/>
  <c r="Z57" i="107"/>
  <c r="AA57" i="107"/>
  <c r="AB57" i="107"/>
  <c r="AC57" i="107"/>
  <c r="AD57" i="107"/>
  <c r="AE57" i="107"/>
  <c r="AF57" i="107"/>
  <c r="AG57" i="107"/>
  <c r="AH57" i="107"/>
  <c r="AI57" i="107"/>
  <c r="AJ57" i="107"/>
  <c r="AK57" i="107"/>
  <c r="AL57" i="107"/>
  <c r="AM57" i="107"/>
  <c r="AN57" i="107"/>
  <c r="AO57" i="107"/>
  <c r="AP57" i="107"/>
  <c r="AQ57" i="107"/>
  <c r="AR57" i="107"/>
  <c r="AS57" i="107"/>
  <c r="AT57" i="107"/>
  <c r="AU57" i="107"/>
  <c r="AV57" i="107"/>
  <c r="AW57" i="107"/>
  <c r="AX57" i="107"/>
  <c r="AY57" i="107"/>
  <c r="AZ57" i="107"/>
  <c r="BA57" i="107"/>
  <c r="BB57" i="107"/>
  <c r="BC57" i="107"/>
  <c r="BD57" i="107"/>
  <c r="BE57" i="107"/>
  <c r="BF57" i="107"/>
  <c r="BG57" i="107"/>
  <c r="BH57" i="107"/>
  <c r="BI57" i="107"/>
  <c r="BJ57" i="107"/>
  <c r="BK57" i="107"/>
  <c r="P57" i="107"/>
  <c r="C81" i="125"/>
  <c r="C83" i="125"/>
  <c r="O65" i="125"/>
  <c r="P65" i="125"/>
  <c r="Q65" i="125"/>
  <c r="R65" i="125"/>
  <c r="S65" i="125"/>
  <c r="T65" i="125"/>
  <c r="U65" i="125"/>
  <c r="V65" i="125"/>
  <c r="W65" i="125"/>
  <c r="X65" i="125"/>
  <c r="Y65" i="125"/>
  <c r="Z65" i="125"/>
  <c r="AA65" i="125"/>
  <c r="AB65" i="125"/>
  <c r="AC65" i="125"/>
  <c r="AD65" i="125"/>
  <c r="AE65" i="125"/>
  <c r="AF65" i="125"/>
  <c r="AG65" i="125"/>
  <c r="AH65" i="125"/>
  <c r="AI65" i="125"/>
  <c r="AJ65" i="125"/>
  <c r="AK65" i="125"/>
  <c r="AL65" i="125"/>
  <c r="AM65" i="125"/>
  <c r="AN65" i="125"/>
  <c r="AO65" i="125"/>
  <c r="AP65" i="125"/>
  <c r="AQ65" i="125"/>
  <c r="AR65" i="125"/>
  <c r="AS65" i="125"/>
  <c r="AT65" i="125"/>
  <c r="AU65" i="125"/>
  <c r="AV65" i="125"/>
  <c r="AW65" i="125"/>
  <c r="C79" i="125"/>
  <c r="G69" i="125"/>
  <c r="F69" i="125"/>
  <c r="E69" i="125"/>
  <c r="D69" i="125"/>
  <c r="C69" i="125"/>
  <c r="B69" i="125"/>
  <c r="AD67" i="125"/>
  <c r="AL67" i="125"/>
  <c r="AT67" i="125"/>
  <c r="AC67" i="125"/>
  <c r="AK67" i="125"/>
  <c r="AS67" i="125"/>
  <c r="AB67" i="125"/>
  <c r="AJ67" i="125"/>
  <c r="AR67" i="125"/>
  <c r="AA67" i="125"/>
  <c r="AI67" i="125"/>
  <c r="AQ67" i="125"/>
  <c r="Z67" i="125"/>
  <c r="AH67" i="125"/>
  <c r="AP67" i="125"/>
  <c r="Y67" i="125"/>
  <c r="AG67" i="125"/>
  <c r="AO67" i="125"/>
  <c r="AW67" i="125"/>
  <c r="X67" i="125"/>
  <c r="AF67" i="125"/>
  <c r="AN67" i="125"/>
  <c r="AV67" i="125"/>
  <c r="W67" i="125"/>
  <c r="AE67" i="125"/>
  <c r="AM67" i="125"/>
  <c r="AU67" i="125"/>
  <c r="M66" i="125"/>
  <c r="M69" i="125"/>
  <c r="L66" i="125"/>
  <c r="L69" i="125"/>
  <c r="K66" i="125"/>
  <c r="K69" i="125"/>
  <c r="J66" i="125"/>
  <c r="J69" i="125"/>
  <c r="I66" i="125"/>
  <c r="I69" i="125"/>
  <c r="H66" i="125"/>
  <c r="H69" i="125"/>
  <c r="G66" i="125"/>
  <c r="F66" i="125"/>
  <c r="E66" i="125"/>
  <c r="D66" i="125"/>
  <c r="C66" i="125"/>
  <c r="B66" i="125"/>
  <c r="N66" i="125"/>
  <c r="C65" i="125"/>
  <c r="D65" i="125"/>
  <c r="E65" i="125"/>
  <c r="F65" i="125"/>
  <c r="G65" i="125"/>
  <c r="H65" i="125"/>
  <c r="I65" i="125"/>
  <c r="J65" i="125"/>
  <c r="K65" i="125"/>
  <c r="L65" i="125"/>
  <c r="M65" i="125"/>
  <c r="B65" i="125"/>
  <c r="M63" i="125"/>
  <c r="L63" i="125"/>
  <c r="K63" i="125"/>
  <c r="J63" i="125"/>
  <c r="I63" i="125"/>
  <c r="H63" i="125"/>
  <c r="G63" i="125"/>
  <c r="F63" i="125"/>
  <c r="E63" i="125"/>
  <c r="D63" i="125"/>
  <c r="C63" i="125"/>
  <c r="B63" i="125"/>
  <c r="AW61" i="125"/>
  <c r="AK61" i="125"/>
  <c r="AW60" i="125"/>
  <c r="AV60" i="125"/>
  <c r="AW59" i="125"/>
  <c r="AV59" i="125"/>
  <c r="AU59" i="125"/>
  <c r="AW58" i="125"/>
  <c r="AV58" i="125"/>
  <c r="AU58" i="125"/>
  <c r="AT58" i="125"/>
  <c r="AW57" i="125"/>
  <c r="AV57" i="125"/>
  <c r="AU57" i="125"/>
  <c r="AT57" i="125"/>
  <c r="AS57" i="125"/>
  <c r="AW56" i="125"/>
  <c r="AV56" i="125"/>
  <c r="AU56" i="125"/>
  <c r="AT56" i="125"/>
  <c r="AS56" i="125"/>
  <c r="AR56" i="125"/>
  <c r="AW55" i="125"/>
  <c r="AV55" i="125"/>
  <c r="AU55" i="125"/>
  <c r="AT55" i="125"/>
  <c r="AS55" i="125"/>
  <c r="AR55" i="125"/>
  <c r="AQ55" i="125"/>
  <c r="AW54" i="125"/>
  <c r="AV54" i="125"/>
  <c r="AU54" i="125"/>
  <c r="AT54" i="125"/>
  <c r="AS54" i="125"/>
  <c r="AR54" i="125"/>
  <c r="AQ54" i="125"/>
  <c r="AP54" i="125"/>
  <c r="AW53" i="125"/>
  <c r="AV53" i="125"/>
  <c r="AU53" i="125"/>
  <c r="AT53" i="125"/>
  <c r="AS53" i="125"/>
  <c r="AR53" i="125"/>
  <c r="AQ53" i="125"/>
  <c r="AP53" i="125"/>
  <c r="AO53" i="125"/>
  <c r="AW52" i="125"/>
  <c r="AV52" i="125"/>
  <c r="AU52" i="125"/>
  <c r="AT52" i="125"/>
  <c r="AS52" i="125"/>
  <c r="AR52" i="125"/>
  <c r="AQ52" i="125"/>
  <c r="AP52" i="125"/>
  <c r="AO52" i="125"/>
  <c r="AN52" i="125"/>
  <c r="AW51" i="125"/>
  <c r="AV51" i="125"/>
  <c r="AU51" i="125"/>
  <c r="AT51" i="125"/>
  <c r="AS51" i="125"/>
  <c r="AR51" i="125"/>
  <c r="AQ51" i="125"/>
  <c r="AP51" i="125"/>
  <c r="AO51" i="125"/>
  <c r="AN51" i="125"/>
  <c r="AM51" i="125"/>
  <c r="AW50" i="125"/>
  <c r="AV50" i="125"/>
  <c r="AU50" i="125"/>
  <c r="AT50" i="125"/>
  <c r="AS50" i="125"/>
  <c r="AR50" i="125"/>
  <c r="AQ50" i="125"/>
  <c r="AP50" i="125"/>
  <c r="AO50" i="125"/>
  <c r="AN50" i="125"/>
  <c r="AM50" i="125"/>
  <c r="AL50" i="125"/>
  <c r="AW49" i="125"/>
  <c r="AV49" i="125"/>
  <c r="AU49" i="125"/>
  <c r="AT49" i="125"/>
  <c r="AS49" i="125"/>
  <c r="AR49" i="125"/>
  <c r="AQ49" i="125"/>
  <c r="AP49" i="125"/>
  <c r="AO49" i="125"/>
  <c r="AN49" i="125"/>
  <c r="AM49" i="125"/>
  <c r="AL49" i="125"/>
  <c r="AK49" i="125"/>
  <c r="AV48" i="125"/>
  <c r="AU48" i="125"/>
  <c r="AT48" i="125"/>
  <c r="AS48" i="125"/>
  <c r="AR48" i="125"/>
  <c r="AQ48" i="125"/>
  <c r="AP48" i="125"/>
  <c r="AO48" i="125"/>
  <c r="AN48" i="125"/>
  <c r="AM48" i="125"/>
  <c r="AL48" i="125"/>
  <c r="AK48" i="125"/>
  <c r="AJ48" i="125"/>
  <c r="AU47" i="125"/>
  <c r="AT47" i="125"/>
  <c r="AS47" i="125"/>
  <c r="AR47" i="125"/>
  <c r="AQ47" i="125"/>
  <c r="AP47" i="125"/>
  <c r="AO47" i="125"/>
  <c r="AN47" i="125"/>
  <c r="AM47" i="125"/>
  <c r="AL47" i="125"/>
  <c r="AK47" i="125"/>
  <c r="AJ47" i="125"/>
  <c r="AI47" i="125"/>
  <c r="AT46" i="125"/>
  <c r="AS46" i="125"/>
  <c r="AR46" i="125"/>
  <c r="AQ46" i="125"/>
  <c r="AP46" i="125"/>
  <c r="AO46" i="125"/>
  <c r="AN46" i="125"/>
  <c r="AM46" i="125"/>
  <c r="AL46" i="125"/>
  <c r="AK46" i="125"/>
  <c r="AJ46" i="125"/>
  <c r="AI46" i="125"/>
  <c r="AH46" i="125"/>
  <c r="AS45" i="125"/>
  <c r="AR45" i="125"/>
  <c r="AQ45" i="125"/>
  <c r="AP45" i="125"/>
  <c r="AO45" i="125"/>
  <c r="AN45" i="125"/>
  <c r="AM45" i="125"/>
  <c r="AL45" i="125"/>
  <c r="AK45" i="125"/>
  <c r="AJ45" i="125"/>
  <c r="AI45" i="125"/>
  <c r="AH45" i="125"/>
  <c r="AG45" i="125"/>
  <c r="AR44" i="125"/>
  <c r="AQ44" i="125"/>
  <c r="AP44" i="125"/>
  <c r="AO44" i="125"/>
  <c r="AN44" i="125"/>
  <c r="AM44" i="125"/>
  <c r="AL44" i="125"/>
  <c r="AK44" i="125"/>
  <c r="AJ44" i="125"/>
  <c r="AI44" i="125"/>
  <c r="AH44" i="125"/>
  <c r="AG44" i="125"/>
  <c r="AF44" i="125"/>
  <c r="AQ43" i="125"/>
  <c r="AP43" i="125"/>
  <c r="AO43" i="125"/>
  <c r="AN43" i="125"/>
  <c r="AM43" i="125"/>
  <c r="AL43" i="125"/>
  <c r="AK43" i="125"/>
  <c r="AJ43" i="125"/>
  <c r="AI43" i="125"/>
  <c r="AH43" i="125"/>
  <c r="AG43" i="125"/>
  <c r="AF43" i="125"/>
  <c r="AE43" i="125"/>
  <c r="AP42" i="125"/>
  <c r="AO42" i="125"/>
  <c r="AN42" i="125"/>
  <c r="AM42" i="125"/>
  <c r="AL42" i="125"/>
  <c r="AK42" i="125"/>
  <c r="AJ42" i="125"/>
  <c r="AI42" i="125"/>
  <c r="AH42" i="125"/>
  <c r="AG42" i="125"/>
  <c r="AF42" i="125"/>
  <c r="AE42" i="125"/>
  <c r="AD42" i="125"/>
  <c r="AO41" i="125"/>
  <c r="AN41" i="125"/>
  <c r="AM41" i="125"/>
  <c r="AL41" i="125"/>
  <c r="AK41" i="125"/>
  <c r="AJ41" i="125"/>
  <c r="AI41" i="125"/>
  <c r="AH41" i="125"/>
  <c r="AG41" i="125"/>
  <c r="AF41" i="125"/>
  <c r="AE41" i="125"/>
  <c r="AD41" i="125"/>
  <c r="AC41" i="125"/>
  <c r="AN40" i="125"/>
  <c r="AM40" i="125"/>
  <c r="AL40" i="125"/>
  <c r="AK40" i="125"/>
  <c r="AJ40" i="125"/>
  <c r="AI40" i="125"/>
  <c r="AH40" i="125"/>
  <c r="AG40" i="125"/>
  <c r="AF40" i="125"/>
  <c r="AE40" i="125"/>
  <c r="AD40" i="125"/>
  <c r="AC40" i="125"/>
  <c r="AB40" i="125"/>
  <c r="AM39" i="125"/>
  <c r="AL39" i="125"/>
  <c r="AK39" i="125"/>
  <c r="AJ39" i="125"/>
  <c r="AI39" i="125"/>
  <c r="AH39" i="125"/>
  <c r="AG39" i="125"/>
  <c r="AF39" i="125"/>
  <c r="AE39" i="125"/>
  <c r="AD39" i="125"/>
  <c r="AC39" i="125"/>
  <c r="AB39" i="125"/>
  <c r="AA39" i="125"/>
  <c r="AL38" i="125"/>
  <c r="AK38" i="125"/>
  <c r="AJ38" i="125"/>
  <c r="AI38" i="125"/>
  <c r="AH38" i="125"/>
  <c r="AG38" i="125"/>
  <c r="AF38" i="125"/>
  <c r="AE38" i="125"/>
  <c r="AD38" i="125"/>
  <c r="AC38" i="125"/>
  <c r="AB38" i="125"/>
  <c r="AA38" i="125"/>
  <c r="AK37" i="125"/>
  <c r="AJ37" i="125"/>
  <c r="AI37" i="125"/>
  <c r="AH37" i="125"/>
  <c r="AG37" i="125"/>
  <c r="AF37" i="125"/>
  <c r="AE37" i="125"/>
  <c r="AD37" i="125"/>
  <c r="AC37" i="125"/>
  <c r="AB37" i="125"/>
  <c r="AA37" i="125"/>
  <c r="AJ36" i="125"/>
  <c r="AI36" i="125"/>
  <c r="AH36" i="125"/>
  <c r="AG36" i="125"/>
  <c r="AF36" i="125"/>
  <c r="AE36" i="125"/>
  <c r="AD36" i="125"/>
  <c r="AC36" i="125"/>
  <c r="AB36" i="125"/>
  <c r="AA36" i="125"/>
  <c r="AI35" i="125"/>
  <c r="AH35" i="125"/>
  <c r="AG35" i="125"/>
  <c r="AF35" i="125"/>
  <c r="AE35" i="125"/>
  <c r="AD35" i="125"/>
  <c r="AC35" i="125"/>
  <c r="AB35" i="125"/>
  <c r="AA35" i="125"/>
  <c r="AH34" i="125"/>
  <c r="AG34" i="125"/>
  <c r="AF34" i="125"/>
  <c r="AE34" i="125"/>
  <c r="AD34" i="125"/>
  <c r="AC34" i="125"/>
  <c r="AB34" i="125"/>
  <c r="AA34" i="125"/>
  <c r="AG33" i="125"/>
  <c r="AF33" i="125"/>
  <c r="AE33" i="125"/>
  <c r="AD33" i="125"/>
  <c r="AC33" i="125"/>
  <c r="AB33" i="125"/>
  <c r="AA33" i="125"/>
  <c r="AF32" i="125"/>
  <c r="AE32" i="125"/>
  <c r="AD32" i="125"/>
  <c r="AC32" i="125"/>
  <c r="AB32" i="125"/>
  <c r="AA32" i="125"/>
  <c r="AE31" i="125"/>
  <c r="AD31" i="125"/>
  <c r="AC31" i="125"/>
  <c r="AB31" i="125"/>
  <c r="AA31" i="125"/>
  <c r="AD30" i="125"/>
  <c r="AC30" i="125"/>
  <c r="AB30" i="125"/>
  <c r="AA30" i="125"/>
  <c r="AC29" i="125"/>
  <c r="AB29" i="125"/>
  <c r="AA29" i="125"/>
  <c r="AB28" i="125"/>
  <c r="AA28" i="125"/>
  <c r="O14" i="125"/>
  <c r="A1" i="125"/>
  <c r="P15" i="125"/>
  <c r="Q16" i="125"/>
  <c r="R17" i="125"/>
  <c r="S18" i="125"/>
  <c r="T19" i="125"/>
  <c r="U20" i="125"/>
  <c r="V21" i="125"/>
  <c r="W22" i="125"/>
  <c r="X23" i="125"/>
  <c r="Y24" i="125"/>
  <c r="Z25" i="125"/>
  <c r="AA26" i="125"/>
  <c r="N69" i="125"/>
  <c r="AS43" i="125"/>
  <c r="AR42" i="125"/>
  <c r="AT44" i="125"/>
  <c r="AQ41" i="125"/>
  <c r="AU45" i="125"/>
  <c r="AP40" i="125"/>
  <c r="AG31" i="125"/>
  <c r="AW47" i="125"/>
  <c r="AM37" i="125"/>
  <c r="AK35" i="125"/>
  <c r="AH32" i="125"/>
  <c r="AF30" i="125"/>
  <c r="AE29" i="125"/>
  <c r="AD28" i="125"/>
  <c r="AC27" i="125"/>
  <c r="AV46" i="125"/>
  <c r="AL36" i="125"/>
  <c r="AJ34" i="125"/>
  <c r="AO39" i="125"/>
  <c r="AI33" i="125"/>
  <c r="AN38" i="125"/>
  <c r="Q9" i="85"/>
  <c r="Y9" i="85"/>
  <c r="X9" i="85"/>
  <c r="W9" i="85"/>
  <c r="V9" i="85"/>
  <c r="AI39" i="116"/>
  <c r="AI46" i="116"/>
  <c r="AJ39" i="116"/>
  <c r="AJ46" i="116"/>
  <c r="AK39" i="116"/>
  <c r="AK46" i="116"/>
  <c r="AI40" i="116"/>
  <c r="AI47" i="116"/>
  <c r="AJ40" i="116"/>
  <c r="AJ47" i="116"/>
  <c r="AK40" i="116"/>
  <c r="AK47" i="116"/>
  <c r="AI41" i="116"/>
  <c r="AI48" i="116"/>
  <c r="AJ41" i="116"/>
  <c r="AJ48" i="116"/>
  <c r="AK41" i="116"/>
  <c r="AK48" i="116"/>
  <c r="AH40" i="116"/>
  <c r="AH47" i="116"/>
  <c r="AH41" i="116"/>
  <c r="AH48" i="116"/>
  <c r="AH42" i="116"/>
  <c r="AH49" i="116"/>
  <c r="AH39" i="116"/>
  <c r="AH46" i="116"/>
  <c r="Z10" i="116"/>
  <c r="Z11" i="116"/>
  <c r="Z12" i="116"/>
  <c r="Z15" i="116"/>
  <c r="Z9" i="116"/>
  <c r="AI36" i="116"/>
  <c r="AJ36" i="116"/>
  <c r="AH36" i="116"/>
  <c r="AI35" i="116"/>
  <c r="AJ35" i="116"/>
  <c r="AK35" i="116"/>
  <c r="AH35" i="116"/>
  <c r="AI34" i="116"/>
  <c r="AJ34" i="116"/>
  <c r="AK34" i="116"/>
  <c r="AH34" i="116"/>
  <c r="AI33" i="116"/>
  <c r="AJ33" i="116"/>
  <c r="AK33" i="116"/>
  <c r="AH33" i="116"/>
  <c r="AI32" i="116"/>
  <c r="AJ32" i="116"/>
  <c r="AK32" i="116"/>
  <c r="AH32" i="116"/>
  <c r="AG32" i="116"/>
  <c r="AG35" i="116"/>
  <c r="AG34" i="116"/>
  <c r="AG33" i="116"/>
  <c r="AG36" i="116"/>
  <c r="AG46" i="116"/>
  <c r="AG48" i="116"/>
  <c r="AG47" i="116"/>
  <c r="B69" i="116"/>
  <c r="B70" i="116"/>
  <c r="B71" i="116"/>
  <c r="B61" i="116"/>
  <c r="T12" i="116"/>
  <c r="S12" i="116"/>
  <c r="R20" i="116"/>
  <c r="Q20" i="116"/>
  <c r="P20" i="116"/>
  <c r="H20" i="116"/>
  <c r="G20" i="116"/>
  <c r="I20" i="116"/>
  <c r="E20" i="116"/>
  <c r="F20" i="116"/>
  <c r="D20" i="116"/>
  <c r="C20" i="116"/>
  <c r="P36" i="116"/>
  <c r="P38" i="116"/>
  <c r="R38" i="116"/>
  <c r="Q38" i="116"/>
  <c r="J33" i="116"/>
  <c r="AA32" i="116"/>
  <c r="H28" i="116"/>
  <c r="I28" i="116"/>
  <c r="G28" i="116"/>
  <c r="E28" i="116"/>
  <c r="F28" i="116"/>
  <c r="D28" i="116"/>
  <c r="C28" i="116"/>
  <c r="T28" i="116"/>
  <c r="Z23" i="116"/>
  <c r="S28" i="116"/>
  <c r="Q10" i="116"/>
  <c r="H25" i="116"/>
  <c r="I25" i="116"/>
  <c r="G25" i="116"/>
  <c r="D25" i="116"/>
  <c r="D31" i="116"/>
  <c r="E25" i="116"/>
  <c r="E31" i="116"/>
  <c r="F25" i="116"/>
  <c r="F31" i="116"/>
  <c r="C25" i="116"/>
  <c r="Z39" i="116"/>
  <c r="Z40" i="116"/>
  <c r="Z41" i="116"/>
  <c r="I26" i="116"/>
  <c r="H26" i="116"/>
  <c r="G26" i="116"/>
  <c r="F26" i="116"/>
  <c r="E26" i="116"/>
  <c r="D26" i="116"/>
  <c r="C26" i="116"/>
  <c r="S26" i="116"/>
  <c r="Z37" i="116"/>
  <c r="H31" i="116"/>
  <c r="U31" i="116"/>
  <c r="G31" i="116"/>
  <c r="T25" i="116"/>
  <c r="T31" i="116"/>
  <c r="C31" i="116"/>
  <c r="S25" i="116"/>
  <c r="S31" i="116"/>
  <c r="I31" i="116"/>
  <c r="T26" i="116"/>
  <c r="R10" i="116"/>
  <c r="Q8" i="116"/>
  <c r="R8" i="116"/>
  <c r="T8" i="116"/>
  <c r="P8" i="116"/>
  <c r="I14" i="116"/>
  <c r="I38" i="116"/>
  <c r="S11" i="116"/>
  <c r="S9" i="116"/>
  <c r="S7" i="116"/>
  <c r="S20" i="116"/>
  <c r="Q16" i="116"/>
  <c r="S10" i="116"/>
  <c r="T10" i="116"/>
  <c r="S8" i="116"/>
  <c r="R16" i="116"/>
  <c r="T16" i="116"/>
  <c r="S16" i="116"/>
  <c r="AD125" i="81"/>
  <c r="AP2" i="67"/>
  <c r="AQ2" i="67"/>
  <c r="AR2" i="67"/>
  <c r="AS2" i="67"/>
  <c r="AT2" i="67"/>
  <c r="AU2" i="67"/>
  <c r="AV2" i="67"/>
  <c r="AW2" i="67"/>
  <c r="AX2" i="67"/>
  <c r="AY2" i="67"/>
  <c r="AZ2" i="67"/>
  <c r="BA2" i="67"/>
  <c r="BB2" i="67"/>
  <c r="BC2" i="67"/>
  <c r="AO2" i="67"/>
  <c r="AO8" i="67"/>
  <c r="AP8" i="67"/>
  <c r="AQ8" i="67"/>
  <c r="AR8" i="67"/>
  <c r="AS8" i="67"/>
  <c r="AT8" i="67"/>
  <c r="AU8" i="67"/>
  <c r="AV8" i="67"/>
  <c r="AW8" i="67"/>
  <c r="AX8" i="67"/>
  <c r="AY8" i="67"/>
  <c r="AZ8" i="67"/>
  <c r="BA8" i="67"/>
  <c r="BA11" i="67"/>
  <c r="BB8" i="67"/>
  <c r="BC8" i="67"/>
  <c r="BC11" i="67"/>
  <c r="BB11" i="67"/>
  <c r="AW61" i="115"/>
  <c r="AW60" i="115"/>
  <c r="AV60" i="115"/>
  <c r="AW59" i="115"/>
  <c r="AV59" i="115"/>
  <c r="AU59" i="115"/>
  <c r="AW58" i="115"/>
  <c r="AV58" i="115"/>
  <c r="AU58" i="115"/>
  <c r="AT58" i="115"/>
  <c r="AW57" i="115"/>
  <c r="AV57" i="115"/>
  <c r="AU57" i="115"/>
  <c r="AT57" i="115"/>
  <c r="AS57" i="115"/>
  <c r="AW56" i="115"/>
  <c r="AV56" i="115"/>
  <c r="AU56" i="115"/>
  <c r="AT56" i="115"/>
  <c r="AS56" i="115"/>
  <c r="AR56" i="115"/>
  <c r="AW55" i="115"/>
  <c r="AV55" i="115"/>
  <c r="AU55" i="115"/>
  <c r="AT55" i="115"/>
  <c r="AS55" i="115"/>
  <c r="AR55" i="115"/>
  <c r="AQ55" i="115"/>
  <c r="AW54" i="115"/>
  <c r="AV54" i="115"/>
  <c r="AU54" i="115"/>
  <c r="AT54" i="115"/>
  <c r="AS54" i="115"/>
  <c r="AR54" i="115"/>
  <c r="AQ54" i="115"/>
  <c r="AP54" i="115"/>
  <c r="AW53" i="115"/>
  <c r="AV53" i="115"/>
  <c r="AU53" i="115"/>
  <c r="AT53" i="115"/>
  <c r="AS53" i="115"/>
  <c r="AR53" i="115"/>
  <c r="AQ53" i="115"/>
  <c r="AP53" i="115"/>
  <c r="AO53" i="115"/>
  <c r="AW52" i="115"/>
  <c r="AV52" i="115"/>
  <c r="AU52" i="115"/>
  <c r="AT52" i="115"/>
  <c r="AS52" i="115"/>
  <c r="AR52" i="115"/>
  <c r="AQ52" i="115"/>
  <c r="AP52" i="115"/>
  <c r="AO52" i="115"/>
  <c r="AN52" i="115"/>
  <c r="AW51" i="115"/>
  <c r="AV51" i="115"/>
  <c r="AU51" i="115"/>
  <c r="AT51" i="115"/>
  <c r="AS51" i="115"/>
  <c r="AR51" i="115"/>
  <c r="AQ51" i="115"/>
  <c r="AP51" i="115"/>
  <c r="AO51" i="115"/>
  <c r="AN51" i="115"/>
  <c r="AM51" i="115"/>
  <c r="AW50" i="115"/>
  <c r="AV50" i="115"/>
  <c r="AU50" i="115"/>
  <c r="AT50" i="115"/>
  <c r="AS50" i="115"/>
  <c r="AR50" i="115"/>
  <c r="AQ50" i="115"/>
  <c r="AP50" i="115"/>
  <c r="AO50" i="115"/>
  <c r="AN50" i="115"/>
  <c r="AM50" i="115"/>
  <c r="AL50" i="115"/>
  <c r="AW49" i="115"/>
  <c r="AV49" i="115"/>
  <c r="AU49" i="115"/>
  <c r="AT49" i="115"/>
  <c r="AS49" i="115"/>
  <c r="AR49" i="115"/>
  <c r="AQ49" i="115"/>
  <c r="AP49" i="115"/>
  <c r="AO49" i="115"/>
  <c r="AN49" i="115"/>
  <c r="AM49" i="115"/>
  <c r="AL49" i="115"/>
  <c r="AV48" i="115"/>
  <c r="AU48" i="115"/>
  <c r="AT48" i="115"/>
  <c r="AS48" i="115"/>
  <c r="AR48" i="115"/>
  <c r="AQ48" i="115"/>
  <c r="AP48" i="115"/>
  <c r="AO48" i="115"/>
  <c r="AN48" i="115"/>
  <c r="AM48" i="115"/>
  <c r="AL48" i="115"/>
  <c r="AU47" i="115"/>
  <c r="AT47" i="115"/>
  <c r="AS47" i="115"/>
  <c r="AR47" i="115"/>
  <c r="AQ47" i="115"/>
  <c r="AP47" i="115"/>
  <c r="AO47" i="115"/>
  <c r="AN47" i="115"/>
  <c r="AM47" i="115"/>
  <c r="AL47" i="115"/>
  <c r="AT46" i="115"/>
  <c r="AS46" i="115"/>
  <c r="AR46" i="115"/>
  <c r="AQ46" i="115"/>
  <c r="AP46" i="115"/>
  <c r="AO46" i="115"/>
  <c r="AN46" i="115"/>
  <c r="AM46" i="115"/>
  <c r="AL46" i="115"/>
  <c r="AS45" i="115"/>
  <c r="AR45" i="115"/>
  <c r="AQ45" i="115"/>
  <c r="AP45" i="115"/>
  <c r="AO45" i="115"/>
  <c r="AN45" i="115"/>
  <c r="AM45" i="115"/>
  <c r="AL45" i="115"/>
  <c r="AR44" i="115"/>
  <c r="AQ44" i="115"/>
  <c r="AP44" i="115"/>
  <c r="AO44" i="115"/>
  <c r="AN44" i="115"/>
  <c r="AM44" i="115"/>
  <c r="AL44" i="115"/>
  <c r="AQ43" i="115"/>
  <c r="AP43" i="115"/>
  <c r="AO43" i="115"/>
  <c r="AN43" i="115"/>
  <c r="AM43" i="115"/>
  <c r="AL43" i="115"/>
  <c r="AP42" i="115"/>
  <c r="AO42" i="115"/>
  <c r="AN42" i="115"/>
  <c r="AM42" i="115"/>
  <c r="AL42" i="115"/>
  <c r="AO41" i="115"/>
  <c r="AN41" i="115"/>
  <c r="AM41" i="115"/>
  <c r="AL41" i="115"/>
  <c r="AN40" i="115"/>
  <c r="AM40" i="115"/>
  <c r="AL40" i="115"/>
  <c r="AM39" i="115"/>
  <c r="AL39" i="115"/>
  <c r="AL38" i="115"/>
  <c r="AK49" i="115"/>
  <c r="AO50" i="70"/>
  <c r="AP50" i="70"/>
  <c r="AQ50" i="70"/>
  <c r="AR50" i="70"/>
  <c r="AS50" i="70"/>
  <c r="AT50" i="70"/>
  <c r="AU50" i="70"/>
  <c r="AV50" i="70"/>
  <c r="AW50" i="70"/>
  <c r="AX50" i="70"/>
  <c r="AY50" i="70"/>
  <c r="AZ50" i="70"/>
  <c r="AO51" i="70"/>
  <c r="AP51" i="70"/>
  <c r="AQ51" i="70"/>
  <c r="AR51" i="70"/>
  <c r="AS51" i="70"/>
  <c r="AT51" i="70"/>
  <c r="AU51" i="70"/>
  <c r="AV51" i="70"/>
  <c r="AW51" i="70"/>
  <c r="AX51" i="70"/>
  <c r="AY51" i="70"/>
  <c r="AZ51" i="70"/>
  <c r="AO55" i="70"/>
  <c r="AP55" i="70"/>
  <c r="AQ55" i="70"/>
  <c r="AR55" i="70"/>
  <c r="AS55" i="70"/>
  <c r="AT55" i="70"/>
  <c r="AU55" i="70"/>
  <c r="AV55" i="70"/>
  <c r="AW55" i="70"/>
  <c r="AX55" i="70"/>
  <c r="AY55" i="70"/>
  <c r="AZ55" i="70"/>
  <c r="AP54" i="69"/>
  <c r="AQ54" i="69"/>
  <c r="AR54" i="69"/>
  <c r="AS54" i="69"/>
  <c r="AT54" i="69"/>
  <c r="AU54" i="69"/>
  <c r="AV54" i="69"/>
  <c r="AW54" i="69"/>
  <c r="AX54" i="69"/>
  <c r="AY54" i="69"/>
  <c r="AZ54" i="69"/>
  <c r="BA54" i="69"/>
  <c r="AP55" i="69"/>
  <c r="AQ55" i="69"/>
  <c r="AR55" i="69"/>
  <c r="AS55" i="69"/>
  <c r="AT55" i="69"/>
  <c r="AU55" i="69"/>
  <c r="AV55" i="69"/>
  <c r="AW55" i="69"/>
  <c r="AX55" i="69"/>
  <c r="AY55" i="69"/>
  <c r="AZ55" i="69"/>
  <c r="BA55" i="69"/>
  <c r="BA3" i="69"/>
  <c r="AS3" i="69"/>
  <c r="AT3" i="69"/>
  <c r="AU3" i="69"/>
  <c r="AV3" i="69"/>
  <c r="AW3" i="69"/>
  <c r="AX3" i="69"/>
  <c r="AY3" i="69"/>
  <c r="AZ3" i="69"/>
  <c r="AP3" i="69"/>
  <c r="AQ3" i="69"/>
  <c r="AR3" i="69"/>
  <c r="AO3" i="126"/>
  <c r="AP16" i="69"/>
  <c r="AP31" i="69"/>
  <c r="AY3" i="126"/>
  <c r="AZ16" i="69"/>
  <c r="AZ31" i="69"/>
  <c r="AU3" i="126"/>
  <c r="AV16" i="69"/>
  <c r="AV31" i="69"/>
  <c r="AZ3" i="126"/>
  <c r="BA25" i="70"/>
  <c r="BA16" i="69"/>
  <c r="BA31" i="69"/>
  <c r="BA30" i="70"/>
  <c r="AR3" i="126"/>
  <c r="AS16" i="69"/>
  <c r="AS31" i="69"/>
  <c r="AX3" i="126"/>
  <c r="AY16" i="69"/>
  <c r="AY31" i="69"/>
  <c r="AT3" i="126"/>
  <c r="AU16" i="69"/>
  <c r="AU31" i="69"/>
  <c r="AV3" i="126"/>
  <c r="AW16" i="69"/>
  <c r="AW31" i="69"/>
  <c r="AQ3" i="126"/>
  <c r="AR16" i="69"/>
  <c r="AR31" i="69"/>
  <c r="AP3" i="126"/>
  <c r="AQ16" i="69"/>
  <c r="AQ31" i="69"/>
  <c r="AW3" i="126"/>
  <c r="AX16" i="69"/>
  <c r="AX31" i="69"/>
  <c r="AS3" i="126"/>
  <c r="AT16" i="69"/>
  <c r="AT31" i="69"/>
  <c r="AD81" i="81"/>
  <c r="AD73" i="81"/>
  <c r="AD34" i="81"/>
  <c r="AD36" i="81"/>
  <c r="AD18" i="81"/>
  <c r="BG55" i="107"/>
  <c r="BH55" i="107"/>
  <c r="BI55" i="107"/>
  <c r="BJ55" i="107"/>
  <c r="BK55" i="107"/>
  <c r="BK66" i="107"/>
  <c r="BK67" i="107"/>
  <c r="BG68" i="107"/>
  <c r="BK68" i="107"/>
  <c r="BK69" i="107"/>
  <c r="BK70" i="107"/>
  <c r="BK71" i="107"/>
  <c r="BK72" i="107"/>
  <c r="BK73" i="107"/>
  <c r="BK74" i="107"/>
  <c r="BK75" i="107"/>
  <c r="BK76" i="107"/>
  <c r="BK77" i="107"/>
  <c r="BB55" i="107"/>
  <c r="BC55" i="107"/>
  <c r="BD55" i="107"/>
  <c r="BE55" i="107"/>
  <c r="BF55" i="107"/>
  <c r="BB66" i="107"/>
  <c r="BF66" i="107"/>
  <c r="BG66" i="107"/>
  <c r="BB67" i="107"/>
  <c r="BF67" i="107"/>
  <c r="BG67" i="107"/>
  <c r="BB68" i="107"/>
  <c r="BF68" i="107"/>
  <c r="BB69" i="107"/>
  <c r="BF69" i="107"/>
  <c r="BG69" i="107"/>
  <c r="BB70" i="107"/>
  <c r="BF70" i="107"/>
  <c r="BG70" i="107"/>
  <c r="BB71" i="107"/>
  <c r="BF71" i="107"/>
  <c r="BG71" i="107"/>
  <c r="BB72" i="107"/>
  <c r="BF72" i="107"/>
  <c r="BG72" i="107"/>
  <c r="BB73" i="107"/>
  <c r="BF73" i="107"/>
  <c r="BG73" i="107"/>
  <c r="BB74" i="107"/>
  <c r="BF74" i="107"/>
  <c r="BG74" i="107"/>
  <c r="BB75" i="107"/>
  <c r="BF75" i="107"/>
  <c r="BG75" i="107"/>
  <c r="BB76" i="107"/>
  <c r="BF76" i="107"/>
  <c r="BG76" i="107"/>
  <c r="BB77" i="107"/>
  <c r="BF77" i="107"/>
  <c r="BG77" i="107"/>
  <c r="AN55" i="107"/>
  <c r="AO55" i="107"/>
  <c r="AP55" i="107"/>
  <c r="AQ55" i="107"/>
  <c r="AR55" i="107"/>
  <c r="AS55" i="107"/>
  <c r="AT55" i="107"/>
  <c r="AU55" i="107"/>
  <c r="AV55" i="107"/>
  <c r="AW55" i="107"/>
  <c r="AX55" i="107"/>
  <c r="AY55" i="107"/>
  <c r="AZ55" i="107"/>
  <c r="BA55" i="107"/>
  <c r="AN66" i="107"/>
  <c r="AR66" i="107"/>
  <c r="AV66" i="107"/>
  <c r="AZ66" i="107"/>
  <c r="AN67" i="107"/>
  <c r="AR67" i="107"/>
  <c r="AV67" i="107"/>
  <c r="AZ67" i="107"/>
  <c r="AN68" i="107"/>
  <c r="AR68" i="107"/>
  <c r="AV68" i="107"/>
  <c r="AZ68" i="107"/>
  <c r="AN69" i="107"/>
  <c r="AR69" i="107"/>
  <c r="AV69" i="107"/>
  <c r="AZ69" i="107"/>
  <c r="AN70" i="107"/>
  <c r="AR70" i="107"/>
  <c r="AV70" i="107"/>
  <c r="AZ70" i="107"/>
  <c r="AN71" i="107"/>
  <c r="AR71" i="107"/>
  <c r="AV71" i="107"/>
  <c r="AZ71" i="107"/>
  <c r="AN72" i="107"/>
  <c r="AR72" i="107"/>
  <c r="AV72" i="107"/>
  <c r="AZ72" i="107"/>
  <c r="AN73" i="107"/>
  <c r="AR73" i="107"/>
  <c r="AV73" i="107"/>
  <c r="AZ73" i="107"/>
  <c r="AN74" i="107"/>
  <c r="AR74" i="107"/>
  <c r="AV74" i="107"/>
  <c r="AZ74" i="107"/>
  <c r="AN75" i="107"/>
  <c r="AR75" i="107"/>
  <c r="AV75" i="107"/>
  <c r="AZ75" i="107"/>
  <c r="AN76" i="107"/>
  <c r="AR76" i="107"/>
  <c r="AV76" i="107"/>
  <c r="AZ76" i="107"/>
  <c r="AN77" i="107"/>
  <c r="AR77" i="107"/>
  <c r="AV77" i="107"/>
  <c r="AZ77" i="107"/>
  <c r="I16" i="116"/>
  <c r="I10" i="116"/>
  <c r="I8" i="116"/>
  <c r="AC34" i="81"/>
  <c r="Z55" i="69"/>
  <c r="Z54" i="69"/>
  <c r="X18" i="70"/>
  <c r="X30" i="70"/>
  <c r="AC125" i="81"/>
  <c r="AC107" i="81"/>
  <c r="AC81" i="81"/>
  <c r="AC73" i="81"/>
  <c r="AC36" i="81"/>
  <c r="AC21" i="81"/>
  <c r="AC18" i="81"/>
  <c r="AC96" i="81"/>
  <c r="AC101" i="81"/>
  <c r="AC102" i="81"/>
  <c r="AC108" i="81"/>
  <c r="AC126" i="81"/>
  <c r="AC37" i="81"/>
  <c r="AC39" i="81"/>
  <c r="AB73" i="81"/>
  <c r="U52" i="11"/>
  <c r="T52" i="11"/>
  <c r="Y54" i="69"/>
  <c r="W30" i="70"/>
  <c r="AB81" i="81"/>
  <c r="AB125" i="81"/>
  <c r="AB96" i="81"/>
  <c r="AB34" i="81"/>
  <c r="AA34" i="81"/>
  <c r="AB18" i="81"/>
  <c r="AB36" i="81"/>
  <c r="AC61" i="81"/>
  <c r="Y22" i="70"/>
  <c r="W22" i="70"/>
  <c r="X22" i="70"/>
  <c r="X25" i="70"/>
  <c r="AC74" i="81"/>
  <c r="AC127" i="81"/>
  <c r="AC62" i="81"/>
  <c r="I37" i="116"/>
  <c r="S5" i="85"/>
  <c r="G63" i="85"/>
  <c r="P25" i="85"/>
  <c r="I41" i="85"/>
  <c r="H41" i="85"/>
  <c r="G41" i="85"/>
  <c r="F41" i="85"/>
  <c r="BV17" i="11"/>
  <c r="BX38" i="34" s="1"/>
  <c r="BX40" i="34" s="1"/>
  <c r="H16" i="116"/>
  <c r="H14" i="116"/>
  <c r="G14" i="116"/>
  <c r="F14" i="116"/>
  <c r="E14" i="116"/>
  <c r="D14" i="116"/>
  <c r="C14" i="116"/>
  <c r="G16" i="116"/>
  <c r="F16" i="116"/>
  <c r="E16" i="116"/>
  <c r="D16" i="116"/>
  <c r="C16" i="116"/>
  <c r="M15" i="116"/>
  <c r="N16" i="116"/>
  <c r="H10" i="116"/>
  <c r="H8" i="116"/>
  <c r="M16" i="116"/>
  <c r="M13" i="116"/>
  <c r="L14" i="116"/>
  <c r="Q48" i="69"/>
  <c r="U125" i="81"/>
  <c r="BV19" i="11"/>
  <c r="N13" i="116"/>
  <c r="M14" i="116"/>
  <c r="O16" i="116"/>
  <c r="V30" i="70"/>
  <c r="V96" i="81"/>
  <c r="S30" i="70"/>
  <c r="Z125" i="81"/>
  <c r="AA125" i="81"/>
  <c r="AA96" i="81"/>
  <c r="AA101" i="81"/>
  <c r="AA81" i="81"/>
  <c r="AA36" i="81"/>
  <c r="O13" i="116"/>
  <c r="O14" i="116"/>
  <c r="N14" i="116"/>
  <c r="AA102" i="81"/>
  <c r="D17" i="34"/>
  <c r="D22" i="34"/>
  <c r="Q64" i="69"/>
  <c r="G64" i="69"/>
  <c r="H64" i="69"/>
  <c r="I64" i="69"/>
  <c r="J64" i="69"/>
  <c r="K64" i="69"/>
  <c r="L64" i="69"/>
  <c r="M64" i="69"/>
  <c r="N64" i="69"/>
  <c r="O64" i="69"/>
  <c r="P64" i="69"/>
  <c r="F64" i="69"/>
  <c r="D55" i="69"/>
  <c r="E55" i="69"/>
  <c r="D54" i="69"/>
  <c r="E54" i="69"/>
  <c r="D50" i="69"/>
  <c r="E50" i="69"/>
  <c r="D49" i="69"/>
  <c r="E49" i="69"/>
  <c r="D44" i="69"/>
  <c r="E44" i="69"/>
  <c r="D42" i="69"/>
  <c r="E42" i="69"/>
  <c r="D40" i="69"/>
  <c r="E40" i="69"/>
  <c r="D39" i="69"/>
  <c r="E39" i="69"/>
  <c r="D35" i="69"/>
  <c r="E35" i="69"/>
  <c r="D32" i="69"/>
  <c r="E32" i="69"/>
  <c r="D31" i="69"/>
  <c r="E31" i="69"/>
  <c r="D29" i="69"/>
  <c r="E29" i="69"/>
  <c r="D28" i="69"/>
  <c r="D33" i="69" s="1"/>
  <c r="D36" i="69" s="1"/>
  <c r="E28" i="69"/>
  <c r="D17" i="69"/>
  <c r="E17" i="69"/>
  <c r="D16" i="69"/>
  <c r="E16" i="69"/>
  <c r="D15" i="69"/>
  <c r="E15" i="69"/>
  <c r="I125" i="81"/>
  <c r="I108" i="81"/>
  <c r="I101" i="81"/>
  <c r="I81" i="81"/>
  <c r="I34" i="81"/>
  <c r="I36" i="81"/>
  <c r="I61" i="81"/>
  <c r="H81" i="81"/>
  <c r="H101" i="81"/>
  <c r="H125" i="81"/>
  <c r="H108" i="81"/>
  <c r="H34" i="81"/>
  <c r="I73" i="81"/>
  <c r="H73" i="81"/>
  <c r="D20" i="69"/>
  <c r="D22" i="69"/>
  <c r="H61" i="81"/>
  <c r="H21" i="81"/>
  <c r="D9" i="69"/>
  <c r="I21" i="81"/>
  <c r="E9" i="69"/>
  <c r="I12" i="81"/>
  <c r="I18" i="81"/>
  <c r="E8" i="69"/>
  <c r="H12" i="81"/>
  <c r="H18" i="81"/>
  <c r="D8" i="69"/>
  <c r="H36" i="81"/>
  <c r="H37" i="81"/>
  <c r="H74" i="81"/>
  <c r="D24" i="69"/>
  <c r="D30" i="69"/>
  <c r="D18" i="69"/>
  <c r="E11" i="69"/>
  <c r="E12" i="69"/>
  <c r="I37" i="81"/>
  <c r="I74" i="81"/>
  <c r="E24" i="69"/>
  <c r="D11" i="69"/>
  <c r="D12" i="69"/>
  <c r="E18" i="69"/>
  <c r="E20" i="69"/>
  <c r="E22" i="69"/>
  <c r="H102" i="81"/>
  <c r="H126" i="81"/>
  <c r="E30" i="69"/>
  <c r="E33" i="69"/>
  <c r="E36" i="69" s="1"/>
  <c r="F61" i="69"/>
  <c r="D51" i="69"/>
  <c r="I102" i="81"/>
  <c r="I126" i="81"/>
  <c r="E52" i="69"/>
  <c r="E53" i="69"/>
  <c r="I127" i="81"/>
  <c r="H127" i="81"/>
  <c r="D52" i="69"/>
  <c r="D53" i="69"/>
  <c r="X34" i="81"/>
  <c r="X36" i="81"/>
  <c r="Y125" i="81"/>
  <c r="V125" i="81"/>
  <c r="W125" i="81"/>
  <c r="X125" i="81"/>
  <c r="K125" i="81"/>
  <c r="L125" i="81"/>
  <c r="M125" i="81"/>
  <c r="N125" i="81"/>
  <c r="O125" i="81"/>
  <c r="P125" i="81"/>
  <c r="Q125" i="81"/>
  <c r="R125" i="81"/>
  <c r="S125" i="81"/>
  <c r="T125" i="81"/>
  <c r="J125" i="81"/>
  <c r="K107" i="81"/>
  <c r="L107" i="81"/>
  <c r="M107" i="81"/>
  <c r="N107" i="81"/>
  <c r="O107" i="81"/>
  <c r="P107" i="81"/>
  <c r="Q107" i="81"/>
  <c r="R107" i="81"/>
  <c r="S107" i="81"/>
  <c r="T107" i="81"/>
  <c r="U107" i="81"/>
  <c r="V107" i="81"/>
  <c r="W107" i="81"/>
  <c r="X107" i="81"/>
  <c r="Y107" i="81"/>
  <c r="J107" i="81"/>
  <c r="Y96" i="81"/>
  <c r="Y101" i="81"/>
  <c r="W96" i="81"/>
  <c r="W101" i="81"/>
  <c r="X96" i="81"/>
  <c r="X101" i="81"/>
  <c r="AB101" i="81"/>
  <c r="AD96" i="81"/>
  <c r="AD101" i="81"/>
  <c r="AD102" i="81"/>
  <c r="AE96" i="81"/>
  <c r="AE101" i="81"/>
  <c r="AF96" i="81"/>
  <c r="AF101" i="81"/>
  <c r="AG96" i="81"/>
  <c r="AG101" i="81"/>
  <c r="AG102" i="81"/>
  <c r="AG108" i="81"/>
  <c r="AG126" i="81"/>
  <c r="V101" i="81"/>
  <c r="J61" i="81"/>
  <c r="L34" i="81"/>
  <c r="L36" i="81"/>
  <c r="M34" i="81"/>
  <c r="M36" i="81"/>
  <c r="N34" i="81"/>
  <c r="N36" i="81"/>
  <c r="O34" i="81"/>
  <c r="O36" i="81"/>
  <c r="P34" i="81"/>
  <c r="P36" i="81"/>
  <c r="Q34" i="81"/>
  <c r="Q36" i="81"/>
  <c r="R34" i="81"/>
  <c r="R36" i="81"/>
  <c r="S34" i="81"/>
  <c r="S36" i="81"/>
  <c r="T34" i="81"/>
  <c r="T36" i="81"/>
  <c r="U34" i="81"/>
  <c r="U36" i="81"/>
  <c r="V34" i="81"/>
  <c r="V36" i="81"/>
  <c r="W34" i="81"/>
  <c r="W36" i="81"/>
  <c r="K34" i="81"/>
  <c r="K36" i="81"/>
  <c r="T30" i="70"/>
  <c r="U30" i="70"/>
  <c r="R30" i="70"/>
  <c r="P34" i="70"/>
  <c r="P76" i="34"/>
  <c r="O76" i="34"/>
  <c r="L76" i="34"/>
  <c r="M76" i="34"/>
  <c r="N76" i="34"/>
  <c r="K76" i="34"/>
  <c r="J76" i="34"/>
  <c r="I76" i="34"/>
  <c r="H76" i="34"/>
  <c r="G76" i="34"/>
  <c r="F76" i="34"/>
  <c r="E76" i="34"/>
  <c r="R1577" i="123"/>
  <c r="S45" i="11"/>
  <c r="P46" i="11"/>
  <c r="P52" i="11"/>
  <c r="Q52" i="11"/>
  <c r="R52" i="11"/>
  <c r="S52" i="11"/>
  <c r="O52" i="11"/>
  <c r="E25" i="70"/>
  <c r="E38" i="70"/>
  <c r="Z96" i="81"/>
  <c r="Z81" i="81"/>
  <c r="Z34" i="81"/>
  <c r="Z36" i="81"/>
  <c r="Z73" i="81"/>
  <c r="V22" i="70"/>
  <c r="Y21" i="81"/>
  <c r="Z101" i="81"/>
  <c r="Z102" i="81"/>
  <c r="Y18" i="81"/>
  <c r="Q18" i="85"/>
  <c r="P18" i="85"/>
  <c r="N32" i="70"/>
  <c r="N38" i="70"/>
  <c r="H1577" i="123"/>
  <c r="I1577" i="123"/>
  <c r="J1577" i="123"/>
  <c r="K1577" i="123"/>
  <c r="L1577" i="123"/>
  <c r="M1577" i="123"/>
  <c r="N1577" i="123"/>
  <c r="O1577" i="123"/>
  <c r="P1577" i="123"/>
  <c r="Q1577" i="123"/>
  <c r="G1577" i="123"/>
  <c r="U73" i="81"/>
  <c r="V73" i="81"/>
  <c r="J96" i="81"/>
  <c r="J101" i="81"/>
  <c r="K61" i="81"/>
  <c r="L61" i="81"/>
  <c r="M61" i="81"/>
  <c r="N61" i="81"/>
  <c r="O61" i="81"/>
  <c r="P61" i="81"/>
  <c r="Q61" i="81"/>
  <c r="R61" i="81"/>
  <c r="S61" i="81"/>
  <c r="T61" i="81"/>
  <c r="U61" i="81"/>
  <c r="T96" i="81"/>
  <c r="T101" i="81"/>
  <c r="S96" i="81"/>
  <c r="S101" i="81"/>
  <c r="R96" i="81"/>
  <c r="R101" i="81"/>
  <c r="Q96" i="81"/>
  <c r="Q101" i="81"/>
  <c r="P96" i="81"/>
  <c r="P101" i="81"/>
  <c r="O96" i="81"/>
  <c r="O101" i="81"/>
  <c r="N96" i="81"/>
  <c r="N101" i="81"/>
  <c r="M96" i="81"/>
  <c r="M101" i="81"/>
  <c r="L96" i="81"/>
  <c r="L101" i="81"/>
  <c r="K96" i="81"/>
  <c r="K101" i="81"/>
  <c r="T81" i="81"/>
  <c r="S81" i="81"/>
  <c r="R81" i="81"/>
  <c r="Q81" i="81"/>
  <c r="P81" i="81"/>
  <c r="O81" i="81"/>
  <c r="N81" i="81"/>
  <c r="M81" i="81"/>
  <c r="L81" i="81"/>
  <c r="K81" i="81"/>
  <c r="J81" i="81"/>
  <c r="J102" i="81"/>
  <c r="J108" i="81"/>
  <c r="T21" i="81"/>
  <c r="T37" i="81"/>
  <c r="S21" i="81"/>
  <c r="S37" i="81"/>
  <c r="Q22" i="70"/>
  <c r="S22" i="70"/>
  <c r="R21" i="81"/>
  <c r="R37" i="81"/>
  <c r="L102" i="81"/>
  <c r="R22" i="70"/>
  <c r="T102" i="81"/>
  <c r="T108" i="81"/>
  <c r="T126" i="81"/>
  <c r="N102" i="81"/>
  <c r="R102" i="81"/>
  <c r="R108" i="81"/>
  <c r="R126" i="81"/>
  <c r="P102" i="81"/>
  <c r="Q102" i="81"/>
  <c r="M102" i="81"/>
  <c r="S102" i="81"/>
  <c r="S108" i="81"/>
  <c r="S126" i="81"/>
  <c r="O102" i="81"/>
  <c r="K102" i="81"/>
  <c r="AI67" i="107"/>
  <c r="AJ67" i="107"/>
  <c r="AI68" i="107"/>
  <c r="AJ68" i="107"/>
  <c r="AI69" i="107"/>
  <c r="AJ69" i="107"/>
  <c r="AI70" i="107"/>
  <c r="AJ70" i="107"/>
  <c r="AI71" i="107"/>
  <c r="AJ71" i="107"/>
  <c r="AI72" i="107"/>
  <c r="AJ72" i="107"/>
  <c r="AI73" i="107"/>
  <c r="AJ73" i="107"/>
  <c r="AI74" i="107"/>
  <c r="AJ74" i="107"/>
  <c r="AI75" i="107"/>
  <c r="AJ75" i="107"/>
  <c r="AI76" i="107"/>
  <c r="AJ76" i="107"/>
  <c r="AI77" i="107"/>
  <c r="AJ77" i="107"/>
  <c r="AI66" i="107"/>
  <c r="AJ66" i="107"/>
  <c r="C6" i="11"/>
  <c r="C9" i="11" s="1"/>
  <c r="E27" i="34" s="1"/>
  <c r="D6" i="11"/>
  <c r="E6" i="11"/>
  <c r="F6" i="11"/>
  <c r="F8" i="11" s="1"/>
  <c r="G6" i="11"/>
  <c r="G13" i="11" s="1"/>
  <c r="I29" i="34" s="1"/>
  <c r="D24" i="57" s="1"/>
  <c r="H6" i="11"/>
  <c r="I6" i="11"/>
  <c r="J6" i="11"/>
  <c r="J13" i="11" s="1"/>
  <c r="L29" i="34" s="1"/>
  <c r="G9" i="11"/>
  <c r="G8" i="11"/>
  <c r="G12" i="11"/>
  <c r="J12" i="11"/>
  <c r="J9" i="11"/>
  <c r="J8" i="11"/>
  <c r="F12" i="11"/>
  <c r="F9" i="11"/>
  <c r="H27" i="34" s="1"/>
  <c r="F13" i="11"/>
  <c r="I12" i="11"/>
  <c r="K28" i="34" s="1"/>
  <c r="H8" i="11"/>
  <c r="J26" i="34" s="1"/>
  <c r="H12" i="11"/>
  <c r="H9" i="11"/>
  <c r="H10" i="11" s="1"/>
  <c r="H13" i="11"/>
  <c r="D12" i="11"/>
  <c r="F28" i="34" s="1"/>
  <c r="D8" i="11"/>
  <c r="D9" i="11"/>
  <c r="D13" i="11"/>
  <c r="C12" i="11"/>
  <c r="E28" i="34" s="1"/>
  <c r="C13" i="11"/>
  <c r="E29" i="34" s="1"/>
  <c r="C8" i="11"/>
  <c r="J11" i="11"/>
  <c r="L20" i="34" s="1"/>
  <c r="L22" i="34" s="1"/>
  <c r="F11" i="11"/>
  <c r="H20" i="34" s="1"/>
  <c r="H22" i="34" s="1"/>
  <c r="E11" i="11"/>
  <c r="G20" i="34" s="1"/>
  <c r="G22" i="34" s="1"/>
  <c r="H11" i="11"/>
  <c r="J20" i="34" s="1"/>
  <c r="D11" i="11"/>
  <c r="F20" i="34" s="1"/>
  <c r="F22" i="34" s="1"/>
  <c r="G11" i="11"/>
  <c r="I20" i="34" s="1"/>
  <c r="I22" i="34" s="1"/>
  <c r="C11" i="11"/>
  <c r="E20" i="34" s="1"/>
  <c r="E22" i="34" s="1"/>
  <c r="F37" i="11"/>
  <c r="H60" i="34" s="1"/>
  <c r="K6" i="11"/>
  <c r="K9" i="11" s="1"/>
  <c r="M27" i="34" s="1"/>
  <c r="L6" i="11"/>
  <c r="M6" i="11"/>
  <c r="N6" i="11"/>
  <c r="N9" i="11" s="1"/>
  <c r="P27" i="34" s="1"/>
  <c r="F22" i="57" s="1"/>
  <c r="K8" i="11"/>
  <c r="K10" i="11" s="1"/>
  <c r="K13" i="11"/>
  <c r="M29" i="34" s="1"/>
  <c r="N13" i="11"/>
  <c r="N8" i="11"/>
  <c r="N10" i="11" s="1"/>
  <c r="N12" i="11"/>
  <c r="M9" i="11"/>
  <c r="L9" i="11"/>
  <c r="L13" i="11"/>
  <c r="L8" i="11"/>
  <c r="N26" i="34" s="1"/>
  <c r="L12" i="11"/>
  <c r="K11" i="11"/>
  <c r="M20" i="34" s="1"/>
  <c r="M22" i="34" s="1"/>
  <c r="N11" i="11"/>
  <c r="P20" i="34" s="1"/>
  <c r="P22" i="34" s="1"/>
  <c r="L11" i="11"/>
  <c r="N20" i="34" s="1"/>
  <c r="L37" i="11"/>
  <c r="C19" i="124"/>
  <c r="S6" i="11"/>
  <c r="S12" i="11" s="1"/>
  <c r="T6" i="11"/>
  <c r="U6" i="11"/>
  <c r="V6" i="11"/>
  <c r="V9" i="11" s="1"/>
  <c r="V10" i="11" s="1"/>
  <c r="W6" i="11"/>
  <c r="W13" i="11" s="1"/>
  <c r="X6" i="11"/>
  <c r="Y6" i="11"/>
  <c r="Z6" i="11"/>
  <c r="Z12" i="11" s="1"/>
  <c r="AB28" i="34" s="1"/>
  <c r="AB6" i="11"/>
  <c r="AB36" i="11" s="1"/>
  <c r="AD59" i="34" s="1"/>
  <c r="AC6" i="11"/>
  <c r="AD6" i="11"/>
  <c r="AD36" i="11" s="1"/>
  <c r="AF59" i="34" s="1"/>
  <c r="AE6" i="11"/>
  <c r="AE34" i="11" s="1"/>
  <c r="AG57" i="34" s="1"/>
  <c r="AF6" i="11"/>
  <c r="AF36" i="11" s="1"/>
  <c r="AH59" i="34" s="1"/>
  <c r="AG6" i="11"/>
  <c r="AG29" i="11" s="1"/>
  <c r="AI52" i="34" s="1"/>
  <c r="AH6" i="11"/>
  <c r="AH36" i="11" s="1"/>
  <c r="AI6" i="11"/>
  <c r="AJ6" i="11"/>
  <c r="AJ36" i="11" s="1"/>
  <c r="AL59" i="34" s="1"/>
  <c r="AK6" i="11"/>
  <c r="AL6" i="11"/>
  <c r="AL36" i="11" s="1"/>
  <c r="AM6" i="11"/>
  <c r="AM34" i="11" s="1"/>
  <c r="AO57" i="34" s="1"/>
  <c r="AN6" i="11"/>
  <c r="AN36" i="11" s="1"/>
  <c r="AP59" i="34" s="1"/>
  <c r="AO6" i="11"/>
  <c r="AO28" i="11" s="1"/>
  <c r="AQ51" i="34" s="1"/>
  <c r="AP6" i="11"/>
  <c r="AP36" i="11" s="1"/>
  <c r="AQ6" i="11"/>
  <c r="AR6" i="11"/>
  <c r="AR36" i="11" s="1"/>
  <c r="AS6" i="11"/>
  <c r="AT6" i="11"/>
  <c r="AT36" i="11" s="1"/>
  <c r="AV59" i="34" s="1"/>
  <c r="AU6" i="11"/>
  <c r="AU33" i="11" s="1"/>
  <c r="AW56" i="34" s="1"/>
  <c r="AV6" i="11"/>
  <c r="AV36" i="11" s="1"/>
  <c r="AX59" i="34" s="1"/>
  <c r="AW6" i="11"/>
  <c r="AW31" i="11" s="1"/>
  <c r="AY54" i="34" s="1"/>
  <c r="R49" i="57" s="1"/>
  <c r="AX6" i="11"/>
  <c r="AX31" i="11" s="1"/>
  <c r="AZ54" i="34" s="1"/>
  <c r="AY6" i="11"/>
  <c r="AZ6" i="11"/>
  <c r="AZ36" i="11" s="1"/>
  <c r="BA6" i="11"/>
  <c r="BB6" i="11"/>
  <c r="BB36" i="11" s="1"/>
  <c r="BD59" i="34" s="1"/>
  <c r="BC6" i="11"/>
  <c r="BD6" i="11"/>
  <c r="BD31" i="11" s="1"/>
  <c r="BE6" i="11"/>
  <c r="BE28" i="11" s="1"/>
  <c r="BG51" i="34" s="1"/>
  <c r="BF6" i="11"/>
  <c r="BF31" i="11" s="1"/>
  <c r="BH54" i="34" s="1"/>
  <c r="BG6" i="11"/>
  <c r="BG37" i="11" s="1"/>
  <c r="BI60" i="34" s="1"/>
  <c r="BH6" i="11"/>
  <c r="BH36" i="11" s="1"/>
  <c r="BJ59" i="34" s="1"/>
  <c r="BI6" i="11"/>
  <c r="BJ6" i="11"/>
  <c r="BJ36" i="11" s="1"/>
  <c r="BL59" i="34" s="1"/>
  <c r="O6" i="11"/>
  <c r="P6" i="11"/>
  <c r="P8" i="11" s="1"/>
  <c r="Q6" i="11"/>
  <c r="Q8" i="11" s="1"/>
  <c r="R6" i="11"/>
  <c r="Y81" i="81"/>
  <c r="Y102" i="81"/>
  <c r="Y34" i="81"/>
  <c r="Y36" i="81"/>
  <c r="AY37" i="11"/>
  <c r="BA60" i="34" s="1"/>
  <c r="BJ37" i="11"/>
  <c r="BL60" i="34" s="1"/>
  <c r="BF37" i="11"/>
  <c r="BH60" i="34" s="1"/>
  <c r="BB37" i="11"/>
  <c r="AX37" i="11"/>
  <c r="AT37" i="11"/>
  <c r="AP31" i="11"/>
  <c r="AP37" i="11"/>
  <c r="AL37" i="11"/>
  <c r="AN60" i="34" s="1"/>
  <c r="AH31" i="11"/>
  <c r="AJ54" i="34" s="1"/>
  <c r="AH37" i="11"/>
  <c r="AD37" i="11"/>
  <c r="AF60" i="34" s="1"/>
  <c r="BE31" i="11"/>
  <c r="BG54" i="34" s="1"/>
  <c r="AO31" i="11"/>
  <c r="AQ54" i="34" s="1"/>
  <c r="BH37" i="11"/>
  <c r="BJ60" i="34" s="1"/>
  <c r="BD37" i="11"/>
  <c r="AZ37" i="11"/>
  <c r="BB60" i="34" s="1"/>
  <c r="AV31" i="11"/>
  <c r="AV37" i="11"/>
  <c r="AR37" i="11"/>
  <c r="AN31" i="11"/>
  <c r="AN37" i="11"/>
  <c r="AP60" i="34" s="1"/>
  <c r="AJ37" i="11"/>
  <c r="AL60" i="34" s="1"/>
  <c r="AF31" i="11"/>
  <c r="AH54" i="34" s="1"/>
  <c r="AF37" i="11"/>
  <c r="AH60" i="34" s="1"/>
  <c r="AB37" i="11"/>
  <c r="AD60" i="34" s="1"/>
  <c r="BC13" i="11"/>
  <c r="BE29" i="34" s="1"/>
  <c r="T24" i="57" s="1"/>
  <c r="AE27" i="11"/>
  <c r="AG50" i="34" s="1"/>
  <c r="Z8" i="11"/>
  <c r="Z13" i="11"/>
  <c r="Z9" i="11"/>
  <c r="V12" i="11"/>
  <c r="X28" i="34" s="1"/>
  <c r="V13" i="11"/>
  <c r="V8" i="11"/>
  <c r="R12" i="11"/>
  <c r="R8" i="11"/>
  <c r="R9" i="11"/>
  <c r="R13" i="11"/>
  <c r="T29" i="34" s="1"/>
  <c r="BJ12" i="11"/>
  <c r="BJ13" i="11"/>
  <c r="BL29" i="34" s="1"/>
  <c r="BJ8" i="11"/>
  <c r="BL26" i="34" s="1"/>
  <c r="BF12" i="11"/>
  <c r="BF13" i="11"/>
  <c r="BF8" i="11"/>
  <c r="BB12" i="11"/>
  <c r="BB13" i="11"/>
  <c r="BB8" i="11"/>
  <c r="AX12" i="11"/>
  <c r="AZ28" i="34" s="1"/>
  <c r="AX27" i="11"/>
  <c r="AT27" i="11"/>
  <c r="AP12" i="11"/>
  <c r="AP27" i="11"/>
  <c r="AL32" i="11"/>
  <c r="AN55" i="34" s="1"/>
  <c r="AL27" i="11"/>
  <c r="AH12" i="11"/>
  <c r="AH27" i="11"/>
  <c r="AJ50" i="34" s="1"/>
  <c r="AD12" i="11"/>
  <c r="AD32" i="11"/>
  <c r="Y9" i="11"/>
  <c r="U9" i="11"/>
  <c r="W27" i="34" s="1"/>
  <c r="I22" i="57" s="1"/>
  <c r="Q12" i="11"/>
  <c r="S28" i="34" s="1"/>
  <c r="Q9" i="11"/>
  <c r="S27" i="34" s="1"/>
  <c r="Q13" i="11"/>
  <c r="BI8" i="11"/>
  <c r="BA8" i="11"/>
  <c r="AO12" i="11"/>
  <c r="AQ28" i="34" s="1"/>
  <c r="AC12" i="11"/>
  <c r="AE28" i="34" s="1"/>
  <c r="X12" i="11"/>
  <c r="X8" i="11"/>
  <c r="Z26" i="34" s="1"/>
  <c r="X13" i="11"/>
  <c r="X9" i="11"/>
  <c r="T12" i="11"/>
  <c r="T8" i="11"/>
  <c r="V26" i="34" s="1"/>
  <c r="V30" i="34" s="1"/>
  <c r="V33" i="34" s="1"/>
  <c r="V34" i="34" s="1"/>
  <c r="T9" i="11"/>
  <c r="T13" i="11"/>
  <c r="P9" i="11"/>
  <c r="R27" i="34" s="1"/>
  <c r="P13" i="11"/>
  <c r="R29" i="34" s="1"/>
  <c r="P12" i="11"/>
  <c r="BH12" i="11"/>
  <c r="BJ28" i="34" s="1"/>
  <c r="BH13" i="11"/>
  <c r="BH8" i="11"/>
  <c r="BJ26" i="34" s="1"/>
  <c r="BD12" i="11"/>
  <c r="BD13" i="11"/>
  <c r="BD8" i="11"/>
  <c r="AZ12" i="11"/>
  <c r="BB28" i="34" s="1"/>
  <c r="AZ13" i="11"/>
  <c r="AZ8" i="11"/>
  <c r="AV27" i="11"/>
  <c r="AR12" i="11"/>
  <c r="AT28" i="34" s="1"/>
  <c r="AR27" i="11"/>
  <c r="AN27" i="11"/>
  <c r="AJ12" i="11"/>
  <c r="AJ32" i="11"/>
  <c r="AF12" i="11"/>
  <c r="AH28" i="34" s="1"/>
  <c r="AF32" i="11"/>
  <c r="AF27" i="11"/>
  <c r="AB32" i="11"/>
  <c r="AD55" i="34" s="1"/>
  <c r="AB27" i="11"/>
  <c r="W9" i="11"/>
  <c r="W8" i="11"/>
  <c r="W12" i="11"/>
  <c r="S8" i="11"/>
  <c r="S9" i="11"/>
  <c r="S13" i="11"/>
  <c r="BJ32" i="11"/>
  <c r="BL55" i="34" s="1"/>
  <c r="BF32" i="11"/>
  <c r="BB32" i="11"/>
  <c r="AT32" i="11"/>
  <c r="AV55" i="34" s="1"/>
  <c r="AP32" i="11"/>
  <c r="BH32" i="11"/>
  <c r="BD32" i="11"/>
  <c r="BF55" i="34" s="1"/>
  <c r="AV32" i="11"/>
  <c r="AX55" i="34" s="1"/>
  <c r="AR32" i="11"/>
  <c r="AT55" i="34" s="1"/>
  <c r="AN32" i="11"/>
  <c r="AP55" i="34" s="1"/>
  <c r="AQ32" i="11"/>
  <c r="AS55" i="34" s="1"/>
  <c r="R11" i="11"/>
  <c r="T20" i="34" s="1"/>
  <c r="BJ11" i="11"/>
  <c r="BL20" i="34" s="1"/>
  <c r="BF11" i="11"/>
  <c r="BH20" i="34" s="1"/>
  <c r="BH22" i="34" s="1"/>
  <c r="BB11" i="11"/>
  <c r="V11" i="11"/>
  <c r="X20" i="34"/>
  <c r="P11" i="11"/>
  <c r="R20" i="34"/>
  <c r="BD11" i="11"/>
  <c r="BF20" i="34" s="1"/>
  <c r="AZ11" i="11"/>
  <c r="BB20" i="34" s="1"/>
  <c r="AB25" i="11"/>
  <c r="X11" i="11"/>
  <c r="Z20" i="34"/>
  <c r="T11" i="11"/>
  <c r="V20" i="34"/>
  <c r="AA25" i="11"/>
  <c r="W11" i="11"/>
  <c r="Y20" i="34"/>
  <c r="Z25" i="11"/>
  <c r="S37" i="11"/>
  <c r="U60" i="34"/>
  <c r="T22" i="70"/>
  <c r="U22" i="70"/>
  <c r="R37" i="11"/>
  <c r="X81" i="81"/>
  <c r="X102" i="81"/>
  <c r="X61" i="81"/>
  <c r="X62" i="81"/>
  <c r="AF107" i="81"/>
  <c r="AE107" i="81"/>
  <c r="AD107" i="81"/>
  <c r="AD108" i="81"/>
  <c r="AD126" i="81"/>
  <c r="AB107" i="81"/>
  <c r="AA107" i="81"/>
  <c r="Z107" i="81"/>
  <c r="AF102" i="81"/>
  <c r="AE102" i="81"/>
  <c r="AB102" i="81"/>
  <c r="W81" i="81"/>
  <c r="AF61" i="81"/>
  <c r="AE61" i="81"/>
  <c r="AE62" i="81"/>
  <c r="AD61" i="81"/>
  <c r="AD62" i="81"/>
  <c r="AB61" i="81"/>
  <c r="AB62" i="81"/>
  <c r="AA61" i="81"/>
  <c r="AA62" i="81"/>
  <c r="Z61" i="81"/>
  <c r="Z62" i="81"/>
  <c r="Y61" i="81"/>
  <c r="Y62" i="81"/>
  <c r="AA73" i="81"/>
  <c r="Y73" i="81"/>
  <c r="X73" i="81"/>
  <c r="W73" i="81"/>
  <c r="W61" i="81"/>
  <c r="W62" i="81"/>
  <c r="AF62" i="81"/>
  <c r="AF108" i="81"/>
  <c r="AF126" i="81"/>
  <c r="AB108" i="81"/>
  <c r="AB126" i="81"/>
  <c r="AA108" i="81"/>
  <c r="AA126" i="81"/>
  <c r="AE108" i="81"/>
  <c r="AE126" i="81"/>
  <c r="Y108" i="81"/>
  <c r="Z108" i="81"/>
  <c r="W102" i="81"/>
  <c r="W108" i="81"/>
  <c r="X108" i="81"/>
  <c r="R19" i="116"/>
  <c r="Q19" i="116"/>
  <c r="P19" i="116"/>
  <c r="Q27" i="11"/>
  <c r="S50" i="34" s="1"/>
  <c r="R27" i="11"/>
  <c r="S27" i="11"/>
  <c r="T27" i="11"/>
  <c r="U27" i="11"/>
  <c r="W50" i="34" s="1"/>
  <c r="I45" i="57" s="1"/>
  <c r="V27" i="11"/>
  <c r="W27" i="11"/>
  <c r="X27" i="11"/>
  <c r="Y27" i="11"/>
  <c r="AA50" i="34" s="1"/>
  <c r="Z27" i="11"/>
  <c r="AZ27" i="11"/>
  <c r="BB50" i="34" s="1"/>
  <c r="BB27" i="11"/>
  <c r="BD50" i="34" s="1"/>
  <c r="BD27" i="11"/>
  <c r="BF50" i="34" s="1"/>
  <c r="BF27" i="11"/>
  <c r="BH27" i="11"/>
  <c r="BJ50" i="34" s="1"/>
  <c r="BJ27" i="11"/>
  <c r="Q28" i="11"/>
  <c r="S51" i="34" s="1"/>
  <c r="R28" i="11"/>
  <c r="S28" i="11"/>
  <c r="T28" i="11"/>
  <c r="U28" i="11"/>
  <c r="W51" i="34" s="1"/>
  <c r="V28" i="11"/>
  <c r="W28" i="11"/>
  <c r="X28" i="11"/>
  <c r="Y28" i="11"/>
  <c r="AA51" i="34" s="1"/>
  <c r="Z28" i="11"/>
  <c r="AA28" i="11"/>
  <c r="AB28" i="11"/>
  <c r="AD51" i="34" s="1"/>
  <c r="AD28" i="11"/>
  <c r="AF51" i="34" s="1"/>
  <c r="AF28" i="11"/>
  <c r="AH28" i="11"/>
  <c r="AJ51" i="34" s="1"/>
  <c r="AJ28" i="11"/>
  <c r="AL51" i="34" s="1"/>
  <c r="AL28" i="11"/>
  <c r="AP28" i="11"/>
  <c r="AT28" i="11"/>
  <c r="AV51" i="34" s="1"/>
  <c r="AX28" i="11"/>
  <c r="BB28" i="11"/>
  <c r="BF28" i="11"/>
  <c r="BJ28" i="11"/>
  <c r="BL51" i="34" s="1"/>
  <c r="P29" i="11"/>
  <c r="R52" i="34" s="1"/>
  <c r="R29" i="11"/>
  <c r="T52" i="34" s="1"/>
  <c r="S29" i="11"/>
  <c r="T29" i="11"/>
  <c r="V29" i="11"/>
  <c r="X52" i="34" s="1"/>
  <c r="W29" i="11"/>
  <c r="Y52" i="34" s="1"/>
  <c r="X29" i="11"/>
  <c r="Z29" i="11"/>
  <c r="AB52" i="34" s="1"/>
  <c r="AA29" i="11"/>
  <c r="AD29" i="11"/>
  <c r="AF52" i="34" s="1"/>
  <c r="AH29" i="11"/>
  <c r="AL29" i="11"/>
  <c r="AN29" i="11"/>
  <c r="AP29" i="11"/>
  <c r="AR52" i="34" s="1"/>
  <c r="AR29" i="11"/>
  <c r="AT29" i="11"/>
  <c r="AV52" i="34" s="1"/>
  <c r="AV29" i="11"/>
  <c r="AX29" i="11"/>
  <c r="AZ29" i="11"/>
  <c r="BB52" i="34" s="1"/>
  <c r="BB29" i="11"/>
  <c r="BD29" i="11"/>
  <c r="BF29" i="11"/>
  <c r="BH52" i="34" s="1"/>
  <c r="BH29" i="11"/>
  <c r="BJ29" i="11"/>
  <c r="BL52" i="34" s="1"/>
  <c r="P30" i="11"/>
  <c r="Q30" i="11"/>
  <c r="R30" i="11"/>
  <c r="S30" i="11"/>
  <c r="U53" i="34" s="1"/>
  <c r="T30" i="11"/>
  <c r="V53" i="34" s="1"/>
  <c r="W30" i="11"/>
  <c r="Y53" i="34" s="1"/>
  <c r="X30" i="11"/>
  <c r="Z30" i="11"/>
  <c r="AB53" i="34" s="1"/>
  <c r="AA30" i="11"/>
  <c r="AB30" i="11"/>
  <c r="AD53" i="34" s="1"/>
  <c r="AD30" i="11"/>
  <c r="AF30" i="11"/>
  <c r="AH30" i="11"/>
  <c r="AJ53" i="34" s="1"/>
  <c r="AJ30" i="11"/>
  <c r="AL30" i="11"/>
  <c r="AN53" i="34" s="1"/>
  <c r="AN30" i="11"/>
  <c r="AR30" i="11"/>
  <c r="AV30" i="11"/>
  <c r="AZ30" i="11"/>
  <c r="BB53" i="34" s="1"/>
  <c r="BD30" i="11"/>
  <c r="BH30" i="11"/>
  <c r="BJ53" i="34" s="1"/>
  <c r="P31" i="11"/>
  <c r="R54" i="34" s="1"/>
  <c r="Q31" i="11"/>
  <c r="R31" i="11"/>
  <c r="T31" i="11"/>
  <c r="V54" i="34" s="1"/>
  <c r="V31" i="11"/>
  <c r="X31" i="11"/>
  <c r="Z54" i="34" s="1"/>
  <c r="AA31" i="11"/>
  <c r="P32" i="11"/>
  <c r="Q32" i="11"/>
  <c r="R32" i="11"/>
  <c r="S32" i="11"/>
  <c r="U55" i="34" s="1"/>
  <c r="H50" i="57" s="1"/>
  <c r="T32" i="11"/>
  <c r="W32" i="11"/>
  <c r="X32" i="11"/>
  <c r="Z32" i="11"/>
  <c r="P33" i="11"/>
  <c r="R56" i="34" s="1"/>
  <c r="Q33" i="11"/>
  <c r="S56" i="34" s="1"/>
  <c r="R33" i="11"/>
  <c r="S33" i="11"/>
  <c r="U56" i="34" s="1"/>
  <c r="H51" i="57" s="1"/>
  <c r="T33" i="11"/>
  <c r="W33" i="11"/>
  <c r="Y56" i="34" s="1"/>
  <c r="X33" i="11"/>
  <c r="Z56" i="34" s="1"/>
  <c r="Z33" i="11"/>
  <c r="AA33" i="11"/>
  <c r="AB33" i="11"/>
  <c r="AD33" i="11"/>
  <c r="AF56" i="34" s="1"/>
  <c r="AF33" i="11"/>
  <c r="AH33" i="11"/>
  <c r="AJ56" i="34" s="1"/>
  <c r="AJ33" i="11"/>
  <c r="AL33" i="11"/>
  <c r="AN56" i="34" s="1"/>
  <c r="AN33" i="11"/>
  <c r="AQ33" i="11"/>
  <c r="AS56" i="34" s="1"/>
  <c r="AR33" i="11"/>
  <c r="AV33" i="11"/>
  <c r="AY33" i="11"/>
  <c r="BA56" i="34" s="1"/>
  <c r="AZ33" i="11"/>
  <c r="BD33" i="11"/>
  <c r="BF56" i="34" s="1"/>
  <c r="BG33" i="11"/>
  <c r="BI56" i="34" s="1"/>
  <c r="BH33" i="11"/>
  <c r="P34" i="11"/>
  <c r="Q34" i="11"/>
  <c r="R34" i="11"/>
  <c r="T34" i="11"/>
  <c r="V57" i="34" s="1"/>
  <c r="V34" i="11"/>
  <c r="X34" i="11"/>
  <c r="Z57" i="34" s="1"/>
  <c r="AA34" i="11"/>
  <c r="AB34" i="11"/>
  <c r="AF34" i="11"/>
  <c r="AH57" i="34" s="1"/>
  <c r="AI34" i="11"/>
  <c r="AK57" i="34" s="1"/>
  <c r="AJ34" i="11"/>
  <c r="AN34" i="11"/>
  <c r="AP34" i="11"/>
  <c r="AR34" i="11"/>
  <c r="AT57" i="34" s="1"/>
  <c r="AT34" i="11"/>
  <c r="AV34" i="11"/>
  <c r="AX57" i="34" s="1"/>
  <c r="AX34" i="11"/>
  <c r="AZ34" i="11"/>
  <c r="BB57" i="34" s="1"/>
  <c r="BB34" i="11"/>
  <c r="BD34" i="11"/>
  <c r="BF57" i="34" s="1"/>
  <c r="BF34" i="11"/>
  <c r="BH57" i="34" s="1"/>
  <c r="BH34" i="11"/>
  <c r="BJ57" i="34" s="1"/>
  <c r="BJ34" i="11"/>
  <c r="Q35" i="11"/>
  <c r="S58" i="34" s="1"/>
  <c r="R35" i="11"/>
  <c r="S35" i="11"/>
  <c r="U58" i="34" s="1"/>
  <c r="H53" i="57" s="1"/>
  <c r="T35" i="11"/>
  <c r="U35" i="11"/>
  <c r="W58" i="34" s="1"/>
  <c r="I53" i="57" s="1"/>
  <c r="V35" i="11"/>
  <c r="W35" i="11"/>
  <c r="X35" i="11"/>
  <c r="Y35" i="11"/>
  <c r="AA58" i="34" s="1"/>
  <c r="Z35" i="11"/>
  <c r="AA35" i="11"/>
  <c r="AB35" i="11"/>
  <c r="AD35" i="11"/>
  <c r="AF35" i="11"/>
  <c r="AH35" i="11"/>
  <c r="AJ35" i="11"/>
  <c r="AL58" i="34" s="1"/>
  <c r="AL35" i="11"/>
  <c r="AP35" i="11"/>
  <c r="AT35" i="11"/>
  <c r="AX35" i="11"/>
  <c r="BB35" i="11"/>
  <c r="BF35" i="11"/>
  <c r="BH58" i="34" s="1"/>
  <c r="BJ35" i="11"/>
  <c r="P36" i="11"/>
  <c r="R36" i="11"/>
  <c r="T59" i="34" s="1"/>
  <c r="H54" i="57" s="1"/>
  <c r="S36" i="11"/>
  <c r="U59" i="34" s="1"/>
  <c r="T36" i="11"/>
  <c r="V36" i="11"/>
  <c r="W36" i="11"/>
  <c r="Y59" i="34" s="1"/>
  <c r="X36" i="11"/>
  <c r="Z36" i="11"/>
  <c r="P37" i="11"/>
  <c r="T37" i="11"/>
  <c r="V60" i="34" s="1"/>
  <c r="O33" i="11"/>
  <c r="Q56" i="34" s="1"/>
  <c r="N1588" i="123"/>
  <c r="M1588" i="123"/>
  <c r="L1588" i="123"/>
  <c r="K1588" i="123"/>
  <c r="J1588" i="123"/>
  <c r="I1588" i="123"/>
  <c r="H1588" i="123"/>
  <c r="G1588" i="123"/>
  <c r="G8" i="116"/>
  <c r="F8" i="116"/>
  <c r="E8" i="116"/>
  <c r="D8" i="116"/>
  <c r="C8" i="116"/>
  <c r="E10" i="116"/>
  <c r="F10" i="116"/>
  <c r="G10" i="116"/>
  <c r="D10" i="116"/>
  <c r="C10" i="116"/>
  <c r="G65" i="85"/>
  <c r="R25" i="85"/>
  <c r="G64" i="85"/>
  <c r="Q25" i="85"/>
  <c r="G25" i="85"/>
  <c r="F25" i="85"/>
  <c r="E25" i="85"/>
  <c r="D25" i="85"/>
  <c r="C25" i="85"/>
  <c r="F62" i="85"/>
  <c r="AK45" i="116"/>
  <c r="E62" i="85"/>
  <c r="AJ45" i="116"/>
  <c r="D62" i="85"/>
  <c r="AI45" i="116"/>
  <c r="C62" i="85"/>
  <c r="AH45" i="116"/>
  <c r="AG45" i="116"/>
  <c r="G62" i="85"/>
  <c r="Q12" i="85"/>
  <c r="R22" i="116"/>
  <c r="G50" i="85"/>
  <c r="G51" i="85"/>
  <c r="G52" i="85"/>
  <c r="F49" i="85"/>
  <c r="E49" i="85"/>
  <c r="D49" i="85"/>
  <c r="C49" i="85"/>
  <c r="G49" i="85"/>
  <c r="P9" i="85"/>
  <c r="Q19" i="85"/>
  <c r="P19" i="85"/>
  <c r="C41" i="85"/>
  <c r="B9" i="107"/>
  <c r="U95" i="81"/>
  <c r="U81" i="81"/>
  <c r="U18" i="81"/>
  <c r="AG21" i="81"/>
  <c r="AG37" i="81"/>
  <c r="AF21" i="81"/>
  <c r="AE21" i="81"/>
  <c r="AD21" i="81"/>
  <c r="AB21" i="81"/>
  <c r="AA21" i="81"/>
  <c r="Z21" i="81"/>
  <c r="X21" i="81"/>
  <c r="W21" i="81"/>
  <c r="V21" i="81"/>
  <c r="AA18" i="81"/>
  <c r="Z18" i="81"/>
  <c r="X18" i="81"/>
  <c r="W18" i="81"/>
  <c r="R74" i="81"/>
  <c r="R127" i="81"/>
  <c r="S74" i="81"/>
  <c r="S127" i="81"/>
  <c r="T74" i="81"/>
  <c r="T127" i="81"/>
  <c r="V61" i="81"/>
  <c r="V62" i="81"/>
  <c r="V18" i="81"/>
  <c r="V81" i="81"/>
  <c r="AG39" i="81"/>
  <c r="AG74" i="81"/>
  <c r="AG127" i="81"/>
  <c r="AF37" i="81"/>
  <c r="AB37" i="81"/>
  <c r="AB39" i="81"/>
  <c r="U96" i="81"/>
  <c r="AD37" i="81"/>
  <c r="AA37" i="81"/>
  <c r="AE37" i="81"/>
  <c r="Z37" i="81"/>
  <c r="W37" i="81"/>
  <c r="X37" i="81"/>
  <c r="V37" i="81"/>
  <c r="V102" i="81"/>
  <c r="V108" i="81"/>
  <c r="AF39" i="81"/>
  <c r="AF74" i="81"/>
  <c r="AF127" i="81"/>
  <c r="AD74" i="81"/>
  <c r="AD127" i="81"/>
  <c r="AD39" i="81"/>
  <c r="V74" i="81"/>
  <c r="V39" i="81"/>
  <c r="X74" i="81"/>
  <c r="X39" i="81"/>
  <c r="W74" i="81"/>
  <c r="W39" i="81"/>
  <c r="AA74" i="81"/>
  <c r="AA127" i="81"/>
  <c r="AA39" i="81"/>
  <c r="Z74" i="81"/>
  <c r="Z39" i="81"/>
  <c r="AE39" i="81"/>
  <c r="AE74" i="81"/>
  <c r="AE127" i="81"/>
  <c r="AB74" i="81"/>
  <c r="AB127" i="81"/>
  <c r="U101" i="81"/>
  <c r="U102" i="81"/>
  <c r="U108" i="81"/>
  <c r="U126" i="81"/>
  <c r="U37" i="81"/>
  <c r="U74" i="81"/>
  <c r="U127" i="81"/>
  <c r="T74" i="109"/>
  <c r="C79" i="115"/>
  <c r="AB28" i="115"/>
  <c r="AC29" i="115"/>
  <c r="C77" i="115"/>
  <c r="C81" i="115"/>
  <c r="O65" i="115"/>
  <c r="P65" i="115"/>
  <c r="Q65" i="115"/>
  <c r="R65" i="115"/>
  <c r="S65" i="115"/>
  <c r="T65" i="115"/>
  <c r="U65" i="115"/>
  <c r="V65" i="115"/>
  <c r="W65" i="115"/>
  <c r="X65" i="115"/>
  <c r="Y65" i="115"/>
  <c r="Z65" i="115"/>
  <c r="AA65" i="115"/>
  <c r="AB65" i="115"/>
  <c r="AC65" i="115"/>
  <c r="AD65" i="115"/>
  <c r="AE65" i="115"/>
  <c r="AF65" i="115"/>
  <c r="AG65" i="115"/>
  <c r="AH65" i="115"/>
  <c r="AI65" i="115"/>
  <c r="AJ65" i="115"/>
  <c r="AK65" i="115"/>
  <c r="AM55" i="107"/>
  <c r="AL55" i="107"/>
  <c r="AK55" i="107"/>
  <c r="AJ55" i="107"/>
  <c r="AI55" i="107"/>
  <c r="AH55" i="107"/>
  <c r="AG55" i="107"/>
  <c r="AF55" i="107"/>
  <c r="AE55" i="107"/>
  <c r="AD55" i="107"/>
  <c r="AC55" i="107"/>
  <c r="AB55" i="107"/>
  <c r="AA55" i="107"/>
  <c r="Z55" i="107"/>
  <c r="Y55" i="107"/>
  <c r="X55" i="107"/>
  <c r="W55" i="107"/>
  <c r="V55" i="107"/>
  <c r="U55" i="107"/>
  <c r="T55" i="107"/>
  <c r="S55" i="107"/>
  <c r="Q14" i="125"/>
  <c r="R55" i="107"/>
  <c r="P14" i="125"/>
  <c r="P55" i="107"/>
  <c r="N14" i="125"/>
  <c r="O73" i="115"/>
  <c r="P73" i="115"/>
  <c r="N63" i="125"/>
  <c r="O15" i="125"/>
  <c r="Q15" i="125"/>
  <c r="R16" i="125"/>
  <c r="S17" i="125"/>
  <c r="T18" i="125"/>
  <c r="U19" i="125"/>
  <c r="V20" i="125"/>
  <c r="W21" i="125"/>
  <c r="X22" i="125"/>
  <c r="Y23" i="125"/>
  <c r="Z24" i="125"/>
  <c r="AA25" i="125"/>
  <c r="AB26" i="125"/>
  <c r="R15" i="125"/>
  <c r="S16" i="125"/>
  <c r="T17" i="125"/>
  <c r="U18" i="125"/>
  <c r="V19" i="125"/>
  <c r="W20" i="125"/>
  <c r="X21" i="125"/>
  <c r="Y22" i="125"/>
  <c r="Z23" i="125"/>
  <c r="AA24" i="125"/>
  <c r="AB25" i="125"/>
  <c r="AC26" i="125"/>
  <c r="Q14" i="115"/>
  <c r="N14" i="115"/>
  <c r="O15" i="115"/>
  <c r="P16" i="115"/>
  <c r="Q17" i="115"/>
  <c r="R18" i="115"/>
  <c r="S19" i="115"/>
  <c r="T20" i="115"/>
  <c r="U21" i="115"/>
  <c r="V22" i="115"/>
  <c r="W23" i="115"/>
  <c r="X24" i="115"/>
  <c r="Y25" i="115"/>
  <c r="D41" i="85"/>
  <c r="N66" i="115"/>
  <c r="Q7" i="67"/>
  <c r="AR41" i="125"/>
  <c r="AN37" i="125"/>
  <c r="AJ33" i="125"/>
  <c r="AS42" i="125"/>
  <c r="AD27" i="125"/>
  <c r="AH31" i="125"/>
  <c r="AQ40" i="125"/>
  <c r="AU44" i="125"/>
  <c r="AK34" i="125"/>
  <c r="AT43" i="125"/>
  <c r="AW46" i="125"/>
  <c r="AM36" i="125"/>
  <c r="AI32" i="125"/>
  <c r="AG30" i="125"/>
  <c r="AV45" i="125"/>
  <c r="AP39" i="125"/>
  <c r="AL35" i="125"/>
  <c r="AF29" i="125"/>
  <c r="AO38" i="125"/>
  <c r="AE28" i="125"/>
  <c r="P16" i="125"/>
  <c r="O63" i="125"/>
  <c r="O66" i="125"/>
  <c r="Z26" i="115"/>
  <c r="O69" i="125"/>
  <c r="Q17" i="125"/>
  <c r="P63" i="125"/>
  <c r="P66" i="125"/>
  <c r="AA27" i="115"/>
  <c r="AR43" i="115"/>
  <c r="AO40" i="115"/>
  <c r="AW48" i="115"/>
  <c r="AQ42" i="115"/>
  <c r="AP41" i="115"/>
  <c r="AS44" i="115"/>
  <c r="AU46" i="115"/>
  <c r="AT45" i="115"/>
  <c r="AM38" i="115"/>
  <c r="AL37" i="115"/>
  <c r="AV47" i="115"/>
  <c r="AN39" i="115"/>
  <c r="P69" i="125"/>
  <c r="R18" i="125"/>
  <c r="S19" i="125"/>
  <c r="T20" i="125"/>
  <c r="U21" i="125"/>
  <c r="V22" i="125"/>
  <c r="W23" i="125"/>
  <c r="X24" i="125"/>
  <c r="Y25" i="125"/>
  <c r="Z26" i="125"/>
  <c r="Q63" i="125"/>
  <c r="Q66" i="125"/>
  <c r="Q69" i="125"/>
  <c r="AO40" i="125"/>
  <c r="AU46" i="125"/>
  <c r="AK36" i="125"/>
  <c r="AG32" i="125"/>
  <c r="AA27" i="125"/>
  <c r="AC28" i="125"/>
  <c r="AQ42" i="125"/>
  <c r="AM38" i="125"/>
  <c r="AS44" i="125"/>
  <c r="AV47" i="125"/>
  <c r="AL37" i="125"/>
  <c r="AP41" i="125"/>
  <c r="AR43" i="125"/>
  <c r="AN39" i="125"/>
  <c r="AJ35" i="125"/>
  <c r="AF31" i="125"/>
  <c r="AE30" i="125"/>
  <c r="AW48" i="125"/>
  <c r="AI34" i="125"/>
  <c r="AB27" i="125"/>
  <c r="AT45" i="125"/>
  <c r="AH33" i="125"/>
  <c r="AD29" i="125"/>
  <c r="M66" i="109"/>
  <c r="D27" i="61"/>
  <c r="P31" i="70"/>
  <c r="L66" i="109"/>
  <c r="G66" i="109"/>
  <c r="H66" i="109"/>
  <c r="I66" i="109"/>
  <c r="J66" i="109"/>
  <c r="K66" i="109"/>
  <c r="K65" i="109"/>
  <c r="M103" i="107"/>
  <c r="M104" i="107"/>
  <c r="M105" i="107"/>
  <c r="M106" i="107"/>
  <c r="M102" i="107"/>
  <c r="T102" i="107"/>
  <c r="U102" i="107"/>
  <c r="V102" i="107"/>
  <c r="W102" i="107"/>
  <c r="X102" i="107"/>
  <c r="S102" i="107"/>
  <c r="D53" i="107"/>
  <c r="C40" i="85"/>
  <c r="C39" i="85"/>
  <c r="C38" i="85"/>
  <c r="P102" i="107"/>
  <c r="C3" i="11"/>
  <c r="B9" i="109"/>
  <c r="C9" i="109"/>
  <c r="D9" i="109"/>
  <c r="E9" i="109"/>
  <c r="F9" i="109"/>
  <c r="G9" i="109"/>
  <c r="H9" i="109"/>
  <c r="I9" i="109"/>
  <c r="J9" i="109"/>
  <c r="N55" i="69"/>
  <c r="O55" i="69"/>
  <c r="R28" i="34"/>
  <c r="P55" i="69"/>
  <c r="E55" i="70"/>
  <c r="E56" i="70"/>
  <c r="F55" i="70"/>
  <c r="F56" i="70"/>
  <c r="G55" i="70"/>
  <c r="G56" i="70"/>
  <c r="H55" i="70"/>
  <c r="H56" i="70"/>
  <c r="I55" i="70"/>
  <c r="J55" i="70"/>
  <c r="J56" i="70"/>
  <c r="K55" i="70"/>
  <c r="L55" i="70"/>
  <c r="L56" i="70"/>
  <c r="M55" i="70"/>
  <c r="N55" i="70"/>
  <c r="O55" i="70"/>
  <c r="O56" i="70"/>
  <c r="P55" i="70"/>
  <c r="Q55" i="70"/>
  <c r="R55" i="70"/>
  <c r="S55" i="70"/>
  <c r="T55" i="70"/>
  <c r="U55" i="70"/>
  <c r="V55" i="70"/>
  <c r="W55" i="70"/>
  <c r="X55" i="70"/>
  <c r="Y55" i="70"/>
  <c r="Z55" i="70"/>
  <c r="AA55" i="70"/>
  <c r="AB55" i="70"/>
  <c r="AC55" i="70"/>
  <c r="AD55" i="70"/>
  <c r="AE55" i="70"/>
  <c r="AF55" i="70"/>
  <c r="AG55" i="70"/>
  <c r="AH55" i="70"/>
  <c r="AI55" i="70"/>
  <c r="AJ55" i="70"/>
  <c r="AK55" i="70"/>
  <c r="AL55" i="70"/>
  <c r="AM55" i="70"/>
  <c r="AN55" i="70"/>
  <c r="M56" i="70"/>
  <c r="N56" i="70"/>
  <c r="P3" i="69"/>
  <c r="Q3" i="69"/>
  <c r="O3" i="69"/>
  <c r="N3" i="69"/>
  <c r="M3" i="69"/>
  <c r="Q55" i="69"/>
  <c r="B15" i="118"/>
  <c r="R3" i="69"/>
  <c r="S3" i="69"/>
  <c r="T3" i="69"/>
  <c r="U3" i="69"/>
  <c r="V3" i="69"/>
  <c r="W3" i="69"/>
  <c r="X3" i="69"/>
  <c r="Y3" i="69"/>
  <c r="Z3" i="69"/>
  <c r="AA3" i="69"/>
  <c r="AB3" i="69"/>
  <c r="AC3" i="69"/>
  <c r="AD3" i="69"/>
  <c r="AE3" i="69"/>
  <c r="AF3" i="69"/>
  <c r="AF15" i="69"/>
  <c r="AG3" i="69"/>
  <c r="AH3" i="69"/>
  <c r="AI3" i="69"/>
  <c r="AJ3" i="69"/>
  <c r="AK3" i="69"/>
  <c r="AL3" i="69"/>
  <c r="AM3" i="69"/>
  <c r="AN3" i="69"/>
  <c r="AO3" i="69"/>
  <c r="R55" i="69"/>
  <c r="S55" i="69"/>
  <c r="T55" i="69"/>
  <c r="U55" i="69"/>
  <c r="V55" i="69"/>
  <c r="W55" i="69"/>
  <c r="X55" i="69"/>
  <c r="Y55" i="69"/>
  <c r="AA55" i="69"/>
  <c r="AB55" i="69"/>
  <c r="AC55" i="69"/>
  <c r="AD55" i="69"/>
  <c r="AE55" i="69"/>
  <c r="AF55" i="69"/>
  <c r="AG55" i="69"/>
  <c r="AH55" i="69"/>
  <c r="AI55" i="69"/>
  <c r="AJ55" i="69"/>
  <c r="AK55" i="69"/>
  <c r="AL55" i="69"/>
  <c r="AM55" i="69"/>
  <c r="AN55" i="69"/>
  <c r="AO55" i="69"/>
  <c r="B16" i="118"/>
  <c r="B7" i="118"/>
  <c r="F3" i="118"/>
  <c r="F3" i="69"/>
  <c r="G3" i="69"/>
  <c r="H3" i="69"/>
  <c r="I3" i="69"/>
  <c r="J3" i="69"/>
  <c r="K3" i="69"/>
  <c r="L3" i="69"/>
  <c r="J90" i="109"/>
  <c r="E73" i="118"/>
  <c r="F73" i="118"/>
  <c r="G73" i="118"/>
  <c r="H73" i="118"/>
  <c r="I73" i="118"/>
  <c r="J73" i="118"/>
  <c r="K73" i="118"/>
  <c r="L73" i="118"/>
  <c r="E74" i="118"/>
  <c r="F74" i="118"/>
  <c r="G74" i="118"/>
  <c r="H74" i="118"/>
  <c r="I74" i="118"/>
  <c r="J74" i="118"/>
  <c r="K74" i="118"/>
  <c r="L74" i="118"/>
  <c r="E75" i="118"/>
  <c r="F75" i="118"/>
  <c r="G75" i="118"/>
  <c r="H75" i="118"/>
  <c r="I75" i="118"/>
  <c r="J75" i="118"/>
  <c r="K75" i="118"/>
  <c r="L75" i="118"/>
  <c r="E76" i="118"/>
  <c r="F76" i="118"/>
  <c r="G76" i="118"/>
  <c r="H76" i="118"/>
  <c r="I76" i="118"/>
  <c r="J76" i="118"/>
  <c r="K76" i="118"/>
  <c r="L76" i="118"/>
  <c r="E77" i="118"/>
  <c r="F77" i="118"/>
  <c r="G77" i="118"/>
  <c r="H77" i="118"/>
  <c r="I77" i="118"/>
  <c r="J77" i="118"/>
  <c r="K77" i="118"/>
  <c r="L77" i="118"/>
  <c r="E78" i="118"/>
  <c r="F78" i="118"/>
  <c r="G78" i="118"/>
  <c r="H78" i="118"/>
  <c r="I78" i="118"/>
  <c r="J78" i="118"/>
  <c r="K78" i="118"/>
  <c r="L78" i="118"/>
  <c r="E79" i="118"/>
  <c r="F79" i="118"/>
  <c r="G79" i="118"/>
  <c r="H79" i="118"/>
  <c r="I79" i="118"/>
  <c r="J79" i="118"/>
  <c r="K79" i="118"/>
  <c r="L79" i="118"/>
  <c r="M35" i="69"/>
  <c r="P108" i="81"/>
  <c r="O108" i="81"/>
  <c r="J35" i="69"/>
  <c r="I35" i="69"/>
  <c r="L108" i="81"/>
  <c r="F35" i="69"/>
  <c r="Q21" i="81"/>
  <c r="Q37" i="81"/>
  <c r="Q74" i="81"/>
  <c r="P21" i="81"/>
  <c r="P37" i="81"/>
  <c r="P74" i="81"/>
  <c r="O21" i="81"/>
  <c r="O37" i="81"/>
  <c r="O74" i="81"/>
  <c r="N21" i="81"/>
  <c r="N37" i="81"/>
  <c r="N74" i="81"/>
  <c r="M21" i="81"/>
  <c r="M37" i="81"/>
  <c r="M74" i="81"/>
  <c r="L21" i="81"/>
  <c r="L37" i="81"/>
  <c r="L74" i="81"/>
  <c r="K21" i="81"/>
  <c r="K37" i="81"/>
  <c r="K74" i="81"/>
  <c r="J21" i="81"/>
  <c r="J37" i="81"/>
  <c r="J74" i="81"/>
  <c r="N54" i="69"/>
  <c r="L26" i="34"/>
  <c r="T28" i="34"/>
  <c r="V28" i="34"/>
  <c r="AB51" i="34"/>
  <c r="AC52" i="34"/>
  <c r="AE72" i="34"/>
  <c r="AF28" i="34"/>
  <c r="AI72" i="34"/>
  <c r="AJ28" i="34"/>
  <c r="AK72" i="34"/>
  <c r="AM72" i="34"/>
  <c r="BA72" i="34"/>
  <c r="BA10" i="70"/>
  <c r="BB72" i="34"/>
  <c r="BB10" i="70"/>
  <c r="BC72" i="34"/>
  <c r="BC10" i="70"/>
  <c r="BD72" i="34"/>
  <c r="BD10" i="70"/>
  <c r="BE72" i="34"/>
  <c r="BE10" i="70"/>
  <c r="BF72" i="34"/>
  <c r="BF10" i="70"/>
  <c r="BG72" i="34"/>
  <c r="BG10" i="70"/>
  <c r="BH72" i="34"/>
  <c r="BH10" i="70"/>
  <c r="BI72" i="34"/>
  <c r="BI10" i="70"/>
  <c r="BJ72" i="34"/>
  <c r="BJ10" i="70"/>
  <c r="BK72" i="34"/>
  <c r="BK10" i="70"/>
  <c r="BL72" i="34"/>
  <c r="BL10" i="70"/>
  <c r="E72" i="34"/>
  <c r="AO54" i="69"/>
  <c r="AM54" i="69"/>
  <c r="AL54" i="69"/>
  <c r="AJ54" i="69"/>
  <c r="AI54" i="69"/>
  <c r="AG54" i="69"/>
  <c r="AF54" i="69"/>
  <c r="AE54" i="69"/>
  <c r="N71" i="34"/>
  <c r="N11" i="70"/>
  <c r="O54" i="69"/>
  <c r="O51" i="34"/>
  <c r="O53" i="34"/>
  <c r="O55" i="34"/>
  <c r="O57" i="34"/>
  <c r="O71" i="34"/>
  <c r="O11" i="70"/>
  <c r="P54" i="69"/>
  <c r="P71" i="34"/>
  <c r="P11" i="70"/>
  <c r="Q54" i="69"/>
  <c r="Q71" i="34"/>
  <c r="Q11" i="70"/>
  <c r="R54" i="69"/>
  <c r="R53" i="34"/>
  <c r="R55" i="34"/>
  <c r="R57" i="34"/>
  <c r="R71" i="34"/>
  <c r="R11" i="70"/>
  <c r="S54" i="69"/>
  <c r="S53" i="34"/>
  <c r="S54" i="34"/>
  <c r="S55" i="34"/>
  <c r="S57" i="34"/>
  <c r="S71" i="34"/>
  <c r="S11" i="70"/>
  <c r="T54" i="69"/>
  <c r="T50" i="34"/>
  <c r="T51" i="34"/>
  <c r="T53" i="34"/>
  <c r="T54" i="34"/>
  <c r="T55" i="34"/>
  <c r="T56" i="34"/>
  <c r="T57" i="34"/>
  <c r="T58" i="34"/>
  <c r="T71" i="34"/>
  <c r="T11" i="70"/>
  <c r="U54" i="69"/>
  <c r="U71" i="34"/>
  <c r="U11" i="70"/>
  <c r="V54" i="69"/>
  <c r="V50" i="34"/>
  <c r="V51" i="34"/>
  <c r="V52" i="34"/>
  <c r="V55" i="34"/>
  <c r="V56" i="34"/>
  <c r="V58" i="34"/>
  <c r="V71" i="34"/>
  <c r="V11" i="70"/>
  <c r="W54" i="69"/>
  <c r="W71" i="34"/>
  <c r="W11" i="70"/>
  <c r="X54" i="69"/>
  <c r="X50" i="34"/>
  <c r="X71" i="34"/>
  <c r="X11" i="70"/>
  <c r="Y71" i="34"/>
  <c r="Y11" i="70"/>
  <c r="Z50" i="34"/>
  <c r="Z71" i="34"/>
  <c r="Z11" i="70"/>
  <c r="AA54" i="69"/>
  <c r="AA11" i="70"/>
  <c r="AB54" i="69"/>
  <c r="AB55" i="34"/>
  <c r="AB71" i="34"/>
  <c r="AB11" i="70"/>
  <c r="AC54" i="69"/>
  <c r="AC71" i="34"/>
  <c r="AC11" i="70"/>
  <c r="AD54" i="69"/>
  <c r="AD71" i="34"/>
  <c r="AD11" i="70"/>
  <c r="AE71" i="34"/>
  <c r="AE11" i="70"/>
  <c r="AF53" i="34"/>
  <c r="AF55" i="34"/>
  <c r="AF71" i="34"/>
  <c r="AF11" i="70"/>
  <c r="AG71" i="34"/>
  <c r="AG11" i="70"/>
  <c r="AH54" i="69"/>
  <c r="AH51" i="34"/>
  <c r="AH53" i="34"/>
  <c r="AH55" i="34"/>
  <c r="AH58" i="34"/>
  <c r="AH71" i="34"/>
  <c r="AH11" i="70"/>
  <c r="AI71" i="34"/>
  <c r="AI11" i="70"/>
  <c r="AJ52" i="34"/>
  <c r="AJ58" i="34"/>
  <c r="AJ71" i="34"/>
  <c r="AJ11" i="70"/>
  <c r="AK54" i="69"/>
  <c r="AK71" i="34"/>
  <c r="AK11" i="70"/>
  <c r="AL71" i="34"/>
  <c r="AL11" i="70"/>
  <c r="AM71" i="34"/>
  <c r="AM11" i="70"/>
  <c r="AN54" i="69"/>
  <c r="AN51" i="34"/>
  <c r="AN71" i="34"/>
  <c r="AN11" i="70"/>
  <c r="F57" i="34"/>
  <c r="H55" i="34"/>
  <c r="I52" i="34"/>
  <c r="J55" i="34"/>
  <c r="N50" i="70"/>
  <c r="N51" i="70"/>
  <c r="O50" i="70"/>
  <c r="O51" i="70"/>
  <c r="P50" i="70"/>
  <c r="P51" i="70"/>
  <c r="D72" i="119"/>
  <c r="D71" i="119"/>
  <c r="D70" i="119"/>
  <c r="D69" i="119"/>
  <c r="D68" i="119"/>
  <c r="D67" i="119"/>
  <c r="D66" i="119"/>
  <c r="D65" i="119"/>
  <c r="D64" i="119"/>
  <c r="D63" i="119"/>
  <c r="D62" i="119"/>
  <c r="D61" i="119"/>
  <c r="D60" i="119"/>
  <c r="D59" i="119"/>
  <c r="D58" i="119"/>
  <c r="D57" i="119"/>
  <c r="D56" i="119"/>
  <c r="D55" i="119"/>
  <c r="D54" i="119"/>
  <c r="D53" i="119"/>
  <c r="D52" i="119"/>
  <c r="B7" i="119"/>
  <c r="D3" i="119"/>
  <c r="E3" i="119"/>
  <c r="B15" i="119"/>
  <c r="B16" i="119"/>
  <c r="B17" i="119"/>
  <c r="AC50" i="70"/>
  <c r="AC51" i="70"/>
  <c r="Q50" i="70"/>
  <c r="Q51" i="70"/>
  <c r="R50" i="70"/>
  <c r="R51" i="70"/>
  <c r="S50" i="70"/>
  <c r="S51" i="70"/>
  <c r="T50" i="70"/>
  <c r="T51" i="70"/>
  <c r="U50" i="70"/>
  <c r="U51" i="70"/>
  <c r="V50" i="70"/>
  <c r="V51" i="70"/>
  <c r="W50" i="70"/>
  <c r="W51" i="70"/>
  <c r="X50" i="70"/>
  <c r="X51" i="70"/>
  <c r="Y50" i="70"/>
  <c r="Y51" i="70"/>
  <c r="Z50" i="70"/>
  <c r="Z51" i="70"/>
  <c r="AA50" i="70"/>
  <c r="AA51" i="70"/>
  <c r="AB50" i="70"/>
  <c r="AB51" i="70"/>
  <c r="AD50" i="70"/>
  <c r="AD51" i="70"/>
  <c r="AE50" i="70"/>
  <c r="AE51" i="70"/>
  <c r="AF50" i="70"/>
  <c r="AF51" i="70"/>
  <c r="AG50" i="70"/>
  <c r="AG51" i="70"/>
  <c r="AH50" i="70"/>
  <c r="AH51" i="70"/>
  <c r="AI50" i="70"/>
  <c r="AI51" i="70"/>
  <c r="AJ50" i="70"/>
  <c r="AJ51" i="70"/>
  <c r="AK50" i="70"/>
  <c r="AK51" i="70"/>
  <c r="AL50" i="70"/>
  <c r="AL51" i="70"/>
  <c r="AM50" i="70"/>
  <c r="AM51" i="70"/>
  <c r="AN50" i="70"/>
  <c r="AN51" i="70"/>
  <c r="AO71" i="34"/>
  <c r="AO11" i="70"/>
  <c r="AP71" i="34"/>
  <c r="AP11" i="70"/>
  <c r="AQ71" i="34"/>
  <c r="AQ11" i="70"/>
  <c r="AR71" i="34"/>
  <c r="AR11" i="70"/>
  <c r="E50" i="70"/>
  <c r="F50" i="70"/>
  <c r="G50" i="70"/>
  <c r="H50" i="70"/>
  <c r="I50" i="70"/>
  <c r="J50" i="70"/>
  <c r="J51" i="70"/>
  <c r="K50" i="70"/>
  <c r="K51" i="70"/>
  <c r="L50" i="70"/>
  <c r="M50" i="70"/>
  <c r="M51" i="70"/>
  <c r="D3" i="118"/>
  <c r="E3" i="118"/>
  <c r="B17" i="118"/>
  <c r="D2" i="107"/>
  <c r="AY62" i="116"/>
  <c r="AX62" i="116"/>
  <c r="AW62" i="116"/>
  <c r="AV62" i="116"/>
  <c r="AU62" i="116"/>
  <c r="AT62" i="116"/>
  <c r="AN8" i="67"/>
  <c r="AM8" i="67"/>
  <c r="AL8" i="67"/>
  <c r="AK8" i="67"/>
  <c r="AJ8" i="67"/>
  <c r="AI8" i="67"/>
  <c r="AH8" i="67"/>
  <c r="AG8" i="67"/>
  <c r="AF8" i="67"/>
  <c r="AE8" i="67"/>
  <c r="AD8" i="67"/>
  <c r="AC8" i="67"/>
  <c r="AB8" i="67"/>
  <c r="AA8" i="67"/>
  <c r="Z8" i="67"/>
  <c r="Y8" i="67"/>
  <c r="X8" i="67"/>
  <c r="W8" i="67"/>
  <c r="V8" i="67"/>
  <c r="U8" i="67"/>
  <c r="T8" i="67"/>
  <c r="S8" i="67"/>
  <c r="R8" i="67"/>
  <c r="Q8" i="67"/>
  <c r="BL57" i="34"/>
  <c r="BF53" i="34"/>
  <c r="AX52" i="34"/>
  <c r="AH67" i="115"/>
  <c r="AP67" i="115"/>
  <c r="AD67" i="115"/>
  <c r="AL67" i="115"/>
  <c r="AT67" i="115"/>
  <c r="AG67" i="115"/>
  <c r="AO67" i="115"/>
  <c r="AW67" i="115"/>
  <c r="AE67" i="115"/>
  <c r="AM67" i="115"/>
  <c r="AU67" i="115"/>
  <c r="Z59" i="34"/>
  <c r="X59" i="34"/>
  <c r="V59" i="34"/>
  <c r="R59" i="34"/>
  <c r="P59" i="34"/>
  <c r="O59" i="34"/>
  <c r="N59" i="34"/>
  <c r="M59" i="34"/>
  <c r="P8" i="67"/>
  <c r="O8" i="67"/>
  <c r="N8" i="67"/>
  <c r="M8" i="67"/>
  <c r="L8" i="67"/>
  <c r="K8" i="67"/>
  <c r="J8" i="67"/>
  <c r="I8" i="67"/>
  <c r="H8" i="67"/>
  <c r="G8" i="67"/>
  <c r="F8" i="67"/>
  <c r="E8" i="67"/>
  <c r="M66" i="115"/>
  <c r="P7" i="67"/>
  <c r="J66" i="115"/>
  <c r="I66" i="115"/>
  <c r="H66" i="115"/>
  <c r="G66" i="115"/>
  <c r="J7" i="67"/>
  <c r="F66" i="115"/>
  <c r="I7" i="67"/>
  <c r="E66" i="115"/>
  <c r="H7" i="67"/>
  <c r="D66" i="115"/>
  <c r="G7" i="67"/>
  <c r="G11" i="67"/>
  <c r="C66" i="115"/>
  <c r="F7" i="67"/>
  <c r="B66" i="115"/>
  <c r="E7" i="67"/>
  <c r="E11" i="67"/>
  <c r="F69" i="115"/>
  <c r="E69" i="115"/>
  <c r="D69" i="115"/>
  <c r="C69" i="115"/>
  <c r="B69" i="115"/>
  <c r="G69" i="115"/>
  <c r="B51" i="107"/>
  <c r="A1" i="115"/>
  <c r="J65" i="109"/>
  <c r="I65" i="109"/>
  <c r="L10" i="65"/>
  <c r="L11" i="65"/>
  <c r="Q75" i="109"/>
  <c r="Q74" i="109"/>
  <c r="H65" i="109"/>
  <c r="K3" i="65"/>
  <c r="K5" i="65"/>
  <c r="G68" i="109"/>
  <c r="F68" i="109"/>
  <c r="E68" i="109"/>
  <c r="D68" i="109"/>
  <c r="C68" i="109"/>
  <c r="B68" i="109"/>
  <c r="N84" i="109"/>
  <c r="O84" i="109"/>
  <c r="I80" i="109"/>
  <c r="J80" i="109"/>
  <c r="K80" i="109"/>
  <c r="L80" i="109"/>
  <c r="G85" i="109"/>
  <c r="G88" i="109"/>
  <c r="C85" i="109"/>
  <c r="C88" i="109"/>
  <c r="E85" i="109"/>
  <c r="E88" i="109"/>
  <c r="A1" i="109"/>
  <c r="M55" i="69"/>
  <c r="L55" i="69"/>
  <c r="K55" i="69"/>
  <c r="J55" i="69"/>
  <c r="I55" i="69"/>
  <c r="H55" i="69"/>
  <c r="G55" i="69"/>
  <c r="M54" i="69"/>
  <c r="L54" i="69"/>
  <c r="K54" i="69"/>
  <c r="J54" i="69"/>
  <c r="I54" i="69"/>
  <c r="H54" i="69"/>
  <c r="G54" i="69"/>
  <c r="F55" i="69"/>
  <c r="F54" i="69"/>
  <c r="C28" i="58"/>
  <c r="C27" i="58"/>
  <c r="C26" i="58"/>
  <c r="C25" i="58"/>
  <c r="L26" i="58"/>
  <c r="N26" i="58"/>
  <c r="B21" i="57"/>
  <c r="E3" i="65"/>
  <c r="E5" i="65"/>
  <c r="E10" i="65"/>
  <c r="E11" i="65"/>
  <c r="G3" i="65"/>
  <c r="G5" i="65"/>
  <c r="H10" i="65"/>
  <c r="H11" i="65"/>
  <c r="F10" i="65"/>
  <c r="F11" i="65"/>
  <c r="G10" i="65"/>
  <c r="G11" i="65"/>
  <c r="I3" i="65"/>
  <c r="I5" i="65"/>
  <c r="I10" i="65"/>
  <c r="I11" i="65"/>
  <c r="D13" i="65"/>
  <c r="A1" i="61"/>
  <c r="A1" i="70"/>
  <c r="A1" i="69"/>
  <c r="A1" i="34"/>
  <c r="E23" i="65"/>
  <c r="E24" i="65"/>
  <c r="E25" i="65"/>
  <c r="F14" i="65"/>
  <c r="F24" i="65"/>
  <c r="F25" i="65"/>
  <c r="E7" i="70"/>
  <c r="L59" i="34"/>
  <c r="K59" i="34"/>
  <c r="I59" i="34"/>
  <c r="J56" i="34"/>
  <c r="J53" i="34"/>
  <c r="J54" i="34"/>
  <c r="J50" i="34"/>
  <c r="G59" i="34"/>
  <c r="F59" i="34"/>
  <c r="E51" i="34"/>
  <c r="E57" i="34"/>
  <c r="E55" i="34"/>
  <c r="E54" i="34"/>
  <c r="E52" i="34"/>
  <c r="E50" i="34"/>
  <c r="E58" i="34"/>
  <c r="L51" i="34"/>
  <c r="L56" i="34"/>
  <c r="L55" i="34"/>
  <c r="I55" i="34"/>
  <c r="G56" i="34"/>
  <c r="G55" i="34"/>
  <c r="G57" i="34"/>
  <c r="F51" i="34"/>
  <c r="F56" i="34"/>
  <c r="K54" i="34"/>
  <c r="AX56" i="34"/>
  <c r="AT56" i="34"/>
  <c r="I53" i="34"/>
  <c r="BJ56" i="34"/>
  <c r="F53" i="34"/>
  <c r="F58" i="34"/>
  <c r="BD51" i="34"/>
  <c r="AV58" i="34"/>
  <c r="L52" i="34"/>
  <c r="L54" i="34"/>
  <c r="L53" i="34"/>
  <c r="L58" i="34"/>
  <c r="G54" i="34"/>
  <c r="G51" i="34"/>
  <c r="G58" i="34"/>
  <c r="G52" i="34"/>
  <c r="G53" i="34"/>
  <c r="AV50" i="34"/>
  <c r="L50" i="34"/>
  <c r="G50" i="34"/>
  <c r="F50" i="34"/>
  <c r="G71" i="34"/>
  <c r="G11" i="70"/>
  <c r="F71" i="34"/>
  <c r="F11" i="70"/>
  <c r="E71" i="34"/>
  <c r="E11" i="70"/>
  <c r="K71" i="34"/>
  <c r="K11" i="70"/>
  <c r="H71" i="34"/>
  <c r="H11" i="70"/>
  <c r="M71" i="34"/>
  <c r="M11" i="70"/>
  <c r="L71" i="34"/>
  <c r="L11" i="70"/>
  <c r="I71" i="34"/>
  <c r="I11" i="70"/>
  <c r="J71" i="34"/>
  <c r="J11" i="70"/>
  <c r="K56" i="70"/>
  <c r="I56" i="70"/>
  <c r="AS71" i="34"/>
  <c r="AS11" i="70"/>
  <c r="AT71" i="34"/>
  <c r="AT11" i="70"/>
  <c r="AU71" i="34"/>
  <c r="AU11" i="70"/>
  <c r="AV71" i="34"/>
  <c r="AV11" i="70"/>
  <c r="AW71" i="34"/>
  <c r="AW11" i="70"/>
  <c r="AX71" i="34"/>
  <c r="AX11" i="70"/>
  <c r="AY71" i="34"/>
  <c r="AY11" i="70"/>
  <c r="AZ71" i="34"/>
  <c r="AZ11" i="70"/>
  <c r="BA71" i="34"/>
  <c r="BA11" i="70"/>
  <c r="BB71" i="34"/>
  <c r="BB11" i="70"/>
  <c r="BC71" i="34"/>
  <c r="BC11" i="70"/>
  <c r="BD71" i="34"/>
  <c r="BD11" i="70"/>
  <c r="BE71" i="34"/>
  <c r="BE11" i="70"/>
  <c r="BF71" i="34"/>
  <c r="BF11" i="70"/>
  <c r="BG71" i="34"/>
  <c r="BG11" i="70"/>
  <c r="BH71" i="34"/>
  <c r="BH11" i="70"/>
  <c r="BI71" i="34"/>
  <c r="BI11" i="70"/>
  <c r="BJ71" i="34"/>
  <c r="BJ11" i="70"/>
  <c r="BL71" i="34"/>
  <c r="BL11" i="70"/>
  <c r="BK71" i="34"/>
  <c r="BK11" i="70"/>
  <c r="BM3" i="34"/>
  <c r="BM2" i="34"/>
  <c r="L77" i="58"/>
  <c r="N77" i="58"/>
  <c r="L68" i="58"/>
  <c r="N68" i="58"/>
  <c r="L73" i="58"/>
  <c r="N73" i="58"/>
  <c r="L27" i="58"/>
  <c r="N27" i="58"/>
  <c r="L18" i="58"/>
  <c r="N18" i="58"/>
  <c r="E53" i="34"/>
  <c r="L58" i="58"/>
  <c r="N58" i="58"/>
  <c r="L56" i="58"/>
  <c r="N56" i="58"/>
  <c r="L54" i="58"/>
  <c r="N54" i="58"/>
  <c r="L52" i="58"/>
  <c r="N52" i="58"/>
  <c r="L50" i="58"/>
  <c r="N50" i="58"/>
  <c r="L59" i="58"/>
  <c r="N59" i="58"/>
  <c r="L55" i="58"/>
  <c r="N55" i="58"/>
  <c r="L53" i="58"/>
  <c r="N53" i="58"/>
  <c r="L51" i="58"/>
  <c r="N51" i="58"/>
  <c r="L49" i="58"/>
  <c r="N49" i="58"/>
  <c r="L57" i="58"/>
  <c r="N57" i="58"/>
  <c r="E56" i="34"/>
  <c r="E59" i="34"/>
  <c r="H59" i="34"/>
  <c r="J51" i="34"/>
  <c r="J59" i="34"/>
  <c r="L57" i="34"/>
  <c r="BD58" i="34"/>
  <c r="L69" i="58"/>
  <c r="N69" i="58"/>
  <c r="L43" i="58"/>
  <c r="N43" i="58"/>
  <c r="L47" i="58"/>
  <c r="N47" i="58"/>
  <c r="L48" i="58"/>
  <c r="N48" i="58"/>
  <c r="L19" i="58"/>
  <c r="N19" i="58"/>
  <c r="L28" i="58"/>
  <c r="N28" i="58"/>
  <c r="L25" i="58"/>
  <c r="N25" i="58"/>
  <c r="L21" i="58"/>
  <c r="N21" i="58"/>
  <c r="L38" i="58"/>
  <c r="N38" i="58"/>
  <c r="L37" i="58"/>
  <c r="N37" i="58"/>
  <c r="L60" i="58"/>
  <c r="N60" i="58"/>
  <c r="L44" i="58"/>
  <c r="N44" i="58"/>
  <c r="L29" i="58"/>
  <c r="N29" i="58"/>
  <c r="L39" i="58"/>
  <c r="N39" i="58"/>
  <c r="L62" i="58"/>
  <c r="N62" i="58"/>
  <c r="L32" i="58"/>
  <c r="N32" i="58"/>
  <c r="L33" i="58"/>
  <c r="N33" i="58"/>
  <c r="L64" i="58"/>
  <c r="N64" i="58"/>
  <c r="L71" i="58"/>
  <c r="N71" i="58"/>
  <c r="J64" i="58"/>
  <c r="L66" i="58"/>
  <c r="N66" i="58"/>
  <c r="L79" i="58"/>
  <c r="N79" i="58"/>
  <c r="L75" i="58"/>
  <c r="N75" i="58"/>
  <c r="L51" i="70"/>
  <c r="H3" i="65"/>
  <c r="H5" i="65"/>
  <c r="F3" i="65"/>
  <c r="F5" i="65"/>
  <c r="J3" i="65"/>
  <c r="J5" i="65"/>
  <c r="J10" i="65"/>
  <c r="J11" i="65"/>
  <c r="N69" i="115"/>
  <c r="AE15" i="69"/>
  <c r="AE11" i="69"/>
  <c r="AF11" i="69"/>
  <c r="J11" i="69"/>
  <c r="I3" i="126"/>
  <c r="F11" i="69"/>
  <c r="E3" i="126"/>
  <c r="AL3" i="126"/>
  <c r="AM16" i="69"/>
  <c r="AM31" i="69"/>
  <c r="AH3" i="126"/>
  <c r="AI16" i="69"/>
  <c r="AI31" i="69"/>
  <c r="AD3" i="126"/>
  <c r="AE16" i="69"/>
  <c r="AE31" i="69"/>
  <c r="Z3" i="126"/>
  <c r="AA16" i="69"/>
  <c r="AA15" i="69"/>
  <c r="AA17" i="69"/>
  <c r="W31" i="69"/>
  <c r="V3" i="126"/>
  <c r="W15" i="69"/>
  <c r="W16" i="69"/>
  <c r="W17" i="69"/>
  <c r="R3" i="126"/>
  <c r="S15" i="69"/>
  <c r="S16" i="69"/>
  <c r="S17" i="69"/>
  <c r="P3" i="126"/>
  <c r="Q17" i="69"/>
  <c r="Q15" i="69"/>
  <c r="Q16" i="69"/>
  <c r="I11" i="69"/>
  <c r="H3" i="126"/>
  <c r="AK3" i="126"/>
  <c r="AL16" i="69"/>
  <c r="AL31" i="69"/>
  <c r="AG3" i="126"/>
  <c r="AH16" i="69"/>
  <c r="AH31" i="69"/>
  <c r="Y3" i="126"/>
  <c r="Z16" i="69"/>
  <c r="Z15" i="69"/>
  <c r="Z17" i="69"/>
  <c r="V31" i="69"/>
  <c r="U3" i="126"/>
  <c r="V16" i="69"/>
  <c r="V15" i="69"/>
  <c r="V17" i="69"/>
  <c r="R29" i="69"/>
  <c r="Q3" i="126"/>
  <c r="R16" i="69"/>
  <c r="R17" i="69"/>
  <c r="R15" i="69"/>
  <c r="M11" i="69"/>
  <c r="L3" i="126"/>
  <c r="P11" i="69"/>
  <c r="O3" i="126"/>
  <c r="L11" i="69"/>
  <c r="K3" i="126"/>
  <c r="H11" i="69"/>
  <c r="G3" i="126"/>
  <c r="AN3" i="126"/>
  <c r="AO16" i="69"/>
  <c r="AO31" i="69"/>
  <c r="AJ3" i="126"/>
  <c r="AK16" i="69"/>
  <c r="AK31" i="69"/>
  <c r="AF3" i="126"/>
  <c r="AG16" i="69"/>
  <c r="AG22" i="70"/>
  <c r="AG31" i="69"/>
  <c r="AB3" i="126"/>
  <c r="AC15" i="69"/>
  <c r="AC9" i="69"/>
  <c r="X3" i="126"/>
  <c r="Y17" i="69"/>
  <c r="Y16" i="69"/>
  <c r="Y15" i="69"/>
  <c r="T3" i="126"/>
  <c r="U17" i="69"/>
  <c r="U16" i="69"/>
  <c r="U15" i="69"/>
  <c r="N11" i="69"/>
  <c r="M3" i="126"/>
  <c r="K11" i="69"/>
  <c r="J3" i="126"/>
  <c r="G11" i="69"/>
  <c r="F3" i="126"/>
  <c r="AM3" i="126"/>
  <c r="AN16" i="69"/>
  <c r="AN31" i="69"/>
  <c r="AI3" i="126"/>
  <c r="AJ16" i="69"/>
  <c r="AJ31" i="69"/>
  <c r="AE3" i="126"/>
  <c r="AF16" i="69"/>
  <c r="AF31" i="69"/>
  <c r="AA3" i="126"/>
  <c r="AB15" i="69"/>
  <c r="AA14" i="70"/>
  <c r="AB17" i="69"/>
  <c r="AB20" i="69"/>
  <c r="AB16" i="69"/>
  <c r="AB9" i="69"/>
  <c r="W3" i="126"/>
  <c r="X15" i="69"/>
  <c r="X16" i="69"/>
  <c r="X17" i="69"/>
  <c r="S3" i="126"/>
  <c r="T15" i="69"/>
  <c r="T17" i="69"/>
  <c r="T16" i="69"/>
  <c r="O11" i="69"/>
  <c r="N3" i="126"/>
  <c r="AC3" i="126"/>
  <c r="AD16" i="69"/>
  <c r="AD31" i="69"/>
  <c r="AC16" i="69"/>
  <c r="AC20" i="69"/>
  <c r="AD20" i="69"/>
  <c r="AE20" i="69"/>
  <c r="AF20" i="69"/>
  <c r="AG20" i="69"/>
  <c r="AH20" i="69"/>
  <c r="AI20" i="69"/>
  <c r="AJ20" i="69"/>
  <c r="AK20" i="69"/>
  <c r="AL20" i="69"/>
  <c r="AM20" i="69"/>
  <c r="AN20" i="69"/>
  <c r="AO20" i="69"/>
  <c r="AP20" i="69"/>
  <c r="AQ20" i="69"/>
  <c r="AR20" i="69"/>
  <c r="AS20" i="69"/>
  <c r="AT20" i="69"/>
  <c r="AU20" i="69"/>
  <c r="AV20" i="69"/>
  <c r="AW20" i="69"/>
  <c r="AX20" i="69"/>
  <c r="AY20" i="69"/>
  <c r="AZ20" i="69"/>
  <c r="BA20" i="69"/>
  <c r="BB20" i="69"/>
  <c r="AC17" i="69"/>
  <c r="AD17" i="69"/>
  <c r="AE17" i="69"/>
  <c r="AF17" i="69"/>
  <c r="AG17" i="69"/>
  <c r="AH17" i="69"/>
  <c r="AI17" i="69"/>
  <c r="AJ17" i="69"/>
  <c r="AK17" i="69"/>
  <c r="AL17" i="69"/>
  <c r="AM17" i="69"/>
  <c r="AN17" i="69"/>
  <c r="AO17" i="69"/>
  <c r="AP17" i="69"/>
  <c r="AQ17" i="69"/>
  <c r="AR17" i="69"/>
  <c r="AS17" i="69"/>
  <c r="AT17" i="69"/>
  <c r="AU17" i="69"/>
  <c r="AV17" i="69"/>
  <c r="AW17" i="69"/>
  <c r="AX17" i="69"/>
  <c r="AY17" i="69"/>
  <c r="AZ17" i="69"/>
  <c r="BA17" i="69"/>
  <c r="BB17" i="69"/>
  <c r="AB31" i="69"/>
  <c r="AA28" i="69"/>
  <c r="AA33" i="69" s="1"/>
  <c r="AA36" i="69" s="1"/>
  <c r="J72" i="34"/>
  <c r="J10" i="70"/>
  <c r="F72" i="34"/>
  <c r="F10" i="70"/>
  <c r="AX72" i="34"/>
  <c r="AX10" i="70"/>
  <c r="AT72" i="34"/>
  <c r="AT10" i="70"/>
  <c r="AP72" i="34"/>
  <c r="AP10" i="70"/>
  <c r="AH72" i="34"/>
  <c r="AH10" i="70"/>
  <c r="AC72" i="34"/>
  <c r="AC10" i="70"/>
  <c r="Y5" i="61"/>
  <c r="W76" i="34"/>
  <c r="W72" i="34"/>
  <c r="U72" i="34"/>
  <c r="R72" i="34"/>
  <c r="M72" i="34"/>
  <c r="M10" i="70"/>
  <c r="I72" i="34"/>
  <c r="I10" i="70"/>
  <c r="N72" i="34"/>
  <c r="N10" i="70"/>
  <c r="AW72" i="34"/>
  <c r="AW10" i="70"/>
  <c r="AS72" i="34"/>
  <c r="AS10" i="70"/>
  <c r="AO72" i="34"/>
  <c r="AO10" i="70"/>
  <c r="AJ72" i="34"/>
  <c r="AJ10" i="70"/>
  <c r="Z72" i="34"/>
  <c r="Z76" i="34"/>
  <c r="T72" i="34"/>
  <c r="Q72" i="34"/>
  <c r="L72" i="34"/>
  <c r="L10" i="70"/>
  <c r="H72" i="34"/>
  <c r="H10" i="70"/>
  <c r="AZ72" i="34"/>
  <c r="AZ10" i="70"/>
  <c r="AV72" i="34"/>
  <c r="AV10" i="70"/>
  <c r="AR72" i="34"/>
  <c r="AR10" i="70"/>
  <c r="AN72" i="34"/>
  <c r="AN10" i="70"/>
  <c r="AL72" i="34"/>
  <c r="AL10" i="70"/>
  <c r="AG72" i="34"/>
  <c r="AG10" i="70"/>
  <c r="AD72" i="34"/>
  <c r="AD10" i="70"/>
  <c r="Y72" i="34"/>
  <c r="V72" i="34"/>
  <c r="P72" i="34"/>
  <c r="P10" i="70"/>
  <c r="K72" i="34"/>
  <c r="K10" i="70"/>
  <c r="G72" i="34"/>
  <c r="G10" i="70"/>
  <c r="AY72" i="34"/>
  <c r="AY10" i="70"/>
  <c r="AU72" i="34"/>
  <c r="AU10" i="70"/>
  <c r="AQ72" i="34"/>
  <c r="AQ10" i="70"/>
  <c r="AF72" i="34"/>
  <c r="AF10" i="70"/>
  <c r="X72" i="34"/>
  <c r="S72" i="34"/>
  <c r="O72" i="34"/>
  <c r="O10" i="70"/>
  <c r="J69" i="115"/>
  <c r="M7" i="67"/>
  <c r="M11" i="67"/>
  <c r="H69" i="115"/>
  <c r="K7" i="67"/>
  <c r="I69" i="115"/>
  <c r="L7" i="67"/>
  <c r="L11" i="67"/>
  <c r="B4" i="109"/>
  <c r="B4" i="125"/>
  <c r="C5" i="11"/>
  <c r="H11" i="67"/>
  <c r="Z20" i="69"/>
  <c r="Z22" i="69"/>
  <c r="Z46" i="69"/>
  <c r="Z9" i="69"/>
  <c r="P11" i="67"/>
  <c r="Y52" i="69"/>
  <c r="Y24" i="69"/>
  <c r="Y31" i="69"/>
  <c r="Y50" i="69"/>
  <c r="Y51" i="69" s="1"/>
  <c r="E2" i="107"/>
  <c r="H3" i="119"/>
  <c r="F3" i="119"/>
  <c r="K3" i="119"/>
  <c r="AC5" i="61"/>
  <c r="AE10" i="70"/>
  <c r="X31" i="69"/>
  <c r="AI5" i="61"/>
  <c r="AK10" i="70"/>
  <c r="AG5" i="61"/>
  <c r="AI10" i="70"/>
  <c r="I11" i="67"/>
  <c r="K11" i="67"/>
  <c r="AK5" i="61"/>
  <c r="AM10" i="70"/>
  <c r="Y9" i="69"/>
  <c r="Y20" i="69"/>
  <c r="Y22" i="69"/>
  <c r="X29" i="69"/>
  <c r="X30" i="69"/>
  <c r="X49" i="69"/>
  <c r="Y49" i="69"/>
  <c r="Z49" i="69"/>
  <c r="X28" i="69"/>
  <c r="X33" i="69" s="1"/>
  <c r="X36" i="69" s="1"/>
  <c r="X52" i="69"/>
  <c r="U5" i="61"/>
  <c r="X20" i="69"/>
  <c r="W50" i="69"/>
  <c r="W29" i="69"/>
  <c r="W66" i="69"/>
  <c r="W49" i="69"/>
  <c r="W28" i="69"/>
  <c r="W9" i="69"/>
  <c r="W48" i="69"/>
  <c r="J11" i="67"/>
  <c r="V48" i="69"/>
  <c r="V9" i="69"/>
  <c r="U48" i="69"/>
  <c r="U9" i="69"/>
  <c r="AB26" i="85"/>
  <c r="U20" i="69"/>
  <c r="U22" i="69"/>
  <c r="F11" i="67"/>
  <c r="V76" i="34"/>
  <c r="T48" i="69"/>
  <c r="T9" i="69"/>
  <c r="S48" i="69"/>
  <c r="R49" i="69"/>
  <c r="R48" i="69"/>
  <c r="N14" i="70"/>
  <c r="G14" i="70"/>
  <c r="F14" i="70"/>
  <c r="N5" i="61"/>
  <c r="H14" i="70"/>
  <c r="V28" i="69"/>
  <c r="Q47" i="69"/>
  <c r="Q11" i="69"/>
  <c r="P14" i="70"/>
  <c r="O14" i="70"/>
  <c r="E26" i="34"/>
  <c r="U76" i="34"/>
  <c r="S76" i="34"/>
  <c r="Q76" i="34"/>
  <c r="M5" i="61"/>
  <c r="E10" i="70"/>
  <c r="T76" i="34"/>
  <c r="R76" i="34"/>
  <c r="O32" i="70"/>
  <c r="O38" i="70"/>
  <c r="L9" i="69"/>
  <c r="L17" i="69"/>
  <c r="L29" i="69"/>
  <c r="L66" i="69"/>
  <c r="L32" i="69"/>
  <c r="L41" i="69"/>
  <c r="L46" i="69"/>
  <c r="L24" i="69"/>
  <c r="L15" i="69"/>
  <c r="L8" i="69"/>
  <c r="L40" i="70" s="1"/>
  <c r="L16" i="69"/>
  <c r="L28" i="69"/>
  <c r="L33" i="69" s="1"/>
  <c r="L36" i="69" s="1"/>
  <c r="L31" i="69"/>
  <c r="L40" i="69"/>
  <c r="L44" i="69"/>
  <c r="L50" i="69"/>
  <c r="L20" i="69"/>
  <c r="L22" i="69"/>
  <c r="L47" i="69"/>
  <c r="L43" i="69"/>
  <c r="L39" i="69"/>
  <c r="L49" i="69"/>
  <c r="L42" i="69"/>
  <c r="O8" i="69"/>
  <c r="O12" i="69" s="1"/>
  <c r="O16" i="69"/>
  <c r="O28" i="69"/>
  <c r="O33" i="69" s="1"/>
  <c r="O36" i="69" s="1"/>
  <c r="O31" i="69"/>
  <c r="O40" i="69"/>
  <c r="O44" i="69"/>
  <c r="O50" i="69"/>
  <c r="O24" i="69"/>
  <c r="O15" i="69"/>
  <c r="O39" i="69"/>
  <c r="O43" i="69"/>
  <c r="O49" i="69"/>
  <c r="O20" i="69"/>
  <c r="O22" i="69"/>
  <c r="O29" i="69"/>
  <c r="O66" i="69"/>
  <c r="O32" i="69"/>
  <c r="O46" i="69"/>
  <c r="O41" i="69"/>
  <c r="O52" i="69"/>
  <c r="O47" i="69"/>
  <c r="O17" i="69"/>
  <c r="O9" i="69"/>
  <c r="O42" i="69"/>
  <c r="M32" i="70"/>
  <c r="M38" i="70"/>
  <c r="K8" i="69"/>
  <c r="K40" i="70" s="1"/>
  <c r="K16" i="69"/>
  <c r="K28" i="69"/>
  <c r="K33" i="69" s="1"/>
  <c r="K36" i="69" s="1"/>
  <c r="K31" i="69"/>
  <c r="K40" i="69"/>
  <c r="K44" i="69"/>
  <c r="K50" i="69"/>
  <c r="K20" i="69"/>
  <c r="K22" i="69"/>
  <c r="K24" i="69"/>
  <c r="K15" i="69"/>
  <c r="K39" i="69"/>
  <c r="K43" i="69"/>
  <c r="K49" i="69"/>
  <c r="K41" i="69"/>
  <c r="K32" i="69"/>
  <c r="K17" i="69"/>
  <c r="K42" i="69"/>
  <c r="K9" i="69"/>
  <c r="K46" i="69"/>
  <c r="K29" i="69"/>
  <c r="K66" i="69"/>
  <c r="K47" i="69"/>
  <c r="I20" i="69"/>
  <c r="I22" i="69"/>
  <c r="I42" i="69"/>
  <c r="I47" i="69"/>
  <c r="I16" i="69"/>
  <c r="I28" i="69"/>
  <c r="I9" i="69"/>
  <c r="I17" i="69"/>
  <c r="I29" i="69"/>
  <c r="I66" i="69"/>
  <c r="I32" i="69"/>
  <c r="I41" i="69"/>
  <c r="I46" i="69"/>
  <c r="I8" i="69"/>
  <c r="I40" i="70" s="1"/>
  <c r="I31" i="69"/>
  <c r="I24" i="69"/>
  <c r="I39" i="69"/>
  <c r="I49" i="69"/>
  <c r="I43" i="69"/>
  <c r="I44" i="69"/>
  <c r="I40" i="69"/>
  <c r="I50" i="69"/>
  <c r="I15" i="69"/>
  <c r="N24" i="69"/>
  <c r="N15" i="69"/>
  <c r="N39" i="69"/>
  <c r="N43" i="69"/>
  <c r="N49" i="69"/>
  <c r="N17" i="69"/>
  <c r="N20" i="69"/>
  <c r="N22" i="69"/>
  <c r="N42" i="69"/>
  <c r="N47" i="69"/>
  <c r="N9" i="69"/>
  <c r="N29" i="69"/>
  <c r="N66" i="69"/>
  <c r="N8" i="69"/>
  <c r="N40" i="70" s="1"/>
  <c r="N31" i="69"/>
  <c r="N40" i="69"/>
  <c r="N50" i="69"/>
  <c r="N44" i="69"/>
  <c r="N16" i="69"/>
  <c r="N32" i="69"/>
  <c r="N46" i="69"/>
  <c r="N28" i="69"/>
  <c r="N33" i="69" s="1"/>
  <c r="N36" i="69" s="1"/>
  <c r="N41" i="69"/>
  <c r="N52" i="69"/>
  <c r="H9" i="69"/>
  <c r="H17" i="69"/>
  <c r="H29" i="69"/>
  <c r="H66" i="69"/>
  <c r="H32" i="69"/>
  <c r="H41" i="69"/>
  <c r="H46" i="69"/>
  <c r="H8" i="69"/>
  <c r="H16" i="69"/>
  <c r="H28" i="69"/>
  <c r="H33" i="69" s="1"/>
  <c r="H36" i="69" s="1"/>
  <c r="H31" i="69"/>
  <c r="H40" i="69"/>
  <c r="H44" i="69"/>
  <c r="H50" i="69"/>
  <c r="H24" i="69"/>
  <c r="H15" i="69"/>
  <c r="H42" i="69"/>
  <c r="H47" i="69"/>
  <c r="H39" i="69"/>
  <c r="H49" i="69"/>
  <c r="H43" i="69"/>
  <c r="H20" i="69"/>
  <c r="H22" i="69"/>
  <c r="G8" i="69"/>
  <c r="G16" i="69"/>
  <c r="G28" i="69"/>
  <c r="G31" i="69"/>
  <c r="G40" i="69"/>
  <c r="G44" i="69"/>
  <c r="G50" i="69"/>
  <c r="G24" i="69"/>
  <c r="G15" i="69"/>
  <c r="G39" i="69"/>
  <c r="G43" i="69"/>
  <c r="G49" i="69"/>
  <c r="G20" i="69"/>
  <c r="G22" i="69"/>
  <c r="G17" i="69"/>
  <c r="G46" i="69"/>
  <c r="G29" i="69"/>
  <c r="G66" i="69"/>
  <c r="G42" i="69"/>
  <c r="G9" i="69"/>
  <c r="G32" i="69"/>
  <c r="G47" i="69"/>
  <c r="G41" i="69"/>
  <c r="Q29" i="69"/>
  <c r="I32" i="70"/>
  <c r="I38" i="70"/>
  <c r="J24" i="69"/>
  <c r="J15" i="69"/>
  <c r="J39" i="69"/>
  <c r="J43" i="69"/>
  <c r="J49" i="69"/>
  <c r="J9" i="69"/>
  <c r="J29" i="69"/>
  <c r="J66" i="69"/>
  <c r="J32" i="69"/>
  <c r="J20" i="69"/>
  <c r="J22" i="69"/>
  <c r="J42" i="69"/>
  <c r="J47" i="69"/>
  <c r="J17" i="69"/>
  <c r="J28" i="69"/>
  <c r="J44" i="69"/>
  <c r="J8" i="69"/>
  <c r="J40" i="70" s="1"/>
  <c r="J31" i="69"/>
  <c r="J46" i="69"/>
  <c r="J16" i="69"/>
  <c r="J40" i="69"/>
  <c r="J50" i="69"/>
  <c r="J41" i="69"/>
  <c r="F24" i="69"/>
  <c r="F15" i="69"/>
  <c r="F39" i="69"/>
  <c r="F43" i="69"/>
  <c r="F49" i="69"/>
  <c r="F20" i="69"/>
  <c r="F22" i="69"/>
  <c r="F42" i="69"/>
  <c r="F47" i="69"/>
  <c r="F9" i="69"/>
  <c r="F17" i="69"/>
  <c r="F29" i="69"/>
  <c r="F32" i="69"/>
  <c r="F40" i="69"/>
  <c r="F50" i="69"/>
  <c r="F28" i="69"/>
  <c r="F33" i="69" s="1"/>
  <c r="F36" i="69" s="1"/>
  <c r="F16" i="69"/>
  <c r="F41" i="69"/>
  <c r="F8" i="69"/>
  <c r="F31" i="69"/>
  <c r="F44" i="69"/>
  <c r="F46" i="69"/>
  <c r="M20" i="69"/>
  <c r="M22" i="69"/>
  <c r="M42" i="69"/>
  <c r="M47" i="69"/>
  <c r="M8" i="69"/>
  <c r="M40" i="70" s="1"/>
  <c r="M16" i="69"/>
  <c r="M31" i="69"/>
  <c r="M9" i="69"/>
  <c r="M17" i="69"/>
  <c r="M29" i="69"/>
  <c r="M66" i="69"/>
  <c r="M32" i="69"/>
  <c r="M41" i="69"/>
  <c r="M46" i="69"/>
  <c r="M28" i="69"/>
  <c r="L15" i="70" s="1"/>
  <c r="M15" i="69"/>
  <c r="M43" i="69"/>
  <c r="M39" i="69"/>
  <c r="M49" i="69"/>
  <c r="M40" i="69"/>
  <c r="M24" i="69"/>
  <c r="M44" i="69"/>
  <c r="M50" i="69"/>
  <c r="P9" i="69"/>
  <c r="P17" i="69"/>
  <c r="P29" i="69"/>
  <c r="P66" i="69"/>
  <c r="P32" i="69"/>
  <c r="P41" i="69"/>
  <c r="P46" i="69"/>
  <c r="P24" i="69"/>
  <c r="P8" i="69"/>
  <c r="P12" i="69" s="1"/>
  <c r="P16" i="69"/>
  <c r="P28" i="69"/>
  <c r="P33" i="69" s="1"/>
  <c r="P36" i="69" s="1"/>
  <c r="P31" i="69"/>
  <c r="P52" i="69"/>
  <c r="P40" i="69"/>
  <c r="P44" i="69"/>
  <c r="P50" i="69"/>
  <c r="P15" i="69"/>
  <c r="P42" i="69"/>
  <c r="P20" i="69"/>
  <c r="P22" i="69"/>
  <c r="P43" i="69"/>
  <c r="P47" i="69"/>
  <c r="P39" i="69"/>
  <c r="P49" i="69"/>
  <c r="U29" i="69"/>
  <c r="U28" i="69"/>
  <c r="U33" i="69" s="1"/>
  <c r="U36" i="69" s="1"/>
  <c r="U52" i="69" s="1"/>
  <c r="S24" i="69"/>
  <c r="S29" i="69"/>
  <c r="S28" i="69"/>
  <c r="S33" i="69" s="1"/>
  <c r="S36" i="69" s="1"/>
  <c r="S52" i="69" s="1"/>
  <c r="T24" i="69"/>
  <c r="T29" i="69"/>
  <c r="T28" i="69"/>
  <c r="R9" i="69"/>
  <c r="D3" i="11"/>
  <c r="G3" i="123"/>
  <c r="F54" i="34"/>
  <c r="H58" i="34"/>
  <c r="AX53" i="34"/>
  <c r="BF52" i="34"/>
  <c r="F55" i="34"/>
  <c r="J52" i="34"/>
  <c r="J57" i="34"/>
  <c r="K56" i="34"/>
  <c r="AN58" i="34"/>
  <c r="AN50" i="34"/>
  <c r="AH50" i="34"/>
  <c r="AF58" i="34"/>
  <c r="Z53" i="34"/>
  <c r="O58" i="34"/>
  <c r="O54" i="34"/>
  <c r="O50" i="34"/>
  <c r="AT53" i="34"/>
  <c r="BB56" i="34"/>
  <c r="AX50" i="34"/>
  <c r="F52" i="34"/>
  <c r="J58" i="34"/>
  <c r="AN52" i="34"/>
  <c r="AH56" i="34"/>
  <c r="O56" i="34"/>
  <c r="O52" i="34"/>
  <c r="I50" i="34"/>
  <c r="I58" i="34"/>
  <c r="I51" i="34"/>
  <c r="I54" i="34"/>
  <c r="BC26" i="34"/>
  <c r="AC28" i="34"/>
  <c r="AC53" i="34"/>
  <c r="AC57" i="34"/>
  <c r="AC50" i="34"/>
  <c r="AC54" i="34"/>
  <c r="AC58" i="34"/>
  <c r="AC51" i="34"/>
  <c r="AC55" i="34"/>
  <c r="Y50" i="34"/>
  <c r="Y58" i="34"/>
  <c r="M55" i="34"/>
  <c r="M50" i="34"/>
  <c r="AT50" i="34"/>
  <c r="AX54" i="34"/>
  <c r="BB26" i="34"/>
  <c r="BF26" i="34"/>
  <c r="BJ55" i="34"/>
  <c r="BJ52" i="34"/>
  <c r="AT52" i="34"/>
  <c r="BF54" i="34"/>
  <c r="AZ52" i="34"/>
  <c r="AZ51" i="34"/>
  <c r="BD52" i="34"/>
  <c r="BH50" i="34"/>
  <c r="AC56" i="34"/>
  <c r="U51" i="34"/>
  <c r="AB50" i="34"/>
  <c r="AB58" i="34"/>
  <c r="AB56" i="34"/>
  <c r="Z52" i="34"/>
  <c r="Z55" i="34"/>
  <c r="Z51" i="34"/>
  <c r="Z58" i="34"/>
  <c r="X51" i="34"/>
  <c r="X58" i="34"/>
  <c r="X54" i="34"/>
  <c r="X57" i="34"/>
  <c r="K51" i="34"/>
  <c r="K58" i="34"/>
  <c r="K57" i="34"/>
  <c r="K52" i="34"/>
  <c r="K50" i="34"/>
  <c r="K55" i="34"/>
  <c r="K53" i="34"/>
  <c r="P28" i="34"/>
  <c r="P51" i="34"/>
  <c r="P55" i="34"/>
  <c r="P52" i="34"/>
  <c r="P56" i="34"/>
  <c r="P53" i="34"/>
  <c r="P57" i="34"/>
  <c r="AD56" i="34"/>
  <c r="P58" i="34"/>
  <c r="M58" i="34"/>
  <c r="U28" i="34"/>
  <c r="U52" i="34"/>
  <c r="U50" i="34"/>
  <c r="I27" i="34"/>
  <c r="I57" i="34"/>
  <c r="I56" i="34"/>
  <c r="P54" i="34"/>
  <c r="M53" i="34"/>
  <c r="M56" i="34"/>
  <c r="M51" i="34"/>
  <c r="M54" i="34"/>
  <c r="M52" i="34"/>
  <c r="M57" i="34"/>
  <c r="P50" i="34"/>
  <c r="AP54" i="34"/>
  <c r="AP56" i="34"/>
  <c r="H57" i="34"/>
  <c r="H53" i="34"/>
  <c r="H50" i="34"/>
  <c r="H56" i="34"/>
  <c r="H54" i="34"/>
  <c r="H51" i="34"/>
  <c r="H52" i="34"/>
  <c r="AR50" i="34"/>
  <c r="AL28" i="34"/>
  <c r="AL57" i="34"/>
  <c r="AL53" i="34"/>
  <c r="AL56" i="34"/>
  <c r="AL55" i="34"/>
  <c r="N28" i="34"/>
  <c r="N52" i="34"/>
  <c r="N56" i="34"/>
  <c r="N53" i="34"/>
  <c r="N57" i="34"/>
  <c r="N51" i="34"/>
  <c r="N55" i="34"/>
  <c r="N58" i="34"/>
  <c r="N54" i="34"/>
  <c r="AV57" i="34"/>
  <c r="AZ57" i="34"/>
  <c r="AZ58" i="34"/>
  <c r="AZ50" i="34"/>
  <c r="BD57" i="34"/>
  <c r="BD55" i="34"/>
  <c r="BH51" i="34"/>
  <c r="BH55" i="34"/>
  <c r="BL58" i="34"/>
  <c r="BL50" i="34"/>
  <c r="AR58" i="34"/>
  <c r="N50" i="34"/>
  <c r="AD57" i="34"/>
  <c r="AD50" i="34"/>
  <c r="AD58" i="34"/>
  <c r="J27" i="34"/>
  <c r="F26" i="34"/>
  <c r="Y28" i="34"/>
  <c r="Y55" i="34"/>
  <c r="Y51" i="34"/>
  <c r="N60" i="34"/>
  <c r="F23" i="65"/>
  <c r="G14" i="65"/>
  <c r="AP53" i="34"/>
  <c r="AP57" i="34"/>
  <c r="AR28" i="34"/>
  <c r="AR51" i="34"/>
  <c r="AR55" i="34"/>
  <c r="AR57" i="34"/>
  <c r="AP52" i="34"/>
  <c r="AR54" i="34"/>
  <c r="AP50" i="34"/>
  <c r="AB59" i="34"/>
  <c r="BD20" i="34"/>
  <c r="BD22" i="34" s="1"/>
  <c r="BD29" i="34"/>
  <c r="BD28" i="34"/>
  <c r="BH28" i="34"/>
  <c r="BH29" i="34"/>
  <c r="BL28" i="34"/>
  <c r="H29" i="34"/>
  <c r="H28" i="34"/>
  <c r="H26" i="34"/>
  <c r="H30" i="34" s="1"/>
  <c r="Q11" i="67"/>
  <c r="BB29" i="34"/>
  <c r="BF28" i="34"/>
  <c r="BF29" i="34"/>
  <c r="BJ29" i="34"/>
  <c r="G3" i="119"/>
  <c r="J28" i="34"/>
  <c r="J29" i="34"/>
  <c r="F29" i="34"/>
  <c r="I28" i="34"/>
  <c r="G3" i="118"/>
  <c r="I3" i="118"/>
  <c r="J3" i="118"/>
  <c r="L3" i="118"/>
  <c r="D4" i="118"/>
  <c r="Z28" i="34"/>
  <c r="K3" i="118"/>
  <c r="H3" i="118"/>
  <c r="L28" i="34"/>
  <c r="Q5" i="61"/>
  <c r="AS5" i="61"/>
  <c r="AZ5" i="61"/>
  <c r="BH76" i="34"/>
  <c r="BB76" i="34"/>
  <c r="BH5" i="61"/>
  <c r="H5" i="61"/>
  <c r="BA5" i="61"/>
  <c r="BI5" i="61"/>
  <c r="AT5" i="61"/>
  <c r="K5" i="61"/>
  <c r="S9" i="69"/>
  <c r="AP5" i="61"/>
  <c r="F5" i="61"/>
  <c r="BF5" i="61"/>
  <c r="AV5" i="61"/>
  <c r="AO5" i="61"/>
  <c r="BK76" i="34"/>
  <c r="BE5" i="61"/>
  <c r="J5" i="61"/>
  <c r="BJ76" i="34"/>
  <c r="D5" i="61"/>
  <c r="BJ5" i="61"/>
  <c r="AX5" i="61"/>
  <c r="AR5" i="61"/>
  <c r="BF76" i="34"/>
  <c r="BD5" i="61"/>
  <c r="G5" i="61"/>
  <c r="BC76" i="34"/>
  <c r="BL76" i="34"/>
  <c r="BG76" i="34"/>
  <c r="AN5" i="61"/>
  <c r="S5" i="61"/>
  <c r="BD76" i="34"/>
  <c r="BB5" i="61"/>
  <c r="AW5" i="61"/>
  <c r="AA5" i="61"/>
  <c r="C5" i="61"/>
  <c r="Q49" i="69"/>
  <c r="Q43" i="69"/>
  <c r="Q39" i="69"/>
  <c r="Q28" i="69"/>
  <c r="Q33" i="69" s="1"/>
  <c r="Q36" i="69" s="1"/>
  <c r="Q52" i="69" s="1"/>
  <c r="Q32" i="69"/>
  <c r="Q9" i="69"/>
  <c r="Q46" i="69"/>
  <c r="Q41" i="69"/>
  <c r="Q31" i="69"/>
  <c r="Q8" i="69"/>
  <c r="Q12" i="69" s="1"/>
  <c r="Q50" i="69"/>
  <c r="Q44" i="69"/>
  <c r="Q40" i="69"/>
  <c r="Q20" i="69"/>
  <c r="Q42" i="69"/>
  <c r="Q24" i="69"/>
  <c r="T20" i="69"/>
  <c r="W20" i="69"/>
  <c r="S20" i="69"/>
  <c r="V20" i="69"/>
  <c r="R20" i="69"/>
  <c r="R47" i="69"/>
  <c r="S47" i="69"/>
  <c r="T47" i="69"/>
  <c r="U47" i="69"/>
  <c r="V47" i="69"/>
  <c r="W47" i="69"/>
  <c r="X47" i="69"/>
  <c r="Y47" i="69"/>
  <c r="Z47" i="69"/>
  <c r="R42" i="69"/>
  <c r="S42" i="69"/>
  <c r="T42" i="69"/>
  <c r="U42" i="69"/>
  <c r="V42" i="69"/>
  <c r="W42" i="69"/>
  <c r="X42" i="69"/>
  <c r="Y42" i="69"/>
  <c r="Z42" i="69"/>
  <c r="R46" i="69"/>
  <c r="S46" i="69"/>
  <c r="T46" i="69"/>
  <c r="U46" i="69"/>
  <c r="V46" i="69"/>
  <c r="W46" i="69"/>
  <c r="X46" i="69"/>
  <c r="Y46" i="69"/>
  <c r="R41" i="69"/>
  <c r="S41" i="69"/>
  <c r="T41" i="69"/>
  <c r="U41" i="69"/>
  <c r="V41" i="69"/>
  <c r="W41" i="69"/>
  <c r="X41" i="69"/>
  <c r="Y41" i="69"/>
  <c r="Z41" i="69"/>
  <c r="R44" i="69"/>
  <c r="S44" i="69"/>
  <c r="T44" i="69"/>
  <c r="U44" i="69"/>
  <c r="V44" i="69"/>
  <c r="W44" i="69"/>
  <c r="X44" i="69"/>
  <c r="Y44" i="69"/>
  <c r="Z44" i="69"/>
  <c r="R40" i="69"/>
  <c r="S40" i="69"/>
  <c r="T40" i="69"/>
  <c r="U40" i="69"/>
  <c r="V40" i="69"/>
  <c r="W40" i="69"/>
  <c r="X40" i="69"/>
  <c r="Y40" i="69"/>
  <c r="Z40" i="69"/>
  <c r="S49" i="69"/>
  <c r="R43" i="69"/>
  <c r="S43" i="69"/>
  <c r="T43" i="69"/>
  <c r="U43" i="69"/>
  <c r="V43" i="69"/>
  <c r="W43" i="69"/>
  <c r="X43" i="69"/>
  <c r="Y43" i="69"/>
  <c r="X34" i="70"/>
  <c r="R39" i="69"/>
  <c r="S39" i="69"/>
  <c r="R31" i="69"/>
  <c r="R32" i="69"/>
  <c r="R28" i="69"/>
  <c r="R33" i="69" s="1"/>
  <c r="R36" i="69" s="1"/>
  <c r="R52" i="69" s="1"/>
  <c r="R24" i="69"/>
  <c r="M108" i="81"/>
  <c r="M126" i="81"/>
  <c r="I52" i="69"/>
  <c r="L126" i="81"/>
  <c r="L127" i="81"/>
  <c r="Q108" i="81"/>
  <c r="Q126" i="81"/>
  <c r="Q127" i="81"/>
  <c r="L35" i="69"/>
  <c r="N108" i="81"/>
  <c r="N126" i="81"/>
  <c r="J52" i="69"/>
  <c r="H35" i="69"/>
  <c r="O126" i="81"/>
  <c r="K52" i="69"/>
  <c r="K35" i="69"/>
  <c r="J32" i="70"/>
  <c r="J38" i="70"/>
  <c r="P126" i="81"/>
  <c r="L52" i="69"/>
  <c r="J126" i="81"/>
  <c r="F52" i="69"/>
  <c r="K108" i="81"/>
  <c r="K126" i="81"/>
  <c r="G52" i="69"/>
  <c r="G35" i="69"/>
  <c r="F32" i="70"/>
  <c r="F38" i="70"/>
  <c r="X9" i="69"/>
  <c r="AA9" i="69"/>
  <c r="AA13" i="70"/>
  <c r="BI76" i="34"/>
  <c r="BE76" i="34"/>
  <c r="BA76" i="34"/>
  <c r="BG5" i="61"/>
  <c r="BC5" i="61"/>
  <c r="AY5" i="61"/>
  <c r="AU5" i="61"/>
  <c r="AQ5" i="61"/>
  <c r="AM5" i="61"/>
  <c r="AE5" i="61"/>
  <c r="W5" i="61"/>
  <c r="O5" i="61"/>
  <c r="I5" i="61"/>
  <c r="E5" i="61"/>
  <c r="L5" i="61"/>
  <c r="AJ5" i="61"/>
  <c r="AF5" i="61"/>
  <c r="AB5" i="61"/>
  <c r="X5" i="61"/>
  <c r="T5" i="61"/>
  <c r="P5" i="61"/>
  <c r="AL5" i="61"/>
  <c r="AH5" i="61"/>
  <c r="AD5" i="61"/>
  <c r="Z5" i="61"/>
  <c r="V5" i="61"/>
  <c r="R5" i="61"/>
  <c r="B64" i="109"/>
  <c r="H68" i="109"/>
  <c r="N85" i="109"/>
  <c r="N86" i="109"/>
  <c r="M3" i="65"/>
  <c r="M5" i="65"/>
  <c r="M10" i="65"/>
  <c r="M11" i="65"/>
  <c r="K10" i="65"/>
  <c r="K11" i="65"/>
  <c r="J68" i="109"/>
  <c r="AF67" i="115"/>
  <c r="AN67" i="115"/>
  <c r="AV67" i="115"/>
  <c r="E3" i="67"/>
  <c r="E1" i="34"/>
  <c r="E1" i="65"/>
  <c r="C4" i="11"/>
  <c r="J3" i="81"/>
  <c r="F2" i="69"/>
  <c r="M69" i="115"/>
  <c r="AC67" i="115"/>
  <c r="AK67" i="115"/>
  <c r="AS67" i="115"/>
  <c r="B4" i="115"/>
  <c r="I68" i="109"/>
  <c r="L3" i="65"/>
  <c r="L5" i="65"/>
  <c r="AF22" i="70"/>
  <c r="AG11" i="69"/>
  <c r="AE14" i="70"/>
  <c r="AE22" i="70"/>
  <c r="AB18" i="69"/>
  <c r="W30" i="69"/>
  <c r="BC17" i="69"/>
  <c r="BB18" i="69"/>
  <c r="BC20" i="69"/>
  <c r="BB22" i="69"/>
  <c r="X13" i="70"/>
  <c r="Y5" i="69"/>
  <c r="AA5" i="69"/>
  <c r="Z14" i="70"/>
  <c r="C4" i="125"/>
  <c r="D5" i="11"/>
  <c r="I3" i="119"/>
  <c r="Y14" i="70"/>
  <c r="Z43" i="69"/>
  <c r="X14" i="70"/>
  <c r="Z13" i="70"/>
  <c r="AA47" i="69"/>
  <c r="AB47" i="69"/>
  <c r="Y13" i="70"/>
  <c r="AA20" i="69"/>
  <c r="Q3" i="119"/>
  <c r="J3" i="119"/>
  <c r="L3" i="119"/>
  <c r="D4" i="119"/>
  <c r="F4" i="119"/>
  <c r="F2" i="107"/>
  <c r="D4" i="125"/>
  <c r="C4" i="115"/>
  <c r="C4" i="109"/>
  <c r="AA49" i="69"/>
  <c r="AA41" i="69"/>
  <c r="AB41" i="69"/>
  <c r="AA44" i="69"/>
  <c r="AB44" i="69"/>
  <c r="AA40" i="69"/>
  <c r="AB40" i="69"/>
  <c r="AA46" i="69"/>
  <c r="AB46" i="69"/>
  <c r="R14" i="70"/>
  <c r="W14" i="70"/>
  <c r="R18" i="70"/>
  <c r="Q31" i="70"/>
  <c r="U18" i="70"/>
  <c r="U14" i="70"/>
  <c r="T18" i="70"/>
  <c r="V14" i="70"/>
  <c r="F1" i="34"/>
  <c r="F2" i="34"/>
  <c r="K3" i="81"/>
  <c r="G2" i="69"/>
  <c r="T14" i="70"/>
  <c r="F7" i="70"/>
  <c r="F3" i="67"/>
  <c r="Q51" i="69"/>
  <c r="Q13" i="70"/>
  <c r="M13" i="70"/>
  <c r="S18" i="70"/>
  <c r="V61" i="69"/>
  <c r="U66" i="69"/>
  <c r="U63" i="69"/>
  <c r="T66" i="69"/>
  <c r="T61" i="69"/>
  <c r="T63" i="69"/>
  <c r="S66" i="69"/>
  <c r="S61" i="69"/>
  <c r="S63" i="69"/>
  <c r="R66" i="69"/>
  <c r="R63" i="69"/>
  <c r="U61" i="69"/>
  <c r="S17" i="70"/>
  <c r="R61" i="69"/>
  <c r="Q66" i="69"/>
  <c r="O17" i="70"/>
  <c r="Q63" i="69"/>
  <c r="Q61" i="69"/>
  <c r="P63" i="69"/>
  <c r="P61" i="69"/>
  <c r="L30" i="69"/>
  <c r="M61" i="69"/>
  <c r="M63" i="69"/>
  <c r="H61" i="69"/>
  <c r="H63" i="69"/>
  <c r="O63" i="69"/>
  <c r="O61" i="69"/>
  <c r="F30" i="69"/>
  <c r="G63" i="69"/>
  <c r="F66" i="69"/>
  <c r="G61" i="69"/>
  <c r="F63" i="69"/>
  <c r="F65" i="69"/>
  <c r="J61" i="69"/>
  <c r="J63" i="69"/>
  <c r="S14" i="70"/>
  <c r="N61" i="69"/>
  <c r="N63" i="69"/>
  <c r="K63" i="69"/>
  <c r="K61" i="69"/>
  <c r="H30" i="69"/>
  <c r="I63" i="69"/>
  <c r="I61" i="69"/>
  <c r="L63" i="69"/>
  <c r="L61" i="69"/>
  <c r="J22" i="34"/>
  <c r="E17" i="34"/>
  <c r="T49" i="69"/>
  <c r="U49" i="69"/>
  <c r="V49" i="69"/>
  <c r="R13" i="70"/>
  <c r="K22" i="70"/>
  <c r="K25" i="70"/>
  <c r="G22" i="70"/>
  <c r="G25" i="70"/>
  <c r="H22" i="70"/>
  <c r="H25" i="70"/>
  <c r="D26" i="85"/>
  <c r="K32" i="70"/>
  <c r="K38" i="70"/>
  <c r="F22" i="70"/>
  <c r="J22" i="70"/>
  <c r="J25" i="70"/>
  <c r="I22" i="70"/>
  <c r="I25" i="70"/>
  <c r="T17" i="70"/>
  <c r="Q17" i="70"/>
  <c r="G30" i="69"/>
  <c r="F17" i="70"/>
  <c r="M52" i="69"/>
  <c r="H52" i="69"/>
  <c r="P32" i="70"/>
  <c r="J14" i="70"/>
  <c r="N13" i="70"/>
  <c r="G32" i="70"/>
  <c r="G38" i="70"/>
  <c r="H32" i="70"/>
  <c r="H38" i="70"/>
  <c r="L22" i="70"/>
  <c r="L25" i="70"/>
  <c r="N17" i="70"/>
  <c r="J30" i="69"/>
  <c r="I17" i="70"/>
  <c r="Q14" i="70"/>
  <c r="K14" i="70"/>
  <c r="R17" i="70"/>
  <c r="P17" i="70"/>
  <c r="N30" i="69"/>
  <c r="M17" i="70"/>
  <c r="I30" i="69"/>
  <c r="H17" i="70"/>
  <c r="K17" i="70"/>
  <c r="M30" i="69"/>
  <c r="L17" i="70"/>
  <c r="O30" i="69"/>
  <c r="P30" i="69"/>
  <c r="L14" i="70"/>
  <c r="I14" i="70"/>
  <c r="G17" i="70"/>
  <c r="J17" i="70"/>
  <c r="K30" i="69"/>
  <c r="L32" i="70"/>
  <c r="L38" i="70"/>
  <c r="E3" i="11"/>
  <c r="H3" i="123"/>
  <c r="D4" i="11"/>
  <c r="F1" i="65"/>
  <c r="BB22" i="34"/>
  <c r="BC9" i="69" s="1"/>
  <c r="F10" i="11"/>
  <c r="BD26" i="34"/>
  <c r="F4" i="118"/>
  <c r="E4" i="118"/>
  <c r="AC59" i="34"/>
  <c r="H14" i="65"/>
  <c r="G24" i="65"/>
  <c r="G25" i="65"/>
  <c r="G23" i="65"/>
  <c r="P56" i="70"/>
  <c r="P58" i="70"/>
  <c r="BF22" i="34"/>
  <c r="BI9" i="69"/>
  <c r="S22" i="69"/>
  <c r="R22" i="69"/>
  <c r="R30" i="69"/>
  <c r="Q30" i="69"/>
  <c r="Q22" i="69"/>
  <c r="J15" i="61"/>
  <c r="E15" i="61"/>
  <c r="BL22" i="34"/>
  <c r="Q30" i="70"/>
  <c r="P13" i="70"/>
  <c r="C15" i="61"/>
  <c r="Q34" i="70"/>
  <c r="T39" i="69"/>
  <c r="M127" i="81"/>
  <c r="N127" i="81"/>
  <c r="G13" i="70"/>
  <c r="F18" i="69"/>
  <c r="F13" i="70"/>
  <c r="U13" i="70"/>
  <c r="I18" i="69"/>
  <c r="M18" i="69"/>
  <c r="O13" i="70"/>
  <c r="L18" i="69"/>
  <c r="N18" i="69"/>
  <c r="G51" i="69"/>
  <c r="F51" i="69"/>
  <c r="T13" i="70"/>
  <c r="K51" i="69"/>
  <c r="J13" i="70"/>
  <c r="W13" i="70"/>
  <c r="K18" i="69"/>
  <c r="H51" i="69"/>
  <c r="L13" i="70"/>
  <c r="C26" i="85"/>
  <c r="S13" i="70"/>
  <c r="J18" i="69"/>
  <c r="M51" i="69"/>
  <c r="I51" i="69"/>
  <c r="G18" i="69"/>
  <c r="K13" i="70"/>
  <c r="I13" i="70"/>
  <c r="H13" i="70"/>
  <c r="J127" i="81"/>
  <c r="W16" i="70"/>
  <c r="P127" i="81"/>
  <c r="E26" i="85"/>
  <c r="K127" i="81"/>
  <c r="O127" i="81"/>
  <c r="L51" i="69"/>
  <c r="J51" i="69"/>
  <c r="V13" i="70"/>
  <c r="H18" i="69"/>
  <c r="O22" i="70"/>
  <c r="O25" i="70"/>
  <c r="C64" i="109"/>
  <c r="D64" i="109"/>
  <c r="E64" i="109"/>
  <c r="F64" i="109"/>
  <c r="G64" i="109"/>
  <c r="H64" i="109"/>
  <c r="I64" i="109"/>
  <c r="J64" i="109"/>
  <c r="K64" i="109"/>
  <c r="M26" i="34"/>
  <c r="E2" i="34"/>
  <c r="C4" i="61"/>
  <c r="E3" i="34"/>
  <c r="B63" i="115"/>
  <c r="AH11" i="69"/>
  <c r="AF14" i="70"/>
  <c r="L64" i="109"/>
  <c r="M64" i="109"/>
  <c r="N64" i="109"/>
  <c r="O64" i="109"/>
  <c r="P64" i="109"/>
  <c r="Q64" i="109"/>
  <c r="R64" i="109"/>
  <c r="S64" i="109"/>
  <c r="T64" i="109"/>
  <c r="U64" i="109"/>
  <c r="V64" i="109"/>
  <c r="W64" i="109"/>
  <c r="X64" i="109"/>
  <c r="Y64" i="109"/>
  <c r="Z64" i="109"/>
  <c r="AA64" i="109"/>
  <c r="AB64" i="109"/>
  <c r="AC64" i="109"/>
  <c r="AD64" i="109"/>
  <c r="AE64" i="109"/>
  <c r="AF64" i="109"/>
  <c r="AG64" i="109"/>
  <c r="AH64" i="109"/>
  <c r="AI64" i="109"/>
  <c r="AJ64" i="109"/>
  <c r="AK64" i="109"/>
  <c r="AL64" i="109"/>
  <c r="AM64" i="109"/>
  <c r="AN64" i="109"/>
  <c r="AO64" i="109"/>
  <c r="AP64" i="109"/>
  <c r="AQ64" i="109"/>
  <c r="AR64" i="109"/>
  <c r="AS64" i="109"/>
  <c r="AT64" i="109"/>
  <c r="AU64" i="109"/>
  <c r="AV64" i="109"/>
  <c r="AW64" i="109"/>
  <c r="BD20" i="69"/>
  <c r="BC22" i="69"/>
  <c r="BD17" i="69"/>
  <c r="BC18" i="69"/>
  <c r="AB49" i="69"/>
  <c r="AC49" i="69"/>
  <c r="AD49" i="69"/>
  <c r="AE49" i="69"/>
  <c r="AF49" i="69"/>
  <c r="AG49" i="69"/>
  <c r="AH49" i="69"/>
  <c r="AI49" i="69"/>
  <c r="AJ49" i="69"/>
  <c r="AK49" i="69"/>
  <c r="AL49" i="69"/>
  <c r="AM49" i="69"/>
  <c r="AN49" i="69"/>
  <c r="AO49" i="69"/>
  <c r="AP49" i="69"/>
  <c r="AQ49" i="69"/>
  <c r="AR49" i="69"/>
  <c r="AS49" i="69"/>
  <c r="AT49" i="69"/>
  <c r="AU49" i="69"/>
  <c r="AV49" i="69"/>
  <c r="AW49" i="69"/>
  <c r="AX49" i="69"/>
  <c r="AY49" i="69"/>
  <c r="AZ49" i="69"/>
  <c r="BA49" i="69"/>
  <c r="BB49" i="69"/>
  <c r="BC49" i="69"/>
  <c r="BD49" i="69"/>
  <c r="BE49" i="69"/>
  <c r="BF49" i="69"/>
  <c r="BG49" i="69"/>
  <c r="BH49" i="69"/>
  <c r="BI49" i="69"/>
  <c r="BJ49" i="69"/>
  <c r="BK49" i="69"/>
  <c r="BL49" i="69"/>
  <c r="BM49" i="69"/>
  <c r="BN49" i="69"/>
  <c r="BO49" i="69"/>
  <c r="BP49" i="69"/>
  <c r="BQ49" i="69"/>
  <c r="BR49" i="69"/>
  <c r="BS49" i="69"/>
  <c r="BT49" i="69"/>
  <c r="BU49" i="69"/>
  <c r="BV49" i="69"/>
  <c r="BW49" i="69"/>
  <c r="BX49" i="69"/>
  <c r="BY49" i="69"/>
  <c r="AB22" i="69"/>
  <c r="AC41" i="69"/>
  <c r="AD41" i="69"/>
  <c r="AE41" i="69"/>
  <c r="AF41" i="69"/>
  <c r="AG41" i="69"/>
  <c r="AH41" i="69"/>
  <c r="AI41" i="69"/>
  <c r="AJ41" i="69"/>
  <c r="AK41" i="69"/>
  <c r="AL41" i="69"/>
  <c r="AM41" i="69"/>
  <c r="AN41" i="69"/>
  <c r="AO41" i="69"/>
  <c r="AP41" i="69"/>
  <c r="AQ41" i="69"/>
  <c r="AR41" i="69"/>
  <c r="AS41" i="69"/>
  <c r="AT41" i="69"/>
  <c r="AU41" i="69"/>
  <c r="AV41" i="69"/>
  <c r="AW41" i="69"/>
  <c r="AX41" i="69"/>
  <c r="AY41" i="69"/>
  <c r="AZ41" i="69"/>
  <c r="BA41" i="69"/>
  <c r="BB41" i="69"/>
  <c r="BC41" i="69"/>
  <c r="BD41" i="69"/>
  <c r="BE41" i="69"/>
  <c r="BF41" i="69"/>
  <c r="BG41" i="69"/>
  <c r="BH41" i="69"/>
  <c r="BI41" i="69"/>
  <c r="BJ41" i="69"/>
  <c r="BK41" i="69"/>
  <c r="BL41" i="69"/>
  <c r="BM41" i="69"/>
  <c r="BN41" i="69"/>
  <c r="BO41" i="69"/>
  <c r="BP41" i="69"/>
  <c r="BQ41" i="69"/>
  <c r="BR41" i="69"/>
  <c r="BS41" i="69"/>
  <c r="BT41" i="69"/>
  <c r="BU41" i="69"/>
  <c r="BV41" i="69"/>
  <c r="BW41" i="69"/>
  <c r="BX41" i="69"/>
  <c r="BY41" i="69"/>
  <c r="AC46" i="69"/>
  <c r="AD46" i="69"/>
  <c r="AE46" i="69"/>
  <c r="AF46" i="69"/>
  <c r="AG46" i="69"/>
  <c r="AH46" i="69"/>
  <c r="AI46" i="69"/>
  <c r="AJ46" i="69"/>
  <c r="AK46" i="69"/>
  <c r="AL46" i="69"/>
  <c r="AM46" i="69"/>
  <c r="AN46" i="69"/>
  <c r="AO46" i="69"/>
  <c r="AP46" i="69"/>
  <c r="AQ46" i="69"/>
  <c r="AR46" i="69"/>
  <c r="AS46" i="69"/>
  <c r="AT46" i="69"/>
  <c r="AU46" i="69"/>
  <c r="AV46" i="69"/>
  <c r="AW46" i="69"/>
  <c r="AX46" i="69"/>
  <c r="AY46" i="69"/>
  <c r="AZ46" i="69"/>
  <c r="BA46" i="69"/>
  <c r="BB46" i="69"/>
  <c r="BC46" i="69"/>
  <c r="BD46" i="69"/>
  <c r="BE46" i="69"/>
  <c r="BF46" i="69"/>
  <c r="BG46" i="69"/>
  <c r="BH46" i="69"/>
  <c r="BI46" i="69"/>
  <c r="BJ46" i="69"/>
  <c r="BK46" i="69"/>
  <c r="BL46" i="69"/>
  <c r="BM46" i="69"/>
  <c r="BN46" i="69"/>
  <c r="BO46" i="69"/>
  <c r="BP46" i="69"/>
  <c r="BQ46" i="69"/>
  <c r="BR46" i="69"/>
  <c r="BS46" i="69"/>
  <c r="BT46" i="69"/>
  <c r="BU46" i="69"/>
  <c r="BV46" i="69"/>
  <c r="BW46" i="69"/>
  <c r="BX46" i="69"/>
  <c r="BY46" i="69"/>
  <c r="AC47" i="69"/>
  <c r="AD47" i="69"/>
  <c r="AE47" i="69"/>
  <c r="AF47" i="69"/>
  <c r="AG47" i="69"/>
  <c r="AH47" i="69"/>
  <c r="AI47" i="69"/>
  <c r="AJ47" i="69"/>
  <c r="AK47" i="69"/>
  <c r="AL47" i="69"/>
  <c r="AM47" i="69"/>
  <c r="AN47" i="69"/>
  <c r="AO47" i="69"/>
  <c r="AP47" i="69"/>
  <c r="AQ47" i="69"/>
  <c r="AR47" i="69"/>
  <c r="AS47" i="69"/>
  <c r="AT47" i="69"/>
  <c r="AU47" i="69"/>
  <c r="AV47" i="69"/>
  <c r="AW47" i="69"/>
  <c r="AX47" i="69"/>
  <c r="AY47" i="69"/>
  <c r="AZ47" i="69"/>
  <c r="BA47" i="69"/>
  <c r="BB47" i="69"/>
  <c r="BC47" i="69"/>
  <c r="BD47" i="69"/>
  <c r="BE47" i="69"/>
  <c r="BF47" i="69"/>
  <c r="BG47" i="69"/>
  <c r="BH47" i="69"/>
  <c r="BI47" i="69"/>
  <c r="BJ47" i="69"/>
  <c r="BK47" i="69"/>
  <c r="BL47" i="69"/>
  <c r="BM47" i="69"/>
  <c r="BN47" i="69"/>
  <c r="BO47" i="69"/>
  <c r="BP47" i="69"/>
  <c r="BQ47" i="69"/>
  <c r="BR47" i="69"/>
  <c r="BS47" i="69"/>
  <c r="BT47" i="69"/>
  <c r="BU47" i="69"/>
  <c r="BV47" i="69"/>
  <c r="BW47" i="69"/>
  <c r="BX47" i="69"/>
  <c r="BY47" i="69"/>
  <c r="AC44" i="69"/>
  <c r="AD44" i="69"/>
  <c r="AE44" i="69"/>
  <c r="AF44" i="69"/>
  <c r="AG44" i="69"/>
  <c r="AH44" i="69"/>
  <c r="AI44" i="69"/>
  <c r="AJ44" i="69"/>
  <c r="AK44" i="69"/>
  <c r="AL44" i="69"/>
  <c r="AM44" i="69"/>
  <c r="AN44" i="69"/>
  <c r="AO44" i="69"/>
  <c r="AP44" i="69"/>
  <c r="AQ44" i="69"/>
  <c r="AR44" i="69"/>
  <c r="AS44" i="69"/>
  <c r="AT44" i="69"/>
  <c r="AU44" i="69"/>
  <c r="AV44" i="69"/>
  <c r="AW44" i="69"/>
  <c r="AX44" i="69"/>
  <c r="AY44" i="69"/>
  <c r="AZ44" i="69"/>
  <c r="BA44" i="69"/>
  <c r="BB44" i="69"/>
  <c r="BC44" i="69"/>
  <c r="BD44" i="69"/>
  <c r="BE44" i="69"/>
  <c r="BF44" i="69"/>
  <c r="BG44" i="69"/>
  <c r="BH44" i="69"/>
  <c r="BI44" i="69"/>
  <c r="BJ44" i="69"/>
  <c r="BK44" i="69"/>
  <c r="BL44" i="69"/>
  <c r="BM44" i="69"/>
  <c r="BN44" i="69"/>
  <c r="BO44" i="69"/>
  <c r="BP44" i="69"/>
  <c r="BQ44" i="69"/>
  <c r="BR44" i="69"/>
  <c r="BS44" i="69"/>
  <c r="BT44" i="69"/>
  <c r="BU44" i="69"/>
  <c r="BV44" i="69"/>
  <c r="BW44" i="69"/>
  <c r="BX44" i="69"/>
  <c r="BY44" i="69"/>
  <c r="AC40" i="69"/>
  <c r="AD40" i="69"/>
  <c r="AE40" i="69"/>
  <c r="AF40" i="69"/>
  <c r="AG40" i="69"/>
  <c r="AH40" i="69"/>
  <c r="AI40" i="69"/>
  <c r="AJ40" i="69"/>
  <c r="AK40" i="69"/>
  <c r="AL40" i="69"/>
  <c r="AM40" i="69"/>
  <c r="AN40" i="69"/>
  <c r="AO40" i="69"/>
  <c r="AP40" i="69"/>
  <c r="AQ40" i="69"/>
  <c r="AR40" i="69"/>
  <c r="AS40" i="69"/>
  <c r="AT40" i="69"/>
  <c r="AU40" i="69"/>
  <c r="AV40" i="69"/>
  <c r="AW40" i="69"/>
  <c r="AX40" i="69"/>
  <c r="AY40" i="69"/>
  <c r="AZ40" i="69"/>
  <c r="BA40" i="69"/>
  <c r="BB40" i="69"/>
  <c r="BC40" i="69"/>
  <c r="BD40" i="69"/>
  <c r="BE40" i="69"/>
  <c r="BF40" i="69"/>
  <c r="BG40" i="69"/>
  <c r="BH40" i="69"/>
  <c r="BI40" i="69"/>
  <c r="BJ40" i="69"/>
  <c r="BK40" i="69"/>
  <c r="P16" i="70"/>
  <c r="E4" i="119"/>
  <c r="G4" i="118"/>
  <c r="H4" i="118"/>
  <c r="I4" i="118"/>
  <c r="AA43" i="69"/>
  <c r="AB43" i="69"/>
  <c r="Y34" i="70"/>
  <c r="D4" i="115"/>
  <c r="G2" i="107"/>
  <c r="E4" i="125"/>
  <c r="D4" i="109"/>
  <c r="AA42" i="69"/>
  <c r="AB42" i="69"/>
  <c r="Y35" i="70"/>
  <c r="I65" i="69"/>
  <c r="I67" i="69"/>
  <c r="L16" i="70"/>
  <c r="G65" i="69"/>
  <c r="G67" i="69"/>
  <c r="G16" i="70"/>
  <c r="N65" i="69"/>
  <c r="N67" i="69"/>
  <c r="F3" i="34"/>
  <c r="H16" i="70"/>
  <c r="D4" i="61"/>
  <c r="R65" i="69"/>
  <c r="R67" i="69"/>
  <c r="K4" i="118"/>
  <c r="F16" i="70"/>
  <c r="O65" i="69"/>
  <c r="O67" i="69"/>
  <c r="F67" i="69"/>
  <c r="P65" i="69"/>
  <c r="P67" i="69"/>
  <c r="L65" i="69"/>
  <c r="L67" i="69"/>
  <c r="Q65" i="69"/>
  <c r="Q67" i="69"/>
  <c r="J65" i="69"/>
  <c r="J67" i="69"/>
  <c r="M65" i="69"/>
  <c r="M67" i="69"/>
  <c r="K65" i="69"/>
  <c r="K67" i="69"/>
  <c r="H65" i="69"/>
  <c r="H67" i="69"/>
  <c r="G33" i="69"/>
  <c r="G36" i="69" s="1"/>
  <c r="C37" i="116"/>
  <c r="R23" i="70"/>
  <c r="J16" i="70"/>
  <c r="F25" i="70"/>
  <c r="Q23" i="70"/>
  <c r="N16" i="70"/>
  <c r="D37" i="116"/>
  <c r="Q32" i="70"/>
  <c r="M16" i="70"/>
  <c r="O16" i="70"/>
  <c r="I16" i="70"/>
  <c r="K16" i="70"/>
  <c r="F3" i="11"/>
  <c r="I3" i="123"/>
  <c r="L3" i="81"/>
  <c r="H2" i="69"/>
  <c r="E5" i="11"/>
  <c r="E4" i="11"/>
  <c r="G1" i="65"/>
  <c r="G1" i="34"/>
  <c r="G3" i="67"/>
  <c r="G7" i="70"/>
  <c r="H15" i="61"/>
  <c r="F15" i="61"/>
  <c r="I15" i="61"/>
  <c r="G15" i="61"/>
  <c r="O18" i="69"/>
  <c r="N22" i="70"/>
  <c r="G4" i="119"/>
  <c r="H4" i="119"/>
  <c r="K4" i="119"/>
  <c r="H24" i="65"/>
  <c r="H25" i="65"/>
  <c r="I14" i="65"/>
  <c r="H23" i="65"/>
  <c r="T22" i="69"/>
  <c r="Q16" i="70"/>
  <c r="U39" i="69"/>
  <c r="M22" i="70"/>
  <c r="R34" i="70"/>
  <c r="Q35" i="70"/>
  <c r="Q38" i="70"/>
  <c r="P25" i="70"/>
  <c r="F26" i="85"/>
  <c r="R26" i="85"/>
  <c r="Q18" i="69"/>
  <c r="C63" i="115"/>
  <c r="E63" i="115"/>
  <c r="H63" i="115"/>
  <c r="I63" i="115"/>
  <c r="D63" i="115"/>
  <c r="F63" i="115"/>
  <c r="G63" i="115"/>
  <c r="AE42" i="115"/>
  <c r="AK48" i="115"/>
  <c r="AD41" i="115"/>
  <c r="AG45" i="115"/>
  <c r="AI46" i="115"/>
  <c r="AK61" i="115"/>
  <c r="AC40" i="115"/>
  <c r="AF43" i="115"/>
  <c r="AJ47" i="115"/>
  <c r="AH46" i="115"/>
  <c r="AA39" i="115"/>
  <c r="AG44" i="115"/>
  <c r="AJ48" i="115"/>
  <c r="AH45" i="115"/>
  <c r="AB40" i="115"/>
  <c r="AE43" i="115"/>
  <c r="AD42" i="115"/>
  <c r="AA38" i="115"/>
  <c r="AF44" i="115"/>
  <c r="AB39" i="115"/>
  <c r="AC41" i="115"/>
  <c r="AI47" i="115"/>
  <c r="AG42" i="115"/>
  <c r="AE40" i="115"/>
  <c r="AB37" i="115"/>
  <c r="AA36" i="115"/>
  <c r="AF41" i="115"/>
  <c r="AH43" i="115"/>
  <c r="AK46" i="115"/>
  <c r="AJ45" i="115"/>
  <c r="AC38" i="115"/>
  <c r="AD39" i="115"/>
  <c r="AI44" i="115"/>
  <c r="AE37" i="115"/>
  <c r="AD36" i="115"/>
  <c r="AG39" i="115"/>
  <c r="AH40" i="115"/>
  <c r="AA33" i="115"/>
  <c r="AC35" i="115"/>
  <c r="AB34" i="115"/>
  <c r="AJ42" i="115"/>
  <c r="AI41" i="115"/>
  <c r="AF38" i="115"/>
  <c r="AK43" i="115"/>
  <c r="AD34" i="115"/>
  <c r="AJ40" i="115"/>
  <c r="AA31" i="115"/>
  <c r="AE35" i="115"/>
  <c r="AK41" i="115"/>
  <c r="AC33" i="115"/>
  <c r="AI39" i="115"/>
  <c r="AB32" i="115"/>
  <c r="AH38" i="115"/>
  <c r="AG37" i="115"/>
  <c r="AF36" i="115"/>
  <c r="AK40" i="115"/>
  <c r="AF35" i="115"/>
  <c r="AD33" i="115"/>
  <c r="AB31" i="115"/>
  <c r="AI38" i="115"/>
  <c r="AG36" i="115"/>
  <c r="AH37" i="115"/>
  <c r="AE34" i="115"/>
  <c r="AJ39" i="115"/>
  <c r="AA30" i="115"/>
  <c r="AC32" i="115"/>
  <c r="AH39" i="115"/>
  <c r="AJ41" i="115"/>
  <c r="AA32" i="115"/>
  <c r="AC34" i="115"/>
  <c r="AI40" i="115"/>
  <c r="AB33" i="115"/>
  <c r="AG38" i="115"/>
  <c r="AD35" i="115"/>
  <c r="AK42" i="115"/>
  <c r="AF37" i="115"/>
  <c r="AE36" i="115"/>
  <c r="J63" i="115"/>
  <c r="AJ38" i="115"/>
  <c r="AH36" i="115"/>
  <c r="AD32" i="115"/>
  <c r="AF34" i="115"/>
  <c r="AE33" i="115"/>
  <c r="AI37" i="115"/>
  <c r="AA29" i="115"/>
  <c r="AG35" i="115"/>
  <c r="AK39" i="115"/>
  <c r="AB30" i="115"/>
  <c r="AC31" i="115"/>
  <c r="AD40" i="115"/>
  <c r="AC39" i="115"/>
  <c r="AJ46" i="115"/>
  <c r="AI45" i="115"/>
  <c r="AF42" i="115"/>
  <c r="AH44" i="115"/>
  <c r="AA37" i="115"/>
  <c r="AE41" i="115"/>
  <c r="AK47" i="115"/>
  <c r="AB38" i="115"/>
  <c r="AG43" i="115"/>
  <c r="S34" i="70"/>
  <c r="AA35" i="115"/>
  <c r="AE39" i="115"/>
  <c r="AH42" i="115"/>
  <c r="AI43" i="115"/>
  <c r="AJ44" i="115"/>
  <c r="AK45" i="115"/>
  <c r="AD38" i="115"/>
  <c r="AF40" i="115"/>
  <c r="AG41" i="115"/>
  <c r="AB36" i="115"/>
  <c r="AC37" i="115"/>
  <c r="K63" i="115"/>
  <c r="AA34" i="115"/>
  <c r="AJ43" i="115"/>
  <c r="AC36" i="115"/>
  <c r="AG40" i="115"/>
  <c r="AF39" i="115"/>
  <c r="AK44" i="115"/>
  <c r="AI42" i="115"/>
  <c r="AE38" i="115"/>
  <c r="AH41" i="115"/>
  <c r="AB35" i="115"/>
  <c r="AD37" i="115"/>
  <c r="AI11" i="69"/>
  <c r="AG14" i="70"/>
  <c r="BE17" i="69"/>
  <c r="BD18" i="69"/>
  <c r="BE20" i="69"/>
  <c r="BD22" i="69"/>
  <c r="BL40" i="69"/>
  <c r="J4" i="118"/>
  <c r="L4" i="118"/>
  <c r="D5" i="118"/>
  <c r="Z35" i="70"/>
  <c r="E4" i="115"/>
  <c r="E4" i="109"/>
  <c r="H2" i="107"/>
  <c r="F4" i="125"/>
  <c r="Z34" i="70"/>
  <c r="F37" i="116"/>
  <c r="N25" i="70"/>
  <c r="M25" i="70"/>
  <c r="E37" i="116"/>
  <c r="R32" i="70"/>
  <c r="Q25" i="70"/>
  <c r="G2" i="34"/>
  <c r="G3" i="34"/>
  <c r="E4" i="61"/>
  <c r="D15" i="61"/>
  <c r="G3" i="11"/>
  <c r="J3" i="123"/>
  <c r="H1" i="34"/>
  <c r="H3" i="67"/>
  <c r="H7" i="70"/>
  <c r="F5" i="11"/>
  <c r="M3" i="81"/>
  <c r="I2" i="69"/>
  <c r="H1" i="65"/>
  <c r="F4" i="11"/>
  <c r="S30" i="69"/>
  <c r="P18" i="69"/>
  <c r="I4" i="119"/>
  <c r="J4" i="119"/>
  <c r="L4" i="119"/>
  <c r="D5" i="119"/>
  <c r="J14" i="65"/>
  <c r="I24" i="65"/>
  <c r="I25" i="65"/>
  <c r="I23" i="65"/>
  <c r="F5" i="118"/>
  <c r="K5" i="118"/>
  <c r="E5" i="118"/>
  <c r="Q56" i="70"/>
  <c r="Q58" i="70"/>
  <c r="T23" i="70"/>
  <c r="V39" i="69"/>
  <c r="R35" i="70"/>
  <c r="G26" i="85"/>
  <c r="T34" i="70"/>
  <c r="AJ11" i="69"/>
  <c r="AH14" i="70"/>
  <c r="BF20" i="69"/>
  <c r="BE22" i="69"/>
  <c r="BF17" i="69"/>
  <c r="BE18" i="69"/>
  <c r="BM40" i="69"/>
  <c r="BN40" i="69"/>
  <c r="BO40" i="69"/>
  <c r="BP40" i="69"/>
  <c r="BQ40" i="69"/>
  <c r="BR40" i="69"/>
  <c r="BS40" i="69"/>
  <c r="BT40" i="69"/>
  <c r="BU40" i="69"/>
  <c r="BV40" i="69"/>
  <c r="BW40" i="69"/>
  <c r="BX40" i="69"/>
  <c r="BY40" i="69"/>
  <c r="AP22" i="69"/>
  <c r="S37" i="116"/>
  <c r="AC43" i="69"/>
  <c r="AA34" i="70"/>
  <c r="F4" i="115"/>
  <c r="F4" i="109"/>
  <c r="I2" i="107"/>
  <c r="G4" i="125"/>
  <c r="AC42" i="69"/>
  <c r="AA35" i="70"/>
  <c r="G5" i="118"/>
  <c r="H5" i="118"/>
  <c r="R16" i="70"/>
  <c r="S32" i="70"/>
  <c r="H3" i="11"/>
  <c r="K3" i="123"/>
  <c r="G5" i="11"/>
  <c r="I3" i="67"/>
  <c r="I1" i="65"/>
  <c r="I7" i="70"/>
  <c r="G4" i="11"/>
  <c r="N3" i="81"/>
  <c r="J2" i="69"/>
  <c r="I1" i="34"/>
  <c r="H2" i="34"/>
  <c r="H3" i="34"/>
  <c r="F4" i="61"/>
  <c r="J24" i="65"/>
  <c r="J25" i="65"/>
  <c r="J23" i="65"/>
  <c r="K14" i="65"/>
  <c r="R60" i="34"/>
  <c r="I5" i="118"/>
  <c r="J5" i="118"/>
  <c r="L5" i="118"/>
  <c r="E5" i="119"/>
  <c r="F5" i="119"/>
  <c r="G5" i="119"/>
  <c r="H5" i="119"/>
  <c r="V22" i="69"/>
  <c r="U23" i="70"/>
  <c r="W39" i="69"/>
  <c r="H26" i="85"/>
  <c r="U34" i="70"/>
  <c r="AK11" i="69"/>
  <c r="AI14" i="70"/>
  <c r="BG17" i="69"/>
  <c r="BF18" i="69"/>
  <c r="BG20" i="69"/>
  <c r="BF22" i="69"/>
  <c r="AQ22" i="69"/>
  <c r="AD42" i="69"/>
  <c r="AB35" i="70"/>
  <c r="G4" i="115"/>
  <c r="J2" i="107"/>
  <c r="H4" i="125"/>
  <c r="G4" i="109"/>
  <c r="AD43" i="69"/>
  <c r="AB34" i="70"/>
  <c r="K5" i="119"/>
  <c r="R25" i="70"/>
  <c r="T32" i="70"/>
  <c r="K48" i="34"/>
  <c r="E48" i="34"/>
  <c r="I2" i="34"/>
  <c r="G4" i="61"/>
  <c r="I3" i="34"/>
  <c r="I3" i="11"/>
  <c r="L3" i="123"/>
  <c r="J7" i="70"/>
  <c r="H4" i="11"/>
  <c r="O3" i="81"/>
  <c r="K2" i="69"/>
  <c r="J3" i="67"/>
  <c r="J1" i="65"/>
  <c r="H5" i="11"/>
  <c r="J1" i="34"/>
  <c r="I5" i="119"/>
  <c r="J5" i="119"/>
  <c r="L5" i="119"/>
  <c r="R56" i="70"/>
  <c r="R58" i="70"/>
  <c r="L14" i="65"/>
  <c r="K23" i="65"/>
  <c r="K24" i="65"/>
  <c r="K25" i="65"/>
  <c r="D6" i="118"/>
  <c r="S32" i="69"/>
  <c r="W22" i="69"/>
  <c r="X39" i="69"/>
  <c r="Y39" i="69"/>
  <c r="Z39" i="69"/>
  <c r="S35" i="70"/>
  <c r="I26" i="85"/>
  <c r="T35" i="70"/>
  <c r="V34" i="70"/>
  <c r="K15" i="61"/>
  <c r="AL11" i="69"/>
  <c r="AJ14" i="70"/>
  <c r="BH20" i="69"/>
  <c r="BG22" i="69"/>
  <c r="BH17" i="69"/>
  <c r="BG18" i="69"/>
  <c r="AR22" i="69"/>
  <c r="S25" i="70"/>
  <c r="H4" i="115"/>
  <c r="K2" i="107"/>
  <c r="I4" i="125"/>
  <c r="H4" i="109"/>
  <c r="AE43" i="69"/>
  <c r="AC34" i="70"/>
  <c r="AE42" i="69"/>
  <c r="AC35" i="70"/>
  <c r="R31" i="70"/>
  <c r="G37" i="116"/>
  <c r="U32" i="70"/>
  <c r="F48" i="34"/>
  <c r="H4" i="61"/>
  <c r="J3" i="34"/>
  <c r="J2" i="34"/>
  <c r="J3" i="11"/>
  <c r="M3" i="123"/>
  <c r="K1" i="65"/>
  <c r="K7" i="70"/>
  <c r="I4" i="11"/>
  <c r="P3" i="81"/>
  <c r="L2" i="69"/>
  <c r="K3" i="67"/>
  <c r="K1" i="34"/>
  <c r="I5" i="11"/>
  <c r="T60" i="34"/>
  <c r="M14" i="65"/>
  <c r="L23" i="65"/>
  <c r="L24" i="65"/>
  <c r="L25" i="65"/>
  <c r="R10" i="70"/>
  <c r="D6" i="119"/>
  <c r="F6" i="118"/>
  <c r="E6" i="118"/>
  <c r="X22" i="69"/>
  <c r="T25" i="70"/>
  <c r="U35" i="70"/>
  <c r="W34" i="70"/>
  <c r="AM11" i="69"/>
  <c r="AK14" i="70"/>
  <c r="BI17" i="69"/>
  <c r="BH18" i="69"/>
  <c r="BI20" i="69"/>
  <c r="BH22" i="69"/>
  <c r="AS22" i="69"/>
  <c r="G6" i="118"/>
  <c r="L2" i="107"/>
  <c r="J4" i="125"/>
  <c r="I4" i="115"/>
  <c r="I4" i="109"/>
  <c r="AF42" i="69"/>
  <c r="AD35" i="70"/>
  <c r="AF43" i="69"/>
  <c r="AD34" i="70"/>
  <c r="H6" i="118"/>
  <c r="V32" i="70"/>
  <c r="K2" i="34"/>
  <c r="K3" i="34"/>
  <c r="I4" i="61"/>
  <c r="K3" i="11"/>
  <c r="N3" i="123"/>
  <c r="L7" i="70"/>
  <c r="Q3" i="81"/>
  <c r="M2" i="69"/>
  <c r="J4" i="11"/>
  <c r="J5" i="11"/>
  <c r="L1" i="65"/>
  <c r="L1" i="34"/>
  <c r="L3" i="67"/>
  <c r="I6" i="118"/>
  <c r="R38" i="70"/>
  <c r="M24" i="65"/>
  <c r="M25" i="65"/>
  <c r="M23" i="65"/>
  <c r="N14" i="65"/>
  <c r="K6" i="118"/>
  <c r="F6" i="119"/>
  <c r="K6" i="119"/>
  <c r="E6" i="119"/>
  <c r="V35" i="70"/>
  <c r="U25" i="70"/>
  <c r="L63" i="115"/>
  <c r="M15" i="61"/>
  <c r="L15" i="61"/>
  <c r="AN11" i="69"/>
  <c r="AL14" i="70"/>
  <c r="BJ20" i="69"/>
  <c r="BI22" i="69"/>
  <c r="BJ17" i="69"/>
  <c r="BI18" i="69"/>
  <c r="AT22" i="69"/>
  <c r="X32" i="70"/>
  <c r="J6" i="118"/>
  <c r="L6" i="118"/>
  <c r="AG43" i="69"/>
  <c r="AE34" i="70"/>
  <c r="AG42" i="69"/>
  <c r="AE35" i="70"/>
  <c r="J4" i="115"/>
  <c r="J4" i="109"/>
  <c r="M2" i="107"/>
  <c r="K4" i="125"/>
  <c r="W32" i="70"/>
  <c r="L2" i="34"/>
  <c r="J4" i="61"/>
  <c r="L3" i="34"/>
  <c r="O3" i="123"/>
  <c r="M7" i="70"/>
  <c r="K5" i="11"/>
  <c r="K4" i="11"/>
  <c r="M3" i="67"/>
  <c r="L3" i="11"/>
  <c r="M1" i="34"/>
  <c r="R3" i="81"/>
  <c r="N2" i="69"/>
  <c r="M1" i="65"/>
  <c r="G6" i="119"/>
  <c r="H6" i="119"/>
  <c r="O14" i="65"/>
  <c r="N24" i="65"/>
  <c r="N25" i="65"/>
  <c r="N23" i="65"/>
  <c r="D7" i="118"/>
  <c r="T32" i="69"/>
  <c r="T18" i="69"/>
  <c r="S56" i="70"/>
  <c r="S58" i="70"/>
  <c r="AJ59" i="34"/>
  <c r="AA39" i="69"/>
  <c r="AB39" i="69"/>
  <c r="W35" i="70"/>
  <c r="AI36" i="115"/>
  <c r="AE32" i="115"/>
  <c r="AJ37" i="115"/>
  <c r="AD31" i="115"/>
  <c r="AF33" i="115"/>
  <c r="AG34" i="115"/>
  <c r="AA28" i="115"/>
  <c r="AC30" i="115"/>
  <c r="AB29" i="115"/>
  <c r="AK38" i="115"/>
  <c r="AH35" i="115"/>
  <c r="M63" i="115"/>
  <c r="N10" i="65"/>
  <c r="N11" i="65"/>
  <c r="K68" i="109"/>
  <c r="N3" i="65"/>
  <c r="N5" i="65"/>
  <c r="AO11" i="69"/>
  <c r="AM14" i="70"/>
  <c r="BK17" i="69"/>
  <c r="BJ18" i="69"/>
  <c r="BK20" i="69"/>
  <c r="BJ22" i="69"/>
  <c r="AU22" i="69"/>
  <c r="Q10" i="70"/>
  <c r="K4" i="109"/>
  <c r="K4" i="115"/>
  <c r="N2" i="107"/>
  <c r="L4" i="125"/>
  <c r="AH42" i="69"/>
  <c r="AF35" i="70"/>
  <c r="AH43" i="69"/>
  <c r="AF34" i="70"/>
  <c r="S31" i="70"/>
  <c r="V25" i="70"/>
  <c r="H37" i="116"/>
  <c r="Y32" i="70"/>
  <c r="P3" i="123"/>
  <c r="N3" i="67"/>
  <c r="M3" i="11"/>
  <c r="L4" i="11"/>
  <c r="N7" i="70"/>
  <c r="N1" i="65"/>
  <c r="N1" i="34"/>
  <c r="S3" i="81"/>
  <c r="O2" i="69"/>
  <c r="L5" i="11"/>
  <c r="M2" i="34"/>
  <c r="K4" i="61"/>
  <c r="M3" i="34"/>
  <c r="E7" i="118"/>
  <c r="F7" i="118"/>
  <c r="P14" i="65"/>
  <c r="O24" i="65"/>
  <c r="O25" i="65"/>
  <c r="O23" i="65"/>
  <c r="U18" i="69"/>
  <c r="I6" i="119"/>
  <c r="J6" i="119"/>
  <c r="L6" i="119"/>
  <c r="AA22" i="69"/>
  <c r="K9" i="109"/>
  <c r="AH34" i="115"/>
  <c r="AE31" i="115"/>
  <c r="AK37" i="115"/>
  <c r="AG33" i="115"/>
  <c r="AD30" i="115"/>
  <c r="AI35" i="115"/>
  <c r="AJ36" i="115"/>
  <c r="AF32" i="115"/>
  <c r="N63" i="115"/>
  <c r="N15" i="61"/>
  <c r="AP11" i="69"/>
  <c r="AN14" i="70"/>
  <c r="BL20" i="69"/>
  <c r="BK22" i="69"/>
  <c r="BL17" i="69"/>
  <c r="BK18" i="69"/>
  <c r="AV22" i="69"/>
  <c r="G7" i="118"/>
  <c r="H7" i="118"/>
  <c r="I7" i="118"/>
  <c r="AI43" i="69"/>
  <c r="AG34" i="70"/>
  <c r="L4" i="115"/>
  <c r="L4" i="109"/>
  <c r="O2" i="107"/>
  <c r="M4" i="125"/>
  <c r="AI42" i="69"/>
  <c r="AG35" i="70"/>
  <c r="W25" i="70"/>
  <c r="N3" i="34"/>
  <c r="N2" i="34"/>
  <c r="L4" i="61"/>
  <c r="Q3" i="123"/>
  <c r="O1" i="34"/>
  <c r="O3" i="67"/>
  <c r="M4" i="11"/>
  <c r="N3" i="11"/>
  <c r="O7" i="70"/>
  <c r="M5" i="11"/>
  <c r="T3" i="81"/>
  <c r="P2" i="69"/>
  <c r="O1" i="65"/>
  <c r="P24" i="65"/>
  <c r="P25" i="65"/>
  <c r="P23" i="65"/>
  <c r="Q14" i="65"/>
  <c r="K7" i="118"/>
  <c r="S38" i="70"/>
  <c r="D7" i="119"/>
  <c r="AC39" i="69"/>
  <c r="L9" i="109"/>
  <c r="AK36" i="115"/>
  <c r="AJ35" i="115"/>
  <c r="AG32" i="115"/>
  <c r="AE30" i="115"/>
  <c r="AC28" i="115"/>
  <c r="AD29" i="115"/>
  <c r="AB27" i="115"/>
  <c r="AI34" i="115"/>
  <c r="AH33" i="115"/>
  <c r="AF31" i="115"/>
  <c r="P29" i="34"/>
  <c r="O15" i="61"/>
  <c r="P15" i="61"/>
  <c r="AQ11" i="69"/>
  <c r="AO14" i="70"/>
  <c r="BM17" i="69"/>
  <c r="BL18" i="69"/>
  <c r="BM20" i="69"/>
  <c r="BL22" i="69"/>
  <c r="Z32" i="70"/>
  <c r="AA32" i="70"/>
  <c r="AW22" i="69"/>
  <c r="Y25" i="70"/>
  <c r="S10" i="70"/>
  <c r="AJ42" i="69"/>
  <c r="AH35" i="70"/>
  <c r="M4" i="109"/>
  <c r="M4" i="115"/>
  <c r="P2" i="107"/>
  <c r="N4" i="125"/>
  <c r="AJ43" i="69"/>
  <c r="AH34" i="70"/>
  <c r="W10" i="70"/>
  <c r="M4" i="61"/>
  <c r="O3" i="34"/>
  <c r="O2" i="34"/>
  <c r="R3" i="123"/>
  <c r="P1" i="34"/>
  <c r="P3" i="67"/>
  <c r="U3" i="81"/>
  <c r="Q2" i="69"/>
  <c r="P7" i="70"/>
  <c r="N5" i="11"/>
  <c r="O3" i="11"/>
  <c r="P1" i="65"/>
  <c r="N4" i="11"/>
  <c r="W18" i="69"/>
  <c r="E7" i="119"/>
  <c r="F7" i="119"/>
  <c r="K7" i="119"/>
  <c r="Q23" i="65"/>
  <c r="Q24" i="65"/>
  <c r="Q25" i="65"/>
  <c r="R14" i="65"/>
  <c r="J7" i="118"/>
  <c r="L7" i="118"/>
  <c r="AC22" i="69"/>
  <c r="AD39" i="69"/>
  <c r="M9" i="109"/>
  <c r="Q15" i="61"/>
  <c r="AR11" i="69"/>
  <c r="AP14" i="70"/>
  <c r="BN20" i="69"/>
  <c r="BM22" i="69"/>
  <c r="BN17" i="69"/>
  <c r="BM18" i="69"/>
  <c r="AX22" i="69"/>
  <c r="T10" i="70"/>
  <c r="Y18" i="69"/>
  <c r="AK43" i="69"/>
  <c r="AI34" i="70"/>
  <c r="N4" i="109"/>
  <c r="N4" i="115"/>
  <c r="Q2" i="107"/>
  <c r="O4" i="125"/>
  <c r="AK42" i="69"/>
  <c r="AI35" i="70"/>
  <c r="G7" i="119"/>
  <c r="H7" i="119"/>
  <c r="AB32" i="70"/>
  <c r="S3" i="123"/>
  <c r="Q7" i="70"/>
  <c r="V3" i="81"/>
  <c r="R2" i="69"/>
  <c r="Q1" i="34"/>
  <c r="Q1" i="65"/>
  <c r="P3" i="11"/>
  <c r="Q3" i="67"/>
  <c r="O5" i="11"/>
  <c r="O4" i="11"/>
  <c r="P3" i="34"/>
  <c r="P2" i="34"/>
  <c r="N4" i="61"/>
  <c r="T56" i="70"/>
  <c r="T58" i="70"/>
  <c r="AD56" i="70"/>
  <c r="R24" i="65"/>
  <c r="R25" i="65"/>
  <c r="S14" i="65"/>
  <c r="R23" i="65"/>
  <c r="AN59" i="34"/>
  <c r="D8" i="118"/>
  <c r="U32" i="69"/>
  <c r="X18" i="69"/>
  <c r="AD22" i="69"/>
  <c r="AE39" i="69"/>
  <c r="N9" i="109"/>
  <c r="AS11" i="69"/>
  <c r="AQ14" i="70"/>
  <c r="AD58" i="70"/>
  <c r="BO17" i="69"/>
  <c r="BN18" i="69"/>
  <c r="BO20" i="69"/>
  <c r="BN22" i="69"/>
  <c r="AY22" i="69"/>
  <c r="U10" i="70"/>
  <c r="O4" i="115"/>
  <c r="R2" i="107"/>
  <c r="P4" i="125"/>
  <c r="O4" i="109"/>
  <c r="I7" i="119"/>
  <c r="J7" i="119"/>
  <c r="L7" i="119"/>
  <c r="D8" i="119"/>
  <c r="AL42" i="69"/>
  <c r="AJ35" i="70"/>
  <c r="AL43" i="69"/>
  <c r="AJ34" i="70"/>
  <c r="T31" i="70"/>
  <c r="AC32" i="70"/>
  <c r="T3" i="123"/>
  <c r="Q3" i="11"/>
  <c r="R3" i="67"/>
  <c r="P4" i="11"/>
  <c r="R1" i="34"/>
  <c r="W3" i="81"/>
  <c r="S2" i="69"/>
  <c r="R1" i="65"/>
  <c r="P5" i="11"/>
  <c r="R7" i="70"/>
  <c r="Q2" i="34"/>
  <c r="O4" i="61"/>
  <c r="Q3" i="34"/>
  <c r="AE22" i="69"/>
  <c r="AF39" i="69"/>
  <c r="R15" i="61"/>
  <c r="AT11" i="69"/>
  <c r="AR14" i="70"/>
  <c r="BP20" i="69"/>
  <c r="BO22" i="69"/>
  <c r="BP17" i="69"/>
  <c r="BO18" i="69"/>
  <c r="AZ22" i="69"/>
  <c r="BA22" i="69"/>
  <c r="V10" i="70"/>
  <c r="AM43" i="69"/>
  <c r="AK34" i="70"/>
  <c r="AM42" i="69"/>
  <c r="AK35" i="70"/>
  <c r="P4" i="109"/>
  <c r="P4" i="115"/>
  <c r="S2" i="107"/>
  <c r="Q4" i="125"/>
  <c r="AE35" i="69"/>
  <c r="AD32" i="70"/>
  <c r="U3" i="123"/>
  <c r="Q4" i="11"/>
  <c r="X3" i="81"/>
  <c r="T2" i="69"/>
  <c r="S1" i="65"/>
  <c r="R3" i="11"/>
  <c r="S7" i="70"/>
  <c r="Q5" i="11"/>
  <c r="S1" i="34"/>
  <c r="S3" i="67"/>
  <c r="R2" i="34"/>
  <c r="P4" i="61"/>
  <c r="R3" i="34"/>
  <c r="E8" i="118"/>
  <c r="F8" i="118"/>
  <c r="K8" i="118"/>
  <c r="T14" i="65"/>
  <c r="S24" i="65"/>
  <c r="S25" i="65"/>
  <c r="S23" i="65"/>
  <c r="E8" i="119"/>
  <c r="F8" i="119"/>
  <c r="K8" i="119"/>
  <c r="T38" i="70"/>
  <c r="AF22" i="69"/>
  <c r="P14" i="115"/>
  <c r="Q15" i="115"/>
  <c r="R16" i="115"/>
  <c r="S17" i="115"/>
  <c r="T18" i="115"/>
  <c r="U19" i="115"/>
  <c r="V20" i="115"/>
  <c r="W21" i="115"/>
  <c r="X22" i="115"/>
  <c r="Y23" i="115"/>
  <c r="Z24" i="115"/>
  <c r="AA25" i="115"/>
  <c r="AB26" i="115"/>
  <c r="AG39" i="69"/>
  <c r="AU11" i="69"/>
  <c r="AS14" i="70"/>
  <c r="BQ17" i="69"/>
  <c r="BP18" i="69"/>
  <c r="BQ20" i="69"/>
  <c r="BP22" i="69"/>
  <c r="O14" i="115"/>
  <c r="P15" i="115"/>
  <c r="Q16" i="115"/>
  <c r="R17" i="115"/>
  <c r="S18" i="115"/>
  <c r="T19" i="115"/>
  <c r="U20" i="115"/>
  <c r="V21" i="115"/>
  <c r="W22" i="115"/>
  <c r="X23" i="115"/>
  <c r="Y24" i="115"/>
  <c r="Z25" i="115"/>
  <c r="AA26" i="115"/>
  <c r="AR42" i="115"/>
  <c r="AU44" i="115"/>
  <c r="AP39" i="115"/>
  <c r="AM36" i="115"/>
  <c r="AW46" i="115"/>
  <c r="AV45" i="115"/>
  <c r="AO38" i="115"/>
  <c r="AN37" i="115"/>
  <c r="AT43" i="115"/>
  <c r="AS42" i="115"/>
  <c r="AR41" i="115"/>
  <c r="AQ40" i="115"/>
  <c r="AL35" i="115"/>
  <c r="G8" i="118"/>
  <c r="H8" i="118"/>
  <c r="T2" i="107"/>
  <c r="R4" i="125"/>
  <c r="Q4" i="115"/>
  <c r="Q4" i="109"/>
  <c r="AN42" i="69"/>
  <c r="AL35" i="70"/>
  <c r="G8" i="119"/>
  <c r="H8" i="119"/>
  <c r="I8" i="119"/>
  <c r="J8" i="119"/>
  <c r="L8" i="119"/>
  <c r="D9" i="119"/>
  <c r="AN43" i="69"/>
  <c r="AL34" i="70"/>
  <c r="AD27" i="115"/>
  <c r="AG30" i="115"/>
  <c r="AF29" i="115"/>
  <c r="AK34" i="115"/>
  <c r="AH31" i="115"/>
  <c r="AJ33" i="115"/>
  <c r="AE28" i="115"/>
  <c r="AI32" i="115"/>
  <c r="I8" i="118"/>
  <c r="J8" i="118"/>
  <c r="L8" i="118"/>
  <c r="W32" i="69"/>
  <c r="AF35" i="69"/>
  <c r="AE32" i="70"/>
  <c r="V3" i="123"/>
  <c r="T1" i="34"/>
  <c r="R4" i="11"/>
  <c r="S3" i="11"/>
  <c r="T7" i="70"/>
  <c r="Y3" i="81"/>
  <c r="U2" i="69"/>
  <c r="T1" i="65"/>
  <c r="T3" i="67"/>
  <c r="R5" i="11"/>
  <c r="S2" i="34"/>
  <c r="Q4" i="61"/>
  <c r="S3" i="34"/>
  <c r="D9" i="118"/>
  <c r="V32" i="69"/>
  <c r="U14" i="65"/>
  <c r="T23" i="65"/>
  <c r="T24" i="65"/>
  <c r="T25" i="65"/>
  <c r="U56" i="70"/>
  <c r="U58" i="70"/>
  <c r="AG22" i="69"/>
  <c r="AH39" i="69"/>
  <c r="AV11" i="69"/>
  <c r="AT14" i="70"/>
  <c r="O63" i="115"/>
  <c r="O66" i="115"/>
  <c r="AC27" i="115"/>
  <c r="AS43" i="115"/>
  <c r="AM37" i="115"/>
  <c r="AI33" i="115"/>
  <c r="AH32" i="115"/>
  <c r="AP40" i="115"/>
  <c r="AV46" i="115"/>
  <c r="AW47" i="115"/>
  <c r="AG31" i="115"/>
  <c r="AL36" i="115"/>
  <c r="P63" i="115"/>
  <c r="P66" i="115"/>
  <c r="S7" i="67"/>
  <c r="S11" i="67"/>
  <c r="AD28" i="115"/>
  <c r="AJ34" i="115"/>
  <c r="AN38" i="115"/>
  <c r="AO39" i="115"/>
  <c r="AQ41" i="115"/>
  <c r="AE29" i="115"/>
  <c r="AF30" i="115"/>
  <c r="AK35" i="115"/>
  <c r="AU45" i="115"/>
  <c r="AT44" i="115"/>
  <c r="BR20" i="69"/>
  <c r="BQ22" i="69"/>
  <c r="BR17" i="69"/>
  <c r="BQ18" i="69"/>
  <c r="O69" i="115"/>
  <c r="R7" i="67"/>
  <c r="R11" i="67"/>
  <c r="X10" i="70"/>
  <c r="AO43" i="69"/>
  <c r="AM34" i="70"/>
  <c r="AO42" i="69"/>
  <c r="AM35" i="70"/>
  <c r="R4" i="109"/>
  <c r="R4" i="115"/>
  <c r="U2" i="107"/>
  <c r="S4" i="125"/>
  <c r="V31" i="70"/>
  <c r="U31" i="70"/>
  <c r="AG35" i="69"/>
  <c r="AF32" i="70"/>
  <c r="W3" i="123"/>
  <c r="U3" i="67"/>
  <c r="S4" i="11"/>
  <c r="U1" i="34"/>
  <c r="U7" i="70"/>
  <c r="Z3" i="81"/>
  <c r="V2" i="69"/>
  <c r="U1" i="65"/>
  <c r="T3" i="11"/>
  <c r="S5" i="11"/>
  <c r="T2" i="34"/>
  <c r="R4" i="61"/>
  <c r="T3" i="34"/>
  <c r="U24" i="65"/>
  <c r="U25" i="65"/>
  <c r="U23" i="65"/>
  <c r="V14" i="65"/>
  <c r="U38" i="70"/>
  <c r="F9" i="118"/>
  <c r="K9" i="118"/>
  <c r="E9" i="118"/>
  <c r="F9" i="119"/>
  <c r="K9" i="119"/>
  <c r="E9" i="119"/>
  <c r="AH22" i="69"/>
  <c r="O9" i="109"/>
  <c r="AI39" i="69"/>
  <c r="AW11" i="69"/>
  <c r="AU14" i="70"/>
  <c r="P69" i="115"/>
  <c r="BS17" i="69"/>
  <c r="BR18" i="69"/>
  <c r="BS20" i="69"/>
  <c r="BR22" i="69"/>
  <c r="AN34" i="70"/>
  <c r="AP43" i="69"/>
  <c r="AN35" i="70"/>
  <c r="AP42" i="69"/>
  <c r="G9" i="118"/>
  <c r="H9" i="118"/>
  <c r="S4" i="115"/>
  <c r="S4" i="109"/>
  <c r="V2" i="107"/>
  <c r="T4" i="125"/>
  <c r="V56" i="70"/>
  <c r="V58" i="70"/>
  <c r="AH35" i="69"/>
  <c r="AG32" i="70"/>
  <c r="U2" i="34"/>
  <c r="U3" i="34"/>
  <c r="S4" i="61"/>
  <c r="X3" i="123"/>
  <c r="V7" i="70"/>
  <c r="T4" i="11"/>
  <c r="T5" i="11"/>
  <c r="AA3" i="81"/>
  <c r="W2" i="69"/>
  <c r="U3" i="11"/>
  <c r="V3" i="67"/>
  <c r="V1" i="34"/>
  <c r="V1" i="65"/>
  <c r="G9" i="119"/>
  <c r="H9" i="119"/>
  <c r="I9" i="118"/>
  <c r="J9" i="118"/>
  <c r="L9" i="118"/>
  <c r="V23" i="65"/>
  <c r="W14" i="65"/>
  <c r="V24" i="65"/>
  <c r="V25" i="65"/>
  <c r="AR59" i="34"/>
  <c r="S68" i="69"/>
  <c r="AI22" i="69"/>
  <c r="S29" i="34"/>
  <c r="P9" i="109"/>
  <c r="AJ39" i="69"/>
  <c r="AX11" i="69"/>
  <c r="AV14" i="70"/>
  <c r="BT20" i="69"/>
  <c r="BS22" i="69"/>
  <c r="BT17" i="69"/>
  <c r="BS18" i="69"/>
  <c r="AQ42" i="69"/>
  <c r="AO35" i="70"/>
  <c r="AO34" i="70"/>
  <c r="AQ43" i="69"/>
  <c r="Y10" i="70"/>
  <c r="Z10" i="70"/>
  <c r="T4" i="109"/>
  <c r="W2" i="107"/>
  <c r="U4" i="125"/>
  <c r="T4" i="115"/>
  <c r="AI35" i="69"/>
  <c r="AH32" i="70"/>
  <c r="Y3" i="123"/>
  <c r="W1" i="65"/>
  <c r="U4" i="11"/>
  <c r="V3" i="11"/>
  <c r="AB3" i="81"/>
  <c r="X2" i="69"/>
  <c r="W7" i="70"/>
  <c r="W1" i="34"/>
  <c r="W3" i="67"/>
  <c r="U5" i="11"/>
  <c r="T4" i="61"/>
  <c r="V3" i="34"/>
  <c r="V2" i="34"/>
  <c r="I9" i="119"/>
  <c r="J9" i="119"/>
  <c r="L9" i="119"/>
  <c r="X14" i="65"/>
  <c r="W24" i="65"/>
  <c r="W25" i="65"/>
  <c r="W23" i="65"/>
  <c r="D10" i="118"/>
  <c r="AJ22" i="69"/>
  <c r="AK39" i="69"/>
  <c r="AY11" i="69"/>
  <c r="AW14" i="70"/>
  <c r="BU17" i="69"/>
  <c r="BT18" i="69"/>
  <c r="BU20" i="69"/>
  <c r="BT22" i="69"/>
  <c r="AC3" i="81"/>
  <c r="Y2" i="69"/>
  <c r="AR43" i="69"/>
  <c r="AP34" i="70"/>
  <c r="AR42" i="69"/>
  <c r="AP35" i="70"/>
  <c r="AA10" i="70"/>
  <c r="AB10" i="70"/>
  <c r="Z18" i="69"/>
  <c r="U4" i="109"/>
  <c r="U4" i="115"/>
  <c r="X2" i="107"/>
  <c r="V4" i="125"/>
  <c r="AJ35" i="69"/>
  <c r="AI32" i="70"/>
  <c r="U4" i="61"/>
  <c r="W3" i="34"/>
  <c r="W2" i="34"/>
  <c r="Z3" i="123"/>
  <c r="X1" i="65"/>
  <c r="X7" i="70"/>
  <c r="W3" i="11"/>
  <c r="X3" i="67"/>
  <c r="V4" i="11"/>
  <c r="X1" i="34"/>
  <c r="V5" i="11"/>
  <c r="E10" i="118"/>
  <c r="F10" i="118"/>
  <c r="AT59" i="34"/>
  <c r="D10" i="119"/>
  <c r="X24" i="65"/>
  <c r="X25" i="65"/>
  <c r="Y14" i="65"/>
  <c r="X23" i="65"/>
  <c r="AK22" i="69"/>
  <c r="AL39" i="69"/>
  <c r="AZ11" i="69"/>
  <c r="AX14" i="70"/>
  <c r="BV20" i="69"/>
  <c r="BU22" i="69"/>
  <c r="BV17" i="69"/>
  <c r="BU18" i="69"/>
  <c r="AD3" i="81"/>
  <c r="Z2" i="69"/>
  <c r="AS42" i="69"/>
  <c r="AQ35" i="70"/>
  <c r="AS43" i="69"/>
  <c r="AQ34" i="70"/>
  <c r="Y2" i="107"/>
  <c r="W4" i="125"/>
  <c r="V4" i="109"/>
  <c r="V4" i="115"/>
  <c r="G10" i="118"/>
  <c r="AK35" i="69"/>
  <c r="AJ32" i="70"/>
  <c r="AA3" i="123"/>
  <c r="X3" i="11"/>
  <c r="Y1" i="65"/>
  <c r="W5" i="11"/>
  <c r="Y7" i="70"/>
  <c r="Y3" i="67"/>
  <c r="Y1" i="34"/>
  <c r="W4" i="11"/>
  <c r="X2" i="34"/>
  <c r="V4" i="61"/>
  <c r="X3" i="34"/>
  <c r="V38" i="70"/>
  <c r="H10" i="118"/>
  <c r="I10" i="118"/>
  <c r="Y24" i="65"/>
  <c r="Y25" i="65"/>
  <c r="Z14" i="65"/>
  <c r="Y23" i="65"/>
  <c r="F10" i="119"/>
  <c r="K10" i="119"/>
  <c r="E10" i="119"/>
  <c r="K10" i="118"/>
  <c r="AL22" i="69"/>
  <c r="AM39" i="69"/>
  <c r="BA11" i="69"/>
  <c r="AY14" i="70"/>
  <c r="BW17" i="69"/>
  <c r="BV18" i="69"/>
  <c r="BW20" i="69"/>
  <c r="BV22" i="69"/>
  <c r="AT43" i="69"/>
  <c r="AR34" i="70"/>
  <c r="AT42" i="69"/>
  <c r="AR35" i="70"/>
  <c r="J10" i="118"/>
  <c r="L10" i="118"/>
  <c r="D11" i="118"/>
  <c r="W4" i="109"/>
  <c r="Z2" i="107"/>
  <c r="X4" i="125"/>
  <c r="W4" i="115"/>
  <c r="AL35" i="69"/>
  <c r="AK32" i="70"/>
  <c r="Y2" i="34"/>
  <c r="W4" i="61"/>
  <c r="Y3" i="34"/>
  <c r="AB3" i="123"/>
  <c r="X5" i="11"/>
  <c r="Y3" i="11"/>
  <c r="Z1" i="34"/>
  <c r="Z3" i="67"/>
  <c r="Z1" i="65"/>
  <c r="X4" i="11"/>
  <c r="AE3" i="81"/>
  <c r="AA2" i="69"/>
  <c r="Z7" i="70"/>
  <c r="W56" i="70"/>
  <c r="W58" i="70"/>
  <c r="G10" i="119"/>
  <c r="H10" i="119"/>
  <c r="Z24" i="65"/>
  <c r="Z25" i="65"/>
  <c r="Z23" i="65"/>
  <c r="AA14" i="65"/>
  <c r="AM22" i="69"/>
  <c r="AN39" i="69"/>
  <c r="BB11" i="69"/>
  <c r="AZ14" i="70"/>
  <c r="BX20" i="69"/>
  <c r="BW22" i="69"/>
  <c r="BX17" i="69"/>
  <c r="BW18" i="69"/>
  <c r="AU42" i="69"/>
  <c r="AS35" i="70"/>
  <c r="AU43" i="69"/>
  <c r="AS34" i="70"/>
  <c r="X32" i="69"/>
  <c r="AA2" i="107"/>
  <c r="Y4" i="125"/>
  <c r="X4" i="115"/>
  <c r="X4" i="109"/>
  <c r="W31" i="70"/>
  <c r="AM35" i="69"/>
  <c r="AL32" i="70"/>
  <c r="AC3" i="123"/>
  <c r="Z3" i="11"/>
  <c r="Y5" i="11"/>
  <c r="AA3" i="67"/>
  <c r="Y4" i="11"/>
  <c r="AA1" i="34"/>
  <c r="AA1" i="65"/>
  <c r="AF3" i="81"/>
  <c r="AB2" i="69"/>
  <c r="AA7" i="70"/>
  <c r="X4" i="61"/>
  <c r="Z3" i="34"/>
  <c r="Z2" i="34"/>
  <c r="S15" i="61"/>
  <c r="AB14" i="65"/>
  <c r="AA23" i="65"/>
  <c r="AA24" i="65"/>
  <c r="AA25" i="65"/>
  <c r="F11" i="118"/>
  <c r="E11" i="118"/>
  <c r="I10" i="119"/>
  <c r="J10" i="119"/>
  <c r="L10" i="119"/>
  <c r="AO22" i="69"/>
  <c r="AN22" i="69"/>
  <c r="AO39" i="69"/>
  <c r="AP39" i="69"/>
  <c r="AQ39" i="69"/>
  <c r="AR39" i="69"/>
  <c r="AS39" i="69"/>
  <c r="AT39" i="69"/>
  <c r="AU39" i="69"/>
  <c r="AV39" i="69"/>
  <c r="AW39" i="69"/>
  <c r="AX39" i="69"/>
  <c r="AY39" i="69"/>
  <c r="AZ39" i="69"/>
  <c r="BA39" i="69"/>
  <c r="BB39" i="69"/>
  <c r="BC11" i="69"/>
  <c r="BA14" i="70"/>
  <c r="BY17" i="69"/>
  <c r="BY18" i="69"/>
  <c r="BX18" i="69"/>
  <c r="BY20" i="69"/>
  <c r="BY22" i="69"/>
  <c r="BX22" i="69"/>
  <c r="BC39" i="69"/>
  <c r="G11" i="118"/>
  <c r="AV43" i="69"/>
  <c r="AT34" i="70"/>
  <c r="AV42" i="69"/>
  <c r="AT35" i="70"/>
  <c r="Y4" i="115"/>
  <c r="AB2" i="107"/>
  <c r="Z4" i="125"/>
  <c r="Y4" i="109"/>
  <c r="H11" i="118"/>
  <c r="I11" i="118"/>
  <c r="K11" i="118"/>
  <c r="AN35" i="69"/>
  <c r="AM32" i="70"/>
  <c r="AD3" i="123"/>
  <c r="AA3" i="11"/>
  <c r="AG3" i="81"/>
  <c r="AC2" i="69"/>
  <c r="AB1" i="65"/>
  <c r="AB7" i="70"/>
  <c r="AB1" i="34"/>
  <c r="Z5" i="11"/>
  <c r="AB3" i="67"/>
  <c r="Z4" i="11"/>
  <c r="T15" i="61"/>
  <c r="AA2" i="34"/>
  <c r="AA3" i="34"/>
  <c r="Y4" i="61"/>
  <c r="AJ60" i="34"/>
  <c r="AC14" i="65"/>
  <c r="AB23" i="65"/>
  <c r="AB24" i="65"/>
  <c r="AB25" i="65"/>
  <c r="W38" i="70"/>
  <c r="D11" i="119"/>
  <c r="BD11" i="69"/>
  <c r="BB14" i="70"/>
  <c r="BD39" i="69"/>
  <c r="J11" i="118"/>
  <c r="L11" i="118"/>
  <c r="AW42" i="69"/>
  <c r="AU35" i="70"/>
  <c r="AW43" i="69"/>
  <c r="AU34" i="70"/>
  <c r="AC2" i="107"/>
  <c r="AA4" i="125"/>
  <c r="Z4" i="109"/>
  <c r="Z4" i="115"/>
  <c r="AD32" i="69"/>
  <c r="AH32" i="69"/>
  <c r="AL32" i="69"/>
  <c r="Y32" i="69"/>
  <c r="X31" i="70"/>
  <c r="X38" i="70"/>
  <c r="AA32" i="69"/>
  <c r="AE32" i="69"/>
  <c r="AI32" i="69"/>
  <c r="AM32" i="69"/>
  <c r="AF32" i="69"/>
  <c r="AN32" i="69"/>
  <c r="AC32" i="69"/>
  <c r="AC31" i="70"/>
  <c r="AG32" i="69"/>
  <c r="AK32" i="69"/>
  <c r="AO32" i="69"/>
  <c r="AJ32" i="69"/>
  <c r="D12" i="118"/>
  <c r="AO35" i="69"/>
  <c r="V15" i="61"/>
  <c r="U15" i="61"/>
  <c r="AB2" i="34"/>
  <c r="Z4" i="61"/>
  <c r="AB3" i="34"/>
  <c r="AE3" i="123"/>
  <c r="AH3" i="81"/>
  <c r="AD2" i="69"/>
  <c r="AC3" i="67"/>
  <c r="AC7" i="70"/>
  <c r="AA4" i="11"/>
  <c r="AB3" i="11"/>
  <c r="AC1" i="65"/>
  <c r="AA5" i="11"/>
  <c r="AC1" i="34"/>
  <c r="F12" i="118"/>
  <c r="K12" i="118"/>
  <c r="E12" i="118"/>
  <c r="E11" i="119"/>
  <c r="F11" i="119"/>
  <c r="K11" i="119"/>
  <c r="X56" i="70"/>
  <c r="AC24" i="65"/>
  <c r="AC25" i="65"/>
  <c r="AC23" i="65"/>
  <c r="AD14" i="65"/>
  <c r="BE11" i="69"/>
  <c r="BC14" i="70"/>
  <c r="X76" i="34"/>
  <c r="X58" i="70"/>
  <c r="BE39" i="69"/>
  <c r="AB31" i="70"/>
  <c r="AJ31" i="70"/>
  <c r="AN32" i="70"/>
  <c r="AP35" i="69"/>
  <c r="AE31" i="70"/>
  <c r="Z32" i="69"/>
  <c r="Z31" i="70"/>
  <c r="AQ32" i="69"/>
  <c r="AU32" i="69"/>
  <c r="AY32" i="69"/>
  <c r="AR32" i="69"/>
  <c r="AV32" i="69"/>
  <c r="AZ32" i="69"/>
  <c r="AP32" i="69"/>
  <c r="AT32" i="69"/>
  <c r="AX32" i="69"/>
  <c r="AS32" i="69"/>
  <c r="BA32" i="69"/>
  <c r="BA31" i="70"/>
  <c r="AW32" i="69"/>
  <c r="AX43" i="69"/>
  <c r="AV34" i="70"/>
  <c r="AX42" i="69"/>
  <c r="AV35" i="70"/>
  <c r="AK31" i="70"/>
  <c r="AA31" i="70"/>
  <c r="AH31" i="70"/>
  <c r="AN31" i="70"/>
  <c r="AI31" i="70"/>
  <c r="AL31" i="70"/>
  <c r="AF31" i="70"/>
  <c r="AD31" i="70"/>
  <c r="AG31" i="70"/>
  <c r="AM31" i="70"/>
  <c r="AA4" i="109"/>
  <c r="AD2" i="107"/>
  <c r="AB4" i="125"/>
  <c r="AA4" i="115"/>
  <c r="G12" i="118"/>
  <c r="AC2" i="34"/>
  <c r="AA4" i="61"/>
  <c r="AC3" i="34"/>
  <c r="AD1" i="65"/>
  <c r="AC3" i="11"/>
  <c r="AB4" i="11"/>
  <c r="AD7" i="70"/>
  <c r="AD3" i="67"/>
  <c r="AB5" i="11"/>
  <c r="AD1" i="34"/>
  <c r="AE2" i="69"/>
  <c r="H12" i="118"/>
  <c r="I12" i="118"/>
  <c r="J12" i="118"/>
  <c r="L12" i="118"/>
  <c r="AE14" i="65"/>
  <c r="AD23" i="65"/>
  <c r="AD24" i="65"/>
  <c r="AD25" i="65"/>
  <c r="G11" i="119"/>
  <c r="H11" i="119"/>
  <c r="BF11" i="69"/>
  <c r="BD14" i="70"/>
  <c r="BF39" i="69"/>
  <c r="Y31" i="70"/>
  <c r="AS31" i="70"/>
  <c r="AZ31" i="70"/>
  <c r="AU31" i="70"/>
  <c r="AX31" i="70"/>
  <c r="AP31" i="70"/>
  <c r="AW31" i="70"/>
  <c r="AV31" i="70"/>
  <c r="AQ31" i="70"/>
  <c r="AO31" i="70"/>
  <c r="AT31" i="70"/>
  <c r="AR31" i="70"/>
  <c r="AQ35" i="69"/>
  <c r="AO32" i="70"/>
  <c r="AY31" i="70"/>
  <c r="AY42" i="69"/>
  <c r="AW35" i="70"/>
  <c r="AY43" i="69"/>
  <c r="AW34" i="70"/>
  <c r="AE2" i="107"/>
  <c r="AC4" i="125"/>
  <c r="AB4" i="115"/>
  <c r="AB4" i="109"/>
  <c r="AB4" i="61"/>
  <c r="AD3" i="34"/>
  <c r="AD2" i="34"/>
  <c r="AG3" i="123"/>
  <c r="AC5" i="11"/>
  <c r="AE1" i="34"/>
  <c r="AC4" i="11"/>
  <c r="AD3" i="11"/>
  <c r="AE3" i="67"/>
  <c r="AE7" i="70"/>
  <c r="AJ3" i="81"/>
  <c r="AF2" i="69"/>
  <c r="AE1" i="65"/>
  <c r="W15" i="61"/>
  <c r="D13" i="118"/>
  <c r="I11" i="119"/>
  <c r="J11" i="119"/>
  <c r="L11" i="119"/>
  <c r="AF14" i="65"/>
  <c r="AE24" i="65"/>
  <c r="AE25" i="65"/>
  <c r="AE23" i="65"/>
  <c r="BG11" i="69"/>
  <c r="BE14" i="70"/>
  <c r="BG39" i="69"/>
  <c r="AR35" i="69"/>
  <c r="AP32" i="70"/>
  <c r="AZ43" i="69"/>
  <c r="AX34" i="70"/>
  <c r="AZ42" i="69"/>
  <c r="AX35" i="70"/>
  <c r="AC4" i="115"/>
  <c r="AC4" i="109"/>
  <c r="AF2" i="107"/>
  <c r="AD4" i="125"/>
  <c r="AH3" i="123"/>
  <c r="AF1" i="34"/>
  <c r="AF1" i="65"/>
  <c r="AD4" i="11"/>
  <c r="AD5" i="11"/>
  <c r="AE3" i="11"/>
  <c r="AK3" i="81"/>
  <c r="AG2" i="69"/>
  <c r="AF7" i="70"/>
  <c r="AF3" i="67"/>
  <c r="AE3" i="34"/>
  <c r="AE2" i="34"/>
  <c r="AC4" i="61"/>
  <c r="X15" i="61"/>
  <c r="D12" i="119"/>
  <c r="AF24" i="65"/>
  <c r="AF25" i="65"/>
  <c r="AF23" i="65"/>
  <c r="AG14" i="65"/>
  <c r="F13" i="118"/>
  <c r="K13" i="118"/>
  <c r="E13" i="118"/>
  <c r="BB59" i="34"/>
  <c r="BH11" i="69"/>
  <c r="BF14" i="70"/>
  <c r="BH39" i="69"/>
  <c r="AS35" i="69"/>
  <c r="AQ32" i="70"/>
  <c r="BA42" i="69"/>
  <c r="AY35" i="70"/>
  <c r="BA43" i="69"/>
  <c r="AY34" i="70"/>
  <c r="G13" i="118"/>
  <c r="H13" i="118"/>
  <c r="AG2" i="107"/>
  <c r="AD4" i="115"/>
  <c r="AD4" i="109"/>
  <c r="Z15" i="61"/>
  <c r="AI3" i="123"/>
  <c r="AG3" i="67"/>
  <c r="AG1" i="65"/>
  <c r="AE5" i="11"/>
  <c r="AG1" i="34"/>
  <c r="AF3" i="11"/>
  <c r="AL3" i="81"/>
  <c r="AH2" i="69"/>
  <c r="AE4" i="11"/>
  <c r="AG7" i="70"/>
  <c r="Y15" i="61"/>
  <c r="AF2" i="34"/>
  <c r="AF3" i="34"/>
  <c r="AD4" i="61"/>
  <c r="AG23" i="65"/>
  <c r="AG24" i="65"/>
  <c r="AG25" i="65"/>
  <c r="AH14" i="65"/>
  <c r="F12" i="119"/>
  <c r="K12" i="119"/>
  <c r="Y56" i="70"/>
  <c r="E12" i="119"/>
  <c r="I13" i="118"/>
  <c r="J13" i="118"/>
  <c r="L13" i="118"/>
  <c r="BI11" i="69"/>
  <c r="BG14" i="70"/>
  <c r="Y76" i="34"/>
  <c r="Y58" i="70"/>
  <c r="AZ35" i="70"/>
  <c r="BB42" i="69"/>
  <c r="BA35" i="70"/>
  <c r="AZ34" i="70"/>
  <c r="BB43" i="69"/>
  <c r="BI39" i="69"/>
  <c r="AE4" i="115"/>
  <c r="AE4" i="125"/>
  <c r="G12" i="119"/>
  <c r="AT35" i="69"/>
  <c r="AR32" i="70"/>
  <c r="AH2" i="107"/>
  <c r="AE4" i="109"/>
  <c r="AG2" i="34"/>
  <c r="AG3" i="34"/>
  <c r="AE4" i="61"/>
  <c r="AJ3" i="123"/>
  <c r="AG3" i="11"/>
  <c r="AH1" i="65"/>
  <c r="AH1" i="34"/>
  <c r="AH3" i="67"/>
  <c r="AF5" i="11"/>
  <c r="AF4" i="11"/>
  <c r="AM3" i="81"/>
  <c r="AI2" i="69"/>
  <c r="AH7" i="70"/>
  <c r="D14" i="118"/>
  <c r="H12" i="119"/>
  <c r="I12" i="119"/>
  <c r="J12" i="119"/>
  <c r="L12" i="119"/>
  <c r="AH24" i="65"/>
  <c r="AH25" i="65"/>
  <c r="AI14" i="65"/>
  <c r="AH23" i="65"/>
  <c r="BJ11" i="69"/>
  <c r="BH14" i="70"/>
  <c r="BC43" i="69"/>
  <c r="BA34" i="70"/>
  <c r="BA38" i="70"/>
  <c r="BJ39" i="69"/>
  <c r="BC42" i="69"/>
  <c r="BB35" i="70"/>
  <c r="AF4" i="115"/>
  <c r="AF4" i="125"/>
  <c r="AU35" i="69"/>
  <c r="AS32" i="70"/>
  <c r="Z31" i="69"/>
  <c r="Y30" i="70"/>
  <c r="Y38" i="70"/>
  <c r="AF4" i="109"/>
  <c r="AI2" i="107"/>
  <c r="AB15" i="61"/>
  <c r="AH3" i="34"/>
  <c r="AH2" i="34"/>
  <c r="AF4" i="61"/>
  <c r="AK3" i="123"/>
  <c r="AH3" i="11"/>
  <c r="AN3" i="81"/>
  <c r="AJ2" i="69"/>
  <c r="AI1" i="65"/>
  <c r="AI7" i="70"/>
  <c r="AI1" i="34"/>
  <c r="AI3" i="67"/>
  <c r="AG5" i="11"/>
  <c r="AG4" i="11"/>
  <c r="AA15" i="61"/>
  <c r="D13" i="119"/>
  <c r="E14" i="118"/>
  <c r="F14" i="118"/>
  <c r="K14" i="118"/>
  <c r="AJ14" i="65"/>
  <c r="AI24" i="65"/>
  <c r="AI25" i="65"/>
  <c r="AI23" i="65"/>
  <c r="BK11" i="69"/>
  <c r="BI14" i="70"/>
  <c r="BD43" i="69"/>
  <c r="BB34" i="70"/>
  <c r="BB38" i="70"/>
  <c r="BD42" i="69"/>
  <c r="BC35" i="70"/>
  <c r="BK39" i="69"/>
  <c r="AG4" i="115"/>
  <c r="AG4" i="125"/>
  <c r="AV35" i="69"/>
  <c r="AT32" i="70"/>
  <c r="G14" i="118"/>
  <c r="H14" i="118"/>
  <c r="AJ2" i="107"/>
  <c r="AG4" i="109"/>
  <c r="I14" i="118"/>
  <c r="J14" i="118"/>
  <c r="L14" i="118"/>
  <c r="D15" i="118"/>
  <c r="AG4" i="61"/>
  <c r="AI2" i="34"/>
  <c r="AI3" i="34"/>
  <c r="AL3" i="123"/>
  <c r="AJ1" i="65"/>
  <c r="AH4" i="11"/>
  <c r="AI3" i="11"/>
  <c r="AJ3" i="67"/>
  <c r="AJ7" i="70"/>
  <c r="AJ1" i="34"/>
  <c r="AO3" i="81"/>
  <c r="AK2" i="69"/>
  <c r="AH5" i="11"/>
  <c r="AK14" i="65"/>
  <c r="AJ23" i="65"/>
  <c r="AJ24" i="65"/>
  <c r="AJ25" i="65"/>
  <c r="F13" i="119"/>
  <c r="K13" i="119"/>
  <c r="Z56" i="70"/>
  <c r="Z58" i="70"/>
  <c r="E13" i="119"/>
  <c r="AR60" i="34"/>
  <c r="BL11" i="69"/>
  <c r="BJ14" i="70"/>
  <c r="BE43" i="69"/>
  <c r="BC34" i="70"/>
  <c r="BC38" i="70"/>
  <c r="BE42" i="69"/>
  <c r="BD35" i="70"/>
  <c r="BL39" i="69"/>
  <c r="AH4" i="115"/>
  <c r="AH4" i="125"/>
  <c r="AW35" i="69"/>
  <c r="AU32" i="70"/>
  <c r="AK2" i="107"/>
  <c r="AI4" i="125"/>
  <c r="AH4" i="109"/>
  <c r="AD15" i="61"/>
  <c r="AH4" i="61"/>
  <c r="AJ2" i="34"/>
  <c r="AJ3" i="34"/>
  <c r="AM3" i="123"/>
  <c r="AK1" i="65"/>
  <c r="AK3" i="67"/>
  <c r="AK1" i="34"/>
  <c r="AI5" i="11"/>
  <c r="AJ3" i="11"/>
  <c r="AI4" i="11"/>
  <c r="AK7" i="70"/>
  <c r="AP3" i="81"/>
  <c r="AL2" i="69"/>
  <c r="AC15" i="61"/>
  <c r="Q63" i="115"/>
  <c r="Q66" i="115"/>
  <c r="T7" i="67"/>
  <c r="F15" i="118"/>
  <c r="E15" i="118"/>
  <c r="G13" i="119"/>
  <c r="H13" i="119"/>
  <c r="AK24" i="65"/>
  <c r="AK25" i="65"/>
  <c r="AK23" i="65"/>
  <c r="AL14" i="65"/>
  <c r="BM11" i="69"/>
  <c r="BK14" i="70"/>
  <c r="BF43" i="69"/>
  <c r="BD34" i="70"/>
  <c r="BD38" i="70"/>
  <c r="BM39" i="69"/>
  <c r="BF42" i="69"/>
  <c r="BE35" i="70"/>
  <c r="AI4" i="115"/>
  <c r="AI4" i="109"/>
  <c r="AX35" i="69"/>
  <c r="AV32" i="70"/>
  <c r="G15" i="118"/>
  <c r="H15" i="118"/>
  <c r="AL2" i="107"/>
  <c r="AJ4" i="125"/>
  <c r="AK3" i="34"/>
  <c r="AK2" i="34"/>
  <c r="AI4" i="61"/>
  <c r="AN3" i="123"/>
  <c r="AL7" i="70"/>
  <c r="AJ5" i="11"/>
  <c r="AJ4" i="11"/>
  <c r="AL1" i="65"/>
  <c r="AL3" i="67"/>
  <c r="AK3" i="11"/>
  <c r="AQ3" i="81"/>
  <c r="AM2" i="69"/>
  <c r="AL1" i="34"/>
  <c r="R15" i="115"/>
  <c r="S16" i="115"/>
  <c r="T17" i="115"/>
  <c r="U18" i="115"/>
  <c r="V19" i="115"/>
  <c r="W20" i="115"/>
  <c r="X21" i="115"/>
  <c r="Y22" i="115"/>
  <c r="Q69" i="115"/>
  <c r="T11" i="67"/>
  <c r="T27" i="34"/>
  <c r="I15" i="118"/>
  <c r="K15" i="118"/>
  <c r="AT60" i="34"/>
  <c r="AL23" i="65"/>
  <c r="AM14" i="65"/>
  <c r="AL24" i="65"/>
  <c r="AL25" i="65"/>
  <c r="I13" i="119"/>
  <c r="J13" i="119"/>
  <c r="L13" i="119"/>
  <c r="AA31" i="69"/>
  <c r="Z30" i="70"/>
  <c r="Z38" i="70"/>
  <c r="BN11" i="69"/>
  <c r="BL14" i="70"/>
  <c r="BG43" i="69"/>
  <c r="BE34" i="70"/>
  <c r="BE38" i="70"/>
  <c r="BN39" i="69"/>
  <c r="BG42" i="69"/>
  <c r="BF35" i="70"/>
  <c r="AY35" i="69"/>
  <c r="AW32" i="70"/>
  <c r="AJ4" i="115"/>
  <c r="AJ4" i="109"/>
  <c r="AM2" i="107"/>
  <c r="AK4" i="125"/>
  <c r="AF15" i="61"/>
  <c r="AE15" i="61"/>
  <c r="AL3" i="34"/>
  <c r="AL2" i="34"/>
  <c r="AJ4" i="61"/>
  <c r="AO3" i="123"/>
  <c r="AM3" i="67"/>
  <c r="AK5" i="11"/>
  <c r="AM7" i="70"/>
  <c r="AK4" i="11"/>
  <c r="AR3" i="81"/>
  <c r="AN2" i="69"/>
  <c r="AL3" i="11"/>
  <c r="AM1" i="65"/>
  <c r="AM1" i="34"/>
  <c r="Q9" i="109"/>
  <c r="Z23" i="115"/>
  <c r="D14" i="119"/>
  <c r="J15" i="118"/>
  <c r="L15" i="118"/>
  <c r="AN14" i="65"/>
  <c r="AO14" i="65"/>
  <c r="AM24" i="65"/>
  <c r="AM25" i="65"/>
  <c r="AM23" i="65"/>
  <c r="BO11" i="69"/>
  <c r="BM14" i="70"/>
  <c r="BH43" i="69"/>
  <c r="BF34" i="70"/>
  <c r="BF38" i="70"/>
  <c r="BH42" i="69"/>
  <c r="BG35" i="70"/>
  <c r="BO39" i="69"/>
  <c r="AP14" i="65"/>
  <c r="AO24" i="65"/>
  <c r="AO25" i="65"/>
  <c r="AO23" i="65"/>
  <c r="AK4" i="109"/>
  <c r="AK4" i="115"/>
  <c r="AN2" i="107"/>
  <c r="AL4" i="125"/>
  <c r="AZ35" i="69"/>
  <c r="AX32" i="70"/>
  <c r="AM2" i="34"/>
  <c r="AK4" i="61"/>
  <c r="AM3" i="34"/>
  <c r="AP3" i="123"/>
  <c r="AS3" i="81"/>
  <c r="AO2" i="69"/>
  <c r="AL4" i="11"/>
  <c r="AN1" i="34"/>
  <c r="AN1" i="65"/>
  <c r="AL5" i="11"/>
  <c r="AN7" i="70"/>
  <c r="AM3" i="11"/>
  <c r="AN3" i="67"/>
  <c r="U68" i="69"/>
  <c r="AA24" i="115"/>
  <c r="AN24" i="65"/>
  <c r="AN25" i="65"/>
  <c r="AN23" i="65"/>
  <c r="D16" i="118"/>
  <c r="E14" i="119"/>
  <c r="F14" i="119"/>
  <c r="K14" i="119"/>
  <c r="AA56" i="70"/>
  <c r="AA58" i="70"/>
  <c r="AV60" i="34"/>
  <c r="BP11" i="69"/>
  <c r="BN14" i="70"/>
  <c r="BI43" i="69"/>
  <c r="BG34" i="70"/>
  <c r="BG38" i="70"/>
  <c r="BP39" i="69"/>
  <c r="BI42" i="69"/>
  <c r="BH35" i="70"/>
  <c r="BA35" i="69"/>
  <c r="AY32" i="70"/>
  <c r="AL4" i="109"/>
  <c r="AL4" i="115"/>
  <c r="AO2" i="107"/>
  <c r="AM4" i="125"/>
  <c r="AO1" i="65"/>
  <c r="AO3" i="67"/>
  <c r="AO7" i="70"/>
  <c r="AQ14" i="65"/>
  <c r="AP23" i="65"/>
  <c r="AP24" i="65"/>
  <c r="AP25" i="65"/>
  <c r="G14" i="119"/>
  <c r="H14" i="119"/>
  <c r="AG15" i="61"/>
  <c r="AH15" i="61"/>
  <c r="AQ3" i="123"/>
  <c r="AN3" i="11"/>
  <c r="AT3" i="81"/>
  <c r="AP2" i="69"/>
  <c r="AM4" i="11"/>
  <c r="AO1" i="34"/>
  <c r="AM5" i="11"/>
  <c r="AN3" i="34"/>
  <c r="AN2" i="34"/>
  <c r="AL4" i="61"/>
  <c r="AB25" i="115"/>
  <c r="AC26" i="115"/>
  <c r="F16" i="118"/>
  <c r="E16" i="118"/>
  <c r="BQ11" i="69"/>
  <c r="BO14" i="70"/>
  <c r="BJ43" i="69"/>
  <c r="BH34" i="70"/>
  <c r="BH38" i="70"/>
  <c r="BJ42" i="69"/>
  <c r="BI35" i="70"/>
  <c r="AZ32" i="70"/>
  <c r="BB35" i="69"/>
  <c r="BQ39" i="69"/>
  <c r="AP1" i="65"/>
  <c r="AP3" i="67"/>
  <c r="AP7" i="70"/>
  <c r="AQ23" i="65"/>
  <c r="AR14" i="65"/>
  <c r="AQ24" i="65"/>
  <c r="AQ25" i="65"/>
  <c r="AP2" i="107"/>
  <c r="AN4" i="125"/>
  <c r="AM4" i="115"/>
  <c r="AM4" i="109"/>
  <c r="I14" i="119"/>
  <c r="J14" i="119"/>
  <c r="L14" i="119"/>
  <c r="AA30" i="70"/>
  <c r="AA38" i="70"/>
  <c r="G16" i="118"/>
  <c r="AI15" i="61"/>
  <c r="AR3" i="123"/>
  <c r="AP1" i="34"/>
  <c r="AN4" i="11"/>
  <c r="AO3" i="11"/>
  <c r="AU3" i="81"/>
  <c r="AQ2" i="69"/>
  <c r="AN5" i="11"/>
  <c r="AO2" i="34"/>
  <c r="AM4" i="61"/>
  <c r="AO3" i="34"/>
  <c r="H16" i="118"/>
  <c r="I16" i="118"/>
  <c r="K16" i="118"/>
  <c r="AX60" i="34"/>
  <c r="D15" i="119"/>
  <c r="BR11" i="69"/>
  <c r="BP14" i="70"/>
  <c r="BC35" i="69"/>
  <c r="BA32" i="70"/>
  <c r="BK43" i="69"/>
  <c r="BI34" i="70"/>
  <c r="BI38" i="70"/>
  <c r="BR39" i="69"/>
  <c r="BK42" i="69"/>
  <c r="BJ35" i="70"/>
  <c r="AQ1" i="65"/>
  <c r="AQ3" i="67"/>
  <c r="AQ7" i="70"/>
  <c r="AN4" i="109"/>
  <c r="AN4" i="115"/>
  <c r="AQ2" i="107"/>
  <c r="AO4" i="125"/>
  <c r="J16" i="118"/>
  <c r="L16" i="118"/>
  <c r="AS14" i="65"/>
  <c r="AR23" i="65"/>
  <c r="AR24" i="65"/>
  <c r="AR25" i="65"/>
  <c r="AS3" i="123"/>
  <c r="AQ1" i="34"/>
  <c r="AV3" i="81"/>
  <c r="AR2" i="69"/>
  <c r="AP3" i="11"/>
  <c r="AO5" i="11"/>
  <c r="AO4" i="11"/>
  <c r="AP2" i="34"/>
  <c r="AN4" i="61"/>
  <c r="AP3" i="34"/>
  <c r="E15" i="119"/>
  <c r="F15" i="119"/>
  <c r="K15" i="119"/>
  <c r="AB56" i="70"/>
  <c r="AB58" i="70"/>
  <c r="D17" i="118"/>
  <c r="BS11" i="69"/>
  <c r="BQ14" i="70"/>
  <c r="BL43" i="69"/>
  <c r="BJ34" i="70"/>
  <c r="BJ38" i="70"/>
  <c r="BD35" i="69"/>
  <c r="BB32" i="70"/>
  <c r="BL42" i="69"/>
  <c r="BK35" i="70"/>
  <c r="BS39" i="69"/>
  <c r="AS23" i="65"/>
  <c r="AT14" i="65"/>
  <c r="AS24" i="65"/>
  <c r="AS25" i="65"/>
  <c r="AR2" i="107"/>
  <c r="AP4" i="125"/>
  <c r="AO4" i="115"/>
  <c r="AO4" i="109"/>
  <c r="AR1" i="65"/>
  <c r="AR3" i="67"/>
  <c r="AR7" i="70"/>
  <c r="AK15" i="61"/>
  <c r="AQ2" i="34"/>
  <c r="AO4" i="61"/>
  <c r="AQ3" i="34"/>
  <c r="AJ15" i="61"/>
  <c r="AT3" i="123"/>
  <c r="AR1" i="34"/>
  <c r="AP4" i="11"/>
  <c r="AQ3" i="11"/>
  <c r="AP5" i="11"/>
  <c r="AW3" i="81"/>
  <c r="AS2" i="69"/>
  <c r="G15" i="119"/>
  <c r="H15" i="119"/>
  <c r="E17" i="118"/>
  <c r="F17" i="118"/>
  <c r="K17" i="118"/>
  <c r="AZ60" i="34"/>
  <c r="BT11" i="69"/>
  <c r="BR14" i="70"/>
  <c r="BE35" i="69"/>
  <c r="BC32" i="70"/>
  <c r="BM43" i="69"/>
  <c r="BK34" i="70"/>
  <c r="BK38" i="70"/>
  <c r="BT39" i="69"/>
  <c r="BM42" i="69"/>
  <c r="BL35" i="70"/>
  <c r="AS2" i="107"/>
  <c r="AQ4" i="125"/>
  <c r="AP4" i="115"/>
  <c r="AP4" i="109"/>
  <c r="AT24" i="65"/>
  <c r="AT25" i="65"/>
  <c r="AT23" i="65"/>
  <c r="AU14" i="65"/>
  <c r="AS1" i="65"/>
  <c r="AS3" i="67"/>
  <c r="AS7" i="70"/>
  <c r="G17" i="118"/>
  <c r="I15" i="119"/>
  <c r="J15" i="119"/>
  <c r="L15" i="119"/>
  <c r="AU3" i="123"/>
  <c r="AR3" i="11"/>
  <c r="AQ5" i="11"/>
  <c r="AS1" i="34"/>
  <c r="AX3" i="81"/>
  <c r="AT2" i="69"/>
  <c r="AQ4" i="11"/>
  <c r="AR3" i="34"/>
  <c r="AP4" i="61"/>
  <c r="AR2" i="34"/>
  <c r="H17" i="118"/>
  <c r="I17" i="118"/>
  <c r="J17" i="118"/>
  <c r="L17" i="118"/>
  <c r="BU11" i="69"/>
  <c r="BS14" i="70"/>
  <c r="BN43" i="69"/>
  <c r="BL34" i="70"/>
  <c r="BL38" i="70"/>
  <c r="BF35" i="69"/>
  <c r="BD32" i="70"/>
  <c r="BN42" i="69"/>
  <c r="BM35" i="70"/>
  <c r="BU39" i="69"/>
  <c r="AT2" i="107"/>
  <c r="AR4" i="125"/>
  <c r="AQ4" i="115"/>
  <c r="AQ4" i="109"/>
  <c r="AT1" i="65"/>
  <c r="AT3" i="67"/>
  <c r="AT7" i="70"/>
  <c r="AU23" i="65"/>
  <c r="AU24" i="65"/>
  <c r="AU25" i="65"/>
  <c r="AV14" i="65"/>
  <c r="D16" i="119"/>
  <c r="AC31" i="69"/>
  <c r="AB30" i="70"/>
  <c r="AB38" i="70"/>
  <c r="AQ4" i="61"/>
  <c r="AS2" i="34"/>
  <c r="AS3" i="34"/>
  <c r="AL15" i="61"/>
  <c r="AM15" i="61"/>
  <c r="AV3" i="123"/>
  <c r="AT1" i="34"/>
  <c r="AR5" i="11"/>
  <c r="AS3" i="11"/>
  <c r="AY3" i="81"/>
  <c r="AU2" i="69"/>
  <c r="AR4" i="11"/>
  <c r="D18" i="118"/>
  <c r="F16" i="119"/>
  <c r="K16" i="119"/>
  <c r="AC56" i="70"/>
  <c r="AC58" i="70"/>
  <c r="E16" i="119"/>
  <c r="BV11" i="69"/>
  <c r="BT14" i="70"/>
  <c r="BG35" i="69"/>
  <c r="BE32" i="70"/>
  <c r="BO43" i="69"/>
  <c r="BM34" i="70"/>
  <c r="BM38" i="70"/>
  <c r="BV39" i="69"/>
  <c r="BO42" i="69"/>
  <c r="BN35" i="70"/>
  <c r="AW14" i="65"/>
  <c r="AV24" i="65"/>
  <c r="AV25" i="65"/>
  <c r="AV23" i="65"/>
  <c r="AU2" i="107"/>
  <c r="AS4" i="125"/>
  <c r="AR4" i="115"/>
  <c r="AR4" i="109"/>
  <c r="AU1" i="65"/>
  <c r="AU3" i="67"/>
  <c r="AU7" i="70"/>
  <c r="G16" i="119"/>
  <c r="AT2" i="34"/>
  <c r="AR4" i="61"/>
  <c r="AT3" i="34"/>
  <c r="AW3" i="123"/>
  <c r="AS4" i="11"/>
  <c r="AU1" i="34"/>
  <c r="AZ3" i="81"/>
  <c r="AV2" i="69"/>
  <c r="AS5" i="11"/>
  <c r="AT3" i="11"/>
  <c r="AN15" i="61"/>
  <c r="H16" i="119"/>
  <c r="I16" i="119"/>
  <c r="J16" i="119"/>
  <c r="L16" i="119"/>
  <c r="E18" i="118"/>
  <c r="F18" i="118"/>
  <c r="BW11" i="69"/>
  <c r="BU14" i="70"/>
  <c r="BP43" i="69"/>
  <c r="BN34" i="70"/>
  <c r="BN38" i="70"/>
  <c r="BH35" i="69"/>
  <c r="BF32" i="70"/>
  <c r="BP42" i="69"/>
  <c r="BO35" i="70"/>
  <c r="BW39" i="69"/>
  <c r="AV1" i="65"/>
  <c r="AV3" i="67"/>
  <c r="AV7" i="70"/>
  <c r="AC30" i="70"/>
  <c r="AC38" i="70"/>
  <c r="AO30" i="70"/>
  <c r="AO38" i="70"/>
  <c r="AW24" i="65"/>
  <c r="AW25" i="65"/>
  <c r="AW23" i="65"/>
  <c r="AX14" i="65"/>
  <c r="AV2" i="107"/>
  <c r="AT4" i="125"/>
  <c r="AS4" i="115"/>
  <c r="AS4" i="109"/>
  <c r="G18" i="118"/>
  <c r="H18" i="118"/>
  <c r="I18" i="118"/>
  <c r="AS4" i="61"/>
  <c r="AU3" i="34"/>
  <c r="AU2" i="34"/>
  <c r="AX3" i="123"/>
  <c r="AV1" i="34"/>
  <c r="BA3" i="81"/>
  <c r="AW2" i="69"/>
  <c r="AU3" i="11"/>
  <c r="AT4" i="11"/>
  <c r="AT5" i="11"/>
  <c r="AO15" i="61"/>
  <c r="K18" i="118"/>
  <c r="D17" i="119"/>
  <c r="BD60" i="34"/>
  <c r="BX11" i="69"/>
  <c r="BV14" i="70"/>
  <c r="BI35" i="69"/>
  <c r="BG32" i="70"/>
  <c r="BQ43" i="69"/>
  <c r="BO34" i="70"/>
  <c r="BO38" i="70"/>
  <c r="BX39" i="69"/>
  <c r="BQ42" i="69"/>
  <c r="BP35" i="70"/>
  <c r="AW1" i="65"/>
  <c r="AW3" i="67"/>
  <c r="AW7" i="70"/>
  <c r="AW2" i="107"/>
  <c r="AU4" i="125"/>
  <c r="AT4" i="109"/>
  <c r="AT4" i="115"/>
  <c r="AX23" i="65"/>
  <c r="AX24" i="65"/>
  <c r="AX25" i="65"/>
  <c r="AY14" i="65"/>
  <c r="J18" i="118"/>
  <c r="L18" i="118"/>
  <c r="AP15" i="61"/>
  <c r="AY3" i="123"/>
  <c r="AU5" i="11"/>
  <c r="AW1" i="34"/>
  <c r="BB3" i="81"/>
  <c r="AX2" i="69"/>
  <c r="AV3" i="11"/>
  <c r="AU4" i="11"/>
  <c r="AV2" i="34"/>
  <c r="AV3" i="34"/>
  <c r="AT4" i="61"/>
  <c r="F17" i="119"/>
  <c r="E17" i="119"/>
  <c r="D19" i="118"/>
  <c r="BY11" i="69"/>
  <c r="BR43" i="69"/>
  <c r="BP34" i="70"/>
  <c r="BP38" i="70"/>
  <c r="BJ35" i="69"/>
  <c r="BH32" i="70"/>
  <c r="BR42" i="69"/>
  <c r="BQ35" i="70"/>
  <c r="BY39" i="69"/>
  <c r="AY23" i="65"/>
  <c r="AZ14" i="65"/>
  <c r="AY24" i="65"/>
  <c r="AY25" i="65"/>
  <c r="AX2" i="107"/>
  <c r="AV4" i="125"/>
  <c r="AU4" i="115"/>
  <c r="AU4" i="109"/>
  <c r="AX1" i="65"/>
  <c r="AX3" i="67"/>
  <c r="AX7" i="70"/>
  <c r="G17" i="119"/>
  <c r="AZ3" i="123"/>
  <c r="AX1" i="34"/>
  <c r="AW3" i="11"/>
  <c r="AV5" i="11"/>
  <c r="AV4" i="11"/>
  <c r="BC3" i="81"/>
  <c r="AY2" i="69"/>
  <c r="AQ15" i="61"/>
  <c r="AU4" i="61"/>
  <c r="AW3" i="34"/>
  <c r="AW2" i="34"/>
  <c r="F19" i="118"/>
  <c r="K19" i="118"/>
  <c r="E19" i="118"/>
  <c r="G19" i="118"/>
  <c r="K17" i="119"/>
  <c r="BF60" i="34"/>
  <c r="BK35" i="69"/>
  <c r="BI32" i="70"/>
  <c r="BS43" i="69"/>
  <c r="BQ34" i="70"/>
  <c r="BQ38" i="70"/>
  <c r="BS42" i="69"/>
  <c r="BR35" i="70"/>
  <c r="AY2" i="107"/>
  <c r="AW4" i="125"/>
  <c r="AV4" i="109"/>
  <c r="AV4" i="115"/>
  <c r="AY3" i="67"/>
  <c r="AY1" i="65"/>
  <c r="AY7" i="70"/>
  <c r="AZ23" i="65"/>
  <c r="AZ24" i="65"/>
  <c r="AZ25" i="65"/>
  <c r="H17" i="119"/>
  <c r="I17" i="119"/>
  <c r="J17" i="119"/>
  <c r="L17" i="119"/>
  <c r="S25" i="11"/>
  <c r="U48" i="34" s="1"/>
  <c r="AR15" i="61"/>
  <c r="BA3" i="123"/>
  <c r="AY1" i="34"/>
  <c r="AW5" i="11"/>
  <c r="AX3" i="11"/>
  <c r="BD3" i="81"/>
  <c r="AZ2" i="69"/>
  <c r="AW4" i="11"/>
  <c r="AV4" i="61"/>
  <c r="AX2" i="34"/>
  <c r="AX3" i="34"/>
  <c r="H19" i="118"/>
  <c r="I19" i="118"/>
  <c r="J19" i="118"/>
  <c r="L19" i="118"/>
  <c r="BT43" i="69"/>
  <c r="BR34" i="70"/>
  <c r="BR38" i="70"/>
  <c r="BL35" i="69"/>
  <c r="BJ32" i="70"/>
  <c r="BT42" i="69"/>
  <c r="BS35" i="70"/>
  <c r="AZ2" i="107"/>
  <c r="BA2" i="107"/>
  <c r="BB2" i="107"/>
  <c r="BC2" i="107"/>
  <c r="BD2" i="107"/>
  <c r="BE2" i="107"/>
  <c r="BF2" i="107"/>
  <c r="BG2" i="107"/>
  <c r="BH2" i="107"/>
  <c r="BI2" i="107"/>
  <c r="BJ2" i="107"/>
  <c r="BK2" i="107"/>
  <c r="AW4" i="115"/>
  <c r="AW4" i="109"/>
  <c r="AZ1" i="65"/>
  <c r="AZ3" i="67"/>
  <c r="AZ7" i="70"/>
  <c r="AD30" i="70"/>
  <c r="AD38" i="70"/>
  <c r="AP30" i="70"/>
  <c r="AP38" i="70"/>
  <c r="D18" i="119"/>
  <c r="E18" i="119"/>
  <c r="BB3" i="123"/>
  <c r="AX4" i="11"/>
  <c r="AX5" i="11"/>
  <c r="AY3" i="11"/>
  <c r="BA7" i="70"/>
  <c r="BE3" i="81"/>
  <c r="BA2" i="69"/>
  <c r="AZ1" i="34"/>
  <c r="AY2" i="34"/>
  <c r="AY3" i="34"/>
  <c r="AW4" i="61"/>
  <c r="AS15" i="61"/>
  <c r="F18" i="119"/>
  <c r="K18" i="119"/>
  <c r="AE56" i="70"/>
  <c r="D20" i="118"/>
  <c r="AE58" i="70"/>
  <c r="BM35" i="69"/>
  <c r="BK32" i="70"/>
  <c r="BU43" i="69"/>
  <c r="BS34" i="70"/>
  <c r="BS38" i="70"/>
  <c r="BU42" i="69"/>
  <c r="BT35" i="70"/>
  <c r="BA3" i="67"/>
  <c r="AZ3" i="34"/>
  <c r="AX4" i="61"/>
  <c r="AZ2" i="34"/>
  <c r="BC3" i="123"/>
  <c r="BA1" i="34"/>
  <c r="BF3" i="81"/>
  <c r="BB2" i="69"/>
  <c r="AY5" i="11"/>
  <c r="AZ3" i="11"/>
  <c r="AY4" i="11"/>
  <c r="AT15" i="61"/>
  <c r="G18" i="119"/>
  <c r="H18" i="119"/>
  <c r="E20" i="118"/>
  <c r="F20" i="118"/>
  <c r="K20" i="118"/>
  <c r="BV43" i="69"/>
  <c r="BT34" i="70"/>
  <c r="BT38" i="70"/>
  <c r="BN35" i="69"/>
  <c r="BL32" i="70"/>
  <c r="BB3" i="67"/>
  <c r="BB7" i="70"/>
  <c r="BV42" i="69"/>
  <c r="BU35" i="70"/>
  <c r="G20" i="118"/>
  <c r="U29" i="34"/>
  <c r="AU15" i="61"/>
  <c r="BD3" i="123"/>
  <c r="BA3" i="11"/>
  <c r="BB1" i="34"/>
  <c r="AZ5" i="11"/>
  <c r="AZ4" i="11"/>
  <c r="BA2" i="34"/>
  <c r="AY4" i="61"/>
  <c r="BA3" i="34"/>
  <c r="H20" i="118"/>
  <c r="I20" i="118"/>
  <c r="J20" i="118"/>
  <c r="L20" i="118"/>
  <c r="I18" i="119"/>
  <c r="J18" i="119"/>
  <c r="L18" i="119"/>
  <c r="BO35" i="69"/>
  <c r="BM32" i="70"/>
  <c r="BW43" i="69"/>
  <c r="BU34" i="70"/>
  <c r="BU38" i="70"/>
  <c r="BC3" i="67"/>
  <c r="BC7" i="70"/>
  <c r="BW42" i="69"/>
  <c r="BV35" i="70"/>
  <c r="AE30" i="70"/>
  <c r="AE38" i="70"/>
  <c r="AQ30" i="70"/>
  <c r="AQ38" i="70"/>
  <c r="BB3" i="34"/>
  <c r="BB2" i="34"/>
  <c r="AZ4" i="61"/>
  <c r="AV15" i="61"/>
  <c r="BE3" i="123"/>
  <c r="BC1" i="34"/>
  <c r="BA5" i="11"/>
  <c r="BA4" i="11"/>
  <c r="BB3" i="11"/>
  <c r="BD7" i="70"/>
  <c r="D21" i="118"/>
  <c r="D19" i="119"/>
  <c r="BX43" i="69"/>
  <c r="BY43" i="69"/>
  <c r="BV34" i="70"/>
  <c r="BV38" i="70"/>
  <c r="BP35" i="69"/>
  <c r="BN32" i="70"/>
  <c r="BX42" i="69"/>
  <c r="AW15" i="61"/>
  <c r="BF3" i="123"/>
  <c r="BB4" i="11"/>
  <c r="BC3" i="11"/>
  <c r="BE7" i="70"/>
  <c r="BB5" i="11"/>
  <c r="BD1" i="34"/>
  <c r="BA4" i="61"/>
  <c r="BC2" i="34"/>
  <c r="BC3" i="34"/>
  <c r="E21" i="118"/>
  <c r="F21" i="118"/>
  <c r="K21" i="118"/>
  <c r="E19" i="119"/>
  <c r="F19" i="119"/>
  <c r="K19" i="119"/>
  <c r="BQ35" i="69"/>
  <c r="BO32" i="70"/>
  <c r="BY42" i="69"/>
  <c r="AF56" i="70"/>
  <c r="AO56" i="70"/>
  <c r="AO58" i="70"/>
  <c r="AX56" i="70"/>
  <c r="AX58" i="70"/>
  <c r="G19" i="119"/>
  <c r="H19" i="119"/>
  <c r="I19" i="119"/>
  <c r="J19" i="119"/>
  <c r="L19" i="119"/>
  <c r="BG3" i="123"/>
  <c r="BE1" i="34"/>
  <c r="BC4" i="11"/>
  <c r="BD3" i="11"/>
  <c r="BF7" i="70"/>
  <c r="BC5" i="11"/>
  <c r="AX15" i="61"/>
  <c r="BD2" i="34"/>
  <c r="BD3" i="34"/>
  <c r="BB4" i="61"/>
  <c r="G21" i="118"/>
  <c r="H21" i="118"/>
  <c r="AF58" i="70"/>
  <c r="AF76" i="34"/>
  <c r="BR35" i="69"/>
  <c r="BP32" i="70"/>
  <c r="AO76" i="34"/>
  <c r="AF30" i="70"/>
  <c r="AF38" i="70"/>
  <c r="AR30" i="70"/>
  <c r="AR38" i="70"/>
  <c r="AX76" i="34"/>
  <c r="AY15" i="61"/>
  <c r="BH3" i="123"/>
  <c r="BE3" i="11"/>
  <c r="BG7" i="70"/>
  <c r="BD4" i="11"/>
  <c r="BF1" i="34"/>
  <c r="BD5" i="11"/>
  <c r="BC4" i="61"/>
  <c r="BE2" i="34"/>
  <c r="BE3" i="34"/>
  <c r="D20" i="119"/>
  <c r="I21" i="118"/>
  <c r="J21" i="118"/>
  <c r="L21" i="118"/>
  <c r="BS35" i="69"/>
  <c r="BQ32" i="70"/>
  <c r="BF3" i="34"/>
  <c r="BD4" i="61"/>
  <c r="BF2" i="34"/>
  <c r="AZ15" i="61"/>
  <c r="BI3" i="123"/>
  <c r="BG1" i="34"/>
  <c r="BE4" i="11"/>
  <c r="BF3" i="11"/>
  <c r="BH7" i="70"/>
  <c r="BE5" i="11"/>
  <c r="F20" i="119"/>
  <c r="E20" i="119"/>
  <c r="D22" i="118"/>
  <c r="BT35" i="69"/>
  <c r="BR32" i="70"/>
  <c r="G20" i="119"/>
  <c r="BA15" i="61"/>
  <c r="BJ3" i="123"/>
  <c r="BF4" i="11"/>
  <c r="BG3" i="11"/>
  <c r="BI7" i="70"/>
  <c r="BF5" i="11"/>
  <c r="BH1" i="34"/>
  <c r="BE4" i="61"/>
  <c r="BG2" i="34"/>
  <c r="BG3" i="34"/>
  <c r="E22" i="118"/>
  <c r="F22" i="118"/>
  <c r="K20" i="119"/>
  <c r="BU35" i="69"/>
  <c r="BS32" i="70"/>
  <c r="AG56" i="70"/>
  <c r="AY56" i="70"/>
  <c r="AY58" i="70"/>
  <c r="AP56" i="70"/>
  <c r="AP58" i="70"/>
  <c r="H20" i="119"/>
  <c r="I20" i="119"/>
  <c r="J20" i="119"/>
  <c r="L20" i="119"/>
  <c r="AS30" i="70"/>
  <c r="AS38" i="70"/>
  <c r="G22" i="118"/>
  <c r="H22" i="118"/>
  <c r="I22" i="118"/>
  <c r="BF4" i="61"/>
  <c r="BH3" i="34"/>
  <c r="BH2" i="34"/>
  <c r="BB15" i="61"/>
  <c r="BK3" i="123"/>
  <c r="BI1" i="34"/>
  <c r="BH3" i="11"/>
  <c r="BJ7" i="70"/>
  <c r="BG4" i="11"/>
  <c r="BG5" i="11"/>
  <c r="K22" i="118"/>
  <c r="AG58" i="70"/>
  <c r="AG76" i="34"/>
  <c r="BV35" i="69"/>
  <c r="BT32" i="70"/>
  <c r="AP76" i="34"/>
  <c r="AY76" i="34"/>
  <c r="AG30" i="70"/>
  <c r="AG38" i="70"/>
  <c r="D21" i="119"/>
  <c r="J22" i="118"/>
  <c r="L22" i="118"/>
  <c r="D23" i="118"/>
  <c r="BL3" i="123"/>
  <c r="BJ1" i="34"/>
  <c r="BI3" i="11"/>
  <c r="BK7" i="70"/>
  <c r="BH5" i="11"/>
  <c r="BH4" i="11"/>
  <c r="BI3" i="34"/>
  <c r="BI2" i="34"/>
  <c r="BG4" i="61"/>
  <c r="BC15" i="61"/>
  <c r="F21" i="119"/>
  <c r="K21" i="119"/>
  <c r="E21" i="119"/>
  <c r="BW35" i="69"/>
  <c r="BU32" i="70"/>
  <c r="AH56" i="70"/>
  <c r="AQ56" i="70"/>
  <c r="AQ58" i="70"/>
  <c r="AZ56" i="70"/>
  <c r="AZ58" i="70"/>
  <c r="BD15" i="61"/>
  <c r="BM3" i="123"/>
  <c r="BK1" i="34"/>
  <c r="BI4" i="11"/>
  <c r="BI5" i="11"/>
  <c r="BJ3" i="11"/>
  <c r="BL7" i="70"/>
  <c r="BJ2" i="34"/>
  <c r="BH4" i="61"/>
  <c r="BJ3" i="34"/>
  <c r="G21" i="119"/>
  <c r="H21" i="119"/>
  <c r="F23" i="118"/>
  <c r="K23" i="118"/>
  <c r="E23" i="118"/>
  <c r="AH76" i="34"/>
  <c r="AH58" i="70"/>
  <c r="BX35" i="69"/>
  <c r="BY35" i="69"/>
  <c r="BV32" i="70"/>
  <c r="AZ76" i="34"/>
  <c r="AQ76" i="34"/>
  <c r="G23" i="118"/>
  <c r="BE15" i="61"/>
  <c r="BN3" i="123"/>
  <c r="BJ5" i="11"/>
  <c r="BL1" i="34"/>
  <c r="BJ4" i="11"/>
  <c r="BK3" i="34"/>
  <c r="BK2" i="34"/>
  <c r="BI4" i="61"/>
  <c r="H23" i="118"/>
  <c r="I23" i="118"/>
  <c r="J23" i="118"/>
  <c r="L23" i="118"/>
  <c r="I21" i="119"/>
  <c r="J21" i="119"/>
  <c r="L21" i="119"/>
  <c r="AH30" i="70"/>
  <c r="AH38" i="70"/>
  <c r="AT30" i="70"/>
  <c r="AT38" i="70"/>
  <c r="BL2" i="34"/>
  <c r="BJ4" i="61"/>
  <c r="BL3" i="34"/>
  <c r="BF15" i="61"/>
  <c r="K69" i="57"/>
  <c r="D24" i="118"/>
  <c r="D22" i="119"/>
  <c r="J7" i="57"/>
  <c r="Z7" i="57"/>
  <c r="T7" i="57"/>
  <c r="U7" i="57"/>
  <c r="X7" i="57"/>
  <c r="X6" i="57"/>
  <c r="U11" i="57"/>
  <c r="X8" i="57"/>
  <c r="Q10" i="57"/>
  <c r="T9" i="57"/>
  <c r="V11" i="57"/>
  <c r="J11" i="57"/>
  <c r="P8" i="57"/>
  <c r="Z10" i="57"/>
  <c r="E9" i="57"/>
  <c r="G7" i="57"/>
  <c r="X9" i="57"/>
  <c r="D9" i="57"/>
  <c r="H8" i="57"/>
  <c r="K8" i="57"/>
  <c r="C9" i="57"/>
  <c r="Y9" i="57"/>
  <c r="T8" i="57"/>
  <c r="U10" i="57"/>
  <c r="P9" i="57"/>
  <c r="M11" i="57"/>
  <c r="J8" i="57"/>
  <c r="O11" i="57"/>
  <c r="V10" i="57"/>
  <c r="I9" i="57"/>
  <c r="I6" i="57"/>
  <c r="M10" i="57"/>
  <c r="Q11" i="57"/>
  <c r="G8" i="57"/>
  <c r="G11" i="57"/>
  <c r="X11" i="57"/>
  <c r="F10" i="57"/>
  <c r="R11" i="57"/>
  <c r="M8" i="57"/>
  <c r="G6" i="57"/>
  <c r="G12" i="57" s="1"/>
  <c r="G27" i="85" s="1"/>
  <c r="T6" i="57"/>
  <c r="U6" i="57"/>
  <c r="I11" i="57"/>
  <c r="K11" i="57"/>
  <c r="R9" i="57"/>
  <c r="J6" i="57"/>
  <c r="E6" i="57"/>
  <c r="Z6" i="57"/>
  <c r="W7" i="57"/>
  <c r="I8" i="57"/>
  <c r="F11" i="57"/>
  <c r="T11" i="57"/>
  <c r="J10" i="57"/>
  <c r="N11" i="57"/>
  <c r="S11" i="57"/>
  <c r="H9" i="57"/>
  <c r="V7" i="57"/>
  <c r="F8" i="57"/>
  <c r="C10" i="57"/>
  <c r="N10" i="57"/>
  <c r="Q9" i="57"/>
  <c r="E7" i="57"/>
  <c r="V6" i="57"/>
  <c r="W6" i="57"/>
  <c r="H11" i="57"/>
  <c r="L8" i="57"/>
  <c r="N8" i="57"/>
  <c r="U9" i="57"/>
  <c r="W11" i="57"/>
  <c r="D7" i="57"/>
  <c r="Y6" i="57"/>
  <c r="D10" i="57"/>
  <c r="V8" i="57"/>
  <c r="W10" i="57"/>
  <c r="J9" i="57"/>
  <c r="I7" i="57"/>
  <c r="D6" i="57"/>
  <c r="S6" i="57"/>
  <c r="X10" i="57"/>
  <c r="K9" i="57"/>
  <c r="O8" i="57"/>
  <c r="G10" i="57"/>
  <c r="Y8" i="57"/>
  <c r="C11" i="57"/>
  <c r="H7" i="57"/>
  <c r="S7" i="57"/>
  <c r="H10" i="57"/>
  <c r="E8" i="57"/>
  <c r="D11" i="57"/>
  <c r="N9" i="57"/>
  <c r="C7" i="57"/>
  <c r="F7" i="57"/>
  <c r="Y7" i="57"/>
  <c r="T10" i="57"/>
  <c r="O9" i="57"/>
  <c r="C8" i="57"/>
  <c r="K10" i="57"/>
  <c r="U8" i="57"/>
  <c r="Y10" i="57"/>
  <c r="L9" i="57"/>
  <c r="Q8" i="57"/>
  <c r="L10" i="57"/>
  <c r="P11" i="57"/>
  <c r="R10" i="57"/>
  <c r="M9" i="57"/>
  <c r="C6" i="57"/>
  <c r="I10" i="57"/>
  <c r="S8" i="57"/>
  <c r="P10" i="57"/>
  <c r="S9" i="57"/>
  <c r="Y11" i="57"/>
  <c r="O10" i="57"/>
  <c r="D8" i="57"/>
  <c r="R8" i="57"/>
  <c r="F6" i="57"/>
  <c r="Z11" i="57"/>
  <c r="W9" i="57"/>
  <c r="Z8" i="57"/>
  <c r="S10" i="57"/>
  <c r="V9" i="57"/>
  <c r="H6" i="57"/>
  <c r="H12" i="57" s="1"/>
  <c r="H27" i="85" s="1"/>
  <c r="E10" i="57"/>
  <c r="W8" i="57"/>
  <c r="E11" i="57"/>
  <c r="G9" i="57"/>
  <c r="L11" i="57"/>
  <c r="Z9" i="57"/>
  <c r="F9" i="57"/>
  <c r="M10" i="58"/>
  <c r="F13" i="58"/>
  <c r="D15" i="58"/>
  <c r="D13" i="58"/>
  <c r="J10" i="58"/>
  <c r="O13" i="58"/>
  <c r="R12" i="58"/>
  <c r="G12" i="58"/>
  <c r="E10" i="58"/>
  <c r="F10" i="58"/>
  <c r="I10" i="58"/>
  <c r="F12" i="58"/>
  <c r="K11" i="58"/>
  <c r="O11" i="58"/>
  <c r="I15" i="58"/>
  <c r="N13" i="58"/>
  <c r="Q12" i="58"/>
  <c r="H12" i="58"/>
  <c r="K10" i="58"/>
  <c r="L15" i="58"/>
  <c r="Q13" i="58"/>
  <c r="R13" i="58"/>
  <c r="F11" i="58"/>
  <c r="N10" i="58"/>
  <c r="R10" i="58"/>
  <c r="S15" i="58"/>
  <c r="S12" i="58"/>
  <c r="L13" i="58"/>
  <c r="R11" i="58"/>
  <c r="P11" i="58"/>
  <c r="J12" i="58"/>
  <c r="N15" i="58"/>
  <c r="S13" i="58"/>
  <c r="O12" i="58"/>
  <c r="K13" i="58"/>
  <c r="T12" i="58"/>
  <c r="D11" i="58"/>
  <c r="U11" i="58"/>
  <c r="G13" i="58"/>
  <c r="U10" i="58"/>
  <c r="L10" i="58"/>
  <c r="M15" i="58"/>
  <c r="L11" i="58"/>
  <c r="D12" i="58"/>
  <c r="I12" i="58"/>
  <c r="O10" i="58"/>
  <c r="O16" i="58" s="1"/>
  <c r="P15" i="58"/>
  <c r="T15" i="58"/>
  <c r="E15" i="58"/>
  <c r="L12" i="58"/>
  <c r="M11" i="58"/>
  <c r="Q11" i="58"/>
  <c r="K15" i="58"/>
  <c r="I13" i="58"/>
  <c r="U12" i="58"/>
  <c r="H13" i="58"/>
  <c r="Q10" i="58"/>
  <c r="R15" i="58"/>
  <c r="P13" i="58"/>
  <c r="J15" i="58"/>
  <c r="N12" i="58"/>
  <c r="K12" i="58"/>
  <c r="F15" i="58"/>
  <c r="E11" i="58"/>
  <c r="E12" i="58"/>
  <c r="P10" i="58"/>
  <c r="P16" i="58" s="1"/>
  <c r="Q15" i="58"/>
  <c r="I11" i="58"/>
  <c r="U15" i="58"/>
  <c r="J13" i="58"/>
  <c r="M12" i="58"/>
  <c r="J11" i="58"/>
  <c r="N11" i="58"/>
  <c r="H15" i="58"/>
  <c r="M13" i="58"/>
  <c r="P12" i="58"/>
  <c r="E13" i="58"/>
  <c r="O15" i="58"/>
  <c r="T13" i="58"/>
  <c r="G15" i="58"/>
  <c r="U13" i="58"/>
  <c r="Y45" i="57"/>
  <c r="Y64" i="57"/>
  <c r="W50" i="57"/>
  <c r="X64" i="57"/>
  <c r="Y50" i="57"/>
  <c r="X46" i="57"/>
  <c r="Z73" i="57"/>
  <c r="Z21" i="57"/>
  <c r="Y55" i="57"/>
  <c r="S14" i="57"/>
  <c r="Z3" i="57"/>
  <c r="Z55" i="57"/>
  <c r="Y69" i="57"/>
  <c r="U14" i="57"/>
  <c r="X45" i="57"/>
  <c r="Y14" i="57"/>
  <c r="T14" i="57"/>
  <c r="W47" i="57"/>
  <c r="Z69" i="57"/>
  <c r="W22" i="57"/>
  <c r="X55" i="57"/>
  <c r="Y23" i="57"/>
  <c r="X14" i="57"/>
  <c r="Y48" i="57"/>
  <c r="W55" i="57"/>
  <c r="V14" i="57"/>
  <c r="Y73" i="57"/>
  <c r="Z23" i="57"/>
  <c r="Y52" i="57"/>
  <c r="W23" i="57"/>
  <c r="X3" i="57"/>
  <c r="W15" i="57"/>
  <c r="X73" i="57"/>
  <c r="Y65" i="57"/>
  <c r="W3" i="57"/>
  <c r="Z64" i="57"/>
  <c r="Z14" i="57"/>
  <c r="X69" i="57"/>
  <c r="W64" i="57"/>
  <c r="W14" i="57"/>
  <c r="W73" i="57"/>
  <c r="X65" i="57"/>
  <c r="Y3" i="57"/>
  <c r="Z65" i="57"/>
  <c r="X24" i="57"/>
  <c r="Y47" i="57"/>
  <c r="W65" i="57"/>
  <c r="W69" i="57"/>
  <c r="D47" i="57"/>
  <c r="E65" i="57"/>
  <c r="V69" i="57"/>
  <c r="J69" i="57"/>
  <c r="D54" i="58"/>
  <c r="P54" i="58" s="1"/>
  <c r="R54" i="58"/>
  <c r="K65" i="57"/>
  <c r="K73" i="57"/>
  <c r="C48" i="57"/>
  <c r="E52" i="57"/>
  <c r="S64" i="57"/>
  <c r="I18" i="58"/>
  <c r="I6" i="58"/>
  <c r="T68" i="58"/>
  <c r="D50" i="58"/>
  <c r="P50" i="58" s="1"/>
  <c r="R50" i="58" s="1"/>
  <c r="D56" i="58"/>
  <c r="P56" i="58" s="1"/>
  <c r="R56" i="58"/>
  <c r="E69" i="58"/>
  <c r="U68" i="58"/>
  <c r="D58" i="58"/>
  <c r="P58" i="58" s="1"/>
  <c r="R58" i="58" s="1"/>
  <c r="U73" i="58"/>
  <c r="E48" i="57"/>
  <c r="I69" i="57"/>
  <c r="C53" i="57"/>
  <c r="D51" i="57"/>
  <c r="F50" i="57"/>
  <c r="M64" i="57"/>
  <c r="F51" i="57"/>
  <c r="U3" i="57"/>
  <c r="C64" i="57"/>
  <c r="H64" i="57"/>
  <c r="U69" i="57"/>
  <c r="H47" i="57"/>
  <c r="Q73" i="57"/>
  <c r="L73" i="57"/>
  <c r="S69" i="57"/>
  <c r="T3" i="57"/>
  <c r="J14" i="57"/>
  <c r="L64" i="57"/>
  <c r="D3" i="57"/>
  <c r="F64" i="57"/>
  <c r="M3" i="57"/>
  <c r="E54" i="57"/>
  <c r="D45" i="57"/>
  <c r="C54" i="57"/>
  <c r="C49" i="57"/>
  <c r="T64" i="57"/>
  <c r="S3" i="57"/>
  <c r="O65" i="57"/>
  <c r="C51" i="57"/>
  <c r="H23" i="57"/>
  <c r="C3" i="57"/>
  <c r="G51" i="57"/>
  <c r="C65" i="57"/>
  <c r="F54" i="57"/>
  <c r="N65" i="57"/>
  <c r="D73" i="57"/>
  <c r="I73" i="57"/>
  <c r="S73" i="57"/>
  <c r="E69" i="57"/>
  <c r="L14" i="57"/>
  <c r="D23" i="57"/>
  <c r="C52" i="57"/>
  <c r="R73" i="57"/>
  <c r="L3" i="57"/>
  <c r="Q64" i="57"/>
  <c r="I65" i="57"/>
  <c r="O3" i="57"/>
  <c r="Q3" i="57"/>
  <c r="P65" i="57"/>
  <c r="O73" i="57"/>
  <c r="K3" i="57"/>
  <c r="G73" i="57"/>
  <c r="N64" i="57"/>
  <c r="G14" i="57"/>
  <c r="S65" i="57"/>
  <c r="R3" i="57"/>
  <c r="Q14" i="57"/>
  <c r="D69" i="57"/>
  <c r="D46" i="57"/>
  <c r="R14" i="57"/>
  <c r="F14" i="57"/>
  <c r="C47" i="57"/>
  <c r="O69" i="57"/>
  <c r="M14" i="57"/>
  <c r="I3" i="57"/>
  <c r="O64" i="57"/>
  <c r="E3" i="57"/>
  <c r="L69" i="57"/>
  <c r="D65" i="57"/>
  <c r="D52" i="57"/>
  <c r="J45" i="57"/>
  <c r="N14" i="57"/>
  <c r="D49" i="57"/>
  <c r="D50" i="57"/>
  <c r="C45" i="57"/>
  <c r="N73" i="57"/>
  <c r="M65" i="57"/>
  <c r="R69" i="57"/>
  <c r="U73" i="57"/>
  <c r="V73" i="57"/>
  <c r="T65" i="57"/>
  <c r="N3" i="57"/>
  <c r="J64" i="57"/>
  <c r="H73" i="57"/>
  <c r="V64" i="57"/>
  <c r="J73" i="57"/>
  <c r="L65" i="57"/>
  <c r="G3" i="57"/>
  <c r="D48" i="57"/>
  <c r="F47" i="57"/>
  <c r="U65" i="57"/>
  <c r="U64" i="57"/>
  <c r="I64" i="57"/>
  <c r="T69" i="57"/>
  <c r="P3" i="57"/>
  <c r="Q65" i="57"/>
  <c r="F3" i="57"/>
  <c r="P64" i="57"/>
  <c r="F45" i="57"/>
  <c r="R64" i="57"/>
  <c r="C73" i="57"/>
  <c r="C14" i="57"/>
  <c r="C50" i="57"/>
  <c r="J65" i="57"/>
  <c r="E47" i="57"/>
  <c r="C69" i="57"/>
  <c r="O14" i="57"/>
  <c r="I46" i="57"/>
  <c r="H14" i="57"/>
  <c r="D53" i="57"/>
  <c r="F48" i="57"/>
  <c r="H65" i="57"/>
  <c r="J53" i="57"/>
  <c r="F46" i="57"/>
  <c r="H55" i="57"/>
  <c r="E49" i="57"/>
  <c r="E51" i="57"/>
  <c r="T73" i="57"/>
  <c r="E53" i="57"/>
  <c r="F69" i="57"/>
  <c r="G65" i="57"/>
  <c r="G69" i="58"/>
  <c r="T69" i="58"/>
  <c r="E18" i="58"/>
  <c r="D53" i="58"/>
  <c r="P53" i="58"/>
  <c r="R53" i="58"/>
  <c r="S68" i="58"/>
  <c r="E6" i="58"/>
  <c r="G6" i="58"/>
  <c r="H18" i="58"/>
  <c r="F77" i="58"/>
  <c r="G18" i="58"/>
  <c r="D68" i="58"/>
  <c r="P68" i="58"/>
  <c r="R68" i="58"/>
  <c r="D69" i="58"/>
  <c r="P69" i="58"/>
  <c r="R69" i="58"/>
  <c r="D77" i="58"/>
  <c r="P77" i="58"/>
  <c r="R77" i="58"/>
  <c r="S77" i="58"/>
  <c r="H69" i="58"/>
  <c r="U18" i="58"/>
  <c r="G68" i="58"/>
  <c r="D18" i="58"/>
  <c r="P18" i="58"/>
  <c r="R18" i="58"/>
  <c r="F73" i="58"/>
  <c r="G77" i="58"/>
  <c r="H6" i="58"/>
  <c r="F6" i="58"/>
  <c r="D10" i="58"/>
  <c r="D52" i="58"/>
  <c r="P52" i="58"/>
  <c r="R52" i="58" s="1"/>
  <c r="H77" i="58"/>
  <c r="D51" i="58"/>
  <c r="P51" i="58" s="1"/>
  <c r="R51" i="58" s="1"/>
  <c r="E68" i="58"/>
  <c r="U77" i="58"/>
  <c r="F18" i="58"/>
  <c r="D49" i="58"/>
  <c r="P49" i="58" s="1"/>
  <c r="R49" i="58" s="1"/>
  <c r="F69" i="58"/>
  <c r="D73" i="58"/>
  <c r="P73" i="58"/>
  <c r="R73" i="58"/>
  <c r="U69" i="58"/>
  <c r="H68" i="58"/>
  <c r="E73" i="58"/>
  <c r="D57" i="58"/>
  <c r="P57" i="58" s="1"/>
  <c r="R57" i="58" s="1"/>
  <c r="T18" i="58"/>
  <c r="S18" i="58"/>
  <c r="D6" i="58"/>
  <c r="T77" i="58"/>
  <c r="D55" i="58"/>
  <c r="P55" i="58" s="1"/>
  <c r="R55" i="58" s="1"/>
  <c r="F68" i="58"/>
  <c r="E77" i="58"/>
  <c r="J3" i="57"/>
  <c r="G64" i="57"/>
  <c r="H45" i="57"/>
  <c r="D14" i="57"/>
  <c r="H3" i="57"/>
  <c r="K14" i="57"/>
  <c r="D54" i="57"/>
  <c r="F73" i="57"/>
  <c r="E73" i="57"/>
  <c r="R65" i="57"/>
  <c r="E64" i="57"/>
  <c r="E14" i="57"/>
  <c r="G69" i="57"/>
  <c r="C46" i="57"/>
  <c r="F65" i="57"/>
  <c r="E50" i="57"/>
  <c r="F49" i="57"/>
  <c r="V65" i="57"/>
  <c r="K64" i="57"/>
  <c r="F52" i="57"/>
  <c r="V3" i="57"/>
  <c r="J46" i="57"/>
  <c r="E45" i="57"/>
  <c r="D64" i="57"/>
  <c r="F53" i="57"/>
  <c r="I14" i="57"/>
  <c r="P73" i="57"/>
  <c r="M73" i="57"/>
  <c r="D15" i="57"/>
  <c r="E46" i="57"/>
  <c r="P14" i="57"/>
  <c r="H46" i="57"/>
  <c r="H69" i="57"/>
  <c r="BG15" i="61"/>
  <c r="S69" i="58"/>
  <c r="E22" i="119"/>
  <c r="F22" i="119"/>
  <c r="K22" i="119"/>
  <c r="E24" i="118"/>
  <c r="G24" i="118"/>
  <c r="H24" i="118"/>
  <c r="F24" i="118"/>
  <c r="K24" i="118"/>
  <c r="AI56" i="70"/>
  <c r="AR56" i="70"/>
  <c r="AR58" i="70"/>
  <c r="I24" i="118"/>
  <c r="J24" i="118"/>
  <c r="L24" i="118"/>
  <c r="G22" i="119"/>
  <c r="H22" i="119"/>
  <c r="I22" i="119"/>
  <c r="J22" i="119"/>
  <c r="L22" i="119"/>
  <c r="BH15" i="61"/>
  <c r="D25" i="118"/>
  <c r="AI58" i="70"/>
  <c r="AI76" i="34"/>
  <c r="AR76" i="34"/>
  <c r="AI30" i="70"/>
  <c r="AI38" i="70"/>
  <c r="AU30" i="70"/>
  <c r="AU38" i="70"/>
  <c r="BI15" i="61"/>
  <c r="D23" i="119"/>
  <c r="F25" i="118"/>
  <c r="K25" i="118"/>
  <c r="E25" i="118"/>
  <c r="AB67" i="115"/>
  <c r="AJ67" i="115"/>
  <c r="AR67" i="115"/>
  <c r="L66" i="115"/>
  <c r="O7" i="67"/>
  <c r="AA67" i="115"/>
  <c r="AI67" i="115"/>
  <c r="AQ67" i="115"/>
  <c r="K66" i="115"/>
  <c r="N7" i="67"/>
  <c r="BJ15" i="61"/>
  <c r="G25" i="118"/>
  <c r="H25" i="118"/>
  <c r="E23" i="119"/>
  <c r="G23" i="119"/>
  <c r="H23" i="119"/>
  <c r="F23" i="119"/>
  <c r="K23" i="119"/>
  <c r="K69" i="115"/>
  <c r="N29" i="34"/>
  <c r="N11" i="67"/>
  <c r="L69" i="115"/>
  <c r="O11" i="67"/>
  <c r="D9" i="85"/>
  <c r="E9" i="85"/>
  <c r="C10" i="85"/>
  <c r="AJ56" i="70"/>
  <c r="AS56" i="70"/>
  <c r="AS58" i="70"/>
  <c r="I25" i="118"/>
  <c r="J25" i="118"/>
  <c r="L25" i="118"/>
  <c r="D26" i="118"/>
  <c r="I23" i="119"/>
  <c r="J23" i="119"/>
  <c r="L23" i="119"/>
  <c r="N22" i="34"/>
  <c r="O27" i="34"/>
  <c r="L10" i="11"/>
  <c r="N27" i="34"/>
  <c r="N30" i="34" s="1"/>
  <c r="AJ58" i="70"/>
  <c r="AJ76" i="34"/>
  <c r="D30" i="116"/>
  <c r="D10" i="85"/>
  <c r="E10" i="85"/>
  <c r="C9" i="85"/>
  <c r="C30" i="116"/>
  <c r="Q31" i="85"/>
  <c r="AJ30" i="70"/>
  <c r="AJ38" i="70"/>
  <c r="AV30" i="70"/>
  <c r="AV38" i="70"/>
  <c r="AS76" i="34"/>
  <c r="E30" i="116"/>
  <c r="E26" i="118"/>
  <c r="F26" i="118"/>
  <c r="K26" i="118"/>
  <c r="D24" i="119"/>
  <c r="F24" i="119"/>
  <c r="K24" i="119"/>
  <c r="E24" i="119"/>
  <c r="G26" i="118"/>
  <c r="H26" i="118"/>
  <c r="AK56" i="70"/>
  <c r="AT56" i="70"/>
  <c r="AT58" i="70"/>
  <c r="I26" i="118"/>
  <c r="J26" i="118"/>
  <c r="L26" i="118"/>
  <c r="D27" i="118"/>
  <c r="G24" i="119"/>
  <c r="H24" i="119"/>
  <c r="AK58" i="70"/>
  <c r="AK76" i="34"/>
  <c r="M69" i="57"/>
  <c r="AT76" i="34"/>
  <c r="I24" i="119"/>
  <c r="J24" i="119"/>
  <c r="L24" i="119"/>
  <c r="D25" i="119"/>
  <c r="E27" i="118"/>
  <c r="F27" i="118"/>
  <c r="P69" i="57"/>
  <c r="AK30" i="70"/>
  <c r="AK38" i="70"/>
  <c r="AW30" i="70"/>
  <c r="AW38" i="70"/>
  <c r="G27" i="118"/>
  <c r="H27" i="118"/>
  <c r="I27" i="118"/>
  <c r="K27" i="118"/>
  <c r="F25" i="119"/>
  <c r="K25" i="119"/>
  <c r="E25" i="119"/>
  <c r="AL56" i="70"/>
  <c r="AU56" i="70"/>
  <c r="AU58" i="70"/>
  <c r="AN56" i="70"/>
  <c r="AW56" i="70"/>
  <c r="AW58" i="70"/>
  <c r="G25" i="119"/>
  <c r="H25" i="119"/>
  <c r="I25" i="119"/>
  <c r="J25" i="119"/>
  <c r="L25" i="119"/>
  <c r="J27" i="118"/>
  <c r="L27" i="118"/>
  <c r="D28" i="118"/>
  <c r="V30" i="85"/>
  <c r="AN58" i="70"/>
  <c r="AN76" i="34"/>
  <c r="AL76" i="34"/>
  <c r="AL58" i="70"/>
  <c r="AL30" i="70"/>
  <c r="AL38" i="70"/>
  <c r="AX30" i="70"/>
  <c r="AX38" i="70"/>
  <c r="AW76" i="34"/>
  <c r="AU76" i="34"/>
  <c r="D26" i="119"/>
  <c r="E26" i="119"/>
  <c r="F26" i="119"/>
  <c r="K26" i="119"/>
  <c r="F28" i="118"/>
  <c r="E28" i="118"/>
  <c r="G28" i="118"/>
  <c r="W30" i="85"/>
  <c r="AM56" i="70"/>
  <c r="AV56" i="70"/>
  <c r="AV58" i="70"/>
  <c r="I26" i="119"/>
  <c r="J26" i="119"/>
  <c r="H28" i="118"/>
  <c r="I28" i="118"/>
  <c r="G26" i="119"/>
  <c r="H26" i="119"/>
  <c r="K28" i="118"/>
  <c r="X30" i="85"/>
  <c r="AM58" i="70"/>
  <c r="AM76" i="34"/>
  <c r="AV76" i="34"/>
  <c r="J28" i="118"/>
  <c r="L28" i="118"/>
  <c r="D29" i="118"/>
  <c r="L26" i="119"/>
  <c r="Y30" i="85"/>
  <c r="S73" i="58"/>
  <c r="N69" i="57"/>
  <c r="G73" i="58"/>
  <c r="AN30" i="70"/>
  <c r="AN38" i="70"/>
  <c r="AZ30" i="70"/>
  <c r="T73" i="58"/>
  <c r="Q69" i="57"/>
  <c r="H73" i="58"/>
  <c r="F29" i="118"/>
  <c r="K29" i="118"/>
  <c r="E29" i="118"/>
  <c r="G29" i="118"/>
  <c r="D27" i="119"/>
  <c r="AM30" i="70"/>
  <c r="AM38" i="70"/>
  <c r="AY30" i="70"/>
  <c r="AY38" i="70"/>
  <c r="AZ38" i="70"/>
  <c r="H29" i="118"/>
  <c r="H27" i="119"/>
  <c r="D28" i="119"/>
  <c r="E27" i="119"/>
  <c r="I27" i="119"/>
  <c r="G27" i="119"/>
  <c r="J27" i="119"/>
  <c r="F27" i="119"/>
  <c r="K27" i="119"/>
  <c r="I29" i="118"/>
  <c r="J29" i="118"/>
  <c r="L29" i="118"/>
  <c r="D30" i="118"/>
  <c r="F30" i="118"/>
  <c r="K30" i="118"/>
  <c r="E30" i="118"/>
  <c r="G28" i="119"/>
  <c r="J28" i="119"/>
  <c r="H28" i="119"/>
  <c r="F28" i="119"/>
  <c r="K28" i="119"/>
  <c r="I28" i="119"/>
  <c r="E28" i="119"/>
  <c r="G30" i="118"/>
  <c r="H30" i="118"/>
  <c r="I30" i="118"/>
  <c r="J30" i="118"/>
  <c r="L30" i="118"/>
  <c r="D31" i="118"/>
  <c r="D29" i="119"/>
  <c r="F29" i="119"/>
  <c r="D30" i="119"/>
  <c r="H29" i="119"/>
  <c r="J29" i="119"/>
  <c r="G29" i="119"/>
  <c r="I29" i="119"/>
  <c r="E29" i="119"/>
  <c r="K29" i="119"/>
  <c r="E30" i="119"/>
  <c r="I30" i="119"/>
  <c r="F30" i="119"/>
  <c r="K30" i="119"/>
  <c r="H30" i="119"/>
  <c r="D31" i="119"/>
  <c r="J30" i="119"/>
  <c r="G30" i="119"/>
  <c r="E31" i="118"/>
  <c r="F31" i="118"/>
  <c r="K31" i="118"/>
  <c r="G31" i="118"/>
  <c r="H31" i="119"/>
  <c r="D32" i="119"/>
  <c r="E31" i="119"/>
  <c r="I31" i="119"/>
  <c r="G31" i="119"/>
  <c r="J31" i="119"/>
  <c r="F31" i="119"/>
  <c r="K31" i="119"/>
  <c r="H31" i="118"/>
  <c r="I31" i="118"/>
  <c r="J31" i="118"/>
  <c r="L31" i="118"/>
  <c r="D32" i="118"/>
  <c r="G32" i="119"/>
  <c r="J32" i="119"/>
  <c r="H32" i="119"/>
  <c r="D33" i="119"/>
  <c r="F32" i="119"/>
  <c r="K32" i="119"/>
  <c r="I32" i="119"/>
  <c r="E32" i="119"/>
  <c r="F33" i="119"/>
  <c r="K33" i="119"/>
  <c r="G33" i="119"/>
  <c r="J33" i="119"/>
  <c r="E33" i="119"/>
  <c r="I33" i="119"/>
  <c r="D34" i="119"/>
  <c r="H33" i="119"/>
  <c r="F32" i="118"/>
  <c r="K32" i="118"/>
  <c r="E32" i="118"/>
  <c r="G32" i="118"/>
  <c r="H32" i="118"/>
  <c r="I32" i="118"/>
  <c r="J32" i="118"/>
  <c r="L32" i="118"/>
  <c r="D33" i="118"/>
  <c r="E34" i="119"/>
  <c r="I34" i="119"/>
  <c r="F34" i="119"/>
  <c r="K34" i="119"/>
  <c r="H34" i="119"/>
  <c r="D35" i="119"/>
  <c r="G34" i="119"/>
  <c r="J34" i="119"/>
  <c r="T22" i="34"/>
  <c r="AB6" i="85" s="1"/>
  <c r="F33" i="118"/>
  <c r="K33" i="118"/>
  <c r="E33" i="118"/>
  <c r="H35" i="119"/>
  <c r="D36" i="119"/>
  <c r="E35" i="119"/>
  <c r="I35" i="119"/>
  <c r="G35" i="119"/>
  <c r="J35" i="119"/>
  <c r="K35" i="119"/>
  <c r="F35" i="119"/>
  <c r="G33" i="118"/>
  <c r="H33" i="118"/>
  <c r="I33" i="118"/>
  <c r="J33" i="118"/>
  <c r="L33" i="118"/>
  <c r="D34" i="118"/>
  <c r="G36" i="119"/>
  <c r="J36" i="119"/>
  <c r="H36" i="119"/>
  <c r="L36" i="119"/>
  <c r="D37" i="119"/>
  <c r="F36" i="119"/>
  <c r="K36" i="119"/>
  <c r="E36" i="119"/>
  <c r="I36" i="119"/>
  <c r="F37" i="119"/>
  <c r="K37" i="119"/>
  <c r="G37" i="119"/>
  <c r="J37" i="119"/>
  <c r="E37" i="119"/>
  <c r="I37" i="119"/>
  <c r="L37" i="119"/>
  <c r="D38" i="119"/>
  <c r="H37" i="119"/>
  <c r="E34" i="118"/>
  <c r="G34" i="118"/>
  <c r="H34" i="118"/>
  <c r="F34" i="118"/>
  <c r="K34" i="118"/>
  <c r="I34" i="118"/>
  <c r="J34" i="118"/>
  <c r="L34" i="118"/>
  <c r="D35" i="118"/>
  <c r="E38" i="119"/>
  <c r="I38" i="119"/>
  <c r="F38" i="119"/>
  <c r="K38" i="119"/>
  <c r="H38" i="119"/>
  <c r="L38" i="119"/>
  <c r="D39" i="119"/>
  <c r="G38" i="119"/>
  <c r="J38" i="119"/>
  <c r="H39" i="119"/>
  <c r="L39" i="119"/>
  <c r="D40" i="119"/>
  <c r="E39" i="119"/>
  <c r="I39" i="119"/>
  <c r="G39" i="119"/>
  <c r="J39" i="119"/>
  <c r="K39" i="119"/>
  <c r="F39" i="119"/>
  <c r="E35" i="118"/>
  <c r="F35" i="118"/>
  <c r="K35" i="118"/>
  <c r="G35" i="118"/>
  <c r="H35" i="118"/>
  <c r="G40" i="119"/>
  <c r="J40" i="119"/>
  <c r="H40" i="119"/>
  <c r="L40" i="119"/>
  <c r="D41" i="119"/>
  <c r="F40" i="119"/>
  <c r="K40" i="119"/>
  <c r="E40" i="119"/>
  <c r="I40" i="119"/>
  <c r="F41" i="119"/>
  <c r="K41" i="119"/>
  <c r="G41" i="119"/>
  <c r="J41" i="119"/>
  <c r="E41" i="119"/>
  <c r="I41" i="119"/>
  <c r="H41" i="119"/>
  <c r="L41" i="119"/>
  <c r="D42" i="119"/>
  <c r="I35" i="118"/>
  <c r="J35" i="118"/>
  <c r="L35" i="118"/>
  <c r="D36" i="118"/>
  <c r="E42" i="119"/>
  <c r="I42" i="119"/>
  <c r="F42" i="119"/>
  <c r="K42" i="119"/>
  <c r="H42" i="119"/>
  <c r="L42" i="119"/>
  <c r="D43" i="119"/>
  <c r="J42" i="119"/>
  <c r="G42" i="119"/>
  <c r="F36" i="118"/>
  <c r="K36" i="118"/>
  <c r="E36" i="118"/>
  <c r="G36" i="118"/>
  <c r="H36" i="118"/>
  <c r="S65" i="69"/>
  <c r="S67" i="69"/>
  <c r="T68" i="69"/>
  <c r="I36" i="118"/>
  <c r="J36" i="118"/>
  <c r="L36" i="118"/>
  <c r="D37" i="118"/>
  <c r="H43" i="119"/>
  <c r="L43" i="119"/>
  <c r="D44" i="119"/>
  <c r="E43" i="119"/>
  <c r="I43" i="119"/>
  <c r="G43" i="119"/>
  <c r="J43" i="119"/>
  <c r="F43" i="119"/>
  <c r="K43" i="119"/>
  <c r="T65" i="69"/>
  <c r="T67" i="69"/>
  <c r="G44" i="119"/>
  <c r="J44" i="119"/>
  <c r="H44" i="119"/>
  <c r="L44" i="119"/>
  <c r="D45" i="119"/>
  <c r="F44" i="119"/>
  <c r="K44" i="119"/>
  <c r="I44" i="119"/>
  <c r="E44" i="119"/>
  <c r="F37" i="118"/>
  <c r="K37" i="118"/>
  <c r="E37" i="118"/>
  <c r="G37" i="118"/>
  <c r="U65" i="69"/>
  <c r="U67" i="69"/>
  <c r="T30" i="69"/>
  <c r="S16" i="70"/>
  <c r="H37" i="118"/>
  <c r="F45" i="119"/>
  <c r="K45" i="119"/>
  <c r="G45" i="119"/>
  <c r="J45" i="119"/>
  <c r="E45" i="119"/>
  <c r="I45" i="119"/>
  <c r="H45" i="119"/>
  <c r="L45" i="119"/>
  <c r="D46" i="119"/>
  <c r="I37" i="118"/>
  <c r="J37" i="118"/>
  <c r="L37" i="118"/>
  <c r="D38" i="118"/>
  <c r="U30" i="69"/>
  <c r="E38" i="118"/>
  <c r="F38" i="118"/>
  <c r="K38" i="118"/>
  <c r="E46" i="119"/>
  <c r="I46" i="119"/>
  <c r="F46" i="119"/>
  <c r="K46" i="119"/>
  <c r="H46" i="119"/>
  <c r="L46" i="119"/>
  <c r="D47" i="119"/>
  <c r="J46" i="119"/>
  <c r="G46" i="119"/>
  <c r="T16" i="70"/>
  <c r="G38" i="118"/>
  <c r="H38" i="118"/>
  <c r="H47" i="119"/>
  <c r="L47" i="119"/>
  <c r="D48" i="119"/>
  <c r="E47" i="119"/>
  <c r="I47" i="119"/>
  <c r="G47" i="119"/>
  <c r="J47" i="119"/>
  <c r="F47" i="119"/>
  <c r="K47" i="119"/>
  <c r="G48" i="119"/>
  <c r="J48" i="119"/>
  <c r="H48" i="119"/>
  <c r="L48" i="119"/>
  <c r="D49" i="119"/>
  <c r="F48" i="119"/>
  <c r="K48" i="119"/>
  <c r="I48" i="119"/>
  <c r="E48" i="119"/>
  <c r="I38" i="118"/>
  <c r="J38" i="118"/>
  <c r="L38" i="118"/>
  <c r="D39" i="118"/>
  <c r="F49" i="119"/>
  <c r="K49" i="119"/>
  <c r="G49" i="119"/>
  <c r="J49" i="119"/>
  <c r="E49" i="119"/>
  <c r="I49" i="119"/>
  <c r="L49" i="119"/>
  <c r="D50" i="119"/>
  <c r="H49" i="119"/>
  <c r="F39" i="118"/>
  <c r="K39" i="118"/>
  <c r="E39" i="118"/>
  <c r="E50" i="119"/>
  <c r="B19" i="119"/>
  <c r="J50" i="119"/>
  <c r="H50" i="119"/>
  <c r="B20" i="119"/>
  <c r="F50" i="119"/>
  <c r="G50" i="119"/>
  <c r="K50" i="119"/>
  <c r="B21" i="119"/>
  <c r="I50" i="119"/>
  <c r="L50" i="119"/>
  <c r="D51" i="119"/>
  <c r="B18" i="119"/>
  <c r="G39" i="118"/>
  <c r="H39" i="118"/>
  <c r="I39" i="118"/>
  <c r="J39" i="118"/>
  <c r="L39" i="118"/>
  <c r="D40" i="118"/>
  <c r="F40" i="118"/>
  <c r="K40" i="118"/>
  <c r="E40" i="118"/>
  <c r="G40" i="118"/>
  <c r="H40" i="118"/>
  <c r="I40" i="118"/>
  <c r="J40" i="118"/>
  <c r="L40" i="118"/>
  <c r="D41" i="118"/>
  <c r="E41" i="118"/>
  <c r="F41" i="118"/>
  <c r="K41" i="118"/>
  <c r="G41" i="118"/>
  <c r="H41" i="118"/>
  <c r="I41" i="118"/>
  <c r="J41" i="118"/>
  <c r="L41" i="118"/>
  <c r="D42" i="118"/>
  <c r="E42" i="118"/>
  <c r="F42" i="118"/>
  <c r="K42" i="118"/>
  <c r="G42" i="118"/>
  <c r="H42" i="118"/>
  <c r="I42" i="118"/>
  <c r="J42" i="118"/>
  <c r="L42" i="118"/>
  <c r="D43" i="118"/>
  <c r="E43" i="118"/>
  <c r="F43" i="118"/>
  <c r="K43" i="118"/>
  <c r="G43" i="118"/>
  <c r="H43" i="118"/>
  <c r="I43" i="118"/>
  <c r="J43" i="118"/>
  <c r="L43" i="118"/>
  <c r="D44" i="118"/>
  <c r="E44" i="118"/>
  <c r="G44" i="118"/>
  <c r="F44" i="118"/>
  <c r="H44" i="118"/>
  <c r="K44" i="118"/>
  <c r="I44" i="118"/>
  <c r="J44" i="118"/>
  <c r="L44" i="118"/>
  <c r="D45" i="118"/>
  <c r="E45" i="118"/>
  <c r="G45" i="118"/>
  <c r="F45" i="118"/>
  <c r="H45" i="118"/>
  <c r="I45" i="118"/>
  <c r="J45" i="118"/>
  <c r="L45" i="118"/>
  <c r="D46" i="118"/>
  <c r="K45" i="118"/>
  <c r="E46" i="118"/>
  <c r="G46" i="118"/>
  <c r="F46" i="118"/>
  <c r="K46" i="118"/>
  <c r="I46" i="118"/>
  <c r="J46" i="118"/>
  <c r="L46" i="118"/>
  <c r="D47" i="118"/>
  <c r="H46" i="118"/>
  <c r="F47" i="118"/>
  <c r="E47" i="118"/>
  <c r="G47" i="118"/>
  <c r="H47" i="118"/>
  <c r="K47" i="118"/>
  <c r="I47" i="118"/>
  <c r="J47" i="118"/>
  <c r="L47" i="118"/>
  <c r="D48" i="118"/>
  <c r="F48" i="118"/>
  <c r="K48" i="118"/>
  <c r="E48" i="118"/>
  <c r="G48" i="118"/>
  <c r="H48" i="118"/>
  <c r="I48" i="118"/>
  <c r="J48" i="118"/>
  <c r="L48" i="118"/>
  <c r="D49" i="118"/>
  <c r="F49" i="118"/>
  <c r="K49" i="118"/>
  <c r="E49" i="118"/>
  <c r="G49" i="118"/>
  <c r="H49" i="118"/>
  <c r="I49" i="118"/>
  <c r="J49" i="118"/>
  <c r="L49" i="118"/>
  <c r="D50" i="118"/>
  <c r="AD48" i="34"/>
  <c r="AB48" i="34"/>
  <c r="AC48" i="34"/>
  <c r="F50" i="118"/>
  <c r="K50" i="118"/>
  <c r="E50" i="118"/>
  <c r="V126" i="81"/>
  <c r="V127" i="81"/>
  <c r="R50" i="69"/>
  <c r="G50" i="118"/>
  <c r="H50" i="118"/>
  <c r="R48" i="34"/>
  <c r="R51" i="69"/>
  <c r="Q84" i="34"/>
  <c r="I50" i="118"/>
  <c r="J50" i="118"/>
  <c r="L50" i="118"/>
  <c r="D51" i="118"/>
  <c r="F51" i="118"/>
  <c r="E51" i="118"/>
  <c r="G51" i="118"/>
  <c r="K51" i="118"/>
  <c r="H51" i="118"/>
  <c r="I51" i="118"/>
  <c r="J51" i="118"/>
  <c r="L51" i="118"/>
  <c r="D52" i="118"/>
  <c r="F52" i="118"/>
  <c r="K52" i="118"/>
  <c r="E52" i="118"/>
  <c r="G52" i="118"/>
  <c r="H52" i="118"/>
  <c r="I52" i="118"/>
  <c r="J52" i="118"/>
  <c r="L52" i="118"/>
  <c r="D53" i="118"/>
  <c r="W126" i="81"/>
  <c r="S50" i="69"/>
  <c r="S51" i="69"/>
  <c r="R84" i="34"/>
  <c r="E53" i="118"/>
  <c r="F53" i="118"/>
  <c r="W127" i="81"/>
  <c r="K53" i="118"/>
  <c r="G53" i="118"/>
  <c r="H53" i="118"/>
  <c r="I53" i="118"/>
  <c r="J53" i="118"/>
  <c r="L53" i="118"/>
  <c r="D54" i="118"/>
  <c r="S40" i="70"/>
  <c r="E54" i="118"/>
  <c r="F54" i="118"/>
  <c r="K54" i="118"/>
  <c r="X126" i="81"/>
  <c r="T50" i="69"/>
  <c r="S12" i="69"/>
  <c r="T51" i="69"/>
  <c r="S84" i="34"/>
  <c r="G54" i="118"/>
  <c r="H54" i="118"/>
  <c r="I54" i="118"/>
  <c r="J54" i="118"/>
  <c r="L54" i="118"/>
  <c r="D55" i="118"/>
  <c r="F55" i="118"/>
  <c r="K55" i="118"/>
  <c r="X127" i="81"/>
  <c r="E55" i="118"/>
  <c r="G55" i="118"/>
  <c r="H55" i="118"/>
  <c r="I55" i="118"/>
  <c r="J55" i="118"/>
  <c r="L55" i="118"/>
  <c r="D56" i="118"/>
  <c r="F56" i="118"/>
  <c r="E56" i="118"/>
  <c r="G56" i="118"/>
  <c r="H56" i="118"/>
  <c r="I56" i="118"/>
  <c r="J56" i="118"/>
  <c r="L56" i="118"/>
  <c r="D57" i="118"/>
  <c r="E57" i="118"/>
  <c r="K56" i="118"/>
  <c r="F57" i="118"/>
  <c r="K57" i="118"/>
  <c r="G57" i="118"/>
  <c r="H57" i="118"/>
  <c r="I57" i="118"/>
  <c r="J57" i="118"/>
  <c r="L57" i="118"/>
  <c r="D58" i="118"/>
  <c r="V24" i="69"/>
  <c r="E58" i="118"/>
  <c r="G58" i="118"/>
  <c r="F58" i="118"/>
  <c r="K58" i="118"/>
  <c r="I58" i="118"/>
  <c r="J58" i="118"/>
  <c r="L58" i="118"/>
  <c r="D59" i="118"/>
  <c r="H58" i="118"/>
  <c r="E59" i="118"/>
  <c r="G59" i="118"/>
  <c r="H59" i="118"/>
  <c r="F59" i="118"/>
  <c r="K59" i="118"/>
  <c r="I59" i="118"/>
  <c r="J59" i="118"/>
  <c r="L59" i="118"/>
  <c r="D60" i="118"/>
  <c r="E60" i="118"/>
  <c r="G60" i="118"/>
  <c r="H60" i="118"/>
  <c r="F60" i="118"/>
  <c r="K60" i="118"/>
  <c r="I60" i="118"/>
  <c r="J60" i="118"/>
  <c r="L60" i="118"/>
  <c r="D61" i="118"/>
  <c r="F61" i="118"/>
  <c r="E61" i="118"/>
  <c r="G61" i="118"/>
  <c r="H61" i="118"/>
  <c r="I61" i="118"/>
  <c r="J61" i="118"/>
  <c r="L61" i="118"/>
  <c r="D62" i="118"/>
  <c r="K61" i="118"/>
  <c r="E62" i="118"/>
  <c r="I62" i="118"/>
  <c r="F62" i="118"/>
  <c r="K62" i="118"/>
  <c r="J62" i="118"/>
  <c r="G62" i="118"/>
  <c r="H62" i="118"/>
  <c r="L62" i="118"/>
  <c r="D63" i="118"/>
  <c r="G63" i="118"/>
  <c r="J63" i="118"/>
  <c r="L63" i="118"/>
  <c r="D64" i="118"/>
  <c r="E63" i="118"/>
  <c r="I63" i="118"/>
  <c r="H63" i="118"/>
  <c r="F63" i="118"/>
  <c r="K63" i="118"/>
  <c r="F64" i="118"/>
  <c r="E64" i="118"/>
  <c r="J64" i="118"/>
  <c r="K64" i="118"/>
  <c r="I64" i="118"/>
  <c r="H64" i="118"/>
  <c r="G64" i="118"/>
  <c r="L64" i="118"/>
  <c r="D65" i="118"/>
  <c r="I65" i="118"/>
  <c r="J65" i="118"/>
  <c r="E65" i="118"/>
  <c r="H65" i="118"/>
  <c r="K65" i="118"/>
  <c r="F65" i="118"/>
  <c r="L65" i="118"/>
  <c r="D66" i="118"/>
  <c r="G65" i="118"/>
  <c r="K66" i="118"/>
  <c r="L66" i="118"/>
  <c r="D67" i="118"/>
  <c r="J66" i="118"/>
  <c r="I66" i="118"/>
  <c r="E66" i="118"/>
  <c r="F66" i="118"/>
  <c r="H66" i="118"/>
  <c r="G66" i="118"/>
  <c r="I67" i="118"/>
  <c r="K67" i="118"/>
  <c r="H67" i="118"/>
  <c r="E67" i="118"/>
  <c r="G67" i="118"/>
  <c r="J67" i="118"/>
  <c r="F67" i="118"/>
  <c r="L67" i="118"/>
  <c r="D68" i="118"/>
  <c r="E68" i="118"/>
  <c r="K68" i="118"/>
  <c r="J68" i="118"/>
  <c r="H68" i="118"/>
  <c r="F68" i="118"/>
  <c r="L68" i="118"/>
  <c r="D69" i="118"/>
  <c r="G68" i="118"/>
  <c r="I68" i="118"/>
  <c r="K69" i="118"/>
  <c r="E69" i="118"/>
  <c r="J69" i="118"/>
  <c r="F69" i="118"/>
  <c r="L69" i="118"/>
  <c r="D70" i="118"/>
  <c r="G69" i="118"/>
  <c r="I69" i="118"/>
  <c r="H69" i="118"/>
  <c r="J70" i="118"/>
  <c r="G70" i="118"/>
  <c r="K70" i="118"/>
  <c r="E70" i="118"/>
  <c r="L70" i="118"/>
  <c r="D71" i="118"/>
  <c r="H70" i="118"/>
  <c r="F70" i="118"/>
  <c r="I70" i="118"/>
  <c r="I71" i="118"/>
  <c r="E71" i="118"/>
  <c r="J71" i="118"/>
  <c r="G71" i="118"/>
  <c r="L71" i="118"/>
  <c r="D72" i="118"/>
  <c r="F71" i="118"/>
  <c r="H71" i="118"/>
  <c r="K71" i="118"/>
  <c r="E72" i="118"/>
  <c r="B19" i="118"/>
  <c r="L72" i="118"/>
  <c r="H72" i="118"/>
  <c r="B20" i="118"/>
  <c r="K72" i="118"/>
  <c r="B21" i="118"/>
  <c r="I72" i="118"/>
  <c r="F72" i="118"/>
  <c r="G72" i="118"/>
  <c r="J72" i="118"/>
  <c r="B18" i="118"/>
  <c r="Y37" i="81"/>
  <c r="Y74" i="81"/>
  <c r="U24" i="69"/>
  <c r="Y39" i="81"/>
  <c r="Y126" i="81"/>
  <c r="U50" i="69"/>
  <c r="Y127" i="81"/>
  <c r="U51" i="69"/>
  <c r="T84" i="34"/>
  <c r="M48" i="34"/>
  <c r="N51" i="69"/>
  <c r="O48" i="34"/>
  <c r="P51" i="69"/>
  <c r="O51" i="69"/>
  <c r="P38" i="70"/>
  <c r="P48" i="34"/>
  <c r="U27" i="34"/>
  <c r="H22" i="57" s="1"/>
  <c r="U26" i="34"/>
  <c r="V29" i="69"/>
  <c r="V63" i="69"/>
  <c r="W63" i="69"/>
  <c r="V17" i="70"/>
  <c r="V66" i="69"/>
  <c r="U17" i="70"/>
  <c r="W61" i="69"/>
  <c r="U30" i="34"/>
  <c r="S10" i="11"/>
  <c r="V30" i="69"/>
  <c r="V12" i="69"/>
  <c r="V16" i="70"/>
  <c r="U16" i="70"/>
  <c r="V65" i="69"/>
  <c r="V67" i="69"/>
  <c r="V68" i="69"/>
  <c r="V29" i="34"/>
  <c r="H24" i="57" s="1"/>
  <c r="Z126" i="81"/>
  <c r="V52" i="69"/>
  <c r="V50" i="69"/>
  <c r="V51" i="69"/>
  <c r="U84" i="34"/>
  <c r="V84" i="34"/>
  <c r="W68" i="69"/>
  <c r="W65" i="69"/>
  <c r="X63" i="69"/>
  <c r="Z127" i="81"/>
  <c r="X61" i="69"/>
  <c r="W67" i="69"/>
  <c r="W51" i="69"/>
  <c r="W17" i="70"/>
  <c r="V22" i="34"/>
  <c r="H9" i="85"/>
  <c r="W52" i="69"/>
  <c r="X50" i="69"/>
  <c r="W84" i="34" s="1"/>
  <c r="X24" i="69"/>
  <c r="X29" i="34"/>
  <c r="Y29" i="34"/>
  <c r="Y29" i="69"/>
  <c r="Y30" i="69"/>
  <c r="X17" i="70"/>
  <c r="X16" i="70"/>
  <c r="E51" i="69"/>
  <c r="Y28" i="69"/>
  <c r="Y27" i="34"/>
  <c r="W10" i="11"/>
  <c r="Y26" i="34"/>
  <c r="Y30" i="34"/>
  <c r="Z28" i="69"/>
  <c r="Z33" i="69" s="1"/>
  <c r="Z36" i="69" s="1"/>
  <c r="Z29" i="69"/>
  <c r="Z30" i="69"/>
  <c r="R14" i="125"/>
  <c r="R14" i="115"/>
  <c r="R63" i="115"/>
  <c r="R66" i="115"/>
  <c r="Y16" i="70"/>
  <c r="Y17" i="70"/>
  <c r="R63" i="125"/>
  <c r="R66" i="125"/>
  <c r="R69" i="125"/>
  <c r="S15" i="125"/>
  <c r="T16" i="125"/>
  <c r="U17" i="125"/>
  <c r="V18" i="125"/>
  <c r="W19" i="125"/>
  <c r="X20" i="125"/>
  <c r="Y21" i="125"/>
  <c r="Z22" i="125"/>
  <c r="AA23" i="125"/>
  <c r="AB24" i="125"/>
  <c r="AC25" i="125"/>
  <c r="AD26" i="125"/>
  <c r="AL34" i="125"/>
  <c r="S15" i="115"/>
  <c r="T16" i="115"/>
  <c r="U17" i="115"/>
  <c r="V18" i="115"/>
  <c r="W19" i="115"/>
  <c r="X20" i="115"/>
  <c r="Y21" i="115"/>
  <c r="Z22" i="115"/>
  <c r="AA23" i="115"/>
  <c r="AB24" i="115"/>
  <c r="AC25" i="115"/>
  <c r="AD26" i="115"/>
  <c r="AQ39" i="115"/>
  <c r="S14" i="115"/>
  <c r="S14" i="125"/>
  <c r="T15" i="125"/>
  <c r="U16" i="125"/>
  <c r="V17" i="125"/>
  <c r="W18" i="125"/>
  <c r="X19" i="125"/>
  <c r="Y20" i="125"/>
  <c r="Z21" i="125"/>
  <c r="AA22" i="125"/>
  <c r="AB23" i="125"/>
  <c r="AC24" i="125"/>
  <c r="AD25" i="125"/>
  <c r="AE26" i="125"/>
  <c r="R69" i="115"/>
  <c r="U7" i="67"/>
  <c r="U11" i="67"/>
  <c r="AO37" i="125"/>
  <c r="AS41" i="125"/>
  <c r="AP38" i="125"/>
  <c r="AK33" i="125"/>
  <c r="AV44" i="125"/>
  <c r="AG29" i="125"/>
  <c r="AF28" i="125"/>
  <c r="AE27" i="125"/>
  <c r="AQ39" i="125"/>
  <c r="AH30" i="125"/>
  <c r="AM35" i="125"/>
  <c r="AU43" i="125"/>
  <c r="AR40" i="125"/>
  <c r="AT42" i="125"/>
  <c r="AW45" i="125"/>
  <c r="AJ32" i="125"/>
  <c r="AI31" i="125"/>
  <c r="AN36" i="125"/>
  <c r="S63" i="125"/>
  <c r="S66" i="125"/>
  <c r="S69" i="125"/>
  <c r="AJ32" i="115"/>
  <c r="AK33" i="115"/>
  <c r="S63" i="115"/>
  <c r="S66" i="115"/>
  <c r="S69" i="115"/>
  <c r="AI31" i="115"/>
  <c r="T15" i="115"/>
  <c r="U16" i="115"/>
  <c r="V17" i="115"/>
  <c r="W18" i="115"/>
  <c r="X19" i="115"/>
  <c r="Y20" i="115"/>
  <c r="Z21" i="115"/>
  <c r="AA22" i="115"/>
  <c r="AB23" i="115"/>
  <c r="AC24" i="115"/>
  <c r="AD25" i="115"/>
  <c r="AE26" i="115"/>
  <c r="AG28" i="115"/>
  <c r="AU43" i="115"/>
  <c r="AN36" i="115"/>
  <c r="AT42" i="115"/>
  <c r="AG29" i="115"/>
  <c r="AW45" i="115"/>
  <c r="AO37" i="115"/>
  <c r="AS41" i="115"/>
  <c r="AM35" i="115"/>
  <c r="AH30" i="115"/>
  <c r="T14" i="115"/>
  <c r="U15" i="115"/>
  <c r="V16" i="115"/>
  <c r="W17" i="115"/>
  <c r="X18" i="115"/>
  <c r="Y19" i="115"/>
  <c r="Z20" i="115"/>
  <c r="AA21" i="115"/>
  <c r="AB22" i="115"/>
  <c r="AC23" i="115"/>
  <c r="AD24" i="115"/>
  <c r="AE25" i="115"/>
  <c r="AF26" i="115"/>
  <c r="AE27" i="115"/>
  <c r="AF28" i="115"/>
  <c r="AR40" i="115"/>
  <c r="AV44" i="115"/>
  <c r="AL34" i="115"/>
  <c r="AP38" i="115"/>
  <c r="T14" i="125"/>
  <c r="T63" i="125"/>
  <c r="T66" i="125"/>
  <c r="T69" i="125"/>
  <c r="AS40" i="115"/>
  <c r="AV43" i="125"/>
  <c r="AF27" i="125"/>
  <c r="AG28" i="125"/>
  <c r="AH29" i="125"/>
  <c r="AQ38" i="125"/>
  <c r="AW44" i="125"/>
  <c r="AT41" i="125"/>
  <c r="AP37" i="125"/>
  <c r="AJ31" i="125"/>
  <c r="AU42" i="125"/>
  <c r="AR39" i="125"/>
  <c r="AI30" i="125"/>
  <c r="AL33" i="125"/>
  <c r="AS40" i="125"/>
  <c r="AO36" i="125"/>
  <c r="AN35" i="125"/>
  <c r="AM34" i="125"/>
  <c r="AK32" i="125"/>
  <c r="AR39" i="115"/>
  <c r="AL33" i="115"/>
  <c r="AU42" i="115"/>
  <c r="AO36" i="115"/>
  <c r="AV43" i="115"/>
  <c r="AT41" i="115"/>
  <c r="AP37" i="115"/>
  <c r="AF27" i="115"/>
  <c r="V7" i="67"/>
  <c r="V11" i="67"/>
  <c r="V27" i="34"/>
  <c r="AK32" i="115"/>
  <c r="AI30" i="115"/>
  <c r="AJ31" i="115"/>
  <c r="AH29" i="115"/>
  <c r="AM34" i="115"/>
  <c r="AN35" i="115"/>
  <c r="AQ38" i="115"/>
  <c r="AW44" i="115"/>
  <c r="T63" i="115"/>
  <c r="T66" i="115"/>
  <c r="W7" i="67"/>
  <c r="W11" i="67"/>
  <c r="U14" i="125"/>
  <c r="V15" i="125"/>
  <c r="W16" i="125"/>
  <c r="X17" i="125"/>
  <c r="Y18" i="125"/>
  <c r="Z19" i="125"/>
  <c r="AA20" i="125"/>
  <c r="AB21" i="125"/>
  <c r="AC22" i="125"/>
  <c r="AD23" i="125"/>
  <c r="AE24" i="125"/>
  <c r="AF25" i="125"/>
  <c r="AG26" i="125"/>
  <c r="U15" i="125"/>
  <c r="V16" i="125"/>
  <c r="W17" i="125"/>
  <c r="X18" i="125"/>
  <c r="Y19" i="125"/>
  <c r="Z20" i="125"/>
  <c r="AA21" i="125"/>
  <c r="AB22" i="125"/>
  <c r="AC23" i="125"/>
  <c r="AD24" i="125"/>
  <c r="AE25" i="125"/>
  <c r="AF26" i="125"/>
  <c r="AQ37" i="125"/>
  <c r="AO35" i="115"/>
  <c r="AP36" i="115"/>
  <c r="AN34" i="115"/>
  <c r="AH28" i="115"/>
  <c r="AU41" i="115"/>
  <c r="AL32" i="115"/>
  <c r="AT40" i="115"/>
  <c r="AK31" i="115"/>
  <c r="AI29" i="115"/>
  <c r="AW43" i="115"/>
  <c r="AV42" i="115"/>
  <c r="AM33" i="115"/>
  <c r="AG27" i="115"/>
  <c r="AR38" i="115"/>
  <c r="AQ37" i="115"/>
  <c r="AS39" i="115"/>
  <c r="AJ30" i="115"/>
  <c r="Z50" i="69"/>
  <c r="AN34" i="125"/>
  <c r="V14" i="125"/>
  <c r="W15" i="125"/>
  <c r="X16" i="125"/>
  <c r="Y17" i="125"/>
  <c r="Z18" i="125"/>
  <c r="AA19" i="125"/>
  <c r="AB20" i="125"/>
  <c r="AC21" i="125"/>
  <c r="AD22" i="125"/>
  <c r="AE23" i="125"/>
  <c r="AF24" i="125"/>
  <c r="AG25" i="125"/>
  <c r="AH26" i="125"/>
  <c r="T69" i="115"/>
  <c r="AR38" i="125"/>
  <c r="AW43" i="125"/>
  <c r="AJ30" i="125"/>
  <c r="AV42" i="125"/>
  <c r="AG27" i="125"/>
  <c r="AP36" i="125"/>
  <c r="AS39" i="125"/>
  <c r="AT40" i="125"/>
  <c r="U63" i="125"/>
  <c r="U66" i="125"/>
  <c r="U69" i="125"/>
  <c r="AO35" i="125"/>
  <c r="AI29" i="125"/>
  <c r="AH28" i="125"/>
  <c r="AU41" i="125"/>
  <c r="AK31" i="125"/>
  <c r="AM33" i="125"/>
  <c r="AL32" i="125"/>
  <c r="AM32" i="125"/>
  <c r="AU40" i="125"/>
  <c r="AP35" i="125"/>
  <c r="AR37" i="125"/>
  <c r="AI28" i="125"/>
  <c r="AN33" i="125"/>
  <c r="AL31" i="125"/>
  <c r="AK30" i="125"/>
  <c r="AV41" i="125"/>
  <c r="AO34" i="125"/>
  <c r="AJ29" i="125"/>
  <c r="AH27" i="125"/>
  <c r="AQ36" i="125"/>
  <c r="AW42" i="125"/>
  <c r="AT39" i="125"/>
  <c r="AS38" i="125"/>
  <c r="Z52" i="69"/>
  <c r="V63" i="125"/>
  <c r="V66" i="125"/>
  <c r="V69" i="125"/>
  <c r="AR36" i="125"/>
  <c r="AQ35" i="125"/>
  <c r="AN32" i="125"/>
  <c r="AO33" i="125"/>
  <c r="AM31" i="125"/>
  <c r="AS37" i="125"/>
  <c r="AW41" i="125"/>
  <c r="AV40" i="125"/>
  <c r="AK29" i="125"/>
  <c r="AI27" i="125"/>
  <c r="AT38" i="125"/>
  <c r="AU39" i="125"/>
  <c r="AP34" i="125"/>
  <c r="AL30" i="125"/>
  <c r="AJ28" i="125"/>
  <c r="W14" i="125"/>
  <c r="W14" i="115"/>
  <c r="W63" i="125"/>
  <c r="W66" i="125"/>
  <c r="W69" i="125"/>
  <c r="X15" i="125"/>
  <c r="X15" i="115"/>
  <c r="Y16" i="125"/>
  <c r="Y16" i="115"/>
  <c r="Z17" i="115"/>
  <c r="Z17" i="125"/>
  <c r="AA18" i="125"/>
  <c r="AA18" i="115"/>
  <c r="AB19" i="115"/>
  <c r="AB19" i="125"/>
  <c r="AC20" i="115"/>
  <c r="AC20" i="125"/>
  <c r="AD21" i="125"/>
  <c r="AD21" i="115"/>
  <c r="AE22" i="125"/>
  <c r="AE22" i="115"/>
  <c r="AF23" i="115"/>
  <c r="AF23" i="125"/>
  <c r="AG24" i="125"/>
  <c r="AG24" i="115"/>
  <c r="AH25" i="115"/>
  <c r="AH25" i="125"/>
  <c r="AI26" i="125"/>
  <c r="AI26" i="115"/>
  <c r="AJ27" i="115"/>
  <c r="AR35" i="115"/>
  <c r="AU38" i="115"/>
  <c r="AQ34" i="115"/>
  <c r="AM30" i="115"/>
  <c r="AK28" i="115"/>
  <c r="AP33" i="115"/>
  <c r="AL29" i="115"/>
  <c r="AV39" i="115"/>
  <c r="AT37" i="115"/>
  <c r="AW40" i="115"/>
  <c r="AS36" i="115"/>
  <c r="AO32" i="115"/>
  <c r="AN31" i="115"/>
  <c r="AU38" i="125"/>
  <c r="AS36" i="125"/>
  <c r="AN31" i="125"/>
  <c r="AR35" i="125"/>
  <c r="AO32" i="125"/>
  <c r="AT37" i="125"/>
  <c r="AM30" i="125"/>
  <c r="AP33" i="125"/>
  <c r="AQ34" i="125"/>
  <c r="AJ27" i="125"/>
  <c r="AV39" i="125"/>
  <c r="AL29" i="125"/>
  <c r="AW40" i="125"/>
  <c r="AK28" i="125"/>
  <c r="R22" i="34"/>
  <c r="X22" i="34"/>
  <c r="Y22" i="34"/>
  <c r="Y33" i="34" s="1"/>
  <c r="Y34" i="34" s="1"/>
  <c r="R26" i="34"/>
  <c r="R30" i="34" s="1"/>
  <c r="R33" i="34" s="1"/>
  <c r="R34" i="34" s="1"/>
  <c r="S26" i="34"/>
  <c r="S30" i="34" s="1"/>
  <c r="T26" i="34"/>
  <c r="T30" i="34" s="1"/>
  <c r="X26" i="34"/>
  <c r="Z24" i="69"/>
  <c r="W40" i="70"/>
  <c r="W24" i="69"/>
  <c r="AA23" i="109"/>
  <c r="AA108" i="109"/>
  <c r="X20" i="109"/>
  <c r="X105" i="109"/>
  <c r="R14" i="109"/>
  <c r="R99" i="109"/>
  <c r="AC25" i="109"/>
  <c r="AC110" i="109"/>
  <c r="T16" i="109"/>
  <c r="T101" i="109"/>
  <c r="V18" i="109"/>
  <c r="V103" i="109"/>
  <c r="X22" i="109"/>
  <c r="X107" i="109"/>
  <c r="R15" i="109"/>
  <c r="R100" i="109"/>
  <c r="Z23" i="109"/>
  <c r="Z108" i="109"/>
  <c r="W21" i="109"/>
  <c r="W106" i="109"/>
  <c r="U19" i="109"/>
  <c r="U104" i="109"/>
  <c r="V19" i="109"/>
  <c r="V104" i="109"/>
  <c r="AA24" i="109"/>
  <c r="AA109" i="109"/>
  <c r="Z24" i="109"/>
  <c r="Z109" i="109"/>
  <c r="T17" i="109"/>
  <c r="T102" i="109"/>
  <c r="X21" i="109"/>
  <c r="X106" i="109"/>
  <c r="P14" i="109"/>
  <c r="P99" i="109"/>
  <c r="R17" i="109"/>
  <c r="R102" i="109"/>
  <c r="W22" i="109"/>
  <c r="W107" i="109"/>
  <c r="Q17" i="109"/>
  <c r="Q102" i="109"/>
  <c r="Y24" i="109"/>
  <c r="Y109" i="109"/>
  <c r="R18" i="109"/>
  <c r="R103" i="109"/>
  <c r="Q16" i="109"/>
  <c r="Q101" i="109"/>
  <c r="P15" i="109"/>
  <c r="P100" i="109"/>
  <c r="P16" i="109"/>
  <c r="P101" i="109"/>
  <c r="X24" i="109"/>
  <c r="X109" i="109"/>
  <c r="S19" i="109"/>
  <c r="S104" i="109"/>
  <c r="L14" i="109"/>
  <c r="O25" i="109"/>
  <c r="U25" i="109"/>
  <c r="S25" i="109"/>
  <c r="W25" i="109"/>
  <c r="V25" i="109"/>
  <c r="W19" i="109"/>
  <c r="W104" i="109"/>
  <c r="U17" i="109"/>
  <c r="U102" i="109"/>
  <c r="S15" i="109"/>
  <c r="S100" i="109"/>
  <c r="Z22" i="109"/>
  <c r="Z107" i="109"/>
  <c r="Y21" i="109"/>
  <c r="Y106" i="109"/>
  <c r="AB24" i="109"/>
  <c r="AB109" i="109"/>
  <c r="AB25" i="109"/>
  <c r="L13" i="109"/>
  <c r="K13" i="109"/>
  <c r="P25" i="109"/>
  <c r="T25" i="109"/>
  <c r="AA25" i="109"/>
  <c r="T18" i="109"/>
  <c r="T103" i="109"/>
  <c r="Q15" i="109"/>
  <c r="Q100" i="109"/>
  <c r="Y22" i="109"/>
  <c r="Y107" i="109"/>
  <c r="S16" i="109"/>
  <c r="S101" i="109"/>
  <c r="S17" i="109"/>
  <c r="S102" i="109"/>
  <c r="T19" i="109"/>
  <c r="T104" i="109"/>
  <c r="X23" i="109"/>
  <c r="X108" i="109"/>
  <c r="V21" i="109"/>
  <c r="V106" i="109"/>
  <c r="S18" i="109"/>
  <c r="S103" i="109"/>
  <c r="O14" i="109"/>
  <c r="O99" i="109"/>
  <c r="N14" i="109"/>
  <c r="N99" i="109"/>
  <c r="F13" i="109"/>
  <c r="R25" i="109"/>
  <c r="N25" i="109"/>
  <c r="K15" i="109"/>
  <c r="L15" i="109"/>
  <c r="L17" i="109"/>
  <c r="O16" i="109"/>
  <c r="O101" i="109"/>
  <c r="R24" i="109"/>
  <c r="R109" i="109"/>
  <c r="Q23" i="109"/>
  <c r="Q108" i="109"/>
  <c r="U24" i="109"/>
  <c r="U109" i="109"/>
  <c r="W24" i="109"/>
  <c r="W109" i="109"/>
  <c r="P20" i="109"/>
  <c r="P105" i="109"/>
  <c r="K18" i="109"/>
  <c r="H15" i="109"/>
  <c r="H14" i="109"/>
  <c r="T22" i="109"/>
  <c r="T107" i="109"/>
  <c r="N15" i="109"/>
  <c r="N100" i="109"/>
  <c r="T23" i="109"/>
  <c r="T108" i="109"/>
  <c r="T21" i="109"/>
  <c r="T106" i="109"/>
  <c r="R20" i="109"/>
  <c r="R105" i="109"/>
  <c r="O18" i="109"/>
  <c r="O103" i="109"/>
  <c r="Q20" i="109"/>
  <c r="Q105" i="109"/>
  <c r="K17" i="109"/>
  <c r="J21" i="109"/>
  <c r="K21" i="109"/>
  <c r="K16" i="109"/>
  <c r="J16" i="109"/>
  <c r="J19" i="109"/>
  <c r="J20" i="109"/>
  <c r="I20" i="109"/>
  <c r="N23" i="109"/>
  <c r="N108" i="109"/>
  <c r="O24" i="109"/>
  <c r="O109" i="109"/>
  <c r="Q19" i="109"/>
  <c r="Q104" i="109"/>
  <c r="N18" i="109"/>
  <c r="N103" i="109"/>
  <c r="S23" i="109"/>
  <c r="S108" i="109"/>
  <c r="U22" i="109"/>
  <c r="U107" i="109"/>
  <c r="Q21" i="109"/>
  <c r="Q106" i="109"/>
  <c r="N24" i="109"/>
  <c r="N109" i="109"/>
  <c r="L22" i="109"/>
  <c r="K22" i="109"/>
  <c r="G15" i="109"/>
  <c r="F16" i="109"/>
  <c r="E16" i="109"/>
  <c r="P24" i="109"/>
  <c r="P109" i="109"/>
  <c r="G16" i="109"/>
  <c r="I19" i="109"/>
  <c r="H19" i="109"/>
  <c r="H17" i="109"/>
  <c r="L20" i="109"/>
  <c r="D15" i="109"/>
  <c r="E15" i="109"/>
  <c r="I16" i="109"/>
  <c r="H18" i="109"/>
  <c r="G18" i="109"/>
  <c r="I14" i="109"/>
  <c r="L23" i="109"/>
  <c r="T24" i="109"/>
  <c r="T109" i="109"/>
  <c r="Q24" i="109"/>
  <c r="Q109" i="109"/>
  <c r="O22" i="109"/>
  <c r="O107" i="109"/>
  <c r="N20" i="109"/>
  <c r="N105" i="109"/>
  <c r="P21" i="109"/>
  <c r="P106" i="109"/>
  <c r="S22" i="109"/>
  <c r="S107" i="109"/>
  <c r="S20" i="109"/>
  <c r="S105" i="109"/>
  <c r="L19" i="109"/>
  <c r="D14" i="109"/>
  <c r="L21" i="109"/>
  <c r="E14" i="109"/>
  <c r="G17" i="109"/>
  <c r="F17" i="109"/>
  <c r="Y25" i="109"/>
  <c r="G13" i="109"/>
  <c r="X25" i="109"/>
  <c r="P13" i="109"/>
  <c r="P98" i="109"/>
  <c r="Z25" i="109"/>
  <c r="R16" i="109"/>
  <c r="R101" i="109"/>
  <c r="Q14" i="109"/>
  <c r="Q99" i="109"/>
  <c r="V20" i="109"/>
  <c r="V105" i="109"/>
  <c r="Y23" i="109"/>
  <c r="Y108" i="109"/>
  <c r="W20" i="109"/>
  <c r="W105" i="109"/>
  <c r="U18" i="109"/>
  <c r="U103" i="109"/>
  <c r="V22" i="109"/>
  <c r="V107" i="109"/>
  <c r="T20" i="109"/>
  <c r="T105" i="109"/>
  <c r="U20" i="109"/>
  <c r="U105" i="109"/>
  <c r="W23" i="109"/>
  <c r="W108" i="109"/>
  <c r="U21" i="109"/>
  <c r="U106" i="109"/>
  <c r="H13" i="109"/>
  <c r="C13" i="109"/>
  <c r="C62" i="109"/>
  <c r="E13" i="109"/>
  <c r="D13" i="109"/>
  <c r="K14" i="109"/>
  <c r="B13" i="109"/>
  <c r="B62" i="109"/>
  <c r="N17" i="109"/>
  <c r="N102" i="109"/>
  <c r="K19" i="109"/>
  <c r="Q25" i="109"/>
  <c r="U23" i="109"/>
  <c r="U108" i="109"/>
  <c r="R22" i="109"/>
  <c r="R107" i="109"/>
  <c r="R23" i="109"/>
  <c r="R108" i="109"/>
  <c r="V24" i="109"/>
  <c r="V109" i="109"/>
  <c r="H16" i="109"/>
  <c r="N22" i="109"/>
  <c r="N107" i="109"/>
  <c r="N16" i="109"/>
  <c r="N101" i="109"/>
  <c r="Q13" i="109"/>
  <c r="Q98" i="109"/>
  <c r="J15" i="109"/>
  <c r="G14" i="109"/>
  <c r="J17" i="109"/>
  <c r="R21" i="109"/>
  <c r="R106" i="109"/>
  <c r="S21" i="109"/>
  <c r="S106" i="109"/>
  <c r="Q18" i="109"/>
  <c r="Q103" i="109"/>
  <c r="I18" i="109"/>
  <c r="Q22" i="109"/>
  <c r="Q107" i="109"/>
  <c r="N21" i="109"/>
  <c r="N106" i="109"/>
  <c r="I17" i="109"/>
  <c r="P22" i="109"/>
  <c r="P107" i="109"/>
  <c r="N19" i="109"/>
  <c r="N104" i="109"/>
  <c r="F14" i="109"/>
  <c r="O15" i="109"/>
  <c r="O100" i="109"/>
  <c r="O20" i="109"/>
  <c r="O105" i="109"/>
  <c r="F15" i="109"/>
  <c r="J14" i="109"/>
  <c r="I13" i="109"/>
  <c r="P17" i="109"/>
  <c r="P102" i="109"/>
  <c r="I15" i="109"/>
  <c r="V23" i="109"/>
  <c r="V108" i="109"/>
  <c r="L16" i="109"/>
  <c r="O17" i="109"/>
  <c r="O102" i="109"/>
  <c r="P18" i="109"/>
  <c r="P103" i="109"/>
  <c r="O21" i="109"/>
  <c r="O106" i="109"/>
  <c r="J18" i="109"/>
  <c r="R19" i="109"/>
  <c r="R104" i="109"/>
  <c r="S24" i="109"/>
  <c r="S109" i="109"/>
  <c r="L18" i="109"/>
  <c r="O23" i="109"/>
  <c r="O108" i="109"/>
  <c r="K20" i="109"/>
  <c r="P19" i="109"/>
  <c r="P104" i="109"/>
  <c r="P23" i="109"/>
  <c r="P108" i="109"/>
  <c r="O19" i="109"/>
  <c r="O104" i="109"/>
  <c r="O13" i="109"/>
  <c r="O98" i="109"/>
  <c r="J13" i="109"/>
  <c r="N13" i="109"/>
  <c r="N98" i="109"/>
  <c r="AT46" i="109"/>
  <c r="AW134" i="109"/>
  <c r="AU132" i="109"/>
  <c r="AV133" i="109"/>
  <c r="X110" i="109"/>
  <c r="AS130" i="109"/>
  <c r="AN125" i="109"/>
  <c r="AK122" i="109"/>
  <c r="AI120" i="109"/>
  <c r="AG118" i="109"/>
  <c r="AB113" i="109"/>
  <c r="AQ128" i="109"/>
  <c r="AP127" i="109"/>
  <c r="AR129" i="109"/>
  <c r="AO126" i="109"/>
  <c r="AJ121" i="109"/>
  <c r="AH119" i="109"/>
  <c r="AL123" i="109"/>
  <c r="AE116" i="109"/>
  <c r="AC114" i="109"/>
  <c r="AM124" i="109"/>
  <c r="AF117" i="109"/>
  <c r="AD115" i="109"/>
  <c r="AT131" i="109"/>
  <c r="AW130" i="109"/>
  <c r="AR125" i="109"/>
  <c r="AO122" i="109"/>
  <c r="AM120" i="109"/>
  <c r="AK118" i="109"/>
  <c r="AB110" i="109"/>
  <c r="AU128" i="109"/>
  <c r="AT127" i="109"/>
  <c r="AF113" i="109"/>
  <c r="AV129" i="109"/>
  <c r="AS126" i="109"/>
  <c r="AN121" i="109"/>
  <c r="AL119" i="109"/>
  <c r="AI116" i="109"/>
  <c r="AG114" i="109"/>
  <c r="AP123" i="109"/>
  <c r="AJ117" i="109"/>
  <c r="AQ124" i="109"/>
  <c r="AH115" i="109"/>
  <c r="AE113" i="109"/>
  <c r="AA110" i="109"/>
  <c r="AW131" i="109"/>
  <c r="AP124" i="109"/>
  <c r="AO123" i="109"/>
  <c r="AV130" i="109"/>
  <c r="AQ125" i="109"/>
  <c r="AN122" i="109"/>
  <c r="AT128" i="109"/>
  <c r="AS127" i="109"/>
  <c r="AI117" i="109"/>
  <c r="AU129" i="109"/>
  <c r="AR126" i="109"/>
  <c r="AJ118" i="109"/>
  <c r="AH116" i="109"/>
  <c r="AF114" i="109"/>
  <c r="AL120" i="109"/>
  <c r="AM121" i="109"/>
  <c r="AK119" i="109"/>
  <c r="AG115" i="109"/>
  <c r="AQ45" i="109"/>
  <c r="AT133" i="109"/>
  <c r="Z113" i="109"/>
  <c r="V110" i="109"/>
  <c r="AW136" i="109"/>
  <c r="AV135" i="109"/>
  <c r="AU134" i="109"/>
  <c r="AP129" i="109"/>
  <c r="AM126" i="109"/>
  <c r="AH121" i="109"/>
  <c r="AF119" i="109"/>
  <c r="AR131" i="109"/>
  <c r="AK124" i="109"/>
  <c r="AJ123" i="109"/>
  <c r="AQ130" i="109"/>
  <c r="AL125" i="109"/>
  <c r="AI122" i="109"/>
  <c r="AG120" i="109"/>
  <c r="AE118" i="109"/>
  <c r="AD117" i="109"/>
  <c r="AB115" i="109"/>
  <c r="AS132" i="109"/>
  <c r="AA114" i="109"/>
  <c r="AO128" i="109"/>
  <c r="AN127" i="109"/>
  <c r="AC116" i="109"/>
  <c r="AC33" i="109"/>
  <c r="AV137" i="109"/>
  <c r="AS134" i="109"/>
  <c r="AQ132" i="109"/>
  <c r="AW138" i="109"/>
  <c r="AR133" i="109"/>
  <c r="X113" i="109"/>
  <c r="AT135" i="109"/>
  <c r="AO130" i="109"/>
  <c r="AJ125" i="109"/>
  <c r="AG122" i="109"/>
  <c r="AE120" i="109"/>
  <c r="AC118" i="109"/>
  <c r="AM128" i="109"/>
  <c r="AL127" i="109"/>
  <c r="AU136" i="109"/>
  <c r="AN129" i="109"/>
  <c r="AK126" i="109"/>
  <c r="AF121" i="109"/>
  <c r="AD119" i="109"/>
  <c r="AP131" i="109"/>
  <c r="AI124" i="109"/>
  <c r="AA116" i="109"/>
  <c r="Y114" i="109"/>
  <c r="AH123" i="109"/>
  <c r="T110" i="109"/>
  <c r="AB117" i="109"/>
  <c r="Z115" i="109"/>
  <c r="AA28" i="109"/>
  <c r="AW135" i="109"/>
  <c r="AV134" i="109"/>
  <c r="AA113" i="109"/>
  <c r="W110" i="109"/>
  <c r="AT132" i="109"/>
  <c r="AU133" i="109"/>
  <c r="AS131" i="109"/>
  <c r="AL124" i="109"/>
  <c r="AK123" i="109"/>
  <c r="AR130" i="109"/>
  <c r="AM125" i="109"/>
  <c r="AJ122" i="109"/>
  <c r="AP128" i="109"/>
  <c r="AO127" i="109"/>
  <c r="AG119" i="109"/>
  <c r="AE117" i="109"/>
  <c r="AH120" i="109"/>
  <c r="AD116" i="109"/>
  <c r="AB114" i="109"/>
  <c r="AF118" i="109"/>
  <c r="AC115" i="109"/>
  <c r="AQ129" i="109"/>
  <c r="AN126" i="109"/>
  <c r="AI121" i="109"/>
  <c r="Y33" i="109"/>
  <c r="AW142" i="109"/>
  <c r="AR137" i="109"/>
  <c r="AO134" i="109"/>
  <c r="AU140" i="109"/>
  <c r="AT139" i="109"/>
  <c r="AV141" i="109"/>
  <c r="AS138" i="109"/>
  <c r="AN133" i="109"/>
  <c r="AK130" i="109"/>
  <c r="AF125" i="109"/>
  <c r="AC122" i="109"/>
  <c r="AA120" i="109"/>
  <c r="Y118" i="109"/>
  <c r="AP135" i="109"/>
  <c r="AI128" i="109"/>
  <c r="AH127" i="109"/>
  <c r="P110" i="109"/>
  <c r="AJ129" i="109"/>
  <c r="AG126" i="109"/>
  <c r="AB121" i="109"/>
  <c r="Z119" i="109"/>
  <c r="W116" i="109"/>
  <c r="U114" i="109"/>
  <c r="AL131" i="109"/>
  <c r="AE124" i="109"/>
  <c r="T113" i="109"/>
  <c r="AQ136" i="109"/>
  <c r="AM132" i="109"/>
  <c r="AD123" i="109"/>
  <c r="X117" i="109"/>
  <c r="V115" i="109"/>
  <c r="Y30" i="109"/>
  <c r="AT136" i="109"/>
  <c r="AS135" i="109"/>
  <c r="AU137" i="109"/>
  <c r="AR134" i="109"/>
  <c r="W113" i="109"/>
  <c r="S110" i="109"/>
  <c r="AW139" i="109"/>
  <c r="AP132" i="109"/>
  <c r="AO131" i="109"/>
  <c r="AH124" i="109"/>
  <c r="AG123" i="109"/>
  <c r="AQ133" i="109"/>
  <c r="AN130" i="109"/>
  <c r="AI125" i="109"/>
  <c r="AF122" i="109"/>
  <c r="AL128" i="109"/>
  <c r="AK127" i="109"/>
  <c r="AE121" i="109"/>
  <c r="AJ126" i="109"/>
  <c r="AA117" i="109"/>
  <c r="Y115" i="109"/>
  <c r="AB118" i="109"/>
  <c r="Z116" i="109"/>
  <c r="X114" i="109"/>
  <c r="AM129" i="109"/>
  <c r="AV138" i="109"/>
  <c r="AC119" i="109"/>
  <c r="AD120" i="109"/>
  <c r="U113" i="109"/>
  <c r="Q110" i="109"/>
  <c r="AV140" i="109"/>
  <c r="AU139" i="109"/>
  <c r="AW141" i="109"/>
  <c r="AT138" i="109"/>
  <c r="AO133" i="109"/>
  <c r="AR136" i="109"/>
  <c r="AQ135" i="109"/>
  <c r="AJ128" i="109"/>
  <c r="AI127" i="109"/>
  <c r="AS137" i="109"/>
  <c r="AK129" i="109"/>
  <c r="AH126" i="109"/>
  <c r="AN132" i="109"/>
  <c r="AM131" i="109"/>
  <c r="AF124" i="109"/>
  <c r="AE123" i="109"/>
  <c r="AP134" i="109"/>
  <c r="AL130" i="109"/>
  <c r="AG125" i="109"/>
  <c r="AB120" i="109"/>
  <c r="AA119" i="109"/>
  <c r="Z118" i="109"/>
  <c r="X116" i="109"/>
  <c r="V114" i="109"/>
  <c r="AC121" i="109"/>
  <c r="Y117" i="109"/>
  <c r="W115" i="109"/>
  <c r="AD122" i="109"/>
  <c r="AD113" i="109"/>
  <c r="Z110" i="109"/>
  <c r="AT129" i="109"/>
  <c r="AQ126" i="109"/>
  <c r="AL121" i="109"/>
  <c r="AJ119" i="109"/>
  <c r="AH117" i="109"/>
  <c r="AV131" i="109"/>
  <c r="AO124" i="109"/>
  <c r="AN123" i="109"/>
  <c r="AW132" i="109"/>
  <c r="AU130" i="109"/>
  <c r="AP125" i="109"/>
  <c r="AM122" i="109"/>
  <c r="AK120" i="109"/>
  <c r="AI118" i="109"/>
  <c r="AF115" i="109"/>
  <c r="AS128" i="109"/>
  <c r="AR127" i="109"/>
  <c r="AG116" i="109"/>
  <c r="AE114" i="109"/>
  <c r="AC113" i="109"/>
  <c r="Y110" i="109"/>
  <c r="AV132" i="109"/>
  <c r="AW133" i="109"/>
  <c r="AR128" i="109"/>
  <c r="AQ127" i="109"/>
  <c r="AS129" i="109"/>
  <c r="AP126" i="109"/>
  <c r="AK121" i="109"/>
  <c r="AU131" i="109"/>
  <c r="AN124" i="109"/>
  <c r="AM123" i="109"/>
  <c r="AJ120" i="109"/>
  <c r="AL122" i="109"/>
  <c r="AG117" i="109"/>
  <c r="AE115" i="109"/>
  <c r="AI119" i="109"/>
  <c r="AF116" i="109"/>
  <c r="AT130" i="109"/>
  <c r="AO125" i="109"/>
  <c r="AH118" i="109"/>
  <c r="AD114" i="109"/>
  <c r="AU138" i="109"/>
  <c r="AP133" i="109"/>
  <c r="V113" i="109"/>
  <c r="R110" i="109"/>
  <c r="AS136" i="109"/>
  <c r="AR135" i="109"/>
  <c r="AT137" i="109"/>
  <c r="AQ134" i="109"/>
  <c r="AL129" i="109"/>
  <c r="AI126" i="109"/>
  <c r="AD121" i="109"/>
  <c r="AB119" i="109"/>
  <c r="AW140" i="109"/>
  <c r="AO132" i="109"/>
  <c r="AN131" i="109"/>
  <c r="AG124" i="109"/>
  <c r="AF123" i="109"/>
  <c r="AV139" i="109"/>
  <c r="AM130" i="109"/>
  <c r="AH125" i="109"/>
  <c r="AE122" i="109"/>
  <c r="AC120" i="109"/>
  <c r="Z117" i="109"/>
  <c r="X115" i="109"/>
  <c r="W114" i="109"/>
  <c r="AJ127" i="109"/>
  <c r="AA118" i="109"/>
  <c r="Y116" i="109"/>
  <c r="AK128" i="109"/>
  <c r="AJ39" i="109"/>
  <c r="Y113" i="109"/>
  <c r="U110" i="109"/>
  <c r="AR132" i="109"/>
  <c r="AS133" i="109"/>
  <c r="AV136" i="109"/>
  <c r="AU135" i="109"/>
  <c r="AW137" i="109"/>
  <c r="AN128" i="109"/>
  <c r="AM127" i="109"/>
  <c r="AO129" i="109"/>
  <c r="AL126" i="109"/>
  <c r="AG121" i="109"/>
  <c r="AT134" i="109"/>
  <c r="AQ131" i="109"/>
  <c r="AJ124" i="109"/>
  <c r="AI123" i="109"/>
  <c r="AD118" i="109"/>
  <c r="AP130" i="109"/>
  <c r="AE119" i="109"/>
  <c r="AC117" i="109"/>
  <c r="AA115" i="109"/>
  <c r="Z114" i="109"/>
  <c r="AH122" i="109"/>
  <c r="AF120" i="109"/>
  <c r="AK125" i="109"/>
  <c r="AB116" i="109"/>
  <c r="AB37" i="109"/>
  <c r="AS139" i="109"/>
  <c r="AR138" i="109"/>
  <c r="AK131" i="109"/>
  <c r="AJ130" i="109"/>
  <c r="AC123" i="109"/>
  <c r="AB122" i="109"/>
  <c r="X118" i="109"/>
  <c r="T114" i="109"/>
  <c r="AW143" i="109"/>
  <c r="AN134" i="109"/>
  <c r="Z120" i="109"/>
  <c r="S113" i="109"/>
  <c r="O110" i="109"/>
  <c r="AT140" i="109"/>
  <c r="AQ137" i="109"/>
  <c r="AL132" i="109"/>
  <c r="AI129" i="109"/>
  <c r="AD124" i="109"/>
  <c r="AA121" i="109"/>
  <c r="W117" i="109"/>
  <c r="AO135" i="109"/>
  <c r="AG127" i="109"/>
  <c r="AU141" i="109"/>
  <c r="AP136" i="109"/>
  <c r="AM133" i="109"/>
  <c r="AH128" i="109"/>
  <c r="AE125" i="109"/>
  <c r="Y119" i="109"/>
  <c r="U115" i="109"/>
  <c r="AV142" i="109"/>
  <c r="AF126" i="109"/>
  <c r="V116" i="109"/>
  <c r="V33" i="109"/>
  <c r="R113" i="109"/>
  <c r="AW144" i="109"/>
  <c r="AU143" i="109"/>
  <c r="AT142" i="109"/>
  <c r="AT141" i="109"/>
  <c r="AO136" i="109"/>
  <c r="AM135" i="109"/>
  <c r="AL134" i="109"/>
  <c r="AL133" i="109"/>
  <c r="AG128" i="109"/>
  <c r="AE127" i="109"/>
  <c r="AD126" i="109"/>
  <c r="AD125" i="109"/>
  <c r="X120" i="109"/>
  <c r="X119" i="109"/>
  <c r="T116" i="109"/>
  <c r="T115" i="109"/>
  <c r="AP138" i="109"/>
  <c r="AK132" i="109"/>
  <c r="AH130" i="109"/>
  <c r="R114" i="109"/>
  <c r="N110" i="109"/>
  <c r="N147" i="109"/>
  <c r="AV144" i="109"/>
  <c r="AS141" i="109"/>
  <c r="AR139" i="109"/>
  <c r="AQ138" i="109"/>
  <c r="AN136" i="109"/>
  <c r="AK133" i="109"/>
  <c r="AJ131" i="109"/>
  <c r="AI130" i="109"/>
  <c r="AF128" i="109"/>
  <c r="AC125" i="109"/>
  <c r="AB123" i="109"/>
  <c r="AA122" i="109"/>
  <c r="W119" i="109"/>
  <c r="W118" i="109"/>
  <c r="S115" i="109"/>
  <c r="S114" i="109"/>
  <c r="AS140" i="109"/>
  <c r="AI131" i="109"/>
  <c r="AA123" i="109"/>
  <c r="V118" i="109"/>
  <c r="AW145" i="109"/>
  <c r="AV143" i="109"/>
  <c r="AU142" i="109"/>
  <c r="AR140" i="109"/>
  <c r="AO137" i="109"/>
  <c r="AN135" i="109"/>
  <c r="AM134" i="109"/>
  <c r="AJ132" i="109"/>
  <c r="AG129" i="109"/>
  <c r="AF127" i="109"/>
  <c r="AE126" i="109"/>
  <c r="AB124" i="109"/>
  <c r="Y121" i="109"/>
  <c r="Y120" i="109"/>
  <c r="U117" i="109"/>
  <c r="U116" i="109"/>
  <c r="AQ139" i="109"/>
  <c r="AP137" i="109"/>
  <c r="AH129" i="109"/>
  <c r="AC124" i="109"/>
  <c r="Z122" i="109"/>
  <c r="Z121" i="109"/>
  <c r="V117" i="109"/>
  <c r="H24" i="85"/>
  <c r="D62" i="109"/>
  <c r="H62" i="109"/>
  <c r="E62" i="109"/>
  <c r="N62" i="109"/>
  <c r="N65" i="109"/>
  <c r="N68" i="109"/>
  <c r="M62" i="109"/>
  <c r="M65" i="109"/>
  <c r="L62" i="109"/>
  <c r="L65" i="109"/>
  <c r="Q10" i="11"/>
  <c r="J62" i="109"/>
  <c r="W12" i="69"/>
  <c r="T10" i="11"/>
  <c r="P10" i="11"/>
  <c r="I62" i="109"/>
  <c r="R10" i="11"/>
  <c r="AT53" i="109"/>
  <c r="AV55" i="109"/>
  <c r="AO48" i="109"/>
  <c r="AG40" i="109"/>
  <c r="AI42" i="109"/>
  <c r="AN47" i="109"/>
  <c r="T27" i="109"/>
  <c r="Y32" i="109"/>
  <c r="Z33" i="109"/>
  <c r="G62" i="109"/>
  <c r="Z37" i="109"/>
  <c r="AG44" i="109"/>
  <c r="V32" i="109"/>
  <c r="R29" i="109"/>
  <c r="AS55" i="109"/>
  <c r="AN50" i="109"/>
  <c r="AS56" i="109"/>
  <c r="AP53" i="109"/>
  <c r="X34" i="109"/>
  <c r="P27" i="109"/>
  <c r="Q28" i="109"/>
  <c r="Q113" i="109"/>
  <c r="AR55" i="109"/>
  <c r="P26" i="109"/>
  <c r="AF42" i="109"/>
  <c r="F62" i="109"/>
  <c r="AT56" i="109"/>
  <c r="O26" i="109"/>
  <c r="O62" i="109"/>
  <c r="O65" i="109"/>
  <c r="AU58" i="109"/>
  <c r="AE41" i="109"/>
  <c r="AU57" i="109"/>
  <c r="AC39" i="109"/>
  <c r="AI46" i="109"/>
  <c r="AH45" i="109"/>
  <c r="AI45" i="109"/>
  <c r="AT57" i="109"/>
  <c r="U31" i="109"/>
  <c r="AE42" i="109"/>
  <c r="K62" i="109"/>
  <c r="AD40" i="109"/>
  <c r="T31" i="109"/>
  <c r="R28" i="109"/>
  <c r="AM49" i="109"/>
  <c r="AK48" i="109"/>
  <c r="AK47" i="109"/>
  <c r="S29" i="109"/>
  <c r="AD41" i="109"/>
  <c r="Y35" i="109"/>
  <c r="W33" i="109"/>
  <c r="AJ47" i="109"/>
  <c r="AA38" i="109"/>
  <c r="AQ54" i="109"/>
  <c r="AB38" i="109"/>
  <c r="Z36" i="109"/>
  <c r="AO51" i="109"/>
  <c r="AP52" i="109"/>
  <c r="AA37" i="109"/>
  <c r="U32" i="109"/>
  <c r="AG43" i="109"/>
  <c r="AV59" i="109"/>
  <c r="T30" i="109"/>
  <c r="AF43" i="109"/>
  <c r="W34" i="109"/>
  <c r="AW60" i="109"/>
  <c r="AM50" i="109"/>
  <c r="W30" i="109"/>
  <c r="AB35" i="109"/>
  <c r="AL45" i="109"/>
  <c r="AG31" i="109"/>
  <c r="AS43" i="109"/>
  <c r="AJ34" i="109"/>
  <c r="AU45" i="109"/>
  <c r="AT44" i="109"/>
  <c r="AF30" i="109"/>
  <c r="AQ41" i="109"/>
  <c r="AR42" i="109"/>
  <c r="AL36" i="109"/>
  <c r="AE29" i="109"/>
  <c r="AW47" i="109"/>
  <c r="AV46" i="109"/>
  <c r="AP40" i="109"/>
  <c r="AO39" i="109"/>
  <c r="AN38" i="109"/>
  <c r="AM37" i="109"/>
  <c r="AB26" i="109"/>
  <c r="AI33" i="109"/>
  <c r="AD28" i="109"/>
  <c r="AK35" i="109"/>
  <c r="AC27" i="109"/>
  <c r="AH32" i="109"/>
  <c r="V29" i="109"/>
  <c r="AU54" i="109"/>
  <c r="AH41" i="109"/>
  <c r="AS52" i="109"/>
  <c r="U28" i="109"/>
  <c r="AW56" i="109"/>
  <c r="X31" i="109"/>
  <c r="AF39" i="109"/>
  <c r="AM46" i="109"/>
  <c r="AK44" i="109"/>
  <c r="AQ50" i="109"/>
  <c r="AE38" i="109"/>
  <c r="AP49" i="109"/>
  <c r="AR51" i="109"/>
  <c r="AD37" i="109"/>
  <c r="AJ35" i="109"/>
  <c r="AE30" i="109"/>
  <c r="AC28" i="109"/>
  <c r="AP41" i="109"/>
  <c r="AS44" i="109"/>
  <c r="AF31" i="109"/>
  <c r="AK36" i="109"/>
  <c r="AG32" i="109"/>
  <c r="AB27" i="109"/>
  <c r="AH33" i="109"/>
  <c r="AI34" i="109"/>
  <c r="AO40" i="109"/>
  <c r="AU46" i="109"/>
  <c r="AW48" i="109"/>
  <c r="AR43" i="109"/>
  <c r="AD29" i="109"/>
  <c r="AQ42" i="109"/>
  <c r="AT45" i="109"/>
  <c r="AL37" i="109"/>
  <c r="AM38" i="109"/>
  <c r="AA26" i="109"/>
  <c r="AV47" i="109"/>
  <c r="AN39" i="109"/>
  <c r="AJ43" i="109"/>
  <c r="S26" i="109"/>
  <c r="AC36" i="109"/>
  <c r="AA34" i="109"/>
  <c r="AD30" i="109"/>
  <c r="AF32" i="109"/>
  <c r="AG33" i="109"/>
  <c r="AA27" i="109"/>
  <c r="AW49" i="109"/>
  <c r="AE31" i="109"/>
  <c r="AH40" i="109"/>
  <c r="AV54" i="109"/>
  <c r="Z32" i="109"/>
  <c r="AW55" i="109"/>
  <c r="X30" i="109"/>
  <c r="AU53" i="109"/>
  <c r="V28" i="109"/>
  <c r="AG39" i="109"/>
  <c r="AF38" i="109"/>
  <c r="AO47" i="109"/>
  <c r="AD36" i="109"/>
  <c r="AR50" i="109"/>
  <c r="W29" i="109"/>
  <c r="AB34" i="109"/>
  <c r="AS51" i="109"/>
  <c r="AJ42" i="109"/>
  <c r="AE37" i="109"/>
  <c r="AN46" i="109"/>
  <c r="AC35" i="109"/>
  <c r="AL44" i="109"/>
  <c r="Y31" i="109"/>
  <c r="AK43" i="109"/>
  <c r="T26" i="109"/>
  <c r="AA33" i="109"/>
  <c r="AM45" i="109"/>
  <c r="AT52" i="109"/>
  <c r="AI41" i="109"/>
  <c r="AP48" i="109"/>
  <c r="AQ49" i="109"/>
  <c r="U27" i="109"/>
  <c r="AW50" i="109"/>
  <c r="AQ44" i="109"/>
  <c r="AU48" i="109"/>
  <c r="AP43" i="109"/>
  <c r="AM40" i="109"/>
  <c r="AK38" i="109"/>
  <c r="Z27" i="109"/>
  <c r="S27" i="109"/>
  <c r="AB36" i="109"/>
  <c r="V30" i="109"/>
  <c r="AF40" i="109"/>
  <c r="AT54" i="109"/>
  <c r="AL46" i="109"/>
  <c r="AN48" i="109"/>
  <c r="AQ51" i="109"/>
  <c r="AB33" i="109"/>
  <c r="AU52" i="109"/>
  <c r="AV53" i="109"/>
  <c r="AA32" i="109"/>
  <c r="AT51" i="109"/>
  <c r="AI40" i="109"/>
  <c r="AR49" i="109"/>
  <c r="Z29" i="109"/>
  <c r="AI38" i="109"/>
  <c r="X27" i="109"/>
  <c r="AV51" i="109"/>
  <c r="AU50" i="109"/>
  <c r="AE34" i="109"/>
  <c r="AW52" i="109"/>
  <c r="AW53" i="109"/>
  <c r="AA31" i="109"/>
  <c r="AR48" i="109"/>
  <c r="Z30" i="109"/>
  <c r="AQ47" i="109"/>
  <c r="V26" i="109"/>
  <c r="AD34" i="109"/>
  <c r="AI37" i="109"/>
  <c r="AG35" i="109"/>
  <c r="AA29" i="109"/>
  <c r="AO43" i="109"/>
  <c r="AE33" i="109"/>
  <c r="AL40" i="109"/>
  <c r="Y27" i="109"/>
  <c r="AL38" i="109"/>
  <c r="AM39" i="109"/>
  <c r="AC29" i="109"/>
  <c r="AB28" i="109"/>
  <c r="AS45" i="109"/>
  <c r="AI35" i="109"/>
  <c r="AE32" i="109"/>
  <c r="Y26" i="109"/>
  <c r="AV49" i="109"/>
  <c r="AR45" i="109"/>
  <c r="AL39" i="109"/>
  <c r="AC30" i="109"/>
  <c r="AP50" i="109"/>
  <c r="AE39" i="109"/>
  <c r="AA35" i="109"/>
  <c r="AO49" i="109"/>
  <c r="AH42" i="109"/>
  <c r="AK45" i="109"/>
  <c r="AI43" i="109"/>
  <c r="AJ44" i="109"/>
  <c r="AK42" i="109"/>
  <c r="U26" i="109"/>
  <c r="Z31" i="109"/>
  <c r="AC34" i="109"/>
  <c r="AP47" i="109"/>
  <c r="AQ48" i="109"/>
  <c r="AJ41" i="109"/>
  <c r="AL41" i="109"/>
  <c r="AB31" i="109"/>
  <c r="Y28" i="109"/>
  <c r="AT49" i="109"/>
  <c r="AS48" i="109"/>
  <c r="AH37" i="109"/>
  <c r="W27" i="109"/>
  <c r="AN44" i="109"/>
  <c r="Y29" i="109"/>
  <c r="AI39" i="109"/>
  <c r="AE35" i="109"/>
  <c r="AV52" i="109"/>
  <c r="AH38" i="109"/>
  <c r="AC31" i="109"/>
  <c r="AW51" i="109"/>
  <c r="AD32" i="109"/>
  <c r="AR46" i="109"/>
  <c r="AT48" i="109"/>
  <c r="AN42" i="109"/>
  <c r="AM41" i="109"/>
  <c r="Q27" i="109"/>
  <c r="X35" i="109"/>
  <c r="AC40" i="109"/>
  <c r="AH44" i="109"/>
  <c r="AR54" i="109"/>
  <c r="AW59" i="109"/>
  <c r="AN51" i="109"/>
  <c r="S30" i="109"/>
  <c r="AL49" i="109"/>
  <c r="AL48" i="109"/>
  <c r="AO52" i="109"/>
  <c r="AV58" i="109"/>
  <c r="AQ53" i="109"/>
  <c r="AJ46" i="109"/>
  <c r="AB39" i="109"/>
  <c r="Y36" i="109"/>
  <c r="AP42" i="109"/>
  <c r="Z26" i="109"/>
  <c r="AV48" i="109"/>
  <c r="AH34" i="109"/>
  <c r="AR44" i="109"/>
  <c r="AJ36" i="109"/>
  <c r="AW46" i="109"/>
  <c r="AD27" i="109"/>
  <c r="AI32" i="109"/>
  <c r="AT43" i="109"/>
  <c r="AE28" i="109"/>
  <c r="AM36" i="109"/>
  <c r="AL35" i="109"/>
  <c r="AV45" i="109"/>
  <c r="AR41" i="109"/>
  <c r="AH31" i="109"/>
  <c r="AJ33" i="109"/>
  <c r="AG30" i="109"/>
  <c r="AO38" i="109"/>
  <c r="AU44" i="109"/>
  <c r="AQ40" i="109"/>
  <c r="AN37" i="109"/>
  <c r="AC26" i="109"/>
  <c r="AS42" i="109"/>
  <c r="AP39" i="109"/>
  <c r="AF29" i="109"/>
  <c r="AK34" i="109"/>
  <c r="AT47" i="109"/>
  <c r="AN41" i="109"/>
  <c r="AO42" i="109"/>
  <c r="AD31" i="109"/>
  <c r="AH35" i="109"/>
  <c r="AF33" i="109"/>
  <c r="AW57" i="109"/>
  <c r="R26" i="109"/>
  <c r="AC37" i="109"/>
  <c r="X32" i="109"/>
  <c r="W31" i="109"/>
  <c r="AS53" i="109"/>
  <c r="AU55" i="109"/>
  <c r="AV56" i="109"/>
  <c r="W28" i="109"/>
  <c r="V27" i="109"/>
  <c r="X29" i="109"/>
  <c r="AN45" i="109"/>
  <c r="AL43" i="109"/>
  <c r="AH39" i="109"/>
  <c r="AM44" i="109"/>
  <c r="AG38" i="109"/>
  <c r="AP45" i="109"/>
  <c r="AA30" i="109"/>
  <c r="AG36" i="109"/>
  <c r="AD33" i="109"/>
  <c r="AF35" i="109"/>
  <c r="AO44" i="109"/>
  <c r="AK40" i="109"/>
  <c r="AJ40" i="109"/>
  <c r="AL42" i="109"/>
  <c r="AM43" i="109"/>
  <c r="AO45" i="109"/>
  <c r="AG37" i="109"/>
  <c r="AT50" i="109"/>
  <c r="AK41" i="109"/>
  <c r="AJ38" i="109"/>
  <c r="AH36" i="109"/>
  <c r="X26" i="109"/>
  <c r="AF34" i="109"/>
  <c r="Z28" i="109"/>
  <c r="AB30" i="109"/>
  <c r="AO41" i="109"/>
  <c r="AN40" i="109"/>
  <c r="AU47" i="109"/>
  <c r="AQ43" i="109"/>
  <c r="AK37" i="109"/>
  <c r="AV44" i="109"/>
  <c r="AH30" i="109"/>
  <c r="AJ32" i="109"/>
  <c r="AU43" i="109"/>
  <c r="AR40" i="109"/>
  <c r="AK33" i="109"/>
  <c r="AD26" i="109"/>
  <c r="AO37" i="109"/>
  <c r="AN36" i="109"/>
  <c r="AW45" i="109"/>
  <c r="AL34" i="109"/>
  <c r="AP38" i="109"/>
  <c r="AG29" i="109"/>
  <c r="AQ39" i="109"/>
  <c r="AI31" i="109"/>
  <c r="AF28" i="109"/>
  <c r="AS41" i="109"/>
  <c r="AT42" i="109"/>
  <c r="AM35" i="109"/>
  <c r="AE27" i="109"/>
  <c r="AI36" i="109"/>
  <c r="AS46" i="109"/>
  <c r="AB29" i="109"/>
  <c r="AJ37" i="109"/>
  <c r="AG34" i="109"/>
  <c r="AM47" i="109"/>
  <c r="T28" i="109"/>
  <c r="AR52" i="109"/>
  <c r="U29" i="109"/>
  <c r="AD38" i="109"/>
  <c r="Z34" i="109"/>
  <c r="AG41" i="109"/>
  <c r="AD35" i="109"/>
  <c r="AE36" i="109"/>
  <c r="AO46" i="109"/>
  <c r="AW54" i="109"/>
  <c r="AF37" i="109"/>
  <c r="AS50" i="109"/>
  <c r="AR47" i="109"/>
  <c r="AN43" i="109"/>
  <c r="W26" i="109"/>
  <c r="AQ46" i="109"/>
  <c r="AC32" i="109"/>
  <c r="AM42" i="109"/>
  <c r="AP46" i="109"/>
  <c r="AF36" i="109"/>
  <c r="X28" i="109"/>
  <c r="AU51" i="109"/>
  <c r="AB32" i="109"/>
  <c r="AS49" i="109"/>
  <c r="AV50" i="109"/>
  <c r="AK39" i="109"/>
  <c r="AS47" i="109"/>
  <c r="AU49" i="109"/>
  <c r="AP44" i="109"/>
  <c r="AN49" i="109"/>
  <c r="AV57" i="109"/>
  <c r="AI44" i="109"/>
  <c r="AG42" i="109"/>
  <c r="U30" i="109"/>
  <c r="AR53" i="109"/>
  <c r="AE40" i="109"/>
  <c r="AC38" i="109"/>
  <c r="V31" i="109"/>
  <c r="R27" i="109"/>
  <c r="AL47" i="109"/>
  <c r="AU56" i="109"/>
  <c r="X33" i="109"/>
  <c r="AA36" i="109"/>
  <c r="AP51" i="109"/>
  <c r="AQ52" i="109"/>
  <c r="AH43" i="109"/>
  <c r="AT55" i="109"/>
  <c r="AW58" i="109"/>
  <c r="Y34" i="109"/>
  <c r="T29" i="109"/>
  <c r="AS54" i="109"/>
  <c r="Z35" i="109"/>
  <c r="AM48" i="109"/>
  <c r="AF41" i="109"/>
  <c r="Q26" i="109"/>
  <c r="AJ45" i="109"/>
  <c r="AO50" i="109"/>
  <c r="W32" i="109"/>
  <c r="S28" i="109"/>
  <c r="AD39" i="109"/>
  <c r="AK46" i="109"/>
  <c r="Q3" i="65"/>
  <c r="Q5" i="65"/>
  <c r="Q62" i="109"/>
  <c r="Q65" i="109"/>
  <c r="Q68" i="109"/>
  <c r="Q10" i="65"/>
  <c r="Q11" i="65"/>
  <c r="L68" i="109"/>
  <c r="O10" i="65"/>
  <c r="O11" i="65"/>
  <c r="O3" i="65"/>
  <c r="O5" i="65"/>
  <c r="P3" i="65"/>
  <c r="P5" i="65"/>
  <c r="M68" i="109"/>
  <c r="P10" i="65"/>
  <c r="P11" i="65"/>
  <c r="P62" i="109"/>
  <c r="P65" i="109"/>
  <c r="S3" i="65"/>
  <c r="S5" i="65"/>
  <c r="T3" i="65"/>
  <c r="T5" i="65"/>
  <c r="T10" i="65"/>
  <c r="T11" i="65"/>
  <c r="R3" i="65"/>
  <c r="R5" i="65"/>
  <c r="O68" i="109"/>
  <c r="R10" i="65"/>
  <c r="R11" i="65"/>
  <c r="P68" i="109"/>
  <c r="S10" i="65"/>
  <c r="S11" i="65"/>
  <c r="I9" i="85"/>
  <c r="I10" i="85"/>
  <c r="G9" i="85"/>
  <c r="H10" i="85"/>
  <c r="G30" i="116"/>
  <c r="S30" i="116"/>
  <c r="G10" i="85"/>
  <c r="F9" i="85"/>
  <c r="F10" i="85"/>
  <c r="R9" i="85"/>
  <c r="R31" i="85"/>
  <c r="R32" i="85"/>
  <c r="F30" i="116"/>
  <c r="H25" i="85"/>
  <c r="AI42" i="116"/>
  <c r="AI49" i="116"/>
  <c r="I20" i="85"/>
  <c r="I25" i="85"/>
  <c r="I30" i="116"/>
  <c r="AJ42" i="116"/>
  <c r="AJ49" i="116"/>
  <c r="H30" i="116"/>
  <c r="V18" i="69"/>
  <c r="R18" i="69"/>
  <c r="S18" i="69"/>
  <c r="Z25" i="70"/>
  <c r="AA18" i="69"/>
  <c r="AA25" i="70"/>
  <c r="AC18" i="69"/>
  <c r="AB25" i="70"/>
  <c r="K37" i="116"/>
  <c r="T37" i="116"/>
  <c r="AD18" i="69"/>
  <c r="AC25" i="70"/>
  <c r="AE18" i="69"/>
  <c r="AD25" i="70"/>
  <c r="AF18" i="69"/>
  <c r="AE25" i="70"/>
  <c r="L37" i="116"/>
  <c r="AG18" i="69"/>
  <c r="AF25" i="70"/>
  <c r="AH18" i="69"/>
  <c r="AG25" i="70"/>
  <c r="AI18" i="69"/>
  <c r="AH25" i="70"/>
  <c r="M37" i="116"/>
  <c r="AJ18" i="69"/>
  <c r="AI25" i="70"/>
  <c r="AK18" i="69"/>
  <c r="AJ25" i="70"/>
  <c r="AL18" i="69"/>
  <c r="AK25" i="70"/>
  <c r="N37" i="116"/>
  <c r="AM18" i="69"/>
  <c r="AL25" i="70"/>
  <c r="AN18" i="69"/>
  <c r="AM25" i="70"/>
  <c r="AO18" i="69"/>
  <c r="AN25" i="70"/>
  <c r="O37" i="116"/>
  <c r="U37" i="116"/>
  <c r="AP18" i="69"/>
  <c r="AO25" i="70"/>
  <c r="AP25" i="70"/>
  <c r="AQ18" i="69"/>
  <c r="AR18" i="69"/>
  <c r="AQ25" i="70"/>
  <c r="AR25" i="70"/>
  <c r="AS18" i="69"/>
  <c r="AS25" i="70"/>
  <c r="AT18" i="69"/>
  <c r="AT25" i="70"/>
  <c r="AU18" i="69"/>
  <c r="AU25" i="70"/>
  <c r="AV18" i="69"/>
  <c r="AW18" i="69"/>
  <c r="AV25" i="70"/>
  <c r="AW25" i="70"/>
  <c r="AX18" i="69"/>
  <c r="AX25" i="70"/>
  <c r="AY18" i="69"/>
  <c r="AY25" i="70"/>
  <c r="AZ18" i="69"/>
  <c r="V37" i="116"/>
  <c r="BA18" i="69"/>
  <c r="AZ25" i="70"/>
  <c r="Z29" i="34"/>
  <c r="D40" i="85"/>
  <c r="Z22" i="34"/>
  <c r="AA29" i="69"/>
  <c r="AA30" i="69"/>
  <c r="Z16" i="70"/>
  <c r="AB29" i="69"/>
  <c r="AB30" i="69"/>
  <c r="Z17" i="70"/>
  <c r="AA16" i="70"/>
  <c r="AA17" i="70"/>
  <c r="AA50" i="69"/>
  <c r="AA51" i="69" s="1"/>
  <c r="AA52" i="69"/>
  <c r="Q48" i="126"/>
  <c r="R48" i="126"/>
  <c r="S48" i="126"/>
  <c r="T48" i="126"/>
  <c r="T51" i="126" s="1"/>
  <c r="U48" i="126"/>
  <c r="V48" i="126"/>
  <c r="W48" i="126"/>
  <c r="X48" i="126"/>
  <c r="X9" i="126" s="1"/>
  <c r="W46" i="107" s="1"/>
  <c r="U112" i="109" s="1"/>
  <c r="Y48" i="126"/>
  <c r="Z48" i="126"/>
  <c r="V14" i="115"/>
  <c r="U14" i="115"/>
  <c r="W15" i="115"/>
  <c r="U63" i="115"/>
  <c r="U66" i="115"/>
  <c r="V15" i="115"/>
  <c r="W16" i="115"/>
  <c r="X17" i="115"/>
  <c r="Y18" i="115"/>
  <c r="Z19" i="115"/>
  <c r="AA20" i="115"/>
  <c r="AB21" i="115"/>
  <c r="AC22" i="115"/>
  <c r="AD23" i="115"/>
  <c r="AE24" i="115"/>
  <c r="AF25" i="115"/>
  <c r="AG26" i="115"/>
  <c r="T50" i="126"/>
  <c r="S9" i="126"/>
  <c r="R46" i="107" s="1"/>
  <c r="P112" i="109" s="1"/>
  <c r="Z9" i="126"/>
  <c r="R9" i="126"/>
  <c r="Q46" i="107" s="1"/>
  <c r="AB48" i="126"/>
  <c r="AA48" i="126"/>
  <c r="V63" i="115"/>
  <c r="V66" i="115"/>
  <c r="U69" i="115"/>
  <c r="X7" i="67"/>
  <c r="X11" i="67"/>
  <c r="X16" i="115"/>
  <c r="Y17" i="115"/>
  <c r="Z18" i="115"/>
  <c r="AA19" i="115"/>
  <c r="AB20" i="115"/>
  <c r="AC21" i="115"/>
  <c r="AD22" i="115"/>
  <c r="AE23" i="115"/>
  <c r="AF24" i="115"/>
  <c r="AG25" i="115"/>
  <c r="AH26" i="115"/>
  <c r="W63" i="115"/>
  <c r="W66" i="115"/>
  <c r="V72" i="115"/>
  <c r="Y7" i="67"/>
  <c r="Y11" i="67"/>
  <c r="V69" i="115"/>
  <c r="AN33" i="115"/>
  <c r="AO34" i="115"/>
  <c r="AV41" i="115"/>
  <c r="AP35" i="115"/>
  <c r="AJ29" i="115"/>
  <c r="AH27" i="115"/>
  <c r="AM32" i="115"/>
  <c r="AS38" i="115"/>
  <c r="AI28" i="115"/>
  <c r="AK30" i="115"/>
  <c r="AW42" i="115"/>
  <c r="AT39" i="115"/>
  <c r="AQ36" i="115"/>
  <c r="AL31" i="115"/>
  <c r="AU40" i="115"/>
  <c r="AR37" i="115"/>
  <c r="Y46" i="107"/>
  <c r="W112" i="109" s="1"/>
  <c r="AP34" i="115"/>
  <c r="AM31" i="115"/>
  <c r="AS37" i="115"/>
  <c r="AU39" i="115"/>
  <c r="AO33" i="115"/>
  <c r="AN32" i="115"/>
  <c r="AR36" i="115"/>
  <c r="AV40" i="115"/>
  <c r="AK29" i="115"/>
  <c r="AQ35" i="115"/>
  <c r="AL30" i="115"/>
  <c r="AJ28" i="115"/>
  <c r="AT38" i="115"/>
  <c r="AI27" i="115"/>
  <c r="AW41" i="115"/>
  <c r="X27" i="34"/>
  <c r="X30" i="34" s="1"/>
  <c r="X33" i="34" s="1"/>
  <c r="X34" i="34" s="1"/>
  <c r="W69" i="115"/>
  <c r="Z7" i="67"/>
  <c r="Z11" i="67"/>
  <c r="K20" i="116"/>
  <c r="Z14" i="125"/>
  <c r="Z14" i="115"/>
  <c r="AA15" i="115"/>
  <c r="AB16" i="115"/>
  <c r="AC17" i="115"/>
  <c r="AD18" i="115"/>
  <c r="AE19" i="115"/>
  <c r="AF20" i="115"/>
  <c r="AG21" i="115"/>
  <c r="AH22" i="115"/>
  <c r="AI23" i="115"/>
  <c r="AJ24" i="115"/>
  <c r="AK25" i="115"/>
  <c r="AL26" i="115"/>
  <c r="AM27" i="115"/>
  <c r="AN28" i="115"/>
  <c r="AO29" i="115"/>
  <c r="AP30" i="115"/>
  <c r="AQ31" i="115"/>
  <c r="AR32" i="115"/>
  <c r="AS33" i="115"/>
  <c r="AT34" i="115"/>
  <c r="AU35" i="115"/>
  <c r="AV36" i="115"/>
  <c r="AW37" i="115"/>
  <c r="R9" i="109"/>
  <c r="S9" i="109"/>
  <c r="T9" i="109"/>
  <c r="U9" i="109"/>
  <c r="V9" i="109"/>
  <c r="W9" i="109"/>
  <c r="Y20" i="109"/>
  <c r="Y105" i="109"/>
  <c r="Z21" i="109"/>
  <c r="Z106" i="109"/>
  <c r="AD25" i="109"/>
  <c r="S14" i="109"/>
  <c r="S99" i="109"/>
  <c r="T15" i="109"/>
  <c r="T100" i="109"/>
  <c r="AC24" i="109"/>
  <c r="AC109" i="109"/>
  <c r="R13" i="109"/>
  <c r="X19" i="109"/>
  <c r="X104" i="109"/>
  <c r="U16" i="109"/>
  <c r="U101" i="109"/>
  <c r="AB23" i="109"/>
  <c r="AB108" i="109"/>
  <c r="AA22" i="109"/>
  <c r="AA107" i="109"/>
  <c r="W18" i="109"/>
  <c r="W103" i="109"/>
  <c r="V17" i="109"/>
  <c r="V102" i="109"/>
  <c r="X14" i="115"/>
  <c r="X14" i="125"/>
  <c r="W14" i="109"/>
  <c r="W99" i="109"/>
  <c r="AH25" i="109"/>
  <c r="X15" i="109"/>
  <c r="X100" i="109"/>
  <c r="V13" i="109"/>
  <c r="V98" i="109"/>
  <c r="Z17" i="109"/>
  <c r="Z102" i="109"/>
  <c r="AA18" i="109"/>
  <c r="AA103" i="109"/>
  <c r="AB19" i="109"/>
  <c r="AB104" i="109"/>
  <c r="Y16" i="109"/>
  <c r="Y101" i="109"/>
  <c r="AG24" i="109"/>
  <c r="AG109" i="109"/>
  <c r="AC20" i="109"/>
  <c r="AC105" i="109"/>
  <c r="AD21" i="109"/>
  <c r="AD106" i="109"/>
  <c r="AF23" i="109"/>
  <c r="AF108" i="109"/>
  <c r="AE22" i="109"/>
  <c r="AE107" i="109"/>
  <c r="AD24" i="109"/>
  <c r="AD109" i="109"/>
  <c r="Y19" i="109"/>
  <c r="Y104" i="109"/>
  <c r="V16" i="109"/>
  <c r="V101" i="109"/>
  <c r="U15" i="109"/>
  <c r="U100" i="109"/>
  <c r="AC23" i="109"/>
  <c r="AC108" i="109"/>
  <c r="X18" i="109"/>
  <c r="X103" i="109"/>
  <c r="S13" i="109"/>
  <c r="S98" i="109"/>
  <c r="T14" i="109"/>
  <c r="T99" i="109"/>
  <c r="AE25" i="109"/>
  <c r="AB22" i="109"/>
  <c r="AB107" i="109"/>
  <c r="W17" i="109"/>
  <c r="W102" i="109"/>
  <c r="Z20" i="109"/>
  <c r="Z105" i="109"/>
  <c r="AA21" i="109"/>
  <c r="AA106" i="109"/>
  <c r="Y14" i="125"/>
  <c r="Y14" i="115"/>
  <c r="Z18" i="109"/>
  <c r="Z103" i="109"/>
  <c r="Y17" i="109"/>
  <c r="Y102" i="109"/>
  <c r="U13" i="109"/>
  <c r="U98" i="109"/>
  <c r="AD22" i="109"/>
  <c r="AD107" i="109"/>
  <c r="AE23" i="109"/>
  <c r="AE108" i="109"/>
  <c r="AC21" i="109"/>
  <c r="AC106" i="109"/>
  <c r="V14" i="109"/>
  <c r="V99" i="109"/>
  <c r="AF24" i="109"/>
  <c r="AF109" i="109"/>
  <c r="AA19" i="109"/>
  <c r="AA104" i="109"/>
  <c r="AB20" i="109"/>
  <c r="AB105" i="109"/>
  <c r="AG25" i="109"/>
  <c r="X16" i="109"/>
  <c r="X101" i="109"/>
  <c r="W15" i="109"/>
  <c r="W100" i="109"/>
  <c r="Z19" i="109"/>
  <c r="Z104" i="109"/>
  <c r="Y18" i="109"/>
  <c r="Y103" i="109"/>
  <c r="AB21" i="109"/>
  <c r="AB106" i="109"/>
  <c r="AD23" i="109"/>
  <c r="AD108" i="109"/>
  <c r="W16" i="109"/>
  <c r="W101" i="109"/>
  <c r="AE24" i="109"/>
  <c r="AE109" i="109"/>
  <c r="U14" i="109"/>
  <c r="U99" i="109"/>
  <c r="X17" i="109"/>
  <c r="X102" i="109"/>
  <c r="AC22" i="109"/>
  <c r="AC107" i="109"/>
  <c r="T13" i="109"/>
  <c r="T98" i="109"/>
  <c r="AF25" i="109"/>
  <c r="V15" i="109"/>
  <c r="V100" i="109"/>
  <c r="AA20" i="109"/>
  <c r="AA105" i="109"/>
  <c r="AE21" i="109"/>
  <c r="AE106" i="109"/>
  <c r="AD20" i="109"/>
  <c r="AD105" i="109"/>
  <c r="AA17" i="109"/>
  <c r="AA102" i="109"/>
  <c r="AF22" i="109"/>
  <c r="AF107" i="109"/>
  <c r="AI25" i="109"/>
  <c r="X14" i="109"/>
  <c r="X99" i="109"/>
  <c r="Z16" i="109"/>
  <c r="Z101" i="109"/>
  <c r="AG23" i="109"/>
  <c r="AG108" i="109"/>
  <c r="W13" i="109"/>
  <c r="W98" i="109"/>
  <c r="AC19" i="109"/>
  <c r="AC104" i="109"/>
  <c r="AB18" i="109"/>
  <c r="AB103" i="109"/>
  <c r="AH24" i="109"/>
  <c r="AH109" i="109"/>
  <c r="Y15" i="109"/>
  <c r="Y100" i="109"/>
  <c r="AL25" i="109"/>
  <c r="AJ23" i="109"/>
  <c r="AJ108" i="109"/>
  <c r="AA14" i="109"/>
  <c r="AA99" i="109"/>
  <c r="AC16" i="109"/>
  <c r="AC101" i="109"/>
  <c r="AE18" i="109"/>
  <c r="AE103" i="109"/>
  <c r="AD17" i="109"/>
  <c r="AD102" i="109"/>
  <c r="AH21" i="109"/>
  <c r="AH106" i="109"/>
  <c r="AG20" i="109"/>
  <c r="AG105" i="109"/>
  <c r="AK24" i="109"/>
  <c r="AK109" i="109"/>
  <c r="AB15" i="109"/>
  <c r="AB100" i="109"/>
  <c r="AI22" i="109"/>
  <c r="AI107" i="109"/>
  <c r="AF19" i="109"/>
  <c r="AF104" i="109"/>
  <c r="Z13" i="109"/>
  <c r="Z98" i="109"/>
  <c r="AK113" i="109"/>
  <c r="AH110" i="109"/>
  <c r="AS121" i="109"/>
  <c r="AV124" i="109"/>
  <c r="AU123" i="109"/>
  <c r="AW125" i="109"/>
  <c r="AR120" i="109"/>
  <c r="AT122" i="109"/>
  <c r="AQ119" i="109"/>
  <c r="AM115" i="109"/>
  <c r="AL114" i="109"/>
  <c r="AP118" i="109"/>
  <c r="AO117" i="109"/>
  <c r="AN116" i="109"/>
  <c r="R62" i="109"/>
  <c r="R65" i="109"/>
  <c r="R68" i="109"/>
  <c r="R98" i="109"/>
  <c r="AG113" i="109"/>
  <c r="AD110" i="109"/>
  <c r="AV128" i="109"/>
  <c r="AU127" i="109"/>
  <c r="AW129" i="109"/>
  <c r="AT126" i="109"/>
  <c r="AO121" i="109"/>
  <c r="AR124" i="109"/>
  <c r="AQ123" i="109"/>
  <c r="AP122" i="109"/>
  <c r="AL118" i="109"/>
  <c r="AJ116" i="109"/>
  <c r="AH114" i="109"/>
  <c r="AS125" i="109"/>
  <c r="AM119" i="109"/>
  <c r="AI115" i="109"/>
  <c r="AN120" i="109"/>
  <c r="AK117" i="109"/>
  <c r="AH113" i="109"/>
  <c r="AE110" i="109"/>
  <c r="AU126" i="109"/>
  <c r="AP121" i="109"/>
  <c r="AN119" i="109"/>
  <c r="AL117" i="109"/>
  <c r="AS124" i="109"/>
  <c r="AR123" i="109"/>
  <c r="AT125" i="109"/>
  <c r="AQ122" i="109"/>
  <c r="AO120" i="109"/>
  <c r="AM118" i="109"/>
  <c r="AW128" i="109"/>
  <c r="AV127" i="109"/>
  <c r="AJ115" i="109"/>
  <c r="AK116" i="109"/>
  <c r="AI114" i="109"/>
  <c r="AL113" i="109"/>
  <c r="AI110" i="109"/>
  <c r="AT121" i="109"/>
  <c r="AR119" i="109"/>
  <c r="AP117" i="109"/>
  <c r="AW124" i="109"/>
  <c r="AV123" i="109"/>
  <c r="AU122" i="109"/>
  <c r="AS120" i="109"/>
  <c r="AQ118" i="109"/>
  <c r="AN115" i="109"/>
  <c r="AO116" i="109"/>
  <c r="AM114" i="109"/>
  <c r="AI113" i="109"/>
  <c r="AT124" i="109"/>
  <c r="AS123" i="109"/>
  <c r="AU125" i="109"/>
  <c r="AR122" i="109"/>
  <c r="AF110" i="109"/>
  <c r="AW127" i="109"/>
  <c r="AV126" i="109"/>
  <c r="AO119" i="109"/>
  <c r="AK115" i="109"/>
  <c r="AQ121" i="109"/>
  <c r="AP120" i="109"/>
  <c r="AM117" i="109"/>
  <c r="AL116" i="109"/>
  <c r="AJ114" i="109"/>
  <c r="AN118" i="109"/>
  <c r="AO113" i="109"/>
  <c r="AL110" i="109"/>
  <c r="AW121" i="109"/>
  <c r="AT118" i="109"/>
  <c r="AS117" i="109"/>
  <c r="AU119" i="109"/>
  <c r="AQ115" i="109"/>
  <c r="AR116" i="109"/>
  <c r="AV120" i="109"/>
  <c r="AP114" i="109"/>
  <c r="AG110" i="109"/>
  <c r="AV125" i="109"/>
  <c r="AS122" i="109"/>
  <c r="AQ120" i="109"/>
  <c r="AO118" i="109"/>
  <c r="AW126" i="109"/>
  <c r="AR121" i="109"/>
  <c r="AP119" i="109"/>
  <c r="AJ113" i="109"/>
  <c r="AN117" i="109"/>
  <c r="AM116" i="109"/>
  <c r="AK114" i="109"/>
  <c r="AU124" i="109"/>
  <c r="AT123" i="109"/>
  <c r="AL115" i="109"/>
  <c r="Z27" i="34"/>
  <c r="J22" i="57" s="1"/>
  <c r="AG30" i="116"/>
  <c r="T20" i="116"/>
  <c r="X9" i="109"/>
  <c r="Y9" i="109"/>
  <c r="Z9" i="109"/>
  <c r="S62" i="109"/>
  <c r="S65" i="109"/>
  <c r="V3" i="65"/>
  <c r="V5" i="65"/>
  <c r="T62" i="109"/>
  <c r="T65" i="109"/>
  <c r="X62" i="69"/>
  <c r="W62" i="109"/>
  <c r="W65" i="109"/>
  <c r="Z3" i="65"/>
  <c r="Z5" i="65"/>
  <c r="AA15" i="125"/>
  <c r="AB16" i="125"/>
  <c r="AC17" i="125"/>
  <c r="AD18" i="125"/>
  <c r="AE19" i="125"/>
  <c r="AF20" i="125"/>
  <c r="AG21" i="125"/>
  <c r="AH22" i="125"/>
  <c r="AI23" i="125"/>
  <c r="AJ24" i="125"/>
  <c r="AK25" i="125"/>
  <c r="AL26" i="125"/>
  <c r="AM27" i="125"/>
  <c r="AN28" i="125"/>
  <c r="AO29" i="125"/>
  <c r="AP30" i="125"/>
  <c r="AQ31" i="125"/>
  <c r="AR32" i="125"/>
  <c r="AS33" i="125"/>
  <c r="AT34" i="125"/>
  <c r="AU35" i="125"/>
  <c r="AV36" i="125"/>
  <c r="AW37" i="125"/>
  <c r="Y15" i="125"/>
  <c r="Z16" i="125"/>
  <c r="AA17" i="125"/>
  <c r="AB18" i="125"/>
  <c r="AC19" i="125"/>
  <c r="AD20" i="125"/>
  <c r="AE21" i="125"/>
  <c r="AF22" i="125"/>
  <c r="AG23" i="125"/>
  <c r="AH24" i="125"/>
  <c r="AI25" i="125"/>
  <c r="AJ26" i="125"/>
  <c r="X63" i="125"/>
  <c r="X66" i="125"/>
  <c r="X69" i="125"/>
  <c r="Z15" i="115"/>
  <c r="Y15" i="115"/>
  <c r="Z16" i="115"/>
  <c r="AA17" i="115"/>
  <c r="AB18" i="115"/>
  <c r="AC19" i="115"/>
  <c r="AD20" i="115"/>
  <c r="AE21" i="115"/>
  <c r="AF22" i="115"/>
  <c r="AG23" i="115"/>
  <c r="AH24" i="115"/>
  <c r="AI25" i="115"/>
  <c r="AJ26" i="115"/>
  <c r="X63" i="115"/>
  <c r="X66" i="115"/>
  <c r="AB16" i="109"/>
  <c r="AB101" i="109"/>
  <c r="AI23" i="109"/>
  <c r="AI108" i="109"/>
  <c r="Y13" i="109"/>
  <c r="Y98" i="109"/>
  <c r="AA15" i="109"/>
  <c r="AA100" i="109"/>
  <c r="AH22" i="109"/>
  <c r="AH107" i="109"/>
  <c r="AK25" i="109"/>
  <c r="AG21" i="109"/>
  <c r="AG106" i="109"/>
  <c r="AC17" i="109"/>
  <c r="AC102" i="109"/>
  <c r="Z14" i="109"/>
  <c r="Z99" i="109"/>
  <c r="AD18" i="109"/>
  <c r="AD103" i="109"/>
  <c r="AJ24" i="109"/>
  <c r="AJ109" i="109"/>
  <c r="AF20" i="109"/>
  <c r="AF105" i="109"/>
  <c r="AE19" i="109"/>
  <c r="AE104" i="109"/>
  <c r="AI24" i="109"/>
  <c r="AI109" i="109"/>
  <c r="X13" i="109"/>
  <c r="AH23" i="109"/>
  <c r="AH108" i="109"/>
  <c r="AA16" i="109"/>
  <c r="AA101" i="109"/>
  <c r="Z15" i="109"/>
  <c r="Z100" i="109"/>
  <c r="AB17" i="109"/>
  <c r="AB102" i="109"/>
  <c r="AC18" i="109"/>
  <c r="AC103" i="109"/>
  <c r="AE20" i="109"/>
  <c r="AE105" i="109"/>
  <c r="AD19" i="109"/>
  <c r="AD104" i="109"/>
  <c r="AG22" i="109"/>
  <c r="AG107" i="109"/>
  <c r="Y14" i="109"/>
  <c r="Y99" i="109"/>
  <c r="AF21" i="109"/>
  <c r="AF106" i="109"/>
  <c r="AJ25" i="109"/>
  <c r="AQ38" i="109"/>
  <c r="AI30" i="109"/>
  <c r="AW44" i="109"/>
  <c r="AN35" i="109"/>
  <c r="AP37" i="109"/>
  <c r="AK32" i="109"/>
  <c r="AG28" i="109"/>
  <c r="AV43" i="109"/>
  <c r="AM34" i="109"/>
  <c r="AH29" i="109"/>
  <c r="AJ31" i="109"/>
  <c r="AF27" i="109"/>
  <c r="AT41" i="109"/>
  <c r="AO36" i="109"/>
  <c r="AL33" i="109"/>
  <c r="AU42" i="109"/>
  <c r="AE26" i="109"/>
  <c r="AS40" i="109"/>
  <c r="AR39" i="109"/>
  <c r="Z15" i="125"/>
  <c r="AA16" i="125"/>
  <c r="AB17" i="125"/>
  <c r="AC18" i="125"/>
  <c r="AD19" i="125"/>
  <c r="AE20" i="125"/>
  <c r="AF21" i="125"/>
  <c r="AG22" i="125"/>
  <c r="AH23" i="125"/>
  <c r="AI24" i="125"/>
  <c r="AJ25" i="125"/>
  <c r="AK26" i="125"/>
  <c r="AL27" i="125"/>
  <c r="AM28" i="125"/>
  <c r="AN29" i="125"/>
  <c r="AO30" i="125"/>
  <c r="AP31" i="125"/>
  <c r="AQ32" i="125"/>
  <c r="AR33" i="125"/>
  <c r="AS34" i="125"/>
  <c r="AT35" i="125"/>
  <c r="AU36" i="125"/>
  <c r="AV37" i="125"/>
  <c r="AW38" i="125"/>
  <c r="AW36" i="109"/>
  <c r="AP29" i="109"/>
  <c r="AO28" i="109"/>
  <c r="AT33" i="109"/>
  <c r="AV35" i="109"/>
  <c r="AN27" i="109"/>
  <c r="AM26" i="109"/>
  <c r="AU34" i="109"/>
  <c r="AR31" i="109"/>
  <c r="AQ30" i="109"/>
  <c r="AS32" i="109"/>
  <c r="AQ35" i="109"/>
  <c r="AU39" i="109"/>
  <c r="AH26" i="109"/>
  <c r="AK29" i="109"/>
  <c r="AS37" i="109"/>
  <c r="AJ28" i="109"/>
  <c r="AO33" i="109"/>
  <c r="AV40" i="109"/>
  <c r="AR36" i="109"/>
  <c r="AT38" i="109"/>
  <c r="AI27" i="109"/>
  <c r="AL30" i="109"/>
  <c r="AW41" i="109"/>
  <c r="AN32" i="109"/>
  <c r="AP34" i="109"/>
  <c r="AM31" i="109"/>
  <c r="U62" i="109"/>
  <c r="U65" i="109"/>
  <c r="AG27" i="109"/>
  <c r="AI29" i="109"/>
  <c r="AS39" i="109"/>
  <c r="AL32" i="109"/>
  <c r="AW43" i="109"/>
  <c r="AQ37" i="109"/>
  <c r="AV42" i="109"/>
  <c r="AT40" i="109"/>
  <c r="AU41" i="109"/>
  <c r="AP36" i="109"/>
  <c r="AM33" i="109"/>
  <c r="AF26" i="109"/>
  <c r="AO35" i="109"/>
  <c r="AR38" i="109"/>
  <c r="AK31" i="109"/>
  <c r="AN34" i="109"/>
  <c r="AJ30" i="109"/>
  <c r="AH28" i="109"/>
  <c r="V62" i="109"/>
  <c r="V65" i="109"/>
  <c r="AL28" i="109"/>
  <c r="AK27" i="109"/>
  <c r="AR34" i="109"/>
  <c r="AS35" i="109"/>
  <c r="AT36" i="109"/>
  <c r="AJ26" i="109"/>
  <c r="AP32" i="109"/>
  <c r="AN30" i="109"/>
  <c r="AM29" i="109"/>
  <c r="AQ33" i="109"/>
  <c r="AU37" i="109"/>
  <c r="AO31" i="109"/>
  <c r="AW39" i="109"/>
  <c r="AV38" i="109"/>
  <c r="AW42" i="109"/>
  <c r="AI28" i="109"/>
  <c r="AV41" i="109"/>
  <c r="AT39" i="109"/>
  <c r="AJ29" i="109"/>
  <c r="AO34" i="109"/>
  <c r="AG26" i="109"/>
  <c r="AH27" i="109"/>
  <c r="AS38" i="109"/>
  <c r="AN33" i="109"/>
  <c r="AK30" i="109"/>
  <c r="AR37" i="109"/>
  <c r="AQ36" i="109"/>
  <c r="AU40" i="109"/>
  <c r="AL31" i="109"/>
  <c r="AP35" i="109"/>
  <c r="AM32" i="109"/>
  <c r="AS36" i="109"/>
  <c r="AT37" i="109"/>
  <c r="AR35" i="109"/>
  <c r="AJ27" i="109"/>
  <c r="AI26" i="109"/>
  <c r="AN31" i="109"/>
  <c r="AW40" i="109"/>
  <c r="AL29" i="109"/>
  <c r="AO32" i="109"/>
  <c r="AQ34" i="109"/>
  <c r="AP33" i="109"/>
  <c r="AM30" i="109"/>
  <c r="AU38" i="109"/>
  <c r="AK28" i="109"/>
  <c r="AV39" i="109"/>
  <c r="X62" i="109"/>
  <c r="X65" i="109"/>
  <c r="X98" i="109"/>
  <c r="U10" i="65"/>
  <c r="U11" i="65"/>
  <c r="U3" i="65"/>
  <c r="U5" i="65"/>
  <c r="AM113" i="109"/>
  <c r="AW123" i="109"/>
  <c r="AV122" i="109"/>
  <c r="AU121" i="109"/>
  <c r="AJ110" i="109"/>
  <c r="AT120" i="109"/>
  <c r="AR118" i="109"/>
  <c r="AP116" i="109"/>
  <c r="AN114" i="109"/>
  <c r="AO115" i="109"/>
  <c r="AS119" i="109"/>
  <c r="AQ117" i="109"/>
  <c r="AK110" i="109"/>
  <c r="AN113" i="109"/>
  <c r="AW122" i="109"/>
  <c r="AU120" i="109"/>
  <c r="AS118" i="109"/>
  <c r="AV121" i="109"/>
  <c r="AT119" i="109"/>
  <c r="AQ116" i="109"/>
  <c r="AO114" i="109"/>
  <c r="AR117" i="109"/>
  <c r="AP115" i="109"/>
  <c r="Z10" i="65"/>
  <c r="Z11" i="65"/>
  <c r="W68" i="109"/>
  <c r="AA62" i="69"/>
  <c r="AB63" i="69"/>
  <c r="S68" i="109"/>
  <c r="V10" i="65"/>
  <c r="V11" i="65"/>
  <c r="Y62" i="109"/>
  <c r="Y65" i="109"/>
  <c r="AB3" i="65"/>
  <c r="AB5" i="65"/>
  <c r="Y63" i="125"/>
  <c r="Y66" i="125"/>
  <c r="Y69" i="125"/>
  <c r="W10" i="65"/>
  <c r="W11" i="65"/>
  <c r="W3" i="65"/>
  <c r="W5" i="65"/>
  <c r="Z62" i="109"/>
  <c r="Z65" i="109"/>
  <c r="AC3" i="65"/>
  <c r="AC5" i="65"/>
  <c r="AA11" i="11"/>
  <c r="T68" i="109"/>
  <c r="AB62" i="69"/>
  <c r="AC63" i="69"/>
  <c r="AA3" i="65"/>
  <c r="AA5" i="65"/>
  <c r="AA10" i="65"/>
  <c r="AA11" i="65"/>
  <c r="X68" i="109"/>
  <c r="Y62" i="69"/>
  <c r="Z63" i="69"/>
  <c r="X3" i="65"/>
  <c r="X5" i="65"/>
  <c r="X10" i="65"/>
  <c r="X11" i="65"/>
  <c r="U68" i="109"/>
  <c r="AS34" i="109"/>
  <c r="AU36" i="109"/>
  <c r="AO30" i="109"/>
  <c r="AW38" i="109"/>
  <c r="AV37" i="109"/>
  <c r="AL27" i="109"/>
  <c r="AP31" i="109"/>
  <c r="AK26" i="109"/>
  <c r="AN29" i="109"/>
  <c r="AM28" i="109"/>
  <c r="AT35" i="109"/>
  <c r="AQ32" i="109"/>
  <c r="AR33" i="109"/>
  <c r="AT36" i="125"/>
  <c r="AS35" i="125"/>
  <c r="AR34" i="125"/>
  <c r="AW39" i="125"/>
  <c r="AO31" i="125"/>
  <c r="AK27" i="125"/>
  <c r="AQ33" i="125"/>
  <c r="AU37" i="125"/>
  <c r="AL28" i="125"/>
  <c r="AV38" i="125"/>
  <c r="AN30" i="125"/>
  <c r="AM29" i="125"/>
  <c r="AP32" i="125"/>
  <c r="Y10" i="65"/>
  <c r="Y11" i="65"/>
  <c r="V68" i="109"/>
  <c r="Z62" i="69"/>
  <c r="AA63" i="69"/>
  <c r="Y3" i="65"/>
  <c r="Y5" i="65"/>
  <c r="Y63" i="115"/>
  <c r="Y66" i="115"/>
  <c r="AA16" i="115"/>
  <c r="Z63" i="115"/>
  <c r="Z66" i="115"/>
  <c r="X69" i="115"/>
  <c r="AA7" i="67"/>
  <c r="AA11" i="67"/>
  <c r="AA27" i="34"/>
  <c r="Z63" i="125"/>
  <c r="Z66" i="125"/>
  <c r="AC11" i="34"/>
  <c r="X68" i="69"/>
  <c r="X65" i="69"/>
  <c r="Y61" i="69"/>
  <c r="Y63" i="69"/>
  <c r="AQ31" i="109"/>
  <c r="AN28" i="109"/>
  <c r="AW37" i="109"/>
  <c r="AU35" i="109"/>
  <c r="AM27" i="109"/>
  <c r="AP30" i="109"/>
  <c r="AT34" i="109"/>
  <c r="AL26" i="109"/>
  <c r="AS33" i="109"/>
  <c r="AO29" i="109"/>
  <c r="AV36" i="109"/>
  <c r="AR32" i="109"/>
  <c r="AN30" i="115"/>
  <c r="AK27" i="115"/>
  <c r="AM29" i="115"/>
  <c r="AW39" i="115"/>
  <c r="AV38" i="115"/>
  <c r="AU37" i="115"/>
  <c r="AQ33" i="115"/>
  <c r="AL28" i="115"/>
  <c r="AS35" i="115"/>
  <c r="AO31" i="115"/>
  <c r="AT36" i="115"/>
  <c r="AR34" i="115"/>
  <c r="AP32" i="115"/>
  <c r="AA68" i="69"/>
  <c r="AC12" i="34"/>
  <c r="AC17" i="34"/>
  <c r="AC29" i="34"/>
  <c r="AC10" i="65"/>
  <c r="AC11" i="65"/>
  <c r="AC26" i="34"/>
  <c r="Y68" i="109"/>
  <c r="AB10" i="65"/>
  <c r="AB11" i="65"/>
  <c r="AB26" i="34"/>
  <c r="AD62" i="69"/>
  <c r="AE63" i="69"/>
  <c r="Y68" i="69"/>
  <c r="AB7" i="67"/>
  <c r="AB11" i="67"/>
  <c r="AB27" i="34"/>
  <c r="Y69" i="115"/>
  <c r="AC62" i="69"/>
  <c r="AD63" i="69"/>
  <c r="Z68" i="69"/>
  <c r="AB68" i="69"/>
  <c r="AC7" i="67"/>
  <c r="AC11" i="67"/>
  <c r="Y65" i="69"/>
  <c r="Z61" i="69"/>
  <c r="Z65" i="69"/>
  <c r="AA61" i="69"/>
  <c r="AA65" i="69"/>
  <c r="AB61" i="69"/>
  <c r="AB65" i="69"/>
  <c r="AC61" i="69"/>
  <c r="AB17" i="115"/>
  <c r="AB29" i="34"/>
  <c r="AA10" i="11"/>
  <c r="AB30" i="34"/>
  <c r="AD68" i="69"/>
  <c r="AC65" i="69"/>
  <c r="AC29" i="69"/>
  <c r="AC30" i="69"/>
  <c r="Z10" i="11"/>
  <c r="AC18" i="115"/>
  <c r="AC68" i="69"/>
  <c r="AC28" i="69"/>
  <c r="AA40" i="70"/>
  <c r="AC27" i="34"/>
  <c r="AC30" i="34"/>
  <c r="AB17" i="70"/>
  <c r="AD61" i="69"/>
  <c r="AD65" i="69"/>
  <c r="AD29" i="69"/>
  <c r="AC20" i="34"/>
  <c r="AD19" i="115"/>
  <c r="AB28" i="69"/>
  <c r="AB33" i="69" s="1"/>
  <c r="AB36" i="69" s="1"/>
  <c r="AC17" i="70"/>
  <c r="AD30" i="69"/>
  <c r="AA12" i="69"/>
  <c r="AA24" i="69"/>
  <c r="AE61" i="69"/>
  <c r="AB16" i="70"/>
  <c r="AC22" i="34"/>
  <c r="AE20" i="115"/>
  <c r="AC16" i="70"/>
  <c r="AD9" i="69"/>
  <c r="AF21" i="115"/>
  <c r="AC33" i="34"/>
  <c r="AC34" i="34" s="1"/>
  <c r="AG22" i="115"/>
  <c r="AB13" i="70"/>
  <c r="J26" i="85"/>
  <c r="AC13" i="70"/>
  <c r="AH23" i="115"/>
  <c r="J10" i="85"/>
  <c r="J9" i="85"/>
  <c r="S26" i="85"/>
  <c r="AB50" i="69"/>
  <c r="AI24" i="115"/>
  <c r="S9" i="85"/>
  <c r="S31" i="85"/>
  <c r="S32" i="85"/>
  <c r="AB52" i="69"/>
  <c r="AJ25" i="115"/>
  <c r="AC50" i="69"/>
  <c r="AK26" i="115"/>
  <c r="AL27" i="115"/>
  <c r="AC52" i="69"/>
  <c r="AM28" i="115"/>
  <c r="AN29" i="115"/>
  <c r="AO30" i="115"/>
  <c r="AP31" i="115"/>
  <c r="AQ32" i="115"/>
  <c r="AR33" i="115"/>
  <c r="AS34" i="115"/>
  <c r="AT35" i="115"/>
  <c r="AU36" i="115"/>
  <c r="AV37" i="115"/>
  <c r="AW38" i="115"/>
  <c r="AC24" i="69"/>
  <c r="AB24" i="69"/>
  <c r="J25" i="85"/>
  <c r="G66" i="85"/>
  <c r="AK42" i="116"/>
  <c r="AK49" i="116"/>
  <c r="AG49" i="116"/>
  <c r="S25" i="85"/>
  <c r="T30" i="116"/>
  <c r="B62" i="116"/>
  <c r="AC48" i="126"/>
  <c r="AD28" i="69"/>
  <c r="AD33" i="69" s="1"/>
  <c r="AD36" i="69" s="1"/>
  <c r="AD50" i="69"/>
  <c r="AD51" i="69" s="1"/>
  <c r="AD52" i="69"/>
  <c r="AD24" i="69"/>
  <c r="AD48" i="126"/>
  <c r="AA14" i="115"/>
  <c r="AA14" i="125"/>
  <c r="AL24" i="109"/>
  <c r="AL109" i="109"/>
  <c r="AI21" i="109"/>
  <c r="AI106" i="109"/>
  <c r="AD16" i="109"/>
  <c r="AD101" i="109"/>
  <c r="AA9" i="109"/>
  <c r="AH20" i="109"/>
  <c r="AH105" i="109"/>
  <c r="AB14" i="109"/>
  <c r="AB99" i="109"/>
  <c r="AC15" i="109"/>
  <c r="AC100" i="109"/>
  <c r="AF18" i="109"/>
  <c r="AF103" i="109"/>
  <c r="AJ22" i="109"/>
  <c r="AJ107" i="109"/>
  <c r="AE17" i="109"/>
  <c r="AE102" i="109"/>
  <c r="AG19" i="109"/>
  <c r="AG104" i="109"/>
  <c r="AK23" i="109"/>
  <c r="AK108" i="109"/>
  <c r="AM25" i="109"/>
  <c r="AA13" i="109"/>
  <c r="AA63" i="115"/>
  <c r="AA66" i="115"/>
  <c r="AB15" i="115"/>
  <c r="AC16" i="115"/>
  <c r="AD17" i="115"/>
  <c r="AE18" i="115"/>
  <c r="AF19" i="115"/>
  <c r="AG20" i="115"/>
  <c r="AH21" i="115"/>
  <c r="AI22" i="115"/>
  <c r="AJ23" i="115"/>
  <c r="AK24" i="115"/>
  <c r="AL25" i="115"/>
  <c r="AM26" i="115"/>
  <c r="AN27" i="115"/>
  <c r="AO28" i="115"/>
  <c r="AP29" i="115"/>
  <c r="AQ30" i="115"/>
  <c r="AR31" i="115"/>
  <c r="AS32" i="115"/>
  <c r="AT33" i="115"/>
  <c r="AU34" i="115"/>
  <c r="AV35" i="115"/>
  <c r="AW36" i="115"/>
  <c r="AA62" i="109"/>
  <c r="AA65" i="109"/>
  <c r="AD10" i="65"/>
  <c r="AD11" i="65"/>
  <c r="AB8" i="11"/>
  <c r="AA98" i="109"/>
  <c r="AM110" i="109"/>
  <c r="AW120" i="109"/>
  <c r="AT117" i="109"/>
  <c r="AR115" i="109"/>
  <c r="AQ114" i="109"/>
  <c r="AP113" i="109"/>
  <c r="AV119" i="109"/>
  <c r="AU118" i="109"/>
  <c r="AS116" i="109"/>
  <c r="AU33" i="109"/>
  <c r="AW35" i="109"/>
  <c r="AR30" i="109"/>
  <c r="AV34" i="109"/>
  <c r="AQ29" i="109"/>
  <c r="AS31" i="109"/>
  <c r="AT32" i="109"/>
  <c r="AN26" i="109"/>
  <c r="AP28" i="109"/>
  <c r="AO27" i="109"/>
  <c r="AB15" i="125"/>
  <c r="AC16" i="125"/>
  <c r="AD17" i="125"/>
  <c r="AE18" i="125"/>
  <c r="AF19" i="125"/>
  <c r="AG20" i="125"/>
  <c r="AH21" i="125"/>
  <c r="AI22" i="125"/>
  <c r="AJ23" i="125"/>
  <c r="AK24" i="125"/>
  <c r="AL25" i="125"/>
  <c r="AM26" i="125"/>
  <c r="AN27" i="125"/>
  <c r="AO28" i="125"/>
  <c r="AP29" i="125"/>
  <c r="AQ30" i="125"/>
  <c r="AR31" i="125"/>
  <c r="AS32" i="125"/>
  <c r="AT33" i="125"/>
  <c r="AU34" i="125"/>
  <c r="AV35" i="125"/>
  <c r="AW36" i="125"/>
  <c r="AA63" i="125"/>
  <c r="AA66" i="125"/>
  <c r="AD11" i="34"/>
  <c r="AD12" i="34"/>
  <c r="AB13" i="11"/>
  <c r="AD29" i="34"/>
  <c r="AD3" i="65"/>
  <c r="AD5" i="65"/>
  <c r="AB11" i="11"/>
  <c r="AD20" i="34"/>
  <c r="AD17" i="34"/>
  <c r="AD7" i="67"/>
  <c r="AD11" i="67"/>
  <c r="AE62" i="69"/>
  <c r="AD26" i="34"/>
  <c r="AD22" i="34"/>
  <c r="AD90" i="34" s="1"/>
  <c r="AB9" i="11"/>
  <c r="AB10" i="11"/>
  <c r="AE9" i="69"/>
  <c r="AE28" i="69"/>
  <c r="AE33" i="69" s="1"/>
  <c r="AE36" i="69" s="1"/>
  <c r="AE68" i="69"/>
  <c r="AF63" i="69"/>
  <c r="AE65" i="69"/>
  <c r="AD27" i="34"/>
  <c r="AD13" i="70"/>
  <c r="AE29" i="69"/>
  <c r="AF61" i="69"/>
  <c r="AD17" i="70"/>
  <c r="AE30" i="69"/>
  <c r="AD16" i="70"/>
  <c r="AE50" i="69"/>
  <c r="AE51" i="69" s="1"/>
  <c r="AE52" i="69"/>
  <c r="AE8" i="69"/>
  <c r="AE24" i="69"/>
  <c r="AE48" i="126"/>
  <c r="AE9" i="126" s="1"/>
  <c r="AD46" i="107" s="1"/>
  <c r="AB112" i="109" s="1"/>
  <c r="AB14" i="115"/>
  <c r="AL23" i="109"/>
  <c r="AL108" i="109"/>
  <c r="AB63" i="115"/>
  <c r="AB66" i="115"/>
  <c r="AC15" i="115"/>
  <c r="AD16" i="115"/>
  <c r="AE17" i="115"/>
  <c r="AF18" i="115"/>
  <c r="AG19" i="115"/>
  <c r="AH20" i="115"/>
  <c r="AI21" i="115"/>
  <c r="AJ22" i="115"/>
  <c r="AK23" i="115"/>
  <c r="AL24" i="115"/>
  <c r="AM25" i="115"/>
  <c r="AN26" i="115"/>
  <c r="AO27" i="115"/>
  <c r="AP28" i="115"/>
  <c r="AQ29" i="115"/>
  <c r="AR30" i="115"/>
  <c r="AS31" i="115"/>
  <c r="AT32" i="115"/>
  <c r="AU33" i="115"/>
  <c r="AV34" i="115"/>
  <c r="AW35" i="115"/>
  <c r="AD15" i="109"/>
  <c r="AD100" i="109"/>
  <c r="AC14" i="109"/>
  <c r="AC99" i="109"/>
  <c r="AH19" i="109"/>
  <c r="AH104" i="109"/>
  <c r="AG18" i="109"/>
  <c r="AG103" i="109"/>
  <c r="AB9" i="109"/>
  <c r="AE16" i="109"/>
  <c r="AE101" i="109"/>
  <c r="AF17" i="109"/>
  <c r="AF102" i="109"/>
  <c r="AB13" i="109"/>
  <c r="AJ21" i="109"/>
  <c r="AJ106" i="109"/>
  <c r="AN25" i="109"/>
  <c r="AQ28" i="109"/>
  <c r="AI20" i="109"/>
  <c r="AI105" i="109"/>
  <c r="AM24" i="109"/>
  <c r="AM109" i="109"/>
  <c r="AK22" i="109"/>
  <c r="AK107" i="109"/>
  <c r="AB14" i="125"/>
  <c r="L8" i="116"/>
  <c r="L10" i="116"/>
  <c r="AV33" i="109"/>
  <c r="AS115" i="109"/>
  <c r="AR114" i="109"/>
  <c r="AN110" i="109"/>
  <c r="AT116" i="109"/>
  <c r="AQ113" i="109"/>
  <c r="AU117" i="109"/>
  <c r="AV118" i="109"/>
  <c r="AW119" i="109"/>
  <c r="AB62" i="109"/>
  <c r="AB65" i="109"/>
  <c r="AB98" i="109"/>
  <c r="AT31" i="109"/>
  <c r="AR29" i="109"/>
  <c r="AS30" i="109"/>
  <c r="AO26" i="109"/>
  <c r="AW34" i="109"/>
  <c r="AP27" i="109"/>
  <c r="AU32" i="109"/>
  <c r="AB63" i="125"/>
  <c r="AB66" i="125"/>
  <c r="AC15" i="125"/>
  <c r="AD16" i="125"/>
  <c r="AE17" i="125"/>
  <c r="AF18" i="125"/>
  <c r="AG19" i="125"/>
  <c r="AH20" i="125"/>
  <c r="AI21" i="125"/>
  <c r="AJ22" i="125"/>
  <c r="AK23" i="125"/>
  <c r="AL24" i="125"/>
  <c r="AM25" i="125"/>
  <c r="AN26" i="125"/>
  <c r="AO27" i="125"/>
  <c r="AP28" i="125"/>
  <c r="AQ29" i="125"/>
  <c r="AR30" i="125"/>
  <c r="AS31" i="125"/>
  <c r="AT32" i="125"/>
  <c r="AU33" i="125"/>
  <c r="AV34" i="125"/>
  <c r="AW35" i="125"/>
  <c r="AC13" i="11"/>
  <c r="AE12" i="34"/>
  <c r="K7" i="57"/>
  <c r="AE10" i="65"/>
  <c r="AE11" i="65"/>
  <c r="AC8" i="11"/>
  <c r="AE26" i="34" s="1"/>
  <c r="AE3" i="65"/>
  <c r="AE5" i="65"/>
  <c r="AC11" i="11"/>
  <c r="AE20" i="34" s="1"/>
  <c r="AE11" i="34"/>
  <c r="AE7" i="67"/>
  <c r="AE11" i="67"/>
  <c r="AC9" i="11"/>
  <c r="AF62" i="69"/>
  <c r="AE17" i="34"/>
  <c r="AF28" i="69"/>
  <c r="AF33" i="69" s="1"/>
  <c r="AF36" i="69" s="1"/>
  <c r="AE27" i="34"/>
  <c r="K6" i="57"/>
  <c r="AG63" i="69"/>
  <c r="AF65" i="69"/>
  <c r="AF68" i="69"/>
  <c r="AE29" i="34"/>
  <c r="K24" i="57" s="1"/>
  <c r="K22" i="57"/>
  <c r="AF29" i="69"/>
  <c r="AF30" i="69"/>
  <c r="AG61" i="69"/>
  <c r="AF9" i="69"/>
  <c r="AG30" i="69"/>
  <c r="AE16" i="70"/>
  <c r="AE17" i="70"/>
  <c r="K26" i="85"/>
  <c r="AE13" i="70"/>
  <c r="AF48" i="126"/>
  <c r="AF9" i="126"/>
  <c r="AE46" i="107" s="1"/>
  <c r="AC112" i="109" s="1"/>
  <c r="AF50" i="69"/>
  <c r="AF51" i="69" s="1"/>
  <c r="AF8" i="69"/>
  <c r="AF52" i="69"/>
  <c r="AF24" i="69"/>
  <c r="K25" i="85"/>
  <c r="AG48" i="126"/>
  <c r="AG9" i="126" s="1"/>
  <c r="AF46" i="107" s="1"/>
  <c r="AD112" i="109" s="1"/>
  <c r="AH48" i="126"/>
  <c r="AI48" i="126"/>
  <c r="AI9" i="126"/>
  <c r="AH46" i="107" s="1"/>
  <c r="AF112" i="109" s="1"/>
  <c r="AJ48" i="126"/>
  <c r="AK48" i="126"/>
  <c r="AL48" i="126"/>
  <c r="AM48" i="126"/>
  <c r="AN48" i="126"/>
  <c r="AN50" i="126" s="1"/>
  <c r="AN51" i="126"/>
  <c r="AN9" i="126"/>
  <c r="AM46" i="107" s="1"/>
  <c r="AK112" i="109" s="1"/>
  <c r="BK48" i="126"/>
  <c r="BK9" i="126" s="1"/>
  <c r="BH48" i="126"/>
  <c r="BI48" i="126"/>
  <c r="BI9" i="126"/>
  <c r="BG50" i="132" s="1"/>
  <c r="BG55" i="132" s="1"/>
  <c r="BF48" i="126"/>
  <c r="BF9" i="126" s="1"/>
  <c r="BE48" i="126"/>
  <c r="BC48" i="126"/>
  <c r="BC9" i="126"/>
  <c r="BB46" i="107" s="1"/>
  <c r="AX48" i="126"/>
  <c r="AX51" i="126" s="1"/>
  <c r="BG48" i="126"/>
  <c r="AZ48" i="126"/>
  <c r="AZ51" i="126" s="1"/>
  <c r="AV48" i="126"/>
  <c r="AV50" i="126" s="1"/>
  <c r="AR48" i="126"/>
  <c r="BL48" i="126"/>
  <c r="BL9" i="126"/>
  <c r="BJ50" i="132" s="1"/>
  <c r="BJ55" i="132" s="1"/>
  <c r="BB48" i="126"/>
  <c r="BB9" i="126" s="1"/>
  <c r="BA46" i="107" s="1"/>
  <c r="AW48" i="126"/>
  <c r="AW51" i="126" s="1"/>
  <c r="BA48" i="126"/>
  <c r="BJ48" i="126"/>
  <c r="AP48" i="126"/>
  <c r="BD48" i="126"/>
  <c r="BD9" i="126"/>
  <c r="BB50" i="132" s="1"/>
  <c r="BB55" i="132" s="1"/>
  <c r="AT48" i="126"/>
  <c r="AU48" i="126"/>
  <c r="AO48" i="126"/>
  <c r="AQ48" i="126"/>
  <c r="AQ9" i="126" s="1"/>
  <c r="AP46" i="107" s="1"/>
  <c r="AN112" i="109" s="1"/>
  <c r="AY48" i="126"/>
  <c r="AY9" i="126" s="1"/>
  <c r="AX46" i="107" s="1"/>
  <c r="AS48" i="126"/>
  <c r="AO51" i="126"/>
  <c r="BJ9" i="126"/>
  <c r="BH50" i="132" s="1"/>
  <c r="BH55" i="132" s="1"/>
  <c r="BG9" i="126"/>
  <c r="BE50" i="132" s="1"/>
  <c r="BE55" i="132" s="1"/>
  <c r="BD51" i="126"/>
  <c r="BL51" i="126"/>
  <c r="BI46" i="107"/>
  <c r="AG62" i="81"/>
  <c r="AH62" i="81"/>
  <c r="BD52" i="126" l="1"/>
  <c r="C12" i="57"/>
  <c r="C27" i="85" s="1"/>
  <c r="AI51" i="126"/>
  <c r="BC51" i="126"/>
  <c r="E51" i="126"/>
  <c r="H51" i="126"/>
  <c r="AU50" i="126"/>
  <c r="AR6" i="125" s="1"/>
  <c r="AR14" i="125" s="1"/>
  <c r="AS15" i="125" s="1"/>
  <c r="AT16" i="125" s="1"/>
  <c r="AU17" i="125" s="1"/>
  <c r="AV18" i="125" s="1"/>
  <c r="AW19" i="125" s="1"/>
  <c r="AE51" i="126"/>
  <c r="O50" i="126"/>
  <c r="O15" i="126" s="1"/>
  <c r="O16" i="126" s="1"/>
  <c r="BL52" i="126"/>
  <c r="BJ51" i="126"/>
  <c r="Z50" i="126"/>
  <c r="Z15" i="126" s="1"/>
  <c r="Z16" i="126" s="1"/>
  <c r="K50" i="126"/>
  <c r="K15" i="126" s="1"/>
  <c r="K16" i="126" s="1"/>
  <c r="N51" i="126"/>
  <c r="AP50" i="126"/>
  <c r="AD51" i="126"/>
  <c r="AT51" i="126"/>
  <c r="AH51" i="126"/>
  <c r="V50" i="126"/>
  <c r="V15" i="126" s="1"/>
  <c r="V16" i="126" s="1"/>
  <c r="R51" i="126"/>
  <c r="BF52" i="126"/>
  <c r="BJ52" i="126"/>
  <c r="AK51" i="126"/>
  <c r="BA51" i="126"/>
  <c r="U50" i="126"/>
  <c r="U15" i="126" s="1"/>
  <c r="U16" i="126" s="1"/>
  <c r="M50" i="126"/>
  <c r="M52" i="126" s="1"/>
  <c r="F51" i="126"/>
  <c r="J51" i="126"/>
  <c r="BC52" i="126"/>
  <c r="W12" i="57"/>
  <c r="BI15" i="126"/>
  <c r="BI16" i="126" s="1"/>
  <c r="BB52" i="126"/>
  <c r="I12" i="57"/>
  <c r="I27" i="85" s="1"/>
  <c r="BG15" i="126"/>
  <c r="BG16" i="126" s="1"/>
  <c r="BE15" i="126"/>
  <c r="BE16" i="126" s="1"/>
  <c r="F16" i="58"/>
  <c r="E12" i="57"/>
  <c r="E27" i="85" s="1"/>
  <c r="E15" i="126"/>
  <c r="E16" i="126" s="1"/>
  <c r="L16" i="58"/>
  <c r="Y12" i="57"/>
  <c r="V12" i="57"/>
  <c r="W17" i="57"/>
  <c r="T12" i="57"/>
  <c r="BD50" i="132"/>
  <c r="BD55" i="132" s="1"/>
  <c r="BE46" i="107"/>
  <c r="AP6" i="109"/>
  <c r="AY51" i="126"/>
  <c r="V9" i="126"/>
  <c r="U46" i="107" s="1"/>
  <c r="S112" i="109" s="1"/>
  <c r="V51" i="126"/>
  <c r="BK51" i="126"/>
  <c r="AZ9" i="126"/>
  <c r="AY46" i="107" s="1"/>
  <c r="BF51" i="126"/>
  <c r="AT9" i="126"/>
  <c r="AS46" i="107" s="1"/>
  <c r="AY50" i="126"/>
  <c r="AV6" i="109" s="1"/>
  <c r="AU9" i="126"/>
  <c r="AT46" i="107" s="1"/>
  <c r="AI50" i="126"/>
  <c r="AI15" i="126" s="1"/>
  <c r="AI16" i="126" s="1"/>
  <c r="AE15" i="126"/>
  <c r="AE16" i="126" s="1"/>
  <c r="R50" i="126"/>
  <c r="R15" i="126" s="1"/>
  <c r="R16" i="126" s="1"/>
  <c r="S12" i="57"/>
  <c r="J12" i="57"/>
  <c r="J27" i="85" s="1"/>
  <c r="X12" i="57"/>
  <c r="O9" i="126"/>
  <c r="N46" i="107" s="1"/>
  <c r="G51" i="126"/>
  <c r="O51" i="126"/>
  <c r="AU51" i="126"/>
  <c r="K12" i="57"/>
  <c r="K8" i="85" s="1"/>
  <c r="K10" i="85" s="1"/>
  <c r="D16" i="58"/>
  <c r="J16" i="58"/>
  <c r="Z12" i="57"/>
  <c r="Y55" i="132"/>
  <c r="AK6" i="109"/>
  <c r="AO16" i="109" s="1"/>
  <c r="AO101" i="109" s="1"/>
  <c r="AN15" i="126"/>
  <c r="AN16" i="126" s="1"/>
  <c r="AK6" i="125"/>
  <c r="AK14" i="125" s="1"/>
  <c r="AL15" i="125" s="1"/>
  <c r="AM16" i="125" s="1"/>
  <c r="AN17" i="125" s="1"/>
  <c r="AO18" i="125" s="1"/>
  <c r="AP19" i="125" s="1"/>
  <c r="AQ20" i="125" s="1"/>
  <c r="AR21" i="125" s="1"/>
  <c r="AS22" i="125" s="1"/>
  <c r="AT23" i="125" s="1"/>
  <c r="AU24" i="125" s="1"/>
  <c r="AV25" i="125" s="1"/>
  <c r="AW26" i="125" s="1"/>
  <c r="AK6" i="115"/>
  <c r="AK14" i="115" s="1"/>
  <c r="AL15" i="115" s="1"/>
  <c r="AM16" i="115" s="1"/>
  <c r="AN17" i="115" s="1"/>
  <c r="AO18" i="115" s="1"/>
  <c r="AP19" i="115" s="1"/>
  <c r="AQ20" i="115" s="1"/>
  <c r="AR21" i="115" s="1"/>
  <c r="AS22" i="115" s="1"/>
  <c r="AT23" i="115" s="1"/>
  <c r="AU24" i="115" s="1"/>
  <c r="AV25" i="115" s="1"/>
  <c r="AW26" i="115" s="1"/>
  <c r="BF46" i="107"/>
  <c r="BK52" i="126"/>
  <c r="BB51" i="126"/>
  <c r="BC46" i="107"/>
  <c r="BK46" i="107"/>
  <c r="AZ50" i="126"/>
  <c r="AT50" i="126"/>
  <c r="AW9" i="126"/>
  <c r="AV46" i="107" s="1"/>
  <c r="BA50" i="132"/>
  <c r="BA55" i="132" s="1"/>
  <c r="AN52" i="126"/>
  <c r="AL50" i="126"/>
  <c r="AI6" i="109" s="1"/>
  <c r="AH9" i="126"/>
  <c r="AG46" i="107" s="1"/>
  <c r="AE112" i="109" s="1"/>
  <c r="AG50" i="126"/>
  <c r="AG15" i="126" s="1"/>
  <c r="AG16" i="126" s="1"/>
  <c r="AD50" i="126"/>
  <c r="AD15" i="126" s="1"/>
  <c r="AD16" i="126" s="1"/>
  <c r="V52" i="126"/>
  <c r="T9" i="126"/>
  <c r="S46" i="107" s="1"/>
  <c r="Q112" i="109" s="1"/>
  <c r="X51" i="126"/>
  <c r="N16" i="58"/>
  <c r="Q16" i="58"/>
  <c r="E16" i="58"/>
  <c r="M16" i="58"/>
  <c r="G15" i="126"/>
  <c r="G16" i="126" s="1"/>
  <c r="AQ50" i="126"/>
  <c r="AH50" i="126"/>
  <c r="AW50" i="126"/>
  <c r="AQ51" i="126"/>
  <c r="AS52" i="126"/>
  <c r="AG51" i="126"/>
  <c r="X50" i="126"/>
  <c r="K16" i="58"/>
  <c r="I16" i="58"/>
  <c r="F12" i="57"/>
  <c r="F27" i="85" s="1"/>
  <c r="L50" i="126"/>
  <c r="L15" i="126" s="1"/>
  <c r="L16" i="126" s="1"/>
  <c r="F55" i="132"/>
  <c r="U16" i="58"/>
  <c r="U12" i="57"/>
  <c r="U55" i="132"/>
  <c r="T55" i="132"/>
  <c r="H55" i="132"/>
  <c r="AS6" i="115"/>
  <c r="AS14" i="115" s="1"/>
  <c r="AS6" i="125"/>
  <c r="AS14" i="125" s="1"/>
  <c r="AS6" i="109"/>
  <c r="AV15" i="126"/>
  <c r="AV16" i="126" s="1"/>
  <c r="AQ15" i="115"/>
  <c r="AR16" i="115" s="1"/>
  <c r="AS17" i="115" s="1"/>
  <c r="AT18" i="115" s="1"/>
  <c r="AU19" i="115" s="1"/>
  <c r="AV20" i="115" s="1"/>
  <c r="AW21" i="115" s="1"/>
  <c r="AM6" i="115"/>
  <c r="AM14" i="115" s="1"/>
  <c r="AM6" i="125"/>
  <c r="AM14" i="125" s="1"/>
  <c r="AM6" i="109"/>
  <c r="AP15" i="126"/>
  <c r="AP16" i="126" s="1"/>
  <c r="AP52" i="126"/>
  <c r="AB50" i="126"/>
  <c r="AB15" i="126" s="1"/>
  <c r="AB16" i="126" s="1"/>
  <c r="AB51" i="126"/>
  <c r="AB9" i="126"/>
  <c r="AA46" i="107" s="1"/>
  <c r="Y112" i="109" s="1"/>
  <c r="BA9" i="126"/>
  <c r="AZ46" i="107" s="1"/>
  <c r="BA50" i="126"/>
  <c r="BA15" i="126" s="1"/>
  <c r="BA16" i="126" s="1"/>
  <c r="BH9" i="126"/>
  <c r="BH51" i="126"/>
  <c r="BH52" i="126"/>
  <c r="AV52" i="126"/>
  <c r="AV51" i="126"/>
  <c r="BH46" i="107"/>
  <c r="AP6" i="125"/>
  <c r="AP14" i="125" s="1"/>
  <c r="AS15" i="126"/>
  <c r="AS16" i="126" s="1"/>
  <c r="AV9" i="126"/>
  <c r="AU46" i="107" s="1"/>
  <c r="AS51" i="126"/>
  <c r="AS9" i="126"/>
  <c r="AR46" i="107" s="1"/>
  <c r="AP112" i="109" s="1"/>
  <c r="AO9" i="126"/>
  <c r="AN46" i="107" s="1"/>
  <c r="AL112" i="109" s="1"/>
  <c r="AO50" i="126"/>
  <c r="AR50" i="126"/>
  <c r="AR9" i="126"/>
  <c r="AQ46" i="107" s="1"/>
  <c r="AO112" i="109" s="1"/>
  <c r="AR51" i="126"/>
  <c r="AX50" i="126"/>
  <c r="AX52" i="126" s="1"/>
  <c r="BE51" i="126"/>
  <c r="BE9" i="126"/>
  <c r="BI50" i="132"/>
  <c r="BI55" i="132" s="1"/>
  <c r="BJ46" i="107"/>
  <c r="AF16" i="70"/>
  <c r="AH30" i="69"/>
  <c r="AP9" i="126"/>
  <c r="AO46" i="107" s="1"/>
  <c r="AM112" i="109" s="1"/>
  <c r="AP51" i="126"/>
  <c r="AX9" i="126"/>
  <c r="AW46" i="107" s="1"/>
  <c r="AR6" i="109"/>
  <c r="AU15" i="126"/>
  <c r="AU16" i="126" s="1"/>
  <c r="AR6" i="115"/>
  <c r="AR14" i="115" s="1"/>
  <c r="AU52" i="126"/>
  <c r="AZ50" i="132"/>
  <c r="AZ55" i="132" s="1"/>
  <c r="AD6" i="109"/>
  <c r="AV21" i="109"/>
  <c r="AV106" i="109" s="1"/>
  <c r="AT20" i="109"/>
  <c r="AT105" i="109" s="1"/>
  <c r="AV15" i="109"/>
  <c r="AV100" i="109" s="1"/>
  <c r="AW15" i="109"/>
  <c r="AW100" i="109" s="1"/>
  <c r="AP16" i="109"/>
  <c r="AP101" i="109" s="1"/>
  <c r="AN16" i="109"/>
  <c r="AN101" i="109" s="1"/>
  <c r="AN13" i="109"/>
  <c r="AU23" i="109"/>
  <c r="AU108" i="109" s="1"/>
  <c r="AM50" i="126"/>
  <c r="AM51" i="126"/>
  <c r="O7" i="116" s="1"/>
  <c r="AM9" i="126"/>
  <c r="AL46" i="107" s="1"/>
  <c r="AJ112" i="109" s="1"/>
  <c r="AL9" i="126"/>
  <c r="AK46" i="107" s="1"/>
  <c r="AI112" i="109" s="1"/>
  <c r="AK50" i="126"/>
  <c r="AK9" i="126"/>
  <c r="AJ46" i="107" s="1"/>
  <c r="AH112" i="109" s="1"/>
  <c r="AJ50" i="126"/>
  <c r="AJ52" i="126" s="1"/>
  <c r="AJ51" i="126"/>
  <c r="S50" i="126"/>
  <c r="S15" i="126" s="1"/>
  <c r="S16" i="126" s="1"/>
  <c r="S51" i="126"/>
  <c r="AJ9" i="126"/>
  <c r="AI46" i="107" s="1"/>
  <c r="AG112" i="109" s="1"/>
  <c r="AF51" i="126"/>
  <c r="AF50" i="126"/>
  <c r="AF52" i="126" s="1"/>
  <c r="U51" i="126"/>
  <c r="U9" i="126"/>
  <c r="T46" i="107" s="1"/>
  <c r="R112" i="109" s="1"/>
  <c r="F9" i="126"/>
  <c r="F50" i="126"/>
  <c r="F15" i="126" s="1"/>
  <c r="F16" i="126" s="1"/>
  <c r="H50" i="126"/>
  <c r="H15" i="126" s="1"/>
  <c r="H16" i="126" s="1"/>
  <c r="H9" i="126"/>
  <c r="J9" i="126"/>
  <c r="J50" i="126"/>
  <c r="J15" i="126" s="1"/>
  <c r="J16" i="126" s="1"/>
  <c r="N50" i="126"/>
  <c r="N15" i="126" s="1"/>
  <c r="N16" i="126" s="1"/>
  <c r="N9" i="126"/>
  <c r="M46" i="107" s="1"/>
  <c r="P50" i="126"/>
  <c r="P15" i="126" s="1"/>
  <c r="P16" i="126" s="1"/>
  <c r="P9" i="126"/>
  <c r="O46" i="107" s="1"/>
  <c r="AC9" i="126"/>
  <c r="AB46" i="107" s="1"/>
  <c r="Z112" i="109" s="1"/>
  <c r="AC50" i="126"/>
  <c r="AC15" i="126" s="1"/>
  <c r="AC16" i="126" s="1"/>
  <c r="AC51" i="126"/>
  <c r="W52" i="126"/>
  <c r="W9" i="126"/>
  <c r="V46" i="107" s="1"/>
  <c r="T112" i="109" s="1"/>
  <c r="W51" i="126"/>
  <c r="Y50" i="126"/>
  <c r="Y15" i="126" s="1"/>
  <c r="Y16" i="126" s="1"/>
  <c r="Y9" i="126"/>
  <c r="X46" i="107" s="1"/>
  <c r="V112" i="109" s="1"/>
  <c r="Y51" i="126"/>
  <c r="Q9" i="126"/>
  <c r="P46" i="107" s="1"/>
  <c r="Q50" i="126"/>
  <c r="Q51" i="126"/>
  <c r="I52" i="126"/>
  <c r="I15" i="126"/>
  <c r="I16" i="126" s="1"/>
  <c r="R16" i="58"/>
  <c r="D12" i="57"/>
  <c r="T15" i="126"/>
  <c r="T16" i="126" s="1"/>
  <c r="T52" i="126"/>
  <c r="AA51" i="126"/>
  <c r="AA50" i="126"/>
  <c r="AA9" i="126"/>
  <c r="Z46" i="107" s="1"/>
  <c r="X112" i="109" s="1"/>
  <c r="AD9" i="126"/>
  <c r="AC46" i="107" s="1"/>
  <c r="AA112" i="109" s="1"/>
  <c r="X12" i="69"/>
  <c r="BV23" i="135"/>
  <c r="AH23" i="136"/>
  <c r="AH22" i="134"/>
  <c r="AL23" i="134"/>
  <c r="AX23" i="136"/>
  <c r="BS22" i="144"/>
  <c r="BF23" i="135"/>
  <c r="BN22" i="134"/>
  <c r="AL22" i="145"/>
  <c r="BB23" i="134"/>
  <c r="AH23" i="135"/>
  <c r="AX22" i="135"/>
  <c r="BN22" i="135"/>
  <c r="AP23" i="136"/>
  <c r="BF23" i="136"/>
  <c r="BV23" i="136"/>
  <c r="AX22" i="134"/>
  <c r="BK22" i="144"/>
  <c r="AI23" i="144"/>
  <c r="BF23" i="134"/>
  <c r="AT22" i="134"/>
  <c r="BO22" i="145"/>
  <c r="BC23" i="145"/>
  <c r="BO22" i="144"/>
  <c r="AP23" i="134"/>
  <c r="BV23" i="134"/>
  <c r="BJ22" i="134"/>
  <c r="BG22" i="145"/>
  <c r="AU23" i="145"/>
  <c r="AM22" i="145"/>
  <c r="AI22" i="145"/>
  <c r="AC17" i="133"/>
  <c r="AB14" i="132"/>
  <c r="BS22" i="145"/>
  <c r="AY22" i="145"/>
  <c r="AB14" i="136"/>
  <c r="BK23" i="145"/>
  <c r="AQ22" i="145"/>
  <c r="AE23" i="145"/>
  <c r="R6" i="130"/>
  <c r="BC13" i="133"/>
  <c r="BA15" i="134"/>
  <c r="BH15" i="133"/>
  <c r="AY15" i="136"/>
  <c r="BI15" i="132"/>
  <c r="AY15" i="144"/>
  <c r="AY15" i="135"/>
  <c r="BF15" i="134"/>
  <c r="BJ15" i="132"/>
  <c r="BD15" i="132"/>
  <c r="BH15" i="136"/>
  <c r="BE15" i="133"/>
  <c r="BJ15" i="135"/>
  <c r="BA15" i="133"/>
  <c r="BF15" i="131"/>
  <c r="BD15" i="131"/>
  <c r="BI13" i="133"/>
  <c r="BG15" i="144"/>
  <c r="BG15" i="132"/>
  <c r="BE15" i="132"/>
  <c r="AY13" i="133"/>
  <c r="BF13" i="133"/>
  <c r="BD13" i="133"/>
  <c r="BH13" i="133"/>
  <c r="BH15" i="144"/>
  <c r="BD15" i="133"/>
  <c r="BJ15" i="133"/>
  <c r="BC15" i="133"/>
  <c r="BG15" i="135"/>
  <c r="BB15" i="135"/>
  <c r="BI15" i="133"/>
  <c r="BG15" i="136"/>
  <c r="BF15" i="144"/>
  <c r="BI15" i="144"/>
  <c r="BG15" i="133"/>
  <c r="BC15" i="134"/>
  <c r="BH15" i="132"/>
  <c r="AY15" i="132"/>
  <c r="BA15" i="131"/>
  <c r="BB15" i="131"/>
  <c r="BJ15" i="144"/>
  <c r="BJ15" i="134"/>
  <c r="BJ15" i="136"/>
  <c r="BD15" i="144"/>
  <c r="BI15" i="131"/>
  <c r="BE13" i="133"/>
  <c r="BD15" i="134"/>
  <c r="AY15" i="134"/>
  <c r="BB15" i="144"/>
  <c r="BA15" i="136"/>
  <c r="BB13" i="133"/>
  <c r="BA13" i="133"/>
  <c r="BJ13" i="133"/>
  <c r="BG13" i="133"/>
  <c r="AZ13" i="133"/>
  <c r="BC15" i="136"/>
  <c r="BE15" i="134"/>
  <c r="BC15" i="135"/>
  <c r="BB15" i="132"/>
  <c r="BA15" i="144"/>
  <c r="BF15" i="133"/>
  <c r="BB15" i="133"/>
  <c r="AY15" i="133"/>
  <c r="BB15" i="134"/>
  <c r="BC15" i="144"/>
  <c r="BH15" i="135"/>
  <c r="BC15" i="132"/>
  <c r="BE15" i="135"/>
  <c r="AY15" i="131"/>
  <c r="AZ15" i="131"/>
  <c r="BE15" i="131"/>
  <c r="BC15" i="131"/>
  <c r="BF15" i="132"/>
  <c r="BB15" i="136"/>
  <c r="AZ15" i="134"/>
  <c r="BA13" i="131"/>
  <c r="BI13" i="131"/>
  <c r="R9" i="130"/>
  <c r="BB13" i="131"/>
  <c r="BG13" i="131"/>
  <c r="BC13" i="131"/>
  <c r="R16" i="130"/>
  <c r="BI13" i="132"/>
  <c r="BB13" i="132"/>
  <c r="BE13" i="132"/>
  <c r="BH13" i="132"/>
  <c r="BC13" i="132"/>
  <c r="AZ13" i="132"/>
  <c r="AY13" i="132"/>
  <c r="AI22" i="134"/>
  <c r="AY23" i="136"/>
  <c r="AQ23" i="135"/>
  <c r="AB17" i="136"/>
  <c r="AG23" i="133"/>
  <c r="BJ22" i="145"/>
  <c r="BE22" i="144"/>
  <c r="AG22" i="144"/>
  <c r="BI22" i="144"/>
  <c r="AC17" i="136"/>
  <c r="AC29" i="136" s="1"/>
  <c r="AC45" i="136" s="1"/>
  <c r="AC49" i="136" s="1"/>
  <c r="AD23" i="135"/>
  <c r="AL22" i="135"/>
  <c r="AT23" i="135"/>
  <c r="BB22" i="135"/>
  <c r="BJ23" i="135"/>
  <c r="BR22" i="135"/>
  <c r="AD22" i="136"/>
  <c r="AL22" i="136"/>
  <c r="AT22" i="136"/>
  <c r="BB22" i="136"/>
  <c r="BJ22" i="136"/>
  <c r="BR22" i="136"/>
  <c r="AT23" i="145"/>
  <c r="AM23" i="144"/>
  <c r="BG23" i="144"/>
  <c r="AY23" i="144"/>
  <c r="AQ23" i="144"/>
  <c r="AD22" i="144"/>
  <c r="BR23" i="145"/>
  <c r="AD22" i="145"/>
  <c r="AF22" i="144"/>
  <c r="BC22" i="144"/>
  <c r="AU22" i="144"/>
  <c r="AS23" i="131"/>
  <c r="AD23" i="134"/>
  <c r="BN22" i="145"/>
  <c r="AP23" i="145"/>
  <c r="BV22" i="145"/>
  <c r="AG23" i="134"/>
  <c r="BE23" i="135"/>
  <c r="BI22" i="136"/>
  <c r="BN22" i="144"/>
  <c r="AC17" i="135"/>
  <c r="BE23" i="134"/>
  <c r="BQ23" i="135"/>
  <c r="BU23" i="136"/>
  <c r="AH22" i="144"/>
  <c r="AK23" i="135"/>
  <c r="AO23" i="136"/>
  <c r="BG22" i="133"/>
  <c r="BL23" i="134"/>
  <c r="AZ23" i="135"/>
  <c r="AD23" i="133"/>
  <c r="BT23" i="136"/>
  <c r="AQ23" i="133"/>
  <c r="BC23" i="132"/>
  <c r="AR23" i="131"/>
  <c r="AK22" i="144"/>
  <c r="K14" i="136"/>
  <c r="AJ23" i="133"/>
  <c r="AH23" i="131"/>
  <c r="AF23" i="133"/>
  <c r="AN23" i="136"/>
  <c r="AB17" i="135"/>
  <c r="AM23" i="133"/>
  <c r="AQ23" i="136"/>
  <c r="AI23" i="135"/>
  <c r="BS23" i="135"/>
  <c r="BQ22" i="132"/>
  <c r="BM22" i="133"/>
  <c r="AA17" i="136"/>
  <c r="AA29" i="136" s="1"/>
  <c r="AA45" i="136" s="1"/>
  <c r="AA49" i="136" s="1"/>
  <c r="BF22" i="145"/>
  <c r="AH23" i="145"/>
  <c r="BB22" i="145"/>
  <c r="BI23" i="132"/>
  <c r="AE23" i="134"/>
  <c r="BG23" i="136"/>
  <c r="AY23" i="135"/>
  <c r="AX23" i="145"/>
  <c r="BN23" i="131"/>
  <c r="AY23" i="134"/>
  <c r="AI23" i="136"/>
  <c r="BO22" i="136"/>
  <c r="BG23" i="135"/>
  <c r="BE13" i="134"/>
  <c r="BJ13" i="134"/>
  <c r="BC13" i="134"/>
  <c r="BF13" i="134"/>
  <c r="BD13" i="134"/>
  <c r="BH13" i="134"/>
  <c r="R14" i="130"/>
  <c r="R17" i="130"/>
  <c r="BF13" i="132"/>
  <c r="BD13" i="132"/>
  <c r="BA13" i="132"/>
  <c r="BJ13" i="132"/>
  <c r="BG13" i="132"/>
  <c r="BB13" i="136"/>
  <c r="BH13" i="136"/>
  <c r="BG13" i="136"/>
  <c r="BF13" i="136"/>
  <c r="AZ13" i="136"/>
  <c r="R20" i="130"/>
  <c r="R12" i="130"/>
  <c r="BE13" i="131"/>
  <c r="BH13" i="131"/>
  <c r="BE15" i="144"/>
  <c r="BE15" i="136"/>
  <c r="BI15" i="135"/>
  <c r="BA15" i="132"/>
  <c r="AZ15" i="135"/>
  <c r="AZ15" i="133"/>
  <c r="AZ15" i="144"/>
  <c r="BD15" i="135"/>
  <c r="BI15" i="136"/>
  <c r="BI15" i="134"/>
  <c r="BD15" i="136"/>
  <c r="BH15" i="134"/>
  <c r="AZ15" i="132"/>
  <c r="BF15" i="136"/>
  <c r="BF15" i="135"/>
  <c r="AZ15" i="136"/>
  <c r="BA15" i="135"/>
  <c r="BG15" i="134"/>
  <c r="BJ15" i="131"/>
  <c r="BG15" i="131"/>
  <c r="BH15" i="131"/>
  <c r="BJ13" i="131"/>
  <c r="BF13" i="131"/>
  <c r="AY13" i="131"/>
  <c r="BD13" i="131"/>
  <c r="AZ13" i="131"/>
  <c r="BL13" i="132"/>
  <c r="BN13" i="132"/>
  <c r="BK13" i="132"/>
  <c r="BV13" i="132"/>
  <c r="BR13" i="132"/>
  <c r="BS13" i="132"/>
  <c r="BM13" i="132"/>
  <c r="BO13" i="132"/>
  <c r="BT13" i="132"/>
  <c r="BQ13" i="132"/>
  <c r="BN13" i="136"/>
  <c r="BT13" i="136"/>
  <c r="BQ13" i="136"/>
  <c r="BL13" i="136"/>
  <c r="BU13" i="136"/>
  <c r="L14" i="133"/>
  <c r="T14" i="132"/>
  <c r="C17" i="135"/>
  <c r="C29" i="135" s="1"/>
  <c r="C45" i="135" s="1"/>
  <c r="C49" i="135" s="1"/>
  <c r="AD23" i="131"/>
  <c r="BC23" i="131"/>
  <c r="AO23" i="131"/>
  <c r="AU23" i="134"/>
  <c r="BO23" i="134"/>
  <c r="AI23" i="132"/>
  <c r="AE22" i="136"/>
  <c r="AM22" i="136"/>
  <c r="AU22" i="136"/>
  <c r="BC22" i="136"/>
  <c r="AE23" i="135"/>
  <c r="AM22" i="135"/>
  <c r="AU22" i="135"/>
  <c r="BC22" i="135"/>
  <c r="BO23" i="135"/>
  <c r="AE22" i="131"/>
  <c r="BT23" i="144"/>
  <c r="BP22" i="144"/>
  <c r="AN22" i="144"/>
  <c r="BG23" i="134"/>
  <c r="BS23" i="132"/>
  <c r="BS23" i="136"/>
  <c r="BK23" i="135"/>
  <c r="Q14" i="135"/>
  <c r="Q29" i="135" s="1"/>
  <c r="Q45" i="135" s="1"/>
  <c r="Q49" i="135" s="1"/>
  <c r="L14" i="136"/>
  <c r="L29" i="136" s="1"/>
  <c r="L45" i="136" s="1"/>
  <c r="L49" i="136" s="1"/>
  <c r="D14" i="136"/>
  <c r="D29" i="136" s="1"/>
  <c r="D45" i="136" s="1"/>
  <c r="D49" i="136" s="1"/>
  <c r="S14" i="136"/>
  <c r="AS23" i="133"/>
  <c r="AQ23" i="134"/>
  <c r="BK23" i="134"/>
  <c r="BS23" i="133"/>
  <c r="BK23" i="136"/>
  <c r="AV22" i="144"/>
  <c r="AK23" i="132"/>
  <c r="BH23" i="135"/>
  <c r="AV23" i="136"/>
  <c r="AZ22" i="134"/>
  <c r="AO23" i="144"/>
  <c r="Q14" i="132"/>
  <c r="I14" i="132"/>
  <c r="E14" i="132"/>
  <c r="X14" i="134"/>
  <c r="D17" i="134"/>
  <c r="T14" i="133"/>
  <c r="T29" i="133" s="1"/>
  <c r="T45" i="133" s="1"/>
  <c r="T49" i="133" s="1"/>
  <c r="X17" i="132"/>
  <c r="K17" i="134"/>
  <c r="K14" i="134"/>
  <c r="W14" i="132"/>
  <c r="N17" i="136"/>
  <c r="N29" i="136" s="1"/>
  <c r="N45" i="136" s="1"/>
  <c r="N49" i="136" s="1"/>
  <c r="AX23" i="131"/>
  <c r="AU23" i="131"/>
  <c r="AF23" i="134"/>
  <c r="BL23" i="133"/>
  <c r="AW23" i="133"/>
  <c r="AW23" i="132"/>
  <c r="BJ23" i="133"/>
  <c r="BC23" i="133"/>
  <c r="AJ23" i="135"/>
  <c r="BP23" i="135"/>
  <c r="BD23" i="136"/>
  <c r="BE22" i="132"/>
  <c r="BS22" i="134"/>
  <c r="AM22" i="134"/>
  <c r="Y17" i="133"/>
  <c r="U14" i="132"/>
  <c r="F17" i="136"/>
  <c r="F29" i="136" s="1"/>
  <c r="F45" i="136" s="1"/>
  <c r="F49" i="136" s="1"/>
  <c r="R14" i="135"/>
  <c r="J14" i="135"/>
  <c r="W14" i="135"/>
  <c r="O14" i="135"/>
  <c r="G14" i="135"/>
  <c r="BF23" i="131"/>
  <c r="AV23" i="134"/>
  <c r="BU23" i="133"/>
  <c r="AR23" i="135"/>
  <c r="AF23" i="136"/>
  <c r="BL23" i="136"/>
  <c r="BU22" i="132"/>
  <c r="BO22" i="132"/>
  <c r="AO22" i="132"/>
  <c r="AE22" i="133"/>
  <c r="BT23" i="145"/>
  <c r="BH22" i="145"/>
  <c r="BQ22" i="144"/>
  <c r="BU22" i="144"/>
  <c r="V14" i="134"/>
  <c r="AC17" i="134"/>
  <c r="I17" i="134"/>
  <c r="I14" i="133"/>
  <c r="L14" i="134"/>
  <c r="P17" i="133"/>
  <c r="BI23" i="131"/>
  <c r="AJ23" i="134"/>
  <c r="BP23" i="134"/>
  <c r="BE23" i="133"/>
  <c r="AM23" i="132"/>
  <c r="BD22" i="134"/>
  <c r="AR22" i="134"/>
  <c r="BP22" i="145"/>
  <c r="BL22" i="145"/>
  <c r="BD23" i="145"/>
  <c r="AZ22" i="145"/>
  <c r="AV22" i="145"/>
  <c r="AR23" i="145"/>
  <c r="AN23" i="145"/>
  <c r="AJ22" i="145"/>
  <c r="AF22" i="145"/>
  <c r="AW22" i="144"/>
  <c r="AG23" i="131"/>
  <c r="BM23" i="131"/>
  <c r="AN23" i="134"/>
  <c r="BT23" i="134"/>
  <c r="AS23" i="132"/>
  <c r="AI23" i="133"/>
  <c r="AQ23" i="132"/>
  <c r="AF22" i="135"/>
  <c r="AN23" i="135"/>
  <c r="AV23" i="135"/>
  <c r="BD23" i="135"/>
  <c r="BL23" i="135"/>
  <c r="BT23" i="135"/>
  <c r="AJ23" i="136"/>
  <c r="AR23" i="136"/>
  <c r="AZ23" i="136"/>
  <c r="BH23" i="136"/>
  <c r="BP23" i="136"/>
  <c r="BQ22" i="131"/>
  <c r="AK22" i="131"/>
  <c r="BC22" i="134"/>
  <c r="AC14" i="144"/>
  <c r="AC29" i="144" s="1"/>
  <c r="AC45" i="144" s="1"/>
  <c r="AC49" i="144" s="1"/>
  <c r="BM22" i="144"/>
  <c r="AS22" i="144"/>
  <c r="BA22" i="144"/>
  <c r="Q14" i="134"/>
  <c r="M14" i="132"/>
  <c r="D14" i="133"/>
  <c r="W17" i="134"/>
  <c r="S14" i="133"/>
  <c r="S17" i="132"/>
  <c r="O17" i="132"/>
  <c r="K17" i="132"/>
  <c r="G17" i="132"/>
  <c r="C17" i="132"/>
  <c r="J17" i="136"/>
  <c r="J14" i="136"/>
  <c r="AA14" i="135"/>
  <c r="AT23" i="131"/>
  <c r="BV23" i="131"/>
  <c r="BH23" i="134"/>
  <c r="AL23" i="133"/>
  <c r="AY23" i="132"/>
  <c r="BT23" i="133"/>
  <c r="BK22" i="133"/>
  <c r="AY22" i="133"/>
  <c r="AA17" i="134"/>
  <c r="AA29" i="134" s="1"/>
  <c r="AJ23" i="144"/>
  <c r="J17" i="135"/>
  <c r="AJ17" i="144"/>
  <c r="AK17" i="144"/>
  <c r="X14" i="135"/>
  <c r="P14" i="135"/>
  <c r="S17" i="136"/>
  <c r="K17" i="136"/>
  <c r="C17" i="136"/>
  <c r="C29" i="136" s="1"/>
  <c r="C45" i="136" s="1"/>
  <c r="C49" i="136" s="1"/>
  <c r="W17" i="135"/>
  <c r="W29" i="135" s="1"/>
  <c r="W45" i="135" s="1"/>
  <c r="W49" i="135" s="1"/>
  <c r="O17" i="135"/>
  <c r="O29" i="135" s="1"/>
  <c r="O45" i="135" s="1"/>
  <c r="O49" i="135" s="1"/>
  <c r="G17" i="135"/>
  <c r="G29" i="135" s="1"/>
  <c r="G45" i="135" s="1"/>
  <c r="AB14" i="135"/>
  <c r="AB14" i="134"/>
  <c r="C14" i="131"/>
  <c r="D14" i="131"/>
  <c r="C17" i="131"/>
  <c r="AP23" i="131"/>
  <c r="BJ23" i="131"/>
  <c r="AF23" i="131"/>
  <c r="AW23" i="131"/>
  <c r="AN23" i="133"/>
  <c r="AO23" i="133"/>
  <c r="BI23" i="133"/>
  <c r="AG23" i="132"/>
  <c r="BA23" i="132"/>
  <c r="BF23" i="132"/>
  <c r="BK22" i="131"/>
  <c r="BA22" i="131"/>
  <c r="BM22" i="132"/>
  <c r="BG22" i="132"/>
  <c r="BO22" i="133"/>
  <c r="AU22" i="133"/>
  <c r="AA17" i="131"/>
  <c r="AA29" i="131" s="1"/>
  <c r="AA45" i="131" s="1"/>
  <c r="BL22" i="144"/>
  <c r="BD22" i="144"/>
  <c r="AZ23" i="144"/>
  <c r="AR23" i="144"/>
  <c r="AR17" i="132"/>
  <c r="AC14" i="135"/>
  <c r="AD7" i="135"/>
  <c r="AE7" i="135" s="1"/>
  <c r="AE21" i="135" s="1"/>
  <c r="Z53" i="69"/>
  <c r="L14" i="131"/>
  <c r="Y14" i="131"/>
  <c r="S14" i="131"/>
  <c r="O14" i="131"/>
  <c r="Q14" i="131"/>
  <c r="N17" i="131"/>
  <c r="S17" i="131"/>
  <c r="S29" i="131" s="1"/>
  <c r="AD17" i="131"/>
  <c r="F14" i="134"/>
  <c r="V17" i="133"/>
  <c r="N14" i="133"/>
  <c r="AB17" i="134"/>
  <c r="AB29" i="134" s="1"/>
  <c r="Y14" i="134"/>
  <c r="U17" i="134"/>
  <c r="P17" i="134"/>
  <c r="H14" i="134"/>
  <c r="G17" i="134"/>
  <c r="Y14" i="136"/>
  <c r="Y29" i="136" s="1"/>
  <c r="Y45" i="136" s="1"/>
  <c r="Y49" i="136" s="1"/>
  <c r="I14" i="135"/>
  <c r="I29" i="135" s="1"/>
  <c r="I45" i="135" s="1"/>
  <c r="I49" i="135" s="1"/>
  <c r="T17" i="135"/>
  <c r="AC14" i="131"/>
  <c r="J17" i="134"/>
  <c r="H17" i="134"/>
  <c r="AE17" i="144"/>
  <c r="T14" i="135"/>
  <c r="S17" i="135"/>
  <c r="BH23" i="131"/>
  <c r="X29" i="145"/>
  <c r="BH22" i="144"/>
  <c r="AE22" i="144"/>
  <c r="AD7" i="144"/>
  <c r="AD21" i="144" s="1"/>
  <c r="G14" i="131"/>
  <c r="Y17" i="131"/>
  <c r="Q17" i="131"/>
  <c r="F14" i="133"/>
  <c r="Y17" i="134"/>
  <c r="M17" i="134"/>
  <c r="K14" i="132"/>
  <c r="Z14" i="136"/>
  <c r="Z29" i="136" s="1"/>
  <c r="Z45" i="136" s="1"/>
  <c r="V14" i="135"/>
  <c r="N14" i="135"/>
  <c r="F14" i="135"/>
  <c r="Q14" i="136"/>
  <c r="Q29" i="136" s="1"/>
  <c r="Q45" i="136" s="1"/>
  <c r="Q49" i="136" s="1"/>
  <c r="I14" i="136"/>
  <c r="I29" i="136" s="1"/>
  <c r="I45" i="136" s="1"/>
  <c r="I49" i="136" s="1"/>
  <c r="U14" i="135"/>
  <c r="U29" i="135" s="1"/>
  <c r="U45" i="135" s="1"/>
  <c r="U49" i="135" s="1"/>
  <c r="M14" i="135"/>
  <c r="M29" i="135" s="1"/>
  <c r="M45" i="135" s="1"/>
  <c r="M49" i="135" s="1"/>
  <c r="E14" i="135"/>
  <c r="E29" i="135" s="1"/>
  <c r="E45" i="135" s="1"/>
  <c r="E49" i="135" s="1"/>
  <c r="X14" i="136"/>
  <c r="X29" i="136" s="1"/>
  <c r="X45" i="136" s="1"/>
  <c r="X49" i="136" s="1"/>
  <c r="H14" i="136"/>
  <c r="H29" i="136" s="1"/>
  <c r="H45" i="136" s="1"/>
  <c r="H49" i="136" s="1"/>
  <c r="X17" i="135"/>
  <c r="P17" i="135"/>
  <c r="O14" i="136"/>
  <c r="G14" i="136"/>
  <c r="S14" i="135"/>
  <c r="E17" i="131"/>
  <c r="E29" i="131" s="1"/>
  <c r="E45" i="131" s="1"/>
  <c r="E49" i="131" s="1"/>
  <c r="BT23" i="131"/>
  <c r="AL23" i="132"/>
  <c r="AD40" i="70"/>
  <c r="Z12" i="69"/>
  <c r="AF17" i="144"/>
  <c r="AH17" i="144"/>
  <c r="I24" i="85"/>
  <c r="AN12" i="136"/>
  <c r="AO12" i="136" s="1"/>
  <c r="AP12" i="136" s="1"/>
  <c r="AQ12" i="136" s="1"/>
  <c r="AR12" i="136" s="1"/>
  <c r="AS12" i="136" s="1"/>
  <c r="AT12" i="136" s="1"/>
  <c r="AU12" i="136" s="1"/>
  <c r="AV12" i="136" s="1"/>
  <c r="AW12" i="136" s="1"/>
  <c r="AX12" i="136" s="1"/>
  <c r="AX16" i="136"/>
  <c r="AR16" i="134"/>
  <c r="Y40" i="70"/>
  <c r="AB24" i="85"/>
  <c r="AW16" i="131"/>
  <c r="T25" i="69"/>
  <c r="AB12" i="69"/>
  <c r="T12" i="69"/>
  <c r="AG17" i="144"/>
  <c r="G24" i="85"/>
  <c r="BL14" i="144"/>
  <c r="BL18" i="144" s="1"/>
  <c r="Z17" i="132"/>
  <c r="V14" i="133"/>
  <c r="BL12" i="131"/>
  <c r="AM16" i="144"/>
  <c r="AM27" i="134"/>
  <c r="R12" i="69"/>
  <c r="Q6" i="129"/>
  <c r="R6" i="129" s="1"/>
  <c r="AQ16" i="136"/>
  <c r="AQ17" i="136" s="1"/>
  <c r="AC40" i="70"/>
  <c r="U40" i="70"/>
  <c r="AR16" i="136"/>
  <c r="AR17" i="136" s="1"/>
  <c r="AV16" i="144"/>
  <c r="AV17" i="144" s="1"/>
  <c r="G14" i="132"/>
  <c r="AM16" i="131"/>
  <c r="AN12" i="135"/>
  <c r="AN14" i="135" s="1"/>
  <c r="J24" i="85"/>
  <c r="S24" i="85" s="1"/>
  <c r="AZ12" i="134"/>
  <c r="AZ14" i="134" s="1"/>
  <c r="AZ18" i="134" s="1"/>
  <c r="AS16" i="132"/>
  <c r="U17" i="132"/>
  <c r="AT16" i="131"/>
  <c r="AT17" i="131" s="1"/>
  <c r="AX16" i="132"/>
  <c r="AX17" i="132" s="1"/>
  <c r="AZ12" i="135"/>
  <c r="R15" i="129"/>
  <c r="BL12" i="135" s="1"/>
  <c r="BL14" i="135" s="1"/>
  <c r="BL18" i="135" s="1"/>
  <c r="R59" i="129"/>
  <c r="AZ12" i="132"/>
  <c r="BA12" i="132" s="1"/>
  <c r="BB12" i="132" s="1"/>
  <c r="BC12" i="132" s="1"/>
  <c r="BC14" i="132" s="1"/>
  <c r="Q43" i="129"/>
  <c r="AN12" i="133"/>
  <c r="AO12" i="133" s="1"/>
  <c r="AP12" i="133" s="1"/>
  <c r="AQ12" i="133" s="1"/>
  <c r="AQ14" i="133" s="1"/>
  <c r="AQ18" i="133" s="1"/>
  <c r="AO16" i="144"/>
  <c r="AO17" i="144" s="1"/>
  <c r="AW16" i="144"/>
  <c r="AW17" i="144" s="1"/>
  <c r="AR16" i="144"/>
  <c r="AX16" i="135"/>
  <c r="AX17" i="135" s="1"/>
  <c r="AP16" i="136"/>
  <c r="AP17" i="136" s="1"/>
  <c r="AS16" i="135"/>
  <c r="AS17" i="135" s="1"/>
  <c r="AS16" i="136"/>
  <c r="AS17" i="136" s="1"/>
  <c r="AV16" i="135"/>
  <c r="AV17" i="135" s="1"/>
  <c r="AN16" i="136"/>
  <c r="AN17" i="136" s="1"/>
  <c r="AU16" i="134"/>
  <c r="AU17" i="134" s="1"/>
  <c r="AX16" i="134"/>
  <c r="AX17" i="134" s="1"/>
  <c r="AM16" i="134"/>
  <c r="AM17" i="134" s="1"/>
  <c r="AT16" i="132"/>
  <c r="AT17" i="132" s="1"/>
  <c r="AM16" i="133"/>
  <c r="AM17" i="133" s="1"/>
  <c r="AO16" i="132"/>
  <c r="AO17" i="132" s="1"/>
  <c r="AQ16" i="132"/>
  <c r="AQ17" i="132" s="1"/>
  <c r="AN16" i="132"/>
  <c r="AN17" i="132" s="1"/>
  <c r="AU16" i="132"/>
  <c r="AU17" i="132" s="1"/>
  <c r="AQ16" i="131"/>
  <c r="AQ17" i="131" s="1"/>
  <c r="AR16" i="131"/>
  <c r="AN16" i="131"/>
  <c r="AN17" i="131" s="1"/>
  <c r="Q7" i="129"/>
  <c r="AP16" i="144"/>
  <c r="AT16" i="144"/>
  <c r="AT17" i="144" s="1"/>
  <c r="AX16" i="144"/>
  <c r="AX17" i="144" s="1"/>
  <c r="AU16" i="135"/>
  <c r="AU17" i="135" s="1"/>
  <c r="AT16" i="135"/>
  <c r="AT17" i="135" s="1"/>
  <c r="AO16" i="135"/>
  <c r="AO17" i="135" s="1"/>
  <c r="AQ16" i="135"/>
  <c r="AQ17" i="135" s="1"/>
  <c r="AO16" i="136"/>
  <c r="AO17" i="136" s="1"/>
  <c r="AV16" i="136"/>
  <c r="AV17" i="136" s="1"/>
  <c r="AN16" i="134"/>
  <c r="AQ16" i="134"/>
  <c r="AQ17" i="134" s="1"/>
  <c r="AV16" i="134"/>
  <c r="AV17" i="134" s="1"/>
  <c r="AP16" i="132"/>
  <c r="AM16" i="132"/>
  <c r="AM17" i="132" s="1"/>
  <c r="AX16" i="133"/>
  <c r="AX17" i="133" s="1"/>
  <c r="AR16" i="133"/>
  <c r="AR17" i="133" s="1"/>
  <c r="AW16" i="133"/>
  <c r="AV16" i="133"/>
  <c r="AV17" i="133" s="1"/>
  <c r="AU16" i="131"/>
  <c r="AU17" i="131" s="1"/>
  <c r="AO16" i="131"/>
  <c r="AO17" i="131" s="1"/>
  <c r="AQ14" i="136"/>
  <c r="AQ18" i="136" s="1"/>
  <c r="AN16" i="144"/>
  <c r="AN17" i="144" s="1"/>
  <c r="AS16" i="144"/>
  <c r="AS17" i="144" s="1"/>
  <c r="AQ16" i="144"/>
  <c r="AQ17" i="144" s="1"/>
  <c r="AM16" i="135"/>
  <c r="AP16" i="135"/>
  <c r="AP17" i="135" s="1"/>
  <c r="AT16" i="136"/>
  <c r="AT17" i="136" s="1"/>
  <c r="AU16" i="136"/>
  <c r="AU17" i="136" s="1"/>
  <c r="AR16" i="135"/>
  <c r="AR17" i="135" s="1"/>
  <c r="AW16" i="136"/>
  <c r="AW16" i="134"/>
  <c r="AW17" i="134" s="1"/>
  <c r="AP16" i="134"/>
  <c r="AP17" i="134" s="1"/>
  <c r="AT16" i="134"/>
  <c r="AT17" i="134" s="1"/>
  <c r="AU16" i="133"/>
  <c r="AU17" i="133" s="1"/>
  <c r="AW16" i="132"/>
  <c r="AW17" i="132" s="1"/>
  <c r="AT16" i="133"/>
  <c r="AT17" i="133" s="1"/>
  <c r="AV16" i="132"/>
  <c r="AS16" i="133"/>
  <c r="AS17" i="133" s="1"/>
  <c r="AN16" i="133"/>
  <c r="AN17" i="133" s="1"/>
  <c r="AS16" i="131"/>
  <c r="AS17" i="131" s="1"/>
  <c r="AV16" i="131"/>
  <c r="AV17" i="131" s="1"/>
  <c r="AP16" i="131"/>
  <c r="AP17" i="131" s="1"/>
  <c r="BL12" i="132"/>
  <c r="BM12" i="132" s="1"/>
  <c r="BN12" i="132" s="1"/>
  <c r="BO12" i="132" s="1"/>
  <c r="BP12" i="132" s="1"/>
  <c r="BQ12" i="132" s="1"/>
  <c r="AO16" i="133"/>
  <c r="AO17" i="133" s="1"/>
  <c r="AQ16" i="133"/>
  <c r="AQ17" i="133" s="1"/>
  <c r="AO16" i="134"/>
  <c r="AO17" i="134" s="1"/>
  <c r="AN16" i="135"/>
  <c r="AN17" i="135" s="1"/>
  <c r="AM16" i="136"/>
  <c r="AM17" i="136" s="1"/>
  <c r="AX16" i="131"/>
  <c r="AP16" i="133"/>
  <c r="AP17" i="133" s="1"/>
  <c r="AS16" i="134"/>
  <c r="AS17" i="134" s="1"/>
  <c r="AW16" i="135"/>
  <c r="AW17" i="135" s="1"/>
  <c r="AU16" i="144"/>
  <c r="AU17" i="144" s="1"/>
  <c r="AZ14" i="144"/>
  <c r="AZ18" i="144" s="1"/>
  <c r="R17" i="129"/>
  <c r="BL12" i="134" s="1"/>
  <c r="BN12" i="131"/>
  <c r="BR12" i="131"/>
  <c r="BV12" i="131"/>
  <c r="BK12" i="131"/>
  <c r="AZ12" i="131"/>
  <c r="BP12" i="131"/>
  <c r="BT12" i="131"/>
  <c r="BQ12" i="131"/>
  <c r="BS12" i="131"/>
  <c r="BM12" i="131"/>
  <c r="BU12" i="131"/>
  <c r="BO12" i="131"/>
  <c r="AL17" i="144"/>
  <c r="R14" i="131"/>
  <c r="K14" i="131"/>
  <c r="C17" i="133"/>
  <c r="C29" i="133" s="1"/>
  <c r="C45" i="133" s="1"/>
  <c r="C49" i="133" s="1"/>
  <c r="L17" i="133"/>
  <c r="G17" i="133"/>
  <c r="W17" i="132"/>
  <c r="V14" i="136"/>
  <c r="Z14" i="135"/>
  <c r="P14" i="136"/>
  <c r="P29" i="136" s="1"/>
  <c r="P45" i="136" s="1"/>
  <c r="P49" i="136" s="1"/>
  <c r="AD7" i="132"/>
  <c r="AD21" i="132" s="1"/>
  <c r="BB12" i="131"/>
  <c r="BF12" i="131"/>
  <c r="BJ12" i="131"/>
  <c r="AN12" i="131"/>
  <c r="BD12" i="131"/>
  <c r="BH12" i="131"/>
  <c r="BI12" i="131"/>
  <c r="BG12" i="131"/>
  <c r="BA12" i="131"/>
  <c r="BE12" i="131"/>
  <c r="AY12" i="131"/>
  <c r="BC12" i="131"/>
  <c r="AN12" i="134"/>
  <c r="AO12" i="134" s="1"/>
  <c r="AP12" i="134" s="1"/>
  <c r="AQ12" i="134" s="1"/>
  <c r="AR12" i="134" s="1"/>
  <c r="AS12" i="134" s="1"/>
  <c r="AT12" i="134" s="1"/>
  <c r="AU12" i="134" s="1"/>
  <c r="AV12" i="134" s="1"/>
  <c r="AW12" i="134" s="1"/>
  <c r="AX12" i="134" s="1"/>
  <c r="BA14" i="144"/>
  <c r="BA18" i="144" s="1"/>
  <c r="AN12" i="132"/>
  <c r="AO12" i="132" s="1"/>
  <c r="AL27" i="134"/>
  <c r="AN27" i="134" s="1"/>
  <c r="AS17" i="132"/>
  <c r="AR17" i="134"/>
  <c r="AX17" i="136"/>
  <c r="AM17" i="144"/>
  <c r="X14" i="131"/>
  <c r="T14" i="131"/>
  <c r="H14" i="131"/>
  <c r="T17" i="131"/>
  <c r="H17" i="131"/>
  <c r="X17" i="131"/>
  <c r="G17" i="131"/>
  <c r="V17" i="134"/>
  <c r="R17" i="134"/>
  <c r="F17" i="134"/>
  <c r="J14" i="133"/>
  <c r="U14" i="134"/>
  <c r="I14" i="134"/>
  <c r="M17" i="133"/>
  <c r="Y17" i="132"/>
  <c r="L17" i="134"/>
  <c r="D17" i="133"/>
  <c r="W14" i="134"/>
  <c r="O17" i="134"/>
  <c r="C17" i="134"/>
  <c r="S17" i="133"/>
  <c r="S14" i="132"/>
  <c r="O14" i="132"/>
  <c r="C14" i="132"/>
  <c r="Z17" i="131"/>
  <c r="K17" i="131"/>
  <c r="Z14" i="134"/>
  <c r="J14" i="134"/>
  <c r="J17" i="133"/>
  <c r="U14" i="133"/>
  <c r="Q17" i="133"/>
  <c r="X14" i="133"/>
  <c r="X29" i="133" s="1"/>
  <c r="X45" i="133" s="1"/>
  <c r="V17" i="136"/>
  <c r="AW17" i="133"/>
  <c r="AP17" i="132"/>
  <c r="AP17" i="144"/>
  <c r="AM23" i="131"/>
  <c r="BS23" i="131"/>
  <c r="BU23" i="131"/>
  <c r="AS23" i="134"/>
  <c r="BM23" i="134"/>
  <c r="AK23" i="133"/>
  <c r="BA23" i="133"/>
  <c r="BQ23" i="133"/>
  <c r="AP23" i="133"/>
  <c r="AE23" i="132"/>
  <c r="AU23" i="132"/>
  <c r="BK23" i="132"/>
  <c r="AO23" i="135"/>
  <c r="BA23" i="135"/>
  <c r="BI22" i="135"/>
  <c r="BU23" i="135"/>
  <c r="AK23" i="136"/>
  <c r="AS22" i="136"/>
  <c r="BE23" i="136"/>
  <c r="BQ23" i="136"/>
  <c r="AX22" i="144"/>
  <c r="U29" i="136"/>
  <c r="U45" i="136" s="1"/>
  <c r="U49" i="136" s="1"/>
  <c r="W53" i="69"/>
  <c r="AL23" i="131"/>
  <c r="BB23" i="131"/>
  <c r="BR23" i="131"/>
  <c r="AV23" i="131"/>
  <c r="BE23" i="131"/>
  <c r="AW23" i="134"/>
  <c r="BU23" i="134"/>
  <c r="BH23" i="132"/>
  <c r="AG23" i="135"/>
  <c r="BM23" i="135"/>
  <c r="AW23" i="136"/>
  <c r="BQ22" i="134"/>
  <c r="BI22" i="134"/>
  <c r="BA22" i="134"/>
  <c r="AO22" i="134"/>
  <c r="AK22" i="134"/>
  <c r="W29" i="145"/>
  <c r="BV22" i="144"/>
  <c r="AP22" i="144"/>
  <c r="AJ23" i="131"/>
  <c r="AW23" i="135"/>
  <c r="AG23" i="136"/>
  <c r="BM23" i="136"/>
  <c r="AO23" i="145"/>
  <c r="BF22" i="144"/>
  <c r="AV17" i="132"/>
  <c r="AR17" i="144"/>
  <c r="U14" i="131"/>
  <c r="AR17" i="131"/>
  <c r="AW17" i="131"/>
  <c r="AX17" i="131"/>
  <c r="AN17" i="134"/>
  <c r="I17" i="131"/>
  <c r="P14" i="131"/>
  <c r="W17" i="131"/>
  <c r="V14" i="132"/>
  <c r="E14" i="133"/>
  <c r="Y14" i="132"/>
  <c r="P14" i="132"/>
  <c r="L14" i="132"/>
  <c r="H14" i="132"/>
  <c r="D14" i="132"/>
  <c r="R17" i="135"/>
  <c r="AA17" i="133"/>
  <c r="AA29" i="133" s="1"/>
  <c r="AA45" i="133" s="1"/>
  <c r="AA49" i="133" s="1"/>
  <c r="AA17" i="132"/>
  <c r="AA29" i="132" s="1"/>
  <c r="AA57" i="132" s="1"/>
  <c r="AA63" i="132" s="1"/>
  <c r="AD14" i="133"/>
  <c r="AW17" i="136"/>
  <c r="AM17" i="135"/>
  <c r="W14" i="131"/>
  <c r="V14" i="131"/>
  <c r="J14" i="131"/>
  <c r="F14" i="131"/>
  <c r="M14" i="131"/>
  <c r="V17" i="131"/>
  <c r="V29" i="131" s="1"/>
  <c r="V45" i="131" s="1"/>
  <c r="V49" i="131" s="1"/>
  <c r="R17" i="131"/>
  <c r="J17" i="131"/>
  <c r="P17" i="131"/>
  <c r="L17" i="131"/>
  <c r="AC17" i="131"/>
  <c r="Z17" i="134"/>
  <c r="R14" i="134"/>
  <c r="N14" i="134"/>
  <c r="N17" i="134"/>
  <c r="Z14" i="133"/>
  <c r="R14" i="133"/>
  <c r="N17" i="133"/>
  <c r="Z14" i="132"/>
  <c r="Q17" i="134"/>
  <c r="M14" i="134"/>
  <c r="Y14" i="133"/>
  <c r="U17" i="133"/>
  <c r="M14" i="133"/>
  <c r="E17" i="133"/>
  <c r="Q17" i="132"/>
  <c r="M17" i="132"/>
  <c r="I17" i="132"/>
  <c r="E17" i="132"/>
  <c r="T17" i="134"/>
  <c r="D14" i="134"/>
  <c r="P14" i="133"/>
  <c r="H17" i="133"/>
  <c r="X14" i="132"/>
  <c r="T17" i="132"/>
  <c r="P17" i="132"/>
  <c r="L17" i="132"/>
  <c r="H17" i="132"/>
  <c r="D17" i="132"/>
  <c r="O14" i="134"/>
  <c r="G14" i="134"/>
  <c r="W17" i="133"/>
  <c r="W29" i="133" s="1"/>
  <c r="W45" i="133" s="1"/>
  <c r="K17" i="133"/>
  <c r="K29" i="133" s="1"/>
  <c r="K45" i="133" s="1"/>
  <c r="K49" i="133" s="1"/>
  <c r="G14" i="133"/>
  <c r="L17" i="135"/>
  <c r="L29" i="135" s="1"/>
  <c r="L45" i="135" s="1"/>
  <c r="D17" i="135"/>
  <c r="D29" i="135" s="1"/>
  <c r="D45" i="135" s="1"/>
  <c r="AI23" i="131"/>
  <c r="AY23" i="131"/>
  <c r="BO23" i="131"/>
  <c r="BD23" i="131"/>
  <c r="BP23" i="132"/>
  <c r="AT23" i="133"/>
  <c r="BR23" i="133"/>
  <c r="AP23" i="132"/>
  <c r="BJ23" i="132"/>
  <c r="BD23" i="133"/>
  <c r="AJ23" i="132"/>
  <c r="AG22" i="145"/>
  <c r="AG23" i="145"/>
  <c r="AK22" i="145"/>
  <c r="AK23" i="145"/>
  <c r="AS23" i="145"/>
  <c r="AS22" i="145"/>
  <c r="AW23" i="145"/>
  <c r="AW22" i="145"/>
  <c r="BA23" i="145"/>
  <c r="BA22" i="145"/>
  <c r="BE23" i="145"/>
  <c r="BE22" i="145"/>
  <c r="BM22" i="145"/>
  <c r="BM23" i="145"/>
  <c r="BR22" i="144"/>
  <c r="BR23" i="144"/>
  <c r="BJ22" i="144"/>
  <c r="BJ23" i="144"/>
  <c r="BB22" i="144"/>
  <c r="BB23" i="144"/>
  <c r="AT22" i="144"/>
  <c r="AT23" i="144"/>
  <c r="AL22" i="144"/>
  <c r="AL23" i="144"/>
  <c r="AL17" i="132"/>
  <c r="AL17" i="135"/>
  <c r="AK17" i="132"/>
  <c r="AJ17" i="133"/>
  <c r="AJ17" i="135"/>
  <c r="AI17" i="132"/>
  <c r="AH17" i="133"/>
  <c r="AH17" i="135"/>
  <c r="AG17" i="132"/>
  <c r="AF17" i="133"/>
  <c r="AF17" i="135"/>
  <c r="AE17" i="135"/>
  <c r="Z14" i="131"/>
  <c r="N14" i="131"/>
  <c r="I14" i="131"/>
  <c r="F17" i="131"/>
  <c r="U17" i="131"/>
  <c r="M17" i="131"/>
  <c r="O17" i="131"/>
  <c r="AB17" i="131"/>
  <c r="AB29" i="131" s="1"/>
  <c r="Z17" i="133"/>
  <c r="R17" i="133"/>
  <c r="R17" i="132"/>
  <c r="N17" i="132"/>
  <c r="J17" i="132"/>
  <c r="F17" i="132"/>
  <c r="E14" i="134"/>
  <c r="E17" i="134"/>
  <c r="I17" i="133"/>
  <c r="X17" i="134"/>
  <c r="P14" i="134"/>
  <c r="S14" i="134"/>
  <c r="C14" i="134"/>
  <c r="V17" i="135"/>
  <c r="N17" i="135"/>
  <c r="F17" i="135"/>
  <c r="AN23" i="131"/>
  <c r="AN23" i="132"/>
  <c r="BB23" i="133"/>
  <c r="BV23" i="133"/>
  <c r="AT23" i="132"/>
  <c r="BR23" i="132"/>
  <c r="BP23" i="133"/>
  <c r="BD23" i="132"/>
  <c r="BP22" i="131"/>
  <c r="BP23" i="131"/>
  <c r="AZ22" i="131"/>
  <c r="AZ23" i="131"/>
  <c r="AE17" i="131"/>
  <c r="F17" i="133"/>
  <c r="V17" i="132"/>
  <c r="R14" i="132"/>
  <c r="N14" i="132"/>
  <c r="J14" i="132"/>
  <c r="F14" i="132"/>
  <c r="Q14" i="133"/>
  <c r="T14" i="134"/>
  <c r="H14" i="133"/>
  <c r="S17" i="134"/>
  <c r="O14" i="133"/>
  <c r="O29" i="133" s="1"/>
  <c r="O45" i="133" s="1"/>
  <c r="O49" i="133" s="1"/>
  <c r="R14" i="136"/>
  <c r="R29" i="136" s="1"/>
  <c r="R45" i="136" s="1"/>
  <c r="R49" i="136" s="1"/>
  <c r="Z17" i="135"/>
  <c r="H17" i="135"/>
  <c r="H29" i="135" s="1"/>
  <c r="H45" i="135" s="1"/>
  <c r="H49" i="135" s="1"/>
  <c r="W17" i="136"/>
  <c r="W29" i="136" s="1"/>
  <c r="W45" i="136" s="1"/>
  <c r="W49" i="136" s="1"/>
  <c r="O17" i="136"/>
  <c r="G17" i="136"/>
  <c r="AQ23" i="131"/>
  <c r="BG23" i="131"/>
  <c r="BL23" i="131"/>
  <c r="BL23" i="132"/>
  <c r="BF23" i="133"/>
  <c r="AD23" i="132"/>
  <c r="BB23" i="132"/>
  <c r="BV23" i="132"/>
  <c r="AF23" i="132"/>
  <c r="BH23" i="133"/>
  <c r="BT23" i="132"/>
  <c r="BN22" i="132"/>
  <c r="AZ22" i="132"/>
  <c r="AX22" i="132"/>
  <c r="AV22" i="132"/>
  <c r="AR22" i="132"/>
  <c r="AH22" i="132"/>
  <c r="AD22" i="132"/>
  <c r="BN22" i="133"/>
  <c r="AZ22" i="133"/>
  <c r="AX22" i="133"/>
  <c r="AV22" i="133"/>
  <c r="AR22" i="133"/>
  <c r="AH22" i="133"/>
  <c r="BU23" i="145"/>
  <c r="BI22" i="145"/>
  <c r="BQ22" i="145"/>
  <c r="AL17" i="136"/>
  <c r="AK17" i="136"/>
  <c r="AK17" i="134"/>
  <c r="AK17" i="131"/>
  <c r="AI17" i="136"/>
  <c r="AI17" i="134"/>
  <c r="AI17" i="131"/>
  <c r="AG17" i="136"/>
  <c r="AG17" i="134"/>
  <c r="AG17" i="131"/>
  <c r="AE17" i="136"/>
  <c r="AF17" i="131"/>
  <c r="AD17" i="135"/>
  <c r="AD7" i="133"/>
  <c r="AD21" i="133" s="1"/>
  <c r="AA17" i="135"/>
  <c r="O29" i="145"/>
  <c r="O54" i="145" s="1"/>
  <c r="O58" i="145" s="1"/>
  <c r="C29" i="145"/>
  <c r="C54" i="145" s="1"/>
  <c r="AA14" i="144"/>
  <c r="AD7" i="145"/>
  <c r="AD21" i="145" s="1"/>
  <c r="AL17" i="134"/>
  <c r="AL17" i="131"/>
  <c r="AJ17" i="136"/>
  <c r="AJ17" i="134"/>
  <c r="AJ17" i="131"/>
  <c r="AH17" i="136"/>
  <c r="AH17" i="134"/>
  <c r="AH17" i="131"/>
  <c r="AF17" i="136"/>
  <c r="AF17" i="134"/>
  <c r="AE17" i="132"/>
  <c r="AE17" i="134"/>
  <c r="AD17" i="133"/>
  <c r="AD17" i="136"/>
  <c r="AD17" i="132"/>
  <c r="AD17" i="134"/>
  <c r="AD7" i="134"/>
  <c r="AD21" i="134" s="1"/>
  <c r="AB14" i="144"/>
  <c r="AB29" i="144" s="1"/>
  <c r="AB45" i="144" s="1"/>
  <c r="AB49" i="144" s="1"/>
  <c r="AA17" i="144"/>
  <c r="AA29" i="144" s="1"/>
  <c r="AA45" i="144" s="1"/>
  <c r="AA49" i="144" s="1"/>
  <c r="AL17" i="133"/>
  <c r="AM17" i="131"/>
  <c r="AK17" i="133"/>
  <c r="AK17" i="135"/>
  <c r="AJ17" i="132"/>
  <c r="AI17" i="133"/>
  <c r="AI17" i="135"/>
  <c r="AH17" i="132"/>
  <c r="AG17" i="133"/>
  <c r="AG17" i="135"/>
  <c r="AF17" i="132"/>
  <c r="AE17" i="133"/>
  <c r="AD7" i="136"/>
  <c r="AD21" i="136" s="1"/>
  <c r="AD7" i="131"/>
  <c r="AD21" i="131" s="1"/>
  <c r="AK525" i="123"/>
  <c r="BI525" i="123"/>
  <c r="AE35" i="133"/>
  <c r="AF35" i="133" s="1"/>
  <c r="AG35" i="133" s="1"/>
  <c r="H525" i="123"/>
  <c r="V505" i="123"/>
  <c r="U505" i="123"/>
  <c r="AE525" i="123"/>
  <c r="V525" i="123"/>
  <c r="AA505" i="123"/>
  <c r="AB505" i="123"/>
  <c r="BW505" i="123"/>
  <c r="BW525" i="123" s="1"/>
  <c r="BX505" i="123"/>
  <c r="BP505" i="123"/>
  <c r="P52" i="145"/>
  <c r="H52" i="145"/>
  <c r="D52" i="145"/>
  <c r="O52" i="145"/>
  <c r="C52" i="145"/>
  <c r="F52" i="145"/>
  <c r="I52" i="145"/>
  <c r="AF505" i="123"/>
  <c r="AF525" i="123" s="1"/>
  <c r="BH525" i="123"/>
  <c r="U525" i="123"/>
  <c r="J53" i="69"/>
  <c r="V43" i="133"/>
  <c r="AD33" i="133"/>
  <c r="J43" i="133"/>
  <c r="F43" i="133"/>
  <c r="Q43" i="133"/>
  <c r="M43" i="133"/>
  <c r="I43" i="133"/>
  <c r="E43" i="133"/>
  <c r="D43" i="133"/>
  <c r="S43" i="133"/>
  <c r="BV505" i="123"/>
  <c r="BR505" i="123"/>
  <c r="BR525" i="123" s="1"/>
  <c r="BQ525" i="123"/>
  <c r="BZ505" i="123"/>
  <c r="BY525" i="123"/>
  <c r="AD505" i="123"/>
  <c r="V43" i="134"/>
  <c r="K21" i="57"/>
  <c r="AE30" i="34"/>
  <c r="E30" i="34"/>
  <c r="AE22" i="34"/>
  <c r="K15" i="57"/>
  <c r="Z30" i="34"/>
  <c r="Z33" i="34" s="1"/>
  <c r="Z34" i="34" s="1"/>
  <c r="AB10" i="85"/>
  <c r="AB29" i="85"/>
  <c r="AB9" i="85"/>
  <c r="T33" i="34"/>
  <c r="T34" i="34" s="1"/>
  <c r="AB12" i="85"/>
  <c r="AB13" i="85" s="1"/>
  <c r="AB14" i="85" s="1"/>
  <c r="N33" i="34"/>
  <c r="N34" i="34" s="1"/>
  <c r="BM9" i="69"/>
  <c r="O18" i="11"/>
  <c r="Q39" i="34" s="1"/>
  <c r="O12" i="11"/>
  <c r="Q28" i="34" s="1"/>
  <c r="O36" i="11"/>
  <c r="Q59" i="34" s="1"/>
  <c r="O32" i="11"/>
  <c r="Q55" i="34" s="1"/>
  <c r="O28" i="11"/>
  <c r="Q51" i="34" s="1"/>
  <c r="O9" i="11"/>
  <c r="Q27" i="34" s="1"/>
  <c r="O35" i="11"/>
  <c r="Q58" i="34" s="1"/>
  <c r="O31" i="11"/>
  <c r="Q54" i="34" s="1"/>
  <c r="O27" i="11"/>
  <c r="Q50" i="34" s="1"/>
  <c r="O13" i="11"/>
  <c r="Q29" i="34" s="1"/>
  <c r="O11" i="11"/>
  <c r="Q20" i="34" s="1"/>
  <c r="O34" i="11"/>
  <c r="Q57" i="34" s="1"/>
  <c r="O30" i="11"/>
  <c r="Q53" i="34" s="1"/>
  <c r="O25" i="11"/>
  <c r="BC36" i="11"/>
  <c r="BE59" i="34" s="1"/>
  <c r="BC31" i="11"/>
  <c r="BE54" i="34" s="1"/>
  <c r="BC8" i="11"/>
  <c r="BC32" i="11"/>
  <c r="BE55" i="34" s="1"/>
  <c r="BC29" i="11"/>
  <c r="BE52" i="34" s="1"/>
  <c r="T47" i="57" s="1"/>
  <c r="BC37" i="11"/>
  <c r="BE60" i="34" s="1"/>
  <c r="BC9" i="11"/>
  <c r="BE27" i="34" s="1"/>
  <c r="BC11" i="11"/>
  <c r="BE20" i="34" s="1"/>
  <c r="BE22" i="34" s="1"/>
  <c r="BC28" i="11"/>
  <c r="BE51" i="34" s="1"/>
  <c r="BC35" i="11"/>
  <c r="BE58" i="34" s="1"/>
  <c r="BC12" i="11"/>
  <c r="BE28" i="34" s="1"/>
  <c r="BC27" i="11"/>
  <c r="BE50" i="34" s="1"/>
  <c r="T45" i="57" s="1"/>
  <c r="BC34" i="11"/>
  <c r="BE57" i="34" s="1"/>
  <c r="T52" i="57" s="1"/>
  <c r="AY36" i="11"/>
  <c r="BA59" i="34" s="1"/>
  <c r="AY8" i="11"/>
  <c r="AY29" i="11"/>
  <c r="BA52" i="34" s="1"/>
  <c r="AY12" i="11"/>
  <c r="BA28" i="34" s="1"/>
  <c r="AY32" i="11"/>
  <c r="BA55" i="34" s="1"/>
  <c r="AY28" i="11"/>
  <c r="BA51" i="34" s="1"/>
  <c r="AY35" i="11"/>
  <c r="BA58" i="34" s="1"/>
  <c r="AY31" i="11"/>
  <c r="BA54" i="34" s="1"/>
  <c r="AY13" i="11"/>
  <c r="BA29" i="34" s="1"/>
  <c r="AY11" i="11"/>
  <c r="BA20" i="34" s="1"/>
  <c r="AY27" i="11"/>
  <c r="BA50" i="34" s="1"/>
  <c r="AY34" i="11"/>
  <c r="BA57" i="34" s="1"/>
  <c r="AQ36" i="11"/>
  <c r="AS59" i="34" s="1"/>
  <c r="P54" i="57" s="1"/>
  <c r="AQ29" i="11"/>
  <c r="AS52" i="34" s="1"/>
  <c r="AQ28" i="11"/>
  <c r="AS51" i="34" s="1"/>
  <c r="AQ35" i="11"/>
  <c r="AS58" i="34" s="1"/>
  <c r="AQ31" i="11"/>
  <c r="AS54" i="34" s="1"/>
  <c r="AQ12" i="11"/>
  <c r="AS28" i="34" s="1"/>
  <c r="P23" i="57" s="1"/>
  <c r="AQ34" i="11"/>
  <c r="AS57" i="34" s="1"/>
  <c r="P52" i="57" s="1"/>
  <c r="AI36" i="11"/>
  <c r="AK59" i="34" s="1"/>
  <c r="AI27" i="11"/>
  <c r="AK50" i="34" s="1"/>
  <c r="AI30" i="11"/>
  <c r="AK53" i="34" s="1"/>
  <c r="AI33" i="11"/>
  <c r="AK56" i="34" s="1"/>
  <c r="AI29" i="11"/>
  <c r="AK52" i="34" s="1"/>
  <c r="M47" i="57" s="1"/>
  <c r="AI31" i="11"/>
  <c r="AK54" i="34" s="1"/>
  <c r="AI12" i="11"/>
  <c r="AK28" i="34" s="1"/>
  <c r="AI28" i="11"/>
  <c r="AK51" i="34" s="1"/>
  <c r="AI35" i="11"/>
  <c r="AK58" i="34" s="1"/>
  <c r="E33" i="34"/>
  <c r="E34" i="34" s="1"/>
  <c r="L27" i="34"/>
  <c r="L30" i="34" s="1"/>
  <c r="L33" i="34" s="1"/>
  <c r="L34" i="34" s="1"/>
  <c r="J10" i="11"/>
  <c r="BG177" i="123"/>
  <c r="H48" i="34"/>
  <c r="AE40" i="133"/>
  <c r="AD40" i="133"/>
  <c r="AB43" i="135"/>
  <c r="AD32" i="135"/>
  <c r="AF40" i="136"/>
  <c r="AE40" i="136"/>
  <c r="AD40" i="136"/>
  <c r="AE24" i="136"/>
  <c r="AD24" i="136"/>
  <c r="Z43" i="131"/>
  <c r="AD36" i="131"/>
  <c r="N43" i="131"/>
  <c r="W43" i="131"/>
  <c r="K43" i="131"/>
  <c r="AD24" i="131"/>
  <c r="X43" i="131"/>
  <c r="T43" i="131"/>
  <c r="AD34" i="131"/>
  <c r="AE34" i="131"/>
  <c r="Z55" i="132"/>
  <c r="V55" i="132"/>
  <c r="U43" i="133"/>
  <c r="AF34" i="133"/>
  <c r="AG34" i="133" s="1"/>
  <c r="AD34" i="133"/>
  <c r="AE34" i="133"/>
  <c r="AF12" i="69"/>
  <c r="X10" i="11"/>
  <c r="P26" i="34"/>
  <c r="P30" i="34" s="1"/>
  <c r="P33" i="34" s="1"/>
  <c r="P34" i="34" s="1"/>
  <c r="H21" i="57"/>
  <c r="H25" i="57" s="1"/>
  <c r="H12" i="85" s="1"/>
  <c r="H13" i="85" s="1"/>
  <c r="H14" i="85" s="1"/>
  <c r="T15" i="57"/>
  <c r="T55" i="57"/>
  <c r="T50" i="57"/>
  <c r="H48" i="57"/>
  <c r="O37" i="11"/>
  <c r="Q60" i="34" s="1"/>
  <c r="BE35" i="11"/>
  <c r="BG58" i="34" s="1"/>
  <c r="AW35" i="11"/>
  <c r="AY58" i="34" s="1"/>
  <c r="AO35" i="11"/>
  <c r="AQ58" i="34" s="1"/>
  <c r="BG30" i="11"/>
  <c r="BI53" i="34" s="1"/>
  <c r="AY30" i="11"/>
  <c r="BA53" i="34" s="1"/>
  <c r="AQ30" i="11"/>
  <c r="AS53" i="34" s="1"/>
  <c r="AW28" i="11"/>
  <c r="AY51" i="34" s="1"/>
  <c r="BG32" i="11"/>
  <c r="BI55" i="34" s="1"/>
  <c r="AW12" i="11"/>
  <c r="AY28" i="34" s="1"/>
  <c r="AI32" i="11"/>
  <c r="AK55" i="34" s="1"/>
  <c r="BG12" i="11"/>
  <c r="BI28" i="34" s="1"/>
  <c r="Y21" i="11"/>
  <c r="Y26" i="11"/>
  <c r="AA49" i="34" s="1"/>
  <c r="Y13" i="11"/>
  <c r="AA29" i="34" s="1"/>
  <c r="J24" i="57" s="1"/>
  <c r="Y11" i="11"/>
  <c r="AA20" i="34" s="1"/>
  <c r="Y31" i="11"/>
  <c r="AA54" i="34" s="1"/>
  <c r="Y34" i="11"/>
  <c r="AA57" i="34" s="1"/>
  <c r="Y37" i="11"/>
  <c r="AA60" i="34" s="1"/>
  <c r="Y12" i="11"/>
  <c r="AA28" i="34" s="1"/>
  <c r="J23" i="57" s="1"/>
  <c r="Y25" i="11"/>
  <c r="Y30" i="11"/>
  <c r="AA53" i="34" s="1"/>
  <c r="Y32" i="11"/>
  <c r="AA55" i="34" s="1"/>
  <c r="J50" i="57" s="1"/>
  <c r="Y33" i="11"/>
  <c r="AA56" i="34" s="1"/>
  <c r="J51" i="57" s="1"/>
  <c r="Y8" i="11"/>
  <c r="Y29" i="11"/>
  <c r="AA52" i="34" s="1"/>
  <c r="J47" i="57" s="1"/>
  <c r="Y36" i="11"/>
  <c r="AA59" i="34" s="1"/>
  <c r="J54" i="57" s="1"/>
  <c r="U21" i="11"/>
  <c r="U26" i="11"/>
  <c r="W49" i="34" s="1"/>
  <c r="U18" i="11"/>
  <c r="W39" i="34" s="1"/>
  <c r="U13" i="11"/>
  <c r="W29" i="34" s="1"/>
  <c r="I24" i="57" s="1"/>
  <c r="U31" i="11"/>
  <c r="W54" i="34" s="1"/>
  <c r="U34" i="11"/>
  <c r="W57" i="34" s="1"/>
  <c r="U37" i="11"/>
  <c r="W60" i="34" s="1"/>
  <c r="U8" i="11"/>
  <c r="U30" i="11"/>
  <c r="W53" i="34" s="1"/>
  <c r="U32" i="11"/>
  <c r="W55" i="34" s="1"/>
  <c r="U33" i="11"/>
  <c r="W56" i="34" s="1"/>
  <c r="F55" i="58" s="1"/>
  <c r="U12" i="11"/>
  <c r="W28" i="34" s="1"/>
  <c r="I23" i="57" s="1"/>
  <c r="U11" i="11"/>
  <c r="W20" i="34" s="1"/>
  <c r="U29" i="11"/>
  <c r="W52" i="34" s="1"/>
  <c r="I47" i="57" s="1"/>
  <c r="U36" i="11"/>
  <c r="W59" i="34" s="1"/>
  <c r="I54" i="57" s="1"/>
  <c r="M18" i="11"/>
  <c r="O39" i="34" s="1"/>
  <c r="M21" i="11"/>
  <c r="M22" i="11"/>
  <c r="O44" i="34" s="1"/>
  <c r="M17" i="11"/>
  <c r="M26" i="11"/>
  <c r="M13" i="11"/>
  <c r="O29" i="34" s="1"/>
  <c r="F24" i="57" s="1"/>
  <c r="M12" i="11"/>
  <c r="O28" i="34" s="1"/>
  <c r="F23" i="57" s="1"/>
  <c r="M11" i="11"/>
  <c r="O20" i="34" s="1"/>
  <c r="M8" i="11"/>
  <c r="H33" i="34"/>
  <c r="H34" i="34" s="1"/>
  <c r="J30" i="34"/>
  <c r="D22" i="57"/>
  <c r="BO177" i="123"/>
  <c r="AY177" i="123"/>
  <c r="AI177" i="123"/>
  <c r="BM177" i="123"/>
  <c r="AO177" i="123"/>
  <c r="R177" i="123"/>
  <c r="J177" i="123"/>
  <c r="BC157" i="123"/>
  <c r="BC177" i="123" s="1"/>
  <c r="AM157" i="123"/>
  <c r="AM177" i="123" s="1"/>
  <c r="J48" i="34"/>
  <c r="BK331" i="123"/>
  <c r="BK351" i="123" s="1"/>
  <c r="BC331" i="123"/>
  <c r="BC351" i="123" s="1"/>
  <c r="AU331" i="123"/>
  <c r="AU351" i="123" s="1"/>
  <c r="AM331" i="123"/>
  <c r="AM351" i="123" s="1"/>
  <c r="L331" i="123"/>
  <c r="L351" i="123" s="1"/>
  <c r="H331" i="123"/>
  <c r="H351" i="123" s="1"/>
  <c r="D18" i="11" s="1"/>
  <c r="F39" i="34" s="1"/>
  <c r="T23" i="57"/>
  <c r="BL177" i="123"/>
  <c r="AQ177" i="123"/>
  <c r="N873" i="123"/>
  <c r="AD26" i="135"/>
  <c r="AE26" i="135"/>
  <c r="AD42" i="136"/>
  <c r="AE42" i="136"/>
  <c r="AD25" i="135"/>
  <c r="AE25" i="135"/>
  <c r="AE37" i="136"/>
  <c r="AD37" i="136"/>
  <c r="AA43" i="136"/>
  <c r="AE28" i="136"/>
  <c r="AD28" i="136"/>
  <c r="AF28" i="136"/>
  <c r="AD26" i="131"/>
  <c r="AL42" i="131"/>
  <c r="BB42" i="131"/>
  <c r="BR42" i="131"/>
  <c r="AM42" i="131"/>
  <c r="BC42" i="131"/>
  <c r="BS42" i="131"/>
  <c r="AN42" i="131"/>
  <c r="BD42" i="131"/>
  <c r="BT42" i="131"/>
  <c r="AO42" i="131"/>
  <c r="BE42" i="131"/>
  <c r="BU42" i="131"/>
  <c r="AP42" i="131"/>
  <c r="BF42" i="131"/>
  <c r="BV42" i="131"/>
  <c r="AQ42" i="131"/>
  <c r="BG42" i="131"/>
  <c r="AR42" i="131"/>
  <c r="BH42" i="131"/>
  <c r="AS42" i="131"/>
  <c r="BI42" i="131"/>
  <c r="AX42" i="131"/>
  <c r="AI42" i="131"/>
  <c r="BO42" i="131"/>
  <c r="AV42" i="131"/>
  <c r="BA42" i="131"/>
  <c r="AD42" i="131"/>
  <c r="BJ42" i="131"/>
  <c r="AU42" i="131"/>
  <c r="AZ42" i="131"/>
  <c r="AG42" i="131"/>
  <c r="BM42" i="131"/>
  <c r="AH42" i="131"/>
  <c r="BN42" i="131"/>
  <c r="AY42" i="131"/>
  <c r="AF42" i="131"/>
  <c r="BL42" i="131"/>
  <c r="AK42" i="131"/>
  <c r="BQ42" i="131"/>
  <c r="AE42" i="131"/>
  <c r="BP42" i="131"/>
  <c r="BK42" i="131"/>
  <c r="AW42" i="131"/>
  <c r="AJ42" i="131"/>
  <c r="AD41" i="131"/>
  <c r="U43" i="131"/>
  <c r="AE33" i="131"/>
  <c r="AF33" i="131"/>
  <c r="AD33" i="131"/>
  <c r="L43" i="131"/>
  <c r="H43" i="131"/>
  <c r="Z43" i="133"/>
  <c r="AD38" i="133"/>
  <c r="AE38" i="133" s="1"/>
  <c r="N55" i="132"/>
  <c r="J55" i="132"/>
  <c r="AD26" i="133"/>
  <c r="AE26" i="133"/>
  <c r="AD36" i="133"/>
  <c r="AE36" i="133" s="1"/>
  <c r="I48" i="34"/>
  <c r="BG9" i="69"/>
  <c r="C10" i="11"/>
  <c r="BE9" i="69"/>
  <c r="J48" i="57"/>
  <c r="BC33" i="11"/>
  <c r="BE56" i="34" s="1"/>
  <c r="V23" i="57"/>
  <c r="AQ27" i="11"/>
  <c r="AS50" i="34" s="1"/>
  <c r="P45" i="57" s="1"/>
  <c r="O8" i="11"/>
  <c r="AI37" i="11"/>
  <c r="AK60" i="34" s="1"/>
  <c r="BI36" i="11"/>
  <c r="BK59" i="34" s="1"/>
  <c r="V54" i="57" s="1"/>
  <c r="BI37" i="11"/>
  <c r="BK60" i="34" s="1"/>
  <c r="V55" i="57" s="1"/>
  <c r="BI12" i="11"/>
  <c r="BK28" i="34" s="1"/>
  <c r="BI11" i="11"/>
  <c r="BK20" i="34" s="1"/>
  <c r="BK22" i="34" s="1"/>
  <c r="BI27" i="11"/>
  <c r="BK50" i="34" s="1"/>
  <c r="V45" i="57" s="1"/>
  <c r="BI34" i="11"/>
  <c r="BK57" i="34" s="1"/>
  <c r="V52" i="57" s="1"/>
  <c r="BI31" i="11"/>
  <c r="BK54" i="34" s="1"/>
  <c r="BI13" i="11"/>
  <c r="BK29" i="34" s="1"/>
  <c r="V24" i="57" s="1"/>
  <c r="BI32" i="11"/>
  <c r="BK55" i="34" s="1"/>
  <c r="V50" i="57" s="1"/>
  <c r="BI30" i="11"/>
  <c r="BK53" i="34" s="1"/>
  <c r="V48" i="57" s="1"/>
  <c r="BI33" i="11"/>
  <c r="BK56" i="34" s="1"/>
  <c r="BI9" i="11"/>
  <c r="BK27" i="34" s="1"/>
  <c r="BI29" i="11"/>
  <c r="BK52" i="34" s="1"/>
  <c r="V47" i="57" s="1"/>
  <c r="BE36" i="11"/>
  <c r="BG59" i="34" s="1"/>
  <c r="BE12" i="11"/>
  <c r="BG28" i="34" s="1"/>
  <c r="U23" i="57" s="1"/>
  <c r="BE27" i="11"/>
  <c r="BG50" i="34" s="1"/>
  <c r="BE34" i="11"/>
  <c r="BG57" i="34" s="1"/>
  <c r="BE13" i="11"/>
  <c r="BG29" i="34" s="1"/>
  <c r="BE32" i="11"/>
  <c r="BG55" i="34" s="1"/>
  <c r="U50" i="57" s="1"/>
  <c r="BE11" i="11"/>
  <c r="BG20" i="34" s="1"/>
  <c r="BE30" i="11"/>
  <c r="BG53" i="34" s="1"/>
  <c r="BE33" i="11"/>
  <c r="BG56" i="34" s="1"/>
  <c r="BE37" i="11"/>
  <c r="BG60" i="34" s="1"/>
  <c r="U55" i="57" s="1"/>
  <c r="BE9" i="11"/>
  <c r="BG27" i="34" s="1"/>
  <c r="BE29" i="11"/>
  <c r="BG52" i="34" s="1"/>
  <c r="BA36" i="11"/>
  <c r="BC59" i="34" s="1"/>
  <c r="BA37" i="11"/>
  <c r="BC60" i="34" s="1"/>
  <c r="I59" i="58" s="1"/>
  <c r="BA12" i="11"/>
  <c r="BC28" i="34" s="1"/>
  <c r="BA27" i="11"/>
  <c r="BC50" i="34" s="1"/>
  <c r="BA34" i="11"/>
  <c r="BC57" i="34" s="1"/>
  <c r="BA31" i="11"/>
  <c r="BC54" i="34" s="1"/>
  <c r="BA13" i="11"/>
  <c r="BC29" i="34" s="1"/>
  <c r="BA30" i="11"/>
  <c r="BC53" i="34" s="1"/>
  <c r="BA33" i="11"/>
  <c r="BC56" i="34" s="1"/>
  <c r="S51" i="57" s="1"/>
  <c r="BA9" i="11"/>
  <c r="BC27" i="34" s="1"/>
  <c r="BA32" i="11"/>
  <c r="BC55" i="34" s="1"/>
  <c r="BA11" i="11"/>
  <c r="BC20" i="34" s="1"/>
  <c r="BC22" i="34" s="1"/>
  <c r="BA29" i="11"/>
  <c r="BC52" i="34" s="1"/>
  <c r="AW36" i="11"/>
  <c r="AY59" i="34" s="1"/>
  <c r="AW27" i="11"/>
  <c r="AY50" i="34" s="1"/>
  <c r="R45" i="57" s="1"/>
  <c r="AW34" i="11"/>
  <c r="AY57" i="34" s="1"/>
  <c r="R52" i="57" s="1"/>
  <c r="AW30" i="11"/>
  <c r="AY53" i="34" s="1"/>
  <c r="AW33" i="11"/>
  <c r="AY56" i="34" s="1"/>
  <c r="R51" i="57" s="1"/>
  <c r="AW37" i="11"/>
  <c r="AY60" i="34" s="1"/>
  <c r="R55" i="57" s="1"/>
  <c r="AW32" i="11"/>
  <c r="AY55" i="34" s="1"/>
  <c r="AW29" i="11"/>
  <c r="AY52" i="34" s="1"/>
  <c r="R47" i="57" s="1"/>
  <c r="AS36" i="11"/>
  <c r="AU59" i="34" s="1"/>
  <c r="AS37" i="11"/>
  <c r="AU60" i="34" s="1"/>
  <c r="AS34" i="11"/>
  <c r="AU57" i="34" s="1"/>
  <c r="AS31" i="11"/>
  <c r="AU54" i="34" s="1"/>
  <c r="AS12" i="11"/>
  <c r="AU28" i="34" s="1"/>
  <c r="AS30" i="11"/>
  <c r="AU53" i="34" s="1"/>
  <c r="AS33" i="11"/>
  <c r="AU56" i="34" s="1"/>
  <c r="AS27" i="11"/>
  <c r="AU50" i="34" s="1"/>
  <c r="AS32" i="11"/>
  <c r="AU55" i="34" s="1"/>
  <c r="AS29" i="11"/>
  <c r="AU52" i="34" s="1"/>
  <c r="AO36" i="11"/>
  <c r="AQ59" i="34" s="1"/>
  <c r="AO27" i="11"/>
  <c r="AQ50" i="34" s="1"/>
  <c r="AO34" i="11"/>
  <c r="AQ57" i="34" s="1"/>
  <c r="O52" i="57" s="1"/>
  <c r="AO30" i="11"/>
  <c r="AQ53" i="34" s="1"/>
  <c r="AO33" i="11"/>
  <c r="AQ56" i="34" s="1"/>
  <c r="AO37" i="11"/>
  <c r="AQ60" i="34" s="1"/>
  <c r="AO29" i="11"/>
  <c r="AQ52" i="34" s="1"/>
  <c r="AK36" i="11"/>
  <c r="AM59" i="34" s="1"/>
  <c r="N54" i="57" s="1"/>
  <c r="AK37" i="11"/>
  <c r="AM60" i="34" s="1"/>
  <c r="N55" i="57" s="1"/>
  <c r="AK28" i="11"/>
  <c r="AM51" i="34" s="1"/>
  <c r="N46" i="57" s="1"/>
  <c r="AK35" i="11"/>
  <c r="AM58" i="34" s="1"/>
  <c r="N53" i="57" s="1"/>
  <c r="AK31" i="11"/>
  <c r="AM54" i="34" s="1"/>
  <c r="AK12" i="11"/>
  <c r="AM28" i="34" s="1"/>
  <c r="AK34" i="11"/>
  <c r="AM57" i="34" s="1"/>
  <c r="AK32" i="11"/>
  <c r="AM55" i="34" s="1"/>
  <c r="N50" i="57" s="1"/>
  <c r="AK30" i="11"/>
  <c r="AM53" i="34" s="1"/>
  <c r="N48" i="57" s="1"/>
  <c r="AK33" i="11"/>
  <c r="AM56" i="34" s="1"/>
  <c r="N51" i="57" s="1"/>
  <c r="AG36" i="11"/>
  <c r="AI59" i="34" s="1"/>
  <c r="M54" i="57" s="1"/>
  <c r="AG12" i="11"/>
  <c r="AI28" i="34" s="1"/>
  <c r="M23" i="57" s="1"/>
  <c r="AG28" i="11"/>
  <c r="AI51" i="34" s="1"/>
  <c r="M46" i="57" s="1"/>
  <c r="AG35" i="11"/>
  <c r="AI58" i="34" s="1"/>
  <c r="M53" i="57" s="1"/>
  <c r="AG32" i="11"/>
  <c r="AI55" i="34" s="1"/>
  <c r="AG34" i="11"/>
  <c r="AI57" i="34" s="1"/>
  <c r="AG37" i="11"/>
  <c r="AI60" i="34" s="1"/>
  <c r="M55" i="57" s="1"/>
  <c r="AG27" i="11"/>
  <c r="AI50" i="34" s="1"/>
  <c r="M45" i="57" s="1"/>
  <c r="AG30" i="11"/>
  <c r="AI53" i="34" s="1"/>
  <c r="M48" i="57" s="1"/>
  <c r="AG33" i="11"/>
  <c r="AI56" i="34" s="1"/>
  <c r="M51" i="57" s="1"/>
  <c r="AC18" i="11"/>
  <c r="AE39" i="34" s="1"/>
  <c r="AC21" i="11"/>
  <c r="AC17" i="11"/>
  <c r="AC26" i="11"/>
  <c r="AE49" i="34" s="1"/>
  <c r="AC36" i="11"/>
  <c r="AE59" i="34" s="1"/>
  <c r="K54" i="57" s="1"/>
  <c r="AC37" i="11"/>
  <c r="AE60" i="34" s="1"/>
  <c r="AC32" i="11"/>
  <c r="AE55" i="34" s="1"/>
  <c r="S54" i="58" s="1"/>
  <c r="AC28" i="11"/>
  <c r="AE51" i="34" s="1"/>
  <c r="AC35" i="11"/>
  <c r="AE58" i="34" s="1"/>
  <c r="K53" i="57" s="1"/>
  <c r="AC31" i="11"/>
  <c r="AE54" i="34" s="1"/>
  <c r="AC27" i="11"/>
  <c r="AE50" i="34" s="1"/>
  <c r="AC34" i="11"/>
  <c r="AE57" i="34" s="1"/>
  <c r="AC30" i="11"/>
  <c r="AE53" i="34" s="1"/>
  <c r="K48" i="57" s="1"/>
  <c r="AC33" i="11"/>
  <c r="AE56" i="34" s="1"/>
  <c r="I18" i="11"/>
  <c r="K39" i="34" s="1"/>
  <c r="I21" i="11"/>
  <c r="I17" i="11"/>
  <c r="I8" i="11"/>
  <c r="I37" i="11"/>
  <c r="K60" i="34" s="1"/>
  <c r="I9" i="11"/>
  <c r="K27" i="34" s="1"/>
  <c r="E22" i="57" s="1"/>
  <c r="I11" i="11"/>
  <c r="K20" i="34" s="1"/>
  <c r="D19" i="58" s="1"/>
  <c r="I13" i="11"/>
  <c r="K29" i="34" s="1"/>
  <c r="E24" i="57" s="1"/>
  <c r="E21" i="11"/>
  <c r="E22" i="11"/>
  <c r="G44" i="34" s="1"/>
  <c r="E17" i="11"/>
  <c r="E26" i="11"/>
  <c r="G49" i="34" s="1"/>
  <c r="E18" i="11"/>
  <c r="G39" i="34" s="1"/>
  <c r="E8" i="11"/>
  <c r="E9" i="11"/>
  <c r="G27" i="34" s="1"/>
  <c r="E13" i="11"/>
  <c r="G29" i="34" s="1"/>
  <c r="D28" i="58" s="1"/>
  <c r="P28" i="58" s="1"/>
  <c r="R28" i="58" s="1"/>
  <c r="BJ177" i="123"/>
  <c r="AT177" i="123"/>
  <c r="BA177" i="123"/>
  <c r="AW177" i="123"/>
  <c r="N177" i="123"/>
  <c r="L48" i="34"/>
  <c r="E43" i="57" s="1"/>
  <c r="AK351" i="123"/>
  <c r="AS351" i="123"/>
  <c r="BA351" i="123"/>
  <c r="BI351" i="123"/>
  <c r="G351" i="123"/>
  <c r="AC53" i="132"/>
  <c r="AC54" i="132"/>
  <c r="AJ351" i="123"/>
  <c r="AV351" i="123"/>
  <c r="AZ351" i="123"/>
  <c r="BL351" i="123"/>
  <c r="M351" i="123"/>
  <c r="J33" i="34"/>
  <c r="J34" i="34" s="1"/>
  <c r="BC30" i="34"/>
  <c r="P47" i="57"/>
  <c r="BK26" i="34"/>
  <c r="BK30" i="34" s="1"/>
  <c r="BI10" i="11"/>
  <c r="BH26" i="34"/>
  <c r="BG36" i="11"/>
  <c r="BI59" i="34" s="1"/>
  <c r="BG8" i="11"/>
  <c r="BG11" i="11"/>
  <c r="BI20" i="34" s="1"/>
  <c r="BI22" i="34" s="1"/>
  <c r="BG29" i="11"/>
  <c r="BI52" i="34" s="1"/>
  <c r="BG9" i="11"/>
  <c r="BI27" i="34" s="1"/>
  <c r="BG28" i="11"/>
  <c r="BI51" i="34" s="1"/>
  <c r="U46" i="57" s="1"/>
  <c r="BG35" i="11"/>
  <c r="BI58" i="34" s="1"/>
  <c r="BG31" i="11"/>
  <c r="BI54" i="34" s="1"/>
  <c r="U49" i="57" s="1"/>
  <c r="BG13" i="11"/>
  <c r="BI29" i="34" s="1"/>
  <c r="BG27" i="11"/>
  <c r="BI50" i="34" s="1"/>
  <c r="BG34" i="11"/>
  <c r="BI57" i="34" s="1"/>
  <c r="AU36" i="11"/>
  <c r="AW59" i="34" s="1"/>
  <c r="AU31" i="11"/>
  <c r="AW54" i="34" s="1"/>
  <c r="AU12" i="11"/>
  <c r="AW28" i="34" s="1"/>
  <c r="AU29" i="11"/>
  <c r="AW52" i="34" s="1"/>
  <c r="AU37" i="11"/>
  <c r="AW60" i="34" s="1"/>
  <c r="AU27" i="11"/>
  <c r="AW50" i="34" s="1"/>
  <c r="AU28" i="11"/>
  <c r="AW51" i="34" s="1"/>
  <c r="AU35" i="11"/>
  <c r="AW58" i="34" s="1"/>
  <c r="AU32" i="11"/>
  <c r="AW55" i="34" s="1"/>
  <c r="AU34" i="11"/>
  <c r="AW57" i="34" s="1"/>
  <c r="AM36" i="11"/>
  <c r="AO59" i="34" s="1"/>
  <c r="AM31" i="11"/>
  <c r="AO54" i="34" s="1"/>
  <c r="AM12" i="11"/>
  <c r="AO28" i="34" s="1"/>
  <c r="AM32" i="11"/>
  <c r="AO55" i="34" s="1"/>
  <c r="AM35" i="11"/>
  <c r="AO58" i="34" s="1"/>
  <c r="AM37" i="11"/>
  <c r="AO60" i="34" s="1"/>
  <c r="AM27" i="11"/>
  <c r="AO50" i="34" s="1"/>
  <c r="AM29" i="11"/>
  <c r="AO52" i="34" s="1"/>
  <c r="AM28" i="11"/>
  <c r="AO51" i="34" s="1"/>
  <c r="AM33" i="11"/>
  <c r="AO56" i="34" s="1"/>
  <c r="AE36" i="11"/>
  <c r="AG59" i="34" s="1"/>
  <c r="L54" i="57" s="1"/>
  <c r="AE31" i="11"/>
  <c r="AG54" i="34" s="1"/>
  <c r="AE30" i="11"/>
  <c r="AG53" i="34" s="1"/>
  <c r="L48" i="57" s="1"/>
  <c r="AE33" i="11"/>
  <c r="AG56" i="34" s="1"/>
  <c r="L51" i="57" s="1"/>
  <c r="AE37" i="11"/>
  <c r="AG60" i="34" s="1"/>
  <c r="AE12" i="11"/>
  <c r="AG28" i="34" s="1"/>
  <c r="L23" i="57" s="1"/>
  <c r="AE29" i="11"/>
  <c r="AG52" i="34" s="1"/>
  <c r="L47" i="57" s="1"/>
  <c r="AE32" i="11"/>
  <c r="AG55" i="34" s="1"/>
  <c r="L50" i="57" s="1"/>
  <c r="AE28" i="11"/>
  <c r="AG51" i="34" s="1"/>
  <c r="L46" i="57" s="1"/>
  <c r="AE35" i="11"/>
  <c r="AG58" i="34" s="1"/>
  <c r="L53" i="57" s="1"/>
  <c r="P177" i="123"/>
  <c r="AB43" i="136"/>
  <c r="AD33" i="136"/>
  <c r="AE33" i="136"/>
  <c r="AG36" i="136"/>
  <c r="AH36" i="136"/>
  <c r="AI36" i="136" s="1"/>
  <c r="AA43" i="131"/>
  <c r="AD33" i="135"/>
  <c r="AD36" i="135"/>
  <c r="AD28" i="131"/>
  <c r="V43" i="131"/>
  <c r="AF35" i="131"/>
  <c r="J43" i="131"/>
  <c r="AE35" i="131"/>
  <c r="S43" i="131"/>
  <c r="O43" i="131"/>
  <c r="Y43" i="131"/>
  <c r="I43" i="131"/>
  <c r="AD40" i="131"/>
  <c r="BR20" i="131"/>
  <c r="BP20" i="131"/>
  <c r="BS20" i="131"/>
  <c r="AM20" i="131"/>
  <c r="BA20" i="131"/>
  <c r="AF20" i="131"/>
  <c r="AG20" i="131"/>
  <c r="BT20" i="131"/>
  <c r="BM20" i="131"/>
  <c r="AR20" i="131"/>
  <c r="BF20" i="131"/>
  <c r="AD20" i="131"/>
  <c r="AL20" i="131"/>
  <c r="AZ20" i="131"/>
  <c r="BV20" i="131"/>
  <c r="BG20" i="131"/>
  <c r="AK20" i="131"/>
  <c r="AQ20" i="131"/>
  <c r="AX20" i="131"/>
  <c r="AN20" i="131"/>
  <c r="AW20" i="131"/>
  <c r="AI20" i="131"/>
  <c r="BE20" i="131"/>
  <c r="BU20" i="131"/>
  <c r="BL20" i="131"/>
  <c r="BI20" i="131"/>
  <c r="AU20" i="131"/>
  <c r="AO20" i="131"/>
  <c r="AH20" i="131"/>
  <c r="AV20" i="131"/>
  <c r="AS20" i="131"/>
  <c r="BH20" i="131"/>
  <c r="BD20" i="131"/>
  <c r="AE20" i="131"/>
  <c r="AJ20" i="131"/>
  <c r="BJ20" i="131"/>
  <c r="BC20" i="131"/>
  <c r="AY20" i="131"/>
  <c r="AT20" i="131"/>
  <c r="BN20" i="131"/>
  <c r="AP20" i="131"/>
  <c r="BO20" i="131"/>
  <c r="BB20" i="131"/>
  <c r="BK20" i="131"/>
  <c r="BQ20" i="131"/>
  <c r="R43" i="133"/>
  <c r="AE42" i="132"/>
  <c r="AD43" i="132"/>
  <c r="N43" i="132"/>
  <c r="AD42" i="133"/>
  <c r="AE42" i="133" s="1"/>
  <c r="AC10" i="11"/>
  <c r="X24" i="34"/>
  <c r="S55" i="57"/>
  <c r="C15" i="57"/>
  <c r="C17" i="57" s="1"/>
  <c r="C43" i="57"/>
  <c r="G48" i="34"/>
  <c r="D47" i="58" s="1"/>
  <c r="P47" i="58" s="1"/>
  <c r="R47" i="58" s="1"/>
  <c r="L12" i="69"/>
  <c r="P50" i="57"/>
  <c r="O29" i="11"/>
  <c r="Q52" i="34" s="1"/>
  <c r="BI35" i="11"/>
  <c r="BK58" i="34" s="1"/>
  <c r="BA35" i="11"/>
  <c r="BC58" i="34" s="1"/>
  <c r="AS35" i="11"/>
  <c r="AU58" i="34" s="1"/>
  <c r="Q53" i="57" s="1"/>
  <c r="BC30" i="11"/>
  <c r="BE53" i="34" s="1"/>
  <c r="AU30" i="11"/>
  <c r="AW53" i="34" s="1"/>
  <c r="AK29" i="11"/>
  <c r="AM52" i="34" s="1"/>
  <c r="AC29" i="11"/>
  <c r="AE52" i="34" s="1"/>
  <c r="BI28" i="11"/>
  <c r="BK51" i="34" s="1"/>
  <c r="BA28" i="11"/>
  <c r="BC51" i="34" s="1"/>
  <c r="AS28" i="11"/>
  <c r="AU51" i="34" s="1"/>
  <c r="Q46" i="57" s="1"/>
  <c r="G50" i="58"/>
  <c r="AM30" i="11"/>
  <c r="AO53" i="34" s="1"/>
  <c r="AC25" i="11"/>
  <c r="AO32" i="11"/>
  <c r="AQ55" i="34" s="1"/>
  <c r="AK27" i="11"/>
  <c r="AM50" i="34" s="1"/>
  <c r="BE8" i="11"/>
  <c r="AY9" i="11"/>
  <c r="BA27" i="34" s="1"/>
  <c r="AG31" i="11"/>
  <c r="AI54" i="34" s="1"/>
  <c r="M49" i="57" s="1"/>
  <c r="L55" i="57"/>
  <c r="AQ37" i="11"/>
  <c r="AS60" i="34" s="1"/>
  <c r="P55" i="57" s="1"/>
  <c r="S58" i="58"/>
  <c r="G58" i="58"/>
  <c r="D10" i="11"/>
  <c r="F27" i="34"/>
  <c r="F30" i="34" s="1"/>
  <c r="F33" i="34" s="1"/>
  <c r="F34" i="34" s="1"/>
  <c r="E12" i="11"/>
  <c r="G28" i="34" s="1"/>
  <c r="C23" i="57" s="1"/>
  <c r="G10" i="11"/>
  <c r="I26" i="34"/>
  <c r="Z177" i="123"/>
  <c r="X525" i="123"/>
  <c r="X1579" i="123" s="1"/>
  <c r="X1582" i="123" s="1"/>
  <c r="W525" i="123"/>
  <c r="T873" i="123"/>
  <c r="U873" i="123"/>
  <c r="AA873" i="123"/>
  <c r="Z1047" i="123"/>
  <c r="AD38" i="135"/>
  <c r="R43" i="131"/>
  <c r="AD32" i="131"/>
  <c r="F43" i="131"/>
  <c r="G43" i="131"/>
  <c r="AF38" i="131"/>
  <c r="AE38" i="131"/>
  <c r="AD38" i="131"/>
  <c r="Q43" i="131"/>
  <c r="AE36" i="131"/>
  <c r="AF36" i="131"/>
  <c r="AG36" i="131" s="1"/>
  <c r="AE28" i="132"/>
  <c r="AD28" i="132"/>
  <c r="R55" i="132"/>
  <c r="AD24" i="134"/>
  <c r="AE24" i="134"/>
  <c r="AD28" i="133"/>
  <c r="Y43" i="132"/>
  <c r="AD26" i="132"/>
  <c r="AF26" i="132"/>
  <c r="AE26" i="132"/>
  <c r="AP20" i="132"/>
  <c r="AN20" i="132"/>
  <c r="BU20" i="132"/>
  <c r="BE20" i="132"/>
  <c r="AO20" i="132"/>
  <c r="BO20" i="132"/>
  <c r="AY20" i="132"/>
  <c r="AI20" i="132"/>
  <c r="AF20" i="132"/>
  <c r="AJ20" i="132"/>
  <c r="BR20" i="132"/>
  <c r="BB20" i="132"/>
  <c r="AL20" i="132"/>
  <c r="AW20" i="132"/>
  <c r="BG20" i="132"/>
  <c r="BL20" i="132"/>
  <c r="AT20" i="132"/>
  <c r="BT20" i="132"/>
  <c r="BQ20" i="132"/>
  <c r="AK20" i="132"/>
  <c r="AU20" i="132"/>
  <c r="BP20" i="132"/>
  <c r="BN20" i="132"/>
  <c r="BH20" i="132"/>
  <c r="BM20" i="132"/>
  <c r="AG20" i="132"/>
  <c r="AQ20" i="132"/>
  <c r="BD20" i="132"/>
  <c r="BJ20" i="132"/>
  <c r="AE20" i="132"/>
  <c r="AD20" i="132"/>
  <c r="BA20" i="132"/>
  <c r="AX20" i="132"/>
  <c r="BK20" i="132"/>
  <c r="Q55" i="132"/>
  <c r="M55" i="132"/>
  <c r="Q36" i="11"/>
  <c r="S59" i="34" s="1"/>
  <c r="BH35" i="11"/>
  <c r="BJ58" i="34" s="1"/>
  <c r="V53" i="57" s="1"/>
  <c r="BD35" i="11"/>
  <c r="BF58" i="34" s="1"/>
  <c r="AZ35" i="11"/>
  <c r="BB58" i="34" s="1"/>
  <c r="AV35" i="11"/>
  <c r="AX58" i="34" s="1"/>
  <c r="R53" i="57" s="1"/>
  <c r="AR35" i="11"/>
  <c r="AT58" i="34" s="1"/>
  <c r="AN35" i="11"/>
  <c r="AP58" i="34" s="1"/>
  <c r="P35" i="11"/>
  <c r="R58" i="34" s="1"/>
  <c r="AL34" i="11"/>
  <c r="AN57" i="34" s="1"/>
  <c r="AH34" i="11"/>
  <c r="AJ57" i="34" s="1"/>
  <c r="AD34" i="11"/>
  <c r="AF57" i="34" s="1"/>
  <c r="L52" i="57" s="1"/>
  <c r="Z34" i="11"/>
  <c r="AB57" i="34" s="1"/>
  <c r="W34" i="11"/>
  <c r="Y57" i="34" s="1"/>
  <c r="S34" i="11"/>
  <c r="U57" i="34" s="1"/>
  <c r="H52" i="57" s="1"/>
  <c r="BJ33" i="11"/>
  <c r="BL56" i="34" s="1"/>
  <c r="BF33" i="11"/>
  <c r="BH56" i="34" s="1"/>
  <c r="BB33" i="11"/>
  <c r="BD56" i="34" s="1"/>
  <c r="T51" i="57" s="1"/>
  <c r="AX33" i="11"/>
  <c r="AZ56" i="34" s="1"/>
  <c r="AT33" i="11"/>
  <c r="AV56" i="34" s="1"/>
  <c r="AP33" i="11"/>
  <c r="AR56" i="34" s="1"/>
  <c r="P51" i="57" s="1"/>
  <c r="V33" i="11"/>
  <c r="X56" i="34" s="1"/>
  <c r="V32" i="11"/>
  <c r="X55" i="34" s="1"/>
  <c r="Z31" i="11"/>
  <c r="AB54" i="34" s="1"/>
  <c r="W31" i="11"/>
  <c r="Y54" i="34" s="1"/>
  <c r="S31" i="11"/>
  <c r="U54" i="34" s="1"/>
  <c r="H49" i="57" s="1"/>
  <c r="BJ30" i="11"/>
  <c r="BL53" i="34" s="1"/>
  <c r="BF30" i="11"/>
  <c r="BH53" i="34" s="1"/>
  <c r="BB30" i="11"/>
  <c r="BD53" i="34" s="1"/>
  <c r="T48" i="57" s="1"/>
  <c r="AX30" i="11"/>
  <c r="AZ53" i="34" s="1"/>
  <c r="AT30" i="11"/>
  <c r="AV53" i="34" s="1"/>
  <c r="AP30" i="11"/>
  <c r="AR53" i="34" s="1"/>
  <c r="P48" i="57" s="1"/>
  <c r="V30" i="11"/>
  <c r="X53" i="34" s="1"/>
  <c r="AJ29" i="11"/>
  <c r="AL52" i="34" s="1"/>
  <c r="N47" i="57" s="1"/>
  <c r="AF29" i="11"/>
  <c r="AH52" i="34" s="1"/>
  <c r="AB29" i="11"/>
  <c r="AD52" i="34" s="1"/>
  <c r="Q29" i="11"/>
  <c r="S52" i="34" s="1"/>
  <c r="BH28" i="11"/>
  <c r="BJ51" i="34" s="1"/>
  <c r="V46" i="57" s="1"/>
  <c r="BD28" i="11"/>
  <c r="BF51" i="34" s="1"/>
  <c r="T46" i="57" s="1"/>
  <c r="AZ28" i="11"/>
  <c r="BB51" i="34" s="1"/>
  <c r="AV28" i="11"/>
  <c r="AX51" i="34" s="1"/>
  <c r="R46" i="57" s="1"/>
  <c r="AR28" i="11"/>
  <c r="AT51" i="34" s="1"/>
  <c r="AN28" i="11"/>
  <c r="AP51" i="34" s="1"/>
  <c r="P28" i="11"/>
  <c r="R51" i="34" s="1"/>
  <c r="P27" i="11"/>
  <c r="R50" i="34" s="1"/>
  <c r="S11" i="11"/>
  <c r="U20" i="34" s="1"/>
  <c r="BH11" i="11"/>
  <c r="BJ20" i="34" s="1"/>
  <c r="Q11" i="11"/>
  <c r="S20" i="34" s="1"/>
  <c r="S22" i="34" s="1"/>
  <c r="S33" i="34" s="1"/>
  <c r="S34" i="34" s="1"/>
  <c r="Z11" i="11"/>
  <c r="AB20" i="34" s="1"/>
  <c r="AB22" i="34" s="1"/>
  <c r="AB33" i="34" s="1"/>
  <c r="AB34" i="34" s="1"/>
  <c r="AZ32" i="11"/>
  <c r="BB55" i="34" s="1"/>
  <c r="AX32" i="11"/>
  <c r="AZ55" i="34" s="1"/>
  <c r="R50" i="57" s="1"/>
  <c r="AB12" i="11"/>
  <c r="AD28" i="34" s="1"/>
  <c r="AD30" i="34" s="1"/>
  <c r="AD33" i="34" s="1"/>
  <c r="AD34" i="34" s="1"/>
  <c r="AJ27" i="11"/>
  <c r="AL50" i="34" s="1"/>
  <c r="N45" i="57" s="1"/>
  <c r="AN12" i="11"/>
  <c r="AP28" i="34" s="1"/>
  <c r="AV12" i="11"/>
  <c r="AX28" i="34" s="1"/>
  <c r="R23" i="57" s="1"/>
  <c r="AZ9" i="11"/>
  <c r="BD9" i="11"/>
  <c r="BH9" i="11"/>
  <c r="AD27" i="11"/>
  <c r="AF50" i="34" s="1"/>
  <c r="L45" i="57" s="1"/>
  <c r="AH32" i="11"/>
  <c r="AJ55" i="34" s="1"/>
  <c r="AL12" i="11"/>
  <c r="AN28" i="34" s="1"/>
  <c r="AT12" i="11"/>
  <c r="AV28" i="34" s="1"/>
  <c r="BB9" i="11"/>
  <c r="BD27" i="34" s="1"/>
  <c r="BF9" i="11"/>
  <c r="BH27" i="34" s="1"/>
  <c r="BJ9" i="11"/>
  <c r="AB31" i="11"/>
  <c r="AD54" i="34" s="1"/>
  <c r="AJ31" i="11"/>
  <c r="AL54" i="34" s="1"/>
  <c r="N49" i="57" s="1"/>
  <c r="AR31" i="11"/>
  <c r="AT54" i="34" s="1"/>
  <c r="AZ31" i="11"/>
  <c r="BB54" i="34" s="1"/>
  <c r="BH31" i="11"/>
  <c r="BJ54" i="34" s="1"/>
  <c r="V49" i="57" s="1"/>
  <c r="AD31" i="11"/>
  <c r="AF54" i="34" s="1"/>
  <c r="L49" i="57" s="1"/>
  <c r="AL31" i="11"/>
  <c r="AN54" i="34" s="1"/>
  <c r="AT31" i="11"/>
  <c r="AV54" i="34" s="1"/>
  <c r="BB31" i="11"/>
  <c r="BD54" i="34" s="1"/>
  <c r="T49" i="57" s="1"/>
  <c r="BJ31" i="11"/>
  <c r="BL54" i="34" s="1"/>
  <c r="R18" i="11"/>
  <c r="T39" i="34" s="1"/>
  <c r="R21" i="11"/>
  <c r="R22" i="11"/>
  <c r="T44" i="34" s="1"/>
  <c r="R17" i="11"/>
  <c r="BF36" i="11"/>
  <c r="BH59" i="34" s="1"/>
  <c r="BD36" i="11"/>
  <c r="BF59" i="34" s="1"/>
  <c r="T54" i="57" s="1"/>
  <c r="AX36" i="11"/>
  <c r="AZ59" i="34" s="1"/>
  <c r="X17" i="11"/>
  <c r="X26" i="11"/>
  <c r="Z49" i="34" s="1"/>
  <c r="T22" i="11"/>
  <c r="V44" i="34" s="1"/>
  <c r="T17" i="11"/>
  <c r="T26" i="11"/>
  <c r="V49" i="34" s="1"/>
  <c r="V61" i="34" s="1"/>
  <c r="T18" i="11"/>
  <c r="V39" i="34" s="1"/>
  <c r="T21" i="11"/>
  <c r="T49" i="11" s="1"/>
  <c r="L21" i="11"/>
  <c r="L17" i="11"/>
  <c r="L18" i="11"/>
  <c r="N39" i="34" s="1"/>
  <c r="G37" i="11"/>
  <c r="I60" i="34" s="1"/>
  <c r="H21" i="11"/>
  <c r="H22" i="11"/>
  <c r="J44" i="34" s="1"/>
  <c r="H17" i="11"/>
  <c r="H26" i="11"/>
  <c r="J49" i="34" s="1"/>
  <c r="H18" i="11"/>
  <c r="J39" i="34" s="1"/>
  <c r="D17" i="11"/>
  <c r="Y177" i="123"/>
  <c r="U17" i="11" s="1"/>
  <c r="AA177" i="123"/>
  <c r="Y525" i="123"/>
  <c r="U22" i="11" s="1"/>
  <c r="W44" i="34" s="1"/>
  <c r="S873" i="123"/>
  <c r="O21" i="11" s="1"/>
  <c r="AA1221" i="123"/>
  <c r="Z1395" i="123"/>
  <c r="AA1395" i="123"/>
  <c r="S177" i="123"/>
  <c r="O17" i="11" s="1"/>
  <c r="Q21" i="11"/>
  <c r="Q22" i="11"/>
  <c r="S44" i="34" s="1"/>
  <c r="Q26" i="11"/>
  <c r="S49" i="34" s="1"/>
  <c r="Q18" i="11"/>
  <c r="S39" i="34" s="1"/>
  <c r="AB21" i="11"/>
  <c r="AB49" i="11" s="1"/>
  <c r="AB17" i="11"/>
  <c r="AB18" i="11"/>
  <c r="AD39" i="34" s="1"/>
  <c r="K34" i="57" s="1"/>
  <c r="W17" i="11"/>
  <c r="W26" i="11"/>
  <c r="Y49" i="34" s="1"/>
  <c r="W18" i="11"/>
  <c r="Y39" i="34" s="1"/>
  <c r="W21" i="11"/>
  <c r="S21" i="11"/>
  <c r="S22" i="11"/>
  <c r="U44" i="34" s="1"/>
  <c r="K22" i="11"/>
  <c r="M44" i="34" s="1"/>
  <c r="K17" i="11"/>
  <c r="K26" i="11"/>
  <c r="K18" i="11"/>
  <c r="G17" i="11"/>
  <c r="G18" i="11"/>
  <c r="I39" i="34" s="1"/>
  <c r="G21" i="11"/>
  <c r="G22" i="11"/>
  <c r="I44" i="34" s="1"/>
  <c r="C17" i="11"/>
  <c r="C26" i="11"/>
  <c r="E49" i="34" s="1"/>
  <c r="C18" i="11"/>
  <c r="E39" i="34" s="1"/>
  <c r="C21" i="11"/>
  <c r="AM873" i="123"/>
  <c r="AM1579" i="123" s="1"/>
  <c r="AU873" i="123"/>
  <c r="AU1579" i="123" s="1"/>
  <c r="BC873" i="123"/>
  <c r="BK873" i="123"/>
  <c r="BI873" i="123"/>
  <c r="BA873" i="123"/>
  <c r="AS873" i="123"/>
  <c r="AK873" i="123"/>
  <c r="BF873" i="123"/>
  <c r="BB873" i="123"/>
  <c r="AX873" i="123"/>
  <c r="AP873" i="123"/>
  <c r="AK1047" i="123"/>
  <c r="AK1579" i="123" s="1"/>
  <c r="AS1047" i="123"/>
  <c r="AS1579" i="123" s="1"/>
  <c r="BA1047" i="123"/>
  <c r="BA1579" i="123" s="1"/>
  <c r="BI1047" i="123"/>
  <c r="BI1579" i="123" s="1"/>
  <c r="BO1047" i="123"/>
  <c r="BO1579" i="123" s="1"/>
  <c r="BG1047" i="123"/>
  <c r="BG1579" i="123" s="1"/>
  <c r="AY1047" i="123"/>
  <c r="AQ1047" i="123"/>
  <c r="AI1047" i="123"/>
  <c r="AI1579" i="123" s="1"/>
  <c r="P1047" i="123"/>
  <c r="L26" i="11" s="1"/>
  <c r="H1047" i="123"/>
  <c r="D26" i="11" s="1"/>
  <c r="R1047" i="123"/>
  <c r="J1047" i="123"/>
  <c r="AM1221" i="123"/>
  <c r="BC1221" i="123"/>
  <c r="BK1221" i="123"/>
  <c r="H1221" i="123"/>
  <c r="D22" i="11" s="1"/>
  <c r="F44" i="34" s="1"/>
  <c r="P1221" i="123"/>
  <c r="L22" i="11" s="1"/>
  <c r="N44" i="34" s="1"/>
  <c r="AO1221" i="123"/>
  <c r="AW1221" i="123"/>
  <c r="BE1221" i="123"/>
  <c r="BM1221" i="123"/>
  <c r="R1221" i="123"/>
  <c r="J1221" i="123"/>
  <c r="AO1395" i="123"/>
  <c r="AW1395" i="123"/>
  <c r="AW1579" i="123" s="1"/>
  <c r="BE1395" i="123"/>
  <c r="BE1579" i="123" s="1"/>
  <c r="BM1395" i="123"/>
  <c r="AQ1395" i="123"/>
  <c r="AQ1579" i="123" s="1"/>
  <c r="AY1395" i="123"/>
  <c r="AY1579" i="123" s="1"/>
  <c r="BC1395" i="123"/>
  <c r="BK1395" i="123"/>
  <c r="N1395" i="123"/>
  <c r="L1395" i="123"/>
  <c r="W177" i="123"/>
  <c r="S17" i="11" s="1"/>
  <c r="Z351" i="123"/>
  <c r="V18" i="11" s="1"/>
  <c r="X39" i="34" s="1"/>
  <c r="AA525" i="123"/>
  <c r="W22" i="11" s="1"/>
  <c r="Y44" i="34" s="1"/>
  <c r="Z525" i="123"/>
  <c r="Y699" i="123"/>
  <c r="U25" i="11" s="1"/>
  <c r="Z699" i="123"/>
  <c r="V25" i="11" s="1"/>
  <c r="AA699" i="123"/>
  <c r="W25" i="11" s="1"/>
  <c r="V1047" i="123"/>
  <c r="W1047" i="123"/>
  <c r="P26" i="11"/>
  <c r="P18" i="11"/>
  <c r="R39" i="34" s="1"/>
  <c r="P21" i="11"/>
  <c r="Z18" i="11"/>
  <c r="AB39" i="34" s="1"/>
  <c r="Z17" i="11"/>
  <c r="Z26" i="11"/>
  <c r="V21" i="11"/>
  <c r="V22" i="11"/>
  <c r="X44" i="34" s="1"/>
  <c r="V17" i="11"/>
  <c r="V26" i="11"/>
  <c r="X49" i="34" s="1"/>
  <c r="K12" i="11"/>
  <c r="M28" i="34" s="1"/>
  <c r="E23" i="57" s="1"/>
  <c r="N17" i="11"/>
  <c r="N26" i="11"/>
  <c r="N18" i="11"/>
  <c r="P39" i="34" s="1"/>
  <c r="N21" i="11"/>
  <c r="N22" i="11"/>
  <c r="P44" i="34" s="1"/>
  <c r="J17" i="11"/>
  <c r="J26" i="11"/>
  <c r="L49" i="34" s="1"/>
  <c r="J18" i="11"/>
  <c r="L39" i="34" s="1"/>
  <c r="J21" i="11"/>
  <c r="J22" i="11"/>
  <c r="L44" i="34" s="1"/>
  <c r="F18" i="11"/>
  <c r="H39" i="34" s="1"/>
  <c r="F21" i="11"/>
  <c r="F22" i="11"/>
  <c r="H44" i="34" s="1"/>
  <c r="F17" i="11"/>
  <c r="F26" i="11"/>
  <c r="H49" i="34" s="1"/>
  <c r="AJ873" i="123"/>
  <c r="AR873" i="123"/>
  <c r="AZ873" i="123"/>
  <c r="BH873" i="123"/>
  <c r="O873" i="123"/>
  <c r="K21" i="11" s="1"/>
  <c r="H873" i="123"/>
  <c r="D21" i="11" s="1"/>
  <c r="AL1047" i="123"/>
  <c r="AL1579" i="123" s="1"/>
  <c r="AT1047" i="123"/>
  <c r="AT1579" i="123" s="1"/>
  <c r="BB1047" i="123"/>
  <c r="BB1579" i="123" s="1"/>
  <c r="BJ1047" i="123"/>
  <c r="BJ1579" i="123" s="1"/>
  <c r="K1047" i="123"/>
  <c r="K1579" i="123" s="1"/>
  <c r="BL1047" i="123"/>
  <c r="BD1047" i="123"/>
  <c r="BD1579" i="123" s="1"/>
  <c r="AV1047" i="123"/>
  <c r="AV1579" i="123" s="1"/>
  <c r="AN1047" i="123"/>
  <c r="AN1579" i="123" s="1"/>
  <c r="M1047" i="123"/>
  <c r="I26" i="11" s="1"/>
  <c r="AR1221" i="123"/>
  <c r="AV1221" i="123"/>
  <c r="BH1221" i="123"/>
  <c r="BL1221" i="123"/>
  <c r="M1221" i="123"/>
  <c r="I22" i="11" s="1"/>
  <c r="K44" i="34" s="1"/>
  <c r="AH1221" i="123"/>
  <c r="AP1221" i="123"/>
  <c r="AX1221" i="123"/>
  <c r="BF1221" i="123"/>
  <c r="BN1221" i="123"/>
  <c r="G1221" i="123"/>
  <c r="C22" i="11" s="1"/>
  <c r="E44" i="34" s="1"/>
  <c r="AH1395" i="123"/>
  <c r="AH1579" i="123" s="1"/>
  <c r="AP1395" i="123"/>
  <c r="AP1579" i="123" s="1"/>
  <c r="AX1395" i="123"/>
  <c r="BF1395" i="123"/>
  <c r="BN1395" i="123"/>
  <c r="BN1579" i="123" s="1"/>
  <c r="AJ1395" i="123"/>
  <c r="AJ1579" i="123" s="1"/>
  <c r="AR1395" i="123"/>
  <c r="AZ1395" i="123"/>
  <c r="AZ1579" i="123" s="1"/>
  <c r="BH1395" i="123"/>
  <c r="BH1579" i="123" s="1"/>
  <c r="G1395" i="123"/>
  <c r="C37" i="11" s="1"/>
  <c r="E60" i="34" s="1"/>
  <c r="O1395" i="123"/>
  <c r="K37" i="11" s="1"/>
  <c r="M60" i="34" s="1"/>
  <c r="Q1395" i="123"/>
  <c r="Q1579" i="123" s="1"/>
  <c r="I1395" i="123"/>
  <c r="E37" i="11" s="1"/>
  <c r="G60" i="34" s="1"/>
  <c r="T177" i="123"/>
  <c r="P17" i="11" s="1"/>
  <c r="U177" i="123"/>
  <c r="Q17" i="11" s="1"/>
  <c r="W351" i="123"/>
  <c r="S18" i="11" s="1"/>
  <c r="U39" i="34" s="1"/>
  <c r="U699" i="123"/>
  <c r="Q25" i="11" s="1"/>
  <c r="V699" i="123"/>
  <c r="R25" i="11" s="1"/>
  <c r="S1221" i="123"/>
  <c r="O22" i="11" s="1"/>
  <c r="Q44" i="34" s="1"/>
  <c r="S1047" i="123"/>
  <c r="O26" i="11" s="1"/>
  <c r="Q49" i="34" s="1"/>
  <c r="T1221" i="123"/>
  <c r="P22" i="11" s="1"/>
  <c r="R44" i="34" s="1"/>
  <c r="U1395" i="123"/>
  <c r="U1579" i="123" s="1"/>
  <c r="U1582" i="123" s="1"/>
  <c r="I55" i="132"/>
  <c r="E55" i="132"/>
  <c r="E43" i="132"/>
  <c r="AE25" i="134"/>
  <c r="AF25" i="134"/>
  <c r="AE20" i="133"/>
  <c r="AD20" i="133"/>
  <c r="X43" i="133"/>
  <c r="AD25" i="133"/>
  <c r="AF38" i="136"/>
  <c r="AG38" i="136"/>
  <c r="AH38" i="136"/>
  <c r="AD25" i="131"/>
  <c r="AB1395" i="123"/>
  <c r="AE39" i="133"/>
  <c r="AF39" i="133" s="1"/>
  <c r="AB351" i="123"/>
  <c r="X18" i="11" s="1"/>
  <c r="Z39" i="34" s="1"/>
  <c r="AB525" i="123"/>
  <c r="X22" i="11" s="1"/>
  <c r="Z44" i="34" s="1"/>
  <c r="AB699" i="123"/>
  <c r="X25" i="11" s="1"/>
  <c r="T43" i="133"/>
  <c r="AD37" i="133"/>
  <c r="AK41" i="133"/>
  <c r="BU41" i="133"/>
  <c r="AN41" i="133"/>
  <c r="AI41" i="133"/>
  <c r="BD41" i="133"/>
  <c r="BL41" i="133"/>
  <c r="AJ41" i="133"/>
  <c r="BS41" i="133"/>
  <c r="AE41" i="133"/>
  <c r="BV41" i="133"/>
  <c r="BE41" i="133"/>
  <c r="AV41" i="133"/>
  <c r="AQ41" i="133"/>
  <c r="AX41" i="133"/>
  <c r="BA41" i="133"/>
  <c r="BJ41" i="133"/>
  <c r="BR41" i="133"/>
  <c r="AS41" i="133"/>
  <c r="AR41" i="133"/>
  <c r="BF41" i="133"/>
  <c r="P43" i="133"/>
  <c r="BT41" i="133"/>
  <c r="AL41" i="133"/>
  <c r="L43" i="133"/>
  <c r="H43" i="133"/>
  <c r="AB853" i="123"/>
  <c r="AB873" i="123" s="1"/>
  <c r="X21" i="11" s="1"/>
  <c r="AB1221" i="123"/>
  <c r="AF39" i="135"/>
  <c r="AF40" i="135"/>
  <c r="AG40" i="135"/>
  <c r="AC43" i="133"/>
  <c r="X55" i="132"/>
  <c r="AD25" i="132"/>
  <c r="T43" i="132"/>
  <c r="AE39" i="136"/>
  <c r="AB43" i="133"/>
  <c r="P55" i="132"/>
  <c r="L55" i="132"/>
  <c r="AG28" i="135"/>
  <c r="AD26" i="136"/>
  <c r="AD34" i="136"/>
  <c r="AD37" i="131"/>
  <c r="AE42" i="135"/>
  <c r="AF42" i="135"/>
  <c r="AD34" i="135"/>
  <c r="AC43" i="135"/>
  <c r="AG35" i="135"/>
  <c r="AE37" i="135"/>
  <c r="AE35" i="136"/>
  <c r="AC43" i="131"/>
  <c r="AF26" i="135"/>
  <c r="AG26" i="135" s="1"/>
  <c r="W43" i="133"/>
  <c r="AE37" i="133"/>
  <c r="BP41" i="133"/>
  <c r="AZ20" i="132"/>
  <c r="AD27" i="135"/>
  <c r="AG27" i="135" s="1"/>
  <c r="BR9" i="69"/>
  <c r="BR13" i="70" s="1"/>
  <c r="BT9" i="69"/>
  <c r="AD25" i="136"/>
  <c r="AA43" i="135"/>
  <c r="AM41" i="133"/>
  <c r="AT41" i="133"/>
  <c r="BM41" i="133"/>
  <c r="AF41" i="133"/>
  <c r="BB41" i="133"/>
  <c r="AU41" i="133"/>
  <c r="BK41" i="133"/>
  <c r="AG41" i="133"/>
  <c r="AY41" i="133"/>
  <c r="BH41" i="133"/>
  <c r="BL10" i="11"/>
  <c r="BQ10" i="11"/>
  <c r="BV9" i="69"/>
  <c r="BV13" i="70" s="1"/>
  <c r="BN9" i="69"/>
  <c r="BN13" i="70" s="1"/>
  <c r="BU26" i="34"/>
  <c r="BT1395" i="123"/>
  <c r="BP1395" i="123"/>
  <c r="BW1221" i="123"/>
  <c r="BX1047" i="123"/>
  <c r="BP1047" i="123"/>
  <c r="BU873" i="123"/>
  <c r="BV525" i="123"/>
  <c r="BV1579" i="123" s="1"/>
  <c r="BX525" i="123"/>
  <c r="BP525" i="123"/>
  <c r="BW351" i="123"/>
  <c r="BZ1221" i="123"/>
  <c r="AD1395" i="123"/>
  <c r="Z37" i="11" s="1"/>
  <c r="AB60" i="34" s="1"/>
  <c r="BF20" i="132"/>
  <c r="BV20" i="132"/>
  <c r="AV20" i="132"/>
  <c r="AR20" i="132"/>
  <c r="AM20" i="132"/>
  <c r="BC20" i="132"/>
  <c r="BS20" i="132"/>
  <c r="AS20" i="132"/>
  <c r="BI20" i="132"/>
  <c r="AH20" i="132"/>
  <c r="AH41" i="133"/>
  <c r="BG41" i="133"/>
  <c r="AP41" i="133"/>
  <c r="AD41" i="133"/>
  <c r="AW41" i="133"/>
  <c r="BN41" i="133"/>
  <c r="BI41" i="133"/>
  <c r="BO41" i="133"/>
  <c r="BQ41" i="133"/>
  <c r="AO41" i="133"/>
  <c r="BC41" i="133"/>
  <c r="AE27" i="136"/>
  <c r="AE27" i="135"/>
  <c r="AH27" i="135" s="1"/>
  <c r="AD27" i="136"/>
  <c r="BX9" i="69"/>
  <c r="BX12" i="69" s="1"/>
  <c r="BX24" i="69" s="1"/>
  <c r="BX1395" i="123"/>
  <c r="BR1395" i="123"/>
  <c r="BW1395" i="123"/>
  <c r="BS1395" i="123"/>
  <c r="BQ1221" i="123"/>
  <c r="BV1221" i="123"/>
  <c r="BR1221" i="123"/>
  <c r="BW1047" i="123"/>
  <c r="BX873" i="123"/>
  <c r="BP873" i="123"/>
  <c r="BQ873" i="123"/>
  <c r="BQ1579" i="123" s="1"/>
  <c r="BT525" i="123"/>
  <c r="BU525" i="123"/>
  <c r="BU1579" i="123" s="1"/>
  <c r="BS525" i="123"/>
  <c r="BV351" i="123"/>
  <c r="BR351" i="123"/>
  <c r="BS351" i="123"/>
  <c r="BP351" i="123"/>
  <c r="BS177" i="123"/>
  <c r="BT177" i="123"/>
  <c r="BY1395" i="123"/>
  <c r="CA1395" i="123"/>
  <c r="BZ1395" i="123"/>
  <c r="CA1221" i="123"/>
  <c r="BZ1047" i="123"/>
  <c r="BZ873" i="123"/>
  <c r="BY873" i="123"/>
  <c r="CA525" i="123"/>
  <c r="BZ525" i="123"/>
  <c r="CA351" i="123"/>
  <c r="BZ351" i="123"/>
  <c r="CA177" i="123"/>
  <c r="BZ177" i="123"/>
  <c r="AF27" i="136"/>
  <c r="BO26" i="34"/>
  <c r="BO30" i="34" s="1"/>
  <c r="BO33" i="34" s="1"/>
  <c r="BO34" i="34" s="1"/>
  <c r="BV30" i="11"/>
  <c r="BX53" i="34" s="1"/>
  <c r="Z48" i="57" s="1"/>
  <c r="BV33" i="11"/>
  <c r="BX56" i="34" s="1"/>
  <c r="Z51" i="57" s="1"/>
  <c r="BV28" i="11"/>
  <c r="BX51" i="34" s="1"/>
  <c r="Z46" i="57" s="1"/>
  <c r="BR33" i="11"/>
  <c r="BT56" i="34" s="1"/>
  <c r="Y51" i="57" s="1"/>
  <c r="BV35" i="11"/>
  <c r="BX58" i="34" s="1"/>
  <c r="Z53" i="57" s="1"/>
  <c r="BM28" i="11"/>
  <c r="BO51" i="34" s="1"/>
  <c r="BM30" i="11"/>
  <c r="BO53" i="34" s="1"/>
  <c r="W48" i="57" s="1"/>
  <c r="BU34" i="11"/>
  <c r="BW57" i="34" s="1"/>
  <c r="BQ28" i="11"/>
  <c r="BS51" i="34" s="1"/>
  <c r="Y46" i="57" s="1"/>
  <c r="BM35" i="11"/>
  <c r="BO58" i="34" s="1"/>
  <c r="BV34" i="11"/>
  <c r="BX57" i="34" s="1"/>
  <c r="BR35" i="11"/>
  <c r="BT58" i="34" s="1"/>
  <c r="Y53" i="57" s="1"/>
  <c r="BN30" i="11"/>
  <c r="BP53" i="34" s="1"/>
  <c r="X48" i="57" s="1"/>
  <c r="BN29" i="11"/>
  <c r="BP52" i="34" s="1"/>
  <c r="X47" i="57" s="1"/>
  <c r="BN35" i="11"/>
  <c r="BP58" i="34" s="1"/>
  <c r="BV29" i="11"/>
  <c r="BX52" i="34" s="1"/>
  <c r="BV27" i="11"/>
  <c r="BX50" i="34" s="1"/>
  <c r="BT32" i="11"/>
  <c r="BV55" i="34" s="1"/>
  <c r="Z50" i="57" s="1"/>
  <c r="BO32" i="11"/>
  <c r="BQ55" i="34" s="1"/>
  <c r="BS13" i="11"/>
  <c r="BU29" i="34" s="1"/>
  <c r="BS9" i="11"/>
  <c r="BU27" i="34" s="1"/>
  <c r="BO9" i="11"/>
  <c r="BQ27" i="34" s="1"/>
  <c r="BO12" i="11"/>
  <c r="BQ28" i="34" s="1"/>
  <c r="X23" i="57" s="1"/>
  <c r="BM26" i="34"/>
  <c r="BQ13" i="11"/>
  <c r="BS29" i="34" s="1"/>
  <c r="BS30" i="34" s="1"/>
  <c r="BS33" i="34" s="1"/>
  <c r="BS34" i="34" s="1"/>
  <c r="BT26" i="34"/>
  <c r="BP9" i="11"/>
  <c r="BR27" i="34" s="1"/>
  <c r="BU13" i="11"/>
  <c r="BW29" i="34" s="1"/>
  <c r="BW30" i="34" s="1"/>
  <c r="BW33" i="34" s="1"/>
  <c r="BW34" i="34" s="1"/>
  <c r="BT31" i="11"/>
  <c r="BV54" i="34" s="1"/>
  <c r="BP31" i="11"/>
  <c r="BR54" i="34" s="1"/>
  <c r="BL31" i="11"/>
  <c r="BN54" i="34" s="1"/>
  <c r="W49" i="57" s="1"/>
  <c r="BV31" i="11"/>
  <c r="BX54" i="34" s="1"/>
  <c r="BR31" i="11"/>
  <c r="BT54" i="34" s="1"/>
  <c r="Y49" i="57" s="1"/>
  <c r="BN31" i="11"/>
  <c r="BP54" i="34" s="1"/>
  <c r="X49" i="57" s="1"/>
  <c r="BL36" i="11"/>
  <c r="BN59" i="34" s="1"/>
  <c r="W54" i="57" s="1"/>
  <c r="BN36" i="11"/>
  <c r="BP59" i="34" s="1"/>
  <c r="X54" i="57" s="1"/>
  <c r="BP36" i="11"/>
  <c r="BR59" i="34" s="1"/>
  <c r="BR36" i="11"/>
  <c r="BT59" i="34" s="1"/>
  <c r="Y54" i="57" s="1"/>
  <c r="BT36" i="11"/>
  <c r="BV59" i="34" s="1"/>
  <c r="BV36" i="11"/>
  <c r="BX59" i="34" s="1"/>
  <c r="BP55" i="132"/>
  <c r="AF27" i="135"/>
  <c r="AD873" i="123"/>
  <c r="D43" i="131"/>
  <c r="BR55" i="132"/>
  <c r="AR55" i="132"/>
  <c r="AD1221" i="123"/>
  <c r="AC1221" i="123"/>
  <c r="AP55" i="132"/>
  <c r="BN55" i="132"/>
  <c r="BV55" i="132"/>
  <c r="AV55" i="132"/>
  <c r="AQ55" i="132"/>
  <c r="AU55" i="132"/>
  <c r="BO55" i="132"/>
  <c r="BS55" i="132"/>
  <c r="AW55" i="132"/>
  <c r="BM55" i="132"/>
  <c r="BQ55" i="132"/>
  <c r="AN55" i="132"/>
  <c r="BT55" i="132"/>
  <c r="AE55" i="132"/>
  <c r="AA55" i="132"/>
  <c r="AE1047" i="123"/>
  <c r="AA26" i="11" s="1"/>
  <c r="AA43" i="144"/>
  <c r="AD39" i="144"/>
  <c r="AF39" i="144" s="1"/>
  <c r="AE39" i="144"/>
  <c r="BL18" i="145"/>
  <c r="AV18" i="145"/>
  <c r="AF18" i="145"/>
  <c r="AD34" i="145"/>
  <c r="X52" i="145"/>
  <c r="T52" i="145"/>
  <c r="AD37" i="145"/>
  <c r="AD35" i="145"/>
  <c r="AA52" i="145"/>
  <c r="AD33" i="145"/>
  <c r="AE33" i="145"/>
  <c r="L52" i="145"/>
  <c r="L29" i="145"/>
  <c r="Y52" i="145"/>
  <c r="M52" i="145"/>
  <c r="BG18" i="145"/>
  <c r="AQ18" i="145"/>
  <c r="AD39" i="145"/>
  <c r="AE39" i="145"/>
  <c r="W52" i="145"/>
  <c r="AD40" i="145"/>
  <c r="S52" i="145"/>
  <c r="AE42" i="145"/>
  <c r="BQ26" i="34"/>
  <c r="BL34" i="11"/>
  <c r="BN57" i="34" s="1"/>
  <c r="W52" i="57" s="1"/>
  <c r="BP35" i="11"/>
  <c r="BR58" i="34" s="1"/>
  <c r="BL27" i="11"/>
  <c r="BN50" i="34" s="1"/>
  <c r="W45" i="57" s="1"/>
  <c r="BT29" i="11"/>
  <c r="BV52" i="34" s="1"/>
  <c r="Z47" i="57" s="1"/>
  <c r="BL35" i="11"/>
  <c r="BN58" i="34" s="1"/>
  <c r="W53" i="57" s="1"/>
  <c r="BL28" i="11"/>
  <c r="BN51" i="34" s="1"/>
  <c r="W46" i="57" s="1"/>
  <c r="BP33" i="11"/>
  <c r="BR56" i="34" s="1"/>
  <c r="X51" i="57" s="1"/>
  <c r="BT34" i="11"/>
  <c r="BV57" i="34" s="1"/>
  <c r="Z52" i="57" s="1"/>
  <c r="BP34" i="11"/>
  <c r="BR57" i="34" s="1"/>
  <c r="X52" i="57" s="1"/>
  <c r="BT27" i="11"/>
  <c r="BV50" i="34" s="1"/>
  <c r="Z45" i="57" s="1"/>
  <c r="BL33" i="11"/>
  <c r="BN56" i="34" s="1"/>
  <c r="W51" i="57" s="1"/>
  <c r="BV11" i="11"/>
  <c r="BX20" i="34" s="1"/>
  <c r="BR11" i="11"/>
  <c r="BT20" i="34" s="1"/>
  <c r="BN11" i="11"/>
  <c r="BP20" i="34" s="1"/>
  <c r="BP32" i="11"/>
  <c r="BR55" i="34" s="1"/>
  <c r="BN32" i="11"/>
  <c r="BP55" i="34" s="1"/>
  <c r="BT13" i="11"/>
  <c r="BV29" i="34" s="1"/>
  <c r="Z24" i="57" s="1"/>
  <c r="BV9" i="11"/>
  <c r="BR9" i="11"/>
  <c r="BT27" i="34" s="1"/>
  <c r="Y22" i="57" s="1"/>
  <c r="BN9" i="11"/>
  <c r="BP8" i="11"/>
  <c r="BL13" i="11"/>
  <c r="BN29" i="34" s="1"/>
  <c r="W24" i="57" s="1"/>
  <c r="AD525" i="123"/>
  <c r="Z22" i="11" s="1"/>
  <c r="AB44" i="34" s="1"/>
  <c r="AC157" i="123"/>
  <c r="AC177" i="123" s="1"/>
  <c r="Y17" i="11" s="1"/>
  <c r="AC351" i="123"/>
  <c r="Y18" i="11" s="1"/>
  <c r="AA39" i="34" s="1"/>
  <c r="AC525" i="123"/>
  <c r="Y22" i="11" s="1"/>
  <c r="AA44" i="34" s="1"/>
  <c r="AM1570" i="123"/>
  <c r="BC1570" i="123"/>
  <c r="BK1570" i="123"/>
  <c r="BS1570" i="123"/>
  <c r="AE1201" i="123"/>
  <c r="AE1221" i="123" s="1"/>
  <c r="AA22" i="11" s="1"/>
  <c r="AC44" i="34" s="1"/>
  <c r="AE853" i="123"/>
  <c r="AE873" i="123" s="1"/>
  <c r="AA21" i="11" s="1"/>
  <c r="AA49" i="11" s="1"/>
  <c r="AE1375" i="123"/>
  <c r="AE1395" i="123" s="1"/>
  <c r="AE157" i="123"/>
  <c r="AE177" i="123" s="1"/>
  <c r="AA17" i="11" s="1"/>
  <c r="K52" i="145"/>
  <c r="K29" i="145"/>
  <c r="G52" i="145"/>
  <c r="BN18" i="145"/>
  <c r="Z52" i="145"/>
  <c r="Z29" i="145"/>
  <c r="Z54" i="145" s="1"/>
  <c r="Z58" i="145" s="1"/>
  <c r="AD38" i="145"/>
  <c r="AR41" i="145"/>
  <c r="AN41" i="145"/>
  <c r="BC41" i="145"/>
  <c r="AI41" i="145"/>
  <c r="AU41" i="145"/>
  <c r="AX41" i="145"/>
  <c r="BF41" i="145"/>
  <c r="AE41" i="145"/>
  <c r="BP41" i="145"/>
  <c r="BM41" i="145"/>
  <c r="BV41" i="145"/>
  <c r="BT41" i="145"/>
  <c r="BL41" i="145"/>
  <c r="AH41" i="145"/>
  <c r="AK41" i="145"/>
  <c r="AP41" i="145"/>
  <c r="BH41" i="145"/>
  <c r="BG41" i="145"/>
  <c r="BO41" i="145"/>
  <c r="BQ41" i="145"/>
  <c r="AM41" i="145"/>
  <c r="AV41" i="145"/>
  <c r="BB41" i="145"/>
  <c r="BR41" i="145"/>
  <c r="AO41" i="145"/>
  <c r="AJ41" i="145"/>
  <c r="AL41" i="145"/>
  <c r="BD41" i="145"/>
  <c r="BJ41" i="145"/>
  <c r="AS41" i="145"/>
  <c r="BI41" i="145"/>
  <c r="BN41" i="145"/>
  <c r="BK41" i="145"/>
  <c r="BS41" i="145"/>
  <c r="AY41" i="145"/>
  <c r="BE41" i="145"/>
  <c r="BU41" i="145"/>
  <c r="AW41" i="145"/>
  <c r="AQ41" i="145"/>
  <c r="AG41" i="145"/>
  <c r="AT41" i="145"/>
  <c r="AF41" i="145"/>
  <c r="BA41" i="145"/>
  <c r="AD41" i="145"/>
  <c r="AZ41" i="145"/>
  <c r="R52" i="145"/>
  <c r="AD36" i="145"/>
  <c r="AD28" i="145"/>
  <c r="J52" i="145"/>
  <c r="J29" i="145"/>
  <c r="J54" i="145" s="1"/>
  <c r="AS18" i="145"/>
  <c r="Q52" i="145"/>
  <c r="E52" i="145"/>
  <c r="E29" i="145"/>
  <c r="BB18" i="145"/>
  <c r="AE38" i="145"/>
  <c r="AD26" i="145"/>
  <c r="AE26" i="145"/>
  <c r="AF26" i="145" s="1"/>
  <c r="V29" i="145"/>
  <c r="V54" i="145" s="1"/>
  <c r="V58" i="145" s="1"/>
  <c r="N52" i="145"/>
  <c r="AG36" i="144"/>
  <c r="AI51" i="145"/>
  <c r="AF34" i="144"/>
  <c r="AF33" i="144"/>
  <c r="AE47" i="145"/>
  <c r="AG28" i="144"/>
  <c r="N29" i="145"/>
  <c r="F29" i="145"/>
  <c r="F54" i="145" s="1"/>
  <c r="AE40" i="144"/>
  <c r="AG33" i="144"/>
  <c r="Y29" i="145"/>
  <c r="Y54" i="145" s="1"/>
  <c r="Y58" i="145" s="1"/>
  <c r="AI36" i="144"/>
  <c r="AH36" i="144"/>
  <c r="AJ36" i="144" s="1"/>
  <c r="AF44" i="145"/>
  <c r="AH44" i="145" s="1"/>
  <c r="AD37" i="144"/>
  <c r="AE34" i="144"/>
  <c r="AG34" i="144"/>
  <c r="AD38" i="144"/>
  <c r="BD18" i="145"/>
  <c r="AA29" i="145"/>
  <c r="AA54" i="145" s="1"/>
  <c r="AD46" i="145"/>
  <c r="AD18" i="145"/>
  <c r="AD19" i="145"/>
  <c r="AE19" i="145" s="1"/>
  <c r="AF19" i="145" s="1"/>
  <c r="AG19" i="145" s="1"/>
  <c r="AH19" i="145" s="1"/>
  <c r="AI19" i="145" s="1"/>
  <c r="AJ19" i="145" s="1"/>
  <c r="AK19" i="145" s="1"/>
  <c r="AL19" i="145" s="1"/>
  <c r="AM19" i="145" s="1"/>
  <c r="AN19" i="145" s="1"/>
  <c r="AO19" i="145" s="1"/>
  <c r="AP19" i="145" s="1"/>
  <c r="AQ19" i="145" s="1"/>
  <c r="AR19" i="145" s="1"/>
  <c r="AS19" i="145" s="1"/>
  <c r="AT19" i="145" s="1"/>
  <c r="AU19" i="145" s="1"/>
  <c r="AV19" i="145" s="1"/>
  <c r="AW19" i="145" s="1"/>
  <c r="AX19" i="145" s="1"/>
  <c r="AY19" i="145" s="1"/>
  <c r="AZ19" i="145" s="1"/>
  <c r="BA19" i="145" s="1"/>
  <c r="BB19" i="145" s="1"/>
  <c r="BC19" i="145" s="1"/>
  <c r="BD19" i="145" s="1"/>
  <c r="BE19" i="145" s="1"/>
  <c r="BF19" i="145" s="1"/>
  <c r="BG19" i="145" s="1"/>
  <c r="BH19" i="145" s="1"/>
  <c r="BI19" i="145" s="1"/>
  <c r="BJ19" i="145" s="1"/>
  <c r="BK19" i="145" s="1"/>
  <c r="BL19" i="145" s="1"/>
  <c r="BM19" i="145" s="1"/>
  <c r="BN19" i="145" s="1"/>
  <c r="BO19" i="145" s="1"/>
  <c r="BP19" i="145" s="1"/>
  <c r="BQ19" i="145" s="1"/>
  <c r="BR19" i="145" s="1"/>
  <c r="BS19" i="145" s="1"/>
  <c r="BT19" i="145" s="1"/>
  <c r="BU19" i="145" s="1"/>
  <c r="BV19" i="145" s="1"/>
  <c r="U52" i="145"/>
  <c r="AC52" i="145"/>
  <c r="AE26" i="144"/>
  <c r="AE43" i="145"/>
  <c r="AD43" i="145"/>
  <c r="AF47" i="145"/>
  <c r="AG44" i="145"/>
  <c r="AD32" i="145"/>
  <c r="AE42" i="144"/>
  <c r="AF42" i="144"/>
  <c r="AG45" i="145"/>
  <c r="AD49" i="145"/>
  <c r="AE49" i="145"/>
  <c r="AD32" i="144"/>
  <c r="AF45" i="145"/>
  <c r="AE35" i="144"/>
  <c r="AC29" i="145"/>
  <c r="AC54" i="145" s="1"/>
  <c r="AC58" i="145" s="1"/>
  <c r="AB29" i="145"/>
  <c r="AB54" i="145" s="1"/>
  <c r="AB58" i="145" s="1"/>
  <c r="AD50" i="145"/>
  <c r="AE50" i="145" s="1"/>
  <c r="AD25" i="145"/>
  <c r="AD48" i="145"/>
  <c r="AF1047" i="123"/>
  <c r="AB26" i="11" s="1"/>
  <c r="AG525" i="123"/>
  <c r="AC22" i="11" s="1"/>
  <c r="AE44" i="34" s="1"/>
  <c r="T29" i="145"/>
  <c r="T54" i="145" s="1"/>
  <c r="T58" i="145" s="1"/>
  <c r="P29" i="145"/>
  <c r="P54" i="145" s="1"/>
  <c r="P58" i="145" s="1"/>
  <c r="H29" i="145"/>
  <c r="D29" i="145"/>
  <c r="D54" i="145" s="1"/>
  <c r="M29" i="145"/>
  <c r="M54" i="145" s="1"/>
  <c r="S29" i="145"/>
  <c r="S54" i="145" s="1"/>
  <c r="S58" i="145" s="1"/>
  <c r="R29" i="145"/>
  <c r="R54" i="145" s="1"/>
  <c r="R58" i="145" s="1"/>
  <c r="AE27" i="144"/>
  <c r="AD27" i="144"/>
  <c r="AD27" i="131"/>
  <c r="AF27" i="131" s="1"/>
  <c r="AF27" i="144"/>
  <c r="AD27" i="145"/>
  <c r="AF27" i="145" s="1"/>
  <c r="Q29" i="145"/>
  <c r="Q54" i="145" s="1"/>
  <c r="Q58" i="145" s="1"/>
  <c r="U29" i="145"/>
  <c r="I29" i="145"/>
  <c r="I54" i="145" s="1"/>
  <c r="AE27" i="132"/>
  <c r="G29" i="145"/>
  <c r="G54" i="145" s="1"/>
  <c r="AE27" i="145"/>
  <c r="AD27" i="133"/>
  <c r="AE27" i="133" s="1"/>
  <c r="AD27" i="132"/>
  <c r="AE27" i="131"/>
  <c r="AC14" i="134"/>
  <c r="Z43" i="134"/>
  <c r="R43" i="134"/>
  <c r="AH27" i="144"/>
  <c r="T43" i="134"/>
  <c r="W43" i="134"/>
  <c r="O40" i="70"/>
  <c r="P40" i="70"/>
  <c r="AC53" i="69"/>
  <c r="AA84" i="34"/>
  <c r="X15" i="70"/>
  <c r="E24" i="85"/>
  <c r="J12" i="69"/>
  <c r="D29" i="131"/>
  <c r="D45" i="131" s="1"/>
  <c r="D49" i="131" s="1"/>
  <c r="AN14" i="131"/>
  <c r="AN18" i="131" s="1"/>
  <c r="Y29" i="135"/>
  <c r="Y45" i="135" s="1"/>
  <c r="Y49" i="135" s="1"/>
  <c r="K29" i="135"/>
  <c r="K45" i="135" s="1"/>
  <c r="K49" i="135" s="1"/>
  <c r="T29" i="136"/>
  <c r="T45" i="136" s="1"/>
  <c r="T49" i="136" s="1"/>
  <c r="BN12" i="144"/>
  <c r="BO12" i="144" s="1"/>
  <c r="BP12" i="144" s="1"/>
  <c r="BQ12" i="144" s="1"/>
  <c r="BM14" i="144"/>
  <c r="BM18" i="144" s="1"/>
  <c r="Z15" i="70"/>
  <c r="M15" i="70"/>
  <c r="U15" i="70"/>
  <c r="V15" i="70"/>
  <c r="M53" i="69"/>
  <c r="H15" i="70"/>
  <c r="N15" i="70"/>
  <c r="AB29" i="132"/>
  <c r="AB57" i="132" s="1"/>
  <c r="AB63" i="132" s="1"/>
  <c r="N12" i="69"/>
  <c r="W33" i="69"/>
  <c r="W36" i="69" s="1"/>
  <c r="W15" i="70"/>
  <c r="S15" i="70"/>
  <c r="V33" i="69"/>
  <c r="V36" i="69" s="1"/>
  <c r="R15" i="70"/>
  <c r="O15" i="70"/>
  <c r="K53" i="69"/>
  <c r="L53" i="69"/>
  <c r="Y53" i="69"/>
  <c r="X84" i="34"/>
  <c r="AA15" i="70"/>
  <c r="X53" i="69"/>
  <c r="M12" i="69"/>
  <c r="Q53" i="69"/>
  <c r="F53" i="69"/>
  <c r="AC29" i="132"/>
  <c r="AP12" i="144"/>
  <c r="AO14" i="144"/>
  <c r="AO18" i="144" s="1"/>
  <c r="O53" i="69"/>
  <c r="AD12" i="144"/>
  <c r="AC15" i="70"/>
  <c r="T15" i="70"/>
  <c r="AF40" i="70"/>
  <c r="AA53" i="69"/>
  <c r="Y15" i="70"/>
  <c r="P15" i="70"/>
  <c r="T33" i="69"/>
  <c r="T36" i="69" s="1"/>
  <c r="T52" i="69" s="1"/>
  <c r="T53" i="69" s="1"/>
  <c r="R14" i="61"/>
  <c r="K24" i="85"/>
  <c r="V53" i="69"/>
  <c r="AE84" i="34"/>
  <c r="R53" i="69"/>
  <c r="S53" i="69"/>
  <c r="F15" i="70"/>
  <c r="K15" i="70"/>
  <c r="N53" i="69"/>
  <c r="F14" i="61"/>
  <c r="AB84" i="34"/>
  <c r="G40" i="70"/>
  <c r="G12" i="69"/>
  <c r="AD84" i="34"/>
  <c r="AB51" i="69"/>
  <c r="AF53" i="69"/>
  <c r="AD15" i="70"/>
  <c r="AB53" i="69"/>
  <c r="Y33" i="69"/>
  <c r="Y36" i="69" s="1"/>
  <c r="X51" i="69"/>
  <c r="Q40" i="70"/>
  <c r="F24" i="85"/>
  <c r="R24" i="85" s="1"/>
  <c r="U53" i="69"/>
  <c r="F40" i="70"/>
  <c r="F12" i="69"/>
  <c r="H53" i="69"/>
  <c r="AB15" i="70"/>
  <c r="H12" i="69"/>
  <c r="C24" i="85"/>
  <c r="AO12" i="135"/>
  <c r="H40" i="70"/>
  <c r="K12" i="69"/>
  <c r="D24" i="85"/>
  <c r="I12" i="69"/>
  <c r="G15" i="70"/>
  <c r="G53" i="69"/>
  <c r="I53" i="69"/>
  <c r="AO14" i="131"/>
  <c r="I33" i="69"/>
  <c r="I36" i="69" s="1"/>
  <c r="Q15" i="70"/>
  <c r="P53" i="69"/>
  <c r="BC14" i="131"/>
  <c r="AB29" i="133"/>
  <c r="AC29" i="133"/>
  <c r="AC45" i="133" s="1"/>
  <c r="AC49" i="133" s="1"/>
  <c r="BC12" i="144"/>
  <c r="BB14" i="144"/>
  <c r="AD14" i="131"/>
  <c r="AD14" i="132"/>
  <c r="M29" i="136"/>
  <c r="M45" i="136" s="1"/>
  <c r="M49" i="136" s="1"/>
  <c r="E29" i="136"/>
  <c r="E45" i="136" s="1"/>
  <c r="E49" i="136" s="1"/>
  <c r="AE14" i="136"/>
  <c r="AD14" i="135"/>
  <c r="N14" i="61"/>
  <c r="AD14" i="136"/>
  <c r="V14" i="61"/>
  <c r="BN20" i="134"/>
  <c r="J14" i="61"/>
  <c r="Z14" i="61"/>
  <c r="BU20" i="134"/>
  <c r="AE12" i="69"/>
  <c r="AE40" i="70"/>
  <c r="Z51" i="69"/>
  <c r="Y84" i="34"/>
  <c r="Z84" i="34"/>
  <c r="J15" i="70"/>
  <c r="I15" i="70"/>
  <c r="J33" i="69"/>
  <c r="J36" i="69" s="1"/>
  <c r="AD53" i="69"/>
  <c r="AE53" i="69"/>
  <c r="AE15" i="70"/>
  <c r="AC84" i="34"/>
  <c r="AC51" i="69"/>
  <c r="AC33" i="69"/>
  <c r="AC36" i="69" s="1"/>
  <c r="M33" i="69"/>
  <c r="M36" i="69" s="1"/>
  <c r="AD28" i="134"/>
  <c r="AE28" i="134" s="1"/>
  <c r="AF28" i="134" s="1"/>
  <c r="AM20" i="134"/>
  <c r="AA43" i="134"/>
  <c r="L14" i="61"/>
  <c r="I14" i="61"/>
  <c r="G14" i="61"/>
  <c r="X14" i="61"/>
  <c r="U14" i="61"/>
  <c r="S14" i="61"/>
  <c r="M14" i="61"/>
  <c r="K14" i="61"/>
  <c r="C14" i="61"/>
  <c r="Y14" i="61"/>
  <c r="W14" i="61"/>
  <c r="D14" i="61"/>
  <c r="P14" i="61"/>
  <c r="AB14" i="61"/>
  <c r="H14" i="61"/>
  <c r="E14" i="61"/>
  <c r="T14" i="61"/>
  <c r="Q14" i="61"/>
  <c r="O14" i="61"/>
  <c r="AC14" i="61"/>
  <c r="AA14" i="61"/>
  <c r="BK20" i="134"/>
  <c r="AS20" i="134"/>
  <c r="BM20" i="134"/>
  <c r="BA20" i="134"/>
  <c r="BI20" i="134"/>
  <c r="AT20" i="134"/>
  <c r="AQ20" i="134"/>
  <c r="P43" i="134"/>
  <c r="AC43" i="134"/>
  <c r="AB43" i="134"/>
  <c r="X43" i="134"/>
  <c r="AD35" i="134"/>
  <c r="AE35" i="134" s="1"/>
  <c r="G43" i="134"/>
  <c r="AV20" i="134"/>
  <c r="AD39" i="134"/>
  <c r="AE39" i="134" s="1"/>
  <c r="Q43" i="134"/>
  <c r="AD41" i="134"/>
  <c r="AE41" i="134" s="1"/>
  <c r="AF41" i="134" s="1"/>
  <c r="AG41" i="134" s="1"/>
  <c r="AD37" i="134"/>
  <c r="AE37" i="134" s="1"/>
  <c r="BR20" i="134"/>
  <c r="AX20" i="134"/>
  <c r="BE20" i="134"/>
  <c r="AP20" i="134"/>
  <c r="BL20" i="134"/>
  <c r="BG20" i="134"/>
  <c r="BT20" i="134"/>
  <c r="BQ20" i="134"/>
  <c r="AY20" i="134"/>
  <c r="BH20" i="134"/>
  <c r="E43" i="134"/>
  <c r="L43" i="134"/>
  <c r="AI20" i="134"/>
  <c r="AH20" i="134"/>
  <c r="AG20" i="134"/>
  <c r="AF20" i="134"/>
  <c r="AD36" i="134"/>
  <c r="AE36" i="134" s="1"/>
  <c r="AD33" i="134"/>
  <c r="AE33" i="134" s="1"/>
  <c r="BV20" i="134"/>
  <c r="AU20" i="134"/>
  <c r="BJ20" i="134"/>
  <c r="BB20" i="134"/>
  <c r="BO20" i="134"/>
  <c r="BS20" i="134"/>
  <c r="AR20" i="134"/>
  <c r="AZ20" i="134"/>
  <c r="S43" i="134"/>
  <c r="AD26" i="134"/>
  <c r="AE26" i="134" s="1"/>
  <c r="AD32" i="134"/>
  <c r="AE32" i="134" s="1"/>
  <c r="BD20" i="134"/>
  <c r="BC20" i="134"/>
  <c r="AW20" i="134"/>
  <c r="BF20" i="134"/>
  <c r="AN20" i="134"/>
  <c r="BP20" i="134"/>
  <c r="AO20" i="134"/>
  <c r="Y43" i="134"/>
  <c r="U43" i="134"/>
  <c r="AD42" i="134"/>
  <c r="AE42" i="134" s="1"/>
  <c r="M43" i="134"/>
  <c r="I43" i="134"/>
  <c r="H43" i="134"/>
  <c r="D43" i="134"/>
  <c r="O43" i="134"/>
  <c r="K43" i="134"/>
  <c r="N43" i="134"/>
  <c r="J43" i="134"/>
  <c r="F43" i="134"/>
  <c r="C43" i="134"/>
  <c r="AD14" i="134"/>
  <c r="AL20" i="134"/>
  <c r="AK20" i="134"/>
  <c r="AJ20" i="134"/>
  <c r="AD38" i="134"/>
  <c r="AE38" i="134" s="1"/>
  <c r="AD34" i="134"/>
  <c r="AE34" i="134" s="1"/>
  <c r="AE20" i="134"/>
  <c r="AD20" i="134"/>
  <c r="Z52" i="126" l="1"/>
  <c r="AF6" i="115"/>
  <c r="AF14" i="115" s="1"/>
  <c r="AG15" i="115" s="1"/>
  <c r="AH16" i="115" s="1"/>
  <c r="AI17" i="115" s="1"/>
  <c r="AJ18" i="115" s="1"/>
  <c r="AK19" i="115" s="1"/>
  <c r="AL20" i="115" s="1"/>
  <c r="AM21" i="115" s="1"/>
  <c r="AN22" i="115" s="1"/>
  <c r="AO23" i="115" s="1"/>
  <c r="AP24" i="115" s="1"/>
  <c r="AQ25" i="115" s="1"/>
  <c r="AR26" i="115" s="1"/>
  <c r="AS27" i="115" s="1"/>
  <c r="AT28" i="115" s="1"/>
  <c r="AU29" i="115" s="1"/>
  <c r="AV30" i="115" s="1"/>
  <c r="AW31" i="115" s="1"/>
  <c r="AD52" i="126"/>
  <c r="O52" i="126"/>
  <c r="M7" i="116"/>
  <c r="AL15" i="126"/>
  <c r="AL16" i="126" s="1"/>
  <c r="K52" i="126"/>
  <c r="U52" i="126"/>
  <c r="N7" i="116"/>
  <c r="AQ13" i="109"/>
  <c r="AQ98" i="109" s="1"/>
  <c r="AK13" i="109"/>
  <c r="AK98" i="109" s="1"/>
  <c r="AW14" i="109"/>
  <c r="AW99" i="109" s="1"/>
  <c r="AV22" i="109"/>
  <c r="AV107" i="109" s="1"/>
  <c r="AQ16" i="109"/>
  <c r="AQ101" i="109" s="1"/>
  <c r="AV23" i="109"/>
  <c r="AV108" i="109" s="1"/>
  <c r="AR20" i="109"/>
  <c r="AR105" i="109" s="1"/>
  <c r="AT16" i="109"/>
  <c r="AT101" i="109" s="1"/>
  <c r="AL14" i="109"/>
  <c r="AL99" i="109" s="1"/>
  <c r="AU21" i="109"/>
  <c r="AU106" i="109" s="1"/>
  <c r="AM15" i="109"/>
  <c r="AM100" i="109" s="1"/>
  <c r="AT14" i="109"/>
  <c r="AT99" i="109" s="1"/>
  <c r="AN15" i="109"/>
  <c r="AN100" i="109" s="1"/>
  <c r="AO17" i="109"/>
  <c r="AO102" i="109" s="1"/>
  <c r="AR14" i="109"/>
  <c r="AR99" i="109" s="1"/>
  <c r="AP14" i="109"/>
  <c r="AP99" i="109" s="1"/>
  <c r="AW21" i="109"/>
  <c r="AW106" i="109" s="1"/>
  <c r="T17" i="57"/>
  <c r="AS19" i="109"/>
  <c r="AS104" i="109" s="1"/>
  <c r="AT15" i="109"/>
  <c r="AT100" i="109" s="1"/>
  <c r="AR18" i="109"/>
  <c r="AR103" i="109" s="1"/>
  <c r="AP17" i="109"/>
  <c r="AP102" i="109" s="1"/>
  <c r="AM14" i="109"/>
  <c r="AM99" i="109" s="1"/>
  <c r="AR16" i="109"/>
  <c r="AR101" i="109" s="1"/>
  <c r="AQ14" i="109"/>
  <c r="AQ99" i="109" s="1"/>
  <c r="AS16" i="109"/>
  <c r="AS101" i="109" s="1"/>
  <c r="M15" i="126"/>
  <c r="M16" i="126" s="1"/>
  <c r="AB52" i="126"/>
  <c r="S27" i="85"/>
  <c r="AV20" i="109"/>
  <c r="AV105" i="109" s="1"/>
  <c r="AT13" i="109"/>
  <c r="AT98" i="109" s="1"/>
  <c r="AW25" i="109"/>
  <c r="AW110" i="109" s="1"/>
  <c r="AR17" i="109"/>
  <c r="AR102" i="109" s="1"/>
  <c r="AT22" i="109"/>
  <c r="AT107" i="109" s="1"/>
  <c r="AV19" i="109"/>
  <c r="AV104" i="109" s="1"/>
  <c r="AQ18" i="109"/>
  <c r="AQ103" i="109" s="1"/>
  <c r="AQ15" i="109"/>
  <c r="AQ100" i="109" s="1"/>
  <c r="AS21" i="109"/>
  <c r="AS106" i="109" s="1"/>
  <c r="AR19" i="109"/>
  <c r="AR104" i="109" s="1"/>
  <c r="AV6" i="125"/>
  <c r="AV14" i="125" s="1"/>
  <c r="K9" i="85"/>
  <c r="V7" i="116"/>
  <c r="AI6" i="125"/>
  <c r="AI14" i="125" s="1"/>
  <c r="U7" i="116"/>
  <c r="O9" i="116"/>
  <c r="AI6" i="115"/>
  <c r="AI14" i="115" s="1"/>
  <c r="AJ15" i="115" s="1"/>
  <c r="AK16" i="115" s="1"/>
  <c r="AL17" i="115" s="1"/>
  <c r="AM18" i="115" s="1"/>
  <c r="AN19" i="115" s="1"/>
  <c r="AO20" i="115" s="1"/>
  <c r="AP21" i="115" s="1"/>
  <c r="AQ22" i="115" s="1"/>
  <c r="AR23" i="115" s="1"/>
  <c r="AS24" i="115" s="1"/>
  <c r="AT25" i="115" s="1"/>
  <c r="AU26" i="115" s="1"/>
  <c r="AV27" i="115" s="1"/>
  <c r="AW28" i="115" s="1"/>
  <c r="AV6" i="115"/>
  <c r="AV14" i="115" s="1"/>
  <c r="AW15" i="115" s="1"/>
  <c r="L52" i="126"/>
  <c r="AL52" i="126"/>
  <c r="AY52" i="126"/>
  <c r="AY15" i="126"/>
  <c r="AY16" i="126" s="1"/>
  <c r="K17" i="57"/>
  <c r="K6" i="85" s="1"/>
  <c r="K11" i="85"/>
  <c r="AG52" i="126"/>
  <c r="R52" i="126"/>
  <c r="K27" i="85"/>
  <c r="L24" i="116"/>
  <c r="L30" i="116" s="1"/>
  <c r="N9" i="116"/>
  <c r="N8" i="116" s="1"/>
  <c r="AD6" i="125"/>
  <c r="AD14" i="125" s="1"/>
  <c r="AE15" i="125" s="1"/>
  <c r="AD6" i="115"/>
  <c r="AD14" i="115" s="1"/>
  <c r="AE15" i="115" s="1"/>
  <c r="AF6" i="109"/>
  <c r="AF6" i="125"/>
  <c r="AF14" i="125" s="1"/>
  <c r="AG15" i="125" s="1"/>
  <c r="AH16" i="125" s="1"/>
  <c r="AI17" i="125" s="1"/>
  <c r="AJ18" i="125" s="1"/>
  <c r="AK19" i="125" s="1"/>
  <c r="AL20" i="125" s="1"/>
  <c r="AM21" i="125" s="1"/>
  <c r="AN22" i="125" s="1"/>
  <c r="AO23" i="125" s="1"/>
  <c r="AP24" i="125" s="1"/>
  <c r="AQ25" i="125" s="1"/>
  <c r="AR26" i="125" s="1"/>
  <c r="AS27" i="125" s="1"/>
  <c r="AT28" i="125" s="1"/>
  <c r="AU29" i="125" s="1"/>
  <c r="AV30" i="125" s="1"/>
  <c r="AW31" i="125" s="1"/>
  <c r="AI52" i="126"/>
  <c r="AC52" i="126"/>
  <c r="AH15" i="126"/>
  <c r="AH16" i="126" s="1"/>
  <c r="AE6" i="109"/>
  <c r="AE6" i="115"/>
  <c r="AE14" i="115" s="1"/>
  <c r="AF15" i="115" s="1"/>
  <c r="AG16" i="115" s="1"/>
  <c r="AH17" i="115" s="1"/>
  <c r="AI18" i="115" s="1"/>
  <c r="AJ19" i="115" s="1"/>
  <c r="AK20" i="115" s="1"/>
  <c r="AL21" i="115" s="1"/>
  <c r="AM22" i="115" s="1"/>
  <c r="AN23" i="115" s="1"/>
  <c r="AO24" i="115" s="1"/>
  <c r="AP25" i="115" s="1"/>
  <c r="AQ26" i="115" s="1"/>
  <c r="AR27" i="115" s="1"/>
  <c r="AS28" i="115" s="1"/>
  <c r="AT29" i="115" s="1"/>
  <c r="AU30" i="115" s="1"/>
  <c r="AV31" i="115" s="1"/>
  <c r="AW32" i="115" s="1"/>
  <c r="AE6" i="125"/>
  <c r="AE14" i="125" s="1"/>
  <c r="AF15" i="125" s="1"/>
  <c r="AG16" i="125" s="1"/>
  <c r="AH17" i="125" s="1"/>
  <c r="AI18" i="125" s="1"/>
  <c r="AJ19" i="125" s="1"/>
  <c r="AK20" i="125" s="1"/>
  <c r="AL21" i="125" s="1"/>
  <c r="AM22" i="125" s="1"/>
  <c r="AN23" i="125" s="1"/>
  <c r="AO24" i="125" s="1"/>
  <c r="AP25" i="125" s="1"/>
  <c r="AQ26" i="125" s="1"/>
  <c r="AR27" i="125" s="1"/>
  <c r="AS28" i="125" s="1"/>
  <c r="AT29" i="125" s="1"/>
  <c r="AU30" i="125" s="1"/>
  <c r="AV31" i="125" s="1"/>
  <c r="AW32" i="125" s="1"/>
  <c r="AW6" i="125"/>
  <c r="AW14" i="125" s="1"/>
  <c r="AW6" i="109"/>
  <c r="AW6" i="115"/>
  <c r="AW14" i="115" s="1"/>
  <c r="AZ15" i="126"/>
  <c r="AZ16" i="126" s="1"/>
  <c r="AZ52" i="126"/>
  <c r="AN6" i="109"/>
  <c r="AN6" i="125"/>
  <c r="AN14" i="125" s="1"/>
  <c r="AO15" i="125" s="1"/>
  <c r="AP16" i="125" s="1"/>
  <c r="AQ17" i="125" s="1"/>
  <c r="AR18" i="125" s="1"/>
  <c r="AS19" i="125" s="1"/>
  <c r="AT20" i="125" s="1"/>
  <c r="AU21" i="125" s="1"/>
  <c r="AV22" i="125" s="1"/>
  <c r="AW23" i="125" s="1"/>
  <c r="AQ15" i="126"/>
  <c r="AQ16" i="126" s="1"/>
  <c r="AN6" i="115"/>
  <c r="AN14" i="115" s="1"/>
  <c r="AO15" i="115" s="1"/>
  <c r="AP16" i="115" s="1"/>
  <c r="AQ17" i="115" s="1"/>
  <c r="AR18" i="115" s="1"/>
  <c r="AS19" i="115" s="1"/>
  <c r="AT20" i="115" s="1"/>
  <c r="AU21" i="115" s="1"/>
  <c r="AV22" i="115" s="1"/>
  <c r="AW23" i="115" s="1"/>
  <c r="AH52" i="126"/>
  <c r="AQ52" i="126"/>
  <c r="N52" i="126"/>
  <c r="BA52" i="126"/>
  <c r="X15" i="126"/>
  <c r="X16" i="126" s="1"/>
  <c r="X52" i="126"/>
  <c r="AT6" i="115"/>
  <c r="AT14" i="115" s="1"/>
  <c r="AU15" i="115" s="1"/>
  <c r="AV16" i="115" s="1"/>
  <c r="AW17" i="115" s="1"/>
  <c r="AW52" i="126"/>
  <c r="AW15" i="126"/>
  <c r="AW16" i="126" s="1"/>
  <c r="AT6" i="125"/>
  <c r="AT14" i="125" s="1"/>
  <c r="AU15" i="125" s="1"/>
  <c r="AV16" i="125" s="1"/>
  <c r="AW17" i="125" s="1"/>
  <c r="AT6" i="109"/>
  <c r="AQ6" i="109"/>
  <c r="AQ6" i="115"/>
  <c r="AQ14" i="115" s="1"/>
  <c r="AR15" i="115" s="1"/>
  <c r="AS16" i="115" s="1"/>
  <c r="AT17" i="115" s="1"/>
  <c r="AU18" i="115" s="1"/>
  <c r="AV19" i="115" s="1"/>
  <c r="AW20" i="115" s="1"/>
  <c r="AT15" i="126"/>
  <c r="AT16" i="126" s="1"/>
  <c r="AQ6" i="125"/>
  <c r="AQ14" i="125" s="1"/>
  <c r="AR15" i="125" s="1"/>
  <c r="AS16" i="125" s="1"/>
  <c r="AT17" i="125" s="1"/>
  <c r="AU18" i="125" s="1"/>
  <c r="AV19" i="125" s="1"/>
  <c r="AW20" i="125" s="1"/>
  <c r="AT52" i="126"/>
  <c r="AP15" i="109"/>
  <c r="AP100" i="109" s="1"/>
  <c r="AO14" i="109"/>
  <c r="AO99" i="109" s="1"/>
  <c r="AU16" i="109"/>
  <c r="AU101" i="109" s="1"/>
  <c r="AU17" i="109"/>
  <c r="AU102" i="109" s="1"/>
  <c r="AW24" i="109"/>
  <c r="AW109" i="109" s="1"/>
  <c r="AS15" i="109"/>
  <c r="AS100" i="109" s="1"/>
  <c r="AU15" i="109"/>
  <c r="AU100" i="109" s="1"/>
  <c r="AU20" i="109"/>
  <c r="AU105" i="109" s="1"/>
  <c r="AW23" i="109"/>
  <c r="AW108" i="109" s="1"/>
  <c r="AW22" i="109"/>
  <c r="AW107" i="109" s="1"/>
  <c r="AV17" i="109"/>
  <c r="AV102" i="109" s="1"/>
  <c r="AO15" i="109"/>
  <c r="AO100" i="109" s="1"/>
  <c r="AS20" i="109"/>
  <c r="AS105" i="109" s="1"/>
  <c r="AV18" i="109"/>
  <c r="AV103" i="109" s="1"/>
  <c r="AU19" i="109"/>
  <c r="AU104" i="109" s="1"/>
  <c r="AT17" i="109"/>
  <c r="AT102" i="109" s="1"/>
  <c r="AQ19" i="109"/>
  <c r="AQ104" i="109" s="1"/>
  <c r="AQ17" i="109"/>
  <c r="AQ102" i="109" s="1"/>
  <c r="AW19" i="109"/>
  <c r="AW104" i="109" s="1"/>
  <c r="AT19" i="109"/>
  <c r="AT104" i="109" s="1"/>
  <c r="AT18" i="109"/>
  <c r="AT103" i="109" s="1"/>
  <c r="AW13" i="109"/>
  <c r="AW98" i="109" s="1"/>
  <c r="AS17" i="109"/>
  <c r="AS102" i="109" s="1"/>
  <c r="AV16" i="109"/>
  <c r="AV101" i="109" s="1"/>
  <c r="AW16" i="109"/>
  <c r="AW101" i="109" s="1"/>
  <c r="AV24" i="109"/>
  <c r="AV109" i="109" s="1"/>
  <c r="AU18" i="109"/>
  <c r="AU103" i="109" s="1"/>
  <c r="AV14" i="109"/>
  <c r="AV99" i="109" s="1"/>
  <c r="AU22" i="109"/>
  <c r="AU107" i="109" s="1"/>
  <c r="AW18" i="109"/>
  <c r="AW103" i="109" s="1"/>
  <c r="AS14" i="109"/>
  <c r="AS99" i="109" s="1"/>
  <c r="AS18" i="109"/>
  <c r="AS103" i="109" s="1"/>
  <c r="AN14" i="109"/>
  <c r="AN99" i="109" s="1"/>
  <c r="AW17" i="109"/>
  <c r="AW102" i="109" s="1"/>
  <c r="AP18" i="109"/>
  <c r="AP103" i="109" s="1"/>
  <c r="AT21" i="109"/>
  <c r="AT106" i="109" s="1"/>
  <c r="AR15" i="109"/>
  <c r="AR100" i="109" s="1"/>
  <c r="AU14" i="109"/>
  <c r="AU99" i="109" s="1"/>
  <c r="AW20" i="109"/>
  <c r="AW105" i="109" s="1"/>
  <c r="O8" i="116"/>
  <c r="AA15" i="126"/>
  <c r="AA16" i="126" s="1"/>
  <c r="AA52" i="126"/>
  <c r="AF54" i="126"/>
  <c r="AG54" i="126" s="1"/>
  <c r="AC6" i="115"/>
  <c r="AC14" i="115" s="1"/>
  <c r="AC6" i="125"/>
  <c r="M9" i="116"/>
  <c r="AC6" i="109"/>
  <c r="AF15" i="126"/>
  <c r="AF16" i="126" s="1"/>
  <c r="AM52" i="126"/>
  <c r="AW15" i="125"/>
  <c r="AI30" i="69"/>
  <c r="AG16" i="70"/>
  <c r="AR15" i="126"/>
  <c r="AR16" i="126" s="1"/>
  <c r="AO6" i="115"/>
  <c r="AO14" i="115" s="1"/>
  <c r="AO6" i="109"/>
  <c r="AO6" i="125"/>
  <c r="AO14" i="125" s="1"/>
  <c r="AR52" i="126"/>
  <c r="AT15" i="125"/>
  <c r="AK15" i="126"/>
  <c r="AK16" i="126" s="1"/>
  <c r="AH6" i="115"/>
  <c r="AH14" i="115" s="1"/>
  <c r="AH6" i="109"/>
  <c r="AH6" i="125"/>
  <c r="AH14" i="125" s="1"/>
  <c r="AK52" i="126"/>
  <c r="AS15" i="115"/>
  <c r="AT16" i="115" s="1"/>
  <c r="AU17" i="115" s="1"/>
  <c r="AV18" i="115" s="1"/>
  <c r="AW19" i="115" s="1"/>
  <c r="AU6" i="115"/>
  <c r="AU14" i="115" s="1"/>
  <c r="AU6" i="109"/>
  <c r="AU6" i="125"/>
  <c r="AU14" i="125" s="1"/>
  <c r="AX15" i="126"/>
  <c r="AX16" i="126" s="1"/>
  <c r="AL6" i="109"/>
  <c r="AO15" i="126"/>
  <c r="AO16" i="126" s="1"/>
  <c r="AL6" i="125"/>
  <c r="AL6" i="115"/>
  <c r="AL14" i="115" s="1"/>
  <c r="V9" i="116"/>
  <c r="AQ15" i="125"/>
  <c r="AN15" i="125"/>
  <c r="AT15" i="115"/>
  <c r="D27" i="85"/>
  <c r="R27" i="85" s="1"/>
  <c r="D17" i="57"/>
  <c r="D6" i="85" s="1"/>
  <c r="Y52" i="126"/>
  <c r="P52" i="126"/>
  <c r="F52" i="126"/>
  <c r="S52" i="126"/>
  <c r="AJ6" i="125"/>
  <c r="AJ14" i="125" s="1"/>
  <c r="AM15" i="126"/>
  <c r="AM16" i="126" s="1"/>
  <c r="AJ6" i="109"/>
  <c r="AJ6" i="115"/>
  <c r="AJ14" i="115" s="1"/>
  <c r="AN98" i="109"/>
  <c r="BD46" i="107"/>
  <c r="BC50" i="132"/>
  <c r="BC55" i="132" s="1"/>
  <c r="AO52" i="126"/>
  <c r="AN15" i="115"/>
  <c r="Q15" i="126"/>
  <c r="Q16" i="126" s="1"/>
  <c r="Q52" i="126"/>
  <c r="J52" i="126"/>
  <c r="H52" i="126"/>
  <c r="AG6" i="125"/>
  <c r="AG6" i="115"/>
  <c r="AG14" i="115" s="1"/>
  <c r="AG6" i="109"/>
  <c r="AJ15" i="126"/>
  <c r="AJ16" i="126" s="1"/>
  <c r="AG16" i="109"/>
  <c r="AG101" i="109" s="1"/>
  <c r="AK20" i="109"/>
  <c r="AK105" i="109" s="1"/>
  <c r="AE14" i="109"/>
  <c r="AE99" i="109" s="1"/>
  <c r="AM22" i="109"/>
  <c r="AM107" i="109" s="1"/>
  <c r="AD13" i="109"/>
  <c r="AO24" i="109"/>
  <c r="AO109" i="109" s="1"/>
  <c r="AP25" i="109"/>
  <c r="AN23" i="109"/>
  <c r="AN108" i="109" s="1"/>
  <c r="AL21" i="109"/>
  <c r="AL106" i="109" s="1"/>
  <c r="AI18" i="109"/>
  <c r="AI103" i="109" s="1"/>
  <c r="AJ19" i="109"/>
  <c r="AJ104" i="109" s="1"/>
  <c r="AH17" i="109"/>
  <c r="AH102" i="109" s="1"/>
  <c r="AF15" i="109"/>
  <c r="AF100" i="109" s="1"/>
  <c r="AQ21" i="109"/>
  <c r="AQ106" i="109" s="1"/>
  <c r="AP20" i="109"/>
  <c r="AP105" i="109" s="1"/>
  <c r="AN18" i="109"/>
  <c r="AN103" i="109" s="1"/>
  <c r="AR22" i="109"/>
  <c r="AR107" i="109" s="1"/>
  <c r="AO13" i="109"/>
  <c r="AS23" i="109"/>
  <c r="AS108" i="109" s="1"/>
  <c r="AT24" i="109"/>
  <c r="AT109" i="109" s="1"/>
  <c r="AU25" i="109"/>
  <c r="AU13" i="109"/>
  <c r="AL13" i="109"/>
  <c r="AO19" i="109"/>
  <c r="AO104" i="109" s="1"/>
  <c r="AM17" i="109"/>
  <c r="AM102" i="109" s="1"/>
  <c r="AK15" i="109"/>
  <c r="AK100" i="109" s="1"/>
  <c r="AR13" i="109"/>
  <c r="AJ14" i="109"/>
  <c r="AJ99" i="109" s="1"/>
  <c r="AL16" i="109"/>
  <c r="AL101" i="109" s="1"/>
  <c r="AI13" i="109"/>
  <c r="BF50" i="132"/>
  <c r="BF55" i="132" s="1"/>
  <c r="BG46" i="107"/>
  <c r="W29" i="134"/>
  <c r="W45" i="134" s="1"/>
  <c r="W49" i="134" s="1"/>
  <c r="BA14" i="131"/>
  <c r="BA18" i="131" s="1"/>
  <c r="AC29" i="135"/>
  <c r="AC45" i="135" s="1"/>
  <c r="AC49" i="135" s="1"/>
  <c r="K29" i="136"/>
  <c r="K45" i="136" s="1"/>
  <c r="K49" i="136" s="1"/>
  <c r="AB29" i="136"/>
  <c r="AB45" i="136" s="1"/>
  <c r="AB49" i="136" s="1"/>
  <c r="S29" i="136"/>
  <c r="S45" i="136" s="1"/>
  <c r="S49" i="136" s="1"/>
  <c r="P29" i="133"/>
  <c r="AD29" i="145"/>
  <c r="AA29" i="135"/>
  <c r="AA45" i="135" s="1"/>
  <c r="AA49" i="135" s="1"/>
  <c r="G29" i="134"/>
  <c r="G45" i="134" s="1"/>
  <c r="G49" i="134" s="1"/>
  <c r="M29" i="134"/>
  <c r="M45" i="134" s="1"/>
  <c r="M49" i="134" s="1"/>
  <c r="BM13" i="133"/>
  <c r="BS13" i="133"/>
  <c r="BO13" i="133"/>
  <c r="BR13" i="133"/>
  <c r="BQ13" i="133"/>
  <c r="BP13" i="133"/>
  <c r="BU13" i="133"/>
  <c r="BK13" i="133"/>
  <c r="BN13" i="133"/>
  <c r="BV13" i="133"/>
  <c r="BL13" i="133"/>
  <c r="BT13" i="133"/>
  <c r="S29" i="135"/>
  <c r="S45" i="135" s="1"/>
  <c r="S49" i="135" s="1"/>
  <c r="F29" i="135"/>
  <c r="F45" i="135" s="1"/>
  <c r="F49" i="135" s="1"/>
  <c r="S29" i="132"/>
  <c r="S57" i="132" s="1"/>
  <c r="S63" i="132" s="1"/>
  <c r="AC29" i="134"/>
  <c r="AC45" i="134" s="1"/>
  <c r="AC49" i="134" s="1"/>
  <c r="N29" i="131"/>
  <c r="T29" i="132"/>
  <c r="T57" i="132" s="1"/>
  <c r="T63" i="132" s="1"/>
  <c r="D29" i="134"/>
  <c r="D45" i="134" s="1"/>
  <c r="D49" i="134" s="1"/>
  <c r="M29" i="132"/>
  <c r="M57" i="132" s="1"/>
  <c r="M63" i="132" s="1"/>
  <c r="J29" i="134"/>
  <c r="J45" i="134" s="1"/>
  <c r="J49" i="134" s="1"/>
  <c r="C29" i="132"/>
  <c r="U29" i="134"/>
  <c r="U45" i="134" s="1"/>
  <c r="U49" i="134" s="1"/>
  <c r="Q29" i="132"/>
  <c r="Q57" i="132" s="1"/>
  <c r="Q63" i="132" s="1"/>
  <c r="R29" i="135"/>
  <c r="R45" i="135" s="1"/>
  <c r="R49" i="135" s="1"/>
  <c r="V29" i="133"/>
  <c r="V45" i="133" s="1"/>
  <c r="V49" i="133" s="1"/>
  <c r="X29" i="135"/>
  <c r="X45" i="135" s="1"/>
  <c r="X49" i="135" s="1"/>
  <c r="D29" i="133"/>
  <c r="D45" i="133" s="1"/>
  <c r="D49" i="133" s="1"/>
  <c r="I29" i="132"/>
  <c r="I57" i="132" s="1"/>
  <c r="I63" i="132" s="1"/>
  <c r="I29" i="134"/>
  <c r="I45" i="134" s="1"/>
  <c r="I49" i="134" s="1"/>
  <c r="W29" i="132"/>
  <c r="W57" i="132" s="1"/>
  <c r="W63" i="132" s="1"/>
  <c r="Y29" i="133"/>
  <c r="Y45" i="133" s="1"/>
  <c r="Y49" i="133" s="1"/>
  <c r="O29" i="132"/>
  <c r="O57" i="132" s="1"/>
  <c r="O63" i="132" s="1"/>
  <c r="J29" i="135"/>
  <c r="J45" i="135" s="1"/>
  <c r="J49" i="135" s="1"/>
  <c r="Y29" i="131"/>
  <c r="Q29" i="131"/>
  <c r="S5" i="126" s="1"/>
  <c r="C29" i="131"/>
  <c r="C45" i="131" s="1"/>
  <c r="C49" i="131" s="1"/>
  <c r="K29" i="134"/>
  <c r="K45" i="134" s="1"/>
  <c r="K49" i="134" s="1"/>
  <c r="H29" i="134"/>
  <c r="H45" i="134" s="1"/>
  <c r="H49" i="134" s="1"/>
  <c r="X29" i="132"/>
  <c r="X57" i="132" s="1"/>
  <c r="X63" i="132" s="1"/>
  <c r="T29" i="135"/>
  <c r="T45" i="135" s="1"/>
  <c r="T49" i="135" s="1"/>
  <c r="K29" i="131"/>
  <c r="K45" i="131" s="1"/>
  <c r="K49" i="131" s="1"/>
  <c r="F29" i="134"/>
  <c r="F45" i="134" s="1"/>
  <c r="F49" i="134" s="1"/>
  <c r="G29" i="136"/>
  <c r="G45" i="136" s="1"/>
  <c r="G49" i="136" s="1"/>
  <c r="X29" i="134"/>
  <c r="X45" i="134" s="1"/>
  <c r="X49" i="134" s="1"/>
  <c r="AC29" i="131"/>
  <c r="AE5" i="126" s="1"/>
  <c r="AE10" i="126" s="1"/>
  <c r="AE17" i="126" s="1"/>
  <c r="AD45" i="107" s="1"/>
  <c r="AB111" i="109" s="1"/>
  <c r="AB147" i="109" s="1"/>
  <c r="S29" i="133"/>
  <c r="L29" i="133"/>
  <c r="L45" i="133" s="1"/>
  <c r="L49" i="133" s="1"/>
  <c r="AZ14" i="131"/>
  <c r="AZ18" i="131" s="1"/>
  <c r="G29" i="132"/>
  <c r="G57" i="132" s="1"/>
  <c r="G63" i="132" s="1"/>
  <c r="AB29" i="135"/>
  <c r="N29" i="135"/>
  <c r="N45" i="135" s="1"/>
  <c r="N49" i="135" s="1"/>
  <c r="Q29" i="134"/>
  <c r="Q45" i="134" s="1"/>
  <c r="Q49" i="134" s="1"/>
  <c r="Y29" i="134"/>
  <c r="Y45" i="134" s="1"/>
  <c r="Y49" i="134" s="1"/>
  <c r="O29" i="136"/>
  <c r="O45" i="136" s="1"/>
  <c r="O49" i="136" s="1"/>
  <c r="I29" i="133"/>
  <c r="I45" i="133" s="1"/>
  <c r="I49" i="133" s="1"/>
  <c r="L29" i="131"/>
  <c r="L29" i="134"/>
  <c r="L45" i="134" s="1"/>
  <c r="L49" i="134" s="1"/>
  <c r="V29" i="134"/>
  <c r="BD14" i="131"/>
  <c r="BD18" i="131" s="1"/>
  <c r="J29" i="136"/>
  <c r="J45" i="136" s="1"/>
  <c r="J49" i="136" s="1"/>
  <c r="BM15" i="144"/>
  <c r="BU15" i="135"/>
  <c r="BK15" i="132"/>
  <c r="BS15" i="134"/>
  <c r="BQ15" i="136"/>
  <c r="BU15" i="144"/>
  <c r="BU15" i="136"/>
  <c r="BR15" i="132"/>
  <c r="BT15" i="133"/>
  <c r="BP15" i="135"/>
  <c r="BQ15" i="144"/>
  <c r="BT15" i="135"/>
  <c r="BV15" i="134"/>
  <c r="BK15" i="136"/>
  <c r="BT15" i="144"/>
  <c r="BM15" i="136"/>
  <c r="BU15" i="133"/>
  <c r="BN15" i="136"/>
  <c r="BL15" i="131"/>
  <c r="BN15" i="131"/>
  <c r="BR15" i="144"/>
  <c r="BM15" i="134"/>
  <c r="BO15" i="132"/>
  <c r="BV15" i="135"/>
  <c r="BT15" i="132"/>
  <c r="BS15" i="131"/>
  <c r="BS15" i="144"/>
  <c r="BM15" i="135"/>
  <c r="BK13" i="131"/>
  <c r="BV13" i="131"/>
  <c r="BP15" i="136"/>
  <c r="BL15" i="135"/>
  <c r="BR15" i="133"/>
  <c r="BS15" i="136"/>
  <c r="BO15" i="135"/>
  <c r="BS15" i="135"/>
  <c r="BU15" i="134"/>
  <c r="BP15" i="132"/>
  <c r="BR15" i="131"/>
  <c r="BV15" i="131"/>
  <c r="BK15" i="135"/>
  <c r="BO15" i="133"/>
  <c r="BV15" i="132"/>
  <c r="BR15" i="136"/>
  <c r="BK15" i="133"/>
  <c r="BL15" i="133"/>
  <c r="BN15" i="135"/>
  <c r="BK15" i="144"/>
  <c r="BN15" i="133"/>
  <c r="BP15" i="133"/>
  <c r="BV15" i="136"/>
  <c r="BP15" i="134"/>
  <c r="BL15" i="134"/>
  <c r="BT15" i="131"/>
  <c r="BU15" i="131"/>
  <c r="BR15" i="134"/>
  <c r="BL15" i="144"/>
  <c r="BK15" i="134"/>
  <c r="BN15" i="144"/>
  <c r="BS15" i="132"/>
  <c r="BT15" i="136"/>
  <c r="BO15" i="144"/>
  <c r="BK15" i="131"/>
  <c r="BL13" i="131"/>
  <c r="BM13" i="131" s="1"/>
  <c r="BO15" i="134"/>
  <c r="BT15" i="134"/>
  <c r="BO15" i="136"/>
  <c r="BV15" i="144"/>
  <c r="BV15" i="133"/>
  <c r="BM15" i="133"/>
  <c r="BL15" i="132"/>
  <c r="BP15" i="144"/>
  <c r="BQ15" i="132"/>
  <c r="BS15" i="133"/>
  <c r="BQ15" i="134"/>
  <c r="BL15" i="136"/>
  <c r="BQ15" i="135"/>
  <c r="BQ15" i="131"/>
  <c r="BO15" i="131"/>
  <c r="BQ15" i="133"/>
  <c r="BU15" i="132"/>
  <c r="BR15" i="135"/>
  <c r="BN15" i="134"/>
  <c r="BN15" i="132"/>
  <c r="BM15" i="132"/>
  <c r="BP15" i="131"/>
  <c r="BM15" i="131"/>
  <c r="BU13" i="132"/>
  <c r="BP13" i="132"/>
  <c r="K29" i="132"/>
  <c r="K57" i="132" s="1"/>
  <c r="K63" i="132" s="1"/>
  <c r="BS13" i="136"/>
  <c r="BM13" i="136"/>
  <c r="BV13" i="136"/>
  <c r="BK13" i="136"/>
  <c r="BP13" i="136"/>
  <c r="BO13" i="136"/>
  <c r="BR13" i="136"/>
  <c r="BK13" i="134"/>
  <c r="BM13" i="134"/>
  <c r="BS13" i="134"/>
  <c r="BP13" i="134"/>
  <c r="BO13" i="134"/>
  <c r="BT13" i="134"/>
  <c r="BR13" i="134"/>
  <c r="BV13" i="134"/>
  <c r="BN13" i="134"/>
  <c r="BU13" i="134"/>
  <c r="BQ13" i="134"/>
  <c r="BL13" i="134"/>
  <c r="BL14" i="134" s="1"/>
  <c r="BL18" i="134" s="1"/>
  <c r="E29" i="132"/>
  <c r="E57" i="132" s="1"/>
  <c r="E63" i="132" s="1"/>
  <c r="P29" i="135"/>
  <c r="P45" i="135" s="1"/>
  <c r="P49" i="135" s="1"/>
  <c r="O29" i="131"/>
  <c r="O45" i="131" s="1"/>
  <c r="O49" i="131" s="1"/>
  <c r="X54" i="145"/>
  <c r="X58" i="145" s="1"/>
  <c r="V29" i="135"/>
  <c r="V45" i="135" s="1"/>
  <c r="V49" i="135" s="1"/>
  <c r="R29" i="131"/>
  <c r="R45" i="131" s="1"/>
  <c r="R49" i="131" s="1"/>
  <c r="G29" i="131"/>
  <c r="G45" i="131" s="1"/>
  <c r="G49" i="131" s="1"/>
  <c r="U29" i="132"/>
  <c r="U57" i="132" s="1"/>
  <c r="U63" i="132" s="1"/>
  <c r="AD21" i="135"/>
  <c r="P29" i="134"/>
  <c r="P45" i="134" s="1"/>
  <c r="P49" i="134" s="1"/>
  <c r="AE7" i="144"/>
  <c r="AF7" i="144" s="1"/>
  <c r="AG7" i="144" s="1"/>
  <c r="AD12" i="61"/>
  <c r="D34" i="57"/>
  <c r="Z29" i="135"/>
  <c r="Z45" i="135" s="1"/>
  <c r="Z49" i="135" s="1"/>
  <c r="F29" i="133"/>
  <c r="F45" i="133" s="1"/>
  <c r="F49" i="133" s="1"/>
  <c r="Z29" i="132"/>
  <c r="Z57" i="132" s="1"/>
  <c r="Z63" i="132" s="1"/>
  <c r="E29" i="133"/>
  <c r="E45" i="133" s="1"/>
  <c r="E49" i="133" s="1"/>
  <c r="N29" i="133"/>
  <c r="N45" i="133" s="1"/>
  <c r="N49" i="133" s="1"/>
  <c r="BM12" i="135"/>
  <c r="AE7" i="145"/>
  <c r="AF7" i="145" s="1"/>
  <c r="V29" i="136"/>
  <c r="V45" i="136" s="1"/>
  <c r="V49" i="136" s="1"/>
  <c r="AR12" i="133"/>
  <c r="AS12" i="133" s="1"/>
  <c r="AN14" i="133"/>
  <c r="AN18" i="133" s="1"/>
  <c r="AO14" i="133"/>
  <c r="AO18" i="133" s="1"/>
  <c r="AP14" i="133"/>
  <c r="AP18" i="133" s="1"/>
  <c r="AP14" i="136"/>
  <c r="AP18" i="136" s="1"/>
  <c r="AO14" i="136"/>
  <c r="AO18" i="136" s="1"/>
  <c r="BP14" i="144"/>
  <c r="BP18" i="144" s="1"/>
  <c r="I29" i="131"/>
  <c r="K5" i="126" s="1"/>
  <c r="K10" i="126" s="1"/>
  <c r="K17" i="126" s="1"/>
  <c r="M29" i="131"/>
  <c r="M45" i="131" s="1"/>
  <c r="M49" i="131" s="1"/>
  <c r="BJ16" i="136"/>
  <c r="BJ17" i="136" s="1"/>
  <c r="X29" i="131"/>
  <c r="X45" i="131" s="1"/>
  <c r="X49" i="131" s="1"/>
  <c r="T29" i="131"/>
  <c r="E5" i="126"/>
  <c r="E10" i="126" s="1"/>
  <c r="E17" i="126" s="1"/>
  <c r="C57" i="132"/>
  <c r="C63" i="132" s="1"/>
  <c r="AD10" i="61"/>
  <c r="AN14" i="136"/>
  <c r="AN18" i="136" s="1"/>
  <c r="AY16" i="136"/>
  <c r="AY17" i="136" s="1"/>
  <c r="W29" i="131"/>
  <c r="Y5" i="126" s="1"/>
  <c r="Y10" i="126" s="1"/>
  <c r="Y17" i="126" s="1"/>
  <c r="X45" i="107" s="1"/>
  <c r="V111" i="109" s="1"/>
  <c r="V147" i="109" s="1"/>
  <c r="BP14" i="132"/>
  <c r="BP18" i="132" s="1"/>
  <c r="BM12" i="134"/>
  <c r="BN12" i="134" s="1"/>
  <c r="BO12" i="134" s="1"/>
  <c r="AE7" i="133"/>
  <c r="AE21" i="133" s="1"/>
  <c r="AD9" i="61"/>
  <c r="BN14" i="144"/>
  <c r="BN18" i="144" s="1"/>
  <c r="BO14" i="144"/>
  <c r="BO18" i="144" s="1"/>
  <c r="AN14" i="134"/>
  <c r="AN18" i="134" s="1"/>
  <c r="Z29" i="133"/>
  <c r="Z45" i="133" s="1"/>
  <c r="Z49" i="133" s="1"/>
  <c r="U29" i="131"/>
  <c r="U45" i="131" s="1"/>
  <c r="U49" i="131" s="1"/>
  <c r="Z29" i="131"/>
  <c r="Z45" i="131" s="1"/>
  <c r="Z49" i="131" s="1"/>
  <c r="U29" i="133"/>
  <c r="U45" i="133" s="1"/>
  <c r="U49" i="133" s="1"/>
  <c r="R29" i="132"/>
  <c r="R57" i="132" s="1"/>
  <c r="R63" i="132" s="1"/>
  <c r="H29" i="132"/>
  <c r="H57" i="132" s="1"/>
  <c r="H63" i="132" s="1"/>
  <c r="L29" i="132"/>
  <c r="L57" i="132" s="1"/>
  <c r="L63" i="132" s="1"/>
  <c r="V29" i="132"/>
  <c r="V57" i="132" s="1"/>
  <c r="V63" i="132" s="1"/>
  <c r="AE7" i="134"/>
  <c r="AE21" i="134" s="1"/>
  <c r="BA12" i="134"/>
  <c r="BA14" i="134" s="1"/>
  <c r="BA18" i="134" s="1"/>
  <c r="H29" i="133"/>
  <c r="H45" i="133" s="1"/>
  <c r="H49" i="133" s="1"/>
  <c r="F29" i="132"/>
  <c r="F57" i="132" s="1"/>
  <c r="F63" i="132" s="1"/>
  <c r="R29" i="133"/>
  <c r="R45" i="133" s="1"/>
  <c r="R49" i="133" s="1"/>
  <c r="Q29" i="133"/>
  <c r="Q45" i="133" s="1"/>
  <c r="Q49" i="133" s="1"/>
  <c r="Y29" i="132"/>
  <c r="Y57" i="132" s="1"/>
  <c r="Y63" i="132" s="1"/>
  <c r="J29" i="133"/>
  <c r="J45" i="133" s="1"/>
  <c r="J49" i="133" s="1"/>
  <c r="H29" i="131"/>
  <c r="N29" i="132"/>
  <c r="N57" i="132" s="1"/>
  <c r="N63" i="132" s="1"/>
  <c r="I44" i="57"/>
  <c r="AD7" i="61"/>
  <c r="I34" i="57"/>
  <c r="AE7" i="136"/>
  <c r="AE10" i="61" s="1"/>
  <c r="AD11" i="61"/>
  <c r="AE12" i="61"/>
  <c r="U5" i="126"/>
  <c r="U10" i="126" s="1"/>
  <c r="U17" i="126" s="1"/>
  <c r="T45" i="107" s="1"/>
  <c r="R111" i="109" s="1"/>
  <c r="R147" i="109" s="1"/>
  <c r="AC5" i="126"/>
  <c r="AC10" i="126" s="1"/>
  <c r="AC17" i="126" s="1"/>
  <c r="AB45" i="107" s="1"/>
  <c r="Z111" i="109" s="1"/>
  <c r="Z147" i="109" s="1"/>
  <c r="AE7" i="132"/>
  <c r="AE8" i="61" s="1"/>
  <c r="J29" i="132"/>
  <c r="J57" i="132" s="1"/>
  <c r="J63" i="132" s="1"/>
  <c r="G29" i="133"/>
  <c r="G45" i="133" s="1"/>
  <c r="G49" i="133" s="1"/>
  <c r="P29" i="132"/>
  <c r="P57" i="132" s="1"/>
  <c r="P63" i="132" s="1"/>
  <c r="M29" i="133"/>
  <c r="M45" i="133" s="1"/>
  <c r="M49" i="133" s="1"/>
  <c r="J29" i="131"/>
  <c r="F29" i="131"/>
  <c r="F45" i="131" s="1"/>
  <c r="F49" i="131" s="1"/>
  <c r="AD8" i="61"/>
  <c r="Z49" i="136"/>
  <c r="AC45" i="131"/>
  <c r="AC49" i="131" s="1"/>
  <c r="BM14" i="132"/>
  <c r="BM18" i="132" s="1"/>
  <c r="AE7" i="131"/>
  <c r="AE21" i="131" s="1"/>
  <c r="AF7" i="135"/>
  <c r="AF12" i="61" s="1"/>
  <c r="AN14" i="132"/>
  <c r="AN18" i="132" s="1"/>
  <c r="E39" i="57"/>
  <c r="D29" i="132"/>
  <c r="D57" i="132" s="1"/>
  <c r="D63" i="132" s="1"/>
  <c r="P29" i="131"/>
  <c r="P45" i="131" s="1"/>
  <c r="P49" i="131" s="1"/>
  <c r="AD18" i="133"/>
  <c r="AD19" i="133"/>
  <c r="BL14" i="132"/>
  <c r="BL18" i="132" s="1"/>
  <c r="BA14" i="132"/>
  <c r="BA18" i="132" s="1"/>
  <c r="BN14" i="132"/>
  <c r="BN18" i="132" s="1"/>
  <c r="AZ14" i="132"/>
  <c r="AZ18" i="132" s="1"/>
  <c r="W54" i="145"/>
  <c r="W58" i="145" s="1"/>
  <c r="BC16" i="144"/>
  <c r="BC17" i="144" s="1"/>
  <c r="BE16" i="144"/>
  <c r="BE17" i="144" s="1"/>
  <c r="AY16" i="144"/>
  <c r="AY17" i="144" s="1"/>
  <c r="BI16" i="144"/>
  <c r="BI17" i="144" s="1"/>
  <c r="BJ16" i="144"/>
  <c r="BJ17" i="144" s="1"/>
  <c r="BB16" i="135"/>
  <c r="BB17" i="135" s="1"/>
  <c r="BJ16" i="135"/>
  <c r="BJ17" i="135" s="1"/>
  <c r="BC16" i="136"/>
  <c r="BC17" i="136" s="1"/>
  <c r="BI16" i="136"/>
  <c r="BI17" i="136" s="1"/>
  <c r="BD16" i="136"/>
  <c r="BD17" i="136" s="1"/>
  <c r="BH16" i="135"/>
  <c r="BH17" i="135" s="1"/>
  <c r="BE16" i="134"/>
  <c r="BE17" i="134" s="1"/>
  <c r="BJ16" i="134"/>
  <c r="BJ17" i="134" s="1"/>
  <c r="BB16" i="134"/>
  <c r="BB17" i="134" s="1"/>
  <c r="BB16" i="132"/>
  <c r="BB17" i="132" s="1"/>
  <c r="AY16" i="132"/>
  <c r="AY17" i="132" s="1"/>
  <c r="BA16" i="132"/>
  <c r="BA17" i="132" s="1"/>
  <c r="BC16" i="132"/>
  <c r="BC17" i="132" s="1"/>
  <c r="AZ16" i="132"/>
  <c r="AZ17" i="132" s="1"/>
  <c r="BG16" i="132"/>
  <c r="BG17" i="132" s="1"/>
  <c r="BF16" i="131"/>
  <c r="BF17" i="131" s="1"/>
  <c r="AZ16" i="131"/>
  <c r="AZ17" i="131" s="1"/>
  <c r="BG16" i="131"/>
  <c r="BG17" i="131" s="1"/>
  <c r="AZ12" i="136"/>
  <c r="R7" i="129"/>
  <c r="BE16" i="136"/>
  <c r="BE17" i="136" s="1"/>
  <c r="BH16" i="136"/>
  <c r="BH17" i="136" s="1"/>
  <c r="BI16" i="134"/>
  <c r="BI17" i="134" s="1"/>
  <c r="BG16" i="134"/>
  <c r="BG17" i="134" s="1"/>
  <c r="BA16" i="134"/>
  <c r="BA17" i="134" s="1"/>
  <c r="BG16" i="133"/>
  <c r="BG17" i="133" s="1"/>
  <c r="AZ16" i="133"/>
  <c r="AZ17" i="133" s="1"/>
  <c r="BJ16" i="133"/>
  <c r="BJ17" i="133" s="1"/>
  <c r="BD16" i="133"/>
  <c r="BD17" i="133" s="1"/>
  <c r="BI16" i="133"/>
  <c r="BI17" i="133" s="1"/>
  <c r="BH16" i="133"/>
  <c r="BH17" i="133" s="1"/>
  <c r="BH16" i="131"/>
  <c r="BH17" i="131" s="1"/>
  <c r="BI16" i="131"/>
  <c r="BI17" i="131" s="1"/>
  <c r="AY16" i="131"/>
  <c r="AY17" i="131" s="1"/>
  <c r="BA16" i="144"/>
  <c r="BA17" i="144" s="1"/>
  <c r="BF16" i="144"/>
  <c r="BF17" i="144" s="1"/>
  <c r="BG16" i="136"/>
  <c r="BG17" i="136" s="1"/>
  <c r="BI16" i="135"/>
  <c r="BI17" i="135" s="1"/>
  <c r="BA16" i="135"/>
  <c r="BA17" i="135" s="1"/>
  <c r="BC16" i="134"/>
  <c r="BC17" i="134" s="1"/>
  <c r="BF16" i="132"/>
  <c r="BF17" i="132" s="1"/>
  <c r="BE16" i="132"/>
  <c r="BE17" i="132" s="1"/>
  <c r="BD16" i="132"/>
  <c r="BD17" i="132" s="1"/>
  <c r="BD16" i="131"/>
  <c r="BD17" i="131" s="1"/>
  <c r="BB16" i="131"/>
  <c r="BB17" i="131" s="1"/>
  <c r="BB16" i="144"/>
  <c r="BB17" i="144" s="1"/>
  <c r="BD16" i="135"/>
  <c r="BD17" i="135" s="1"/>
  <c r="AY16" i="134"/>
  <c r="AY17" i="134" s="1"/>
  <c r="BC16" i="133"/>
  <c r="BC17" i="133" s="1"/>
  <c r="BE16" i="133"/>
  <c r="BE17" i="133" s="1"/>
  <c r="BE16" i="131"/>
  <c r="BE17" i="131" s="1"/>
  <c r="BC16" i="135"/>
  <c r="BC17" i="135" s="1"/>
  <c r="BB16" i="136"/>
  <c r="BB17" i="136" s="1"/>
  <c r="BF16" i="133"/>
  <c r="BF17" i="133" s="1"/>
  <c r="BA16" i="131"/>
  <c r="BA17" i="131" s="1"/>
  <c r="BD16" i="144"/>
  <c r="BD17" i="144" s="1"/>
  <c r="BA16" i="136"/>
  <c r="BA17" i="136" s="1"/>
  <c r="BJ16" i="132"/>
  <c r="BJ17" i="132" s="1"/>
  <c r="BG16" i="144"/>
  <c r="BG17" i="144" s="1"/>
  <c r="BF16" i="135"/>
  <c r="BF17" i="135" s="1"/>
  <c r="BG16" i="135"/>
  <c r="BG17" i="135" s="1"/>
  <c r="AZ16" i="135"/>
  <c r="AZ17" i="135" s="1"/>
  <c r="BH16" i="134"/>
  <c r="BH17" i="134" s="1"/>
  <c r="BD16" i="134"/>
  <c r="BD17" i="134" s="1"/>
  <c r="AY16" i="133"/>
  <c r="AY17" i="133" s="1"/>
  <c r="BB16" i="133"/>
  <c r="BB17" i="133" s="1"/>
  <c r="BA16" i="133"/>
  <c r="BA17" i="133" s="1"/>
  <c r="BJ16" i="131"/>
  <c r="BJ17" i="131" s="1"/>
  <c r="BF16" i="136"/>
  <c r="BF17" i="136" s="1"/>
  <c r="BF16" i="134"/>
  <c r="BF17" i="134" s="1"/>
  <c r="BH16" i="132"/>
  <c r="BH17" i="132" s="1"/>
  <c r="BE16" i="135"/>
  <c r="BE17" i="135" s="1"/>
  <c r="AZ16" i="134"/>
  <c r="AZ17" i="134" s="1"/>
  <c r="BI16" i="132"/>
  <c r="BI17" i="132" s="1"/>
  <c r="BC16" i="131"/>
  <c r="BC17" i="131" s="1"/>
  <c r="BO14" i="132"/>
  <c r="BO18" i="132" s="1"/>
  <c r="D39" i="57"/>
  <c r="AZ16" i="144"/>
  <c r="AZ17" i="144" s="1"/>
  <c r="AZ16" i="136"/>
  <c r="AZ17" i="136" s="1"/>
  <c r="BD12" i="132"/>
  <c r="BE12" i="132" s="1"/>
  <c r="BB14" i="132"/>
  <c r="BB18" i="132" s="1"/>
  <c r="G61" i="34"/>
  <c r="AY16" i="135"/>
  <c r="AY17" i="135" s="1"/>
  <c r="BH16" i="144"/>
  <c r="BH17" i="144" s="1"/>
  <c r="AZ12" i="133"/>
  <c r="R43" i="129"/>
  <c r="BL12" i="133" s="1"/>
  <c r="AZ14" i="135"/>
  <c r="AZ18" i="135" s="1"/>
  <c r="BA12" i="135"/>
  <c r="AO27" i="134"/>
  <c r="AQ27" i="134" s="1"/>
  <c r="AP27" i="134"/>
  <c r="AR14" i="133"/>
  <c r="AR18" i="133" s="1"/>
  <c r="BE14" i="131"/>
  <c r="BE18" i="131" s="1"/>
  <c r="BB14" i="131"/>
  <c r="BB18" i="131" s="1"/>
  <c r="O29" i="134"/>
  <c r="O45" i="134" s="1"/>
  <c r="O49" i="134" s="1"/>
  <c r="N29" i="134"/>
  <c r="N45" i="134" s="1"/>
  <c r="N49" i="134" s="1"/>
  <c r="T29" i="134"/>
  <c r="T45" i="134" s="1"/>
  <c r="T49" i="134" s="1"/>
  <c r="S29" i="134"/>
  <c r="S45" i="134" s="1"/>
  <c r="S49" i="134" s="1"/>
  <c r="E29" i="134"/>
  <c r="E45" i="134" s="1"/>
  <c r="E49" i="134" s="1"/>
  <c r="Z29" i="134"/>
  <c r="Z45" i="134" s="1"/>
  <c r="Z49" i="134" s="1"/>
  <c r="C29" i="134"/>
  <c r="C45" i="134" s="1"/>
  <c r="C49" i="134" s="1"/>
  <c r="R29" i="134"/>
  <c r="R45" i="134" s="1"/>
  <c r="R49" i="134" s="1"/>
  <c r="L45" i="131"/>
  <c r="L49" i="131" s="1"/>
  <c r="AG27" i="132"/>
  <c r="AG27" i="131"/>
  <c r="AI27" i="131" s="1"/>
  <c r="AF36" i="133"/>
  <c r="AH36" i="133" s="1"/>
  <c r="AG36" i="133"/>
  <c r="AB22" i="11"/>
  <c r="AD44" i="34" s="1"/>
  <c r="K39" i="57" s="1"/>
  <c r="AF1579" i="123"/>
  <c r="AF1582" i="123" s="1"/>
  <c r="AB45" i="133"/>
  <c r="AB49" i="133" s="1"/>
  <c r="W49" i="133"/>
  <c r="AB45" i="135"/>
  <c r="AB49" i="135" s="1"/>
  <c r="U54" i="145"/>
  <c r="U58" i="145" s="1"/>
  <c r="AE33" i="133"/>
  <c r="F39" i="57"/>
  <c r="S45" i="133"/>
  <c r="S49" i="133" s="1"/>
  <c r="X49" i="133"/>
  <c r="N54" i="145"/>
  <c r="AH34" i="133"/>
  <c r="I39" i="57"/>
  <c r="P45" i="133"/>
  <c r="P49" i="133" s="1"/>
  <c r="H54" i="145"/>
  <c r="K54" i="145"/>
  <c r="H39" i="57"/>
  <c r="V45" i="134"/>
  <c r="V49" i="134" s="1"/>
  <c r="AJ27" i="135"/>
  <c r="J39" i="57"/>
  <c r="F38" i="58"/>
  <c r="E38" i="58"/>
  <c r="D43" i="58"/>
  <c r="P43" i="58" s="1"/>
  <c r="R43" i="58" s="1"/>
  <c r="Q38" i="34"/>
  <c r="O19" i="11"/>
  <c r="Q43" i="34"/>
  <c r="O23" i="11"/>
  <c r="AF42" i="133"/>
  <c r="AD49" i="34"/>
  <c r="AD61" i="34" s="1"/>
  <c r="AB38" i="11"/>
  <c r="AC38" i="34"/>
  <c r="AA19" i="11"/>
  <c r="J34" i="57"/>
  <c r="G39" i="57"/>
  <c r="E43" i="58"/>
  <c r="F43" i="58"/>
  <c r="F44" i="58" s="1"/>
  <c r="S38" i="34"/>
  <c r="S40" i="34" s="1"/>
  <c r="Q19" i="11"/>
  <c r="F43" i="34"/>
  <c r="F45" i="34" s="1"/>
  <c r="D23" i="11"/>
  <c r="AK36" i="144"/>
  <c r="AE1579" i="123"/>
  <c r="AE1582" i="123" s="1"/>
  <c r="AA37" i="11"/>
  <c r="AC60" i="34" s="1"/>
  <c r="R38" i="34"/>
  <c r="R40" i="34" s="1"/>
  <c r="P19" i="11"/>
  <c r="M43" i="34"/>
  <c r="M45" i="34" s="1"/>
  <c r="K23" i="11"/>
  <c r="U38" i="34"/>
  <c r="U40" i="34" s="1"/>
  <c r="S19" i="11"/>
  <c r="F49" i="34"/>
  <c r="D38" i="11"/>
  <c r="AA38" i="34"/>
  <c r="AA40" i="34" s="1"/>
  <c r="Y19" i="11"/>
  <c r="Z43" i="34"/>
  <c r="Z45" i="34" s="1"/>
  <c r="X23" i="11"/>
  <c r="K49" i="34"/>
  <c r="I38" i="11"/>
  <c r="N49" i="34"/>
  <c r="L38" i="11"/>
  <c r="W38" i="34"/>
  <c r="U19" i="11"/>
  <c r="D21" i="58"/>
  <c r="P19" i="58"/>
  <c r="R19" i="58" s="1"/>
  <c r="AH27" i="131"/>
  <c r="AG27" i="144"/>
  <c r="AI27" i="144" s="1"/>
  <c r="AG27" i="145"/>
  <c r="AK27" i="145" s="1"/>
  <c r="AM27" i="145" s="1"/>
  <c r="AF35" i="144"/>
  <c r="AE38" i="144"/>
  <c r="AL36" i="144"/>
  <c r="AF38" i="145"/>
  <c r="AE32" i="145"/>
  <c r="BP10" i="11"/>
  <c r="BR26" i="34"/>
  <c r="BR30" i="34" s="1"/>
  <c r="BR33" i="34" s="1"/>
  <c r="BR34" i="34" s="1"/>
  <c r="BT22" i="34"/>
  <c r="Y15" i="57"/>
  <c r="Y17" i="57" s="1"/>
  <c r="AE28" i="145"/>
  <c r="AE25" i="145"/>
  <c r="BM30" i="34"/>
  <c r="BM33" i="34" s="1"/>
  <c r="BM34" i="34" s="1"/>
  <c r="W21" i="57"/>
  <c r="W25" i="57" s="1"/>
  <c r="W28" i="57" s="1"/>
  <c r="W29" i="57" s="1"/>
  <c r="BS1579" i="123"/>
  <c r="BV30" i="34"/>
  <c r="BV33" i="34" s="1"/>
  <c r="BV34" i="34" s="1"/>
  <c r="AH35" i="135"/>
  <c r="AE26" i="136"/>
  <c r="T48" i="34"/>
  <c r="H43" i="57" s="1"/>
  <c r="C55" i="57"/>
  <c r="L43" i="34"/>
  <c r="L45" i="34" s="1"/>
  <c r="J23" i="11"/>
  <c r="P38" i="34"/>
  <c r="P40" i="34" s="1"/>
  <c r="N19" i="11"/>
  <c r="AB38" i="34"/>
  <c r="AB40" i="34" s="1"/>
  <c r="Z19" i="11"/>
  <c r="R43" i="34"/>
  <c r="R45" i="34" s="1"/>
  <c r="P23" i="11"/>
  <c r="P49" i="11"/>
  <c r="X48" i="34"/>
  <c r="BK1579" i="123"/>
  <c r="BM1579" i="123"/>
  <c r="E61" i="34"/>
  <c r="M39" i="34"/>
  <c r="E34" i="57" s="1"/>
  <c r="L45" i="107"/>
  <c r="AD38" i="34"/>
  <c r="AD40" i="34" s="1"/>
  <c r="AB19" i="11"/>
  <c r="F38" i="34"/>
  <c r="F40" i="34" s="1"/>
  <c r="D19" i="11"/>
  <c r="E45" i="107" s="1"/>
  <c r="J38" i="34"/>
  <c r="J40" i="34" s="1"/>
  <c r="H19" i="11"/>
  <c r="I45" i="107" s="1"/>
  <c r="F34" i="57"/>
  <c r="N43" i="34"/>
  <c r="L23" i="11"/>
  <c r="T38" i="34"/>
  <c r="R19" i="11"/>
  <c r="BJ22" i="34"/>
  <c r="V15" i="57"/>
  <c r="V17" i="57" s="1"/>
  <c r="AG26" i="132"/>
  <c r="AE28" i="133"/>
  <c r="AF28" i="133" s="1"/>
  <c r="AF24" i="134"/>
  <c r="AG38" i="131"/>
  <c r="AI38" i="131" s="1"/>
  <c r="AF38" i="135"/>
  <c r="AE38" i="135"/>
  <c r="T1579" i="123"/>
  <c r="T1582" i="123" s="1"/>
  <c r="Y1579" i="123"/>
  <c r="Y1582" i="123" s="1"/>
  <c r="G49" i="11"/>
  <c r="D49" i="11"/>
  <c r="AC38" i="11"/>
  <c r="AE48" i="34"/>
  <c r="K43" i="57" s="1"/>
  <c r="AD43" i="136"/>
  <c r="R1579" i="123"/>
  <c r="T51" i="58"/>
  <c r="H51" i="58"/>
  <c r="O47" i="57"/>
  <c r="T54" i="58"/>
  <c r="H54" i="58"/>
  <c r="O50" i="57"/>
  <c r="C38" i="11"/>
  <c r="AC55" i="132"/>
  <c r="G26" i="34"/>
  <c r="E10" i="11"/>
  <c r="E49" i="11" s="1"/>
  <c r="C39" i="57"/>
  <c r="K38" i="34"/>
  <c r="I19" i="11"/>
  <c r="J45" i="107" s="1"/>
  <c r="K52" i="57"/>
  <c r="G56" i="58"/>
  <c r="S56" i="58"/>
  <c r="K46" i="57"/>
  <c r="S50" i="58"/>
  <c r="AE61" i="34"/>
  <c r="Q47" i="57"/>
  <c r="Q48" i="57"/>
  <c r="Q55" i="57"/>
  <c r="U22" i="57"/>
  <c r="BG22" i="34"/>
  <c r="U15" i="57"/>
  <c r="U17" i="57" s="1"/>
  <c r="U45" i="57"/>
  <c r="BL9" i="69"/>
  <c r="BL13" i="70" s="1"/>
  <c r="BK33" i="34"/>
  <c r="BK34" i="34" s="1"/>
  <c r="T38" i="11"/>
  <c r="S1579" i="123"/>
  <c r="S1582" i="123" s="1"/>
  <c r="O22" i="34"/>
  <c r="F15" i="57"/>
  <c r="F17" i="57" s="1"/>
  <c r="O38" i="34"/>
  <c r="O40" i="34" s="1"/>
  <c r="M19" i="11"/>
  <c r="U10" i="11"/>
  <c r="U49" i="11" s="1"/>
  <c r="W26" i="34"/>
  <c r="Y10" i="11"/>
  <c r="Y49" i="11" s="1"/>
  <c r="AA26" i="34"/>
  <c r="AA48" i="34"/>
  <c r="Y38" i="11"/>
  <c r="J49" i="57"/>
  <c r="AA61" i="34"/>
  <c r="U59" i="58"/>
  <c r="AE32" i="131"/>
  <c r="P53" i="57"/>
  <c r="I56" i="58"/>
  <c r="S52" i="57"/>
  <c r="U56" i="58"/>
  <c r="S49" i="57"/>
  <c r="U53" i="58"/>
  <c r="I53" i="58"/>
  <c r="S23" i="57"/>
  <c r="I27" i="58"/>
  <c r="U27" i="58"/>
  <c r="G15" i="57"/>
  <c r="G17" i="57" s="1"/>
  <c r="E19" i="58"/>
  <c r="E21" i="58" s="1"/>
  <c r="F19" i="58"/>
  <c r="F21" i="58" s="1"/>
  <c r="Q22" i="34"/>
  <c r="G53" i="57"/>
  <c r="E57" i="58"/>
  <c r="F57" i="58"/>
  <c r="E58" i="58"/>
  <c r="F58" i="58"/>
  <c r="G54" i="57"/>
  <c r="G34" i="57"/>
  <c r="C24" i="57"/>
  <c r="T56" i="58"/>
  <c r="L49" i="11"/>
  <c r="D26" i="58"/>
  <c r="P26" i="58" s="1"/>
  <c r="R26" i="58" s="1"/>
  <c r="AA49" i="131"/>
  <c r="AF27" i="132"/>
  <c r="AG1579" i="123"/>
  <c r="AG1582" i="123" s="1"/>
  <c r="AE48" i="145"/>
  <c r="AH45" i="145"/>
  <c r="AI45" i="145" s="1"/>
  <c r="AF43" i="145"/>
  <c r="AF26" i="144"/>
  <c r="AG42" i="144"/>
  <c r="AA58" i="145"/>
  <c r="AH34" i="144"/>
  <c r="AI34" i="144"/>
  <c r="AJ34" i="144"/>
  <c r="AF40" i="144"/>
  <c r="AG47" i="145"/>
  <c r="AH33" i="144"/>
  <c r="BP27" i="34"/>
  <c r="BN10" i="11"/>
  <c r="X50" i="57"/>
  <c r="BX22" i="34"/>
  <c r="Z15" i="57"/>
  <c r="Z17" i="57" s="1"/>
  <c r="BQ30" i="34"/>
  <c r="BQ33" i="34" s="1"/>
  <c r="BQ34" i="34" s="1"/>
  <c r="X21" i="57"/>
  <c r="AE40" i="145"/>
  <c r="AE35" i="145"/>
  <c r="AE37" i="145"/>
  <c r="AF28" i="145"/>
  <c r="AF25" i="145"/>
  <c r="Z54" i="57"/>
  <c r="X53" i="57"/>
  <c r="BZ1579" i="123"/>
  <c r="BW1579" i="123"/>
  <c r="BX1579" i="123"/>
  <c r="BP1579" i="123"/>
  <c r="BS10" i="11"/>
  <c r="AE25" i="136"/>
  <c r="AI27" i="135"/>
  <c r="AK27" i="135" s="1"/>
  <c r="AM27" i="135" s="1"/>
  <c r="AF37" i="135"/>
  <c r="AI35" i="135"/>
  <c r="AG42" i="135"/>
  <c r="AH42" i="135"/>
  <c r="AF39" i="136"/>
  <c r="AE25" i="131"/>
  <c r="S48" i="34"/>
  <c r="S61" i="34" s="1"/>
  <c r="BL1579" i="123"/>
  <c r="H43" i="34"/>
  <c r="F23" i="11"/>
  <c r="P43" i="34"/>
  <c r="P45" i="34" s="1"/>
  <c r="N23" i="11"/>
  <c r="X43" i="34"/>
  <c r="X45" i="34" s="1"/>
  <c r="V23" i="11"/>
  <c r="W1579" i="123"/>
  <c r="W1582" i="123" s="1"/>
  <c r="W48" i="34"/>
  <c r="U38" i="11"/>
  <c r="BC1579" i="123"/>
  <c r="E38" i="34"/>
  <c r="C19" i="11"/>
  <c r="D45" i="107" s="1"/>
  <c r="G26" i="11"/>
  <c r="M49" i="34"/>
  <c r="M61" i="34" s="1"/>
  <c r="K38" i="11"/>
  <c r="U43" i="34"/>
  <c r="U45" i="34" s="1"/>
  <c r="S23" i="11"/>
  <c r="Y38" i="34"/>
  <c r="Y40" i="34" s="1"/>
  <c r="W19" i="11"/>
  <c r="AA1579" i="123"/>
  <c r="AA1582" i="123" s="1"/>
  <c r="V38" i="34"/>
  <c r="V40" i="34" s="1"/>
  <c r="T19" i="11"/>
  <c r="S53" i="58"/>
  <c r="K49" i="57"/>
  <c r="G53" i="58"/>
  <c r="BH10" i="11"/>
  <c r="BJ27" i="34"/>
  <c r="U22" i="34"/>
  <c r="U33" i="34" s="1"/>
  <c r="U34" i="34" s="1"/>
  <c r="H15" i="57"/>
  <c r="H17" i="57" s="1"/>
  <c r="AD43" i="131"/>
  <c r="K49" i="11"/>
  <c r="BE10" i="11"/>
  <c r="BG26" i="34"/>
  <c r="T52" i="58"/>
  <c r="H52" i="58"/>
  <c r="O48" i="57"/>
  <c r="E51" i="58"/>
  <c r="F51" i="58"/>
  <c r="G47" i="57"/>
  <c r="U55" i="58"/>
  <c r="AF42" i="132"/>
  <c r="AG25" i="134"/>
  <c r="AH25" i="134" s="1"/>
  <c r="AE40" i="131"/>
  <c r="AG35" i="131"/>
  <c r="AE28" i="131"/>
  <c r="AE36" i="135"/>
  <c r="AJ36" i="136"/>
  <c r="AF33" i="136"/>
  <c r="AG33" i="136" s="1"/>
  <c r="T49" i="58"/>
  <c r="H49" i="58"/>
  <c r="O45" i="57"/>
  <c r="O23" i="57"/>
  <c r="H27" i="58"/>
  <c r="T27" i="58"/>
  <c r="BF10" i="11"/>
  <c r="G43" i="34"/>
  <c r="G45" i="34" s="1"/>
  <c r="E23" i="11"/>
  <c r="K45" i="57"/>
  <c r="G49" i="58"/>
  <c r="S49" i="58"/>
  <c r="G54" i="58"/>
  <c r="AE38" i="34"/>
  <c r="AE40" i="34" s="1"/>
  <c r="AC19" i="11"/>
  <c r="M52" i="57"/>
  <c r="Q50" i="57"/>
  <c r="Q23" i="57"/>
  <c r="Q54" i="57"/>
  <c r="R54" i="57"/>
  <c r="V51" i="57"/>
  <c r="BA10" i="11"/>
  <c r="AG33" i="131"/>
  <c r="AE41" i="131"/>
  <c r="E38" i="11"/>
  <c r="V21" i="57"/>
  <c r="I51" i="57"/>
  <c r="W43" i="34"/>
  <c r="U23" i="11"/>
  <c r="AA22" i="34"/>
  <c r="J15" i="57"/>
  <c r="J17" i="57" s="1"/>
  <c r="S48" i="57"/>
  <c r="I52" i="58"/>
  <c r="U52" i="58"/>
  <c r="U53" i="57"/>
  <c r="K50" i="57"/>
  <c r="AF34" i="131"/>
  <c r="AE24" i="131"/>
  <c r="AF24" i="131" s="1"/>
  <c r="G49" i="135"/>
  <c r="AE32" i="135"/>
  <c r="AF40" i="133"/>
  <c r="D43" i="57"/>
  <c r="J49" i="11"/>
  <c r="P46" i="57"/>
  <c r="U49" i="58"/>
  <c r="I49" i="58"/>
  <c r="S45" i="57"/>
  <c r="I57" i="58"/>
  <c r="S53" i="57"/>
  <c r="U57" i="58"/>
  <c r="U51" i="58"/>
  <c r="I51" i="58"/>
  <c r="S47" i="57"/>
  <c r="BF9" i="69"/>
  <c r="BF13" i="70" s="1"/>
  <c r="O38" i="11"/>
  <c r="Q48" i="34"/>
  <c r="G24" i="57"/>
  <c r="E28" i="58"/>
  <c r="F28" i="58"/>
  <c r="G22" i="57"/>
  <c r="E26" i="58"/>
  <c r="F26" i="58"/>
  <c r="E27" i="58"/>
  <c r="G23" i="57"/>
  <c r="F27" i="58"/>
  <c r="V49" i="11"/>
  <c r="AE90" i="34"/>
  <c r="AE33" i="34"/>
  <c r="AE34" i="34" s="1"/>
  <c r="C22" i="57"/>
  <c r="S49" i="11"/>
  <c r="AJ27" i="145"/>
  <c r="AF27" i="133"/>
  <c r="AG27" i="133" s="1"/>
  <c r="AH27" i="145"/>
  <c r="AF50" i="145"/>
  <c r="AD43" i="144"/>
  <c r="AE32" i="144"/>
  <c r="AD52" i="145"/>
  <c r="AD54" i="145" s="1"/>
  <c r="AF32" i="145"/>
  <c r="AE37" i="144"/>
  <c r="AI44" i="145"/>
  <c r="AK44" i="145"/>
  <c r="AJ44" i="145"/>
  <c r="AF38" i="144"/>
  <c r="AH28" i="144"/>
  <c r="E54" i="145"/>
  <c r="AF39" i="145"/>
  <c r="L54" i="145"/>
  <c r="AF33" i="145"/>
  <c r="AE34" i="145"/>
  <c r="AE36" i="145"/>
  <c r="AG39" i="144"/>
  <c r="AG25" i="145"/>
  <c r="AH25" i="145" s="1"/>
  <c r="BT30" i="34"/>
  <c r="Y21" i="57"/>
  <c r="CA1579" i="123"/>
  <c r="BR1579" i="123"/>
  <c r="BT1579" i="123"/>
  <c r="BU30" i="34"/>
  <c r="BU33" i="34" s="1"/>
  <c r="BU34" i="34" s="1"/>
  <c r="BR10" i="11"/>
  <c r="BS13" i="70"/>
  <c r="AE34" i="136"/>
  <c r="AF26" i="136"/>
  <c r="AE25" i="132"/>
  <c r="AF37" i="133"/>
  <c r="AG37" i="133" s="1"/>
  <c r="Z48" i="34"/>
  <c r="J43" i="57" s="1"/>
  <c r="AB1579" i="123"/>
  <c r="AB1582" i="123" s="1"/>
  <c r="X37" i="11"/>
  <c r="Z60" i="34" s="1"/>
  <c r="J55" i="57" s="1"/>
  <c r="AE25" i="133"/>
  <c r="AI34" i="133"/>
  <c r="BF1579" i="123"/>
  <c r="H61" i="34"/>
  <c r="Z21" i="11"/>
  <c r="R49" i="34"/>
  <c r="R61" i="34" s="1"/>
  <c r="P38" i="11"/>
  <c r="V1579" i="123"/>
  <c r="V1582" i="123" s="1"/>
  <c r="H37" i="11"/>
  <c r="J60" i="34" s="1"/>
  <c r="D59" i="58" s="1"/>
  <c r="P59" i="58" s="1"/>
  <c r="R59" i="58" s="1"/>
  <c r="L1579" i="123"/>
  <c r="P1579" i="123"/>
  <c r="E43" i="34"/>
  <c r="C23" i="11"/>
  <c r="I38" i="34"/>
  <c r="I40" i="34" s="1"/>
  <c r="G19" i="11"/>
  <c r="H45" i="107" s="1"/>
  <c r="M38" i="34"/>
  <c r="K19" i="11"/>
  <c r="Y43" i="34"/>
  <c r="Y45" i="34" s="1"/>
  <c r="W23" i="11"/>
  <c r="W49" i="11"/>
  <c r="AD43" i="34"/>
  <c r="V37" i="11"/>
  <c r="X60" i="34" s="1"/>
  <c r="I55" i="57" s="1"/>
  <c r="Z1579" i="123"/>
  <c r="Z1582" i="123" s="1"/>
  <c r="J43" i="34"/>
  <c r="J45" i="34" s="1"/>
  <c r="H23" i="11"/>
  <c r="N38" i="34"/>
  <c r="L19" i="11"/>
  <c r="V43" i="34"/>
  <c r="V45" i="34" s="1"/>
  <c r="T23" i="11"/>
  <c r="Z38" i="34"/>
  <c r="X19" i="11"/>
  <c r="T43" i="34"/>
  <c r="R23" i="11"/>
  <c r="R49" i="11"/>
  <c r="BJ10" i="11"/>
  <c r="BL27" i="34"/>
  <c r="BL30" i="34" s="1"/>
  <c r="BL33" i="34" s="1"/>
  <c r="BL34" i="34" s="1"/>
  <c r="BF27" i="34"/>
  <c r="BF30" i="34" s="1"/>
  <c r="BF33" i="34" s="1"/>
  <c r="BF34" i="34" s="1"/>
  <c r="BD10" i="11"/>
  <c r="Q37" i="11"/>
  <c r="S60" i="34" s="1"/>
  <c r="D49" i="135"/>
  <c r="H49" i="11"/>
  <c r="O51" i="57"/>
  <c r="H55" i="58"/>
  <c r="T55" i="58"/>
  <c r="O55" i="57"/>
  <c r="H59" i="58"/>
  <c r="T59" i="58"/>
  <c r="H53" i="58"/>
  <c r="T53" i="58"/>
  <c r="O49" i="57"/>
  <c r="BJ9" i="69"/>
  <c r="BH30" i="34"/>
  <c r="BH33" i="34" s="1"/>
  <c r="BH34" i="34" s="1"/>
  <c r="M1579" i="123"/>
  <c r="I10" i="11"/>
  <c r="I49" i="11" s="1"/>
  <c r="K26" i="34"/>
  <c r="K43" i="34"/>
  <c r="I23" i="11"/>
  <c r="S55" i="58"/>
  <c r="K51" i="57"/>
  <c r="G55" i="58"/>
  <c r="AC49" i="11"/>
  <c r="L22" i="116" s="1"/>
  <c r="AE43" i="34"/>
  <c r="AE45" i="34" s="1"/>
  <c r="AC23" i="11"/>
  <c r="M50" i="57"/>
  <c r="N52" i="57"/>
  <c r="Q45" i="57"/>
  <c r="Q49" i="57"/>
  <c r="R48" i="57"/>
  <c r="U51" i="57"/>
  <c r="U24" i="57"/>
  <c r="U54" i="57"/>
  <c r="C49" i="11"/>
  <c r="M30" i="34"/>
  <c r="M33" i="34" s="1"/>
  <c r="M34" i="34" s="1"/>
  <c r="AF26" i="133"/>
  <c r="AD43" i="133"/>
  <c r="AF41" i="131"/>
  <c r="AE26" i="131"/>
  <c r="AG28" i="136"/>
  <c r="AF37" i="136"/>
  <c r="L49" i="135"/>
  <c r="H38" i="11"/>
  <c r="O26" i="34"/>
  <c r="M10" i="11"/>
  <c r="M49" i="11" s="1"/>
  <c r="O43" i="34"/>
  <c r="O45" i="34" s="1"/>
  <c r="M23" i="11"/>
  <c r="I50" i="57"/>
  <c r="I52" i="57"/>
  <c r="G55" i="57"/>
  <c r="BD30" i="34"/>
  <c r="BD33" i="34" s="1"/>
  <c r="BD34" i="34" s="1"/>
  <c r="I55" i="58"/>
  <c r="X49" i="11"/>
  <c r="AH26" i="132"/>
  <c r="AF28" i="131"/>
  <c r="AF24" i="136"/>
  <c r="F38" i="11"/>
  <c r="U19" i="58"/>
  <c r="U21" i="58" s="1"/>
  <c r="BA22" i="34"/>
  <c r="I19" i="58"/>
  <c r="I21" i="58" s="1"/>
  <c r="S15" i="57"/>
  <c r="S17" i="57" s="1"/>
  <c r="U50" i="58"/>
  <c r="I50" i="58"/>
  <c r="S46" i="57"/>
  <c r="BA26" i="34"/>
  <c r="AY10" i="11"/>
  <c r="BE26" i="34"/>
  <c r="BC10" i="11"/>
  <c r="E52" i="58"/>
  <c r="F52" i="58"/>
  <c r="G48" i="57"/>
  <c r="G45" i="57"/>
  <c r="E49" i="58"/>
  <c r="F49" i="58"/>
  <c r="E50" i="58"/>
  <c r="F50" i="58"/>
  <c r="G46" i="57"/>
  <c r="BM13" i="70"/>
  <c r="Q49" i="11"/>
  <c r="H56" i="58"/>
  <c r="AC57" i="132"/>
  <c r="AC63" i="132" s="1"/>
  <c r="AI27" i="145"/>
  <c r="AE46" i="145"/>
  <c r="AF46" i="145"/>
  <c r="AF49" i="145"/>
  <c r="AJ51" i="145"/>
  <c r="AG26" i="145"/>
  <c r="AC43" i="34"/>
  <c r="AA23" i="11"/>
  <c r="AC1579" i="123"/>
  <c r="AC1582" i="123" s="1"/>
  <c r="BX27" i="34"/>
  <c r="BV10" i="11"/>
  <c r="BP22" i="34"/>
  <c r="X15" i="57"/>
  <c r="X17" i="57" s="1"/>
  <c r="AF35" i="145"/>
  <c r="AF42" i="145"/>
  <c r="AG28" i="145"/>
  <c r="AH39" i="144"/>
  <c r="AG50" i="145"/>
  <c r="AG42" i="145"/>
  <c r="AC49" i="34"/>
  <c r="AA38" i="11"/>
  <c r="Z49" i="57"/>
  <c r="Y24" i="57"/>
  <c r="BY1579" i="123"/>
  <c r="AH27" i="136"/>
  <c r="AD1579" i="123"/>
  <c r="AD1582" i="123" s="1"/>
  <c r="BN30" i="34"/>
  <c r="BN33" i="34" s="1"/>
  <c r="BN34" i="34" s="1"/>
  <c r="AG27" i="136"/>
  <c r="BO10" i="11"/>
  <c r="AF35" i="136"/>
  <c r="AG35" i="136"/>
  <c r="AE34" i="135"/>
  <c r="AI42" i="135"/>
  <c r="AE37" i="131"/>
  <c r="AG39" i="136"/>
  <c r="AH40" i="135"/>
  <c r="AJ40" i="135" s="1"/>
  <c r="AG39" i="135"/>
  <c r="AH28" i="135"/>
  <c r="AG39" i="133"/>
  <c r="AI40" i="135"/>
  <c r="AH35" i="133"/>
  <c r="AF25" i="131"/>
  <c r="AJ38" i="136"/>
  <c r="AI38" i="136"/>
  <c r="AJ34" i="133"/>
  <c r="AF20" i="133"/>
  <c r="O1579" i="123"/>
  <c r="AR1579" i="123"/>
  <c r="AX1579" i="123"/>
  <c r="H38" i="34"/>
  <c r="F19" i="11"/>
  <c r="G45" i="107" s="1"/>
  <c r="L38" i="34"/>
  <c r="L40" i="34" s="1"/>
  <c r="J19" i="11"/>
  <c r="K45" i="107" s="1"/>
  <c r="P49" i="34"/>
  <c r="P61" i="34" s="1"/>
  <c r="N38" i="11"/>
  <c r="X38" i="34"/>
  <c r="X40" i="34" s="1"/>
  <c r="V19" i="11"/>
  <c r="AB49" i="34"/>
  <c r="AB61" i="34" s="1"/>
  <c r="Z38" i="11"/>
  <c r="Y48" i="34"/>
  <c r="Y61" i="34" s="1"/>
  <c r="J37" i="11"/>
  <c r="L60" i="34" s="1"/>
  <c r="E55" i="57" s="1"/>
  <c r="N1579" i="123"/>
  <c r="AO1579" i="123"/>
  <c r="J1579" i="123"/>
  <c r="C34" i="57"/>
  <c r="I43" i="34"/>
  <c r="I45" i="34" s="1"/>
  <c r="G23" i="11"/>
  <c r="S26" i="11"/>
  <c r="S43" i="34"/>
  <c r="S45" i="34" s="1"/>
  <c r="Q23" i="11"/>
  <c r="J61" i="34"/>
  <c r="D55" i="57"/>
  <c r="R26" i="11"/>
  <c r="T49" i="34" s="1"/>
  <c r="H34" i="57"/>
  <c r="AZ10" i="11"/>
  <c r="BB27" i="34"/>
  <c r="BB30" i="34" s="1"/>
  <c r="BB33" i="34" s="1"/>
  <c r="BB34" i="34" s="1"/>
  <c r="G27" i="58"/>
  <c r="S27" i="58"/>
  <c r="K23" i="57"/>
  <c r="K25" i="57" s="1"/>
  <c r="K47" i="57"/>
  <c r="S51" i="58"/>
  <c r="G51" i="58"/>
  <c r="W37" i="11"/>
  <c r="Y60" i="34" s="1"/>
  <c r="F59" i="58" s="1"/>
  <c r="AF28" i="132"/>
  <c r="AF38" i="133"/>
  <c r="AH36" i="131"/>
  <c r="AI36" i="131" s="1"/>
  <c r="AH38" i="131"/>
  <c r="D21" i="57"/>
  <c r="D25" i="57" s="1"/>
  <c r="I30" i="34"/>
  <c r="I33" i="34" s="1"/>
  <c r="I34" i="34" s="1"/>
  <c r="S22" i="57"/>
  <c r="U26" i="58"/>
  <c r="F49" i="11"/>
  <c r="C6" i="85"/>
  <c r="AE43" i="132"/>
  <c r="AF40" i="131"/>
  <c r="AE33" i="135"/>
  <c r="AE43" i="136"/>
  <c r="T50" i="58"/>
  <c r="H50" i="58"/>
  <c r="O46" i="57"/>
  <c r="T57" i="58"/>
  <c r="O53" i="57"/>
  <c r="H57" i="58"/>
  <c r="T58" i="58"/>
  <c r="H58" i="58"/>
  <c r="O54" i="57"/>
  <c r="BG10" i="11"/>
  <c r="BI26" i="34"/>
  <c r="BI30" i="34" s="1"/>
  <c r="BI33" i="34" s="1"/>
  <c r="BI34" i="34" s="1"/>
  <c r="J38" i="11"/>
  <c r="G38" i="34"/>
  <c r="G40" i="34" s="1"/>
  <c r="E19" i="11"/>
  <c r="F45" i="107" s="1"/>
  <c r="K22" i="34"/>
  <c r="E15" i="57"/>
  <c r="E17" i="57" s="1"/>
  <c r="S52" i="58"/>
  <c r="G57" i="58"/>
  <c r="S57" i="58"/>
  <c r="N23" i="57"/>
  <c r="Q51" i="57"/>
  <c r="Q52" i="57"/>
  <c r="BD9" i="69"/>
  <c r="BC33" i="34"/>
  <c r="BC34" i="34" s="1"/>
  <c r="U47" i="57"/>
  <c r="U48" i="57"/>
  <c r="U52" i="57"/>
  <c r="O10" i="11"/>
  <c r="O49" i="11" s="1"/>
  <c r="Q26" i="34"/>
  <c r="AF25" i="135"/>
  <c r="AF42" i="136"/>
  <c r="AH26" i="135"/>
  <c r="G52" i="58"/>
  <c r="D27" i="58"/>
  <c r="P27" i="58" s="1"/>
  <c r="R27" i="58" s="1"/>
  <c r="M37" i="11"/>
  <c r="O60" i="34" s="1"/>
  <c r="F55" i="57" s="1"/>
  <c r="O49" i="34"/>
  <c r="I15" i="57"/>
  <c r="I17" i="57" s="1"/>
  <c r="W22" i="34"/>
  <c r="I48" i="57"/>
  <c r="I49" i="57"/>
  <c r="J52" i="57"/>
  <c r="AA43" i="34"/>
  <c r="AA45" i="34" s="1"/>
  <c r="Y23" i="11"/>
  <c r="BB10" i="11"/>
  <c r="E55" i="58"/>
  <c r="AH33" i="131"/>
  <c r="AG40" i="136"/>
  <c r="AH40" i="136" s="1"/>
  <c r="AD43" i="135"/>
  <c r="AG40" i="133"/>
  <c r="P49" i="57"/>
  <c r="S24" i="57"/>
  <c r="I28" i="58"/>
  <c r="U28" i="58"/>
  <c r="S50" i="57"/>
  <c r="I54" i="58"/>
  <c r="U54" i="58"/>
  <c r="S54" i="57"/>
  <c r="U58" i="58"/>
  <c r="I58" i="58"/>
  <c r="T53" i="57"/>
  <c r="F56" i="58"/>
  <c r="G52" i="57"/>
  <c r="E56" i="58"/>
  <c r="G49" i="57"/>
  <c r="F53" i="58"/>
  <c r="E53" i="58"/>
  <c r="F54" i="58"/>
  <c r="E54" i="58"/>
  <c r="G50" i="57"/>
  <c r="N49" i="11"/>
  <c r="AL27" i="145"/>
  <c r="AJ27" i="144"/>
  <c r="AL27" i="135"/>
  <c r="V5" i="126"/>
  <c r="V10" i="126" s="1"/>
  <c r="V17" i="126" s="1"/>
  <c r="U45" i="107" s="1"/>
  <c r="S111" i="109" s="1"/>
  <c r="S147" i="109" s="1"/>
  <c r="BM14" i="135"/>
  <c r="BM18" i="135" s="1"/>
  <c r="BN12" i="135"/>
  <c r="T45" i="131"/>
  <c r="T49" i="131" s="1"/>
  <c r="W45" i="131"/>
  <c r="W49" i="131" s="1"/>
  <c r="AA45" i="134"/>
  <c r="AA49" i="134" s="1"/>
  <c r="S45" i="131"/>
  <c r="S49" i="131" s="1"/>
  <c r="AO14" i="134"/>
  <c r="AO18" i="134" s="1"/>
  <c r="AD5" i="126"/>
  <c r="AD10" i="126" s="1"/>
  <c r="AD17" i="126" s="1"/>
  <c r="AC45" i="107" s="1"/>
  <c r="AA111" i="109" s="1"/>
  <c r="AA147" i="109" s="1"/>
  <c r="AT12" i="133"/>
  <c r="AS14" i="133"/>
  <c r="AS18" i="133" s="1"/>
  <c r="G5" i="126"/>
  <c r="G10" i="126" s="1"/>
  <c r="G17" i="126" s="1"/>
  <c r="AQ12" i="144"/>
  <c r="AP14" i="144"/>
  <c r="AP18" i="144" s="1"/>
  <c r="AE12" i="144"/>
  <c r="AD14" i="144"/>
  <c r="N45" i="131"/>
  <c r="N49" i="131" s="1"/>
  <c r="AB45" i="131"/>
  <c r="AB49" i="131" s="1"/>
  <c r="AF37" i="134"/>
  <c r="AG37" i="134" s="1"/>
  <c r="AD19" i="136"/>
  <c r="AD18" i="136"/>
  <c r="AE14" i="135"/>
  <c r="AD19" i="131"/>
  <c r="AD18" i="131"/>
  <c r="BD12" i="144"/>
  <c r="BC14" i="144"/>
  <c r="BC18" i="132"/>
  <c r="AO18" i="131"/>
  <c r="I28" i="85"/>
  <c r="I29" i="85" s="1"/>
  <c r="F28" i="85"/>
  <c r="F29" i="85" s="1"/>
  <c r="AD19" i="135"/>
  <c r="AD18" i="135"/>
  <c r="AP12" i="132"/>
  <c r="AO14" i="132"/>
  <c r="AP14" i="131"/>
  <c r="AE14" i="133"/>
  <c r="AE18" i="136"/>
  <c r="AD19" i="132"/>
  <c r="AD18" i="132"/>
  <c r="BB12" i="134"/>
  <c r="AN18" i="135"/>
  <c r="BR12" i="132"/>
  <c r="BQ14" i="132"/>
  <c r="AF14" i="136"/>
  <c r="AE14" i="132"/>
  <c r="AE14" i="131"/>
  <c r="BB18" i="144"/>
  <c r="BR12" i="144"/>
  <c r="BQ14" i="144"/>
  <c r="BC18" i="131"/>
  <c r="AO14" i="135"/>
  <c r="AP12" i="135"/>
  <c r="Y45" i="131"/>
  <c r="Y49" i="131" s="1"/>
  <c r="H28" i="85"/>
  <c r="H29" i="85" s="1"/>
  <c r="E28" i="85"/>
  <c r="E29" i="85" s="1"/>
  <c r="K28" i="85"/>
  <c r="K29" i="85" s="1"/>
  <c r="R28" i="85"/>
  <c r="R29" i="85" s="1"/>
  <c r="C28" i="85"/>
  <c r="C29" i="85" s="1"/>
  <c r="J28" i="85"/>
  <c r="J29" i="85" s="1"/>
  <c r="S28" i="85"/>
  <c r="S29" i="85" s="1"/>
  <c r="G28" i="85"/>
  <c r="G29" i="85" s="1"/>
  <c r="D28" i="85"/>
  <c r="D29" i="85" s="1"/>
  <c r="AG28" i="134"/>
  <c r="AH28" i="134" s="1"/>
  <c r="AB45" i="134"/>
  <c r="AB49" i="134" s="1"/>
  <c r="AF33" i="134"/>
  <c r="AG33" i="134" s="1"/>
  <c r="AF26" i="134"/>
  <c r="AG26" i="134" s="1"/>
  <c r="AH26" i="134" s="1"/>
  <c r="AF42" i="134"/>
  <c r="AG42" i="134" s="1"/>
  <c r="AE43" i="134"/>
  <c r="AE14" i="134"/>
  <c r="AF32" i="134"/>
  <c r="AG32" i="134" s="1"/>
  <c r="AD19" i="134"/>
  <c r="AD18" i="134"/>
  <c r="AF36" i="134"/>
  <c r="AF34" i="134"/>
  <c r="AH41" i="134"/>
  <c r="AI41" i="134" s="1"/>
  <c r="AF38" i="134"/>
  <c r="AG38" i="134" s="1"/>
  <c r="AF35" i="134"/>
  <c r="AG35" i="134" s="1"/>
  <c r="AD43" i="134"/>
  <c r="AF39" i="134"/>
  <c r="AG39" i="134" s="1"/>
  <c r="O10" i="116" l="1"/>
  <c r="K22" i="85"/>
  <c r="N10" i="116"/>
  <c r="O11" i="116"/>
  <c r="AQ24" i="109"/>
  <c r="AQ109" i="109" s="1"/>
  <c r="AJ17" i="109"/>
  <c r="AJ102" i="109" s="1"/>
  <c r="AO22" i="109"/>
  <c r="AO107" i="109" s="1"/>
  <c r="AI16" i="109"/>
  <c r="AI101" i="109" s="1"/>
  <c r="AP23" i="109"/>
  <c r="AP108" i="109" s="1"/>
  <c r="AF13" i="109"/>
  <c r="AF98" i="109" s="1"/>
  <c r="AH15" i="109"/>
  <c r="AH100" i="109" s="1"/>
  <c r="AN21" i="109"/>
  <c r="AN106" i="109" s="1"/>
  <c r="AL19" i="109"/>
  <c r="AL104" i="109" s="1"/>
  <c r="AK18" i="109"/>
  <c r="AK103" i="109" s="1"/>
  <c r="AR25" i="109"/>
  <c r="AG14" i="109"/>
  <c r="AG99" i="109" s="1"/>
  <c r="AM20" i="109"/>
  <c r="AM105" i="109" s="1"/>
  <c r="AP24" i="109"/>
  <c r="AP109" i="109" s="1"/>
  <c r="AG15" i="109"/>
  <c r="AG100" i="109" s="1"/>
  <c r="AK19" i="109"/>
  <c r="AK104" i="109" s="1"/>
  <c r="AN22" i="109"/>
  <c r="AN107" i="109" s="1"/>
  <c r="AH16" i="109"/>
  <c r="AH101" i="109" s="1"/>
  <c r="AM21" i="109"/>
  <c r="AM106" i="109" s="1"/>
  <c r="AQ25" i="109"/>
  <c r="AF14" i="109"/>
  <c r="AF99" i="109" s="1"/>
  <c r="AJ18" i="109"/>
  <c r="AJ103" i="109" s="1"/>
  <c r="AL20" i="109"/>
  <c r="AL105" i="109" s="1"/>
  <c r="AO23" i="109"/>
  <c r="AO108" i="109" s="1"/>
  <c r="AE13" i="109"/>
  <c r="AE98" i="109" s="1"/>
  <c r="AI17" i="109"/>
  <c r="AI102" i="109" s="1"/>
  <c r="AR98" i="109"/>
  <c r="AL98" i="109"/>
  <c r="AJ15" i="125"/>
  <c r="AK16" i="125" s="1"/>
  <c r="AL17" i="125" s="1"/>
  <c r="AM18" i="125" s="1"/>
  <c r="AN19" i="125" s="1"/>
  <c r="AO20" i="125" s="1"/>
  <c r="AP21" i="125" s="1"/>
  <c r="AQ22" i="125" s="1"/>
  <c r="AR23" i="125" s="1"/>
  <c r="AS24" i="125" s="1"/>
  <c r="AT25" i="125" s="1"/>
  <c r="AU26" i="125" s="1"/>
  <c r="AV27" i="125" s="1"/>
  <c r="AW28" i="125" s="1"/>
  <c r="AH14" i="109"/>
  <c r="AH99" i="109" s="1"/>
  <c r="AS25" i="109"/>
  <c r="AK17" i="109"/>
  <c r="AK102" i="109" s="1"/>
  <c r="AM19" i="109"/>
  <c r="AM104" i="109" s="1"/>
  <c r="AL18" i="109"/>
  <c r="AL103" i="109" s="1"/>
  <c r="AR24" i="109"/>
  <c r="AR109" i="109" s="1"/>
  <c r="AG13" i="109"/>
  <c r="AN20" i="109"/>
  <c r="AN105" i="109" s="1"/>
  <c r="AO21" i="109"/>
  <c r="AO106" i="109" s="1"/>
  <c r="AP22" i="109"/>
  <c r="AP107" i="109" s="1"/>
  <c r="AJ16" i="109"/>
  <c r="AJ101" i="109" s="1"/>
  <c r="AI15" i="109"/>
  <c r="AI100" i="109" s="1"/>
  <c r="AQ23" i="109"/>
  <c r="AQ108" i="109" s="1"/>
  <c r="AF16" i="115"/>
  <c r="AQ20" i="109"/>
  <c r="AV13" i="109"/>
  <c r="AN17" i="109"/>
  <c r="AM16" i="109"/>
  <c r="AM101" i="109" s="1"/>
  <c r="AS22" i="109"/>
  <c r="AS107" i="109" s="1"/>
  <c r="AV25" i="109"/>
  <c r="AR21" i="109"/>
  <c r="AR106" i="109" s="1"/>
  <c r="AK14" i="109"/>
  <c r="AM13" i="109"/>
  <c r="AO18" i="109"/>
  <c r="AO103" i="109" s="1"/>
  <c r="AT23" i="109"/>
  <c r="AU24" i="109"/>
  <c r="AU109" i="109" s="1"/>
  <c r="AP13" i="109"/>
  <c r="AP19" i="109"/>
  <c r="AP104" i="109" s="1"/>
  <c r="AS13" i="109"/>
  <c r="AL15" i="109"/>
  <c r="AL100" i="109" s="1"/>
  <c r="AJ13" i="109"/>
  <c r="AR16" i="125"/>
  <c r="AF16" i="125"/>
  <c r="AM18" i="109"/>
  <c r="AM103" i="109" s="1"/>
  <c r="AN19" i="109"/>
  <c r="AN104" i="109" s="1"/>
  <c r="AQ22" i="109"/>
  <c r="AQ107" i="109" s="1"/>
  <c r="AJ15" i="109"/>
  <c r="AJ100" i="109" s="1"/>
  <c r="AI14" i="109"/>
  <c r="AI99" i="109" s="1"/>
  <c r="AP21" i="109"/>
  <c r="AP106" i="109" s="1"/>
  <c r="AH13" i="109"/>
  <c r="AS24" i="109"/>
  <c r="AS109" i="109" s="1"/>
  <c r="AL17" i="109"/>
  <c r="AL102" i="109" s="1"/>
  <c r="AT25" i="109"/>
  <c r="AR23" i="109"/>
  <c r="AR108" i="109" s="1"/>
  <c r="AO20" i="109"/>
  <c r="AO105" i="109" s="1"/>
  <c r="AK16" i="109"/>
  <c r="AK101" i="109" s="1"/>
  <c r="AH16" i="70"/>
  <c r="AJ30" i="69"/>
  <c r="AL22" i="109"/>
  <c r="AL107" i="109" s="1"/>
  <c r="AJ20" i="109"/>
  <c r="AJ105" i="109" s="1"/>
  <c r="AF16" i="109"/>
  <c r="AF101" i="109" s="1"/>
  <c r="AE15" i="109"/>
  <c r="AE100" i="109" s="1"/>
  <c r="AO25" i="109"/>
  <c r="AN24" i="109"/>
  <c r="AN109" i="109" s="1"/>
  <c r="AD14" i="109"/>
  <c r="AD99" i="109" s="1"/>
  <c r="AG17" i="109"/>
  <c r="AG102" i="109" s="1"/>
  <c r="AK21" i="109"/>
  <c r="AK106" i="109" s="1"/>
  <c r="AH18" i="109"/>
  <c r="AH103" i="109" s="1"/>
  <c r="AI19" i="109"/>
  <c r="AI104" i="109" s="1"/>
  <c r="AC13" i="109"/>
  <c r="AM23" i="109"/>
  <c r="AM108" i="109" s="1"/>
  <c r="AC9" i="109"/>
  <c r="AD9" i="109" s="1"/>
  <c r="AE9" i="109" s="1"/>
  <c r="AF9" i="109" s="1"/>
  <c r="AG9" i="109" s="1"/>
  <c r="AH9" i="109" s="1"/>
  <c r="AI9" i="109" s="1"/>
  <c r="AJ9" i="109" s="1"/>
  <c r="AK9" i="109" s="1"/>
  <c r="AL9" i="109" s="1"/>
  <c r="AM9" i="109" s="1"/>
  <c r="AN9" i="109" s="1"/>
  <c r="AO9" i="109" s="1"/>
  <c r="AP9" i="109" s="1"/>
  <c r="AQ9" i="109" s="1"/>
  <c r="AR9" i="109" s="1"/>
  <c r="AS9" i="109" s="1"/>
  <c r="AT9" i="109" s="1"/>
  <c r="AU9" i="109" s="1"/>
  <c r="AV9" i="109" s="1"/>
  <c r="AW9" i="109" s="1"/>
  <c r="AI98" i="109"/>
  <c r="AU98" i="109"/>
  <c r="AO98" i="109"/>
  <c r="AW117" i="109"/>
  <c r="AT114" i="109"/>
  <c r="AS28" i="109"/>
  <c r="AR27" i="109"/>
  <c r="AR112" i="109" s="1"/>
  <c r="AP110" i="109"/>
  <c r="AW32" i="109"/>
  <c r="AV31" i="109"/>
  <c r="AV116" i="109"/>
  <c r="AQ26" i="109"/>
  <c r="AT29" i="109"/>
  <c r="AU30" i="109"/>
  <c r="AS113" i="109"/>
  <c r="AU115" i="109"/>
  <c r="AH15" i="115"/>
  <c r="AI16" i="115" s="1"/>
  <c r="AJ17" i="115" s="1"/>
  <c r="AK18" i="115" s="1"/>
  <c r="AL19" i="115" s="1"/>
  <c r="AM20" i="115" s="1"/>
  <c r="AN21" i="115" s="1"/>
  <c r="AO22" i="115" s="1"/>
  <c r="AP23" i="115" s="1"/>
  <c r="AQ24" i="115" s="1"/>
  <c r="AR25" i="115" s="1"/>
  <c r="AS26" i="115" s="1"/>
  <c r="AT27" i="115" s="1"/>
  <c r="AU28" i="115" s="1"/>
  <c r="AV29" i="115" s="1"/>
  <c r="AW30" i="115" s="1"/>
  <c r="V8" i="116"/>
  <c r="V20" i="116"/>
  <c r="AV15" i="115"/>
  <c r="AI15" i="115"/>
  <c r="AP15" i="115"/>
  <c r="M8" i="116"/>
  <c r="M10" i="116"/>
  <c r="U9" i="116"/>
  <c r="V10" i="116" s="1"/>
  <c r="AU110" i="109"/>
  <c r="AW27" i="109"/>
  <c r="AW112" i="109" s="1"/>
  <c r="AV26" i="109"/>
  <c r="AG14" i="125"/>
  <c r="N11" i="116"/>
  <c r="AO16" i="115"/>
  <c r="AP17" i="115" s="1"/>
  <c r="AQ18" i="115" s="1"/>
  <c r="AR19" i="115" s="1"/>
  <c r="AS20" i="115" s="1"/>
  <c r="AT21" i="115" s="1"/>
  <c r="AU22" i="115" s="1"/>
  <c r="AV23" i="115" s="1"/>
  <c r="AW24" i="115" s="1"/>
  <c r="AK15" i="125"/>
  <c r="AO16" i="125"/>
  <c r="AP17" i="125" s="1"/>
  <c r="AQ18" i="125" s="1"/>
  <c r="AR19" i="125" s="1"/>
  <c r="AS20" i="125" s="1"/>
  <c r="AT21" i="125" s="1"/>
  <c r="AU22" i="125" s="1"/>
  <c r="AV23" i="125" s="1"/>
  <c r="AW24" i="125" s="1"/>
  <c r="AM15" i="115"/>
  <c r="AC14" i="125"/>
  <c r="M11" i="116"/>
  <c r="AD98" i="109"/>
  <c r="AK15" i="115"/>
  <c r="AU16" i="115"/>
  <c r="AV17" i="115" s="1"/>
  <c r="AW18" i="115" s="1"/>
  <c r="V11" i="116"/>
  <c r="AL14" i="125"/>
  <c r="AV15" i="125"/>
  <c r="AI15" i="125"/>
  <c r="AJ16" i="125" s="1"/>
  <c r="AK17" i="125" s="1"/>
  <c r="AL18" i="125" s="1"/>
  <c r="AM19" i="125" s="1"/>
  <c r="AN20" i="125" s="1"/>
  <c r="AO21" i="125" s="1"/>
  <c r="AP22" i="125" s="1"/>
  <c r="AQ23" i="125" s="1"/>
  <c r="AR24" i="125" s="1"/>
  <c r="AS25" i="125" s="1"/>
  <c r="AT26" i="125" s="1"/>
  <c r="AU27" i="125" s="1"/>
  <c r="AV28" i="125" s="1"/>
  <c r="AW29" i="125" s="1"/>
  <c r="AU16" i="125"/>
  <c r="AV17" i="125" s="1"/>
  <c r="AW18" i="125" s="1"/>
  <c r="AP15" i="125"/>
  <c r="AC63" i="115"/>
  <c r="AC66" i="115" s="1"/>
  <c r="AD15" i="115"/>
  <c r="AE11" i="61"/>
  <c r="AE21" i="136"/>
  <c r="AE21" i="132"/>
  <c r="P5" i="126"/>
  <c r="P10" i="126" s="1"/>
  <c r="P17" i="126" s="1"/>
  <c r="O45" i="107" s="1"/>
  <c r="AF21" i="135"/>
  <c r="AF7" i="133"/>
  <c r="AF9" i="61" s="1"/>
  <c r="Q45" i="131"/>
  <c r="Q49" i="131" s="1"/>
  <c r="Z5" i="126"/>
  <c r="Z10" i="126" s="1"/>
  <c r="Z17" i="126" s="1"/>
  <c r="Y45" i="107" s="1"/>
  <c r="W111" i="109" s="1"/>
  <c r="W147" i="109" s="1"/>
  <c r="AF7" i="134"/>
  <c r="AF11" i="61" s="1"/>
  <c r="M5" i="126"/>
  <c r="M10" i="126" s="1"/>
  <c r="M17" i="126" s="1"/>
  <c r="AE21" i="145"/>
  <c r="AE29" i="145" s="1"/>
  <c r="AG7" i="135"/>
  <c r="AG12" i="61" s="1"/>
  <c r="AF21" i="144"/>
  <c r="I5" i="126"/>
  <c r="I10" i="126" s="1"/>
  <c r="I17" i="126" s="1"/>
  <c r="J5" i="126"/>
  <c r="J10" i="126" s="1"/>
  <c r="J17" i="126" s="1"/>
  <c r="O5" i="126"/>
  <c r="O10" i="126" s="1"/>
  <c r="O17" i="126" s="1"/>
  <c r="N45" i="107" s="1"/>
  <c r="AE7" i="61"/>
  <c r="AF7" i="131"/>
  <c r="AG7" i="131" s="1"/>
  <c r="R5" i="126"/>
  <c r="R10" i="126" s="1"/>
  <c r="R17" i="126" s="1"/>
  <c r="Q45" i="107" s="1"/>
  <c r="O111" i="109" s="1"/>
  <c r="O147" i="109" s="1"/>
  <c r="Q5" i="126"/>
  <c r="Q10" i="126" s="1"/>
  <c r="Q17" i="126" s="1"/>
  <c r="P45" i="107" s="1"/>
  <c r="AE21" i="144"/>
  <c r="BO14" i="134"/>
  <c r="BO18" i="134" s="1"/>
  <c r="BN13" i="131"/>
  <c r="BM14" i="131"/>
  <c r="BM18" i="131" s="1"/>
  <c r="BL14" i="131"/>
  <c r="BL18" i="131" s="1"/>
  <c r="T5" i="126"/>
  <c r="T10" i="126" s="1"/>
  <c r="T17" i="126" s="1"/>
  <c r="S45" i="107" s="1"/>
  <c r="Q111" i="109" s="1"/>
  <c r="Q147" i="109" s="1"/>
  <c r="W5" i="126"/>
  <c r="W10" i="126" s="1"/>
  <c r="W17" i="126" s="1"/>
  <c r="V45" i="107" s="1"/>
  <c r="T111" i="109" s="1"/>
  <c r="T147" i="109" s="1"/>
  <c r="AF7" i="132"/>
  <c r="AG7" i="132" s="1"/>
  <c r="AG8" i="61" s="1"/>
  <c r="I45" i="131"/>
  <c r="I49" i="131" s="1"/>
  <c r="F5" i="126"/>
  <c r="F10" i="126" s="1"/>
  <c r="F17" i="126" s="1"/>
  <c r="AB5" i="126"/>
  <c r="AB10" i="126" s="1"/>
  <c r="AB17" i="126" s="1"/>
  <c r="AA45" i="107" s="1"/>
  <c r="Y111" i="109" s="1"/>
  <c r="Y147" i="109" s="1"/>
  <c r="BM14" i="134"/>
  <c r="BM18" i="134" s="1"/>
  <c r="BP12" i="134"/>
  <c r="BQ12" i="134" s="1"/>
  <c r="BN14" i="134"/>
  <c r="BN18" i="134" s="1"/>
  <c r="AR14" i="136"/>
  <c r="AR18" i="136" s="1"/>
  <c r="AE9" i="61"/>
  <c r="H5" i="126"/>
  <c r="H10" i="126" s="1"/>
  <c r="H17" i="126" s="1"/>
  <c r="BD14" i="132"/>
  <c r="BD18" i="132" s="1"/>
  <c r="AB23" i="11"/>
  <c r="AB40" i="11" s="1"/>
  <c r="J40" i="11"/>
  <c r="H22" i="116"/>
  <c r="P63" i="34"/>
  <c r="P65" i="34" s="1"/>
  <c r="AJ27" i="131"/>
  <c r="AL27" i="131" s="1"/>
  <c r="N5" i="126"/>
  <c r="N10" i="126" s="1"/>
  <c r="N17" i="126" s="1"/>
  <c r="M45" i="107" s="1"/>
  <c r="AD29" i="133"/>
  <c r="AD45" i="133" s="1"/>
  <c r="AD22" i="11" s="1"/>
  <c r="AF44" i="34" s="1"/>
  <c r="AD14" i="61"/>
  <c r="AF7" i="136"/>
  <c r="AF10" i="61" s="1"/>
  <c r="AA5" i="126"/>
  <c r="AA10" i="126" s="1"/>
  <c r="AA17" i="126" s="1"/>
  <c r="Z45" i="107" s="1"/>
  <c r="X111" i="109" s="1"/>
  <c r="X147" i="109" s="1"/>
  <c r="X5" i="126"/>
  <c r="X10" i="126" s="1"/>
  <c r="X17" i="126" s="1"/>
  <c r="W45" i="107" s="1"/>
  <c r="U111" i="109" s="1"/>
  <c r="U147" i="109" s="1"/>
  <c r="AK27" i="131"/>
  <c r="O40" i="11"/>
  <c r="H45" i="131"/>
  <c r="H49" i="131" s="1"/>
  <c r="BP14" i="134"/>
  <c r="BP18" i="134" s="1"/>
  <c r="J45" i="131"/>
  <c r="J49" i="131" s="1"/>
  <c r="L5" i="126"/>
  <c r="L10" i="126" s="1"/>
  <c r="L17" i="126" s="1"/>
  <c r="V63" i="34"/>
  <c r="V66" i="34" s="1"/>
  <c r="V69" i="34" s="1"/>
  <c r="P66" i="34"/>
  <c r="P74" i="34" s="1"/>
  <c r="P78" i="34" s="1"/>
  <c r="P82" i="34" s="1"/>
  <c r="H40" i="11"/>
  <c r="BB12" i="135"/>
  <c r="BA14" i="135"/>
  <c r="BA18" i="135" s="1"/>
  <c r="BR16" i="144"/>
  <c r="BR17" i="144" s="1"/>
  <c r="BO16" i="135"/>
  <c r="BO17" i="135" s="1"/>
  <c r="BU16" i="136"/>
  <c r="BU17" i="136" s="1"/>
  <c r="BS16" i="134"/>
  <c r="BS17" i="134" s="1"/>
  <c r="BL16" i="133"/>
  <c r="BL17" i="133" s="1"/>
  <c r="BU16" i="133"/>
  <c r="BU17" i="133" s="1"/>
  <c r="BL16" i="131"/>
  <c r="BL17" i="131" s="1"/>
  <c r="BL12" i="136"/>
  <c r="BU16" i="144"/>
  <c r="BU17" i="144" s="1"/>
  <c r="BK16" i="136"/>
  <c r="BK17" i="136" s="1"/>
  <c r="BQ16" i="135"/>
  <c r="BQ17" i="135" s="1"/>
  <c r="BU16" i="134"/>
  <c r="BU17" i="134" s="1"/>
  <c r="BO16" i="133"/>
  <c r="BO17" i="133" s="1"/>
  <c r="BP16" i="133"/>
  <c r="BP17" i="133" s="1"/>
  <c r="BV16" i="131"/>
  <c r="BV17" i="131" s="1"/>
  <c r="BS16" i="135"/>
  <c r="BS17" i="135" s="1"/>
  <c r="BU16" i="135"/>
  <c r="BU17" i="135" s="1"/>
  <c r="BT16" i="134"/>
  <c r="BT17" i="134" s="1"/>
  <c r="BV16" i="132"/>
  <c r="BV17" i="132" s="1"/>
  <c r="BV16" i="133"/>
  <c r="BV17" i="133" s="1"/>
  <c r="BP16" i="131"/>
  <c r="BP17" i="131" s="1"/>
  <c r="BO16" i="131"/>
  <c r="BO17" i="131" s="1"/>
  <c r="BM16" i="132"/>
  <c r="BM17" i="132" s="1"/>
  <c r="BL16" i="134"/>
  <c r="BL17" i="134" s="1"/>
  <c r="BP16" i="136"/>
  <c r="BP17" i="136" s="1"/>
  <c r="BL16" i="144"/>
  <c r="BL17" i="144" s="1"/>
  <c r="BN16" i="133"/>
  <c r="BN17" i="133" s="1"/>
  <c r="BL16" i="135"/>
  <c r="BL17" i="135" s="1"/>
  <c r="BM16" i="131"/>
  <c r="BM17" i="131" s="1"/>
  <c r="BO16" i="134"/>
  <c r="BO17" i="134" s="1"/>
  <c r="BK16" i="144"/>
  <c r="BK17" i="144" s="1"/>
  <c r="BT16" i="131"/>
  <c r="BT17" i="131" s="1"/>
  <c r="BU16" i="132"/>
  <c r="BU17" i="132" s="1"/>
  <c r="BM16" i="134"/>
  <c r="BM17" i="134" s="1"/>
  <c r="BV16" i="136"/>
  <c r="BV17" i="136" s="1"/>
  <c r="BM16" i="144"/>
  <c r="BM17" i="144" s="1"/>
  <c r="BQ16" i="131"/>
  <c r="BQ17" i="131" s="1"/>
  <c r="BL16" i="136"/>
  <c r="BL17" i="136" s="1"/>
  <c r="BM16" i="133"/>
  <c r="BM17" i="133" s="1"/>
  <c r="BN16" i="131"/>
  <c r="BN17" i="131" s="1"/>
  <c r="BR16" i="133"/>
  <c r="BR17" i="133" s="1"/>
  <c r="BV16" i="144"/>
  <c r="BV17" i="144" s="1"/>
  <c r="BT16" i="133"/>
  <c r="BT17" i="133" s="1"/>
  <c r="BK16" i="132"/>
  <c r="BK17" i="132" s="1"/>
  <c r="BV16" i="134"/>
  <c r="BV17" i="134" s="1"/>
  <c r="BR16" i="136"/>
  <c r="BR17" i="136" s="1"/>
  <c r="BO16" i="144"/>
  <c r="BO17" i="144" s="1"/>
  <c r="BS16" i="132"/>
  <c r="BS17" i="132" s="1"/>
  <c r="BR16" i="135"/>
  <c r="BR17" i="135" s="1"/>
  <c r="BP16" i="132"/>
  <c r="BP17" i="132" s="1"/>
  <c r="BT16" i="135"/>
  <c r="BT17" i="135" s="1"/>
  <c r="BQ16" i="144"/>
  <c r="BQ17" i="144" s="1"/>
  <c r="BQ16" i="133"/>
  <c r="BQ17" i="133" s="1"/>
  <c r="BK16" i="133"/>
  <c r="BK17" i="133" s="1"/>
  <c r="BP16" i="134"/>
  <c r="BP17" i="134" s="1"/>
  <c r="BK16" i="135"/>
  <c r="BK17" i="135" s="1"/>
  <c r="BS16" i="144"/>
  <c r="BS17" i="144" s="1"/>
  <c r="BQ16" i="134"/>
  <c r="BQ17" i="134" s="1"/>
  <c r="BK16" i="134"/>
  <c r="BK17" i="134" s="1"/>
  <c r="BN16" i="136"/>
  <c r="BN17" i="136" s="1"/>
  <c r="BR16" i="134"/>
  <c r="BR17" i="134" s="1"/>
  <c r="BV16" i="135"/>
  <c r="BV17" i="135" s="1"/>
  <c r="BT16" i="144"/>
  <c r="BT17" i="144" s="1"/>
  <c r="BS16" i="131"/>
  <c r="BS17" i="131" s="1"/>
  <c r="BL16" i="132"/>
  <c r="BL17" i="132" s="1"/>
  <c r="BS16" i="133"/>
  <c r="BS17" i="133" s="1"/>
  <c r="BT16" i="136"/>
  <c r="BT17" i="136" s="1"/>
  <c r="BQ16" i="136"/>
  <c r="BQ17" i="136" s="1"/>
  <c r="BN16" i="144"/>
  <c r="BN17" i="144" s="1"/>
  <c r="BR16" i="131"/>
  <c r="BR17" i="131" s="1"/>
  <c r="BN16" i="134"/>
  <c r="BN17" i="134" s="1"/>
  <c r="BS16" i="136"/>
  <c r="BS17" i="136" s="1"/>
  <c r="BQ16" i="132"/>
  <c r="BQ17" i="132" s="1"/>
  <c r="BP16" i="135"/>
  <c r="BP17" i="135" s="1"/>
  <c r="BU16" i="131"/>
  <c r="BU17" i="131" s="1"/>
  <c r="BT16" i="132"/>
  <c r="BT17" i="132" s="1"/>
  <c r="BR16" i="132"/>
  <c r="BR17" i="132" s="1"/>
  <c r="BM16" i="136"/>
  <c r="BM17" i="136" s="1"/>
  <c r="BN16" i="135"/>
  <c r="BN17" i="135" s="1"/>
  <c r="BP16" i="144"/>
  <c r="BP17" i="144" s="1"/>
  <c r="BO16" i="132"/>
  <c r="BO17" i="132" s="1"/>
  <c r="BO16" i="136"/>
  <c r="BO17" i="136" s="1"/>
  <c r="BN16" i="132"/>
  <c r="BN17" i="132" s="1"/>
  <c r="BK16" i="131"/>
  <c r="BK17" i="131" s="1"/>
  <c r="BM16" i="135"/>
  <c r="BM17" i="135" s="1"/>
  <c r="BA12" i="133"/>
  <c r="AZ14" i="133"/>
  <c r="AZ18" i="133" s="1"/>
  <c r="BM12" i="133"/>
  <c r="BL14" i="133"/>
  <c r="BL18" i="133" s="1"/>
  <c r="BA12" i="136"/>
  <c r="AZ14" i="136"/>
  <c r="AZ18" i="136" s="1"/>
  <c r="AS27" i="134"/>
  <c r="AR27" i="134"/>
  <c r="AT27" i="134" s="1"/>
  <c r="AD45" i="34"/>
  <c r="AD63" i="34" s="1"/>
  <c r="AD66" i="34" s="1"/>
  <c r="AD74" i="34" s="1"/>
  <c r="AD78" i="34" s="1"/>
  <c r="AD82" i="34" s="1"/>
  <c r="AD86" i="34" s="1"/>
  <c r="BF14" i="131"/>
  <c r="BF18" i="131" s="1"/>
  <c r="AD29" i="131"/>
  <c r="AD45" i="131" s="1"/>
  <c r="N40" i="11"/>
  <c r="M40" i="34"/>
  <c r="M63" i="34" s="1"/>
  <c r="AE19" i="136"/>
  <c r="AF19" i="136" s="1"/>
  <c r="G22" i="116"/>
  <c r="D22" i="116"/>
  <c r="J63" i="34"/>
  <c r="J65" i="34" s="1"/>
  <c r="AI36" i="133"/>
  <c r="AF33" i="133"/>
  <c r="AG33" i="133" s="1"/>
  <c r="AE43" i="133"/>
  <c r="J66" i="34"/>
  <c r="J69" i="34" s="1"/>
  <c r="P40" i="11"/>
  <c r="S63" i="34"/>
  <c r="S66" i="34" s="1"/>
  <c r="S74" i="34" s="1"/>
  <c r="S78" i="34" s="1"/>
  <c r="S82" i="34" s="1"/>
  <c r="K12" i="85"/>
  <c r="K13" i="85" s="1"/>
  <c r="K28" i="57"/>
  <c r="AK40" i="135"/>
  <c r="AJ45" i="145"/>
  <c r="AK45" i="145"/>
  <c r="AL45" i="145"/>
  <c r="AL27" i="144"/>
  <c r="AK27" i="144"/>
  <c r="AG28" i="133"/>
  <c r="O61" i="34"/>
  <c r="O63" i="34" s="1"/>
  <c r="O65" i="34" s="1"/>
  <c r="AG42" i="136"/>
  <c r="BD13" i="70"/>
  <c r="BC13" i="70"/>
  <c r="AG38" i="133"/>
  <c r="T61" i="34"/>
  <c r="AB17" i="85" s="1"/>
  <c r="D33" i="57"/>
  <c r="D35" i="57" s="1"/>
  <c r="D15" i="85" s="1"/>
  <c r="D19" i="116" s="1"/>
  <c r="H40" i="34"/>
  <c r="AJ27" i="136"/>
  <c r="AI27" i="136"/>
  <c r="AC61" i="34"/>
  <c r="K44" i="57"/>
  <c r="Z22" i="57"/>
  <c r="Z25" i="57" s="1"/>
  <c r="Z28" i="57" s="1"/>
  <c r="Z29" i="57" s="1"/>
  <c r="BX30" i="34"/>
  <c r="AF26" i="131"/>
  <c r="AG26" i="133"/>
  <c r="AH26" i="133" s="1"/>
  <c r="BI13" i="70"/>
  <c r="H38" i="57"/>
  <c r="H40" i="57" s="1"/>
  <c r="H16" i="85" s="1"/>
  <c r="T45" i="34"/>
  <c r="AB16" i="85" s="1"/>
  <c r="Z49" i="11"/>
  <c r="K22" i="116" s="1"/>
  <c r="Z23" i="11"/>
  <c r="Z40" i="11" s="1"/>
  <c r="AB43" i="34"/>
  <c r="X38" i="11"/>
  <c r="X40" i="11" s="1"/>
  <c r="AE43" i="144"/>
  <c r="AF32" i="144"/>
  <c r="AH50" i="145"/>
  <c r="AG41" i="131"/>
  <c r="AG40" i="131"/>
  <c r="AJ36" i="131"/>
  <c r="J44" i="57"/>
  <c r="J56" i="57" s="1"/>
  <c r="J17" i="85" s="1"/>
  <c r="I43" i="57"/>
  <c r="I56" i="57" s="1"/>
  <c r="I17" i="85" s="1"/>
  <c r="W61" i="34"/>
  <c r="AF25" i="136"/>
  <c r="AF34" i="145"/>
  <c r="AG35" i="145"/>
  <c r="BP30" i="34"/>
  <c r="X22" i="57"/>
  <c r="X25" i="57" s="1"/>
  <c r="X28" i="57" s="1"/>
  <c r="X29" i="57" s="1"/>
  <c r="AG43" i="145"/>
  <c r="AH43" i="145"/>
  <c r="AH42" i="144"/>
  <c r="AG49" i="145"/>
  <c r="AA30" i="34"/>
  <c r="AA33" i="34" s="1"/>
  <c r="AA34" i="34" s="1"/>
  <c r="J21" i="57"/>
  <c r="J25" i="57" s="1"/>
  <c r="J12" i="85" s="1"/>
  <c r="J13" i="85" s="1"/>
  <c r="J14" i="85" s="1"/>
  <c r="AH28" i="136"/>
  <c r="AK36" i="131"/>
  <c r="AI26" i="132"/>
  <c r="T22" i="57"/>
  <c r="F38" i="57"/>
  <c r="F40" i="57" s="1"/>
  <c r="F16" i="85" s="1"/>
  <c r="N45" i="34"/>
  <c r="V38" i="11"/>
  <c r="V40" i="11" s="1"/>
  <c r="R38" i="11"/>
  <c r="R40" i="11" s="1"/>
  <c r="AE52" i="145"/>
  <c r="AG32" i="145"/>
  <c r="AK36" i="136"/>
  <c r="AG28" i="131"/>
  <c r="I33" i="57"/>
  <c r="I35" i="57" s="1"/>
  <c r="I15" i="85" s="1"/>
  <c r="I19" i="116" s="1"/>
  <c r="W40" i="34"/>
  <c r="I40" i="11"/>
  <c r="AA63" i="34"/>
  <c r="D40" i="11"/>
  <c r="G59" i="58"/>
  <c r="K55" i="57"/>
  <c r="S59" i="58"/>
  <c r="AK34" i="133"/>
  <c r="AM27" i="144"/>
  <c r="D12" i="85"/>
  <c r="D13" i="85" s="1"/>
  <c r="D14" i="85" s="1"/>
  <c r="D28" i="57"/>
  <c r="U49" i="34"/>
  <c r="U61" i="34" s="1"/>
  <c r="U63" i="34" s="1"/>
  <c r="U66" i="34" s="1"/>
  <c r="S38" i="11"/>
  <c r="S40" i="11" s="1"/>
  <c r="W38" i="11"/>
  <c r="W40" i="11" s="1"/>
  <c r="BA30" i="34"/>
  <c r="S21" i="57"/>
  <c r="S25" i="57" s="1"/>
  <c r="S28" i="57" s="1"/>
  <c r="S29" i="57" s="1"/>
  <c r="I25" i="58"/>
  <c r="U25" i="58"/>
  <c r="U29" i="58" s="1"/>
  <c r="U32" i="58" s="1"/>
  <c r="U33" i="58" s="1"/>
  <c r="F40" i="11"/>
  <c r="C22" i="116"/>
  <c r="AG37" i="136"/>
  <c r="AI37" i="136" s="1"/>
  <c r="C38" i="57"/>
  <c r="C40" i="57" s="1"/>
  <c r="C16" i="85" s="1"/>
  <c r="D42" i="58"/>
  <c r="D44" i="58" s="1"/>
  <c r="P44" i="58" s="1"/>
  <c r="R44" i="58" s="1"/>
  <c r="E45" i="34"/>
  <c r="X61" i="34"/>
  <c r="X63" i="34" s="1"/>
  <c r="X66" i="34" s="1"/>
  <c r="X74" i="34" s="1"/>
  <c r="X78" i="34" s="1"/>
  <c r="X82" i="34" s="1"/>
  <c r="X86" i="34" s="1"/>
  <c r="AF25" i="133"/>
  <c r="AH39" i="133"/>
  <c r="AH28" i="145"/>
  <c r="AG32" i="144"/>
  <c r="AI50" i="145"/>
  <c r="AG34" i="131"/>
  <c r="AG25" i="135"/>
  <c r="BE13" i="70"/>
  <c r="G63" i="34"/>
  <c r="G65" i="34" s="1"/>
  <c r="AL36" i="131"/>
  <c r="AI25" i="134"/>
  <c r="AF43" i="132"/>
  <c r="AH42" i="132"/>
  <c r="AG42" i="132"/>
  <c r="U21" i="57"/>
  <c r="U25" i="57" s="1"/>
  <c r="U28" i="57" s="1"/>
  <c r="U29" i="57" s="1"/>
  <c r="BG30" i="34"/>
  <c r="BG33" i="34" s="1"/>
  <c r="BG34" i="34" s="1"/>
  <c r="H28" i="57"/>
  <c r="H6" i="85"/>
  <c r="AI13" i="116" s="1"/>
  <c r="AI14" i="116" s="1"/>
  <c r="AI15" i="116" s="1"/>
  <c r="Z61" i="34"/>
  <c r="K40" i="11"/>
  <c r="D37" i="58"/>
  <c r="C33" i="57"/>
  <c r="C35" i="57" s="1"/>
  <c r="C15" i="85" s="1"/>
  <c r="E40" i="34"/>
  <c r="AH39" i="135"/>
  <c r="AI39" i="135" s="1"/>
  <c r="AG37" i="135"/>
  <c r="AH37" i="135" s="1"/>
  <c r="AK51" i="145"/>
  <c r="BX33" i="34"/>
  <c r="BX34" i="34" s="1"/>
  <c r="BY9" i="69"/>
  <c r="BY12" i="69" s="1"/>
  <c r="BY24" i="69" s="1"/>
  <c r="AF37" i="144"/>
  <c r="AI49" i="145"/>
  <c r="AH49" i="145"/>
  <c r="AJ49" i="145" s="1"/>
  <c r="AE43" i="131"/>
  <c r="AI28" i="136"/>
  <c r="T40" i="11"/>
  <c r="G30" i="34"/>
  <c r="G33" i="34" s="1"/>
  <c r="C21" i="57"/>
  <c r="C25" i="57" s="1"/>
  <c r="D25" i="58"/>
  <c r="F22" i="116"/>
  <c r="AJ35" i="135"/>
  <c r="AI39" i="144"/>
  <c r="BT33" i="34"/>
  <c r="BT34" i="34" s="1"/>
  <c r="BU9" i="69"/>
  <c r="AH47" i="145"/>
  <c r="AI42" i="144"/>
  <c r="AF48" i="145"/>
  <c r="AH37" i="136"/>
  <c r="L40" i="11"/>
  <c r="K61" i="34"/>
  <c r="E44" i="57"/>
  <c r="E56" i="57" s="1"/>
  <c r="E17" i="85" s="1"/>
  <c r="AF32" i="131"/>
  <c r="F61" i="34"/>
  <c r="C44" i="57"/>
  <c r="C56" i="57" s="1"/>
  <c r="C17" i="85" s="1"/>
  <c r="AI33" i="131"/>
  <c r="G38" i="57"/>
  <c r="G40" i="57" s="1"/>
  <c r="G16" i="85" s="1"/>
  <c r="Q45" i="34"/>
  <c r="G44" i="57"/>
  <c r="I6" i="85"/>
  <c r="AJ13" i="116" s="1"/>
  <c r="AJ14" i="116" s="1"/>
  <c r="AJ15" i="116" s="1"/>
  <c r="Q30" i="34"/>
  <c r="F25" i="58"/>
  <c r="F29" i="58" s="1"/>
  <c r="F32" i="58" s="1"/>
  <c r="G21" i="57"/>
  <c r="G25" i="57" s="1"/>
  <c r="G12" i="85" s="1"/>
  <c r="E25" i="58"/>
  <c r="E29" i="58" s="1"/>
  <c r="E32" i="58" s="1"/>
  <c r="E33" i="58" s="1"/>
  <c r="AJ38" i="131"/>
  <c r="BP33" i="34"/>
  <c r="BP34" i="34" s="1"/>
  <c r="BQ9" i="69"/>
  <c r="AI40" i="136"/>
  <c r="AH24" i="136"/>
  <c r="AG24" i="136"/>
  <c r="E59" i="58"/>
  <c r="F21" i="57"/>
  <c r="F25" i="57" s="1"/>
  <c r="F12" i="85" s="1"/>
  <c r="F13" i="85" s="1"/>
  <c r="F14" i="85" s="1"/>
  <c r="O30" i="34"/>
  <c r="AL34" i="133"/>
  <c r="S22" i="116"/>
  <c r="E38" i="57"/>
  <c r="E40" i="57" s="1"/>
  <c r="E16" i="85" s="1"/>
  <c r="K45" i="34"/>
  <c r="J33" i="57"/>
  <c r="J35" i="57" s="1"/>
  <c r="J15" i="85" s="1"/>
  <c r="K19" i="116" s="1"/>
  <c r="Z40" i="34"/>
  <c r="F33" i="57"/>
  <c r="F35" i="57" s="1"/>
  <c r="F15" i="85" s="1"/>
  <c r="F19" i="116" s="1"/>
  <c r="N40" i="34"/>
  <c r="L61" i="34"/>
  <c r="L63" i="34" s="1"/>
  <c r="L65" i="34" s="1"/>
  <c r="AG20" i="133"/>
  <c r="AG25" i="131"/>
  <c r="AL40" i="135"/>
  <c r="AG34" i="145"/>
  <c r="AH33" i="145"/>
  <c r="AG33" i="145"/>
  <c r="AL51" i="145"/>
  <c r="E47" i="58"/>
  <c r="G43" i="57"/>
  <c r="F47" i="58"/>
  <c r="AH40" i="133"/>
  <c r="AE43" i="135"/>
  <c r="AF32" i="135"/>
  <c r="I38" i="57"/>
  <c r="I40" i="57" s="1"/>
  <c r="I16" i="85" s="1"/>
  <c r="W45" i="34"/>
  <c r="E40" i="11"/>
  <c r="AE63" i="34"/>
  <c r="AE66" i="34" s="1"/>
  <c r="AH33" i="136"/>
  <c r="AF36" i="135"/>
  <c r="AI35" i="131"/>
  <c r="AH35" i="131"/>
  <c r="AG28" i="132"/>
  <c r="Q38" i="11"/>
  <c r="Q40" i="11" s="1"/>
  <c r="AI27" i="132"/>
  <c r="G6" i="85"/>
  <c r="Y40" i="11"/>
  <c r="I21" i="57"/>
  <c r="I25" i="57" s="1"/>
  <c r="I12" i="85" s="1"/>
  <c r="I13" i="85" s="1"/>
  <c r="I14" i="85" s="1"/>
  <c r="W30" i="34"/>
  <c r="W33" i="34" s="1"/>
  <c r="F6" i="85"/>
  <c r="BH9" i="69"/>
  <c r="E33" i="57"/>
  <c r="E35" i="57" s="1"/>
  <c r="E15" i="85" s="1"/>
  <c r="E19" i="116" s="1"/>
  <c r="K40" i="34"/>
  <c r="AC40" i="11"/>
  <c r="AG24" i="134"/>
  <c r="AI24" i="134" s="1"/>
  <c r="AH24" i="134"/>
  <c r="H33" i="57"/>
  <c r="H35" i="57" s="1"/>
  <c r="H15" i="85" s="1"/>
  <c r="H19" i="116" s="1"/>
  <c r="T40" i="34"/>
  <c r="AH26" i="145"/>
  <c r="N61" i="34"/>
  <c r="F44" i="57"/>
  <c r="F56" i="57" s="1"/>
  <c r="F17" i="85" s="1"/>
  <c r="AH27" i="133"/>
  <c r="AH27" i="132"/>
  <c r="AM36" i="131"/>
  <c r="AI28" i="144"/>
  <c r="AG42" i="133"/>
  <c r="Q61" i="34"/>
  <c r="AK28" i="145"/>
  <c r="AE54" i="145"/>
  <c r="AO27" i="145"/>
  <c r="M38" i="11"/>
  <c r="M40" i="11" s="1"/>
  <c r="AH42" i="136"/>
  <c r="E22" i="116"/>
  <c r="E6" i="85"/>
  <c r="R6" i="85" s="1"/>
  <c r="AG33" i="135"/>
  <c r="AF33" i="135"/>
  <c r="AI33" i="135" s="1"/>
  <c r="I26" i="58"/>
  <c r="AH37" i="133"/>
  <c r="AF37" i="131"/>
  <c r="AF34" i="135"/>
  <c r="AH35" i="136"/>
  <c r="AA40" i="11"/>
  <c r="AH42" i="145"/>
  <c r="AI42" i="145" s="1"/>
  <c r="K38" i="57"/>
  <c r="K40" i="57" s="1"/>
  <c r="K16" i="85" s="1"/>
  <c r="AC45" i="34"/>
  <c r="AH46" i="145"/>
  <c r="AG46" i="145"/>
  <c r="BE30" i="34"/>
  <c r="BE33" i="34" s="1"/>
  <c r="BE34" i="34" s="1"/>
  <c r="T21" i="57"/>
  <c r="BB9" i="69"/>
  <c r="BA33" i="34"/>
  <c r="BA34" i="34" s="1"/>
  <c r="AI40" i="133"/>
  <c r="AI26" i="135"/>
  <c r="K30" i="34"/>
  <c r="K33" i="34" s="1"/>
  <c r="K34" i="34" s="1"/>
  <c r="E21" i="57"/>
  <c r="E25" i="57" s="1"/>
  <c r="E12" i="85" s="1"/>
  <c r="E13" i="85" s="1"/>
  <c r="E14" i="85" s="1"/>
  <c r="AH33" i="135"/>
  <c r="Y63" i="34"/>
  <c r="Y66" i="34" s="1"/>
  <c r="AH20" i="133"/>
  <c r="AK38" i="136"/>
  <c r="AI39" i="133"/>
  <c r="AF43" i="133"/>
  <c r="AF34" i="136"/>
  <c r="AI28" i="145"/>
  <c r="Y25" i="57"/>
  <c r="Y28" i="57" s="1"/>
  <c r="Y29" i="57" s="1"/>
  <c r="AF36" i="145"/>
  <c r="AI33" i="145"/>
  <c r="AM51" i="145"/>
  <c r="AG38" i="144"/>
  <c r="AJ50" i="145"/>
  <c r="AG24" i="131"/>
  <c r="J6" i="85"/>
  <c r="AK13" i="116" s="1"/>
  <c r="AK14" i="116" s="1"/>
  <c r="AK15" i="116" s="1"/>
  <c r="J28" i="57"/>
  <c r="AH41" i="131"/>
  <c r="V22" i="57"/>
  <c r="V25" i="57" s="1"/>
  <c r="V28" i="57" s="1"/>
  <c r="V29" i="57" s="1"/>
  <c r="BJ30" i="34"/>
  <c r="BJ33" i="34" s="1"/>
  <c r="BJ34" i="34" s="1"/>
  <c r="I49" i="34"/>
  <c r="G38" i="11"/>
  <c r="G40" i="11" s="1"/>
  <c r="U40" i="11"/>
  <c r="D38" i="57"/>
  <c r="D40" i="57" s="1"/>
  <c r="D16" i="85" s="1"/>
  <c r="H45" i="34"/>
  <c r="AF25" i="132"/>
  <c r="AL38" i="136"/>
  <c r="AM38" i="136" s="1"/>
  <c r="AI28" i="135"/>
  <c r="AJ42" i="135"/>
  <c r="AJ28" i="145"/>
  <c r="AI26" i="145"/>
  <c r="AI33" i="144"/>
  <c r="AG40" i="144"/>
  <c r="AH40" i="144" s="1"/>
  <c r="AK34" i="144"/>
  <c r="AG26" i="144"/>
  <c r="AJ43" i="145"/>
  <c r="AI43" i="145"/>
  <c r="AJ42" i="144"/>
  <c r="Q33" i="34"/>
  <c r="AH28" i="131"/>
  <c r="I22" i="116"/>
  <c r="O33" i="34"/>
  <c r="C40" i="11"/>
  <c r="AG38" i="135"/>
  <c r="AH38" i="135" s="1"/>
  <c r="AH38" i="133"/>
  <c r="AH28" i="133"/>
  <c r="BK9" i="69"/>
  <c r="BK13" i="70" s="1"/>
  <c r="R63" i="34"/>
  <c r="R66" i="34" s="1"/>
  <c r="AI35" i="133"/>
  <c r="AH39" i="136"/>
  <c r="AG26" i="136"/>
  <c r="AI25" i="145"/>
  <c r="AF40" i="145"/>
  <c r="AI47" i="145"/>
  <c r="AG37" i="144"/>
  <c r="AH38" i="144"/>
  <c r="AG35" i="144"/>
  <c r="P21" i="58"/>
  <c r="R21" i="58" s="1"/>
  <c r="AL36" i="136"/>
  <c r="AM36" i="136" s="1"/>
  <c r="D38" i="58"/>
  <c r="P38" i="58" s="1"/>
  <c r="R38" i="58" s="1"/>
  <c r="AG39" i="145"/>
  <c r="AH39" i="145" s="1"/>
  <c r="AM36" i="144"/>
  <c r="AF37" i="145"/>
  <c r="K33" i="57"/>
  <c r="K35" i="57" s="1"/>
  <c r="AC40" i="34"/>
  <c r="AL44" i="145"/>
  <c r="G33" i="57"/>
  <c r="G35" i="57" s="1"/>
  <c r="G15" i="85" s="1"/>
  <c r="G19" i="116" s="1"/>
  <c r="F37" i="58"/>
  <c r="F39" i="58" s="1"/>
  <c r="E37" i="58"/>
  <c r="E39" i="58" s="1"/>
  <c r="Q40" i="34"/>
  <c r="AG38" i="145"/>
  <c r="AN27" i="145"/>
  <c r="AO27" i="144"/>
  <c r="AN27" i="144"/>
  <c r="AO27" i="135"/>
  <c r="AN27" i="135"/>
  <c r="AD29" i="132"/>
  <c r="AD57" i="132" s="1"/>
  <c r="AD18" i="11" s="1"/>
  <c r="AF39" i="34" s="1"/>
  <c r="AD29" i="135"/>
  <c r="AD45" i="135" s="1"/>
  <c r="AD26" i="11" s="1"/>
  <c r="AF49" i="34" s="1"/>
  <c r="BO12" i="135"/>
  <c r="BN14" i="135"/>
  <c r="BN18" i="135" s="1"/>
  <c r="AU12" i="133"/>
  <c r="AT14" i="133"/>
  <c r="AT18" i="133" s="1"/>
  <c r="AP14" i="134"/>
  <c r="AP18" i="134" s="1"/>
  <c r="BR12" i="134"/>
  <c r="BQ14" i="134"/>
  <c r="BQ18" i="134" s="1"/>
  <c r="AS14" i="136"/>
  <c r="AS18" i="136" s="1"/>
  <c r="AD19" i="144"/>
  <c r="AD18" i="144"/>
  <c r="AR12" i="144"/>
  <c r="AQ14" i="144"/>
  <c r="AQ18" i="144" s="1"/>
  <c r="AF12" i="144"/>
  <c r="AE14" i="144"/>
  <c r="AD29" i="136"/>
  <c r="AD45" i="136" s="1"/>
  <c r="AD21" i="11" s="1"/>
  <c r="BF12" i="132"/>
  <c r="BE14" i="132"/>
  <c r="BS12" i="144"/>
  <c r="BR14" i="144"/>
  <c r="AE18" i="132"/>
  <c r="AE19" i="132"/>
  <c r="BC18" i="144"/>
  <c r="AP14" i="135"/>
  <c r="AQ12" i="135"/>
  <c r="AE18" i="131"/>
  <c r="AE19" i="131"/>
  <c r="AF18" i="136"/>
  <c r="BQ18" i="132"/>
  <c r="AE18" i="133"/>
  <c r="AE19" i="133"/>
  <c r="S10" i="126"/>
  <c r="S17" i="126" s="1"/>
  <c r="R45" i="107" s="1"/>
  <c r="BE12" i="144"/>
  <c r="BD14" i="144"/>
  <c r="AO18" i="135"/>
  <c r="AF14" i="131"/>
  <c r="AG14" i="136"/>
  <c r="BS12" i="132"/>
  <c r="BR14" i="132"/>
  <c r="AF14" i="133"/>
  <c r="AP18" i="131"/>
  <c r="AO18" i="132"/>
  <c r="AF14" i="135"/>
  <c r="BQ18" i="144"/>
  <c r="AF14" i="132"/>
  <c r="BC12" i="134"/>
  <c r="BB14" i="134"/>
  <c r="BB18" i="134" s="1"/>
  <c r="BG14" i="131"/>
  <c r="AQ14" i="131"/>
  <c r="AQ12" i="132"/>
  <c r="AP14" i="132"/>
  <c r="AE19" i="135"/>
  <c r="AE18" i="135"/>
  <c r="AF21" i="145"/>
  <c r="AF29" i="145" s="1"/>
  <c r="AG7" i="145"/>
  <c r="AG21" i="144"/>
  <c r="AH7" i="144"/>
  <c r="AF21" i="136"/>
  <c r="AF21" i="131"/>
  <c r="AI28" i="134"/>
  <c r="AJ28" i="134" s="1"/>
  <c r="AK28" i="134" s="1"/>
  <c r="AH42" i="134"/>
  <c r="AI42" i="134" s="1"/>
  <c r="AJ41" i="134"/>
  <c r="AK41" i="134" s="1"/>
  <c r="AH35" i="134"/>
  <c r="AI35" i="134" s="1"/>
  <c r="AJ35" i="134" s="1"/>
  <c r="AH37" i="134"/>
  <c r="AI37" i="134" s="1"/>
  <c r="AG34" i="134"/>
  <c r="AH38" i="134"/>
  <c r="AH39" i="134"/>
  <c r="AD29" i="134"/>
  <c r="AD45" i="134" s="1"/>
  <c r="AD25" i="11" s="1"/>
  <c r="AG36" i="134"/>
  <c r="AH33" i="134"/>
  <c r="AI33" i="134" s="1"/>
  <c r="AE19" i="134"/>
  <c r="AE18" i="134"/>
  <c r="AI26" i="134"/>
  <c r="AH32" i="134"/>
  <c r="AI32" i="134" s="1"/>
  <c r="AF43" i="134"/>
  <c r="AF14" i="134"/>
  <c r="T25" i="57" l="1"/>
  <c r="T28" i="57" s="1"/>
  <c r="T29" i="57" s="1"/>
  <c r="AO62" i="109"/>
  <c r="AO65" i="109" s="1"/>
  <c r="AR3" i="65" s="1"/>
  <c r="AR5" i="65" s="1"/>
  <c r="AP11" i="11" s="1"/>
  <c r="AR20" i="34" s="1"/>
  <c r="AI62" i="109"/>
  <c r="AI65" i="109" s="1"/>
  <c r="AL3" i="65" s="1"/>
  <c r="AL5" i="65" s="1"/>
  <c r="AJ11" i="11" s="1"/>
  <c r="AL20" i="34" s="1"/>
  <c r="AS26" i="109"/>
  <c r="AR110" i="109"/>
  <c r="U11" i="116"/>
  <c r="AF62" i="109"/>
  <c r="AF65" i="109" s="1"/>
  <c r="AI10" i="65" s="1"/>
  <c r="AI11" i="65" s="1"/>
  <c r="AG8" i="11" s="1"/>
  <c r="AU29" i="109"/>
  <c r="AQ110" i="109"/>
  <c r="AW116" i="109"/>
  <c r="AV115" i="109"/>
  <c r="AW31" i="109"/>
  <c r="AT28" i="109"/>
  <c r="AS27" i="109"/>
  <c r="AS112" i="109" s="1"/>
  <c r="AT113" i="109"/>
  <c r="AU114" i="109"/>
  <c r="AR26" i="109"/>
  <c r="AV30" i="109"/>
  <c r="AD62" i="109"/>
  <c r="AD65" i="109" s="1"/>
  <c r="AG10" i="65" s="1"/>
  <c r="AG11" i="65" s="1"/>
  <c r="AE8" i="11" s="1"/>
  <c r="AE16" i="115"/>
  <c r="AD63" i="115"/>
  <c r="AD66" i="115" s="1"/>
  <c r="AQ16" i="125"/>
  <c r="AC63" i="125"/>
  <c r="AC66" i="125" s="1"/>
  <c r="AF11" i="34" s="1"/>
  <c r="AD15" i="125"/>
  <c r="AJ16" i="115"/>
  <c r="AR10" i="65"/>
  <c r="AR11" i="65" s="1"/>
  <c r="AP8" i="11" s="1"/>
  <c r="AR26" i="34" s="1"/>
  <c r="AR113" i="109"/>
  <c r="AS114" i="109"/>
  <c r="AW33" i="109"/>
  <c r="AU31" i="109"/>
  <c r="AT115" i="109"/>
  <c r="AT30" i="109"/>
  <c r="AR28" i="109"/>
  <c r="AO110" i="109"/>
  <c r="AV32" i="109"/>
  <c r="AV117" i="109"/>
  <c r="AS29" i="109"/>
  <c r="AU116" i="109"/>
  <c r="AQ27" i="109"/>
  <c r="AQ112" i="109" s="1"/>
  <c r="AP26" i="109"/>
  <c r="AP62" i="109" s="1"/>
  <c r="AP65" i="109" s="1"/>
  <c r="AW118" i="109"/>
  <c r="AS98" i="109"/>
  <c r="AK99" i="109"/>
  <c r="AK62" i="109"/>
  <c r="AK65" i="109" s="1"/>
  <c r="AL16" i="125"/>
  <c r="AM17" i="125" s="1"/>
  <c r="AN18" i="125" s="1"/>
  <c r="AO19" i="125" s="1"/>
  <c r="AP20" i="125" s="1"/>
  <c r="AQ21" i="125" s="1"/>
  <c r="AR22" i="125" s="1"/>
  <c r="AS23" i="125" s="1"/>
  <c r="AT24" i="125" s="1"/>
  <c r="AU25" i="125" s="1"/>
  <c r="AV26" i="125" s="1"/>
  <c r="AW27" i="125" s="1"/>
  <c r="AC62" i="109"/>
  <c r="AC65" i="109" s="1"/>
  <c r="AF12" i="34" s="1"/>
  <c r="AC98" i="109"/>
  <c r="AI16" i="70"/>
  <c r="AK30" i="69"/>
  <c r="AS17" i="125"/>
  <c r="AT108" i="109"/>
  <c r="AN102" i="109"/>
  <c r="AN62" i="109"/>
  <c r="AN65" i="109" s="1"/>
  <c r="AG17" i="115"/>
  <c r="AG62" i="109"/>
  <c r="AG65" i="109" s="1"/>
  <c r="AG98" i="109"/>
  <c r="K15" i="85"/>
  <c r="L19" i="116" s="1"/>
  <c r="AI3" i="65"/>
  <c r="AI5" i="65" s="1"/>
  <c r="AG11" i="11" s="1"/>
  <c r="AI20" i="34" s="1"/>
  <c r="AW16" i="125"/>
  <c r="AN16" i="115"/>
  <c r="AH15" i="125"/>
  <c r="U13" i="116"/>
  <c r="U14" i="116" s="1"/>
  <c r="V13" i="116"/>
  <c r="U10" i="116"/>
  <c r="U8" i="116"/>
  <c r="U20" i="116"/>
  <c r="AH62" i="109"/>
  <c r="AH65" i="109" s="1"/>
  <c r="AH98" i="109"/>
  <c r="AG17" i="125"/>
  <c r="AH18" i="125" s="1"/>
  <c r="AI19" i="125" s="1"/>
  <c r="AJ20" i="125" s="1"/>
  <c r="AK21" i="125" s="1"/>
  <c r="AL22" i="125" s="1"/>
  <c r="AM23" i="125" s="1"/>
  <c r="AN24" i="125" s="1"/>
  <c r="AO25" i="125" s="1"/>
  <c r="AP26" i="125" s="1"/>
  <c r="AQ27" i="125" s="1"/>
  <c r="AR28" i="125" s="1"/>
  <c r="AS29" i="125" s="1"/>
  <c r="AT30" i="125" s="1"/>
  <c r="AU31" i="125" s="1"/>
  <c r="AV32" i="125" s="1"/>
  <c r="AW33" i="125" s="1"/>
  <c r="AJ98" i="109"/>
  <c r="AJ62" i="109"/>
  <c r="AJ65" i="109" s="1"/>
  <c r="AW26" i="109"/>
  <c r="AV110" i="109"/>
  <c r="AV98" i="109"/>
  <c r="AE62" i="109"/>
  <c r="AE65" i="109" s="1"/>
  <c r="AS110" i="109"/>
  <c r="AW29" i="109"/>
  <c r="AU27" i="109"/>
  <c r="AU112" i="109" s="1"/>
  <c r="AT26" i="109"/>
  <c r="AV113" i="109"/>
  <c r="AW114" i="109"/>
  <c r="AV28" i="109"/>
  <c r="K14" i="85"/>
  <c r="AM15" i="125"/>
  <c r="AL16" i="115"/>
  <c r="AQ16" i="115"/>
  <c r="AW16" i="115"/>
  <c r="AU26" i="109"/>
  <c r="AW113" i="109"/>
  <c r="AW28" i="109"/>
  <c r="AT110" i="109"/>
  <c r="AV27" i="109"/>
  <c r="AV112" i="109" s="1"/>
  <c r="AP98" i="109"/>
  <c r="AM98" i="109"/>
  <c r="AM62" i="109"/>
  <c r="AM65" i="109" s="1"/>
  <c r="AQ105" i="109"/>
  <c r="AL62" i="109"/>
  <c r="AL65" i="109" s="1"/>
  <c r="F28" i="57"/>
  <c r="F29" i="57" s="1"/>
  <c r="AF21" i="134"/>
  <c r="AE14" i="61"/>
  <c r="AG7" i="134"/>
  <c r="P69" i="34"/>
  <c r="AF21" i="133"/>
  <c r="AG7" i="133"/>
  <c r="AH7" i="135"/>
  <c r="AH12" i="61" s="1"/>
  <c r="V74" i="34"/>
  <c r="V78" i="34" s="1"/>
  <c r="V82" i="34" s="1"/>
  <c r="V86" i="34" s="1"/>
  <c r="AH7" i="132"/>
  <c r="AH21" i="132" s="1"/>
  <c r="AG21" i="135"/>
  <c r="AF7" i="61"/>
  <c r="AG7" i="136"/>
  <c r="AH7" i="136" s="1"/>
  <c r="AF21" i="132"/>
  <c r="AG21" i="132"/>
  <c r="BO13" i="131"/>
  <c r="BN14" i="131"/>
  <c r="BN18" i="131" s="1"/>
  <c r="AF8" i="61"/>
  <c r="J74" i="34"/>
  <c r="J78" i="34" s="1"/>
  <c r="J82" i="34" s="1"/>
  <c r="J9" i="70" s="1"/>
  <c r="AM27" i="131"/>
  <c r="AO27" i="131" s="1"/>
  <c r="AD23" i="11"/>
  <c r="E48" i="58"/>
  <c r="E60" i="58" s="1"/>
  <c r="AN27" i="131"/>
  <c r="AE29" i="136"/>
  <c r="AE45" i="136" s="1"/>
  <c r="AE21" i="11" s="1"/>
  <c r="X69" i="34"/>
  <c r="S69" i="34"/>
  <c r="AD9" i="70"/>
  <c r="AD19" i="70" s="1"/>
  <c r="AD41" i="70" s="1"/>
  <c r="AD42" i="70" s="1"/>
  <c r="AD43" i="70" s="1"/>
  <c r="AD85" i="34"/>
  <c r="AD69" i="34"/>
  <c r="BM12" i="136"/>
  <c r="BL14" i="136"/>
  <c r="BL18" i="136" s="1"/>
  <c r="BB14" i="135"/>
  <c r="BB18" i="135" s="1"/>
  <c r="BC12" i="135"/>
  <c r="BM14" i="133"/>
  <c r="BM18" i="133" s="1"/>
  <c r="BN12" i="133"/>
  <c r="BA14" i="136"/>
  <c r="BA18" i="136" s="1"/>
  <c r="BB12" i="136"/>
  <c r="BB12" i="133"/>
  <c r="BA14" i="133"/>
  <c r="BA18" i="133" s="1"/>
  <c r="Z63" i="34"/>
  <c r="Z66" i="34" s="1"/>
  <c r="Z74" i="34" s="1"/>
  <c r="AU27" i="134"/>
  <c r="AW27" i="134" s="1"/>
  <c r="AV27" i="134"/>
  <c r="T22" i="116"/>
  <c r="S15" i="85"/>
  <c r="T19" i="116" s="1"/>
  <c r="X9" i="70"/>
  <c r="X19" i="70" s="1"/>
  <c r="X41" i="70" s="1"/>
  <c r="X42" i="70" s="1"/>
  <c r="X43" i="70" s="1"/>
  <c r="X85" i="34"/>
  <c r="M66" i="34"/>
  <c r="K63" i="34"/>
  <c r="K65" i="34" s="1"/>
  <c r="M65" i="34"/>
  <c r="AK27" i="132"/>
  <c r="AF5" i="126"/>
  <c r="AF10" i="126" s="1"/>
  <c r="AF17" i="126" s="1"/>
  <c r="AE45" i="107" s="1"/>
  <c r="AC111" i="109" s="1"/>
  <c r="AE29" i="132"/>
  <c r="AE57" i="132" s="1"/>
  <c r="AE18" i="11" s="1"/>
  <c r="AG39" i="34" s="1"/>
  <c r="AH33" i="133"/>
  <c r="AC63" i="34"/>
  <c r="AC66" i="34" s="1"/>
  <c r="F48" i="58"/>
  <c r="F60" i="58" s="1"/>
  <c r="F64" i="58" s="1"/>
  <c r="F66" i="58" s="1"/>
  <c r="AJ36" i="133"/>
  <c r="AK36" i="133" s="1"/>
  <c r="Q63" i="34"/>
  <c r="G58" i="57" s="1"/>
  <c r="G18" i="85" s="1"/>
  <c r="AI28" i="133"/>
  <c r="AJ28" i="133" s="1"/>
  <c r="AJ42" i="145"/>
  <c r="W34" i="34"/>
  <c r="AK49" i="145"/>
  <c r="F33" i="58"/>
  <c r="AI38" i="145"/>
  <c r="AH38" i="145"/>
  <c r="AK38" i="145" s="1"/>
  <c r="AJ38" i="145"/>
  <c r="AM44" i="145"/>
  <c r="U69" i="34"/>
  <c r="U74" i="34"/>
  <c r="U78" i="34" s="1"/>
  <c r="U82" i="34" s="1"/>
  <c r="D44" i="57"/>
  <c r="D56" i="57" s="1"/>
  <c r="D17" i="85" s="1"/>
  <c r="R17" i="85" s="1"/>
  <c r="I61" i="34"/>
  <c r="AG25" i="132"/>
  <c r="AI25" i="132" s="1"/>
  <c r="Y69" i="34"/>
  <c r="Y74" i="34"/>
  <c r="Y78" i="34" s="1"/>
  <c r="Y82" i="34" s="1"/>
  <c r="AJ28" i="144"/>
  <c r="AJ26" i="145"/>
  <c r="AJ24" i="134"/>
  <c r="BH13" i="70"/>
  <c r="BG13" i="70"/>
  <c r="S11" i="85"/>
  <c r="AH13" i="116"/>
  <c r="AH14" i="116" s="1"/>
  <c r="AH15" i="116" s="1"/>
  <c r="S6" i="85"/>
  <c r="AE74" i="34"/>
  <c r="AE78" i="34" s="1"/>
  <c r="AE82" i="34" s="1"/>
  <c r="AE69" i="34"/>
  <c r="AF43" i="135"/>
  <c r="AG32" i="135"/>
  <c r="AF52" i="145"/>
  <c r="AI39" i="136"/>
  <c r="K32" i="116"/>
  <c r="K34" i="116" s="1"/>
  <c r="K33" i="116"/>
  <c r="G13" i="85"/>
  <c r="S12" i="85"/>
  <c r="S13" i="85" s="1"/>
  <c r="S14" i="85" s="1"/>
  <c r="I28" i="57"/>
  <c r="G56" i="57"/>
  <c r="G17" i="85" s="1"/>
  <c r="BU13" i="70"/>
  <c r="BT13" i="70"/>
  <c r="G34" i="34"/>
  <c r="G66" i="34"/>
  <c r="C19" i="116"/>
  <c r="R15" i="85"/>
  <c r="S19" i="116" s="1"/>
  <c r="AH43" i="132"/>
  <c r="AJ39" i="133"/>
  <c r="AG25" i="133"/>
  <c r="AA66" i="34"/>
  <c r="I32" i="116"/>
  <c r="I34" i="116" s="1"/>
  <c r="I33" i="116"/>
  <c r="AK35" i="135"/>
  <c r="AH34" i="145"/>
  <c r="AJ33" i="131"/>
  <c r="AF43" i="144"/>
  <c r="AH32" i="144"/>
  <c r="AI32" i="144" s="1"/>
  <c r="AI26" i="133"/>
  <c r="AJ26" i="133" s="1"/>
  <c r="AI35" i="136"/>
  <c r="H66" i="34"/>
  <c r="H63" i="34"/>
  <c r="AI42" i="136"/>
  <c r="AI33" i="136"/>
  <c r="AN36" i="131"/>
  <c r="AI46" i="145"/>
  <c r="AJ39" i="136"/>
  <c r="AI38" i="135"/>
  <c r="AH26" i="144"/>
  <c r="AI26" i="144"/>
  <c r="AI40" i="144"/>
  <c r="AH24" i="131"/>
  <c r="AI39" i="145"/>
  <c r="AG34" i="136"/>
  <c r="AG34" i="135"/>
  <c r="AI37" i="133"/>
  <c r="AI38" i="133"/>
  <c r="AB15" i="85"/>
  <c r="T63" i="34"/>
  <c r="AL34" i="144"/>
  <c r="AJ33" i="144"/>
  <c r="AJ25" i="145"/>
  <c r="AH32" i="135"/>
  <c r="AK26" i="145"/>
  <c r="AM26" i="145" s="1"/>
  <c r="AJ33" i="145"/>
  <c r="N63" i="34"/>
  <c r="AH28" i="132"/>
  <c r="AK42" i="145"/>
  <c r="F63" i="34"/>
  <c r="F65" i="34" s="1"/>
  <c r="F66" i="34"/>
  <c r="L66" i="34"/>
  <c r="AK42" i="144"/>
  <c r="P37" i="58"/>
  <c r="R37" i="58" s="1"/>
  <c r="D39" i="58"/>
  <c r="P39" i="58" s="1"/>
  <c r="R39" i="58" s="1"/>
  <c r="H29" i="57"/>
  <c r="AG43" i="132"/>
  <c r="AI42" i="132"/>
  <c r="AJ33" i="135"/>
  <c r="AK37" i="136"/>
  <c r="AH34" i="131"/>
  <c r="AI34" i="131"/>
  <c r="AK28" i="144"/>
  <c r="R16" i="85"/>
  <c r="AJ37" i="136"/>
  <c r="AJ28" i="135"/>
  <c r="AI28" i="131"/>
  <c r="AK33" i="144"/>
  <c r="AJ39" i="144"/>
  <c r="AH40" i="131"/>
  <c r="E42" i="58"/>
  <c r="E44" i="58" s="1"/>
  <c r="J38" i="57"/>
  <c r="J40" i="57" s="1"/>
  <c r="J16" i="85" s="1"/>
  <c r="S16" i="85" s="1"/>
  <c r="AB45" i="34"/>
  <c r="AB63" i="34" s="1"/>
  <c r="AG26" i="131"/>
  <c r="AM34" i="133"/>
  <c r="AN34" i="133" s="1"/>
  <c r="AO34" i="133" s="1"/>
  <c r="K56" i="57"/>
  <c r="D32" i="116"/>
  <c r="D34" i="116" s="1"/>
  <c r="D33" i="116"/>
  <c r="AG43" i="133"/>
  <c r="AM45" i="145"/>
  <c r="AO36" i="131"/>
  <c r="AK38" i="131"/>
  <c r="AF54" i="145"/>
  <c r="G33" i="116"/>
  <c r="G32" i="116"/>
  <c r="G34" i="116" s="1"/>
  <c r="AN36" i="144"/>
  <c r="AH35" i="144"/>
  <c r="AH26" i="136"/>
  <c r="AG37" i="145"/>
  <c r="AJ39" i="145"/>
  <c r="AJ46" i="145"/>
  <c r="AK46" i="145"/>
  <c r="AH34" i="135"/>
  <c r="E28" i="57"/>
  <c r="AI27" i="133"/>
  <c r="AJ27" i="133" s="1"/>
  <c r="AH25" i="132"/>
  <c r="E33" i="116"/>
  <c r="E32" i="116"/>
  <c r="E34" i="116" s="1"/>
  <c r="AJ27" i="132"/>
  <c r="F33" i="116"/>
  <c r="F32" i="116"/>
  <c r="F34" i="116" s="1"/>
  <c r="AK40" i="133"/>
  <c r="BQ13" i="70"/>
  <c r="BP13" i="70"/>
  <c r="AF43" i="131"/>
  <c r="AG32" i="131"/>
  <c r="AK47" i="145"/>
  <c r="AJ47" i="145"/>
  <c r="AL35" i="135"/>
  <c r="D29" i="58"/>
  <c r="P25" i="58"/>
  <c r="R25" i="58" s="1"/>
  <c r="AN51" i="145"/>
  <c r="AI34" i="145"/>
  <c r="AI37" i="135"/>
  <c r="AK42" i="135"/>
  <c r="AG43" i="144"/>
  <c r="AL28" i="144"/>
  <c r="AG37" i="131"/>
  <c r="AH25" i="133"/>
  <c r="AJ35" i="133"/>
  <c r="D29" i="57"/>
  <c r="AH25" i="135"/>
  <c r="AJ35" i="131"/>
  <c r="AN36" i="136"/>
  <c r="AG48" i="145"/>
  <c r="AI38" i="144"/>
  <c r="AJ26" i="132"/>
  <c r="AH35" i="145"/>
  <c r="AJ40" i="136"/>
  <c r="AO44" i="145"/>
  <c r="AH26" i="131"/>
  <c r="H44" i="57"/>
  <c r="H56" i="57" s="1"/>
  <c r="H17" i="85" s="1"/>
  <c r="AK25" i="145"/>
  <c r="AG25" i="136"/>
  <c r="AN44" i="145"/>
  <c r="AH37" i="144"/>
  <c r="AI41" i="131"/>
  <c r="AP36" i="131"/>
  <c r="AG40" i="145"/>
  <c r="AI40" i="145" s="1"/>
  <c r="R74" i="34"/>
  <c r="R78" i="34" s="1"/>
  <c r="R82" i="34" s="1"/>
  <c r="R69" i="34"/>
  <c r="O34" i="34"/>
  <c r="O66" i="34"/>
  <c r="Q34" i="34"/>
  <c r="AJ40" i="144"/>
  <c r="J29" i="57"/>
  <c r="BB13" i="70"/>
  <c r="AH42" i="133"/>
  <c r="AI42" i="133" s="1"/>
  <c r="AJ35" i="136"/>
  <c r="AH40" i="145"/>
  <c r="AI28" i="132"/>
  <c r="G28" i="57"/>
  <c r="AL26" i="145"/>
  <c r="AK39" i="133"/>
  <c r="AL39" i="133" s="1"/>
  <c r="AG36" i="135"/>
  <c r="AH36" i="135" s="1"/>
  <c r="AF43" i="136"/>
  <c r="AI20" i="133"/>
  <c r="K66" i="34"/>
  <c r="AJ26" i="135"/>
  <c r="AI24" i="136"/>
  <c r="D48" i="58"/>
  <c r="C12" i="85"/>
  <c r="C28" i="57"/>
  <c r="E63" i="34"/>
  <c r="E66" i="34"/>
  <c r="AJ34" i="131"/>
  <c r="AK40" i="136"/>
  <c r="AK50" i="145"/>
  <c r="AH34" i="136"/>
  <c r="AH43" i="136" s="1"/>
  <c r="AI25" i="133"/>
  <c r="I29" i="58"/>
  <c r="I32" i="58" s="1"/>
  <c r="AM40" i="135"/>
  <c r="AJ37" i="133"/>
  <c r="AN38" i="136"/>
  <c r="W63" i="34"/>
  <c r="I58" i="57" s="1"/>
  <c r="I18" i="85" s="1"/>
  <c r="I19" i="85" s="1"/>
  <c r="I30" i="85" s="1"/>
  <c r="AL28" i="145"/>
  <c r="AJ39" i="135"/>
  <c r="N66" i="34"/>
  <c r="AJ28" i="136"/>
  <c r="AK43" i="145"/>
  <c r="AH25" i="131"/>
  <c r="AH32" i="145"/>
  <c r="BJ13" i="70"/>
  <c r="AI26" i="131"/>
  <c r="AL27" i="136"/>
  <c r="AM27" i="136"/>
  <c r="AK27" i="136"/>
  <c r="AL38" i="131"/>
  <c r="AJ33" i="136"/>
  <c r="AJ25" i="134"/>
  <c r="AG36" i="145"/>
  <c r="AN45" i="145"/>
  <c r="AK39" i="144"/>
  <c r="K29" i="57"/>
  <c r="AJ40" i="133"/>
  <c r="AQ27" i="145"/>
  <c r="AP27" i="145"/>
  <c r="AP27" i="144"/>
  <c r="AQ27" i="144"/>
  <c r="AQ27" i="135"/>
  <c r="AS27" i="135" s="1"/>
  <c r="AP27" i="135"/>
  <c r="AR27" i="135" s="1"/>
  <c r="AF43" i="34"/>
  <c r="AF45" i="34" s="1"/>
  <c r="AE29" i="133"/>
  <c r="AE45" i="133" s="1"/>
  <c r="AE22" i="11" s="1"/>
  <c r="AG44" i="34" s="1"/>
  <c r="AD29" i="144"/>
  <c r="AD45" i="144" s="1"/>
  <c r="AF29" i="136"/>
  <c r="BO14" i="135"/>
  <c r="BO18" i="135" s="1"/>
  <c r="BP12" i="135"/>
  <c r="AQ14" i="134"/>
  <c r="AQ18" i="134" s="1"/>
  <c r="P9" i="70"/>
  <c r="P19" i="70" s="1"/>
  <c r="P41" i="70" s="1"/>
  <c r="P42" i="70" s="1"/>
  <c r="P43" i="70" s="1"/>
  <c r="P85" i="34"/>
  <c r="AU14" i="133"/>
  <c r="AU18" i="133" s="1"/>
  <c r="AV12" i="133"/>
  <c r="AG12" i="144"/>
  <c r="AF14" i="144"/>
  <c r="AF18" i="144" s="1"/>
  <c r="AS12" i="144"/>
  <c r="AR14" i="144"/>
  <c r="AR18" i="144" s="1"/>
  <c r="AT14" i="136"/>
  <c r="AT18" i="136" s="1"/>
  <c r="AE29" i="131"/>
  <c r="BS12" i="134"/>
  <c r="BR14" i="134"/>
  <c r="BR18" i="134" s="1"/>
  <c r="AE29" i="135"/>
  <c r="AE45" i="135" s="1"/>
  <c r="AE26" i="11" s="1"/>
  <c r="AG49" i="34" s="1"/>
  <c r="AE18" i="144"/>
  <c r="AE19" i="144"/>
  <c r="S85" i="34"/>
  <c r="S86" i="34"/>
  <c r="S9" i="70"/>
  <c r="S19" i="70" s="1"/>
  <c r="S41" i="70" s="1"/>
  <c r="S42" i="70" s="1"/>
  <c r="S43" i="70" s="1"/>
  <c r="P111" i="109"/>
  <c r="P147" i="109" s="1"/>
  <c r="D39" i="85"/>
  <c r="AG14" i="131"/>
  <c r="AR14" i="131"/>
  <c r="BH14" i="131"/>
  <c r="AG14" i="132"/>
  <c r="AF18" i="135"/>
  <c r="AF19" i="135"/>
  <c r="AF18" i="133"/>
  <c r="AF19" i="133"/>
  <c r="BR18" i="132"/>
  <c r="AF19" i="131"/>
  <c r="AF18" i="131"/>
  <c r="BD18" i="144"/>
  <c r="AR12" i="135"/>
  <c r="AQ14" i="135"/>
  <c r="BE18" i="132"/>
  <c r="AP18" i="132"/>
  <c r="AG14" i="133"/>
  <c r="BF12" i="144"/>
  <c r="BE14" i="144"/>
  <c r="BG12" i="132"/>
  <c r="BF14" i="132"/>
  <c r="AQ14" i="132"/>
  <c r="AR12" i="132"/>
  <c r="H33" i="116"/>
  <c r="H32" i="116"/>
  <c r="H34" i="116" s="1"/>
  <c r="BC14" i="134"/>
  <c r="BC18" i="134" s="1"/>
  <c r="BD12" i="134"/>
  <c r="AG18" i="136"/>
  <c r="AG19" i="136"/>
  <c r="BR18" i="144"/>
  <c r="AG14" i="135"/>
  <c r="BT12" i="132"/>
  <c r="BS14" i="132"/>
  <c r="AP18" i="135"/>
  <c r="AQ18" i="131"/>
  <c r="BG18" i="131"/>
  <c r="AF18" i="132"/>
  <c r="AF19" i="132"/>
  <c r="AH14" i="136"/>
  <c r="BT12" i="144"/>
  <c r="BS14" i="144"/>
  <c r="AG7" i="61"/>
  <c r="AH7" i="131"/>
  <c r="AG21" i="131"/>
  <c r="AI7" i="132"/>
  <c r="AH8" i="61"/>
  <c r="AG11" i="61"/>
  <c r="AH7" i="134"/>
  <c r="AG21" i="134"/>
  <c r="AI7" i="135"/>
  <c r="AG10" i="61"/>
  <c r="AF14" i="61"/>
  <c r="L28" i="85" s="1"/>
  <c r="AH7" i="133"/>
  <c r="AG9" i="61"/>
  <c r="AG21" i="133"/>
  <c r="AH7" i="145"/>
  <c r="AG21" i="145"/>
  <c r="AG29" i="145" s="1"/>
  <c r="AI7" i="144"/>
  <c r="AH21" i="144"/>
  <c r="AJ42" i="134"/>
  <c r="AK42" i="134" s="1"/>
  <c r="AL42" i="134" s="1"/>
  <c r="AM42" i="134" s="1"/>
  <c r="AN42" i="134" s="1"/>
  <c r="AL28" i="134"/>
  <c r="AM28" i="134" s="1"/>
  <c r="AE29" i="134"/>
  <c r="AE45" i="134" s="1"/>
  <c r="AE25" i="11" s="1"/>
  <c r="AJ33" i="134"/>
  <c r="AK33" i="134" s="1"/>
  <c r="AG43" i="134"/>
  <c r="AL41" i="134"/>
  <c r="AM41" i="134" s="1"/>
  <c r="AN41" i="134" s="1"/>
  <c r="AG14" i="134"/>
  <c r="AI39" i="134"/>
  <c r="AJ39" i="134" s="1"/>
  <c r="AF48" i="34"/>
  <c r="AD38" i="11"/>
  <c r="AK35" i="134"/>
  <c r="AL35" i="134" s="1"/>
  <c r="AH36" i="134"/>
  <c r="AH34" i="134"/>
  <c r="AF18" i="134"/>
  <c r="AF19" i="134"/>
  <c r="AJ26" i="134"/>
  <c r="AJ37" i="134"/>
  <c r="AJ32" i="134"/>
  <c r="AI38" i="134"/>
  <c r="AQ62" i="109" l="1"/>
  <c r="AQ65" i="109" s="1"/>
  <c r="AS62" i="109"/>
  <c r="AS65" i="109" s="1"/>
  <c r="AV10" i="65" s="1"/>
  <c r="AV11" i="65" s="1"/>
  <c r="AT8" i="11" s="1"/>
  <c r="AG3" i="65"/>
  <c r="AG5" i="65" s="1"/>
  <c r="AE11" i="11" s="1"/>
  <c r="AG20" i="34" s="1"/>
  <c r="AR62" i="109"/>
  <c r="AR65" i="109" s="1"/>
  <c r="AU10" i="65" s="1"/>
  <c r="AU11" i="65" s="1"/>
  <c r="AS8" i="11" s="1"/>
  <c r="AC147" i="109"/>
  <c r="AF7" i="67"/>
  <c r="AF11" i="67" s="1"/>
  <c r="AD9" i="11" s="1"/>
  <c r="AF27" i="34" s="1"/>
  <c r="AL10" i="65"/>
  <c r="AL11" i="65" s="1"/>
  <c r="AJ8" i="11" s="1"/>
  <c r="AL26" i="34" s="1"/>
  <c r="F60" i="57"/>
  <c r="F62" i="57" s="1"/>
  <c r="AU28" i="109"/>
  <c r="AW30" i="109"/>
  <c r="AW62" i="109" s="1"/>
  <c r="AW65" i="109" s="1"/>
  <c r="AT27" i="109"/>
  <c r="AT112" i="109" s="1"/>
  <c r="AV114" i="109"/>
  <c r="AU113" i="109"/>
  <c r="AW115" i="109"/>
  <c r="AV29" i="109"/>
  <c r="AV62" i="109" s="1"/>
  <c r="AV65" i="109" s="1"/>
  <c r="L32" i="116"/>
  <c r="L34" i="116" s="1"/>
  <c r="L33" i="116"/>
  <c r="AT3" i="65"/>
  <c r="AT5" i="65" s="1"/>
  <c r="AR11" i="11" s="1"/>
  <c r="AT20" i="34" s="1"/>
  <c r="AT10" i="65"/>
  <c r="AT11" i="65" s="1"/>
  <c r="AR8" i="11" s="1"/>
  <c r="AS10" i="65"/>
  <c r="AS11" i="65" s="1"/>
  <c r="AQ8" i="11" s="1"/>
  <c r="AS3" i="65"/>
  <c r="AS5" i="65" s="1"/>
  <c r="AQ11" i="11" s="1"/>
  <c r="AS20" i="34" s="1"/>
  <c r="AK3" i="65"/>
  <c r="AK5" i="65" s="1"/>
  <c r="AI11" i="11" s="1"/>
  <c r="AK20" i="34" s="1"/>
  <c r="AK10" i="65"/>
  <c r="AK11" i="65" s="1"/>
  <c r="AI8" i="11" s="1"/>
  <c r="AI16" i="125"/>
  <c r="AO17" i="115"/>
  <c r="AG26" i="34"/>
  <c r="AL30" i="69"/>
  <c r="AJ16" i="70"/>
  <c r="AI26" i="34"/>
  <c r="AH18" i="115"/>
  <c r="AN3" i="65"/>
  <c r="AN5" i="65" s="1"/>
  <c r="AL11" i="11" s="1"/>
  <c r="AN20" i="34" s="1"/>
  <c r="AN10" i="65"/>
  <c r="AN11" i="65" s="1"/>
  <c r="AL8" i="11" s="1"/>
  <c r="AK17" i="115"/>
  <c r="AR17" i="125"/>
  <c r="AP10" i="65"/>
  <c r="AP11" i="65" s="1"/>
  <c r="AN8" i="11" s="1"/>
  <c r="AP3" i="65"/>
  <c r="AP5" i="65" s="1"/>
  <c r="AN11" i="11" s="1"/>
  <c r="AP20" i="34" s="1"/>
  <c r="AU62" i="109"/>
  <c r="AU65" i="109" s="1"/>
  <c r="AR17" i="115"/>
  <c r="AN16" i="125"/>
  <c r="AH3" i="65"/>
  <c r="AH5" i="65" s="1"/>
  <c r="AF11" i="11" s="1"/>
  <c r="AH20" i="34" s="1"/>
  <c r="AH10" i="65"/>
  <c r="AH11" i="65" s="1"/>
  <c r="AF8" i="11" s="1"/>
  <c r="V14" i="116"/>
  <c r="AQ10" i="65"/>
  <c r="AQ11" i="65" s="1"/>
  <c r="AO8" i="11" s="1"/>
  <c r="AQ26" i="34" s="1"/>
  <c r="AQ3" i="65"/>
  <c r="AQ5" i="65" s="1"/>
  <c r="AO11" i="11" s="1"/>
  <c r="AQ20" i="34" s="1"/>
  <c r="AE16" i="125"/>
  <c r="AD63" i="125"/>
  <c r="AD66" i="125" s="1"/>
  <c r="AG7" i="67" s="1"/>
  <c r="AG11" i="67" s="1"/>
  <c r="AE9" i="11" s="1"/>
  <c r="AG12" i="34"/>
  <c r="AO3" i="65"/>
  <c r="AO5" i="65" s="1"/>
  <c r="AM11" i="11" s="1"/>
  <c r="AO20" i="34" s="1"/>
  <c r="AO10" i="65"/>
  <c r="AO11" i="65" s="1"/>
  <c r="AM8" i="11" s="1"/>
  <c r="AM17" i="115"/>
  <c r="AM3" i="65"/>
  <c r="AM5" i="65" s="1"/>
  <c r="AK11" i="11" s="1"/>
  <c r="AM20" i="34" s="1"/>
  <c r="AM10" i="65"/>
  <c r="AM11" i="65" s="1"/>
  <c r="AK8" i="11" s="1"/>
  <c r="AJ10" i="65"/>
  <c r="AJ11" i="65" s="1"/>
  <c r="AH8" i="11" s="1"/>
  <c r="AJ3" i="65"/>
  <c r="AJ5" i="65" s="1"/>
  <c r="AH11" i="11" s="1"/>
  <c r="AJ20" i="34" s="1"/>
  <c r="AT18" i="125"/>
  <c r="AD13" i="11"/>
  <c r="AF29" i="34" s="1"/>
  <c r="AF3" i="65"/>
  <c r="AF5" i="65" s="1"/>
  <c r="AD11" i="11" s="1"/>
  <c r="AF20" i="34" s="1"/>
  <c r="AG62" i="69"/>
  <c r="AF10" i="65"/>
  <c r="AF11" i="65" s="1"/>
  <c r="AD8" i="11" s="1"/>
  <c r="N15" i="57"/>
  <c r="AF17" i="34"/>
  <c r="AF17" i="115"/>
  <c r="AE63" i="115"/>
  <c r="AE66" i="115" s="1"/>
  <c r="AF45" i="136"/>
  <c r="AF21" i="11" s="1"/>
  <c r="E64" i="58"/>
  <c r="E66" i="58" s="1"/>
  <c r="AH21" i="135"/>
  <c r="V85" i="34"/>
  <c r="V9" i="70"/>
  <c r="V19" i="70" s="1"/>
  <c r="V41" i="70" s="1"/>
  <c r="V42" i="70" s="1"/>
  <c r="V43" i="70" s="1"/>
  <c r="AG21" i="136"/>
  <c r="AG29" i="136" s="1"/>
  <c r="J85" i="34"/>
  <c r="AD45" i="70"/>
  <c r="BP13" i="131"/>
  <c r="BO14" i="131"/>
  <c r="BO18" i="131" s="1"/>
  <c r="AQ27" i="131"/>
  <c r="AP27" i="131"/>
  <c r="AR27" i="131" s="1"/>
  <c r="Z69" i="34"/>
  <c r="E58" i="57"/>
  <c r="E18" i="85" s="1"/>
  <c r="E19" i="85" s="1"/>
  <c r="E30" i="85" s="1"/>
  <c r="AF19" i="144"/>
  <c r="AF29" i="144" s="1"/>
  <c r="AF45" i="144" s="1"/>
  <c r="AG43" i="34"/>
  <c r="AG45" i="34" s="1"/>
  <c r="Q66" i="34"/>
  <c r="Q69" i="34" s="1"/>
  <c r="BB14" i="136"/>
  <c r="BB18" i="136" s="1"/>
  <c r="BC12" i="136"/>
  <c r="BD12" i="135"/>
  <c r="BC14" i="135"/>
  <c r="BC18" i="135" s="1"/>
  <c r="T33" i="116"/>
  <c r="BN14" i="133"/>
  <c r="BN18" i="133" s="1"/>
  <c r="BO12" i="133"/>
  <c r="BC12" i="133"/>
  <c r="BB14" i="133"/>
  <c r="BB18" i="133" s="1"/>
  <c r="BN12" i="136"/>
  <c r="BM14" i="136"/>
  <c r="BM18" i="136" s="1"/>
  <c r="AX27" i="134"/>
  <c r="AZ27" i="134" s="1"/>
  <c r="AY27" i="134"/>
  <c r="T32" i="116"/>
  <c r="T34" i="116" s="1"/>
  <c r="M69" i="34"/>
  <c r="M74" i="34"/>
  <c r="M78" i="34" s="1"/>
  <c r="M82" i="34" s="1"/>
  <c r="AG5" i="126"/>
  <c r="AG10" i="126" s="1"/>
  <c r="AG17" i="126" s="1"/>
  <c r="AF45" i="107" s="1"/>
  <c r="AD111" i="109" s="1"/>
  <c r="AD147" i="109" s="1"/>
  <c r="D60" i="57"/>
  <c r="D62" i="57" s="1"/>
  <c r="S17" i="85"/>
  <c r="AF29" i="133"/>
  <c r="AF45" i="133" s="1"/>
  <c r="AF22" i="11" s="1"/>
  <c r="K60" i="57"/>
  <c r="K62" i="57" s="1"/>
  <c r="AH43" i="133"/>
  <c r="AK28" i="133"/>
  <c r="AI33" i="133"/>
  <c r="AI43" i="133" s="1"/>
  <c r="K58" i="57"/>
  <c r="AL36" i="133"/>
  <c r="J60" i="57"/>
  <c r="J62" i="57" s="1"/>
  <c r="AK26" i="133"/>
  <c r="AM26" i="133" s="1"/>
  <c r="AL40" i="133"/>
  <c r="AN40" i="133" s="1"/>
  <c r="AM40" i="133"/>
  <c r="AI32" i="145"/>
  <c r="K69" i="34"/>
  <c r="K74" i="34"/>
  <c r="AK40" i="144"/>
  <c r="O69" i="34"/>
  <c r="O74" i="34"/>
  <c r="O78" i="34" s="1"/>
  <c r="O82" i="34" s="1"/>
  <c r="AJ41" i="131"/>
  <c r="AH25" i="136"/>
  <c r="AL40" i="136"/>
  <c r="AL42" i="135"/>
  <c r="AJ24" i="136"/>
  <c r="AP44" i="145"/>
  <c r="AK28" i="135"/>
  <c r="AL42" i="144"/>
  <c r="F74" i="34"/>
  <c r="F78" i="34" s="1"/>
  <c r="F82" i="34" s="1"/>
  <c r="F69" i="34"/>
  <c r="AI24" i="131"/>
  <c r="AC69" i="34"/>
  <c r="AC74" i="34"/>
  <c r="H65" i="34"/>
  <c r="AK39" i="136"/>
  <c r="AG52" i="145"/>
  <c r="AG54" i="145" s="1"/>
  <c r="AM39" i="133"/>
  <c r="AK34" i="131"/>
  <c r="AG43" i="135"/>
  <c r="AE86" i="34"/>
  <c r="AE9" i="70"/>
  <c r="AE19" i="70" s="1"/>
  <c r="AE85" i="34"/>
  <c r="AJ37" i="135"/>
  <c r="AL49" i="145"/>
  <c r="W66" i="34"/>
  <c r="AK35" i="131"/>
  <c r="AL42" i="145"/>
  <c r="AL39" i="144"/>
  <c r="AK28" i="136"/>
  <c r="AL28" i="136" s="1"/>
  <c r="C29" i="57"/>
  <c r="C60" i="57"/>
  <c r="C62" i="57" s="1"/>
  <c r="AK41" i="131"/>
  <c r="AL40" i="144"/>
  <c r="AN40" i="144" s="1"/>
  <c r="AJ40" i="145"/>
  <c r="AK35" i="133"/>
  <c r="AL35" i="133" s="1"/>
  <c r="AG43" i="131"/>
  <c r="AM27" i="132"/>
  <c r="AI37" i="144"/>
  <c r="AI35" i="144"/>
  <c r="AP36" i="144"/>
  <c r="AO36" i="144"/>
  <c r="AL25" i="145"/>
  <c r="AJ26" i="131"/>
  <c r="AK26" i="131"/>
  <c r="AJ38" i="144"/>
  <c r="AK35" i="136"/>
  <c r="AJ42" i="132"/>
  <c r="H60" i="57"/>
  <c r="H62" i="57" s="1"/>
  <c r="L74" i="34"/>
  <c r="L78" i="34" s="1"/>
  <c r="L82" i="34" s="1"/>
  <c r="L69" i="34"/>
  <c r="AJ28" i="132"/>
  <c r="AK28" i="132" s="1"/>
  <c r="N65" i="34"/>
  <c r="F58" i="57"/>
  <c r="F18" i="85" s="1"/>
  <c r="F19" i="85" s="1"/>
  <c r="F30" i="85" s="1"/>
  <c r="AI36" i="135"/>
  <c r="AM34" i="144"/>
  <c r="AB18" i="85"/>
  <c r="AB19" i="85" s="1"/>
  <c r="AB30" i="85" s="1"/>
  <c r="T66" i="34"/>
  <c r="H58" i="57"/>
  <c r="H18" i="85" s="1"/>
  <c r="E62" i="58"/>
  <c r="AN34" i="144"/>
  <c r="AJ26" i="144"/>
  <c r="AK26" i="144"/>
  <c r="AL33" i="144"/>
  <c r="H69" i="34"/>
  <c r="H74" i="34"/>
  <c r="AI40" i="131"/>
  <c r="AM35" i="135"/>
  <c r="AA69" i="34"/>
  <c r="AA74" i="34"/>
  <c r="AA78" i="34" s="1"/>
  <c r="AA82" i="34" s="1"/>
  <c r="AJ42" i="136"/>
  <c r="AK33" i="131"/>
  <c r="AL28" i="135"/>
  <c r="G14" i="85"/>
  <c r="G19" i="85"/>
  <c r="AI32" i="135"/>
  <c r="AM28" i="144"/>
  <c r="AK37" i="135"/>
  <c r="AI25" i="131"/>
  <c r="AO38" i="136"/>
  <c r="AJ38" i="133"/>
  <c r="AO27" i="136"/>
  <c r="AN27" i="136"/>
  <c r="AO40" i="133"/>
  <c r="AL43" i="145"/>
  <c r="N69" i="34"/>
  <c r="N74" i="34"/>
  <c r="AN40" i="135"/>
  <c r="E74" i="34"/>
  <c r="E69" i="34"/>
  <c r="C13" i="85"/>
  <c r="R12" i="85"/>
  <c r="R13" i="85" s="1"/>
  <c r="R14" i="85" s="1"/>
  <c r="P48" i="58"/>
  <c r="R48" i="58" s="1"/>
  <c r="D60" i="58"/>
  <c r="P60" i="58" s="1"/>
  <c r="R60" i="58" s="1"/>
  <c r="AJ42" i="133"/>
  <c r="AM40" i="144"/>
  <c r="R86" i="34"/>
  <c r="R85" i="34"/>
  <c r="R9" i="70"/>
  <c r="R19" i="70" s="1"/>
  <c r="R41" i="70" s="1"/>
  <c r="R42" i="70" s="1"/>
  <c r="R43" i="70" s="1"/>
  <c r="AK26" i="132"/>
  <c r="AI25" i="135"/>
  <c r="AK25" i="134"/>
  <c r="AL47" i="145"/>
  <c r="AH32" i="131"/>
  <c r="AO36" i="136"/>
  <c r="AL46" i="145"/>
  <c r="AJ35" i="144"/>
  <c r="AQ36" i="144"/>
  <c r="AO45" i="145"/>
  <c r="AK33" i="136"/>
  <c r="AO51" i="145"/>
  <c r="AJ28" i="131"/>
  <c r="AI43" i="132"/>
  <c r="AH43" i="135"/>
  <c r="AL27" i="132"/>
  <c r="AH36" i="145"/>
  <c r="AJ38" i="135"/>
  <c r="AH43" i="144"/>
  <c r="AJ32" i="144"/>
  <c r="AK34" i="145"/>
  <c r="AJ34" i="145"/>
  <c r="AK33" i="145"/>
  <c r="AK33" i="135"/>
  <c r="AJ37" i="144"/>
  <c r="AL34" i="131"/>
  <c r="S32" i="116"/>
  <c r="S34" i="116" s="1"/>
  <c r="S33" i="116"/>
  <c r="G69" i="34"/>
  <c r="G74" i="34"/>
  <c r="G78" i="34" s="1"/>
  <c r="G82" i="34" s="1"/>
  <c r="Y86" i="34"/>
  <c r="Y9" i="70"/>
  <c r="Y19" i="70" s="1"/>
  <c r="Y41" i="70" s="1"/>
  <c r="Y42" i="70" s="1"/>
  <c r="Y43" i="70" s="1"/>
  <c r="Y85" i="34"/>
  <c r="AL38" i="145"/>
  <c r="AL37" i="136"/>
  <c r="AM37" i="136"/>
  <c r="AL50" i="145"/>
  <c r="AN50" i="145" s="1"/>
  <c r="AM42" i="145"/>
  <c r="E65" i="34"/>
  <c r="C58" i="57"/>
  <c r="C18" i="85" s="1"/>
  <c r="G29" i="57"/>
  <c r="G60" i="57"/>
  <c r="G62" i="57" s="1"/>
  <c r="AN26" i="145"/>
  <c r="AL35" i="131"/>
  <c r="P29" i="58"/>
  <c r="R29" i="58" s="1"/>
  <c r="D32" i="58"/>
  <c r="AM47" i="145"/>
  <c r="AH48" i="145"/>
  <c r="AI34" i="136"/>
  <c r="AH37" i="131"/>
  <c r="AJ36" i="135"/>
  <c r="AK27" i="133"/>
  <c r="E29" i="57"/>
  <c r="E60" i="57"/>
  <c r="E62" i="57" s="1"/>
  <c r="AH37" i="145"/>
  <c r="AK35" i="144"/>
  <c r="AK26" i="135"/>
  <c r="AM38" i="131"/>
  <c r="AP34" i="133"/>
  <c r="AQ34" i="133" s="1"/>
  <c r="AB66" i="34"/>
  <c r="J58" i="57"/>
  <c r="J18" i="85" s="1"/>
  <c r="J19" i="85" s="1"/>
  <c r="J30" i="85" s="1"/>
  <c r="AM25" i="145"/>
  <c r="AI35" i="145"/>
  <c r="AM28" i="145"/>
  <c r="AI37" i="131"/>
  <c r="AL35" i="136"/>
  <c r="AM35" i="136" s="1"/>
  <c r="AK37" i="133"/>
  <c r="AI34" i="135"/>
  <c r="AG43" i="136"/>
  <c r="AP45" i="145"/>
  <c r="AQ45" i="145" s="1"/>
  <c r="AI43" i="136"/>
  <c r="AL33" i="136"/>
  <c r="AL26" i="133"/>
  <c r="AJ20" i="133"/>
  <c r="AQ36" i="131"/>
  <c r="AJ25" i="133"/>
  <c r="AK25" i="133" s="1"/>
  <c r="C32" i="116"/>
  <c r="C34" i="116" s="1"/>
  <c r="C33" i="116"/>
  <c r="I29" i="57"/>
  <c r="I60" i="57"/>
  <c r="I62" i="57" s="1"/>
  <c r="AM50" i="145"/>
  <c r="AK24" i="134"/>
  <c r="I63" i="34"/>
  <c r="I65" i="34" s="1"/>
  <c r="I66" i="34"/>
  <c r="AJ25" i="132"/>
  <c r="U86" i="34"/>
  <c r="U9" i="70"/>
  <c r="U19" i="70" s="1"/>
  <c r="U41" i="70" s="1"/>
  <c r="U42" i="70" s="1"/>
  <c r="U43" i="70" s="1"/>
  <c r="U85" i="34"/>
  <c r="AM38" i="145"/>
  <c r="AN38" i="145"/>
  <c r="AP38" i="136"/>
  <c r="AK39" i="145"/>
  <c r="AK36" i="135"/>
  <c r="AI26" i="136"/>
  <c r="AK39" i="135"/>
  <c r="AS27" i="145"/>
  <c r="AR27" i="145"/>
  <c r="AR27" i="144"/>
  <c r="AS27" i="144"/>
  <c r="AT27" i="135"/>
  <c r="AW27" i="135" s="1"/>
  <c r="AU27" i="135"/>
  <c r="AE45" i="131"/>
  <c r="AD17" i="11" s="1"/>
  <c r="AE23" i="11"/>
  <c r="BQ12" i="135"/>
  <c r="BP14" i="135"/>
  <c r="BP18" i="135" s="1"/>
  <c r="AF29" i="131"/>
  <c r="AF45" i="131" s="1"/>
  <c r="AE17" i="11" s="1"/>
  <c r="AG38" i="34" s="1"/>
  <c r="AG40" i="34" s="1"/>
  <c r="AF29" i="135"/>
  <c r="AF45" i="135" s="1"/>
  <c r="AF26" i="11" s="1"/>
  <c r="AH49" i="34" s="1"/>
  <c r="L44" i="57" s="1"/>
  <c r="AW12" i="133"/>
  <c r="AV14" i="133"/>
  <c r="AV18" i="133" s="1"/>
  <c r="AR14" i="134"/>
  <c r="AR18" i="134" s="1"/>
  <c r="AE38" i="11"/>
  <c r="BT12" i="134"/>
  <c r="BS14" i="134"/>
  <c r="BS18" i="134" s="1"/>
  <c r="AU14" i="136"/>
  <c r="AU18" i="136" s="1"/>
  <c r="AH12" i="144"/>
  <c r="AG14" i="144"/>
  <c r="AG18" i="144" s="1"/>
  <c r="AE29" i="144"/>
  <c r="AE45" i="144" s="1"/>
  <c r="AT12" i="144"/>
  <c r="AS14" i="144"/>
  <c r="AS18" i="144" s="1"/>
  <c r="BU12" i="144"/>
  <c r="BT14" i="144"/>
  <c r="AG18" i="135"/>
  <c r="AG19" i="135"/>
  <c r="BH12" i="132"/>
  <c r="BG14" i="132"/>
  <c r="AH14" i="133"/>
  <c r="BH18" i="131"/>
  <c r="AH14" i="131"/>
  <c r="AH14" i="135"/>
  <c r="BE18" i="144"/>
  <c r="BI14" i="131"/>
  <c r="AI14" i="136"/>
  <c r="AF29" i="132"/>
  <c r="BS18" i="132"/>
  <c r="BE12" i="134"/>
  <c r="BD14" i="134"/>
  <c r="BD18" i="134" s="1"/>
  <c r="AS12" i="132"/>
  <c r="AR14" i="132"/>
  <c r="BG12" i="144"/>
  <c r="BF14" i="144"/>
  <c r="AQ18" i="135"/>
  <c r="AG18" i="132"/>
  <c r="AG19" i="132"/>
  <c r="AR18" i="131"/>
  <c r="AH18" i="136"/>
  <c r="AH19" i="136"/>
  <c r="BS18" i="144"/>
  <c r="BU12" i="132"/>
  <c r="BT14" i="132"/>
  <c r="AQ18" i="132"/>
  <c r="BF18" i="132"/>
  <c r="AG18" i="133"/>
  <c r="AG19" i="133"/>
  <c r="AR14" i="135"/>
  <c r="AS12" i="135"/>
  <c r="AH14" i="132"/>
  <c r="AS14" i="131"/>
  <c r="AG18" i="131"/>
  <c r="AG19" i="131"/>
  <c r="AJ7" i="144"/>
  <c r="AI21" i="144"/>
  <c r="AI12" i="61"/>
  <c r="AJ7" i="135"/>
  <c r="AI21" i="135"/>
  <c r="AG14" i="61"/>
  <c r="AH9" i="61"/>
  <c r="AI7" i="133"/>
  <c r="AH21" i="133"/>
  <c r="AF29" i="134"/>
  <c r="AF45" i="134" s="1"/>
  <c r="AF25" i="11" s="1"/>
  <c r="AI7" i="145"/>
  <c r="AH21" i="145"/>
  <c r="AH29" i="145" s="1"/>
  <c r="AH10" i="61"/>
  <c r="AI7" i="136"/>
  <c r="AH21" i="136"/>
  <c r="Z78" i="34"/>
  <c r="AI8" i="61"/>
  <c r="AJ7" i="132"/>
  <c r="AI21" i="132"/>
  <c r="AI7" i="131"/>
  <c r="AH7" i="61"/>
  <c r="AH21" i="131"/>
  <c r="J44" i="70"/>
  <c r="J19" i="70"/>
  <c r="J41" i="70" s="1"/>
  <c r="J42" i="70" s="1"/>
  <c r="J43" i="70" s="1"/>
  <c r="AI7" i="134"/>
  <c r="AH11" i="61"/>
  <c r="AH21" i="134"/>
  <c r="AG48" i="34"/>
  <c r="AG61" i="34" s="1"/>
  <c r="AH43" i="134"/>
  <c r="AI36" i="134"/>
  <c r="AM35" i="134"/>
  <c r="AO42" i="134"/>
  <c r="AK39" i="134"/>
  <c r="AG18" i="134"/>
  <c r="AG19" i="134"/>
  <c r="AN28" i="134"/>
  <c r="AO28" i="134" s="1"/>
  <c r="AL33" i="134"/>
  <c r="AM33" i="134" s="1"/>
  <c r="AI34" i="134"/>
  <c r="AF61" i="34"/>
  <c r="AJ38" i="134"/>
  <c r="AO41" i="134"/>
  <c r="AK32" i="134"/>
  <c r="AK26" i="134"/>
  <c r="AH14" i="134"/>
  <c r="AK37" i="134"/>
  <c r="AV3" i="65" l="1"/>
  <c r="AV5" i="65" s="1"/>
  <c r="AT11" i="11" s="1"/>
  <c r="AV20" i="34" s="1"/>
  <c r="P15" i="57"/>
  <c r="AU3" i="65"/>
  <c r="AU5" i="65" s="1"/>
  <c r="AS11" i="11" s="1"/>
  <c r="AU20" i="34" s="1"/>
  <c r="AZ3" i="65"/>
  <c r="AZ5" i="65" s="1"/>
  <c r="AX11" i="11" s="1"/>
  <c r="AZ20" i="34" s="1"/>
  <c r="AZ10" i="65"/>
  <c r="AZ11" i="65" s="1"/>
  <c r="AX8" i="11" s="1"/>
  <c r="AZ26" i="34" s="1"/>
  <c r="AT62" i="109"/>
  <c r="AT65" i="109" s="1"/>
  <c r="AF22" i="34"/>
  <c r="AG9" i="69" s="1"/>
  <c r="AG27" i="34"/>
  <c r="AE10" i="11"/>
  <c r="AG18" i="115"/>
  <c r="AF63" i="115"/>
  <c r="AF66" i="115" s="1"/>
  <c r="L15" i="57"/>
  <c r="S19" i="58"/>
  <c r="G19" i="58"/>
  <c r="AM26" i="34"/>
  <c r="AO26" i="34"/>
  <c r="AS18" i="125"/>
  <c r="AJ17" i="125"/>
  <c r="K18" i="85"/>
  <c r="K19" i="85" s="1"/>
  <c r="K30" i="85" s="1"/>
  <c r="AV26" i="34"/>
  <c r="AN18" i="115"/>
  <c r="O15" i="57"/>
  <c r="AS18" i="115"/>
  <c r="AN26" i="34"/>
  <c r="AI19" i="115"/>
  <c r="AU26" i="34"/>
  <c r="AY3" i="65"/>
  <c r="AY5" i="65" s="1"/>
  <c r="AW11" i="11" s="1"/>
  <c r="AY20" i="34" s="1"/>
  <c r="AY10" i="65"/>
  <c r="AY11" i="65" s="1"/>
  <c r="AW8" i="11" s="1"/>
  <c r="AF26" i="34"/>
  <c r="AD10" i="11"/>
  <c r="AD49" i="11" s="1"/>
  <c r="AG11" i="34"/>
  <c r="AH62" i="69"/>
  <c r="AI63" i="69" s="1"/>
  <c r="AE13" i="11"/>
  <c r="AG29" i="34" s="1"/>
  <c r="M15" i="57"/>
  <c r="AH26" i="34"/>
  <c r="AX3" i="65"/>
  <c r="AX5" i="65" s="1"/>
  <c r="AV11" i="11" s="1"/>
  <c r="AX20" i="34" s="1"/>
  <c r="R15" i="57" s="1"/>
  <c r="AX10" i="65"/>
  <c r="AX11" i="65" s="1"/>
  <c r="AV8" i="11" s="1"/>
  <c r="AP26" i="34"/>
  <c r="AL18" i="115"/>
  <c r="AM30" i="69"/>
  <c r="AK16" i="70"/>
  <c r="AP18" i="115"/>
  <c r="AK26" i="34"/>
  <c r="AS26" i="34"/>
  <c r="AH12" i="34"/>
  <c r="AH63" i="69"/>
  <c r="AG68" i="69"/>
  <c r="AG65" i="69"/>
  <c r="AU19" i="125"/>
  <c r="AJ26" i="34"/>
  <c r="AF17" i="125"/>
  <c r="AE63" i="125"/>
  <c r="AE66" i="125" s="1"/>
  <c r="AH11" i="34" s="1"/>
  <c r="AO17" i="125"/>
  <c r="AT26" i="34"/>
  <c r="AF23" i="11"/>
  <c r="AH43" i="34"/>
  <c r="AG45" i="136"/>
  <c r="AG21" i="11" s="1"/>
  <c r="AI43" i="34" s="1"/>
  <c r="Q74" i="34"/>
  <c r="Q78" i="34" s="1"/>
  <c r="BQ13" i="131"/>
  <c r="BP14" i="131"/>
  <c r="BP18" i="131" s="1"/>
  <c r="AS27" i="131"/>
  <c r="AT27" i="131"/>
  <c r="L38" i="57"/>
  <c r="AH44" i="34"/>
  <c r="L39" i="57" s="1"/>
  <c r="BD12" i="133"/>
  <c r="BC14" i="133"/>
  <c r="BC18" i="133" s="1"/>
  <c r="BO14" i="133"/>
  <c r="BO18" i="133" s="1"/>
  <c r="BP12" i="133"/>
  <c r="BE12" i="135"/>
  <c r="BD14" i="135"/>
  <c r="BD18" i="135" s="1"/>
  <c r="BN14" i="136"/>
  <c r="BN18" i="136" s="1"/>
  <c r="BO12" i="136"/>
  <c r="BD12" i="136"/>
  <c r="BC14" i="136"/>
  <c r="BC18" i="136" s="1"/>
  <c r="BA27" i="134"/>
  <c r="BC27" i="134" s="1"/>
  <c r="BB27" i="134"/>
  <c r="AO27" i="132"/>
  <c r="AN36" i="133"/>
  <c r="AN26" i="133"/>
  <c r="AL28" i="133"/>
  <c r="AM28" i="133" s="1"/>
  <c r="AM36" i="133"/>
  <c r="AJ33" i="133"/>
  <c r="AL25" i="133"/>
  <c r="AR45" i="145"/>
  <c r="AP40" i="133"/>
  <c r="AQ40" i="133"/>
  <c r="AJ35" i="145"/>
  <c r="AI37" i="145"/>
  <c r="AN37" i="136"/>
  <c r="AL33" i="145"/>
  <c r="AL34" i="145"/>
  <c r="AJ34" i="135"/>
  <c r="AN27" i="132"/>
  <c r="AI48" i="145"/>
  <c r="AN47" i="145"/>
  <c r="AL26" i="132"/>
  <c r="N78" i="34"/>
  <c r="F67" i="57"/>
  <c r="G30" i="85"/>
  <c r="AA86" i="34"/>
  <c r="AA9" i="70"/>
  <c r="AA19" i="70" s="1"/>
  <c r="AA41" i="70" s="1"/>
  <c r="AA42" i="70" s="1"/>
  <c r="AA43" i="70" s="1"/>
  <c r="AA85" i="34"/>
  <c r="AN35" i="135"/>
  <c r="H19" i="85"/>
  <c r="H30" i="85" s="1"/>
  <c r="S18" i="85"/>
  <c r="AL35" i="144"/>
  <c r="AJ37" i="131"/>
  <c r="AM35" i="133"/>
  <c r="AJ48" i="145"/>
  <c r="AN35" i="136"/>
  <c r="AO38" i="145"/>
  <c r="F85" i="34"/>
  <c r="F9" i="70"/>
  <c r="AQ44" i="145"/>
  <c r="AL41" i="131"/>
  <c r="AO40" i="144"/>
  <c r="K78" i="34"/>
  <c r="E67" i="57"/>
  <c r="AN39" i="133"/>
  <c r="AM24" i="134"/>
  <c r="AN24" i="134"/>
  <c r="AL24" i="134"/>
  <c r="AN25" i="145"/>
  <c r="AM35" i="131"/>
  <c r="AL26" i="135"/>
  <c r="AI36" i="145"/>
  <c r="AM33" i="136"/>
  <c r="AH43" i="131"/>
  <c r="AK42" i="133"/>
  <c r="C67" i="57"/>
  <c r="E78" i="34"/>
  <c r="AP27" i="136"/>
  <c r="AK38" i="133"/>
  <c r="AI43" i="135"/>
  <c r="AJ32" i="135"/>
  <c r="AL33" i="131"/>
  <c r="AJ40" i="131"/>
  <c r="H78" i="34"/>
  <c r="AL26" i="144"/>
  <c r="T74" i="34"/>
  <c r="T69" i="34"/>
  <c r="AO34" i="144"/>
  <c r="AL28" i="132"/>
  <c r="L85" i="34"/>
  <c r="L9" i="70"/>
  <c r="AJ43" i="132"/>
  <c r="AK42" i="132"/>
  <c r="AK20" i="133"/>
  <c r="AL26" i="131"/>
  <c r="AS36" i="144"/>
  <c r="AR36" i="144"/>
  <c r="AI32" i="131"/>
  <c r="AP38" i="145"/>
  <c r="AL39" i="136"/>
  <c r="AK34" i="135"/>
  <c r="AM42" i="144"/>
  <c r="AM42" i="135"/>
  <c r="AI25" i="136"/>
  <c r="AJ25" i="136" s="1"/>
  <c r="AJ32" i="145"/>
  <c r="AI43" i="144"/>
  <c r="AL25" i="134"/>
  <c r="AR34" i="133"/>
  <c r="AR36" i="131"/>
  <c r="AL39" i="145"/>
  <c r="AM39" i="145" s="1"/>
  <c r="AL37" i="133"/>
  <c r="AN28" i="145"/>
  <c r="AL27" i="133"/>
  <c r="P32" i="58"/>
  <c r="R32" i="58" s="1"/>
  <c r="D33" i="58"/>
  <c r="P33" i="58" s="1"/>
  <c r="R33" i="58" s="1"/>
  <c r="D64" i="58"/>
  <c r="D62" i="58"/>
  <c r="P62" i="58" s="1"/>
  <c r="R62" i="58" s="1"/>
  <c r="AN42" i="145"/>
  <c r="G9" i="70"/>
  <c r="G85" i="34"/>
  <c r="AJ43" i="144"/>
  <c r="AL39" i="135"/>
  <c r="AK28" i="131"/>
  <c r="AM35" i="144"/>
  <c r="AP36" i="136"/>
  <c r="AQ36" i="136"/>
  <c r="AM34" i="131"/>
  <c r="AK35" i="145"/>
  <c r="G67" i="57"/>
  <c r="C14" i="85"/>
  <c r="C19" i="85"/>
  <c r="AM43" i="145"/>
  <c r="AN43" i="145" s="1"/>
  <c r="AQ38" i="136"/>
  <c r="AK42" i="136"/>
  <c r="AK38" i="144"/>
  <c r="AM28" i="136"/>
  <c r="AE41" i="70"/>
  <c r="AE42" i="70" s="1"/>
  <c r="AE43" i="70" s="1"/>
  <c r="AE45" i="70"/>
  <c r="K67" i="57"/>
  <c r="AC78" i="34"/>
  <c r="AJ24" i="131"/>
  <c r="AJ26" i="136"/>
  <c r="AK24" i="136"/>
  <c r="AK25" i="132"/>
  <c r="AK40" i="145"/>
  <c r="AK37" i="144"/>
  <c r="AL37" i="144" s="1"/>
  <c r="AM49" i="145"/>
  <c r="AN49" i="145" s="1"/>
  <c r="I74" i="34"/>
  <c r="I78" i="34" s="1"/>
  <c r="I82" i="34" s="1"/>
  <c r="I69" i="34"/>
  <c r="AO26" i="133"/>
  <c r="AB69" i="34"/>
  <c r="AB74" i="34"/>
  <c r="AO47" i="145"/>
  <c r="AP47" i="145" s="1"/>
  <c r="AL36" i="135"/>
  <c r="AL33" i="135"/>
  <c r="AM33" i="135" s="1"/>
  <c r="AK38" i="135"/>
  <c r="AL38" i="135" s="1"/>
  <c r="AM37" i="133"/>
  <c r="AJ34" i="136"/>
  <c r="AM46" i="145"/>
  <c r="AN46" i="145" s="1"/>
  <c r="AJ25" i="135"/>
  <c r="AO38" i="131"/>
  <c r="AO40" i="135"/>
  <c r="AR27" i="136"/>
  <c r="AQ27" i="136"/>
  <c r="AO37" i="136"/>
  <c r="AN38" i="131"/>
  <c r="AM33" i="144"/>
  <c r="AJ25" i="131"/>
  <c r="AK48" i="145"/>
  <c r="W69" i="34"/>
  <c r="W74" i="34"/>
  <c r="AL37" i="135"/>
  <c r="D58" i="57"/>
  <c r="D18" i="85" s="1"/>
  <c r="D19" i="85" s="1"/>
  <c r="D30" i="85" s="1"/>
  <c r="AM28" i="135"/>
  <c r="AM40" i="136"/>
  <c r="AL42" i="133"/>
  <c r="AO50" i="145"/>
  <c r="AH52" i="145"/>
  <c r="AH54" i="145" s="1"/>
  <c r="AJ36" i="145"/>
  <c r="AK32" i="144"/>
  <c r="AL32" i="144" s="1"/>
  <c r="AP51" i="145"/>
  <c r="AQ38" i="145"/>
  <c r="AR38" i="145" s="1"/>
  <c r="AO26" i="145"/>
  <c r="AN28" i="144"/>
  <c r="AM39" i="144"/>
  <c r="AU27" i="145"/>
  <c r="AT27" i="145"/>
  <c r="AW27" i="145" s="1"/>
  <c r="AT27" i="144"/>
  <c r="AU27" i="144"/>
  <c r="AW27" i="144"/>
  <c r="AV27" i="135"/>
  <c r="AF38" i="11"/>
  <c r="AU27" i="131"/>
  <c r="AF38" i="34"/>
  <c r="AF40" i="34" s="1"/>
  <c r="AF63" i="34" s="1"/>
  <c r="AD19" i="11"/>
  <c r="AD40" i="11" s="1"/>
  <c r="AE19" i="11"/>
  <c r="AE40" i="11" s="1"/>
  <c r="AG63" i="34"/>
  <c r="AG29" i="133"/>
  <c r="AG45" i="133" s="1"/>
  <c r="AG22" i="11" s="1"/>
  <c r="AG23" i="11" s="1"/>
  <c r="AG29" i="132"/>
  <c r="AG57" i="132" s="1"/>
  <c r="AG18" i="11" s="1"/>
  <c r="AI39" i="34" s="1"/>
  <c r="BQ14" i="135"/>
  <c r="BQ18" i="135" s="1"/>
  <c r="BR12" i="135"/>
  <c r="AX12" i="133"/>
  <c r="AW14" i="133"/>
  <c r="AW18" i="133" s="1"/>
  <c r="AH29" i="136"/>
  <c r="AH45" i="136" s="1"/>
  <c r="AH21" i="11" s="1"/>
  <c r="AS14" i="134"/>
  <c r="AS18" i="134" s="1"/>
  <c r="AG19" i="144"/>
  <c r="AG29" i="144" s="1"/>
  <c r="AG45" i="144" s="1"/>
  <c r="AU12" i="144"/>
  <c r="AT14" i="144"/>
  <c r="AT18" i="144" s="1"/>
  <c r="AV14" i="136"/>
  <c r="AV18" i="136" s="1"/>
  <c r="AG29" i="131"/>
  <c r="AG45" i="131" s="1"/>
  <c r="AF17" i="11" s="1"/>
  <c r="AH14" i="144"/>
  <c r="AI12" i="144"/>
  <c r="BT14" i="134"/>
  <c r="BT18" i="134" s="1"/>
  <c r="BU12" i="134"/>
  <c r="BT18" i="132"/>
  <c r="AS18" i="131"/>
  <c r="AT12" i="135"/>
  <c r="AS14" i="135"/>
  <c r="BH12" i="144"/>
  <c r="BG14" i="144"/>
  <c r="BE14" i="134"/>
  <c r="BE18" i="134" s="1"/>
  <c r="BF12" i="134"/>
  <c r="AI18" i="136"/>
  <c r="AI19" i="136"/>
  <c r="BK14" i="131"/>
  <c r="BJ14" i="131"/>
  <c r="AI14" i="131"/>
  <c r="AI14" i="133"/>
  <c r="AG29" i="135"/>
  <c r="AG45" i="135" s="1"/>
  <c r="AG26" i="11" s="1"/>
  <c r="AI49" i="34" s="1"/>
  <c r="AH18" i="132"/>
  <c r="AH19" i="132"/>
  <c r="AT12" i="132"/>
  <c r="AS14" i="132"/>
  <c r="BI12" i="132"/>
  <c r="BH14" i="132"/>
  <c r="AH48" i="34"/>
  <c r="AT14" i="131"/>
  <c r="AR18" i="135"/>
  <c r="AR18" i="132"/>
  <c r="AF57" i="132"/>
  <c r="AF18" i="11" s="1"/>
  <c r="AH39" i="34" s="1"/>
  <c r="L34" i="57" s="1"/>
  <c r="AH5" i="126"/>
  <c r="AJ14" i="136"/>
  <c r="AH18" i="135"/>
  <c r="AH19" i="135"/>
  <c r="BG18" i="132"/>
  <c r="BT18" i="144"/>
  <c r="AI14" i="135"/>
  <c r="BV12" i="144"/>
  <c r="BV14" i="144" s="1"/>
  <c r="BU14" i="144"/>
  <c r="AI14" i="132"/>
  <c r="BV12" i="132"/>
  <c r="BV14" i="132" s="1"/>
  <c r="BU14" i="132"/>
  <c r="BF18" i="144"/>
  <c r="BI18" i="131"/>
  <c r="AH18" i="131"/>
  <c r="AH19" i="131"/>
  <c r="AH18" i="133"/>
  <c r="AH19" i="133"/>
  <c r="M85" i="34"/>
  <c r="M9" i="70"/>
  <c r="M19" i="70" s="1"/>
  <c r="AJ8" i="61"/>
  <c r="AK7" i="132"/>
  <c r="AJ21" i="132"/>
  <c r="Z82" i="34"/>
  <c r="AH14" i="61"/>
  <c r="AJ7" i="145"/>
  <c r="AI21" i="145"/>
  <c r="AI29" i="145" s="1"/>
  <c r="O9" i="70"/>
  <c r="O19" i="70" s="1"/>
  <c r="O85" i="34"/>
  <c r="AJ21" i="144"/>
  <c r="AK7" i="144"/>
  <c r="AJ7" i="134"/>
  <c r="AI11" i="61"/>
  <c r="AI21" i="134"/>
  <c r="AI9" i="61"/>
  <c r="AJ7" i="133"/>
  <c r="AI21" i="133"/>
  <c r="AJ7" i="131"/>
  <c r="AI7" i="61"/>
  <c r="AI21" i="131"/>
  <c r="AJ7" i="136"/>
  <c r="AI10" i="61"/>
  <c r="AI21" i="136"/>
  <c r="AJ12" i="61"/>
  <c r="AK7" i="135"/>
  <c r="AJ21" i="135"/>
  <c r="AI43" i="134"/>
  <c r="AJ34" i="134"/>
  <c r="AG29" i="134"/>
  <c r="AG45" i="134" s="1"/>
  <c r="AG25" i="11" s="1"/>
  <c r="AL26" i="134"/>
  <c r="AM26" i="134" s="1"/>
  <c r="AI14" i="134"/>
  <c r="AL37" i="134"/>
  <c r="AM37" i="134" s="1"/>
  <c r="AN37" i="134" s="1"/>
  <c r="AH18" i="134"/>
  <c r="AH19" i="134"/>
  <c r="AP42" i="134"/>
  <c r="AN35" i="134"/>
  <c r="AJ36" i="134"/>
  <c r="AK36" i="134" s="1"/>
  <c r="AL36" i="134" s="1"/>
  <c r="AM36" i="134" s="1"/>
  <c r="AP28" i="134"/>
  <c r="AQ28" i="134" s="1"/>
  <c r="AL32" i="134"/>
  <c r="AM32" i="134" s="1"/>
  <c r="AL39" i="134"/>
  <c r="AK38" i="134"/>
  <c r="AP41" i="134"/>
  <c r="AN33" i="134"/>
  <c r="AW3" i="65" l="1"/>
  <c r="AW5" i="65" s="1"/>
  <c r="AU11" i="11" s="1"/>
  <c r="AW20" i="34" s="1"/>
  <c r="Q15" i="57" s="1"/>
  <c r="AW10" i="65"/>
  <c r="AW11" i="65" s="1"/>
  <c r="AU8" i="11" s="1"/>
  <c r="AW26" i="34" s="1"/>
  <c r="AH7" i="67"/>
  <c r="AH11" i="67" s="1"/>
  <c r="AF9" i="11" s="1"/>
  <c r="AH27" i="34" s="1"/>
  <c r="L22" i="57" s="1"/>
  <c r="AG18" i="125"/>
  <c r="AF63" i="125"/>
  <c r="AF66" i="125" s="1"/>
  <c r="AI11" i="34" s="1"/>
  <c r="AV20" i="125"/>
  <c r="L7" i="57"/>
  <c r="H19" i="58"/>
  <c r="AO19" i="115"/>
  <c r="AT19" i="125"/>
  <c r="AF13" i="70"/>
  <c r="AH61" i="69"/>
  <c r="AH65" i="69" s="1"/>
  <c r="AG29" i="69"/>
  <c r="AF17" i="70" s="1"/>
  <c r="P21" i="57"/>
  <c r="AQ19" i="115"/>
  <c r="L24" i="57"/>
  <c r="AJ20" i="115"/>
  <c r="AT19" i="115"/>
  <c r="AK18" i="125"/>
  <c r="AI62" i="69"/>
  <c r="AJ63" i="69" s="1"/>
  <c r="O21" i="57"/>
  <c r="AF13" i="11"/>
  <c r="AH29" i="34" s="1"/>
  <c r="AX26" i="34"/>
  <c r="AF30" i="34"/>
  <c r="AF33" i="34" s="1"/>
  <c r="AF34" i="34" s="1"/>
  <c r="S25" i="58"/>
  <c r="G25" i="58"/>
  <c r="L21" i="57"/>
  <c r="AY26" i="34"/>
  <c r="Q21" i="57"/>
  <c r="T19" i="58"/>
  <c r="AG30" i="34"/>
  <c r="N21" i="57"/>
  <c r="AI12" i="34"/>
  <c r="AI7" i="67"/>
  <c r="AI11" i="67" s="1"/>
  <c r="AG9" i="11" s="1"/>
  <c r="AG13" i="11"/>
  <c r="AI29" i="34" s="1"/>
  <c r="AJ62" i="69"/>
  <c r="AK63" i="69" s="1"/>
  <c r="AE49" i="11"/>
  <c r="M21" i="57"/>
  <c r="AP18" i="125"/>
  <c r="AH17" i="34"/>
  <c r="AH22" i="34" s="1"/>
  <c r="AI9" i="69" s="1"/>
  <c r="AH68" i="69"/>
  <c r="AL16" i="70"/>
  <c r="AN30" i="69"/>
  <c r="AM19" i="115"/>
  <c r="AG17" i="34"/>
  <c r="AG22" i="34" s="1"/>
  <c r="L6" i="57"/>
  <c r="AH19" i="115"/>
  <c r="AG63" i="115"/>
  <c r="AG66" i="115" s="1"/>
  <c r="AV27" i="131"/>
  <c r="AH45" i="34"/>
  <c r="BR13" i="131"/>
  <c r="BQ14" i="131"/>
  <c r="BQ18" i="131" s="1"/>
  <c r="L40" i="57"/>
  <c r="L16" i="85" s="1"/>
  <c r="AQ27" i="132"/>
  <c r="AI29" i="136"/>
  <c r="AI45" i="136" s="1"/>
  <c r="AI21" i="11" s="1"/>
  <c r="BP12" i="136"/>
  <c r="BO14" i="136"/>
  <c r="BO18" i="136" s="1"/>
  <c r="BQ12" i="133"/>
  <c r="BP14" i="133"/>
  <c r="BP18" i="133" s="1"/>
  <c r="BE12" i="136"/>
  <c r="BD14" i="136"/>
  <c r="BD18" i="136" s="1"/>
  <c r="BE14" i="135"/>
  <c r="BE18" i="135" s="1"/>
  <c r="BF12" i="135"/>
  <c r="BE12" i="133"/>
  <c r="BD14" i="133"/>
  <c r="BD18" i="133" s="1"/>
  <c r="BE27" i="134"/>
  <c r="BD27" i="134"/>
  <c r="AP36" i="133"/>
  <c r="AQ36" i="133" s="1"/>
  <c r="AL33" i="133"/>
  <c r="AK33" i="133"/>
  <c r="AK43" i="133" s="1"/>
  <c r="AJ43" i="133"/>
  <c r="AM33" i="133"/>
  <c r="AN33" i="133" s="1"/>
  <c r="AO36" i="133"/>
  <c r="AN28" i="133"/>
  <c r="AO28" i="133" s="1"/>
  <c r="AQ47" i="145"/>
  <c r="AM38" i="135"/>
  <c r="AO43" i="145"/>
  <c r="AN39" i="145"/>
  <c r="AO46" i="145"/>
  <c r="AN33" i="135"/>
  <c r="AM37" i="144"/>
  <c r="AN28" i="135"/>
  <c r="AN37" i="133"/>
  <c r="AM32" i="144"/>
  <c r="I85" i="34"/>
  <c r="I9" i="70"/>
  <c r="AL48" i="145"/>
  <c r="AO34" i="131"/>
  <c r="AN34" i="131"/>
  <c r="AP46" i="145"/>
  <c r="AN38" i="135"/>
  <c r="AM39" i="135"/>
  <c r="AM28" i="132"/>
  <c r="T78" i="34"/>
  <c r="H67" i="57"/>
  <c r="F71" i="58"/>
  <c r="AM33" i="131"/>
  <c r="AN33" i="136"/>
  <c r="AO33" i="136" s="1"/>
  <c r="AN32" i="144"/>
  <c r="AM26" i="135"/>
  <c r="AS34" i="133"/>
  <c r="F44" i="70"/>
  <c r="F19" i="70"/>
  <c r="F41" i="70" s="1"/>
  <c r="F42" i="70" s="1"/>
  <c r="AL34" i="135"/>
  <c r="AP40" i="144"/>
  <c r="AM26" i="132"/>
  <c r="AP37" i="136"/>
  <c r="AQ37" i="136" s="1"/>
  <c r="AK26" i="136"/>
  <c r="AS40" i="133"/>
  <c r="W78" i="34"/>
  <c r="I67" i="57"/>
  <c r="AJ43" i="136"/>
  <c r="AM36" i="135"/>
  <c r="AB78" i="34"/>
  <c r="J67" i="57"/>
  <c r="AP26" i="133"/>
  <c r="AQ26" i="133" s="1"/>
  <c r="AL25" i="132"/>
  <c r="AL24" i="136"/>
  <c r="AM24" i="136"/>
  <c r="AO38" i="135"/>
  <c r="AM48" i="145"/>
  <c r="AN35" i="144"/>
  <c r="AN42" i="144"/>
  <c r="AM39" i="136"/>
  <c r="AT36" i="144"/>
  <c r="AM26" i="131"/>
  <c r="AK43" i="132"/>
  <c r="AL42" i="132"/>
  <c r="AN28" i="132"/>
  <c r="AK40" i="131"/>
  <c r="AL40" i="131"/>
  <c r="AL38" i="133"/>
  <c r="AJ32" i="131"/>
  <c r="AK32" i="131" s="1"/>
  <c r="AO25" i="145"/>
  <c r="K82" i="34"/>
  <c r="E71" i="57"/>
  <c r="AR44" i="145"/>
  <c r="AS36" i="131"/>
  <c r="S19" i="85"/>
  <c r="S30" i="85" s="1"/>
  <c r="N82" i="34"/>
  <c r="F71" i="57"/>
  <c r="AM34" i="145"/>
  <c r="AM33" i="145"/>
  <c r="AN28" i="136"/>
  <c r="AM42" i="133"/>
  <c r="AN33" i="144"/>
  <c r="AP38" i="131"/>
  <c r="AS27" i="136"/>
  <c r="AP40" i="135"/>
  <c r="AQ46" i="145"/>
  <c r="AO33" i="135"/>
  <c r="AO49" i="145"/>
  <c r="AP49" i="145"/>
  <c r="AL40" i="145"/>
  <c r="AN39" i="144"/>
  <c r="AK24" i="131"/>
  <c r="AL24" i="131"/>
  <c r="AC82" i="34"/>
  <c r="K71" i="57"/>
  <c r="AL38" i="144"/>
  <c r="AL42" i="136"/>
  <c r="AL35" i="145"/>
  <c r="AR36" i="136"/>
  <c r="AP38" i="135"/>
  <c r="P64" i="58"/>
  <c r="R64" i="58" s="1"/>
  <c r="D66" i="58"/>
  <c r="P66" i="58" s="1"/>
  <c r="R66" i="58" s="1"/>
  <c r="AM27" i="133"/>
  <c r="AK34" i="136"/>
  <c r="AM25" i="134"/>
  <c r="AK25" i="136"/>
  <c r="AI43" i="131"/>
  <c r="L44" i="70"/>
  <c r="L19" i="70"/>
  <c r="L41" i="70" s="1"/>
  <c r="L42" i="70" s="1"/>
  <c r="L43" i="70" s="1"/>
  <c r="AP34" i="144"/>
  <c r="H82" i="34"/>
  <c r="D71" i="57"/>
  <c r="AM38" i="133"/>
  <c r="D71" i="58"/>
  <c r="P71" i="58" s="1"/>
  <c r="R71" i="58" s="1"/>
  <c r="AL43" i="133"/>
  <c r="AN35" i="131"/>
  <c r="AO24" i="134"/>
  <c r="AP24" i="134" s="1"/>
  <c r="AI52" i="145"/>
  <c r="AI54" i="145" s="1"/>
  <c r="AO28" i="135"/>
  <c r="AO42" i="145"/>
  <c r="AO35" i="136"/>
  <c r="AK37" i="131"/>
  <c r="AO35" i="135"/>
  <c r="AQ51" i="145"/>
  <c r="AM25" i="133"/>
  <c r="AO28" i="145"/>
  <c r="AL28" i="131"/>
  <c r="AO39" i="144"/>
  <c r="AP39" i="144" s="1"/>
  <c r="AK43" i="144"/>
  <c r="AK36" i="145"/>
  <c r="AP50" i="145"/>
  <c r="AM37" i="135"/>
  <c r="AN37" i="135" s="1"/>
  <c r="AK25" i="131"/>
  <c r="AL25" i="131"/>
  <c r="AK25" i="135"/>
  <c r="AN40" i="136"/>
  <c r="E71" i="58"/>
  <c r="AR38" i="136"/>
  <c r="R19" i="85"/>
  <c r="R30" i="85" s="1"/>
  <c r="C30" i="85"/>
  <c r="G71" i="57"/>
  <c r="Q82" i="34"/>
  <c r="G44" i="70"/>
  <c r="G19" i="70"/>
  <c r="G41" i="70" s="1"/>
  <c r="G42" i="70" s="1"/>
  <c r="AT27" i="136"/>
  <c r="AK32" i="145"/>
  <c r="AN42" i="135"/>
  <c r="AO42" i="135" s="1"/>
  <c r="AO28" i="144"/>
  <c r="AP26" i="145"/>
  <c r="AL20" i="133"/>
  <c r="AM26" i="144"/>
  <c r="D67" i="57"/>
  <c r="AJ43" i="135"/>
  <c r="AK32" i="135"/>
  <c r="AL32" i="135"/>
  <c r="AS38" i="145"/>
  <c r="E82" i="34"/>
  <c r="C71" i="57"/>
  <c r="D75" i="58"/>
  <c r="P75" i="58" s="1"/>
  <c r="R75" i="58" s="1"/>
  <c r="AO39" i="133"/>
  <c r="AP39" i="133" s="1"/>
  <c r="AN41" i="131"/>
  <c r="AM41" i="131"/>
  <c r="AN35" i="133"/>
  <c r="AP35" i="136"/>
  <c r="R18" i="85"/>
  <c r="AJ37" i="145"/>
  <c r="AQ35" i="136"/>
  <c r="AR40" i="133"/>
  <c r="AS45" i="145"/>
  <c r="AP27" i="132"/>
  <c r="AI44" i="34"/>
  <c r="AI45" i="34" s="1"/>
  <c r="AV27" i="145"/>
  <c r="AV27" i="144"/>
  <c r="AY27" i="135"/>
  <c r="AX27" i="135"/>
  <c r="AZ27" i="135" s="1"/>
  <c r="AJ43" i="34"/>
  <c r="AX27" i="131"/>
  <c r="AW27" i="131"/>
  <c r="AG28" i="69"/>
  <c r="AG33" i="69" s="1"/>
  <c r="AG36" i="69" s="1"/>
  <c r="AF66" i="34"/>
  <c r="AF69" i="34" s="1"/>
  <c r="AH28" i="69"/>
  <c r="AI5" i="126"/>
  <c r="AI10" i="126" s="1"/>
  <c r="AI17" i="126" s="1"/>
  <c r="AH45" i="107" s="1"/>
  <c r="AF111" i="109" s="1"/>
  <c r="AF147" i="109" s="1"/>
  <c r="AH38" i="34"/>
  <c r="AH40" i="34" s="1"/>
  <c r="AF19" i="11"/>
  <c r="AF40" i="11" s="1"/>
  <c r="AH29" i="131"/>
  <c r="AH45" i="131" s="1"/>
  <c r="AG17" i="11" s="1"/>
  <c r="AI38" i="34" s="1"/>
  <c r="BR14" i="135"/>
  <c r="BR18" i="135" s="1"/>
  <c r="BS12" i="135"/>
  <c r="AT14" i="134"/>
  <c r="AT18" i="134" s="1"/>
  <c r="AX14" i="133"/>
  <c r="AX18" i="133" s="1"/>
  <c r="AY12" i="133"/>
  <c r="AY14" i="133" s="1"/>
  <c r="AY18" i="133" s="1"/>
  <c r="AH29" i="133"/>
  <c r="AH45" i="133" s="1"/>
  <c r="AH22" i="11" s="1"/>
  <c r="AJ44" i="34" s="1"/>
  <c r="BU14" i="134"/>
  <c r="BU18" i="134" s="1"/>
  <c r="BV12" i="134"/>
  <c r="BV14" i="134" s="1"/>
  <c r="BV18" i="134" s="1"/>
  <c r="AV12" i="144"/>
  <c r="AU14" i="144"/>
  <c r="AU18" i="144" s="1"/>
  <c r="AI14" i="144"/>
  <c r="AJ12" i="144"/>
  <c r="AW14" i="136"/>
  <c r="AW18" i="136" s="1"/>
  <c r="AH29" i="135"/>
  <c r="AH45" i="135" s="1"/>
  <c r="AH26" i="11" s="1"/>
  <c r="AJ49" i="34" s="1"/>
  <c r="AH19" i="144"/>
  <c r="AH18" i="144"/>
  <c r="BV18" i="132"/>
  <c r="BV18" i="144"/>
  <c r="AH10" i="126"/>
  <c r="AH17" i="126" s="1"/>
  <c r="AG45" i="107" s="1"/>
  <c r="AE111" i="109" s="1"/>
  <c r="AE147" i="109" s="1"/>
  <c r="AT18" i="131"/>
  <c r="AH61" i="34"/>
  <c r="L43" i="57"/>
  <c r="L56" i="57" s="1"/>
  <c r="L17" i="85" s="1"/>
  <c r="J12" i="146" s="1"/>
  <c r="O12" i="146" s="1"/>
  <c r="AU12" i="132"/>
  <c r="AT14" i="132"/>
  <c r="AI18" i="131"/>
  <c r="AI19" i="131"/>
  <c r="BG18" i="144"/>
  <c r="AI18" i="132"/>
  <c r="AI19" i="132"/>
  <c r="AI18" i="135"/>
  <c r="AI19" i="135"/>
  <c r="AU14" i="131"/>
  <c r="BH18" i="132"/>
  <c r="AJ14" i="131"/>
  <c r="BI12" i="144"/>
  <c r="BH14" i="144"/>
  <c r="AJ14" i="132"/>
  <c r="AJ14" i="135"/>
  <c r="AJ18" i="136"/>
  <c r="AJ19" i="136"/>
  <c r="BJ12" i="132"/>
  <c r="BI14" i="132"/>
  <c r="AH29" i="132"/>
  <c r="AH57" i="132" s="1"/>
  <c r="AH18" i="11" s="1"/>
  <c r="AJ39" i="34" s="1"/>
  <c r="AI18" i="133"/>
  <c r="AI19" i="133"/>
  <c r="BJ18" i="131"/>
  <c r="BF14" i="134"/>
  <c r="BF18" i="134" s="1"/>
  <c r="BG12" i="134"/>
  <c r="AS18" i="135"/>
  <c r="BU18" i="132"/>
  <c r="BU18" i="144"/>
  <c r="AK14" i="136"/>
  <c r="AS18" i="132"/>
  <c r="AJ14" i="133"/>
  <c r="BK18" i="131"/>
  <c r="AT14" i="135"/>
  <c r="AU12" i="135"/>
  <c r="AK21" i="144"/>
  <c r="AL7" i="144"/>
  <c r="AL7" i="132"/>
  <c r="AK8" i="61"/>
  <c r="AK21" i="132"/>
  <c r="AK7" i="136"/>
  <c r="AJ10" i="61"/>
  <c r="AJ21" i="136"/>
  <c r="AJ7" i="61"/>
  <c r="AK7" i="131"/>
  <c r="AJ21" i="131"/>
  <c r="AK7" i="133"/>
  <c r="AJ9" i="61"/>
  <c r="AJ21" i="133"/>
  <c r="Z85" i="34"/>
  <c r="Z9" i="70"/>
  <c r="Z19" i="70" s="1"/>
  <c r="Z86" i="34"/>
  <c r="AL7" i="135"/>
  <c r="AK12" i="61"/>
  <c r="AK21" i="135"/>
  <c r="AI14" i="61"/>
  <c r="AJ11" i="61"/>
  <c r="AK7" i="134"/>
  <c r="AJ21" i="134"/>
  <c r="O41" i="70"/>
  <c r="O42" i="70" s="1"/>
  <c r="O43" i="70" s="1"/>
  <c r="AK7" i="145"/>
  <c r="AJ21" i="145"/>
  <c r="AJ29" i="145" s="1"/>
  <c r="M41" i="70"/>
  <c r="M42" i="70" s="1"/>
  <c r="M43" i="70" s="1"/>
  <c r="AN36" i="134"/>
  <c r="AO36" i="134" s="1"/>
  <c r="AP36" i="134" s="1"/>
  <c r="AM39" i="134"/>
  <c r="AN39" i="134" s="1"/>
  <c r="AR28" i="134"/>
  <c r="AL38" i="134"/>
  <c r="AO37" i="134"/>
  <c r="AP37" i="134" s="1"/>
  <c r="AI18" i="134"/>
  <c r="AI19" i="134"/>
  <c r="AO35" i="134"/>
  <c r="AP35" i="134" s="1"/>
  <c r="AQ42" i="134"/>
  <c r="AN32" i="134"/>
  <c r="AI48" i="34"/>
  <c r="AG38" i="11"/>
  <c r="AO33" i="134"/>
  <c r="AQ41" i="134"/>
  <c r="AN26" i="134"/>
  <c r="AO26" i="134" s="1"/>
  <c r="AP26" i="134" s="1"/>
  <c r="AH29" i="134"/>
  <c r="AH45" i="134" s="1"/>
  <c r="AH25" i="11" s="1"/>
  <c r="AJ14" i="134"/>
  <c r="AJ43" i="134"/>
  <c r="AK34" i="134"/>
  <c r="L12" i="57" l="1"/>
  <c r="L8" i="85" s="1"/>
  <c r="L9" i="85" s="1"/>
  <c r="H25" i="58"/>
  <c r="AH30" i="34"/>
  <c r="AH33" i="34" s="1"/>
  <c r="AH34" i="34" s="1"/>
  <c r="AF10" i="11"/>
  <c r="AF49" i="11" s="1"/>
  <c r="M22" i="116" s="1"/>
  <c r="AI68" i="69"/>
  <c r="T25" i="58"/>
  <c r="AI20" i="115"/>
  <c r="AH63" i="115"/>
  <c r="AH66" i="115" s="1"/>
  <c r="AH9" i="69"/>
  <c r="AM16" i="70"/>
  <c r="AO30" i="69"/>
  <c r="L25" i="57"/>
  <c r="L12" i="85" s="1"/>
  <c r="AJ68" i="69"/>
  <c r="AK21" i="115"/>
  <c r="AW21" i="125"/>
  <c r="M24" i="116"/>
  <c r="AQ19" i="125"/>
  <c r="AR20" i="115"/>
  <c r="AI61" i="69"/>
  <c r="AI65" i="69" s="1"/>
  <c r="AH29" i="69"/>
  <c r="AG17" i="70" s="1"/>
  <c r="AI17" i="34"/>
  <c r="AI22" i="34" s="1"/>
  <c r="AL19" i="125"/>
  <c r="AU20" i="115"/>
  <c r="AP20" i="115"/>
  <c r="AH19" i="125"/>
  <c r="AG63" i="125"/>
  <c r="AG66" i="125" s="1"/>
  <c r="AJ11" i="34" s="1"/>
  <c r="AJ12" i="34"/>
  <c r="AN20" i="115"/>
  <c r="L26" i="85"/>
  <c r="AI27" i="34"/>
  <c r="AG10" i="11"/>
  <c r="AG49" i="11" s="1"/>
  <c r="AG33" i="34"/>
  <c r="R21" i="57"/>
  <c r="AU20" i="125"/>
  <c r="AK43" i="34"/>
  <c r="M38" i="57" s="1"/>
  <c r="BS13" i="131"/>
  <c r="BR14" i="131"/>
  <c r="BR18" i="131" s="1"/>
  <c r="BF14" i="135"/>
  <c r="BF18" i="135" s="1"/>
  <c r="BG12" i="135"/>
  <c r="AZ27" i="131"/>
  <c r="BQ14" i="133"/>
  <c r="BQ18" i="133" s="1"/>
  <c r="BR12" i="133"/>
  <c r="AG19" i="11"/>
  <c r="AG40" i="11" s="1"/>
  <c r="BF12" i="133"/>
  <c r="BE14" i="133"/>
  <c r="BE18" i="133" s="1"/>
  <c r="BF12" i="136"/>
  <c r="BE14" i="136"/>
  <c r="BE18" i="136" s="1"/>
  <c r="BP14" i="136"/>
  <c r="BP18" i="136" s="1"/>
  <c r="BQ12" i="136"/>
  <c r="BF27" i="134"/>
  <c r="BG27" i="134"/>
  <c r="AH23" i="11"/>
  <c r="AJ45" i="34"/>
  <c r="AM43" i="133"/>
  <c r="AQ39" i="144"/>
  <c r="AQ28" i="133"/>
  <c r="AU40" i="133"/>
  <c r="AP28" i="133"/>
  <c r="AO37" i="135"/>
  <c r="AP42" i="135"/>
  <c r="AQ24" i="134"/>
  <c r="AR37" i="136"/>
  <c r="AQ39" i="133"/>
  <c r="AK43" i="131"/>
  <c r="AL32" i="131"/>
  <c r="AO41" i="131"/>
  <c r="E9" i="70"/>
  <c r="D79" i="58"/>
  <c r="P79" i="58" s="1"/>
  <c r="R79" i="58" s="1"/>
  <c r="C75" i="57"/>
  <c r="E85" i="34"/>
  <c r="E86" i="34" s="1"/>
  <c r="Q9" i="70"/>
  <c r="Q19" i="70" s="1"/>
  <c r="Q85" i="34"/>
  <c r="G75" i="57"/>
  <c r="AS38" i="136"/>
  <c r="AM25" i="131"/>
  <c r="AM28" i="131"/>
  <c r="AR51" i="145"/>
  <c r="AP35" i="135"/>
  <c r="AP42" i="145"/>
  <c r="AM35" i="145"/>
  <c r="AQ38" i="131"/>
  <c r="AN42" i="133"/>
  <c r="AU36" i="131"/>
  <c r="AT36" i="131"/>
  <c r="K9" i="70"/>
  <c r="K85" i="34"/>
  <c r="E75" i="57"/>
  <c r="AO28" i="132"/>
  <c r="AO42" i="144"/>
  <c r="AO35" i="144"/>
  <c r="AN48" i="145"/>
  <c r="F49" i="70"/>
  <c r="F51" i="70" s="1"/>
  <c r="F58" i="70" s="1"/>
  <c r="F43" i="70"/>
  <c r="AR36" i="133"/>
  <c r="AQ38" i="135"/>
  <c r="AN37" i="144"/>
  <c r="AP43" i="145"/>
  <c r="AO40" i="136"/>
  <c r="AI29" i="131"/>
  <c r="AI45" i="131" s="1"/>
  <c r="AH17" i="11" s="1"/>
  <c r="AH19" i="11" s="1"/>
  <c r="BB27" i="135"/>
  <c r="AT45" i="145"/>
  <c r="AT40" i="133"/>
  <c r="AL43" i="135"/>
  <c r="AM32" i="135"/>
  <c r="AK43" i="135"/>
  <c r="AN32" i="135"/>
  <c r="AM20" i="133"/>
  <c r="AQ50" i="145"/>
  <c r="AR39" i="144"/>
  <c r="AN25" i="133"/>
  <c r="AQ35" i="135"/>
  <c r="AR35" i="136"/>
  <c r="AO35" i="131"/>
  <c r="AN38" i="133"/>
  <c r="AN43" i="133" s="1"/>
  <c r="D75" i="57"/>
  <c r="H9" i="70"/>
  <c r="H85" i="34"/>
  <c r="AK43" i="136"/>
  <c r="AN27" i="133"/>
  <c r="AN42" i="136"/>
  <c r="AM42" i="136"/>
  <c r="AC86" i="34"/>
  <c r="AC9" i="70"/>
  <c r="AC19" i="70" s="1"/>
  <c r="K75" i="57"/>
  <c r="AC85" i="34"/>
  <c r="AM24" i="131"/>
  <c r="AM40" i="145"/>
  <c r="AO33" i="144"/>
  <c r="AP33" i="144" s="1"/>
  <c r="AN34" i="145"/>
  <c r="AR26" i="133"/>
  <c r="AB82" i="34"/>
  <c r="J71" i="57"/>
  <c r="AL34" i="136"/>
  <c r="I71" i="57"/>
  <c r="W82" i="34"/>
  <c r="AN26" i="132"/>
  <c r="AO26" i="132"/>
  <c r="AP26" i="132"/>
  <c r="AO32" i="144"/>
  <c r="AN33" i="131"/>
  <c r="H71" i="57"/>
  <c r="T82" i="34"/>
  <c r="F75" i="58"/>
  <c r="E75" i="58"/>
  <c r="AN39" i="135"/>
  <c r="AP34" i="131"/>
  <c r="AR27" i="132"/>
  <c r="AT27" i="132" s="1"/>
  <c r="AS27" i="132"/>
  <c r="AK37" i="145"/>
  <c r="AL37" i="145"/>
  <c r="AO33" i="133"/>
  <c r="AK52" i="145"/>
  <c r="AL32" i="145"/>
  <c r="AP28" i="145"/>
  <c r="AL37" i="131"/>
  <c r="AM37" i="131"/>
  <c r="AN37" i="131"/>
  <c r="AP28" i="135"/>
  <c r="AL25" i="136"/>
  <c r="AN25" i="134"/>
  <c r="AS36" i="136"/>
  <c r="AT36" i="136"/>
  <c r="AM38" i="144"/>
  <c r="AR46" i="145"/>
  <c r="AQ40" i="135"/>
  <c r="AN33" i="145"/>
  <c r="AS44" i="145"/>
  <c r="AJ43" i="131"/>
  <c r="AN40" i="131"/>
  <c r="AM40" i="131"/>
  <c r="AO40" i="131"/>
  <c r="AU36" i="144"/>
  <c r="AN39" i="136"/>
  <c r="AN36" i="135"/>
  <c r="AL26" i="136"/>
  <c r="AT34" i="133"/>
  <c r="AM34" i="135"/>
  <c r="AP33" i="136"/>
  <c r="AO37" i="133"/>
  <c r="AO28" i="136"/>
  <c r="AR47" i="145"/>
  <c r="AL43" i="144"/>
  <c r="AO35" i="133"/>
  <c r="AN26" i="144"/>
  <c r="AP28" i="144"/>
  <c r="AJ52" i="145"/>
  <c r="AJ54" i="145" s="1"/>
  <c r="G43" i="70"/>
  <c r="G49" i="70"/>
  <c r="G51" i="70" s="1"/>
  <c r="G58" i="70" s="1"/>
  <c r="AL25" i="135"/>
  <c r="AL36" i="145"/>
  <c r="AV27" i="136"/>
  <c r="AR35" i="135"/>
  <c r="AS35" i="135" s="1"/>
  <c r="AQ34" i="144"/>
  <c r="AT38" i="145"/>
  <c r="AQ49" i="145"/>
  <c r="AP33" i="135"/>
  <c r="AQ26" i="145"/>
  <c r="N9" i="70"/>
  <c r="N19" i="70" s="1"/>
  <c r="N85" i="34"/>
  <c r="F75" i="57"/>
  <c r="AR24" i="134"/>
  <c r="AP25" i="145"/>
  <c r="AL43" i="132"/>
  <c r="AN42" i="132"/>
  <c r="AO42" i="132"/>
  <c r="AM42" i="132"/>
  <c r="AN26" i="131"/>
  <c r="AO26" i="131"/>
  <c r="AP37" i="135"/>
  <c r="AN24" i="136"/>
  <c r="AM25" i="132"/>
  <c r="AR40" i="144"/>
  <c r="AQ40" i="144"/>
  <c r="AS40" i="144"/>
  <c r="AN26" i="135"/>
  <c r="AU27" i="136"/>
  <c r="I44" i="70"/>
  <c r="I19" i="70"/>
  <c r="I41" i="70" s="1"/>
  <c r="I42" i="70" s="1"/>
  <c r="AO39" i="145"/>
  <c r="AF15" i="70"/>
  <c r="AX27" i="145"/>
  <c r="AY27" i="145"/>
  <c r="AF74" i="34"/>
  <c r="AF78" i="34" s="1"/>
  <c r="AX27" i="144"/>
  <c r="BA27" i="144" s="1"/>
  <c r="AY27" i="144"/>
  <c r="AZ27" i="144"/>
  <c r="BA27" i="135"/>
  <c r="BD27" i="135"/>
  <c r="AY27" i="131"/>
  <c r="L33" i="57"/>
  <c r="L35" i="57" s="1"/>
  <c r="L15" i="85" s="1"/>
  <c r="AG15" i="70"/>
  <c r="AH63" i="34"/>
  <c r="L58" i="57" s="1"/>
  <c r="BT12" i="135"/>
  <c r="BS14" i="135"/>
  <c r="BS18" i="135" s="1"/>
  <c r="AH29" i="144"/>
  <c r="AH45" i="144" s="1"/>
  <c r="AU14" i="134"/>
  <c r="AU18" i="134" s="1"/>
  <c r="AI29" i="135"/>
  <c r="AI45" i="135" s="1"/>
  <c r="AI26" i="11" s="1"/>
  <c r="AK49" i="34" s="1"/>
  <c r="M44" i="57" s="1"/>
  <c r="AI19" i="144"/>
  <c r="AI18" i="144"/>
  <c r="AI29" i="132"/>
  <c r="AI57" i="132" s="1"/>
  <c r="AI18" i="11" s="1"/>
  <c r="AK39" i="34" s="1"/>
  <c r="M34" i="57" s="1"/>
  <c r="AW12" i="144"/>
  <c r="AV14" i="144"/>
  <c r="AV18" i="144" s="1"/>
  <c r="AI29" i="133"/>
  <c r="AI45" i="133" s="1"/>
  <c r="AI22" i="11" s="1"/>
  <c r="AI23" i="11" s="1"/>
  <c r="AX14" i="136"/>
  <c r="AX18" i="136" s="1"/>
  <c r="AY12" i="136"/>
  <c r="AY14" i="136" s="1"/>
  <c r="AY18" i="136" s="1"/>
  <c r="AK12" i="144"/>
  <c r="AJ14" i="144"/>
  <c r="AJ18" i="132"/>
  <c r="AJ19" i="132"/>
  <c r="AJ14" i="61"/>
  <c r="AK14" i="132"/>
  <c r="BH18" i="144"/>
  <c r="AJ18" i="131"/>
  <c r="AJ19" i="131"/>
  <c r="AU18" i="131"/>
  <c r="AV12" i="135"/>
  <c r="AU14" i="135"/>
  <c r="AJ18" i="133"/>
  <c r="AJ19" i="133"/>
  <c r="AL14" i="136"/>
  <c r="AM14" i="136"/>
  <c r="BI18" i="132"/>
  <c r="AJ18" i="135"/>
  <c r="AJ19" i="135"/>
  <c r="BJ12" i="144"/>
  <c r="BI14" i="144"/>
  <c r="AK14" i="131"/>
  <c r="AV14" i="131"/>
  <c r="AT18" i="132"/>
  <c r="BV14" i="131"/>
  <c r="AJ29" i="136"/>
  <c r="AJ45" i="136" s="1"/>
  <c r="AJ21" i="11" s="1"/>
  <c r="AL43" i="34" s="1"/>
  <c r="AT18" i="135"/>
  <c r="AK14" i="133"/>
  <c r="AK18" i="136"/>
  <c r="AK19" i="136"/>
  <c r="BH12" i="134"/>
  <c r="BG14" i="134"/>
  <c r="BG18" i="134" s="1"/>
  <c r="BK12" i="132"/>
  <c r="BK14" i="132" s="1"/>
  <c r="BJ14" i="132"/>
  <c r="AK14" i="135"/>
  <c r="AV12" i="132"/>
  <c r="AU14" i="132"/>
  <c r="AJ5" i="126"/>
  <c r="AK11" i="61"/>
  <c r="AL7" i="134"/>
  <c r="AK21" i="134"/>
  <c r="Z41" i="70"/>
  <c r="Z42" i="70" s="1"/>
  <c r="Z43" i="70" s="1"/>
  <c r="AL12" i="61"/>
  <c r="AL21" i="135"/>
  <c r="AM7" i="135"/>
  <c r="AL8" i="61"/>
  <c r="AL21" i="132"/>
  <c r="AM7" i="132"/>
  <c r="AI40" i="34"/>
  <c r="M28" i="85"/>
  <c r="AL7" i="133"/>
  <c r="AK9" i="61"/>
  <c r="AK21" i="133"/>
  <c r="AL7" i="145"/>
  <c r="AK21" i="145"/>
  <c r="AK29" i="145" s="1"/>
  <c r="AK54" i="145" s="1"/>
  <c r="AK7" i="61"/>
  <c r="AL7" i="131"/>
  <c r="AK21" i="131"/>
  <c r="AK10" i="61"/>
  <c r="AL7" i="136"/>
  <c r="AK21" i="136"/>
  <c r="AM7" i="144"/>
  <c r="AL21" i="144"/>
  <c r="AQ35" i="134"/>
  <c r="AR35" i="134" s="1"/>
  <c r="AS28" i="134"/>
  <c r="AT28" i="134" s="1"/>
  <c r="AQ26" i="134"/>
  <c r="AK43" i="134"/>
  <c r="AL34" i="134"/>
  <c r="AP33" i="134"/>
  <c r="AI61" i="34"/>
  <c r="AO32" i="134"/>
  <c r="AR42" i="134"/>
  <c r="AJ18" i="134"/>
  <c r="AJ19" i="134"/>
  <c r="AM38" i="134"/>
  <c r="AJ48" i="34"/>
  <c r="AJ61" i="34" s="1"/>
  <c r="AH38" i="11"/>
  <c r="AR41" i="134"/>
  <c r="AQ37" i="134"/>
  <c r="AQ36" i="134"/>
  <c r="AO39" i="134"/>
  <c r="AP39" i="134" s="1"/>
  <c r="AK14" i="134"/>
  <c r="AI29" i="134"/>
  <c r="AI45" i="134" s="1"/>
  <c r="AI25" i="11" s="1"/>
  <c r="L29" i="85" l="1"/>
  <c r="L13" i="85"/>
  <c r="L14" i="85" s="1"/>
  <c r="L10" i="85"/>
  <c r="L27" i="85"/>
  <c r="L17" i="57"/>
  <c r="E79" i="58"/>
  <c r="AH33" i="69"/>
  <c r="AH36" i="69" s="1"/>
  <c r="AK62" i="69"/>
  <c r="AL63" i="69" s="1"/>
  <c r="AI30" i="34"/>
  <c r="AI33" i="34" s="1"/>
  <c r="AI34" i="34" s="1"/>
  <c r="AO21" i="115"/>
  <c r="AJ7" i="67"/>
  <c r="AJ11" i="67" s="1"/>
  <c r="AH9" i="11" s="1"/>
  <c r="AQ21" i="115"/>
  <c r="AJ9" i="69"/>
  <c r="AR20" i="125"/>
  <c r="AH13" i="70"/>
  <c r="AG13" i="70"/>
  <c r="AJ17" i="34"/>
  <c r="AJ22" i="34" s="1"/>
  <c r="AK9" i="69" s="1"/>
  <c r="AM20" i="125"/>
  <c r="AS21" i="115"/>
  <c r="L6" i="85"/>
  <c r="L28" i="57"/>
  <c r="L29" i="57" s="1"/>
  <c r="AL22" i="115"/>
  <c r="AP30" i="69"/>
  <c r="AN16" i="70"/>
  <c r="AK12" i="34"/>
  <c r="M7" i="57" s="1"/>
  <c r="AG34" i="34"/>
  <c r="AG66" i="34"/>
  <c r="AH13" i="11"/>
  <c r="AJ29" i="34" s="1"/>
  <c r="AI20" i="125"/>
  <c r="AH63" i="125"/>
  <c r="AH66" i="125" s="1"/>
  <c r="AK11" i="34" s="1"/>
  <c r="M30" i="116"/>
  <c r="AJ21" i="115"/>
  <c r="AI63" i="115"/>
  <c r="AI66" i="115" s="1"/>
  <c r="AV21" i="125"/>
  <c r="AV21" i="115"/>
  <c r="AI29" i="69"/>
  <c r="AH17" i="70" s="1"/>
  <c r="AJ61" i="69"/>
  <c r="AJ65" i="69" s="1"/>
  <c r="L18" i="85"/>
  <c r="BT13" i="131"/>
  <c r="BS14" i="131"/>
  <c r="BS18" i="131" s="1"/>
  <c r="BB27" i="131"/>
  <c r="BR12" i="136"/>
  <c r="BQ14" i="136"/>
  <c r="BQ18" i="136" s="1"/>
  <c r="BG12" i="133"/>
  <c r="BF14" i="133"/>
  <c r="BF18" i="133" s="1"/>
  <c r="BG14" i="135"/>
  <c r="BG18" i="135" s="1"/>
  <c r="BH12" i="135"/>
  <c r="BG12" i="136"/>
  <c r="BF14" i="136"/>
  <c r="BF18" i="136" s="1"/>
  <c r="BR14" i="133"/>
  <c r="BR18" i="133" s="1"/>
  <c r="BS12" i="133"/>
  <c r="BI27" i="134"/>
  <c r="BH27" i="134"/>
  <c r="AI29" i="144"/>
  <c r="AI45" i="144" s="1"/>
  <c r="AU27" i="132"/>
  <c r="AW27" i="132" s="1"/>
  <c r="AV27" i="132"/>
  <c r="AR28" i="133"/>
  <c r="AS28" i="133" s="1"/>
  <c r="AQ33" i="144"/>
  <c r="AT35" i="135"/>
  <c r="AO43" i="132"/>
  <c r="AN43" i="132"/>
  <c r="AR34" i="144"/>
  <c r="AM25" i="135"/>
  <c r="AQ28" i="144"/>
  <c r="AS24" i="134"/>
  <c r="AO36" i="135"/>
  <c r="AV36" i="144"/>
  <c r="AM37" i="145"/>
  <c r="AQ26" i="132"/>
  <c r="I75" i="57"/>
  <c r="W85" i="34"/>
  <c r="W86" i="34"/>
  <c r="W9" i="70"/>
  <c r="W19" i="70" s="1"/>
  <c r="AO42" i="136"/>
  <c r="AS35" i="136"/>
  <c r="AM43" i="135"/>
  <c r="AO32" i="135"/>
  <c r="AW40" i="133"/>
  <c r="AO37" i="144"/>
  <c r="AP42" i="144"/>
  <c r="AR38" i="131"/>
  <c r="AN35" i="145"/>
  <c r="AN28" i="131"/>
  <c r="AT38" i="136"/>
  <c r="AM32" i="131"/>
  <c r="AR39" i="133"/>
  <c r="AQ42" i="135"/>
  <c r="AW27" i="136"/>
  <c r="AO26" i="135"/>
  <c r="AT40" i="144"/>
  <c r="AM43" i="132"/>
  <c r="AQ25" i="145"/>
  <c r="AR26" i="145"/>
  <c r="AO26" i="144"/>
  <c r="AP35" i="133"/>
  <c r="AO39" i="136"/>
  <c r="AR40" i="135"/>
  <c r="AN38" i="144"/>
  <c r="AU36" i="136"/>
  <c r="AM25" i="136"/>
  <c r="AL52" i="145"/>
  <c r="AM32" i="145"/>
  <c r="AP33" i="133"/>
  <c r="AQ34" i="131"/>
  <c r="AO39" i="135"/>
  <c r="AP32" i="144"/>
  <c r="AB9" i="70"/>
  <c r="AB19" i="70" s="1"/>
  <c r="AB85" i="34"/>
  <c r="AB86" i="34"/>
  <c r="J75" i="57"/>
  <c r="AO24" i="136"/>
  <c r="AO40" i="145"/>
  <c r="AN40" i="145"/>
  <c r="AN24" i="131"/>
  <c r="AO38" i="133"/>
  <c r="AP35" i="131"/>
  <c r="AR50" i="145"/>
  <c r="AN20" i="133"/>
  <c r="AP39" i="145"/>
  <c r="AR38" i="135"/>
  <c r="AS36" i="133"/>
  <c r="AV36" i="131"/>
  <c r="AN25" i="131"/>
  <c r="Q41" i="70"/>
  <c r="Q42" i="70" s="1"/>
  <c r="Q43" i="70" s="1"/>
  <c r="G36" i="116"/>
  <c r="G38" i="116" s="1"/>
  <c r="G20" i="85" s="1"/>
  <c r="AP41" i="131"/>
  <c r="AS37" i="136"/>
  <c r="AQ37" i="135"/>
  <c r="AP42" i="132"/>
  <c r="N41" i="70"/>
  <c r="N42" i="70" s="1"/>
  <c r="N43" i="70" s="1"/>
  <c r="F36" i="116"/>
  <c r="F38" i="116" s="1"/>
  <c r="F20" i="85" s="1"/>
  <c r="AS49" i="145"/>
  <c r="AR49" i="145"/>
  <c r="AP28" i="136"/>
  <c r="AN34" i="135"/>
  <c r="AN43" i="135" s="1"/>
  <c r="AU34" i="133"/>
  <c r="AU38" i="145"/>
  <c r="AQ28" i="135"/>
  <c r="AO37" i="131"/>
  <c r="AM43" i="144"/>
  <c r="AO33" i="131"/>
  <c r="AS26" i="133"/>
  <c r="L36" i="116"/>
  <c r="L38" i="116" s="1"/>
  <c r="K20" i="85" s="1"/>
  <c r="I15" i="146" s="1"/>
  <c r="N15" i="146" s="1"/>
  <c r="AC41" i="70"/>
  <c r="AC42" i="70" s="1"/>
  <c r="AC43" i="70" s="1"/>
  <c r="AC45" i="70"/>
  <c r="AU45" i="145"/>
  <c r="AP40" i="136"/>
  <c r="AP28" i="132"/>
  <c r="AO42" i="133"/>
  <c r="AQ42" i="145"/>
  <c r="AS51" i="145"/>
  <c r="E19" i="70"/>
  <c r="E44" i="70"/>
  <c r="AP40" i="131"/>
  <c r="AK5" i="126"/>
  <c r="AK10" i="126" s="1"/>
  <c r="AK17" i="126" s="1"/>
  <c r="AJ45" i="107" s="1"/>
  <c r="AH111" i="109" s="1"/>
  <c r="AH147" i="109" s="1"/>
  <c r="I43" i="70"/>
  <c r="I49" i="70"/>
  <c r="I51" i="70" s="1"/>
  <c r="I58" i="70" s="1"/>
  <c r="AN25" i="132"/>
  <c r="AP26" i="131"/>
  <c r="AQ33" i="135"/>
  <c r="AM36" i="145"/>
  <c r="AS47" i="145"/>
  <c r="AP37" i="133"/>
  <c r="AQ33" i="136"/>
  <c r="AM26" i="136"/>
  <c r="AT44" i="145"/>
  <c r="AO33" i="145"/>
  <c r="AT46" i="145"/>
  <c r="AS46" i="145"/>
  <c r="AO25" i="134"/>
  <c r="AQ28" i="145"/>
  <c r="T86" i="34"/>
  <c r="H75" i="57"/>
  <c r="T85" i="34"/>
  <c r="T9" i="70"/>
  <c r="T19" i="70" s="1"/>
  <c r="AL43" i="136"/>
  <c r="AM34" i="136"/>
  <c r="AO34" i="145"/>
  <c r="AO27" i="133"/>
  <c r="H44" i="70"/>
  <c r="H19" i="70"/>
  <c r="AX27" i="136"/>
  <c r="AO25" i="133"/>
  <c r="AS39" i="144"/>
  <c r="AV40" i="133"/>
  <c r="AQ43" i="145"/>
  <c r="AO48" i="145"/>
  <c r="AP35" i="144"/>
  <c r="K44" i="70"/>
  <c r="K19" i="70"/>
  <c r="F79" i="58"/>
  <c r="AL43" i="131"/>
  <c r="BA27" i="145"/>
  <c r="AZ27" i="145"/>
  <c r="BC27" i="144"/>
  <c r="BB27" i="144"/>
  <c r="BC27" i="135"/>
  <c r="BE27" i="135" s="1"/>
  <c r="BA27" i="131"/>
  <c r="AJ38" i="34"/>
  <c r="AJ40" i="34" s="1"/>
  <c r="AJ63" i="34" s="1"/>
  <c r="AK28" i="69" s="1"/>
  <c r="AH66" i="34"/>
  <c r="AH74" i="34" s="1"/>
  <c r="L60" i="57"/>
  <c r="L62" i="57" s="1"/>
  <c r="AI28" i="69"/>
  <c r="AJ29" i="133"/>
  <c r="AJ45" i="133" s="1"/>
  <c r="AJ22" i="11" s="1"/>
  <c r="AL44" i="34" s="1"/>
  <c r="AL45" i="34" s="1"/>
  <c r="AJ29" i="131"/>
  <c r="AJ45" i="131" s="1"/>
  <c r="AI17" i="11" s="1"/>
  <c r="AK38" i="34" s="1"/>
  <c r="AK44" i="34"/>
  <c r="M39" i="57" s="1"/>
  <c r="M40" i="57" s="1"/>
  <c r="M16" i="85" s="1"/>
  <c r="AK29" i="136"/>
  <c r="AK45" i="136" s="1"/>
  <c r="AK21" i="11" s="1"/>
  <c r="BU12" i="135"/>
  <c r="BT14" i="135"/>
  <c r="BT18" i="135" s="1"/>
  <c r="AV14" i="134"/>
  <c r="AV18" i="134" s="1"/>
  <c r="AJ29" i="132"/>
  <c r="AJ57" i="132" s="1"/>
  <c r="AJ18" i="11" s="1"/>
  <c r="AL39" i="34" s="1"/>
  <c r="AL12" i="144"/>
  <c r="AK14" i="144"/>
  <c r="AJ29" i="135"/>
  <c r="AJ45" i="135" s="1"/>
  <c r="AJ26" i="11" s="1"/>
  <c r="AL49" i="34" s="1"/>
  <c r="AJ19" i="144"/>
  <c r="AJ18" i="144"/>
  <c r="AX12" i="144"/>
  <c r="AW14" i="144"/>
  <c r="AW18" i="144" s="1"/>
  <c r="AK14" i="61"/>
  <c r="AV18" i="131"/>
  <c r="AK18" i="132"/>
  <c r="AK19" i="132"/>
  <c r="AW12" i="132"/>
  <c r="AV14" i="132"/>
  <c r="BH14" i="134"/>
  <c r="BH18" i="134" s="1"/>
  <c r="BI12" i="134"/>
  <c r="AL14" i="133"/>
  <c r="AM14" i="133"/>
  <c r="BV18" i="131"/>
  <c r="AW14" i="131"/>
  <c r="BK12" i="144"/>
  <c r="BK14" i="144" s="1"/>
  <c r="BJ14" i="144"/>
  <c r="AL14" i="132"/>
  <c r="AM14" i="132"/>
  <c r="AU18" i="132"/>
  <c r="AK18" i="135"/>
  <c r="AK19" i="135"/>
  <c r="AK18" i="133"/>
  <c r="AK19" i="133"/>
  <c r="BI18" i="144"/>
  <c r="AL14" i="135"/>
  <c r="AM12" i="135"/>
  <c r="AM14" i="135" s="1"/>
  <c r="AH40" i="11"/>
  <c r="AI63" i="34"/>
  <c r="AJ28" i="69" s="1"/>
  <c r="BJ18" i="132"/>
  <c r="AK18" i="131"/>
  <c r="AK19" i="131"/>
  <c r="AM18" i="136"/>
  <c r="AU18" i="135"/>
  <c r="AJ10" i="126"/>
  <c r="AJ17" i="126" s="1"/>
  <c r="AI45" i="107" s="1"/>
  <c r="AG111" i="109" s="1"/>
  <c r="AG147" i="109" s="1"/>
  <c r="BK18" i="132"/>
  <c r="AL14" i="131"/>
  <c r="AM14" i="131"/>
  <c r="AL18" i="136"/>
  <c r="AL19" i="136"/>
  <c r="AV14" i="135"/>
  <c r="AW12" i="135"/>
  <c r="AM8" i="61"/>
  <c r="AN7" i="132"/>
  <c r="AM21" i="132"/>
  <c r="AN7" i="135"/>
  <c r="AM21" i="135"/>
  <c r="AM12" i="61"/>
  <c r="M19" i="116"/>
  <c r="AL7" i="61"/>
  <c r="AL21" i="131"/>
  <c r="AM7" i="131"/>
  <c r="AL11" i="61"/>
  <c r="AL21" i="134"/>
  <c r="AM7" i="134"/>
  <c r="AL10" i="61"/>
  <c r="AL21" i="136"/>
  <c r="AM7" i="136"/>
  <c r="AM21" i="144"/>
  <c r="AN7" i="144"/>
  <c r="AL21" i="145"/>
  <c r="AM7" i="145"/>
  <c r="AL9" i="61"/>
  <c r="AL21" i="133"/>
  <c r="AM7" i="133"/>
  <c r="AJ29" i="134"/>
  <c r="AJ45" i="134" s="1"/>
  <c r="AJ25" i="11" s="1"/>
  <c r="AL48" i="34" s="1"/>
  <c r="AU28" i="134"/>
  <c r="AV28" i="134" s="1"/>
  <c r="AK48" i="34"/>
  <c r="M43" i="57" s="1"/>
  <c r="M56" i="57" s="1"/>
  <c r="M17" i="85" s="1"/>
  <c r="K12" i="146" s="1"/>
  <c r="P12" i="146" s="1"/>
  <c r="AI38" i="11"/>
  <c r="AP32" i="134"/>
  <c r="AM34" i="134"/>
  <c r="AL43" i="134"/>
  <c r="AR26" i="134"/>
  <c r="AS35" i="134"/>
  <c r="AF82" i="34"/>
  <c r="AQ33" i="134"/>
  <c r="AK18" i="134"/>
  <c r="AK19" i="134"/>
  <c r="AR36" i="134"/>
  <c r="AS42" i="134"/>
  <c r="AT42" i="134" s="1"/>
  <c r="AL14" i="134"/>
  <c r="AM14" i="134"/>
  <c r="AQ39" i="134"/>
  <c r="AR37" i="134"/>
  <c r="AS41" i="134"/>
  <c r="AN38" i="134"/>
  <c r="L19" i="85" l="1"/>
  <c r="J13" i="146"/>
  <c r="O13" i="146" s="1"/>
  <c r="AI33" i="69"/>
  <c r="AI36" i="69" s="1"/>
  <c r="AK17" i="34"/>
  <c r="AK22" i="34" s="1"/>
  <c r="AL9" i="69" s="1"/>
  <c r="AK13" i="70" s="1"/>
  <c r="AK68" i="69"/>
  <c r="AL62" i="69"/>
  <c r="AM63" i="69" s="1"/>
  <c r="AW22" i="125"/>
  <c r="M32" i="116"/>
  <c r="M34" i="116" s="1"/>
  <c r="M6" i="57"/>
  <c r="M12" i="57" s="1"/>
  <c r="AS21" i="125"/>
  <c r="AR22" i="115"/>
  <c r="AL12" i="34"/>
  <c r="AG74" i="34"/>
  <c r="AG78" i="34" s="1"/>
  <c r="AG82" i="34" s="1"/>
  <c r="AG9" i="70" s="1"/>
  <c r="AG19" i="70" s="1"/>
  <c r="AG41" i="70" s="1"/>
  <c r="AG69" i="34"/>
  <c r="AI13" i="11"/>
  <c r="AK29" i="34" s="1"/>
  <c r="M24" i="57" s="1"/>
  <c r="AQ30" i="69"/>
  <c r="AO16" i="70"/>
  <c r="AJ27" i="34"/>
  <c r="AH10" i="11"/>
  <c r="AH49" i="11" s="1"/>
  <c r="AW22" i="115"/>
  <c r="AK22" i="115"/>
  <c r="AJ63" i="115"/>
  <c r="AJ66" i="115" s="1"/>
  <c r="AK7" i="67"/>
  <c r="AK11" i="67" s="1"/>
  <c r="AI9" i="11" s="1"/>
  <c r="AN21" i="125"/>
  <c r="AJ13" i="70"/>
  <c r="AI13" i="70"/>
  <c r="AK61" i="69"/>
  <c r="AK65" i="69" s="1"/>
  <c r="AJ29" i="69"/>
  <c r="AI17" i="70" s="1"/>
  <c r="AJ21" i="125"/>
  <c r="AI63" i="125"/>
  <c r="AI66" i="125" s="1"/>
  <c r="AL11" i="34" s="1"/>
  <c r="AM23" i="115"/>
  <c r="AT22" i="115"/>
  <c r="AP22" i="115"/>
  <c r="BU13" i="131"/>
  <c r="BU14" i="131" s="1"/>
  <c r="BU18" i="131" s="1"/>
  <c r="BT14" i="131"/>
  <c r="BT18" i="131" s="1"/>
  <c r="AY27" i="132"/>
  <c r="AX27" i="132"/>
  <c r="AZ27" i="132" s="1"/>
  <c r="BG14" i="136"/>
  <c r="BG18" i="136" s="1"/>
  <c r="BH12" i="136"/>
  <c r="BH12" i="133"/>
  <c r="BG14" i="133"/>
  <c r="BG18" i="133" s="1"/>
  <c r="BT12" i="133"/>
  <c r="BS14" i="133"/>
  <c r="BS18" i="133" s="1"/>
  <c r="BH14" i="135"/>
  <c r="BH18" i="135" s="1"/>
  <c r="BI12" i="135"/>
  <c r="BS12" i="136"/>
  <c r="BR14" i="136"/>
  <c r="BR18" i="136" s="1"/>
  <c r="BJ27" i="134"/>
  <c r="BK27" i="134"/>
  <c r="AM43" i="34"/>
  <c r="AL29" i="145"/>
  <c r="AL54" i="145" s="1"/>
  <c r="AM19" i="136"/>
  <c r="AN19" i="136" s="1"/>
  <c r="AO19" i="136" s="1"/>
  <c r="AP19" i="136" s="1"/>
  <c r="AQ19" i="136" s="1"/>
  <c r="AR19" i="136" s="1"/>
  <c r="AS19" i="136" s="1"/>
  <c r="AT19" i="136" s="1"/>
  <c r="AU19" i="136" s="1"/>
  <c r="AV19" i="136" s="1"/>
  <c r="AW19" i="136" s="1"/>
  <c r="AX19" i="136" s="1"/>
  <c r="AY19" i="136" s="1"/>
  <c r="AZ19" i="136" s="1"/>
  <c r="BA19" i="136" s="1"/>
  <c r="BB19" i="136" s="1"/>
  <c r="BC19" i="136" s="1"/>
  <c r="BD19" i="136" s="1"/>
  <c r="BE19" i="136" s="1"/>
  <c r="BF19" i="136" s="1"/>
  <c r="AT28" i="133"/>
  <c r="AU28" i="133" s="1"/>
  <c r="AP48" i="145"/>
  <c r="AX40" i="133"/>
  <c r="AY40" i="133"/>
  <c r="AZ40" i="133"/>
  <c r="AN26" i="136"/>
  <c r="AR42" i="145"/>
  <c r="AP42" i="133"/>
  <c r="AV45" i="145"/>
  <c r="AT26" i="133"/>
  <c r="AU26" i="133"/>
  <c r="AV26" i="133" s="1"/>
  <c r="AP43" i="132"/>
  <c r="AO25" i="131"/>
  <c r="AS38" i="135"/>
  <c r="AP38" i="133"/>
  <c r="AO24" i="131"/>
  <c r="AQ32" i="144"/>
  <c r="AP39" i="135"/>
  <c r="AO43" i="133"/>
  <c r="AM52" i="145"/>
  <c r="AV36" i="136"/>
  <c r="AO38" i="144"/>
  <c r="AN43" i="144"/>
  <c r="AS40" i="135"/>
  <c r="AS26" i="145"/>
  <c r="AS39" i="133"/>
  <c r="AS38" i="131"/>
  <c r="AR26" i="132"/>
  <c r="AQ35" i="144"/>
  <c r="AP25" i="133"/>
  <c r="D36" i="116"/>
  <c r="D38" i="116" s="1"/>
  <c r="D20" i="85" s="1"/>
  <c r="H41" i="70"/>
  <c r="H42" i="70" s="1"/>
  <c r="T41" i="70"/>
  <c r="T42" i="70" s="1"/>
  <c r="T43" i="70" s="1"/>
  <c r="AB20" i="85"/>
  <c r="H36" i="116"/>
  <c r="AQ37" i="133"/>
  <c r="AR33" i="135"/>
  <c r="AQ26" i="131"/>
  <c r="AQ40" i="131"/>
  <c r="AT51" i="145"/>
  <c r="AQ40" i="136"/>
  <c r="AO34" i="135"/>
  <c r="AR37" i="135"/>
  <c r="AT36" i="133"/>
  <c r="AO20" i="133"/>
  <c r="AS50" i="145"/>
  <c r="AQ35" i="131"/>
  <c r="AQ35" i="133"/>
  <c r="AP26" i="144"/>
  <c r="AQ42" i="132"/>
  <c r="AY27" i="136"/>
  <c r="AQ42" i="144"/>
  <c r="AO43" i="135"/>
  <c r="AP32" i="135"/>
  <c r="AN37" i="145"/>
  <c r="AP36" i="135"/>
  <c r="AR28" i="144"/>
  <c r="AS34" i="144"/>
  <c r="AU35" i="135"/>
  <c r="AR33" i="144"/>
  <c r="BF27" i="135"/>
  <c r="BA40" i="133"/>
  <c r="AT39" i="144"/>
  <c r="AR28" i="145"/>
  <c r="AU46" i="145"/>
  <c r="C36" i="116"/>
  <c r="E41" i="70"/>
  <c r="E42" i="70" s="1"/>
  <c r="AQ28" i="132"/>
  <c r="AP33" i="131"/>
  <c r="AT49" i="145"/>
  <c r="AW36" i="131"/>
  <c r="AQ39" i="145"/>
  <c r="AP40" i="145"/>
  <c r="AR34" i="131"/>
  <c r="AP43" i="133"/>
  <c r="AQ33" i="133"/>
  <c r="AP39" i="136"/>
  <c r="AR25" i="145"/>
  <c r="AU40" i="144"/>
  <c r="AP26" i="135"/>
  <c r="AR42" i="135"/>
  <c r="AM43" i="131"/>
  <c r="AN32" i="131"/>
  <c r="AO28" i="131"/>
  <c r="AP37" i="144"/>
  <c r="AP42" i="136"/>
  <c r="AW36" i="144"/>
  <c r="K41" i="70"/>
  <c r="K42" i="70" s="1"/>
  <c r="K43" i="70" s="1"/>
  <c r="E36" i="116"/>
  <c r="E38" i="116" s="1"/>
  <c r="E20" i="85" s="1"/>
  <c r="AR43" i="145"/>
  <c r="BC40" i="133"/>
  <c r="AP27" i="133"/>
  <c r="AP34" i="145"/>
  <c r="AN34" i="136"/>
  <c r="AM43" i="136"/>
  <c r="AP25" i="134"/>
  <c r="AP33" i="145"/>
  <c r="AU44" i="145"/>
  <c r="AR33" i="136"/>
  <c r="AT47" i="145"/>
  <c r="AN36" i="145"/>
  <c r="AO25" i="132"/>
  <c r="AP37" i="131"/>
  <c r="AR28" i="135"/>
  <c r="AV38" i="145"/>
  <c r="AV34" i="133"/>
  <c r="AQ28" i="136"/>
  <c r="AT37" i="136"/>
  <c r="AQ41" i="131"/>
  <c r="AP24" i="136"/>
  <c r="AB41" i="70"/>
  <c r="AB42" i="70" s="1"/>
  <c r="AB43" i="70" s="1"/>
  <c r="K36" i="116"/>
  <c r="K38" i="116" s="1"/>
  <c r="J20" i="85" s="1"/>
  <c r="AN32" i="145"/>
  <c r="AN25" i="136"/>
  <c r="AU38" i="136"/>
  <c r="AO35" i="145"/>
  <c r="AT35" i="136"/>
  <c r="AU35" i="136"/>
  <c r="AV35" i="136" s="1"/>
  <c r="W41" i="70"/>
  <c r="W42" i="70" s="1"/>
  <c r="W43" i="70" s="1"/>
  <c r="I36" i="116"/>
  <c r="AT24" i="134"/>
  <c r="AN25" i="135"/>
  <c r="AZ27" i="136"/>
  <c r="AJ23" i="11"/>
  <c r="BC27" i="145"/>
  <c r="BB27" i="145"/>
  <c r="BE27" i="144"/>
  <c r="BD27" i="144"/>
  <c r="BG27" i="135"/>
  <c r="BI27" i="135" s="1"/>
  <c r="BH27" i="135"/>
  <c r="BC27" i="131"/>
  <c r="BD27" i="131"/>
  <c r="AH15" i="70"/>
  <c r="AH69" i="34"/>
  <c r="AI66" i="34"/>
  <c r="AI74" i="34" s="1"/>
  <c r="AL29" i="136"/>
  <c r="AL45" i="136" s="1"/>
  <c r="AL21" i="11" s="1"/>
  <c r="AN43" i="34" s="1"/>
  <c r="AI19" i="11"/>
  <c r="AI40" i="11" s="1"/>
  <c r="AK45" i="34"/>
  <c r="BV12" i="135"/>
  <c r="BV14" i="135" s="1"/>
  <c r="BV18" i="135" s="1"/>
  <c r="BU14" i="135"/>
  <c r="BU18" i="135" s="1"/>
  <c r="AK29" i="133"/>
  <c r="AK45" i="133" s="1"/>
  <c r="AK22" i="11" s="1"/>
  <c r="AM44" i="34" s="1"/>
  <c r="AJ29" i="144"/>
  <c r="AJ45" i="144" s="1"/>
  <c r="AK29" i="131"/>
  <c r="AK45" i="131" s="1"/>
  <c r="AJ17" i="11" s="1"/>
  <c r="AL38" i="34" s="1"/>
  <c r="AK29" i="135"/>
  <c r="AK45" i="135" s="1"/>
  <c r="AK26" i="11" s="1"/>
  <c r="AM49" i="34" s="1"/>
  <c r="AW14" i="134"/>
  <c r="AW18" i="134" s="1"/>
  <c r="AL5" i="126"/>
  <c r="AL10" i="126" s="1"/>
  <c r="AK19" i="144"/>
  <c r="AK18" i="144"/>
  <c r="AY12" i="144"/>
  <c r="AY14" i="144" s="1"/>
  <c r="AY18" i="144" s="1"/>
  <c r="AX14" i="144"/>
  <c r="AX18" i="144" s="1"/>
  <c r="AM12" i="144"/>
  <c r="AM14" i="144" s="1"/>
  <c r="AM18" i="144" s="1"/>
  <c r="AL14" i="144"/>
  <c r="AL18" i="132"/>
  <c r="AL19" i="132"/>
  <c r="AX12" i="132"/>
  <c r="AW14" i="132"/>
  <c r="AM18" i="135"/>
  <c r="BJ18" i="144"/>
  <c r="BJ12" i="134"/>
  <c r="BI14" i="134"/>
  <c r="BI18" i="134" s="1"/>
  <c r="AK29" i="132"/>
  <c r="AK57" i="132" s="1"/>
  <c r="AK18" i="11" s="1"/>
  <c r="AM39" i="34" s="1"/>
  <c r="AV18" i="135"/>
  <c r="AL18" i="135"/>
  <c r="AL19" i="135"/>
  <c r="BK18" i="144"/>
  <c r="AL18" i="131"/>
  <c r="AL19" i="131"/>
  <c r="AY14" i="131"/>
  <c r="AX14" i="131"/>
  <c r="AL18" i="133"/>
  <c r="AL19" i="133"/>
  <c r="AL14" i="61"/>
  <c r="T28" i="85" s="1"/>
  <c r="AW14" i="135"/>
  <c r="AX12" i="135"/>
  <c r="AM18" i="131"/>
  <c r="AM18" i="132"/>
  <c r="AW18" i="131"/>
  <c r="AM18" i="133"/>
  <c r="AV18" i="132"/>
  <c r="AN21" i="144"/>
  <c r="AO7" i="144"/>
  <c r="AM21" i="136"/>
  <c r="AN7" i="136"/>
  <c r="AM10" i="61"/>
  <c r="AN7" i="133"/>
  <c r="AM21" i="133"/>
  <c r="AM9" i="61"/>
  <c r="AH78" i="34"/>
  <c r="AK40" i="34"/>
  <c r="M33" i="57"/>
  <c r="M35" i="57" s="1"/>
  <c r="M15" i="85" s="1"/>
  <c r="AM21" i="131"/>
  <c r="AN7" i="131"/>
  <c r="AM7" i="61"/>
  <c r="AN7" i="145"/>
  <c r="AM21" i="145"/>
  <c r="AM29" i="145" s="1"/>
  <c r="AM54" i="145" s="1"/>
  <c r="AN7" i="134"/>
  <c r="AM11" i="61"/>
  <c r="AM21" i="134"/>
  <c r="M33" i="116"/>
  <c r="AN12" i="61"/>
  <c r="AO7" i="135"/>
  <c r="AN21" i="135"/>
  <c r="AN21" i="132"/>
  <c r="AO7" i="132"/>
  <c r="AN8" i="61"/>
  <c r="N28" i="85"/>
  <c r="AJ38" i="11"/>
  <c r="AW28" i="134"/>
  <c r="AX28" i="134" s="1"/>
  <c r="AS26" i="134"/>
  <c r="AQ32" i="134"/>
  <c r="AK61" i="34"/>
  <c r="AS37" i="134"/>
  <c r="AT37" i="134" s="1"/>
  <c r="AM18" i="134"/>
  <c r="AR33" i="134"/>
  <c r="AG50" i="69"/>
  <c r="AF9" i="70"/>
  <c r="AF19" i="70" s="1"/>
  <c r="AN34" i="134"/>
  <c r="AM43" i="134"/>
  <c r="AO38" i="134"/>
  <c r="AU42" i="134"/>
  <c r="AK29" i="134"/>
  <c r="AK45" i="134" s="1"/>
  <c r="AK25" i="11" s="1"/>
  <c r="AL18" i="134"/>
  <c r="AL19" i="134"/>
  <c r="AL61" i="34"/>
  <c r="AR39" i="134"/>
  <c r="AS36" i="134"/>
  <c r="AT41" i="134"/>
  <c r="AT35" i="134"/>
  <c r="AI15" i="70"/>
  <c r="AJ15" i="70"/>
  <c r="L30" i="85" l="1"/>
  <c r="J14" i="146"/>
  <c r="O14" i="146" s="1"/>
  <c r="M26" i="85"/>
  <c r="AM62" i="69"/>
  <c r="AN63" i="69" s="1"/>
  <c r="L67" i="57"/>
  <c r="AL68" i="69"/>
  <c r="M27" i="85"/>
  <c r="AQ23" i="115"/>
  <c r="AR24" i="115" s="1"/>
  <c r="AS25" i="115" s="1"/>
  <c r="AT26" i="115" s="1"/>
  <c r="AU27" i="115" s="1"/>
  <c r="AV28" i="115" s="1"/>
  <c r="AW29" i="115" s="1"/>
  <c r="AJ30" i="34"/>
  <c r="AJ33" i="34" s="1"/>
  <c r="AN24" i="115"/>
  <c r="AO25" i="115" s="1"/>
  <c r="AP26" i="115" s="1"/>
  <c r="AQ27" i="115" s="1"/>
  <c r="AR28" i="115" s="1"/>
  <c r="AS29" i="115" s="1"/>
  <c r="AT30" i="115" s="1"/>
  <c r="AU31" i="115" s="1"/>
  <c r="AV32" i="115" s="1"/>
  <c r="AW33" i="115" s="1"/>
  <c r="AL61" i="69"/>
  <c r="AL65" i="69" s="1"/>
  <c r="AK29" i="69"/>
  <c r="AL7" i="67"/>
  <c r="AL11" i="67" s="1"/>
  <c r="AJ9" i="11" s="1"/>
  <c r="AS23" i="115"/>
  <c r="M8" i="85"/>
  <c r="M17" i="57"/>
  <c r="AL17" i="34"/>
  <c r="AL22" i="34" s="1"/>
  <c r="AO22" i="125"/>
  <c r="AM12" i="34"/>
  <c r="AM68" i="69"/>
  <c r="AJ33" i="69"/>
  <c r="AJ36" i="69" s="1"/>
  <c r="AU23" i="115"/>
  <c r="AK22" i="125"/>
  <c r="AJ63" i="125"/>
  <c r="AJ66" i="125" s="1"/>
  <c r="AM11" i="34" s="1"/>
  <c r="AM17" i="34" s="1"/>
  <c r="AM22" i="34" s="1"/>
  <c r="AN9" i="69" s="1"/>
  <c r="AK27" i="34"/>
  <c r="AI10" i="11"/>
  <c r="AI49" i="11" s="1"/>
  <c r="N22" i="116" s="1"/>
  <c r="AL23" i="115"/>
  <c r="AK63" i="115"/>
  <c r="AK66" i="115" s="1"/>
  <c r="AP16" i="70"/>
  <c r="AR30" i="69"/>
  <c r="AJ13" i="11"/>
  <c r="AL29" i="34" s="1"/>
  <c r="AT22" i="125"/>
  <c r="BG19" i="136"/>
  <c r="BA27" i="132"/>
  <c r="BC27" i="132" s="1"/>
  <c r="BB27" i="132"/>
  <c r="AM45" i="34"/>
  <c r="BH14" i="133"/>
  <c r="BH18" i="133" s="1"/>
  <c r="BI12" i="133"/>
  <c r="BS14" i="136"/>
  <c r="BS18" i="136" s="1"/>
  <c r="BT12" i="136"/>
  <c r="BU12" i="133"/>
  <c r="BT14" i="133"/>
  <c r="BT18" i="133" s="1"/>
  <c r="BI12" i="136"/>
  <c r="BH14" i="136"/>
  <c r="BH18" i="136" s="1"/>
  <c r="BI14" i="135"/>
  <c r="BI18" i="135" s="1"/>
  <c r="BJ12" i="135"/>
  <c r="BL27" i="134"/>
  <c r="BN27" i="134" s="1"/>
  <c r="BM27" i="134"/>
  <c r="AM29" i="136"/>
  <c r="AM45" i="136" s="1"/>
  <c r="AM21" i="11" s="1"/>
  <c r="AO43" i="34" s="1"/>
  <c r="BF27" i="131"/>
  <c r="AM19" i="131"/>
  <c r="AN19" i="131" s="1"/>
  <c r="AO19" i="131" s="1"/>
  <c r="AP19" i="131" s="1"/>
  <c r="AQ19" i="131" s="1"/>
  <c r="AR19" i="131" s="1"/>
  <c r="AS19" i="131" s="1"/>
  <c r="AT19" i="131" s="1"/>
  <c r="AU19" i="131" s="1"/>
  <c r="AV19" i="131" s="1"/>
  <c r="AW19" i="131" s="1"/>
  <c r="AX19" i="131" s="1"/>
  <c r="AY19" i="131" s="1"/>
  <c r="AZ19" i="131" s="1"/>
  <c r="BA19" i="131" s="1"/>
  <c r="BB19" i="131" s="1"/>
  <c r="BC19" i="131" s="1"/>
  <c r="BD19" i="131" s="1"/>
  <c r="BE19" i="131" s="1"/>
  <c r="BF19" i="131" s="1"/>
  <c r="BG19" i="131" s="1"/>
  <c r="BH19" i="131" s="1"/>
  <c r="BI19" i="131" s="1"/>
  <c r="BJ19" i="131" s="1"/>
  <c r="BK19" i="131" s="1"/>
  <c r="BL19" i="131" s="1"/>
  <c r="BM19" i="131" s="1"/>
  <c r="BN19" i="131" s="1"/>
  <c r="BO19" i="131" s="1"/>
  <c r="BP19" i="131" s="1"/>
  <c r="BQ19" i="131" s="1"/>
  <c r="BR19" i="131" s="1"/>
  <c r="BS19" i="131" s="1"/>
  <c r="BT19" i="131" s="1"/>
  <c r="BU19" i="131" s="1"/>
  <c r="BV19" i="131" s="1"/>
  <c r="AM19" i="135"/>
  <c r="AM29" i="135" s="1"/>
  <c r="AM45" i="135" s="1"/>
  <c r="AM26" i="11" s="1"/>
  <c r="AO49" i="34" s="1"/>
  <c r="AM19" i="132"/>
  <c r="AN19" i="132" s="1"/>
  <c r="AO19" i="132" s="1"/>
  <c r="AP19" i="132" s="1"/>
  <c r="AQ19" i="132" s="1"/>
  <c r="AR19" i="132" s="1"/>
  <c r="AS19" i="132" s="1"/>
  <c r="AT19" i="132" s="1"/>
  <c r="AU19" i="132" s="1"/>
  <c r="AV19" i="132" s="1"/>
  <c r="AW19" i="132" s="1"/>
  <c r="AM19" i="133"/>
  <c r="AN19" i="133" s="1"/>
  <c r="AO19" i="133" s="1"/>
  <c r="AP19" i="133" s="1"/>
  <c r="AQ19" i="133" s="1"/>
  <c r="AR19" i="133" s="1"/>
  <c r="AS19" i="133" s="1"/>
  <c r="AT19" i="133" s="1"/>
  <c r="AU19" i="133" s="1"/>
  <c r="AV19" i="133" s="1"/>
  <c r="AW19" i="133" s="1"/>
  <c r="AX19" i="133" s="1"/>
  <c r="AY19" i="133" s="1"/>
  <c r="AZ19" i="133" s="1"/>
  <c r="BA19" i="133" s="1"/>
  <c r="BB19" i="133" s="1"/>
  <c r="BC19" i="133" s="1"/>
  <c r="BD19" i="133" s="1"/>
  <c r="BE19" i="133" s="1"/>
  <c r="BF19" i="133" s="1"/>
  <c r="BG19" i="133" s="1"/>
  <c r="AM19" i="134"/>
  <c r="AN19" i="134" s="1"/>
  <c r="AO19" i="134" s="1"/>
  <c r="AW26" i="133"/>
  <c r="AW35" i="136"/>
  <c r="BJ27" i="135"/>
  <c r="AV38" i="136"/>
  <c r="AR41" i="131"/>
  <c r="AW38" i="145"/>
  <c r="AS28" i="135"/>
  <c r="AP25" i="132"/>
  <c r="AU47" i="145"/>
  <c r="AQ37" i="144"/>
  <c r="AS42" i="135"/>
  <c r="AQ26" i="135"/>
  <c r="AQ39" i="136"/>
  <c r="AV46" i="145"/>
  <c r="AQ43" i="132"/>
  <c r="AR42" i="132"/>
  <c r="AS42" i="132"/>
  <c r="AR35" i="133"/>
  <c r="AU36" i="133"/>
  <c r="AR40" i="136"/>
  <c r="H38" i="116"/>
  <c r="H20" i="85" s="1"/>
  <c r="S20" i="85" s="1"/>
  <c r="T38" i="116" s="1"/>
  <c r="T36" i="116"/>
  <c r="AQ25" i="133"/>
  <c r="AS26" i="132"/>
  <c r="AT38" i="131"/>
  <c r="AT39" i="133"/>
  <c r="AW36" i="136"/>
  <c r="AP24" i="131"/>
  <c r="AQ42" i="133"/>
  <c r="AO26" i="136"/>
  <c r="BB27" i="136"/>
  <c r="AU24" i="134"/>
  <c r="AV24" i="134"/>
  <c r="AN52" i="145"/>
  <c r="AO32" i="145"/>
  <c r="AU37" i="136"/>
  <c r="AO36" i="145"/>
  <c r="AQ25" i="134"/>
  <c r="AO34" i="136"/>
  <c r="AN43" i="136"/>
  <c r="AQ40" i="145"/>
  <c r="E43" i="70"/>
  <c r="E49" i="70"/>
  <c r="E51" i="70" s="1"/>
  <c r="E58" i="70" s="1"/>
  <c r="AU39" i="144"/>
  <c r="AS33" i="144"/>
  <c r="AQ36" i="135"/>
  <c r="AO37" i="145"/>
  <c r="AQ32" i="135"/>
  <c r="AR32" i="135"/>
  <c r="AR35" i="131"/>
  <c r="AT50" i="145"/>
  <c r="AP34" i="135"/>
  <c r="AP43" i="135" s="1"/>
  <c r="AR26" i="131"/>
  <c r="H43" i="70"/>
  <c r="H49" i="70"/>
  <c r="H51" i="70" s="1"/>
  <c r="H58" i="70" s="1"/>
  <c r="AT38" i="135"/>
  <c r="AW45" i="145"/>
  <c r="AS42" i="145"/>
  <c r="AO25" i="136"/>
  <c r="AQ24" i="136"/>
  <c r="AR28" i="136"/>
  <c r="AW34" i="133"/>
  <c r="AQ37" i="131"/>
  <c r="AS33" i="136"/>
  <c r="AQ33" i="145"/>
  <c r="AV28" i="133"/>
  <c r="AQ42" i="136"/>
  <c r="AP28" i="131"/>
  <c r="AN43" i="131"/>
  <c r="AO32" i="131"/>
  <c r="AS25" i="145"/>
  <c r="AR33" i="133"/>
  <c r="AS34" i="131"/>
  <c r="AX36" i="131"/>
  <c r="AQ33" i="131"/>
  <c r="C38" i="116"/>
  <c r="C20" i="85" s="1"/>
  <c r="R20" i="85" s="1"/>
  <c r="S38" i="116" s="1"/>
  <c r="S36" i="116"/>
  <c r="AT34" i="144"/>
  <c r="AS28" i="144"/>
  <c r="AR42" i="144"/>
  <c r="AQ26" i="144"/>
  <c r="AU51" i="145"/>
  <c r="AR35" i="144"/>
  <c r="AT40" i="135"/>
  <c r="AP38" i="144"/>
  <c r="AO43" i="144"/>
  <c r="AQ38" i="133"/>
  <c r="AP25" i="131"/>
  <c r="BB40" i="133"/>
  <c r="BE40" i="133" s="1"/>
  <c r="AS43" i="145"/>
  <c r="AO25" i="135"/>
  <c r="AX35" i="136"/>
  <c r="AP35" i="145"/>
  <c r="AV44" i="145"/>
  <c r="AQ34" i="145"/>
  <c r="AQ27" i="133"/>
  <c r="AX36" i="144"/>
  <c r="AY36" i="144"/>
  <c r="AV40" i="144"/>
  <c r="AR39" i="145"/>
  <c r="AU49" i="145"/>
  <c r="AR28" i="132"/>
  <c r="AS28" i="145"/>
  <c r="AV35" i="135"/>
  <c r="AP20" i="133"/>
  <c r="AS37" i="135"/>
  <c r="AR40" i="131"/>
  <c r="AS33" i="135"/>
  <c r="AR37" i="133"/>
  <c r="AT26" i="145"/>
  <c r="AQ39" i="135"/>
  <c r="AR32" i="144"/>
  <c r="BA27" i="136"/>
  <c r="BC27" i="136" s="1"/>
  <c r="AQ48" i="145"/>
  <c r="AK23" i="11"/>
  <c r="BD27" i="145"/>
  <c r="BE27" i="145"/>
  <c r="BG27" i="145"/>
  <c r="BF27" i="144"/>
  <c r="BH27" i="144" s="1"/>
  <c r="BG27" i="144"/>
  <c r="BJ27" i="144" s="1"/>
  <c r="BI27" i="144"/>
  <c r="BK27" i="135"/>
  <c r="BL27" i="135"/>
  <c r="BE27" i="131"/>
  <c r="AJ19" i="11"/>
  <c r="AJ40" i="11" s="1"/>
  <c r="AI69" i="34"/>
  <c r="AL17" i="126"/>
  <c r="AK45" i="107" s="1"/>
  <c r="AI111" i="109" s="1"/>
  <c r="AI147" i="109" s="1"/>
  <c r="AL29" i="133"/>
  <c r="AL45" i="133" s="1"/>
  <c r="AL22" i="11" s="1"/>
  <c r="AL23" i="11" s="1"/>
  <c r="AL29" i="131"/>
  <c r="AL45" i="131" s="1"/>
  <c r="AK17" i="11" s="1"/>
  <c r="AK19" i="11" s="1"/>
  <c r="AL29" i="135"/>
  <c r="AL45" i="135" s="1"/>
  <c r="AL26" i="11" s="1"/>
  <c r="AN49" i="34" s="1"/>
  <c r="N44" i="57" s="1"/>
  <c r="AK29" i="144"/>
  <c r="AK45" i="144" s="1"/>
  <c r="AX14" i="134"/>
  <c r="AX18" i="134" s="1"/>
  <c r="AY12" i="134"/>
  <c r="AY14" i="134" s="1"/>
  <c r="AY18" i="134" s="1"/>
  <c r="AL29" i="132"/>
  <c r="AL57" i="132" s="1"/>
  <c r="AL18" i="11" s="1"/>
  <c r="AN39" i="34" s="1"/>
  <c r="N34" i="57" s="1"/>
  <c r="AL18" i="144"/>
  <c r="AL19" i="144"/>
  <c r="AM19" i="144" s="1"/>
  <c r="AK63" i="34"/>
  <c r="M58" i="57" s="1"/>
  <c r="M18" i="85" s="1"/>
  <c r="K13" i="146" s="1"/>
  <c r="P13" i="146" s="1"/>
  <c r="AW18" i="135"/>
  <c r="BJ14" i="134"/>
  <c r="BJ18" i="134" s="1"/>
  <c r="BK12" i="134"/>
  <c r="BK14" i="134" s="1"/>
  <c r="BK18" i="134" s="1"/>
  <c r="AX18" i="131"/>
  <c r="AW18" i="132"/>
  <c r="AX14" i="135"/>
  <c r="AY12" i="135"/>
  <c r="AY14" i="135" s="1"/>
  <c r="AY18" i="131"/>
  <c r="AY12" i="132"/>
  <c r="AY14" i="132" s="1"/>
  <c r="AX14" i="132"/>
  <c r="AM5" i="126"/>
  <c r="AH82" i="34"/>
  <c r="L71" i="57"/>
  <c r="N38" i="57"/>
  <c r="AO7" i="133"/>
  <c r="AN21" i="133"/>
  <c r="AN9" i="61"/>
  <c r="AO21" i="135"/>
  <c r="AO12" i="61"/>
  <c r="AP7" i="135"/>
  <c r="AO7" i="134"/>
  <c r="AN21" i="134"/>
  <c r="AN11" i="61"/>
  <c r="AO7" i="145"/>
  <c r="AN21" i="145"/>
  <c r="AN29" i="145" s="1"/>
  <c r="AN54" i="145" s="1"/>
  <c r="N19" i="116"/>
  <c r="AO7" i="136"/>
  <c r="AN21" i="136"/>
  <c r="AN29" i="136" s="1"/>
  <c r="AN45" i="136" s="1"/>
  <c r="AN21" i="11" s="1"/>
  <c r="AN10" i="61"/>
  <c r="AP7" i="132"/>
  <c r="AO8" i="61"/>
  <c r="AO21" i="132"/>
  <c r="AM14" i="61"/>
  <c r="AO7" i="131"/>
  <c r="AN7" i="61"/>
  <c r="AN21" i="131"/>
  <c r="AL40" i="34"/>
  <c r="AL63" i="34" s="1"/>
  <c r="AO21" i="144"/>
  <c r="AP7" i="144"/>
  <c r="AU37" i="134"/>
  <c r="AU35" i="134"/>
  <c r="AT26" i="134"/>
  <c r="AL29" i="134"/>
  <c r="AL45" i="134" s="1"/>
  <c r="AL25" i="11" s="1"/>
  <c r="AV42" i="134"/>
  <c r="AP38" i="134"/>
  <c r="AI78" i="34"/>
  <c r="AH50" i="69"/>
  <c r="AG51" i="69"/>
  <c r="AG52" i="69" s="1"/>
  <c r="AF84" i="34"/>
  <c r="AR32" i="134"/>
  <c r="AO34" i="134"/>
  <c r="AN43" i="134"/>
  <c r="AY28" i="134"/>
  <c r="AU41" i="134"/>
  <c r="AT36" i="134"/>
  <c r="AS39" i="134"/>
  <c r="AM48" i="34"/>
  <c r="AK38" i="11"/>
  <c r="AF41" i="70"/>
  <c r="AF42" i="70" s="1"/>
  <c r="AG8" i="69" s="1"/>
  <c r="AS33" i="134"/>
  <c r="M22" i="57" l="1"/>
  <c r="M25" i="57" s="1"/>
  <c r="M12" i="85" s="1"/>
  <c r="M13" i="85" s="1"/>
  <c r="M14" i="85" s="1"/>
  <c r="AK30" i="34"/>
  <c r="AK33" i="34" s="1"/>
  <c r="AK34" i="34" s="1"/>
  <c r="AV24" i="115"/>
  <c r="AM7" i="67"/>
  <c r="AM11" i="67" s="1"/>
  <c r="AK9" i="11" s="1"/>
  <c r="AM9" i="69"/>
  <c r="AM61" i="69"/>
  <c r="AM65" i="69" s="1"/>
  <c r="AL29" i="69"/>
  <c r="AK17" i="70" s="1"/>
  <c r="AJ34" i="34"/>
  <c r="AJ66" i="34"/>
  <c r="AU23" i="125"/>
  <c r="AN12" i="34"/>
  <c r="N7" i="57" s="1"/>
  <c r="AT24" i="115"/>
  <c r="AM24" i="115"/>
  <c r="AL63" i="115"/>
  <c r="AL66" i="115" s="1"/>
  <c r="AL23" i="125"/>
  <c r="AK63" i="125"/>
  <c r="AK66" i="125" s="1"/>
  <c r="AN11" i="34" s="1"/>
  <c r="AN62" i="69"/>
  <c r="M6" i="85"/>
  <c r="AL27" i="34"/>
  <c r="AJ10" i="11"/>
  <c r="AJ49" i="11" s="1"/>
  <c r="AS30" i="69"/>
  <c r="AQ16" i="70"/>
  <c r="AK13" i="11"/>
  <c r="AM29" i="34" s="1"/>
  <c r="AP23" i="125"/>
  <c r="N24" i="116"/>
  <c r="M10" i="85"/>
  <c r="M9" i="85"/>
  <c r="M29" i="85"/>
  <c r="AJ17" i="70"/>
  <c r="AK33" i="69"/>
  <c r="AK36" i="69" s="1"/>
  <c r="BH27" i="131"/>
  <c r="AN19" i="135"/>
  <c r="AO19" i="135" s="1"/>
  <c r="AP19" i="135" s="1"/>
  <c r="AQ19" i="135" s="1"/>
  <c r="AR19" i="135" s="1"/>
  <c r="AS19" i="135" s="1"/>
  <c r="AT19" i="135" s="1"/>
  <c r="AU19" i="135" s="1"/>
  <c r="AV19" i="135" s="1"/>
  <c r="AW19" i="135" s="1"/>
  <c r="BE27" i="132"/>
  <c r="BD27" i="132"/>
  <c r="BH19" i="133"/>
  <c r="BT14" i="136"/>
  <c r="BT18" i="136" s="1"/>
  <c r="BU12" i="136"/>
  <c r="BH19" i="136"/>
  <c r="BI14" i="136"/>
  <c r="BI18" i="136" s="1"/>
  <c r="BJ12" i="136"/>
  <c r="BK12" i="135"/>
  <c r="BK14" i="135" s="1"/>
  <c r="BK18" i="135" s="1"/>
  <c r="BJ14" i="135"/>
  <c r="BJ18" i="135" s="1"/>
  <c r="BJ12" i="133"/>
  <c r="BI14" i="133"/>
  <c r="BI18" i="133" s="1"/>
  <c r="BV12" i="133"/>
  <c r="BV14" i="133" s="1"/>
  <c r="BV18" i="133" s="1"/>
  <c r="BU14" i="133"/>
  <c r="BU18" i="133" s="1"/>
  <c r="BP27" i="134"/>
  <c r="BO27" i="134"/>
  <c r="BQ27" i="134" s="1"/>
  <c r="AN44" i="34"/>
  <c r="N39" i="57" s="1"/>
  <c r="N40" i="57" s="1"/>
  <c r="AN29" i="133"/>
  <c r="AN45" i="133" s="1"/>
  <c r="AN22" i="11" s="1"/>
  <c r="AP44" i="34" s="1"/>
  <c r="AM29" i="132"/>
  <c r="AM57" i="132" s="1"/>
  <c r="AM18" i="11" s="1"/>
  <c r="AO39" i="34" s="1"/>
  <c r="AN29" i="132"/>
  <c r="AN57" i="132" s="1"/>
  <c r="AN18" i="11" s="1"/>
  <c r="AP39" i="34" s="1"/>
  <c r="AN29" i="131"/>
  <c r="AN45" i="131" s="1"/>
  <c r="AM17" i="11" s="1"/>
  <c r="AO29" i="132"/>
  <c r="AO57" i="132" s="1"/>
  <c r="AO18" i="11" s="1"/>
  <c r="AQ39" i="34" s="1"/>
  <c r="AM29" i="131"/>
  <c r="AM45" i="131" s="1"/>
  <c r="AL17" i="11" s="1"/>
  <c r="AN38" i="34" s="1"/>
  <c r="AO29" i="135"/>
  <c r="AO45" i="135" s="1"/>
  <c r="AO26" i="11" s="1"/>
  <c r="AQ49" i="34" s="1"/>
  <c r="AM29" i="133"/>
  <c r="AM45" i="133" s="1"/>
  <c r="AM22" i="11" s="1"/>
  <c r="AO44" i="34" s="1"/>
  <c r="AO45" i="34" s="1"/>
  <c r="AN29" i="134"/>
  <c r="AN45" i="134" s="1"/>
  <c r="AN25" i="11" s="1"/>
  <c r="AP48" i="34" s="1"/>
  <c r="AM29" i="134"/>
  <c r="AM45" i="134" s="1"/>
  <c r="AM25" i="11" s="1"/>
  <c r="AM38" i="11" s="1"/>
  <c r="AQ20" i="133"/>
  <c r="AZ36" i="144"/>
  <c r="AQ25" i="131"/>
  <c r="AU34" i="144"/>
  <c r="AT34" i="131"/>
  <c r="AQ28" i="131"/>
  <c r="AW28" i="133"/>
  <c r="AS32" i="135"/>
  <c r="AO52" i="145"/>
  <c r="AP32" i="145"/>
  <c r="AP26" i="136"/>
  <c r="AR42" i="133"/>
  <c r="AR43" i="133" s="1"/>
  <c r="AU38" i="131"/>
  <c r="AR43" i="132"/>
  <c r="AR39" i="136"/>
  <c r="AQ25" i="132"/>
  <c r="AW38" i="136"/>
  <c r="AX26" i="133"/>
  <c r="AR48" i="145"/>
  <c r="AU26" i="145"/>
  <c r="AT28" i="145"/>
  <c r="AS28" i="132"/>
  <c r="AW44" i="145"/>
  <c r="AY35" i="136"/>
  <c r="AT43" i="145"/>
  <c r="AR38" i="133"/>
  <c r="AQ38" i="144"/>
  <c r="AV51" i="145"/>
  <c r="AS33" i="133"/>
  <c r="AT25" i="145"/>
  <c r="AO43" i="131"/>
  <c r="AP32" i="131"/>
  <c r="AR33" i="145"/>
  <c r="AT33" i="136"/>
  <c r="AR37" i="131"/>
  <c r="AX45" i="145"/>
  <c r="AP43" i="144"/>
  <c r="AS26" i="131"/>
  <c r="AS35" i="131"/>
  <c r="AT32" i="135"/>
  <c r="AR36" i="135"/>
  <c r="AR25" i="133"/>
  <c r="AV36" i="133"/>
  <c r="AT28" i="135"/>
  <c r="AX38" i="145"/>
  <c r="AS41" i="131"/>
  <c r="AS32" i="144"/>
  <c r="AS37" i="133"/>
  <c r="AT37" i="135"/>
  <c r="AV49" i="145"/>
  <c r="AS39" i="145"/>
  <c r="AW40" i="144"/>
  <c r="AX40" i="144" s="1"/>
  <c r="AR27" i="133"/>
  <c r="AQ35" i="145"/>
  <c r="AP25" i="135"/>
  <c r="AU40" i="135"/>
  <c r="AR26" i="144"/>
  <c r="AS42" i="144"/>
  <c r="AR33" i="131"/>
  <c r="AR42" i="136"/>
  <c r="AT42" i="145"/>
  <c r="AQ34" i="135"/>
  <c r="AU50" i="145"/>
  <c r="AP37" i="145"/>
  <c r="AV37" i="136"/>
  <c r="AQ24" i="131"/>
  <c r="AU39" i="133"/>
  <c r="AV39" i="133" s="1"/>
  <c r="AS40" i="136"/>
  <c r="BD27" i="136"/>
  <c r="AV39" i="144"/>
  <c r="BE27" i="136"/>
  <c r="AR39" i="135"/>
  <c r="AT33" i="135"/>
  <c r="AS40" i="131"/>
  <c r="AT40" i="131"/>
  <c r="AU40" i="131" s="1"/>
  <c r="AW35" i="135"/>
  <c r="AR34" i="145"/>
  <c r="BD40" i="133"/>
  <c r="BG40" i="133" s="1"/>
  <c r="AS35" i="144"/>
  <c r="AT28" i="144"/>
  <c r="AY36" i="131"/>
  <c r="AQ43" i="133"/>
  <c r="AX34" i="133"/>
  <c r="AS28" i="136"/>
  <c r="AR24" i="136"/>
  <c r="AP25" i="136"/>
  <c r="AU38" i="135"/>
  <c r="AV38" i="135"/>
  <c r="AU32" i="135"/>
  <c r="AT33" i="144"/>
  <c r="AR40" i="145"/>
  <c r="AP34" i="136"/>
  <c r="AO43" i="136"/>
  <c r="AR25" i="134"/>
  <c r="AP36" i="145"/>
  <c r="AW24" i="134"/>
  <c r="AX36" i="136"/>
  <c r="AT26" i="132"/>
  <c r="AS35" i="133"/>
  <c r="AS43" i="132"/>
  <c r="AT42" i="132"/>
  <c r="AW46" i="145"/>
  <c r="AR26" i="135"/>
  <c r="AT42" i="135"/>
  <c r="AR37" i="144"/>
  <c r="AV47" i="145"/>
  <c r="BF27" i="145"/>
  <c r="BL27" i="144"/>
  <c r="BN27" i="144" s="1"/>
  <c r="BK27" i="144"/>
  <c r="BM27" i="144" s="1"/>
  <c r="BN27" i="135"/>
  <c r="BM27" i="135"/>
  <c r="BG27" i="131"/>
  <c r="AL28" i="69"/>
  <c r="AN5" i="126"/>
  <c r="AN10" i="126" s="1"/>
  <c r="AN29" i="135"/>
  <c r="AN45" i="135" s="1"/>
  <c r="AN26" i="11" s="1"/>
  <c r="AP49" i="34" s="1"/>
  <c r="AN19" i="144"/>
  <c r="AM29" i="144"/>
  <c r="AM45" i="144" s="1"/>
  <c r="AN14" i="61"/>
  <c r="AM38" i="34"/>
  <c r="AM40" i="34" s="1"/>
  <c r="AL29" i="144"/>
  <c r="AL45" i="144" s="1"/>
  <c r="AK40" i="11"/>
  <c r="AY18" i="135"/>
  <c r="AM10" i="126"/>
  <c r="AM17" i="126" s="1"/>
  <c r="AL45" i="107" s="1"/>
  <c r="AJ111" i="109" s="1"/>
  <c r="AJ147" i="109" s="1"/>
  <c r="AX18" i="135"/>
  <c r="AX19" i="135"/>
  <c r="AY19" i="135" s="1"/>
  <c r="AZ19" i="135" s="1"/>
  <c r="BA19" i="135" s="1"/>
  <c r="BB19" i="135" s="1"/>
  <c r="BC19" i="135" s="1"/>
  <c r="BD19" i="135" s="1"/>
  <c r="BE19" i="135" s="1"/>
  <c r="BF19" i="135" s="1"/>
  <c r="BG19" i="135" s="1"/>
  <c r="BH19" i="135" s="1"/>
  <c r="BI19" i="135" s="1"/>
  <c r="AX18" i="132"/>
  <c r="AX19" i="132"/>
  <c r="AY19" i="132" s="1"/>
  <c r="AZ19" i="132" s="1"/>
  <c r="BA19" i="132" s="1"/>
  <c r="BB19" i="132" s="1"/>
  <c r="BC19" i="132" s="1"/>
  <c r="BD19" i="132" s="1"/>
  <c r="BE19" i="132" s="1"/>
  <c r="BF19" i="132" s="1"/>
  <c r="BG19" i="132" s="1"/>
  <c r="BH19" i="132" s="1"/>
  <c r="BI19" i="132" s="1"/>
  <c r="BJ19" i="132" s="1"/>
  <c r="BK19" i="132" s="1"/>
  <c r="BL19" i="132" s="1"/>
  <c r="BM19" i="132" s="1"/>
  <c r="BN19" i="132" s="1"/>
  <c r="BO19" i="132" s="1"/>
  <c r="BP19" i="132" s="1"/>
  <c r="BQ19" i="132" s="1"/>
  <c r="BR19" i="132" s="1"/>
  <c r="BS19" i="132" s="1"/>
  <c r="BT19" i="132" s="1"/>
  <c r="BU19" i="132" s="1"/>
  <c r="BV19" i="132" s="1"/>
  <c r="AY18" i="132"/>
  <c r="AM28" i="69"/>
  <c r="AP7" i="133"/>
  <c r="AO9" i="61"/>
  <c r="AO21" i="133"/>
  <c r="AO29" i="133" s="1"/>
  <c r="AO45" i="133" s="1"/>
  <c r="AO22" i="11" s="1"/>
  <c r="AQ44" i="34" s="1"/>
  <c r="AP7" i="131"/>
  <c r="AO21" i="131"/>
  <c r="AO29" i="131" s="1"/>
  <c r="AO7" i="61"/>
  <c r="AP21" i="132"/>
  <c r="AP29" i="132" s="1"/>
  <c r="AP57" i="132" s="1"/>
  <c r="AP18" i="11" s="1"/>
  <c r="AR39" i="34" s="1"/>
  <c r="AQ7" i="132"/>
  <c r="AP8" i="61"/>
  <c r="AP43" i="34"/>
  <c r="N33" i="116"/>
  <c r="AP7" i="145"/>
  <c r="AO21" i="145"/>
  <c r="AO29" i="145" s="1"/>
  <c r="AO54" i="145" s="1"/>
  <c r="AH9" i="70"/>
  <c r="AH19" i="70" s="1"/>
  <c r="L75" i="57"/>
  <c r="AQ7" i="144"/>
  <c r="AP21" i="144"/>
  <c r="AO10" i="61"/>
  <c r="AP7" i="136"/>
  <c r="AO21" i="136"/>
  <c r="AO29" i="136" s="1"/>
  <c r="AO45" i="136" s="1"/>
  <c r="AO21" i="11" s="1"/>
  <c r="AP21" i="135"/>
  <c r="AP29" i="135" s="1"/>
  <c r="AP45" i="135" s="1"/>
  <c r="AP26" i="11" s="1"/>
  <c r="AR49" i="34" s="1"/>
  <c r="AQ7" i="135"/>
  <c r="AP12" i="61"/>
  <c r="AO21" i="134"/>
  <c r="AO29" i="134" s="1"/>
  <c r="AO11" i="61"/>
  <c r="AP7" i="134"/>
  <c r="AI82" i="34"/>
  <c r="AW42" i="134"/>
  <c r="AV37" i="134"/>
  <c r="AG12" i="69"/>
  <c r="AG24" i="69" s="1"/>
  <c r="AG53" i="69" s="1"/>
  <c r="AG40" i="70"/>
  <c r="AT39" i="134"/>
  <c r="AU36" i="134"/>
  <c r="AP34" i="134"/>
  <c r="AO43" i="134"/>
  <c r="AI50" i="69"/>
  <c r="AH51" i="69"/>
  <c r="AH52" i="69" s="1"/>
  <c r="AG84" i="34"/>
  <c r="AU26" i="134"/>
  <c r="AM61" i="34"/>
  <c r="AZ28" i="134"/>
  <c r="AQ38" i="134"/>
  <c r="AN48" i="34"/>
  <c r="AN61" i="34" s="1"/>
  <c r="AL38" i="11"/>
  <c r="AP19" i="134"/>
  <c r="AT33" i="134"/>
  <c r="AV41" i="134"/>
  <c r="AS32" i="134"/>
  <c r="AF85" i="34"/>
  <c r="AF86" i="34"/>
  <c r="AV35" i="134"/>
  <c r="AK66" i="34" l="1"/>
  <c r="AK74" i="34" s="1"/>
  <c r="AK78" i="34" s="1"/>
  <c r="AN17" i="34"/>
  <c r="AN22" i="34" s="1"/>
  <c r="AO9" i="69" s="1"/>
  <c r="AN13" i="70" s="1"/>
  <c r="AL33" i="69"/>
  <c r="AL36" i="69" s="1"/>
  <c r="M28" i="57"/>
  <c r="M29" i="57" s="1"/>
  <c r="AL30" i="34"/>
  <c r="AL33" i="34" s="1"/>
  <c r="N26" i="85"/>
  <c r="AM13" i="70"/>
  <c r="AL13" i="70"/>
  <c r="AW25" i="115"/>
  <c r="AQ24" i="125"/>
  <c r="AR16" i="70"/>
  <c r="AT30" i="69"/>
  <c r="AM24" i="125"/>
  <c r="AL63" i="125"/>
  <c r="AL66" i="125" s="1"/>
  <c r="AO11" i="34" s="1"/>
  <c r="AO62" i="69"/>
  <c r="AP63" i="69" s="1"/>
  <c r="N30" i="116"/>
  <c r="N32" i="116" s="1"/>
  <c r="N34" i="116" s="1"/>
  <c r="AO12" i="34"/>
  <c r="AU25" i="115"/>
  <c r="AL13" i="11"/>
  <c r="AN29" i="34" s="1"/>
  <c r="N24" i="57" s="1"/>
  <c r="AV24" i="125"/>
  <c r="AN61" i="69"/>
  <c r="AN65" i="69" s="1"/>
  <c r="AM29" i="69"/>
  <c r="AL17" i="70" s="1"/>
  <c r="AM27" i="34"/>
  <c r="AM30" i="34" s="1"/>
  <c r="AM33" i="34" s="1"/>
  <c r="AM34" i="34" s="1"/>
  <c r="AK10" i="11"/>
  <c r="AK49" i="11" s="1"/>
  <c r="AO63" i="69"/>
  <c r="AN68" i="69"/>
  <c r="AN25" i="115"/>
  <c r="AM63" i="115"/>
  <c r="AM66" i="115" s="1"/>
  <c r="N6" i="57"/>
  <c r="N12" i="57" s="1"/>
  <c r="AN7" i="67"/>
  <c r="AN11" i="67" s="1"/>
  <c r="AL9" i="11" s="1"/>
  <c r="AJ74" i="34"/>
  <c r="AJ78" i="34" s="1"/>
  <c r="AJ82" i="34" s="1"/>
  <c r="AJ9" i="70" s="1"/>
  <c r="AJ19" i="70" s="1"/>
  <c r="AJ41" i="70" s="1"/>
  <c r="AJ69" i="34"/>
  <c r="M19" i="85"/>
  <c r="N16" i="85"/>
  <c r="T16" i="85" s="1"/>
  <c r="AB11" i="146" s="1"/>
  <c r="AL19" i="11"/>
  <c r="AP45" i="34"/>
  <c r="BF27" i="132"/>
  <c r="BH27" i="132" s="1"/>
  <c r="BG27" i="132"/>
  <c r="BI19" i="136"/>
  <c r="BJ19" i="135"/>
  <c r="BK19" i="135" s="1"/>
  <c r="BL19" i="135" s="1"/>
  <c r="BM19" i="135" s="1"/>
  <c r="BN19" i="135" s="1"/>
  <c r="BO19" i="135" s="1"/>
  <c r="BP19" i="135" s="1"/>
  <c r="BQ19" i="135" s="1"/>
  <c r="BR19" i="135" s="1"/>
  <c r="BS19" i="135" s="1"/>
  <c r="BT19" i="135" s="1"/>
  <c r="BU19" i="135" s="1"/>
  <c r="BV19" i="135" s="1"/>
  <c r="O44" i="57"/>
  <c r="AN45" i="34"/>
  <c r="BV12" i="136"/>
  <c r="BV14" i="136" s="1"/>
  <c r="BV18" i="136" s="1"/>
  <c r="BU14" i="136"/>
  <c r="BU18" i="136" s="1"/>
  <c r="BJ14" i="136"/>
  <c r="BK12" i="136"/>
  <c r="BK14" i="136" s="1"/>
  <c r="BK18" i="136" s="1"/>
  <c r="BK12" i="133"/>
  <c r="BK14" i="133" s="1"/>
  <c r="BK18" i="133" s="1"/>
  <c r="BJ14" i="133"/>
  <c r="BJ18" i="133" s="1"/>
  <c r="BI19" i="133"/>
  <c r="BS27" i="134"/>
  <c r="BR27" i="134"/>
  <c r="BT27" i="134" s="1"/>
  <c r="AN23" i="11"/>
  <c r="O34" i="57"/>
  <c r="AP5" i="126"/>
  <c r="AP10" i="126" s="1"/>
  <c r="AP17" i="126" s="1"/>
  <c r="AO45" i="107" s="1"/>
  <c r="AM111" i="109" s="1"/>
  <c r="AM147" i="109" s="1"/>
  <c r="AO5" i="126"/>
  <c r="AO10" i="126" s="1"/>
  <c r="AO17" i="126" s="1"/>
  <c r="AN45" i="107" s="1"/>
  <c r="AL111" i="109" s="1"/>
  <c r="AL147" i="109" s="1"/>
  <c r="AM23" i="11"/>
  <c r="AO48" i="34"/>
  <c r="AO61" i="34" s="1"/>
  <c r="AP61" i="34"/>
  <c r="AY40" i="144"/>
  <c r="AW47" i="145"/>
  <c r="AS37" i="144"/>
  <c r="AX46" i="145"/>
  <c r="AT35" i="144"/>
  <c r="AX35" i="135"/>
  <c r="AU33" i="135"/>
  <c r="BG27" i="136"/>
  <c r="AW39" i="133"/>
  <c r="AR24" i="131"/>
  <c r="AQ37" i="145"/>
  <c r="AU42" i="145"/>
  <c r="AR35" i="145"/>
  <c r="AT32" i="144"/>
  <c r="AS25" i="133"/>
  <c r="AT26" i="131"/>
  <c r="AS37" i="131"/>
  <c r="AW51" i="145"/>
  <c r="AT28" i="132"/>
  <c r="AS48" i="145"/>
  <c r="AZ35" i="136"/>
  <c r="AR25" i="131"/>
  <c r="BI27" i="131"/>
  <c r="BK27" i="131" s="1"/>
  <c r="AU42" i="135"/>
  <c r="AS26" i="135"/>
  <c r="AT35" i="133"/>
  <c r="AQ36" i="145"/>
  <c r="AS25" i="134"/>
  <c r="AQ34" i="136"/>
  <c r="AP43" i="136"/>
  <c r="AS40" i="145"/>
  <c r="AQ25" i="136"/>
  <c r="AY34" i="133"/>
  <c r="AS39" i="135"/>
  <c r="BF27" i="136"/>
  <c r="AW37" i="136"/>
  <c r="AV50" i="145"/>
  <c r="AS42" i="136"/>
  <c r="AS33" i="131"/>
  <c r="AT42" i="144"/>
  <c r="AQ25" i="135"/>
  <c r="AU37" i="135"/>
  <c r="AY38" i="145"/>
  <c r="AU28" i="135"/>
  <c r="AW36" i="133"/>
  <c r="AS33" i="145"/>
  <c r="AR38" i="144"/>
  <c r="AQ43" i="144"/>
  <c r="AU43" i="145"/>
  <c r="AU28" i="145"/>
  <c r="AV26" i="145"/>
  <c r="AY26" i="133"/>
  <c r="AV38" i="131"/>
  <c r="AP52" i="145"/>
  <c r="AQ32" i="145"/>
  <c r="AU34" i="131"/>
  <c r="AR20" i="133"/>
  <c r="AX24" i="134"/>
  <c r="AY46" i="145"/>
  <c r="AT43" i="132"/>
  <c r="AU42" i="132"/>
  <c r="AU26" i="132"/>
  <c r="AV26" i="132"/>
  <c r="AW26" i="132" s="1"/>
  <c r="AT28" i="136"/>
  <c r="AZ36" i="131"/>
  <c r="AU28" i="144"/>
  <c r="BF40" i="133"/>
  <c r="BI40" i="133" s="1"/>
  <c r="AV40" i="131"/>
  <c r="AR34" i="135"/>
  <c r="AS27" i="133"/>
  <c r="AT39" i="145"/>
  <c r="AT37" i="133"/>
  <c r="AR43" i="144"/>
  <c r="AT41" i="131"/>
  <c r="AT35" i="131"/>
  <c r="AU33" i="136"/>
  <c r="AP43" i="131"/>
  <c r="AQ32" i="131"/>
  <c r="AT33" i="133"/>
  <c r="AS38" i="133"/>
  <c r="AS39" i="136"/>
  <c r="AS42" i="133"/>
  <c r="AQ26" i="136"/>
  <c r="AQ43" i="135"/>
  <c r="AX28" i="133"/>
  <c r="AV34" i="144"/>
  <c r="BJ27" i="131"/>
  <c r="AY36" i="136"/>
  <c r="AU33" i="144"/>
  <c r="AS24" i="136"/>
  <c r="AS34" i="145"/>
  <c r="AW39" i="144"/>
  <c r="AT40" i="136"/>
  <c r="AV32" i="135"/>
  <c r="AS26" i="144"/>
  <c r="AV40" i="135"/>
  <c r="AW49" i="145"/>
  <c r="AS36" i="135"/>
  <c r="AY45" i="145"/>
  <c r="AU25" i="145"/>
  <c r="BA35" i="136"/>
  <c r="AX44" i="145"/>
  <c r="AX38" i="136"/>
  <c r="AR25" i="132"/>
  <c r="AR28" i="131"/>
  <c r="BA36" i="144"/>
  <c r="AW38" i="135"/>
  <c r="AK15" i="70"/>
  <c r="AL15" i="70"/>
  <c r="BH27" i="145"/>
  <c r="BI27" i="145"/>
  <c r="BP27" i="144"/>
  <c r="BO27" i="144"/>
  <c r="BP27" i="135"/>
  <c r="BR27" i="135" s="1"/>
  <c r="BO27" i="135"/>
  <c r="BQ27" i="135" s="1"/>
  <c r="AN17" i="126"/>
  <c r="AM45" i="107" s="1"/>
  <c r="AK111" i="109" s="1"/>
  <c r="AK147" i="109" s="1"/>
  <c r="AM63" i="34"/>
  <c r="AN28" i="69" s="1"/>
  <c r="AO19" i="144"/>
  <c r="AN29" i="144"/>
  <c r="AN45" i="144" s="1"/>
  <c r="AL40" i="11"/>
  <c r="AO14" i="61"/>
  <c r="AP21" i="134"/>
  <c r="AP29" i="134" s="1"/>
  <c r="AP11" i="61"/>
  <c r="AQ7" i="134"/>
  <c r="AR7" i="144"/>
  <c r="AQ21" i="144"/>
  <c r="AO38" i="34"/>
  <c r="AM19" i="11"/>
  <c r="AQ12" i="61"/>
  <c r="AQ21" i="135"/>
  <c r="AQ29" i="135" s="1"/>
  <c r="AQ45" i="135" s="1"/>
  <c r="AQ26" i="11" s="1"/>
  <c r="AS49" i="34" s="1"/>
  <c r="AR7" i="135"/>
  <c r="AO23" i="11"/>
  <c r="AQ43" i="34"/>
  <c r="AQ5" i="126"/>
  <c r="AO45" i="131"/>
  <c r="AN17" i="11" s="1"/>
  <c r="O39" i="57"/>
  <c r="AN38" i="11"/>
  <c r="AQ7" i="136"/>
  <c r="AP21" i="136"/>
  <c r="AP29" i="136" s="1"/>
  <c r="AP10" i="61"/>
  <c r="AH41" i="70"/>
  <c r="M36" i="116"/>
  <c r="M38" i="116" s="1"/>
  <c r="AQ21" i="132"/>
  <c r="AQ29" i="132" s="1"/>
  <c r="AQ57" i="132" s="1"/>
  <c r="AQ18" i="11" s="1"/>
  <c r="AS39" i="34" s="1"/>
  <c r="AR7" i="132"/>
  <c r="AQ8" i="61"/>
  <c r="AQ7" i="131"/>
  <c r="AP21" i="131"/>
  <c r="AP29" i="131" s="1"/>
  <c r="AP7" i="61"/>
  <c r="AQ7" i="145"/>
  <c r="AP21" i="145"/>
  <c r="AP29" i="145" s="1"/>
  <c r="AN40" i="34"/>
  <c r="N33" i="57"/>
  <c r="N35" i="57" s="1"/>
  <c r="N15" i="85" s="1"/>
  <c r="AP21" i="133"/>
  <c r="AP29" i="133" s="1"/>
  <c r="AP45" i="133" s="1"/>
  <c r="AP22" i="11" s="1"/>
  <c r="AR44" i="34" s="1"/>
  <c r="AQ7" i="133"/>
  <c r="AP9" i="61"/>
  <c r="AT32" i="134"/>
  <c r="AQ19" i="134"/>
  <c r="AV26" i="134"/>
  <c r="AR38" i="134"/>
  <c r="S47" i="58"/>
  <c r="AU39" i="134"/>
  <c r="AW37" i="134"/>
  <c r="AJ50" i="69"/>
  <c r="AI51" i="69"/>
  <c r="AI52" i="69" s="1"/>
  <c r="AH84" i="34"/>
  <c r="AW35" i="134"/>
  <c r="AW41" i="134"/>
  <c r="AG85" i="34"/>
  <c r="AG86" i="34"/>
  <c r="AO45" i="134"/>
  <c r="AO25" i="11" s="1"/>
  <c r="AU33" i="134"/>
  <c r="BA28" i="134"/>
  <c r="N43" i="57"/>
  <c r="N56" i="57" s="1"/>
  <c r="N17" i="85" s="1"/>
  <c r="L12" i="146" s="1"/>
  <c r="Q12" i="146" s="1"/>
  <c r="S12" i="146" s="1"/>
  <c r="Y12" i="146" s="1"/>
  <c r="AQ34" i="134"/>
  <c r="AP43" i="134"/>
  <c r="AV36" i="134"/>
  <c r="AF43" i="70"/>
  <c r="AG42" i="70"/>
  <c r="AH8" i="69" s="1"/>
  <c r="AX42" i="134"/>
  <c r="AI9" i="70"/>
  <c r="AI19" i="70" s="1"/>
  <c r="M30" i="85" l="1"/>
  <c r="K14" i="146"/>
  <c r="P14" i="146" s="1"/>
  <c r="M67" i="57"/>
  <c r="AK69" i="34"/>
  <c r="T6" i="85"/>
  <c r="M60" i="57"/>
  <c r="M62" i="57" s="1"/>
  <c r="G28" i="58"/>
  <c r="AO68" i="69"/>
  <c r="AM33" i="69"/>
  <c r="AM36" i="69" s="1"/>
  <c r="AP62" i="69"/>
  <c r="AQ63" i="69" s="1"/>
  <c r="AO7" i="67"/>
  <c r="AO11" i="67" s="1"/>
  <c r="AM9" i="11" s="1"/>
  <c r="AO27" i="34" s="1"/>
  <c r="AN27" i="34"/>
  <c r="AN30" i="34" s="1"/>
  <c r="AN33" i="34" s="1"/>
  <c r="AN34" i="34" s="1"/>
  <c r="AL10" i="11"/>
  <c r="AL49" i="11" s="1"/>
  <c r="U22" i="116" s="1"/>
  <c r="AW25" i="125"/>
  <c r="AM13" i="11"/>
  <c r="AO29" i="34" s="1"/>
  <c r="AN25" i="125"/>
  <c r="AM63" i="125"/>
  <c r="AM66" i="125" s="1"/>
  <c r="AP11" i="34" s="1"/>
  <c r="AR25" i="125"/>
  <c r="AL34" i="34"/>
  <c r="AL66" i="34"/>
  <c r="N8" i="85"/>
  <c r="N17" i="57"/>
  <c r="AU30" i="69"/>
  <c r="AS16" i="70"/>
  <c r="AP12" i="34"/>
  <c r="AO61" i="69"/>
  <c r="AO65" i="69" s="1"/>
  <c r="AN29" i="69"/>
  <c r="AM17" i="70" s="1"/>
  <c r="AP68" i="69"/>
  <c r="AO26" i="115"/>
  <c r="AN63" i="115"/>
  <c r="AN66" i="115" s="1"/>
  <c r="AV26" i="115"/>
  <c r="AO17" i="34"/>
  <c r="AO22" i="34" s="1"/>
  <c r="T26" i="85"/>
  <c r="U26" i="85" s="1"/>
  <c r="V26" i="85" s="1"/>
  <c r="W26" i="85" s="1"/>
  <c r="X26" i="85" s="1"/>
  <c r="Y26" i="85" s="1"/>
  <c r="N27" i="85"/>
  <c r="L20" i="85"/>
  <c r="AP45" i="136"/>
  <c r="AP21" i="11" s="1"/>
  <c r="AM40" i="11"/>
  <c r="AN63" i="34"/>
  <c r="AO28" i="69" s="1"/>
  <c r="AN15" i="70" s="1"/>
  <c r="BI27" i="132"/>
  <c r="BJ27" i="132"/>
  <c r="BJ19" i="133"/>
  <c r="BK19" i="133" s="1"/>
  <c r="BL19" i="133" s="1"/>
  <c r="BM19" i="133" s="1"/>
  <c r="BN19" i="133" s="1"/>
  <c r="BO19" i="133" s="1"/>
  <c r="BP19" i="133" s="1"/>
  <c r="BQ19" i="133" s="1"/>
  <c r="BR19" i="133" s="1"/>
  <c r="BS19" i="133" s="1"/>
  <c r="BT19" i="133" s="1"/>
  <c r="BU19" i="133" s="1"/>
  <c r="BV19" i="133" s="1"/>
  <c r="BJ18" i="136"/>
  <c r="BJ19" i="136"/>
  <c r="BK19" i="136" s="1"/>
  <c r="BL19" i="136" s="1"/>
  <c r="BM19" i="136" s="1"/>
  <c r="BN19" i="136" s="1"/>
  <c r="BO19" i="136" s="1"/>
  <c r="BP19" i="136" s="1"/>
  <c r="BQ19" i="136" s="1"/>
  <c r="BR19" i="136" s="1"/>
  <c r="BS19" i="136" s="1"/>
  <c r="BT19" i="136" s="1"/>
  <c r="BU19" i="136" s="1"/>
  <c r="BV19" i="136" s="1"/>
  <c r="BV27" i="134"/>
  <c r="BU27" i="134"/>
  <c r="BL27" i="131"/>
  <c r="AP54" i="145"/>
  <c r="AX26" i="132"/>
  <c r="BS27" i="135"/>
  <c r="AX38" i="135"/>
  <c r="BB35" i="136"/>
  <c r="AT26" i="144"/>
  <c r="AW32" i="135"/>
  <c r="AT34" i="145"/>
  <c r="AR26" i="136"/>
  <c r="AU35" i="131"/>
  <c r="AS34" i="135"/>
  <c r="AR43" i="135"/>
  <c r="AW40" i="131"/>
  <c r="BH40" i="133"/>
  <c r="BA36" i="131"/>
  <c r="AV34" i="131"/>
  <c r="AW26" i="145"/>
  <c r="AV28" i="145"/>
  <c r="AT33" i="145"/>
  <c r="AT33" i="131"/>
  <c r="AT39" i="135"/>
  <c r="AZ34" i="133"/>
  <c r="AU28" i="132"/>
  <c r="AX47" i="145"/>
  <c r="AZ40" i="144"/>
  <c r="AS25" i="132"/>
  <c r="AZ45" i="145"/>
  <c r="AW40" i="135"/>
  <c r="AT24" i="136"/>
  <c r="AV33" i="144"/>
  <c r="AZ36" i="136"/>
  <c r="AW34" i="144"/>
  <c r="AU33" i="133"/>
  <c r="AV28" i="144"/>
  <c r="AU43" i="132"/>
  <c r="AV42" i="132"/>
  <c r="AZ26" i="133"/>
  <c r="AR25" i="135"/>
  <c r="AU42" i="144"/>
  <c r="AT40" i="145"/>
  <c r="AR34" i="136"/>
  <c r="AQ43" i="136"/>
  <c r="AR36" i="145"/>
  <c r="AZ46" i="145"/>
  <c r="AV42" i="135"/>
  <c r="AX51" i="145"/>
  <c r="AT25" i="133"/>
  <c r="AU32" i="144"/>
  <c r="AR37" i="145"/>
  <c r="AS24" i="131"/>
  <c r="AV33" i="135"/>
  <c r="BB36" i="144"/>
  <c r="AY38" i="136"/>
  <c r="AY44" i="145"/>
  <c r="AX49" i="145"/>
  <c r="AU40" i="136"/>
  <c r="AX39" i="144"/>
  <c r="AY28" i="133"/>
  <c r="AT42" i="133"/>
  <c r="AS43" i="133"/>
  <c r="AV33" i="136"/>
  <c r="AU41" i="131"/>
  <c r="AU37" i="133"/>
  <c r="AU39" i="145"/>
  <c r="AT27" i="133"/>
  <c r="AU28" i="136"/>
  <c r="AQ52" i="145"/>
  <c r="AR32" i="145"/>
  <c r="AV43" i="145"/>
  <c r="AV28" i="135"/>
  <c r="BH27" i="136"/>
  <c r="BI27" i="136"/>
  <c r="BK27" i="136"/>
  <c r="AR25" i="136"/>
  <c r="AU35" i="133"/>
  <c r="AT26" i="135"/>
  <c r="AT37" i="131"/>
  <c r="AS35" i="145"/>
  <c r="BA46" i="145"/>
  <c r="AS28" i="131"/>
  <c r="AV25" i="145"/>
  <c r="AT36" i="135"/>
  <c r="AT39" i="136"/>
  <c r="AT38" i="133"/>
  <c r="AQ43" i="131"/>
  <c r="AR32" i="131"/>
  <c r="AY24" i="134"/>
  <c r="AS20" i="133"/>
  <c r="AW38" i="131"/>
  <c r="BA26" i="133"/>
  <c r="AS38" i="144"/>
  <c r="AX36" i="133"/>
  <c r="AZ38" i="145"/>
  <c r="AV37" i="135"/>
  <c r="AT42" i="136"/>
  <c r="AW50" i="145"/>
  <c r="AX37" i="136"/>
  <c r="AT25" i="134"/>
  <c r="AS25" i="131"/>
  <c r="AT48" i="145"/>
  <c r="AU26" i="131"/>
  <c r="AV42" i="145"/>
  <c r="AX39" i="133"/>
  <c r="AY35" i="135"/>
  <c r="AU35" i="144"/>
  <c r="AT37" i="144"/>
  <c r="BK27" i="145"/>
  <c r="BJ27" i="145"/>
  <c r="BL27" i="145" s="1"/>
  <c r="BS27" i="144"/>
  <c r="BU27" i="144" s="1"/>
  <c r="BQ27" i="144"/>
  <c r="BT27" i="144" s="1"/>
  <c r="BR27" i="144"/>
  <c r="BU27" i="135"/>
  <c r="BT27" i="135"/>
  <c r="BV27" i="135" s="1"/>
  <c r="AM66" i="34"/>
  <c r="AM74" i="34" s="1"/>
  <c r="BM27" i="131"/>
  <c r="AP19" i="144"/>
  <c r="AO29" i="144"/>
  <c r="AO45" i="144" s="1"/>
  <c r="AP14" i="61"/>
  <c r="AR8" i="61"/>
  <c r="AR21" i="132"/>
  <c r="AR29" i="132" s="1"/>
  <c r="AR57" i="132" s="1"/>
  <c r="AR18" i="11" s="1"/>
  <c r="AT39" i="34" s="1"/>
  <c r="P34" i="57" s="1"/>
  <c r="AS7" i="132"/>
  <c r="AQ45" i="34"/>
  <c r="O38" i="57"/>
  <c r="O40" i="57" s="1"/>
  <c r="AQ21" i="133"/>
  <c r="AQ29" i="133" s="1"/>
  <c r="AQ45" i="133" s="1"/>
  <c r="AQ22" i="11" s="1"/>
  <c r="AS44" i="34" s="1"/>
  <c r="AR7" i="133"/>
  <c r="AQ9" i="61"/>
  <c r="AR5" i="126"/>
  <c r="AP45" i="131"/>
  <c r="AO17" i="11" s="1"/>
  <c r="AP38" i="34"/>
  <c r="AP40" i="34" s="1"/>
  <c r="AP63" i="34" s="1"/>
  <c r="AN19" i="11"/>
  <c r="AN40" i="11" s="1"/>
  <c r="AR21" i="144"/>
  <c r="AS7" i="144"/>
  <c r="O19" i="116"/>
  <c r="T15" i="85"/>
  <c r="AR7" i="136"/>
  <c r="AQ21" i="136"/>
  <c r="AQ29" i="136" s="1"/>
  <c r="AQ45" i="136" s="1"/>
  <c r="AQ21" i="11" s="1"/>
  <c r="AQ10" i="61"/>
  <c r="AQ21" i="145"/>
  <c r="AQ29" i="145" s="1"/>
  <c r="AR7" i="145"/>
  <c r="AQ21" i="131"/>
  <c r="AQ29" i="131" s="1"/>
  <c r="AR7" i="131"/>
  <c r="AQ7" i="61"/>
  <c r="AP23" i="11"/>
  <c r="AR43" i="34"/>
  <c r="AQ10" i="126"/>
  <c r="AQ17" i="126" s="1"/>
  <c r="AP45" i="107" s="1"/>
  <c r="AN111" i="109" s="1"/>
  <c r="AN147" i="109" s="1"/>
  <c r="AR21" i="135"/>
  <c r="AR29" i="135" s="1"/>
  <c r="AR45" i="135" s="1"/>
  <c r="AR26" i="11" s="1"/>
  <c r="AT49" i="34" s="1"/>
  <c r="P44" i="57" s="1"/>
  <c r="AR12" i="61"/>
  <c r="AS7" i="135"/>
  <c r="AO40" i="34"/>
  <c r="AO63" i="34" s="1"/>
  <c r="AQ21" i="134"/>
  <c r="AQ29" i="134" s="1"/>
  <c r="AR7" i="134"/>
  <c r="AQ11" i="61"/>
  <c r="AP45" i="134"/>
  <c r="AP25" i="11" s="1"/>
  <c r="AP38" i="11" s="1"/>
  <c r="AW36" i="134"/>
  <c r="AX41" i="134"/>
  <c r="AI84" i="34"/>
  <c r="AJ51" i="69"/>
  <c r="AJ52" i="69" s="1"/>
  <c r="AK50" i="69"/>
  <c r="AM15" i="70"/>
  <c r="AV39" i="134"/>
  <c r="AH12" i="69"/>
  <c r="AH24" i="69" s="1"/>
  <c r="AH53" i="69" s="1"/>
  <c r="AH40" i="70"/>
  <c r="AV33" i="134"/>
  <c r="AI41" i="70"/>
  <c r="AY42" i="134"/>
  <c r="T17" i="85"/>
  <c r="AB12" i="146" s="1"/>
  <c r="AK82" i="34"/>
  <c r="M71" i="57"/>
  <c r="AX37" i="134"/>
  <c r="AS38" i="134"/>
  <c r="AR19" i="134"/>
  <c r="AR34" i="134"/>
  <c r="AQ43" i="134"/>
  <c r="BB28" i="134"/>
  <c r="AQ48" i="34"/>
  <c r="AO38" i="11"/>
  <c r="AX35" i="134"/>
  <c r="AH86" i="34"/>
  <c r="AH85" i="34"/>
  <c r="AW26" i="134"/>
  <c r="AU32" i="134"/>
  <c r="D67" i="85" l="1"/>
  <c r="L25" i="85" s="1"/>
  <c r="J15" i="146"/>
  <c r="O15" i="146" s="1"/>
  <c r="N22" i="57"/>
  <c r="N25" i="57" s="1"/>
  <c r="N12" i="85" s="1"/>
  <c r="T12" i="85" s="1"/>
  <c r="AB8" i="146" s="1"/>
  <c r="AN13" i="11"/>
  <c r="AP29" i="34" s="1"/>
  <c r="AM10" i="11"/>
  <c r="AM49" i="11" s="1"/>
  <c r="AN33" i="69"/>
  <c r="AN36" i="69" s="1"/>
  <c r="AQ62" i="69"/>
  <c r="AR63" i="69" s="1"/>
  <c r="AP7" i="67"/>
  <c r="AP11" i="67" s="1"/>
  <c r="AN9" i="11" s="1"/>
  <c r="AP27" i="34" s="1"/>
  <c r="AP30" i="34" s="1"/>
  <c r="AP27" i="115"/>
  <c r="AO63" i="115"/>
  <c r="AO66" i="115" s="1"/>
  <c r="AV30" i="69"/>
  <c r="AT16" i="70"/>
  <c r="AL74" i="34"/>
  <c r="AL78" i="34" s="1"/>
  <c r="AL82" i="34" s="1"/>
  <c r="AL9" i="70" s="1"/>
  <c r="AL19" i="70" s="1"/>
  <c r="AL69" i="34"/>
  <c r="AP17" i="34"/>
  <c r="AP22" i="34" s="1"/>
  <c r="AQ9" i="69" s="1"/>
  <c r="U19" i="116"/>
  <c r="U33" i="116" s="1"/>
  <c r="AB10" i="146"/>
  <c r="AP9" i="69"/>
  <c r="AP61" i="69"/>
  <c r="AP65" i="69" s="1"/>
  <c r="AO29" i="69"/>
  <c r="AN17" i="70" s="1"/>
  <c r="AO26" i="125"/>
  <c r="AN63" i="125"/>
  <c r="AN66" i="125" s="1"/>
  <c r="AQ11" i="34" s="1"/>
  <c r="AW27" i="115"/>
  <c r="N6" i="85"/>
  <c r="AQ12" i="34"/>
  <c r="AO30" i="34"/>
  <c r="AO33" i="34" s="1"/>
  <c r="O24" i="116"/>
  <c r="N10" i="85"/>
  <c r="N9" i="85"/>
  <c r="N29" i="85"/>
  <c r="T8" i="85"/>
  <c r="AS26" i="125"/>
  <c r="O22" i="116"/>
  <c r="O33" i="116" s="1"/>
  <c r="AN66" i="34"/>
  <c r="AN69" i="34" s="1"/>
  <c r="N58" i="57"/>
  <c r="S62" i="58"/>
  <c r="BL27" i="132"/>
  <c r="BK27" i="132"/>
  <c r="BO27" i="131"/>
  <c r="BN27" i="131"/>
  <c r="BP27" i="131" s="1"/>
  <c r="AQ54" i="145"/>
  <c r="AM69" i="34"/>
  <c r="AZ35" i="135"/>
  <c r="AT25" i="131"/>
  <c r="AU25" i="134"/>
  <c r="AY37" i="136"/>
  <c r="AX50" i="145"/>
  <c r="AY36" i="133"/>
  <c r="AZ24" i="134"/>
  <c r="AR43" i="131"/>
  <c r="AS32" i="131"/>
  <c r="AU26" i="135"/>
  <c r="BJ27" i="136"/>
  <c r="BL27" i="136"/>
  <c r="BN27" i="136" s="1"/>
  <c r="AV28" i="136"/>
  <c r="AV41" i="131"/>
  <c r="AU42" i="133"/>
  <c r="AZ28" i="133"/>
  <c r="AV32" i="144"/>
  <c r="AY51" i="145"/>
  <c r="AS36" i="145"/>
  <c r="AX34" i="144"/>
  <c r="BA36" i="136"/>
  <c r="AX40" i="135"/>
  <c r="AU33" i="145"/>
  <c r="BB26" i="133"/>
  <c r="AW34" i="131"/>
  <c r="AV35" i="131"/>
  <c r="AS26" i="136"/>
  <c r="BC35" i="136"/>
  <c r="BM27" i="145"/>
  <c r="BO27" i="145" s="1"/>
  <c r="AU37" i="144"/>
  <c r="AV35" i="144"/>
  <c r="AY39" i="133"/>
  <c r="AU42" i="136"/>
  <c r="AW37" i="135"/>
  <c r="BA38" i="145"/>
  <c r="AX38" i="131"/>
  <c r="AU39" i="136"/>
  <c r="AT35" i="145"/>
  <c r="AU37" i="131"/>
  <c r="AU27" i="133"/>
  <c r="AY39" i="144"/>
  <c r="AZ44" i="145"/>
  <c r="AS37" i="145"/>
  <c r="AW42" i="135"/>
  <c r="AS34" i="136"/>
  <c r="AR43" i="136"/>
  <c r="AV33" i="133"/>
  <c r="BA45" i="145"/>
  <c r="AY47" i="145"/>
  <c r="AW28" i="145"/>
  <c r="AX40" i="131"/>
  <c r="AT34" i="135"/>
  <c r="AS43" i="135"/>
  <c r="AX32" i="135"/>
  <c r="AY26" i="132"/>
  <c r="AU48" i="145"/>
  <c r="AT38" i="144"/>
  <c r="AS43" i="144"/>
  <c r="AT20" i="133"/>
  <c r="AU38" i="133"/>
  <c r="AW25" i="145"/>
  <c r="AT28" i="131"/>
  <c r="AS25" i="136"/>
  <c r="AR52" i="145"/>
  <c r="AS32" i="145"/>
  <c r="AV37" i="133"/>
  <c r="AW33" i="136"/>
  <c r="AY49" i="145"/>
  <c r="AZ38" i="136"/>
  <c r="AW33" i="135"/>
  <c r="AU25" i="133"/>
  <c r="AU40" i="145"/>
  <c r="AV42" i="144"/>
  <c r="AS25" i="135"/>
  <c r="AW28" i="144"/>
  <c r="AU24" i="136"/>
  <c r="AT25" i="132"/>
  <c r="BA34" i="133"/>
  <c r="AU39" i="135"/>
  <c r="AX26" i="145"/>
  <c r="BB36" i="131"/>
  <c r="AU34" i="145"/>
  <c r="AW42" i="145"/>
  <c r="AV26" i="131"/>
  <c r="AU36" i="135"/>
  <c r="BB46" i="145"/>
  <c r="AV35" i="133"/>
  <c r="AW28" i="135"/>
  <c r="AW43" i="145"/>
  <c r="AV39" i="145"/>
  <c r="AV40" i="136"/>
  <c r="BC36" i="144"/>
  <c r="AT24" i="131"/>
  <c r="BC46" i="145"/>
  <c r="AV43" i="132"/>
  <c r="AW42" i="132"/>
  <c r="AT43" i="133"/>
  <c r="AW33" i="144"/>
  <c r="BA40" i="144"/>
  <c r="AV28" i="132"/>
  <c r="AU33" i="131"/>
  <c r="BJ40" i="133"/>
  <c r="BK40" i="133"/>
  <c r="AU26" i="144"/>
  <c r="AY38" i="135"/>
  <c r="BN27" i="145"/>
  <c r="BQ27" i="145" s="1"/>
  <c r="BV27" i="144"/>
  <c r="AR48" i="34"/>
  <c r="AR61" i="34" s="1"/>
  <c r="AQ19" i="144"/>
  <c r="AP29" i="144"/>
  <c r="AP45" i="144" s="1"/>
  <c r="AQ14" i="61"/>
  <c r="AP28" i="69"/>
  <c r="AO15" i="70" s="1"/>
  <c r="AQ45" i="134"/>
  <c r="AQ25" i="11" s="1"/>
  <c r="AQ38" i="11" s="1"/>
  <c r="AR45" i="34"/>
  <c r="AS7" i="131"/>
  <c r="AR21" i="131"/>
  <c r="AR29" i="131" s="1"/>
  <c r="AR7" i="61"/>
  <c r="AR21" i="136"/>
  <c r="AR29" i="136" s="1"/>
  <c r="AR10" i="61"/>
  <c r="AS7" i="136"/>
  <c r="AR10" i="126"/>
  <c r="AR17" i="126" s="1"/>
  <c r="AQ45" i="107" s="1"/>
  <c r="AO111" i="109" s="1"/>
  <c r="AO147" i="109" s="1"/>
  <c r="AS21" i="144"/>
  <c r="AT7" i="144"/>
  <c r="AS12" i="61"/>
  <c r="AT7" i="135"/>
  <c r="AS21" i="135"/>
  <c r="AS29" i="135" s="1"/>
  <c r="AS45" i="135" s="1"/>
  <c r="AS26" i="11" s="1"/>
  <c r="AU49" i="34" s="1"/>
  <c r="AQ45" i="131"/>
  <c r="AP17" i="11" s="1"/>
  <c r="AS5" i="126"/>
  <c r="AT7" i="132"/>
  <c r="AS8" i="61"/>
  <c r="AS21" i="132"/>
  <c r="AS29" i="132" s="1"/>
  <c r="AS57" i="132" s="1"/>
  <c r="AS18" i="11" s="1"/>
  <c r="AU39" i="34" s="1"/>
  <c r="AS43" i="34"/>
  <c r="AS45" i="34" s="1"/>
  <c r="AQ23" i="11"/>
  <c r="AQ28" i="69"/>
  <c r="AQ38" i="34"/>
  <c r="AO19" i="11"/>
  <c r="AO40" i="11" s="1"/>
  <c r="AR21" i="134"/>
  <c r="AR29" i="134" s="1"/>
  <c r="AS7" i="134"/>
  <c r="AR11" i="61"/>
  <c r="AS7" i="145"/>
  <c r="AR21" i="145"/>
  <c r="AR29" i="145" s="1"/>
  <c r="AR54" i="145" s="1"/>
  <c r="AR21" i="133"/>
  <c r="AR29" i="133" s="1"/>
  <c r="AR45" i="133" s="1"/>
  <c r="AR22" i="11" s="1"/>
  <c r="AT44" i="34" s="1"/>
  <c r="P39" i="57" s="1"/>
  <c r="AR9" i="61"/>
  <c r="AS7" i="133"/>
  <c r="AT38" i="134"/>
  <c r="AV32" i="134"/>
  <c r="AQ61" i="34"/>
  <c r="O43" i="57"/>
  <c r="O56" i="57" s="1"/>
  <c r="AY37" i="134"/>
  <c r="AK9" i="70"/>
  <c r="AK19" i="70" s="1"/>
  <c r="M75" i="57"/>
  <c r="AZ42" i="134"/>
  <c r="AW39" i="134"/>
  <c r="AJ84" i="34"/>
  <c r="AL50" i="69"/>
  <c r="AK51" i="69"/>
  <c r="AK52" i="69" s="1"/>
  <c r="AX36" i="134"/>
  <c r="AG43" i="70"/>
  <c r="AH42" i="70"/>
  <c r="AI8" i="69" s="1"/>
  <c r="BC28" i="134"/>
  <c r="AW33" i="134"/>
  <c r="AI86" i="34"/>
  <c r="AI85" i="34"/>
  <c r="AX26" i="134"/>
  <c r="AY35" i="134"/>
  <c r="AS34" i="134"/>
  <c r="AR43" i="134"/>
  <c r="AS19" i="134"/>
  <c r="AY41" i="134"/>
  <c r="AM78" i="34"/>
  <c r="N28" i="57" l="1"/>
  <c r="N13" i="85"/>
  <c r="N14" i="85" s="1"/>
  <c r="AO13" i="11"/>
  <c r="AQ29" i="34" s="1"/>
  <c r="O24" i="57" s="1"/>
  <c r="AQ68" i="69"/>
  <c r="AP33" i="34"/>
  <c r="AP34" i="34" s="1"/>
  <c r="AR62" i="69"/>
  <c r="AS63" i="69" s="1"/>
  <c r="AN74" i="34"/>
  <c r="AN78" i="34" s="1"/>
  <c r="AN82" i="34" s="1"/>
  <c r="AN9" i="70" s="1"/>
  <c r="AN19" i="70" s="1"/>
  <c r="AN41" i="70" s="1"/>
  <c r="AO33" i="69"/>
  <c r="AO36" i="69" s="1"/>
  <c r="AQ7" i="67"/>
  <c r="AQ11" i="67" s="1"/>
  <c r="AO9" i="11" s="1"/>
  <c r="AQ27" i="34" s="1"/>
  <c r="AN10" i="11"/>
  <c r="AN49" i="11" s="1"/>
  <c r="AO34" i="34"/>
  <c r="AO66" i="34"/>
  <c r="AO74" i="34" s="1"/>
  <c r="AO78" i="34" s="1"/>
  <c r="AB5" i="146"/>
  <c r="U9" i="85"/>
  <c r="T9" i="85"/>
  <c r="T31" i="85"/>
  <c r="T32" i="85" s="1"/>
  <c r="T29" i="85"/>
  <c r="U29" i="85" s="1"/>
  <c r="V29" i="85" s="1"/>
  <c r="W29" i="85" s="1"/>
  <c r="X29" i="85" s="1"/>
  <c r="Y29" i="85" s="1"/>
  <c r="O30" i="116"/>
  <c r="O32" i="116" s="1"/>
  <c r="O34" i="116" s="1"/>
  <c r="U24" i="116"/>
  <c r="O7" i="57"/>
  <c r="T13" i="85"/>
  <c r="AQ17" i="34"/>
  <c r="AQ22" i="34" s="1"/>
  <c r="AR9" i="69" s="1"/>
  <c r="AQ13" i="70" s="1"/>
  <c r="O6" i="57"/>
  <c r="AP13" i="70"/>
  <c r="AO13" i="70"/>
  <c r="AW30" i="69"/>
  <c r="AU16" i="70"/>
  <c r="AO10" i="11"/>
  <c r="AO49" i="11" s="1"/>
  <c r="N29" i="57"/>
  <c r="N60" i="57"/>
  <c r="N62" i="57" s="1"/>
  <c r="AP27" i="125"/>
  <c r="AO63" i="125"/>
  <c r="AO66" i="125" s="1"/>
  <c r="AR11" i="34" s="1"/>
  <c r="AR12" i="34"/>
  <c r="AT27" i="125"/>
  <c r="AP29" i="69"/>
  <c r="AO17" i="70" s="1"/>
  <c r="AQ61" i="69"/>
  <c r="AQ65" i="69" s="1"/>
  <c r="AQ28" i="115"/>
  <c r="AP63" i="115"/>
  <c r="AP66" i="115" s="1"/>
  <c r="AR45" i="136"/>
  <c r="AR21" i="11" s="1"/>
  <c r="N18" i="85"/>
  <c r="L13" i="146" s="1"/>
  <c r="Q13" i="146" s="1"/>
  <c r="S13" i="146" s="1"/>
  <c r="Y13" i="146" s="1"/>
  <c r="BR27" i="131"/>
  <c r="BM27" i="132"/>
  <c r="BN27" i="132"/>
  <c r="BQ27" i="131"/>
  <c r="BS27" i="131" s="1"/>
  <c r="BB40" i="144"/>
  <c r="AX43" i="145"/>
  <c r="AW35" i="133"/>
  <c r="AV36" i="135"/>
  <c r="AW26" i="131"/>
  <c r="BC36" i="131"/>
  <c r="AY26" i="145"/>
  <c r="AW42" i="144"/>
  <c r="AV25" i="133"/>
  <c r="AW37" i="133"/>
  <c r="AZ26" i="132"/>
  <c r="AX42" i="135"/>
  <c r="AT37" i="145"/>
  <c r="BB38" i="145"/>
  <c r="AW35" i="144"/>
  <c r="BD35" i="136"/>
  <c r="AW35" i="131"/>
  <c r="AZ51" i="145"/>
  <c r="BA28" i="133"/>
  <c r="AV42" i="133"/>
  <c r="BM27" i="136"/>
  <c r="AY50" i="145"/>
  <c r="AZ38" i="135"/>
  <c r="BM40" i="133"/>
  <c r="AX33" i="144"/>
  <c r="AW39" i="145"/>
  <c r="AX42" i="145"/>
  <c r="AT25" i="135"/>
  <c r="AX33" i="135"/>
  <c r="AZ49" i="145"/>
  <c r="AX33" i="136"/>
  <c r="AU38" i="144"/>
  <c r="AU43" i="144" s="1"/>
  <c r="AV48" i="145"/>
  <c r="AU34" i="135"/>
  <c r="AT43" i="135"/>
  <c r="AY40" i="131"/>
  <c r="AX28" i="145"/>
  <c r="BB45" i="145"/>
  <c r="AW33" i="133"/>
  <c r="AZ39" i="144"/>
  <c r="AU35" i="145"/>
  <c r="AV39" i="136"/>
  <c r="BC26" i="133"/>
  <c r="AY40" i="135"/>
  <c r="AW28" i="136"/>
  <c r="AS43" i="131"/>
  <c r="AT32" i="131"/>
  <c r="AV26" i="144"/>
  <c r="AV33" i="131"/>
  <c r="BD46" i="145"/>
  <c r="BD36" i="144"/>
  <c r="AV34" i="145"/>
  <c r="AV39" i="135"/>
  <c r="BB34" i="133"/>
  <c r="AV24" i="136"/>
  <c r="AS52" i="145"/>
  <c r="AT32" i="145"/>
  <c r="AV38" i="133"/>
  <c r="AY32" i="135"/>
  <c r="AZ47" i="145"/>
  <c r="BA44" i="145"/>
  <c r="AV27" i="133"/>
  <c r="AV37" i="131"/>
  <c r="AZ39" i="133"/>
  <c r="AV37" i="144"/>
  <c r="AY34" i="144"/>
  <c r="AW32" i="144"/>
  <c r="AV26" i="135"/>
  <c r="AV25" i="134"/>
  <c r="AU25" i="131"/>
  <c r="BL40" i="133"/>
  <c r="BO40" i="133" s="1"/>
  <c r="AW28" i="132"/>
  <c r="AW43" i="132"/>
  <c r="AX42" i="132"/>
  <c r="AU24" i="131"/>
  <c r="AW40" i="136"/>
  <c r="AX28" i="135"/>
  <c r="AU25" i="132"/>
  <c r="AX28" i="144"/>
  <c r="AV40" i="145"/>
  <c r="BA38" i="136"/>
  <c r="AT25" i="136"/>
  <c r="AU28" i="131"/>
  <c r="AX25" i="145"/>
  <c r="AU20" i="133"/>
  <c r="AU43" i="133"/>
  <c r="AT34" i="136"/>
  <c r="AS43" i="136"/>
  <c r="AT43" i="144"/>
  <c r="AY38" i="131"/>
  <c r="AX37" i="135"/>
  <c r="AV42" i="136"/>
  <c r="AT26" i="136"/>
  <c r="AX34" i="131"/>
  <c r="AV33" i="145"/>
  <c r="BB36" i="136"/>
  <c r="AT36" i="145"/>
  <c r="AW41" i="131"/>
  <c r="BA24" i="134"/>
  <c r="AZ36" i="133"/>
  <c r="AZ37" i="136"/>
  <c r="BA35" i="135"/>
  <c r="S71" i="58"/>
  <c r="BP27" i="145"/>
  <c r="BR27" i="145" s="1"/>
  <c r="BT27" i="145" s="1"/>
  <c r="BS27" i="145"/>
  <c r="BV27" i="145" s="1"/>
  <c r="AP33" i="69"/>
  <c r="AP36" i="69" s="1"/>
  <c r="AR19" i="144"/>
  <c r="AQ29" i="144"/>
  <c r="AQ45" i="144" s="1"/>
  <c r="AR14" i="61"/>
  <c r="AS48" i="34"/>
  <c r="AS61" i="34" s="1"/>
  <c r="AS21" i="133"/>
  <c r="AS29" i="133" s="1"/>
  <c r="AS45" i="133" s="1"/>
  <c r="AS22" i="11" s="1"/>
  <c r="AU44" i="34" s="1"/>
  <c r="AT7" i="133"/>
  <c r="AS9" i="61"/>
  <c r="AQ40" i="34"/>
  <c r="AQ63" i="34" s="1"/>
  <c r="AU7" i="135"/>
  <c r="AT21" i="135"/>
  <c r="AT29" i="135" s="1"/>
  <c r="AT12" i="61"/>
  <c r="AU7" i="144"/>
  <c r="AT21" i="144"/>
  <c r="AS21" i="136"/>
  <c r="AS29" i="136" s="1"/>
  <c r="AS10" i="61"/>
  <c r="AT7" i="136"/>
  <c r="AT5" i="126"/>
  <c r="AR45" i="131"/>
  <c r="AQ17" i="11" s="1"/>
  <c r="O33" i="57"/>
  <c r="O35" i="57" s="1"/>
  <c r="AS11" i="61"/>
  <c r="AS21" i="134"/>
  <c r="AS29" i="134" s="1"/>
  <c r="AT7" i="134"/>
  <c r="AT8" i="61"/>
  <c r="AT21" i="132"/>
  <c r="AT29" i="132" s="1"/>
  <c r="AT57" i="132" s="1"/>
  <c r="AT18" i="11" s="1"/>
  <c r="AV39" i="34" s="1"/>
  <c r="AU7" i="132"/>
  <c r="AS10" i="126"/>
  <c r="AS17" i="126" s="1"/>
  <c r="AR45" i="107" s="1"/>
  <c r="AP111" i="109" s="1"/>
  <c r="AP147" i="109" s="1"/>
  <c r="AS7" i="61"/>
  <c r="AS21" i="131"/>
  <c r="AS29" i="131" s="1"/>
  <c r="AT7" i="131"/>
  <c r="AP15" i="70"/>
  <c r="AT7" i="145"/>
  <c r="AS21" i="145"/>
  <c r="AS29" i="145" s="1"/>
  <c r="AS54" i="145" s="1"/>
  <c r="AR38" i="34"/>
  <c r="AP19" i="11"/>
  <c r="AP40" i="11" s="1"/>
  <c r="AT43" i="34"/>
  <c r="AR23" i="11"/>
  <c r="AT34" i="134"/>
  <c r="AS43" i="134"/>
  <c r="AT19" i="134"/>
  <c r="AX33" i="134"/>
  <c r="AJ85" i="34"/>
  <c r="AJ86" i="34"/>
  <c r="AZ35" i="134"/>
  <c r="AY26" i="134"/>
  <c r="AI12" i="69"/>
  <c r="AI24" i="69" s="1"/>
  <c r="AI53" i="69" s="1"/>
  <c r="L24" i="85"/>
  <c r="AI40" i="70"/>
  <c r="AW32" i="134"/>
  <c r="AZ41" i="134"/>
  <c r="BA42" i="134"/>
  <c r="AL41" i="70"/>
  <c r="AM82" i="34"/>
  <c r="G75" i="58"/>
  <c r="AR45" i="134"/>
  <c r="AR25" i="11" s="1"/>
  <c r="BD28" i="134"/>
  <c r="AY36" i="134"/>
  <c r="AL51" i="69"/>
  <c r="AL52" i="69" s="1"/>
  <c r="AM50" i="69"/>
  <c r="AK84" i="34"/>
  <c r="AX39" i="134"/>
  <c r="AK41" i="70"/>
  <c r="N36" i="116"/>
  <c r="AZ37" i="134"/>
  <c r="AU38" i="134"/>
  <c r="S75" i="58" l="1"/>
  <c r="AO69" i="34"/>
  <c r="G71" i="58"/>
  <c r="N67" i="57"/>
  <c r="N19" i="85"/>
  <c r="AR68" i="69"/>
  <c r="N71" i="57"/>
  <c r="AP66" i="34"/>
  <c r="O12" i="57"/>
  <c r="O17" i="57" s="1"/>
  <c r="AP13" i="11"/>
  <c r="AR29" i="34" s="1"/>
  <c r="AR7" i="67"/>
  <c r="AR11" i="67" s="1"/>
  <c r="AP9" i="11" s="1"/>
  <c r="AP10" i="11" s="1"/>
  <c r="AR29" i="115"/>
  <c r="AQ63" i="115"/>
  <c r="AQ66" i="115" s="1"/>
  <c r="AU28" i="125"/>
  <c r="AV29" i="125" s="1"/>
  <c r="AW30" i="125" s="1"/>
  <c r="AX30" i="69"/>
  <c r="AV16" i="70"/>
  <c r="T14" i="85"/>
  <c r="AB9" i="146"/>
  <c r="AQ29" i="69"/>
  <c r="AR61" i="69"/>
  <c r="AR65" i="69" s="1"/>
  <c r="AR17" i="34"/>
  <c r="AR22" i="34" s="1"/>
  <c r="AS9" i="69" s="1"/>
  <c r="AR13" i="70" s="1"/>
  <c r="AQ30" i="34"/>
  <c r="AQ33" i="34" s="1"/>
  <c r="AQ34" i="34" s="1"/>
  <c r="O22" i="57"/>
  <c r="O25" i="57" s="1"/>
  <c r="T22" i="85"/>
  <c r="U30" i="116"/>
  <c r="U32" i="116" s="1"/>
  <c r="U34" i="116" s="1"/>
  <c r="AS62" i="69"/>
  <c r="AQ28" i="125"/>
  <c r="AP63" i="125"/>
  <c r="AP66" i="125" s="1"/>
  <c r="AS11" i="34" s="1"/>
  <c r="AS12" i="34"/>
  <c r="AS45" i="136"/>
  <c r="AS21" i="11" s="1"/>
  <c r="T18" i="85"/>
  <c r="AB13" i="146" s="1"/>
  <c r="BU27" i="131"/>
  <c r="BT27" i="131"/>
  <c r="BV27" i="131" s="1"/>
  <c r="BP27" i="132"/>
  <c r="BO27" i="132"/>
  <c r="BQ27" i="132" s="1"/>
  <c r="AT45" i="135"/>
  <c r="AT26" i="11" s="1"/>
  <c r="AV49" i="34" s="1"/>
  <c r="BN40" i="133"/>
  <c r="BP40" i="133" s="1"/>
  <c r="BR40" i="133"/>
  <c r="BU40" i="133" s="1"/>
  <c r="BQ40" i="133"/>
  <c r="BS40" i="133" s="1"/>
  <c r="BA37" i="136"/>
  <c r="AX41" i="131"/>
  <c r="AW42" i="136"/>
  <c r="AY37" i="135"/>
  <c r="AY25" i="145"/>
  <c r="AV28" i="131"/>
  <c r="AU25" i="136"/>
  <c r="BB38" i="136"/>
  <c r="AW40" i="145"/>
  <c r="AV24" i="131"/>
  <c r="AV25" i="131"/>
  <c r="AZ34" i="144"/>
  <c r="AW37" i="144"/>
  <c r="BA39" i="133"/>
  <c r="AW27" i="133"/>
  <c r="BB44" i="145"/>
  <c r="AT43" i="131"/>
  <c r="AU32" i="131"/>
  <c r="AW39" i="136"/>
  <c r="AV35" i="145"/>
  <c r="AW48" i="145"/>
  <c r="AY33" i="144"/>
  <c r="BA38" i="135"/>
  <c r="BB28" i="133"/>
  <c r="BA51" i="145"/>
  <c r="BA26" i="132"/>
  <c r="BC40" i="144"/>
  <c r="BB35" i="135"/>
  <c r="BC36" i="136"/>
  <c r="AW33" i="145"/>
  <c r="AY34" i="131"/>
  <c r="AU26" i="136"/>
  <c r="AZ38" i="131"/>
  <c r="AX43" i="132"/>
  <c r="AY42" i="132"/>
  <c r="AX32" i="144"/>
  <c r="AW37" i="131"/>
  <c r="BC34" i="133"/>
  <c r="AW33" i="131"/>
  <c r="AZ40" i="135"/>
  <c r="BD26" i="133"/>
  <c r="BA39" i="144"/>
  <c r="AX33" i="133"/>
  <c r="AY33" i="135"/>
  <c r="BE46" i="145"/>
  <c r="AZ50" i="145"/>
  <c r="BO27" i="136"/>
  <c r="BQ27" i="136" s="1"/>
  <c r="BS27" i="136" s="1"/>
  <c r="BP27" i="136"/>
  <c r="BE35" i="136"/>
  <c r="AX35" i="144"/>
  <c r="BC38" i="145"/>
  <c r="AY42" i="135"/>
  <c r="AX37" i="133"/>
  <c r="AW25" i="133"/>
  <c r="AY43" i="145"/>
  <c r="BA36" i="133"/>
  <c r="BB24" i="134"/>
  <c r="AV20" i="133"/>
  <c r="AW25" i="134"/>
  <c r="AZ32" i="135"/>
  <c r="AT52" i="145"/>
  <c r="AU32" i="145"/>
  <c r="AX28" i="136"/>
  <c r="BC45" i="145"/>
  <c r="AU43" i="135"/>
  <c r="AV34" i="135"/>
  <c r="AU25" i="135"/>
  <c r="AY42" i="145"/>
  <c r="BR27" i="136"/>
  <c r="BT27" i="136" s="1"/>
  <c r="AX35" i="131"/>
  <c r="AU37" i="145"/>
  <c r="BD36" i="131"/>
  <c r="AU36" i="145"/>
  <c r="AU34" i="136"/>
  <c r="AT43" i="136"/>
  <c r="AY28" i="144"/>
  <c r="AV25" i="132"/>
  <c r="AY28" i="135"/>
  <c r="AX40" i="136"/>
  <c r="AX28" i="132"/>
  <c r="AW26" i="135"/>
  <c r="BA47" i="145"/>
  <c r="AW38" i="133"/>
  <c r="AW24" i="136"/>
  <c r="AW39" i="135"/>
  <c r="AW34" i="145"/>
  <c r="BE36" i="144"/>
  <c r="AW26" i="144"/>
  <c r="AV43" i="133"/>
  <c r="AY28" i="145"/>
  <c r="AZ40" i="131"/>
  <c r="AV38" i="144"/>
  <c r="AY33" i="136"/>
  <c r="BA49" i="145"/>
  <c r="AX39" i="145"/>
  <c r="AW42" i="133"/>
  <c r="AX42" i="144"/>
  <c r="AZ26" i="145"/>
  <c r="AX26" i="131"/>
  <c r="AW36" i="135"/>
  <c r="AX35" i="133"/>
  <c r="BU27" i="145"/>
  <c r="O58" i="57"/>
  <c r="AR28" i="69"/>
  <c r="AQ15" i="70" s="1"/>
  <c r="AS19" i="144"/>
  <c r="AR29" i="144"/>
  <c r="AR45" i="144" s="1"/>
  <c r="AS14" i="61"/>
  <c r="AT10" i="126"/>
  <c r="AT17" i="126" s="1"/>
  <c r="AS45" i="107" s="1"/>
  <c r="AQ111" i="109" s="1"/>
  <c r="AQ147" i="109" s="1"/>
  <c r="AV7" i="135"/>
  <c r="AU21" i="135"/>
  <c r="AU29" i="135" s="1"/>
  <c r="AU45" i="135" s="1"/>
  <c r="AU26" i="11" s="1"/>
  <c r="AW49" i="34" s="1"/>
  <c r="AU12" i="61"/>
  <c r="AU7" i="133"/>
  <c r="AT9" i="61"/>
  <c r="AT21" i="133"/>
  <c r="AT29" i="133" s="1"/>
  <c r="AT45" i="133" s="1"/>
  <c r="AT22" i="11" s="1"/>
  <c r="AV44" i="34" s="1"/>
  <c r="AT45" i="34"/>
  <c r="AU7" i="145"/>
  <c r="AT21" i="145"/>
  <c r="AT29" i="145" s="1"/>
  <c r="AT54" i="145" s="1"/>
  <c r="AU7" i="136"/>
  <c r="AT21" i="136"/>
  <c r="AT29" i="136" s="1"/>
  <c r="AT10" i="61"/>
  <c r="AV7" i="144"/>
  <c r="AU21" i="144"/>
  <c r="AS45" i="131"/>
  <c r="AR17" i="11" s="1"/>
  <c r="AU5" i="126"/>
  <c r="P38" i="57"/>
  <c r="P40" i="57" s="1"/>
  <c r="AU21" i="132"/>
  <c r="AU29" i="132" s="1"/>
  <c r="AU57" i="132" s="1"/>
  <c r="AU18" i="11" s="1"/>
  <c r="AW39" i="34" s="1"/>
  <c r="Q34" i="57" s="1"/>
  <c r="AV7" i="132"/>
  <c r="AU8" i="61"/>
  <c r="AR40" i="34"/>
  <c r="AR63" i="34" s="1"/>
  <c r="AT21" i="131"/>
  <c r="AT29" i="131" s="1"/>
  <c r="AT7" i="61"/>
  <c r="AU7" i="131"/>
  <c r="AT21" i="134"/>
  <c r="AT29" i="134" s="1"/>
  <c r="AU7" i="134"/>
  <c r="AT11" i="61"/>
  <c r="AS38" i="34"/>
  <c r="AS40" i="34" s="1"/>
  <c r="AS63" i="34" s="1"/>
  <c r="AQ19" i="11"/>
  <c r="AQ40" i="11" s="1"/>
  <c r="AS23" i="11"/>
  <c r="AU43" i="34"/>
  <c r="AY33" i="134"/>
  <c r="AM51" i="69"/>
  <c r="AM52" i="69" s="1"/>
  <c r="AN50" i="69"/>
  <c r="AL84" i="34"/>
  <c r="AZ36" i="134"/>
  <c r="BA41" i="134"/>
  <c r="AX32" i="134"/>
  <c r="AH43" i="70"/>
  <c r="AI42" i="70"/>
  <c r="AJ8" i="69" s="1"/>
  <c r="BA37" i="134"/>
  <c r="AK86" i="34"/>
  <c r="AK85" i="34"/>
  <c r="BE28" i="134"/>
  <c r="BB42" i="134"/>
  <c r="AO82" i="34"/>
  <c r="AV38" i="134"/>
  <c r="AR38" i="11"/>
  <c r="AT48" i="34"/>
  <c r="AM9" i="70"/>
  <c r="AM19" i="70" s="1"/>
  <c r="N75" i="57"/>
  <c r="S79" i="58"/>
  <c r="G79" i="58"/>
  <c r="AZ26" i="134"/>
  <c r="BA35" i="134"/>
  <c r="AS45" i="134"/>
  <c r="AS25" i="11" s="1"/>
  <c r="N38" i="116"/>
  <c r="M20" i="85" s="1"/>
  <c r="K15" i="146" s="1"/>
  <c r="P15" i="146" s="1"/>
  <c r="AY39" i="134"/>
  <c r="AU19" i="134"/>
  <c r="AU34" i="134"/>
  <c r="AT43" i="134"/>
  <c r="N30" i="85" l="1"/>
  <c r="L14" i="146"/>
  <c r="Q14" i="146" s="1"/>
  <c r="S14" i="146" s="1"/>
  <c r="Y14" i="146" s="1"/>
  <c r="T19" i="85"/>
  <c r="T30" i="85" s="1"/>
  <c r="O28" i="57"/>
  <c r="O29" i="57" s="1"/>
  <c r="AR27" i="34"/>
  <c r="AP69" i="34"/>
  <c r="AP74" i="34"/>
  <c r="AP78" i="34" s="1"/>
  <c r="AP82" i="34" s="1"/>
  <c r="AP9" i="70" s="1"/>
  <c r="AP49" i="11"/>
  <c r="AQ13" i="11"/>
  <c r="AS29" i="34" s="1"/>
  <c r="AS7" i="67"/>
  <c r="AS11" i="67" s="1"/>
  <c r="AQ9" i="11" s="1"/>
  <c r="AQ10" i="11" s="1"/>
  <c r="O60" i="57"/>
  <c r="O62" i="57" s="1"/>
  <c r="AT62" i="69"/>
  <c r="AU63" i="69" s="1"/>
  <c r="AR29" i="125"/>
  <c r="AQ63" i="125"/>
  <c r="AQ66" i="125" s="1"/>
  <c r="AT11" i="34" s="1"/>
  <c r="AS61" i="69"/>
  <c r="AS65" i="69" s="1"/>
  <c r="AR29" i="69"/>
  <c r="AQ17" i="70" s="1"/>
  <c r="AT63" i="69"/>
  <c r="AS68" i="69"/>
  <c r="AP17" i="70"/>
  <c r="AQ33" i="69"/>
  <c r="AQ36" i="69" s="1"/>
  <c r="AY30" i="69"/>
  <c r="AW16" i="70"/>
  <c r="AT12" i="34"/>
  <c r="AR30" i="34"/>
  <c r="AR33" i="34" s="1"/>
  <c r="AR34" i="34" s="1"/>
  <c r="AS27" i="34"/>
  <c r="AS30" i="115"/>
  <c r="AR63" i="115"/>
  <c r="AR66" i="115" s="1"/>
  <c r="AS17" i="34"/>
  <c r="AS22" i="34" s="1"/>
  <c r="AQ66" i="34"/>
  <c r="AT45" i="136"/>
  <c r="AT21" i="11" s="1"/>
  <c r="AV43" i="34" s="1"/>
  <c r="AV45" i="34" s="1"/>
  <c r="BR27" i="132"/>
  <c r="BT27" i="132" s="1"/>
  <c r="BS27" i="132"/>
  <c r="Q44" i="57"/>
  <c r="BT40" i="133"/>
  <c r="BV40" i="133" s="1"/>
  <c r="AY35" i="133"/>
  <c r="AX42" i="133"/>
  <c r="AX39" i="135"/>
  <c r="AY40" i="136"/>
  <c r="AZ28" i="144"/>
  <c r="AV37" i="145"/>
  <c r="AZ42" i="145"/>
  <c r="AV25" i="135"/>
  <c r="AW34" i="135"/>
  <c r="AV43" i="135"/>
  <c r="AW20" i="133"/>
  <c r="BB36" i="133"/>
  <c r="BD38" i="145"/>
  <c r="AY35" i="144"/>
  <c r="BV27" i="136"/>
  <c r="BE26" i="133"/>
  <c r="BF26" i="133" s="1"/>
  <c r="BA40" i="135"/>
  <c r="AX33" i="131"/>
  <c r="AY43" i="132"/>
  <c r="AZ42" i="132"/>
  <c r="BB26" i="132"/>
  <c r="BC28" i="133"/>
  <c r="AZ33" i="144"/>
  <c r="AU43" i="131"/>
  <c r="AV32" i="131"/>
  <c r="BB39" i="133"/>
  <c r="AZ37" i="135"/>
  <c r="AX36" i="135"/>
  <c r="BA26" i="145"/>
  <c r="AW38" i="144"/>
  <c r="AV43" i="144"/>
  <c r="BA40" i="131"/>
  <c r="AZ28" i="145"/>
  <c r="AX26" i="144"/>
  <c r="AX34" i="145"/>
  <c r="AX38" i="133"/>
  <c r="BB47" i="145"/>
  <c r="AY28" i="132"/>
  <c r="BE36" i="131"/>
  <c r="AY28" i="136"/>
  <c r="BC24" i="134"/>
  <c r="BF46" i="145"/>
  <c r="AY32" i="144"/>
  <c r="BA38" i="131"/>
  <c r="BC35" i="135"/>
  <c r="BB38" i="135"/>
  <c r="BC38" i="136"/>
  <c r="AY41" i="131"/>
  <c r="AY42" i="144"/>
  <c r="AZ33" i="136"/>
  <c r="BF36" i="144"/>
  <c r="AV34" i="136"/>
  <c r="AU43" i="136"/>
  <c r="AV36" i="145"/>
  <c r="AY35" i="131"/>
  <c r="BD45" i="145"/>
  <c r="BA32" i="135"/>
  <c r="AZ43" i="145"/>
  <c r="AZ42" i="135"/>
  <c r="BU27" i="136"/>
  <c r="BA50" i="145"/>
  <c r="AZ33" i="135"/>
  <c r="AY33" i="133"/>
  <c r="BB39" i="144"/>
  <c r="BD34" i="133"/>
  <c r="AX37" i="131"/>
  <c r="AV26" i="136"/>
  <c r="AZ34" i="131"/>
  <c r="BD40" i="144"/>
  <c r="AX48" i="145"/>
  <c r="AW35" i="145"/>
  <c r="BC44" i="145"/>
  <c r="AX27" i="133"/>
  <c r="BA34" i="144"/>
  <c r="AW25" i="131"/>
  <c r="AX40" i="145"/>
  <c r="AV25" i="136"/>
  <c r="AW28" i="131"/>
  <c r="BF35" i="136"/>
  <c r="AY26" i="131"/>
  <c r="AY39" i="145"/>
  <c r="BB49" i="145"/>
  <c r="AX24" i="136"/>
  <c r="AX26" i="135"/>
  <c r="AZ28" i="135"/>
  <c r="AW25" i="132"/>
  <c r="AU52" i="145"/>
  <c r="AV32" i="145"/>
  <c r="AX25" i="134"/>
  <c r="AX25" i="133"/>
  <c r="AY37" i="133"/>
  <c r="AW43" i="133"/>
  <c r="AX33" i="145"/>
  <c r="BD36" i="136"/>
  <c r="BB51" i="145"/>
  <c r="AX39" i="136"/>
  <c r="AX37" i="144"/>
  <c r="AW24" i="131"/>
  <c r="AZ25" i="145"/>
  <c r="AX42" i="136"/>
  <c r="BB37" i="136"/>
  <c r="AT19" i="144"/>
  <c r="AS29" i="144"/>
  <c r="AS45" i="144" s="1"/>
  <c r="AU45" i="34"/>
  <c r="AT14" i="61"/>
  <c r="AS28" i="69"/>
  <c r="AU21" i="133"/>
  <c r="AU29" i="133" s="1"/>
  <c r="AU45" i="133" s="1"/>
  <c r="AU22" i="11" s="1"/>
  <c r="AW44" i="34" s="1"/>
  <c r="Q39" i="57" s="1"/>
  <c r="AU9" i="61"/>
  <c r="AV7" i="133"/>
  <c r="AV7" i="134"/>
  <c r="AU21" i="134"/>
  <c r="AU29" i="134" s="1"/>
  <c r="AU11" i="61"/>
  <c r="AT45" i="131"/>
  <c r="AS17" i="11" s="1"/>
  <c r="AV5" i="126"/>
  <c r="AU10" i="126"/>
  <c r="AU17" i="126" s="1"/>
  <c r="AT45" i="107" s="1"/>
  <c r="AR111" i="109" s="1"/>
  <c r="AR147" i="109" s="1"/>
  <c r="AU21" i="136"/>
  <c r="AU29" i="136" s="1"/>
  <c r="AU10" i="61"/>
  <c r="AV7" i="136"/>
  <c r="AV21" i="132"/>
  <c r="AV29" i="132" s="1"/>
  <c r="AV57" i="132" s="1"/>
  <c r="AV18" i="11" s="1"/>
  <c r="AX39" i="34" s="1"/>
  <c r="AW7" i="132"/>
  <c r="AV8" i="61"/>
  <c r="AT38" i="34"/>
  <c r="P33" i="57" s="1"/>
  <c r="P35" i="57" s="1"/>
  <c r="AR19" i="11"/>
  <c r="AR40" i="11" s="1"/>
  <c r="AV21" i="144"/>
  <c r="AW7" i="144"/>
  <c r="AT28" i="69"/>
  <c r="AU21" i="131"/>
  <c r="AU29" i="131" s="1"/>
  <c r="AV7" i="131"/>
  <c r="AU7" i="61"/>
  <c r="AV7" i="145"/>
  <c r="AU21" i="145"/>
  <c r="AU29" i="145" s="1"/>
  <c r="AU54" i="145" s="1"/>
  <c r="AV21" i="135"/>
  <c r="AV29" i="135" s="1"/>
  <c r="AW7" i="135"/>
  <c r="AV12" i="61"/>
  <c r="AT45" i="134"/>
  <c r="AT25" i="11" s="1"/>
  <c r="AV48" i="34" s="1"/>
  <c r="AV61" i="34" s="1"/>
  <c r="AZ33" i="134"/>
  <c r="AV34" i="134"/>
  <c r="AU43" i="134"/>
  <c r="E67" i="85"/>
  <c r="BB35" i="134"/>
  <c r="BA26" i="134"/>
  <c r="BC42" i="134"/>
  <c r="BB37" i="134"/>
  <c r="BB41" i="134"/>
  <c r="AL85" i="34"/>
  <c r="AL86" i="34"/>
  <c r="AV19" i="134"/>
  <c r="AM41" i="70"/>
  <c r="O36" i="116"/>
  <c r="AN51" i="69"/>
  <c r="AN52" i="69" s="1"/>
  <c r="AO50" i="69"/>
  <c r="AM84" i="34"/>
  <c r="AZ39" i="134"/>
  <c r="AU48" i="34"/>
  <c r="AS38" i="11"/>
  <c r="AT61" i="34"/>
  <c r="P43" i="57"/>
  <c r="P56" i="57" s="1"/>
  <c r="AW38" i="134"/>
  <c r="AO9" i="70"/>
  <c r="AO19" i="70" s="1"/>
  <c r="BF28" i="134"/>
  <c r="AJ12" i="69"/>
  <c r="AJ24" i="69" s="1"/>
  <c r="AJ53" i="69" s="1"/>
  <c r="AJ40" i="70"/>
  <c r="AY32" i="134"/>
  <c r="BA36" i="134"/>
  <c r="AB14" i="146" l="1"/>
  <c r="AR33" i="69"/>
  <c r="AR36" i="69" s="1"/>
  <c r="AS30" i="34"/>
  <c r="AS33" i="34" s="1"/>
  <c r="AT68" i="69"/>
  <c r="AQ49" i="11"/>
  <c r="AP19" i="70"/>
  <c r="AP41" i="70" s="1"/>
  <c r="AR13" i="11"/>
  <c r="AT29" i="34" s="1"/>
  <c r="P24" i="57" s="1"/>
  <c r="AR66" i="34"/>
  <c r="AR74" i="34" s="1"/>
  <c r="AR78" i="34" s="1"/>
  <c r="AR82" i="34" s="1"/>
  <c r="AT9" i="69"/>
  <c r="AT7" i="67"/>
  <c r="AT11" i="67" s="1"/>
  <c r="AR9" i="11" s="1"/>
  <c r="AS30" i="125"/>
  <c r="AR63" i="125"/>
  <c r="AR66" i="125" s="1"/>
  <c r="AU11" i="34" s="1"/>
  <c r="P7" i="57"/>
  <c r="AU12" i="34"/>
  <c r="AU62" i="69"/>
  <c r="AV63" i="69" s="1"/>
  <c r="AS29" i="69"/>
  <c r="AR17" i="70" s="1"/>
  <c r="AT61" i="69"/>
  <c r="AT65" i="69" s="1"/>
  <c r="AQ69" i="34"/>
  <c r="AQ74" i="34"/>
  <c r="AT31" i="115"/>
  <c r="AS63" i="115"/>
  <c r="AS66" i="115" s="1"/>
  <c r="AZ30" i="69"/>
  <c r="AX16" i="70"/>
  <c r="AT17" i="34"/>
  <c r="AT22" i="34" s="1"/>
  <c r="P6" i="57"/>
  <c r="P12" i="57" s="1"/>
  <c r="P17" i="57" s="1"/>
  <c r="AU45" i="136"/>
  <c r="AU21" i="11" s="1"/>
  <c r="AT23" i="11"/>
  <c r="BU27" i="132"/>
  <c r="BV27" i="132"/>
  <c r="AV45" i="135"/>
  <c r="AV26" i="11" s="1"/>
  <c r="AX49" i="34" s="1"/>
  <c r="AY24" i="136"/>
  <c r="AY40" i="145"/>
  <c r="BA34" i="131"/>
  <c r="BC39" i="144"/>
  <c r="AZ33" i="133"/>
  <c r="BB50" i="145"/>
  <c r="BB32" i="135"/>
  <c r="BE45" i="145"/>
  <c r="BG36" i="144"/>
  <c r="BA33" i="136"/>
  <c r="BD38" i="136"/>
  <c r="BB38" i="131"/>
  <c r="AZ28" i="132"/>
  <c r="BA28" i="145"/>
  <c r="BD28" i="133"/>
  <c r="BG26" i="133"/>
  <c r="BC36" i="133"/>
  <c r="AX34" i="135"/>
  <c r="AW43" i="135"/>
  <c r="AW25" i="135"/>
  <c r="AW37" i="145"/>
  <c r="AY42" i="133"/>
  <c r="AX24" i="131"/>
  <c r="AY33" i="145"/>
  <c r="BC49" i="145"/>
  <c r="BC37" i="136"/>
  <c r="BA25" i="145"/>
  <c r="AY25" i="133"/>
  <c r="AY25" i="134"/>
  <c r="AV52" i="145"/>
  <c r="AW32" i="145"/>
  <c r="AY26" i="135"/>
  <c r="AW25" i="136"/>
  <c r="BD44" i="145"/>
  <c r="AY48" i="145"/>
  <c r="BE40" i="144"/>
  <c r="AW26" i="136"/>
  <c r="AX43" i="133"/>
  <c r="BA33" i="135"/>
  <c r="BA43" i="145"/>
  <c r="AZ35" i="131"/>
  <c r="AW36" i="145"/>
  <c r="AW34" i="136"/>
  <c r="AV43" i="136"/>
  <c r="AZ41" i="131"/>
  <c r="BC38" i="135"/>
  <c r="BD24" i="134"/>
  <c r="BF36" i="131"/>
  <c r="BC47" i="145"/>
  <c r="AY36" i="135"/>
  <c r="BB40" i="135"/>
  <c r="BE38" i="145"/>
  <c r="AZ40" i="136"/>
  <c r="AY39" i="135"/>
  <c r="AY37" i="144"/>
  <c r="AY39" i="136"/>
  <c r="AZ37" i="133"/>
  <c r="AX25" i="132"/>
  <c r="BA28" i="135"/>
  <c r="AX28" i="131"/>
  <c r="AY27" i="133"/>
  <c r="AZ28" i="136"/>
  <c r="AY38" i="133"/>
  <c r="AY34" i="145"/>
  <c r="AY26" i="144"/>
  <c r="BB40" i="131"/>
  <c r="AX38" i="144"/>
  <c r="AW43" i="144"/>
  <c r="BC39" i="133"/>
  <c r="AZ43" i="132"/>
  <c r="BA42" i="132"/>
  <c r="AY33" i="131"/>
  <c r="AX20" i="133"/>
  <c r="BA28" i="144"/>
  <c r="AY42" i="136"/>
  <c r="BC51" i="145"/>
  <c r="BE36" i="136"/>
  <c r="AZ39" i="145"/>
  <c r="AZ26" i="131"/>
  <c r="BG35" i="136"/>
  <c r="AX25" i="131"/>
  <c r="BB34" i="144"/>
  <c r="AX35" i="145"/>
  <c r="AY37" i="131"/>
  <c r="BE34" i="133"/>
  <c r="BA42" i="135"/>
  <c r="AZ42" i="144"/>
  <c r="BD35" i="135"/>
  <c r="AZ32" i="144"/>
  <c r="BG46" i="145"/>
  <c r="BB26" i="145"/>
  <c r="BA37" i="135"/>
  <c r="AV43" i="131"/>
  <c r="AW32" i="131"/>
  <c r="BA33" i="144"/>
  <c r="BC26" i="132"/>
  <c r="AZ35" i="144"/>
  <c r="BA42" i="145"/>
  <c r="AZ35" i="133"/>
  <c r="AU19" i="144"/>
  <c r="AT29" i="144"/>
  <c r="AT45" i="144" s="1"/>
  <c r="AT38" i="11"/>
  <c r="AU14" i="61"/>
  <c r="AS15" i="70"/>
  <c r="AV21" i="136"/>
  <c r="AV29" i="136" s="1"/>
  <c r="AW7" i="136"/>
  <c r="AV10" i="61"/>
  <c r="AW7" i="145"/>
  <c r="AV21" i="145"/>
  <c r="AV29" i="145" s="1"/>
  <c r="AV21" i="131"/>
  <c r="AV29" i="131" s="1"/>
  <c r="AW7" i="131"/>
  <c r="AV7" i="61"/>
  <c r="AX7" i="132"/>
  <c r="AW8" i="61"/>
  <c r="AW21" i="132"/>
  <c r="AW29" i="132" s="1"/>
  <c r="AW57" i="132" s="1"/>
  <c r="AW18" i="11" s="1"/>
  <c r="AY39" i="34" s="1"/>
  <c r="AV10" i="126"/>
  <c r="AV17" i="126" s="1"/>
  <c r="AU45" i="107" s="1"/>
  <c r="AS111" i="109" s="1"/>
  <c r="AS147" i="109" s="1"/>
  <c r="AW7" i="134"/>
  <c r="AV21" i="134"/>
  <c r="AV29" i="134" s="1"/>
  <c r="AV11" i="61"/>
  <c r="AR15" i="70"/>
  <c r="AW21" i="144"/>
  <c r="AX7" i="144"/>
  <c r="AX7" i="135"/>
  <c r="AW12" i="61"/>
  <c r="AW21" i="135"/>
  <c r="AW29" i="135" s="1"/>
  <c r="AW45" i="135" s="1"/>
  <c r="AW26" i="11" s="1"/>
  <c r="AY49" i="34" s="1"/>
  <c r="AW5" i="126"/>
  <c r="AU45" i="131"/>
  <c r="AT17" i="11" s="1"/>
  <c r="AT40" i="34"/>
  <c r="AT63" i="34" s="1"/>
  <c r="AU23" i="11"/>
  <c r="AW43" i="34"/>
  <c r="AW45" i="34" s="1"/>
  <c r="AU38" i="34"/>
  <c r="AS19" i="11"/>
  <c r="AS40" i="11" s="1"/>
  <c r="AV9" i="61"/>
  <c r="AW7" i="133"/>
  <c r="AV21" i="133"/>
  <c r="AV29" i="133" s="1"/>
  <c r="AV45" i="133" s="1"/>
  <c r="AV22" i="11" s="1"/>
  <c r="AX44" i="34" s="1"/>
  <c r="AJ42" i="70"/>
  <c r="AK8" i="69" s="1"/>
  <c r="AI43" i="70"/>
  <c r="BC41" i="134"/>
  <c r="AU45" i="134"/>
  <c r="AU25" i="11" s="1"/>
  <c r="AZ32" i="134"/>
  <c r="BA39" i="134"/>
  <c r="AM85" i="34"/>
  <c r="AM86" i="34"/>
  <c r="AW19" i="134"/>
  <c r="BD42" i="134"/>
  <c r="BB26" i="134"/>
  <c r="AW34" i="134"/>
  <c r="AV43" i="134"/>
  <c r="BA33" i="134"/>
  <c r="AO41" i="70"/>
  <c r="O38" i="116"/>
  <c r="N20" i="85" s="1"/>
  <c r="L15" i="146" s="1"/>
  <c r="Q15" i="146" s="1"/>
  <c r="S15" i="146" s="1"/>
  <c r="Y15" i="146" s="1"/>
  <c r="U36" i="116"/>
  <c r="AO51" i="69"/>
  <c r="AO52" i="69" s="1"/>
  <c r="AP50" i="69"/>
  <c r="AN84" i="34"/>
  <c r="BC37" i="134"/>
  <c r="M25" i="85"/>
  <c r="BB36" i="134"/>
  <c r="BG28" i="134"/>
  <c r="AX38" i="134"/>
  <c r="AU61" i="34"/>
  <c r="BC35" i="134"/>
  <c r="AR69" i="34" l="1"/>
  <c r="AV62" i="69"/>
  <c r="AW63" i="69" s="1"/>
  <c r="AU7" i="67"/>
  <c r="AU11" i="67" s="1"/>
  <c r="AS9" i="11" s="1"/>
  <c r="AS10" i="11" s="1"/>
  <c r="AS33" i="69"/>
  <c r="AS36" i="69" s="1"/>
  <c r="AS34" i="34"/>
  <c r="AS66" i="34"/>
  <c r="AS13" i="70"/>
  <c r="AV12" i="34"/>
  <c r="AU68" i="69"/>
  <c r="AS13" i="11"/>
  <c r="AU29" i="34" s="1"/>
  <c r="AT27" i="34"/>
  <c r="AR10" i="11"/>
  <c r="AR49" i="11" s="1"/>
  <c r="AU32" i="115"/>
  <c r="AT63" i="115"/>
  <c r="AT66" i="115" s="1"/>
  <c r="AT29" i="69"/>
  <c r="AU61" i="69"/>
  <c r="AU65" i="69" s="1"/>
  <c r="AU17" i="34"/>
  <c r="AU22" i="34" s="1"/>
  <c r="AV9" i="69" s="1"/>
  <c r="AU9" i="69"/>
  <c r="AY16" i="70"/>
  <c r="BA30" i="69"/>
  <c r="AQ78" i="34"/>
  <c r="O67" i="57"/>
  <c r="AT31" i="125"/>
  <c r="AS63" i="125"/>
  <c r="AS66" i="125" s="1"/>
  <c r="AV11" i="34" s="1"/>
  <c r="AV45" i="136"/>
  <c r="AV21" i="11" s="1"/>
  <c r="AV54" i="145"/>
  <c r="BB42" i="145"/>
  <c r="BA35" i="144"/>
  <c r="BB33" i="144"/>
  <c r="BH46" i="145"/>
  <c r="BE35" i="135"/>
  <c r="BA42" i="144"/>
  <c r="AZ37" i="131"/>
  <c r="BD51" i="145"/>
  <c r="AY20" i="133"/>
  <c r="AX43" i="144"/>
  <c r="AY25" i="132"/>
  <c r="BA37" i="133"/>
  <c r="BC40" i="135"/>
  <c r="AZ36" i="135"/>
  <c r="BA41" i="131"/>
  <c r="AX36" i="145"/>
  <c r="BB43" i="145"/>
  <c r="AX26" i="136"/>
  <c r="BF40" i="144"/>
  <c r="BE44" i="145"/>
  <c r="AZ26" i="135"/>
  <c r="AZ25" i="133"/>
  <c r="BD37" i="136"/>
  <c r="AX37" i="145"/>
  <c r="AX25" i="135"/>
  <c r="AY34" i="135"/>
  <c r="AX43" i="135"/>
  <c r="BD36" i="133"/>
  <c r="BE28" i="133"/>
  <c r="BA28" i="132"/>
  <c r="BE38" i="136"/>
  <c r="BC50" i="145"/>
  <c r="AY43" i="133"/>
  <c r="BD26" i="132"/>
  <c r="AW43" i="131"/>
  <c r="AX32" i="131"/>
  <c r="BC26" i="145"/>
  <c r="BB42" i="135"/>
  <c r="BH35" i="136"/>
  <c r="AZ42" i="136"/>
  <c r="AZ33" i="131"/>
  <c r="BD39" i="133"/>
  <c r="AZ39" i="136"/>
  <c r="BF38" i="145"/>
  <c r="BD47" i="145"/>
  <c r="AX25" i="136"/>
  <c r="BD49" i="145"/>
  <c r="AZ33" i="145"/>
  <c r="AY24" i="131"/>
  <c r="AZ42" i="133"/>
  <c r="BC38" i="131"/>
  <c r="BH36" i="144"/>
  <c r="BD39" i="144"/>
  <c r="BA35" i="133"/>
  <c r="BB37" i="135"/>
  <c r="BA32" i="144"/>
  <c r="BF34" i="133"/>
  <c r="AY25" i="131"/>
  <c r="BA39" i="145"/>
  <c r="BB28" i="144"/>
  <c r="BA43" i="132"/>
  <c r="BB42" i="132"/>
  <c r="AZ26" i="144"/>
  <c r="AZ34" i="145"/>
  <c r="AZ38" i="133"/>
  <c r="AZ43" i="133" s="1"/>
  <c r="BA28" i="136"/>
  <c r="AZ37" i="144"/>
  <c r="BA40" i="136"/>
  <c r="BE24" i="134"/>
  <c r="BD38" i="135"/>
  <c r="AX34" i="136"/>
  <c r="AW43" i="136"/>
  <c r="AZ48" i="145"/>
  <c r="AW52" i="145"/>
  <c r="AX32" i="145"/>
  <c r="BB25" i="145"/>
  <c r="BB28" i="145"/>
  <c r="BB33" i="136"/>
  <c r="BA33" i="133"/>
  <c r="AY35" i="145"/>
  <c r="BC34" i="144"/>
  <c r="BA26" i="131"/>
  <c r="BF36" i="136"/>
  <c r="AY38" i="144"/>
  <c r="BC40" i="131"/>
  <c r="AZ27" i="133"/>
  <c r="AY28" i="131"/>
  <c r="BB28" i="135"/>
  <c r="AZ39" i="135"/>
  <c r="BG36" i="131"/>
  <c r="BA35" i="131"/>
  <c r="BB33" i="135"/>
  <c r="AZ25" i="134"/>
  <c r="BH26" i="133"/>
  <c r="BF45" i="145"/>
  <c r="BC32" i="135"/>
  <c r="BB34" i="131"/>
  <c r="AZ40" i="145"/>
  <c r="AZ24" i="136"/>
  <c r="Q38" i="57"/>
  <c r="Q40" i="57" s="1"/>
  <c r="AV19" i="144"/>
  <c r="AU29" i="144"/>
  <c r="AU45" i="144" s="1"/>
  <c r="AV45" i="134"/>
  <c r="AV25" i="11" s="1"/>
  <c r="AV38" i="11" s="1"/>
  <c r="AU28" i="69"/>
  <c r="AT15" i="70" s="1"/>
  <c r="P58" i="57"/>
  <c r="AW10" i="126"/>
  <c r="AW17" i="126" s="1"/>
  <c r="AV45" i="107" s="1"/>
  <c r="AT111" i="109" s="1"/>
  <c r="AT147" i="109" s="1"/>
  <c r="AX7" i="145"/>
  <c r="AW21" i="145"/>
  <c r="AW29" i="145" s="1"/>
  <c r="AW54" i="145" s="1"/>
  <c r="AX7" i="131"/>
  <c r="AW21" i="131"/>
  <c r="AW29" i="131" s="1"/>
  <c r="AW7" i="61"/>
  <c r="AX43" i="34"/>
  <c r="AV23" i="11"/>
  <c r="AW21" i="133"/>
  <c r="AW29" i="133" s="1"/>
  <c r="AW45" i="133" s="1"/>
  <c r="AW22" i="11" s="1"/>
  <c r="AY44" i="34" s="1"/>
  <c r="AX7" i="133"/>
  <c r="AW9" i="61"/>
  <c r="AY7" i="144"/>
  <c r="AX21" i="144"/>
  <c r="AW11" i="61"/>
  <c r="AW21" i="134"/>
  <c r="AX7" i="134"/>
  <c r="AX5" i="126"/>
  <c r="AV45" i="131"/>
  <c r="AU17" i="11" s="1"/>
  <c r="AV14" i="61"/>
  <c r="AW21" i="136"/>
  <c r="AW29" i="136" s="1"/>
  <c r="AX7" i="136"/>
  <c r="AW10" i="61"/>
  <c r="AU40" i="34"/>
  <c r="AU63" i="34" s="1"/>
  <c r="AV38" i="34"/>
  <c r="AT19" i="11"/>
  <c r="AT40" i="11" s="1"/>
  <c r="AX21" i="135"/>
  <c r="AX29" i="135" s="1"/>
  <c r="AX45" i="135" s="1"/>
  <c r="AX26" i="11" s="1"/>
  <c r="AZ49" i="34" s="1"/>
  <c r="R44" i="57" s="1"/>
  <c r="AY7" i="135"/>
  <c r="AX12" i="61"/>
  <c r="AY7" i="132"/>
  <c r="AX21" i="132"/>
  <c r="AX29" i="132" s="1"/>
  <c r="AX57" i="132" s="1"/>
  <c r="AX18" i="11" s="1"/>
  <c r="AZ39" i="34" s="1"/>
  <c r="R34" i="57" s="1"/>
  <c r="AX8" i="61"/>
  <c r="AY38" i="134"/>
  <c r="AP51" i="69"/>
  <c r="AP52" i="69" s="1"/>
  <c r="AQ50" i="69"/>
  <c r="AO84" i="34"/>
  <c r="BC26" i="134"/>
  <c r="BB39" i="134"/>
  <c r="AU38" i="11"/>
  <c r="AW48" i="34"/>
  <c r="AK40" i="70"/>
  <c r="AK12" i="69"/>
  <c r="AK24" i="69" s="1"/>
  <c r="AK53" i="69" s="1"/>
  <c r="BH28" i="134"/>
  <c r="AR9" i="70"/>
  <c r="AR19" i="70" s="1"/>
  <c r="AR41" i="70" s="1"/>
  <c r="BA32" i="134"/>
  <c r="BD41" i="134"/>
  <c r="F67" i="85"/>
  <c r="T20" i="85"/>
  <c r="AX19" i="134"/>
  <c r="AW29" i="134"/>
  <c r="BD35" i="134"/>
  <c r="BC36" i="134"/>
  <c r="BD37" i="134"/>
  <c r="AN86" i="34"/>
  <c r="AN85" i="34"/>
  <c r="BB33" i="134"/>
  <c r="AX34" i="134"/>
  <c r="AW43" i="134"/>
  <c r="BE42" i="134"/>
  <c r="AU27" i="34" l="1"/>
  <c r="AU30" i="34" s="1"/>
  <c r="AU33" i="34" s="1"/>
  <c r="AU34" i="34" s="1"/>
  <c r="AV68" i="69"/>
  <c r="AS49" i="11"/>
  <c r="AS74" i="34"/>
  <c r="AS78" i="34" s="1"/>
  <c r="AS82" i="34" s="1"/>
  <c r="AS9" i="70" s="1"/>
  <c r="AS69" i="34"/>
  <c r="AV61" i="69"/>
  <c r="AV65" i="69" s="1"/>
  <c r="AU29" i="69"/>
  <c r="AT17" i="70" s="1"/>
  <c r="AV7" i="67"/>
  <c r="AV11" i="67" s="1"/>
  <c r="AT9" i="11" s="1"/>
  <c r="AS17" i="70"/>
  <c r="AT33" i="69"/>
  <c r="AT36" i="69" s="1"/>
  <c r="AV17" i="34"/>
  <c r="AV22" i="34" s="1"/>
  <c r="AW9" i="69" s="1"/>
  <c r="O71" i="57"/>
  <c r="AQ82" i="34"/>
  <c r="AR50" i="69" s="1"/>
  <c r="AW12" i="34"/>
  <c r="Q7" i="57" s="1"/>
  <c r="AT13" i="11"/>
  <c r="AV29" i="34" s="1"/>
  <c r="AU32" i="125"/>
  <c r="AT63" i="125"/>
  <c r="AT66" i="125" s="1"/>
  <c r="AW11" i="34" s="1"/>
  <c r="AZ16" i="70"/>
  <c r="BB30" i="69"/>
  <c r="AU13" i="70"/>
  <c r="AV33" i="115"/>
  <c r="AU63" i="115"/>
  <c r="AU66" i="115" s="1"/>
  <c r="AT30" i="34"/>
  <c r="AT33" i="34" s="1"/>
  <c r="P22" i="57"/>
  <c r="P25" i="57" s="1"/>
  <c r="P28" i="57" s="1"/>
  <c r="AW62" i="69"/>
  <c r="AT13" i="70"/>
  <c r="U38" i="116"/>
  <c r="AB15" i="146"/>
  <c r="AW45" i="136"/>
  <c r="AW21" i="11" s="1"/>
  <c r="AW23" i="11" s="1"/>
  <c r="BA25" i="134"/>
  <c r="BH36" i="131"/>
  <c r="BA39" i="135"/>
  <c r="BA48" i="145"/>
  <c r="BB40" i="136"/>
  <c r="BA34" i="145"/>
  <c r="BB32" i="144"/>
  <c r="BE39" i="144"/>
  <c r="AZ24" i="131"/>
  <c r="BE49" i="145"/>
  <c r="BF38" i="136"/>
  <c r="BF28" i="133"/>
  <c r="AY26" i="136"/>
  <c r="BB41" i="131"/>
  <c r="BB37" i="133"/>
  <c r="BB35" i="144"/>
  <c r="BA40" i="145"/>
  <c r="BD32" i="135"/>
  <c r="BG45" i="145"/>
  <c r="BA27" i="133"/>
  <c r="BG36" i="136"/>
  <c r="BB26" i="131"/>
  <c r="BD34" i="144"/>
  <c r="BC33" i="136"/>
  <c r="BC28" i="145"/>
  <c r="AY34" i="136"/>
  <c r="AX43" i="136"/>
  <c r="BA38" i="133"/>
  <c r="BC28" i="144"/>
  <c r="BE47" i="145"/>
  <c r="BA39" i="136"/>
  <c r="BA33" i="131"/>
  <c r="BA42" i="136"/>
  <c r="BI35" i="136"/>
  <c r="AX43" i="131"/>
  <c r="AY32" i="131"/>
  <c r="AY25" i="135"/>
  <c r="BF44" i="145"/>
  <c r="BC43" i="145"/>
  <c r="BA36" i="135"/>
  <c r="BD40" i="135"/>
  <c r="AZ20" i="133"/>
  <c r="BE51" i="145"/>
  <c r="BB42" i="144"/>
  <c r="BC33" i="144"/>
  <c r="BC33" i="135"/>
  <c r="AZ28" i="131"/>
  <c r="AZ35" i="145"/>
  <c r="BB33" i="133"/>
  <c r="BC25" i="145"/>
  <c r="BF24" i="134"/>
  <c r="BB28" i="136"/>
  <c r="BB43" i="132"/>
  <c r="BC42" i="132"/>
  <c r="AZ25" i="131"/>
  <c r="BC37" i="135"/>
  <c r="BA42" i="133"/>
  <c r="BA33" i="145"/>
  <c r="AY25" i="136"/>
  <c r="BE39" i="133"/>
  <c r="BD26" i="145"/>
  <c r="BE26" i="132"/>
  <c r="BD50" i="145"/>
  <c r="BB28" i="132"/>
  <c r="BE36" i="133"/>
  <c r="AZ34" i="135"/>
  <c r="AY43" i="135"/>
  <c r="BE37" i="136"/>
  <c r="BA25" i="133"/>
  <c r="BG40" i="144"/>
  <c r="BF35" i="135"/>
  <c r="BI46" i="145"/>
  <c r="BJ46" i="145" s="1"/>
  <c r="BA24" i="136"/>
  <c r="BC34" i="131"/>
  <c r="BI26" i="133"/>
  <c r="BB35" i="131"/>
  <c r="BC28" i="135"/>
  <c r="BD40" i="131"/>
  <c r="AZ38" i="144"/>
  <c r="AZ43" i="144" s="1"/>
  <c r="AY43" i="144"/>
  <c r="AX52" i="145"/>
  <c r="AY32" i="145"/>
  <c r="BE38" i="135"/>
  <c r="BA37" i="144"/>
  <c r="BA26" i="144"/>
  <c r="BB39" i="145"/>
  <c r="BG34" i="133"/>
  <c r="BB35" i="133"/>
  <c r="BI36" i="144"/>
  <c r="BD38" i="131"/>
  <c r="BG38" i="145"/>
  <c r="BC42" i="135"/>
  <c r="AY37" i="145"/>
  <c r="BA26" i="135"/>
  <c r="AY36" i="145"/>
  <c r="AZ25" i="132"/>
  <c r="BA37" i="131"/>
  <c r="BC42" i="145"/>
  <c r="AX48" i="34"/>
  <c r="AX61" i="34" s="1"/>
  <c r="AW19" i="144"/>
  <c r="AV29" i="144"/>
  <c r="AV45" i="144" s="1"/>
  <c r="AV28" i="69"/>
  <c r="AU15" i="70" s="1"/>
  <c r="AX21" i="133"/>
  <c r="AX29" i="133" s="1"/>
  <c r="AX45" i="133" s="1"/>
  <c r="AX22" i="11" s="1"/>
  <c r="AZ44" i="34" s="1"/>
  <c r="R39" i="57" s="1"/>
  <c r="AY7" i="133"/>
  <c r="AX9" i="61"/>
  <c r="AV40" i="34"/>
  <c r="AV63" i="34" s="1"/>
  <c r="AY7" i="136"/>
  <c r="AX10" i="61"/>
  <c r="AX21" i="136"/>
  <c r="AX29" i="136" s="1"/>
  <c r="AX10" i="126"/>
  <c r="AX17" i="126" s="1"/>
  <c r="AW45" i="107" s="1"/>
  <c r="AU111" i="109" s="1"/>
  <c r="AU147" i="109" s="1"/>
  <c r="AW14" i="61"/>
  <c r="AW38" i="34"/>
  <c r="AU19" i="11"/>
  <c r="AU40" i="11" s="1"/>
  <c r="AX45" i="34"/>
  <c r="AY21" i="135"/>
  <c r="AY29" i="135" s="1"/>
  <c r="AY12" i="61"/>
  <c r="AZ7" i="135"/>
  <c r="AX21" i="134"/>
  <c r="AX29" i="134" s="1"/>
  <c r="AX11" i="61"/>
  <c r="AY7" i="134"/>
  <c r="AZ7" i="144"/>
  <c r="AY21" i="144"/>
  <c r="AW45" i="131"/>
  <c r="AV17" i="11" s="1"/>
  <c r="AY5" i="126"/>
  <c r="AY7" i="145"/>
  <c r="AX21" i="145"/>
  <c r="AX29" i="145" s="1"/>
  <c r="AX54" i="145" s="1"/>
  <c r="AZ7" i="132"/>
  <c r="AY21" i="132"/>
  <c r="AY29" i="132" s="1"/>
  <c r="AY57" i="132" s="1"/>
  <c r="AY18" i="11" s="1"/>
  <c r="BA39" i="34" s="1"/>
  <c r="AY8" i="61"/>
  <c r="AX21" i="131"/>
  <c r="AX29" i="131" s="1"/>
  <c r="AX7" i="61"/>
  <c r="AY7" i="131"/>
  <c r="BC33" i="134"/>
  <c r="N25" i="85"/>
  <c r="T25" i="85" s="1"/>
  <c r="G67" i="85"/>
  <c r="BF42" i="134"/>
  <c r="BI28" i="134"/>
  <c r="AW61" i="34"/>
  <c r="Q43" i="57"/>
  <c r="Q56" i="57" s="1"/>
  <c r="AW45" i="134"/>
  <c r="AW25" i="11" s="1"/>
  <c r="BE37" i="134"/>
  <c r="AY19" i="134"/>
  <c r="AO85" i="34"/>
  <c r="AO86" i="34"/>
  <c r="AZ38" i="134"/>
  <c r="BD36" i="134"/>
  <c r="BE35" i="134"/>
  <c r="AY34" i="134"/>
  <c r="AX43" i="134"/>
  <c r="BE41" i="134"/>
  <c r="BB32" i="134"/>
  <c r="AK42" i="70"/>
  <c r="AL8" i="69" s="1"/>
  <c r="AJ43" i="70"/>
  <c r="BC39" i="134"/>
  <c r="BD26" i="134"/>
  <c r="AP84" i="34"/>
  <c r="AQ51" i="69"/>
  <c r="AQ52" i="69" s="1"/>
  <c r="AU66" i="34" l="1"/>
  <c r="AU74" i="34" s="1"/>
  <c r="AU78" i="34" s="1"/>
  <c r="AU33" i="69"/>
  <c r="AU36" i="69" s="1"/>
  <c r="AW17" i="34"/>
  <c r="AW22" i="34" s="1"/>
  <c r="AX9" i="69" s="1"/>
  <c r="AS19" i="70"/>
  <c r="AS41" i="70" s="1"/>
  <c r="AX62" i="69"/>
  <c r="AY63" i="69" s="1"/>
  <c r="AW7" i="67"/>
  <c r="AW11" i="67" s="1"/>
  <c r="AU9" i="11" s="1"/>
  <c r="AU10" i="11" s="1"/>
  <c r="AW13" i="70"/>
  <c r="AV13" i="70"/>
  <c r="P29" i="57"/>
  <c r="P60" i="57"/>
  <c r="P62" i="57" s="1"/>
  <c r="AW34" i="115"/>
  <c r="AW63" i="115" s="1"/>
  <c r="AW66" i="115" s="1"/>
  <c r="AV63" i="115"/>
  <c r="AV66" i="115" s="1"/>
  <c r="AU13" i="11"/>
  <c r="AW29" i="34" s="1"/>
  <c r="Q24" i="57" s="1"/>
  <c r="AQ9" i="70"/>
  <c r="AQ19" i="70" s="1"/>
  <c r="AQ41" i="70" s="1"/>
  <c r="O75" i="57"/>
  <c r="AX12" i="34"/>
  <c r="AV33" i="125"/>
  <c r="AU63" i="125"/>
  <c r="AU66" i="125" s="1"/>
  <c r="AX11" i="34" s="1"/>
  <c r="AV29" i="69"/>
  <c r="AU17" i="70" s="1"/>
  <c r="AW61" i="69"/>
  <c r="AW65" i="69" s="1"/>
  <c r="AX63" i="69"/>
  <c r="AX68" i="69" s="1"/>
  <c r="AW68" i="69"/>
  <c r="AT34" i="34"/>
  <c r="AT66" i="34"/>
  <c r="BA16" i="70"/>
  <c r="BC30" i="69"/>
  <c r="AV27" i="34"/>
  <c r="AV30" i="34" s="1"/>
  <c r="AV33" i="34" s="1"/>
  <c r="AV34" i="34" s="1"/>
  <c r="AT10" i="11"/>
  <c r="AT49" i="11" s="1"/>
  <c r="Q6" i="57"/>
  <c r="Q12" i="57" s="1"/>
  <c r="Q17" i="57" s="1"/>
  <c r="AY43" i="34"/>
  <c r="AY45" i="34" s="1"/>
  <c r="AX45" i="136"/>
  <c r="AX21" i="11" s="1"/>
  <c r="AX23" i="11" s="1"/>
  <c r="AX14" i="61"/>
  <c r="AY45" i="135"/>
  <c r="AY26" i="11" s="1"/>
  <c r="BA49" i="34" s="1"/>
  <c r="BK46" i="145"/>
  <c r="BL46" i="145" s="1"/>
  <c r="BM46" i="145" s="1"/>
  <c r="BN46" i="145" s="1"/>
  <c r="BA25" i="132"/>
  <c r="AZ36" i="145"/>
  <c r="BC35" i="133"/>
  <c r="BB26" i="144"/>
  <c r="BB37" i="144"/>
  <c r="BF38" i="135"/>
  <c r="BJ26" i="133"/>
  <c r="BF36" i="133"/>
  <c r="BF39" i="133"/>
  <c r="BB42" i="133"/>
  <c r="BD37" i="135"/>
  <c r="BC43" i="132"/>
  <c r="BD42" i="132"/>
  <c r="BC33" i="133"/>
  <c r="BD33" i="135"/>
  <c r="BD33" i="144"/>
  <c r="BE40" i="135"/>
  <c r="BD43" i="145"/>
  <c r="BG44" i="145"/>
  <c r="BB33" i="131"/>
  <c r="BD28" i="144"/>
  <c r="BE34" i="144"/>
  <c r="AZ26" i="136"/>
  <c r="BB25" i="134"/>
  <c r="BD42" i="145"/>
  <c r="BB37" i="131"/>
  <c r="BB26" i="135"/>
  <c r="BD42" i="135"/>
  <c r="BH38" i="145"/>
  <c r="BJ36" i="144"/>
  <c r="BH34" i="133"/>
  <c r="AY52" i="145"/>
  <c r="AZ32" i="145"/>
  <c r="BE40" i="131"/>
  <c r="BD28" i="135"/>
  <c r="BC35" i="131"/>
  <c r="BG35" i="135"/>
  <c r="BC28" i="132"/>
  <c r="BE26" i="145"/>
  <c r="AZ25" i="136"/>
  <c r="BD25" i="145"/>
  <c r="BA43" i="133"/>
  <c r="AZ25" i="135"/>
  <c r="BJ35" i="136"/>
  <c r="BD33" i="136"/>
  <c r="BH36" i="136"/>
  <c r="BB27" i="133"/>
  <c r="BC35" i="144"/>
  <c r="BC41" i="131"/>
  <c r="BG38" i="136"/>
  <c r="BA24" i="131"/>
  <c r="BI36" i="131"/>
  <c r="AZ37" i="145"/>
  <c r="BE38" i="131"/>
  <c r="BA38" i="144"/>
  <c r="BD34" i="131"/>
  <c r="BB25" i="133"/>
  <c r="BF37" i="136"/>
  <c r="BE50" i="145"/>
  <c r="BF26" i="132"/>
  <c r="BA25" i="131"/>
  <c r="BC28" i="136"/>
  <c r="BA28" i="131"/>
  <c r="BC42" i="144"/>
  <c r="BF51" i="145"/>
  <c r="BA20" i="133"/>
  <c r="BB42" i="136"/>
  <c r="BB39" i="136"/>
  <c r="BF47" i="145"/>
  <c r="AZ34" i="136"/>
  <c r="AY43" i="136"/>
  <c r="BH45" i="145"/>
  <c r="BE32" i="135"/>
  <c r="BG28" i="133"/>
  <c r="BC32" i="144"/>
  <c r="BC39" i="145"/>
  <c r="BB24" i="136"/>
  <c r="BH40" i="144"/>
  <c r="BA34" i="135"/>
  <c r="AZ43" i="135"/>
  <c r="BB33" i="145"/>
  <c r="BG24" i="134"/>
  <c r="BA35" i="145"/>
  <c r="BB36" i="135"/>
  <c r="AY43" i="131"/>
  <c r="AZ32" i="131"/>
  <c r="BB38" i="133"/>
  <c r="BB43" i="133" s="1"/>
  <c r="BD28" i="145"/>
  <c r="BC26" i="131"/>
  <c r="BB40" i="145"/>
  <c r="BC37" i="133"/>
  <c r="BF49" i="145"/>
  <c r="BF39" i="144"/>
  <c r="BA43" i="144"/>
  <c r="BB34" i="145"/>
  <c r="BC40" i="136"/>
  <c r="BB48" i="145"/>
  <c r="BB39" i="135"/>
  <c r="AU69" i="34"/>
  <c r="AX19" i="144"/>
  <c r="AW29" i="144"/>
  <c r="AW45" i="144" s="1"/>
  <c r="AY9" i="61"/>
  <c r="AY21" i="133"/>
  <c r="AY29" i="133" s="1"/>
  <c r="AY45" i="133" s="1"/>
  <c r="AY22" i="11" s="1"/>
  <c r="BA44" i="34" s="1"/>
  <c r="AZ7" i="133"/>
  <c r="AX45" i="131"/>
  <c r="AW17" i="11" s="1"/>
  <c r="AZ5" i="126"/>
  <c r="AZ7" i="145"/>
  <c r="AY21" i="145"/>
  <c r="AY29" i="145" s="1"/>
  <c r="AY54" i="145" s="1"/>
  <c r="BA7" i="144"/>
  <c r="AZ21" i="144"/>
  <c r="AW40" i="34"/>
  <c r="AW63" i="34" s="1"/>
  <c r="Q33" i="57"/>
  <c r="Q35" i="57" s="1"/>
  <c r="AZ43" i="34"/>
  <c r="AW28" i="69"/>
  <c r="AY10" i="126"/>
  <c r="AY17" i="126" s="1"/>
  <c r="AX45" i="107" s="1"/>
  <c r="AV111" i="109" s="1"/>
  <c r="AV147" i="109" s="1"/>
  <c r="AY21" i="134"/>
  <c r="AY29" i="134" s="1"/>
  <c r="AZ7" i="134"/>
  <c r="AY11" i="61"/>
  <c r="AZ7" i="131"/>
  <c r="AY21" i="131"/>
  <c r="AY29" i="131" s="1"/>
  <c r="AY7" i="61"/>
  <c r="BA7" i="132"/>
  <c r="AZ8" i="61"/>
  <c r="AZ21" i="132"/>
  <c r="AZ29" i="132" s="1"/>
  <c r="AZ57" i="132" s="1"/>
  <c r="AZ18" i="11" s="1"/>
  <c r="BB39" i="34" s="1"/>
  <c r="AX38" i="34"/>
  <c r="AV19" i="11"/>
  <c r="AV40" i="11" s="1"/>
  <c r="BA7" i="135"/>
  <c r="AZ21" i="135"/>
  <c r="AZ29" i="135" s="1"/>
  <c r="AZ45" i="135" s="1"/>
  <c r="AZ26" i="11" s="1"/>
  <c r="BB49" i="34" s="1"/>
  <c r="AZ12" i="61"/>
  <c r="AY21" i="136"/>
  <c r="AY29" i="136" s="1"/>
  <c r="AZ7" i="136"/>
  <c r="AY10" i="61"/>
  <c r="AX45" i="134"/>
  <c r="AX25" i="11" s="1"/>
  <c r="AZ48" i="34" s="1"/>
  <c r="AZ61" i="34" s="1"/>
  <c r="BD39" i="134"/>
  <c r="BC32" i="134"/>
  <c r="AZ19" i="134"/>
  <c r="AW38" i="11"/>
  <c r="AY48" i="34"/>
  <c r="AR51" i="69"/>
  <c r="AR52" i="69" s="1"/>
  <c r="AQ84" i="34"/>
  <c r="AS50" i="69"/>
  <c r="BE26" i="134"/>
  <c r="BA38" i="134"/>
  <c r="BF37" i="134"/>
  <c r="BG42" i="134"/>
  <c r="BD33" i="134"/>
  <c r="BF41" i="134"/>
  <c r="AP85" i="34"/>
  <c r="AP86" i="34"/>
  <c r="BF35" i="134"/>
  <c r="AZ34" i="134"/>
  <c r="AY43" i="134"/>
  <c r="BE36" i="134"/>
  <c r="M24" i="85"/>
  <c r="AL12" i="69"/>
  <c r="AL24" i="69" s="1"/>
  <c r="AL53" i="69" s="1"/>
  <c r="AL40" i="70"/>
  <c r="BJ28" i="134"/>
  <c r="AW27" i="34" l="1"/>
  <c r="AW30" i="34" s="1"/>
  <c r="AW33" i="34" s="1"/>
  <c r="AV33" i="69"/>
  <c r="AV36" i="69" s="1"/>
  <c r="Q22" i="57"/>
  <c r="Q25" i="57" s="1"/>
  <c r="Q28" i="57" s="1"/>
  <c r="Q29" i="57" s="1"/>
  <c r="AX61" i="69"/>
  <c r="AX65" i="69" s="1"/>
  <c r="AW29" i="69"/>
  <c r="AV17" i="70" s="1"/>
  <c r="AV13" i="11"/>
  <c r="AX29" i="34" s="1"/>
  <c r="AY12" i="34"/>
  <c r="BB16" i="70"/>
  <c r="BD30" i="69"/>
  <c r="AY62" i="69"/>
  <c r="AZ12" i="34"/>
  <c r="AX17" i="34"/>
  <c r="AX22" i="34" s="1"/>
  <c r="AX7" i="67"/>
  <c r="AX11" i="67" s="1"/>
  <c r="AV9" i="11" s="1"/>
  <c r="AV66" i="34"/>
  <c r="AV74" i="34" s="1"/>
  <c r="AV78" i="34" s="1"/>
  <c r="AV82" i="34" s="1"/>
  <c r="AV9" i="70" s="1"/>
  <c r="AU49" i="11"/>
  <c r="AT74" i="34"/>
  <c r="AT69" i="34"/>
  <c r="AW34" i="125"/>
  <c r="AW63" i="125" s="1"/>
  <c r="AW66" i="125" s="1"/>
  <c r="AZ11" i="34" s="1"/>
  <c r="AV63" i="125"/>
  <c r="AV66" i="125" s="1"/>
  <c r="AY11" i="34" s="1"/>
  <c r="AY45" i="136"/>
  <c r="AY21" i="11" s="1"/>
  <c r="BO46" i="145"/>
  <c r="BP46" i="145" s="1"/>
  <c r="BQ46" i="145" s="1"/>
  <c r="BC34" i="145"/>
  <c r="BG39" i="144"/>
  <c r="BG49" i="145"/>
  <c r="BC36" i="135"/>
  <c r="BH24" i="134"/>
  <c r="BC24" i="136"/>
  <c r="BH28" i="133"/>
  <c r="BG51" i="145"/>
  <c r="BF50" i="145"/>
  <c r="BG37" i="136"/>
  <c r="BK35" i="136"/>
  <c r="BL35" i="136" s="1"/>
  <c r="BM35" i="136" s="1"/>
  <c r="BN35" i="136" s="1"/>
  <c r="BO35" i="136" s="1"/>
  <c r="BE25" i="145"/>
  <c r="BF26" i="145"/>
  <c r="BD28" i="132"/>
  <c r="AZ52" i="145"/>
  <c r="BA32" i="145"/>
  <c r="BE42" i="135"/>
  <c r="BC37" i="131"/>
  <c r="BE42" i="145"/>
  <c r="BF34" i="144"/>
  <c r="BE28" i="144"/>
  <c r="BC33" i="131"/>
  <c r="BE33" i="135"/>
  <c r="BE37" i="135"/>
  <c r="BG38" i="135"/>
  <c r="BC39" i="135"/>
  <c r="BC48" i="145"/>
  <c r="BD40" i="136"/>
  <c r="BD37" i="133"/>
  <c r="BE28" i="145"/>
  <c r="BC38" i="133"/>
  <c r="BB34" i="135"/>
  <c r="BA43" i="135"/>
  <c r="BD39" i="145"/>
  <c r="BF32" i="135"/>
  <c r="BB20" i="133"/>
  <c r="BD42" i="144"/>
  <c r="BD28" i="136"/>
  <c r="BG26" i="132"/>
  <c r="BC25" i="133"/>
  <c r="BD35" i="144"/>
  <c r="BD35" i="131"/>
  <c r="BE28" i="135"/>
  <c r="BF40" i="131"/>
  <c r="BI34" i="133"/>
  <c r="BK36" i="144"/>
  <c r="BA26" i="136"/>
  <c r="BE43" i="145"/>
  <c r="BE33" i="144"/>
  <c r="BC26" i="144"/>
  <c r="BD35" i="133"/>
  <c r="BA36" i="145"/>
  <c r="BC40" i="145"/>
  <c r="BD26" i="131"/>
  <c r="BB35" i="145"/>
  <c r="BI40" i="144"/>
  <c r="BD32" i="144"/>
  <c r="BI45" i="145"/>
  <c r="BA34" i="136"/>
  <c r="AZ43" i="136"/>
  <c r="BH38" i="136"/>
  <c r="BE33" i="136"/>
  <c r="BH35" i="135"/>
  <c r="BI38" i="145"/>
  <c r="BH44" i="145"/>
  <c r="BG39" i="133"/>
  <c r="BG36" i="133"/>
  <c r="BK26" i="133"/>
  <c r="BC37" i="144"/>
  <c r="BB25" i="132"/>
  <c r="AZ43" i="131"/>
  <c r="BA32" i="131"/>
  <c r="BC33" i="145"/>
  <c r="BG47" i="145"/>
  <c r="BC39" i="136"/>
  <c r="BC42" i="136"/>
  <c r="BB28" i="131"/>
  <c r="BB25" i="131"/>
  <c r="BE34" i="131"/>
  <c r="BB38" i="144"/>
  <c r="BF38" i="131"/>
  <c r="BA37" i="145"/>
  <c r="BJ36" i="131"/>
  <c r="BB24" i="131"/>
  <c r="BD41" i="131"/>
  <c r="BC27" i="133"/>
  <c r="BI36" i="136"/>
  <c r="BA25" i="135"/>
  <c r="BA25" i="136"/>
  <c r="BC26" i="135"/>
  <c r="BC25" i="134"/>
  <c r="BF40" i="135"/>
  <c r="BD33" i="133"/>
  <c r="BD43" i="132"/>
  <c r="BE42" i="132"/>
  <c r="BC42" i="133"/>
  <c r="AX38" i="11"/>
  <c r="AY19" i="144"/>
  <c r="AX29" i="144"/>
  <c r="AX45" i="144" s="1"/>
  <c r="AX28" i="69"/>
  <c r="Q58" i="57"/>
  <c r="AY45" i="134"/>
  <c r="AY25" i="11" s="1"/>
  <c r="AY38" i="11" s="1"/>
  <c r="AX40" i="34"/>
  <c r="AX63" i="34" s="1"/>
  <c r="AW33" i="69"/>
  <c r="AW36" i="69" s="1"/>
  <c r="AV15" i="70"/>
  <c r="AZ45" i="34"/>
  <c r="R38" i="57"/>
  <c r="R40" i="57" s="1"/>
  <c r="U16" i="85" s="1"/>
  <c r="BA21" i="144"/>
  <c r="BB7" i="144"/>
  <c r="AY38" i="34"/>
  <c r="AY40" i="34" s="1"/>
  <c r="AW19" i="11"/>
  <c r="AW40" i="11" s="1"/>
  <c r="AZ21" i="133"/>
  <c r="AZ29" i="133" s="1"/>
  <c r="AZ45" i="133" s="1"/>
  <c r="AZ22" i="11" s="1"/>
  <c r="BB44" i="34" s="1"/>
  <c r="BA7" i="133"/>
  <c r="AZ9" i="61"/>
  <c r="AY14" i="61"/>
  <c r="AZ21" i="136"/>
  <c r="AZ29" i="136" s="1"/>
  <c r="AZ10" i="61"/>
  <c r="BA7" i="136"/>
  <c r="BA21" i="135"/>
  <c r="BA29" i="135" s="1"/>
  <c r="BA45" i="135" s="1"/>
  <c r="BA26" i="11" s="1"/>
  <c r="BC49" i="34" s="1"/>
  <c r="BB7" i="135"/>
  <c r="BA12" i="61"/>
  <c r="BA5" i="126"/>
  <c r="AY45" i="131"/>
  <c r="AX17" i="11" s="1"/>
  <c r="AZ21" i="145"/>
  <c r="AZ29" i="145" s="1"/>
  <c r="AZ54" i="145" s="1"/>
  <c r="BA7" i="145"/>
  <c r="AY23" i="11"/>
  <c r="BA43" i="34"/>
  <c r="AY49" i="11"/>
  <c r="BA21" i="132"/>
  <c r="BA29" i="132" s="1"/>
  <c r="BA57" i="132" s="1"/>
  <c r="BA18" i="11" s="1"/>
  <c r="BC39" i="34" s="1"/>
  <c r="S34" i="57" s="1"/>
  <c r="BB7" i="132"/>
  <c r="BA8" i="61"/>
  <c r="AZ7" i="61"/>
  <c r="AZ21" i="131"/>
  <c r="AZ29" i="131" s="1"/>
  <c r="BA7" i="131"/>
  <c r="AZ21" i="134"/>
  <c r="AZ29" i="134" s="1"/>
  <c r="BA7" i="134"/>
  <c r="AZ11" i="61"/>
  <c r="AZ10" i="126"/>
  <c r="AZ17" i="126" s="1"/>
  <c r="AY45" i="107" s="1"/>
  <c r="AW111" i="109" s="1"/>
  <c r="AW147" i="109" s="1"/>
  <c r="BG41" i="134"/>
  <c r="BH42" i="134"/>
  <c r="AY61" i="34"/>
  <c r="H47" i="58"/>
  <c r="R43" i="57"/>
  <c r="R56" i="57" s="1"/>
  <c r="T47" i="58"/>
  <c r="BE33" i="134"/>
  <c r="BB38" i="134"/>
  <c r="AQ86" i="34"/>
  <c r="AQ85" i="34"/>
  <c r="AU82" i="34"/>
  <c r="AS51" i="69"/>
  <c r="AS52" i="69" s="1"/>
  <c r="AR84" i="34"/>
  <c r="AT50" i="69"/>
  <c r="BF36" i="134"/>
  <c r="AK43" i="70"/>
  <c r="AL42" i="70"/>
  <c r="AM8" i="69" s="1"/>
  <c r="BA34" i="134"/>
  <c r="AZ43" i="134"/>
  <c r="BF26" i="134"/>
  <c r="BD32" i="134"/>
  <c r="BE39" i="134"/>
  <c r="BK28" i="134"/>
  <c r="BL28" i="134" s="1"/>
  <c r="BM28" i="134" s="1"/>
  <c r="BG35" i="134"/>
  <c r="BG37" i="134"/>
  <c r="BA19" i="134"/>
  <c r="R7" i="57" l="1"/>
  <c r="AW34" i="34"/>
  <c r="AW66" i="34"/>
  <c r="AW74" i="34" s="1"/>
  <c r="Q67" i="57" s="1"/>
  <c r="AV69" i="34"/>
  <c r="R6" i="57"/>
  <c r="AW13" i="11"/>
  <c r="AY29" i="34" s="1"/>
  <c r="AZ7" i="67"/>
  <c r="AZ11" i="67" s="1"/>
  <c r="AX9" i="11" s="1"/>
  <c r="AX10" i="11" s="1"/>
  <c r="AX29" i="69"/>
  <c r="AW17" i="70" s="1"/>
  <c r="AY61" i="69"/>
  <c r="AY65" i="69" s="1"/>
  <c r="AY17" i="34"/>
  <c r="AY22" i="34" s="1"/>
  <c r="AZ9" i="69" s="1"/>
  <c r="AY9" i="69"/>
  <c r="S11" i="58"/>
  <c r="G11" i="58"/>
  <c r="H11" i="58"/>
  <c r="T11" i="58"/>
  <c r="Q60" i="57"/>
  <c r="Q62" i="57" s="1"/>
  <c r="AY7" i="67"/>
  <c r="AY11" i="67" s="1"/>
  <c r="AW9" i="11" s="1"/>
  <c r="AT78" i="34"/>
  <c r="P67" i="57"/>
  <c r="AZ17" i="34"/>
  <c r="AZ22" i="34" s="1"/>
  <c r="G10" i="58"/>
  <c r="G16" i="58" s="1"/>
  <c r="G21" i="58" s="1"/>
  <c r="S10" i="58"/>
  <c r="H10" i="58"/>
  <c r="T10" i="58"/>
  <c r="BA62" i="69"/>
  <c r="BB63" i="69" s="1"/>
  <c r="BB68" i="69" s="1"/>
  <c r="AZ63" i="69"/>
  <c r="AY68" i="69"/>
  <c r="R12" i="57"/>
  <c r="R17" i="57" s="1"/>
  <c r="U15" i="85" s="1"/>
  <c r="V19" i="116" s="1"/>
  <c r="AX27" i="34"/>
  <c r="AX30" i="34" s="1"/>
  <c r="AX33" i="34" s="1"/>
  <c r="AV10" i="11"/>
  <c r="AV49" i="11" s="1"/>
  <c r="AX13" i="11"/>
  <c r="AZ29" i="34" s="1"/>
  <c r="BE30" i="69"/>
  <c r="BC16" i="70"/>
  <c r="AZ62" i="69"/>
  <c r="BA63" i="69" s="1"/>
  <c r="AZ45" i="136"/>
  <c r="AZ21" i="11" s="1"/>
  <c r="BD42" i="133"/>
  <c r="BE43" i="132"/>
  <c r="BF42" i="132"/>
  <c r="BD25" i="134"/>
  <c r="BD26" i="135"/>
  <c r="BB25" i="136"/>
  <c r="BB37" i="145"/>
  <c r="BC38" i="144"/>
  <c r="BB43" i="144"/>
  <c r="BF34" i="131"/>
  <c r="BC28" i="131"/>
  <c r="BD42" i="136"/>
  <c r="BC25" i="132"/>
  <c r="BH39" i="133"/>
  <c r="BJ38" i="145"/>
  <c r="BI35" i="135"/>
  <c r="BF33" i="136"/>
  <c r="BI38" i="136"/>
  <c r="BB34" i="136"/>
  <c r="BA43" i="136"/>
  <c r="BD40" i="145"/>
  <c r="BB36" i="145"/>
  <c r="BD25" i="133"/>
  <c r="BH26" i="132"/>
  <c r="BE39" i="145"/>
  <c r="BE40" i="136"/>
  <c r="BD48" i="145"/>
  <c r="BD39" i="135"/>
  <c r="BH38" i="135"/>
  <c r="BF33" i="135"/>
  <c r="BF42" i="145"/>
  <c r="BF42" i="135"/>
  <c r="BA52" i="145"/>
  <c r="BB32" i="145"/>
  <c r="BF25" i="145"/>
  <c r="BI28" i="133"/>
  <c r="BD24" i="136"/>
  <c r="BD36" i="135"/>
  <c r="BE33" i="133"/>
  <c r="BG40" i="135"/>
  <c r="BE41" i="131"/>
  <c r="BC24" i="131"/>
  <c r="BK36" i="131"/>
  <c r="BD39" i="136"/>
  <c r="BH47" i="145"/>
  <c r="BA43" i="131"/>
  <c r="BB32" i="131"/>
  <c r="BD37" i="144"/>
  <c r="BJ45" i="145"/>
  <c r="BC43" i="144"/>
  <c r="BF43" i="145"/>
  <c r="BE28" i="136"/>
  <c r="BC34" i="135"/>
  <c r="BB43" i="135"/>
  <c r="BF28" i="145"/>
  <c r="BG50" i="145"/>
  <c r="BI24" i="134"/>
  <c r="BH49" i="145"/>
  <c r="BD34" i="145"/>
  <c r="BC43" i="133"/>
  <c r="BB25" i="135"/>
  <c r="BG38" i="131"/>
  <c r="BD33" i="145"/>
  <c r="BL26" i="133"/>
  <c r="BH36" i="133"/>
  <c r="BI44" i="145"/>
  <c r="BE26" i="131"/>
  <c r="BB26" i="136"/>
  <c r="BL36" i="144"/>
  <c r="BJ34" i="133"/>
  <c r="BE35" i="144"/>
  <c r="BE42" i="144"/>
  <c r="BG32" i="135"/>
  <c r="BD38" i="133"/>
  <c r="BE37" i="133"/>
  <c r="BF37" i="135"/>
  <c r="BD33" i="131"/>
  <c r="BF28" i="144"/>
  <c r="BG26" i="145"/>
  <c r="BP35" i="136"/>
  <c r="BH51" i="145"/>
  <c r="BH39" i="144"/>
  <c r="BR46" i="145"/>
  <c r="BS46" i="145" s="1"/>
  <c r="BJ36" i="136"/>
  <c r="BD27" i="133"/>
  <c r="BC25" i="131"/>
  <c r="BE32" i="144"/>
  <c r="BJ40" i="144"/>
  <c r="BC35" i="145"/>
  <c r="BE35" i="133"/>
  <c r="BD26" i="144"/>
  <c r="BF33" i="144"/>
  <c r="BG40" i="131"/>
  <c r="BF28" i="135"/>
  <c r="BE35" i="131"/>
  <c r="BC20" i="133"/>
  <c r="BG34" i="144"/>
  <c r="BD37" i="131"/>
  <c r="BE28" i="132"/>
  <c r="BH37" i="136"/>
  <c r="AW15" i="70"/>
  <c r="AY63" i="34"/>
  <c r="AZ19" i="144"/>
  <c r="AY29" i="144"/>
  <c r="AY45" i="144" s="1"/>
  <c r="BA48" i="34"/>
  <c r="BA61" i="34" s="1"/>
  <c r="AZ14" i="61"/>
  <c r="AZ38" i="34"/>
  <c r="AZ40" i="34" s="1"/>
  <c r="AZ63" i="34" s="1"/>
  <c r="AX19" i="11"/>
  <c r="AX40" i="11" s="1"/>
  <c r="S44" i="57"/>
  <c r="BA21" i="131"/>
  <c r="BA29" i="131" s="1"/>
  <c r="BB7" i="131"/>
  <c r="BA7" i="61"/>
  <c r="BC7" i="132"/>
  <c r="BB8" i="61"/>
  <c r="BB21" i="132"/>
  <c r="BB29" i="132" s="1"/>
  <c r="BB57" i="132" s="1"/>
  <c r="BB18" i="11" s="1"/>
  <c r="BD39" i="34" s="1"/>
  <c r="BA10" i="126"/>
  <c r="BA17" i="126" s="1"/>
  <c r="AZ45" i="107" s="1"/>
  <c r="BA21" i="136"/>
  <c r="BA29" i="136" s="1"/>
  <c r="BB7" i="136"/>
  <c r="BA10" i="61"/>
  <c r="BA45" i="34"/>
  <c r="AZ45" i="131"/>
  <c r="AY17" i="11" s="1"/>
  <c r="BB5" i="126"/>
  <c r="BB7" i="145"/>
  <c r="BA21" i="145"/>
  <c r="BA29" i="145" s="1"/>
  <c r="BA54" i="145" s="1"/>
  <c r="BC7" i="144"/>
  <c r="BB21" i="144"/>
  <c r="AY28" i="69"/>
  <c r="BA21" i="134"/>
  <c r="BA29" i="134" s="1"/>
  <c r="BB7" i="134"/>
  <c r="BA11" i="61"/>
  <c r="BC7" i="135"/>
  <c r="BB21" i="135"/>
  <c r="BB29" i="135" s="1"/>
  <c r="BB45" i="135" s="1"/>
  <c r="BB26" i="11" s="1"/>
  <c r="BD49" i="34" s="1"/>
  <c r="BB12" i="61"/>
  <c r="AZ23" i="11"/>
  <c r="BB43" i="34"/>
  <c r="BB45" i="34" s="1"/>
  <c r="AZ49" i="11"/>
  <c r="BB7" i="133"/>
  <c r="BA9" i="61"/>
  <c r="BA21" i="133"/>
  <c r="BA29" i="133" s="1"/>
  <c r="BA45" i="133" s="1"/>
  <c r="BA22" i="11" s="1"/>
  <c r="BC44" i="34" s="1"/>
  <c r="AV19" i="70"/>
  <c r="AV41" i="70" s="1"/>
  <c r="BN28" i="134"/>
  <c r="BO28" i="134" s="1"/>
  <c r="BP28" i="134" s="1"/>
  <c r="AZ45" i="134"/>
  <c r="AZ25" i="11" s="1"/>
  <c r="AZ38" i="11" s="1"/>
  <c r="BB34" i="134"/>
  <c r="BA43" i="134"/>
  <c r="BG36" i="134"/>
  <c r="BF33" i="134"/>
  <c r="U17" i="85"/>
  <c r="AU9" i="70"/>
  <c r="AU19" i="70" s="1"/>
  <c r="AU41" i="70" s="1"/>
  <c r="BH37" i="134"/>
  <c r="BE32" i="134"/>
  <c r="BC38" i="134"/>
  <c r="BH41" i="134"/>
  <c r="BH35" i="134"/>
  <c r="BF39" i="134"/>
  <c r="BG26" i="134"/>
  <c r="AM40" i="70"/>
  <c r="AM12" i="69"/>
  <c r="AM24" i="69" s="1"/>
  <c r="AM53" i="69" s="1"/>
  <c r="AR85" i="34"/>
  <c r="AR86" i="34"/>
  <c r="BB19" i="134"/>
  <c r="AT51" i="69"/>
  <c r="AT52" i="69" s="1"/>
  <c r="AS84" i="34"/>
  <c r="BI42" i="134"/>
  <c r="AW78" i="34" l="1"/>
  <c r="Q71" i="57" s="1"/>
  <c r="AW69" i="34"/>
  <c r="S16" i="58"/>
  <c r="S21" i="58" s="1"/>
  <c r="BA68" i="69"/>
  <c r="AZ27" i="34"/>
  <c r="H16" i="58"/>
  <c r="H21" i="58" s="1"/>
  <c r="AX34" i="34"/>
  <c r="AX66" i="34"/>
  <c r="AX74" i="34" s="1"/>
  <c r="AX78" i="34" s="1"/>
  <c r="AX82" i="34" s="1"/>
  <c r="AZ68" i="69"/>
  <c r="AT82" i="34"/>
  <c r="P71" i="57"/>
  <c r="AZ61" i="69"/>
  <c r="AZ65" i="69" s="1"/>
  <c r="AY29" i="69"/>
  <c r="AX17" i="70" s="1"/>
  <c r="BF30" i="69"/>
  <c r="BD16" i="70"/>
  <c r="AY27" i="34"/>
  <c r="AW10" i="11"/>
  <c r="AW49" i="11" s="1"/>
  <c r="AX49" i="11"/>
  <c r="AY13" i="70"/>
  <c r="AX13" i="70"/>
  <c r="S28" i="58"/>
  <c r="H28" i="58"/>
  <c r="T28" i="58"/>
  <c r="R24" i="57"/>
  <c r="T16" i="58"/>
  <c r="T21" i="58" s="1"/>
  <c r="BA9" i="69"/>
  <c r="BA13" i="70" s="1"/>
  <c r="U6" i="85"/>
  <c r="AX33" i="69"/>
  <c r="AX36" i="69" s="1"/>
  <c r="AZ30" i="34"/>
  <c r="AZ33" i="34" s="1"/>
  <c r="AZ34" i="34" s="1"/>
  <c r="G26" i="58"/>
  <c r="G29" i="58" s="1"/>
  <c r="G32" i="58" s="1"/>
  <c r="G33" i="58" s="1"/>
  <c r="S26" i="58"/>
  <c r="BA45" i="136"/>
  <c r="BA21" i="11" s="1"/>
  <c r="BD20" i="133"/>
  <c r="BF35" i="131"/>
  <c r="BG33" i="144"/>
  <c r="BE26" i="144"/>
  <c r="BD25" i="131"/>
  <c r="BI51" i="145"/>
  <c r="BH26" i="145"/>
  <c r="BG28" i="144"/>
  <c r="BH32" i="135"/>
  <c r="BJ44" i="145"/>
  <c r="BE33" i="145"/>
  <c r="BH50" i="145"/>
  <c r="BD34" i="135"/>
  <c r="BC43" i="135"/>
  <c r="BF28" i="136"/>
  <c r="BG43" i="145"/>
  <c r="BG25" i="145"/>
  <c r="BF40" i="136"/>
  <c r="BF39" i="145"/>
  <c r="BE25" i="133"/>
  <c r="BE40" i="145"/>
  <c r="BB43" i="136"/>
  <c r="BC34" i="136"/>
  <c r="BD25" i="132"/>
  <c r="BD38" i="144"/>
  <c r="BF28" i="132"/>
  <c r="BE37" i="131"/>
  <c r="BH34" i="144"/>
  <c r="BH40" i="131"/>
  <c r="BD35" i="145"/>
  <c r="BF32" i="144"/>
  <c r="BK36" i="136"/>
  <c r="BG37" i="135"/>
  <c r="BF37" i="133"/>
  <c r="BC26" i="136"/>
  <c r="BH38" i="131"/>
  <c r="BJ24" i="134"/>
  <c r="BG28" i="145"/>
  <c r="BK45" i="145"/>
  <c r="BL45" i="145" s="1"/>
  <c r="BM45" i="145" s="1"/>
  <c r="BN45" i="145" s="1"/>
  <c r="BO45" i="145" s="1"/>
  <c r="BP45" i="145" s="1"/>
  <c r="BQ45" i="145" s="1"/>
  <c r="BE39" i="136"/>
  <c r="BF41" i="131"/>
  <c r="BF33" i="133"/>
  <c r="BE36" i="135"/>
  <c r="BB52" i="145"/>
  <c r="BC32" i="145"/>
  <c r="BG42" i="135"/>
  <c r="BI38" i="135"/>
  <c r="BG33" i="136"/>
  <c r="BI39" i="133"/>
  <c r="BE26" i="135"/>
  <c r="BF43" i="132"/>
  <c r="BG42" i="132"/>
  <c r="BT46" i="145"/>
  <c r="BI37" i="136"/>
  <c r="BF35" i="133"/>
  <c r="BI39" i="144"/>
  <c r="BF42" i="144"/>
  <c r="BF35" i="144"/>
  <c r="BK34" i="133"/>
  <c r="BM36" i="144"/>
  <c r="BI36" i="133"/>
  <c r="BM26" i="133"/>
  <c r="BE37" i="144"/>
  <c r="BI47" i="145"/>
  <c r="BL36" i="131"/>
  <c r="BD24" i="131"/>
  <c r="BH40" i="135"/>
  <c r="BU46" i="145"/>
  <c r="BJ28" i="133"/>
  <c r="BG33" i="135"/>
  <c r="BE39" i="135"/>
  <c r="BC36" i="145"/>
  <c r="BJ38" i="136"/>
  <c r="BJ35" i="135"/>
  <c r="BK38" i="145"/>
  <c r="BD28" i="131"/>
  <c r="BC37" i="145"/>
  <c r="BC25" i="136"/>
  <c r="BE25" i="134"/>
  <c r="BV46" i="145"/>
  <c r="BG28" i="135"/>
  <c r="BK40" i="144"/>
  <c r="BL40" i="144" s="1"/>
  <c r="BM40" i="144" s="1"/>
  <c r="BN40" i="144" s="1"/>
  <c r="BO40" i="144"/>
  <c r="BP40" i="144" s="1"/>
  <c r="BE27" i="133"/>
  <c r="BE33" i="131"/>
  <c r="BE38" i="133"/>
  <c r="BF26" i="131"/>
  <c r="BC25" i="135"/>
  <c r="BE34" i="145"/>
  <c r="BI49" i="145"/>
  <c r="BB43" i="131"/>
  <c r="BC32" i="131"/>
  <c r="BD43" i="133"/>
  <c r="BE24" i="136"/>
  <c r="BQ35" i="136"/>
  <c r="BG42" i="145"/>
  <c r="BE48" i="145"/>
  <c r="BI26" i="132"/>
  <c r="BE42" i="136"/>
  <c r="BG34" i="131"/>
  <c r="BE42" i="133"/>
  <c r="AZ28" i="69"/>
  <c r="R58" i="57"/>
  <c r="BA19" i="144"/>
  <c r="AZ29" i="144"/>
  <c r="AZ45" i="144" s="1"/>
  <c r="BA28" i="69"/>
  <c r="BD7" i="135"/>
  <c r="BC12" i="61"/>
  <c r="BC21" i="135"/>
  <c r="BC29" i="135" s="1"/>
  <c r="BC45" i="135" s="1"/>
  <c r="BC26" i="11" s="1"/>
  <c r="BE49" i="34" s="1"/>
  <c r="BC7" i="145"/>
  <c r="BB21" i="145"/>
  <c r="BB29" i="145" s="1"/>
  <c r="BB54" i="145" s="1"/>
  <c r="BC21" i="132"/>
  <c r="BC29" i="132" s="1"/>
  <c r="BC57" i="132" s="1"/>
  <c r="BC18" i="11" s="1"/>
  <c r="BE39" i="34" s="1"/>
  <c r="BC8" i="61"/>
  <c r="BD7" i="132"/>
  <c r="BC5" i="126"/>
  <c r="BA45" i="131"/>
  <c r="AZ17" i="11" s="1"/>
  <c r="BB48" i="34"/>
  <c r="BB61" i="34" s="1"/>
  <c r="BC21" i="144"/>
  <c r="BD7" i="144"/>
  <c r="BB10" i="126"/>
  <c r="BB17" i="126" s="1"/>
  <c r="BA45" i="107" s="1"/>
  <c r="BB21" i="136"/>
  <c r="BB29" i="136" s="1"/>
  <c r="BC7" i="136"/>
  <c r="BB10" i="61"/>
  <c r="S39" i="57"/>
  <c r="BA14" i="61"/>
  <c r="R33" i="57"/>
  <c r="R35" i="57" s="1"/>
  <c r="BB21" i="133"/>
  <c r="BB29" i="133" s="1"/>
  <c r="BB45" i="133" s="1"/>
  <c r="BB22" i="11" s="1"/>
  <c r="BD44" i="34" s="1"/>
  <c r="BC7" i="133"/>
  <c r="BB9" i="61"/>
  <c r="BC7" i="134"/>
  <c r="BB11" i="61"/>
  <c r="BB21" i="134"/>
  <c r="BB29" i="134" s="1"/>
  <c r="AX15" i="70"/>
  <c r="BA38" i="34"/>
  <c r="AY19" i="11"/>
  <c r="AY40" i="11" s="1"/>
  <c r="BA23" i="11"/>
  <c r="BA49" i="11"/>
  <c r="BC43" i="34"/>
  <c r="S38" i="57" s="1"/>
  <c r="BC7" i="131"/>
  <c r="BB21" i="131"/>
  <c r="BB29" i="131" s="1"/>
  <c r="BB7" i="61"/>
  <c r="BQ28" i="134"/>
  <c r="BR28" i="134" s="1"/>
  <c r="BI41" i="134"/>
  <c r="BH36" i="134"/>
  <c r="AW82" i="34"/>
  <c r="BJ42" i="134"/>
  <c r="AS86" i="34"/>
  <c r="AS85" i="34"/>
  <c r="BC19" i="134"/>
  <c r="BH26" i="134"/>
  <c r="BD38" i="134"/>
  <c r="BF32" i="134"/>
  <c r="BG33" i="134"/>
  <c r="BA45" i="134"/>
  <c r="BA25" i="11" s="1"/>
  <c r="AL43" i="70"/>
  <c r="AM42" i="70"/>
  <c r="AN8" i="69" s="1"/>
  <c r="BG39" i="134"/>
  <c r="BI35" i="134"/>
  <c r="BI37" i="134"/>
  <c r="BB43" i="134"/>
  <c r="BC34" i="134"/>
  <c r="AX69" i="34" l="1"/>
  <c r="AY33" i="69"/>
  <c r="AY36" i="69" s="1"/>
  <c r="AZ66" i="34"/>
  <c r="AZ74" i="34" s="1"/>
  <c r="AZ78" i="34" s="1"/>
  <c r="AZ82" i="34" s="1"/>
  <c r="AZ9" i="70" s="1"/>
  <c r="S29" i="58"/>
  <c r="S32" i="58" s="1"/>
  <c r="S33" i="58" s="1"/>
  <c r="R22" i="57"/>
  <c r="R25" i="57" s="1"/>
  <c r="R28" i="57" s="1"/>
  <c r="R29" i="57" s="1"/>
  <c r="AY30" i="34"/>
  <c r="AY33" i="34" s="1"/>
  <c r="H26" i="58"/>
  <c r="H29" i="58" s="1"/>
  <c r="H32" i="58" s="1"/>
  <c r="H33" i="58" s="1"/>
  <c r="V22" i="116"/>
  <c r="AZ29" i="69"/>
  <c r="AY17" i="70" s="1"/>
  <c r="BA61" i="69"/>
  <c r="BA65" i="69" s="1"/>
  <c r="T26" i="58"/>
  <c r="T29" i="58" s="1"/>
  <c r="T32" i="58" s="1"/>
  <c r="T33" i="58" s="1"/>
  <c r="AZ13" i="70"/>
  <c r="P75" i="57"/>
  <c r="AT9" i="70"/>
  <c r="AT19" i="70" s="1"/>
  <c r="AT41" i="70" s="1"/>
  <c r="AU50" i="69"/>
  <c r="U13" i="85"/>
  <c r="U19" i="85"/>
  <c r="V31" i="85"/>
  <c r="V6" i="85" s="1"/>
  <c r="U28" i="85"/>
  <c r="BE16" i="70"/>
  <c r="BG30" i="69"/>
  <c r="BB45" i="136"/>
  <c r="BB21" i="11" s="1"/>
  <c r="BB49" i="11" s="1"/>
  <c r="AY15" i="70"/>
  <c r="BH42" i="145"/>
  <c r="BG26" i="131"/>
  <c r="BQ40" i="144"/>
  <c r="BR40" i="144" s="1"/>
  <c r="BK38" i="136"/>
  <c r="BL38" i="136" s="1"/>
  <c r="BM38" i="136" s="1"/>
  <c r="BN38" i="136" s="1"/>
  <c r="BO38" i="136" s="1"/>
  <c r="BP38" i="136" s="1"/>
  <c r="BF39" i="135"/>
  <c r="BH33" i="135"/>
  <c r="BG43" i="132"/>
  <c r="BH42" i="132"/>
  <c r="BJ39" i="133"/>
  <c r="BH42" i="135"/>
  <c r="BE25" i="132"/>
  <c r="BF25" i="133"/>
  <c r="BG39" i="145"/>
  <c r="BK44" i="145"/>
  <c r="BE25" i="131"/>
  <c r="BH34" i="131"/>
  <c r="BF24" i="136"/>
  <c r="BC43" i="131"/>
  <c r="BD32" i="131"/>
  <c r="BD25" i="135"/>
  <c r="BF38" i="133"/>
  <c r="BF33" i="131"/>
  <c r="BR35" i="136"/>
  <c r="BT35" i="136" s="1"/>
  <c r="BF27" i="133"/>
  <c r="BS40" i="144"/>
  <c r="BF25" i="134"/>
  <c r="BD25" i="136"/>
  <c r="BG42" i="144"/>
  <c r="BR45" i="145"/>
  <c r="BD26" i="136"/>
  <c r="BG32" i="144"/>
  <c r="BI40" i="131"/>
  <c r="BI34" i="144"/>
  <c r="BF37" i="131"/>
  <c r="BD34" i="136"/>
  <c r="BC43" i="136"/>
  <c r="BF40" i="145"/>
  <c r="BG40" i="136"/>
  <c r="BH43" i="145"/>
  <c r="BI50" i="145"/>
  <c r="BF33" i="145"/>
  <c r="BI32" i="135"/>
  <c r="BJ51" i="145"/>
  <c r="BJ26" i="132"/>
  <c r="BE28" i="131"/>
  <c r="BM36" i="131"/>
  <c r="BF37" i="144"/>
  <c r="BJ36" i="133"/>
  <c r="BG35" i="144"/>
  <c r="BJ39" i="144"/>
  <c r="BG33" i="133"/>
  <c r="BS45" i="145"/>
  <c r="BI38" i="131"/>
  <c r="BG37" i="133"/>
  <c r="BH37" i="135"/>
  <c r="BL36" i="136"/>
  <c r="BM36" i="136" s="1"/>
  <c r="BN36" i="136" s="1"/>
  <c r="BO36" i="136"/>
  <c r="BP36" i="136" s="1"/>
  <c r="BH25" i="145"/>
  <c r="BD43" i="135"/>
  <c r="BE34" i="135"/>
  <c r="BF26" i="144"/>
  <c r="BG35" i="131"/>
  <c r="BE20" i="133"/>
  <c r="BF42" i="133"/>
  <c r="BF43" i="133" s="1"/>
  <c r="BF42" i="136"/>
  <c r="BF48" i="145"/>
  <c r="BJ49" i="145"/>
  <c r="BF34" i="145"/>
  <c r="BS35" i="136"/>
  <c r="BT40" i="144"/>
  <c r="BV40" i="144" s="1"/>
  <c r="BH28" i="135"/>
  <c r="BD37" i="145"/>
  <c r="BL38" i="145"/>
  <c r="BK35" i="135"/>
  <c r="BD36" i="145"/>
  <c r="BK28" i="133"/>
  <c r="BI40" i="135"/>
  <c r="BE24" i="131"/>
  <c r="BJ47" i="145"/>
  <c r="BN26" i="133"/>
  <c r="BN36" i="144"/>
  <c r="BL34" i="133"/>
  <c r="BG35" i="133"/>
  <c r="BJ37" i="136"/>
  <c r="BF26" i="135"/>
  <c r="BH33" i="136"/>
  <c r="BJ38" i="135"/>
  <c r="BC52" i="145"/>
  <c r="BD32" i="145"/>
  <c r="BF36" i="135"/>
  <c r="BE43" i="133"/>
  <c r="BG41" i="131"/>
  <c r="BF39" i="136"/>
  <c r="BT45" i="145"/>
  <c r="BH28" i="145"/>
  <c r="BK24" i="134"/>
  <c r="BE35" i="145"/>
  <c r="BG28" i="132"/>
  <c r="BE38" i="144"/>
  <c r="BE43" i="144" s="1"/>
  <c r="BD43" i="144"/>
  <c r="BG28" i="136"/>
  <c r="BH28" i="144"/>
  <c r="BI26" i="145"/>
  <c r="BH33" i="144"/>
  <c r="BU40" i="144"/>
  <c r="AZ15" i="70"/>
  <c r="BB19" i="144"/>
  <c r="BA29" i="144"/>
  <c r="BA45" i="144" s="1"/>
  <c r="S40" i="57"/>
  <c r="BC21" i="133"/>
  <c r="BC29" i="133" s="1"/>
  <c r="BC45" i="133" s="1"/>
  <c r="BC22" i="11" s="1"/>
  <c r="BE44" i="34" s="1"/>
  <c r="BD7" i="133"/>
  <c r="BC9" i="61"/>
  <c r="BD43" i="34"/>
  <c r="BC10" i="126"/>
  <c r="BC17" i="126" s="1"/>
  <c r="BB45" i="107" s="1"/>
  <c r="BB38" i="34"/>
  <c r="BB40" i="34" s="1"/>
  <c r="BB63" i="34" s="1"/>
  <c r="AZ19" i="11"/>
  <c r="AZ40" i="11" s="1"/>
  <c r="BD7" i="131"/>
  <c r="BC21" i="131"/>
  <c r="BC29" i="131" s="1"/>
  <c r="BC7" i="61"/>
  <c r="BC10" i="61"/>
  <c r="BC21" i="136"/>
  <c r="BC29" i="136" s="1"/>
  <c r="BD7" i="136"/>
  <c r="BE7" i="144"/>
  <c r="BD21" i="144"/>
  <c r="BD7" i="145"/>
  <c r="BC21" i="145"/>
  <c r="BC29" i="145" s="1"/>
  <c r="BC54" i="145" s="1"/>
  <c r="BB14" i="61"/>
  <c r="BC45" i="34"/>
  <c r="BA40" i="34"/>
  <c r="BA63" i="34" s="1"/>
  <c r="BD5" i="126"/>
  <c r="BB45" i="131"/>
  <c r="BA17" i="11" s="1"/>
  <c r="BD7" i="134"/>
  <c r="BC21" i="134"/>
  <c r="BC29" i="134" s="1"/>
  <c r="BC11" i="61"/>
  <c r="BE7" i="132"/>
  <c r="BD8" i="61"/>
  <c r="BD21" i="132"/>
  <c r="BD29" i="132" s="1"/>
  <c r="BD57" i="132" s="1"/>
  <c r="BD18" i="11" s="1"/>
  <c r="BF39" i="34" s="1"/>
  <c r="T34" i="57" s="1"/>
  <c r="BD12" i="61"/>
  <c r="BD21" i="135"/>
  <c r="BD29" i="135" s="1"/>
  <c r="BD45" i="135" s="1"/>
  <c r="BD26" i="11" s="1"/>
  <c r="BF49" i="34" s="1"/>
  <c r="T44" i="57" s="1"/>
  <c r="BE7" i="135"/>
  <c r="BS28" i="134"/>
  <c r="BT28" i="134" s="1"/>
  <c r="AX9" i="70"/>
  <c r="AX19" i="70" s="1"/>
  <c r="AX41" i="70" s="1"/>
  <c r="BB45" i="134"/>
  <c r="BB25" i="11" s="1"/>
  <c r="BJ37" i="134"/>
  <c r="BJ35" i="134"/>
  <c r="BD19" i="134"/>
  <c r="AW9" i="70"/>
  <c r="AW19" i="70" s="1"/>
  <c r="Q75" i="57"/>
  <c r="BD34" i="134"/>
  <c r="BC43" i="134"/>
  <c r="BA38" i="11"/>
  <c r="BC48" i="34"/>
  <c r="BE38" i="134"/>
  <c r="BK42" i="134"/>
  <c r="BL42" i="134" s="1"/>
  <c r="BM42" i="134" s="1"/>
  <c r="BN42" i="134" s="1"/>
  <c r="AN12" i="69"/>
  <c r="AN24" i="69" s="1"/>
  <c r="AN53" i="69" s="1"/>
  <c r="AN40" i="70"/>
  <c r="BH33" i="134"/>
  <c r="BJ41" i="134"/>
  <c r="BH39" i="134"/>
  <c r="BG32" i="134"/>
  <c r="BI26" i="134"/>
  <c r="BI36" i="134"/>
  <c r="R60" i="57" l="1"/>
  <c r="R62" i="57" s="1"/>
  <c r="AZ69" i="34"/>
  <c r="AZ33" i="69"/>
  <c r="AZ36" i="69" s="1"/>
  <c r="U18" i="85"/>
  <c r="U12" i="85"/>
  <c r="AV50" i="69"/>
  <c r="AT84" i="34"/>
  <c r="AU51" i="69"/>
  <c r="AU52" i="69" s="1"/>
  <c r="W31" i="85"/>
  <c r="W6" i="85" s="1"/>
  <c r="V19" i="85"/>
  <c r="V13" i="85"/>
  <c r="V12" i="85" s="1"/>
  <c r="V28" i="85"/>
  <c r="BA29" i="69"/>
  <c r="BB61" i="69"/>
  <c r="BB65" i="69" s="1"/>
  <c r="AY34" i="34"/>
  <c r="AY66" i="34"/>
  <c r="BF16" i="70"/>
  <c r="BH30" i="69"/>
  <c r="BC45" i="136"/>
  <c r="BC21" i="11" s="1"/>
  <c r="BB23" i="11"/>
  <c r="BQ38" i="136"/>
  <c r="BR38" i="136" s="1"/>
  <c r="BH28" i="136"/>
  <c r="BH35" i="133"/>
  <c r="BM34" i="133"/>
  <c r="BI28" i="135"/>
  <c r="BG34" i="145"/>
  <c r="BK49" i="145"/>
  <c r="BG48" i="145"/>
  <c r="BK39" i="144"/>
  <c r="BK26" i="132"/>
  <c r="BG33" i="145"/>
  <c r="BH40" i="136"/>
  <c r="BJ40" i="131"/>
  <c r="BU45" i="145"/>
  <c r="BV45" i="145" s="1"/>
  <c r="BG33" i="131"/>
  <c r="BI34" i="131"/>
  <c r="BL44" i="145"/>
  <c r="BH39" i="145"/>
  <c r="BG25" i="133"/>
  <c r="BH41" i="131"/>
  <c r="BG36" i="135"/>
  <c r="BE36" i="145"/>
  <c r="BE37" i="145"/>
  <c r="BF20" i="133"/>
  <c r="BH35" i="131"/>
  <c r="BI37" i="135"/>
  <c r="BH37" i="133"/>
  <c r="BH35" i="144"/>
  <c r="BJ32" i="135"/>
  <c r="BI43" i="145"/>
  <c r="BG40" i="145"/>
  <c r="BG37" i="131"/>
  <c r="BJ34" i="144"/>
  <c r="BE26" i="136"/>
  <c r="BH42" i="144"/>
  <c r="BG25" i="134"/>
  <c r="BH43" i="132"/>
  <c r="BI42" i="132"/>
  <c r="BI33" i="135"/>
  <c r="BG39" i="135"/>
  <c r="BH26" i="131"/>
  <c r="BI42" i="145"/>
  <c r="BJ26" i="145"/>
  <c r="BI28" i="144"/>
  <c r="BF38" i="144"/>
  <c r="BH28" i="132"/>
  <c r="BL24" i="134"/>
  <c r="BI28" i="145"/>
  <c r="BG39" i="136"/>
  <c r="BI33" i="136"/>
  <c r="BK37" i="136"/>
  <c r="BO26" i="133"/>
  <c r="BP26" i="133" s="1"/>
  <c r="BQ26" i="133" s="1"/>
  <c r="BR26" i="133" s="1"/>
  <c r="BS26" i="133" s="1"/>
  <c r="BT26" i="133" s="1"/>
  <c r="BK47" i="145"/>
  <c r="BL28" i="133"/>
  <c r="BG42" i="136"/>
  <c r="BG42" i="133"/>
  <c r="BG26" i="144"/>
  <c r="BF34" i="135"/>
  <c r="BE43" i="135"/>
  <c r="BI25" i="145"/>
  <c r="BQ36" i="136"/>
  <c r="BH33" i="133"/>
  <c r="BG27" i="133"/>
  <c r="BG38" i="133"/>
  <c r="BE25" i="135"/>
  <c r="BG24" i="136"/>
  <c r="BF25" i="131"/>
  <c r="BI42" i="135"/>
  <c r="BU35" i="136"/>
  <c r="BV35" i="136" s="1"/>
  <c r="BI33" i="144"/>
  <c r="BF35" i="145"/>
  <c r="BD52" i="145"/>
  <c r="BE32" i="145"/>
  <c r="BK38" i="135"/>
  <c r="BL38" i="135" s="1"/>
  <c r="BM38" i="135" s="1"/>
  <c r="BN38" i="135"/>
  <c r="BO38" i="135" s="1"/>
  <c r="BG26" i="135"/>
  <c r="BO36" i="144"/>
  <c r="BP36" i="144" s="1"/>
  <c r="BQ36" i="144" s="1"/>
  <c r="BR36" i="144" s="1"/>
  <c r="BS36" i="144" s="1"/>
  <c r="BF24" i="131"/>
  <c r="BJ40" i="135"/>
  <c r="BL35" i="135"/>
  <c r="BM35" i="135" s="1"/>
  <c r="BN35" i="135" s="1"/>
  <c r="BO35" i="135" s="1"/>
  <c r="BP35" i="135" s="1"/>
  <c r="BQ35" i="135" s="1"/>
  <c r="BR35" i="135" s="1"/>
  <c r="BM38" i="145"/>
  <c r="BN38" i="145" s="1"/>
  <c r="BO38" i="145" s="1"/>
  <c r="BP38" i="145" s="1"/>
  <c r="BQ38" i="145" s="1"/>
  <c r="BR38" i="145"/>
  <c r="BJ38" i="131"/>
  <c r="BK36" i="133"/>
  <c r="BG37" i="144"/>
  <c r="BN36" i="131"/>
  <c r="BF28" i="131"/>
  <c r="BK51" i="145"/>
  <c r="BL51" i="145" s="1"/>
  <c r="BM51" i="145" s="1"/>
  <c r="BN51" i="145" s="1"/>
  <c r="BO51" i="145" s="1"/>
  <c r="BP51" i="145" s="1"/>
  <c r="BJ50" i="145"/>
  <c r="BE34" i="136"/>
  <c r="BD43" i="136"/>
  <c r="BH32" i="144"/>
  <c r="BE25" i="136"/>
  <c r="BD43" i="131"/>
  <c r="BE32" i="131"/>
  <c r="BF25" i="132"/>
  <c r="BK39" i="133"/>
  <c r="BC19" i="144"/>
  <c r="BB29" i="144"/>
  <c r="BB45" i="144" s="1"/>
  <c r="BC45" i="134"/>
  <c r="BC25" i="11" s="1"/>
  <c r="BE48" i="34" s="1"/>
  <c r="BE61" i="34" s="1"/>
  <c r="BU28" i="134"/>
  <c r="BV28" i="134" s="1"/>
  <c r="BD45" i="34"/>
  <c r="BD21" i="133"/>
  <c r="BD29" i="133" s="1"/>
  <c r="BD45" i="133" s="1"/>
  <c r="BD22" i="11" s="1"/>
  <c r="BF44" i="34" s="1"/>
  <c r="T39" i="57" s="1"/>
  <c r="BD9" i="61"/>
  <c r="BE7" i="133"/>
  <c r="BC38" i="34"/>
  <c r="BA19" i="11"/>
  <c r="BA40" i="11" s="1"/>
  <c r="BE21" i="144"/>
  <c r="BF7" i="144"/>
  <c r="BC14" i="61"/>
  <c r="BD21" i="134"/>
  <c r="BD29" i="134" s="1"/>
  <c r="BE7" i="134"/>
  <c r="BD11" i="61"/>
  <c r="BD10" i="126"/>
  <c r="BD17" i="126" s="1"/>
  <c r="BC45" i="107" s="1"/>
  <c r="BD21" i="136"/>
  <c r="BD29" i="136" s="1"/>
  <c r="BD45" i="136" s="1"/>
  <c r="BD21" i="11" s="1"/>
  <c r="BE7" i="136"/>
  <c r="BD10" i="61"/>
  <c r="BC45" i="131"/>
  <c r="BB17" i="11" s="1"/>
  <c r="BE5" i="126"/>
  <c r="BE8" i="61"/>
  <c r="BE21" i="132"/>
  <c r="BE29" i="132" s="1"/>
  <c r="BE57" i="132" s="1"/>
  <c r="BE18" i="11" s="1"/>
  <c r="BG39" i="34" s="1"/>
  <c r="BF7" i="132"/>
  <c r="BC28" i="69"/>
  <c r="BB66" i="34"/>
  <c r="BE21" i="135"/>
  <c r="BE29" i="135" s="1"/>
  <c r="BE12" i="61"/>
  <c r="BF7" i="135"/>
  <c r="BA66" i="34"/>
  <c r="BB28" i="69"/>
  <c r="BD21" i="145"/>
  <c r="BD29" i="145" s="1"/>
  <c r="BE7" i="145"/>
  <c r="BE43" i="34"/>
  <c r="BE45" i="34" s="1"/>
  <c r="BC49" i="11"/>
  <c r="BC23" i="11"/>
  <c r="BE7" i="131"/>
  <c r="BD21" i="131"/>
  <c r="BD29" i="131" s="1"/>
  <c r="BD7" i="61"/>
  <c r="BO42" i="134"/>
  <c r="BP42" i="134" s="1"/>
  <c r="BQ42" i="134" s="1"/>
  <c r="BK37" i="134"/>
  <c r="BJ36" i="134"/>
  <c r="BI33" i="134"/>
  <c r="BE34" i="134"/>
  <c r="BD43" i="134"/>
  <c r="BE19" i="134"/>
  <c r="BF38" i="134"/>
  <c r="BK35" i="134"/>
  <c r="BD48" i="34"/>
  <c r="BB38" i="11"/>
  <c r="BK41" i="134"/>
  <c r="BL41" i="134" s="1"/>
  <c r="BM41" i="134" s="1"/>
  <c r="BN41" i="134" s="1"/>
  <c r="BO41" i="134" s="1"/>
  <c r="BC61" i="34"/>
  <c r="S43" i="57"/>
  <c r="S56" i="57" s="1"/>
  <c r="BH32" i="134"/>
  <c r="BJ26" i="134"/>
  <c r="BI39" i="134"/>
  <c r="AM43" i="70"/>
  <c r="AN42" i="70"/>
  <c r="AO8" i="69" s="1"/>
  <c r="AW41" i="70"/>
  <c r="BG16" i="70" l="1"/>
  <c r="BI30" i="69"/>
  <c r="V18" i="85"/>
  <c r="BC61" i="69"/>
  <c r="BC65" i="69" s="1"/>
  <c r="BB29" i="69"/>
  <c r="BA17" i="70" s="1"/>
  <c r="AT86" i="34"/>
  <c r="AT85" i="34"/>
  <c r="AZ17" i="70"/>
  <c r="AZ19" i="70" s="1"/>
  <c r="AZ41" i="70" s="1"/>
  <c r="BA33" i="69"/>
  <c r="BA36" i="69" s="1"/>
  <c r="AU84" i="34"/>
  <c r="AW50" i="69"/>
  <c r="AV51" i="69"/>
  <c r="AV52" i="69" s="1"/>
  <c r="AY69" i="34"/>
  <c r="AY74" i="34"/>
  <c r="X6" i="85"/>
  <c r="W19" i="85"/>
  <c r="W13" i="85"/>
  <c r="W12" i="85" s="1"/>
  <c r="W28" i="85"/>
  <c r="BE45" i="135"/>
  <c r="BE26" i="11" s="1"/>
  <c r="BG49" i="34" s="1"/>
  <c r="BD54" i="145"/>
  <c r="BS38" i="136"/>
  <c r="BT38" i="136"/>
  <c r="BQ51" i="145"/>
  <c r="BG28" i="131"/>
  <c r="BK40" i="135"/>
  <c r="BT36" i="144"/>
  <c r="BU36" i="144" s="1"/>
  <c r="BJ25" i="145"/>
  <c r="BJ33" i="136"/>
  <c r="BM24" i="134"/>
  <c r="BG38" i="144"/>
  <c r="BF26" i="136"/>
  <c r="BK34" i="144"/>
  <c r="BK32" i="135"/>
  <c r="BF37" i="145"/>
  <c r="BV36" i="144"/>
  <c r="BI41" i="131"/>
  <c r="BH25" i="133"/>
  <c r="BH33" i="131"/>
  <c r="BK40" i="131"/>
  <c r="BL26" i="132"/>
  <c r="BM26" i="132" s="1"/>
  <c r="BN26" i="132" s="1"/>
  <c r="BO26" i="132" s="1"/>
  <c r="BP26" i="132" s="1"/>
  <c r="BL39" i="144"/>
  <c r="BL49" i="145"/>
  <c r="BJ28" i="135"/>
  <c r="BI35" i="133"/>
  <c r="BG25" i="132"/>
  <c r="BH37" i="144"/>
  <c r="BG35" i="145"/>
  <c r="BG25" i="131"/>
  <c r="BH27" i="133"/>
  <c r="BI27" i="133" s="1"/>
  <c r="BJ27" i="133" s="1"/>
  <c r="BK27" i="133" s="1"/>
  <c r="BL27" i="133" s="1"/>
  <c r="BM27" i="133" s="1"/>
  <c r="BN27" i="133" s="1"/>
  <c r="BI33" i="133"/>
  <c r="BH26" i="144"/>
  <c r="BM28" i="133"/>
  <c r="BH39" i="136"/>
  <c r="BI28" i="132"/>
  <c r="BJ42" i="145"/>
  <c r="BH39" i="135"/>
  <c r="BJ33" i="135"/>
  <c r="BI42" i="144"/>
  <c r="BG20" i="133"/>
  <c r="BH36" i="135"/>
  <c r="BJ34" i="131"/>
  <c r="BH33" i="145"/>
  <c r="BH34" i="145"/>
  <c r="BN34" i="133"/>
  <c r="BL39" i="133"/>
  <c r="BE43" i="131"/>
  <c r="BF32" i="131"/>
  <c r="BK50" i="145"/>
  <c r="BK38" i="131"/>
  <c r="BS38" i="145"/>
  <c r="BG24" i="131"/>
  <c r="BE52" i="145"/>
  <c r="BF32" i="145"/>
  <c r="BF25" i="135"/>
  <c r="BH38" i="133"/>
  <c r="BR36" i="136"/>
  <c r="BS36" i="136" s="1"/>
  <c r="BH42" i="136"/>
  <c r="BL47" i="145"/>
  <c r="BU26" i="133"/>
  <c r="BV26" i="133" s="1"/>
  <c r="BJ28" i="145"/>
  <c r="BK26" i="145"/>
  <c r="BF43" i="144"/>
  <c r="BH40" i="145"/>
  <c r="BJ43" i="145"/>
  <c r="BJ37" i="135"/>
  <c r="BT38" i="145"/>
  <c r="BU38" i="145" s="1"/>
  <c r="BF36" i="145"/>
  <c r="BM44" i="145"/>
  <c r="BN44" i="145" s="1"/>
  <c r="BO44" i="145" s="1"/>
  <c r="BP44" i="145" s="1"/>
  <c r="BI40" i="136"/>
  <c r="BI28" i="136"/>
  <c r="BF25" i="136"/>
  <c r="BI32" i="144"/>
  <c r="BE43" i="136"/>
  <c r="BF34" i="136"/>
  <c r="BO36" i="131"/>
  <c r="BP36" i="131" s="1"/>
  <c r="BQ36" i="131" s="1"/>
  <c r="BR36" i="131" s="1"/>
  <c r="BS36" i="131" s="1"/>
  <c r="BT36" i="131" s="1"/>
  <c r="BL36" i="133"/>
  <c r="BM36" i="133" s="1"/>
  <c r="BN36" i="133" s="1"/>
  <c r="BO36" i="133" s="1"/>
  <c r="BP36" i="133" s="1"/>
  <c r="BQ36" i="133" s="1"/>
  <c r="BH26" i="135"/>
  <c r="BP38" i="135"/>
  <c r="BJ33" i="144"/>
  <c r="BJ42" i="135"/>
  <c r="BH24" i="136"/>
  <c r="BG43" i="133"/>
  <c r="BF43" i="135"/>
  <c r="BG34" i="135"/>
  <c r="BH42" i="133"/>
  <c r="BL37" i="136"/>
  <c r="BJ28" i="144"/>
  <c r="BI26" i="131"/>
  <c r="BI43" i="132"/>
  <c r="BJ42" i="132"/>
  <c r="BH25" i="134"/>
  <c r="BH37" i="131"/>
  <c r="BI35" i="144"/>
  <c r="BI37" i="133"/>
  <c r="BI35" i="131"/>
  <c r="BS35" i="135"/>
  <c r="BI39" i="145"/>
  <c r="BH48" i="145"/>
  <c r="BC38" i="11"/>
  <c r="BD19" i="144"/>
  <c r="BC29" i="144"/>
  <c r="BC45" i="144" s="1"/>
  <c r="BF7" i="145"/>
  <c r="BE21" i="145"/>
  <c r="BE29" i="145" s="1"/>
  <c r="BA74" i="34"/>
  <c r="BA78" i="34" s="1"/>
  <c r="BA82" i="34" s="1"/>
  <c r="BA69" i="34"/>
  <c r="BB69" i="34"/>
  <c r="BB74" i="34"/>
  <c r="BB78" i="34" s="1"/>
  <c r="BB82" i="34" s="1"/>
  <c r="BB9" i="70" s="1"/>
  <c r="BE21" i="133"/>
  <c r="BE29" i="133" s="1"/>
  <c r="BE45" i="133" s="1"/>
  <c r="BE22" i="11" s="1"/>
  <c r="BG44" i="34" s="1"/>
  <c r="BE9" i="61"/>
  <c r="BF7" i="133"/>
  <c r="BR42" i="134"/>
  <c r="BS42" i="134" s="1"/>
  <c r="BG7" i="135"/>
  <c r="BF12" i="61"/>
  <c r="BF21" i="135"/>
  <c r="BF29" i="135" s="1"/>
  <c r="BB15" i="70"/>
  <c r="BE10" i="61"/>
  <c r="BF7" i="136"/>
  <c r="BE21" i="136"/>
  <c r="BE29" i="136" s="1"/>
  <c r="BE45" i="136" s="1"/>
  <c r="BE21" i="11" s="1"/>
  <c r="BG7" i="144"/>
  <c r="BF21" i="144"/>
  <c r="BC40" i="34"/>
  <c r="BC63" i="34" s="1"/>
  <c r="BC66" i="34" s="1"/>
  <c r="S33" i="57"/>
  <c r="S35" i="57" s="1"/>
  <c r="S60" i="57" s="1"/>
  <c r="S62" i="57" s="1"/>
  <c r="BF7" i="131"/>
  <c r="BE21" i="131"/>
  <c r="BE29" i="131" s="1"/>
  <c r="BE7" i="61"/>
  <c r="BD14" i="61"/>
  <c r="BF21" i="132"/>
  <c r="BF29" i="132" s="1"/>
  <c r="BF57" i="132" s="1"/>
  <c r="BF18" i="11" s="1"/>
  <c r="BH39" i="34" s="1"/>
  <c r="BG7" i="132"/>
  <c r="BF8" i="61"/>
  <c r="BE10" i="126"/>
  <c r="BE17" i="126" s="1"/>
  <c r="BD45" i="107" s="1"/>
  <c r="BD49" i="11"/>
  <c r="BF43" i="34"/>
  <c r="BF45" i="34" s="1"/>
  <c r="BD23" i="11"/>
  <c r="BD45" i="131"/>
  <c r="BC17" i="11" s="1"/>
  <c r="BF5" i="126"/>
  <c r="BA15" i="70"/>
  <c r="BB33" i="69"/>
  <c r="BB36" i="69" s="1"/>
  <c r="BD38" i="34"/>
  <c r="BB19" i="11"/>
  <c r="BB40" i="11" s="1"/>
  <c r="BF7" i="134"/>
  <c r="BE21" i="134"/>
  <c r="BE29" i="134" s="1"/>
  <c r="BE11" i="61"/>
  <c r="BP41" i="134"/>
  <c r="BQ41" i="134" s="1"/>
  <c r="BK26" i="134"/>
  <c r="BG38" i="134"/>
  <c r="BD45" i="134"/>
  <c r="BD25" i="11" s="1"/>
  <c r="BJ33" i="134"/>
  <c r="BL35" i="134"/>
  <c r="BM35" i="134" s="1"/>
  <c r="BN35" i="134" s="1"/>
  <c r="BO35" i="134" s="1"/>
  <c r="BF34" i="134"/>
  <c r="BE43" i="134"/>
  <c r="BK36" i="134"/>
  <c r="BL36" i="134" s="1"/>
  <c r="BM36" i="134" s="1"/>
  <c r="BN36" i="134" s="1"/>
  <c r="BO36" i="134" s="1"/>
  <c r="BP36" i="134" s="1"/>
  <c r="BQ36" i="134" s="1"/>
  <c r="BI32" i="134"/>
  <c r="BD61" i="34"/>
  <c r="BL37" i="134"/>
  <c r="AO12" i="69"/>
  <c r="AO24" i="69" s="1"/>
  <c r="AO53" i="69" s="1"/>
  <c r="N24" i="85"/>
  <c r="T24" i="85" s="1"/>
  <c r="U24" i="85" s="1"/>
  <c r="V24" i="85" s="1"/>
  <c r="W24" i="85" s="1"/>
  <c r="AO40" i="70"/>
  <c r="AO42" i="70" s="1"/>
  <c r="AP8" i="69" s="1"/>
  <c r="BJ39" i="134"/>
  <c r="BF19" i="134"/>
  <c r="X24" i="85" l="1"/>
  <c r="BD61" i="69"/>
  <c r="BD65" i="69" s="1"/>
  <c r="BC29" i="69"/>
  <c r="X19" i="85"/>
  <c r="Y6" i="85"/>
  <c r="X13" i="85"/>
  <c r="X28" i="85"/>
  <c r="AX50" i="69"/>
  <c r="AV84" i="34"/>
  <c r="AW51" i="69"/>
  <c r="AW52" i="69" s="1"/>
  <c r="AY78" i="34"/>
  <c r="R67" i="57"/>
  <c r="T71" i="58"/>
  <c r="AU85" i="34"/>
  <c r="AU86" i="34"/>
  <c r="BH16" i="70"/>
  <c r="BJ30" i="69"/>
  <c r="W18" i="85"/>
  <c r="BO27" i="133"/>
  <c r="BP27" i="133" s="1"/>
  <c r="BQ27" i="133" s="1"/>
  <c r="BR27" i="133" s="1"/>
  <c r="BS27" i="133" s="1"/>
  <c r="BT27" i="133" s="1"/>
  <c r="BU27" i="133" s="1"/>
  <c r="BV27" i="133" s="1"/>
  <c r="BE54" i="145"/>
  <c r="BF45" i="135"/>
  <c r="BF26" i="11" s="1"/>
  <c r="BH49" i="34" s="1"/>
  <c r="BQ26" i="132"/>
  <c r="BV38" i="145"/>
  <c r="BQ44" i="145"/>
  <c r="BR44" i="145" s="1"/>
  <c r="BS44" i="145" s="1"/>
  <c r="BT36" i="136"/>
  <c r="BI48" i="145"/>
  <c r="BJ35" i="131"/>
  <c r="BR36" i="133"/>
  <c r="BJ32" i="144"/>
  <c r="BG25" i="136"/>
  <c r="BL26" i="145"/>
  <c r="BL50" i="145"/>
  <c r="BK42" i="145"/>
  <c r="BI26" i="144"/>
  <c r="BJ33" i="133"/>
  <c r="BH25" i="132"/>
  <c r="BJ41" i="131"/>
  <c r="BG26" i="136"/>
  <c r="BK33" i="136"/>
  <c r="BR51" i="145"/>
  <c r="BJ39" i="145"/>
  <c r="BJ37" i="133"/>
  <c r="BJ35" i="144"/>
  <c r="BJ43" i="132"/>
  <c r="BK42" i="132"/>
  <c r="BM37" i="136"/>
  <c r="BN37" i="136" s="1"/>
  <c r="BO37" i="136" s="1"/>
  <c r="BP37" i="136" s="1"/>
  <c r="BQ37" i="136" s="1"/>
  <c r="BI42" i="133"/>
  <c r="BK33" i="144"/>
  <c r="BL33" i="144" s="1"/>
  <c r="BM33" i="144" s="1"/>
  <c r="BN33" i="144"/>
  <c r="BJ28" i="136"/>
  <c r="BJ40" i="136"/>
  <c r="BG36" i="145"/>
  <c r="BK28" i="145"/>
  <c r="BI42" i="136"/>
  <c r="BI38" i="133"/>
  <c r="BG25" i="135"/>
  <c r="BQ38" i="135"/>
  <c r="BR38" i="135" s="1"/>
  <c r="BM39" i="133"/>
  <c r="BT35" i="135"/>
  <c r="BO34" i="133"/>
  <c r="BI34" i="145"/>
  <c r="BI33" i="145"/>
  <c r="BJ42" i="144"/>
  <c r="BI37" i="144"/>
  <c r="BK28" i="135"/>
  <c r="BM39" i="144"/>
  <c r="BR26" i="132"/>
  <c r="BH38" i="144"/>
  <c r="BU35" i="135"/>
  <c r="BV35" i="135" s="1"/>
  <c r="BU38" i="136"/>
  <c r="BV38" i="136" s="1"/>
  <c r="BI37" i="131"/>
  <c r="BH34" i="135"/>
  <c r="BG43" i="135"/>
  <c r="BI24" i="136"/>
  <c r="BU36" i="131"/>
  <c r="BV36" i="131" s="1"/>
  <c r="BK37" i="135"/>
  <c r="BF52" i="145"/>
  <c r="BG32" i="145"/>
  <c r="BK34" i="131"/>
  <c r="BI36" i="135"/>
  <c r="BK33" i="135"/>
  <c r="BI39" i="135"/>
  <c r="BH43" i="133"/>
  <c r="BH35" i="145"/>
  <c r="BJ35" i="133"/>
  <c r="BM49" i="145"/>
  <c r="BS26" i="132"/>
  <c r="BL40" i="131"/>
  <c r="BI33" i="131"/>
  <c r="BI25" i="133"/>
  <c r="BU36" i="136"/>
  <c r="BV36" i="136" s="1"/>
  <c r="BN24" i="134"/>
  <c r="BO24" i="134" s="1"/>
  <c r="BP24" i="134" s="1"/>
  <c r="BQ24" i="134" s="1"/>
  <c r="BR24" i="134" s="1"/>
  <c r="BS24" i="134" s="1"/>
  <c r="BK25" i="145"/>
  <c r="BH28" i="131"/>
  <c r="BG43" i="144"/>
  <c r="BI25" i="134"/>
  <c r="BJ26" i="131"/>
  <c r="BK28" i="144"/>
  <c r="BL28" i="144" s="1"/>
  <c r="BM28" i="144" s="1"/>
  <c r="BN28" i="144" s="1"/>
  <c r="BO28" i="144"/>
  <c r="BP28" i="144" s="1"/>
  <c r="BQ28" i="144" s="1"/>
  <c r="BK42" i="135"/>
  <c r="BI26" i="135"/>
  <c r="BG34" i="136"/>
  <c r="BF43" i="136"/>
  <c r="BK43" i="145"/>
  <c r="BI40" i="145"/>
  <c r="BM47" i="145"/>
  <c r="BH24" i="131"/>
  <c r="BL38" i="131"/>
  <c r="BF43" i="131"/>
  <c r="BG32" i="131"/>
  <c r="BH20" i="133"/>
  <c r="BJ28" i="132"/>
  <c r="BI39" i="136"/>
  <c r="BN28" i="133"/>
  <c r="BO28" i="133" s="1"/>
  <c r="BP28" i="133" s="1"/>
  <c r="BQ28" i="133" s="1"/>
  <c r="BR28" i="133" s="1"/>
  <c r="BS28" i="133" s="1"/>
  <c r="BH25" i="131"/>
  <c r="BG37" i="145"/>
  <c r="BL32" i="135"/>
  <c r="BL34" i="144"/>
  <c r="BL40" i="135"/>
  <c r="BE19" i="144"/>
  <c r="BD29" i="144"/>
  <c r="BD45" i="144" s="1"/>
  <c r="BT42" i="134"/>
  <c r="BU42" i="134" s="1"/>
  <c r="BV42" i="134" s="1"/>
  <c r="S58" i="57"/>
  <c r="BD28" i="69"/>
  <c r="BF21" i="134"/>
  <c r="BF29" i="134" s="1"/>
  <c r="BG7" i="134"/>
  <c r="BF11" i="61"/>
  <c r="BE38" i="34"/>
  <c r="BE40" i="34" s="1"/>
  <c r="BE63" i="34" s="1"/>
  <c r="BC19" i="11"/>
  <c r="BC40" i="11" s="1"/>
  <c r="BG5" i="126"/>
  <c r="BE45" i="131"/>
  <c r="BD17" i="11" s="1"/>
  <c r="BH7" i="132"/>
  <c r="BG21" i="132"/>
  <c r="BG29" i="132" s="1"/>
  <c r="BG57" i="132" s="1"/>
  <c r="BG18" i="11" s="1"/>
  <c r="BI39" i="34" s="1"/>
  <c r="U34" i="57" s="1"/>
  <c r="BG8" i="61"/>
  <c r="BF7" i="61"/>
  <c r="BG7" i="131"/>
  <c r="BF21" i="131"/>
  <c r="BF29" i="131" s="1"/>
  <c r="BG21" i="144"/>
  <c r="BH7" i="144"/>
  <c r="BG21" i="135"/>
  <c r="BG29" i="135" s="1"/>
  <c r="BG45" i="135" s="1"/>
  <c r="BG26" i="11" s="1"/>
  <c r="BI49" i="34" s="1"/>
  <c r="BH7" i="135"/>
  <c r="BG12" i="61"/>
  <c r="BD40" i="34"/>
  <c r="BD63" i="34" s="1"/>
  <c r="BE23" i="11"/>
  <c r="BE49" i="11"/>
  <c r="BG43" i="34"/>
  <c r="T38" i="57"/>
  <c r="T40" i="57" s="1"/>
  <c r="BF10" i="126"/>
  <c r="BF17" i="126" s="1"/>
  <c r="BE45" i="107" s="1"/>
  <c r="BE14" i="61"/>
  <c r="BF21" i="136"/>
  <c r="BF29" i="136" s="1"/>
  <c r="BF45" i="136" s="1"/>
  <c r="BF21" i="11" s="1"/>
  <c r="BG7" i="136"/>
  <c r="BF10" i="61"/>
  <c r="BG7" i="133"/>
  <c r="BF21" i="133"/>
  <c r="BF29" i="133" s="1"/>
  <c r="BF45" i="133" s="1"/>
  <c r="BF22" i="11" s="1"/>
  <c r="BH44" i="34" s="1"/>
  <c r="BF9" i="61"/>
  <c r="BG7" i="145"/>
  <c r="BF21" i="145"/>
  <c r="BF29" i="145" s="1"/>
  <c r="BR41" i="134"/>
  <c r="BS41" i="134" s="1"/>
  <c r="BP35" i="134"/>
  <c r="BQ35" i="134" s="1"/>
  <c r="BM37" i="134"/>
  <c r="BN37" i="134" s="1"/>
  <c r="BO37" i="134" s="1"/>
  <c r="BP37" i="134" s="1"/>
  <c r="BJ32" i="134"/>
  <c r="BR36" i="134"/>
  <c r="BE45" i="134"/>
  <c r="BE25" i="11" s="1"/>
  <c r="BA9" i="70"/>
  <c r="BA19" i="70" s="1"/>
  <c r="BA41" i="70" s="1"/>
  <c r="BK33" i="134"/>
  <c r="BG34" i="134"/>
  <c r="BF43" i="134"/>
  <c r="BC74" i="34"/>
  <c r="BC69" i="34"/>
  <c r="BF48" i="34"/>
  <c r="BD38" i="11"/>
  <c r="BH38" i="134"/>
  <c r="BL26" i="134"/>
  <c r="BM26" i="134" s="1"/>
  <c r="BN26" i="134" s="1"/>
  <c r="BO26" i="134" s="1"/>
  <c r="BP26" i="134" s="1"/>
  <c r="BQ26" i="134" s="1"/>
  <c r="BR26" i="134" s="1"/>
  <c r="BG19" i="134"/>
  <c r="BK39" i="134"/>
  <c r="AP40" i="70"/>
  <c r="AP12" i="69"/>
  <c r="AP24" i="69" s="1"/>
  <c r="AP53" i="69" s="1"/>
  <c r="AY82" i="34" l="1"/>
  <c r="R71" i="57"/>
  <c r="X18" i="85"/>
  <c r="BB17" i="70"/>
  <c r="BB19" i="70" s="1"/>
  <c r="BB41" i="70" s="1"/>
  <c r="BC33" i="69"/>
  <c r="BC36" i="69" s="1"/>
  <c r="BI16" i="70"/>
  <c r="BK30" i="69"/>
  <c r="AV85" i="34"/>
  <c r="AV86" i="34"/>
  <c r="Y19" i="85"/>
  <c r="Y13" i="85"/>
  <c r="Y12" i="85" s="1"/>
  <c r="Y28" i="85"/>
  <c r="BD29" i="69"/>
  <c r="BC17" i="70" s="1"/>
  <c r="BE61" i="69"/>
  <c r="BE65" i="69" s="1"/>
  <c r="AY50" i="69"/>
  <c r="AX51" i="69"/>
  <c r="AX52" i="69" s="1"/>
  <c r="AW84" i="34"/>
  <c r="X12" i="85"/>
  <c r="Y24" i="85"/>
  <c r="U44" i="57"/>
  <c r="BF54" i="145"/>
  <c r="BS38" i="135"/>
  <c r="BR37" i="136"/>
  <c r="BM34" i="144"/>
  <c r="BH37" i="145"/>
  <c r="BJ39" i="136"/>
  <c r="BN47" i="145"/>
  <c r="BO47" i="145" s="1"/>
  <c r="BP47" i="145" s="1"/>
  <c r="BQ47" i="145" s="1"/>
  <c r="BR47" i="145" s="1"/>
  <c r="BN49" i="145"/>
  <c r="BO49" i="145" s="1"/>
  <c r="BP49" i="145" s="1"/>
  <c r="BQ49" i="145" s="1"/>
  <c r="BR49" i="145" s="1"/>
  <c r="BS49" i="145" s="1"/>
  <c r="BL34" i="131"/>
  <c r="BM34" i="131" s="1"/>
  <c r="BN34" i="131" s="1"/>
  <c r="BO34" i="131" s="1"/>
  <c r="BP34" i="131"/>
  <c r="BG52" i="145"/>
  <c r="BH32" i="145"/>
  <c r="BI38" i="144"/>
  <c r="BH43" i="144"/>
  <c r="BL28" i="135"/>
  <c r="BJ38" i="133"/>
  <c r="BK28" i="136"/>
  <c r="BO33" i="144"/>
  <c r="BP33" i="144" s="1"/>
  <c r="BI43" i="133"/>
  <c r="BM50" i="145"/>
  <c r="BM26" i="145"/>
  <c r="BH25" i="136"/>
  <c r="BT36" i="133"/>
  <c r="BS36" i="133"/>
  <c r="BK35" i="131"/>
  <c r="BK28" i="132"/>
  <c r="BI24" i="131"/>
  <c r="BJ26" i="135"/>
  <c r="BL25" i="145"/>
  <c r="BT24" i="134"/>
  <c r="BJ25" i="133"/>
  <c r="BM40" i="131"/>
  <c r="BK35" i="133"/>
  <c r="BJ39" i="135"/>
  <c r="BJ37" i="131"/>
  <c r="BJ33" i="145"/>
  <c r="BN39" i="133"/>
  <c r="BH25" i="135"/>
  <c r="BS47" i="145"/>
  <c r="BH36" i="145"/>
  <c r="BJ42" i="133"/>
  <c r="BK43" i="132"/>
  <c r="BL42" i="132"/>
  <c r="BK37" i="133"/>
  <c r="BK41" i="131"/>
  <c r="BL42" i="145"/>
  <c r="BK32" i="144"/>
  <c r="BT44" i="145"/>
  <c r="BU44" i="145" s="1"/>
  <c r="BM32" i="135"/>
  <c r="BI25" i="131"/>
  <c r="BG43" i="131"/>
  <c r="BH32" i="131"/>
  <c r="BJ40" i="145"/>
  <c r="BL43" i="145"/>
  <c r="BM43" i="145" s="1"/>
  <c r="BN43" i="145" s="1"/>
  <c r="BO43" i="145" s="1"/>
  <c r="BP43" i="145" s="1"/>
  <c r="BH34" i="136"/>
  <c r="BG43" i="136"/>
  <c r="BJ25" i="134"/>
  <c r="BJ33" i="131"/>
  <c r="BI35" i="145"/>
  <c r="BL33" i="135"/>
  <c r="BM33" i="135" s="1"/>
  <c r="BN33" i="135" s="1"/>
  <c r="BO33" i="135" s="1"/>
  <c r="BP33" i="135" s="1"/>
  <c r="BJ36" i="135"/>
  <c r="BL37" i="135"/>
  <c r="BM37" i="135" s="1"/>
  <c r="BN37" i="135" s="1"/>
  <c r="BO37" i="135" s="1"/>
  <c r="BP37" i="135" s="1"/>
  <c r="BQ37" i="135" s="1"/>
  <c r="BH43" i="135"/>
  <c r="BI34" i="135"/>
  <c r="BJ37" i="144"/>
  <c r="BT28" i="133"/>
  <c r="BU28" i="133" s="1"/>
  <c r="BV28" i="133" s="1"/>
  <c r="BK42" i="144"/>
  <c r="BJ34" i="145"/>
  <c r="BP34" i="133"/>
  <c r="BQ34" i="133" s="1"/>
  <c r="BR34" i="133" s="1"/>
  <c r="BS34" i="133" s="1"/>
  <c r="BT34" i="133"/>
  <c r="BU34" i="133" s="1"/>
  <c r="BV34" i="133" s="1"/>
  <c r="BL28" i="145"/>
  <c r="BK35" i="144"/>
  <c r="BH26" i="136"/>
  <c r="BS28" i="144"/>
  <c r="BM40" i="135"/>
  <c r="BI20" i="133"/>
  <c r="BM38" i="131"/>
  <c r="BL42" i="135"/>
  <c r="BR28" i="144"/>
  <c r="BT28" i="144" s="1"/>
  <c r="BU28" i="144" s="1"/>
  <c r="BK26" i="131"/>
  <c r="BI28" i="131"/>
  <c r="BU24" i="134"/>
  <c r="BV24" i="134" s="1"/>
  <c r="BJ24" i="136"/>
  <c r="BN39" i="144"/>
  <c r="BJ42" i="136"/>
  <c r="BK40" i="136"/>
  <c r="BS37" i="136"/>
  <c r="BT37" i="136" s="1"/>
  <c r="BU37" i="136" s="1"/>
  <c r="BV37" i="136" s="1"/>
  <c r="BK39" i="145"/>
  <c r="BS51" i="145"/>
  <c r="BL33" i="136"/>
  <c r="BT26" i="132"/>
  <c r="BU26" i="132" s="1"/>
  <c r="BV26" i="132" s="1"/>
  <c r="BI25" i="132"/>
  <c r="BJ43" i="133"/>
  <c r="BK33" i="133"/>
  <c r="BJ26" i="144"/>
  <c r="BI43" i="144"/>
  <c r="BJ48" i="145"/>
  <c r="BV44" i="145"/>
  <c r="BF19" i="144"/>
  <c r="BE29" i="144"/>
  <c r="BE45" i="144" s="1"/>
  <c r="BC15" i="70"/>
  <c r="BT41" i="134"/>
  <c r="BU41" i="134" s="1"/>
  <c r="BV41" i="134" s="1"/>
  <c r="BD66" i="34"/>
  <c r="BD69" i="34" s="1"/>
  <c r="BE28" i="69"/>
  <c r="BD15" i="70" s="1"/>
  <c r="BG21" i="145"/>
  <c r="BG29" i="145" s="1"/>
  <c r="BH7" i="145"/>
  <c r="BI7" i="135"/>
  <c r="BH12" i="61"/>
  <c r="BH21" i="135"/>
  <c r="BH29" i="135" s="1"/>
  <c r="BF45" i="131"/>
  <c r="BE17" i="11" s="1"/>
  <c r="BH5" i="126"/>
  <c r="BG10" i="126"/>
  <c r="BG17" i="126" s="1"/>
  <c r="BF45" i="107" s="1"/>
  <c r="BG21" i="134"/>
  <c r="BG29" i="134" s="1"/>
  <c r="BH7" i="134"/>
  <c r="BG11" i="61"/>
  <c r="BF38" i="34"/>
  <c r="BD19" i="11"/>
  <c r="BD40" i="11" s="1"/>
  <c r="BH7" i="136"/>
  <c r="BG21" i="136"/>
  <c r="BG29" i="136" s="1"/>
  <c r="BG45" i="136" s="1"/>
  <c r="BG21" i="11" s="1"/>
  <c r="BG10" i="61"/>
  <c r="BG21" i="131"/>
  <c r="BG29" i="131" s="1"/>
  <c r="BH7" i="131"/>
  <c r="BG7" i="61"/>
  <c r="BH21" i="132"/>
  <c r="BH29" i="132" s="1"/>
  <c r="BH57" i="132" s="1"/>
  <c r="BH18" i="11" s="1"/>
  <c r="BJ39" i="34" s="1"/>
  <c r="BH8" i="61"/>
  <c r="BI7" i="132"/>
  <c r="BG21" i="133"/>
  <c r="BG29" i="133" s="1"/>
  <c r="BG45" i="133" s="1"/>
  <c r="BG22" i="11" s="1"/>
  <c r="BI44" i="34" s="1"/>
  <c r="U39" i="57" s="1"/>
  <c r="BH7" i="133"/>
  <c r="BG9" i="61"/>
  <c r="BG45" i="34"/>
  <c r="BF23" i="11"/>
  <c r="BH43" i="34"/>
  <c r="BH45" i="34" s="1"/>
  <c r="BF49" i="11"/>
  <c r="BH21" i="144"/>
  <c r="BI7" i="144"/>
  <c r="BF14" i="61"/>
  <c r="BE66" i="34"/>
  <c r="BF28" i="69"/>
  <c r="BS26" i="134"/>
  <c r="BT26" i="134" s="1"/>
  <c r="BU26" i="134" s="1"/>
  <c r="BR35" i="134"/>
  <c r="BS35" i="134" s="1"/>
  <c r="BQ37" i="134"/>
  <c r="BL39" i="134"/>
  <c r="BC78" i="34"/>
  <c r="S67" i="57"/>
  <c r="BF45" i="134"/>
  <c r="BF25" i="11" s="1"/>
  <c r="BS36" i="134"/>
  <c r="BT36" i="134" s="1"/>
  <c r="BU36" i="134" s="1"/>
  <c r="BK32" i="134"/>
  <c r="AP42" i="70"/>
  <c r="AQ8" i="69" s="1"/>
  <c r="AO43" i="70"/>
  <c r="BI38" i="134"/>
  <c r="BE38" i="11"/>
  <c r="BG48" i="34"/>
  <c r="BH19" i="134"/>
  <c r="BH34" i="134"/>
  <c r="BG43" i="134"/>
  <c r="BF61" i="34"/>
  <c r="T43" i="57"/>
  <c r="T56" i="57" s="1"/>
  <c r="BL33" i="134"/>
  <c r="BD33" i="69" l="1"/>
  <c r="BD36" i="69" s="1"/>
  <c r="Y18" i="85"/>
  <c r="AW85" i="34"/>
  <c r="AW86" i="34"/>
  <c r="BE29" i="69"/>
  <c r="BD17" i="70" s="1"/>
  <c r="BF61" i="69"/>
  <c r="BF65" i="69" s="1"/>
  <c r="BJ16" i="70"/>
  <c r="BL30" i="69"/>
  <c r="AX84" i="34"/>
  <c r="AZ50" i="69"/>
  <c r="AY51" i="69"/>
  <c r="AY52" i="69" s="1"/>
  <c r="AY9" i="70"/>
  <c r="AY19" i="70" s="1"/>
  <c r="R75" i="57"/>
  <c r="T79" i="58"/>
  <c r="BH45" i="135"/>
  <c r="BH26" i="11" s="1"/>
  <c r="BJ49" i="34" s="1"/>
  <c r="BG54" i="145"/>
  <c r="BQ33" i="135"/>
  <c r="BQ43" i="145"/>
  <c r="BQ33" i="144"/>
  <c r="BM33" i="136"/>
  <c r="BL40" i="136"/>
  <c r="BK34" i="145"/>
  <c r="BJ34" i="135"/>
  <c r="BI43" i="135"/>
  <c r="BK36" i="135"/>
  <c r="BK33" i="131"/>
  <c r="BJ25" i="131"/>
  <c r="BL43" i="132"/>
  <c r="BM42" i="132"/>
  <c r="BO39" i="133"/>
  <c r="BP39" i="133" s="1"/>
  <c r="BQ39" i="133" s="1"/>
  <c r="BR39" i="133" s="1"/>
  <c r="BS39" i="133" s="1"/>
  <c r="BV28" i="144"/>
  <c r="BL35" i="131"/>
  <c r="BN50" i="145"/>
  <c r="BO50" i="145" s="1"/>
  <c r="BP50" i="145" s="1"/>
  <c r="BQ50" i="145" s="1"/>
  <c r="BR50" i="145" s="1"/>
  <c r="BK39" i="136"/>
  <c r="BK48" i="145"/>
  <c r="BK26" i="144"/>
  <c r="BJ25" i="132"/>
  <c r="BL39" i="145"/>
  <c r="BO39" i="144"/>
  <c r="BJ28" i="131"/>
  <c r="BL26" i="131"/>
  <c r="BM42" i="135"/>
  <c r="BN40" i="135"/>
  <c r="BI26" i="136"/>
  <c r="BL42" i="144"/>
  <c r="BK37" i="144"/>
  <c r="BJ35" i="145"/>
  <c r="BL41" i="131"/>
  <c r="BL37" i="133"/>
  <c r="BM37" i="133" s="1"/>
  <c r="BN37" i="133" s="1"/>
  <c r="BO37" i="133" s="1"/>
  <c r="BP37" i="133" s="1"/>
  <c r="BQ37" i="133" s="1"/>
  <c r="BK39" i="135"/>
  <c r="BL35" i="133"/>
  <c r="BN40" i="131"/>
  <c r="BK25" i="133"/>
  <c r="BK26" i="135"/>
  <c r="BL28" i="132"/>
  <c r="BI25" i="136"/>
  <c r="BN26" i="145"/>
  <c r="BR33" i="144"/>
  <c r="BS33" i="144" s="1"/>
  <c r="BQ34" i="131"/>
  <c r="BR43" i="145"/>
  <c r="BS43" i="145" s="1"/>
  <c r="BI37" i="145"/>
  <c r="BN34" i="144"/>
  <c r="BT43" i="145"/>
  <c r="BL33" i="133"/>
  <c r="BK24" i="136"/>
  <c r="BL24" i="136" s="1"/>
  <c r="BM24" i="136" s="1"/>
  <c r="BN24" i="136" s="1"/>
  <c r="BO24" i="136" s="1"/>
  <c r="BN38" i="131"/>
  <c r="BO38" i="131" s="1"/>
  <c r="BP38" i="131" s="1"/>
  <c r="BQ38" i="131" s="1"/>
  <c r="BR38" i="131" s="1"/>
  <c r="BS38" i="131" s="1"/>
  <c r="BT38" i="131" s="1"/>
  <c r="BM28" i="145"/>
  <c r="BR33" i="135"/>
  <c r="BS33" i="135" s="1"/>
  <c r="BH43" i="131"/>
  <c r="BI32" i="131"/>
  <c r="BN32" i="135"/>
  <c r="BL32" i="144"/>
  <c r="BK42" i="133"/>
  <c r="BK33" i="145"/>
  <c r="BK37" i="131"/>
  <c r="BM25" i="145"/>
  <c r="BJ24" i="131"/>
  <c r="BU36" i="133"/>
  <c r="BV36" i="133" s="1"/>
  <c r="BL28" i="136"/>
  <c r="BK38" i="133"/>
  <c r="BJ38" i="144"/>
  <c r="BT49" i="145"/>
  <c r="BU49" i="145" s="1"/>
  <c r="BT38" i="135"/>
  <c r="BU38" i="135" s="1"/>
  <c r="BV38" i="135" s="1"/>
  <c r="BV51" i="145"/>
  <c r="BT51" i="145"/>
  <c r="BU51" i="145" s="1"/>
  <c r="BK42" i="136"/>
  <c r="BL42" i="136" s="1"/>
  <c r="BM42" i="136" s="1"/>
  <c r="BN42" i="136" s="1"/>
  <c r="BO42" i="136" s="1"/>
  <c r="BP42" i="136"/>
  <c r="BJ20" i="133"/>
  <c r="BL35" i="144"/>
  <c r="BR37" i="135"/>
  <c r="BK25" i="134"/>
  <c r="BI34" i="136"/>
  <c r="BH43" i="136"/>
  <c r="BK40" i="145"/>
  <c r="BJ43" i="144"/>
  <c r="BM42" i="145"/>
  <c r="BN42" i="145" s="1"/>
  <c r="BO42" i="145" s="1"/>
  <c r="BP42" i="145" s="1"/>
  <c r="BQ42" i="145" s="1"/>
  <c r="BR42" i="145" s="1"/>
  <c r="BI36" i="145"/>
  <c r="BI25" i="135"/>
  <c r="BS50" i="145"/>
  <c r="BM28" i="135"/>
  <c r="BH52" i="145"/>
  <c r="BI32" i="145"/>
  <c r="BV49" i="145"/>
  <c r="BT47" i="145"/>
  <c r="BU47" i="145" s="1"/>
  <c r="BV47" i="145" s="1"/>
  <c r="BG19" i="144"/>
  <c r="BF29" i="144"/>
  <c r="BF45" i="144" s="1"/>
  <c r="BE33" i="69"/>
  <c r="BE36" i="69" s="1"/>
  <c r="BG14" i="61"/>
  <c r="BD74" i="34"/>
  <c r="BD78" i="34" s="1"/>
  <c r="BE69" i="34"/>
  <c r="BE74" i="34"/>
  <c r="BE78" i="34" s="1"/>
  <c r="BE82" i="34" s="1"/>
  <c r="BE9" i="70" s="1"/>
  <c r="BJ7" i="132"/>
  <c r="BI21" i="132"/>
  <c r="BI29" i="132" s="1"/>
  <c r="BI57" i="132" s="1"/>
  <c r="BI18" i="11" s="1"/>
  <c r="BK39" i="34" s="1"/>
  <c r="BI8" i="61"/>
  <c r="BH21" i="131"/>
  <c r="BH29" i="131" s="1"/>
  <c r="BI7" i="131"/>
  <c r="BH7" i="61"/>
  <c r="BH10" i="61"/>
  <c r="BH21" i="136"/>
  <c r="BH29" i="136" s="1"/>
  <c r="BH45" i="136" s="1"/>
  <c r="BH21" i="11" s="1"/>
  <c r="BI7" i="136"/>
  <c r="BH21" i="134"/>
  <c r="BH29" i="134" s="1"/>
  <c r="BI7" i="134"/>
  <c r="BH11" i="61"/>
  <c r="BH10" i="126"/>
  <c r="BH17" i="126" s="1"/>
  <c r="BG45" i="107" s="1"/>
  <c r="BJ7" i="135"/>
  <c r="BI21" i="135"/>
  <c r="BI29" i="135" s="1"/>
  <c r="BI45" i="135" s="1"/>
  <c r="BI26" i="11" s="1"/>
  <c r="BK49" i="34" s="1"/>
  <c r="BI12" i="61"/>
  <c r="BG23" i="11"/>
  <c r="BI43" i="34"/>
  <c r="BG49" i="11"/>
  <c r="BI5" i="126"/>
  <c r="BG45" i="131"/>
  <c r="BF17" i="11" s="1"/>
  <c r="BG38" i="34"/>
  <c r="BE19" i="11"/>
  <c r="BE40" i="11" s="1"/>
  <c r="BI7" i="145"/>
  <c r="BH21" i="145"/>
  <c r="BH29" i="145" s="1"/>
  <c r="BE15" i="70"/>
  <c r="BJ7" i="144"/>
  <c r="BI21" i="144"/>
  <c r="BH21" i="133"/>
  <c r="BH29" i="133" s="1"/>
  <c r="BH45" i="133" s="1"/>
  <c r="BH22" i="11" s="1"/>
  <c r="BJ44" i="34" s="1"/>
  <c r="BH9" i="61"/>
  <c r="BI7" i="133"/>
  <c r="BF40" i="34"/>
  <c r="BF63" i="34" s="1"/>
  <c r="T33" i="57"/>
  <c r="T35" i="57" s="1"/>
  <c r="T60" i="57" s="1"/>
  <c r="T62" i="57" s="1"/>
  <c r="BT35" i="134"/>
  <c r="BU35" i="134" s="1"/>
  <c r="BV35" i="134" s="1"/>
  <c r="BR37" i="134"/>
  <c r="BS37" i="134" s="1"/>
  <c r="BG45" i="134"/>
  <c r="BG25" i="11" s="1"/>
  <c r="BG38" i="11" s="1"/>
  <c r="BV26" i="134"/>
  <c r="BG61" i="34"/>
  <c r="BI19" i="134"/>
  <c r="BC82" i="34"/>
  <c r="S71" i="57"/>
  <c r="BM39" i="134"/>
  <c r="AQ12" i="69"/>
  <c r="AQ24" i="69" s="1"/>
  <c r="AQ53" i="69" s="1"/>
  <c r="AQ40" i="70"/>
  <c r="BH48" i="34"/>
  <c r="BF38" i="11"/>
  <c r="BM33" i="134"/>
  <c r="BN33" i="134" s="1"/>
  <c r="BO33" i="134" s="1"/>
  <c r="BP33" i="134" s="1"/>
  <c r="BQ33" i="134" s="1"/>
  <c r="BR33" i="134" s="1"/>
  <c r="BI34" i="134"/>
  <c r="BH43" i="134"/>
  <c r="BJ38" i="134"/>
  <c r="BL32" i="134"/>
  <c r="BV36" i="134"/>
  <c r="AY84" i="34" l="1"/>
  <c r="BA50" i="69"/>
  <c r="AZ51" i="69"/>
  <c r="AZ52" i="69" s="1"/>
  <c r="BF29" i="69"/>
  <c r="BG61" i="69"/>
  <c r="BG65" i="69" s="1"/>
  <c r="AX86" i="34"/>
  <c r="AX85" i="34"/>
  <c r="AY41" i="70"/>
  <c r="V36" i="116"/>
  <c r="V38" i="116" s="1"/>
  <c r="U20" i="85" s="1"/>
  <c r="G68" i="85" s="1"/>
  <c r="U25" i="85" s="1"/>
  <c r="BK16" i="70"/>
  <c r="BM30" i="69"/>
  <c r="BT39" i="133"/>
  <c r="BU39" i="133" s="1"/>
  <c r="BV39" i="133" s="1"/>
  <c r="BL38" i="133"/>
  <c r="BM28" i="136"/>
  <c r="BN25" i="145"/>
  <c r="BL37" i="131"/>
  <c r="BN28" i="145"/>
  <c r="BR34" i="131"/>
  <c r="BT33" i="144"/>
  <c r="BL39" i="135"/>
  <c r="BR37" i="133"/>
  <c r="BM26" i="131"/>
  <c r="BN26" i="131" s="1"/>
  <c r="BO26" i="131" s="1"/>
  <c r="BP26" i="131" s="1"/>
  <c r="BQ26" i="131" s="1"/>
  <c r="BK28" i="131"/>
  <c r="BL28" i="131" s="1"/>
  <c r="BM28" i="131" s="1"/>
  <c r="BN28" i="131" s="1"/>
  <c r="BO28" i="131" s="1"/>
  <c r="BP28" i="131" s="1"/>
  <c r="BK25" i="132"/>
  <c r="BL25" i="132" s="1"/>
  <c r="BM25" i="132" s="1"/>
  <c r="BN25" i="132" s="1"/>
  <c r="BO25" i="132" s="1"/>
  <c r="BP25" i="132"/>
  <c r="BL48" i="145"/>
  <c r="BT50" i="145"/>
  <c r="BK25" i="131"/>
  <c r="BL33" i="131"/>
  <c r="BL36" i="135"/>
  <c r="BK34" i="135"/>
  <c r="BJ43" i="135"/>
  <c r="BQ42" i="136"/>
  <c r="BR42" i="136" s="1"/>
  <c r="BS42" i="136" s="1"/>
  <c r="BH54" i="145"/>
  <c r="BI52" i="145"/>
  <c r="BJ32" i="145"/>
  <c r="BN28" i="135"/>
  <c r="BJ34" i="136"/>
  <c r="BI43" i="136"/>
  <c r="BM35" i="144"/>
  <c r="BK38" i="144"/>
  <c r="BU50" i="145"/>
  <c r="BV50" i="145" s="1"/>
  <c r="BO32" i="135"/>
  <c r="BP24" i="136"/>
  <c r="BJ25" i="136"/>
  <c r="BM28" i="132"/>
  <c r="BM41" i="131"/>
  <c r="BK35" i="145"/>
  <c r="BL35" i="145" s="1"/>
  <c r="BM35" i="145" s="1"/>
  <c r="BN35" i="145" s="1"/>
  <c r="BO35" i="145" s="1"/>
  <c r="BJ26" i="136"/>
  <c r="BN42" i="135"/>
  <c r="BL26" i="144"/>
  <c r="BM35" i="131"/>
  <c r="BN33" i="136"/>
  <c r="BU43" i="145"/>
  <c r="BV43" i="145" s="1"/>
  <c r="BT33" i="135"/>
  <c r="BU33" i="135" s="1"/>
  <c r="BV33" i="135" s="1"/>
  <c r="BS42" i="145"/>
  <c r="BT42" i="145" s="1"/>
  <c r="BL40" i="145"/>
  <c r="BK20" i="133"/>
  <c r="BK24" i="131"/>
  <c r="BL42" i="133"/>
  <c r="BU38" i="131"/>
  <c r="BV38" i="131" s="1"/>
  <c r="BM33" i="133"/>
  <c r="BU33" i="144"/>
  <c r="BV33" i="144" s="1"/>
  <c r="BO26" i="145"/>
  <c r="BP26" i="145" s="1"/>
  <c r="BQ26" i="145" s="1"/>
  <c r="BR26" i="145" s="1"/>
  <c r="BT26" i="145" s="1"/>
  <c r="BS26" i="145"/>
  <c r="BO40" i="131"/>
  <c r="BP40" i="131" s="1"/>
  <c r="BQ40" i="131" s="1"/>
  <c r="BR40" i="131" s="1"/>
  <c r="BS40" i="131"/>
  <c r="BT40" i="131" s="1"/>
  <c r="BU40" i="131" s="1"/>
  <c r="BV40" i="131" s="1"/>
  <c r="BM35" i="133"/>
  <c r="BS37" i="133"/>
  <c r="BM42" i="144"/>
  <c r="BN42" i="144" s="1"/>
  <c r="BO42" i="144" s="1"/>
  <c r="BP42" i="144" s="1"/>
  <c r="BQ42" i="144" s="1"/>
  <c r="BR42" i="144"/>
  <c r="BO40" i="135"/>
  <c r="BM39" i="145"/>
  <c r="BL39" i="136"/>
  <c r="BM43" i="132"/>
  <c r="BN42" i="132"/>
  <c r="BQ24" i="136"/>
  <c r="BR24" i="136" s="1"/>
  <c r="BM40" i="136"/>
  <c r="BN40" i="136" s="1"/>
  <c r="BO40" i="136" s="1"/>
  <c r="BP40" i="136" s="1"/>
  <c r="BJ25" i="135"/>
  <c r="BJ36" i="145"/>
  <c r="BL25" i="134"/>
  <c r="BM25" i="134" s="1"/>
  <c r="BN25" i="134" s="1"/>
  <c r="BO25" i="134" s="1"/>
  <c r="BP25" i="134" s="1"/>
  <c r="BS37" i="135"/>
  <c r="BT37" i="135" s="1"/>
  <c r="BL33" i="145"/>
  <c r="BM33" i="145" s="1"/>
  <c r="BN33" i="145" s="1"/>
  <c r="BP33" i="145"/>
  <c r="BO33" i="145"/>
  <c r="BM32" i="144"/>
  <c r="BI43" i="131"/>
  <c r="BJ32" i="131"/>
  <c r="BK43" i="133"/>
  <c r="BO34" i="144"/>
  <c r="BP34" i="144" s="1"/>
  <c r="BQ34" i="144" s="1"/>
  <c r="BR34" i="144" s="1"/>
  <c r="BS34" i="144" s="1"/>
  <c r="BJ37" i="145"/>
  <c r="BL26" i="135"/>
  <c r="BL25" i="133"/>
  <c r="BL37" i="144"/>
  <c r="BM37" i="144" s="1"/>
  <c r="BN37" i="144" s="1"/>
  <c r="BO37" i="144" s="1"/>
  <c r="BP37" i="144" s="1"/>
  <c r="BQ37" i="144" s="1"/>
  <c r="BP39" i="144"/>
  <c r="BQ39" i="144" s="1"/>
  <c r="BR39" i="144" s="1"/>
  <c r="BS39" i="144" s="1"/>
  <c r="BT39" i="144"/>
  <c r="BL34" i="145"/>
  <c r="BS24" i="136"/>
  <c r="BH19" i="144"/>
  <c r="BG29" i="144"/>
  <c r="BG45" i="144" s="1"/>
  <c r="T58" i="57"/>
  <c r="BF66" i="34"/>
  <c r="BF69" i="34" s="1"/>
  <c r="BG28" i="69"/>
  <c r="BG40" i="34"/>
  <c r="BG63" i="34" s="1"/>
  <c r="BJ7" i="136"/>
  <c r="BI21" i="136"/>
  <c r="BI29" i="136" s="1"/>
  <c r="BI10" i="61"/>
  <c r="BI21" i="131"/>
  <c r="BI29" i="131" s="1"/>
  <c r="BJ7" i="131"/>
  <c r="BI7" i="61"/>
  <c r="BJ21" i="132"/>
  <c r="BJ29" i="132" s="1"/>
  <c r="BJ57" i="132" s="1"/>
  <c r="BJ18" i="11" s="1"/>
  <c r="BL39" i="34" s="1"/>
  <c r="V34" i="57" s="1"/>
  <c r="BJ8" i="61"/>
  <c r="BK7" i="132"/>
  <c r="BH38" i="34"/>
  <c r="BH40" i="34" s="1"/>
  <c r="BF19" i="11"/>
  <c r="BF40" i="11" s="1"/>
  <c r="BH23" i="11"/>
  <c r="BJ43" i="34"/>
  <c r="BH49" i="11"/>
  <c r="BJ5" i="126"/>
  <c r="BH45" i="131"/>
  <c r="BG17" i="11" s="1"/>
  <c r="BI21" i="133"/>
  <c r="BI29" i="133" s="1"/>
  <c r="BI45" i="133" s="1"/>
  <c r="BI22" i="11" s="1"/>
  <c r="BK44" i="34" s="1"/>
  <c r="BI9" i="61"/>
  <c r="BJ7" i="133"/>
  <c r="BK7" i="144"/>
  <c r="BJ21" i="144"/>
  <c r="BJ7" i="145"/>
  <c r="BI21" i="145"/>
  <c r="BI29" i="145" s="1"/>
  <c r="BI54" i="145" s="1"/>
  <c r="BI10" i="126"/>
  <c r="BI17" i="126" s="1"/>
  <c r="BH45" i="107" s="1"/>
  <c r="BI45" i="34"/>
  <c r="U38" i="57"/>
  <c r="U40" i="57" s="1"/>
  <c r="BK7" i="135"/>
  <c r="BJ12" i="61"/>
  <c r="BJ21" i="135"/>
  <c r="BJ29" i="135" s="1"/>
  <c r="BJ45" i="135" s="1"/>
  <c r="BJ26" i="11" s="1"/>
  <c r="BL49" i="34" s="1"/>
  <c r="V44" i="57" s="1"/>
  <c r="BI11" i="61"/>
  <c r="BI21" i="134"/>
  <c r="BI29" i="134" s="1"/>
  <c r="BJ7" i="134"/>
  <c r="BH14" i="61"/>
  <c r="BI48" i="34"/>
  <c r="BI61" i="34" s="1"/>
  <c r="BT37" i="134"/>
  <c r="BU37" i="134" s="1"/>
  <c r="BV37" i="134" s="1"/>
  <c r="BH45" i="134"/>
  <c r="BH25" i="11" s="1"/>
  <c r="BJ48" i="34" s="1"/>
  <c r="BK38" i="134"/>
  <c r="BL38" i="134" s="1"/>
  <c r="BM38" i="134" s="1"/>
  <c r="BN38" i="134" s="1"/>
  <c r="BO38" i="134" s="1"/>
  <c r="BP38" i="134" s="1"/>
  <c r="BQ38" i="134" s="1"/>
  <c r="BD82" i="34"/>
  <c r="BS33" i="134"/>
  <c r="BT33" i="134" s="1"/>
  <c r="BU33" i="134" s="1"/>
  <c r="BH61" i="34"/>
  <c r="BN39" i="134"/>
  <c r="BM32" i="134"/>
  <c r="BJ34" i="134"/>
  <c r="BI43" i="134"/>
  <c r="BC9" i="70"/>
  <c r="BC19" i="70" s="1"/>
  <c r="BC41" i="70" s="1"/>
  <c r="S75" i="57"/>
  <c r="AQ42" i="70"/>
  <c r="AR8" i="69" s="1"/>
  <c r="AP43" i="70"/>
  <c r="BJ19" i="134"/>
  <c r="BE17" i="70" l="1"/>
  <c r="BE19" i="70" s="1"/>
  <c r="BE41" i="70" s="1"/>
  <c r="BF33" i="69"/>
  <c r="BF36" i="69" s="1"/>
  <c r="BN30" i="69"/>
  <c r="BL16" i="70"/>
  <c r="BA51" i="69"/>
  <c r="BA52" i="69" s="1"/>
  <c r="BB50" i="69"/>
  <c r="AZ84" i="34"/>
  <c r="BG29" i="69"/>
  <c r="BF17" i="70" s="1"/>
  <c r="BH61" i="69"/>
  <c r="BH65" i="69" s="1"/>
  <c r="AY85" i="34"/>
  <c r="AY86" i="34"/>
  <c r="BI45" i="136"/>
  <c r="BI21" i="11" s="1"/>
  <c r="BU37" i="133"/>
  <c r="BT37" i="133"/>
  <c r="BU39" i="144"/>
  <c r="BV39" i="144" s="1"/>
  <c r="BQ28" i="131"/>
  <c r="BQ40" i="136"/>
  <c r="BR40" i="136"/>
  <c r="BT40" i="136" s="1"/>
  <c r="BU40" i="136" s="1"/>
  <c r="BR26" i="131"/>
  <c r="BS26" i="131" s="1"/>
  <c r="BT26" i="131" s="1"/>
  <c r="BT42" i="136"/>
  <c r="BP35" i="145"/>
  <c r="BQ35" i="145"/>
  <c r="BR37" i="144"/>
  <c r="BQ33" i="145"/>
  <c r="BR33" i="145" s="1"/>
  <c r="BS40" i="136"/>
  <c r="BN43" i="132"/>
  <c r="BO42" i="132"/>
  <c r="BM39" i="136"/>
  <c r="BN39" i="145"/>
  <c r="BP40" i="135"/>
  <c r="BQ40" i="135" s="1"/>
  <c r="BR40" i="135" s="1"/>
  <c r="BS40" i="135" s="1"/>
  <c r="BT40" i="135" s="1"/>
  <c r="BN35" i="133"/>
  <c r="BU26" i="145"/>
  <c r="BV26" i="145" s="1"/>
  <c r="BL43" i="133"/>
  <c r="BO33" i="136"/>
  <c r="BK26" i="136"/>
  <c r="BU42" i="145"/>
  <c r="BO28" i="135"/>
  <c r="BO25" i="145"/>
  <c r="BV42" i="145"/>
  <c r="BV37" i="133"/>
  <c r="BM34" i="145"/>
  <c r="BN34" i="145" s="1"/>
  <c r="BO34" i="145" s="1"/>
  <c r="BP34" i="145" s="1"/>
  <c r="BQ34" i="145"/>
  <c r="BR34" i="145" s="1"/>
  <c r="BS34" i="145" s="1"/>
  <c r="BT34" i="145" s="1"/>
  <c r="BT34" i="144"/>
  <c r="BU34" i="144" s="1"/>
  <c r="BV34" i="144" s="1"/>
  <c r="BS33" i="145"/>
  <c r="BQ25" i="134"/>
  <c r="BR25" i="134" s="1"/>
  <c r="BS25" i="134" s="1"/>
  <c r="BS42" i="144"/>
  <c r="BM40" i="145"/>
  <c r="BM26" i="144"/>
  <c r="BN28" i="132"/>
  <c r="BK25" i="136"/>
  <c r="BP32" i="135"/>
  <c r="BU37" i="135"/>
  <c r="BV37" i="135" s="1"/>
  <c r="BM39" i="135"/>
  <c r="BN28" i="136"/>
  <c r="BT24" i="136"/>
  <c r="BU24" i="136" s="1"/>
  <c r="BV24" i="136" s="1"/>
  <c r="BT33" i="145"/>
  <c r="BU33" i="145" s="1"/>
  <c r="BM26" i="135"/>
  <c r="BN26" i="135" s="1"/>
  <c r="BO26" i="135" s="1"/>
  <c r="BP26" i="135" s="1"/>
  <c r="BQ26" i="135" s="1"/>
  <c r="BR26" i="135" s="1"/>
  <c r="BS26" i="135" s="1"/>
  <c r="BK37" i="145"/>
  <c r="BJ43" i="131"/>
  <c r="BK32" i="131"/>
  <c r="BT25" i="134"/>
  <c r="BU25" i="134" s="1"/>
  <c r="BK36" i="145"/>
  <c r="BK25" i="135"/>
  <c r="BL20" i="133"/>
  <c r="BN35" i="131"/>
  <c r="BO35" i="131" s="1"/>
  <c r="BP35" i="131" s="1"/>
  <c r="BQ35" i="131" s="1"/>
  <c r="BR35" i="131" s="1"/>
  <c r="BS35" i="131" s="1"/>
  <c r="BO42" i="135"/>
  <c r="BP42" i="135" s="1"/>
  <c r="BQ42" i="135" s="1"/>
  <c r="BR42" i="135" s="1"/>
  <c r="BS42" i="135" s="1"/>
  <c r="BT42" i="135" s="1"/>
  <c r="BU42" i="135" s="1"/>
  <c r="BR35" i="145"/>
  <c r="BS35" i="145" s="1"/>
  <c r="BT35" i="145" s="1"/>
  <c r="BN35" i="144"/>
  <c r="BO35" i="144" s="1"/>
  <c r="BP35" i="144" s="1"/>
  <c r="BQ35" i="144" s="1"/>
  <c r="BR35" i="144" s="1"/>
  <c r="BS35" i="144" s="1"/>
  <c r="BK34" i="136"/>
  <c r="BJ43" i="136"/>
  <c r="BJ52" i="145"/>
  <c r="BK32" i="145"/>
  <c r="BM33" i="131"/>
  <c r="BL25" i="131"/>
  <c r="BM48" i="145"/>
  <c r="BQ25" i="132"/>
  <c r="BU34" i="131"/>
  <c r="BV34" i="131" s="1"/>
  <c r="BS34" i="131"/>
  <c r="BT34" i="131" s="1"/>
  <c r="BO28" i="145"/>
  <c r="BP28" i="145" s="1"/>
  <c r="BQ28" i="145" s="1"/>
  <c r="BR28" i="145" s="1"/>
  <c r="BS28" i="145"/>
  <c r="BT28" i="145" s="1"/>
  <c r="BM37" i="131"/>
  <c r="BM38" i="133"/>
  <c r="BM25" i="133"/>
  <c r="BN25" i="133" s="1"/>
  <c r="BO25" i="133" s="1"/>
  <c r="BP25" i="133" s="1"/>
  <c r="BQ25" i="133" s="1"/>
  <c r="BR25" i="133" s="1"/>
  <c r="BS25" i="133" s="1"/>
  <c r="BT25" i="133" s="1"/>
  <c r="BN32" i="144"/>
  <c r="BN33" i="133"/>
  <c r="BM42" i="133"/>
  <c r="BN42" i="133" s="1"/>
  <c r="BO42" i="133" s="1"/>
  <c r="BP42" i="133"/>
  <c r="BQ42" i="133" s="1"/>
  <c r="BR42" i="133" s="1"/>
  <c r="BL24" i="131"/>
  <c r="BM24" i="131" s="1"/>
  <c r="BN24" i="131" s="1"/>
  <c r="BO24" i="131" s="1"/>
  <c r="BP24" i="131" s="1"/>
  <c r="BQ24" i="131" s="1"/>
  <c r="BR24" i="131" s="1"/>
  <c r="BS24" i="131" s="1"/>
  <c r="BN41" i="131"/>
  <c r="BO41" i="131" s="1"/>
  <c r="BP41" i="131" s="1"/>
  <c r="BQ41" i="131"/>
  <c r="BR41" i="131" s="1"/>
  <c r="BS41" i="131" s="1"/>
  <c r="BL38" i="144"/>
  <c r="BM38" i="144" s="1"/>
  <c r="BN38" i="144" s="1"/>
  <c r="BO38" i="144" s="1"/>
  <c r="BP38" i="144" s="1"/>
  <c r="BK43" i="144"/>
  <c r="BK43" i="135"/>
  <c r="BL34" i="135"/>
  <c r="BM36" i="135"/>
  <c r="BV25" i="134"/>
  <c r="BF74" i="34"/>
  <c r="BF78" i="34" s="1"/>
  <c r="BI19" i="144"/>
  <c r="BH29" i="144"/>
  <c r="BH45" i="144" s="1"/>
  <c r="BF15" i="70"/>
  <c r="U43" i="57"/>
  <c r="U56" i="57" s="1"/>
  <c r="BH28" i="69"/>
  <c r="BG15" i="70" s="1"/>
  <c r="BG66" i="34"/>
  <c r="BG69" i="34" s="1"/>
  <c r="BJ10" i="126"/>
  <c r="BJ17" i="126" s="1"/>
  <c r="BI45" i="107" s="1"/>
  <c r="BI45" i="131"/>
  <c r="BH17" i="11" s="1"/>
  <c r="BK5" i="126"/>
  <c r="BK7" i="145"/>
  <c r="BJ21" i="145"/>
  <c r="BJ29" i="145" s="1"/>
  <c r="BJ45" i="34"/>
  <c r="BI14" i="61"/>
  <c r="BI49" i="11"/>
  <c r="BK43" i="34"/>
  <c r="BK45" i="34" s="1"/>
  <c r="BI23" i="11"/>
  <c r="BK21" i="135"/>
  <c r="BK29" i="135" s="1"/>
  <c r="BK45" i="135" s="1"/>
  <c r="BK26" i="11" s="1"/>
  <c r="BM49" i="34" s="1"/>
  <c r="BL7" i="135"/>
  <c r="BK12" i="61"/>
  <c r="BK21" i="144"/>
  <c r="BL7" i="144"/>
  <c r="BJ21" i="133"/>
  <c r="BJ29" i="133" s="1"/>
  <c r="BJ45" i="133" s="1"/>
  <c r="BJ22" i="11" s="1"/>
  <c r="BL44" i="34" s="1"/>
  <c r="V39" i="57" s="1"/>
  <c r="BJ9" i="61"/>
  <c r="BK7" i="133"/>
  <c r="BH38" i="11"/>
  <c r="BH63" i="34"/>
  <c r="BI28" i="69" s="1"/>
  <c r="BK7" i="134"/>
  <c r="BJ21" i="134"/>
  <c r="BJ29" i="134" s="1"/>
  <c r="BJ11" i="61"/>
  <c r="BI38" i="34"/>
  <c r="BI40" i="34" s="1"/>
  <c r="BI63" i="34" s="1"/>
  <c r="BG19" i="11"/>
  <c r="BG40" i="11" s="1"/>
  <c r="BK21" i="132"/>
  <c r="BK29" i="132" s="1"/>
  <c r="BK57" i="132" s="1"/>
  <c r="BK18" i="11" s="1"/>
  <c r="BM39" i="34" s="1"/>
  <c r="BL7" i="132"/>
  <c r="BK8" i="61"/>
  <c r="BK7" i="131"/>
  <c r="BJ21" i="131"/>
  <c r="BJ29" i="131" s="1"/>
  <c r="BJ7" i="61"/>
  <c r="BJ21" i="136"/>
  <c r="BJ29" i="136" s="1"/>
  <c r="BJ45" i="136" s="1"/>
  <c r="BJ21" i="11" s="1"/>
  <c r="BK7" i="136"/>
  <c r="BJ10" i="61"/>
  <c r="BR38" i="134"/>
  <c r="BS38" i="134" s="1"/>
  <c r="BO39" i="134"/>
  <c r="BP39" i="134" s="1"/>
  <c r="BQ39" i="134" s="1"/>
  <c r="BR39" i="134" s="1"/>
  <c r="BS39" i="134" s="1"/>
  <c r="BT39" i="134" s="1"/>
  <c r="BJ61" i="34"/>
  <c r="BD9" i="70"/>
  <c r="BD19" i="70" s="1"/>
  <c r="BD41" i="70" s="1"/>
  <c r="AR40" i="70"/>
  <c r="AR12" i="69"/>
  <c r="AR24" i="69" s="1"/>
  <c r="AR53" i="69" s="1"/>
  <c r="BI45" i="134"/>
  <c r="BI25" i="11" s="1"/>
  <c r="BN32" i="134"/>
  <c r="BK19" i="134"/>
  <c r="BV33" i="134"/>
  <c r="BK34" i="134"/>
  <c r="BJ43" i="134"/>
  <c r="AZ85" i="34" l="1"/>
  <c r="AZ86" i="34"/>
  <c r="BO30" i="69"/>
  <c r="BM16" i="70"/>
  <c r="BC50" i="69"/>
  <c r="BA84" i="34"/>
  <c r="BB51" i="69"/>
  <c r="BB52" i="69" s="1"/>
  <c r="BG33" i="69"/>
  <c r="BG36" i="69" s="1"/>
  <c r="BH29" i="69"/>
  <c r="BG17" i="70" s="1"/>
  <c r="BI61" i="69"/>
  <c r="BI65" i="69" s="1"/>
  <c r="BJ54" i="145"/>
  <c r="BT35" i="131"/>
  <c r="BU35" i="131" s="1"/>
  <c r="BT26" i="135"/>
  <c r="BV26" i="135" s="1"/>
  <c r="BV40" i="136"/>
  <c r="BV33" i="145"/>
  <c r="BO33" i="133"/>
  <c r="BU25" i="133"/>
  <c r="BV25" i="133" s="1"/>
  <c r="BN48" i="145"/>
  <c r="BO48" i="145" s="1"/>
  <c r="BP48" i="145" s="1"/>
  <c r="BQ48" i="145" s="1"/>
  <c r="BR48" i="145" s="1"/>
  <c r="BS48" i="145" s="1"/>
  <c r="BL25" i="135"/>
  <c r="BL37" i="145"/>
  <c r="BL25" i="136"/>
  <c r="BO28" i="132"/>
  <c r="BU40" i="135"/>
  <c r="BV40" i="135" s="1"/>
  <c r="BO43" i="132"/>
  <c r="BP42" i="132"/>
  <c r="BU35" i="145"/>
  <c r="BR28" i="131"/>
  <c r="BM34" i="135"/>
  <c r="BL43" i="135"/>
  <c r="BS42" i="133"/>
  <c r="BT42" i="133" s="1"/>
  <c r="BM43" i="133"/>
  <c r="BN37" i="131"/>
  <c r="BO37" i="131" s="1"/>
  <c r="BP37" i="131" s="1"/>
  <c r="BQ37" i="131"/>
  <c r="BR37" i="131" s="1"/>
  <c r="BN33" i="131"/>
  <c r="BK52" i="145"/>
  <c r="BL32" i="145"/>
  <c r="BT35" i="144"/>
  <c r="BU35" i="144" s="1"/>
  <c r="BV42" i="135"/>
  <c r="BK43" i="131"/>
  <c r="BL32" i="131"/>
  <c r="BN39" i="135"/>
  <c r="BO39" i="135" s="1"/>
  <c r="BP39" i="135" s="1"/>
  <c r="BQ39" i="135" s="1"/>
  <c r="BR39" i="135" s="1"/>
  <c r="BN26" i="144"/>
  <c r="BO26" i="144" s="1"/>
  <c r="BP26" i="144" s="1"/>
  <c r="BQ26" i="144" s="1"/>
  <c r="BT42" i="144"/>
  <c r="BP28" i="135"/>
  <c r="BQ28" i="135" s="1"/>
  <c r="BR28" i="135" s="1"/>
  <c r="BS28" i="135" s="1"/>
  <c r="BT28" i="135" s="1"/>
  <c r="BU28" i="135" s="1"/>
  <c r="BV28" i="135" s="1"/>
  <c r="BL26" i="136"/>
  <c r="BM26" i="136" s="1"/>
  <c r="BN26" i="136" s="1"/>
  <c r="BO26" i="136" s="1"/>
  <c r="BO39" i="145"/>
  <c r="BU42" i="136"/>
  <c r="BV42" i="136" s="1"/>
  <c r="BT24" i="131"/>
  <c r="BV24" i="131" s="1"/>
  <c r="BN43" i="144"/>
  <c r="BO32" i="144"/>
  <c r="BN38" i="133"/>
  <c r="BO38" i="133" s="1"/>
  <c r="BP38" i="133" s="1"/>
  <c r="BQ38" i="133"/>
  <c r="BR38" i="133" s="1"/>
  <c r="BS38" i="133" s="1"/>
  <c r="BT38" i="133" s="1"/>
  <c r="BU38" i="133" s="1"/>
  <c r="BM25" i="131"/>
  <c r="BN25" i="131" s="1"/>
  <c r="BO25" i="131" s="1"/>
  <c r="BP25" i="131" s="1"/>
  <c r="BQ25" i="131" s="1"/>
  <c r="BM20" i="133"/>
  <c r="BL36" i="145"/>
  <c r="BU26" i="135"/>
  <c r="BO28" i="136"/>
  <c r="BQ32" i="135"/>
  <c r="BT41" i="131"/>
  <c r="BU41" i="131" s="1"/>
  <c r="BV41" i="131" s="1"/>
  <c r="BU34" i="145"/>
  <c r="BV34" i="145" s="1"/>
  <c r="BP25" i="145"/>
  <c r="BV35" i="145"/>
  <c r="BP33" i="136"/>
  <c r="BO35" i="133"/>
  <c r="BN39" i="136"/>
  <c r="BL43" i="144"/>
  <c r="BU26" i="131"/>
  <c r="BV26" i="131" s="1"/>
  <c r="BN36" i="135"/>
  <c r="BQ38" i="144"/>
  <c r="BU24" i="131"/>
  <c r="BM43" i="144"/>
  <c r="BU28" i="145"/>
  <c r="BV28" i="145" s="1"/>
  <c r="BL34" i="136"/>
  <c r="BK43" i="136"/>
  <c r="BU42" i="133"/>
  <c r="BV42" i="133" s="1"/>
  <c r="BN40" i="145"/>
  <c r="BO40" i="145" s="1"/>
  <c r="BP40" i="145" s="1"/>
  <c r="BQ40" i="145" s="1"/>
  <c r="BR40" i="145" s="1"/>
  <c r="BS40" i="145" s="1"/>
  <c r="BT40" i="145" s="1"/>
  <c r="BR25" i="132"/>
  <c r="BS25" i="132" s="1"/>
  <c r="BV35" i="144"/>
  <c r="BU42" i="144"/>
  <c r="BV42" i="144" s="1"/>
  <c r="BS37" i="144"/>
  <c r="BG74" i="34"/>
  <c r="BG78" i="34" s="1"/>
  <c r="BH66" i="34"/>
  <c r="BH74" i="34" s="1"/>
  <c r="T67" i="57"/>
  <c r="BJ14" i="61"/>
  <c r="BJ19" i="144"/>
  <c r="BI29" i="144"/>
  <c r="BI45" i="144" s="1"/>
  <c r="BJ28" i="69"/>
  <c r="BI66" i="34"/>
  <c r="BL21" i="132"/>
  <c r="BL29" i="132" s="1"/>
  <c r="BL57" i="132" s="1"/>
  <c r="BL18" i="11" s="1"/>
  <c r="BN39" i="34" s="1"/>
  <c r="BM7" i="132"/>
  <c r="BL8" i="61"/>
  <c r="BL7" i="145"/>
  <c r="BK21" i="145"/>
  <c r="BK29" i="145" s="1"/>
  <c r="BK54" i="145" s="1"/>
  <c r="BJ23" i="11"/>
  <c r="BL43" i="34"/>
  <c r="BL45" i="34" s="1"/>
  <c r="BJ49" i="11"/>
  <c r="U58" i="57"/>
  <c r="U33" i="57"/>
  <c r="U35" i="57" s="1"/>
  <c r="U60" i="57" s="1"/>
  <c r="U62" i="57" s="1"/>
  <c r="BM7" i="144"/>
  <c r="BL21" i="144"/>
  <c r="BJ45" i="131"/>
  <c r="BI17" i="11" s="1"/>
  <c r="BL5" i="126"/>
  <c r="BK10" i="126"/>
  <c r="BK17" i="126" s="1"/>
  <c r="BJ45" i="107" s="1"/>
  <c r="BL7" i="133"/>
  <c r="BK9" i="61"/>
  <c r="BK21" i="133"/>
  <c r="BK29" i="133" s="1"/>
  <c r="BK45" i="133" s="1"/>
  <c r="BK22" i="11" s="1"/>
  <c r="BM44" i="34" s="1"/>
  <c r="BK21" i="136"/>
  <c r="BK29" i="136" s="1"/>
  <c r="BK45" i="136" s="1"/>
  <c r="BK21" i="11" s="1"/>
  <c r="BL7" i="136"/>
  <c r="BK10" i="61"/>
  <c r="BK21" i="131"/>
  <c r="BK29" i="131" s="1"/>
  <c r="BK45" i="131" s="1"/>
  <c r="BJ17" i="11" s="1"/>
  <c r="BK7" i="61"/>
  <c r="BL7" i="131"/>
  <c r="BL7" i="134"/>
  <c r="BK21" i="134"/>
  <c r="BK29" i="134" s="1"/>
  <c r="BK11" i="61"/>
  <c r="BM7" i="135"/>
  <c r="BL21" i="135"/>
  <c r="BL29" i="135" s="1"/>
  <c r="BL12" i="61"/>
  <c r="BH19" i="11"/>
  <c r="BH40" i="11" s="1"/>
  <c r="BJ38" i="34"/>
  <c r="BT38" i="134"/>
  <c r="BU38" i="134" s="1"/>
  <c r="BV38" i="134" s="1"/>
  <c r="BU39" i="134"/>
  <c r="BV39" i="134" s="1"/>
  <c r="BJ45" i="134"/>
  <c r="BJ25" i="11" s="1"/>
  <c r="BJ38" i="11" s="1"/>
  <c r="BL19" i="134"/>
  <c r="AQ43" i="70"/>
  <c r="AR42" i="70"/>
  <c r="AS8" i="69" s="1"/>
  <c r="BK48" i="34"/>
  <c r="BI38" i="11"/>
  <c r="BH15" i="70"/>
  <c r="BO32" i="134"/>
  <c r="BL34" i="134"/>
  <c r="BK43" i="134"/>
  <c r="BF82" i="34"/>
  <c r="T71" i="57"/>
  <c r="BH33" i="69" l="1"/>
  <c r="BH36" i="69" s="1"/>
  <c r="BP30" i="69"/>
  <c r="BN16" i="70"/>
  <c r="BI29" i="69"/>
  <c r="BJ61" i="69"/>
  <c r="BJ65" i="69" s="1"/>
  <c r="BA85" i="34"/>
  <c r="BA86" i="34"/>
  <c r="BB84" i="34"/>
  <c r="BC51" i="69"/>
  <c r="BC52" i="69" s="1"/>
  <c r="BD50" i="69"/>
  <c r="BS39" i="135"/>
  <c r="BT39" i="135" s="1"/>
  <c r="BU39" i="135" s="1"/>
  <c r="BL45" i="135"/>
  <c r="BL26" i="11" s="1"/>
  <c r="BN49" i="34" s="1"/>
  <c r="BR26" i="144"/>
  <c r="BS26" i="144" s="1"/>
  <c r="BT26" i="144" s="1"/>
  <c r="BP26" i="136"/>
  <c r="BV38" i="133"/>
  <c r="BU40" i="145"/>
  <c r="BO39" i="136"/>
  <c r="BP39" i="136" s="1"/>
  <c r="BQ39" i="136" s="1"/>
  <c r="BR39" i="136" s="1"/>
  <c r="BS39" i="136" s="1"/>
  <c r="BP35" i="133"/>
  <c r="BP28" i="136"/>
  <c r="BM36" i="145"/>
  <c r="BN36" i="145" s="1"/>
  <c r="BO36" i="145" s="1"/>
  <c r="BP36" i="145" s="1"/>
  <c r="BQ36" i="145" s="1"/>
  <c r="BR36" i="145" s="1"/>
  <c r="BR25" i="131"/>
  <c r="BS25" i="131" s="1"/>
  <c r="BT25" i="131" s="1"/>
  <c r="BO43" i="144"/>
  <c r="BP32" i="144"/>
  <c r="BQ26" i="136"/>
  <c r="BV39" i="135"/>
  <c r="BL52" i="145"/>
  <c r="BM32" i="145"/>
  <c r="BM25" i="135"/>
  <c r="BO43" i="133"/>
  <c r="BP33" i="133"/>
  <c r="BV35" i="131"/>
  <c r="BR38" i="144"/>
  <c r="BS38" i="144" s="1"/>
  <c r="BT38" i="144" s="1"/>
  <c r="BN34" i="135"/>
  <c r="BM43" i="135"/>
  <c r="BS36" i="145"/>
  <c r="BT36" i="145" s="1"/>
  <c r="BN43" i="133"/>
  <c r="BT37" i="144"/>
  <c r="BU37" i="144" s="1"/>
  <c r="BV37" i="144" s="1"/>
  <c r="BM34" i="136"/>
  <c r="BL43" i="136"/>
  <c r="BQ33" i="136"/>
  <c r="BQ25" i="145"/>
  <c r="BR25" i="145" s="1"/>
  <c r="BS25" i="145" s="1"/>
  <c r="BT25" i="145" s="1"/>
  <c r="BU25" i="145" s="1"/>
  <c r="BN20" i="133"/>
  <c r="BO20" i="133" s="1"/>
  <c r="BP20" i="133" s="1"/>
  <c r="BQ20" i="133" s="1"/>
  <c r="BR20" i="133" s="1"/>
  <c r="BP39" i="145"/>
  <c r="BS37" i="131"/>
  <c r="BV37" i="131" s="1"/>
  <c r="BS28" i="131"/>
  <c r="BM37" i="145"/>
  <c r="BT48" i="145"/>
  <c r="BU48" i="145" s="1"/>
  <c r="BT37" i="131"/>
  <c r="BU37" i="131" s="1"/>
  <c r="BV40" i="145"/>
  <c r="BT25" i="132"/>
  <c r="BO36" i="135"/>
  <c r="BR32" i="135"/>
  <c r="BU36" i="145"/>
  <c r="BU25" i="131"/>
  <c r="BR26" i="136"/>
  <c r="BS26" i="136" s="1"/>
  <c r="BT26" i="136" s="1"/>
  <c r="BL43" i="131"/>
  <c r="BM32" i="131"/>
  <c r="BO33" i="131"/>
  <c r="BP33" i="131" s="1"/>
  <c r="BQ33" i="131" s="1"/>
  <c r="BR33" i="131" s="1"/>
  <c r="BS33" i="131" s="1"/>
  <c r="BT33" i="131" s="1"/>
  <c r="BU33" i="131"/>
  <c r="BV33" i="131" s="1"/>
  <c r="BP43" i="132"/>
  <c r="BQ42" i="132"/>
  <c r="BP28" i="132"/>
  <c r="BQ28" i="132" s="1"/>
  <c r="BR28" i="132" s="1"/>
  <c r="BS28" i="132" s="1"/>
  <c r="BT28" i="132" s="1"/>
  <c r="BU28" i="132"/>
  <c r="BV28" i="132"/>
  <c r="BM25" i="136"/>
  <c r="BH69" i="34"/>
  <c r="BI15" i="70"/>
  <c r="V38" i="57"/>
  <c r="V40" i="57" s="1"/>
  <c r="BK19" i="144"/>
  <c r="BJ29" i="144"/>
  <c r="BJ45" i="144" s="1"/>
  <c r="BL48" i="34"/>
  <c r="BL61" i="34" s="1"/>
  <c r="BN7" i="135"/>
  <c r="BM12" i="61"/>
  <c r="BM21" i="135"/>
  <c r="BM29" i="135" s="1"/>
  <c r="BM45" i="135" s="1"/>
  <c r="BM26" i="11" s="1"/>
  <c r="BO49" i="34" s="1"/>
  <c r="BL21" i="134"/>
  <c r="BL29" i="134" s="1"/>
  <c r="BM7" i="134"/>
  <c r="BL11" i="61"/>
  <c r="BN7" i="132"/>
  <c r="BM21" i="132"/>
  <c r="BM29" i="132" s="1"/>
  <c r="BM57" i="132" s="1"/>
  <c r="BM18" i="11" s="1"/>
  <c r="BO39" i="34" s="1"/>
  <c r="W34" i="57" s="1"/>
  <c r="BM8" i="61"/>
  <c r="BK14" i="61"/>
  <c r="BM43" i="34"/>
  <c r="BK49" i="11"/>
  <c r="BK23" i="11"/>
  <c r="BL9" i="61"/>
  <c r="BM7" i="133"/>
  <c r="BL21" i="133"/>
  <c r="BL29" i="133" s="1"/>
  <c r="BL45" i="133" s="1"/>
  <c r="BL22" i="11" s="1"/>
  <c r="BN44" i="34" s="1"/>
  <c r="BL10" i="126"/>
  <c r="BL17" i="126" s="1"/>
  <c r="BK45" i="107" s="1"/>
  <c r="BM7" i="145"/>
  <c r="BL21" i="145"/>
  <c r="BL29" i="145" s="1"/>
  <c r="BL54" i="145" s="1"/>
  <c r="BI74" i="34"/>
  <c r="BI69" i="34"/>
  <c r="BM7" i="131"/>
  <c r="BL21" i="131"/>
  <c r="BL29" i="131" s="1"/>
  <c r="BL45" i="131" s="1"/>
  <c r="BK17" i="11" s="1"/>
  <c r="BL7" i="61"/>
  <c r="BM7" i="136"/>
  <c r="BL21" i="136"/>
  <c r="BL29" i="136" s="1"/>
  <c r="BL45" i="136" s="1"/>
  <c r="BL21" i="11" s="1"/>
  <c r="BL10" i="61"/>
  <c r="BJ40" i="34"/>
  <c r="BJ63" i="34" s="1"/>
  <c r="BL38" i="34"/>
  <c r="BL40" i="34" s="1"/>
  <c r="BJ19" i="11"/>
  <c r="BJ40" i="11" s="1"/>
  <c r="BK38" i="34"/>
  <c r="BK40" i="34" s="1"/>
  <c r="BI19" i="11"/>
  <c r="BI40" i="11" s="1"/>
  <c r="BM21" i="144"/>
  <c r="BN7" i="144"/>
  <c r="BK45" i="134"/>
  <c r="BK25" i="11" s="1"/>
  <c r="BK38" i="11" s="1"/>
  <c r="BM34" i="134"/>
  <c r="BL43" i="134"/>
  <c r="BP32" i="134"/>
  <c r="BH78" i="34"/>
  <c r="BM19" i="134"/>
  <c r="BG82" i="34"/>
  <c r="BK61" i="34"/>
  <c r="BF9" i="70"/>
  <c r="BF19" i="70" s="1"/>
  <c r="BF41" i="70" s="1"/>
  <c r="T75" i="57"/>
  <c r="AS12" i="69"/>
  <c r="AS24" i="69" s="1"/>
  <c r="AS53" i="69" s="1"/>
  <c r="AS40" i="70"/>
  <c r="BB86" i="34" l="1"/>
  <c r="BB85" i="34"/>
  <c r="BH17" i="70"/>
  <c r="BI33" i="69"/>
  <c r="BI36" i="69" s="1"/>
  <c r="BD51" i="69"/>
  <c r="BD52" i="69" s="1"/>
  <c r="BC84" i="34"/>
  <c r="BE50" i="69"/>
  <c r="BQ30" i="69"/>
  <c r="BO16" i="70"/>
  <c r="BK61" i="69"/>
  <c r="BK65" i="69" s="1"/>
  <c r="BJ29" i="69"/>
  <c r="W44" i="57"/>
  <c r="BN25" i="136"/>
  <c r="BO25" i="136" s="1"/>
  <c r="BP25" i="136" s="1"/>
  <c r="BQ25" i="136" s="1"/>
  <c r="BR25" i="136" s="1"/>
  <c r="BS25" i="136" s="1"/>
  <c r="BQ39" i="145"/>
  <c r="BR39" i="145" s="1"/>
  <c r="BS39" i="145" s="1"/>
  <c r="BT39" i="145" s="1"/>
  <c r="BU39" i="145" s="1"/>
  <c r="BO34" i="135"/>
  <c r="BN43" i="135"/>
  <c r="BP43" i="133"/>
  <c r="BQ33" i="133"/>
  <c r="BQ35" i="133"/>
  <c r="BR35" i="133" s="1"/>
  <c r="BS35" i="133" s="1"/>
  <c r="BT35" i="133" s="1"/>
  <c r="BU35" i="133" s="1"/>
  <c r="BV35" i="133" s="1"/>
  <c r="BU26" i="136"/>
  <c r="BV26" i="136" s="1"/>
  <c r="BU26" i="144"/>
  <c r="BV26" i="144" s="1"/>
  <c r="BQ43" i="132"/>
  <c r="BR42" i="132"/>
  <c r="BS32" i="135"/>
  <c r="BP36" i="135"/>
  <c r="BN37" i="145"/>
  <c r="BS20" i="133"/>
  <c r="BT20" i="133" s="1"/>
  <c r="BV25" i="145"/>
  <c r="BU25" i="132"/>
  <c r="BV25" i="132" s="1"/>
  <c r="BT28" i="131"/>
  <c r="BU28" i="131" s="1"/>
  <c r="BV28" i="131" s="1"/>
  <c r="BU20" i="133"/>
  <c r="BN34" i="136"/>
  <c r="BM43" i="136"/>
  <c r="BU38" i="144"/>
  <c r="BV38" i="144" s="1"/>
  <c r="BV48" i="145"/>
  <c r="BN25" i="135"/>
  <c r="BO25" i="135" s="1"/>
  <c r="BP25" i="135" s="1"/>
  <c r="BQ25" i="135" s="1"/>
  <c r="BR25" i="135" s="1"/>
  <c r="BS25" i="135" s="1"/>
  <c r="BT25" i="135" s="1"/>
  <c r="BQ28" i="136"/>
  <c r="BR28" i="136" s="1"/>
  <c r="BS28" i="136" s="1"/>
  <c r="BT28" i="136" s="1"/>
  <c r="BU28" i="136" s="1"/>
  <c r="BV28" i="136" s="1"/>
  <c r="BT39" i="136"/>
  <c r="BV39" i="136" s="1"/>
  <c r="BV25" i="131"/>
  <c r="BM43" i="131"/>
  <c r="BN32" i="131"/>
  <c r="BR33" i="136"/>
  <c r="BT25" i="136"/>
  <c r="BM52" i="145"/>
  <c r="BN32" i="145"/>
  <c r="BP43" i="144"/>
  <c r="BQ32" i="144"/>
  <c r="BV36" i="145"/>
  <c r="BU39" i="136"/>
  <c r="BL63" i="34"/>
  <c r="BM28" i="69" s="1"/>
  <c r="V43" i="57"/>
  <c r="V56" i="57" s="1"/>
  <c r="I47" i="58"/>
  <c r="BK63" i="34"/>
  <c r="BL28" i="69" s="1"/>
  <c r="BL19" i="144"/>
  <c r="BK29" i="144"/>
  <c r="BK45" i="144" s="1"/>
  <c r="BM48" i="34"/>
  <c r="BM61" i="34" s="1"/>
  <c r="BN7" i="131"/>
  <c r="BM21" i="131"/>
  <c r="BM29" i="131" s="1"/>
  <c r="BM45" i="131" s="1"/>
  <c r="BL17" i="11" s="1"/>
  <c r="BM7" i="61"/>
  <c r="BO7" i="144"/>
  <c r="BN21" i="144"/>
  <c r="BK19" i="11"/>
  <c r="BK40" i="11" s="1"/>
  <c r="BM38" i="34"/>
  <c r="BI78" i="34"/>
  <c r="BI82" i="34" s="1"/>
  <c r="BI9" i="70" s="1"/>
  <c r="U67" i="57"/>
  <c r="BM21" i="134"/>
  <c r="BM29" i="134" s="1"/>
  <c r="BN7" i="134"/>
  <c r="BM11" i="61"/>
  <c r="BO7" i="135"/>
  <c r="BN21" i="135"/>
  <c r="BN29" i="135" s="1"/>
  <c r="BN45" i="135" s="1"/>
  <c r="BN26" i="11" s="1"/>
  <c r="BP49" i="34" s="1"/>
  <c r="BN12" i="61"/>
  <c r="BK28" i="69"/>
  <c r="BJ66" i="34"/>
  <c r="BN7" i="136"/>
  <c r="BM10" i="61"/>
  <c r="BM21" i="136"/>
  <c r="BM29" i="136" s="1"/>
  <c r="BM45" i="136" s="1"/>
  <c r="BM21" i="11" s="1"/>
  <c r="BN7" i="145"/>
  <c r="BM21" i="145"/>
  <c r="BM29" i="145" s="1"/>
  <c r="BM54" i="145" s="1"/>
  <c r="BM21" i="133"/>
  <c r="BM29" i="133" s="1"/>
  <c r="BM45" i="133" s="1"/>
  <c r="BM22" i="11" s="1"/>
  <c r="BO44" i="34" s="1"/>
  <c r="W39" i="57" s="1"/>
  <c r="BM9" i="61"/>
  <c r="BN7" i="133"/>
  <c r="BM45" i="34"/>
  <c r="BN21" i="132"/>
  <c r="BN29" i="132" s="1"/>
  <c r="BN57" i="132" s="1"/>
  <c r="BN18" i="11" s="1"/>
  <c r="BP39" i="34" s="1"/>
  <c r="BN8" i="61"/>
  <c r="BO7" i="132"/>
  <c r="BL49" i="11"/>
  <c r="BN43" i="34"/>
  <c r="BN45" i="34" s="1"/>
  <c r="BL23" i="11"/>
  <c r="V33" i="57"/>
  <c r="V35" i="57" s="1"/>
  <c r="BL14" i="61"/>
  <c r="BN19" i="134"/>
  <c r="BQ32" i="134"/>
  <c r="BH82" i="34"/>
  <c r="BL45" i="134"/>
  <c r="BL25" i="11" s="1"/>
  <c r="BG9" i="70"/>
  <c r="BG19" i="70" s="1"/>
  <c r="BG41" i="70" s="1"/>
  <c r="AR43" i="70"/>
  <c r="AS42" i="70"/>
  <c r="AT8" i="69" s="1"/>
  <c r="BN34" i="134"/>
  <c r="BM43" i="134"/>
  <c r="BR30" i="69" l="1"/>
  <c r="BP16" i="70"/>
  <c r="BI17" i="70"/>
  <c r="BI19" i="70" s="1"/>
  <c r="BI41" i="70" s="1"/>
  <c r="BJ33" i="69"/>
  <c r="BJ36" i="69" s="1"/>
  <c r="BE51" i="69"/>
  <c r="BE52" i="69" s="1"/>
  <c r="BF50" i="69"/>
  <c r="BD84" i="34"/>
  <c r="BL61" i="69"/>
  <c r="BL65" i="69" s="1"/>
  <c r="BK29" i="69"/>
  <c r="BJ17" i="70" s="1"/>
  <c r="BC85" i="34"/>
  <c r="BC86" i="34"/>
  <c r="BV20" i="133"/>
  <c r="BO34" i="136"/>
  <c r="BN43" i="136"/>
  <c r="BT32" i="135"/>
  <c r="BQ43" i="133"/>
  <c r="BR33" i="133"/>
  <c r="BU25" i="136"/>
  <c r="BV25" i="136" s="1"/>
  <c r="BN52" i="145"/>
  <c r="BO32" i="145"/>
  <c r="BS33" i="136"/>
  <c r="BO37" i="145"/>
  <c r="BP34" i="135"/>
  <c r="BO43" i="135"/>
  <c r="BQ43" i="144"/>
  <c r="BR32" i="144"/>
  <c r="BN43" i="131"/>
  <c r="BO32" i="131"/>
  <c r="BU25" i="135"/>
  <c r="BV25" i="135" s="1"/>
  <c r="BR43" i="132"/>
  <c r="BS42" i="132"/>
  <c r="BV39" i="145"/>
  <c r="BQ36" i="135"/>
  <c r="BR36" i="135" s="1"/>
  <c r="BS36" i="135" s="1"/>
  <c r="BT36" i="135" s="1"/>
  <c r="BU36" i="135" s="1"/>
  <c r="BV36" i="135" s="1"/>
  <c r="V58" i="57"/>
  <c r="U75" i="57"/>
  <c r="BL66" i="34"/>
  <c r="BL74" i="34" s="1"/>
  <c r="BL78" i="34" s="1"/>
  <c r="BL82" i="34" s="1"/>
  <c r="BL9" i="70" s="1"/>
  <c r="V60" i="57"/>
  <c r="V62" i="57" s="1"/>
  <c r="BK66" i="34"/>
  <c r="BK74" i="34" s="1"/>
  <c r="BM19" i="144"/>
  <c r="BL29" i="144"/>
  <c r="BL45" i="144" s="1"/>
  <c r="BO7" i="136"/>
  <c r="BN10" i="61"/>
  <c r="BN21" i="136"/>
  <c r="BN29" i="136" s="1"/>
  <c r="BN45" i="136" s="1"/>
  <c r="BN21" i="11" s="1"/>
  <c r="BN21" i="134"/>
  <c r="BN29" i="134" s="1"/>
  <c r="BN11" i="61"/>
  <c r="BO7" i="134"/>
  <c r="BM40" i="34"/>
  <c r="U71" i="57"/>
  <c r="BO7" i="131"/>
  <c r="BN7" i="61"/>
  <c r="BN21" i="131"/>
  <c r="BN29" i="131" s="1"/>
  <c r="BN45" i="131" s="1"/>
  <c r="BM17" i="11" s="1"/>
  <c r="BM45" i="134"/>
  <c r="BM25" i="11" s="1"/>
  <c r="BO48" i="34" s="1"/>
  <c r="BO61" i="34" s="1"/>
  <c r="BO7" i="133"/>
  <c r="BN21" i="133"/>
  <c r="BN29" i="133" s="1"/>
  <c r="BN45" i="133" s="1"/>
  <c r="BN22" i="11" s="1"/>
  <c r="BP44" i="34" s="1"/>
  <c r="BN9" i="61"/>
  <c r="BN21" i="145"/>
  <c r="BN29" i="145" s="1"/>
  <c r="BN54" i="145" s="1"/>
  <c r="BO7" i="145"/>
  <c r="BJ69" i="34"/>
  <c r="BJ74" i="34"/>
  <c r="BJ78" i="34" s="1"/>
  <c r="BJ82" i="34" s="1"/>
  <c r="BO12" i="61"/>
  <c r="BO21" i="135"/>
  <c r="BO29" i="135" s="1"/>
  <c r="BO45" i="135" s="1"/>
  <c r="BO26" i="11" s="1"/>
  <c r="BQ49" i="34" s="1"/>
  <c r="BP7" i="135"/>
  <c r="BM14" i="61"/>
  <c r="BP7" i="132"/>
  <c r="BO21" i="132"/>
  <c r="BO29" i="132" s="1"/>
  <c r="BO57" i="132" s="1"/>
  <c r="BO18" i="11" s="1"/>
  <c r="BQ39" i="34" s="1"/>
  <c r="BO8" i="61"/>
  <c r="BM63" i="34"/>
  <c r="BM66" i="34" s="1"/>
  <c r="BM49" i="11"/>
  <c r="BM23" i="11"/>
  <c r="BO43" i="34"/>
  <c r="BJ15" i="70"/>
  <c r="BP7" i="144"/>
  <c r="BO21" i="144"/>
  <c r="BN38" i="34"/>
  <c r="BN40" i="34" s="1"/>
  <c r="BL19" i="11"/>
  <c r="BO34" i="134"/>
  <c r="BN43" i="134"/>
  <c r="BK15" i="70"/>
  <c r="BR32" i="134"/>
  <c r="BO19" i="134"/>
  <c r="BL38" i="11"/>
  <c r="BN48" i="34"/>
  <c r="BL15" i="70"/>
  <c r="AT12" i="69"/>
  <c r="AT24" i="69" s="1"/>
  <c r="AT53" i="69" s="1"/>
  <c r="AT40" i="70"/>
  <c r="BH9" i="70"/>
  <c r="BH19" i="70" s="1"/>
  <c r="BH41" i="70" s="1"/>
  <c r="BD86" i="34" l="1"/>
  <c r="BD85" i="34"/>
  <c r="BL29" i="69"/>
  <c r="BM61" i="69"/>
  <c r="BM65" i="69" s="1"/>
  <c r="BS30" i="69"/>
  <c r="BQ16" i="70"/>
  <c r="BF51" i="69"/>
  <c r="BF52" i="69" s="1"/>
  <c r="BG50" i="69"/>
  <c r="BE84" i="34"/>
  <c r="BK33" i="69"/>
  <c r="BK36" i="69" s="1"/>
  <c r="BS43" i="132"/>
  <c r="BT42" i="132"/>
  <c r="BO43" i="131"/>
  <c r="BP32" i="131"/>
  <c r="BP37" i="145"/>
  <c r="BQ37" i="145" s="1"/>
  <c r="BR37" i="145" s="1"/>
  <c r="BS37" i="145" s="1"/>
  <c r="BT37" i="145" s="1"/>
  <c r="BU37" i="145" s="1"/>
  <c r="BR43" i="133"/>
  <c r="BS33" i="133"/>
  <c r="BT33" i="136"/>
  <c r="BO52" i="145"/>
  <c r="BP32" i="145"/>
  <c r="BP34" i="136"/>
  <c r="BO43" i="136"/>
  <c r="BR43" i="144"/>
  <c r="BS32" i="144"/>
  <c r="BQ34" i="135"/>
  <c r="BP43" i="135"/>
  <c r="BU32" i="135"/>
  <c r="BL69" i="34"/>
  <c r="BK69" i="34"/>
  <c r="BL40" i="11"/>
  <c r="BM38" i="11"/>
  <c r="BN19" i="144"/>
  <c r="BM29" i="144"/>
  <c r="BM45" i="144" s="1"/>
  <c r="BN28" i="69"/>
  <c r="BN14" i="61"/>
  <c r="BO21" i="145"/>
  <c r="BO29" i="145" s="1"/>
  <c r="BP7" i="145"/>
  <c r="BN23" i="11"/>
  <c r="BP43" i="34"/>
  <c r="BN49" i="11"/>
  <c r="BQ7" i="144"/>
  <c r="BP21" i="144"/>
  <c r="BP12" i="61"/>
  <c r="BP21" i="135"/>
  <c r="BP29" i="135" s="1"/>
  <c r="BP45" i="135" s="1"/>
  <c r="BP26" i="11" s="1"/>
  <c r="BR49" i="34" s="1"/>
  <c r="X44" i="57" s="1"/>
  <c r="BQ7" i="135"/>
  <c r="BO38" i="34"/>
  <c r="BM19" i="11"/>
  <c r="BO21" i="133"/>
  <c r="BO29" i="133" s="1"/>
  <c r="BO45" i="133" s="1"/>
  <c r="BO22" i="11" s="1"/>
  <c r="BQ44" i="34" s="1"/>
  <c r="BP7" i="133"/>
  <c r="BO9" i="61"/>
  <c r="BP21" i="132"/>
  <c r="BP29" i="132" s="1"/>
  <c r="BP57" i="132" s="1"/>
  <c r="BP18" i="11" s="1"/>
  <c r="BR39" i="34" s="1"/>
  <c r="X34" i="57" s="1"/>
  <c r="BQ7" i="132"/>
  <c r="BP8" i="61"/>
  <c r="BP7" i="131"/>
  <c r="BO7" i="61"/>
  <c r="BO21" i="131"/>
  <c r="BO29" i="131" s="1"/>
  <c r="BO45" i="131" s="1"/>
  <c r="BN17" i="11" s="1"/>
  <c r="BO21" i="134"/>
  <c r="BO29" i="134" s="1"/>
  <c r="BP7" i="134"/>
  <c r="BO11" i="61"/>
  <c r="BO45" i="34"/>
  <c r="W38" i="57"/>
  <c r="W40" i="57" s="1"/>
  <c r="BO21" i="136"/>
  <c r="BO29" i="136" s="1"/>
  <c r="BO45" i="136" s="1"/>
  <c r="BO21" i="11" s="1"/>
  <c r="BP7" i="136"/>
  <c r="BO10" i="61"/>
  <c r="BM74" i="34"/>
  <c r="BM69" i="34"/>
  <c r="BJ9" i="70"/>
  <c r="BJ19" i="70" s="1"/>
  <c r="BJ41" i="70" s="1"/>
  <c r="BP19" i="134"/>
  <c r="BN45" i="134"/>
  <c r="BN25" i="11" s="1"/>
  <c r="AT42" i="70"/>
  <c r="AU8" i="69" s="1"/>
  <c r="AS43" i="70"/>
  <c r="BN61" i="34"/>
  <c r="BN63" i="34" s="1"/>
  <c r="W43" i="57"/>
  <c r="W56" i="57" s="1"/>
  <c r="BK78" i="34"/>
  <c r="V67" i="57"/>
  <c r="BS32" i="134"/>
  <c r="BP34" i="134"/>
  <c r="BO43" i="134"/>
  <c r="BK17" i="70" l="1"/>
  <c r="BL33" i="69"/>
  <c r="BL36" i="69" s="1"/>
  <c r="BH50" i="69"/>
  <c r="BG51" i="69"/>
  <c r="BG52" i="69" s="1"/>
  <c r="BF84" i="34"/>
  <c r="BM29" i="69"/>
  <c r="BN61" i="69"/>
  <c r="BN65" i="69" s="1"/>
  <c r="BE85" i="34"/>
  <c r="BE86" i="34"/>
  <c r="BR16" i="70"/>
  <c r="BT30" i="69"/>
  <c r="BO54" i="145"/>
  <c r="BU33" i="136"/>
  <c r="BV37" i="145"/>
  <c r="BV32" i="135"/>
  <c r="BR34" i="135"/>
  <c r="BQ43" i="135"/>
  <c r="BQ34" i="136"/>
  <c r="BP43" i="136"/>
  <c r="BT43" i="132"/>
  <c r="BU42" i="132"/>
  <c r="BS43" i="144"/>
  <c r="BT32" i="144"/>
  <c r="BP52" i="145"/>
  <c r="BQ32" i="145"/>
  <c r="BS43" i="133"/>
  <c r="BT33" i="133"/>
  <c r="BP43" i="131"/>
  <c r="BQ32" i="131"/>
  <c r="BM40" i="11"/>
  <c r="BO45" i="134"/>
  <c r="BO25" i="11" s="1"/>
  <c r="BO38" i="11" s="1"/>
  <c r="BM15" i="70"/>
  <c r="BO19" i="144"/>
  <c r="BN29" i="144"/>
  <c r="BN45" i="144" s="1"/>
  <c r="BQ21" i="144"/>
  <c r="BR7" i="144"/>
  <c r="BQ7" i="145"/>
  <c r="BP21" i="145"/>
  <c r="BP29" i="145" s="1"/>
  <c r="BP54" i="145" s="1"/>
  <c r="BP21" i="134"/>
  <c r="BP29" i="134" s="1"/>
  <c r="BQ7" i="134"/>
  <c r="BP11" i="61"/>
  <c r="BP21" i="131"/>
  <c r="BP29" i="131" s="1"/>
  <c r="BP45" i="131" s="1"/>
  <c r="BO17" i="11" s="1"/>
  <c r="BP7" i="61"/>
  <c r="BQ7" i="131"/>
  <c r="BO49" i="11"/>
  <c r="BO23" i="11"/>
  <c r="BQ43" i="34"/>
  <c r="BQ45" i="34" s="1"/>
  <c r="BO14" i="61"/>
  <c r="BR7" i="135"/>
  <c r="BQ21" i="135"/>
  <c r="BQ29" i="135" s="1"/>
  <c r="BQ45" i="135" s="1"/>
  <c r="BQ26" i="11" s="1"/>
  <c r="BS49" i="34" s="1"/>
  <c r="BQ12" i="61"/>
  <c r="BO40" i="34"/>
  <c r="BO63" i="34" s="1"/>
  <c r="W58" i="57" s="1"/>
  <c r="W33" i="57"/>
  <c r="W35" i="57" s="1"/>
  <c r="W60" i="57" s="1"/>
  <c r="W62" i="57" s="1"/>
  <c r="BP45" i="34"/>
  <c r="BQ7" i="136"/>
  <c r="BP10" i="61"/>
  <c r="BP21" i="136"/>
  <c r="BP29" i="136" s="1"/>
  <c r="BP45" i="136" s="1"/>
  <c r="BP21" i="11" s="1"/>
  <c r="BP38" i="34"/>
  <c r="BN19" i="11"/>
  <c r="BR7" i="132"/>
  <c r="BQ8" i="61"/>
  <c r="BQ21" i="132"/>
  <c r="BQ29" i="132" s="1"/>
  <c r="BQ57" i="132" s="1"/>
  <c r="BQ18" i="11" s="1"/>
  <c r="BS39" i="34" s="1"/>
  <c r="BQ7" i="133"/>
  <c r="BP9" i="61"/>
  <c r="BP21" i="133"/>
  <c r="BP29" i="133" s="1"/>
  <c r="BP45" i="133" s="1"/>
  <c r="BP22" i="11" s="1"/>
  <c r="BR44" i="34" s="1"/>
  <c r="X39" i="57" s="1"/>
  <c r="BM78" i="34"/>
  <c r="BQ34" i="134"/>
  <c r="BP43" i="134"/>
  <c r="BO28" i="69"/>
  <c r="BN66" i="34"/>
  <c r="BT32" i="134"/>
  <c r="BK82" i="34"/>
  <c r="U75" i="58"/>
  <c r="V71" i="57"/>
  <c r="AU40" i="70"/>
  <c r="AU12" i="69"/>
  <c r="AU24" i="69" s="1"/>
  <c r="AU53" i="69" s="1"/>
  <c r="BQ19" i="134"/>
  <c r="BN38" i="11"/>
  <c r="BP48" i="34"/>
  <c r="BU30" i="69" l="1"/>
  <c r="BS16" i="70"/>
  <c r="BO61" i="69"/>
  <c r="BO65" i="69" s="1"/>
  <c r="BN29" i="69"/>
  <c r="BG84" i="34"/>
  <c r="BH51" i="69"/>
  <c r="BH52" i="69" s="1"/>
  <c r="BI50" i="69"/>
  <c r="BL17" i="70"/>
  <c r="BL19" i="70" s="1"/>
  <c r="BL41" i="70" s="1"/>
  <c r="BM33" i="69"/>
  <c r="BM36" i="69" s="1"/>
  <c r="BF85" i="34"/>
  <c r="BF86" i="34"/>
  <c r="BQ43" i="131"/>
  <c r="BR32" i="131"/>
  <c r="BR34" i="136"/>
  <c r="BQ43" i="136"/>
  <c r="BQ52" i="145"/>
  <c r="BR32" i="145"/>
  <c r="BU43" i="132"/>
  <c r="BV42" i="132"/>
  <c r="BV43" i="132" s="1"/>
  <c r="BT43" i="133"/>
  <c r="BU33" i="133"/>
  <c r="BS34" i="135"/>
  <c r="BR43" i="135"/>
  <c r="BV33" i="136"/>
  <c r="BT43" i="144"/>
  <c r="BU32" i="144"/>
  <c r="BQ48" i="34"/>
  <c r="BQ61" i="34" s="1"/>
  <c r="BN40" i="11"/>
  <c r="BP19" i="144"/>
  <c r="BO29" i="144"/>
  <c r="BO45" i="144" s="1"/>
  <c r="BQ21" i="133"/>
  <c r="BQ29" i="133" s="1"/>
  <c r="BQ45" i="133" s="1"/>
  <c r="BQ22" i="11" s="1"/>
  <c r="BS44" i="34" s="1"/>
  <c r="BQ9" i="61"/>
  <c r="BR7" i="133"/>
  <c r="BR7" i="136"/>
  <c r="BQ21" i="136"/>
  <c r="BQ29" i="136" s="1"/>
  <c r="BQ45" i="136" s="1"/>
  <c r="BQ21" i="11" s="1"/>
  <c r="BQ10" i="61"/>
  <c r="BR21" i="135"/>
  <c r="BR29" i="135" s="1"/>
  <c r="BR45" i="135" s="1"/>
  <c r="BR26" i="11" s="1"/>
  <c r="BT49" i="34" s="1"/>
  <c r="BS7" i="135"/>
  <c r="BR12" i="61"/>
  <c r="BR7" i="145"/>
  <c r="BQ21" i="145"/>
  <c r="BQ29" i="145" s="1"/>
  <c r="BQ54" i="145" s="1"/>
  <c r="BP40" i="34"/>
  <c r="BO66" i="34"/>
  <c r="BP28" i="69"/>
  <c r="BR7" i="131"/>
  <c r="BQ7" i="61"/>
  <c r="BQ21" i="131"/>
  <c r="BQ29" i="131" s="1"/>
  <c r="BQ45" i="131" s="1"/>
  <c r="BP17" i="11" s="1"/>
  <c r="BQ21" i="134"/>
  <c r="BQ29" i="134" s="1"/>
  <c r="BQ11" i="61"/>
  <c r="BR7" i="134"/>
  <c r="BS7" i="144"/>
  <c r="BR21" i="144"/>
  <c r="BP49" i="11"/>
  <c r="BP23" i="11"/>
  <c r="BR43" i="34"/>
  <c r="BP14" i="61"/>
  <c r="BR21" i="132"/>
  <c r="BR29" i="132" s="1"/>
  <c r="BR57" i="132" s="1"/>
  <c r="BR18" i="11" s="1"/>
  <c r="BT39" i="34" s="1"/>
  <c r="BS7" i="132"/>
  <c r="BR8" i="61"/>
  <c r="BO19" i="11"/>
  <c r="BO40" i="11" s="1"/>
  <c r="BQ38" i="34"/>
  <c r="BQ40" i="34" s="1"/>
  <c r="BN69" i="34"/>
  <c r="BN74" i="34"/>
  <c r="BP45" i="134"/>
  <c r="BP25" i="11" s="1"/>
  <c r="BK9" i="70"/>
  <c r="BK19" i="70" s="1"/>
  <c r="BK41" i="70" s="1"/>
  <c r="V75" i="57"/>
  <c r="BN15" i="70"/>
  <c r="BR34" i="134"/>
  <c r="BQ43" i="134"/>
  <c r="BP61" i="34"/>
  <c r="BP63" i="34" s="1"/>
  <c r="BR19" i="134"/>
  <c r="AT43" i="70"/>
  <c r="AU42" i="70"/>
  <c r="AV8" i="69" s="1"/>
  <c r="BU32" i="134"/>
  <c r="BM82" i="34"/>
  <c r="BI51" i="69" l="1"/>
  <c r="BI52" i="69" s="1"/>
  <c r="BJ50" i="69"/>
  <c r="BH84" i="34"/>
  <c r="BO29" i="69"/>
  <c r="BP61" i="69"/>
  <c r="BP65" i="69" s="1"/>
  <c r="BM17" i="70"/>
  <c r="BN33" i="69"/>
  <c r="BN36" i="69" s="1"/>
  <c r="BG85" i="34"/>
  <c r="BG86" i="34"/>
  <c r="BV30" i="69"/>
  <c r="BT16" i="70"/>
  <c r="BU43" i="144"/>
  <c r="BV32" i="144"/>
  <c r="BV43" i="144" s="1"/>
  <c r="BT34" i="135"/>
  <c r="BS43" i="135"/>
  <c r="BS34" i="136"/>
  <c r="BR43" i="136"/>
  <c r="BU43" i="133"/>
  <c r="BV33" i="133"/>
  <c r="BV43" i="133" s="1"/>
  <c r="BR52" i="145"/>
  <c r="BS32" i="145"/>
  <c r="BR43" i="131"/>
  <c r="BS32" i="131"/>
  <c r="BQ63" i="34"/>
  <c r="BR28" i="69" s="1"/>
  <c r="BQ14" i="61"/>
  <c r="BQ19" i="144"/>
  <c r="BP29" i="144"/>
  <c r="BP45" i="144" s="1"/>
  <c r="BR45" i="34"/>
  <c r="X38" i="57"/>
  <c r="X40" i="57" s="1"/>
  <c r="BT7" i="144"/>
  <c r="BS21" i="144"/>
  <c r="BR38" i="34"/>
  <c r="BP19" i="11"/>
  <c r="BO69" i="34"/>
  <c r="BO74" i="34"/>
  <c r="BO78" i="34" s="1"/>
  <c r="BO82" i="34" s="1"/>
  <c r="BO9" i="70" s="1"/>
  <c r="BT7" i="135"/>
  <c r="BS21" i="135"/>
  <c r="BS29" i="135" s="1"/>
  <c r="BS45" i="135" s="1"/>
  <c r="BS26" i="11" s="1"/>
  <c r="BU49" i="34" s="1"/>
  <c r="Y44" i="57" s="1"/>
  <c r="BS12" i="61"/>
  <c r="BR10" i="61"/>
  <c r="BR21" i="136"/>
  <c r="BR29" i="136" s="1"/>
  <c r="BR45" i="136" s="1"/>
  <c r="BR21" i="11" s="1"/>
  <c r="BS7" i="136"/>
  <c r="BS7" i="133"/>
  <c r="BR21" i="133"/>
  <c r="BR29" i="133" s="1"/>
  <c r="BR45" i="133" s="1"/>
  <c r="BR22" i="11" s="1"/>
  <c r="BT44" i="34" s="1"/>
  <c r="BR9" i="61"/>
  <c r="BO15" i="70"/>
  <c r="BR21" i="131"/>
  <c r="BR29" i="131" s="1"/>
  <c r="BR45" i="131" s="1"/>
  <c r="BQ17" i="11" s="1"/>
  <c r="BS7" i="131"/>
  <c r="BR7" i="61"/>
  <c r="BS7" i="145"/>
  <c r="BR21" i="145"/>
  <c r="BR29" i="145" s="1"/>
  <c r="BR54" i="145" s="1"/>
  <c r="BR21" i="134"/>
  <c r="BR29" i="134" s="1"/>
  <c r="BS7" i="134"/>
  <c r="BR11" i="61"/>
  <c r="BQ45" i="134"/>
  <c r="BQ25" i="11" s="1"/>
  <c r="BS48" i="34" s="1"/>
  <c r="BT7" i="132"/>
  <c r="BS21" i="132"/>
  <c r="BS29" i="132" s="1"/>
  <c r="BS57" i="132" s="1"/>
  <c r="BS18" i="11" s="1"/>
  <c r="BU39" i="34" s="1"/>
  <c r="Y34" i="57" s="1"/>
  <c r="BS8" i="61"/>
  <c r="BS43" i="34"/>
  <c r="BQ49" i="11"/>
  <c r="BQ23" i="11"/>
  <c r="BM9" i="70"/>
  <c r="BV32" i="134"/>
  <c r="BS19" i="134"/>
  <c r="AV12" i="69"/>
  <c r="AV24" i="69" s="1"/>
  <c r="AV53" i="69" s="1"/>
  <c r="AV40" i="70"/>
  <c r="BP66" i="34"/>
  <c r="BQ28" i="69"/>
  <c r="BR48" i="34"/>
  <c r="BP38" i="11"/>
  <c r="BS34" i="134"/>
  <c r="BR43" i="134"/>
  <c r="BN78" i="34"/>
  <c r="BM19" i="70" l="1"/>
  <c r="BM41" i="70" s="1"/>
  <c r="BN17" i="70"/>
  <c r="BO33" i="69"/>
  <c r="BO36" i="69" s="1"/>
  <c r="BU16" i="70"/>
  <c r="BW30" i="69"/>
  <c r="BH86" i="34"/>
  <c r="BH85" i="34"/>
  <c r="BJ51" i="69"/>
  <c r="BJ52" i="69" s="1"/>
  <c r="BK50" i="69"/>
  <c r="BI84" i="34"/>
  <c r="BQ61" i="69"/>
  <c r="BQ65" i="69" s="1"/>
  <c r="BP29" i="69"/>
  <c r="BQ66" i="34"/>
  <c r="BQ74" i="34" s="1"/>
  <c r="BQ78" i="34" s="1"/>
  <c r="BQ82" i="34" s="1"/>
  <c r="BQ9" i="70" s="1"/>
  <c r="W67" i="57"/>
  <c r="BS52" i="145"/>
  <c r="BT32" i="145"/>
  <c r="BU34" i="135"/>
  <c r="BT43" i="135"/>
  <c r="BS43" i="131"/>
  <c r="BT32" i="131"/>
  <c r="BT34" i="136"/>
  <c r="BS43" i="136"/>
  <c r="BQ38" i="11"/>
  <c r="BP40" i="11"/>
  <c r="BQ69" i="34"/>
  <c r="BR19" i="144"/>
  <c r="BQ29" i="144"/>
  <c r="BQ45" i="144" s="1"/>
  <c r="BT7" i="145"/>
  <c r="BS21" i="145"/>
  <c r="BS29" i="145" s="1"/>
  <c r="BS54" i="145" s="1"/>
  <c r="BT7" i="136"/>
  <c r="BS21" i="136"/>
  <c r="BS29" i="136" s="1"/>
  <c r="BS45" i="136" s="1"/>
  <c r="BS21" i="11" s="1"/>
  <c r="BS10" i="61"/>
  <c r="BR23" i="11"/>
  <c r="BT43" i="34"/>
  <c r="BT45" i="34" s="1"/>
  <c r="BR49" i="11"/>
  <c r="BT21" i="132"/>
  <c r="BT29" i="132" s="1"/>
  <c r="BT57" i="132" s="1"/>
  <c r="BT18" i="11" s="1"/>
  <c r="BV39" i="34" s="1"/>
  <c r="BU7" i="132"/>
  <c r="BT8" i="61"/>
  <c r="BT7" i="131"/>
  <c r="BS7" i="61"/>
  <c r="BS21" i="131"/>
  <c r="BS29" i="131" s="1"/>
  <c r="BS45" i="131" s="1"/>
  <c r="BR17" i="11" s="1"/>
  <c r="BS11" i="61"/>
  <c r="BT7" i="134"/>
  <c r="BS21" i="134"/>
  <c r="BS29" i="134" s="1"/>
  <c r="BR14" i="61"/>
  <c r="BU7" i="135"/>
  <c r="BT12" i="61"/>
  <c r="BT21" i="135"/>
  <c r="BT29" i="135" s="1"/>
  <c r="BT45" i="135" s="1"/>
  <c r="BT26" i="11" s="1"/>
  <c r="BV49" i="34" s="1"/>
  <c r="BR40" i="34"/>
  <c r="X33" i="57"/>
  <c r="X35" i="57" s="1"/>
  <c r="BS45" i="34"/>
  <c r="BQ19" i="11"/>
  <c r="BS38" i="34"/>
  <c r="BS21" i="133"/>
  <c r="BS29" i="133" s="1"/>
  <c r="BS45" i="133" s="1"/>
  <c r="BS22" i="11" s="1"/>
  <c r="BU44" i="34" s="1"/>
  <c r="Y39" i="57" s="1"/>
  <c r="BS9" i="61"/>
  <c r="BT7" i="133"/>
  <c r="BU7" i="144"/>
  <c r="BT21" i="144"/>
  <c r="BR45" i="134"/>
  <c r="BR25" i="11" s="1"/>
  <c r="BT48" i="34" s="1"/>
  <c r="BT61" i="34" s="1"/>
  <c r="BS61" i="34"/>
  <c r="BT19" i="134"/>
  <c r="BR61" i="34"/>
  <c r="X43" i="57"/>
  <c r="X56" i="57" s="1"/>
  <c r="AV42" i="70"/>
  <c r="AW8" i="69" s="1"/>
  <c r="AU43" i="70"/>
  <c r="BP74" i="34"/>
  <c r="BP69" i="34"/>
  <c r="BN82" i="34"/>
  <c r="W71" i="57"/>
  <c r="BT34" i="134"/>
  <c r="BS43" i="134"/>
  <c r="BP15" i="70"/>
  <c r="BQ15" i="70"/>
  <c r="BO17" i="70" l="1"/>
  <c r="BO19" i="70" s="1"/>
  <c r="BO41" i="70" s="1"/>
  <c r="BP33" i="69"/>
  <c r="BP36" i="69" s="1"/>
  <c r="BL50" i="69"/>
  <c r="BJ84" i="34"/>
  <c r="BK51" i="69"/>
  <c r="BK52" i="69" s="1"/>
  <c r="BX30" i="69"/>
  <c r="BY30" i="69" s="1"/>
  <c r="BV16" i="70"/>
  <c r="BQ29" i="69"/>
  <c r="BR61" i="69"/>
  <c r="BR65" i="69" s="1"/>
  <c r="BI86" i="34"/>
  <c r="BI85" i="34"/>
  <c r="BU34" i="136"/>
  <c r="BT43" i="136"/>
  <c r="BV34" i="135"/>
  <c r="BV43" i="135" s="1"/>
  <c r="BU43" i="135"/>
  <c r="BT43" i="131"/>
  <c r="BU32" i="131"/>
  <c r="BT52" i="145"/>
  <c r="BU32" i="145"/>
  <c r="BQ40" i="11"/>
  <c r="BR63" i="34"/>
  <c r="BS28" i="69" s="1"/>
  <c r="BS19" i="144"/>
  <c r="BR29" i="144"/>
  <c r="BR45" i="144" s="1"/>
  <c r="X60" i="57"/>
  <c r="X62" i="57" s="1"/>
  <c r="BR38" i="11"/>
  <c r="BT21" i="133"/>
  <c r="BT29" i="133" s="1"/>
  <c r="BT45" i="133" s="1"/>
  <c r="BT22" i="11" s="1"/>
  <c r="BV44" i="34" s="1"/>
  <c r="BT9" i="61"/>
  <c r="BU7" i="133"/>
  <c r="BS23" i="11"/>
  <c r="BU43" i="34"/>
  <c r="BU45" i="34" s="1"/>
  <c r="BS49" i="11"/>
  <c r="BU21" i="132"/>
  <c r="BU29" i="132" s="1"/>
  <c r="BU57" i="132" s="1"/>
  <c r="BU18" i="11" s="1"/>
  <c r="BW39" i="34" s="1"/>
  <c r="BU8" i="61"/>
  <c r="BV7" i="132"/>
  <c r="BT10" i="61"/>
  <c r="BU7" i="136"/>
  <c r="BT21" i="136"/>
  <c r="BT29" i="136" s="1"/>
  <c r="BT45" i="136" s="1"/>
  <c r="BT21" i="11" s="1"/>
  <c r="BS45" i="134"/>
  <c r="BS25" i="11" s="1"/>
  <c r="BS38" i="11" s="1"/>
  <c r="BT21" i="134"/>
  <c r="BT29" i="134" s="1"/>
  <c r="BU7" i="134"/>
  <c r="BT11" i="61"/>
  <c r="BS14" i="61"/>
  <c r="BT38" i="34"/>
  <c r="BT40" i="34" s="1"/>
  <c r="BT63" i="34" s="1"/>
  <c r="BR19" i="11"/>
  <c r="BU21" i="144"/>
  <c r="BV7" i="144"/>
  <c r="BV21" i="144" s="1"/>
  <c r="BS40" i="34"/>
  <c r="BS63" i="34" s="1"/>
  <c r="BU12" i="61"/>
  <c r="BU21" i="135"/>
  <c r="BU29" i="135" s="1"/>
  <c r="BU45" i="135" s="1"/>
  <c r="BU26" i="11" s="1"/>
  <c r="BW49" i="34" s="1"/>
  <c r="BV7" i="135"/>
  <c r="BU7" i="131"/>
  <c r="BT21" i="131"/>
  <c r="BT29" i="131" s="1"/>
  <c r="BT45" i="131" s="1"/>
  <c r="BS17" i="11" s="1"/>
  <c r="BT7" i="61"/>
  <c r="BU7" i="145"/>
  <c r="BT21" i="145"/>
  <c r="BT29" i="145" s="1"/>
  <c r="BU19" i="134"/>
  <c r="BN9" i="70"/>
  <c r="BN19" i="70" s="1"/>
  <c r="BN41" i="70" s="1"/>
  <c r="W75" i="57"/>
  <c r="BU34" i="134"/>
  <c r="BT43" i="134"/>
  <c r="BP78" i="34"/>
  <c r="AW40" i="70"/>
  <c r="AW12" i="69"/>
  <c r="AW24" i="69" s="1"/>
  <c r="AW53" i="69" s="1"/>
  <c r="BP17" i="70" l="1"/>
  <c r="BQ33" i="69"/>
  <c r="BQ36" i="69" s="1"/>
  <c r="BJ85" i="34"/>
  <c r="BJ86" i="34"/>
  <c r="BL51" i="69"/>
  <c r="BL52" i="69" s="1"/>
  <c r="BM50" i="69"/>
  <c r="BK84" i="34"/>
  <c r="BS61" i="69"/>
  <c r="BS65" i="69" s="1"/>
  <c r="BR29" i="69"/>
  <c r="BT14" i="61"/>
  <c r="BT54" i="145"/>
  <c r="X58" i="57"/>
  <c r="BU52" i="145"/>
  <c r="BV32" i="145"/>
  <c r="BV52" i="145" s="1"/>
  <c r="BU43" i="131"/>
  <c r="BV32" i="131"/>
  <c r="BV43" i="131" s="1"/>
  <c r="BV34" i="136"/>
  <c r="BV43" i="136" s="1"/>
  <c r="BU43" i="136"/>
  <c r="BR66" i="34"/>
  <c r="BR74" i="34" s="1"/>
  <c r="BT19" i="144"/>
  <c r="BS29" i="144"/>
  <c r="BS45" i="144" s="1"/>
  <c r="BT28" i="69"/>
  <c r="BS66" i="34"/>
  <c r="BS69" i="34" s="1"/>
  <c r="Y38" i="57"/>
  <c r="Y40" i="57" s="1"/>
  <c r="BU48" i="34"/>
  <c r="BU61" i="34" s="1"/>
  <c r="BT66" i="34"/>
  <c r="BT74" i="34" s="1"/>
  <c r="BT78" i="34" s="1"/>
  <c r="BT82" i="34" s="1"/>
  <c r="BU28" i="69"/>
  <c r="BV7" i="145"/>
  <c r="BV21" i="145" s="1"/>
  <c r="BV29" i="145" s="1"/>
  <c r="BV54" i="145" s="1"/>
  <c r="BU21" i="145"/>
  <c r="BU29" i="145" s="1"/>
  <c r="BV21" i="135"/>
  <c r="BV29" i="135" s="1"/>
  <c r="BV45" i="135" s="1"/>
  <c r="BV26" i="11" s="1"/>
  <c r="BX49" i="34" s="1"/>
  <c r="Z44" i="57" s="1"/>
  <c r="BV12" i="61"/>
  <c r="BU21" i="134"/>
  <c r="BU29" i="134" s="1"/>
  <c r="BV7" i="134"/>
  <c r="BU11" i="61"/>
  <c r="BT23" i="11"/>
  <c r="BT49" i="11"/>
  <c r="BV43" i="34"/>
  <c r="BU38" i="34"/>
  <c r="BS19" i="11"/>
  <c r="BS40" i="11" s="1"/>
  <c r="BV7" i="133"/>
  <c r="BU21" i="133"/>
  <c r="BU29" i="133" s="1"/>
  <c r="BU45" i="133" s="1"/>
  <c r="BU22" i="11" s="1"/>
  <c r="BW44" i="34" s="1"/>
  <c r="BU9" i="61"/>
  <c r="BR40" i="11"/>
  <c r="BU21" i="136"/>
  <c r="BU29" i="136" s="1"/>
  <c r="BU45" i="136" s="1"/>
  <c r="BU21" i="11" s="1"/>
  <c r="BU10" i="61"/>
  <c r="BV7" i="136"/>
  <c r="BT45" i="134"/>
  <c r="BT25" i="11" s="1"/>
  <c r="BT38" i="11" s="1"/>
  <c r="BU21" i="131"/>
  <c r="BU29" i="131" s="1"/>
  <c r="BU45" i="131" s="1"/>
  <c r="BT17" i="11" s="1"/>
  <c r="BV7" i="131"/>
  <c r="BU7" i="61"/>
  <c r="BV21" i="132"/>
  <c r="BV29" i="132" s="1"/>
  <c r="BV57" i="132" s="1"/>
  <c r="BV18" i="11" s="1"/>
  <c r="BX39" i="34" s="1"/>
  <c r="BV8" i="61"/>
  <c r="AW42" i="70"/>
  <c r="AX8" i="69" s="1"/>
  <c r="AV43" i="70"/>
  <c r="BV34" i="134"/>
  <c r="BV43" i="134" s="1"/>
  <c r="BU43" i="134"/>
  <c r="BP82" i="34"/>
  <c r="BV19" i="134"/>
  <c r="BR15" i="70"/>
  <c r="BT61" i="69" l="1"/>
  <c r="BT65" i="69" s="1"/>
  <c r="BS29" i="69"/>
  <c r="BK85" i="34"/>
  <c r="BK86" i="34"/>
  <c r="BN50" i="69"/>
  <c r="BL84" i="34"/>
  <c r="BM51" i="69"/>
  <c r="BM52" i="69" s="1"/>
  <c r="BQ17" i="70"/>
  <c r="BQ19" i="70" s="1"/>
  <c r="BQ41" i="70" s="1"/>
  <c r="BR33" i="69"/>
  <c r="BR36" i="69" s="1"/>
  <c r="BU54" i="145"/>
  <c r="BR69" i="34"/>
  <c r="Y43" i="57"/>
  <c r="Y56" i="57" s="1"/>
  <c r="BT15" i="70"/>
  <c r="BS15" i="70"/>
  <c r="BS74" i="34"/>
  <c r="BS78" i="34" s="1"/>
  <c r="BT69" i="34"/>
  <c r="BV48" i="34"/>
  <c r="BV61" i="34" s="1"/>
  <c r="BU19" i="144"/>
  <c r="BT29" i="144"/>
  <c r="BT45" i="144" s="1"/>
  <c r="BU14" i="61"/>
  <c r="BV21" i="136"/>
  <c r="BV29" i="136" s="1"/>
  <c r="BV45" i="136" s="1"/>
  <c r="BV21" i="11" s="1"/>
  <c r="BV10" i="61"/>
  <c r="BU40" i="34"/>
  <c r="BU63" i="34" s="1"/>
  <c r="Y33" i="57"/>
  <c r="Y35" i="57" s="1"/>
  <c r="BV21" i="131"/>
  <c r="BV29" i="131" s="1"/>
  <c r="BV45" i="131" s="1"/>
  <c r="BU17" i="11" s="1"/>
  <c r="BV7" i="61"/>
  <c r="BV38" i="34"/>
  <c r="BT19" i="11"/>
  <c r="BT40" i="11" s="1"/>
  <c r="BV21" i="133"/>
  <c r="BV29" i="133" s="1"/>
  <c r="BV45" i="133" s="1"/>
  <c r="BV22" i="11" s="1"/>
  <c r="BX44" i="34" s="1"/>
  <c r="BV9" i="61"/>
  <c r="S48" i="58"/>
  <c r="S60" i="58" s="1"/>
  <c r="G48" i="58"/>
  <c r="T48" i="58"/>
  <c r="T60" i="58" s="1"/>
  <c r="H48" i="58"/>
  <c r="H60" i="58" s="1"/>
  <c r="U48" i="58"/>
  <c r="I48" i="58"/>
  <c r="I60" i="58" s="1"/>
  <c r="BW43" i="34"/>
  <c r="BW45" i="34" s="1"/>
  <c r="BU23" i="11"/>
  <c r="BU49" i="11"/>
  <c r="G38" i="58"/>
  <c r="S38" i="58"/>
  <c r="H38" i="58"/>
  <c r="T38" i="58"/>
  <c r="U38" i="58"/>
  <c r="I38" i="58"/>
  <c r="Z34" i="57"/>
  <c r="BV45" i="34"/>
  <c r="BV21" i="134"/>
  <c r="BV29" i="134" s="1"/>
  <c r="BV45" i="134" s="1"/>
  <c r="BV25" i="11" s="1"/>
  <c r="BV11" i="61"/>
  <c r="BU45" i="134"/>
  <c r="BU25" i="11" s="1"/>
  <c r="BU38" i="11" s="1"/>
  <c r="BT9" i="70"/>
  <c r="BR78" i="34"/>
  <c r="X67" i="57"/>
  <c r="BP9" i="70"/>
  <c r="BP19" i="70" s="1"/>
  <c r="BP41" i="70" s="1"/>
  <c r="AX40" i="70"/>
  <c r="AX42" i="70" s="1"/>
  <c r="AY8" i="69" s="1"/>
  <c r="AX12" i="69"/>
  <c r="AX24" i="69" s="1"/>
  <c r="AX53" i="69" s="1"/>
  <c r="BL86" i="34" l="1"/>
  <c r="BL85" i="34"/>
  <c r="BO50" i="69"/>
  <c r="BN51" i="69"/>
  <c r="BN52" i="69" s="1"/>
  <c r="BM84" i="34"/>
  <c r="BR17" i="70"/>
  <c r="BS33" i="69"/>
  <c r="BS36" i="69" s="1"/>
  <c r="BU61" i="69"/>
  <c r="BU65" i="69" s="1"/>
  <c r="BT29" i="69"/>
  <c r="Y60" i="57"/>
  <c r="Y62" i="57" s="1"/>
  <c r="BW48" i="34"/>
  <c r="BW61" i="34" s="1"/>
  <c r="BV19" i="144"/>
  <c r="BV29" i="144" s="1"/>
  <c r="BV45" i="144" s="1"/>
  <c r="BU29" i="144"/>
  <c r="BU45" i="144" s="1"/>
  <c r="BV28" i="69"/>
  <c r="BU15" i="70" s="1"/>
  <c r="BU66" i="34"/>
  <c r="BU69" i="34" s="1"/>
  <c r="Y58" i="57"/>
  <c r="BV40" i="34"/>
  <c r="BV63" i="34" s="1"/>
  <c r="BV66" i="34" s="1"/>
  <c r="S43" i="58"/>
  <c r="G43" i="58"/>
  <c r="G44" i="58" s="1"/>
  <c r="H43" i="58"/>
  <c r="H44" i="58" s="1"/>
  <c r="T43" i="58"/>
  <c r="I43" i="58"/>
  <c r="I44" i="58" s="1"/>
  <c r="U43" i="58"/>
  <c r="BW38" i="34"/>
  <c r="BU19" i="11"/>
  <c r="BU40" i="11" s="1"/>
  <c r="BV14" i="61"/>
  <c r="BV49" i="11"/>
  <c r="BV23" i="11"/>
  <c r="BX43" i="34"/>
  <c r="Z38" i="57" s="1"/>
  <c r="Z39" i="57"/>
  <c r="AY40" i="70"/>
  <c r="AY12" i="69"/>
  <c r="AY24" i="69" s="1"/>
  <c r="AY53" i="69" s="1"/>
  <c r="BV38" i="11"/>
  <c r="BX48" i="34"/>
  <c r="BS82" i="34"/>
  <c r="BR82" i="34"/>
  <c r="X71" i="57"/>
  <c r="BO51" i="69" l="1"/>
  <c r="BO52" i="69" s="1"/>
  <c r="BP50" i="69"/>
  <c r="BN84" i="34"/>
  <c r="BV61" i="69"/>
  <c r="BV65" i="69" s="1"/>
  <c r="BU29" i="69"/>
  <c r="BS17" i="70"/>
  <c r="BT33" i="69"/>
  <c r="BT36" i="69" s="1"/>
  <c r="BM86" i="34"/>
  <c r="BM85" i="34"/>
  <c r="Z43" i="57"/>
  <c r="Z56" i="57" s="1"/>
  <c r="BV40" i="11"/>
  <c r="BU74" i="34"/>
  <c r="BU78" i="34" s="1"/>
  <c r="Z40" i="57"/>
  <c r="BW28" i="69"/>
  <c r="BW40" i="34"/>
  <c r="BW63" i="34" s="1"/>
  <c r="G37" i="58"/>
  <c r="G39" i="58" s="1"/>
  <c r="S37" i="58"/>
  <c r="S39" i="58" s="1"/>
  <c r="T37" i="58"/>
  <c r="T39" i="58" s="1"/>
  <c r="H37" i="58"/>
  <c r="H39" i="58" s="1"/>
  <c r="H64" i="58" s="1"/>
  <c r="H66" i="58" s="1"/>
  <c r="I37" i="58"/>
  <c r="I39" i="58" s="1"/>
  <c r="I64" i="58" s="1"/>
  <c r="I66" i="58" s="1"/>
  <c r="U37" i="58"/>
  <c r="U39" i="58" s="1"/>
  <c r="BX45" i="34"/>
  <c r="S42" i="58"/>
  <c r="S44" i="58" s="1"/>
  <c r="T42" i="58"/>
  <c r="T44" i="58" s="1"/>
  <c r="U42" i="58"/>
  <c r="U44" i="58" s="1"/>
  <c r="Z33" i="57"/>
  <c r="Z35" i="57" s="1"/>
  <c r="BV74" i="34"/>
  <c r="BV69" i="34"/>
  <c r="BR9" i="70"/>
  <c r="BR19" i="70" s="1"/>
  <c r="BR41" i="70" s="1"/>
  <c r="X75" i="57"/>
  <c r="BS9" i="70"/>
  <c r="BX61" i="34"/>
  <c r="G47" i="58"/>
  <c r="G60" i="58" s="1"/>
  <c r="U47" i="58"/>
  <c r="U60" i="58" s="1"/>
  <c r="AX43" i="70"/>
  <c r="AY42" i="70"/>
  <c r="AZ8" i="69" s="1"/>
  <c r="BS19" i="70" l="1"/>
  <c r="BS41" i="70" s="1"/>
  <c r="BW61" i="69"/>
  <c r="BW65" i="69" s="1"/>
  <c r="BV29" i="69"/>
  <c r="BN86" i="34"/>
  <c r="BN85" i="34"/>
  <c r="BO84" i="34"/>
  <c r="BP51" i="69"/>
  <c r="BP52" i="69" s="1"/>
  <c r="BQ50" i="69"/>
  <c r="BT17" i="70"/>
  <c r="BT19" i="70" s="1"/>
  <c r="BT41" i="70" s="1"/>
  <c r="BU33" i="69"/>
  <c r="BU36" i="69" s="1"/>
  <c r="Z60" i="57"/>
  <c r="Z62" i="57" s="1"/>
  <c r="Y67" i="57"/>
  <c r="G64" i="58"/>
  <c r="G66" i="58" s="1"/>
  <c r="BV15" i="70"/>
  <c r="BX63" i="34"/>
  <c r="BY28" i="69" s="1"/>
  <c r="BY33" i="69" s="1"/>
  <c r="BY36" i="69" s="1"/>
  <c r="S64" i="58"/>
  <c r="S66" i="58" s="1"/>
  <c r="T64" i="58"/>
  <c r="T66" i="58" s="1"/>
  <c r="U64" i="58"/>
  <c r="U66" i="58" s="1"/>
  <c r="BX28" i="69"/>
  <c r="BW66" i="34"/>
  <c r="BU82" i="34"/>
  <c r="Y71" i="57"/>
  <c r="AZ40" i="70"/>
  <c r="AZ12" i="69"/>
  <c r="AZ24" i="69" s="1"/>
  <c r="AZ53" i="69" s="1"/>
  <c r="T62" i="58"/>
  <c r="U62" i="58"/>
  <c r="BV78" i="34"/>
  <c r="BP84" i="34" l="1"/>
  <c r="BR50" i="69"/>
  <c r="BQ51" i="69"/>
  <c r="BQ52" i="69" s="1"/>
  <c r="BO85" i="34"/>
  <c r="BO86" i="34"/>
  <c r="BU17" i="70"/>
  <c r="BV33" i="69"/>
  <c r="BV36" i="69" s="1"/>
  <c r="BW29" i="69"/>
  <c r="BX61" i="69"/>
  <c r="BX65" i="69" s="1"/>
  <c r="Z58" i="57"/>
  <c r="BX66" i="34"/>
  <c r="BX74" i="34" s="1"/>
  <c r="BW69" i="34"/>
  <c r="BW74" i="34"/>
  <c r="BW78" i="34" s="1"/>
  <c r="BW82" i="34" s="1"/>
  <c r="AZ42" i="70"/>
  <c r="BA8" i="69" s="1"/>
  <c r="AY43" i="70"/>
  <c r="BV82" i="34"/>
  <c r="BU9" i="70"/>
  <c r="BU19" i="70" s="1"/>
  <c r="BU41" i="70" s="1"/>
  <c r="Y75" i="57"/>
  <c r="BY61" i="69" l="1"/>
  <c r="BY65" i="69" s="1"/>
  <c r="BY29" i="69" s="1"/>
  <c r="BX29" i="69"/>
  <c r="BX33" i="69" s="1"/>
  <c r="BX36" i="69" s="1"/>
  <c r="BS50" i="69"/>
  <c r="BQ84" i="34"/>
  <c r="BR51" i="69"/>
  <c r="BR52" i="69" s="1"/>
  <c r="BV17" i="70"/>
  <c r="BW33" i="69"/>
  <c r="BW36" i="69" s="1"/>
  <c r="BP85" i="34"/>
  <c r="BP86" i="34"/>
  <c r="BX69" i="34"/>
  <c r="BV9" i="70"/>
  <c r="BX78" i="34"/>
  <c r="H71" i="58"/>
  <c r="U71" i="58"/>
  <c r="Z67" i="57"/>
  <c r="BA40" i="70"/>
  <c r="BA12" i="69"/>
  <c r="BA24" i="69" s="1"/>
  <c r="BA53" i="69" s="1"/>
  <c r="BV19" i="70" l="1"/>
  <c r="BV41" i="70" s="1"/>
  <c r="BQ85" i="34"/>
  <c r="BQ86" i="34"/>
  <c r="BS51" i="69"/>
  <c r="BS52" i="69" s="1"/>
  <c r="BR84" i="34"/>
  <c r="BT50" i="69"/>
  <c r="AZ43" i="70"/>
  <c r="BA42" i="70"/>
  <c r="BB8" i="69" s="1"/>
  <c r="BX82" i="34"/>
  <c r="H75" i="58"/>
  <c r="T75" i="58"/>
  <c r="Z71" i="57"/>
  <c r="BR85" i="34" l="1"/>
  <c r="BR86" i="34"/>
  <c r="BS84" i="34"/>
  <c r="BT51" i="69"/>
  <c r="BT52" i="69" s="1"/>
  <c r="BU50" i="69"/>
  <c r="BB40" i="70"/>
  <c r="BB12" i="69"/>
  <c r="BB24" i="69" s="1"/>
  <c r="BB53" i="69" s="1"/>
  <c r="H79" i="58"/>
  <c r="U79" i="58"/>
  <c r="Z75" i="57"/>
  <c r="BS86" i="34" l="1"/>
  <c r="BS85" i="34"/>
  <c r="BT84" i="34"/>
  <c r="BU51" i="69"/>
  <c r="BU52" i="69" s="1"/>
  <c r="BV50" i="69"/>
  <c r="BB42" i="70"/>
  <c r="BC8" i="69" s="1"/>
  <c r="BA43" i="70"/>
  <c r="BT86" i="34" l="1"/>
  <c r="BT85" i="34"/>
  <c r="BV51" i="69"/>
  <c r="BV52" i="69" s="1"/>
  <c r="BW50" i="69"/>
  <c r="BU84" i="34"/>
  <c r="BC40" i="70"/>
  <c r="BC12" i="69"/>
  <c r="BC24" i="69" s="1"/>
  <c r="BC53" i="69" s="1"/>
  <c r="BW51" i="69" l="1"/>
  <c r="BW52" i="69" s="1"/>
  <c r="BV84" i="34"/>
  <c r="BX50" i="69"/>
  <c r="BU85" i="34"/>
  <c r="BU86" i="34"/>
  <c r="BC42" i="70"/>
  <c r="BD8" i="69" s="1"/>
  <c r="BB43" i="70"/>
  <c r="BV86" i="34" l="1"/>
  <c r="BV85" i="34"/>
  <c r="BW84" i="34"/>
  <c r="BY50" i="69"/>
  <c r="BY51" i="69" s="1"/>
  <c r="BY52" i="69" s="1"/>
  <c r="BY53" i="69" s="1"/>
  <c r="BX51" i="69"/>
  <c r="BX52" i="69" s="1"/>
  <c r="BX53" i="69" s="1"/>
  <c r="BD12" i="69"/>
  <c r="BD24" i="69" s="1"/>
  <c r="BD53" i="69" s="1"/>
  <c r="BD40" i="70"/>
  <c r="BD42" i="70" l="1"/>
  <c r="BE8" i="69" s="1"/>
  <c r="BC43" i="70"/>
  <c r="BE12" i="69" l="1"/>
  <c r="BE24" i="69" s="1"/>
  <c r="BE53" i="69" s="1"/>
  <c r="BE40" i="70"/>
  <c r="BD43" i="70" l="1"/>
  <c r="BE42" i="70"/>
  <c r="BF8" i="69" s="1"/>
  <c r="BF40" i="70" l="1"/>
  <c r="BF12" i="69"/>
  <c r="BF24" i="69" s="1"/>
  <c r="BF53" i="69" s="1"/>
  <c r="BE43" i="70" l="1"/>
  <c r="BF42" i="70"/>
  <c r="BG8" i="69" s="1"/>
  <c r="BG12" i="69" l="1"/>
  <c r="BG24" i="69" s="1"/>
  <c r="BG53" i="69" s="1"/>
  <c r="BG40" i="70"/>
  <c r="BF43" i="70" l="1"/>
  <c r="BG42" i="70"/>
  <c r="BH8" i="69" s="1"/>
  <c r="BH12" i="69" l="1"/>
  <c r="BH24" i="69" s="1"/>
  <c r="BH53" i="69" s="1"/>
  <c r="BH40" i="70"/>
  <c r="BH42" i="70" l="1"/>
  <c r="BI8" i="69" s="1"/>
  <c r="BG43" i="70"/>
  <c r="BI12" i="69" l="1"/>
  <c r="BI24" i="69" s="1"/>
  <c r="BI53" i="69" s="1"/>
  <c r="BI40" i="70"/>
  <c r="BH43" i="70" l="1"/>
  <c r="BI42" i="70"/>
  <c r="BJ8" i="69" s="1"/>
  <c r="BJ40" i="70" l="1"/>
  <c r="BJ12" i="69"/>
  <c r="BJ24" i="69" s="1"/>
  <c r="BJ53" i="69" s="1"/>
  <c r="BJ42" i="70" l="1"/>
  <c r="BK8" i="69" s="1"/>
  <c r="BI43" i="70"/>
  <c r="BK12" i="69" l="1"/>
  <c r="BK24" i="69" s="1"/>
  <c r="BK53" i="69" s="1"/>
  <c r="BK40" i="70"/>
  <c r="BK42" i="70" l="1"/>
  <c r="BL8" i="69" s="1"/>
  <c r="BJ43" i="70"/>
  <c r="BL12" i="69" l="1"/>
  <c r="BL24" i="69" s="1"/>
  <c r="BL53" i="69" s="1"/>
  <c r="BL40" i="70"/>
  <c r="BK43" i="70" l="1"/>
  <c r="BL42" i="70"/>
  <c r="BM8" i="69" s="1"/>
  <c r="BM40" i="70" l="1"/>
  <c r="BM12" i="69"/>
  <c r="BM24" i="69" s="1"/>
  <c r="BM53" i="69" s="1"/>
  <c r="BL43" i="70" l="1"/>
  <c r="BM42" i="70"/>
  <c r="BN8" i="69" s="1"/>
  <c r="BN40" i="70" l="1"/>
  <c r="BN12" i="69"/>
  <c r="BN24" i="69" s="1"/>
  <c r="BN53" i="69" s="1"/>
  <c r="BM43" i="70" l="1"/>
  <c r="BN42" i="70"/>
  <c r="BO8" i="69" s="1"/>
  <c r="BO40" i="70" l="1"/>
  <c r="BO12" i="69"/>
  <c r="BO24" i="69" s="1"/>
  <c r="BO53" i="69" s="1"/>
  <c r="BO42" i="70" l="1"/>
  <c r="BP8" i="69" s="1"/>
  <c r="BN43" i="70"/>
  <c r="BP40" i="70" l="1"/>
  <c r="BP12" i="69"/>
  <c r="BP24" i="69" s="1"/>
  <c r="BP53" i="69" s="1"/>
  <c r="BP42" i="70" l="1"/>
  <c r="BQ8" i="69" s="1"/>
  <c r="BO43" i="70"/>
  <c r="BQ40" i="70" l="1"/>
  <c r="BQ12" i="69"/>
  <c r="BQ24" i="69" s="1"/>
  <c r="BQ53" i="69" s="1"/>
  <c r="BP43" i="70" l="1"/>
  <c r="BQ42" i="70"/>
  <c r="BR8" i="69" s="1"/>
  <c r="BR40" i="70" l="1"/>
  <c r="BR12" i="69"/>
  <c r="BR24" i="69" s="1"/>
  <c r="BR53" i="69" s="1"/>
  <c r="BQ43" i="70" l="1"/>
  <c r="BR42" i="70"/>
  <c r="BS8" i="69" s="1"/>
  <c r="BS12" i="69" l="1"/>
  <c r="BS24" i="69" s="1"/>
  <c r="BS53" i="69" s="1"/>
  <c r="BS40" i="70"/>
  <c r="BS42" i="70" l="1"/>
  <c r="BT8" i="69" s="1"/>
  <c r="BR43" i="70"/>
  <c r="BT12" i="69" l="1"/>
  <c r="BT24" i="69" s="1"/>
  <c r="BT53" i="69" s="1"/>
  <c r="BT40" i="70"/>
  <c r="BT42" i="70" l="1"/>
  <c r="BU8" i="69" s="1"/>
  <c r="BS43" i="70"/>
  <c r="BU40" i="70" l="1"/>
  <c r="BU12" i="69"/>
  <c r="BU24" i="69" s="1"/>
  <c r="BU53" i="69" s="1"/>
  <c r="BU42" i="70" l="1"/>
  <c r="BV8" i="69" s="1"/>
  <c r="BT43" i="70"/>
  <c r="BV12" i="69" l="1"/>
  <c r="BV24" i="69" s="1"/>
  <c r="BV53" i="69" s="1"/>
  <c r="BV40" i="70"/>
  <c r="BU43" i="70" l="1"/>
  <c r="BV42" i="70"/>
  <c r="BV43" i="70" l="1"/>
  <c r="BW8" i="69"/>
  <c r="BW12" i="69" s="1"/>
  <c r="BW24" i="69" s="1"/>
  <c r="BW53" i="69" s="1"/>
</calcChain>
</file>

<file path=xl/comments1.xml><?xml version="1.0" encoding="utf-8"?>
<comments xmlns="http://schemas.openxmlformats.org/spreadsheetml/2006/main">
  <authors>
    <author>Ronald Burr</author>
  </authors>
  <commentList>
    <comment ref="B13" authorId="0" shapeId="0">
      <text>
        <r>
          <rPr>
            <b/>
            <sz val="9"/>
            <color indexed="81"/>
            <rFont val="Tahoma"/>
            <family val="2"/>
          </rPr>
          <t>Ronald Burr:</t>
        </r>
        <r>
          <rPr>
            <sz val="9"/>
            <color indexed="81"/>
            <rFont val="Tahoma"/>
            <family val="2"/>
          </rPr>
          <t xml:space="preserve">
currently cumulative in Qtr so add months 1 2 &amp; 3 together for a total Active30
should be changed to total UNIQUE</t>
        </r>
      </text>
    </comment>
    <comment ref="B22" authorId="0" shapeId="0">
      <text>
        <r>
          <rPr>
            <b/>
            <sz val="9"/>
            <color indexed="81"/>
            <rFont val="Tahoma"/>
            <family val="2"/>
          </rPr>
          <t>Ronald Burr:</t>
        </r>
        <r>
          <rPr>
            <sz val="9"/>
            <color indexed="81"/>
            <rFont val="Tahoma"/>
            <family val="2"/>
          </rPr>
          <t xml:space="preserve">
show lkist of costs in this
</t>
        </r>
      </text>
    </comment>
  </commentList>
</comments>
</file>

<file path=xl/comments2.xml><?xml version="1.0" encoding="utf-8"?>
<comments xmlns="http://schemas.openxmlformats.org/spreadsheetml/2006/main">
  <authors>
    <author>Ronald Burr</author>
    <author>Dan R</author>
  </authors>
  <commentList>
    <comment ref="A45" authorId="0" shapeId="0">
      <text>
        <r>
          <rPr>
            <b/>
            <sz val="9"/>
            <color indexed="81"/>
            <rFont val="Tahoma"/>
            <family val="2"/>
          </rPr>
          <t>Ronald Burr:</t>
        </r>
        <r>
          <rPr>
            <sz val="9"/>
            <color indexed="81"/>
            <rFont val="Tahoma"/>
            <family val="2"/>
          </rPr>
          <t xml:space="preserve">
This number is used to determine how many new users we get each month by dividing marketing spend by CAC</t>
        </r>
      </text>
    </comment>
    <comment ref="A47" authorId="1" shapeId="0">
      <text>
        <r>
          <rPr>
            <sz val="9"/>
            <color indexed="81"/>
            <rFont val="Tahoma"/>
            <family val="2"/>
          </rPr>
          <t xml:space="preserve">
number of seconds in one billing increment</t>
        </r>
      </text>
    </comment>
    <comment ref="A52" authorId="0" shapeId="0">
      <text>
        <r>
          <rPr>
            <b/>
            <sz val="9"/>
            <color indexed="81"/>
            <rFont val="Tahoma"/>
            <family val="2"/>
          </rPr>
          <t xml:space="preserve">Ronald Burr:
</t>
        </r>
        <r>
          <rPr>
            <sz val="9"/>
            <color indexed="81"/>
            <rFont val="Tahoma"/>
            <family val="2"/>
          </rPr>
          <t xml:space="preserve">
this is a temporary quick metric to calc potential subscription revenue. should be replaced with more detailed modeling.</t>
        </r>
      </text>
    </comment>
    <comment ref="A53" authorId="0" shapeId="0">
      <text>
        <r>
          <rPr>
            <b/>
            <sz val="9"/>
            <color indexed="81"/>
            <rFont val="Tahoma"/>
            <family val="2"/>
          </rPr>
          <t>Ronald Burr:</t>
        </r>
        <r>
          <rPr>
            <sz val="9"/>
            <color indexed="81"/>
            <rFont val="Tahoma"/>
            <family val="2"/>
          </rPr>
          <t xml:space="preserve">
Amount of Marketing budget spent on Voice. Remainder spent on SMS</t>
        </r>
      </text>
    </comment>
  </commentList>
</comments>
</file>

<file path=xl/comments3.xml><?xml version="1.0" encoding="utf-8"?>
<comments xmlns="http://schemas.openxmlformats.org/spreadsheetml/2006/main">
  <authors>
    <author>jpavlik</author>
  </authors>
  <commentList>
    <comment ref="AL130" authorId="0" shapeId="0">
      <text>
        <r>
          <rPr>
            <b/>
            <sz val="9"/>
            <color indexed="81"/>
            <rFont val="Tahoma"/>
            <family val="2"/>
          </rPr>
          <t>jpavlik:</t>
        </r>
        <r>
          <rPr>
            <sz val="9"/>
            <color indexed="81"/>
            <rFont val="Tahoma"/>
            <family val="2"/>
          </rPr>
          <t xml:space="preserve">
-30k per month due to server and software</t>
        </r>
      </text>
    </comment>
    <comment ref="AL132" authorId="0" shapeId="0">
      <text>
        <r>
          <rPr>
            <b/>
            <sz val="9"/>
            <color indexed="81"/>
            <rFont val="Tahoma"/>
            <family val="2"/>
          </rPr>
          <t>jpavlik:</t>
        </r>
        <r>
          <rPr>
            <sz val="9"/>
            <color indexed="81"/>
            <rFont val="Tahoma"/>
            <family val="2"/>
          </rPr>
          <t xml:space="preserve">
-30k per month due to server and software</t>
        </r>
      </text>
    </comment>
    <comment ref="AL184" authorId="0" shapeId="0">
      <text>
        <r>
          <rPr>
            <b/>
            <sz val="9"/>
            <color indexed="81"/>
            <rFont val="Tahoma"/>
            <family val="2"/>
          </rPr>
          <t>jpavlik:</t>
        </r>
        <r>
          <rPr>
            <sz val="9"/>
            <color indexed="81"/>
            <rFont val="Tahoma"/>
            <family val="2"/>
          </rPr>
          <t xml:space="preserve">
To keep NPU same with decreased marketing for server</t>
        </r>
      </text>
    </comment>
    <comment ref="AM184" authorId="0" shapeId="0">
      <text>
        <r>
          <rPr>
            <b/>
            <sz val="9"/>
            <color indexed="81"/>
            <rFont val="Tahoma"/>
            <family val="2"/>
          </rPr>
          <t>jpavlik:</t>
        </r>
        <r>
          <rPr>
            <sz val="9"/>
            <color indexed="81"/>
            <rFont val="Tahoma"/>
            <family val="2"/>
          </rPr>
          <t xml:space="preserve">
To keep NPU same with decreased marketing for server</t>
        </r>
      </text>
    </comment>
    <comment ref="AN184" authorId="0" shapeId="0">
      <text>
        <r>
          <rPr>
            <b/>
            <sz val="9"/>
            <color indexed="81"/>
            <rFont val="Tahoma"/>
            <family val="2"/>
          </rPr>
          <t>jpavlik:</t>
        </r>
        <r>
          <rPr>
            <sz val="9"/>
            <color indexed="81"/>
            <rFont val="Tahoma"/>
            <family val="2"/>
          </rPr>
          <t xml:space="preserve">
To keep NPU same with decreased marketing for server</t>
        </r>
      </text>
    </comment>
  </commentList>
</comments>
</file>

<file path=xl/comments4.xml><?xml version="1.0" encoding="utf-8"?>
<comments xmlns="http://schemas.openxmlformats.org/spreadsheetml/2006/main">
  <authors>
    <author>Ronald Burr</author>
  </authors>
  <commentList>
    <comment ref="B6" authorId="0" shapeId="0">
      <text>
        <r>
          <rPr>
            <b/>
            <sz val="9"/>
            <color indexed="81"/>
            <rFont val="Tahoma"/>
            <family val="2"/>
          </rPr>
          <t>Ronald Burr:</t>
        </r>
        <r>
          <rPr>
            <sz val="9"/>
            <color indexed="81"/>
            <rFont val="Tahoma"/>
            <family val="2"/>
          </rPr>
          <t xml:space="preserve">
Non GAAP metric</t>
        </r>
      </text>
    </comment>
  </commentList>
</comments>
</file>

<file path=xl/comments5.xml><?xml version="1.0" encoding="utf-8"?>
<comments xmlns="http://schemas.openxmlformats.org/spreadsheetml/2006/main">
  <authors>
    <author>Ronald Burr</author>
  </authors>
  <commentList>
    <comment ref="B45" authorId="0" shapeId="0">
      <text>
        <r>
          <rPr>
            <b/>
            <sz val="9"/>
            <color indexed="81"/>
            <rFont val="Tahoma"/>
            <family val="2"/>
          </rPr>
          <t>Ronald Burr:</t>
        </r>
        <r>
          <rPr>
            <sz val="9"/>
            <color indexed="81"/>
            <rFont val="Tahoma"/>
            <family val="2"/>
          </rPr>
          <t xml:space="preserve">
These adjustments true up the proforma historical to match current GAAP in QuickBooks.  Most adjustments below are related to the cash/accrual shift that took place in the GAAP records and thus make the proforma accrual match up in Jan 2013</t>
        </r>
      </text>
    </comment>
    <comment ref="B48" authorId="0" shapeId="0">
      <text>
        <r>
          <rPr>
            <b/>
            <sz val="9"/>
            <color indexed="81"/>
            <rFont val="Tahoma"/>
            <family val="2"/>
          </rPr>
          <t>Ronald Burr:</t>
        </r>
        <r>
          <rPr>
            <sz val="9"/>
            <color indexed="81"/>
            <rFont val="Tahoma"/>
            <family val="2"/>
          </rPr>
          <t xml:space="preserve">
to make Model BS and CF match QB reality</t>
        </r>
      </text>
    </comment>
  </commentList>
</comments>
</file>

<file path=xl/comments6.xml><?xml version="1.0" encoding="utf-8"?>
<comments xmlns="http://schemas.openxmlformats.org/spreadsheetml/2006/main">
  <authors>
    <author>Ron Burr</author>
    <author>Ronald Burr</author>
  </authors>
  <commentList>
    <comment ref="B9" authorId="0" shapeId="0">
      <text>
        <r>
          <rPr>
            <b/>
            <sz val="9"/>
            <color indexed="81"/>
            <rFont val="Tahoma"/>
            <family val="2"/>
          </rPr>
          <t>Ron Burr:</t>
        </r>
        <r>
          <rPr>
            <sz val="9"/>
            <color indexed="81"/>
            <rFont val="Tahoma"/>
            <family val="2"/>
          </rPr>
          <t xml:space="preserve">
In a healthly company this would be a positve value and is a proxy for cash in. Then you add back non cash items such as Dep, Amort, Stock Exp</t>
        </r>
      </text>
    </comment>
    <comment ref="B13" authorId="0" shapeId="0">
      <text>
        <r>
          <rPr>
            <b/>
            <sz val="9"/>
            <color indexed="81"/>
            <rFont val="Tahoma"/>
            <family val="2"/>
          </rPr>
          <t>Ron Burr:</t>
        </r>
        <r>
          <rPr>
            <sz val="9"/>
            <color indexed="81"/>
            <rFont val="Tahoma"/>
            <family val="2"/>
          </rPr>
          <t xml:space="preserve">
In growth scenario this could be negative because you're AR is getting bigger each month as you bring on moree business.  If this is a postive number it means you collected more cash in than new business you sold this month.</t>
        </r>
      </text>
    </comment>
    <comment ref="B15" authorId="0" shapeId="0">
      <text>
        <r>
          <rPr>
            <b/>
            <sz val="9"/>
            <color indexed="81"/>
            <rFont val="Tahoma"/>
            <family val="2"/>
          </rPr>
          <t>Ron Burr:</t>
        </r>
        <r>
          <rPr>
            <sz val="9"/>
            <color indexed="81"/>
            <rFont val="Tahoma"/>
            <family val="2"/>
          </rPr>
          <t xml:space="preserve">
represent cash out to pay bills.  This is where the bulk of your cash burn(spending of money) will most likely show up.  Possibly some as well in CapEx expenditures below and or debt repayments below.  If these are negative numbers it is the amount you spent.  If they are positive it likely means you did somehow got credit back.  If you're streching your payables this number will be smaller than the growth in your AP month over month.</t>
        </r>
      </text>
    </comment>
    <comment ref="R19" authorId="1" shapeId="0">
      <text>
        <r>
          <rPr>
            <b/>
            <sz val="9"/>
            <color indexed="81"/>
            <rFont val="Tahoma"/>
            <family val="2"/>
          </rPr>
          <t>Ronald Burr:</t>
        </r>
        <r>
          <rPr>
            <sz val="9"/>
            <color indexed="81"/>
            <rFont val="Tahoma"/>
            <family val="2"/>
          </rPr>
          <t xml:space="preserve">
This plus Cash Flow From Investing = FCF
</t>
        </r>
      </text>
    </comment>
  </commentList>
</comments>
</file>

<file path=xl/comments7.xml><?xml version="1.0" encoding="utf-8"?>
<comments xmlns="http://schemas.openxmlformats.org/spreadsheetml/2006/main">
  <authors>
    <author>Ronald Burr</author>
  </authors>
  <commentList>
    <comment ref="A4" authorId="0" shapeId="0">
      <text>
        <r>
          <rPr>
            <b/>
            <sz val="9"/>
            <color indexed="81"/>
            <rFont val="Tahoma"/>
            <family val="2"/>
          </rPr>
          <t>Ronald Burr:</t>
        </r>
        <r>
          <rPr>
            <sz val="9"/>
            <color indexed="81"/>
            <rFont val="Tahoma"/>
            <family val="2"/>
          </rPr>
          <t xml:space="preserve">
Enter Yes to Include No to Exclude</t>
        </r>
      </text>
    </comment>
  </commentList>
</comments>
</file>

<file path=xl/comments8.xml><?xml version="1.0" encoding="utf-8"?>
<comments xmlns="http://schemas.openxmlformats.org/spreadsheetml/2006/main">
  <authors>
    <author>Ronald Burr</author>
  </authors>
  <commentList>
    <comment ref="A4" authorId="0" shapeId="0">
      <text>
        <r>
          <rPr>
            <b/>
            <sz val="9"/>
            <color indexed="81"/>
            <rFont val="Tahoma"/>
            <family val="2"/>
          </rPr>
          <t>Ronald Burr:</t>
        </r>
        <r>
          <rPr>
            <sz val="9"/>
            <color indexed="81"/>
            <rFont val="Tahoma"/>
            <family val="2"/>
          </rPr>
          <t xml:space="preserve">
Enter Yes to Include No to Exclude</t>
        </r>
      </text>
    </comment>
  </commentList>
</comments>
</file>

<file path=xl/comments9.xml><?xml version="1.0" encoding="utf-8"?>
<comments xmlns="http://schemas.openxmlformats.org/spreadsheetml/2006/main">
  <authors>
    <author>Ronald Burr</author>
  </authors>
  <commentList>
    <comment ref="A64" authorId="0" shapeId="0">
      <text>
        <r>
          <rPr>
            <b/>
            <sz val="9"/>
            <color indexed="81"/>
            <rFont val="Tahoma"/>
            <family val="2"/>
          </rPr>
          <t>Ronald Burr:</t>
        </r>
        <r>
          <rPr>
            <sz val="9"/>
            <color indexed="81"/>
            <rFont val="Tahoma"/>
            <family val="2"/>
          </rPr>
          <t xml:space="preserve">
This is the historical revenue 12/2010 and earlier. after 1 year model assumes users active a fixed % rate.  Right now just plugging the base rev number of 500k and assuming fixed attrition over 60 months</t>
        </r>
      </text>
    </comment>
  </commentList>
</comments>
</file>

<file path=xl/comments10.xml><?xml version="1.0" encoding="utf-8"?>
<comments xmlns="http://schemas.openxmlformats.org/spreadsheetml/2006/main">
  <authors>
    <author>Ronald Burr</author>
  </authors>
  <commentList>
    <comment ref="A65" authorId="0" shapeId="0">
      <text>
        <r>
          <rPr>
            <b/>
            <sz val="9"/>
            <color indexed="81"/>
            <rFont val="Tahoma"/>
            <family val="2"/>
          </rPr>
          <t>Ronald Burr:</t>
        </r>
        <r>
          <rPr>
            <sz val="9"/>
            <color indexed="81"/>
            <rFont val="Tahoma"/>
            <family val="2"/>
          </rPr>
          <t xml:space="preserve">
This is the historical revenue 12/2010 and earlier. after 1 year model assumes users active a fixed % rate.  Right now just plugging the base rev number of 500k and assuming fixed attrition over 60 months</t>
        </r>
      </text>
    </comment>
  </commentList>
</comments>
</file>

<file path=xl/comments11.xml><?xml version="1.0" encoding="utf-8"?>
<comments xmlns="http://schemas.openxmlformats.org/spreadsheetml/2006/main">
  <authors>
    <author>Ronald Burr</author>
  </authors>
  <commentList>
    <comment ref="A65" authorId="0" shapeId="0">
      <text>
        <r>
          <rPr>
            <b/>
            <sz val="9"/>
            <color indexed="81"/>
            <rFont val="Tahoma"/>
            <family val="2"/>
          </rPr>
          <t>Ronald Burr:</t>
        </r>
        <r>
          <rPr>
            <sz val="9"/>
            <color indexed="81"/>
            <rFont val="Tahoma"/>
            <family val="2"/>
          </rPr>
          <t xml:space="preserve">
This is the historical revenue 12/2010 and earlier. after 1 year model assumes users active a fixed % rate.  Right now just plugging the base rev number of 500k and assuming fixed attrition over 60 months</t>
        </r>
      </text>
    </comment>
  </commentList>
</comments>
</file>

<file path=xl/comments12.xml><?xml version="1.0" encoding="utf-8"?>
<comments xmlns="http://schemas.openxmlformats.org/spreadsheetml/2006/main">
  <authors>
    <author>jpavlik</author>
  </authors>
  <commentList>
    <comment ref="AA24" authorId="0" shapeId="0">
      <text>
        <r>
          <rPr>
            <b/>
            <sz val="9"/>
            <color indexed="81"/>
            <rFont val="Tahoma"/>
            <family val="2"/>
          </rPr>
          <t>jpavlik:</t>
        </r>
        <r>
          <rPr>
            <sz val="9"/>
            <color indexed="81"/>
            <rFont val="Tahoma"/>
            <family val="2"/>
          </rPr>
          <t xml:space="preserve">
Add'l $9k for Komnieve travel to NJ</t>
        </r>
      </text>
    </comment>
    <comment ref="AA25" authorId="0" shapeId="0">
      <text>
        <r>
          <rPr>
            <b/>
            <sz val="9"/>
            <color indexed="81"/>
            <rFont val="Tahoma"/>
            <family val="2"/>
          </rPr>
          <t>jpavlik:</t>
        </r>
        <r>
          <rPr>
            <sz val="9"/>
            <color indexed="81"/>
            <rFont val="Tahoma"/>
            <family val="2"/>
          </rPr>
          <t xml:space="preserve">
Includes Lunch as sales incentives 1x week</t>
        </r>
      </text>
    </comment>
    <comment ref="AD32" authorId="0" shapeId="0">
      <text>
        <r>
          <rPr>
            <b/>
            <sz val="9"/>
            <color indexed="81"/>
            <rFont val="Tahoma"/>
            <family val="2"/>
          </rPr>
          <t>jpavlik:</t>
        </r>
        <r>
          <rPr>
            <sz val="9"/>
            <color indexed="81"/>
            <rFont val="Tahoma"/>
            <family val="2"/>
          </rPr>
          <t xml:space="preserve">
ZenDesk +$4,500</t>
        </r>
      </text>
    </comment>
  </commentList>
</comments>
</file>

<file path=xl/comments13.xml><?xml version="1.0" encoding="utf-8"?>
<comments xmlns="http://schemas.openxmlformats.org/spreadsheetml/2006/main">
  <authors>
    <author>jpavlik</author>
  </authors>
  <commentList>
    <comment ref="AA23" authorId="0" shapeId="0">
      <text>
        <r>
          <rPr>
            <b/>
            <sz val="9"/>
            <color indexed="81"/>
            <rFont val="Tahoma"/>
            <family val="2"/>
          </rPr>
          <t>jpavlik:</t>
        </r>
        <r>
          <rPr>
            <sz val="9"/>
            <color indexed="81"/>
            <rFont val="Tahoma"/>
            <family val="2"/>
          </rPr>
          <t xml:space="preserve">
Ian fee</t>
        </r>
      </text>
    </comment>
    <comment ref="AB23" authorId="0" shapeId="0">
      <text>
        <r>
          <rPr>
            <b/>
            <sz val="9"/>
            <color indexed="81"/>
            <rFont val="Tahoma"/>
            <family val="2"/>
          </rPr>
          <t>jpavlik:</t>
        </r>
        <r>
          <rPr>
            <sz val="9"/>
            <color indexed="81"/>
            <rFont val="Tahoma"/>
            <family val="2"/>
          </rPr>
          <t xml:space="preserve">
retention fee</t>
        </r>
      </text>
    </comment>
    <comment ref="AD23" authorId="0" shapeId="0">
      <text>
        <r>
          <rPr>
            <b/>
            <sz val="9"/>
            <color indexed="81"/>
            <rFont val="Tahoma"/>
            <family val="2"/>
          </rPr>
          <t>jpavlik:</t>
        </r>
        <r>
          <rPr>
            <sz val="9"/>
            <color indexed="81"/>
            <rFont val="Tahoma"/>
            <family val="2"/>
          </rPr>
          <t xml:space="preserve">
recruiter fee</t>
        </r>
      </text>
    </comment>
    <comment ref="AA24" authorId="0" shapeId="0">
      <text>
        <r>
          <rPr>
            <b/>
            <sz val="9"/>
            <color indexed="81"/>
            <rFont val="Tahoma"/>
            <family val="2"/>
          </rPr>
          <t>jpavlik:</t>
        </r>
        <r>
          <rPr>
            <sz val="9"/>
            <color indexed="81"/>
            <rFont val="Tahoma"/>
            <family val="2"/>
          </rPr>
          <t xml:space="preserve">
Includes outsourced team travel of $5k per 15 people</t>
        </r>
      </text>
    </comment>
    <comment ref="AA27" authorId="0" shapeId="0">
      <text>
        <r>
          <rPr>
            <b/>
            <sz val="9"/>
            <color indexed="81"/>
            <rFont val="Tahoma"/>
            <family val="2"/>
          </rPr>
          <t>jpavlik:</t>
        </r>
        <r>
          <rPr>
            <sz val="9"/>
            <color indexed="81"/>
            <rFont val="Tahoma"/>
            <family val="2"/>
          </rPr>
          <t xml:space="preserve">
Includes $20k for Jira </t>
        </r>
      </text>
    </comment>
    <comment ref="AA32" authorId="0" shapeId="0">
      <text>
        <r>
          <rPr>
            <b/>
            <sz val="9"/>
            <color indexed="81"/>
            <rFont val="Tahoma"/>
            <family val="2"/>
          </rPr>
          <t>jpavlik:</t>
        </r>
        <r>
          <rPr>
            <sz val="9"/>
            <color indexed="81"/>
            <rFont val="Tahoma"/>
            <family val="2"/>
          </rPr>
          <t xml:space="preserve">
Kuhntal's expense plus 25%</t>
        </r>
      </text>
    </comment>
    <comment ref="AD33" authorId="0" shapeId="0">
      <text>
        <r>
          <rPr>
            <b/>
            <sz val="9"/>
            <color indexed="81"/>
            <rFont val="Tahoma"/>
            <family val="2"/>
          </rPr>
          <t>jpavlik:</t>
        </r>
        <r>
          <rPr>
            <sz val="9"/>
            <color indexed="81"/>
            <rFont val="Tahoma"/>
            <family val="2"/>
          </rPr>
          <t xml:space="preserve">
$1k trip for Kiev team</t>
        </r>
      </text>
    </comment>
  </commentList>
</comments>
</file>

<file path=xl/comments14.xml><?xml version="1.0" encoding="utf-8"?>
<comments xmlns="http://schemas.openxmlformats.org/spreadsheetml/2006/main">
  <authors>
    <author>jpavlik</author>
  </authors>
  <commentList>
    <comment ref="AA24" authorId="0" shapeId="0">
      <text>
        <r>
          <rPr>
            <b/>
            <sz val="9"/>
            <color indexed="81"/>
            <rFont val="Tahoma"/>
            <family val="2"/>
          </rPr>
          <t>jpavlik:</t>
        </r>
        <r>
          <rPr>
            <sz val="9"/>
            <color indexed="81"/>
            <rFont val="Tahoma"/>
            <family val="2"/>
          </rPr>
          <t xml:space="preserve">
2 Dev Ops from Kiev and 1 to Kiev</t>
        </r>
      </text>
    </comment>
    <comment ref="AA41" authorId="0" shapeId="0">
      <text>
        <r>
          <rPr>
            <b/>
            <sz val="9"/>
            <color indexed="81"/>
            <rFont val="Tahoma"/>
            <family val="2"/>
          </rPr>
          <t>jpavlik:</t>
        </r>
        <r>
          <rPr>
            <sz val="9"/>
            <color indexed="81"/>
            <rFont val="Tahoma"/>
            <family val="2"/>
          </rPr>
          <t xml:space="preserve">
Includes $9k for server lease
</t>
        </r>
      </text>
    </comment>
  </commentList>
</comments>
</file>

<file path=xl/comments15.xml><?xml version="1.0" encoding="utf-8"?>
<comments xmlns="http://schemas.openxmlformats.org/spreadsheetml/2006/main">
  <authors>
    <author>jpavlik</author>
  </authors>
  <commentList>
    <comment ref="AB36" authorId="0" shapeId="0">
      <text>
        <r>
          <rPr>
            <b/>
            <sz val="9"/>
            <color indexed="81"/>
            <rFont val="Tahoma"/>
            <family val="2"/>
          </rPr>
          <t>jpavlik:</t>
        </r>
        <r>
          <rPr>
            <sz val="9"/>
            <color indexed="81"/>
            <rFont val="Tahoma"/>
            <family val="2"/>
          </rPr>
          <t xml:space="preserve">
Satellite office additional cost</t>
        </r>
      </text>
    </comment>
    <comment ref="AB37" authorId="0" shapeId="0">
      <text>
        <r>
          <rPr>
            <b/>
            <sz val="9"/>
            <color indexed="81"/>
            <rFont val="Tahoma"/>
            <family val="2"/>
          </rPr>
          <t>jpavlik:</t>
        </r>
        <r>
          <rPr>
            <sz val="9"/>
            <color indexed="81"/>
            <rFont val="Tahoma"/>
            <family val="2"/>
          </rPr>
          <t xml:space="preserve">
Includes parking $5k and food $5k</t>
        </r>
      </text>
    </comment>
  </commentList>
</comments>
</file>

<file path=xl/comments16.xml><?xml version="1.0" encoding="utf-8"?>
<comments xmlns="http://schemas.openxmlformats.org/spreadsheetml/2006/main">
  <authors>
    <author>Tina Isayan</author>
  </authors>
  <commentList>
    <comment ref="M100" authorId="0" shapeId="0">
      <text>
        <r>
          <rPr>
            <b/>
            <sz val="9"/>
            <color rgb="FF000000"/>
            <rFont val="Tahoma"/>
            <family val="2"/>
          </rPr>
          <t>Tina Isayan:</t>
        </r>
        <r>
          <rPr>
            <sz val="9"/>
            <color rgb="FF000000"/>
            <rFont val="Tahoma"/>
            <family val="2"/>
          </rPr>
          <t xml:space="preserve">
potential receipt of All state Revenue</t>
        </r>
      </text>
    </comment>
  </commentList>
</comments>
</file>

<file path=xl/sharedStrings.xml><?xml version="1.0" encoding="utf-8"?>
<sst xmlns="http://schemas.openxmlformats.org/spreadsheetml/2006/main" count="6507" uniqueCount="1420">
  <si>
    <t>Hire Date</t>
  </si>
  <si>
    <t>Creative Development</t>
  </si>
  <si>
    <t>Executive</t>
  </si>
  <si>
    <t>Finance</t>
  </si>
  <si>
    <t>Marketing</t>
  </si>
  <si>
    <t>Actual</t>
  </si>
  <si>
    <t>Forecast</t>
  </si>
  <si>
    <t xml:space="preserve"> </t>
  </si>
  <si>
    <t>Bonus</t>
  </si>
  <si>
    <t>Broadband</t>
  </si>
  <si>
    <t>Sales Incentives</t>
  </si>
  <si>
    <t>Marketing Collateral</t>
  </si>
  <si>
    <t>Website Design</t>
  </si>
  <si>
    <t>Month-End Headcount</t>
  </si>
  <si>
    <t>Forecasted Hires</t>
  </si>
  <si>
    <t>Operating Expenses</t>
  </si>
  <si>
    <t>Sales &amp; Marketing</t>
  </si>
  <si>
    <t>Research &amp; Development</t>
  </si>
  <si>
    <t>General &amp; Administrative</t>
  </si>
  <si>
    <t>Accounting Fees</t>
  </si>
  <si>
    <t>Business Insurance</t>
  </si>
  <si>
    <t>Equipment Lease</t>
  </si>
  <si>
    <t>HR Fees</t>
  </si>
  <si>
    <t>Janitorial Service</t>
  </si>
  <si>
    <t>Legal Expense</t>
  </si>
  <si>
    <t>Office Expense</t>
  </si>
  <si>
    <t>Office Telecom</t>
  </si>
  <si>
    <t>IT HW/SW</t>
  </si>
  <si>
    <t xml:space="preserve">Other </t>
  </si>
  <si>
    <t>4Q2010</t>
  </si>
  <si>
    <t>1Q2012</t>
  </si>
  <si>
    <t>2Q2012</t>
  </si>
  <si>
    <t>3Q2012</t>
  </si>
  <si>
    <t>4Q2012</t>
  </si>
  <si>
    <t>1Q2013</t>
  </si>
  <si>
    <t>2Q2013</t>
  </si>
  <si>
    <t>3Q2013</t>
  </si>
  <si>
    <t>4Q2013</t>
  </si>
  <si>
    <t>1Q2014</t>
  </si>
  <si>
    <t>2Q2014</t>
  </si>
  <si>
    <t>3Q2014</t>
  </si>
  <si>
    <t>4Q2014</t>
  </si>
  <si>
    <t>1Q2015</t>
  </si>
  <si>
    <t>2Q2015</t>
  </si>
  <si>
    <t>3Q2015</t>
  </si>
  <si>
    <t>4Q2015</t>
  </si>
  <si>
    <t>1Q2016</t>
  </si>
  <si>
    <t>Rent &amp; Utilities (LA)</t>
  </si>
  <si>
    <t>Other</t>
  </si>
  <si>
    <t>Total</t>
  </si>
  <si>
    <t>PP&amp;E</t>
  </si>
  <si>
    <t xml:space="preserve">Total </t>
  </si>
  <si>
    <t>Depr</t>
  </si>
  <si>
    <t>Onboarding HW/SW</t>
  </si>
  <si>
    <t>Facility/Infrastructure Improvement</t>
  </si>
  <si>
    <t>Total PP&amp;E</t>
  </si>
  <si>
    <t>Total Depreciation Exp</t>
  </si>
  <si>
    <t>Leases</t>
  </si>
  <si>
    <t>Average Principal</t>
  </si>
  <si>
    <t>Average Interest Expense</t>
  </si>
  <si>
    <t>Amortization</t>
  </si>
  <si>
    <t>Balance</t>
  </si>
  <si>
    <t>Total Payment</t>
  </si>
  <si>
    <t>Beginning Balance</t>
  </si>
  <si>
    <t>Monthly Amort Exp</t>
  </si>
  <si>
    <t>Ending Balance</t>
  </si>
  <si>
    <t>Software</t>
  </si>
  <si>
    <t>Month</t>
  </si>
  <si>
    <t>REMEMBER TO SWITCH FROM "FORECAST" TO "ACTUAL" AFTER PLUGGING IN NEW ACTUALS</t>
  </si>
  <si>
    <t>Revenue</t>
  </si>
  <si>
    <t>New Accounts</t>
  </si>
  <si>
    <t>Total Revenue</t>
  </si>
  <si>
    <t>Cost of Sales</t>
  </si>
  <si>
    <t>Credit Card Fees</t>
  </si>
  <si>
    <t>Returns and Allowances</t>
  </si>
  <si>
    <t>Gross Profit Margin</t>
  </si>
  <si>
    <t>Operating Profit Margin</t>
  </si>
  <si>
    <t>HC File</t>
  </si>
  <si>
    <t xml:space="preserve">Total Revenue </t>
  </si>
  <si>
    <t>Assumptions</t>
  </si>
  <si>
    <t>Monthly Growth Rate</t>
  </si>
  <si>
    <t>First Months Revenue %</t>
  </si>
  <si>
    <t>Wholesale</t>
  </si>
  <si>
    <t xml:space="preserve">Monthly Revenue </t>
  </si>
  <si>
    <t>Variance</t>
  </si>
  <si>
    <t>Headcount Summary</t>
  </si>
  <si>
    <t>Hosting Cost</t>
  </si>
  <si>
    <t>Monthly Balance Sheet</t>
  </si>
  <si>
    <t>Assets</t>
  </si>
  <si>
    <t>Current Assets</t>
  </si>
  <si>
    <t>Cash and Cash Equivalents</t>
  </si>
  <si>
    <t>Accounts Receivable</t>
  </si>
  <si>
    <t>AR Allowance</t>
  </si>
  <si>
    <t>Other Current Assets</t>
  </si>
  <si>
    <t>Total Current Assets</t>
  </si>
  <si>
    <t>Fixed Assets</t>
  </si>
  <si>
    <t>Furniture, fixtures and equipment</t>
  </si>
  <si>
    <t>Accumulated depreciation</t>
  </si>
  <si>
    <t>Total Fixed Assets</t>
  </si>
  <si>
    <t>Other Assets</t>
  </si>
  <si>
    <t>Total Other Assets</t>
  </si>
  <si>
    <t>Total Assets</t>
  </si>
  <si>
    <t>Liabilities and Shareholders' Equity</t>
  </si>
  <si>
    <t>Current Liabilities</t>
  </si>
  <si>
    <t>Accounts payable</t>
  </si>
  <si>
    <t>Other Current Liabilities</t>
  </si>
  <si>
    <t>Total Current Liabilities</t>
  </si>
  <si>
    <t>Other long-term liabilities</t>
  </si>
  <si>
    <t>Total Liabilities</t>
  </si>
  <si>
    <t>Shareholders' Equity</t>
  </si>
  <si>
    <t>Common Stock</t>
  </si>
  <si>
    <t>Retained Earnings</t>
  </si>
  <si>
    <t>Net Income</t>
  </si>
  <si>
    <t>Total Equity</t>
  </si>
  <si>
    <t>Total Liabilities and Shareholders' Equity</t>
  </si>
  <si>
    <t>balance/check</t>
  </si>
  <si>
    <t xml:space="preserve">Monthly Cash Flow Statement </t>
  </si>
  <si>
    <t>Cash Flow Data</t>
  </si>
  <si>
    <t>Operating activities</t>
  </si>
  <si>
    <t>Net income</t>
  </si>
  <si>
    <t>Changes in:</t>
  </si>
  <si>
    <t>Accounts Payable</t>
  </si>
  <si>
    <t>Other Liabilities</t>
  </si>
  <si>
    <t>Investing activities</t>
  </si>
  <si>
    <t>Purchases of furniture, fixtures, equipm't</t>
  </si>
  <si>
    <t>Other assets</t>
  </si>
  <si>
    <t>Financing activities</t>
  </si>
  <si>
    <t>Issuance (repayment) of:</t>
  </si>
  <si>
    <t>Cash at beginning of period</t>
  </si>
  <si>
    <t>Change in cash during period</t>
  </si>
  <si>
    <t>Cash at end of period</t>
  </si>
  <si>
    <t>Interest Income Calculation</t>
  </si>
  <si>
    <t>Average Cash Balance</t>
  </si>
  <si>
    <t>Monthly Interest Rate</t>
  </si>
  <si>
    <t>Interest Income</t>
  </si>
  <si>
    <t>Interest Expense Calculation</t>
  </si>
  <si>
    <t>Average Line of Credit Balance</t>
  </si>
  <si>
    <t>Interest Expense</t>
  </si>
  <si>
    <t>Stock based Compensation</t>
  </si>
  <si>
    <t>Depreciation / Amortization</t>
  </si>
  <si>
    <t>EBIT</t>
  </si>
  <si>
    <t>Pre-tax Income</t>
  </si>
  <si>
    <t>Income Tax Expense</t>
  </si>
  <si>
    <t>Stock Based Comp</t>
  </si>
  <si>
    <t>Total Operating Expenses</t>
  </si>
  <si>
    <t>Gross Profit Margin %</t>
  </si>
  <si>
    <t>Operating Profit Margin %</t>
  </si>
  <si>
    <t>Credit Card Fee</t>
  </si>
  <si>
    <t>Other Revenue</t>
  </si>
  <si>
    <t>Forecasted Terminations</t>
  </si>
  <si>
    <t>Checking/Savings</t>
  </si>
  <si>
    <t>Total Checking/Savings</t>
  </si>
  <si>
    <t>Total Accounts Receivable</t>
  </si>
  <si>
    <t>Total Other Current Assets</t>
  </si>
  <si>
    <t>TOTAL ASSETS</t>
  </si>
  <si>
    <t>Liabilities</t>
  </si>
  <si>
    <t>Total Accounts Payable</t>
  </si>
  <si>
    <t>Total Other Current Liabilities</t>
  </si>
  <si>
    <t>Long Term Liabilities</t>
  </si>
  <si>
    <t>Total Long Term Liabilities</t>
  </si>
  <si>
    <t>Equity</t>
  </si>
  <si>
    <t>TOTAL LIABILITIES &amp; EQUITY</t>
  </si>
  <si>
    <t>($000)</t>
  </si>
  <si>
    <t xml:space="preserve">GM% </t>
  </si>
  <si>
    <t>Opex</t>
  </si>
  <si>
    <t xml:space="preserve">Cash Balance </t>
  </si>
  <si>
    <t xml:space="preserve">DSOs </t>
  </si>
  <si>
    <t>Annualized Rev per Avg HC</t>
  </si>
  <si>
    <t>Also, manually update "Other Controllable Expenses" formulas on all department tabs as well as other G&amp;A formulas on "Cost Summary" tab.</t>
  </si>
  <si>
    <t>Current 4Q10Y</t>
  </si>
  <si>
    <t>Total Returns and Allowances</t>
  </si>
  <si>
    <t>Current 2011</t>
  </si>
  <si>
    <t>BOD</t>
  </si>
  <si>
    <t>Interest Income / (Expense)</t>
  </si>
  <si>
    <t>CAC</t>
  </si>
  <si>
    <t>Net Cash Flow Operating</t>
  </si>
  <si>
    <t>Net Cash Flow Investing</t>
  </si>
  <si>
    <t>Net Cash Flow Financing</t>
  </si>
  <si>
    <t>Depreciation &amp; amortization</t>
  </si>
  <si>
    <t>Stock-based compensation</t>
  </si>
  <si>
    <t>Hosting / Other</t>
  </si>
  <si>
    <t>DSO</t>
  </si>
  <si>
    <t>DPO</t>
  </si>
  <si>
    <t>CA</t>
  </si>
  <si>
    <t>Average Headcount</t>
  </si>
  <si>
    <t>Profit &amp; Loss Monthly</t>
  </si>
  <si>
    <t>Start Date</t>
  </si>
  <si>
    <t>2Q2016</t>
  </si>
  <si>
    <t>3Q2016</t>
  </si>
  <si>
    <t>4Q2016</t>
  </si>
  <si>
    <t>Domestic</t>
  </si>
  <si>
    <t>Contracted Calls</t>
  </si>
  <si>
    <t>Contracted CPC</t>
  </si>
  <si>
    <t>Total Call Revenue</t>
  </si>
  <si>
    <t>Est COG per Call</t>
  </si>
  <si>
    <t>Total Call COG</t>
  </si>
  <si>
    <t>Domestic Cost</t>
  </si>
  <si>
    <t>Company</t>
  </si>
  <si>
    <t>CallFire</t>
  </si>
  <si>
    <t xml:space="preserve">  Month 1</t>
  </si>
  <si>
    <t xml:space="preserve">  Month 2</t>
  </si>
  <si>
    <t xml:space="preserve">  Month 3</t>
  </si>
  <si>
    <t xml:space="preserve">  Month 4</t>
  </si>
  <si>
    <t xml:space="preserve">  Month 5</t>
  </si>
  <si>
    <t>Sensitivites</t>
  </si>
  <si>
    <t>Best</t>
  </si>
  <si>
    <t>Worst</t>
  </si>
  <si>
    <t>Mou Month 1</t>
  </si>
  <si>
    <t>Mou Month 2</t>
  </si>
  <si>
    <t>Mou Month 3</t>
  </si>
  <si>
    <t>Mou Month 4</t>
  </si>
  <si>
    <t>Mou Month 5</t>
  </si>
  <si>
    <t>Second Incrments Cost</t>
  </si>
  <si>
    <t>Second Incremets Sold</t>
  </si>
  <si>
    <t>Number of Calls</t>
  </si>
  <si>
    <t>Avg call len in seconds</t>
  </si>
  <si>
    <t>dollars</t>
  </si>
  <si>
    <t>Avg billed len</t>
  </si>
  <si>
    <t>SMS</t>
  </si>
  <si>
    <t>Telecom Voice &amp; VOIP</t>
  </si>
  <si>
    <t>All Products</t>
  </si>
  <si>
    <t>Sub-total</t>
  </si>
  <si>
    <t>Subscription Revenue</t>
  </si>
  <si>
    <t>Sales</t>
  </si>
  <si>
    <t>CC Fees</t>
  </si>
  <si>
    <t>Depreciation Schedule</t>
  </si>
  <si>
    <t>Total Service Cost by Type</t>
  </si>
  <si>
    <t>Domestic Voice</t>
  </si>
  <si>
    <t>International Voice</t>
  </si>
  <si>
    <t>Total Revenue by Type</t>
  </si>
  <si>
    <t>Q2 2014 Projected</t>
  </si>
  <si>
    <t>Q3 2014 Projected</t>
  </si>
  <si>
    <t>Q4 2014 Projected</t>
  </si>
  <si>
    <t>NA</t>
  </si>
  <si>
    <t>Series A</t>
  </si>
  <si>
    <t>Rev</t>
  </si>
  <si>
    <t>Total 2015 Projected</t>
  </si>
  <si>
    <t>Total 2016 Projected</t>
  </si>
  <si>
    <t>Total 2017 Projected</t>
  </si>
  <si>
    <t>OM%</t>
  </si>
  <si>
    <t>CAGR (5yr projected)</t>
  </si>
  <si>
    <t>Total 2018 Projected</t>
  </si>
  <si>
    <t>Total 2019 Projected</t>
  </si>
  <si>
    <t>actual</t>
  </si>
  <si>
    <t>Scatch Area Below</t>
  </si>
  <si>
    <t>Telecom expense</t>
  </si>
  <si>
    <t>minute rate</t>
  </si>
  <si>
    <t>mou</t>
  </si>
  <si>
    <t xml:space="preserve">   Active Usage  Month 5</t>
  </si>
  <si>
    <t xml:space="preserve">  Active Usage Month 1</t>
  </si>
  <si>
    <t xml:space="preserve">    Active Usage Month 2</t>
  </si>
  <si>
    <t xml:space="preserve">    Active Usage Month 3</t>
  </si>
  <si>
    <t xml:space="preserve">   Active Usage  Month 4</t>
  </si>
  <si>
    <t xml:space="preserve">   Active Usage  Month 6</t>
  </si>
  <si>
    <t xml:space="preserve">   Active Usage  Month 7</t>
  </si>
  <si>
    <t xml:space="preserve">   Active Usage  Month 8</t>
  </si>
  <si>
    <t xml:space="preserve">   Active Usage  Month 9</t>
  </si>
  <si>
    <t xml:space="preserve">   Active Usage  Month 10</t>
  </si>
  <si>
    <t xml:space="preserve">   Active Usage  Month 11</t>
  </si>
  <si>
    <t xml:space="preserve">   Active Usage  Month 12</t>
  </si>
  <si>
    <t>Mou Month 6</t>
  </si>
  <si>
    <t>Mou Month 7</t>
  </si>
  <si>
    <t>Mou Month 8</t>
  </si>
  <si>
    <t>Mou Month 9</t>
  </si>
  <si>
    <t>Mou Month 10</t>
  </si>
  <si>
    <t>Mou Month 11</t>
  </si>
  <si>
    <t>Mou Month 12</t>
  </si>
  <si>
    <t xml:space="preserve">  Month 6</t>
  </si>
  <si>
    <t xml:space="preserve">  Month 7</t>
  </si>
  <si>
    <t xml:space="preserve">  Month 8</t>
  </si>
  <si>
    <t xml:space="preserve">  Month 9</t>
  </si>
  <si>
    <t xml:space="preserve">  Month 10</t>
  </si>
  <si>
    <t xml:space="preserve">  Month 11</t>
  </si>
  <si>
    <t xml:space="preserve">  Month 12</t>
  </si>
  <si>
    <t>Subtotal</t>
  </si>
  <si>
    <t>Months of service</t>
  </si>
  <si>
    <t>Cohorts</t>
  </si>
  <si>
    <t>Existing Revenue Base</t>
  </si>
  <si>
    <t>AVG Selling Price per Min</t>
  </si>
  <si>
    <t>Avg MRR per Account</t>
  </si>
  <si>
    <t>users from last 12 months</t>
  </si>
  <si>
    <t>Total active 6/1/12</t>
  </si>
  <si>
    <t>Avg mou</t>
  </si>
  <si>
    <t>avg rate</t>
  </si>
  <si>
    <t>Total MOU  Revenue</t>
  </si>
  <si>
    <t>Subscription take rate</t>
  </si>
  <si>
    <t>AllState</t>
  </si>
  <si>
    <t>Jan 12 active</t>
  </si>
  <si>
    <t xml:space="preserve">  Month 13</t>
  </si>
  <si>
    <t xml:space="preserve">  Month 14</t>
  </si>
  <si>
    <t xml:space="preserve">  Month 15</t>
  </si>
  <si>
    <t xml:space="preserve">  Month 16</t>
  </si>
  <si>
    <t xml:space="preserve">  Month 17</t>
  </si>
  <si>
    <t xml:space="preserve">  Month 18</t>
  </si>
  <si>
    <t xml:space="preserve">  Month 19</t>
  </si>
  <si>
    <t xml:space="preserve">  Month 20</t>
  </si>
  <si>
    <t xml:space="preserve">  Month 21</t>
  </si>
  <si>
    <t xml:space="preserve">  Month 22</t>
  </si>
  <si>
    <t xml:space="preserve">  Month 23</t>
  </si>
  <si>
    <t xml:space="preserve">  Month 24</t>
  </si>
  <si>
    <t xml:space="preserve">  Month 25</t>
  </si>
  <si>
    <t xml:space="preserve">  Month 26</t>
  </si>
  <si>
    <t xml:space="preserve">  Month 27</t>
  </si>
  <si>
    <t xml:space="preserve">  Month 28</t>
  </si>
  <si>
    <t xml:space="preserve">  Month 29</t>
  </si>
  <si>
    <t xml:space="preserve">  Month 30</t>
  </si>
  <si>
    <t xml:space="preserve">  Month 31</t>
  </si>
  <si>
    <t xml:space="preserve">  Month 32</t>
  </si>
  <si>
    <t xml:space="preserve">  Month 33</t>
  </si>
  <si>
    <t xml:space="preserve">  Month 34</t>
  </si>
  <si>
    <t xml:space="preserve">  Month 35</t>
  </si>
  <si>
    <t xml:space="preserve">  Month 36</t>
  </si>
  <si>
    <t>Active Usage Month 13+</t>
  </si>
  <si>
    <t>Mou Month 13+</t>
  </si>
  <si>
    <t>Cynthia</t>
  </si>
  <si>
    <t>Total 2011 Actual</t>
  </si>
  <si>
    <t>Total 2010 Actual</t>
  </si>
  <si>
    <t>Mou Month 13</t>
  </si>
  <si>
    <t>Best case/worst case</t>
  </si>
  <si>
    <t>Active Usage</t>
  </si>
  <si>
    <t>Active Usage Month 13</t>
  </si>
  <si>
    <t>Active Usage Month 1</t>
  </si>
  <si>
    <t>Active Usage Month 2</t>
  </si>
  <si>
    <t>Active Usage Month 3</t>
  </si>
  <si>
    <t>Active Usage Month 4</t>
  </si>
  <si>
    <t>Active Usage Month 5</t>
  </si>
  <si>
    <t>Active Usage Month 6</t>
  </si>
  <si>
    <t>Active Usage Month 7</t>
  </si>
  <si>
    <t>Active Usage Month 8</t>
  </si>
  <si>
    <t>Active Usage Month 9</t>
  </si>
  <si>
    <t>Active Usage Month 10</t>
  </si>
  <si>
    <t>Active Usage Month 11</t>
  </si>
  <si>
    <t>Active Usage Month 12</t>
  </si>
  <si>
    <t>Activity is modeled on two dimensions, 1) what is the usage pattern of new signups over the first 12 months (by cohort) and 2) how it blends month over month as there are new users from each cohort in a given month</t>
  </si>
  <si>
    <t>Routers/Switches</t>
  </si>
  <si>
    <t>Server</t>
  </si>
  <si>
    <t>Storage Array</t>
  </si>
  <si>
    <t>daily</t>
  </si>
  <si>
    <t>Parking</t>
  </si>
  <si>
    <t>Total Product Revenue</t>
  </si>
  <si>
    <t>Development Operations</t>
  </si>
  <si>
    <t>ING Direct Savings</t>
  </si>
  <si>
    <t>BofA Checking</t>
  </si>
  <si>
    <t>Petty Cash</t>
  </si>
  <si>
    <t>Accounts Receivable - USD</t>
  </si>
  <si>
    <t>Prepaid Expenses</t>
  </si>
  <si>
    <t>Prepaid Property Taxes</t>
  </si>
  <si>
    <t>Prepaid Insurance</t>
  </si>
  <si>
    <t>Prepaid Expense Other</t>
  </si>
  <si>
    <t>Total Prepaid Expenses</t>
  </si>
  <si>
    <t>Construction in Progress</t>
  </si>
  <si>
    <t>Accumulated Depreciation</t>
  </si>
  <si>
    <t>Deferred Rent</t>
  </si>
  <si>
    <t>Accrued Expenses</t>
  </si>
  <si>
    <t>Accrued Vacation</t>
  </si>
  <si>
    <t>Accrued Payroll and Benefits</t>
  </si>
  <si>
    <t>Total Accrued Expenses</t>
  </si>
  <si>
    <t>Series A Preferred Stock</t>
  </si>
  <si>
    <t>Furniture Fixtures &amp; Equipment</t>
  </si>
  <si>
    <t>Prepaid -Software</t>
  </si>
  <si>
    <t>724 telsa pmts</t>
  </si>
  <si>
    <t>Vasyl Shumskyi</t>
  </si>
  <si>
    <t>Ukraine</t>
  </si>
  <si>
    <t>Igor Koval</t>
  </si>
  <si>
    <t>Shane Neman</t>
  </si>
  <si>
    <t>NJ</t>
  </si>
  <si>
    <t>Allison Decanio</t>
  </si>
  <si>
    <t>Albert Cann</t>
  </si>
  <si>
    <t>Josh Malin</t>
  </si>
  <si>
    <t>Nick Decarlo</t>
  </si>
  <si>
    <t>Vadim Kostikov</t>
  </si>
  <si>
    <t>Evan Coury</t>
  </si>
  <si>
    <t>AZ</t>
  </si>
  <si>
    <t>Total SMS  Revenue</t>
  </si>
  <si>
    <t>Mobile and voice agregator fees</t>
  </si>
  <si>
    <t>Short Code Rental</t>
  </si>
  <si>
    <t>5yr CAGR</t>
  </si>
  <si>
    <t>Distributions</t>
  </si>
  <si>
    <t>Total Voice Cost</t>
  </si>
  <si>
    <t>SMS Fees</t>
  </si>
  <si>
    <t>Key Operating Metrics</t>
  </si>
  <si>
    <t>`</t>
  </si>
  <si>
    <r>
      <t xml:space="preserve">Projected Revenue Backlog </t>
    </r>
    <r>
      <rPr>
        <b/>
        <sz val="12"/>
        <color theme="1"/>
        <rFont val="Calibri"/>
        <family val="2"/>
        <scheme val="minor"/>
      </rPr>
      <t>(000's)</t>
    </r>
  </si>
  <si>
    <t>ACS</t>
  </si>
  <si>
    <t>Random Notes</t>
  </si>
  <si>
    <t>lifetime value is related to my total account base not just what I signed up in a given month.  If I have a profitable account base and add 5 more in April when I normally add 100 it does not mean the 5 I added in Aprl are unprofitable.  If my sales team keeps doing that then eventually my base will dwidle with churn and they will be unprofitable.  so i could look at them on an isloated basis and say I cant operate at 5 new accounts per month long term.</t>
  </si>
  <si>
    <t>take projected lifetime revenue from all my accounts at that point in time (say April) and dived by the total number of accounts on that same date to get an average life time revenue</t>
  </si>
  <si>
    <t>same with CAC &amp; ACS</t>
  </si>
  <si>
    <t>in LTV when calcing rev to date use the min fuction to ensure that past months revenue counted does not exceed current months revenue to ensure we are not counting reveue on churned accounts when doing LTR calculation</t>
  </si>
  <si>
    <t>Target</t>
  </si>
  <si>
    <t>Base</t>
  </si>
  <si>
    <t>Debt</t>
  </si>
  <si>
    <t>Yes</t>
  </si>
  <si>
    <t>Better</t>
  </si>
  <si>
    <t>Customer Usage</t>
  </si>
  <si>
    <t>Interest</t>
  </si>
  <si>
    <t>Fees</t>
  </si>
  <si>
    <t>Amount</t>
  </si>
  <si>
    <t>Warrants</t>
  </si>
  <si>
    <t>Principal</t>
  </si>
  <si>
    <t>Interest Only Period in Years</t>
  </si>
  <si>
    <t>Loan Period in Years</t>
  </si>
  <si>
    <t>Number of Payments Per Year</t>
  </si>
  <si>
    <t>Loan Summary</t>
  </si>
  <si>
    <t>Scheduled Payment Amount (Per Period) During Interest Only Period</t>
  </si>
  <si>
    <t>Scheduled Payment Amount (Per Period) After Interest Only Period</t>
  </si>
  <si>
    <t>Scheduled Number of Payments</t>
  </si>
  <si>
    <t>Actual Number of Payments*</t>
  </si>
  <si>
    <t>Loan Payoff Date</t>
  </si>
  <si>
    <t>Total Amount of Extra Payments</t>
  </si>
  <si>
    <t>Total Interest Paid</t>
  </si>
  <si>
    <t>Amortization Table</t>
  </si>
  <si>
    <t>Payment Number</t>
  </si>
  <si>
    <t>Payment   Date</t>
  </si>
  <si>
    <t>Scheduled Payment</t>
  </si>
  <si>
    <t>Extra   Payment</t>
  </si>
  <si>
    <t>Total   Payment</t>
  </si>
  <si>
    <t>Total Loan Amount</t>
  </si>
  <si>
    <t>Extra Payment per period(if any)</t>
  </si>
  <si>
    <t>Issuance of:</t>
  </si>
  <si>
    <t>Credit Cards</t>
  </si>
  <si>
    <t>Server Hosting</t>
  </si>
  <si>
    <t>Cloud Services</t>
  </si>
  <si>
    <t>Data Center</t>
  </si>
  <si>
    <t>Credit Card Fees &amp; Discount</t>
  </si>
  <si>
    <t>Merchant Fees/Credit Card Proc</t>
  </si>
  <si>
    <t>CF SMS</t>
  </si>
  <si>
    <t>Referral Fees</t>
  </si>
  <si>
    <t>Telephone # purchases</t>
  </si>
  <si>
    <t>Inbound</t>
  </si>
  <si>
    <t>Outbound</t>
  </si>
  <si>
    <t>Travel</t>
  </si>
  <si>
    <t>Employee Advances</t>
  </si>
  <si>
    <t>delta</t>
  </si>
  <si>
    <t>Build graph showing the source of revenue by cohort for any point in time.  E.g. revenue I generate this month comes from contracts starting as far back as 12 months ago and my revenue today also has an unbilled future value.</t>
  </si>
  <si>
    <t>ROUGH PROJECTIONS - past 2014</t>
  </si>
  <si>
    <t>Multiplier Long-term debt</t>
  </si>
  <si>
    <t>Servers</t>
  </si>
  <si>
    <t>EzTexting Amortization</t>
  </si>
  <si>
    <t>New Purchases</t>
  </si>
  <si>
    <t>Total New Purchases</t>
  </si>
  <si>
    <t>Depr on New Purchases</t>
  </si>
  <si>
    <t xml:space="preserve">Servers, Storage &amp; Routers </t>
  </si>
  <si>
    <t>Total Leases</t>
  </si>
  <si>
    <t>High</t>
  </si>
  <si>
    <t>Low</t>
  </si>
  <si>
    <t>Target-Base</t>
  </si>
  <si>
    <t>Advertising Spend</t>
  </si>
  <si>
    <t>Usage</t>
  </si>
  <si>
    <t>Advertising</t>
  </si>
  <si>
    <t>Advertising Split Voice/SMS</t>
  </si>
  <si>
    <t>Medium</t>
  </si>
  <si>
    <t>Jeff Spisak</t>
  </si>
  <si>
    <t>Julie Goldstein</t>
  </si>
  <si>
    <t>Max Porter</t>
  </si>
  <si>
    <t>Wendell Hahm</t>
  </si>
  <si>
    <t>Ryann Thompson</t>
  </si>
  <si>
    <t>Jacob Weiss</t>
  </si>
  <si>
    <t>Bill Hughes</t>
  </si>
  <si>
    <t>Shannon Donohue</t>
  </si>
  <si>
    <t>Aaron Bloomfield</t>
  </si>
  <si>
    <t>John Piersol</t>
  </si>
  <si>
    <t>John Briscoe</t>
  </si>
  <si>
    <t>Mark Zeigler</t>
  </si>
  <si>
    <t>Dan Retzlaff</t>
  </si>
  <si>
    <t>Lezlie Wheeler</t>
  </si>
  <si>
    <t>Adam Keeny</t>
  </si>
  <si>
    <t>James Nguyen</t>
  </si>
  <si>
    <t>Charles Chang</t>
  </si>
  <si>
    <t>Dept</t>
  </si>
  <si>
    <t>Qty</t>
  </si>
  <si>
    <t>Annual Budget (fully loaded)</t>
  </si>
  <si>
    <t>Dev Ops</t>
  </si>
  <si>
    <t>Finance &amp; Accounting</t>
  </si>
  <si>
    <t>SMS orders per mo per user</t>
  </si>
  <si>
    <t>SMS avg order value</t>
  </si>
  <si>
    <t>Catherine J. Moy</t>
  </si>
  <si>
    <t>Dinesh Ravishanker</t>
  </si>
  <si>
    <t>Dmitrii Cuvircencov</t>
  </si>
  <si>
    <t>Komnieve Singh</t>
  </si>
  <si>
    <t>Michelle L Runge</t>
  </si>
  <si>
    <t>Punit Shah</t>
  </si>
  <si>
    <t>Thomas Hilliard</t>
  </si>
  <si>
    <t>Vijesh Mehta</t>
  </si>
  <si>
    <t>TJ (Jagannathan Thinakaran)</t>
  </si>
  <si>
    <t>Thomas Nels Setterland</t>
  </si>
  <si>
    <t>Ronald Burr</t>
  </si>
  <si>
    <t xml:space="preserve">Jeffrey Skinner </t>
  </si>
  <si>
    <t>Grand Total</t>
  </si>
  <si>
    <t>avg order</t>
  </si>
  <si>
    <t>day between orders</t>
  </si>
  <si>
    <t>dollars per day</t>
  </si>
  <si>
    <t>Ad Hoc</t>
  </si>
  <si>
    <t>pay as you go LTV</t>
  </si>
  <si>
    <t>Avg MRR</t>
  </si>
  <si>
    <t>Avg months</t>
  </si>
  <si>
    <t>Jan13 Rev</t>
  </si>
  <si>
    <t xml:space="preserve">Deteriorates at </t>
  </si>
  <si>
    <t xml:space="preserve">straightline current revenue </t>
  </si>
  <si>
    <t>Seasonality Factor</t>
  </si>
  <si>
    <t>Variables</t>
  </si>
  <si>
    <t>Less Jan New Users</t>
  </si>
  <si>
    <t>Allstate 2013</t>
  </si>
  <si>
    <t>Annual</t>
  </si>
  <si>
    <t>Monthly</t>
  </si>
  <si>
    <t>Payroll Liabilities</t>
  </si>
  <si>
    <t>Accured other</t>
  </si>
  <si>
    <t>Deferred Revenue</t>
  </si>
  <si>
    <t>Multiplier Note</t>
  </si>
  <si>
    <t>Ez Texting Note</t>
  </si>
  <si>
    <t>Paid In Capital Series A Preferred</t>
  </si>
  <si>
    <t>Paid In Capital Common</t>
  </si>
  <si>
    <t>Prior Period Adjustment</t>
  </si>
  <si>
    <t>Retained Earnings 2</t>
  </si>
  <si>
    <t>Preferred Issuance Cost</t>
  </si>
  <si>
    <t>JP Morgan Escrow</t>
  </si>
  <si>
    <t>Prepaid Loan Fees</t>
  </si>
  <si>
    <t>Security Deposits</t>
  </si>
  <si>
    <t>Goodwill</t>
  </si>
  <si>
    <t>Tradename</t>
  </si>
  <si>
    <t>Non Compete Agreements</t>
  </si>
  <si>
    <t>Customer Relationships</t>
  </si>
  <si>
    <t>Technology</t>
  </si>
  <si>
    <t>Accumulated Amortization</t>
  </si>
  <si>
    <t>Amortization Expense</t>
  </si>
  <si>
    <t>Operating Profit Margin(EBITDA)</t>
  </si>
  <si>
    <t>Jeffrey Carlson</t>
  </si>
  <si>
    <t>Lubya Shypovych</t>
  </si>
  <si>
    <t>Added to deferred</t>
  </si>
  <si>
    <t>Used from deferred</t>
  </si>
  <si>
    <t>Expired from deferred</t>
  </si>
  <si>
    <t>Starting Balance</t>
  </si>
  <si>
    <t>Deferred Revenue Calcs</t>
  </si>
  <si>
    <t>Income from Deferred Revenue</t>
  </si>
  <si>
    <t>Old Carry Fwd Balance</t>
  </si>
  <si>
    <t>Average % of $ per Mo pushed to deferred</t>
  </si>
  <si>
    <t>Inverse of above</t>
  </si>
  <si>
    <t>Revenue Reserve</t>
  </si>
  <si>
    <t>Historical</t>
  </si>
  <si>
    <t>SMS Avg Order Value</t>
  </si>
  <si>
    <t>Quartely</t>
  </si>
  <si>
    <t>ARPU</t>
  </si>
  <si>
    <t>2010</t>
  </si>
  <si>
    <t>2009</t>
  </si>
  <si>
    <t>2011</t>
  </si>
  <si>
    <t>2012</t>
  </si>
  <si>
    <t>2013</t>
  </si>
  <si>
    <t>2014</t>
  </si>
  <si>
    <t>YoY growth</t>
  </si>
  <si>
    <t>QoQ growth</t>
  </si>
  <si>
    <t>Q2 2012 Actual</t>
  </si>
  <si>
    <t>Q3 2012 Actual</t>
  </si>
  <si>
    <t>Q4 2012 Actual</t>
  </si>
  <si>
    <t>Q1 2013 Actual</t>
  </si>
  <si>
    <t>Total Q1</t>
  </si>
  <si>
    <t>Total Q2</t>
  </si>
  <si>
    <t>Total Q3</t>
  </si>
  <si>
    <t>Total Q4</t>
  </si>
  <si>
    <t>Historical Accural</t>
  </si>
  <si>
    <t>cogs</t>
  </si>
  <si>
    <t>2009 Ez Cash Deposits</t>
  </si>
  <si>
    <t>2009 CF Cash Deposits</t>
  </si>
  <si>
    <t>Op Profit</t>
  </si>
  <si>
    <t>Bookings</t>
  </si>
  <si>
    <t>Historical Cash</t>
  </si>
  <si>
    <t>New Signups</t>
  </si>
  <si>
    <t>New Plan Users</t>
  </si>
  <si>
    <t>COSTS</t>
  </si>
  <si>
    <t>ACCOUNTS</t>
  </si>
  <si>
    <t>% from paid advertising</t>
  </si>
  <si>
    <t>INCOME</t>
  </si>
  <si>
    <t>Plan ARPU</t>
  </si>
  <si>
    <t>% Revenue from Plans</t>
  </si>
  <si>
    <t>LIFETIME VALUES</t>
  </si>
  <si>
    <t>Plan Lifetime Revenue</t>
  </si>
  <si>
    <t>Customer Lifetime Value (CLV)</t>
  </si>
  <si>
    <t>Lifetime Revenue (LTR)</t>
  </si>
  <si>
    <t>Customer Acquistion Cost (CAC)</t>
  </si>
  <si>
    <t>CLV over CAC</t>
  </si>
  <si>
    <t>Conversion Rate %</t>
  </si>
  <si>
    <t>2015</t>
  </si>
  <si>
    <t>Cash flow from operations</t>
  </si>
  <si>
    <t>Capital expenditures</t>
  </si>
  <si>
    <t>Free cash flow</t>
  </si>
  <si>
    <t>Metrics</t>
  </si>
  <si>
    <t>Paid advertising CAC</t>
  </si>
  <si>
    <t>Plan Churn</t>
  </si>
  <si>
    <t>Total Active30 Accounts</t>
  </si>
  <si>
    <t>Free Cash Flow</t>
  </si>
  <si>
    <t>6125 · Books and periodicals</t>
  </si>
  <si>
    <t>6135 · Computer Supplies &amp; Internet</t>
  </si>
  <si>
    <t>6141 · Conference &amp; Meeting Attendance</t>
  </si>
  <si>
    <t>6160 · Dues and Subscriptions</t>
  </si>
  <si>
    <t>6230 · Marketing</t>
  </si>
  <si>
    <t>6243 · Meals and Entertainment</t>
  </si>
  <si>
    <t>6247 · Miscellaneous</t>
  </si>
  <si>
    <t>6250 · Postage and Delivery</t>
  </si>
  <si>
    <t>6260 · Printing and Reproduction</t>
  </si>
  <si>
    <t>6270 · Professional Fees</t>
  </si>
  <si>
    <t>6380 · Travel</t>
  </si>
  <si>
    <t>6550 · Office Supplies</t>
  </si>
  <si>
    <t>6560 · Salary and Payroll Related</t>
  </si>
  <si>
    <t>6580 · Employee Benefits</t>
  </si>
  <si>
    <t>6630 · Professional Development</t>
  </si>
  <si>
    <t>6680 · Recruiting</t>
  </si>
  <si>
    <t>6137 · Hardware/Software On Board</t>
  </si>
  <si>
    <t>6138 · Software License Fee</t>
  </si>
  <si>
    <t>6139 · Internet (Office &amp; EE)</t>
  </si>
  <si>
    <t>Total 6135 · Computer Supplies &amp; Internet</t>
  </si>
  <si>
    <t>6231 · Branding/Ad-Placement</t>
  </si>
  <si>
    <t>6232 · Conferences and Events Expense</t>
  </si>
  <si>
    <t>6233 · Lead Lists &amp; Services</t>
  </si>
  <si>
    <t>6234 · Marketing Collateral</t>
  </si>
  <si>
    <t>6238 · Online Marketing (SEM/SEO)</t>
  </si>
  <si>
    <t>6239 · PR</t>
  </si>
  <si>
    <t>6240 · Sales Incentives</t>
  </si>
  <si>
    <t>6230 · Marketing - Other</t>
  </si>
  <si>
    <t>Total 6230 · Marketing</t>
  </si>
  <si>
    <t>6243 · Meals and Entertainment - Other</t>
  </si>
  <si>
    <t>Total 6243 · Meals and Entertainment</t>
  </si>
  <si>
    <t>6272 · Marketing</t>
  </si>
  <si>
    <t>6275 · Professional Fees-Other</t>
  </si>
  <si>
    <t>Total 6270 · Professional Fees</t>
  </si>
  <si>
    <t>6290 · Rent</t>
  </si>
  <si>
    <t>6293 · Parking Spots</t>
  </si>
  <si>
    <t>Total 6290 · Rent</t>
  </si>
  <si>
    <t>6562 · Payroll Taxes</t>
  </si>
  <si>
    <t>Employment Training Tax Company</t>
  </si>
  <si>
    <t>Federal Unemployment Company</t>
  </si>
  <si>
    <t>Medicare Company</t>
  </si>
  <si>
    <t>Social Security Company</t>
  </si>
  <si>
    <t>State Disability</t>
  </si>
  <si>
    <t>State Unemployment Company</t>
  </si>
  <si>
    <t>6562 · Payroll Taxes - Other</t>
  </si>
  <si>
    <t>Total 6562 · Payroll Taxes</t>
  </si>
  <si>
    <t>6563 · Salaries &amp; Wages</t>
  </si>
  <si>
    <t>Salaries - Regular</t>
  </si>
  <si>
    <t>Vacation</t>
  </si>
  <si>
    <t>Total 6563 · Salaries &amp; Wages</t>
  </si>
  <si>
    <t>6560 · Salary and Payroll Related - Other</t>
  </si>
  <si>
    <t>Total 6560 · Salary and Payroll Related</t>
  </si>
  <si>
    <t>6581 · Health Insurance</t>
  </si>
  <si>
    <t>Total 6580 · Employee Benefits</t>
  </si>
  <si>
    <t>Salaries - Hourly</t>
  </si>
  <si>
    <t>Salaries - Officers</t>
  </si>
  <si>
    <t>Software Licensing Fees</t>
  </si>
  <si>
    <t>6120 · Bank Service Charges</t>
  </si>
  <si>
    <t>6277 · IT Contractors</t>
  </si>
  <si>
    <t>6340 · Telephone</t>
  </si>
  <si>
    <t>6271 · Accounting</t>
  </si>
  <si>
    <t>6276 · HR Compliance</t>
  </si>
  <si>
    <t>6850 · Property Taxes</t>
  </si>
  <si>
    <t>6820 · Taxes</t>
  </si>
  <si>
    <t>6823 · Sales-Use Taxes</t>
  </si>
  <si>
    <t>6824 · State</t>
  </si>
  <si>
    <t>Total 6820 · Taxes</t>
  </si>
  <si>
    <t>Total Sales Expense</t>
  </si>
  <si>
    <t>Health Insurance</t>
  </si>
  <si>
    <t>Partners</t>
  </si>
  <si>
    <t>Total Health Insurance</t>
  </si>
  <si>
    <t>6184 · Excess D&amp;O &amp; EPL</t>
  </si>
  <si>
    <t>6185 · Liability Insurance</t>
  </si>
  <si>
    <t>6195 · Property Coverage</t>
  </si>
  <si>
    <t>6420 · Workers' Comp</t>
  </si>
  <si>
    <t>Total 6180 · Insurance</t>
  </si>
  <si>
    <t>6210 · Licenses and Permits</t>
  </si>
  <si>
    <t>6273 · Legal Fees</t>
  </si>
  <si>
    <t>6291 · Janitorial Exp</t>
  </si>
  <si>
    <t>6290 · Rent - Other</t>
  </si>
  <si>
    <t>6300 · Repairs</t>
  </si>
  <si>
    <t>6310 · Building Repairs</t>
  </si>
  <si>
    <t>6330 · Equipment Repairs</t>
  </si>
  <si>
    <t>Total 6300 · Repairs</t>
  </si>
  <si>
    <t>6390 · Utilities</t>
  </si>
  <si>
    <t>6400 · Gas &amp; Electric</t>
  </si>
  <si>
    <t>Total 6390 · Utilities</t>
  </si>
  <si>
    <t>Total Department Expenses</t>
  </si>
  <si>
    <t>6563 · Salaries &amp; Wages - Other</t>
  </si>
  <si>
    <t>Unclassified Expense</t>
  </si>
  <si>
    <t>Total Software Expense</t>
  </si>
  <si>
    <t>Total Finance Expense</t>
  </si>
  <si>
    <t>Total Dev Ops Expense</t>
  </si>
  <si>
    <t>Total R&amp;D Expense</t>
  </si>
  <si>
    <t>Total G&amp;A Expense</t>
  </si>
  <si>
    <t>6279 · Phone Service-Sales &amp; Support</t>
  </si>
  <si>
    <t>Gross Profit</t>
  </si>
  <si>
    <t>Q1 Board Plan</t>
  </si>
  <si>
    <t>Apr 2013 Actual</t>
  </si>
  <si>
    <t>CASH FLOW METRICS (000's)</t>
  </si>
  <si>
    <t>Proforma or GAAP</t>
  </si>
  <si>
    <t>Cash to Accural Expired Rev Adj</t>
  </si>
  <si>
    <t>Other EzTexting Expense</t>
  </si>
  <si>
    <t>EzTexting Expense Other</t>
  </si>
  <si>
    <t>Ez Texting Expenses</t>
  </si>
  <si>
    <t>Total Marketing Expense</t>
  </si>
  <si>
    <t>Loan Fees</t>
  </si>
  <si>
    <t>Charitable Contributions</t>
  </si>
  <si>
    <t>Fundraising</t>
  </si>
  <si>
    <t>Erin Alvarado</t>
  </si>
  <si>
    <t>Elias Mendoza</t>
  </si>
  <si>
    <t>Joshua Lange</t>
  </si>
  <si>
    <t>Sean Gera</t>
  </si>
  <si>
    <t>Charles Mack Rhinelander</t>
  </si>
  <si>
    <t>Timothy Chang</t>
  </si>
  <si>
    <t>Ryan Martin</t>
  </si>
  <si>
    <t>Shane Blaser</t>
  </si>
  <si>
    <t>R&amp;D</t>
  </si>
  <si>
    <t>old best</t>
  </si>
  <si>
    <t>Conferences and Events Expense</t>
  </si>
  <si>
    <t>Other Loan</t>
  </si>
  <si>
    <t>GAAP</t>
  </si>
  <si>
    <t>Intangible Assets</t>
  </si>
  <si>
    <t>Depreciation</t>
  </si>
  <si>
    <t>Amort &amp;  Depr</t>
  </si>
  <si>
    <t>Line of Credit</t>
  </si>
  <si>
    <t>GAAP RevRec Adjustment</t>
  </si>
  <si>
    <t>Acquistion Related Adjusments</t>
  </si>
  <si>
    <t>Other/Interst Income / {Expense}</t>
  </si>
  <si>
    <t>+</t>
  </si>
  <si>
    <t>Workers Compensation</t>
  </si>
  <si>
    <t>Other Insurance</t>
  </si>
  <si>
    <t>B of A Wire Checking</t>
  </si>
  <si>
    <t>Due to/from Club Texting</t>
  </si>
  <si>
    <t>Payroll Service Customer Asset</t>
  </si>
  <si>
    <t>Undeposited Funds</t>
  </si>
  <si>
    <t>Equipment</t>
  </si>
  <si>
    <t>Accm Depreciation - Equip</t>
  </si>
  <si>
    <t>Equipment - Other</t>
  </si>
  <si>
    <t>Accm Depreciation - Furniture</t>
  </si>
  <si>
    <t>Furnitures and Fixtures - Other</t>
  </si>
  <si>
    <t>Total Equipment</t>
  </si>
  <si>
    <t>Total Furniture and Fixtures</t>
  </si>
  <si>
    <t>Improvements</t>
  </si>
  <si>
    <t>Accm Depreciation - LHI</t>
  </si>
  <si>
    <t>Total Improvements</t>
  </si>
  <si>
    <t>Accm Depreciation - Server</t>
  </si>
  <si>
    <t>Total Server</t>
  </si>
  <si>
    <t>Accm Depreciation - Software</t>
  </si>
  <si>
    <t>Total Software</t>
  </si>
  <si>
    <t>Software - Other</t>
  </si>
  <si>
    <t>Total Intangible Assets</t>
  </si>
  <si>
    <t>Amex Plum</t>
  </si>
  <si>
    <t>B of A Visa</t>
  </si>
  <si>
    <t>Total Credit Cards</t>
  </si>
  <si>
    <t>PR Liability Company</t>
  </si>
  <si>
    <t>PR Liability EE</t>
  </si>
  <si>
    <t>Total Payroll Liabilities</t>
  </si>
  <si>
    <t>Other accrued expenses</t>
  </si>
  <si>
    <t>Deferred Expenses</t>
  </si>
  <si>
    <t>Total Deferred Expenses</t>
  </si>
  <si>
    <t>Total Retained Earnings 2</t>
  </si>
  <si>
    <t>Timing Difference Related to the Expiring Revenue Credits</t>
  </si>
  <si>
    <t>Retained Earnings Acquistion Adjustment</t>
  </si>
  <si>
    <t>Cash to Accrual Adjustment</t>
  </si>
  <si>
    <t>Q2 2013 Actual</t>
  </si>
  <si>
    <t>New Paid Users</t>
  </si>
  <si>
    <t>2013 Board Plan Cash</t>
  </si>
  <si>
    <t>2013 Board Plan Accrual</t>
  </si>
  <si>
    <t>Target Plan</t>
  </si>
  <si>
    <t>Achivement to Plan</t>
  </si>
  <si>
    <t>Bridge Bank</t>
  </si>
  <si>
    <t>6180· Insurance</t>
  </si>
  <si>
    <t>6292 · Office Rent</t>
  </si>
  <si>
    <t>6236 · Offline Advertising</t>
  </si>
  <si>
    <t>6580 · Employee Benefits - Other</t>
  </si>
  <si>
    <t>6390 · Utilities - Other</t>
  </si>
  <si>
    <t>5015+5400</t>
  </si>
  <si>
    <t xml:space="preserve">  Month 37</t>
  </si>
  <si>
    <t xml:space="preserve">  Month 38</t>
  </si>
  <si>
    <t xml:space="preserve">  Month 39</t>
  </si>
  <si>
    <t xml:space="preserve">  Month 40</t>
  </si>
  <si>
    <t xml:space="preserve">  Month 41</t>
  </si>
  <si>
    <t xml:space="preserve">  Month 42</t>
  </si>
  <si>
    <t xml:space="preserve">  Month 43</t>
  </si>
  <si>
    <t xml:space="preserve">  Month 44</t>
  </si>
  <si>
    <t xml:space="preserve">  Month 45</t>
  </si>
  <si>
    <t xml:space="preserve">  Month 46</t>
  </si>
  <si>
    <t xml:space="preserve">  Month 47</t>
  </si>
  <si>
    <t xml:space="preserve">  Month 48</t>
  </si>
  <si>
    <t>6237 · Offiline Promotions</t>
  </si>
  <si>
    <t>plc+5325</t>
  </si>
  <si>
    <t>Q3 2013 Actual</t>
  </si>
  <si>
    <t>X</t>
  </si>
  <si>
    <t>Jennifer Pavlik</t>
  </si>
  <si>
    <t>*Footnotes:</t>
  </si>
  <si>
    <r>
      <t>1</t>
    </r>
    <r>
      <rPr>
        <b/>
        <sz val="12"/>
        <color theme="1"/>
        <rFont val="Calibri"/>
        <family val="2"/>
        <scheme val="minor"/>
      </rPr>
      <t xml:space="preserve"> Testing of new marketing strategies resulted in negative free cash flow</t>
    </r>
  </si>
  <si>
    <t>Shawn Lucas</t>
  </si>
  <si>
    <t>Sean Crabtree</t>
  </si>
  <si>
    <t>Distinct Buyers</t>
  </si>
  <si>
    <t>Average Rev per Min</t>
  </si>
  <si>
    <t>Average Rev per SMS</t>
  </si>
  <si>
    <t>QoQ/YoY Growth %</t>
  </si>
  <si>
    <t>Plan rev</t>
  </si>
  <si>
    <t>Plan Users- need to do by QTR &amp; sum</t>
  </si>
  <si>
    <t>Msgs</t>
  </si>
  <si>
    <t>EZ Rev</t>
  </si>
  <si>
    <t>SEM Spend</t>
  </si>
  <si>
    <t>Plan Lifetime Value</t>
  </si>
  <si>
    <t>SUM</t>
  </si>
  <si>
    <t>Distinct Buyers By QTR</t>
  </si>
  <si>
    <t>Cash from BOD</t>
  </si>
  <si>
    <t>Average</t>
  </si>
  <si>
    <r>
      <rPr>
        <b/>
        <vertAlign val="superscript"/>
        <sz val="12"/>
        <color theme="1"/>
        <rFont val="Calibri"/>
        <family val="2"/>
        <scheme val="minor"/>
      </rPr>
      <t>2</t>
    </r>
    <r>
      <rPr>
        <b/>
        <sz val="12"/>
        <color theme="1"/>
        <rFont val="Calibri"/>
        <family val="2"/>
        <scheme val="minor"/>
      </rPr>
      <t xml:space="preserve"> Calculated for users in this quarter, not cumulative</t>
    </r>
  </si>
  <si>
    <r>
      <rPr>
        <b/>
        <vertAlign val="superscript"/>
        <sz val="12"/>
        <color theme="1"/>
        <rFont val="Calibri"/>
        <family val="2"/>
        <scheme val="minor"/>
      </rPr>
      <t>3</t>
    </r>
    <r>
      <rPr>
        <b/>
        <sz val="12"/>
        <color theme="1"/>
        <rFont val="Calibri"/>
        <family val="2"/>
        <scheme val="minor"/>
      </rPr>
      <t xml:space="preserve"> Calculated using COGS + DevOps</t>
    </r>
  </si>
  <si>
    <r>
      <t>Account Cost of Service</t>
    </r>
    <r>
      <rPr>
        <b/>
        <vertAlign val="superscript"/>
        <sz val="16"/>
        <color theme="1"/>
        <rFont val="Calibri"/>
        <family val="2"/>
        <scheme val="minor"/>
      </rPr>
      <t>3</t>
    </r>
  </si>
  <si>
    <t>Temp adjuster</t>
  </si>
  <si>
    <r>
      <t>ARPU</t>
    </r>
    <r>
      <rPr>
        <b/>
        <vertAlign val="superscript"/>
        <sz val="16"/>
        <color theme="1"/>
        <rFont val="Calibri"/>
        <family val="2"/>
        <scheme val="minor"/>
      </rPr>
      <t>2</t>
    </r>
  </si>
  <si>
    <t>Normalization</t>
  </si>
  <si>
    <t>SMS avg order value- subscription</t>
  </si>
  <si>
    <t>% of customers  on subscription</t>
  </si>
  <si>
    <t>New Accounts Subscription</t>
  </si>
  <si>
    <t>SMS orders per mo per user-subscription</t>
  </si>
  <si>
    <t>% of customers  NOT on subscription</t>
  </si>
  <si>
    <t>I. CAC Overall</t>
  </si>
  <si>
    <t>Sum of all method CAC spends plus S&amp;M Fully Loaded Spend divided by the sum of NPUs by all methods</t>
  </si>
  <si>
    <t>S&amp;M Fully Loaded Salary Expense</t>
  </si>
  <si>
    <t>Marketing Spend</t>
  </si>
  <si>
    <t>Unique</t>
  </si>
  <si>
    <t>SEO</t>
  </si>
  <si>
    <t>SEM</t>
  </si>
  <si>
    <t>NPU</t>
  </si>
  <si>
    <t>CAC Overall</t>
  </si>
  <si>
    <t>II. CAC Unique</t>
  </si>
  <si>
    <t>Unique Signups</t>
  </si>
  <si>
    <t>Unique Marketing Spend</t>
  </si>
  <si>
    <t>Unique NPU</t>
  </si>
  <si>
    <t>Unique CAC</t>
  </si>
  <si>
    <t>III. CAC SEO</t>
  </si>
  <si>
    <t>SEO Signups</t>
  </si>
  <si>
    <t>SEO Marketing Spend</t>
  </si>
  <si>
    <t>IV. CAC SEM</t>
  </si>
  <si>
    <t>SEM Signups</t>
  </si>
  <si>
    <t>SEM Marketing Spend</t>
  </si>
  <si>
    <t>SEM NPU</t>
  </si>
  <si>
    <t>V. CAC Other</t>
  </si>
  <si>
    <t>Other Signups</t>
  </si>
  <si>
    <t>Other Marketing Spend</t>
  </si>
  <si>
    <t>Other NPU</t>
  </si>
  <si>
    <t>V. CAC Sensativities</t>
  </si>
  <si>
    <t>A. Signups</t>
  </si>
  <si>
    <t>C. Marketing Spend</t>
  </si>
  <si>
    <t>Other CAC</t>
  </si>
  <si>
    <t>Average of actuals YTD</t>
  </si>
  <si>
    <t>Highest Value YTD</t>
  </si>
  <si>
    <t>Average of Highest &amp; Worst</t>
  </si>
  <si>
    <t>Lowest Value YTD</t>
  </si>
  <si>
    <t>% of revenue from non  plan</t>
  </si>
  <si>
    <t>original total SMS Revenue</t>
  </si>
  <si>
    <t>New original total SMS Revenue</t>
  </si>
  <si>
    <t>Check</t>
  </si>
  <si>
    <t>Conference &amp; Meeting Exp</t>
  </si>
  <si>
    <t>Donation</t>
  </si>
  <si>
    <t>Finance Charge - old</t>
  </si>
  <si>
    <t>Gifts Given</t>
  </si>
  <si>
    <t>Health Insurance - Other</t>
  </si>
  <si>
    <t>Networking</t>
  </si>
  <si>
    <t>Organizational and Business Exp</t>
  </si>
  <si>
    <t>Retirement Contribution</t>
  </si>
  <si>
    <t>IT</t>
  </si>
  <si>
    <t>Software Licensing Fees - Other</t>
  </si>
  <si>
    <t>Total Software Licensing Fees</t>
  </si>
  <si>
    <t>Website &amp; internet</t>
  </si>
  <si>
    <t>Website Design/Development</t>
  </si>
  <si>
    <t>6110 · Automobile Expense</t>
  </si>
  <si>
    <t>Parking Fees</t>
  </si>
  <si>
    <t>6110 · Automobile Expense - Other</t>
  </si>
  <si>
    <t>Total 6110 · Automobile Expense</t>
  </si>
  <si>
    <t>Bank Fees</t>
  </si>
  <si>
    <t>6120 · Bank Service Charges - Other</t>
  </si>
  <si>
    <t>Total 6120 · Bank Service Charges</t>
  </si>
  <si>
    <t>6130 · Cash Discounts</t>
  </si>
  <si>
    <t>Computer</t>
  </si>
  <si>
    <t>Phones</t>
  </si>
  <si>
    <t>6136 · Hosting</t>
  </si>
  <si>
    <t>6135 · Computer Supplies &amp; Internet - Other</t>
  </si>
  <si>
    <t>6140 · Contributions</t>
  </si>
  <si>
    <t>6170 · Equipment Rental</t>
  </si>
  <si>
    <t>6181 · D&amp;O</t>
  </si>
  <si>
    <t>6182 · E&amp;O</t>
  </si>
  <si>
    <t>6183 · Employment Practices</t>
  </si>
  <si>
    <t>6190 · Disability Insurance</t>
  </si>
  <si>
    <t>6180 · Insurance - Other</t>
  </si>
  <si>
    <t>Data</t>
  </si>
  <si>
    <t>Mailing</t>
  </si>
  <si>
    <t>Merchandise</t>
  </si>
  <si>
    <t>Print</t>
  </si>
  <si>
    <t>6235 · Market Research/Trials</t>
  </si>
  <si>
    <t>6241 · Website Design</t>
  </si>
  <si>
    <t>Business Meeting</t>
  </si>
  <si>
    <t>6278 · Telecom</t>
  </si>
  <si>
    <t>6270 · Professional Fees - Other</t>
  </si>
  <si>
    <t>6320 · Computer Repairs</t>
  </si>
  <si>
    <t>6300 · Repairs - Other</t>
  </si>
  <si>
    <t>Internet (office &amp; EE)</t>
  </si>
  <si>
    <t>6410 · Water</t>
  </si>
  <si>
    <t>6561 · Employee Benefits</t>
  </si>
  <si>
    <t>6568 · Gym Membership</t>
  </si>
  <si>
    <t>6565 · Retirement Contribution</t>
  </si>
  <si>
    <t>6566 · Group Insurance</t>
  </si>
  <si>
    <t>6567 · HSA Contribution</t>
  </si>
  <si>
    <t>6561 · Employee Benefits - Other</t>
  </si>
  <si>
    <t>Total 6561 · Employee Benefits</t>
  </si>
  <si>
    <t>Tax Penalties - Payroll</t>
  </si>
  <si>
    <t>Commission</t>
  </si>
  <si>
    <t>Wages</t>
  </si>
  <si>
    <t>6564 · Placement Fees</t>
  </si>
  <si>
    <t>6582 · Transportation</t>
  </si>
  <si>
    <t>6821 · Corporate Tax</t>
  </si>
  <si>
    <t>6822 · Property Tax</t>
  </si>
  <si>
    <t>6830 · Franchise Taxes</t>
  </si>
  <si>
    <t>6840 · Local</t>
  </si>
  <si>
    <t>6820 · Taxes - Other</t>
  </si>
  <si>
    <t>QB</t>
  </si>
  <si>
    <t>Difference</t>
  </si>
  <si>
    <t>Other Revenue/Consulting</t>
  </si>
  <si>
    <t>Not being used?</t>
  </si>
  <si>
    <t>6294 · Security System</t>
  </si>
  <si>
    <t>Combined</t>
  </si>
  <si>
    <t>Recruiting</t>
  </si>
  <si>
    <t>Conferences and Events</t>
  </si>
  <si>
    <t>Phone Service- Sales &amp; Support</t>
  </si>
  <si>
    <t>Office Supplies</t>
  </si>
  <si>
    <t>Professional Development</t>
  </si>
  <si>
    <t>I. Sales Department Expenses</t>
  </si>
  <si>
    <t>Date</t>
  </si>
  <si>
    <t>Forecast vs Actual</t>
  </si>
  <si>
    <t>Headcount Department Costs</t>
  </si>
  <si>
    <t>Existing Salary</t>
  </si>
  <si>
    <t>New Hire Salary</t>
  </si>
  <si>
    <t>Total Salary</t>
  </si>
  <si>
    <t>Existing Bonus</t>
  </si>
  <si>
    <t>New Hire Bonus</t>
  </si>
  <si>
    <t>Total Bonus</t>
  </si>
  <si>
    <t>Total Employee Benefits</t>
  </si>
  <si>
    <t>Hardware/Software On Board</t>
  </si>
  <si>
    <t>Meals and Entertainment - Other</t>
  </si>
  <si>
    <t>Software License Fee</t>
  </si>
  <si>
    <t>Total Headcount Costs</t>
  </si>
  <si>
    <t>Controllable Expenses</t>
  </si>
  <si>
    <t>Total Professional Service Fees</t>
  </si>
  <si>
    <t>Books and periodicals</t>
  </si>
  <si>
    <t>Postage and Delivery</t>
  </si>
  <si>
    <t>Computer Supplies &amp; Internet</t>
  </si>
  <si>
    <t>Printing and Reproduction</t>
  </si>
  <si>
    <t>Dues &amp; Subscriptions</t>
  </si>
  <si>
    <t>Miscellaneous</t>
  </si>
  <si>
    <t>Total Controllable Expenses</t>
  </si>
  <si>
    <t>Pending- Lezlie on G/L Structure &amp; Transportation Benefits account</t>
  </si>
  <si>
    <t>I. Headcount Department Costs</t>
  </si>
  <si>
    <t>Department</t>
  </si>
  <si>
    <t>Account</t>
  </si>
  <si>
    <t>Account Name</t>
  </si>
  <si>
    <t>Dept Cost Actuals</t>
  </si>
  <si>
    <t>Forecast  Logic</t>
  </si>
  <si>
    <t>Forecast  Value</t>
  </si>
  <si>
    <t>*Note: each department can have different costs</t>
  </si>
  <si>
    <t>*Note: Should values increase YOY?</t>
  </si>
  <si>
    <t xml:space="preserve">Total 6560 </t>
  </si>
  <si>
    <t>Salary and Payroll Related</t>
  </si>
  <si>
    <t>156-146</t>
  </si>
  <si>
    <t>(sum of hire date&lt; current date, termination date &gt; current date, department salary/12) and if the month is =2 in the current year the (sum of hire date&lt; current date, termination date &gt; current date, department salary/12) plus raise</t>
  </si>
  <si>
    <t>formula: headcount</t>
  </si>
  <si>
    <t>*Note: We can have multiple accounts roll up to 1 for consolidated reporting</t>
  </si>
  <si>
    <t>sumproduct of above salary*bonus</t>
  </si>
  <si>
    <t>Total 6580</t>
  </si>
  <si>
    <t>$ * number of active empl + new hires</t>
  </si>
  <si>
    <t>46</t>
  </si>
  <si>
    <t>value*forecasted hires</t>
  </si>
  <si>
    <t>previous 12 month's average</t>
  </si>
  <si>
    <t>formula: historical</t>
  </si>
  <si>
    <t>ASK LEZLIE</t>
  </si>
  <si>
    <t>value* month end headcount</t>
  </si>
  <si>
    <t>G&amp;A</t>
  </si>
  <si>
    <t>I.Other Controllable Expenses</t>
  </si>
  <si>
    <t>G/L Account</t>
  </si>
  <si>
    <t>G/L Account Name</t>
  </si>
  <si>
    <t>Forecast Value</t>
  </si>
  <si>
    <t>Total 6270</t>
  </si>
  <si>
    <t>103 - 101</t>
  </si>
  <si>
    <t>*Note: We can have multiple accounts roll up to 1 for consolidate reporting</t>
  </si>
  <si>
    <t>52 &amp; 12</t>
  </si>
  <si>
    <t>6135 &amp; 6139</t>
  </si>
  <si>
    <t>49 &amp; 48</t>
  </si>
  <si>
    <t>*Note: Applies only to Marketing</t>
  </si>
  <si>
    <t>Branding/Ad-Placement</t>
  </si>
  <si>
    <t>Lead Lists &amp; Services</t>
  </si>
  <si>
    <t>Offline Advertising</t>
  </si>
  <si>
    <t>Offiline Promotions</t>
  </si>
  <si>
    <t>Online Marketing (SEM/SEO)</t>
  </si>
  <si>
    <t>sensitivies tab driven</t>
  </si>
  <si>
    <t>PR</t>
  </si>
  <si>
    <t>Marketing - Other</t>
  </si>
  <si>
    <t xml:space="preserve"> Printing and Reproduction</t>
  </si>
  <si>
    <t>need to fix annual salaries with raise equation to take into account hire date i.e. PRO RATE</t>
  </si>
  <si>
    <t>I.</t>
  </si>
  <si>
    <t>Master Headcount File</t>
  </si>
  <si>
    <t>As of:</t>
  </si>
  <si>
    <t>Last Name</t>
  </si>
  <si>
    <t>First Name</t>
  </si>
  <si>
    <t>Termination Date</t>
  </si>
  <si>
    <t>Employee Status</t>
  </si>
  <si>
    <t>Current Status</t>
  </si>
  <si>
    <t>Work State</t>
  </si>
  <si>
    <t>December Bonus %</t>
  </si>
  <si>
    <t>Annual Raise %</t>
  </si>
  <si>
    <t>*Note: THIS DATE CONTROLS ALL DEPT DATE forecast vs actual</t>
  </si>
  <si>
    <t>Annual Salaries with Raise</t>
  </si>
  <si>
    <t>*Note: New hires need to be removed from forecast &amp; added</t>
  </si>
  <si>
    <t>Koval</t>
  </si>
  <si>
    <t>Rhinelander</t>
  </si>
  <si>
    <t>Kostikov</t>
  </si>
  <si>
    <t>Nguyen</t>
  </si>
  <si>
    <t>Briscoe</t>
  </si>
  <si>
    <t>Thinakaran</t>
  </si>
  <si>
    <t>Ravishanker</t>
  </si>
  <si>
    <t>Singh</t>
  </si>
  <si>
    <t>Burr</t>
  </si>
  <si>
    <t>Neman</t>
  </si>
  <si>
    <t>Decanio</t>
  </si>
  <si>
    <t>Wheeler</t>
  </si>
  <si>
    <t>Alvarado</t>
  </si>
  <si>
    <t>Gera</t>
  </si>
  <si>
    <t>Thompson</t>
  </si>
  <si>
    <t>Zeigler</t>
  </si>
  <si>
    <t>Malin</t>
  </si>
  <si>
    <t>Chang</t>
  </si>
  <si>
    <t>Goldstein</t>
  </si>
  <si>
    <t>Hahm</t>
  </si>
  <si>
    <t>Porter</t>
  </si>
  <si>
    <t>Runge</t>
  </si>
  <si>
    <t>Donohue</t>
  </si>
  <si>
    <t>Bloomfield</t>
  </si>
  <si>
    <t>Spisak</t>
  </si>
  <si>
    <t>Decarlo</t>
  </si>
  <si>
    <t>Weiss</t>
  </si>
  <si>
    <t>Hughes</t>
  </si>
  <si>
    <t>Cann</t>
  </si>
  <si>
    <t>Mendoza</t>
  </si>
  <si>
    <t>Lange</t>
  </si>
  <si>
    <t>Martin</t>
  </si>
  <si>
    <t>Shypovych</t>
  </si>
  <si>
    <t>Boyko</t>
  </si>
  <si>
    <t>Prokofiev</t>
  </si>
  <si>
    <t>Moy</t>
  </si>
  <si>
    <t>Carlson</t>
  </si>
  <si>
    <t>Skinner</t>
  </si>
  <si>
    <t>Coury</t>
  </si>
  <si>
    <t>Piersol</t>
  </si>
  <si>
    <t>Retzlaff</t>
  </si>
  <si>
    <t>Shah</t>
  </si>
  <si>
    <t>Mehta</t>
  </si>
  <si>
    <t>Blaser</t>
  </si>
  <si>
    <t>Pavlik</t>
  </si>
  <si>
    <t>Lucas</t>
  </si>
  <si>
    <t>Crabtree</t>
  </si>
  <si>
    <t>Jeff Cho</t>
  </si>
  <si>
    <t>Cho</t>
  </si>
  <si>
    <t>Master New Hire Forecast</t>
  </si>
  <si>
    <t>*Note: Must be added to the Headcount sheet &amp; removed from New Hires Forecast</t>
  </si>
  <si>
    <t>I. Marketing Department Expenses</t>
  </si>
  <si>
    <t>Marketing Expenses</t>
  </si>
  <si>
    <t>Total Marketing Expenses</t>
  </si>
  <si>
    <t>I. Software Department Expenses</t>
  </si>
  <si>
    <t>Phone Service- Marketing &amp; Support</t>
  </si>
  <si>
    <t>I. Revenue</t>
  </si>
  <si>
    <t>II. Cost of Sales</t>
  </si>
  <si>
    <t>Total Telecom Voice &amp; VOIP</t>
  </si>
  <si>
    <t>Total SMS</t>
  </si>
  <si>
    <t>Total Hosting</t>
  </si>
  <si>
    <t>Total Credit Card Fees</t>
  </si>
  <si>
    <t>I. ASSETS</t>
  </si>
  <si>
    <t>II. LIABILITIES &amp; EQUITY</t>
  </si>
  <si>
    <t>I. Finance Department Expenses</t>
  </si>
  <si>
    <t>I. Dev Ops Department Expenses</t>
  </si>
  <si>
    <t>I. Exec Department Expenses</t>
  </si>
  <si>
    <t>Office Parking</t>
  </si>
  <si>
    <t>Telephone</t>
  </si>
  <si>
    <t>324 - 314</t>
  </si>
  <si>
    <t>492-482</t>
  </si>
  <si>
    <t>660-650</t>
  </si>
  <si>
    <t>828-818</t>
  </si>
  <si>
    <t>996-986</t>
  </si>
  <si>
    <t>1164-1154</t>
  </si>
  <si>
    <t>271-269</t>
  </si>
  <si>
    <t>220 + 180</t>
  </si>
  <si>
    <t>217+216</t>
  </si>
  <si>
    <t>439-437</t>
  </si>
  <si>
    <t>388-348</t>
  </si>
  <si>
    <t>385-384</t>
  </si>
  <si>
    <t>607-605</t>
  </si>
  <si>
    <t>556-516</t>
  </si>
  <si>
    <t>553-552</t>
  </si>
  <si>
    <t>775-773</t>
  </si>
  <si>
    <t>724 + 684</t>
  </si>
  <si>
    <t>721 + 720</t>
  </si>
  <si>
    <t>943-941</t>
  </si>
  <si>
    <t>892+852</t>
  </si>
  <si>
    <t>889+888</t>
  </si>
  <si>
    <t>Total Sales &amp; Marketing</t>
  </si>
  <si>
    <t>Total Research &amp; Development</t>
  </si>
  <si>
    <t>Total General &amp; Administrative</t>
  </si>
  <si>
    <t>Total COGS</t>
  </si>
  <si>
    <t>Other Income</t>
  </si>
  <si>
    <t>1Q2017</t>
  </si>
  <si>
    <t>2Q2017</t>
  </si>
  <si>
    <t>3Q2017</t>
  </si>
  <si>
    <t>4Q2017</t>
  </si>
  <si>
    <t>Forecast Vs Actual</t>
  </si>
  <si>
    <t>Quarter</t>
  </si>
  <si>
    <t>Year</t>
  </si>
  <si>
    <t>I. Cost Summary</t>
  </si>
  <si>
    <t>I. CAPEX &amp; Depreciation</t>
  </si>
  <si>
    <t>Balance Sheet- Cash Flow Actuals</t>
  </si>
  <si>
    <t>From Mkt Dept</t>
  </si>
  <si>
    <t>*depreciation used prior month</t>
  </si>
  <si>
    <t>Prepaid Rent</t>
  </si>
  <si>
    <t>Mins</t>
  </si>
  <si>
    <t>(from actuals)</t>
  </si>
  <si>
    <t>plan users/rev</t>
  </si>
  <si>
    <t>CF Rev</t>
  </si>
  <si>
    <t>Not being used</t>
  </si>
  <si>
    <t>RJ/MktSlices/First Click</t>
  </si>
  <si>
    <t>D. ACPUV (Average Cost Per Unique Visitor)</t>
  </si>
  <si>
    <t>Unique ACPUV</t>
  </si>
  <si>
    <t>SEO ACPUV</t>
  </si>
  <si>
    <t>SEM ACPUV</t>
  </si>
  <si>
    <t>Other ACPUV</t>
  </si>
  <si>
    <t>Unique NPU Conversion Rate</t>
  </si>
  <si>
    <t>Unique Signup Conversion Rate</t>
  </si>
  <si>
    <t>SEO Signup Conversion Rate</t>
  </si>
  <si>
    <t>SEO CAC</t>
  </si>
  <si>
    <t>SEM CAC</t>
  </si>
  <si>
    <t>SEM Signup Conversion Rate</t>
  </si>
  <si>
    <t>Other Signup Conversion Rate</t>
  </si>
  <si>
    <t>SEM NPU Conversion Rate</t>
  </si>
  <si>
    <t>SEO NPU Conversion Rate</t>
  </si>
  <si>
    <t>Other NPU Conversion Rate</t>
  </si>
  <si>
    <t>Unique Sign Up Conversion Rate</t>
  </si>
  <si>
    <t>SEO Sign Up Conversion Rate</t>
  </si>
  <si>
    <t>SEM Sign Up Conversion Rate</t>
  </si>
  <si>
    <t>Other Sign Up Conversion Rate</t>
  </si>
  <si>
    <t>Barbara Palmer</t>
  </si>
  <si>
    <t>Mark Podhajsky</t>
  </si>
  <si>
    <t>Palmer</t>
  </si>
  <si>
    <t>Ian Jardiolin</t>
  </si>
  <si>
    <t>Jardiolin</t>
  </si>
  <si>
    <t>Q1 2012 Actual</t>
  </si>
  <si>
    <t>Total 2013 Actual</t>
  </si>
  <si>
    <t>Total 2014 Projected</t>
  </si>
  <si>
    <t>Q4 2013 Actual</t>
  </si>
  <si>
    <t>Annualized Rev per HC</t>
  </si>
  <si>
    <t>E. Sign Up Conversion Rate (Visits to Signups)</t>
  </si>
  <si>
    <t>B. NPU Conversion Rate (Signups to NPU)</t>
  </si>
  <si>
    <t>*Note: Input actuals each month for all values</t>
  </si>
  <si>
    <t>Plan</t>
  </si>
  <si>
    <t>Total Plan</t>
  </si>
  <si>
    <t>Voice Plan</t>
  </si>
  <si>
    <t>SMS Plan</t>
  </si>
  <si>
    <t>Rentals</t>
  </si>
  <si>
    <t xml:space="preserve">Long </t>
  </si>
  <si>
    <t>Short</t>
  </si>
  <si>
    <t>SMS Keywords</t>
  </si>
  <si>
    <t>Usage Revenue</t>
  </si>
  <si>
    <t>Voice Telecom Usage</t>
  </si>
  <si>
    <t>SMS Fees Usage</t>
  </si>
  <si>
    <t>Telephony</t>
  </si>
  <si>
    <t>SMS Other</t>
  </si>
  <si>
    <t>Telecom Voice Other</t>
  </si>
  <si>
    <t>Consulting Services</t>
  </si>
  <si>
    <t>DID</t>
  </si>
  <si>
    <t>Total Rentals</t>
  </si>
  <si>
    <t>Returns &amp; Allowances</t>
  </si>
  <si>
    <t>Mike Epstein</t>
  </si>
  <si>
    <t>Epstein</t>
  </si>
  <si>
    <t>Amit Lamba</t>
  </si>
  <si>
    <t>Lamba</t>
  </si>
  <si>
    <t>WAIT FOR NEW BILL/ Includes Pimp my Desk</t>
  </si>
  <si>
    <t>Business Intelligence</t>
  </si>
  <si>
    <t>Total BI Expense</t>
  </si>
  <si>
    <t>Dept Cost Actuals Row</t>
  </si>
  <si>
    <t>Dept Cost Actuals Reference</t>
  </si>
  <si>
    <t>*includes $400 pimp my desk</t>
  </si>
  <si>
    <t>Keeney</t>
  </si>
  <si>
    <t>Podhajsky</t>
  </si>
  <si>
    <t>Pagidas</t>
  </si>
  <si>
    <t>Michael Pagidas</t>
  </si>
  <si>
    <t>Cuvicencov</t>
  </si>
  <si>
    <t>Setterlund</t>
  </si>
  <si>
    <t>Hillard</t>
  </si>
  <si>
    <t>Marlon Bryson</t>
  </si>
  <si>
    <t>Michael Collard</t>
  </si>
  <si>
    <t>David Endris</t>
  </si>
  <si>
    <t>Dane Jutila</t>
  </si>
  <si>
    <t>Andres Anton-Diaz</t>
  </si>
  <si>
    <t>Shahriar Ofavezi</t>
  </si>
  <si>
    <t>Bryson</t>
  </si>
  <si>
    <t>Collard</t>
  </si>
  <si>
    <t>Endris</t>
  </si>
  <si>
    <t>Jutila</t>
  </si>
  <si>
    <t>Diaz</t>
  </si>
  <si>
    <t>Ofavezi</t>
  </si>
  <si>
    <t>CFO</t>
  </si>
  <si>
    <t>Ann Shypovich</t>
  </si>
  <si>
    <t>Denis Gergun</t>
  </si>
  <si>
    <t>Gergun</t>
  </si>
  <si>
    <t>Shypovich</t>
  </si>
  <si>
    <t>Boyun</t>
  </si>
  <si>
    <t>Yuriy Boyun</t>
  </si>
  <si>
    <t>Volodymyr Saienko</t>
  </si>
  <si>
    <t>Pasha (Pavlo) Prokofiev</t>
  </si>
  <si>
    <t>Artur Tamazian</t>
  </si>
  <si>
    <t>Gleb Shevchuk</t>
  </si>
  <si>
    <t>Igor Dvorzhyk</t>
  </si>
  <si>
    <t>Ilya Permiakov</t>
  </si>
  <si>
    <t>Olesxander Boyko</t>
  </si>
  <si>
    <t>Olexsadr Kunitsia</t>
  </si>
  <si>
    <t>Yuri Barannikov</t>
  </si>
  <si>
    <t>Ronnie Andrews</t>
  </si>
  <si>
    <t>Hans Wunch</t>
  </si>
  <si>
    <t>Justin Martin</t>
  </si>
  <si>
    <t>Wunch</t>
  </si>
  <si>
    <t>Andrews</t>
  </si>
  <si>
    <t>Ttamazian</t>
  </si>
  <si>
    <t>Mack Replacement</t>
  </si>
  <si>
    <t>Junior</t>
  </si>
  <si>
    <t>Designer</t>
  </si>
  <si>
    <t>FY2014 Total</t>
  </si>
  <si>
    <t>Expense</t>
  </si>
  <si>
    <t>Detail</t>
  </si>
  <si>
    <t>Trip to Europe</t>
  </si>
  <si>
    <t>Trip To NJ</t>
  </si>
  <si>
    <t>General Travel Placeholder</t>
  </si>
  <si>
    <t>Comments</t>
  </si>
  <si>
    <t>Nic Denholm</t>
  </si>
  <si>
    <t>Jennifer Egan</t>
  </si>
  <si>
    <t>Assuming 25 hours per week</t>
  </si>
  <si>
    <t>Leyla Gulen</t>
  </si>
  <si>
    <t>Jeremy Pollack</t>
  </si>
  <si>
    <t>Giselli Rodriguez</t>
  </si>
  <si>
    <t>Photoshop License</t>
  </si>
  <si>
    <t>For Jeff Cho</t>
  </si>
  <si>
    <t>Marketing Conferences and Events</t>
  </si>
  <si>
    <t>TechZulu Sponsorship</t>
  </si>
  <si>
    <t>Leads Con</t>
  </si>
  <si>
    <t>Call Center Week</t>
  </si>
  <si>
    <t>Other Conference Opportunities</t>
  </si>
  <si>
    <t>Sales Conferences and Events</t>
  </si>
  <si>
    <t>Allstate</t>
  </si>
  <si>
    <t>Biz Cards for Allstate</t>
  </si>
  <si>
    <t>Lead Lists and Services</t>
  </si>
  <si>
    <t>MailChimp</t>
  </si>
  <si>
    <t>Benchmark</t>
  </si>
  <si>
    <t>HootSuite</t>
  </si>
  <si>
    <t>General Giveaways</t>
  </si>
  <si>
    <t>Case Study Incentive Gifts</t>
  </si>
  <si>
    <t>Business Cards</t>
  </si>
  <si>
    <t>Keywords</t>
  </si>
  <si>
    <t>Will we actually be charged for these?</t>
  </si>
  <si>
    <t>General Magazine Ad</t>
  </si>
  <si>
    <t>Fitness Ad</t>
  </si>
  <si>
    <t>Paid Media</t>
  </si>
  <si>
    <t>Paid Search (85% of Paid Media)</t>
  </si>
  <si>
    <t>See worksheet below for derivation</t>
  </si>
  <si>
    <t>Display (15% of Paid Media)</t>
  </si>
  <si>
    <t>Facebook News Feed</t>
  </si>
  <si>
    <t>For CF + Ez; new approach (news feed versus side rail ads)</t>
  </si>
  <si>
    <t>Facebook Boost Posts</t>
  </si>
  <si>
    <t>Promoting our own FB posts for visibility; these are not ads</t>
  </si>
  <si>
    <t>LinkedIn Sponsored Updates</t>
  </si>
  <si>
    <t>Sponsored news feed ads</t>
  </si>
  <si>
    <t>Agency Fees</t>
  </si>
  <si>
    <t>TSA SEM (7% of Paid Search)</t>
  </si>
  <si>
    <t>Incremental cost--NOT included in Paid Media line; see worksheet below for derivation</t>
  </si>
  <si>
    <t>TSA SEO</t>
  </si>
  <si>
    <t>Slingshot</t>
  </si>
  <si>
    <t>To be terminated at end of February</t>
  </si>
  <si>
    <t>National Promotions</t>
  </si>
  <si>
    <t>Text Link Brokers</t>
  </si>
  <si>
    <t>To be terminated at end of April</t>
  </si>
  <si>
    <t>Dotted Line Communications</t>
  </si>
  <si>
    <t>Special Projects</t>
  </si>
  <si>
    <t>Corporate Video</t>
  </si>
  <si>
    <t>Political</t>
  </si>
  <si>
    <t>Sean's banner ad costs removed from this line</t>
  </si>
  <si>
    <t>FUEL - Kuntal/Everest Project</t>
  </si>
  <si>
    <t>Includes Roave (website) costs, Defy final installment, legal fees, and communication costs</t>
  </si>
  <si>
    <t>FUEL - Girls Who Code Project</t>
  </si>
  <si>
    <t>FUEL - TBD Projects</t>
  </si>
  <si>
    <t>Food Trucks</t>
  </si>
  <si>
    <t>Product Release Marketing</t>
  </si>
  <si>
    <t>Other Special Projects</t>
  </si>
  <si>
    <t>Lighting for Recording Room</t>
  </si>
  <si>
    <t>Jeff's request for higher-quality video</t>
  </si>
  <si>
    <t>Media Spend Worksheet</t>
  </si>
  <si>
    <t>JAN</t>
  </si>
  <si>
    <t>FEB</t>
  </si>
  <si>
    <t>MAR</t>
  </si>
  <si>
    <t>APR</t>
  </si>
  <si>
    <t>MAY</t>
  </si>
  <si>
    <t>JUN</t>
  </si>
  <si>
    <t>JUL</t>
  </si>
  <si>
    <t>AUG</t>
  </si>
  <si>
    <t>SEP</t>
  </si>
  <si>
    <t>OCT</t>
  </si>
  <si>
    <t>NOV</t>
  </si>
  <si>
    <t>DEC</t>
  </si>
  <si>
    <t>Total (Friday Numbers From Ron)</t>
  </si>
  <si>
    <t>Plus $60k From March On</t>
  </si>
  <si>
    <t>TOTAL</t>
  </si>
  <si>
    <t>Paid Search (85%)</t>
  </si>
  <si>
    <t>Display (15%)</t>
  </si>
  <si>
    <t>Agency Fees (TSA) (7% of Paid Search)</t>
  </si>
  <si>
    <t>(Total Verification)</t>
  </si>
  <si>
    <t>TOTAL VERIFIED</t>
  </si>
  <si>
    <t>Paypal</t>
  </si>
  <si>
    <t>Preferred Stock</t>
  </si>
  <si>
    <t>Senior Accountant</t>
  </si>
  <si>
    <t>Shevchuk</t>
  </si>
  <si>
    <t>Accounts</t>
  </si>
  <si>
    <t>Mapped To</t>
  </si>
  <si>
    <t>6115 · Bad Debt</t>
  </si>
  <si>
    <t>77777 · 1099 Reconciliation Acct</t>
  </si>
  <si>
    <t>6583 · Life &amp; Disability Insurance</t>
  </si>
  <si>
    <t>Bad Debt</t>
  </si>
  <si>
    <t>Reconciliation Acct</t>
  </si>
  <si>
    <t>Contributions</t>
  </si>
  <si>
    <t>Conferences</t>
  </si>
  <si>
    <t>Employee Benefits</t>
  </si>
  <si>
    <t>Books and Periodicals</t>
  </si>
  <si>
    <t>Cash Discounts</t>
  </si>
  <si>
    <t>Computer Supplies</t>
  </si>
  <si>
    <t>Hosting</t>
  </si>
  <si>
    <t>Dues and Subscriptions</t>
  </si>
  <si>
    <t>Equipment Rental</t>
  </si>
  <si>
    <t>Employee Insurance</t>
  </si>
  <si>
    <t>Property Insurance</t>
  </si>
  <si>
    <t>Liscenses and Permits</t>
  </si>
  <si>
    <t>Marketing Other</t>
  </si>
  <si>
    <t>Meals and Entertainment</t>
  </si>
  <si>
    <t>Professional Fees</t>
  </si>
  <si>
    <t>Rent</t>
  </si>
  <si>
    <t>Taxes</t>
  </si>
  <si>
    <t>Repairs</t>
  </si>
  <si>
    <t>Utilities</t>
  </si>
  <si>
    <t>Payroll Taxes</t>
  </si>
  <si>
    <t>Salary</t>
  </si>
  <si>
    <r>
      <t>Revenue</t>
    </r>
    <r>
      <rPr>
        <b/>
        <sz val="14"/>
        <color rgb="FF000000"/>
        <rFont val="Calibri"/>
        <family val="2"/>
      </rPr>
      <t>ⁱ</t>
    </r>
  </si>
  <si>
    <t>Total Executive Expense</t>
  </si>
  <si>
    <t>Employee Insurance &amp; Benefits</t>
  </si>
  <si>
    <t>Vacation Accural</t>
  </si>
  <si>
    <t>Public</t>
  </si>
  <si>
    <t>Things to do</t>
  </si>
  <si>
    <t>4. Add waterfall accounts</t>
  </si>
  <si>
    <t>5. Change SMS waterfall to be similar to Voice i.e. include usage</t>
  </si>
  <si>
    <t>7. Update salary &amp; bonus formula to a macro</t>
  </si>
  <si>
    <t>6. Change MRR to actual by VOICE, SMS &amp; SMS SUB</t>
  </si>
  <si>
    <t>Dev Ops Intern</t>
  </si>
  <si>
    <t>On Board</t>
  </si>
  <si>
    <t>Currently at 88 which is lower</t>
  </si>
  <si>
    <t>Bank &amp; Loan Fees</t>
  </si>
  <si>
    <t>I. G&amp;A Department Expenses</t>
  </si>
  <si>
    <t>I. BI Department Expenses</t>
  </si>
  <si>
    <t>Bank</t>
  </si>
  <si>
    <t>2. Add G&amp;A department--- have it flow through model with forecast values</t>
  </si>
  <si>
    <t>Board</t>
  </si>
  <si>
    <t>Non Board</t>
  </si>
  <si>
    <t>Avg SPPM</t>
  </si>
  <si>
    <t>BOARD</t>
  </si>
  <si>
    <t>BUDGET</t>
  </si>
  <si>
    <t>Total 6235 · Special Projects</t>
  </si>
  <si>
    <t>INTERNAL BUDGET</t>
  </si>
  <si>
    <t>6238 · Paid Media</t>
  </si>
  <si>
    <t>6231 · Agency Fees</t>
  </si>
  <si>
    <t>NOC Team Lead</t>
  </si>
  <si>
    <t>CSM TEMP Allstate</t>
  </si>
  <si>
    <t>3. Fix historical revenue waterfall to account for seasonality</t>
  </si>
  <si>
    <t>St. John</t>
  </si>
  <si>
    <t>Sharon St. John</t>
  </si>
  <si>
    <t>Q1 2014 Actual</t>
  </si>
  <si>
    <t>Total 2012 Actual</t>
  </si>
  <si>
    <t>Note: i. Annualized revenue normalization for 2010 was -$1,070 and for 2011 was -$1,073 and for 2012 was -$1,583</t>
  </si>
  <si>
    <t>ARPUⁱⁱ</t>
  </si>
  <si>
    <t>Note: ii. ARPU for Jan 14 was $144 and for Feb 14 was $146 and for Mar 14 was $154.</t>
  </si>
  <si>
    <t>Brooke</t>
  </si>
  <si>
    <t>Charles Brooke</t>
  </si>
  <si>
    <t>Hardware/Finance On Board</t>
  </si>
  <si>
    <t>Finance License Fee</t>
  </si>
  <si>
    <t>Board Plan</t>
  </si>
  <si>
    <t>Updated Plan</t>
  </si>
  <si>
    <t>Delta</t>
  </si>
  <si>
    <t>Q1 2014 Projected</t>
  </si>
  <si>
    <t>Annual Delta</t>
  </si>
  <si>
    <t>Payroll Formula Error</t>
  </si>
  <si>
    <t>Change in Budget</t>
  </si>
  <si>
    <t>ⁱ</t>
  </si>
  <si>
    <t>ⁱⁱ</t>
  </si>
  <si>
    <t>Notes:</t>
  </si>
  <si>
    <t>Detailed Impact by Dept</t>
  </si>
  <si>
    <t>vacation accrual</t>
  </si>
  <si>
    <t>health insurance</t>
  </si>
  <si>
    <t>employee benefits</t>
  </si>
  <si>
    <t>payroll taxes</t>
  </si>
  <si>
    <t>GA</t>
  </si>
  <si>
    <t>DevOps</t>
  </si>
  <si>
    <t>Ukraine Team missed</t>
  </si>
  <si>
    <t>Total attributed to formula Error</t>
  </si>
  <si>
    <t>Budget Updates</t>
  </si>
  <si>
    <t>New Hires</t>
  </si>
  <si>
    <t>Add'l Software Licenes</t>
  </si>
  <si>
    <t>Total Additional Budget Updates</t>
  </si>
  <si>
    <t>Total added to Budget</t>
  </si>
  <si>
    <t>ⁱⁱⁱ</t>
  </si>
  <si>
    <t xml:space="preserve"> i. In the board plan bonus payout was in Q4, and it is now accrued throughout the year</t>
  </si>
  <si>
    <t>iii. Vacation accrual of $309K and Bonus accrual of $1,542M allow for variability as they are not actual cash payouts</t>
  </si>
  <si>
    <t>ii. Revenue increased due to more than expected SMS NPUs, which have a lower COS</t>
  </si>
  <si>
    <t>check</t>
  </si>
  <si>
    <t>servers</t>
  </si>
  <si>
    <t>software</t>
  </si>
  <si>
    <t>total</t>
  </si>
  <si>
    <t>per month in q4 marketing reduction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</si>
</sst>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2">
    <numFmt numFmtId="5" formatCode="&quot;$&quot;#,##0_);\(&quot;$&quot;#,##0\)"/>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0.0%"/>
    <numFmt numFmtId="166" formatCode="0_);\(0\)"/>
    <numFmt numFmtId="167" formatCode="&quot;$&quot;#,##0"/>
    <numFmt numFmtId="168" formatCode="_(* #,##0_);_(* \(#,##0\);_(* &quot;0&quot;_);_(@_)"/>
    <numFmt numFmtId="169" formatCode="_(&quot;$&quot;* #,##0_);_(&quot;$&quot;* \(#,##0\);_(&quot;$&quot;* &quot;-&quot;??_);_(@_)"/>
    <numFmt numFmtId="170" formatCode="[$-409]mmm\-yy;@"/>
    <numFmt numFmtId="171" formatCode="[$-409]mmmm\-yy;@"/>
    <numFmt numFmtId="172" formatCode="_(* #,##0.0_);_(* \(#,##0.0\);_(* &quot;-&quot;??_);_(@_)"/>
    <numFmt numFmtId="173" formatCode="_(&quot;$&quot;* #,##0_);_(&quot;$&quot;* \(#,##0\);_(&quot;$&quot;* &quot;0&quot;_);_(@_)"/>
    <numFmt numFmtId="174" formatCode="#,##0.00;\-#,##0.00"/>
    <numFmt numFmtId="175" formatCode="&quot;$&quot;#,##0,_);[Red]\(&quot;$&quot;#,##0,\)"/>
    <numFmt numFmtId="176" formatCode="&quot;$&quot;#,##0,_);\(&quot;$&quot;#,##0,\)"/>
    <numFmt numFmtId="177" formatCode="#,##0,_);[Red]\(#,##0,\)"/>
    <numFmt numFmtId="178" formatCode="0.000%"/>
    <numFmt numFmtId="179" formatCode="_(&quot;$&quot;* #,##0.000_);_(&quot;$&quot;* \(#,##0.000\);_(&quot;$&quot;* &quot;-&quot;??_);_(@_)"/>
    <numFmt numFmtId="180" formatCode="_(&quot;$&quot;* #,##0.0000_);_(&quot;$&quot;* \(#,##0.0000\);_(&quot;$&quot;* &quot;-&quot;??_);_(@_)"/>
    <numFmt numFmtId="181" formatCode="0.000"/>
    <numFmt numFmtId="182" formatCode="0.0"/>
    <numFmt numFmtId="183" formatCode="0.00000"/>
    <numFmt numFmtId="184" formatCode="#,##0.0"/>
    <numFmt numFmtId="185" formatCode="#,##0;\-#,##0"/>
    <numFmt numFmtId="186" formatCode="&quot;$&quot;#,##0,_)\k;[Red]\(&quot;$&quot;#,##0,\)\k"/>
    <numFmt numFmtId="187" formatCode="&quot;$&quot;#,##0.00"/>
    <numFmt numFmtId="188" formatCode="#,##0.000000000000"/>
    <numFmt numFmtId="189" formatCode="&quot;$&quot;#,##0.000"/>
    <numFmt numFmtId="190" formatCode="_(* #,##0.0000_);_(* \(#,##0.0000\);_(* &quot;-&quot;??_);_(@_)"/>
  </numFmts>
  <fonts count="163" x14ac:knownFonts="1">
    <font>
      <sz val="11"/>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sz val="10"/>
      <color theme="1"/>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0"/>
      <name val="Arial"/>
      <family val="2"/>
    </font>
    <font>
      <sz val="11"/>
      <color indexed="8"/>
      <name val="Calibri"/>
      <family val="2"/>
    </font>
    <font>
      <sz val="10"/>
      <color indexed="8"/>
      <name val="Arial"/>
      <family val="2"/>
    </font>
    <font>
      <sz val="8"/>
      <name val="Verdana"/>
      <family val="2"/>
    </font>
    <font>
      <b/>
      <sz val="11"/>
      <color theme="4"/>
      <name val="Calibri"/>
      <family val="2"/>
      <scheme val="minor"/>
    </font>
    <font>
      <sz val="10"/>
      <name val="Tahoma"/>
      <family val="2"/>
    </font>
    <font>
      <sz val="10"/>
      <color theme="0"/>
      <name val="Tahoma"/>
      <family val="2"/>
    </font>
    <font>
      <sz val="10"/>
      <color theme="1"/>
      <name val="Tahoma"/>
      <family val="2"/>
    </font>
    <font>
      <i/>
      <sz val="11"/>
      <color theme="1"/>
      <name val="Calibri"/>
      <family val="2"/>
      <scheme val="minor"/>
    </font>
    <font>
      <i/>
      <sz val="11"/>
      <color theme="0" tint="-0.34998626667073579"/>
      <name val="Calibri"/>
      <family val="2"/>
      <scheme val="minor"/>
    </font>
    <font>
      <b/>
      <sz val="10"/>
      <name val="Arial"/>
      <family val="2"/>
    </font>
    <font>
      <sz val="11"/>
      <name val="Calibri"/>
      <family val="2"/>
      <scheme val="minor"/>
    </font>
    <font>
      <b/>
      <sz val="11"/>
      <name val="Calibri"/>
      <family val="2"/>
      <scheme val="minor"/>
    </font>
    <font>
      <sz val="11"/>
      <color theme="0" tint="-0.14999847407452621"/>
      <name val="Calibri"/>
      <family val="2"/>
      <scheme val="minor"/>
    </font>
    <font>
      <b/>
      <i/>
      <sz val="11"/>
      <color theme="0" tint="-0.34998626667073579"/>
      <name val="Calibri"/>
      <family val="2"/>
      <scheme val="minor"/>
    </font>
    <font>
      <b/>
      <sz val="11"/>
      <color rgb="FF0000FF"/>
      <name val="Calibri"/>
      <family val="2"/>
      <scheme val="minor"/>
    </font>
    <font>
      <sz val="11"/>
      <color rgb="FF0000FF"/>
      <name val="Calibri"/>
      <family val="2"/>
      <scheme val="minor"/>
    </font>
    <font>
      <b/>
      <sz val="11"/>
      <color rgb="FF0070C0"/>
      <name val="Calibri"/>
      <family val="2"/>
      <scheme val="minor"/>
    </font>
    <font>
      <b/>
      <sz val="14"/>
      <name val="Arial"/>
      <family val="2"/>
    </font>
    <font>
      <sz val="10"/>
      <color theme="0"/>
      <name val="Arial"/>
      <family val="2"/>
    </font>
    <font>
      <b/>
      <sz val="12"/>
      <name val="Arial"/>
      <family val="2"/>
    </font>
    <font>
      <b/>
      <sz val="12"/>
      <color indexed="8"/>
      <name val="Arial"/>
      <family val="2"/>
    </font>
    <font>
      <b/>
      <sz val="10"/>
      <color indexed="8"/>
      <name val="ARIAL"/>
      <family val="2"/>
    </font>
    <font>
      <sz val="10"/>
      <color rgb="FFFF0000"/>
      <name val="Arial"/>
      <family val="2"/>
    </font>
    <font>
      <sz val="11"/>
      <color rgb="FF0070C0"/>
      <name val="Calibri"/>
      <family val="2"/>
      <scheme val="minor"/>
    </font>
    <font>
      <i/>
      <sz val="11"/>
      <color theme="0" tint="-0.499984740745262"/>
      <name val="Calibri"/>
      <family val="2"/>
      <scheme val="minor"/>
    </font>
    <font>
      <b/>
      <sz val="11"/>
      <color rgb="FFFF0000"/>
      <name val="Calibri"/>
      <family val="2"/>
      <scheme val="minor"/>
    </font>
    <font>
      <sz val="8"/>
      <color rgb="FF000000"/>
      <name val="Arial"/>
      <family val="2"/>
    </font>
    <font>
      <b/>
      <sz val="12"/>
      <color theme="1"/>
      <name val="Calibri"/>
      <family val="2"/>
      <scheme val="minor"/>
    </font>
    <font>
      <b/>
      <sz val="12"/>
      <color theme="0"/>
      <name val="Calibri"/>
      <family val="2"/>
      <scheme val="minor"/>
    </font>
    <font>
      <b/>
      <sz val="12"/>
      <color rgb="FF000000"/>
      <name val="Calibri"/>
      <family val="2"/>
      <scheme val="minor"/>
    </font>
    <font>
      <i/>
      <sz val="12"/>
      <color rgb="FF000000"/>
      <name val="Calibri"/>
      <family val="2"/>
      <scheme val="minor"/>
    </font>
    <font>
      <i/>
      <sz val="12"/>
      <color theme="1"/>
      <name val="Calibri"/>
      <family val="2"/>
      <scheme val="minor"/>
    </font>
    <font>
      <sz val="12"/>
      <color theme="1"/>
      <name val="Calibri"/>
      <family val="2"/>
      <scheme val="minor"/>
    </font>
    <font>
      <b/>
      <sz val="14"/>
      <color theme="1"/>
      <name val="Calibri"/>
      <family val="2"/>
      <scheme val="minor"/>
    </font>
    <font>
      <b/>
      <sz val="14"/>
      <name val="Calibri"/>
      <family val="2"/>
      <scheme val="minor"/>
    </font>
    <font>
      <b/>
      <sz val="14"/>
      <color rgb="FF000000"/>
      <name val="Calibri"/>
      <family val="2"/>
      <scheme val="minor"/>
    </font>
    <font>
      <sz val="9"/>
      <color indexed="81"/>
      <name val="Tahoma"/>
      <family val="2"/>
    </font>
    <font>
      <b/>
      <sz val="9"/>
      <color indexed="81"/>
      <name val="Tahoma"/>
      <family val="2"/>
    </font>
    <font>
      <sz val="11"/>
      <color rgb="FF000000"/>
      <name val="Arial"/>
      <family val="2"/>
    </font>
    <font>
      <b/>
      <sz val="10"/>
      <color theme="0"/>
      <name val="Calibri"/>
      <family val="2"/>
      <scheme val="minor"/>
    </font>
    <font>
      <b/>
      <sz val="8"/>
      <color rgb="FF000000"/>
      <name val="Calibri"/>
      <family val="2"/>
      <scheme val="minor"/>
    </font>
    <font>
      <sz val="36"/>
      <color theme="1"/>
      <name val="Calibri"/>
      <family val="2"/>
      <scheme val="minor"/>
    </font>
    <font>
      <sz val="11"/>
      <color theme="3" tint="0.39997558519241921"/>
      <name val="Calibri"/>
      <family val="2"/>
      <scheme val="minor"/>
    </font>
    <font>
      <sz val="11"/>
      <color theme="4"/>
      <name val="Calibri"/>
      <family val="2"/>
      <scheme val="minor"/>
    </font>
    <font>
      <sz val="10"/>
      <color theme="1"/>
      <name val="Calibri"/>
      <family val="2"/>
      <scheme val="minor"/>
    </font>
    <font>
      <sz val="10"/>
      <name val="Arial"/>
      <family val="2"/>
    </font>
    <font>
      <b/>
      <sz val="10"/>
      <color theme="0"/>
      <name val="Arial"/>
      <family val="2"/>
    </font>
    <font>
      <b/>
      <sz val="10"/>
      <color theme="1"/>
      <name val="Calibri"/>
      <family val="2"/>
      <scheme val="minor"/>
    </font>
    <font>
      <sz val="10"/>
      <name val="Arial"/>
      <family val="2"/>
    </font>
    <font>
      <sz val="10"/>
      <color rgb="FF000000"/>
      <name val="Arial"/>
      <family val="2"/>
    </font>
    <font>
      <sz val="12"/>
      <color indexed="8"/>
      <name val="Arial"/>
      <family val="2"/>
    </font>
    <font>
      <sz val="12"/>
      <color indexed="12"/>
      <name val="Arial"/>
      <family val="2"/>
    </font>
    <font>
      <sz val="11"/>
      <color indexed="8"/>
      <name val="Calibri"/>
      <family val="2"/>
      <scheme val="minor"/>
    </font>
    <font>
      <b/>
      <sz val="16"/>
      <color theme="1"/>
      <name val="Calibri"/>
      <family val="2"/>
      <scheme val="minor"/>
    </font>
    <font>
      <sz val="9"/>
      <color theme="1"/>
      <name val="Calibri"/>
      <family val="2"/>
      <scheme val="minor"/>
    </font>
    <font>
      <b/>
      <sz val="9"/>
      <color theme="1"/>
      <name val="Calibri"/>
      <family val="2"/>
      <scheme val="minor"/>
    </font>
    <font>
      <sz val="9"/>
      <name val="Calibri"/>
      <family val="2"/>
      <scheme val="minor"/>
    </font>
    <font>
      <sz val="10"/>
      <color theme="1"/>
      <name val="Calibri"/>
      <family val="2"/>
    </font>
    <font>
      <b/>
      <sz val="10"/>
      <name val="Calibri"/>
      <family val="2"/>
      <scheme val="minor"/>
    </font>
    <font>
      <b/>
      <sz val="8"/>
      <color theme="1"/>
      <name val="Calibri"/>
      <family val="2"/>
      <scheme val="minor"/>
    </font>
    <font>
      <sz val="8"/>
      <color theme="1"/>
      <name val="Calibri"/>
      <family val="2"/>
      <scheme val="minor"/>
    </font>
    <font>
      <sz val="10"/>
      <name val="Calibri"/>
      <family val="2"/>
      <scheme val="minor"/>
    </font>
    <font>
      <sz val="8"/>
      <color rgb="FF000000"/>
      <name val="Calibri"/>
      <family val="2"/>
      <scheme val="minor"/>
    </font>
    <font>
      <b/>
      <i/>
      <sz val="12"/>
      <color theme="1"/>
      <name val="Calibri"/>
      <family val="2"/>
      <scheme val="minor"/>
    </font>
    <font>
      <b/>
      <i/>
      <sz val="14"/>
      <color theme="1"/>
      <name val="Calibri"/>
      <family val="2"/>
      <scheme val="minor"/>
    </font>
    <font>
      <b/>
      <i/>
      <sz val="14"/>
      <color rgb="FF000000"/>
      <name val="Calibri"/>
      <family val="2"/>
      <scheme val="minor"/>
    </font>
    <font>
      <b/>
      <i/>
      <sz val="12"/>
      <color rgb="FF000000"/>
      <name val="Calibri"/>
      <family val="2"/>
      <scheme val="minor"/>
    </font>
    <font>
      <i/>
      <sz val="14"/>
      <color theme="1"/>
      <name val="Calibri"/>
      <family val="2"/>
      <scheme val="minor"/>
    </font>
    <font>
      <b/>
      <sz val="10"/>
      <color rgb="FF002060"/>
      <name val="Calibri"/>
      <family val="2"/>
      <scheme val="minor"/>
    </font>
    <font>
      <sz val="10"/>
      <color rgb="FF002060"/>
      <name val="Calibri"/>
      <family val="2"/>
      <scheme val="minor"/>
    </font>
    <font>
      <i/>
      <sz val="10"/>
      <color rgb="FF002060"/>
      <name val="Calibri"/>
      <family val="2"/>
      <scheme val="minor"/>
    </font>
    <font>
      <i/>
      <sz val="10"/>
      <color theme="1"/>
      <name val="Calibri"/>
      <family val="2"/>
      <scheme val="minor"/>
    </font>
    <font>
      <b/>
      <sz val="16"/>
      <color theme="0"/>
      <name val="Calibri"/>
      <family val="2"/>
      <scheme val="minor"/>
    </font>
    <font>
      <sz val="16"/>
      <color theme="1"/>
      <name val="Calibri"/>
      <family val="2"/>
      <scheme val="minor"/>
    </font>
    <font>
      <b/>
      <sz val="14"/>
      <color theme="0"/>
      <name val="Calibri"/>
      <family val="2"/>
      <scheme val="minor"/>
    </font>
    <font>
      <b/>
      <i/>
      <sz val="11"/>
      <color theme="1"/>
      <name val="Calibri"/>
      <family val="2"/>
      <scheme val="minor"/>
    </font>
    <font>
      <b/>
      <sz val="22"/>
      <color theme="0"/>
      <name val="Calibri"/>
      <family val="2"/>
      <scheme val="minor"/>
    </font>
    <font>
      <b/>
      <sz val="14"/>
      <color theme="0" tint="-0.499984740745262"/>
      <name val="Calibri"/>
      <family val="2"/>
      <scheme val="minor"/>
    </font>
    <font>
      <i/>
      <sz val="12"/>
      <color theme="0" tint="-0.499984740745262"/>
      <name val="Calibri"/>
      <family val="2"/>
      <scheme val="minor"/>
    </font>
    <font>
      <i/>
      <sz val="14"/>
      <color theme="0" tint="-0.499984740745262"/>
      <name val="Calibri"/>
      <family val="2"/>
      <scheme val="minor"/>
    </font>
    <font>
      <b/>
      <sz val="9"/>
      <color rgb="FF000000"/>
      <name val="Tahoma"/>
      <family val="2"/>
    </font>
    <font>
      <sz val="9"/>
      <color rgb="FF000000"/>
      <name val="Tahoma"/>
      <family val="2"/>
    </font>
    <font>
      <i/>
      <sz val="9"/>
      <name val="Arial"/>
      <family val="2"/>
    </font>
    <font>
      <b/>
      <sz val="10"/>
      <color rgb="FF000000"/>
      <name val="Arial"/>
      <family val="2"/>
    </font>
    <font>
      <sz val="10"/>
      <color rgb="FF00B050"/>
      <name val="Arial"/>
      <family val="2"/>
    </font>
    <font>
      <b/>
      <vertAlign val="superscript"/>
      <sz val="12"/>
      <color theme="1"/>
      <name val="Calibri"/>
      <family val="2"/>
      <scheme val="minor"/>
    </font>
    <font>
      <sz val="11"/>
      <color rgb="FF333333"/>
      <name val="Arial"/>
      <family val="2"/>
    </font>
    <font>
      <b/>
      <sz val="12"/>
      <name val="Calibri"/>
      <family val="2"/>
      <scheme val="minor"/>
    </font>
    <font>
      <b/>
      <sz val="12"/>
      <color rgb="FFFF0000"/>
      <name val="Calibri"/>
      <family val="2"/>
      <scheme val="minor"/>
    </font>
    <font>
      <i/>
      <sz val="8"/>
      <color theme="1"/>
      <name val="Calibri"/>
      <family val="2"/>
      <scheme val="minor"/>
    </font>
    <font>
      <b/>
      <vertAlign val="superscript"/>
      <sz val="16"/>
      <color theme="1"/>
      <name val="Calibri"/>
      <family val="2"/>
      <scheme val="minor"/>
    </font>
    <font>
      <sz val="10"/>
      <color rgb="FFFF0000"/>
      <name val="Calibri"/>
      <family val="2"/>
      <scheme val="minor"/>
    </font>
    <font>
      <b/>
      <sz val="10"/>
      <color rgb="FF000000"/>
      <name val="Calibri"/>
      <family val="2"/>
      <scheme val="minor"/>
    </font>
    <font>
      <b/>
      <u/>
      <sz val="10"/>
      <color rgb="FF000000"/>
      <name val="Calibri"/>
      <family val="2"/>
      <scheme val="minor"/>
    </font>
    <font>
      <i/>
      <sz val="10"/>
      <color rgb="FF000000"/>
      <name val="Calibri"/>
      <family val="2"/>
      <scheme val="minor"/>
    </font>
    <font>
      <b/>
      <sz val="10"/>
      <color rgb="FFFF0000"/>
      <name val="Calibri"/>
      <family val="2"/>
      <scheme val="minor"/>
    </font>
    <font>
      <b/>
      <i/>
      <u/>
      <sz val="10"/>
      <color theme="1"/>
      <name val="Calibri"/>
      <family val="2"/>
      <scheme val="minor"/>
    </font>
    <font>
      <b/>
      <u/>
      <sz val="10"/>
      <color theme="1"/>
      <name val="Calibri"/>
      <family val="2"/>
      <scheme val="minor"/>
    </font>
    <font>
      <b/>
      <i/>
      <sz val="10"/>
      <color theme="1"/>
      <name val="Calibri"/>
      <family val="2"/>
      <scheme val="minor"/>
    </font>
    <font>
      <i/>
      <sz val="10"/>
      <name val="Calibri"/>
      <family val="2"/>
      <scheme val="minor"/>
    </font>
    <font>
      <b/>
      <i/>
      <sz val="10"/>
      <name val="Calibri"/>
      <family val="2"/>
      <scheme val="minor"/>
    </font>
    <font>
      <sz val="10"/>
      <color rgb="FF000000"/>
      <name val="Calibri"/>
      <family val="2"/>
      <scheme val="minor"/>
    </font>
    <font>
      <sz val="8"/>
      <name val="Calibri"/>
      <family val="2"/>
      <scheme val="minor"/>
    </font>
    <font>
      <sz val="8"/>
      <color rgb="FFFF0000"/>
      <name val="Calibri"/>
      <family val="2"/>
      <scheme val="minor"/>
    </font>
    <font>
      <b/>
      <sz val="8"/>
      <color rgb="FFFF0000"/>
      <name val="Calibri"/>
      <family val="2"/>
      <scheme val="minor"/>
    </font>
    <font>
      <b/>
      <u/>
      <sz val="10"/>
      <color rgb="FFFF0000"/>
      <name val="Calibri"/>
      <family val="2"/>
      <scheme val="minor"/>
    </font>
    <font>
      <i/>
      <sz val="11"/>
      <color rgb="FFFF0000"/>
      <name val="Calibri"/>
      <family val="2"/>
      <scheme val="minor"/>
    </font>
    <font>
      <b/>
      <u/>
      <sz val="11"/>
      <color theme="1"/>
      <name val="Calibri"/>
      <family val="2"/>
      <scheme val="minor"/>
    </font>
    <font>
      <b/>
      <i/>
      <sz val="10"/>
      <color rgb="FF000000"/>
      <name val="Calibri"/>
      <family val="2"/>
      <scheme val="minor"/>
    </font>
    <font>
      <u/>
      <sz val="10"/>
      <color theme="1"/>
      <name val="Calibri"/>
      <family val="2"/>
      <scheme val="minor"/>
    </font>
    <font>
      <sz val="11"/>
      <color rgb="FF000000"/>
      <name val="Calibri"/>
      <family val="2"/>
      <scheme val="minor"/>
    </font>
    <font>
      <sz val="11"/>
      <color indexed="12"/>
      <name val="Calibri"/>
      <family val="2"/>
      <scheme val="minor"/>
    </font>
    <font>
      <b/>
      <sz val="11"/>
      <color rgb="FF000000"/>
      <name val="Calibri"/>
      <family val="2"/>
      <scheme val="minor"/>
    </font>
    <font>
      <b/>
      <sz val="11"/>
      <color rgb="FF000000"/>
      <name val="Arial"/>
      <family val="2"/>
    </font>
    <font>
      <i/>
      <sz val="8"/>
      <color rgb="FFFF0000"/>
      <name val="Calibri"/>
      <family val="2"/>
      <scheme val="minor"/>
    </font>
    <font>
      <b/>
      <sz val="8"/>
      <color rgb="FF000000"/>
      <name val="Arial"/>
      <family val="2"/>
    </font>
    <font>
      <b/>
      <sz val="12"/>
      <color rgb="FF0070C0"/>
      <name val="Calibri"/>
      <family val="2"/>
      <scheme val="minor"/>
    </font>
    <font>
      <i/>
      <sz val="12"/>
      <name val="Calibri"/>
      <family val="2"/>
      <scheme val="minor"/>
    </font>
    <font>
      <i/>
      <sz val="12"/>
      <color theme="0"/>
      <name val="Calibri"/>
      <family val="2"/>
      <scheme val="minor"/>
    </font>
    <font>
      <i/>
      <sz val="11"/>
      <name val="Calibri"/>
      <family val="2"/>
      <scheme val="minor"/>
    </font>
    <font>
      <i/>
      <sz val="10"/>
      <color rgb="FFFF0000"/>
      <name val="Calibri"/>
      <family val="2"/>
      <scheme val="minor"/>
    </font>
    <font>
      <b/>
      <i/>
      <sz val="11"/>
      <color theme="1"/>
      <name val="Calibri"/>
      <family val="2"/>
      <scheme val="minor"/>
    </font>
    <font>
      <i/>
      <sz val="10"/>
      <name val="Calibri"/>
      <family val="2"/>
      <scheme val="minor"/>
    </font>
    <font>
      <i/>
      <sz val="11"/>
      <color theme="1"/>
      <name val="Calibri"/>
      <family val="2"/>
      <scheme val="minor"/>
    </font>
    <font>
      <b/>
      <u/>
      <sz val="11"/>
      <color rgb="FF000090"/>
      <name val="Calibri"/>
      <family val="2"/>
      <scheme val="minor"/>
    </font>
    <font>
      <sz val="11"/>
      <color rgb="FF000090"/>
      <name val="Calibri"/>
      <family val="2"/>
      <scheme val="minor"/>
    </font>
    <font>
      <sz val="11"/>
      <color rgb="FF0000FF"/>
      <name val="Calibri"/>
      <family val="2"/>
      <scheme val="minor"/>
    </font>
    <font>
      <b/>
      <sz val="11"/>
      <color rgb="FF000090"/>
      <name val="Calibri"/>
      <family val="2"/>
      <scheme val="minor"/>
    </font>
    <font>
      <b/>
      <sz val="14"/>
      <color rgb="FF000000"/>
      <name val="Calibri"/>
      <family val="2"/>
    </font>
    <font>
      <u/>
      <sz val="10"/>
      <color rgb="FF000000"/>
      <name val="Calibri"/>
      <family val="2"/>
      <scheme val="minor"/>
    </font>
    <font>
      <i/>
      <u/>
      <sz val="10"/>
      <color theme="1"/>
      <name val="Calibri"/>
      <family val="2"/>
      <scheme val="minor"/>
    </font>
    <font>
      <b/>
      <sz val="12"/>
      <color rgb="FF0070C0"/>
      <name val="Calibri"/>
      <family val="2"/>
    </font>
    <font>
      <b/>
      <sz val="12"/>
      <color rgb="FFFFFFFF"/>
      <name val="Calibri"/>
      <family val="2"/>
    </font>
    <font>
      <b/>
      <i/>
      <sz val="12"/>
      <color rgb="FF000000"/>
      <name val="Calibri"/>
      <family val="2"/>
    </font>
    <font>
      <i/>
      <sz val="12"/>
      <color rgb="FF000000"/>
      <name val="Calibri"/>
      <family val="2"/>
    </font>
    <font>
      <i/>
      <sz val="14"/>
      <color rgb="FF000000"/>
      <name val="Calibri"/>
      <family val="2"/>
    </font>
    <font>
      <sz val="11"/>
      <color theme="1"/>
      <name val="Calibri"/>
      <family val="2"/>
    </font>
    <font>
      <b/>
      <sz val="11"/>
      <color rgb="FF000000"/>
      <name val="Calibri"/>
      <family val="2"/>
    </font>
    <font>
      <b/>
      <u val="double"/>
      <sz val="11"/>
      <color rgb="FF000000"/>
      <name val="Calibri"/>
      <family val="2"/>
    </font>
    <font>
      <b/>
      <u val="doubleAccounting"/>
      <sz val="11"/>
      <color rgb="FF000000"/>
      <name val="Calibri"/>
      <family val="2"/>
    </font>
  </fonts>
  <fills count="71">
    <fill>
      <patternFill patternType="none"/>
    </fill>
    <fill>
      <patternFill patternType="gray125"/>
    </fill>
    <fill>
      <patternFill patternType="solid">
        <fgColor theme="6" tint="0.39997558519241921"/>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rgb="FFFFCC99"/>
        <bgColor rgb="FF000000"/>
      </patternFill>
    </fill>
    <fill>
      <patternFill patternType="solid">
        <fgColor rgb="FFFFFF99"/>
        <bgColor rgb="FF000000"/>
      </patternFill>
    </fill>
    <fill>
      <patternFill patternType="gray0625">
        <fgColor rgb="FF000000"/>
        <bgColor rgb="FFFFFFCC"/>
      </patternFill>
    </fill>
    <fill>
      <patternFill patternType="solid">
        <fgColor rgb="FF000080"/>
        <bgColor indexed="64"/>
      </patternFill>
    </fill>
    <fill>
      <patternFill patternType="solid">
        <fgColor rgb="FF800000"/>
        <bgColor indexed="64"/>
      </patternFill>
    </fill>
    <fill>
      <patternFill patternType="solid">
        <fgColor rgb="FFD5DFE7"/>
        <bgColor indexed="64"/>
      </patternFill>
    </fill>
    <fill>
      <patternFill patternType="solid">
        <fgColor indexed="63"/>
        <bgColor indexed="64"/>
      </patternFill>
    </fill>
    <fill>
      <patternFill patternType="solid">
        <fgColor indexed="4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indexed="22"/>
        <bgColor indexed="64"/>
      </patternFill>
    </fill>
    <fill>
      <patternFill patternType="solid">
        <fgColor rgb="FF0070C0"/>
        <bgColor indexed="64"/>
      </patternFill>
    </fill>
    <fill>
      <patternFill patternType="solid">
        <fgColor theme="0" tint="-0.34998626667073579"/>
        <bgColor indexed="64"/>
      </patternFill>
    </fill>
    <fill>
      <patternFill patternType="solid">
        <fgColor theme="9"/>
        <bgColor indexed="64"/>
      </patternFill>
    </fill>
    <fill>
      <patternFill patternType="solid">
        <fgColor indexed="65"/>
        <bgColor indexed="64"/>
      </patternFill>
    </fill>
    <fill>
      <patternFill patternType="solid">
        <fgColor theme="8"/>
        <bgColor indexed="64"/>
      </patternFill>
    </fill>
    <fill>
      <patternFill patternType="solid">
        <fgColor theme="2" tint="-0.249977111117893"/>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0"/>
        <bgColor indexed="64"/>
      </patternFill>
    </fill>
    <fill>
      <patternFill patternType="solid">
        <fgColor theme="1" tint="0.34998626667073579"/>
        <bgColor indexed="64"/>
      </patternFill>
    </fill>
    <fill>
      <patternFill patternType="solid">
        <fgColor theme="0" tint="-0.499984740745262"/>
        <bgColor indexed="64"/>
      </patternFill>
    </fill>
    <fill>
      <patternFill patternType="solid">
        <fgColor theme="9"/>
        <bgColor theme="5"/>
      </patternFill>
    </fill>
    <fill>
      <patternFill patternType="solid">
        <fgColor theme="1"/>
        <bgColor indexed="64"/>
      </patternFill>
    </fill>
    <fill>
      <patternFill patternType="solid">
        <fgColor theme="0" tint="-0.249977111117893"/>
        <bgColor theme="4" tint="0.79998168889431442"/>
      </patternFill>
    </fill>
    <fill>
      <patternFill patternType="solid">
        <fgColor rgb="FF0070C0"/>
        <bgColor rgb="FF000000"/>
      </patternFill>
    </fill>
    <fill>
      <patternFill patternType="solid">
        <fgColor rgb="FFBFBFBF"/>
        <bgColor rgb="FF000000"/>
      </patternFill>
    </fill>
  </fills>
  <borders count="10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64"/>
      </bottom>
      <diagonal/>
    </border>
    <border>
      <left style="thin">
        <color indexed="64"/>
      </left>
      <right/>
      <top/>
      <bottom/>
      <diagonal/>
    </border>
    <border>
      <left/>
      <right/>
      <top style="thin">
        <color indexed="64"/>
      </top>
      <bottom style="double">
        <color indexed="64"/>
      </bottom>
      <diagonal/>
    </border>
    <border>
      <left/>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style="medium">
        <color indexed="64"/>
      </left>
      <right style="medium">
        <color indexed="64"/>
      </right>
      <top style="medium">
        <color indexed="64"/>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style="medium">
        <color indexed="64"/>
      </left>
      <right style="medium">
        <color indexed="64"/>
      </right>
      <top/>
      <bottom style="thin">
        <color theme="4" tint="0.39997558519241921"/>
      </bottom>
      <diagonal/>
    </border>
    <border>
      <left/>
      <right/>
      <top/>
      <bottom style="thin">
        <color theme="4" tint="0.39997558519241921"/>
      </bottom>
      <diagonal/>
    </border>
    <border>
      <left/>
      <right style="medium">
        <color indexed="64"/>
      </right>
      <top/>
      <bottom style="medium">
        <color indexed="64"/>
      </bottom>
      <diagonal/>
    </border>
    <border>
      <left style="medium">
        <color indexed="64"/>
      </left>
      <right style="medium">
        <color indexed="64"/>
      </right>
      <top/>
      <bottom/>
      <diagonal/>
    </border>
    <border>
      <left style="thin">
        <color indexed="22"/>
      </left>
      <right style="thin">
        <color indexed="22"/>
      </right>
      <top style="thin">
        <color indexed="22"/>
      </top>
      <bottom style="thin">
        <color indexed="22"/>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theme="4" tint="0.39997558519241921"/>
      </bottom>
      <diagonal/>
    </border>
    <border>
      <left/>
      <right/>
      <top style="medium">
        <color indexed="64"/>
      </top>
      <bottom style="thin">
        <color theme="4" tint="0.39997558519241921"/>
      </bottom>
      <diagonal/>
    </border>
    <border>
      <left/>
      <right style="medium">
        <color indexed="64"/>
      </right>
      <top style="medium">
        <color indexed="64"/>
      </top>
      <bottom style="thin">
        <color theme="4" tint="0.39997558519241921"/>
      </bottom>
      <diagonal/>
    </border>
    <border>
      <left/>
      <right style="thin">
        <color indexed="64"/>
      </right>
      <top style="thin">
        <color indexed="64"/>
      </top>
      <bottom/>
      <diagonal/>
    </border>
    <border>
      <left/>
      <right style="thin">
        <color indexed="64"/>
      </right>
      <top/>
      <bottom/>
      <diagonal/>
    </border>
    <border>
      <left style="thick">
        <color indexed="64"/>
      </left>
      <right/>
      <top/>
      <bottom/>
      <diagonal/>
    </border>
    <border>
      <left style="thin">
        <color indexed="64"/>
      </left>
      <right style="thick">
        <color indexed="64"/>
      </right>
      <top/>
      <bottom/>
      <diagonal/>
    </border>
    <border>
      <left style="thin">
        <color theme="4" tint="0.39997558519241921"/>
      </left>
      <right/>
      <top/>
      <bottom/>
      <diagonal/>
    </border>
    <border>
      <left style="thin">
        <color theme="4" tint="0.39997558519241921"/>
      </left>
      <right/>
      <top style="thin">
        <color theme="4" tint="0.39997558519241921"/>
      </top>
      <bottom style="medium">
        <color indexed="64"/>
      </bottom>
      <diagonal/>
    </border>
    <border>
      <left style="thin">
        <color theme="4" tint="0.39997558519241921"/>
      </left>
      <right/>
      <top/>
      <bottom style="double">
        <color indexed="64"/>
      </bottom>
      <diagonal/>
    </border>
    <border>
      <left/>
      <right/>
      <top style="thin">
        <color theme="4" tint="0.39997558519241921"/>
      </top>
      <bottom style="medium">
        <color indexed="64"/>
      </bottom>
      <diagonal/>
    </border>
    <border>
      <left style="thin">
        <color theme="4" tint="0.39997558519241921"/>
      </left>
      <right/>
      <top/>
      <bottom style="medium">
        <color indexed="64"/>
      </bottom>
      <diagonal/>
    </border>
    <border>
      <left/>
      <right style="medium">
        <color indexed="64"/>
      </right>
      <top/>
      <bottom style="thin">
        <color theme="4" tint="0.39997558519241921"/>
      </bottom>
      <diagonal/>
    </border>
    <border>
      <left/>
      <right style="medium">
        <color indexed="64"/>
      </right>
      <top style="thin">
        <color theme="4" tint="0.39997558519241921"/>
      </top>
      <bottom style="thin">
        <color theme="4" tint="0.39994506668294322"/>
      </bottom>
      <diagonal/>
    </border>
    <border>
      <left style="medium">
        <color indexed="64"/>
      </left>
      <right style="medium">
        <color indexed="64"/>
      </right>
      <top style="thin">
        <color theme="4" tint="0.39997558519241921"/>
      </top>
      <bottom style="thin">
        <color theme="4" tint="0.39994506668294322"/>
      </bottom>
      <diagonal/>
    </border>
    <border>
      <left style="medium">
        <color indexed="64"/>
      </left>
      <right style="medium">
        <color indexed="64"/>
      </right>
      <top style="thin">
        <color theme="4" tint="0.39997558519241921"/>
      </top>
      <bottom style="medium">
        <color theme="4" tint="0.79998168889431442"/>
      </bottom>
      <diagonal/>
    </border>
    <border>
      <left/>
      <right/>
      <top style="thin">
        <color theme="4" tint="0.39997558519241921"/>
      </top>
      <bottom style="thin">
        <color theme="4" tint="0.39994506668294322"/>
      </bottom>
      <diagonal/>
    </border>
    <border>
      <left/>
      <right/>
      <top style="thin">
        <color theme="4" tint="0.39997558519241921"/>
      </top>
      <bottom style="double">
        <color theme="1"/>
      </bottom>
      <diagonal/>
    </border>
    <border>
      <left style="medium">
        <color indexed="64"/>
      </left>
      <right style="medium">
        <color indexed="64"/>
      </right>
      <top/>
      <bottom style="double">
        <color indexed="64"/>
      </bottom>
      <diagonal/>
    </border>
    <border>
      <left/>
      <right/>
      <top style="double">
        <color theme="1"/>
      </top>
      <bottom style="thin">
        <color theme="4" tint="0.39994506668294322"/>
      </bottom>
      <diagonal/>
    </border>
    <border>
      <left style="medium">
        <color indexed="64"/>
      </left>
      <right style="medium">
        <color indexed="64"/>
      </right>
      <top style="thin">
        <color theme="4" tint="0.39994506668294322"/>
      </top>
      <bottom style="thin">
        <color theme="4" tint="0.39991454817346722"/>
      </bottom>
      <diagonal/>
    </border>
    <border>
      <left style="thin">
        <color indexed="64"/>
      </left>
      <right/>
      <top/>
      <bottom style="thin">
        <color indexed="64"/>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4" tint="0.39994506668294322"/>
      </left>
      <right/>
      <top style="thin">
        <color theme="4" tint="0.39994506668294322"/>
      </top>
      <bottom style="thin">
        <color theme="4" tint="0.39997558519241921"/>
      </bottom>
      <diagonal/>
    </border>
    <border>
      <left/>
      <right/>
      <top style="thin">
        <color theme="4" tint="0.39994506668294322"/>
      </top>
      <bottom style="thin">
        <color theme="4" tint="0.39997558519241921"/>
      </bottom>
      <diagonal/>
    </border>
    <border>
      <left style="medium">
        <color indexed="64"/>
      </left>
      <right style="medium">
        <color indexed="64"/>
      </right>
      <top style="thin">
        <color theme="4" tint="0.39994506668294322"/>
      </top>
      <bottom style="thin">
        <color theme="4" tint="0.39997558519241921"/>
      </bottom>
      <diagonal/>
    </border>
    <border>
      <left style="medium">
        <color indexed="64"/>
      </left>
      <right style="thin">
        <color theme="4" tint="0.39994506668294322"/>
      </right>
      <top style="thin">
        <color theme="4" tint="0.39994506668294322"/>
      </top>
      <bottom style="thin">
        <color theme="4" tint="0.39997558519241921"/>
      </bottom>
      <diagonal/>
    </border>
    <border>
      <left style="thin">
        <color theme="4" tint="0.39994506668294322"/>
      </left>
      <right/>
      <top/>
      <bottom style="thin">
        <color theme="4" tint="0.39997558519241921"/>
      </bottom>
      <diagonal/>
    </border>
    <border>
      <left style="medium">
        <color indexed="64"/>
      </left>
      <right style="thin">
        <color theme="4" tint="0.39994506668294322"/>
      </right>
      <top style="thin">
        <color theme="4" tint="0.39997558519241921"/>
      </top>
      <bottom style="thin">
        <color theme="4" tint="0.39994506668294322"/>
      </bottom>
      <diagonal/>
    </border>
    <border>
      <left/>
      <right style="thin">
        <color theme="4" tint="0.39994506668294322"/>
      </right>
      <top style="thin">
        <color theme="4" tint="0.39997558519241921"/>
      </top>
      <bottom style="thin">
        <color theme="4" tint="0.39994506668294322"/>
      </bottom>
      <diagonal/>
    </border>
    <border>
      <left style="medium">
        <color indexed="64"/>
      </left>
      <right style="thin">
        <color theme="4" tint="0.39994506668294322"/>
      </right>
      <top/>
      <bottom style="thin">
        <color theme="4" tint="0.39997558519241921"/>
      </bottom>
      <diagonal/>
    </border>
    <border>
      <left style="medium">
        <color indexed="64"/>
      </left>
      <right style="thin">
        <color theme="4" tint="0.39994506668294322"/>
      </right>
      <top style="thin">
        <color theme="4" tint="0.39994506668294322"/>
      </top>
      <bottom style="thin">
        <color theme="4" tint="0.39991454817346722"/>
      </bottom>
      <diagonal/>
    </border>
    <border>
      <left style="medium">
        <color indexed="64"/>
      </left>
      <right style="thin">
        <color theme="4" tint="0.39994506668294322"/>
      </right>
      <top style="thin">
        <color theme="4" tint="0.39997558519241921"/>
      </top>
      <bottom style="medium">
        <color theme="4" tint="0.79998168889431442"/>
      </bottom>
      <diagonal/>
    </border>
    <border>
      <left style="thin">
        <color theme="4" tint="0.39994506668294322"/>
      </left>
      <right/>
      <top style="thin">
        <color theme="4" tint="0.39997558519241921"/>
      </top>
      <bottom style="double">
        <color theme="1"/>
      </bottom>
      <diagonal/>
    </border>
    <border>
      <left style="medium">
        <color indexed="64"/>
      </left>
      <right style="thin">
        <color theme="4" tint="0.39994506668294322"/>
      </right>
      <top/>
      <bottom style="double">
        <color indexed="64"/>
      </bottom>
      <diagonal/>
    </border>
    <border>
      <left style="medium">
        <color indexed="64"/>
      </left>
      <right style="thin">
        <color theme="4" tint="0.39994506668294322"/>
      </right>
      <top/>
      <bottom/>
      <diagonal/>
    </border>
    <border>
      <left style="thin">
        <color theme="4" tint="0.39994506668294322"/>
      </left>
      <right/>
      <top/>
      <bottom style="thin">
        <color theme="4" tint="0.39994506668294322"/>
      </bottom>
      <diagonal/>
    </border>
    <border>
      <left/>
      <right/>
      <top/>
      <bottom style="thin">
        <color theme="4" tint="0.39994506668294322"/>
      </bottom>
      <diagonal/>
    </border>
    <border>
      <left style="medium">
        <color indexed="64"/>
      </left>
      <right style="medium">
        <color indexed="64"/>
      </right>
      <top/>
      <bottom style="thin">
        <color theme="4" tint="0.39994506668294322"/>
      </bottom>
      <diagonal/>
    </border>
    <border>
      <left style="medium">
        <color indexed="64"/>
      </left>
      <right style="thin">
        <color theme="4" tint="0.39994506668294322"/>
      </right>
      <top/>
      <bottom style="thin">
        <color theme="4" tint="0.39994506668294322"/>
      </bottom>
      <diagonal/>
    </border>
    <border>
      <left style="thin">
        <color theme="4" tint="0.39994506668294322"/>
      </left>
      <right/>
      <top style="thin">
        <color theme="4" tint="0.39997558519241921"/>
      </top>
      <bottom style="thin">
        <color theme="4" tint="0.39991454817346722"/>
      </bottom>
      <diagonal/>
    </border>
    <border>
      <left/>
      <right/>
      <top style="thin">
        <color theme="4" tint="0.39997558519241921"/>
      </top>
      <bottom style="thin">
        <color theme="4" tint="0.39991454817346722"/>
      </bottom>
      <diagonal/>
    </border>
    <border>
      <left style="medium">
        <color indexed="64"/>
      </left>
      <right style="medium">
        <color indexed="64"/>
      </right>
      <top style="thin">
        <color theme="4" tint="0.39997558519241921"/>
      </top>
      <bottom style="thin">
        <color theme="4" tint="0.39991454817346722"/>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medium">
        <color indexed="64"/>
      </top>
      <bottom style="medium">
        <color indexed="64"/>
      </bottom>
      <diagonal/>
    </border>
    <border>
      <left/>
      <right/>
      <top/>
      <bottom style="double">
        <color theme="1"/>
      </bottom>
      <diagonal/>
    </border>
    <border>
      <left style="thin">
        <color theme="4" tint="0.39994506668294322"/>
      </left>
      <right/>
      <top style="double">
        <color theme="1"/>
      </top>
      <bottom/>
      <diagonal/>
    </border>
    <border>
      <left style="thin">
        <color theme="4" tint="0.39991454817346722"/>
      </left>
      <right/>
      <top style="thin">
        <color theme="4" tint="0.39991454817346722"/>
      </top>
      <bottom style="thin">
        <color theme="4" tint="0.39991454817346722"/>
      </bottom>
      <diagonal/>
    </border>
    <border>
      <left/>
      <right/>
      <top style="double">
        <color theme="1"/>
      </top>
      <bottom/>
      <diagonal/>
    </border>
    <border>
      <left/>
      <right/>
      <top style="thin">
        <color theme="4" tint="0.39991454817346722"/>
      </top>
      <bottom style="thin">
        <color theme="4" tint="0.39991454817346722"/>
      </bottom>
      <diagonal/>
    </border>
    <border>
      <left/>
      <right/>
      <top/>
      <bottom style="thin">
        <color rgb="FF95B3D7"/>
      </bottom>
      <diagonal/>
    </border>
    <border>
      <left style="thin">
        <color rgb="FF95B3D7"/>
      </left>
      <right/>
      <top style="thin">
        <color rgb="FF95B3D7"/>
      </top>
      <bottom style="thin">
        <color rgb="FF95B3D7"/>
      </bottom>
      <diagonal/>
    </border>
    <border>
      <left/>
      <right/>
      <top style="thin">
        <color rgb="FF95B3D7"/>
      </top>
      <bottom style="thin">
        <color rgb="FF95B3D7"/>
      </bottom>
      <diagonal/>
    </border>
    <border>
      <left style="thin">
        <color rgb="FF95B3D7"/>
      </left>
      <right/>
      <top/>
      <bottom style="thin">
        <color rgb="FF95B3D7"/>
      </bottom>
      <diagonal/>
    </border>
    <border>
      <left style="thin">
        <color rgb="FF95B3D7"/>
      </left>
      <right/>
      <top style="thin">
        <color rgb="FF95B3D7"/>
      </top>
      <bottom style="double">
        <color rgb="FF000000"/>
      </bottom>
      <diagonal/>
    </border>
    <border>
      <left/>
      <right/>
      <top style="thin">
        <color rgb="FF95B3D7"/>
      </top>
      <bottom style="double">
        <color rgb="FF000000"/>
      </bottom>
      <diagonal/>
    </border>
    <border>
      <left/>
      <right/>
      <top/>
      <bottom style="double">
        <color rgb="FF000000"/>
      </bottom>
      <diagonal/>
    </border>
    <border>
      <left/>
      <right/>
      <top style="double">
        <color rgb="FF000000"/>
      </top>
      <bottom style="thin">
        <color rgb="FF95B3D7"/>
      </bottom>
      <diagonal/>
    </border>
    <border>
      <left style="medium">
        <color indexed="64"/>
      </left>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12651">
    <xf numFmtId="0" fontId="0" fillId="0" borderId="0"/>
    <xf numFmtId="43" fontId="5" fillId="0" borderId="0" applyFont="0" applyFill="0" applyBorder="0" applyAlignment="0" applyProtection="0"/>
    <xf numFmtId="9" fontId="5" fillId="0" borderId="0" applyFont="0" applyFill="0" applyBorder="0" applyAlignment="0" applyProtection="0"/>
    <xf numFmtId="0" fontId="8" fillId="0" borderId="0" applyNumberFormat="0" applyFill="0" applyBorder="0" applyAlignment="0" applyProtection="0"/>
    <xf numFmtId="0" fontId="9" fillId="0" borderId="4" applyNumberFormat="0" applyFill="0" applyAlignment="0" applyProtection="0"/>
    <xf numFmtId="0" fontId="10" fillId="0" borderId="5" applyNumberFormat="0" applyFill="0" applyAlignment="0" applyProtection="0"/>
    <xf numFmtId="0" fontId="11" fillId="0" borderId="6" applyNumberFormat="0" applyFill="0" applyAlignment="0" applyProtection="0"/>
    <xf numFmtId="0" fontId="11" fillId="0" borderId="0" applyNumberFormat="0" applyFill="0" applyBorder="0" applyAlignment="0" applyProtection="0"/>
    <xf numFmtId="0" fontId="12" fillId="6" borderId="0" applyNumberFormat="0" applyBorder="0" applyAlignment="0" applyProtection="0"/>
    <xf numFmtId="0" fontId="13" fillId="7" borderId="0" applyNumberFormat="0" applyBorder="0" applyAlignment="0" applyProtection="0"/>
    <xf numFmtId="0" fontId="14" fillId="8" borderId="0" applyNumberFormat="0" applyBorder="0" applyAlignment="0" applyProtection="0"/>
    <xf numFmtId="0" fontId="15" fillId="9" borderId="7" applyNumberFormat="0" applyAlignment="0" applyProtection="0"/>
    <xf numFmtId="0" fontId="16" fillId="10" borderId="8" applyNumberFormat="0" applyAlignment="0" applyProtection="0"/>
    <xf numFmtId="0" fontId="17" fillId="10" borderId="7" applyNumberFormat="0" applyAlignment="0" applyProtection="0"/>
    <xf numFmtId="0" fontId="18" fillId="0" borderId="9" applyNumberFormat="0" applyFill="0" applyAlignment="0" applyProtection="0"/>
    <xf numFmtId="0" fontId="19" fillId="11" borderId="10" applyNumberFormat="0" applyAlignment="0" applyProtection="0"/>
    <xf numFmtId="0" fontId="20" fillId="0" borderId="0" applyNumberFormat="0" applyFill="0" applyBorder="0" applyAlignment="0" applyProtection="0"/>
    <xf numFmtId="0" fontId="5" fillId="12" borderId="11" applyNumberFormat="0" applyFont="0" applyAlignment="0" applyProtection="0"/>
    <xf numFmtId="0" fontId="21" fillId="0" borderId="0" applyNumberFormat="0" applyFill="0" applyBorder="0" applyAlignment="0" applyProtection="0"/>
    <xf numFmtId="0" fontId="4" fillId="0" borderId="12" applyNumberFormat="0" applyFill="0" applyAlignment="0" applyProtection="0"/>
    <xf numFmtId="0" fontId="6"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5" fillId="34" borderId="0" applyNumberFormat="0" applyBorder="0" applyAlignment="0" applyProtection="0"/>
    <xf numFmtId="0" fontId="5" fillId="35" borderId="0" applyNumberFormat="0" applyBorder="0" applyAlignment="0" applyProtection="0"/>
    <xf numFmtId="0" fontId="6" fillId="36" borderId="0" applyNumberFormat="0" applyBorder="0" applyAlignment="0" applyProtection="0"/>
    <xf numFmtId="0" fontId="22" fillId="0" borderId="0"/>
    <xf numFmtId="9" fontId="22" fillId="0" borderId="0" applyFont="0" applyFill="0" applyBorder="0" applyAlignment="0" applyProtection="0"/>
    <xf numFmtId="0" fontId="5" fillId="38" borderId="0" applyNumberFormat="0" applyFont="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0" fontId="5" fillId="0" borderId="0" applyNumberFormat="0" applyFont="0" applyFill="0" applyBorder="0" applyAlignment="0" applyProtection="0"/>
    <xf numFmtId="0" fontId="5" fillId="39" borderId="0" applyNumberFormat="0" applyFont="0" applyBorder="0" applyAlignment="0" applyProtection="0"/>
    <xf numFmtId="0" fontId="5" fillId="40" borderId="0" applyNumberFormat="0" applyFont="0" applyBorder="0" applyAlignment="0" applyProtection="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9" fontId="23" fillId="0" borderId="0" applyFont="0" applyFill="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2"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26"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0"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3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0" fontId="5" fillId="38" borderId="0" applyNumberFormat="0" applyFont="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3"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44" fontId="24" fillId="0" borderId="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0" borderId="0" applyNumberFormat="0" applyFont="0" applyFill="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39"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5" fillId="40" borderId="0" applyNumberFormat="0" applyFont="0" applyBorder="0" applyAlignment="0" applyProtection="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0" fontId="5" fillId="12" borderId="11" applyNumberFormat="0" applyFont="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22" fillId="0" borderId="0"/>
    <xf numFmtId="0" fontId="22" fillId="0" borderId="0"/>
    <xf numFmtId="0" fontId="22" fillId="0" borderId="0"/>
    <xf numFmtId="0" fontId="22"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4" fillId="0" borderId="0">
      <alignment vertical="top"/>
    </xf>
    <xf numFmtId="0" fontId="27" fillId="0" borderId="0"/>
    <xf numFmtId="43" fontId="27" fillId="0" borderId="0" applyFont="0" applyFill="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7" fillId="43" borderId="0" applyNumberFormat="0" applyFon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2" fillId="0" borderId="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2" fillId="0" borderId="0"/>
    <xf numFmtId="0" fontId="22" fillId="0" borderId="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2" fillId="0" borderId="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2" fillId="0" borderId="0"/>
    <xf numFmtId="0" fontId="22" fillId="0" borderId="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0" fontId="22" fillId="0" borderId="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0" fontId="22" fillId="0" borderId="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2" fillId="0" borderId="0"/>
    <xf numFmtId="0" fontId="27" fillId="43" borderId="0" applyNumberFormat="0" applyFont="0" applyBorder="0" applyAlignment="0" applyProtection="0"/>
    <xf numFmtId="0" fontId="22" fillId="0" borderId="0"/>
    <xf numFmtId="0" fontId="22" fillId="0" borderId="0"/>
    <xf numFmtId="43" fontId="27" fillId="0" borderId="0" applyFont="0" applyFill="0" applyBorder="0" applyAlignment="0" applyProtection="0"/>
    <xf numFmtId="0" fontId="22" fillId="0" borderId="0"/>
    <xf numFmtId="0" fontId="22" fillId="0" borderId="0"/>
    <xf numFmtId="43" fontId="27" fillId="0" borderId="0" applyFont="0" applyFill="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0" fontId="22" fillId="0" borderId="0"/>
    <xf numFmtId="0" fontId="22" fillId="0" borderId="0"/>
    <xf numFmtId="0" fontId="22" fillId="0" borderId="0"/>
    <xf numFmtId="0" fontId="22" fillId="0" borderId="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43" fontId="27" fillId="0" borderId="0" applyFont="0" applyFill="0" applyBorder="0" applyAlignment="0" applyProtection="0"/>
    <xf numFmtId="0" fontId="27" fillId="43" borderId="0" applyNumberFormat="0" applyFont="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2" fillId="0" borderId="0"/>
    <xf numFmtId="0" fontId="22" fillId="0" borderId="0"/>
    <xf numFmtId="0" fontId="27" fillId="43" borderId="0" applyNumberFormat="0" applyFont="0" applyBorder="0" applyAlignment="0" applyProtection="0"/>
    <xf numFmtId="0" fontId="22" fillId="0" borderId="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3" fontId="27" fillId="0" borderId="0" applyFont="0" applyFill="0" applyBorder="0" applyAlignment="0" applyProtection="0"/>
    <xf numFmtId="0" fontId="27" fillId="43" borderId="0" applyNumberFormat="0" applyFont="0" applyBorder="0" applyAlignment="0" applyProtection="0"/>
    <xf numFmtId="44" fontId="5" fillId="0" borderId="0" applyFont="0" applyFill="0" applyBorder="0" applyAlignment="0" applyProtection="0"/>
    <xf numFmtId="0" fontId="22" fillId="0" borderId="0"/>
    <xf numFmtId="0" fontId="24" fillId="0" borderId="0">
      <alignment vertical="top"/>
    </xf>
    <xf numFmtId="0" fontId="24" fillId="0" borderId="0">
      <alignment vertical="top"/>
    </xf>
    <xf numFmtId="0" fontId="68" fillId="0" borderId="0"/>
    <xf numFmtId="43" fontId="68" fillId="0" borderId="0" applyFont="0" applyFill="0" applyBorder="0" applyAlignment="0" applyProtection="0"/>
    <xf numFmtId="44" fontId="68" fillId="0" borderId="0" applyFont="0" applyFill="0" applyBorder="0" applyAlignment="0" applyProtection="0"/>
    <xf numFmtId="9" fontId="68" fillId="0" borderId="0" applyFont="0" applyFill="0" applyBorder="0" applyAlignment="0" applyProtection="0"/>
    <xf numFmtId="0" fontId="22" fillId="0" borderId="0"/>
    <xf numFmtId="43" fontId="22" fillId="0" borderId="0" applyFont="0" applyFill="0" applyBorder="0" applyAlignment="0" applyProtection="0"/>
    <xf numFmtId="44" fontId="22" fillId="0" borderId="0" applyFont="0" applyFill="0" applyBorder="0" applyAlignment="0" applyProtection="0"/>
    <xf numFmtId="9" fontId="22" fillId="0" borderId="0" applyFont="0" applyFill="0" applyBorder="0" applyAlignment="0" applyProtection="0"/>
    <xf numFmtId="0" fontId="71" fillId="0" borderId="0"/>
    <xf numFmtId="44" fontId="22" fillId="0" borderId="0" applyFont="0" applyFill="0" applyBorder="0" applyAlignment="0" applyProtection="0">
      <alignment vertical="center"/>
    </xf>
    <xf numFmtId="0" fontId="80" fillId="0" borderId="0"/>
    <xf numFmtId="0" fontId="22" fillId="0" borderId="0">
      <alignment vertical="center"/>
    </xf>
    <xf numFmtId="43" fontId="22" fillId="0" borderId="0" applyFont="0" applyFill="0" applyBorder="0" applyAlignment="0" applyProtection="0">
      <alignment vertical="center"/>
    </xf>
    <xf numFmtId="43" fontId="22" fillId="0" borderId="0" applyFont="0" applyFill="0" applyBorder="0" applyAlignment="0" applyProtection="0">
      <alignment vertical="center"/>
    </xf>
    <xf numFmtId="9" fontId="22" fillId="0" borderId="0" applyFont="0" applyFill="0" applyBorder="0" applyAlignment="0" applyProtection="0">
      <alignment vertical="center"/>
    </xf>
    <xf numFmtId="0" fontId="22" fillId="0" borderId="0"/>
    <xf numFmtId="9" fontId="22"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4" fontId="22" fillId="0" borderId="0" applyFont="0" applyFill="0" applyBorder="0" applyAlignment="0" applyProtection="0"/>
    <xf numFmtId="0" fontId="5" fillId="0" borderId="0"/>
    <xf numFmtId="0" fontId="22" fillId="0" borderId="0"/>
    <xf numFmtId="0" fontId="22" fillId="0" borderId="0">
      <alignment vertical="center"/>
    </xf>
    <xf numFmtId="0" fontId="22" fillId="0" borderId="0"/>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alignment vertical="center"/>
    </xf>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cellStyleXfs>
  <cellXfs count="1350">
    <xf numFmtId="0" fontId="0" fillId="0" borderId="0" xfId="0"/>
    <xf numFmtId="0" fontId="0" fillId="0" borderId="0" xfId="0" applyAlignment="1">
      <alignment horizontal="center"/>
    </xf>
    <xf numFmtId="0" fontId="0" fillId="0" borderId="0" xfId="0" applyFill="1"/>
    <xf numFmtId="0" fontId="4" fillId="0" borderId="3" xfId="0" applyFont="1" applyBorder="1"/>
    <xf numFmtId="14" fontId="0" fillId="0" borderId="0" xfId="0" applyNumberFormat="1" applyBorder="1"/>
    <xf numFmtId="0" fontId="4" fillId="0" borderId="0" xfId="0" applyFont="1" applyBorder="1"/>
    <xf numFmtId="0" fontId="0" fillId="0" borderId="0" xfId="0" applyFill="1" applyBorder="1"/>
    <xf numFmtId="164" fontId="4" fillId="0" borderId="3" xfId="1" applyNumberFormat="1" applyFont="1" applyBorder="1"/>
    <xf numFmtId="164" fontId="4" fillId="0" borderId="0" xfId="1" applyNumberFormat="1" applyFont="1"/>
    <xf numFmtId="164" fontId="0" fillId="0" borderId="2" xfId="1" applyNumberFormat="1" applyFont="1" applyBorder="1"/>
    <xf numFmtId="0" fontId="6" fillId="0" borderId="0" xfId="0" applyFont="1"/>
    <xf numFmtId="0" fontId="0" fillId="0" borderId="0" xfId="0" applyAlignment="1">
      <alignment horizontal="right"/>
    </xf>
    <xf numFmtId="17" fontId="4" fillId="4" borderId="0" xfId="0" applyNumberFormat="1" applyFont="1" applyFill="1" applyAlignment="1">
      <alignment horizontal="center"/>
    </xf>
    <xf numFmtId="17" fontId="4" fillId="5" borderId="0" xfId="0" applyNumberFormat="1" applyFont="1" applyFill="1" applyAlignment="1">
      <alignment horizontal="center"/>
    </xf>
    <xf numFmtId="1" fontId="4" fillId="4" borderId="0" xfId="0" applyNumberFormat="1" applyFont="1" applyFill="1" applyAlignment="1">
      <alignment horizontal="center"/>
    </xf>
    <xf numFmtId="1" fontId="4" fillId="5" borderId="0" xfId="0" applyNumberFormat="1" applyFont="1" applyFill="1" applyAlignment="1">
      <alignment horizontal="center"/>
    </xf>
    <xf numFmtId="0" fontId="0" fillId="0" borderId="0" xfId="0"/>
    <xf numFmtId="164" fontId="0" fillId="0" borderId="0" xfId="1" applyNumberFormat="1" applyFont="1"/>
    <xf numFmtId="0" fontId="22" fillId="0" borderId="0" xfId="44" applyFont="1" applyFill="1"/>
    <xf numFmtId="164" fontId="4" fillId="0" borderId="0" xfId="0" applyNumberFormat="1" applyFont="1"/>
    <xf numFmtId="164" fontId="0" fillId="0" borderId="13" xfId="1" applyNumberFormat="1" applyFont="1" applyBorder="1"/>
    <xf numFmtId="164" fontId="0" fillId="0" borderId="0" xfId="1" applyNumberFormat="1" applyFont="1" applyBorder="1"/>
    <xf numFmtId="167" fontId="0" fillId="0" borderId="0" xfId="0" applyNumberFormat="1"/>
    <xf numFmtId="0" fontId="32" fillId="0" borderId="0" xfId="44" applyFont="1" applyAlignment="1">
      <alignment horizontal="left"/>
    </xf>
    <xf numFmtId="168" fontId="24" fillId="0" borderId="0" xfId="44" applyNumberFormat="1" applyFont="1" applyFill="1"/>
    <xf numFmtId="0" fontId="0" fillId="0" borderId="0" xfId="0" applyBorder="1" applyAlignment="1">
      <alignment horizontal="left"/>
    </xf>
    <xf numFmtId="0" fontId="22" fillId="0" borderId="0" xfId="44"/>
    <xf numFmtId="0" fontId="22" fillId="0" borderId="0" xfId="44" applyFill="1"/>
    <xf numFmtId="164" fontId="0" fillId="0" borderId="0" xfId="0" applyNumberFormat="1"/>
    <xf numFmtId="0" fontId="4" fillId="0" borderId="0" xfId="0" applyFont="1"/>
    <xf numFmtId="0" fontId="0" fillId="0" borderId="0" xfId="0" applyFill="1" applyAlignment="1">
      <alignment horizontal="center"/>
    </xf>
    <xf numFmtId="0" fontId="4" fillId="0" borderId="0" xfId="0" applyFont="1" applyFill="1"/>
    <xf numFmtId="0" fontId="4" fillId="0" borderId="0" xfId="0" applyFont="1" applyFill="1" applyBorder="1" applyAlignment="1">
      <alignment horizontal="center"/>
    </xf>
    <xf numFmtId="0" fontId="4" fillId="0" borderId="0" xfId="0" applyFont="1" applyFill="1" applyBorder="1"/>
    <xf numFmtId="0" fontId="4" fillId="46" borderId="0" xfId="0" applyFont="1" applyFill="1" applyAlignment="1">
      <alignment horizontal="center"/>
    </xf>
    <xf numFmtId="165" fontId="4" fillId="0" borderId="0" xfId="2" applyNumberFormat="1" applyFont="1"/>
    <xf numFmtId="17" fontId="4" fillId="0" borderId="0" xfId="0" applyNumberFormat="1" applyFont="1" applyFill="1" applyBorder="1" applyAlignment="1">
      <alignment horizontal="center"/>
    </xf>
    <xf numFmtId="164" fontId="0" fillId="0" borderId="0" xfId="1" applyNumberFormat="1" applyFont="1" applyFill="1" applyBorder="1"/>
    <xf numFmtId="164" fontId="4" fillId="0" borderId="0" xfId="0" applyNumberFormat="1" applyFont="1" applyFill="1" applyBorder="1"/>
    <xf numFmtId="0" fontId="4" fillId="0" borderId="0" xfId="0" applyFont="1" applyAlignment="1">
      <alignment horizontal="left" indent="2"/>
    </xf>
    <xf numFmtId="0" fontId="0" fillId="0" borderId="0" xfId="0" applyFont="1"/>
    <xf numFmtId="0" fontId="0" fillId="0" borderId="13" xfId="0" applyFont="1" applyBorder="1"/>
    <xf numFmtId="0" fontId="0" fillId="0" borderId="0" xfId="0" applyFont="1" applyFill="1"/>
    <xf numFmtId="0" fontId="33" fillId="0" borderId="0" xfId="44" applyFont="1" applyFill="1"/>
    <xf numFmtId="0" fontId="34" fillId="0" borderId="0" xfId="44" applyFont="1" applyFill="1"/>
    <xf numFmtId="0" fontId="33" fillId="0" borderId="0" xfId="44" applyFont="1" applyFill="1" applyAlignment="1">
      <alignment horizontal="left" wrapText="1" indent="2"/>
    </xf>
    <xf numFmtId="164" fontId="4" fillId="0" borderId="3" xfId="0" applyNumberFormat="1" applyFont="1" applyBorder="1"/>
    <xf numFmtId="0" fontId="34" fillId="0" borderId="3" xfId="44" applyFont="1" applyFill="1" applyBorder="1"/>
    <xf numFmtId="0" fontId="0" fillId="47" borderId="0" xfId="0" applyFill="1"/>
    <xf numFmtId="0" fontId="0" fillId="0" borderId="0" xfId="0" applyAlignment="1">
      <alignment horizontal="left" indent="2"/>
    </xf>
    <xf numFmtId="0" fontId="4" fillId="0" borderId="20" xfId="0" applyFont="1" applyBorder="1"/>
    <xf numFmtId="0" fontId="5" fillId="0" borderId="20" xfId="0" applyFont="1" applyBorder="1"/>
    <xf numFmtId="164" fontId="4" fillId="0" borderId="20" xfId="0" applyNumberFormat="1" applyFont="1" applyBorder="1"/>
    <xf numFmtId="164" fontId="4" fillId="0" borderId="20" xfId="1" applyNumberFormat="1" applyFont="1" applyBorder="1"/>
    <xf numFmtId="166" fontId="4" fillId="0" borderId="0" xfId="1" applyNumberFormat="1" applyFont="1" applyFill="1" applyAlignment="1">
      <alignment horizontal="center"/>
    </xf>
    <xf numFmtId="1" fontId="4" fillId="0" borderId="0" xfId="0" applyNumberFormat="1" applyFont="1" applyFill="1" applyAlignment="1">
      <alignment horizontal="center"/>
    </xf>
    <xf numFmtId="17" fontId="4" fillId="0" borderId="0" xfId="0" applyNumberFormat="1" applyFont="1" applyFill="1" applyAlignment="1">
      <alignment horizontal="center"/>
    </xf>
    <xf numFmtId="0" fontId="31" fillId="0" borderId="0" xfId="0" applyFont="1"/>
    <xf numFmtId="0" fontId="36" fillId="0" borderId="0" xfId="0" applyFont="1" applyAlignment="1">
      <alignment horizontal="center"/>
    </xf>
    <xf numFmtId="3" fontId="0" fillId="0" borderId="0" xfId="0" applyNumberFormat="1"/>
    <xf numFmtId="169" fontId="0" fillId="0" borderId="0" xfId="0" applyNumberFormat="1"/>
    <xf numFmtId="9" fontId="0" fillId="0" borderId="0" xfId="2" applyFont="1"/>
    <xf numFmtId="0" fontId="0" fillId="0" borderId="0" xfId="0" applyAlignment="1">
      <alignment horizontal="left" indent="1"/>
    </xf>
    <xf numFmtId="0" fontId="4" fillId="0" borderId="3" xfId="0" applyFont="1" applyBorder="1" applyAlignment="1">
      <alignment horizontal="left" indent="1"/>
    </xf>
    <xf numFmtId="0" fontId="0" fillId="0" borderId="0" xfId="0" applyFill="1" applyAlignment="1">
      <alignment horizontal="left" indent="1"/>
    </xf>
    <xf numFmtId="171" fontId="4" fillId="0" borderId="0" xfId="0" applyNumberFormat="1" applyFont="1"/>
    <xf numFmtId="171" fontId="4" fillId="0" borderId="2" xfId="0" applyNumberFormat="1" applyFont="1" applyBorder="1"/>
    <xf numFmtId="0" fontId="4" fillId="0" borderId="0" xfId="0" applyFont="1" applyFill="1" applyBorder="1" applyAlignment="1"/>
    <xf numFmtId="0" fontId="0" fillId="0" borderId="0" xfId="0" applyFill="1" applyBorder="1" applyAlignment="1">
      <alignment horizontal="left" indent="1"/>
    </xf>
    <xf numFmtId="167" fontId="0" fillId="0" borderId="0" xfId="0" applyNumberFormat="1" applyAlignment="1">
      <alignment horizontal="right"/>
    </xf>
    <xf numFmtId="167" fontId="0" fillId="0" borderId="0" xfId="0" applyNumberFormat="1" applyBorder="1"/>
    <xf numFmtId="167" fontId="4" fillId="0" borderId="15" xfId="0" applyNumberFormat="1" applyFont="1" applyBorder="1" applyAlignment="1">
      <alignment horizontal="right"/>
    </xf>
    <xf numFmtId="167" fontId="0" fillId="0" borderId="15" xfId="0" applyNumberFormat="1" applyBorder="1"/>
    <xf numFmtId="3" fontId="0" fillId="48" borderId="0" xfId="0" applyNumberFormat="1" applyFill="1"/>
    <xf numFmtId="165" fontId="38" fillId="0" borderId="0" xfId="2" applyNumberFormat="1" applyFont="1"/>
    <xf numFmtId="9" fontId="38" fillId="0" borderId="0" xfId="2" applyFont="1"/>
    <xf numFmtId="167" fontId="4" fillId="48" borderId="3" xfId="0" applyNumberFormat="1" applyFont="1" applyFill="1" applyBorder="1"/>
    <xf numFmtId="0" fontId="37" fillId="0" borderId="0" xfId="0" applyFont="1"/>
    <xf numFmtId="9" fontId="4" fillId="0" borderId="0" xfId="2" applyFont="1"/>
    <xf numFmtId="0" fontId="30" fillId="0" borderId="0" xfId="0" applyFont="1"/>
    <xf numFmtId="3" fontId="0" fillId="0" borderId="0" xfId="0" applyNumberFormat="1" applyAlignment="1">
      <alignment horizontal="right"/>
    </xf>
    <xf numFmtId="165" fontId="0" fillId="0" borderId="0" xfId="2" applyNumberFormat="1" applyFont="1" applyAlignment="1">
      <alignment horizontal="right"/>
    </xf>
    <xf numFmtId="0" fontId="0" fillId="0" borderId="2" xfId="0" applyFill="1" applyBorder="1"/>
    <xf numFmtId="172" fontId="4" fillId="0" borderId="2" xfId="1" applyNumberFormat="1" applyFont="1" applyFill="1" applyBorder="1" applyAlignment="1">
      <alignment horizontal="center"/>
    </xf>
    <xf numFmtId="164" fontId="4" fillId="0" borderId="0" xfId="1" applyNumberFormat="1" applyFont="1" applyBorder="1"/>
    <xf numFmtId="9" fontId="0" fillId="0" borderId="0" xfId="2" applyNumberFormat="1" applyFont="1" applyFill="1" applyBorder="1"/>
    <xf numFmtId="9" fontId="35" fillId="0" borderId="0" xfId="2" applyNumberFormat="1" applyFont="1" applyFill="1" applyBorder="1"/>
    <xf numFmtId="0" fontId="40" fillId="0" borderId="23" xfId="44" applyFont="1" applyBorder="1"/>
    <xf numFmtId="0" fontId="22" fillId="0" borderId="23" xfId="44" applyBorder="1"/>
    <xf numFmtId="0" fontId="41" fillId="0" borderId="0" xfId="44" applyFont="1"/>
    <xf numFmtId="0" fontId="42" fillId="0" borderId="0" xfId="44" applyFont="1"/>
    <xf numFmtId="168" fontId="41" fillId="0" borderId="0" xfId="44" applyNumberFormat="1" applyFont="1"/>
    <xf numFmtId="0" fontId="43" fillId="0" borderId="0" xfId="44" applyFont="1"/>
    <xf numFmtId="164" fontId="22" fillId="0" borderId="0" xfId="1" applyNumberFormat="1" applyFont="1"/>
    <xf numFmtId="0" fontId="32" fillId="0" borderId="2" xfId="44" applyFont="1" applyBorder="1"/>
    <xf numFmtId="0" fontId="22" fillId="0" borderId="2" xfId="44" applyBorder="1"/>
    <xf numFmtId="0" fontId="22" fillId="0" borderId="0" xfId="44" applyBorder="1"/>
    <xf numFmtId="170" fontId="32" fillId="0" borderId="2" xfId="44" applyNumberFormat="1" applyFont="1" applyBorder="1"/>
    <xf numFmtId="0" fontId="32" fillId="0" borderId="0" xfId="44" applyFont="1" applyBorder="1" applyAlignment="1">
      <alignment horizontal="left" indent="1"/>
    </xf>
    <xf numFmtId="0" fontId="32" fillId="0" borderId="0" xfId="44" applyFont="1" applyBorder="1"/>
    <xf numFmtId="0" fontId="32" fillId="0" borderId="0" xfId="44" applyFont="1"/>
    <xf numFmtId="173" fontId="24" fillId="0" borderId="0" xfId="44" applyNumberFormat="1" applyFont="1"/>
    <xf numFmtId="173" fontId="24" fillId="0" borderId="0" xfId="44" applyNumberFormat="1" applyFont="1" applyFill="1"/>
    <xf numFmtId="168" fontId="24" fillId="0" borderId="0" xfId="44" applyNumberFormat="1" applyFont="1"/>
    <xf numFmtId="0" fontId="32" fillId="0" borderId="0" xfId="44" applyFont="1" applyAlignment="1">
      <alignment horizontal="left" indent="1"/>
    </xf>
    <xf numFmtId="168" fontId="32" fillId="0" borderId="3" xfId="44" applyNumberFormat="1" applyFont="1" applyBorder="1"/>
    <xf numFmtId="168" fontId="24" fillId="0" borderId="0" xfId="44" applyNumberFormat="1" applyFont="1" applyBorder="1"/>
    <xf numFmtId="168" fontId="24" fillId="0" borderId="2" xfId="44" applyNumberFormat="1" applyFont="1" applyFill="1" applyBorder="1"/>
    <xf numFmtId="173" fontId="22" fillId="0" borderId="15" xfId="44" applyNumberFormat="1" applyBorder="1"/>
    <xf numFmtId="0" fontId="24" fillId="0" borderId="0" xfId="44" applyFont="1"/>
    <xf numFmtId="168" fontId="24" fillId="0" borderId="2" xfId="44" applyNumberFormat="1" applyFont="1" applyBorder="1"/>
    <xf numFmtId="168" fontId="44" fillId="0" borderId="0" xfId="44" applyNumberFormat="1" applyFont="1" applyBorder="1"/>
    <xf numFmtId="168" fontId="24" fillId="0" borderId="3" xfId="44" applyNumberFormat="1" applyFont="1" applyBorder="1"/>
    <xf numFmtId="168" fontId="44" fillId="0" borderId="3" xfId="44" applyNumberFormat="1" applyFont="1" applyBorder="1"/>
    <xf numFmtId="0" fontId="41" fillId="0" borderId="0" xfId="44" applyFont="1" applyAlignment="1">
      <alignment horizontal="right"/>
    </xf>
    <xf numFmtId="0" fontId="45" fillId="0" borderId="0" xfId="44" applyFont="1"/>
    <xf numFmtId="0" fontId="32" fillId="0" borderId="0" xfId="44" applyFont="1" applyBorder="1" applyAlignment="1">
      <alignment horizontal="center"/>
    </xf>
    <xf numFmtId="173" fontId="24" fillId="0" borderId="0" xfId="44" applyNumberFormat="1" applyFont="1" applyBorder="1"/>
    <xf numFmtId="0" fontId="22" fillId="0" borderId="0" xfId="44" applyAlignment="1">
      <alignment horizontal="right"/>
    </xf>
    <xf numFmtId="0" fontId="22" fillId="51" borderId="0" xfId="44" applyFill="1"/>
    <xf numFmtId="173" fontId="22" fillId="51" borderId="0" xfId="44" applyNumberFormat="1" applyFill="1"/>
    <xf numFmtId="165" fontId="39" fillId="46" borderId="0" xfId="45" applyNumberFormat="1" applyFont="1" applyFill="1"/>
    <xf numFmtId="165" fontId="46" fillId="46" borderId="0" xfId="45" applyNumberFormat="1" applyFont="1" applyFill="1"/>
    <xf numFmtId="173" fontId="4" fillId="0" borderId="0" xfId="0" applyNumberFormat="1" applyFont="1"/>
    <xf numFmtId="165" fontId="30" fillId="0" borderId="0" xfId="2" applyNumberFormat="1" applyFont="1"/>
    <xf numFmtId="0" fontId="30" fillId="0" borderId="0" xfId="0" applyFont="1" applyBorder="1"/>
    <xf numFmtId="165" fontId="30" fillId="0" borderId="0" xfId="2" applyNumberFormat="1" applyFont="1" applyBorder="1"/>
    <xf numFmtId="17" fontId="4" fillId="0" borderId="0" xfId="0" applyNumberFormat="1" applyFont="1" applyAlignment="1">
      <alignment horizontal="center"/>
    </xf>
    <xf numFmtId="0" fontId="5" fillId="0" borderId="0" xfId="0" applyFont="1" applyBorder="1"/>
    <xf numFmtId="0" fontId="47" fillId="0" borderId="0" xfId="0" applyFont="1"/>
    <xf numFmtId="17" fontId="22" fillId="0" borderId="0" xfId="44" applyNumberFormat="1" applyAlignment="1">
      <alignment horizontal="center"/>
    </xf>
    <xf numFmtId="0" fontId="22" fillId="0" borderId="0" xfId="44" applyFont="1"/>
    <xf numFmtId="164" fontId="22" fillId="0" borderId="0" xfId="44" applyNumberFormat="1" applyFont="1"/>
    <xf numFmtId="0" fontId="0" fillId="0" borderId="0" xfId="0"/>
    <xf numFmtId="6" fontId="51" fillId="52" borderId="24" xfId="0" quotePrefix="1" applyNumberFormat="1" applyFont="1" applyFill="1" applyBorder="1" applyAlignment="1">
      <alignment horizontal="left"/>
    </xf>
    <xf numFmtId="0" fontId="51" fillId="52" borderId="25" xfId="0" applyFont="1" applyFill="1" applyBorder="1" applyAlignment="1">
      <alignment horizontal="center" wrapText="1"/>
    </xf>
    <xf numFmtId="0" fontId="51" fillId="52" borderId="26" xfId="0" applyFont="1" applyFill="1" applyBorder="1" applyAlignment="1">
      <alignment horizontal="center" wrapText="1"/>
    </xf>
    <xf numFmtId="165" fontId="50" fillId="0" borderId="28" xfId="2" applyNumberFormat="1" applyFont="1" applyFill="1" applyBorder="1" applyAlignment="1">
      <alignment horizontal="center"/>
    </xf>
    <xf numFmtId="8" fontId="0" fillId="0" borderId="0" xfId="0" applyNumberFormat="1"/>
    <xf numFmtId="1" fontId="4" fillId="37" borderId="0" xfId="0" applyNumberFormat="1" applyFont="1" applyFill="1" applyAlignment="1">
      <alignment horizontal="center"/>
    </xf>
    <xf numFmtId="1" fontId="4" fillId="3" borderId="0" xfId="0" applyNumberFormat="1" applyFont="1" applyFill="1" applyAlignment="1">
      <alignment horizontal="center"/>
    </xf>
    <xf numFmtId="1" fontId="0" fillId="0" borderId="0" xfId="0" applyNumberFormat="1"/>
    <xf numFmtId="0" fontId="0" fillId="0" borderId="0" xfId="0" applyBorder="1" applyAlignment="1">
      <alignment horizontal="left" indent="2"/>
    </xf>
    <xf numFmtId="167" fontId="4" fillId="0" borderId="0" xfId="0" applyNumberFormat="1" applyFont="1"/>
    <xf numFmtId="9" fontId="4" fillId="0" borderId="0" xfId="0" applyNumberFormat="1" applyFont="1"/>
    <xf numFmtId="6" fontId="4" fillId="0" borderId="0" xfId="0" applyNumberFormat="1" applyFont="1"/>
    <xf numFmtId="0" fontId="0" fillId="0" borderId="0" xfId="0" applyFill="1" applyBorder="1" applyAlignment="1">
      <alignment horizontal="left" indent="2"/>
    </xf>
    <xf numFmtId="167" fontId="0" fillId="0" borderId="0" xfId="0" applyNumberFormat="1" applyFont="1"/>
    <xf numFmtId="165" fontId="4" fillId="0" borderId="0" xfId="2" applyNumberFormat="1" applyFont="1" applyBorder="1"/>
    <xf numFmtId="9" fontId="4" fillId="0" borderId="0" xfId="2" applyFont="1" applyBorder="1"/>
    <xf numFmtId="0" fontId="0" fillId="0" borderId="0" xfId="0"/>
    <xf numFmtId="0" fontId="0" fillId="0" borderId="0" xfId="0" applyAlignment="1">
      <alignment vertical="center"/>
    </xf>
    <xf numFmtId="171" fontId="4" fillId="0" borderId="0" xfId="0" applyNumberFormat="1" applyFont="1" applyAlignment="1">
      <alignment horizontal="center"/>
    </xf>
    <xf numFmtId="43" fontId="0" fillId="0" borderId="0" xfId="1" applyNumberFormat="1" applyFont="1" applyAlignment="1">
      <alignment horizontal="center"/>
    </xf>
    <xf numFmtId="164" fontId="0" fillId="0" borderId="0" xfId="1" applyNumberFormat="1" applyFont="1" applyFill="1"/>
    <xf numFmtId="0" fontId="0" fillId="0" borderId="0" xfId="0" applyAlignment="1">
      <alignment horizontal="center"/>
    </xf>
    <xf numFmtId="0" fontId="0" fillId="0" borderId="0" xfId="0" applyBorder="1"/>
    <xf numFmtId="43" fontId="0" fillId="0" borderId="0" xfId="0" applyNumberFormat="1"/>
    <xf numFmtId="164" fontId="0" fillId="0" borderId="0" xfId="0" applyNumberFormat="1"/>
    <xf numFmtId="175" fontId="56" fillId="0" borderId="29" xfId="11334" applyNumberFormat="1" applyFont="1" applyFill="1" applyBorder="1" applyAlignment="1">
      <alignment horizontal="center"/>
    </xf>
    <xf numFmtId="175" fontId="56" fillId="50" borderId="29" xfId="11334" applyNumberFormat="1" applyFont="1" applyFill="1" applyBorder="1" applyAlignment="1">
      <alignment horizontal="center"/>
    </xf>
    <xf numFmtId="0" fontId="58" fillId="0" borderId="27" xfId="0" applyFont="1" applyFill="1" applyBorder="1" applyAlignment="1">
      <alignment horizontal="left" wrapText="1" readingOrder="1"/>
    </xf>
    <xf numFmtId="0" fontId="58" fillId="50" borderId="27" xfId="0" applyFont="1" applyFill="1" applyBorder="1" applyAlignment="1">
      <alignment horizontal="left" wrapText="1" readingOrder="1"/>
    </xf>
    <xf numFmtId="0" fontId="0" fillId="0" borderId="0" xfId="0" applyAlignment="1">
      <alignment horizontal="left" indent="1"/>
    </xf>
    <xf numFmtId="167" fontId="4" fillId="48" borderId="3" xfId="0" applyNumberFormat="1" applyFont="1" applyFill="1" applyBorder="1"/>
    <xf numFmtId="164" fontId="4" fillId="0" borderId="0" xfId="1" applyNumberFormat="1" applyFont="1"/>
    <xf numFmtId="164" fontId="0" fillId="0" borderId="0" xfId="0" applyNumberFormat="1"/>
    <xf numFmtId="175" fontId="56" fillId="0" borderId="0" xfId="11334" applyNumberFormat="1" applyFont="1" applyFill="1" applyBorder="1" applyAlignment="1">
      <alignment horizontal="center"/>
    </xf>
    <xf numFmtId="0" fontId="0" fillId="0" borderId="0" xfId="0" applyFill="1" applyBorder="1"/>
    <xf numFmtId="169" fontId="0" fillId="0" borderId="0" xfId="0" applyNumberFormat="1"/>
    <xf numFmtId="169" fontId="0" fillId="0" borderId="0" xfId="11334" applyNumberFormat="1" applyFont="1"/>
    <xf numFmtId="165" fontId="38" fillId="0" borderId="0" xfId="2" applyNumberFormat="1" applyFont="1"/>
    <xf numFmtId="0" fontId="0" fillId="0" borderId="0" xfId="0"/>
    <xf numFmtId="0" fontId="0" fillId="0" borderId="0" xfId="0" applyAlignment="1">
      <alignment horizontal="centerContinuous"/>
    </xf>
    <xf numFmtId="164" fontId="0" fillId="0" borderId="0" xfId="1" applyNumberFormat="1" applyFont="1"/>
    <xf numFmtId="164" fontId="0" fillId="0" borderId="2" xfId="1" applyNumberFormat="1" applyFont="1" applyFill="1" applyBorder="1"/>
    <xf numFmtId="0" fontId="0" fillId="54" borderId="0" xfId="0" applyFill="1"/>
    <xf numFmtId="43" fontId="22" fillId="0" borderId="0" xfId="1" applyFont="1"/>
    <xf numFmtId="43" fontId="22" fillId="0" borderId="0" xfId="1" applyNumberFormat="1" applyFont="1"/>
    <xf numFmtId="0" fontId="0" fillId="0" borderId="0" xfId="0" applyFont="1" applyAlignment="1">
      <alignment horizontal="center" wrapText="1"/>
    </xf>
    <xf numFmtId="0" fontId="0" fillId="0" borderId="0" xfId="0" applyFont="1" applyFill="1" applyAlignment="1">
      <alignment horizontal="center"/>
    </xf>
    <xf numFmtId="174" fontId="61" fillId="0" borderId="0" xfId="0" applyNumberFormat="1" applyFont="1"/>
    <xf numFmtId="0" fontId="0" fillId="55" borderId="0" xfId="0" applyFill="1"/>
    <xf numFmtId="171" fontId="4" fillId="55" borderId="2" xfId="0" applyNumberFormat="1" applyFont="1" applyFill="1" applyBorder="1"/>
    <xf numFmtId="167" fontId="0" fillId="55" borderId="15" xfId="0" applyNumberFormat="1" applyFill="1" applyBorder="1"/>
    <xf numFmtId="167" fontId="0" fillId="55" borderId="0" xfId="0" applyNumberFormat="1" applyFill="1" applyBorder="1"/>
    <xf numFmtId="167" fontId="0" fillId="55" borderId="0" xfId="0" applyNumberFormat="1" applyFill="1"/>
    <xf numFmtId="171" fontId="4" fillId="55" borderId="0" xfId="0" applyNumberFormat="1" applyFont="1" applyFill="1"/>
    <xf numFmtId="3" fontId="0" fillId="55" borderId="0" xfId="0" applyNumberFormat="1" applyFill="1"/>
    <xf numFmtId="9" fontId="38" fillId="55" borderId="0" xfId="2" applyFont="1" applyFill="1"/>
    <xf numFmtId="164" fontId="0" fillId="55" borderId="0" xfId="1" applyNumberFormat="1" applyFont="1" applyFill="1"/>
    <xf numFmtId="3" fontId="0" fillId="55" borderId="0" xfId="0" applyNumberFormat="1" applyFill="1" applyAlignment="1">
      <alignment horizontal="right"/>
    </xf>
    <xf numFmtId="165" fontId="0" fillId="55" borderId="0" xfId="2" applyNumberFormat="1" applyFont="1" applyFill="1" applyAlignment="1">
      <alignment horizontal="right"/>
    </xf>
    <xf numFmtId="0" fontId="4" fillId="2" borderId="0" xfId="0" applyFont="1" applyFill="1" applyAlignment="1">
      <alignment horizontal="center"/>
    </xf>
    <xf numFmtId="0" fontId="0" fillId="2" borderId="0" xfId="0" applyFill="1" applyAlignment="1">
      <alignment horizontal="center"/>
    </xf>
    <xf numFmtId="17" fontId="32" fillId="0" borderId="2" xfId="44" applyNumberFormat="1" applyFont="1" applyFill="1" applyBorder="1" applyAlignment="1">
      <alignment horizontal="center"/>
    </xf>
    <xf numFmtId="9" fontId="39" fillId="0" borderId="0" xfId="2" applyFont="1" applyFill="1" applyBorder="1" applyAlignment="1">
      <alignment horizontal="center"/>
    </xf>
    <xf numFmtId="168" fontId="24" fillId="0" borderId="0" xfId="44" applyNumberFormat="1" applyFont="1" applyFill="1" applyBorder="1"/>
    <xf numFmtId="173" fontId="22" fillId="0" borderId="15" xfId="44" applyNumberFormat="1" applyFill="1" applyBorder="1"/>
    <xf numFmtId="1" fontId="4" fillId="0" borderId="0" xfId="0" applyNumberFormat="1" applyFont="1" applyFill="1" applyBorder="1" applyAlignment="1">
      <alignment horizontal="center"/>
    </xf>
    <xf numFmtId="166" fontId="4" fillId="0" borderId="0" xfId="1" applyNumberFormat="1" applyFont="1" applyFill="1" applyBorder="1" applyAlignment="1">
      <alignment horizontal="center"/>
    </xf>
    <xf numFmtId="164" fontId="4" fillId="0" borderId="0" xfId="1" applyNumberFormat="1" applyFont="1" applyFill="1" applyBorder="1"/>
    <xf numFmtId="165" fontId="30" fillId="0" borderId="0" xfId="2" applyNumberFormat="1" applyFont="1" applyFill="1" applyBorder="1"/>
    <xf numFmtId="173" fontId="41" fillId="0" borderId="0" xfId="44" applyNumberFormat="1" applyFont="1"/>
    <xf numFmtId="173" fontId="41" fillId="0" borderId="0" xfId="44" applyNumberFormat="1" applyFont="1" applyFill="1"/>
    <xf numFmtId="0" fontId="0" fillId="56" borderId="0" xfId="0" applyFill="1"/>
    <xf numFmtId="0" fontId="0" fillId="49" borderId="0" xfId="0" applyFill="1"/>
    <xf numFmtId="168" fontId="22" fillId="0" borderId="15" xfId="44" applyNumberFormat="1" applyBorder="1"/>
    <xf numFmtId="0" fontId="63" fillId="0" borderId="0" xfId="10725" applyNumberFormat="1" applyFont="1"/>
    <xf numFmtId="49" fontId="63" fillId="0" borderId="0" xfId="10725" applyNumberFormat="1" applyFont="1" applyAlignment="1">
      <alignment horizontal="center"/>
    </xf>
    <xf numFmtId="0" fontId="0" fillId="0" borderId="0" xfId="0"/>
    <xf numFmtId="0" fontId="64" fillId="57" borderId="0" xfId="0" applyFont="1" applyFill="1"/>
    <xf numFmtId="0" fontId="0" fillId="57" borderId="0" xfId="0" applyFill="1"/>
    <xf numFmtId="170" fontId="0" fillId="2" borderId="0" xfId="0" applyNumberFormat="1" applyFill="1" applyAlignment="1">
      <alignment horizontal="center"/>
    </xf>
    <xf numFmtId="0" fontId="4" fillId="0" borderId="0" xfId="0" applyFont="1" applyFill="1" applyBorder="1" applyAlignment="1">
      <alignment horizontal="right"/>
    </xf>
    <xf numFmtId="0" fontId="0" fillId="0" borderId="0" xfId="0" applyFont="1" applyFill="1" applyBorder="1"/>
    <xf numFmtId="0" fontId="0" fillId="0" borderId="0" xfId="0" applyFill="1" applyBorder="1" applyAlignment="1">
      <alignment horizontal="center"/>
    </xf>
    <xf numFmtId="9" fontId="4" fillId="0" borderId="0" xfId="2" applyFont="1" applyFill="1" applyBorder="1"/>
    <xf numFmtId="5" fontId="4" fillId="0" borderId="0" xfId="2" applyNumberFormat="1" applyFont="1" applyFill="1" applyBorder="1"/>
    <xf numFmtId="0" fontId="0" fillId="3" borderId="0" xfId="0" applyFill="1" applyAlignment="1">
      <alignment horizontal="right"/>
    </xf>
    <xf numFmtId="9" fontId="66" fillId="0" borderId="0" xfId="2" applyFont="1" applyAlignment="1">
      <alignment horizontal="center"/>
    </xf>
    <xf numFmtId="164" fontId="46" fillId="0" borderId="0" xfId="1" applyNumberFormat="1" applyFont="1" applyAlignment="1">
      <alignment horizontal="center"/>
    </xf>
    <xf numFmtId="167" fontId="48" fillId="0" borderId="0" xfId="0" applyNumberFormat="1" applyFont="1" applyFill="1"/>
    <xf numFmtId="0" fontId="0" fillId="0" borderId="0" xfId="0" applyFill="1"/>
    <xf numFmtId="164" fontId="0" fillId="0" borderId="0" xfId="1" applyNumberFormat="1" applyFont="1"/>
    <xf numFmtId="164" fontId="0" fillId="0" borderId="13" xfId="1" applyNumberFormat="1" applyFont="1" applyBorder="1"/>
    <xf numFmtId="168" fontId="24" fillId="0" borderId="0" xfId="44" applyNumberFormat="1" applyFont="1" applyFill="1"/>
    <xf numFmtId="166" fontId="4" fillId="0" borderId="0" xfId="1" applyNumberFormat="1" applyFont="1" applyFill="1" applyAlignment="1">
      <alignment horizontal="center"/>
    </xf>
    <xf numFmtId="165" fontId="0" fillId="0" borderId="0" xfId="0" applyNumberFormat="1"/>
    <xf numFmtId="0" fontId="22" fillId="0" borderId="0" xfId="44" applyFill="1"/>
    <xf numFmtId="164" fontId="33" fillId="0" borderId="0" xfId="1" applyNumberFormat="1" applyFont="1"/>
    <xf numFmtId="17" fontId="0" fillId="0" borderId="3" xfId="0" applyNumberFormat="1" applyFont="1" applyFill="1" applyBorder="1" applyAlignment="1">
      <alignment horizontal="center"/>
    </xf>
    <xf numFmtId="169" fontId="0" fillId="0" borderId="0" xfId="0" applyNumberFormat="1"/>
    <xf numFmtId="169" fontId="0" fillId="0" borderId="0" xfId="11334" applyNumberFormat="1" applyFont="1"/>
    <xf numFmtId="44" fontId="0" fillId="0" borderId="0" xfId="11334" applyFont="1"/>
    <xf numFmtId="0" fontId="0" fillId="0" borderId="0" xfId="0"/>
    <xf numFmtId="44" fontId="32" fillId="0" borderId="2" xfId="11334" applyFont="1" applyBorder="1"/>
    <xf numFmtId="168" fontId="22" fillId="0" borderId="0" xfId="44" applyNumberFormat="1" applyFont="1"/>
    <xf numFmtId="168" fontId="32" fillId="0" borderId="2" xfId="44" applyNumberFormat="1" applyFont="1" applyBorder="1"/>
    <xf numFmtId="173" fontId="24" fillId="0" borderId="0" xfId="44" applyNumberFormat="1" applyFont="1" applyFill="1" applyBorder="1"/>
    <xf numFmtId="44" fontId="38" fillId="0" borderId="0" xfId="11334" applyFont="1"/>
    <xf numFmtId="0" fontId="4" fillId="0" borderId="0" xfId="0" applyFont="1" applyFill="1" applyAlignment="1">
      <alignment horizontal="center"/>
    </xf>
    <xf numFmtId="0" fontId="67" fillId="0" borderId="0" xfId="0" applyFont="1"/>
    <xf numFmtId="170" fontId="67" fillId="2" borderId="0" xfId="0" applyNumberFormat="1" applyFont="1" applyFill="1" applyAlignment="1">
      <alignment horizontal="center"/>
    </xf>
    <xf numFmtId="164" fontId="67" fillId="0" borderId="0" xfId="0" applyNumberFormat="1" applyFont="1"/>
    <xf numFmtId="44" fontId="66" fillId="0" borderId="0" xfId="11334" applyFont="1" applyAlignment="1">
      <alignment horizontal="center"/>
    </xf>
    <xf numFmtId="0" fontId="67" fillId="0" borderId="0" xfId="0" applyFont="1" applyAlignment="1">
      <alignment wrapText="1"/>
    </xf>
    <xf numFmtId="164" fontId="67" fillId="0" borderId="0" xfId="1" applyNumberFormat="1" applyFont="1"/>
    <xf numFmtId="0" fontId="50" fillId="47" borderId="0" xfId="0" applyFont="1" applyFill="1"/>
    <xf numFmtId="0" fontId="6" fillId="25" borderId="0" xfId="32" applyAlignment="1">
      <alignment horizontal="right"/>
    </xf>
    <xf numFmtId="0" fontId="6" fillId="33" borderId="0" xfId="40" applyAlignment="1">
      <alignment horizontal="right"/>
    </xf>
    <xf numFmtId="44" fontId="67" fillId="0" borderId="0" xfId="11334" applyFont="1"/>
    <xf numFmtId="169" fontId="67" fillId="0" borderId="0" xfId="11334" applyNumberFormat="1" applyFont="1"/>
    <xf numFmtId="44" fontId="67" fillId="0" borderId="0" xfId="0" applyNumberFormat="1" applyFont="1"/>
    <xf numFmtId="10" fontId="66" fillId="0" borderId="0" xfId="2" applyNumberFormat="1" applyFont="1" applyAlignment="1">
      <alignment horizontal="center"/>
    </xf>
    <xf numFmtId="0" fontId="0" fillId="47" borderId="0" xfId="0" applyFill="1" applyAlignment="1">
      <alignment horizontal="left" indent="1"/>
    </xf>
    <xf numFmtId="164" fontId="0" fillId="47" borderId="0" xfId="1" applyNumberFormat="1" applyFont="1" applyFill="1"/>
    <xf numFmtId="44" fontId="0" fillId="47" borderId="0" xfId="11334" applyFont="1" applyFill="1"/>
    <xf numFmtId="180" fontId="66" fillId="0" borderId="0" xfId="11334" applyNumberFormat="1" applyFont="1" applyAlignment="1">
      <alignment horizontal="center"/>
    </xf>
    <xf numFmtId="165" fontId="50" fillId="0" borderId="0" xfId="2" applyNumberFormat="1" applyFont="1" applyFill="1" applyBorder="1" applyAlignment="1">
      <alignment horizontal="center"/>
    </xf>
    <xf numFmtId="0" fontId="67" fillId="46" borderId="0" xfId="0" applyFont="1" applyFill="1"/>
    <xf numFmtId="0" fontId="4" fillId="47" borderId="23" xfId="0" applyFont="1" applyFill="1" applyBorder="1"/>
    <xf numFmtId="174" fontId="49" fillId="0" borderId="21" xfId="0" applyNumberFormat="1" applyFont="1" applyFill="1" applyBorder="1"/>
    <xf numFmtId="49" fontId="49" fillId="0" borderId="0" xfId="0" applyNumberFormat="1" applyFont="1" applyFill="1" applyBorder="1"/>
    <xf numFmtId="183" fontId="67" fillId="0" borderId="0" xfId="0" applyNumberFormat="1" applyFont="1"/>
    <xf numFmtId="165" fontId="67" fillId="0" borderId="0" xfId="2" applyNumberFormat="1" applyFont="1"/>
    <xf numFmtId="165" fontId="67" fillId="0" borderId="0" xfId="0" applyNumberFormat="1" applyFont="1"/>
    <xf numFmtId="9" fontId="67" fillId="0" borderId="0" xfId="2" applyFont="1"/>
    <xf numFmtId="164" fontId="65" fillId="0" borderId="0" xfId="1" applyNumberFormat="1" applyFont="1"/>
    <xf numFmtId="0" fontId="67" fillId="59" borderId="0" xfId="0" applyFont="1" applyFill="1"/>
    <xf numFmtId="169" fontId="67" fillId="59" borderId="0" xfId="11334" applyNumberFormat="1" applyFont="1" applyFill="1"/>
    <xf numFmtId="169" fontId="67" fillId="0" borderId="0" xfId="0" applyNumberFormat="1" applyFont="1"/>
    <xf numFmtId="0" fontId="70" fillId="60" borderId="0" xfId="0" applyFont="1" applyFill="1"/>
    <xf numFmtId="44" fontId="70" fillId="60" borderId="0" xfId="11334" applyFont="1" applyFill="1"/>
    <xf numFmtId="169" fontId="70" fillId="60" borderId="0" xfId="11334" applyNumberFormat="1" applyFont="1" applyFill="1"/>
    <xf numFmtId="10" fontId="67" fillId="0" borderId="0" xfId="2" applyNumberFormat="1" applyFont="1"/>
    <xf numFmtId="44" fontId="66" fillId="0" borderId="0" xfId="11334" applyNumberFormat="1" applyFont="1" applyAlignment="1">
      <alignment horizontal="center"/>
    </xf>
    <xf numFmtId="14" fontId="67" fillId="0" borderId="0" xfId="0" applyNumberFormat="1" applyFont="1"/>
    <xf numFmtId="169" fontId="67" fillId="61" borderId="0" xfId="11334" applyNumberFormat="1" applyFont="1" applyFill="1"/>
    <xf numFmtId="8" fontId="0" fillId="0" borderId="0" xfId="0" applyNumberFormat="1" applyFill="1"/>
    <xf numFmtId="9" fontId="0" fillId="0" borderId="0" xfId="0" applyNumberFormat="1" applyFill="1"/>
    <xf numFmtId="0" fontId="50" fillId="0" borderId="0" xfId="0" applyFont="1" applyFill="1"/>
    <xf numFmtId="169" fontId="67" fillId="0" borderId="16" xfId="0" applyNumberFormat="1" applyFont="1" applyBorder="1"/>
    <xf numFmtId="169" fontId="67" fillId="0" borderId="3" xfId="11334" applyNumberFormat="1" applyFont="1" applyBorder="1"/>
    <xf numFmtId="169" fontId="67" fillId="0" borderId="15" xfId="11334" applyNumberFormat="1" applyFont="1" applyBorder="1"/>
    <xf numFmtId="169" fontId="67" fillId="59" borderId="0" xfId="0" applyNumberFormat="1" applyFont="1" applyFill="1"/>
    <xf numFmtId="0" fontId="0" fillId="0" borderId="0" xfId="0"/>
    <xf numFmtId="169" fontId="0" fillId="0" borderId="0" xfId="11334" applyNumberFormat="1" applyFont="1"/>
    <xf numFmtId="9" fontId="66" fillId="0" borderId="0" xfId="2" applyFont="1" applyAlignment="1">
      <alignment horizontal="center"/>
    </xf>
    <xf numFmtId="0" fontId="0" fillId="0" borderId="0" xfId="0" applyAlignment="1">
      <alignment horizontal="center"/>
    </xf>
    <xf numFmtId="44" fontId="33" fillId="0" borderId="0" xfId="11334" applyNumberFormat="1" applyFont="1" applyAlignment="1">
      <alignment horizontal="center"/>
    </xf>
    <xf numFmtId="169" fontId="0" fillId="0" borderId="0" xfId="11334" applyNumberFormat="1" applyFont="1" applyAlignment="1">
      <alignment vertical="center"/>
    </xf>
    <xf numFmtId="169" fontId="30" fillId="0" borderId="0" xfId="11334" applyNumberFormat="1" applyFont="1"/>
    <xf numFmtId="179" fontId="0" fillId="0" borderId="0" xfId="11334" applyNumberFormat="1" applyFont="1" applyFill="1"/>
    <xf numFmtId="44" fontId="0" fillId="0" borderId="0" xfId="11334" applyFont="1" applyFill="1"/>
    <xf numFmtId="165" fontId="0" fillId="0" borderId="0" xfId="2" applyNumberFormat="1" applyFont="1" applyFill="1"/>
    <xf numFmtId="178" fontId="0" fillId="0" borderId="0" xfId="0" applyNumberFormat="1"/>
    <xf numFmtId="175" fontId="50" fillId="0" borderId="0" xfId="11334" applyNumberFormat="1" applyFont="1" applyFill="1" applyBorder="1" applyAlignment="1">
      <alignment horizontal="center"/>
    </xf>
    <xf numFmtId="9" fontId="0" fillId="0" borderId="0" xfId="0" applyNumberFormat="1"/>
    <xf numFmtId="164" fontId="0" fillId="0" borderId="0" xfId="0" applyNumberFormat="1" applyFill="1"/>
    <xf numFmtId="0" fontId="67" fillId="0" borderId="0" xfId="0" applyFont="1" applyBorder="1"/>
    <xf numFmtId="174" fontId="49" fillId="0" borderId="0" xfId="0" applyNumberFormat="1" applyFont="1" applyFill="1" applyBorder="1"/>
    <xf numFmtId="164" fontId="67" fillId="0" borderId="0" xfId="1" applyNumberFormat="1" applyFont="1" applyBorder="1"/>
    <xf numFmtId="183" fontId="67" fillId="0" borderId="0" xfId="0" applyNumberFormat="1" applyFont="1" applyBorder="1"/>
    <xf numFmtId="0" fontId="0" fillId="0" borderId="0" xfId="0"/>
    <xf numFmtId="14" fontId="0" fillId="0" borderId="0" xfId="0" applyNumberFormat="1"/>
    <xf numFmtId="164" fontId="26" fillId="0" borderId="0" xfId="1" applyNumberFormat="1" applyFont="1"/>
    <xf numFmtId="164" fontId="0" fillId="0" borderId="0" xfId="1" applyNumberFormat="1" applyFont="1"/>
    <xf numFmtId="0" fontId="4" fillId="0" borderId="0" xfId="0" applyFont="1" applyFill="1"/>
    <xf numFmtId="3" fontId="0" fillId="0" borderId="0" xfId="0" applyNumberFormat="1"/>
    <xf numFmtId="49" fontId="63" fillId="0" borderId="0" xfId="10725" applyNumberFormat="1" applyFont="1"/>
    <xf numFmtId="44" fontId="0" fillId="0" borderId="0" xfId="0" applyNumberFormat="1"/>
    <xf numFmtId="0" fontId="67" fillId="0" borderId="0" xfId="0" applyFont="1"/>
    <xf numFmtId="169" fontId="67" fillId="0" borderId="0" xfId="11334" applyNumberFormat="1" applyFont="1"/>
    <xf numFmtId="184" fontId="0" fillId="0" borderId="0" xfId="0" applyNumberFormat="1"/>
    <xf numFmtId="173" fontId="22" fillId="0" borderId="0" xfId="44" applyNumberFormat="1" applyFont="1"/>
    <xf numFmtId="169" fontId="0" fillId="48" borderId="0" xfId="11334" applyNumberFormat="1" applyFont="1" applyFill="1"/>
    <xf numFmtId="169" fontId="67" fillId="0" borderId="0" xfId="11334" applyNumberFormat="1" applyFont="1" applyBorder="1"/>
    <xf numFmtId="44" fontId="67" fillId="0" borderId="0" xfId="0" applyNumberFormat="1" applyFont="1" applyBorder="1"/>
    <xf numFmtId="14" fontId="67" fillId="0" borderId="0" xfId="0" applyNumberFormat="1" applyFont="1" applyBorder="1"/>
    <xf numFmtId="185" fontId="73" fillId="0" borderId="0" xfId="0" applyNumberFormat="1" applyFont="1" applyFill="1" applyBorder="1" applyAlignment="1" applyProtection="1">
      <alignment horizontal="right"/>
    </xf>
    <xf numFmtId="185" fontId="74" fillId="0" borderId="0" xfId="0" applyNumberFormat="1" applyFont="1" applyFill="1" applyBorder="1" applyAlignment="1" applyProtection="1">
      <alignment horizontal="right"/>
    </xf>
    <xf numFmtId="171" fontId="4" fillId="0" borderId="0" xfId="0" applyNumberFormat="1" applyFont="1" applyBorder="1"/>
    <xf numFmtId="171" fontId="4" fillId="55" borderId="0" xfId="0" applyNumberFormat="1" applyFont="1" applyFill="1" applyBorder="1"/>
    <xf numFmtId="0" fontId="0" fillId="55" borderId="0" xfId="0" applyFill="1" applyBorder="1"/>
    <xf numFmtId="5" fontId="4" fillId="0" borderId="0" xfId="0" applyNumberFormat="1" applyFont="1" applyFill="1" applyBorder="1"/>
    <xf numFmtId="10" fontId="0" fillId="0" borderId="0" xfId="2" applyNumberFormat="1" applyFont="1" applyFill="1" applyBorder="1"/>
    <xf numFmtId="0" fontId="6" fillId="0" borderId="0" xfId="0" applyFont="1" applyFill="1" applyBorder="1" applyAlignment="1">
      <alignment horizontal="left" indent="1"/>
    </xf>
    <xf numFmtId="185" fontId="0" fillId="0" borderId="0" xfId="0" applyNumberFormat="1" applyFill="1" applyBorder="1"/>
    <xf numFmtId="0" fontId="0" fillId="0" borderId="0" xfId="0" applyFont="1" applyFill="1" applyBorder="1" applyAlignment="1">
      <alignment horizontal="left" indent="1"/>
    </xf>
    <xf numFmtId="49" fontId="75" fillId="0" borderId="0" xfId="0" applyNumberFormat="1" applyFont="1" applyFill="1" applyBorder="1" applyAlignment="1" applyProtection="1">
      <alignment horizontal="left"/>
    </xf>
    <xf numFmtId="0" fontId="0" fillId="0" borderId="20" xfId="0" applyFont="1" applyFill="1" applyBorder="1"/>
    <xf numFmtId="0" fontId="0" fillId="0" borderId="20" xfId="0" applyFill="1" applyBorder="1"/>
    <xf numFmtId="185" fontId="0" fillId="0" borderId="20" xfId="0" applyNumberFormat="1" applyFill="1" applyBorder="1"/>
    <xf numFmtId="6" fontId="51" fillId="0" borderId="0" xfId="0" applyNumberFormat="1" applyFont="1" applyFill="1" applyBorder="1" applyAlignment="1">
      <alignment horizontal="left" vertical="center"/>
    </xf>
    <xf numFmtId="0" fontId="51" fillId="0" borderId="0" xfId="0" applyFont="1" applyFill="1" applyBorder="1" applyAlignment="1">
      <alignment horizontal="center" vertical="center" wrapText="1"/>
    </xf>
    <xf numFmtId="0" fontId="51" fillId="0" borderId="0" xfId="0" applyFont="1" applyFill="1" applyBorder="1" applyAlignment="1">
      <alignment horizontal="center" wrapText="1"/>
    </xf>
    <xf numFmtId="0" fontId="0" fillId="0" borderId="0" xfId="0" applyFill="1" applyBorder="1" applyAlignment="1">
      <alignment vertical="center"/>
    </xf>
    <xf numFmtId="0" fontId="52" fillId="0" borderId="0" xfId="0" applyFont="1" applyFill="1" applyBorder="1" applyAlignment="1">
      <alignment horizontal="left" wrapText="1" readingOrder="1"/>
    </xf>
    <xf numFmtId="0" fontId="53" fillId="0" borderId="0" xfId="0" applyFont="1" applyFill="1" applyBorder="1" applyAlignment="1">
      <alignment horizontal="left" wrapText="1" indent="4" readingOrder="1"/>
    </xf>
    <xf numFmtId="175" fontId="54" fillId="0" borderId="0" xfId="11334" applyNumberFormat="1" applyFont="1" applyFill="1" applyBorder="1" applyAlignment="1">
      <alignment horizontal="center"/>
    </xf>
    <xf numFmtId="0" fontId="30" fillId="0" borderId="0" xfId="0" applyFont="1" applyFill="1" applyBorder="1"/>
    <xf numFmtId="175" fontId="55" fillId="0" borderId="0" xfId="11334" applyNumberFormat="1" applyFont="1" applyFill="1" applyBorder="1" applyAlignment="1">
      <alignment horizontal="center"/>
    </xf>
    <xf numFmtId="177" fontId="50" fillId="0" borderId="0" xfId="11334" applyNumberFormat="1" applyFont="1" applyFill="1" applyBorder="1" applyAlignment="1">
      <alignment horizontal="center"/>
    </xf>
    <xf numFmtId="9" fontId="50" fillId="0" borderId="0" xfId="2" applyFont="1" applyFill="1" applyBorder="1" applyAlignment="1">
      <alignment horizontal="center"/>
    </xf>
    <xf numFmtId="175" fontId="30" fillId="0" borderId="0" xfId="0" applyNumberFormat="1" applyFont="1" applyFill="1" applyBorder="1"/>
    <xf numFmtId="177" fontId="50" fillId="0" borderId="0" xfId="2" applyNumberFormat="1" applyFont="1" applyFill="1" applyBorder="1" applyAlignment="1">
      <alignment horizontal="center"/>
    </xf>
    <xf numFmtId="9" fontId="50" fillId="0" borderId="0" xfId="2" quotePrefix="1" applyFont="1" applyFill="1" applyBorder="1" applyAlignment="1">
      <alignment horizontal="center"/>
    </xf>
    <xf numFmtId="0" fontId="52" fillId="0" borderId="0" xfId="0" applyFont="1" applyFill="1" applyBorder="1" applyAlignment="1">
      <alignment horizontal="left" wrapText="1" indent="2" readingOrder="1"/>
    </xf>
    <xf numFmtId="176" fontId="50" fillId="0" borderId="0" xfId="11334" applyNumberFormat="1" applyFont="1" applyFill="1" applyBorder="1" applyAlignment="1">
      <alignment horizontal="center"/>
    </xf>
    <xf numFmtId="37" fontId="50" fillId="0" borderId="0" xfId="11334" applyNumberFormat="1" applyFont="1" applyFill="1" applyBorder="1" applyAlignment="1">
      <alignment horizontal="center"/>
    </xf>
    <xf numFmtId="165" fontId="54" fillId="0" borderId="0" xfId="2" applyNumberFormat="1" applyFont="1" applyFill="1" applyBorder="1" applyAlignment="1">
      <alignment horizontal="center"/>
    </xf>
    <xf numFmtId="165" fontId="50" fillId="0" borderId="0" xfId="2" quotePrefix="1" applyNumberFormat="1" applyFont="1" applyFill="1" applyBorder="1" applyAlignment="1">
      <alignment horizontal="center"/>
    </xf>
    <xf numFmtId="167" fontId="0" fillId="0" borderId="0" xfId="0" applyNumberFormat="1" applyFill="1" applyBorder="1"/>
    <xf numFmtId="44" fontId="0" fillId="0" borderId="0" xfId="11334" applyFont="1" applyFill="1" applyBorder="1"/>
    <xf numFmtId="167" fontId="50" fillId="0" borderId="0" xfId="11334" applyNumberFormat="1" applyFont="1" applyFill="1" applyBorder="1" applyAlignment="1">
      <alignment horizontal="center" vertical="center"/>
    </xf>
    <xf numFmtId="43" fontId="0" fillId="0" borderId="0" xfId="1" applyFont="1"/>
    <xf numFmtId="0" fontId="77" fillId="0" borderId="0" xfId="0" applyFont="1"/>
    <xf numFmtId="0" fontId="0" fillId="0" borderId="0" xfId="0" applyAlignment="1">
      <alignment horizontal="left" vertical="center" indent="5"/>
    </xf>
    <xf numFmtId="169" fontId="0" fillId="62" borderId="0" xfId="11334" applyNumberFormat="1" applyFont="1" applyFill="1"/>
    <xf numFmtId="0" fontId="0" fillId="62" borderId="0" xfId="0" applyFill="1"/>
    <xf numFmtId="169" fontId="0" fillId="62" borderId="0" xfId="0" applyNumberFormat="1" applyFill="1"/>
    <xf numFmtId="0" fontId="4" fillId="62" borderId="0" xfId="0" applyFont="1" applyFill="1"/>
    <xf numFmtId="164" fontId="23" fillId="0" borderId="32" xfId="1" applyNumberFormat="1" applyFont="1" applyFill="1" applyBorder="1" applyAlignment="1">
      <alignment horizontal="right" wrapText="1"/>
    </xf>
    <xf numFmtId="14" fontId="0" fillId="46" borderId="0" xfId="0" applyNumberFormat="1" applyFill="1" applyAlignment="1">
      <alignment horizontal="left"/>
    </xf>
    <xf numFmtId="0" fontId="0" fillId="46" borderId="0" xfId="0" applyFill="1"/>
    <xf numFmtId="9" fontId="66" fillId="0" borderId="0" xfId="2" applyFont="1" applyAlignment="1">
      <alignment horizontal="right"/>
    </xf>
    <xf numFmtId="164" fontId="65" fillId="0" borderId="0" xfId="1" applyNumberFormat="1" applyFont="1" applyAlignment="1">
      <alignment horizontal="right"/>
    </xf>
    <xf numFmtId="165" fontId="0" fillId="46" borderId="0" xfId="2" applyNumberFormat="1" applyFont="1" applyFill="1"/>
    <xf numFmtId="164" fontId="0" fillId="46" borderId="0" xfId="1" applyNumberFormat="1" applyFont="1" applyFill="1"/>
    <xf numFmtId="0" fontId="4" fillId="47" borderId="0" xfId="0" applyFont="1" applyFill="1"/>
    <xf numFmtId="0" fontId="4" fillId="59" borderId="0" xfId="0" applyFont="1" applyFill="1"/>
    <xf numFmtId="44" fontId="5" fillId="46" borderId="0" xfId="11334" applyNumberFormat="1" applyFont="1" applyFill="1" applyAlignment="1">
      <alignment horizontal="center"/>
    </xf>
    <xf numFmtId="0" fontId="4" fillId="46" borderId="0" xfId="0" applyFont="1" applyFill="1" applyAlignment="1">
      <alignment horizontal="right"/>
    </xf>
    <xf numFmtId="0" fontId="77" fillId="57" borderId="0" xfId="0" applyFont="1" applyFill="1"/>
    <xf numFmtId="0" fontId="77" fillId="0" borderId="0" xfId="0" applyFont="1" applyFill="1"/>
    <xf numFmtId="170" fontId="77" fillId="0" borderId="0" xfId="0" applyNumberFormat="1" applyFont="1" applyFill="1" applyAlignment="1">
      <alignment horizontal="center"/>
    </xf>
    <xf numFmtId="14" fontId="77" fillId="46" borderId="0" xfId="0" applyNumberFormat="1" applyFont="1" applyFill="1" applyAlignment="1">
      <alignment horizontal="left"/>
    </xf>
    <xf numFmtId="14" fontId="77" fillId="0" borderId="0" xfId="0" applyNumberFormat="1" applyFont="1"/>
    <xf numFmtId="44" fontId="77" fillId="0" borderId="0" xfId="11334" applyFont="1"/>
    <xf numFmtId="43" fontId="77" fillId="0" borderId="0" xfId="1" applyFont="1"/>
    <xf numFmtId="0" fontId="78" fillId="57" borderId="0" xfId="0" applyFont="1" applyFill="1"/>
    <xf numFmtId="0" fontId="77" fillId="46" borderId="0" xfId="0" applyFont="1" applyFill="1"/>
    <xf numFmtId="0" fontId="77" fillId="57" borderId="0" xfId="0" applyFont="1" applyFill="1" applyAlignment="1">
      <alignment horizontal="left" indent="2"/>
    </xf>
    <xf numFmtId="169" fontId="77" fillId="46" borderId="0" xfId="11334" applyNumberFormat="1" applyFont="1" applyFill="1"/>
    <xf numFmtId="169" fontId="77" fillId="47" borderId="20" xfId="11334" applyNumberFormat="1" applyFont="1" applyFill="1" applyBorder="1"/>
    <xf numFmtId="178" fontId="77" fillId="46" borderId="0" xfId="2" applyNumberFormat="1" applyFont="1" applyFill="1"/>
    <xf numFmtId="164" fontId="77" fillId="46" borderId="0" xfId="1" applyNumberFormat="1" applyFont="1" applyFill="1"/>
    <xf numFmtId="0" fontId="78" fillId="57" borderId="0" xfId="0" applyFont="1" applyFill="1" applyAlignment="1">
      <alignment horizontal="left" indent="2"/>
    </xf>
    <xf numFmtId="0" fontId="77" fillId="47" borderId="0" xfId="0" applyFont="1" applyFill="1"/>
    <xf numFmtId="0" fontId="77" fillId="57" borderId="0" xfId="0" applyFont="1" applyFill="1" applyAlignment="1">
      <alignment horizontal="left" indent="3"/>
    </xf>
    <xf numFmtId="44" fontId="77" fillId="47" borderId="0" xfId="11334" applyNumberFormat="1" applyFont="1" applyFill="1"/>
    <xf numFmtId="14" fontId="77" fillId="47" borderId="0" xfId="0" applyNumberFormat="1" applyFont="1" applyFill="1"/>
    <xf numFmtId="44" fontId="77" fillId="47" borderId="0" xfId="0" applyNumberFormat="1" applyFont="1" applyFill="1"/>
    <xf numFmtId="0" fontId="79" fillId="2" borderId="0" xfId="10676" applyFont="1" applyFill="1" applyBorder="1" applyAlignment="1" applyProtection="1">
      <alignment horizontal="center" vertical="center" wrapText="1"/>
      <protection hidden="1"/>
    </xf>
    <xf numFmtId="8" fontId="79" fillId="2" borderId="0" xfId="10676" applyNumberFormat="1" applyFont="1" applyFill="1" applyBorder="1" applyAlignment="1" applyProtection="1">
      <alignment horizontal="center" vertical="center" wrapText="1"/>
      <protection hidden="1"/>
    </xf>
    <xf numFmtId="43" fontId="77" fillId="47" borderId="0" xfId="0" applyNumberFormat="1" applyFont="1" applyFill="1"/>
    <xf numFmtId="17" fontId="22" fillId="0" borderId="0" xfId="44" applyNumberFormat="1" applyBorder="1" applyAlignment="1">
      <alignment horizontal="center"/>
    </xf>
    <xf numFmtId="168" fontId="32" fillId="0" borderId="16" xfId="44" applyNumberFormat="1" applyFont="1" applyBorder="1"/>
    <xf numFmtId="0" fontId="32" fillId="0" borderId="16" xfId="44" applyFont="1" applyBorder="1"/>
    <xf numFmtId="173" fontId="32" fillId="0" borderId="15" xfId="44" applyNumberFormat="1" applyFont="1" applyBorder="1"/>
    <xf numFmtId="0" fontId="24" fillId="0" borderId="0" xfId="44" applyFont="1" applyBorder="1"/>
    <xf numFmtId="44" fontId="24" fillId="0" borderId="0" xfId="44" applyNumberFormat="1" applyFont="1" applyBorder="1"/>
    <xf numFmtId="17" fontId="32" fillId="0" borderId="0" xfId="44" applyNumberFormat="1" applyFont="1" applyBorder="1" applyAlignment="1">
      <alignment horizontal="center"/>
    </xf>
    <xf numFmtId="168" fontId="7" fillId="0" borderId="0" xfId="44" applyNumberFormat="1" applyFont="1"/>
    <xf numFmtId="4" fontId="0" fillId="0" borderId="0" xfId="0" applyNumberFormat="1"/>
    <xf numFmtId="0" fontId="0" fillId="0" borderId="0" xfId="0"/>
    <xf numFmtId="175" fontId="0" fillId="0" borderId="0" xfId="0" applyNumberFormat="1"/>
    <xf numFmtId="175" fontId="70" fillId="0" borderId="0" xfId="11334" applyNumberFormat="1" applyFont="1" applyFill="1" applyBorder="1" applyAlignment="1">
      <alignment horizontal="center"/>
    </xf>
    <xf numFmtId="165" fontId="70" fillId="0" borderId="0" xfId="2" applyNumberFormat="1" applyFont="1" applyFill="1" applyBorder="1" applyAlignment="1">
      <alignment horizontal="center"/>
    </xf>
    <xf numFmtId="176" fontId="81" fillId="0" borderId="0" xfId="11334" applyNumberFormat="1" applyFont="1" applyFill="1" applyBorder="1" applyAlignment="1">
      <alignment horizontal="center"/>
    </xf>
    <xf numFmtId="1" fontId="70" fillId="0" borderId="0" xfId="1" applyNumberFormat="1" applyFont="1" applyFill="1" applyBorder="1" applyAlignment="1">
      <alignment horizontal="center"/>
    </xf>
    <xf numFmtId="0" fontId="62" fillId="0" borderId="0" xfId="0" applyFont="1" applyFill="1" applyBorder="1" applyAlignment="1">
      <alignment horizontal="center" wrapText="1"/>
    </xf>
    <xf numFmtId="1" fontId="70" fillId="0" borderId="0" xfId="11334" applyNumberFormat="1" applyFont="1" applyFill="1" applyBorder="1" applyAlignment="1">
      <alignment horizontal="center"/>
    </xf>
    <xf numFmtId="44" fontId="77" fillId="0" borderId="0" xfId="0" applyNumberFormat="1" applyFont="1"/>
    <xf numFmtId="168" fontId="44" fillId="0" borderId="2" xfId="44" applyNumberFormat="1" applyFont="1" applyBorder="1"/>
    <xf numFmtId="168" fontId="44" fillId="0" borderId="16" xfId="44" applyNumberFormat="1" applyFont="1" applyBorder="1"/>
    <xf numFmtId="44" fontId="22" fillId="0" borderId="0" xfId="11334" applyFont="1"/>
    <xf numFmtId="169" fontId="0" fillId="0" borderId="0" xfId="11334" applyNumberFormat="1" applyFont="1" applyBorder="1"/>
    <xf numFmtId="169" fontId="32" fillId="0" borderId="2" xfId="11334" applyNumberFormat="1" applyFont="1" applyBorder="1"/>
    <xf numFmtId="0" fontId="83" fillId="0" borderId="0" xfId="0" applyFont="1" applyFill="1"/>
    <xf numFmtId="186" fontId="66" fillId="0" borderId="0" xfId="11334" applyNumberFormat="1" applyFont="1" applyAlignment="1">
      <alignment horizontal="center"/>
    </xf>
    <xf numFmtId="169" fontId="5" fillId="46" borderId="0" xfId="11334" applyNumberFormat="1" applyFont="1" applyFill="1" applyAlignment="1">
      <alignment horizontal="center"/>
    </xf>
    <xf numFmtId="169" fontId="0" fillId="47" borderId="0" xfId="11334" applyNumberFormat="1" applyFont="1" applyFill="1"/>
    <xf numFmtId="3" fontId="0" fillId="0" borderId="0" xfId="0" applyNumberFormat="1" applyAlignment="1">
      <alignment horizontal="center"/>
    </xf>
    <xf numFmtId="9" fontId="33" fillId="0" borderId="0" xfId="2" applyFont="1"/>
    <xf numFmtId="0" fontId="0" fillId="47" borderId="34" xfId="0" applyFill="1" applyBorder="1" applyAlignment="1">
      <alignment vertical="center" wrapText="1"/>
    </xf>
    <xf numFmtId="0" fontId="0" fillId="47" borderId="35" xfId="0" applyFill="1" applyBorder="1" applyAlignment="1">
      <alignment vertical="center" wrapText="1"/>
    </xf>
    <xf numFmtId="0" fontId="0" fillId="0" borderId="36" xfId="0" applyBorder="1" applyAlignment="1">
      <alignment vertical="center" wrapText="1"/>
    </xf>
    <xf numFmtId="0" fontId="0" fillId="0" borderId="30" xfId="0" applyBorder="1" applyAlignment="1">
      <alignment horizontal="center" vertical="center" wrapText="1"/>
    </xf>
    <xf numFmtId="169" fontId="0" fillId="0" borderId="30" xfId="11334" applyNumberFormat="1" applyFont="1" applyBorder="1" applyAlignment="1">
      <alignment vertical="center" wrapText="1"/>
    </xf>
    <xf numFmtId="169" fontId="83" fillId="0" borderId="0" xfId="0" applyNumberFormat="1" applyFont="1"/>
    <xf numFmtId="164" fontId="50" fillId="0" borderId="0" xfId="1" applyNumberFormat="1" applyFont="1" applyFill="1" applyBorder="1" applyAlignment="1">
      <alignment horizontal="center" vertical="center" wrapText="1"/>
    </xf>
    <xf numFmtId="43" fontId="0" fillId="0" borderId="0" xfId="0" applyNumberFormat="1" applyFill="1"/>
    <xf numFmtId="0" fontId="0" fillId="0" borderId="0" xfId="0" applyAlignment="1">
      <alignment horizontal="left"/>
    </xf>
    <xf numFmtId="182" fontId="67" fillId="0" borderId="0" xfId="0" applyNumberFormat="1" applyFont="1" applyBorder="1"/>
    <xf numFmtId="179" fontId="0" fillId="0" borderId="0" xfId="11334" applyNumberFormat="1" applyFont="1"/>
    <xf numFmtId="0" fontId="0" fillId="0" borderId="0" xfId="0"/>
    <xf numFmtId="174" fontId="49" fillId="0" borderId="0" xfId="0" applyNumberFormat="1" applyFont="1"/>
    <xf numFmtId="0" fontId="84" fillId="0" borderId="0" xfId="0" applyFont="1"/>
    <xf numFmtId="49" fontId="85" fillId="0" borderId="0" xfId="10725" applyNumberFormat="1" applyFont="1"/>
    <xf numFmtId="9" fontId="0" fillId="46" borderId="0" xfId="0" applyNumberFormat="1" applyFill="1"/>
    <xf numFmtId="0" fontId="22" fillId="0" borderId="0" xfId="44" applyFont="1" applyAlignment="1">
      <alignment horizontal="left" indent="1"/>
    </xf>
    <xf numFmtId="0" fontId="22" fillId="0" borderId="3" xfId="44" applyFont="1" applyBorder="1"/>
    <xf numFmtId="173" fontId="22" fillId="0" borderId="3" xfId="44" applyNumberFormat="1" applyFont="1" applyBorder="1"/>
    <xf numFmtId="0" fontId="22" fillId="0" borderId="0" xfId="44" applyAlignment="1">
      <alignment horizontal="left" indent="1"/>
    </xf>
    <xf numFmtId="10" fontId="22" fillId="0" borderId="0" xfId="2" applyNumberFormat="1" applyFont="1"/>
    <xf numFmtId="0" fontId="69" fillId="65" borderId="0" xfId="44" applyFont="1" applyFill="1"/>
    <xf numFmtId="0" fontId="41" fillId="65" borderId="0" xfId="44" applyFont="1" applyFill="1"/>
    <xf numFmtId="0" fontId="76" fillId="0" borderId="0" xfId="0" applyFont="1" applyAlignment="1">
      <alignment horizontal="center" vertical="top"/>
    </xf>
    <xf numFmtId="0" fontId="57" fillId="0" borderId="0" xfId="0" applyFont="1"/>
    <xf numFmtId="0" fontId="30" fillId="0" borderId="0" xfId="0" applyFont="1" applyFill="1"/>
    <xf numFmtId="0" fontId="88" fillId="50" borderId="27" xfId="0" applyFont="1" applyFill="1" applyBorder="1" applyAlignment="1">
      <alignment horizontal="left" wrapText="1" indent="1" readingOrder="1"/>
    </xf>
    <xf numFmtId="0" fontId="88" fillId="0" borderId="27" xfId="0" applyFont="1" applyFill="1" applyBorder="1" applyAlignment="1">
      <alignment horizontal="left" wrapText="1" indent="1" readingOrder="1"/>
    </xf>
    <xf numFmtId="0" fontId="89" fillId="50" borderId="27" xfId="0" applyFont="1" applyFill="1" applyBorder="1" applyAlignment="1">
      <alignment horizontal="left" wrapText="1" indent="1" readingOrder="1"/>
    </xf>
    <xf numFmtId="0" fontId="90" fillId="0" borderId="0" xfId="0" applyFont="1"/>
    <xf numFmtId="164" fontId="90" fillId="0" borderId="0" xfId="1" applyNumberFormat="1" applyFont="1"/>
    <xf numFmtId="175" fontId="87" fillId="0" borderId="0" xfId="11334" applyNumberFormat="1" applyFont="1" applyFill="1" applyBorder="1" applyAlignment="1">
      <alignment horizontal="center"/>
    </xf>
    <xf numFmtId="0" fontId="90" fillId="0" borderId="0" xfId="0" applyFont="1" applyFill="1" applyBorder="1"/>
    <xf numFmtId="165" fontId="54" fillId="0" borderId="28" xfId="2" applyNumberFormat="1" applyFont="1" applyFill="1" applyBorder="1" applyAlignment="1">
      <alignment horizontal="center"/>
    </xf>
    <xf numFmtId="1" fontId="56" fillId="0" borderId="29" xfId="11334" applyNumberFormat="1" applyFont="1" applyFill="1" applyBorder="1" applyAlignment="1">
      <alignment horizontal="center"/>
    </xf>
    <xf numFmtId="165" fontId="54" fillId="0" borderId="29" xfId="2" applyNumberFormat="1" applyFont="1" applyFill="1" applyBorder="1" applyAlignment="1">
      <alignment horizontal="center"/>
    </xf>
    <xf numFmtId="165" fontId="54" fillId="50" borderId="29" xfId="2" applyNumberFormat="1" applyFont="1" applyFill="1" applyBorder="1" applyAlignment="1">
      <alignment horizontal="center"/>
    </xf>
    <xf numFmtId="175" fontId="90" fillId="50" borderId="29" xfId="11334" applyNumberFormat="1" applyFont="1" applyFill="1" applyBorder="1" applyAlignment="1">
      <alignment horizontal="center"/>
    </xf>
    <xf numFmtId="0" fontId="89" fillId="5" borderId="27" xfId="0" applyFont="1" applyFill="1" applyBorder="1" applyAlignment="1">
      <alignment horizontal="left" wrapText="1" indent="1" readingOrder="1"/>
    </xf>
    <xf numFmtId="165" fontId="54" fillId="5" borderId="29" xfId="2" applyNumberFormat="1" applyFont="1" applyFill="1" applyBorder="1" applyAlignment="1">
      <alignment horizontal="center"/>
    </xf>
    <xf numFmtId="0" fontId="88" fillId="5" borderId="27" xfId="0" applyFont="1" applyFill="1" applyBorder="1" applyAlignment="1">
      <alignment horizontal="left" wrapText="1" indent="1" readingOrder="1"/>
    </xf>
    <xf numFmtId="175" fontId="90" fillId="5" borderId="29" xfId="11334" applyNumberFormat="1" applyFont="1" applyFill="1" applyBorder="1" applyAlignment="1">
      <alignment horizontal="center"/>
    </xf>
    <xf numFmtId="0" fontId="58" fillId="5" borderId="27" xfId="0" applyFont="1" applyFill="1" applyBorder="1" applyAlignment="1">
      <alignment horizontal="left" wrapText="1" readingOrder="1"/>
    </xf>
    <xf numFmtId="175" fontId="56" fillId="5" borderId="29" xfId="11334" applyNumberFormat="1" applyFont="1" applyFill="1" applyBorder="1" applyAlignment="1">
      <alignment horizontal="center"/>
    </xf>
    <xf numFmtId="175" fontId="56" fillId="0" borderId="2" xfId="11334" applyNumberFormat="1" applyFont="1" applyFill="1" applyBorder="1" applyAlignment="1">
      <alignment horizontal="center"/>
    </xf>
    <xf numFmtId="175" fontId="56" fillId="0" borderId="28" xfId="11334" applyNumberFormat="1" applyFont="1" applyFill="1" applyBorder="1" applyAlignment="1">
      <alignment horizontal="center"/>
    </xf>
    <xf numFmtId="0" fontId="96" fillId="0" borderId="0" xfId="0" applyFont="1"/>
    <xf numFmtId="169" fontId="50" fillId="0" borderId="14" xfId="11334" applyNumberFormat="1" applyFont="1" applyBorder="1" applyAlignment="1">
      <alignment horizontal="center" vertical="center"/>
    </xf>
    <xf numFmtId="0" fontId="76" fillId="0" borderId="14" xfId="0" applyFont="1" applyBorder="1" applyAlignment="1">
      <alignment vertical="center"/>
    </xf>
    <xf numFmtId="0" fontId="90" fillId="0" borderId="43" xfId="0" applyFont="1" applyFill="1" applyBorder="1" applyAlignment="1">
      <alignment horizontal="left" vertical="center" indent="2"/>
    </xf>
    <xf numFmtId="0" fontId="76" fillId="0" borderId="43" xfId="0" applyFont="1" applyFill="1" applyBorder="1" applyAlignment="1">
      <alignment horizontal="left" vertical="center" indent="1"/>
    </xf>
    <xf numFmtId="0" fontId="76" fillId="0" borderId="14" xfId="0" applyFont="1" applyFill="1" applyBorder="1" applyAlignment="1">
      <alignment horizontal="left" vertical="center" indent="2"/>
    </xf>
    <xf numFmtId="0" fontId="76" fillId="0" borderId="43" xfId="0" applyFont="1" applyBorder="1" applyAlignment="1">
      <alignment horizontal="left" vertical="center" indent="1"/>
    </xf>
    <xf numFmtId="0" fontId="76" fillId="0" borderId="14" xfId="0" applyFont="1" applyFill="1" applyBorder="1" applyAlignment="1">
      <alignment horizontal="left" vertical="center" indent="1"/>
    </xf>
    <xf numFmtId="169" fontId="50" fillId="0" borderId="0" xfId="11334" applyNumberFormat="1" applyFont="1" applyBorder="1" applyAlignment="1">
      <alignment horizontal="center" vertical="center"/>
    </xf>
    <xf numFmtId="0" fontId="64" fillId="0" borderId="0" xfId="0" applyFont="1" applyAlignment="1">
      <alignment vertical="top"/>
    </xf>
    <xf numFmtId="164" fontId="86" fillId="0" borderId="0" xfId="1" applyNumberFormat="1" applyFont="1" applyFill="1" applyBorder="1" applyAlignment="1">
      <alignment horizontal="center"/>
    </xf>
    <xf numFmtId="164" fontId="86" fillId="0" borderId="41" xfId="1" applyNumberFormat="1" applyFont="1" applyFill="1" applyBorder="1" applyAlignment="1">
      <alignment horizontal="center"/>
    </xf>
    <xf numFmtId="1" fontId="56" fillId="5" borderId="29" xfId="11334" applyNumberFormat="1" applyFont="1" applyFill="1" applyBorder="1" applyAlignment="1">
      <alignment horizontal="center"/>
    </xf>
    <xf numFmtId="165" fontId="56" fillId="5" borderId="29" xfId="2" applyNumberFormat="1" applyFont="1" applyFill="1" applyBorder="1" applyAlignment="1">
      <alignment horizontal="center"/>
    </xf>
    <xf numFmtId="165" fontId="50" fillId="5" borderId="26" xfId="2" applyNumberFormat="1" applyFont="1" applyFill="1" applyBorder="1" applyAlignment="1">
      <alignment horizontal="center"/>
    </xf>
    <xf numFmtId="175" fontId="50" fillId="0" borderId="28" xfId="11334" applyNumberFormat="1" applyFont="1" applyFill="1" applyBorder="1" applyAlignment="1">
      <alignment horizontal="center"/>
    </xf>
    <xf numFmtId="0" fontId="95" fillId="54" borderId="14" xfId="0" applyFont="1" applyFill="1" applyBorder="1" applyAlignment="1">
      <alignment vertical="center"/>
    </xf>
    <xf numFmtId="37" fontId="50" fillId="54" borderId="0" xfId="0" applyNumberFormat="1" applyFont="1" applyFill="1" applyBorder="1" applyAlignment="1">
      <alignment horizontal="center" vertical="center"/>
    </xf>
    <xf numFmtId="37" fontId="50" fillId="54" borderId="41" xfId="0" applyNumberFormat="1" applyFont="1" applyFill="1" applyBorder="1" applyAlignment="1">
      <alignment horizontal="center" vertical="center"/>
    </xf>
    <xf numFmtId="167" fontId="50" fillId="54" borderId="0" xfId="11334" applyNumberFormat="1" applyFont="1" applyFill="1" applyBorder="1" applyAlignment="1">
      <alignment horizontal="center" vertical="center"/>
    </xf>
    <xf numFmtId="167" fontId="50" fillId="54" borderId="41" xfId="11334" applyNumberFormat="1" applyFont="1" applyFill="1" applyBorder="1" applyAlignment="1">
      <alignment horizontal="center" vertical="center"/>
    </xf>
    <xf numFmtId="0" fontId="0" fillId="54" borderId="0" xfId="0" applyFill="1" applyBorder="1"/>
    <xf numFmtId="17" fontId="50" fillId="0" borderId="0" xfId="0" applyNumberFormat="1" applyFont="1" applyFill="1" applyBorder="1" applyAlignment="1">
      <alignment horizontal="right"/>
    </xf>
    <xf numFmtId="17" fontId="50" fillId="0" borderId="41" xfId="0" applyNumberFormat="1" applyFont="1" applyFill="1" applyBorder="1" applyAlignment="1">
      <alignment horizontal="right"/>
    </xf>
    <xf numFmtId="0" fontId="58" fillId="0" borderId="44" xfId="0" applyFont="1" applyFill="1" applyBorder="1" applyAlignment="1">
      <alignment horizontal="left" wrapText="1" readingOrder="1"/>
    </xf>
    <xf numFmtId="0" fontId="30" fillId="0" borderId="0" xfId="0" applyFont="1" applyAlignment="1">
      <alignment horizontal="left" indent="1"/>
    </xf>
    <xf numFmtId="0" fontId="4" fillId="0" borderId="0" xfId="0" applyFont="1" applyAlignment="1">
      <alignment horizontal="left" indent="1"/>
    </xf>
    <xf numFmtId="0" fontId="4" fillId="0" borderId="15" xfId="0" applyFont="1" applyBorder="1"/>
    <xf numFmtId="44" fontId="4" fillId="0" borderId="0" xfId="11334" applyFont="1" applyBorder="1"/>
    <xf numFmtId="0" fontId="30" fillId="0" borderId="0" xfId="0" applyFont="1" applyAlignment="1">
      <alignment horizontal="left" indent="2"/>
    </xf>
    <xf numFmtId="0" fontId="98" fillId="0" borderId="0" xfId="0" applyFont="1" applyAlignment="1">
      <alignment horizontal="left" indent="1"/>
    </xf>
    <xf numFmtId="0" fontId="98" fillId="0" borderId="0" xfId="0" applyFont="1"/>
    <xf numFmtId="175" fontId="0" fillId="0" borderId="0" xfId="2" applyNumberFormat="1" applyFont="1"/>
    <xf numFmtId="0" fontId="91" fillId="0" borderId="0" xfId="0" applyFont="1" applyFill="1"/>
    <xf numFmtId="0" fontId="93" fillId="0" borderId="0" xfId="0" applyFont="1" applyFill="1"/>
    <xf numFmtId="0" fontId="92" fillId="0" borderId="0" xfId="0" applyFont="1" applyFill="1"/>
    <xf numFmtId="0" fontId="70" fillId="0" borderId="0" xfId="0" applyFont="1" applyFill="1"/>
    <xf numFmtId="0" fontId="3" fillId="0" borderId="0" xfId="0" applyFont="1" applyFill="1"/>
    <xf numFmtId="0" fontId="94" fillId="0" borderId="0" xfId="0" applyFont="1" applyFill="1"/>
    <xf numFmtId="0" fontId="0" fillId="67" borderId="0" xfId="0" applyFill="1"/>
    <xf numFmtId="17" fontId="99" fillId="66" borderId="18" xfId="0" applyNumberFormat="1" applyFont="1" applyFill="1" applyBorder="1" applyAlignment="1">
      <alignment horizontal="left" vertical="center"/>
    </xf>
    <xf numFmtId="49" fontId="72" fillId="0" borderId="0" xfId="10725" applyNumberFormat="1" applyFont="1"/>
    <xf numFmtId="17" fontId="51" fillId="52" borderId="26" xfId="0" applyNumberFormat="1" applyFont="1" applyFill="1" applyBorder="1" applyAlignment="1">
      <alignment horizontal="center" wrapText="1"/>
    </xf>
    <xf numFmtId="9" fontId="54" fillId="5" borderId="29" xfId="2" applyNumberFormat="1" applyFont="1" applyFill="1" applyBorder="1" applyAlignment="1">
      <alignment horizontal="center"/>
    </xf>
    <xf numFmtId="0" fontId="58" fillId="0" borderId="46" xfId="0" applyFont="1" applyFill="1" applyBorder="1" applyAlignment="1">
      <alignment horizontal="left" wrapText="1" readingOrder="1"/>
    </xf>
    <xf numFmtId="175" fontId="56" fillId="0" borderId="13" xfId="11334" applyNumberFormat="1" applyFont="1" applyFill="1" applyBorder="1" applyAlignment="1">
      <alignment horizontal="center"/>
    </xf>
    <xf numFmtId="0" fontId="58" fillId="5" borderId="45" xfId="0" applyFont="1" applyFill="1" applyBorder="1" applyAlignment="1">
      <alignment horizontal="left" wrapText="1" readingOrder="1"/>
    </xf>
    <xf numFmtId="175" fontId="56" fillId="5" borderId="47" xfId="11334" applyNumberFormat="1" applyFont="1" applyFill="1" applyBorder="1" applyAlignment="1">
      <alignment horizontal="center"/>
    </xf>
    <xf numFmtId="0" fontId="58" fillId="0" borderId="45" xfId="0" applyFont="1" applyFill="1" applyBorder="1" applyAlignment="1">
      <alignment horizontal="left" wrapText="1" readingOrder="1"/>
    </xf>
    <xf numFmtId="175" fontId="56" fillId="0" borderId="47" xfId="11334" applyNumberFormat="1" applyFont="1" applyFill="1" applyBorder="1" applyAlignment="1">
      <alignment horizontal="center"/>
    </xf>
    <xf numFmtId="0" fontId="58" fillId="0" borderId="48" xfId="0" applyFont="1" applyFill="1" applyBorder="1" applyAlignment="1">
      <alignment horizontal="left" wrapText="1" readingOrder="1"/>
    </xf>
    <xf numFmtId="175" fontId="56" fillId="0" borderId="23" xfId="11334" applyNumberFormat="1" applyFont="1" applyFill="1" applyBorder="1" applyAlignment="1">
      <alignment horizontal="center"/>
    </xf>
    <xf numFmtId="175" fontId="100" fillId="50" borderId="29" xfId="11334" applyNumberFormat="1" applyFont="1" applyFill="1" applyBorder="1" applyAlignment="1">
      <alignment horizontal="center"/>
    </xf>
    <xf numFmtId="175" fontId="100" fillId="0" borderId="47" xfId="11334" applyNumberFormat="1" applyFont="1" applyFill="1" applyBorder="1" applyAlignment="1">
      <alignment horizontal="center"/>
    </xf>
    <xf numFmtId="175" fontId="100" fillId="0" borderId="23" xfId="11334" applyNumberFormat="1" applyFont="1" applyFill="1" applyBorder="1" applyAlignment="1">
      <alignment horizontal="center"/>
    </xf>
    <xf numFmtId="165" fontId="101" fillId="0" borderId="29" xfId="2" applyNumberFormat="1" applyFont="1" applyFill="1" applyBorder="1" applyAlignment="1">
      <alignment horizontal="center"/>
    </xf>
    <xf numFmtId="175" fontId="102" fillId="50" borderId="29" xfId="11334" applyNumberFormat="1" applyFont="1" applyFill="1" applyBorder="1" applyAlignment="1">
      <alignment horizontal="center"/>
    </xf>
    <xf numFmtId="175" fontId="102" fillId="5" borderId="29" xfId="11334" applyNumberFormat="1" applyFont="1" applyFill="1" applyBorder="1" applyAlignment="1">
      <alignment horizontal="center"/>
    </xf>
    <xf numFmtId="175" fontId="100" fillId="5" borderId="47" xfId="11334" applyNumberFormat="1" applyFont="1" applyFill="1" applyBorder="1" applyAlignment="1">
      <alignment horizontal="center"/>
    </xf>
    <xf numFmtId="175" fontId="100" fillId="0" borderId="13" xfId="11334" applyNumberFormat="1" applyFont="1" applyFill="1" applyBorder="1" applyAlignment="1">
      <alignment horizontal="center"/>
    </xf>
    <xf numFmtId="175" fontId="100" fillId="0" borderId="0" xfId="11334" applyNumberFormat="1" applyFont="1" applyFill="1" applyBorder="1" applyAlignment="1">
      <alignment horizontal="center"/>
    </xf>
    <xf numFmtId="175" fontId="100" fillId="5" borderId="29" xfId="11334" applyNumberFormat="1" applyFont="1" applyFill="1" applyBorder="1" applyAlignment="1">
      <alignment horizontal="center"/>
    </xf>
    <xf numFmtId="1" fontId="100" fillId="5" borderId="29" xfId="11334" applyNumberFormat="1" applyFont="1" applyFill="1" applyBorder="1" applyAlignment="1">
      <alignment horizontal="center"/>
    </xf>
    <xf numFmtId="165" fontId="100" fillId="5" borderId="29" xfId="2" applyNumberFormat="1" applyFont="1" applyFill="1" applyBorder="1" applyAlignment="1">
      <alignment horizontal="center"/>
    </xf>
    <xf numFmtId="175" fontId="100" fillId="0" borderId="29" xfId="11334" applyNumberFormat="1" applyFont="1" applyFill="1" applyBorder="1" applyAlignment="1">
      <alignment horizontal="center"/>
    </xf>
    <xf numFmtId="6" fontId="51" fillId="65" borderId="26" xfId="0" quotePrefix="1" applyNumberFormat="1" applyFont="1" applyFill="1" applyBorder="1" applyAlignment="1">
      <alignment horizontal="center" wrapText="1"/>
    </xf>
    <xf numFmtId="175" fontId="90" fillId="0" borderId="0" xfId="11334" applyNumberFormat="1" applyFont="1" applyFill="1" applyBorder="1" applyAlignment="1">
      <alignment horizontal="center"/>
    </xf>
    <xf numFmtId="1" fontId="56" fillId="0" borderId="0" xfId="11334" applyNumberFormat="1" applyFont="1" applyFill="1" applyBorder="1" applyAlignment="1">
      <alignment horizontal="center"/>
    </xf>
    <xf numFmtId="165" fontId="56" fillId="0" borderId="0" xfId="2" applyNumberFormat="1" applyFont="1" applyFill="1" applyBorder="1" applyAlignment="1">
      <alignment horizontal="center"/>
    </xf>
    <xf numFmtId="9" fontId="50" fillId="0" borderId="0" xfId="2" applyNumberFormat="1" applyFont="1" applyFill="1" applyBorder="1" applyAlignment="1">
      <alignment horizontal="right" vertical="center"/>
    </xf>
    <xf numFmtId="49" fontId="51" fillId="66" borderId="14" xfId="0" applyNumberFormat="1" applyFont="1" applyFill="1" applyBorder="1" applyAlignment="1">
      <alignment horizontal="center" vertical="center"/>
    </xf>
    <xf numFmtId="175" fontId="50" fillId="0" borderId="0" xfId="11334" applyNumberFormat="1" applyFont="1" applyBorder="1" applyAlignment="1">
      <alignment horizontal="right" vertical="center"/>
    </xf>
    <xf numFmtId="167" fontId="50" fillId="0" borderId="0" xfId="11334" applyNumberFormat="1" applyFont="1" applyFill="1" applyBorder="1" applyAlignment="1">
      <alignment horizontal="right" vertical="center"/>
    </xf>
    <xf numFmtId="44" fontId="0" fillId="46" borderId="0" xfId="11334" applyNumberFormat="1" applyFont="1" applyFill="1"/>
    <xf numFmtId="0" fontId="105" fillId="0" borderId="0" xfId="44" applyFont="1"/>
    <xf numFmtId="168" fontId="7" fillId="0" borderId="0" xfId="44" applyNumberFormat="1" applyFont="1" applyBorder="1"/>
    <xf numFmtId="43" fontId="22" fillId="0" borderId="0" xfId="1" applyFont="1" applyBorder="1"/>
    <xf numFmtId="43" fontId="22" fillId="0" borderId="0" xfId="1" applyNumberFormat="1" applyFont="1" applyBorder="1"/>
    <xf numFmtId="164" fontId="22" fillId="0" borderId="0" xfId="1" applyNumberFormat="1" applyFont="1" applyBorder="1"/>
    <xf numFmtId="0" fontId="22" fillId="0" borderId="0" xfId="44" applyFont="1" applyBorder="1"/>
    <xf numFmtId="164" fontId="22" fillId="0" borderId="0" xfId="44" applyNumberFormat="1" applyFont="1" applyBorder="1"/>
    <xf numFmtId="0" fontId="41" fillId="65" borderId="0" xfId="44" applyFont="1" applyFill="1" applyBorder="1"/>
    <xf numFmtId="175" fontId="56" fillId="0" borderId="49" xfId="11334" applyNumberFormat="1" applyFont="1" applyFill="1" applyBorder="1" applyAlignment="1">
      <alignment horizontal="center"/>
    </xf>
    <xf numFmtId="175" fontId="56" fillId="68" borderId="29" xfId="11334" applyNumberFormat="1" applyFont="1" applyFill="1" applyBorder="1" applyAlignment="1">
      <alignment horizontal="center"/>
    </xf>
    <xf numFmtId="165" fontId="90" fillId="3" borderId="29" xfId="2" applyNumberFormat="1" applyFont="1" applyFill="1" applyBorder="1" applyAlignment="1">
      <alignment horizontal="center"/>
    </xf>
    <xf numFmtId="9" fontId="90" fillId="68" borderId="29" xfId="2" applyFont="1" applyFill="1" applyBorder="1" applyAlignment="1">
      <alignment horizontal="center"/>
    </xf>
    <xf numFmtId="175" fontId="56" fillId="3" borderId="29" xfId="11334" applyNumberFormat="1" applyFont="1" applyFill="1" applyBorder="1" applyAlignment="1">
      <alignment horizontal="center"/>
    </xf>
    <xf numFmtId="165" fontId="54" fillId="3" borderId="29" xfId="2" applyNumberFormat="1" applyFont="1" applyFill="1" applyBorder="1" applyAlignment="1">
      <alignment horizontal="center"/>
    </xf>
    <xf numFmtId="175" fontId="90" fillId="68" borderId="29" xfId="11334" applyNumberFormat="1" applyFont="1" applyFill="1" applyBorder="1" applyAlignment="1">
      <alignment horizontal="center"/>
    </xf>
    <xf numFmtId="175" fontId="90" fillId="3" borderId="29" xfId="11334" applyNumberFormat="1" applyFont="1" applyFill="1" applyBorder="1" applyAlignment="1">
      <alignment horizontal="center"/>
    </xf>
    <xf numFmtId="175" fontId="56" fillId="3" borderId="0" xfId="11334" applyNumberFormat="1" applyFont="1" applyFill="1" applyBorder="1" applyAlignment="1">
      <alignment horizontal="center"/>
    </xf>
    <xf numFmtId="175" fontId="56" fillId="3" borderId="2" xfId="11334" applyNumberFormat="1" applyFont="1" applyFill="1" applyBorder="1" applyAlignment="1">
      <alignment horizontal="center"/>
    </xf>
    <xf numFmtId="1" fontId="56" fillId="3" borderId="29" xfId="11334" applyNumberFormat="1" applyFont="1" applyFill="1" applyBorder="1" applyAlignment="1">
      <alignment horizontal="center"/>
    </xf>
    <xf numFmtId="165" fontId="56" fillId="3" borderId="29" xfId="2" applyNumberFormat="1" applyFont="1" applyFill="1" applyBorder="1" applyAlignment="1">
      <alignment horizontal="center"/>
    </xf>
    <xf numFmtId="188" fontId="0" fillId="0" borderId="0" xfId="0" applyNumberFormat="1"/>
    <xf numFmtId="44" fontId="4" fillId="0" borderId="0" xfId="0" applyNumberFormat="1" applyFont="1" applyBorder="1"/>
    <xf numFmtId="173" fontId="22" fillId="0" borderId="0" xfId="44" applyNumberFormat="1" applyFont="1" applyBorder="1"/>
    <xf numFmtId="173" fontId="22" fillId="0" borderId="0" xfId="44" applyNumberFormat="1" applyBorder="1"/>
    <xf numFmtId="0" fontId="0" fillId="0" borderId="0" xfId="0"/>
    <xf numFmtId="0" fontId="4" fillId="0" borderId="0" xfId="0" applyFont="1"/>
    <xf numFmtId="164" fontId="0" fillId="0" borderId="0" xfId="0" applyNumberFormat="1"/>
    <xf numFmtId="164" fontId="0" fillId="0" borderId="0" xfId="1" applyNumberFormat="1" applyFont="1" applyFill="1"/>
    <xf numFmtId="164" fontId="0" fillId="0" borderId="2" xfId="1" applyNumberFormat="1" applyFont="1" applyFill="1" applyBorder="1"/>
    <xf numFmtId="164" fontId="0" fillId="0" borderId="0" xfId="1" applyNumberFormat="1" applyFont="1"/>
    <xf numFmtId="0" fontId="30" fillId="0" borderId="0" xfId="0" applyFont="1"/>
    <xf numFmtId="164" fontId="4" fillId="0" borderId="20" xfId="1" applyNumberFormat="1" applyFont="1" applyBorder="1"/>
    <xf numFmtId="0" fontId="4" fillId="46" borderId="0" xfId="0" applyFont="1" applyFill="1" applyAlignment="1">
      <alignment horizontal="center"/>
    </xf>
    <xf numFmtId="0" fontId="30" fillId="0" borderId="0" xfId="0" applyFont="1" applyAlignment="1">
      <alignment horizontal="left" indent="1"/>
    </xf>
    <xf numFmtId="166" fontId="4" fillId="46" borderId="0" xfId="1" applyNumberFormat="1" applyFont="1" applyFill="1" applyAlignment="1">
      <alignment horizontal="center"/>
    </xf>
    <xf numFmtId="49" fontId="72" fillId="0" borderId="0" xfId="10725" applyNumberFormat="1" applyFont="1" applyAlignment="1">
      <alignment horizontal="left" indent="1"/>
    </xf>
    <xf numFmtId="49" fontId="106" fillId="0" borderId="0" xfId="10725" applyNumberFormat="1" applyFont="1" applyAlignment="1">
      <alignment horizontal="left"/>
    </xf>
    <xf numFmtId="165" fontId="0" fillId="0" borderId="0" xfId="2" applyNumberFormat="1" applyFont="1"/>
    <xf numFmtId="0" fontId="76" fillId="0" borderId="43" xfId="0" applyFont="1" applyFill="1" applyBorder="1" applyAlignment="1">
      <alignment horizontal="left" vertical="center" indent="3"/>
    </xf>
    <xf numFmtId="0" fontId="90" fillId="0" borderId="43" xfId="0" applyFont="1" applyFill="1" applyBorder="1" applyAlignment="1">
      <alignment horizontal="left" vertical="center" indent="4"/>
    </xf>
    <xf numFmtId="0" fontId="76" fillId="0" borderId="43" xfId="0" applyFont="1" applyBorder="1" applyAlignment="1">
      <alignment horizontal="left" vertical="center" indent="3"/>
    </xf>
    <xf numFmtId="175" fontId="90" fillId="0" borderId="26" xfId="11334" applyNumberFormat="1" applyFont="1" applyFill="1" applyBorder="1" applyAlignment="1">
      <alignment horizontal="center"/>
    </xf>
    <xf numFmtId="175" fontId="90" fillId="0" borderId="29" xfId="11334" applyNumberFormat="1" applyFont="1" applyFill="1" applyBorder="1" applyAlignment="1">
      <alignment horizontal="center"/>
    </xf>
    <xf numFmtId="176" fontId="56" fillId="0" borderId="29" xfId="11334" applyNumberFormat="1" applyFont="1" applyFill="1" applyBorder="1" applyAlignment="1">
      <alignment horizontal="center"/>
    </xf>
    <xf numFmtId="175" fontId="54" fillId="0" borderId="28" xfId="11334" applyNumberFormat="1" applyFont="1" applyFill="1" applyBorder="1" applyAlignment="1">
      <alignment horizontal="center"/>
    </xf>
    <xf numFmtId="1" fontId="50" fillId="0" borderId="28" xfId="11334" applyNumberFormat="1" applyFont="1" applyFill="1" applyBorder="1" applyAlignment="1">
      <alignment horizontal="center"/>
    </xf>
    <xf numFmtId="165" fontId="50" fillId="0" borderId="31" xfId="2" applyNumberFormat="1" applyFont="1" applyFill="1" applyBorder="1" applyAlignment="1">
      <alignment horizontal="center"/>
    </xf>
    <xf numFmtId="175" fontId="56" fillId="0" borderId="52" xfId="11334" applyNumberFormat="1" applyFont="1" applyFill="1" applyBorder="1" applyAlignment="1">
      <alignment horizontal="center"/>
    </xf>
    <xf numFmtId="175" fontId="90" fillId="0" borderId="53" xfId="11334" applyNumberFormat="1" applyFont="1" applyFill="1" applyBorder="1" applyAlignment="1">
      <alignment horizontal="center"/>
    </xf>
    <xf numFmtId="175" fontId="56" fillId="0" borderId="54" xfId="11334" applyNumberFormat="1" applyFont="1" applyFill="1" applyBorder="1" applyAlignment="1">
      <alignment horizontal="center"/>
    </xf>
    <xf numFmtId="175" fontId="56" fillId="0" borderId="55" xfId="11334" applyNumberFormat="1" applyFont="1" applyFill="1" applyBorder="1" applyAlignment="1">
      <alignment horizontal="center"/>
    </xf>
    <xf numFmtId="175" fontId="56" fillId="0" borderId="56" xfId="11334" applyNumberFormat="1" applyFont="1" applyFill="1" applyBorder="1" applyAlignment="1">
      <alignment horizontal="center"/>
    </xf>
    <xf numFmtId="175" fontId="56" fillId="0" borderId="50" xfId="11334" applyNumberFormat="1" applyFont="1" applyFill="1" applyBorder="1" applyAlignment="1">
      <alignment horizontal="center"/>
    </xf>
    <xf numFmtId="175" fontId="56" fillId="0" borderId="51" xfId="11334" applyNumberFormat="1" applyFont="1" applyFill="1" applyBorder="1" applyAlignment="1">
      <alignment horizontal="center"/>
    </xf>
    <xf numFmtId="17" fontId="51" fillId="52" borderId="0" xfId="0" applyNumberFormat="1" applyFont="1" applyFill="1" applyBorder="1" applyAlignment="1">
      <alignment horizontal="center" wrapText="1"/>
    </xf>
    <xf numFmtId="17" fontId="51" fillId="52" borderId="29" xfId="0" applyNumberFormat="1" applyFont="1" applyFill="1" applyBorder="1" applyAlignment="1">
      <alignment horizontal="center" wrapText="1"/>
    </xf>
    <xf numFmtId="168" fontId="22" fillId="63" borderId="0" xfId="44" applyNumberFormat="1" applyFont="1" applyFill="1"/>
    <xf numFmtId="168" fontId="107" fillId="0" borderId="0" xfId="44" applyNumberFormat="1" applyFont="1"/>
    <xf numFmtId="168" fontId="45" fillId="0" borderId="0" xfId="44" applyNumberFormat="1" applyFont="1" applyFill="1" applyBorder="1"/>
    <xf numFmtId="0" fontId="2" fillId="0" borderId="0" xfId="0" applyFont="1"/>
    <xf numFmtId="169" fontId="2" fillId="0" borderId="0" xfId="0" applyNumberFormat="1" applyFont="1"/>
    <xf numFmtId="169" fontId="2" fillId="59" borderId="0" xfId="0" applyNumberFormat="1" applyFont="1" applyFill="1"/>
    <xf numFmtId="169" fontId="2" fillId="0" borderId="0" xfId="11334" applyNumberFormat="1" applyFont="1"/>
    <xf numFmtId="167" fontId="2" fillId="0" borderId="0" xfId="0" applyNumberFormat="1" applyFont="1"/>
    <xf numFmtId="169" fontId="2" fillId="46" borderId="0" xfId="0" applyNumberFormat="1" applyFont="1" applyFill="1"/>
    <xf numFmtId="169" fontId="2" fillId="0" borderId="0" xfId="0" applyNumberFormat="1" applyFont="1" applyFill="1"/>
    <xf numFmtId="0" fontId="20" fillId="0" borderId="0" xfId="0" applyFont="1"/>
    <xf numFmtId="0" fontId="0" fillId="0" borderId="0" xfId="0" applyAlignment="1">
      <alignment wrapText="1"/>
    </xf>
    <xf numFmtId="38" fontId="108" fillId="0" borderId="0" xfId="11334" applyNumberFormat="1" applyFont="1" applyBorder="1" applyAlignment="1">
      <alignment horizontal="left" vertical="center"/>
    </xf>
    <xf numFmtId="4" fontId="109" fillId="0" borderId="0" xfId="0" applyNumberFormat="1" applyFont="1"/>
    <xf numFmtId="3" fontId="109" fillId="0" borderId="0" xfId="0" applyNumberFormat="1" applyFont="1"/>
    <xf numFmtId="169" fontId="50" fillId="0" borderId="0" xfId="11334" applyNumberFormat="1" applyFont="1" applyBorder="1" applyAlignment="1">
      <alignment horizontal="right" vertical="center"/>
    </xf>
    <xf numFmtId="37" fontId="50" fillId="54" borderId="0" xfId="0" applyNumberFormat="1" applyFont="1" applyFill="1" applyBorder="1" applyAlignment="1">
      <alignment horizontal="right" vertical="center"/>
    </xf>
    <xf numFmtId="167" fontId="50" fillId="54" borderId="0" xfId="11334" applyNumberFormat="1" applyFont="1" applyFill="1" applyBorder="1" applyAlignment="1">
      <alignment horizontal="right" vertical="center"/>
    </xf>
    <xf numFmtId="49" fontId="51" fillId="66" borderId="41" xfId="0" applyNumberFormat="1" applyFont="1" applyFill="1" applyBorder="1" applyAlignment="1">
      <alignment horizontal="center" vertical="center"/>
    </xf>
    <xf numFmtId="187" fontId="0" fillId="0" borderId="0" xfId="0" applyNumberFormat="1"/>
    <xf numFmtId="0" fontId="76" fillId="0" borderId="43" xfId="0" applyFont="1" applyBorder="1" applyAlignment="1">
      <alignment horizontal="left" vertical="center" indent="2"/>
    </xf>
    <xf numFmtId="169" fontId="83" fillId="0" borderId="0" xfId="11334" applyNumberFormat="1" applyFont="1" applyBorder="1"/>
    <xf numFmtId="164" fontId="93" fillId="0" borderId="0" xfId="1" applyNumberFormat="1" applyFont="1" applyFill="1"/>
    <xf numFmtId="164" fontId="50" fillId="0" borderId="0" xfId="1" applyNumberFormat="1" applyFont="1" applyFill="1" applyBorder="1" applyAlignment="1">
      <alignment horizontal="right"/>
    </xf>
    <xf numFmtId="0" fontId="1" fillId="0" borderId="0" xfId="0" applyFont="1"/>
    <xf numFmtId="169" fontId="112" fillId="0" borderId="0" xfId="0" applyNumberFormat="1" applyFont="1"/>
    <xf numFmtId="169" fontId="85" fillId="50" borderId="27" xfId="11334" applyNumberFormat="1" applyFont="1" applyFill="1" applyBorder="1" applyAlignment="1">
      <alignment horizontal="left" wrapText="1" readingOrder="1"/>
    </xf>
    <xf numFmtId="169" fontId="83" fillId="0" borderId="0" xfId="11334" applyNumberFormat="1" applyFont="1"/>
    <xf numFmtId="38" fontId="50" fillId="0" borderId="0" xfId="11334" applyNumberFormat="1" applyFont="1" applyBorder="1" applyAlignment="1">
      <alignment horizontal="left" vertical="center"/>
    </xf>
    <xf numFmtId="175" fontId="87" fillId="0" borderId="50" xfId="11334" applyNumberFormat="1" applyFont="1" applyFill="1" applyBorder="1" applyAlignment="1">
      <alignment horizontal="center"/>
    </xf>
    <xf numFmtId="169" fontId="67" fillId="46" borderId="0" xfId="11334" applyNumberFormat="1" applyFont="1" applyFill="1"/>
    <xf numFmtId="9" fontId="67" fillId="46" borderId="0" xfId="0" applyNumberFormat="1" applyFont="1" applyFill="1"/>
    <xf numFmtId="169" fontId="114" fillId="0" borderId="0" xfId="11334" applyNumberFormat="1" applyFont="1"/>
    <xf numFmtId="169" fontId="114" fillId="0" borderId="3" xfId="11334" applyNumberFormat="1" applyFont="1" applyBorder="1"/>
    <xf numFmtId="0" fontId="48" fillId="0" borderId="0" xfId="0" applyFont="1"/>
    <xf numFmtId="0" fontId="0" fillId="64" borderId="0" xfId="0" applyFill="1"/>
    <xf numFmtId="0" fontId="4" fillId="46" borderId="17" xfId="0" applyFont="1" applyFill="1" applyBorder="1"/>
    <xf numFmtId="0" fontId="4" fillId="46" borderId="3" xfId="0" applyFont="1" applyFill="1" applyBorder="1"/>
    <xf numFmtId="0" fontId="48" fillId="0" borderId="0" xfId="0" applyFont="1" applyFill="1"/>
    <xf numFmtId="0" fontId="0" fillId="64" borderId="0" xfId="0" applyFill="1" applyAlignment="1">
      <alignment horizontal="left" indent="1"/>
    </xf>
    <xf numFmtId="0" fontId="111" fillId="0" borderId="0" xfId="0" applyFont="1" applyFill="1"/>
    <xf numFmtId="0" fontId="20" fillId="0" borderId="0" xfId="0" applyFont="1" applyFill="1" applyAlignment="1">
      <alignment horizontal="left" indent="1"/>
    </xf>
    <xf numFmtId="164" fontId="5" fillId="0" borderId="0" xfId="1" applyNumberFormat="1" applyFont="1" applyFill="1" applyAlignment="1">
      <alignment horizontal="center"/>
    </xf>
    <xf numFmtId="10" fontId="0" fillId="0" borderId="0" xfId="2" applyNumberFormat="1" applyFont="1"/>
    <xf numFmtId="10" fontId="0" fillId="64" borderId="0" xfId="2" applyNumberFormat="1" applyFont="1" applyFill="1"/>
    <xf numFmtId="164" fontId="0" fillId="64" borderId="0" xfId="1" applyNumberFormat="1" applyFont="1" applyFill="1"/>
    <xf numFmtId="43" fontId="0" fillId="64" borderId="0" xfId="1" applyFont="1" applyFill="1"/>
    <xf numFmtId="43" fontId="0" fillId="0" borderId="0" xfId="1" applyFont="1" applyFill="1"/>
    <xf numFmtId="10" fontId="0" fillId="0" borderId="0" xfId="2" applyNumberFormat="1" applyFont="1" applyFill="1"/>
    <xf numFmtId="43" fontId="4" fillId="46" borderId="3" xfId="1" applyFont="1" applyFill="1" applyBorder="1"/>
    <xf numFmtId="0" fontId="77" fillId="0" borderId="0" xfId="0" applyFont="1" applyAlignment="1">
      <alignment horizontal="left" indent="1"/>
    </xf>
    <xf numFmtId="181" fontId="0" fillId="0" borderId="0" xfId="0" applyNumberFormat="1"/>
    <xf numFmtId="49" fontId="81" fillId="0" borderId="0" xfId="0" applyNumberFormat="1" applyFont="1"/>
    <xf numFmtId="49" fontId="115" fillId="0" borderId="0" xfId="0" applyNumberFormat="1" applyFont="1"/>
    <xf numFmtId="49" fontId="117" fillId="0" borderId="0" xfId="0" applyNumberFormat="1" applyFont="1" applyAlignment="1">
      <alignment horizontal="left" indent="1"/>
    </xf>
    <xf numFmtId="49" fontId="118" fillId="0" borderId="0" xfId="0" applyNumberFormat="1" applyFont="1"/>
    <xf numFmtId="0" fontId="70" fillId="0" borderId="0" xfId="0" applyFont="1"/>
    <xf numFmtId="0" fontId="118" fillId="0" borderId="0" xfId="0" applyFont="1"/>
    <xf numFmtId="0" fontId="94" fillId="0" borderId="0" xfId="0" applyFont="1" applyAlignment="1">
      <alignment horizontal="left" indent="1"/>
    </xf>
    <xf numFmtId="49" fontId="117" fillId="0" borderId="0" xfId="0" applyNumberFormat="1" applyFont="1" applyAlignment="1">
      <alignment horizontal="left" indent="2"/>
    </xf>
    <xf numFmtId="0" fontId="118" fillId="0" borderId="0" xfId="0" applyFont="1" applyAlignment="1">
      <alignment horizontal="left"/>
    </xf>
    <xf numFmtId="4" fontId="81" fillId="0" borderId="0" xfId="44" applyNumberFormat="1" applyFont="1" applyFill="1"/>
    <xf numFmtId="4" fontId="118" fillId="0" borderId="0" xfId="44" applyNumberFormat="1" applyFont="1" applyFill="1"/>
    <xf numFmtId="4" fontId="1" fillId="0" borderId="0" xfId="11334" applyNumberFormat="1" applyFont="1"/>
    <xf numFmtId="4" fontId="1" fillId="0" borderId="0" xfId="11334" applyNumberFormat="1" applyFont="1" applyBorder="1"/>
    <xf numFmtId="4" fontId="1" fillId="0" borderId="0" xfId="11334" applyNumberFormat="1" applyFont="1" applyFill="1" applyBorder="1"/>
    <xf numFmtId="4" fontId="1" fillId="0" borderId="0" xfId="0" applyNumberFormat="1" applyFont="1" applyBorder="1"/>
    <xf numFmtId="4" fontId="121" fillId="0" borderId="0" xfId="11334" applyNumberFormat="1" applyFont="1"/>
    <xf numFmtId="4" fontId="121" fillId="0" borderId="0" xfId="11334" applyNumberFormat="1" applyFont="1" applyBorder="1"/>
    <xf numFmtId="4" fontId="121" fillId="0" borderId="0" xfId="11334" applyNumberFormat="1" applyFont="1" applyFill="1" applyBorder="1"/>
    <xf numFmtId="4" fontId="121" fillId="0" borderId="0" xfId="0" applyNumberFormat="1" applyFont="1" applyBorder="1"/>
    <xf numFmtId="4" fontId="94" fillId="0" borderId="0" xfId="11334" applyNumberFormat="1" applyFont="1"/>
    <xf numFmtId="4" fontId="122" fillId="0" borderId="0" xfId="11334" applyNumberFormat="1" applyFont="1" applyFill="1" applyBorder="1"/>
    <xf numFmtId="4" fontId="94" fillId="0" borderId="0" xfId="11334" applyNumberFormat="1" applyFont="1" applyBorder="1"/>
    <xf numFmtId="4" fontId="94" fillId="0" borderId="0" xfId="11334" applyNumberFormat="1" applyFont="1" applyFill="1" applyBorder="1"/>
    <xf numFmtId="4" fontId="94" fillId="0" borderId="0" xfId="0" applyNumberFormat="1" applyFont="1" applyBorder="1"/>
    <xf numFmtId="4" fontId="118" fillId="0" borderId="0" xfId="11334" applyNumberFormat="1" applyFont="1"/>
    <xf numFmtId="4" fontId="118" fillId="0" borderId="0" xfId="11334" applyNumberFormat="1" applyFont="1" applyFill="1" applyBorder="1"/>
    <xf numFmtId="4" fontId="118" fillId="0" borderId="0" xfId="11334" applyNumberFormat="1" applyFont="1" applyBorder="1"/>
    <xf numFmtId="4" fontId="70" fillId="0" borderId="0" xfId="11334" applyNumberFormat="1" applyFont="1"/>
    <xf numFmtId="4" fontId="81" fillId="0" borderId="0" xfId="11334" applyNumberFormat="1" applyFont="1" applyFill="1" applyBorder="1"/>
    <xf numFmtId="4" fontId="70" fillId="0" borderId="0" xfId="11334" applyNumberFormat="1" applyFont="1" applyBorder="1"/>
    <xf numFmtId="4" fontId="70" fillId="0" borderId="0" xfId="11334" applyNumberFormat="1" applyFont="1" applyFill="1" applyBorder="1"/>
    <xf numFmtId="4" fontId="70" fillId="0" borderId="0" xfId="0" applyNumberFormat="1" applyFont="1" applyBorder="1"/>
    <xf numFmtId="4" fontId="84" fillId="0" borderId="0" xfId="11334" applyNumberFormat="1" applyFont="1" applyFill="1" applyBorder="1"/>
    <xf numFmtId="4" fontId="123" fillId="0" borderId="0" xfId="11334" applyNumberFormat="1" applyFont="1" applyFill="1" applyBorder="1"/>
    <xf numFmtId="4" fontId="70" fillId="0" borderId="0" xfId="0" applyNumberFormat="1" applyFont="1"/>
    <xf numFmtId="4" fontId="117" fillId="0" borderId="0" xfId="11334" applyNumberFormat="1" applyFont="1" applyFill="1" applyBorder="1"/>
    <xf numFmtId="4" fontId="115" fillId="0" borderId="0" xfId="11334" applyNumberFormat="1" applyFont="1" applyFill="1" applyBorder="1"/>
    <xf numFmtId="49" fontId="116" fillId="58" borderId="0" xfId="0" applyNumberFormat="1" applyFont="1" applyFill="1"/>
    <xf numFmtId="4" fontId="81" fillId="58" borderId="0" xfId="44" applyNumberFormat="1" applyFont="1" applyFill="1"/>
    <xf numFmtId="0" fontId="0" fillId="58" borderId="0" xfId="0" applyFill="1"/>
    <xf numFmtId="49" fontId="116" fillId="58" borderId="0" xfId="0" applyNumberFormat="1" applyFont="1" applyFill="1" applyAlignment="1">
      <alignment horizontal="left"/>
    </xf>
    <xf numFmtId="0" fontId="119" fillId="58" borderId="0" xfId="0" applyFont="1" applyFill="1"/>
    <xf numFmtId="4" fontId="121" fillId="58" borderId="0" xfId="11334" applyNumberFormat="1" applyFont="1" applyFill="1"/>
    <xf numFmtId="4" fontId="121" fillId="58" borderId="0" xfId="11334" applyNumberFormat="1" applyFont="1" applyFill="1" applyBorder="1"/>
    <xf numFmtId="4" fontId="121" fillId="58" borderId="0" xfId="0" applyNumberFormat="1" applyFont="1" applyFill="1" applyBorder="1"/>
    <xf numFmtId="4" fontId="1" fillId="58" borderId="0" xfId="0" applyNumberFormat="1" applyFont="1" applyFill="1" applyBorder="1"/>
    <xf numFmtId="0" fontId="98" fillId="58" borderId="0" xfId="0" applyFont="1" applyFill="1"/>
    <xf numFmtId="0" fontId="120" fillId="58" borderId="0" xfId="0" applyFont="1" applyFill="1"/>
    <xf numFmtId="4" fontId="1" fillId="58" borderId="0" xfId="11334" applyNumberFormat="1" applyFont="1" applyFill="1"/>
    <xf numFmtId="4" fontId="84" fillId="58" borderId="0" xfId="11334" applyNumberFormat="1" applyFont="1" applyFill="1" applyBorder="1"/>
    <xf numFmtId="4" fontId="1" fillId="58" borderId="0" xfId="11334" applyNumberFormat="1" applyFont="1" applyFill="1" applyBorder="1"/>
    <xf numFmtId="4" fontId="123" fillId="58" borderId="0" xfId="11334" applyNumberFormat="1" applyFont="1" applyFill="1" applyBorder="1"/>
    <xf numFmtId="4" fontId="70" fillId="58" borderId="0" xfId="11334" applyNumberFormat="1" applyFont="1" applyFill="1"/>
    <xf numFmtId="4" fontId="81" fillId="58" borderId="0" xfId="11334" applyNumberFormat="1" applyFont="1" applyFill="1" applyBorder="1"/>
    <xf numFmtId="4" fontId="70" fillId="58" borderId="0" xfId="11334" applyNumberFormat="1" applyFont="1" applyFill="1" applyBorder="1"/>
    <xf numFmtId="4" fontId="70" fillId="58" borderId="0" xfId="0" applyNumberFormat="1" applyFont="1" applyFill="1" applyBorder="1"/>
    <xf numFmtId="0" fontId="4" fillId="58" borderId="0" xfId="0" applyFont="1" applyFill="1"/>
    <xf numFmtId="4" fontId="117" fillId="58" borderId="0" xfId="11334" applyNumberFormat="1" applyFont="1" applyFill="1" applyBorder="1"/>
    <xf numFmtId="4" fontId="122" fillId="58" borderId="0" xfId="11334" applyNumberFormat="1" applyFont="1" applyFill="1" applyBorder="1"/>
    <xf numFmtId="4" fontId="84" fillId="0" borderId="0" xfId="11334" applyNumberFormat="1" applyFont="1"/>
    <xf numFmtId="4" fontId="84" fillId="0" borderId="0" xfId="11334" applyNumberFormat="1" applyFont="1" applyBorder="1"/>
    <xf numFmtId="4" fontId="124" fillId="0" borderId="0" xfId="11334" applyNumberFormat="1" applyFont="1" applyFill="1" applyBorder="1"/>
    <xf numFmtId="4" fontId="83" fillId="0" borderId="0" xfId="11334" applyNumberFormat="1" applyFont="1" applyBorder="1"/>
    <xf numFmtId="4" fontId="83" fillId="0" borderId="0" xfId="0" applyNumberFormat="1" applyFont="1"/>
    <xf numFmtId="4" fontId="83" fillId="0" borderId="0" xfId="0" applyNumberFormat="1" applyFont="1" applyBorder="1"/>
    <xf numFmtId="4" fontId="125" fillId="0" borderId="0" xfId="11334" applyNumberFormat="1" applyFont="1" applyFill="1" applyBorder="1"/>
    <xf numFmtId="4" fontId="83" fillId="0" borderId="0" xfId="11334" applyNumberFormat="1" applyFont="1"/>
    <xf numFmtId="4" fontId="85" fillId="0" borderId="0" xfId="11334" applyNumberFormat="1" applyFont="1" applyBorder="1"/>
    <xf numFmtId="4" fontId="83" fillId="0" borderId="0" xfId="11334" applyNumberFormat="1" applyFont="1" applyFill="1" applyBorder="1"/>
    <xf numFmtId="4" fontId="125" fillId="0" borderId="0" xfId="44" applyNumberFormat="1" applyFont="1" applyFill="1" applyBorder="1"/>
    <xf numFmtId="4" fontId="125" fillId="0" borderId="0" xfId="11334" applyNumberFormat="1" applyFont="1" applyFill="1" applyBorder="1" applyAlignment="1">
      <alignment horizontal="left" indent="1"/>
    </xf>
    <xf numFmtId="4" fontId="83" fillId="0" borderId="0" xfId="11334" applyNumberFormat="1" applyFont="1" applyBorder="1" applyAlignment="1">
      <alignment horizontal="left" indent="1"/>
    </xf>
    <xf numFmtId="4" fontId="83" fillId="0" borderId="0" xfId="0" applyNumberFormat="1" applyFont="1" applyBorder="1" applyAlignment="1">
      <alignment horizontal="left" indent="1"/>
    </xf>
    <xf numFmtId="4" fontId="125" fillId="0" borderId="0" xfId="11334" applyNumberFormat="1" applyFont="1" applyFill="1" applyBorder="1" applyAlignment="1">
      <alignment horizontal="left" indent="2"/>
    </xf>
    <xf numFmtId="4" fontId="83" fillId="0" borderId="0" xfId="11334" applyNumberFormat="1" applyFont="1" applyBorder="1" applyAlignment="1">
      <alignment horizontal="left" indent="2"/>
    </xf>
    <xf numFmtId="4" fontId="83" fillId="0" borderId="0" xfId="0" applyNumberFormat="1" applyFont="1" applyBorder="1" applyAlignment="1">
      <alignment horizontal="left" indent="2"/>
    </xf>
    <xf numFmtId="4" fontId="83" fillId="0" borderId="0" xfId="0" applyNumberFormat="1" applyFont="1" applyAlignment="1">
      <alignment horizontal="left" indent="2"/>
    </xf>
    <xf numFmtId="4" fontId="126" fillId="0" borderId="0" xfId="11334" applyNumberFormat="1" applyFont="1" applyBorder="1"/>
    <xf numFmtId="4" fontId="127" fillId="0" borderId="0" xfId="11334" applyNumberFormat="1" applyFont="1" applyFill="1" applyBorder="1"/>
    <xf numFmtId="4" fontId="125" fillId="58" borderId="0" xfId="11334" applyNumberFormat="1" applyFont="1" applyFill="1" applyBorder="1"/>
    <xf numFmtId="4" fontId="83" fillId="58" borderId="0" xfId="11334" applyNumberFormat="1" applyFont="1" applyFill="1" applyBorder="1"/>
    <xf numFmtId="4" fontId="83" fillId="58" borderId="0" xfId="11334" applyNumberFormat="1" applyFont="1" applyFill="1"/>
    <xf numFmtId="4" fontId="83" fillId="58" borderId="0" xfId="0" applyNumberFormat="1" applyFont="1" applyFill="1" applyBorder="1"/>
    <xf numFmtId="0" fontId="30" fillId="58" borderId="0" xfId="0" applyFont="1" applyFill="1"/>
    <xf numFmtId="0" fontId="128" fillId="58" borderId="0" xfId="0" applyFont="1" applyFill="1"/>
    <xf numFmtId="4" fontId="85" fillId="58" borderId="0" xfId="11334" applyNumberFormat="1" applyFont="1" applyFill="1" applyBorder="1"/>
    <xf numFmtId="0" fontId="98" fillId="0" borderId="0" xfId="0" applyFont="1" applyFill="1"/>
    <xf numFmtId="0" fontId="30" fillId="0" borderId="0" xfId="0" applyFont="1" applyFill="1" applyAlignment="1">
      <alignment horizontal="left" indent="1"/>
    </xf>
    <xf numFmtId="0" fontId="30" fillId="0" borderId="0" xfId="0" applyFont="1" applyFill="1" applyAlignment="1">
      <alignment horizontal="left" indent="2"/>
    </xf>
    <xf numFmtId="0" fontId="98" fillId="0" borderId="0" xfId="0" applyFont="1" applyFill="1" applyAlignment="1">
      <alignment horizontal="left" indent="1"/>
    </xf>
    <xf numFmtId="44" fontId="4" fillId="0" borderId="16" xfId="11334" applyFont="1" applyBorder="1"/>
    <xf numFmtId="0" fontId="4" fillId="0" borderId="16" xfId="0" applyFont="1" applyBorder="1"/>
    <xf numFmtId="4" fontId="118" fillId="58" borderId="0" xfId="44" applyNumberFormat="1" applyFont="1" applyFill="1"/>
    <xf numFmtId="0" fontId="30" fillId="58" borderId="0" xfId="0" applyFont="1" applyFill="1" applyAlignment="1">
      <alignment horizontal="left" indent="2"/>
    </xf>
    <xf numFmtId="4" fontId="125" fillId="58" borderId="0" xfId="11334" applyNumberFormat="1" applyFont="1" applyFill="1" applyBorder="1" applyAlignment="1">
      <alignment horizontal="left" indent="2"/>
    </xf>
    <xf numFmtId="4" fontId="83" fillId="58" borderId="0" xfId="11334" applyNumberFormat="1" applyFont="1" applyFill="1" applyBorder="1" applyAlignment="1">
      <alignment horizontal="left" indent="2"/>
    </xf>
    <xf numFmtId="4" fontId="83" fillId="58" borderId="0" xfId="0" applyNumberFormat="1" applyFont="1" applyFill="1" applyBorder="1" applyAlignment="1">
      <alignment horizontal="left" indent="2"/>
    </xf>
    <xf numFmtId="0" fontId="98" fillId="58" borderId="0" xfId="0" applyFont="1" applyFill="1" applyAlignment="1">
      <alignment horizontal="left" indent="1"/>
    </xf>
    <xf numFmtId="4" fontId="125" fillId="58" borderId="0" xfId="11334" applyNumberFormat="1" applyFont="1" applyFill="1" applyBorder="1" applyAlignment="1">
      <alignment horizontal="left" indent="1"/>
    </xf>
    <xf numFmtId="4" fontId="83" fillId="58" borderId="0" xfId="11334" applyNumberFormat="1" applyFont="1" applyFill="1" applyBorder="1" applyAlignment="1">
      <alignment horizontal="left" indent="1"/>
    </xf>
    <xf numFmtId="4" fontId="83" fillId="58" borderId="0" xfId="0" applyNumberFormat="1" applyFont="1" applyFill="1" applyBorder="1" applyAlignment="1">
      <alignment horizontal="left" indent="1"/>
    </xf>
    <xf numFmtId="0" fontId="4" fillId="58" borderId="0" xfId="0" applyFont="1" applyFill="1" applyAlignment="1">
      <alignment horizontal="left" indent="1"/>
    </xf>
    <xf numFmtId="0" fontId="129" fillId="58" borderId="0" xfId="0" applyFont="1" applyFill="1"/>
    <xf numFmtId="4" fontId="126" fillId="58" borderId="0" xfId="11334" applyNumberFormat="1" applyFont="1" applyFill="1" applyBorder="1"/>
    <xf numFmtId="4" fontId="126" fillId="58" borderId="0" xfId="0" applyNumberFormat="1" applyFont="1" applyFill="1" applyBorder="1"/>
    <xf numFmtId="49" fontId="117" fillId="0" borderId="0" xfId="0" applyNumberFormat="1" applyFont="1" applyFill="1" applyAlignment="1">
      <alignment horizontal="left" indent="1"/>
    </xf>
    <xf numFmtId="4" fontId="126" fillId="0" borderId="0" xfId="44" applyNumberFormat="1" applyFont="1" applyFill="1" applyBorder="1"/>
    <xf numFmtId="44" fontId="32" fillId="0" borderId="0" xfId="11334" applyFont="1" applyFill="1" applyBorder="1"/>
    <xf numFmtId="4" fontId="83" fillId="58" borderId="0" xfId="0" applyNumberFormat="1" applyFont="1" applyFill="1"/>
    <xf numFmtId="0" fontId="30" fillId="58" borderId="0" xfId="0" applyFont="1" applyFill="1" applyAlignment="1">
      <alignment horizontal="left" indent="1"/>
    </xf>
    <xf numFmtId="4" fontId="126" fillId="0" borderId="0" xfId="11334" applyNumberFormat="1" applyFont="1" applyFill="1" applyBorder="1"/>
    <xf numFmtId="4" fontId="125" fillId="58" borderId="0" xfId="44" applyNumberFormat="1" applyFont="1" applyFill="1" applyBorder="1"/>
    <xf numFmtId="184" fontId="83" fillId="0" borderId="0" xfId="11334" applyNumberFormat="1" applyFont="1"/>
    <xf numFmtId="173" fontId="22" fillId="0" borderId="0" xfId="44" applyNumberFormat="1"/>
    <xf numFmtId="168" fontId="0" fillId="0" borderId="0" xfId="0" applyNumberFormat="1" applyBorder="1"/>
    <xf numFmtId="9" fontId="0" fillId="0" borderId="0" xfId="2" applyFont="1" applyBorder="1"/>
    <xf numFmtId="173" fontId="24" fillId="0" borderId="0" xfId="44" applyNumberFormat="1" applyFont="1" applyBorder="1" applyAlignment="1"/>
    <xf numFmtId="14" fontId="4" fillId="3" borderId="18" xfId="0" applyNumberFormat="1" applyFont="1" applyFill="1" applyBorder="1"/>
    <xf numFmtId="14" fontId="4" fillId="3" borderId="16" xfId="0" applyNumberFormat="1" applyFont="1" applyFill="1" applyBorder="1"/>
    <xf numFmtId="14" fontId="4" fillId="3" borderId="40" xfId="0" applyNumberFormat="1" applyFont="1" applyFill="1" applyBorder="1"/>
    <xf numFmtId="14" fontId="0" fillId="0" borderId="14" xfId="0" applyNumberFormat="1" applyBorder="1"/>
    <xf numFmtId="14" fontId="4" fillId="0" borderId="0" xfId="0" applyNumberFormat="1" applyFont="1" applyBorder="1"/>
    <xf numFmtId="14" fontId="4" fillId="0" borderId="41" xfId="0" applyNumberFormat="1" applyFont="1" applyBorder="1"/>
    <xf numFmtId="0" fontId="94" fillId="0" borderId="14" xfId="0" applyFont="1" applyBorder="1"/>
    <xf numFmtId="1" fontId="1" fillId="0" borderId="0" xfId="0" applyNumberFormat="1" applyFont="1" applyBorder="1"/>
    <xf numFmtId="1" fontId="1" fillId="0" borderId="41" xfId="0" applyNumberFormat="1" applyFont="1" applyBorder="1"/>
    <xf numFmtId="0" fontId="1" fillId="0" borderId="14" xfId="0" applyFont="1" applyBorder="1"/>
    <xf numFmtId="0" fontId="1" fillId="0" borderId="0" xfId="0" applyFont="1" applyBorder="1"/>
    <xf numFmtId="0" fontId="1" fillId="0" borderId="41" xfId="0" applyFont="1" applyBorder="1"/>
    <xf numFmtId="0" fontId="0" fillId="0" borderId="14" xfId="0" applyBorder="1"/>
    <xf numFmtId="0" fontId="0" fillId="0" borderId="41" xfId="0" applyBorder="1"/>
    <xf numFmtId="0" fontId="130" fillId="3" borderId="58" xfId="0" applyFont="1" applyFill="1" applyBorder="1"/>
    <xf numFmtId="0" fontId="130" fillId="3" borderId="2" xfId="0" applyFont="1" applyFill="1" applyBorder="1"/>
    <xf numFmtId="0" fontId="0" fillId="3" borderId="2" xfId="0" applyFill="1" applyBorder="1"/>
    <xf numFmtId="0" fontId="0" fillId="3" borderId="59" xfId="0" applyFill="1" applyBorder="1"/>
    <xf numFmtId="4" fontId="1" fillId="0" borderId="40" xfId="0" applyNumberFormat="1" applyFont="1" applyBorder="1"/>
    <xf numFmtId="4" fontId="1" fillId="0" borderId="41" xfId="0" applyNumberFormat="1" applyFont="1" applyBorder="1"/>
    <xf numFmtId="0" fontId="114" fillId="0" borderId="18" xfId="0" applyFont="1" applyBorder="1" applyAlignment="1">
      <alignment horizontal="left"/>
    </xf>
    <xf numFmtId="4" fontId="1" fillId="0" borderId="2" xfId="0" applyNumberFormat="1" applyFont="1" applyBorder="1"/>
    <xf numFmtId="0" fontId="114" fillId="0" borderId="14" xfId="0" applyFont="1" applyBorder="1" applyAlignment="1">
      <alignment horizontal="left"/>
    </xf>
    <xf numFmtId="49" fontId="117" fillId="0" borderId="14" xfId="0" applyNumberFormat="1" applyFont="1" applyBorder="1" applyAlignment="1">
      <alignment horizontal="left"/>
    </xf>
    <xf numFmtId="0" fontId="70" fillId="47" borderId="18" xfId="0" applyFont="1" applyFill="1" applyBorder="1"/>
    <xf numFmtId="4" fontId="70" fillId="47" borderId="40" xfId="0" applyNumberFormat="1" applyFont="1" applyFill="1" applyBorder="1"/>
    <xf numFmtId="49" fontId="117" fillId="0" borderId="58" xfId="0" applyNumberFormat="1" applyFont="1" applyBorder="1" applyAlignment="1">
      <alignment horizontal="left"/>
    </xf>
    <xf numFmtId="4" fontId="1" fillId="0" borderId="59" xfId="0" applyNumberFormat="1" applyFont="1" applyBorder="1"/>
    <xf numFmtId="0" fontId="70" fillId="47" borderId="17" xfId="0" applyFont="1" applyFill="1" applyBorder="1"/>
    <xf numFmtId="4" fontId="70" fillId="47" borderId="3" xfId="0" applyNumberFormat="1" applyFont="1" applyFill="1" applyBorder="1"/>
    <xf numFmtId="4" fontId="70" fillId="47" borderId="19" xfId="0" applyNumberFormat="1" applyFont="1" applyFill="1" applyBorder="1"/>
    <xf numFmtId="0" fontId="4" fillId="3" borderId="17" xfId="0" applyFont="1" applyFill="1" applyBorder="1"/>
    <xf numFmtId="0" fontId="4" fillId="3" borderId="3" xfId="0" applyFont="1" applyFill="1" applyBorder="1"/>
    <xf numFmtId="0" fontId="4" fillId="3" borderId="19" xfId="0" applyFont="1" applyFill="1" applyBorder="1"/>
    <xf numFmtId="0" fontId="4" fillId="47" borderId="14" xfId="0" applyFont="1" applyFill="1" applyBorder="1"/>
    <xf numFmtId="0" fontId="0" fillId="47" borderId="0" xfId="0" applyFill="1" applyBorder="1"/>
    <xf numFmtId="1" fontId="0" fillId="47" borderId="0" xfId="0" applyNumberFormat="1" applyFill="1" applyBorder="1" applyAlignment="1">
      <alignment horizontal="left"/>
    </xf>
    <xf numFmtId="1" fontId="0" fillId="47" borderId="41" xfId="0" applyNumberFormat="1" applyFill="1" applyBorder="1"/>
    <xf numFmtId="0" fontId="118" fillId="0" borderId="0" xfId="0" applyFont="1" applyBorder="1"/>
    <xf numFmtId="1" fontId="0" fillId="0" borderId="0" xfId="0" applyNumberFormat="1" applyBorder="1" applyAlignment="1">
      <alignment horizontal="left"/>
    </xf>
    <xf numFmtId="0" fontId="0" fillId="0" borderId="0" xfId="0" applyBorder="1" applyAlignment="1">
      <alignment wrapText="1"/>
    </xf>
    <xf numFmtId="0" fontId="0" fillId="0" borderId="41" xfId="0" applyBorder="1" applyAlignment="1">
      <alignment horizontal="right"/>
    </xf>
    <xf numFmtId="49" fontId="117" fillId="0" borderId="0" xfId="0" applyNumberFormat="1" applyFont="1" applyBorder="1" applyAlignment="1">
      <alignment horizontal="left" indent="1"/>
    </xf>
    <xf numFmtId="0" fontId="4" fillId="0" borderId="14" xfId="0" applyFont="1" applyBorder="1"/>
    <xf numFmtId="0" fontId="118" fillId="0" borderId="0" xfId="0" applyFont="1" applyBorder="1" applyAlignment="1">
      <alignment horizontal="left"/>
    </xf>
    <xf numFmtId="0" fontId="4" fillId="0" borderId="41" xfId="0" applyFont="1" applyBorder="1"/>
    <xf numFmtId="0" fontId="117" fillId="0" borderId="0" xfId="0" applyNumberFormat="1" applyFont="1" applyBorder="1" applyAlignment="1">
      <alignment horizontal="left" indent="1"/>
    </xf>
    <xf numFmtId="49" fontId="117" fillId="0" borderId="0" xfId="0" applyNumberFormat="1" applyFont="1" applyBorder="1" applyAlignment="1">
      <alignment horizontal="left"/>
    </xf>
    <xf numFmtId="3" fontId="0" fillId="0" borderId="0" xfId="0" applyNumberFormat="1" applyBorder="1"/>
    <xf numFmtId="0" fontId="0" fillId="0" borderId="0" xfId="0" applyNumberFormat="1" applyBorder="1" applyAlignment="1">
      <alignment horizontal="left"/>
    </xf>
    <xf numFmtId="0" fontId="0" fillId="47" borderId="41" xfId="0" applyFill="1" applyBorder="1"/>
    <xf numFmtId="0" fontId="0" fillId="0" borderId="58" xfId="0" applyBorder="1"/>
    <xf numFmtId="0" fontId="0" fillId="0" borderId="2" xfId="0" applyBorder="1"/>
    <xf numFmtId="0" fontId="0" fillId="0" borderId="59" xfId="0" applyBorder="1"/>
    <xf numFmtId="49" fontId="117" fillId="47" borderId="0" xfId="0" applyNumberFormat="1" applyFont="1" applyFill="1" applyBorder="1" applyAlignment="1">
      <alignment horizontal="left" indent="1"/>
    </xf>
    <xf numFmtId="1" fontId="0" fillId="47" borderId="0" xfId="0" applyNumberFormat="1" applyFill="1" applyBorder="1" applyAlignment="1">
      <alignment horizontal="right"/>
    </xf>
    <xf numFmtId="49" fontId="131" fillId="0" borderId="0" xfId="0" applyNumberFormat="1" applyFont="1" applyBorder="1" applyAlignment="1">
      <alignment horizontal="left" indent="1"/>
    </xf>
    <xf numFmtId="49" fontId="131" fillId="0" borderId="0" xfId="0" applyNumberFormat="1" applyFont="1" applyBorder="1" applyAlignment="1">
      <alignment horizontal="left"/>
    </xf>
    <xf numFmtId="1" fontId="4" fillId="0" borderId="0" xfId="0" applyNumberFormat="1" applyFont="1" applyBorder="1" applyAlignment="1">
      <alignment horizontal="left"/>
    </xf>
    <xf numFmtId="0" fontId="70" fillId="0" borderId="0" xfId="0" applyFont="1" applyBorder="1" applyAlignment="1">
      <alignment horizontal="left"/>
    </xf>
    <xf numFmtId="0" fontId="7" fillId="0" borderId="14" xfId="0" applyFont="1" applyBorder="1"/>
    <xf numFmtId="0" fontId="70" fillId="0" borderId="0" xfId="0" applyNumberFormat="1" applyFont="1" applyBorder="1" applyAlignment="1">
      <alignment horizontal="left"/>
    </xf>
    <xf numFmtId="0" fontId="132" fillId="0" borderId="0" xfId="0" applyFont="1" applyBorder="1" applyAlignment="1">
      <alignment horizontal="left"/>
    </xf>
    <xf numFmtId="0" fontId="0" fillId="47" borderId="0" xfId="0" applyFill="1" applyBorder="1" applyAlignment="1">
      <alignment horizontal="left"/>
    </xf>
    <xf numFmtId="0" fontId="117" fillId="0" borderId="2" xfId="0" applyNumberFormat="1" applyFont="1" applyBorder="1" applyAlignment="1">
      <alignment horizontal="left" indent="1"/>
    </xf>
    <xf numFmtId="49" fontId="117" fillId="0" borderId="2" xfId="0" applyNumberFormat="1" applyFont="1" applyBorder="1" applyAlignment="1">
      <alignment horizontal="left"/>
    </xf>
    <xf numFmtId="0" fontId="0" fillId="0" borderId="2" xfId="0" applyBorder="1" applyAlignment="1">
      <alignment horizontal="left"/>
    </xf>
    <xf numFmtId="0" fontId="4" fillId="53" borderId="17" xfId="0" applyFont="1" applyFill="1" applyBorder="1"/>
    <xf numFmtId="14" fontId="20" fillId="46" borderId="19" xfId="0" applyNumberFormat="1" applyFont="1" applyFill="1" applyBorder="1"/>
    <xf numFmtId="0" fontId="4" fillId="53" borderId="16" xfId="0" applyFont="1" applyFill="1" applyBorder="1"/>
    <xf numFmtId="14" fontId="4" fillId="53" borderId="16" xfId="0" applyNumberFormat="1" applyFont="1" applyFill="1" applyBorder="1"/>
    <xf numFmtId="0" fontId="4" fillId="53" borderId="2" xfId="0" applyFont="1" applyFill="1" applyBorder="1"/>
    <xf numFmtId="14" fontId="4" fillId="53" borderId="2" xfId="0" applyNumberFormat="1" applyFont="1" applyFill="1" applyBorder="1"/>
    <xf numFmtId="0" fontId="0" fillId="0" borderId="60" xfId="0" applyFont="1" applyFill="1" applyBorder="1"/>
    <xf numFmtId="14" fontId="0" fillId="0" borderId="60" xfId="0" applyNumberFormat="1" applyFont="1" applyFill="1" applyBorder="1"/>
    <xf numFmtId="9" fontId="0" fillId="0" borderId="60" xfId="2" applyFont="1" applyFill="1" applyBorder="1"/>
    <xf numFmtId="37" fontId="0" fillId="0" borderId="60" xfId="11334" applyNumberFormat="1" applyFont="1" applyFill="1" applyBorder="1"/>
    <xf numFmtId="0" fontId="0" fillId="0" borderId="61" xfId="0" applyFont="1" applyFill="1" applyBorder="1"/>
    <xf numFmtId="37" fontId="0" fillId="0" borderId="0" xfId="0" applyNumberFormat="1"/>
    <xf numFmtId="9" fontId="0" fillId="0" borderId="62" xfId="2" applyFont="1" applyFill="1" applyBorder="1"/>
    <xf numFmtId="164" fontId="0" fillId="0" borderId="0" xfId="1" applyNumberFormat="1" applyFont="1" applyFill="1" applyAlignment="1">
      <alignment horizontal="left" indent="1"/>
    </xf>
    <xf numFmtId="0" fontId="0" fillId="0" borderId="18" xfId="0" applyBorder="1"/>
    <xf numFmtId="0" fontId="0" fillId="0" borderId="40" xfId="0" applyBorder="1"/>
    <xf numFmtId="49" fontId="131" fillId="0" borderId="14" xfId="0" applyNumberFormat="1" applyFont="1" applyBorder="1" applyAlignment="1">
      <alignment horizontal="left"/>
    </xf>
    <xf numFmtId="0" fontId="130" fillId="3" borderId="17" xfId="0" applyFont="1" applyFill="1" applyBorder="1"/>
    <xf numFmtId="4" fontId="130" fillId="3" borderId="3" xfId="0" applyNumberFormat="1" applyFont="1" applyFill="1" applyBorder="1"/>
    <xf numFmtId="4" fontId="130" fillId="3" borderId="19" xfId="0" applyNumberFormat="1" applyFont="1" applyFill="1" applyBorder="1"/>
    <xf numFmtId="0" fontId="130" fillId="3" borderId="3" xfId="0" applyFont="1" applyFill="1" applyBorder="1"/>
    <xf numFmtId="0" fontId="0" fillId="3" borderId="3" xfId="0" applyFill="1" applyBorder="1"/>
    <xf numFmtId="0" fontId="0" fillId="3" borderId="19" xfId="0" applyFill="1" applyBorder="1"/>
    <xf numFmtId="14" fontId="4" fillId="46" borderId="1" xfId="0" applyNumberFormat="1" applyFont="1" applyFill="1" applyBorder="1"/>
    <xf numFmtId="0" fontId="0" fillId="3" borderId="0" xfId="0" applyFill="1"/>
    <xf numFmtId="0" fontId="32" fillId="3" borderId="3" xfId="44" applyFont="1" applyFill="1" applyBorder="1"/>
    <xf numFmtId="4" fontId="125" fillId="3" borderId="3" xfId="44" applyNumberFormat="1" applyFont="1" applyFill="1" applyBorder="1"/>
    <xf numFmtId="17" fontId="4" fillId="3" borderId="3" xfId="0" applyNumberFormat="1" applyFont="1" applyFill="1" applyBorder="1" applyAlignment="1">
      <alignment horizontal="center"/>
    </xf>
    <xf numFmtId="4" fontId="83" fillId="3" borderId="15" xfId="11334" applyNumberFormat="1" applyFont="1" applyFill="1" applyBorder="1"/>
    <xf numFmtId="4" fontId="82" fillId="3" borderId="15" xfId="0" applyNumberFormat="1" applyFont="1" applyFill="1" applyBorder="1"/>
    <xf numFmtId="0" fontId="4" fillId="0" borderId="15" xfId="0" applyFont="1" applyFill="1" applyBorder="1"/>
    <xf numFmtId="0" fontId="0" fillId="3" borderId="15" xfId="0" applyFill="1" applyBorder="1"/>
    <xf numFmtId="0" fontId="4" fillId="3" borderId="15" xfId="0" applyFont="1" applyFill="1" applyBorder="1"/>
    <xf numFmtId="4" fontId="82" fillId="3" borderId="15" xfId="11334" applyNumberFormat="1" applyFont="1" applyFill="1" applyBorder="1"/>
    <xf numFmtId="0" fontId="4" fillId="47" borderId="17" xfId="0" applyFont="1" applyFill="1" applyBorder="1"/>
    <xf numFmtId="4" fontId="4" fillId="47" borderId="3" xfId="0" applyNumberFormat="1" applyFont="1" applyFill="1" applyBorder="1"/>
    <xf numFmtId="0" fontId="48" fillId="0" borderId="0" xfId="44" applyFont="1" applyFill="1"/>
    <xf numFmtId="4" fontId="0" fillId="0" borderId="0" xfId="0" applyNumberFormat="1" applyFill="1"/>
    <xf numFmtId="4" fontId="49" fillId="0" borderId="0" xfId="0" applyNumberFormat="1" applyFont="1"/>
    <xf numFmtId="4" fontId="4" fillId="0" borderId="0" xfId="1" applyNumberFormat="1" applyFont="1" applyFill="1" applyBorder="1"/>
    <xf numFmtId="4" fontId="61" fillId="0" borderId="0" xfId="0" applyNumberFormat="1" applyFont="1" applyFill="1" applyBorder="1"/>
    <xf numFmtId="4" fontId="47" fillId="0" borderId="0" xfId="0" applyNumberFormat="1" applyFont="1"/>
    <xf numFmtId="4" fontId="5" fillId="0" borderId="0" xfId="1" applyNumberFormat="1" applyFont="1" applyFill="1" applyBorder="1"/>
    <xf numFmtId="4" fontId="0" fillId="0" borderId="0" xfId="0" applyNumberFormat="1" applyFont="1" applyFill="1"/>
    <xf numFmtId="0" fontId="33" fillId="0" borderId="0" xfId="44" applyFont="1" applyFill="1" applyAlignment="1">
      <alignment horizontal="left" wrapText="1" indent="1"/>
    </xf>
    <xf numFmtId="0" fontId="0" fillId="0" borderId="0" xfId="0" applyFont="1" applyAlignment="1">
      <alignment horizontal="left" indent="1"/>
    </xf>
    <xf numFmtId="4" fontId="0" fillId="0" borderId="0" xfId="0" applyNumberFormat="1" applyFont="1"/>
    <xf numFmtId="4" fontId="75" fillId="0" borderId="0" xfId="0" applyNumberFormat="1" applyFont="1" applyFill="1" applyBorder="1" applyAlignment="1" applyProtection="1">
      <alignment horizontal="right"/>
    </xf>
    <xf numFmtId="4" fontId="134" fillId="0" borderId="0" xfId="0" applyNumberFormat="1" applyFont="1" applyFill="1" applyBorder="1" applyAlignment="1" applyProtection="1">
      <alignment horizontal="right"/>
    </xf>
    <xf numFmtId="4" fontId="33" fillId="0" borderId="0" xfId="0" applyNumberFormat="1" applyFont="1"/>
    <xf numFmtId="4" fontId="33" fillId="0" borderId="0" xfId="0" applyNumberFormat="1" applyFont="1" applyBorder="1"/>
    <xf numFmtId="4" fontId="33" fillId="0" borderId="0" xfId="0" applyNumberFormat="1" applyFont="1" applyFill="1"/>
    <xf numFmtId="0" fontId="33" fillId="0" borderId="0" xfId="0" applyFont="1" applyFill="1"/>
    <xf numFmtId="0" fontId="34" fillId="47" borderId="16" xfId="0" applyFont="1" applyFill="1" applyBorder="1" applyAlignment="1">
      <alignment horizontal="left"/>
    </xf>
    <xf numFmtId="0" fontId="118" fillId="47" borderId="15" xfId="0" applyFont="1" applyFill="1" applyBorder="1"/>
    <xf numFmtId="4" fontId="70" fillId="47" borderId="15" xfId="0" applyNumberFormat="1" applyFont="1" applyFill="1" applyBorder="1"/>
    <xf numFmtId="4" fontId="81" fillId="47" borderId="15" xfId="44" applyNumberFormat="1" applyFont="1" applyFill="1" applyBorder="1"/>
    <xf numFmtId="0" fontId="34" fillId="3" borderId="3" xfId="0" applyFont="1" applyFill="1" applyBorder="1" applyAlignment="1">
      <alignment horizontal="left"/>
    </xf>
    <xf numFmtId="174" fontId="135" fillId="47" borderId="16" xfId="0" applyNumberFormat="1" applyFont="1" applyFill="1" applyBorder="1"/>
    <xf numFmtId="174" fontId="135" fillId="47" borderId="16" xfId="10725" applyNumberFormat="1" applyFont="1" applyFill="1" applyBorder="1"/>
    <xf numFmtId="0" fontId="4" fillId="47" borderId="16" xfId="0" applyFont="1" applyFill="1" applyBorder="1"/>
    <xf numFmtId="0" fontId="33" fillId="0" borderId="0" xfId="0" applyFont="1"/>
    <xf numFmtId="174" fontId="135" fillId="47" borderId="3" xfId="0" applyNumberFormat="1" applyFont="1" applyFill="1" applyBorder="1"/>
    <xf numFmtId="174" fontId="135" fillId="47" borderId="3" xfId="10725" applyNumberFormat="1" applyFont="1" applyFill="1" applyBorder="1"/>
    <xf numFmtId="0" fontId="4" fillId="47" borderId="3" xfId="0" applyFont="1" applyFill="1" applyBorder="1"/>
    <xf numFmtId="0" fontId="33" fillId="47" borderId="0" xfId="0" applyFont="1" applyFill="1"/>
    <xf numFmtId="0" fontId="33" fillId="58" borderId="0" xfId="0" applyFont="1" applyFill="1"/>
    <xf numFmtId="49" fontId="48" fillId="0" borderId="0" xfId="10725" applyNumberFormat="1" applyFont="1" applyFill="1"/>
    <xf numFmtId="49" fontId="34" fillId="0" borderId="0" xfId="10725" applyNumberFormat="1" applyFont="1" applyFill="1"/>
    <xf numFmtId="49" fontId="34" fillId="47" borderId="0" xfId="10725" applyNumberFormat="1" applyFont="1" applyFill="1"/>
    <xf numFmtId="49" fontId="34" fillId="58" borderId="0" xfId="10725" applyNumberFormat="1" applyFont="1" applyFill="1"/>
    <xf numFmtId="49" fontId="135" fillId="0" borderId="0" xfId="10725" applyNumberFormat="1" applyFont="1"/>
    <xf numFmtId="0" fontId="5" fillId="0" borderId="0" xfId="0" applyFont="1"/>
    <xf numFmtId="49" fontId="135" fillId="58" borderId="0" xfId="10725" applyNumberFormat="1" applyFont="1" applyFill="1"/>
    <xf numFmtId="0" fontId="135" fillId="0" borderId="0" xfId="10725" applyNumberFormat="1" applyFont="1"/>
    <xf numFmtId="49" fontId="135" fillId="58" borderId="16" xfId="10725" applyNumberFormat="1" applyFont="1" applyFill="1" applyBorder="1"/>
    <xf numFmtId="49" fontId="135" fillId="58" borderId="3" xfId="10725" applyNumberFormat="1" applyFont="1" applyFill="1" applyBorder="1"/>
    <xf numFmtId="174" fontId="136" fillId="58" borderId="3" xfId="0" applyNumberFormat="1" applyFont="1" applyFill="1" applyBorder="1"/>
    <xf numFmtId="49" fontId="34" fillId="0" borderId="0" xfId="10725" applyNumberFormat="1" applyFont="1"/>
    <xf numFmtId="49" fontId="19" fillId="0" borderId="0" xfId="10725" applyNumberFormat="1" applyFont="1" applyFill="1"/>
    <xf numFmtId="49" fontId="135" fillId="0" borderId="0" xfId="10725" applyNumberFormat="1" applyFont="1" applyFill="1"/>
    <xf numFmtId="0" fontId="5" fillId="0" borderId="0" xfId="0" applyFont="1" applyFill="1"/>
    <xf numFmtId="0" fontId="135" fillId="0" borderId="0" xfId="10725" applyNumberFormat="1" applyFont="1" applyFill="1"/>
    <xf numFmtId="49" fontId="135" fillId="0" borderId="0" xfId="10725" applyNumberFormat="1" applyFont="1" applyBorder="1"/>
    <xf numFmtId="4" fontId="135" fillId="0" borderId="0" xfId="10725" applyNumberFormat="1" applyFont="1"/>
    <xf numFmtId="4" fontId="135" fillId="0" borderId="0" xfId="0" applyNumberFormat="1" applyFont="1" applyBorder="1"/>
    <xf numFmtId="4" fontId="19" fillId="0" borderId="0" xfId="10725" applyNumberFormat="1" applyFont="1" applyFill="1"/>
    <xf numFmtId="4" fontId="135" fillId="0" borderId="0" xfId="10725" applyNumberFormat="1" applyFont="1" applyFill="1"/>
    <xf numFmtId="4" fontId="135" fillId="0" borderId="0" xfId="10725" quotePrefix="1" applyNumberFormat="1" applyFont="1"/>
    <xf numFmtId="0" fontId="0" fillId="58" borderId="0" xfId="0" applyFont="1" applyFill="1"/>
    <xf numFmtId="2" fontId="0" fillId="0" borderId="0" xfId="0" applyNumberFormat="1" applyFont="1"/>
    <xf numFmtId="174" fontId="133" fillId="0" borderId="0" xfId="0" applyNumberFormat="1" applyFont="1"/>
    <xf numFmtId="174" fontId="133" fillId="0" borderId="0" xfId="10725" applyNumberFormat="1" applyFont="1"/>
    <xf numFmtId="49" fontId="133" fillId="0" borderId="0" xfId="0" applyNumberFormat="1" applyFont="1"/>
    <xf numFmtId="174" fontId="133" fillId="0" borderId="0" xfId="0" applyNumberFormat="1" applyFont="1" applyBorder="1"/>
    <xf numFmtId="174" fontId="133" fillId="0" borderId="0" xfId="10725" applyNumberFormat="1" applyFont="1" applyBorder="1"/>
    <xf numFmtId="174" fontId="133" fillId="58" borderId="0" xfId="10725" applyNumberFormat="1" applyFont="1" applyFill="1"/>
    <xf numFmtId="174" fontId="33" fillId="0" borderId="0" xfId="10725" applyNumberFormat="1" applyFont="1" applyFill="1"/>
    <xf numFmtId="174" fontId="135" fillId="58" borderId="16" xfId="0" applyNumberFormat="1" applyFont="1" applyFill="1" applyBorder="1"/>
    <xf numFmtId="174" fontId="135" fillId="0" borderId="0" xfId="0" applyNumberFormat="1" applyFont="1" applyBorder="1"/>
    <xf numFmtId="174" fontId="135" fillId="58" borderId="3" xfId="0" applyNumberFormat="1" applyFont="1" applyFill="1" applyBorder="1"/>
    <xf numFmtId="174" fontId="133" fillId="0" borderId="0" xfId="0" applyNumberFormat="1" applyFont="1" applyFill="1" applyBorder="1"/>
    <xf numFmtId="0" fontId="0" fillId="0" borderId="0" xfId="0" applyFont="1" applyBorder="1"/>
    <xf numFmtId="174" fontId="133" fillId="0" borderId="0" xfId="10725" applyNumberFormat="1" applyFont="1" applyFill="1" applyBorder="1"/>
    <xf numFmtId="174" fontId="0" fillId="0" borderId="0" xfId="0" applyNumberFormat="1" applyFont="1" applyFill="1"/>
    <xf numFmtId="14" fontId="0" fillId="0" borderId="0" xfId="0" applyNumberFormat="1" applyFont="1" applyBorder="1"/>
    <xf numFmtId="0" fontId="0" fillId="58" borderId="16" xfId="0" applyFont="1" applyFill="1" applyBorder="1"/>
    <xf numFmtId="0" fontId="0" fillId="58" borderId="3" xfId="0" applyFont="1" applyFill="1" applyBorder="1"/>
    <xf numFmtId="0" fontId="0" fillId="47" borderId="3" xfId="0" applyFont="1" applyFill="1" applyBorder="1"/>
    <xf numFmtId="4" fontId="6" fillId="0" borderId="0" xfId="0" applyNumberFormat="1" applyFont="1" applyFill="1"/>
    <xf numFmtId="0" fontId="0" fillId="47" borderId="16" xfId="0" applyFont="1" applyFill="1" applyBorder="1"/>
    <xf numFmtId="4" fontId="34" fillId="3" borderId="15" xfId="10725" applyNumberFormat="1" applyFont="1" applyFill="1" applyBorder="1"/>
    <xf numFmtId="4" fontId="34" fillId="3" borderId="15" xfId="0" applyNumberFormat="1" applyFont="1" applyFill="1" applyBorder="1"/>
    <xf numFmtId="4" fontId="33" fillId="3" borderId="15" xfId="0" applyNumberFormat="1" applyFont="1" applyFill="1" applyBorder="1"/>
    <xf numFmtId="0" fontId="5" fillId="0" borderId="16" xfId="0" applyFont="1" applyFill="1" applyBorder="1"/>
    <xf numFmtId="0" fontId="5" fillId="0" borderId="0" xfId="0" applyFont="1" applyFill="1" applyBorder="1"/>
    <xf numFmtId="0" fontId="33" fillId="0" borderId="0" xfId="0" applyFont="1" applyFill="1" applyBorder="1"/>
    <xf numFmtId="49" fontId="135" fillId="0" borderId="0" xfId="10725" applyNumberFormat="1" applyFont="1" applyFill="1" applyBorder="1"/>
    <xf numFmtId="4" fontId="33" fillId="0" borderId="0" xfId="0" applyNumberFormat="1" applyFont="1" applyFill="1" applyBorder="1"/>
    <xf numFmtId="4" fontId="0" fillId="0" borderId="0" xfId="0" applyNumberFormat="1" applyFont="1" applyFill="1" applyBorder="1"/>
    <xf numFmtId="4" fontId="34" fillId="0" borderId="0" xfId="10725" applyNumberFormat="1" applyFont="1"/>
    <xf numFmtId="4" fontId="33" fillId="0" borderId="0" xfId="10725" applyNumberFormat="1" applyFont="1"/>
    <xf numFmtId="4" fontId="34" fillId="0" borderId="0" xfId="10725" applyNumberFormat="1" applyFont="1" applyFill="1"/>
    <xf numFmtId="4" fontId="33" fillId="0" borderId="0" xfId="10725" applyNumberFormat="1" applyFont="1" applyFill="1"/>
    <xf numFmtId="4" fontId="33" fillId="0" borderId="0" xfId="10725" applyNumberFormat="1" applyFont="1" applyBorder="1"/>
    <xf numFmtId="4" fontId="34" fillId="0" borderId="0" xfId="10725" applyNumberFormat="1" applyFont="1" applyBorder="1"/>
    <xf numFmtId="4" fontId="34" fillId="0" borderId="16" xfId="10725" applyNumberFormat="1" applyFont="1" applyBorder="1"/>
    <xf numFmtId="4" fontId="33" fillId="0" borderId="16" xfId="0" applyNumberFormat="1" applyFont="1" applyBorder="1"/>
    <xf numFmtId="4" fontId="33" fillId="0" borderId="16" xfId="0" applyNumberFormat="1" applyFont="1" applyFill="1" applyBorder="1"/>
    <xf numFmtId="174" fontId="133" fillId="58" borderId="16" xfId="10725" applyNumberFormat="1" applyFont="1" applyFill="1" applyBorder="1"/>
    <xf numFmtId="4" fontId="33" fillId="0" borderId="0" xfId="10725" applyNumberFormat="1" applyFont="1" applyFill="1" applyBorder="1"/>
    <xf numFmtId="49" fontId="135" fillId="58" borderId="0" xfId="10725" applyNumberFormat="1" applyFont="1" applyFill="1" applyBorder="1"/>
    <xf numFmtId="174" fontId="135" fillId="58" borderId="0" xfId="0" applyNumberFormat="1" applyFont="1" applyFill="1" applyBorder="1"/>
    <xf numFmtId="0" fontId="0" fillId="58" borderId="0" xfId="0" applyFont="1" applyFill="1" applyBorder="1"/>
    <xf numFmtId="49" fontId="133" fillId="0" borderId="0" xfId="10725" applyNumberFormat="1" applyFont="1"/>
    <xf numFmtId="0" fontId="133" fillId="0" borderId="0" xfId="10725" applyNumberFormat="1" applyFont="1"/>
    <xf numFmtId="4" fontId="84" fillId="0" borderId="40" xfId="0" applyNumberFormat="1" applyFont="1" applyBorder="1"/>
    <xf numFmtId="17" fontId="0" fillId="0" borderId="0" xfId="0" applyNumberFormat="1"/>
    <xf numFmtId="1" fontId="0" fillId="0" borderId="0" xfId="0" applyNumberFormat="1" applyAlignment="1">
      <alignment horizontal="left"/>
    </xf>
    <xf numFmtId="0" fontId="30" fillId="0" borderId="2" xfId="0" applyFont="1" applyBorder="1"/>
    <xf numFmtId="0" fontId="33" fillId="3" borderId="0" xfId="0" applyFont="1" applyFill="1"/>
    <xf numFmtId="0" fontId="33" fillId="0" borderId="0" xfId="44" applyFont="1" applyFill="1" applyAlignment="1">
      <alignment horizontal="left" indent="1"/>
    </xf>
    <xf numFmtId="17" fontId="0" fillId="0" borderId="0" xfId="0" applyNumberFormat="1" applyFont="1" applyFill="1" applyAlignment="1">
      <alignment horizontal="center"/>
    </xf>
    <xf numFmtId="0" fontId="34" fillId="3" borderId="0" xfId="0" applyFont="1" applyFill="1"/>
    <xf numFmtId="0" fontId="0" fillId="0" borderId="0" xfId="0" applyFont="1" applyAlignment="1">
      <alignment horizontal="left" indent="2"/>
    </xf>
    <xf numFmtId="0" fontId="0" fillId="0" borderId="0" xfId="0" applyFont="1" applyBorder="1" applyAlignment="1">
      <alignment horizontal="left" indent="2"/>
    </xf>
    <xf numFmtId="0" fontId="0" fillId="0" borderId="0" xfId="0" applyFont="1" applyFill="1" applyAlignment="1">
      <alignment horizontal="left" indent="2"/>
    </xf>
    <xf numFmtId="0" fontId="0" fillId="0" borderId="0" xfId="0" applyFont="1" applyFill="1" applyBorder="1" applyAlignment="1">
      <alignment horizontal="left" indent="2"/>
    </xf>
    <xf numFmtId="164" fontId="0" fillId="0" borderId="0" xfId="0" applyNumberFormat="1" applyFont="1"/>
    <xf numFmtId="43" fontId="0" fillId="0" borderId="0" xfId="0" applyNumberFormat="1" applyFont="1"/>
    <xf numFmtId="0" fontId="33" fillId="0" borderId="0" xfId="0" applyFont="1" applyFill="1" applyBorder="1" applyAlignment="1">
      <alignment horizontal="left" indent="1"/>
    </xf>
    <xf numFmtId="0" fontId="0" fillId="0" borderId="0" xfId="0" applyBorder="1" applyAlignment="1">
      <alignment horizontal="left" indent="1"/>
    </xf>
    <xf numFmtId="0" fontId="32" fillId="0" borderId="0" xfId="44" applyFont="1" applyFill="1"/>
    <xf numFmtId="4" fontId="84" fillId="0" borderId="0" xfId="0" applyNumberFormat="1" applyFont="1" applyBorder="1"/>
    <xf numFmtId="4" fontId="84" fillId="0" borderId="41" xfId="0" applyNumberFormat="1" applyFont="1" applyBorder="1"/>
    <xf numFmtId="0" fontId="0" fillId="0" borderId="13" xfId="0" applyFont="1" applyBorder="1" applyAlignment="1">
      <alignment horizontal="left" indent="1"/>
    </xf>
    <xf numFmtId="0" fontId="0" fillId="0" borderId="0" xfId="0" applyFont="1" applyFill="1" applyAlignment="1">
      <alignment horizontal="left" indent="1"/>
    </xf>
    <xf numFmtId="4" fontId="4" fillId="47" borderId="16" xfId="0" applyNumberFormat="1" applyFont="1" applyFill="1" applyBorder="1"/>
    <xf numFmtId="4" fontId="34" fillId="47" borderId="16" xfId="44" applyNumberFormat="1" applyFont="1" applyFill="1" applyBorder="1"/>
    <xf numFmtId="0" fontId="34" fillId="47" borderId="16" xfId="0" applyFont="1" applyFill="1" applyBorder="1"/>
    <xf numFmtId="0" fontId="34" fillId="0" borderId="0" xfId="0" applyFont="1"/>
    <xf numFmtId="17" fontId="4" fillId="3" borderId="3" xfId="0" applyNumberFormat="1" applyFont="1" applyFill="1" applyBorder="1" applyAlignment="1"/>
    <xf numFmtId="0" fontId="34" fillId="0" borderId="0" xfId="0" applyFont="1" applyFill="1"/>
    <xf numFmtId="0" fontId="34" fillId="0" borderId="0" xfId="0" applyFont="1" applyFill="1" applyBorder="1"/>
    <xf numFmtId="4" fontId="4" fillId="0" borderId="0" xfId="0" applyNumberFormat="1" applyFont="1" applyFill="1" applyBorder="1"/>
    <xf numFmtId="4" fontId="34" fillId="0" borderId="0" xfId="44" applyNumberFormat="1" applyFont="1" applyFill="1" applyBorder="1"/>
    <xf numFmtId="174" fontId="49" fillId="0" borderId="0" xfId="0" applyNumberFormat="1" applyFont="1" applyBorder="1"/>
    <xf numFmtId="168" fontId="22" fillId="0" borderId="2" xfId="44" applyNumberFormat="1" applyFont="1" applyBorder="1"/>
    <xf numFmtId="168" fontId="22" fillId="0" borderId="0" xfId="44" applyNumberFormat="1" applyFont="1" applyFill="1" applyBorder="1"/>
    <xf numFmtId="169" fontId="126" fillId="50" borderId="27" xfId="11334" applyNumberFormat="1" applyFont="1" applyFill="1" applyBorder="1" applyAlignment="1">
      <alignment horizontal="left" wrapText="1" readingOrder="1"/>
    </xf>
    <xf numFmtId="169" fontId="137" fillId="0" borderId="0" xfId="0" applyNumberFormat="1" applyFont="1"/>
    <xf numFmtId="43" fontId="56" fillId="0" borderId="29" xfId="1" applyFont="1" applyFill="1" applyBorder="1" applyAlignment="1">
      <alignment horizontal="center"/>
    </xf>
    <xf numFmtId="190" fontId="0" fillId="0" borderId="0" xfId="0" applyNumberFormat="1" applyFill="1"/>
    <xf numFmtId="9" fontId="54" fillId="0" borderId="0" xfId="2" applyNumberFormat="1" applyFont="1" applyFill="1" applyBorder="1" applyAlignment="1">
      <alignment horizontal="right"/>
    </xf>
    <xf numFmtId="164" fontId="50" fillId="0" borderId="0" xfId="1" applyNumberFormat="1" applyFont="1" applyFill="1" applyBorder="1" applyAlignment="1">
      <alignment horizontal="right"/>
    </xf>
    <xf numFmtId="164" fontId="86" fillId="47" borderId="0" xfId="1" applyNumberFormat="1" applyFont="1" applyFill="1" applyBorder="1" applyAlignment="1">
      <alignment horizontal="center"/>
    </xf>
    <xf numFmtId="167" fontId="50" fillId="47" borderId="0" xfId="11334" applyNumberFormat="1" applyFont="1" applyFill="1" applyBorder="1" applyAlignment="1">
      <alignment horizontal="center" vertical="center"/>
    </xf>
    <xf numFmtId="189" fontId="50" fillId="47" borderId="0" xfId="11334" applyNumberFormat="1" applyFont="1" applyFill="1" applyBorder="1" applyAlignment="1">
      <alignment horizontal="center" vertical="center"/>
    </xf>
    <xf numFmtId="167" fontId="50" fillId="47" borderId="42" xfId="11334" applyNumberFormat="1" applyFont="1" applyFill="1" applyBorder="1" applyAlignment="1">
      <alignment horizontal="right" vertical="center"/>
    </xf>
    <xf numFmtId="9" fontId="50" fillId="47" borderId="42" xfId="2" applyNumberFormat="1" applyFont="1" applyFill="1" applyBorder="1" applyAlignment="1">
      <alignment horizontal="right" vertical="center"/>
    </xf>
    <xf numFmtId="167" fontId="110" fillId="47" borderId="0" xfId="11334" applyNumberFormat="1" applyFont="1" applyFill="1" applyBorder="1" applyAlignment="1">
      <alignment horizontal="center" vertical="center"/>
    </xf>
    <xf numFmtId="9" fontId="50" fillId="47" borderId="0" xfId="2" applyNumberFormat="1" applyFont="1" applyFill="1" applyBorder="1" applyAlignment="1">
      <alignment horizontal="center" vertical="center"/>
    </xf>
    <xf numFmtId="9" fontId="54" fillId="47" borderId="0" xfId="2" applyFont="1" applyFill="1" applyBorder="1" applyAlignment="1">
      <alignment horizontal="center" vertical="center"/>
    </xf>
    <xf numFmtId="164" fontId="86" fillId="47" borderId="0" xfId="1" applyNumberFormat="1" applyFont="1" applyFill="1" applyBorder="1" applyAlignment="1"/>
    <xf numFmtId="9" fontId="54" fillId="0" borderId="41" xfId="2" applyNumberFormat="1" applyFont="1" applyFill="1" applyBorder="1" applyAlignment="1">
      <alignment horizontal="right"/>
    </xf>
    <xf numFmtId="164" fontId="50" fillId="0" borderId="0" xfId="0" applyNumberFormat="1" applyFont="1" applyFill="1" applyBorder="1" applyAlignment="1">
      <alignment horizontal="right"/>
    </xf>
    <xf numFmtId="39" fontId="0" fillId="0" borderId="0" xfId="1" applyNumberFormat="1" applyFont="1" applyFill="1"/>
    <xf numFmtId="164" fontId="50" fillId="0" borderId="41" xfId="0" applyNumberFormat="1" applyFont="1" applyFill="1" applyBorder="1" applyAlignment="1">
      <alignment horizontal="right"/>
    </xf>
    <xf numFmtId="165" fontId="54" fillId="0" borderId="0" xfId="2" applyNumberFormat="1" applyFont="1" applyFill="1" applyBorder="1" applyAlignment="1">
      <alignment horizontal="right"/>
    </xf>
    <xf numFmtId="9" fontId="0" fillId="0" borderId="61" xfId="2" applyFont="1" applyFill="1" applyBorder="1"/>
    <xf numFmtId="174" fontId="49" fillId="0" borderId="23" xfId="0" applyNumberFormat="1" applyFont="1" applyBorder="1"/>
    <xf numFmtId="49" fontId="138" fillId="0" borderId="0" xfId="0" applyNumberFormat="1" applyFont="1"/>
    <xf numFmtId="164" fontId="86" fillId="47" borderId="0" xfId="1" applyNumberFormat="1" applyFont="1" applyFill="1" applyBorder="1" applyAlignment="1">
      <alignment horizontal="right"/>
    </xf>
    <xf numFmtId="9" fontId="54" fillId="47" borderId="0" xfId="2" applyNumberFormat="1" applyFont="1" applyFill="1" applyBorder="1" applyAlignment="1">
      <alignment horizontal="right"/>
    </xf>
    <xf numFmtId="164" fontId="50" fillId="47" borderId="0" xfId="1" applyNumberFormat="1" applyFont="1" applyFill="1" applyBorder="1" applyAlignment="1">
      <alignment horizontal="right"/>
    </xf>
    <xf numFmtId="165" fontId="54" fillId="47" borderId="0" xfId="2" applyNumberFormat="1" applyFont="1" applyFill="1" applyBorder="1" applyAlignment="1">
      <alignment horizontal="right"/>
    </xf>
    <xf numFmtId="167" fontId="50" fillId="47" borderId="0" xfId="11334" applyNumberFormat="1" applyFont="1" applyFill="1" applyBorder="1" applyAlignment="1">
      <alignment horizontal="right" vertical="center"/>
    </xf>
    <xf numFmtId="49" fontId="51" fillId="66" borderId="0" xfId="0" applyNumberFormat="1" applyFont="1" applyFill="1" applyBorder="1" applyAlignment="1">
      <alignment horizontal="center" vertical="center"/>
    </xf>
    <xf numFmtId="9" fontId="50" fillId="47" borderId="0" xfId="2" applyNumberFormat="1" applyFont="1" applyFill="1" applyBorder="1" applyAlignment="1">
      <alignment horizontal="right" vertical="center"/>
    </xf>
    <xf numFmtId="189" fontId="50" fillId="47" borderId="0" xfId="11334" applyNumberFormat="1" applyFont="1" applyFill="1" applyBorder="1" applyAlignment="1">
      <alignment horizontal="right" vertical="center"/>
    </xf>
    <xf numFmtId="176" fontId="56" fillId="0" borderId="56" xfId="11334" applyNumberFormat="1" applyFont="1" applyFill="1" applyBorder="1" applyAlignment="1">
      <alignment horizontal="center"/>
    </xf>
    <xf numFmtId="176" fontId="56" fillId="0" borderId="28" xfId="11334" applyNumberFormat="1" applyFont="1" applyFill="1" applyBorder="1" applyAlignment="1">
      <alignment horizontal="center"/>
    </xf>
    <xf numFmtId="176" fontId="56" fillId="0" borderId="54" xfId="11334" applyNumberFormat="1" applyFont="1" applyFill="1" applyBorder="1" applyAlignment="1">
      <alignment horizontal="center"/>
    </xf>
    <xf numFmtId="176" fontId="57" fillId="0" borderId="29" xfId="11334" applyNumberFormat="1" applyFont="1" applyFill="1" applyBorder="1" applyAlignment="1">
      <alignment horizontal="center"/>
    </xf>
    <xf numFmtId="176" fontId="56" fillId="68" borderId="29" xfId="11334" applyNumberFormat="1" applyFont="1" applyFill="1" applyBorder="1" applyAlignment="1">
      <alignment horizontal="center"/>
    </xf>
    <xf numFmtId="176" fontId="56" fillId="0" borderId="50" xfId="11334" applyNumberFormat="1" applyFont="1" applyFill="1" applyBorder="1" applyAlignment="1">
      <alignment horizontal="center"/>
    </xf>
    <xf numFmtId="6" fontId="139" fillId="52" borderId="63" xfId="0" quotePrefix="1" applyNumberFormat="1" applyFont="1" applyFill="1" applyBorder="1" applyAlignment="1">
      <alignment horizontal="left"/>
    </xf>
    <xf numFmtId="0" fontId="51" fillId="52" borderId="64" xfId="0" applyFont="1" applyFill="1" applyBorder="1" applyAlignment="1">
      <alignment horizontal="center" wrapText="1"/>
    </xf>
    <xf numFmtId="0" fontId="51" fillId="3" borderId="64" xfId="0" applyFont="1" applyFill="1" applyBorder="1" applyAlignment="1">
      <alignment horizontal="center" wrapText="1"/>
    </xf>
    <xf numFmtId="0" fontId="51" fillId="52" borderId="65" xfId="0" applyFont="1" applyFill="1" applyBorder="1" applyAlignment="1">
      <alignment horizontal="center" wrapText="1"/>
    </xf>
    <xf numFmtId="0" fontId="51" fillId="52" borderId="66" xfId="0" applyFont="1" applyFill="1" applyBorder="1" applyAlignment="1">
      <alignment horizontal="center" wrapText="1"/>
    </xf>
    <xf numFmtId="0" fontId="58" fillId="0" borderId="67" xfId="0" applyFont="1" applyFill="1" applyBorder="1" applyAlignment="1">
      <alignment horizontal="left" wrapText="1" readingOrder="1"/>
    </xf>
    <xf numFmtId="175" fontId="56" fillId="0" borderId="68" xfId="11334" applyNumberFormat="1" applyFont="1" applyFill="1" applyBorder="1" applyAlignment="1">
      <alignment horizontal="center"/>
    </xf>
    <xf numFmtId="0" fontId="88" fillId="0" borderId="67" xfId="0" applyFont="1" applyFill="1" applyBorder="1" applyAlignment="1">
      <alignment horizontal="left" wrapText="1" indent="1" readingOrder="1"/>
    </xf>
    <xf numFmtId="175" fontId="56" fillId="0" borderId="69" xfId="11334" applyNumberFormat="1" applyFont="1" applyFill="1" applyBorder="1" applyAlignment="1">
      <alignment horizontal="center"/>
    </xf>
    <xf numFmtId="0" fontId="89" fillId="0" borderId="67" xfId="0" applyFont="1" applyFill="1" applyBorder="1" applyAlignment="1">
      <alignment horizontal="left" wrapText="1" indent="1" readingOrder="1"/>
    </xf>
    <xf numFmtId="165" fontId="54" fillId="0" borderId="70" xfId="2" applyNumberFormat="1" applyFont="1" applyFill="1" applyBorder="1" applyAlignment="1">
      <alignment horizontal="center"/>
    </xf>
    <xf numFmtId="175" fontId="56" fillId="0" borderId="70" xfId="11334" applyNumberFormat="1" applyFont="1" applyFill="1" applyBorder="1" applyAlignment="1">
      <alignment horizontal="center"/>
    </xf>
    <xf numFmtId="175" fontId="54" fillId="0" borderId="70" xfId="11334" applyNumberFormat="1" applyFont="1" applyFill="1" applyBorder="1" applyAlignment="1">
      <alignment horizontal="center"/>
    </xf>
    <xf numFmtId="175" fontId="56" fillId="0" borderId="72" xfId="11334" applyNumberFormat="1" applyFont="1" applyFill="1" applyBorder="1" applyAlignment="1">
      <alignment horizontal="center"/>
    </xf>
    <xf numFmtId="0" fontId="58" fillId="0" borderId="73" xfId="0" applyFont="1" applyFill="1" applyBorder="1" applyAlignment="1">
      <alignment horizontal="left" wrapText="1" readingOrder="1"/>
    </xf>
    <xf numFmtId="175" fontId="56" fillId="0" borderId="74" xfId="11334" applyNumberFormat="1" applyFont="1" applyFill="1" applyBorder="1" applyAlignment="1">
      <alignment horizontal="center"/>
    </xf>
    <xf numFmtId="1" fontId="50" fillId="0" borderId="70" xfId="11334" applyNumberFormat="1" applyFont="1" applyFill="1" applyBorder="1" applyAlignment="1">
      <alignment horizontal="center"/>
    </xf>
    <xf numFmtId="175" fontId="50" fillId="0" borderId="70" xfId="11334" applyNumberFormat="1" applyFont="1" applyFill="1" applyBorder="1" applyAlignment="1">
      <alignment horizontal="center"/>
    </xf>
    <xf numFmtId="165" fontId="50" fillId="0" borderId="70" xfId="2" applyNumberFormat="1" applyFont="1" applyFill="1" applyBorder="1" applyAlignment="1">
      <alignment horizontal="center"/>
    </xf>
    <xf numFmtId="165" fontId="50" fillId="0" borderId="75" xfId="2" applyNumberFormat="1" applyFont="1" applyFill="1" applyBorder="1" applyAlignment="1">
      <alignment horizontal="center"/>
    </xf>
    <xf numFmtId="0" fontId="58" fillId="0" borderId="76" xfId="0" applyFont="1" applyFill="1" applyBorder="1" applyAlignment="1">
      <alignment horizontal="left" wrapText="1" readingOrder="1"/>
    </xf>
    <xf numFmtId="165" fontId="56" fillId="0" borderId="77" xfId="2" applyNumberFormat="1" applyFont="1" applyFill="1" applyBorder="1" applyAlignment="1">
      <alignment horizontal="center"/>
    </xf>
    <xf numFmtId="1" fontId="56" fillId="0" borderId="77" xfId="11334" applyNumberFormat="1" applyFont="1" applyFill="1" applyBorder="1" applyAlignment="1">
      <alignment horizontal="center"/>
    </xf>
    <xf numFmtId="1" fontId="56" fillId="3" borderId="77" xfId="11334" applyNumberFormat="1" applyFont="1" applyFill="1" applyBorder="1" applyAlignment="1">
      <alignment horizontal="center"/>
    </xf>
    <xf numFmtId="165" fontId="50" fillId="0" borderId="78" xfId="2" applyNumberFormat="1" applyFont="1" applyFill="1" applyBorder="1" applyAlignment="1">
      <alignment horizontal="center"/>
    </xf>
    <xf numFmtId="165" fontId="50" fillId="0" borderId="79" xfId="2" applyNumberFormat="1" applyFont="1" applyFill="1" applyBorder="1" applyAlignment="1">
      <alignment horizontal="center"/>
    </xf>
    <xf numFmtId="9" fontId="140" fillId="0" borderId="0" xfId="2" applyNumberFormat="1" applyFont="1" applyFill="1" applyBorder="1" applyAlignment="1">
      <alignment horizontal="right"/>
    </xf>
    <xf numFmtId="165" fontId="30" fillId="0" borderId="0" xfId="2" applyNumberFormat="1" applyFont="1" applyFill="1" applyBorder="1" applyAlignment="1">
      <alignment horizontal="right"/>
    </xf>
    <xf numFmtId="167" fontId="110" fillId="0" borderId="0" xfId="11334" applyNumberFormat="1" applyFont="1" applyFill="1" applyBorder="1" applyAlignment="1">
      <alignment horizontal="right" vertical="center"/>
    </xf>
    <xf numFmtId="164" fontId="50" fillId="0" borderId="41" xfId="1" applyNumberFormat="1" applyFont="1" applyFill="1" applyBorder="1" applyAlignment="1">
      <alignment horizontal="right"/>
    </xf>
    <xf numFmtId="165" fontId="54" fillId="0" borderId="41" xfId="2" applyNumberFormat="1" applyFont="1" applyFill="1" applyBorder="1" applyAlignment="1">
      <alignment horizontal="right"/>
    </xf>
    <xf numFmtId="169" fontId="50" fillId="0" borderId="41" xfId="11334" applyNumberFormat="1" applyFont="1" applyBorder="1" applyAlignment="1">
      <alignment horizontal="center" vertical="center"/>
    </xf>
    <xf numFmtId="167" fontId="50" fillId="0" borderId="41" xfId="11334" applyNumberFormat="1" applyFont="1" applyFill="1" applyBorder="1" applyAlignment="1">
      <alignment horizontal="right" vertical="center"/>
    </xf>
    <xf numFmtId="9" fontId="140" fillId="0" borderId="41" xfId="2" applyNumberFormat="1" applyFont="1" applyFill="1" applyBorder="1" applyAlignment="1">
      <alignment horizontal="right"/>
    </xf>
    <xf numFmtId="167" fontId="111" fillId="0" borderId="41" xfId="11334" applyNumberFormat="1" applyFont="1" applyFill="1" applyBorder="1" applyAlignment="1">
      <alignment horizontal="right" vertical="center"/>
    </xf>
    <xf numFmtId="9" fontId="50" fillId="0" borderId="41" xfId="2" applyNumberFormat="1" applyFont="1" applyFill="1" applyBorder="1" applyAlignment="1">
      <alignment horizontal="right" vertical="center"/>
    </xf>
    <xf numFmtId="167" fontId="50" fillId="58" borderId="0" xfId="11334" applyNumberFormat="1" applyFont="1" applyFill="1" applyBorder="1" applyAlignment="1">
      <alignment horizontal="center" vertical="center"/>
    </xf>
    <xf numFmtId="167" fontId="50" fillId="58" borderId="41" xfId="11334" applyNumberFormat="1" applyFont="1" applyFill="1" applyBorder="1" applyAlignment="1">
      <alignment horizontal="center" vertical="center"/>
    </xf>
    <xf numFmtId="9" fontId="54" fillId="58" borderId="0" xfId="2" applyFont="1" applyFill="1" applyBorder="1" applyAlignment="1">
      <alignment horizontal="center" vertical="center"/>
    </xf>
    <xf numFmtId="164" fontId="111" fillId="58" borderId="0" xfId="0" applyNumberFormat="1" applyFont="1" applyFill="1" applyBorder="1" applyAlignment="1">
      <alignment horizontal="right"/>
    </xf>
    <xf numFmtId="9" fontId="54" fillId="58" borderId="0" xfId="2" applyNumberFormat="1" applyFont="1" applyFill="1" applyBorder="1" applyAlignment="1">
      <alignment horizontal="right"/>
    </xf>
    <xf numFmtId="164" fontId="110" fillId="47" borderId="0" xfId="1" applyNumberFormat="1" applyFont="1" applyFill="1" applyBorder="1" applyAlignment="1">
      <alignment horizontal="right"/>
    </xf>
    <xf numFmtId="0" fontId="0" fillId="54" borderId="0" xfId="0" applyFill="1" applyBorder="1" applyAlignment="1">
      <alignment horizontal="right"/>
    </xf>
    <xf numFmtId="175" fontId="50" fillId="47" borderId="0" xfId="11334" applyNumberFormat="1" applyFont="1" applyFill="1" applyBorder="1" applyAlignment="1">
      <alignment horizontal="right" vertical="center"/>
    </xf>
    <xf numFmtId="165" fontId="50" fillId="0" borderId="77" xfId="2" applyNumberFormat="1" applyFont="1" applyFill="1" applyBorder="1" applyAlignment="1">
      <alignment horizontal="center"/>
    </xf>
    <xf numFmtId="0" fontId="58" fillId="0" borderId="80" xfId="0" applyFont="1" applyFill="1" applyBorder="1" applyAlignment="1">
      <alignment horizontal="left" wrapText="1" readingOrder="1"/>
    </xf>
    <xf numFmtId="165" fontId="90" fillId="0" borderId="81" xfId="2" applyNumberFormat="1" applyFont="1" applyFill="1" applyBorder="1" applyAlignment="1">
      <alignment horizontal="center"/>
    </xf>
    <xf numFmtId="165" fontId="54" fillId="0" borderId="81" xfId="2" applyNumberFormat="1" applyFont="1" applyFill="1" applyBorder="1" applyAlignment="1">
      <alignment horizontal="center"/>
    </xf>
    <xf numFmtId="1" fontId="56" fillId="0" borderId="81" xfId="11334" applyNumberFormat="1" applyFont="1" applyFill="1" applyBorder="1" applyAlignment="1">
      <alignment horizontal="center"/>
    </xf>
    <xf numFmtId="1" fontId="56" fillId="3" borderId="81" xfId="11334" applyNumberFormat="1" applyFont="1" applyFill="1" applyBorder="1" applyAlignment="1">
      <alignment horizontal="center"/>
    </xf>
    <xf numFmtId="165" fontId="30" fillId="47" borderId="0" xfId="2" applyNumberFormat="1" applyFont="1" applyFill="1" applyBorder="1" applyAlignment="1">
      <alignment horizontal="right"/>
    </xf>
    <xf numFmtId="0" fontId="0" fillId="0" borderId="0" xfId="0" applyFill="1" applyBorder="1" applyAlignment="1">
      <alignment horizontal="right"/>
    </xf>
    <xf numFmtId="164" fontId="111" fillId="58" borderId="41" xfId="0" applyNumberFormat="1" applyFont="1" applyFill="1" applyBorder="1" applyAlignment="1">
      <alignment horizontal="right"/>
    </xf>
    <xf numFmtId="9" fontId="54" fillId="58" borderId="41" xfId="2" applyNumberFormat="1" applyFont="1" applyFill="1" applyBorder="1" applyAlignment="1">
      <alignment horizontal="right"/>
    </xf>
    <xf numFmtId="167" fontId="110" fillId="0" borderId="41" xfId="11334" applyNumberFormat="1" applyFont="1" applyFill="1" applyBorder="1" applyAlignment="1">
      <alignment horizontal="right" vertical="center"/>
    </xf>
    <xf numFmtId="9" fontId="50" fillId="58" borderId="41" xfId="2" applyNumberFormat="1" applyFont="1" applyFill="1" applyBorder="1" applyAlignment="1">
      <alignment horizontal="center" vertical="center"/>
    </xf>
    <xf numFmtId="0" fontId="0" fillId="54" borderId="41" xfId="0" applyFill="1" applyBorder="1"/>
    <xf numFmtId="175" fontId="50" fillId="0" borderId="41" xfId="11334" applyNumberFormat="1" applyFont="1" applyFill="1" applyBorder="1" applyAlignment="1">
      <alignment horizontal="right" vertical="center"/>
    </xf>
    <xf numFmtId="0" fontId="4" fillId="54" borderId="58" xfId="0" applyFont="1" applyFill="1" applyBorder="1"/>
    <xf numFmtId="43" fontId="0" fillId="54" borderId="2" xfId="1" applyFont="1" applyFill="1" applyBorder="1"/>
    <xf numFmtId="9" fontId="0" fillId="54" borderId="2" xfId="2" applyFont="1" applyFill="1" applyBorder="1"/>
    <xf numFmtId="0" fontId="0" fillId="54" borderId="59" xfId="0" applyFill="1" applyBorder="1"/>
    <xf numFmtId="167" fontId="50" fillId="47" borderId="0" xfId="11334" applyNumberFormat="1" applyFont="1" applyFill="1" applyBorder="1" applyAlignment="1">
      <alignment horizontal="right" vertical="center"/>
    </xf>
    <xf numFmtId="9" fontId="54" fillId="47" borderId="0" xfId="2" applyNumberFormat="1" applyFont="1" applyFill="1" applyBorder="1" applyAlignment="1">
      <alignment horizontal="right"/>
    </xf>
    <xf numFmtId="9" fontId="50" fillId="47" borderId="0" xfId="2" applyNumberFormat="1" applyFont="1" applyFill="1" applyBorder="1" applyAlignment="1">
      <alignment horizontal="right" vertical="center"/>
    </xf>
    <xf numFmtId="189" fontId="50" fillId="47" borderId="0" xfId="11334" applyNumberFormat="1" applyFont="1" applyFill="1" applyBorder="1" applyAlignment="1">
      <alignment horizontal="right" vertical="center"/>
    </xf>
    <xf numFmtId="167" fontId="110" fillId="47" borderId="0" xfId="11334" applyNumberFormat="1" applyFont="1" applyFill="1" applyBorder="1" applyAlignment="1">
      <alignment horizontal="right" vertical="center"/>
    </xf>
    <xf numFmtId="9" fontId="54" fillId="47" borderId="0" xfId="2" applyFont="1" applyFill="1" applyBorder="1" applyAlignment="1">
      <alignment horizontal="right" vertical="center"/>
    </xf>
    <xf numFmtId="167" fontId="50" fillId="58" borderId="41" xfId="11334" applyNumberFormat="1" applyFont="1" applyFill="1" applyBorder="1" applyAlignment="1">
      <alignment horizontal="right" vertical="center"/>
    </xf>
    <xf numFmtId="9" fontId="141" fillId="0" borderId="0" xfId="2" applyNumberFormat="1" applyFont="1" applyFill="1" applyBorder="1" applyAlignment="1">
      <alignment horizontal="right"/>
    </xf>
    <xf numFmtId="9" fontId="141" fillId="0" borderId="41" xfId="2" applyNumberFormat="1" applyFont="1" applyFill="1" applyBorder="1" applyAlignment="1">
      <alignment horizontal="right"/>
    </xf>
    <xf numFmtId="14" fontId="0" fillId="0" borderId="58" xfId="0" applyNumberFormat="1" applyBorder="1"/>
    <xf numFmtId="14" fontId="0" fillId="0" borderId="2" xfId="0" applyNumberFormat="1" applyBorder="1"/>
    <xf numFmtId="14" fontId="4" fillId="0" borderId="2" xfId="0" applyNumberFormat="1" applyFont="1" applyBorder="1"/>
    <xf numFmtId="14" fontId="4" fillId="0" borderId="59" xfId="0" applyNumberFormat="1" applyFont="1" applyBorder="1"/>
    <xf numFmtId="10" fontId="0" fillId="47" borderId="0" xfId="2" applyNumberFormat="1" applyFont="1" applyFill="1"/>
    <xf numFmtId="164" fontId="0" fillId="47" borderId="0" xfId="1" applyNumberFormat="1" applyFont="1" applyFill="1" applyAlignment="1">
      <alignment horizontal="left" indent="1"/>
    </xf>
    <xf numFmtId="164" fontId="5" fillId="47" borderId="0" xfId="1" applyNumberFormat="1" applyFont="1" applyFill="1" applyAlignment="1">
      <alignment horizontal="center"/>
    </xf>
    <xf numFmtId="4" fontId="0" fillId="47" borderId="0" xfId="0" applyNumberFormat="1" applyFill="1"/>
    <xf numFmtId="43" fontId="0" fillId="47" borderId="0" xfId="1" applyFont="1" applyFill="1"/>
    <xf numFmtId="39" fontId="0" fillId="47" borderId="0" xfId="1" applyNumberFormat="1" applyFont="1" applyFill="1"/>
    <xf numFmtId="14" fontId="4" fillId="3" borderId="3" xfId="0" applyNumberFormat="1" applyFont="1" applyFill="1" applyBorder="1" applyAlignment="1">
      <alignment horizontal="center"/>
    </xf>
    <xf numFmtId="0" fontId="33" fillId="0" borderId="0" xfId="44" applyFont="1" applyFill="1" applyAlignment="1">
      <alignment horizontal="left" wrapText="1" indent="3"/>
    </xf>
    <xf numFmtId="4" fontId="5" fillId="47" borderId="0" xfId="1" applyNumberFormat="1" applyFont="1" applyFill="1" applyBorder="1"/>
    <xf numFmtId="4" fontId="61" fillId="47" borderId="0" xfId="0" applyNumberFormat="1" applyFont="1" applyFill="1" applyBorder="1"/>
    <xf numFmtId="0" fontId="34" fillId="58" borderId="16" xfId="44" applyFont="1" applyFill="1" applyBorder="1" applyAlignment="1">
      <alignment horizontal="left" wrapText="1" indent="2"/>
    </xf>
    <xf numFmtId="4" fontId="5" fillId="58" borderId="16" xfId="1" applyNumberFormat="1" applyFont="1" applyFill="1" applyBorder="1"/>
    <xf numFmtId="0" fontId="142" fillId="0" borderId="0" xfId="44" applyFont="1" applyFill="1" applyAlignment="1">
      <alignment horizontal="left" wrapText="1" indent="1"/>
    </xf>
    <xf numFmtId="4" fontId="34" fillId="47" borderId="16" xfId="0" applyNumberFormat="1" applyFont="1" applyFill="1" applyBorder="1" applyAlignment="1">
      <alignment horizontal="left"/>
    </xf>
    <xf numFmtId="0" fontId="34" fillId="47" borderId="0" xfId="44" applyFont="1" applyFill="1" applyAlignment="1">
      <alignment horizontal="left" wrapText="1" indent="2"/>
    </xf>
    <xf numFmtId="164" fontId="4" fillId="0" borderId="83" xfId="1" applyNumberFormat="1" applyFont="1" applyBorder="1"/>
    <xf numFmtId="10" fontId="5" fillId="47" borderId="0" xfId="2" applyNumberFormat="1" applyFont="1" applyFill="1"/>
    <xf numFmtId="0" fontId="114" fillId="0" borderId="0" xfId="0" applyFont="1"/>
    <xf numFmtId="184" fontId="0" fillId="0" borderId="0" xfId="0" applyNumberFormat="1" applyFill="1" applyBorder="1"/>
    <xf numFmtId="184" fontId="33" fillId="0" borderId="0" xfId="0" applyNumberFormat="1" applyFont="1" applyFill="1" applyBorder="1"/>
    <xf numFmtId="4" fontId="1" fillId="0" borderId="83" xfId="0" applyNumberFormat="1" applyFont="1" applyBorder="1"/>
    <xf numFmtId="14" fontId="4" fillId="3" borderId="83" xfId="0" applyNumberFormat="1" applyFont="1" applyFill="1" applyBorder="1"/>
    <xf numFmtId="14" fontId="4" fillId="3" borderId="84" xfId="0" applyNumberFormat="1" applyFont="1" applyFill="1" applyBorder="1"/>
    <xf numFmtId="0" fontId="4" fillId="0" borderId="85" xfId="0" applyFont="1" applyBorder="1"/>
    <xf numFmtId="0" fontId="130" fillId="3" borderId="18" xfId="0" applyFont="1" applyFill="1" applyBorder="1"/>
    <xf numFmtId="0" fontId="130" fillId="3" borderId="83" xfId="0" applyFont="1" applyFill="1" applyBorder="1"/>
    <xf numFmtId="0" fontId="0" fillId="3" borderId="83" xfId="0" applyFill="1" applyBorder="1"/>
    <xf numFmtId="0" fontId="4" fillId="3" borderId="84" xfId="0" applyFont="1" applyFill="1" applyBorder="1"/>
    <xf numFmtId="0" fontId="4" fillId="47" borderId="58" xfId="0" applyFont="1" applyFill="1" applyBorder="1"/>
    <xf numFmtId="0" fontId="4" fillId="47" borderId="2" xfId="0" applyFont="1" applyFill="1" applyBorder="1"/>
    <xf numFmtId="4" fontId="1" fillId="47" borderId="2" xfId="0" applyNumberFormat="1" applyFont="1" applyFill="1" applyBorder="1"/>
    <xf numFmtId="4" fontId="1" fillId="47" borderId="59" xfId="0" applyNumberFormat="1" applyFont="1" applyFill="1" applyBorder="1"/>
    <xf numFmtId="4" fontId="70" fillId="47" borderId="86" xfId="0" applyNumberFormat="1" applyFont="1" applyFill="1" applyBorder="1"/>
    <xf numFmtId="0" fontId="94" fillId="0" borderId="0" xfId="0" applyFont="1" applyBorder="1"/>
    <xf numFmtId="4" fontId="70" fillId="0" borderId="85" xfId="0" applyNumberFormat="1" applyFont="1" applyBorder="1"/>
    <xf numFmtId="0" fontId="143" fillId="0" borderId="0" xfId="0" applyFont="1" applyBorder="1" applyAlignment="1">
      <alignment horizontal="left"/>
    </xf>
    <xf numFmtId="0" fontId="70" fillId="47" borderId="83" xfId="0" applyFont="1" applyFill="1" applyBorder="1"/>
    <xf numFmtId="4" fontId="70" fillId="47" borderId="83" xfId="0" applyNumberFormat="1" applyFont="1" applyFill="1" applyBorder="1"/>
    <xf numFmtId="0" fontId="144" fillId="0" borderId="0" xfId="0" applyFont="1"/>
    <xf numFmtId="0" fontId="4" fillId="61" borderId="18" xfId="0" applyFont="1" applyFill="1" applyBorder="1"/>
    <xf numFmtId="49" fontId="117" fillId="61" borderId="0" xfId="0" applyNumberFormat="1" applyFont="1" applyFill="1" applyBorder="1" applyAlignment="1">
      <alignment horizontal="left"/>
    </xf>
    <xf numFmtId="4" fontId="70" fillId="61" borderId="0" xfId="0" applyNumberFormat="1" applyFont="1" applyFill="1" applyBorder="1"/>
    <xf numFmtId="4" fontId="70" fillId="61" borderId="85" xfId="0" applyNumberFormat="1" applyFont="1" applyFill="1" applyBorder="1"/>
    <xf numFmtId="0" fontId="145" fillId="0" borderId="0" xfId="0" applyFont="1" applyBorder="1" applyAlignment="1">
      <alignment horizontal="left"/>
    </xf>
    <xf numFmtId="0" fontId="146" fillId="0" borderId="0" xfId="0" applyFont="1"/>
    <xf numFmtId="4" fontId="70" fillId="0" borderId="86" xfId="0" applyNumberFormat="1" applyFont="1" applyBorder="1"/>
    <xf numFmtId="0" fontId="70" fillId="47" borderId="3" xfId="0" applyFont="1" applyFill="1" applyBorder="1"/>
    <xf numFmtId="0" fontId="0" fillId="0" borderId="83" xfId="0" applyBorder="1"/>
    <xf numFmtId="0" fontId="4" fillId="0" borderId="84" xfId="0" applyFont="1" applyBorder="1"/>
    <xf numFmtId="4" fontId="94" fillId="0" borderId="85" xfId="0" applyNumberFormat="1" applyFont="1" applyBorder="1"/>
    <xf numFmtId="0" fontId="4" fillId="61" borderId="14" xfId="0" applyFont="1" applyFill="1" applyBorder="1"/>
    <xf numFmtId="0" fontId="0" fillId="61" borderId="0" xfId="0" applyFill="1"/>
    <xf numFmtId="4" fontId="94" fillId="0" borderId="41" xfId="0" applyNumberFormat="1" applyFont="1" applyBorder="1"/>
    <xf numFmtId="4" fontId="1" fillId="61" borderId="0" xfId="0" applyNumberFormat="1" applyFont="1" applyFill="1" applyBorder="1"/>
    <xf numFmtId="0" fontId="4" fillId="0" borderId="14" xfId="0" applyFont="1" applyFill="1" applyBorder="1"/>
    <xf numFmtId="49" fontId="117" fillId="0" borderId="0" xfId="0" applyNumberFormat="1" applyFont="1" applyFill="1" applyBorder="1" applyAlignment="1">
      <alignment horizontal="left"/>
    </xf>
    <xf numFmtId="4" fontId="1" fillId="0" borderId="0" xfId="0" applyNumberFormat="1" applyFont="1" applyFill="1" applyBorder="1"/>
    <xf numFmtId="4" fontId="70" fillId="0" borderId="85" xfId="0" applyNumberFormat="1" applyFont="1" applyFill="1" applyBorder="1"/>
    <xf numFmtId="43" fontId="146" fillId="0" borderId="0" xfId="1" applyFont="1"/>
    <xf numFmtId="4" fontId="94" fillId="0" borderId="0" xfId="0" applyNumberFormat="1" applyFont="1" applyFill="1" applyBorder="1"/>
    <xf numFmtId="4" fontId="70" fillId="0" borderId="0" xfId="0" applyNumberFormat="1" applyFont="1" applyFill="1" applyBorder="1"/>
    <xf numFmtId="43" fontId="94" fillId="0" borderId="0" xfId="1" applyFont="1"/>
    <xf numFmtId="49" fontId="145" fillId="0" borderId="0" xfId="0" applyNumberFormat="1" applyFont="1" applyBorder="1" applyAlignment="1">
      <alignment horizontal="left"/>
    </xf>
    <xf numFmtId="4" fontId="145" fillId="0" borderId="0" xfId="0" applyNumberFormat="1" applyFont="1" applyBorder="1"/>
    <xf numFmtId="4" fontId="70" fillId="47" borderId="1" xfId="0" applyNumberFormat="1" applyFont="1" applyFill="1" applyBorder="1"/>
    <xf numFmtId="4" fontId="130" fillId="3" borderId="1" xfId="0" applyNumberFormat="1" applyFont="1" applyFill="1" applyBorder="1"/>
    <xf numFmtId="0" fontId="130" fillId="0" borderId="0" xfId="0" applyFont="1" applyFill="1" applyBorder="1"/>
    <xf numFmtId="4" fontId="130" fillId="0" borderId="0" xfId="0" applyNumberFormat="1" applyFont="1" applyFill="1" applyBorder="1"/>
    <xf numFmtId="0" fontId="147" fillId="0" borderId="0" xfId="0" applyFont="1" applyFill="1" applyBorder="1"/>
    <xf numFmtId="4" fontId="147" fillId="0" borderId="0" xfId="0" applyNumberFormat="1" applyFont="1" applyFill="1" applyBorder="1"/>
    <xf numFmtId="0" fontId="148" fillId="0" borderId="0" xfId="0" applyFont="1" applyFill="1"/>
    <xf numFmtId="0" fontId="149" fillId="0" borderId="0" xfId="0" applyFont="1" applyFill="1"/>
    <xf numFmtId="4" fontId="148" fillId="0" borderId="0" xfId="0" applyNumberFormat="1" applyFont="1" applyFill="1" applyBorder="1"/>
    <xf numFmtId="4" fontId="150" fillId="0" borderId="0" xfId="0" applyNumberFormat="1" applyFont="1" applyFill="1" applyBorder="1"/>
    <xf numFmtId="14" fontId="4" fillId="0" borderId="0" xfId="0" applyNumberFormat="1" applyFont="1" applyFill="1" applyBorder="1"/>
    <xf numFmtId="0" fontId="130" fillId="3" borderId="1" xfId="0" applyFont="1" applyFill="1" applyBorder="1"/>
    <xf numFmtId="49" fontId="117" fillId="0" borderId="85" xfId="0" applyNumberFormat="1" applyFont="1" applyBorder="1" applyAlignment="1">
      <alignment horizontal="left"/>
    </xf>
    <xf numFmtId="0" fontId="0" fillId="0" borderId="85" xfId="0" applyBorder="1"/>
    <xf numFmtId="0" fontId="130" fillId="3" borderId="86" xfId="0" applyFont="1" applyFill="1" applyBorder="1"/>
    <xf numFmtId="0" fontId="114" fillId="0" borderId="84" xfId="0" applyFont="1" applyBorder="1" applyAlignment="1">
      <alignment horizontal="left"/>
    </xf>
    <xf numFmtId="49" fontId="117" fillId="0" borderId="86" xfId="0" applyNumberFormat="1" applyFont="1" applyBorder="1" applyAlignment="1">
      <alignment horizontal="left"/>
    </xf>
    <xf numFmtId="0" fontId="0" fillId="0" borderId="84" xfId="0" applyBorder="1"/>
    <xf numFmtId="174" fontId="49" fillId="0" borderId="87" xfId="0" applyNumberFormat="1" applyFont="1" applyBorder="1"/>
    <xf numFmtId="0" fontId="70" fillId="0" borderId="17" xfId="0" applyFont="1" applyBorder="1"/>
    <xf numFmtId="0" fontId="67" fillId="0" borderId="3" xfId="0" applyFont="1" applyBorder="1"/>
    <xf numFmtId="164" fontId="67" fillId="0" borderId="3" xfId="0" applyNumberFormat="1" applyFont="1" applyBorder="1"/>
    <xf numFmtId="164" fontId="67" fillId="46" borderId="0" xfId="1" applyNumberFormat="1" applyFont="1" applyFill="1"/>
    <xf numFmtId="164" fontId="67" fillId="0" borderId="0" xfId="1" applyNumberFormat="1" applyFont="1" applyFill="1"/>
    <xf numFmtId="49" fontId="117" fillId="0" borderId="14" xfId="0" applyNumberFormat="1" applyFont="1" applyFill="1" applyBorder="1" applyAlignment="1">
      <alignment horizontal="left"/>
    </xf>
    <xf numFmtId="49" fontId="122" fillId="0" borderId="14" xfId="0" applyNumberFormat="1" applyFont="1" applyFill="1" applyBorder="1" applyAlignment="1">
      <alignment horizontal="left"/>
    </xf>
    <xf numFmtId="14" fontId="0" fillId="0" borderId="41" xfId="0" applyNumberFormat="1" applyBorder="1"/>
    <xf numFmtId="4" fontId="84" fillId="0" borderId="83" xfId="0" applyNumberFormat="1" applyFont="1" applyBorder="1"/>
    <xf numFmtId="9" fontId="0" fillId="0" borderId="0" xfId="2" applyFont="1" applyFill="1" applyBorder="1"/>
    <xf numFmtId="0" fontId="22" fillId="3" borderId="3" xfId="44" applyFont="1" applyFill="1" applyBorder="1"/>
    <xf numFmtId="49" fontId="84" fillId="0" borderId="0" xfId="0" applyNumberFormat="1" applyFont="1"/>
    <xf numFmtId="4" fontId="84" fillId="0" borderId="0" xfId="44" applyNumberFormat="1" applyFont="1" applyFill="1"/>
    <xf numFmtId="49" fontId="124" fillId="0" borderId="0" xfId="0" applyNumberFormat="1" applyFont="1"/>
    <xf numFmtId="49" fontId="152" fillId="58" borderId="0" xfId="0" applyNumberFormat="1" applyFont="1" applyFill="1"/>
    <xf numFmtId="4" fontId="84" fillId="58" borderId="0" xfId="44" applyNumberFormat="1" applyFont="1" applyFill="1"/>
    <xf numFmtId="49" fontId="114" fillId="0" borderId="0" xfId="0" applyNumberFormat="1" applyFont="1"/>
    <xf numFmtId="4" fontId="114" fillId="0" borderId="0" xfId="44" applyNumberFormat="1" applyFont="1" applyFill="1"/>
    <xf numFmtId="4" fontId="114" fillId="58" borderId="0" xfId="44" applyNumberFormat="1" applyFont="1" applyFill="1"/>
    <xf numFmtId="49" fontId="152" fillId="58" borderId="0" xfId="0" applyNumberFormat="1" applyFont="1" applyFill="1" applyAlignment="1">
      <alignment horizontal="left"/>
    </xf>
    <xf numFmtId="0" fontId="153" fillId="58" borderId="0" xfId="0" applyFont="1" applyFill="1"/>
    <xf numFmtId="4" fontId="94" fillId="58" borderId="0" xfId="11334" applyNumberFormat="1" applyFont="1" applyFill="1" applyBorder="1"/>
    <xf numFmtId="4" fontId="114" fillId="0" borderId="0" xfId="11334" applyNumberFormat="1" applyFont="1" applyFill="1" applyBorder="1"/>
    <xf numFmtId="0" fontId="132" fillId="58" borderId="0" xfId="0" applyFont="1" applyFill="1"/>
    <xf numFmtId="4" fontId="114" fillId="0" borderId="0" xfId="11334" applyNumberFormat="1" applyFont="1"/>
    <xf numFmtId="4" fontId="114" fillId="0" borderId="0" xfId="11334" applyNumberFormat="1" applyFont="1" applyBorder="1"/>
    <xf numFmtId="4" fontId="1" fillId="0" borderId="0" xfId="0" applyNumberFormat="1" applyFont="1"/>
    <xf numFmtId="0" fontId="114" fillId="0" borderId="0" xfId="0" applyFont="1" applyAlignment="1">
      <alignment horizontal="left"/>
    </xf>
    <xf numFmtId="0" fontId="114" fillId="47" borderId="15" xfId="0" applyFont="1" applyFill="1" applyBorder="1"/>
    <xf numFmtId="4" fontId="84" fillId="47" borderId="15" xfId="44" applyNumberFormat="1" applyFont="1" applyFill="1" applyBorder="1"/>
    <xf numFmtId="4" fontId="1" fillId="47" borderId="15" xfId="0" applyNumberFormat="1" applyFont="1" applyFill="1" applyBorder="1"/>
    <xf numFmtId="176" fontId="56" fillId="0" borderId="88" xfId="11334" applyNumberFormat="1" applyFont="1" applyFill="1" applyBorder="1" applyAlignment="1">
      <alignment horizontal="center"/>
    </xf>
    <xf numFmtId="4" fontId="5" fillId="58" borderId="83" xfId="1" applyNumberFormat="1" applyFont="1" applyFill="1" applyBorder="1"/>
    <xf numFmtId="4" fontId="34" fillId="47" borderId="83" xfId="0" applyNumberFormat="1" applyFont="1" applyFill="1" applyBorder="1" applyAlignment="1">
      <alignment horizontal="left"/>
    </xf>
    <xf numFmtId="0" fontId="34" fillId="47" borderId="83" xfId="0" applyFont="1" applyFill="1" applyBorder="1" applyAlignment="1">
      <alignment horizontal="left"/>
    </xf>
    <xf numFmtId="174" fontId="135" fillId="58" borderId="83" xfId="0" applyNumberFormat="1" applyFont="1" applyFill="1" applyBorder="1"/>
    <xf numFmtId="174" fontId="135" fillId="47" borderId="83" xfId="10725" applyNumberFormat="1" applyFont="1" applyFill="1" applyBorder="1"/>
    <xf numFmtId="4" fontId="33" fillId="0" borderId="83" xfId="0" applyNumberFormat="1" applyFont="1" applyBorder="1"/>
    <xf numFmtId="0" fontId="0" fillId="58" borderId="83" xfId="0" applyFont="1" applyFill="1" applyBorder="1"/>
    <xf numFmtId="9" fontId="54" fillId="47" borderId="0" xfId="2" applyNumberFormat="1" applyFont="1" applyFill="1" applyBorder="1" applyAlignment="1">
      <alignment horizontal="right"/>
    </xf>
    <xf numFmtId="9" fontId="50" fillId="47" borderId="0" xfId="2" applyNumberFormat="1" applyFont="1" applyFill="1" applyBorder="1" applyAlignment="1">
      <alignment horizontal="right" vertical="center"/>
    </xf>
    <xf numFmtId="167" fontId="50" fillId="47" borderId="0" xfId="11334" applyNumberFormat="1" applyFont="1" applyFill="1" applyBorder="1" applyAlignment="1">
      <alignment horizontal="right" vertical="center"/>
    </xf>
    <xf numFmtId="164" fontId="50" fillId="47" borderId="0" xfId="1" applyNumberFormat="1" applyFont="1" applyFill="1" applyBorder="1" applyAlignment="1">
      <alignment horizontal="right"/>
    </xf>
    <xf numFmtId="164" fontId="86" fillId="47" borderId="0" xfId="1" applyNumberFormat="1" applyFont="1" applyFill="1" applyBorder="1" applyAlignment="1">
      <alignment horizontal="right"/>
    </xf>
    <xf numFmtId="165" fontId="54" fillId="47" borderId="0" xfId="2" applyNumberFormat="1" applyFont="1" applyFill="1" applyBorder="1" applyAlignment="1">
      <alignment horizontal="right"/>
    </xf>
    <xf numFmtId="164" fontId="110" fillId="47" borderId="0" xfId="1" applyNumberFormat="1" applyFont="1" applyFill="1" applyBorder="1" applyAlignment="1">
      <alignment horizontal="right"/>
    </xf>
    <xf numFmtId="167" fontId="50" fillId="47" borderId="0" xfId="11334" applyNumberFormat="1" applyFont="1" applyFill="1" applyBorder="1" applyAlignment="1">
      <alignment horizontal="right" vertical="center"/>
    </xf>
    <xf numFmtId="9" fontId="54" fillId="47" borderId="0" xfId="2" applyNumberFormat="1" applyFont="1" applyFill="1" applyBorder="1" applyAlignment="1">
      <alignment horizontal="right"/>
    </xf>
    <xf numFmtId="189" fontId="50" fillId="47" borderId="0" xfId="11334" applyNumberFormat="1" applyFont="1" applyFill="1" applyBorder="1" applyAlignment="1">
      <alignment horizontal="right" vertical="center"/>
    </xf>
    <xf numFmtId="164" fontId="56" fillId="0" borderId="28" xfId="1" applyNumberFormat="1" applyFont="1" applyFill="1" applyBorder="1" applyAlignment="1">
      <alignment horizontal="center"/>
    </xf>
    <xf numFmtId="168" fontId="22" fillId="0" borderId="0" xfId="44" applyNumberFormat="1"/>
    <xf numFmtId="189" fontId="50" fillId="47" borderId="0" xfId="11334" applyNumberFormat="1" applyFont="1" applyFill="1" applyBorder="1" applyAlignment="1">
      <alignment horizontal="right" vertical="center"/>
    </xf>
    <xf numFmtId="167" fontId="50" fillId="47" borderId="0" xfId="11334" applyNumberFormat="1" applyFont="1" applyFill="1" applyBorder="1" applyAlignment="1">
      <alignment horizontal="right" vertical="center"/>
    </xf>
    <xf numFmtId="9" fontId="54" fillId="0" borderId="29" xfId="2" applyNumberFormat="1" applyFont="1" applyFill="1" applyBorder="1" applyAlignment="1">
      <alignment horizontal="center"/>
    </xf>
    <xf numFmtId="9" fontId="90" fillId="5" borderId="29" xfId="2" applyNumberFormat="1" applyFont="1" applyFill="1" applyBorder="1" applyAlignment="1">
      <alignment horizontal="center"/>
    </xf>
    <xf numFmtId="9" fontId="54" fillId="0" borderId="28" xfId="2" applyNumberFormat="1" applyFont="1" applyFill="1" applyBorder="1" applyAlignment="1">
      <alignment horizontal="center"/>
    </xf>
    <xf numFmtId="9" fontId="54" fillId="0" borderId="70" xfId="2" applyNumberFormat="1" applyFont="1" applyFill="1" applyBorder="1" applyAlignment="1">
      <alignment horizontal="center"/>
    </xf>
    <xf numFmtId="9" fontId="90" fillId="5" borderId="51" xfId="2" applyNumberFormat="1" applyFont="1" applyFill="1" applyBorder="1" applyAlignment="1">
      <alignment horizontal="center"/>
    </xf>
    <xf numFmtId="9" fontId="90" fillId="5" borderId="68" xfId="2" applyNumberFormat="1" applyFont="1" applyFill="1" applyBorder="1" applyAlignment="1">
      <alignment horizontal="center"/>
    </xf>
    <xf numFmtId="9" fontId="90" fillId="5" borderId="57" xfId="2" applyNumberFormat="1" applyFont="1" applyFill="1" applyBorder="1" applyAlignment="1">
      <alignment horizontal="center"/>
    </xf>
    <xf numFmtId="9" fontId="90" fillId="63" borderId="57" xfId="2" applyNumberFormat="1" applyFont="1" applyFill="1" applyBorder="1" applyAlignment="1">
      <alignment horizontal="center"/>
    </xf>
    <xf numFmtId="9" fontId="90" fillId="5" borderId="71" xfId="2" applyNumberFormat="1" applyFont="1" applyFill="1" applyBorder="1" applyAlignment="1">
      <alignment horizontal="center"/>
    </xf>
    <xf numFmtId="167" fontId="56" fillId="0" borderId="29" xfId="11334" applyNumberFormat="1" applyFont="1" applyFill="1" applyBorder="1" applyAlignment="1">
      <alignment horizontal="center"/>
    </xf>
    <xf numFmtId="167" fontId="90" fillId="5" borderId="29" xfId="2" applyNumberFormat="1" applyFont="1" applyFill="1" applyBorder="1" applyAlignment="1">
      <alignment horizontal="center"/>
    </xf>
    <xf numFmtId="167" fontId="56" fillId="3" borderId="29" xfId="11334" applyNumberFormat="1" applyFont="1" applyFill="1" applyBorder="1" applyAlignment="1">
      <alignment horizontal="center"/>
    </xf>
    <xf numFmtId="167" fontId="56" fillId="0" borderId="28" xfId="1" applyNumberFormat="1" applyFont="1" applyFill="1" applyBorder="1" applyAlignment="1">
      <alignment horizontal="center"/>
    </xf>
    <xf numFmtId="175" fontId="87" fillId="0" borderId="51" xfId="11334" applyNumberFormat="1" applyFont="1" applyFill="1" applyBorder="1" applyAlignment="1">
      <alignment horizontal="center"/>
    </xf>
    <xf numFmtId="9" fontId="90" fillId="5" borderId="28" xfId="2" applyNumberFormat="1" applyFont="1" applyFill="1" applyBorder="1" applyAlignment="1">
      <alignment horizontal="center"/>
    </xf>
    <xf numFmtId="167" fontId="56" fillId="5" borderId="28" xfId="1" applyNumberFormat="1" applyFont="1" applyFill="1" applyBorder="1" applyAlignment="1">
      <alignment horizontal="center"/>
    </xf>
    <xf numFmtId="3" fontId="56" fillId="0" borderId="28" xfId="1" applyNumberFormat="1" applyFont="1" applyFill="1" applyBorder="1" applyAlignment="1">
      <alignment horizontal="center"/>
    </xf>
    <xf numFmtId="1" fontId="56" fillId="0" borderId="28" xfId="11334" applyNumberFormat="1" applyFont="1" applyFill="1" applyBorder="1" applyAlignment="1">
      <alignment horizontal="center"/>
    </xf>
    <xf numFmtId="165" fontId="56" fillId="0" borderId="28" xfId="2" applyNumberFormat="1" applyFont="1" applyFill="1" applyBorder="1" applyAlignment="1">
      <alignment horizontal="center"/>
    </xf>
    <xf numFmtId="165" fontId="56" fillId="0" borderId="82" xfId="2" applyNumberFormat="1" applyFont="1" applyFill="1" applyBorder="1" applyAlignment="1">
      <alignment horizontal="center"/>
    </xf>
    <xf numFmtId="165" fontId="56" fillId="0" borderId="78" xfId="2" applyNumberFormat="1" applyFont="1" applyFill="1" applyBorder="1" applyAlignment="1">
      <alignment horizontal="center"/>
    </xf>
    <xf numFmtId="165" fontId="56" fillId="0" borderId="29" xfId="2" applyNumberFormat="1" applyFont="1" applyFill="1" applyBorder="1" applyAlignment="1">
      <alignment horizontal="center"/>
    </xf>
    <xf numFmtId="3" fontId="56" fillId="0" borderId="64" xfId="1" applyNumberFormat="1" applyFont="1" applyFill="1" applyBorder="1" applyAlignment="1">
      <alignment horizontal="center"/>
    </xf>
    <xf numFmtId="0" fontId="58" fillId="0" borderId="89" xfId="0" applyFont="1" applyFill="1" applyBorder="1" applyAlignment="1">
      <alignment horizontal="left" wrapText="1" readingOrder="1"/>
    </xf>
    <xf numFmtId="175" fontId="56" fillId="0" borderId="91" xfId="11334" applyNumberFormat="1" applyFont="1" applyFill="1" applyBorder="1" applyAlignment="1">
      <alignment horizontal="center"/>
    </xf>
    <xf numFmtId="0" fontId="58" fillId="0" borderId="90" xfId="0" applyFont="1" applyFill="1" applyBorder="1" applyAlignment="1">
      <alignment horizontal="left" wrapText="1" readingOrder="1"/>
    </xf>
    <xf numFmtId="3" fontId="56" fillId="0" borderId="92" xfId="1" applyNumberFormat="1" applyFont="1" applyFill="1" applyBorder="1" applyAlignment="1">
      <alignment horizontal="center"/>
    </xf>
    <xf numFmtId="164" fontId="110" fillId="0" borderId="0" xfId="1" applyNumberFormat="1" applyFont="1" applyFill="1" applyBorder="1" applyAlignment="1">
      <alignment horizontal="right"/>
    </xf>
    <xf numFmtId="164" fontId="110" fillId="0" borderId="41" xfId="1" applyNumberFormat="1" applyFont="1" applyFill="1" applyBorder="1" applyAlignment="1">
      <alignment horizontal="right"/>
    </xf>
    <xf numFmtId="4" fontId="1" fillId="0" borderId="83" xfId="0" applyNumberFormat="1" applyFont="1" applyBorder="1" applyAlignment="1">
      <alignment wrapText="1"/>
    </xf>
    <xf numFmtId="167" fontId="50" fillId="47" borderId="0" xfId="11334" applyNumberFormat="1" applyFont="1" applyFill="1" applyBorder="1" applyAlignment="1">
      <alignment horizontal="right" vertical="center"/>
    </xf>
    <xf numFmtId="6" fontId="154" fillId="69" borderId="94" xfId="0" quotePrefix="1" applyNumberFormat="1" applyFont="1" applyFill="1" applyBorder="1" applyAlignment="1">
      <alignment horizontal="left"/>
    </xf>
    <xf numFmtId="0" fontId="155" fillId="69" borderId="95" xfId="0" applyFont="1" applyFill="1" applyBorder="1" applyAlignment="1">
      <alignment horizontal="center" wrapText="1"/>
    </xf>
    <xf numFmtId="0" fontId="151" fillId="0" borderId="96" xfId="0" applyFont="1" applyFill="1" applyBorder="1" applyAlignment="1">
      <alignment horizontal="left" wrapText="1" readingOrder="1"/>
    </xf>
    <xf numFmtId="175" fontId="151" fillId="0" borderId="93" xfId="11334" applyNumberFormat="1" applyFont="1" applyFill="1" applyBorder="1" applyAlignment="1">
      <alignment horizontal="center"/>
    </xf>
    <xf numFmtId="0" fontId="156" fillId="0" borderId="96" xfId="0" applyFont="1" applyFill="1" applyBorder="1" applyAlignment="1">
      <alignment horizontal="left" wrapText="1" indent="1" readingOrder="1"/>
    </xf>
    <xf numFmtId="165" fontId="157" fillId="0" borderId="93" xfId="2" applyNumberFormat="1" applyFont="1" applyFill="1" applyBorder="1" applyAlignment="1">
      <alignment horizontal="center"/>
    </xf>
    <xf numFmtId="9" fontId="157" fillId="0" borderId="93" xfId="2" applyNumberFormat="1" applyFont="1" applyFill="1" applyBorder="1" applyAlignment="1">
      <alignment horizontal="center"/>
    </xf>
    <xf numFmtId="9" fontId="157" fillId="0" borderId="93" xfId="2" applyFont="1" applyFill="1" applyBorder="1" applyAlignment="1">
      <alignment horizontal="center"/>
    </xf>
    <xf numFmtId="176" fontId="151" fillId="0" borderId="93" xfId="11334" applyNumberFormat="1" applyFont="1" applyFill="1" applyBorder="1" applyAlignment="1">
      <alignment horizontal="center"/>
    </xf>
    <xf numFmtId="175" fontId="158" fillId="0" borderId="95" xfId="11334" applyNumberFormat="1" applyFont="1" applyFill="1" applyBorder="1" applyAlignment="1">
      <alignment horizontal="center"/>
    </xf>
    <xf numFmtId="176" fontId="158" fillId="0" borderId="95" xfId="11334" applyNumberFormat="1" applyFont="1" applyFill="1" applyBorder="1" applyAlignment="1">
      <alignment horizontal="center"/>
    </xf>
    <xf numFmtId="175" fontId="158" fillId="0" borderId="93" xfId="11334" applyNumberFormat="1" applyFont="1" applyFill="1" applyBorder="1" applyAlignment="1">
      <alignment horizontal="center"/>
    </xf>
    <xf numFmtId="176" fontId="158" fillId="0" borderId="93" xfId="11334" applyNumberFormat="1" applyFont="1" applyFill="1" applyBorder="1" applyAlignment="1">
      <alignment horizontal="center"/>
    </xf>
    <xf numFmtId="0" fontId="151" fillId="0" borderId="97" xfId="0" applyFont="1" applyFill="1" applyBorder="1" applyAlignment="1">
      <alignment horizontal="left" wrapText="1" readingOrder="1"/>
    </xf>
    <xf numFmtId="175" fontId="151" fillId="0" borderId="98" xfId="11334" applyNumberFormat="1" applyFont="1" applyFill="1" applyBorder="1" applyAlignment="1">
      <alignment horizontal="center"/>
    </xf>
    <xf numFmtId="176" fontId="151" fillId="0" borderId="98" xfId="11334" applyNumberFormat="1" applyFont="1" applyFill="1" applyBorder="1" applyAlignment="1">
      <alignment horizontal="center"/>
    </xf>
    <xf numFmtId="176" fontId="151" fillId="0" borderId="99" xfId="11334" applyNumberFormat="1" applyFont="1" applyFill="1" applyBorder="1" applyAlignment="1">
      <alignment horizontal="center"/>
    </xf>
    <xf numFmtId="175" fontId="151" fillId="0" borderId="100" xfId="11334" applyNumberFormat="1" applyFont="1" applyFill="1" applyBorder="1" applyAlignment="1">
      <alignment horizontal="center"/>
    </xf>
    <xf numFmtId="176" fontId="151" fillId="0" borderId="100" xfId="11334" applyNumberFormat="1" applyFont="1" applyFill="1" applyBorder="1" applyAlignment="1">
      <alignment horizontal="center"/>
    </xf>
    <xf numFmtId="176" fontId="151" fillId="0" borderId="0" xfId="11334" applyNumberFormat="1" applyFont="1" applyFill="1" applyBorder="1" applyAlignment="1"/>
    <xf numFmtId="0" fontId="159" fillId="0" borderId="0" xfId="0" applyFont="1" applyFill="1" applyBorder="1" applyAlignment="1">
      <alignment horizontal="left" indent="1"/>
    </xf>
    <xf numFmtId="6" fontId="0" fillId="0" borderId="0" xfId="0" applyNumberFormat="1"/>
    <xf numFmtId="0" fontId="160" fillId="70" borderId="3" xfId="0" applyFont="1" applyFill="1" applyBorder="1" applyAlignment="1">
      <alignment vertical="center" wrapText="1"/>
    </xf>
    <xf numFmtId="0" fontId="159" fillId="70" borderId="3" xfId="0" applyFont="1" applyFill="1" applyBorder="1" applyAlignment="1">
      <alignment horizontal="center" vertical="center" wrapText="1"/>
    </xf>
    <xf numFmtId="0" fontId="160" fillId="70" borderId="18" xfId="0" applyFont="1" applyFill="1" applyBorder="1" applyAlignment="1">
      <alignment vertical="center" wrapText="1"/>
    </xf>
    <xf numFmtId="3" fontId="159" fillId="0" borderId="0" xfId="0" applyNumberFormat="1" applyFont="1" applyFill="1" applyBorder="1"/>
    <xf numFmtId="4" fontId="160" fillId="0" borderId="14" xfId="0" applyNumberFormat="1" applyFont="1" applyFill="1" applyBorder="1"/>
    <xf numFmtId="0" fontId="161" fillId="70" borderId="3" xfId="0" applyFont="1" applyFill="1" applyBorder="1" applyAlignment="1">
      <alignment vertical="center"/>
    </xf>
    <xf numFmtId="164" fontId="162" fillId="70" borderId="3" xfId="1" applyNumberFormat="1" applyFont="1" applyFill="1" applyBorder="1" applyAlignment="1">
      <alignment vertical="center"/>
    </xf>
    <xf numFmtId="164" fontId="162" fillId="70" borderId="58" xfId="1" applyNumberFormat="1" applyFont="1" applyFill="1" applyBorder="1" applyAlignment="1">
      <alignment vertical="center"/>
    </xf>
    <xf numFmtId="0" fontId="159" fillId="0" borderId="0" xfId="0" applyFont="1" applyFill="1" applyBorder="1" applyAlignment="1"/>
    <xf numFmtId="0" fontId="159" fillId="0" borderId="0" xfId="0" applyFont="1" applyFill="1" applyBorder="1"/>
    <xf numFmtId="0" fontId="160" fillId="70" borderId="3" xfId="0" applyFont="1" applyFill="1" applyBorder="1" applyAlignment="1">
      <alignment vertical="center"/>
    </xf>
    <xf numFmtId="164" fontId="162" fillId="70" borderId="17" xfId="1" applyNumberFormat="1" applyFont="1" applyFill="1" applyBorder="1" applyAlignment="1">
      <alignment vertical="center"/>
    </xf>
    <xf numFmtId="4" fontId="160" fillId="0" borderId="18" xfId="0" applyNumberFormat="1" applyFont="1" applyFill="1" applyBorder="1"/>
    <xf numFmtId="0" fontId="160" fillId="70" borderId="101" xfId="0" applyFont="1" applyFill="1" applyBorder="1" applyAlignment="1">
      <alignment vertical="center"/>
    </xf>
    <xf numFmtId="0" fontId="160" fillId="70" borderId="87" xfId="0" applyFont="1" applyFill="1" applyBorder="1" applyAlignment="1">
      <alignment vertical="center"/>
    </xf>
    <xf numFmtId="164" fontId="162" fillId="70" borderId="102" xfId="1" applyNumberFormat="1" applyFont="1" applyFill="1" applyBorder="1" applyAlignment="1">
      <alignment vertical="center"/>
    </xf>
    <xf numFmtId="176" fontId="56" fillId="0" borderId="55" xfId="11334" applyNumberFormat="1" applyFont="1" applyFill="1" applyBorder="1" applyAlignment="1">
      <alignment horizontal="center"/>
    </xf>
    <xf numFmtId="176" fontId="110" fillId="0" borderId="0" xfId="11334" applyNumberFormat="1" applyFont="1" applyBorder="1" applyAlignment="1">
      <alignment horizontal="right" vertical="center"/>
    </xf>
    <xf numFmtId="176" fontId="110" fillId="0" borderId="41" xfId="11334" applyNumberFormat="1" applyFont="1" applyBorder="1" applyAlignment="1">
      <alignment horizontal="right" vertical="center"/>
    </xf>
    <xf numFmtId="176" fontId="110" fillId="47" borderId="0" xfId="11334" applyNumberFormat="1" applyFont="1" applyFill="1" applyBorder="1" applyAlignment="1">
      <alignment horizontal="right" vertical="center"/>
    </xf>
    <xf numFmtId="38" fontId="108" fillId="47" borderId="0" xfId="11334" applyNumberFormat="1" applyFont="1" applyFill="1" applyBorder="1" applyAlignment="1">
      <alignment horizontal="right" vertical="center"/>
    </xf>
    <xf numFmtId="0" fontId="6" fillId="54" borderId="93" xfId="24" applyFill="1" applyBorder="1" applyAlignment="1">
      <alignment horizontal="center"/>
    </xf>
    <xf numFmtId="0" fontId="6" fillId="54" borderId="0" xfId="24" applyFill="1" applyBorder="1" applyAlignment="1">
      <alignment horizontal="center"/>
    </xf>
    <xf numFmtId="0" fontId="51" fillId="52" borderId="22" xfId="0" applyFont="1" applyFill="1" applyBorder="1" applyAlignment="1">
      <alignment horizontal="center" wrapText="1"/>
    </xf>
    <xf numFmtId="0" fontId="51" fillId="52" borderId="0" xfId="0" applyFont="1" applyFill="1" applyBorder="1" applyAlignment="1">
      <alignment horizontal="center" wrapText="1"/>
    </xf>
    <xf numFmtId="0" fontId="51" fillId="52" borderId="37" xfId="0" applyFont="1" applyFill="1" applyBorder="1" applyAlignment="1">
      <alignment horizontal="center" wrapText="1"/>
    </xf>
    <xf numFmtId="0" fontId="51" fillId="52" borderId="38" xfId="0" applyFont="1" applyFill="1" applyBorder="1" applyAlignment="1">
      <alignment horizontal="center" wrapText="1"/>
    </xf>
    <xf numFmtId="0" fontId="51" fillId="52" borderId="39" xfId="0" applyFont="1" applyFill="1" applyBorder="1" applyAlignment="1">
      <alignment horizontal="center" wrapText="1"/>
    </xf>
    <xf numFmtId="9" fontId="6" fillId="29" borderId="33" xfId="36" applyNumberFormat="1" applyBorder="1" applyAlignment="1">
      <alignment horizontal="center"/>
    </xf>
    <xf numFmtId="9" fontId="54" fillId="47" borderId="0" xfId="2" applyNumberFormat="1" applyFont="1" applyFill="1" applyBorder="1" applyAlignment="1">
      <alignment horizontal="right"/>
    </xf>
    <xf numFmtId="164" fontId="50" fillId="47" borderId="0" xfId="1" applyNumberFormat="1" applyFont="1" applyFill="1" applyBorder="1" applyAlignment="1">
      <alignment horizontal="right"/>
    </xf>
    <xf numFmtId="165" fontId="54" fillId="47" borderId="0" xfId="2" applyNumberFormat="1" applyFont="1" applyFill="1" applyBorder="1" applyAlignment="1">
      <alignment horizontal="right"/>
    </xf>
    <xf numFmtId="164" fontId="110" fillId="47" borderId="0" xfId="1" applyNumberFormat="1" applyFont="1" applyFill="1" applyBorder="1" applyAlignment="1">
      <alignment horizontal="right"/>
    </xf>
    <xf numFmtId="167" fontId="50" fillId="47" borderId="0" xfId="11334" applyNumberFormat="1" applyFont="1" applyFill="1" applyBorder="1" applyAlignment="1">
      <alignment horizontal="right" vertical="center"/>
    </xf>
    <xf numFmtId="164" fontId="86" fillId="47" borderId="0" xfId="1" applyNumberFormat="1" applyFont="1" applyFill="1" applyBorder="1" applyAlignment="1">
      <alignment horizontal="right"/>
    </xf>
    <xf numFmtId="49" fontId="97" fillId="66" borderId="16" xfId="0" applyNumberFormat="1" applyFont="1" applyFill="1" applyBorder="1" applyAlignment="1">
      <alignment horizontal="center" vertical="center"/>
    </xf>
    <xf numFmtId="49" fontId="97" fillId="66" borderId="40" xfId="0" applyNumberFormat="1" applyFont="1" applyFill="1" applyBorder="1" applyAlignment="1">
      <alignment horizontal="center" vertical="center"/>
    </xf>
    <xf numFmtId="49" fontId="97" fillId="66" borderId="18" xfId="0" applyNumberFormat="1" applyFont="1" applyFill="1" applyBorder="1" applyAlignment="1">
      <alignment horizontal="center" vertical="center"/>
    </xf>
    <xf numFmtId="49" fontId="51" fillId="66" borderId="0" xfId="0" applyNumberFormat="1" applyFont="1" applyFill="1" applyBorder="1" applyAlignment="1">
      <alignment horizontal="center" vertical="center"/>
    </xf>
    <xf numFmtId="9" fontId="50" fillId="47" borderId="0" xfId="2" applyNumberFormat="1" applyFont="1" applyFill="1" applyBorder="1" applyAlignment="1">
      <alignment horizontal="right" vertical="center"/>
    </xf>
    <xf numFmtId="189" fontId="50" fillId="47" borderId="0" xfId="11334" applyNumberFormat="1" applyFont="1" applyFill="1" applyBorder="1" applyAlignment="1">
      <alignment horizontal="right" vertical="center"/>
    </xf>
    <xf numFmtId="0" fontId="79" fillId="2" borderId="0" xfId="10676" applyFont="1" applyFill="1" applyBorder="1" applyAlignment="1" applyProtection="1">
      <alignment horizontal="center" vertical="center"/>
      <protection hidden="1"/>
    </xf>
  </cellXfs>
  <cellStyles count="12651">
    <cellStyle name="20% - Accent1" xfId="21" builtinId="30" customBuiltin="1"/>
    <cellStyle name="20% - Accent1 10" xfId="260"/>
    <cellStyle name="20% - Accent1 11" xfId="261"/>
    <cellStyle name="20% - Accent1 12" xfId="262"/>
    <cellStyle name="20% - Accent1 13" xfId="263"/>
    <cellStyle name="20% - Accent1 14" xfId="264"/>
    <cellStyle name="20% - Accent1 15" xfId="265"/>
    <cellStyle name="20% - Accent1 16" xfId="266"/>
    <cellStyle name="20% - Accent1 17" xfId="267"/>
    <cellStyle name="20% - Accent1 2" xfId="268"/>
    <cellStyle name="20% - Accent1 3" xfId="269"/>
    <cellStyle name="20% - Accent1 4" xfId="270"/>
    <cellStyle name="20% - Accent1 5" xfId="271"/>
    <cellStyle name="20% - Accent1 6" xfId="272"/>
    <cellStyle name="20% - Accent1 7" xfId="273"/>
    <cellStyle name="20% - Accent1 8" xfId="274"/>
    <cellStyle name="20% - Accent1 9" xfId="275"/>
    <cellStyle name="20% - Accent2" xfId="25" builtinId="34" customBuiltin="1"/>
    <cellStyle name="20% - Accent2 10" xfId="276"/>
    <cellStyle name="20% - Accent2 11" xfId="277"/>
    <cellStyle name="20% - Accent2 12" xfId="278"/>
    <cellStyle name="20% - Accent2 13" xfId="279"/>
    <cellStyle name="20% - Accent2 14" xfId="280"/>
    <cellStyle name="20% - Accent2 15" xfId="281"/>
    <cellStyle name="20% - Accent2 16" xfId="282"/>
    <cellStyle name="20% - Accent2 17" xfId="283"/>
    <cellStyle name="20% - Accent2 2" xfId="284"/>
    <cellStyle name="20% - Accent2 3" xfId="285"/>
    <cellStyle name="20% - Accent2 4" xfId="286"/>
    <cellStyle name="20% - Accent2 5" xfId="287"/>
    <cellStyle name="20% - Accent2 6" xfId="288"/>
    <cellStyle name="20% - Accent2 7" xfId="289"/>
    <cellStyle name="20% - Accent2 8" xfId="290"/>
    <cellStyle name="20% - Accent2 9" xfId="291"/>
    <cellStyle name="20% - Accent3" xfId="29" builtinId="38" customBuiltin="1"/>
    <cellStyle name="20% - Accent3 10" xfId="292"/>
    <cellStyle name="20% - Accent3 11" xfId="293"/>
    <cellStyle name="20% - Accent3 12" xfId="294"/>
    <cellStyle name="20% - Accent3 13" xfId="295"/>
    <cellStyle name="20% - Accent3 14" xfId="296"/>
    <cellStyle name="20% - Accent3 15" xfId="297"/>
    <cellStyle name="20% - Accent3 16" xfId="298"/>
    <cellStyle name="20% - Accent3 17" xfId="299"/>
    <cellStyle name="20% - Accent3 2" xfId="300"/>
    <cellStyle name="20% - Accent3 3" xfId="301"/>
    <cellStyle name="20% - Accent3 4" xfId="302"/>
    <cellStyle name="20% - Accent3 5" xfId="303"/>
    <cellStyle name="20% - Accent3 6" xfId="304"/>
    <cellStyle name="20% - Accent3 7" xfId="305"/>
    <cellStyle name="20% - Accent3 8" xfId="306"/>
    <cellStyle name="20% - Accent3 9" xfId="307"/>
    <cellStyle name="20% - Accent4" xfId="33" builtinId="42" customBuiltin="1"/>
    <cellStyle name="20% - Accent4 10" xfId="308"/>
    <cellStyle name="20% - Accent4 11" xfId="309"/>
    <cellStyle name="20% - Accent4 12" xfId="310"/>
    <cellStyle name="20% - Accent4 13" xfId="311"/>
    <cellStyle name="20% - Accent4 14" xfId="312"/>
    <cellStyle name="20% - Accent4 15" xfId="313"/>
    <cellStyle name="20% - Accent4 16" xfId="314"/>
    <cellStyle name="20% - Accent4 17" xfId="315"/>
    <cellStyle name="20% - Accent4 2" xfId="316"/>
    <cellStyle name="20% - Accent4 3" xfId="317"/>
    <cellStyle name="20% - Accent4 4" xfId="318"/>
    <cellStyle name="20% - Accent4 5" xfId="319"/>
    <cellStyle name="20% - Accent4 6" xfId="320"/>
    <cellStyle name="20% - Accent4 7" xfId="321"/>
    <cellStyle name="20% - Accent4 8" xfId="322"/>
    <cellStyle name="20% - Accent4 9" xfId="323"/>
    <cellStyle name="20% - Accent5" xfId="37" builtinId="46" customBuiltin="1"/>
    <cellStyle name="20% - Accent5 10" xfId="324"/>
    <cellStyle name="20% - Accent5 11" xfId="325"/>
    <cellStyle name="20% - Accent5 12" xfId="326"/>
    <cellStyle name="20% - Accent5 13" xfId="327"/>
    <cellStyle name="20% - Accent5 14" xfId="328"/>
    <cellStyle name="20% - Accent5 15" xfId="329"/>
    <cellStyle name="20% - Accent5 16" xfId="330"/>
    <cellStyle name="20% - Accent5 17" xfId="331"/>
    <cellStyle name="20% - Accent5 2" xfId="332"/>
    <cellStyle name="20% - Accent5 3" xfId="333"/>
    <cellStyle name="20% - Accent5 4" xfId="334"/>
    <cellStyle name="20% - Accent5 5" xfId="335"/>
    <cellStyle name="20% - Accent5 6" xfId="336"/>
    <cellStyle name="20% - Accent5 7" xfId="337"/>
    <cellStyle name="20% - Accent5 8" xfId="338"/>
    <cellStyle name="20% - Accent5 9" xfId="339"/>
    <cellStyle name="20% - Accent6" xfId="41" builtinId="50" customBuiltin="1"/>
    <cellStyle name="20% - Accent6 10" xfId="340"/>
    <cellStyle name="20% - Accent6 11" xfId="341"/>
    <cellStyle name="20% - Accent6 12" xfId="342"/>
    <cellStyle name="20% - Accent6 13" xfId="343"/>
    <cellStyle name="20% - Accent6 14" xfId="344"/>
    <cellStyle name="20% - Accent6 15" xfId="345"/>
    <cellStyle name="20% - Accent6 16" xfId="346"/>
    <cellStyle name="20% - Accent6 17" xfId="347"/>
    <cellStyle name="20% - Accent6 2" xfId="348"/>
    <cellStyle name="20% - Accent6 3" xfId="349"/>
    <cellStyle name="20% - Accent6 4" xfId="350"/>
    <cellStyle name="20% - Accent6 5" xfId="351"/>
    <cellStyle name="20% - Accent6 6" xfId="352"/>
    <cellStyle name="20% - Accent6 7" xfId="353"/>
    <cellStyle name="20% - Accent6 8" xfId="354"/>
    <cellStyle name="20% - Accent6 9" xfId="355"/>
    <cellStyle name="40% - Accent1" xfId="22" builtinId="31" customBuiltin="1"/>
    <cellStyle name="40% - Accent1 10" xfId="356"/>
    <cellStyle name="40% - Accent1 11" xfId="357"/>
    <cellStyle name="40% - Accent1 12" xfId="358"/>
    <cellStyle name="40% - Accent1 13" xfId="359"/>
    <cellStyle name="40% - Accent1 14" xfId="360"/>
    <cellStyle name="40% - Accent1 15" xfId="361"/>
    <cellStyle name="40% - Accent1 16" xfId="362"/>
    <cellStyle name="40% - Accent1 17" xfId="363"/>
    <cellStyle name="40% - Accent1 2" xfId="364"/>
    <cellStyle name="40% - Accent1 3" xfId="365"/>
    <cellStyle name="40% - Accent1 4" xfId="366"/>
    <cellStyle name="40% - Accent1 5" xfId="367"/>
    <cellStyle name="40% - Accent1 6" xfId="368"/>
    <cellStyle name="40% - Accent1 7" xfId="369"/>
    <cellStyle name="40% - Accent1 8" xfId="370"/>
    <cellStyle name="40% - Accent1 9" xfId="371"/>
    <cellStyle name="40% - Accent2" xfId="26" builtinId="35" customBuiltin="1"/>
    <cellStyle name="40% - Accent2 10" xfId="372"/>
    <cellStyle name="40% - Accent2 11" xfId="373"/>
    <cellStyle name="40% - Accent2 12" xfId="374"/>
    <cellStyle name="40% - Accent2 13" xfId="375"/>
    <cellStyle name="40% - Accent2 14" xfId="376"/>
    <cellStyle name="40% - Accent2 15" xfId="377"/>
    <cellStyle name="40% - Accent2 16" xfId="378"/>
    <cellStyle name="40% - Accent2 17" xfId="379"/>
    <cellStyle name="40% - Accent2 2" xfId="380"/>
    <cellStyle name="40% - Accent2 3" xfId="381"/>
    <cellStyle name="40% - Accent2 4" xfId="382"/>
    <cellStyle name="40% - Accent2 5" xfId="383"/>
    <cellStyle name="40% - Accent2 6" xfId="384"/>
    <cellStyle name="40% - Accent2 7" xfId="385"/>
    <cellStyle name="40% - Accent2 8" xfId="386"/>
    <cellStyle name="40% - Accent2 9" xfId="387"/>
    <cellStyle name="40% - Accent3" xfId="30" builtinId="39" customBuiltin="1"/>
    <cellStyle name="40% - Accent3 10" xfId="388"/>
    <cellStyle name="40% - Accent3 11" xfId="389"/>
    <cellStyle name="40% - Accent3 12" xfId="390"/>
    <cellStyle name="40% - Accent3 13" xfId="391"/>
    <cellStyle name="40% - Accent3 14" xfId="392"/>
    <cellStyle name="40% - Accent3 15" xfId="393"/>
    <cellStyle name="40% - Accent3 16" xfId="394"/>
    <cellStyle name="40% - Accent3 17" xfId="395"/>
    <cellStyle name="40% - Accent3 2" xfId="396"/>
    <cellStyle name="40% - Accent3 3" xfId="397"/>
    <cellStyle name="40% - Accent3 4" xfId="398"/>
    <cellStyle name="40% - Accent3 5" xfId="399"/>
    <cellStyle name="40% - Accent3 6" xfId="400"/>
    <cellStyle name="40% - Accent3 7" xfId="401"/>
    <cellStyle name="40% - Accent3 8" xfId="402"/>
    <cellStyle name="40% - Accent3 9" xfId="403"/>
    <cellStyle name="40% - Accent4" xfId="34" builtinId="43" customBuiltin="1"/>
    <cellStyle name="40% - Accent4 10" xfId="404"/>
    <cellStyle name="40% - Accent4 11" xfId="405"/>
    <cellStyle name="40% - Accent4 12" xfId="406"/>
    <cellStyle name="40% - Accent4 13" xfId="407"/>
    <cellStyle name="40% - Accent4 14" xfId="408"/>
    <cellStyle name="40% - Accent4 15" xfId="409"/>
    <cellStyle name="40% - Accent4 16" xfId="410"/>
    <cellStyle name="40% - Accent4 17" xfId="411"/>
    <cellStyle name="40% - Accent4 2" xfId="412"/>
    <cellStyle name="40% - Accent4 3" xfId="413"/>
    <cellStyle name="40% - Accent4 4" xfId="414"/>
    <cellStyle name="40% - Accent4 5" xfId="415"/>
    <cellStyle name="40% - Accent4 6" xfId="416"/>
    <cellStyle name="40% - Accent4 7" xfId="417"/>
    <cellStyle name="40% - Accent4 8" xfId="418"/>
    <cellStyle name="40% - Accent4 9" xfId="419"/>
    <cellStyle name="40% - Accent5" xfId="38" builtinId="47" customBuiltin="1"/>
    <cellStyle name="40% - Accent5 10" xfId="420"/>
    <cellStyle name="40% - Accent5 11" xfId="421"/>
    <cellStyle name="40% - Accent5 12" xfId="422"/>
    <cellStyle name="40% - Accent5 13" xfId="423"/>
    <cellStyle name="40% - Accent5 14" xfId="424"/>
    <cellStyle name="40% - Accent5 15" xfId="425"/>
    <cellStyle name="40% - Accent5 16" xfId="426"/>
    <cellStyle name="40% - Accent5 17" xfId="427"/>
    <cellStyle name="40% - Accent5 2" xfId="428"/>
    <cellStyle name="40% - Accent5 3" xfId="429"/>
    <cellStyle name="40% - Accent5 4" xfId="430"/>
    <cellStyle name="40% - Accent5 5" xfId="431"/>
    <cellStyle name="40% - Accent5 6" xfId="432"/>
    <cellStyle name="40% - Accent5 7" xfId="433"/>
    <cellStyle name="40% - Accent5 8" xfId="434"/>
    <cellStyle name="40% - Accent5 9" xfId="435"/>
    <cellStyle name="40% - Accent6" xfId="42" builtinId="51" customBuiltin="1"/>
    <cellStyle name="40% - Accent6 10" xfId="436"/>
    <cellStyle name="40% - Accent6 11" xfId="437"/>
    <cellStyle name="40% - Accent6 12" xfId="438"/>
    <cellStyle name="40% - Accent6 13" xfId="439"/>
    <cellStyle name="40% - Accent6 14" xfId="440"/>
    <cellStyle name="40% - Accent6 15" xfId="441"/>
    <cellStyle name="40% - Accent6 16" xfId="442"/>
    <cellStyle name="40% - Accent6 17" xfId="443"/>
    <cellStyle name="40% - Accent6 2" xfId="444"/>
    <cellStyle name="40% - Accent6 3" xfId="445"/>
    <cellStyle name="40% - Accent6 4" xfId="446"/>
    <cellStyle name="40% - Accent6 5" xfId="447"/>
    <cellStyle name="40% - Accent6 6" xfId="448"/>
    <cellStyle name="40% - Accent6 7" xfId="449"/>
    <cellStyle name="40% - Accent6 8" xfId="450"/>
    <cellStyle name="40% - Accent6 9" xfId="45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Annotations Cell - PerformancePoint" xfId="46"/>
    <cellStyle name="Annotations Cell - PerformancePoint 10" xfId="452"/>
    <cellStyle name="Annotations Cell - PerformancePoint 11" xfId="453"/>
    <cellStyle name="Annotations Cell - PerformancePoint 12" xfId="454"/>
    <cellStyle name="Annotations Cell - PerformancePoint 13" xfId="455"/>
    <cellStyle name="Annotations Cell - PerformancePoint 14" xfId="456"/>
    <cellStyle name="Annotations Cell - PerformancePoint 15" xfId="457"/>
    <cellStyle name="Annotations Cell - PerformancePoint 16" xfId="458"/>
    <cellStyle name="Annotations Cell - PerformancePoint 17" xfId="459"/>
    <cellStyle name="Annotations Cell - PerformancePoint 2" xfId="460"/>
    <cellStyle name="Annotations Cell - PerformancePoint 3" xfId="461"/>
    <cellStyle name="Annotations Cell - PerformancePoint 4" xfId="462"/>
    <cellStyle name="Annotations Cell - PerformancePoint 5" xfId="463"/>
    <cellStyle name="Annotations Cell - PerformancePoint 6" xfId="464"/>
    <cellStyle name="Annotations Cell - PerformancePoint 7" xfId="465"/>
    <cellStyle name="Annotations Cell - PerformancePoint 8" xfId="466"/>
    <cellStyle name="Annotations Cell - PerformancePoint 9" xfId="467"/>
    <cellStyle name="Bad" xfId="9" builtinId="27" customBuiltin="1"/>
    <cellStyle name="Calculation" xfId="13" builtinId="22" customBuiltin="1"/>
    <cellStyle name="Check Cell" xfId="15" builtinId="23" customBuiltin="1"/>
    <cellStyle name="Comma" xfId="1" builtinId="3"/>
    <cellStyle name="Comma 2" xfId="47"/>
    <cellStyle name="Comma 2 2" xfId="468"/>
    <cellStyle name="Comma 2 3" xfId="11350"/>
    <cellStyle name="Comma 2 3 2" xfId="11363"/>
    <cellStyle name="Comma 2 4" xfId="11355"/>
    <cellStyle name="Comma 2 4 2" xfId="11364"/>
    <cellStyle name="Comma 2 5" xfId="11362"/>
    <cellStyle name="Comma 3" xfId="48"/>
    <cellStyle name="Comma 3 10" xfId="469"/>
    <cellStyle name="Comma 3 11" xfId="470"/>
    <cellStyle name="Comma 3 12" xfId="471"/>
    <cellStyle name="Comma 3 13" xfId="472"/>
    <cellStyle name="Comma 3 14" xfId="473"/>
    <cellStyle name="Comma 3 15" xfId="474"/>
    <cellStyle name="Comma 3 16" xfId="475"/>
    <cellStyle name="Comma 3 17" xfId="476"/>
    <cellStyle name="Comma 3 18" xfId="477"/>
    <cellStyle name="Comma 3 19" xfId="478"/>
    <cellStyle name="Comma 3 2" xfId="479"/>
    <cellStyle name="Comma 3 20" xfId="480"/>
    <cellStyle name="Comma 3 21" xfId="11351"/>
    <cellStyle name="Comma 3 21 2" xfId="11365"/>
    <cellStyle name="Comma 3 22" xfId="11356"/>
    <cellStyle name="Comma 3 3" xfId="481"/>
    <cellStyle name="Comma 3 4" xfId="482"/>
    <cellStyle name="Comma 3 5" xfId="483"/>
    <cellStyle name="Comma 3 6" xfId="484"/>
    <cellStyle name="Comma 3 7" xfId="485"/>
    <cellStyle name="Comma 3 8" xfId="486"/>
    <cellStyle name="Comma 3 9" xfId="487"/>
    <cellStyle name="Comma 4" xfId="49"/>
    <cellStyle name="Comma 4 2" xfId="11366"/>
    <cellStyle name="Comma 5" xfId="10837"/>
    <cellStyle name="Comma 5 10" xfId="10914"/>
    <cellStyle name="Comma 5 100" xfId="11128"/>
    <cellStyle name="Comma 5 101" xfId="11135"/>
    <cellStyle name="Comma 5 102" xfId="11143"/>
    <cellStyle name="Comma 5 103" xfId="11263"/>
    <cellStyle name="Comma 5 104" xfId="11137"/>
    <cellStyle name="Comma 5 105" xfId="11121"/>
    <cellStyle name="Comma 5 106" xfId="11277"/>
    <cellStyle name="Comma 5 107" xfId="11258"/>
    <cellStyle name="Comma 5 108" xfId="11245"/>
    <cellStyle name="Comma 5 109" xfId="11302"/>
    <cellStyle name="Comma 5 11" xfId="10862"/>
    <cellStyle name="Comma 5 110" xfId="11240"/>
    <cellStyle name="Comma 5 111" xfId="11174"/>
    <cellStyle name="Comma 5 112" xfId="11147"/>
    <cellStyle name="Comma 5 113" xfId="11269"/>
    <cellStyle name="Comma 5 114" xfId="11252"/>
    <cellStyle name="Comma 5 115" xfId="11165"/>
    <cellStyle name="Comma 5 116" xfId="11260"/>
    <cellStyle name="Comma 5 117" xfId="11224"/>
    <cellStyle name="Comma 5 118" xfId="11188"/>
    <cellStyle name="Comma 5 119" xfId="11270"/>
    <cellStyle name="Comma 5 12" xfId="10908"/>
    <cellStyle name="Comma 5 120" xfId="11303"/>
    <cellStyle name="Comma 5 121" xfId="11221"/>
    <cellStyle name="Comma 5 122" xfId="11237"/>
    <cellStyle name="Comma 5 123" xfId="11155"/>
    <cellStyle name="Comma 5 124" xfId="11149"/>
    <cellStyle name="Comma 5 125" xfId="11178"/>
    <cellStyle name="Comma 5 126" xfId="11166"/>
    <cellStyle name="Comma 5 127" xfId="11279"/>
    <cellStyle name="Comma 5 128" xfId="11130"/>
    <cellStyle name="Comma 5 129" xfId="11176"/>
    <cellStyle name="Comma 5 13" xfId="10864"/>
    <cellStyle name="Comma 5 130" xfId="11280"/>
    <cellStyle name="Comma 5 131" xfId="11268"/>
    <cellStyle name="Comma 5 132" xfId="11144"/>
    <cellStyle name="Comma 5 133" xfId="11304"/>
    <cellStyle name="Comma 5 134" xfId="11199"/>
    <cellStyle name="Comma 5 135" xfId="11214"/>
    <cellStyle name="Comma 5 136" xfId="11261"/>
    <cellStyle name="Comma 5 137" xfId="11184"/>
    <cellStyle name="Comma 5 138" xfId="11171"/>
    <cellStyle name="Comma 5 139" xfId="11248"/>
    <cellStyle name="Comma 5 14" xfId="10905"/>
    <cellStyle name="Comma 5 140" xfId="11198"/>
    <cellStyle name="Comma 5 141" xfId="11251"/>
    <cellStyle name="Comma 5 142" xfId="11202"/>
    <cellStyle name="Comma 5 143" xfId="11181"/>
    <cellStyle name="Comma 5 144" xfId="11209"/>
    <cellStyle name="Comma 5 145" xfId="11210"/>
    <cellStyle name="Comma 5 146" xfId="11206"/>
    <cellStyle name="Comma 5 147" xfId="11167"/>
    <cellStyle name="Comma 5 148" xfId="11306"/>
    <cellStyle name="Comma 5 149" xfId="11294"/>
    <cellStyle name="Comma 5 15" xfId="10918"/>
    <cellStyle name="Comma 5 150" xfId="11191"/>
    <cellStyle name="Comma 5 151" xfId="11208"/>
    <cellStyle name="Comma 5 152" xfId="11203"/>
    <cellStyle name="Comma 5 153" xfId="11194"/>
    <cellStyle name="Comma 5 154" xfId="11309"/>
    <cellStyle name="Comma 5 155" xfId="11317"/>
    <cellStyle name="Comma 5 156" xfId="11325"/>
    <cellStyle name="Comma 5 157" xfId="11327"/>
    <cellStyle name="Comma 5 158" xfId="11328"/>
    <cellStyle name="Comma 5 159" xfId="11320"/>
    <cellStyle name="Comma 5 16" xfId="10903"/>
    <cellStyle name="Comma 5 160" xfId="11330"/>
    <cellStyle name="Comma 5 161" xfId="11332"/>
    <cellStyle name="Comma 5 17" xfId="10869"/>
    <cellStyle name="Comma 5 18" xfId="10898"/>
    <cellStyle name="Comma 5 19" xfId="10872"/>
    <cellStyle name="Comma 5 2" xfId="10933"/>
    <cellStyle name="Comma 5 20" xfId="10896"/>
    <cellStyle name="Comma 5 21" xfId="10875"/>
    <cellStyle name="Comma 5 22" xfId="10893"/>
    <cellStyle name="Comma 5 23" xfId="10876"/>
    <cellStyle name="Comma 5 24" xfId="10892"/>
    <cellStyle name="Comma 5 25" xfId="10878"/>
    <cellStyle name="Comma 5 26" xfId="10890"/>
    <cellStyle name="Comma 5 27" xfId="10881"/>
    <cellStyle name="Comma 5 28" xfId="10887"/>
    <cellStyle name="Comma 5 29" xfId="10883"/>
    <cellStyle name="Comma 5 3" xfId="10845"/>
    <cellStyle name="Comma 5 30" xfId="10925"/>
    <cellStyle name="Comma 5 31" xfId="10884"/>
    <cellStyle name="Comma 5 32" xfId="10848"/>
    <cellStyle name="Comma 5 33" xfId="10886"/>
    <cellStyle name="Comma 5 34" xfId="10990"/>
    <cellStyle name="Comma 5 35" xfId="10941"/>
    <cellStyle name="Comma 5 36" xfId="10985"/>
    <cellStyle name="Comma 5 37" xfId="10945"/>
    <cellStyle name="Comma 5 38" xfId="10981"/>
    <cellStyle name="Comma 5 39" xfId="10948"/>
    <cellStyle name="Comma 5 4" xfId="10927"/>
    <cellStyle name="Comma 5 40" xfId="10977"/>
    <cellStyle name="Comma 5 41" xfId="10952"/>
    <cellStyle name="Comma 5 42" xfId="10975"/>
    <cellStyle name="Comma 5 43" xfId="10954"/>
    <cellStyle name="Comma 5 44" xfId="10973"/>
    <cellStyle name="Comma 5 45" xfId="10956"/>
    <cellStyle name="Comma 5 46" xfId="10971"/>
    <cellStyle name="Comma 5 47" xfId="10959"/>
    <cellStyle name="Comma 5 48" xfId="10968"/>
    <cellStyle name="Comma 5 49" xfId="10962"/>
    <cellStyle name="Comma 5 5" xfId="10851"/>
    <cellStyle name="Comma 5 50" xfId="10965"/>
    <cellStyle name="Comma 5 51" xfId="10964"/>
    <cellStyle name="Comma 5 52" xfId="11052"/>
    <cellStyle name="Comma 5 53" xfId="10998"/>
    <cellStyle name="Comma 5 54" xfId="11043"/>
    <cellStyle name="Comma 5 55" xfId="11003"/>
    <cellStyle name="Comma 5 56" xfId="11036"/>
    <cellStyle name="Comma 5 57" xfId="11054"/>
    <cellStyle name="Comma 5 58" xfId="10995"/>
    <cellStyle name="Comma 5 59" xfId="11058"/>
    <cellStyle name="Comma 5 6" xfId="10923"/>
    <cellStyle name="Comma 5 60" xfId="11046"/>
    <cellStyle name="Comma 5 61" xfId="11000"/>
    <cellStyle name="Comma 5 62" xfId="11041"/>
    <cellStyle name="Comma 5 63" xfId="11007"/>
    <cellStyle name="Comma 5 64" xfId="11034"/>
    <cellStyle name="Comma 5 65" xfId="10993"/>
    <cellStyle name="Comma 5 66" xfId="11035"/>
    <cellStyle name="Comma 5 67" xfId="11015"/>
    <cellStyle name="Comma 5 68" xfId="11029"/>
    <cellStyle name="Comma 5 69" xfId="11018"/>
    <cellStyle name="Comma 5 7" xfId="10854"/>
    <cellStyle name="Comma 5 70" xfId="11059"/>
    <cellStyle name="Comma 5 71" xfId="11060"/>
    <cellStyle name="Comma 5 72" xfId="11013"/>
    <cellStyle name="Comma 5 73" xfId="11061"/>
    <cellStyle name="Comma 5 74" xfId="11024"/>
    <cellStyle name="Comma 5 75" xfId="11082"/>
    <cellStyle name="Comma 5 76" xfId="11065"/>
    <cellStyle name="Comma 5 77" xfId="11077"/>
    <cellStyle name="Comma 5 78" xfId="11068"/>
    <cellStyle name="Comma 5 79" xfId="11074"/>
    <cellStyle name="Comma 5 8" xfId="10919"/>
    <cellStyle name="Comma 5 80" xfId="11081"/>
    <cellStyle name="Comma 5 81" xfId="11084"/>
    <cellStyle name="Comma 5 82" xfId="11064"/>
    <cellStyle name="Comma 5 83" xfId="11108"/>
    <cellStyle name="Comma 5 84" xfId="11089"/>
    <cellStyle name="Comma 5 85" xfId="11102"/>
    <cellStyle name="Comma 5 86" xfId="11093"/>
    <cellStyle name="Comma 5 87" xfId="11099"/>
    <cellStyle name="Comma 5 88" xfId="11111"/>
    <cellStyle name="Comma 5 89" xfId="11107"/>
    <cellStyle name="Comma 5 9" xfId="10858"/>
    <cellStyle name="Comma 5 90" xfId="11098"/>
    <cellStyle name="Comma 5 91" xfId="11095"/>
    <cellStyle name="Comma 5 92" xfId="11286"/>
    <cellStyle name="Comma 5 93" xfId="11290"/>
    <cellStyle name="Comma 5 94" xfId="11120"/>
    <cellStyle name="Comma 5 95" xfId="11276"/>
    <cellStyle name="Comma 5 96" xfId="11145"/>
    <cellStyle name="Comma 5 97" xfId="11266"/>
    <cellStyle name="Comma 5 98" xfId="11262"/>
    <cellStyle name="Comma 5 99" xfId="11299"/>
    <cellStyle name="Comma 6" xfId="11339"/>
    <cellStyle name="Comma 6 2" xfId="11343"/>
    <cellStyle name="Comma 6 2 2" xfId="11368"/>
    <cellStyle name="Comma 6 3" xfId="11367"/>
    <cellStyle name="CP Dark Blue" xfId="10838"/>
    <cellStyle name="CP Dark Red" xfId="10839"/>
    <cellStyle name="CP Light Blue" xfId="10840"/>
    <cellStyle name="CP Light Blue 10" xfId="10915"/>
    <cellStyle name="CP Light Blue 100" xfId="11131"/>
    <cellStyle name="CP Light Blue 101" xfId="11275"/>
    <cellStyle name="CP Light Blue 102" xfId="11146"/>
    <cellStyle name="CP Light Blue 103" xfId="11267"/>
    <cellStyle name="CP Light Blue 104" xfId="11297"/>
    <cellStyle name="CP Light Blue 105" xfId="11295"/>
    <cellStyle name="CP Light Blue 106" xfId="11125"/>
    <cellStyle name="CP Light Blue 107" xfId="11126"/>
    <cellStyle name="CP Light Blue 108" xfId="11142"/>
    <cellStyle name="CP Light Blue 109" xfId="11300"/>
    <cellStyle name="CP Light Blue 11" xfId="10861"/>
    <cellStyle name="CP Light Blue 110" xfId="11134"/>
    <cellStyle name="CP Light Blue 111" xfId="11157"/>
    <cellStyle name="CP Light Blue 112" xfId="11288"/>
    <cellStyle name="CP Light Blue 113" xfId="11138"/>
    <cellStyle name="CP Light Blue 114" xfId="11231"/>
    <cellStyle name="CP Light Blue 115" xfId="11148"/>
    <cellStyle name="CP Light Blue 116" xfId="11298"/>
    <cellStyle name="CP Light Blue 117" xfId="11223"/>
    <cellStyle name="CP Light Blue 118" xfId="11189"/>
    <cellStyle name="CP Light Blue 119" xfId="11256"/>
    <cellStyle name="CP Light Blue 12" xfId="10909"/>
    <cellStyle name="CP Light Blue 120" xfId="11253"/>
    <cellStyle name="CP Light Blue 121" xfId="11179"/>
    <cellStyle name="CP Light Blue 122" xfId="11160"/>
    <cellStyle name="CP Light Blue 123" xfId="11254"/>
    <cellStyle name="CP Light Blue 124" xfId="11154"/>
    <cellStyle name="CP Light Blue 125" xfId="11219"/>
    <cellStyle name="CP Light Blue 126" xfId="11172"/>
    <cellStyle name="CP Light Blue 127" xfId="11164"/>
    <cellStyle name="CP Light Blue 128" xfId="11250"/>
    <cellStyle name="CP Light Blue 129" xfId="11238"/>
    <cellStyle name="CP Light Blue 13" xfId="10843"/>
    <cellStyle name="CP Light Blue 130" xfId="11197"/>
    <cellStyle name="CP Light Blue 131" xfId="11285"/>
    <cellStyle name="CP Light Blue 132" xfId="11169"/>
    <cellStyle name="CP Light Blue 133" xfId="11305"/>
    <cellStyle name="CP Light Blue 134" xfId="11200"/>
    <cellStyle name="CP Light Blue 135" xfId="11185"/>
    <cellStyle name="CP Light Blue 136" xfId="11233"/>
    <cellStyle name="CP Light Blue 137" xfId="11259"/>
    <cellStyle name="CP Light Blue 138" xfId="11192"/>
    <cellStyle name="CP Light Blue 139" xfId="11212"/>
    <cellStyle name="CP Light Blue 14" xfId="10906"/>
    <cellStyle name="CP Light Blue 140" xfId="11242"/>
    <cellStyle name="CP Light Blue 141" xfId="11196"/>
    <cellStyle name="CP Light Blue 142" xfId="11204"/>
    <cellStyle name="CP Light Blue 143" xfId="11163"/>
    <cellStyle name="CP Light Blue 144" xfId="11150"/>
    <cellStyle name="CP Light Blue 145" xfId="11296"/>
    <cellStyle name="CP Light Blue 146" xfId="11215"/>
    <cellStyle name="CP Light Blue 147" xfId="11170"/>
    <cellStyle name="CP Light Blue 148" xfId="11156"/>
    <cellStyle name="CP Light Blue 149" xfId="11264"/>
    <cellStyle name="CP Light Blue 15" xfId="10867"/>
    <cellStyle name="CP Light Blue 150" xfId="11151"/>
    <cellStyle name="CP Light Blue 151" xfId="11307"/>
    <cellStyle name="CP Light Blue 152" xfId="11272"/>
    <cellStyle name="CP Light Blue 153" xfId="11186"/>
    <cellStyle name="CP Light Blue 154" xfId="11310"/>
    <cellStyle name="CP Light Blue 155" xfId="11318"/>
    <cellStyle name="CP Light Blue 156" xfId="11326"/>
    <cellStyle name="CP Light Blue 157" xfId="11329"/>
    <cellStyle name="CP Light Blue 158" xfId="11319"/>
    <cellStyle name="CP Light Blue 159" xfId="11323"/>
    <cellStyle name="CP Light Blue 16" xfId="10846"/>
    <cellStyle name="CP Light Blue 160" xfId="11331"/>
    <cellStyle name="CP Light Blue 161" xfId="11333"/>
    <cellStyle name="CP Light Blue 17" xfId="10912"/>
    <cellStyle name="CP Light Blue 18" xfId="10899"/>
    <cellStyle name="CP Light Blue 19" xfId="10871"/>
    <cellStyle name="CP Light Blue 2" xfId="10934"/>
    <cellStyle name="CP Light Blue 20" xfId="10897"/>
    <cellStyle name="CP Light Blue 21" xfId="10874"/>
    <cellStyle name="CP Light Blue 22" xfId="10894"/>
    <cellStyle name="CP Light Blue 23" xfId="10913"/>
    <cellStyle name="CP Light Blue 24" xfId="10931"/>
    <cellStyle name="CP Light Blue 25" xfId="10877"/>
    <cellStyle name="CP Light Blue 26" xfId="10891"/>
    <cellStyle name="CP Light Blue 27" xfId="10880"/>
    <cellStyle name="CP Light Blue 28" xfId="10888"/>
    <cellStyle name="CP Light Blue 29" xfId="10902"/>
    <cellStyle name="CP Light Blue 3" xfId="10935"/>
    <cellStyle name="CP Light Blue 30" xfId="10930"/>
    <cellStyle name="CP Light Blue 31" xfId="10849"/>
    <cellStyle name="CP Light Blue 32" xfId="10895"/>
    <cellStyle name="CP Light Blue 33" xfId="10885"/>
    <cellStyle name="CP Light Blue 34" xfId="10991"/>
    <cellStyle name="CP Light Blue 35" xfId="10940"/>
    <cellStyle name="CP Light Blue 36" xfId="10986"/>
    <cellStyle name="CP Light Blue 37" xfId="10944"/>
    <cellStyle name="CP Light Blue 38" xfId="10982"/>
    <cellStyle name="CP Light Blue 39" xfId="10947"/>
    <cellStyle name="CP Light Blue 4" xfId="10928"/>
    <cellStyle name="CP Light Blue 40" xfId="10978"/>
    <cellStyle name="CP Light Blue 41" xfId="10951"/>
    <cellStyle name="CP Light Blue 42" xfId="10976"/>
    <cellStyle name="CP Light Blue 43" xfId="10953"/>
    <cellStyle name="CP Light Blue 44" xfId="10974"/>
    <cellStyle name="CP Light Blue 45" xfId="10955"/>
    <cellStyle name="CP Light Blue 46" xfId="10972"/>
    <cellStyle name="CP Light Blue 47" xfId="10958"/>
    <cellStyle name="CP Light Blue 48" xfId="10969"/>
    <cellStyle name="CP Light Blue 49" xfId="10961"/>
    <cellStyle name="CP Light Blue 5" xfId="10850"/>
    <cellStyle name="CP Light Blue 50" xfId="10966"/>
    <cellStyle name="CP Light Blue 51" xfId="10963"/>
    <cellStyle name="CP Light Blue 52" xfId="11053"/>
    <cellStyle name="CP Light Blue 53" xfId="10997"/>
    <cellStyle name="CP Light Blue 54" xfId="11044"/>
    <cellStyle name="CP Light Blue 55" xfId="11002"/>
    <cellStyle name="CP Light Blue 56" xfId="11037"/>
    <cellStyle name="CP Light Blue 57" xfId="11050"/>
    <cellStyle name="CP Light Blue 58" xfId="11056"/>
    <cellStyle name="CP Light Blue 59" xfId="11047"/>
    <cellStyle name="CP Light Blue 6" xfId="10924"/>
    <cellStyle name="CP Light Blue 60" xfId="11057"/>
    <cellStyle name="CP Light Blue 61" xfId="10999"/>
    <cellStyle name="CP Light Blue 62" xfId="11040"/>
    <cellStyle name="CP Light Blue 63" xfId="11006"/>
    <cellStyle name="CP Light Blue 64" xfId="11048"/>
    <cellStyle name="CP Light Blue 65" xfId="11012"/>
    <cellStyle name="CP Light Blue 66" xfId="11032"/>
    <cellStyle name="CP Light Blue 67" xfId="11042"/>
    <cellStyle name="CP Light Blue 68" xfId="11005"/>
    <cellStyle name="CP Light Blue 69" xfId="11017"/>
    <cellStyle name="CP Light Blue 7" xfId="10853"/>
    <cellStyle name="CP Light Blue 70" xfId="11027"/>
    <cellStyle name="CP Light Blue 71" xfId="11019"/>
    <cellStyle name="CP Light Blue 72" xfId="11031"/>
    <cellStyle name="CP Light Blue 73" xfId="11016"/>
    <cellStyle name="CP Light Blue 74" xfId="11028"/>
    <cellStyle name="CP Light Blue 75" xfId="11083"/>
    <cellStyle name="CP Light Blue 76" xfId="11062"/>
    <cellStyle name="CP Light Blue 77" xfId="11079"/>
    <cellStyle name="CP Light Blue 78" xfId="11066"/>
    <cellStyle name="CP Light Blue 79" xfId="11076"/>
    <cellStyle name="CP Light Blue 8" xfId="10920"/>
    <cellStyle name="CP Light Blue 80" xfId="11069"/>
    <cellStyle name="CP Light Blue 81" xfId="11073"/>
    <cellStyle name="CP Light Blue 82" xfId="11071"/>
    <cellStyle name="CP Light Blue 83" xfId="11109"/>
    <cellStyle name="CP Light Blue 84" xfId="11088"/>
    <cellStyle name="CP Light Blue 85" xfId="11103"/>
    <cellStyle name="CP Light Blue 86" xfId="11092"/>
    <cellStyle name="CP Light Blue 87" xfId="11100"/>
    <cellStyle name="CP Light Blue 88" xfId="11110"/>
    <cellStyle name="CP Light Blue 89" xfId="11087"/>
    <cellStyle name="CP Light Blue 9" xfId="10857"/>
    <cellStyle name="CP Light Blue 90" xfId="11104"/>
    <cellStyle name="CP Light Blue 91" xfId="11090"/>
    <cellStyle name="CP Light Blue 92" xfId="11287"/>
    <cellStyle name="CP Light Blue 93" xfId="11291"/>
    <cellStyle name="CP Light Blue 94" xfId="11133"/>
    <cellStyle name="CP Light Blue 95" xfId="11273"/>
    <cellStyle name="CP Light Blue 96" xfId="11139"/>
    <cellStyle name="CP Light Blue 97" xfId="11271"/>
    <cellStyle name="CP Light Blue 98" xfId="11289"/>
    <cellStyle name="CP Light Blue 99" xfId="11292"/>
    <cellStyle name="CP Light Dark Red 1" xfId="10841"/>
    <cellStyle name="CP Light Dark Red 2" xfId="10842"/>
    <cellStyle name="Currency" xfId="11334" builtinId="4"/>
    <cellStyle name="Currency 2" xfId="50"/>
    <cellStyle name="Currency 2 10" xfId="488"/>
    <cellStyle name="Currency 2 10 10" xfId="489"/>
    <cellStyle name="Currency 2 10 10 2" xfId="11371"/>
    <cellStyle name="Currency 2 10 11" xfId="490"/>
    <cellStyle name="Currency 2 10 11 2" xfId="11372"/>
    <cellStyle name="Currency 2 10 12" xfId="491"/>
    <cellStyle name="Currency 2 10 12 2" xfId="11373"/>
    <cellStyle name="Currency 2 10 13" xfId="492"/>
    <cellStyle name="Currency 2 10 13 2" xfId="11374"/>
    <cellStyle name="Currency 2 10 14" xfId="493"/>
    <cellStyle name="Currency 2 10 14 2" xfId="11375"/>
    <cellStyle name="Currency 2 10 15" xfId="494"/>
    <cellStyle name="Currency 2 10 15 2" xfId="11376"/>
    <cellStyle name="Currency 2 10 16" xfId="495"/>
    <cellStyle name="Currency 2 10 16 2" xfId="11377"/>
    <cellStyle name="Currency 2 10 17" xfId="496"/>
    <cellStyle name="Currency 2 10 17 2" xfId="11378"/>
    <cellStyle name="Currency 2 10 18" xfId="11370"/>
    <cellStyle name="Currency 2 10 2" xfId="497"/>
    <cellStyle name="Currency 2 10 3" xfId="498"/>
    <cellStyle name="Currency 2 10 4" xfId="499"/>
    <cellStyle name="Currency 2 10 5" xfId="500"/>
    <cellStyle name="Currency 2 10 6" xfId="501"/>
    <cellStyle name="Currency 2 10 6 2" xfId="11379"/>
    <cellStyle name="Currency 2 10 7" xfId="502"/>
    <cellStyle name="Currency 2 10 7 2" xfId="11380"/>
    <cellStyle name="Currency 2 10 8" xfId="503"/>
    <cellStyle name="Currency 2 10 8 2" xfId="11381"/>
    <cellStyle name="Currency 2 10 9" xfId="504"/>
    <cellStyle name="Currency 2 10 9 2" xfId="11382"/>
    <cellStyle name="Currency 2 11" xfId="505"/>
    <cellStyle name="Currency 2 11 10" xfId="506"/>
    <cellStyle name="Currency 2 11 10 2" xfId="11384"/>
    <cellStyle name="Currency 2 11 11" xfId="507"/>
    <cellStyle name="Currency 2 11 11 2" xfId="11385"/>
    <cellStyle name="Currency 2 11 12" xfId="508"/>
    <cellStyle name="Currency 2 11 12 2" xfId="11386"/>
    <cellStyle name="Currency 2 11 13" xfId="509"/>
    <cellStyle name="Currency 2 11 13 2" xfId="11387"/>
    <cellStyle name="Currency 2 11 14" xfId="510"/>
    <cellStyle name="Currency 2 11 14 2" xfId="11388"/>
    <cellStyle name="Currency 2 11 15" xfId="511"/>
    <cellStyle name="Currency 2 11 15 2" xfId="11389"/>
    <cellStyle name="Currency 2 11 16" xfId="512"/>
    <cellStyle name="Currency 2 11 16 2" xfId="11390"/>
    <cellStyle name="Currency 2 11 17" xfId="513"/>
    <cellStyle name="Currency 2 11 17 2" xfId="11391"/>
    <cellStyle name="Currency 2 11 18" xfId="11383"/>
    <cellStyle name="Currency 2 11 2" xfId="514"/>
    <cellStyle name="Currency 2 11 3" xfId="515"/>
    <cellStyle name="Currency 2 11 4" xfId="516"/>
    <cellStyle name="Currency 2 11 5" xfId="517"/>
    <cellStyle name="Currency 2 11 6" xfId="518"/>
    <cellStyle name="Currency 2 11 6 2" xfId="11392"/>
    <cellStyle name="Currency 2 11 7" xfId="519"/>
    <cellStyle name="Currency 2 11 7 2" xfId="11393"/>
    <cellStyle name="Currency 2 11 8" xfId="520"/>
    <cellStyle name="Currency 2 11 8 2" xfId="11394"/>
    <cellStyle name="Currency 2 11 9" xfId="521"/>
    <cellStyle name="Currency 2 11 9 2" xfId="11395"/>
    <cellStyle name="Currency 2 12" xfId="522"/>
    <cellStyle name="Currency 2 12 10" xfId="523"/>
    <cellStyle name="Currency 2 12 10 2" xfId="11397"/>
    <cellStyle name="Currency 2 12 11" xfId="524"/>
    <cellStyle name="Currency 2 12 11 2" xfId="11398"/>
    <cellStyle name="Currency 2 12 12" xfId="525"/>
    <cellStyle name="Currency 2 12 12 2" xfId="11399"/>
    <cellStyle name="Currency 2 12 13" xfId="526"/>
    <cellStyle name="Currency 2 12 13 2" xfId="11400"/>
    <cellStyle name="Currency 2 12 14" xfId="527"/>
    <cellStyle name="Currency 2 12 14 2" xfId="11401"/>
    <cellStyle name="Currency 2 12 15" xfId="528"/>
    <cellStyle name="Currency 2 12 15 2" xfId="11402"/>
    <cellStyle name="Currency 2 12 16" xfId="529"/>
    <cellStyle name="Currency 2 12 16 2" xfId="11403"/>
    <cellStyle name="Currency 2 12 17" xfId="530"/>
    <cellStyle name="Currency 2 12 17 2" xfId="11404"/>
    <cellStyle name="Currency 2 12 18" xfId="11396"/>
    <cellStyle name="Currency 2 12 2" xfId="531"/>
    <cellStyle name="Currency 2 12 3" xfId="532"/>
    <cellStyle name="Currency 2 12 4" xfId="533"/>
    <cellStyle name="Currency 2 12 5" xfId="534"/>
    <cellStyle name="Currency 2 12 6" xfId="535"/>
    <cellStyle name="Currency 2 12 6 2" xfId="11405"/>
    <cellStyle name="Currency 2 12 7" xfId="536"/>
    <cellStyle name="Currency 2 12 7 2" xfId="11406"/>
    <cellStyle name="Currency 2 12 8" xfId="537"/>
    <cellStyle name="Currency 2 12 8 2" xfId="11407"/>
    <cellStyle name="Currency 2 12 9" xfId="538"/>
    <cellStyle name="Currency 2 12 9 2" xfId="11408"/>
    <cellStyle name="Currency 2 13" xfId="539"/>
    <cellStyle name="Currency 2 13 10" xfId="540"/>
    <cellStyle name="Currency 2 13 10 2" xfId="11410"/>
    <cellStyle name="Currency 2 13 11" xfId="541"/>
    <cellStyle name="Currency 2 13 11 2" xfId="11411"/>
    <cellStyle name="Currency 2 13 12" xfId="542"/>
    <cellStyle name="Currency 2 13 12 2" xfId="11412"/>
    <cellStyle name="Currency 2 13 13" xfId="543"/>
    <cellStyle name="Currency 2 13 13 2" xfId="11413"/>
    <cellStyle name="Currency 2 13 14" xfId="544"/>
    <cellStyle name="Currency 2 13 14 2" xfId="11414"/>
    <cellStyle name="Currency 2 13 15" xfId="545"/>
    <cellStyle name="Currency 2 13 15 2" xfId="11415"/>
    <cellStyle name="Currency 2 13 16" xfId="546"/>
    <cellStyle name="Currency 2 13 16 2" xfId="11416"/>
    <cellStyle name="Currency 2 13 17" xfId="547"/>
    <cellStyle name="Currency 2 13 17 2" xfId="11417"/>
    <cellStyle name="Currency 2 13 18" xfId="11409"/>
    <cellStyle name="Currency 2 13 2" xfId="548"/>
    <cellStyle name="Currency 2 13 3" xfId="549"/>
    <cellStyle name="Currency 2 13 4" xfId="550"/>
    <cellStyle name="Currency 2 13 5" xfId="551"/>
    <cellStyle name="Currency 2 13 6" xfId="552"/>
    <cellStyle name="Currency 2 13 6 2" xfId="11418"/>
    <cellStyle name="Currency 2 13 7" xfId="553"/>
    <cellStyle name="Currency 2 13 7 2" xfId="11419"/>
    <cellStyle name="Currency 2 13 8" xfId="554"/>
    <cellStyle name="Currency 2 13 8 2" xfId="11420"/>
    <cellStyle name="Currency 2 13 9" xfId="555"/>
    <cellStyle name="Currency 2 13 9 2" xfId="11421"/>
    <cellStyle name="Currency 2 14" xfId="556"/>
    <cellStyle name="Currency 2 14 10" xfId="557"/>
    <cellStyle name="Currency 2 14 10 2" xfId="11423"/>
    <cellStyle name="Currency 2 14 11" xfId="558"/>
    <cellStyle name="Currency 2 14 11 2" xfId="11424"/>
    <cellStyle name="Currency 2 14 12" xfId="559"/>
    <cellStyle name="Currency 2 14 12 2" xfId="11425"/>
    <cellStyle name="Currency 2 14 13" xfId="560"/>
    <cellStyle name="Currency 2 14 13 2" xfId="11426"/>
    <cellStyle name="Currency 2 14 14" xfId="561"/>
    <cellStyle name="Currency 2 14 14 2" xfId="11427"/>
    <cellStyle name="Currency 2 14 15" xfId="562"/>
    <cellStyle name="Currency 2 14 15 2" xfId="11428"/>
    <cellStyle name="Currency 2 14 16" xfId="563"/>
    <cellStyle name="Currency 2 14 16 2" xfId="11429"/>
    <cellStyle name="Currency 2 14 17" xfId="564"/>
    <cellStyle name="Currency 2 14 17 2" xfId="11430"/>
    <cellStyle name="Currency 2 14 18" xfId="11422"/>
    <cellStyle name="Currency 2 14 2" xfId="565"/>
    <cellStyle name="Currency 2 14 3" xfId="566"/>
    <cellStyle name="Currency 2 14 4" xfId="567"/>
    <cellStyle name="Currency 2 14 5" xfId="568"/>
    <cellStyle name="Currency 2 14 6" xfId="569"/>
    <cellStyle name="Currency 2 14 6 2" xfId="11431"/>
    <cellStyle name="Currency 2 14 7" xfId="570"/>
    <cellStyle name="Currency 2 14 7 2" xfId="11432"/>
    <cellStyle name="Currency 2 14 8" xfId="571"/>
    <cellStyle name="Currency 2 14 8 2" xfId="11433"/>
    <cellStyle name="Currency 2 14 9" xfId="572"/>
    <cellStyle name="Currency 2 14 9 2" xfId="11434"/>
    <cellStyle name="Currency 2 15" xfId="573"/>
    <cellStyle name="Currency 2 15 10" xfId="574"/>
    <cellStyle name="Currency 2 15 10 2" xfId="11436"/>
    <cellStyle name="Currency 2 15 11" xfId="575"/>
    <cellStyle name="Currency 2 15 11 2" xfId="11437"/>
    <cellStyle name="Currency 2 15 12" xfId="576"/>
    <cellStyle name="Currency 2 15 12 2" xfId="11438"/>
    <cellStyle name="Currency 2 15 13" xfId="577"/>
    <cellStyle name="Currency 2 15 13 2" xfId="11439"/>
    <cellStyle name="Currency 2 15 14" xfId="578"/>
    <cellStyle name="Currency 2 15 14 2" xfId="11440"/>
    <cellStyle name="Currency 2 15 15" xfId="579"/>
    <cellStyle name="Currency 2 15 15 2" xfId="11441"/>
    <cellStyle name="Currency 2 15 16" xfId="580"/>
    <cellStyle name="Currency 2 15 16 2" xfId="11442"/>
    <cellStyle name="Currency 2 15 17" xfId="581"/>
    <cellStyle name="Currency 2 15 17 2" xfId="11443"/>
    <cellStyle name="Currency 2 15 18" xfId="11435"/>
    <cellStyle name="Currency 2 15 2" xfId="582"/>
    <cellStyle name="Currency 2 15 3" xfId="583"/>
    <cellStyle name="Currency 2 15 4" xfId="584"/>
    <cellStyle name="Currency 2 15 5" xfId="585"/>
    <cellStyle name="Currency 2 15 6" xfId="586"/>
    <cellStyle name="Currency 2 15 6 2" xfId="11444"/>
    <cellStyle name="Currency 2 15 7" xfId="587"/>
    <cellStyle name="Currency 2 15 7 2" xfId="11445"/>
    <cellStyle name="Currency 2 15 8" xfId="588"/>
    <cellStyle name="Currency 2 15 8 2" xfId="11446"/>
    <cellStyle name="Currency 2 15 9" xfId="589"/>
    <cellStyle name="Currency 2 15 9 2" xfId="11447"/>
    <cellStyle name="Currency 2 16" xfId="590"/>
    <cellStyle name="Currency 2 16 10" xfId="591"/>
    <cellStyle name="Currency 2 16 10 2" xfId="11449"/>
    <cellStyle name="Currency 2 16 11" xfId="592"/>
    <cellStyle name="Currency 2 16 11 2" xfId="11450"/>
    <cellStyle name="Currency 2 16 12" xfId="593"/>
    <cellStyle name="Currency 2 16 12 2" xfId="11451"/>
    <cellStyle name="Currency 2 16 13" xfId="594"/>
    <cellStyle name="Currency 2 16 13 2" xfId="11452"/>
    <cellStyle name="Currency 2 16 14" xfId="595"/>
    <cellStyle name="Currency 2 16 14 2" xfId="11453"/>
    <cellStyle name="Currency 2 16 15" xfId="596"/>
    <cellStyle name="Currency 2 16 15 2" xfId="11454"/>
    <cellStyle name="Currency 2 16 16" xfId="597"/>
    <cellStyle name="Currency 2 16 16 2" xfId="11455"/>
    <cellStyle name="Currency 2 16 17" xfId="598"/>
    <cellStyle name="Currency 2 16 17 2" xfId="11456"/>
    <cellStyle name="Currency 2 16 18" xfId="11448"/>
    <cellStyle name="Currency 2 16 2" xfId="599"/>
    <cellStyle name="Currency 2 16 3" xfId="600"/>
    <cellStyle name="Currency 2 16 4" xfId="601"/>
    <cellStyle name="Currency 2 16 5" xfId="602"/>
    <cellStyle name="Currency 2 16 6" xfId="603"/>
    <cellStyle name="Currency 2 16 6 2" xfId="11457"/>
    <cellStyle name="Currency 2 16 7" xfId="604"/>
    <cellStyle name="Currency 2 16 7 2" xfId="11458"/>
    <cellStyle name="Currency 2 16 8" xfId="605"/>
    <cellStyle name="Currency 2 16 8 2" xfId="11459"/>
    <cellStyle name="Currency 2 16 9" xfId="606"/>
    <cellStyle name="Currency 2 16 9 2" xfId="11460"/>
    <cellStyle name="Currency 2 17" xfId="607"/>
    <cellStyle name="Currency 2 17 10" xfId="608"/>
    <cellStyle name="Currency 2 17 10 2" xfId="11462"/>
    <cellStyle name="Currency 2 17 11" xfId="609"/>
    <cellStyle name="Currency 2 17 11 2" xfId="11463"/>
    <cellStyle name="Currency 2 17 12" xfId="610"/>
    <cellStyle name="Currency 2 17 12 2" xfId="11464"/>
    <cellStyle name="Currency 2 17 13" xfId="611"/>
    <cellStyle name="Currency 2 17 13 2" xfId="11465"/>
    <cellStyle name="Currency 2 17 14" xfId="612"/>
    <cellStyle name="Currency 2 17 14 2" xfId="11466"/>
    <cellStyle name="Currency 2 17 15" xfId="613"/>
    <cellStyle name="Currency 2 17 15 2" xfId="11467"/>
    <cellStyle name="Currency 2 17 16" xfId="614"/>
    <cellStyle name="Currency 2 17 16 2" xfId="11468"/>
    <cellStyle name="Currency 2 17 17" xfId="615"/>
    <cellStyle name="Currency 2 17 17 2" xfId="11469"/>
    <cellStyle name="Currency 2 17 18" xfId="11461"/>
    <cellStyle name="Currency 2 17 2" xfId="616"/>
    <cellStyle name="Currency 2 17 3" xfId="617"/>
    <cellStyle name="Currency 2 17 4" xfId="618"/>
    <cellStyle name="Currency 2 17 5" xfId="619"/>
    <cellStyle name="Currency 2 17 6" xfId="620"/>
    <cellStyle name="Currency 2 17 6 2" xfId="11470"/>
    <cellStyle name="Currency 2 17 7" xfId="621"/>
    <cellStyle name="Currency 2 17 7 2" xfId="11471"/>
    <cellStyle name="Currency 2 17 8" xfId="622"/>
    <cellStyle name="Currency 2 17 8 2" xfId="11472"/>
    <cellStyle name="Currency 2 17 9" xfId="623"/>
    <cellStyle name="Currency 2 17 9 2" xfId="11473"/>
    <cellStyle name="Currency 2 18" xfId="624"/>
    <cellStyle name="Currency 2 18 10" xfId="625"/>
    <cellStyle name="Currency 2 18 10 2" xfId="11475"/>
    <cellStyle name="Currency 2 18 11" xfId="626"/>
    <cellStyle name="Currency 2 18 11 2" xfId="11476"/>
    <cellStyle name="Currency 2 18 12" xfId="627"/>
    <cellStyle name="Currency 2 18 12 2" xfId="11477"/>
    <cellStyle name="Currency 2 18 13" xfId="628"/>
    <cellStyle name="Currency 2 18 13 2" xfId="11478"/>
    <cellStyle name="Currency 2 18 14" xfId="629"/>
    <cellStyle name="Currency 2 18 14 2" xfId="11479"/>
    <cellStyle name="Currency 2 18 15" xfId="630"/>
    <cellStyle name="Currency 2 18 15 2" xfId="11480"/>
    <cellStyle name="Currency 2 18 16" xfId="631"/>
    <cellStyle name="Currency 2 18 16 2" xfId="11481"/>
    <cellStyle name="Currency 2 18 17" xfId="632"/>
    <cellStyle name="Currency 2 18 17 2" xfId="11482"/>
    <cellStyle name="Currency 2 18 18" xfId="11474"/>
    <cellStyle name="Currency 2 18 2" xfId="633"/>
    <cellStyle name="Currency 2 18 3" xfId="634"/>
    <cellStyle name="Currency 2 18 4" xfId="635"/>
    <cellStyle name="Currency 2 18 5" xfId="636"/>
    <cellStyle name="Currency 2 18 6" xfId="637"/>
    <cellStyle name="Currency 2 18 6 2" xfId="11483"/>
    <cellStyle name="Currency 2 18 7" xfId="638"/>
    <cellStyle name="Currency 2 18 7 2" xfId="11484"/>
    <cellStyle name="Currency 2 18 8" xfId="639"/>
    <cellStyle name="Currency 2 18 8 2" xfId="11485"/>
    <cellStyle name="Currency 2 18 9" xfId="640"/>
    <cellStyle name="Currency 2 18 9 2" xfId="11486"/>
    <cellStyle name="Currency 2 19" xfId="641"/>
    <cellStyle name="Currency 2 19 10" xfId="642"/>
    <cellStyle name="Currency 2 19 10 2" xfId="11488"/>
    <cellStyle name="Currency 2 19 11" xfId="643"/>
    <cellStyle name="Currency 2 19 11 2" xfId="11489"/>
    <cellStyle name="Currency 2 19 12" xfId="644"/>
    <cellStyle name="Currency 2 19 12 2" xfId="11490"/>
    <cellStyle name="Currency 2 19 13" xfId="645"/>
    <cellStyle name="Currency 2 19 13 2" xfId="11491"/>
    <cellStyle name="Currency 2 19 14" xfId="646"/>
    <cellStyle name="Currency 2 19 14 2" xfId="11492"/>
    <cellStyle name="Currency 2 19 15" xfId="647"/>
    <cellStyle name="Currency 2 19 15 2" xfId="11493"/>
    <cellStyle name="Currency 2 19 16" xfId="648"/>
    <cellStyle name="Currency 2 19 16 2" xfId="11494"/>
    <cellStyle name="Currency 2 19 17" xfId="649"/>
    <cellStyle name="Currency 2 19 17 2" xfId="11495"/>
    <cellStyle name="Currency 2 19 18" xfId="11487"/>
    <cellStyle name="Currency 2 19 2" xfId="650"/>
    <cellStyle name="Currency 2 19 3" xfId="651"/>
    <cellStyle name="Currency 2 19 4" xfId="652"/>
    <cellStyle name="Currency 2 19 5" xfId="653"/>
    <cellStyle name="Currency 2 19 6" xfId="654"/>
    <cellStyle name="Currency 2 19 6 2" xfId="11496"/>
    <cellStyle name="Currency 2 19 7" xfId="655"/>
    <cellStyle name="Currency 2 19 7 2" xfId="11497"/>
    <cellStyle name="Currency 2 19 8" xfId="656"/>
    <cellStyle name="Currency 2 19 8 2" xfId="11498"/>
    <cellStyle name="Currency 2 19 9" xfId="657"/>
    <cellStyle name="Currency 2 19 9 2" xfId="11499"/>
    <cellStyle name="Currency 2 2" xfId="658"/>
    <cellStyle name="Currency 2 2 10" xfId="659"/>
    <cellStyle name="Currency 2 2 10 2" xfId="11500"/>
    <cellStyle name="Currency 2 2 11" xfId="660"/>
    <cellStyle name="Currency 2 2 11 2" xfId="11501"/>
    <cellStyle name="Currency 2 2 12" xfId="661"/>
    <cellStyle name="Currency 2 2 12 2" xfId="11502"/>
    <cellStyle name="Currency 2 2 13" xfId="662"/>
    <cellStyle name="Currency 2 2 13 2" xfId="11503"/>
    <cellStyle name="Currency 2 2 14" xfId="663"/>
    <cellStyle name="Currency 2 2 14 2" xfId="11504"/>
    <cellStyle name="Currency 2 2 15" xfId="664"/>
    <cellStyle name="Currency 2 2 15 2" xfId="11505"/>
    <cellStyle name="Currency 2 2 16" xfId="665"/>
    <cellStyle name="Currency 2 2 16 2" xfId="11506"/>
    <cellStyle name="Currency 2 2 17" xfId="666"/>
    <cellStyle name="Currency 2 2 17 2" xfId="11507"/>
    <cellStyle name="Currency 2 2 18" xfId="667"/>
    <cellStyle name="Currency 2 2 18 2" xfId="11508"/>
    <cellStyle name="Currency 2 2 19" xfId="668"/>
    <cellStyle name="Currency 2 2 19 2" xfId="11509"/>
    <cellStyle name="Currency 2 2 2" xfId="669"/>
    <cellStyle name="Currency 2 2 2 10" xfId="670"/>
    <cellStyle name="Currency 2 2 2 10 2" xfId="11511"/>
    <cellStyle name="Currency 2 2 2 11" xfId="671"/>
    <cellStyle name="Currency 2 2 2 11 2" xfId="11512"/>
    <cellStyle name="Currency 2 2 2 12" xfId="672"/>
    <cellStyle name="Currency 2 2 2 12 2" xfId="11513"/>
    <cellStyle name="Currency 2 2 2 13" xfId="673"/>
    <cellStyle name="Currency 2 2 2 13 2" xfId="11514"/>
    <cellStyle name="Currency 2 2 2 14" xfId="11510"/>
    <cellStyle name="Currency 2 2 2 2" xfId="674"/>
    <cellStyle name="Currency 2 2 2 2 2" xfId="11515"/>
    <cellStyle name="Currency 2 2 2 3" xfId="675"/>
    <cellStyle name="Currency 2 2 2 3 2" xfId="11516"/>
    <cellStyle name="Currency 2 2 2 4" xfId="676"/>
    <cellStyle name="Currency 2 2 2 4 2" xfId="11517"/>
    <cellStyle name="Currency 2 2 2 5" xfId="677"/>
    <cellStyle name="Currency 2 2 2 5 2" xfId="11518"/>
    <cellStyle name="Currency 2 2 2 6" xfId="678"/>
    <cellStyle name="Currency 2 2 2 6 2" xfId="11519"/>
    <cellStyle name="Currency 2 2 2 7" xfId="679"/>
    <cellStyle name="Currency 2 2 2 7 2" xfId="11520"/>
    <cellStyle name="Currency 2 2 2 8" xfId="680"/>
    <cellStyle name="Currency 2 2 2 8 2" xfId="11521"/>
    <cellStyle name="Currency 2 2 2 9" xfId="681"/>
    <cellStyle name="Currency 2 2 2 9 2" xfId="11522"/>
    <cellStyle name="Currency 2 2 20" xfId="682"/>
    <cellStyle name="Currency 2 2 20 2" xfId="11523"/>
    <cellStyle name="Currency 2 2 21" xfId="683"/>
    <cellStyle name="Currency 2 2 21 2" xfId="11524"/>
    <cellStyle name="Currency 2 2 22" xfId="684"/>
    <cellStyle name="Currency 2 2 22 2" xfId="11525"/>
    <cellStyle name="Currency 2 2 23" xfId="685"/>
    <cellStyle name="Currency 2 2 23 2" xfId="11526"/>
    <cellStyle name="Currency 2 2 24" xfId="686"/>
    <cellStyle name="Currency 2 2 24 2" xfId="11527"/>
    <cellStyle name="Currency 2 2 25" xfId="687"/>
    <cellStyle name="Currency 2 2 25 2" xfId="11528"/>
    <cellStyle name="Currency 2 2 26" xfId="688"/>
    <cellStyle name="Currency 2 2 26 2" xfId="11529"/>
    <cellStyle name="Currency 2 2 27" xfId="689"/>
    <cellStyle name="Currency 2 2 27 2" xfId="11530"/>
    <cellStyle name="Currency 2 2 28" xfId="690"/>
    <cellStyle name="Currency 2 2 28 2" xfId="11531"/>
    <cellStyle name="Currency 2 2 29" xfId="691"/>
    <cellStyle name="Currency 2 2 29 2" xfId="11532"/>
    <cellStyle name="Currency 2 2 3" xfId="692"/>
    <cellStyle name="Currency 2 2 3 2" xfId="11533"/>
    <cellStyle name="Currency 2 2 30" xfId="693"/>
    <cellStyle name="Currency 2 2 30 2" xfId="11534"/>
    <cellStyle name="Currency 2 2 31" xfId="694"/>
    <cellStyle name="Currency 2 2 31 2" xfId="11535"/>
    <cellStyle name="Currency 2 2 32" xfId="695"/>
    <cellStyle name="Currency 2 2 32 2" xfId="11536"/>
    <cellStyle name="Currency 2 2 33" xfId="696"/>
    <cellStyle name="Currency 2 2 33 2" xfId="11537"/>
    <cellStyle name="Currency 2 2 34" xfId="697"/>
    <cellStyle name="Currency 2 2 34 2" xfId="11538"/>
    <cellStyle name="Currency 2 2 35" xfId="698"/>
    <cellStyle name="Currency 2 2 35 2" xfId="11539"/>
    <cellStyle name="Currency 2 2 36" xfId="699"/>
    <cellStyle name="Currency 2 2 36 2" xfId="11540"/>
    <cellStyle name="Currency 2 2 37" xfId="700"/>
    <cellStyle name="Currency 2 2 37 2" xfId="11541"/>
    <cellStyle name="Currency 2 2 38" xfId="701"/>
    <cellStyle name="Currency 2 2 38 2" xfId="11542"/>
    <cellStyle name="Currency 2 2 39" xfId="702"/>
    <cellStyle name="Currency 2 2 4" xfId="703"/>
    <cellStyle name="Currency 2 2 4 2" xfId="11543"/>
    <cellStyle name="Currency 2 2 40" xfId="704"/>
    <cellStyle name="Currency 2 2 41" xfId="705"/>
    <cellStyle name="Currency 2 2 42" xfId="706"/>
    <cellStyle name="Currency 2 2 43" xfId="707"/>
    <cellStyle name="Currency 2 2 44" xfId="708"/>
    <cellStyle name="Currency 2 2 45" xfId="709"/>
    <cellStyle name="Currency 2 2 46" xfId="710"/>
    <cellStyle name="Currency 2 2 47" xfId="711"/>
    <cellStyle name="Currency 2 2 48" xfId="712"/>
    <cellStyle name="Currency 2 2 49" xfId="713"/>
    <cellStyle name="Currency 2 2 5" xfId="714"/>
    <cellStyle name="Currency 2 2 5 2" xfId="11544"/>
    <cellStyle name="Currency 2 2 6" xfId="715"/>
    <cellStyle name="Currency 2 2 6 2" xfId="11545"/>
    <cellStyle name="Currency 2 2 7" xfId="716"/>
    <cellStyle name="Currency 2 2 7 2" xfId="11546"/>
    <cellStyle name="Currency 2 2 8" xfId="717"/>
    <cellStyle name="Currency 2 2 8 2" xfId="11547"/>
    <cellStyle name="Currency 2 2 9" xfId="718"/>
    <cellStyle name="Currency 2 2 9 2" xfId="11548"/>
    <cellStyle name="Currency 2 20" xfId="719"/>
    <cellStyle name="Currency 2 20 10" xfId="720"/>
    <cellStyle name="Currency 2 20 10 2" xfId="11550"/>
    <cellStyle name="Currency 2 20 11" xfId="721"/>
    <cellStyle name="Currency 2 20 11 2" xfId="11551"/>
    <cellStyle name="Currency 2 20 12" xfId="722"/>
    <cellStyle name="Currency 2 20 12 2" xfId="11552"/>
    <cellStyle name="Currency 2 20 13" xfId="723"/>
    <cellStyle name="Currency 2 20 13 2" xfId="11553"/>
    <cellStyle name="Currency 2 20 14" xfId="724"/>
    <cellStyle name="Currency 2 20 14 2" xfId="11554"/>
    <cellStyle name="Currency 2 20 15" xfId="725"/>
    <cellStyle name="Currency 2 20 15 2" xfId="11555"/>
    <cellStyle name="Currency 2 20 16" xfId="726"/>
    <cellStyle name="Currency 2 20 16 2" xfId="11556"/>
    <cellStyle name="Currency 2 20 17" xfId="727"/>
    <cellStyle name="Currency 2 20 17 2" xfId="11557"/>
    <cellStyle name="Currency 2 20 18" xfId="11549"/>
    <cellStyle name="Currency 2 20 2" xfId="728"/>
    <cellStyle name="Currency 2 20 3" xfId="729"/>
    <cellStyle name="Currency 2 20 4" xfId="730"/>
    <cellStyle name="Currency 2 20 5" xfId="731"/>
    <cellStyle name="Currency 2 20 6" xfId="732"/>
    <cellStyle name="Currency 2 20 6 2" xfId="11558"/>
    <cellStyle name="Currency 2 20 7" xfId="733"/>
    <cellStyle name="Currency 2 20 7 2" xfId="11559"/>
    <cellStyle name="Currency 2 20 8" xfId="734"/>
    <cellStyle name="Currency 2 20 8 2" xfId="11560"/>
    <cellStyle name="Currency 2 20 9" xfId="735"/>
    <cellStyle name="Currency 2 20 9 2" xfId="11561"/>
    <cellStyle name="Currency 2 21" xfId="736"/>
    <cellStyle name="Currency 2 21 10" xfId="737"/>
    <cellStyle name="Currency 2 21 10 2" xfId="11563"/>
    <cellStyle name="Currency 2 21 11" xfId="738"/>
    <cellStyle name="Currency 2 21 11 2" xfId="11564"/>
    <cellStyle name="Currency 2 21 12" xfId="739"/>
    <cellStyle name="Currency 2 21 12 2" xfId="11565"/>
    <cellStyle name="Currency 2 21 13" xfId="740"/>
    <cellStyle name="Currency 2 21 13 2" xfId="11566"/>
    <cellStyle name="Currency 2 21 14" xfId="741"/>
    <cellStyle name="Currency 2 21 14 2" xfId="11567"/>
    <cellStyle name="Currency 2 21 15" xfId="742"/>
    <cellStyle name="Currency 2 21 15 2" xfId="11568"/>
    <cellStyle name="Currency 2 21 16" xfId="743"/>
    <cellStyle name="Currency 2 21 16 2" xfId="11569"/>
    <cellStyle name="Currency 2 21 17" xfId="744"/>
    <cellStyle name="Currency 2 21 17 2" xfId="11570"/>
    <cellStyle name="Currency 2 21 18" xfId="11562"/>
    <cellStyle name="Currency 2 21 2" xfId="745"/>
    <cellStyle name="Currency 2 21 3" xfId="746"/>
    <cellStyle name="Currency 2 21 4" xfId="747"/>
    <cellStyle name="Currency 2 21 5" xfId="748"/>
    <cellStyle name="Currency 2 21 6" xfId="749"/>
    <cellStyle name="Currency 2 21 6 2" xfId="11571"/>
    <cellStyle name="Currency 2 21 7" xfId="750"/>
    <cellStyle name="Currency 2 21 7 2" xfId="11572"/>
    <cellStyle name="Currency 2 21 8" xfId="751"/>
    <cellStyle name="Currency 2 21 8 2" xfId="11573"/>
    <cellStyle name="Currency 2 21 9" xfId="752"/>
    <cellStyle name="Currency 2 21 9 2" xfId="11574"/>
    <cellStyle name="Currency 2 22" xfId="753"/>
    <cellStyle name="Currency 2 22 10" xfId="754"/>
    <cellStyle name="Currency 2 22 10 2" xfId="11576"/>
    <cellStyle name="Currency 2 22 11" xfId="755"/>
    <cellStyle name="Currency 2 22 11 2" xfId="11577"/>
    <cellStyle name="Currency 2 22 12" xfId="756"/>
    <cellStyle name="Currency 2 22 12 2" xfId="11578"/>
    <cellStyle name="Currency 2 22 13" xfId="757"/>
    <cellStyle name="Currency 2 22 13 2" xfId="11579"/>
    <cellStyle name="Currency 2 22 14" xfId="758"/>
    <cellStyle name="Currency 2 22 14 2" xfId="11580"/>
    <cellStyle name="Currency 2 22 15" xfId="759"/>
    <cellStyle name="Currency 2 22 15 2" xfId="11581"/>
    <cellStyle name="Currency 2 22 16" xfId="760"/>
    <cellStyle name="Currency 2 22 16 2" xfId="11582"/>
    <cellStyle name="Currency 2 22 17" xfId="761"/>
    <cellStyle name="Currency 2 22 17 2" xfId="11583"/>
    <cellStyle name="Currency 2 22 18" xfId="11575"/>
    <cellStyle name="Currency 2 22 2" xfId="762"/>
    <cellStyle name="Currency 2 22 3" xfId="763"/>
    <cellStyle name="Currency 2 22 4" xfId="764"/>
    <cellStyle name="Currency 2 22 5" xfId="765"/>
    <cellStyle name="Currency 2 22 6" xfId="766"/>
    <cellStyle name="Currency 2 22 6 2" xfId="11584"/>
    <cellStyle name="Currency 2 22 7" xfId="767"/>
    <cellStyle name="Currency 2 22 7 2" xfId="11585"/>
    <cellStyle name="Currency 2 22 8" xfId="768"/>
    <cellStyle name="Currency 2 22 8 2" xfId="11586"/>
    <cellStyle name="Currency 2 22 9" xfId="769"/>
    <cellStyle name="Currency 2 22 9 2" xfId="11587"/>
    <cellStyle name="Currency 2 23" xfId="770"/>
    <cellStyle name="Currency 2 23 10" xfId="771"/>
    <cellStyle name="Currency 2 23 10 2" xfId="11589"/>
    <cellStyle name="Currency 2 23 11" xfId="772"/>
    <cellStyle name="Currency 2 23 11 2" xfId="11590"/>
    <cellStyle name="Currency 2 23 12" xfId="773"/>
    <cellStyle name="Currency 2 23 12 2" xfId="11591"/>
    <cellStyle name="Currency 2 23 13" xfId="774"/>
    <cellStyle name="Currency 2 23 13 2" xfId="11592"/>
    <cellStyle name="Currency 2 23 14" xfId="775"/>
    <cellStyle name="Currency 2 23 14 2" xfId="11593"/>
    <cellStyle name="Currency 2 23 15" xfId="776"/>
    <cellStyle name="Currency 2 23 15 2" xfId="11594"/>
    <cellStyle name="Currency 2 23 16" xfId="777"/>
    <cellStyle name="Currency 2 23 16 2" xfId="11595"/>
    <cellStyle name="Currency 2 23 17" xfId="778"/>
    <cellStyle name="Currency 2 23 17 2" xfId="11596"/>
    <cellStyle name="Currency 2 23 18" xfId="11588"/>
    <cellStyle name="Currency 2 23 2" xfId="779"/>
    <cellStyle name="Currency 2 23 3" xfId="780"/>
    <cellStyle name="Currency 2 23 4" xfId="781"/>
    <cellStyle name="Currency 2 23 5" xfId="782"/>
    <cellStyle name="Currency 2 23 6" xfId="783"/>
    <cellStyle name="Currency 2 23 6 2" xfId="11597"/>
    <cellStyle name="Currency 2 23 7" xfId="784"/>
    <cellStyle name="Currency 2 23 7 2" xfId="11598"/>
    <cellStyle name="Currency 2 23 8" xfId="785"/>
    <cellStyle name="Currency 2 23 8 2" xfId="11599"/>
    <cellStyle name="Currency 2 23 9" xfId="786"/>
    <cellStyle name="Currency 2 23 9 2" xfId="11600"/>
    <cellStyle name="Currency 2 24" xfId="787"/>
    <cellStyle name="Currency 2 24 10" xfId="788"/>
    <cellStyle name="Currency 2 24 10 2" xfId="11602"/>
    <cellStyle name="Currency 2 24 11" xfId="789"/>
    <cellStyle name="Currency 2 24 11 2" xfId="11603"/>
    <cellStyle name="Currency 2 24 12" xfId="790"/>
    <cellStyle name="Currency 2 24 12 2" xfId="11604"/>
    <cellStyle name="Currency 2 24 13" xfId="791"/>
    <cellStyle name="Currency 2 24 13 2" xfId="11605"/>
    <cellStyle name="Currency 2 24 14" xfId="792"/>
    <cellStyle name="Currency 2 24 14 2" xfId="11606"/>
    <cellStyle name="Currency 2 24 15" xfId="793"/>
    <cellStyle name="Currency 2 24 15 2" xfId="11607"/>
    <cellStyle name="Currency 2 24 16" xfId="794"/>
    <cellStyle name="Currency 2 24 16 2" xfId="11608"/>
    <cellStyle name="Currency 2 24 17" xfId="795"/>
    <cellStyle name="Currency 2 24 17 2" xfId="11609"/>
    <cellStyle name="Currency 2 24 18" xfId="11601"/>
    <cellStyle name="Currency 2 24 2" xfId="796"/>
    <cellStyle name="Currency 2 24 3" xfId="797"/>
    <cellStyle name="Currency 2 24 4" xfId="798"/>
    <cellStyle name="Currency 2 24 5" xfId="799"/>
    <cellStyle name="Currency 2 24 6" xfId="800"/>
    <cellStyle name="Currency 2 24 6 2" xfId="11610"/>
    <cellStyle name="Currency 2 24 7" xfId="801"/>
    <cellStyle name="Currency 2 24 7 2" xfId="11611"/>
    <cellStyle name="Currency 2 24 8" xfId="802"/>
    <cellStyle name="Currency 2 24 8 2" xfId="11612"/>
    <cellStyle name="Currency 2 24 9" xfId="803"/>
    <cellStyle name="Currency 2 24 9 2" xfId="11613"/>
    <cellStyle name="Currency 2 25" xfId="804"/>
    <cellStyle name="Currency 2 25 2" xfId="11614"/>
    <cellStyle name="Currency 2 26" xfId="805"/>
    <cellStyle name="Currency 2 26 2" xfId="11615"/>
    <cellStyle name="Currency 2 27" xfId="806"/>
    <cellStyle name="Currency 2 27 2" xfId="11616"/>
    <cellStyle name="Currency 2 28" xfId="807"/>
    <cellStyle name="Currency 2 28 2" xfId="11617"/>
    <cellStyle name="Currency 2 29" xfId="808"/>
    <cellStyle name="Currency 2 29 2" xfId="11618"/>
    <cellStyle name="Currency 2 3" xfId="809"/>
    <cellStyle name="Currency 2 3 10" xfId="810"/>
    <cellStyle name="Currency 2 3 10 2" xfId="11620"/>
    <cellStyle name="Currency 2 3 11" xfId="811"/>
    <cellStyle name="Currency 2 3 11 2" xfId="11621"/>
    <cellStyle name="Currency 2 3 12" xfId="812"/>
    <cellStyle name="Currency 2 3 12 2" xfId="11622"/>
    <cellStyle name="Currency 2 3 13" xfId="813"/>
    <cellStyle name="Currency 2 3 13 2" xfId="11623"/>
    <cellStyle name="Currency 2 3 14" xfId="814"/>
    <cellStyle name="Currency 2 3 14 2" xfId="11624"/>
    <cellStyle name="Currency 2 3 15" xfId="815"/>
    <cellStyle name="Currency 2 3 15 2" xfId="11625"/>
    <cellStyle name="Currency 2 3 16" xfId="816"/>
    <cellStyle name="Currency 2 3 16 2" xfId="11626"/>
    <cellStyle name="Currency 2 3 17" xfId="817"/>
    <cellStyle name="Currency 2 3 17 2" xfId="11627"/>
    <cellStyle name="Currency 2 3 18" xfId="11619"/>
    <cellStyle name="Currency 2 3 2" xfId="818"/>
    <cellStyle name="Currency 2 3 3" xfId="819"/>
    <cellStyle name="Currency 2 3 4" xfId="820"/>
    <cellStyle name="Currency 2 3 5" xfId="821"/>
    <cellStyle name="Currency 2 3 6" xfId="822"/>
    <cellStyle name="Currency 2 3 6 2" xfId="11628"/>
    <cellStyle name="Currency 2 3 7" xfId="823"/>
    <cellStyle name="Currency 2 3 7 2" xfId="11629"/>
    <cellStyle name="Currency 2 3 8" xfId="824"/>
    <cellStyle name="Currency 2 3 8 2" xfId="11630"/>
    <cellStyle name="Currency 2 3 9" xfId="825"/>
    <cellStyle name="Currency 2 3 9 2" xfId="11631"/>
    <cellStyle name="Currency 2 30" xfId="826"/>
    <cellStyle name="Currency 2 30 2" xfId="11632"/>
    <cellStyle name="Currency 2 31" xfId="827"/>
    <cellStyle name="Currency 2 31 2" xfId="11633"/>
    <cellStyle name="Currency 2 32" xfId="828"/>
    <cellStyle name="Currency 2 32 10" xfId="829"/>
    <cellStyle name="Currency 2 32 11" xfId="830"/>
    <cellStyle name="Currency 2 32 12" xfId="831"/>
    <cellStyle name="Currency 2 32 13" xfId="832"/>
    <cellStyle name="Currency 2 32 2" xfId="833"/>
    <cellStyle name="Currency 2 32 3" xfId="834"/>
    <cellStyle name="Currency 2 32 4" xfId="835"/>
    <cellStyle name="Currency 2 32 5" xfId="836"/>
    <cellStyle name="Currency 2 32 6" xfId="837"/>
    <cellStyle name="Currency 2 32 7" xfId="838"/>
    <cellStyle name="Currency 2 32 8" xfId="839"/>
    <cellStyle name="Currency 2 32 9" xfId="840"/>
    <cellStyle name="Currency 2 33" xfId="841"/>
    <cellStyle name="Currency 2 33 10" xfId="842"/>
    <cellStyle name="Currency 2 33 11" xfId="843"/>
    <cellStyle name="Currency 2 33 12" xfId="844"/>
    <cellStyle name="Currency 2 33 13" xfId="845"/>
    <cellStyle name="Currency 2 33 2" xfId="846"/>
    <cellStyle name="Currency 2 33 3" xfId="847"/>
    <cellStyle name="Currency 2 33 4" xfId="848"/>
    <cellStyle name="Currency 2 33 5" xfId="849"/>
    <cellStyle name="Currency 2 33 6" xfId="850"/>
    <cellStyle name="Currency 2 33 7" xfId="851"/>
    <cellStyle name="Currency 2 33 8" xfId="852"/>
    <cellStyle name="Currency 2 33 9" xfId="853"/>
    <cellStyle name="Currency 2 34" xfId="854"/>
    <cellStyle name="Currency 2 34 10" xfId="855"/>
    <cellStyle name="Currency 2 34 11" xfId="856"/>
    <cellStyle name="Currency 2 34 12" xfId="857"/>
    <cellStyle name="Currency 2 34 13" xfId="858"/>
    <cellStyle name="Currency 2 34 2" xfId="859"/>
    <cellStyle name="Currency 2 34 3" xfId="860"/>
    <cellStyle name="Currency 2 34 4" xfId="861"/>
    <cellStyle name="Currency 2 34 5" xfId="862"/>
    <cellStyle name="Currency 2 34 6" xfId="863"/>
    <cellStyle name="Currency 2 34 7" xfId="864"/>
    <cellStyle name="Currency 2 34 8" xfId="865"/>
    <cellStyle name="Currency 2 34 9" xfId="866"/>
    <cellStyle name="Currency 2 35" xfId="867"/>
    <cellStyle name="Currency 2 35 10" xfId="868"/>
    <cellStyle name="Currency 2 35 11" xfId="869"/>
    <cellStyle name="Currency 2 35 12" xfId="870"/>
    <cellStyle name="Currency 2 35 13" xfId="871"/>
    <cellStyle name="Currency 2 35 2" xfId="872"/>
    <cellStyle name="Currency 2 35 3" xfId="873"/>
    <cellStyle name="Currency 2 35 4" xfId="874"/>
    <cellStyle name="Currency 2 35 5" xfId="875"/>
    <cellStyle name="Currency 2 35 6" xfId="876"/>
    <cellStyle name="Currency 2 35 7" xfId="877"/>
    <cellStyle name="Currency 2 35 8" xfId="878"/>
    <cellStyle name="Currency 2 35 9" xfId="879"/>
    <cellStyle name="Currency 2 36" xfId="880"/>
    <cellStyle name="Currency 2 36 10" xfId="881"/>
    <cellStyle name="Currency 2 36 11" xfId="882"/>
    <cellStyle name="Currency 2 36 12" xfId="883"/>
    <cellStyle name="Currency 2 36 13" xfId="884"/>
    <cellStyle name="Currency 2 36 2" xfId="885"/>
    <cellStyle name="Currency 2 36 3" xfId="886"/>
    <cellStyle name="Currency 2 36 4" xfId="887"/>
    <cellStyle name="Currency 2 36 5" xfId="888"/>
    <cellStyle name="Currency 2 36 6" xfId="889"/>
    <cellStyle name="Currency 2 36 7" xfId="890"/>
    <cellStyle name="Currency 2 36 8" xfId="891"/>
    <cellStyle name="Currency 2 36 9" xfId="892"/>
    <cellStyle name="Currency 2 37" xfId="893"/>
    <cellStyle name="Currency 2 38" xfId="894"/>
    <cellStyle name="Currency 2 39" xfId="895"/>
    <cellStyle name="Currency 2 4" xfId="896"/>
    <cellStyle name="Currency 2 4 10" xfId="897"/>
    <cellStyle name="Currency 2 4 10 2" xfId="11635"/>
    <cellStyle name="Currency 2 4 11" xfId="898"/>
    <cellStyle name="Currency 2 4 11 2" xfId="11636"/>
    <cellStyle name="Currency 2 4 12" xfId="899"/>
    <cellStyle name="Currency 2 4 12 2" xfId="11637"/>
    <cellStyle name="Currency 2 4 13" xfId="900"/>
    <cellStyle name="Currency 2 4 13 2" xfId="11638"/>
    <cellStyle name="Currency 2 4 14" xfId="901"/>
    <cellStyle name="Currency 2 4 14 2" xfId="11639"/>
    <cellStyle name="Currency 2 4 15" xfId="902"/>
    <cellStyle name="Currency 2 4 15 2" xfId="11640"/>
    <cellStyle name="Currency 2 4 16" xfId="903"/>
    <cellStyle name="Currency 2 4 16 2" xfId="11641"/>
    <cellStyle name="Currency 2 4 17" xfId="904"/>
    <cellStyle name="Currency 2 4 17 2" xfId="11642"/>
    <cellStyle name="Currency 2 4 18" xfId="11634"/>
    <cellStyle name="Currency 2 4 2" xfId="905"/>
    <cellStyle name="Currency 2 4 3" xfId="906"/>
    <cellStyle name="Currency 2 4 4" xfId="907"/>
    <cellStyle name="Currency 2 4 5" xfId="908"/>
    <cellStyle name="Currency 2 4 6" xfId="909"/>
    <cellStyle name="Currency 2 4 6 2" xfId="11643"/>
    <cellStyle name="Currency 2 4 7" xfId="910"/>
    <cellStyle name="Currency 2 4 7 2" xfId="11644"/>
    <cellStyle name="Currency 2 4 8" xfId="911"/>
    <cellStyle name="Currency 2 4 8 2" xfId="11645"/>
    <cellStyle name="Currency 2 4 9" xfId="912"/>
    <cellStyle name="Currency 2 4 9 2" xfId="11646"/>
    <cellStyle name="Currency 2 40" xfId="913"/>
    <cellStyle name="Currency 2 41" xfId="914"/>
    <cellStyle name="Currency 2 42" xfId="915"/>
    <cellStyle name="Currency 2 43" xfId="916"/>
    <cellStyle name="Currency 2 44" xfId="917"/>
    <cellStyle name="Currency 2 45" xfId="918"/>
    <cellStyle name="Currency 2 46" xfId="919"/>
    <cellStyle name="Currency 2 47" xfId="920"/>
    <cellStyle name="Currency 2 48" xfId="921"/>
    <cellStyle name="Currency 2 49" xfId="922"/>
    <cellStyle name="Currency 2 5" xfId="923"/>
    <cellStyle name="Currency 2 5 10" xfId="924"/>
    <cellStyle name="Currency 2 5 10 2" xfId="11648"/>
    <cellStyle name="Currency 2 5 11" xfId="925"/>
    <cellStyle name="Currency 2 5 11 2" xfId="11649"/>
    <cellStyle name="Currency 2 5 12" xfId="926"/>
    <cellStyle name="Currency 2 5 12 2" xfId="11650"/>
    <cellStyle name="Currency 2 5 13" xfId="927"/>
    <cellStyle name="Currency 2 5 13 2" xfId="11651"/>
    <cellStyle name="Currency 2 5 14" xfId="928"/>
    <cellStyle name="Currency 2 5 14 2" xfId="11652"/>
    <cellStyle name="Currency 2 5 15" xfId="929"/>
    <cellStyle name="Currency 2 5 15 2" xfId="11653"/>
    <cellStyle name="Currency 2 5 16" xfId="930"/>
    <cellStyle name="Currency 2 5 16 2" xfId="11654"/>
    <cellStyle name="Currency 2 5 17" xfId="931"/>
    <cellStyle name="Currency 2 5 17 2" xfId="11655"/>
    <cellStyle name="Currency 2 5 18" xfId="11647"/>
    <cellStyle name="Currency 2 5 2" xfId="932"/>
    <cellStyle name="Currency 2 5 3" xfId="933"/>
    <cellStyle name="Currency 2 5 4" xfId="934"/>
    <cellStyle name="Currency 2 5 5" xfId="935"/>
    <cellStyle name="Currency 2 5 6" xfId="936"/>
    <cellStyle name="Currency 2 5 6 2" xfId="11656"/>
    <cellStyle name="Currency 2 5 7" xfId="937"/>
    <cellStyle name="Currency 2 5 7 2" xfId="11657"/>
    <cellStyle name="Currency 2 5 8" xfId="938"/>
    <cellStyle name="Currency 2 5 8 2" xfId="11658"/>
    <cellStyle name="Currency 2 5 9" xfId="939"/>
    <cellStyle name="Currency 2 5 9 2" xfId="11659"/>
    <cellStyle name="Currency 2 50" xfId="940"/>
    <cellStyle name="Currency 2 51" xfId="941"/>
    <cellStyle name="Currency 2 52" xfId="942"/>
    <cellStyle name="Currency 2 53" xfId="943"/>
    <cellStyle name="Currency 2 54" xfId="944"/>
    <cellStyle name="Currency 2 55" xfId="945"/>
    <cellStyle name="Currency 2 56" xfId="946"/>
    <cellStyle name="Currency 2 57" xfId="947"/>
    <cellStyle name="Currency 2 58" xfId="948"/>
    <cellStyle name="Currency 2 59" xfId="949"/>
    <cellStyle name="Currency 2 6" xfId="950"/>
    <cellStyle name="Currency 2 6 10" xfId="951"/>
    <cellStyle name="Currency 2 6 10 2" xfId="11661"/>
    <cellStyle name="Currency 2 6 11" xfId="952"/>
    <cellStyle name="Currency 2 6 11 2" xfId="11662"/>
    <cellStyle name="Currency 2 6 12" xfId="953"/>
    <cellStyle name="Currency 2 6 12 2" xfId="11663"/>
    <cellStyle name="Currency 2 6 13" xfId="954"/>
    <cellStyle name="Currency 2 6 13 2" xfId="11664"/>
    <cellStyle name="Currency 2 6 14" xfId="955"/>
    <cellStyle name="Currency 2 6 14 2" xfId="11665"/>
    <cellStyle name="Currency 2 6 15" xfId="956"/>
    <cellStyle name="Currency 2 6 15 2" xfId="11666"/>
    <cellStyle name="Currency 2 6 16" xfId="957"/>
    <cellStyle name="Currency 2 6 16 2" xfId="11667"/>
    <cellStyle name="Currency 2 6 17" xfId="958"/>
    <cellStyle name="Currency 2 6 17 2" xfId="11668"/>
    <cellStyle name="Currency 2 6 18" xfId="11660"/>
    <cellStyle name="Currency 2 6 2" xfId="959"/>
    <cellStyle name="Currency 2 6 3" xfId="960"/>
    <cellStyle name="Currency 2 6 4" xfId="961"/>
    <cellStyle name="Currency 2 6 5" xfId="962"/>
    <cellStyle name="Currency 2 6 6" xfId="963"/>
    <cellStyle name="Currency 2 6 6 2" xfId="11669"/>
    <cellStyle name="Currency 2 6 7" xfId="964"/>
    <cellStyle name="Currency 2 6 7 2" xfId="11670"/>
    <cellStyle name="Currency 2 6 8" xfId="965"/>
    <cellStyle name="Currency 2 6 8 2" xfId="11671"/>
    <cellStyle name="Currency 2 6 9" xfId="966"/>
    <cellStyle name="Currency 2 6 9 2" xfId="11672"/>
    <cellStyle name="Currency 2 60" xfId="967"/>
    <cellStyle name="Currency 2 61" xfId="968"/>
    <cellStyle name="Currency 2 62" xfId="969"/>
    <cellStyle name="Currency 2 63" xfId="970"/>
    <cellStyle name="Currency 2 64" xfId="971"/>
    <cellStyle name="Currency 2 65" xfId="972"/>
    <cellStyle name="Currency 2 66" xfId="973"/>
    <cellStyle name="Currency 2 67" xfId="974"/>
    <cellStyle name="Currency 2 68" xfId="975"/>
    <cellStyle name="Currency 2 68 2" xfId="11673"/>
    <cellStyle name="Currency 2 69" xfId="976"/>
    <cellStyle name="Currency 2 69 2" xfId="11674"/>
    <cellStyle name="Currency 2 7" xfId="977"/>
    <cellStyle name="Currency 2 7 10" xfId="978"/>
    <cellStyle name="Currency 2 7 10 2" xfId="11676"/>
    <cellStyle name="Currency 2 7 11" xfId="979"/>
    <cellStyle name="Currency 2 7 11 2" xfId="11677"/>
    <cellStyle name="Currency 2 7 12" xfId="980"/>
    <cellStyle name="Currency 2 7 12 2" xfId="11678"/>
    <cellStyle name="Currency 2 7 13" xfId="981"/>
    <cellStyle name="Currency 2 7 13 2" xfId="11679"/>
    <cellStyle name="Currency 2 7 14" xfId="982"/>
    <cellStyle name="Currency 2 7 14 2" xfId="11680"/>
    <cellStyle name="Currency 2 7 15" xfId="983"/>
    <cellStyle name="Currency 2 7 15 2" xfId="11681"/>
    <cellStyle name="Currency 2 7 16" xfId="984"/>
    <cellStyle name="Currency 2 7 16 2" xfId="11682"/>
    <cellStyle name="Currency 2 7 17" xfId="985"/>
    <cellStyle name="Currency 2 7 17 2" xfId="11683"/>
    <cellStyle name="Currency 2 7 18" xfId="11675"/>
    <cellStyle name="Currency 2 7 2" xfId="986"/>
    <cellStyle name="Currency 2 7 3" xfId="987"/>
    <cellStyle name="Currency 2 7 4" xfId="988"/>
    <cellStyle name="Currency 2 7 5" xfId="989"/>
    <cellStyle name="Currency 2 7 6" xfId="990"/>
    <cellStyle name="Currency 2 7 6 2" xfId="11684"/>
    <cellStyle name="Currency 2 7 7" xfId="991"/>
    <cellStyle name="Currency 2 7 7 2" xfId="11685"/>
    <cellStyle name="Currency 2 7 8" xfId="992"/>
    <cellStyle name="Currency 2 7 8 2" xfId="11686"/>
    <cellStyle name="Currency 2 7 9" xfId="993"/>
    <cellStyle name="Currency 2 7 9 2" xfId="11687"/>
    <cellStyle name="Currency 2 70" xfId="994"/>
    <cellStyle name="Currency 2 70 2" xfId="11688"/>
    <cellStyle name="Currency 2 71" xfId="995"/>
    <cellStyle name="Currency 2 71 2" xfId="11689"/>
    <cellStyle name="Currency 2 72" xfId="996"/>
    <cellStyle name="Currency 2 72 2" xfId="11690"/>
    <cellStyle name="Currency 2 73" xfId="997"/>
    <cellStyle name="Currency 2 73 2" xfId="11691"/>
    <cellStyle name="Currency 2 74" xfId="998"/>
    <cellStyle name="Currency 2 74 2" xfId="11692"/>
    <cellStyle name="Currency 2 75" xfId="999"/>
    <cellStyle name="Currency 2 75 2" xfId="11693"/>
    <cellStyle name="Currency 2 76" xfId="1000"/>
    <cellStyle name="Currency 2 76 2" xfId="11694"/>
    <cellStyle name="Currency 2 77" xfId="1001"/>
    <cellStyle name="Currency 2 77 2" xfId="11695"/>
    <cellStyle name="Currency 2 78" xfId="1002"/>
    <cellStyle name="Currency 2 78 2" xfId="11696"/>
    <cellStyle name="Currency 2 79" xfId="11347"/>
    <cellStyle name="Currency 2 79 2" xfId="11697"/>
    <cellStyle name="Currency 2 8" xfId="1003"/>
    <cellStyle name="Currency 2 8 10" xfId="1004"/>
    <cellStyle name="Currency 2 8 10 2" xfId="11699"/>
    <cellStyle name="Currency 2 8 11" xfId="1005"/>
    <cellStyle name="Currency 2 8 11 2" xfId="11700"/>
    <cellStyle name="Currency 2 8 12" xfId="1006"/>
    <cellStyle name="Currency 2 8 12 2" xfId="11701"/>
    <cellStyle name="Currency 2 8 13" xfId="1007"/>
    <cellStyle name="Currency 2 8 13 2" xfId="11702"/>
    <cellStyle name="Currency 2 8 14" xfId="1008"/>
    <cellStyle name="Currency 2 8 14 2" xfId="11703"/>
    <cellStyle name="Currency 2 8 15" xfId="1009"/>
    <cellStyle name="Currency 2 8 15 2" xfId="11704"/>
    <cellStyle name="Currency 2 8 16" xfId="1010"/>
    <cellStyle name="Currency 2 8 16 2" xfId="11705"/>
    <cellStyle name="Currency 2 8 17" xfId="1011"/>
    <cellStyle name="Currency 2 8 17 2" xfId="11706"/>
    <cellStyle name="Currency 2 8 18" xfId="11698"/>
    <cellStyle name="Currency 2 8 2" xfId="1012"/>
    <cellStyle name="Currency 2 8 3" xfId="1013"/>
    <cellStyle name="Currency 2 8 4" xfId="1014"/>
    <cellStyle name="Currency 2 8 5" xfId="1015"/>
    <cellStyle name="Currency 2 8 6" xfId="1016"/>
    <cellStyle name="Currency 2 8 6 2" xfId="11707"/>
    <cellStyle name="Currency 2 8 7" xfId="1017"/>
    <cellStyle name="Currency 2 8 7 2" xfId="11708"/>
    <cellStyle name="Currency 2 8 8" xfId="1018"/>
    <cellStyle name="Currency 2 8 8 2" xfId="11709"/>
    <cellStyle name="Currency 2 8 9" xfId="1019"/>
    <cellStyle name="Currency 2 8 9 2" xfId="11710"/>
    <cellStyle name="Currency 2 80" xfId="11357"/>
    <cellStyle name="Currency 2 80 2" xfId="11711"/>
    <cellStyle name="Currency 2 81" xfId="11369"/>
    <cellStyle name="Currency 2 9" xfId="1020"/>
    <cellStyle name="Currency 2 9 10" xfId="1021"/>
    <cellStyle name="Currency 2 9 10 2" xfId="11713"/>
    <cellStyle name="Currency 2 9 11" xfId="1022"/>
    <cellStyle name="Currency 2 9 11 2" xfId="11714"/>
    <cellStyle name="Currency 2 9 12" xfId="1023"/>
    <cellStyle name="Currency 2 9 12 2" xfId="11715"/>
    <cellStyle name="Currency 2 9 13" xfId="1024"/>
    <cellStyle name="Currency 2 9 13 2" xfId="11716"/>
    <cellStyle name="Currency 2 9 14" xfId="1025"/>
    <cellStyle name="Currency 2 9 14 2" xfId="11717"/>
    <cellStyle name="Currency 2 9 15" xfId="1026"/>
    <cellStyle name="Currency 2 9 15 2" xfId="11718"/>
    <cellStyle name="Currency 2 9 16" xfId="1027"/>
    <cellStyle name="Currency 2 9 16 2" xfId="11719"/>
    <cellStyle name="Currency 2 9 17" xfId="1028"/>
    <cellStyle name="Currency 2 9 17 2" xfId="11720"/>
    <cellStyle name="Currency 2 9 18" xfId="11712"/>
    <cellStyle name="Currency 2 9 2" xfId="1029"/>
    <cellStyle name="Currency 2 9 3" xfId="1030"/>
    <cellStyle name="Currency 2 9 4" xfId="1031"/>
    <cellStyle name="Currency 2 9 5" xfId="1032"/>
    <cellStyle name="Currency 2 9 6" xfId="1033"/>
    <cellStyle name="Currency 2 9 6 2" xfId="11721"/>
    <cellStyle name="Currency 2 9 7" xfId="1034"/>
    <cellStyle name="Currency 2 9 7 2" xfId="11722"/>
    <cellStyle name="Currency 2 9 8" xfId="1035"/>
    <cellStyle name="Currency 2 9 8 2" xfId="11723"/>
    <cellStyle name="Currency 2 9 9" xfId="1036"/>
    <cellStyle name="Currency 2 9 9 2" xfId="11724"/>
    <cellStyle name="Currency 3" xfId="1037"/>
    <cellStyle name="Currency 3 10" xfId="1038"/>
    <cellStyle name="Currency 3 11" xfId="1039"/>
    <cellStyle name="Currency 3 12" xfId="1040"/>
    <cellStyle name="Currency 3 13" xfId="1041"/>
    <cellStyle name="Currency 3 2" xfId="1042"/>
    <cellStyle name="Currency 3 3" xfId="1043"/>
    <cellStyle name="Currency 3 4" xfId="1044"/>
    <cellStyle name="Currency 3 5" xfId="1045"/>
    <cellStyle name="Currency 3 6" xfId="1046"/>
    <cellStyle name="Currency 3 7" xfId="1047"/>
    <cellStyle name="Currency 3 8" xfId="1048"/>
    <cellStyle name="Currency 3 9" xfId="1049"/>
    <cellStyle name="Currency 4" xfId="51"/>
    <cellStyle name="Currency 4 2" xfId="11725"/>
    <cellStyle name="Currency 5" xfId="11340"/>
    <cellStyle name="Currency 5 2" xfId="11344"/>
    <cellStyle name="Currency 5 2 2" xfId="11727"/>
    <cellStyle name="Currency 5 3" xfId="11726"/>
    <cellStyle name="Data Cell - PerformancePoint" xfId="52"/>
    <cellStyle name="Data Cell - PerformancePoint 10" xfId="1050"/>
    <cellStyle name="Data Cell - PerformancePoint 11" xfId="1051"/>
    <cellStyle name="Data Cell - PerformancePoint 12" xfId="1052"/>
    <cellStyle name="Data Cell - PerformancePoint 13" xfId="1053"/>
    <cellStyle name="Data Cell - PerformancePoint 14" xfId="1054"/>
    <cellStyle name="Data Cell - PerformancePoint 15" xfId="1055"/>
    <cellStyle name="Data Cell - PerformancePoint 16" xfId="1056"/>
    <cellStyle name="Data Cell - PerformancePoint 17" xfId="1057"/>
    <cellStyle name="Data Cell - PerformancePoint 2" xfId="1058"/>
    <cellStyle name="Data Cell - PerformancePoint 3" xfId="1059"/>
    <cellStyle name="Data Cell - PerformancePoint 4" xfId="1060"/>
    <cellStyle name="Data Cell - PerformancePoint 5" xfId="1061"/>
    <cellStyle name="Data Cell - PerformancePoint 6" xfId="1062"/>
    <cellStyle name="Data Cell - PerformancePoint 7" xfId="1063"/>
    <cellStyle name="Data Cell - PerformancePoint 8" xfId="1064"/>
    <cellStyle name="Data Cell - PerformancePoint 9" xfId="1065"/>
    <cellStyle name="Data Entry Cell - PerformancePoint" xfId="53"/>
    <cellStyle name="Data Entry Cell - PerformancePoint 10" xfId="1066"/>
    <cellStyle name="Data Entry Cell - PerformancePoint 11" xfId="1067"/>
    <cellStyle name="Data Entry Cell - PerformancePoint 12" xfId="1068"/>
    <cellStyle name="Data Entry Cell - PerformancePoint 13" xfId="1069"/>
    <cellStyle name="Data Entry Cell - PerformancePoint 14" xfId="1070"/>
    <cellStyle name="Data Entry Cell - PerformancePoint 15" xfId="1071"/>
    <cellStyle name="Data Entry Cell - PerformancePoint 16" xfId="1072"/>
    <cellStyle name="Data Entry Cell - PerformancePoint 17" xfId="1073"/>
    <cellStyle name="Data Entry Cell - PerformancePoint 2" xfId="1074"/>
    <cellStyle name="Data Entry Cell - PerformancePoint 3" xfId="1075"/>
    <cellStyle name="Data Entry Cell - PerformancePoint 4" xfId="1076"/>
    <cellStyle name="Data Entry Cell - PerformancePoint 5" xfId="1077"/>
    <cellStyle name="Data Entry Cell - PerformancePoint 6" xfId="1078"/>
    <cellStyle name="Data Entry Cell - PerformancePoint 7" xfId="1079"/>
    <cellStyle name="Data Entry Cell - PerformancePoint 8" xfId="1080"/>
    <cellStyle name="Data Entry Cell - PerformancePoint 9" xfId="1081"/>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Locked Cell - PerformancePoint" xfId="54"/>
    <cellStyle name="Locked Cell - PerformancePoint 10" xfId="1082"/>
    <cellStyle name="Locked Cell - PerformancePoint 11" xfId="1083"/>
    <cellStyle name="Locked Cell - PerformancePoint 12" xfId="1084"/>
    <cellStyle name="Locked Cell - PerformancePoint 13" xfId="1085"/>
    <cellStyle name="Locked Cell - PerformancePoint 14" xfId="1086"/>
    <cellStyle name="Locked Cell - PerformancePoint 15" xfId="1087"/>
    <cellStyle name="Locked Cell - PerformancePoint 16" xfId="1088"/>
    <cellStyle name="Locked Cell - PerformancePoint 17" xfId="1089"/>
    <cellStyle name="Locked Cell - PerformancePoint 2" xfId="1090"/>
    <cellStyle name="Locked Cell - PerformancePoint 3" xfId="1091"/>
    <cellStyle name="Locked Cell - PerformancePoint 4" xfId="1092"/>
    <cellStyle name="Locked Cell - PerformancePoint 5" xfId="1093"/>
    <cellStyle name="Locked Cell - PerformancePoint 6" xfId="1094"/>
    <cellStyle name="Locked Cell - PerformancePoint 7" xfId="1095"/>
    <cellStyle name="Locked Cell - PerformancePoint 8" xfId="1096"/>
    <cellStyle name="Locked Cell - PerformancePoint 9" xfId="1097"/>
    <cellStyle name="Neutral" xfId="10" builtinId="28" customBuiltin="1"/>
    <cellStyle name="Normal" xfId="0" builtinId="0" customBuiltin="1"/>
    <cellStyle name="Normal 10" xfId="55"/>
    <cellStyle name="Normal 10 10" xfId="1098"/>
    <cellStyle name="Normal 10 11" xfId="1099"/>
    <cellStyle name="Normal 10 12" xfId="1100"/>
    <cellStyle name="Normal 10 13" xfId="1101"/>
    <cellStyle name="Normal 10 14" xfId="1102"/>
    <cellStyle name="Normal 10 15" xfId="1103"/>
    <cellStyle name="Normal 10 16" xfId="1104"/>
    <cellStyle name="Normal 10 17" xfId="1105"/>
    <cellStyle name="Normal 10 18" xfId="1106"/>
    <cellStyle name="Normal 10 19" xfId="1107"/>
    <cellStyle name="Normal 10 2" xfId="1108"/>
    <cellStyle name="Normal 10 20" xfId="1109"/>
    <cellStyle name="Normal 10 21" xfId="1110"/>
    <cellStyle name="Normal 10 22" xfId="1111"/>
    <cellStyle name="Normal 10 23" xfId="1112"/>
    <cellStyle name="Normal 10 24" xfId="1113"/>
    <cellStyle name="Normal 10 25" xfId="1114"/>
    <cellStyle name="Normal 10 26" xfId="1115"/>
    <cellStyle name="Normal 10 27" xfId="1116"/>
    <cellStyle name="Normal 10 28" xfId="1117"/>
    <cellStyle name="Normal 10 29" xfId="1118"/>
    <cellStyle name="Normal 10 3" xfId="1119"/>
    <cellStyle name="Normal 10 30" xfId="1120"/>
    <cellStyle name="Normal 10 4" xfId="1121"/>
    <cellStyle name="Normal 10 5" xfId="1122"/>
    <cellStyle name="Normal 10 6" xfId="1123"/>
    <cellStyle name="Normal 10 7" xfId="1124"/>
    <cellStyle name="Normal 10 8" xfId="1125"/>
    <cellStyle name="Normal 10 9" xfId="1126"/>
    <cellStyle name="Normal 11" xfId="56"/>
    <cellStyle name="Normal 11 10" xfId="1127"/>
    <cellStyle name="Normal 11 11" xfId="1128"/>
    <cellStyle name="Normal 11 12" xfId="1129"/>
    <cellStyle name="Normal 11 13" xfId="1130"/>
    <cellStyle name="Normal 11 14" xfId="1131"/>
    <cellStyle name="Normal 11 15" xfId="1132"/>
    <cellStyle name="Normal 11 16" xfId="1133"/>
    <cellStyle name="Normal 11 17" xfId="1134"/>
    <cellStyle name="Normal 11 18" xfId="1135"/>
    <cellStyle name="Normal 11 19" xfId="1136"/>
    <cellStyle name="Normal 11 2" xfId="1137"/>
    <cellStyle name="Normal 11 20" xfId="1138"/>
    <cellStyle name="Normal 11 21" xfId="1139"/>
    <cellStyle name="Normal 11 22" xfId="1140"/>
    <cellStyle name="Normal 11 23" xfId="1141"/>
    <cellStyle name="Normal 11 24" xfId="1142"/>
    <cellStyle name="Normal 11 25" xfId="1143"/>
    <cellStyle name="Normal 11 26" xfId="1144"/>
    <cellStyle name="Normal 11 27" xfId="1145"/>
    <cellStyle name="Normal 11 28" xfId="1146"/>
    <cellStyle name="Normal 11 29" xfId="1147"/>
    <cellStyle name="Normal 11 3" xfId="1148"/>
    <cellStyle name="Normal 11 30" xfId="1149"/>
    <cellStyle name="Normal 11 4" xfId="1150"/>
    <cellStyle name="Normal 11 5" xfId="1151"/>
    <cellStyle name="Normal 11 6" xfId="1152"/>
    <cellStyle name="Normal 11 7" xfId="1153"/>
    <cellStyle name="Normal 11 8" xfId="1154"/>
    <cellStyle name="Normal 11 9" xfId="1155"/>
    <cellStyle name="Normal 12" xfId="57"/>
    <cellStyle name="Normal 12 10" xfId="1156"/>
    <cellStyle name="Normal 12 11" xfId="1157"/>
    <cellStyle name="Normal 12 12" xfId="1158"/>
    <cellStyle name="Normal 12 13" xfId="1159"/>
    <cellStyle name="Normal 12 14" xfId="1160"/>
    <cellStyle name="Normal 12 15" xfId="1161"/>
    <cellStyle name="Normal 12 16" xfId="1162"/>
    <cellStyle name="Normal 12 17" xfId="1163"/>
    <cellStyle name="Normal 12 18" xfId="1164"/>
    <cellStyle name="Normal 12 19" xfId="1165"/>
    <cellStyle name="Normal 12 2" xfId="1166"/>
    <cellStyle name="Normal 12 20" xfId="1167"/>
    <cellStyle name="Normal 12 21" xfId="1168"/>
    <cellStyle name="Normal 12 22" xfId="1169"/>
    <cellStyle name="Normal 12 23" xfId="1170"/>
    <cellStyle name="Normal 12 24" xfId="1171"/>
    <cellStyle name="Normal 12 25" xfId="1172"/>
    <cellStyle name="Normal 12 26" xfId="1173"/>
    <cellStyle name="Normal 12 27" xfId="1174"/>
    <cellStyle name="Normal 12 28" xfId="1175"/>
    <cellStyle name="Normal 12 29" xfId="1176"/>
    <cellStyle name="Normal 12 3" xfId="1177"/>
    <cellStyle name="Normal 12 30" xfId="1178"/>
    <cellStyle name="Normal 12 4" xfId="1179"/>
    <cellStyle name="Normal 12 5" xfId="1180"/>
    <cellStyle name="Normal 12 6" xfId="1181"/>
    <cellStyle name="Normal 12 7" xfId="1182"/>
    <cellStyle name="Normal 12 8" xfId="1183"/>
    <cellStyle name="Normal 12 9" xfId="1184"/>
    <cellStyle name="Normal 13" xfId="58"/>
    <cellStyle name="Normal 13 10" xfId="1185"/>
    <cellStyle name="Normal 13 11" xfId="1186"/>
    <cellStyle name="Normal 13 12" xfId="1187"/>
    <cellStyle name="Normal 13 13" xfId="1188"/>
    <cellStyle name="Normal 13 14" xfId="1189"/>
    <cellStyle name="Normal 13 15" xfId="1190"/>
    <cellStyle name="Normal 13 16" xfId="1191"/>
    <cellStyle name="Normal 13 17" xfId="1192"/>
    <cellStyle name="Normal 13 18" xfId="1193"/>
    <cellStyle name="Normal 13 19" xfId="1194"/>
    <cellStyle name="Normal 13 2" xfId="1195"/>
    <cellStyle name="Normal 13 20" xfId="1196"/>
    <cellStyle name="Normal 13 21" xfId="1197"/>
    <cellStyle name="Normal 13 22" xfId="1198"/>
    <cellStyle name="Normal 13 23" xfId="1199"/>
    <cellStyle name="Normal 13 24" xfId="1200"/>
    <cellStyle name="Normal 13 25" xfId="1201"/>
    <cellStyle name="Normal 13 26" xfId="1202"/>
    <cellStyle name="Normal 13 27" xfId="1203"/>
    <cellStyle name="Normal 13 28" xfId="1204"/>
    <cellStyle name="Normal 13 29" xfId="1205"/>
    <cellStyle name="Normal 13 3" xfId="1206"/>
    <cellStyle name="Normal 13 30" xfId="1207"/>
    <cellStyle name="Normal 13 4" xfId="1208"/>
    <cellStyle name="Normal 13 5" xfId="1209"/>
    <cellStyle name="Normal 13 6" xfId="1210"/>
    <cellStyle name="Normal 13 7" xfId="1211"/>
    <cellStyle name="Normal 13 8" xfId="1212"/>
    <cellStyle name="Normal 13 9" xfId="1213"/>
    <cellStyle name="Normal 14" xfId="1214"/>
    <cellStyle name="Normal 14 10" xfId="1215"/>
    <cellStyle name="Normal 14 11" xfId="1216"/>
    <cellStyle name="Normal 14 12" xfId="1217"/>
    <cellStyle name="Normal 14 13" xfId="1218"/>
    <cellStyle name="Normal 14 14" xfId="1219"/>
    <cellStyle name="Normal 14 15" xfId="1220"/>
    <cellStyle name="Normal 14 16" xfId="1221"/>
    <cellStyle name="Normal 14 17" xfId="1222"/>
    <cellStyle name="Normal 14 18" xfId="1223"/>
    <cellStyle name="Normal 14 19" xfId="1224"/>
    <cellStyle name="Normal 14 2" xfId="1225"/>
    <cellStyle name="Normal 14 20" xfId="1226"/>
    <cellStyle name="Normal 14 21" xfId="1227"/>
    <cellStyle name="Normal 14 22" xfId="1228"/>
    <cellStyle name="Normal 14 23" xfId="1229"/>
    <cellStyle name="Normal 14 24" xfId="1230"/>
    <cellStyle name="Normal 14 25" xfId="1231"/>
    <cellStyle name="Normal 14 26" xfId="1232"/>
    <cellStyle name="Normal 14 27" xfId="1233"/>
    <cellStyle name="Normal 14 28" xfId="1234"/>
    <cellStyle name="Normal 14 29" xfId="1235"/>
    <cellStyle name="Normal 14 3" xfId="1236"/>
    <cellStyle name="Normal 14 30" xfId="1237"/>
    <cellStyle name="Normal 14 31" xfId="10812"/>
    <cellStyle name="Normal 14 4" xfId="1238"/>
    <cellStyle name="Normal 14 5" xfId="1239"/>
    <cellStyle name="Normal 14 6" xfId="1240"/>
    <cellStyle name="Normal 14 7" xfId="1241"/>
    <cellStyle name="Normal 14 8" xfId="1242"/>
    <cellStyle name="Normal 14 9" xfId="1243"/>
    <cellStyle name="Normal 15" xfId="59"/>
    <cellStyle name="Normal 15 10" xfId="1244"/>
    <cellStyle name="Normal 15 11" xfId="1245"/>
    <cellStyle name="Normal 15 12" xfId="1246"/>
    <cellStyle name="Normal 15 13" xfId="1247"/>
    <cellStyle name="Normal 15 14" xfId="1248"/>
    <cellStyle name="Normal 15 15" xfId="1249"/>
    <cellStyle name="Normal 15 16" xfId="1250"/>
    <cellStyle name="Normal 15 17" xfId="1251"/>
    <cellStyle name="Normal 15 18" xfId="1252"/>
    <cellStyle name="Normal 15 19" xfId="1253"/>
    <cellStyle name="Normal 15 2" xfId="1254"/>
    <cellStyle name="Normal 15 20" xfId="1255"/>
    <cellStyle name="Normal 15 3" xfId="1256"/>
    <cellStyle name="Normal 15 4" xfId="1257"/>
    <cellStyle name="Normal 15 5" xfId="1258"/>
    <cellStyle name="Normal 15 6" xfId="1259"/>
    <cellStyle name="Normal 15 7" xfId="1260"/>
    <cellStyle name="Normal 15 8" xfId="1261"/>
    <cellStyle name="Normal 15 9" xfId="1262"/>
    <cellStyle name="Normal 16" xfId="1263"/>
    <cellStyle name="Normal 16 10" xfId="1264"/>
    <cellStyle name="Normal 16 11" xfId="1265"/>
    <cellStyle name="Normal 16 12" xfId="1266"/>
    <cellStyle name="Normal 16 13" xfId="1267"/>
    <cellStyle name="Normal 16 14" xfId="1268"/>
    <cellStyle name="Normal 16 15" xfId="1269"/>
    <cellStyle name="Normal 16 16" xfId="1270"/>
    <cellStyle name="Normal 16 17" xfId="1271"/>
    <cellStyle name="Normal 16 18" xfId="1272"/>
    <cellStyle name="Normal 16 19" xfId="1273"/>
    <cellStyle name="Normal 16 2" xfId="1274"/>
    <cellStyle name="Normal 16 20" xfId="1275"/>
    <cellStyle name="Normal 16 21" xfId="1276"/>
    <cellStyle name="Normal 16 22" xfId="1277"/>
    <cellStyle name="Normal 16 23" xfId="1278"/>
    <cellStyle name="Normal 16 24" xfId="1279"/>
    <cellStyle name="Normal 16 25" xfId="1280"/>
    <cellStyle name="Normal 16 26" xfId="1281"/>
    <cellStyle name="Normal 16 27" xfId="1282"/>
    <cellStyle name="Normal 16 28" xfId="1283"/>
    <cellStyle name="Normal 16 29" xfId="1284"/>
    <cellStyle name="Normal 16 3" xfId="1285"/>
    <cellStyle name="Normal 16 30" xfId="1286"/>
    <cellStyle name="Normal 16 31" xfId="10813"/>
    <cellStyle name="Normal 16 4" xfId="1287"/>
    <cellStyle name="Normal 16 5" xfId="1288"/>
    <cellStyle name="Normal 16 6" xfId="1289"/>
    <cellStyle name="Normal 16 7" xfId="1290"/>
    <cellStyle name="Normal 16 8" xfId="1291"/>
    <cellStyle name="Normal 16 9" xfId="1292"/>
    <cellStyle name="Normal 17" xfId="10676"/>
    <cellStyle name="Normal 17 10" xfId="10685"/>
    <cellStyle name="Normal 17 10 2" xfId="11729"/>
    <cellStyle name="Normal 17 100" xfId="10870"/>
    <cellStyle name="Normal 17 100 2" xfId="11730"/>
    <cellStyle name="Normal 17 101" xfId="10936"/>
    <cellStyle name="Normal 17 101 2" xfId="11731"/>
    <cellStyle name="Normal 17 102" xfId="10844"/>
    <cellStyle name="Normal 17 102 2" xfId="11732"/>
    <cellStyle name="Normal 17 103" xfId="10929"/>
    <cellStyle name="Normal 17 103 2" xfId="11733"/>
    <cellStyle name="Normal 17 104" xfId="10900"/>
    <cellStyle name="Normal 17 104 2" xfId="11734"/>
    <cellStyle name="Normal 17 105" xfId="10937"/>
    <cellStyle name="Normal 17 105 2" xfId="11735"/>
    <cellStyle name="Normal 17 106" xfId="10866"/>
    <cellStyle name="Normal 17 106 2" xfId="11736"/>
    <cellStyle name="Normal 17 107" xfId="10873"/>
    <cellStyle name="Normal 17 107 2" xfId="11737"/>
    <cellStyle name="Normal 17 108" xfId="10938"/>
    <cellStyle name="Normal 17 108 2" xfId="11738"/>
    <cellStyle name="Normal 17 109" xfId="10916"/>
    <cellStyle name="Normal 17 109 2" xfId="11739"/>
    <cellStyle name="Normal 17 11" xfId="10686"/>
    <cellStyle name="Normal 17 11 2" xfId="11740"/>
    <cellStyle name="Normal 17 110" xfId="10855"/>
    <cellStyle name="Normal 17 110 2" xfId="11741"/>
    <cellStyle name="Normal 17 111" xfId="10910"/>
    <cellStyle name="Normal 17 111 2" xfId="11742"/>
    <cellStyle name="Normal 17 112" xfId="10859"/>
    <cellStyle name="Normal 17 112 2" xfId="11743"/>
    <cellStyle name="Normal 17 113" xfId="10879"/>
    <cellStyle name="Normal 17 113 2" xfId="11744"/>
    <cellStyle name="Normal 17 114" xfId="10889"/>
    <cellStyle name="Normal 17 114 2" xfId="11745"/>
    <cellStyle name="Normal 17 115" xfId="10882"/>
    <cellStyle name="Normal 17 115 2" xfId="11746"/>
    <cellStyle name="Normal 17 116" xfId="10922"/>
    <cellStyle name="Normal 17 116 2" xfId="11747"/>
    <cellStyle name="Normal 17 117" xfId="10988"/>
    <cellStyle name="Normal 17 117 2" xfId="11748"/>
    <cellStyle name="Normal 17 118" xfId="10939"/>
    <cellStyle name="Normal 17 118 2" xfId="11749"/>
    <cellStyle name="Normal 17 119" xfId="10987"/>
    <cellStyle name="Normal 17 119 2" xfId="11750"/>
    <cellStyle name="Normal 17 12" xfId="10687"/>
    <cellStyle name="Normal 17 12 2" xfId="11751"/>
    <cellStyle name="Normal 17 120" xfId="10943"/>
    <cellStyle name="Normal 17 120 2" xfId="11752"/>
    <cellStyle name="Normal 17 121" xfId="10983"/>
    <cellStyle name="Normal 17 121 2" xfId="11753"/>
    <cellStyle name="Normal 17 122" xfId="10946"/>
    <cellStyle name="Normal 17 122 2" xfId="11754"/>
    <cellStyle name="Normal 17 123" xfId="10979"/>
    <cellStyle name="Normal 17 123 2" xfId="11755"/>
    <cellStyle name="Normal 17 124" xfId="10989"/>
    <cellStyle name="Normal 17 124 2" xfId="11756"/>
    <cellStyle name="Normal 17 125" xfId="10942"/>
    <cellStyle name="Normal 17 125 2" xfId="11757"/>
    <cellStyle name="Normal 17 126" xfId="10984"/>
    <cellStyle name="Normal 17 126 2" xfId="11758"/>
    <cellStyle name="Normal 17 127" xfId="10950"/>
    <cellStyle name="Normal 17 127 2" xfId="11759"/>
    <cellStyle name="Normal 17 128" xfId="10980"/>
    <cellStyle name="Normal 17 128 2" xfId="11760"/>
    <cellStyle name="Normal 17 129" xfId="10949"/>
    <cellStyle name="Normal 17 129 2" xfId="11761"/>
    <cellStyle name="Normal 17 13" xfId="10688"/>
    <cellStyle name="Normal 17 13 2" xfId="11762"/>
    <cellStyle name="Normal 17 130" xfId="10992"/>
    <cellStyle name="Normal 17 130 2" xfId="11763"/>
    <cellStyle name="Normal 17 131" xfId="10957"/>
    <cellStyle name="Normal 17 131 2" xfId="11764"/>
    <cellStyle name="Normal 17 132" xfId="10970"/>
    <cellStyle name="Normal 17 132 2" xfId="11765"/>
    <cellStyle name="Normal 17 133" xfId="10960"/>
    <cellStyle name="Normal 17 133 2" xfId="11766"/>
    <cellStyle name="Normal 17 134" xfId="10967"/>
    <cellStyle name="Normal 17 134 2" xfId="11767"/>
    <cellStyle name="Normal 17 135" xfId="11049"/>
    <cellStyle name="Normal 17 135 2" xfId="11768"/>
    <cellStyle name="Normal 17 136" xfId="11055"/>
    <cellStyle name="Normal 17 136 2" xfId="11769"/>
    <cellStyle name="Normal 17 137" xfId="10996"/>
    <cellStyle name="Normal 17 137 2" xfId="11770"/>
    <cellStyle name="Normal 17 138" xfId="11045"/>
    <cellStyle name="Normal 17 138 2" xfId="11771"/>
    <cellStyle name="Normal 17 139" xfId="11001"/>
    <cellStyle name="Normal 17 139 2" xfId="11772"/>
    <cellStyle name="Normal 17 14" xfId="10689"/>
    <cellStyle name="Normal 17 14 2" xfId="11773"/>
    <cellStyle name="Normal 17 140" xfId="11038"/>
    <cellStyle name="Normal 17 140 2" xfId="11774"/>
    <cellStyle name="Normal 17 141" xfId="11008"/>
    <cellStyle name="Normal 17 141 2" xfId="11775"/>
    <cellStyle name="Normal 17 142" xfId="11033"/>
    <cellStyle name="Normal 17 142 2" xfId="11776"/>
    <cellStyle name="Normal 17 143" xfId="11014"/>
    <cellStyle name="Normal 17 143 2" xfId="11777"/>
    <cellStyle name="Normal 17 144" xfId="11030"/>
    <cellStyle name="Normal 17 144 2" xfId="11778"/>
    <cellStyle name="Normal 17 145" xfId="11039"/>
    <cellStyle name="Normal 17 145 2" xfId="11779"/>
    <cellStyle name="Normal 17 146" xfId="11009"/>
    <cellStyle name="Normal 17 146 2" xfId="11780"/>
    <cellStyle name="Normal 17 147" xfId="11010"/>
    <cellStyle name="Normal 17 147 2" xfId="11781"/>
    <cellStyle name="Normal 17 148" xfId="10994"/>
    <cellStyle name="Normal 17 148 2" xfId="11782"/>
    <cellStyle name="Normal 17 149" xfId="11004"/>
    <cellStyle name="Normal 17 149 2" xfId="11783"/>
    <cellStyle name="Normal 17 15" xfId="10690"/>
    <cellStyle name="Normal 17 15 2" xfId="11784"/>
    <cellStyle name="Normal 17 150" xfId="11026"/>
    <cellStyle name="Normal 17 150 2" xfId="11785"/>
    <cellStyle name="Normal 17 151" xfId="11020"/>
    <cellStyle name="Normal 17 151 2" xfId="11786"/>
    <cellStyle name="Normal 17 152" xfId="11051"/>
    <cellStyle name="Normal 17 152 2" xfId="11787"/>
    <cellStyle name="Normal 17 153" xfId="11021"/>
    <cellStyle name="Normal 17 153 2" xfId="11788"/>
    <cellStyle name="Normal 17 154" xfId="11025"/>
    <cellStyle name="Normal 17 154 2" xfId="11789"/>
    <cellStyle name="Normal 17 155" xfId="11022"/>
    <cellStyle name="Normal 17 155 2" xfId="11790"/>
    <cellStyle name="Normal 17 156" xfId="11011"/>
    <cellStyle name="Normal 17 156 2" xfId="11791"/>
    <cellStyle name="Normal 17 157" xfId="11023"/>
    <cellStyle name="Normal 17 157 2" xfId="11792"/>
    <cellStyle name="Normal 17 158" xfId="11080"/>
    <cellStyle name="Normal 17 158 2" xfId="11793"/>
    <cellStyle name="Normal 17 159" xfId="11085"/>
    <cellStyle name="Normal 17 159 2" xfId="11794"/>
    <cellStyle name="Normal 17 16" xfId="10691"/>
    <cellStyle name="Normal 17 16 2" xfId="11795"/>
    <cellStyle name="Normal 17 160" xfId="11063"/>
    <cellStyle name="Normal 17 160 2" xfId="11796"/>
    <cellStyle name="Normal 17 161" xfId="11078"/>
    <cellStyle name="Normal 17 161 2" xfId="11797"/>
    <cellStyle name="Normal 17 162" xfId="11067"/>
    <cellStyle name="Normal 17 162 2" xfId="11798"/>
    <cellStyle name="Normal 17 163" xfId="11075"/>
    <cellStyle name="Normal 17 163 2" xfId="11799"/>
    <cellStyle name="Normal 17 164" xfId="11070"/>
    <cellStyle name="Normal 17 164 2" xfId="11800"/>
    <cellStyle name="Normal 17 165" xfId="11072"/>
    <cellStyle name="Normal 17 165 2" xfId="11801"/>
    <cellStyle name="Normal 17 166" xfId="11106"/>
    <cellStyle name="Normal 17 166 2" xfId="11802"/>
    <cellStyle name="Normal 17 167" xfId="11112"/>
    <cellStyle name="Normal 17 167 2" xfId="11803"/>
    <cellStyle name="Normal 17 168" xfId="11086"/>
    <cellStyle name="Normal 17 168 2" xfId="11804"/>
    <cellStyle name="Normal 17 169" xfId="11105"/>
    <cellStyle name="Normal 17 169 2" xfId="11805"/>
    <cellStyle name="Normal 17 17" xfId="10692"/>
    <cellStyle name="Normal 17 17 2" xfId="11806"/>
    <cellStyle name="Normal 17 170" xfId="11091"/>
    <cellStyle name="Normal 17 170 2" xfId="11807"/>
    <cellStyle name="Normal 17 171" xfId="11101"/>
    <cellStyle name="Normal 17 171 2" xfId="11808"/>
    <cellStyle name="Normal 17 172" xfId="11094"/>
    <cellStyle name="Normal 17 172 2" xfId="11809"/>
    <cellStyle name="Normal 17 173" xfId="11097"/>
    <cellStyle name="Normal 17 173 2" xfId="11810"/>
    <cellStyle name="Normal 17 174" xfId="11096"/>
    <cellStyle name="Normal 17 174 2" xfId="11811"/>
    <cellStyle name="Normal 17 175" xfId="11114"/>
    <cellStyle name="Normal 17 175 2" xfId="11812"/>
    <cellStyle name="Normal 17 176" xfId="11113"/>
    <cellStyle name="Normal 17 176 2" xfId="11813"/>
    <cellStyle name="Normal 17 177" xfId="11119"/>
    <cellStyle name="Normal 17 177 2" xfId="11814"/>
    <cellStyle name="Normal 17 178" xfId="11115"/>
    <cellStyle name="Normal 17 178 2" xfId="11815"/>
    <cellStyle name="Normal 17 179" xfId="11118"/>
    <cellStyle name="Normal 17 179 2" xfId="11816"/>
    <cellStyle name="Normal 17 18" xfId="10693"/>
    <cellStyle name="Normal 17 18 2" xfId="11817"/>
    <cellStyle name="Normal 17 180" xfId="11116"/>
    <cellStyle name="Normal 17 180 2" xfId="11818"/>
    <cellStyle name="Normal 17 181" xfId="11117"/>
    <cellStyle name="Normal 17 181 2" xfId="11819"/>
    <cellStyle name="Normal 17 182" xfId="11282"/>
    <cellStyle name="Normal 17 182 2" xfId="11820"/>
    <cellStyle name="Normal 17 183" xfId="11301"/>
    <cellStyle name="Normal 17 183 2" xfId="11821"/>
    <cellStyle name="Normal 17 184" xfId="11127"/>
    <cellStyle name="Normal 17 184 2" xfId="11822"/>
    <cellStyle name="Normal 17 185" xfId="11132"/>
    <cellStyle name="Normal 17 185 2" xfId="11823"/>
    <cellStyle name="Normal 17 186" xfId="11136"/>
    <cellStyle name="Normal 17 186 2" xfId="11824"/>
    <cellStyle name="Normal 17 187" xfId="11281"/>
    <cellStyle name="Normal 17 187 2" xfId="11825"/>
    <cellStyle name="Normal 17 188" xfId="11152"/>
    <cellStyle name="Normal 17 188 2" xfId="11826"/>
    <cellStyle name="Normal 17 189" xfId="11158"/>
    <cellStyle name="Normal 17 189 2" xfId="11827"/>
    <cellStyle name="Normal 17 19" xfId="10694"/>
    <cellStyle name="Normal 17 19 2" xfId="11828"/>
    <cellStyle name="Normal 17 190" xfId="11255"/>
    <cellStyle name="Normal 17 190 2" xfId="11829"/>
    <cellStyle name="Normal 17 191" xfId="11162"/>
    <cellStyle name="Normal 17 191 2" xfId="11830"/>
    <cellStyle name="Normal 17 192" xfId="11243"/>
    <cellStyle name="Normal 17 192 2" xfId="11831"/>
    <cellStyle name="Normal 17 193" xfId="11246"/>
    <cellStyle name="Normal 17 193 2" xfId="11832"/>
    <cellStyle name="Normal 17 194" xfId="11239"/>
    <cellStyle name="Normal 17 194 2" xfId="11833"/>
    <cellStyle name="Normal 17 195" xfId="11175"/>
    <cellStyle name="Normal 17 195 2" xfId="11834"/>
    <cellStyle name="Normal 17 196" xfId="11236"/>
    <cellStyle name="Normal 17 196 2" xfId="11835"/>
    <cellStyle name="Normal 17 197" xfId="11180"/>
    <cellStyle name="Normal 17 197 2" xfId="11836"/>
    <cellStyle name="Normal 17 198" xfId="11230"/>
    <cellStyle name="Normal 17 198 2" xfId="11837"/>
    <cellStyle name="Normal 17 199" xfId="11293"/>
    <cellStyle name="Normal 17 199 2" xfId="11838"/>
    <cellStyle name="Normal 17 2" xfId="10677"/>
    <cellStyle name="Normal 17 2 2" xfId="11839"/>
    <cellStyle name="Normal 17 20" xfId="10695"/>
    <cellStyle name="Normal 17 20 2" xfId="11840"/>
    <cellStyle name="Normal 17 200" xfId="11228"/>
    <cellStyle name="Normal 17 200 2" xfId="11841"/>
    <cellStyle name="Normal 17 201" xfId="11274"/>
    <cellStyle name="Normal 17 201 2" xfId="11842"/>
    <cellStyle name="Normal 17 202" xfId="11161"/>
    <cellStyle name="Normal 17 202 2" xfId="11843"/>
    <cellStyle name="Normal 17 203" xfId="11249"/>
    <cellStyle name="Normal 17 203 2" xfId="11844"/>
    <cellStyle name="Normal 17 204" xfId="11168"/>
    <cellStyle name="Normal 17 204 2" xfId="11845"/>
    <cellStyle name="Normal 17 205" xfId="11177"/>
    <cellStyle name="Normal 17 205 2" xfId="11846"/>
    <cellStyle name="Normal 17 206" xfId="11232"/>
    <cellStyle name="Normal 17 206 2" xfId="11847"/>
    <cellStyle name="Normal 17 207" xfId="11159"/>
    <cellStyle name="Normal 17 207 2" xfId="11848"/>
    <cellStyle name="Normal 17 208" xfId="11234"/>
    <cellStyle name="Normal 17 208 2" xfId="11849"/>
    <cellStyle name="Normal 17 209" xfId="11265"/>
    <cellStyle name="Normal 17 209 2" xfId="11850"/>
    <cellStyle name="Normal 17 21" xfId="10696"/>
    <cellStyle name="Normal 17 21 2" xfId="11851"/>
    <cellStyle name="Normal 17 210" xfId="11193"/>
    <cellStyle name="Normal 17 210 2" xfId="11852"/>
    <cellStyle name="Normal 17 211" xfId="11217"/>
    <cellStyle name="Normal 17 211 2" xfId="11853"/>
    <cellStyle name="Normal 17 212" xfId="11235"/>
    <cellStyle name="Normal 17 212 2" xfId="11854"/>
    <cellStyle name="Normal 17 213" xfId="11216"/>
    <cellStyle name="Normal 17 213 2" xfId="11855"/>
    <cellStyle name="Normal 17 214" xfId="11123"/>
    <cellStyle name="Normal 17 214 2" xfId="11856"/>
    <cellStyle name="Normal 17 215" xfId="11187"/>
    <cellStyle name="Normal 17 215 2" xfId="11857"/>
    <cellStyle name="Normal 17 216" xfId="11278"/>
    <cellStyle name="Normal 17 216 2" xfId="11858"/>
    <cellStyle name="Normal 17 217" xfId="11195"/>
    <cellStyle name="Normal 17 217 2" xfId="11859"/>
    <cellStyle name="Normal 17 218" xfId="11201"/>
    <cellStyle name="Normal 17 218 2" xfId="11860"/>
    <cellStyle name="Normal 17 219" xfId="11183"/>
    <cellStyle name="Normal 17 219 2" xfId="11861"/>
    <cellStyle name="Normal 17 22" xfId="10697"/>
    <cellStyle name="Normal 17 22 2" xfId="11862"/>
    <cellStyle name="Normal 17 220" xfId="11225"/>
    <cellStyle name="Normal 17 220 2" xfId="11863"/>
    <cellStyle name="Normal 17 221" xfId="11211"/>
    <cellStyle name="Normal 17 221 2" xfId="11864"/>
    <cellStyle name="Normal 17 222" xfId="11226"/>
    <cellStyle name="Normal 17 222 2" xfId="11865"/>
    <cellStyle name="Normal 17 223" xfId="11247"/>
    <cellStyle name="Normal 17 223 2" xfId="11866"/>
    <cellStyle name="Normal 17 224" xfId="11122"/>
    <cellStyle name="Normal 17 224 2" xfId="11867"/>
    <cellStyle name="Normal 17 225" xfId="11190"/>
    <cellStyle name="Normal 17 225 2" xfId="11868"/>
    <cellStyle name="Normal 17 226" xfId="11213"/>
    <cellStyle name="Normal 17 226 2" xfId="11869"/>
    <cellStyle name="Normal 17 227" xfId="11244"/>
    <cellStyle name="Normal 17 227 2" xfId="11870"/>
    <cellStyle name="Normal 17 228" xfId="11205"/>
    <cellStyle name="Normal 17 228 2" xfId="11871"/>
    <cellStyle name="Normal 17 229" xfId="11173"/>
    <cellStyle name="Normal 17 229 2" xfId="11872"/>
    <cellStyle name="Normal 17 23" xfId="10698"/>
    <cellStyle name="Normal 17 23 2" xfId="11873"/>
    <cellStyle name="Normal 17 230" xfId="11220"/>
    <cellStyle name="Normal 17 230 2" xfId="11874"/>
    <cellStyle name="Normal 17 231" xfId="11227"/>
    <cellStyle name="Normal 17 231 2" xfId="11875"/>
    <cellStyle name="Normal 17 232" xfId="11218"/>
    <cellStyle name="Normal 17 232 2" xfId="11876"/>
    <cellStyle name="Normal 17 233" xfId="11284"/>
    <cellStyle name="Normal 17 233 2" xfId="11877"/>
    <cellStyle name="Normal 17 234" xfId="11153"/>
    <cellStyle name="Normal 17 234 2" xfId="11878"/>
    <cellStyle name="Normal 17 235" xfId="11283"/>
    <cellStyle name="Normal 17 235 2" xfId="11879"/>
    <cellStyle name="Normal 17 236" xfId="11141"/>
    <cellStyle name="Normal 17 236 2" xfId="11880"/>
    <cellStyle name="Normal 17 237" xfId="11229"/>
    <cellStyle name="Normal 17 237 2" xfId="11881"/>
    <cellStyle name="Normal 17 238" xfId="11257"/>
    <cellStyle name="Normal 17 238 2" xfId="11882"/>
    <cellStyle name="Normal 17 239" xfId="11124"/>
    <cellStyle name="Normal 17 239 2" xfId="11883"/>
    <cellStyle name="Normal 17 24" xfId="10699"/>
    <cellStyle name="Normal 17 24 2" xfId="11884"/>
    <cellStyle name="Normal 17 240" xfId="11207"/>
    <cellStyle name="Normal 17 240 2" xfId="11885"/>
    <cellStyle name="Normal 17 241" xfId="11182"/>
    <cellStyle name="Normal 17 241 2" xfId="11886"/>
    <cellStyle name="Normal 17 242" xfId="11241"/>
    <cellStyle name="Normal 17 242 2" xfId="11887"/>
    <cellStyle name="Normal 17 243" xfId="11129"/>
    <cellStyle name="Normal 17 243 2" xfId="11888"/>
    <cellStyle name="Normal 17 244" xfId="11140"/>
    <cellStyle name="Normal 17 244 2" xfId="11889"/>
    <cellStyle name="Normal 17 245" xfId="11222"/>
    <cellStyle name="Normal 17 245 2" xfId="11890"/>
    <cellStyle name="Normal 17 246" xfId="11308"/>
    <cellStyle name="Normal 17 246 2" xfId="11891"/>
    <cellStyle name="Normal 17 247" xfId="11315"/>
    <cellStyle name="Normal 17 247 2" xfId="11892"/>
    <cellStyle name="Normal 17 248" xfId="11311"/>
    <cellStyle name="Normal 17 248 2" xfId="11893"/>
    <cellStyle name="Normal 17 249" xfId="11314"/>
    <cellStyle name="Normal 17 249 2" xfId="11894"/>
    <cellStyle name="Normal 17 25" xfId="10700"/>
    <cellStyle name="Normal 17 25 2" xfId="11895"/>
    <cellStyle name="Normal 17 250" xfId="11312"/>
    <cellStyle name="Normal 17 250 2" xfId="11896"/>
    <cellStyle name="Normal 17 251" xfId="11313"/>
    <cellStyle name="Normal 17 251 2" xfId="11897"/>
    <cellStyle name="Normal 17 252" xfId="11316"/>
    <cellStyle name="Normal 17 252 2" xfId="11898"/>
    <cellStyle name="Normal 17 253" xfId="11324"/>
    <cellStyle name="Normal 17 253 2" xfId="11899"/>
    <cellStyle name="Normal 17 254" xfId="11321"/>
    <cellStyle name="Normal 17 254 2" xfId="11900"/>
    <cellStyle name="Normal 17 255" xfId="11322"/>
    <cellStyle name="Normal 17 255 2" xfId="11901"/>
    <cellStyle name="Normal 17 256" xfId="11728"/>
    <cellStyle name="Normal 17 26" xfId="10701"/>
    <cellStyle name="Normal 17 26 2" xfId="11902"/>
    <cellStyle name="Normal 17 27" xfId="10702"/>
    <cellStyle name="Normal 17 27 2" xfId="11903"/>
    <cellStyle name="Normal 17 28" xfId="10703"/>
    <cellStyle name="Normal 17 28 2" xfId="11904"/>
    <cellStyle name="Normal 17 29" xfId="10704"/>
    <cellStyle name="Normal 17 29 2" xfId="11905"/>
    <cellStyle name="Normal 17 3" xfId="10678"/>
    <cellStyle name="Normal 17 3 2" xfId="11906"/>
    <cellStyle name="Normal 17 30" xfId="10705"/>
    <cellStyle name="Normal 17 30 2" xfId="11907"/>
    <cellStyle name="Normal 17 31" xfId="10707"/>
    <cellStyle name="Normal 17 31 2" xfId="11908"/>
    <cellStyle name="Normal 17 32" xfId="10706"/>
    <cellStyle name="Normal 17 32 2" xfId="11909"/>
    <cellStyle name="Normal 17 33" xfId="10711"/>
    <cellStyle name="Normal 17 33 10" xfId="10834"/>
    <cellStyle name="Normal 17 33 11" xfId="11335"/>
    <cellStyle name="Normal 17 33 11 2" xfId="11911"/>
    <cellStyle name="Normal 17 33 12" xfId="11910"/>
    <cellStyle name="Normal 17 33 2" xfId="10809"/>
    <cellStyle name="Normal 17 33 3" xfId="10833"/>
    <cellStyle name="Normal 17 33 4" xfId="10828"/>
    <cellStyle name="Normal 17 33 5" xfId="10832"/>
    <cellStyle name="Normal 17 33 6" xfId="10829"/>
    <cellStyle name="Normal 17 33 7" xfId="10831"/>
    <cellStyle name="Normal 17 33 8" xfId="10830"/>
    <cellStyle name="Normal 17 33 9" xfId="10835"/>
    <cellStyle name="Normal 17 34" xfId="10708"/>
    <cellStyle name="Normal 17 34 2" xfId="11912"/>
    <cellStyle name="Normal 17 35" xfId="10710"/>
    <cellStyle name="Normal 17 35 2" xfId="11913"/>
    <cellStyle name="Normal 17 36" xfId="10709"/>
    <cellStyle name="Normal 17 36 2" xfId="11914"/>
    <cellStyle name="Normal 17 37" xfId="10712"/>
    <cellStyle name="Normal 17 37 2" xfId="11915"/>
    <cellStyle name="Normal 17 38" xfId="10718"/>
    <cellStyle name="Normal 17 38 2" xfId="11916"/>
    <cellStyle name="Normal 17 39" xfId="10713"/>
    <cellStyle name="Normal 17 39 2" xfId="11917"/>
    <cellStyle name="Normal 17 4" xfId="10679"/>
    <cellStyle name="Normal 17 4 2" xfId="11918"/>
    <cellStyle name="Normal 17 40" xfId="10717"/>
    <cellStyle name="Normal 17 40 2" xfId="11919"/>
    <cellStyle name="Normal 17 41" xfId="10714"/>
    <cellStyle name="Normal 17 41 2" xfId="11920"/>
    <cellStyle name="Normal 17 42" xfId="10716"/>
    <cellStyle name="Normal 17 42 2" xfId="11921"/>
    <cellStyle name="Normal 17 43" xfId="10715"/>
    <cellStyle name="Normal 17 43 2" xfId="11922"/>
    <cellStyle name="Normal 17 44" xfId="10733"/>
    <cellStyle name="Normal 17 44 2" xfId="11923"/>
    <cellStyle name="Normal 17 45" xfId="10736"/>
    <cellStyle name="Normal 17 45 2" xfId="11924"/>
    <cellStyle name="Normal 17 46" xfId="10734"/>
    <cellStyle name="Normal 17 46 2" xfId="11925"/>
    <cellStyle name="Normal 17 47" xfId="10735"/>
    <cellStyle name="Normal 17 47 2" xfId="11926"/>
    <cellStyle name="Normal 17 48" xfId="10768"/>
    <cellStyle name="Normal 17 48 2" xfId="11927"/>
    <cellStyle name="Normal 17 49" xfId="10782"/>
    <cellStyle name="Normal 17 49 2" xfId="11928"/>
    <cellStyle name="Normal 17 5" xfId="10680"/>
    <cellStyle name="Normal 17 5 2" xfId="11929"/>
    <cellStyle name="Normal 17 50" xfId="10769"/>
    <cellStyle name="Normal 17 50 2" xfId="11930"/>
    <cellStyle name="Normal 17 51" xfId="10765"/>
    <cellStyle name="Normal 17 51 2" xfId="11931"/>
    <cellStyle name="Normal 17 52" xfId="10785"/>
    <cellStyle name="Normal 17 52 2" xfId="11932"/>
    <cellStyle name="Normal 17 53" xfId="10766"/>
    <cellStyle name="Normal 17 53 2" xfId="11933"/>
    <cellStyle name="Normal 17 54" xfId="10784"/>
    <cellStyle name="Normal 17 54 2" xfId="11934"/>
    <cellStyle name="Normal 17 55" xfId="10767"/>
    <cellStyle name="Normal 17 55 2" xfId="11935"/>
    <cellStyle name="Normal 17 56" xfId="10783"/>
    <cellStyle name="Normal 17 56 2" xfId="11936"/>
    <cellStyle name="Normal 17 57" xfId="10770"/>
    <cellStyle name="Normal 17 57 2" xfId="11937"/>
    <cellStyle name="Normal 17 58" xfId="10781"/>
    <cellStyle name="Normal 17 58 2" xfId="11938"/>
    <cellStyle name="Normal 17 59" xfId="10771"/>
    <cellStyle name="Normal 17 59 2" xfId="11939"/>
    <cellStyle name="Normal 17 6" xfId="10681"/>
    <cellStyle name="Normal 17 6 2" xfId="11940"/>
    <cellStyle name="Normal 17 60" xfId="10780"/>
    <cellStyle name="Normal 17 60 2" xfId="11941"/>
    <cellStyle name="Normal 17 61" xfId="10772"/>
    <cellStyle name="Normal 17 61 2" xfId="11942"/>
    <cellStyle name="Normal 17 62" xfId="10779"/>
    <cellStyle name="Normal 17 62 2" xfId="11943"/>
    <cellStyle name="Normal 17 63" xfId="10773"/>
    <cellStyle name="Normal 17 63 2" xfId="11944"/>
    <cellStyle name="Normal 17 64" xfId="10778"/>
    <cellStyle name="Normal 17 64 2" xfId="11945"/>
    <cellStyle name="Normal 17 65" xfId="10774"/>
    <cellStyle name="Normal 17 65 2" xfId="11946"/>
    <cellStyle name="Normal 17 66" xfId="10777"/>
    <cellStyle name="Normal 17 66 2" xfId="11947"/>
    <cellStyle name="Normal 17 67" xfId="10775"/>
    <cellStyle name="Normal 17 67 2" xfId="11948"/>
    <cellStyle name="Normal 17 68" xfId="10776"/>
    <cellStyle name="Normal 17 68 2" xfId="11949"/>
    <cellStyle name="Normal 17 69" xfId="10793"/>
    <cellStyle name="Normal 17 69 2" xfId="11950"/>
    <cellStyle name="Normal 17 7" xfId="10682"/>
    <cellStyle name="Normal 17 7 2" xfId="11951"/>
    <cellStyle name="Normal 17 70" xfId="10797"/>
    <cellStyle name="Normal 17 70 2" xfId="11952"/>
    <cellStyle name="Normal 17 71" xfId="10804"/>
    <cellStyle name="Normal 17 71 2" xfId="11953"/>
    <cellStyle name="Normal 17 72" xfId="10798"/>
    <cellStyle name="Normal 17 72 2" xfId="11954"/>
    <cellStyle name="Normal 17 73" xfId="10802"/>
    <cellStyle name="Normal 17 73 2" xfId="11955"/>
    <cellStyle name="Normal 17 74" xfId="10800"/>
    <cellStyle name="Normal 17 74 2" xfId="11956"/>
    <cellStyle name="Normal 17 75" xfId="10801"/>
    <cellStyle name="Normal 17 75 2" xfId="11957"/>
    <cellStyle name="Normal 17 76" xfId="10806"/>
    <cellStyle name="Normal 17 76 2" xfId="11958"/>
    <cellStyle name="Normal 17 77" xfId="10795"/>
    <cellStyle name="Normal 17 77 2" xfId="11959"/>
    <cellStyle name="Normal 17 78" xfId="10805"/>
    <cellStyle name="Normal 17 78 2" xfId="11960"/>
    <cellStyle name="Normal 17 79" xfId="10796"/>
    <cellStyle name="Normal 17 79 2" xfId="11961"/>
    <cellStyle name="Normal 17 8" xfId="10683"/>
    <cellStyle name="Normal 17 8 2" xfId="11962"/>
    <cellStyle name="Normal 17 80" xfId="10803"/>
    <cellStyle name="Normal 17 80 2" xfId="11963"/>
    <cellStyle name="Normal 17 81" xfId="10799"/>
    <cellStyle name="Normal 17 81 2" xfId="11964"/>
    <cellStyle name="Normal 17 82" xfId="10807"/>
    <cellStyle name="Normal 17 82 2" xfId="11965"/>
    <cellStyle name="Normal 17 83" xfId="10808"/>
    <cellStyle name="Normal 17 83 2" xfId="11966"/>
    <cellStyle name="Normal 17 84" xfId="10794"/>
    <cellStyle name="Normal 17 84 2" xfId="11967"/>
    <cellStyle name="Normal 17 85" xfId="10932"/>
    <cellStyle name="Normal 17 85 2" xfId="11968"/>
    <cellStyle name="Normal 17 86" xfId="10847"/>
    <cellStyle name="Normal 17 86 2" xfId="11969"/>
    <cellStyle name="Normal 17 87" xfId="10926"/>
    <cellStyle name="Normal 17 87 2" xfId="11970"/>
    <cellStyle name="Normal 17 88" xfId="10852"/>
    <cellStyle name="Normal 17 88 2" xfId="11971"/>
    <cellStyle name="Normal 17 89" xfId="10921"/>
    <cellStyle name="Normal 17 89 2" xfId="11972"/>
    <cellStyle name="Normal 17 9" xfId="10684"/>
    <cellStyle name="Normal 17 9 2" xfId="11973"/>
    <cellStyle name="Normal 17 90" xfId="10856"/>
    <cellStyle name="Normal 17 90 2" xfId="11974"/>
    <cellStyle name="Normal 17 91" xfId="10917"/>
    <cellStyle name="Normal 17 91 2" xfId="11975"/>
    <cellStyle name="Normal 17 92" xfId="10860"/>
    <cellStyle name="Normal 17 92 2" xfId="11976"/>
    <cellStyle name="Normal 17 93" xfId="10911"/>
    <cellStyle name="Normal 17 93 2" xfId="11977"/>
    <cellStyle name="Normal 17 94" xfId="10863"/>
    <cellStyle name="Normal 17 94 2" xfId="11978"/>
    <cellStyle name="Normal 17 95" xfId="10907"/>
    <cellStyle name="Normal 17 95 2" xfId="11979"/>
    <cellStyle name="Normal 17 96" xfId="10865"/>
    <cellStyle name="Normal 17 96 2" xfId="11980"/>
    <cellStyle name="Normal 17 97" xfId="10904"/>
    <cellStyle name="Normal 17 97 2" xfId="11981"/>
    <cellStyle name="Normal 17 98" xfId="10868"/>
    <cellStyle name="Normal 17 98 2" xfId="11982"/>
    <cellStyle name="Normal 17 99" xfId="10901"/>
    <cellStyle name="Normal 17 99 2" xfId="11983"/>
    <cellStyle name="Normal 18" xfId="10644"/>
    <cellStyle name="Normal 18 2" xfId="10810"/>
    <cellStyle name="Normal 18 3" xfId="10814"/>
    <cellStyle name="Normal 19" xfId="10646"/>
    <cellStyle name="Normal 19 2" xfId="10811"/>
    <cellStyle name="Normal 19 3" xfId="10815"/>
    <cellStyle name="Normal 2" xfId="44"/>
    <cellStyle name="Normal 2 10" xfId="60"/>
    <cellStyle name="Normal 2 10 10" xfId="1293"/>
    <cellStyle name="Normal 2 10 10 2" xfId="1294"/>
    <cellStyle name="Normal 2 10 10 3" xfId="1295"/>
    <cellStyle name="Normal 2 10 10 4" xfId="1296"/>
    <cellStyle name="Normal 2 10 10 5" xfId="1297"/>
    <cellStyle name="Normal 2 10 11" xfId="1298"/>
    <cellStyle name="Normal 2 10 11 2" xfId="1299"/>
    <cellStyle name="Normal 2 10 11 3" xfId="1300"/>
    <cellStyle name="Normal 2 10 11 4" xfId="1301"/>
    <cellStyle name="Normal 2 10 11 5" xfId="1302"/>
    <cellStyle name="Normal 2 10 12" xfId="1303"/>
    <cellStyle name="Normal 2 10 12 2" xfId="1304"/>
    <cellStyle name="Normal 2 10 12 3" xfId="1305"/>
    <cellStyle name="Normal 2 10 12 4" xfId="1306"/>
    <cellStyle name="Normal 2 10 12 5" xfId="1307"/>
    <cellStyle name="Normal 2 10 13" xfId="1308"/>
    <cellStyle name="Normal 2 10 13 2" xfId="1309"/>
    <cellStyle name="Normal 2 10 13 3" xfId="1310"/>
    <cellStyle name="Normal 2 10 13 4" xfId="1311"/>
    <cellStyle name="Normal 2 10 13 5" xfId="1312"/>
    <cellStyle name="Normal 2 10 14" xfId="1313"/>
    <cellStyle name="Normal 2 10 14 2" xfId="1314"/>
    <cellStyle name="Normal 2 10 14 3" xfId="1315"/>
    <cellStyle name="Normal 2 10 14 4" xfId="1316"/>
    <cellStyle name="Normal 2 10 14 5" xfId="1317"/>
    <cellStyle name="Normal 2 10 15" xfId="1318"/>
    <cellStyle name="Normal 2 10 15 2" xfId="1319"/>
    <cellStyle name="Normal 2 10 15 3" xfId="1320"/>
    <cellStyle name="Normal 2 10 15 4" xfId="1321"/>
    <cellStyle name="Normal 2 10 15 5" xfId="1322"/>
    <cellStyle name="Normal 2 10 16" xfId="1323"/>
    <cellStyle name="Normal 2 10 16 2" xfId="1324"/>
    <cellStyle name="Normal 2 10 16 3" xfId="1325"/>
    <cellStyle name="Normal 2 10 16 4" xfId="1326"/>
    <cellStyle name="Normal 2 10 16 5" xfId="1327"/>
    <cellStyle name="Normal 2 10 17" xfId="1328"/>
    <cellStyle name="Normal 2 10 17 2" xfId="1329"/>
    <cellStyle name="Normal 2 10 17 3" xfId="1330"/>
    <cellStyle name="Normal 2 10 17 4" xfId="1331"/>
    <cellStyle name="Normal 2 10 17 5" xfId="1332"/>
    <cellStyle name="Normal 2 10 18" xfId="1333"/>
    <cellStyle name="Normal 2 10 18 2" xfId="1334"/>
    <cellStyle name="Normal 2 10 18 3" xfId="1335"/>
    <cellStyle name="Normal 2 10 18 4" xfId="1336"/>
    <cellStyle name="Normal 2 10 18 5" xfId="1337"/>
    <cellStyle name="Normal 2 10 19" xfId="1338"/>
    <cellStyle name="Normal 2 10 19 2" xfId="1339"/>
    <cellStyle name="Normal 2 10 19 3" xfId="1340"/>
    <cellStyle name="Normal 2 10 19 4" xfId="1341"/>
    <cellStyle name="Normal 2 10 19 5" xfId="1342"/>
    <cellStyle name="Normal 2 10 2" xfId="1343"/>
    <cellStyle name="Normal 2 10 2 2" xfId="1344"/>
    <cellStyle name="Normal 2 10 2 3" xfId="1345"/>
    <cellStyle name="Normal 2 10 2 4" xfId="1346"/>
    <cellStyle name="Normal 2 10 2 5" xfId="1347"/>
    <cellStyle name="Normal 2 10 20" xfId="1348"/>
    <cellStyle name="Normal 2 10 20 2" xfId="1349"/>
    <cellStyle name="Normal 2 10 20 3" xfId="1350"/>
    <cellStyle name="Normal 2 10 20 4" xfId="1351"/>
    <cellStyle name="Normal 2 10 20 5" xfId="1352"/>
    <cellStyle name="Normal 2 10 21" xfId="1353"/>
    <cellStyle name="Normal 2 10 21 2" xfId="1354"/>
    <cellStyle name="Normal 2 10 21 3" xfId="1355"/>
    <cellStyle name="Normal 2 10 21 4" xfId="1356"/>
    <cellStyle name="Normal 2 10 21 5" xfId="1357"/>
    <cellStyle name="Normal 2 10 22" xfId="1358"/>
    <cellStyle name="Normal 2 10 22 2" xfId="1359"/>
    <cellStyle name="Normal 2 10 22 3" xfId="1360"/>
    <cellStyle name="Normal 2 10 22 4" xfId="1361"/>
    <cellStyle name="Normal 2 10 22 5" xfId="1362"/>
    <cellStyle name="Normal 2 10 23" xfId="1363"/>
    <cellStyle name="Normal 2 10 23 2" xfId="1364"/>
    <cellStyle name="Normal 2 10 23 3" xfId="1365"/>
    <cellStyle name="Normal 2 10 23 4" xfId="1366"/>
    <cellStyle name="Normal 2 10 23 5" xfId="1367"/>
    <cellStyle name="Normal 2 10 24" xfId="1368"/>
    <cellStyle name="Normal 2 10 24 2" xfId="1369"/>
    <cellStyle name="Normal 2 10 24 3" xfId="1370"/>
    <cellStyle name="Normal 2 10 24 4" xfId="1371"/>
    <cellStyle name="Normal 2 10 24 5" xfId="1372"/>
    <cellStyle name="Normal 2 10 25" xfId="1373"/>
    <cellStyle name="Normal 2 10 25 2" xfId="1374"/>
    <cellStyle name="Normal 2 10 25 3" xfId="1375"/>
    <cellStyle name="Normal 2 10 25 4" xfId="1376"/>
    <cellStyle name="Normal 2 10 25 5" xfId="1377"/>
    <cellStyle name="Normal 2 10 26" xfId="1378"/>
    <cellStyle name="Normal 2 10 26 2" xfId="1379"/>
    <cellStyle name="Normal 2 10 26 3" xfId="1380"/>
    <cellStyle name="Normal 2 10 26 4" xfId="1381"/>
    <cellStyle name="Normal 2 10 26 5" xfId="1382"/>
    <cellStyle name="Normal 2 10 27" xfId="1383"/>
    <cellStyle name="Normal 2 10 27 2" xfId="1384"/>
    <cellStyle name="Normal 2 10 27 3" xfId="1385"/>
    <cellStyle name="Normal 2 10 27 4" xfId="1386"/>
    <cellStyle name="Normal 2 10 27 5" xfId="1387"/>
    <cellStyle name="Normal 2 10 28" xfId="1388"/>
    <cellStyle name="Normal 2 10 28 2" xfId="1389"/>
    <cellStyle name="Normal 2 10 28 3" xfId="1390"/>
    <cellStyle name="Normal 2 10 28 4" xfId="1391"/>
    <cellStyle name="Normal 2 10 28 5" xfId="1392"/>
    <cellStyle name="Normal 2 10 29" xfId="1393"/>
    <cellStyle name="Normal 2 10 29 2" xfId="1394"/>
    <cellStyle name="Normal 2 10 29 3" xfId="1395"/>
    <cellStyle name="Normal 2 10 29 4" xfId="1396"/>
    <cellStyle name="Normal 2 10 29 5" xfId="1397"/>
    <cellStyle name="Normal 2 10 3" xfId="1398"/>
    <cellStyle name="Normal 2 10 3 2" xfId="1399"/>
    <cellStyle name="Normal 2 10 3 3" xfId="1400"/>
    <cellStyle name="Normal 2 10 3 4" xfId="1401"/>
    <cellStyle name="Normal 2 10 3 5" xfId="1402"/>
    <cellStyle name="Normal 2 10 30" xfId="1403"/>
    <cellStyle name="Normal 2 10 30 2" xfId="1404"/>
    <cellStyle name="Normal 2 10 30 3" xfId="1405"/>
    <cellStyle name="Normal 2 10 30 4" xfId="1406"/>
    <cellStyle name="Normal 2 10 30 5" xfId="1407"/>
    <cellStyle name="Normal 2 10 31" xfId="1408"/>
    <cellStyle name="Normal 2 10 32" xfId="1409"/>
    <cellStyle name="Normal 2 10 33" xfId="1410"/>
    <cellStyle name="Normal 2 10 34" xfId="1411"/>
    <cellStyle name="Normal 2 10 35" xfId="1412"/>
    <cellStyle name="Normal 2 10 36" xfId="1413"/>
    <cellStyle name="Normal 2 10 37" xfId="1414"/>
    <cellStyle name="Normal 2 10 38" xfId="1415"/>
    <cellStyle name="Normal 2 10 39" xfId="1416"/>
    <cellStyle name="Normal 2 10 4" xfId="1417"/>
    <cellStyle name="Normal 2 10 4 2" xfId="1418"/>
    <cellStyle name="Normal 2 10 4 3" xfId="1419"/>
    <cellStyle name="Normal 2 10 4 4" xfId="1420"/>
    <cellStyle name="Normal 2 10 4 5" xfId="1421"/>
    <cellStyle name="Normal 2 10 40" xfId="1422"/>
    <cellStyle name="Normal 2 10 41" xfId="1423"/>
    <cellStyle name="Normal 2 10 42" xfId="1424"/>
    <cellStyle name="Normal 2 10 43" xfId="1425"/>
    <cellStyle name="Normal 2 10 44" xfId="1426"/>
    <cellStyle name="Normal 2 10 45" xfId="1427"/>
    <cellStyle name="Normal 2 10 46" xfId="1428"/>
    <cellStyle name="Normal 2 10 5" xfId="1429"/>
    <cellStyle name="Normal 2 10 5 2" xfId="1430"/>
    <cellStyle name="Normal 2 10 5 3" xfId="1431"/>
    <cellStyle name="Normal 2 10 5 4" xfId="1432"/>
    <cellStyle name="Normal 2 10 5 5" xfId="1433"/>
    <cellStyle name="Normal 2 10 6" xfId="1434"/>
    <cellStyle name="Normal 2 10 6 2" xfId="1435"/>
    <cellStyle name="Normal 2 10 6 3" xfId="1436"/>
    <cellStyle name="Normal 2 10 6 4" xfId="1437"/>
    <cellStyle name="Normal 2 10 6 5" xfId="1438"/>
    <cellStyle name="Normal 2 10 7" xfId="1439"/>
    <cellStyle name="Normal 2 10 7 2" xfId="1440"/>
    <cellStyle name="Normal 2 10 7 3" xfId="1441"/>
    <cellStyle name="Normal 2 10 7 4" xfId="1442"/>
    <cellStyle name="Normal 2 10 7 5" xfId="1443"/>
    <cellStyle name="Normal 2 10 8" xfId="1444"/>
    <cellStyle name="Normal 2 10 8 2" xfId="1445"/>
    <cellStyle name="Normal 2 10 8 3" xfId="1446"/>
    <cellStyle name="Normal 2 10 8 4" xfId="1447"/>
    <cellStyle name="Normal 2 10 8 5" xfId="1448"/>
    <cellStyle name="Normal 2 10 9" xfId="1449"/>
    <cellStyle name="Normal 2 10 9 2" xfId="1450"/>
    <cellStyle name="Normal 2 10 9 3" xfId="1451"/>
    <cellStyle name="Normal 2 10 9 4" xfId="1452"/>
    <cellStyle name="Normal 2 10 9 5" xfId="1453"/>
    <cellStyle name="Normal 2 11" xfId="61"/>
    <cellStyle name="Normal 2 11 10" xfId="1454"/>
    <cellStyle name="Normal 2 11 10 2" xfId="1455"/>
    <cellStyle name="Normal 2 11 10 3" xfId="1456"/>
    <cellStyle name="Normal 2 11 10 4" xfId="1457"/>
    <cellStyle name="Normal 2 11 10 5" xfId="1458"/>
    <cellStyle name="Normal 2 11 11" xfId="1459"/>
    <cellStyle name="Normal 2 11 11 2" xfId="1460"/>
    <cellStyle name="Normal 2 11 11 3" xfId="1461"/>
    <cellStyle name="Normal 2 11 11 4" xfId="1462"/>
    <cellStyle name="Normal 2 11 11 5" xfId="1463"/>
    <cellStyle name="Normal 2 11 12" xfId="1464"/>
    <cellStyle name="Normal 2 11 12 2" xfId="1465"/>
    <cellStyle name="Normal 2 11 12 3" xfId="1466"/>
    <cellStyle name="Normal 2 11 12 4" xfId="1467"/>
    <cellStyle name="Normal 2 11 12 5" xfId="1468"/>
    <cellStyle name="Normal 2 11 13" xfId="1469"/>
    <cellStyle name="Normal 2 11 13 2" xfId="1470"/>
    <cellStyle name="Normal 2 11 13 3" xfId="1471"/>
    <cellStyle name="Normal 2 11 13 4" xfId="1472"/>
    <cellStyle name="Normal 2 11 13 5" xfId="1473"/>
    <cellStyle name="Normal 2 11 14" xfId="1474"/>
    <cellStyle name="Normal 2 11 14 2" xfId="1475"/>
    <cellStyle name="Normal 2 11 14 3" xfId="1476"/>
    <cellStyle name="Normal 2 11 14 4" xfId="1477"/>
    <cellStyle name="Normal 2 11 14 5" xfId="1478"/>
    <cellStyle name="Normal 2 11 15" xfId="1479"/>
    <cellStyle name="Normal 2 11 15 2" xfId="1480"/>
    <cellStyle name="Normal 2 11 15 3" xfId="1481"/>
    <cellStyle name="Normal 2 11 15 4" xfId="1482"/>
    <cellStyle name="Normal 2 11 15 5" xfId="1483"/>
    <cellStyle name="Normal 2 11 16" xfId="1484"/>
    <cellStyle name="Normal 2 11 16 2" xfId="1485"/>
    <cellStyle name="Normal 2 11 16 3" xfId="1486"/>
    <cellStyle name="Normal 2 11 16 4" xfId="1487"/>
    <cellStyle name="Normal 2 11 16 5" xfId="1488"/>
    <cellStyle name="Normal 2 11 17" xfId="1489"/>
    <cellStyle name="Normal 2 11 17 2" xfId="1490"/>
    <cellStyle name="Normal 2 11 17 3" xfId="1491"/>
    <cellStyle name="Normal 2 11 17 4" xfId="1492"/>
    <cellStyle name="Normal 2 11 17 5" xfId="1493"/>
    <cellStyle name="Normal 2 11 18" xfId="1494"/>
    <cellStyle name="Normal 2 11 18 2" xfId="1495"/>
    <cellStyle name="Normal 2 11 18 3" xfId="1496"/>
    <cellStyle name="Normal 2 11 18 4" xfId="1497"/>
    <cellStyle name="Normal 2 11 18 5" xfId="1498"/>
    <cellStyle name="Normal 2 11 19" xfId="1499"/>
    <cellStyle name="Normal 2 11 19 2" xfId="1500"/>
    <cellStyle name="Normal 2 11 19 3" xfId="1501"/>
    <cellStyle name="Normal 2 11 19 4" xfId="1502"/>
    <cellStyle name="Normal 2 11 19 5" xfId="1503"/>
    <cellStyle name="Normal 2 11 2" xfId="1504"/>
    <cellStyle name="Normal 2 11 2 2" xfId="1505"/>
    <cellStyle name="Normal 2 11 2 3" xfId="1506"/>
    <cellStyle name="Normal 2 11 2 4" xfId="1507"/>
    <cellStyle name="Normal 2 11 2 5" xfId="1508"/>
    <cellStyle name="Normal 2 11 20" xfId="1509"/>
    <cellStyle name="Normal 2 11 20 2" xfId="1510"/>
    <cellStyle name="Normal 2 11 20 3" xfId="1511"/>
    <cellStyle name="Normal 2 11 20 4" xfId="1512"/>
    <cellStyle name="Normal 2 11 20 5" xfId="1513"/>
    <cellStyle name="Normal 2 11 21" xfId="1514"/>
    <cellStyle name="Normal 2 11 21 2" xfId="1515"/>
    <cellStyle name="Normal 2 11 21 3" xfId="1516"/>
    <cellStyle name="Normal 2 11 21 4" xfId="1517"/>
    <cellStyle name="Normal 2 11 21 5" xfId="1518"/>
    <cellStyle name="Normal 2 11 22" xfId="1519"/>
    <cellStyle name="Normal 2 11 22 2" xfId="1520"/>
    <cellStyle name="Normal 2 11 22 3" xfId="1521"/>
    <cellStyle name="Normal 2 11 22 4" xfId="1522"/>
    <cellStyle name="Normal 2 11 22 5" xfId="1523"/>
    <cellStyle name="Normal 2 11 23" xfId="1524"/>
    <cellStyle name="Normal 2 11 23 2" xfId="1525"/>
    <cellStyle name="Normal 2 11 23 3" xfId="1526"/>
    <cellStyle name="Normal 2 11 23 4" xfId="1527"/>
    <cellStyle name="Normal 2 11 23 5" xfId="1528"/>
    <cellStyle name="Normal 2 11 24" xfId="1529"/>
    <cellStyle name="Normal 2 11 24 2" xfId="1530"/>
    <cellStyle name="Normal 2 11 24 3" xfId="1531"/>
    <cellStyle name="Normal 2 11 24 4" xfId="1532"/>
    <cellStyle name="Normal 2 11 24 5" xfId="1533"/>
    <cellStyle name="Normal 2 11 25" xfId="1534"/>
    <cellStyle name="Normal 2 11 25 2" xfId="1535"/>
    <cellStyle name="Normal 2 11 25 3" xfId="1536"/>
    <cellStyle name="Normal 2 11 25 4" xfId="1537"/>
    <cellStyle name="Normal 2 11 25 5" xfId="1538"/>
    <cellStyle name="Normal 2 11 26" xfId="1539"/>
    <cellStyle name="Normal 2 11 26 2" xfId="1540"/>
    <cellStyle name="Normal 2 11 26 3" xfId="1541"/>
    <cellStyle name="Normal 2 11 26 4" xfId="1542"/>
    <cellStyle name="Normal 2 11 26 5" xfId="1543"/>
    <cellStyle name="Normal 2 11 27" xfId="1544"/>
    <cellStyle name="Normal 2 11 27 2" xfId="1545"/>
    <cellStyle name="Normal 2 11 27 3" xfId="1546"/>
    <cellStyle name="Normal 2 11 27 4" xfId="1547"/>
    <cellStyle name="Normal 2 11 27 5" xfId="1548"/>
    <cellStyle name="Normal 2 11 28" xfId="1549"/>
    <cellStyle name="Normal 2 11 28 2" xfId="1550"/>
    <cellStyle name="Normal 2 11 28 3" xfId="1551"/>
    <cellStyle name="Normal 2 11 28 4" xfId="1552"/>
    <cellStyle name="Normal 2 11 28 5" xfId="1553"/>
    <cellStyle name="Normal 2 11 29" xfId="1554"/>
    <cellStyle name="Normal 2 11 29 2" xfId="1555"/>
    <cellStyle name="Normal 2 11 29 3" xfId="1556"/>
    <cellStyle name="Normal 2 11 29 4" xfId="1557"/>
    <cellStyle name="Normal 2 11 29 5" xfId="1558"/>
    <cellStyle name="Normal 2 11 3" xfId="1559"/>
    <cellStyle name="Normal 2 11 3 2" xfId="1560"/>
    <cellStyle name="Normal 2 11 3 3" xfId="1561"/>
    <cellStyle name="Normal 2 11 3 4" xfId="1562"/>
    <cellStyle name="Normal 2 11 3 5" xfId="1563"/>
    <cellStyle name="Normal 2 11 30" xfId="1564"/>
    <cellStyle name="Normal 2 11 30 2" xfId="1565"/>
    <cellStyle name="Normal 2 11 30 3" xfId="1566"/>
    <cellStyle name="Normal 2 11 30 4" xfId="1567"/>
    <cellStyle name="Normal 2 11 30 5" xfId="1568"/>
    <cellStyle name="Normal 2 11 31" xfId="1569"/>
    <cellStyle name="Normal 2 11 32" xfId="1570"/>
    <cellStyle name="Normal 2 11 33" xfId="1571"/>
    <cellStyle name="Normal 2 11 34" xfId="1572"/>
    <cellStyle name="Normal 2 11 35" xfId="1573"/>
    <cellStyle name="Normal 2 11 36" xfId="1574"/>
    <cellStyle name="Normal 2 11 37" xfId="1575"/>
    <cellStyle name="Normal 2 11 38" xfId="1576"/>
    <cellStyle name="Normal 2 11 39" xfId="1577"/>
    <cellStyle name="Normal 2 11 4" xfId="1578"/>
    <cellStyle name="Normal 2 11 4 2" xfId="1579"/>
    <cellStyle name="Normal 2 11 4 3" xfId="1580"/>
    <cellStyle name="Normal 2 11 4 4" xfId="1581"/>
    <cellStyle name="Normal 2 11 4 5" xfId="1582"/>
    <cellStyle name="Normal 2 11 40" xfId="1583"/>
    <cellStyle name="Normal 2 11 41" xfId="1584"/>
    <cellStyle name="Normal 2 11 42" xfId="1585"/>
    <cellStyle name="Normal 2 11 43" xfId="1586"/>
    <cellStyle name="Normal 2 11 44" xfId="1587"/>
    <cellStyle name="Normal 2 11 45" xfId="1588"/>
    <cellStyle name="Normal 2 11 46" xfId="1589"/>
    <cellStyle name="Normal 2 11 5" xfId="1590"/>
    <cellStyle name="Normal 2 11 5 2" xfId="1591"/>
    <cellStyle name="Normal 2 11 5 3" xfId="1592"/>
    <cellStyle name="Normal 2 11 5 4" xfId="1593"/>
    <cellStyle name="Normal 2 11 5 5" xfId="1594"/>
    <cellStyle name="Normal 2 11 6" xfId="1595"/>
    <cellStyle name="Normal 2 11 6 2" xfId="1596"/>
    <cellStyle name="Normal 2 11 6 3" xfId="1597"/>
    <cellStyle name="Normal 2 11 6 4" xfId="1598"/>
    <cellStyle name="Normal 2 11 6 5" xfId="1599"/>
    <cellStyle name="Normal 2 11 7" xfId="1600"/>
    <cellStyle name="Normal 2 11 7 2" xfId="1601"/>
    <cellStyle name="Normal 2 11 7 3" xfId="1602"/>
    <cellStyle name="Normal 2 11 7 4" xfId="1603"/>
    <cellStyle name="Normal 2 11 7 5" xfId="1604"/>
    <cellStyle name="Normal 2 11 8" xfId="1605"/>
    <cellStyle name="Normal 2 11 8 2" xfId="1606"/>
    <cellStyle name="Normal 2 11 8 3" xfId="1607"/>
    <cellStyle name="Normal 2 11 8 4" xfId="1608"/>
    <cellStyle name="Normal 2 11 8 5" xfId="1609"/>
    <cellStyle name="Normal 2 11 9" xfId="1610"/>
    <cellStyle name="Normal 2 11 9 2" xfId="1611"/>
    <cellStyle name="Normal 2 11 9 3" xfId="1612"/>
    <cellStyle name="Normal 2 11 9 4" xfId="1613"/>
    <cellStyle name="Normal 2 11 9 5" xfId="1614"/>
    <cellStyle name="Normal 2 12" xfId="62"/>
    <cellStyle name="Normal 2 12 10" xfId="1615"/>
    <cellStyle name="Normal 2 12 10 2" xfId="1616"/>
    <cellStyle name="Normal 2 12 10 3" xfId="1617"/>
    <cellStyle name="Normal 2 12 10 4" xfId="1618"/>
    <cellStyle name="Normal 2 12 10 5" xfId="1619"/>
    <cellStyle name="Normal 2 12 11" xfId="1620"/>
    <cellStyle name="Normal 2 12 11 2" xfId="1621"/>
    <cellStyle name="Normal 2 12 11 3" xfId="1622"/>
    <cellStyle name="Normal 2 12 11 4" xfId="1623"/>
    <cellStyle name="Normal 2 12 11 5" xfId="1624"/>
    <cellStyle name="Normal 2 12 12" xfId="1625"/>
    <cellStyle name="Normal 2 12 12 2" xfId="1626"/>
    <cellStyle name="Normal 2 12 12 3" xfId="1627"/>
    <cellStyle name="Normal 2 12 12 4" xfId="1628"/>
    <cellStyle name="Normal 2 12 12 5" xfId="1629"/>
    <cellStyle name="Normal 2 12 13" xfId="1630"/>
    <cellStyle name="Normal 2 12 13 2" xfId="1631"/>
    <cellStyle name="Normal 2 12 13 3" xfId="1632"/>
    <cellStyle name="Normal 2 12 13 4" xfId="1633"/>
    <cellStyle name="Normal 2 12 13 5" xfId="1634"/>
    <cellStyle name="Normal 2 12 14" xfId="1635"/>
    <cellStyle name="Normal 2 12 14 2" xfId="1636"/>
    <cellStyle name="Normal 2 12 14 3" xfId="1637"/>
    <cellStyle name="Normal 2 12 14 4" xfId="1638"/>
    <cellStyle name="Normal 2 12 14 5" xfId="1639"/>
    <cellStyle name="Normal 2 12 15" xfId="1640"/>
    <cellStyle name="Normal 2 12 15 2" xfId="1641"/>
    <cellStyle name="Normal 2 12 15 3" xfId="1642"/>
    <cellStyle name="Normal 2 12 15 4" xfId="1643"/>
    <cellStyle name="Normal 2 12 15 5" xfId="1644"/>
    <cellStyle name="Normal 2 12 16" xfId="1645"/>
    <cellStyle name="Normal 2 12 16 2" xfId="1646"/>
    <cellStyle name="Normal 2 12 16 3" xfId="1647"/>
    <cellStyle name="Normal 2 12 16 4" xfId="1648"/>
    <cellStyle name="Normal 2 12 16 5" xfId="1649"/>
    <cellStyle name="Normal 2 12 17" xfId="1650"/>
    <cellStyle name="Normal 2 12 17 2" xfId="1651"/>
    <cellStyle name="Normal 2 12 17 3" xfId="1652"/>
    <cellStyle name="Normal 2 12 17 4" xfId="1653"/>
    <cellStyle name="Normal 2 12 17 5" xfId="1654"/>
    <cellStyle name="Normal 2 12 18" xfId="1655"/>
    <cellStyle name="Normal 2 12 18 2" xfId="1656"/>
    <cellStyle name="Normal 2 12 18 3" xfId="1657"/>
    <cellStyle name="Normal 2 12 18 4" xfId="1658"/>
    <cellStyle name="Normal 2 12 18 5" xfId="1659"/>
    <cellStyle name="Normal 2 12 19" xfId="1660"/>
    <cellStyle name="Normal 2 12 19 2" xfId="1661"/>
    <cellStyle name="Normal 2 12 19 3" xfId="1662"/>
    <cellStyle name="Normal 2 12 19 4" xfId="1663"/>
    <cellStyle name="Normal 2 12 19 5" xfId="1664"/>
    <cellStyle name="Normal 2 12 2" xfId="1665"/>
    <cellStyle name="Normal 2 12 2 2" xfId="1666"/>
    <cellStyle name="Normal 2 12 2 3" xfId="1667"/>
    <cellStyle name="Normal 2 12 2 4" xfId="1668"/>
    <cellStyle name="Normal 2 12 2 5" xfId="1669"/>
    <cellStyle name="Normal 2 12 20" xfId="1670"/>
    <cellStyle name="Normal 2 12 20 2" xfId="1671"/>
    <cellStyle name="Normal 2 12 20 3" xfId="1672"/>
    <cellStyle name="Normal 2 12 20 4" xfId="1673"/>
    <cellStyle name="Normal 2 12 20 5" xfId="1674"/>
    <cellStyle name="Normal 2 12 21" xfId="1675"/>
    <cellStyle name="Normal 2 12 21 2" xfId="1676"/>
    <cellStyle name="Normal 2 12 21 3" xfId="1677"/>
    <cellStyle name="Normal 2 12 21 4" xfId="1678"/>
    <cellStyle name="Normal 2 12 21 5" xfId="1679"/>
    <cellStyle name="Normal 2 12 22" xfId="1680"/>
    <cellStyle name="Normal 2 12 22 2" xfId="1681"/>
    <cellStyle name="Normal 2 12 22 3" xfId="1682"/>
    <cellStyle name="Normal 2 12 22 4" xfId="1683"/>
    <cellStyle name="Normal 2 12 22 5" xfId="1684"/>
    <cellStyle name="Normal 2 12 23" xfId="1685"/>
    <cellStyle name="Normal 2 12 23 2" xfId="1686"/>
    <cellStyle name="Normal 2 12 23 3" xfId="1687"/>
    <cellStyle name="Normal 2 12 23 4" xfId="1688"/>
    <cellStyle name="Normal 2 12 23 5" xfId="1689"/>
    <cellStyle name="Normal 2 12 24" xfId="1690"/>
    <cellStyle name="Normal 2 12 24 2" xfId="1691"/>
    <cellStyle name="Normal 2 12 24 3" xfId="1692"/>
    <cellStyle name="Normal 2 12 24 4" xfId="1693"/>
    <cellStyle name="Normal 2 12 24 5" xfId="1694"/>
    <cellStyle name="Normal 2 12 25" xfId="1695"/>
    <cellStyle name="Normal 2 12 25 2" xfId="1696"/>
    <cellStyle name="Normal 2 12 25 3" xfId="1697"/>
    <cellStyle name="Normal 2 12 25 4" xfId="1698"/>
    <cellStyle name="Normal 2 12 25 5" xfId="1699"/>
    <cellStyle name="Normal 2 12 26" xfId="1700"/>
    <cellStyle name="Normal 2 12 26 2" xfId="1701"/>
    <cellStyle name="Normal 2 12 26 3" xfId="1702"/>
    <cellStyle name="Normal 2 12 26 4" xfId="1703"/>
    <cellStyle name="Normal 2 12 26 5" xfId="1704"/>
    <cellStyle name="Normal 2 12 27" xfId="1705"/>
    <cellStyle name="Normal 2 12 27 2" xfId="1706"/>
    <cellStyle name="Normal 2 12 27 3" xfId="1707"/>
    <cellStyle name="Normal 2 12 27 4" xfId="1708"/>
    <cellStyle name="Normal 2 12 27 5" xfId="1709"/>
    <cellStyle name="Normal 2 12 28" xfId="1710"/>
    <cellStyle name="Normal 2 12 28 2" xfId="1711"/>
    <cellStyle name="Normal 2 12 28 3" xfId="1712"/>
    <cellStyle name="Normal 2 12 28 4" xfId="1713"/>
    <cellStyle name="Normal 2 12 28 5" xfId="1714"/>
    <cellStyle name="Normal 2 12 29" xfId="1715"/>
    <cellStyle name="Normal 2 12 29 2" xfId="1716"/>
    <cellStyle name="Normal 2 12 29 3" xfId="1717"/>
    <cellStyle name="Normal 2 12 29 4" xfId="1718"/>
    <cellStyle name="Normal 2 12 29 5" xfId="1719"/>
    <cellStyle name="Normal 2 12 3" xfId="1720"/>
    <cellStyle name="Normal 2 12 3 2" xfId="1721"/>
    <cellStyle name="Normal 2 12 3 3" xfId="1722"/>
    <cellStyle name="Normal 2 12 3 4" xfId="1723"/>
    <cellStyle name="Normal 2 12 3 5" xfId="1724"/>
    <cellStyle name="Normal 2 12 30" xfId="1725"/>
    <cellStyle name="Normal 2 12 30 2" xfId="1726"/>
    <cellStyle name="Normal 2 12 30 3" xfId="1727"/>
    <cellStyle name="Normal 2 12 30 4" xfId="1728"/>
    <cellStyle name="Normal 2 12 30 5" xfId="1729"/>
    <cellStyle name="Normal 2 12 31" xfId="1730"/>
    <cellStyle name="Normal 2 12 32" xfId="1731"/>
    <cellStyle name="Normal 2 12 33" xfId="1732"/>
    <cellStyle name="Normal 2 12 34" xfId="1733"/>
    <cellStyle name="Normal 2 12 35" xfId="1734"/>
    <cellStyle name="Normal 2 12 36" xfId="1735"/>
    <cellStyle name="Normal 2 12 37" xfId="1736"/>
    <cellStyle name="Normal 2 12 38" xfId="1737"/>
    <cellStyle name="Normal 2 12 39" xfId="1738"/>
    <cellStyle name="Normal 2 12 4" xfId="1739"/>
    <cellStyle name="Normal 2 12 4 2" xfId="1740"/>
    <cellStyle name="Normal 2 12 4 3" xfId="1741"/>
    <cellStyle name="Normal 2 12 4 4" xfId="1742"/>
    <cellStyle name="Normal 2 12 4 5" xfId="1743"/>
    <cellStyle name="Normal 2 12 40" xfId="1744"/>
    <cellStyle name="Normal 2 12 41" xfId="1745"/>
    <cellStyle name="Normal 2 12 42" xfId="1746"/>
    <cellStyle name="Normal 2 12 43" xfId="1747"/>
    <cellStyle name="Normal 2 12 44" xfId="1748"/>
    <cellStyle name="Normal 2 12 45" xfId="1749"/>
    <cellStyle name="Normal 2 12 46" xfId="1750"/>
    <cellStyle name="Normal 2 12 5" xfId="1751"/>
    <cellStyle name="Normal 2 12 5 2" xfId="1752"/>
    <cellStyle name="Normal 2 12 5 3" xfId="1753"/>
    <cellStyle name="Normal 2 12 5 4" xfId="1754"/>
    <cellStyle name="Normal 2 12 5 5" xfId="1755"/>
    <cellStyle name="Normal 2 12 6" xfId="1756"/>
    <cellStyle name="Normal 2 12 6 2" xfId="1757"/>
    <cellStyle name="Normal 2 12 6 3" xfId="1758"/>
    <cellStyle name="Normal 2 12 6 4" xfId="1759"/>
    <cellStyle name="Normal 2 12 6 5" xfId="1760"/>
    <cellStyle name="Normal 2 12 7" xfId="1761"/>
    <cellStyle name="Normal 2 12 7 2" xfId="1762"/>
    <cellStyle name="Normal 2 12 7 3" xfId="1763"/>
    <cellStyle name="Normal 2 12 7 4" xfId="1764"/>
    <cellStyle name="Normal 2 12 7 5" xfId="1765"/>
    <cellStyle name="Normal 2 12 8" xfId="1766"/>
    <cellStyle name="Normal 2 12 8 2" xfId="1767"/>
    <cellStyle name="Normal 2 12 8 3" xfId="1768"/>
    <cellStyle name="Normal 2 12 8 4" xfId="1769"/>
    <cellStyle name="Normal 2 12 8 5" xfId="1770"/>
    <cellStyle name="Normal 2 12 9" xfId="1771"/>
    <cellStyle name="Normal 2 12 9 2" xfId="1772"/>
    <cellStyle name="Normal 2 12 9 3" xfId="1773"/>
    <cellStyle name="Normal 2 12 9 4" xfId="1774"/>
    <cellStyle name="Normal 2 12 9 5" xfId="1775"/>
    <cellStyle name="Normal 2 13" xfId="63"/>
    <cellStyle name="Normal 2 13 10" xfId="1776"/>
    <cellStyle name="Normal 2 13 10 2" xfId="1777"/>
    <cellStyle name="Normal 2 13 10 3" xfId="1778"/>
    <cellStyle name="Normal 2 13 10 4" xfId="1779"/>
    <cellStyle name="Normal 2 13 10 5" xfId="1780"/>
    <cellStyle name="Normal 2 13 11" xfId="1781"/>
    <cellStyle name="Normal 2 13 11 2" xfId="1782"/>
    <cellStyle name="Normal 2 13 11 3" xfId="1783"/>
    <cellStyle name="Normal 2 13 11 4" xfId="1784"/>
    <cellStyle name="Normal 2 13 11 5" xfId="1785"/>
    <cellStyle name="Normal 2 13 12" xfId="1786"/>
    <cellStyle name="Normal 2 13 12 2" xfId="1787"/>
    <cellStyle name="Normal 2 13 12 3" xfId="1788"/>
    <cellStyle name="Normal 2 13 12 4" xfId="1789"/>
    <cellStyle name="Normal 2 13 12 5" xfId="1790"/>
    <cellStyle name="Normal 2 13 13" xfId="1791"/>
    <cellStyle name="Normal 2 13 13 2" xfId="1792"/>
    <cellStyle name="Normal 2 13 13 3" xfId="1793"/>
    <cellStyle name="Normal 2 13 13 4" xfId="1794"/>
    <cellStyle name="Normal 2 13 13 5" xfId="1795"/>
    <cellStyle name="Normal 2 13 14" xfId="1796"/>
    <cellStyle name="Normal 2 13 14 2" xfId="1797"/>
    <cellStyle name="Normal 2 13 14 3" xfId="1798"/>
    <cellStyle name="Normal 2 13 14 4" xfId="1799"/>
    <cellStyle name="Normal 2 13 14 5" xfId="1800"/>
    <cellStyle name="Normal 2 13 15" xfId="1801"/>
    <cellStyle name="Normal 2 13 15 2" xfId="1802"/>
    <cellStyle name="Normal 2 13 15 3" xfId="1803"/>
    <cellStyle name="Normal 2 13 15 4" xfId="1804"/>
    <cellStyle name="Normal 2 13 15 5" xfId="1805"/>
    <cellStyle name="Normal 2 13 16" xfId="1806"/>
    <cellStyle name="Normal 2 13 16 2" xfId="1807"/>
    <cellStyle name="Normal 2 13 16 3" xfId="1808"/>
    <cellStyle name="Normal 2 13 16 4" xfId="1809"/>
    <cellStyle name="Normal 2 13 16 5" xfId="1810"/>
    <cellStyle name="Normal 2 13 17" xfId="1811"/>
    <cellStyle name="Normal 2 13 17 2" xfId="1812"/>
    <cellStyle name="Normal 2 13 17 3" xfId="1813"/>
    <cellStyle name="Normal 2 13 17 4" xfId="1814"/>
    <cellStyle name="Normal 2 13 17 5" xfId="1815"/>
    <cellStyle name="Normal 2 13 18" xfId="1816"/>
    <cellStyle name="Normal 2 13 18 2" xfId="1817"/>
    <cellStyle name="Normal 2 13 18 3" xfId="1818"/>
    <cellStyle name="Normal 2 13 18 4" xfId="1819"/>
    <cellStyle name="Normal 2 13 18 5" xfId="1820"/>
    <cellStyle name="Normal 2 13 19" xfId="1821"/>
    <cellStyle name="Normal 2 13 19 2" xfId="1822"/>
    <cellStyle name="Normal 2 13 19 3" xfId="1823"/>
    <cellStyle name="Normal 2 13 19 4" xfId="1824"/>
    <cellStyle name="Normal 2 13 19 5" xfId="1825"/>
    <cellStyle name="Normal 2 13 2" xfId="1826"/>
    <cellStyle name="Normal 2 13 2 2" xfId="1827"/>
    <cellStyle name="Normal 2 13 2 3" xfId="1828"/>
    <cellStyle name="Normal 2 13 2 4" xfId="1829"/>
    <cellStyle name="Normal 2 13 2 5" xfId="1830"/>
    <cellStyle name="Normal 2 13 20" xfId="1831"/>
    <cellStyle name="Normal 2 13 20 2" xfId="1832"/>
    <cellStyle name="Normal 2 13 20 3" xfId="1833"/>
    <cellStyle name="Normal 2 13 20 4" xfId="1834"/>
    <cellStyle name="Normal 2 13 20 5" xfId="1835"/>
    <cellStyle name="Normal 2 13 21" xfId="1836"/>
    <cellStyle name="Normal 2 13 21 2" xfId="1837"/>
    <cellStyle name="Normal 2 13 21 3" xfId="1838"/>
    <cellStyle name="Normal 2 13 21 4" xfId="1839"/>
    <cellStyle name="Normal 2 13 21 5" xfId="1840"/>
    <cellStyle name="Normal 2 13 22" xfId="1841"/>
    <cellStyle name="Normal 2 13 22 2" xfId="1842"/>
    <cellStyle name="Normal 2 13 22 3" xfId="1843"/>
    <cellStyle name="Normal 2 13 22 4" xfId="1844"/>
    <cellStyle name="Normal 2 13 22 5" xfId="1845"/>
    <cellStyle name="Normal 2 13 23" xfId="1846"/>
    <cellStyle name="Normal 2 13 23 2" xfId="1847"/>
    <cellStyle name="Normal 2 13 23 3" xfId="1848"/>
    <cellStyle name="Normal 2 13 23 4" xfId="1849"/>
    <cellStyle name="Normal 2 13 23 5" xfId="1850"/>
    <cellStyle name="Normal 2 13 24" xfId="1851"/>
    <cellStyle name="Normal 2 13 24 2" xfId="1852"/>
    <cellStyle name="Normal 2 13 24 3" xfId="1853"/>
    <cellStyle name="Normal 2 13 24 4" xfId="1854"/>
    <cellStyle name="Normal 2 13 24 5" xfId="1855"/>
    <cellStyle name="Normal 2 13 25" xfId="1856"/>
    <cellStyle name="Normal 2 13 25 2" xfId="1857"/>
    <cellStyle name="Normal 2 13 25 3" xfId="1858"/>
    <cellStyle name="Normal 2 13 25 4" xfId="1859"/>
    <cellStyle name="Normal 2 13 25 5" xfId="1860"/>
    <cellStyle name="Normal 2 13 26" xfId="1861"/>
    <cellStyle name="Normal 2 13 26 2" xfId="1862"/>
    <cellStyle name="Normal 2 13 26 3" xfId="1863"/>
    <cellStyle name="Normal 2 13 26 4" xfId="1864"/>
    <cellStyle name="Normal 2 13 26 5" xfId="1865"/>
    <cellStyle name="Normal 2 13 27" xfId="1866"/>
    <cellStyle name="Normal 2 13 27 2" xfId="1867"/>
    <cellStyle name="Normal 2 13 27 3" xfId="1868"/>
    <cellStyle name="Normal 2 13 27 4" xfId="1869"/>
    <cellStyle name="Normal 2 13 27 5" xfId="1870"/>
    <cellStyle name="Normal 2 13 28" xfId="1871"/>
    <cellStyle name="Normal 2 13 28 2" xfId="1872"/>
    <cellStyle name="Normal 2 13 28 3" xfId="1873"/>
    <cellStyle name="Normal 2 13 28 4" xfId="1874"/>
    <cellStyle name="Normal 2 13 28 5" xfId="1875"/>
    <cellStyle name="Normal 2 13 29" xfId="1876"/>
    <cellStyle name="Normal 2 13 29 2" xfId="1877"/>
    <cellStyle name="Normal 2 13 29 3" xfId="1878"/>
    <cellStyle name="Normal 2 13 29 4" xfId="1879"/>
    <cellStyle name="Normal 2 13 29 5" xfId="1880"/>
    <cellStyle name="Normal 2 13 3" xfId="1881"/>
    <cellStyle name="Normal 2 13 3 2" xfId="1882"/>
    <cellStyle name="Normal 2 13 3 3" xfId="1883"/>
    <cellStyle name="Normal 2 13 3 4" xfId="1884"/>
    <cellStyle name="Normal 2 13 3 5" xfId="1885"/>
    <cellStyle name="Normal 2 13 30" xfId="1886"/>
    <cellStyle name="Normal 2 13 30 2" xfId="1887"/>
    <cellStyle name="Normal 2 13 30 3" xfId="1888"/>
    <cellStyle name="Normal 2 13 30 4" xfId="1889"/>
    <cellStyle name="Normal 2 13 30 5" xfId="1890"/>
    <cellStyle name="Normal 2 13 31" xfId="1891"/>
    <cellStyle name="Normal 2 13 32" xfId="1892"/>
    <cellStyle name="Normal 2 13 33" xfId="1893"/>
    <cellStyle name="Normal 2 13 34" xfId="1894"/>
    <cellStyle name="Normal 2 13 35" xfId="1895"/>
    <cellStyle name="Normal 2 13 36" xfId="1896"/>
    <cellStyle name="Normal 2 13 37" xfId="1897"/>
    <cellStyle name="Normal 2 13 38" xfId="1898"/>
    <cellStyle name="Normal 2 13 39" xfId="1899"/>
    <cellStyle name="Normal 2 13 4" xfId="1900"/>
    <cellStyle name="Normal 2 13 4 2" xfId="1901"/>
    <cellStyle name="Normal 2 13 4 3" xfId="1902"/>
    <cellStyle name="Normal 2 13 4 4" xfId="1903"/>
    <cellStyle name="Normal 2 13 4 5" xfId="1904"/>
    <cellStyle name="Normal 2 13 40" xfId="1905"/>
    <cellStyle name="Normal 2 13 41" xfId="1906"/>
    <cellStyle name="Normal 2 13 42" xfId="1907"/>
    <cellStyle name="Normal 2 13 43" xfId="1908"/>
    <cellStyle name="Normal 2 13 44" xfId="1909"/>
    <cellStyle name="Normal 2 13 45" xfId="1910"/>
    <cellStyle name="Normal 2 13 46" xfId="1911"/>
    <cellStyle name="Normal 2 13 5" xfId="1912"/>
    <cellStyle name="Normal 2 13 5 2" xfId="1913"/>
    <cellStyle name="Normal 2 13 5 3" xfId="1914"/>
    <cellStyle name="Normal 2 13 5 4" xfId="1915"/>
    <cellStyle name="Normal 2 13 5 5" xfId="1916"/>
    <cellStyle name="Normal 2 13 6" xfId="1917"/>
    <cellStyle name="Normal 2 13 6 2" xfId="1918"/>
    <cellStyle name="Normal 2 13 6 3" xfId="1919"/>
    <cellStyle name="Normal 2 13 6 4" xfId="1920"/>
    <cellStyle name="Normal 2 13 6 5" xfId="1921"/>
    <cellStyle name="Normal 2 13 7" xfId="1922"/>
    <cellStyle name="Normal 2 13 7 2" xfId="1923"/>
    <cellStyle name="Normal 2 13 7 3" xfId="1924"/>
    <cellStyle name="Normal 2 13 7 4" xfId="1925"/>
    <cellStyle name="Normal 2 13 7 5" xfId="1926"/>
    <cellStyle name="Normal 2 13 8" xfId="1927"/>
    <cellStyle name="Normal 2 13 8 2" xfId="1928"/>
    <cellStyle name="Normal 2 13 8 3" xfId="1929"/>
    <cellStyle name="Normal 2 13 8 4" xfId="1930"/>
    <cellStyle name="Normal 2 13 8 5" xfId="1931"/>
    <cellStyle name="Normal 2 13 9" xfId="1932"/>
    <cellStyle name="Normal 2 13 9 2" xfId="1933"/>
    <cellStyle name="Normal 2 13 9 3" xfId="1934"/>
    <cellStyle name="Normal 2 13 9 4" xfId="1935"/>
    <cellStyle name="Normal 2 13 9 5" xfId="1936"/>
    <cellStyle name="Normal 2 14" xfId="64"/>
    <cellStyle name="Normal 2 14 10" xfId="1937"/>
    <cellStyle name="Normal 2 14 11" xfId="1938"/>
    <cellStyle name="Normal 2 14 12" xfId="1939"/>
    <cellStyle name="Normal 2 14 13" xfId="1940"/>
    <cellStyle name="Normal 2 14 14" xfId="1941"/>
    <cellStyle name="Normal 2 14 15" xfId="1942"/>
    <cellStyle name="Normal 2 14 16" xfId="1943"/>
    <cellStyle name="Normal 2 14 17" xfId="1944"/>
    <cellStyle name="Normal 2 14 18" xfId="1945"/>
    <cellStyle name="Normal 2 14 19" xfId="1946"/>
    <cellStyle name="Normal 2 14 2" xfId="1947"/>
    <cellStyle name="Normal 2 14 2 2" xfId="1948"/>
    <cellStyle name="Normal 2 14 2 3" xfId="1949"/>
    <cellStyle name="Normal 2 14 2 4" xfId="1950"/>
    <cellStyle name="Normal 2 14 2 5" xfId="1951"/>
    <cellStyle name="Normal 2 14 20" xfId="1952"/>
    <cellStyle name="Normal 2 14 3" xfId="1953"/>
    <cellStyle name="Normal 2 14 3 2" xfId="1954"/>
    <cellStyle name="Normal 2 14 3 3" xfId="1955"/>
    <cellStyle name="Normal 2 14 3 4" xfId="1956"/>
    <cellStyle name="Normal 2 14 3 5" xfId="1957"/>
    <cellStyle name="Normal 2 14 4" xfId="1958"/>
    <cellStyle name="Normal 2 14 4 2" xfId="1959"/>
    <cellStyle name="Normal 2 14 4 3" xfId="1960"/>
    <cellStyle name="Normal 2 14 4 4" xfId="1961"/>
    <cellStyle name="Normal 2 14 4 5" xfId="1962"/>
    <cellStyle name="Normal 2 14 5" xfId="1963"/>
    <cellStyle name="Normal 2 14 5 2" xfId="1964"/>
    <cellStyle name="Normal 2 14 5 3" xfId="1965"/>
    <cellStyle name="Normal 2 14 5 4" xfId="1966"/>
    <cellStyle name="Normal 2 14 5 5" xfId="1967"/>
    <cellStyle name="Normal 2 14 6" xfId="1968"/>
    <cellStyle name="Normal 2 14 6 2" xfId="1969"/>
    <cellStyle name="Normal 2 14 6 3" xfId="1970"/>
    <cellStyle name="Normal 2 14 6 4" xfId="1971"/>
    <cellStyle name="Normal 2 14 6 5" xfId="1972"/>
    <cellStyle name="Normal 2 14 7" xfId="1973"/>
    <cellStyle name="Normal 2 14 7 2" xfId="1974"/>
    <cellStyle name="Normal 2 14 7 3" xfId="1975"/>
    <cellStyle name="Normal 2 14 7 4" xfId="1976"/>
    <cellStyle name="Normal 2 14 7 5" xfId="1977"/>
    <cellStyle name="Normal 2 14 8" xfId="1978"/>
    <cellStyle name="Normal 2 14 8 2" xfId="1979"/>
    <cellStyle name="Normal 2 14 8 3" xfId="1980"/>
    <cellStyle name="Normal 2 14 8 4" xfId="1981"/>
    <cellStyle name="Normal 2 14 8 5" xfId="1982"/>
    <cellStyle name="Normal 2 14 9" xfId="1983"/>
    <cellStyle name="Normal 2 15" xfId="65"/>
    <cellStyle name="Normal 2 16" xfId="66"/>
    <cellStyle name="Normal 2 17" xfId="67"/>
    <cellStyle name="Normal 2 18" xfId="68"/>
    <cellStyle name="Normal 2 19" xfId="69"/>
    <cellStyle name="Normal 2 2" xfId="70"/>
    <cellStyle name="Normal 2 2 10" xfId="1984"/>
    <cellStyle name="Normal 2 2 10 10" xfId="1985"/>
    <cellStyle name="Normal 2 2 10 11" xfId="1986"/>
    <cellStyle name="Normal 2 2 10 12" xfId="1987"/>
    <cellStyle name="Normal 2 2 10 13" xfId="1988"/>
    <cellStyle name="Normal 2 2 10 2" xfId="1989"/>
    <cellStyle name="Normal 2 2 10 3" xfId="1990"/>
    <cellStyle name="Normal 2 2 10 4" xfId="1991"/>
    <cellStyle name="Normal 2 2 10 5" xfId="1992"/>
    <cellStyle name="Normal 2 2 10 6" xfId="1993"/>
    <cellStyle name="Normal 2 2 10 7" xfId="1994"/>
    <cellStyle name="Normal 2 2 10 8" xfId="1995"/>
    <cellStyle name="Normal 2 2 10 9" xfId="1996"/>
    <cellStyle name="Normal 2 2 11" xfId="1997"/>
    <cellStyle name="Normal 2 2 11 10" xfId="1998"/>
    <cellStyle name="Normal 2 2 11 11" xfId="1999"/>
    <cellStyle name="Normal 2 2 11 12" xfId="2000"/>
    <cellStyle name="Normal 2 2 11 13" xfId="2001"/>
    <cellStyle name="Normal 2 2 11 2" xfId="2002"/>
    <cellStyle name="Normal 2 2 11 3" xfId="2003"/>
    <cellStyle name="Normal 2 2 11 4" xfId="2004"/>
    <cellStyle name="Normal 2 2 11 5" xfId="2005"/>
    <cellStyle name="Normal 2 2 11 6" xfId="2006"/>
    <cellStyle name="Normal 2 2 11 7" xfId="2007"/>
    <cellStyle name="Normal 2 2 11 8" xfId="2008"/>
    <cellStyle name="Normal 2 2 11 9" xfId="2009"/>
    <cellStyle name="Normal 2 2 12" xfId="2010"/>
    <cellStyle name="Normal 2 2 12 10" xfId="2011"/>
    <cellStyle name="Normal 2 2 12 11" xfId="2012"/>
    <cellStyle name="Normal 2 2 12 12" xfId="2013"/>
    <cellStyle name="Normal 2 2 12 13" xfId="2014"/>
    <cellStyle name="Normal 2 2 12 14" xfId="2015"/>
    <cellStyle name="Normal 2 2 12 15" xfId="2016"/>
    <cellStyle name="Normal 2 2 12 16" xfId="2017"/>
    <cellStyle name="Normal 2 2 12 17" xfId="2018"/>
    <cellStyle name="Normal 2 2 12 2" xfId="2019"/>
    <cellStyle name="Normal 2 2 12 3" xfId="2020"/>
    <cellStyle name="Normal 2 2 12 4" xfId="2021"/>
    <cellStyle name="Normal 2 2 12 5" xfId="2022"/>
    <cellStyle name="Normal 2 2 12 6" xfId="2023"/>
    <cellStyle name="Normal 2 2 12 7" xfId="2024"/>
    <cellStyle name="Normal 2 2 12 8" xfId="2025"/>
    <cellStyle name="Normal 2 2 12 9" xfId="2026"/>
    <cellStyle name="Normal 2 2 13" xfId="2027"/>
    <cellStyle name="Normal 2 2 13 10" xfId="2028"/>
    <cellStyle name="Normal 2 2 13 11" xfId="2029"/>
    <cellStyle name="Normal 2 2 13 12" xfId="2030"/>
    <cellStyle name="Normal 2 2 13 13" xfId="2031"/>
    <cellStyle name="Normal 2 2 13 14" xfId="2032"/>
    <cellStyle name="Normal 2 2 13 15" xfId="2033"/>
    <cellStyle name="Normal 2 2 13 16" xfId="2034"/>
    <cellStyle name="Normal 2 2 13 17" xfId="2035"/>
    <cellStyle name="Normal 2 2 13 2" xfId="2036"/>
    <cellStyle name="Normal 2 2 13 3" xfId="2037"/>
    <cellStyle name="Normal 2 2 13 4" xfId="2038"/>
    <cellStyle name="Normal 2 2 13 5" xfId="2039"/>
    <cellStyle name="Normal 2 2 13 6" xfId="2040"/>
    <cellStyle name="Normal 2 2 13 7" xfId="2041"/>
    <cellStyle name="Normal 2 2 13 8" xfId="2042"/>
    <cellStyle name="Normal 2 2 13 9" xfId="2043"/>
    <cellStyle name="Normal 2 2 14" xfId="2044"/>
    <cellStyle name="Normal 2 2 14 10" xfId="2045"/>
    <cellStyle name="Normal 2 2 14 11" xfId="2046"/>
    <cellStyle name="Normal 2 2 14 12" xfId="2047"/>
    <cellStyle name="Normal 2 2 14 13" xfId="2048"/>
    <cellStyle name="Normal 2 2 14 14" xfId="2049"/>
    <cellStyle name="Normal 2 2 14 15" xfId="2050"/>
    <cellStyle name="Normal 2 2 14 16" xfId="2051"/>
    <cellStyle name="Normal 2 2 14 17" xfId="2052"/>
    <cellStyle name="Normal 2 2 14 2" xfId="2053"/>
    <cellStyle name="Normal 2 2 14 3" xfId="2054"/>
    <cellStyle name="Normal 2 2 14 4" xfId="2055"/>
    <cellStyle name="Normal 2 2 14 5" xfId="2056"/>
    <cellStyle name="Normal 2 2 14 6" xfId="2057"/>
    <cellStyle name="Normal 2 2 14 7" xfId="2058"/>
    <cellStyle name="Normal 2 2 14 8" xfId="2059"/>
    <cellStyle name="Normal 2 2 14 9" xfId="2060"/>
    <cellStyle name="Normal 2 2 15" xfId="2061"/>
    <cellStyle name="Normal 2 2 15 10" xfId="2062"/>
    <cellStyle name="Normal 2 2 15 11" xfId="2063"/>
    <cellStyle name="Normal 2 2 15 12" xfId="2064"/>
    <cellStyle name="Normal 2 2 15 13" xfId="2065"/>
    <cellStyle name="Normal 2 2 15 14" xfId="2066"/>
    <cellStyle name="Normal 2 2 15 15" xfId="2067"/>
    <cellStyle name="Normal 2 2 15 16" xfId="2068"/>
    <cellStyle name="Normal 2 2 15 17" xfId="2069"/>
    <cellStyle name="Normal 2 2 15 2" xfId="2070"/>
    <cellStyle name="Normal 2 2 15 3" xfId="2071"/>
    <cellStyle name="Normal 2 2 15 4" xfId="2072"/>
    <cellStyle name="Normal 2 2 15 5" xfId="2073"/>
    <cellStyle name="Normal 2 2 15 6" xfId="2074"/>
    <cellStyle name="Normal 2 2 15 7" xfId="2075"/>
    <cellStyle name="Normal 2 2 15 8" xfId="2076"/>
    <cellStyle name="Normal 2 2 15 9" xfId="2077"/>
    <cellStyle name="Normal 2 2 16" xfId="2078"/>
    <cellStyle name="Normal 2 2 16 10" xfId="2079"/>
    <cellStyle name="Normal 2 2 16 11" xfId="2080"/>
    <cellStyle name="Normal 2 2 16 12" xfId="2081"/>
    <cellStyle name="Normal 2 2 16 13" xfId="2082"/>
    <cellStyle name="Normal 2 2 16 14" xfId="2083"/>
    <cellStyle name="Normal 2 2 16 15" xfId="2084"/>
    <cellStyle name="Normal 2 2 16 16" xfId="2085"/>
    <cellStyle name="Normal 2 2 16 17" xfId="2086"/>
    <cellStyle name="Normal 2 2 16 2" xfId="2087"/>
    <cellStyle name="Normal 2 2 16 3" xfId="2088"/>
    <cellStyle name="Normal 2 2 16 4" xfId="2089"/>
    <cellStyle name="Normal 2 2 16 5" xfId="2090"/>
    <cellStyle name="Normal 2 2 16 6" xfId="2091"/>
    <cellStyle name="Normal 2 2 16 7" xfId="2092"/>
    <cellStyle name="Normal 2 2 16 8" xfId="2093"/>
    <cellStyle name="Normal 2 2 16 9" xfId="2094"/>
    <cellStyle name="Normal 2 2 17" xfId="2095"/>
    <cellStyle name="Normal 2 2 17 10" xfId="2096"/>
    <cellStyle name="Normal 2 2 17 11" xfId="2097"/>
    <cellStyle name="Normal 2 2 17 12" xfId="2098"/>
    <cellStyle name="Normal 2 2 17 13" xfId="2099"/>
    <cellStyle name="Normal 2 2 17 14" xfId="2100"/>
    <cellStyle name="Normal 2 2 17 15" xfId="2101"/>
    <cellStyle name="Normal 2 2 17 16" xfId="2102"/>
    <cellStyle name="Normal 2 2 17 17" xfId="2103"/>
    <cellStyle name="Normal 2 2 17 2" xfId="2104"/>
    <cellStyle name="Normal 2 2 17 3" xfId="2105"/>
    <cellStyle name="Normal 2 2 17 4" xfId="2106"/>
    <cellStyle name="Normal 2 2 17 5" xfId="2107"/>
    <cellStyle name="Normal 2 2 17 6" xfId="2108"/>
    <cellStyle name="Normal 2 2 17 7" xfId="2109"/>
    <cellStyle name="Normal 2 2 17 8" xfId="2110"/>
    <cellStyle name="Normal 2 2 17 9" xfId="2111"/>
    <cellStyle name="Normal 2 2 18" xfId="2112"/>
    <cellStyle name="Normal 2 2 18 10" xfId="2113"/>
    <cellStyle name="Normal 2 2 18 11" xfId="2114"/>
    <cellStyle name="Normal 2 2 18 12" xfId="2115"/>
    <cellStyle name="Normal 2 2 18 13" xfId="2116"/>
    <cellStyle name="Normal 2 2 18 14" xfId="2117"/>
    <cellStyle name="Normal 2 2 18 15" xfId="2118"/>
    <cellStyle name="Normal 2 2 18 16" xfId="2119"/>
    <cellStyle name="Normal 2 2 18 17" xfId="2120"/>
    <cellStyle name="Normal 2 2 18 2" xfId="2121"/>
    <cellStyle name="Normal 2 2 18 3" xfId="2122"/>
    <cellStyle name="Normal 2 2 18 4" xfId="2123"/>
    <cellStyle name="Normal 2 2 18 5" xfId="2124"/>
    <cellStyle name="Normal 2 2 18 6" xfId="2125"/>
    <cellStyle name="Normal 2 2 18 7" xfId="2126"/>
    <cellStyle name="Normal 2 2 18 8" xfId="2127"/>
    <cellStyle name="Normal 2 2 18 9" xfId="2128"/>
    <cellStyle name="Normal 2 2 19" xfId="2129"/>
    <cellStyle name="Normal 2 2 19 10" xfId="2130"/>
    <cellStyle name="Normal 2 2 19 11" xfId="2131"/>
    <cellStyle name="Normal 2 2 19 12" xfId="2132"/>
    <cellStyle name="Normal 2 2 19 13" xfId="2133"/>
    <cellStyle name="Normal 2 2 19 14" xfId="2134"/>
    <cellStyle name="Normal 2 2 19 15" xfId="2135"/>
    <cellStyle name="Normal 2 2 19 16" xfId="2136"/>
    <cellStyle name="Normal 2 2 19 17" xfId="2137"/>
    <cellStyle name="Normal 2 2 19 2" xfId="2138"/>
    <cellStyle name="Normal 2 2 19 3" xfId="2139"/>
    <cellStyle name="Normal 2 2 19 4" xfId="2140"/>
    <cellStyle name="Normal 2 2 19 5" xfId="2141"/>
    <cellStyle name="Normal 2 2 19 6" xfId="2142"/>
    <cellStyle name="Normal 2 2 19 7" xfId="2143"/>
    <cellStyle name="Normal 2 2 19 8" xfId="2144"/>
    <cellStyle name="Normal 2 2 19 9" xfId="2145"/>
    <cellStyle name="Normal 2 2 2" xfId="71"/>
    <cellStyle name="Normal 2 2 2 10" xfId="2146"/>
    <cellStyle name="Normal 2 2 2 10 10" xfId="2147"/>
    <cellStyle name="Normal 2 2 2 10 11" xfId="2148"/>
    <cellStyle name="Normal 2 2 2 10 12" xfId="2149"/>
    <cellStyle name="Normal 2 2 2 10 13" xfId="2150"/>
    <cellStyle name="Normal 2 2 2 10 14" xfId="2151"/>
    <cellStyle name="Normal 2 2 2 10 15" xfId="2152"/>
    <cellStyle name="Normal 2 2 2 10 16" xfId="2153"/>
    <cellStyle name="Normal 2 2 2 10 17" xfId="2154"/>
    <cellStyle name="Normal 2 2 2 10 18" xfId="2155"/>
    <cellStyle name="Normal 2 2 2 10 19" xfId="2156"/>
    <cellStyle name="Normal 2 2 2 10 2" xfId="2157"/>
    <cellStyle name="Normal 2 2 2 10 20" xfId="2158"/>
    <cellStyle name="Normal 2 2 2 10 21" xfId="2159"/>
    <cellStyle name="Normal 2 2 2 10 22" xfId="2160"/>
    <cellStyle name="Normal 2 2 2 10 23" xfId="2161"/>
    <cellStyle name="Normal 2 2 2 10 24" xfId="2162"/>
    <cellStyle name="Normal 2 2 2 10 25" xfId="2163"/>
    <cellStyle name="Normal 2 2 2 10 26" xfId="2164"/>
    <cellStyle name="Normal 2 2 2 10 27" xfId="2165"/>
    <cellStyle name="Normal 2 2 2 10 28" xfId="2166"/>
    <cellStyle name="Normal 2 2 2 10 29" xfId="2167"/>
    <cellStyle name="Normal 2 2 2 10 3" xfId="2168"/>
    <cellStyle name="Normal 2 2 2 10 30" xfId="2169"/>
    <cellStyle name="Normal 2 2 2 10 31" xfId="2170"/>
    <cellStyle name="Normal 2 2 2 10 32" xfId="2171"/>
    <cellStyle name="Normal 2 2 2 10 33" xfId="2172"/>
    <cellStyle name="Normal 2 2 2 10 34" xfId="2173"/>
    <cellStyle name="Normal 2 2 2 10 35" xfId="2174"/>
    <cellStyle name="Normal 2 2 2 10 36" xfId="2175"/>
    <cellStyle name="Normal 2 2 2 10 37" xfId="2176"/>
    <cellStyle name="Normal 2 2 2 10 38" xfId="2177"/>
    <cellStyle name="Normal 2 2 2 10 39" xfId="2178"/>
    <cellStyle name="Normal 2 2 2 10 4" xfId="2179"/>
    <cellStyle name="Normal 2 2 2 10 40" xfId="2180"/>
    <cellStyle name="Normal 2 2 2 10 41" xfId="2181"/>
    <cellStyle name="Normal 2 2 2 10 42" xfId="2182"/>
    <cellStyle name="Normal 2 2 2 10 5" xfId="2183"/>
    <cellStyle name="Normal 2 2 2 10 6" xfId="2184"/>
    <cellStyle name="Normal 2 2 2 10 7" xfId="2185"/>
    <cellStyle name="Normal 2 2 2 10 8" xfId="2186"/>
    <cellStyle name="Normal 2 2 2 10 9" xfId="2187"/>
    <cellStyle name="Normal 2 2 2 11" xfId="2188"/>
    <cellStyle name="Normal 2 2 2 11 10" xfId="2189"/>
    <cellStyle name="Normal 2 2 2 11 11" xfId="2190"/>
    <cellStyle name="Normal 2 2 2 11 12" xfId="2191"/>
    <cellStyle name="Normal 2 2 2 11 13" xfId="2192"/>
    <cellStyle name="Normal 2 2 2 11 14" xfId="2193"/>
    <cellStyle name="Normal 2 2 2 11 15" xfId="2194"/>
    <cellStyle name="Normal 2 2 2 11 16" xfId="2195"/>
    <cellStyle name="Normal 2 2 2 11 17" xfId="2196"/>
    <cellStyle name="Normal 2 2 2 11 18" xfId="2197"/>
    <cellStyle name="Normal 2 2 2 11 19" xfId="2198"/>
    <cellStyle name="Normal 2 2 2 11 2" xfId="2199"/>
    <cellStyle name="Normal 2 2 2 11 20" xfId="2200"/>
    <cellStyle name="Normal 2 2 2 11 21" xfId="2201"/>
    <cellStyle name="Normal 2 2 2 11 22" xfId="2202"/>
    <cellStyle name="Normal 2 2 2 11 23" xfId="2203"/>
    <cellStyle name="Normal 2 2 2 11 24" xfId="2204"/>
    <cellStyle name="Normal 2 2 2 11 25" xfId="2205"/>
    <cellStyle name="Normal 2 2 2 11 26" xfId="2206"/>
    <cellStyle name="Normal 2 2 2 11 27" xfId="2207"/>
    <cellStyle name="Normal 2 2 2 11 28" xfId="2208"/>
    <cellStyle name="Normal 2 2 2 11 29" xfId="2209"/>
    <cellStyle name="Normal 2 2 2 11 3" xfId="2210"/>
    <cellStyle name="Normal 2 2 2 11 30" xfId="2211"/>
    <cellStyle name="Normal 2 2 2 11 31" xfId="2212"/>
    <cellStyle name="Normal 2 2 2 11 32" xfId="2213"/>
    <cellStyle name="Normal 2 2 2 11 33" xfId="2214"/>
    <cellStyle name="Normal 2 2 2 11 34" xfId="2215"/>
    <cellStyle name="Normal 2 2 2 11 35" xfId="2216"/>
    <cellStyle name="Normal 2 2 2 11 36" xfId="2217"/>
    <cellStyle name="Normal 2 2 2 11 37" xfId="2218"/>
    <cellStyle name="Normal 2 2 2 11 38" xfId="2219"/>
    <cellStyle name="Normal 2 2 2 11 39" xfId="2220"/>
    <cellStyle name="Normal 2 2 2 11 4" xfId="2221"/>
    <cellStyle name="Normal 2 2 2 11 40" xfId="2222"/>
    <cellStyle name="Normal 2 2 2 11 41" xfId="2223"/>
    <cellStyle name="Normal 2 2 2 11 42" xfId="2224"/>
    <cellStyle name="Normal 2 2 2 11 5" xfId="2225"/>
    <cellStyle name="Normal 2 2 2 11 6" xfId="2226"/>
    <cellStyle name="Normal 2 2 2 11 7" xfId="2227"/>
    <cellStyle name="Normal 2 2 2 11 8" xfId="2228"/>
    <cellStyle name="Normal 2 2 2 11 9" xfId="2229"/>
    <cellStyle name="Normal 2 2 2 12" xfId="2230"/>
    <cellStyle name="Normal 2 2 2 12 10" xfId="2231"/>
    <cellStyle name="Normal 2 2 2 12 11" xfId="2232"/>
    <cellStyle name="Normal 2 2 2 12 12" xfId="2233"/>
    <cellStyle name="Normal 2 2 2 12 13" xfId="2234"/>
    <cellStyle name="Normal 2 2 2 12 14" xfId="2235"/>
    <cellStyle name="Normal 2 2 2 12 15" xfId="2236"/>
    <cellStyle name="Normal 2 2 2 12 16" xfId="2237"/>
    <cellStyle name="Normal 2 2 2 12 17" xfId="2238"/>
    <cellStyle name="Normal 2 2 2 12 2" xfId="2239"/>
    <cellStyle name="Normal 2 2 2 12 3" xfId="2240"/>
    <cellStyle name="Normal 2 2 2 12 4" xfId="2241"/>
    <cellStyle name="Normal 2 2 2 12 5" xfId="2242"/>
    <cellStyle name="Normal 2 2 2 12 6" xfId="2243"/>
    <cellStyle name="Normal 2 2 2 12 7" xfId="2244"/>
    <cellStyle name="Normal 2 2 2 12 8" xfId="2245"/>
    <cellStyle name="Normal 2 2 2 12 9" xfId="2246"/>
    <cellStyle name="Normal 2 2 2 13" xfId="2247"/>
    <cellStyle name="Normal 2 2 2 13 10" xfId="2248"/>
    <cellStyle name="Normal 2 2 2 13 11" xfId="2249"/>
    <cellStyle name="Normal 2 2 2 13 12" xfId="2250"/>
    <cellStyle name="Normal 2 2 2 13 13" xfId="2251"/>
    <cellStyle name="Normal 2 2 2 13 14" xfId="2252"/>
    <cellStyle name="Normal 2 2 2 13 15" xfId="2253"/>
    <cellStyle name="Normal 2 2 2 13 16" xfId="2254"/>
    <cellStyle name="Normal 2 2 2 13 17" xfId="2255"/>
    <cellStyle name="Normal 2 2 2 13 2" xfId="2256"/>
    <cellStyle name="Normal 2 2 2 13 3" xfId="2257"/>
    <cellStyle name="Normal 2 2 2 13 4" xfId="2258"/>
    <cellStyle name="Normal 2 2 2 13 5" xfId="2259"/>
    <cellStyle name="Normal 2 2 2 13 6" xfId="2260"/>
    <cellStyle name="Normal 2 2 2 13 7" xfId="2261"/>
    <cellStyle name="Normal 2 2 2 13 8" xfId="2262"/>
    <cellStyle name="Normal 2 2 2 13 9" xfId="2263"/>
    <cellStyle name="Normal 2 2 2 14" xfId="2264"/>
    <cellStyle name="Normal 2 2 2 14 10" xfId="2265"/>
    <cellStyle name="Normal 2 2 2 14 11" xfId="2266"/>
    <cellStyle name="Normal 2 2 2 14 12" xfId="2267"/>
    <cellStyle name="Normal 2 2 2 14 13" xfId="2268"/>
    <cellStyle name="Normal 2 2 2 14 14" xfId="2269"/>
    <cellStyle name="Normal 2 2 2 14 15" xfId="2270"/>
    <cellStyle name="Normal 2 2 2 14 16" xfId="2271"/>
    <cellStyle name="Normal 2 2 2 14 17" xfId="2272"/>
    <cellStyle name="Normal 2 2 2 14 2" xfId="2273"/>
    <cellStyle name="Normal 2 2 2 14 3" xfId="2274"/>
    <cellStyle name="Normal 2 2 2 14 4" xfId="2275"/>
    <cellStyle name="Normal 2 2 2 14 5" xfId="2276"/>
    <cellStyle name="Normal 2 2 2 14 6" xfId="2277"/>
    <cellStyle name="Normal 2 2 2 14 7" xfId="2278"/>
    <cellStyle name="Normal 2 2 2 14 8" xfId="2279"/>
    <cellStyle name="Normal 2 2 2 14 9" xfId="2280"/>
    <cellStyle name="Normal 2 2 2 15" xfId="2281"/>
    <cellStyle name="Normal 2 2 2 15 10" xfId="2282"/>
    <cellStyle name="Normal 2 2 2 15 11" xfId="2283"/>
    <cellStyle name="Normal 2 2 2 15 12" xfId="2284"/>
    <cellStyle name="Normal 2 2 2 15 13" xfId="2285"/>
    <cellStyle name="Normal 2 2 2 15 14" xfId="2286"/>
    <cellStyle name="Normal 2 2 2 15 15" xfId="2287"/>
    <cellStyle name="Normal 2 2 2 15 16" xfId="2288"/>
    <cellStyle name="Normal 2 2 2 15 17" xfId="2289"/>
    <cellStyle name="Normal 2 2 2 15 2" xfId="2290"/>
    <cellStyle name="Normal 2 2 2 15 3" xfId="2291"/>
    <cellStyle name="Normal 2 2 2 15 4" xfId="2292"/>
    <cellStyle name="Normal 2 2 2 15 5" xfId="2293"/>
    <cellStyle name="Normal 2 2 2 15 6" xfId="2294"/>
    <cellStyle name="Normal 2 2 2 15 7" xfId="2295"/>
    <cellStyle name="Normal 2 2 2 15 8" xfId="2296"/>
    <cellStyle name="Normal 2 2 2 15 9" xfId="2297"/>
    <cellStyle name="Normal 2 2 2 16" xfId="2298"/>
    <cellStyle name="Normal 2 2 2 16 10" xfId="2299"/>
    <cellStyle name="Normal 2 2 2 16 11" xfId="2300"/>
    <cellStyle name="Normal 2 2 2 16 12" xfId="2301"/>
    <cellStyle name="Normal 2 2 2 16 13" xfId="2302"/>
    <cellStyle name="Normal 2 2 2 16 14" xfId="2303"/>
    <cellStyle name="Normal 2 2 2 16 15" xfId="2304"/>
    <cellStyle name="Normal 2 2 2 16 16" xfId="2305"/>
    <cellStyle name="Normal 2 2 2 16 17" xfId="2306"/>
    <cellStyle name="Normal 2 2 2 16 2" xfId="2307"/>
    <cellStyle name="Normal 2 2 2 16 3" xfId="2308"/>
    <cellStyle name="Normal 2 2 2 16 4" xfId="2309"/>
    <cellStyle name="Normal 2 2 2 16 5" xfId="2310"/>
    <cellStyle name="Normal 2 2 2 16 6" xfId="2311"/>
    <cellStyle name="Normal 2 2 2 16 7" xfId="2312"/>
    <cellStyle name="Normal 2 2 2 16 8" xfId="2313"/>
    <cellStyle name="Normal 2 2 2 16 9" xfId="2314"/>
    <cellStyle name="Normal 2 2 2 17" xfId="2315"/>
    <cellStyle name="Normal 2 2 2 17 10" xfId="2316"/>
    <cellStyle name="Normal 2 2 2 17 11" xfId="2317"/>
    <cellStyle name="Normal 2 2 2 17 12" xfId="2318"/>
    <cellStyle name="Normal 2 2 2 17 13" xfId="2319"/>
    <cellStyle name="Normal 2 2 2 17 14" xfId="2320"/>
    <cellStyle name="Normal 2 2 2 17 15" xfId="2321"/>
    <cellStyle name="Normal 2 2 2 17 16" xfId="2322"/>
    <cellStyle name="Normal 2 2 2 17 17" xfId="2323"/>
    <cellStyle name="Normal 2 2 2 17 2" xfId="2324"/>
    <cellStyle name="Normal 2 2 2 17 3" xfId="2325"/>
    <cellStyle name="Normal 2 2 2 17 4" xfId="2326"/>
    <cellStyle name="Normal 2 2 2 17 5" xfId="2327"/>
    <cellStyle name="Normal 2 2 2 17 6" xfId="2328"/>
    <cellStyle name="Normal 2 2 2 17 7" xfId="2329"/>
    <cellStyle name="Normal 2 2 2 17 8" xfId="2330"/>
    <cellStyle name="Normal 2 2 2 17 9" xfId="2331"/>
    <cellStyle name="Normal 2 2 2 18" xfId="2332"/>
    <cellStyle name="Normal 2 2 2 18 10" xfId="2333"/>
    <cellStyle name="Normal 2 2 2 18 11" xfId="2334"/>
    <cellStyle name="Normal 2 2 2 18 12" xfId="2335"/>
    <cellStyle name="Normal 2 2 2 18 13" xfId="2336"/>
    <cellStyle name="Normal 2 2 2 18 14" xfId="2337"/>
    <cellStyle name="Normal 2 2 2 18 15" xfId="2338"/>
    <cellStyle name="Normal 2 2 2 18 16" xfId="2339"/>
    <cellStyle name="Normal 2 2 2 18 17" xfId="2340"/>
    <cellStyle name="Normal 2 2 2 18 2" xfId="2341"/>
    <cellStyle name="Normal 2 2 2 18 3" xfId="2342"/>
    <cellStyle name="Normal 2 2 2 18 4" xfId="2343"/>
    <cellStyle name="Normal 2 2 2 18 5" xfId="2344"/>
    <cellStyle name="Normal 2 2 2 18 6" xfId="2345"/>
    <cellStyle name="Normal 2 2 2 18 7" xfId="2346"/>
    <cellStyle name="Normal 2 2 2 18 8" xfId="2347"/>
    <cellStyle name="Normal 2 2 2 18 9" xfId="2348"/>
    <cellStyle name="Normal 2 2 2 19" xfId="2349"/>
    <cellStyle name="Normal 2 2 2 2" xfId="2350"/>
    <cellStyle name="Normal 2 2 2 2 10" xfId="2351"/>
    <cellStyle name="Normal 2 2 2 2 10 10" xfId="2352"/>
    <cellStyle name="Normal 2 2 2 2 10 11" xfId="2353"/>
    <cellStyle name="Normal 2 2 2 2 10 12" xfId="2354"/>
    <cellStyle name="Normal 2 2 2 2 10 13" xfId="2355"/>
    <cellStyle name="Normal 2 2 2 2 10 2" xfId="2356"/>
    <cellStyle name="Normal 2 2 2 2 10 3" xfId="2357"/>
    <cellStyle name="Normal 2 2 2 2 10 4" xfId="2358"/>
    <cellStyle name="Normal 2 2 2 2 10 5" xfId="2359"/>
    <cellStyle name="Normal 2 2 2 2 10 6" xfId="2360"/>
    <cellStyle name="Normal 2 2 2 2 10 7" xfId="2361"/>
    <cellStyle name="Normal 2 2 2 2 10 8" xfId="2362"/>
    <cellStyle name="Normal 2 2 2 2 10 9" xfId="2363"/>
    <cellStyle name="Normal 2 2 2 2 11" xfId="2364"/>
    <cellStyle name="Normal 2 2 2 2 11 10" xfId="2365"/>
    <cellStyle name="Normal 2 2 2 2 11 11" xfId="2366"/>
    <cellStyle name="Normal 2 2 2 2 11 12" xfId="2367"/>
    <cellStyle name="Normal 2 2 2 2 11 13" xfId="2368"/>
    <cellStyle name="Normal 2 2 2 2 11 2" xfId="2369"/>
    <cellStyle name="Normal 2 2 2 2 11 3" xfId="2370"/>
    <cellStyle name="Normal 2 2 2 2 11 4" xfId="2371"/>
    <cellStyle name="Normal 2 2 2 2 11 5" xfId="2372"/>
    <cellStyle name="Normal 2 2 2 2 11 6" xfId="2373"/>
    <cellStyle name="Normal 2 2 2 2 11 7" xfId="2374"/>
    <cellStyle name="Normal 2 2 2 2 11 8" xfId="2375"/>
    <cellStyle name="Normal 2 2 2 2 11 9" xfId="2376"/>
    <cellStyle name="Normal 2 2 2 2 12" xfId="2377"/>
    <cellStyle name="Normal 2 2 2 2 12 10" xfId="2378"/>
    <cellStyle name="Normal 2 2 2 2 12 11" xfId="2379"/>
    <cellStyle name="Normal 2 2 2 2 12 12" xfId="2380"/>
    <cellStyle name="Normal 2 2 2 2 12 13" xfId="2381"/>
    <cellStyle name="Normal 2 2 2 2 12 2" xfId="2382"/>
    <cellStyle name="Normal 2 2 2 2 12 3" xfId="2383"/>
    <cellStyle name="Normal 2 2 2 2 12 4" xfId="2384"/>
    <cellStyle name="Normal 2 2 2 2 12 5" xfId="2385"/>
    <cellStyle name="Normal 2 2 2 2 12 6" xfId="2386"/>
    <cellStyle name="Normal 2 2 2 2 12 7" xfId="2387"/>
    <cellStyle name="Normal 2 2 2 2 12 8" xfId="2388"/>
    <cellStyle name="Normal 2 2 2 2 12 9" xfId="2389"/>
    <cellStyle name="Normal 2 2 2 2 13" xfId="2390"/>
    <cellStyle name="Normal 2 2 2 2 13 10" xfId="2391"/>
    <cellStyle name="Normal 2 2 2 2 13 11" xfId="2392"/>
    <cellStyle name="Normal 2 2 2 2 13 12" xfId="2393"/>
    <cellStyle name="Normal 2 2 2 2 13 13" xfId="2394"/>
    <cellStyle name="Normal 2 2 2 2 13 2" xfId="2395"/>
    <cellStyle name="Normal 2 2 2 2 13 3" xfId="2396"/>
    <cellStyle name="Normal 2 2 2 2 13 4" xfId="2397"/>
    <cellStyle name="Normal 2 2 2 2 13 5" xfId="2398"/>
    <cellStyle name="Normal 2 2 2 2 13 6" xfId="2399"/>
    <cellStyle name="Normal 2 2 2 2 13 7" xfId="2400"/>
    <cellStyle name="Normal 2 2 2 2 13 8" xfId="2401"/>
    <cellStyle name="Normal 2 2 2 2 13 9" xfId="2402"/>
    <cellStyle name="Normal 2 2 2 2 14" xfId="2403"/>
    <cellStyle name="Normal 2 2 2 2 14 10" xfId="2404"/>
    <cellStyle name="Normal 2 2 2 2 14 11" xfId="2405"/>
    <cellStyle name="Normal 2 2 2 2 14 12" xfId="2406"/>
    <cellStyle name="Normal 2 2 2 2 14 13" xfId="2407"/>
    <cellStyle name="Normal 2 2 2 2 14 2" xfId="2408"/>
    <cellStyle name="Normal 2 2 2 2 14 3" xfId="2409"/>
    <cellStyle name="Normal 2 2 2 2 14 4" xfId="2410"/>
    <cellStyle name="Normal 2 2 2 2 14 5" xfId="2411"/>
    <cellStyle name="Normal 2 2 2 2 14 6" xfId="2412"/>
    <cellStyle name="Normal 2 2 2 2 14 7" xfId="2413"/>
    <cellStyle name="Normal 2 2 2 2 14 8" xfId="2414"/>
    <cellStyle name="Normal 2 2 2 2 14 9" xfId="2415"/>
    <cellStyle name="Normal 2 2 2 2 15" xfId="2416"/>
    <cellStyle name="Normal 2 2 2 2 15 10" xfId="2417"/>
    <cellStyle name="Normal 2 2 2 2 15 11" xfId="2418"/>
    <cellStyle name="Normal 2 2 2 2 15 12" xfId="2419"/>
    <cellStyle name="Normal 2 2 2 2 15 13" xfId="2420"/>
    <cellStyle name="Normal 2 2 2 2 15 2" xfId="2421"/>
    <cellStyle name="Normal 2 2 2 2 15 3" xfId="2422"/>
    <cellStyle name="Normal 2 2 2 2 15 4" xfId="2423"/>
    <cellStyle name="Normal 2 2 2 2 15 5" xfId="2424"/>
    <cellStyle name="Normal 2 2 2 2 15 6" xfId="2425"/>
    <cellStyle name="Normal 2 2 2 2 15 7" xfId="2426"/>
    <cellStyle name="Normal 2 2 2 2 15 8" xfId="2427"/>
    <cellStyle name="Normal 2 2 2 2 15 9" xfId="2428"/>
    <cellStyle name="Normal 2 2 2 2 16" xfId="2429"/>
    <cellStyle name="Normal 2 2 2 2 16 10" xfId="2430"/>
    <cellStyle name="Normal 2 2 2 2 16 11" xfId="2431"/>
    <cellStyle name="Normal 2 2 2 2 16 12" xfId="2432"/>
    <cellStyle name="Normal 2 2 2 2 16 13" xfId="2433"/>
    <cellStyle name="Normal 2 2 2 2 16 2" xfId="2434"/>
    <cellStyle name="Normal 2 2 2 2 16 3" xfId="2435"/>
    <cellStyle name="Normal 2 2 2 2 16 4" xfId="2436"/>
    <cellStyle name="Normal 2 2 2 2 16 5" xfId="2437"/>
    <cellStyle name="Normal 2 2 2 2 16 6" xfId="2438"/>
    <cellStyle name="Normal 2 2 2 2 16 7" xfId="2439"/>
    <cellStyle name="Normal 2 2 2 2 16 8" xfId="2440"/>
    <cellStyle name="Normal 2 2 2 2 16 9" xfId="2441"/>
    <cellStyle name="Normal 2 2 2 2 17" xfId="2442"/>
    <cellStyle name="Normal 2 2 2 2 17 10" xfId="2443"/>
    <cellStyle name="Normal 2 2 2 2 17 11" xfId="2444"/>
    <cellStyle name="Normal 2 2 2 2 17 12" xfId="2445"/>
    <cellStyle name="Normal 2 2 2 2 17 13" xfId="2446"/>
    <cellStyle name="Normal 2 2 2 2 17 2" xfId="2447"/>
    <cellStyle name="Normal 2 2 2 2 17 3" xfId="2448"/>
    <cellStyle name="Normal 2 2 2 2 17 4" xfId="2449"/>
    <cellStyle name="Normal 2 2 2 2 17 5" xfId="2450"/>
    <cellStyle name="Normal 2 2 2 2 17 6" xfId="2451"/>
    <cellStyle name="Normal 2 2 2 2 17 7" xfId="2452"/>
    <cellStyle name="Normal 2 2 2 2 17 8" xfId="2453"/>
    <cellStyle name="Normal 2 2 2 2 17 9" xfId="2454"/>
    <cellStyle name="Normal 2 2 2 2 18" xfId="2455"/>
    <cellStyle name="Normal 2 2 2 2 18 10" xfId="2456"/>
    <cellStyle name="Normal 2 2 2 2 18 11" xfId="2457"/>
    <cellStyle name="Normal 2 2 2 2 18 12" xfId="2458"/>
    <cellStyle name="Normal 2 2 2 2 18 13" xfId="2459"/>
    <cellStyle name="Normal 2 2 2 2 18 2" xfId="2460"/>
    <cellStyle name="Normal 2 2 2 2 18 3" xfId="2461"/>
    <cellStyle name="Normal 2 2 2 2 18 4" xfId="2462"/>
    <cellStyle name="Normal 2 2 2 2 18 5" xfId="2463"/>
    <cellStyle name="Normal 2 2 2 2 18 6" xfId="2464"/>
    <cellStyle name="Normal 2 2 2 2 18 7" xfId="2465"/>
    <cellStyle name="Normal 2 2 2 2 18 8" xfId="2466"/>
    <cellStyle name="Normal 2 2 2 2 18 9" xfId="2467"/>
    <cellStyle name="Normal 2 2 2 2 19" xfId="2468"/>
    <cellStyle name="Normal 2 2 2 2 19 10" xfId="2469"/>
    <cellStyle name="Normal 2 2 2 2 19 11" xfId="2470"/>
    <cellStyle name="Normal 2 2 2 2 19 12" xfId="2471"/>
    <cellStyle name="Normal 2 2 2 2 19 13" xfId="2472"/>
    <cellStyle name="Normal 2 2 2 2 19 2" xfId="2473"/>
    <cellStyle name="Normal 2 2 2 2 19 3" xfId="2474"/>
    <cellStyle name="Normal 2 2 2 2 19 4" xfId="2475"/>
    <cellStyle name="Normal 2 2 2 2 19 5" xfId="2476"/>
    <cellStyle name="Normal 2 2 2 2 19 6" xfId="2477"/>
    <cellStyle name="Normal 2 2 2 2 19 7" xfId="2478"/>
    <cellStyle name="Normal 2 2 2 2 19 8" xfId="2479"/>
    <cellStyle name="Normal 2 2 2 2 19 9" xfId="2480"/>
    <cellStyle name="Normal 2 2 2 2 2" xfId="2481"/>
    <cellStyle name="Normal 2 2 2 2 2 10" xfId="2482"/>
    <cellStyle name="Normal 2 2 2 2 2 11" xfId="2483"/>
    <cellStyle name="Normal 2 2 2 2 2 12" xfId="2484"/>
    <cellStyle name="Normal 2 2 2 2 2 13" xfId="2485"/>
    <cellStyle name="Normal 2 2 2 2 2 2" xfId="2486"/>
    <cellStyle name="Normal 2 2 2 2 2 3" xfId="2487"/>
    <cellStyle name="Normal 2 2 2 2 2 4" xfId="2488"/>
    <cellStyle name="Normal 2 2 2 2 2 5" xfId="2489"/>
    <cellStyle name="Normal 2 2 2 2 2 6" xfId="2490"/>
    <cellStyle name="Normal 2 2 2 2 2 7" xfId="2491"/>
    <cellStyle name="Normal 2 2 2 2 2 8" xfId="2492"/>
    <cellStyle name="Normal 2 2 2 2 2 9" xfId="2493"/>
    <cellStyle name="Normal 2 2 2 2 20" xfId="2494"/>
    <cellStyle name="Normal 2 2 2 2 20 10" xfId="2495"/>
    <cellStyle name="Normal 2 2 2 2 20 11" xfId="2496"/>
    <cellStyle name="Normal 2 2 2 2 20 12" xfId="2497"/>
    <cellStyle name="Normal 2 2 2 2 20 13" xfId="2498"/>
    <cellStyle name="Normal 2 2 2 2 20 2" xfId="2499"/>
    <cellStyle name="Normal 2 2 2 2 20 3" xfId="2500"/>
    <cellStyle name="Normal 2 2 2 2 20 4" xfId="2501"/>
    <cellStyle name="Normal 2 2 2 2 20 5" xfId="2502"/>
    <cellStyle name="Normal 2 2 2 2 20 6" xfId="2503"/>
    <cellStyle name="Normal 2 2 2 2 20 7" xfId="2504"/>
    <cellStyle name="Normal 2 2 2 2 20 8" xfId="2505"/>
    <cellStyle name="Normal 2 2 2 2 20 9" xfId="2506"/>
    <cellStyle name="Normal 2 2 2 2 21" xfId="2507"/>
    <cellStyle name="Normal 2 2 2 2 21 10" xfId="2508"/>
    <cellStyle name="Normal 2 2 2 2 21 11" xfId="2509"/>
    <cellStyle name="Normal 2 2 2 2 21 12" xfId="2510"/>
    <cellStyle name="Normal 2 2 2 2 21 13" xfId="2511"/>
    <cellStyle name="Normal 2 2 2 2 21 2" xfId="2512"/>
    <cellStyle name="Normal 2 2 2 2 21 3" xfId="2513"/>
    <cellStyle name="Normal 2 2 2 2 21 4" xfId="2514"/>
    <cellStyle name="Normal 2 2 2 2 21 5" xfId="2515"/>
    <cellStyle name="Normal 2 2 2 2 21 6" xfId="2516"/>
    <cellStyle name="Normal 2 2 2 2 21 7" xfId="2517"/>
    <cellStyle name="Normal 2 2 2 2 21 8" xfId="2518"/>
    <cellStyle name="Normal 2 2 2 2 21 9" xfId="2519"/>
    <cellStyle name="Normal 2 2 2 2 22" xfId="2520"/>
    <cellStyle name="Normal 2 2 2 2 22 10" xfId="2521"/>
    <cellStyle name="Normal 2 2 2 2 22 11" xfId="2522"/>
    <cellStyle name="Normal 2 2 2 2 22 12" xfId="2523"/>
    <cellStyle name="Normal 2 2 2 2 22 13" xfId="2524"/>
    <cellStyle name="Normal 2 2 2 2 22 2" xfId="2525"/>
    <cellStyle name="Normal 2 2 2 2 22 3" xfId="2526"/>
    <cellStyle name="Normal 2 2 2 2 22 4" xfId="2527"/>
    <cellStyle name="Normal 2 2 2 2 22 5" xfId="2528"/>
    <cellStyle name="Normal 2 2 2 2 22 6" xfId="2529"/>
    <cellStyle name="Normal 2 2 2 2 22 7" xfId="2530"/>
    <cellStyle name="Normal 2 2 2 2 22 8" xfId="2531"/>
    <cellStyle name="Normal 2 2 2 2 22 9" xfId="2532"/>
    <cellStyle name="Normal 2 2 2 2 23" xfId="2533"/>
    <cellStyle name="Normal 2 2 2 2 23 10" xfId="2534"/>
    <cellStyle name="Normal 2 2 2 2 23 11" xfId="2535"/>
    <cellStyle name="Normal 2 2 2 2 23 12" xfId="2536"/>
    <cellStyle name="Normal 2 2 2 2 23 13" xfId="2537"/>
    <cellStyle name="Normal 2 2 2 2 23 2" xfId="2538"/>
    <cellStyle name="Normal 2 2 2 2 23 3" xfId="2539"/>
    <cellStyle name="Normal 2 2 2 2 23 4" xfId="2540"/>
    <cellStyle name="Normal 2 2 2 2 23 5" xfId="2541"/>
    <cellStyle name="Normal 2 2 2 2 23 6" xfId="2542"/>
    <cellStyle name="Normal 2 2 2 2 23 7" xfId="2543"/>
    <cellStyle name="Normal 2 2 2 2 23 8" xfId="2544"/>
    <cellStyle name="Normal 2 2 2 2 23 9" xfId="2545"/>
    <cellStyle name="Normal 2 2 2 2 24" xfId="2546"/>
    <cellStyle name="Normal 2 2 2 2 24 10" xfId="2547"/>
    <cellStyle name="Normal 2 2 2 2 24 11" xfId="2548"/>
    <cellStyle name="Normal 2 2 2 2 24 12" xfId="2549"/>
    <cellStyle name="Normal 2 2 2 2 24 13" xfId="2550"/>
    <cellStyle name="Normal 2 2 2 2 24 2" xfId="2551"/>
    <cellStyle name="Normal 2 2 2 2 24 3" xfId="2552"/>
    <cellStyle name="Normal 2 2 2 2 24 4" xfId="2553"/>
    <cellStyle name="Normal 2 2 2 2 24 5" xfId="2554"/>
    <cellStyle name="Normal 2 2 2 2 24 6" xfId="2555"/>
    <cellStyle name="Normal 2 2 2 2 24 7" xfId="2556"/>
    <cellStyle name="Normal 2 2 2 2 24 8" xfId="2557"/>
    <cellStyle name="Normal 2 2 2 2 24 9" xfId="2558"/>
    <cellStyle name="Normal 2 2 2 2 25" xfId="2559"/>
    <cellStyle name="Normal 2 2 2 2 25 10" xfId="2560"/>
    <cellStyle name="Normal 2 2 2 2 25 11" xfId="2561"/>
    <cellStyle name="Normal 2 2 2 2 25 12" xfId="2562"/>
    <cellStyle name="Normal 2 2 2 2 25 13" xfId="2563"/>
    <cellStyle name="Normal 2 2 2 2 25 2" xfId="2564"/>
    <cellStyle name="Normal 2 2 2 2 25 3" xfId="2565"/>
    <cellStyle name="Normal 2 2 2 2 25 4" xfId="2566"/>
    <cellStyle name="Normal 2 2 2 2 25 5" xfId="2567"/>
    <cellStyle name="Normal 2 2 2 2 25 6" xfId="2568"/>
    <cellStyle name="Normal 2 2 2 2 25 7" xfId="2569"/>
    <cellStyle name="Normal 2 2 2 2 25 8" xfId="2570"/>
    <cellStyle name="Normal 2 2 2 2 25 9" xfId="2571"/>
    <cellStyle name="Normal 2 2 2 2 26" xfId="2572"/>
    <cellStyle name="Normal 2 2 2 2 26 10" xfId="2573"/>
    <cellStyle name="Normal 2 2 2 2 26 11" xfId="2574"/>
    <cellStyle name="Normal 2 2 2 2 26 12" xfId="2575"/>
    <cellStyle name="Normal 2 2 2 2 26 13" xfId="2576"/>
    <cellStyle name="Normal 2 2 2 2 26 2" xfId="2577"/>
    <cellStyle name="Normal 2 2 2 2 26 3" xfId="2578"/>
    <cellStyle name="Normal 2 2 2 2 26 4" xfId="2579"/>
    <cellStyle name="Normal 2 2 2 2 26 5" xfId="2580"/>
    <cellStyle name="Normal 2 2 2 2 26 6" xfId="2581"/>
    <cellStyle name="Normal 2 2 2 2 26 7" xfId="2582"/>
    <cellStyle name="Normal 2 2 2 2 26 8" xfId="2583"/>
    <cellStyle name="Normal 2 2 2 2 26 9" xfId="2584"/>
    <cellStyle name="Normal 2 2 2 2 27" xfId="2585"/>
    <cellStyle name="Normal 2 2 2 2 27 10" xfId="2586"/>
    <cellStyle name="Normal 2 2 2 2 27 11" xfId="2587"/>
    <cellStyle name="Normal 2 2 2 2 27 12" xfId="2588"/>
    <cellStyle name="Normal 2 2 2 2 27 13" xfId="2589"/>
    <cellStyle name="Normal 2 2 2 2 27 2" xfId="2590"/>
    <cellStyle name="Normal 2 2 2 2 27 3" xfId="2591"/>
    <cellStyle name="Normal 2 2 2 2 27 4" xfId="2592"/>
    <cellStyle name="Normal 2 2 2 2 27 5" xfId="2593"/>
    <cellStyle name="Normal 2 2 2 2 27 6" xfId="2594"/>
    <cellStyle name="Normal 2 2 2 2 27 7" xfId="2595"/>
    <cellStyle name="Normal 2 2 2 2 27 8" xfId="2596"/>
    <cellStyle name="Normal 2 2 2 2 27 9" xfId="2597"/>
    <cellStyle name="Normal 2 2 2 2 28" xfId="2598"/>
    <cellStyle name="Normal 2 2 2 2 28 10" xfId="2599"/>
    <cellStyle name="Normal 2 2 2 2 28 11" xfId="2600"/>
    <cellStyle name="Normal 2 2 2 2 28 12" xfId="2601"/>
    <cellStyle name="Normal 2 2 2 2 28 13" xfId="2602"/>
    <cellStyle name="Normal 2 2 2 2 28 2" xfId="2603"/>
    <cellStyle name="Normal 2 2 2 2 28 3" xfId="2604"/>
    <cellStyle name="Normal 2 2 2 2 28 4" xfId="2605"/>
    <cellStyle name="Normal 2 2 2 2 28 5" xfId="2606"/>
    <cellStyle name="Normal 2 2 2 2 28 6" xfId="2607"/>
    <cellStyle name="Normal 2 2 2 2 28 7" xfId="2608"/>
    <cellStyle name="Normal 2 2 2 2 28 8" xfId="2609"/>
    <cellStyle name="Normal 2 2 2 2 28 9" xfId="2610"/>
    <cellStyle name="Normal 2 2 2 2 29" xfId="2611"/>
    <cellStyle name="Normal 2 2 2 2 29 10" xfId="2612"/>
    <cellStyle name="Normal 2 2 2 2 29 11" xfId="2613"/>
    <cellStyle name="Normal 2 2 2 2 29 12" xfId="2614"/>
    <cellStyle name="Normal 2 2 2 2 29 13" xfId="2615"/>
    <cellStyle name="Normal 2 2 2 2 29 2" xfId="2616"/>
    <cellStyle name="Normal 2 2 2 2 29 3" xfId="2617"/>
    <cellStyle name="Normal 2 2 2 2 29 4" xfId="2618"/>
    <cellStyle name="Normal 2 2 2 2 29 5" xfId="2619"/>
    <cellStyle name="Normal 2 2 2 2 29 6" xfId="2620"/>
    <cellStyle name="Normal 2 2 2 2 29 7" xfId="2621"/>
    <cellStyle name="Normal 2 2 2 2 29 8" xfId="2622"/>
    <cellStyle name="Normal 2 2 2 2 29 9" xfId="2623"/>
    <cellStyle name="Normal 2 2 2 2 3" xfId="2624"/>
    <cellStyle name="Normal 2 2 2 2 3 10" xfId="2625"/>
    <cellStyle name="Normal 2 2 2 2 3 11" xfId="2626"/>
    <cellStyle name="Normal 2 2 2 2 3 12" xfId="2627"/>
    <cellStyle name="Normal 2 2 2 2 3 13" xfId="2628"/>
    <cellStyle name="Normal 2 2 2 2 3 2" xfId="2629"/>
    <cellStyle name="Normal 2 2 2 2 3 3" xfId="2630"/>
    <cellStyle name="Normal 2 2 2 2 3 4" xfId="2631"/>
    <cellStyle name="Normal 2 2 2 2 3 5" xfId="2632"/>
    <cellStyle name="Normal 2 2 2 2 3 6" xfId="2633"/>
    <cellStyle name="Normal 2 2 2 2 3 7" xfId="2634"/>
    <cellStyle name="Normal 2 2 2 2 3 8" xfId="2635"/>
    <cellStyle name="Normal 2 2 2 2 3 9" xfId="2636"/>
    <cellStyle name="Normal 2 2 2 2 30" xfId="2637"/>
    <cellStyle name="Normal 2 2 2 2 30 10" xfId="2638"/>
    <cellStyle name="Normal 2 2 2 2 30 11" xfId="2639"/>
    <cellStyle name="Normal 2 2 2 2 30 12" xfId="2640"/>
    <cellStyle name="Normal 2 2 2 2 30 13" xfId="2641"/>
    <cellStyle name="Normal 2 2 2 2 30 2" xfId="2642"/>
    <cellStyle name="Normal 2 2 2 2 30 3" xfId="2643"/>
    <cellStyle name="Normal 2 2 2 2 30 4" xfId="2644"/>
    <cellStyle name="Normal 2 2 2 2 30 5" xfId="2645"/>
    <cellStyle name="Normal 2 2 2 2 30 6" xfId="2646"/>
    <cellStyle name="Normal 2 2 2 2 30 7" xfId="2647"/>
    <cellStyle name="Normal 2 2 2 2 30 8" xfId="2648"/>
    <cellStyle name="Normal 2 2 2 2 30 9" xfId="2649"/>
    <cellStyle name="Normal 2 2 2 2 31" xfId="2650"/>
    <cellStyle name="Normal 2 2 2 2 31 10" xfId="2651"/>
    <cellStyle name="Normal 2 2 2 2 31 11" xfId="2652"/>
    <cellStyle name="Normal 2 2 2 2 31 12" xfId="2653"/>
    <cellStyle name="Normal 2 2 2 2 31 13" xfId="2654"/>
    <cellStyle name="Normal 2 2 2 2 31 2" xfId="2655"/>
    <cellStyle name="Normal 2 2 2 2 31 3" xfId="2656"/>
    <cellStyle name="Normal 2 2 2 2 31 4" xfId="2657"/>
    <cellStyle name="Normal 2 2 2 2 31 5" xfId="2658"/>
    <cellStyle name="Normal 2 2 2 2 31 6" xfId="2659"/>
    <cellStyle name="Normal 2 2 2 2 31 7" xfId="2660"/>
    <cellStyle name="Normal 2 2 2 2 31 8" xfId="2661"/>
    <cellStyle name="Normal 2 2 2 2 31 9" xfId="2662"/>
    <cellStyle name="Normal 2 2 2 2 32" xfId="2663"/>
    <cellStyle name="Normal 2 2 2 2 33" xfId="2664"/>
    <cellStyle name="Normal 2 2 2 2 34" xfId="2665"/>
    <cellStyle name="Normal 2 2 2 2 35" xfId="2666"/>
    <cellStyle name="Normal 2 2 2 2 36" xfId="2667"/>
    <cellStyle name="Normal 2 2 2 2 37" xfId="2668"/>
    <cellStyle name="Normal 2 2 2 2 38" xfId="2669"/>
    <cellStyle name="Normal 2 2 2 2 39" xfId="2670"/>
    <cellStyle name="Normal 2 2 2 2 4" xfId="2671"/>
    <cellStyle name="Normal 2 2 2 2 4 10" xfId="2672"/>
    <cellStyle name="Normal 2 2 2 2 4 11" xfId="2673"/>
    <cellStyle name="Normal 2 2 2 2 4 12" xfId="2674"/>
    <cellStyle name="Normal 2 2 2 2 4 13" xfId="2675"/>
    <cellStyle name="Normal 2 2 2 2 4 2" xfId="2676"/>
    <cellStyle name="Normal 2 2 2 2 4 3" xfId="2677"/>
    <cellStyle name="Normal 2 2 2 2 4 4" xfId="2678"/>
    <cellStyle name="Normal 2 2 2 2 4 5" xfId="2679"/>
    <cellStyle name="Normal 2 2 2 2 4 6" xfId="2680"/>
    <cellStyle name="Normal 2 2 2 2 4 7" xfId="2681"/>
    <cellStyle name="Normal 2 2 2 2 4 8" xfId="2682"/>
    <cellStyle name="Normal 2 2 2 2 4 9" xfId="2683"/>
    <cellStyle name="Normal 2 2 2 2 40" xfId="2684"/>
    <cellStyle name="Normal 2 2 2 2 41" xfId="2685"/>
    <cellStyle name="Normal 2 2 2 2 42" xfId="2686"/>
    <cellStyle name="Normal 2 2 2 2 43" xfId="2687"/>
    <cellStyle name="Normal 2 2 2 2 44" xfId="2688"/>
    <cellStyle name="Normal 2 2 2 2 45" xfId="2689"/>
    <cellStyle name="Normal 2 2 2 2 46" xfId="2690"/>
    <cellStyle name="Normal 2 2 2 2 47" xfId="2691"/>
    <cellStyle name="Normal 2 2 2 2 48" xfId="2692"/>
    <cellStyle name="Normal 2 2 2 2 5" xfId="2693"/>
    <cellStyle name="Normal 2 2 2 2 5 10" xfId="2694"/>
    <cellStyle name="Normal 2 2 2 2 5 11" xfId="2695"/>
    <cellStyle name="Normal 2 2 2 2 5 12" xfId="2696"/>
    <cellStyle name="Normal 2 2 2 2 5 13" xfId="2697"/>
    <cellStyle name="Normal 2 2 2 2 5 2" xfId="2698"/>
    <cellStyle name="Normal 2 2 2 2 5 3" xfId="2699"/>
    <cellStyle name="Normal 2 2 2 2 5 4" xfId="2700"/>
    <cellStyle name="Normal 2 2 2 2 5 5" xfId="2701"/>
    <cellStyle name="Normal 2 2 2 2 5 6" xfId="2702"/>
    <cellStyle name="Normal 2 2 2 2 5 7" xfId="2703"/>
    <cellStyle name="Normal 2 2 2 2 5 8" xfId="2704"/>
    <cellStyle name="Normal 2 2 2 2 5 9" xfId="2705"/>
    <cellStyle name="Normal 2 2 2 2 6" xfId="2706"/>
    <cellStyle name="Normal 2 2 2 2 6 10" xfId="2707"/>
    <cellStyle name="Normal 2 2 2 2 6 11" xfId="2708"/>
    <cellStyle name="Normal 2 2 2 2 6 12" xfId="2709"/>
    <cellStyle name="Normal 2 2 2 2 6 13" xfId="2710"/>
    <cellStyle name="Normal 2 2 2 2 6 2" xfId="2711"/>
    <cellStyle name="Normal 2 2 2 2 6 3" xfId="2712"/>
    <cellStyle name="Normal 2 2 2 2 6 4" xfId="2713"/>
    <cellStyle name="Normal 2 2 2 2 6 5" xfId="2714"/>
    <cellStyle name="Normal 2 2 2 2 6 6" xfId="2715"/>
    <cellStyle name="Normal 2 2 2 2 6 7" xfId="2716"/>
    <cellStyle name="Normal 2 2 2 2 6 8" xfId="2717"/>
    <cellStyle name="Normal 2 2 2 2 6 9" xfId="2718"/>
    <cellStyle name="Normal 2 2 2 2 7" xfId="2719"/>
    <cellStyle name="Normal 2 2 2 2 7 10" xfId="2720"/>
    <cellStyle name="Normal 2 2 2 2 7 11" xfId="2721"/>
    <cellStyle name="Normal 2 2 2 2 7 12" xfId="2722"/>
    <cellStyle name="Normal 2 2 2 2 7 13" xfId="2723"/>
    <cellStyle name="Normal 2 2 2 2 7 2" xfId="2724"/>
    <cellStyle name="Normal 2 2 2 2 7 3" xfId="2725"/>
    <cellStyle name="Normal 2 2 2 2 7 4" xfId="2726"/>
    <cellStyle name="Normal 2 2 2 2 7 5" xfId="2727"/>
    <cellStyle name="Normal 2 2 2 2 7 6" xfId="2728"/>
    <cellStyle name="Normal 2 2 2 2 7 7" xfId="2729"/>
    <cellStyle name="Normal 2 2 2 2 7 8" xfId="2730"/>
    <cellStyle name="Normal 2 2 2 2 7 9" xfId="2731"/>
    <cellStyle name="Normal 2 2 2 2 8" xfId="2732"/>
    <cellStyle name="Normal 2 2 2 2 8 10" xfId="2733"/>
    <cellStyle name="Normal 2 2 2 2 8 11" xfId="2734"/>
    <cellStyle name="Normal 2 2 2 2 8 12" xfId="2735"/>
    <cellStyle name="Normal 2 2 2 2 8 13" xfId="2736"/>
    <cellStyle name="Normal 2 2 2 2 8 2" xfId="2737"/>
    <cellStyle name="Normal 2 2 2 2 8 3" xfId="2738"/>
    <cellStyle name="Normal 2 2 2 2 8 4" xfId="2739"/>
    <cellStyle name="Normal 2 2 2 2 8 5" xfId="2740"/>
    <cellStyle name="Normal 2 2 2 2 8 6" xfId="2741"/>
    <cellStyle name="Normal 2 2 2 2 8 7" xfId="2742"/>
    <cellStyle name="Normal 2 2 2 2 8 8" xfId="2743"/>
    <cellStyle name="Normal 2 2 2 2 8 9" xfId="2744"/>
    <cellStyle name="Normal 2 2 2 2 9" xfId="2745"/>
    <cellStyle name="Normal 2 2 2 2 9 10" xfId="2746"/>
    <cellStyle name="Normal 2 2 2 2 9 11" xfId="2747"/>
    <cellStyle name="Normal 2 2 2 2 9 12" xfId="2748"/>
    <cellStyle name="Normal 2 2 2 2 9 13" xfId="2749"/>
    <cellStyle name="Normal 2 2 2 2 9 2" xfId="2750"/>
    <cellStyle name="Normal 2 2 2 2 9 3" xfId="2751"/>
    <cellStyle name="Normal 2 2 2 2 9 4" xfId="2752"/>
    <cellStyle name="Normal 2 2 2 2 9 5" xfId="2753"/>
    <cellStyle name="Normal 2 2 2 2 9 6" xfId="2754"/>
    <cellStyle name="Normal 2 2 2 2 9 7" xfId="2755"/>
    <cellStyle name="Normal 2 2 2 2 9 8" xfId="2756"/>
    <cellStyle name="Normal 2 2 2 2 9 9" xfId="2757"/>
    <cellStyle name="Normal 2 2 2 20" xfId="2758"/>
    <cellStyle name="Normal 2 2 2 21" xfId="2759"/>
    <cellStyle name="Normal 2 2 2 22" xfId="2760"/>
    <cellStyle name="Normal 2 2 2 23" xfId="2761"/>
    <cellStyle name="Normal 2 2 2 24" xfId="2762"/>
    <cellStyle name="Normal 2 2 2 25" xfId="2763"/>
    <cellStyle name="Normal 2 2 2 26" xfId="2764"/>
    <cellStyle name="Normal 2 2 2 27" xfId="2765"/>
    <cellStyle name="Normal 2 2 2 28" xfId="2766"/>
    <cellStyle name="Normal 2 2 2 29" xfId="2767"/>
    <cellStyle name="Normal 2 2 2 3" xfId="2768"/>
    <cellStyle name="Normal 2 2 2 3 10" xfId="2769"/>
    <cellStyle name="Normal 2 2 2 3 11" xfId="2770"/>
    <cellStyle name="Normal 2 2 2 3 12" xfId="2771"/>
    <cellStyle name="Normal 2 2 2 3 13" xfId="2772"/>
    <cellStyle name="Normal 2 2 2 3 14" xfId="2773"/>
    <cellStyle name="Normal 2 2 2 3 15" xfId="2774"/>
    <cellStyle name="Normal 2 2 2 3 16" xfId="2775"/>
    <cellStyle name="Normal 2 2 2 3 17" xfId="2776"/>
    <cellStyle name="Normal 2 2 2 3 18" xfId="2777"/>
    <cellStyle name="Normal 2 2 2 3 19" xfId="2778"/>
    <cellStyle name="Normal 2 2 2 3 2" xfId="2779"/>
    <cellStyle name="Normal 2 2 2 3 20" xfId="2780"/>
    <cellStyle name="Normal 2 2 2 3 21" xfId="2781"/>
    <cellStyle name="Normal 2 2 2 3 22" xfId="2782"/>
    <cellStyle name="Normal 2 2 2 3 23" xfId="2783"/>
    <cellStyle name="Normal 2 2 2 3 24" xfId="2784"/>
    <cellStyle name="Normal 2 2 2 3 25" xfId="2785"/>
    <cellStyle name="Normal 2 2 2 3 26" xfId="2786"/>
    <cellStyle name="Normal 2 2 2 3 27" xfId="2787"/>
    <cellStyle name="Normal 2 2 2 3 28" xfId="2788"/>
    <cellStyle name="Normal 2 2 2 3 29" xfId="2789"/>
    <cellStyle name="Normal 2 2 2 3 3" xfId="2790"/>
    <cellStyle name="Normal 2 2 2 3 30" xfId="2791"/>
    <cellStyle name="Normal 2 2 2 3 31" xfId="2792"/>
    <cellStyle name="Normal 2 2 2 3 32" xfId="2793"/>
    <cellStyle name="Normal 2 2 2 3 33" xfId="2794"/>
    <cellStyle name="Normal 2 2 2 3 34" xfId="2795"/>
    <cellStyle name="Normal 2 2 2 3 35" xfId="2796"/>
    <cellStyle name="Normal 2 2 2 3 36" xfId="2797"/>
    <cellStyle name="Normal 2 2 2 3 37" xfId="2798"/>
    <cellStyle name="Normal 2 2 2 3 38" xfId="2799"/>
    <cellStyle name="Normal 2 2 2 3 39" xfId="2800"/>
    <cellStyle name="Normal 2 2 2 3 4" xfId="2801"/>
    <cellStyle name="Normal 2 2 2 3 40" xfId="2802"/>
    <cellStyle name="Normal 2 2 2 3 41" xfId="2803"/>
    <cellStyle name="Normal 2 2 2 3 42" xfId="2804"/>
    <cellStyle name="Normal 2 2 2 3 5" xfId="2805"/>
    <cellStyle name="Normal 2 2 2 3 6" xfId="2806"/>
    <cellStyle name="Normal 2 2 2 3 7" xfId="2807"/>
    <cellStyle name="Normal 2 2 2 3 8" xfId="2808"/>
    <cellStyle name="Normal 2 2 2 3 9" xfId="2809"/>
    <cellStyle name="Normal 2 2 2 30" xfId="2810"/>
    <cellStyle name="Normal 2 2 2 31" xfId="2811"/>
    <cellStyle name="Normal 2 2 2 32" xfId="2812"/>
    <cellStyle name="Normal 2 2 2 33" xfId="2813"/>
    <cellStyle name="Normal 2 2 2 34" xfId="2814"/>
    <cellStyle name="Normal 2 2 2 35" xfId="2815"/>
    <cellStyle name="Normal 2 2 2 36" xfId="2816"/>
    <cellStyle name="Normal 2 2 2 37" xfId="2817"/>
    <cellStyle name="Normal 2 2 2 38" xfId="2818"/>
    <cellStyle name="Normal 2 2 2 39" xfId="2819"/>
    <cellStyle name="Normal 2 2 2 4" xfId="2820"/>
    <cellStyle name="Normal 2 2 2 4 10" xfId="2821"/>
    <cellStyle name="Normal 2 2 2 4 11" xfId="2822"/>
    <cellStyle name="Normal 2 2 2 4 12" xfId="2823"/>
    <cellStyle name="Normal 2 2 2 4 13" xfId="2824"/>
    <cellStyle name="Normal 2 2 2 4 14" xfId="2825"/>
    <cellStyle name="Normal 2 2 2 4 15" xfId="2826"/>
    <cellStyle name="Normal 2 2 2 4 16" xfId="2827"/>
    <cellStyle name="Normal 2 2 2 4 17" xfId="2828"/>
    <cellStyle name="Normal 2 2 2 4 18" xfId="2829"/>
    <cellStyle name="Normal 2 2 2 4 19" xfId="2830"/>
    <cellStyle name="Normal 2 2 2 4 2" xfId="2831"/>
    <cellStyle name="Normal 2 2 2 4 20" xfId="2832"/>
    <cellStyle name="Normal 2 2 2 4 21" xfId="2833"/>
    <cellStyle name="Normal 2 2 2 4 22" xfId="2834"/>
    <cellStyle name="Normal 2 2 2 4 23" xfId="2835"/>
    <cellStyle name="Normal 2 2 2 4 24" xfId="2836"/>
    <cellStyle name="Normal 2 2 2 4 25" xfId="2837"/>
    <cellStyle name="Normal 2 2 2 4 26" xfId="2838"/>
    <cellStyle name="Normal 2 2 2 4 27" xfId="2839"/>
    <cellStyle name="Normal 2 2 2 4 28" xfId="2840"/>
    <cellStyle name="Normal 2 2 2 4 29" xfId="2841"/>
    <cellStyle name="Normal 2 2 2 4 3" xfId="2842"/>
    <cellStyle name="Normal 2 2 2 4 30" xfId="2843"/>
    <cellStyle name="Normal 2 2 2 4 31" xfId="2844"/>
    <cellStyle name="Normal 2 2 2 4 32" xfId="2845"/>
    <cellStyle name="Normal 2 2 2 4 33" xfId="2846"/>
    <cellStyle name="Normal 2 2 2 4 34" xfId="2847"/>
    <cellStyle name="Normal 2 2 2 4 35" xfId="2848"/>
    <cellStyle name="Normal 2 2 2 4 36" xfId="2849"/>
    <cellStyle name="Normal 2 2 2 4 37" xfId="2850"/>
    <cellStyle name="Normal 2 2 2 4 38" xfId="2851"/>
    <cellStyle name="Normal 2 2 2 4 39" xfId="2852"/>
    <cellStyle name="Normal 2 2 2 4 4" xfId="2853"/>
    <cellStyle name="Normal 2 2 2 4 40" xfId="2854"/>
    <cellStyle name="Normal 2 2 2 4 41" xfId="2855"/>
    <cellStyle name="Normal 2 2 2 4 42" xfId="2856"/>
    <cellStyle name="Normal 2 2 2 4 5" xfId="2857"/>
    <cellStyle name="Normal 2 2 2 4 6" xfId="2858"/>
    <cellStyle name="Normal 2 2 2 4 7" xfId="2859"/>
    <cellStyle name="Normal 2 2 2 4 8" xfId="2860"/>
    <cellStyle name="Normal 2 2 2 4 9" xfId="2861"/>
    <cellStyle name="Normal 2 2 2 40" xfId="2862"/>
    <cellStyle name="Normal 2 2 2 41" xfId="2863"/>
    <cellStyle name="Normal 2 2 2 42" xfId="2864"/>
    <cellStyle name="Normal 2 2 2 43" xfId="2865"/>
    <cellStyle name="Normal 2 2 2 44" xfId="2866"/>
    <cellStyle name="Normal 2 2 2 45" xfId="2867"/>
    <cellStyle name="Normal 2 2 2 46" xfId="2868"/>
    <cellStyle name="Normal 2 2 2 47" xfId="2869"/>
    <cellStyle name="Normal 2 2 2 48" xfId="2870"/>
    <cellStyle name="Normal 2 2 2 49" xfId="2871"/>
    <cellStyle name="Normal 2 2 2 5" xfId="2872"/>
    <cellStyle name="Normal 2 2 2 5 10" xfId="2873"/>
    <cellStyle name="Normal 2 2 2 5 11" xfId="2874"/>
    <cellStyle name="Normal 2 2 2 5 12" xfId="2875"/>
    <cellStyle name="Normal 2 2 2 5 13" xfId="2876"/>
    <cellStyle name="Normal 2 2 2 5 14" xfId="2877"/>
    <cellStyle name="Normal 2 2 2 5 15" xfId="2878"/>
    <cellStyle name="Normal 2 2 2 5 16" xfId="2879"/>
    <cellStyle name="Normal 2 2 2 5 17" xfId="2880"/>
    <cellStyle name="Normal 2 2 2 5 18" xfId="2881"/>
    <cellStyle name="Normal 2 2 2 5 19" xfId="2882"/>
    <cellStyle name="Normal 2 2 2 5 2" xfId="2883"/>
    <cellStyle name="Normal 2 2 2 5 20" xfId="2884"/>
    <cellStyle name="Normal 2 2 2 5 21" xfId="2885"/>
    <cellStyle name="Normal 2 2 2 5 22" xfId="2886"/>
    <cellStyle name="Normal 2 2 2 5 23" xfId="2887"/>
    <cellStyle name="Normal 2 2 2 5 24" xfId="2888"/>
    <cellStyle name="Normal 2 2 2 5 25" xfId="2889"/>
    <cellStyle name="Normal 2 2 2 5 26" xfId="2890"/>
    <cellStyle name="Normal 2 2 2 5 27" xfId="2891"/>
    <cellStyle name="Normal 2 2 2 5 28" xfId="2892"/>
    <cellStyle name="Normal 2 2 2 5 29" xfId="2893"/>
    <cellStyle name="Normal 2 2 2 5 3" xfId="2894"/>
    <cellStyle name="Normal 2 2 2 5 30" xfId="2895"/>
    <cellStyle name="Normal 2 2 2 5 31" xfId="2896"/>
    <cellStyle name="Normal 2 2 2 5 32" xfId="2897"/>
    <cellStyle name="Normal 2 2 2 5 33" xfId="2898"/>
    <cellStyle name="Normal 2 2 2 5 34" xfId="2899"/>
    <cellStyle name="Normal 2 2 2 5 35" xfId="2900"/>
    <cellStyle name="Normal 2 2 2 5 36" xfId="2901"/>
    <cellStyle name="Normal 2 2 2 5 37" xfId="2902"/>
    <cellStyle name="Normal 2 2 2 5 38" xfId="2903"/>
    <cellStyle name="Normal 2 2 2 5 39" xfId="2904"/>
    <cellStyle name="Normal 2 2 2 5 4" xfId="2905"/>
    <cellStyle name="Normal 2 2 2 5 40" xfId="2906"/>
    <cellStyle name="Normal 2 2 2 5 41" xfId="2907"/>
    <cellStyle name="Normal 2 2 2 5 42" xfId="2908"/>
    <cellStyle name="Normal 2 2 2 5 5" xfId="2909"/>
    <cellStyle name="Normal 2 2 2 5 6" xfId="2910"/>
    <cellStyle name="Normal 2 2 2 5 7" xfId="2911"/>
    <cellStyle name="Normal 2 2 2 5 8" xfId="2912"/>
    <cellStyle name="Normal 2 2 2 5 9" xfId="2913"/>
    <cellStyle name="Normal 2 2 2 50" xfId="2914"/>
    <cellStyle name="Normal 2 2 2 51" xfId="2915"/>
    <cellStyle name="Normal 2 2 2 52" xfId="2916"/>
    <cellStyle name="Normal 2 2 2 53" xfId="2917"/>
    <cellStyle name="Normal 2 2 2 54" xfId="2918"/>
    <cellStyle name="Normal 2 2 2 55" xfId="2919"/>
    <cellStyle name="Normal 2 2 2 56" xfId="2920"/>
    <cellStyle name="Normal 2 2 2 57" xfId="2921"/>
    <cellStyle name="Normal 2 2 2 58" xfId="2922"/>
    <cellStyle name="Normal 2 2 2 59" xfId="2923"/>
    <cellStyle name="Normal 2 2 2 6" xfId="2924"/>
    <cellStyle name="Normal 2 2 2 6 10" xfId="2925"/>
    <cellStyle name="Normal 2 2 2 6 11" xfId="2926"/>
    <cellStyle name="Normal 2 2 2 6 12" xfId="2927"/>
    <cellStyle name="Normal 2 2 2 6 13" xfId="2928"/>
    <cellStyle name="Normal 2 2 2 6 14" xfId="2929"/>
    <cellStyle name="Normal 2 2 2 6 15" xfId="2930"/>
    <cellStyle name="Normal 2 2 2 6 16" xfId="2931"/>
    <cellStyle name="Normal 2 2 2 6 17" xfId="2932"/>
    <cellStyle name="Normal 2 2 2 6 18" xfId="2933"/>
    <cellStyle name="Normal 2 2 2 6 19" xfId="2934"/>
    <cellStyle name="Normal 2 2 2 6 2" xfId="2935"/>
    <cellStyle name="Normal 2 2 2 6 20" xfId="2936"/>
    <cellStyle name="Normal 2 2 2 6 21" xfId="2937"/>
    <cellStyle name="Normal 2 2 2 6 22" xfId="2938"/>
    <cellStyle name="Normal 2 2 2 6 23" xfId="2939"/>
    <cellStyle name="Normal 2 2 2 6 24" xfId="2940"/>
    <cellStyle name="Normal 2 2 2 6 25" xfId="2941"/>
    <cellStyle name="Normal 2 2 2 6 26" xfId="2942"/>
    <cellStyle name="Normal 2 2 2 6 27" xfId="2943"/>
    <cellStyle name="Normal 2 2 2 6 28" xfId="2944"/>
    <cellStyle name="Normal 2 2 2 6 29" xfId="2945"/>
    <cellStyle name="Normal 2 2 2 6 3" xfId="2946"/>
    <cellStyle name="Normal 2 2 2 6 30" xfId="2947"/>
    <cellStyle name="Normal 2 2 2 6 31" xfId="2948"/>
    <cellStyle name="Normal 2 2 2 6 32" xfId="2949"/>
    <cellStyle name="Normal 2 2 2 6 33" xfId="2950"/>
    <cellStyle name="Normal 2 2 2 6 34" xfId="2951"/>
    <cellStyle name="Normal 2 2 2 6 35" xfId="2952"/>
    <cellStyle name="Normal 2 2 2 6 36" xfId="2953"/>
    <cellStyle name="Normal 2 2 2 6 37" xfId="2954"/>
    <cellStyle name="Normal 2 2 2 6 38" xfId="2955"/>
    <cellStyle name="Normal 2 2 2 6 39" xfId="2956"/>
    <cellStyle name="Normal 2 2 2 6 4" xfId="2957"/>
    <cellStyle name="Normal 2 2 2 6 40" xfId="2958"/>
    <cellStyle name="Normal 2 2 2 6 41" xfId="2959"/>
    <cellStyle name="Normal 2 2 2 6 42" xfId="2960"/>
    <cellStyle name="Normal 2 2 2 6 5" xfId="2961"/>
    <cellStyle name="Normal 2 2 2 6 6" xfId="2962"/>
    <cellStyle name="Normal 2 2 2 6 7" xfId="2963"/>
    <cellStyle name="Normal 2 2 2 6 8" xfId="2964"/>
    <cellStyle name="Normal 2 2 2 6 9" xfId="2965"/>
    <cellStyle name="Normal 2 2 2 60" xfId="2966"/>
    <cellStyle name="Normal 2 2 2 61" xfId="2967"/>
    <cellStyle name="Normal 2 2 2 62" xfId="2968"/>
    <cellStyle name="Normal 2 2 2 63" xfId="2969"/>
    <cellStyle name="Normal 2 2 2 64" xfId="2970"/>
    <cellStyle name="Normal 2 2 2 65" xfId="2971"/>
    <cellStyle name="Normal 2 2 2 66" xfId="2972"/>
    <cellStyle name="Normal 2 2 2 67" xfId="2973"/>
    <cellStyle name="Normal 2 2 2 68" xfId="2974"/>
    <cellStyle name="Normal 2 2 2 69" xfId="2975"/>
    <cellStyle name="Normal 2 2 2 7" xfId="2976"/>
    <cellStyle name="Normal 2 2 2 7 10" xfId="2977"/>
    <cellStyle name="Normal 2 2 2 7 11" xfId="2978"/>
    <cellStyle name="Normal 2 2 2 7 12" xfId="2979"/>
    <cellStyle name="Normal 2 2 2 7 13" xfId="2980"/>
    <cellStyle name="Normal 2 2 2 7 14" xfId="2981"/>
    <cellStyle name="Normal 2 2 2 7 15" xfId="2982"/>
    <cellStyle name="Normal 2 2 2 7 16" xfId="2983"/>
    <cellStyle name="Normal 2 2 2 7 17" xfId="2984"/>
    <cellStyle name="Normal 2 2 2 7 18" xfId="2985"/>
    <cellStyle name="Normal 2 2 2 7 19" xfId="2986"/>
    <cellStyle name="Normal 2 2 2 7 2" xfId="2987"/>
    <cellStyle name="Normal 2 2 2 7 20" xfId="2988"/>
    <cellStyle name="Normal 2 2 2 7 21" xfId="2989"/>
    <cellStyle name="Normal 2 2 2 7 22" xfId="2990"/>
    <cellStyle name="Normal 2 2 2 7 23" xfId="2991"/>
    <cellStyle name="Normal 2 2 2 7 24" xfId="2992"/>
    <cellStyle name="Normal 2 2 2 7 25" xfId="2993"/>
    <cellStyle name="Normal 2 2 2 7 26" xfId="2994"/>
    <cellStyle name="Normal 2 2 2 7 27" xfId="2995"/>
    <cellStyle name="Normal 2 2 2 7 28" xfId="2996"/>
    <cellStyle name="Normal 2 2 2 7 29" xfId="2997"/>
    <cellStyle name="Normal 2 2 2 7 3" xfId="2998"/>
    <cellStyle name="Normal 2 2 2 7 30" xfId="2999"/>
    <cellStyle name="Normal 2 2 2 7 31" xfId="3000"/>
    <cellStyle name="Normal 2 2 2 7 32" xfId="3001"/>
    <cellStyle name="Normal 2 2 2 7 33" xfId="3002"/>
    <cellStyle name="Normal 2 2 2 7 34" xfId="3003"/>
    <cellStyle name="Normal 2 2 2 7 35" xfId="3004"/>
    <cellStyle name="Normal 2 2 2 7 36" xfId="3005"/>
    <cellStyle name="Normal 2 2 2 7 37" xfId="3006"/>
    <cellStyle name="Normal 2 2 2 7 38" xfId="3007"/>
    <cellStyle name="Normal 2 2 2 7 39" xfId="3008"/>
    <cellStyle name="Normal 2 2 2 7 4" xfId="3009"/>
    <cellStyle name="Normal 2 2 2 7 40" xfId="3010"/>
    <cellStyle name="Normal 2 2 2 7 41" xfId="3011"/>
    <cellStyle name="Normal 2 2 2 7 42" xfId="3012"/>
    <cellStyle name="Normal 2 2 2 7 5" xfId="3013"/>
    <cellStyle name="Normal 2 2 2 7 6" xfId="3014"/>
    <cellStyle name="Normal 2 2 2 7 7" xfId="3015"/>
    <cellStyle name="Normal 2 2 2 7 8" xfId="3016"/>
    <cellStyle name="Normal 2 2 2 7 9" xfId="3017"/>
    <cellStyle name="Normal 2 2 2 70" xfId="3018"/>
    <cellStyle name="Normal 2 2 2 71" xfId="3019"/>
    <cellStyle name="Normal 2 2 2 72" xfId="3020"/>
    <cellStyle name="Normal 2 2 2 73" xfId="3021"/>
    <cellStyle name="Normal 2 2 2 74" xfId="3022"/>
    <cellStyle name="Normal 2 2 2 75" xfId="3023"/>
    <cellStyle name="Normal 2 2 2 76" xfId="3024"/>
    <cellStyle name="Normal 2 2 2 77" xfId="3025"/>
    <cellStyle name="Normal 2 2 2 8" xfId="3026"/>
    <cellStyle name="Normal 2 2 2 8 10" xfId="3027"/>
    <cellStyle name="Normal 2 2 2 8 11" xfId="3028"/>
    <cellStyle name="Normal 2 2 2 8 12" xfId="3029"/>
    <cellStyle name="Normal 2 2 2 8 13" xfId="3030"/>
    <cellStyle name="Normal 2 2 2 8 14" xfId="3031"/>
    <cellStyle name="Normal 2 2 2 8 15" xfId="3032"/>
    <cellStyle name="Normal 2 2 2 8 16" xfId="3033"/>
    <cellStyle name="Normal 2 2 2 8 17" xfId="3034"/>
    <cellStyle name="Normal 2 2 2 8 18" xfId="3035"/>
    <cellStyle name="Normal 2 2 2 8 19" xfId="3036"/>
    <cellStyle name="Normal 2 2 2 8 2" xfId="3037"/>
    <cellStyle name="Normal 2 2 2 8 20" xfId="3038"/>
    <cellStyle name="Normal 2 2 2 8 21" xfId="3039"/>
    <cellStyle name="Normal 2 2 2 8 22" xfId="3040"/>
    <cellStyle name="Normal 2 2 2 8 23" xfId="3041"/>
    <cellStyle name="Normal 2 2 2 8 24" xfId="3042"/>
    <cellStyle name="Normal 2 2 2 8 25" xfId="3043"/>
    <cellStyle name="Normal 2 2 2 8 26" xfId="3044"/>
    <cellStyle name="Normal 2 2 2 8 27" xfId="3045"/>
    <cellStyle name="Normal 2 2 2 8 28" xfId="3046"/>
    <cellStyle name="Normal 2 2 2 8 29" xfId="3047"/>
    <cellStyle name="Normal 2 2 2 8 3" xfId="3048"/>
    <cellStyle name="Normal 2 2 2 8 30" xfId="3049"/>
    <cellStyle name="Normal 2 2 2 8 31" xfId="3050"/>
    <cellStyle name="Normal 2 2 2 8 32" xfId="3051"/>
    <cellStyle name="Normal 2 2 2 8 33" xfId="3052"/>
    <cellStyle name="Normal 2 2 2 8 34" xfId="3053"/>
    <cellStyle name="Normal 2 2 2 8 35" xfId="3054"/>
    <cellStyle name="Normal 2 2 2 8 36" xfId="3055"/>
    <cellStyle name="Normal 2 2 2 8 37" xfId="3056"/>
    <cellStyle name="Normal 2 2 2 8 38" xfId="3057"/>
    <cellStyle name="Normal 2 2 2 8 39" xfId="3058"/>
    <cellStyle name="Normal 2 2 2 8 4" xfId="3059"/>
    <cellStyle name="Normal 2 2 2 8 40" xfId="3060"/>
    <cellStyle name="Normal 2 2 2 8 41" xfId="3061"/>
    <cellStyle name="Normal 2 2 2 8 42" xfId="3062"/>
    <cellStyle name="Normal 2 2 2 8 5" xfId="3063"/>
    <cellStyle name="Normal 2 2 2 8 6" xfId="3064"/>
    <cellStyle name="Normal 2 2 2 8 7" xfId="3065"/>
    <cellStyle name="Normal 2 2 2 8 8" xfId="3066"/>
    <cellStyle name="Normal 2 2 2 8 9" xfId="3067"/>
    <cellStyle name="Normal 2 2 2 9" xfId="3068"/>
    <cellStyle name="Normal 2 2 2 9 10" xfId="3069"/>
    <cellStyle name="Normal 2 2 2 9 11" xfId="3070"/>
    <cellStyle name="Normal 2 2 2 9 12" xfId="3071"/>
    <cellStyle name="Normal 2 2 2 9 13" xfId="3072"/>
    <cellStyle name="Normal 2 2 2 9 14" xfId="3073"/>
    <cellStyle name="Normal 2 2 2 9 15" xfId="3074"/>
    <cellStyle name="Normal 2 2 2 9 16" xfId="3075"/>
    <cellStyle name="Normal 2 2 2 9 17" xfId="3076"/>
    <cellStyle name="Normal 2 2 2 9 18" xfId="3077"/>
    <cellStyle name="Normal 2 2 2 9 19" xfId="3078"/>
    <cellStyle name="Normal 2 2 2 9 2" xfId="3079"/>
    <cellStyle name="Normal 2 2 2 9 20" xfId="3080"/>
    <cellStyle name="Normal 2 2 2 9 21" xfId="3081"/>
    <cellStyle name="Normal 2 2 2 9 22" xfId="3082"/>
    <cellStyle name="Normal 2 2 2 9 23" xfId="3083"/>
    <cellStyle name="Normal 2 2 2 9 24" xfId="3084"/>
    <cellStyle name="Normal 2 2 2 9 25" xfId="3085"/>
    <cellStyle name="Normal 2 2 2 9 26" xfId="3086"/>
    <cellStyle name="Normal 2 2 2 9 27" xfId="3087"/>
    <cellStyle name="Normal 2 2 2 9 28" xfId="3088"/>
    <cellStyle name="Normal 2 2 2 9 29" xfId="3089"/>
    <cellStyle name="Normal 2 2 2 9 3" xfId="3090"/>
    <cellStyle name="Normal 2 2 2 9 30" xfId="3091"/>
    <cellStyle name="Normal 2 2 2 9 31" xfId="3092"/>
    <cellStyle name="Normal 2 2 2 9 32" xfId="3093"/>
    <cellStyle name="Normal 2 2 2 9 33" xfId="3094"/>
    <cellStyle name="Normal 2 2 2 9 34" xfId="3095"/>
    <cellStyle name="Normal 2 2 2 9 35" xfId="3096"/>
    <cellStyle name="Normal 2 2 2 9 36" xfId="3097"/>
    <cellStyle name="Normal 2 2 2 9 37" xfId="3098"/>
    <cellStyle name="Normal 2 2 2 9 38" xfId="3099"/>
    <cellStyle name="Normal 2 2 2 9 39" xfId="3100"/>
    <cellStyle name="Normal 2 2 2 9 4" xfId="3101"/>
    <cellStyle name="Normal 2 2 2 9 40" xfId="3102"/>
    <cellStyle name="Normal 2 2 2 9 41" xfId="3103"/>
    <cellStyle name="Normal 2 2 2 9 42" xfId="3104"/>
    <cellStyle name="Normal 2 2 2 9 5" xfId="3105"/>
    <cellStyle name="Normal 2 2 2 9 6" xfId="3106"/>
    <cellStyle name="Normal 2 2 2 9 7" xfId="3107"/>
    <cellStyle name="Normal 2 2 2 9 8" xfId="3108"/>
    <cellStyle name="Normal 2 2 2 9 9" xfId="3109"/>
    <cellStyle name="Normal 2 2 20" xfId="3110"/>
    <cellStyle name="Normal 2 2 20 10" xfId="3111"/>
    <cellStyle name="Normal 2 2 20 11" xfId="3112"/>
    <cellStyle name="Normal 2 2 20 12" xfId="3113"/>
    <cellStyle name="Normal 2 2 20 13" xfId="3114"/>
    <cellStyle name="Normal 2 2 20 14" xfId="3115"/>
    <cellStyle name="Normal 2 2 20 15" xfId="3116"/>
    <cellStyle name="Normal 2 2 20 16" xfId="3117"/>
    <cellStyle name="Normal 2 2 20 17" xfId="3118"/>
    <cellStyle name="Normal 2 2 20 2" xfId="3119"/>
    <cellStyle name="Normal 2 2 20 3" xfId="3120"/>
    <cellStyle name="Normal 2 2 20 4" xfId="3121"/>
    <cellStyle name="Normal 2 2 20 5" xfId="3122"/>
    <cellStyle name="Normal 2 2 20 6" xfId="3123"/>
    <cellStyle name="Normal 2 2 20 7" xfId="3124"/>
    <cellStyle name="Normal 2 2 20 8" xfId="3125"/>
    <cellStyle name="Normal 2 2 20 9" xfId="3126"/>
    <cellStyle name="Normal 2 2 21" xfId="3127"/>
    <cellStyle name="Normal 2 2 21 10" xfId="3128"/>
    <cellStyle name="Normal 2 2 21 11" xfId="3129"/>
    <cellStyle name="Normal 2 2 21 12" xfId="3130"/>
    <cellStyle name="Normal 2 2 21 13" xfId="3131"/>
    <cellStyle name="Normal 2 2 21 14" xfId="3132"/>
    <cellStyle name="Normal 2 2 21 15" xfId="3133"/>
    <cellStyle name="Normal 2 2 21 16" xfId="3134"/>
    <cellStyle name="Normal 2 2 21 17" xfId="3135"/>
    <cellStyle name="Normal 2 2 21 2" xfId="3136"/>
    <cellStyle name="Normal 2 2 21 3" xfId="3137"/>
    <cellStyle name="Normal 2 2 21 4" xfId="3138"/>
    <cellStyle name="Normal 2 2 21 5" xfId="3139"/>
    <cellStyle name="Normal 2 2 21 6" xfId="3140"/>
    <cellStyle name="Normal 2 2 21 7" xfId="3141"/>
    <cellStyle name="Normal 2 2 21 8" xfId="3142"/>
    <cellStyle name="Normal 2 2 21 9" xfId="3143"/>
    <cellStyle name="Normal 2 2 22" xfId="3144"/>
    <cellStyle name="Normal 2 2 22 10" xfId="3145"/>
    <cellStyle name="Normal 2 2 22 11" xfId="3146"/>
    <cellStyle name="Normal 2 2 22 12" xfId="3147"/>
    <cellStyle name="Normal 2 2 22 13" xfId="3148"/>
    <cellStyle name="Normal 2 2 22 14" xfId="3149"/>
    <cellStyle name="Normal 2 2 22 15" xfId="3150"/>
    <cellStyle name="Normal 2 2 22 16" xfId="3151"/>
    <cellStyle name="Normal 2 2 22 17" xfId="3152"/>
    <cellStyle name="Normal 2 2 22 2" xfId="3153"/>
    <cellStyle name="Normal 2 2 22 3" xfId="3154"/>
    <cellStyle name="Normal 2 2 22 4" xfId="3155"/>
    <cellStyle name="Normal 2 2 22 5" xfId="3156"/>
    <cellStyle name="Normal 2 2 22 6" xfId="3157"/>
    <cellStyle name="Normal 2 2 22 7" xfId="3158"/>
    <cellStyle name="Normal 2 2 22 8" xfId="3159"/>
    <cellStyle name="Normal 2 2 22 9" xfId="3160"/>
    <cellStyle name="Normal 2 2 23" xfId="3161"/>
    <cellStyle name="Normal 2 2 23 10" xfId="3162"/>
    <cellStyle name="Normal 2 2 23 11" xfId="3163"/>
    <cellStyle name="Normal 2 2 23 12" xfId="3164"/>
    <cellStyle name="Normal 2 2 23 13" xfId="3165"/>
    <cellStyle name="Normal 2 2 23 14" xfId="3166"/>
    <cellStyle name="Normal 2 2 23 15" xfId="3167"/>
    <cellStyle name="Normal 2 2 23 16" xfId="3168"/>
    <cellStyle name="Normal 2 2 23 17" xfId="3169"/>
    <cellStyle name="Normal 2 2 23 2" xfId="3170"/>
    <cellStyle name="Normal 2 2 23 3" xfId="3171"/>
    <cellStyle name="Normal 2 2 23 4" xfId="3172"/>
    <cellStyle name="Normal 2 2 23 5" xfId="3173"/>
    <cellStyle name="Normal 2 2 23 6" xfId="3174"/>
    <cellStyle name="Normal 2 2 23 7" xfId="3175"/>
    <cellStyle name="Normal 2 2 23 8" xfId="3176"/>
    <cellStyle name="Normal 2 2 23 9" xfId="3177"/>
    <cellStyle name="Normal 2 2 24" xfId="3178"/>
    <cellStyle name="Normal 2 2 24 10" xfId="3179"/>
    <cellStyle name="Normal 2 2 24 11" xfId="3180"/>
    <cellStyle name="Normal 2 2 24 12" xfId="3181"/>
    <cellStyle name="Normal 2 2 24 13" xfId="3182"/>
    <cellStyle name="Normal 2 2 24 14" xfId="3183"/>
    <cellStyle name="Normal 2 2 24 15" xfId="3184"/>
    <cellStyle name="Normal 2 2 24 16" xfId="3185"/>
    <cellStyle name="Normal 2 2 24 17" xfId="3186"/>
    <cellStyle name="Normal 2 2 24 2" xfId="3187"/>
    <cellStyle name="Normal 2 2 24 3" xfId="3188"/>
    <cellStyle name="Normal 2 2 24 4" xfId="3189"/>
    <cellStyle name="Normal 2 2 24 5" xfId="3190"/>
    <cellStyle name="Normal 2 2 24 6" xfId="3191"/>
    <cellStyle name="Normal 2 2 24 7" xfId="3192"/>
    <cellStyle name="Normal 2 2 24 8" xfId="3193"/>
    <cellStyle name="Normal 2 2 24 9" xfId="3194"/>
    <cellStyle name="Normal 2 2 25" xfId="3195"/>
    <cellStyle name="Normal 2 2 25 10" xfId="3196"/>
    <cellStyle name="Normal 2 2 25 11" xfId="3197"/>
    <cellStyle name="Normal 2 2 25 12" xfId="3198"/>
    <cellStyle name="Normal 2 2 25 13" xfId="3199"/>
    <cellStyle name="Normal 2 2 25 14" xfId="3200"/>
    <cellStyle name="Normal 2 2 25 15" xfId="3201"/>
    <cellStyle name="Normal 2 2 25 16" xfId="3202"/>
    <cellStyle name="Normal 2 2 25 17" xfId="3203"/>
    <cellStyle name="Normal 2 2 25 2" xfId="3204"/>
    <cellStyle name="Normal 2 2 25 3" xfId="3205"/>
    <cellStyle name="Normal 2 2 25 4" xfId="3206"/>
    <cellStyle name="Normal 2 2 25 5" xfId="3207"/>
    <cellStyle name="Normal 2 2 25 6" xfId="3208"/>
    <cellStyle name="Normal 2 2 25 7" xfId="3209"/>
    <cellStyle name="Normal 2 2 25 8" xfId="3210"/>
    <cellStyle name="Normal 2 2 25 9" xfId="3211"/>
    <cellStyle name="Normal 2 2 26" xfId="3212"/>
    <cellStyle name="Normal 2 2 26 10" xfId="3213"/>
    <cellStyle name="Normal 2 2 26 11" xfId="3214"/>
    <cellStyle name="Normal 2 2 26 12" xfId="3215"/>
    <cellStyle name="Normal 2 2 26 13" xfId="3216"/>
    <cellStyle name="Normal 2 2 26 14" xfId="3217"/>
    <cellStyle name="Normal 2 2 26 15" xfId="3218"/>
    <cellStyle name="Normal 2 2 26 16" xfId="3219"/>
    <cellStyle name="Normal 2 2 26 17" xfId="3220"/>
    <cellStyle name="Normal 2 2 26 2" xfId="3221"/>
    <cellStyle name="Normal 2 2 26 3" xfId="3222"/>
    <cellStyle name="Normal 2 2 26 4" xfId="3223"/>
    <cellStyle name="Normal 2 2 26 5" xfId="3224"/>
    <cellStyle name="Normal 2 2 26 6" xfId="3225"/>
    <cellStyle name="Normal 2 2 26 7" xfId="3226"/>
    <cellStyle name="Normal 2 2 26 8" xfId="3227"/>
    <cellStyle name="Normal 2 2 26 9" xfId="3228"/>
    <cellStyle name="Normal 2 2 27" xfId="3229"/>
    <cellStyle name="Normal 2 2 27 10" xfId="3230"/>
    <cellStyle name="Normal 2 2 27 11" xfId="3231"/>
    <cellStyle name="Normal 2 2 27 12" xfId="3232"/>
    <cellStyle name="Normal 2 2 27 13" xfId="3233"/>
    <cellStyle name="Normal 2 2 27 14" xfId="3234"/>
    <cellStyle name="Normal 2 2 27 15" xfId="3235"/>
    <cellStyle name="Normal 2 2 27 16" xfId="3236"/>
    <cellStyle name="Normal 2 2 27 17" xfId="3237"/>
    <cellStyle name="Normal 2 2 27 2" xfId="3238"/>
    <cellStyle name="Normal 2 2 27 3" xfId="3239"/>
    <cellStyle name="Normal 2 2 27 4" xfId="3240"/>
    <cellStyle name="Normal 2 2 27 5" xfId="3241"/>
    <cellStyle name="Normal 2 2 27 6" xfId="3242"/>
    <cellStyle name="Normal 2 2 27 7" xfId="3243"/>
    <cellStyle name="Normal 2 2 27 8" xfId="3244"/>
    <cellStyle name="Normal 2 2 27 9" xfId="3245"/>
    <cellStyle name="Normal 2 2 28" xfId="3246"/>
    <cellStyle name="Normal 2 2 28 10" xfId="3247"/>
    <cellStyle name="Normal 2 2 28 11" xfId="3248"/>
    <cellStyle name="Normal 2 2 28 12" xfId="3249"/>
    <cellStyle name="Normal 2 2 28 13" xfId="3250"/>
    <cellStyle name="Normal 2 2 28 14" xfId="3251"/>
    <cellStyle name="Normal 2 2 28 15" xfId="3252"/>
    <cellStyle name="Normal 2 2 28 16" xfId="3253"/>
    <cellStyle name="Normal 2 2 28 17" xfId="3254"/>
    <cellStyle name="Normal 2 2 28 2" xfId="3255"/>
    <cellStyle name="Normal 2 2 28 3" xfId="3256"/>
    <cellStyle name="Normal 2 2 28 4" xfId="3257"/>
    <cellStyle name="Normal 2 2 28 5" xfId="3258"/>
    <cellStyle name="Normal 2 2 28 6" xfId="3259"/>
    <cellStyle name="Normal 2 2 28 7" xfId="3260"/>
    <cellStyle name="Normal 2 2 28 8" xfId="3261"/>
    <cellStyle name="Normal 2 2 28 9" xfId="3262"/>
    <cellStyle name="Normal 2 2 29" xfId="3263"/>
    <cellStyle name="Normal 2 2 29 10" xfId="3264"/>
    <cellStyle name="Normal 2 2 29 11" xfId="3265"/>
    <cellStyle name="Normal 2 2 29 12" xfId="3266"/>
    <cellStyle name="Normal 2 2 29 13" xfId="3267"/>
    <cellStyle name="Normal 2 2 29 14" xfId="3268"/>
    <cellStyle name="Normal 2 2 29 15" xfId="3269"/>
    <cellStyle name="Normal 2 2 29 16" xfId="3270"/>
    <cellStyle name="Normal 2 2 29 17" xfId="3271"/>
    <cellStyle name="Normal 2 2 29 2" xfId="3272"/>
    <cellStyle name="Normal 2 2 29 3" xfId="3273"/>
    <cellStyle name="Normal 2 2 29 4" xfId="3274"/>
    <cellStyle name="Normal 2 2 29 5" xfId="3275"/>
    <cellStyle name="Normal 2 2 29 6" xfId="3276"/>
    <cellStyle name="Normal 2 2 29 7" xfId="3277"/>
    <cellStyle name="Normal 2 2 29 8" xfId="3278"/>
    <cellStyle name="Normal 2 2 29 9" xfId="3279"/>
    <cellStyle name="Normal 2 2 3" xfId="72"/>
    <cellStyle name="Normal 2 2 3 10" xfId="3280"/>
    <cellStyle name="Normal 2 2 3 11" xfId="3281"/>
    <cellStyle name="Normal 2 2 3 12" xfId="3282"/>
    <cellStyle name="Normal 2 2 3 13" xfId="3283"/>
    <cellStyle name="Normal 2 2 3 14" xfId="3284"/>
    <cellStyle name="Normal 2 2 3 15" xfId="3285"/>
    <cellStyle name="Normal 2 2 3 16" xfId="3286"/>
    <cellStyle name="Normal 2 2 3 17" xfId="3287"/>
    <cellStyle name="Normal 2 2 3 18" xfId="3288"/>
    <cellStyle name="Normal 2 2 3 19" xfId="3289"/>
    <cellStyle name="Normal 2 2 3 2" xfId="3290"/>
    <cellStyle name="Normal 2 2 3 2 10" xfId="3291"/>
    <cellStyle name="Normal 2 2 3 2 11" xfId="3292"/>
    <cellStyle name="Normal 2 2 3 2 12" xfId="3293"/>
    <cellStyle name="Normal 2 2 3 2 13" xfId="3294"/>
    <cellStyle name="Normal 2 2 3 2 14" xfId="3295"/>
    <cellStyle name="Normal 2 2 3 2 15" xfId="3296"/>
    <cellStyle name="Normal 2 2 3 2 16" xfId="3297"/>
    <cellStyle name="Normal 2 2 3 2 17" xfId="3298"/>
    <cellStyle name="Normal 2 2 3 2 18" xfId="3299"/>
    <cellStyle name="Normal 2 2 3 2 19" xfId="3300"/>
    <cellStyle name="Normal 2 2 3 2 2" xfId="3301"/>
    <cellStyle name="Normal 2 2 3 2 20" xfId="3302"/>
    <cellStyle name="Normal 2 2 3 2 21" xfId="3303"/>
    <cellStyle name="Normal 2 2 3 2 22" xfId="3304"/>
    <cellStyle name="Normal 2 2 3 2 23" xfId="3305"/>
    <cellStyle name="Normal 2 2 3 2 24" xfId="3306"/>
    <cellStyle name="Normal 2 2 3 2 25" xfId="3307"/>
    <cellStyle name="Normal 2 2 3 2 26" xfId="3308"/>
    <cellStyle name="Normal 2 2 3 2 27" xfId="3309"/>
    <cellStyle name="Normal 2 2 3 2 28" xfId="3310"/>
    <cellStyle name="Normal 2 2 3 2 29" xfId="3311"/>
    <cellStyle name="Normal 2 2 3 2 3" xfId="3312"/>
    <cellStyle name="Normal 2 2 3 2 30" xfId="3313"/>
    <cellStyle name="Normal 2 2 3 2 31" xfId="3314"/>
    <cellStyle name="Normal 2 2 3 2 32" xfId="3315"/>
    <cellStyle name="Normal 2 2 3 2 33" xfId="3316"/>
    <cellStyle name="Normal 2 2 3 2 34" xfId="3317"/>
    <cellStyle name="Normal 2 2 3 2 35" xfId="3318"/>
    <cellStyle name="Normal 2 2 3 2 36" xfId="3319"/>
    <cellStyle name="Normal 2 2 3 2 37" xfId="3320"/>
    <cellStyle name="Normal 2 2 3 2 38" xfId="3321"/>
    <cellStyle name="Normal 2 2 3 2 39" xfId="3322"/>
    <cellStyle name="Normal 2 2 3 2 4" xfId="3323"/>
    <cellStyle name="Normal 2 2 3 2 40" xfId="3324"/>
    <cellStyle name="Normal 2 2 3 2 41" xfId="3325"/>
    <cellStyle name="Normal 2 2 3 2 42" xfId="3326"/>
    <cellStyle name="Normal 2 2 3 2 43" xfId="3327"/>
    <cellStyle name="Normal 2 2 3 2 44" xfId="3328"/>
    <cellStyle name="Normal 2 2 3 2 45" xfId="3329"/>
    <cellStyle name="Normal 2 2 3 2 46" xfId="3330"/>
    <cellStyle name="Normal 2 2 3 2 47" xfId="3331"/>
    <cellStyle name="Normal 2 2 3 2 48" xfId="3332"/>
    <cellStyle name="Normal 2 2 3 2 5" xfId="3333"/>
    <cellStyle name="Normal 2 2 3 2 6" xfId="3334"/>
    <cellStyle name="Normal 2 2 3 2 6 10" xfId="3335"/>
    <cellStyle name="Normal 2 2 3 2 6 11" xfId="3336"/>
    <cellStyle name="Normal 2 2 3 2 6 12" xfId="3337"/>
    <cellStyle name="Normal 2 2 3 2 6 13" xfId="3338"/>
    <cellStyle name="Normal 2 2 3 2 6 2" xfId="3339"/>
    <cellStyle name="Normal 2 2 3 2 6 3" xfId="3340"/>
    <cellStyle name="Normal 2 2 3 2 6 4" xfId="3341"/>
    <cellStyle name="Normal 2 2 3 2 6 5" xfId="3342"/>
    <cellStyle name="Normal 2 2 3 2 6 6" xfId="3343"/>
    <cellStyle name="Normal 2 2 3 2 6 7" xfId="3344"/>
    <cellStyle name="Normal 2 2 3 2 6 8" xfId="3345"/>
    <cellStyle name="Normal 2 2 3 2 6 9" xfId="3346"/>
    <cellStyle name="Normal 2 2 3 2 7" xfId="3347"/>
    <cellStyle name="Normal 2 2 3 2 8" xfId="3348"/>
    <cellStyle name="Normal 2 2 3 2 9" xfId="3349"/>
    <cellStyle name="Normal 2 2 3 20" xfId="3350"/>
    <cellStyle name="Normal 2 2 3 21" xfId="3351"/>
    <cellStyle name="Normal 2 2 3 22" xfId="3352"/>
    <cellStyle name="Normal 2 2 3 23" xfId="3353"/>
    <cellStyle name="Normal 2 2 3 24" xfId="3354"/>
    <cellStyle name="Normal 2 2 3 25" xfId="3355"/>
    <cellStyle name="Normal 2 2 3 26" xfId="3356"/>
    <cellStyle name="Normal 2 2 3 27" xfId="3357"/>
    <cellStyle name="Normal 2 2 3 28" xfId="3358"/>
    <cellStyle name="Normal 2 2 3 29" xfId="3359"/>
    <cellStyle name="Normal 2 2 3 3" xfId="3360"/>
    <cellStyle name="Normal 2 2 3 3 10" xfId="3361"/>
    <cellStyle name="Normal 2 2 3 3 11" xfId="3362"/>
    <cellStyle name="Normal 2 2 3 3 12" xfId="3363"/>
    <cellStyle name="Normal 2 2 3 3 13" xfId="3364"/>
    <cellStyle name="Normal 2 2 3 3 14" xfId="3365"/>
    <cellStyle name="Normal 2 2 3 3 15" xfId="3366"/>
    <cellStyle name="Normal 2 2 3 3 16" xfId="3367"/>
    <cellStyle name="Normal 2 2 3 3 17" xfId="3368"/>
    <cellStyle name="Normal 2 2 3 3 2" xfId="3369"/>
    <cellStyle name="Normal 2 2 3 3 3" xfId="3370"/>
    <cellStyle name="Normal 2 2 3 3 4" xfId="3371"/>
    <cellStyle name="Normal 2 2 3 3 5" xfId="3372"/>
    <cellStyle name="Normal 2 2 3 3 6" xfId="3373"/>
    <cellStyle name="Normal 2 2 3 3 7" xfId="3374"/>
    <cellStyle name="Normal 2 2 3 3 8" xfId="3375"/>
    <cellStyle name="Normal 2 2 3 3 9" xfId="3376"/>
    <cellStyle name="Normal 2 2 3 30" xfId="3377"/>
    <cellStyle name="Normal 2 2 3 31" xfId="3378"/>
    <cellStyle name="Normal 2 2 3 32" xfId="3379"/>
    <cellStyle name="Normal 2 2 3 33" xfId="3380"/>
    <cellStyle name="Normal 2 2 3 34" xfId="3381"/>
    <cellStyle name="Normal 2 2 3 35" xfId="3382"/>
    <cellStyle name="Normal 2 2 3 36" xfId="3383"/>
    <cellStyle name="Normal 2 2 3 37" xfId="3384"/>
    <cellStyle name="Normal 2 2 3 38" xfId="3385"/>
    <cellStyle name="Normal 2 2 3 39" xfId="3386"/>
    <cellStyle name="Normal 2 2 3 4" xfId="3387"/>
    <cellStyle name="Normal 2 2 3 4 10" xfId="3388"/>
    <cellStyle name="Normal 2 2 3 4 11" xfId="3389"/>
    <cellStyle name="Normal 2 2 3 4 12" xfId="3390"/>
    <cellStyle name="Normal 2 2 3 4 13" xfId="3391"/>
    <cellStyle name="Normal 2 2 3 4 14" xfId="3392"/>
    <cellStyle name="Normal 2 2 3 4 15" xfId="3393"/>
    <cellStyle name="Normal 2 2 3 4 16" xfId="3394"/>
    <cellStyle name="Normal 2 2 3 4 17" xfId="3395"/>
    <cellStyle name="Normal 2 2 3 4 2" xfId="3396"/>
    <cellStyle name="Normal 2 2 3 4 3" xfId="3397"/>
    <cellStyle name="Normal 2 2 3 4 4" xfId="3398"/>
    <cellStyle name="Normal 2 2 3 4 5" xfId="3399"/>
    <cellStyle name="Normal 2 2 3 4 6" xfId="3400"/>
    <cellStyle name="Normal 2 2 3 4 7" xfId="3401"/>
    <cellStyle name="Normal 2 2 3 4 8" xfId="3402"/>
    <cellStyle name="Normal 2 2 3 4 9" xfId="3403"/>
    <cellStyle name="Normal 2 2 3 40" xfId="3404"/>
    <cellStyle name="Normal 2 2 3 41" xfId="3405"/>
    <cellStyle name="Normal 2 2 3 42" xfId="3406"/>
    <cellStyle name="Normal 2 2 3 43" xfId="3407"/>
    <cellStyle name="Normal 2 2 3 44" xfId="3408"/>
    <cellStyle name="Normal 2 2 3 45" xfId="3409"/>
    <cellStyle name="Normal 2 2 3 46" xfId="3410"/>
    <cellStyle name="Normal 2 2 3 47" xfId="3411"/>
    <cellStyle name="Normal 2 2 3 48" xfId="3412"/>
    <cellStyle name="Normal 2 2 3 49" xfId="3413"/>
    <cellStyle name="Normal 2 2 3 5" xfId="3414"/>
    <cellStyle name="Normal 2 2 3 5 10" xfId="3415"/>
    <cellStyle name="Normal 2 2 3 5 11" xfId="3416"/>
    <cellStyle name="Normal 2 2 3 5 12" xfId="3417"/>
    <cellStyle name="Normal 2 2 3 5 13" xfId="3418"/>
    <cellStyle name="Normal 2 2 3 5 14" xfId="3419"/>
    <cellStyle name="Normal 2 2 3 5 15" xfId="3420"/>
    <cellStyle name="Normal 2 2 3 5 16" xfId="3421"/>
    <cellStyle name="Normal 2 2 3 5 17" xfId="3422"/>
    <cellStyle name="Normal 2 2 3 5 2" xfId="3423"/>
    <cellStyle name="Normal 2 2 3 5 3" xfId="3424"/>
    <cellStyle name="Normal 2 2 3 5 4" xfId="3425"/>
    <cellStyle name="Normal 2 2 3 5 5" xfId="3426"/>
    <cellStyle name="Normal 2 2 3 5 6" xfId="3427"/>
    <cellStyle name="Normal 2 2 3 5 7" xfId="3428"/>
    <cellStyle name="Normal 2 2 3 5 8" xfId="3429"/>
    <cellStyle name="Normal 2 2 3 5 9" xfId="3430"/>
    <cellStyle name="Normal 2 2 3 50" xfId="3431"/>
    <cellStyle name="Normal 2 2 3 51" xfId="3432"/>
    <cellStyle name="Normal 2 2 3 52" xfId="3433"/>
    <cellStyle name="Normal 2 2 3 53" xfId="3434"/>
    <cellStyle name="Normal 2 2 3 54" xfId="3435"/>
    <cellStyle name="Normal 2 2 3 55" xfId="3436"/>
    <cellStyle name="Normal 2 2 3 56" xfId="3437"/>
    <cellStyle name="Normal 2 2 3 57" xfId="3438"/>
    <cellStyle name="Normal 2 2 3 58" xfId="3439"/>
    <cellStyle name="Normal 2 2 3 59" xfId="3440"/>
    <cellStyle name="Normal 2 2 3 6" xfId="3441"/>
    <cellStyle name="Normal 2 2 3 6 10" xfId="3442"/>
    <cellStyle name="Normal 2 2 3 6 11" xfId="3443"/>
    <cellStyle name="Normal 2 2 3 6 12" xfId="3444"/>
    <cellStyle name="Normal 2 2 3 6 13" xfId="3445"/>
    <cellStyle name="Normal 2 2 3 6 14" xfId="3446"/>
    <cellStyle name="Normal 2 2 3 6 15" xfId="3447"/>
    <cellStyle name="Normal 2 2 3 6 16" xfId="3448"/>
    <cellStyle name="Normal 2 2 3 6 17" xfId="3449"/>
    <cellStyle name="Normal 2 2 3 6 2" xfId="3450"/>
    <cellStyle name="Normal 2 2 3 6 3" xfId="3451"/>
    <cellStyle name="Normal 2 2 3 6 4" xfId="3452"/>
    <cellStyle name="Normal 2 2 3 6 5" xfId="3453"/>
    <cellStyle name="Normal 2 2 3 6 6" xfId="3454"/>
    <cellStyle name="Normal 2 2 3 6 7" xfId="3455"/>
    <cellStyle name="Normal 2 2 3 6 8" xfId="3456"/>
    <cellStyle name="Normal 2 2 3 6 9" xfId="3457"/>
    <cellStyle name="Normal 2 2 3 60" xfId="3458"/>
    <cellStyle name="Normal 2 2 3 61" xfId="3459"/>
    <cellStyle name="Normal 2 2 3 62" xfId="3460"/>
    <cellStyle name="Normal 2 2 3 63" xfId="3461"/>
    <cellStyle name="Normal 2 2 3 64" xfId="3462"/>
    <cellStyle name="Normal 2 2 3 65" xfId="3463"/>
    <cellStyle name="Normal 2 2 3 66" xfId="3464"/>
    <cellStyle name="Normal 2 2 3 67" xfId="3465"/>
    <cellStyle name="Normal 2 2 3 68" xfId="3466"/>
    <cellStyle name="Normal 2 2 3 69" xfId="3467"/>
    <cellStyle name="Normal 2 2 3 7" xfId="3468"/>
    <cellStyle name="Normal 2 2 3 7 10" xfId="3469"/>
    <cellStyle name="Normal 2 2 3 7 11" xfId="3470"/>
    <cellStyle name="Normal 2 2 3 7 12" xfId="3471"/>
    <cellStyle name="Normal 2 2 3 7 13" xfId="3472"/>
    <cellStyle name="Normal 2 2 3 7 14" xfId="3473"/>
    <cellStyle name="Normal 2 2 3 7 15" xfId="3474"/>
    <cellStyle name="Normal 2 2 3 7 16" xfId="3475"/>
    <cellStyle name="Normal 2 2 3 7 17" xfId="3476"/>
    <cellStyle name="Normal 2 2 3 7 2" xfId="3477"/>
    <cellStyle name="Normal 2 2 3 7 3" xfId="3478"/>
    <cellStyle name="Normal 2 2 3 7 4" xfId="3479"/>
    <cellStyle name="Normal 2 2 3 7 5" xfId="3480"/>
    <cellStyle name="Normal 2 2 3 7 6" xfId="3481"/>
    <cellStyle name="Normal 2 2 3 7 7" xfId="3482"/>
    <cellStyle name="Normal 2 2 3 7 8" xfId="3483"/>
    <cellStyle name="Normal 2 2 3 7 9" xfId="3484"/>
    <cellStyle name="Normal 2 2 3 70" xfId="3485"/>
    <cellStyle name="Normal 2 2 3 71" xfId="3486"/>
    <cellStyle name="Normal 2 2 3 72" xfId="3487"/>
    <cellStyle name="Normal 2 2 3 73" xfId="3488"/>
    <cellStyle name="Normal 2 2 3 74" xfId="3489"/>
    <cellStyle name="Normal 2 2 3 75" xfId="3490"/>
    <cellStyle name="Normal 2 2 3 76" xfId="3491"/>
    <cellStyle name="Normal 2 2 3 77" xfId="3492"/>
    <cellStyle name="Normal 2 2 3 8" xfId="3493"/>
    <cellStyle name="Normal 2 2 3 8 10" xfId="3494"/>
    <cellStyle name="Normal 2 2 3 8 11" xfId="3495"/>
    <cellStyle name="Normal 2 2 3 8 12" xfId="3496"/>
    <cellStyle name="Normal 2 2 3 8 13" xfId="3497"/>
    <cellStyle name="Normal 2 2 3 8 14" xfId="3498"/>
    <cellStyle name="Normal 2 2 3 8 15" xfId="3499"/>
    <cellStyle name="Normal 2 2 3 8 16" xfId="3500"/>
    <cellStyle name="Normal 2 2 3 8 17" xfId="3501"/>
    <cellStyle name="Normal 2 2 3 8 2" xfId="3502"/>
    <cellStyle name="Normal 2 2 3 8 3" xfId="3503"/>
    <cellStyle name="Normal 2 2 3 8 4" xfId="3504"/>
    <cellStyle name="Normal 2 2 3 8 5" xfId="3505"/>
    <cellStyle name="Normal 2 2 3 8 6" xfId="3506"/>
    <cellStyle name="Normal 2 2 3 8 7" xfId="3507"/>
    <cellStyle name="Normal 2 2 3 8 8" xfId="3508"/>
    <cellStyle name="Normal 2 2 3 8 9" xfId="3509"/>
    <cellStyle name="Normal 2 2 3 9" xfId="3510"/>
    <cellStyle name="Normal 2 2 30" xfId="3511"/>
    <cellStyle name="Normal 2 2 30 10" xfId="3512"/>
    <cellStyle name="Normal 2 2 30 11" xfId="3513"/>
    <cellStyle name="Normal 2 2 30 12" xfId="3514"/>
    <cellStyle name="Normal 2 2 30 13" xfId="3515"/>
    <cellStyle name="Normal 2 2 30 14" xfId="3516"/>
    <cellStyle name="Normal 2 2 30 15" xfId="3517"/>
    <cellStyle name="Normal 2 2 30 16" xfId="3518"/>
    <cellStyle name="Normal 2 2 30 17" xfId="3519"/>
    <cellStyle name="Normal 2 2 30 2" xfId="3520"/>
    <cellStyle name="Normal 2 2 30 3" xfId="3521"/>
    <cellStyle name="Normal 2 2 30 4" xfId="3522"/>
    <cellStyle name="Normal 2 2 30 5" xfId="3523"/>
    <cellStyle name="Normal 2 2 30 6" xfId="3524"/>
    <cellStyle name="Normal 2 2 30 7" xfId="3525"/>
    <cellStyle name="Normal 2 2 30 8" xfId="3526"/>
    <cellStyle name="Normal 2 2 30 9" xfId="3527"/>
    <cellStyle name="Normal 2 2 31" xfId="3528"/>
    <cellStyle name="Normal 2 2 31 10" xfId="3529"/>
    <cellStyle name="Normal 2 2 31 11" xfId="3530"/>
    <cellStyle name="Normal 2 2 31 12" xfId="3531"/>
    <cellStyle name="Normal 2 2 31 13" xfId="3532"/>
    <cellStyle name="Normal 2 2 31 14" xfId="3533"/>
    <cellStyle name="Normal 2 2 31 15" xfId="3534"/>
    <cellStyle name="Normal 2 2 31 16" xfId="3535"/>
    <cellStyle name="Normal 2 2 31 17" xfId="3536"/>
    <cellStyle name="Normal 2 2 31 2" xfId="3537"/>
    <cellStyle name="Normal 2 2 31 3" xfId="3538"/>
    <cellStyle name="Normal 2 2 31 4" xfId="3539"/>
    <cellStyle name="Normal 2 2 31 5" xfId="3540"/>
    <cellStyle name="Normal 2 2 31 6" xfId="3541"/>
    <cellStyle name="Normal 2 2 31 7" xfId="3542"/>
    <cellStyle name="Normal 2 2 31 8" xfId="3543"/>
    <cellStyle name="Normal 2 2 31 9" xfId="3544"/>
    <cellStyle name="Normal 2 2 32" xfId="3545"/>
    <cellStyle name="Normal 2 2 32 10" xfId="3546"/>
    <cellStyle name="Normal 2 2 32 11" xfId="3547"/>
    <cellStyle name="Normal 2 2 32 12" xfId="3548"/>
    <cellStyle name="Normal 2 2 32 13" xfId="3549"/>
    <cellStyle name="Normal 2 2 32 14" xfId="3550"/>
    <cellStyle name="Normal 2 2 32 15" xfId="3551"/>
    <cellStyle name="Normal 2 2 32 16" xfId="3552"/>
    <cellStyle name="Normal 2 2 32 17" xfId="3553"/>
    <cellStyle name="Normal 2 2 32 2" xfId="3554"/>
    <cellStyle name="Normal 2 2 32 3" xfId="3555"/>
    <cellStyle name="Normal 2 2 32 4" xfId="3556"/>
    <cellStyle name="Normal 2 2 32 5" xfId="3557"/>
    <cellStyle name="Normal 2 2 32 6" xfId="3558"/>
    <cellStyle name="Normal 2 2 32 7" xfId="3559"/>
    <cellStyle name="Normal 2 2 32 8" xfId="3560"/>
    <cellStyle name="Normal 2 2 32 9" xfId="3561"/>
    <cellStyle name="Normal 2 2 33" xfId="3562"/>
    <cellStyle name="Normal 2 2 33 10" xfId="3563"/>
    <cellStyle name="Normal 2 2 33 11" xfId="3564"/>
    <cellStyle name="Normal 2 2 33 12" xfId="3565"/>
    <cellStyle name="Normal 2 2 33 13" xfId="3566"/>
    <cellStyle name="Normal 2 2 33 14" xfId="3567"/>
    <cellStyle name="Normal 2 2 33 15" xfId="3568"/>
    <cellStyle name="Normal 2 2 33 16" xfId="3569"/>
    <cellStyle name="Normal 2 2 33 17" xfId="3570"/>
    <cellStyle name="Normal 2 2 33 2" xfId="3571"/>
    <cellStyle name="Normal 2 2 33 3" xfId="3572"/>
    <cellStyle name="Normal 2 2 33 4" xfId="3573"/>
    <cellStyle name="Normal 2 2 33 5" xfId="3574"/>
    <cellStyle name="Normal 2 2 33 6" xfId="3575"/>
    <cellStyle name="Normal 2 2 33 7" xfId="3576"/>
    <cellStyle name="Normal 2 2 33 8" xfId="3577"/>
    <cellStyle name="Normal 2 2 33 9" xfId="3578"/>
    <cellStyle name="Normal 2 2 34" xfId="3579"/>
    <cellStyle name="Normal 2 2 35" xfId="3580"/>
    <cellStyle name="Normal 2 2 35 10" xfId="3581"/>
    <cellStyle name="Normal 2 2 35 11" xfId="3582"/>
    <cellStyle name="Normal 2 2 35 12" xfId="3583"/>
    <cellStyle name="Normal 2 2 35 13" xfId="3584"/>
    <cellStyle name="Normal 2 2 35 2" xfId="3585"/>
    <cellStyle name="Normal 2 2 35 3" xfId="3586"/>
    <cellStyle name="Normal 2 2 35 4" xfId="3587"/>
    <cellStyle name="Normal 2 2 35 5" xfId="3588"/>
    <cellStyle name="Normal 2 2 35 6" xfId="3589"/>
    <cellStyle name="Normal 2 2 35 7" xfId="3590"/>
    <cellStyle name="Normal 2 2 35 8" xfId="3591"/>
    <cellStyle name="Normal 2 2 35 9" xfId="3592"/>
    <cellStyle name="Normal 2 2 36" xfId="3593"/>
    <cellStyle name="Normal 2 2 36 10" xfId="3594"/>
    <cellStyle name="Normal 2 2 36 11" xfId="3595"/>
    <cellStyle name="Normal 2 2 36 12" xfId="3596"/>
    <cellStyle name="Normal 2 2 36 13" xfId="3597"/>
    <cellStyle name="Normal 2 2 36 2" xfId="3598"/>
    <cellStyle name="Normal 2 2 36 3" xfId="3599"/>
    <cellStyle name="Normal 2 2 36 4" xfId="3600"/>
    <cellStyle name="Normal 2 2 36 5" xfId="3601"/>
    <cellStyle name="Normal 2 2 36 6" xfId="3602"/>
    <cellStyle name="Normal 2 2 36 7" xfId="3603"/>
    <cellStyle name="Normal 2 2 36 8" xfId="3604"/>
    <cellStyle name="Normal 2 2 36 9" xfId="3605"/>
    <cellStyle name="Normal 2 2 37" xfId="3606"/>
    <cellStyle name="Normal 2 2 37 10" xfId="3607"/>
    <cellStyle name="Normal 2 2 37 11" xfId="3608"/>
    <cellStyle name="Normal 2 2 37 12" xfId="3609"/>
    <cellStyle name="Normal 2 2 37 13" xfId="3610"/>
    <cellStyle name="Normal 2 2 37 2" xfId="3611"/>
    <cellStyle name="Normal 2 2 37 3" xfId="3612"/>
    <cellStyle name="Normal 2 2 37 4" xfId="3613"/>
    <cellStyle name="Normal 2 2 37 5" xfId="3614"/>
    <cellStyle name="Normal 2 2 37 6" xfId="3615"/>
    <cellStyle name="Normal 2 2 37 7" xfId="3616"/>
    <cellStyle name="Normal 2 2 37 8" xfId="3617"/>
    <cellStyle name="Normal 2 2 37 9" xfId="3618"/>
    <cellStyle name="Normal 2 2 38" xfId="3619"/>
    <cellStyle name="Normal 2 2 38 10" xfId="3620"/>
    <cellStyle name="Normal 2 2 38 11" xfId="3621"/>
    <cellStyle name="Normal 2 2 38 12" xfId="3622"/>
    <cellStyle name="Normal 2 2 38 13" xfId="3623"/>
    <cellStyle name="Normal 2 2 38 2" xfId="3624"/>
    <cellStyle name="Normal 2 2 38 3" xfId="3625"/>
    <cellStyle name="Normal 2 2 38 4" xfId="3626"/>
    <cellStyle name="Normal 2 2 38 5" xfId="3627"/>
    <cellStyle name="Normal 2 2 38 6" xfId="3628"/>
    <cellStyle name="Normal 2 2 38 7" xfId="3629"/>
    <cellStyle name="Normal 2 2 38 8" xfId="3630"/>
    <cellStyle name="Normal 2 2 38 9" xfId="3631"/>
    <cellStyle name="Normal 2 2 39" xfId="3632"/>
    <cellStyle name="Normal 2 2 39 10" xfId="3633"/>
    <cellStyle name="Normal 2 2 39 11" xfId="3634"/>
    <cellStyle name="Normal 2 2 39 12" xfId="3635"/>
    <cellStyle name="Normal 2 2 39 13" xfId="3636"/>
    <cellStyle name="Normal 2 2 39 2" xfId="3637"/>
    <cellStyle name="Normal 2 2 39 3" xfId="3638"/>
    <cellStyle name="Normal 2 2 39 4" xfId="3639"/>
    <cellStyle name="Normal 2 2 39 5" xfId="3640"/>
    <cellStyle name="Normal 2 2 39 6" xfId="3641"/>
    <cellStyle name="Normal 2 2 39 7" xfId="3642"/>
    <cellStyle name="Normal 2 2 39 8" xfId="3643"/>
    <cellStyle name="Normal 2 2 39 9" xfId="3644"/>
    <cellStyle name="Normal 2 2 4" xfId="73"/>
    <cellStyle name="Normal 2 2 4 10" xfId="3645"/>
    <cellStyle name="Normal 2 2 4 11" xfId="3646"/>
    <cellStyle name="Normal 2 2 4 12" xfId="3647"/>
    <cellStyle name="Normal 2 2 4 13" xfId="3648"/>
    <cellStyle name="Normal 2 2 4 14" xfId="3649"/>
    <cellStyle name="Normal 2 2 4 15" xfId="3650"/>
    <cellStyle name="Normal 2 2 4 16" xfId="3651"/>
    <cellStyle name="Normal 2 2 4 17" xfId="3652"/>
    <cellStyle name="Normal 2 2 4 18" xfId="3653"/>
    <cellStyle name="Normal 2 2 4 19" xfId="3654"/>
    <cellStyle name="Normal 2 2 4 2" xfId="3655"/>
    <cellStyle name="Normal 2 2 4 2 2" xfId="3656"/>
    <cellStyle name="Normal 2 2 4 2 3" xfId="3657"/>
    <cellStyle name="Normal 2 2 4 2 4" xfId="3658"/>
    <cellStyle name="Normal 2 2 4 2 5" xfId="3659"/>
    <cellStyle name="Normal 2 2 4 20" xfId="3660"/>
    <cellStyle name="Normal 2 2 4 3" xfId="3661"/>
    <cellStyle name="Normal 2 2 4 3 2" xfId="3662"/>
    <cellStyle name="Normal 2 2 4 3 3" xfId="3663"/>
    <cellStyle name="Normal 2 2 4 3 4" xfId="3664"/>
    <cellStyle name="Normal 2 2 4 3 5" xfId="3665"/>
    <cellStyle name="Normal 2 2 4 4" xfId="3666"/>
    <cellStyle name="Normal 2 2 4 4 2" xfId="3667"/>
    <cellStyle name="Normal 2 2 4 4 3" xfId="3668"/>
    <cellStyle name="Normal 2 2 4 4 4" xfId="3669"/>
    <cellStyle name="Normal 2 2 4 4 5" xfId="3670"/>
    <cellStyle name="Normal 2 2 4 5" xfId="3671"/>
    <cellStyle name="Normal 2 2 4 5 2" xfId="3672"/>
    <cellStyle name="Normal 2 2 4 5 3" xfId="3673"/>
    <cellStyle name="Normal 2 2 4 5 4" xfId="3674"/>
    <cellStyle name="Normal 2 2 4 5 5" xfId="3675"/>
    <cellStyle name="Normal 2 2 4 6" xfId="3676"/>
    <cellStyle name="Normal 2 2 4 6 2" xfId="3677"/>
    <cellStyle name="Normal 2 2 4 6 3" xfId="3678"/>
    <cellStyle name="Normal 2 2 4 6 4" xfId="3679"/>
    <cellStyle name="Normal 2 2 4 6 5" xfId="3680"/>
    <cellStyle name="Normal 2 2 4 7" xfId="3681"/>
    <cellStyle name="Normal 2 2 4 7 2" xfId="3682"/>
    <cellStyle name="Normal 2 2 4 7 3" xfId="3683"/>
    <cellStyle name="Normal 2 2 4 7 4" xfId="3684"/>
    <cellStyle name="Normal 2 2 4 7 5" xfId="3685"/>
    <cellStyle name="Normal 2 2 4 8" xfId="3686"/>
    <cellStyle name="Normal 2 2 4 8 2" xfId="3687"/>
    <cellStyle name="Normal 2 2 4 8 3" xfId="3688"/>
    <cellStyle name="Normal 2 2 4 8 4" xfId="3689"/>
    <cellStyle name="Normal 2 2 4 8 5" xfId="3690"/>
    <cellStyle name="Normal 2 2 4 9" xfId="3691"/>
    <cellStyle name="Normal 2 2 40" xfId="3692"/>
    <cellStyle name="Normal 2 2 40 10" xfId="3693"/>
    <cellStyle name="Normal 2 2 40 11" xfId="3694"/>
    <cellStyle name="Normal 2 2 40 12" xfId="3695"/>
    <cellStyle name="Normal 2 2 40 13" xfId="3696"/>
    <cellStyle name="Normal 2 2 40 2" xfId="3697"/>
    <cellStyle name="Normal 2 2 40 3" xfId="3698"/>
    <cellStyle name="Normal 2 2 40 4" xfId="3699"/>
    <cellStyle name="Normal 2 2 40 5" xfId="3700"/>
    <cellStyle name="Normal 2 2 40 6" xfId="3701"/>
    <cellStyle name="Normal 2 2 40 7" xfId="3702"/>
    <cellStyle name="Normal 2 2 40 8" xfId="3703"/>
    <cellStyle name="Normal 2 2 40 9" xfId="3704"/>
    <cellStyle name="Normal 2 2 41" xfId="3705"/>
    <cellStyle name="Normal 2 2 42" xfId="3706"/>
    <cellStyle name="Normal 2 2 43" xfId="3707"/>
    <cellStyle name="Normal 2 2 44" xfId="3708"/>
    <cellStyle name="Normal 2 2 45" xfId="3709"/>
    <cellStyle name="Normal 2 2 45 10" xfId="3710"/>
    <cellStyle name="Normal 2 2 45 11" xfId="3711"/>
    <cellStyle name="Normal 2 2 45 12" xfId="3712"/>
    <cellStyle name="Normal 2 2 45 13" xfId="3713"/>
    <cellStyle name="Normal 2 2 45 2" xfId="3714"/>
    <cellStyle name="Normal 2 2 45 3" xfId="3715"/>
    <cellStyle name="Normal 2 2 45 4" xfId="3716"/>
    <cellStyle name="Normal 2 2 45 5" xfId="3717"/>
    <cellStyle name="Normal 2 2 45 6" xfId="3718"/>
    <cellStyle name="Normal 2 2 45 7" xfId="3719"/>
    <cellStyle name="Normal 2 2 45 8" xfId="3720"/>
    <cellStyle name="Normal 2 2 45 9" xfId="3721"/>
    <cellStyle name="Normal 2 2 46" xfId="3722"/>
    <cellStyle name="Normal 2 2 47" xfId="3723"/>
    <cellStyle name="Normal 2 2 48" xfId="3724"/>
    <cellStyle name="Normal 2 2 49" xfId="3725"/>
    <cellStyle name="Normal 2 2 5" xfId="74"/>
    <cellStyle name="Normal 2 2 5 10" xfId="3726"/>
    <cellStyle name="Normal 2 2 5 11" xfId="3727"/>
    <cellStyle name="Normal 2 2 5 12" xfId="3728"/>
    <cellStyle name="Normal 2 2 5 13" xfId="3729"/>
    <cellStyle name="Normal 2 2 5 14" xfId="3730"/>
    <cellStyle name="Normal 2 2 5 15" xfId="3731"/>
    <cellStyle name="Normal 2 2 5 16" xfId="3732"/>
    <cellStyle name="Normal 2 2 5 17" xfId="3733"/>
    <cellStyle name="Normal 2 2 5 18" xfId="3734"/>
    <cellStyle name="Normal 2 2 5 19" xfId="3735"/>
    <cellStyle name="Normal 2 2 5 2" xfId="3736"/>
    <cellStyle name="Normal 2 2 5 2 2" xfId="3737"/>
    <cellStyle name="Normal 2 2 5 2 3" xfId="3738"/>
    <cellStyle name="Normal 2 2 5 2 4" xfId="3739"/>
    <cellStyle name="Normal 2 2 5 2 5" xfId="3740"/>
    <cellStyle name="Normal 2 2 5 20" xfId="3741"/>
    <cellStyle name="Normal 2 2 5 3" xfId="3742"/>
    <cellStyle name="Normal 2 2 5 3 2" xfId="3743"/>
    <cellStyle name="Normal 2 2 5 3 3" xfId="3744"/>
    <cellStyle name="Normal 2 2 5 3 4" xfId="3745"/>
    <cellStyle name="Normal 2 2 5 3 5" xfId="3746"/>
    <cellStyle name="Normal 2 2 5 4" xfId="3747"/>
    <cellStyle name="Normal 2 2 5 4 2" xfId="3748"/>
    <cellStyle name="Normal 2 2 5 4 3" xfId="3749"/>
    <cellStyle name="Normal 2 2 5 4 4" xfId="3750"/>
    <cellStyle name="Normal 2 2 5 4 5" xfId="3751"/>
    <cellStyle name="Normal 2 2 5 5" xfId="3752"/>
    <cellStyle name="Normal 2 2 5 5 2" xfId="3753"/>
    <cellStyle name="Normal 2 2 5 5 3" xfId="3754"/>
    <cellStyle name="Normal 2 2 5 5 4" xfId="3755"/>
    <cellStyle name="Normal 2 2 5 5 5" xfId="3756"/>
    <cellStyle name="Normal 2 2 5 6" xfId="3757"/>
    <cellStyle name="Normal 2 2 5 6 2" xfId="3758"/>
    <cellStyle name="Normal 2 2 5 6 3" xfId="3759"/>
    <cellStyle name="Normal 2 2 5 6 4" xfId="3760"/>
    <cellStyle name="Normal 2 2 5 6 5" xfId="3761"/>
    <cellStyle name="Normal 2 2 5 7" xfId="3762"/>
    <cellStyle name="Normal 2 2 5 7 2" xfId="3763"/>
    <cellStyle name="Normal 2 2 5 7 3" xfId="3764"/>
    <cellStyle name="Normal 2 2 5 7 4" xfId="3765"/>
    <cellStyle name="Normal 2 2 5 7 5" xfId="3766"/>
    <cellStyle name="Normal 2 2 5 8" xfId="3767"/>
    <cellStyle name="Normal 2 2 5 8 2" xfId="3768"/>
    <cellStyle name="Normal 2 2 5 8 3" xfId="3769"/>
    <cellStyle name="Normal 2 2 5 8 4" xfId="3770"/>
    <cellStyle name="Normal 2 2 5 8 5" xfId="3771"/>
    <cellStyle name="Normal 2 2 5 9" xfId="3772"/>
    <cellStyle name="Normal 2 2 50" xfId="3773"/>
    <cellStyle name="Normal 2 2 51" xfId="3774"/>
    <cellStyle name="Normal 2 2 52" xfId="3775"/>
    <cellStyle name="Normal 2 2 53" xfId="3776"/>
    <cellStyle name="Normal 2 2 54" xfId="3777"/>
    <cellStyle name="Normal 2 2 55" xfId="3778"/>
    <cellStyle name="Normal 2 2 56" xfId="3779"/>
    <cellStyle name="Normal 2 2 57" xfId="3780"/>
    <cellStyle name="Normal 2 2 58" xfId="3781"/>
    <cellStyle name="Normal 2 2 59" xfId="3782"/>
    <cellStyle name="Normal 2 2 6" xfId="3783"/>
    <cellStyle name="Normal 2 2 6 10" xfId="3784"/>
    <cellStyle name="Normal 2 2 6 11" xfId="3785"/>
    <cellStyle name="Normal 2 2 6 12" xfId="3786"/>
    <cellStyle name="Normal 2 2 6 13" xfId="3787"/>
    <cellStyle name="Normal 2 2 6 14" xfId="3788"/>
    <cellStyle name="Normal 2 2 6 15" xfId="3789"/>
    <cellStyle name="Normal 2 2 6 16" xfId="3790"/>
    <cellStyle name="Normal 2 2 6 17" xfId="3791"/>
    <cellStyle name="Normal 2 2 6 18" xfId="3792"/>
    <cellStyle name="Normal 2 2 6 19" xfId="3793"/>
    <cellStyle name="Normal 2 2 6 2" xfId="3794"/>
    <cellStyle name="Normal 2 2 6 2 10" xfId="3795"/>
    <cellStyle name="Normal 2 2 6 2 11" xfId="3796"/>
    <cellStyle name="Normal 2 2 6 2 12" xfId="3797"/>
    <cellStyle name="Normal 2 2 6 2 13" xfId="3798"/>
    <cellStyle name="Normal 2 2 6 2 2" xfId="3799"/>
    <cellStyle name="Normal 2 2 6 2 3" xfId="3800"/>
    <cellStyle name="Normal 2 2 6 2 4" xfId="3801"/>
    <cellStyle name="Normal 2 2 6 2 5" xfId="3802"/>
    <cellStyle name="Normal 2 2 6 2 6" xfId="3803"/>
    <cellStyle name="Normal 2 2 6 2 7" xfId="3804"/>
    <cellStyle name="Normal 2 2 6 2 8" xfId="3805"/>
    <cellStyle name="Normal 2 2 6 2 9" xfId="3806"/>
    <cellStyle name="Normal 2 2 6 20" xfId="3807"/>
    <cellStyle name="Normal 2 2 6 21" xfId="3808"/>
    <cellStyle name="Normal 2 2 6 22" xfId="3809"/>
    <cellStyle name="Normal 2 2 6 23" xfId="3810"/>
    <cellStyle name="Normal 2 2 6 24" xfId="3811"/>
    <cellStyle name="Normal 2 2 6 25" xfId="3812"/>
    <cellStyle name="Normal 2 2 6 26" xfId="3813"/>
    <cellStyle name="Normal 2 2 6 27" xfId="3814"/>
    <cellStyle name="Normal 2 2 6 28" xfId="3815"/>
    <cellStyle name="Normal 2 2 6 29" xfId="3816"/>
    <cellStyle name="Normal 2 2 6 3" xfId="3817"/>
    <cellStyle name="Normal 2 2 6 30" xfId="3818"/>
    <cellStyle name="Normal 2 2 6 31" xfId="3819"/>
    <cellStyle name="Normal 2 2 6 32" xfId="3820"/>
    <cellStyle name="Normal 2 2 6 33" xfId="3821"/>
    <cellStyle name="Normal 2 2 6 34" xfId="3822"/>
    <cellStyle name="Normal 2 2 6 35" xfId="3823"/>
    <cellStyle name="Normal 2 2 6 36" xfId="3824"/>
    <cellStyle name="Normal 2 2 6 37" xfId="3825"/>
    <cellStyle name="Normal 2 2 6 38" xfId="3826"/>
    <cellStyle name="Normal 2 2 6 39" xfId="3827"/>
    <cellStyle name="Normal 2 2 6 4" xfId="3828"/>
    <cellStyle name="Normal 2 2 6 40" xfId="3829"/>
    <cellStyle name="Normal 2 2 6 41" xfId="3830"/>
    <cellStyle name="Normal 2 2 6 42" xfId="3831"/>
    <cellStyle name="Normal 2 2 6 43" xfId="3832"/>
    <cellStyle name="Normal 2 2 6 44" xfId="3833"/>
    <cellStyle name="Normal 2 2 6 45" xfId="3834"/>
    <cellStyle name="Normal 2 2 6 46" xfId="3835"/>
    <cellStyle name="Normal 2 2 6 47" xfId="3836"/>
    <cellStyle name="Normal 2 2 6 48" xfId="3837"/>
    <cellStyle name="Normal 2 2 6 5" xfId="3838"/>
    <cellStyle name="Normal 2 2 6 6" xfId="3839"/>
    <cellStyle name="Normal 2 2 6 7" xfId="3840"/>
    <cellStyle name="Normal 2 2 6 8" xfId="3841"/>
    <cellStyle name="Normal 2 2 6 9" xfId="3842"/>
    <cellStyle name="Normal 2 2 60" xfId="3843"/>
    <cellStyle name="Normal 2 2 61" xfId="3844"/>
    <cellStyle name="Normal 2 2 62" xfId="3845"/>
    <cellStyle name="Normal 2 2 63" xfId="3846"/>
    <cellStyle name="Normal 2 2 64" xfId="3847"/>
    <cellStyle name="Normal 2 2 65" xfId="3848"/>
    <cellStyle name="Normal 2 2 66" xfId="3849"/>
    <cellStyle name="Normal 2 2 67" xfId="3850"/>
    <cellStyle name="Normal 2 2 68" xfId="3851"/>
    <cellStyle name="Normal 2 2 69" xfId="3852"/>
    <cellStyle name="Normal 2 2 7" xfId="3853"/>
    <cellStyle name="Normal 2 2 7 10" xfId="3854"/>
    <cellStyle name="Normal 2 2 7 11" xfId="3855"/>
    <cellStyle name="Normal 2 2 7 12" xfId="3856"/>
    <cellStyle name="Normal 2 2 7 13" xfId="3857"/>
    <cellStyle name="Normal 2 2 7 2" xfId="3858"/>
    <cellStyle name="Normal 2 2 7 3" xfId="3859"/>
    <cellStyle name="Normal 2 2 7 4" xfId="3860"/>
    <cellStyle name="Normal 2 2 7 5" xfId="3861"/>
    <cellStyle name="Normal 2 2 7 6" xfId="3862"/>
    <cellStyle name="Normal 2 2 7 7" xfId="3863"/>
    <cellStyle name="Normal 2 2 7 8" xfId="3864"/>
    <cellStyle name="Normal 2 2 7 9" xfId="3865"/>
    <cellStyle name="Normal 2 2 70" xfId="3866"/>
    <cellStyle name="Normal 2 2 70 2" xfId="11361"/>
    <cellStyle name="Normal 2 2 71" xfId="3867"/>
    <cellStyle name="Normal 2 2 72" xfId="3868"/>
    <cellStyle name="Normal 2 2 73" xfId="3869"/>
    <cellStyle name="Normal 2 2 74" xfId="3870"/>
    <cellStyle name="Normal 2 2 75" xfId="3871"/>
    <cellStyle name="Normal 2 2 76" xfId="3872"/>
    <cellStyle name="Normal 2 2 77" xfId="3873"/>
    <cellStyle name="Normal 2 2 78" xfId="3874"/>
    <cellStyle name="Normal 2 2 79" xfId="3875"/>
    <cellStyle name="Normal 2 2 8" xfId="3876"/>
    <cellStyle name="Normal 2 2 8 10" xfId="3877"/>
    <cellStyle name="Normal 2 2 8 11" xfId="3878"/>
    <cellStyle name="Normal 2 2 8 12" xfId="3879"/>
    <cellStyle name="Normal 2 2 8 13" xfId="3880"/>
    <cellStyle name="Normal 2 2 8 2" xfId="3881"/>
    <cellStyle name="Normal 2 2 8 3" xfId="3882"/>
    <cellStyle name="Normal 2 2 8 4" xfId="3883"/>
    <cellStyle name="Normal 2 2 8 5" xfId="3884"/>
    <cellStyle name="Normal 2 2 8 6" xfId="3885"/>
    <cellStyle name="Normal 2 2 8 7" xfId="3886"/>
    <cellStyle name="Normal 2 2 8 8" xfId="3887"/>
    <cellStyle name="Normal 2 2 8 9" xfId="3888"/>
    <cellStyle name="Normal 2 2 80" xfId="3889"/>
    <cellStyle name="Normal 2 2 81" xfId="3890"/>
    <cellStyle name="Normal 2 2 82" xfId="10719"/>
    <cellStyle name="Normal 2 2 83" xfId="10750"/>
    <cellStyle name="Normal 2 2 84" xfId="10726"/>
    <cellStyle name="Normal 2 2 85" xfId="10743"/>
    <cellStyle name="Normal 2 2 86" xfId="10751"/>
    <cellStyle name="Normal 2 2 87" xfId="10792"/>
    <cellStyle name="Normal 2 2 88" xfId="10758"/>
    <cellStyle name="Normal 2 2 9" xfId="3891"/>
    <cellStyle name="Normal 2 2 9 10" xfId="3892"/>
    <cellStyle name="Normal 2 2 9 11" xfId="3893"/>
    <cellStyle name="Normal 2 2 9 12" xfId="3894"/>
    <cellStyle name="Normal 2 2 9 13" xfId="3895"/>
    <cellStyle name="Normal 2 2 9 2" xfId="3896"/>
    <cellStyle name="Normal 2 2 9 3" xfId="3897"/>
    <cellStyle name="Normal 2 2 9 4" xfId="3898"/>
    <cellStyle name="Normal 2 2 9 5" xfId="3899"/>
    <cellStyle name="Normal 2 2 9 6" xfId="3900"/>
    <cellStyle name="Normal 2 2 9 7" xfId="3901"/>
    <cellStyle name="Normal 2 2 9 8" xfId="3902"/>
    <cellStyle name="Normal 2 2 9 9" xfId="3903"/>
    <cellStyle name="Normal 2 20" xfId="75"/>
    <cellStyle name="Normal 2 21" xfId="76"/>
    <cellStyle name="Normal 2 22" xfId="77"/>
    <cellStyle name="Normal 2 23" xfId="78"/>
    <cellStyle name="Normal 2 24" xfId="79"/>
    <cellStyle name="Normal 2 25" xfId="80"/>
    <cellStyle name="Normal 2 26" xfId="81"/>
    <cellStyle name="Normal 2 27" xfId="82"/>
    <cellStyle name="Normal 2 28" xfId="83"/>
    <cellStyle name="Normal 2 29" xfId="84"/>
    <cellStyle name="Normal 2 3" xfId="85"/>
    <cellStyle name="Normal 2 3 10" xfId="3904"/>
    <cellStyle name="Normal 2 3 11" xfId="3905"/>
    <cellStyle name="Normal 2 3 12" xfId="3906"/>
    <cellStyle name="Normal 2 3 13" xfId="3907"/>
    <cellStyle name="Normal 2 3 14" xfId="3908"/>
    <cellStyle name="Normal 2 3 15" xfId="3909"/>
    <cellStyle name="Normal 2 3 16" xfId="3910"/>
    <cellStyle name="Normal 2 3 17" xfId="3911"/>
    <cellStyle name="Normal 2 3 18" xfId="3912"/>
    <cellStyle name="Normal 2 3 19" xfId="3913"/>
    <cellStyle name="Normal 2 3 2" xfId="86"/>
    <cellStyle name="Normal 2 3 2 10" xfId="3914"/>
    <cellStyle name="Normal 2 3 2 11" xfId="3915"/>
    <cellStyle name="Normal 2 3 2 12" xfId="3916"/>
    <cellStyle name="Normal 2 3 2 13" xfId="3917"/>
    <cellStyle name="Normal 2 3 2 14" xfId="3918"/>
    <cellStyle name="Normal 2 3 2 15" xfId="3919"/>
    <cellStyle name="Normal 2 3 2 16" xfId="3920"/>
    <cellStyle name="Normal 2 3 2 17" xfId="3921"/>
    <cellStyle name="Normal 2 3 2 18" xfId="3922"/>
    <cellStyle name="Normal 2 3 2 19" xfId="3923"/>
    <cellStyle name="Normal 2 3 2 2" xfId="3924"/>
    <cellStyle name="Normal 2 3 2 2 10" xfId="3925"/>
    <cellStyle name="Normal 2 3 2 2 11" xfId="3926"/>
    <cellStyle name="Normal 2 3 2 2 12" xfId="3927"/>
    <cellStyle name="Normal 2 3 2 2 13" xfId="3928"/>
    <cellStyle name="Normal 2 3 2 2 14" xfId="3929"/>
    <cellStyle name="Normal 2 3 2 2 15" xfId="3930"/>
    <cellStyle name="Normal 2 3 2 2 16" xfId="3931"/>
    <cellStyle name="Normal 2 3 2 2 17" xfId="3932"/>
    <cellStyle name="Normal 2 3 2 2 18" xfId="3933"/>
    <cellStyle name="Normal 2 3 2 2 19" xfId="3934"/>
    <cellStyle name="Normal 2 3 2 2 2" xfId="3935"/>
    <cellStyle name="Normal 2 3 2 2 20" xfId="3936"/>
    <cellStyle name="Normal 2 3 2 2 21" xfId="3937"/>
    <cellStyle name="Normal 2 3 2 2 22" xfId="3938"/>
    <cellStyle name="Normal 2 3 2 2 23" xfId="3939"/>
    <cellStyle name="Normal 2 3 2 2 24" xfId="3940"/>
    <cellStyle name="Normal 2 3 2 2 25" xfId="3941"/>
    <cellStyle name="Normal 2 3 2 2 26" xfId="3942"/>
    <cellStyle name="Normal 2 3 2 2 27" xfId="3943"/>
    <cellStyle name="Normal 2 3 2 2 28" xfId="3944"/>
    <cellStyle name="Normal 2 3 2 2 29" xfId="3945"/>
    <cellStyle name="Normal 2 3 2 2 3" xfId="3946"/>
    <cellStyle name="Normal 2 3 2 2 30" xfId="3947"/>
    <cellStyle name="Normal 2 3 2 2 31" xfId="3948"/>
    <cellStyle name="Normal 2 3 2 2 32" xfId="3949"/>
    <cellStyle name="Normal 2 3 2 2 33" xfId="3950"/>
    <cellStyle name="Normal 2 3 2 2 34" xfId="3951"/>
    <cellStyle name="Normal 2 3 2 2 35" xfId="3952"/>
    <cellStyle name="Normal 2 3 2 2 36" xfId="3953"/>
    <cellStyle name="Normal 2 3 2 2 37" xfId="3954"/>
    <cellStyle name="Normal 2 3 2 2 38" xfId="3955"/>
    <cellStyle name="Normal 2 3 2 2 39" xfId="3956"/>
    <cellStyle name="Normal 2 3 2 2 4" xfId="3957"/>
    <cellStyle name="Normal 2 3 2 2 40" xfId="3958"/>
    <cellStyle name="Normal 2 3 2 2 41" xfId="3959"/>
    <cellStyle name="Normal 2 3 2 2 42" xfId="3960"/>
    <cellStyle name="Normal 2 3 2 2 43" xfId="3961"/>
    <cellStyle name="Normal 2 3 2 2 44" xfId="3962"/>
    <cellStyle name="Normal 2 3 2 2 45" xfId="3963"/>
    <cellStyle name="Normal 2 3 2 2 46" xfId="3964"/>
    <cellStyle name="Normal 2 3 2 2 47" xfId="3965"/>
    <cellStyle name="Normal 2 3 2 2 48" xfId="3966"/>
    <cellStyle name="Normal 2 3 2 2 5" xfId="3967"/>
    <cellStyle name="Normal 2 3 2 2 6" xfId="3968"/>
    <cellStyle name="Normal 2 3 2 2 6 10" xfId="3969"/>
    <cellStyle name="Normal 2 3 2 2 6 11" xfId="3970"/>
    <cellStyle name="Normal 2 3 2 2 6 12" xfId="3971"/>
    <cellStyle name="Normal 2 3 2 2 6 13" xfId="3972"/>
    <cellStyle name="Normal 2 3 2 2 6 2" xfId="3973"/>
    <cellStyle name="Normal 2 3 2 2 6 3" xfId="3974"/>
    <cellStyle name="Normal 2 3 2 2 6 4" xfId="3975"/>
    <cellStyle name="Normal 2 3 2 2 6 5" xfId="3976"/>
    <cellStyle name="Normal 2 3 2 2 6 6" xfId="3977"/>
    <cellStyle name="Normal 2 3 2 2 6 7" xfId="3978"/>
    <cellStyle name="Normal 2 3 2 2 6 8" xfId="3979"/>
    <cellStyle name="Normal 2 3 2 2 6 9" xfId="3980"/>
    <cellStyle name="Normal 2 3 2 2 7" xfId="3981"/>
    <cellStyle name="Normal 2 3 2 2 8" xfId="3982"/>
    <cellStyle name="Normal 2 3 2 2 9" xfId="3983"/>
    <cellStyle name="Normal 2 3 2 20" xfId="3984"/>
    <cellStyle name="Normal 2 3 2 21" xfId="3985"/>
    <cellStyle name="Normal 2 3 2 22" xfId="3986"/>
    <cellStyle name="Normal 2 3 2 23" xfId="3987"/>
    <cellStyle name="Normal 2 3 2 24" xfId="3988"/>
    <cellStyle name="Normal 2 3 2 25" xfId="3989"/>
    <cellStyle name="Normal 2 3 2 26" xfId="3990"/>
    <cellStyle name="Normal 2 3 2 27" xfId="3991"/>
    <cellStyle name="Normal 2 3 2 28" xfId="3992"/>
    <cellStyle name="Normal 2 3 2 29" xfId="3993"/>
    <cellStyle name="Normal 2 3 2 3" xfId="3994"/>
    <cellStyle name="Normal 2 3 2 3 10" xfId="3995"/>
    <cellStyle name="Normal 2 3 2 3 11" xfId="3996"/>
    <cellStyle name="Normal 2 3 2 3 12" xfId="3997"/>
    <cellStyle name="Normal 2 3 2 3 13" xfId="3998"/>
    <cellStyle name="Normal 2 3 2 3 14" xfId="3999"/>
    <cellStyle name="Normal 2 3 2 3 15" xfId="4000"/>
    <cellStyle name="Normal 2 3 2 3 16" xfId="4001"/>
    <cellStyle name="Normal 2 3 2 3 17" xfId="4002"/>
    <cellStyle name="Normal 2 3 2 3 2" xfId="4003"/>
    <cellStyle name="Normal 2 3 2 3 3" xfId="4004"/>
    <cellStyle name="Normal 2 3 2 3 4" xfId="4005"/>
    <cellStyle name="Normal 2 3 2 3 5" xfId="4006"/>
    <cellStyle name="Normal 2 3 2 3 6" xfId="4007"/>
    <cellStyle name="Normal 2 3 2 3 7" xfId="4008"/>
    <cellStyle name="Normal 2 3 2 3 8" xfId="4009"/>
    <cellStyle name="Normal 2 3 2 3 9" xfId="4010"/>
    <cellStyle name="Normal 2 3 2 30" xfId="4011"/>
    <cellStyle name="Normal 2 3 2 31" xfId="4012"/>
    <cellStyle name="Normal 2 3 2 32" xfId="4013"/>
    <cellStyle name="Normal 2 3 2 33" xfId="4014"/>
    <cellStyle name="Normal 2 3 2 34" xfId="4015"/>
    <cellStyle name="Normal 2 3 2 35" xfId="4016"/>
    <cellStyle name="Normal 2 3 2 36" xfId="4017"/>
    <cellStyle name="Normal 2 3 2 37" xfId="4018"/>
    <cellStyle name="Normal 2 3 2 38" xfId="4019"/>
    <cellStyle name="Normal 2 3 2 39" xfId="4020"/>
    <cellStyle name="Normal 2 3 2 4" xfId="4021"/>
    <cellStyle name="Normal 2 3 2 4 10" xfId="4022"/>
    <cellStyle name="Normal 2 3 2 4 11" xfId="4023"/>
    <cellStyle name="Normal 2 3 2 4 12" xfId="4024"/>
    <cellStyle name="Normal 2 3 2 4 13" xfId="4025"/>
    <cellStyle name="Normal 2 3 2 4 14" xfId="4026"/>
    <cellStyle name="Normal 2 3 2 4 15" xfId="4027"/>
    <cellStyle name="Normal 2 3 2 4 16" xfId="4028"/>
    <cellStyle name="Normal 2 3 2 4 17" xfId="4029"/>
    <cellStyle name="Normal 2 3 2 4 2" xfId="4030"/>
    <cellStyle name="Normal 2 3 2 4 3" xfId="4031"/>
    <cellStyle name="Normal 2 3 2 4 4" xfId="4032"/>
    <cellStyle name="Normal 2 3 2 4 5" xfId="4033"/>
    <cellStyle name="Normal 2 3 2 4 6" xfId="4034"/>
    <cellStyle name="Normal 2 3 2 4 7" xfId="4035"/>
    <cellStyle name="Normal 2 3 2 4 8" xfId="4036"/>
    <cellStyle name="Normal 2 3 2 4 9" xfId="4037"/>
    <cellStyle name="Normal 2 3 2 40" xfId="4038"/>
    <cellStyle name="Normal 2 3 2 41" xfId="4039"/>
    <cellStyle name="Normal 2 3 2 42" xfId="4040"/>
    <cellStyle name="Normal 2 3 2 43" xfId="4041"/>
    <cellStyle name="Normal 2 3 2 44" xfId="4042"/>
    <cellStyle name="Normal 2 3 2 45" xfId="4043"/>
    <cellStyle name="Normal 2 3 2 46" xfId="4044"/>
    <cellStyle name="Normal 2 3 2 47" xfId="4045"/>
    <cellStyle name="Normal 2 3 2 48" xfId="4046"/>
    <cellStyle name="Normal 2 3 2 49" xfId="4047"/>
    <cellStyle name="Normal 2 3 2 5" xfId="4048"/>
    <cellStyle name="Normal 2 3 2 5 10" xfId="4049"/>
    <cellStyle name="Normal 2 3 2 5 11" xfId="4050"/>
    <cellStyle name="Normal 2 3 2 5 12" xfId="4051"/>
    <cellStyle name="Normal 2 3 2 5 13" xfId="4052"/>
    <cellStyle name="Normal 2 3 2 5 14" xfId="4053"/>
    <cellStyle name="Normal 2 3 2 5 15" xfId="4054"/>
    <cellStyle name="Normal 2 3 2 5 16" xfId="4055"/>
    <cellStyle name="Normal 2 3 2 5 17" xfId="4056"/>
    <cellStyle name="Normal 2 3 2 5 2" xfId="4057"/>
    <cellStyle name="Normal 2 3 2 5 3" xfId="4058"/>
    <cellStyle name="Normal 2 3 2 5 4" xfId="4059"/>
    <cellStyle name="Normal 2 3 2 5 5" xfId="4060"/>
    <cellStyle name="Normal 2 3 2 5 6" xfId="4061"/>
    <cellStyle name="Normal 2 3 2 5 7" xfId="4062"/>
    <cellStyle name="Normal 2 3 2 5 8" xfId="4063"/>
    <cellStyle name="Normal 2 3 2 5 9" xfId="4064"/>
    <cellStyle name="Normal 2 3 2 50" xfId="4065"/>
    <cellStyle name="Normal 2 3 2 51" xfId="4066"/>
    <cellStyle name="Normal 2 3 2 52" xfId="4067"/>
    <cellStyle name="Normal 2 3 2 53" xfId="4068"/>
    <cellStyle name="Normal 2 3 2 54" xfId="4069"/>
    <cellStyle name="Normal 2 3 2 55" xfId="4070"/>
    <cellStyle name="Normal 2 3 2 56" xfId="4071"/>
    <cellStyle name="Normal 2 3 2 57" xfId="4072"/>
    <cellStyle name="Normal 2 3 2 58" xfId="4073"/>
    <cellStyle name="Normal 2 3 2 59" xfId="4074"/>
    <cellStyle name="Normal 2 3 2 6" xfId="4075"/>
    <cellStyle name="Normal 2 3 2 6 10" xfId="4076"/>
    <cellStyle name="Normal 2 3 2 6 11" xfId="4077"/>
    <cellStyle name="Normal 2 3 2 6 12" xfId="4078"/>
    <cellStyle name="Normal 2 3 2 6 13" xfId="4079"/>
    <cellStyle name="Normal 2 3 2 6 14" xfId="4080"/>
    <cellStyle name="Normal 2 3 2 6 15" xfId="4081"/>
    <cellStyle name="Normal 2 3 2 6 16" xfId="4082"/>
    <cellStyle name="Normal 2 3 2 6 17" xfId="4083"/>
    <cellStyle name="Normal 2 3 2 6 2" xfId="4084"/>
    <cellStyle name="Normal 2 3 2 6 3" xfId="4085"/>
    <cellStyle name="Normal 2 3 2 6 4" xfId="4086"/>
    <cellStyle name="Normal 2 3 2 6 5" xfId="4087"/>
    <cellStyle name="Normal 2 3 2 6 6" xfId="4088"/>
    <cellStyle name="Normal 2 3 2 6 7" xfId="4089"/>
    <cellStyle name="Normal 2 3 2 6 8" xfId="4090"/>
    <cellStyle name="Normal 2 3 2 6 9" xfId="4091"/>
    <cellStyle name="Normal 2 3 2 60" xfId="4092"/>
    <cellStyle name="Normal 2 3 2 61" xfId="4093"/>
    <cellStyle name="Normal 2 3 2 62" xfId="4094"/>
    <cellStyle name="Normal 2 3 2 63" xfId="4095"/>
    <cellStyle name="Normal 2 3 2 64" xfId="4096"/>
    <cellStyle name="Normal 2 3 2 65" xfId="4097"/>
    <cellStyle name="Normal 2 3 2 66" xfId="4098"/>
    <cellStyle name="Normal 2 3 2 67" xfId="4099"/>
    <cellStyle name="Normal 2 3 2 68" xfId="4100"/>
    <cellStyle name="Normal 2 3 2 69" xfId="4101"/>
    <cellStyle name="Normal 2 3 2 7" xfId="4102"/>
    <cellStyle name="Normal 2 3 2 7 10" xfId="4103"/>
    <cellStyle name="Normal 2 3 2 7 11" xfId="4104"/>
    <cellStyle name="Normal 2 3 2 7 12" xfId="4105"/>
    <cellStyle name="Normal 2 3 2 7 13" xfId="4106"/>
    <cellStyle name="Normal 2 3 2 7 14" xfId="4107"/>
    <cellStyle name="Normal 2 3 2 7 15" xfId="4108"/>
    <cellStyle name="Normal 2 3 2 7 16" xfId="4109"/>
    <cellStyle name="Normal 2 3 2 7 17" xfId="4110"/>
    <cellStyle name="Normal 2 3 2 7 2" xfId="4111"/>
    <cellStyle name="Normal 2 3 2 7 3" xfId="4112"/>
    <cellStyle name="Normal 2 3 2 7 4" xfId="4113"/>
    <cellStyle name="Normal 2 3 2 7 5" xfId="4114"/>
    <cellStyle name="Normal 2 3 2 7 6" xfId="4115"/>
    <cellStyle name="Normal 2 3 2 7 7" xfId="4116"/>
    <cellStyle name="Normal 2 3 2 7 8" xfId="4117"/>
    <cellStyle name="Normal 2 3 2 7 9" xfId="4118"/>
    <cellStyle name="Normal 2 3 2 70" xfId="4119"/>
    <cellStyle name="Normal 2 3 2 71" xfId="4120"/>
    <cellStyle name="Normal 2 3 2 72" xfId="4121"/>
    <cellStyle name="Normal 2 3 2 73" xfId="4122"/>
    <cellStyle name="Normal 2 3 2 74" xfId="4123"/>
    <cellStyle name="Normal 2 3 2 75" xfId="4124"/>
    <cellStyle name="Normal 2 3 2 76" xfId="4125"/>
    <cellStyle name="Normal 2 3 2 77" xfId="4126"/>
    <cellStyle name="Normal 2 3 2 8" xfId="4127"/>
    <cellStyle name="Normal 2 3 2 8 10" xfId="4128"/>
    <cellStyle name="Normal 2 3 2 8 11" xfId="4129"/>
    <cellStyle name="Normal 2 3 2 8 12" xfId="4130"/>
    <cellStyle name="Normal 2 3 2 8 13" xfId="4131"/>
    <cellStyle name="Normal 2 3 2 8 14" xfId="4132"/>
    <cellStyle name="Normal 2 3 2 8 15" xfId="4133"/>
    <cellStyle name="Normal 2 3 2 8 16" xfId="4134"/>
    <cellStyle name="Normal 2 3 2 8 17" xfId="4135"/>
    <cellStyle name="Normal 2 3 2 8 2" xfId="4136"/>
    <cellStyle name="Normal 2 3 2 8 3" xfId="4137"/>
    <cellStyle name="Normal 2 3 2 8 4" xfId="4138"/>
    <cellStyle name="Normal 2 3 2 8 5" xfId="4139"/>
    <cellStyle name="Normal 2 3 2 8 6" xfId="4140"/>
    <cellStyle name="Normal 2 3 2 8 7" xfId="4141"/>
    <cellStyle name="Normal 2 3 2 8 8" xfId="4142"/>
    <cellStyle name="Normal 2 3 2 8 9" xfId="4143"/>
    <cellStyle name="Normal 2 3 2 9" xfId="4144"/>
    <cellStyle name="Normal 2 3 20" xfId="4145"/>
    <cellStyle name="Normal 2 3 21" xfId="4146"/>
    <cellStyle name="Normal 2 3 22" xfId="4147"/>
    <cellStyle name="Normal 2 3 23" xfId="4148"/>
    <cellStyle name="Normal 2 3 24" xfId="4149"/>
    <cellStyle name="Normal 2 3 25" xfId="4150"/>
    <cellStyle name="Normal 2 3 26" xfId="4151"/>
    <cellStyle name="Normal 2 3 27" xfId="4152"/>
    <cellStyle name="Normal 2 3 28" xfId="4153"/>
    <cellStyle name="Normal 2 3 29" xfId="4154"/>
    <cellStyle name="Normal 2 3 3" xfId="87"/>
    <cellStyle name="Normal 2 3 3 10" xfId="4155"/>
    <cellStyle name="Normal 2 3 3 11" xfId="4156"/>
    <cellStyle name="Normal 2 3 3 12" xfId="4157"/>
    <cellStyle name="Normal 2 3 3 13" xfId="4158"/>
    <cellStyle name="Normal 2 3 3 14" xfId="4159"/>
    <cellStyle name="Normal 2 3 3 15" xfId="4160"/>
    <cellStyle name="Normal 2 3 3 16" xfId="4161"/>
    <cellStyle name="Normal 2 3 3 17" xfId="4162"/>
    <cellStyle name="Normal 2 3 3 18" xfId="4163"/>
    <cellStyle name="Normal 2 3 3 19" xfId="4164"/>
    <cellStyle name="Normal 2 3 3 2" xfId="4165"/>
    <cellStyle name="Normal 2 3 3 2 2" xfId="4166"/>
    <cellStyle name="Normal 2 3 3 2 3" xfId="4167"/>
    <cellStyle name="Normal 2 3 3 2 4" xfId="4168"/>
    <cellStyle name="Normal 2 3 3 2 5" xfId="4169"/>
    <cellStyle name="Normal 2 3 3 20" xfId="4170"/>
    <cellStyle name="Normal 2 3 3 3" xfId="4171"/>
    <cellStyle name="Normal 2 3 3 3 2" xfId="4172"/>
    <cellStyle name="Normal 2 3 3 3 3" xfId="4173"/>
    <cellStyle name="Normal 2 3 3 3 4" xfId="4174"/>
    <cellStyle name="Normal 2 3 3 3 5" xfId="4175"/>
    <cellStyle name="Normal 2 3 3 4" xfId="4176"/>
    <cellStyle name="Normal 2 3 3 4 2" xfId="4177"/>
    <cellStyle name="Normal 2 3 3 4 3" xfId="4178"/>
    <cellStyle name="Normal 2 3 3 4 4" xfId="4179"/>
    <cellStyle name="Normal 2 3 3 4 5" xfId="4180"/>
    <cellStyle name="Normal 2 3 3 5" xfId="4181"/>
    <cellStyle name="Normal 2 3 3 5 2" xfId="4182"/>
    <cellStyle name="Normal 2 3 3 5 3" xfId="4183"/>
    <cellStyle name="Normal 2 3 3 5 4" xfId="4184"/>
    <cellStyle name="Normal 2 3 3 5 5" xfId="4185"/>
    <cellStyle name="Normal 2 3 3 6" xfId="4186"/>
    <cellStyle name="Normal 2 3 3 6 2" xfId="4187"/>
    <cellStyle name="Normal 2 3 3 6 3" xfId="4188"/>
    <cellStyle name="Normal 2 3 3 6 4" xfId="4189"/>
    <cellStyle name="Normal 2 3 3 6 5" xfId="4190"/>
    <cellStyle name="Normal 2 3 3 7" xfId="4191"/>
    <cellStyle name="Normal 2 3 3 7 2" xfId="4192"/>
    <cellStyle name="Normal 2 3 3 7 3" xfId="4193"/>
    <cellStyle name="Normal 2 3 3 7 4" xfId="4194"/>
    <cellStyle name="Normal 2 3 3 7 5" xfId="4195"/>
    <cellStyle name="Normal 2 3 3 8" xfId="4196"/>
    <cellStyle name="Normal 2 3 3 8 2" xfId="4197"/>
    <cellStyle name="Normal 2 3 3 8 3" xfId="4198"/>
    <cellStyle name="Normal 2 3 3 8 4" xfId="4199"/>
    <cellStyle name="Normal 2 3 3 8 5" xfId="4200"/>
    <cellStyle name="Normal 2 3 3 9" xfId="4201"/>
    <cellStyle name="Normal 2 3 30" xfId="4202"/>
    <cellStyle name="Normal 2 3 31" xfId="4203"/>
    <cellStyle name="Normal 2 3 32" xfId="4204"/>
    <cellStyle name="Normal 2 3 33" xfId="4205"/>
    <cellStyle name="Normal 2 3 34" xfId="4206"/>
    <cellStyle name="Normal 2 3 35" xfId="4207"/>
    <cellStyle name="Normal 2 3 35 2" xfId="11984"/>
    <cellStyle name="Normal 2 3 36" xfId="4208"/>
    <cellStyle name="Normal 2 3 36 2" xfId="11985"/>
    <cellStyle name="Normal 2 3 37" xfId="4209"/>
    <cellStyle name="Normal 2 3 37 2" xfId="11986"/>
    <cellStyle name="Normal 2 3 38" xfId="4210"/>
    <cellStyle name="Normal 2 3 38 2" xfId="11987"/>
    <cellStyle name="Normal 2 3 39" xfId="4211"/>
    <cellStyle name="Normal 2 3 39 2" xfId="11988"/>
    <cellStyle name="Normal 2 3 4" xfId="88"/>
    <cellStyle name="Normal 2 3 4 10" xfId="4212"/>
    <cellStyle name="Normal 2 3 4 11" xfId="4213"/>
    <cellStyle name="Normal 2 3 4 12" xfId="4214"/>
    <cellStyle name="Normal 2 3 4 13" xfId="4215"/>
    <cellStyle name="Normal 2 3 4 14" xfId="4216"/>
    <cellStyle name="Normal 2 3 4 15" xfId="4217"/>
    <cellStyle name="Normal 2 3 4 16" xfId="4218"/>
    <cellStyle name="Normal 2 3 4 17" xfId="4219"/>
    <cellStyle name="Normal 2 3 4 18" xfId="4220"/>
    <cellStyle name="Normal 2 3 4 19" xfId="4221"/>
    <cellStyle name="Normal 2 3 4 2" xfId="4222"/>
    <cellStyle name="Normal 2 3 4 2 2" xfId="4223"/>
    <cellStyle name="Normal 2 3 4 2 3" xfId="4224"/>
    <cellStyle name="Normal 2 3 4 2 4" xfId="4225"/>
    <cellStyle name="Normal 2 3 4 2 5" xfId="4226"/>
    <cellStyle name="Normal 2 3 4 20" xfId="4227"/>
    <cellStyle name="Normal 2 3 4 3" xfId="4228"/>
    <cellStyle name="Normal 2 3 4 3 2" xfId="4229"/>
    <cellStyle name="Normal 2 3 4 3 3" xfId="4230"/>
    <cellStyle name="Normal 2 3 4 3 4" xfId="4231"/>
    <cellStyle name="Normal 2 3 4 3 5" xfId="4232"/>
    <cellStyle name="Normal 2 3 4 4" xfId="4233"/>
    <cellStyle name="Normal 2 3 4 4 2" xfId="4234"/>
    <cellStyle name="Normal 2 3 4 4 3" xfId="4235"/>
    <cellStyle name="Normal 2 3 4 4 4" xfId="4236"/>
    <cellStyle name="Normal 2 3 4 4 5" xfId="4237"/>
    <cellStyle name="Normal 2 3 4 5" xfId="4238"/>
    <cellStyle name="Normal 2 3 4 5 2" xfId="4239"/>
    <cellStyle name="Normal 2 3 4 5 3" xfId="4240"/>
    <cellStyle name="Normal 2 3 4 5 4" xfId="4241"/>
    <cellStyle name="Normal 2 3 4 5 5" xfId="4242"/>
    <cellStyle name="Normal 2 3 4 6" xfId="4243"/>
    <cellStyle name="Normal 2 3 4 6 2" xfId="4244"/>
    <cellStyle name="Normal 2 3 4 6 3" xfId="4245"/>
    <cellStyle name="Normal 2 3 4 6 4" xfId="4246"/>
    <cellStyle name="Normal 2 3 4 6 5" xfId="4247"/>
    <cellStyle name="Normal 2 3 4 7" xfId="4248"/>
    <cellStyle name="Normal 2 3 4 7 2" xfId="4249"/>
    <cellStyle name="Normal 2 3 4 7 3" xfId="4250"/>
    <cellStyle name="Normal 2 3 4 7 4" xfId="4251"/>
    <cellStyle name="Normal 2 3 4 7 5" xfId="4252"/>
    <cellStyle name="Normal 2 3 4 8" xfId="4253"/>
    <cellStyle name="Normal 2 3 4 8 2" xfId="4254"/>
    <cellStyle name="Normal 2 3 4 8 3" xfId="4255"/>
    <cellStyle name="Normal 2 3 4 8 4" xfId="4256"/>
    <cellStyle name="Normal 2 3 4 8 5" xfId="4257"/>
    <cellStyle name="Normal 2 3 4 9" xfId="4258"/>
    <cellStyle name="Normal 2 3 40" xfId="4259"/>
    <cellStyle name="Normal 2 3 40 2" xfId="11989"/>
    <cellStyle name="Normal 2 3 41" xfId="4260"/>
    <cellStyle name="Normal 2 3 41 2" xfId="11990"/>
    <cellStyle name="Normal 2 3 42" xfId="4261"/>
    <cellStyle name="Normal 2 3 42 2" xfId="11991"/>
    <cellStyle name="Normal 2 3 43" xfId="4262"/>
    <cellStyle name="Normal 2 3 43 2" xfId="11992"/>
    <cellStyle name="Normal 2 3 44" xfId="4263"/>
    <cellStyle name="Normal 2 3 44 2" xfId="11993"/>
    <cellStyle name="Normal 2 3 45" xfId="4264"/>
    <cellStyle name="Normal 2 3 45 2" xfId="11994"/>
    <cellStyle name="Normal 2 3 46" xfId="4265"/>
    <cellStyle name="Normal 2 3 46 2" xfId="11995"/>
    <cellStyle name="Normal 2 3 47" xfId="4266"/>
    <cellStyle name="Normal 2 3 47 2" xfId="11996"/>
    <cellStyle name="Normal 2 3 48" xfId="4267"/>
    <cellStyle name="Normal 2 3 48 2" xfId="11997"/>
    <cellStyle name="Normal 2 3 49" xfId="4268"/>
    <cellStyle name="Normal 2 3 49 2" xfId="11998"/>
    <cellStyle name="Normal 2 3 5" xfId="89"/>
    <cellStyle name="Normal 2 3 5 10" xfId="4269"/>
    <cellStyle name="Normal 2 3 5 11" xfId="4270"/>
    <cellStyle name="Normal 2 3 5 12" xfId="4271"/>
    <cellStyle name="Normal 2 3 5 13" xfId="4272"/>
    <cellStyle name="Normal 2 3 5 14" xfId="4273"/>
    <cellStyle name="Normal 2 3 5 15" xfId="4274"/>
    <cellStyle name="Normal 2 3 5 16" xfId="4275"/>
    <cellStyle name="Normal 2 3 5 17" xfId="4276"/>
    <cellStyle name="Normal 2 3 5 18" xfId="4277"/>
    <cellStyle name="Normal 2 3 5 19" xfId="4278"/>
    <cellStyle name="Normal 2 3 5 2" xfId="4279"/>
    <cellStyle name="Normal 2 3 5 2 2" xfId="4280"/>
    <cellStyle name="Normal 2 3 5 2 3" xfId="4281"/>
    <cellStyle name="Normal 2 3 5 2 4" xfId="4282"/>
    <cellStyle name="Normal 2 3 5 2 5" xfId="4283"/>
    <cellStyle name="Normal 2 3 5 20" xfId="4284"/>
    <cellStyle name="Normal 2 3 5 3" xfId="4285"/>
    <cellStyle name="Normal 2 3 5 3 2" xfId="4286"/>
    <cellStyle name="Normal 2 3 5 3 3" xfId="4287"/>
    <cellStyle name="Normal 2 3 5 3 4" xfId="4288"/>
    <cellStyle name="Normal 2 3 5 3 5" xfId="4289"/>
    <cellStyle name="Normal 2 3 5 4" xfId="4290"/>
    <cellStyle name="Normal 2 3 5 4 2" xfId="4291"/>
    <cellStyle name="Normal 2 3 5 4 3" xfId="4292"/>
    <cellStyle name="Normal 2 3 5 4 4" xfId="4293"/>
    <cellStyle name="Normal 2 3 5 4 5" xfId="4294"/>
    <cellStyle name="Normal 2 3 5 5" xfId="4295"/>
    <cellStyle name="Normal 2 3 5 5 2" xfId="4296"/>
    <cellStyle name="Normal 2 3 5 5 3" xfId="4297"/>
    <cellStyle name="Normal 2 3 5 5 4" xfId="4298"/>
    <cellStyle name="Normal 2 3 5 5 5" xfId="4299"/>
    <cellStyle name="Normal 2 3 5 6" xfId="4300"/>
    <cellStyle name="Normal 2 3 5 6 2" xfId="4301"/>
    <cellStyle name="Normal 2 3 5 6 3" xfId="4302"/>
    <cellStyle name="Normal 2 3 5 6 4" xfId="4303"/>
    <cellStyle name="Normal 2 3 5 6 5" xfId="4304"/>
    <cellStyle name="Normal 2 3 5 7" xfId="4305"/>
    <cellStyle name="Normal 2 3 5 7 2" xfId="4306"/>
    <cellStyle name="Normal 2 3 5 7 3" xfId="4307"/>
    <cellStyle name="Normal 2 3 5 7 4" xfId="4308"/>
    <cellStyle name="Normal 2 3 5 7 5" xfId="4309"/>
    <cellStyle name="Normal 2 3 5 8" xfId="4310"/>
    <cellStyle name="Normal 2 3 5 8 2" xfId="4311"/>
    <cellStyle name="Normal 2 3 5 8 3" xfId="4312"/>
    <cellStyle name="Normal 2 3 5 8 4" xfId="4313"/>
    <cellStyle name="Normal 2 3 5 8 5" xfId="4314"/>
    <cellStyle name="Normal 2 3 5 9" xfId="4315"/>
    <cellStyle name="Normal 2 3 50" xfId="4316"/>
    <cellStyle name="Normal 2 3 50 2" xfId="11999"/>
    <cellStyle name="Normal 2 3 51" xfId="4317"/>
    <cellStyle name="Normal 2 3 51 2" xfId="12000"/>
    <cellStyle name="Normal 2 3 52" xfId="4318"/>
    <cellStyle name="Normal 2 3 52 2" xfId="12001"/>
    <cellStyle name="Normal 2 3 53" xfId="4319"/>
    <cellStyle name="Normal 2 3 53 2" xfId="12002"/>
    <cellStyle name="Normal 2 3 54" xfId="4320"/>
    <cellStyle name="Normal 2 3 54 2" xfId="12003"/>
    <cellStyle name="Normal 2 3 55" xfId="4321"/>
    <cellStyle name="Normal 2 3 55 2" xfId="12004"/>
    <cellStyle name="Normal 2 3 56" xfId="4322"/>
    <cellStyle name="Normal 2 3 56 2" xfId="12005"/>
    <cellStyle name="Normal 2 3 57" xfId="4323"/>
    <cellStyle name="Normal 2 3 57 2" xfId="12006"/>
    <cellStyle name="Normal 2 3 58" xfId="4324"/>
    <cellStyle name="Normal 2 3 58 2" xfId="12007"/>
    <cellStyle name="Normal 2 3 59" xfId="4325"/>
    <cellStyle name="Normal 2 3 59 2" xfId="12008"/>
    <cellStyle name="Normal 2 3 6" xfId="4326"/>
    <cellStyle name="Normal 2 3 6 10" xfId="4327"/>
    <cellStyle name="Normal 2 3 6 11" xfId="4328"/>
    <cellStyle name="Normal 2 3 6 12" xfId="4329"/>
    <cellStyle name="Normal 2 3 6 13" xfId="4330"/>
    <cellStyle name="Normal 2 3 6 14" xfId="4331"/>
    <cellStyle name="Normal 2 3 6 15" xfId="4332"/>
    <cellStyle name="Normal 2 3 6 16" xfId="4333"/>
    <cellStyle name="Normal 2 3 6 17" xfId="4334"/>
    <cellStyle name="Normal 2 3 6 18" xfId="4335"/>
    <cellStyle name="Normal 2 3 6 19" xfId="4336"/>
    <cellStyle name="Normal 2 3 6 2" xfId="4337"/>
    <cellStyle name="Normal 2 3 6 2 10" xfId="4338"/>
    <cellStyle name="Normal 2 3 6 2 11" xfId="4339"/>
    <cellStyle name="Normal 2 3 6 2 12" xfId="4340"/>
    <cellStyle name="Normal 2 3 6 2 13" xfId="4341"/>
    <cellStyle name="Normal 2 3 6 2 2" xfId="4342"/>
    <cellStyle name="Normal 2 3 6 2 3" xfId="4343"/>
    <cellStyle name="Normal 2 3 6 2 4" xfId="4344"/>
    <cellStyle name="Normal 2 3 6 2 5" xfId="4345"/>
    <cellStyle name="Normal 2 3 6 2 6" xfId="4346"/>
    <cellStyle name="Normal 2 3 6 2 7" xfId="4347"/>
    <cellStyle name="Normal 2 3 6 2 8" xfId="4348"/>
    <cellStyle name="Normal 2 3 6 2 9" xfId="4349"/>
    <cellStyle name="Normal 2 3 6 20" xfId="4350"/>
    <cellStyle name="Normal 2 3 6 21" xfId="4351"/>
    <cellStyle name="Normal 2 3 6 22" xfId="4352"/>
    <cellStyle name="Normal 2 3 6 23" xfId="4353"/>
    <cellStyle name="Normal 2 3 6 24" xfId="4354"/>
    <cellStyle name="Normal 2 3 6 25" xfId="4355"/>
    <cellStyle name="Normal 2 3 6 26" xfId="4356"/>
    <cellStyle name="Normal 2 3 6 27" xfId="4357"/>
    <cellStyle name="Normal 2 3 6 28" xfId="4358"/>
    <cellStyle name="Normal 2 3 6 29" xfId="4359"/>
    <cellStyle name="Normal 2 3 6 3" xfId="4360"/>
    <cellStyle name="Normal 2 3 6 30" xfId="4361"/>
    <cellStyle name="Normal 2 3 6 31" xfId="4362"/>
    <cellStyle name="Normal 2 3 6 32" xfId="4363"/>
    <cellStyle name="Normal 2 3 6 33" xfId="4364"/>
    <cellStyle name="Normal 2 3 6 34" xfId="4365"/>
    <cellStyle name="Normal 2 3 6 35" xfId="4366"/>
    <cellStyle name="Normal 2 3 6 36" xfId="4367"/>
    <cellStyle name="Normal 2 3 6 37" xfId="4368"/>
    <cellStyle name="Normal 2 3 6 38" xfId="4369"/>
    <cellStyle name="Normal 2 3 6 38 2" xfId="12010"/>
    <cellStyle name="Normal 2 3 6 39" xfId="4370"/>
    <cellStyle name="Normal 2 3 6 39 2" xfId="12011"/>
    <cellStyle name="Normal 2 3 6 4" xfId="4371"/>
    <cellStyle name="Normal 2 3 6 40" xfId="4372"/>
    <cellStyle name="Normal 2 3 6 40 2" xfId="12012"/>
    <cellStyle name="Normal 2 3 6 41" xfId="4373"/>
    <cellStyle name="Normal 2 3 6 41 2" xfId="12013"/>
    <cellStyle name="Normal 2 3 6 42" xfId="4374"/>
    <cellStyle name="Normal 2 3 6 42 2" xfId="12014"/>
    <cellStyle name="Normal 2 3 6 43" xfId="4375"/>
    <cellStyle name="Normal 2 3 6 43 2" xfId="12015"/>
    <cellStyle name="Normal 2 3 6 44" xfId="4376"/>
    <cellStyle name="Normal 2 3 6 44 2" xfId="12016"/>
    <cellStyle name="Normal 2 3 6 45" xfId="4377"/>
    <cellStyle name="Normal 2 3 6 45 2" xfId="12017"/>
    <cellStyle name="Normal 2 3 6 46" xfId="4378"/>
    <cellStyle name="Normal 2 3 6 46 2" xfId="12018"/>
    <cellStyle name="Normal 2 3 6 47" xfId="4379"/>
    <cellStyle name="Normal 2 3 6 47 2" xfId="12019"/>
    <cellStyle name="Normal 2 3 6 48" xfId="4380"/>
    <cellStyle name="Normal 2 3 6 48 2" xfId="12020"/>
    <cellStyle name="Normal 2 3 6 49" xfId="12009"/>
    <cellStyle name="Normal 2 3 6 5" xfId="4381"/>
    <cellStyle name="Normal 2 3 6 6" xfId="4382"/>
    <cellStyle name="Normal 2 3 6 7" xfId="4383"/>
    <cellStyle name="Normal 2 3 6 8" xfId="4384"/>
    <cellStyle name="Normal 2 3 6 9" xfId="4385"/>
    <cellStyle name="Normal 2 3 60" xfId="4386"/>
    <cellStyle name="Normal 2 3 60 2" xfId="12021"/>
    <cellStyle name="Normal 2 3 61" xfId="4387"/>
    <cellStyle name="Normal 2 3 61 2" xfId="12022"/>
    <cellStyle name="Normal 2 3 62" xfId="4388"/>
    <cellStyle name="Normal 2 3 62 2" xfId="12023"/>
    <cellStyle name="Normal 2 3 63" xfId="4389"/>
    <cellStyle name="Normal 2 3 63 2" xfId="12024"/>
    <cellStyle name="Normal 2 3 64" xfId="4390"/>
    <cellStyle name="Normal 2 3 64 2" xfId="12025"/>
    <cellStyle name="Normal 2 3 65" xfId="4391"/>
    <cellStyle name="Normal 2 3 65 2" xfId="12026"/>
    <cellStyle name="Normal 2 3 66" xfId="4392"/>
    <cellStyle name="Normal 2 3 66 2" xfId="12027"/>
    <cellStyle name="Normal 2 3 67" xfId="4393"/>
    <cellStyle name="Normal 2 3 67 2" xfId="12028"/>
    <cellStyle name="Normal 2 3 68" xfId="4394"/>
    <cellStyle name="Normal 2 3 68 2" xfId="12029"/>
    <cellStyle name="Normal 2 3 69" xfId="4395"/>
    <cellStyle name="Normal 2 3 69 2" xfId="12030"/>
    <cellStyle name="Normal 2 3 7" xfId="4396"/>
    <cellStyle name="Normal 2 3 70" xfId="10720"/>
    <cellStyle name="Normal 2 3 71" xfId="10749"/>
    <cellStyle name="Normal 2 3 72" xfId="10727"/>
    <cellStyle name="Normal 2 3 73" xfId="10742"/>
    <cellStyle name="Normal 2 3 74" xfId="10752"/>
    <cellStyle name="Normal 2 3 75" xfId="10791"/>
    <cellStyle name="Normal 2 3 76" xfId="10759"/>
    <cellStyle name="Normal 2 3 8" xfId="4397"/>
    <cellStyle name="Normal 2 3 9" xfId="4398"/>
    <cellStyle name="Normal 2 30" xfId="90"/>
    <cellStyle name="Normal 2 31" xfId="91"/>
    <cellStyle name="Normal 2 32" xfId="92"/>
    <cellStyle name="Normal 2 33" xfId="93"/>
    <cellStyle name="Normal 2 34" xfId="94"/>
    <cellStyle name="Normal 2 35" xfId="95"/>
    <cellStyle name="Normal 2 36" xfId="96"/>
    <cellStyle name="Normal 2 36 10" xfId="4399"/>
    <cellStyle name="Normal 2 36 11" xfId="4400"/>
    <cellStyle name="Normal 2 36 12" xfId="4401"/>
    <cellStyle name="Normal 2 36 13" xfId="4402"/>
    <cellStyle name="Normal 2 36 14" xfId="4403"/>
    <cellStyle name="Normal 2 36 15" xfId="4404"/>
    <cellStyle name="Normal 2 36 16" xfId="4405"/>
    <cellStyle name="Normal 2 36 17" xfId="4406"/>
    <cellStyle name="Normal 2 36 18" xfId="4407"/>
    <cellStyle name="Normal 2 36 19" xfId="4408"/>
    <cellStyle name="Normal 2 36 2" xfId="4409"/>
    <cellStyle name="Normal 2 36 20" xfId="4410"/>
    <cellStyle name="Normal 2 36 3" xfId="4411"/>
    <cellStyle name="Normal 2 36 4" xfId="4412"/>
    <cellStyle name="Normal 2 36 5" xfId="4413"/>
    <cellStyle name="Normal 2 36 6" xfId="4414"/>
    <cellStyle name="Normal 2 36 7" xfId="4415"/>
    <cellStyle name="Normal 2 36 8" xfId="4416"/>
    <cellStyle name="Normal 2 36 9" xfId="4417"/>
    <cellStyle name="Normal 2 37" xfId="97"/>
    <cellStyle name="Normal 2 38" xfId="98"/>
    <cellStyle name="Normal 2 39" xfId="99"/>
    <cellStyle name="Normal 2 4" xfId="100"/>
    <cellStyle name="Normal 2 4 10" xfId="4418"/>
    <cellStyle name="Normal 2 4 11" xfId="4419"/>
    <cellStyle name="Normal 2 4 12" xfId="4420"/>
    <cellStyle name="Normal 2 4 13" xfId="4421"/>
    <cellStyle name="Normal 2 4 14" xfId="4422"/>
    <cellStyle name="Normal 2 4 15" xfId="4423"/>
    <cellStyle name="Normal 2 4 16" xfId="4424"/>
    <cellStyle name="Normal 2 4 17" xfId="4425"/>
    <cellStyle name="Normal 2 4 18" xfId="4426"/>
    <cellStyle name="Normal 2 4 19" xfId="4427"/>
    <cellStyle name="Normal 2 4 2" xfId="101"/>
    <cellStyle name="Normal 2 4 2 10" xfId="4428"/>
    <cellStyle name="Normal 2 4 2 11" xfId="4429"/>
    <cellStyle name="Normal 2 4 2 12" xfId="4430"/>
    <cellStyle name="Normal 2 4 2 13" xfId="4431"/>
    <cellStyle name="Normal 2 4 2 14" xfId="4432"/>
    <cellStyle name="Normal 2 4 2 15" xfId="4433"/>
    <cellStyle name="Normal 2 4 2 16" xfId="4434"/>
    <cellStyle name="Normal 2 4 2 17" xfId="4435"/>
    <cellStyle name="Normal 2 4 2 18" xfId="4436"/>
    <cellStyle name="Normal 2 4 2 19" xfId="4437"/>
    <cellStyle name="Normal 2 4 2 2" xfId="4438"/>
    <cellStyle name="Normal 2 4 2 2 2" xfId="4439"/>
    <cellStyle name="Normal 2 4 2 2 3" xfId="4440"/>
    <cellStyle name="Normal 2 4 2 2 4" xfId="4441"/>
    <cellStyle name="Normal 2 4 2 2 5" xfId="4442"/>
    <cellStyle name="Normal 2 4 2 20" xfId="4443"/>
    <cellStyle name="Normal 2 4 2 3" xfId="4444"/>
    <cellStyle name="Normal 2 4 2 3 2" xfId="4445"/>
    <cellStyle name="Normal 2 4 2 3 3" xfId="4446"/>
    <cellStyle name="Normal 2 4 2 3 4" xfId="4447"/>
    <cellStyle name="Normal 2 4 2 3 5" xfId="4448"/>
    <cellStyle name="Normal 2 4 2 4" xfId="4449"/>
    <cellStyle name="Normal 2 4 2 4 2" xfId="4450"/>
    <cellStyle name="Normal 2 4 2 4 3" xfId="4451"/>
    <cellStyle name="Normal 2 4 2 4 4" xfId="4452"/>
    <cellStyle name="Normal 2 4 2 4 5" xfId="4453"/>
    <cellStyle name="Normal 2 4 2 5" xfId="4454"/>
    <cellStyle name="Normal 2 4 2 5 2" xfId="4455"/>
    <cellStyle name="Normal 2 4 2 5 3" xfId="4456"/>
    <cellStyle name="Normal 2 4 2 5 4" xfId="4457"/>
    <cellStyle name="Normal 2 4 2 5 5" xfId="4458"/>
    <cellStyle name="Normal 2 4 2 6" xfId="4459"/>
    <cellStyle name="Normal 2 4 2 6 2" xfId="4460"/>
    <cellStyle name="Normal 2 4 2 6 3" xfId="4461"/>
    <cellStyle name="Normal 2 4 2 6 4" xfId="4462"/>
    <cellStyle name="Normal 2 4 2 6 5" xfId="4463"/>
    <cellStyle name="Normal 2 4 2 7" xfId="4464"/>
    <cellStyle name="Normal 2 4 2 7 2" xfId="4465"/>
    <cellStyle name="Normal 2 4 2 7 3" xfId="4466"/>
    <cellStyle name="Normal 2 4 2 7 4" xfId="4467"/>
    <cellStyle name="Normal 2 4 2 7 5" xfId="4468"/>
    <cellStyle name="Normal 2 4 2 8" xfId="4469"/>
    <cellStyle name="Normal 2 4 2 8 2" xfId="4470"/>
    <cellStyle name="Normal 2 4 2 8 3" xfId="4471"/>
    <cellStyle name="Normal 2 4 2 8 4" xfId="4472"/>
    <cellStyle name="Normal 2 4 2 8 5" xfId="4473"/>
    <cellStyle name="Normal 2 4 2 9" xfId="4474"/>
    <cellStyle name="Normal 2 4 20" xfId="4475"/>
    <cellStyle name="Normal 2 4 21" xfId="4476"/>
    <cellStyle name="Normal 2 4 22" xfId="4477"/>
    <cellStyle name="Normal 2 4 23" xfId="4478"/>
    <cellStyle name="Normal 2 4 24" xfId="4479"/>
    <cellStyle name="Normal 2 4 25" xfId="4480"/>
    <cellStyle name="Normal 2 4 26" xfId="4481"/>
    <cellStyle name="Normal 2 4 27" xfId="4482"/>
    <cellStyle name="Normal 2 4 28" xfId="4483"/>
    <cellStyle name="Normal 2 4 29" xfId="4484"/>
    <cellStyle name="Normal 2 4 3" xfId="102"/>
    <cellStyle name="Normal 2 4 3 10" xfId="4485"/>
    <cellStyle name="Normal 2 4 3 11" xfId="4486"/>
    <cellStyle name="Normal 2 4 3 12" xfId="4487"/>
    <cellStyle name="Normal 2 4 3 13" xfId="4488"/>
    <cellStyle name="Normal 2 4 3 14" xfId="4489"/>
    <cellStyle name="Normal 2 4 3 15" xfId="4490"/>
    <cellStyle name="Normal 2 4 3 16" xfId="4491"/>
    <cellStyle name="Normal 2 4 3 17" xfId="4492"/>
    <cellStyle name="Normal 2 4 3 18" xfId="4493"/>
    <cellStyle name="Normal 2 4 3 19" xfId="4494"/>
    <cellStyle name="Normal 2 4 3 2" xfId="4495"/>
    <cellStyle name="Normal 2 4 3 2 2" xfId="4496"/>
    <cellStyle name="Normal 2 4 3 2 3" xfId="4497"/>
    <cellStyle name="Normal 2 4 3 2 4" xfId="4498"/>
    <cellStyle name="Normal 2 4 3 2 5" xfId="4499"/>
    <cellStyle name="Normal 2 4 3 20" xfId="4500"/>
    <cellStyle name="Normal 2 4 3 3" xfId="4501"/>
    <cellStyle name="Normal 2 4 3 3 2" xfId="4502"/>
    <cellStyle name="Normal 2 4 3 3 3" xfId="4503"/>
    <cellStyle name="Normal 2 4 3 3 4" xfId="4504"/>
    <cellStyle name="Normal 2 4 3 3 5" xfId="4505"/>
    <cellStyle name="Normal 2 4 3 4" xfId="4506"/>
    <cellStyle name="Normal 2 4 3 4 2" xfId="4507"/>
    <cellStyle name="Normal 2 4 3 4 3" xfId="4508"/>
    <cellStyle name="Normal 2 4 3 4 4" xfId="4509"/>
    <cellStyle name="Normal 2 4 3 4 5" xfId="4510"/>
    <cellStyle name="Normal 2 4 3 5" xfId="4511"/>
    <cellStyle name="Normal 2 4 3 5 2" xfId="4512"/>
    <cellStyle name="Normal 2 4 3 5 3" xfId="4513"/>
    <cellStyle name="Normal 2 4 3 5 4" xfId="4514"/>
    <cellStyle name="Normal 2 4 3 5 5" xfId="4515"/>
    <cellStyle name="Normal 2 4 3 6" xfId="4516"/>
    <cellStyle name="Normal 2 4 3 6 2" xfId="4517"/>
    <cellStyle name="Normal 2 4 3 6 3" xfId="4518"/>
    <cellStyle name="Normal 2 4 3 6 4" xfId="4519"/>
    <cellStyle name="Normal 2 4 3 6 5" xfId="4520"/>
    <cellStyle name="Normal 2 4 3 7" xfId="4521"/>
    <cellStyle name="Normal 2 4 3 7 2" xfId="4522"/>
    <cellStyle name="Normal 2 4 3 7 3" xfId="4523"/>
    <cellStyle name="Normal 2 4 3 7 4" xfId="4524"/>
    <cellStyle name="Normal 2 4 3 7 5" xfId="4525"/>
    <cellStyle name="Normal 2 4 3 8" xfId="4526"/>
    <cellStyle name="Normal 2 4 3 8 2" xfId="4527"/>
    <cellStyle name="Normal 2 4 3 8 3" xfId="4528"/>
    <cellStyle name="Normal 2 4 3 8 4" xfId="4529"/>
    <cellStyle name="Normal 2 4 3 8 5" xfId="4530"/>
    <cellStyle name="Normal 2 4 3 9" xfId="4531"/>
    <cellStyle name="Normal 2 4 30" xfId="4532"/>
    <cellStyle name="Normal 2 4 31" xfId="10721"/>
    <cellStyle name="Normal 2 4 32" xfId="10748"/>
    <cellStyle name="Normal 2 4 33" xfId="10728"/>
    <cellStyle name="Normal 2 4 34" xfId="10741"/>
    <cellStyle name="Normal 2 4 35" xfId="10753"/>
    <cellStyle name="Normal 2 4 36" xfId="10790"/>
    <cellStyle name="Normal 2 4 37" xfId="10760"/>
    <cellStyle name="Normal 2 4 4" xfId="103"/>
    <cellStyle name="Normal 2 4 4 10" xfId="4533"/>
    <cellStyle name="Normal 2 4 4 11" xfId="4534"/>
    <cellStyle name="Normal 2 4 4 12" xfId="4535"/>
    <cellStyle name="Normal 2 4 4 13" xfId="4536"/>
    <cellStyle name="Normal 2 4 4 14" xfId="4537"/>
    <cellStyle name="Normal 2 4 4 15" xfId="4538"/>
    <cellStyle name="Normal 2 4 4 16" xfId="4539"/>
    <cellStyle name="Normal 2 4 4 17" xfId="4540"/>
    <cellStyle name="Normal 2 4 4 18" xfId="4541"/>
    <cellStyle name="Normal 2 4 4 19" xfId="4542"/>
    <cellStyle name="Normal 2 4 4 2" xfId="4543"/>
    <cellStyle name="Normal 2 4 4 2 2" xfId="4544"/>
    <cellStyle name="Normal 2 4 4 2 3" xfId="4545"/>
    <cellStyle name="Normal 2 4 4 2 4" xfId="4546"/>
    <cellStyle name="Normal 2 4 4 2 5" xfId="4547"/>
    <cellStyle name="Normal 2 4 4 20" xfId="4548"/>
    <cellStyle name="Normal 2 4 4 3" xfId="4549"/>
    <cellStyle name="Normal 2 4 4 3 2" xfId="4550"/>
    <cellStyle name="Normal 2 4 4 3 3" xfId="4551"/>
    <cellStyle name="Normal 2 4 4 3 4" xfId="4552"/>
    <cellStyle name="Normal 2 4 4 3 5" xfId="4553"/>
    <cellStyle name="Normal 2 4 4 4" xfId="4554"/>
    <cellStyle name="Normal 2 4 4 4 2" xfId="4555"/>
    <cellStyle name="Normal 2 4 4 4 3" xfId="4556"/>
    <cellStyle name="Normal 2 4 4 4 4" xfId="4557"/>
    <cellStyle name="Normal 2 4 4 4 5" xfId="4558"/>
    <cellStyle name="Normal 2 4 4 5" xfId="4559"/>
    <cellStyle name="Normal 2 4 4 5 2" xfId="4560"/>
    <cellStyle name="Normal 2 4 4 5 3" xfId="4561"/>
    <cellStyle name="Normal 2 4 4 5 4" xfId="4562"/>
    <cellStyle name="Normal 2 4 4 5 5" xfId="4563"/>
    <cellStyle name="Normal 2 4 4 6" xfId="4564"/>
    <cellStyle name="Normal 2 4 4 6 2" xfId="4565"/>
    <cellStyle name="Normal 2 4 4 6 3" xfId="4566"/>
    <cellStyle name="Normal 2 4 4 6 4" xfId="4567"/>
    <cellStyle name="Normal 2 4 4 6 5" xfId="4568"/>
    <cellStyle name="Normal 2 4 4 7" xfId="4569"/>
    <cellStyle name="Normal 2 4 4 7 2" xfId="4570"/>
    <cellStyle name="Normal 2 4 4 7 3" xfId="4571"/>
    <cellStyle name="Normal 2 4 4 7 4" xfId="4572"/>
    <cellStyle name="Normal 2 4 4 7 5" xfId="4573"/>
    <cellStyle name="Normal 2 4 4 8" xfId="4574"/>
    <cellStyle name="Normal 2 4 4 8 2" xfId="4575"/>
    <cellStyle name="Normal 2 4 4 8 3" xfId="4576"/>
    <cellStyle name="Normal 2 4 4 8 4" xfId="4577"/>
    <cellStyle name="Normal 2 4 4 8 5" xfId="4578"/>
    <cellStyle name="Normal 2 4 4 9" xfId="4579"/>
    <cellStyle name="Normal 2 4 5" xfId="104"/>
    <cellStyle name="Normal 2 4 5 10" xfId="4580"/>
    <cellStyle name="Normal 2 4 5 11" xfId="4581"/>
    <cellStyle name="Normal 2 4 5 12" xfId="4582"/>
    <cellStyle name="Normal 2 4 5 13" xfId="4583"/>
    <cellStyle name="Normal 2 4 5 14" xfId="4584"/>
    <cellStyle name="Normal 2 4 5 15" xfId="4585"/>
    <cellStyle name="Normal 2 4 5 16" xfId="4586"/>
    <cellStyle name="Normal 2 4 5 17" xfId="4587"/>
    <cellStyle name="Normal 2 4 5 18" xfId="4588"/>
    <cellStyle name="Normal 2 4 5 19" xfId="4589"/>
    <cellStyle name="Normal 2 4 5 2" xfId="4590"/>
    <cellStyle name="Normal 2 4 5 2 2" xfId="4591"/>
    <cellStyle name="Normal 2 4 5 2 3" xfId="4592"/>
    <cellStyle name="Normal 2 4 5 2 4" xfId="4593"/>
    <cellStyle name="Normal 2 4 5 2 5" xfId="4594"/>
    <cellStyle name="Normal 2 4 5 20" xfId="4595"/>
    <cellStyle name="Normal 2 4 5 3" xfId="4596"/>
    <cellStyle name="Normal 2 4 5 3 2" xfId="4597"/>
    <cellStyle name="Normal 2 4 5 3 3" xfId="4598"/>
    <cellStyle name="Normal 2 4 5 3 4" xfId="4599"/>
    <cellStyle name="Normal 2 4 5 3 5" xfId="4600"/>
    <cellStyle name="Normal 2 4 5 4" xfId="4601"/>
    <cellStyle name="Normal 2 4 5 4 2" xfId="4602"/>
    <cellStyle name="Normal 2 4 5 4 3" xfId="4603"/>
    <cellStyle name="Normal 2 4 5 4 4" xfId="4604"/>
    <cellStyle name="Normal 2 4 5 4 5" xfId="4605"/>
    <cellStyle name="Normal 2 4 5 5" xfId="4606"/>
    <cellStyle name="Normal 2 4 5 5 2" xfId="4607"/>
    <cellStyle name="Normal 2 4 5 5 3" xfId="4608"/>
    <cellStyle name="Normal 2 4 5 5 4" xfId="4609"/>
    <cellStyle name="Normal 2 4 5 5 5" xfId="4610"/>
    <cellStyle name="Normal 2 4 5 6" xfId="4611"/>
    <cellStyle name="Normal 2 4 5 6 2" xfId="4612"/>
    <cellStyle name="Normal 2 4 5 6 3" xfId="4613"/>
    <cellStyle name="Normal 2 4 5 6 4" xfId="4614"/>
    <cellStyle name="Normal 2 4 5 6 5" xfId="4615"/>
    <cellStyle name="Normal 2 4 5 7" xfId="4616"/>
    <cellStyle name="Normal 2 4 5 7 2" xfId="4617"/>
    <cellStyle name="Normal 2 4 5 7 3" xfId="4618"/>
    <cellStyle name="Normal 2 4 5 7 4" xfId="4619"/>
    <cellStyle name="Normal 2 4 5 7 5" xfId="4620"/>
    <cellStyle name="Normal 2 4 5 8" xfId="4621"/>
    <cellStyle name="Normal 2 4 5 8 2" xfId="4622"/>
    <cellStyle name="Normal 2 4 5 8 3" xfId="4623"/>
    <cellStyle name="Normal 2 4 5 8 4" xfId="4624"/>
    <cellStyle name="Normal 2 4 5 8 5" xfId="4625"/>
    <cellStyle name="Normal 2 4 5 9" xfId="4626"/>
    <cellStyle name="Normal 2 4 6" xfId="4627"/>
    <cellStyle name="Normal 2 4 7" xfId="4628"/>
    <cellStyle name="Normal 2 4 8" xfId="4629"/>
    <cellStyle name="Normal 2 4 9" xfId="4630"/>
    <cellStyle name="Normal 2 40" xfId="105"/>
    <cellStyle name="Normal 2 41" xfId="106"/>
    <cellStyle name="Normal 2 42" xfId="107"/>
    <cellStyle name="Normal 2 43" xfId="108"/>
    <cellStyle name="Normal 2 44" xfId="109"/>
    <cellStyle name="Normal 2 45" xfId="110"/>
    <cellStyle name="Normal 2 46" xfId="111"/>
    <cellStyle name="Normal 2 47" xfId="112"/>
    <cellStyle name="Normal 2 48" xfId="113"/>
    <cellStyle name="Normal 2 49" xfId="114"/>
    <cellStyle name="Normal 2 5" xfId="115"/>
    <cellStyle name="Normal 2 5 10" xfId="4631"/>
    <cellStyle name="Normal 2 5 10 2" xfId="4632"/>
    <cellStyle name="Normal 2 5 10 3" xfId="4633"/>
    <cellStyle name="Normal 2 5 10 4" xfId="4634"/>
    <cellStyle name="Normal 2 5 10 5" xfId="4635"/>
    <cellStyle name="Normal 2 5 11" xfId="4636"/>
    <cellStyle name="Normal 2 5 11 2" xfId="4637"/>
    <cellStyle name="Normal 2 5 11 3" xfId="4638"/>
    <cellStyle name="Normal 2 5 11 4" xfId="4639"/>
    <cellStyle name="Normal 2 5 11 5" xfId="4640"/>
    <cellStyle name="Normal 2 5 12" xfId="4641"/>
    <cellStyle name="Normal 2 5 12 2" xfId="4642"/>
    <cellStyle name="Normal 2 5 12 3" xfId="4643"/>
    <cellStyle name="Normal 2 5 12 4" xfId="4644"/>
    <cellStyle name="Normal 2 5 12 5" xfId="4645"/>
    <cellStyle name="Normal 2 5 13" xfId="4646"/>
    <cellStyle name="Normal 2 5 13 2" xfId="4647"/>
    <cellStyle name="Normal 2 5 13 3" xfId="4648"/>
    <cellStyle name="Normal 2 5 13 4" xfId="4649"/>
    <cellStyle name="Normal 2 5 13 5" xfId="4650"/>
    <cellStyle name="Normal 2 5 14" xfId="4651"/>
    <cellStyle name="Normal 2 5 14 2" xfId="4652"/>
    <cellStyle name="Normal 2 5 14 3" xfId="4653"/>
    <cellStyle name="Normal 2 5 14 4" xfId="4654"/>
    <cellStyle name="Normal 2 5 14 5" xfId="4655"/>
    <cellStyle name="Normal 2 5 15" xfId="4656"/>
    <cellStyle name="Normal 2 5 15 2" xfId="4657"/>
    <cellStyle name="Normal 2 5 15 3" xfId="4658"/>
    <cellStyle name="Normal 2 5 15 4" xfId="4659"/>
    <cellStyle name="Normal 2 5 15 5" xfId="4660"/>
    <cellStyle name="Normal 2 5 16" xfId="4661"/>
    <cellStyle name="Normal 2 5 16 2" xfId="4662"/>
    <cellStyle name="Normal 2 5 16 3" xfId="4663"/>
    <cellStyle name="Normal 2 5 16 4" xfId="4664"/>
    <cellStyle name="Normal 2 5 16 5" xfId="4665"/>
    <cellStyle name="Normal 2 5 17" xfId="4666"/>
    <cellStyle name="Normal 2 5 17 2" xfId="4667"/>
    <cellStyle name="Normal 2 5 17 3" xfId="4668"/>
    <cellStyle name="Normal 2 5 17 4" xfId="4669"/>
    <cellStyle name="Normal 2 5 17 5" xfId="4670"/>
    <cellStyle name="Normal 2 5 18" xfId="4671"/>
    <cellStyle name="Normal 2 5 18 2" xfId="4672"/>
    <cellStyle name="Normal 2 5 18 3" xfId="4673"/>
    <cellStyle name="Normal 2 5 18 4" xfId="4674"/>
    <cellStyle name="Normal 2 5 18 5" xfId="4675"/>
    <cellStyle name="Normal 2 5 19" xfId="4676"/>
    <cellStyle name="Normal 2 5 19 2" xfId="4677"/>
    <cellStyle name="Normal 2 5 19 3" xfId="4678"/>
    <cellStyle name="Normal 2 5 19 4" xfId="4679"/>
    <cellStyle name="Normal 2 5 19 5" xfId="4680"/>
    <cellStyle name="Normal 2 5 2" xfId="116"/>
    <cellStyle name="Normal 2 5 2 10" xfId="4681"/>
    <cellStyle name="Normal 2 5 2 11" xfId="4682"/>
    <cellStyle name="Normal 2 5 2 12" xfId="4683"/>
    <cellStyle name="Normal 2 5 2 13" xfId="4684"/>
    <cellStyle name="Normal 2 5 2 14" xfId="4685"/>
    <cellStyle name="Normal 2 5 2 15" xfId="4686"/>
    <cellStyle name="Normal 2 5 2 16" xfId="4687"/>
    <cellStyle name="Normal 2 5 2 17" xfId="4688"/>
    <cellStyle name="Normal 2 5 2 2" xfId="4689"/>
    <cellStyle name="Normal 2 5 2 3" xfId="4690"/>
    <cellStyle name="Normal 2 5 2 4" xfId="4691"/>
    <cellStyle name="Normal 2 5 2 5" xfId="4692"/>
    <cellStyle name="Normal 2 5 2 6" xfId="4693"/>
    <cellStyle name="Normal 2 5 2 7" xfId="4694"/>
    <cellStyle name="Normal 2 5 2 8" xfId="4695"/>
    <cellStyle name="Normal 2 5 2 9" xfId="4696"/>
    <cellStyle name="Normal 2 5 20" xfId="4697"/>
    <cellStyle name="Normal 2 5 20 2" xfId="4698"/>
    <cellStyle name="Normal 2 5 20 3" xfId="4699"/>
    <cellStyle name="Normal 2 5 20 4" xfId="4700"/>
    <cellStyle name="Normal 2 5 20 5" xfId="4701"/>
    <cellStyle name="Normal 2 5 21" xfId="4702"/>
    <cellStyle name="Normal 2 5 21 2" xfId="4703"/>
    <cellStyle name="Normal 2 5 21 3" xfId="4704"/>
    <cellStyle name="Normal 2 5 21 4" xfId="4705"/>
    <cellStyle name="Normal 2 5 21 5" xfId="4706"/>
    <cellStyle name="Normal 2 5 22" xfId="4707"/>
    <cellStyle name="Normal 2 5 22 2" xfId="4708"/>
    <cellStyle name="Normal 2 5 22 3" xfId="4709"/>
    <cellStyle name="Normal 2 5 22 4" xfId="4710"/>
    <cellStyle name="Normal 2 5 22 5" xfId="4711"/>
    <cellStyle name="Normal 2 5 23" xfId="4712"/>
    <cellStyle name="Normal 2 5 23 2" xfId="4713"/>
    <cellStyle name="Normal 2 5 23 3" xfId="4714"/>
    <cellStyle name="Normal 2 5 23 4" xfId="4715"/>
    <cellStyle name="Normal 2 5 23 5" xfId="4716"/>
    <cellStyle name="Normal 2 5 24" xfId="4717"/>
    <cellStyle name="Normal 2 5 25" xfId="4718"/>
    <cellStyle name="Normal 2 5 26" xfId="4719"/>
    <cellStyle name="Normal 2 5 27" xfId="4720"/>
    <cellStyle name="Normal 2 5 28" xfId="4721"/>
    <cellStyle name="Normal 2 5 29" xfId="4722"/>
    <cellStyle name="Normal 2 5 3" xfId="117"/>
    <cellStyle name="Normal 2 5 3 10" xfId="4723"/>
    <cellStyle name="Normal 2 5 3 11" xfId="4724"/>
    <cellStyle name="Normal 2 5 3 12" xfId="4725"/>
    <cellStyle name="Normal 2 5 3 13" xfId="4726"/>
    <cellStyle name="Normal 2 5 3 14" xfId="4727"/>
    <cellStyle name="Normal 2 5 3 15" xfId="4728"/>
    <cellStyle name="Normal 2 5 3 16" xfId="4729"/>
    <cellStyle name="Normal 2 5 3 17" xfId="4730"/>
    <cellStyle name="Normal 2 5 3 2" xfId="4731"/>
    <cellStyle name="Normal 2 5 3 3" xfId="4732"/>
    <cellStyle name="Normal 2 5 3 4" xfId="4733"/>
    <cellStyle name="Normal 2 5 3 5" xfId="4734"/>
    <cellStyle name="Normal 2 5 3 6" xfId="4735"/>
    <cellStyle name="Normal 2 5 3 7" xfId="4736"/>
    <cellStyle name="Normal 2 5 3 8" xfId="4737"/>
    <cellStyle name="Normal 2 5 3 9" xfId="4738"/>
    <cellStyle name="Normal 2 5 30" xfId="4739"/>
    <cellStyle name="Normal 2 5 31" xfId="4740"/>
    <cellStyle name="Normal 2 5 32" xfId="4741"/>
    <cellStyle name="Normal 2 5 33" xfId="4742"/>
    <cellStyle name="Normal 2 5 34" xfId="4743"/>
    <cellStyle name="Normal 2 5 35" xfId="4744"/>
    <cellStyle name="Normal 2 5 36" xfId="4745"/>
    <cellStyle name="Normal 2 5 37" xfId="4746"/>
    <cellStyle name="Normal 2 5 38" xfId="4747"/>
    <cellStyle name="Normal 2 5 39" xfId="4748"/>
    <cellStyle name="Normal 2 5 4" xfId="118"/>
    <cellStyle name="Normal 2 5 4 10" xfId="4749"/>
    <cellStyle name="Normal 2 5 4 11" xfId="4750"/>
    <cellStyle name="Normal 2 5 4 12" xfId="4751"/>
    <cellStyle name="Normal 2 5 4 13" xfId="4752"/>
    <cellStyle name="Normal 2 5 4 14" xfId="4753"/>
    <cellStyle name="Normal 2 5 4 15" xfId="4754"/>
    <cellStyle name="Normal 2 5 4 16" xfId="4755"/>
    <cellStyle name="Normal 2 5 4 17" xfId="4756"/>
    <cellStyle name="Normal 2 5 4 2" xfId="4757"/>
    <cellStyle name="Normal 2 5 4 3" xfId="4758"/>
    <cellStyle name="Normal 2 5 4 4" xfId="4759"/>
    <cellStyle name="Normal 2 5 4 5" xfId="4760"/>
    <cellStyle name="Normal 2 5 4 6" xfId="4761"/>
    <cellStyle name="Normal 2 5 4 7" xfId="4762"/>
    <cellStyle name="Normal 2 5 4 8" xfId="4763"/>
    <cellStyle name="Normal 2 5 4 9" xfId="4764"/>
    <cellStyle name="Normal 2 5 40" xfId="4765"/>
    <cellStyle name="Normal 2 5 41" xfId="4766"/>
    <cellStyle name="Normal 2 5 42" xfId="4767"/>
    <cellStyle name="Normal 2 5 43" xfId="4768"/>
    <cellStyle name="Normal 2 5 44" xfId="4769"/>
    <cellStyle name="Normal 2 5 45" xfId="4770"/>
    <cellStyle name="Normal 2 5 46" xfId="4771"/>
    <cellStyle name="Normal 2 5 47" xfId="10722"/>
    <cellStyle name="Normal 2 5 48" xfId="10747"/>
    <cellStyle name="Normal 2 5 49" xfId="10729"/>
    <cellStyle name="Normal 2 5 5" xfId="119"/>
    <cellStyle name="Normal 2 5 5 10" xfId="4772"/>
    <cellStyle name="Normal 2 5 5 11" xfId="4773"/>
    <cellStyle name="Normal 2 5 5 12" xfId="4774"/>
    <cellStyle name="Normal 2 5 5 13" xfId="4775"/>
    <cellStyle name="Normal 2 5 5 14" xfId="4776"/>
    <cellStyle name="Normal 2 5 5 15" xfId="4777"/>
    <cellStyle name="Normal 2 5 5 16" xfId="4778"/>
    <cellStyle name="Normal 2 5 5 17" xfId="4779"/>
    <cellStyle name="Normal 2 5 5 2" xfId="4780"/>
    <cellStyle name="Normal 2 5 5 3" xfId="4781"/>
    <cellStyle name="Normal 2 5 5 4" xfId="4782"/>
    <cellStyle name="Normal 2 5 5 5" xfId="4783"/>
    <cellStyle name="Normal 2 5 5 6" xfId="4784"/>
    <cellStyle name="Normal 2 5 5 7" xfId="4785"/>
    <cellStyle name="Normal 2 5 5 8" xfId="4786"/>
    <cellStyle name="Normal 2 5 5 9" xfId="4787"/>
    <cellStyle name="Normal 2 5 50" xfId="10740"/>
    <cellStyle name="Normal 2 5 51" xfId="10754"/>
    <cellStyle name="Normal 2 5 52" xfId="10789"/>
    <cellStyle name="Normal 2 5 53" xfId="10761"/>
    <cellStyle name="Normal 2 5 6" xfId="4788"/>
    <cellStyle name="Normal 2 5 6 2" xfId="4789"/>
    <cellStyle name="Normal 2 5 6 3" xfId="4790"/>
    <cellStyle name="Normal 2 5 6 4" xfId="4791"/>
    <cellStyle name="Normal 2 5 6 5" xfId="4792"/>
    <cellStyle name="Normal 2 5 7" xfId="4793"/>
    <cellStyle name="Normal 2 5 7 2" xfId="4794"/>
    <cellStyle name="Normal 2 5 7 3" xfId="4795"/>
    <cellStyle name="Normal 2 5 7 4" xfId="4796"/>
    <cellStyle name="Normal 2 5 7 5" xfId="4797"/>
    <cellStyle name="Normal 2 5 8" xfId="4798"/>
    <cellStyle name="Normal 2 5 8 2" xfId="4799"/>
    <cellStyle name="Normal 2 5 8 3" xfId="4800"/>
    <cellStyle name="Normal 2 5 8 4" xfId="4801"/>
    <cellStyle name="Normal 2 5 8 5" xfId="4802"/>
    <cellStyle name="Normal 2 5 9" xfId="4803"/>
    <cellStyle name="Normal 2 5 9 2" xfId="4804"/>
    <cellStyle name="Normal 2 5 9 3" xfId="4805"/>
    <cellStyle name="Normal 2 5 9 4" xfId="4806"/>
    <cellStyle name="Normal 2 5 9 5" xfId="4807"/>
    <cellStyle name="Normal 2 50" xfId="120"/>
    <cellStyle name="Normal 2 51" xfId="121"/>
    <cellStyle name="Normal 2 52" xfId="4808"/>
    <cellStyle name="Normal 2 52 2" xfId="12031"/>
    <cellStyle name="Normal 2 53" xfId="4809"/>
    <cellStyle name="Normal 2 53 2" xfId="12032"/>
    <cellStyle name="Normal 2 54" xfId="4810"/>
    <cellStyle name="Normal 2 54 2" xfId="12033"/>
    <cellStyle name="Normal 2 55" xfId="4811"/>
    <cellStyle name="Normal 2 55 2" xfId="12034"/>
    <cellStyle name="Normal 2 56" xfId="4812"/>
    <cellStyle name="Normal 2 56 2" xfId="12035"/>
    <cellStyle name="Normal 2 57" xfId="4813"/>
    <cellStyle name="Normal 2 57 2" xfId="12036"/>
    <cellStyle name="Normal 2 58" xfId="4814"/>
    <cellStyle name="Normal 2 58 2" xfId="12037"/>
    <cellStyle name="Normal 2 59" xfId="4815"/>
    <cellStyle name="Normal 2 59 2" xfId="12038"/>
    <cellStyle name="Normal 2 6" xfId="122"/>
    <cellStyle name="Normal 2 6 10" xfId="4816"/>
    <cellStyle name="Normal 2 6 10 2" xfId="4817"/>
    <cellStyle name="Normal 2 6 10 3" xfId="4818"/>
    <cellStyle name="Normal 2 6 10 4" xfId="4819"/>
    <cellStyle name="Normal 2 6 10 5" xfId="4820"/>
    <cellStyle name="Normal 2 6 11" xfId="4821"/>
    <cellStyle name="Normal 2 6 11 2" xfId="4822"/>
    <cellStyle name="Normal 2 6 11 3" xfId="4823"/>
    <cellStyle name="Normal 2 6 11 4" xfId="4824"/>
    <cellStyle name="Normal 2 6 11 5" xfId="4825"/>
    <cellStyle name="Normal 2 6 12" xfId="4826"/>
    <cellStyle name="Normal 2 6 12 2" xfId="4827"/>
    <cellStyle name="Normal 2 6 12 3" xfId="4828"/>
    <cellStyle name="Normal 2 6 12 4" xfId="4829"/>
    <cellStyle name="Normal 2 6 12 5" xfId="4830"/>
    <cellStyle name="Normal 2 6 13" xfId="4831"/>
    <cellStyle name="Normal 2 6 13 2" xfId="4832"/>
    <cellStyle name="Normal 2 6 13 3" xfId="4833"/>
    <cellStyle name="Normal 2 6 13 4" xfId="4834"/>
    <cellStyle name="Normal 2 6 13 5" xfId="4835"/>
    <cellStyle name="Normal 2 6 14" xfId="4836"/>
    <cellStyle name="Normal 2 6 14 2" xfId="4837"/>
    <cellStyle name="Normal 2 6 14 3" xfId="4838"/>
    <cellStyle name="Normal 2 6 14 4" xfId="4839"/>
    <cellStyle name="Normal 2 6 14 5" xfId="4840"/>
    <cellStyle name="Normal 2 6 15" xfId="4841"/>
    <cellStyle name="Normal 2 6 15 2" xfId="4842"/>
    <cellStyle name="Normal 2 6 15 3" xfId="4843"/>
    <cellStyle name="Normal 2 6 15 4" xfId="4844"/>
    <cellStyle name="Normal 2 6 15 5" xfId="4845"/>
    <cellStyle name="Normal 2 6 16" xfId="4846"/>
    <cellStyle name="Normal 2 6 16 2" xfId="4847"/>
    <cellStyle name="Normal 2 6 16 3" xfId="4848"/>
    <cellStyle name="Normal 2 6 16 4" xfId="4849"/>
    <cellStyle name="Normal 2 6 16 5" xfId="4850"/>
    <cellStyle name="Normal 2 6 17" xfId="4851"/>
    <cellStyle name="Normal 2 6 17 2" xfId="4852"/>
    <cellStyle name="Normal 2 6 17 3" xfId="4853"/>
    <cellStyle name="Normal 2 6 17 4" xfId="4854"/>
    <cellStyle name="Normal 2 6 17 5" xfId="4855"/>
    <cellStyle name="Normal 2 6 18" xfId="4856"/>
    <cellStyle name="Normal 2 6 18 2" xfId="4857"/>
    <cellStyle name="Normal 2 6 18 3" xfId="4858"/>
    <cellStyle name="Normal 2 6 18 4" xfId="4859"/>
    <cellStyle name="Normal 2 6 18 5" xfId="4860"/>
    <cellStyle name="Normal 2 6 19" xfId="4861"/>
    <cellStyle name="Normal 2 6 19 2" xfId="4862"/>
    <cellStyle name="Normal 2 6 19 3" xfId="4863"/>
    <cellStyle name="Normal 2 6 19 4" xfId="4864"/>
    <cellStyle name="Normal 2 6 19 5" xfId="4865"/>
    <cellStyle name="Normal 2 6 2" xfId="4866"/>
    <cellStyle name="Normal 2 6 2 2" xfId="4867"/>
    <cellStyle name="Normal 2 6 2 3" xfId="4868"/>
    <cellStyle name="Normal 2 6 2 4" xfId="4869"/>
    <cellStyle name="Normal 2 6 2 5" xfId="4870"/>
    <cellStyle name="Normal 2 6 20" xfId="4871"/>
    <cellStyle name="Normal 2 6 20 2" xfId="4872"/>
    <cellStyle name="Normal 2 6 20 3" xfId="4873"/>
    <cellStyle name="Normal 2 6 20 4" xfId="4874"/>
    <cellStyle name="Normal 2 6 20 5" xfId="4875"/>
    <cellStyle name="Normal 2 6 21" xfId="4876"/>
    <cellStyle name="Normal 2 6 21 2" xfId="4877"/>
    <cellStyle name="Normal 2 6 21 3" xfId="4878"/>
    <cellStyle name="Normal 2 6 21 4" xfId="4879"/>
    <cellStyle name="Normal 2 6 21 5" xfId="4880"/>
    <cellStyle name="Normal 2 6 22" xfId="4881"/>
    <cellStyle name="Normal 2 6 22 2" xfId="4882"/>
    <cellStyle name="Normal 2 6 22 3" xfId="4883"/>
    <cellStyle name="Normal 2 6 22 4" xfId="4884"/>
    <cellStyle name="Normal 2 6 22 5" xfId="4885"/>
    <cellStyle name="Normal 2 6 23" xfId="4886"/>
    <cellStyle name="Normal 2 6 23 2" xfId="4887"/>
    <cellStyle name="Normal 2 6 23 3" xfId="4888"/>
    <cellStyle name="Normal 2 6 23 4" xfId="4889"/>
    <cellStyle name="Normal 2 6 23 5" xfId="4890"/>
    <cellStyle name="Normal 2 6 24" xfId="4891"/>
    <cellStyle name="Normal 2 6 24 2" xfId="4892"/>
    <cellStyle name="Normal 2 6 24 3" xfId="4893"/>
    <cellStyle name="Normal 2 6 24 4" xfId="4894"/>
    <cellStyle name="Normal 2 6 24 5" xfId="4895"/>
    <cellStyle name="Normal 2 6 25" xfId="4896"/>
    <cellStyle name="Normal 2 6 25 2" xfId="4897"/>
    <cellStyle name="Normal 2 6 25 3" xfId="4898"/>
    <cellStyle name="Normal 2 6 25 4" xfId="4899"/>
    <cellStyle name="Normal 2 6 25 5" xfId="4900"/>
    <cellStyle name="Normal 2 6 26" xfId="4901"/>
    <cellStyle name="Normal 2 6 26 2" xfId="4902"/>
    <cellStyle name="Normal 2 6 26 3" xfId="4903"/>
    <cellStyle name="Normal 2 6 26 4" xfId="4904"/>
    <cellStyle name="Normal 2 6 26 5" xfId="4905"/>
    <cellStyle name="Normal 2 6 27" xfId="4906"/>
    <cellStyle name="Normal 2 6 27 2" xfId="4907"/>
    <cellStyle name="Normal 2 6 27 3" xfId="4908"/>
    <cellStyle name="Normal 2 6 27 4" xfId="4909"/>
    <cellStyle name="Normal 2 6 27 5" xfId="4910"/>
    <cellStyle name="Normal 2 6 28" xfId="4911"/>
    <cellStyle name="Normal 2 6 28 2" xfId="4912"/>
    <cellStyle name="Normal 2 6 28 3" xfId="4913"/>
    <cellStyle name="Normal 2 6 28 4" xfId="4914"/>
    <cellStyle name="Normal 2 6 28 5" xfId="4915"/>
    <cellStyle name="Normal 2 6 29" xfId="4916"/>
    <cellStyle name="Normal 2 6 29 2" xfId="4917"/>
    <cellStyle name="Normal 2 6 29 3" xfId="4918"/>
    <cellStyle name="Normal 2 6 29 4" xfId="4919"/>
    <cellStyle name="Normal 2 6 29 5" xfId="4920"/>
    <cellStyle name="Normal 2 6 3" xfId="4921"/>
    <cellStyle name="Normal 2 6 3 2" xfId="4922"/>
    <cellStyle name="Normal 2 6 3 3" xfId="4923"/>
    <cellStyle name="Normal 2 6 3 4" xfId="4924"/>
    <cellStyle name="Normal 2 6 3 5" xfId="4925"/>
    <cellStyle name="Normal 2 6 30" xfId="4926"/>
    <cellStyle name="Normal 2 6 30 2" xfId="4927"/>
    <cellStyle name="Normal 2 6 30 3" xfId="4928"/>
    <cellStyle name="Normal 2 6 30 4" xfId="4929"/>
    <cellStyle name="Normal 2 6 30 5" xfId="4930"/>
    <cellStyle name="Normal 2 6 31" xfId="4931"/>
    <cellStyle name="Normal 2 6 32" xfId="4932"/>
    <cellStyle name="Normal 2 6 33" xfId="4933"/>
    <cellStyle name="Normal 2 6 34" xfId="4934"/>
    <cellStyle name="Normal 2 6 35" xfId="4935"/>
    <cellStyle name="Normal 2 6 36" xfId="4936"/>
    <cellStyle name="Normal 2 6 37" xfId="4937"/>
    <cellStyle name="Normal 2 6 38" xfId="4938"/>
    <cellStyle name="Normal 2 6 39" xfId="4939"/>
    <cellStyle name="Normal 2 6 4" xfId="4940"/>
    <cellStyle name="Normal 2 6 4 2" xfId="4941"/>
    <cellStyle name="Normal 2 6 4 3" xfId="4942"/>
    <cellStyle name="Normal 2 6 4 4" xfId="4943"/>
    <cellStyle name="Normal 2 6 4 5" xfId="4944"/>
    <cellStyle name="Normal 2 6 40" xfId="4945"/>
    <cellStyle name="Normal 2 6 41" xfId="4946"/>
    <cellStyle name="Normal 2 6 42" xfId="4947"/>
    <cellStyle name="Normal 2 6 43" xfId="4948"/>
    <cellStyle name="Normal 2 6 44" xfId="4949"/>
    <cellStyle name="Normal 2 6 45" xfId="4950"/>
    <cellStyle name="Normal 2 6 46" xfId="4951"/>
    <cellStyle name="Normal 2 6 5" xfId="4952"/>
    <cellStyle name="Normal 2 6 5 2" xfId="4953"/>
    <cellStyle name="Normal 2 6 5 3" xfId="4954"/>
    <cellStyle name="Normal 2 6 5 4" xfId="4955"/>
    <cellStyle name="Normal 2 6 5 5" xfId="4956"/>
    <cellStyle name="Normal 2 6 6" xfId="4957"/>
    <cellStyle name="Normal 2 6 6 2" xfId="4958"/>
    <cellStyle name="Normal 2 6 6 3" xfId="4959"/>
    <cellStyle name="Normal 2 6 6 4" xfId="4960"/>
    <cellStyle name="Normal 2 6 6 5" xfId="4961"/>
    <cellStyle name="Normal 2 6 7" xfId="4962"/>
    <cellStyle name="Normal 2 6 7 2" xfId="4963"/>
    <cellStyle name="Normal 2 6 7 3" xfId="4964"/>
    <cellStyle name="Normal 2 6 7 4" xfId="4965"/>
    <cellStyle name="Normal 2 6 7 5" xfId="4966"/>
    <cellStyle name="Normal 2 6 8" xfId="4967"/>
    <cellStyle name="Normal 2 6 8 2" xfId="4968"/>
    <cellStyle name="Normal 2 6 8 3" xfId="4969"/>
    <cellStyle name="Normal 2 6 8 4" xfId="4970"/>
    <cellStyle name="Normal 2 6 8 5" xfId="4971"/>
    <cellStyle name="Normal 2 6 9" xfId="4972"/>
    <cellStyle name="Normal 2 6 9 2" xfId="4973"/>
    <cellStyle name="Normal 2 6 9 3" xfId="4974"/>
    <cellStyle name="Normal 2 6 9 4" xfId="4975"/>
    <cellStyle name="Normal 2 6 9 5" xfId="4976"/>
    <cellStyle name="Normal 2 60" xfId="4977"/>
    <cellStyle name="Normal 2 60 2" xfId="12039"/>
    <cellStyle name="Normal 2 61" xfId="4978"/>
    <cellStyle name="Normal 2 61 2" xfId="12040"/>
    <cellStyle name="Normal 2 62" xfId="4979"/>
    <cellStyle name="Normal 2 62 2" xfId="12041"/>
    <cellStyle name="Normal 2 63" xfId="4980"/>
    <cellStyle name="Normal 2 63 2" xfId="12042"/>
    <cellStyle name="Normal 2 64" xfId="4981"/>
    <cellStyle name="Normal 2 64 2" xfId="12043"/>
    <cellStyle name="Normal 2 65" xfId="4982"/>
    <cellStyle name="Normal 2 65 2" xfId="12044"/>
    <cellStyle name="Normal 2 66" xfId="4983"/>
    <cellStyle name="Normal 2 66 2" xfId="12045"/>
    <cellStyle name="Normal 2 67" xfId="4984"/>
    <cellStyle name="Normal 2 67 2" xfId="12046"/>
    <cellStyle name="Normal 2 68" xfId="4985"/>
    <cellStyle name="Normal 2 68 2" xfId="12047"/>
    <cellStyle name="Normal 2 69" xfId="4986"/>
    <cellStyle name="Normal 2 69 2" xfId="12048"/>
    <cellStyle name="Normal 2 7" xfId="123"/>
    <cellStyle name="Normal 2 7 10" xfId="4987"/>
    <cellStyle name="Normal 2 7 10 2" xfId="4988"/>
    <cellStyle name="Normal 2 7 10 3" xfId="4989"/>
    <cellStyle name="Normal 2 7 10 4" xfId="4990"/>
    <cellStyle name="Normal 2 7 10 5" xfId="4991"/>
    <cellStyle name="Normal 2 7 11" xfId="4992"/>
    <cellStyle name="Normal 2 7 11 2" xfId="4993"/>
    <cellStyle name="Normal 2 7 11 3" xfId="4994"/>
    <cellStyle name="Normal 2 7 11 4" xfId="4995"/>
    <cellStyle name="Normal 2 7 11 5" xfId="4996"/>
    <cellStyle name="Normal 2 7 12" xfId="4997"/>
    <cellStyle name="Normal 2 7 12 2" xfId="4998"/>
    <cellStyle name="Normal 2 7 12 3" xfId="4999"/>
    <cellStyle name="Normal 2 7 12 4" xfId="5000"/>
    <cellStyle name="Normal 2 7 12 5" xfId="5001"/>
    <cellStyle name="Normal 2 7 13" xfId="5002"/>
    <cellStyle name="Normal 2 7 13 2" xfId="5003"/>
    <cellStyle name="Normal 2 7 13 3" xfId="5004"/>
    <cellStyle name="Normal 2 7 13 4" xfId="5005"/>
    <cellStyle name="Normal 2 7 13 5" xfId="5006"/>
    <cellStyle name="Normal 2 7 14" xfId="5007"/>
    <cellStyle name="Normal 2 7 14 2" xfId="5008"/>
    <cellStyle name="Normal 2 7 14 3" xfId="5009"/>
    <cellStyle name="Normal 2 7 14 4" xfId="5010"/>
    <cellStyle name="Normal 2 7 14 5" xfId="5011"/>
    <cellStyle name="Normal 2 7 15" xfId="5012"/>
    <cellStyle name="Normal 2 7 15 2" xfId="5013"/>
    <cellStyle name="Normal 2 7 15 3" xfId="5014"/>
    <cellStyle name="Normal 2 7 15 4" xfId="5015"/>
    <cellStyle name="Normal 2 7 15 5" xfId="5016"/>
    <cellStyle name="Normal 2 7 16" xfId="5017"/>
    <cellStyle name="Normal 2 7 16 2" xfId="5018"/>
    <cellStyle name="Normal 2 7 16 3" xfId="5019"/>
    <cellStyle name="Normal 2 7 16 4" xfId="5020"/>
    <cellStyle name="Normal 2 7 16 5" xfId="5021"/>
    <cellStyle name="Normal 2 7 17" xfId="5022"/>
    <cellStyle name="Normal 2 7 17 2" xfId="5023"/>
    <cellStyle name="Normal 2 7 17 3" xfId="5024"/>
    <cellStyle name="Normal 2 7 17 4" xfId="5025"/>
    <cellStyle name="Normal 2 7 17 5" xfId="5026"/>
    <cellStyle name="Normal 2 7 18" xfId="5027"/>
    <cellStyle name="Normal 2 7 18 2" xfId="5028"/>
    <cellStyle name="Normal 2 7 18 3" xfId="5029"/>
    <cellStyle name="Normal 2 7 18 4" xfId="5030"/>
    <cellStyle name="Normal 2 7 18 5" xfId="5031"/>
    <cellStyle name="Normal 2 7 19" xfId="5032"/>
    <cellStyle name="Normal 2 7 19 2" xfId="5033"/>
    <cellStyle name="Normal 2 7 19 3" xfId="5034"/>
    <cellStyle name="Normal 2 7 19 4" xfId="5035"/>
    <cellStyle name="Normal 2 7 19 5" xfId="5036"/>
    <cellStyle name="Normal 2 7 2" xfId="5037"/>
    <cellStyle name="Normal 2 7 2 2" xfId="5038"/>
    <cellStyle name="Normal 2 7 2 3" xfId="5039"/>
    <cellStyle name="Normal 2 7 2 4" xfId="5040"/>
    <cellStyle name="Normal 2 7 2 5" xfId="5041"/>
    <cellStyle name="Normal 2 7 20" xfId="5042"/>
    <cellStyle name="Normal 2 7 20 2" xfId="5043"/>
    <cellStyle name="Normal 2 7 20 3" xfId="5044"/>
    <cellStyle name="Normal 2 7 20 4" xfId="5045"/>
    <cellStyle name="Normal 2 7 20 5" xfId="5046"/>
    <cellStyle name="Normal 2 7 21" xfId="5047"/>
    <cellStyle name="Normal 2 7 21 2" xfId="5048"/>
    <cellStyle name="Normal 2 7 21 3" xfId="5049"/>
    <cellStyle name="Normal 2 7 21 4" xfId="5050"/>
    <cellStyle name="Normal 2 7 21 5" xfId="5051"/>
    <cellStyle name="Normal 2 7 22" xfId="5052"/>
    <cellStyle name="Normal 2 7 22 2" xfId="5053"/>
    <cellStyle name="Normal 2 7 22 3" xfId="5054"/>
    <cellStyle name="Normal 2 7 22 4" xfId="5055"/>
    <cellStyle name="Normal 2 7 22 5" xfId="5056"/>
    <cellStyle name="Normal 2 7 23" xfId="5057"/>
    <cellStyle name="Normal 2 7 23 2" xfId="5058"/>
    <cellStyle name="Normal 2 7 23 3" xfId="5059"/>
    <cellStyle name="Normal 2 7 23 4" xfId="5060"/>
    <cellStyle name="Normal 2 7 23 5" xfId="5061"/>
    <cellStyle name="Normal 2 7 24" xfId="5062"/>
    <cellStyle name="Normal 2 7 24 2" xfId="5063"/>
    <cellStyle name="Normal 2 7 24 3" xfId="5064"/>
    <cellStyle name="Normal 2 7 24 4" xfId="5065"/>
    <cellStyle name="Normal 2 7 24 5" xfId="5066"/>
    <cellStyle name="Normal 2 7 25" xfId="5067"/>
    <cellStyle name="Normal 2 7 25 2" xfId="5068"/>
    <cellStyle name="Normal 2 7 25 3" xfId="5069"/>
    <cellStyle name="Normal 2 7 25 4" xfId="5070"/>
    <cellStyle name="Normal 2 7 25 5" xfId="5071"/>
    <cellStyle name="Normal 2 7 26" xfId="5072"/>
    <cellStyle name="Normal 2 7 26 2" xfId="5073"/>
    <cellStyle name="Normal 2 7 26 3" xfId="5074"/>
    <cellStyle name="Normal 2 7 26 4" xfId="5075"/>
    <cellStyle name="Normal 2 7 26 5" xfId="5076"/>
    <cellStyle name="Normal 2 7 27" xfId="5077"/>
    <cellStyle name="Normal 2 7 27 2" xfId="5078"/>
    <cellStyle name="Normal 2 7 27 3" xfId="5079"/>
    <cellStyle name="Normal 2 7 27 4" xfId="5080"/>
    <cellStyle name="Normal 2 7 27 5" xfId="5081"/>
    <cellStyle name="Normal 2 7 28" xfId="5082"/>
    <cellStyle name="Normal 2 7 28 2" xfId="5083"/>
    <cellStyle name="Normal 2 7 28 3" xfId="5084"/>
    <cellStyle name="Normal 2 7 28 4" xfId="5085"/>
    <cellStyle name="Normal 2 7 28 5" xfId="5086"/>
    <cellStyle name="Normal 2 7 29" xfId="5087"/>
    <cellStyle name="Normal 2 7 29 2" xfId="5088"/>
    <cellStyle name="Normal 2 7 29 3" xfId="5089"/>
    <cellStyle name="Normal 2 7 29 4" xfId="5090"/>
    <cellStyle name="Normal 2 7 29 5" xfId="5091"/>
    <cellStyle name="Normal 2 7 3" xfId="5092"/>
    <cellStyle name="Normal 2 7 3 2" xfId="5093"/>
    <cellStyle name="Normal 2 7 3 3" xfId="5094"/>
    <cellStyle name="Normal 2 7 3 4" xfId="5095"/>
    <cellStyle name="Normal 2 7 3 5" xfId="5096"/>
    <cellStyle name="Normal 2 7 30" xfId="5097"/>
    <cellStyle name="Normal 2 7 30 2" xfId="5098"/>
    <cellStyle name="Normal 2 7 30 3" xfId="5099"/>
    <cellStyle name="Normal 2 7 30 4" xfId="5100"/>
    <cellStyle name="Normal 2 7 30 5" xfId="5101"/>
    <cellStyle name="Normal 2 7 31" xfId="5102"/>
    <cellStyle name="Normal 2 7 32" xfId="5103"/>
    <cellStyle name="Normal 2 7 33" xfId="5104"/>
    <cellStyle name="Normal 2 7 34" xfId="5105"/>
    <cellStyle name="Normal 2 7 35" xfId="5106"/>
    <cellStyle name="Normal 2 7 36" xfId="5107"/>
    <cellStyle name="Normal 2 7 37" xfId="5108"/>
    <cellStyle name="Normal 2 7 38" xfId="5109"/>
    <cellStyle name="Normal 2 7 39" xfId="5110"/>
    <cellStyle name="Normal 2 7 4" xfId="5111"/>
    <cellStyle name="Normal 2 7 4 2" xfId="5112"/>
    <cellStyle name="Normal 2 7 4 3" xfId="5113"/>
    <cellStyle name="Normal 2 7 4 4" xfId="5114"/>
    <cellStyle name="Normal 2 7 4 5" xfId="5115"/>
    <cellStyle name="Normal 2 7 40" xfId="5116"/>
    <cellStyle name="Normal 2 7 41" xfId="5117"/>
    <cellStyle name="Normal 2 7 42" xfId="5118"/>
    <cellStyle name="Normal 2 7 43" xfId="5119"/>
    <cellStyle name="Normal 2 7 44" xfId="5120"/>
    <cellStyle name="Normal 2 7 45" xfId="5121"/>
    <cellStyle name="Normal 2 7 46" xfId="5122"/>
    <cellStyle name="Normal 2 7 5" xfId="5123"/>
    <cellStyle name="Normal 2 7 5 2" xfId="5124"/>
    <cellStyle name="Normal 2 7 5 3" xfId="5125"/>
    <cellStyle name="Normal 2 7 5 4" xfId="5126"/>
    <cellStyle name="Normal 2 7 5 5" xfId="5127"/>
    <cellStyle name="Normal 2 7 6" xfId="5128"/>
    <cellStyle name="Normal 2 7 6 2" xfId="5129"/>
    <cellStyle name="Normal 2 7 6 3" xfId="5130"/>
    <cellStyle name="Normal 2 7 6 4" xfId="5131"/>
    <cellStyle name="Normal 2 7 6 5" xfId="5132"/>
    <cellStyle name="Normal 2 7 7" xfId="5133"/>
    <cellStyle name="Normal 2 7 7 2" xfId="5134"/>
    <cellStyle name="Normal 2 7 7 3" xfId="5135"/>
    <cellStyle name="Normal 2 7 7 4" xfId="5136"/>
    <cellStyle name="Normal 2 7 7 5" xfId="5137"/>
    <cellStyle name="Normal 2 7 8" xfId="5138"/>
    <cellStyle name="Normal 2 7 8 2" xfId="5139"/>
    <cellStyle name="Normal 2 7 8 3" xfId="5140"/>
    <cellStyle name="Normal 2 7 8 4" xfId="5141"/>
    <cellStyle name="Normal 2 7 8 5" xfId="5142"/>
    <cellStyle name="Normal 2 7 9" xfId="5143"/>
    <cellStyle name="Normal 2 7 9 2" xfId="5144"/>
    <cellStyle name="Normal 2 7 9 3" xfId="5145"/>
    <cellStyle name="Normal 2 7 9 4" xfId="5146"/>
    <cellStyle name="Normal 2 7 9 5" xfId="5147"/>
    <cellStyle name="Normal 2 70" xfId="5148"/>
    <cellStyle name="Normal 2 70 2" xfId="12049"/>
    <cellStyle name="Normal 2 71" xfId="5149"/>
    <cellStyle name="Normal 2 71 2" xfId="12050"/>
    <cellStyle name="Normal 2 72" xfId="5150"/>
    <cellStyle name="Normal 2 72 2" xfId="12051"/>
    <cellStyle name="Normal 2 73" xfId="5151"/>
    <cellStyle name="Normal 2 73 2" xfId="12052"/>
    <cellStyle name="Normal 2 74" xfId="5152"/>
    <cellStyle name="Normal 2 74 2" xfId="12053"/>
    <cellStyle name="Normal 2 75" xfId="5153"/>
    <cellStyle name="Normal 2 75 2" xfId="12054"/>
    <cellStyle name="Normal 2 76" xfId="5154"/>
    <cellStyle name="Normal 2 76 2" xfId="12055"/>
    <cellStyle name="Normal 2 77" xfId="5155"/>
    <cellStyle name="Normal 2 77 2" xfId="12056"/>
    <cellStyle name="Normal 2 78" xfId="5156"/>
    <cellStyle name="Normal 2 78 2" xfId="12057"/>
    <cellStyle name="Normal 2 79" xfId="5157"/>
    <cellStyle name="Normal 2 79 2" xfId="12058"/>
    <cellStyle name="Normal 2 8" xfId="124"/>
    <cellStyle name="Normal 2 8 10" xfId="5158"/>
    <cellStyle name="Normal 2 8 10 2" xfId="5159"/>
    <cellStyle name="Normal 2 8 10 3" xfId="5160"/>
    <cellStyle name="Normal 2 8 10 4" xfId="5161"/>
    <cellStyle name="Normal 2 8 10 5" xfId="5162"/>
    <cellStyle name="Normal 2 8 11" xfId="5163"/>
    <cellStyle name="Normal 2 8 11 2" xfId="5164"/>
    <cellStyle name="Normal 2 8 11 3" xfId="5165"/>
    <cellStyle name="Normal 2 8 11 4" xfId="5166"/>
    <cellStyle name="Normal 2 8 11 5" xfId="5167"/>
    <cellStyle name="Normal 2 8 12" xfId="5168"/>
    <cellStyle name="Normal 2 8 12 2" xfId="5169"/>
    <cellStyle name="Normal 2 8 12 3" xfId="5170"/>
    <cellStyle name="Normal 2 8 12 4" xfId="5171"/>
    <cellStyle name="Normal 2 8 12 5" xfId="5172"/>
    <cellStyle name="Normal 2 8 13" xfId="5173"/>
    <cellStyle name="Normal 2 8 13 2" xfId="5174"/>
    <cellStyle name="Normal 2 8 13 3" xfId="5175"/>
    <cellStyle name="Normal 2 8 13 4" xfId="5176"/>
    <cellStyle name="Normal 2 8 13 5" xfId="5177"/>
    <cellStyle name="Normal 2 8 14" xfId="5178"/>
    <cellStyle name="Normal 2 8 14 2" xfId="5179"/>
    <cellStyle name="Normal 2 8 14 3" xfId="5180"/>
    <cellStyle name="Normal 2 8 14 4" xfId="5181"/>
    <cellStyle name="Normal 2 8 14 5" xfId="5182"/>
    <cellStyle name="Normal 2 8 15" xfId="5183"/>
    <cellStyle name="Normal 2 8 15 2" xfId="5184"/>
    <cellStyle name="Normal 2 8 15 3" xfId="5185"/>
    <cellStyle name="Normal 2 8 15 4" xfId="5186"/>
    <cellStyle name="Normal 2 8 15 5" xfId="5187"/>
    <cellStyle name="Normal 2 8 16" xfId="5188"/>
    <cellStyle name="Normal 2 8 16 2" xfId="5189"/>
    <cellStyle name="Normal 2 8 16 3" xfId="5190"/>
    <cellStyle name="Normal 2 8 16 4" xfId="5191"/>
    <cellStyle name="Normal 2 8 16 5" xfId="5192"/>
    <cellStyle name="Normal 2 8 17" xfId="5193"/>
    <cellStyle name="Normal 2 8 17 2" xfId="5194"/>
    <cellStyle name="Normal 2 8 17 3" xfId="5195"/>
    <cellStyle name="Normal 2 8 17 4" xfId="5196"/>
    <cellStyle name="Normal 2 8 17 5" xfId="5197"/>
    <cellStyle name="Normal 2 8 18" xfId="5198"/>
    <cellStyle name="Normal 2 8 18 2" xfId="5199"/>
    <cellStyle name="Normal 2 8 18 3" xfId="5200"/>
    <cellStyle name="Normal 2 8 18 4" xfId="5201"/>
    <cellStyle name="Normal 2 8 18 5" xfId="5202"/>
    <cellStyle name="Normal 2 8 19" xfId="5203"/>
    <cellStyle name="Normal 2 8 19 2" xfId="5204"/>
    <cellStyle name="Normal 2 8 19 3" xfId="5205"/>
    <cellStyle name="Normal 2 8 19 4" xfId="5206"/>
    <cellStyle name="Normal 2 8 19 5" xfId="5207"/>
    <cellStyle name="Normal 2 8 2" xfId="5208"/>
    <cellStyle name="Normal 2 8 2 2" xfId="5209"/>
    <cellStyle name="Normal 2 8 2 3" xfId="5210"/>
    <cellStyle name="Normal 2 8 2 4" xfId="5211"/>
    <cellStyle name="Normal 2 8 2 5" xfId="5212"/>
    <cellStyle name="Normal 2 8 20" xfId="5213"/>
    <cellStyle name="Normal 2 8 20 2" xfId="5214"/>
    <cellStyle name="Normal 2 8 20 3" xfId="5215"/>
    <cellStyle name="Normal 2 8 20 4" xfId="5216"/>
    <cellStyle name="Normal 2 8 20 5" xfId="5217"/>
    <cellStyle name="Normal 2 8 21" xfId="5218"/>
    <cellStyle name="Normal 2 8 21 2" xfId="5219"/>
    <cellStyle name="Normal 2 8 21 3" xfId="5220"/>
    <cellStyle name="Normal 2 8 21 4" xfId="5221"/>
    <cellStyle name="Normal 2 8 21 5" xfId="5222"/>
    <cellStyle name="Normal 2 8 22" xfId="5223"/>
    <cellStyle name="Normal 2 8 22 2" xfId="5224"/>
    <cellStyle name="Normal 2 8 22 3" xfId="5225"/>
    <cellStyle name="Normal 2 8 22 4" xfId="5226"/>
    <cellStyle name="Normal 2 8 22 5" xfId="5227"/>
    <cellStyle name="Normal 2 8 23" xfId="5228"/>
    <cellStyle name="Normal 2 8 23 2" xfId="5229"/>
    <cellStyle name="Normal 2 8 23 3" xfId="5230"/>
    <cellStyle name="Normal 2 8 23 4" xfId="5231"/>
    <cellStyle name="Normal 2 8 23 5" xfId="5232"/>
    <cellStyle name="Normal 2 8 24" xfId="5233"/>
    <cellStyle name="Normal 2 8 24 2" xfId="5234"/>
    <cellStyle name="Normal 2 8 24 3" xfId="5235"/>
    <cellStyle name="Normal 2 8 24 4" xfId="5236"/>
    <cellStyle name="Normal 2 8 24 5" xfId="5237"/>
    <cellStyle name="Normal 2 8 25" xfId="5238"/>
    <cellStyle name="Normal 2 8 25 2" xfId="5239"/>
    <cellStyle name="Normal 2 8 25 3" xfId="5240"/>
    <cellStyle name="Normal 2 8 25 4" xfId="5241"/>
    <cellStyle name="Normal 2 8 25 5" xfId="5242"/>
    <cellStyle name="Normal 2 8 26" xfId="5243"/>
    <cellStyle name="Normal 2 8 26 2" xfId="5244"/>
    <cellStyle name="Normal 2 8 26 3" xfId="5245"/>
    <cellStyle name="Normal 2 8 26 4" xfId="5246"/>
    <cellStyle name="Normal 2 8 26 5" xfId="5247"/>
    <cellStyle name="Normal 2 8 27" xfId="5248"/>
    <cellStyle name="Normal 2 8 27 2" xfId="5249"/>
    <cellStyle name="Normal 2 8 27 3" xfId="5250"/>
    <cellStyle name="Normal 2 8 27 4" xfId="5251"/>
    <cellStyle name="Normal 2 8 27 5" xfId="5252"/>
    <cellStyle name="Normal 2 8 28" xfId="5253"/>
    <cellStyle name="Normal 2 8 28 2" xfId="5254"/>
    <cellStyle name="Normal 2 8 28 3" xfId="5255"/>
    <cellStyle name="Normal 2 8 28 4" xfId="5256"/>
    <cellStyle name="Normal 2 8 28 5" xfId="5257"/>
    <cellStyle name="Normal 2 8 29" xfId="5258"/>
    <cellStyle name="Normal 2 8 29 2" xfId="5259"/>
    <cellStyle name="Normal 2 8 29 3" xfId="5260"/>
    <cellStyle name="Normal 2 8 29 4" xfId="5261"/>
    <cellStyle name="Normal 2 8 29 5" xfId="5262"/>
    <cellStyle name="Normal 2 8 3" xfId="5263"/>
    <cellStyle name="Normal 2 8 3 2" xfId="5264"/>
    <cellStyle name="Normal 2 8 3 3" xfId="5265"/>
    <cellStyle name="Normal 2 8 3 4" xfId="5266"/>
    <cellStyle name="Normal 2 8 3 5" xfId="5267"/>
    <cellStyle name="Normal 2 8 30" xfId="5268"/>
    <cellStyle name="Normal 2 8 30 2" xfId="5269"/>
    <cellStyle name="Normal 2 8 30 3" xfId="5270"/>
    <cellStyle name="Normal 2 8 30 4" xfId="5271"/>
    <cellStyle name="Normal 2 8 30 5" xfId="5272"/>
    <cellStyle name="Normal 2 8 31" xfId="5273"/>
    <cellStyle name="Normal 2 8 32" xfId="5274"/>
    <cellStyle name="Normal 2 8 33" xfId="5275"/>
    <cellStyle name="Normal 2 8 34" xfId="5276"/>
    <cellStyle name="Normal 2 8 35" xfId="5277"/>
    <cellStyle name="Normal 2 8 36" xfId="5278"/>
    <cellStyle name="Normal 2 8 37" xfId="5279"/>
    <cellStyle name="Normal 2 8 38" xfId="5280"/>
    <cellStyle name="Normal 2 8 39" xfId="5281"/>
    <cellStyle name="Normal 2 8 4" xfId="5282"/>
    <cellStyle name="Normal 2 8 4 2" xfId="5283"/>
    <cellStyle name="Normal 2 8 4 3" xfId="5284"/>
    <cellStyle name="Normal 2 8 4 4" xfId="5285"/>
    <cellStyle name="Normal 2 8 4 5" xfId="5286"/>
    <cellStyle name="Normal 2 8 40" xfId="5287"/>
    <cellStyle name="Normal 2 8 41" xfId="5288"/>
    <cellStyle name="Normal 2 8 42" xfId="5289"/>
    <cellStyle name="Normal 2 8 43" xfId="5290"/>
    <cellStyle name="Normal 2 8 44" xfId="5291"/>
    <cellStyle name="Normal 2 8 45" xfId="5292"/>
    <cellStyle name="Normal 2 8 46" xfId="5293"/>
    <cellStyle name="Normal 2 8 5" xfId="5294"/>
    <cellStyle name="Normal 2 8 5 2" xfId="5295"/>
    <cellStyle name="Normal 2 8 5 3" xfId="5296"/>
    <cellStyle name="Normal 2 8 5 4" xfId="5297"/>
    <cellStyle name="Normal 2 8 5 5" xfId="5298"/>
    <cellStyle name="Normal 2 8 6" xfId="5299"/>
    <cellStyle name="Normal 2 8 6 2" xfId="5300"/>
    <cellStyle name="Normal 2 8 6 3" xfId="5301"/>
    <cellStyle name="Normal 2 8 6 4" xfId="5302"/>
    <cellStyle name="Normal 2 8 6 5" xfId="5303"/>
    <cellStyle name="Normal 2 8 7" xfId="5304"/>
    <cellStyle name="Normal 2 8 7 2" xfId="5305"/>
    <cellStyle name="Normal 2 8 7 3" xfId="5306"/>
    <cellStyle name="Normal 2 8 7 4" xfId="5307"/>
    <cellStyle name="Normal 2 8 7 5" xfId="5308"/>
    <cellStyle name="Normal 2 8 8" xfId="5309"/>
    <cellStyle name="Normal 2 8 8 2" xfId="5310"/>
    <cellStyle name="Normal 2 8 8 3" xfId="5311"/>
    <cellStyle name="Normal 2 8 8 4" xfId="5312"/>
    <cellStyle name="Normal 2 8 8 5" xfId="5313"/>
    <cellStyle name="Normal 2 8 9" xfId="5314"/>
    <cellStyle name="Normal 2 8 9 2" xfId="5315"/>
    <cellStyle name="Normal 2 8 9 3" xfId="5316"/>
    <cellStyle name="Normal 2 8 9 4" xfId="5317"/>
    <cellStyle name="Normal 2 8 9 5" xfId="5318"/>
    <cellStyle name="Normal 2 80" xfId="5319"/>
    <cellStyle name="Normal 2 80 2" xfId="12059"/>
    <cellStyle name="Normal 2 81" xfId="5320"/>
    <cellStyle name="Normal 2 82" xfId="5321"/>
    <cellStyle name="Normal 2 82 2" xfId="12060"/>
    <cellStyle name="Normal 2 83" xfId="5322"/>
    <cellStyle name="Normal 2 83 2" xfId="12061"/>
    <cellStyle name="Normal 2 84" xfId="5323"/>
    <cellStyle name="Normal 2 84 2" xfId="12062"/>
    <cellStyle name="Normal 2 85" xfId="5324"/>
    <cellStyle name="Normal 2 85 2" xfId="12063"/>
    <cellStyle name="Normal 2 86" xfId="5325"/>
    <cellStyle name="Normal 2 86 2" xfId="12064"/>
    <cellStyle name="Normal 2 87" xfId="5326"/>
    <cellStyle name="Normal 2 87 2" xfId="12065"/>
    <cellStyle name="Normal 2 88" xfId="5327"/>
    <cellStyle name="Normal 2 88 2" xfId="12066"/>
    <cellStyle name="Normal 2 89" xfId="5328"/>
    <cellStyle name="Normal 2 89 2" xfId="12067"/>
    <cellStyle name="Normal 2 9" xfId="125"/>
    <cellStyle name="Normal 2 9 10" xfId="5329"/>
    <cellStyle name="Normal 2 9 10 2" xfId="5330"/>
    <cellStyle name="Normal 2 9 10 3" xfId="5331"/>
    <cellStyle name="Normal 2 9 10 4" xfId="5332"/>
    <cellStyle name="Normal 2 9 10 5" xfId="5333"/>
    <cellStyle name="Normal 2 9 11" xfId="5334"/>
    <cellStyle name="Normal 2 9 11 2" xfId="5335"/>
    <cellStyle name="Normal 2 9 11 3" xfId="5336"/>
    <cellStyle name="Normal 2 9 11 4" xfId="5337"/>
    <cellStyle name="Normal 2 9 11 5" xfId="5338"/>
    <cellStyle name="Normal 2 9 12" xfId="5339"/>
    <cellStyle name="Normal 2 9 12 2" xfId="5340"/>
    <cellStyle name="Normal 2 9 12 3" xfId="5341"/>
    <cellStyle name="Normal 2 9 12 4" xfId="5342"/>
    <cellStyle name="Normal 2 9 12 5" xfId="5343"/>
    <cellStyle name="Normal 2 9 13" xfId="5344"/>
    <cellStyle name="Normal 2 9 13 2" xfId="5345"/>
    <cellStyle name="Normal 2 9 13 3" xfId="5346"/>
    <cellStyle name="Normal 2 9 13 4" xfId="5347"/>
    <cellStyle name="Normal 2 9 13 5" xfId="5348"/>
    <cellStyle name="Normal 2 9 14" xfId="5349"/>
    <cellStyle name="Normal 2 9 14 2" xfId="5350"/>
    <cellStyle name="Normal 2 9 14 3" xfId="5351"/>
    <cellStyle name="Normal 2 9 14 4" xfId="5352"/>
    <cellStyle name="Normal 2 9 14 5" xfId="5353"/>
    <cellStyle name="Normal 2 9 15" xfId="5354"/>
    <cellStyle name="Normal 2 9 15 2" xfId="5355"/>
    <cellStyle name="Normal 2 9 15 3" xfId="5356"/>
    <cellStyle name="Normal 2 9 15 4" xfId="5357"/>
    <cellStyle name="Normal 2 9 15 5" xfId="5358"/>
    <cellStyle name="Normal 2 9 16" xfId="5359"/>
    <cellStyle name="Normal 2 9 16 2" xfId="5360"/>
    <cellStyle name="Normal 2 9 16 3" xfId="5361"/>
    <cellStyle name="Normal 2 9 16 4" xfId="5362"/>
    <cellStyle name="Normal 2 9 16 5" xfId="5363"/>
    <cellStyle name="Normal 2 9 17" xfId="5364"/>
    <cellStyle name="Normal 2 9 17 2" xfId="5365"/>
    <cellStyle name="Normal 2 9 17 3" xfId="5366"/>
    <cellStyle name="Normal 2 9 17 4" xfId="5367"/>
    <cellStyle name="Normal 2 9 17 5" xfId="5368"/>
    <cellStyle name="Normal 2 9 18" xfId="5369"/>
    <cellStyle name="Normal 2 9 18 2" xfId="5370"/>
    <cellStyle name="Normal 2 9 18 3" xfId="5371"/>
    <cellStyle name="Normal 2 9 18 4" xfId="5372"/>
    <cellStyle name="Normal 2 9 18 5" xfId="5373"/>
    <cellStyle name="Normal 2 9 19" xfId="5374"/>
    <cellStyle name="Normal 2 9 19 2" xfId="5375"/>
    <cellStyle name="Normal 2 9 19 3" xfId="5376"/>
    <cellStyle name="Normal 2 9 19 4" xfId="5377"/>
    <cellStyle name="Normal 2 9 19 5" xfId="5378"/>
    <cellStyle name="Normal 2 9 2" xfId="5379"/>
    <cellStyle name="Normal 2 9 2 2" xfId="5380"/>
    <cellStyle name="Normal 2 9 2 3" xfId="5381"/>
    <cellStyle name="Normal 2 9 2 4" xfId="5382"/>
    <cellStyle name="Normal 2 9 2 5" xfId="5383"/>
    <cellStyle name="Normal 2 9 20" xfId="5384"/>
    <cellStyle name="Normal 2 9 20 2" xfId="5385"/>
    <cellStyle name="Normal 2 9 20 3" xfId="5386"/>
    <cellStyle name="Normal 2 9 20 4" xfId="5387"/>
    <cellStyle name="Normal 2 9 20 5" xfId="5388"/>
    <cellStyle name="Normal 2 9 21" xfId="5389"/>
    <cellStyle name="Normal 2 9 21 2" xfId="5390"/>
    <cellStyle name="Normal 2 9 21 3" xfId="5391"/>
    <cellStyle name="Normal 2 9 21 4" xfId="5392"/>
    <cellStyle name="Normal 2 9 21 5" xfId="5393"/>
    <cellStyle name="Normal 2 9 22" xfId="5394"/>
    <cellStyle name="Normal 2 9 22 2" xfId="5395"/>
    <cellStyle name="Normal 2 9 22 3" xfId="5396"/>
    <cellStyle name="Normal 2 9 22 4" xfId="5397"/>
    <cellStyle name="Normal 2 9 22 5" xfId="5398"/>
    <cellStyle name="Normal 2 9 23" xfId="5399"/>
    <cellStyle name="Normal 2 9 23 2" xfId="5400"/>
    <cellStyle name="Normal 2 9 23 3" xfId="5401"/>
    <cellStyle name="Normal 2 9 23 4" xfId="5402"/>
    <cellStyle name="Normal 2 9 23 5" xfId="5403"/>
    <cellStyle name="Normal 2 9 24" xfId="5404"/>
    <cellStyle name="Normal 2 9 24 2" xfId="5405"/>
    <cellStyle name="Normal 2 9 24 3" xfId="5406"/>
    <cellStyle name="Normal 2 9 24 4" xfId="5407"/>
    <cellStyle name="Normal 2 9 24 5" xfId="5408"/>
    <cellStyle name="Normal 2 9 25" xfId="5409"/>
    <cellStyle name="Normal 2 9 25 2" xfId="5410"/>
    <cellStyle name="Normal 2 9 25 3" xfId="5411"/>
    <cellStyle name="Normal 2 9 25 4" xfId="5412"/>
    <cellStyle name="Normal 2 9 25 5" xfId="5413"/>
    <cellStyle name="Normal 2 9 26" xfId="5414"/>
    <cellStyle name="Normal 2 9 26 2" xfId="5415"/>
    <cellStyle name="Normal 2 9 26 3" xfId="5416"/>
    <cellStyle name="Normal 2 9 26 4" xfId="5417"/>
    <cellStyle name="Normal 2 9 26 5" xfId="5418"/>
    <cellStyle name="Normal 2 9 27" xfId="5419"/>
    <cellStyle name="Normal 2 9 27 2" xfId="5420"/>
    <cellStyle name="Normal 2 9 27 3" xfId="5421"/>
    <cellStyle name="Normal 2 9 27 4" xfId="5422"/>
    <cellStyle name="Normal 2 9 27 5" xfId="5423"/>
    <cellStyle name="Normal 2 9 28" xfId="5424"/>
    <cellStyle name="Normal 2 9 28 2" xfId="5425"/>
    <cellStyle name="Normal 2 9 28 3" xfId="5426"/>
    <cellStyle name="Normal 2 9 28 4" xfId="5427"/>
    <cellStyle name="Normal 2 9 28 5" xfId="5428"/>
    <cellStyle name="Normal 2 9 29" xfId="5429"/>
    <cellStyle name="Normal 2 9 29 2" xfId="5430"/>
    <cellStyle name="Normal 2 9 29 3" xfId="5431"/>
    <cellStyle name="Normal 2 9 29 4" xfId="5432"/>
    <cellStyle name="Normal 2 9 29 5" xfId="5433"/>
    <cellStyle name="Normal 2 9 3" xfId="5434"/>
    <cellStyle name="Normal 2 9 3 2" xfId="5435"/>
    <cellStyle name="Normal 2 9 3 3" xfId="5436"/>
    <cellStyle name="Normal 2 9 3 4" xfId="5437"/>
    <cellStyle name="Normal 2 9 3 5" xfId="5438"/>
    <cellStyle name="Normal 2 9 30" xfId="5439"/>
    <cellStyle name="Normal 2 9 30 2" xfId="5440"/>
    <cellStyle name="Normal 2 9 30 3" xfId="5441"/>
    <cellStyle name="Normal 2 9 30 4" xfId="5442"/>
    <cellStyle name="Normal 2 9 30 5" xfId="5443"/>
    <cellStyle name="Normal 2 9 31" xfId="5444"/>
    <cellStyle name="Normal 2 9 32" xfId="5445"/>
    <cellStyle name="Normal 2 9 33" xfId="5446"/>
    <cellStyle name="Normal 2 9 34" xfId="5447"/>
    <cellStyle name="Normal 2 9 35" xfId="5448"/>
    <cellStyle name="Normal 2 9 36" xfId="5449"/>
    <cellStyle name="Normal 2 9 37" xfId="5450"/>
    <cellStyle name="Normal 2 9 38" xfId="5451"/>
    <cellStyle name="Normal 2 9 39" xfId="5452"/>
    <cellStyle name="Normal 2 9 4" xfId="5453"/>
    <cellStyle name="Normal 2 9 4 2" xfId="5454"/>
    <cellStyle name="Normal 2 9 4 3" xfId="5455"/>
    <cellStyle name="Normal 2 9 4 4" xfId="5456"/>
    <cellStyle name="Normal 2 9 4 5" xfId="5457"/>
    <cellStyle name="Normal 2 9 40" xfId="5458"/>
    <cellStyle name="Normal 2 9 41" xfId="5459"/>
    <cellStyle name="Normal 2 9 42" xfId="5460"/>
    <cellStyle name="Normal 2 9 43" xfId="5461"/>
    <cellStyle name="Normal 2 9 44" xfId="5462"/>
    <cellStyle name="Normal 2 9 45" xfId="5463"/>
    <cellStyle name="Normal 2 9 46" xfId="5464"/>
    <cellStyle name="Normal 2 9 5" xfId="5465"/>
    <cellStyle name="Normal 2 9 5 2" xfId="5466"/>
    <cellStyle name="Normal 2 9 5 3" xfId="5467"/>
    <cellStyle name="Normal 2 9 5 4" xfId="5468"/>
    <cellStyle name="Normal 2 9 5 5" xfId="5469"/>
    <cellStyle name="Normal 2 9 6" xfId="5470"/>
    <cellStyle name="Normal 2 9 6 2" xfId="5471"/>
    <cellStyle name="Normal 2 9 6 3" xfId="5472"/>
    <cellStyle name="Normal 2 9 6 4" xfId="5473"/>
    <cellStyle name="Normal 2 9 6 5" xfId="5474"/>
    <cellStyle name="Normal 2 9 7" xfId="5475"/>
    <cellStyle name="Normal 2 9 7 2" xfId="5476"/>
    <cellStyle name="Normal 2 9 7 3" xfId="5477"/>
    <cellStyle name="Normal 2 9 7 4" xfId="5478"/>
    <cellStyle name="Normal 2 9 7 5" xfId="5479"/>
    <cellStyle name="Normal 2 9 8" xfId="5480"/>
    <cellStyle name="Normal 2 9 8 2" xfId="5481"/>
    <cellStyle name="Normal 2 9 8 3" xfId="5482"/>
    <cellStyle name="Normal 2 9 8 4" xfId="5483"/>
    <cellStyle name="Normal 2 9 8 5" xfId="5484"/>
    <cellStyle name="Normal 2 9 9" xfId="5485"/>
    <cellStyle name="Normal 2 9 9 2" xfId="5486"/>
    <cellStyle name="Normal 2 9 9 3" xfId="5487"/>
    <cellStyle name="Normal 2 9 9 4" xfId="5488"/>
    <cellStyle name="Normal 2 9 9 5" xfId="5489"/>
    <cellStyle name="Normal 2 90" xfId="5490"/>
    <cellStyle name="Normal 2 90 2" xfId="12068"/>
    <cellStyle name="Normal 2 91" xfId="5491"/>
    <cellStyle name="Normal 2 91 2" xfId="12069"/>
    <cellStyle name="Normal 2 92" xfId="5492"/>
    <cellStyle name="Normal 2 92 2" xfId="12070"/>
    <cellStyle name="Normal 2 93" xfId="11346"/>
    <cellStyle name="Normal 2 93 2" xfId="11359"/>
    <cellStyle name="Normal 2 93 2 2" xfId="12072"/>
    <cellStyle name="Normal 2 93 3" xfId="12071"/>
    <cellStyle name="Normal 2 94" xfId="11348"/>
    <cellStyle name="Normal 2 95" xfId="11353"/>
    <cellStyle name="Normal 2 95 2" xfId="12073"/>
    <cellStyle name="Normal 20" xfId="10648"/>
    <cellStyle name="Normal 21" xfId="10649"/>
    <cellStyle name="Normal 22" xfId="10650"/>
    <cellStyle name="Normal 23" xfId="10651"/>
    <cellStyle name="Normal 24" xfId="10652"/>
    <cellStyle name="Normal 25" xfId="10656"/>
    <cellStyle name="Normal 26" xfId="10657"/>
    <cellStyle name="Normal 27" xfId="10658"/>
    <cellStyle name="Normal 28" xfId="10659"/>
    <cellStyle name="Normal 29" xfId="10660"/>
    <cellStyle name="Normal 3" xfId="126"/>
    <cellStyle name="Normal 3 10" xfId="5493"/>
    <cellStyle name="Normal 3 10 10" xfId="5494"/>
    <cellStyle name="Normal 3 10 11" xfId="5495"/>
    <cellStyle name="Normal 3 10 12" xfId="5496"/>
    <cellStyle name="Normal 3 10 13" xfId="5497"/>
    <cellStyle name="Normal 3 10 14" xfId="5498"/>
    <cellStyle name="Normal 3 10 15" xfId="5499"/>
    <cellStyle name="Normal 3 10 16" xfId="5500"/>
    <cellStyle name="Normal 3 10 17" xfId="5501"/>
    <cellStyle name="Normal 3 10 2" xfId="5502"/>
    <cellStyle name="Normal 3 10 3" xfId="5503"/>
    <cellStyle name="Normal 3 10 4" xfId="5504"/>
    <cellStyle name="Normal 3 10 5" xfId="5505"/>
    <cellStyle name="Normal 3 10 6" xfId="5506"/>
    <cellStyle name="Normal 3 10 7" xfId="5507"/>
    <cellStyle name="Normal 3 10 8" xfId="5508"/>
    <cellStyle name="Normal 3 10 9" xfId="5509"/>
    <cellStyle name="Normal 3 11" xfId="5510"/>
    <cellStyle name="Normal 3 11 10" xfId="5511"/>
    <cellStyle name="Normal 3 11 11" xfId="5512"/>
    <cellStyle name="Normal 3 11 12" xfId="5513"/>
    <cellStyle name="Normal 3 11 13" xfId="5514"/>
    <cellStyle name="Normal 3 11 14" xfId="5515"/>
    <cellStyle name="Normal 3 11 15" xfId="5516"/>
    <cellStyle name="Normal 3 11 16" xfId="5517"/>
    <cellStyle name="Normal 3 11 17" xfId="5518"/>
    <cellStyle name="Normal 3 11 2" xfId="5519"/>
    <cellStyle name="Normal 3 11 3" xfId="5520"/>
    <cellStyle name="Normal 3 11 4" xfId="5521"/>
    <cellStyle name="Normal 3 11 5" xfId="5522"/>
    <cellStyle name="Normal 3 11 6" xfId="5523"/>
    <cellStyle name="Normal 3 11 7" xfId="5524"/>
    <cellStyle name="Normal 3 11 8" xfId="5525"/>
    <cellStyle name="Normal 3 11 9" xfId="5526"/>
    <cellStyle name="Normal 3 12" xfId="5527"/>
    <cellStyle name="Normal 3 12 10" xfId="5528"/>
    <cellStyle name="Normal 3 12 11" xfId="5529"/>
    <cellStyle name="Normal 3 12 12" xfId="5530"/>
    <cellStyle name="Normal 3 12 13" xfId="5531"/>
    <cellStyle name="Normal 3 12 14" xfId="5532"/>
    <cellStyle name="Normal 3 12 15" xfId="5533"/>
    <cellStyle name="Normal 3 12 16" xfId="5534"/>
    <cellStyle name="Normal 3 12 17" xfId="5535"/>
    <cellStyle name="Normal 3 12 2" xfId="5536"/>
    <cellStyle name="Normal 3 12 3" xfId="5537"/>
    <cellStyle name="Normal 3 12 4" xfId="5538"/>
    <cellStyle name="Normal 3 12 5" xfId="5539"/>
    <cellStyle name="Normal 3 12 6" xfId="5540"/>
    <cellStyle name="Normal 3 12 7" xfId="5541"/>
    <cellStyle name="Normal 3 12 8" xfId="5542"/>
    <cellStyle name="Normal 3 12 9" xfId="5543"/>
    <cellStyle name="Normal 3 13" xfId="5544"/>
    <cellStyle name="Normal 3 13 10" xfId="5545"/>
    <cellStyle name="Normal 3 13 11" xfId="5546"/>
    <cellStyle name="Normal 3 13 12" xfId="5547"/>
    <cellStyle name="Normal 3 13 13" xfId="5548"/>
    <cellStyle name="Normal 3 13 14" xfId="5549"/>
    <cellStyle name="Normal 3 13 15" xfId="5550"/>
    <cellStyle name="Normal 3 13 16" xfId="5551"/>
    <cellStyle name="Normal 3 13 17" xfId="5552"/>
    <cellStyle name="Normal 3 13 2" xfId="5553"/>
    <cellStyle name="Normal 3 13 3" xfId="5554"/>
    <cellStyle name="Normal 3 13 4" xfId="5555"/>
    <cellStyle name="Normal 3 13 5" xfId="5556"/>
    <cellStyle name="Normal 3 13 6" xfId="5557"/>
    <cellStyle name="Normal 3 13 7" xfId="5558"/>
    <cellStyle name="Normal 3 13 8" xfId="5559"/>
    <cellStyle name="Normal 3 13 9" xfId="5560"/>
    <cellStyle name="Normal 3 14" xfId="5561"/>
    <cellStyle name="Normal 3 14 10" xfId="5562"/>
    <cellStyle name="Normal 3 14 11" xfId="5563"/>
    <cellStyle name="Normal 3 14 12" xfId="5564"/>
    <cellStyle name="Normal 3 14 13" xfId="5565"/>
    <cellStyle name="Normal 3 14 14" xfId="5566"/>
    <cellStyle name="Normal 3 14 15" xfId="5567"/>
    <cellStyle name="Normal 3 14 16" xfId="5568"/>
    <cellStyle name="Normal 3 14 17" xfId="5569"/>
    <cellStyle name="Normal 3 14 2" xfId="5570"/>
    <cellStyle name="Normal 3 14 3" xfId="5571"/>
    <cellStyle name="Normal 3 14 4" xfId="5572"/>
    <cellStyle name="Normal 3 14 5" xfId="5573"/>
    <cellStyle name="Normal 3 14 6" xfId="5574"/>
    <cellStyle name="Normal 3 14 7" xfId="5575"/>
    <cellStyle name="Normal 3 14 8" xfId="5576"/>
    <cellStyle name="Normal 3 14 9" xfId="5577"/>
    <cellStyle name="Normal 3 15" xfId="5578"/>
    <cellStyle name="Normal 3 15 10" xfId="5579"/>
    <cellStyle name="Normal 3 15 11" xfId="5580"/>
    <cellStyle name="Normal 3 15 12" xfId="5581"/>
    <cellStyle name="Normal 3 15 13" xfId="5582"/>
    <cellStyle name="Normal 3 15 14" xfId="5583"/>
    <cellStyle name="Normal 3 15 15" xfId="5584"/>
    <cellStyle name="Normal 3 15 16" xfId="5585"/>
    <cellStyle name="Normal 3 15 17" xfId="5586"/>
    <cellStyle name="Normal 3 15 2" xfId="5587"/>
    <cellStyle name="Normal 3 15 3" xfId="5588"/>
    <cellStyle name="Normal 3 15 4" xfId="5589"/>
    <cellStyle name="Normal 3 15 5" xfId="5590"/>
    <cellStyle name="Normal 3 15 6" xfId="5591"/>
    <cellStyle name="Normal 3 15 7" xfId="5592"/>
    <cellStyle name="Normal 3 15 8" xfId="5593"/>
    <cellStyle name="Normal 3 15 9" xfId="5594"/>
    <cellStyle name="Normal 3 16" xfId="5595"/>
    <cellStyle name="Normal 3 16 10" xfId="5596"/>
    <cellStyle name="Normal 3 16 11" xfId="5597"/>
    <cellStyle name="Normal 3 16 12" xfId="5598"/>
    <cellStyle name="Normal 3 16 13" xfId="5599"/>
    <cellStyle name="Normal 3 16 14" xfId="5600"/>
    <cellStyle name="Normal 3 16 15" xfId="5601"/>
    <cellStyle name="Normal 3 16 16" xfId="5602"/>
    <cellStyle name="Normal 3 16 17" xfId="5603"/>
    <cellStyle name="Normal 3 16 2" xfId="5604"/>
    <cellStyle name="Normal 3 16 3" xfId="5605"/>
    <cellStyle name="Normal 3 16 4" xfId="5606"/>
    <cellStyle name="Normal 3 16 5" xfId="5607"/>
    <cellStyle name="Normal 3 16 6" xfId="5608"/>
    <cellStyle name="Normal 3 16 7" xfId="5609"/>
    <cellStyle name="Normal 3 16 8" xfId="5610"/>
    <cellStyle name="Normal 3 16 9" xfId="5611"/>
    <cellStyle name="Normal 3 17" xfId="5612"/>
    <cellStyle name="Normal 3 17 10" xfId="5613"/>
    <cellStyle name="Normal 3 17 11" xfId="5614"/>
    <cellStyle name="Normal 3 17 12" xfId="5615"/>
    <cellStyle name="Normal 3 17 13" xfId="5616"/>
    <cellStyle name="Normal 3 17 14" xfId="5617"/>
    <cellStyle name="Normal 3 17 15" xfId="5618"/>
    <cellStyle name="Normal 3 17 16" xfId="5619"/>
    <cellStyle name="Normal 3 17 17" xfId="5620"/>
    <cellStyle name="Normal 3 17 2" xfId="5621"/>
    <cellStyle name="Normal 3 17 3" xfId="5622"/>
    <cellStyle name="Normal 3 17 4" xfId="5623"/>
    <cellStyle name="Normal 3 17 5" xfId="5624"/>
    <cellStyle name="Normal 3 17 6" xfId="5625"/>
    <cellStyle name="Normal 3 17 7" xfId="5626"/>
    <cellStyle name="Normal 3 17 8" xfId="5627"/>
    <cellStyle name="Normal 3 17 9" xfId="5628"/>
    <cellStyle name="Normal 3 18" xfId="5629"/>
    <cellStyle name="Normal 3 18 10" xfId="5630"/>
    <cellStyle name="Normal 3 18 11" xfId="5631"/>
    <cellStyle name="Normal 3 18 12" xfId="5632"/>
    <cellStyle name="Normal 3 18 13" xfId="5633"/>
    <cellStyle name="Normal 3 18 14" xfId="5634"/>
    <cellStyle name="Normal 3 18 15" xfId="5635"/>
    <cellStyle name="Normal 3 18 16" xfId="5636"/>
    <cellStyle name="Normal 3 18 17" xfId="5637"/>
    <cellStyle name="Normal 3 18 2" xfId="5638"/>
    <cellStyle name="Normal 3 18 3" xfId="5639"/>
    <cellStyle name="Normal 3 18 4" xfId="5640"/>
    <cellStyle name="Normal 3 18 5" xfId="5641"/>
    <cellStyle name="Normal 3 18 6" xfId="5642"/>
    <cellStyle name="Normal 3 18 7" xfId="5643"/>
    <cellStyle name="Normal 3 18 8" xfId="5644"/>
    <cellStyle name="Normal 3 18 9" xfId="5645"/>
    <cellStyle name="Normal 3 19" xfId="5646"/>
    <cellStyle name="Normal 3 19 10" xfId="5647"/>
    <cellStyle name="Normal 3 19 11" xfId="5648"/>
    <cellStyle name="Normal 3 19 12" xfId="5649"/>
    <cellStyle name="Normal 3 19 13" xfId="5650"/>
    <cellStyle name="Normal 3 19 14" xfId="5651"/>
    <cellStyle name="Normal 3 19 15" xfId="5652"/>
    <cellStyle name="Normal 3 19 16" xfId="5653"/>
    <cellStyle name="Normal 3 19 17" xfId="5654"/>
    <cellStyle name="Normal 3 19 2" xfId="5655"/>
    <cellStyle name="Normal 3 19 3" xfId="5656"/>
    <cellStyle name="Normal 3 19 4" xfId="5657"/>
    <cellStyle name="Normal 3 19 5" xfId="5658"/>
    <cellStyle name="Normal 3 19 6" xfId="5659"/>
    <cellStyle name="Normal 3 19 7" xfId="5660"/>
    <cellStyle name="Normal 3 19 8" xfId="5661"/>
    <cellStyle name="Normal 3 19 9" xfId="5662"/>
    <cellStyle name="Normal 3 2" xfId="127"/>
    <cellStyle name="Normal 3 2 10" xfId="5663"/>
    <cellStyle name="Normal 3 2 10 10" xfId="5664"/>
    <cellStyle name="Normal 3 2 10 11" xfId="5665"/>
    <cellStyle name="Normal 3 2 10 12" xfId="5666"/>
    <cellStyle name="Normal 3 2 10 13" xfId="5667"/>
    <cellStyle name="Normal 3 2 10 14" xfId="5668"/>
    <cellStyle name="Normal 3 2 10 15" xfId="5669"/>
    <cellStyle name="Normal 3 2 10 16" xfId="5670"/>
    <cellStyle name="Normal 3 2 10 17" xfId="5671"/>
    <cellStyle name="Normal 3 2 10 2" xfId="5672"/>
    <cellStyle name="Normal 3 2 10 3" xfId="5673"/>
    <cellStyle name="Normal 3 2 10 4" xfId="5674"/>
    <cellStyle name="Normal 3 2 10 5" xfId="5675"/>
    <cellStyle name="Normal 3 2 10 6" xfId="5676"/>
    <cellStyle name="Normal 3 2 10 7" xfId="5677"/>
    <cellStyle name="Normal 3 2 10 8" xfId="5678"/>
    <cellStyle name="Normal 3 2 10 9" xfId="5679"/>
    <cellStyle name="Normal 3 2 11" xfId="5680"/>
    <cellStyle name="Normal 3 2 11 10" xfId="5681"/>
    <cellStyle name="Normal 3 2 11 11" xfId="5682"/>
    <cellStyle name="Normal 3 2 11 12" xfId="5683"/>
    <cellStyle name="Normal 3 2 11 13" xfId="5684"/>
    <cellStyle name="Normal 3 2 11 14" xfId="5685"/>
    <cellStyle name="Normal 3 2 11 15" xfId="5686"/>
    <cellStyle name="Normal 3 2 11 16" xfId="5687"/>
    <cellStyle name="Normal 3 2 11 17" xfId="5688"/>
    <cellStyle name="Normal 3 2 11 2" xfId="5689"/>
    <cellStyle name="Normal 3 2 11 3" xfId="5690"/>
    <cellStyle name="Normal 3 2 11 4" xfId="5691"/>
    <cellStyle name="Normal 3 2 11 5" xfId="5692"/>
    <cellStyle name="Normal 3 2 11 6" xfId="5693"/>
    <cellStyle name="Normal 3 2 11 7" xfId="5694"/>
    <cellStyle name="Normal 3 2 11 8" xfId="5695"/>
    <cellStyle name="Normal 3 2 11 9" xfId="5696"/>
    <cellStyle name="Normal 3 2 12" xfId="5697"/>
    <cellStyle name="Normal 3 2 12 10" xfId="5698"/>
    <cellStyle name="Normal 3 2 12 11" xfId="5699"/>
    <cellStyle name="Normal 3 2 12 12" xfId="5700"/>
    <cellStyle name="Normal 3 2 12 13" xfId="5701"/>
    <cellStyle name="Normal 3 2 12 14" xfId="5702"/>
    <cellStyle name="Normal 3 2 12 15" xfId="5703"/>
    <cellStyle name="Normal 3 2 12 16" xfId="5704"/>
    <cellStyle name="Normal 3 2 12 17" xfId="5705"/>
    <cellStyle name="Normal 3 2 12 2" xfId="5706"/>
    <cellStyle name="Normal 3 2 12 3" xfId="5707"/>
    <cellStyle name="Normal 3 2 12 4" xfId="5708"/>
    <cellStyle name="Normal 3 2 12 5" xfId="5709"/>
    <cellStyle name="Normal 3 2 12 6" xfId="5710"/>
    <cellStyle name="Normal 3 2 12 7" xfId="5711"/>
    <cellStyle name="Normal 3 2 12 8" xfId="5712"/>
    <cellStyle name="Normal 3 2 12 9" xfId="5713"/>
    <cellStyle name="Normal 3 2 13" xfId="5714"/>
    <cellStyle name="Normal 3 2 13 10" xfId="5715"/>
    <cellStyle name="Normal 3 2 13 11" xfId="5716"/>
    <cellStyle name="Normal 3 2 13 12" xfId="5717"/>
    <cellStyle name="Normal 3 2 13 13" xfId="5718"/>
    <cellStyle name="Normal 3 2 13 14" xfId="5719"/>
    <cellStyle name="Normal 3 2 13 15" xfId="5720"/>
    <cellStyle name="Normal 3 2 13 16" xfId="5721"/>
    <cellStyle name="Normal 3 2 13 17" xfId="5722"/>
    <cellStyle name="Normal 3 2 13 2" xfId="5723"/>
    <cellStyle name="Normal 3 2 13 3" xfId="5724"/>
    <cellStyle name="Normal 3 2 13 4" xfId="5725"/>
    <cellStyle name="Normal 3 2 13 5" xfId="5726"/>
    <cellStyle name="Normal 3 2 13 6" xfId="5727"/>
    <cellStyle name="Normal 3 2 13 7" xfId="5728"/>
    <cellStyle name="Normal 3 2 13 8" xfId="5729"/>
    <cellStyle name="Normal 3 2 13 9" xfId="5730"/>
    <cellStyle name="Normal 3 2 14" xfId="5731"/>
    <cellStyle name="Normal 3 2 14 10" xfId="5732"/>
    <cellStyle name="Normal 3 2 14 11" xfId="5733"/>
    <cellStyle name="Normal 3 2 14 12" xfId="5734"/>
    <cellStyle name="Normal 3 2 14 13" xfId="5735"/>
    <cellStyle name="Normal 3 2 14 14" xfId="5736"/>
    <cellStyle name="Normal 3 2 14 15" xfId="5737"/>
    <cellStyle name="Normal 3 2 14 16" xfId="5738"/>
    <cellStyle name="Normal 3 2 14 17" xfId="5739"/>
    <cellStyle name="Normal 3 2 14 2" xfId="5740"/>
    <cellStyle name="Normal 3 2 14 3" xfId="5741"/>
    <cellStyle name="Normal 3 2 14 4" xfId="5742"/>
    <cellStyle name="Normal 3 2 14 5" xfId="5743"/>
    <cellStyle name="Normal 3 2 14 6" xfId="5744"/>
    <cellStyle name="Normal 3 2 14 7" xfId="5745"/>
    <cellStyle name="Normal 3 2 14 8" xfId="5746"/>
    <cellStyle name="Normal 3 2 14 9" xfId="5747"/>
    <cellStyle name="Normal 3 2 15" xfId="5748"/>
    <cellStyle name="Normal 3 2 15 10" xfId="5749"/>
    <cellStyle name="Normal 3 2 15 11" xfId="5750"/>
    <cellStyle name="Normal 3 2 15 12" xfId="5751"/>
    <cellStyle name="Normal 3 2 15 13" xfId="5752"/>
    <cellStyle name="Normal 3 2 15 14" xfId="5753"/>
    <cellStyle name="Normal 3 2 15 15" xfId="5754"/>
    <cellStyle name="Normal 3 2 15 16" xfId="5755"/>
    <cellStyle name="Normal 3 2 15 17" xfId="5756"/>
    <cellStyle name="Normal 3 2 15 2" xfId="5757"/>
    <cellStyle name="Normal 3 2 15 3" xfId="5758"/>
    <cellStyle name="Normal 3 2 15 4" xfId="5759"/>
    <cellStyle name="Normal 3 2 15 5" xfId="5760"/>
    <cellStyle name="Normal 3 2 15 6" xfId="5761"/>
    <cellStyle name="Normal 3 2 15 7" xfId="5762"/>
    <cellStyle name="Normal 3 2 15 8" xfId="5763"/>
    <cellStyle name="Normal 3 2 15 9" xfId="5764"/>
    <cellStyle name="Normal 3 2 16" xfId="5765"/>
    <cellStyle name="Normal 3 2 16 10" xfId="5766"/>
    <cellStyle name="Normal 3 2 16 11" xfId="5767"/>
    <cellStyle name="Normal 3 2 16 12" xfId="5768"/>
    <cellStyle name="Normal 3 2 16 13" xfId="5769"/>
    <cellStyle name="Normal 3 2 16 14" xfId="5770"/>
    <cellStyle name="Normal 3 2 16 15" xfId="5771"/>
    <cellStyle name="Normal 3 2 16 16" xfId="5772"/>
    <cellStyle name="Normal 3 2 16 17" xfId="5773"/>
    <cellStyle name="Normal 3 2 16 2" xfId="5774"/>
    <cellStyle name="Normal 3 2 16 3" xfId="5775"/>
    <cellStyle name="Normal 3 2 16 4" xfId="5776"/>
    <cellStyle name="Normal 3 2 16 5" xfId="5777"/>
    <cellStyle name="Normal 3 2 16 6" xfId="5778"/>
    <cellStyle name="Normal 3 2 16 7" xfId="5779"/>
    <cellStyle name="Normal 3 2 16 8" xfId="5780"/>
    <cellStyle name="Normal 3 2 16 9" xfId="5781"/>
    <cellStyle name="Normal 3 2 17" xfId="5782"/>
    <cellStyle name="Normal 3 2 17 10" xfId="5783"/>
    <cellStyle name="Normal 3 2 17 11" xfId="5784"/>
    <cellStyle name="Normal 3 2 17 12" xfId="5785"/>
    <cellStyle name="Normal 3 2 17 13" xfId="5786"/>
    <cellStyle name="Normal 3 2 17 14" xfId="5787"/>
    <cellStyle name="Normal 3 2 17 15" xfId="5788"/>
    <cellStyle name="Normal 3 2 17 16" xfId="5789"/>
    <cellStyle name="Normal 3 2 17 17" xfId="5790"/>
    <cellStyle name="Normal 3 2 17 2" xfId="5791"/>
    <cellStyle name="Normal 3 2 17 3" xfId="5792"/>
    <cellStyle name="Normal 3 2 17 4" xfId="5793"/>
    <cellStyle name="Normal 3 2 17 5" xfId="5794"/>
    <cellStyle name="Normal 3 2 17 6" xfId="5795"/>
    <cellStyle name="Normal 3 2 17 7" xfId="5796"/>
    <cellStyle name="Normal 3 2 17 8" xfId="5797"/>
    <cellStyle name="Normal 3 2 17 9" xfId="5798"/>
    <cellStyle name="Normal 3 2 18" xfId="5799"/>
    <cellStyle name="Normal 3 2 18 10" xfId="5800"/>
    <cellStyle name="Normal 3 2 18 11" xfId="5801"/>
    <cellStyle name="Normal 3 2 18 12" xfId="5802"/>
    <cellStyle name="Normal 3 2 18 13" xfId="5803"/>
    <cellStyle name="Normal 3 2 18 14" xfId="5804"/>
    <cellStyle name="Normal 3 2 18 15" xfId="5805"/>
    <cellStyle name="Normal 3 2 18 16" xfId="5806"/>
    <cellStyle name="Normal 3 2 18 17" xfId="5807"/>
    <cellStyle name="Normal 3 2 18 2" xfId="5808"/>
    <cellStyle name="Normal 3 2 18 3" xfId="5809"/>
    <cellStyle name="Normal 3 2 18 4" xfId="5810"/>
    <cellStyle name="Normal 3 2 18 5" xfId="5811"/>
    <cellStyle name="Normal 3 2 18 6" xfId="5812"/>
    <cellStyle name="Normal 3 2 18 7" xfId="5813"/>
    <cellStyle name="Normal 3 2 18 8" xfId="5814"/>
    <cellStyle name="Normal 3 2 18 9" xfId="5815"/>
    <cellStyle name="Normal 3 2 19" xfId="5816"/>
    <cellStyle name="Normal 3 2 19 10" xfId="5817"/>
    <cellStyle name="Normal 3 2 19 11" xfId="5818"/>
    <cellStyle name="Normal 3 2 19 12" xfId="5819"/>
    <cellStyle name="Normal 3 2 19 13" xfId="5820"/>
    <cellStyle name="Normal 3 2 19 14" xfId="5821"/>
    <cellStyle name="Normal 3 2 19 15" xfId="5822"/>
    <cellStyle name="Normal 3 2 19 16" xfId="5823"/>
    <cellStyle name="Normal 3 2 19 17" xfId="5824"/>
    <cellStyle name="Normal 3 2 19 2" xfId="5825"/>
    <cellStyle name="Normal 3 2 19 3" xfId="5826"/>
    <cellStyle name="Normal 3 2 19 4" xfId="5827"/>
    <cellStyle name="Normal 3 2 19 5" xfId="5828"/>
    <cellStyle name="Normal 3 2 19 6" xfId="5829"/>
    <cellStyle name="Normal 3 2 19 7" xfId="5830"/>
    <cellStyle name="Normal 3 2 19 8" xfId="5831"/>
    <cellStyle name="Normal 3 2 19 9" xfId="5832"/>
    <cellStyle name="Normal 3 2 2" xfId="5833"/>
    <cellStyle name="Normal 3 2 2 10" xfId="5834"/>
    <cellStyle name="Normal 3 2 2 11" xfId="5835"/>
    <cellStyle name="Normal 3 2 2 12" xfId="5836"/>
    <cellStyle name="Normal 3 2 2 13" xfId="5837"/>
    <cellStyle name="Normal 3 2 2 14" xfId="5838"/>
    <cellStyle name="Normal 3 2 2 15" xfId="5839"/>
    <cellStyle name="Normal 3 2 2 16" xfId="5840"/>
    <cellStyle name="Normal 3 2 2 17" xfId="5841"/>
    <cellStyle name="Normal 3 2 2 18" xfId="5842"/>
    <cellStyle name="Normal 3 2 2 19" xfId="5843"/>
    <cellStyle name="Normal 3 2 2 2" xfId="5844"/>
    <cellStyle name="Normal 3 2 2 20" xfId="5845"/>
    <cellStyle name="Normal 3 2 2 21" xfId="5846"/>
    <cellStyle name="Normal 3 2 2 22" xfId="5847"/>
    <cellStyle name="Normal 3 2 2 23" xfId="5848"/>
    <cellStyle name="Normal 3 2 2 24" xfId="5849"/>
    <cellStyle name="Normal 3 2 2 25" xfId="5850"/>
    <cellStyle name="Normal 3 2 2 26" xfId="5851"/>
    <cellStyle name="Normal 3 2 2 27" xfId="5852"/>
    <cellStyle name="Normal 3 2 2 28" xfId="5853"/>
    <cellStyle name="Normal 3 2 2 29" xfId="5854"/>
    <cellStyle name="Normal 3 2 2 3" xfId="5855"/>
    <cellStyle name="Normal 3 2 2 30" xfId="5856"/>
    <cellStyle name="Normal 3 2 2 31" xfId="5857"/>
    <cellStyle name="Normal 3 2 2 32" xfId="5858"/>
    <cellStyle name="Normal 3 2 2 33" xfId="5859"/>
    <cellStyle name="Normal 3 2 2 34" xfId="5860"/>
    <cellStyle name="Normal 3 2 2 35" xfId="5861"/>
    <cellStyle name="Normal 3 2 2 36" xfId="5862"/>
    <cellStyle name="Normal 3 2 2 37" xfId="5863"/>
    <cellStyle name="Normal 3 2 2 38" xfId="5864"/>
    <cellStyle name="Normal 3 2 2 39" xfId="5865"/>
    <cellStyle name="Normal 3 2 2 4" xfId="5866"/>
    <cellStyle name="Normal 3 2 2 40" xfId="5867"/>
    <cellStyle name="Normal 3 2 2 41" xfId="5868"/>
    <cellStyle name="Normal 3 2 2 42" xfId="5869"/>
    <cellStyle name="Normal 3 2 2 43" xfId="5870"/>
    <cellStyle name="Normal 3 2 2 44" xfId="5871"/>
    <cellStyle name="Normal 3 2 2 45" xfId="5872"/>
    <cellStyle name="Normal 3 2 2 46" xfId="5873"/>
    <cellStyle name="Normal 3 2 2 47" xfId="5874"/>
    <cellStyle name="Normal 3 2 2 48" xfId="5875"/>
    <cellStyle name="Normal 3 2 2 5" xfId="5876"/>
    <cellStyle name="Normal 3 2 2 6" xfId="5877"/>
    <cellStyle name="Normal 3 2 2 6 10" xfId="5878"/>
    <cellStyle name="Normal 3 2 2 6 11" xfId="5879"/>
    <cellStyle name="Normal 3 2 2 6 12" xfId="5880"/>
    <cellStyle name="Normal 3 2 2 6 13" xfId="5881"/>
    <cellStyle name="Normal 3 2 2 6 2" xfId="5882"/>
    <cellStyle name="Normal 3 2 2 6 3" xfId="5883"/>
    <cellStyle name="Normal 3 2 2 6 4" xfId="5884"/>
    <cellStyle name="Normal 3 2 2 6 5" xfId="5885"/>
    <cellStyle name="Normal 3 2 2 6 6" xfId="5886"/>
    <cellStyle name="Normal 3 2 2 6 7" xfId="5887"/>
    <cellStyle name="Normal 3 2 2 6 8" xfId="5888"/>
    <cellStyle name="Normal 3 2 2 6 9" xfId="5889"/>
    <cellStyle name="Normal 3 2 2 7" xfId="5890"/>
    <cellStyle name="Normal 3 2 2 8" xfId="5891"/>
    <cellStyle name="Normal 3 2 2 9" xfId="5892"/>
    <cellStyle name="Normal 3 2 20" xfId="5893"/>
    <cellStyle name="Normal 3 2 20 10" xfId="5894"/>
    <cellStyle name="Normal 3 2 20 11" xfId="5895"/>
    <cellStyle name="Normal 3 2 20 12" xfId="5896"/>
    <cellStyle name="Normal 3 2 20 13" xfId="5897"/>
    <cellStyle name="Normal 3 2 20 14" xfId="5898"/>
    <cellStyle name="Normal 3 2 20 15" xfId="5899"/>
    <cellStyle name="Normal 3 2 20 16" xfId="5900"/>
    <cellStyle name="Normal 3 2 20 17" xfId="5901"/>
    <cellStyle name="Normal 3 2 20 2" xfId="5902"/>
    <cellStyle name="Normal 3 2 20 3" xfId="5903"/>
    <cellStyle name="Normal 3 2 20 4" xfId="5904"/>
    <cellStyle name="Normal 3 2 20 5" xfId="5905"/>
    <cellStyle name="Normal 3 2 20 6" xfId="5906"/>
    <cellStyle name="Normal 3 2 20 7" xfId="5907"/>
    <cellStyle name="Normal 3 2 20 8" xfId="5908"/>
    <cellStyle name="Normal 3 2 20 9" xfId="5909"/>
    <cellStyle name="Normal 3 2 21" xfId="5910"/>
    <cellStyle name="Normal 3 2 21 10" xfId="5911"/>
    <cellStyle name="Normal 3 2 21 11" xfId="5912"/>
    <cellStyle name="Normal 3 2 21 12" xfId="5913"/>
    <cellStyle name="Normal 3 2 21 13" xfId="5914"/>
    <cellStyle name="Normal 3 2 21 14" xfId="5915"/>
    <cellStyle name="Normal 3 2 21 15" xfId="5916"/>
    <cellStyle name="Normal 3 2 21 16" xfId="5917"/>
    <cellStyle name="Normal 3 2 21 17" xfId="5918"/>
    <cellStyle name="Normal 3 2 21 2" xfId="5919"/>
    <cellStyle name="Normal 3 2 21 3" xfId="5920"/>
    <cellStyle name="Normal 3 2 21 4" xfId="5921"/>
    <cellStyle name="Normal 3 2 21 5" xfId="5922"/>
    <cellStyle name="Normal 3 2 21 6" xfId="5923"/>
    <cellStyle name="Normal 3 2 21 7" xfId="5924"/>
    <cellStyle name="Normal 3 2 21 8" xfId="5925"/>
    <cellStyle name="Normal 3 2 21 9" xfId="5926"/>
    <cellStyle name="Normal 3 2 22" xfId="5927"/>
    <cellStyle name="Normal 3 2 22 10" xfId="5928"/>
    <cellStyle name="Normal 3 2 22 11" xfId="5929"/>
    <cellStyle name="Normal 3 2 22 12" xfId="5930"/>
    <cellStyle name="Normal 3 2 22 13" xfId="5931"/>
    <cellStyle name="Normal 3 2 22 14" xfId="5932"/>
    <cellStyle name="Normal 3 2 22 15" xfId="5933"/>
    <cellStyle name="Normal 3 2 22 16" xfId="5934"/>
    <cellStyle name="Normal 3 2 22 17" xfId="5935"/>
    <cellStyle name="Normal 3 2 22 2" xfId="5936"/>
    <cellStyle name="Normal 3 2 22 3" xfId="5937"/>
    <cellStyle name="Normal 3 2 22 4" xfId="5938"/>
    <cellStyle name="Normal 3 2 22 5" xfId="5939"/>
    <cellStyle name="Normal 3 2 22 6" xfId="5940"/>
    <cellStyle name="Normal 3 2 22 7" xfId="5941"/>
    <cellStyle name="Normal 3 2 22 8" xfId="5942"/>
    <cellStyle name="Normal 3 2 22 9" xfId="5943"/>
    <cellStyle name="Normal 3 2 23" xfId="5944"/>
    <cellStyle name="Normal 3 2 23 10" xfId="5945"/>
    <cellStyle name="Normal 3 2 23 11" xfId="5946"/>
    <cellStyle name="Normal 3 2 23 12" xfId="5947"/>
    <cellStyle name="Normal 3 2 23 13" xfId="5948"/>
    <cellStyle name="Normal 3 2 23 14" xfId="5949"/>
    <cellStyle name="Normal 3 2 23 15" xfId="5950"/>
    <cellStyle name="Normal 3 2 23 16" xfId="5951"/>
    <cellStyle name="Normal 3 2 23 17" xfId="5952"/>
    <cellStyle name="Normal 3 2 23 2" xfId="5953"/>
    <cellStyle name="Normal 3 2 23 3" xfId="5954"/>
    <cellStyle name="Normal 3 2 23 4" xfId="5955"/>
    <cellStyle name="Normal 3 2 23 5" xfId="5956"/>
    <cellStyle name="Normal 3 2 23 6" xfId="5957"/>
    <cellStyle name="Normal 3 2 23 7" xfId="5958"/>
    <cellStyle name="Normal 3 2 23 8" xfId="5959"/>
    <cellStyle name="Normal 3 2 23 9" xfId="5960"/>
    <cellStyle name="Normal 3 2 24" xfId="5961"/>
    <cellStyle name="Normal 3 2 24 10" xfId="5962"/>
    <cellStyle name="Normal 3 2 24 11" xfId="5963"/>
    <cellStyle name="Normal 3 2 24 12" xfId="5964"/>
    <cellStyle name="Normal 3 2 24 13" xfId="5965"/>
    <cellStyle name="Normal 3 2 24 14" xfId="5966"/>
    <cellStyle name="Normal 3 2 24 15" xfId="5967"/>
    <cellStyle name="Normal 3 2 24 16" xfId="5968"/>
    <cellStyle name="Normal 3 2 24 17" xfId="5969"/>
    <cellStyle name="Normal 3 2 24 2" xfId="5970"/>
    <cellStyle name="Normal 3 2 24 3" xfId="5971"/>
    <cellStyle name="Normal 3 2 24 4" xfId="5972"/>
    <cellStyle name="Normal 3 2 24 5" xfId="5973"/>
    <cellStyle name="Normal 3 2 24 6" xfId="5974"/>
    <cellStyle name="Normal 3 2 24 7" xfId="5975"/>
    <cellStyle name="Normal 3 2 24 8" xfId="5976"/>
    <cellStyle name="Normal 3 2 24 9" xfId="5977"/>
    <cellStyle name="Normal 3 2 25" xfId="5978"/>
    <cellStyle name="Normal 3 2 25 10" xfId="5979"/>
    <cellStyle name="Normal 3 2 25 11" xfId="5980"/>
    <cellStyle name="Normal 3 2 25 12" xfId="5981"/>
    <cellStyle name="Normal 3 2 25 13" xfId="5982"/>
    <cellStyle name="Normal 3 2 25 14" xfId="5983"/>
    <cellStyle name="Normal 3 2 25 15" xfId="5984"/>
    <cellStyle name="Normal 3 2 25 16" xfId="5985"/>
    <cellStyle name="Normal 3 2 25 17" xfId="5986"/>
    <cellStyle name="Normal 3 2 25 2" xfId="5987"/>
    <cellStyle name="Normal 3 2 25 3" xfId="5988"/>
    <cellStyle name="Normal 3 2 25 4" xfId="5989"/>
    <cellStyle name="Normal 3 2 25 5" xfId="5990"/>
    <cellStyle name="Normal 3 2 25 6" xfId="5991"/>
    <cellStyle name="Normal 3 2 25 7" xfId="5992"/>
    <cellStyle name="Normal 3 2 25 8" xfId="5993"/>
    <cellStyle name="Normal 3 2 25 9" xfId="5994"/>
    <cellStyle name="Normal 3 2 26" xfId="5995"/>
    <cellStyle name="Normal 3 2 26 10" xfId="5996"/>
    <cellStyle name="Normal 3 2 26 11" xfId="5997"/>
    <cellStyle name="Normal 3 2 26 12" xfId="5998"/>
    <cellStyle name="Normal 3 2 26 13" xfId="5999"/>
    <cellStyle name="Normal 3 2 26 14" xfId="6000"/>
    <cellStyle name="Normal 3 2 26 15" xfId="6001"/>
    <cellStyle name="Normal 3 2 26 16" xfId="6002"/>
    <cellStyle name="Normal 3 2 26 17" xfId="6003"/>
    <cellStyle name="Normal 3 2 26 2" xfId="6004"/>
    <cellStyle name="Normal 3 2 26 3" xfId="6005"/>
    <cellStyle name="Normal 3 2 26 4" xfId="6006"/>
    <cellStyle name="Normal 3 2 26 5" xfId="6007"/>
    <cellStyle name="Normal 3 2 26 6" xfId="6008"/>
    <cellStyle name="Normal 3 2 26 7" xfId="6009"/>
    <cellStyle name="Normal 3 2 26 8" xfId="6010"/>
    <cellStyle name="Normal 3 2 26 9" xfId="6011"/>
    <cellStyle name="Normal 3 2 27" xfId="6012"/>
    <cellStyle name="Normal 3 2 27 10" xfId="6013"/>
    <cellStyle name="Normal 3 2 27 11" xfId="6014"/>
    <cellStyle name="Normal 3 2 27 12" xfId="6015"/>
    <cellStyle name="Normal 3 2 27 13" xfId="6016"/>
    <cellStyle name="Normal 3 2 27 14" xfId="6017"/>
    <cellStyle name="Normal 3 2 27 15" xfId="6018"/>
    <cellStyle name="Normal 3 2 27 16" xfId="6019"/>
    <cellStyle name="Normal 3 2 27 17" xfId="6020"/>
    <cellStyle name="Normal 3 2 27 2" xfId="6021"/>
    <cellStyle name="Normal 3 2 27 3" xfId="6022"/>
    <cellStyle name="Normal 3 2 27 4" xfId="6023"/>
    <cellStyle name="Normal 3 2 27 5" xfId="6024"/>
    <cellStyle name="Normal 3 2 27 6" xfId="6025"/>
    <cellStyle name="Normal 3 2 27 7" xfId="6026"/>
    <cellStyle name="Normal 3 2 27 8" xfId="6027"/>
    <cellStyle name="Normal 3 2 27 9" xfId="6028"/>
    <cellStyle name="Normal 3 2 28" xfId="6029"/>
    <cellStyle name="Normal 3 2 28 10" xfId="6030"/>
    <cellStyle name="Normal 3 2 28 11" xfId="6031"/>
    <cellStyle name="Normal 3 2 28 12" xfId="6032"/>
    <cellStyle name="Normal 3 2 28 13" xfId="6033"/>
    <cellStyle name="Normal 3 2 28 14" xfId="6034"/>
    <cellStyle name="Normal 3 2 28 15" xfId="6035"/>
    <cellStyle name="Normal 3 2 28 16" xfId="6036"/>
    <cellStyle name="Normal 3 2 28 17" xfId="6037"/>
    <cellStyle name="Normal 3 2 28 2" xfId="6038"/>
    <cellStyle name="Normal 3 2 28 3" xfId="6039"/>
    <cellStyle name="Normal 3 2 28 4" xfId="6040"/>
    <cellStyle name="Normal 3 2 28 5" xfId="6041"/>
    <cellStyle name="Normal 3 2 28 6" xfId="6042"/>
    <cellStyle name="Normal 3 2 28 7" xfId="6043"/>
    <cellStyle name="Normal 3 2 28 8" xfId="6044"/>
    <cellStyle name="Normal 3 2 28 9" xfId="6045"/>
    <cellStyle name="Normal 3 2 29" xfId="6046"/>
    <cellStyle name="Normal 3 2 29 10" xfId="6047"/>
    <cellStyle name="Normal 3 2 29 11" xfId="6048"/>
    <cellStyle name="Normal 3 2 29 12" xfId="6049"/>
    <cellStyle name="Normal 3 2 29 13" xfId="6050"/>
    <cellStyle name="Normal 3 2 29 14" xfId="6051"/>
    <cellStyle name="Normal 3 2 29 15" xfId="6052"/>
    <cellStyle name="Normal 3 2 29 16" xfId="6053"/>
    <cellStyle name="Normal 3 2 29 17" xfId="6054"/>
    <cellStyle name="Normal 3 2 29 2" xfId="6055"/>
    <cellStyle name="Normal 3 2 29 3" xfId="6056"/>
    <cellStyle name="Normal 3 2 29 4" xfId="6057"/>
    <cellStyle name="Normal 3 2 29 5" xfId="6058"/>
    <cellStyle name="Normal 3 2 29 6" xfId="6059"/>
    <cellStyle name="Normal 3 2 29 7" xfId="6060"/>
    <cellStyle name="Normal 3 2 29 8" xfId="6061"/>
    <cellStyle name="Normal 3 2 29 9" xfId="6062"/>
    <cellStyle name="Normal 3 2 3" xfId="6063"/>
    <cellStyle name="Normal 3 2 3 10" xfId="6064"/>
    <cellStyle name="Normal 3 2 3 11" xfId="6065"/>
    <cellStyle name="Normal 3 2 3 12" xfId="6066"/>
    <cellStyle name="Normal 3 2 3 13" xfId="6067"/>
    <cellStyle name="Normal 3 2 3 14" xfId="6068"/>
    <cellStyle name="Normal 3 2 3 15" xfId="6069"/>
    <cellStyle name="Normal 3 2 3 16" xfId="6070"/>
    <cellStyle name="Normal 3 2 3 17" xfId="6071"/>
    <cellStyle name="Normal 3 2 3 2" xfId="6072"/>
    <cellStyle name="Normal 3 2 3 3" xfId="6073"/>
    <cellStyle name="Normal 3 2 3 4" xfId="6074"/>
    <cellStyle name="Normal 3 2 3 5" xfId="6075"/>
    <cellStyle name="Normal 3 2 3 6" xfId="6076"/>
    <cellStyle name="Normal 3 2 3 7" xfId="6077"/>
    <cellStyle name="Normal 3 2 3 8" xfId="6078"/>
    <cellStyle name="Normal 3 2 3 9" xfId="6079"/>
    <cellStyle name="Normal 3 2 30" xfId="6080"/>
    <cellStyle name="Normal 3 2 30 10" xfId="6081"/>
    <cellStyle name="Normal 3 2 30 11" xfId="6082"/>
    <cellStyle name="Normal 3 2 30 12" xfId="6083"/>
    <cellStyle name="Normal 3 2 30 13" xfId="6084"/>
    <cellStyle name="Normal 3 2 30 14" xfId="6085"/>
    <cellStyle name="Normal 3 2 30 15" xfId="6086"/>
    <cellStyle name="Normal 3 2 30 16" xfId="6087"/>
    <cellStyle name="Normal 3 2 30 17" xfId="6088"/>
    <cellStyle name="Normal 3 2 30 2" xfId="6089"/>
    <cellStyle name="Normal 3 2 30 3" xfId="6090"/>
    <cellStyle name="Normal 3 2 30 4" xfId="6091"/>
    <cellStyle name="Normal 3 2 30 5" xfId="6092"/>
    <cellStyle name="Normal 3 2 30 6" xfId="6093"/>
    <cellStyle name="Normal 3 2 30 7" xfId="6094"/>
    <cellStyle name="Normal 3 2 30 8" xfId="6095"/>
    <cellStyle name="Normal 3 2 30 9" xfId="6096"/>
    <cellStyle name="Normal 3 2 31" xfId="6097"/>
    <cellStyle name="Normal 3 2 32" xfId="6098"/>
    <cellStyle name="Normal 3 2 32 10" xfId="6099"/>
    <cellStyle name="Normal 3 2 32 11" xfId="6100"/>
    <cellStyle name="Normal 3 2 32 12" xfId="6101"/>
    <cellStyle name="Normal 3 2 32 13" xfId="6102"/>
    <cellStyle name="Normal 3 2 32 2" xfId="6103"/>
    <cellStyle name="Normal 3 2 32 3" xfId="6104"/>
    <cellStyle name="Normal 3 2 32 4" xfId="6105"/>
    <cellStyle name="Normal 3 2 32 5" xfId="6106"/>
    <cellStyle name="Normal 3 2 32 6" xfId="6107"/>
    <cellStyle name="Normal 3 2 32 7" xfId="6108"/>
    <cellStyle name="Normal 3 2 32 8" xfId="6109"/>
    <cellStyle name="Normal 3 2 32 9" xfId="6110"/>
    <cellStyle name="Normal 3 2 33" xfId="6111"/>
    <cellStyle name="Normal 3 2 33 10" xfId="6112"/>
    <cellStyle name="Normal 3 2 33 11" xfId="6113"/>
    <cellStyle name="Normal 3 2 33 12" xfId="6114"/>
    <cellStyle name="Normal 3 2 33 13" xfId="6115"/>
    <cellStyle name="Normal 3 2 33 2" xfId="6116"/>
    <cellStyle name="Normal 3 2 33 3" xfId="6117"/>
    <cellStyle name="Normal 3 2 33 4" xfId="6118"/>
    <cellStyle name="Normal 3 2 33 5" xfId="6119"/>
    <cellStyle name="Normal 3 2 33 6" xfId="6120"/>
    <cellStyle name="Normal 3 2 33 7" xfId="6121"/>
    <cellStyle name="Normal 3 2 33 8" xfId="6122"/>
    <cellStyle name="Normal 3 2 33 9" xfId="6123"/>
    <cellStyle name="Normal 3 2 34" xfId="6124"/>
    <cellStyle name="Normal 3 2 34 10" xfId="6125"/>
    <cellStyle name="Normal 3 2 34 11" xfId="6126"/>
    <cellStyle name="Normal 3 2 34 12" xfId="6127"/>
    <cellStyle name="Normal 3 2 34 13" xfId="6128"/>
    <cellStyle name="Normal 3 2 34 2" xfId="6129"/>
    <cellStyle name="Normal 3 2 34 3" xfId="6130"/>
    <cellStyle name="Normal 3 2 34 4" xfId="6131"/>
    <cellStyle name="Normal 3 2 34 5" xfId="6132"/>
    <cellStyle name="Normal 3 2 34 6" xfId="6133"/>
    <cellStyle name="Normal 3 2 34 7" xfId="6134"/>
    <cellStyle name="Normal 3 2 34 8" xfId="6135"/>
    <cellStyle name="Normal 3 2 34 9" xfId="6136"/>
    <cellStyle name="Normal 3 2 35" xfId="6137"/>
    <cellStyle name="Normal 3 2 35 10" xfId="6138"/>
    <cellStyle name="Normal 3 2 35 11" xfId="6139"/>
    <cellStyle name="Normal 3 2 35 12" xfId="6140"/>
    <cellStyle name="Normal 3 2 35 13" xfId="6141"/>
    <cellStyle name="Normal 3 2 35 2" xfId="6142"/>
    <cellStyle name="Normal 3 2 35 3" xfId="6143"/>
    <cellStyle name="Normal 3 2 35 4" xfId="6144"/>
    <cellStyle name="Normal 3 2 35 5" xfId="6145"/>
    <cellStyle name="Normal 3 2 35 6" xfId="6146"/>
    <cellStyle name="Normal 3 2 35 7" xfId="6147"/>
    <cellStyle name="Normal 3 2 35 8" xfId="6148"/>
    <cellStyle name="Normal 3 2 35 9" xfId="6149"/>
    <cellStyle name="Normal 3 2 36" xfId="6150"/>
    <cellStyle name="Normal 3 2 37" xfId="6151"/>
    <cellStyle name="Normal 3 2 38" xfId="6152"/>
    <cellStyle name="Normal 3 2 39" xfId="6153"/>
    <cellStyle name="Normal 3 2 4" xfId="6154"/>
    <cellStyle name="Normal 3 2 4 10" xfId="6155"/>
    <cellStyle name="Normal 3 2 4 11" xfId="6156"/>
    <cellStyle name="Normal 3 2 4 12" xfId="6157"/>
    <cellStyle name="Normal 3 2 4 13" xfId="6158"/>
    <cellStyle name="Normal 3 2 4 14" xfId="6159"/>
    <cellStyle name="Normal 3 2 4 15" xfId="6160"/>
    <cellStyle name="Normal 3 2 4 16" xfId="6161"/>
    <cellStyle name="Normal 3 2 4 17" xfId="6162"/>
    <cellStyle name="Normal 3 2 4 2" xfId="6163"/>
    <cellStyle name="Normal 3 2 4 3" xfId="6164"/>
    <cellStyle name="Normal 3 2 4 4" xfId="6165"/>
    <cellStyle name="Normal 3 2 4 5" xfId="6166"/>
    <cellStyle name="Normal 3 2 4 6" xfId="6167"/>
    <cellStyle name="Normal 3 2 4 7" xfId="6168"/>
    <cellStyle name="Normal 3 2 4 8" xfId="6169"/>
    <cellStyle name="Normal 3 2 4 9" xfId="6170"/>
    <cellStyle name="Normal 3 2 40" xfId="6171"/>
    <cellStyle name="Normal 3 2 41" xfId="6172"/>
    <cellStyle name="Normal 3 2 42" xfId="6173"/>
    <cellStyle name="Normal 3 2 43" xfId="6174"/>
    <cellStyle name="Normal 3 2 44" xfId="6175"/>
    <cellStyle name="Normal 3 2 45" xfId="6176"/>
    <cellStyle name="Normal 3 2 46" xfId="6177"/>
    <cellStyle name="Normal 3 2 47" xfId="6178"/>
    <cellStyle name="Normal 3 2 48" xfId="6179"/>
    <cellStyle name="Normal 3 2 49" xfId="6180"/>
    <cellStyle name="Normal 3 2 5" xfId="6181"/>
    <cellStyle name="Normal 3 2 5 10" xfId="6182"/>
    <cellStyle name="Normal 3 2 5 11" xfId="6183"/>
    <cellStyle name="Normal 3 2 5 12" xfId="6184"/>
    <cellStyle name="Normal 3 2 5 13" xfId="6185"/>
    <cellStyle name="Normal 3 2 5 14" xfId="6186"/>
    <cellStyle name="Normal 3 2 5 15" xfId="6187"/>
    <cellStyle name="Normal 3 2 5 16" xfId="6188"/>
    <cellStyle name="Normal 3 2 5 17" xfId="6189"/>
    <cellStyle name="Normal 3 2 5 2" xfId="6190"/>
    <cellStyle name="Normal 3 2 5 3" xfId="6191"/>
    <cellStyle name="Normal 3 2 5 4" xfId="6192"/>
    <cellStyle name="Normal 3 2 5 5" xfId="6193"/>
    <cellStyle name="Normal 3 2 5 6" xfId="6194"/>
    <cellStyle name="Normal 3 2 5 7" xfId="6195"/>
    <cellStyle name="Normal 3 2 5 8" xfId="6196"/>
    <cellStyle name="Normal 3 2 5 9" xfId="6197"/>
    <cellStyle name="Normal 3 2 50" xfId="6198"/>
    <cellStyle name="Normal 3 2 51" xfId="6199"/>
    <cellStyle name="Normal 3 2 52" xfId="6200"/>
    <cellStyle name="Normal 3 2 53" xfId="6201"/>
    <cellStyle name="Normal 3 2 54" xfId="6202"/>
    <cellStyle name="Normal 3 2 55" xfId="6203"/>
    <cellStyle name="Normal 3 2 56" xfId="6204"/>
    <cellStyle name="Normal 3 2 57" xfId="6205"/>
    <cellStyle name="Normal 3 2 58" xfId="6206"/>
    <cellStyle name="Normal 3 2 59" xfId="6207"/>
    <cellStyle name="Normal 3 2 6" xfId="6208"/>
    <cellStyle name="Normal 3 2 6 10" xfId="6209"/>
    <cellStyle name="Normal 3 2 6 11" xfId="6210"/>
    <cellStyle name="Normal 3 2 6 12" xfId="6211"/>
    <cellStyle name="Normal 3 2 6 13" xfId="6212"/>
    <cellStyle name="Normal 3 2 6 14" xfId="6213"/>
    <cellStyle name="Normal 3 2 6 15" xfId="6214"/>
    <cellStyle name="Normal 3 2 6 16" xfId="6215"/>
    <cellStyle name="Normal 3 2 6 17" xfId="6216"/>
    <cellStyle name="Normal 3 2 6 2" xfId="6217"/>
    <cellStyle name="Normal 3 2 6 3" xfId="6218"/>
    <cellStyle name="Normal 3 2 6 4" xfId="6219"/>
    <cellStyle name="Normal 3 2 6 5" xfId="6220"/>
    <cellStyle name="Normal 3 2 6 6" xfId="6221"/>
    <cellStyle name="Normal 3 2 6 7" xfId="6222"/>
    <cellStyle name="Normal 3 2 6 8" xfId="6223"/>
    <cellStyle name="Normal 3 2 6 9" xfId="6224"/>
    <cellStyle name="Normal 3 2 60" xfId="6225"/>
    <cellStyle name="Normal 3 2 61" xfId="6226"/>
    <cellStyle name="Normal 3 2 62" xfId="6227"/>
    <cellStyle name="Normal 3 2 63" xfId="6228"/>
    <cellStyle name="Normal 3 2 64" xfId="6229"/>
    <cellStyle name="Normal 3 2 65" xfId="6230"/>
    <cellStyle name="Normal 3 2 66" xfId="6231"/>
    <cellStyle name="Normal 3 2 67" xfId="6232"/>
    <cellStyle name="Normal 3 2 68" xfId="6233"/>
    <cellStyle name="Normal 3 2 69" xfId="6234"/>
    <cellStyle name="Normal 3 2 7" xfId="6235"/>
    <cellStyle name="Normal 3 2 7 10" xfId="6236"/>
    <cellStyle name="Normal 3 2 7 11" xfId="6237"/>
    <cellStyle name="Normal 3 2 7 12" xfId="6238"/>
    <cellStyle name="Normal 3 2 7 13" xfId="6239"/>
    <cellStyle name="Normal 3 2 7 14" xfId="6240"/>
    <cellStyle name="Normal 3 2 7 15" xfId="6241"/>
    <cellStyle name="Normal 3 2 7 16" xfId="6242"/>
    <cellStyle name="Normal 3 2 7 17" xfId="6243"/>
    <cellStyle name="Normal 3 2 7 2" xfId="6244"/>
    <cellStyle name="Normal 3 2 7 3" xfId="6245"/>
    <cellStyle name="Normal 3 2 7 4" xfId="6246"/>
    <cellStyle name="Normal 3 2 7 5" xfId="6247"/>
    <cellStyle name="Normal 3 2 7 6" xfId="6248"/>
    <cellStyle name="Normal 3 2 7 7" xfId="6249"/>
    <cellStyle name="Normal 3 2 7 8" xfId="6250"/>
    <cellStyle name="Normal 3 2 7 9" xfId="6251"/>
    <cellStyle name="Normal 3 2 70" xfId="6252"/>
    <cellStyle name="Normal 3 2 71" xfId="6253"/>
    <cellStyle name="Normal 3 2 72" xfId="6254"/>
    <cellStyle name="Normal 3 2 73" xfId="6255"/>
    <cellStyle name="Normal 3 2 74" xfId="6256"/>
    <cellStyle name="Normal 3 2 75" xfId="6257"/>
    <cellStyle name="Normal 3 2 76" xfId="6258"/>
    <cellStyle name="Normal 3 2 77" xfId="6259"/>
    <cellStyle name="Normal 3 2 8" xfId="6260"/>
    <cellStyle name="Normal 3 2 8 10" xfId="6261"/>
    <cellStyle name="Normal 3 2 8 11" xfId="6262"/>
    <cellStyle name="Normal 3 2 8 12" xfId="6263"/>
    <cellStyle name="Normal 3 2 8 13" xfId="6264"/>
    <cellStyle name="Normal 3 2 8 14" xfId="6265"/>
    <cellStyle name="Normal 3 2 8 15" xfId="6266"/>
    <cellStyle name="Normal 3 2 8 16" xfId="6267"/>
    <cellStyle name="Normal 3 2 8 17" xfId="6268"/>
    <cellStyle name="Normal 3 2 8 2" xfId="6269"/>
    <cellStyle name="Normal 3 2 8 3" xfId="6270"/>
    <cellStyle name="Normal 3 2 8 4" xfId="6271"/>
    <cellStyle name="Normal 3 2 8 5" xfId="6272"/>
    <cellStyle name="Normal 3 2 8 6" xfId="6273"/>
    <cellStyle name="Normal 3 2 8 7" xfId="6274"/>
    <cellStyle name="Normal 3 2 8 8" xfId="6275"/>
    <cellStyle name="Normal 3 2 8 9" xfId="6276"/>
    <cellStyle name="Normal 3 2 9" xfId="6277"/>
    <cellStyle name="Normal 3 2 9 10" xfId="6278"/>
    <cellStyle name="Normal 3 2 9 11" xfId="6279"/>
    <cellStyle name="Normal 3 2 9 12" xfId="6280"/>
    <cellStyle name="Normal 3 2 9 13" xfId="6281"/>
    <cellStyle name="Normal 3 2 9 14" xfId="6282"/>
    <cellStyle name="Normal 3 2 9 15" xfId="6283"/>
    <cellStyle name="Normal 3 2 9 16" xfId="6284"/>
    <cellStyle name="Normal 3 2 9 17" xfId="6285"/>
    <cellStyle name="Normal 3 2 9 2" xfId="6286"/>
    <cellStyle name="Normal 3 2 9 3" xfId="6287"/>
    <cellStyle name="Normal 3 2 9 4" xfId="6288"/>
    <cellStyle name="Normal 3 2 9 5" xfId="6289"/>
    <cellStyle name="Normal 3 2 9 6" xfId="6290"/>
    <cellStyle name="Normal 3 2 9 7" xfId="6291"/>
    <cellStyle name="Normal 3 2 9 8" xfId="6292"/>
    <cellStyle name="Normal 3 2 9 9" xfId="6293"/>
    <cellStyle name="Normal 3 20" xfId="6294"/>
    <cellStyle name="Normal 3 20 10" xfId="6295"/>
    <cellStyle name="Normal 3 20 11" xfId="6296"/>
    <cellStyle name="Normal 3 20 12" xfId="6297"/>
    <cellStyle name="Normal 3 20 13" xfId="6298"/>
    <cellStyle name="Normal 3 20 14" xfId="6299"/>
    <cellStyle name="Normal 3 20 15" xfId="6300"/>
    <cellStyle name="Normal 3 20 16" xfId="6301"/>
    <cellStyle name="Normal 3 20 17" xfId="6302"/>
    <cellStyle name="Normal 3 20 2" xfId="6303"/>
    <cellStyle name="Normal 3 20 3" xfId="6304"/>
    <cellStyle name="Normal 3 20 4" xfId="6305"/>
    <cellStyle name="Normal 3 20 5" xfId="6306"/>
    <cellStyle name="Normal 3 20 6" xfId="6307"/>
    <cellStyle name="Normal 3 20 7" xfId="6308"/>
    <cellStyle name="Normal 3 20 8" xfId="6309"/>
    <cellStyle name="Normal 3 20 9" xfId="6310"/>
    <cellStyle name="Normal 3 21" xfId="6311"/>
    <cellStyle name="Normal 3 21 10" xfId="6312"/>
    <cellStyle name="Normal 3 21 11" xfId="6313"/>
    <cellStyle name="Normal 3 21 12" xfId="6314"/>
    <cellStyle name="Normal 3 21 13" xfId="6315"/>
    <cellStyle name="Normal 3 21 14" xfId="6316"/>
    <cellStyle name="Normal 3 21 15" xfId="6317"/>
    <cellStyle name="Normal 3 21 16" xfId="6318"/>
    <cellStyle name="Normal 3 21 17" xfId="6319"/>
    <cellStyle name="Normal 3 21 2" xfId="6320"/>
    <cellStyle name="Normal 3 21 3" xfId="6321"/>
    <cellStyle name="Normal 3 21 4" xfId="6322"/>
    <cellStyle name="Normal 3 21 5" xfId="6323"/>
    <cellStyle name="Normal 3 21 6" xfId="6324"/>
    <cellStyle name="Normal 3 21 7" xfId="6325"/>
    <cellStyle name="Normal 3 21 8" xfId="6326"/>
    <cellStyle name="Normal 3 21 9" xfId="6327"/>
    <cellStyle name="Normal 3 22" xfId="6328"/>
    <cellStyle name="Normal 3 22 10" xfId="6329"/>
    <cellStyle name="Normal 3 22 11" xfId="6330"/>
    <cellStyle name="Normal 3 22 12" xfId="6331"/>
    <cellStyle name="Normal 3 22 13" xfId="6332"/>
    <cellStyle name="Normal 3 22 14" xfId="6333"/>
    <cellStyle name="Normal 3 22 15" xfId="6334"/>
    <cellStyle name="Normal 3 22 16" xfId="6335"/>
    <cellStyle name="Normal 3 22 17" xfId="6336"/>
    <cellStyle name="Normal 3 22 2" xfId="6337"/>
    <cellStyle name="Normal 3 22 3" xfId="6338"/>
    <cellStyle name="Normal 3 22 4" xfId="6339"/>
    <cellStyle name="Normal 3 22 5" xfId="6340"/>
    <cellStyle name="Normal 3 22 6" xfId="6341"/>
    <cellStyle name="Normal 3 22 7" xfId="6342"/>
    <cellStyle name="Normal 3 22 8" xfId="6343"/>
    <cellStyle name="Normal 3 22 9" xfId="6344"/>
    <cellStyle name="Normal 3 23" xfId="6345"/>
    <cellStyle name="Normal 3 23 10" xfId="6346"/>
    <cellStyle name="Normal 3 23 11" xfId="6347"/>
    <cellStyle name="Normal 3 23 12" xfId="6348"/>
    <cellStyle name="Normal 3 23 13" xfId="6349"/>
    <cellStyle name="Normal 3 23 14" xfId="6350"/>
    <cellStyle name="Normal 3 23 15" xfId="6351"/>
    <cellStyle name="Normal 3 23 16" xfId="6352"/>
    <cellStyle name="Normal 3 23 17" xfId="6353"/>
    <cellStyle name="Normal 3 23 2" xfId="6354"/>
    <cellStyle name="Normal 3 23 3" xfId="6355"/>
    <cellStyle name="Normal 3 23 4" xfId="6356"/>
    <cellStyle name="Normal 3 23 5" xfId="6357"/>
    <cellStyle name="Normal 3 23 6" xfId="6358"/>
    <cellStyle name="Normal 3 23 7" xfId="6359"/>
    <cellStyle name="Normal 3 23 8" xfId="6360"/>
    <cellStyle name="Normal 3 23 9" xfId="6361"/>
    <cellStyle name="Normal 3 24" xfId="6362"/>
    <cellStyle name="Normal 3 24 10" xfId="6363"/>
    <cellStyle name="Normal 3 24 11" xfId="6364"/>
    <cellStyle name="Normal 3 24 12" xfId="6365"/>
    <cellStyle name="Normal 3 24 13" xfId="6366"/>
    <cellStyle name="Normal 3 24 14" xfId="6367"/>
    <cellStyle name="Normal 3 24 15" xfId="6368"/>
    <cellStyle name="Normal 3 24 16" xfId="6369"/>
    <cellStyle name="Normal 3 24 17" xfId="6370"/>
    <cellStyle name="Normal 3 24 2" xfId="6371"/>
    <cellStyle name="Normal 3 24 3" xfId="6372"/>
    <cellStyle name="Normal 3 24 4" xfId="6373"/>
    <cellStyle name="Normal 3 24 5" xfId="6374"/>
    <cellStyle name="Normal 3 24 6" xfId="6375"/>
    <cellStyle name="Normal 3 24 7" xfId="6376"/>
    <cellStyle name="Normal 3 24 8" xfId="6377"/>
    <cellStyle name="Normal 3 24 9" xfId="6378"/>
    <cellStyle name="Normal 3 25" xfId="6379"/>
    <cellStyle name="Normal 3 25 10" xfId="6380"/>
    <cellStyle name="Normal 3 25 11" xfId="6381"/>
    <cellStyle name="Normal 3 25 12" xfId="6382"/>
    <cellStyle name="Normal 3 25 13" xfId="6383"/>
    <cellStyle name="Normal 3 25 14" xfId="6384"/>
    <cellStyle name="Normal 3 25 15" xfId="6385"/>
    <cellStyle name="Normal 3 25 16" xfId="6386"/>
    <cellStyle name="Normal 3 25 17" xfId="6387"/>
    <cellStyle name="Normal 3 25 2" xfId="6388"/>
    <cellStyle name="Normal 3 25 3" xfId="6389"/>
    <cellStyle name="Normal 3 25 4" xfId="6390"/>
    <cellStyle name="Normal 3 25 5" xfId="6391"/>
    <cellStyle name="Normal 3 25 6" xfId="6392"/>
    <cellStyle name="Normal 3 25 7" xfId="6393"/>
    <cellStyle name="Normal 3 25 8" xfId="6394"/>
    <cellStyle name="Normal 3 25 9" xfId="6395"/>
    <cellStyle name="Normal 3 26" xfId="6396"/>
    <cellStyle name="Normal 3 26 10" xfId="6397"/>
    <cellStyle name="Normal 3 26 11" xfId="6398"/>
    <cellStyle name="Normal 3 26 12" xfId="6399"/>
    <cellStyle name="Normal 3 26 13" xfId="6400"/>
    <cellStyle name="Normal 3 26 14" xfId="6401"/>
    <cellStyle name="Normal 3 26 15" xfId="6402"/>
    <cellStyle name="Normal 3 26 16" xfId="6403"/>
    <cellStyle name="Normal 3 26 17" xfId="6404"/>
    <cellStyle name="Normal 3 26 2" xfId="6405"/>
    <cellStyle name="Normal 3 26 3" xfId="6406"/>
    <cellStyle name="Normal 3 26 4" xfId="6407"/>
    <cellStyle name="Normal 3 26 5" xfId="6408"/>
    <cellStyle name="Normal 3 26 6" xfId="6409"/>
    <cellStyle name="Normal 3 26 7" xfId="6410"/>
    <cellStyle name="Normal 3 26 8" xfId="6411"/>
    <cellStyle name="Normal 3 26 9" xfId="6412"/>
    <cellStyle name="Normal 3 27" xfId="6413"/>
    <cellStyle name="Normal 3 27 10" xfId="6414"/>
    <cellStyle name="Normal 3 27 11" xfId="6415"/>
    <cellStyle name="Normal 3 27 12" xfId="6416"/>
    <cellStyle name="Normal 3 27 13" xfId="6417"/>
    <cellStyle name="Normal 3 27 14" xfId="6418"/>
    <cellStyle name="Normal 3 27 15" xfId="6419"/>
    <cellStyle name="Normal 3 27 16" xfId="6420"/>
    <cellStyle name="Normal 3 27 17" xfId="6421"/>
    <cellStyle name="Normal 3 27 2" xfId="6422"/>
    <cellStyle name="Normal 3 27 3" xfId="6423"/>
    <cellStyle name="Normal 3 27 4" xfId="6424"/>
    <cellStyle name="Normal 3 27 5" xfId="6425"/>
    <cellStyle name="Normal 3 27 6" xfId="6426"/>
    <cellStyle name="Normal 3 27 7" xfId="6427"/>
    <cellStyle name="Normal 3 27 8" xfId="6428"/>
    <cellStyle name="Normal 3 27 9" xfId="6429"/>
    <cellStyle name="Normal 3 28" xfId="6430"/>
    <cellStyle name="Normal 3 28 10" xfId="6431"/>
    <cellStyle name="Normal 3 28 11" xfId="6432"/>
    <cellStyle name="Normal 3 28 12" xfId="6433"/>
    <cellStyle name="Normal 3 28 13" xfId="6434"/>
    <cellStyle name="Normal 3 28 14" xfId="6435"/>
    <cellStyle name="Normal 3 28 15" xfId="6436"/>
    <cellStyle name="Normal 3 28 16" xfId="6437"/>
    <cellStyle name="Normal 3 28 17" xfId="6438"/>
    <cellStyle name="Normal 3 28 2" xfId="6439"/>
    <cellStyle name="Normal 3 28 3" xfId="6440"/>
    <cellStyle name="Normal 3 28 4" xfId="6441"/>
    <cellStyle name="Normal 3 28 5" xfId="6442"/>
    <cellStyle name="Normal 3 28 6" xfId="6443"/>
    <cellStyle name="Normal 3 28 7" xfId="6444"/>
    <cellStyle name="Normal 3 28 8" xfId="6445"/>
    <cellStyle name="Normal 3 28 9" xfId="6446"/>
    <cellStyle name="Normal 3 29" xfId="6447"/>
    <cellStyle name="Normal 3 29 10" xfId="6448"/>
    <cellStyle name="Normal 3 29 11" xfId="6449"/>
    <cellStyle name="Normal 3 29 12" xfId="6450"/>
    <cellStyle name="Normal 3 29 13" xfId="6451"/>
    <cellStyle name="Normal 3 29 14" xfId="6452"/>
    <cellStyle name="Normal 3 29 15" xfId="6453"/>
    <cellStyle name="Normal 3 29 16" xfId="6454"/>
    <cellStyle name="Normal 3 29 17" xfId="6455"/>
    <cellStyle name="Normal 3 29 2" xfId="6456"/>
    <cellStyle name="Normal 3 29 3" xfId="6457"/>
    <cellStyle name="Normal 3 29 4" xfId="6458"/>
    <cellStyle name="Normal 3 29 5" xfId="6459"/>
    <cellStyle name="Normal 3 29 6" xfId="6460"/>
    <cellStyle name="Normal 3 29 7" xfId="6461"/>
    <cellStyle name="Normal 3 29 8" xfId="6462"/>
    <cellStyle name="Normal 3 29 9" xfId="6463"/>
    <cellStyle name="Normal 3 3" xfId="128"/>
    <cellStyle name="Normal 3 3 10" xfId="6464"/>
    <cellStyle name="Normal 3 3 10 2" xfId="6465"/>
    <cellStyle name="Normal 3 3 10 3" xfId="6466"/>
    <cellStyle name="Normal 3 3 10 4" xfId="6467"/>
    <cellStyle name="Normal 3 3 10 5" xfId="6468"/>
    <cellStyle name="Normal 3 3 11" xfId="6469"/>
    <cellStyle name="Normal 3 3 11 2" xfId="6470"/>
    <cellStyle name="Normal 3 3 11 3" xfId="6471"/>
    <cellStyle name="Normal 3 3 11 4" xfId="6472"/>
    <cellStyle name="Normal 3 3 11 5" xfId="6473"/>
    <cellStyle name="Normal 3 3 12" xfId="6474"/>
    <cellStyle name="Normal 3 3 12 2" xfId="6475"/>
    <cellStyle name="Normal 3 3 12 3" xfId="6476"/>
    <cellStyle name="Normal 3 3 12 4" xfId="6477"/>
    <cellStyle name="Normal 3 3 12 5" xfId="6478"/>
    <cellStyle name="Normal 3 3 13" xfId="6479"/>
    <cellStyle name="Normal 3 3 13 2" xfId="6480"/>
    <cellStyle name="Normal 3 3 13 3" xfId="6481"/>
    <cellStyle name="Normal 3 3 13 4" xfId="6482"/>
    <cellStyle name="Normal 3 3 13 5" xfId="6483"/>
    <cellStyle name="Normal 3 3 14" xfId="6484"/>
    <cellStyle name="Normal 3 3 14 2" xfId="6485"/>
    <cellStyle name="Normal 3 3 14 3" xfId="6486"/>
    <cellStyle name="Normal 3 3 14 4" xfId="6487"/>
    <cellStyle name="Normal 3 3 14 5" xfId="6488"/>
    <cellStyle name="Normal 3 3 15" xfId="6489"/>
    <cellStyle name="Normal 3 3 15 2" xfId="6490"/>
    <cellStyle name="Normal 3 3 15 3" xfId="6491"/>
    <cellStyle name="Normal 3 3 15 4" xfId="6492"/>
    <cellStyle name="Normal 3 3 15 5" xfId="6493"/>
    <cellStyle name="Normal 3 3 16" xfId="6494"/>
    <cellStyle name="Normal 3 3 16 2" xfId="6495"/>
    <cellStyle name="Normal 3 3 16 3" xfId="6496"/>
    <cellStyle name="Normal 3 3 16 4" xfId="6497"/>
    <cellStyle name="Normal 3 3 16 5" xfId="6498"/>
    <cellStyle name="Normal 3 3 17" xfId="6499"/>
    <cellStyle name="Normal 3 3 17 2" xfId="6500"/>
    <cellStyle name="Normal 3 3 17 3" xfId="6501"/>
    <cellStyle name="Normal 3 3 17 4" xfId="6502"/>
    <cellStyle name="Normal 3 3 17 5" xfId="6503"/>
    <cellStyle name="Normal 3 3 18" xfId="6504"/>
    <cellStyle name="Normal 3 3 18 2" xfId="6505"/>
    <cellStyle name="Normal 3 3 18 3" xfId="6506"/>
    <cellStyle name="Normal 3 3 18 4" xfId="6507"/>
    <cellStyle name="Normal 3 3 18 5" xfId="6508"/>
    <cellStyle name="Normal 3 3 19" xfId="6509"/>
    <cellStyle name="Normal 3 3 19 2" xfId="6510"/>
    <cellStyle name="Normal 3 3 19 3" xfId="6511"/>
    <cellStyle name="Normal 3 3 19 4" xfId="6512"/>
    <cellStyle name="Normal 3 3 19 5" xfId="6513"/>
    <cellStyle name="Normal 3 3 2" xfId="6514"/>
    <cellStyle name="Normal 3 3 2 2" xfId="6515"/>
    <cellStyle name="Normal 3 3 2 3" xfId="6516"/>
    <cellStyle name="Normal 3 3 2 4" xfId="6517"/>
    <cellStyle name="Normal 3 3 2 5" xfId="6518"/>
    <cellStyle name="Normal 3 3 20" xfId="6519"/>
    <cellStyle name="Normal 3 3 20 2" xfId="6520"/>
    <cellStyle name="Normal 3 3 20 3" xfId="6521"/>
    <cellStyle name="Normal 3 3 20 4" xfId="6522"/>
    <cellStyle name="Normal 3 3 20 5" xfId="6523"/>
    <cellStyle name="Normal 3 3 21" xfId="6524"/>
    <cellStyle name="Normal 3 3 21 2" xfId="6525"/>
    <cellStyle name="Normal 3 3 21 3" xfId="6526"/>
    <cellStyle name="Normal 3 3 21 4" xfId="6527"/>
    <cellStyle name="Normal 3 3 21 5" xfId="6528"/>
    <cellStyle name="Normal 3 3 22" xfId="6529"/>
    <cellStyle name="Normal 3 3 22 2" xfId="6530"/>
    <cellStyle name="Normal 3 3 22 3" xfId="6531"/>
    <cellStyle name="Normal 3 3 22 4" xfId="6532"/>
    <cellStyle name="Normal 3 3 22 5" xfId="6533"/>
    <cellStyle name="Normal 3 3 23" xfId="6534"/>
    <cellStyle name="Normal 3 3 23 2" xfId="6535"/>
    <cellStyle name="Normal 3 3 23 3" xfId="6536"/>
    <cellStyle name="Normal 3 3 23 4" xfId="6537"/>
    <cellStyle name="Normal 3 3 23 5" xfId="6538"/>
    <cellStyle name="Normal 3 3 24" xfId="6539"/>
    <cellStyle name="Normal 3 3 24 2" xfId="6540"/>
    <cellStyle name="Normal 3 3 24 3" xfId="6541"/>
    <cellStyle name="Normal 3 3 24 4" xfId="6542"/>
    <cellStyle name="Normal 3 3 24 5" xfId="6543"/>
    <cellStyle name="Normal 3 3 25" xfId="6544"/>
    <cellStyle name="Normal 3 3 25 2" xfId="6545"/>
    <cellStyle name="Normal 3 3 25 3" xfId="6546"/>
    <cellStyle name="Normal 3 3 25 4" xfId="6547"/>
    <cellStyle name="Normal 3 3 25 5" xfId="6548"/>
    <cellStyle name="Normal 3 3 26" xfId="6549"/>
    <cellStyle name="Normal 3 3 26 2" xfId="6550"/>
    <cellStyle name="Normal 3 3 26 3" xfId="6551"/>
    <cellStyle name="Normal 3 3 26 4" xfId="6552"/>
    <cellStyle name="Normal 3 3 26 5" xfId="6553"/>
    <cellStyle name="Normal 3 3 27" xfId="6554"/>
    <cellStyle name="Normal 3 3 27 2" xfId="6555"/>
    <cellStyle name="Normal 3 3 27 3" xfId="6556"/>
    <cellStyle name="Normal 3 3 27 4" xfId="6557"/>
    <cellStyle name="Normal 3 3 27 5" xfId="6558"/>
    <cellStyle name="Normal 3 3 28" xfId="6559"/>
    <cellStyle name="Normal 3 3 28 2" xfId="6560"/>
    <cellStyle name="Normal 3 3 28 3" xfId="6561"/>
    <cellStyle name="Normal 3 3 28 4" xfId="6562"/>
    <cellStyle name="Normal 3 3 28 5" xfId="6563"/>
    <cellStyle name="Normal 3 3 29" xfId="6564"/>
    <cellStyle name="Normal 3 3 29 2" xfId="6565"/>
    <cellStyle name="Normal 3 3 29 3" xfId="6566"/>
    <cellStyle name="Normal 3 3 29 4" xfId="6567"/>
    <cellStyle name="Normal 3 3 29 5" xfId="6568"/>
    <cellStyle name="Normal 3 3 3" xfId="6569"/>
    <cellStyle name="Normal 3 3 3 2" xfId="6570"/>
    <cellStyle name="Normal 3 3 3 3" xfId="6571"/>
    <cellStyle name="Normal 3 3 3 4" xfId="6572"/>
    <cellStyle name="Normal 3 3 3 5" xfId="6573"/>
    <cellStyle name="Normal 3 3 30" xfId="6574"/>
    <cellStyle name="Normal 3 3 30 2" xfId="6575"/>
    <cellStyle name="Normal 3 3 30 3" xfId="6576"/>
    <cellStyle name="Normal 3 3 30 4" xfId="6577"/>
    <cellStyle name="Normal 3 3 30 5" xfId="6578"/>
    <cellStyle name="Normal 3 3 31" xfId="6579"/>
    <cellStyle name="Normal 3 3 32" xfId="6580"/>
    <cellStyle name="Normal 3 3 33" xfId="6581"/>
    <cellStyle name="Normal 3 3 34" xfId="6582"/>
    <cellStyle name="Normal 3 3 35" xfId="6583"/>
    <cellStyle name="Normal 3 3 36" xfId="6584"/>
    <cellStyle name="Normal 3 3 37" xfId="6585"/>
    <cellStyle name="Normal 3 3 38" xfId="6586"/>
    <cellStyle name="Normal 3 3 39" xfId="6587"/>
    <cellStyle name="Normal 3 3 4" xfId="6588"/>
    <cellStyle name="Normal 3 3 4 2" xfId="6589"/>
    <cellStyle name="Normal 3 3 4 3" xfId="6590"/>
    <cellStyle name="Normal 3 3 4 4" xfId="6591"/>
    <cellStyle name="Normal 3 3 4 5" xfId="6592"/>
    <cellStyle name="Normal 3 3 40" xfId="6593"/>
    <cellStyle name="Normal 3 3 41" xfId="6594"/>
    <cellStyle name="Normal 3 3 42" xfId="6595"/>
    <cellStyle name="Normal 3 3 43" xfId="6596"/>
    <cellStyle name="Normal 3 3 44" xfId="6597"/>
    <cellStyle name="Normal 3 3 45" xfId="6598"/>
    <cellStyle name="Normal 3 3 46" xfId="6599"/>
    <cellStyle name="Normal 3 3 5" xfId="6600"/>
    <cellStyle name="Normal 3 3 5 2" xfId="6601"/>
    <cellStyle name="Normal 3 3 5 3" xfId="6602"/>
    <cellStyle name="Normal 3 3 5 4" xfId="6603"/>
    <cellStyle name="Normal 3 3 5 5" xfId="6604"/>
    <cellStyle name="Normal 3 3 6" xfId="6605"/>
    <cellStyle name="Normal 3 3 6 2" xfId="6606"/>
    <cellStyle name="Normal 3 3 6 3" xfId="6607"/>
    <cellStyle name="Normal 3 3 6 4" xfId="6608"/>
    <cellStyle name="Normal 3 3 6 5" xfId="6609"/>
    <cellStyle name="Normal 3 3 7" xfId="6610"/>
    <cellStyle name="Normal 3 3 7 2" xfId="6611"/>
    <cellStyle name="Normal 3 3 7 3" xfId="6612"/>
    <cellStyle name="Normal 3 3 7 4" xfId="6613"/>
    <cellStyle name="Normal 3 3 7 5" xfId="6614"/>
    <cellStyle name="Normal 3 3 8" xfId="6615"/>
    <cellStyle name="Normal 3 3 8 2" xfId="6616"/>
    <cellStyle name="Normal 3 3 8 3" xfId="6617"/>
    <cellStyle name="Normal 3 3 8 4" xfId="6618"/>
    <cellStyle name="Normal 3 3 8 5" xfId="6619"/>
    <cellStyle name="Normal 3 3 9" xfId="6620"/>
    <cellStyle name="Normal 3 3 9 2" xfId="6621"/>
    <cellStyle name="Normal 3 3 9 3" xfId="6622"/>
    <cellStyle name="Normal 3 3 9 4" xfId="6623"/>
    <cellStyle name="Normal 3 3 9 5" xfId="6624"/>
    <cellStyle name="Normal 3 30" xfId="6625"/>
    <cellStyle name="Normal 3 30 10" xfId="6626"/>
    <cellStyle name="Normal 3 30 11" xfId="6627"/>
    <cellStyle name="Normal 3 30 12" xfId="6628"/>
    <cellStyle name="Normal 3 30 13" xfId="6629"/>
    <cellStyle name="Normal 3 30 14" xfId="6630"/>
    <cellStyle name="Normal 3 30 15" xfId="6631"/>
    <cellStyle name="Normal 3 30 16" xfId="6632"/>
    <cellStyle name="Normal 3 30 17" xfId="6633"/>
    <cellStyle name="Normal 3 30 2" xfId="6634"/>
    <cellStyle name="Normal 3 30 3" xfId="6635"/>
    <cellStyle name="Normal 3 30 4" xfId="6636"/>
    <cellStyle name="Normal 3 30 5" xfId="6637"/>
    <cellStyle name="Normal 3 30 6" xfId="6638"/>
    <cellStyle name="Normal 3 30 7" xfId="6639"/>
    <cellStyle name="Normal 3 30 8" xfId="6640"/>
    <cellStyle name="Normal 3 30 9" xfId="6641"/>
    <cellStyle name="Normal 3 31" xfId="6642"/>
    <cellStyle name="Normal 3 31 10" xfId="6643"/>
    <cellStyle name="Normal 3 31 11" xfId="6644"/>
    <cellStyle name="Normal 3 31 12" xfId="6645"/>
    <cellStyle name="Normal 3 31 13" xfId="6646"/>
    <cellStyle name="Normal 3 31 14" xfId="6647"/>
    <cellStyle name="Normal 3 31 15" xfId="6648"/>
    <cellStyle name="Normal 3 31 16" xfId="6649"/>
    <cellStyle name="Normal 3 31 17" xfId="6650"/>
    <cellStyle name="Normal 3 31 2" xfId="6651"/>
    <cellStyle name="Normal 3 31 3" xfId="6652"/>
    <cellStyle name="Normal 3 31 4" xfId="6653"/>
    <cellStyle name="Normal 3 31 5" xfId="6654"/>
    <cellStyle name="Normal 3 31 6" xfId="6655"/>
    <cellStyle name="Normal 3 31 7" xfId="6656"/>
    <cellStyle name="Normal 3 31 8" xfId="6657"/>
    <cellStyle name="Normal 3 31 9" xfId="6658"/>
    <cellStyle name="Normal 3 32" xfId="6659"/>
    <cellStyle name="Normal 3 32 10" xfId="6660"/>
    <cellStyle name="Normal 3 32 11" xfId="6661"/>
    <cellStyle name="Normal 3 32 12" xfId="6662"/>
    <cellStyle name="Normal 3 32 13" xfId="6663"/>
    <cellStyle name="Normal 3 32 14" xfId="6664"/>
    <cellStyle name="Normal 3 32 15" xfId="6665"/>
    <cellStyle name="Normal 3 32 16" xfId="6666"/>
    <cellStyle name="Normal 3 32 17" xfId="6667"/>
    <cellStyle name="Normal 3 32 2" xfId="6668"/>
    <cellStyle name="Normal 3 32 3" xfId="6669"/>
    <cellStyle name="Normal 3 32 4" xfId="6670"/>
    <cellStyle name="Normal 3 32 5" xfId="6671"/>
    <cellStyle name="Normal 3 32 6" xfId="6672"/>
    <cellStyle name="Normal 3 32 7" xfId="6673"/>
    <cellStyle name="Normal 3 32 8" xfId="6674"/>
    <cellStyle name="Normal 3 32 9" xfId="6675"/>
    <cellStyle name="Normal 3 33" xfId="6676"/>
    <cellStyle name="Normal 3 34" xfId="6677"/>
    <cellStyle name="Normal 3 35" xfId="6678"/>
    <cellStyle name="Normal 3 36" xfId="6679"/>
    <cellStyle name="Normal 3 37" xfId="6680"/>
    <cellStyle name="Normal 3 37 10" xfId="6681"/>
    <cellStyle name="Normal 3 37 11" xfId="6682"/>
    <cellStyle name="Normal 3 37 12" xfId="6683"/>
    <cellStyle name="Normal 3 37 13" xfId="6684"/>
    <cellStyle name="Normal 3 37 2" xfId="6685"/>
    <cellStyle name="Normal 3 37 3" xfId="6686"/>
    <cellStyle name="Normal 3 37 4" xfId="6687"/>
    <cellStyle name="Normal 3 37 5" xfId="6688"/>
    <cellStyle name="Normal 3 37 6" xfId="6689"/>
    <cellStyle name="Normal 3 37 7" xfId="6690"/>
    <cellStyle name="Normal 3 37 8" xfId="6691"/>
    <cellStyle name="Normal 3 37 9" xfId="6692"/>
    <cellStyle name="Normal 3 38" xfId="6693"/>
    <cellStyle name="Normal 3 39" xfId="6694"/>
    <cellStyle name="Normal 3 4" xfId="129"/>
    <cellStyle name="Normal 3 4 10" xfId="6695"/>
    <cellStyle name="Normal 3 4 11" xfId="6696"/>
    <cellStyle name="Normal 3 4 12" xfId="6697"/>
    <cellStyle name="Normal 3 4 13" xfId="6698"/>
    <cellStyle name="Normal 3 4 14" xfId="6699"/>
    <cellStyle name="Normal 3 4 15" xfId="6700"/>
    <cellStyle name="Normal 3 4 16" xfId="6701"/>
    <cellStyle name="Normal 3 4 17" xfId="6702"/>
    <cellStyle name="Normal 3 4 18" xfId="6703"/>
    <cellStyle name="Normal 3 4 19" xfId="6704"/>
    <cellStyle name="Normal 3 4 2" xfId="6705"/>
    <cellStyle name="Normal 3 4 20" xfId="6706"/>
    <cellStyle name="Normal 3 4 21" xfId="6707"/>
    <cellStyle name="Normal 3 4 22" xfId="6708"/>
    <cellStyle name="Normal 3 4 23" xfId="6709"/>
    <cellStyle name="Normal 3 4 24" xfId="6710"/>
    <cellStyle name="Normal 3 4 3" xfId="6711"/>
    <cellStyle name="Normal 3 4 4" xfId="6712"/>
    <cellStyle name="Normal 3 4 5" xfId="6713"/>
    <cellStyle name="Normal 3 4 6" xfId="6714"/>
    <cellStyle name="Normal 3 4 7" xfId="6715"/>
    <cellStyle name="Normal 3 4 8" xfId="6716"/>
    <cellStyle name="Normal 3 4 9" xfId="6717"/>
    <cellStyle name="Normal 3 40" xfId="6718"/>
    <cellStyle name="Normal 3 41" xfId="6719"/>
    <cellStyle name="Normal 3 42" xfId="6720"/>
    <cellStyle name="Normal 3 43" xfId="6721"/>
    <cellStyle name="Normal 3 44" xfId="6722"/>
    <cellStyle name="Normal 3 45" xfId="6723"/>
    <cellStyle name="Normal 3 46" xfId="6724"/>
    <cellStyle name="Normal 3 47" xfId="6725"/>
    <cellStyle name="Normal 3 48" xfId="6726"/>
    <cellStyle name="Normal 3 49" xfId="6727"/>
    <cellStyle name="Normal 3 5" xfId="130"/>
    <cellStyle name="Normal 3 5 10" xfId="6728"/>
    <cellStyle name="Normal 3 5 11" xfId="6729"/>
    <cellStyle name="Normal 3 5 12" xfId="6730"/>
    <cellStyle name="Normal 3 5 13" xfId="6731"/>
    <cellStyle name="Normal 3 5 14" xfId="6732"/>
    <cellStyle name="Normal 3 5 15" xfId="6733"/>
    <cellStyle name="Normal 3 5 16" xfId="6734"/>
    <cellStyle name="Normal 3 5 17" xfId="6735"/>
    <cellStyle name="Normal 3 5 18" xfId="6736"/>
    <cellStyle name="Normal 3 5 19" xfId="6737"/>
    <cellStyle name="Normal 3 5 2" xfId="6738"/>
    <cellStyle name="Normal 3 5 20" xfId="6739"/>
    <cellStyle name="Normal 3 5 21" xfId="6740"/>
    <cellStyle name="Normal 3 5 22" xfId="6741"/>
    <cellStyle name="Normal 3 5 23" xfId="6742"/>
    <cellStyle name="Normal 3 5 24" xfId="6743"/>
    <cellStyle name="Normal 3 5 3" xfId="6744"/>
    <cellStyle name="Normal 3 5 4" xfId="6745"/>
    <cellStyle name="Normal 3 5 5" xfId="6746"/>
    <cellStyle name="Normal 3 5 6" xfId="6747"/>
    <cellStyle name="Normal 3 5 7" xfId="6748"/>
    <cellStyle name="Normal 3 5 8" xfId="6749"/>
    <cellStyle name="Normal 3 5 9" xfId="6750"/>
    <cellStyle name="Normal 3 50" xfId="6751"/>
    <cellStyle name="Normal 3 51" xfId="6752"/>
    <cellStyle name="Normal 3 52" xfId="6753"/>
    <cellStyle name="Normal 3 53" xfId="6754"/>
    <cellStyle name="Normal 3 54" xfId="6755"/>
    <cellStyle name="Normal 3 55" xfId="6756"/>
    <cellStyle name="Normal 3 56" xfId="6757"/>
    <cellStyle name="Normal 3 57" xfId="6758"/>
    <cellStyle name="Normal 3 58" xfId="6759"/>
    <cellStyle name="Normal 3 59" xfId="6760"/>
    <cellStyle name="Normal 3 6" xfId="131"/>
    <cellStyle name="Normal 3 6 10" xfId="6761"/>
    <cellStyle name="Normal 3 6 11" xfId="6762"/>
    <cellStyle name="Normal 3 6 12" xfId="6763"/>
    <cellStyle name="Normal 3 6 13" xfId="6764"/>
    <cellStyle name="Normal 3 6 14" xfId="6765"/>
    <cellStyle name="Normal 3 6 15" xfId="6766"/>
    <cellStyle name="Normal 3 6 16" xfId="6767"/>
    <cellStyle name="Normal 3 6 17" xfId="6768"/>
    <cellStyle name="Normal 3 6 18" xfId="6769"/>
    <cellStyle name="Normal 3 6 19" xfId="6770"/>
    <cellStyle name="Normal 3 6 2" xfId="6771"/>
    <cellStyle name="Normal 3 6 20" xfId="6772"/>
    <cellStyle name="Normal 3 6 21" xfId="6773"/>
    <cellStyle name="Normal 3 6 22" xfId="6774"/>
    <cellStyle name="Normal 3 6 23" xfId="6775"/>
    <cellStyle name="Normal 3 6 24" xfId="6776"/>
    <cellStyle name="Normal 3 6 3" xfId="6777"/>
    <cellStyle name="Normal 3 6 4" xfId="6778"/>
    <cellStyle name="Normal 3 6 5" xfId="6779"/>
    <cellStyle name="Normal 3 6 6" xfId="6780"/>
    <cellStyle name="Normal 3 6 7" xfId="6781"/>
    <cellStyle name="Normal 3 6 8" xfId="6782"/>
    <cellStyle name="Normal 3 6 9" xfId="6783"/>
    <cellStyle name="Normal 3 60" xfId="6784"/>
    <cellStyle name="Normal 3 61" xfId="6785"/>
    <cellStyle name="Normal 3 62" xfId="6786"/>
    <cellStyle name="Normal 3 63" xfId="6787"/>
    <cellStyle name="Normal 3 64" xfId="6788"/>
    <cellStyle name="Normal 3 65" xfId="6789"/>
    <cellStyle name="Normal 3 66" xfId="6790"/>
    <cellStyle name="Normal 3 67" xfId="6791"/>
    <cellStyle name="Normal 3 68" xfId="6792"/>
    <cellStyle name="Normal 3 69" xfId="6793"/>
    <cellStyle name="Normal 3 7" xfId="132"/>
    <cellStyle name="Normal 3 7 10" xfId="6794"/>
    <cellStyle name="Normal 3 7 11" xfId="6795"/>
    <cellStyle name="Normal 3 7 12" xfId="6796"/>
    <cellStyle name="Normal 3 7 13" xfId="6797"/>
    <cellStyle name="Normal 3 7 14" xfId="6798"/>
    <cellStyle name="Normal 3 7 15" xfId="6799"/>
    <cellStyle name="Normal 3 7 16" xfId="6800"/>
    <cellStyle name="Normal 3 7 17" xfId="6801"/>
    <cellStyle name="Normal 3 7 18" xfId="6802"/>
    <cellStyle name="Normal 3 7 19" xfId="6803"/>
    <cellStyle name="Normal 3 7 2" xfId="6804"/>
    <cellStyle name="Normal 3 7 20" xfId="6805"/>
    <cellStyle name="Normal 3 7 21" xfId="6806"/>
    <cellStyle name="Normal 3 7 22" xfId="6807"/>
    <cellStyle name="Normal 3 7 23" xfId="6808"/>
    <cellStyle name="Normal 3 7 24" xfId="6809"/>
    <cellStyle name="Normal 3 7 3" xfId="6810"/>
    <cellStyle name="Normal 3 7 4" xfId="6811"/>
    <cellStyle name="Normal 3 7 5" xfId="6812"/>
    <cellStyle name="Normal 3 7 6" xfId="6813"/>
    <cellStyle name="Normal 3 7 7" xfId="6814"/>
    <cellStyle name="Normal 3 7 8" xfId="6815"/>
    <cellStyle name="Normal 3 7 9" xfId="6816"/>
    <cellStyle name="Normal 3 70" xfId="6817"/>
    <cellStyle name="Normal 3 71" xfId="6818"/>
    <cellStyle name="Normal 3 72" xfId="6819"/>
    <cellStyle name="Normal 3 73" xfId="6820"/>
    <cellStyle name="Normal 3 74" xfId="6821"/>
    <cellStyle name="Normal 3 75" xfId="6822"/>
    <cellStyle name="Normal 3 76" xfId="6823"/>
    <cellStyle name="Normal 3 77" xfId="6824"/>
    <cellStyle name="Normal 3 78" xfId="6825"/>
    <cellStyle name="Normal 3 79" xfId="6826"/>
    <cellStyle name="Normal 3 8" xfId="6827"/>
    <cellStyle name="Normal 3 8 10" xfId="6828"/>
    <cellStyle name="Normal 3 8 11" xfId="6829"/>
    <cellStyle name="Normal 3 8 12" xfId="6830"/>
    <cellStyle name="Normal 3 8 13" xfId="6831"/>
    <cellStyle name="Normal 3 8 14" xfId="6832"/>
    <cellStyle name="Normal 3 8 15" xfId="6833"/>
    <cellStyle name="Normal 3 8 16" xfId="6834"/>
    <cellStyle name="Normal 3 8 17" xfId="6835"/>
    <cellStyle name="Normal 3 8 18" xfId="6836"/>
    <cellStyle name="Normal 3 8 19" xfId="6837"/>
    <cellStyle name="Normal 3 8 2" xfId="6838"/>
    <cellStyle name="Normal 3 8 20" xfId="6839"/>
    <cellStyle name="Normal 3 8 21" xfId="6840"/>
    <cellStyle name="Normal 3 8 22" xfId="6841"/>
    <cellStyle name="Normal 3 8 23" xfId="6842"/>
    <cellStyle name="Normal 3 8 24" xfId="6843"/>
    <cellStyle name="Normal 3 8 25" xfId="6844"/>
    <cellStyle name="Normal 3 8 26" xfId="6845"/>
    <cellStyle name="Normal 3 8 27" xfId="6846"/>
    <cellStyle name="Normal 3 8 28" xfId="6847"/>
    <cellStyle name="Normal 3 8 29" xfId="6848"/>
    <cellStyle name="Normal 3 8 3" xfId="6849"/>
    <cellStyle name="Normal 3 8 30" xfId="6850"/>
    <cellStyle name="Normal 3 8 31" xfId="6851"/>
    <cellStyle name="Normal 3 8 32" xfId="6852"/>
    <cellStyle name="Normal 3 8 33" xfId="6853"/>
    <cellStyle name="Normal 3 8 34" xfId="6854"/>
    <cellStyle name="Normal 3 8 35" xfId="6855"/>
    <cellStyle name="Normal 3 8 36" xfId="6856"/>
    <cellStyle name="Normal 3 8 37" xfId="6857"/>
    <cellStyle name="Normal 3 8 38" xfId="6858"/>
    <cellStyle name="Normal 3 8 39" xfId="6859"/>
    <cellStyle name="Normal 3 8 4" xfId="6860"/>
    <cellStyle name="Normal 3 8 40" xfId="6861"/>
    <cellStyle name="Normal 3 8 41" xfId="6862"/>
    <cellStyle name="Normal 3 8 42" xfId="6863"/>
    <cellStyle name="Normal 3 8 43" xfId="6864"/>
    <cellStyle name="Normal 3 8 44" xfId="6865"/>
    <cellStyle name="Normal 3 8 45" xfId="6866"/>
    <cellStyle name="Normal 3 8 46" xfId="6867"/>
    <cellStyle name="Normal 3 8 47" xfId="6868"/>
    <cellStyle name="Normal 3 8 48" xfId="6869"/>
    <cellStyle name="Normal 3 8 5" xfId="6870"/>
    <cellStyle name="Normal 3 8 6" xfId="6871"/>
    <cellStyle name="Normal 3 8 6 10" xfId="6872"/>
    <cellStyle name="Normal 3 8 6 11" xfId="6873"/>
    <cellStyle name="Normal 3 8 6 12" xfId="6874"/>
    <cellStyle name="Normal 3 8 6 13" xfId="6875"/>
    <cellStyle name="Normal 3 8 6 2" xfId="6876"/>
    <cellStyle name="Normal 3 8 6 3" xfId="6877"/>
    <cellStyle name="Normal 3 8 6 4" xfId="6878"/>
    <cellStyle name="Normal 3 8 6 5" xfId="6879"/>
    <cellStyle name="Normal 3 8 6 6" xfId="6880"/>
    <cellStyle name="Normal 3 8 6 7" xfId="6881"/>
    <cellStyle name="Normal 3 8 6 8" xfId="6882"/>
    <cellStyle name="Normal 3 8 6 9" xfId="6883"/>
    <cellStyle name="Normal 3 8 7" xfId="6884"/>
    <cellStyle name="Normal 3 8 8" xfId="6885"/>
    <cellStyle name="Normal 3 8 9" xfId="6886"/>
    <cellStyle name="Normal 3 80" xfId="6887"/>
    <cellStyle name="Normal 3 81" xfId="6888"/>
    <cellStyle name="Normal 3 82" xfId="6889"/>
    <cellStyle name="Normal 3 83" xfId="10674"/>
    <cellStyle name="Normal 3 83 2" xfId="12075"/>
    <cellStyle name="Normal 3 84" xfId="11349"/>
    <cellStyle name="Normal 3 84 2" xfId="11360"/>
    <cellStyle name="Normal 3 85" xfId="11358"/>
    <cellStyle name="Normal 3 86" xfId="12074"/>
    <cellStyle name="Normal 3 9" xfId="6890"/>
    <cellStyle name="Normal 3 9 10" xfId="6891"/>
    <cellStyle name="Normal 3 9 11" xfId="6892"/>
    <cellStyle name="Normal 3 9 12" xfId="6893"/>
    <cellStyle name="Normal 3 9 13" xfId="6894"/>
    <cellStyle name="Normal 3 9 14" xfId="6895"/>
    <cellStyle name="Normal 3 9 15" xfId="6896"/>
    <cellStyle name="Normal 3 9 16" xfId="6897"/>
    <cellStyle name="Normal 3 9 17" xfId="6898"/>
    <cellStyle name="Normal 3 9 2" xfId="6899"/>
    <cellStyle name="Normal 3 9 3" xfId="6900"/>
    <cellStyle name="Normal 3 9 4" xfId="6901"/>
    <cellStyle name="Normal 3 9 5" xfId="6902"/>
    <cellStyle name="Normal 3 9 6" xfId="6903"/>
    <cellStyle name="Normal 3 9 7" xfId="6904"/>
    <cellStyle name="Normal 3 9 8" xfId="6905"/>
    <cellStyle name="Normal 3 9 9" xfId="6906"/>
    <cellStyle name="Normal 30" xfId="10661"/>
    <cellStyle name="Normal 31" xfId="10662"/>
    <cellStyle name="Normal 32" xfId="10664"/>
    <cellStyle name="Normal 33" xfId="10666"/>
    <cellStyle name="Normal 34" xfId="10667"/>
    <cellStyle name="Normal 35" xfId="10670"/>
    <cellStyle name="Normal 36" xfId="10671"/>
    <cellStyle name="Normal 37" xfId="6907"/>
    <cellStyle name="Normal 37 2" xfId="6908"/>
    <cellStyle name="Normal 37 3" xfId="6909"/>
    <cellStyle name="Normal 37 4" xfId="6910"/>
    <cellStyle name="Normal 37 5" xfId="6911"/>
    <cellStyle name="Normal 38" xfId="6912"/>
    <cellStyle name="Normal 38 2" xfId="6913"/>
    <cellStyle name="Normal 38 3" xfId="6914"/>
    <cellStyle name="Normal 38 4" xfId="6915"/>
    <cellStyle name="Normal 38 5" xfId="6916"/>
    <cellStyle name="Normal 39" xfId="6917"/>
    <cellStyle name="Normal 39 2" xfId="6918"/>
    <cellStyle name="Normal 39 3" xfId="6919"/>
    <cellStyle name="Normal 39 4" xfId="6920"/>
    <cellStyle name="Normal 39 5" xfId="6921"/>
    <cellStyle name="Normal 4" xfId="133"/>
    <cellStyle name="Normal 4 10" xfId="6922"/>
    <cellStyle name="Normal 4 10 2" xfId="12077"/>
    <cellStyle name="Normal 4 11" xfId="6923"/>
    <cellStyle name="Normal 4 11 2" xfId="12078"/>
    <cellStyle name="Normal 4 12" xfId="6924"/>
    <cellStyle name="Normal 4 12 2" xfId="12079"/>
    <cellStyle name="Normal 4 13" xfId="6925"/>
    <cellStyle name="Normal 4 13 2" xfId="12080"/>
    <cellStyle name="Normal 4 14" xfId="6926"/>
    <cellStyle name="Normal 4 14 2" xfId="12081"/>
    <cellStyle name="Normal 4 15" xfId="6927"/>
    <cellStyle name="Normal 4 15 2" xfId="12082"/>
    <cellStyle name="Normal 4 16" xfId="6928"/>
    <cellStyle name="Normal 4 16 2" xfId="12083"/>
    <cellStyle name="Normal 4 17" xfId="6929"/>
    <cellStyle name="Normal 4 17 2" xfId="12084"/>
    <cellStyle name="Normal 4 18" xfId="6930"/>
    <cellStyle name="Normal 4 18 2" xfId="12085"/>
    <cellStyle name="Normal 4 19" xfId="6931"/>
    <cellStyle name="Normal 4 19 2" xfId="12086"/>
    <cellStyle name="Normal 4 2" xfId="134"/>
    <cellStyle name="Normal 4 2 10" xfId="6932"/>
    <cellStyle name="Normal 4 2 11" xfId="6933"/>
    <cellStyle name="Normal 4 2 12" xfId="6934"/>
    <cellStyle name="Normal 4 2 13" xfId="6935"/>
    <cellStyle name="Normal 4 2 14" xfId="6936"/>
    <cellStyle name="Normal 4 2 15" xfId="6937"/>
    <cellStyle name="Normal 4 2 16" xfId="6938"/>
    <cellStyle name="Normal 4 2 17" xfId="6939"/>
    <cellStyle name="Normal 4 2 18" xfId="6940"/>
    <cellStyle name="Normal 4 2 19" xfId="6941"/>
    <cellStyle name="Normal 4 2 2" xfId="6942"/>
    <cellStyle name="Normal 4 2 2 10" xfId="6943"/>
    <cellStyle name="Normal 4 2 2 11" xfId="6944"/>
    <cellStyle name="Normal 4 2 2 12" xfId="6945"/>
    <cellStyle name="Normal 4 2 2 13" xfId="6946"/>
    <cellStyle name="Normal 4 2 2 14" xfId="6947"/>
    <cellStyle name="Normal 4 2 2 15" xfId="6948"/>
    <cellStyle name="Normal 4 2 2 16" xfId="6949"/>
    <cellStyle name="Normal 4 2 2 17" xfId="6950"/>
    <cellStyle name="Normal 4 2 2 18" xfId="6951"/>
    <cellStyle name="Normal 4 2 2 19" xfId="6952"/>
    <cellStyle name="Normal 4 2 2 2" xfId="6953"/>
    <cellStyle name="Normal 4 2 2 20" xfId="6954"/>
    <cellStyle name="Normal 4 2 2 21" xfId="6955"/>
    <cellStyle name="Normal 4 2 2 22" xfId="6956"/>
    <cellStyle name="Normal 4 2 2 23" xfId="6957"/>
    <cellStyle name="Normal 4 2 2 24" xfId="6958"/>
    <cellStyle name="Normal 4 2 2 25" xfId="6959"/>
    <cellStyle name="Normal 4 2 2 26" xfId="6960"/>
    <cellStyle name="Normal 4 2 2 27" xfId="6961"/>
    <cellStyle name="Normal 4 2 2 28" xfId="6962"/>
    <cellStyle name="Normal 4 2 2 29" xfId="6963"/>
    <cellStyle name="Normal 4 2 2 3" xfId="6964"/>
    <cellStyle name="Normal 4 2 2 30" xfId="6965"/>
    <cellStyle name="Normal 4 2 2 31" xfId="6966"/>
    <cellStyle name="Normal 4 2 2 32" xfId="6967"/>
    <cellStyle name="Normal 4 2 2 33" xfId="6968"/>
    <cellStyle name="Normal 4 2 2 34" xfId="6969"/>
    <cellStyle name="Normal 4 2 2 35" xfId="6970"/>
    <cellStyle name="Normal 4 2 2 36" xfId="6971"/>
    <cellStyle name="Normal 4 2 2 37" xfId="6972"/>
    <cellStyle name="Normal 4 2 2 38" xfId="12087"/>
    <cellStyle name="Normal 4 2 2 4" xfId="6973"/>
    <cellStyle name="Normal 4 2 2 5" xfId="6974"/>
    <cellStyle name="Normal 4 2 2 6" xfId="6975"/>
    <cellStyle name="Normal 4 2 2 7" xfId="6976"/>
    <cellStyle name="Normal 4 2 2 8" xfId="6977"/>
    <cellStyle name="Normal 4 2 2 9" xfId="6978"/>
    <cellStyle name="Normal 4 2 20" xfId="6979"/>
    <cellStyle name="Normal 4 2 21" xfId="6980"/>
    <cellStyle name="Normal 4 2 22" xfId="6981"/>
    <cellStyle name="Normal 4 2 23" xfId="6982"/>
    <cellStyle name="Normal 4 2 24" xfId="6983"/>
    <cellStyle name="Normal 4 2 25" xfId="6984"/>
    <cellStyle name="Normal 4 2 26" xfId="6985"/>
    <cellStyle name="Normal 4 2 27" xfId="6986"/>
    <cellStyle name="Normal 4 2 28" xfId="6987"/>
    <cellStyle name="Normal 4 2 29" xfId="6988"/>
    <cellStyle name="Normal 4 2 3" xfId="6989"/>
    <cellStyle name="Normal 4 2 30" xfId="6990"/>
    <cellStyle name="Normal 4 2 31" xfId="6991"/>
    <cellStyle name="Normal 4 2 32" xfId="6992"/>
    <cellStyle name="Normal 4 2 32 2" xfId="12088"/>
    <cellStyle name="Normal 4 2 33" xfId="6993"/>
    <cellStyle name="Normal 4 2 33 2" xfId="12089"/>
    <cellStyle name="Normal 4 2 34" xfId="6994"/>
    <cellStyle name="Normal 4 2 34 2" xfId="12090"/>
    <cellStyle name="Normal 4 2 35" xfId="6995"/>
    <cellStyle name="Normal 4 2 35 2" xfId="12091"/>
    <cellStyle name="Normal 4 2 36" xfId="6996"/>
    <cellStyle name="Normal 4 2 36 2" xfId="12092"/>
    <cellStyle name="Normal 4 2 37" xfId="6997"/>
    <cellStyle name="Normal 4 2 37 2" xfId="12093"/>
    <cellStyle name="Normal 4 2 38" xfId="6998"/>
    <cellStyle name="Normal 4 2 38 2" xfId="12094"/>
    <cellStyle name="Normal 4 2 39" xfId="6999"/>
    <cellStyle name="Normal 4 2 39 2" xfId="12095"/>
    <cellStyle name="Normal 4 2 4" xfId="7000"/>
    <cellStyle name="Normal 4 2 40" xfId="7001"/>
    <cellStyle name="Normal 4 2 40 2" xfId="12096"/>
    <cellStyle name="Normal 4 2 41" xfId="7002"/>
    <cellStyle name="Normal 4 2 41 2" xfId="12097"/>
    <cellStyle name="Normal 4 2 42" xfId="7003"/>
    <cellStyle name="Normal 4 2 42 2" xfId="12098"/>
    <cellStyle name="Normal 4 2 43" xfId="7004"/>
    <cellStyle name="Normal 4 2 43 2" xfId="12099"/>
    <cellStyle name="Normal 4 2 44" xfId="7005"/>
    <cellStyle name="Normal 4 2 44 2" xfId="12100"/>
    <cellStyle name="Normal 4 2 45" xfId="7006"/>
    <cellStyle name="Normal 4 2 45 2" xfId="12101"/>
    <cellStyle name="Normal 4 2 46" xfId="7007"/>
    <cellStyle name="Normal 4 2 46 2" xfId="12102"/>
    <cellStyle name="Normal 4 2 47" xfId="7008"/>
    <cellStyle name="Normal 4 2 47 2" xfId="12103"/>
    <cellStyle name="Normal 4 2 48" xfId="7009"/>
    <cellStyle name="Normal 4 2 48 2" xfId="12104"/>
    <cellStyle name="Normal 4 2 49" xfId="7010"/>
    <cellStyle name="Normal 4 2 49 2" xfId="12105"/>
    <cellStyle name="Normal 4 2 5" xfId="7011"/>
    <cellStyle name="Normal 4 2 50" xfId="7012"/>
    <cellStyle name="Normal 4 2 50 2" xfId="12106"/>
    <cellStyle name="Normal 4 2 51" xfId="7013"/>
    <cellStyle name="Normal 4 2 51 2" xfId="12107"/>
    <cellStyle name="Normal 4 2 52" xfId="7014"/>
    <cellStyle name="Normal 4 2 52 2" xfId="12108"/>
    <cellStyle name="Normal 4 2 53" xfId="7015"/>
    <cellStyle name="Normal 4 2 53 2" xfId="12109"/>
    <cellStyle name="Normal 4 2 54" xfId="7016"/>
    <cellStyle name="Normal 4 2 54 2" xfId="12110"/>
    <cellStyle name="Normal 4 2 55" xfId="7017"/>
    <cellStyle name="Normal 4 2 55 2" xfId="12111"/>
    <cellStyle name="Normal 4 2 56" xfId="7018"/>
    <cellStyle name="Normal 4 2 56 2" xfId="12112"/>
    <cellStyle name="Normal 4 2 57" xfId="7019"/>
    <cellStyle name="Normal 4 2 57 2" xfId="12113"/>
    <cellStyle name="Normal 4 2 58" xfId="7020"/>
    <cellStyle name="Normal 4 2 58 2" xfId="12114"/>
    <cellStyle name="Normal 4 2 59" xfId="7021"/>
    <cellStyle name="Normal 4 2 59 2" xfId="12115"/>
    <cellStyle name="Normal 4 2 6" xfId="7022"/>
    <cellStyle name="Normal 4 2 60" xfId="7023"/>
    <cellStyle name="Normal 4 2 60 2" xfId="12116"/>
    <cellStyle name="Normal 4 2 61" xfId="7024"/>
    <cellStyle name="Normal 4 2 61 2" xfId="12117"/>
    <cellStyle name="Normal 4 2 62" xfId="7025"/>
    <cellStyle name="Normal 4 2 62 2" xfId="12118"/>
    <cellStyle name="Normal 4 2 63" xfId="7026"/>
    <cellStyle name="Normal 4 2 63 2" xfId="12119"/>
    <cellStyle name="Normal 4 2 64" xfId="7027"/>
    <cellStyle name="Normal 4 2 64 2" xfId="12120"/>
    <cellStyle name="Normal 4 2 65" xfId="7028"/>
    <cellStyle name="Normal 4 2 65 2" xfId="12121"/>
    <cellStyle name="Normal 4 2 66" xfId="7029"/>
    <cellStyle name="Normal 4 2 66 2" xfId="12122"/>
    <cellStyle name="Normal 4 2 7" xfId="7030"/>
    <cellStyle name="Normal 4 2 8" xfId="7031"/>
    <cellStyle name="Normal 4 2 9" xfId="7032"/>
    <cellStyle name="Normal 4 20" xfId="7033"/>
    <cellStyle name="Normal 4 20 2" xfId="12123"/>
    <cellStyle name="Normal 4 21" xfId="7034"/>
    <cellStyle name="Normal 4 21 2" xfId="12124"/>
    <cellStyle name="Normal 4 22" xfId="7035"/>
    <cellStyle name="Normal 4 22 2" xfId="12125"/>
    <cellStyle name="Normal 4 23" xfId="7036"/>
    <cellStyle name="Normal 4 23 2" xfId="12126"/>
    <cellStyle name="Normal 4 24" xfId="7037"/>
    <cellStyle name="Normal 4 24 2" xfId="12127"/>
    <cellStyle name="Normal 4 25" xfId="7038"/>
    <cellStyle name="Normal 4 25 2" xfId="12128"/>
    <cellStyle name="Normal 4 26" xfId="7039"/>
    <cellStyle name="Normal 4 26 2" xfId="12129"/>
    <cellStyle name="Normal 4 27" xfId="7040"/>
    <cellStyle name="Normal 4 27 2" xfId="12130"/>
    <cellStyle name="Normal 4 28" xfId="7041"/>
    <cellStyle name="Normal 4 28 2" xfId="12131"/>
    <cellStyle name="Normal 4 29" xfId="7042"/>
    <cellStyle name="Normal 4 29 2" xfId="12132"/>
    <cellStyle name="Normal 4 3" xfId="135"/>
    <cellStyle name="Normal 4 30" xfId="7043"/>
    <cellStyle name="Normal 4 30 2" xfId="12133"/>
    <cellStyle name="Normal 4 31" xfId="7044"/>
    <cellStyle name="Normal 4 31 2" xfId="12134"/>
    <cellStyle name="Normal 4 32" xfId="7045"/>
    <cellStyle name="Normal 4 32 2" xfId="12135"/>
    <cellStyle name="Normal 4 33" xfId="7046"/>
    <cellStyle name="Normal 4 33 2" xfId="12136"/>
    <cellStyle name="Normal 4 34" xfId="7047"/>
    <cellStyle name="Normal 4 34 2" xfId="12137"/>
    <cellStyle name="Normal 4 35" xfId="7048"/>
    <cellStyle name="Normal 4 36" xfId="7049"/>
    <cellStyle name="Normal 4 37" xfId="7050"/>
    <cellStyle name="Normal 4 38" xfId="7051"/>
    <cellStyle name="Normal 4 39" xfId="7052"/>
    <cellStyle name="Normal 4 4" xfId="136"/>
    <cellStyle name="Normal 4 40" xfId="7053"/>
    <cellStyle name="Normal 4 41" xfId="7054"/>
    <cellStyle name="Normal 4 42" xfId="7055"/>
    <cellStyle name="Normal 4 43" xfId="7056"/>
    <cellStyle name="Normal 4 44" xfId="7057"/>
    <cellStyle name="Normal 4 45" xfId="7058"/>
    <cellStyle name="Normal 4 46" xfId="7059"/>
    <cellStyle name="Normal 4 47" xfId="7060"/>
    <cellStyle name="Normal 4 48" xfId="7061"/>
    <cellStyle name="Normal 4 49" xfId="7062"/>
    <cellStyle name="Normal 4 5" xfId="137"/>
    <cellStyle name="Normal 4 50" xfId="7063"/>
    <cellStyle name="Normal 4 51" xfId="7064"/>
    <cellStyle name="Normal 4 52" xfId="7065"/>
    <cellStyle name="Normal 4 53" xfId="7066"/>
    <cellStyle name="Normal 4 54" xfId="7067"/>
    <cellStyle name="Normal 4 55" xfId="7068"/>
    <cellStyle name="Normal 4 56" xfId="7069"/>
    <cellStyle name="Normal 4 57" xfId="7070"/>
    <cellStyle name="Normal 4 58" xfId="7071"/>
    <cellStyle name="Normal 4 59" xfId="7072"/>
    <cellStyle name="Normal 4 6" xfId="7073"/>
    <cellStyle name="Normal 4 6 10" xfId="7074"/>
    <cellStyle name="Normal 4 6 10 2" xfId="12138"/>
    <cellStyle name="Normal 4 6 11" xfId="7075"/>
    <cellStyle name="Normal 4 6 11 2" xfId="12139"/>
    <cellStyle name="Normal 4 6 12" xfId="7076"/>
    <cellStyle name="Normal 4 6 12 2" xfId="12140"/>
    <cellStyle name="Normal 4 6 13" xfId="7077"/>
    <cellStyle name="Normal 4 6 13 2" xfId="12141"/>
    <cellStyle name="Normal 4 6 14" xfId="7078"/>
    <cellStyle name="Normal 4 6 14 2" xfId="12142"/>
    <cellStyle name="Normal 4 6 15" xfId="7079"/>
    <cellStyle name="Normal 4 6 15 2" xfId="12143"/>
    <cellStyle name="Normal 4 6 16" xfId="7080"/>
    <cellStyle name="Normal 4 6 16 2" xfId="12144"/>
    <cellStyle name="Normal 4 6 17" xfId="7081"/>
    <cellStyle name="Normal 4 6 17 2" xfId="12145"/>
    <cellStyle name="Normal 4 6 18" xfId="7082"/>
    <cellStyle name="Normal 4 6 18 2" xfId="12146"/>
    <cellStyle name="Normal 4 6 19" xfId="7083"/>
    <cellStyle name="Normal 4 6 19 2" xfId="12147"/>
    <cellStyle name="Normal 4 6 2" xfId="7084"/>
    <cellStyle name="Normal 4 6 2 2" xfId="12148"/>
    <cellStyle name="Normal 4 6 20" xfId="7085"/>
    <cellStyle name="Normal 4 6 20 2" xfId="12149"/>
    <cellStyle name="Normal 4 6 21" xfId="7086"/>
    <cellStyle name="Normal 4 6 21 2" xfId="12150"/>
    <cellStyle name="Normal 4 6 22" xfId="7087"/>
    <cellStyle name="Normal 4 6 22 2" xfId="12151"/>
    <cellStyle name="Normal 4 6 23" xfId="7088"/>
    <cellStyle name="Normal 4 6 23 2" xfId="12152"/>
    <cellStyle name="Normal 4 6 24" xfId="7089"/>
    <cellStyle name="Normal 4 6 24 2" xfId="12153"/>
    <cellStyle name="Normal 4 6 25" xfId="7090"/>
    <cellStyle name="Normal 4 6 25 2" xfId="12154"/>
    <cellStyle name="Normal 4 6 26" xfId="7091"/>
    <cellStyle name="Normal 4 6 26 2" xfId="12155"/>
    <cellStyle name="Normal 4 6 27" xfId="7092"/>
    <cellStyle name="Normal 4 6 27 2" xfId="12156"/>
    <cellStyle name="Normal 4 6 28" xfId="7093"/>
    <cellStyle name="Normal 4 6 28 2" xfId="12157"/>
    <cellStyle name="Normal 4 6 29" xfId="7094"/>
    <cellStyle name="Normal 4 6 29 2" xfId="12158"/>
    <cellStyle name="Normal 4 6 3" xfId="7095"/>
    <cellStyle name="Normal 4 6 3 2" xfId="12159"/>
    <cellStyle name="Normal 4 6 30" xfId="7096"/>
    <cellStyle name="Normal 4 6 30 2" xfId="12160"/>
    <cellStyle name="Normal 4 6 31" xfId="7097"/>
    <cellStyle name="Normal 4 6 31 2" xfId="12161"/>
    <cellStyle name="Normal 4 6 32" xfId="7098"/>
    <cellStyle name="Normal 4 6 32 2" xfId="12162"/>
    <cellStyle name="Normal 4 6 33" xfId="7099"/>
    <cellStyle name="Normal 4 6 33 2" xfId="12163"/>
    <cellStyle name="Normal 4 6 34" xfId="7100"/>
    <cellStyle name="Normal 4 6 34 2" xfId="12164"/>
    <cellStyle name="Normal 4 6 35" xfId="7101"/>
    <cellStyle name="Normal 4 6 35 2" xfId="12165"/>
    <cellStyle name="Normal 4 6 36" xfId="7102"/>
    <cellStyle name="Normal 4 6 36 2" xfId="12166"/>
    <cellStyle name="Normal 4 6 37" xfId="7103"/>
    <cellStyle name="Normal 4 6 37 2" xfId="12167"/>
    <cellStyle name="Normal 4 6 4" xfId="7104"/>
    <cellStyle name="Normal 4 6 4 2" xfId="12168"/>
    <cellStyle name="Normal 4 6 5" xfId="7105"/>
    <cellStyle name="Normal 4 6 5 2" xfId="12169"/>
    <cellStyle name="Normal 4 6 6" xfId="7106"/>
    <cellStyle name="Normal 4 6 6 2" xfId="12170"/>
    <cellStyle name="Normal 4 6 7" xfId="7107"/>
    <cellStyle name="Normal 4 6 7 2" xfId="12171"/>
    <cellStyle name="Normal 4 6 8" xfId="7108"/>
    <cellStyle name="Normal 4 6 8 2" xfId="12172"/>
    <cellStyle name="Normal 4 6 9" xfId="7109"/>
    <cellStyle name="Normal 4 6 9 2" xfId="12173"/>
    <cellStyle name="Normal 4 60" xfId="7110"/>
    <cellStyle name="Normal 4 61" xfId="7111"/>
    <cellStyle name="Normal 4 62" xfId="7112"/>
    <cellStyle name="Normal 4 63" xfId="7113"/>
    <cellStyle name="Normal 4 64" xfId="7114"/>
    <cellStyle name="Normal 4 65" xfId="7115"/>
    <cellStyle name="Normal 4 66" xfId="7116"/>
    <cellStyle name="Normal 4 67" xfId="7117"/>
    <cellStyle name="Normal 4 68" xfId="7118"/>
    <cellStyle name="Normal 4 69" xfId="7119"/>
    <cellStyle name="Normal 4 7" xfId="7120"/>
    <cellStyle name="Normal 4 7 2" xfId="12174"/>
    <cellStyle name="Normal 4 70" xfId="12076"/>
    <cellStyle name="Normal 4 8" xfId="7121"/>
    <cellStyle name="Normal 4 8 2" xfId="12175"/>
    <cellStyle name="Normal 4 9" xfId="7122"/>
    <cellStyle name="Normal 4 9 2" xfId="12176"/>
    <cellStyle name="Normal 40" xfId="7123"/>
    <cellStyle name="Normal 40 2" xfId="7124"/>
    <cellStyle name="Normal 40 3" xfId="7125"/>
    <cellStyle name="Normal 40 4" xfId="7126"/>
    <cellStyle name="Normal 40 5" xfId="7127"/>
    <cellStyle name="Normal 41" xfId="7128"/>
    <cellStyle name="Normal 41 2" xfId="7129"/>
    <cellStyle name="Normal 41 3" xfId="7130"/>
    <cellStyle name="Normal 41 4" xfId="7131"/>
    <cellStyle name="Normal 41 5" xfId="7132"/>
    <cellStyle name="Normal 42" xfId="7133"/>
    <cellStyle name="Normal 42 2" xfId="7134"/>
    <cellStyle name="Normal 42 3" xfId="7135"/>
    <cellStyle name="Normal 42 4" xfId="7136"/>
    <cellStyle name="Normal 42 5" xfId="7137"/>
    <cellStyle name="Normal 43" xfId="7138"/>
    <cellStyle name="Normal 43 2" xfId="7139"/>
    <cellStyle name="Normal 43 3" xfId="7140"/>
    <cellStyle name="Normal 43 4" xfId="7141"/>
    <cellStyle name="Normal 43 5" xfId="7142"/>
    <cellStyle name="Normal 44" xfId="10673"/>
    <cellStyle name="Normal 45" xfId="10642"/>
    <cellStyle name="Normal 46" xfId="10643"/>
    <cellStyle name="Normal 47" xfId="10645"/>
    <cellStyle name="Normal 48" xfId="10647"/>
    <cellStyle name="Normal 49" xfId="10653"/>
    <cellStyle name="Normal 5" xfId="138"/>
    <cellStyle name="Normal 5 10" xfId="7143"/>
    <cellStyle name="Normal 5 10 2" xfId="7144"/>
    <cellStyle name="Normal 5 10 3" xfId="7145"/>
    <cellStyle name="Normal 5 10 4" xfId="7146"/>
    <cellStyle name="Normal 5 10 5" xfId="7147"/>
    <cellStyle name="Normal 5 11" xfId="7148"/>
    <cellStyle name="Normal 5 11 2" xfId="7149"/>
    <cellStyle name="Normal 5 11 3" xfId="7150"/>
    <cellStyle name="Normal 5 11 4" xfId="7151"/>
    <cellStyle name="Normal 5 11 5" xfId="7152"/>
    <cellStyle name="Normal 5 12" xfId="7153"/>
    <cellStyle name="Normal 5 12 2" xfId="7154"/>
    <cellStyle name="Normal 5 12 3" xfId="7155"/>
    <cellStyle name="Normal 5 12 4" xfId="7156"/>
    <cellStyle name="Normal 5 12 5" xfId="7157"/>
    <cellStyle name="Normal 5 13" xfId="7158"/>
    <cellStyle name="Normal 5 13 2" xfId="7159"/>
    <cellStyle name="Normal 5 13 3" xfId="7160"/>
    <cellStyle name="Normal 5 13 4" xfId="7161"/>
    <cellStyle name="Normal 5 13 5" xfId="7162"/>
    <cellStyle name="Normal 5 14" xfId="7163"/>
    <cellStyle name="Normal 5 14 2" xfId="7164"/>
    <cellStyle name="Normal 5 14 3" xfId="7165"/>
    <cellStyle name="Normal 5 14 4" xfId="7166"/>
    <cellStyle name="Normal 5 14 5" xfId="7167"/>
    <cellStyle name="Normal 5 15" xfId="7168"/>
    <cellStyle name="Normal 5 15 2" xfId="7169"/>
    <cellStyle name="Normal 5 15 3" xfId="7170"/>
    <cellStyle name="Normal 5 15 4" xfId="7171"/>
    <cellStyle name="Normal 5 15 5" xfId="7172"/>
    <cellStyle name="Normal 5 16" xfId="7173"/>
    <cellStyle name="Normal 5 16 2" xfId="7174"/>
    <cellStyle name="Normal 5 16 3" xfId="7175"/>
    <cellStyle name="Normal 5 16 4" xfId="7176"/>
    <cellStyle name="Normal 5 16 5" xfId="7177"/>
    <cellStyle name="Normal 5 17" xfId="7178"/>
    <cellStyle name="Normal 5 17 2" xfId="7179"/>
    <cellStyle name="Normal 5 17 3" xfId="7180"/>
    <cellStyle name="Normal 5 17 4" xfId="7181"/>
    <cellStyle name="Normal 5 17 5" xfId="7182"/>
    <cellStyle name="Normal 5 18" xfId="7183"/>
    <cellStyle name="Normal 5 18 2" xfId="7184"/>
    <cellStyle name="Normal 5 18 3" xfId="7185"/>
    <cellStyle name="Normal 5 18 4" xfId="7186"/>
    <cellStyle name="Normal 5 18 5" xfId="7187"/>
    <cellStyle name="Normal 5 19" xfId="7188"/>
    <cellStyle name="Normal 5 19 2" xfId="7189"/>
    <cellStyle name="Normal 5 19 3" xfId="7190"/>
    <cellStyle name="Normal 5 19 4" xfId="7191"/>
    <cellStyle name="Normal 5 19 5" xfId="7192"/>
    <cellStyle name="Normal 5 2" xfId="139"/>
    <cellStyle name="Normal 5 2 10" xfId="7193"/>
    <cellStyle name="Normal 5 2 11" xfId="7194"/>
    <cellStyle name="Normal 5 2 12" xfId="7195"/>
    <cellStyle name="Normal 5 2 13" xfId="7196"/>
    <cellStyle name="Normal 5 2 14" xfId="7197"/>
    <cellStyle name="Normal 5 2 15" xfId="7198"/>
    <cellStyle name="Normal 5 2 16" xfId="7199"/>
    <cellStyle name="Normal 5 2 17" xfId="7200"/>
    <cellStyle name="Normal 5 2 18" xfId="7201"/>
    <cellStyle name="Normal 5 2 19" xfId="7202"/>
    <cellStyle name="Normal 5 2 2" xfId="7203"/>
    <cellStyle name="Normal 5 2 20" xfId="7204"/>
    <cellStyle name="Normal 5 2 21" xfId="7205"/>
    <cellStyle name="Normal 5 2 22" xfId="7206"/>
    <cellStyle name="Normal 5 2 23" xfId="7207"/>
    <cellStyle name="Normal 5 2 24" xfId="7208"/>
    <cellStyle name="Normal 5 2 3" xfId="7209"/>
    <cellStyle name="Normal 5 2 4" xfId="7210"/>
    <cellStyle name="Normal 5 2 5" xfId="7211"/>
    <cellStyle name="Normal 5 2 6" xfId="7212"/>
    <cellStyle name="Normal 5 2 7" xfId="7213"/>
    <cellStyle name="Normal 5 2 8" xfId="7214"/>
    <cellStyle name="Normal 5 2 9" xfId="7215"/>
    <cellStyle name="Normal 5 20" xfId="7216"/>
    <cellStyle name="Normal 5 20 2" xfId="7217"/>
    <cellStyle name="Normal 5 20 3" xfId="7218"/>
    <cellStyle name="Normal 5 20 4" xfId="7219"/>
    <cellStyle name="Normal 5 20 5" xfId="7220"/>
    <cellStyle name="Normal 5 21" xfId="7221"/>
    <cellStyle name="Normal 5 21 2" xfId="7222"/>
    <cellStyle name="Normal 5 21 3" xfId="7223"/>
    <cellStyle name="Normal 5 21 4" xfId="7224"/>
    <cellStyle name="Normal 5 21 5" xfId="7225"/>
    <cellStyle name="Normal 5 22" xfId="7226"/>
    <cellStyle name="Normal 5 22 2" xfId="7227"/>
    <cellStyle name="Normal 5 22 3" xfId="7228"/>
    <cellStyle name="Normal 5 22 4" xfId="7229"/>
    <cellStyle name="Normal 5 22 5" xfId="7230"/>
    <cellStyle name="Normal 5 23" xfId="7231"/>
    <cellStyle name="Normal 5 23 2" xfId="7232"/>
    <cellStyle name="Normal 5 23 3" xfId="7233"/>
    <cellStyle name="Normal 5 23 4" xfId="7234"/>
    <cellStyle name="Normal 5 23 5" xfId="7235"/>
    <cellStyle name="Normal 5 24" xfId="7236"/>
    <cellStyle name="Normal 5 24 2" xfId="7237"/>
    <cellStyle name="Normal 5 24 3" xfId="7238"/>
    <cellStyle name="Normal 5 24 4" xfId="7239"/>
    <cellStyle name="Normal 5 24 5" xfId="7240"/>
    <cellStyle name="Normal 5 25" xfId="7241"/>
    <cellStyle name="Normal 5 25 2" xfId="7242"/>
    <cellStyle name="Normal 5 25 3" xfId="7243"/>
    <cellStyle name="Normal 5 25 4" xfId="7244"/>
    <cellStyle name="Normal 5 25 5" xfId="7245"/>
    <cellStyle name="Normal 5 26" xfId="7246"/>
    <cellStyle name="Normal 5 26 2" xfId="7247"/>
    <cellStyle name="Normal 5 26 3" xfId="7248"/>
    <cellStyle name="Normal 5 26 4" xfId="7249"/>
    <cellStyle name="Normal 5 26 5" xfId="7250"/>
    <cellStyle name="Normal 5 27" xfId="7251"/>
    <cellStyle name="Normal 5 27 2" xfId="7252"/>
    <cellStyle name="Normal 5 27 3" xfId="7253"/>
    <cellStyle name="Normal 5 27 4" xfId="7254"/>
    <cellStyle name="Normal 5 27 5" xfId="7255"/>
    <cellStyle name="Normal 5 28" xfId="7256"/>
    <cellStyle name="Normal 5 28 2" xfId="7257"/>
    <cellStyle name="Normal 5 28 3" xfId="7258"/>
    <cellStyle name="Normal 5 28 4" xfId="7259"/>
    <cellStyle name="Normal 5 28 5" xfId="7260"/>
    <cellStyle name="Normal 5 29" xfId="7261"/>
    <cellStyle name="Normal 5 29 2" xfId="7262"/>
    <cellStyle name="Normal 5 29 3" xfId="7263"/>
    <cellStyle name="Normal 5 29 4" xfId="7264"/>
    <cellStyle name="Normal 5 29 5" xfId="7265"/>
    <cellStyle name="Normal 5 3" xfId="140"/>
    <cellStyle name="Normal 5 3 10" xfId="7266"/>
    <cellStyle name="Normal 5 3 11" xfId="7267"/>
    <cellStyle name="Normal 5 3 12" xfId="7268"/>
    <cellStyle name="Normal 5 3 13" xfId="7269"/>
    <cellStyle name="Normal 5 3 14" xfId="7270"/>
    <cellStyle name="Normal 5 3 15" xfId="7271"/>
    <cellStyle name="Normal 5 3 16" xfId="7272"/>
    <cellStyle name="Normal 5 3 17" xfId="7273"/>
    <cellStyle name="Normal 5 3 18" xfId="7274"/>
    <cellStyle name="Normal 5 3 19" xfId="7275"/>
    <cellStyle name="Normal 5 3 2" xfId="7276"/>
    <cellStyle name="Normal 5 3 20" xfId="7277"/>
    <cellStyle name="Normal 5 3 21" xfId="7278"/>
    <cellStyle name="Normal 5 3 22" xfId="7279"/>
    <cellStyle name="Normal 5 3 23" xfId="7280"/>
    <cellStyle name="Normal 5 3 24" xfId="7281"/>
    <cellStyle name="Normal 5 3 3" xfId="7282"/>
    <cellStyle name="Normal 5 3 4" xfId="7283"/>
    <cellStyle name="Normal 5 3 5" xfId="7284"/>
    <cellStyle name="Normal 5 3 6" xfId="7285"/>
    <cellStyle name="Normal 5 3 7" xfId="7286"/>
    <cellStyle name="Normal 5 3 8" xfId="7287"/>
    <cellStyle name="Normal 5 3 9" xfId="7288"/>
    <cellStyle name="Normal 5 30" xfId="7289"/>
    <cellStyle name="Normal 5 30 2" xfId="7290"/>
    <cellStyle name="Normal 5 30 3" xfId="7291"/>
    <cellStyle name="Normal 5 30 4" xfId="7292"/>
    <cellStyle name="Normal 5 30 5" xfId="7293"/>
    <cellStyle name="Normal 5 31" xfId="7294"/>
    <cellStyle name="Normal 5 32" xfId="7295"/>
    <cellStyle name="Normal 5 33" xfId="7296"/>
    <cellStyle name="Normal 5 34" xfId="7297"/>
    <cellStyle name="Normal 5 35" xfId="7298"/>
    <cellStyle name="Normal 5 36" xfId="7299"/>
    <cellStyle name="Normal 5 37" xfId="7300"/>
    <cellStyle name="Normal 5 38" xfId="7301"/>
    <cellStyle name="Normal 5 39" xfId="7302"/>
    <cellStyle name="Normal 5 4" xfId="141"/>
    <cellStyle name="Normal 5 4 10" xfId="7303"/>
    <cellStyle name="Normal 5 4 11" xfId="7304"/>
    <cellStyle name="Normal 5 4 12" xfId="7305"/>
    <cellStyle name="Normal 5 4 13" xfId="7306"/>
    <cellStyle name="Normal 5 4 14" xfId="7307"/>
    <cellStyle name="Normal 5 4 15" xfId="7308"/>
    <cellStyle name="Normal 5 4 16" xfId="7309"/>
    <cellStyle name="Normal 5 4 17" xfId="7310"/>
    <cellStyle name="Normal 5 4 18" xfId="7311"/>
    <cellStyle name="Normal 5 4 19" xfId="7312"/>
    <cellStyle name="Normal 5 4 2" xfId="7313"/>
    <cellStyle name="Normal 5 4 20" xfId="7314"/>
    <cellStyle name="Normal 5 4 21" xfId="7315"/>
    <cellStyle name="Normal 5 4 22" xfId="7316"/>
    <cellStyle name="Normal 5 4 23" xfId="7317"/>
    <cellStyle name="Normal 5 4 24" xfId="7318"/>
    <cellStyle name="Normal 5 4 3" xfId="7319"/>
    <cellStyle name="Normal 5 4 4" xfId="7320"/>
    <cellStyle name="Normal 5 4 5" xfId="7321"/>
    <cellStyle name="Normal 5 4 6" xfId="7322"/>
    <cellStyle name="Normal 5 4 7" xfId="7323"/>
    <cellStyle name="Normal 5 4 8" xfId="7324"/>
    <cellStyle name="Normal 5 4 9" xfId="7325"/>
    <cellStyle name="Normal 5 40" xfId="7326"/>
    <cellStyle name="Normal 5 41" xfId="7327"/>
    <cellStyle name="Normal 5 42" xfId="7328"/>
    <cellStyle name="Normal 5 43" xfId="7329"/>
    <cellStyle name="Normal 5 44" xfId="7330"/>
    <cellStyle name="Normal 5 45" xfId="7331"/>
    <cellStyle name="Normal 5 46" xfId="7332"/>
    <cellStyle name="Normal 5 47" xfId="10675"/>
    <cellStyle name="Normal 5 47 2" xfId="12177"/>
    <cellStyle name="Normal 5 48" xfId="10723"/>
    <cellStyle name="Normal 5 48 2" xfId="12178"/>
    <cellStyle name="Normal 5 49" xfId="10746"/>
    <cellStyle name="Normal 5 49 2" xfId="12179"/>
    <cellStyle name="Normal 5 5" xfId="142"/>
    <cellStyle name="Normal 5 5 10" xfId="7333"/>
    <cellStyle name="Normal 5 5 11" xfId="7334"/>
    <cellStyle name="Normal 5 5 12" xfId="7335"/>
    <cellStyle name="Normal 5 5 13" xfId="7336"/>
    <cellStyle name="Normal 5 5 14" xfId="7337"/>
    <cellStyle name="Normal 5 5 15" xfId="7338"/>
    <cellStyle name="Normal 5 5 16" xfId="7339"/>
    <cellStyle name="Normal 5 5 17" xfId="7340"/>
    <cellStyle name="Normal 5 5 18" xfId="7341"/>
    <cellStyle name="Normal 5 5 19" xfId="7342"/>
    <cellStyle name="Normal 5 5 2" xfId="7343"/>
    <cellStyle name="Normal 5 5 20" xfId="7344"/>
    <cellStyle name="Normal 5 5 21" xfId="7345"/>
    <cellStyle name="Normal 5 5 22" xfId="7346"/>
    <cellStyle name="Normal 5 5 23" xfId="7347"/>
    <cellStyle name="Normal 5 5 24" xfId="7348"/>
    <cellStyle name="Normal 5 5 3" xfId="7349"/>
    <cellStyle name="Normal 5 5 4" xfId="7350"/>
    <cellStyle name="Normal 5 5 5" xfId="7351"/>
    <cellStyle name="Normal 5 5 6" xfId="7352"/>
    <cellStyle name="Normal 5 5 7" xfId="7353"/>
    <cellStyle name="Normal 5 5 8" xfId="7354"/>
    <cellStyle name="Normal 5 5 9" xfId="7355"/>
    <cellStyle name="Normal 5 50" xfId="10730"/>
    <cellStyle name="Normal 5 50 2" xfId="12180"/>
    <cellStyle name="Normal 5 51" xfId="10739"/>
    <cellStyle name="Normal 5 51 2" xfId="12181"/>
    <cellStyle name="Normal 5 52" xfId="10755"/>
    <cellStyle name="Normal 5 52 2" xfId="12182"/>
    <cellStyle name="Normal 5 53" xfId="10788"/>
    <cellStyle name="Normal 5 53 2" xfId="12183"/>
    <cellStyle name="Normal 5 54" xfId="10762"/>
    <cellStyle name="Normal 5 54 2" xfId="12184"/>
    <cellStyle name="Normal 5 6" xfId="7356"/>
    <cellStyle name="Normal 5 6 2" xfId="7357"/>
    <cellStyle name="Normal 5 6 3" xfId="7358"/>
    <cellStyle name="Normal 5 6 4" xfId="7359"/>
    <cellStyle name="Normal 5 6 5" xfId="7360"/>
    <cellStyle name="Normal 5 7" xfId="7361"/>
    <cellStyle name="Normal 5 7 2" xfId="7362"/>
    <cellStyle name="Normal 5 7 3" xfId="7363"/>
    <cellStyle name="Normal 5 7 4" xfId="7364"/>
    <cellStyle name="Normal 5 7 5" xfId="7365"/>
    <cellStyle name="Normal 5 8" xfId="7366"/>
    <cellStyle name="Normal 5 8 2" xfId="7367"/>
    <cellStyle name="Normal 5 8 3" xfId="7368"/>
    <cellStyle name="Normal 5 8 4" xfId="7369"/>
    <cellStyle name="Normal 5 8 5" xfId="7370"/>
    <cellStyle name="Normal 5 9" xfId="7371"/>
    <cellStyle name="Normal 5 9 2" xfId="7372"/>
    <cellStyle name="Normal 5 9 3" xfId="7373"/>
    <cellStyle name="Normal 5 9 4" xfId="7374"/>
    <cellStyle name="Normal 5 9 5" xfId="7375"/>
    <cellStyle name="Normal 50" xfId="10654"/>
    <cellStyle name="Normal 51" xfId="10655"/>
    <cellStyle name="Normal 52" xfId="10663"/>
    <cellStyle name="Normal 53" xfId="10665"/>
    <cellStyle name="Normal 54" xfId="10668"/>
    <cellStyle name="Normal 55" xfId="10669"/>
    <cellStyle name="Normal 56" xfId="10672"/>
    <cellStyle name="Normal 57" xfId="10816"/>
    <cellStyle name="Normal 58" xfId="10817"/>
    <cellStyle name="Normal 59" xfId="10818"/>
    <cellStyle name="Normal 6" xfId="143"/>
    <cellStyle name="Normal 6 10" xfId="7376"/>
    <cellStyle name="Normal 6 10 10" xfId="7377"/>
    <cellStyle name="Normal 6 10 11" xfId="7378"/>
    <cellStyle name="Normal 6 10 12" xfId="7379"/>
    <cellStyle name="Normal 6 10 13" xfId="7380"/>
    <cellStyle name="Normal 6 10 14" xfId="7381"/>
    <cellStyle name="Normal 6 10 15" xfId="7382"/>
    <cellStyle name="Normal 6 10 16" xfId="7383"/>
    <cellStyle name="Normal 6 10 17" xfId="7384"/>
    <cellStyle name="Normal 6 10 2" xfId="7385"/>
    <cellStyle name="Normal 6 10 3" xfId="7386"/>
    <cellStyle name="Normal 6 10 4" xfId="7387"/>
    <cellStyle name="Normal 6 10 5" xfId="7388"/>
    <cellStyle name="Normal 6 10 6" xfId="7389"/>
    <cellStyle name="Normal 6 10 7" xfId="7390"/>
    <cellStyle name="Normal 6 10 8" xfId="7391"/>
    <cellStyle name="Normal 6 10 9" xfId="7392"/>
    <cellStyle name="Normal 6 11" xfId="7393"/>
    <cellStyle name="Normal 6 11 10" xfId="7394"/>
    <cellStyle name="Normal 6 11 11" xfId="7395"/>
    <cellStyle name="Normal 6 11 12" xfId="7396"/>
    <cellStyle name="Normal 6 11 13" xfId="7397"/>
    <cellStyle name="Normal 6 11 14" xfId="7398"/>
    <cellStyle name="Normal 6 11 15" xfId="7399"/>
    <cellStyle name="Normal 6 11 16" xfId="7400"/>
    <cellStyle name="Normal 6 11 17" xfId="7401"/>
    <cellStyle name="Normal 6 11 2" xfId="7402"/>
    <cellStyle name="Normal 6 11 3" xfId="7403"/>
    <cellStyle name="Normal 6 11 4" xfId="7404"/>
    <cellStyle name="Normal 6 11 5" xfId="7405"/>
    <cellStyle name="Normal 6 11 6" xfId="7406"/>
    <cellStyle name="Normal 6 11 7" xfId="7407"/>
    <cellStyle name="Normal 6 11 8" xfId="7408"/>
    <cellStyle name="Normal 6 11 9" xfId="7409"/>
    <cellStyle name="Normal 6 12" xfId="7410"/>
    <cellStyle name="Normal 6 12 10" xfId="7411"/>
    <cellStyle name="Normal 6 12 11" xfId="7412"/>
    <cellStyle name="Normal 6 12 12" xfId="7413"/>
    <cellStyle name="Normal 6 12 13" xfId="7414"/>
    <cellStyle name="Normal 6 12 14" xfId="7415"/>
    <cellStyle name="Normal 6 12 15" xfId="7416"/>
    <cellStyle name="Normal 6 12 16" xfId="7417"/>
    <cellStyle name="Normal 6 12 17" xfId="7418"/>
    <cellStyle name="Normal 6 12 2" xfId="7419"/>
    <cellStyle name="Normal 6 12 3" xfId="7420"/>
    <cellStyle name="Normal 6 12 4" xfId="7421"/>
    <cellStyle name="Normal 6 12 5" xfId="7422"/>
    <cellStyle name="Normal 6 12 6" xfId="7423"/>
    <cellStyle name="Normal 6 12 7" xfId="7424"/>
    <cellStyle name="Normal 6 12 8" xfId="7425"/>
    <cellStyle name="Normal 6 12 9" xfId="7426"/>
    <cellStyle name="Normal 6 13" xfId="7427"/>
    <cellStyle name="Normal 6 13 10" xfId="7428"/>
    <cellStyle name="Normal 6 13 11" xfId="7429"/>
    <cellStyle name="Normal 6 13 12" xfId="7430"/>
    <cellStyle name="Normal 6 13 13" xfId="7431"/>
    <cellStyle name="Normal 6 13 14" xfId="7432"/>
    <cellStyle name="Normal 6 13 15" xfId="7433"/>
    <cellStyle name="Normal 6 13 16" xfId="7434"/>
    <cellStyle name="Normal 6 13 17" xfId="7435"/>
    <cellStyle name="Normal 6 13 2" xfId="7436"/>
    <cellStyle name="Normal 6 13 3" xfId="7437"/>
    <cellStyle name="Normal 6 13 4" xfId="7438"/>
    <cellStyle name="Normal 6 13 5" xfId="7439"/>
    <cellStyle name="Normal 6 13 6" xfId="7440"/>
    <cellStyle name="Normal 6 13 7" xfId="7441"/>
    <cellStyle name="Normal 6 13 8" xfId="7442"/>
    <cellStyle name="Normal 6 13 9" xfId="7443"/>
    <cellStyle name="Normal 6 14" xfId="7444"/>
    <cellStyle name="Normal 6 14 10" xfId="7445"/>
    <cellStyle name="Normal 6 14 11" xfId="7446"/>
    <cellStyle name="Normal 6 14 12" xfId="7447"/>
    <cellStyle name="Normal 6 14 13" xfId="7448"/>
    <cellStyle name="Normal 6 14 14" xfId="7449"/>
    <cellStyle name="Normal 6 14 15" xfId="7450"/>
    <cellStyle name="Normal 6 14 16" xfId="7451"/>
    <cellStyle name="Normal 6 14 17" xfId="7452"/>
    <cellStyle name="Normal 6 14 2" xfId="7453"/>
    <cellStyle name="Normal 6 14 3" xfId="7454"/>
    <cellStyle name="Normal 6 14 4" xfId="7455"/>
    <cellStyle name="Normal 6 14 5" xfId="7456"/>
    <cellStyle name="Normal 6 14 6" xfId="7457"/>
    <cellStyle name="Normal 6 14 7" xfId="7458"/>
    <cellStyle name="Normal 6 14 8" xfId="7459"/>
    <cellStyle name="Normal 6 14 9" xfId="7460"/>
    <cellStyle name="Normal 6 15" xfId="7461"/>
    <cellStyle name="Normal 6 15 10" xfId="7462"/>
    <cellStyle name="Normal 6 15 11" xfId="7463"/>
    <cellStyle name="Normal 6 15 12" xfId="7464"/>
    <cellStyle name="Normal 6 15 13" xfId="7465"/>
    <cellStyle name="Normal 6 15 14" xfId="7466"/>
    <cellStyle name="Normal 6 15 15" xfId="7467"/>
    <cellStyle name="Normal 6 15 16" xfId="7468"/>
    <cellStyle name="Normal 6 15 17" xfId="7469"/>
    <cellStyle name="Normal 6 15 2" xfId="7470"/>
    <cellStyle name="Normal 6 15 3" xfId="7471"/>
    <cellStyle name="Normal 6 15 4" xfId="7472"/>
    <cellStyle name="Normal 6 15 5" xfId="7473"/>
    <cellStyle name="Normal 6 15 6" xfId="7474"/>
    <cellStyle name="Normal 6 15 7" xfId="7475"/>
    <cellStyle name="Normal 6 15 8" xfId="7476"/>
    <cellStyle name="Normal 6 15 9" xfId="7477"/>
    <cellStyle name="Normal 6 16" xfId="7478"/>
    <cellStyle name="Normal 6 16 10" xfId="7479"/>
    <cellStyle name="Normal 6 16 11" xfId="7480"/>
    <cellStyle name="Normal 6 16 12" xfId="7481"/>
    <cellStyle name="Normal 6 16 13" xfId="7482"/>
    <cellStyle name="Normal 6 16 14" xfId="7483"/>
    <cellStyle name="Normal 6 16 15" xfId="7484"/>
    <cellStyle name="Normal 6 16 16" xfId="7485"/>
    <cellStyle name="Normal 6 16 17" xfId="7486"/>
    <cellStyle name="Normal 6 16 2" xfId="7487"/>
    <cellStyle name="Normal 6 16 3" xfId="7488"/>
    <cellStyle name="Normal 6 16 4" xfId="7489"/>
    <cellStyle name="Normal 6 16 5" xfId="7490"/>
    <cellStyle name="Normal 6 16 6" xfId="7491"/>
    <cellStyle name="Normal 6 16 7" xfId="7492"/>
    <cellStyle name="Normal 6 16 8" xfId="7493"/>
    <cellStyle name="Normal 6 16 9" xfId="7494"/>
    <cellStyle name="Normal 6 17" xfId="7495"/>
    <cellStyle name="Normal 6 17 10" xfId="7496"/>
    <cellStyle name="Normal 6 17 11" xfId="7497"/>
    <cellStyle name="Normal 6 17 12" xfId="7498"/>
    <cellStyle name="Normal 6 17 13" xfId="7499"/>
    <cellStyle name="Normal 6 17 14" xfId="7500"/>
    <cellStyle name="Normal 6 17 15" xfId="7501"/>
    <cellStyle name="Normal 6 17 16" xfId="7502"/>
    <cellStyle name="Normal 6 17 17" xfId="7503"/>
    <cellStyle name="Normal 6 17 2" xfId="7504"/>
    <cellStyle name="Normal 6 17 3" xfId="7505"/>
    <cellStyle name="Normal 6 17 4" xfId="7506"/>
    <cellStyle name="Normal 6 17 5" xfId="7507"/>
    <cellStyle name="Normal 6 17 6" xfId="7508"/>
    <cellStyle name="Normal 6 17 7" xfId="7509"/>
    <cellStyle name="Normal 6 17 8" xfId="7510"/>
    <cellStyle name="Normal 6 17 9" xfId="7511"/>
    <cellStyle name="Normal 6 18" xfId="7512"/>
    <cellStyle name="Normal 6 18 10" xfId="7513"/>
    <cellStyle name="Normal 6 18 11" xfId="7514"/>
    <cellStyle name="Normal 6 18 12" xfId="7515"/>
    <cellStyle name="Normal 6 18 13" xfId="7516"/>
    <cellStyle name="Normal 6 18 14" xfId="7517"/>
    <cellStyle name="Normal 6 18 15" xfId="7518"/>
    <cellStyle name="Normal 6 18 16" xfId="7519"/>
    <cellStyle name="Normal 6 18 17" xfId="7520"/>
    <cellStyle name="Normal 6 18 2" xfId="7521"/>
    <cellStyle name="Normal 6 18 3" xfId="7522"/>
    <cellStyle name="Normal 6 18 4" xfId="7523"/>
    <cellStyle name="Normal 6 18 5" xfId="7524"/>
    <cellStyle name="Normal 6 18 6" xfId="7525"/>
    <cellStyle name="Normal 6 18 7" xfId="7526"/>
    <cellStyle name="Normal 6 18 8" xfId="7527"/>
    <cellStyle name="Normal 6 18 9" xfId="7528"/>
    <cellStyle name="Normal 6 19" xfId="7529"/>
    <cellStyle name="Normal 6 19 10" xfId="7530"/>
    <cellStyle name="Normal 6 19 11" xfId="7531"/>
    <cellStyle name="Normal 6 19 12" xfId="7532"/>
    <cellStyle name="Normal 6 19 13" xfId="7533"/>
    <cellStyle name="Normal 6 19 14" xfId="7534"/>
    <cellStyle name="Normal 6 19 15" xfId="7535"/>
    <cellStyle name="Normal 6 19 16" xfId="7536"/>
    <cellStyle name="Normal 6 19 17" xfId="7537"/>
    <cellStyle name="Normal 6 19 2" xfId="7538"/>
    <cellStyle name="Normal 6 19 3" xfId="7539"/>
    <cellStyle name="Normal 6 19 4" xfId="7540"/>
    <cellStyle name="Normal 6 19 5" xfId="7541"/>
    <cellStyle name="Normal 6 19 6" xfId="7542"/>
    <cellStyle name="Normal 6 19 7" xfId="7543"/>
    <cellStyle name="Normal 6 19 8" xfId="7544"/>
    <cellStyle name="Normal 6 19 9" xfId="7545"/>
    <cellStyle name="Normal 6 2" xfId="144"/>
    <cellStyle name="Normal 6 2 10" xfId="7546"/>
    <cellStyle name="Normal 6 2 10 10" xfId="7547"/>
    <cellStyle name="Normal 6 2 10 11" xfId="7548"/>
    <cellStyle name="Normal 6 2 10 12" xfId="7549"/>
    <cellStyle name="Normal 6 2 10 13" xfId="7550"/>
    <cellStyle name="Normal 6 2 10 2" xfId="7551"/>
    <cellStyle name="Normal 6 2 10 3" xfId="7552"/>
    <cellStyle name="Normal 6 2 10 4" xfId="7553"/>
    <cellStyle name="Normal 6 2 10 5" xfId="7554"/>
    <cellStyle name="Normal 6 2 10 6" xfId="7555"/>
    <cellStyle name="Normal 6 2 10 7" xfId="7556"/>
    <cellStyle name="Normal 6 2 10 8" xfId="7557"/>
    <cellStyle name="Normal 6 2 10 9" xfId="7558"/>
    <cellStyle name="Normal 6 2 11" xfId="7559"/>
    <cellStyle name="Normal 6 2 11 10" xfId="7560"/>
    <cellStyle name="Normal 6 2 11 11" xfId="7561"/>
    <cellStyle name="Normal 6 2 11 12" xfId="7562"/>
    <cellStyle name="Normal 6 2 11 13" xfId="7563"/>
    <cellStyle name="Normal 6 2 11 2" xfId="7564"/>
    <cellStyle name="Normal 6 2 11 3" xfId="7565"/>
    <cellStyle name="Normal 6 2 11 4" xfId="7566"/>
    <cellStyle name="Normal 6 2 11 5" xfId="7567"/>
    <cellStyle name="Normal 6 2 11 6" xfId="7568"/>
    <cellStyle name="Normal 6 2 11 7" xfId="7569"/>
    <cellStyle name="Normal 6 2 11 8" xfId="7570"/>
    <cellStyle name="Normal 6 2 11 9" xfId="7571"/>
    <cellStyle name="Normal 6 2 12" xfId="7572"/>
    <cellStyle name="Normal 6 2 12 10" xfId="7573"/>
    <cellStyle name="Normal 6 2 12 11" xfId="7574"/>
    <cellStyle name="Normal 6 2 12 12" xfId="7575"/>
    <cellStyle name="Normal 6 2 12 13" xfId="7576"/>
    <cellStyle name="Normal 6 2 12 2" xfId="7577"/>
    <cellStyle name="Normal 6 2 12 3" xfId="7578"/>
    <cellStyle name="Normal 6 2 12 4" xfId="7579"/>
    <cellStyle name="Normal 6 2 12 5" xfId="7580"/>
    <cellStyle name="Normal 6 2 12 6" xfId="7581"/>
    <cellStyle name="Normal 6 2 12 7" xfId="7582"/>
    <cellStyle name="Normal 6 2 12 8" xfId="7583"/>
    <cellStyle name="Normal 6 2 12 9" xfId="7584"/>
    <cellStyle name="Normal 6 2 13" xfId="7585"/>
    <cellStyle name="Normal 6 2 14" xfId="7586"/>
    <cellStyle name="Normal 6 2 15" xfId="7587"/>
    <cellStyle name="Normal 6 2 16" xfId="7588"/>
    <cellStyle name="Normal 6 2 17" xfId="7589"/>
    <cellStyle name="Normal 6 2 18" xfId="7590"/>
    <cellStyle name="Normal 6 2 19" xfId="7591"/>
    <cellStyle name="Normal 6 2 2" xfId="7592"/>
    <cellStyle name="Normal 6 2 2 10" xfId="7593"/>
    <cellStyle name="Normal 6 2 2 11" xfId="7594"/>
    <cellStyle name="Normal 6 2 2 12" xfId="7595"/>
    <cellStyle name="Normal 6 2 2 13" xfId="7596"/>
    <cellStyle name="Normal 6 2 2 14" xfId="7597"/>
    <cellStyle name="Normal 6 2 2 15" xfId="7598"/>
    <cellStyle name="Normal 6 2 2 16" xfId="7599"/>
    <cellStyle name="Normal 6 2 2 17" xfId="7600"/>
    <cellStyle name="Normal 6 2 2 18" xfId="7601"/>
    <cellStyle name="Normal 6 2 2 19" xfId="7602"/>
    <cellStyle name="Normal 6 2 2 2" xfId="7603"/>
    <cellStyle name="Normal 6 2 2 2 10" xfId="7604"/>
    <cellStyle name="Normal 6 2 2 2 11" xfId="7605"/>
    <cellStyle name="Normal 6 2 2 2 12" xfId="7606"/>
    <cellStyle name="Normal 6 2 2 2 13" xfId="7607"/>
    <cellStyle name="Normal 6 2 2 2 2" xfId="7608"/>
    <cellStyle name="Normal 6 2 2 2 3" xfId="7609"/>
    <cellStyle name="Normal 6 2 2 2 4" xfId="7610"/>
    <cellStyle name="Normal 6 2 2 2 5" xfId="7611"/>
    <cellStyle name="Normal 6 2 2 2 6" xfId="7612"/>
    <cellStyle name="Normal 6 2 2 2 7" xfId="7613"/>
    <cellStyle name="Normal 6 2 2 2 8" xfId="7614"/>
    <cellStyle name="Normal 6 2 2 2 9" xfId="7615"/>
    <cellStyle name="Normal 6 2 2 20" xfId="7616"/>
    <cellStyle name="Normal 6 2 2 21" xfId="7617"/>
    <cellStyle name="Normal 6 2 2 22" xfId="7618"/>
    <cellStyle name="Normal 6 2 2 23" xfId="7619"/>
    <cellStyle name="Normal 6 2 2 24" xfId="7620"/>
    <cellStyle name="Normal 6 2 2 25" xfId="7621"/>
    <cellStyle name="Normal 6 2 2 26" xfId="7622"/>
    <cellStyle name="Normal 6 2 2 27" xfId="7623"/>
    <cellStyle name="Normal 6 2 2 28" xfId="7624"/>
    <cellStyle name="Normal 6 2 2 29" xfId="7625"/>
    <cellStyle name="Normal 6 2 2 3" xfId="7626"/>
    <cellStyle name="Normal 6 2 2 30" xfId="7627"/>
    <cellStyle name="Normal 6 2 2 31" xfId="7628"/>
    <cellStyle name="Normal 6 2 2 32" xfId="7629"/>
    <cellStyle name="Normal 6 2 2 33" xfId="7630"/>
    <cellStyle name="Normal 6 2 2 34" xfId="7631"/>
    <cellStyle name="Normal 6 2 2 35" xfId="7632"/>
    <cellStyle name="Normal 6 2 2 36" xfId="7633"/>
    <cellStyle name="Normal 6 2 2 37" xfId="7634"/>
    <cellStyle name="Normal 6 2 2 38" xfId="7635"/>
    <cellStyle name="Normal 6 2 2 39" xfId="7636"/>
    <cellStyle name="Normal 6 2 2 4" xfId="7637"/>
    <cellStyle name="Normal 6 2 2 40" xfId="7638"/>
    <cellStyle name="Normal 6 2 2 41" xfId="7639"/>
    <cellStyle name="Normal 6 2 2 42" xfId="7640"/>
    <cellStyle name="Normal 6 2 2 43" xfId="7641"/>
    <cellStyle name="Normal 6 2 2 44" xfId="7642"/>
    <cellStyle name="Normal 6 2 2 45" xfId="7643"/>
    <cellStyle name="Normal 6 2 2 46" xfId="7644"/>
    <cellStyle name="Normal 6 2 2 47" xfId="7645"/>
    <cellStyle name="Normal 6 2 2 48" xfId="7646"/>
    <cellStyle name="Normal 6 2 2 5" xfId="7647"/>
    <cellStyle name="Normal 6 2 2 6" xfId="7648"/>
    <cellStyle name="Normal 6 2 2 7" xfId="7649"/>
    <cellStyle name="Normal 6 2 2 8" xfId="7650"/>
    <cellStyle name="Normal 6 2 2 9" xfId="7651"/>
    <cellStyle name="Normal 6 2 20" xfId="7652"/>
    <cellStyle name="Normal 6 2 21" xfId="7653"/>
    <cellStyle name="Normal 6 2 22" xfId="7654"/>
    <cellStyle name="Normal 6 2 23" xfId="7655"/>
    <cellStyle name="Normal 6 2 24" xfId="7656"/>
    <cellStyle name="Normal 6 2 25" xfId="7657"/>
    <cellStyle name="Normal 6 2 26" xfId="7658"/>
    <cellStyle name="Normal 6 2 27" xfId="7659"/>
    <cellStyle name="Normal 6 2 28" xfId="7660"/>
    <cellStyle name="Normal 6 2 29" xfId="7661"/>
    <cellStyle name="Normal 6 2 3" xfId="7662"/>
    <cellStyle name="Normal 6 2 30" xfId="7663"/>
    <cellStyle name="Normal 6 2 31" xfId="7664"/>
    <cellStyle name="Normal 6 2 32" xfId="7665"/>
    <cellStyle name="Normal 6 2 33" xfId="7666"/>
    <cellStyle name="Normal 6 2 34" xfId="7667"/>
    <cellStyle name="Normal 6 2 35" xfId="7668"/>
    <cellStyle name="Normal 6 2 36" xfId="7669"/>
    <cellStyle name="Normal 6 2 37" xfId="7670"/>
    <cellStyle name="Normal 6 2 38" xfId="7671"/>
    <cellStyle name="Normal 6 2 39" xfId="7672"/>
    <cellStyle name="Normal 6 2 4" xfId="7673"/>
    <cellStyle name="Normal 6 2 40" xfId="7674"/>
    <cellStyle name="Normal 6 2 41" xfId="7675"/>
    <cellStyle name="Normal 6 2 42" xfId="7676"/>
    <cellStyle name="Normal 6 2 43" xfId="7677"/>
    <cellStyle name="Normal 6 2 44" xfId="7678"/>
    <cellStyle name="Normal 6 2 45" xfId="7679"/>
    <cellStyle name="Normal 6 2 46" xfId="7680"/>
    <cellStyle name="Normal 6 2 47" xfId="7681"/>
    <cellStyle name="Normal 6 2 48" xfId="7682"/>
    <cellStyle name="Normal 6 2 49" xfId="7683"/>
    <cellStyle name="Normal 6 2 5" xfId="7684"/>
    <cellStyle name="Normal 6 2 50" xfId="7685"/>
    <cellStyle name="Normal 6 2 51" xfId="7686"/>
    <cellStyle name="Normal 6 2 52" xfId="7687"/>
    <cellStyle name="Normal 6 2 53" xfId="7688"/>
    <cellStyle name="Normal 6 2 54" xfId="7689"/>
    <cellStyle name="Normal 6 2 55" xfId="7690"/>
    <cellStyle name="Normal 6 2 56" xfId="7691"/>
    <cellStyle name="Normal 6 2 57" xfId="7692"/>
    <cellStyle name="Normal 6 2 58" xfId="7693"/>
    <cellStyle name="Normal 6 2 59" xfId="7694"/>
    <cellStyle name="Normal 6 2 6" xfId="7695"/>
    <cellStyle name="Normal 6 2 60" xfId="7696"/>
    <cellStyle name="Normal 6 2 61" xfId="7697"/>
    <cellStyle name="Normal 6 2 62" xfId="7698"/>
    <cellStyle name="Normal 6 2 63" xfId="7699"/>
    <cellStyle name="Normal 6 2 64" xfId="7700"/>
    <cellStyle name="Normal 6 2 65" xfId="7701"/>
    <cellStyle name="Normal 6 2 66" xfId="7702"/>
    <cellStyle name="Normal 6 2 67" xfId="7703"/>
    <cellStyle name="Normal 6 2 68" xfId="7704"/>
    <cellStyle name="Normal 6 2 69" xfId="7705"/>
    <cellStyle name="Normal 6 2 7" xfId="7706"/>
    <cellStyle name="Normal 6 2 70" xfId="7707"/>
    <cellStyle name="Normal 6 2 71" xfId="7708"/>
    <cellStyle name="Normal 6 2 72" xfId="7709"/>
    <cellStyle name="Normal 6 2 73" xfId="7710"/>
    <cellStyle name="Normal 6 2 74" xfId="7711"/>
    <cellStyle name="Normal 6 2 75" xfId="7712"/>
    <cellStyle name="Normal 6 2 76" xfId="7713"/>
    <cellStyle name="Normal 6 2 77" xfId="7714"/>
    <cellStyle name="Normal 6 2 8" xfId="7715"/>
    <cellStyle name="Normal 6 2 9" xfId="7716"/>
    <cellStyle name="Normal 6 2 9 10" xfId="7717"/>
    <cellStyle name="Normal 6 2 9 11" xfId="7718"/>
    <cellStyle name="Normal 6 2 9 12" xfId="7719"/>
    <cellStyle name="Normal 6 2 9 13" xfId="7720"/>
    <cellStyle name="Normal 6 2 9 2" xfId="7721"/>
    <cellStyle name="Normal 6 2 9 3" xfId="7722"/>
    <cellStyle name="Normal 6 2 9 4" xfId="7723"/>
    <cellStyle name="Normal 6 2 9 5" xfId="7724"/>
    <cellStyle name="Normal 6 2 9 6" xfId="7725"/>
    <cellStyle name="Normal 6 2 9 7" xfId="7726"/>
    <cellStyle name="Normal 6 2 9 8" xfId="7727"/>
    <cellStyle name="Normal 6 2 9 9" xfId="7728"/>
    <cellStyle name="Normal 6 20" xfId="7729"/>
    <cellStyle name="Normal 6 20 10" xfId="7730"/>
    <cellStyle name="Normal 6 20 11" xfId="7731"/>
    <cellStyle name="Normal 6 20 12" xfId="7732"/>
    <cellStyle name="Normal 6 20 13" xfId="7733"/>
    <cellStyle name="Normal 6 20 14" xfId="7734"/>
    <cellStyle name="Normal 6 20 15" xfId="7735"/>
    <cellStyle name="Normal 6 20 16" xfId="7736"/>
    <cellStyle name="Normal 6 20 17" xfId="7737"/>
    <cellStyle name="Normal 6 20 2" xfId="7738"/>
    <cellStyle name="Normal 6 20 3" xfId="7739"/>
    <cellStyle name="Normal 6 20 4" xfId="7740"/>
    <cellStyle name="Normal 6 20 5" xfId="7741"/>
    <cellStyle name="Normal 6 20 6" xfId="7742"/>
    <cellStyle name="Normal 6 20 7" xfId="7743"/>
    <cellStyle name="Normal 6 20 8" xfId="7744"/>
    <cellStyle name="Normal 6 20 9" xfId="7745"/>
    <cellStyle name="Normal 6 21" xfId="7746"/>
    <cellStyle name="Normal 6 21 10" xfId="7747"/>
    <cellStyle name="Normal 6 21 11" xfId="7748"/>
    <cellStyle name="Normal 6 21 12" xfId="7749"/>
    <cellStyle name="Normal 6 21 13" xfId="7750"/>
    <cellStyle name="Normal 6 21 14" xfId="7751"/>
    <cellStyle name="Normal 6 21 15" xfId="7752"/>
    <cellStyle name="Normal 6 21 16" xfId="7753"/>
    <cellStyle name="Normal 6 21 17" xfId="7754"/>
    <cellStyle name="Normal 6 21 2" xfId="7755"/>
    <cellStyle name="Normal 6 21 3" xfId="7756"/>
    <cellStyle name="Normal 6 21 4" xfId="7757"/>
    <cellStyle name="Normal 6 21 5" xfId="7758"/>
    <cellStyle name="Normal 6 21 6" xfId="7759"/>
    <cellStyle name="Normal 6 21 7" xfId="7760"/>
    <cellStyle name="Normal 6 21 8" xfId="7761"/>
    <cellStyle name="Normal 6 21 9" xfId="7762"/>
    <cellStyle name="Normal 6 22" xfId="7763"/>
    <cellStyle name="Normal 6 22 10" xfId="7764"/>
    <cellStyle name="Normal 6 22 11" xfId="7765"/>
    <cellStyle name="Normal 6 22 12" xfId="7766"/>
    <cellStyle name="Normal 6 22 13" xfId="7767"/>
    <cellStyle name="Normal 6 22 14" xfId="7768"/>
    <cellStyle name="Normal 6 22 15" xfId="7769"/>
    <cellStyle name="Normal 6 22 16" xfId="7770"/>
    <cellStyle name="Normal 6 22 17" xfId="7771"/>
    <cellStyle name="Normal 6 22 2" xfId="7772"/>
    <cellStyle name="Normal 6 22 3" xfId="7773"/>
    <cellStyle name="Normal 6 22 4" xfId="7774"/>
    <cellStyle name="Normal 6 22 5" xfId="7775"/>
    <cellStyle name="Normal 6 22 6" xfId="7776"/>
    <cellStyle name="Normal 6 22 7" xfId="7777"/>
    <cellStyle name="Normal 6 22 8" xfId="7778"/>
    <cellStyle name="Normal 6 22 9" xfId="7779"/>
    <cellStyle name="Normal 6 23" xfId="7780"/>
    <cellStyle name="Normal 6 23 10" xfId="7781"/>
    <cellStyle name="Normal 6 23 11" xfId="7782"/>
    <cellStyle name="Normal 6 23 12" xfId="7783"/>
    <cellStyle name="Normal 6 23 13" xfId="7784"/>
    <cellStyle name="Normal 6 23 14" xfId="7785"/>
    <cellStyle name="Normal 6 23 15" xfId="7786"/>
    <cellStyle name="Normal 6 23 16" xfId="7787"/>
    <cellStyle name="Normal 6 23 17" xfId="7788"/>
    <cellStyle name="Normal 6 23 2" xfId="7789"/>
    <cellStyle name="Normal 6 23 3" xfId="7790"/>
    <cellStyle name="Normal 6 23 4" xfId="7791"/>
    <cellStyle name="Normal 6 23 5" xfId="7792"/>
    <cellStyle name="Normal 6 23 6" xfId="7793"/>
    <cellStyle name="Normal 6 23 7" xfId="7794"/>
    <cellStyle name="Normal 6 23 8" xfId="7795"/>
    <cellStyle name="Normal 6 23 9" xfId="7796"/>
    <cellStyle name="Normal 6 24" xfId="7797"/>
    <cellStyle name="Normal 6 24 10" xfId="7798"/>
    <cellStyle name="Normal 6 24 11" xfId="7799"/>
    <cellStyle name="Normal 6 24 12" xfId="7800"/>
    <cellStyle name="Normal 6 24 13" xfId="7801"/>
    <cellStyle name="Normal 6 24 14" xfId="7802"/>
    <cellStyle name="Normal 6 24 15" xfId="7803"/>
    <cellStyle name="Normal 6 24 16" xfId="7804"/>
    <cellStyle name="Normal 6 24 17" xfId="7805"/>
    <cellStyle name="Normal 6 24 2" xfId="7806"/>
    <cellStyle name="Normal 6 24 3" xfId="7807"/>
    <cellStyle name="Normal 6 24 4" xfId="7808"/>
    <cellStyle name="Normal 6 24 5" xfId="7809"/>
    <cellStyle name="Normal 6 24 6" xfId="7810"/>
    <cellStyle name="Normal 6 24 7" xfId="7811"/>
    <cellStyle name="Normal 6 24 8" xfId="7812"/>
    <cellStyle name="Normal 6 24 9" xfId="7813"/>
    <cellStyle name="Normal 6 25" xfId="7814"/>
    <cellStyle name="Normal 6 25 10" xfId="7815"/>
    <cellStyle name="Normal 6 25 11" xfId="7816"/>
    <cellStyle name="Normal 6 25 12" xfId="7817"/>
    <cellStyle name="Normal 6 25 13" xfId="7818"/>
    <cellStyle name="Normal 6 25 14" xfId="7819"/>
    <cellStyle name="Normal 6 25 15" xfId="7820"/>
    <cellStyle name="Normal 6 25 16" xfId="7821"/>
    <cellStyle name="Normal 6 25 17" xfId="7822"/>
    <cellStyle name="Normal 6 25 2" xfId="7823"/>
    <cellStyle name="Normal 6 25 3" xfId="7824"/>
    <cellStyle name="Normal 6 25 4" xfId="7825"/>
    <cellStyle name="Normal 6 25 5" xfId="7826"/>
    <cellStyle name="Normal 6 25 6" xfId="7827"/>
    <cellStyle name="Normal 6 25 7" xfId="7828"/>
    <cellStyle name="Normal 6 25 8" xfId="7829"/>
    <cellStyle name="Normal 6 25 9" xfId="7830"/>
    <cellStyle name="Normal 6 26" xfId="7831"/>
    <cellStyle name="Normal 6 26 10" xfId="7832"/>
    <cellStyle name="Normal 6 26 11" xfId="7833"/>
    <cellStyle name="Normal 6 26 12" xfId="7834"/>
    <cellStyle name="Normal 6 26 13" xfId="7835"/>
    <cellStyle name="Normal 6 26 14" xfId="7836"/>
    <cellStyle name="Normal 6 26 15" xfId="7837"/>
    <cellStyle name="Normal 6 26 16" xfId="7838"/>
    <cellStyle name="Normal 6 26 17" xfId="7839"/>
    <cellStyle name="Normal 6 26 2" xfId="7840"/>
    <cellStyle name="Normal 6 26 3" xfId="7841"/>
    <cellStyle name="Normal 6 26 4" xfId="7842"/>
    <cellStyle name="Normal 6 26 5" xfId="7843"/>
    <cellStyle name="Normal 6 26 6" xfId="7844"/>
    <cellStyle name="Normal 6 26 7" xfId="7845"/>
    <cellStyle name="Normal 6 26 8" xfId="7846"/>
    <cellStyle name="Normal 6 26 9" xfId="7847"/>
    <cellStyle name="Normal 6 27" xfId="7848"/>
    <cellStyle name="Normal 6 27 10" xfId="7849"/>
    <cellStyle name="Normal 6 27 11" xfId="7850"/>
    <cellStyle name="Normal 6 27 12" xfId="7851"/>
    <cellStyle name="Normal 6 27 13" xfId="7852"/>
    <cellStyle name="Normal 6 27 14" xfId="7853"/>
    <cellStyle name="Normal 6 27 15" xfId="7854"/>
    <cellStyle name="Normal 6 27 16" xfId="7855"/>
    <cellStyle name="Normal 6 27 17" xfId="7856"/>
    <cellStyle name="Normal 6 27 2" xfId="7857"/>
    <cellStyle name="Normal 6 27 3" xfId="7858"/>
    <cellStyle name="Normal 6 27 4" xfId="7859"/>
    <cellStyle name="Normal 6 27 5" xfId="7860"/>
    <cellStyle name="Normal 6 27 6" xfId="7861"/>
    <cellStyle name="Normal 6 27 7" xfId="7862"/>
    <cellStyle name="Normal 6 27 8" xfId="7863"/>
    <cellStyle name="Normal 6 27 9" xfId="7864"/>
    <cellStyle name="Normal 6 28" xfId="7865"/>
    <cellStyle name="Normal 6 28 10" xfId="7866"/>
    <cellStyle name="Normal 6 28 11" xfId="7867"/>
    <cellStyle name="Normal 6 28 12" xfId="7868"/>
    <cellStyle name="Normal 6 28 13" xfId="7869"/>
    <cellStyle name="Normal 6 28 14" xfId="7870"/>
    <cellStyle name="Normal 6 28 15" xfId="7871"/>
    <cellStyle name="Normal 6 28 16" xfId="7872"/>
    <cellStyle name="Normal 6 28 17" xfId="7873"/>
    <cellStyle name="Normal 6 28 2" xfId="7874"/>
    <cellStyle name="Normal 6 28 3" xfId="7875"/>
    <cellStyle name="Normal 6 28 4" xfId="7876"/>
    <cellStyle name="Normal 6 28 5" xfId="7877"/>
    <cellStyle name="Normal 6 28 6" xfId="7878"/>
    <cellStyle name="Normal 6 28 7" xfId="7879"/>
    <cellStyle name="Normal 6 28 8" xfId="7880"/>
    <cellStyle name="Normal 6 28 9" xfId="7881"/>
    <cellStyle name="Normal 6 29" xfId="7882"/>
    <cellStyle name="Normal 6 29 10" xfId="7883"/>
    <cellStyle name="Normal 6 29 11" xfId="7884"/>
    <cellStyle name="Normal 6 29 12" xfId="7885"/>
    <cellStyle name="Normal 6 29 13" xfId="7886"/>
    <cellStyle name="Normal 6 29 14" xfId="7887"/>
    <cellStyle name="Normal 6 29 15" xfId="7888"/>
    <cellStyle name="Normal 6 29 16" xfId="7889"/>
    <cellStyle name="Normal 6 29 17" xfId="7890"/>
    <cellStyle name="Normal 6 29 2" xfId="7891"/>
    <cellStyle name="Normal 6 29 3" xfId="7892"/>
    <cellStyle name="Normal 6 29 4" xfId="7893"/>
    <cellStyle name="Normal 6 29 5" xfId="7894"/>
    <cellStyle name="Normal 6 29 6" xfId="7895"/>
    <cellStyle name="Normal 6 29 7" xfId="7896"/>
    <cellStyle name="Normal 6 29 8" xfId="7897"/>
    <cellStyle name="Normal 6 29 9" xfId="7898"/>
    <cellStyle name="Normal 6 3" xfId="145"/>
    <cellStyle name="Normal 6 3 10" xfId="7899"/>
    <cellStyle name="Normal 6 3 11" xfId="7900"/>
    <cellStyle name="Normal 6 3 12" xfId="7901"/>
    <cellStyle name="Normal 6 3 13" xfId="7902"/>
    <cellStyle name="Normal 6 3 14" xfId="7903"/>
    <cellStyle name="Normal 6 3 15" xfId="7904"/>
    <cellStyle name="Normal 6 3 16" xfId="7905"/>
    <cellStyle name="Normal 6 3 17" xfId="7906"/>
    <cellStyle name="Normal 6 3 18" xfId="7907"/>
    <cellStyle name="Normal 6 3 19" xfId="7908"/>
    <cellStyle name="Normal 6 3 2" xfId="7909"/>
    <cellStyle name="Normal 6 3 20" xfId="7910"/>
    <cellStyle name="Normal 6 3 21" xfId="7911"/>
    <cellStyle name="Normal 6 3 22" xfId="7912"/>
    <cellStyle name="Normal 6 3 23" xfId="7913"/>
    <cellStyle name="Normal 6 3 24" xfId="7914"/>
    <cellStyle name="Normal 6 3 3" xfId="7915"/>
    <cellStyle name="Normal 6 3 4" xfId="7916"/>
    <cellStyle name="Normal 6 3 5" xfId="7917"/>
    <cellStyle name="Normal 6 3 6" xfId="7918"/>
    <cellStyle name="Normal 6 3 7" xfId="7919"/>
    <cellStyle name="Normal 6 3 8" xfId="7920"/>
    <cellStyle name="Normal 6 3 9" xfId="7921"/>
    <cellStyle name="Normal 6 30" xfId="7922"/>
    <cellStyle name="Normal 6 30 10" xfId="7923"/>
    <cellStyle name="Normal 6 30 11" xfId="7924"/>
    <cellStyle name="Normal 6 30 12" xfId="7925"/>
    <cellStyle name="Normal 6 30 13" xfId="7926"/>
    <cellStyle name="Normal 6 30 14" xfId="7927"/>
    <cellStyle name="Normal 6 30 15" xfId="7928"/>
    <cellStyle name="Normal 6 30 16" xfId="7929"/>
    <cellStyle name="Normal 6 30 17" xfId="7930"/>
    <cellStyle name="Normal 6 30 2" xfId="7931"/>
    <cellStyle name="Normal 6 30 3" xfId="7932"/>
    <cellStyle name="Normal 6 30 4" xfId="7933"/>
    <cellStyle name="Normal 6 30 5" xfId="7934"/>
    <cellStyle name="Normal 6 30 6" xfId="7935"/>
    <cellStyle name="Normal 6 30 7" xfId="7936"/>
    <cellStyle name="Normal 6 30 8" xfId="7937"/>
    <cellStyle name="Normal 6 30 9" xfId="7938"/>
    <cellStyle name="Normal 6 31" xfId="7939"/>
    <cellStyle name="Normal 6 32" xfId="7940"/>
    <cellStyle name="Normal 6 33" xfId="7941"/>
    <cellStyle name="Normal 6 34" xfId="7942"/>
    <cellStyle name="Normal 6 35" xfId="7943"/>
    <cellStyle name="Normal 6 35 10" xfId="7944"/>
    <cellStyle name="Normal 6 35 11" xfId="7945"/>
    <cellStyle name="Normal 6 35 12" xfId="7946"/>
    <cellStyle name="Normal 6 35 13" xfId="7947"/>
    <cellStyle name="Normal 6 35 2" xfId="7948"/>
    <cellStyle name="Normal 6 35 3" xfId="7949"/>
    <cellStyle name="Normal 6 35 4" xfId="7950"/>
    <cellStyle name="Normal 6 35 5" xfId="7951"/>
    <cellStyle name="Normal 6 35 6" xfId="7952"/>
    <cellStyle name="Normal 6 35 7" xfId="7953"/>
    <cellStyle name="Normal 6 35 8" xfId="7954"/>
    <cellStyle name="Normal 6 35 9" xfId="7955"/>
    <cellStyle name="Normal 6 36" xfId="7956"/>
    <cellStyle name="Normal 6 37" xfId="7957"/>
    <cellStyle name="Normal 6 38" xfId="7958"/>
    <cellStyle name="Normal 6 39" xfId="7959"/>
    <cellStyle name="Normal 6 4" xfId="146"/>
    <cellStyle name="Normal 6 4 10" xfId="7960"/>
    <cellStyle name="Normal 6 4 11" xfId="7961"/>
    <cellStyle name="Normal 6 4 12" xfId="7962"/>
    <cellStyle name="Normal 6 4 13" xfId="7963"/>
    <cellStyle name="Normal 6 4 14" xfId="7964"/>
    <cellStyle name="Normal 6 4 15" xfId="7965"/>
    <cellStyle name="Normal 6 4 16" xfId="7966"/>
    <cellStyle name="Normal 6 4 17" xfId="7967"/>
    <cellStyle name="Normal 6 4 18" xfId="7968"/>
    <cellStyle name="Normal 6 4 19" xfId="7969"/>
    <cellStyle name="Normal 6 4 2" xfId="7970"/>
    <cellStyle name="Normal 6 4 20" xfId="7971"/>
    <cellStyle name="Normal 6 4 21" xfId="7972"/>
    <cellStyle name="Normal 6 4 22" xfId="7973"/>
    <cellStyle name="Normal 6 4 23" xfId="7974"/>
    <cellStyle name="Normal 6 4 24" xfId="7975"/>
    <cellStyle name="Normal 6 4 3" xfId="7976"/>
    <cellStyle name="Normal 6 4 4" xfId="7977"/>
    <cellStyle name="Normal 6 4 5" xfId="7978"/>
    <cellStyle name="Normal 6 4 6" xfId="7979"/>
    <cellStyle name="Normal 6 4 7" xfId="7980"/>
    <cellStyle name="Normal 6 4 8" xfId="7981"/>
    <cellStyle name="Normal 6 4 9" xfId="7982"/>
    <cellStyle name="Normal 6 40" xfId="7983"/>
    <cellStyle name="Normal 6 41" xfId="7984"/>
    <cellStyle name="Normal 6 42" xfId="7985"/>
    <cellStyle name="Normal 6 43" xfId="7986"/>
    <cellStyle name="Normal 6 44" xfId="7987"/>
    <cellStyle name="Normal 6 45" xfId="7988"/>
    <cellStyle name="Normal 6 46" xfId="7989"/>
    <cellStyle name="Normal 6 47" xfId="7990"/>
    <cellStyle name="Normal 6 48" xfId="7991"/>
    <cellStyle name="Normal 6 49" xfId="7992"/>
    <cellStyle name="Normal 6 5" xfId="147"/>
    <cellStyle name="Normal 6 5 10" xfId="7993"/>
    <cellStyle name="Normal 6 5 11" xfId="7994"/>
    <cellStyle name="Normal 6 5 12" xfId="7995"/>
    <cellStyle name="Normal 6 5 13" xfId="7996"/>
    <cellStyle name="Normal 6 5 14" xfId="7997"/>
    <cellStyle name="Normal 6 5 15" xfId="7998"/>
    <cellStyle name="Normal 6 5 16" xfId="7999"/>
    <cellStyle name="Normal 6 5 17" xfId="8000"/>
    <cellStyle name="Normal 6 5 18" xfId="8001"/>
    <cellStyle name="Normal 6 5 19" xfId="8002"/>
    <cellStyle name="Normal 6 5 2" xfId="8003"/>
    <cellStyle name="Normal 6 5 20" xfId="8004"/>
    <cellStyle name="Normal 6 5 21" xfId="8005"/>
    <cellStyle name="Normal 6 5 22" xfId="8006"/>
    <cellStyle name="Normal 6 5 23" xfId="8007"/>
    <cellStyle name="Normal 6 5 24" xfId="8008"/>
    <cellStyle name="Normal 6 5 3" xfId="8009"/>
    <cellStyle name="Normal 6 5 4" xfId="8010"/>
    <cellStyle name="Normal 6 5 5" xfId="8011"/>
    <cellStyle name="Normal 6 5 6" xfId="8012"/>
    <cellStyle name="Normal 6 5 7" xfId="8013"/>
    <cellStyle name="Normal 6 5 8" xfId="8014"/>
    <cellStyle name="Normal 6 5 9" xfId="8015"/>
    <cellStyle name="Normal 6 50" xfId="8016"/>
    <cellStyle name="Normal 6 51" xfId="8017"/>
    <cellStyle name="Normal 6 52" xfId="8018"/>
    <cellStyle name="Normal 6 53" xfId="8019"/>
    <cellStyle name="Normal 6 54" xfId="8020"/>
    <cellStyle name="Normal 6 55" xfId="8021"/>
    <cellStyle name="Normal 6 56" xfId="8022"/>
    <cellStyle name="Normal 6 57" xfId="8023"/>
    <cellStyle name="Normal 6 58" xfId="8024"/>
    <cellStyle name="Normal 6 59" xfId="8025"/>
    <cellStyle name="Normal 6 6" xfId="8026"/>
    <cellStyle name="Normal 6 6 10" xfId="8027"/>
    <cellStyle name="Normal 6 6 11" xfId="8028"/>
    <cellStyle name="Normal 6 6 12" xfId="8029"/>
    <cellStyle name="Normal 6 6 13" xfId="8030"/>
    <cellStyle name="Normal 6 6 14" xfId="8031"/>
    <cellStyle name="Normal 6 6 15" xfId="8032"/>
    <cellStyle name="Normal 6 6 16" xfId="8033"/>
    <cellStyle name="Normal 6 6 17" xfId="8034"/>
    <cellStyle name="Normal 6 6 18" xfId="8035"/>
    <cellStyle name="Normal 6 6 19" xfId="8036"/>
    <cellStyle name="Normal 6 6 2" xfId="8037"/>
    <cellStyle name="Normal 6 6 20" xfId="8038"/>
    <cellStyle name="Normal 6 6 21" xfId="8039"/>
    <cellStyle name="Normal 6 6 22" xfId="8040"/>
    <cellStyle name="Normal 6 6 23" xfId="8041"/>
    <cellStyle name="Normal 6 6 24" xfId="8042"/>
    <cellStyle name="Normal 6 6 25" xfId="8043"/>
    <cellStyle name="Normal 6 6 26" xfId="8044"/>
    <cellStyle name="Normal 6 6 27" xfId="8045"/>
    <cellStyle name="Normal 6 6 28" xfId="8046"/>
    <cellStyle name="Normal 6 6 29" xfId="8047"/>
    <cellStyle name="Normal 6 6 3" xfId="8048"/>
    <cellStyle name="Normal 6 6 30" xfId="8049"/>
    <cellStyle name="Normal 6 6 31" xfId="8050"/>
    <cellStyle name="Normal 6 6 32" xfId="8051"/>
    <cellStyle name="Normal 6 6 33" xfId="8052"/>
    <cellStyle name="Normal 6 6 34" xfId="8053"/>
    <cellStyle name="Normal 6 6 35" xfId="8054"/>
    <cellStyle name="Normal 6 6 36" xfId="8055"/>
    <cellStyle name="Normal 6 6 37" xfId="8056"/>
    <cellStyle name="Normal 6 6 38" xfId="8057"/>
    <cellStyle name="Normal 6 6 39" xfId="8058"/>
    <cellStyle name="Normal 6 6 4" xfId="8059"/>
    <cellStyle name="Normal 6 6 40" xfId="8060"/>
    <cellStyle name="Normal 6 6 41" xfId="8061"/>
    <cellStyle name="Normal 6 6 42" xfId="8062"/>
    <cellStyle name="Normal 6 6 43" xfId="8063"/>
    <cellStyle name="Normal 6 6 44" xfId="8064"/>
    <cellStyle name="Normal 6 6 45" xfId="8065"/>
    <cellStyle name="Normal 6 6 46" xfId="8066"/>
    <cellStyle name="Normal 6 6 47" xfId="8067"/>
    <cellStyle name="Normal 6 6 48" xfId="8068"/>
    <cellStyle name="Normal 6 6 5" xfId="8069"/>
    <cellStyle name="Normal 6 6 6" xfId="8070"/>
    <cellStyle name="Normal 6 6 6 10" xfId="8071"/>
    <cellStyle name="Normal 6 6 6 11" xfId="8072"/>
    <cellStyle name="Normal 6 6 6 12" xfId="8073"/>
    <cellStyle name="Normal 6 6 6 13" xfId="8074"/>
    <cellStyle name="Normal 6 6 6 2" xfId="8075"/>
    <cellStyle name="Normal 6 6 6 3" xfId="8076"/>
    <cellStyle name="Normal 6 6 6 4" xfId="8077"/>
    <cellStyle name="Normal 6 6 6 5" xfId="8078"/>
    <cellStyle name="Normal 6 6 6 6" xfId="8079"/>
    <cellStyle name="Normal 6 6 6 7" xfId="8080"/>
    <cellStyle name="Normal 6 6 6 8" xfId="8081"/>
    <cellStyle name="Normal 6 6 6 9" xfId="8082"/>
    <cellStyle name="Normal 6 6 7" xfId="8083"/>
    <cellStyle name="Normal 6 6 8" xfId="8084"/>
    <cellStyle name="Normal 6 6 9" xfId="8085"/>
    <cellStyle name="Normal 6 60" xfId="8086"/>
    <cellStyle name="Normal 6 61" xfId="8087"/>
    <cellStyle name="Normal 6 62" xfId="8088"/>
    <cellStyle name="Normal 6 63" xfId="8089"/>
    <cellStyle name="Normal 6 64" xfId="8090"/>
    <cellStyle name="Normal 6 65" xfId="8091"/>
    <cellStyle name="Normal 6 66" xfId="8092"/>
    <cellStyle name="Normal 6 67" xfId="8093"/>
    <cellStyle name="Normal 6 68" xfId="8094"/>
    <cellStyle name="Normal 6 69" xfId="8095"/>
    <cellStyle name="Normal 6 7" xfId="8096"/>
    <cellStyle name="Normal 6 7 10" xfId="8097"/>
    <cellStyle name="Normal 6 7 11" xfId="8098"/>
    <cellStyle name="Normal 6 7 12" xfId="8099"/>
    <cellStyle name="Normal 6 7 13" xfId="8100"/>
    <cellStyle name="Normal 6 7 14" xfId="8101"/>
    <cellStyle name="Normal 6 7 15" xfId="8102"/>
    <cellStyle name="Normal 6 7 16" xfId="8103"/>
    <cellStyle name="Normal 6 7 17" xfId="8104"/>
    <cellStyle name="Normal 6 7 2" xfId="8105"/>
    <cellStyle name="Normal 6 7 3" xfId="8106"/>
    <cellStyle name="Normal 6 7 4" xfId="8107"/>
    <cellStyle name="Normal 6 7 5" xfId="8108"/>
    <cellStyle name="Normal 6 7 6" xfId="8109"/>
    <cellStyle name="Normal 6 7 7" xfId="8110"/>
    <cellStyle name="Normal 6 7 8" xfId="8111"/>
    <cellStyle name="Normal 6 7 9" xfId="8112"/>
    <cellStyle name="Normal 6 70" xfId="8113"/>
    <cellStyle name="Normal 6 71" xfId="8114"/>
    <cellStyle name="Normal 6 72" xfId="8115"/>
    <cellStyle name="Normal 6 73" xfId="8116"/>
    <cellStyle name="Normal 6 74" xfId="8117"/>
    <cellStyle name="Normal 6 75" xfId="8118"/>
    <cellStyle name="Normal 6 76" xfId="8119"/>
    <cellStyle name="Normal 6 77" xfId="8120"/>
    <cellStyle name="Normal 6 78" xfId="8121"/>
    <cellStyle name="Normal 6 79" xfId="8122"/>
    <cellStyle name="Normal 6 8" xfId="8123"/>
    <cellStyle name="Normal 6 8 10" xfId="8124"/>
    <cellStyle name="Normal 6 8 11" xfId="8125"/>
    <cellStyle name="Normal 6 8 12" xfId="8126"/>
    <cellStyle name="Normal 6 8 13" xfId="8127"/>
    <cellStyle name="Normal 6 8 14" xfId="8128"/>
    <cellStyle name="Normal 6 8 15" xfId="8129"/>
    <cellStyle name="Normal 6 8 16" xfId="8130"/>
    <cellStyle name="Normal 6 8 17" xfId="8131"/>
    <cellStyle name="Normal 6 8 2" xfId="8132"/>
    <cellStyle name="Normal 6 8 3" xfId="8133"/>
    <cellStyle name="Normal 6 8 4" xfId="8134"/>
    <cellStyle name="Normal 6 8 5" xfId="8135"/>
    <cellStyle name="Normal 6 8 6" xfId="8136"/>
    <cellStyle name="Normal 6 8 7" xfId="8137"/>
    <cellStyle name="Normal 6 8 8" xfId="8138"/>
    <cellStyle name="Normal 6 8 9" xfId="8139"/>
    <cellStyle name="Normal 6 80" xfId="8140"/>
    <cellStyle name="Normal 6 81" xfId="10724"/>
    <cellStyle name="Normal 6 81 2" xfId="12185"/>
    <cellStyle name="Normal 6 82" xfId="10745"/>
    <cellStyle name="Normal 6 82 2" xfId="12186"/>
    <cellStyle name="Normal 6 83" xfId="10731"/>
    <cellStyle name="Normal 6 83 2" xfId="12187"/>
    <cellStyle name="Normal 6 84" xfId="10738"/>
    <cellStyle name="Normal 6 84 2" xfId="12188"/>
    <cellStyle name="Normal 6 85" xfId="10756"/>
    <cellStyle name="Normal 6 85 2" xfId="12189"/>
    <cellStyle name="Normal 6 86" xfId="10787"/>
    <cellStyle name="Normal 6 86 2" xfId="12190"/>
    <cellStyle name="Normal 6 87" xfId="10763"/>
    <cellStyle name="Normal 6 87 2" xfId="12191"/>
    <cellStyle name="Normal 6 9" xfId="8141"/>
    <cellStyle name="Normal 6 9 10" xfId="8142"/>
    <cellStyle name="Normal 6 9 11" xfId="8143"/>
    <cellStyle name="Normal 6 9 12" xfId="8144"/>
    <cellStyle name="Normal 6 9 13" xfId="8145"/>
    <cellStyle name="Normal 6 9 14" xfId="8146"/>
    <cellStyle name="Normal 6 9 15" xfId="8147"/>
    <cellStyle name="Normal 6 9 16" xfId="8148"/>
    <cellStyle name="Normal 6 9 17" xfId="8149"/>
    <cellStyle name="Normal 6 9 2" xfId="8150"/>
    <cellStyle name="Normal 6 9 3" xfId="8151"/>
    <cellStyle name="Normal 6 9 4" xfId="8152"/>
    <cellStyle name="Normal 6 9 5" xfId="8153"/>
    <cellStyle name="Normal 6 9 6" xfId="8154"/>
    <cellStyle name="Normal 6 9 7" xfId="8155"/>
    <cellStyle name="Normal 6 9 8" xfId="8156"/>
    <cellStyle name="Normal 6 9 9" xfId="8157"/>
    <cellStyle name="Normal 60" xfId="10819"/>
    <cellStyle name="Normal 61" xfId="10820"/>
    <cellStyle name="Normal 62" xfId="10821"/>
    <cellStyle name="Normal 63" xfId="10822"/>
    <cellStyle name="Normal 64" xfId="10823"/>
    <cellStyle name="Normal 65" xfId="10824"/>
    <cellStyle name="Normal 66" xfId="10825"/>
    <cellStyle name="Normal 67" xfId="10826"/>
    <cellStyle name="Normal 68" xfId="10827"/>
    <cellStyle name="Normal 69" xfId="10836"/>
    <cellStyle name="Normal 7" xfId="148"/>
    <cellStyle name="Normal 7 10" xfId="149"/>
    <cellStyle name="Normal 7 10 10" xfId="8158"/>
    <cellStyle name="Normal 7 10 10 2" xfId="12194"/>
    <cellStyle name="Normal 7 10 11" xfId="8159"/>
    <cellStyle name="Normal 7 10 11 2" xfId="12195"/>
    <cellStyle name="Normal 7 10 12" xfId="8160"/>
    <cellStyle name="Normal 7 10 12 2" xfId="12196"/>
    <cellStyle name="Normal 7 10 13" xfId="8161"/>
    <cellStyle name="Normal 7 10 13 2" xfId="12197"/>
    <cellStyle name="Normal 7 10 14" xfId="8162"/>
    <cellStyle name="Normal 7 10 14 2" xfId="12198"/>
    <cellStyle name="Normal 7 10 15" xfId="8163"/>
    <cellStyle name="Normal 7 10 15 2" xfId="12199"/>
    <cellStyle name="Normal 7 10 16" xfId="8164"/>
    <cellStyle name="Normal 7 10 16 2" xfId="12200"/>
    <cellStyle name="Normal 7 10 17" xfId="8165"/>
    <cellStyle name="Normal 7 10 17 2" xfId="12201"/>
    <cellStyle name="Normal 7 10 18" xfId="8166"/>
    <cellStyle name="Normal 7 10 18 2" xfId="12202"/>
    <cellStyle name="Normal 7 10 19" xfId="8167"/>
    <cellStyle name="Normal 7 10 19 2" xfId="12203"/>
    <cellStyle name="Normal 7 10 2" xfId="150"/>
    <cellStyle name="Normal 7 10 2 10" xfId="8168"/>
    <cellStyle name="Normal 7 10 2 11" xfId="8169"/>
    <cellStyle name="Normal 7 10 2 12" xfId="8170"/>
    <cellStyle name="Normal 7 10 2 13" xfId="8171"/>
    <cellStyle name="Normal 7 10 2 2" xfId="8172"/>
    <cellStyle name="Normal 7 10 2 3" xfId="8173"/>
    <cellStyle name="Normal 7 10 2 4" xfId="8174"/>
    <cellStyle name="Normal 7 10 2 5" xfId="8175"/>
    <cellStyle name="Normal 7 10 2 6" xfId="8176"/>
    <cellStyle name="Normal 7 10 2 7" xfId="8177"/>
    <cellStyle name="Normal 7 10 2 8" xfId="8178"/>
    <cellStyle name="Normal 7 10 2 9" xfId="8179"/>
    <cellStyle name="Normal 7 10 20" xfId="8180"/>
    <cellStyle name="Normal 7 10 20 2" xfId="12204"/>
    <cellStyle name="Normal 7 10 21" xfId="8181"/>
    <cellStyle name="Normal 7 10 21 2" xfId="12205"/>
    <cellStyle name="Normal 7 10 22" xfId="8182"/>
    <cellStyle name="Normal 7 10 22 2" xfId="12206"/>
    <cellStyle name="Normal 7 10 23" xfId="8183"/>
    <cellStyle name="Normal 7 10 23 2" xfId="12207"/>
    <cellStyle name="Normal 7 10 24" xfId="8184"/>
    <cellStyle name="Normal 7 10 24 2" xfId="12208"/>
    <cellStyle name="Normal 7 10 25" xfId="8185"/>
    <cellStyle name="Normal 7 10 25 2" xfId="12209"/>
    <cellStyle name="Normal 7 10 26" xfId="12193"/>
    <cellStyle name="Normal 7 10 3" xfId="151"/>
    <cellStyle name="Normal 7 10 3 10" xfId="8186"/>
    <cellStyle name="Normal 7 10 3 11" xfId="8187"/>
    <cellStyle name="Normal 7 10 3 12" xfId="8188"/>
    <cellStyle name="Normal 7 10 3 13" xfId="8189"/>
    <cellStyle name="Normal 7 10 3 2" xfId="8190"/>
    <cellStyle name="Normal 7 10 3 3" xfId="8191"/>
    <cellStyle name="Normal 7 10 3 4" xfId="8192"/>
    <cellStyle name="Normal 7 10 3 5" xfId="8193"/>
    <cellStyle name="Normal 7 10 3 6" xfId="8194"/>
    <cellStyle name="Normal 7 10 3 7" xfId="8195"/>
    <cellStyle name="Normal 7 10 3 8" xfId="8196"/>
    <cellStyle name="Normal 7 10 3 9" xfId="8197"/>
    <cellStyle name="Normal 7 10 4" xfId="152"/>
    <cellStyle name="Normal 7 10 4 10" xfId="8198"/>
    <cellStyle name="Normal 7 10 4 11" xfId="8199"/>
    <cellStyle name="Normal 7 10 4 12" xfId="8200"/>
    <cellStyle name="Normal 7 10 4 13" xfId="8201"/>
    <cellStyle name="Normal 7 10 4 2" xfId="8202"/>
    <cellStyle name="Normal 7 10 4 3" xfId="8203"/>
    <cellStyle name="Normal 7 10 4 4" xfId="8204"/>
    <cellStyle name="Normal 7 10 4 5" xfId="8205"/>
    <cellStyle name="Normal 7 10 4 6" xfId="8206"/>
    <cellStyle name="Normal 7 10 4 7" xfId="8207"/>
    <cellStyle name="Normal 7 10 4 8" xfId="8208"/>
    <cellStyle name="Normal 7 10 4 9" xfId="8209"/>
    <cellStyle name="Normal 7 10 5" xfId="153"/>
    <cellStyle name="Normal 7 10 5 10" xfId="8210"/>
    <cellStyle name="Normal 7 10 5 11" xfId="8211"/>
    <cellStyle name="Normal 7 10 5 12" xfId="8212"/>
    <cellStyle name="Normal 7 10 5 13" xfId="8213"/>
    <cellStyle name="Normal 7 10 5 2" xfId="8214"/>
    <cellStyle name="Normal 7 10 5 3" xfId="8215"/>
    <cellStyle name="Normal 7 10 5 4" xfId="8216"/>
    <cellStyle name="Normal 7 10 5 5" xfId="8217"/>
    <cellStyle name="Normal 7 10 5 6" xfId="8218"/>
    <cellStyle name="Normal 7 10 5 7" xfId="8219"/>
    <cellStyle name="Normal 7 10 5 8" xfId="8220"/>
    <cellStyle name="Normal 7 10 5 9" xfId="8221"/>
    <cellStyle name="Normal 7 10 6" xfId="154"/>
    <cellStyle name="Normal 7 10 6 10" xfId="8222"/>
    <cellStyle name="Normal 7 10 6 11" xfId="8223"/>
    <cellStyle name="Normal 7 10 6 12" xfId="8224"/>
    <cellStyle name="Normal 7 10 6 13" xfId="8225"/>
    <cellStyle name="Normal 7 10 6 2" xfId="8226"/>
    <cellStyle name="Normal 7 10 6 3" xfId="8227"/>
    <cellStyle name="Normal 7 10 6 4" xfId="8228"/>
    <cellStyle name="Normal 7 10 6 5" xfId="8229"/>
    <cellStyle name="Normal 7 10 6 6" xfId="8230"/>
    <cellStyle name="Normal 7 10 6 7" xfId="8231"/>
    <cellStyle name="Normal 7 10 6 8" xfId="8232"/>
    <cellStyle name="Normal 7 10 6 9" xfId="8233"/>
    <cellStyle name="Normal 7 10 7" xfId="8234"/>
    <cellStyle name="Normal 7 10 7 10" xfId="8235"/>
    <cellStyle name="Normal 7 10 7 11" xfId="8236"/>
    <cellStyle name="Normal 7 10 7 12" xfId="8237"/>
    <cellStyle name="Normal 7 10 7 13" xfId="8238"/>
    <cellStyle name="Normal 7 10 7 2" xfId="8239"/>
    <cellStyle name="Normal 7 10 7 3" xfId="8240"/>
    <cellStyle name="Normal 7 10 7 4" xfId="8241"/>
    <cellStyle name="Normal 7 10 7 5" xfId="8242"/>
    <cellStyle name="Normal 7 10 7 6" xfId="8243"/>
    <cellStyle name="Normal 7 10 7 7" xfId="8244"/>
    <cellStyle name="Normal 7 10 7 8" xfId="8245"/>
    <cellStyle name="Normal 7 10 7 9" xfId="8246"/>
    <cellStyle name="Normal 7 10 8" xfId="8247"/>
    <cellStyle name="Normal 7 10 8 2" xfId="12210"/>
    <cellStyle name="Normal 7 10 9" xfId="8248"/>
    <cellStyle name="Normal 7 10 9 2" xfId="12211"/>
    <cellStyle name="Normal 7 100" xfId="8249"/>
    <cellStyle name="Normal 7 100 2" xfId="12212"/>
    <cellStyle name="Normal 7 101" xfId="8250"/>
    <cellStyle name="Normal 7 101 2" xfId="12213"/>
    <cellStyle name="Normal 7 102" xfId="8251"/>
    <cellStyle name="Normal 7 102 2" xfId="12214"/>
    <cellStyle name="Normal 7 103" xfId="8252"/>
    <cellStyle name="Normal 7 103 2" xfId="12215"/>
    <cellStyle name="Normal 7 104" xfId="8253"/>
    <cellStyle name="Normal 7 104 2" xfId="12216"/>
    <cellStyle name="Normal 7 105" xfId="8254"/>
    <cellStyle name="Normal 7 105 2" xfId="12217"/>
    <cellStyle name="Normal 7 106" xfId="8255"/>
    <cellStyle name="Normal 7 106 2" xfId="12218"/>
    <cellStyle name="Normal 7 107" xfId="8256"/>
    <cellStyle name="Normal 7 107 2" xfId="12219"/>
    <cellStyle name="Normal 7 108" xfId="8257"/>
    <cellStyle name="Normal 7 108 2" xfId="12220"/>
    <cellStyle name="Normal 7 109" xfId="8258"/>
    <cellStyle name="Normal 7 109 2" xfId="12221"/>
    <cellStyle name="Normal 7 11" xfId="155"/>
    <cellStyle name="Normal 7 11 10" xfId="8259"/>
    <cellStyle name="Normal 7 11 10 2" xfId="12223"/>
    <cellStyle name="Normal 7 11 11" xfId="8260"/>
    <cellStyle name="Normal 7 11 11 2" xfId="12224"/>
    <cellStyle name="Normal 7 11 12" xfId="8261"/>
    <cellStyle name="Normal 7 11 12 2" xfId="12225"/>
    <cellStyle name="Normal 7 11 13" xfId="8262"/>
    <cellStyle name="Normal 7 11 13 2" xfId="12226"/>
    <cellStyle name="Normal 7 11 14" xfId="8263"/>
    <cellStyle name="Normal 7 11 14 2" xfId="12227"/>
    <cellStyle name="Normal 7 11 15" xfId="8264"/>
    <cellStyle name="Normal 7 11 15 2" xfId="12228"/>
    <cellStyle name="Normal 7 11 16" xfId="8265"/>
    <cellStyle name="Normal 7 11 16 2" xfId="12229"/>
    <cellStyle name="Normal 7 11 17" xfId="8266"/>
    <cellStyle name="Normal 7 11 17 2" xfId="12230"/>
    <cellStyle name="Normal 7 11 18" xfId="8267"/>
    <cellStyle name="Normal 7 11 18 2" xfId="12231"/>
    <cellStyle name="Normal 7 11 19" xfId="8268"/>
    <cellStyle name="Normal 7 11 19 2" xfId="12232"/>
    <cellStyle name="Normal 7 11 2" xfId="156"/>
    <cellStyle name="Normal 7 11 2 10" xfId="8269"/>
    <cellStyle name="Normal 7 11 2 11" xfId="8270"/>
    <cellStyle name="Normal 7 11 2 12" xfId="8271"/>
    <cellStyle name="Normal 7 11 2 13" xfId="8272"/>
    <cellStyle name="Normal 7 11 2 2" xfId="8273"/>
    <cellStyle name="Normal 7 11 2 3" xfId="8274"/>
    <cellStyle name="Normal 7 11 2 4" xfId="8275"/>
    <cellStyle name="Normal 7 11 2 5" xfId="8276"/>
    <cellStyle name="Normal 7 11 2 6" xfId="8277"/>
    <cellStyle name="Normal 7 11 2 7" xfId="8278"/>
    <cellStyle name="Normal 7 11 2 8" xfId="8279"/>
    <cellStyle name="Normal 7 11 2 9" xfId="8280"/>
    <cellStyle name="Normal 7 11 20" xfId="8281"/>
    <cellStyle name="Normal 7 11 20 2" xfId="12233"/>
    <cellStyle name="Normal 7 11 21" xfId="8282"/>
    <cellStyle name="Normal 7 11 21 2" xfId="12234"/>
    <cellStyle name="Normal 7 11 22" xfId="8283"/>
    <cellStyle name="Normal 7 11 22 2" xfId="12235"/>
    <cellStyle name="Normal 7 11 23" xfId="8284"/>
    <cellStyle name="Normal 7 11 23 2" xfId="12236"/>
    <cellStyle name="Normal 7 11 24" xfId="8285"/>
    <cellStyle name="Normal 7 11 24 2" xfId="12237"/>
    <cellStyle name="Normal 7 11 25" xfId="8286"/>
    <cellStyle name="Normal 7 11 25 2" xfId="12238"/>
    <cellStyle name="Normal 7 11 26" xfId="12222"/>
    <cellStyle name="Normal 7 11 3" xfId="157"/>
    <cellStyle name="Normal 7 11 3 10" xfId="8287"/>
    <cellStyle name="Normal 7 11 3 11" xfId="8288"/>
    <cellStyle name="Normal 7 11 3 12" xfId="8289"/>
    <cellStyle name="Normal 7 11 3 13" xfId="8290"/>
    <cellStyle name="Normal 7 11 3 2" xfId="8291"/>
    <cellStyle name="Normal 7 11 3 3" xfId="8292"/>
    <cellStyle name="Normal 7 11 3 4" xfId="8293"/>
    <cellStyle name="Normal 7 11 3 5" xfId="8294"/>
    <cellStyle name="Normal 7 11 3 6" xfId="8295"/>
    <cellStyle name="Normal 7 11 3 7" xfId="8296"/>
    <cellStyle name="Normal 7 11 3 8" xfId="8297"/>
    <cellStyle name="Normal 7 11 3 9" xfId="8298"/>
    <cellStyle name="Normal 7 11 4" xfId="158"/>
    <cellStyle name="Normal 7 11 4 10" xfId="8299"/>
    <cellStyle name="Normal 7 11 4 11" xfId="8300"/>
    <cellStyle name="Normal 7 11 4 12" xfId="8301"/>
    <cellStyle name="Normal 7 11 4 13" xfId="8302"/>
    <cellStyle name="Normal 7 11 4 2" xfId="8303"/>
    <cellStyle name="Normal 7 11 4 3" xfId="8304"/>
    <cellStyle name="Normal 7 11 4 4" xfId="8305"/>
    <cellStyle name="Normal 7 11 4 5" xfId="8306"/>
    <cellStyle name="Normal 7 11 4 6" xfId="8307"/>
    <cellStyle name="Normal 7 11 4 7" xfId="8308"/>
    <cellStyle name="Normal 7 11 4 8" xfId="8309"/>
    <cellStyle name="Normal 7 11 4 9" xfId="8310"/>
    <cellStyle name="Normal 7 11 5" xfId="159"/>
    <cellStyle name="Normal 7 11 5 10" xfId="8311"/>
    <cellStyle name="Normal 7 11 5 11" xfId="8312"/>
    <cellStyle name="Normal 7 11 5 12" xfId="8313"/>
    <cellStyle name="Normal 7 11 5 13" xfId="8314"/>
    <cellStyle name="Normal 7 11 5 2" xfId="8315"/>
    <cellStyle name="Normal 7 11 5 3" xfId="8316"/>
    <cellStyle name="Normal 7 11 5 4" xfId="8317"/>
    <cellStyle name="Normal 7 11 5 5" xfId="8318"/>
    <cellStyle name="Normal 7 11 5 6" xfId="8319"/>
    <cellStyle name="Normal 7 11 5 7" xfId="8320"/>
    <cellStyle name="Normal 7 11 5 8" xfId="8321"/>
    <cellStyle name="Normal 7 11 5 9" xfId="8322"/>
    <cellStyle name="Normal 7 11 6" xfId="160"/>
    <cellStyle name="Normal 7 11 6 10" xfId="8323"/>
    <cellStyle name="Normal 7 11 6 11" xfId="8324"/>
    <cellStyle name="Normal 7 11 6 12" xfId="8325"/>
    <cellStyle name="Normal 7 11 6 13" xfId="8326"/>
    <cellStyle name="Normal 7 11 6 2" xfId="8327"/>
    <cellStyle name="Normal 7 11 6 3" xfId="8328"/>
    <cellStyle name="Normal 7 11 6 4" xfId="8329"/>
    <cellStyle name="Normal 7 11 6 5" xfId="8330"/>
    <cellStyle name="Normal 7 11 6 6" xfId="8331"/>
    <cellStyle name="Normal 7 11 6 7" xfId="8332"/>
    <cellStyle name="Normal 7 11 6 8" xfId="8333"/>
    <cellStyle name="Normal 7 11 6 9" xfId="8334"/>
    <cellStyle name="Normal 7 11 7" xfId="8335"/>
    <cellStyle name="Normal 7 11 7 10" xfId="8336"/>
    <cellStyle name="Normal 7 11 7 11" xfId="8337"/>
    <cellStyle name="Normal 7 11 7 12" xfId="8338"/>
    <cellStyle name="Normal 7 11 7 13" xfId="8339"/>
    <cellStyle name="Normal 7 11 7 2" xfId="8340"/>
    <cellStyle name="Normal 7 11 7 3" xfId="8341"/>
    <cellStyle name="Normal 7 11 7 4" xfId="8342"/>
    <cellStyle name="Normal 7 11 7 5" xfId="8343"/>
    <cellStyle name="Normal 7 11 7 6" xfId="8344"/>
    <cellStyle name="Normal 7 11 7 7" xfId="8345"/>
    <cellStyle name="Normal 7 11 7 8" xfId="8346"/>
    <cellStyle name="Normal 7 11 7 9" xfId="8347"/>
    <cellStyle name="Normal 7 11 8" xfId="8348"/>
    <cellStyle name="Normal 7 11 8 2" xfId="12239"/>
    <cellStyle name="Normal 7 11 9" xfId="8349"/>
    <cellStyle name="Normal 7 11 9 2" xfId="12240"/>
    <cellStyle name="Normal 7 110" xfId="8350"/>
    <cellStyle name="Normal 7 110 2" xfId="12241"/>
    <cellStyle name="Normal 7 111" xfId="8351"/>
    <cellStyle name="Normal 7 111 2" xfId="12242"/>
    <cellStyle name="Normal 7 112" xfId="8352"/>
    <cellStyle name="Normal 7 112 2" xfId="12243"/>
    <cellStyle name="Normal 7 113" xfId="8353"/>
    <cellStyle name="Normal 7 113 2" xfId="12244"/>
    <cellStyle name="Normal 7 114" xfId="8354"/>
    <cellStyle name="Normal 7 114 2" xfId="12245"/>
    <cellStyle name="Normal 7 115" xfId="8355"/>
    <cellStyle name="Normal 7 115 2" xfId="12246"/>
    <cellStyle name="Normal 7 116" xfId="8356"/>
    <cellStyle name="Normal 7 116 2" xfId="12247"/>
    <cellStyle name="Normal 7 117" xfId="8357"/>
    <cellStyle name="Normal 7 117 2" xfId="12248"/>
    <cellStyle name="Normal 7 118" xfId="8358"/>
    <cellStyle name="Normal 7 118 2" xfId="12249"/>
    <cellStyle name="Normal 7 119" xfId="8359"/>
    <cellStyle name="Normal 7 119 2" xfId="12250"/>
    <cellStyle name="Normal 7 12" xfId="161"/>
    <cellStyle name="Normal 7 12 10" xfId="8360"/>
    <cellStyle name="Normal 7 12 10 2" xfId="12252"/>
    <cellStyle name="Normal 7 12 11" xfId="8361"/>
    <cellStyle name="Normal 7 12 11 2" xfId="12253"/>
    <cellStyle name="Normal 7 12 12" xfId="8362"/>
    <cellStyle name="Normal 7 12 12 2" xfId="12254"/>
    <cellStyle name="Normal 7 12 13" xfId="8363"/>
    <cellStyle name="Normal 7 12 13 2" xfId="12255"/>
    <cellStyle name="Normal 7 12 14" xfId="8364"/>
    <cellStyle name="Normal 7 12 14 2" xfId="12256"/>
    <cellStyle name="Normal 7 12 15" xfId="8365"/>
    <cellStyle name="Normal 7 12 15 2" xfId="12257"/>
    <cellStyle name="Normal 7 12 16" xfId="8366"/>
    <cellStyle name="Normal 7 12 16 2" xfId="12258"/>
    <cellStyle name="Normal 7 12 17" xfId="8367"/>
    <cellStyle name="Normal 7 12 17 2" xfId="12259"/>
    <cellStyle name="Normal 7 12 18" xfId="8368"/>
    <cellStyle name="Normal 7 12 18 2" xfId="12260"/>
    <cellStyle name="Normal 7 12 19" xfId="8369"/>
    <cellStyle name="Normal 7 12 19 2" xfId="12261"/>
    <cellStyle name="Normal 7 12 2" xfId="162"/>
    <cellStyle name="Normal 7 12 2 10" xfId="8370"/>
    <cellStyle name="Normal 7 12 2 11" xfId="8371"/>
    <cellStyle name="Normal 7 12 2 12" xfId="8372"/>
    <cellStyle name="Normal 7 12 2 13" xfId="8373"/>
    <cellStyle name="Normal 7 12 2 2" xfId="8374"/>
    <cellStyle name="Normal 7 12 2 3" xfId="8375"/>
    <cellStyle name="Normal 7 12 2 4" xfId="8376"/>
    <cellStyle name="Normal 7 12 2 5" xfId="8377"/>
    <cellStyle name="Normal 7 12 2 6" xfId="8378"/>
    <cellStyle name="Normal 7 12 2 7" xfId="8379"/>
    <cellStyle name="Normal 7 12 2 8" xfId="8380"/>
    <cellStyle name="Normal 7 12 2 9" xfId="8381"/>
    <cellStyle name="Normal 7 12 20" xfId="8382"/>
    <cellStyle name="Normal 7 12 20 2" xfId="12262"/>
    <cellStyle name="Normal 7 12 21" xfId="8383"/>
    <cellStyle name="Normal 7 12 21 2" xfId="12263"/>
    <cellStyle name="Normal 7 12 22" xfId="8384"/>
    <cellStyle name="Normal 7 12 22 2" xfId="12264"/>
    <cellStyle name="Normal 7 12 23" xfId="8385"/>
    <cellStyle name="Normal 7 12 23 2" xfId="12265"/>
    <cellStyle name="Normal 7 12 24" xfId="8386"/>
    <cellStyle name="Normal 7 12 24 2" xfId="12266"/>
    <cellStyle name="Normal 7 12 25" xfId="8387"/>
    <cellStyle name="Normal 7 12 25 2" xfId="12267"/>
    <cellStyle name="Normal 7 12 26" xfId="12251"/>
    <cellStyle name="Normal 7 12 3" xfId="163"/>
    <cellStyle name="Normal 7 12 3 10" xfId="8388"/>
    <cellStyle name="Normal 7 12 3 11" xfId="8389"/>
    <cellStyle name="Normal 7 12 3 12" xfId="8390"/>
    <cellStyle name="Normal 7 12 3 13" xfId="8391"/>
    <cellStyle name="Normal 7 12 3 2" xfId="8392"/>
    <cellStyle name="Normal 7 12 3 3" xfId="8393"/>
    <cellStyle name="Normal 7 12 3 4" xfId="8394"/>
    <cellStyle name="Normal 7 12 3 5" xfId="8395"/>
    <cellStyle name="Normal 7 12 3 6" xfId="8396"/>
    <cellStyle name="Normal 7 12 3 7" xfId="8397"/>
    <cellStyle name="Normal 7 12 3 8" xfId="8398"/>
    <cellStyle name="Normal 7 12 3 9" xfId="8399"/>
    <cellStyle name="Normal 7 12 4" xfId="164"/>
    <cellStyle name="Normal 7 12 4 10" xfId="8400"/>
    <cellStyle name="Normal 7 12 4 11" xfId="8401"/>
    <cellStyle name="Normal 7 12 4 12" xfId="8402"/>
    <cellStyle name="Normal 7 12 4 13" xfId="8403"/>
    <cellStyle name="Normal 7 12 4 2" xfId="8404"/>
    <cellStyle name="Normal 7 12 4 3" xfId="8405"/>
    <cellStyle name="Normal 7 12 4 4" xfId="8406"/>
    <cellStyle name="Normal 7 12 4 5" xfId="8407"/>
    <cellStyle name="Normal 7 12 4 6" xfId="8408"/>
    <cellStyle name="Normal 7 12 4 7" xfId="8409"/>
    <cellStyle name="Normal 7 12 4 8" xfId="8410"/>
    <cellStyle name="Normal 7 12 4 9" xfId="8411"/>
    <cellStyle name="Normal 7 12 5" xfId="165"/>
    <cellStyle name="Normal 7 12 5 10" xfId="8412"/>
    <cellStyle name="Normal 7 12 5 11" xfId="8413"/>
    <cellStyle name="Normal 7 12 5 12" xfId="8414"/>
    <cellStyle name="Normal 7 12 5 13" xfId="8415"/>
    <cellStyle name="Normal 7 12 5 2" xfId="8416"/>
    <cellStyle name="Normal 7 12 5 3" xfId="8417"/>
    <cellStyle name="Normal 7 12 5 4" xfId="8418"/>
    <cellStyle name="Normal 7 12 5 5" xfId="8419"/>
    <cellStyle name="Normal 7 12 5 6" xfId="8420"/>
    <cellStyle name="Normal 7 12 5 7" xfId="8421"/>
    <cellStyle name="Normal 7 12 5 8" xfId="8422"/>
    <cellStyle name="Normal 7 12 5 9" xfId="8423"/>
    <cellStyle name="Normal 7 12 6" xfId="166"/>
    <cellStyle name="Normal 7 12 6 10" xfId="8424"/>
    <cellStyle name="Normal 7 12 6 11" xfId="8425"/>
    <cellStyle name="Normal 7 12 6 12" xfId="8426"/>
    <cellStyle name="Normal 7 12 6 13" xfId="8427"/>
    <cellStyle name="Normal 7 12 6 2" xfId="8428"/>
    <cellStyle name="Normal 7 12 6 3" xfId="8429"/>
    <cellStyle name="Normal 7 12 6 4" xfId="8430"/>
    <cellStyle name="Normal 7 12 6 5" xfId="8431"/>
    <cellStyle name="Normal 7 12 6 6" xfId="8432"/>
    <cellStyle name="Normal 7 12 6 7" xfId="8433"/>
    <cellStyle name="Normal 7 12 6 8" xfId="8434"/>
    <cellStyle name="Normal 7 12 6 9" xfId="8435"/>
    <cellStyle name="Normal 7 12 7" xfId="8436"/>
    <cellStyle name="Normal 7 12 7 10" xfId="8437"/>
    <cellStyle name="Normal 7 12 7 11" xfId="8438"/>
    <cellStyle name="Normal 7 12 7 12" xfId="8439"/>
    <cellStyle name="Normal 7 12 7 13" xfId="8440"/>
    <cellStyle name="Normal 7 12 7 2" xfId="8441"/>
    <cellStyle name="Normal 7 12 7 3" xfId="8442"/>
    <cellStyle name="Normal 7 12 7 4" xfId="8443"/>
    <cellStyle name="Normal 7 12 7 5" xfId="8444"/>
    <cellStyle name="Normal 7 12 7 6" xfId="8445"/>
    <cellStyle name="Normal 7 12 7 7" xfId="8446"/>
    <cellStyle name="Normal 7 12 7 8" xfId="8447"/>
    <cellStyle name="Normal 7 12 7 9" xfId="8448"/>
    <cellStyle name="Normal 7 12 8" xfId="8449"/>
    <cellStyle name="Normal 7 12 8 2" xfId="12268"/>
    <cellStyle name="Normal 7 12 9" xfId="8450"/>
    <cellStyle name="Normal 7 12 9 2" xfId="12269"/>
    <cellStyle name="Normal 7 120" xfId="8451"/>
    <cellStyle name="Normal 7 120 2" xfId="12270"/>
    <cellStyle name="Normal 7 121" xfId="8452"/>
    <cellStyle name="Normal 7 121 2" xfId="12271"/>
    <cellStyle name="Normal 7 122" xfId="8453"/>
    <cellStyle name="Normal 7 122 2" xfId="12272"/>
    <cellStyle name="Normal 7 123" xfId="8454"/>
    <cellStyle name="Normal 7 123 2" xfId="12273"/>
    <cellStyle name="Normal 7 124" xfId="8455"/>
    <cellStyle name="Normal 7 124 2" xfId="12274"/>
    <cellStyle name="Normal 7 125" xfId="8456"/>
    <cellStyle name="Normal 7 125 2" xfId="12275"/>
    <cellStyle name="Normal 7 126" xfId="8457"/>
    <cellStyle name="Normal 7 126 2" xfId="12276"/>
    <cellStyle name="Normal 7 127" xfId="8458"/>
    <cellStyle name="Normal 7 127 2" xfId="12277"/>
    <cellStyle name="Normal 7 128" xfId="8459"/>
    <cellStyle name="Normal 7 128 2" xfId="12278"/>
    <cellStyle name="Normal 7 129" xfId="8460"/>
    <cellStyle name="Normal 7 129 2" xfId="12279"/>
    <cellStyle name="Normal 7 13" xfId="167"/>
    <cellStyle name="Normal 7 13 2" xfId="12280"/>
    <cellStyle name="Normal 7 130" xfId="8461"/>
    <cellStyle name="Normal 7 130 2" xfId="12281"/>
    <cellStyle name="Normal 7 131" xfId="8462"/>
    <cellStyle name="Normal 7 131 2" xfId="12282"/>
    <cellStyle name="Normal 7 132" xfId="8463"/>
    <cellStyle name="Normal 7 132 2" xfId="12283"/>
    <cellStyle name="Normal 7 133" xfId="8464"/>
    <cellStyle name="Normal 7 133 2" xfId="12284"/>
    <cellStyle name="Normal 7 134" xfId="8465"/>
    <cellStyle name="Normal 7 134 2" xfId="12285"/>
    <cellStyle name="Normal 7 135" xfId="8466"/>
    <cellStyle name="Normal 7 135 2" xfId="12286"/>
    <cellStyle name="Normal 7 136" xfId="8467"/>
    <cellStyle name="Normal 7 136 2" xfId="12287"/>
    <cellStyle name="Normal 7 137" xfId="8468"/>
    <cellStyle name="Normal 7 137 2" xfId="12288"/>
    <cellStyle name="Normal 7 138" xfId="8469"/>
    <cellStyle name="Normal 7 138 2" xfId="12289"/>
    <cellStyle name="Normal 7 139" xfId="8470"/>
    <cellStyle name="Normal 7 139 2" xfId="12290"/>
    <cellStyle name="Normal 7 14" xfId="168"/>
    <cellStyle name="Normal 7 14 2" xfId="12291"/>
    <cellStyle name="Normal 7 140" xfId="8471"/>
    <cellStyle name="Normal 7 140 2" xfId="12292"/>
    <cellStyle name="Normal 7 141" xfId="8472"/>
    <cellStyle name="Normal 7 141 2" xfId="12293"/>
    <cellStyle name="Normal 7 142" xfId="12192"/>
    <cellStyle name="Normal 7 15" xfId="169"/>
    <cellStyle name="Normal 7 15 2" xfId="12294"/>
    <cellStyle name="Normal 7 16" xfId="170"/>
    <cellStyle name="Normal 7 16 2" xfId="12295"/>
    <cellStyle name="Normal 7 17" xfId="171"/>
    <cellStyle name="Normal 7 17 2" xfId="12296"/>
    <cellStyle name="Normal 7 18" xfId="172"/>
    <cellStyle name="Normal 7 18 2" xfId="12297"/>
    <cellStyle name="Normal 7 19" xfId="173"/>
    <cellStyle name="Normal 7 19 2" xfId="12298"/>
    <cellStyle name="Normal 7 2" xfId="174"/>
    <cellStyle name="Normal 7 2 2" xfId="12299"/>
    <cellStyle name="Normal 7 20" xfId="175"/>
    <cellStyle name="Normal 7 20 2" xfId="12300"/>
    <cellStyle name="Normal 7 21" xfId="176"/>
    <cellStyle name="Normal 7 21 2" xfId="12301"/>
    <cellStyle name="Normal 7 22" xfId="177"/>
    <cellStyle name="Normal 7 22 2" xfId="12302"/>
    <cellStyle name="Normal 7 23" xfId="178"/>
    <cellStyle name="Normal 7 23 2" xfId="12303"/>
    <cellStyle name="Normal 7 24" xfId="179"/>
    <cellStyle name="Normal 7 24 2" xfId="12304"/>
    <cellStyle name="Normal 7 25" xfId="180"/>
    <cellStyle name="Normal 7 25 2" xfId="12305"/>
    <cellStyle name="Normal 7 26" xfId="181"/>
    <cellStyle name="Normal 7 26 2" xfId="12306"/>
    <cellStyle name="Normal 7 27" xfId="182"/>
    <cellStyle name="Normal 7 27 2" xfId="12307"/>
    <cellStyle name="Normal 7 28" xfId="183"/>
    <cellStyle name="Normal 7 28 2" xfId="12308"/>
    <cellStyle name="Normal 7 29" xfId="184"/>
    <cellStyle name="Normal 7 29 2" xfId="12309"/>
    <cellStyle name="Normal 7 3" xfId="185"/>
    <cellStyle name="Normal 7 3 2" xfId="12310"/>
    <cellStyle name="Normal 7 30" xfId="186"/>
    <cellStyle name="Normal 7 30 2" xfId="12311"/>
    <cellStyle name="Normal 7 31" xfId="187"/>
    <cellStyle name="Normal 7 31 2" xfId="12312"/>
    <cellStyle name="Normal 7 32" xfId="188"/>
    <cellStyle name="Normal 7 32 2" xfId="12313"/>
    <cellStyle name="Normal 7 33" xfId="189"/>
    <cellStyle name="Normal 7 33 2" xfId="12314"/>
    <cellStyle name="Normal 7 34" xfId="190"/>
    <cellStyle name="Normal 7 34 2" xfId="12315"/>
    <cellStyle name="Normal 7 35" xfId="191"/>
    <cellStyle name="Normal 7 35 2" xfId="12316"/>
    <cellStyle name="Normal 7 36" xfId="192"/>
    <cellStyle name="Normal 7 36 2" xfId="12317"/>
    <cellStyle name="Normal 7 37" xfId="193"/>
    <cellStyle name="Normal 7 37 2" xfId="12318"/>
    <cellStyle name="Normal 7 38" xfId="194"/>
    <cellStyle name="Normal 7 38 2" xfId="12319"/>
    <cellStyle name="Normal 7 39" xfId="195"/>
    <cellStyle name="Normal 7 39 2" xfId="12320"/>
    <cellStyle name="Normal 7 4" xfId="196"/>
    <cellStyle name="Normal 7 4 2" xfId="12321"/>
    <cellStyle name="Normal 7 40" xfId="197"/>
    <cellStyle name="Normal 7 40 2" xfId="12322"/>
    <cellStyle name="Normal 7 41" xfId="198"/>
    <cellStyle name="Normal 7 41 2" xfId="12323"/>
    <cellStyle name="Normal 7 42" xfId="199"/>
    <cellStyle name="Normal 7 42 2" xfId="12324"/>
    <cellStyle name="Normal 7 43" xfId="200"/>
    <cellStyle name="Normal 7 43 2" xfId="12325"/>
    <cellStyle name="Normal 7 44" xfId="201"/>
    <cellStyle name="Normal 7 44 2" xfId="12326"/>
    <cellStyle name="Normal 7 45" xfId="202"/>
    <cellStyle name="Normal 7 45 2" xfId="12327"/>
    <cellStyle name="Normal 7 46" xfId="203"/>
    <cellStyle name="Normal 7 46 2" xfId="12328"/>
    <cellStyle name="Normal 7 47" xfId="204"/>
    <cellStyle name="Normal 7 47 2" xfId="12329"/>
    <cellStyle name="Normal 7 48" xfId="205"/>
    <cellStyle name="Normal 7 48 2" xfId="12330"/>
    <cellStyle name="Normal 7 49" xfId="206"/>
    <cellStyle name="Normal 7 49 2" xfId="12331"/>
    <cellStyle name="Normal 7 5" xfId="207"/>
    <cellStyle name="Normal 7 5 2" xfId="12332"/>
    <cellStyle name="Normal 7 50" xfId="208"/>
    <cellStyle name="Normal 7 50 2" xfId="12333"/>
    <cellStyle name="Normal 7 51" xfId="209"/>
    <cellStyle name="Normal 7 51 2" xfId="12334"/>
    <cellStyle name="Normal 7 52" xfId="210"/>
    <cellStyle name="Normal 7 52 2" xfId="12335"/>
    <cellStyle name="Normal 7 53" xfId="211"/>
    <cellStyle name="Normal 7 53 2" xfId="12336"/>
    <cellStyle name="Normal 7 54" xfId="212"/>
    <cellStyle name="Normal 7 54 2" xfId="12337"/>
    <cellStyle name="Normal 7 55" xfId="213"/>
    <cellStyle name="Normal 7 55 2" xfId="12338"/>
    <cellStyle name="Normal 7 56" xfId="214"/>
    <cellStyle name="Normal 7 56 2" xfId="12339"/>
    <cellStyle name="Normal 7 57" xfId="215"/>
    <cellStyle name="Normal 7 57 2" xfId="12340"/>
    <cellStyle name="Normal 7 58" xfId="216"/>
    <cellStyle name="Normal 7 58 2" xfId="12341"/>
    <cellStyle name="Normal 7 59" xfId="217"/>
    <cellStyle name="Normal 7 59 2" xfId="12342"/>
    <cellStyle name="Normal 7 6" xfId="218"/>
    <cellStyle name="Normal 7 6 2" xfId="12343"/>
    <cellStyle name="Normal 7 60" xfId="219"/>
    <cellStyle name="Normal 7 60 2" xfId="12344"/>
    <cellStyle name="Normal 7 61" xfId="220"/>
    <cellStyle name="Normal 7 61 2" xfId="12345"/>
    <cellStyle name="Normal 7 62" xfId="221"/>
    <cellStyle name="Normal 7 62 2" xfId="12346"/>
    <cellStyle name="Normal 7 63" xfId="222"/>
    <cellStyle name="Normal 7 63 2" xfId="12347"/>
    <cellStyle name="Normal 7 64" xfId="223"/>
    <cellStyle name="Normal 7 64 2" xfId="12348"/>
    <cellStyle name="Normal 7 65" xfId="224"/>
    <cellStyle name="Normal 7 65 2" xfId="12349"/>
    <cellStyle name="Normal 7 66" xfId="225"/>
    <cellStyle name="Normal 7 66 2" xfId="12350"/>
    <cellStyle name="Normal 7 67" xfId="226"/>
    <cellStyle name="Normal 7 67 2" xfId="12351"/>
    <cellStyle name="Normal 7 68" xfId="227"/>
    <cellStyle name="Normal 7 68 2" xfId="12352"/>
    <cellStyle name="Normal 7 69" xfId="228"/>
    <cellStyle name="Normal 7 69 2" xfId="12353"/>
    <cellStyle name="Normal 7 7" xfId="229"/>
    <cellStyle name="Normal 7 7 2" xfId="12354"/>
    <cellStyle name="Normal 7 70" xfId="230"/>
    <cellStyle name="Normal 7 70 2" xfId="12355"/>
    <cellStyle name="Normal 7 71" xfId="231"/>
    <cellStyle name="Normal 7 71 2" xfId="12356"/>
    <cellStyle name="Normal 7 72" xfId="232"/>
    <cellStyle name="Normal 7 72 2" xfId="12357"/>
    <cellStyle name="Normal 7 73" xfId="233"/>
    <cellStyle name="Normal 7 73 2" xfId="12358"/>
    <cellStyle name="Normal 7 74" xfId="234"/>
    <cellStyle name="Normal 7 74 2" xfId="12359"/>
    <cellStyle name="Normal 7 75" xfId="235"/>
    <cellStyle name="Normal 7 75 2" xfId="12360"/>
    <cellStyle name="Normal 7 76" xfId="236"/>
    <cellStyle name="Normal 7 76 2" xfId="12361"/>
    <cellStyle name="Normal 7 77" xfId="237"/>
    <cellStyle name="Normal 7 77 2" xfId="12362"/>
    <cellStyle name="Normal 7 78" xfId="238"/>
    <cellStyle name="Normal 7 78 2" xfId="12363"/>
    <cellStyle name="Normal 7 79" xfId="239"/>
    <cellStyle name="Normal 7 79 2" xfId="12364"/>
    <cellStyle name="Normal 7 8" xfId="240"/>
    <cellStyle name="Normal 7 8 2" xfId="12365"/>
    <cellStyle name="Normal 7 80" xfId="241"/>
    <cellStyle name="Normal 7 80 2" xfId="12366"/>
    <cellStyle name="Normal 7 81" xfId="242"/>
    <cellStyle name="Normal 7 81 2" xfId="12367"/>
    <cellStyle name="Normal 7 82" xfId="243"/>
    <cellStyle name="Normal 7 82 2" xfId="12368"/>
    <cellStyle name="Normal 7 83" xfId="244"/>
    <cellStyle name="Normal 7 83 2" xfId="12369"/>
    <cellStyle name="Normal 7 84" xfId="245"/>
    <cellStyle name="Normal 7 84 2" xfId="12370"/>
    <cellStyle name="Normal 7 85" xfId="246"/>
    <cellStyle name="Normal 7 85 2" xfId="12371"/>
    <cellStyle name="Normal 7 86" xfId="8473"/>
    <cellStyle name="Normal 7 86 2" xfId="12372"/>
    <cellStyle name="Normal 7 87" xfId="8474"/>
    <cellStyle name="Normal 7 87 2" xfId="12373"/>
    <cellStyle name="Normal 7 88" xfId="8475"/>
    <cellStyle name="Normal 7 88 2" xfId="12374"/>
    <cellStyle name="Normal 7 89" xfId="8476"/>
    <cellStyle name="Normal 7 89 2" xfId="12375"/>
    <cellStyle name="Normal 7 9" xfId="247"/>
    <cellStyle name="Normal 7 9 10" xfId="8477"/>
    <cellStyle name="Normal 7 9 10 2" xfId="12377"/>
    <cellStyle name="Normal 7 9 11" xfId="8478"/>
    <cellStyle name="Normal 7 9 11 2" xfId="12378"/>
    <cellStyle name="Normal 7 9 12" xfId="8479"/>
    <cellStyle name="Normal 7 9 12 2" xfId="12379"/>
    <cellStyle name="Normal 7 9 13" xfId="8480"/>
    <cellStyle name="Normal 7 9 13 2" xfId="12380"/>
    <cellStyle name="Normal 7 9 14" xfId="8481"/>
    <cellStyle name="Normal 7 9 14 2" xfId="12381"/>
    <cellStyle name="Normal 7 9 15" xfId="8482"/>
    <cellStyle name="Normal 7 9 15 2" xfId="12382"/>
    <cellStyle name="Normal 7 9 16" xfId="8483"/>
    <cellStyle name="Normal 7 9 16 2" xfId="12383"/>
    <cellStyle name="Normal 7 9 17" xfId="8484"/>
    <cellStyle name="Normal 7 9 17 2" xfId="12384"/>
    <cellStyle name="Normal 7 9 18" xfId="8485"/>
    <cellStyle name="Normal 7 9 18 2" xfId="12385"/>
    <cellStyle name="Normal 7 9 19" xfId="8486"/>
    <cellStyle name="Normal 7 9 19 2" xfId="12386"/>
    <cellStyle name="Normal 7 9 2" xfId="248"/>
    <cellStyle name="Normal 7 9 2 10" xfId="8487"/>
    <cellStyle name="Normal 7 9 2 11" xfId="8488"/>
    <cellStyle name="Normal 7 9 2 12" xfId="8489"/>
    <cellStyle name="Normal 7 9 2 13" xfId="8490"/>
    <cellStyle name="Normal 7 9 2 2" xfId="8491"/>
    <cellStyle name="Normal 7 9 2 3" xfId="8492"/>
    <cellStyle name="Normal 7 9 2 4" xfId="8493"/>
    <cellStyle name="Normal 7 9 2 5" xfId="8494"/>
    <cellStyle name="Normal 7 9 2 6" xfId="8495"/>
    <cellStyle name="Normal 7 9 2 7" xfId="8496"/>
    <cellStyle name="Normal 7 9 2 8" xfId="8497"/>
    <cellStyle name="Normal 7 9 2 9" xfId="8498"/>
    <cellStyle name="Normal 7 9 20" xfId="8499"/>
    <cellStyle name="Normal 7 9 20 2" xfId="12387"/>
    <cellStyle name="Normal 7 9 21" xfId="8500"/>
    <cellStyle name="Normal 7 9 21 2" xfId="12388"/>
    <cellStyle name="Normal 7 9 22" xfId="8501"/>
    <cellStyle name="Normal 7 9 22 2" xfId="12389"/>
    <cellStyle name="Normal 7 9 23" xfId="8502"/>
    <cellStyle name="Normal 7 9 23 2" xfId="12390"/>
    <cellStyle name="Normal 7 9 24" xfId="8503"/>
    <cellStyle name="Normal 7 9 24 2" xfId="12391"/>
    <cellStyle name="Normal 7 9 25" xfId="8504"/>
    <cellStyle name="Normal 7 9 25 2" xfId="12392"/>
    <cellStyle name="Normal 7 9 26" xfId="12376"/>
    <cellStyle name="Normal 7 9 3" xfId="249"/>
    <cellStyle name="Normal 7 9 3 10" xfId="8505"/>
    <cellStyle name="Normal 7 9 3 11" xfId="8506"/>
    <cellStyle name="Normal 7 9 3 12" xfId="8507"/>
    <cellStyle name="Normal 7 9 3 13" xfId="8508"/>
    <cellStyle name="Normal 7 9 3 2" xfId="8509"/>
    <cellStyle name="Normal 7 9 3 3" xfId="8510"/>
    <cellStyle name="Normal 7 9 3 4" xfId="8511"/>
    <cellStyle name="Normal 7 9 3 5" xfId="8512"/>
    <cellStyle name="Normal 7 9 3 6" xfId="8513"/>
    <cellStyle name="Normal 7 9 3 7" xfId="8514"/>
    <cellStyle name="Normal 7 9 3 8" xfId="8515"/>
    <cellStyle name="Normal 7 9 3 9" xfId="8516"/>
    <cellStyle name="Normal 7 9 4" xfId="250"/>
    <cellStyle name="Normal 7 9 4 10" xfId="8517"/>
    <cellStyle name="Normal 7 9 4 11" xfId="8518"/>
    <cellStyle name="Normal 7 9 4 12" xfId="8519"/>
    <cellStyle name="Normal 7 9 4 13" xfId="8520"/>
    <cellStyle name="Normal 7 9 4 2" xfId="8521"/>
    <cellStyle name="Normal 7 9 4 3" xfId="8522"/>
    <cellStyle name="Normal 7 9 4 4" xfId="8523"/>
    <cellStyle name="Normal 7 9 4 5" xfId="8524"/>
    <cellStyle name="Normal 7 9 4 6" xfId="8525"/>
    <cellStyle name="Normal 7 9 4 7" xfId="8526"/>
    <cellStyle name="Normal 7 9 4 8" xfId="8527"/>
    <cellStyle name="Normal 7 9 4 9" xfId="8528"/>
    <cellStyle name="Normal 7 9 5" xfId="251"/>
    <cellStyle name="Normal 7 9 5 10" xfId="8529"/>
    <cellStyle name="Normal 7 9 5 11" xfId="8530"/>
    <cellStyle name="Normal 7 9 5 12" xfId="8531"/>
    <cellStyle name="Normal 7 9 5 13" xfId="8532"/>
    <cellStyle name="Normal 7 9 5 2" xfId="8533"/>
    <cellStyle name="Normal 7 9 5 3" xfId="8534"/>
    <cellStyle name="Normal 7 9 5 4" xfId="8535"/>
    <cellStyle name="Normal 7 9 5 5" xfId="8536"/>
    <cellStyle name="Normal 7 9 5 6" xfId="8537"/>
    <cellStyle name="Normal 7 9 5 7" xfId="8538"/>
    <cellStyle name="Normal 7 9 5 8" xfId="8539"/>
    <cellStyle name="Normal 7 9 5 9" xfId="8540"/>
    <cellStyle name="Normal 7 9 6" xfId="252"/>
    <cellStyle name="Normal 7 9 6 10" xfId="8541"/>
    <cellStyle name="Normal 7 9 6 11" xfId="8542"/>
    <cellStyle name="Normal 7 9 6 12" xfId="8543"/>
    <cellStyle name="Normal 7 9 6 13" xfId="8544"/>
    <cellStyle name="Normal 7 9 6 2" xfId="8545"/>
    <cellStyle name="Normal 7 9 6 3" xfId="8546"/>
    <cellStyle name="Normal 7 9 6 4" xfId="8547"/>
    <cellStyle name="Normal 7 9 6 5" xfId="8548"/>
    <cellStyle name="Normal 7 9 6 6" xfId="8549"/>
    <cellStyle name="Normal 7 9 6 7" xfId="8550"/>
    <cellStyle name="Normal 7 9 6 8" xfId="8551"/>
    <cellStyle name="Normal 7 9 6 9" xfId="8552"/>
    <cellStyle name="Normal 7 9 7" xfId="8553"/>
    <cellStyle name="Normal 7 9 7 10" xfId="8554"/>
    <cellStyle name="Normal 7 9 7 11" xfId="8555"/>
    <cellStyle name="Normal 7 9 7 12" xfId="8556"/>
    <cellStyle name="Normal 7 9 7 13" xfId="8557"/>
    <cellStyle name="Normal 7 9 7 2" xfId="8558"/>
    <cellStyle name="Normal 7 9 7 3" xfId="8559"/>
    <cellStyle name="Normal 7 9 7 4" xfId="8560"/>
    <cellStyle name="Normal 7 9 7 5" xfId="8561"/>
    <cellStyle name="Normal 7 9 7 6" xfId="8562"/>
    <cellStyle name="Normal 7 9 7 7" xfId="8563"/>
    <cellStyle name="Normal 7 9 7 8" xfId="8564"/>
    <cellStyle name="Normal 7 9 7 9" xfId="8565"/>
    <cellStyle name="Normal 7 9 8" xfId="8566"/>
    <cellStyle name="Normal 7 9 8 2" xfId="12393"/>
    <cellStyle name="Normal 7 9 9" xfId="8567"/>
    <cellStyle name="Normal 7 9 9 2" xfId="12394"/>
    <cellStyle name="Normal 7 90" xfId="8568"/>
    <cellStyle name="Normal 7 90 2" xfId="12395"/>
    <cellStyle name="Normal 7 91" xfId="8569"/>
    <cellStyle name="Normal 7 91 2" xfId="12396"/>
    <cellStyle name="Normal 7 92" xfId="8570"/>
    <cellStyle name="Normal 7 92 2" xfId="12397"/>
    <cellStyle name="Normal 7 93" xfId="8571"/>
    <cellStyle name="Normal 7 93 2" xfId="12398"/>
    <cellStyle name="Normal 7 94" xfId="8572"/>
    <cellStyle name="Normal 7 94 2" xfId="12399"/>
    <cellStyle name="Normal 7 95" xfId="8573"/>
    <cellStyle name="Normal 7 95 2" xfId="12400"/>
    <cellStyle name="Normal 7 96" xfId="8574"/>
    <cellStyle name="Normal 7 96 2" xfId="12401"/>
    <cellStyle name="Normal 7 97" xfId="8575"/>
    <cellStyle name="Normal 7 97 2" xfId="12402"/>
    <cellStyle name="Normal 7 98" xfId="8576"/>
    <cellStyle name="Normal 7 98 2" xfId="12403"/>
    <cellStyle name="Normal 7 99" xfId="8577"/>
    <cellStyle name="Normal 7 99 2" xfId="12404"/>
    <cellStyle name="Normal 70" xfId="11336"/>
    <cellStyle name="Normal 70 2" xfId="11337"/>
    <cellStyle name="Normal 71" xfId="11338"/>
    <cellStyle name="Normal 71 2" xfId="11342"/>
    <cellStyle name="Normal 71 2 2" xfId="12406"/>
    <cellStyle name="Normal 71 3" xfId="12405"/>
    <cellStyle name="Normal 8" xfId="253"/>
    <cellStyle name="Normal 8 10" xfId="8578"/>
    <cellStyle name="Normal 8 11" xfId="8579"/>
    <cellStyle name="Normal 8 12" xfId="8580"/>
    <cellStyle name="Normal 8 13" xfId="8581"/>
    <cellStyle name="Normal 8 14" xfId="8582"/>
    <cellStyle name="Normal 8 15" xfId="8583"/>
    <cellStyle name="Normal 8 16" xfId="8584"/>
    <cellStyle name="Normal 8 17" xfId="8585"/>
    <cellStyle name="Normal 8 18" xfId="8586"/>
    <cellStyle name="Normal 8 19" xfId="8587"/>
    <cellStyle name="Normal 8 2" xfId="254"/>
    <cellStyle name="Normal 8 20" xfId="8588"/>
    <cellStyle name="Normal 8 21" xfId="8589"/>
    <cellStyle name="Normal 8 22" xfId="8590"/>
    <cellStyle name="Normal 8 23" xfId="8591"/>
    <cellStyle name="Normal 8 24" xfId="8592"/>
    <cellStyle name="Normal 8 25" xfId="8593"/>
    <cellStyle name="Normal 8 26" xfId="8594"/>
    <cellStyle name="Normal 8 27" xfId="8595"/>
    <cellStyle name="Normal 8 28" xfId="8596"/>
    <cellStyle name="Normal 8 29" xfId="8597"/>
    <cellStyle name="Normal 8 3" xfId="255"/>
    <cellStyle name="Normal 8 30" xfId="8598"/>
    <cellStyle name="Normal 8 31" xfId="10725"/>
    <cellStyle name="Normal 8 32" xfId="10744"/>
    <cellStyle name="Normal 8 33" xfId="10732"/>
    <cellStyle name="Normal 8 34" xfId="10737"/>
    <cellStyle name="Normal 8 35" xfId="10757"/>
    <cellStyle name="Normal 8 36" xfId="10786"/>
    <cellStyle name="Normal 8 37" xfId="10764"/>
    <cellStyle name="Normal 8 4" xfId="256"/>
    <cellStyle name="Normal 8 5" xfId="257"/>
    <cellStyle name="Normal 8 6" xfId="8599"/>
    <cellStyle name="Normal 8 7" xfId="8600"/>
    <cellStyle name="Normal 8 8" xfId="8601"/>
    <cellStyle name="Normal 8 9" xfId="8602"/>
    <cellStyle name="Normal 9" xfId="258"/>
    <cellStyle name="Normal 9 10" xfId="8603"/>
    <cellStyle name="Normal 9 11" xfId="8604"/>
    <cellStyle name="Normal 9 12" xfId="8605"/>
    <cellStyle name="Normal 9 13" xfId="8606"/>
    <cellStyle name="Normal 9 14" xfId="8607"/>
    <cellStyle name="Normal 9 15" xfId="8608"/>
    <cellStyle name="Normal 9 16" xfId="8609"/>
    <cellStyle name="Normal 9 17" xfId="8610"/>
    <cellStyle name="Normal 9 18" xfId="8611"/>
    <cellStyle name="Normal 9 19" xfId="8612"/>
    <cellStyle name="Normal 9 2" xfId="8613"/>
    <cellStyle name="Normal 9 20" xfId="8614"/>
    <cellStyle name="Normal 9 21" xfId="8615"/>
    <cellStyle name="Normal 9 22" xfId="8616"/>
    <cellStyle name="Normal 9 23" xfId="8617"/>
    <cellStyle name="Normal 9 24" xfId="8618"/>
    <cellStyle name="Normal 9 25" xfId="8619"/>
    <cellStyle name="Normal 9 26" xfId="8620"/>
    <cellStyle name="Normal 9 27" xfId="8621"/>
    <cellStyle name="Normal 9 28" xfId="8622"/>
    <cellStyle name="Normal 9 29" xfId="8623"/>
    <cellStyle name="Normal 9 3" xfId="8624"/>
    <cellStyle name="Normal 9 30" xfId="8625"/>
    <cellStyle name="Normal 9 4" xfId="8626"/>
    <cellStyle name="Normal 9 5" xfId="8627"/>
    <cellStyle name="Normal 9 6" xfId="8628"/>
    <cellStyle name="Normal 9 7" xfId="8629"/>
    <cellStyle name="Normal 9 8" xfId="8630"/>
    <cellStyle name="Normal 9 9" xfId="8631"/>
    <cellStyle name="Note" xfId="17" builtinId="10" customBuiltin="1"/>
    <cellStyle name="Note 10" xfId="8632"/>
    <cellStyle name="Note 11" xfId="8633"/>
    <cellStyle name="Note 12" xfId="8634"/>
    <cellStyle name="Note 13" xfId="8635"/>
    <cellStyle name="Note 14" xfId="8636"/>
    <cellStyle name="Note 15" xfId="8637"/>
    <cellStyle name="Note 16" xfId="8638"/>
    <cellStyle name="Note 17" xfId="8639"/>
    <cellStyle name="Note 18" xfId="8640"/>
    <cellStyle name="Note 19" xfId="8641"/>
    <cellStyle name="Note 2" xfId="8642"/>
    <cellStyle name="Note 2 2" xfId="8643"/>
    <cellStyle name="Note 2 3" xfId="8644"/>
    <cellStyle name="Note 2 4" xfId="8645"/>
    <cellStyle name="Note 2 5" xfId="8646"/>
    <cellStyle name="Note 20" xfId="8647"/>
    <cellStyle name="Note 3" xfId="8648"/>
    <cellStyle name="Note 3 2" xfId="8649"/>
    <cellStyle name="Note 3 3" xfId="8650"/>
    <cellStyle name="Note 3 4" xfId="8651"/>
    <cellStyle name="Note 3 5" xfId="8652"/>
    <cellStyle name="Note 4" xfId="8653"/>
    <cellStyle name="Note 4 2" xfId="8654"/>
    <cellStyle name="Note 4 3" xfId="8655"/>
    <cellStyle name="Note 4 4" xfId="8656"/>
    <cellStyle name="Note 4 5" xfId="8657"/>
    <cellStyle name="Note 5" xfId="8658"/>
    <cellStyle name="Note 5 2" xfId="8659"/>
    <cellStyle name="Note 5 3" xfId="8660"/>
    <cellStyle name="Note 5 4" xfId="8661"/>
    <cellStyle name="Note 5 5" xfId="8662"/>
    <cellStyle name="Note 6" xfId="8663"/>
    <cellStyle name="Note 6 2" xfId="8664"/>
    <cellStyle name="Note 6 3" xfId="8665"/>
    <cellStyle name="Note 6 4" xfId="8666"/>
    <cellStyle name="Note 6 5" xfId="8667"/>
    <cellStyle name="Note 7" xfId="8668"/>
    <cellStyle name="Note 7 2" xfId="8669"/>
    <cellStyle name="Note 7 3" xfId="8670"/>
    <cellStyle name="Note 7 4" xfId="8671"/>
    <cellStyle name="Note 7 5" xfId="8672"/>
    <cellStyle name="Note 8" xfId="8673"/>
    <cellStyle name="Note 8 2" xfId="8674"/>
    <cellStyle name="Note 8 3" xfId="8675"/>
    <cellStyle name="Note 8 4" xfId="8676"/>
    <cellStyle name="Note 8 5" xfId="8677"/>
    <cellStyle name="Note 9" xfId="8678"/>
    <cellStyle name="Output" xfId="12" builtinId="21" customBuiltin="1"/>
    <cellStyle name="Percent" xfId="2" builtinId="5"/>
    <cellStyle name="Percent 2" xfId="45"/>
    <cellStyle name="Percent 2 10" xfId="8679"/>
    <cellStyle name="Percent 2 10 10" xfId="8680"/>
    <cellStyle name="Percent 2 10 10 2" xfId="8681"/>
    <cellStyle name="Percent 2 10 10 3" xfId="8682"/>
    <cellStyle name="Percent 2 10 10 4" xfId="8683"/>
    <cellStyle name="Percent 2 10 10 5" xfId="8684"/>
    <cellStyle name="Percent 2 10 11" xfId="8685"/>
    <cellStyle name="Percent 2 10 11 2" xfId="8686"/>
    <cellStyle name="Percent 2 10 11 3" xfId="8687"/>
    <cellStyle name="Percent 2 10 11 4" xfId="8688"/>
    <cellStyle name="Percent 2 10 11 5" xfId="8689"/>
    <cellStyle name="Percent 2 10 12" xfId="8690"/>
    <cellStyle name="Percent 2 10 12 2" xfId="8691"/>
    <cellStyle name="Percent 2 10 12 3" xfId="8692"/>
    <cellStyle name="Percent 2 10 12 4" xfId="8693"/>
    <cellStyle name="Percent 2 10 12 5" xfId="8694"/>
    <cellStyle name="Percent 2 10 13" xfId="8695"/>
    <cellStyle name="Percent 2 10 13 2" xfId="8696"/>
    <cellStyle name="Percent 2 10 13 3" xfId="8697"/>
    <cellStyle name="Percent 2 10 13 4" xfId="8698"/>
    <cellStyle name="Percent 2 10 13 5" xfId="8699"/>
    <cellStyle name="Percent 2 10 14" xfId="8700"/>
    <cellStyle name="Percent 2 10 14 2" xfId="8701"/>
    <cellStyle name="Percent 2 10 14 3" xfId="8702"/>
    <cellStyle name="Percent 2 10 14 4" xfId="8703"/>
    <cellStyle name="Percent 2 10 14 5" xfId="8704"/>
    <cellStyle name="Percent 2 10 15" xfId="8705"/>
    <cellStyle name="Percent 2 10 15 2" xfId="8706"/>
    <cellStyle name="Percent 2 10 15 3" xfId="8707"/>
    <cellStyle name="Percent 2 10 15 4" xfId="8708"/>
    <cellStyle name="Percent 2 10 15 5" xfId="8709"/>
    <cellStyle name="Percent 2 10 16" xfId="8710"/>
    <cellStyle name="Percent 2 10 16 2" xfId="8711"/>
    <cellStyle name="Percent 2 10 16 3" xfId="8712"/>
    <cellStyle name="Percent 2 10 16 4" xfId="8713"/>
    <cellStyle name="Percent 2 10 16 5" xfId="8714"/>
    <cellStyle name="Percent 2 10 17" xfId="8715"/>
    <cellStyle name="Percent 2 10 17 2" xfId="8716"/>
    <cellStyle name="Percent 2 10 17 3" xfId="8717"/>
    <cellStyle name="Percent 2 10 17 4" xfId="8718"/>
    <cellStyle name="Percent 2 10 17 5" xfId="8719"/>
    <cellStyle name="Percent 2 10 18" xfId="8720"/>
    <cellStyle name="Percent 2 10 18 2" xfId="8721"/>
    <cellStyle name="Percent 2 10 18 3" xfId="8722"/>
    <cellStyle name="Percent 2 10 18 4" xfId="8723"/>
    <cellStyle name="Percent 2 10 18 5" xfId="8724"/>
    <cellStyle name="Percent 2 10 19" xfId="8725"/>
    <cellStyle name="Percent 2 10 19 2" xfId="8726"/>
    <cellStyle name="Percent 2 10 19 3" xfId="8727"/>
    <cellStyle name="Percent 2 10 19 4" xfId="8728"/>
    <cellStyle name="Percent 2 10 19 5" xfId="8729"/>
    <cellStyle name="Percent 2 10 2" xfId="8730"/>
    <cellStyle name="Percent 2 10 2 2" xfId="8731"/>
    <cellStyle name="Percent 2 10 2 3" xfId="8732"/>
    <cellStyle name="Percent 2 10 2 4" xfId="8733"/>
    <cellStyle name="Percent 2 10 2 5" xfId="8734"/>
    <cellStyle name="Percent 2 10 20" xfId="8735"/>
    <cellStyle name="Percent 2 10 20 2" xfId="8736"/>
    <cellStyle name="Percent 2 10 20 3" xfId="8737"/>
    <cellStyle name="Percent 2 10 20 4" xfId="8738"/>
    <cellStyle name="Percent 2 10 20 5" xfId="8739"/>
    <cellStyle name="Percent 2 10 21" xfId="8740"/>
    <cellStyle name="Percent 2 10 21 2" xfId="8741"/>
    <cellStyle name="Percent 2 10 21 3" xfId="8742"/>
    <cellStyle name="Percent 2 10 21 4" xfId="8743"/>
    <cellStyle name="Percent 2 10 21 5" xfId="8744"/>
    <cellStyle name="Percent 2 10 22" xfId="8745"/>
    <cellStyle name="Percent 2 10 22 2" xfId="8746"/>
    <cellStyle name="Percent 2 10 22 3" xfId="8747"/>
    <cellStyle name="Percent 2 10 22 4" xfId="8748"/>
    <cellStyle name="Percent 2 10 22 5" xfId="8749"/>
    <cellStyle name="Percent 2 10 23" xfId="8750"/>
    <cellStyle name="Percent 2 10 23 2" xfId="8751"/>
    <cellStyle name="Percent 2 10 23 3" xfId="8752"/>
    <cellStyle name="Percent 2 10 23 4" xfId="8753"/>
    <cellStyle name="Percent 2 10 23 5" xfId="8754"/>
    <cellStyle name="Percent 2 10 24" xfId="8755"/>
    <cellStyle name="Percent 2 10 24 2" xfId="8756"/>
    <cellStyle name="Percent 2 10 24 3" xfId="8757"/>
    <cellStyle name="Percent 2 10 24 4" xfId="8758"/>
    <cellStyle name="Percent 2 10 24 5" xfId="8759"/>
    <cellStyle name="Percent 2 10 25" xfId="8760"/>
    <cellStyle name="Percent 2 10 25 2" xfId="8761"/>
    <cellStyle name="Percent 2 10 25 3" xfId="8762"/>
    <cellStyle name="Percent 2 10 25 4" xfId="8763"/>
    <cellStyle name="Percent 2 10 25 5" xfId="8764"/>
    <cellStyle name="Percent 2 10 26" xfId="8765"/>
    <cellStyle name="Percent 2 10 26 2" xfId="8766"/>
    <cellStyle name="Percent 2 10 26 3" xfId="8767"/>
    <cellStyle name="Percent 2 10 26 4" xfId="8768"/>
    <cellStyle name="Percent 2 10 26 5" xfId="8769"/>
    <cellStyle name="Percent 2 10 27" xfId="8770"/>
    <cellStyle name="Percent 2 10 27 2" xfId="8771"/>
    <cellStyle name="Percent 2 10 27 3" xfId="8772"/>
    <cellStyle name="Percent 2 10 27 4" xfId="8773"/>
    <cellStyle name="Percent 2 10 27 5" xfId="8774"/>
    <cellStyle name="Percent 2 10 28" xfId="8775"/>
    <cellStyle name="Percent 2 10 28 2" xfId="8776"/>
    <cellStyle name="Percent 2 10 28 3" xfId="8777"/>
    <cellStyle name="Percent 2 10 28 4" xfId="8778"/>
    <cellStyle name="Percent 2 10 28 5" xfId="8779"/>
    <cellStyle name="Percent 2 10 29" xfId="8780"/>
    <cellStyle name="Percent 2 10 29 2" xfId="8781"/>
    <cellStyle name="Percent 2 10 29 3" xfId="8782"/>
    <cellStyle name="Percent 2 10 29 4" xfId="8783"/>
    <cellStyle name="Percent 2 10 29 5" xfId="8784"/>
    <cellStyle name="Percent 2 10 3" xfId="8785"/>
    <cellStyle name="Percent 2 10 3 2" xfId="8786"/>
    <cellStyle name="Percent 2 10 3 3" xfId="8787"/>
    <cellStyle name="Percent 2 10 3 4" xfId="8788"/>
    <cellStyle name="Percent 2 10 3 5" xfId="8789"/>
    <cellStyle name="Percent 2 10 30" xfId="8790"/>
    <cellStyle name="Percent 2 10 30 2" xfId="8791"/>
    <cellStyle name="Percent 2 10 30 3" xfId="8792"/>
    <cellStyle name="Percent 2 10 30 4" xfId="8793"/>
    <cellStyle name="Percent 2 10 30 5" xfId="8794"/>
    <cellStyle name="Percent 2 10 31" xfId="8795"/>
    <cellStyle name="Percent 2 10 32" xfId="8796"/>
    <cellStyle name="Percent 2 10 33" xfId="8797"/>
    <cellStyle name="Percent 2 10 34" xfId="8798"/>
    <cellStyle name="Percent 2 10 35" xfId="8799"/>
    <cellStyle name="Percent 2 10 35 2" xfId="12409"/>
    <cellStyle name="Percent 2 10 36" xfId="8800"/>
    <cellStyle name="Percent 2 10 36 2" xfId="12410"/>
    <cellStyle name="Percent 2 10 37" xfId="8801"/>
    <cellStyle name="Percent 2 10 37 2" xfId="12411"/>
    <cellStyle name="Percent 2 10 38" xfId="8802"/>
    <cellStyle name="Percent 2 10 38 2" xfId="12412"/>
    <cellStyle name="Percent 2 10 39" xfId="8803"/>
    <cellStyle name="Percent 2 10 39 2" xfId="12413"/>
    <cellStyle name="Percent 2 10 4" xfId="8804"/>
    <cellStyle name="Percent 2 10 4 2" xfId="8805"/>
    <cellStyle name="Percent 2 10 4 3" xfId="8806"/>
    <cellStyle name="Percent 2 10 4 4" xfId="8807"/>
    <cellStyle name="Percent 2 10 4 5" xfId="8808"/>
    <cellStyle name="Percent 2 10 40" xfId="8809"/>
    <cellStyle name="Percent 2 10 40 2" xfId="12414"/>
    <cellStyle name="Percent 2 10 41" xfId="8810"/>
    <cellStyle name="Percent 2 10 41 2" xfId="12415"/>
    <cellStyle name="Percent 2 10 42" xfId="8811"/>
    <cellStyle name="Percent 2 10 42 2" xfId="12416"/>
    <cellStyle name="Percent 2 10 43" xfId="8812"/>
    <cellStyle name="Percent 2 10 43 2" xfId="12417"/>
    <cellStyle name="Percent 2 10 44" xfId="8813"/>
    <cellStyle name="Percent 2 10 44 2" xfId="12418"/>
    <cellStyle name="Percent 2 10 45" xfId="8814"/>
    <cellStyle name="Percent 2 10 45 2" xfId="12419"/>
    <cellStyle name="Percent 2 10 46" xfId="8815"/>
    <cellStyle name="Percent 2 10 46 2" xfId="12420"/>
    <cellStyle name="Percent 2 10 47" xfId="12408"/>
    <cellStyle name="Percent 2 10 5" xfId="8816"/>
    <cellStyle name="Percent 2 10 5 2" xfId="8817"/>
    <cellStyle name="Percent 2 10 5 3" xfId="8818"/>
    <cellStyle name="Percent 2 10 5 4" xfId="8819"/>
    <cellStyle name="Percent 2 10 5 5" xfId="8820"/>
    <cellStyle name="Percent 2 10 6" xfId="8821"/>
    <cellStyle name="Percent 2 10 6 2" xfId="8822"/>
    <cellStyle name="Percent 2 10 6 3" xfId="8823"/>
    <cellStyle name="Percent 2 10 6 4" xfId="8824"/>
    <cellStyle name="Percent 2 10 6 5" xfId="8825"/>
    <cellStyle name="Percent 2 10 7" xfId="8826"/>
    <cellStyle name="Percent 2 10 7 2" xfId="8827"/>
    <cellStyle name="Percent 2 10 7 3" xfId="8828"/>
    <cellStyle name="Percent 2 10 7 4" xfId="8829"/>
    <cellStyle name="Percent 2 10 7 5" xfId="8830"/>
    <cellStyle name="Percent 2 10 8" xfId="8831"/>
    <cellStyle name="Percent 2 10 8 2" xfId="8832"/>
    <cellStyle name="Percent 2 10 8 3" xfId="8833"/>
    <cellStyle name="Percent 2 10 8 4" xfId="8834"/>
    <cellStyle name="Percent 2 10 8 5" xfId="8835"/>
    <cellStyle name="Percent 2 10 9" xfId="8836"/>
    <cellStyle name="Percent 2 10 9 2" xfId="8837"/>
    <cellStyle name="Percent 2 10 9 3" xfId="8838"/>
    <cellStyle name="Percent 2 10 9 4" xfId="8839"/>
    <cellStyle name="Percent 2 10 9 5" xfId="8840"/>
    <cellStyle name="Percent 2 11" xfId="8841"/>
    <cellStyle name="Percent 2 11 10" xfId="8842"/>
    <cellStyle name="Percent 2 11 10 2" xfId="8843"/>
    <cellStyle name="Percent 2 11 10 3" xfId="8844"/>
    <cellStyle name="Percent 2 11 10 4" xfId="8845"/>
    <cellStyle name="Percent 2 11 10 5" xfId="8846"/>
    <cellStyle name="Percent 2 11 11" xfId="8847"/>
    <cellStyle name="Percent 2 11 11 2" xfId="8848"/>
    <cellStyle name="Percent 2 11 11 3" xfId="8849"/>
    <cellStyle name="Percent 2 11 11 4" xfId="8850"/>
    <cellStyle name="Percent 2 11 11 5" xfId="8851"/>
    <cellStyle name="Percent 2 11 12" xfId="8852"/>
    <cellStyle name="Percent 2 11 12 2" xfId="8853"/>
    <cellStyle name="Percent 2 11 12 3" xfId="8854"/>
    <cellStyle name="Percent 2 11 12 4" xfId="8855"/>
    <cellStyle name="Percent 2 11 12 5" xfId="8856"/>
    <cellStyle name="Percent 2 11 13" xfId="8857"/>
    <cellStyle name="Percent 2 11 13 2" xfId="8858"/>
    <cellStyle name="Percent 2 11 13 3" xfId="8859"/>
    <cellStyle name="Percent 2 11 13 4" xfId="8860"/>
    <cellStyle name="Percent 2 11 13 5" xfId="8861"/>
    <cellStyle name="Percent 2 11 14" xfId="8862"/>
    <cellStyle name="Percent 2 11 14 2" xfId="8863"/>
    <cellStyle name="Percent 2 11 14 3" xfId="8864"/>
    <cellStyle name="Percent 2 11 14 4" xfId="8865"/>
    <cellStyle name="Percent 2 11 14 5" xfId="8866"/>
    <cellStyle name="Percent 2 11 15" xfId="8867"/>
    <cellStyle name="Percent 2 11 15 2" xfId="8868"/>
    <cellStyle name="Percent 2 11 15 3" xfId="8869"/>
    <cellStyle name="Percent 2 11 15 4" xfId="8870"/>
    <cellStyle name="Percent 2 11 15 5" xfId="8871"/>
    <cellStyle name="Percent 2 11 16" xfId="8872"/>
    <cellStyle name="Percent 2 11 16 2" xfId="8873"/>
    <cellStyle name="Percent 2 11 16 3" xfId="8874"/>
    <cellStyle name="Percent 2 11 16 4" xfId="8875"/>
    <cellStyle name="Percent 2 11 16 5" xfId="8876"/>
    <cellStyle name="Percent 2 11 17" xfId="8877"/>
    <cellStyle name="Percent 2 11 17 2" xfId="8878"/>
    <cellStyle name="Percent 2 11 17 3" xfId="8879"/>
    <cellStyle name="Percent 2 11 17 4" xfId="8880"/>
    <cellStyle name="Percent 2 11 17 5" xfId="8881"/>
    <cellStyle name="Percent 2 11 18" xfId="8882"/>
    <cellStyle name="Percent 2 11 18 2" xfId="8883"/>
    <cellStyle name="Percent 2 11 18 3" xfId="8884"/>
    <cellStyle name="Percent 2 11 18 4" xfId="8885"/>
    <cellStyle name="Percent 2 11 18 5" xfId="8886"/>
    <cellStyle name="Percent 2 11 19" xfId="8887"/>
    <cellStyle name="Percent 2 11 19 2" xfId="8888"/>
    <cellStyle name="Percent 2 11 19 3" xfId="8889"/>
    <cellStyle name="Percent 2 11 19 4" xfId="8890"/>
    <cellStyle name="Percent 2 11 19 5" xfId="8891"/>
    <cellStyle name="Percent 2 11 2" xfId="8892"/>
    <cellStyle name="Percent 2 11 2 2" xfId="8893"/>
    <cellStyle name="Percent 2 11 2 3" xfId="8894"/>
    <cellStyle name="Percent 2 11 2 4" xfId="8895"/>
    <cellStyle name="Percent 2 11 2 5" xfId="8896"/>
    <cellStyle name="Percent 2 11 20" xfId="8897"/>
    <cellStyle name="Percent 2 11 20 2" xfId="8898"/>
    <cellStyle name="Percent 2 11 20 3" xfId="8899"/>
    <cellStyle name="Percent 2 11 20 4" xfId="8900"/>
    <cellStyle name="Percent 2 11 20 5" xfId="8901"/>
    <cellStyle name="Percent 2 11 21" xfId="8902"/>
    <cellStyle name="Percent 2 11 21 2" xfId="8903"/>
    <cellStyle name="Percent 2 11 21 3" xfId="8904"/>
    <cellStyle name="Percent 2 11 21 4" xfId="8905"/>
    <cellStyle name="Percent 2 11 21 5" xfId="8906"/>
    <cellStyle name="Percent 2 11 22" xfId="8907"/>
    <cellStyle name="Percent 2 11 22 2" xfId="8908"/>
    <cellStyle name="Percent 2 11 22 3" xfId="8909"/>
    <cellStyle name="Percent 2 11 22 4" xfId="8910"/>
    <cellStyle name="Percent 2 11 22 5" xfId="8911"/>
    <cellStyle name="Percent 2 11 23" xfId="8912"/>
    <cellStyle name="Percent 2 11 23 2" xfId="8913"/>
    <cellStyle name="Percent 2 11 23 3" xfId="8914"/>
    <cellStyle name="Percent 2 11 23 4" xfId="8915"/>
    <cellStyle name="Percent 2 11 23 5" xfId="8916"/>
    <cellStyle name="Percent 2 11 24" xfId="8917"/>
    <cellStyle name="Percent 2 11 24 2" xfId="8918"/>
    <cellStyle name="Percent 2 11 24 3" xfId="8919"/>
    <cellStyle name="Percent 2 11 24 4" xfId="8920"/>
    <cellStyle name="Percent 2 11 24 5" xfId="8921"/>
    <cellStyle name="Percent 2 11 25" xfId="8922"/>
    <cellStyle name="Percent 2 11 25 2" xfId="8923"/>
    <cellStyle name="Percent 2 11 25 3" xfId="8924"/>
    <cellStyle name="Percent 2 11 25 4" xfId="8925"/>
    <cellStyle name="Percent 2 11 25 5" xfId="8926"/>
    <cellStyle name="Percent 2 11 26" xfId="8927"/>
    <cellStyle name="Percent 2 11 26 2" xfId="8928"/>
    <cellStyle name="Percent 2 11 26 3" xfId="8929"/>
    <cellStyle name="Percent 2 11 26 4" xfId="8930"/>
    <cellStyle name="Percent 2 11 26 5" xfId="8931"/>
    <cellStyle name="Percent 2 11 27" xfId="8932"/>
    <cellStyle name="Percent 2 11 27 2" xfId="8933"/>
    <cellStyle name="Percent 2 11 27 3" xfId="8934"/>
    <cellStyle name="Percent 2 11 27 4" xfId="8935"/>
    <cellStyle name="Percent 2 11 27 5" xfId="8936"/>
    <cellStyle name="Percent 2 11 28" xfId="8937"/>
    <cellStyle name="Percent 2 11 28 2" xfId="8938"/>
    <cellStyle name="Percent 2 11 28 3" xfId="8939"/>
    <cellStyle name="Percent 2 11 28 4" xfId="8940"/>
    <cellStyle name="Percent 2 11 28 5" xfId="8941"/>
    <cellStyle name="Percent 2 11 29" xfId="8942"/>
    <cellStyle name="Percent 2 11 29 2" xfId="8943"/>
    <cellStyle name="Percent 2 11 29 3" xfId="8944"/>
    <cellStyle name="Percent 2 11 29 4" xfId="8945"/>
    <cellStyle name="Percent 2 11 29 5" xfId="8946"/>
    <cellStyle name="Percent 2 11 3" xfId="8947"/>
    <cellStyle name="Percent 2 11 3 2" xfId="8948"/>
    <cellStyle name="Percent 2 11 3 3" xfId="8949"/>
    <cellStyle name="Percent 2 11 3 4" xfId="8950"/>
    <cellStyle name="Percent 2 11 3 5" xfId="8951"/>
    <cellStyle name="Percent 2 11 30" xfId="8952"/>
    <cellStyle name="Percent 2 11 30 2" xfId="8953"/>
    <cellStyle name="Percent 2 11 30 3" xfId="8954"/>
    <cellStyle name="Percent 2 11 30 4" xfId="8955"/>
    <cellStyle name="Percent 2 11 30 5" xfId="8956"/>
    <cellStyle name="Percent 2 11 31" xfId="8957"/>
    <cellStyle name="Percent 2 11 32" xfId="8958"/>
    <cellStyle name="Percent 2 11 33" xfId="8959"/>
    <cellStyle name="Percent 2 11 34" xfId="8960"/>
    <cellStyle name="Percent 2 11 35" xfId="8961"/>
    <cellStyle name="Percent 2 11 35 2" xfId="12422"/>
    <cellStyle name="Percent 2 11 36" xfId="8962"/>
    <cellStyle name="Percent 2 11 36 2" xfId="12423"/>
    <cellStyle name="Percent 2 11 37" xfId="8963"/>
    <cellStyle name="Percent 2 11 37 2" xfId="12424"/>
    <cellStyle name="Percent 2 11 38" xfId="8964"/>
    <cellStyle name="Percent 2 11 38 2" xfId="12425"/>
    <cellStyle name="Percent 2 11 39" xfId="8965"/>
    <cellStyle name="Percent 2 11 39 2" xfId="12426"/>
    <cellStyle name="Percent 2 11 4" xfId="8966"/>
    <cellStyle name="Percent 2 11 4 2" xfId="8967"/>
    <cellStyle name="Percent 2 11 4 3" xfId="8968"/>
    <cellStyle name="Percent 2 11 4 4" xfId="8969"/>
    <cellStyle name="Percent 2 11 4 5" xfId="8970"/>
    <cellStyle name="Percent 2 11 40" xfId="8971"/>
    <cellStyle name="Percent 2 11 40 2" xfId="12427"/>
    <cellStyle name="Percent 2 11 41" xfId="8972"/>
    <cellStyle name="Percent 2 11 41 2" xfId="12428"/>
    <cellStyle name="Percent 2 11 42" xfId="8973"/>
    <cellStyle name="Percent 2 11 42 2" xfId="12429"/>
    <cellStyle name="Percent 2 11 43" xfId="8974"/>
    <cellStyle name="Percent 2 11 43 2" xfId="12430"/>
    <cellStyle name="Percent 2 11 44" xfId="8975"/>
    <cellStyle name="Percent 2 11 44 2" xfId="12431"/>
    <cellStyle name="Percent 2 11 45" xfId="8976"/>
    <cellStyle name="Percent 2 11 45 2" xfId="12432"/>
    <cellStyle name="Percent 2 11 46" xfId="8977"/>
    <cellStyle name="Percent 2 11 46 2" xfId="12433"/>
    <cellStyle name="Percent 2 11 47" xfId="12421"/>
    <cellStyle name="Percent 2 11 5" xfId="8978"/>
    <cellStyle name="Percent 2 11 5 2" xfId="8979"/>
    <cellStyle name="Percent 2 11 5 3" xfId="8980"/>
    <cellStyle name="Percent 2 11 5 4" xfId="8981"/>
    <cellStyle name="Percent 2 11 5 5" xfId="8982"/>
    <cellStyle name="Percent 2 11 6" xfId="8983"/>
    <cellStyle name="Percent 2 11 6 2" xfId="8984"/>
    <cellStyle name="Percent 2 11 6 3" xfId="8985"/>
    <cellStyle name="Percent 2 11 6 4" xfId="8986"/>
    <cellStyle name="Percent 2 11 6 5" xfId="8987"/>
    <cellStyle name="Percent 2 11 7" xfId="8988"/>
    <cellStyle name="Percent 2 11 7 2" xfId="8989"/>
    <cellStyle name="Percent 2 11 7 3" xfId="8990"/>
    <cellStyle name="Percent 2 11 7 4" xfId="8991"/>
    <cellStyle name="Percent 2 11 7 5" xfId="8992"/>
    <cellStyle name="Percent 2 11 8" xfId="8993"/>
    <cellStyle name="Percent 2 11 8 2" xfId="8994"/>
    <cellStyle name="Percent 2 11 8 3" xfId="8995"/>
    <cellStyle name="Percent 2 11 8 4" xfId="8996"/>
    <cellStyle name="Percent 2 11 8 5" xfId="8997"/>
    <cellStyle name="Percent 2 11 9" xfId="8998"/>
    <cellStyle name="Percent 2 11 9 2" xfId="8999"/>
    <cellStyle name="Percent 2 11 9 3" xfId="9000"/>
    <cellStyle name="Percent 2 11 9 4" xfId="9001"/>
    <cellStyle name="Percent 2 11 9 5" xfId="9002"/>
    <cellStyle name="Percent 2 12" xfId="9003"/>
    <cellStyle name="Percent 2 12 2" xfId="9004"/>
    <cellStyle name="Percent 2 12 3" xfId="9005"/>
    <cellStyle name="Percent 2 12 4" xfId="9006"/>
    <cellStyle name="Percent 2 12 5" xfId="9007"/>
    <cellStyle name="Percent 2 12 6" xfId="9008"/>
    <cellStyle name="Percent 2 12 7" xfId="9009"/>
    <cellStyle name="Percent 2 12 8" xfId="9010"/>
    <cellStyle name="Percent 2 12 9" xfId="12434"/>
    <cellStyle name="Percent 2 13" xfId="9011"/>
    <cellStyle name="Percent 2 13 2" xfId="12435"/>
    <cellStyle name="Percent 2 14" xfId="9012"/>
    <cellStyle name="Percent 2 14 2" xfId="12436"/>
    <cellStyle name="Percent 2 15" xfId="9013"/>
    <cellStyle name="Percent 2 15 2" xfId="12437"/>
    <cellStyle name="Percent 2 16" xfId="9014"/>
    <cellStyle name="Percent 2 16 2" xfId="12438"/>
    <cellStyle name="Percent 2 17" xfId="9015"/>
    <cellStyle name="Percent 2 17 2" xfId="12439"/>
    <cellStyle name="Percent 2 18" xfId="9016"/>
    <cellStyle name="Percent 2 18 2" xfId="12440"/>
    <cellStyle name="Percent 2 19" xfId="9017"/>
    <cellStyle name="Percent 2 19 10" xfId="9018"/>
    <cellStyle name="Percent 2 19 10 2" xfId="12442"/>
    <cellStyle name="Percent 2 19 11" xfId="9019"/>
    <cellStyle name="Percent 2 19 11 2" xfId="12443"/>
    <cellStyle name="Percent 2 19 12" xfId="9020"/>
    <cellStyle name="Percent 2 19 12 2" xfId="12444"/>
    <cellStyle name="Percent 2 19 13" xfId="9021"/>
    <cellStyle name="Percent 2 19 13 2" xfId="12445"/>
    <cellStyle name="Percent 2 19 14" xfId="12441"/>
    <cellStyle name="Percent 2 19 2" xfId="9022"/>
    <cellStyle name="Percent 2 19 2 2" xfId="12446"/>
    <cellStyle name="Percent 2 19 3" xfId="9023"/>
    <cellStyle name="Percent 2 19 3 2" xfId="12447"/>
    <cellStyle name="Percent 2 19 4" xfId="9024"/>
    <cellStyle name="Percent 2 19 4 2" xfId="12448"/>
    <cellStyle name="Percent 2 19 5" xfId="9025"/>
    <cellStyle name="Percent 2 19 5 2" xfId="12449"/>
    <cellStyle name="Percent 2 19 6" xfId="9026"/>
    <cellStyle name="Percent 2 19 6 2" xfId="12450"/>
    <cellStyle name="Percent 2 19 7" xfId="9027"/>
    <cellStyle name="Percent 2 19 7 2" xfId="12451"/>
    <cellStyle name="Percent 2 19 8" xfId="9028"/>
    <cellStyle name="Percent 2 19 8 2" xfId="12452"/>
    <cellStyle name="Percent 2 19 9" xfId="9029"/>
    <cellStyle name="Percent 2 19 9 2" xfId="12453"/>
    <cellStyle name="Percent 2 2" xfId="9030"/>
    <cellStyle name="Percent 2 2 10" xfId="9031"/>
    <cellStyle name="Percent 2 2 10 2" xfId="12454"/>
    <cellStyle name="Percent 2 2 11" xfId="9032"/>
    <cellStyle name="Percent 2 2 11 2" xfId="12455"/>
    <cellStyle name="Percent 2 2 12" xfId="9033"/>
    <cellStyle name="Percent 2 2 13" xfId="9034"/>
    <cellStyle name="Percent 2 2 14" xfId="9035"/>
    <cellStyle name="Percent 2 2 15" xfId="9036"/>
    <cellStyle name="Percent 2 2 16" xfId="9037"/>
    <cellStyle name="Percent 2 2 17" xfId="9038"/>
    <cellStyle name="Percent 2 2 18" xfId="9039"/>
    <cellStyle name="Percent 2 2 19" xfId="9040"/>
    <cellStyle name="Percent 2 2 2" xfId="9041"/>
    <cellStyle name="Percent 2 2 2 10" xfId="9042"/>
    <cellStyle name="Percent 2 2 2 10 2" xfId="9043"/>
    <cellStyle name="Percent 2 2 2 10 3" xfId="9044"/>
    <cellStyle name="Percent 2 2 2 10 4" xfId="9045"/>
    <cellStyle name="Percent 2 2 2 10 5" xfId="9046"/>
    <cellStyle name="Percent 2 2 2 11" xfId="9047"/>
    <cellStyle name="Percent 2 2 2 11 2" xfId="9048"/>
    <cellStyle name="Percent 2 2 2 11 3" xfId="9049"/>
    <cellStyle name="Percent 2 2 2 11 4" xfId="9050"/>
    <cellStyle name="Percent 2 2 2 11 5" xfId="9051"/>
    <cellStyle name="Percent 2 2 2 12" xfId="9052"/>
    <cellStyle name="Percent 2 2 2 12 2" xfId="9053"/>
    <cellStyle name="Percent 2 2 2 12 3" xfId="9054"/>
    <cellStyle name="Percent 2 2 2 12 4" xfId="9055"/>
    <cellStyle name="Percent 2 2 2 12 5" xfId="9056"/>
    <cellStyle name="Percent 2 2 2 13" xfId="9057"/>
    <cellStyle name="Percent 2 2 2 13 2" xfId="9058"/>
    <cellStyle name="Percent 2 2 2 13 3" xfId="9059"/>
    <cellStyle name="Percent 2 2 2 13 4" xfId="9060"/>
    <cellStyle name="Percent 2 2 2 13 5" xfId="9061"/>
    <cellStyle name="Percent 2 2 2 14" xfId="9062"/>
    <cellStyle name="Percent 2 2 2 14 2" xfId="9063"/>
    <cellStyle name="Percent 2 2 2 14 3" xfId="9064"/>
    <cellStyle name="Percent 2 2 2 14 4" xfId="9065"/>
    <cellStyle name="Percent 2 2 2 14 5" xfId="9066"/>
    <cellStyle name="Percent 2 2 2 15" xfId="9067"/>
    <cellStyle name="Percent 2 2 2 15 2" xfId="9068"/>
    <cellStyle name="Percent 2 2 2 15 3" xfId="9069"/>
    <cellStyle name="Percent 2 2 2 15 4" xfId="9070"/>
    <cellStyle name="Percent 2 2 2 15 5" xfId="9071"/>
    <cellStyle name="Percent 2 2 2 16" xfId="9072"/>
    <cellStyle name="Percent 2 2 2 16 2" xfId="9073"/>
    <cellStyle name="Percent 2 2 2 16 3" xfId="9074"/>
    <cellStyle name="Percent 2 2 2 16 4" xfId="9075"/>
    <cellStyle name="Percent 2 2 2 16 5" xfId="9076"/>
    <cellStyle name="Percent 2 2 2 17" xfId="9077"/>
    <cellStyle name="Percent 2 2 2 17 2" xfId="9078"/>
    <cellStyle name="Percent 2 2 2 17 3" xfId="9079"/>
    <cellStyle name="Percent 2 2 2 17 4" xfId="9080"/>
    <cellStyle name="Percent 2 2 2 17 5" xfId="9081"/>
    <cellStyle name="Percent 2 2 2 18" xfId="9082"/>
    <cellStyle name="Percent 2 2 2 18 2" xfId="9083"/>
    <cellStyle name="Percent 2 2 2 18 3" xfId="9084"/>
    <cellStyle name="Percent 2 2 2 18 4" xfId="9085"/>
    <cellStyle name="Percent 2 2 2 18 5" xfId="9086"/>
    <cellStyle name="Percent 2 2 2 19" xfId="9087"/>
    <cellStyle name="Percent 2 2 2 19 2" xfId="9088"/>
    <cellStyle name="Percent 2 2 2 19 3" xfId="9089"/>
    <cellStyle name="Percent 2 2 2 19 4" xfId="9090"/>
    <cellStyle name="Percent 2 2 2 19 5" xfId="9091"/>
    <cellStyle name="Percent 2 2 2 2" xfId="9092"/>
    <cellStyle name="Percent 2 2 2 2 2" xfId="12457"/>
    <cellStyle name="Percent 2 2 2 20" xfId="9093"/>
    <cellStyle name="Percent 2 2 2 20 2" xfId="9094"/>
    <cellStyle name="Percent 2 2 2 20 3" xfId="9095"/>
    <cellStyle name="Percent 2 2 2 20 4" xfId="9096"/>
    <cellStyle name="Percent 2 2 2 20 5" xfId="9097"/>
    <cellStyle name="Percent 2 2 2 21" xfId="9098"/>
    <cellStyle name="Percent 2 2 2 21 2" xfId="9099"/>
    <cellStyle name="Percent 2 2 2 21 3" xfId="9100"/>
    <cellStyle name="Percent 2 2 2 21 4" xfId="9101"/>
    <cellStyle name="Percent 2 2 2 21 5" xfId="9102"/>
    <cellStyle name="Percent 2 2 2 22" xfId="9103"/>
    <cellStyle name="Percent 2 2 2 22 2" xfId="9104"/>
    <cellStyle name="Percent 2 2 2 22 3" xfId="9105"/>
    <cellStyle name="Percent 2 2 2 22 4" xfId="9106"/>
    <cellStyle name="Percent 2 2 2 22 5" xfId="9107"/>
    <cellStyle name="Percent 2 2 2 23" xfId="9108"/>
    <cellStyle name="Percent 2 2 2 23 2" xfId="9109"/>
    <cellStyle name="Percent 2 2 2 23 3" xfId="9110"/>
    <cellStyle name="Percent 2 2 2 23 4" xfId="9111"/>
    <cellStyle name="Percent 2 2 2 23 5" xfId="9112"/>
    <cellStyle name="Percent 2 2 2 24" xfId="9113"/>
    <cellStyle name="Percent 2 2 2 24 2" xfId="9114"/>
    <cellStyle name="Percent 2 2 2 24 3" xfId="9115"/>
    <cellStyle name="Percent 2 2 2 24 4" xfId="9116"/>
    <cellStyle name="Percent 2 2 2 24 5" xfId="9117"/>
    <cellStyle name="Percent 2 2 2 25" xfId="9118"/>
    <cellStyle name="Percent 2 2 2 25 2" xfId="12458"/>
    <cellStyle name="Percent 2 2 2 26" xfId="9119"/>
    <cellStyle name="Percent 2 2 2 26 2" xfId="12459"/>
    <cellStyle name="Percent 2 2 2 27" xfId="9120"/>
    <cellStyle name="Percent 2 2 2 27 2" xfId="12460"/>
    <cellStyle name="Percent 2 2 2 28" xfId="9121"/>
    <cellStyle name="Percent 2 2 2 28 2" xfId="12461"/>
    <cellStyle name="Percent 2 2 2 29" xfId="9122"/>
    <cellStyle name="Percent 2 2 2 29 2" xfId="12462"/>
    <cellStyle name="Percent 2 2 2 3" xfId="9123"/>
    <cellStyle name="Percent 2 2 2 3 2" xfId="9124"/>
    <cellStyle name="Percent 2 2 2 3 3" xfId="9125"/>
    <cellStyle name="Percent 2 2 2 3 4" xfId="9126"/>
    <cellStyle name="Percent 2 2 2 3 5" xfId="9127"/>
    <cellStyle name="Percent 2 2 2 30" xfId="9128"/>
    <cellStyle name="Percent 2 2 2 30 2" xfId="12463"/>
    <cellStyle name="Percent 2 2 2 31" xfId="9129"/>
    <cellStyle name="Percent 2 2 2 31 2" xfId="12464"/>
    <cellStyle name="Percent 2 2 2 32" xfId="9130"/>
    <cellStyle name="Percent 2 2 2 33" xfId="9131"/>
    <cellStyle name="Percent 2 2 2 34" xfId="9132"/>
    <cellStyle name="Percent 2 2 2 35" xfId="9133"/>
    <cellStyle name="Percent 2 2 2 36" xfId="9134"/>
    <cellStyle name="Percent 2 2 2 36 2" xfId="12465"/>
    <cellStyle name="Percent 2 2 2 37" xfId="9135"/>
    <cellStyle name="Percent 2 2 2 37 2" xfId="12466"/>
    <cellStyle name="Percent 2 2 2 38" xfId="9136"/>
    <cellStyle name="Percent 2 2 2 38 2" xfId="12467"/>
    <cellStyle name="Percent 2 2 2 39" xfId="9137"/>
    <cellStyle name="Percent 2 2 2 39 2" xfId="12468"/>
    <cellStyle name="Percent 2 2 2 4" xfId="9138"/>
    <cellStyle name="Percent 2 2 2 4 2" xfId="9139"/>
    <cellStyle name="Percent 2 2 2 4 3" xfId="9140"/>
    <cellStyle name="Percent 2 2 2 4 4" xfId="9141"/>
    <cellStyle name="Percent 2 2 2 4 5" xfId="9142"/>
    <cellStyle name="Percent 2 2 2 40" xfId="9143"/>
    <cellStyle name="Percent 2 2 2 40 2" xfId="12469"/>
    <cellStyle name="Percent 2 2 2 41" xfId="9144"/>
    <cellStyle name="Percent 2 2 2 41 2" xfId="12470"/>
    <cellStyle name="Percent 2 2 2 42" xfId="9145"/>
    <cellStyle name="Percent 2 2 2 42 2" xfId="12471"/>
    <cellStyle name="Percent 2 2 2 43" xfId="9146"/>
    <cellStyle name="Percent 2 2 2 43 2" xfId="12472"/>
    <cellStyle name="Percent 2 2 2 44" xfId="9147"/>
    <cellStyle name="Percent 2 2 2 44 2" xfId="12473"/>
    <cellStyle name="Percent 2 2 2 45" xfId="9148"/>
    <cellStyle name="Percent 2 2 2 45 2" xfId="12474"/>
    <cellStyle name="Percent 2 2 2 46" xfId="9149"/>
    <cellStyle name="Percent 2 2 2 46 2" xfId="12475"/>
    <cellStyle name="Percent 2 2 2 47" xfId="9150"/>
    <cellStyle name="Percent 2 2 2 47 2" xfId="12476"/>
    <cellStyle name="Percent 2 2 2 48" xfId="12456"/>
    <cellStyle name="Percent 2 2 2 5" xfId="9151"/>
    <cellStyle name="Percent 2 2 2 5 2" xfId="9152"/>
    <cellStyle name="Percent 2 2 2 5 3" xfId="9153"/>
    <cellStyle name="Percent 2 2 2 5 4" xfId="9154"/>
    <cellStyle name="Percent 2 2 2 5 5" xfId="9155"/>
    <cellStyle name="Percent 2 2 2 6" xfId="9156"/>
    <cellStyle name="Percent 2 2 2 6 2" xfId="9157"/>
    <cellStyle name="Percent 2 2 2 6 3" xfId="9158"/>
    <cellStyle name="Percent 2 2 2 6 4" xfId="9159"/>
    <cellStyle name="Percent 2 2 2 6 5" xfId="9160"/>
    <cellStyle name="Percent 2 2 2 7" xfId="9161"/>
    <cellStyle name="Percent 2 2 2 7 2" xfId="9162"/>
    <cellStyle name="Percent 2 2 2 7 3" xfId="9163"/>
    <cellStyle name="Percent 2 2 2 7 4" xfId="9164"/>
    <cellStyle name="Percent 2 2 2 7 5" xfId="9165"/>
    <cellStyle name="Percent 2 2 2 8" xfId="9166"/>
    <cellStyle name="Percent 2 2 2 8 2" xfId="9167"/>
    <cellStyle name="Percent 2 2 2 8 3" xfId="9168"/>
    <cellStyle name="Percent 2 2 2 8 4" xfId="9169"/>
    <cellStyle name="Percent 2 2 2 8 5" xfId="9170"/>
    <cellStyle name="Percent 2 2 2 9" xfId="9171"/>
    <cellStyle name="Percent 2 2 2 9 2" xfId="9172"/>
    <cellStyle name="Percent 2 2 2 9 3" xfId="9173"/>
    <cellStyle name="Percent 2 2 2 9 4" xfId="9174"/>
    <cellStyle name="Percent 2 2 2 9 5" xfId="9175"/>
    <cellStyle name="Percent 2 2 20" xfId="9176"/>
    <cellStyle name="Percent 2 2 21" xfId="9177"/>
    <cellStyle name="Percent 2 2 22" xfId="9178"/>
    <cellStyle name="Percent 2 2 23" xfId="9179"/>
    <cellStyle name="Percent 2 2 24" xfId="9180"/>
    <cellStyle name="Percent 2 2 25" xfId="9181"/>
    <cellStyle name="Percent 2 2 26" xfId="9182"/>
    <cellStyle name="Percent 2 2 27" xfId="9183"/>
    <cellStyle name="Percent 2 2 28" xfId="9184"/>
    <cellStyle name="Percent 2 2 29" xfId="9185"/>
    <cellStyle name="Percent 2 2 3" xfId="9186"/>
    <cellStyle name="Percent 2 2 3 2" xfId="12477"/>
    <cellStyle name="Percent 2 2 30" xfId="9187"/>
    <cellStyle name="Percent 2 2 31" xfId="9188"/>
    <cellStyle name="Percent 2 2 32" xfId="9189"/>
    <cellStyle name="Percent 2 2 33" xfId="9190"/>
    <cellStyle name="Percent 2 2 34" xfId="9191"/>
    <cellStyle name="Percent 2 2 34 2" xfId="9192"/>
    <cellStyle name="Percent 2 2 34 3" xfId="9193"/>
    <cellStyle name="Percent 2 2 34 4" xfId="9194"/>
    <cellStyle name="Percent 2 2 34 5" xfId="9195"/>
    <cellStyle name="Percent 2 2 35" xfId="9196"/>
    <cellStyle name="Percent 2 2 35 2" xfId="9197"/>
    <cellStyle name="Percent 2 2 35 3" xfId="9198"/>
    <cellStyle name="Percent 2 2 35 4" xfId="9199"/>
    <cellStyle name="Percent 2 2 35 5" xfId="9200"/>
    <cellStyle name="Percent 2 2 36" xfId="9201"/>
    <cellStyle name="Percent 2 2 36 2" xfId="9202"/>
    <cellStyle name="Percent 2 2 36 3" xfId="9203"/>
    <cellStyle name="Percent 2 2 36 4" xfId="9204"/>
    <cellStyle name="Percent 2 2 36 5" xfId="9205"/>
    <cellStyle name="Percent 2 2 37" xfId="9206"/>
    <cellStyle name="Percent 2 2 37 2" xfId="9207"/>
    <cellStyle name="Percent 2 2 37 3" xfId="9208"/>
    <cellStyle name="Percent 2 2 37 4" xfId="9209"/>
    <cellStyle name="Percent 2 2 37 5" xfId="9210"/>
    <cellStyle name="Percent 2 2 38" xfId="9211"/>
    <cellStyle name="Percent 2 2 38 2" xfId="9212"/>
    <cellStyle name="Percent 2 2 38 3" xfId="9213"/>
    <cellStyle name="Percent 2 2 38 4" xfId="9214"/>
    <cellStyle name="Percent 2 2 38 5" xfId="9215"/>
    <cellStyle name="Percent 2 2 39" xfId="9216"/>
    <cellStyle name="Percent 2 2 39 2" xfId="9217"/>
    <cellStyle name="Percent 2 2 39 3" xfId="9218"/>
    <cellStyle name="Percent 2 2 39 4" xfId="9219"/>
    <cellStyle name="Percent 2 2 39 5" xfId="9220"/>
    <cellStyle name="Percent 2 2 4" xfId="9221"/>
    <cellStyle name="Percent 2 2 4 2" xfId="12478"/>
    <cellStyle name="Percent 2 2 40" xfId="9222"/>
    <cellStyle name="Percent 2 2 40 2" xfId="9223"/>
    <cellStyle name="Percent 2 2 40 3" xfId="9224"/>
    <cellStyle name="Percent 2 2 40 4" xfId="9225"/>
    <cellStyle name="Percent 2 2 40 5" xfId="9226"/>
    <cellStyle name="Percent 2 2 41" xfId="9227"/>
    <cellStyle name="Percent 2 2 42" xfId="9228"/>
    <cellStyle name="Percent 2 2 43" xfId="9229"/>
    <cellStyle name="Percent 2 2 44" xfId="9230"/>
    <cellStyle name="Percent 2 2 45" xfId="9231"/>
    <cellStyle name="Percent 2 2 46" xfId="9232"/>
    <cellStyle name="Percent 2 2 47" xfId="9233"/>
    <cellStyle name="Percent 2 2 48" xfId="9234"/>
    <cellStyle name="Percent 2 2 49" xfId="9235"/>
    <cellStyle name="Percent 2 2 5" xfId="9236"/>
    <cellStyle name="Percent 2 2 5 2" xfId="12479"/>
    <cellStyle name="Percent 2 2 50" xfId="9237"/>
    <cellStyle name="Percent 2 2 51" xfId="9238"/>
    <cellStyle name="Percent 2 2 52" xfId="9239"/>
    <cellStyle name="Percent 2 2 6" xfId="9240"/>
    <cellStyle name="Percent 2 2 6 2" xfId="12480"/>
    <cellStyle name="Percent 2 2 7" xfId="9241"/>
    <cellStyle name="Percent 2 2 7 2" xfId="12481"/>
    <cellStyle name="Percent 2 2 8" xfId="9242"/>
    <cellStyle name="Percent 2 2 8 2" xfId="12482"/>
    <cellStyle name="Percent 2 2 9" xfId="9243"/>
    <cellStyle name="Percent 2 2 9 2" xfId="12483"/>
    <cellStyle name="Percent 2 20" xfId="9244"/>
    <cellStyle name="Percent 2 20 10" xfId="9245"/>
    <cellStyle name="Percent 2 20 10 2" xfId="12485"/>
    <cellStyle name="Percent 2 20 11" xfId="9246"/>
    <cellStyle name="Percent 2 20 11 2" xfId="12486"/>
    <cellStyle name="Percent 2 20 12" xfId="9247"/>
    <cellStyle name="Percent 2 20 12 2" xfId="12487"/>
    <cellStyle name="Percent 2 20 13" xfId="9248"/>
    <cellStyle name="Percent 2 20 13 2" xfId="12488"/>
    <cellStyle name="Percent 2 20 14" xfId="12484"/>
    <cellStyle name="Percent 2 20 2" xfId="9249"/>
    <cellStyle name="Percent 2 20 2 2" xfId="12489"/>
    <cellStyle name="Percent 2 20 3" xfId="9250"/>
    <cellStyle name="Percent 2 20 3 2" xfId="12490"/>
    <cellStyle name="Percent 2 20 4" xfId="9251"/>
    <cellStyle name="Percent 2 20 4 2" xfId="12491"/>
    <cellStyle name="Percent 2 20 5" xfId="9252"/>
    <cellStyle name="Percent 2 20 5 2" xfId="12492"/>
    <cellStyle name="Percent 2 20 6" xfId="9253"/>
    <cellStyle name="Percent 2 20 6 2" xfId="12493"/>
    <cellStyle name="Percent 2 20 7" xfId="9254"/>
    <cellStyle name="Percent 2 20 7 2" xfId="12494"/>
    <cellStyle name="Percent 2 20 8" xfId="9255"/>
    <cellStyle name="Percent 2 20 8 2" xfId="12495"/>
    <cellStyle name="Percent 2 20 9" xfId="9256"/>
    <cellStyle name="Percent 2 20 9 2" xfId="12496"/>
    <cellStyle name="Percent 2 21" xfId="9257"/>
    <cellStyle name="Percent 2 21 10" xfId="9258"/>
    <cellStyle name="Percent 2 21 10 2" xfId="12498"/>
    <cellStyle name="Percent 2 21 11" xfId="9259"/>
    <cellStyle name="Percent 2 21 11 2" xfId="12499"/>
    <cellStyle name="Percent 2 21 12" xfId="9260"/>
    <cellStyle name="Percent 2 21 12 2" xfId="12500"/>
    <cellStyle name="Percent 2 21 13" xfId="9261"/>
    <cellStyle name="Percent 2 21 13 2" xfId="12501"/>
    <cellStyle name="Percent 2 21 14" xfId="12497"/>
    <cellStyle name="Percent 2 21 2" xfId="9262"/>
    <cellStyle name="Percent 2 21 2 2" xfId="12502"/>
    <cellStyle name="Percent 2 21 3" xfId="9263"/>
    <cellStyle name="Percent 2 21 3 2" xfId="12503"/>
    <cellStyle name="Percent 2 21 4" xfId="9264"/>
    <cellStyle name="Percent 2 21 4 2" xfId="12504"/>
    <cellStyle name="Percent 2 21 5" xfId="9265"/>
    <cellStyle name="Percent 2 21 5 2" xfId="12505"/>
    <cellStyle name="Percent 2 21 6" xfId="9266"/>
    <cellStyle name="Percent 2 21 6 2" xfId="12506"/>
    <cellStyle name="Percent 2 21 7" xfId="9267"/>
    <cellStyle name="Percent 2 21 7 2" xfId="12507"/>
    <cellStyle name="Percent 2 21 8" xfId="9268"/>
    <cellStyle name="Percent 2 21 8 2" xfId="12508"/>
    <cellStyle name="Percent 2 21 9" xfId="9269"/>
    <cellStyle name="Percent 2 21 9 2" xfId="12509"/>
    <cellStyle name="Percent 2 22" xfId="9270"/>
    <cellStyle name="Percent 2 22 10" xfId="9271"/>
    <cellStyle name="Percent 2 22 10 2" xfId="12511"/>
    <cellStyle name="Percent 2 22 11" xfId="9272"/>
    <cellStyle name="Percent 2 22 11 2" xfId="12512"/>
    <cellStyle name="Percent 2 22 12" xfId="9273"/>
    <cellStyle name="Percent 2 22 12 2" xfId="12513"/>
    <cellStyle name="Percent 2 22 13" xfId="9274"/>
    <cellStyle name="Percent 2 22 13 2" xfId="12514"/>
    <cellStyle name="Percent 2 22 14" xfId="12510"/>
    <cellStyle name="Percent 2 22 2" xfId="9275"/>
    <cellStyle name="Percent 2 22 2 2" xfId="12515"/>
    <cellStyle name="Percent 2 22 3" xfId="9276"/>
    <cellStyle name="Percent 2 22 3 2" xfId="12516"/>
    <cellStyle name="Percent 2 22 4" xfId="9277"/>
    <cellStyle name="Percent 2 22 4 2" xfId="12517"/>
    <cellStyle name="Percent 2 22 5" xfId="9278"/>
    <cellStyle name="Percent 2 22 5 2" xfId="12518"/>
    <cellStyle name="Percent 2 22 6" xfId="9279"/>
    <cellStyle name="Percent 2 22 6 2" xfId="12519"/>
    <cellStyle name="Percent 2 22 7" xfId="9280"/>
    <cellStyle name="Percent 2 22 7 2" xfId="12520"/>
    <cellStyle name="Percent 2 22 8" xfId="9281"/>
    <cellStyle name="Percent 2 22 8 2" xfId="12521"/>
    <cellStyle name="Percent 2 22 9" xfId="9282"/>
    <cellStyle name="Percent 2 22 9 2" xfId="12522"/>
    <cellStyle name="Percent 2 23" xfId="9283"/>
    <cellStyle name="Percent 2 23 10" xfId="9284"/>
    <cellStyle name="Percent 2 23 10 2" xfId="12524"/>
    <cellStyle name="Percent 2 23 11" xfId="9285"/>
    <cellStyle name="Percent 2 23 11 2" xfId="12525"/>
    <cellStyle name="Percent 2 23 12" xfId="9286"/>
    <cellStyle name="Percent 2 23 12 2" xfId="12526"/>
    <cellStyle name="Percent 2 23 13" xfId="9287"/>
    <cellStyle name="Percent 2 23 13 2" xfId="12527"/>
    <cellStyle name="Percent 2 23 14" xfId="12523"/>
    <cellStyle name="Percent 2 23 2" xfId="9288"/>
    <cellStyle name="Percent 2 23 2 2" xfId="12528"/>
    <cellStyle name="Percent 2 23 3" xfId="9289"/>
    <cellStyle name="Percent 2 23 3 2" xfId="12529"/>
    <cellStyle name="Percent 2 23 4" xfId="9290"/>
    <cellStyle name="Percent 2 23 4 2" xfId="12530"/>
    <cellStyle name="Percent 2 23 5" xfId="9291"/>
    <cellStyle name="Percent 2 23 5 2" xfId="12531"/>
    <cellStyle name="Percent 2 23 6" xfId="9292"/>
    <cellStyle name="Percent 2 23 6 2" xfId="12532"/>
    <cellStyle name="Percent 2 23 7" xfId="9293"/>
    <cellStyle name="Percent 2 23 7 2" xfId="12533"/>
    <cellStyle name="Percent 2 23 8" xfId="9294"/>
    <cellStyle name="Percent 2 23 8 2" xfId="12534"/>
    <cellStyle name="Percent 2 23 9" xfId="9295"/>
    <cellStyle name="Percent 2 23 9 2" xfId="12535"/>
    <cellStyle name="Percent 2 24" xfId="9296"/>
    <cellStyle name="Percent 2 24 2" xfId="12536"/>
    <cellStyle name="Percent 2 25" xfId="9297"/>
    <cellStyle name="Percent 2 25 2" xfId="12537"/>
    <cellStyle name="Percent 2 26" xfId="9298"/>
    <cellStyle name="Percent 2 26 2" xfId="12538"/>
    <cellStyle name="Percent 2 27" xfId="9299"/>
    <cellStyle name="Percent 2 27 2" xfId="12539"/>
    <cellStyle name="Percent 2 28" xfId="9300"/>
    <cellStyle name="Percent 2 28 2" xfId="12540"/>
    <cellStyle name="Percent 2 29" xfId="9301"/>
    <cellStyle name="Percent 2 29 2" xfId="12541"/>
    <cellStyle name="Percent 2 3" xfId="9302"/>
    <cellStyle name="Percent 2 3 10" xfId="9303"/>
    <cellStyle name="Percent 2 3 10 2" xfId="9304"/>
    <cellStyle name="Percent 2 3 10 3" xfId="9305"/>
    <cellStyle name="Percent 2 3 10 4" xfId="9306"/>
    <cellStyle name="Percent 2 3 10 5" xfId="9307"/>
    <cellStyle name="Percent 2 3 11" xfId="9308"/>
    <cellStyle name="Percent 2 3 11 2" xfId="9309"/>
    <cellStyle name="Percent 2 3 11 3" xfId="9310"/>
    <cellStyle name="Percent 2 3 11 4" xfId="9311"/>
    <cellStyle name="Percent 2 3 11 5" xfId="9312"/>
    <cellStyle name="Percent 2 3 12" xfId="9313"/>
    <cellStyle name="Percent 2 3 12 2" xfId="9314"/>
    <cellStyle name="Percent 2 3 12 3" xfId="9315"/>
    <cellStyle name="Percent 2 3 12 4" xfId="9316"/>
    <cellStyle name="Percent 2 3 12 5" xfId="9317"/>
    <cellStyle name="Percent 2 3 13" xfId="9318"/>
    <cellStyle name="Percent 2 3 13 2" xfId="9319"/>
    <cellStyle name="Percent 2 3 13 3" xfId="9320"/>
    <cellStyle name="Percent 2 3 13 4" xfId="9321"/>
    <cellStyle name="Percent 2 3 13 5" xfId="9322"/>
    <cellStyle name="Percent 2 3 14" xfId="9323"/>
    <cellStyle name="Percent 2 3 14 2" xfId="9324"/>
    <cellStyle name="Percent 2 3 14 3" xfId="9325"/>
    <cellStyle name="Percent 2 3 14 4" xfId="9326"/>
    <cellStyle name="Percent 2 3 14 5" xfId="9327"/>
    <cellStyle name="Percent 2 3 15" xfId="9328"/>
    <cellStyle name="Percent 2 3 15 2" xfId="9329"/>
    <cellStyle name="Percent 2 3 15 3" xfId="9330"/>
    <cellStyle name="Percent 2 3 15 4" xfId="9331"/>
    <cellStyle name="Percent 2 3 15 5" xfId="9332"/>
    <cellStyle name="Percent 2 3 16" xfId="9333"/>
    <cellStyle name="Percent 2 3 16 2" xfId="9334"/>
    <cellStyle name="Percent 2 3 16 3" xfId="9335"/>
    <cellStyle name="Percent 2 3 16 4" xfId="9336"/>
    <cellStyle name="Percent 2 3 16 5" xfId="9337"/>
    <cellStyle name="Percent 2 3 17" xfId="9338"/>
    <cellStyle name="Percent 2 3 17 2" xfId="9339"/>
    <cellStyle name="Percent 2 3 17 3" xfId="9340"/>
    <cellStyle name="Percent 2 3 17 4" xfId="9341"/>
    <cellStyle name="Percent 2 3 17 5" xfId="9342"/>
    <cellStyle name="Percent 2 3 18" xfId="9343"/>
    <cellStyle name="Percent 2 3 18 2" xfId="9344"/>
    <cellStyle name="Percent 2 3 18 3" xfId="9345"/>
    <cellStyle name="Percent 2 3 18 4" xfId="9346"/>
    <cellStyle name="Percent 2 3 18 5" xfId="9347"/>
    <cellStyle name="Percent 2 3 19" xfId="9348"/>
    <cellStyle name="Percent 2 3 19 2" xfId="9349"/>
    <cellStyle name="Percent 2 3 19 3" xfId="9350"/>
    <cellStyle name="Percent 2 3 19 4" xfId="9351"/>
    <cellStyle name="Percent 2 3 19 5" xfId="9352"/>
    <cellStyle name="Percent 2 3 2" xfId="9353"/>
    <cellStyle name="Percent 2 3 2 2" xfId="9354"/>
    <cellStyle name="Percent 2 3 2 3" xfId="9355"/>
    <cellStyle name="Percent 2 3 2 4" xfId="9356"/>
    <cellStyle name="Percent 2 3 2 5" xfId="9357"/>
    <cellStyle name="Percent 2 3 20" xfId="9358"/>
    <cellStyle name="Percent 2 3 20 2" xfId="9359"/>
    <cellStyle name="Percent 2 3 20 3" xfId="9360"/>
    <cellStyle name="Percent 2 3 20 4" xfId="9361"/>
    <cellStyle name="Percent 2 3 20 5" xfId="9362"/>
    <cellStyle name="Percent 2 3 21" xfId="9363"/>
    <cellStyle name="Percent 2 3 21 2" xfId="9364"/>
    <cellStyle name="Percent 2 3 21 3" xfId="9365"/>
    <cellStyle name="Percent 2 3 21 4" xfId="9366"/>
    <cellStyle name="Percent 2 3 21 5" xfId="9367"/>
    <cellStyle name="Percent 2 3 22" xfId="9368"/>
    <cellStyle name="Percent 2 3 22 2" xfId="9369"/>
    <cellStyle name="Percent 2 3 22 3" xfId="9370"/>
    <cellStyle name="Percent 2 3 22 4" xfId="9371"/>
    <cellStyle name="Percent 2 3 22 5" xfId="9372"/>
    <cellStyle name="Percent 2 3 23" xfId="9373"/>
    <cellStyle name="Percent 2 3 23 2" xfId="9374"/>
    <cellStyle name="Percent 2 3 23 3" xfId="9375"/>
    <cellStyle name="Percent 2 3 23 4" xfId="9376"/>
    <cellStyle name="Percent 2 3 23 5" xfId="9377"/>
    <cellStyle name="Percent 2 3 24" xfId="9378"/>
    <cellStyle name="Percent 2 3 24 2" xfId="9379"/>
    <cellStyle name="Percent 2 3 24 3" xfId="9380"/>
    <cellStyle name="Percent 2 3 24 4" xfId="9381"/>
    <cellStyle name="Percent 2 3 24 5" xfId="9382"/>
    <cellStyle name="Percent 2 3 25" xfId="9383"/>
    <cellStyle name="Percent 2 3 25 2" xfId="9384"/>
    <cellStyle name="Percent 2 3 25 3" xfId="9385"/>
    <cellStyle name="Percent 2 3 25 4" xfId="9386"/>
    <cellStyle name="Percent 2 3 25 5" xfId="9387"/>
    <cellStyle name="Percent 2 3 26" xfId="9388"/>
    <cellStyle name="Percent 2 3 26 2" xfId="9389"/>
    <cellStyle name="Percent 2 3 26 3" xfId="9390"/>
    <cellStyle name="Percent 2 3 26 4" xfId="9391"/>
    <cellStyle name="Percent 2 3 26 5" xfId="9392"/>
    <cellStyle name="Percent 2 3 27" xfId="9393"/>
    <cellStyle name="Percent 2 3 27 2" xfId="9394"/>
    <cellStyle name="Percent 2 3 27 3" xfId="9395"/>
    <cellStyle name="Percent 2 3 27 4" xfId="9396"/>
    <cellStyle name="Percent 2 3 27 5" xfId="9397"/>
    <cellStyle name="Percent 2 3 28" xfId="9398"/>
    <cellStyle name="Percent 2 3 28 2" xfId="9399"/>
    <cellStyle name="Percent 2 3 28 3" xfId="9400"/>
    <cellStyle name="Percent 2 3 28 4" xfId="9401"/>
    <cellStyle name="Percent 2 3 28 5" xfId="9402"/>
    <cellStyle name="Percent 2 3 29" xfId="9403"/>
    <cellStyle name="Percent 2 3 29 2" xfId="9404"/>
    <cellStyle name="Percent 2 3 29 3" xfId="9405"/>
    <cellStyle name="Percent 2 3 29 4" xfId="9406"/>
    <cellStyle name="Percent 2 3 29 5" xfId="9407"/>
    <cellStyle name="Percent 2 3 3" xfId="9408"/>
    <cellStyle name="Percent 2 3 3 2" xfId="9409"/>
    <cellStyle name="Percent 2 3 3 3" xfId="9410"/>
    <cellStyle name="Percent 2 3 3 4" xfId="9411"/>
    <cellStyle name="Percent 2 3 3 5" xfId="9412"/>
    <cellStyle name="Percent 2 3 30" xfId="9413"/>
    <cellStyle name="Percent 2 3 30 2" xfId="9414"/>
    <cellStyle name="Percent 2 3 30 3" xfId="9415"/>
    <cellStyle name="Percent 2 3 30 4" xfId="9416"/>
    <cellStyle name="Percent 2 3 30 5" xfId="9417"/>
    <cellStyle name="Percent 2 3 31" xfId="9418"/>
    <cellStyle name="Percent 2 3 32" xfId="9419"/>
    <cellStyle name="Percent 2 3 33" xfId="9420"/>
    <cellStyle name="Percent 2 3 34" xfId="9421"/>
    <cellStyle name="Percent 2 3 35" xfId="9422"/>
    <cellStyle name="Percent 2 3 35 2" xfId="12543"/>
    <cellStyle name="Percent 2 3 36" xfId="9423"/>
    <cellStyle name="Percent 2 3 36 2" xfId="12544"/>
    <cellStyle name="Percent 2 3 37" xfId="9424"/>
    <cellStyle name="Percent 2 3 37 2" xfId="12545"/>
    <cellStyle name="Percent 2 3 38" xfId="9425"/>
    <cellStyle name="Percent 2 3 38 2" xfId="12546"/>
    <cellStyle name="Percent 2 3 39" xfId="9426"/>
    <cellStyle name="Percent 2 3 39 2" xfId="12547"/>
    <cellStyle name="Percent 2 3 4" xfId="9427"/>
    <cellStyle name="Percent 2 3 4 2" xfId="9428"/>
    <cellStyle name="Percent 2 3 4 3" xfId="9429"/>
    <cellStyle name="Percent 2 3 4 4" xfId="9430"/>
    <cellStyle name="Percent 2 3 4 5" xfId="9431"/>
    <cellStyle name="Percent 2 3 40" xfId="9432"/>
    <cellStyle name="Percent 2 3 40 2" xfId="12548"/>
    <cellStyle name="Percent 2 3 41" xfId="9433"/>
    <cellStyle name="Percent 2 3 41 2" xfId="12549"/>
    <cellStyle name="Percent 2 3 42" xfId="9434"/>
    <cellStyle name="Percent 2 3 42 2" xfId="12550"/>
    <cellStyle name="Percent 2 3 43" xfId="9435"/>
    <cellStyle name="Percent 2 3 43 2" xfId="12551"/>
    <cellStyle name="Percent 2 3 44" xfId="9436"/>
    <cellStyle name="Percent 2 3 44 2" xfId="12552"/>
    <cellStyle name="Percent 2 3 45" xfId="9437"/>
    <cellStyle name="Percent 2 3 45 2" xfId="12553"/>
    <cellStyle name="Percent 2 3 46" xfId="9438"/>
    <cellStyle name="Percent 2 3 46 2" xfId="12554"/>
    <cellStyle name="Percent 2 3 47" xfId="12542"/>
    <cellStyle name="Percent 2 3 5" xfId="9439"/>
    <cellStyle name="Percent 2 3 5 2" xfId="9440"/>
    <cellStyle name="Percent 2 3 5 3" xfId="9441"/>
    <cellStyle name="Percent 2 3 5 4" xfId="9442"/>
    <cellStyle name="Percent 2 3 5 5" xfId="9443"/>
    <cellStyle name="Percent 2 3 6" xfId="9444"/>
    <cellStyle name="Percent 2 3 6 2" xfId="9445"/>
    <cellStyle name="Percent 2 3 6 3" xfId="9446"/>
    <cellStyle name="Percent 2 3 6 4" xfId="9447"/>
    <cellStyle name="Percent 2 3 6 5" xfId="9448"/>
    <cellStyle name="Percent 2 3 7" xfId="9449"/>
    <cellStyle name="Percent 2 3 7 2" xfId="9450"/>
    <cellStyle name="Percent 2 3 7 3" xfId="9451"/>
    <cellStyle name="Percent 2 3 7 4" xfId="9452"/>
    <cellStyle name="Percent 2 3 7 5" xfId="9453"/>
    <cellStyle name="Percent 2 3 8" xfId="9454"/>
    <cellStyle name="Percent 2 3 8 2" xfId="9455"/>
    <cellStyle name="Percent 2 3 8 3" xfId="9456"/>
    <cellStyle name="Percent 2 3 8 4" xfId="9457"/>
    <cellStyle name="Percent 2 3 8 5" xfId="9458"/>
    <cellStyle name="Percent 2 3 9" xfId="9459"/>
    <cellStyle name="Percent 2 3 9 2" xfId="9460"/>
    <cellStyle name="Percent 2 3 9 3" xfId="9461"/>
    <cellStyle name="Percent 2 3 9 4" xfId="9462"/>
    <cellStyle name="Percent 2 3 9 5" xfId="9463"/>
    <cellStyle name="Percent 2 30" xfId="9464"/>
    <cellStyle name="Percent 2 30 2" xfId="12555"/>
    <cellStyle name="Percent 2 31" xfId="9465"/>
    <cellStyle name="Percent 2 31 2" xfId="12556"/>
    <cellStyle name="Percent 2 32" xfId="9466"/>
    <cellStyle name="Percent 2 32 2" xfId="12557"/>
    <cellStyle name="Percent 2 33" xfId="9467"/>
    <cellStyle name="Percent 2 34" xfId="9468"/>
    <cellStyle name="Percent 2 35" xfId="9469"/>
    <cellStyle name="Percent 2 36" xfId="9470"/>
    <cellStyle name="Percent 2 37" xfId="9471"/>
    <cellStyle name="Percent 2 38" xfId="9472"/>
    <cellStyle name="Percent 2 39" xfId="9473"/>
    <cellStyle name="Percent 2 4" xfId="9474"/>
    <cellStyle name="Percent 2 4 10" xfId="9475"/>
    <cellStyle name="Percent 2 4 10 2" xfId="9476"/>
    <cellStyle name="Percent 2 4 10 3" xfId="9477"/>
    <cellStyle name="Percent 2 4 10 4" xfId="9478"/>
    <cellStyle name="Percent 2 4 10 5" xfId="9479"/>
    <cellStyle name="Percent 2 4 11" xfId="9480"/>
    <cellStyle name="Percent 2 4 11 2" xfId="9481"/>
    <cellStyle name="Percent 2 4 11 3" xfId="9482"/>
    <cellStyle name="Percent 2 4 11 4" xfId="9483"/>
    <cellStyle name="Percent 2 4 11 5" xfId="9484"/>
    <cellStyle name="Percent 2 4 12" xfId="9485"/>
    <cellStyle name="Percent 2 4 12 2" xfId="9486"/>
    <cellStyle name="Percent 2 4 12 3" xfId="9487"/>
    <cellStyle name="Percent 2 4 12 4" xfId="9488"/>
    <cellStyle name="Percent 2 4 12 5" xfId="9489"/>
    <cellStyle name="Percent 2 4 13" xfId="9490"/>
    <cellStyle name="Percent 2 4 13 2" xfId="9491"/>
    <cellStyle name="Percent 2 4 13 3" xfId="9492"/>
    <cellStyle name="Percent 2 4 13 4" xfId="9493"/>
    <cellStyle name="Percent 2 4 13 5" xfId="9494"/>
    <cellStyle name="Percent 2 4 14" xfId="9495"/>
    <cellStyle name="Percent 2 4 14 2" xfId="9496"/>
    <cellStyle name="Percent 2 4 14 3" xfId="9497"/>
    <cellStyle name="Percent 2 4 14 4" xfId="9498"/>
    <cellStyle name="Percent 2 4 14 5" xfId="9499"/>
    <cellStyle name="Percent 2 4 15" xfId="9500"/>
    <cellStyle name="Percent 2 4 15 2" xfId="9501"/>
    <cellStyle name="Percent 2 4 15 3" xfId="9502"/>
    <cellStyle name="Percent 2 4 15 4" xfId="9503"/>
    <cellStyle name="Percent 2 4 15 5" xfId="9504"/>
    <cellStyle name="Percent 2 4 16" xfId="9505"/>
    <cellStyle name="Percent 2 4 16 2" xfId="9506"/>
    <cellStyle name="Percent 2 4 16 3" xfId="9507"/>
    <cellStyle name="Percent 2 4 16 4" xfId="9508"/>
    <cellStyle name="Percent 2 4 16 5" xfId="9509"/>
    <cellStyle name="Percent 2 4 17" xfId="9510"/>
    <cellStyle name="Percent 2 4 17 2" xfId="9511"/>
    <cellStyle name="Percent 2 4 17 3" xfId="9512"/>
    <cellStyle name="Percent 2 4 17 4" xfId="9513"/>
    <cellStyle name="Percent 2 4 17 5" xfId="9514"/>
    <cellStyle name="Percent 2 4 18" xfId="9515"/>
    <cellStyle name="Percent 2 4 18 2" xfId="9516"/>
    <cellStyle name="Percent 2 4 18 3" xfId="9517"/>
    <cellStyle name="Percent 2 4 18 4" xfId="9518"/>
    <cellStyle name="Percent 2 4 18 5" xfId="9519"/>
    <cellStyle name="Percent 2 4 19" xfId="9520"/>
    <cellStyle name="Percent 2 4 19 2" xfId="9521"/>
    <cellStyle name="Percent 2 4 19 3" xfId="9522"/>
    <cellStyle name="Percent 2 4 19 4" xfId="9523"/>
    <cellStyle name="Percent 2 4 19 5" xfId="9524"/>
    <cellStyle name="Percent 2 4 2" xfId="9525"/>
    <cellStyle name="Percent 2 4 2 2" xfId="9526"/>
    <cellStyle name="Percent 2 4 2 3" xfId="9527"/>
    <cellStyle name="Percent 2 4 2 4" xfId="9528"/>
    <cellStyle name="Percent 2 4 2 5" xfId="9529"/>
    <cellStyle name="Percent 2 4 20" xfId="9530"/>
    <cellStyle name="Percent 2 4 20 2" xfId="9531"/>
    <cellStyle name="Percent 2 4 20 3" xfId="9532"/>
    <cellStyle name="Percent 2 4 20 4" xfId="9533"/>
    <cellStyle name="Percent 2 4 20 5" xfId="9534"/>
    <cellStyle name="Percent 2 4 21" xfId="9535"/>
    <cellStyle name="Percent 2 4 21 2" xfId="9536"/>
    <cellStyle name="Percent 2 4 21 3" xfId="9537"/>
    <cellStyle name="Percent 2 4 21 4" xfId="9538"/>
    <cellStyle name="Percent 2 4 21 5" xfId="9539"/>
    <cellStyle name="Percent 2 4 22" xfId="9540"/>
    <cellStyle name="Percent 2 4 22 2" xfId="9541"/>
    <cellStyle name="Percent 2 4 22 3" xfId="9542"/>
    <cellStyle name="Percent 2 4 22 4" xfId="9543"/>
    <cellStyle name="Percent 2 4 22 5" xfId="9544"/>
    <cellStyle name="Percent 2 4 23" xfId="9545"/>
    <cellStyle name="Percent 2 4 23 2" xfId="9546"/>
    <cellStyle name="Percent 2 4 23 3" xfId="9547"/>
    <cellStyle name="Percent 2 4 23 4" xfId="9548"/>
    <cellStyle name="Percent 2 4 23 5" xfId="9549"/>
    <cellStyle name="Percent 2 4 24" xfId="9550"/>
    <cellStyle name="Percent 2 4 24 2" xfId="9551"/>
    <cellStyle name="Percent 2 4 24 3" xfId="9552"/>
    <cellStyle name="Percent 2 4 24 4" xfId="9553"/>
    <cellStyle name="Percent 2 4 24 5" xfId="9554"/>
    <cellStyle name="Percent 2 4 25" xfId="9555"/>
    <cellStyle name="Percent 2 4 25 2" xfId="9556"/>
    <cellStyle name="Percent 2 4 25 3" xfId="9557"/>
    <cellStyle name="Percent 2 4 25 4" xfId="9558"/>
    <cellStyle name="Percent 2 4 25 5" xfId="9559"/>
    <cellStyle name="Percent 2 4 26" xfId="9560"/>
    <cellStyle name="Percent 2 4 26 2" xfId="9561"/>
    <cellStyle name="Percent 2 4 26 3" xfId="9562"/>
    <cellStyle name="Percent 2 4 26 4" xfId="9563"/>
    <cellStyle name="Percent 2 4 26 5" xfId="9564"/>
    <cellStyle name="Percent 2 4 27" xfId="9565"/>
    <cellStyle name="Percent 2 4 27 2" xfId="9566"/>
    <cellStyle name="Percent 2 4 27 3" xfId="9567"/>
    <cellStyle name="Percent 2 4 27 4" xfId="9568"/>
    <cellStyle name="Percent 2 4 27 5" xfId="9569"/>
    <cellStyle name="Percent 2 4 28" xfId="9570"/>
    <cellStyle name="Percent 2 4 28 2" xfId="9571"/>
    <cellStyle name="Percent 2 4 28 3" xfId="9572"/>
    <cellStyle name="Percent 2 4 28 4" xfId="9573"/>
    <cellStyle name="Percent 2 4 28 5" xfId="9574"/>
    <cellStyle name="Percent 2 4 29" xfId="9575"/>
    <cellStyle name="Percent 2 4 29 2" xfId="9576"/>
    <cellStyle name="Percent 2 4 29 3" xfId="9577"/>
    <cellStyle name="Percent 2 4 29 4" xfId="9578"/>
    <cellStyle name="Percent 2 4 29 5" xfId="9579"/>
    <cellStyle name="Percent 2 4 3" xfId="9580"/>
    <cellStyle name="Percent 2 4 3 2" xfId="9581"/>
    <cellStyle name="Percent 2 4 3 3" xfId="9582"/>
    <cellStyle name="Percent 2 4 3 4" xfId="9583"/>
    <cellStyle name="Percent 2 4 3 5" xfId="9584"/>
    <cellStyle name="Percent 2 4 30" xfId="9585"/>
    <cellStyle name="Percent 2 4 30 2" xfId="9586"/>
    <cellStyle name="Percent 2 4 30 3" xfId="9587"/>
    <cellStyle name="Percent 2 4 30 4" xfId="9588"/>
    <cellStyle name="Percent 2 4 30 5" xfId="9589"/>
    <cellStyle name="Percent 2 4 31" xfId="9590"/>
    <cellStyle name="Percent 2 4 32" xfId="9591"/>
    <cellStyle name="Percent 2 4 33" xfId="9592"/>
    <cellStyle name="Percent 2 4 34" xfId="9593"/>
    <cellStyle name="Percent 2 4 35" xfId="9594"/>
    <cellStyle name="Percent 2 4 35 2" xfId="12559"/>
    <cellStyle name="Percent 2 4 36" xfId="9595"/>
    <cellStyle name="Percent 2 4 36 2" xfId="12560"/>
    <cellStyle name="Percent 2 4 37" xfId="9596"/>
    <cellStyle name="Percent 2 4 37 2" xfId="12561"/>
    <cellStyle name="Percent 2 4 38" xfId="9597"/>
    <cellStyle name="Percent 2 4 38 2" xfId="12562"/>
    <cellStyle name="Percent 2 4 39" xfId="9598"/>
    <cellStyle name="Percent 2 4 39 2" xfId="12563"/>
    <cellStyle name="Percent 2 4 4" xfId="9599"/>
    <cellStyle name="Percent 2 4 4 2" xfId="9600"/>
    <cellStyle name="Percent 2 4 4 3" xfId="9601"/>
    <cellStyle name="Percent 2 4 4 4" xfId="9602"/>
    <cellStyle name="Percent 2 4 4 5" xfId="9603"/>
    <cellStyle name="Percent 2 4 40" xfId="9604"/>
    <cellStyle name="Percent 2 4 40 2" xfId="12564"/>
    <cellStyle name="Percent 2 4 41" xfId="9605"/>
    <cellStyle name="Percent 2 4 41 2" xfId="12565"/>
    <cellStyle name="Percent 2 4 42" xfId="9606"/>
    <cellStyle name="Percent 2 4 42 2" xfId="12566"/>
    <cellStyle name="Percent 2 4 43" xfId="9607"/>
    <cellStyle name="Percent 2 4 43 2" xfId="12567"/>
    <cellStyle name="Percent 2 4 44" xfId="9608"/>
    <cellStyle name="Percent 2 4 44 2" xfId="12568"/>
    <cellStyle name="Percent 2 4 45" xfId="9609"/>
    <cellStyle name="Percent 2 4 45 2" xfId="12569"/>
    <cellStyle name="Percent 2 4 46" xfId="9610"/>
    <cellStyle name="Percent 2 4 46 2" xfId="12570"/>
    <cellStyle name="Percent 2 4 47" xfId="12558"/>
    <cellStyle name="Percent 2 4 5" xfId="9611"/>
    <cellStyle name="Percent 2 4 5 2" xfId="9612"/>
    <cellStyle name="Percent 2 4 5 3" xfId="9613"/>
    <cellStyle name="Percent 2 4 5 4" xfId="9614"/>
    <cellStyle name="Percent 2 4 5 5" xfId="9615"/>
    <cellStyle name="Percent 2 4 6" xfId="9616"/>
    <cellStyle name="Percent 2 4 6 2" xfId="9617"/>
    <cellStyle name="Percent 2 4 6 3" xfId="9618"/>
    <cellStyle name="Percent 2 4 6 4" xfId="9619"/>
    <cellStyle name="Percent 2 4 6 5" xfId="9620"/>
    <cellStyle name="Percent 2 4 7" xfId="9621"/>
    <cellStyle name="Percent 2 4 7 2" xfId="9622"/>
    <cellStyle name="Percent 2 4 7 3" xfId="9623"/>
    <cellStyle name="Percent 2 4 7 4" xfId="9624"/>
    <cellStyle name="Percent 2 4 7 5" xfId="9625"/>
    <cellStyle name="Percent 2 4 8" xfId="9626"/>
    <cellStyle name="Percent 2 4 8 2" xfId="9627"/>
    <cellStyle name="Percent 2 4 8 3" xfId="9628"/>
    <cellStyle name="Percent 2 4 8 4" xfId="9629"/>
    <cellStyle name="Percent 2 4 8 5" xfId="9630"/>
    <cellStyle name="Percent 2 4 9" xfId="9631"/>
    <cellStyle name="Percent 2 4 9 2" xfId="9632"/>
    <cellStyle name="Percent 2 4 9 3" xfId="9633"/>
    <cellStyle name="Percent 2 4 9 4" xfId="9634"/>
    <cellStyle name="Percent 2 4 9 5" xfId="9635"/>
    <cellStyle name="Percent 2 40" xfId="9636"/>
    <cellStyle name="Percent 2 41" xfId="9637"/>
    <cellStyle name="Percent 2 42" xfId="9638"/>
    <cellStyle name="Percent 2 43" xfId="9639"/>
    <cellStyle name="Percent 2 44" xfId="9640"/>
    <cellStyle name="Percent 2 45" xfId="9641"/>
    <cellStyle name="Percent 2 46" xfId="9642"/>
    <cellStyle name="Percent 2 47" xfId="9643"/>
    <cellStyle name="Percent 2 48" xfId="9644"/>
    <cellStyle name="Percent 2 49" xfId="9645"/>
    <cellStyle name="Percent 2 5" xfId="9646"/>
    <cellStyle name="Percent 2 5 10" xfId="9647"/>
    <cellStyle name="Percent 2 5 10 2" xfId="9648"/>
    <cellStyle name="Percent 2 5 10 3" xfId="9649"/>
    <cellStyle name="Percent 2 5 10 4" xfId="9650"/>
    <cellStyle name="Percent 2 5 10 5" xfId="9651"/>
    <cellStyle name="Percent 2 5 11" xfId="9652"/>
    <cellStyle name="Percent 2 5 11 2" xfId="9653"/>
    <cellStyle name="Percent 2 5 11 3" xfId="9654"/>
    <cellStyle name="Percent 2 5 11 4" xfId="9655"/>
    <cellStyle name="Percent 2 5 11 5" xfId="9656"/>
    <cellStyle name="Percent 2 5 12" xfId="9657"/>
    <cellStyle name="Percent 2 5 12 2" xfId="9658"/>
    <cellStyle name="Percent 2 5 12 3" xfId="9659"/>
    <cellStyle name="Percent 2 5 12 4" xfId="9660"/>
    <cellStyle name="Percent 2 5 12 5" xfId="9661"/>
    <cellStyle name="Percent 2 5 13" xfId="9662"/>
    <cellStyle name="Percent 2 5 13 2" xfId="9663"/>
    <cellStyle name="Percent 2 5 13 3" xfId="9664"/>
    <cellStyle name="Percent 2 5 13 4" xfId="9665"/>
    <cellStyle name="Percent 2 5 13 5" xfId="9666"/>
    <cellStyle name="Percent 2 5 14" xfId="9667"/>
    <cellStyle name="Percent 2 5 14 2" xfId="9668"/>
    <cellStyle name="Percent 2 5 14 3" xfId="9669"/>
    <cellStyle name="Percent 2 5 14 4" xfId="9670"/>
    <cellStyle name="Percent 2 5 14 5" xfId="9671"/>
    <cellStyle name="Percent 2 5 15" xfId="9672"/>
    <cellStyle name="Percent 2 5 15 2" xfId="9673"/>
    <cellStyle name="Percent 2 5 15 3" xfId="9674"/>
    <cellStyle name="Percent 2 5 15 4" xfId="9675"/>
    <cellStyle name="Percent 2 5 15 5" xfId="9676"/>
    <cellStyle name="Percent 2 5 16" xfId="9677"/>
    <cellStyle name="Percent 2 5 16 2" xfId="9678"/>
    <cellStyle name="Percent 2 5 16 3" xfId="9679"/>
    <cellStyle name="Percent 2 5 16 4" xfId="9680"/>
    <cellStyle name="Percent 2 5 16 5" xfId="9681"/>
    <cellStyle name="Percent 2 5 17" xfId="9682"/>
    <cellStyle name="Percent 2 5 17 2" xfId="9683"/>
    <cellStyle name="Percent 2 5 17 3" xfId="9684"/>
    <cellStyle name="Percent 2 5 17 4" xfId="9685"/>
    <cellStyle name="Percent 2 5 17 5" xfId="9686"/>
    <cellStyle name="Percent 2 5 18" xfId="9687"/>
    <cellStyle name="Percent 2 5 18 2" xfId="9688"/>
    <cellStyle name="Percent 2 5 18 3" xfId="9689"/>
    <cellStyle name="Percent 2 5 18 4" xfId="9690"/>
    <cellStyle name="Percent 2 5 18 5" xfId="9691"/>
    <cellStyle name="Percent 2 5 19" xfId="9692"/>
    <cellStyle name="Percent 2 5 19 2" xfId="9693"/>
    <cellStyle name="Percent 2 5 19 3" xfId="9694"/>
    <cellStyle name="Percent 2 5 19 4" xfId="9695"/>
    <cellStyle name="Percent 2 5 19 5" xfId="9696"/>
    <cellStyle name="Percent 2 5 2" xfId="9697"/>
    <cellStyle name="Percent 2 5 2 2" xfId="9698"/>
    <cellStyle name="Percent 2 5 2 3" xfId="9699"/>
    <cellStyle name="Percent 2 5 2 4" xfId="9700"/>
    <cellStyle name="Percent 2 5 2 5" xfId="9701"/>
    <cellStyle name="Percent 2 5 20" xfId="9702"/>
    <cellStyle name="Percent 2 5 20 2" xfId="9703"/>
    <cellStyle name="Percent 2 5 20 3" xfId="9704"/>
    <cellStyle name="Percent 2 5 20 4" xfId="9705"/>
    <cellStyle name="Percent 2 5 20 5" xfId="9706"/>
    <cellStyle name="Percent 2 5 21" xfId="9707"/>
    <cellStyle name="Percent 2 5 21 2" xfId="9708"/>
    <cellStyle name="Percent 2 5 21 3" xfId="9709"/>
    <cellStyle name="Percent 2 5 21 4" xfId="9710"/>
    <cellStyle name="Percent 2 5 21 5" xfId="9711"/>
    <cellStyle name="Percent 2 5 22" xfId="9712"/>
    <cellStyle name="Percent 2 5 22 2" xfId="9713"/>
    <cellStyle name="Percent 2 5 22 3" xfId="9714"/>
    <cellStyle name="Percent 2 5 22 4" xfId="9715"/>
    <cellStyle name="Percent 2 5 22 5" xfId="9716"/>
    <cellStyle name="Percent 2 5 23" xfId="9717"/>
    <cellStyle name="Percent 2 5 23 2" xfId="9718"/>
    <cellStyle name="Percent 2 5 23 3" xfId="9719"/>
    <cellStyle name="Percent 2 5 23 4" xfId="9720"/>
    <cellStyle name="Percent 2 5 23 5" xfId="9721"/>
    <cellStyle name="Percent 2 5 24" xfId="9722"/>
    <cellStyle name="Percent 2 5 24 2" xfId="9723"/>
    <cellStyle name="Percent 2 5 24 3" xfId="9724"/>
    <cellStyle name="Percent 2 5 24 4" xfId="9725"/>
    <cellStyle name="Percent 2 5 24 5" xfId="9726"/>
    <cellStyle name="Percent 2 5 25" xfId="9727"/>
    <cellStyle name="Percent 2 5 25 2" xfId="9728"/>
    <cellStyle name="Percent 2 5 25 3" xfId="9729"/>
    <cellStyle name="Percent 2 5 25 4" xfId="9730"/>
    <cellStyle name="Percent 2 5 25 5" xfId="9731"/>
    <cellStyle name="Percent 2 5 26" xfId="9732"/>
    <cellStyle name="Percent 2 5 26 2" xfId="9733"/>
    <cellStyle name="Percent 2 5 26 3" xfId="9734"/>
    <cellStyle name="Percent 2 5 26 4" xfId="9735"/>
    <cellStyle name="Percent 2 5 26 5" xfId="9736"/>
    <cellStyle name="Percent 2 5 27" xfId="9737"/>
    <cellStyle name="Percent 2 5 27 2" xfId="9738"/>
    <cellStyle name="Percent 2 5 27 3" xfId="9739"/>
    <cellStyle name="Percent 2 5 27 4" xfId="9740"/>
    <cellStyle name="Percent 2 5 27 5" xfId="9741"/>
    <cellStyle name="Percent 2 5 28" xfId="9742"/>
    <cellStyle name="Percent 2 5 28 2" xfId="9743"/>
    <cellStyle name="Percent 2 5 28 3" xfId="9744"/>
    <cellStyle name="Percent 2 5 28 4" xfId="9745"/>
    <cellStyle name="Percent 2 5 28 5" xfId="9746"/>
    <cellStyle name="Percent 2 5 29" xfId="9747"/>
    <cellStyle name="Percent 2 5 29 2" xfId="9748"/>
    <cellStyle name="Percent 2 5 29 3" xfId="9749"/>
    <cellStyle name="Percent 2 5 29 4" xfId="9750"/>
    <cellStyle name="Percent 2 5 29 5" xfId="9751"/>
    <cellStyle name="Percent 2 5 3" xfId="9752"/>
    <cellStyle name="Percent 2 5 3 2" xfId="9753"/>
    <cellStyle name="Percent 2 5 3 3" xfId="9754"/>
    <cellStyle name="Percent 2 5 3 4" xfId="9755"/>
    <cellStyle name="Percent 2 5 3 5" xfId="9756"/>
    <cellStyle name="Percent 2 5 30" xfId="9757"/>
    <cellStyle name="Percent 2 5 30 2" xfId="9758"/>
    <cellStyle name="Percent 2 5 30 3" xfId="9759"/>
    <cellStyle name="Percent 2 5 30 4" xfId="9760"/>
    <cellStyle name="Percent 2 5 30 5" xfId="9761"/>
    <cellStyle name="Percent 2 5 31" xfId="9762"/>
    <cellStyle name="Percent 2 5 32" xfId="9763"/>
    <cellStyle name="Percent 2 5 33" xfId="9764"/>
    <cellStyle name="Percent 2 5 34" xfId="9765"/>
    <cellStyle name="Percent 2 5 35" xfId="9766"/>
    <cellStyle name="Percent 2 5 35 2" xfId="12572"/>
    <cellStyle name="Percent 2 5 36" xfId="9767"/>
    <cellStyle name="Percent 2 5 36 2" xfId="12573"/>
    <cellStyle name="Percent 2 5 37" xfId="9768"/>
    <cellStyle name="Percent 2 5 37 2" xfId="12574"/>
    <cellStyle name="Percent 2 5 38" xfId="9769"/>
    <cellStyle name="Percent 2 5 38 2" xfId="12575"/>
    <cellStyle name="Percent 2 5 39" xfId="9770"/>
    <cellStyle name="Percent 2 5 39 2" xfId="12576"/>
    <cellStyle name="Percent 2 5 4" xfId="9771"/>
    <cellStyle name="Percent 2 5 4 2" xfId="9772"/>
    <cellStyle name="Percent 2 5 4 3" xfId="9773"/>
    <cellStyle name="Percent 2 5 4 4" xfId="9774"/>
    <cellStyle name="Percent 2 5 4 5" xfId="9775"/>
    <cellStyle name="Percent 2 5 40" xfId="9776"/>
    <cellStyle name="Percent 2 5 40 2" xfId="12577"/>
    <cellStyle name="Percent 2 5 41" xfId="9777"/>
    <cellStyle name="Percent 2 5 41 2" xfId="12578"/>
    <cellStyle name="Percent 2 5 42" xfId="9778"/>
    <cellStyle name="Percent 2 5 42 2" xfId="12579"/>
    <cellStyle name="Percent 2 5 43" xfId="9779"/>
    <cellStyle name="Percent 2 5 43 2" xfId="12580"/>
    <cellStyle name="Percent 2 5 44" xfId="9780"/>
    <cellStyle name="Percent 2 5 44 2" xfId="12581"/>
    <cellStyle name="Percent 2 5 45" xfId="9781"/>
    <cellStyle name="Percent 2 5 45 2" xfId="12582"/>
    <cellStyle name="Percent 2 5 46" xfId="9782"/>
    <cellStyle name="Percent 2 5 46 2" xfId="12583"/>
    <cellStyle name="Percent 2 5 47" xfId="12571"/>
    <cellStyle name="Percent 2 5 5" xfId="9783"/>
    <cellStyle name="Percent 2 5 5 2" xfId="9784"/>
    <cellStyle name="Percent 2 5 5 3" xfId="9785"/>
    <cellStyle name="Percent 2 5 5 4" xfId="9786"/>
    <cellStyle name="Percent 2 5 5 5" xfId="9787"/>
    <cellStyle name="Percent 2 5 6" xfId="9788"/>
    <cellStyle name="Percent 2 5 6 2" xfId="9789"/>
    <cellStyle name="Percent 2 5 6 3" xfId="9790"/>
    <cellStyle name="Percent 2 5 6 4" xfId="9791"/>
    <cellStyle name="Percent 2 5 6 5" xfId="9792"/>
    <cellStyle name="Percent 2 5 7" xfId="9793"/>
    <cellStyle name="Percent 2 5 7 2" xfId="9794"/>
    <cellStyle name="Percent 2 5 7 3" xfId="9795"/>
    <cellStyle name="Percent 2 5 7 4" xfId="9796"/>
    <cellStyle name="Percent 2 5 7 5" xfId="9797"/>
    <cellStyle name="Percent 2 5 8" xfId="9798"/>
    <cellStyle name="Percent 2 5 8 2" xfId="9799"/>
    <cellStyle name="Percent 2 5 8 3" xfId="9800"/>
    <cellStyle name="Percent 2 5 8 4" xfId="9801"/>
    <cellStyle name="Percent 2 5 8 5" xfId="9802"/>
    <cellStyle name="Percent 2 5 9" xfId="9803"/>
    <cellStyle name="Percent 2 5 9 2" xfId="9804"/>
    <cellStyle name="Percent 2 5 9 3" xfId="9805"/>
    <cellStyle name="Percent 2 5 9 4" xfId="9806"/>
    <cellStyle name="Percent 2 5 9 5" xfId="9807"/>
    <cellStyle name="Percent 2 50" xfId="9808"/>
    <cellStyle name="Percent 2 51" xfId="9809"/>
    <cellStyle name="Percent 2 52" xfId="9810"/>
    <cellStyle name="Percent 2 53" xfId="9811"/>
    <cellStyle name="Percent 2 54" xfId="9812"/>
    <cellStyle name="Percent 2 55" xfId="9813"/>
    <cellStyle name="Percent 2 56" xfId="9814"/>
    <cellStyle name="Percent 2 57" xfId="9815"/>
    <cellStyle name="Percent 2 58" xfId="9816"/>
    <cellStyle name="Percent 2 59" xfId="9817"/>
    <cellStyle name="Percent 2 6" xfId="9818"/>
    <cellStyle name="Percent 2 6 10" xfId="9819"/>
    <cellStyle name="Percent 2 6 10 2" xfId="9820"/>
    <cellStyle name="Percent 2 6 10 3" xfId="9821"/>
    <cellStyle name="Percent 2 6 10 4" xfId="9822"/>
    <cellStyle name="Percent 2 6 10 5" xfId="9823"/>
    <cellStyle name="Percent 2 6 11" xfId="9824"/>
    <cellStyle name="Percent 2 6 11 2" xfId="9825"/>
    <cellStyle name="Percent 2 6 11 3" xfId="9826"/>
    <cellStyle name="Percent 2 6 11 4" xfId="9827"/>
    <cellStyle name="Percent 2 6 11 5" xfId="9828"/>
    <cellStyle name="Percent 2 6 12" xfId="9829"/>
    <cellStyle name="Percent 2 6 12 2" xfId="9830"/>
    <cellStyle name="Percent 2 6 12 3" xfId="9831"/>
    <cellStyle name="Percent 2 6 12 4" xfId="9832"/>
    <cellStyle name="Percent 2 6 12 5" xfId="9833"/>
    <cellStyle name="Percent 2 6 13" xfId="9834"/>
    <cellStyle name="Percent 2 6 13 2" xfId="9835"/>
    <cellStyle name="Percent 2 6 13 3" xfId="9836"/>
    <cellStyle name="Percent 2 6 13 4" xfId="9837"/>
    <cellStyle name="Percent 2 6 13 5" xfId="9838"/>
    <cellStyle name="Percent 2 6 14" xfId="9839"/>
    <cellStyle name="Percent 2 6 14 2" xfId="9840"/>
    <cellStyle name="Percent 2 6 14 3" xfId="9841"/>
    <cellStyle name="Percent 2 6 14 4" xfId="9842"/>
    <cellStyle name="Percent 2 6 14 5" xfId="9843"/>
    <cellStyle name="Percent 2 6 15" xfId="9844"/>
    <cellStyle name="Percent 2 6 15 2" xfId="9845"/>
    <cellStyle name="Percent 2 6 15 3" xfId="9846"/>
    <cellStyle name="Percent 2 6 15 4" xfId="9847"/>
    <cellStyle name="Percent 2 6 15 5" xfId="9848"/>
    <cellStyle name="Percent 2 6 16" xfId="9849"/>
    <cellStyle name="Percent 2 6 16 2" xfId="9850"/>
    <cellStyle name="Percent 2 6 16 3" xfId="9851"/>
    <cellStyle name="Percent 2 6 16 4" xfId="9852"/>
    <cellStyle name="Percent 2 6 16 5" xfId="9853"/>
    <cellStyle name="Percent 2 6 17" xfId="9854"/>
    <cellStyle name="Percent 2 6 17 2" xfId="9855"/>
    <cellStyle name="Percent 2 6 17 3" xfId="9856"/>
    <cellStyle name="Percent 2 6 17 4" xfId="9857"/>
    <cellStyle name="Percent 2 6 17 5" xfId="9858"/>
    <cellStyle name="Percent 2 6 18" xfId="9859"/>
    <cellStyle name="Percent 2 6 18 2" xfId="9860"/>
    <cellStyle name="Percent 2 6 18 3" xfId="9861"/>
    <cellStyle name="Percent 2 6 18 4" xfId="9862"/>
    <cellStyle name="Percent 2 6 18 5" xfId="9863"/>
    <cellStyle name="Percent 2 6 19" xfId="9864"/>
    <cellStyle name="Percent 2 6 19 2" xfId="9865"/>
    <cellStyle name="Percent 2 6 19 3" xfId="9866"/>
    <cellStyle name="Percent 2 6 19 4" xfId="9867"/>
    <cellStyle name="Percent 2 6 19 5" xfId="9868"/>
    <cellStyle name="Percent 2 6 2" xfId="9869"/>
    <cellStyle name="Percent 2 6 2 2" xfId="9870"/>
    <cellStyle name="Percent 2 6 2 3" xfId="9871"/>
    <cellStyle name="Percent 2 6 2 4" xfId="9872"/>
    <cellStyle name="Percent 2 6 2 5" xfId="9873"/>
    <cellStyle name="Percent 2 6 20" xfId="9874"/>
    <cellStyle name="Percent 2 6 20 2" xfId="9875"/>
    <cellStyle name="Percent 2 6 20 3" xfId="9876"/>
    <cellStyle name="Percent 2 6 20 4" xfId="9877"/>
    <cellStyle name="Percent 2 6 20 5" xfId="9878"/>
    <cellStyle name="Percent 2 6 21" xfId="9879"/>
    <cellStyle name="Percent 2 6 21 2" xfId="9880"/>
    <cellStyle name="Percent 2 6 21 3" xfId="9881"/>
    <cellStyle name="Percent 2 6 21 4" xfId="9882"/>
    <cellStyle name="Percent 2 6 21 5" xfId="9883"/>
    <cellStyle name="Percent 2 6 22" xfId="9884"/>
    <cellStyle name="Percent 2 6 22 2" xfId="9885"/>
    <cellStyle name="Percent 2 6 22 3" xfId="9886"/>
    <cellStyle name="Percent 2 6 22 4" xfId="9887"/>
    <cellStyle name="Percent 2 6 22 5" xfId="9888"/>
    <cellStyle name="Percent 2 6 23" xfId="9889"/>
    <cellStyle name="Percent 2 6 23 2" xfId="9890"/>
    <cellStyle name="Percent 2 6 23 3" xfId="9891"/>
    <cellStyle name="Percent 2 6 23 4" xfId="9892"/>
    <cellStyle name="Percent 2 6 23 5" xfId="9893"/>
    <cellStyle name="Percent 2 6 24" xfId="9894"/>
    <cellStyle name="Percent 2 6 24 2" xfId="9895"/>
    <cellStyle name="Percent 2 6 24 3" xfId="9896"/>
    <cellStyle name="Percent 2 6 24 4" xfId="9897"/>
    <cellStyle name="Percent 2 6 24 5" xfId="9898"/>
    <cellStyle name="Percent 2 6 25" xfId="9899"/>
    <cellStyle name="Percent 2 6 25 2" xfId="9900"/>
    <cellStyle name="Percent 2 6 25 3" xfId="9901"/>
    <cellStyle name="Percent 2 6 25 4" xfId="9902"/>
    <cellStyle name="Percent 2 6 25 5" xfId="9903"/>
    <cellStyle name="Percent 2 6 26" xfId="9904"/>
    <cellStyle name="Percent 2 6 26 2" xfId="9905"/>
    <cellStyle name="Percent 2 6 26 3" xfId="9906"/>
    <cellStyle name="Percent 2 6 26 4" xfId="9907"/>
    <cellStyle name="Percent 2 6 26 5" xfId="9908"/>
    <cellStyle name="Percent 2 6 27" xfId="9909"/>
    <cellStyle name="Percent 2 6 27 2" xfId="9910"/>
    <cellStyle name="Percent 2 6 27 3" xfId="9911"/>
    <cellStyle name="Percent 2 6 27 4" xfId="9912"/>
    <cellStyle name="Percent 2 6 27 5" xfId="9913"/>
    <cellStyle name="Percent 2 6 28" xfId="9914"/>
    <cellStyle name="Percent 2 6 28 2" xfId="9915"/>
    <cellStyle name="Percent 2 6 28 3" xfId="9916"/>
    <cellStyle name="Percent 2 6 28 4" xfId="9917"/>
    <cellStyle name="Percent 2 6 28 5" xfId="9918"/>
    <cellStyle name="Percent 2 6 29" xfId="9919"/>
    <cellStyle name="Percent 2 6 29 2" xfId="9920"/>
    <cellStyle name="Percent 2 6 29 3" xfId="9921"/>
    <cellStyle name="Percent 2 6 29 4" xfId="9922"/>
    <cellStyle name="Percent 2 6 29 5" xfId="9923"/>
    <cellStyle name="Percent 2 6 3" xfId="9924"/>
    <cellStyle name="Percent 2 6 3 2" xfId="9925"/>
    <cellStyle name="Percent 2 6 3 3" xfId="9926"/>
    <cellStyle name="Percent 2 6 3 4" xfId="9927"/>
    <cellStyle name="Percent 2 6 3 5" xfId="9928"/>
    <cellStyle name="Percent 2 6 30" xfId="9929"/>
    <cellStyle name="Percent 2 6 30 2" xfId="9930"/>
    <cellStyle name="Percent 2 6 30 3" xfId="9931"/>
    <cellStyle name="Percent 2 6 30 4" xfId="9932"/>
    <cellStyle name="Percent 2 6 30 5" xfId="9933"/>
    <cellStyle name="Percent 2 6 31" xfId="9934"/>
    <cellStyle name="Percent 2 6 32" xfId="9935"/>
    <cellStyle name="Percent 2 6 33" xfId="9936"/>
    <cellStyle name="Percent 2 6 34" xfId="9937"/>
    <cellStyle name="Percent 2 6 35" xfId="9938"/>
    <cellStyle name="Percent 2 6 35 2" xfId="12585"/>
    <cellStyle name="Percent 2 6 36" xfId="9939"/>
    <cellStyle name="Percent 2 6 36 2" xfId="12586"/>
    <cellStyle name="Percent 2 6 37" xfId="9940"/>
    <cellStyle name="Percent 2 6 37 2" xfId="12587"/>
    <cellStyle name="Percent 2 6 38" xfId="9941"/>
    <cellStyle name="Percent 2 6 38 2" xfId="12588"/>
    <cellStyle name="Percent 2 6 39" xfId="9942"/>
    <cellStyle name="Percent 2 6 39 2" xfId="12589"/>
    <cellStyle name="Percent 2 6 4" xfId="9943"/>
    <cellStyle name="Percent 2 6 4 2" xfId="9944"/>
    <cellStyle name="Percent 2 6 4 3" xfId="9945"/>
    <cellStyle name="Percent 2 6 4 4" xfId="9946"/>
    <cellStyle name="Percent 2 6 4 5" xfId="9947"/>
    <cellStyle name="Percent 2 6 40" xfId="9948"/>
    <cellStyle name="Percent 2 6 40 2" xfId="12590"/>
    <cellStyle name="Percent 2 6 41" xfId="9949"/>
    <cellStyle name="Percent 2 6 41 2" xfId="12591"/>
    <cellStyle name="Percent 2 6 42" xfId="9950"/>
    <cellStyle name="Percent 2 6 42 2" xfId="12592"/>
    <cellStyle name="Percent 2 6 43" xfId="9951"/>
    <cellStyle name="Percent 2 6 43 2" xfId="12593"/>
    <cellStyle name="Percent 2 6 44" xfId="9952"/>
    <cellStyle name="Percent 2 6 44 2" xfId="12594"/>
    <cellStyle name="Percent 2 6 45" xfId="9953"/>
    <cellStyle name="Percent 2 6 45 2" xfId="12595"/>
    <cellStyle name="Percent 2 6 46" xfId="9954"/>
    <cellStyle name="Percent 2 6 46 2" xfId="12596"/>
    <cellStyle name="Percent 2 6 47" xfId="12584"/>
    <cellStyle name="Percent 2 6 5" xfId="9955"/>
    <cellStyle name="Percent 2 6 5 2" xfId="9956"/>
    <cellStyle name="Percent 2 6 5 3" xfId="9957"/>
    <cellStyle name="Percent 2 6 5 4" xfId="9958"/>
    <cellStyle name="Percent 2 6 5 5" xfId="9959"/>
    <cellStyle name="Percent 2 6 6" xfId="9960"/>
    <cellStyle name="Percent 2 6 6 2" xfId="9961"/>
    <cellStyle name="Percent 2 6 6 3" xfId="9962"/>
    <cellStyle name="Percent 2 6 6 4" xfId="9963"/>
    <cellStyle name="Percent 2 6 6 5" xfId="9964"/>
    <cellStyle name="Percent 2 6 7" xfId="9965"/>
    <cellStyle name="Percent 2 6 7 2" xfId="9966"/>
    <cellStyle name="Percent 2 6 7 3" xfId="9967"/>
    <cellStyle name="Percent 2 6 7 4" xfId="9968"/>
    <cellStyle name="Percent 2 6 7 5" xfId="9969"/>
    <cellStyle name="Percent 2 6 8" xfId="9970"/>
    <cellStyle name="Percent 2 6 8 2" xfId="9971"/>
    <cellStyle name="Percent 2 6 8 3" xfId="9972"/>
    <cellStyle name="Percent 2 6 8 4" xfId="9973"/>
    <cellStyle name="Percent 2 6 8 5" xfId="9974"/>
    <cellStyle name="Percent 2 6 9" xfId="9975"/>
    <cellStyle name="Percent 2 6 9 2" xfId="9976"/>
    <cellStyle name="Percent 2 6 9 3" xfId="9977"/>
    <cellStyle name="Percent 2 6 9 4" xfId="9978"/>
    <cellStyle name="Percent 2 6 9 5" xfId="9979"/>
    <cellStyle name="Percent 2 60" xfId="9980"/>
    <cellStyle name="Percent 2 61" xfId="9981"/>
    <cellStyle name="Percent 2 62" xfId="9982"/>
    <cellStyle name="Percent 2 63" xfId="9983"/>
    <cellStyle name="Percent 2 64" xfId="9984"/>
    <cellStyle name="Percent 2 65" xfId="9985"/>
    <cellStyle name="Percent 2 66" xfId="9986"/>
    <cellStyle name="Percent 2 67" xfId="9987"/>
    <cellStyle name="Percent 2 68" xfId="9988"/>
    <cellStyle name="Percent 2 69" xfId="9989"/>
    <cellStyle name="Percent 2 69 2" xfId="12597"/>
    <cellStyle name="Percent 2 7" xfId="9990"/>
    <cellStyle name="Percent 2 7 10" xfId="9991"/>
    <cellStyle name="Percent 2 7 10 2" xfId="9992"/>
    <cellStyle name="Percent 2 7 10 3" xfId="9993"/>
    <cellStyle name="Percent 2 7 10 4" xfId="9994"/>
    <cellStyle name="Percent 2 7 10 5" xfId="9995"/>
    <cellStyle name="Percent 2 7 11" xfId="9996"/>
    <cellStyle name="Percent 2 7 11 2" xfId="9997"/>
    <cellStyle name="Percent 2 7 11 3" xfId="9998"/>
    <cellStyle name="Percent 2 7 11 4" xfId="9999"/>
    <cellStyle name="Percent 2 7 11 5" xfId="10000"/>
    <cellStyle name="Percent 2 7 12" xfId="10001"/>
    <cellStyle name="Percent 2 7 12 2" xfId="10002"/>
    <cellStyle name="Percent 2 7 12 3" xfId="10003"/>
    <cellStyle name="Percent 2 7 12 4" xfId="10004"/>
    <cellStyle name="Percent 2 7 12 5" xfId="10005"/>
    <cellStyle name="Percent 2 7 13" xfId="10006"/>
    <cellStyle name="Percent 2 7 13 2" xfId="10007"/>
    <cellStyle name="Percent 2 7 13 3" xfId="10008"/>
    <cellStyle name="Percent 2 7 13 4" xfId="10009"/>
    <cellStyle name="Percent 2 7 13 5" xfId="10010"/>
    <cellStyle name="Percent 2 7 14" xfId="10011"/>
    <cellStyle name="Percent 2 7 14 2" xfId="10012"/>
    <cellStyle name="Percent 2 7 14 3" xfId="10013"/>
    <cellStyle name="Percent 2 7 14 4" xfId="10014"/>
    <cellStyle name="Percent 2 7 14 5" xfId="10015"/>
    <cellStyle name="Percent 2 7 15" xfId="10016"/>
    <cellStyle name="Percent 2 7 15 2" xfId="10017"/>
    <cellStyle name="Percent 2 7 15 3" xfId="10018"/>
    <cellStyle name="Percent 2 7 15 4" xfId="10019"/>
    <cellStyle name="Percent 2 7 15 5" xfId="10020"/>
    <cellStyle name="Percent 2 7 16" xfId="10021"/>
    <cellStyle name="Percent 2 7 16 2" xfId="10022"/>
    <cellStyle name="Percent 2 7 16 3" xfId="10023"/>
    <cellStyle name="Percent 2 7 16 4" xfId="10024"/>
    <cellStyle name="Percent 2 7 16 5" xfId="10025"/>
    <cellStyle name="Percent 2 7 17" xfId="10026"/>
    <cellStyle name="Percent 2 7 17 2" xfId="10027"/>
    <cellStyle name="Percent 2 7 17 3" xfId="10028"/>
    <cellStyle name="Percent 2 7 17 4" xfId="10029"/>
    <cellStyle name="Percent 2 7 17 5" xfId="10030"/>
    <cellStyle name="Percent 2 7 18" xfId="10031"/>
    <cellStyle name="Percent 2 7 18 2" xfId="10032"/>
    <cellStyle name="Percent 2 7 18 3" xfId="10033"/>
    <cellStyle name="Percent 2 7 18 4" xfId="10034"/>
    <cellStyle name="Percent 2 7 18 5" xfId="10035"/>
    <cellStyle name="Percent 2 7 19" xfId="10036"/>
    <cellStyle name="Percent 2 7 19 2" xfId="10037"/>
    <cellStyle name="Percent 2 7 19 3" xfId="10038"/>
    <cellStyle name="Percent 2 7 19 4" xfId="10039"/>
    <cellStyle name="Percent 2 7 19 5" xfId="10040"/>
    <cellStyle name="Percent 2 7 2" xfId="10041"/>
    <cellStyle name="Percent 2 7 2 2" xfId="10042"/>
    <cellStyle name="Percent 2 7 2 3" xfId="10043"/>
    <cellStyle name="Percent 2 7 2 4" xfId="10044"/>
    <cellStyle name="Percent 2 7 2 5" xfId="10045"/>
    <cellStyle name="Percent 2 7 20" xfId="10046"/>
    <cellStyle name="Percent 2 7 20 2" xfId="10047"/>
    <cellStyle name="Percent 2 7 20 3" xfId="10048"/>
    <cellStyle name="Percent 2 7 20 4" xfId="10049"/>
    <cellStyle name="Percent 2 7 20 5" xfId="10050"/>
    <cellStyle name="Percent 2 7 21" xfId="10051"/>
    <cellStyle name="Percent 2 7 21 2" xfId="10052"/>
    <cellStyle name="Percent 2 7 21 3" xfId="10053"/>
    <cellStyle name="Percent 2 7 21 4" xfId="10054"/>
    <cellStyle name="Percent 2 7 21 5" xfId="10055"/>
    <cellStyle name="Percent 2 7 22" xfId="10056"/>
    <cellStyle name="Percent 2 7 22 2" xfId="10057"/>
    <cellStyle name="Percent 2 7 22 3" xfId="10058"/>
    <cellStyle name="Percent 2 7 22 4" xfId="10059"/>
    <cellStyle name="Percent 2 7 22 5" xfId="10060"/>
    <cellStyle name="Percent 2 7 23" xfId="10061"/>
    <cellStyle name="Percent 2 7 23 2" xfId="10062"/>
    <cellStyle name="Percent 2 7 23 3" xfId="10063"/>
    <cellStyle name="Percent 2 7 23 4" xfId="10064"/>
    <cellStyle name="Percent 2 7 23 5" xfId="10065"/>
    <cellStyle name="Percent 2 7 24" xfId="10066"/>
    <cellStyle name="Percent 2 7 24 2" xfId="10067"/>
    <cellStyle name="Percent 2 7 24 3" xfId="10068"/>
    <cellStyle name="Percent 2 7 24 4" xfId="10069"/>
    <cellStyle name="Percent 2 7 24 5" xfId="10070"/>
    <cellStyle name="Percent 2 7 25" xfId="10071"/>
    <cellStyle name="Percent 2 7 25 2" xfId="10072"/>
    <cellStyle name="Percent 2 7 25 3" xfId="10073"/>
    <cellStyle name="Percent 2 7 25 4" xfId="10074"/>
    <cellStyle name="Percent 2 7 25 5" xfId="10075"/>
    <cellStyle name="Percent 2 7 26" xfId="10076"/>
    <cellStyle name="Percent 2 7 26 2" xfId="10077"/>
    <cellStyle name="Percent 2 7 26 3" xfId="10078"/>
    <cellStyle name="Percent 2 7 26 4" xfId="10079"/>
    <cellStyle name="Percent 2 7 26 5" xfId="10080"/>
    <cellStyle name="Percent 2 7 27" xfId="10081"/>
    <cellStyle name="Percent 2 7 27 2" xfId="10082"/>
    <cellStyle name="Percent 2 7 27 3" xfId="10083"/>
    <cellStyle name="Percent 2 7 27 4" xfId="10084"/>
    <cellStyle name="Percent 2 7 27 5" xfId="10085"/>
    <cellStyle name="Percent 2 7 28" xfId="10086"/>
    <cellStyle name="Percent 2 7 28 2" xfId="10087"/>
    <cellStyle name="Percent 2 7 28 3" xfId="10088"/>
    <cellStyle name="Percent 2 7 28 4" xfId="10089"/>
    <cellStyle name="Percent 2 7 28 5" xfId="10090"/>
    <cellStyle name="Percent 2 7 29" xfId="10091"/>
    <cellStyle name="Percent 2 7 29 2" xfId="10092"/>
    <cellStyle name="Percent 2 7 29 3" xfId="10093"/>
    <cellStyle name="Percent 2 7 29 4" xfId="10094"/>
    <cellStyle name="Percent 2 7 29 5" xfId="10095"/>
    <cellStyle name="Percent 2 7 3" xfId="10096"/>
    <cellStyle name="Percent 2 7 3 2" xfId="10097"/>
    <cellStyle name="Percent 2 7 3 3" xfId="10098"/>
    <cellStyle name="Percent 2 7 3 4" xfId="10099"/>
    <cellStyle name="Percent 2 7 3 5" xfId="10100"/>
    <cellStyle name="Percent 2 7 30" xfId="10101"/>
    <cellStyle name="Percent 2 7 30 2" xfId="10102"/>
    <cellStyle name="Percent 2 7 30 3" xfId="10103"/>
    <cellStyle name="Percent 2 7 30 4" xfId="10104"/>
    <cellStyle name="Percent 2 7 30 5" xfId="10105"/>
    <cellStyle name="Percent 2 7 31" xfId="10106"/>
    <cellStyle name="Percent 2 7 32" xfId="10107"/>
    <cellStyle name="Percent 2 7 33" xfId="10108"/>
    <cellStyle name="Percent 2 7 34" xfId="10109"/>
    <cellStyle name="Percent 2 7 35" xfId="10110"/>
    <cellStyle name="Percent 2 7 35 2" xfId="12599"/>
    <cellStyle name="Percent 2 7 36" xfId="10111"/>
    <cellStyle name="Percent 2 7 36 2" xfId="12600"/>
    <cellStyle name="Percent 2 7 37" xfId="10112"/>
    <cellStyle name="Percent 2 7 37 2" xfId="12601"/>
    <cellStyle name="Percent 2 7 38" xfId="10113"/>
    <cellStyle name="Percent 2 7 38 2" xfId="12602"/>
    <cellStyle name="Percent 2 7 39" xfId="10114"/>
    <cellStyle name="Percent 2 7 39 2" xfId="12603"/>
    <cellStyle name="Percent 2 7 4" xfId="10115"/>
    <cellStyle name="Percent 2 7 4 2" xfId="10116"/>
    <cellStyle name="Percent 2 7 4 3" xfId="10117"/>
    <cellStyle name="Percent 2 7 4 4" xfId="10118"/>
    <cellStyle name="Percent 2 7 4 5" xfId="10119"/>
    <cellStyle name="Percent 2 7 40" xfId="10120"/>
    <cellStyle name="Percent 2 7 40 2" xfId="12604"/>
    <cellStyle name="Percent 2 7 41" xfId="10121"/>
    <cellStyle name="Percent 2 7 41 2" xfId="12605"/>
    <cellStyle name="Percent 2 7 42" xfId="10122"/>
    <cellStyle name="Percent 2 7 42 2" xfId="12606"/>
    <cellStyle name="Percent 2 7 43" xfId="10123"/>
    <cellStyle name="Percent 2 7 43 2" xfId="12607"/>
    <cellStyle name="Percent 2 7 44" xfId="10124"/>
    <cellStyle name="Percent 2 7 44 2" xfId="12608"/>
    <cellStyle name="Percent 2 7 45" xfId="10125"/>
    <cellStyle name="Percent 2 7 45 2" xfId="12609"/>
    <cellStyle name="Percent 2 7 46" xfId="10126"/>
    <cellStyle name="Percent 2 7 46 2" xfId="12610"/>
    <cellStyle name="Percent 2 7 47" xfId="12598"/>
    <cellStyle name="Percent 2 7 5" xfId="10127"/>
    <cellStyle name="Percent 2 7 5 2" xfId="10128"/>
    <cellStyle name="Percent 2 7 5 3" xfId="10129"/>
    <cellStyle name="Percent 2 7 5 4" xfId="10130"/>
    <cellStyle name="Percent 2 7 5 5" xfId="10131"/>
    <cellStyle name="Percent 2 7 6" xfId="10132"/>
    <cellStyle name="Percent 2 7 6 2" xfId="10133"/>
    <cellStyle name="Percent 2 7 6 3" xfId="10134"/>
    <cellStyle name="Percent 2 7 6 4" xfId="10135"/>
    <cellStyle name="Percent 2 7 6 5" xfId="10136"/>
    <cellStyle name="Percent 2 7 7" xfId="10137"/>
    <cellStyle name="Percent 2 7 7 2" xfId="10138"/>
    <cellStyle name="Percent 2 7 7 3" xfId="10139"/>
    <cellStyle name="Percent 2 7 7 4" xfId="10140"/>
    <cellStyle name="Percent 2 7 7 5" xfId="10141"/>
    <cellStyle name="Percent 2 7 8" xfId="10142"/>
    <cellStyle name="Percent 2 7 8 2" xfId="10143"/>
    <cellStyle name="Percent 2 7 8 3" xfId="10144"/>
    <cellStyle name="Percent 2 7 8 4" xfId="10145"/>
    <cellStyle name="Percent 2 7 8 5" xfId="10146"/>
    <cellStyle name="Percent 2 7 9" xfId="10147"/>
    <cellStyle name="Percent 2 7 9 2" xfId="10148"/>
    <cellStyle name="Percent 2 7 9 3" xfId="10149"/>
    <cellStyle name="Percent 2 7 9 4" xfId="10150"/>
    <cellStyle name="Percent 2 7 9 5" xfId="10151"/>
    <cellStyle name="Percent 2 70" xfId="10152"/>
    <cellStyle name="Percent 2 70 2" xfId="12611"/>
    <cellStyle name="Percent 2 71" xfId="10153"/>
    <cellStyle name="Percent 2 71 2" xfId="12612"/>
    <cellStyle name="Percent 2 72" xfId="10154"/>
    <cellStyle name="Percent 2 72 2" xfId="12613"/>
    <cellStyle name="Percent 2 73" xfId="10155"/>
    <cellStyle name="Percent 2 73 2" xfId="12614"/>
    <cellStyle name="Percent 2 74" xfId="10156"/>
    <cellStyle name="Percent 2 74 2" xfId="12615"/>
    <cellStyle name="Percent 2 75" xfId="10157"/>
    <cellStyle name="Percent 2 75 2" xfId="12616"/>
    <cellStyle name="Percent 2 76" xfId="10158"/>
    <cellStyle name="Percent 2 76 2" xfId="12617"/>
    <cellStyle name="Percent 2 77" xfId="10159"/>
    <cellStyle name="Percent 2 77 2" xfId="12618"/>
    <cellStyle name="Percent 2 78" xfId="10160"/>
    <cellStyle name="Percent 2 78 2" xfId="12619"/>
    <cellStyle name="Percent 2 79" xfId="10161"/>
    <cellStyle name="Percent 2 79 2" xfId="12620"/>
    <cellStyle name="Percent 2 8" xfId="10162"/>
    <cellStyle name="Percent 2 8 10" xfId="10163"/>
    <cellStyle name="Percent 2 8 10 2" xfId="10164"/>
    <cellStyle name="Percent 2 8 10 3" xfId="10165"/>
    <cellStyle name="Percent 2 8 10 4" xfId="10166"/>
    <cellStyle name="Percent 2 8 10 5" xfId="10167"/>
    <cellStyle name="Percent 2 8 11" xfId="10168"/>
    <cellStyle name="Percent 2 8 11 2" xfId="10169"/>
    <cellStyle name="Percent 2 8 11 3" xfId="10170"/>
    <cellStyle name="Percent 2 8 11 4" xfId="10171"/>
    <cellStyle name="Percent 2 8 11 5" xfId="10172"/>
    <cellStyle name="Percent 2 8 12" xfId="10173"/>
    <cellStyle name="Percent 2 8 12 2" xfId="10174"/>
    <cellStyle name="Percent 2 8 12 3" xfId="10175"/>
    <cellStyle name="Percent 2 8 12 4" xfId="10176"/>
    <cellStyle name="Percent 2 8 12 5" xfId="10177"/>
    <cellStyle name="Percent 2 8 13" xfId="10178"/>
    <cellStyle name="Percent 2 8 13 2" xfId="10179"/>
    <cellStyle name="Percent 2 8 13 3" xfId="10180"/>
    <cellStyle name="Percent 2 8 13 4" xfId="10181"/>
    <cellStyle name="Percent 2 8 13 5" xfId="10182"/>
    <cellStyle name="Percent 2 8 14" xfId="10183"/>
    <cellStyle name="Percent 2 8 14 2" xfId="10184"/>
    <cellStyle name="Percent 2 8 14 3" xfId="10185"/>
    <cellStyle name="Percent 2 8 14 4" xfId="10186"/>
    <cellStyle name="Percent 2 8 14 5" xfId="10187"/>
    <cellStyle name="Percent 2 8 15" xfId="10188"/>
    <cellStyle name="Percent 2 8 15 2" xfId="10189"/>
    <cellStyle name="Percent 2 8 15 3" xfId="10190"/>
    <cellStyle name="Percent 2 8 15 4" xfId="10191"/>
    <cellStyle name="Percent 2 8 15 5" xfId="10192"/>
    <cellStyle name="Percent 2 8 16" xfId="10193"/>
    <cellStyle name="Percent 2 8 16 2" xfId="10194"/>
    <cellStyle name="Percent 2 8 16 3" xfId="10195"/>
    <cellStyle name="Percent 2 8 16 4" xfId="10196"/>
    <cellStyle name="Percent 2 8 16 5" xfId="10197"/>
    <cellStyle name="Percent 2 8 17" xfId="10198"/>
    <cellStyle name="Percent 2 8 17 2" xfId="10199"/>
    <cellStyle name="Percent 2 8 17 3" xfId="10200"/>
    <cellStyle name="Percent 2 8 17 4" xfId="10201"/>
    <cellStyle name="Percent 2 8 17 5" xfId="10202"/>
    <cellStyle name="Percent 2 8 18" xfId="10203"/>
    <cellStyle name="Percent 2 8 18 2" xfId="10204"/>
    <cellStyle name="Percent 2 8 18 3" xfId="10205"/>
    <cellStyle name="Percent 2 8 18 4" xfId="10206"/>
    <cellStyle name="Percent 2 8 18 5" xfId="10207"/>
    <cellStyle name="Percent 2 8 19" xfId="10208"/>
    <cellStyle name="Percent 2 8 19 2" xfId="10209"/>
    <cellStyle name="Percent 2 8 19 3" xfId="10210"/>
    <cellStyle name="Percent 2 8 19 4" xfId="10211"/>
    <cellStyle name="Percent 2 8 19 5" xfId="10212"/>
    <cellStyle name="Percent 2 8 2" xfId="10213"/>
    <cellStyle name="Percent 2 8 2 2" xfId="10214"/>
    <cellStyle name="Percent 2 8 2 3" xfId="10215"/>
    <cellStyle name="Percent 2 8 2 4" xfId="10216"/>
    <cellStyle name="Percent 2 8 2 5" xfId="10217"/>
    <cellStyle name="Percent 2 8 20" xfId="10218"/>
    <cellStyle name="Percent 2 8 20 2" xfId="10219"/>
    <cellStyle name="Percent 2 8 20 3" xfId="10220"/>
    <cellStyle name="Percent 2 8 20 4" xfId="10221"/>
    <cellStyle name="Percent 2 8 20 5" xfId="10222"/>
    <cellStyle name="Percent 2 8 21" xfId="10223"/>
    <cellStyle name="Percent 2 8 21 2" xfId="10224"/>
    <cellStyle name="Percent 2 8 21 3" xfId="10225"/>
    <cellStyle name="Percent 2 8 21 4" xfId="10226"/>
    <cellStyle name="Percent 2 8 21 5" xfId="10227"/>
    <cellStyle name="Percent 2 8 22" xfId="10228"/>
    <cellStyle name="Percent 2 8 22 2" xfId="10229"/>
    <cellStyle name="Percent 2 8 22 3" xfId="10230"/>
    <cellStyle name="Percent 2 8 22 4" xfId="10231"/>
    <cellStyle name="Percent 2 8 22 5" xfId="10232"/>
    <cellStyle name="Percent 2 8 23" xfId="10233"/>
    <cellStyle name="Percent 2 8 23 2" xfId="10234"/>
    <cellStyle name="Percent 2 8 23 3" xfId="10235"/>
    <cellStyle name="Percent 2 8 23 4" xfId="10236"/>
    <cellStyle name="Percent 2 8 23 5" xfId="10237"/>
    <cellStyle name="Percent 2 8 24" xfId="10238"/>
    <cellStyle name="Percent 2 8 24 2" xfId="10239"/>
    <cellStyle name="Percent 2 8 24 3" xfId="10240"/>
    <cellStyle name="Percent 2 8 24 4" xfId="10241"/>
    <cellStyle name="Percent 2 8 24 5" xfId="10242"/>
    <cellStyle name="Percent 2 8 25" xfId="10243"/>
    <cellStyle name="Percent 2 8 25 2" xfId="10244"/>
    <cellStyle name="Percent 2 8 25 3" xfId="10245"/>
    <cellStyle name="Percent 2 8 25 4" xfId="10246"/>
    <cellStyle name="Percent 2 8 25 5" xfId="10247"/>
    <cellStyle name="Percent 2 8 26" xfId="10248"/>
    <cellStyle name="Percent 2 8 26 2" xfId="10249"/>
    <cellStyle name="Percent 2 8 26 3" xfId="10250"/>
    <cellStyle name="Percent 2 8 26 4" xfId="10251"/>
    <cellStyle name="Percent 2 8 26 5" xfId="10252"/>
    <cellStyle name="Percent 2 8 27" xfId="10253"/>
    <cellStyle name="Percent 2 8 27 2" xfId="10254"/>
    <cellStyle name="Percent 2 8 27 3" xfId="10255"/>
    <cellStyle name="Percent 2 8 27 4" xfId="10256"/>
    <cellStyle name="Percent 2 8 27 5" xfId="10257"/>
    <cellStyle name="Percent 2 8 28" xfId="10258"/>
    <cellStyle name="Percent 2 8 28 2" xfId="10259"/>
    <cellStyle name="Percent 2 8 28 3" xfId="10260"/>
    <cellStyle name="Percent 2 8 28 4" xfId="10261"/>
    <cellStyle name="Percent 2 8 28 5" xfId="10262"/>
    <cellStyle name="Percent 2 8 29" xfId="10263"/>
    <cellStyle name="Percent 2 8 29 2" xfId="10264"/>
    <cellStyle name="Percent 2 8 29 3" xfId="10265"/>
    <cellStyle name="Percent 2 8 29 4" xfId="10266"/>
    <cellStyle name="Percent 2 8 29 5" xfId="10267"/>
    <cellStyle name="Percent 2 8 3" xfId="10268"/>
    <cellStyle name="Percent 2 8 3 2" xfId="10269"/>
    <cellStyle name="Percent 2 8 3 3" xfId="10270"/>
    <cellStyle name="Percent 2 8 3 4" xfId="10271"/>
    <cellStyle name="Percent 2 8 3 5" xfId="10272"/>
    <cellStyle name="Percent 2 8 30" xfId="10273"/>
    <cellStyle name="Percent 2 8 30 2" xfId="10274"/>
    <cellStyle name="Percent 2 8 30 3" xfId="10275"/>
    <cellStyle name="Percent 2 8 30 4" xfId="10276"/>
    <cellStyle name="Percent 2 8 30 5" xfId="10277"/>
    <cellStyle name="Percent 2 8 31" xfId="10278"/>
    <cellStyle name="Percent 2 8 32" xfId="10279"/>
    <cellStyle name="Percent 2 8 33" xfId="10280"/>
    <cellStyle name="Percent 2 8 34" xfId="10281"/>
    <cellStyle name="Percent 2 8 35" xfId="10282"/>
    <cellStyle name="Percent 2 8 35 2" xfId="12622"/>
    <cellStyle name="Percent 2 8 36" xfId="10283"/>
    <cellStyle name="Percent 2 8 36 2" xfId="12623"/>
    <cellStyle name="Percent 2 8 37" xfId="10284"/>
    <cellStyle name="Percent 2 8 37 2" xfId="12624"/>
    <cellStyle name="Percent 2 8 38" xfId="10285"/>
    <cellStyle name="Percent 2 8 38 2" xfId="12625"/>
    <cellStyle name="Percent 2 8 39" xfId="10286"/>
    <cellStyle name="Percent 2 8 39 2" xfId="12626"/>
    <cellStyle name="Percent 2 8 4" xfId="10287"/>
    <cellStyle name="Percent 2 8 4 2" xfId="10288"/>
    <cellStyle name="Percent 2 8 4 3" xfId="10289"/>
    <cellStyle name="Percent 2 8 4 4" xfId="10290"/>
    <cellStyle name="Percent 2 8 4 5" xfId="10291"/>
    <cellStyle name="Percent 2 8 40" xfId="10292"/>
    <cellStyle name="Percent 2 8 40 2" xfId="12627"/>
    <cellStyle name="Percent 2 8 41" xfId="10293"/>
    <cellStyle name="Percent 2 8 41 2" xfId="12628"/>
    <cellStyle name="Percent 2 8 42" xfId="10294"/>
    <cellStyle name="Percent 2 8 42 2" xfId="12629"/>
    <cellStyle name="Percent 2 8 43" xfId="10295"/>
    <cellStyle name="Percent 2 8 43 2" xfId="12630"/>
    <cellStyle name="Percent 2 8 44" xfId="10296"/>
    <cellStyle name="Percent 2 8 44 2" xfId="12631"/>
    <cellStyle name="Percent 2 8 45" xfId="10297"/>
    <cellStyle name="Percent 2 8 45 2" xfId="12632"/>
    <cellStyle name="Percent 2 8 46" xfId="10298"/>
    <cellStyle name="Percent 2 8 46 2" xfId="12633"/>
    <cellStyle name="Percent 2 8 47" xfId="12621"/>
    <cellStyle name="Percent 2 8 5" xfId="10299"/>
    <cellStyle name="Percent 2 8 5 2" xfId="10300"/>
    <cellStyle name="Percent 2 8 5 3" xfId="10301"/>
    <cellStyle name="Percent 2 8 5 4" xfId="10302"/>
    <cellStyle name="Percent 2 8 5 5" xfId="10303"/>
    <cellStyle name="Percent 2 8 6" xfId="10304"/>
    <cellStyle name="Percent 2 8 6 2" xfId="10305"/>
    <cellStyle name="Percent 2 8 6 3" xfId="10306"/>
    <cellStyle name="Percent 2 8 6 4" xfId="10307"/>
    <cellStyle name="Percent 2 8 6 5" xfId="10308"/>
    <cellStyle name="Percent 2 8 7" xfId="10309"/>
    <cellStyle name="Percent 2 8 7 2" xfId="10310"/>
    <cellStyle name="Percent 2 8 7 3" xfId="10311"/>
    <cellStyle name="Percent 2 8 7 4" xfId="10312"/>
    <cellStyle name="Percent 2 8 7 5" xfId="10313"/>
    <cellStyle name="Percent 2 8 8" xfId="10314"/>
    <cellStyle name="Percent 2 8 8 2" xfId="10315"/>
    <cellStyle name="Percent 2 8 8 3" xfId="10316"/>
    <cellStyle name="Percent 2 8 8 4" xfId="10317"/>
    <cellStyle name="Percent 2 8 8 5" xfId="10318"/>
    <cellStyle name="Percent 2 8 9" xfId="10319"/>
    <cellStyle name="Percent 2 8 9 2" xfId="10320"/>
    <cellStyle name="Percent 2 8 9 3" xfId="10321"/>
    <cellStyle name="Percent 2 8 9 4" xfId="10322"/>
    <cellStyle name="Percent 2 8 9 5" xfId="10323"/>
    <cellStyle name="Percent 2 80" xfId="11352"/>
    <cellStyle name="Percent 2 80 2" xfId="12634"/>
    <cellStyle name="Percent 2 81" xfId="11354"/>
    <cellStyle name="Percent 2 81 2" xfId="12635"/>
    <cellStyle name="Percent 2 82" xfId="12407"/>
    <cellStyle name="Percent 2 9" xfId="10324"/>
    <cellStyle name="Percent 2 9 10" xfId="10325"/>
    <cellStyle name="Percent 2 9 10 2" xfId="10326"/>
    <cellStyle name="Percent 2 9 10 3" xfId="10327"/>
    <cellStyle name="Percent 2 9 10 4" xfId="10328"/>
    <cellStyle name="Percent 2 9 10 5" xfId="10329"/>
    <cellStyle name="Percent 2 9 11" xfId="10330"/>
    <cellStyle name="Percent 2 9 11 2" xfId="10331"/>
    <cellStyle name="Percent 2 9 11 3" xfId="10332"/>
    <cellStyle name="Percent 2 9 11 4" xfId="10333"/>
    <cellStyle name="Percent 2 9 11 5" xfId="10334"/>
    <cellStyle name="Percent 2 9 12" xfId="10335"/>
    <cellStyle name="Percent 2 9 12 2" xfId="10336"/>
    <cellStyle name="Percent 2 9 12 3" xfId="10337"/>
    <cellStyle name="Percent 2 9 12 4" xfId="10338"/>
    <cellStyle name="Percent 2 9 12 5" xfId="10339"/>
    <cellStyle name="Percent 2 9 13" xfId="10340"/>
    <cellStyle name="Percent 2 9 13 2" xfId="10341"/>
    <cellStyle name="Percent 2 9 13 3" xfId="10342"/>
    <cellStyle name="Percent 2 9 13 4" xfId="10343"/>
    <cellStyle name="Percent 2 9 13 5" xfId="10344"/>
    <cellStyle name="Percent 2 9 14" xfId="10345"/>
    <cellStyle name="Percent 2 9 14 2" xfId="10346"/>
    <cellStyle name="Percent 2 9 14 3" xfId="10347"/>
    <cellStyle name="Percent 2 9 14 4" xfId="10348"/>
    <cellStyle name="Percent 2 9 14 5" xfId="10349"/>
    <cellStyle name="Percent 2 9 15" xfId="10350"/>
    <cellStyle name="Percent 2 9 15 2" xfId="10351"/>
    <cellStyle name="Percent 2 9 15 3" xfId="10352"/>
    <cellStyle name="Percent 2 9 15 4" xfId="10353"/>
    <cellStyle name="Percent 2 9 15 5" xfId="10354"/>
    <cellStyle name="Percent 2 9 16" xfId="10355"/>
    <cellStyle name="Percent 2 9 16 2" xfId="10356"/>
    <cellStyle name="Percent 2 9 16 3" xfId="10357"/>
    <cellStyle name="Percent 2 9 16 4" xfId="10358"/>
    <cellStyle name="Percent 2 9 16 5" xfId="10359"/>
    <cellStyle name="Percent 2 9 17" xfId="10360"/>
    <cellStyle name="Percent 2 9 17 2" xfId="10361"/>
    <cellStyle name="Percent 2 9 17 3" xfId="10362"/>
    <cellStyle name="Percent 2 9 17 4" xfId="10363"/>
    <cellStyle name="Percent 2 9 17 5" xfId="10364"/>
    <cellStyle name="Percent 2 9 18" xfId="10365"/>
    <cellStyle name="Percent 2 9 18 2" xfId="10366"/>
    <cellStyle name="Percent 2 9 18 3" xfId="10367"/>
    <cellStyle name="Percent 2 9 18 4" xfId="10368"/>
    <cellStyle name="Percent 2 9 18 5" xfId="10369"/>
    <cellStyle name="Percent 2 9 19" xfId="10370"/>
    <cellStyle name="Percent 2 9 19 2" xfId="10371"/>
    <cellStyle name="Percent 2 9 19 3" xfId="10372"/>
    <cellStyle name="Percent 2 9 19 4" xfId="10373"/>
    <cellStyle name="Percent 2 9 19 5" xfId="10374"/>
    <cellStyle name="Percent 2 9 2" xfId="10375"/>
    <cellStyle name="Percent 2 9 2 2" xfId="10376"/>
    <cellStyle name="Percent 2 9 2 3" xfId="10377"/>
    <cellStyle name="Percent 2 9 2 4" xfId="10378"/>
    <cellStyle name="Percent 2 9 2 5" xfId="10379"/>
    <cellStyle name="Percent 2 9 20" xfId="10380"/>
    <cellStyle name="Percent 2 9 20 2" xfId="10381"/>
    <cellStyle name="Percent 2 9 20 3" xfId="10382"/>
    <cellStyle name="Percent 2 9 20 4" xfId="10383"/>
    <cellStyle name="Percent 2 9 20 5" xfId="10384"/>
    <cellStyle name="Percent 2 9 21" xfId="10385"/>
    <cellStyle name="Percent 2 9 21 2" xfId="10386"/>
    <cellStyle name="Percent 2 9 21 3" xfId="10387"/>
    <cellStyle name="Percent 2 9 21 4" xfId="10388"/>
    <cellStyle name="Percent 2 9 21 5" xfId="10389"/>
    <cellStyle name="Percent 2 9 22" xfId="10390"/>
    <cellStyle name="Percent 2 9 22 2" xfId="10391"/>
    <cellStyle name="Percent 2 9 22 3" xfId="10392"/>
    <cellStyle name="Percent 2 9 22 4" xfId="10393"/>
    <cellStyle name="Percent 2 9 22 5" xfId="10394"/>
    <cellStyle name="Percent 2 9 23" xfId="10395"/>
    <cellStyle name="Percent 2 9 23 2" xfId="10396"/>
    <cellStyle name="Percent 2 9 23 3" xfId="10397"/>
    <cellStyle name="Percent 2 9 23 4" xfId="10398"/>
    <cellStyle name="Percent 2 9 23 5" xfId="10399"/>
    <cellStyle name="Percent 2 9 24" xfId="10400"/>
    <cellStyle name="Percent 2 9 24 2" xfId="10401"/>
    <cellStyle name="Percent 2 9 24 3" xfId="10402"/>
    <cellStyle name="Percent 2 9 24 4" xfId="10403"/>
    <cellStyle name="Percent 2 9 24 5" xfId="10404"/>
    <cellStyle name="Percent 2 9 25" xfId="10405"/>
    <cellStyle name="Percent 2 9 25 2" xfId="10406"/>
    <cellStyle name="Percent 2 9 25 3" xfId="10407"/>
    <cellStyle name="Percent 2 9 25 4" xfId="10408"/>
    <cellStyle name="Percent 2 9 25 5" xfId="10409"/>
    <cellStyle name="Percent 2 9 26" xfId="10410"/>
    <cellStyle name="Percent 2 9 26 2" xfId="10411"/>
    <cellStyle name="Percent 2 9 26 3" xfId="10412"/>
    <cellStyle name="Percent 2 9 26 4" xfId="10413"/>
    <cellStyle name="Percent 2 9 26 5" xfId="10414"/>
    <cellStyle name="Percent 2 9 27" xfId="10415"/>
    <cellStyle name="Percent 2 9 27 2" xfId="10416"/>
    <cellStyle name="Percent 2 9 27 3" xfId="10417"/>
    <cellStyle name="Percent 2 9 27 4" xfId="10418"/>
    <cellStyle name="Percent 2 9 27 5" xfId="10419"/>
    <cellStyle name="Percent 2 9 28" xfId="10420"/>
    <cellStyle name="Percent 2 9 28 2" xfId="10421"/>
    <cellStyle name="Percent 2 9 28 3" xfId="10422"/>
    <cellStyle name="Percent 2 9 28 4" xfId="10423"/>
    <cellStyle name="Percent 2 9 28 5" xfId="10424"/>
    <cellStyle name="Percent 2 9 29" xfId="10425"/>
    <cellStyle name="Percent 2 9 29 2" xfId="10426"/>
    <cellStyle name="Percent 2 9 29 3" xfId="10427"/>
    <cellStyle name="Percent 2 9 29 4" xfId="10428"/>
    <cellStyle name="Percent 2 9 29 5" xfId="10429"/>
    <cellStyle name="Percent 2 9 3" xfId="10430"/>
    <cellStyle name="Percent 2 9 3 2" xfId="10431"/>
    <cellStyle name="Percent 2 9 3 3" xfId="10432"/>
    <cellStyle name="Percent 2 9 3 4" xfId="10433"/>
    <cellStyle name="Percent 2 9 3 5" xfId="10434"/>
    <cellStyle name="Percent 2 9 30" xfId="10435"/>
    <cellStyle name="Percent 2 9 30 2" xfId="10436"/>
    <cellStyle name="Percent 2 9 30 3" xfId="10437"/>
    <cellStyle name="Percent 2 9 30 4" xfId="10438"/>
    <cellStyle name="Percent 2 9 30 5" xfId="10439"/>
    <cellStyle name="Percent 2 9 31" xfId="10440"/>
    <cellStyle name="Percent 2 9 32" xfId="10441"/>
    <cellStyle name="Percent 2 9 33" xfId="10442"/>
    <cellStyle name="Percent 2 9 34" xfId="10443"/>
    <cellStyle name="Percent 2 9 35" xfId="10444"/>
    <cellStyle name="Percent 2 9 35 2" xfId="12637"/>
    <cellStyle name="Percent 2 9 36" xfId="10445"/>
    <cellStyle name="Percent 2 9 36 2" xfId="12638"/>
    <cellStyle name="Percent 2 9 37" xfId="10446"/>
    <cellStyle name="Percent 2 9 37 2" xfId="12639"/>
    <cellStyle name="Percent 2 9 38" xfId="10447"/>
    <cellStyle name="Percent 2 9 38 2" xfId="12640"/>
    <cellStyle name="Percent 2 9 39" xfId="10448"/>
    <cellStyle name="Percent 2 9 39 2" xfId="12641"/>
    <cellStyle name="Percent 2 9 4" xfId="10449"/>
    <cellStyle name="Percent 2 9 4 2" xfId="10450"/>
    <cellStyle name="Percent 2 9 4 3" xfId="10451"/>
    <cellStyle name="Percent 2 9 4 4" xfId="10452"/>
    <cellStyle name="Percent 2 9 4 5" xfId="10453"/>
    <cellStyle name="Percent 2 9 40" xfId="10454"/>
    <cellStyle name="Percent 2 9 40 2" xfId="12642"/>
    <cellStyle name="Percent 2 9 41" xfId="10455"/>
    <cellStyle name="Percent 2 9 41 2" xfId="12643"/>
    <cellStyle name="Percent 2 9 42" xfId="10456"/>
    <cellStyle name="Percent 2 9 42 2" xfId="12644"/>
    <cellStyle name="Percent 2 9 43" xfId="10457"/>
    <cellStyle name="Percent 2 9 43 2" xfId="12645"/>
    <cellStyle name="Percent 2 9 44" xfId="10458"/>
    <cellStyle name="Percent 2 9 44 2" xfId="12646"/>
    <cellStyle name="Percent 2 9 45" xfId="10459"/>
    <cellStyle name="Percent 2 9 45 2" xfId="12647"/>
    <cellStyle name="Percent 2 9 46" xfId="10460"/>
    <cellStyle name="Percent 2 9 46 2" xfId="12648"/>
    <cellStyle name="Percent 2 9 47" xfId="12636"/>
    <cellStyle name="Percent 2 9 5" xfId="10461"/>
    <cellStyle name="Percent 2 9 5 2" xfId="10462"/>
    <cellStyle name="Percent 2 9 5 3" xfId="10463"/>
    <cellStyle name="Percent 2 9 5 4" xfId="10464"/>
    <cellStyle name="Percent 2 9 5 5" xfId="10465"/>
    <cellStyle name="Percent 2 9 6" xfId="10466"/>
    <cellStyle name="Percent 2 9 6 2" xfId="10467"/>
    <cellStyle name="Percent 2 9 6 3" xfId="10468"/>
    <cellStyle name="Percent 2 9 6 4" xfId="10469"/>
    <cellStyle name="Percent 2 9 6 5" xfId="10470"/>
    <cellStyle name="Percent 2 9 7" xfId="10471"/>
    <cellStyle name="Percent 2 9 7 2" xfId="10472"/>
    <cellStyle name="Percent 2 9 7 3" xfId="10473"/>
    <cellStyle name="Percent 2 9 7 4" xfId="10474"/>
    <cellStyle name="Percent 2 9 7 5" xfId="10475"/>
    <cellStyle name="Percent 2 9 8" xfId="10476"/>
    <cellStyle name="Percent 2 9 8 2" xfId="10477"/>
    <cellStyle name="Percent 2 9 8 3" xfId="10478"/>
    <cellStyle name="Percent 2 9 8 4" xfId="10479"/>
    <cellStyle name="Percent 2 9 8 5" xfId="10480"/>
    <cellStyle name="Percent 2 9 9" xfId="10481"/>
    <cellStyle name="Percent 2 9 9 2" xfId="10482"/>
    <cellStyle name="Percent 2 9 9 3" xfId="10483"/>
    <cellStyle name="Percent 2 9 9 4" xfId="10484"/>
    <cellStyle name="Percent 2 9 9 5" xfId="10485"/>
    <cellStyle name="Percent 3" xfId="259"/>
    <cellStyle name="Percent 3 10" xfId="10486"/>
    <cellStyle name="Percent 3 11" xfId="10487"/>
    <cellStyle name="Percent 3 12" xfId="10488"/>
    <cellStyle name="Percent 3 13" xfId="10489"/>
    <cellStyle name="Percent 3 14" xfId="10490"/>
    <cellStyle name="Percent 3 15" xfId="10491"/>
    <cellStyle name="Percent 3 16" xfId="10492"/>
    <cellStyle name="Percent 3 17" xfId="10493"/>
    <cellStyle name="Percent 3 18" xfId="10494"/>
    <cellStyle name="Percent 3 19" xfId="10495"/>
    <cellStyle name="Percent 3 2" xfId="10496"/>
    <cellStyle name="Percent 3 2 10" xfId="10497"/>
    <cellStyle name="Percent 3 2 11" xfId="10498"/>
    <cellStyle name="Percent 3 2 12" xfId="10499"/>
    <cellStyle name="Percent 3 2 13" xfId="10500"/>
    <cellStyle name="Percent 3 2 14" xfId="10501"/>
    <cellStyle name="Percent 3 2 15" xfId="10502"/>
    <cellStyle name="Percent 3 2 16" xfId="10503"/>
    <cellStyle name="Percent 3 2 17" xfId="10504"/>
    <cellStyle name="Percent 3 2 18" xfId="10505"/>
    <cellStyle name="Percent 3 2 19" xfId="10506"/>
    <cellStyle name="Percent 3 2 2" xfId="10507"/>
    <cellStyle name="Percent 3 2 2 10" xfId="10508"/>
    <cellStyle name="Percent 3 2 2 11" xfId="10509"/>
    <cellStyle name="Percent 3 2 2 12" xfId="10510"/>
    <cellStyle name="Percent 3 2 2 13" xfId="10511"/>
    <cellStyle name="Percent 3 2 2 2" xfId="10512"/>
    <cellStyle name="Percent 3 2 2 3" xfId="10513"/>
    <cellStyle name="Percent 3 2 2 4" xfId="10514"/>
    <cellStyle name="Percent 3 2 2 5" xfId="10515"/>
    <cellStyle name="Percent 3 2 2 6" xfId="10516"/>
    <cellStyle name="Percent 3 2 2 7" xfId="10517"/>
    <cellStyle name="Percent 3 2 2 8" xfId="10518"/>
    <cellStyle name="Percent 3 2 2 9" xfId="10519"/>
    <cellStyle name="Percent 3 2 20" xfId="10520"/>
    <cellStyle name="Percent 3 2 21" xfId="10521"/>
    <cellStyle name="Percent 3 2 22" xfId="10522"/>
    <cellStyle name="Percent 3 2 23" xfId="10523"/>
    <cellStyle name="Percent 3 2 24" xfId="10524"/>
    <cellStyle name="Percent 3 2 25" xfId="10525"/>
    <cellStyle name="Percent 3 2 26" xfId="10526"/>
    <cellStyle name="Percent 3 2 27" xfId="10527"/>
    <cellStyle name="Percent 3 2 28" xfId="10528"/>
    <cellStyle name="Percent 3 2 29" xfId="10529"/>
    <cellStyle name="Percent 3 2 3" xfId="10530"/>
    <cellStyle name="Percent 3 2 30" xfId="10531"/>
    <cellStyle name="Percent 3 2 31" xfId="10532"/>
    <cellStyle name="Percent 3 2 32" xfId="10533"/>
    <cellStyle name="Percent 3 2 33" xfId="10534"/>
    <cellStyle name="Percent 3 2 34" xfId="10535"/>
    <cellStyle name="Percent 3 2 35" xfId="10536"/>
    <cellStyle name="Percent 3 2 36" xfId="10537"/>
    <cellStyle name="Percent 3 2 37" xfId="10538"/>
    <cellStyle name="Percent 3 2 38" xfId="10539"/>
    <cellStyle name="Percent 3 2 39" xfId="10540"/>
    <cellStyle name="Percent 3 2 4" xfId="10541"/>
    <cellStyle name="Percent 3 2 40" xfId="10542"/>
    <cellStyle name="Percent 3 2 41" xfId="10543"/>
    <cellStyle name="Percent 3 2 42" xfId="10544"/>
    <cellStyle name="Percent 3 2 43" xfId="10545"/>
    <cellStyle name="Percent 3 2 44" xfId="10546"/>
    <cellStyle name="Percent 3 2 45" xfId="10547"/>
    <cellStyle name="Percent 3 2 46" xfId="10548"/>
    <cellStyle name="Percent 3 2 47" xfId="10549"/>
    <cellStyle name="Percent 3 2 48" xfId="10550"/>
    <cellStyle name="Percent 3 2 5" xfId="10551"/>
    <cellStyle name="Percent 3 2 6" xfId="10552"/>
    <cellStyle name="Percent 3 2 7" xfId="10553"/>
    <cellStyle name="Percent 3 2 8" xfId="10554"/>
    <cellStyle name="Percent 3 2 9" xfId="10555"/>
    <cellStyle name="Percent 3 20" xfId="10556"/>
    <cellStyle name="Percent 3 21" xfId="10557"/>
    <cellStyle name="Percent 3 22" xfId="10558"/>
    <cellStyle name="Percent 3 23" xfId="10559"/>
    <cellStyle name="Percent 3 24" xfId="10560"/>
    <cellStyle name="Percent 3 25" xfId="10561"/>
    <cellStyle name="Percent 3 26" xfId="10562"/>
    <cellStyle name="Percent 3 27" xfId="10563"/>
    <cellStyle name="Percent 3 28" xfId="10564"/>
    <cellStyle name="Percent 3 29" xfId="10565"/>
    <cellStyle name="Percent 3 3" xfId="10566"/>
    <cellStyle name="Percent 3 30" xfId="10567"/>
    <cellStyle name="Percent 3 31" xfId="10568"/>
    <cellStyle name="Percent 3 32" xfId="10569"/>
    <cellStyle name="Percent 3 33" xfId="10570"/>
    <cellStyle name="Percent 3 34" xfId="10571"/>
    <cellStyle name="Percent 3 35" xfId="10572"/>
    <cellStyle name="Percent 3 36" xfId="10573"/>
    <cellStyle name="Percent 3 37" xfId="10574"/>
    <cellStyle name="Percent 3 38" xfId="10575"/>
    <cellStyle name="Percent 3 39" xfId="10576"/>
    <cellStyle name="Percent 3 4" xfId="10577"/>
    <cellStyle name="Percent 3 40" xfId="10578"/>
    <cellStyle name="Percent 3 41" xfId="10579"/>
    <cellStyle name="Percent 3 42" xfId="10580"/>
    <cellStyle name="Percent 3 43" xfId="10581"/>
    <cellStyle name="Percent 3 44" xfId="10582"/>
    <cellStyle name="Percent 3 45" xfId="10583"/>
    <cellStyle name="Percent 3 46" xfId="10584"/>
    <cellStyle name="Percent 3 47" xfId="10585"/>
    <cellStyle name="Percent 3 48" xfId="10586"/>
    <cellStyle name="Percent 3 49" xfId="10587"/>
    <cellStyle name="Percent 3 5" xfId="10588"/>
    <cellStyle name="Percent 3 50" xfId="10589"/>
    <cellStyle name="Percent 3 51" xfId="10590"/>
    <cellStyle name="Percent 3 52" xfId="10591"/>
    <cellStyle name="Percent 3 53" xfId="10592"/>
    <cellStyle name="Percent 3 54" xfId="10593"/>
    <cellStyle name="Percent 3 55" xfId="10594"/>
    <cellStyle name="Percent 3 56" xfId="10595"/>
    <cellStyle name="Percent 3 57" xfId="10596"/>
    <cellStyle name="Percent 3 58" xfId="10597"/>
    <cellStyle name="Percent 3 59" xfId="10598"/>
    <cellStyle name="Percent 3 6" xfId="10599"/>
    <cellStyle name="Percent 3 60" xfId="10600"/>
    <cellStyle name="Percent 3 61" xfId="10601"/>
    <cellStyle name="Percent 3 62" xfId="10602"/>
    <cellStyle name="Percent 3 63" xfId="10603"/>
    <cellStyle name="Percent 3 64" xfId="10604"/>
    <cellStyle name="Percent 3 65" xfId="10605"/>
    <cellStyle name="Percent 3 66" xfId="10606"/>
    <cellStyle name="Percent 3 67" xfId="10607"/>
    <cellStyle name="Percent 3 68" xfId="10608"/>
    <cellStyle name="Percent 3 69" xfId="10609"/>
    <cellStyle name="Percent 3 7" xfId="10610"/>
    <cellStyle name="Percent 3 70" xfId="10611"/>
    <cellStyle name="Percent 3 71" xfId="10612"/>
    <cellStyle name="Percent 3 72" xfId="10613"/>
    <cellStyle name="Percent 3 73" xfId="10614"/>
    <cellStyle name="Percent 3 74" xfId="10615"/>
    <cellStyle name="Percent 3 75" xfId="10616"/>
    <cellStyle name="Percent 3 76" xfId="10617"/>
    <cellStyle name="Percent 3 77" xfId="10618"/>
    <cellStyle name="Percent 3 8" xfId="10619"/>
    <cellStyle name="Percent 3 9" xfId="10620"/>
    <cellStyle name="Percent 4" xfId="10621"/>
    <cellStyle name="Percent 4 10" xfId="10622"/>
    <cellStyle name="Percent 4 11" xfId="10623"/>
    <cellStyle name="Percent 4 12" xfId="10624"/>
    <cellStyle name="Percent 4 13" xfId="10625"/>
    <cellStyle name="Percent 4 14" xfId="10626"/>
    <cellStyle name="Percent 4 15" xfId="10627"/>
    <cellStyle name="Percent 4 16" xfId="10628"/>
    <cellStyle name="Percent 4 17" xfId="10629"/>
    <cellStyle name="Percent 4 18" xfId="10630"/>
    <cellStyle name="Percent 4 19" xfId="10631"/>
    <cellStyle name="Percent 4 2" xfId="10632"/>
    <cellStyle name="Percent 4 20" xfId="10633"/>
    <cellStyle name="Percent 4 3" xfId="10634"/>
    <cellStyle name="Percent 4 4" xfId="10635"/>
    <cellStyle name="Percent 4 5" xfId="10636"/>
    <cellStyle name="Percent 4 6" xfId="10637"/>
    <cellStyle name="Percent 4 7" xfId="10638"/>
    <cellStyle name="Percent 4 8" xfId="10639"/>
    <cellStyle name="Percent 4 9" xfId="10640"/>
    <cellStyle name="Percent 5" xfId="10641"/>
    <cellStyle name="Percent 6" xfId="11341"/>
    <cellStyle name="Percent 6 2" xfId="11345"/>
    <cellStyle name="Percent 6 2 2" xfId="12650"/>
    <cellStyle name="Percent 6 3" xfId="12649"/>
    <cellStyle name="Title" xfId="3" builtinId="15" customBuiltin="1"/>
    <cellStyle name="Total" xfId="19" builtinId="25" customBuiltin="1"/>
    <cellStyle name="Warning Text" xfId="16" builtinId="11" customBuiltin="1"/>
  </cellStyles>
  <dxfs count="327">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strike val="0"/>
      </font>
      <fill>
        <patternFill>
          <bgColor theme="0" tint="-4.9989318521683403E-2"/>
        </patternFill>
      </fill>
    </dxf>
    <dxf>
      <font>
        <b/>
        <i val="0"/>
      </font>
      <fill>
        <patternFill>
          <bgColor rgb="FFFFFF00"/>
        </patternFill>
      </fill>
    </dxf>
    <dxf>
      <font>
        <b val="0"/>
        <i/>
        <color auto="1"/>
      </font>
      <fill>
        <patternFill>
          <bgColor rgb="FFFFFF00"/>
        </patternFill>
      </fill>
    </dxf>
    <dxf>
      <fill>
        <patternFill>
          <bgColor theme="0" tint="-0.14996795556505021"/>
        </patternFill>
      </fill>
    </dxf>
    <dxf>
      <fill>
        <patternFill>
          <bgColor theme="0" tint="-4.9989318521683403E-2"/>
        </patternFill>
      </fill>
    </dxf>
    <dxf>
      <font>
        <b/>
        <i val="0"/>
      </font>
      <fill>
        <patternFill>
          <bgColor rgb="FFFFFF00"/>
        </patternFill>
      </fill>
    </dxf>
    <dxf>
      <font>
        <b/>
        <i val="0"/>
        <strike val="0"/>
      </font>
      <fill>
        <patternFill>
          <bgColor theme="0" tint="-4.9989318521683403E-2"/>
        </patternFill>
      </fill>
    </dxf>
    <dxf>
      <font>
        <b/>
        <i val="0"/>
      </font>
      <fill>
        <patternFill>
          <bgColor rgb="FFFFFF00"/>
        </patternFill>
      </fill>
    </dxf>
    <dxf>
      <font>
        <b val="0"/>
        <i/>
        <color auto="1"/>
      </font>
      <fill>
        <patternFill>
          <bgColor rgb="FFFFFF00"/>
        </patternFill>
      </fill>
    </dxf>
    <dxf>
      <fill>
        <patternFill>
          <bgColor theme="0" tint="-0.14996795556505021"/>
        </patternFill>
      </fill>
    </dxf>
    <dxf>
      <fill>
        <patternFill>
          <bgColor theme="0" tint="-4.9989318521683403E-2"/>
        </patternFill>
      </fill>
    </dxf>
    <dxf>
      <font>
        <b/>
        <i val="0"/>
      </font>
      <fill>
        <patternFill>
          <bgColor rgb="FFFFFF00"/>
        </patternFill>
      </fill>
    </dxf>
    <dxf>
      <font>
        <b/>
        <i val="0"/>
        <strike val="0"/>
      </font>
      <fill>
        <patternFill>
          <bgColor theme="0" tint="-4.9989318521683403E-2"/>
        </patternFill>
      </fill>
    </dxf>
    <dxf>
      <font>
        <b/>
        <i val="0"/>
      </font>
      <fill>
        <patternFill>
          <bgColor rgb="FFFFFF00"/>
        </patternFill>
      </fill>
    </dxf>
    <dxf>
      <font>
        <b/>
        <i val="0"/>
        <strike val="0"/>
      </font>
      <fill>
        <patternFill>
          <bgColor theme="0" tint="-4.9989318521683403E-2"/>
        </patternFill>
      </fill>
    </dxf>
    <dxf>
      <font>
        <b/>
        <i val="0"/>
        <strike val="0"/>
      </font>
      <fill>
        <patternFill>
          <bgColor theme="0" tint="-4.9989318521683403E-2"/>
        </patternFill>
      </fill>
    </dxf>
    <dxf>
      <font>
        <b val="0"/>
        <i/>
        <color auto="1"/>
      </font>
      <fill>
        <patternFill>
          <bgColor rgb="FFFFFF00"/>
        </patternFill>
      </fill>
    </dxf>
    <dxf>
      <fill>
        <patternFill>
          <bgColor theme="0" tint="-0.14996795556505021"/>
        </patternFill>
      </fill>
    </dxf>
    <dxf>
      <fill>
        <patternFill>
          <bgColor theme="0" tint="-4.9989318521683403E-2"/>
        </patternFill>
      </fill>
    </dxf>
    <dxf>
      <font>
        <b/>
        <i val="0"/>
        <strike val="0"/>
      </font>
      <fill>
        <patternFill>
          <bgColor theme="0" tint="-4.9989318521683403E-2"/>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theme="0" tint="-0.14996795556505021"/>
        </patternFill>
      </fill>
    </dxf>
    <dxf>
      <font>
        <b val="0"/>
        <i/>
      </font>
      <fill>
        <patternFill>
          <bgColor rgb="FFFFFF00"/>
        </patternFill>
      </fill>
    </dxf>
    <dxf>
      <font>
        <b/>
        <i val="0"/>
      </font>
      <fill>
        <patternFill>
          <bgColor rgb="FFFFFF00"/>
        </patternFill>
      </fill>
    </dxf>
    <dxf>
      <font>
        <b/>
        <i val="0"/>
      </font>
      <fill>
        <patternFill>
          <bgColor rgb="FFFFFF00"/>
        </patternFill>
      </fill>
    </dxf>
    <dxf>
      <font>
        <b/>
        <i val="0"/>
      </font>
      <fill>
        <patternFill>
          <bgColor theme="0" tint="-0.14996795556505021"/>
        </patternFill>
      </fill>
    </dxf>
    <dxf>
      <font>
        <b val="0"/>
        <i/>
      </font>
      <fill>
        <patternFill>
          <bgColor rgb="FFFFFF00"/>
        </patternFill>
      </fill>
    </dxf>
    <dxf>
      <font>
        <b/>
        <i val="0"/>
      </font>
      <fill>
        <patternFill>
          <bgColor rgb="FFFFFF00"/>
        </patternFill>
      </fill>
    </dxf>
    <dxf>
      <font>
        <b/>
        <i val="0"/>
      </font>
      <fill>
        <patternFill>
          <bgColor rgb="FFFFFF00"/>
        </patternFill>
      </fill>
    </dxf>
    <dxf>
      <font>
        <b/>
        <i val="0"/>
      </font>
      <fill>
        <patternFill>
          <bgColor theme="0" tint="-0.14996795556505021"/>
        </patternFill>
      </fill>
    </dxf>
    <dxf>
      <font>
        <b val="0"/>
        <i/>
      </font>
      <fill>
        <patternFill>
          <bgColor rgb="FFFFFF00"/>
        </patternFill>
      </fill>
    </dxf>
    <dxf>
      <font>
        <b/>
        <i val="0"/>
      </font>
      <fill>
        <patternFill>
          <bgColor theme="0" tint="-0.14996795556505021"/>
        </patternFill>
      </fill>
    </dxf>
    <dxf>
      <font>
        <b val="0"/>
        <i/>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theme="0" tint="-0.14996795556505021"/>
        </patternFill>
      </fill>
    </dxf>
    <dxf>
      <font>
        <b val="0"/>
        <i/>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i val="0"/>
      </font>
      <fill>
        <patternFill>
          <bgColor rgb="FFFFFF00"/>
        </patternFill>
      </fill>
    </dxf>
    <dxf>
      <font>
        <b val="0"/>
        <i val="0"/>
        <color auto="1"/>
      </font>
      <fill>
        <patternFill>
          <bgColor theme="0" tint="-0.14996795556505021"/>
        </patternFill>
      </fill>
    </dxf>
    <dxf>
      <font>
        <b val="0"/>
        <i val="0"/>
        <color auto="1"/>
      </font>
      <fill>
        <patternFill>
          <bgColor theme="0" tint="-0.14996795556505021"/>
        </patternFill>
      </fill>
    </dxf>
    <dxf>
      <font>
        <b val="0"/>
        <i val="0"/>
        <color auto="1"/>
      </font>
      <fill>
        <patternFill>
          <bgColor theme="0" tint="-0.14996795556505021"/>
        </patternFill>
      </fill>
    </dxf>
    <dxf>
      <font>
        <b/>
        <i val="0"/>
      </font>
      <fill>
        <patternFill>
          <bgColor theme="0" tint="-0.14996795556505021"/>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i val="0"/>
        <strike val="0"/>
      </font>
      <fill>
        <patternFill>
          <bgColor theme="0" tint="-4.9989318521683403E-2"/>
        </patternFill>
      </fill>
    </dxf>
    <dxf>
      <fill>
        <patternFill>
          <bgColor theme="0" tint="-0.14996795556505021"/>
        </patternFill>
      </fill>
    </dxf>
    <dxf>
      <font>
        <b/>
        <i val="0"/>
      </font>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font>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strike val="0"/>
      </font>
      <fill>
        <patternFill>
          <bgColor theme="0" tint="-0.24994659260841701"/>
        </patternFill>
      </fill>
    </dxf>
    <dxf>
      <font>
        <b val="0"/>
        <i/>
        <color auto="1"/>
      </font>
      <fill>
        <patternFill>
          <bgColor rgb="FFFFFF00"/>
        </patternFill>
      </fill>
    </dxf>
    <dxf>
      <font>
        <b/>
        <i val="0"/>
        <strike val="0"/>
      </font>
      <fill>
        <patternFill>
          <bgColor theme="0" tint="-4.9989318521683403E-2"/>
        </patternFill>
      </fill>
    </dxf>
    <dxf>
      <font>
        <b val="0"/>
        <i/>
        <color auto="1"/>
      </font>
      <fill>
        <patternFill>
          <bgColor rgb="FFFFFF00"/>
        </patternFill>
      </fill>
    </dxf>
    <dxf>
      <font>
        <b val="0"/>
        <i/>
        <color auto="1"/>
      </font>
      <fill>
        <patternFill>
          <bgColor rgb="FFFFFF00"/>
        </patternFill>
      </fill>
    </dxf>
    <dxf>
      <fill>
        <patternFill>
          <bgColor theme="5" tint="0.39994506668294322"/>
        </patternFill>
      </fill>
      <border>
        <right style="thin">
          <color auto="1"/>
        </right>
      </border>
    </dxf>
    <dxf>
      <fill>
        <patternFill>
          <bgColor theme="5"/>
        </patternFill>
      </fill>
      <border>
        <left style="thin">
          <color auto="1"/>
        </left>
        <right style="thin">
          <color auto="1"/>
        </right>
      </border>
    </dxf>
  </dxfs>
  <tableStyles count="1" defaultTableStyle="TableStyleMedium9" defaultPivotStyle="PivotStyleLight16">
    <tableStyle name="Table Style 1" pivot="0" count="2">
      <tableStyleElement type="firstColumnStripe" dxfId="326"/>
      <tableStyleElement type="secondColumnStripe" dxfId="325"/>
    </tableStyle>
  </tableStyles>
  <colors>
    <mruColors>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sharedStrings" Target="sharedStrings.xml"/><Relationship Id="rId50"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Sensitivities - Cohort Activity by Age in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Sensativities!$H$63</c:f>
              <c:strCache>
                <c:ptCount val="1"/>
                <c:pt idx="0">
                  <c:v>Best</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val>
            <c:numRef>
              <c:f>Sensativities!$H$66:$H$78</c:f>
              <c:numCache>
                <c:formatCode>0.0%</c:formatCode>
                <c:ptCount val="13"/>
                <c:pt idx="0">
                  <c:v>0.75</c:v>
                </c:pt>
                <c:pt idx="1">
                  <c:v>0.60899999999999999</c:v>
                </c:pt>
                <c:pt idx="2">
                  <c:v>0.61916717499677598</c:v>
                </c:pt>
                <c:pt idx="3">
                  <c:v>0.57918968588110009</c:v>
                </c:pt>
                <c:pt idx="4">
                  <c:v>0.56012121297426742</c:v>
                </c:pt>
                <c:pt idx="5">
                  <c:v>0.54332017220602347</c:v>
                </c:pt>
                <c:pt idx="6">
                  <c:v>0.5216104553001697</c:v>
                </c:pt>
                <c:pt idx="7">
                  <c:v>0.51681673007680207</c:v>
                </c:pt>
                <c:pt idx="8">
                  <c:v>0.50600720902535734</c:v>
                </c:pt>
                <c:pt idx="9">
                  <c:v>0.50400422291513081</c:v>
                </c:pt>
                <c:pt idx="10">
                  <c:v>0.507055774560628</c:v>
                </c:pt>
                <c:pt idx="11">
                  <c:v>0.51345923261068394</c:v>
                </c:pt>
                <c:pt idx="12">
                  <c:v>0.21000000000000002</c:v>
                </c:pt>
              </c:numCache>
            </c:numRef>
          </c:val>
          <c:smooth val="0"/>
        </c:ser>
        <c:ser>
          <c:idx val="1"/>
          <c:order val="1"/>
          <c:tx>
            <c:strRef>
              <c:f>Sensativities!$I$63</c:f>
              <c:strCache>
                <c:ptCount val="1"/>
                <c:pt idx="0">
                  <c:v>Better</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val>
            <c:numRef>
              <c:f>Sensativities!$I$66:$I$78</c:f>
              <c:numCache>
                <c:formatCode>0.0%</c:formatCode>
                <c:ptCount val="13"/>
                <c:pt idx="0">
                  <c:v>0.75</c:v>
                </c:pt>
                <c:pt idx="1">
                  <c:v>0.60899999999999999</c:v>
                </c:pt>
                <c:pt idx="2">
                  <c:v>0.61916717499677598</c:v>
                </c:pt>
                <c:pt idx="3">
                  <c:v>0.57918968588110009</c:v>
                </c:pt>
                <c:pt idx="4">
                  <c:v>0.53</c:v>
                </c:pt>
                <c:pt idx="5">
                  <c:v>0.53</c:v>
                </c:pt>
                <c:pt idx="6">
                  <c:v>0.5216104553001697</c:v>
                </c:pt>
                <c:pt idx="7">
                  <c:v>0.48</c:v>
                </c:pt>
                <c:pt idx="8">
                  <c:v>0.42</c:v>
                </c:pt>
                <c:pt idx="9">
                  <c:v>0.4</c:v>
                </c:pt>
                <c:pt idx="10">
                  <c:v>0.4</c:v>
                </c:pt>
                <c:pt idx="11">
                  <c:v>0.4</c:v>
                </c:pt>
                <c:pt idx="12">
                  <c:v>0.21000000000000002</c:v>
                </c:pt>
              </c:numCache>
            </c:numRef>
          </c:val>
          <c:smooth val="0"/>
        </c:ser>
        <c:ser>
          <c:idx val="2"/>
          <c:order val="2"/>
          <c:tx>
            <c:strRef>
              <c:f>Sensativities!$J$63</c:f>
              <c:strCache>
                <c:ptCount val="1"/>
                <c:pt idx="0">
                  <c:v>Historical</c:v>
                </c:pt>
              </c:strCache>
            </c:strRef>
          </c:tx>
          <c:spPr>
            <a:ln w="34925" cap="rnd">
              <a:solidFill>
                <a:schemeClr val="accent3"/>
              </a:solidFill>
              <a:round/>
            </a:ln>
            <a:effectLst>
              <a:outerShdw blurRad="40000" dist="23000" dir="5400000" rotWithShape="0">
                <a:srgbClr val="000000">
                  <a:alpha val="35000"/>
                </a:srgbClr>
              </a:outerShdw>
            </a:effectLst>
          </c:spPr>
          <c:marker>
            <c:symbol val="none"/>
          </c:marker>
          <c:val>
            <c:numRef>
              <c:f>Sensativities!$J$66:$J$78</c:f>
              <c:numCache>
                <c:formatCode>0.0%</c:formatCode>
                <c:ptCount val="13"/>
                <c:pt idx="0">
                  <c:v>0.75</c:v>
                </c:pt>
                <c:pt idx="1">
                  <c:v>0.61</c:v>
                </c:pt>
                <c:pt idx="2">
                  <c:v>0.62</c:v>
                </c:pt>
                <c:pt idx="3">
                  <c:v>0.57999999999999996</c:v>
                </c:pt>
                <c:pt idx="4">
                  <c:v>0.56000000000000005</c:v>
                </c:pt>
                <c:pt idx="5">
                  <c:v>0.54</c:v>
                </c:pt>
                <c:pt idx="6">
                  <c:v>0.52</c:v>
                </c:pt>
                <c:pt idx="7">
                  <c:v>0.52</c:v>
                </c:pt>
                <c:pt idx="8">
                  <c:v>0.51</c:v>
                </c:pt>
                <c:pt idx="9">
                  <c:v>0.5</c:v>
                </c:pt>
                <c:pt idx="10">
                  <c:v>0.51</c:v>
                </c:pt>
                <c:pt idx="11">
                  <c:v>0.51</c:v>
                </c:pt>
                <c:pt idx="12">
                  <c:v>0.21</c:v>
                </c:pt>
              </c:numCache>
            </c:numRef>
          </c:val>
          <c:smooth val="0"/>
        </c:ser>
        <c:ser>
          <c:idx val="3"/>
          <c:order val="3"/>
          <c:tx>
            <c:strRef>
              <c:f>Sensativities!$K$63</c:f>
              <c:strCache>
                <c:ptCount val="1"/>
                <c:pt idx="0">
                  <c:v>Base</c:v>
                </c:pt>
              </c:strCache>
            </c:strRef>
          </c:tx>
          <c:spPr>
            <a:ln w="34925" cap="rnd">
              <a:solidFill>
                <a:schemeClr val="accent4"/>
              </a:solidFill>
              <a:round/>
            </a:ln>
            <a:effectLst>
              <a:outerShdw blurRad="40000" dist="23000" dir="5400000" rotWithShape="0">
                <a:srgbClr val="000000">
                  <a:alpha val="35000"/>
                </a:srgbClr>
              </a:outerShdw>
            </a:effectLst>
          </c:spPr>
          <c:marker>
            <c:symbol val="none"/>
          </c:marker>
          <c:val>
            <c:numRef>
              <c:f>Sensativities!$K$66:$K$78</c:f>
              <c:numCache>
                <c:formatCode>0.0%</c:formatCode>
                <c:ptCount val="13"/>
                <c:pt idx="0">
                  <c:v>0.69012174250480707</c:v>
                </c:pt>
                <c:pt idx="1">
                  <c:v>0.53872550914144657</c:v>
                </c:pt>
                <c:pt idx="2">
                  <c:v>0.56287924999706906</c:v>
                </c:pt>
                <c:pt idx="3">
                  <c:v>0.52653607807372727</c:v>
                </c:pt>
                <c:pt idx="4">
                  <c:v>0.50920110270387942</c:v>
                </c:pt>
                <c:pt idx="5">
                  <c:v>0.4939274292782031</c:v>
                </c:pt>
                <c:pt idx="6">
                  <c:v>0.47419132300015426</c:v>
                </c:pt>
                <c:pt idx="7">
                  <c:v>0.46983339097891097</c:v>
                </c:pt>
                <c:pt idx="8">
                  <c:v>0.46000655365941573</c:v>
                </c:pt>
                <c:pt idx="9">
                  <c:v>0.45818565719557341</c:v>
                </c:pt>
                <c:pt idx="10">
                  <c:v>0.46095979505511636</c:v>
                </c:pt>
                <c:pt idx="11">
                  <c:v>0.46678112055516718</c:v>
                </c:pt>
                <c:pt idx="12">
                  <c:v>0.2</c:v>
                </c:pt>
              </c:numCache>
            </c:numRef>
          </c:val>
          <c:smooth val="0"/>
        </c:ser>
        <c:ser>
          <c:idx val="4"/>
          <c:order val="4"/>
          <c:tx>
            <c:strRef>
              <c:f>Sensativities!$L$63</c:f>
              <c:strCache>
                <c:ptCount val="1"/>
                <c:pt idx="0">
                  <c:v>Worst</c:v>
                </c:pt>
              </c:strCache>
            </c:strRef>
          </c:tx>
          <c:spPr>
            <a:ln w="34925" cap="rnd">
              <a:solidFill>
                <a:schemeClr val="accent5"/>
              </a:solidFill>
              <a:round/>
            </a:ln>
            <a:effectLst>
              <a:outerShdw blurRad="40000" dist="23000" dir="5400000" rotWithShape="0">
                <a:srgbClr val="000000">
                  <a:alpha val="35000"/>
                </a:srgbClr>
              </a:outerShdw>
            </a:effectLst>
          </c:spPr>
          <c:marker>
            <c:symbol val="none"/>
          </c:marker>
          <c:val>
            <c:numRef>
              <c:f>Sensativities!$L$66:$L$78</c:f>
              <c:numCache>
                <c:formatCode>0.0%</c:formatCode>
                <c:ptCount val="13"/>
                <c:pt idx="0">
                  <c:v>0.75</c:v>
                </c:pt>
                <c:pt idx="1">
                  <c:v>0.60899999999999999</c:v>
                </c:pt>
                <c:pt idx="2">
                  <c:v>0.61916717499677598</c:v>
                </c:pt>
                <c:pt idx="3">
                  <c:v>0.57918968588110009</c:v>
                </c:pt>
                <c:pt idx="4">
                  <c:v>0.56012121297426742</c:v>
                </c:pt>
                <c:pt idx="5">
                  <c:v>0.54332017220602347</c:v>
                </c:pt>
                <c:pt idx="6">
                  <c:v>0.5216104553001697</c:v>
                </c:pt>
                <c:pt idx="7">
                  <c:v>0.51681673007680207</c:v>
                </c:pt>
                <c:pt idx="8">
                  <c:v>0.50600720902535734</c:v>
                </c:pt>
                <c:pt idx="9">
                  <c:v>0.50400422291513081</c:v>
                </c:pt>
                <c:pt idx="10">
                  <c:v>0.507055774560628</c:v>
                </c:pt>
                <c:pt idx="11">
                  <c:v>0.51345923261068394</c:v>
                </c:pt>
                <c:pt idx="12">
                  <c:v>0.21000000000000002</c:v>
                </c:pt>
              </c:numCache>
            </c:numRef>
          </c:val>
          <c:smooth val="0"/>
        </c:ser>
        <c:dLbls>
          <c:showLegendKey val="0"/>
          <c:showVal val="0"/>
          <c:showCatName val="0"/>
          <c:showSerName val="0"/>
          <c:showPercent val="0"/>
          <c:showBubbleSize val="0"/>
        </c:dLbls>
        <c:smooth val="0"/>
        <c:axId val="734980056"/>
        <c:axId val="734980840"/>
      </c:lineChart>
      <c:catAx>
        <c:axId val="734980056"/>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4980840"/>
        <c:crosses val="autoZero"/>
        <c:auto val="1"/>
        <c:lblAlgn val="ctr"/>
        <c:lblOffset val="100"/>
        <c:noMultiLvlLbl val="0"/>
      </c:catAx>
      <c:valAx>
        <c:axId val="734980840"/>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4980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Sensitivities - Cohort MOU by Month Active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Sensativities!$H$63</c:f>
              <c:strCache>
                <c:ptCount val="1"/>
                <c:pt idx="0">
                  <c:v>Best</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val>
            <c:numRef>
              <c:f>Sensativities!$H$79:$H$91</c:f>
              <c:numCache>
                <c:formatCode>_(* #,##0_);_(* \(#,##0\);_(* "-"??_);_(@_)</c:formatCode>
                <c:ptCount val="13"/>
                <c:pt idx="0">
                  <c:v>1726.7959510336109</c:v>
                </c:pt>
                <c:pt idx="1">
                  <c:v>2807.7575612619453</c:v>
                </c:pt>
                <c:pt idx="2">
                  <c:v>2443.9672371574243</c:v>
                </c:pt>
                <c:pt idx="3">
                  <c:v>2399.6767412693034</c:v>
                </c:pt>
                <c:pt idx="4">
                  <c:v>2670.2066381906216</c:v>
                </c:pt>
                <c:pt idx="5">
                  <c:v>3008.6055180734152</c:v>
                </c:pt>
                <c:pt idx="6">
                  <c:v>2656.1579895951127</c:v>
                </c:pt>
                <c:pt idx="7">
                  <c:v>2080.5135907934396</c:v>
                </c:pt>
                <c:pt idx="8">
                  <c:v>1884.5411935682564</c:v>
                </c:pt>
                <c:pt idx="9">
                  <c:v>1881.5791352641322</c:v>
                </c:pt>
                <c:pt idx="10">
                  <c:v>1962.0397540595427</c:v>
                </c:pt>
                <c:pt idx="11">
                  <c:v>2152.6678376892874</c:v>
                </c:pt>
                <c:pt idx="12">
                  <c:v>3000</c:v>
                </c:pt>
              </c:numCache>
            </c:numRef>
          </c:val>
          <c:smooth val="0"/>
        </c:ser>
        <c:ser>
          <c:idx val="1"/>
          <c:order val="1"/>
          <c:tx>
            <c:strRef>
              <c:f>Sensativities!$I$63</c:f>
              <c:strCache>
                <c:ptCount val="1"/>
                <c:pt idx="0">
                  <c:v>Better</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val>
            <c:numRef>
              <c:f>Sensativities!$I$79:$I$91</c:f>
              <c:numCache>
                <c:formatCode>_(* #,##0_);_(* \(#,##0\);_(* "-"??_);_(@_)</c:formatCode>
                <c:ptCount val="13"/>
                <c:pt idx="0">
                  <c:v>1438.9966258613424</c:v>
                </c:pt>
                <c:pt idx="1">
                  <c:v>2339.797967718288</c:v>
                </c:pt>
                <c:pt idx="2">
                  <c:v>2036.6393642978535</c:v>
                </c:pt>
                <c:pt idx="3">
                  <c:v>1999.7306177244195</c:v>
                </c:pt>
                <c:pt idx="4">
                  <c:v>2225.1721984921846</c:v>
                </c:pt>
                <c:pt idx="5">
                  <c:v>2507.1712650611794</c:v>
                </c:pt>
                <c:pt idx="6">
                  <c:v>2213.4649913292606</c:v>
                </c:pt>
                <c:pt idx="7">
                  <c:v>1733.7613256611996</c:v>
                </c:pt>
                <c:pt idx="8">
                  <c:v>1570.4509946402138</c:v>
                </c:pt>
                <c:pt idx="9">
                  <c:v>1567.9826127201102</c:v>
                </c:pt>
                <c:pt idx="10">
                  <c:v>1635.0331283829523</c:v>
                </c:pt>
                <c:pt idx="11">
                  <c:v>1793.8898647410729</c:v>
                </c:pt>
                <c:pt idx="12">
                  <c:v>3000</c:v>
                </c:pt>
              </c:numCache>
            </c:numRef>
          </c:val>
          <c:smooth val="0"/>
        </c:ser>
        <c:ser>
          <c:idx val="2"/>
          <c:order val="2"/>
          <c:tx>
            <c:strRef>
              <c:f>Sensativities!$J$63</c:f>
              <c:strCache>
                <c:ptCount val="1"/>
                <c:pt idx="0">
                  <c:v>Historical</c:v>
                </c:pt>
              </c:strCache>
            </c:strRef>
          </c:tx>
          <c:spPr>
            <a:ln w="34925" cap="rnd">
              <a:solidFill>
                <a:schemeClr val="accent3"/>
              </a:solidFill>
              <a:round/>
            </a:ln>
            <a:effectLst>
              <a:outerShdw blurRad="40000" dist="23000" dir="5400000" rotWithShape="0">
                <a:srgbClr val="000000">
                  <a:alpha val="35000"/>
                </a:srgbClr>
              </a:outerShdw>
            </a:effectLst>
          </c:spPr>
          <c:marker>
            <c:symbol val="none"/>
          </c:marker>
          <c:val>
            <c:numRef>
              <c:f>Sensativities!$J$79:$J$91</c:f>
              <c:numCache>
                <c:formatCode>_(* #,##0_);_(* \(#,##0\);_(* "-"??_);_(@_)</c:formatCode>
                <c:ptCount val="13"/>
                <c:pt idx="0">
                  <c:v>700</c:v>
                </c:pt>
                <c:pt idx="1">
                  <c:v>1450</c:v>
                </c:pt>
                <c:pt idx="2">
                  <c:v>1310</c:v>
                </c:pt>
                <c:pt idx="3">
                  <c:v>1700</c:v>
                </c:pt>
                <c:pt idx="4">
                  <c:v>1854.310165410154</c:v>
                </c:pt>
                <c:pt idx="5">
                  <c:v>2089.309387550983</c:v>
                </c:pt>
                <c:pt idx="6">
                  <c:v>1844.5541594410504</c:v>
                </c:pt>
                <c:pt idx="7">
                  <c:v>1444.8011047176665</c:v>
                </c:pt>
                <c:pt idx="8">
                  <c:v>1308.7091622001783</c:v>
                </c:pt>
                <c:pt idx="9">
                  <c:v>1306.6521772667586</c:v>
                </c:pt>
                <c:pt idx="10">
                  <c:v>1362.5276069857937</c:v>
                </c:pt>
                <c:pt idx="11">
                  <c:v>1494.9082206175608</c:v>
                </c:pt>
                <c:pt idx="12">
                  <c:v>3000</c:v>
                </c:pt>
              </c:numCache>
            </c:numRef>
          </c:val>
          <c:smooth val="0"/>
        </c:ser>
        <c:ser>
          <c:idx val="3"/>
          <c:order val="3"/>
          <c:tx>
            <c:strRef>
              <c:f>Sensativities!$K$63</c:f>
              <c:strCache>
                <c:ptCount val="1"/>
                <c:pt idx="0">
                  <c:v>Base</c:v>
                </c:pt>
              </c:strCache>
            </c:strRef>
          </c:tx>
          <c:spPr>
            <a:ln w="34925" cap="rnd">
              <a:solidFill>
                <a:schemeClr val="accent4"/>
              </a:solidFill>
              <a:round/>
            </a:ln>
            <a:effectLst>
              <a:outerShdw blurRad="40000" dist="23000" dir="5400000" rotWithShape="0">
                <a:srgbClr val="000000">
                  <a:alpha val="35000"/>
                </a:srgbClr>
              </a:outerShdw>
            </a:effectLst>
          </c:spPr>
          <c:marker>
            <c:symbol val="none"/>
          </c:marker>
          <c:val>
            <c:numRef>
              <c:f>Sensativities!$K$79:$K$91</c:f>
              <c:numCache>
                <c:formatCode>_(* #,##0_);_(* \(#,##0\);_(* "-"??_);_(@_)</c:formatCode>
                <c:ptCount val="13"/>
                <c:pt idx="0">
                  <c:v>1199.1638548844521</c:v>
                </c:pt>
                <c:pt idx="1">
                  <c:v>1949.8316397652402</c:v>
                </c:pt>
                <c:pt idx="2">
                  <c:v>1697.1994702482114</c:v>
                </c:pt>
                <c:pt idx="3">
                  <c:v>1666.4421814370164</c:v>
                </c:pt>
                <c:pt idx="4">
                  <c:v>1854.310165410154</c:v>
                </c:pt>
                <c:pt idx="5">
                  <c:v>2089.309387550983</c:v>
                </c:pt>
                <c:pt idx="6">
                  <c:v>1844.5541594410504</c:v>
                </c:pt>
                <c:pt idx="7">
                  <c:v>1444.8011047176665</c:v>
                </c:pt>
                <c:pt idx="8">
                  <c:v>1308.7091622001783</c:v>
                </c:pt>
                <c:pt idx="9">
                  <c:v>1306.6521772667586</c:v>
                </c:pt>
                <c:pt idx="10">
                  <c:v>1362.5276069857937</c:v>
                </c:pt>
                <c:pt idx="11">
                  <c:v>1494.9082206175608</c:v>
                </c:pt>
                <c:pt idx="12">
                  <c:v>3000</c:v>
                </c:pt>
              </c:numCache>
            </c:numRef>
          </c:val>
          <c:smooth val="0"/>
        </c:ser>
        <c:ser>
          <c:idx val="4"/>
          <c:order val="4"/>
          <c:tx>
            <c:strRef>
              <c:f>Sensativities!$L$63</c:f>
              <c:strCache>
                <c:ptCount val="1"/>
                <c:pt idx="0">
                  <c:v>Worst</c:v>
                </c:pt>
              </c:strCache>
            </c:strRef>
          </c:tx>
          <c:spPr>
            <a:ln w="34925" cap="rnd">
              <a:solidFill>
                <a:schemeClr val="accent5"/>
              </a:solidFill>
              <a:round/>
            </a:ln>
            <a:effectLst>
              <a:outerShdw blurRad="40000" dist="23000" dir="5400000" rotWithShape="0">
                <a:srgbClr val="000000">
                  <a:alpha val="35000"/>
                </a:srgbClr>
              </a:outerShdw>
            </a:effectLst>
          </c:spPr>
          <c:marker>
            <c:symbol val="none"/>
          </c:marker>
          <c:val>
            <c:numRef>
              <c:f>Sensativities!$L$79:$L$91</c:f>
              <c:numCache>
                <c:formatCode>_(* #,##0_);_(* \(#,##0\);_(* "-"??_);_(@_)</c:formatCode>
                <c:ptCount val="13"/>
                <c:pt idx="0">
                  <c:v>650</c:v>
                </c:pt>
                <c:pt idx="1">
                  <c:v>1800</c:v>
                </c:pt>
                <c:pt idx="2">
                  <c:v>1280.622338719555</c:v>
                </c:pt>
                <c:pt idx="3">
                  <c:v>1461.8924587655522</c:v>
                </c:pt>
                <c:pt idx="4">
                  <c:v>1611.6830659707014</c:v>
                </c:pt>
                <c:pt idx="5">
                  <c:v>1794.6891499808048</c:v>
                </c:pt>
                <c:pt idx="6">
                  <c:v>1627.030641632444</c:v>
                </c:pt>
                <c:pt idx="7">
                  <c:v>1191.5500590197091</c:v>
                </c:pt>
                <c:pt idx="8">
                  <c:v>1231.5615191930046</c:v>
                </c:pt>
                <c:pt idx="9">
                  <c:v>1170.4336222584232</c:v>
                </c:pt>
                <c:pt idx="10">
                  <c:v>1224.1808169507099</c:v>
                </c:pt>
                <c:pt idx="11">
                  <c:v>1363.1400925340747</c:v>
                </c:pt>
                <c:pt idx="12">
                  <c:v>2250</c:v>
                </c:pt>
              </c:numCache>
            </c:numRef>
          </c:val>
          <c:smooth val="0"/>
        </c:ser>
        <c:dLbls>
          <c:showLegendKey val="0"/>
          <c:showVal val="0"/>
          <c:showCatName val="0"/>
          <c:showSerName val="0"/>
          <c:showPercent val="0"/>
          <c:showBubbleSize val="0"/>
        </c:dLbls>
        <c:smooth val="0"/>
        <c:axId val="646007672"/>
        <c:axId val="646008848"/>
      </c:lineChart>
      <c:catAx>
        <c:axId val="646007672"/>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6008848"/>
        <c:crosses val="autoZero"/>
        <c:auto val="1"/>
        <c:lblAlgn val="ctr"/>
        <c:lblOffset val="100"/>
        <c:noMultiLvlLbl val="0"/>
      </c:catAx>
      <c:valAx>
        <c:axId val="646008848"/>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6007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Cash Flow</a:t>
            </a:r>
          </a:p>
        </c:rich>
      </c:tx>
      <c:overlay val="0"/>
    </c:title>
    <c:autoTitleDeleted val="0"/>
    <c:plotArea>
      <c:layout/>
      <c:lineChart>
        <c:grouping val="standard"/>
        <c:varyColors val="0"/>
        <c:ser>
          <c:idx val="0"/>
          <c:order val="0"/>
          <c:tx>
            <c:strRef>
              <c:f>'CF - Monthly'!$A$19</c:f>
              <c:strCache>
                <c:ptCount val="1"/>
                <c:pt idx="0">
                  <c:v>Net Cash Flow Operating</c:v>
                </c:pt>
              </c:strCache>
            </c:strRef>
          </c:tx>
          <c:spPr>
            <a:ln w="38100"/>
          </c:spPr>
          <c:marker>
            <c:symbol val="none"/>
          </c:marker>
          <c:cat>
            <c:numRef>
              <c:f>'CF - Monthly'!$E$7:$AN$7</c:f>
              <c:numCache>
                <c:formatCode>[$-409]mmm\-yy;@</c:formatCode>
                <c:ptCount val="12"/>
                <c:pt idx="0">
                  <c:v>41642</c:v>
                </c:pt>
                <c:pt idx="1">
                  <c:v>41675</c:v>
                </c:pt>
                <c:pt idx="2">
                  <c:v>41708</c:v>
                </c:pt>
                <c:pt idx="3">
                  <c:v>41741</c:v>
                </c:pt>
                <c:pt idx="4">
                  <c:v>41774</c:v>
                </c:pt>
                <c:pt idx="5">
                  <c:v>41807</c:v>
                </c:pt>
                <c:pt idx="6">
                  <c:v>41840</c:v>
                </c:pt>
                <c:pt idx="7">
                  <c:v>41873</c:v>
                </c:pt>
                <c:pt idx="8">
                  <c:v>41906</c:v>
                </c:pt>
                <c:pt idx="9">
                  <c:v>41939</c:v>
                </c:pt>
                <c:pt idx="10">
                  <c:v>41972</c:v>
                </c:pt>
                <c:pt idx="11">
                  <c:v>41982</c:v>
                </c:pt>
              </c:numCache>
            </c:numRef>
          </c:cat>
          <c:val>
            <c:numRef>
              <c:f>'CF - Monthly'!$E$19:$AN$19</c:f>
              <c:numCache>
                <c:formatCode>_(* #,##0_);_(* \(#,##0\);_(* "0"_);_(@_)</c:formatCode>
                <c:ptCount val="12"/>
                <c:pt idx="0">
                  <c:v>-339517.30000000051</c:v>
                </c:pt>
                <c:pt idx="1">
                  <c:v>42380.150000000256</c:v>
                </c:pt>
                <c:pt idx="2">
                  <c:v>316031.26999999979</c:v>
                </c:pt>
                <c:pt idx="3">
                  <c:v>-165006.1146787277</c:v>
                </c:pt>
                <c:pt idx="4">
                  <c:v>-514947.5029829453</c:v>
                </c:pt>
                <c:pt idx="5">
                  <c:v>-460454.85374764947</c:v>
                </c:pt>
                <c:pt idx="6">
                  <c:v>-578838.83603343682</c:v>
                </c:pt>
                <c:pt idx="7">
                  <c:v>-244048.35434645548</c:v>
                </c:pt>
                <c:pt idx="8">
                  <c:v>85903.96307854302</c:v>
                </c:pt>
                <c:pt idx="9">
                  <c:v>37283.084625966556</c:v>
                </c:pt>
                <c:pt idx="10">
                  <c:v>81920.244093101413</c:v>
                </c:pt>
                <c:pt idx="11">
                  <c:v>156734.89472757553</c:v>
                </c:pt>
              </c:numCache>
            </c:numRef>
          </c:val>
          <c:smooth val="0"/>
        </c:ser>
        <c:ser>
          <c:idx val="1"/>
          <c:order val="1"/>
          <c:tx>
            <c:strRef>
              <c:f>'CF - Monthly'!$A$42</c:f>
              <c:strCache>
                <c:ptCount val="1"/>
                <c:pt idx="0">
                  <c:v>Cash at end of period</c:v>
                </c:pt>
              </c:strCache>
            </c:strRef>
          </c:tx>
          <c:marker>
            <c:symbol val="none"/>
          </c:marker>
          <c:cat>
            <c:numRef>
              <c:f>'CF - Monthly'!$E$7:$AN$7</c:f>
              <c:numCache>
                <c:formatCode>[$-409]mmm\-yy;@</c:formatCode>
                <c:ptCount val="12"/>
                <c:pt idx="0">
                  <c:v>41642</c:v>
                </c:pt>
                <c:pt idx="1">
                  <c:v>41675</c:v>
                </c:pt>
                <c:pt idx="2">
                  <c:v>41708</c:v>
                </c:pt>
                <c:pt idx="3">
                  <c:v>41741</c:v>
                </c:pt>
                <c:pt idx="4">
                  <c:v>41774</c:v>
                </c:pt>
                <c:pt idx="5">
                  <c:v>41807</c:v>
                </c:pt>
                <c:pt idx="6">
                  <c:v>41840</c:v>
                </c:pt>
                <c:pt idx="7">
                  <c:v>41873</c:v>
                </c:pt>
                <c:pt idx="8">
                  <c:v>41906</c:v>
                </c:pt>
                <c:pt idx="9">
                  <c:v>41939</c:v>
                </c:pt>
                <c:pt idx="10">
                  <c:v>41972</c:v>
                </c:pt>
                <c:pt idx="11">
                  <c:v>41982</c:v>
                </c:pt>
              </c:numCache>
            </c:numRef>
          </c:cat>
          <c:val>
            <c:numRef>
              <c:f>'CF - Monthly'!$E$42:$AN$42</c:f>
              <c:numCache>
                <c:formatCode>_("$"* #,##0_);_("$"* \(#,##0\);_("$"* "0"_);_(@_)</c:formatCode>
                <c:ptCount val="12"/>
                <c:pt idx="0">
                  <c:v>3278060.5299999993</c:v>
                </c:pt>
                <c:pt idx="1">
                  <c:v>3208684.74</c:v>
                </c:pt>
                <c:pt idx="2">
                  <c:v>3401813.99</c:v>
                </c:pt>
                <c:pt idx="3">
                  <c:v>3483826.6259020367</c:v>
                </c:pt>
                <c:pt idx="4">
                  <c:v>2968879.1229190915</c:v>
                </c:pt>
                <c:pt idx="5">
                  <c:v>2508424.2691714419</c:v>
                </c:pt>
                <c:pt idx="6">
                  <c:v>1929585.433138005</c:v>
                </c:pt>
                <c:pt idx="7">
                  <c:v>1685537.0787915494</c:v>
                </c:pt>
                <c:pt idx="8">
                  <c:v>1771441.0418700925</c:v>
                </c:pt>
                <c:pt idx="9">
                  <c:v>1808724.1264960591</c:v>
                </c:pt>
                <c:pt idx="10">
                  <c:v>1890644.3705891606</c:v>
                </c:pt>
                <c:pt idx="11">
                  <c:v>2047379.2653167362</c:v>
                </c:pt>
              </c:numCache>
            </c:numRef>
          </c:val>
          <c:smooth val="0"/>
        </c:ser>
        <c:dLbls>
          <c:showLegendKey val="0"/>
          <c:showVal val="0"/>
          <c:showCatName val="0"/>
          <c:showSerName val="0"/>
          <c:showPercent val="0"/>
          <c:showBubbleSize val="0"/>
        </c:dLbls>
        <c:smooth val="0"/>
        <c:axId val="646008456"/>
        <c:axId val="392910176"/>
      </c:lineChart>
      <c:dateAx>
        <c:axId val="646008456"/>
        <c:scaling>
          <c:orientation val="minMax"/>
        </c:scaling>
        <c:delete val="0"/>
        <c:axPos val="b"/>
        <c:numFmt formatCode="[$-409]mmm\-yy;@" sourceLinked="1"/>
        <c:majorTickMark val="none"/>
        <c:minorTickMark val="none"/>
        <c:tickLblPos val="high"/>
        <c:crossAx val="392910176"/>
        <c:crosses val="autoZero"/>
        <c:auto val="1"/>
        <c:lblOffset val="100"/>
        <c:baseTimeUnit val="months"/>
      </c:dateAx>
      <c:valAx>
        <c:axId val="392910176"/>
        <c:scaling>
          <c:orientation val="minMax"/>
        </c:scaling>
        <c:delete val="0"/>
        <c:axPos val="l"/>
        <c:majorGridlines/>
        <c:numFmt formatCode="_(* #,##0_);_(* \(#,##0\);_(* &quot;0&quot;_);_(@_)" sourceLinked="1"/>
        <c:majorTickMark val="none"/>
        <c:minorTickMark val="none"/>
        <c:tickLblPos val="nextTo"/>
        <c:spPr>
          <a:ln>
            <a:solidFill>
              <a:schemeClr val="accent1"/>
            </a:solidFill>
          </a:ln>
        </c:spPr>
        <c:crossAx val="646008456"/>
        <c:crosses val="autoZero"/>
        <c:crossBetween val="between"/>
      </c:valAx>
    </c:plotArea>
    <c:legend>
      <c:legendPos val="r"/>
      <c:overlay val="0"/>
    </c:legend>
    <c:plotVisOnly val="1"/>
    <c:dispBlanksAs val="gap"/>
    <c:showDLblsOverMax val="0"/>
  </c:chart>
  <c:printSettings>
    <c:headerFooter/>
    <c:pageMargins b="0.75000000000000711" l="0.70000000000000062" r="0.70000000000000062" t="0.7500000000000071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Principal</a:t>
            </a:r>
            <a:r>
              <a:rPr lang="en-US" baseline="0"/>
              <a:t> vs. Interest</a:t>
            </a:r>
            <a:endParaRPr lang="en-US"/>
          </a:p>
        </c:rich>
      </c:tx>
      <c:overlay val="0"/>
    </c:title>
    <c:autoTitleDeleted val="0"/>
    <c:plotArea>
      <c:layout/>
      <c:lineChart>
        <c:grouping val="standard"/>
        <c:varyColors val="0"/>
        <c:ser>
          <c:idx val="0"/>
          <c:order val="0"/>
          <c:tx>
            <c:strRef>
              <c:f>Debt!$J$2</c:f>
              <c:strCache>
                <c:ptCount val="1"/>
                <c:pt idx="0">
                  <c:v>Principal</c:v>
                </c:pt>
              </c:strCache>
            </c:strRef>
          </c:tx>
          <c:marker>
            <c:symbol val="none"/>
          </c:marker>
          <c:val>
            <c:numRef>
              <c:f>Debt!$J$3:$J$50</c:f>
              <c:numCache>
                <c:formatCode>_("$"* #,##0.00_);_("$"* \(#,##0.00\);_("$"* "-"??_);_(@_)</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241613.5171159376</c:v>
                </c:pt>
                <c:pt idx="25">
                  <c:v>243828.30768950033</c:v>
                </c:pt>
                <c:pt idx="26">
                  <c:v>246063.40050998743</c:v>
                </c:pt>
                <c:pt idx="27">
                  <c:v>248318.98168132897</c:v>
                </c:pt>
                <c:pt idx="28">
                  <c:v>250595.23901340785</c:v>
                </c:pt>
                <c:pt idx="29">
                  <c:v>252892.3620376974</c:v>
                </c:pt>
                <c:pt idx="30">
                  <c:v>255210.54202304297</c:v>
                </c:pt>
                <c:pt idx="31">
                  <c:v>257549.97199158752</c:v>
                </c:pt>
                <c:pt idx="32">
                  <c:v>259910.84673484374</c:v>
                </c:pt>
                <c:pt idx="33">
                  <c:v>262293.36282991315</c:v>
                </c:pt>
                <c:pt idx="34">
                  <c:v>264697.718655854</c:v>
                </c:pt>
                <c:pt idx="35">
                  <c:v>267124.11441019934</c:v>
                </c:pt>
                <c:pt idx="36">
                  <c:v>269572.75212562614</c:v>
                </c:pt>
                <c:pt idx="37">
                  <c:v>272043.83568677772</c:v>
                </c:pt>
                <c:pt idx="38">
                  <c:v>274537.57084723987</c:v>
                </c:pt>
                <c:pt idx="39">
                  <c:v>277054.16524667293</c:v>
                </c:pt>
                <c:pt idx="40">
                  <c:v>279593.82842810074</c:v>
                </c:pt>
                <c:pt idx="41">
                  <c:v>282156.77185535833</c:v>
                </c:pt>
                <c:pt idx="42">
                  <c:v>284743.2089306991</c:v>
                </c:pt>
                <c:pt idx="43">
                  <c:v>287353.35501256387</c:v>
                </c:pt>
                <c:pt idx="44">
                  <c:v>289987.42743351235</c:v>
                </c:pt>
                <c:pt idx="45">
                  <c:v>292645.64551831956</c:v>
                </c:pt>
                <c:pt idx="46">
                  <c:v>295328.23060223745</c:v>
                </c:pt>
                <c:pt idx="47">
                  <c:v>298035.40604942467</c:v>
                </c:pt>
              </c:numCache>
            </c:numRef>
          </c:val>
          <c:smooth val="0"/>
        </c:ser>
        <c:ser>
          <c:idx val="1"/>
          <c:order val="1"/>
          <c:tx>
            <c:strRef>
              <c:f>Debt!$K$2</c:f>
              <c:strCache>
                <c:ptCount val="1"/>
                <c:pt idx="0">
                  <c:v>Interest</c:v>
                </c:pt>
              </c:strCache>
            </c:strRef>
          </c:tx>
          <c:marker>
            <c:symbol val="none"/>
          </c:marker>
          <c:val>
            <c:numRef>
              <c:f>Debt!$K$3:$K$50</c:f>
              <c:numCache>
                <c:formatCode>_("$"* #,##0.00_);_("$"* \(#,##0.00\);_("$"* "-"??_);_(@_)</c:formatCode>
                <c:ptCount val="48"/>
                <c:pt idx="0">
                  <c:v>93958.333333333328</c:v>
                </c:pt>
                <c:pt idx="1">
                  <c:v>93958.333333333328</c:v>
                </c:pt>
                <c:pt idx="2">
                  <c:v>93958.333333333328</c:v>
                </c:pt>
                <c:pt idx="3">
                  <c:v>93958.333333333328</c:v>
                </c:pt>
                <c:pt idx="4">
                  <c:v>93958.333333333328</c:v>
                </c:pt>
                <c:pt idx="5">
                  <c:v>93958.333333333328</c:v>
                </c:pt>
                <c:pt idx="6">
                  <c:v>93958.333333333328</c:v>
                </c:pt>
                <c:pt idx="7">
                  <c:v>93958.333333333328</c:v>
                </c:pt>
                <c:pt idx="8">
                  <c:v>93958.333333333328</c:v>
                </c:pt>
                <c:pt idx="9">
                  <c:v>93958.333333333328</c:v>
                </c:pt>
                <c:pt idx="10">
                  <c:v>93958.333333333328</c:v>
                </c:pt>
                <c:pt idx="11">
                  <c:v>93958.333333333328</c:v>
                </c:pt>
                <c:pt idx="12">
                  <c:v>93958.333333333328</c:v>
                </c:pt>
                <c:pt idx="13">
                  <c:v>93958.333333333328</c:v>
                </c:pt>
                <c:pt idx="14">
                  <c:v>93958.333333333328</c:v>
                </c:pt>
                <c:pt idx="15">
                  <c:v>93958.333333333328</c:v>
                </c:pt>
                <c:pt idx="16">
                  <c:v>93958.333333333328</c:v>
                </c:pt>
                <c:pt idx="17">
                  <c:v>93958.333333333328</c:v>
                </c:pt>
                <c:pt idx="18">
                  <c:v>93958.333333333328</c:v>
                </c:pt>
                <c:pt idx="19">
                  <c:v>93958.333333333328</c:v>
                </c:pt>
                <c:pt idx="20">
                  <c:v>93958.333333333328</c:v>
                </c:pt>
                <c:pt idx="21">
                  <c:v>93958.333333333328</c:v>
                </c:pt>
                <c:pt idx="22">
                  <c:v>93958.333333333328</c:v>
                </c:pt>
                <c:pt idx="23">
                  <c:v>93958.333333333328</c:v>
                </c:pt>
                <c:pt idx="24">
                  <c:v>93958.333333333328</c:v>
                </c:pt>
                <c:pt idx="25">
                  <c:v>91743.542759770571</c:v>
                </c:pt>
                <c:pt idx="26">
                  <c:v>89508.449939283484</c:v>
                </c:pt>
                <c:pt idx="27">
                  <c:v>87252.868767941938</c:v>
                </c:pt>
                <c:pt idx="28">
                  <c:v>84976.611435863088</c:v>
                </c:pt>
                <c:pt idx="29">
                  <c:v>82679.488411573519</c:v>
                </c:pt>
                <c:pt idx="30">
                  <c:v>80361.308426227959</c:v>
                </c:pt>
                <c:pt idx="31">
                  <c:v>78021.8784576834</c:v>
                </c:pt>
                <c:pt idx="32">
                  <c:v>75661.003714427192</c:v>
                </c:pt>
                <c:pt idx="33">
                  <c:v>73278.48761935778</c:v>
                </c:pt>
                <c:pt idx="34">
                  <c:v>70874.131793416906</c:v>
                </c:pt>
                <c:pt idx="35">
                  <c:v>68447.736039071591</c:v>
                </c:pt>
                <c:pt idx="36">
                  <c:v>65999.098323644765</c:v>
                </c:pt>
                <c:pt idx="37">
                  <c:v>63528.014762493185</c:v>
                </c:pt>
                <c:pt idx="38">
                  <c:v>61034.279602031056</c:v>
                </c:pt>
                <c:pt idx="39">
                  <c:v>58517.685202598019</c:v>
                </c:pt>
                <c:pt idx="40">
                  <c:v>55978.022021170182</c:v>
                </c:pt>
                <c:pt idx="41">
                  <c:v>53415.078593912593</c:v>
                </c:pt>
                <c:pt idx="42">
                  <c:v>50828.641518571814</c:v>
                </c:pt>
                <c:pt idx="43">
                  <c:v>48218.495436707068</c:v>
                </c:pt>
                <c:pt idx="44">
                  <c:v>45584.423015758563</c:v>
                </c:pt>
                <c:pt idx="45">
                  <c:v>42926.204930951368</c:v>
                </c:pt>
                <c:pt idx="46">
                  <c:v>40243.619847033442</c:v>
                </c:pt>
                <c:pt idx="47">
                  <c:v>37536.444399846267</c:v>
                </c:pt>
              </c:numCache>
            </c:numRef>
          </c:val>
          <c:smooth val="0"/>
        </c:ser>
        <c:dLbls>
          <c:showLegendKey val="0"/>
          <c:showVal val="0"/>
          <c:showCatName val="0"/>
          <c:showSerName val="0"/>
          <c:showPercent val="0"/>
          <c:showBubbleSize val="0"/>
        </c:dLbls>
        <c:smooth val="0"/>
        <c:axId val="392909000"/>
        <c:axId val="300510720"/>
      </c:lineChart>
      <c:catAx>
        <c:axId val="392909000"/>
        <c:scaling>
          <c:orientation val="minMax"/>
        </c:scaling>
        <c:delete val="0"/>
        <c:axPos val="b"/>
        <c:title>
          <c:tx>
            <c:rich>
              <a:bodyPr/>
              <a:lstStyle/>
              <a:p>
                <a:pPr>
                  <a:defRPr/>
                </a:pPr>
                <a:r>
                  <a:rPr lang="en-US"/>
                  <a:t>Payment Number</a:t>
                </a:r>
              </a:p>
            </c:rich>
          </c:tx>
          <c:overlay val="0"/>
        </c:title>
        <c:majorTickMark val="out"/>
        <c:minorTickMark val="none"/>
        <c:tickLblPos val="nextTo"/>
        <c:crossAx val="300510720"/>
        <c:crosses val="autoZero"/>
        <c:auto val="1"/>
        <c:lblAlgn val="ctr"/>
        <c:lblOffset val="100"/>
        <c:noMultiLvlLbl val="0"/>
      </c:catAx>
      <c:valAx>
        <c:axId val="300510720"/>
        <c:scaling>
          <c:orientation val="minMax"/>
        </c:scaling>
        <c:delete val="0"/>
        <c:axPos val="l"/>
        <c:majorGridlines/>
        <c:title>
          <c:tx>
            <c:rich>
              <a:bodyPr rot="-5400000" vert="horz"/>
              <a:lstStyle/>
              <a:p>
                <a:pPr>
                  <a:defRPr/>
                </a:pPr>
                <a:r>
                  <a:rPr lang="en-US"/>
                  <a:t>Payment</a:t>
                </a:r>
                <a:r>
                  <a:rPr lang="en-US" baseline="0"/>
                  <a:t> Amount</a:t>
                </a:r>
                <a:endParaRPr lang="en-US"/>
              </a:p>
            </c:rich>
          </c:tx>
          <c:overlay val="0"/>
        </c:title>
        <c:numFmt formatCode="_(&quot;$&quot;* #,##0.00_);_(&quot;$&quot;* \(#,##0.00\);_(&quot;$&quot;* &quot;-&quot;??_);_(@_)" sourceLinked="1"/>
        <c:majorTickMark val="out"/>
        <c:minorTickMark val="none"/>
        <c:tickLblPos val="nextTo"/>
        <c:crossAx val="3929090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Principal</a:t>
            </a:r>
            <a:r>
              <a:rPr lang="en-US" baseline="0"/>
              <a:t> vs. Interest</a:t>
            </a:r>
            <a:endParaRPr lang="en-US"/>
          </a:p>
        </c:rich>
      </c:tx>
      <c:overlay val="0"/>
    </c:title>
    <c:autoTitleDeleted val="0"/>
    <c:plotArea>
      <c:layout/>
      <c:lineChart>
        <c:grouping val="standard"/>
        <c:varyColors val="0"/>
        <c:ser>
          <c:idx val="0"/>
          <c:order val="0"/>
          <c:tx>
            <c:strRef>
              <c:f>EzTxtNote!$J$2</c:f>
              <c:strCache>
                <c:ptCount val="1"/>
                <c:pt idx="0">
                  <c:v>Principal</c:v>
                </c:pt>
              </c:strCache>
            </c:strRef>
          </c:tx>
          <c:marker>
            <c:symbol val="none"/>
          </c:marker>
          <c:val>
            <c:numRef>
              <c:f>EzTxtNote!$J$3:$J$25</c:f>
              <c:numCache>
                <c:formatCode>_("$"* #,##0.00_);_("$"* \(#,##0.00\);_("$"* "-"??_);_(@_)</c:formatCode>
                <c:ptCount val="23"/>
                <c:pt idx="0">
                  <c:v>98301.525631892233</c:v>
                </c:pt>
                <c:pt idx="1">
                  <c:v>98793.033260051685</c:v>
                </c:pt>
                <c:pt idx="2">
                  <c:v>99286.998426351958</c:v>
                </c:pt>
                <c:pt idx="3">
                  <c:v>99783.433418483706</c:v>
                </c:pt>
                <c:pt idx="4">
                  <c:v>100282.35058557613</c:v>
                </c:pt>
                <c:pt idx="5">
                  <c:v>100783.76233850401</c:v>
                </c:pt>
                <c:pt idx="6">
                  <c:v>101287.68115019653</c:v>
                </c:pt>
                <c:pt idx="7">
                  <c:v>101794.11955594752</c:v>
                </c:pt>
                <c:pt idx="8">
                  <c:v>102303.09015372726</c:v>
                </c:pt>
                <c:pt idx="9">
                  <c:v>102814.60560449588</c:v>
                </c:pt>
                <c:pt idx="10">
                  <c:v>103328.67863251836</c:v>
                </c:pt>
                <c:pt idx="11">
                  <c:v>103845.32202568096</c:v>
                </c:pt>
                <c:pt idx="12">
                  <c:v>104364.54863580936</c:v>
                </c:pt>
                <c:pt idx="13">
                  <c:v>104886.37137898841</c:v>
                </c:pt>
                <c:pt idx="14">
                  <c:v>105410.80323588336</c:v>
                </c:pt>
                <c:pt idx="15">
                  <c:v>105937.85725206276</c:v>
                </c:pt>
                <c:pt idx="16">
                  <c:v>106467.54653832309</c:v>
                </c:pt>
                <c:pt idx="17">
                  <c:v>106999.8842710147</c:v>
                </c:pt>
                <c:pt idx="18">
                  <c:v>107534.88369236977</c:v>
                </c:pt>
                <c:pt idx="19">
                  <c:v>108072.55811083163</c:v>
                </c:pt>
                <c:pt idx="20">
                  <c:v>108612.92090138578</c:v>
                </c:pt>
                <c:pt idx="21">
                  <c:v>109155.98550589271</c:v>
                </c:pt>
                <c:pt idx="22">
                  <c:v>109701.76543342217</c:v>
                </c:pt>
              </c:numCache>
            </c:numRef>
          </c:val>
          <c:smooth val="0"/>
        </c:ser>
        <c:ser>
          <c:idx val="1"/>
          <c:order val="1"/>
          <c:tx>
            <c:strRef>
              <c:f>EzTxtNote!$K$2</c:f>
              <c:strCache>
                <c:ptCount val="1"/>
                <c:pt idx="0">
                  <c:v>Interest</c:v>
                </c:pt>
              </c:strCache>
            </c:strRef>
          </c:tx>
          <c:marker>
            <c:symbol val="none"/>
          </c:marker>
          <c:val>
            <c:numRef>
              <c:f>EzTxtNote!$K$3:$K$25</c:f>
              <c:numCache>
                <c:formatCode>_("$"* #,##0.00_);_("$"* \(#,##0.00\);_("$"* "-"??_);_(@_)</c:formatCode>
                <c:ptCount val="23"/>
                <c:pt idx="0">
                  <c:v>12500</c:v>
                </c:pt>
                <c:pt idx="1">
                  <c:v>12008.492371840541</c:v>
                </c:pt>
                <c:pt idx="2">
                  <c:v>11514.527205540282</c:v>
                </c:pt>
                <c:pt idx="3">
                  <c:v>11018.092213408521</c:v>
                </c:pt>
                <c:pt idx="4">
                  <c:v>10519.175046316101</c:v>
                </c:pt>
                <c:pt idx="5">
                  <c:v>10017.763293388221</c:v>
                </c:pt>
                <c:pt idx="6">
                  <c:v>9513.8444816957017</c:v>
                </c:pt>
                <c:pt idx="7">
                  <c:v>9007.4060759447184</c:v>
                </c:pt>
                <c:pt idx="8">
                  <c:v>8498.4354781649799</c:v>
                </c:pt>
                <c:pt idx="9">
                  <c:v>7986.9200273963443</c:v>
                </c:pt>
                <c:pt idx="10">
                  <c:v>7472.8469993738645</c:v>
                </c:pt>
                <c:pt idx="11">
                  <c:v>6956.2036062112729</c:v>
                </c:pt>
                <c:pt idx="12">
                  <c:v>6436.9769960828689</c:v>
                </c:pt>
                <c:pt idx="13">
                  <c:v>5915.1542529038215</c:v>
                </c:pt>
                <c:pt idx="14">
                  <c:v>5390.7223960088786</c:v>
                </c:pt>
                <c:pt idx="15">
                  <c:v>4863.6683798294616</c:v>
                </c:pt>
                <c:pt idx="16">
                  <c:v>4333.9790935691481</c:v>
                </c:pt>
                <c:pt idx="17">
                  <c:v>3801.6413608775329</c:v>
                </c:pt>
                <c:pt idx="18">
                  <c:v>3266.6419395224593</c:v>
                </c:pt>
                <c:pt idx="19">
                  <c:v>2728.9675210606106</c:v>
                </c:pt>
                <c:pt idx="20">
                  <c:v>2188.6047305064521</c:v>
                </c:pt>
                <c:pt idx="21">
                  <c:v>1645.5401259995233</c:v>
                </c:pt>
                <c:pt idx="22">
                  <c:v>1099.7601984700595</c:v>
                </c:pt>
              </c:numCache>
            </c:numRef>
          </c:val>
          <c:smooth val="0"/>
        </c:ser>
        <c:dLbls>
          <c:showLegendKey val="0"/>
          <c:showVal val="0"/>
          <c:showCatName val="0"/>
          <c:showSerName val="0"/>
          <c:showPercent val="0"/>
          <c:showBubbleSize val="0"/>
        </c:dLbls>
        <c:smooth val="0"/>
        <c:axId val="300511112"/>
        <c:axId val="300510328"/>
      </c:lineChart>
      <c:catAx>
        <c:axId val="300511112"/>
        <c:scaling>
          <c:orientation val="minMax"/>
        </c:scaling>
        <c:delete val="0"/>
        <c:axPos val="b"/>
        <c:title>
          <c:tx>
            <c:rich>
              <a:bodyPr/>
              <a:lstStyle/>
              <a:p>
                <a:pPr>
                  <a:defRPr/>
                </a:pPr>
                <a:r>
                  <a:rPr lang="en-US"/>
                  <a:t>Payment Number</a:t>
                </a:r>
              </a:p>
            </c:rich>
          </c:tx>
          <c:overlay val="0"/>
        </c:title>
        <c:majorTickMark val="out"/>
        <c:minorTickMark val="none"/>
        <c:tickLblPos val="nextTo"/>
        <c:crossAx val="300510328"/>
        <c:crosses val="autoZero"/>
        <c:auto val="1"/>
        <c:lblAlgn val="ctr"/>
        <c:lblOffset val="100"/>
        <c:noMultiLvlLbl val="0"/>
      </c:catAx>
      <c:valAx>
        <c:axId val="300510328"/>
        <c:scaling>
          <c:orientation val="minMax"/>
        </c:scaling>
        <c:delete val="0"/>
        <c:axPos val="l"/>
        <c:majorGridlines/>
        <c:title>
          <c:tx>
            <c:rich>
              <a:bodyPr rot="-5400000" vert="horz"/>
              <a:lstStyle/>
              <a:p>
                <a:pPr>
                  <a:defRPr/>
                </a:pPr>
                <a:r>
                  <a:rPr lang="en-US"/>
                  <a:t>Payment</a:t>
                </a:r>
                <a:r>
                  <a:rPr lang="en-US" baseline="0"/>
                  <a:t> Amount</a:t>
                </a:r>
                <a:endParaRPr lang="en-US"/>
              </a:p>
            </c:rich>
          </c:tx>
          <c:overlay val="0"/>
        </c:title>
        <c:numFmt formatCode="_(&quot;$&quot;* #,##0.00_);_(&quot;$&quot;* \(#,##0.00\);_(&quot;$&quot;* &quot;-&quot;??_);_(@_)" sourceLinked="1"/>
        <c:majorTickMark val="out"/>
        <c:minorTickMark val="none"/>
        <c:tickLblPos val="nextTo"/>
        <c:crossAx val="3005111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723900</xdr:colOff>
      <xdr:row>3</xdr:row>
      <xdr:rowOff>0</xdr:rowOff>
    </xdr:from>
    <xdr:to>
      <xdr:col>4</xdr:col>
      <xdr:colOff>19050</xdr:colOff>
      <xdr:row>4</xdr:row>
      <xdr:rowOff>38100</xdr:rowOff>
    </xdr:to>
    <xdr:pic>
      <xdr:nvPicPr>
        <xdr:cNvPr id="4" name="Picture 3" descr="C:\Users\Ronald\AppData\Local\Temp\SNAGHTML4c3ede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24475" y="781050"/>
          <a:ext cx="266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733425</xdr:colOff>
      <xdr:row>12</xdr:row>
      <xdr:rowOff>19050</xdr:rowOff>
    </xdr:from>
    <xdr:to>
      <xdr:col>4</xdr:col>
      <xdr:colOff>19050</xdr:colOff>
      <xdr:row>13</xdr:row>
      <xdr:rowOff>28575</xdr:rowOff>
    </xdr:to>
    <xdr:pic>
      <xdr:nvPicPr>
        <xdr:cNvPr id="5" name="Picture 4" descr="C:\Users\Ronald\AppData\Local\Temp\SNAGHTML4c4d36e.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34000" y="2886075"/>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723900</xdr:colOff>
      <xdr:row>6</xdr:row>
      <xdr:rowOff>238125</xdr:rowOff>
    </xdr:from>
    <xdr:to>
      <xdr:col>4</xdr:col>
      <xdr:colOff>19050</xdr:colOff>
      <xdr:row>8</xdr:row>
      <xdr:rowOff>19050</xdr:rowOff>
    </xdr:to>
    <xdr:pic>
      <xdr:nvPicPr>
        <xdr:cNvPr id="6" name="Picture 5" descr="C:\Users\Ronald\AppData\Local\Temp\SNAGHTML4c3ede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24475" y="1657350"/>
          <a:ext cx="266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723900</xdr:colOff>
      <xdr:row>5</xdr:row>
      <xdr:rowOff>180975</xdr:rowOff>
    </xdr:from>
    <xdr:to>
      <xdr:col>4</xdr:col>
      <xdr:colOff>19050</xdr:colOff>
      <xdr:row>7</xdr:row>
      <xdr:rowOff>9525</xdr:rowOff>
    </xdr:to>
    <xdr:pic>
      <xdr:nvPicPr>
        <xdr:cNvPr id="7" name="Picture 6" descr="C:\Users\Ronald\AppData\Local\Temp\SNAGHTML4c3ede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24475" y="1400175"/>
          <a:ext cx="266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733425</xdr:colOff>
      <xdr:row>13</xdr:row>
      <xdr:rowOff>0</xdr:rowOff>
    </xdr:from>
    <xdr:to>
      <xdr:col>4</xdr:col>
      <xdr:colOff>28575</xdr:colOff>
      <xdr:row>14</xdr:row>
      <xdr:rowOff>28575</xdr:rowOff>
    </xdr:to>
    <xdr:pic>
      <xdr:nvPicPr>
        <xdr:cNvPr id="8" name="Picture 7" descr="C:\Users\Ronald\AppData\Local\Temp\SNAGHTML4c3ede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4000" y="3114675"/>
          <a:ext cx="266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733425</xdr:colOff>
      <xdr:row>13</xdr:row>
      <xdr:rowOff>238125</xdr:rowOff>
    </xdr:from>
    <xdr:to>
      <xdr:col>4</xdr:col>
      <xdr:colOff>28575</xdr:colOff>
      <xdr:row>15</xdr:row>
      <xdr:rowOff>19050</xdr:rowOff>
    </xdr:to>
    <xdr:pic>
      <xdr:nvPicPr>
        <xdr:cNvPr id="9" name="Picture 8" descr="C:\Users\Ronald\AppData\Local\Temp\SNAGHTML4c3ede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4000" y="3352800"/>
          <a:ext cx="266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723900</xdr:colOff>
      <xdr:row>18</xdr:row>
      <xdr:rowOff>219075</xdr:rowOff>
    </xdr:from>
    <xdr:to>
      <xdr:col>4</xdr:col>
      <xdr:colOff>19050</xdr:colOff>
      <xdr:row>20</xdr:row>
      <xdr:rowOff>19050</xdr:rowOff>
    </xdr:to>
    <xdr:pic>
      <xdr:nvPicPr>
        <xdr:cNvPr id="10" name="Picture 9" descr="C:\Users\Ronald\AppData\Local\Temp\SNAGHTML4c3ede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24475" y="4543425"/>
          <a:ext cx="2667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13230</xdr:colOff>
      <xdr:row>71</xdr:row>
      <xdr:rowOff>14552</xdr:rowOff>
    </xdr:from>
    <xdr:to>
      <xdr:col>21</xdr:col>
      <xdr:colOff>37042</xdr:colOff>
      <xdr:row>91</xdr:row>
      <xdr:rowOff>133614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317499</xdr:colOff>
      <xdr:row>71</xdr:row>
      <xdr:rowOff>10584</xdr:rowOff>
    </xdr:from>
    <xdr:to>
      <xdr:col>30</xdr:col>
      <xdr:colOff>296332</xdr:colOff>
      <xdr:row>91</xdr:row>
      <xdr:rowOff>159809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298373</xdr:colOff>
      <xdr:row>59</xdr:row>
      <xdr:rowOff>126236</xdr:rowOff>
    </xdr:from>
    <xdr:to>
      <xdr:col>20</xdr:col>
      <xdr:colOff>527893</xdr:colOff>
      <xdr:row>92</xdr:row>
      <xdr:rowOff>103284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95250</xdr:colOff>
      <xdr:row>22</xdr:row>
      <xdr:rowOff>28575</xdr:rowOff>
    </xdr:from>
    <xdr:to>
      <xdr:col>3</xdr:col>
      <xdr:colOff>142874</xdr:colOff>
      <xdr:row>39</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152400</xdr:colOff>
      <xdr:row>23</xdr:row>
      <xdr:rowOff>133350</xdr:rowOff>
    </xdr:from>
    <xdr:to>
      <xdr:col>3</xdr:col>
      <xdr:colOff>200024</xdr:colOff>
      <xdr:row>41</xdr:row>
      <xdr:rowOff>95250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Documents%20and%20Settings\jgardner\Local%20Settings\Temporary%20Internet%20Files\Content.Outlook\9OSTWHCA\Series%20C%20Forecast%2012-02-2009%20Internal%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burr/Downloads/AmortizationDelux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palmer/Downloads/Budget2000%20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Affinity%20Data\Operations%20Budget\Budget2000%20Revise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ocuments%20and%20Settings/bmorris.WEBVISIBLE/Local%20Settings/Temporary%20Internet%20Files/Content.Outlook/MGX16K07/Series%20C%20Forecast%2011-01-2009%20Internal%20Use%20v9%20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Documents%20and%20Settings\ajani\My%20Documents\Temp\Direct%20Team%20Sales%20-%20Monthly%20formatted%2020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Metrics by Quarter"/>
      <sheetName val="Sheet2"/>
      <sheetName val="Metrics by Rev Model"/>
      <sheetName val="Summary Financial Metrics"/>
      <sheetName val="Revenue Model Mapping"/>
      <sheetName val="CM by Revenue Model"/>
      <sheetName val="Charts"/>
      <sheetName val="Cust. by Agency"/>
      <sheetName val=" QB Revenue"/>
      <sheetName val="No. of Adv. Historical"/>
      <sheetName val="Monthly Income Stmt - C Round"/>
      <sheetName val="Monthly Cash Flow Fcast - C Rou"/>
      <sheetName val="Monthly Balance Sheet - C Round"/>
      <sheetName val="Bookings"/>
      <sheetName val="MC Summary"/>
      <sheetName val="MC Data"/>
      <sheetName val="Monthly Opex &amp; CD COGS Fcast C "/>
      <sheetName val="Revenue Forecast"/>
      <sheetName val="HC Forecast C Round"/>
      <sheetName val="CAPEX &amp; Depr - C Round"/>
      <sheetName val="Contibution Margin"/>
      <sheetName val="QB IS 08"/>
      <sheetName val="QB IS Actual 09"/>
      <sheetName val="QB BS 08"/>
      <sheetName val="QB BS Actual 09"/>
      <sheetName val="Revenue Forecast OLD"/>
      <sheetName val="Creative Dev HC Projections"/>
      <sheetName val="Head Count Summary - C Round"/>
      <sheetName val="Metrics HC Drivers"/>
      <sheetName val="Analysis"/>
      <sheetName val="Summary"/>
      <sheetName val="Sheet1"/>
    </sheetNames>
    <sheetDataSet>
      <sheetData sheetId="0"/>
      <sheetData sheetId="1"/>
      <sheetData sheetId="2"/>
      <sheetData sheetId="3"/>
      <sheetData sheetId="4"/>
      <sheetData sheetId="5"/>
      <sheetData sheetId="6"/>
      <sheetData sheetId="7"/>
      <sheetData sheetId="8"/>
      <sheetData sheetId="9"/>
      <sheetData sheetId="10"/>
      <sheetData sheetId="11">
        <row r="10">
          <cell r="Z10">
            <v>1707040.75</v>
          </cell>
        </row>
      </sheetData>
      <sheetData sheetId="12">
        <row r="27">
          <cell r="S27">
            <v>0</v>
          </cell>
        </row>
      </sheetData>
      <sheetData sheetId="13">
        <row r="2">
          <cell r="A2" t="str">
            <v>Forecast - C Round</v>
          </cell>
        </row>
      </sheetData>
      <sheetData sheetId="14"/>
      <sheetData sheetId="15"/>
      <sheetData sheetId="16"/>
      <sheetData sheetId="17"/>
      <sheetData sheetId="18"/>
      <sheetData sheetId="19">
        <row r="667">
          <cell r="AI667">
            <v>30783.330999999998</v>
          </cell>
        </row>
        <row r="697">
          <cell r="B697">
            <v>0.25</v>
          </cell>
        </row>
        <row r="704">
          <cell r="B704">
            <v>100</v>
          </cell>
        </row>
        <row r="705">
          <cell r="B705">
            <v>50</v>
          </cell>
        </row>
        <row r="706">
          <cell r="B706">
            <v>4000</v>
          </cell>
        </row>
        <row r="707">
          <cell r="B707">
            <v>25</v>
          </cell>
        </row>
        <row r="709">
          <cell r="B709">
            <v>100</v>
          </cell>
        </row>
        <row r="710">
          <cell r="B710">
            <v>50</v>
          </cell>
        </row>
        <row r="711">
          <cell r="B711">
            <v>4000</v>
          </cell>
        </row>
        <row r="712">
          <cell r="B712">
            <v>25</v>
          </cell>
        </row>
        <row r="715">
          <cell r="B715">
            <v>100</v>
          </cell>
        </row>
        <row r="716">
          <cell r="B716">
            <v>50</v>
          </cell>
        </row>
        <row r="717">
          <cell r="B717">
            <v>200</v>
          </cell>
        </row>
        <row r="718">
          <cell r="B718">
            <v>25</v>
          </cell>
        </row>
        <row r="724">
          <cell r="B724">
            <v>100</v>
          </cell>
        </row>
        <row r="725">
          <cell r="B725">
            <v>50</v>
          </cell>
        </row>
        <row r="726">
          <cell r="B726">
            <v>2500</v>
          </cell>
        </row>
        <row r="727">
          <cell r="B727">
            <v>0</v>
          </cell>
        </row>
        <row r="729">
          <cell r="B729">
            <v>100</v>
          </cell>
        </row>
        <row r="730">
          <cell r="B730">
            <v>50</v>
          </cell>
        </row>
        <row r="731">
          <cell r="B731">
            <v>2000</v>
          </cell>
        </row>
        <row r="732">
          <cell r="B732">
            <v>25</v>
          </cell>
        </row>
        <row r="736">
          <cell r="B736">
            <v>100</v>
          </cell>
        </row>
        <row r="737">
          <cell r="B737">
            <v>50</v>
          </cell>
        </row>
        <row r="738">
          <cell r="B738">
            <v>4500</v>
          </cell>
        </row>
        <row r="739">
          <cell r="B739">
            <v>0</v>
          </cell>
        </row>
        <row r="741">
          <cell r="B741">
            <v>100</v>
          </cell>
        </row>
        <row r="742">
          <cell r="B742">
            <v>50</v>
          </cell>
        </row>
        <row r="743">
          <cell r="B743">
            <v>1250</v>
          </cell>
        </row>
        <row r="744">
          <cell r="B744">
            <v>25</v>
          </cell>
        </row>
      </sheetData>
      <sheetData sheetId="20">
        <row r="19">
          <cell r="E19">
            <v>1470571</v>
          </cell>
        </row>
      </sheetData>
      <sheetData sheetId="21"/>
      <sheetData sheetId="22"/>
      <sheetData sheetId="23"/>
      <sheetData sheetId="24">
        <row r="10">
          <cell r="F10">
            <v>221670.21</v>
          </cell>
        </row>
      </sheetData>
      <sheetData sheetId="25">
        <row r="11">
          <cell r="G11">
            <v>2567047.58</v>
          </cell>
        </row>
      </sheetData>
      <sheetData sheetId="26"/>
      <sheetData sheetId="27"/>
      <sheetData sheetId="28"/>
      <sheetData sheetId="29"/>
      <sheetData sheetId="30"/>
      <sheetData sheetId="31"/>
      <sheetData sheetId="3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s"/>
      <sheetName val="Instructions"/>
      <sheetName val="Fixed Rate Traditional"/>
      <sheetName val="Fixed Rate Balloon"/>
      <sheetName val="Fixed Rate Interest Only"/>
      <sheetName val="Adjustable Rate Traditional"/>
      <sheetName val="Adjustable Rate Balloon"/>
      <sheetName val="Adjustable Rate Interest Only"/>
    </sheetNames>
    <sheetDataSet>
      <sheetData sheetId="0"/>
      <sheetData sheetId="1"/>
      <sheetData sheetId="2">
        <row r="27">
          <cell r="A27">
            <v>1</v>
          </cell>
          <cell r="G27">
            <v>1201.5495634547151</v>
          </cell>
          <cell r="H27">
            <v>4166.666666666667</v>
          </cell>
        </row>
        <row r="28">
          <cell r="A28">
            <v>2</v>
          </cell>
        </row>
        <row r="29">
          <cell r="A29">
            <v>3</v>
          </cell>
        </row>
        <row r="30">
          <cell r="A30">
            <v>4</v>
          </cell>
        </row>
        <row r="31">
          <cell r="A31">
            <v>5</v>
          </cell>
        </row>
        <row r="32">
          <cell r="A32">
            <v>6</v>
          </cell>
        </row>
        <row r="33">
          <cell r="A33">
            <v>7</v>
          </cell>
        </row>
        <row r="34">
          <cell r="A34">
            <v>8</v>
          </cell>
        </row>
        <row r="35">
          <cell r="A35">
            <v>9</v>
          </cell>
        </row>
        <row r="36">
          <cell r="A36">
            <v>10</v>
          </cell>
        </row>
        <row r="37">
          <cell r="A37">
            <v>11</v>
          </cell>
        </row>
        <row r="38">
          <cell r="A38">
            <v>12</v>
          </cell>
        </row>
        <row r="39">
          <cell r="A39">
            <v>13</v>
          </cell>
        </row>
        <row r="40">
          <cell r="A40">
            <v>14</v>
          </cell>
        </row>
        <row r="41">
          <cell r="A41">
            <v>15</v>
          </cell>
        </row>
        <row r="42">
          <cell r="A42">
            <v>16</v>
          </cell>
        </row>
        <row r="43">
          <cell r="A43">
            <v>17</v>
          </cell>
        </row>
        <row r="44">
          <cell r="A44">
            <v>18</v>
          </cell>
        </row>
        <row r="45">
          <cell r="A45">
            <v>19</v>
          </cell>
        </row>
        <row r="46">
          <cell r="A46">
            <v>20</v>
          </cell>
        </row>
        <row r="47">
          <cell r="A47">
            <v>21</v>
          </cell>
        </row>
        <row r="48">
          <cell r="A48">
            <v>22</v>
          </cell>
        </row>
        <row r="49">
          <cell r="A49">
            <v>23</v>
          </cell>
        </row>
        <row r="50">
          <cell r="A50">
            <v>24</v>
          </cell>
        </row>
        <row r="51">
          <cell r="A51">
            <v>25</v>
          </cell>
        </row>
        <row r="52">
          <cell r="A52">
            <v>26</v>
          </cell>
        </row>
        <row r="53">
          <cell r="A53">
            <v>27</v>
          </cell>
        </row>
        <row r="54">
          <cell r="A54">
            <v>28</v>
          </cell>
        </row>
        <row r="55">
          <cell r="A55">
            <v>29</v>
          </cell>
        </row>
        <row r="56">
          <cell r="A56">
            <v>30</v>
          </cell>
        </row>
        <row r="57">
          <cell r="A57">
            <v>31</v>
          </cell>
        </row>
        <row r="58">
          <cell r="A58">
            <v>32</v>
          </cell>
        </row>
        <row r="59">
          <cell r="A59">
            <v>33</v>
          </cell>
        </row>
        <row r="60">
          <cell r="A60">
            <v>34</v>
          </cell>
        </row>
        <row r="61">
          <cell r="A61">
            <v>35</v>
          </cell>
        </row>
        <row r="62">
          <cell r="A62">
            <v>36</v>
          </cell>
        </row>
        <row r="63">
          <cell r="A63">
            <v>37</v>
          </cell>
        </row>
        <row r="64">
          <cell r="A64">
            <v>38</v>
          </cell>
        </row>
        <row r="65">
          <cell r="A65">
            <v>39</v>
          </cell>
        </row>
        <row r="66">
          <cell r="A66">
            <v>40</v>
          </cell>
        </row>
        <row r="67">
          <cell r="A67">
            <v>41</v>
          </cell>
        </row>
        <row r="68">
          <cell r="A68">
            <v>42</v>
          </cell>
        </row>
        <row r="69">
          <cell r="A69">
            <v>43</v>
          </cell>
        </row>
        <row r="70">
          <cell r="A70">
            <v>44</v>
          </cell>
        </row>
        <row r="71">
          <cell r="A71">
            <v>45</v>
          </cell>
        </row>
        <row r="72">
          <cell r="A72">
            <v>46</v>
          </cell>
        </row>
        <row r="73">
          <cell r="A73">
            <v>47</v>
          </cell>
        </row>
        <row r="74">
          <cell r="A74">
            <v>48</v>
          </cell>
        </row>
        <row r="75">
          <cell r="A75">
            <v>49</v>
          </cell>
        </row>
        <row r="76">
          <cell r="A76">
            <v>50</v>
          </cell>
        </row>
        <row r="77">
          <cell r="A77">
            <v>51</v>
          </cell>
        </row>
        <row r="78">
          <cell r="A78">
            <v>52</v>
          </cell>
        </row>
        <row r="79">
          <cell r="A79">
            <v>53</v>
          </cell>
        </row>
        <row r="80">
          <cell r="A80">
            <v>54</v>
          </cell>
        </row>
        <row r="81">
          <cell r="A81">
            <v>55</v>
          </cell>
        </row>
        <row r="82">
          <cell r="A82">
            <v>56</v>
          </cell>
        </row>
        <row r="83">
          <cell r="A83">
            <v>57</v>
          </cell>
        </row>
        <row r="84">
          <cell r="A84">
            <v>58</v>
          </cell>
        </row>
        <row r="85">
          <cell r="A85">
            <v>59</v>
          </cell>
        </row>
        <row r="86">
          <cell r="A86">
            <v>60</v>
          </cell>
        </row>
        <row r="87">
          <cell r="A87">
            <v>61</v>
          </cell>
        </row>
        <row r="88">
          <cell r="A88">
            <v>62</v>
          </cell>
        </row>
        <row r="89">
          <cell r="A89">
            <v>63</v>
          </cell>
        </row>
        <row r="90">
          <cell r="A90">
            <v>64</v>
          </cell>
        </row>
        <row r="91">
          <cell r="A91">
            <v>65</v>
          </cell>
        </row>
        <row r="92">
          <cell r="A92">
            <v>66</v>
          </cell>
        </row>
        <row r="93">
          <cell r="A93">
            <v>67</v>
          </cell>
        </row>
        <row r="94">
          <cell r="A94">
            <v>68</v>
          </cell>
        </row>
        <row r="95">
          <cell r="A95">
            <v>69</v>
          </cell>
        </row>
        <row r="96">
          <cell r="A96">
            <v>70</v>
          </cell>
        </row>
        <row r="97">
          <cell r="A97">
            <v>71</v>
          </cell>
        </row>
        <row r="98">
          <cell r="A98">
            <v>72</v>
          </cell>
        </row>
        <row r="99">
          <cell r="A99">
            <v>73</v>
          </cell>
        </row>
        <row r="100">
          <cell r="A100">
            <v>74</v>
          </cell>
        </row>
        <row r="101">
          <cell r="A101">
            <v>75</v>
          </cell>
        </row>
        <row r="102">
          <cell r="A102">
            <v>76</v>
          </cell>
        </row>
        <row r="103">
          <cell r="A103">
            <v>77</v>
          </cell>
        </row>
        <row r="104">
          <cell r="A104">
            <v>78</v>
          </cell>
        </row>
        <row r="105">
          <cell r="A105">
            <v>79</v>
          </cell>
        </row>
        <row r="106">
          <cell r="A106">
            <v>80</v>
          </cell>
        </row>
        <row r="107">
          <cell r="A107">
            <v>81</v>
          </cell>
        </row>
        <row r="108">
          <cell r="A108">
            <v>82</v>
          </cell>
        </row>
        <row r="109">
          <cell r="A109">
            <v>83</v>
          </cell>
        </row>
        <row r="110">
          <cell r="A110">
            <v>84</v>
          </cell>
        </row>
        <row r="111">
          <cell r="A111">
            <v>85</v>
          </cell>
        </row>
        <row r="112">
          <cell r="A112">
            <v>86</v>
          </cell>
        </row>
        <row r="113">
          <cell r="A113">
            <v>87</v>
          </cell>
        </row>
        <row r="114">
          <cell r="A114">
            <v>88</v>
          </cell>
        </row>
        <row r="115">
          <cell r="A115">
            <v>89</v>
          </cell>
        </row>
        <row r="116">
          <cell r="A116">
            <v>90</v>
          </cell>
        </row>
        <row r="117">
          <cell r="A117">
            <v>91</v>
          </cell>
        </row>
        <row r="118">
          <cell r="A118">
            <v>92</v>
          </cell>
        </row>
        <row r="119">
          <cell r="A119">
            <v>93</v>
          </cell>
        </row>
        <row r="120">
          <cell r="A120">
            <v>94</v>
          </cell>
        </row>
        <row r="121">
          <cell r="A121">
            <v>95</v>
          </cell>
        </row>
        <row r="122">
          <cell r="A122">
            <v>96</v>
          </cell>
        </row>
        <row r="123">
          <cell r="A123">
            <v>97</v>
          </cell>
        </row>
        <row r="124">
          <cell r="A124">
            <v>98</v>
          </cell>
        </row>
        <row r="125">
          <cell r="A125">
            <v>99</v>
          </cell>
        </row>
        <row r="126">
          <cell r="A126">
            <v>100</v>
          </cell>
        </row>
        <row r="127">
          <cell r="A127">
            <v>101</v>
          </cell>
        </row>
        <row r="128">
          <cell r="A128">
            <v>102</v>
          </cell>
        </row>
        <row r="129">
          <cell r="A129">
            <v>103</v>
          </cell>
        </row>
        <row r="130">
          <cell r="A130">
            <v>104</v>
          </cell>
        </row>
        <row r="131">
          <cell r="A131">
            <v>105</v>
          </cell>
        </row>
        <row r="132">
          <cell r="A132">
            <v>106</v>
          </cell>
        </row>
        <row r="133">
          <cell r="A133">
            <v>107</v>
          </cell>
        </row>
        <row r="134">
          <cell r="A134">
            <v>108</v>
          </cell>
        </row>
        <row r="135">
          <cell r="A135">
            <v>109</v>
          </cell>
        </row>
        <row r="136">
          <cell r="A136">
            <v>110</v>
          </cell>
        </row>
        <row r="137">
          <cell r="A137">
            <v>111</v>
          </cell>
        </row>
        <row r="138">
          <cell r="A138">
            <v>112</v>
          </cell>
        </row>
        <row r="139">
          <cell r="A139">
            <v>113</v>
          </cell>
        </row>
        <row r="140">
          <cell r="A140">
            <v>114</v>
          </cell>
        </row>
        <row r="141">
          <cell r="A141">
            <v>115</v>
          </cell>
        </row>
        <row r="142">
          <cell r="A142">
            <v>116</v>
          </cell>
        </row>
        <row r="143">
          <cell r="A143">
            <v>117</v>
          </cell>
        </row>
        <row r="144">
          <cell r="A144">
            <v>118</v>
          </cell>
        </row>
        <row r="145">
          <cell r="A145">
            <v>119</v>
          </cell>
        </row>
        <row r="146">
          <cell r="A146">
            <v>120</v>
          </cell>
        </row>
        <row r="147">
          <cell r="A147">
            <v>121</v>
          </cell>
        </row>
        <row r="148">
          <cell r="A148">
            <v>122</v>
          </cell>
        </row>
        <row r="149">
          <cell r="A149">
            <v>123</v>
          </cell>
        </row>
        <row r="150">
          <cell r="A150">
            <v>124</v>
          </cell>
        </row>
        <row r="151">
          <cell r="A151">
            <v>125</v>
          </cell>
        </row>
        <row r="152">
          <cell r="A152">
            <v>126</v>
          </cell>
        </row>
        <row r="153">
          <cell r="A153">
            <v>127</v>
          </cell>
        </row>
        <row r="154">
          <cell r="A154">
            <v>128</v>
          </cell>
        </row>
        <row r="155">
          <cell r="A155">
            <v>129</v>
          </cell>
        </row>
        <row r="156">
          <cell r="A156">
            <v>130</v>
          </cell>
        </row>
        <row r="157">
          <cell r="A157">
            <v>131</v>
          </cell>
        </row>
        <row r="158">
          <cell r="A158">
            <v>132</v>
          </cell>
        </row>
        <row r="159">
          <cell r="A159">
            <v>133</v>
          </cell>
        </row>
        <row r="160">
          <cell r="A160">
            <v>134</v>
          </cell>
        </row>
        <row r="161">
          <cell r="A161">
            <v>135</v>
          </cell>
        </row>
        <row r="162">
          <cell r="A162">
            <v>136</v>
          </cell>
        </row>
        <row r="163">
          <cell r="A163">
            <v>137</v>
          </cell>
        </row>
        <row r="164">
          <cell r="A164">
            <v>138</v>
          </cell>
        </row>
        <row r="165">
          <cell r="A165">
            <v>139</v>
          </cell>
        </row>
        <row r="166">
          <cell r="A166">
            <v>140</v>
          </cell>
        </row>
        <row r="167">
          <cell r="A167">
            <v>141</v>
          </cell>
        </row>
        <row r="168">
          <cell r="A168">
            <v>142</v>
          </cell>
        </row>
        <row r="169">
          <cell r="A169">
            <v>143</v>
          </cell>
        </row>
        <row r="170">
          <cell r="A170">
            <v>144</v>
          </cell>
        </row>
        <row r="171">
          <cell r="A171">
            <v>145</v>
          </cell>
        </row>
        <row r="172">
          <cell r="A172">
            <v>146</v>
          </cell>
        </row>
        <row r="173">
          <cell r="A173">
            <v>147</v>
          </cell>
        </row>
        <row r="174">
          <cell r="A174">
            <v>148</v>
          </cell>
        </row>
        <row r="175">
          <cell r="A175">
            <v>149</v>
          </cell>
        </row>
        <row r="176">
          <cell r="A176">
            <v>150</v>
          </cell>
        </row>
        <row r="177">
          <cell r="A177">
            <v>151</v>
          </cell>
        </row>
        <row r="178">
          <cell r="A178">
            <v>152</v>
          </cell>
        </row>
        <row r="179">
          <cell r="A179">
            <v>153</v>
          </cell>
        </row>
        <row r="180">
          <cell r="A180">
            <v>154</v>
          </cell>
        </row>
        <row r="181">
          <cell r="A181">
            <v>155</v>
          </cell>
        </row>
        <row r="182">
          <cell r="A182">
            <v>156</v>
          </cell>
        </row>
        <row r="183">
          <cell r="A183">
            <v>157</v>
          </cell>
        </row>
        <row r="184">
          <cell r="A184">
            <v>158</v>
          </cell>
        </row>
        <row r="185">
          <cell r="A185">
            <v>159</v>
          </cell>
        </row>
        <row r="186">
          <cell r="A186">
            <v>160</v>
          </cell>
        </row>
        <row r="187">
          <cell r="A187">
            <v>161</v>
          </cell>
        </row>
        <row r="188">
          <cell r="A188">
            <v>162</v>
          </cell>
        </row>
        <row r="189">
          <cell r="A189">
            <v>163</v>
          </cell>
        </row>
        <row r="190">
          <cell r="A190">
            <v>164</v>
          </cell>
        </row>
        <row r="191">
          <cell r="A191">
            <v>165</v>
          </cell>
        </row>
        <row r="192">
          <cell r="A192">
            <v>166</v>
          </cell>
        </row>
        <row r="193">
          <cell r="A193">
            <v>167</v>
          </cell>
        </row>
        <row r="194">
          <cell r="A194">
            <v>168</v>
          </cell>
        </row>
        <row r="195">
          <cell r="A195">
            <v>169</v>
          </cell>
        </row>
        <row r="196">
          <cell r="A196">
            <v>170</v>
          </cell>
        </row>
        <row r="197">
          <cell r="A197">
            <v>171</v>
          </cell>
        </row>
        <row r="198">
          <cell r="A198">
            <v>172</v>
          </cell>
        </row>
        <row r="199">
          <cell r="A199">
            <v>173</v>
          </cell>
        </row>
        <row r="200">
          <cell r="A200">
            <v>174</v>
          </cell>
        </row>
        <row r="201">
          <cell r="A201">
            <v>175</v>
          </cell>
        </row>
        <row r="202">
          <cell r="A202">
            <v>176</v>
          </cell>
        </row>
        <row r="203">
          <cell r="A203">
            <v>177</v>
          </cell>
        </row>
        <row r="204">
          <cell r="A204">
            <v>178</v>
          </cell>
        </row>
        <row r="205">
          <cell r="A205">
            <v>179</v>
          </cell>
        </row>
        <row r="206">
          <cell r="A206">
            <v>180</v>
          </cell>
        </row>
        <row r="207">
          <cell r="A207">
            <v>181</v>
          </cell>
        </row>
        <row r="208">
          <cell r="A208">
            <v>182</v>
          </cell>
        </row>
        <row r="209">
          <cell r="A209">
            <v>183</v>
          </cell>
        </row>
        <row r="210">
          <cell r="A210">
            <v>184</v>
          </cell>
        </row>
        <row r="211">
          <cell r="A211">
            <v>185</v>
          </cell>
        </row>
        <row r="212">
          <cell r="A212">
            <v>186</v>
          </cell>
        </row>
        <row r="213">
          <cell r="A213">
            <v>187</v>
          </cell>
        </row>
        <row r="214">
          <cell r="A214">
            <v>188</v>
          </cell>
        </row>
        <row r="215">
          <cell r="A215">
            <v>189</v>
          </cell>
        </row>
        <row r="216">
          <cell r="A216">
            <v>190</v>
          </cell>
        </row>
        <row r="217">
          <cell r="A217">
            <v>191</v>
          </cell>
        </row>
        <row r="218">
          <cell r="A218">
            <v>192</v>
          </cell>
        </row>
        <row r="219">
          <cell r="A219">
            <v>193</v>
          </cell>
        </row>
        <row r="220">
          <cell r="A220">
            <v>194</v>
          </cell>
        </row>
        <row r="221">
          <cell r="A221">
            <v>195</v>
          </cell>
        </row>
        <row r="222">
          <cell r="A222">
            <v>196</v>
          </cell>
        </row>
        <row r="223">
          <cell r="A223">
            <v>197</v>
          </cell>
        </row>
        <row r="224">
          <cell r="A224">
            <v>198</v>
          </cell>
        </row>
        <row r="225">
          <cell r="A225">
            <v>199</v>
          </cell>
        </row>
        <row r="226">
          <cell r="A226">
            <v>200</v>
          </cell>
        </row>
        <row r="227">
          <cell r="A227">
            <v>201</v>
          </cell>
        </row>
        <row r="228">
          <cell r="A228">
            <v>202</v>
          </cell>
        </row>
        <row r="229">
          <cell r="A229">
            <v>203</v>
          </cell>
        </row>
        <row r="230">
          <cell r="A230">
            <v>204</v>
          </cell>
        </row>
        <row r="231">
          <cell r="A231">
            <v>205</v>
          </cell>
        </row>
        <row r="232">
          <cell r="A232">
            <v>206</v>
          </cell>
        </row>
        <row r="233">
          <cell r="A233">
            <v>207</v>
          </cell>
        </row>
        <row r="234">
          <cell r="A234">
            <v>208</v>
          </cell>
        </row>
        <row r="235">
          <cell r="A235">
            <v>209</v>
          </cell>
        </row>
        <row r="236">
          <cell r="A236">
            <v>210</v>
          </cell>
        </row>
        <row r="237">
          <cell r="A237">
            <v>211</v>
          </cell>
        </row>
        <row r="238">
          <cell r="A238">
            <v>212</v>
          </cell>
        </row>
        <row r="239">
          <cell r="A239">
            <v>213</v>
          </cell>
        </row>
        <row r="240">
          <cell r="A240">
            <v>214</v>
          </cell>
        </row>
        <row r="241">
          <cell r="A241">
            <v>215</v>
          </cell>
        </row>
        <row r="242">
          <cell r="A242">
            <v>216</v>
          </cell>
        </row>
        <row r="243">
          <cell r="A243">
            <v>217</v>
          </cell>
        </row>
        <row r="244">
          <cell r="A244">
            <v>218</v>
          </cell>
        </row>
        <row r="245">
          <cell r="A245">
            <v>219</v>
          </cell>
        </row>
        <row r="246">
          <cell r="A246">
            <v>220</v>
          </cell>
        </row>
        <row r="247">
          <cell r="A247">
            <v>221</v>
          </cell>
        </row>
        <row r="248">
          <cell r="A248">
            <v>222</v>
          </cell>
        </row>
        <row r="249">
          <cell r="A249">
            <v>223</v>
          </cell>
        </row>
        <row r="250">
          <cell r="A250">
            <v>224</v>
          </cell>
        </row>
        <row r="251">
          <cell r="A251">
            <v>225</v>
          </cell>
        </row>
        <row r="252">
          <cell r="A252">
            <v>226</v>
          </cell>
        </row>
        <row r="253">
          <cell r="A253">
            <v>227</v>
          </cell>
        </row>
        <row r="254">
          <cell r="A254">
            <v>228</v>
          </cell>
        </row>
        <row r="255">
          <cell r="A255">
            <v>229</v>
          </cell>
        </row>
        <row r="256">
          <cell r="A256">
            <v>230</v>
          </cell>
        </row>
        <row r="257">
          <cell r="A257">
            <v>231</v>
          </cell>
        </row>
        <row r="258">
          <cell r="A258">
            <v>232</v>
          </cell>
        </row>
        <row r="259">
          <cell r="A259">
            <v>233</v>
          </cell>
        </row>
        <row r="260">
          <cell r="A260">
            <v>234</v>
          </cell>
        </row>
        <row r="261">
          <cell r="A261">
            <v>235</v>
          </cell>
        </row>
        <row r="262">
          <cell r="A262">
            <v>236</v>
          </cell>
        </row>
        <row r="263">
          <cell r="A263">
            <v>237</v>
          </cell>
        </row>
        <row r="264">
          <cell r="A264">
            <v>238</v>
          </cell>
        </row>
        <row r="265">
          <cell r="A265">
            <v>239</v>
          </cell>
        </row>
        <row r="266">
          <cell r="A266">
            <v>240</v>
          </cell>
        </row>
        <row r="267">
          <cell r="A267">
            <v>241</v>
          </cell>
        </row>
        <row r="268">
          <cell r="A268">
            <v>242</v>
          </cell>
        </row>
        <row r="269">
          <cell r="A269">
            <v>243</v>
          </cell>
        </row>
        <row r="270">
          <cell r="A270">
            <v>244</v>
          </cell>
        </row>
        <row r="271">
          <cell r="A271">
            <v>245</v>
          </cell>
        </row>
        <row r="272">
          <cell r="A272">
            <v>246</v>
          </cell>
        </row>
        <row r="273">
          <cell r="A273">
            <v>247</v>
          </cell>
        </row>
        <row r="274">
          <cell r="A274">
            <v>248</v>
          </cell>
        </row>
        <row r="275">
          <cell r="A275">
            <v>249</v>
          </cell>
        </row>
        <row r="276">
          <cell r="A276">
            <v>250</v>
          </cell>
        </row>
        <row r="277">
          <cell r="A277">
            <v>251</v>
          </cell>
        </row>
        <row r="278">
          <cell r="A278">
            <v>252</v>
          </cell>
        </row>
        <row r="279">
          <cell r="A279">
            <v>253</v>
          </cell>
        </row>
        <row r="280">
          <cell r="A280">
            <v>254</v>
          </cell>
        </row>
        <row r="281">
          <cell r="A281">
            <v>255</v>
          </cell>
        </row>
        <row r="282">
          <cell r="A282">
            <v>256</v>
          </cell>
        </row>
        <row r="283">
          <cell r="A283">
            <v>257</v>
          </cell>
        </row>
        <row r="284">
          <cell r="A284">
            <v>258</v>
          </cell>
        </row>
        <row r="285">
          <cell r="A285">
            <v>259</v>
          </cell>
        </row>
        <row r="286">
          <cell r="A286">
            <v>260</v>
          </cell>
        </row>
        <row r="287">
          <cell r="A287">
            <v>261</v>
          </cell>
        </row>
        <row r="288">
          <cell r="A288">
            <v>262</v>
          </cell>
        </row>
        <row r="289">
          <cell r="A289">
            <v>263</v>
          </cell>
        </row>
        <row r="290">
          <cell r="A290">
            <v>264</v>
          </cell>
        </row>
        <row r="291">
          <cell r="A291">
            <v>265</v>
          </cell>
        </row>
        <row r="292">
          <cell r="A292">
            <v>266</v>
          </cell>
        </row>
        <row r="293">
          <cell r="A293">
            <v>267</v>
          </cell>
        </row>
        <row r="294">
          <cell r="A294">
            <v>268</v>
          </cell>
        </row>
        <row r="295">
          <cell r="A295">
            <v>269</v>
          </cell>
        </row>
        <row r="296">
          <cell r="A296">
            <v>270</v>
          </cell>
        </row>
        <row r="297">
          <cell r="A297">
            <v>271</v>
          </cell>
        </row>
        <row r="298">
          <cell r="A298">
            <v>272</v>
          </cell>
        </row>
        <row r="299">
          <cell r="A299">
            <v>273</v>
          </cell>
        </row>
        <row r="300">
          <cell r="A300">
            <v>274</v>
          </cell>
        </row>
        <row r="301">
          <cell r="A301">
            <v>275</v>
          </cell>
        </row>
        <row r="302">
          <cell r="A302">
            <v>276</v>
          </cell>
        </row>
        <row r="303">
          <cell r="A303">
            <v>277</v>
          </cell>
        </row>
        <row r="304">
          <cell r="A304">
            <v>278</v>
          </cell>
        </row>
        <row r="305">
          <cell r="A305">
            <v>279</v>
          </cell>
        </row>
        <row r="306">
          <cell r="A306">
            <v>280</v>
          </cell>
        </row>
        <row r="307">
          <cell r="A307">
            <v>281</v>
          </cell>
        </row>
        <row r="308">
          <cell r="A308">
            <v>282</v>
          </cell>
        </row>
        <row r="309">
          <cell r="A309">
            <v>283</v>
          </cell>
        </row>
        <row r="310">
          <cell r="A310">
            <v>284</v>
          </cell>
        </row>
        <row r="311">
          <cell r="A311">
            <v>285</v>
          </cell>
        </row>
        <row r="312">
          <cell r="A312">
            <v>286</v>
          </cell>
        </row>
        <row r="313">
          <cell r="A313">
            <v>287</v>
          </cell>
        </row>
        <row r="314">
          <cell r="A314">
            <v>288</v>
          </cell>
        </row>
        <row r="315">
          <cell r="A315">
            <v>289</v>
          </cell>
        </row>
        <row r="316">
          <cell r="A316">
            <v>290</v>
          </cell>
        </row>
        <row r="317">
          <cell r="A317">
            <v>291</v>
          </cell>
        </row>
        <row r="318">
          <cell r="A318">
            <v>292</v>
          </cell>
        </row>
        <row r="319">
          <cell r="A319">
            <v>293</v>
          </cell>
        </row>
        <row r="320">
          <cell r="A320">
            <v>294</v>
          </cell>
        </row>
        <row r="321">
          <cell r="A321">
            <v>295</v>
          </cell>
        </row>
        <row r="322">
          <cell r="A322">
            <v>296</v>
          </cell>
        </row>
        <row r="323">
          <cell r="A323">
            <v>297</v>
          </cell>
        </row>
        <row r="324">
          <cell r="A324">
            <v>298</v>
          </cell>
        </row>
        <row r="325">
          <cell r="A325">
            <v>299</v>
          </cell>
        </row>
        <row r="326">
          <cell r="A326">
            <v>300</v>
          </cell>
        </row>
        <row r="327">
          <cell r="A327">
            <v>301</v>
          </cell>
        </row>
        <row r="328">
          <cell r="A328">
            <v>302</v>
          </cell>
        </row>
        <row r="329">
          <cell r="A329">
            <v>303</v>
          </cell>
        </row>
        <row r="330">
          <cell r="A330">
            <v>304</v>
          </cell>
        </row>
        <row r="331">
          <cell r="A331">
            <v>305</v>
          </cell>
        </row>
        <row r="332">
          <cell r="A332">
            <v>306</v>
          </cell>
        </row>
        <row r="333">
          <cell r="A333">
            <v>307</v>
          </cell>
        </row>
        <row r="334">
          <cell r="A334">
            <v>308</v>
          </cell>
        </row>
        <row r="335">
          <cell r="A335">
            <v>309</v>
          </cell>
        </row>
        <row r="336">
          <cell r="A336">
            <v>310</v>
          </cell>
        </row>
        <row r="337">
          <cell r="A337">
            <v>311</v>
          </cell>
        </row>
        <row r="338">
          <cell r="A338">
            <v>312</v>
          </cell>
        </row>
        <row r="339">
          <cell r="A339">
            <v>313</v>
          </cell>
        </row>
        <row r="340">
          <cell r="A340">
            <v>314</v>
          </cell>
        </row>
        <row r="341">
          <cell r="A341">
            <v>315</v>
          </cell>
        </row>
        <row r="342">
          <cell r="A342">
            <v>316</v>
          </cell>
        </row>
        <row r="343">
          <cell r="A343">
            <v>317</v>
          </cell>
        </row>
        <row r="344">
          <cell r="A344">
            <v>318</v>
          </cell>
        </row>
        <row r="345">
          <cell r="A345">
            <v>319</v>
          </cell>
        </row>
        <row r="346">
          <cell r="A346">
            <v>320</v>
          </cell>
        </row>
        <row r="347">
          <cell r="A347">
            <v>321</v>
          </cell>
        </row>
        <row r="348">
          <cell r="A348">
            <v>322</v>
          </cell>
        </row>
        <row r="349">
          <cell r="A349">
            <v>323</v>
          </cell>
        </row>
        <row r="350">
          <cell r="A350">
            <v>324</v>
          </cell>
        </row>
        <row r="351">
          <cell r="A351">
            <v>325</v>
          </cell>
        </row>
        <row r="352">
          <cell r="A352">
            <v>326</v>
          </cell>
        </row>
        <row r="353">
          <cell r="A353">
            <v>327</v>
          </cell>
        </row>
        <row r="354">
          <cell r="A354">
            <v>328</v>
          </cell>
        </row>
        <row r="355">
          <cell r="A355">
            <v>329</v>
          </cell>
        </row>
        <row r="356">
          <cell r="A356">
            <v>330</v>
          </cell>
        </row>
        <row r="357">
          <cell r="A357">
            <v>331</v>
          </cell>
        </row>
        <row r="358">
          <cell r="A358">
            <v>332</v>
          </cell>
        </row>
        <row r="359">
          <cell r="A359">
            <v>333</v>
          </cell>
        </row>
        <row r="360">
          <cell r="A360">
            <v>334</v>
          </cell>
        </row>
        <row r="361">
          <cell r="A361">
            <v>335</v>
          </cell>
        </row>
        <row r="362">
          <cell r="A362">
            <v>336</v>
          </cell>
        </row>
        <row r="363">
          <cell r="A363">
            <v>337</v>
          </cell>
        </row>
        <row r="364">
          <cell r="A364">
            <v>338</v>
          </cell>
        </row>
        <row r="365">
          <cell r="A365">
            <v>339</v>
          </cell>
        </row>
        <row r="366">
          <cell r="A366">
            <v>340</v>
          </cell>
        </row>
        <row r="367">
          <cell r="A367">
            <v>341</v>
          </cell>
        </row>
        <row r="368">
          <cell r="A368">
            <v>342</v>
          </cell>
        </row>
        <row r="369">
          <cell r="A369">
            <v>343</v>
          </cell>
        </row>
        <row r="370">
          <cell r="A370">
            <v>344</v>
          </cell>
        </row>
        <row r="371">
          <cell r="A371">
            <v>345</v>
          </cell>
        </row>
        <row r="372">
          <cell r="A372">
            <v>346</v>
          </cell>
        </row>
        <row r="373">
          <cell r="A373">
            <v>347</v>
          </cell>
        </row>
        <row r="374">
          <cell r="A374">
            <v>348</v>
          </cell>
        </row>
        <row r="375">
          <cell r="A375">
            <v>349</v>
          </cell>
        </row>
        <row r="376">
          <cell r="A376">
            <v>350</v>
          </cell>
        </row>
        <row r="377">
          <cell r="A377">
            <v>351</v>
          </cell>
        </row>
        <row r="378">
          <cell r="A378">
            <v>352</v>
          </cell>
        </row>
        <row r="379">
          <cell r="A379">
            <v>353</v>
          </cell>
        </row>
        <row r="380">
          <cell r="A380">
            <v>354</v>
          </cell>
        </row>
        <row r="381">
          <cell r="A381">
            <v>355</v>
          </cell>
        </row>
        <row r="382">
          <cell r="A382">
            <v>356</v>
          </cell>
        </row>
        <row r="383">
          <cell r="A383">
            <v>357</v>
          </cell>
        </row>
        <row r="384">
          <cell r="A384">
            <v>358</v>
          </cell>
        </row>
        <row r="385">
          <cell r="A385">
            <v>359</v>
          </cell>
        </row>
        <row r="386">
          <cell r="A386">
            <v>360</v>
          </cell>
        </row>
        <row r="387">
          <cell r="A387" t="str">
            <v/>
          </cell>
        </row>
        <row r="388">
          <cell r="A388" t="str">
            <v/>
          </cell>
        </row>
        <row r="389">
          <cell r="A389" t="str">
            <v/>
          </cell>
        </row>
        <row r="390">
          <cell r="A390" t="str">
            <v/>
          </cell>
        </row>
        <row r="391">
          <cell r="A391" t="str">
            <v/>
          </cell>
        </row>
        <row r="392">
          <cell r="A392" t="str">
            <v/>
          </cell>
        </row>
        <row r="393">
          <cell r="A393" t="str">
            <v/>
          </cell>
        </row>
        <row r="394">
          <cell r="A394" t="str">
            <v/>
          </cell>
        </row>
        <row r="395">
          <cell r="A395" t="str">
            <v/>
          </cell>
        </row>
        <row r="396">
          <cell r="A396" t="str">
            <v/>
          </cell>
        </row>
        <row r="397">
          <cell r="A397" t="str">
            <v/>
          </cell>
        </row>
        <row r="398">
          <cell r="A398" t="str">
            <v/>
          </cell>
        </row>
        <row r="399">
          <cell r="A399" t="str">
            <v/>
          </cell>
        </row>
        <row r="400">
          <cell r="A400" t="str">
            <v/>
          </cell>
        </row>
        <row r="401">
          <cell r="A401" t="str">
            <v/>
          </cell>
        </row>
        <row r="402">
          <cell r="A402" t="str">
            <v/>
          </cell>
        </row>
        <row r="403">
          <cell r="A403" t="str">
            <v/>
          </cell>
        </row>
        <row r="404">
          <cell r="A404" t="str">
            <v/>
          </cell>
        </row>
        <row r="405">
          <cell r="A405" t="str">
            <v/>
          </cell>
        </row>
        <row r="406">
          <cell r="A406" t="str">
            <v/>
          </cell>
        </row>
        <row r="407">
          <cell r="A407" t="str">
            <v/>
          </cell>
        </row>
        <row r="408">
          <cell r="A408" t="str">
            <v/>
          </cell>
        </row>
        <row r="409">
          <cell r="A409" t="str">
            <v/>
          </cell>
        </row>
        <row r="410">
          <cell r="A410" t="str">
            <v/>
          </cell>
        </row>
        <row r="411">
          <cell r="A411" t="str">
            <v/>
          </cell>
        </row>
        <row r="412">
          <cell r="A412" t="str">
            <v/>
          </cell>
        </row>
        <row r="413">
          <cell r="A413" t="str">
            <v/>
          </cell>
        </row>
        <row r="414">
          <cell r="A414" t="str">
            <v/>
          </cell>
        </row>
        <row r="415">
          <cell r="A415" t="str">
            <v/>
          </cell>
        </row>
        <row r="416">
          <cell r="A416" t="str">
            <v/>
          </cell>
        </row>
        <row r="417">
          <cell r="A417" t="str">
            <v/>
          </cell>
        </row>
        <row r="418">
          <cell r="A418" t="str">
            <v/>
          </cell>
        </row>
        <row r="419">
          <cell r="A419" t="str">
            <v/>
          </cell>
        </row>
        <row r="420">
          <cell r="A420" t="str">
            <v/>
          </cell>
        </row>
        <row r="421">
          <cell r="A421" t="str">
            <v/>
          </cell>
        </row>
        <row r="422">
          <cell r="A422" t="str">
            <v/>
          </cell>
        </row>
        <row r="423">
          <cell r="A423" t="str">
            <v/>
          </cell>
        </row>
        <row r="424">
          <cell r="A424" t="str">
            <v/>
          </cell>
        </row>
        <row r="425">
          <cell r="A425" t="str">
            <v/>
          </cell>
        </row>
        <row r="426">
          <cell r="A426" t="str">
            <v/>
          </cell>
        </row>
        <row r="427">
          <cell r="A427" t="str">
            <v/>
          </cell>
        </row>
        <row r="428">
          <cell r="A428" t="str">
            <v/>
          </cell>
        </row>
        <row r="429">
          <cell r="A429" t="str">
            <v/>
          </cell>
        </row>
        <row r="430">
          <cell r="A430" t="str">
            <v/>
          </cell>
        </row>
        <row r="431">
          <cell r="A431" t="str">
            <v/>
          </cell>
        </row>
        <row r="432">
          <cell r="A432" t="str">
            <v/>
          </cell>
        </row>
        <row r="433">
          <cell r="A433" t="str">
            <v/>
          </cell>
        </row>
        <row r="434">
          <cell r="A434" t="str">
            <v/>
          </cell>
        </row>
        <row r="435">
          <cell r="A435" t="str">
            <v/>
          </cell>
        </row>
        <row r="436">
          <cell r="A436" t="str">
            <v/>
          </cell>
        </row>
        <row r="437">
          <cell r="A437" t="str">
            <v/>
          </cell>
        </row>
        <row r="438">
          <cell r="A438" t="str">
            <v/>
          </cell>
        </row>
        <row r="439">
          <cell r="A439" t="str">
            <v/>
          </cell>
        </row>
        <row r="440">
          <cell r="A440" t="str">
            <v/>
          </cell>
        </row>
        <row r="441">
          <cell r="A441" t="str">
            <v/>
          </cell>
        </row>
        <row r="442">
          <cell r="A442" t="str">
            <v/>
          </cell>
        </row>
        <row r="443">
          <cell r="A443" t="str">
            <v/>
          </cell>
        </row>
        <row r="444">
          <cell r="A444" t="str">
            <v/>
          </cell>
        </row>
        <row r="445">
          <cell r="A445" t="str">
            <v/>
          </cell>
        </row>
        <row r="446">
          <cell r="A446" t="str">
            <v/>
          </cell>
        </row>
        <row r="447">
          <cell r="A447" t="str">
            <v/>
          </cell>
        </row>
        <row r="448">
          <cell r="A448" t="str">
            <v/>
          </cell>
        </row>
        <row r="449">
          <cell r="A449" t="str">
            <v/>
          </cell>
        </row>
        <row r="450">
          <cell r="A450" t="str">
            <v/>
          </cell>
        </row>
        <row r="451">
          <cell r="A451" t="str">
            <v/>
          </cell>
        </row>
        <row r="452">
          <cell r="A452" t="str">
            <v/>
          </cell>
        </row>
        <row r="453">
          <cell r="A453" t="str">
            <v/>
          </cell>
        </row>
        <row r="454">
          <cell r="A454" t="str">
            <v/>
          </cell>
        </row>
        <row r="455">
          <cell r="A455" t="str">
            <v/>
          </cell>
        </row>
        <row r="456">
          <cell r="A456" t="str">
            <v/>
          </cell>
        </row>
        <row r="457">
          <cell r="A457" t="str">
            <v/>
          </cell>
        </row>
        <row r="458">
          <cell r="A458" t="str">
            <v/>
          </cell>
        </row>
        <row r="459">
          <cell r="A459" t="str">
            <v/>
          </cell>
        </row>
        <row r="460">
          <cell r="A460" t="str">
            <v/>
          </cell>
        </row>
        <row r="461">
          <cell r="A461" t="str">
            <v/>
          </cell>
        </row>
        <row r="462">
          <cell r="A462" t="str">
            <v/>
          </cell>
        </row>
        <row r="463">
          <cell r="A463" t="str">
            <v/>
          </cell>
        </row>
        <row r="464">
          <cell r="A464" t="str">
            <v/>
          </cell>
        </row>
        <row r="465">
          <cell r="A465" t="str">
            <v/>
          </cell>
        </row>
        <row r="466">
          <cell r="A466" t="str">
            <v/>
          </cell>
        </row>
        <row r="467">
          <cell r="A467" t="str">
            <v/>
          </cell>
        </row>
        <row r="468">
          <cell r="A468" t="str">
            <v/>
          </cell>
        </row>
        <row r="469">
          <cell r="A469" t="str">
            <v/>
          </cell>
        </row>
        <row r="470">
          <cell r="A470" t="str">
            <v/>
          </cell>
        </row>
        <row r="471">
          <cell r="A471" t="str">
            <v/>
          </cell>
        </row>
        <row r="472">
          <cell r="A472" t="str">
            <v/>
          </cell>
        </row>
        <row r="473">
          <cell r="A473" t="str">
            <v/>
          </cell>
        </row>
        <row r="474">
          <cell r="A474" t="str">
            <v/>
          </cell>
        </row>
        <row r="475">
          <cell r="A475" t="str">
            <v/>
          </cell>
        </row>
        <row r="476">
          <cell r="A476" t="str">
            <v/>
          </cell>
        </row>
        <row r="477">
          <cell r="A477" t="str">
            <v/>
          </cell>
        </row>
        <row r="478">
          <cell r="A478" t="str">
            <v/>
          </cell>
        </row>
        <row r="479">
          <cell r="A479" t="str">
            <v/>
          </cell>
        </row>
        <row r="480">
          <cell r="A480" t="str">
            <v/>
          </cell>
        </row>
        <row r="481">
          <cell r="A481" t="str">
            <v/>
          </cell>
        </row>
        <row r="482">
          <cell r="A482" t="str">
            <v/>
          </cell>
        </row>
        <row r="483">
          <cell r="A483" t="str">
            <v/>
          </cell>
        </row>
        <row r="484">
          <cell r="A484" t="str">
            <v/>
          </cell>
        </row>
        <row r="485">
          <cell r="A485" t="str">
            <v/>
          </cell>
        </row>
        <row r="486">
          <cell r="A486" t="str">
            <v/>
          </cell>
        </row>
        <row r="487">
          <cell r="A487" t="str">
            <v/>
          </cell>
        </row>
        <row r="488">
          <cell r="A488" t="str">
            <v/>
          </cell>
        </row>
        <row r="489">
          <cell r="A489" t="str">
            <v/>
          </cell>
        </row>
        <row r="490">
          <cell r="A490" t="str">
            <v/>
          </cell>
        </row>
        <row r="491">
          <cell r="A491" t="str">
            <v/>
          </cell>
        </row>
        <row r="492">
          <cell r="A492" t="str">
            <v/>
          </cell>
        </row>
        <row r="493">
          <cell r="A493" t="str">
            <v/>
          </cell>
        </row>
        <row r="494">
          <cell r="A494" t="str">
            <v/>
          </cell>
        </row>
        <row r="495">
          <cell r="A495" t="str">
            <v/>
          </cell>
        </row>
        <row r="496">
          <cell r="A496" t="str">
            <v/>
          </cell>
        </row>
        <row r="497">
          <cell r="A497" t="str">
            <v/>
          </cell>
        </row>
        <row r="498">
          <cell r="A498" t="str">
            <v/>
          </cell>
        </row>
        <row r="499">
          <cell r="A499" t="str">
            <v/>
          </cell>
        </row>
        <row r="500">
          <cell r="A500" t="str">
            <v/>
          </cell>
        </row>
        <row r="501">
          <cell r="A501" t="str">
            <v/>
          </cell>
        </row>
        <row r="502">
          <cell r="A502" t="str">
            <v/>
          </cell>
        </row>
        <row r="503">
          <cell r="A503" t="str">
            <v/>
          </cell>
        </row>
        <row r="504">
          <cell r="A504" t="str">
            <v/>
          </cell>
        </row>
        <row r="505">
          <cell r="A505" t="str">
            <v/>
          </cell>
        </row>
        <row r="506">
          <cell r="A506" t="str">
            <v/>
          </cell>
        </row>
        <row r="507">
          <cell r="A507" t="str">
            <v/>
          </cell>
        </row>
        <row r="508">
          <cell r="A508" t="str">
            <v/>
          </cell>
        </row>
        <row r="509">
          <cell r="A509" t="str">
            <v/>
          </cell>
        </row>
        <row r="510">
          <cell r="A510" t="str">
            <v/>
          </cell>
        </row>
        <row r="511">
          <cell r="A511" t="str">
            <v/>
          </cell>
        </row>
        <row r="512">
          <cell r="A512" t="str">
            <v/>
          </cell>
        </row>
        <row r="513">
          <cell r="A513" t="str">
            <v/>
          </cell>
        </row>
        <row r="514">
          <cell r="A514" t="str">
            <v/>
          </cell>
        </row>
        <row r="515">
          <cell r="A515" t="str">
            <v/>
          </cell>
        </row>
        <row r="516">
          <cell r="A516" t="str">
            <v/>
          </cell>
        </row>
        <row r="517">
          <cell r="A517" t="str">
            <v/>
          </cell>
        </row>
        <row r="518">
          <cell r="A518" t="str">
            <v/>
          </cell>
        </row>
        <row r="519">
          <cell r="A519" t="str">
            <v/>
          </cell>
        </row>
        <row r="520">
          <cell r="A520" t="str">
            <v/>
          </cell>
        </row>
        <row r="521">
          <cell r="A521" t="str">
            <v/>
          </cell>
        </row>
        <row r="522">
          <cell r="A522" t="str">
            <v/>
          </cell>
        </row>
        <row r="523">
          <cell r="A523" t="str">
            <v/>
          </cell>
        </row>
        <row r="524">
          <cell r="A524" t="str">
            <v/>
          </cell>
        </row>
        <row r="525">
          <cell r="A525" t="str">
            <v/>
          </cell>
        </row>
        <row r="526">
          <cell r="A526" t="str">
            <v/>
          </cell>
        </row>
        <row r="527">
          <cell r="A527" t="str">
            <v/>
          </cell>
        </row>
        <row r="528">
          <cell r="A528" t="str">
            <v/>
          </cell>
        </row>
        <row r="529">
          <cell r="A529" t="str">
            <v/>
          </cell>
        </row>
        <row r="530">
          <cell r="A530" t="str">
            <v/>
          </cell>
        </row>
        <row r="531">
          <cell r="A531" t="str">
            <v/>
          </cell>
        </row>
        <row r="532">
          <cell r="A532" t="str">
            <v/>
          </cell>
        </row>
        <row r="533">
          <cell r="A533" t="str">
            <v/>
          </cell>
        </row>
        <row r="534">
          <cell r="A534" t="str">
            <v/>
          </cell>
        </row>
        <row r="535">
          <cell r="A535" t="str">
            <v/>
          </cell>
        </row>
        <row r="536">
          <cell r="A536" t="str">
            <v/>
          </cell>
        </row>
        <row r="537">
          <cell r="A537" t="str">
            <v/>
          </cell>
        </row>
        <row r="538">
          <cell r="A538" t="str">
            <v/>
          </cell>
        </row>
        <row r="539">
          <cell r="A539" t="str">
            <v/>
          </cell>
        </row>
        <row r="540">
          <cell r="A540" t="str">
            <v/>
          </cell>
        </row>
        <row r="541">
          <cell r="A541" t="str">
            <v/>
          </cell>
        </row>
        <row r="542">
          <cell r="A542" t="str">
            <v/>
          </cell>
        </row>
        <row r="543">
          <cell r="A543" t="str">
            <v/>
          </cell>
        </row>
        <row r="544">
          <cell r="A544" t="str">
            <v/>
          </cell>
        </row>
        <row r="545">
          <cell r="A545" t="str">
            <v/>
          </cell>
        </row>
        <row r="546">
          <cell r="A546" t="str">
            <v/>
          </cell>
        </row>
        <row r="547">
          <cell r="A547" t="str">
            <v/>
          </cell>
        </row>
        <row r="548">
          <cell r="A548" t="str">
            <v/>
          </cell>
        </row>
        <row r="549">
          <cell r="A549" t="str">
            <v/>
          </cell>
        </row>
        <row r="550">
          <cell r="A550" t="str">
            <v/>
          </cell>
        </row>
        <row r="551">
          <cell r="A551" t="str">
            <v/>
          </cell>
        </row>
        <row r="552">
          <cell r="A552" t="str">
            <v/>
          </cell>
        </row>
        <row r="553">
          <cell r="A553" t="str">
            <v/>
          </cell>
        </row>
        <row r="554">
          <cell r="A554" t="str">
            <v/>
          </cell>
        </row>
        <row r="555">
          <cell r="A555" t="str">
            <v/>
          </cell>
        </row>
        <row r="556">
          <cell r="A556" t="str">
            <v/>
          </cell>
        </row>
        <row r="557">
          <cell r="A557" t="str">
            <v/>
          </cell>
        </row>
        <row r="558">
          <cell r="A558" t="str">
            <v/>
          </cell>
        </row>
        <row r="559">
          <cell r="A559" t="str">
            <v/>
          </cell>
        </row>
        <row r="560">
          <cell r="A560" t="str">
            <v/>
          </cell>
        </row>
        <row r="561">
          <cell r="A561" t="str">
            <v/>
          </cell>
        </row>
        <row r="562">
          <cell r="A562" t="str">
            <v/>
          </cell>
        </row>
        <row r="563">
          <cell r="A563" t="str">
            <v/>
          </cell>
        </row>
        <row r="564">
          <cell r="A564" t="str">
            <v/>
          </cell>
        </row>
        <row r="565">
          <cell r="A565" t="str">
            <v/>
          </cell>
        </row>
        <row r="566">
          <cell r="A566" t="str">
            <v/>
          </cell>
        </row>
        <row r="567">
          <cell r="A567" t="str">
            <v/>
          </cell>
        </row>
        <row r="568">
          <cell r="A568" t="str">
            <v/>
          </cell>
        </row>
        <row r="569">
          <cell r="A569" t="str">
            <v/>
          </cell>
        </row>
        <row r="570">
          <cell r="A570" t="str">
            <v/>
          </cell>
        </row>
        <row r="571">
          <cell r="A571" t="str">
            <v/>
          </cell>
        </row>
        <row r="572">
          <cell r="A572" t="str">
            <v/>
          </cell>
        </row>
        <row r="573">
          <cell r="A573" t="str">
            <v/>
          </cell>
        </row>
        <row r="574">
          <cell r="A574" t="str">
            <v/>
          </cell>
        </row>
        <row r="575">
          <cell r="A575" t="str">
            <v/>
          </cell>
        </row>
        <row r="576">
          <cell r="A576" t="str">
            <v/>
          </cell>
        </row>
        <row r="577">
          <cell r="A577" t="str">
            <v/>
          </cell>
        </row>
        <row r="578">
          <cell r="A578" t="str">
            <v/>
          </cell>
        </row>
        <row r="579">
          <cell r="A579" t="str">
            <v/>
          </cell>
        </row>
        <row r="580">
          <cell r="A580" t="str">
            <v/>
          </cell>
        </row>
        <row r="581">
          <cell r="A581" t="str">
            <v/>
          </cell>
        </row>
        <row r="582">
          <cell r="A582" t="str">
            <v/>
          </cell>
        </row>
        <row r="583">
          <cell r="A583" t="str">
            <v/>
          </cell>
        </row>
        <row r="584">
          <cell r="A584" t="str">
            <v/>
          </cell>
        </row>
        <row r="585">
          <cell r="A585" t="str">
            <v/>
          </cell>
        </row>
        <row r="586">
          <cell r="A586" t="str">
            <v/>
          </cell>
        </row>
        <row r="587">
          <cell r="A587" t="str">
            <v/>
          </cell>
        </row>
        <row r="588">
          <cell r="A588" t="str">
            <v/>
          </cell>
        </row>
        <row r="589">
          <cell r="A589" t="str">
            <v/>
          </cell>
        </row>
        <row r="590">
          <cell r="A590" t="str">
            <v/>
          </cell>
        </row>
        <row r="591">
          <cell r="A591" t="str">
            <v/>
          </cell>
        </row>
        <row r="592">
          <cell r="A592" t="str">
            <v/>
          </cell>
        </row>
        <row r="593">
          <cell r="A593" t="str">
            <v/>
          </cell>
        </row>
        <row r="594">
          <cell r="A594" t="str">
            <v/>
          </cell>
        </row>
        <row r="595">
          <cell r="A595" t="str">
            <v/>
          </cell>
        </row>
        <row r="596">
          <cell r="A596" t="str">
            <v/>
          </cell>
        </row>
        <row r="597">
          <cell r="A597" t="str">
            <v/>
          </cell>
        </row>
        <row r="598">
          <cell r="A598" t="str">
            <v/>
          </cell>
        </row>
        <row r="599">
          <cell r="A599" t="str">
            <v/>
          </cell>
        </row>
        <row r="600">
          <cell r="A600" t="str">
            <v/>
          </cell>
        </row>
        <row r="601">
          <cell r="A601" t="str">
            <v/>
          </cell>
        </row>
        <row r="602">
          <cell r="A602" t="str">
            <v/>
          </cell>
        </row>
        <row r="603">
          <cell r="A603" t="str">
            <v/>
          </cell>
        </row>
        <row r="604">
          <cell r="A604" t="str">
            <v/>
          </cell>
        </row>
        <row r="605">
          <cell r="A605" t="str">
            <v/>
          </cell>
        </row>
        <row r="606">
          <cell r="A606" t="str">
            <v/>
          </cell>
        </row>
        <row r="607">
          <cell r="A607" t="str">
            <v/>
          </cell>
        </row>
        <row r="608">
          <cell r="A608" t="str">
            <v/>
          </cell>
        </row>
        <row r="609">
          <cell r="A609" t="str">
            <v/>
          </cell>
        </row>
        <row r="610">
          <cell r="A610" t="str">
            <v/>
          </cell>
        </row>
        <row r="611">
          <cell r="A611" t="str">
            <v/>
          </cell>
        </row>
        <row r="612">
          <cell r="A612" t="str">
            <v/>
          </cell>
        </row>
        <row r="613">
          <cell r="A613" t="str">
            <v/>
          </cell>
        </row>
        <row r="614">
          <cell r="A614" t="str">
            <v/>
          </cell>
        </row>
        <row r="615">
          <cell r="A615" t="str">
            <v/>
          </cell>
        </row>
        <row r="616">
          <cell r="A616" t="str">
            <v/>
          </cell>
        </row>
        <row r="617">
          <cell r="A617" t="str">
            <v/>
          </cell>
        </row>
        <row r="618">
          <cell r="A618" t="str">
            <v/>
          </cell>
        </row>
        <row r="619">
          <cell r="A619" t="str">
            <v/>
          </cell>
        </row>
        <row r="620">
          <cell r="A620" t="str">
            <v/>
          </cell>
        </row>
        <row r="621">
          <cell r="A621" t="str">
            <v/>
          </cell>
        </row>
        <row r="622">
          <cell r="A622" t="str">
            <v/>
          </cell>
        </row>
        <row r="623">
          <cell r="A623" t="str">
            <v/>
          </cell>
        </row>
        <row r="624">
          <cell r="A624" t="str">
            <v/>
          </cell>
        </row>
        <row r="625">
          <cell r="A625" t="str">
            <v/>
          </cell>
        </row>
        <row r="626">
          <cell r="A626" t="str">
            <v/>
          </cell>
        </row>
        <row r="627">
          <cell r="A627" t="str">
            <v/>
          </cell>
        </row>
        <row r="628">
          <cell r="A628" t="str">
            <v/>
          </cell>
        </row>
        <row r="629">
          <cell r="A629" t="str">
            <v/>
          </cell>
        </row>
        <row r="630">
          <cell r="A630" t="str">
            <v/>
          </cell>
        </row>
        <row r="631">
          <cell r="A631" t="str">
            <v/>
          </cell>
        </row>
        <row r="632">
          <cell r="A632" t="str">
            <v/>
          </cell>
        </row>
        <row r="633">
          <cell r="A633" t="str">
            <v/>
          </cell>
        </row>
        <row r="634">
          <cell r="A634" t="str">
            <v/>
          </cell>
        </row>
        <row r="635">
          <cell r="A635" t="str">
            <v/>
          </cell>
        </row>
        <row r="636">
          <cell r="A636" t="str">
            <v/>
          </cell>
        </row>
        <row r="637">
          <cell r="A637" t="str">
            <v/>
          </cell>
        </row>
        <row r="638">
          <cell r="A638" t="str">
            <v/>
          </cell>
        </row>
        <row r="639">
          <cell r="A639" t="str">
            <v/>
          </cell>
        </row>
        <row r="640">
          <cell r="A640" t="str">
            <v/>
          </cell>
        </row>
        <row r="641">
          <cell r="A641" t="str">
            <v/>
          </cell>
        </row>
        <row r="642">
          <cell r="A642" t="str">
            <v/>
          </cell>
        </row>
        <row r="643">
          <cell r="A643" t="str">
            <v/>
          </cell>
        </row>
        <row r="644">
          <cell r="A644" t="str">
            <v/>
          </cell>
        </row>
        <row r="645">
          <cell r="A645" t="str">
            <v/>
          </cell>
        </row>
        <row r="646">
          <cell r="A646" t="str">
            <v/>
          </cell>
        </row>
        <row r="647">
          <cell r="A647" t="str">
            <v/>
          </cell>
        </row>
        <row r="648">
          <cell r="A648" t="str">
            <v/>
          </cell>
        </row>
        <row r="649">
          <cell r="A649" t="str">
            <v/>
          </cell>
        </row>
        <row r="650">
          <cell r="A650" t="str">
            <v/>
          </cell>
        </row>
        <row r="651">
          <cell r="A651" t="str">
            <v/>
          </cell>
        </row>
        <row r="652">
          <cell r="A652" t="str">
            <v/>
          </cell>
        </row>
        <row r="653">
          <cell r="A653" t="str">
            <v/>
          </cell>
        </row>
        <row r="654">
          <cell r="A654" t="str">
            <v/>
          </cell>
        </row>
        <row r="655">
          <cell r="A655" t="str">
            <v/>
          </cell>
        </row>
        <row r="656">
          <cell r="A656" t="str">
            <v/>
          </cell>
        </row>
        <row r="657">
          <cell r="A657" t="str">
            <v/>
          </cell>
        </row>
        <row r="658">
          <cell r="A658" t="str">
            <v/>
          </cell>
        </row>
        <row r="659">
          <cell r="A659" t="str">
            <v/>
          </cell>
        </row>
        <row r="660">
          <cell r="A660" t="str">
            <v/>
          </cell>
        </row>
        <row r="661">
          <cell r="A661" t="str">
            <v/>
          </cell>
        </row>
        <row r="662">
          <cell r="A662" t="str">
            <v/>
          </cell>
        </row>
        <row r="663">
          <cell r="A663" t="str">
            <v/>
          </cell>
        </row>
        <row r="664">
          <cell r="A664" t="str">
            <v/>
          </cell>
        </row>
        <row r="665">
          <cell r="A665" t="str">
            <v/>
          </cell>
        </row>
        <row r="666">
          <cell r="A666" t="str">
            <v/>
          </cell>
        </row>
        <row r="667">
          <cell r="A667" t="str">
            <v/>
          </cell>
        </row>
        <row r="668">
          <cell r="A668" t="str">
            <v/>
          </cell>
        </row>
        <row r="669">
          <cell r="A669" t="str">
            <v/>
          </cell>
        </row>
        <row r="670">
          <cell r="A670" t="str">
            <v/>
          </cell>
        </row>
        <row r="671">
          <cell r="A671" t="str">
            <v/>
          </cell>
        </row>
        <row r="672">
          <cell r="A672" t="str">
            <v/>
          </cell>
        </row>
        <row r="673">
          <cell r="A673" t="str">
            <v/>
          </cell>
        </row>
        <row r="674">
          <cell r="A674" t="str">
            <v/>
          </cell>
        </row>
        <row r="675">
          <cell r="A675" t="str">
            <v/>
          </cell>
        </row>
        <row r="676">
          <cell r="A676" t="str">
            <v/>
          </cell>
        </row>
        <row r="677">
          <cell r="A677" t="str">
            <v/>
          </cell>
        </row>
        <row r="678">
          <cell r="A678" t="str">
            <v/>
          </cell>
        </row>
        <row r="679">
          <cell r="A679" t="str">
            <v/>
          </cell>
        </row>
        <row r="680">
          <cell r="A680" t="str">
            <v/>
          </cell>
        </row>
        <row r="681">
          <cell r="A681" t="str">
            <v/>
          </cell>
        </row>
        <row r="682">
          <cell r="A682" t="str">
            <v/>
          </cell>
        </row>
        <row r="683">
          <cell r="A683" t="str">
            <v/>
          </cell>
        </row>
        <row r="684">
          <cell r="A684" t="str">
            <v/>
          </cell>
        </row>
        <row r="685">
          <cell r="A685" t="str">
            <v/>
          </cell>
        </row>
        <row r="686">
          <cell r="A686" t="str">
            <v/>
          </cell>
        </row>
        <row r="687">
          <cell r="A687" t="str">
            <v/>
          </cell>
        </row>
        <row r="688">
          <cell r="A688" t="str">
            <v/>
          </cell>
        </row>
        <row r="689">
          <cell r="A689" t="str">
            <v/>
          </cell>
        </row>
        <row r="690">
          <cell r="A690" t="str">
            <v/>
          </cell>
        </row>
        <row r="691">
          <cell r="A691" t="str">
            <v/>
          </cell>
        </row>
        <row r="692">
          <cell r="A692" t="str">
            <v/>
          </cell>
        </row>
        <row r="693">
          <cell r="A693" t="str">
            <v/>
          </cell>
        </row>
        <row r="694">
          <cell r="A694" t="str">
            <v/>
          </cell>
        </row>
        <row r="695">
          <cell r="A695" t="str">
            <v/>
          </cell>
        </row>
        <row r="696">
          <cell r="A696" t="str">
            <v/>
          </cell>
        </row>
        <row r="697">
          <cell r="A697" t="str">
            <v/>
          </cell>
        </row>
        <row r="698">
          <cell r="A698" t="str">
            <v/>
          </cell>
        </row>
        <row r="699">
          <cell r="A699" t="str">
            <v/>
          </cell>
        </row>
        <row r="700">
          <cell r="A700" t="str">
            <v/>
          </cell>
        </row>
        <row r="701">
          <cell r="A701" t="str">
            <v/>
          </cell>
        </row>
        <row r="702">
          <cell r="A702" t="str">
            <v/>
          </cell>
        </row>
        <row r="703">
          <cell r="A703" t="str">
            <v/>
          </cell>
        </row>
        <row r="704">
          <cell r="A704" t="str">
            <v/>
          </cell>
        </row>
        <row r="705">
          <cell r="A705" t="str">
            <v/>
          </cell>
        </row>
        <row r="706">
          <cell r="A706" t="str">
            <v/>
          </cell>
        </row>
        <row r="707">
          <cell r="A707" t="str">
            <v/>
          </cell>
        </row>
        <row r="708">
          <cell r="A708" t="str">
            <v/>
          </cell>
        </row>
        <row r="709">
          <cell r="A709" t="str">
            <v/>
          </cell>
        </row>
        <row r="710">
          <cell r="A710" t="str">
            <v/>
          </cell>
        </row>
        <row r="711">
          <cell r="A711" t="str">
            <v/>
          </cell>
        </row>
        <row r="712">
          <cell r="A712" t="str">
            <v/>
          </cell>
        </row>
        <row r="713">
          <cell r="A713" t="str">
            <v/>
          </cell>
        </row>
        <row r="714">
          <cell r="A714" t="str">
            <v/>
          </cell>
        </row>
        <row r="715">
          <cell r="A715" t="str">
            <v/>
          </cell>
        </row>
        <row r="716">
          <cell r="A716" t="str">
            <v/>
          </cell>
        </row>
        <row r="717">
          <cell r="A717" t="str">
            <v/>
          </cell>
        </row>
        <row r="718">
          <cell r="A718" t="str">
            <v/>
          </cell>
        </row>
        <row r="719">
          <cell r="A719" t="str">
            <v/>
          </cell>
        </row>
        <row r="720">
          <cell r="A720" t="str">
            <v/>
          </cell>
        </row>
        <row r="721">
          <cell r="A721" t="str">
            <v/>
          </cell>
        </row>
        <row r="722">
          <cell r="A722" t="str">
            <v/>
          </cell>
        </row>
        <row r="723">
          <cell r="A723" t="str">
            <v/>
          </cell>
        </row>
        <row r="724">
          <cell r="A724" t="str">
            <v/>
          </cell>
        </row>
        <row r="725">
          <cell r="A725" t="str">
            <v/>
          </cell>
        </row>
        <row r="726">
          <cell r="A726" t="str">
            <v/>
          </cell>
        </row>
        <row r="727">
          <cell r="A727" t="str">
            <v/>
          </cell>
        </row>
        <row r="728">
          <cell r="A728" t="str">
            <v/>
          </cell>
        </row>
        <row r="729">
          <cell r="A729" t="str">
            <v/>
          </cell>
        </row>
        <row r="730">
          <cell r="A730" t="str">
            <v/>
          </cell>
        </row>
        <row r="731">
          <cell r="A731" t="str">
            <v/>
          </cell>
        </row>
        <row r="732">
          <cell r="A732" t="str">
            <v/>
          </cell>
        </row>
        <row r="733">
          <cell r="A733" t="str">
            <v/>
          </cell>
        </row>
        <row r="734">
          <cell r="A734" t="str">
            <v/>
          </cell>
        </row>
        <row r="735">
          <cell r="A735" t="str">
            <v/>
          </cell>
        </row>
        <row r="736">
          <cell r="A736" t="str">
            <v/>
          </cell>
        </row>
        <row r="737">
          <cell r="A737" t="str">
            <v/>
          </cell>
        </row>
        <row r="738">
          <cell r="A738" t="str">
            <v/>
          </cell>
        </row>
        <row r="739">
          <cell r="A739" t="str">
            <v/>
          </cell>
        </row>
        <row r="740">
          <cell r="A740" t="str">
            <v/>
          </cell>
        </row>
        <row r="741">
          <cell r="A741" t="str">
            <v/>
          </cell>
        </row>
        <row r="742">
          <cell r="A742" t="str">
            <v/>
          </cell>
        </row>
        <row r="743">
          <cell r="A743" t="str">
            <v/>
          </cell>
        </row>
        <row r="744">
          <cell r="A744" t="str">
            <v/>
          </cell>
        </row>
        <row r="745">
          <cell r="A745" t="str">
            <v/>
          </cell>
        </row>
        <row r="746">
          <cell r="A746" t="str">
            <v/>
          </cell>
        </row>
        <row r="747">
          <cell r="A747" t="str">
            <v/>
          </cell>
        </row>
        <row r="748">
          <cell r="A748" t="str">
            <v/>
          </cell>
        </row>
        <row r="749">
          <cell r="A749" t="str">
            <v/>
          </cell>
        </row>
        <row r="750">
          <cell r="A750" t="str">
            <v/>
          </cell>
        </row>
        <row r="751">
          <cell r="A751" t="str">
            <v/>
          </cell>
        </row>
        <row r="752">
          <cell r="A752" t="str">
            <v/>
          </cell>
        </row>
        <row r="753">
          <cell r="A753" t="str">
            <v/>
          </cell>
        </row>
        <row r="754">
          <cell r="A754" t="str">
            <v/>
          </cell>
        </row>
        <row r="755">
          <cell r="A755" t="str">
            <v/>
          </cell>
        </row>
        <row r="756">
          <cell r="A756" t="str">
            <v/>
          </cell>
        </row>
        <row r="757">
          <cell r="A757" t="str">
            <v/>
          </cell>
        </row>
        <row r="758">
          <cell r="A758" t="str">
            <v/>
          </cell>
        </row>
        <row r="759">
          <cell r="A759" t="str">
            <v/>
          </cell>
        </row>
        <row r="760">
          <cell r="A760" t="str">
            <v/>
          </cell>
        </row>
        <row r="761">
          <cell r="A761" t="str">
            <v/>
          </cell>
        </row>
        <row r="762">
          <cell r="A762" t="str">
            <v/>
          </cell>
        </row>
        <row r="763">
          <cell r="A763" t="str">
            <v/>
          </cell>
        </row>
        <row r="764">
          <cell r="A764" t="str">
            <v/>
          </cell>
        </row>
        <row r="765">
          <cell r="A765" t="str">
            <v/>
          </cell>
        </row>
        <row r="766">
          <cell r="A766" t="str">
            <v/>
          </cell>
        </row>
        <row r="767">
          <cell r="A767" t="str">
            <v/>
          </cell>
        </row>
        <row r="768">
          <cell r="A768" t="str">
            <v/>
          </cell>
        </row>
        <row r="769">
          <cell r="A769" t="str">
            <v/>
          </cell>
        </row>
        <row r="770">
          <cell r="A770" t="str">
            <v/>
          </cell>
        </row>
        <row r="771">
          <cell r="A771" t="str">
            <v/>
          </cell>
        </row>
        <row r="772">
          <cell r="A772" t="str">
            <v/>
          </cell>
        </row>
        <row r="773">
          <cell r="A773" t="str">
            <v/>
          </cell>
        </row>
        <row r="774">
          <cell r="A774" t="str">
            <v/>
          </cell>
        </row>
        <row r="775">
          <cell r="A775" t="str">
            <v/>
          </cell>
        </row>
        <row r="776">
          <cell r="A776" t="str">
            <v/>
          </cell>
        </row>
        <row r="777">
          <cell r="A777" t="str">
            <v/>
          </cell>
        </row>
        <row r="778">
          <cell r="A778" t="str">
            <v/>
          </cell>
        </row>
        <row r="779">
          <cell r="A779" t="str">
            <v/>
          </cell>
        </row>
        <row r="780">
          <cell r="A780" t="str">
            <v/>
          </cell>
        </row>
        <row r="781">
          <cell r="A781" t="str">
            <v/>
          </cell>
        </row>
        <row r="782">
          <cell r="A782" t="str">
            <v/>
          </cell>
        </row>
        <row r="783">
          <cell r="A783" t="str">
            <v/>
          </cell>
        </row>
        <row r="784">
          <cell r="A784" t="str">
            <v/>
          </cell>
        </row>
        <row r="785">
          <cell r="A785" t="str">
            <v/>
          </cell>
        </row>
        <row r="786">
          <cell r="A786" t="str">
            <v/>
          </cell>
        </row>
        <row r="787">
          <cell r="A787" t="str">
            <v/>
          </cell>
        </row>
        <row r="788">
          <cell r="A788" t="str">
            <v/>
          </cell>
        </row>
        <row r="789">
          <cell r="A789" t="str">
            <v/>
          </cell>
        </row>
        <row r="790">
          <cell r="A790" t="str">
            <v/>
          </cell>
        </row>
        <row r="791">
          <cell r="A791" t="str">
            <v/>
          </cell>
        </row>
        <row r="792">
          <cell r="A792" t="str">
            <v/>
          </cell>
        </row>
        <row r="793">
          <cell r="A793" t="str">
            <v/>
          </cell>
        </row>
        <row r="794">
          <cell r="A794" t="str">
            <v/>
          </cell>
        </row>
        <row r="795">
          <cell r="A795" t="str">
            <v/>
          </cell>
        </row>
        <row r="796">
          <cell r="A796" t="str">
            <v/>
          </cell>
        </row>
        <row r="797">
          <cell r="A797" t="str">
            <v/>
          </cell>
        </row>
        <row r="798">
          <cell r="A798" t="str">
            <v/>
          </cell>
        </row>
        <row r="799">
          <cell r="A799" t="str">
            <v/>
          </cell>
        </row>
        <row r="800">
          <cell r="A800" t="str">
            <v/>
          </cell>
        </row>
        <row r="801">
          <cell r="A801" t="str">
            <v/>
          </cell>
        </row>
        <row r="802">
          <cell r="A802" t="str">
            <v/>
          </cell>
        </row>
        <row r="803">
          <cell r="A803" t="str">
            <v/>
          </cell>
        </row>
        <row r="804">
          <cell r="A804" t="str">
            <v/>
          </cell>
        </row>
        <row r="805">
          <cell r="A805" t="str">
            <v/>
          </cell>
        </row>
        <row r="806">
          <cell r="A806" t="str">
            <v/>
          </cell>
        </row>
        <row r="807">
          <cell r="A807" t="str">
            <v/>
          </cell>
        </row>
        <row r="808">
          <cell r="A808" t="str">
            <v/>
          </cell>
        </row>
        <row r="809">
          <cell r="A809" t="str">
            <v/>
          </cell>
        </row>
        <row r="810">
          <cell r="A810" t="str">
            <v/>
          </cell>
        </row>
        <row r="811">
          <cell r="A811" t="str">
            <v/>
          </cell>
        </row>
        <row r="812">
          <cell r="A812" t="str">
            <v/>
          </cell>
        </row>
        <row r="813">
          <cell r="A813" t="str">
            <v/>
          </cell>
        </row>
        <row r="814">
          <cell r="A814" t="str">
            <v/>
          </cell>
        </row>
        <row r="815">
          <cell r="A815" t="str">
            <v/>
          </cell>
        </row>
        <row r="816">
          <cell r="A816" t="str">
            <v/>
          </cell>
        </row>
        <row r="817">
          <cell r="A817" t="str">
            <v/>
          </cell>
        </row>
        <row r="818">
          <cell r="A818" t="str">
            <v/>
          </cell>
        </row>
        <row r="819">
          <cell r="A819" t="str">
            <v/>
          </cell>
        </row>
        <row r="820">
          <cell r="A820" t="str">
            <v/>
          </cell>
        </row>
        <row r="821">
          <cell r="A821" t="str">
            <v/>
          </cell>
        </row>
        <row r="822">
          <cell r="A822" t="str">
            <v/>
          </cell>
        </row>
        <row r="823">
          <cell r="A823" t="str">
            <v/>
          </cell>
        </row>
        <row r="824">
          <cell r="A824" t="str">
            <v/>
          </cell>
        </row>
        <row r="825">
          <cell r="A825" t="str">
            <v/>
          </cell>
        </row>
        <row r="826">
          <cell r="A826" t="str">
            <v/>
          </cell>
        </row>
        <row r="827">
          <cell r="A827" t="str">
            <v/>
          </cell>
        </row>
        <row r="828">
          <cell r="A828" t="str">
            <v/>
          </cell>
        </row>
        <row r="829">
          <cell r="A829" t="str">
            <v/>
          </cell>
        </row>
        <row r="830">
          <cell r="A830" t="str">
            <v/>
          </cell>
        </row>
        <row r="831">
          <cell r="A831" t="str">
            <v/>
          </cell>
        </row>
        <row r="832">
          <cell r="A832" t="str">
            <v/>
          </cell>
        </row>
        <row r="833">
          <cell r="A833" t="str">
            <v/>
          </cell>
        </row>
        <row r="834">
          <cell r="A834" t="str">
            <v/>
          </cell>
        </row>
        <row r="835">
          <cell r="A835" t="str">
            <v/>
          </cell>
        </row>
        <row r="836">
          <cell r="A836" t="str">
            <v/>
          </cell>
        </row>
        <row r="837">
          <cell r="A837" t="str">
            <v/>
          </cell>
        </row>
        <row r="838">
          <cell r="A838" t="str">
            <v/>
          </cell>
        </row>
        <row r="839">
          <cell r="A839" t="str">
            <v/>
          </cell>
        </row>
        <row r="840">
          <cell r="A840" t="str">
            <v/>
          </cell>
        </row>
        <row r="841">
          <cell r="A841" t="str">
            <v/>
          </cell>
        </row>
        <row r="842">
          <cell r="A842" t="str">
            <v/>
          </cell>
        </row>
        <row r="843">
          <cell r="A843" t="str">
            <v/>
          </cell>
        </row>
        <row r="844">
          <cell r="A844" t="str">
            <v/>
          </cell>
        </row>
        <row r="845">
          <cell r="A845" t="str">
            <v/>
          </cell>
        </row>
        <row r="846">
          <cell r="A846" t="str">
            <v/>
          </cell>
        </row>
        <row r="847">
          <cell r="A847" t="str">
            <v/>
          </cell>
        </row>
        <row r="848">
          <cell r="A848" t="str">
            <v/>
          </cell>
        </row>
        <row r="849">
          <cell r="A849" t="str">
            <v/>
          </cell>
        </row>
        <row r="850">
          <cell r="A850" t="str">
            <v/>
          </cell>
        </row>
        <row r="851">
          <cell r="A851" t="str">
            <v/>
          </cell>
        </row>
        <row r="852">
          <cell r="A852" t="str">
            <v/>
          </cell>
        </row>
        <row r="853">
          <cell r="A853" t="str">
            <v/>
          </cell>
        </row>
        <row r="854">
          <cell r="A854" t="str">
            <v/>
          </cell>
        </row>
        <row r="855">
          <cell r="A855" t="str">
            <v/>
          </cell>
        </row>
        <row r="856">
          <cell r="A856" t="str">
            <v/>
          </cell>
        </row>
        <row r="857">
          <cell r="A857" t="str">
            <v/>
          </cell>
        </row>
        <row r="858">
          <cell r="A858" t="str">
            <v/>
          </cell>
        </row>
        <row r="859">
          <cell r="A859" t="str">
            <v/>
          </cell>
        </row>
        <row r="860">
          <cell r="A860" t="str">
            <v/>
          </cell>
        </row>
        <row r="861">
          <cell r="A861" t="str">
            <v/>
          </cell>
        </row>
        <row r="862">
          <cell r="A862" t="str">
            <v/>
          </cell>
        </row>
        <row r="863">
          <cell r="A863" t="str">
            <v/>
          </cell>
        </row>
        <row r="864">
          <cell r="A864" t="str">
            <v/>
          </cell>
        </row>
        <row r="865">
          <cell r="A865" t="str">
            <v/>
          </cell>
        </row>
        <row r="866">
          <cell r="A866" t="str">
            <v/>
          </cell>
        </row>
        <row r="867">
          <cell r="A867" t="str">
            <v/>
          </cell>
        </row>
        <row r="868">
          <cell r="A868" t="str">
            <v/>
          </cell>
        </row>
        <row r="869">
          <cell r="A869" t="str">
            <v/>
          </cell>
        </row>
        <row r="870">
          <cell r="A870" t="str">
            <v/>
          </cell>
        </row>
        <row r="871">
          <cell r="A871" t="str">
            <v/>
          </cell>
        </row>
        <row r="872">
          <cell r="A872" t="str">
            <v/>
          </cell>
        </row>
        <row r="873">
          <cell r="A873" t="str">
            <v/>
          </cell>
        </row>
        <row r="874">
          <cell r="A874" t="str">
            <v/>
          </cell>
        </row>
        <row r="875">
          <cell r="A875" t="str">
            <v/>
          </cell>
        </row>
        <row r="876">
          <cell r="A876" t="str">
            <v/>
          </cell>
        </row>
        <row r="877">
          <cell r="A877" t="str">
            <v/>
          </cell>
        </row>
        <row r="878">
          <cell r="A878" t="str">
            <v/>
          </cell>
        </row>
        <row r="879">
          <cell r="A879" t="str">
            <v/>
          </cell>
        </row>
        <row r="880">
          <cell r="A880" t="str">
            <v/>
          </cell>
        </row>
        <row r="881">
          <cell r="A881" t="str">
            <v/>
          </cell>
        </row>
        <row r="882">
          <cell r="A882" t="str">
            <v/>
          </cell>
        </row>
        <row r="883">
          <cell r="A883" t="str">
            <v/>
          </cell>
        </row>
        <row r="884">
          <cell r="A884" t="str">
            <v/>
          </cell>
        </row>
        <row r="885">
          <cell r="A885" t="str">
            <v/>
          </cell>
        </row>
        <row r="886">
          <cell r="A886" t="str">
            <v/>
          </cell>
        </row>
        <row r="887">
          <cell r="A887" t="str">
            <v/>
          </cell>
        </row>
        <row r="888">
          <cell r="A888" t="str">
            <v/>
          </cell>
        </row>
        <row r="889">
          <cell r="A889" t="str">
            <v/>
          </cell>
        </row>
        <row r="890">
          <cell r="A890" t="str">
            <v/>
          </cell>
        </row>
        <row r="891">
          <cell r="A891" t="str">
            <v/>
          </cell>
        </row>
        <row r="892">
          <cell r="A892" t="str">
            <v/>
          </cell>
        </row>
        <row r="893">
          <cell r="A893" t="str">
            <v/>
          </cell>
        </row>
        <row r="894">
          <cell r="A894" t="str">
            <v/>
          </cell>
        </row>
        <row r="895">
          <cell r="A895" t="str">
            <v/>
          </cell>
        </row>
        <row r="896">
          <cell r="A896" t="str">
            <v/>
          </cell>
        </row>
        <row r="897">
          <cell r="A897" t="str">
            <v/>
          </cell>
        </row>
        <row r="898">
          <cell r="A898" t="str">
            <v/>
          </cell>
        </row>
        <row r="899">
          <cell r="A899" t="str">
            <v/>
          </cell>
        </row>
        <row r="900">
          <cell r="A900" t="str">
            <v/>
          </cell>
        </row>
        <row r="901">
          <cell r="A901" t="str">
            <v/>
          </cell>
        </row>
        <row r="902">
          <cell r="A902" t="str">
            <v/>
          </cell>
        </row>
        <row r="903">
          <cell r="A903" t="str">
            <v/>
          </cell>
        </row>
        <row r="904">
          <cell r="A904" t="str">
            <v/>
          </cell>
        </row>
        <row r="905">
          <cell r="A905" t="str">
            <v/>
          </cell>
        </row>
        <row r="906">
          <cell r="A906" t="str">
            <v/>
          </cell>
        </row>
        <row r="907">
          <cell r="A907" t="str">
            <v/>
          </cell>
        </row>
        <row r="908">
          <cell r="A908" t="str">
            <v/>
          </cell>
        </row>
        <row r="909">
          <cell r="A909" t="str">
            <v/>
          </cell>
        </row>
        <row r="910">
          <cell r="A910" t="str">
            <v/>
          </cell>
        </row>
        <row r="911">
          <cell r="A911" t="str">
            <v/>
          </cell>
        </row>
        <row r="912">
          <cell r="A912" t="str">
            <v/>
          </cell>
        </row>
        <row r="913">
          <cell r="A913" t="str">
            <v/>
          </cell>
        </row>
        <row r="914">
          <cell r="A914" t="str">
            <v/>
          </cell>
        </row>
        <row r="915">
          <cell r="A915" t="str">
            <v/>
          </cell>
        </row>
        <row r="916">
          <cell r="A916" t="str">
            <v/>
          </cell>
        </row>
        <row r="917">
          <cell r="A917" t="str">
            <v/>
          </cell>
        </row>
        <row r="918">
          <cell r="A918" t="str">
            <v/>
          </cell>
        </row>
        <row r="919">
          <cell r="A919" t="str">
            <v/>
          </cell>
        </row>
        <row r="920">
          <cell r="A920" t="str">
            <v/>
          </cell>
        </row>
        <row r="921">
          <cell r="A921" t="str">
            <v/>
          </cell>
        </row>
        <row r="922">
          <cell r="A922" t="str">
            <v/>
          </cell>
        </row>
        <row r="923">
          <cell r="A923" t="str">
            <v/>
          </cell>
        </row>
        <row r="924">
          <cell r="A924" t="str">
            <v/>
          </cell>
        </row>
        <row r="925">
          <cell r="A925" t="str">
            <v/>
          </cell>
        </row>
        <row r="926">
          <cell r="A926" t="str">
            <v/>
          </cell>
        </row>
        <row r="927">
          <cell r="A927" t="str">
            <v/>
          </cell>
        </row>
        <row r="928">
          <cell r="A928" t="str">
            <v/>
          </cell>
        </row>
        <row r="929">
          <cell r="A929" t="str">
            <v/>
          </cell>
        </row>
        <row r="930">
          <cell r="A930" t="str">
            <v/>
          </cell>
        </row>
        <row r="931">
          <cell r="A931" t="str">
            <v/>
          </cell>
        </row>
        <row r="932">
          <cell r="A932" t="str">
            <v/>
          </cell>
        </row>
        <row r="933">
          <cell r="A933" t="str">
            <v/>
          </cell>
        </row>
        <row r="934">
          <cell r="A934" t="str">
            <v/>
          </cell>
        </row>
        <row r="935">
          <cell r="A935" t="str">
            <v/>
          </cell>
        </row>
        <row r="936">
          <cell r="A936" t="str">
            <v/>
          </cell>
        </row>
        <row r="937">
          <cell r="A937" t="str">
            <v/>
          </cell>
        </row>
        <row r="938">
          <cell r="A938" t="str">
            <v/>
          </cell>
        </row>
        <row r="939">
          <cell r="A939" t="str">
            <v/>
          </cell>
        </row>
        <row r="940">
          <cell r="A940" t="str">
            <v/>
          </cell>
        </row>
        <row r="941">
          <cell r="A941" t="str">
            <v/>
          </cell>
        </row>
        <row r="942">
          <cell r="A942" t="str">
            <v/>
          </cell>
        </row>
        <row r="943">
          <cell r="A943" t="str">
            <v/>
          </cell>
        </row>
        <row r="944">
          <cell r="A944" t="str">
            <v/>
          </cell>
        </row>
        <row r="945">
          <cell r="A945" t="str">
            <v/>
          </cell>
        </row>
        <row r="946">
          <cell r="A946" t="str">
            <v/>
          </cell>
        </row>
        <row r="947">
          <cell r="A947" t="str">
            <v/>
          </cell>
        </row>
        <row r="948">
          <cell r="A948" t="str">
            <v/>
          </cell>
        </row>
        <row r="949">
          <cell r="A949" t="str">
            <v/>
          </cell>
        </row>
        <row r="950">
          <cell r="A950" t="str">
            <v/>
          </cell>
        </row>
        <row r="951">
          <cell r="A951" t="str">
            <v/>
          </cell>
        </row>
        <row r="952">
          <cell r="A952" t="str">
            <v/>
          </cell>
        </row>
        <row r="953">
          <cell r="A953" t="str">
            <v/>
          </cell>
        </row>
        <row r="954">
          <cell r="A954" t="str">
            <v/>
          </cell>
        </row>
        <row r="955">
          <cell r="A955" t="str">
            <v/>
          </cell>
        </row>
        <row r="956">
          <cell r="A956" t="str">
            <v/>
          </cell>
        </row>
        <row r="957">
          <cell r="A957" t="str">
            <v/>
          </cell>
        </row>
        <row r="958">
          <cell r="A958" t="str">
            <v/>
          </cell>
        </row>
        <row r="959">
          <cell r="A959" t="str">
            <v/>
          </cell>
        </row>
        <row r="960">
          <cell r="A960" t="str">
            <v/>
          </cell>
        </row>
        <row r="961">
          <cell r="A961" t="str">
            <v/>
          </cell>
        </row>
        <row r="962">
          <cell r="A962" t="str">
            <v/>
          </cell>
        </row>
        <row r="963">
          <cell r="A963" t="str">
            <v/>
          </cell>
        </row>
        <row r="964">
          <cell r="A964" t="str">
            <v/>
          </cell>
        </row>
        <row r="965">
          <cell r="A965" t="str">
            <v/>
          </cell>
        </row>
        <row r="966">
          <cell r="A966" t="str">
            <v/>
          </cell>
        </row>
        <row r="967">
          <cell r="A967" t="str">
            <v/>
          </cell>
        </row>
        <row r="968">
          <cell r="A968" t="str">
            <v/>
          </cell>
        </row>
        <row r="969">
          <cell r="A969" t="str">
            <v/>
          </cell>
        </row>
        <row r="970">
          <cell r="A970" t="str">
            <v/>
          </cell>
        </row>
        <row r="971">
          <cell r="A971" t="str">
            <v/>
          </cell>
        </row>
        <row r="972">
          <cell r="A972" t="str">
            <v/>
          </cell>
        </row>
        <row r="973">
          <cell r="A973" t="str">
            <v/>
          </cell>
        </row>
        <row r="974">
          <cell r="A974" t="str">
            <v/>
          </cell>
        </row>
        <row r="975">
          <cell r="A975" t="str">
            <v/>
          </cell>
        </row>
        <row r="976">
          <cell r="A976" t="str">
            <v/>
          </cell>
        </row>
        <row r="977">
          <cell r="A977" t="str">
            <v/>
          </cell>
        </row>
        <row r="978">
          <cell r="A978" t="str">
            <v/>
          </cell>
        </row>
        <row r="979">
          <cell r="A979" t="str">
            <v/>
          </cell>
        </row>
        <row r="980">
          <cell r="A980" t="str">
            <v/>
          </cell>
        </row>
        <row r="981">
          <cell r="A981" t="str">
            <v/>
          </cell>
        </row>
        <row r="982">
          <cell r="A982" t="str">
            <v/>
          </cell>
        </row>
        <row r="983">
          <cell r="A983" t="str">
            <v/>
          </cell>
        </row>
        <row r="984">
          <cell r="A984" t="str">
            <v/>
          </cell>
        </row>
        <row r="985">
          <cell r="A985" t="str">
            <v/>
          </cell>
        </row>
        <row r="986">
          <cell r="A986" t="str">
            <v/>
          </cell>
        </row>
        <row r="987">
          <cell r="A987" t="str">
            <v/>
          </cell>
        </row>
        <row r="988">
          <cell r="A988" t="str">
            <v/>
          </cell>
        </row>
        <row r="989">
          <cell r="A989" t="str">
            <v/>
          </cell>
        </row>
        <row r="990">
          <cell r="A990" t="str">
            <v/>
          </cell>
        </row>
        <row r="991">
          <cell r="A991" t="str">
            <v/>
          </cell>
        </row>
        <row r="992">
          <cell r="A992" t="str">
            <v/>
          </cell>
        </row>
        <row r="993">
          <cell r="A993" t="str">
            <v/>
          </cell>
        </row>
        <row r="994">
          <cell r="A994" t="str">
            <v/>
          </cell>
        </row>
        <row r="995">
          <cell r="A995" t="str">
            <v/>
          </cell>
        </row>
        <row r="996">
          <cell r="A996" t="str">
            <v/>
          </cell>
        </row>
        <row r="997">
          <cell r="A997" t="str">
            <v/>
          </cell>
        </row>
        <row r="998">
          <cell r="A998" t="str">
            <v/>
          </cell>
        </row>
        <row r="999">
          <cell r="A999" t="str">
            <v/>
          </cell>
        </row>
        <row r="1000">
          <cell r="A1000" t="str">
            <v/>
          </cell>
        </row>
        <row r="1001">
          <cell r="A1001" t="str">
            <v/>
          </cell>
        </row>
        <row r="1002">
          <cell r="A1002" t="str">
            <v/>
          </cell>
        </row>
        <row r="1003">
          <cell r="A1003" t="str">
            <v/>
          </cell>
        </row>
        <row r="1004">
          <cell r="A1004" t="str">
            <v/>
          </cell>
        </row>
        <row r="1005">
          <cell r="A1005" t="str">
            <v/>
          </cell>
        </row>
        <row r="1006">
          <cell r="A1006" t="str">
            <v/>
          </cell>
        </row>
        <row r="1007">
          <cell r="A1007" t="str">
            <v/>
          </cell>
        </row>
        <row r="1008">
          <cell r="A1008" t="str">
            <v/>
          </cell>
        </row>
        <row r="1009">
          <cell r="A1009" t="str">
            <v/>
          </cell>
        </row>
        <row r="1010">
          <cell r="A1010" t="str">
            <v/>
          </cell>
        </row>
        <row r="1011">
          <cell r="A1011" t="str">
            <v/>
          </cell>
        </row>
        <row r="1012">
          <cell r="A1012" t="str">
            <v/>
          </cell>
        </row>
        <row r="1013">
          <cell r="A1013" t="str">
            <v/>
          </cell>
        </row>
        <row r="1014">
          <cell r="A1014" t="str">
            <v/>
          </cell>
        </row>
        <row r="1015">
          <cell r="A1015" t="str">
            <v/>
          </cell>
        </row>
        <row r="1016">
          <cell r="A1016" t="str">
            <v/>
          </cell>
        </row>
        <row r="1017">
          <cell r="A1017" t="str">
            <v/>
          </cell>
        </row>
        <row r="1018">
          <cell r="A1018" t="str">
            <v/>
          </cell>
        </row>
        <row r="1019">
          <cell r="A1019" t="str">
            <v/>
          </cell>
        </row>
        <row r="1020">
          <cell r="A1020" t="str">
            <v/>
          </cell>
        </row>
        <row r="1021">
          <cell r="A1021" t="str">
            <v/>
          </cell>
        </row>
        <row r="1022">
          <cell r="A1022" t="str">
            <v/>
          </cell>
        </row>
        <row r="1023">
          <cell r="A1023" t="str">
            <v/>
          </cell>
        </row>
        <row r="1024">
          <cell r="A1024" t="str">
            <v/>
          </cell>
        </row>
        <row r="1025">
          <cell r="A1025" t="str">
            <v/>
          </cell>
        </row>
        <row r="1026">
          <cell r="A1026" t="str">
            <v/>
          </cell>
        </row>
      </sheetData>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Print Macros"/>
      <sheetName val="P&amp;L Summary"/>
      <sheetName val="P&amp;L Detail"/>
      <sheetName val="Measures"/>
      <sheetName val="Balance Sheet"/>
      <sheetName val="Purchase Acct"/>
      <sheetName val="Cash Flows"/>
      <sheetName val="Acquisitions"/>
      <sheetName val="Acq Expenses"/>
      <sheetName val="Customer Buildup"/>
      <sheetName val="Revenue Buildup"/>
      <sheetName val="Salaries"/>
      <sheetName val="Headcount"/>
      <sheetName val="Travel"/>
      <sheetName val="Consultants"/>
      <sheetName val="Cap Ex"/>
      <sheetName val="Other Exp"/>
      <sheetName val="Historical Financial"/>
      <sheetName val="Sheet4"/>
      <sheetName val="Sheet3"/>
      <sheetName val="Rent"/>
      <sheetName val="Marketing TP"/>
      <sheetName val="Intl BD TP"/>
      <sheetName val="IT TP"/>
      <sheetName val="Cust Care TP"/>
      <sheetName val="Sheet2"/>
      <sheetName val="Sheet1"/>
    </sheetNames>
    <sheetDataSet>
      <sheetData sheetId="0">
        <row r="53">
          <cell r="C53" t="str">
            <v>Virtual Hosting - Advanced</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Metrics by Quarter"/>
      <sheetName val="Cust. by Agency"/>
      <sheetName val=" QB Revenue"/>
      <sheetName val="No. of Adv. Historical"/>
      <sheetName val="Summary Financial Metrics"/>
      <sheetName val="Revenue Model Mapping"/>
      <sheetName val="CM by Revenue Model"/>
      <sheetName val="Charts"/>
      <sheetName val="Metrics by Rev Model"/>
      <sheetName val="Monthly Income Stmt - C Round"/>
      <sheetName val="Monthly Cash Flow Fcast - C Rou"/>
      <sheetName val="Monthly Balance Sheet - C Round"/>
      <sheetName val="Bookings"/>
      <sheetName val="MC Summary"/>
      <sheetName val="MC Data"/>
      <sheetName val="Monthly Opex &amp; CD COGS Fcast C "/>
      <sheetName val="Revenue Forecast"/>
      <sheetName val="HC Forecast C Round"/>
      <sheetName val="CAPEX &amp; Depr - C Round"/>
      <sheetName val="Contibution Margin"/>
      <sheetName val="QB IS 08"/>
      <sheetName val="QB IS Actual 09"/>
      <sheetName val="QB BS 08"/>
      <sheetName val="QB BS Actual 09"/>
      <sheetName val="Revenue Forecast OLD"/>
      <sheetName val="Creative Dev HC Projections"/>
      <sheetName val="Head Count Summary - C Round"/>
      <sheetName val="Metrics HC Drivers"/>
      <sheetName val="Analysis"/>
      <sheetName val="Summary"/>
    </sheetNames>
    <sheetDataSet>
      <sheetData sheetId="0" refreshError="1"/>
      <sheetData sheetId="1" refreshError="1"/>
      <sheetData sheetId="2">
        <row r="10">
          <cell r="O10">
            <v>41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697">
          <cell r="B697">
            <v>0.25</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mes List"/>
      <sheetName val="Lead Gen Budget"/>
      <sheetName val="Jan"/>
    </sheetNames>
    <sheetDataSet>
      <sheetData sheetId="0">
        <row r="2">
          <cell r="A2" t="str">
            <v>Adria Holmes</v>
          </cell>
        </row>
        <row r="3">
          <cell r="A3" t="str">
            <v>Adrienne Rosado</v>
          </cell>
        </row>
        <row r="4">
          <cell r="A4" t="str">
            <v>Alan Karelitz</v>
          </cell>
        </row>
        <row r="5">
          <cell r="A5" t="str">
            <v>Alex Del Angel</v>
          </cell>
        </row>
        <row r="6">
          <cell r="A6" t="str">
            <v>Alex MacFarland MIT</v>
          </cell>
        </row>
        <row r="7">
          <cell r="A7" t="str">
            <v>Alise Posilico</v>
          </cell>
        </row>
        <row r="8">
          <cell r="A8" t="str">
            <v>Allison McMahan</v>
          </cell>
        </row>
        <row r="9">
          <cell r="A9" t="str">
            <v>Ana-Lynn Sabino</v>
          </cell>
        </row>
        <row r="10">
          <cell r="A10" t="str">
            <v>Andre Jones</v>
          </cell>
        </row>
        <row r="11">
          <cell r="A11" t="str">
            <v>Andrew Maynes</v>
          </cell>
        </row>
        <row r="12">
          <cell r="A12" t="str">
            <v>Angelique Wagner</v>
          </cell>
        </row>
        <row r="13">
          <cell r="A13" t="str">
            <v>Anthony Boyle</v>
          </cell>
        </row>
        <row r="14">
          <cell r="A14" t="str">
            <v>April Williams</v>
          </cell>
        </row>
        <row r="15">
          <cell r="A15" t="str">
            <v>Ben Wright</v>
          </cell>
        </row>
        <row r="16">
          <cell r="A16" t="str">
            <v>Beth Harewood</v>
          </cell>
        </row>
        <row r="17">
          <cell r="A17" t="str">
            <v>Blair Bothwell</v>
          </cell>
        </row>
        <row r="18">
          <cell r="A18" t="str">
            <v>Brandi Rhea</v>
          </cell>
        </row>
        <row r="19">
          <cell r="A19" t="str">
            <v>Brandon Dalton</v>
          </cell>
        </row>
        <row r="20">
          <cell r="A20" t="str">
            <v>Brendan Dwyer</v>
          </cell>
        </row>
        <row r="21">
          <cell r="A21" t="str">
            <v>Brent Ryan</v>
          </cell>
        </row>
        <row r="22">
          <cell r="A22" t="str">
            <v>Carolyn Stittgen</v>
          </cell>
        </row>
        <row r="23">
          <cell r="A23" t="str">
            <v>Cate Morin</v>
          </cell>
        </row>
        <row r="24">
          <cell r="A24" t="str">
            <v>Chad Naumescu</v>
          </cell>
        </row>
        <row r="25">
          <cell r="A25" t="str">
            <v>Chad Patterson</v>
          </cell>
        </row>
        <row r="26">
          <cell r="A26" t="str">
            <v>Christopher Shea</v>
          </cell>
        </row>
        <row r="27">
          <cell r="A27" t="str">
            <v>Contest</v>
          </cell>
        </row>
        <row r="28">
          <cell r="A28" t="str">
            <v>Corey Hanvey</v>
          </cell>
        </row>
        <row r="29">
          <cell r="A29" t="str">
            <v>Craig Maloney</v>
          </cell>
        </row>
        <row r="30">
          <cell r="A30" t="str">
            <v>Daniel Flores</v>
          </cell>
        </row>
        <row r="31">
          <cell r="A31" t="str">
            <v>Darrel Chavez</v>
          </cell>
        </row>
        <row r="32">
          <cell r="A32" t="str">
            <v>Dave Vandenberg</v>
          </cell>
        </row>
        <row r="33">
          <cell r="A33" t="str">
            <v>David Allen</v>
          </cell>
        </row>
        <row r="34">
          <cell r="A34" t="str">
            <v>David Facter</v>
          </cell>
        </row>
        <row r="35">
          <cell r="A35" t="str">
            <v>David Lynn</v>
          </cell>
        </row>
        <row r="36">
          <cell r="A36" t="str">
            <v>Diana Wood</v>
          </cell>
        </row>
        <row r="37">
          <cell r="A37" t="str">
            <v>Don Lee</v>
          </cell>
        </row>
        <row r="38">
          <cell r="A38" t="str">
            <v>Ed Korb</v>
          </cell>
        </row>
        <row r="39">
          <cell r="A39" t="str">
            <v>Ed Kuras</v>
          </cell>
        </row>
        <row r="40">
          <cell r="A40" t="str">
            <v>Elizabeth Nitz MIT</v>
          </cell>
        </row>
        <row r="41">
          <cell r="A41" t="str">
            <v>Eric Dickerson MIT</v>
          </cell>
        </row>
        <row r="42">
          <cell r="A42" t="str">
            <v>Eric McClelland</v>
          </cell>
        </row>
        <row r="43">
          <cell r="A43" t="str">
            <v>Frank Gutierrez</v>
          </cell>
        </row>
        <row r="44">
          <cell r="A44" t="str">
            <v>Freddie Cepeda</v>
          </cell>
        </row>
        <row r="45">
          <cell r="A45" t="str">
            <v>George McGuire</v>
          </cell>
        </row>
        <row r="46">
          <cell r="A46" t="str">
            <v>Glenn Costa</v>
          </cell>
        </row>
        <row r="47">
          <cell r="A47" t="str">
            <v>Greg Scott</v>
          </cell>
        </row>
        <row r="48">
          <cell r="A48" t="str">
            <v>Ian Olson</v>
          </cell>
        </row>
        <row r="49">
          <cell r="A49" t="str">
            <v>Jared Magouirk</v>
          </cell>
        </row>
        <row r="50">
          <cell r="A50" t="str">
            <v>Jason Dupree</v>
          </cell>
        </row>
        <row r="51">
          <cell r="A51" t="str">
            <v>Jason Nelson</v>
          </cell>
        </row>
        <row r="52">
          <cell r="A52" t="str">
            <v>Jason Perez</v>
          </cell>
        </row>
        <row r="53">
          <cell r="A53" t="str">
            <v>Jason Redwine</v>
          </cell>
        </row>
        <row r="54">
          <cell r="A54" t="str">
            <v>Jeff Jonas</v>
          </cell>
        </row>
        <row r="55">
          <cell r="A55" t="str">
            <v>Jeff Wu</v>
          </cell>
        </row>
        <row r="56">
          <cell r="A56" t="str">
            <v>Jen Lunde</v>
          </cell>
        </row>
        <row r="57">
          <cell r="A57" t="str">
            <v>Jennifer Brunacini</v>
          </cell>
        </row>
        <row r="58">
          <cell r="A58" t="str">
            <v>Jennifer Sola</v>
          </cell>
        </row>
        <row r="59">
          <cell r="A59" t="str">
            <v>Jim Dunn</v>
          </cell>
        </row>
        <row r="60">
          <cell r="A60" t="str">
            <v>Jim Vlasicak</v>
          </cell>
        </row>
        <row r="61">
          <cell r="A61" t="str">
            <v>Jim Zamer</v>
          </cell>
        </row>
        <row r="62">
          <cell r="A62" t="str">
            <v>Joe Mattair</v>
          </cell>
        </row>
        <row r="63">
          <cell r="A63" t="str">
            <v>Joey DeCamilla</v>
          </cell>
        </row>
        <row r="64">
          <cell r="A64" t="str">
            <v>John Iskarous</v>
          </cell>
        </row>
        <row r="65">
          <cell r="A65" t="str">
            <v>John Thacher</v>
          </cell>
        </row>
        <row r="66">
          <cell r="A66" t="str">
            <v>Johnny Polanco (MGR)</v>
          </cell>
        </row>
        <row r="67">
          <cell r="A67" t="str">
            <v>Jonathan Pollard</v>
          </cell>
        </row>
        <row r="68">
          <cell r="A68" t="str">
            <v>Joseph Stagnaro</v>
          </cell>
        </row>
        <row r="69">
          <cell r="A69" t="str">
            <v>Josh Phillips</v>
          </cell>
        </row>
        <row r="70">
          <cell r="A70" t="str">
            <v>Josh Pierson</v>
          </cell>
        </row>
        <row r="71">
          <cell r="A71" t="str">
            <v>Josh Pittman</v>
          </cell>
        </row>
        <row r="72">
          <cell r="A72" t="str">
            <v>Justin Derby</v>
          </cell>
        </row>
        <row r="73">
          <cell r="A73" t="str">
            <v>Justin Smith</v>
          </cell>
        </row>
        <row r="74">
          <cell r="A74" t="str">
            <v>Kara Focht</v>
          </cell>
        </row>
        <row r="75">
          <cell r="A75" t="str">
            <v>Katherine Gillis</v>
          </cell>
        </row>
        <row r="76">
          <cell r="A76" t="str">
            <v>Kathryn Willaims</v>
          </cell>
        </row>
        <row r="77">
          <cell r="A77" t="str">
            <v>Katy Santoyo</v>
          </cell>
        </row>
        <row r="78">
          <cell r="A78" t="str">
            <v>Keith Curro</v>
          </cell>
        </row>
        <row r="79">
          <cell r="A79" t="str">
            <v>Kelly Bigham</v>
          </cell>
        </row>
        <row r="80">
          <cell r="A80" t="str">
            <v>Ken Harper</v>
          </cell>
        </row>
        <row r="81">
          <cell r="A81" t="str">
            <v>Kenneth Pio</v>
          </cell>
        </row>
        <row r="82">
          <cell r="A82" t="str">
            <v>Khalel Dumaz</v>
          </cell>
        </row>
        <row r="83">
          <cell r="A83" t="str">
            <v>Kristi Reid</v>
          </cell>
        </row>
        <row r="84">
          <cell r="A84" t="str">
            <v>Kristin Barton</v>
          </cell>
        </row>
        <row r="85">
          <cell r="A85" t="str">
            <v>Kyle O'Campo</v>
          </cell>
        </row>
        <row r="86">
          <cell r="A86" t="str">
            <v>Kyle Rohl</v>
          </cell>
        </row>
        <row r="87">
          <cell r="A87" t="str">
            <v>Lacey Wilson</v>
          </cell>
        </row>
        <row r="88">
          <cell r="A88" t="str">
            <v>Larry Michlovich</v>
          </cell>
        </row>
        <row r="89">
          <cell r="A89" t="str">
            <v>Lauren Cash</v>
          </cell>
        </row>
        <row r="90">
          <cell r="A90" t="str">
            <v>Lauren Shippey</v>
          </cell>
        </row>
        <row r="91">
          <cell r="A91" t="str">
            <v>Lee Abbey</v>
          </cell>
        </row>
        <row r="92">
          <cell r="A92" t="str">
            <v>Lee Parker</v>
          </cell>
        </row>
        <row r="93">
          <cell r="A93" t="str">
            <v>Lindsay Gibson</v>
          </cell>
        </row>
        <row r="94">
          <cell r="A94" t="str">
            <v>Lindsay Nagy</v>
          </cell>
        </row>
        <row r="95">
          <cell r="A95" t="str">
            <v>Mathew Hastings</v>
          </cell>
        </row>
        <row r="96">
          <cell r="A96" t="str">
            <v>Matt Baker</v>
          </cell>
        </row>
        <row r="97">
          <cell r="A97" t="str">
            <v>Matt Chila</v>
          </cell>
        </row>
        <row r="98">
          <cell r="A98" t="str">
            <v>Matt Culver MIT</v>
          </cell>
        </row>
        <row r="99">
          <cell r="A99" t="str">
            <v>Matt Flanagan</v>
          </cell>
        </row>
        <row r="100">
          <cell r="A100" t="str">
            <v>Megan Haley</v>
          </cell>
        </row>
        <row r="101">
          <cell r="A101" t="str">
            <v>Melissa Grandstaff</v>
          </cell>
        </row>
        <row r="102">
          <cell r="A102" t="str">
            <v>Michael Broadnax</v>
          </cell>
        </row>
        <row r="103">
          <cell r="A103" t="str">
            <v>Michael Gatto</v>
          </cell>
        </row>
        <row r="104">
          <cell r="A104" t="str">
            <v>Michael Winn</v>
          </cell>
        </row>
        <row r="105">
          <cell r="A105" t="str">
            <v>Natalie Tracy</v>
          </cell>
        </row>
        <row r="106">
          <cell r="A106" t="str">
            <v>Naveen Tejwani</v>
          </cell>
        </row>
        <row r="107">
          <cell r="A107" t="str">
            <v>Neal Merry</v>
          </cell>
        </row>
        <row r="108">
          <cell r="A108" t="str">
            <v>Niaz Chakravarty</v>
          </cell>
        </row>
        <row r="109">
          <cell r="A109" t="str">
            <v>Nicole Maready</v>
          </cell>
        </row>
        <row r="110">
          <cell r="A110" t="str">
            <v>Niko Megariots</v>
          </cell>
        </row>
        <row r="111">
          <cell r="A111" t="str">
            <v>Open</v>
          </cell>
        </row>
        <row r="112">
          <cell r="A112" t="str">
            <v>Open1</v>
          </cell>
        </row>
        <row r="113">
          <cell r="A113" t="str">
            <v>Patricia Kawa</v>
          </cell>
        </row>
        <row r="114">
          <cell r="A114" t="str">
            <v>Patrick O'Neill</v>
          </cell>
        </row>
        <row r="115">
          <cell r="A115" t="str">
            <v>Paul Grande</v>
          </cell>
        </row>
        <row r="116">
          <cell r="A116" t="str">
            <v>Radley Soni</v>
          </cell>
        </row>
        <row r="117">
          <cell r="A117" t="str">
            <v>Ralph Milan</v>
          </cell>
        </row>
        <row r="118">
          <cell r="A118" t="str">
            <v>Rich Mithoff</v>
          </cell>
        </row>
        <row r="119">
          <cell r="A119" t="str">
            <v>Roger Leeper</v>
          </cell>
        </row>
        <row r="120">
          <cell r="A120" t="str">
            <v>Ryan Conley</v>
          </cell>
        </row>
        <row r="121">
          <cell r="A121" t="str">
            <v>Saad Ahmed</v>
          </cell>
        </row>
        <row r="122">
          <cell r="A122" t="str">
            <v>Samantha Painter</v>
          </cell>
        </row>
        <row r="123">
          <cell r="A123" t="str">
            <v>Sara Hernandez</v>
          </cell>
        </row>
        <row r="124">
          <cell r="A124" t="str">
            <v>Sean Rayborn</v>
          </cell>
        </row>
        <row r="125">
          <cell r="A125" t="str">
            <v>Shawn Fago</v>
          </cell>
        </row>
        <row r="126">
          <cell r="A126" t="str">
            <v>Stephen Shapiro</v>
          </cell>
        </row>
        <row r="127">
          <cell r="A127" t="str">
            <v>Steven Kelly</v>
          </cell>
        </row>
        <row r="128">
          <cell r="A128" t="str">
            <v>Tara Cook</v>
          </cell>
        </row>
        <row r="129">
          <cell r="A129" t="str">
            <v>TBD</v>
          </cell>
        </row>
        <row r="130">
          <cell r="A130" t="str">
            <v xml:space="preserve">Teresa Levister </v>
          </cell>
        </row>
        <row r="131">
          <cell r="A131" t="str">
            <v>Terry Wall</v>
          </cell>
        </row>
        <row r="132">
          <cell r="A132" t="str">
            <v>Thaddeus Walton</v>
          </cell>
        </row>
        <row r="133">
          <cell r="A133" t="str">
            <v>Tim Petrinic</v>
          </cell>
        </row>
        <row r="134">
          <cell r="A134" t="str">
            <v>Vlad Moane</v>
          </cell>
        </row>
        <row r="135">
          <cell r="A135" t="str">
            <v>Whitney Evans</v>
          </cell>
        </row>
        <row r="136">
          <cell r="A136" t="str">
            <v>William Rush</v>
          </cell>
        </row>
        <row r="137">
          <cell r="A137" t="str">
            <v>Chris Juliano</v>
          </cell>
        </row>
        <row r="138">
          <cell r="A138" t="str">
            <v>Michelle Robbe</v>
          </cell>
        </row>
        <row r="139">
          <cell r="A139" t="str">
            <v>David Castaneda</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0.v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4.v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6.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7.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8.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26"/>
  <sheetViews>
    <sheetView showGridLines="0" workbookViewId="0">
      <selection activeCell="G4" sqref="G4"/>
    </sheetView>
  </sheetViews>
  <sheetFormatPr defaultRowHeight="15" x14ac:dyDescent="0.25"/>
  <cols>
    <col min="2" max="2" width="46.140625" customWidth="1"/>
    <col min="3" max="3" width="13.7109375" style="437" customWidth="1"/>
    <col min="4" max="4" width="14.5703125" customWidth="1"/>
    <col min="5" max="5" width="1.42578125" style="437" customWidth="1"/>
    <col min="6" max="6" width="15.42578125" customWidth="1"/>
    <col min="7" max="7" width="13.5703125" bestFit="1" customWidth="1"/>
    <col min="10" max="10" width="10" bestFit="1" customWidth="1"/>
  </cols>
  <sheetData>
    <row r="3" spans="2:10" ht="31.5" x14ac:dyDescent="0.25">
      <c r="B3" s="134" t="s">
        <v>162</v>
      </c>
      <c r="C3" s="537" t="s">
        <v>686</v>
      </c>
      <c r="D3" s="136" t="s">
        <v>553</v>
      </c>
      <c r="E3" s="336"/>
      <c r="F3" s="514" t="s">
        <v>687</v>
      </c>
      <c r="J3" s="437"/>
    </row>
    <row r="4" spans="2:10" ht="18.75" x14ac:dyDescent="0.3">
      <c r="B4" s="162" t="s">
        <v>69</v>
      </c>
      <c r="C4" s="524">
        <v>3971670.3548373305</v>
      </c>
      <c r="D4" s="160">
        <v>4295012.7899999991</v>
      </c>
      <c r="E4" s="167"/>
      <c r="F4" s="160">
        <v>1418253.7400000002</v>
      </c>
      <c r="G4" s="138"/>
      <c r="J4" s="437"/>
    </row>
    <row r="5" spans="2:10" ht="15.75" x14ac:dyDescent="0.25">
      <c r="B5" s="464" t="s">
        <v>548</v>
      </c>
      <c r="C5" s="465"/>
      <c r="D5" s="465">
        <v>0.44471914383542477</v>
      </c>
      <c r="E5" s="351"/>
      <c r="F5" s="515">
        <v>0.36104377091305384</v>
      </c>
      <c r="J5" s="437"/>
    </row>
    <row r="6" spans="2:10" ht="15.75" x14ac:dyDescent="0.25">
      <c r="B6" s="454" t="s">
        <v>549</v>
      </c>
      <c r="C6" s="462"/>
      <c r="D6" s="462">
        <v>7.1627030861058039E-2</v>
      </c>
      <c r="E6" s="351"/>
      <c r="F6" s="462">
        <v>8.5064967237665989E-2</v>
      </c>
      <c r="J6" s="437"/>
    </row>
    <row r="7" spans="2:10" ht="19.5" thickBot="1" x14ac:dyDescent="0.35">
      <c r="B7" s="520" t="s">
        <v>72</v>
      </c>
      <c r="C7" s="525">
        <v>793523.29845732986</v>
      </c>
      <c r="D7" s="521">
        <v>469523.67999999993</v>
      </c>
      <c r="E7" s="167"/>
      <c r="F7" s="521">
        <v>218321.64</v>
      </c>
      <c r="J7" s="437"/>
    </row>
    <row r="8" spans="2:10" ht="19.5" thickBot="1" x14ac:dyDescent="0.35">
      <c r="B8" s="522" t="s">
        <v>685</v>
      </c>
      <c r="C8" s="526">
        <v>3178565.6122366432</v>
      </c>
      <c r="D8" s="523">
        <v>3825489.1099999994</v>
      </c>
      <c r="E8" s="167"/>
      <c r="F8" s="523">
        <v>1199932.1000000001</v>
      </c>
      <c r="J8" s="437"/>
    </row>
    <row r="9" spans="2:10" ht="18.75" x14ac:dyDescent="0.3">
      <c r="B9" s="453" t="s">
        <v>163</v>
      </c>
      <c r="C9" s="527">
        <v>0.80022519226069089</v>
      </c>
      <c r="D9" s="461">
        <v>0.89068165731818461</v>
      </c>
      <c r="E9" s="351"/>
      <c r="F9" s="461">
        <v>0.8460630606198859</v>
      </c>
      <c r="J9" s="437"/>
    </row>
    <row r="10" spans="2:10" ht="18.75" x14ac:dyDescent="0.3">
      <c r="B10" s="452" t="s">
        <v>16</v>
      </c>
      <c r="C10" s="528"/>
      <c r="D10" s="463">
        <v>1118955.73</v>
      </c>
      <c r="E10" s="538"/>
      <c r="F10" s="463">
        <v>377383.79000000004</v>
      </c>
      <c r="J10" s="437"/>
    </row>
    <row r="11" spans="2:10" ht="18.75" x14ac:dyDescent="0.3">
      <c r="B11" s="466" t="s">
        <v>17</v>
      </c>
      <c r="C11" s="529"/>
      <c r="D11" s="467">
        <v>780364.09</v>
      </c>
      <c r="E11" s="538"/>
      <c r="F11" s="467">
        <v>332103.89999999997</v>
      </c>
      <c r="J11" s="437"/>
    </row>
    <row r="12" spans="2:10" ht="18.75" x14ac:dyDescent="0.3">
      <c r="B12" s="452" t="s">
        <v>18</v>
      </c>
      <c r="C12" s="528"/>
      <c r="D12" s="463">
        <v>632838.10000000009</v>
      </c>
      <c r="E12" s="538"/>
      <c r="F12" s="463">
        <v>178063.37000000002</v>
      </c>
      <c r="J12" s="437"/>
    </row>
    <row r="13" spans="2:10" ht="19.5" thickBot="1" x14ac:dyDescent="0.35">
      <c r="B13" s="518" t="s">
        <v>164</v>
      </c>
      <c r="C13" s="530">
        <v>2426071.79</v>
      </c>
      <c r="D13" s="519">
        <v>2532157.92</v>
      </c>
      <c r="E13" s="167"/>
      <c r="F13" s="519">
        <v>887551.05999999994</v>
      </c>
      <c r="J13" s="437"/>
    </row>
    <row r="14" spans="2:10" ht="19.5" thickBot="1" x14ac:dyDescent="0.35">
      <c r="B14" s="516" t="s">
        <v>562</v>
      </c>
      <c r="C14" s="531">
        <v>752493.82223664317</v>
      </c>
      <c r="D14" s="517">
        <v>1293331.1899999995</v>
      </c>
      <c r="E14" s="167"/>
      <c r="F14" s="517">
        <v>312381.04000000015</v>
      </c>
      <c r="J14" s="437"/>
    </row>
    <row r="15" spans="2:10" ht="19.5" thickTop="1" x14ac:dyDescent="0.3">
      <c r="B15" s="496" t="s">
        <v>588</v>
      </c>
      <c r="C15" s="532" t="s">
        <v>233</v>
      </c>
      <c r="D15" s="167">
        <v>1309080.9999999991</v>
      </c>
      <c r="E15" s="167"/>
      <c r="F15" s="167">
        <v>89177.880000000237</v>
      </c>
      <c r="G15" s="138"/>
      <c r="J15" s="437"/>
    </row>
    <row r="16" spans="2:10" ht="18.75" x14ac:dyDescent="0.3">
      <c r="B16" s="468" t="s">
        <v>165</v>
      </c>
      <c r="C16" s="533">
        <v>7110265.1151574869</v>
      </c>
      <c r="D16" s="469">
        <v>6699887.0899999999</v>
      </c>
      <c r="E16" s="167"/>
      <c r="F16" s="469">
        <v>6684013.5</v>
      </c>
      <c r="J16" s="437"/>
    </row>
    <row r="17" spans="2:10" ht="18.75" x14ac:dyDescent="0.3">
      <c r="B17" s="468" t="s">
        <v>91</v>
      </c>
      <c r="C17" s="533">
        <v>0</v>
      </c>
      <c r="D17" s="469">
        <v>167102.87</v>
      </c>
      <c r="E17" s="167"/>
      <c r="F17" s="469">
        <v>179385.39</v>
      </c>
      <c r="J17" s="437"/>
    </row>
    <row r="18" spans="2:10" ht="18.75" x14ac:dyDescent="0.3">
      <c r="B18" s="468" t="s">
        <v>184</v>
      </c>
      <c r="C18" s="534">
        <v>50</v>
      </c>
      <c r="D18" s="484">
        <v>50</v>
      </c>
      <c r="E18" s="539"/>
      <c r="F18" s="484">
        <v>52</v>
      </c>
      <c r="J18" s="437"/>
    </row>
    <row r="19" spans="2:10" ht="18.75" x14ac:dyDescent="0.3">
      <c r="B19" s="161" t="s">
        <v>167</v>
      </c>
      <c r="C19" s="536">
        <f>(C4*4)/C18</f>
        <v>317733.62838698644</v>
      </c>
      <c r="D19" s="159">
        <v>343601.02319999994</v>
      </c>
      <c r="E19" s="167"/>
      <c r="F19" s="159">
        <v>327289.32461538468</v>
      </c>
      <c r="J19" s="437"/>
    </row>
    <row r="20" spans="2:10" ht="18.75" x14ac:dyDescent="0.3">
      <c r="B20" s="468" t="s">
        <v>239</v>
      </c>
      <c r="C20" s="535">
        <v>0.189</v>
      </c>
      <c r="D20" s="485">
        <v>0.30112394380087509</v>
      </c>
      <c r="E20" s="540"/>
      <c r="F20" s="485">
        <v>0.22025751188923365</v>
      </c>
      <c r="J20" s="437"/>
    </row>
    <row r="21" spans="2:10" x14ac:dyDescent="0.25">
      <c r="E21" s="156"/>
      <c r="J21" s="437"/>
    </row>
    <row r="22" spans="2:10" x14ac:dyDescent="0.25">
      <c r="C22" s="138"/>
      <c r="D22" s="138"/>
      <c r="E22" s="138"/>
      <c r="J22" s="437"/>
    </row>
    <row r="23" spans="2:10" x14ac:dyDescent="0.25">
      <c r="J23" s="437"/>
    </row>
    <row r="24" spans="2:10" x14ac:dyDescent="0.25">
      <c r="J24" s="437"/>
    </row>
    <row r="25" spans="2:10" x14ac:dyDescent="0.25">
      <c r="J25" s="437"/>
    </row>
    <row r="26" spans="2:10" x14ac:dyDescent="0.25">
      <c r="J26" s="437"/>
    </row>
  </sheetData>
  <pageMargins left="0.7" right="0.7" top="0.75" bottom="0.75" header="0.3" footer="0.3"/>
  <pageSetup orientation="landscape" r:id="rId1"/>
  <headerFooter>
    <oddHeader>&amp;C&amp;"-,Bold"&amp;16CallFire YTD Financial Performance
&amp;12Q2 2013 Mid-Quarter Review</oddHeader>
    <oddFooter>&amp;R&amp;D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AB41"/>
  <sheetViews>
    <sheetView tabSelected="1" workbookViewId="0">
      <selection activeCell="N19" sqref="N19"/>
    </sheetView>
  </sheetViews>
  <sheetFormatPr defaultRowHeight="15" x14ac:dyDescent="0.25"/>
  <cols>
    <col min="1" max="1" width="5.42578125" style="570" customWidth="1"/>
    <col min="2" max="2" width="30.140625" style="570" customWidth="1"/>
    <col min="3" max="3" width="1.85546875" style="570" customWidth="1"/>
    <col min="4" max="7" width="10.85546875" style="570" bestFit="1" customWidth="1"/>
    <col min="8" max="8" width="3.5703125" style="570" customWidth="1"/>
    <col min="9" max="10" width="10.85546875" style="570" bestFit="1" customWidth="1"/>
    <col min="11" max="11" width="11.5703125" style="570" bestFit="1" customWidth="1"/>
    <col min="12" max="12" width="10.85546875" style="570" bestFit="1" customWidth="1"/>
    <col min="13" max="13" width="3.140625" style="570" customWidth="1"/>
    <col min="14" max="17" width="10.85546875" style="570" bestFit="1" customWidth="1"/>
    <col min="18" max="18" width="2.140625" style="570" customWidth="1"/>
    <col min="19" max="19" width="11.7109375" style="570" bestFit="1" customWidth="1"/>
    <col min="20" max="21" width="3.140625" style="570" customWidth="1"/>
    <col min="22" max="22" width="10.5703125" style="570" customWidth="1"/>
    <col min="23" max="23" width="10.7109375" style="570" customWidth="1"/>
    <col min="24" max="24" width="3.7109375" style="570" customWidth="1"/>
    <col min="25" max="16384" width="9.140625" style="570"/>
  </cols>
  <sheetData>
    <row r="2" spans="2:28" x14ac:dyDescent="0.25">
      <c r="D2" s="1329" t="s">
        <v>1387</v>
      </c>
      <c r="E2" s="1329"/>
      <c r="F2" s="1329"/>
      <c r="G2" s="1329"/>
      <c r="I2" s="1329" t="s">
        <v>1388</v>
      </c>
      <c r="J2" s="1329"/>
      <c r="K2" s="1329"/>
      <c r="L2" s="1329"/>
      <c r="N2" s="1329" t="s">
        <v>1389</v>
      </c>
      <c r="O2" s="1329"/>
      <c r="P2" s="1329"/>
      <c r="Q2" s="1329"/>
      <c r="R2" s="1329"/>
      <c r="S2" s="1329"/>
    </row>
    <row r="3" spans="2:28" ht="47.25" x14ac:dyDescent="0.25">
      <c r="B3" s="1286" t="s">
        <v>162</v>
      </c>
      <c r="D3" s="1287" t="s">
        <v>1390</v>
      </c>
      <c r="E3" s="1287" t="s">
        <v>230</v>
      </c>
      <c r="F3" s="1287" t="s">
        <v>231</v>
      </c>
      <c r="G3" s="1287" t="s">
        <v>232</v>
      </c>
      <c r="I3" s="1287" t="s">
        <v>1378</v>
      </c>
      <c r="J3" s="1287" t="s">
        <v>230</v>
      </c>
      <c r="K3" s="1287" t="s">
        <v>231</v>
      </c>
      <c r="L3" s="1287" t="s">
        <v>232</v>
      </c>
      <c r="N3" s="1287" t="s">
        <v>1378</v>
      </c>
      <c r="O3" s="1287" t="s">
        <v>230</v>
      </c>
      <c r="P3" s="1287" t="s">
        <v>231</v>
      </c>
      <c r="Q3" s="1287" t="s">
        <v>232</v>
      </c>
      <c r="R3" s="1287"/>
      <c r="S3" s="1287" t="s">
        <v>1391</v>
      </c>
      <c r="V3" s="1287" t="s">
        <v>1392</v>
      </c>
      <c r="W3" s="1287" t="s">
        <v>1393</v>
      </c>
      <c r="AB3" s="570" t="s">
        <v>1415</v>
      </c>
    </row>
    <row r="4" spans="2:28" ht="18.75" x14ac:dyDescent="0.3">
      <c r="B4" s="1288" t="s">
        <v>758</v>
      </c>
      <c r="D4" s="1289"/>
      <c r="E4" s="1289"/>
      <c r="F4" s="1289"/>
      <c r="G4" s="1289"/>
      <c r="I4" s="1289">
        <v>4548142.3269410422</v>
      </c>
      <c r="J4" s="1289">
        <v>5513542.3421206381</v>
      </c>
      <c r="K4" s="1289">
        <v>6326706.5684103398</v>
      </c>
      <c r="L4" s="1289">
        <v>7378046.5023129405</v>
      </c>
      <c r="N4" s="1289"/>
      <c r="O4" s="1289"/>
      <c r="P4" s="1289"/>
      <c r="Q4" s="1289"/>
      <c r="R4" s="1289"/>
      <c r="S4" s="1289"/>
      <c r="V4" s="1289"/>
      <c r="W4" s="1289"/>
      <c r="AB4" s="570" t="b">
        <f>SUM(I4:L4)='BOD Summary'!T5</f>
        <v>1</v>
      </c>
    </row>
    <row r="5" spans="2:28" ht="18.75" x14ac:dyDescent="0.3">
      <c r="B5" s="1288" t="s">
        <v>69</v>
      </c>
      <c r="D5" s="1289">
        <v>4548142.3269410422</v>
      </c>
      <c r="E5" s="1289">
        <v>5513542.3421206381</v>
      </c>
      <c r="F5" s="1289">
        <v>6326706.5684103398</v>
      </c>
      <c r="G5" s="1289">
        <v>7378046.5023129405</v>
      </c>
      <c r="I5" s="1289">
        <f>'BOD Summary'!K8</f>
        <v>4597534.54</v>
      </c>
      <c r="J5" s="1289">
        <f>'BOD Summary'!L8</f>
        <v>5552061.1270880438</v>
      </c>
      <c r="K5" s="1289">
        <f>'BOD Summary'!M8</f>
        <v>6375901.3053723946</v>
      </c>
      <c r="L5" s="1289">
        <f>'BOD Summary'!N8</f>
        <v>7450812.2582960026</v>
      </c>
      <c r="N5" s="1289">
        <f>I5-D5</f>
        <v>49392.21305895783</v>
      </c>
      <c r="O5" s="1289">
        <f>J5-E5</f>
        <v>38518.784967405722</v>
      </c>
      <c r="P5" s="1289">
        <f>K5-F5</f>
        <v>49194.736962054856</v>
      </c>
      <c r="Q5" s="1289">
        <f>L5-G5</f>
        <v>72765.755983062088</v>
      </c>
      <c r="R5" s="1289"/>
      <c r="S5" s="1289">
        <f>SUM(N5:Q5)</f>
        <v>209871.4909714805</v>
      </c>
      <c r="V5" s="1289"/>
      <c r="W5" s="1289"/>
      <c r="Y5" s="10">
        <f>IF(S5&gt;0,1,-1)</f>
        <v>1</v>
      </c>
      <c r="AB5" s="570" t="b">
        <f>SUM(I5:L5)='BOD Summary'!T8</f>
        <v>1</v>
      </c>
    </row>
    <row r="6" spans="2:28" ht="15.75" x14ac:dyDescent="0.25">
      <c r="B6" s="1290" t="s">
        <v>548</v>
      </c>
      <c r="D6" s="1291">
        <v>0.17697023476448015</v>
      </c>
      <c r="E6" s="1291">
        <v>0.30680799693623073</v>
      </c>
      <c r="F6" s="1291">
        <v>0.53305782125595624</v>
      </c>
      <c r="G6" s="1291">
        <v>0.5825936232640323</v>
      </c>
      <c r="I6" s="1292">
        <v>0.18975197298212243</v>
      </c>
      <c r="J6" s="1292">
        <v>0.3159376368490554</v>
      </c>
      <c r="K6" s="1292">
        <v>0.54497845886555818</v>
      </c>
      <c r="L6" s="1292">
        <v>0.59818773663149605</v>
      </c>
      <c r="N6" s="1292"/>
      <c r="O6" s="1292"/>
      <c r="P6" s="1292"/>
      <c r="Q6" s="1292"/>
      <c r="R6" s="1292"/>
      <c r="S6" s="1292"/>
      <c r="V6" s="1292"/>
      <c r="W6" s="1292"/>
      <c r="Y6" s="10"/>
    </row>
    <row r="7" spans="2:28" ht="15.75" x14ac:dyDescent="0.25">
      <c r="B7" s="1290" t="s">
        <v>549</v>
      </c>
      <c r="D7" s="1293">
        <v>-2.4421838211825198E-2</v>
      </c>
      <c r="E7" s="1293">
        <v>0.21226248999751474</v>
      </c>
      <c r="F7" s="1293">
        <v>0.14748489733678904</v>
      </c>
      <c r="G7" s="1293">
        <v>0.1661749162118582</v>
      </c>
      <c r="I7" s="1292">
        <v>-1.3827190780218435E-2</v>
      </c>
      <c r="J7" s="1292">
        <v>0.2076170562251054</v>
      </c>
      <c r="K7" s="1292">
        <v>0.14838456555618662</v>
      </c>
      <c r="L7" s="1292">
        <v>0.16857928832563185</v>
      </c>
      <c r="N7" s="1292"/>
      <c r="O7" s="1292"/>
      <c r="P7" s="1292"/>
      <c r="Q7" s="1292"/>
      <c r="R7" s="1292"/>
      <c r="S7" s="1292"/>
      <c r="V7" s="1292"/>
      <c r="W7" s="1292"/>
      <c r="Y7" s="10"/>
    </row>
    <row r="8" spans="2:28" ht="18.75" x14ac:dyDescent="0.3">
      <c r="B8" s="1288" t="s">
        <v>72</v>
      </c>
      <c r="D8" s="1289">
        <v>737604.16642484674</v>
      </c>
      <c r="E8" s="1289">
        <v>858379.80138054083</v>
      </c>
      <c r="F8" s="1289">
        <v>950793.61151508405</v>
      </c>
      <c r="G8" s="1289">
        <v>1077317.9881241296</v>
      </c>
      <c r="I8" s="1289">
        <f>'BOD Summary'!K12</f>
        <v>664448.28</v>
      </c>
      <c r="J8" s="1289">
        <f>'BOD Summary'!L12</f>
        <v>853398.83164040768</v>
      </c>
      <c r="K8" s="1289">
        <f>'BOD Summary'!M12</f>
        <v>947353.13084016903</v>
      </c>
      <c r="L8" s="1289">
        <f>'BOD Summary'!N12</f>
        <v>1077422.6257899397</v>
      </c>
      <c r="N8" s="1294">
        <f t="shared" ref="N8:Q15" si="0">I8-D8</f>
        <v>-73155.886424846714</v>
      </c>
      <c r="O8" s="1294">
        <f t="shared" si="0"/>
        <v>-4980.9697401331505</v>
      </c>
      <c r="P8" s="1294">
        <f t="shared" si="0"/>
        <v>-3440.4806749150157</v>
      </c>
      <c r="Q8" s="1294">
        <f t="shared" si="0"/>
        <v>104.63766581006348</v>
      </c>
      <c r="R8" s="1294"/>
      <c r="S8" s="1294">
        <f t="shared" ref="S8:S15" si="1">SUM(N8:Q8)</f>
        <v>-81472.699174084817</v>
      </c>
      <c r="T8" s="570" t="s">
        <v>1395</v>
      </c>
      <c r="V8" s="1294"/>
      <c r="W8" s="1294"/>
      <c r="Y8" s="10">
        <f>IF(S8&gt;0,-1,1)</f>
        <v>1</v>
      </c>
      <c r="AB8" s="570" t="b">
        <f>SUM(I8:L8)='BOD Summary'!T12</f>
        <v>1</v>
      </c>
    </row>
    <row r="9" spans="2:28" ht="18.75" x14ac:dyDescent="0.3">
      <c r="B9" s="1288" t="s">
        <v>685</v>
      </c>
      <c r="D9" s="1289">
        <v>3810538.1605161955</v>
      </c>
      <c r="E9" s="1289">
        <v>4655162.5407400969</v>
      </c>
      <c r="F9" s="1289">
        <v>5375912.9568952555</v>
      </c>
      <c r="G9" s="1289">
        <v>6300728.5141888112</v>
      </c>
      <c r="I9" s="1289">
        <f>'BOD Summary'!K13</f>
        <v>3933086.26</v>
      </c>
      <c r="J9" s="1289">
        <f>'BOD Summary'!L13</f>
        <v>4698662.2954476364</v>
      </c>
      <c r="K9" s="1289">
        <f>'BOD Summary'!M13</f>
        <v>5428548.1745322254</v>
      </c>
      <c r="L9" s="1289">
        <f>'BOD Summary'!N13</f>
        <v>6373389.6325060632</v>
      </c>
      <c r="N9" s="1294">
        <f t="shared" si="0"/>
        <v>122548.09948380431</v>
      </c>
      <c r="O9" s="1294">
        <f t="shared" si="0"/>
        <v>43499.754707539454</v>
      </c>
      <c r="P9" s="1294">
        <f t="shared" si="0"/>
        <v>52635.217636969872</v>
      </c>
      <c r="Q9" s="1294">
        <f t="shared" si="0"/>
        <v>72661.118317252025</v>
      </c>
      <c r="R9" s="1294"/>
      <c r="S9" s="1289">
        <f t="shared" si="1"/>
        <v>291344.19014556566</v>
      </c>
      <c r="V9" s="1294"/>
      <c r="W9" s="1294"/>
      <c r="Y9" s="10">
        <f>IF(S9&gt;0,1,-1)</f>
        <v>1</v>
      </c>
      <c r="AB9" s="570" t="b">
        <f>SUM(I9:L9)='BOD Summary'!T13</f>
        <v>1</v>
      </c>
    </row>
    <row r="10" spans="2:28" ht="18.75" x14ac:dyDescent="0.3">
      <c r="B10" s="1290" t="s">
        <v>16</v>
      </c>
      <c r="D10" s="1295">
        <v>1890726.321929398</v>
      </c>
      <c r="E10" s="1295">
        <v>2992200.0648607565</v>
      </c>
      <c r="F10" s="1295">
        <v>2617047.3418863323</v>
      </c>
      <c r="G10" s="1295">
        <v>2926773.9825895675</v>
      </c>
      <c r="I10" s="1295">
        <f>'BOD Summary'!K15</f>
        <v>1870702.2999999998</v>
      </c>
      <c r="J10" s="1295">
        <f>'BOD Summary'!L15</f>
        <v>3389765.2454462401</v>
      </c>
      <c r="K10" s="1295">
        <f>'BOD Summary'!M15</f>
        <v>3070417.4975085417</v>
      </c>
      <c r="L10" s="1295">
        <f>'BOD Summary'!N15</f>
        <v>2930572.7406762224</v>
      </c>
      <c r="N10" s="1296">
        <f t="shared" si="0"/>
        <v>-20024.021929398179</v>
      </c>
      <c r="O10" s="1296">
        <f t="shared" si="0"/>
        <v>397565.18058548355</v>
      </c>
      <c r="P10" s="1296">
        <f t="shared" si="0"/>
        <v>453370.15562220942</v>
      </c>
      <c r="Q10" s="1296">
        <f t="shared" si="0"/>
        <v>3798.7580866548233</v>
      </c>
      <c r="R10" s="1296"/>
      <c r="S10" s="1295">
        <f t="shared" si="1"/>
        <v>834710.07236494962</v>
      </c>
      <c r="V10" s="1296">
        <f>SUM(I24,I25)</f>
        <v>496662.53268011293</v>
      </c>
      <c r="W10" s="1296">
        <f>165000+55000</f>
        <v>220000</v>
      </c>
      <c r="Y10" s="10">
        <f t="shared" ref="Y10:Y15" si="2">IF(S10&gt;0,-1,1)</f>
        <v>-1</v>
      </c>
      <c r="AB10" s="570" t="b">
        <f>SUM(I10:L10)='BOD Summary'!T15</f>
        <v>1</v>
      </c>
    </row>
    <row r="11" spans="2:28" ht="18.75" x14ac:dyDescent="0.3">
      <c r="B11" s="1290" t="s">
        <v>17</v>
      </c>
      <c r="D11" s="1297">
        <v>930035.65003958333</v>
      </c>
      <c r="E11" s="1297">
        <v>963451.76347801776</v>
      </c>
      <c r="F11" s="1297">
        <v>1067911.1959168143</v>
      </c>
      <c r="G11" s="1297">
        <v>1727965.8848971592</v>
      </c>
      <c r="I11" s="1297">
        <f>'BOD Summary'!K16</f>
        <v>1392577.4500000002</v>
      </c>
      <c r="J11" s="1297">
        <f>'BOD Summary'!L16</f>
        <v>1732416.7878287025</v>
      </c>
      <c r="K11" s="1297">
        <f>'BOD Summary'!M16</f>
        <v>1783292.9452876789</v>
      </c>
      <c r="L11" s="1297">
        <f>'BOD Summary'!N16</f>
        <v>1831995.2339038462</v>
      </c>
      <c r="N11" s="1296">
        <f t="shared" si="0"/>
        <v>462541.79996041686</v>
      </c>
      <c r="O11" s="1296">
        <f t="shared" si="0"/>
        <v>768965.02435068472</v>
      </c>
      <c r="P11" s="1296">
        <f t="shared" si="0"/>
        <v>715381.74937086459</v>
      </c>
      <c r="Q11" s="1296">
        <f t="shared" si="0"/>
        <v>104029.34900668706</v>
      </c>
      <c r="R11" s="1298"/>
      <c r="S11" s="1297">
        <f t="shared" si="1"/>
        <v>2050917.9226886532</v>
      </c>
      <c r="V11" s="1298">
        <f>SUM(I32,I26,I27)</f>
        <v>2215326.0047948817</v>
      </c>
      <c r="W11" s="1298">
        <f>I38</f>
        <v>30000</v>
      </c>
      <c r="Y11" s="10">
        <f t="shared" si="2"/>
        <v>-1</v>
      </c>
      <c r="AB11" s="570" t="b">
        <f>SUM(I11:L11)='BOD Summary'!T16</f>
        <v>1</v>
      </c>
    </row>
    <row r="12" spans="2:28" ht="18.75" x14ac:dyDescent="0.3">
      <c r="B12" s="1290" t="s">
        <v>18</v>
      </c>
      <c r="D12" s="1295">
        <v>681969.76551759266</v>
      </c>
      <c r="E12" s="1295">
        <v>708073.52496679255</v>
      </c>
      <c r="F12" s="1295">
        <v>713874.6850844</v>
      </c>
      <c r="G12" s="1295">
        <v>1128266.4299214277</v>
      </c>
      <c r="I12" s="1297">
        <f>'BOD Summary'!K17</f>
        <v>883395.27</v>
      </c>
      <c r="J12" s="1297">
        <f ca="1">'BOD Summary'!L17</f>
        <v>975898.16907989886</v>
      </c>
      <c r="K12" s="1297">
        <f ca="1">'BOD Summary'!M17</f>
        <v>1002812.3525188952</v>
      </c>
      <c r="L12" s="1297">
        <f ca="1">'BOD Summary'!N17</f>
        <v>989262.18819845677</v>
      </c>
      <c r="N12" s="1296">
        <f t="shared" si="0"/>
        <v>201425.50448240736</v>
      </c>
      <c r="O12" s="1296">
        <f t="shared" ca="1" si="0"/>
        <v>267824.6441131063</v>
      </c>
      <c r="P12" s="1296">
        <f t="shared" ca="1" si="0"/>
        <v>288937.66743449518</v>
      </c>
      <c r="Q12" s="1296">
        <f t="shared" ca="1" si="0"/>
        <v>-139004.24172297097</v>
      </c>
      <c r="R12" s="1296"/>
      <c r="S12" s="1295">
        <f t="shared" ca="1" si="1"/>
        <v>619183.57430703787</v>
      </c>
      <c r="V12" s="1296">
        <f>SUM(I23,I28,I29)</f>
        <v>325445.27593592298</v>
      </c>
      <c r="W12" s="1296">
        <v>60000</v>
      </c>
      <c r="Y12" s="10">
        <f t="shared" ca="1" si="2"/>
        <v>-1</v>
      </c>
      <c r="AB12" s="570" t="b">
        <f ca="1">SUM(I12:L12)='BOD Summary'!T17</f>
        <v>1</v>
      </c>
    </row>
    <row r="13" spans="2:28" ht="18.75" x14ac:dyDescent="0.3">
      <c r="B13" s="1288" t="s">
        <v>164</v>
      </c>
      <c r="D13" s="1289">
        <v>3502731.7374865739</v>
      </c>
      <c r="E13" s="1289">
        <v>4663725.3533055671</v>
      </c>
      <c r="F13" s="1289">
        <v>4398833.2228875468</v>
      </c>
      <c r="G13" s="1289">
        <v>5783006.2974081552</v>
      </c>
      <c r="I13" s="1289">
        <f>'BOD Summary'!K18</f>
        <v>4146675.0200000005</v>
      </c>
      <c r="J13" s="1289">
        <f ca="1">'BOD Summary'!L18</f>
        <v>6098080.2023548409</v>
      </c>
      <c r="K13" s="1289">
        <f ca="1">'BOD Summary'!M18</f>
        <v>5856522.7953151148</v>
      </c>
      <c r="L13" s="1289">
        <f ca="1">'BOD Summary'!N18</f>
        <v>5751830.1627785247</v>
      </c>
      <c r="N13" s="1294">
        <f t="shared" si="0"/>
        <v>643943.28251342662</v>
      </c>
      <c r="O13" s="1294">
        <f t="shared" ca="1" si="0"/>
        <v>1434354.8490492739</v>
      </c>
      <c r="P13" s="1294">
        <f t="shared" ca="1" si="0"/>
        <v>1457689.572427568</v>
      </c>
      <c r="Q13" s="1294">
        <f t="shared" ca="1" si="0"/>
        <v>-31176.134629630484</v>
      </c>
      <c r="R13" s="570" t="s">
        <v>1394</v>
      </c>
      <c r="S13" s="1289">
        <f t="shared" ca="1" si="1"/>
        <v>3504811.569360638</v>
      </c>
      <c r="V13" s="1294">
        <f>SUM(V10:V12)</f>
        <v>3037433.8134109173</v>
      </c>
      <c r="W13" s="1294">
        <f>SUM(W10:W12)</f>
        <v>310000</v>
      </c>
      <c r="Y13" s="10">
        <f t="shared" ca="1" si="2"/>
        <v>-1</v>
      </c>
      <c r="AB13" s="570" t="b">
        <f ca="1">SUM(I13:L13)='BOD Summary'!T18</f>
        <v>1</v>
      </c>
    </row>
    <row r="14" spans="2:28" ht="19.5" thickBot="1" x14ac:dyDescent="0.35">
      <c r="B14" s="1299" t="s">
        <v>562</v>
      </c>
      <c r="D14" s="1300">
        <v>307806.4230296216</v>
      </c>
      <c r="E14" s="1301">
        <v>-8562.8125654701144</v>
      </c>
      <c r="F14" s="1300">
        <v>977079.73400770873</v>
      </c>
      <c r="G14" s="1300">
        <v>517722.21678065602</v>
      </c>
      <c r="I14" s="1302">
        <f>'BOD Summary'!K19</f>
        <v>-213588.76000000071</v>
      </c>
      <c r="J14" s="1302">
        <f ca="1">'BOD Summary'!L19</f>
        <v>-1399417.9069072045</v>
      </c>
      <c r="K14" s="1302">
        <f ca="1">'BOD Summary'!M19</f>
        <v>-427974.62078288943</v>
      </c>
      <c r="L14" s="1302">
        <f ca="1">'BOD Summary'!N19</f>
        <v>621559.46972753853</v>
      </c>
      <c r="N14" s="1294">
        <f t="shared" si="0"/>
        <v>-521395.18302962231</v>
      </c>
      <c r="O14" s="1294">
        <f t="shared" ca="1" si="0"/>
        <v>-1390855.0943417344</v>
      </c>
      <c r="P14" s="1294">
        <f t="shared" ca="1" si="0"/>
        <v>-1405054.3547905982</v>
      </c>
      <c r="Q14" s="1294">
        <f t="shared" ca="1" si="0"/>
        <v>103837.25294688251</v>
      </c>
      <c r="R14" s="1301"/>
      <c r="S14" s="1294">
        <f t="shared" ca="1" si="1"/>
        <v>-3213467.3792150724</v>
      </c>
      <c r="V14" s="1301"/>
      <c r="W14" s="1301"/>
      <c r="Y14" s="10">
        <f t="shared" ca="1" si="2"/>
        <v>1</v>
      </c>
      <c r="AB14" s="570" t="b">
        <f ca="1">SUM(I14:L14)='BOD Summary'!T19</f>
        <v>1</v>
      </c>
    </row>
    <row r="15" spans="2:28" ht="19.5" thickTop="1" x14ac:dyDescent="0.3">
      <c r="B15" s="1288" t="s">
        <v>588</v>
      </c>
      <c r="D15" s="1303">
        <v>687055.19103500596</v>
      </c>
      <c r="E15" s="1304">
        <v>-266396.823066112</v>
      </c>
      <c r="F15" s="1303">
        <v>699407.94019614789</v>
      </c>
      <c r="G15" s="1303">
        <v>424992.97841296752</v>
      </c>
      <c r="I15" s="1304">
        <f>'BOD Summary'!K20</f>
        <v>-73130.230000000418</v>
      </c>
      <c r="J15" s="1304">
        <f ca="1">'BOD Summary'!L20</f>
        <v>-991420.54140932264</v>
      </c>
      <c r="K15" s="1304">
        <f ca="1">'BOD Summary'!M20</f>
        <v>-736983.22730134916</v>
      </c>
      <c r="L15" s="1304">
        <f ca="1">'BOD Summary'!N20</f>
        <v>275938.2234466435</v>
      </c>
      <c r="N15" s="1304">
        <f t="shared" si="0"/>
        <v>-760185.42103500641</v>
      </c>
      <c r="O15" s="1304">
        <f t="shared" ca="1" si="0"/>
        <v>-725023.71834321064</v>
      </c>
      <c r="P15" s="1304">
        <f t="shared" ca="1" si="0"/>
        <v>-1436391.1674974971</v>
      </c>
      <c r="Q15" s="1304">
        <f t="shared" ca="1" si="0"/>
        <v>-149054.75496632402</v>
      </c>
      <c r="R15" s="1305"/>
      <c r="S15" s="1304">
        <f t="shared" ca="1" si="1"/>
        <v>-3070655.0618420383</v>
      </c>
      <c r="T15" s="570" t="s">
        <v>1411</v>
      </c>
      <c r="V15" s="1294"/>
      <c r="W15" s="1294"/>
      <c r="Y15" s="10">
        <f t="shared" ca="1" si="2"/>
        <v>1</v>
      </c>
      <c r="AB15" s="570" t="b">
        <f ca="1">SUM(I15:L15)='BOD Summary'!T20</f>
        <v>1</v>
      </c>
    </row>
    <row r="17" spans="2:19" x14ac:dyDescent="0.25">
      <c r="B17" s="1306" t="s">
        <v>1396</v>
      </c>
      <c r="D17" s="570" t="s">
        <v>1412</v>
      </c>
    </row>
    <row r="18" spans="2:19" x14ac:dyDescent="0.25">
      <c r="B18" s="1306"/>
      <c r="D18" s="570" t="s">
        <v>1414</v>
      </c>
    </row>
    <row r="19" spans="2:19" x14ac:dyDescent="0.25">
      <c r="B19" s="1306"/>
      <c r="D19" s="570" t="s">
        <v>1413</v>
      </c>
    </row>
    <row r="21" spans="2:19" x14ac:dyDescent="0.25">
      <c r="B21" s="1330" t="s">
        <v>1397</v>
      </c>
      <c r="C21" s="1330"/>
      <c r="D21" s="1330"/>
      <c r="E21" s="1330"/>
      <c r="F21" s="1330"/>
      <c r="G21" s="1330"/>
      <c r="H21" s="1330"/>
      <c r="I21" s="1330"/>
      <c r="S21" s="1307"/>
    </row>
    <row r="22" spans="2:19" ht="30" x14ac:dyDescent="0.25">
      <c r="B22" s="1308" t="s">
        <v>949</v>
      </c>
      <c r="D22" s="1309" t="s">
        <v>1398</v>
      </c>
      <c r="E22" s="1309" t="s">
        <v>1399</v>
      </c>
      <c r="F22" s="1309" t="s">
        <v>1400</v>
      </c>
      <c r="G22" s="1309" t="s">
        <v>1401</v>
      </c>
      <c r="I22" s="1310" t="s">
        <v>49</v>
      </c>
    </row>
    <row r="23" spans="2:19" x14ac:dyDescent="0.25">
      <c r="B23" s="1306" t="s">
        <v>1402</v>
      </c>
      <c r="D23" s="1311">
        <v>0</v>
      </c>
      <c r="E23" s="1311">
        <v>0</v>
      </c>
      <c r="F23" s="1311">
        <v>5494.05</v>
      </c>
      <c r="G23" s="1311">
        <v>12923.880000000001</v>
      </c>
      <c r="I23" s="1312">
        <f>SUM(D23:G23)</f>
        <v>18417.93</v>
      </c>
    </row>
    <row r="24" spans="2:19" x14ac:dyDescent="0.25">
      <c r="B24" s="1306" t="s">
        <v>223</v>
      </c>
      <c r="D24" s="1311">
        <v>39424.469302788857</v>
      </c>
      <c r="E24" s="1311">
        <v>100504.30662499998</v>
      </c>
      <c r="F24" s="1311">
        <v>8154.1266666666661</v>
      </c>
      <c r="G24" s="1311">
        <v>171469.20180000001</v>
      </c>
      <c r="I24" s="1312">
        <f t="shared" ref="I24:I29" si="3">SUM(D24:G24)</f>
        <v>319552.10439445556</v>
      </c>
      <c r="K24" s="407"/>
    </row>
    <row r="25" spans="2:19" x14ac:dyDescent="0.25">
      <c r="B25" s="1306" t="s">
        <v>4</v>
      </c>
      <c r="D25" s="1311">
        <v>45900.13691899072</v>
      </c>
      <c r="E25" s="1311">
        <v>20763.851099999996</v>
      </c>
      <c r="F25" s="1311">
        <v>2785.9066666666668</v>
      </c>
      <c r="G25" s="1311">
        <v>107660.53360000001</v>
      </c>
      <c r="I25" s="1312">
        <f t="shared" si="3"/>
        <v>177110.42828565737</v>
      </c>
      <c r="K25" s="407"/>
    </row>
    <row r="26" spans="2:19" x14ac:dyDescent="0.25">
      <c r="B26" s="1306" t="s">
        <v>66</v>
      </c>
      <c r="D26" s="1311">
        <v>66846.588187251007</v>
      </c>
      <c r="E26" s="1311">
        <v>94262.724260382747</v>
      </c>
      <c r="F26" s="1311">
        <v>8301.18</v>
      </c>
      <c r="G26" s="1311">
        <v>288157.321</v>
      </c>
      <c r="I26" s="1312">
        <f t="shared" si="3"/>
        <v>457567.81344763376</v>
      </c>
      <c r="K26" s="407"/>
    </row>
    <row r="27" spans="2:19" x14ac:dyDescent="0.25">
      <c r="B27" s="1306" t="s">
        <v>1403</v>
      </c>
      <c r="D27" s="1311">
        <v>62963.55860557768</v>
      </c>
      <c r="E27" s="1311">
        <v>38457.480075000014</v>
      </c>
      <c r="F27" s="1311">
        <v>6561.58</v>
      </c>
      <c r="G27" s="1311">
        <v>204982.62599999993</v>
      </c>
      <c r="I27" s="1312">
        <f t="shared" si="3"/>
        <v>312965.24468057766</v>
      </c>
      <c r="K27" s="234"/>
    </row>
    <row r="28" spans="2:19" x14ac:dyDescent="0.25">
      <c r="B28" s="1306" t="s">
        <v>3</v>
      </c>
      <c r="D28" s="1311">
        <v>25672.532988047809</v>
      </c>
      <c r="E28" s="1311">
        <v>12868.974800000004</v>
      </c>
      <c r="F28" s="1311">
        <v>2041.5666666666666</v>
      </c>
      <c r="G28" s="1311">
        <v>67036.17</v>
      </c>
      <c r="I28" s="1312">
        <f t="shared" si="3"/>
        <v>107619.24445471447</v>
      </c>
    </row>
    <row r="29" spans="2:19" x14ac:dyDescent="0.25">
      <c r="B29" s="1306" t="s">
        <v>2</v>
      </c>
      <c r="D29" s="1311">
        <v>68112.760531208492</v>
      </c>
      <c r="E29" s="1311">
        <v>32792.110950000002</v>
      </c>
      <c r="F29" s="1311">
        <v>799.99999999999989</v>
      </c>
      <c r="G29" s="1311">
        <v>97703.23</v>
      </c>
      <c r="I29" s="1312">
        <f t="shared" si="3"/>
        <v>199408.10148120849</v>
      </c>
    </row>
    <row r="30" spans="2:19" ht="17.25" x14ac:dyDescent="0.25">
      <c r="B30" s="1313" t="s">
        <v>49</v>
      </c>
      <c r="D30" s="1314">
        <f>SUM(D23:D29)</f>
        <v>308920.04653386457</v>
      </c>
      <c r="E30" s="1314">
        <f>SUM(E23:E29)</f>
        <v>299649.44781038276</v>
      </c>
      <c r="F30" s="1314">
        <f t="shared" ref="F30:G30" si="4">SUM(F23:F29)</f>
        <v>34138.409999999996</v>
      </c>
      <c r="G30" s="1314">
        <f t="shared" si="4"/>
        <v>949932.96239999996</v>
      </c>
      <c r="I30" s="1315">
        <f>SUM(D30:G30)</f>
        <v>1592640.8667442473</v>
      </c>
    </row>
    <row r="31" spans="2:19" x14ac:dyDescent="0.25">
      <c r="B31" s="1316"/>
      <c r="D31" s="1317"/>
      <c r="E31" s="1317"/>
      <c r="F31" s="1317"/>
      <c r="G31" s="1317"/>
      <c r="I31" s="1317"/>
    </row>
    <row r="32" spans="2:19" ht="17.25" x14ac:dyDescent="0.25">
      <c r="B32" s="1318" t="s">
        <v>1404</v>
      </c>
      <c r="D32" s="1311"/>
      <c r="E32" s="1311"/>
      <c r="F32" s="1311"/>
      <c r="G32" s="1311"/>
      <c r="I32" s="1319">
        <v>1444792.94666667</v>
      </c>
      <c r="K32" s="572"/>
      <c r="L32" s="572"/>
    </row>
    <row r="33" spans="2:12" x14ac:dyDescent="0.25">
      <c r="B33" s="1316"/>
      <c r="D33" s="1311"/>
      <c r="E33" s="1311"/>
      <c r="F33" s="1311"/>
      <c r="G33" s="1311"/>
      <c r="I33" s="1317"/>
    </row>
    <row r="34" spans="2:12" ht="17.25" x14ac:dyDescent="0.25">
      <c r="B34" s="1318" t="s">
        <v>1405</v>
      </c>
      <c r="D34" s="1311"/>
      <c r="E34" s="1311"/>
      <c r="F34" s="1311"/>
      <c r="G34" s="1311"/>
      <c r="I34" s="1319">
        <f>SUM(I32,I30)</f>
        <v>3037433.8134109173</v>
      </c>
    </row>
    <row r="35" spans="2:12" x14ac:dyDescent="0.25">
      <c r="B35" s="1316"/>
      <c r="D35" s="1311"/>
      <c r="E35" s="1311"/>
      <c r="F35" s="1311"/>
      <c r="G35" s="1311"/>
      <c r="I35" s="1317"/>
    </row>
    <row r="36" spans="2:12" x14ac:dyDescent="0.25">
      <c r="B36" s="1318" t="s">
        <v>1406</v>
      </c>
      <c r="D36" s="1318"/>
      <c r="E36" s="1318"/>
      <c r="F36" s="1318"/>
      <c r="G36" s="1318"/>
      <c r="I36" s="1318"/>
    </row>
    <row r="37" spans="2:12" x14ac:dyDescent="0.25">
      <c r="B37" s="1306" t="s">
        <v>1407</v>
      </c>
      <c r="D37" s="1317"/>
      <c r="E37" s="1317"/>
      <c r="F37" s="1317"/>
      <c r="G37" s="1317"/>
      <c r="I37" s="1320">
        <f>165000+55000+60000</f>
        <v>280000</v>
      </c>
    </row>
    <row r="38" spans="2:12" x14ac:dyDescent="0.25">
      <c r="B38" s="1306" t="s">
        <v>1408</v>
      </c>
      <c r="D38" s="1317"/>
      <c r="E38" s="1317"/>
      <c r="F38" s="1317"/>
      <c r="G38" s="1317"/>
      <c r="I38" s="1312">
        <v>30000</v>
      </c>
    </row>
    <row r="39" spans="2:12" ht="17.25" x14ac:dyDescent="0.25">
      <c r="B39" s="1318" t="s">
        <v>1409</v>
      </c>
      <c r="D39" s="1318"/>
      <c r="E39" s="1318"/>
      <c r="F39" s="1318"/>
      <c r="G39" s="1318"/>
      <c r="I39" s="1319">
        <f>SUM(I37:I38)</f>
        <v>310000</v>
      </c>
    </row>
    <row r="40" spans="2:12" ht="15.75" thickBot="1" x14ac:dyDescent="0.3">
      <c r="B40" s="1316"/>
      <c r="D40" s="1317"/>
      <c r="E40" s="1317"/>
      <c r="F40" s="1317"/>
      <c r="G40" s="1317"/>
      <c r="I40" s="1317"/>
    </row>
    <row r="41" spans="2:12" ht="18" thickBot="1" x14ac:dyDescent="0.3">
      <c r="B41" s="1321" t="s">
        <v>1410</v>
      </c>
      <c r="D41" s="1322"/>
      <c r="E41" s="1322"/>
      <c r="F41" s="1322"/>
      <c r="G41" s="1322"/>
      <c r="I41" s="1323">
        <f>SUM(I39,I34)</f>
        <v>3347433.8134109173</v>
      </c>
      <c r="K41" s="572"/>
      <c r="L41" s="572"/>
    </row>
  </sheetData>
  <mergeCells count="4">
    <mergeCell ref="D2:G2"/>
    <mergeCell ref="I2:L2"/>
    <mergeCell ref="N2:S2"/>
    <mergeCell ref="B21:I21"/>
  </mergeCells>
  <pageMargins left="0.7" right="0.7" top="0.75" bottom="0.75" header="0.3" footer="0.3"/>
  <pageSetup scale="57" orientation="landscape" r:id="rId1"/>
  <extLst>
    <ext xmlns:x14="http://schemas.microsoft.com/office/spreadsheetml/2009/9/main" uri="{05C60535-1F16-4fd2-B633-F4F36F0B64E0}">
      <x14:sparklineGroups xmlns:xm="http://schemas.microsoft.com/office/excel/2006/main">
        <x14:sparklineGroup type="stacked" displayEmptyCellsAs="gap" negative="1">
          <x14:colorSeries rgb="FF376092"/>
          <x14:colorNegative rgb="FFD00000"/>
          <x14:colorAxis rgb="FF000000"/>
          <x14:colorMarkers rgb="FFD00000"/>
          <x14:colorFirst rgb="FFD00000"/>
          <x14:colorLast rgb="FFD00000"/>
          <x14:colorHigh rgb="FFD00000"/>
          <x14:colorLow rgb="FFD00000"/>
          <x14:sparklines>
            <x14:sparkline>
              <xm:f>'Board Plan vs Current Plan'!Y5:Y5</xm:f>
              <xm:sqref>X5</xm:sqref>
            </x14:sparkline>
          </x14:sparklines>
        </x14:sparklineGroup>
        <x14:sparklineGroup type="stacked" displayEmptyCellsAs="gap" negative="1">
          <x14:colorSeries rgb="FF376092"/>
          <x14:colorNegative rgb="FFD00000"/>
          <x14:colorAxis rgb="FF000000"/>
          <x14:colorMarkers rgb="FFD00000"/>
          <x14:colorFirst rgb="FFD00000"/>
          <x14:colorLast rgb="FFD00000"/>
          <x14:colorHigh rgb="FFD00000"/>
          <x14:colorLow rgb="FFD00000"/>
          <x14:sparklines>
            <x14:sparkline>
              <xm:f>'Board Plan vs Current Plan'!Y8:Y8</xm:f>
              <xm:sqref>X8</xm:sqref>
            </x14:sparkline>
          </x14:sparklines>
        </x14:sparklineGroup>
        <x14:sparklineGroup type="stacked" displayEmptyCellsAs="gap" negative="1">
          <x14:colorSeries rgb="FF376092"/>
          <x14:colorNegative rgb="FFD00000"/>
          <x14:colorAxis rgb="FF000000"/>
          <x14:colorMarkers rgb="FFD00000"/>
          <x14:colorFirst rgb="FFD00000"/>
          <x14:colorLast rgb="FFD00000"/>
          <x14:colorHigh rgb="FFD00000"/>
          <x14:colorLow rgb="FFD00000"/>
          <x14:sparklines>
            <x14:sparkline>
              <xm:f>'Board Plan vs Current Plan'!Y9:Y9</xm:f>
              <xm:sqref>X9</xm:sqref>
            </x14:sparkline>
          </x14:sparklines>
        </x14:sparklineGroup>
        <x14:sparklineGroup type="stacked" displayEmptyCellsAs="gap" negative="1">
          <x14:colorSeries rgb="FF376092"/>
          <x14:colorNegative rgb="FFD00000"/>
          <x14:colorAxis rgb="FF000000"/>
          <x14:colorMarkers rgb="FFD00000"/>
          <x14:colorFirst rgb="FFD00000"/>
          <x14:colorLast rgb="FFD00000"/>
          <x14:colorHigh rgb="FFD00000"/>
          <x14:colorLow rgb="FFD00000"/>
          <x14:sparklines>
            <x14:sparkline>
              <xm:f>'Board Plan vs Current Plan'!Y10:Y10</xm:f>
              <xm:sqref>X10</xm:sqref>
            </x14:sparkline>
          </x14:sparklines>
        </x14:sparklineGroup>
        <x14:sparklineGroup type="stacked" displayEmptyCellsAs="gap" negative="1">
          <x14:colorSeries rgb="FF376092"/>
          <x14:colorNegative rgb="FFD00000"/>
          <x14:colorAxis rgb="FF000000"/>
          <x14:colorMarkers rgb="FFD00000"/>
          <x14:colorFirst rgb="FFD00000"/>
          <x14:colorLast rgb="FFD00000"/>
          <x14:colorHigh rgb="FFD00000"/>
          <x14:colorLow rgb="FFD00000"/>
          <x14:sparklines>
            <x14:sparkline>
              <xm:f>'Board Plan vs Current Plan'!Y11:Y11</xm:f>
              <xm:sqref>X11</xm:sqref>
            </x14:sparkline>
          </x14:sparklines>
        </x14:sparklineGroup>
        <x14:sparklineGroup type="stacked" displayEmptyCellsAs="gap" negative="1">
          <x14:colorSeries rgb="FF376092"/>
          <x14:colorNegative rgb="FFD00000"/>
          <x14:colorAxis rgb="FF000000"/>
          <x14:colorMarkers rgb="FFD00000"/>
          <x14:colorFirst rgb="FFD00000"/>
          <x14:colorLast rgb="FFD00000"/>
          <x14:colorHigh rgb="FFD00000"/>
          <x14:colorLow rgb="FFD00000"/>
          <x14:sparklines>
            <x14:sparkline>
              <xm:f>'Board Plan vs Current Plan'!Y12:Y12</xm:f>
              <xm:sqref>X12</xm:sqref>
            </x14:sparkline>
          </x14:sparklines>
        </x14:sparklineGroup>
        <x14:sparklineGroup type="stacked" displayEmptyCellsAs="gap" negative="1">
          <x14:colorSeries rgb="FF376092"/>
          <x14:colorNegative rgb="FFD00000"/>
          <x14:colorAxis rgb="FF000000"/>
          <x14:colorMarkers rgb="FFD00000"/>
          <x14:colorFirst rgb="FFD00000"/>
          <x14:colorLast rgb="FFD00000"/>
          <x14:colorHigh rgb="FFD00000"/>
          <x14:colorLow rgb="FFD00000"/>
          <x14:sparklines>
            <x14:sparkline>
              <xm:f>'Board Plan vs Current Plan'!Y13:Y13</xm:f>
              <xm:sqref>X13</xm:sqref>
            </x14:sparkline>
          </x14:sparklines>
        </x14:sparklineGroup>
        <x14:sparklineGroup type="stacked" displayEmptyCellsAs="gap" negative="1">
          <x14:colorSeries rgb="FF376092"/>
          <x14:colorNegative rgb="FFD00000"/>
          <x14:colorAxis rgb="FF000000"/>
          <x14:colorMarkers rgb="FFD00000"/>
          <x14:colorFirst rgb="FFD00000"/>
          <x14:colorLast rgb="FFD00000"/>
          <x14:colorHigh rgb="FFD00000"/>
          <x14:colorLow rgb="FFD00000"/>
          <x14:sparklines>
            <x14:sparkline>
              <xm:f>'Board Plan vs Current Plan'!Y14:Y14</xm:f>
              <xm:sqref>X14</xm:sqref>
            </x14:sparkline>
          </x14:sparklines>
        </x14:sparklineGroup>
        <x14:sparklineGroup type="stacked" displayEmptyCellsAs="gap" negative="1">
          <x14:colorSeries rgb="FF376092"/>
          <x14:colorNegative rgb="FFD00000"/>
          <x14:colorAxis rgb="FF000000"/>
          <x14:colorMarkers rgb="FFD00000"/>
          <x14:colorFirst rgb="FFD00000"/>
          <x14:colorLast rgb="FFD00000"/>
          <x14:colorHigh rgb="FFD00000"/>
          <x14:colorLow rgb="FFD00000"/>
          <x14:sparklines>
            <x14:sparkline>
              <xm:f>'Board Plan vs Current Plan'!Y15:Y15</xm:f>
              <xm:sqref>X15</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6" tint="-0.499984740745262"/>
  </sheetPr>
  <dimension ref="A1:AI84"/>
  <sheetViews>
    <sheetView showGridLines="0" zoomScale="80" zoomScaleNormal="80" workbookViewId="0">
      <pane xSplit="2" ySplit="4" topLeftCell="C5" activePane="bottomRight" state="frozen"/>
      <selection activeCell="A14" sqref="A1:XFD1048576"/>
      <selection pane="topRight" activeCell="A14" sqref="A1:XFD1048576"/>
      <selection pane="bottomLeft" activeCell="A14" sqref="A1:XFD1048576"/>
      <selection pane="bottomRight" activeCell="K8" sqref="K8"/>
    </sheetView>
  </sheetViews>
  <sheetFormatPr defaultRowHeight="15" outlineLevelRow="1" outlineLevelCol="2" x14ac:dyDescent="0.25"/>
  <cols>
    <col min="1" max="1" width="2.85546875" style="150" customWidth="1"/>
    <col min="2" max="2" width="38.140625" customWidth="1"/>
    <col min="3" max="3" width="11.140625" style="133" customWidth="1" outlineLevel="1"/>
    <col min="4" max="6" width="11.140625" customWidth="1" outlineLevel="1"/>
    <col min="7" max="7" width="12.7109375" customWidth="1" outlineLevel="1"/>
    <col min="8" max="10" width="11.140625" customWidth="1" outlineLevel="1"/>
    <col min="11" max="13" width="11.140625" customWidth="1" outlineLevel="2"/>
    <col min="14" max="14" width="11.140625" customWidth="1" outlineLevel="2" collapsed="1"/>
    <col min="15" max="15" width="2" style="437" customWidth="1" outlineLevel="2"/>
    <col min="16" max="16" width="15.42578125" style="286" customWidth="1"/>
    <col min="17" max="20" width="15.42578125" customWidth="1"/>
    <col min="21" max="25" width="19" customWidth="1"/>
    <col min="26" max="26" width="11" bestFit="1" customWidth="1"/>
    <col min="27" max="27" width="19.7109375" style="287" customWidth="1"/>
    <col min="28" max="28" width="22.7109375" style="287" bestFit="1" customWidth="1"/>
    <col min="29" max="32" width="9.28515625" style="287" bestFit="1" customWidth="1"/>
    <col min="33" max="34" width="9.28515625" bestFit="1" customWidth="1"/>
  </cols>
  <sheetData>
    <row r="1" spans="2:35" s="406" customFormat="1" x14ac:dyDescent="0.25">
      <c r="O1" s="437"/>
      <c r="AA1" s="287"/>
      <c r="AB1" s="287"/>
      <c r="AC1" s="287"/>
      <c r="AD1" s="287"/>
      <c r="AE1" s="287"/>
      <c r="AF1" s="287"/>
    </row>
    <row r="2" spans="2:35" s="437" customFormat="1" x14ac:dyDescent="0.25">
      <c r="H2" s="407"/>
      <c r="I2" s="407"/>
      <c r="J2" s="583"/>
      <c r="AA2" s="287"/>
      <c r="AB2" s="287"/>
      <c r="AC2" s="287"/>
      <c r="AD2" s="287"/>
      <c r="AE2" s="287"/>
      <c r="AF2" s="287"/>
    </row>
    <row r="3" spans="2:35" ht="15" customHeight="1" x14ac:dyDescent="0.25">
      <c r="C3"/>
      <c r="D3" s="133"/>
      <c r="F3" s="138"/>
      <c r="G3" s="138"/>
      <c r="H3" s="138"/>
      <c r="I3" s="138"/>
      <c r="J3" s="138"/>
      <c r="L3" s="138"/>
      <c r="Q3" s="286"/>
      <c r="AA3" s="61"/>
    </row>
    <row r="4" spans="2:35" ht="33" customHeight="1" x14ac:dyDescent="0.25">
      <c r="B4" s="1044" t="s">
        <v>162</v>
      </c>
      <c r="C4" s="1045" t="s">
        <v>1146</v>
      </c>
      <c r="D4" s="1045" t="s">
        <v>550</v>
      </c>
      <c r="E4" s="1045" t="s">
        <v>551</v>
      </c>
      <c r="F4" s="1045" t="s">
        <v>552</v>
      </c>
      <c r="G4" s="1045" t="s">
        <v>553</v>
      </c>
      <c r="H4" s="1045" t="s">
        <v>754</v>
      </c>
      <c r="I4" s="1045" t="s">
        <v>781</v>
      </c>
      <c r="J4" s="1045" t="s">
        <v>1149</v>
      </c>
      <c r="K4" s="1045" t="s">
        <v>1378</v>
      </c>
      <c r="L4" s="1045" t="s">
        <v>230</v>
      </c>
      <c r="M4" s="1045" t="s">
        <v>231</v>
      </c>
      <c r="N4" s="1045" t="s">
        <v>232</v>
      </c>
      <c r="O4" s="1046"/>
      <c r="P4" s="1047" t="s">
        <v>316</v>
      </c>
      <c r="Q4" s="1047" t="s">
        <v>315</v>
      </c>
      <c r="R4" s="1047" t="s">
        <v>1379</v>
      </c>
      <c r="S4" s="1047" t="s">
        <v>1147</v>
      </c>
      <c r="T4" s="1047" t="s">
        <v>1148</v>
      </c>
      <c r="U4" s="1047" t="s">
        <v>236</v>
      </c>
      <c r="V4" s="1047" t="s">
        <v>237</v>
      </c>
      <c r="W4" s="1047" t="s">
        <v>238</v>
      </c>
      <c r="X4" s="1047" t="s">
        <v>241</v>
      </c>
      <c r="Y4" s="1048" t="s">
        <v>242</v>
      </c>
      <c r="AA4" s="514"/>
      <c r="AB4" s="514">
        <v>41365</v>
      </c>
      <c r="AC4" s="412"/>
      <c r="AD4" s="412"/>
      <c r="AE4" s="412"/>
      <c r="AF4" s="412"/>
      <c r="AG4" s="412"/>
      <c r="AH4" s="412"/>
      <c r="AI4" s="168"/>
    </row>
    <row r="5" spans="2:35" s="570" customFormat="1" ht="23.25" customHeight="1" x14ac:dyDescent="0.3">
      <c r="B5" s="1049" t="s">
        <v>758</v>
      </c>
      <c r="C5" s="159"/>
      <c r="D5" s="159"/>
      <c r="E5" s="159"/>
      <c r="F5" s="159"/>
      <c r="G5" s="159">
        <v>3574503.3193535977</v>
      </c>
      <c r="H5" s="159">
        <v>3815145.4076421168</v>
      </c>
      <c r="I5" s="159">
        <v>4266443.0442678221</v>
      </c>
      <c r="J5" s="159">
        <v>5043959.1000000006</v>
      </c>
      <c r="K5" s="159">
        <v>4548142.3269410422</v>
      </c>
      <c r="L5" s="159">
        <v>5513542.3421206381</v>
      </c>
      <c r="M5" s="159">
        <v>6326706.5684103398</v>
      </c>
      <c r="N5" s="159">
        <v>7378046.5023129405</v>
      </c>
      <c r="O5" s="555"/>
      <c r="P5" s="599"/>
      <c r="Q5" s="599"/>
      <c r="R5" s="599"/>
      <c r="S5" s="599">
        <f>SUM(G5:J5)</f>
        <v>16700050.871263538</v>
      </c>
      <c r="T5" s="599">
        <f>SUM(K5:N5)</f>
        <v>23766437.73978496</v>
      </c>
      <c r="U5" s="599"/>
      <c r="V5" s="599"/>
      <c r="W5" s="599"/>
      <c r="X5" s="599"/>
      <c r="Y5" s="1050"/>
      <c r="AA5" s="600"/>
      <c r="AB5" s="601"/>
      <c r="AC5" s="412"/>
      <c r="AD5" s="412"/>
      <c r="AE5" s="412"/>
      <c r="AF5" s="412"/>
      <c r="AG5" s="412"/>
      <c r="AH5" s="412"/>
      <c r="AI5" s="168"/>
    </row>
    <row r="6" spans="2:35" ht="25.5" hidden="1" customHeight="1" x14ac:dyDescent="0.3">
      <c r="B6" s="1049" t="s">
        <v>69</v>
      </c>
      <c r="C6" s="159">
        <f>'P&amp;L - Qtrly'!C17</f>
        <v>3269458.4664017661</v>
      </c>
      <c r="D6" s="159">
        <f>'P&amp;L - Qtrly'!D17</f>
        <v>3627187.7350404416</v>
      </c>
      <c r="E6" s="159">
        <f>'P&amp;L - Qtrly'!E17</f>
        <v>3582771.8416368566</v>
      </c>
      <c r="F6" s="159">
        <f>'P&amp;L - Qtrly'!F17</f>
        <v>4324633.2051690742</v>
      </c>
      <c r="G6" s="159">
        <f>'P&amp;L - Qtrly'!G17</f>
        <v>3864279.8199999994</v>
      </c>
      <c r="H6" s="159">
        <f>'P&amp;L - Qtrly'!H17</f>
        <v>4219091.37</v>
      </c>
      <c r="I6" s="159">
        <f>'P&amp;L - Qtrly'!I17</f>
        <v>4126854.5000000005</v>
      </c>
      <c r="J6" s="159">
        <f>'P&amp;L - Qtrly'!J17</f>
        <v>4661996.8599999994</v>
      </c>
      <c r="K6" s="159">
        <f>'P&amp;L - Qtrly'!K17</f>
        <v>4597534.54</v>
      </c>
      <c r="L6" s="159">
        <f>'P&amp;L - Qtrly'!L17</f>
        <v>5529317.7490171632</v>
      </c>
      <c r="M6" s="159">
        <f>'P&amp;L - Qtrly'!M17</f>
        <v>6351196.7420186708</v>
      </c>
      <c r="N6" s="159">
        <f>'P&amp;L - Qtrly'!N17</f>
        <v>7422613.5756395254</v>
      </c>
      <c r="O6" s="555"/>
      <c r="P6" s="599">
        <v>8100314</v>
      </c>
      <c r="Q6" s="599">
        <v>10993737</v>
      </c>
      <c r="R6" s="599">
        <f>SUM(C6:F6)</f>
        <v>14804051.248248139</v>
      </c>
      <c r="S6" s="599">
        <f>SUM(G6:J6)</f>
        <v>16872222.549999997</v>
      </c>
      <c r="T6" s="599">
        <f>SUM('P&amp;L - Monthly'!AC22:AN22)</f>
        <v>23900662.606675357</v>
      </c>
      <c r="U6" s="599">
        <f>SUM('P&amp;L - Monthly'!AO22:AZ22)</f>
        <v>43039892.031464912</v>
      </c>
      <c r="V6" s="599">
        <f>U6+(U6*V31)</f>
        <v>56547881.494625717</v>
      </c>
      <c r="W6" s="599">
        <f>V6+(V6*W31)</f>
        <v>100001022.83575012</v>
      </c>
      <c r="X6" s="599">
        <f>W6+(W6*X31)</f>
        <v>135001380.82826266</v>
      </c>
      <c r="Y6" s="1050">
        <f>X6+(X6*Y31)</f>
        <v>182251864.11815459</v>
      </c>
      <c r="AA6" s="307"/>
      <c r="AB6" s="160">
        <f>'P&amp;L - Monthly'!T22</f>
        <v>1489918.32</v>
      </c>
      <c r="AC6" s="408"/>
      <c r="AD6" s="408"/>
      <c r="AE6" s="408"/>
      <c r="AF6" s="408"/>
      <c r="AG6" s="408"/>
      <c r="AH6" s="408"/>
      <c r="AI6" s="168"/>
    </row>
    <row r="7" spans="2:35" s="570" customFormat="1" ht="25.5" hidden="1" customHeight="1" x14ac:dyDescent="0.3">
      <c r="B7" s="1051" t="s">
        <v>807</v>
      </c>
      <c r="C7" s="1041">
        <v>-239907.11502696094</v>
      </c>
      <c r="D7" s="1041">
        <v>-291317.57515588612</v>
      </c>
      <c r="E7" s="1041">
        <f>-257392.172744041-186103.68</f>
        <v>-443495.85274404101</v>
      </c>
      <c r="F7" s="1041">
        <f>-324734.892886147-283941.65</f>
        <v>-608676.54288614704</v>
      </c>
      <c r="G7" s="589"/>
      <c r="H7" s="589"/>
      <c r="I7" s="589"/>
      <c r="J7" s="589"/>
      <c r="K7" s="589"/>
      <c r="L7" s="589"/>
      <c r="M7" s="589"/>
      <c r="N7" s="589"/>
      <c r="O7" s="1042"/>
      <c r="P7" s="1043">
        <f>-819964-250125</f>
        <v>-1070089</v>
      </c>
      <c r="Q7" s="1043">
        <f>-877134-196196</f>
        <v>-1073330</v>
      </c>
      <c r="R7" s="1043">
        <f>SUM(C7:F7)</f>
        <v>-1583397.0858130353</v>
      </c>
      <c r="S7" s="631"/>
      <c r="T7" s="1268"/>
      <c r="U7" s="631"/>
      <c r="V7" s="598"/>
      <c r="W7" s="598"/>
      <c r="X7" s="598"/>
      <c r="Y7" s="1052"/>
      <c r="AA7" s="575"/>
      <c r="AB7" s="160"/>
      <c r="AC7" s="408"/>
      <c r="AD7" s="408"/>
      <c r="AE7" s="408"/>
      <c r="AF7" s="408"/>
      <c r="AG7" s="408"/>
      <c r="AH7" s="408"/>
      <c r="AI7" s="168"/>
    </row>
    <row r="8" spans="2:35" s="570" customFormat="1" ht="25.5" customHeight="1" x14ac:dyDescent="0.3">
      <c r="B8" s="1049" t="s">
        <v>1346</v>
      </c>
      <c r="C8" s="159">
        <v>3029551.351374805</v>
      </c>
      <c r="D8" s="159">
        <v>3335870.1598845553</v>
      </c>
      <c r="E8" s="159">
        <v>3139275.9888928155</v>
      </c>
      <c r="F8" s="159">
        <v>3715956.662282927</v>
      </c>
      <c r="G8" s="159">
        <v>3864279.8199999994</v>
      </c>
      <c r="H8" s="159">
        <v>4219091.37</v>
      </c>
      <c r="I8" s="159">
        <v>4126854.5000000005</v>
      </c>
      <c r="J8" s="159">
        <v>4661996.8599999994</v>
      </c>
      <c r="K8" s="159">
        <f>'P&amp;L - Qtrly'!K12</f>
        <v>4597534.54</v>
      </c>
      <c r="L8" s="159">
        <f>'P&amp;L - Qtrly'!L12</f>
        <v>5552061.1270880438</v>
      </c>
      <c r="M8" s="159">
        <f>'P&amp;L - Qtrly'!M12</f>
        <v>6375901.3053723946</v>
      </c>
      <c r="N8" s="159">
        <f>'P&amp;L - Qtrly'!N12</f>
        <v>7450812.2582960026</v>
      </c>
      <c r="O8" s="555"/>
      <c r="P8" s="599">
        <v>7030225</v>
      </c>
      <c r="Q8" s="599">
        <v>9920407</v>
      </c>
      <c r="R8" s="599">
        <f>SUM(C8:F8)</f>
        <v>13220654.162435103</v>
      </c>
      <c r="S8" s="599">
        <f>SUM(G8:J8)</f>
        <v>16872222.549999997</v>
      </c>
      <c r="T8" s="599">
        <f>SUM(K8:N8)</f>
        <v>23976309.230756439</v>
      </c>
      <c r="U8" s="599">
        <v>33054598.477001786</v>
      </c>
      <c r="V8" s="599">
        <v>41195444.625880271</v>
      </c>
      <c r="W8" s="599">
        <v>68379176.871282488</v>
      </c>
      <c r="X8" s="599">
        <v>92311888.776231349</v>
      </c>
      <c r="Y8" s="1050">
        <v>124621049.84791231</v>
      </c>
      <c r="AA8" s="575"/>
      <c r="AB8" s="160"/>
      <c r="AC8" s="408"/>
      <c r="AD8" s="408"/>
      <c r="AE8" s="408"/>
      <c r="AF8" s="408"/>
      <c r="AG8" s="408"/>
      <c r="AH8" s="408"/>
      <c r="AI8" s="168"/>
    </row>
    <row r="9" spans="2:35" s="455" customFormat="1" ht="25.5" customHeight="1" x14ac:dyDescent="0.3">
      <c r="B9" s="1053" t="s">
        <v>548</v>
      </c>
      <c r="C9" s="1255">
        <f>C8/C51-1</f>
        <v>0.1659034647139237</v>
      </c>
      <c r="D9" s="1255">
        <f>D8/D51-1</f>
        <v>0.23374143146039272</v>
      </c>
      <c r="E9" s="1255">
        <f>E8/E51-1</f>
        <v>0.16299375939586125</v>
      </c>
      <c r="F9" s="1255">
        <f>F8/F51-1</f>
        <v>0.24191944716380909</v>
      </c>
      <c r="G9" s="1255">
        <f t="shared" ref="G9:N9" si="0">G8/C8-1</f>
        <v>0.27552874066531219</v>
      </c>
      <c r="H9" s="1255">
        <f t="shared" si="0"/>
        <v>0.26476486427337753</v>
      </c>
      <c r="I9" s="1255">
        <f t="shared" si="0"/>
        <v>0.3145879860838523</v>
      </c>
      <c r="J9" s="1255">
        <f t="shared" si="0"/>
        <v>0.25458859822543389</v>
      </c>
      <c r="K9" s="1255">
        <f t="shared" si="0"/>
        <v>0.18975197298212243</v>
      </c>
      <c r="L9" s="1255">
        <f t="shared" si="0"/>
        <v>0.3159376368490554</v>
      </c>
      <c r="M9" s="1255">
        <f t="shared" si="0"/>
        <v>0.54497845886555818</v>
      </c>
      <c r="N9" s="1255">
        <f t="shared" si="0"/>
        <v>0.59820190404332529</v>
      </c>
      <c r="O9" s="556"/>
      <c r="P9" s="1257">
        <f>P8/G49-1</f>
        <v>0.25211423542085054</v>
      </c>
      <c r="Q9" s="1257">
        <f>Q8/P8-1</f>
        <v>0.41110803708273913</v>
      </c>
      <c r="R9" s="1257">
        <f>R8/Q8-1</f>
        <v>0.33267255692585018</v>
      </c>
      <c r="S9" s="1257">
        <f t="shared" ref="S9:Y9" si="1">S8/R8-1</f>
        <v>0.27620179324714389</v>
      </c>
      <c r="T9" s="1257">
        <f t="shared" si="1"/>
        <v>0.42105221524335823</v>
      </c>
      <c r="U9" s="1257">
        <f t="shared" si="1"/>
        <v>0.37863580915947881</v>
      </c>
      <c r="V9" s="1257">
        <f t="shared" si="1"/>
        <v>0.24628482946306529</v>
      </c>
      <c r="W9" s="1257">
        <f t="shared" si="1"/>
        <v>0.65987228666357312</v>
      </c>
      <c r="X9" s="1257">
        <f t="shared" si="1"/>
        <v>0.34999999999999987</v>
      </c>
      <c r="Y9" s="1258">
        <f t="shared" si="1"/>
        <v>0.34999999999999987</v>
      </c>
      <c r="AA9" s="456"/>
      <c r="AB9" s="515">
        <f>AB6/'P&amp;L - Monthly'!H17-1</f>
        <v>0.27835954897793069</v>
      </c>
      <c r="AC9" s="457"/>
      <c r="AD9" s="457"/>
      <c r="AE9" s="457"/>
      <c r="AF9" s="457"/>
      <c r="AG9" s="457"/>
      <c r="AH9" s="457"/>
      <c r="AI9" s="458"/>
    </row>
    <row r="10" spans="2:35" s="455" customFormat="1" ht="25.5" customHeight="1" x14ac:dyDescent="0.3">
      <c r="B10" s="1053" t="s">
        <v>549</v>
      </c>
      <c r="C10" s="1255">
        <f>C8/F51-1</f>
        <v>1.2514160254568862E-2</v>
      </c>
      <c r="D10" s="1255">
        <f t="shared" ref="D10:N10" si="2">D8/C8-1</f>
        <v>0.10111028762418672</v>
      </c>
      <c r="E10" s="1255">
        <f t="shared" si="2"/>
        <v>-5.893340015324311E-2</v>
      </c>
      <c r="F10" s="1255">
        <f t="shared" si="2"/>
        <v>0.18369862204867804</v>
      </c>
      <c r="G10" s="1255">
        <f t="shared" si="2"/>
        <v>3.9915201170820147E-2</v>
      </c>
      <c r="H10" s="1255">
        <f t="shared" si="2"/>
        <v>9.1818286078465317E-2</v>
      </c>
      <c r="I10" s="1255">
        <f t="shared" si="2"/>
        <v>-2.186178537299599E-2</v>
      </c>
      <c r="J10" s="1255">
        <f t="shared" si="2"/>
        <v>0.12967318329250488</v>
      </c>
      <c r="K10" s="1255">
        <f t="shared" si="2"/>
        <v>-1.3827190780218435E-2</v>
      </c>
      <c r="L10" s="1255">
        <f t="shared" si="2"/>
        <v>0.2076170562251054</v>
      </c>
      <c r="M10" s="1255">
        <f t="shared" si="2"/>
        <v>0.14838456555618662</v>
      </c>
      <c r="N10" s="1255">
        <f t="shared" si="2"/>
        <v>0.16858964739900828</v>
      </c>
      <c r="O10" s="557"/>
      <c r="P10" s="1259"/>
      <c r="Q10" s="1259"/>
      <c r="R10" s="1259"/>
      <c r="S10" s="1259"/>
      <c r="T10" s="1259"/>
      <c r="U10" s="1259"/>
      <c r="V10" s="1259"/>
      <c r="W10" s="1259"/>
      <c r="X10" s="1259"/>
      <c r="Y10" s="1260"/>
      <c r="AA10" s="456"/>
      <c r="AB10" s="462">
        <f>(AB6/('P&amp;L - Monthly'!S11+'P&amp;L - Monthly'!S12))-1</f>
        <v>2.5553464589025632E-2</v>
      </c>
      <c r="AC10" s="457"/>
      <c r="AD10" s="457"/>
      <c r="AE10" s="457"/>
      <c r="AF10" s="457"/>
      <c r="AG10" s="457"/>
      <c r="AH10" s="457"/>
      <c r="AI10" s="458"/>
    </row>
    <row r="11" spans="2:35" s="455" customFormat="1" ht="25.5" customHeight="1" x14ac:dyDescent="0.3">
      <c r="B11" s="1053" t="s">
        <v>759</v>
      </c>
      <c r="C11" s="515"/>
      <c r="D11" s="515"/>
      <c r="E11" s="515"/>
      <c r="F11" s="515"/>
      <c r="G11" s="1255">
        <f>G8/G5</f>
        <v>1.0810676266762578</v>
      </c>
      <c r="H11" s="1255">
        <f t="shared" ref="H11:K11" si="3">H8/H5</f>
        <v>1.1058795718634313</v>
      </c>
      <c r="I11" s="1255">
        <f t="shared" si="3"/>
        <v>0.96728222014931953</v>
      </c>
      <c r="J11" s="1255">
        <f t="shared" si="3"/>
        <v>0.92427332727578992</v>
      </c>
      <c r="K11" s="1255">
        <f t="shared" si="3"/>
        <v>1.01085986530509</v>
      </c>
      <c r="L11" s="1256"/>
      <c r="M11" s="1256"/>
      <c r="N11" s="1256"/>
      <c r="O11" s="557"/>
      <c r="P11" s="1261"/>
      <c r="Q11" s="1261"/>
      <c r="R11" s="1261"/>
      <c r="S11" s="1255">
        <f>SUM(G6:J6)/S5</f>
        <v>1.0103096499563795</v>
      </c>
      <c r="T11" s="1262"/>
      <c r="U11" s="1261"/>
      <c r="V11" s="1261"/>
      <c r="W11" s="1261"/>
      <c r="X11" s="1261"/>
      <c r="Y11" s="1263"/>
      <c r="AA11" s="456"/>
      <c r="AB11" s="462"/>
      <c r="AC11" s="457"/>
      <c r="AD11" s="457"/>
      <c r="AE11" s="457"/>
      <c r="AF11" s="457"/>
      <c r="AG11" s="457"/>
      <c r="AH11" s="457"/>
      <c r="AI11" s="458"/>
    </row>
    <row r="12" spans="2:35" ht="25.5" customHeight="1" x14ac:dyDescent="0.3">
      <c r="B12" s="1049" t="s">
        <v>72</v>
      </c>
      <c r="C12" s="159">
        <f>'P&amp;L - Qtrly'!C25</f>
        <v>633916.82999999996</v>
      </c>
      <c r="D12" s="159">
        <f>'P&amp;L - Qtrly'!D25</f>
        <v>759706.59000000008</v>
      </c>
      <c r="E12" s="159">
        <f>'P&amp;L - Qtrly'!E25</f>
        <v>534293.86</v>
      </c>
      <c r="F12" s="159">
        <f>'P&amp;L - Qtrly'!F25</f>
        <v>776484.22</v>
      </c>
      <c r="G12" s="159">
        <f>'P&amp;L - Qtrly'!G25</f>
        <v>492507.08</v>
      </c>
      <c r="H12" s="159">
        <f>'P&amp;L - Qtrly'!H25</f>
        <v>610604.66</v>
      </c>
      <c r="I12" s="159">
        <f>'P&amp;L - Qtrly'!I25</f>
        <v>645933.07999999996</v>
      </c>
      <c r="J12" s="159">
        <f>'P&amp;L - Qtrly'!J25</f>
        <v>740529.45000000007</v>
      </c>
      <c r="K12" s="159">
        <f>'P&amp;L - Qtrly'!K25</f>
        <v>664448.28</v>
      </c>
      <c r="L12" s="159">
        <f>'P&amp;L - Qtrly'!L25</f>
        <v>853398.83164040768</v>
      </c>
      <c r="M12" s="159">
        <f>'P&amp;L - Qtrly'!M25</f>
        <v>947353.13084016903</v>
      </c>
      <c r="N12" s="159">
        <f>'P&amp;L - Qtrly'!N25</f>
        <v>1077422.6257899397</v>
      </c>
      <c r="O12" s="558"/>
      <c r="P12" s="471">
        <v>1936086.2400000002</v>
      </c>
      <c r="Q12" s="471">
        <f>2485624</f>
        <v>2485624</v>
      </c>
      <c r="R12" s="471">
        <f>SUM(C12:F12)</f>
        <v>2704401.5</v>
      </c>
      <c r="S12" s="471">
        <f>SUM(G12:J12)</f>
        <v>2489574.27</v>
      </c>
      <c r="T12" s="471">
        <f>SUM(K12:N12)</f>
        <v>3542622.8682705164</v>
      </c>
      <c r="U12" s="471">
        <f>U6-U13</f>
        <v>8607978.4062929824</v>
      </c>
      <c r="V12" s="471">
        <f>V6-V13</f>
        <v>11309576.298925139</v>
      </c>
      <c r="W12" s="471">
        <f>W6-W13</f>
        <v>20000204.567150027</v>
      </c>
      <c r="X12" s="471">
        <f>X6-X13</f>
        <v>27000276.165652528</v>
      </c>
      <c r="Y12" s="1055">
        <f>Y6-Y13</f>
        <v>36450372.823630899</v>
      </c>
      <c r="AA12" s="61"/>
      <c r="AB12" s="159">
        <f>'P&amp;L - Monthly'!T30</f>
        <v>218548.87</v>
      </c>
      <c r="AC12" s="408"/>
      <c r="AD12" s="408"/>
      <c r="AE12" s="408"/>
      <c r="AF12" s="408"/>
      <c r="AG12" s="408"/>
      <c r="AH12" s="408"/>
      <c r="AI12" s="168"/>
    </row>
    <row r="13" spans="2:35" ht="25.5" customHeight="1" x14ac:dyDescent="0.3">
      <c r="B13" s="1049" t="s">
        <v>685</v>
      </c>
      <c r="C13" s="159">
        <f t="shared" ref="C13:J13" si="4">C8-C12</f>
        <v>2395634.5213748049</v>
      </c>
      <c r="D13" s="159">
        <f t="shared" si="4"/>
        <v>2576163.5698845554</v>
      </c>
      <c r="E13" s="159">
        <f t="shared" si="4"/>
        <v>2604982.1288928157</v>
      </c>
      <c r="F13" s="159">
        <f t="shared" si="4"/>
        <v>2939472.4422829272</v>
      </c>
      <c r="G13" s="159">
        <f t="shared" si="4"/>
        <v>3371772.7399999993</v>
      </c>
      <c r="H13" s="159">
        <f t="shared" si="4"/>
        <v>3608486.71</v>
      </c>
      <c r="I13" s="159">
        <f t="shared" si="4"/>
        <v>3480921.4200000004</v>
      </c>
      <c r="J13" s="159">
        <f t="shared" si="4"/>
        <v>3921467.4099999992</v>
      </c>
      <c r="K13" s="159">
        <f>K8-K12</f>
        <v>3933086.26</v>
      </c>
      <c r="L13" s="159">
        <f t="shared" ref="L13:N13" si="5">L8-L12</f>
        <v>4698662.2954476364</v>
      </c>
      <c r="M13" s="159">
        <f t="shared" si="5"/>
        <v>5428548.1745322254</v>
      </c>
      <c r="N13" s="159">
        <f t="shared" si="5"/>
        <v>6373389.6325060632</v>
      </c>
      <c r="O13" s="558"/>
      <c r="P13" s="471">
        <f>P8-P12</f>
        <v>5094138.76</v>
      </c>
      <c r="Q13" s="554">
        <f>Q8-Q12</f>
        <v>7434783</v>
      </c>
      <c r="R13" s="554">
        <f>R8-R12</f>
        <v>10516252.662435103</v>
      </c>
      <c r="S13" s="554">
        <f>S8-S12</f>
        <v>14382648.279999997</v>
      </c>
      <c r="T13" s="471">
        <f>T8-T12</f>
        <v>20433686.362485923</v>
      </c>
      <c r="U13" s="471">
        <f>U6*U14</f>
        <v>34431913.62517193</v>
      </c>
      <c r="V13" s="471">
        <f>V6*V14</f>
        <v>45238305.195700578</v>
      </c>
      <c r="W13" s="471">
        <f>W6*W14</f>
        <v>80000818.268600091</v>
      </c>
      <c r="X13" s="471">
        <f>X6*X14</f>
        <v>108001104.66261013</v>
      </c>
      <c r="Y13" s="1055">
        <f>Y6*Y14</f>
        <v>145801491.29452369</v>
      </c>
      <c r="AB13" s="159">
        <f>AB6-AB12</f>
        <v>1271369.4500000002</v>
      </c>
      <c r="AC13" s="408"/>
      <c r="AD13" s="408"/>
      <c r="AE13" s="408"/>
      <c r="AF13" s="408"/>
      <c r="AG13" s="408"/>
      <c r="AH13" s="408"/>
      <c r="AI13" s="168"/>
    </row>
    <row r="14" spans="2:35" ht="25.5" customHeight="1" x14ac:dyDescent="0.3">
      <c r="B14" s="1051" t="s">
        <v>163</v>
      </c>
      <c r="C14" s="461">
        <f t="shared" ref="C14" si="6">C13/C6</f>
        <v>0.73273129051593167</v>
      </c>
      <c r="D14" s="461">
        <f t="shared" ref="D14:E14" si="7">D13/D8</f>
        <v>0.77226134304151361</v>
      </c>
      <c r="E14" s="461">
        <f t="shared" si="7"/>
        <v>0.82980347637786422</v>
      </c>
      <c r="F14" s="461">
        <f>F13/F8</f>
        <v>0.79104056086516339</v>
      </c>
      <c r="G14" s="461">
        <f t="shared" ref="G14:N14" si="8">G13/G8</f>
        <v>0.87254880522601486</v>
      </c>
      <c r="H14" s="461">
        <f t="shared" si="8"/>
        <v>0.85527579128963016</v>
      </c>
      <c r="I14" s="461">
        <f t="shared" si="8"/>
        <v>0.8434805297836403</v>
      </c>
      <c r="J14" s="461">
        <f t="shared" si="8"/>
        <v>0.84115616714508035</v>
      </c>
      <c r="K14" s="461">
        <f t="shared" si="8"/>
        <v>0.85547726195005369</v>
      </c>
      <c r="L14" s="461">
        <f t="shared" si="8"/>
        <v>0.84629152811795505</v>
      </c>
      <c r="M14" s="461">
        <f t="shared" si="8"/>
        <v>0.85141659422458116</v>
      </c>
      <c r="N14" s="461">
        <f t="shared" si="8"/>
        <v>0.85539527927437731</v>
      </c>
      <c r="O14" s="559"/>
      <c r="P14" s="459">
        <f>P13/P8</f>
        <v>0.72460536611559367</v>
      </c>
      <c r="Q14" s="459">
        <f>Q13/Q8</f>
        <v>0.74944334441117189</v>
      </c>
      <c r="R14" s="459">
        <f>R13/R8</f>
        <v>0.79544117357791333</v>
      </c>
      <c r="S14" s="459">
        <f>S13/S8</f>
        <v>0.85244538692977356</v>
      </c>
      <c r="T14" s="459">
        <f>T13/T8</f>
        <v>0.85224486245255404</v>
      </c>
      <c r="U14" s="459">
        <v>0.8</v>
      </c>
      <c r="V14" s="459">
        <v>0.8</v>
      </c>
      <c r="W14" s="459">
        <v>0.8</v>
      </c>
      <c r="X14" s="459">
        <v>0.8</v>
      </c>
      <c r="Y14" s="1054">
        <v>0.8</v>
      </c>
      <c r="AB14" s="461">
        <f>AB13/AB6</f>
        <v>0.85331486493836795</v>
      </c>
      <c r="AC14" s="409"/>
      <c r="AD14" s="409"/>
      <c r="AE14" s="409"/>
      <c r="AF14" s="409"/>
      <c r="AG14" s="409"/>
      <c r="AH14" s="409"/>
      <c r="AI14" s="168"/>
    </row>
    <row r="15" spans="2:35" s="437" customFormat="1" ht="25.5" customHeight="1" outlineLevel="1" x14ac:dyDescent="0.3">
      <c r="B15" s="1053" t="s">
        <v>16</v>
      </c>
      <c r="C15" s="587">
        <f>'P&amp;L - Qtrly'!C35</f>
        <v>580997.61896999995</v>
      </c>
      <c r="D15" s="587">
        <f>'P&amp;L - Qtrly'!D35</f>
        <v>637911.48888999992</v>
      </c>
      <c r="E15" s="587">
        <f>'P&amp;L - Qtrly'!E35</f>
        <v>652436.19964000001</v>
      </c>
      <c r="F15" s="587">
        <f>'P&amp;L - Qtrly'!F35</f>
        <v>580916.49592999998</v>
      </c>
      <c r="G15" s="587">
        <f>'P&amp;L - Qtrly'!G35</f>
        <v>1151510.9100000001</v>
      </c>
      <c r="H15" s="587">
        <f>'P&amp;L - Qtrly'!H35</f>
        <v>1419823.35</v>
      </c>
      <c r="I15" s="587">
        <f>'P&amp;L - Qtrly'!I35</f>
        <v>2288234.6</v>
      </c>
      <c r="J15" s="587">
        <f>'P&amp;L - Qtrly'!J35</f>
        <v>1703936.85</v>
      </c>
      <c r="K15" s="587">
        <f>'P&amp;L - Qtrly'!K35</f>
        <v>1870702.2999999998</v>
      </c>
      <c r="L15" s="587">
        <f>'P&amp;L - Qtrly'!L35</f>
        <v>3389765.2454462401</v>
      </c>
      <c r="M15" s="587">
        <f>'P&amp;L - Qtrly'!M35</f>
        <v>3070417.4975085417</v>
      </c>
      <c r="N15" s="587">
        <f>'P&amp;L - Qtrly'!N35</f>
        <v>2930572.7406762224</v>
      </c>
      <c r="O15" s="560"/>
      <c r="P15" s="590">
        <v>1500239.0994844069</v>
      </c>
      <c r="Q15" s="590">
        <v>2440063.9781391416</v>
      </c>
      <c r="R15" s="590">
        <f t="shared" ref="R15:R20" si="9">SUM(C15:F15)</f>
        <v>2452261.8034299999</v>
      </c>
      <c r="S15" s="590">
        <f t="shared" ref="S15:S20" si="10">SUM(G15:J15)</f>
        <v>6563505.7100000009</v>
      </c>
      <c r="T15" s="590">
        <f t="shared" ref="T15:T20" si="11">SUM(K15:N15)</f>
        <v>11261457.783631004</v>
      </c>
      <c r="U15" s="590">
        <f>SUM('P&amp;L - Qtrly'!O17:R17)</f>
        <v>43039892.031464912</v>
      </c>
      <c r="V15" s="590"/>
      <c r="W15" s="590"/>
      <c r="X15" s="590"/>
      <c r="Y15" s="1056"/>
      <c r="AA15" s="287"/>
      <c r="AB15" s="463">
        <f>'P&amp;L - Monthly'!T40</f>
        <v>395112.8</v>
      </c>
      <c r="AC15" s="409"/>
      <c r="AD15" s="409"/>
      <c r="AE15" s="409"/>
      <c r="AF15" s="409"/>
      <c r="AG15" s="409"/>
      <c r="AH15" s="409"/>
      <c r="AI15" s="168"/>
    </row>
    <row r="16" spans="2:35" s="437" customFormat="1" ht="25.5" customHeight="1" outlineLevel="1" x14ac:dyDescent="0.3">
      <c r="B16" s="1053" t="s">
        <v>17</v>
      </c>
      <c r="C16" s="588">
        <f>'P&amp;L - Qtrly'!C40</f>
        <v>274666.38064999995</v>
      </c>
      <c r="D16" s="588">
        <f>'P&amp;L - Qtrly'!D40</f>
        <v>379415.27289999998</v>
      </c>
      <c r="E16" s="588">
        <f>'P&amp;L - Qtrly'!E40</f>
        <v>484503.65909000003</v>
      </c>
      <c r="F16" s="588">
        <f>'P&amp;L - Qtrly'!F40</f>
        <v>691351.79520000005</v>
      </c>
      <c r="G16" s="588">
        <f>'P&amp;L - Qtrly'!G40</f>
        <v>973393.03</v>
      </c>
      <c r="H16" s="588">
        <f>'P&amp;L - Qtrly'!H40</f>
        <v>1020521.5</v>
      </c>
      <c r="I16" s="588">
        <f>'P&amp;L - Qtrly'!I40</f>
        <v>1181525.77</v>
      </c>
      <c r="J16" s="588">
        <f>'P&amp;L - Qtrly'!J40</f>
        <v>1153050.3399999999</v>
      </c>
      <c r="K16" s="588">
        <f>'P&amp;L - Qtrly'!K40</f>
        <v>1392577.4500000002</v>
      </c>
      <c r="L16" s="588">
        <f>'P&amp;L - Qtrly'!L40</f>
        <v>1732416.7878287025</v>
      </c>
      <c r="M16" s="588">
        <f>'P&amp;L - Qtrly'!M40</f>
        <v>1783292.9452876789</v>
      </c>
      <c r="N16" s="588">
        <f>'P&amp;L - Qtrly'!N40</f>
        <v>1831995.2339038462</v>
      </c>
      <c r="O16" s="561"/>
      <c r="P16" s="590">
        <v>770782.63838044857</v>
      </c>
      <c r="Q16" s="590">
        <v>972114.73047552921</v>
      </c>
      <c r="R16" s="590">
        <f t="shared" si="9"/>
        <v>1829937.10784</v>
      </c>
      <c r="S16" s="590">
        <f t="shared" si="10"/>
        <v>4328490.6399999997</v>
      </c>
      <c r="T16" s="590">
        <f t="shared" si="11"/>
        <v>6740282.4170202278</v>
      </c>
      <c r="U16" s="590">
        <f>SUM('P&amp;L - Qtrly'!O40:R40)</f>
        <v>7141312.9102896852</v>
      </c>
      <c r="V16" s="590"/>
      <c r="W16" s="590"/>
      <c r="X16" s="590"/>
      <c r="Y16" s="1056"/>
      <c r="AA16" s="287"/>
      <c r="AB16" s="467">
        <f>'P&amp;L - Monthly'!T45</f>
        <v>365831.63</v>
      </c>
      <c r="AC16" s="409"/>
      <c r="AD16" s="409"/>
      <c r="AE16" s="409"/>
      <c r="AF16" s="409"/>
      <c r="AG16" s="409"/>
      <c r="AH16" s="409"/>
      <c r="AI16" s="168"/>
    </row>
    <row r="17" spans="2:35" s="437" customFormat="1" ht="25.5" customHeight="1" outlineLevel="1" x14ac:dyDescent="0.3">
      <c r="B17" s="1053" t="s">
        <v>18</v>
      </c>
      <c r="C17" s="594">
        <f>'P&amp;L - Qtrly'!C56</f>
        <v>438737.06417000003</v>
      </c>
      <c r="D17" s="594">
        <f>'P&amp;L - Qtrly'!D56</f>
        <v>791717.38360000006</v>
      </c>
      <c r="E17" s="594">
        <f>'P&amp;L - Qtrly'!E56</f>
        <v>1149806.0330700001</v>
      </c>
      <c r="F17" s="594">
        <f>'P&amp;L - Qtrly'!F56</f>
        <v>1656644.6546699998</v>
      </c>
      <c r="G17" s="594">
        <f>'P&amp;L - Qtrly'!G56</f>
        <v>666673.92000000004</v>
      </c>
      <c r="H17" s="594">
        <f>'P&amp;L - Qtrly'!H56</f>
        <v>702815.23</v>
      </c>
      <c r="I17" s="594">
        <f>'P&amp;L - Qtrly'!I56</f>
        <v>806303.89000000013</v>
      </c>
      <c r="J17" s="594">
        <f>'P&amp;L - Qtrly'!J56</f>
        <v>880910.37</v>
      </c>
      <c r="K17" s="594">
        <f>'P&amp;L - Qtrly'!K56</f>
        <v>883395.27</v>
      </c>
      <c r="L17" s="594">
        <f ca="1">'P&amp;L - Qtrly'!L56</f>
        <v>975898.16907989886</v>
      </c>
      <c r="M17" s="594">
        <f ca="1">'P&amp;L - Qtrly'!M56</f>
        <v>1002812.3525188952</v>
      </c>
      <c r="N17" s="594">
        <f ca="1">'P&amp;L - Qtrly'!N56</f>
        <v>989262.18819845677</v>
      </c>
      <c r="O17" s="560"/>
      <c r="P17" s="590">
        <v>2036369.7451354342</v>
      </c>
      <c r="Q17" s="590">
        <v>2320040.796982476</v>
      </c>
      <c r="R17" s="590">
        <f t="shared" si="9"/>
        <v>4036905.1355100004</v>
      </c>
      <c r="S17" s="590">
        <f t="shared" si="10"/>
        <v>3056703.41</v>
      </c>
      <c r="T17" s="590">
        <f t="shared" ca="1" si="11"/>
        <v>3851367.9797972506</v>
      </c>
      <c r="U17" s="590">
        <f ca="1">SUM('P&amp;L - Qtrly'!O56:R56)</f>
        <v>3802195.0767895607</v>
      </c>
      <c r="V17" s="590"/>
      <c r="W17" s="590"/>
      <c r="X17" s="590"/>
      <c r="Y17" s="1056"/>
      <c r="AA17" s="287"/>
      <c r="AB17" s="463">
        <f>'P&amp;L - Monthly'!T61</f>
        <v>214854.41</v>
      </c>
      <c r="AC17" s="409"/>
      <c r="AD17" s="409"/>
      <c r="AE17" s="409"/>
      <c r="AF17" s="409"/>
      <c r="AG17" s="409"/>
      <c r="AH17" s="409"/>
      <c r="AI17" s="168"/>
    </row>
    <row r="18" spans="2:35" ht="25.5" customHeight="1" thickBot="1" x14ac:dyDescent="0.35">
      <c r="B18" s="1049" t="s">
        <v>164</v>
      </c>
      <c r="C18" s="159">
        <f>'P&amp;L - Qtrly'!C58</f>
        <v>1294401.06379</v>
      </c>
      <c r="D18" s="159">
        <f>'P&amp;L - Qtrly'!D58</f>
        <v>1809044.14539</v>
      </c>
      <c r="E18" s="159">
        <f>'P&amp;L - Qtrly'!E58</f>
        <v>2286745.8918000003</v>
      </c>
      <c r="F18" s="159">
        <f>'P&amp;L - Qtrly'!F58</f>
        <v>2928912.9458000003</v>
      </c>
      <c r="G18" s="159">
        <f>'P&amp;L - Qtrly'!G58</f>
        <v>2791577.86</v>
      </c>
      <c r="H18" s="159">
        <f>'P&amp;L - Qtrly'!H58</f>
        <v>3143160.0799999996</v>
      </c>
      <c r="I18" s="159">
        <f>'P&amp;L - Qtrly'!I58</f>
        <v>4276064.26</v>
      </c>
      <c r="J18" s="159">
        <f>'P&amp;L - Qtrly'!J58</f>
        <v>3737897.56</v>
      </c>
      <c r="K18" s="159">
        <f>'P&amp;L - Qtrly'!K58</f>
        <v>4146675.0200000005</v>
      </c>
      <c r="L18" s="159">
        <f ca="1">'P&amp;L - Qtrly'!L58</f>
        <v>6098080.2023548409</v>
      </c>
      <c r="M18" s="159">
        <f ca="1">'P&amp;L - Qtrly'!M58</f>
        <v>5856522.7953151148</v>
      </c>
      <c r="N18" s="159">
        <f ca="1">'P&amp;L - Qtrly'!N58</f>
        <v>5751830.1627785247</v>
      </c>
      <c r="O18" s="562"/>
      <c r="P18" s="471">
        <f>SUM(P15:P17)</f>
        <v>4307391.4830002896</v>
      </c>
      <c r="Q18" s="471">
        <f>SUM(Q15:Q17)</f>
        <v>5732219.5055971462</v>
      </c>
      <c r="R18" s="471">
        <f t="shared" si="9"/>
        <v>8319104.0467800014</v>
      </c>
      <c r="S18" s="471">
        <f t="shared" si="10"/>
        <v>13948699.76</v>
      </c>
      <c r="T18" s="471">
        <f t="shared" ca="1" si="11"/>
        <v>21853108.18044848</v>
      </c>
      <c r="U18" s="593">
        <f>U13-U19</f>
        <v>21519946.015732456</v>
      </c>
      <c r="V18" s="593">
        <f>V13-V19</f>
        <v>28273940.747312862</v>
      </c>
      <c r="W18" s="593">
        <f>W13-W19</f>
        <v>50000511.417875051</v>
      </c>
      <c r="X18" s="593">
        <f>X13-X19</f>
        <v>67500690.414131343</v>
      </c>
      <c r="Y18" s="1057">
        <f>Y13-Y19</f>
        <v>91125932.059077322</v>
      </c>
      <c r="AB18" s="469">
        <f>'P&amp;L - Monthly'!T63</f>
        <v>975798.84</v>
      </c>
      <c r="AC18" s="408"/>
      <c r="AD18" s="408"/>
      <c r="AE18" s="408"/>
      <c r="AF18" s="408"/>
      <c r="AG18" s="408"/>
      <c r="AH18" s="408"/>
      <c r="AI18" s="168"/>
    </row>
    <row r="19" spans="2:35" ht="25.5" customHeight="1" thickBot="1" x14ac:dyDescent="0.35">
      <c r="B19" s="1058" t="s">
        <v>562</v>
      </c>
      <c r="C19" s="595">
        <f t="shared" ref="C19:N19" si="12">C13-C18</f>
        <v>1101233.4575848049</v>
      </c>
      <c r="D19" s="595">
        <f t="shared" si="12"/>
        <v>767119.42449455545</v>
      </c>
      <c r="E19" s="595">
        <f t="shared" si="12"/>
        <v>318236.23709281534</v>
      </c>
      <c r="F19" s="595">
        <f t="shared" si="12"/>
        <v>10559.496482926887</v>
      </c>
      <c r="G19" s="595">
        <f t="shared" si="12"/>
        <v>580194.87999999942</v>
      </c>
      <c r="H19" s="595">
        <f t="shared" si="12"/>
        <v>465326.63000000035</v>
      </c>
      <c r="I19" s="1040">
        <f t="shared" si="12"/>
        <v>-795142.83999999939</v>
      </c>
      <c r="J19" s="595">
        <f t="shared" si="12"/>
        <v>183569.84999999916</v>
      </c>
      <c r="K19" s="1233">
        <f t="shared" si="12"/>
        <v>-213588.76000000071</v>
      </c>
      <c r="L19" s="1233">
        <f t="shared" ca="1" si="12"/>
        <v>-1399417.9069072045</v>
      </c>
      <c r="M19" s="1233">
        <f t="shared" ca="1" si="12"/>
        <v>-427974.62078288943</v>
      </c>
      <c r="N19" s="595">
        <f t="shared" ca="1" si="12"/>
        <v>621559.46972753853</v>
      </c>
      <c r="O19" s="563"/>
      <c r="P19" s="596">
        <f>P13-P18</f>
        <v>786747.27699971013</v>
      </c>
      <c r="Q19" s="596">
        <f>Q13-Q18</f>
        <v>1702563.4944028538</v>
      </c>
      <c r="R19" s="596">
        <f t="shared" si="9"/>
        <v>2197148.6156551023</v>
      </c>
      <c r="S19" s="596">
        <f t="shared" si="10"/>
        <v>433948.51999999955</v>
      </c>
      <c r="T19" s="1324">
        <f t="shared" ca="1" si="11"/>
        <v>-1419421.8179625561</v>
      </c>
      <c r="U19" s="596">
        <f>U6*U30</f>
        <v>12911967.609439474</v>
      </c>
      <c r="V19" s="596">
        <f>V6*V30</f>
        <v>16964364.448387716</v>
      </c>
      <c r="W19" s="596">
        <f>W6*W30</f>
        <v>30000306.850725036</v>
      </c>
      <c r="X19" s="596">
        <f>X6*X30</f>
        <v>40500414.248478793</v>
      </c>
      <c r="Y19" s="1059">
        <f>Y6*Y30</f>
        <v>54675559.235446371</v>
      </c>
      <c r="AB19" s="470">
        <f>AB13-AB18</f>
        <v>295570.61000000022</v>
      </c>
      <c r="AC19" s="410"/>
      <c r="AD19" s="410"/>
      <c r="AE19" s="410"/>
      <c r="AF19" s="410"/>
      <c r="AG19" s="410"/>
      <c r="AH19" s="410"/>
      <c r="AI19" s="168"/>
    </row>
    <row r="20" spans="2:35" s="437" customFormat="1" ht="25.5" customHeight="1" thickTop="1" x14ac:dyDescent="0.3">
      <c r="B20" s="1278" t="s">
        <v>588</v>
      </c>
      <c r="C20" s="1279">
        <f>Metrics!C38</f>
        <v>1397226.5880531175</v>
      </c>
      <c r="D20" s="597">
        <f>Metrics!D38</f>
        <v>1964314.5451400003</v>
      </c>
      <c r="E20" s="597">
        <f>Metrics!E38</f>
        <v>1113413.6987299998</v>
      </c>
      <c r="F20" s="597">
        <f>Metrics!F38</f>
        <v>822188.29761283961</v>
      </c>
      <c r="G20" s="597">
        <f>Metrics!G38</f>
        <v>1020140.2099999995</v>
      </c>
      <c r="H20" s="597">
        <f>Metrics!H38</f>
        <v>134862.68000000028</v>
      </c>
      <c r="I20" s="1038">
        <f>Metrics!I38</f>
        <v>-730194.57999999903</v>
      </c>
      <c r="J20" s="1038">
        <f>Metrics!K38</f>
        <v>-1302313.7499999993</v>
      </c>
      <c r="K20" s="1038">
        <f>Metrics!L38</f>
        <v>-73130.230000000418</v>
      </c>
      <c r="L20" s="1038">
        <f ca="1">Metrics!M38</f>
        <v>-991420.54140932264</v>
      </c>
      <c r="M20" s="1038">
        <f ca="1">Metrics!N38</f>
        <v>-736983.22730134916</v>
      </c>
      <c r="N20" s="597">
        <f ca="1">Metrics!O38</f>
        <v>275938.2234466435</v>
      </c>
      <c r="O20" s="562"/>
      <c r="P20" s="471">
        <v>3600727</v>
      </c>
      <c r="Q20" s="471">
        <v>3908286</v>
      </c>
      <c r="R20" s="471">
        <f t="shared" si="9"/>
        <v>5297143.1295359572</v>
      </c>
      <c r="S20" s="1039">
        <f t="shared" si="10"/>
        <v>-877505.43999999866</v>
      </c>
      <c r="T20" s="1039">
        <f t="shared" ca="1" si="11"/>
        <v>-1525595.7752640287</v>
      </c>
      <c r="U20" s="471">
        <f ca="1">Metrics!V38</f>
        <v>12988854.316436335</v>
      </c>
      <c r="V20" s="471"/>
      <c r="W20" s="471"/>
      <c r="X20" s="471"/>
      <c r="Y20" s="1055"/>
      <c r="AA20" s="287"/>
      <c r="AB20" s="167">
        <f>'CF - Monthly'!T19-'CF - Monthly'!T25</f>
        <v>146489.68000000052</v>
      </c>
      <c r="AC20" s="410"/>
      <c r="AD20" s="410"/>
      <c r="AE20" s="410"/>
      <c r="AF20" s="410"/>
      <c r="AG20" s="410"/>
      <c r="AH20" s="410"/>
      <c r="AI20" s="168"/>
    </row>
    <row r="21" spans="2:35" s="570" customFormat="1" ht="25.5" customHeight="1" x14ac:dyDescent="0.3">
      <c r="B21" s="1280" t="s">
        <v>788</v>
      </c>
      <c r="C21" s="1281">
        <f>Metrics!C15</f>
        <v>9121</v>
      </c>
      <c r="D21" s="1277">
        <f>Metrics!D15</f>
        <v>9744</v>
      </c>
      <c r="E21" s="1277">
        <f>Metrics!E15</f>
        <v>9899</v>
      </c>
      <c r="F21" s="1277">
        <f>Metrics!F15</f>
        <v>10629</v>
      </c>
      <c r="G21" s="1277">
        <f>Metrics!G15</f>
        <v>11269</v>
      </c>
      <c r="H21" s="1277">
        <f>Metrics!H15</f>
        <v>12512</v>
      </c>
      <c r="I21" s="1277">
        <f>Metrics!I15</f>
        <v>13688</v>
      </c>
      <c r="J21" s="1277">
        <f>Metrics!K15</f>
        <v>13928</v>
      </c>
      <c r="K21" s="1277">
        <f>Metrics!L15</f>
        <v>15470</v>
      </c>
      <c r="L21" s="1256"/>
      <c r="M21" s="1256"/>
      <c r="N21" s="1256"/>
      <c r="O21" s="558"/>
      <c r="P21" s="1271">
        <f>Metrics!Q15</f>
        <v>12324</v>
      </c>
      <c r="Q21" s="1271">
        <f>Metrics!R15</f>
        <v>17255</v>
      </c>
      <c r="R21" s="1271">
        <f>Metrics!S15</f>
        <v>20754</v>
      </c>
      <c r="S21" s="1271">
        <f>Metrics!T15</f>
        <v>26165</v>
      </c>
      <c r="T21" s="1269"/>
      <c r="U21" s="471"/>
      <c r="V21" s="471"/>
      <c r="W21" s="471"/>
      <c r="X21" s="471"/>
      <c r="Y21" s="1055"/>
      <c r="AA21" s="287"/>
      <c r="AB21" s="159"/>
      <c r="AC21" s="408"/>
      <c r="AD21" s="408"/>
      <c r="AE21" s="408"/>
      <c r="AF21" s="408"/>
      <c r="AG21" s="408"/>
      <c r="AH21" s="408"/>
      <c r="AI21" s="168"/>
    </row>
    <row r="22" spans="2:35" s="570" customFormat="1" ht="25.5" customHeight="1" x14ac:dyDescent="0.3">
      <c r="B22" s="1049" t="s">
        <v>1381</v>
      </c>
      <c r="C22" s="1264">
        <f>Metrics!C24</f>
        <v>332.15122808626302</v>
      </c>
      <c r="D22" s="1264">
        <f>Metrics!D24</f>
        <v>342.35120688470397</v>
      </c>
      <c r="E22" s="1264">
        <f>Metrics!E24</f>
        <v>317.13061813241899</v>
      </c>
      <c r="F22" s="1264">
        <f>Metrics!F24</f>
        <v>349.60548144537842</v>
      </c>
      <c r="G22" s="1264">
        <f>Metrics!G24</f>
        <v>342.91239861567124</v>
      </c>
      <c r="H22" s="1264">
        <f>Metrics!H24</f>
        <v>337.20359414961638</v>
      </c>
      <c r="I22" s="1264">
        <f>Metrics!I24</f>
        <v>301.49433810637061</v>
      </c>
      <c r="J22" s="1264">
        <f>Metrics!K24</f>
        <v>334.72119902354962</v>
      </c>
      <c r="K22" s="1264">
        <f>Metrics!L24</f>
        <v>297.19033872010345</v>
      </c>
      <c r="L22" s="1265"/>
      <c r="M22" s="1265"/>
      <c r="N22" s="1265"/>
      <c r="O22" s="1266"/>
      <c r="P22" s="1270"/>
      <c r="Q22" s="1270"/>
      <c r="R22" s="1267">
        <f>Metrics!S24</f>
        <v>1341.2385345487644</v>
      </c>
      <c r="S22" s="1267">
        <f>Metrics!T24</f>
        <v>1316.331529895208</v>
      </c>
      <c r="T22" s="1267">
        <f>Metrics!U24</f>
        <v>1374.253398484132</v>
      </c>
      <c r="U22" s="471"/>
      <c r="V22" s="471"/>
      <c r="W22" s="471"/>
      <c r="X22" s="471"/>
      <c r="Y22" s="1055"/>
      <c r="AA22" s="287"/>
      <c r="AB22" s="159"/>
      <c r="AC22" s="408"/>
      <c r="AD22" s="408"/>
      <c r="AE22" s="408"/>
      <c r="AF22" s="408"/>
      <c r="AG22" s="408"/>
      <c r="AH22" s="408"/>
      <c r="AI22" s="168"/>
    </row>
    <row r="23" spans="2:35" s="570" customFormat="1" ht="25.5" hidden="1" customHeight="1" outlineLevel="1" x14ac:dyDescent="0.3">
      <c r="B23" s="1049"/>
      <c r="C23" s="159"/>
      <c r="D23" s="159"/>
      <c r="E23" s="159"/>
      <c r="F23" s="159"/>
      <c r="G23" s="159"/>
      <c r="H23" s="159"/>
      <c r="I23" s="159"/>
      <c r="J23" s="159"/>
      <c r="K23" s="159"/>
      <c r="L23" s="159"/>
      <c r="M23" s="159"/>
      <c r="N23" s="159"/>
      <c r="O23" s="558"/>
      <c r="P23" s="471"/>
      <c r="Q23" s="471"/>
      <c r="R23" s="471"/>
      <c r="S23" s="471"/>
      <c r="T23" s="471"/>
      <c r="U23" s="471"/>
      <c r="V23" s="471"/>
      <c r="W23" s="471"/>
      <c r="X23" s="471"/>
      <c r="Y23" s="1055"/>
      <c r="AA23" s="287"/>
      <c r="AB23" s="159"/>
      <c r="AC23" s="408"/>
      <c r="AD23" s="408"/>
      <c r="AE23" s="408"/>
      <c r="AF23" s="408"/>
      <c r="AG23" s="408"/>
      <c r="AH23" s="408"/>
      <c r="AI23" s="168"/>
    </row>
    <row r="24" spans="2:35" ht="25.5" hidden="1" customHeight="1" outlineLevel="1" x14ac:dyDescent="0.3">
      <c r="B24" s="1049" t="s">
        <v>165</v>
      </c>
      <c r="C24" s="159">
        <f>'BS - Monthly'!H8</f>
        <v>1562923.57</v>
      </c>
      <c r="D24" s="159">
        <f>'BS - Monthly'!K8</f>
        <v>2439482.09</v>
      </c>
      <c r="E24" s="159">
        <f>'BS - Monthly'!N8</f>
        <v>2469471.3199999998</v>
      </c>
      <c r="F24" s="159">
        <f>'BS - Monthly'!Q8</f>
        <v>5762942.2999999998</v>
      </c>
      <c r="G24" s="159">
        <f>'BS - Monthly'!T8</f>
        <v>6700298.6899999995</v>
      </c>
      <c r="H24" s="159">
        <f>'BS - Monthly'!W8</f>
        <v>6551019.1999999993</v>
      </c>
      <c r="I24" s="159">
        <f>'BS - Monthly'!Z8</f>
        <v>5413089.0899999999</v>
      </c>
      <c r="J24" s="159">
        <f>'BS - Monthly'!AC8</f>
        <v>3801829.25</v>
      </c>
      <c r="K24" s="159">
        <f>'BS - Monthly'!AF8</f>
        <v>3401813.99</v>
      </c>
      <c r="L24" s="159">
        <f ca="1">'BS - Monthly'!AI8</f>
        <v>2508424.2691714419</v>
      </c>
      <c r="M24" s="159">
        <f ca="1">'BS - Monthly'!AL8</f>
        <v>1771441.0418700925</v>
      </c>
      <c r="N24" s="159">
        <f ca="1">'BS - Monthly'!AO8</f>
        <v>2047379.2653167362</v>
      </c>
      <c r="O24" s="562"/>
      <c r="P24" s="471">
        <v>1546119</v>
      </c>
      <c r="Q24" s="471">
        <v>1662215</v>
      </c>
      <c r="R24" s="471">
        <f>F24</f>
        <v>5762942.2999999998</v>
      </c>
      <c r="S24" s="471">
        <f>J24</f>
        <v>3801829.25</v>
      </c>
      <c r="T24" s="471">
        <f ca="1">N24</f>
        <v>2047379.2653167362</v>
      </c>
      <c r="U24" s="471">
        <f ca="1">T24+(U6*4%)</f>
        <v>3768974.9465753324</v>
      </c>
      <c r="V24" s="471">
        <f ca="1">U24+(V6*4%)</f>
        <v>6030890.2063603606</v>
      </c>
      <c r="W24" s="471">
        <f ca="1">V24+(W6*4%)</f>
        <v>10030931.119790366</v>
      </c>
      <c r="X24" s="471">
        <f ca="1">W24+(X6*4%)</f>
        <v>15430986.352920871</v>
      </c>
      <c r="Y24" s="1055">
        <f ca="1">X24+(Y6*4%)</f>
        <v>22721060.917647056</v>
      </c>
      <c r="AB24" s="469">
        <f>'BS - Monthly'!U8</f>
        <v>6699346.2999999998</v>
      </c>
      <c r="AC24" s="408"/>
      <c r="AD24" s="408"/>
      <c r="AE24" s="408"/>
      <c r="AF24" s="408"/>
      <c r="AG24" s="408"/>
      <c r="AH24" s="408"/>
      <c r="AI24" s="168"/>
    </row>
    <row r="25" spans="2:35" s="437" customFormat="1" ht="25.5" hidden="1" customHeight="1" outlineLevel="1" x14ac:dyDescent="0.3">
      <c r="B25" s="1049" t="s">
        <v>563</v>
      </c>
      <c r="C25" s="159">
        <f>C65</f>
        <v>3306031.2199999997</v>
      </c>
      <c r="D25" s="159">
        <f>D65</f>
        <v>4561317.6500000004</v>
      </c>
      <c r="E25" s="159">
        <f>E65</f>
        <v>4035022.7700000005</v>
      </c>
      <c r="F25" s="159">
        <f>F65</f>
        <v>4304869.9800000004</v>
      </c>
      <c r="G25" s="159">
        <f>C66</f>
        <v>4328898</v>
      </c>
      <c r="H25" s="159">
        <f>D66</f>
        <v>4175823.87</v>
      </c>
      <c r="I25" s="159">
        <f>E66</f>
        <v>4239557</v>
      </c>
      <c r="J25" s="159">
        <f>F66</f>
        <v>4009253.59</v>
      </c>
      <c r="K25" s="159">
        <f>C67</f>
        <v>4752797.9000000004</v>
      </c>
      <c r="L25" s="159">
        <f ca="1">D67</f>
        <v>7166011.1763587259</v>
      </c>
      <c r="M25" s="159">
        <f ca="1">E67</f>
        <v>6149277.7166823708</v>
      </c>
      <c r="N25" s="159">
        <f ca="1">F67</f>
        <v>7212700.1073074685</v>
      </c>
      <c r="O25" s="558"/>
      <c r="P25" s="471">
        <f>G63</f>
        <v>10089524.459999997</v>
      </c>
      <c r="Q25" s="471">
        <f>G64</f>
        <v>11842064.920000002</v>
      </c>
      <c r="R25" s="471">
        <f>G65</f>
        <v>16209253.620000001</v>
      </c>
      <c r="S25" s="471">
        <f>SUM(G25:J25)</f>
        <v>16753532.460000001</v>
      </c>
      <c r="T25" s="471">
        <f ca="1">SUM(K25:N25)</f>
        <v>25280786.900348563</v>
      </c>
      <c r="U25" s="471">
        <f ca="1">G68</f>
        <v>46150728.464074105</v>
      </c>
      <c r="V25" s="471"/>
      <c r="W25" s="471"/>
      <c r="X25" s="471"/>
      <c r="Y25" s="1055"/>
      <c r="AA25" s="287"/>
      <c r="AB25" s="159"/>
      <c r="AC25" s="408"/>
      <c r="AD25" s="408"/>
      <c r="AE25" s="408"/>
      <c r="AF25" s="408"/>
      <c r="AG25" s="408"/>
      <c r="AH25" s="408"/>
      <c r="AI25" s="168"/>
    </row>
    <row r="26" spans="2:35" ht="25.5" hidden="1" customHeight="1" outlineLevel="1" x14ac:dyDescent="0.3">
      <c r="B26" s="1049" t="s">
        <v>91</v>
      </c>
      <c r="C26" s="589">
        <f>'BS - Monthly'!H9+'BS - Monthly'!H10</f>
        <v>191231.68</v>
      </c>
      <c r="D26" s="159">
        <f>'BS - Monthly'!K9+'BS - Monthly'!K10</f>
        <v>470798.19</v>
      </c>
      <c r="E26" s="159">
        <f>'BS - Monthly'!N9+'BS - Monthly'!N10</f>
        <v>107082.9</v>
      </c>
      <c r="F26" s="159">
        <f>'BS - Monthly'!Q9+'BS - Monthly'!Q10</f>
        <v>122001.32</v>
      </c>
      <c r="G26" s="159">
        <f>'BS - Monthly'!T9+'BS - Monthly'!T10</f>
        <v>168475.67</v>
      </c>
      <c r="H26" s="159">
        <f>'BS - Monthly'!W9+'BS - Monthly'!W10</f>
        <v>96790.7</v>
      </c>
      <c r="I26" s="159">
        <f>'BS - Monthly'!Z9+'BS - Monthly'!Z10</f>
        <v>203163.07</v>
      </c>
      <c r="J26" s="159">
        <f>'BS - Monthly'!AC9+'BS - Monthly'!AC10</f>
        <v>62844.36</v>
      </c>
      <c r="K26" s="159">
        <f>'BS - Monthly'!AF9+'BS - Monthly'!AF10</f>
        <v>213965.93</v>
      </c>
      <c r="L26" s="159">
        <f>'BS - Monthly'!AI9+'BS - Monthly'!AI10</f>
        <v>216758.58425608714</v>
      </c>
      <c r="M26" s="159">
        <f>'BS - Monthly'!AL9+'BS - Monthly'!AL10</f>
        <v>261128.50002527802</v>
      </c>
      <c r="N26" s="159">
        <f>'BS - Monthly'!AO9+'BS - Monthly'!AO10</f>
        <v>270331.89567195036</v>
      </c>
      <c r="O26" s="562"/>
      <c r="P26" s="471" t="s">
        <v>233</v>
      </c>
      <c r="Q26" s="471" t="s">
        <v>233</v>
      </c>
      <c r="R26" s="471">
        <f>F26</f>
        <v>122001.32</v>
      </c>
      <c r="S26" s="471">
        <f>J26</f>
        <v>62844.36</v>
      </c>
      <c r="T26" s="471">
        <f>N26</f>
        <v>270331.89567195036</v>
      </c>
      <c r="U26" s="471">
        <f>T26</f>
        <v>270331.89567195036</v>
      </c>
      <c r="V26" s="471">
        <f>U26</f>
        <v>270331.89567195036</v>
      </c>
      <c r="W26" s="471">
        <f>V26</f>
        <v>270331.89567195036</v>
      </c>
      <c r="X26" s="471">
        <f>W26</f>
        <v>270331.89567195036</v>
      </c>
      <c r="Y26" s="1055">
        <f>X26</f>
        <v>270331.89567195036</v>
      </c>
      <c r="AB26" s="469">
        <f>'BS - Monthly'!U9</f>
        <v>181522.59</v>
      </c>
      <c r="AC26" s="408"/>
      <c r="AD26" s="408"/>
      <c r="AE26" s="408"/>
      <c r="AF26" s="408"/>
      <c r="AG26" s="408"/>
      <c r="AH26" s="408"/>
      <c r="AI26" s="168"/>
    </row>
    <row r="27" spans="2:35" ht="25.5" hidden="1" customHeight="1" outlineLevel="1" x14ac:dyDescent="0.3">
      <c r="B27" s="1049" t="s">
        <v>166</v>
      </c>
      <c r="C27" s="460">
        <f>C26/('P&amp;L - Qtrly'!C12)*90</f>
        <v>5.2641290222418906</v>
      </c>
      <c r="D27" s="460">
        <f>D26/('P&amp;L - Qtrly'!D12)*90</f>
        <v>11.681732569468885</v>
      </c>
      <c r="E27" s="460">
        <f>E26/('P&amp;L - Qtrly'!E12)*90</f>
        <v>2.6899455019711622</v>
      </c>
      <c r="F27" s="460">
        <f>F26/('P&amp;L - Qtrly'!F12)*90</f>
        <v>2.5389711171055778</v>
      </c>
      <c r="G27" s="460">
        <f>G26/('P&amp;L - Qtrly'!G12)*90</f>
        <v>3.9238385951046379</v>
      </c>
      <c r="H27" s="460">
        <f>H26/('P&amp;L - Qtrly'!H12)*90</f>
        <v>2.0647011965517112</v>
      </c>
      <c r="I27" s="460">
        <f>I26/('P&amp;L - Qtrly'!I12)*90</f>
        <v>4.4306568840747831</v>
      </c>
      <c r="J27" s="460">
        <f>J26/('P&amp;L - Qtrly'!J12)*90</f>
        <v>1.2132124001473481</v>
      </c>
      <c r="K27" s="460">
        <f>K26/('P&amp;L - Qtrly'!K12)*90</f>
        <v>4.1885348619914877</v>
      </c>
      <c r="L27" s="460">
        <f>L26/('P&amp;L - Qtrly'!L12)*90</f>
        <v>3.5136991716226982</v>
      </c>
      <c r="M27" s="460">
        <f>M26/('P&amp;L - Qtrly'!M12)*90</f>
        <v>3.6859988692849406</v>
      </c>
      <c r="N27" s="460">
        <f>N26/('P&amp;L - Qtrly'!N12)*90</f>
        <v>3.2653984246329357</v>
      </c>
      <c r="O27" s="564"/>
      <c r="P27" s="1251">
        <v>5</v>
      </c>
      <c r="Q27" s="1251">
        <v>5</v>
      </c>
      <c r="R27" s="1251">
        <f>AVERAGE(C27:F27)</f>
        <v>5.5436945526968788</v>
      </c>
      <c r="S27" s="1251">
        <f>AVERAGE(G27:J27)</f>
        <v>2.9081022689696203</v>
      </c>
      <c r="T27" s="1251">
        <v>5</v>
      </c>
      <c r="U27" s="471"/>
      <c r="V27" s="471"/>
      <c r="W27" s="471"/>
      <c r="X27" s="471"/>
      <c r="Y27" s="1055"/>
      <c r="AB27" s="460"/>
      <c r="AC27" s="411"/>
      <c r="AD27" s="411"/>
      <c r="AE27" s="411"/>
      <c r="AF27" s="411"/>
      <c r="AG27" s="411"/>
      <c r="AH27" s="411"/>
      <c r="AI27" s="168"/>
    </row>
    <row r="28" spans="2:35" ht="25.5" customHeight="1" collapsed="1" x14ac:dyDescent="0.3">
      <c r="B28" s="1049" t="s">
        <v>184</v>
      </c>
      <c r="C28" s="460">
        <f>AVERAGE('HC Summary'!C14:E14)</f>
        <v>38</v>
      </c>
      <c r="D28" s="460">
        <f>AVERAGE('HC Summary'!F14:H14)</f>
        <v>41</v>
      </c>
      <c r="E28" s="460">
        <f>AVERAGE('HC Summary'!I14:K14)</f>
        <v>44.666666666666664</v>
      </c>
      <c r="F28" s="460">
        <f>AVERAGE('HC Summary'!L14:N14)</f>
        <v>46.666666666666664</v>
      </c>
      <c r="G28" s="460">
        <f>AVERAGE('HC Summary'!O14:Q14)</f>
        <v>51</v>
      </c>
      <c r="H28" s="460">
        <f>AVERAGE('HC Summary'!R14:T14)</f>
        <v>60</v>
      </c>
      <c r="I28" s="460">
        <f>AVERAGE('HC Summary'!U14:W14)</f>
        <v>61.333333333333336</v>
      </c>
      <c r="J28" s="460">
        <f>AVERAGE('HC Summary'!X14:Z14)</f>
        <v>62.333333333333336</v>
      </c>
      <c r="K28" s="460">
        <f>AVERAGE('HC Summary'!AA14:AC14)</f>
        <v>69.333333333333329</v>
      </c>
      <c r="L28" s="460">
        <f>AVERAGE('HC Summary'!AD14:AF14)</f>
        <v>83</v>
      </c>
      <c r="M28" s="460">
        <f>AVERAGE('HC Summary'!AG14:AI14)</f>
        <v>89</v>
      </c>
      <c r="N28" s="460">
        <f>AVERAGE('HC Summary'!AJ14:AL14)</f>
        <v>89</v>
      </c>
      <c r="O28" s="564"/>
      <c r="P28" s="1272">
        <v>20</v>
      </c>
      <c r="Q28" s="1272">
        <v>28</v>
      </c>
      <c r="R28" s="1272">
        <f>AVERAGE('HC Summary'!C14:N14)</f>
        <v>42.583333333333336</v>
      </c>
      <c r="S28" s="1272">
        <f>AVERAGE('HC Summary'!O14:Z14)</f>
        <v>58.666666666666664</v>
      </c>
      <c r="T28" s="1272">
        <f>AVERAGE('HC Summary'!AA14:AL14)</f>
        <v>82.583333333333329</v>
      </c>
      <c r="U28" s="1272">
        <f>U6/U29</f>
        <v>162.26627309080715</v>
      </c>
      <c r="V28" s="591">
        <f>V6/V29</f>
        <v>213.1932388353909</v>
      </c>
      <c r="W28" s="591">
        <f>W6/W29</f>
        <v>377.01751828194756</v>
      </c>
      <c r="X28" s="591">
        <f>X6/X29</f>
        <v>508.97364968062919</v>
      </c>
      <c r="Y28" s="1060">
        <f>Y6/Y29</f>
        <v>687.11442706884941</v>
      </c>
      <c r="AB28" s="484">
        <v>52</v>
      </c>
      <c r="AC28" s="413"/>
      <c r="AD28" s="413"/>
      <c r="AE28" s="413"/>
      <c r="AF28" s="413"/>
      <c r="AG28" s="413"/>
      <c r="AH28" s="413"/>
      <c r="AI28" s="168"/>
    </row>
    <row r="29" spans="2:35" ht="25.5" customHeight="1" x14ac:dyDescent="0.3">
      <c r="B29" s="1049" t="s">
        <v>1150</v>
      </c>
      <c r="C29" s="159">
        <f>C8/C28*4</f>
        <v>318900.14224997949</v>
      </c>
      <c r="D29" s="159">
        <f>D8/D28*4</f>
        <v>325450.74730581028</v>
      </c>
      <c r="E29" s="159">
        <f t="shared" ref="E29:N29" si="13">E8/E28*4</f>
        <v>281129.19303517754</v>
      </c>
      <c r="F29" s="159">
        <f t="shared" si="13"/>
        <v>318510.57105282234</v>
      </c>
      <c r="G29" s="159">
        <f t="shared" si="13"/>
        <v>303080.7701960784</v>
      </c>
      <c r="H29" s="159">
        <f t="shared" si="13"/>
        <v>281272.75800000003</v>
      </c>
      <c r="I29" s="159">
        <f t="shared" si="13"/>
        <v>269142.6847826087</v>
      </c>
      <c r="J29" s="159">
        <f t="shared" si="13"/>
        <v>299165.57390374329</v>
      </c>
      <c r="K29" s="159">
        <f t="shared" si="13"/>
        <v>265242.37730769231</v>
      </c>
      <c r="L29" s="159">
        <f t="shared" si="13"/>
        <v>267569.21094400209</v>
      </c>
      <c r="M29" s="159">
        <f t="shared" si="13"/>
        <v>286557.36203920876</v>
      </c>
      <c r="N29" s="159">
        <f t="shared" si="13"/>
        <v>334867.9666649889</v>
      </c>
      <c r="O29" s="558"/>
      <c r="P29" s="471">
        <v>488217.65</v>
      </c>
      <c r="Q29" s="471">
        <v>425491.64285714284</v>
      </c>
      <c r="R29" s="471">
        <f>R8/R28</f>
        <v>310465.45978321182</v>
      </c>
      <c r="S29" s="471">
        <f>S8/S28</f>
        <v>287594.70255681814</v>
      </c>
      <c r="T29" s="471">
        <f>T8/T28</f>
        <v>290328.66878817085</v>
      </c>
      <c r="U29" s="471">
        <f>MIN(G29:T29)</f>
        <v>265242.37730769231</v>
      </c>
      <c r="V29" s="487">
        <f t="shared" ref="V29:Y30" si="14">U29</f>
        <v>265242.37730769231</v>
      </c>
      <c r="W29" s="487">
        <f t="shared" si="14"/>
        <v>265242.37730769231</v>
      </c>
      <c r="X29" s="487">
        <f t="shared" si="14"/>
        <v>265242.37730769231</v>
      </c>
      <c r="Y29" s="1061">
        <f t="shared" si="14"/>
        <v>265242.37730769231</v>
      </c>
      <c r="AB29" s="159">
        <f>(AB6/AB28)*12</f>
        <v>343827.30461538467</v>
      </c>
      <c r="AC29" s="408"/>
      <c r="AD29" s="408"/>
      <c r="AE29" s="408"/>
      <c r="AF29" s="408"/>
      <c r="AG29" s="408"/>
      <c r="AH29" s="408"/>
      <c r="AI29" s="168"/>
    </row>
    <row r="30" spans="2:35" ht="25.5" customHeight="1" x14ac:dyDescent="0.3">
      <c r="B30" s="1049" t="s">
        <v>239</v>
      </c>
      <c r="C30" s="1276">
        <f>C19/C8</f>
        <v>0.36349720795624313</v>
      </c>
      <c r="D30" s="1276">
        <f t="shared" ref="D30:N30" si="15">D19/D8</f>
        <v>0.22996081613713143</v>
      </c>
      <c r="E30" s="1276">
        <f t="shared" si="15"/>
        <v>0.10137249423713568</v>
      </c>
      <c r="F30" s="1276">
        <f t="shared" si="15"/>
        <v>2.8416629801165595E-3</v>
      </c>
      <c r="G30" s="1276">
        <f t="shared" si="15"/>
        <v>0.15014308151214564</v>
      </c>
      <c r="H30" s="1276">
        <f t="shared" si="15"/>
        <v>0.11029072119857891</v>
      </c>
      <c r="I30" s="1276">
        <f t="shared" si="15"/>
        <v>-0.19267527847177537</v>
      </c>
      <c r="J30" s="1276">
        <f t="shared" si="15"/>
        <v>3.9375798721580257E-2</v>
      </c>
      <c r="K30" s="1276">
        <f t="shared" si="15"/>
        <v>-4.6457238796513901E-2</v>
      </c>
      <c r="L30" s="1276">
        <f t="shared" ca="1" si="15"/>
        <v>-0.25205376433619597</v>
      </c>
      <c r="M30" s="1276">
        <f t="shared" ca="1" si="15"/>
        <v>-6.7123783804851872E-2</v>
      </c>
      <c r="N30" s="1276">
        <f t="shared" ca="1" si="15"/>
        <v>8.3421706007351326E-2</v>
      </c>
      <c r="O30" s="565"/>
      <c r="P30" s="1273">
        <v>0.43123707223612257</v>
      </c>
      <c r="Q30" s="1273">
        <v>0.37100955315053191</v>
      </c>
      <c r="R30" s="1273">
        <f>R19/R8</f>
        <v>0.16619061270795779</v>
      </c>
      <c r="S30" s="1273">
        <f>S19/S8</f>
        <v>2.5719701047921491E-2</v>
      </c>
      <c r="T30" s="1273">
        <f ca="1">T19/T8</f>
        <v>-5.9201013980156036E-2</v>
      </c>
      <c r="U30" s="1273">
        <v>0.3</v>
      </c>
      <c r="V30" s="137">
        <f t="shared" si="14"/>
        <v>0.3</v>
      </c>
      <c r="W30" s="137">
        <f t="shared" si="14"/>
        <v>0.3</v>
      </c>
      <c r="X30" s="137">
        <f t="shared" si="14"/>
        <v>0.3</v>
      </c>
      <c r="Y30" s="1062">
        <f t="shared" si="14"/>
        <v>0.3</v>
      </c>
      <c r="AB30" s="485">
        <f>AB19/AB6</f>
        <v>0.19838041188727729</v>
      </c>
    </row>
    <row r="31" spans="2:35" ht="21.75" hidden="1" customHeight="1" outlineLevel="1" collapsed="1" x14ac:dyDescent="0.3">
      <c r="B31" s="1089" t="s">
        <v>376</v>
      </c>
      <c r="C31" s="1090"/>
      <c r="D31" s="1091"/>
      <c r="E31" s="1091"/>
      <c r="F31" s="1091"/>
      <c r="G31" s="1091"/>
      <c r="H31" s="1091"/>
      <c r="I31" s="1091"/>
      <c r="J31" s="1091"/>
      <c r="K31" s="1091"/>
      <c r="L31" s="1091"/>
      <c r="M31" s="1091"/>
      <c r="N31" s="1092"/>
      <c r="O31" s="1093"/>
      <c r="P31" s="1274">
        <v>0.65473468799098833</v>
      </c>
      <c r="Q31" s="1274">
        <f>((Q8/1000000)^(1/4))-1</f>
        <v>0.7747303345175085</v>
      </c>
      <c r="R31" s="1274">
        <f>((R8/2832064)^(1/4))-1</f>
        <v>0.46989891832899877</v>
      </c>
      <c r="S31" s="1274">
        <f>((S8/4272135)^(1/5))-1</f>
        <v>0.31615023439247447</v>
      </c>
      <c r="T31" s="1274">
        <f>((T8/5655161)^(1/5))-1</f>
        <v>0.33495759804013736</v>
      </c>
      <c r="U31" s="1274">
        <v>0.35</v>
      </c>
      <c r="V31" s="592">
        <f>((U6/Q6)^(1/5))-1</f>
        <v>0.31384812613576263</v>
      </c>
      <c r="W31" s="592">
        <f>((V6/C6)^(1/5))-1</f>
        <v>0.76843093308905241</v>
      </c>
      <c r="X31" s="592">
        <v>0.35</v>
      </c>
      <c r="Y31" s="1063">
        <v>0.35</v>
      </c>
      <c r="AB31" s="461"/>
    </row>
    <row r="32" spans="2:35" ht="17.25" hidden="1" customHeight="1" outlineLevel="1" x14ac:dyDescent="0.3">
      <c r="B32" s="1064" t="s">
        <v>240</v>
      </c>
      <c r="C32" s="1065"/>
      <c r="D32" s="1088"/>
      <c r="E32" s="1088"/>
      <c r="F32" s="1088"/>
      <c r="G32" s="1088"/>
      <c r="H32" s="1088"/>
      <c r="I32" s="1088"/>
      <c r="J32" s="1088"/>
      <c r="K32" s="1088"/>
      <c r="L32" s="1088"/>
      <c r="M32" s="1088"/>
      <c r="N32" s="1066"/>
      <c r="O32" s="1067"/>
      <c r="P32" s="1275">
        <v>0.45829457086073577</v>
      </c>
      <c r="Q32" s="1275">
        <v>1.3035645651037875</v>
      </c>
      <c r="R32" s="1275">
        <f>R31</f>
        <v>0.46989891832899877</v>
      </c>
      <c r="S32" s="1275">
        <f>S31</f>
        <v>0.31615023439247447</v>
      </c>
      <c r="T32" s="1275">
        <f>T31</f>
        <v>0.33495759804013736</v>
      </c>
      <c r="U32" s="1275">
        <v>0.35</v>
      </c>
      <c r="V32" s="1068">
        <v>0.35</v>
      </c>
      <c r="W32" s="1068">
        <v>0.35</v>
      </c>
      <c r="X32" s="1068">
        <v>0.35</v>
      </c>
      <c r="Y32" s="1069">
        <v>0.35</v>
      </c>
      <c r="AB32" s="486"/>
    </row>
    <row r="33" spans="1:32" s="570" customFormat="1" ht="12.75" customHeight="1" collapsed="1" x14ac:dyDescent="0.3">
      <c r="C33" s="504" t="s">
        <v>1380</v>
      </c>
      <c r="D33" s="504"/>
      <c r="E33" s="504"/>
      <c r="F33" s="504"/>
      <c r="G33" s="61"/>
      <c r="H33" s="61"/>
      <c r="I33" s="61"/>
      <c r="J33" s="61"/>
      <c r="K33" s="61"/>
      <c r="L33" s="61"/>
      <c r="M33" s="61"/>
      <c r="N33" s="61"/>
      <c r="O33" s="61"/>
      <c r="P33" s="61"/>
      <c r="Q33" s="61"/>
      <c r="R33" s="61"/>
      <c r="S33" s="61"/>
      <c r="T33" s="61"/>
      <c r="U33" s="167"/>
      <c r="AA33" s="287"/>
      <c r="AB33" s="287"/>
      <c r="AC33" s="287"/>
      <c r="AD33" s="287"/>
      <c r="AE33" s="287"/>
      <c r="AF33" s="287"/>
    </row>
    <row r="34" spans="1:32" ht="17.25" customHeight="1" x14ac:dyDescent="0.3">
      <c r="B34" s="450"/>
      <c r="C34" s="504" t="s">
        <v>1382</v>
      </c>
      <c r="P34" s="10"/>
      <c r="Q34" s="425"/>
      <c r="R34" s="425"/>
      <c r="S34" s="425"/>
      <c r="T34" s="425"/>
      <c r="U34" s="138"/>
    </row>
    <row r="35" spans="1:32" ht="12.75" customHeight="1" x14ac:dyDescent="0.3">
      <c r="C35" s="504"/>
      <c r="D35" s="504"/>
      <c r="E35" s="504"/>
      <c r="F35" s="504"/>
      <c r="G35" s="61"/>
      <c r="H35" s="61"/>
      <c r="I35" s="61"/>
      <c r="J35" s="61"/>
      <c r="K35" s="61"/>
      <c r="L35" s="61"/>
      <c r="M35" s="61"/>
      <c r="N35" s="61"/>
      <c r="O35" s="61"/>
      <c r="P35" s="61"/>
      <c r="Q35" s="61"/>
      <c r="R35" s="61"/>
      <c r="S35" s="61"/>
      <c r="T35" s="61"/>
      <c r="U35" s="167"/>
    </row>
    <row r="36" spans="1:32" ht="14.25" customHeight="1" thickBot="1" x14ac:dyDescent="0.3">
      <c r="C36" s="407"/>
      <c r="D36" s="407"/>
      <c r="E36" s="407"/>
      <c r="F36" s="407"/>
      <c r="G36" s="407"/>
      <c r="H36" s="407"/>
      <c r="I36" s="407"/>
      <c r="J36" s="407"/>
      <c r="K36" s="407"/>
      <c r="L36" s="407"/>
      <c r="M36" s="407"/>
      <c r="N36" s="407"/>
      <c r="O36" s="407"/>
      <c r="Q36" s="407"/>
      <c r="R36" s="407"/>
      <c r="S36" s="407"/>
      <c r="T36" s="407"/>
      <c r="U36" s="1336" t="s">
        <v>435</v>
      </c>
      <c r="V36" s="1336"/>
      <c r="W36" s="1336"/>
      <c r="X36" s="1336"/>
      <c r="Y36" s="1336"/>
    </row>
    <row r="37" spans="1:32" ht="15.75" x14ac:dyDescent="0.25">
      <c r="B37" s="135" t="s">
        <v>500</v>
      </c>
      <c r="C37" s="135"/>
      <c r="F37" s="1331" t="s">
        <v>756</v>
      </c>
      <c r="G37" s="1332"/>
      <c r="H37" s="1332"/>
      <c r="I37" s="1332"/>
      <c r="T37" s="138"/>
    </row>
    <row r="38" spans="1:32" ht="37.5" x14ac:dyDescent="0.3">
      <c r="B38" s="162" t="s">
        <v>448</v>
      </c>
      <c r="C38" s="162" t="str">
        <f>Sensativities!B18</f>
        <v>Historical</v>
      </c>
      <c r="D38" s="172"/>
      <c r="E38" s="172"/>
      <c r="F38" s="160">
        <v>3971670.3548373305</v>
      </c>
      <c r="G38" s="160">
        <v>4239050.4529356854</v>
      </c>
      <c r="H38" s="160">
        <v>4740492.2714086911</v>
      </c>
      <c r="I38" s="160">
        <v>5604399</v>
      </c>
      <c r="J38" s="172"/>
      <c r="S38" s="172"/>
      <c r="V38" s="406"/>
      <c r="W38" s="406"/>
    </row>
    <row r="39" spans="1:32" s="172" customFormat="1" ht="18.75" x14ac:dyDescent="0.3">
      <c r="B39" s="162" t="s">
        <v>174</v>
      </c>
      <c r="C39" s="162">
        <f>Sensativities!B45</f>
        <v>0</v>
      </c>
      <c r="D39" s="311">
        <f>AVERAGE(Sensativities!P45:AA45)</f>
        <v>358.39313813278227</v>
      </c>
      <c r="O39" s="437"/>
      <c r="S39" s="307"/>
      <c r="T39" s="307"/>
      <c r="U39" s="307"/>
      <c r="V39" s="307"/>
      <c r="AA39" s="287"/>
      <c r="AB39" s="287"/>
      <c r="AC39" s="287"/>
      <c r="AD39" s="287"/>
      <c r="AE39" s="287"/>
      <c r="AF39" s="287"/>
    </row>
    <row r="40" spans="1:32" s="172" customFormat="1" ht="18.75" x14ac:dyDescent="0.3">
      <c r="B40" s="162" t="s">
        <v>449</v>
      </c>
      <c r="C40" s="162" t="str">
        <f>Sensativities!B46</f>
        <v>Ad Hoc</v>
      </c>
      <c r="D40" s="287" t="e">
        <f>SUM(#REF!)</f>
        <v>#REF!</v>
      </c>
      <c r="F40" s="1331" t="s">
        <v>757</v>
      </c>
      <c r="G40" s="1332"/>
      <c r="H40" s="1332"/>
      <c r="I40" s="1332"/>
      <c r="O40" s="437"/>
      <c r="U40" s="307"/>
      <c r="V40" s="307"/>
      <c r="AB40" s="287"/>
      <c r="AC40" s="287"/>
      <c r="AD40" s="287"/>
      <c r="AE40" s="287"/>
      <c r="AF40" s="287"/>
    </row>
    <row r="41" spans="1:32" s="172" customFormat="1" ht="21.75" customHeight="1" x14ac:dyDescent="0.3">
      <c r="B41" s="162" t="s">
        <v>539</v>
      </c>
      <c r="C41" s="162" t="str">
        <f>Sensativities!B55</f>
        <v>Ad Hoc</v>
      </c>
      <c r="D41" s="311">
        <f>AVERAGE(Sensativities!P55:AA55)</f>
        <v>60</v>
      </c>
      <c r="F41" s="160">
        <f>F38*0.9</f>
        <v>3574503.3193535977</v>
      </c>
      <c r="G41" s="160">
        <f>G38*0.9</f>
        <v>3815145.4076421168</v>
      </c>
      <c r="H41" s="160">
        <f>H38*0.9</f>
        <v>4266443.0442678221</v>
      </c>
      <c r="I41" s="160">
        <f>I38*0.9</f>
        <v>5043959.1000000006</v>
      </c>
      <c r="O41" s="437"/>
      <c r="V41" s="406"/>
      <c r="W41" s="406"/>
      <c r="AB41" s="287"/>
      <c r="AC41" s="287"/>
      <c r="AD41" s="287"/>
      <c r="AE41" s="287"/>
      <c r="AF41" s="287"/>
    </row>
    <row r="42" spans="1:32" s="172" customFormat="1" x14ac:dyDescent="0.25">
      <c r="B42"/>
      <c r="C42" s="133"/>
      <c r="D42"/>
      <c r="E42"/>
      <c r="F42"/>
      <c r="G42"/>
      <c r="H42"/>
      <c r="I42"/>
      <c r="J42"/>
      <c r="K42"/>
      <c r="O42" s="437"/>
      <c r="P42" s="286"/>
      <c r="Q42"/>
      <c r="R42"/>
      <c r="S42"/>
      <c r="AB42" s="287"/>
      <c r="AC42" s="287"/>
      <c r="AD42" s="287"/>
      <c r="AE42" s="287"/>
      <c r="AF42" s="287"/>
    </row>
    <row r="45" spans="1:32" x14ac:dyDescent="0.25">
      <c r="A45" s="168"/>
      <c r="B45" s="168"/>
      <c r="C45" s="168"/>
      <c r="D45" s="168"/>
      <c r="E45" s="168"/>
      <c r="F45" s="168"/>
      <c r="P45" s="168"/>
      <c r="Q45" s="168"/>
      <c r="R45" s="168"/>
    </row>
    <row r="46" spans="1:32" ht="16.5" thickBot="1" x14ac:dyDescent="0.3">
      <c r="A46" s="168"/>
      <c r="B46" s="334"/>
      <c r="C46" s="335"/>
      <c r="D46" s="336"/>
      <c r="E46" s="336"/>
      <c r="F46" s="168"/>
      <c r="G46" s="151"/>
      <c r="H46" s="151"/>
      <c r="I46" s="151"/>
      <c r="J46" s="151"/>
      <c r="K46" s="151"/>
      <c r="P46" s="334"/>
      <c r="Q46" s="432"/>
      <c r="R46" s="337"/>
      <c r="S46" s="151"/>
    </row>
    <row r="47" spans="1:32" s="151" customFormat="1" ht="31.5" customHeight="1" x14ac:dyDescent="0.25">
      <c r="A47" s="337"/>
      <c r="B47" s="1333" t="s">
        <v>558</v>
      </c>
      <c r="C47" s="1334"/>
      <c r="D47" s="1334"/>
      <c r="E47" s="1334"/>
      <c r="F47" s="1335"/>
      <c r="G47"/>
      <c r="H47"/>
      <c r="P47" s="338"/>
      <c r="Q47" s="297"/>
      <c r="R47" s="168"/>
      <c r="S47"/>
      <c r="AA47" s="291"/>
      <c r="AB47" s="291"/>
      <c r="AC47" s="291"/>
      <c r="AD47" s="291"/>
      <c r="AE47" s="291"/>
      <c r="AF47" s="291"/>
    </row>
    <row r="48" spans="1:32" s="79" customFormat="1" ht="17.25" customHeight="1" x14ac:dyDescent="0.3">
      <c r="A48" s="168"/>
      <c r="B48" s="162"/>
      <c r="C48" s="162" t="s">
        <v>554</v>
      </c>
      <c r="D48" s="162" t="s">
        <v>555</v>
      </c>
      <c r="E48" s="162" t="s">
        <v>556</v>
      </c>
      <c r="F48" s="162" t="s">
        <v>557</v>
      </c>
      <c r="P48" s="339"/>
      <c r="Q48" s="340"/>
      <c r="R48" s="341"/>
      <c r="W48" s="289"/>
      <c r="X48" s="289"/>
      <c r="Y48" s="289"/>
      <c r="Z48" s="289"/>
      <c r="AA48" s="289"/>
      <c r="AB48" s="292"/>
      <c r="AC48" s="292"/>
      <c r="AD48" s="292"/>
      <c r="AE48" s="292"/>
      <c r="AF48" s="292"/>
    </row>
    <row r="49" spans="1:32" s="79" customFormat="1" ht="17.25" customHeight="1" x14ac:dyDescent="0.3">
      <c r="A49" s="168"/>
      <c r="B49" s="162">
        <v>2009</v>
      </c>
      <c r="C49" s="628">
        <f>(C56+C57)*0.9</f>
        <v>1205990.946</v>
      </c>
      <c r="D49" s="628">
        <f>(D56+D57)*0.9</f>
        <v>1390424.5889999999</v>
      </c>
      <c r="E49" s="628">
        <f>(E56+E57)*0.9</f>
        <v>1465667.2440000002</v>
      </c>
      <c r="F49" s="628">
        <f>(F56+F57)*0.9</f>
        <v>1552600.611</v>
      </c>
      <c r="G49" s="627">
        <f>SUM(C49:F49)</f>
        <v>5614683.3900000006</v>
      </c>
      <c r="P49" s="339"/>
      <c r="Q49" s="340"/>
      <c r="R49" s="341"/>
      <c r="W49" s="289"/>
      <c r="X49" s="289"/>
      <c r="Y49" s="289"/>
      <c r="Z49" s="289"/>
      <c r="AA49" s="289"/>
      <c r="AB49" s="292"/>
      <c r="AC49" s="292"/>
      <c r="AD49" s="292"/>
      <c r="AE49" s="292"/>
      <c r="AF49" s="292"/>
    </row>
    <row r="50" spans="1:32" s="79" customFormat="1" ht="17.25" customHeight="1" x14ac:dyDescent="0.3">
      <c r="A50" s="168"/>
      <c r="B50" s="162">
        <v>2010</v>
      </c>
      <c r="C50" s="628">
        <v>1567760.1801906913</v>
      </c>
      <c r="D50" s="628">
        <v>1899513.858118854</v>
      </c>
      <c r="E50" s="628">
        <v>2234399.8725286084</v>
      </c>
      <c r="F50" s="628">
        <v>2398639.9478380335</v>
      </c>
      <c r="G50" s="627">
        <f t="shared" ref="G50:G53" si="16">SUM(C50:F50)</f>
        <v>8100313.8586761868</v>
      </c>
      <c r="P50" s="339"/>
      <c r="Q50" s="340"/>
      <c r="R50" s="341"/>
      <c r="W50" s="289"/>
      <c r="X50" s="289"/>
      <c r="Y50" s="289"/>
      <c r="Z50" s="289"/>
      <c r="AA50" s="289"/>
      <c r="AB50" s="292"/>
      <c r="AC50" s="292"/>
      <c r="AD50" s="292"/>
      <c r="AE50" s="292"/>
      <c r="AF50" s="292"/>
    </row>
    <row r="51" spans="1:32" s="79" customFormat="1" ht="17.25" customHeight="1" x14ac:dyDescent="0.3">
      <c r="A51" s="341"/>
      <c r="B51" s="162">
        <v>2011</v>
      </c>
      <c r="C51" s="628">
        <v>2598458.1426028805</v>
      </c>
      <c r="D51" s="628">
        <v>2703864.9062274341</v>
      </c>
      <c r="E51" s="628">
        <v>2699305.9623325672</v>
      </c>
      <c r="F51" s="628">
        <v>2992107.6369076236</v>
      </c>
      <c r="G51" s="627">
        <f t="shared" si="16"/>
        <v>10993736.648070505</v>
      </c>
      <c r="P51" s="339"/>
      <c r="Q51" s="342"/>
      <c r="R51" s="341"/>
      <c r="W51" s="307"/>
      <c r="X51" s="309"/>
      <c r="AB51" s="292"/>
      <c r="AC51" s="292"/>
      <c r="AD51" s="292"/>
      <c r="AE51" s="292"/>
      <c r="AF51" s="292"/>
    </row>
    <row r="52" spans="1:32" s="79" customFormat="1" ht="17.25" customHeight="1" x14ac:dyDescent="0.3">
      <c r="A52" s="341"/>
      <c r="B52" s="162">
        <v>2012</v>
      </c>
      <c r="C52" s="628">
        <v>3269458.4664017661</v>
      </c>
      <c r="D52" s="628">
        <v>3627187.7350404416</v>
      </c>
      <c r="E52" s="628">
        <v>3582771.8416368566</v>
      </c>
      <c r="F52" s="628">
        <v>4324633.2051690742</v>
      </c>
      <c r="G52" s="627">
        <f t="shared" si="16"/>
        <v>14804051.248248139</v>
      </c>
      <c r="P52" s="338"/>
      <c r="Q52" s="297"/>
      <c r="R52" s="345"/>
      <c r="W52" s="307"/>
      <c r="X52" s="309"/>
      <c r="AB52" s="292"/>
      <c r="AC52" s="292"/>
      <c r="AD52" s="292"/>
      <c r="AE52" s="292"/>
      <c r="AF52" s="292"/>
    </row>
    <row r="53" spans="1:32" s="79" customFormat="1" ht="17.25" customHeight="1" x14ac:dyDescent="0.3">
      <c r="A53" s="168"/>
      <c r="B53" s="162">
        <v>2013</v>
      </c>
      <c r="C53" s="1007">
        <v>4300225.1927841995</v>
      </c>
      <c r="D53" s="1007">
        <v>229202.61</v>
      </c>
      <c r="E53" s="1007">
        <v>229202.61</v>
      </c>
      <c r="F53" s="1007">
        <v>229202.61</v>
      </c>
      <c r="G53" s="1008">
        <f t="shared" si="16"/>
        <v>4987833.0227842005</v>
      </c>
      <c r="H53" t="s">
        <v>1120</v>
      </c>
      <c r="I53"/>
      <c r="J53"/>
      <c r="K53"/>
      <c r="P53" s="338"/>
      <c r="Q53" s="297"/>
      <c r="R53" s="168"/>
      <c r="S53"/>
      <c r="W53" s="307"/>
      <c r="X53" s="307"/>
      <c r="Y53" s="309"/>
      <c r="Z53" s="309"/>
      <c r="AA53" s="424"/>
      <c r="AB53" s="292"/>
      <c r="AC53" s="292"/>
      <c r="AD53" s="292"/>
      <c r="AE53" s="292"/>
      <c r="AF53" s="292"/>
    </row>
    <row r="54" spans="1:32" ht="17.25" customHeight="1" x14ac:dyDescent="0.25">
      <c r="A54" s="168"/>
      <c r="B54" s="338"/>
      <c r="C54" s="297"/>
      <c r="D54" s="343"/>
      <c r="E54" s="344"/>
      <c r="F54" s="168"/>
      <c r="P54" s="338"/>
      <c r="Q54" s="297"/>
      <c r="R54" s="168"/>
    </row>
    <row r="55" spans="1:32" ht="17.25" customHeight="1" x14ac:dyDescent="0.25">
      <c r="A55" s="168"/>
      <c r="B55" s="339"/>
      <c r="C55" s="259"/>
      <c r="D55" s="346"/>
      <c r="E55" s="347"/>
      <c r="F55" s="168"/>
      <c r="P55" s="339"/>
      <c r="Q55" s="259"/>
      <c r="R55" s="168"/>
    </row>
    <row r="56" spans="1:32" ht="17.25" customHeight="1" x14ac:dyDescent="0.25">
      <c r="A56" s="168"/>
      <c r="B56" s="348" t="s">
        <v>561</v>
      </c>
      <c r="C56" s="79">
        <v>578441.38</v>
      </c>
      <c r="D56" s="79">
        <v>698500.59</v>
      </c>
      <c r="E56" s="79">
        <v>746113.3</v>
      </c>
      <c r="F56" s="79">
        <v>764032.86</v>
      </c>
      <c r="G56" s="79">
        <v>2787088.13</v>
      </c>
      <c r="H56" s="150"/>
      <c r="I56" s="150"/>
      <c r="J56" s="150"/>
      <c r="K56" s="150"/>
      <c r="P56" s="348"/>
      <c r="Q56" s="297"/>
      <c r="R56" s="168"/>
      <c r="S56" s="150"/>
    </row>
    <row r="57" spans="1:32" s="150" customFormat="1" ht="17.25" customHeight="1" x14ac:dyDescent="0.25">
      <c r="A57" s="168"/>
      <c r="B57" s="348" t="s">
        <v>560</v>
      </c>
      <c r="C57" s="79">
        <v>761548.56</v>
      </c>
      <c r="D57" s="79">
        <v>846415.62</v>
      </c>
      <c r="E57" s="79">
        <v>882405.86</v>
      </c>
      <c r="F57" s="79">
        <v>961078.93</v>
      </c>
      <c r="G57" s="79">
        <v>3451448.97</v>
      </c>
      <c r="O57" s="437"/>
      <c r="P57" s="348"/>
      <c r="Q57" s="297"/>
      <c r="R57" s="168"/>
      <c r="AA57" s="287"/>
      <c r="AB57" s="287"/>
      <c r="AC57" s="287"/>
      <c r="AD57" s="287"/>
      <c r="AE57" s="287"/>
      <c r="AF57" s="287"/>
    </row>
    <row r="58" spans="1:32" s="150" customFormat="1" ht="17.25" customHeight="1" x14ac:dyDescent="0.25">
      <c r="A58" s="168"/>
      <c r="B58" s="348"/>
      <c r="C58" s="297"/>
      <c r="D58" s="343"/>
      <c r="E58" s="344"/>
      <c r="F58" s="168"/>
      <c r="O58" s="437"/>
      <c r="P58" s="348"/>
      <c r="Q58" s="297"/>
      <c r="R58" s="168"/>
      <c r="AA58" s="287"/>
      <c r="AB58" s="287"/>
      <c r="AC58" s="287"/>
      <c r="AD58" s="287"/>
      <c r="AE58" s="287"/>
      <c r="AF58" s="287"/>
    </row>
    <row r="59" spans="1:32" s="150" customFormat="1" ht="17.25" customHeight="1" thickBot="1" x14ac:dyDescent="0.3">
      <c r="A59" s="168"/>
      <c r="B59" s="338"/>
      <c r="C59" s="297"/>
      <c r="D59" s="343"/>
      <c r="E59" s="344"/>
      <c r="F59" s="168"/>
      <c r="O59" s="437"/>
      <c r="P59" s="338"/>
      <c r="Q59" s="297"/>
      <c r="R59" s="168"/>
      <c r="AA59" s="287"/>
      <c r="AB59" s="287"/>
      <c r="AC59" s="287"/>
      <c r="AD59" s="287"/>
      <c r="AE59" s="287"/>
      <c r="AF59" s="287"/>
    </row>
    <row r="60" spans="1:32" s="150" customFormat="1" ht="17.25" customHeight="1" x14ac:dyDescent="0.25">
      <c r="A60" s="168"/>
      <c r="B60" s="1333" t="s">
        <v>564</v>
      </c>
      <c r="C60" s="1334"/>
      <c r="D60" s="1334"/>
      <c r="E60" s="1334"/>
      <c r="F60" s="1335"/>
      <c r="O60" s="437"/>
      <c r="P60" s="338"/>
      <c r="Q60" s="349"/>
      <c r="R60" s="168"/>
      <c r="AA60" s="287"/>
      <c r="AB60" s="287"/>
      <c r="AC60" s="287"/>
      <c r="AD60" s="287"/>
      <c r="AE60" s="287"/>
      <c r="AF60" s="287"/>
    </row>
    <row r="61" spans="1:32" s="150" customFormat="1" ht="17.25" customHeight="1" x14ac:dyDescent="0.3">
      <c r="A61" s="168"/>
      <c r="B61" s="162"/>
      <c r="C61" s="162" t="s">
        <v>554</v>
      </c>
      <c r="D61" s="162" t="s">
        <v>555</v>
      </c>
      <c r="E61" s="162" t="s">
        <v>556</v>
      </c>
      <c r="F61" s="162" t="s">
        <v>557</v>
      </c>
      <c r="G61"/>
      <c r="H61"/>
      <c r="I61"/>
      <c r="J61"/>
      <c r="K61"/>
      <c r="O61" s="437"/>
      <c r="P61" s="338"/>
      <c r="Q61" s="297"/>
      <c r="R61" s="168"/>
      <c r="S61"/>
      <c r="AA61" s="287"/>
      <c r="AB61" s="287"/>
      <c r="AC61" s="287"/>
      <c r="AD61" s="287"/>
      <c r="AE61" s="287"/>
      <c r="AF61" s="287"/>
    </row>
    <row r="62" spans="1:32" ht="17.25" customHeight="1" x14ac:dyDescent="0.3">
      <c r="A62" s="168"/>
      <c r="B62" s="162">
        <v>2009</v>
      </c>
      <c r="C62" s="628">
        <f>SUM(C56+C57)</f>
        <v>1339989.94</v>
      </c>
      <c r="D62" s="628">
        <f>SUM(D56+D57)</f>
        <v>1544916.21</v>
      </c>
      <c r="E62" s="628">
        <f>SUM(E56+E57)</f>
        <v>1628519.1600000001</v>
      </c>
      <c r="F62" s="628">
        <f>SUM(F56+F57)</f>
        <v>1725111.79</v>
      </c>
      <c r="G62" s="431">
        <f>SUM(C62:F62)</f>
        <v>6238537.1000000006</v>
      </c>
      <c r="H62" s="150"/>
      <c r="I62" s="150"/>
      <c r="J62" s="150"/>
      <c r="K62" s="150"/>
      <c r="P62" s="339"/>
      <c r="Q62" s="340"/>
      <c r="R62" s="168"/>
      <c r="S62" s="150"/>
    </row>
    <row r="63" spans="1:32" s="150" customFormat="1" ht="17.25" customHeight="1" x14ac:dyDescent="0.3">
      <c r="A63" s="168"/>
      <c r="B63" s="162">
        <v>2010</v>
      </c>
      <c r="C63" s="628">
        <v>2522381.1149999993</v>
      </c>
      <c r="D63" s="628">
        <v>2522381.1149999993</v>
      </c>
      <c r="E63" s="628">
        <v>2522381.1149999993</v>
      </c>
      <c r="F63" s="628">
        <v>2522381.1149999993</v>
      </c>
      <c r="G63" s="431">
        <f>SUM(C63:F63)</f>
        <v>10089524.459999997</v>
      </c>
      <c r="H63"/>
      <c r="I63"/>
      <c r="J63"/>
      <c r="K63"/>
      <c r="O63" s="437"/>
      <c r="P63" s="338"/>
      <c r="Q63" s="297"/>
      <c r="R63" s="168"/>
      <c r="S63"/>
      <c r="AA63" s="287"/>
      <c r="AB63" s="287"/>
      <c r="AC63" s="287"/>
      <c r="AD63" s="287"/>
      <c r="AE63" s="287"/>
      <c r="AF63" s="287"/>
    </row>
    <row r="64" spans="1:32" ht="17.25" customHeight="1" x14ac:dyDescent="0.3">
      <c r="A64" s="168"/>
      <c r="B64" s="162">
        <v>2011</v>
      </c>
      <c r="C64" s="628">
        <v>2795131.4400000004</v>
      </c>
      <c r="D64" s="628">
        <v>2921651.3000000007</v>
      </c>
      <c r="E64" s="628">
        <v>2865188.9300000006</v>
      </c>
      <c r="F64" s="628">
        <v>3258082.25</v>
      </c>
      <c r="G64" s="629">
        <f>SUM(B64:F64)</f>
        <v>11842064.920000002</v>
      </c>
      <c r="P64" s="338"/>
      <c r="Q64" s="297"/>
      <c r="R64" s="168"/>
    </row>
    <row r="65" spans="1:18" ht="17.25" customHeight="1" x14ac:dyDescent="0.3">
      <c r="A65" s="168"/>
      <c r="B65" s="162">
        <v>2012</v>
      </c>
      <c r="C65" s="628">
        <v>3306031.2199999997</v>
      </c>
      <c r="D65" s="628">
        <v>4561317.6500000004</v>
      </c>
      <c r="E65" s="628">
        <v>4035022.7700000005</v>
      </c>
      <c r="F65" s="628">
        <v>4304869.9800000004</v>
      </c>
      <c r="G65" s="629">
        <f>SUM(B65:F65)</f>
        <v>16209253.620000001</v>
      </c>
      <c r="P65" s="338"/>
      <c r="Q65" s="350"/>
      <c r="R65" s="168"/>
    </row>
    <row r="66" spans="1:18" ht="17.25" customHeight="1" x14ac:dyDescent="0.3">
      <c r="A66" s="168"/>
      <c r="B66" s="162">
        <v>2013</v>
      </c>
      <c r="C66" s="628">
        <v>4328898</v>
      </c>
      <c r="D66" s="628">
        <v>4175823.87</v>
      </c>
      <c r="E66" s="628">
        <v>4239557</v>
      </c>
      <c r="F66" s="1007">
        <v>4009253.59</v>
      </c>
      <c r="G66" s="629">
        <f>SUM(B66:F66)</f>
        <v>16755545.460000001</v>
      </c>
      <c r="P66" s="215"/>
      <c r="Q66" s="215"/>
      <c r="R66" s="168"/>
    </row>
    <row r="67" spans="1:18" ht="18.75" x14ac:dyDescent="0.3">
      <c r="A67" s="168"/>
      <c r="B67" s="162">
        <v>2014</v>
      </c>
      <c r="C67" s="628">
        <v>4752797.9000000004</v>
      </c>
      <c r="D67" s="628">
        <f ca="1">L20+L18+L12+SUM('BS - Monthly'!AG29:AI29)-SUM('BS - Monthly'!AD29:AF29)</f>
        <v>7166011.1763587259</v>
      </c>
      <c r="E67" s="628">
        <f ca="1">M20+M18+M12+SUM('BS - Monthly'!AJ29:AL29)-SUM('BS - Monthly'!AG29:AI29)</f>
        <v>6149277.7166823708</v>
      </c>
      <c r="F67" s="628">
        <f ca="1">N20+N18+N12+(SUM('BS - Monthly'!AM29:AO29))-(SUM('BS - Monthly'!AJ29:AL29))</f>
        <v>7212700.1073074685</v>
      </c>
      <c r="G67" s="629">
        <f ca="1">SUM(B67:F67)</f>
        <v>25282800.900348563</v>
      </c>
      <c r="K67" s="311"/>
      <c r="M67" s="615"/>
      <c r="P67" s="334"/>
      <c r="Q67" s="335"/>
      <c r="R67" s="168"/>
    </row>
    <row r="68" spans="1:18" ht="18.75" x14ac:dyDescent="0.3">
      <c r="A68" s="168"/>
      <c r="B68" s="162">
        <v>2015</v>
      </c>
      <c r="C68" s="628"/>
      <c r="D68" s="628"/>
      <c r="E68" s="628"/>
      <c r="F68" s="628"/>
      <c r="G68" s="407">
        <f ca="1">U12+U18+U20+(SUM('BS - Monthly'!AP29:BA29))-(SUM('BS - Monthly'!AD29:AO29))</f>
        <v>46150728.464074105</v>
      </c>
      <c r="P68" s="338"/>
      <c r="Q68" s="297"/>
      <c r="R68" s="168"/>
    </row>
    <row r="69" spans="1:18" ht="15.75" x14ac:dyDescent="0.25">
      <c r="A69" s="168"/>
      <c r="B69" s="339"/>
      <c r="C69"/>
      <c r="D69" t="s">
        <v>559</v>
      </c>
      <c r="F69" s="151"/>
      <c r="P69" s="339"/>
      <c r="Q69" s="340"/>
      <c r="R69" s="168"/>
    </row>
    <row r="70" spans="1:18" ht="15.75" x14ac:dyDescent="0.25">
      <c r="A70" s="168"/>
      <c r="B70" s="339"/>
      <c r="C70" s="79"/>
      <c r="D70" s="79"/>
      <c r="E70" s="79"/>
      <c r="F70" s="79"/>
      <c r="P70" s="339"/>
      <c r="Q70" s="342"/>
      <c r="R70" s="168"/>
    </row>
    <row r="71" spans="1:18" ht="15.75" x14ac:dyDescent="0.25">
      <c r="A71" s="168"/>
      <c r="B71" s="338"/>
      <c r="C71" s="79"/>
      <c r="D71" s="79"/>
      <c r="E71" s="79"/>
      <c r="F71" s="79"/>
      <c r="P71" s="338"/>
      <c r="Q71" s="297"/>
      <c r="R71" s="168"/>
    </row>
    <row r="72" spans="1:18" ht="15.75" x14ac:dyDescent="0.25">
      <c r="A72" s="168"/>
      <c r="B72" s="338"/>
      <c r="C72" s="297"/>
      <c r="D72" s="297"/>
      <c r="E72" s="259"/>
      <c r="F72" s="168"/>
      <c r="P72" s="338"/>
      <c r="Q72" s="297"/>
      <c r="R72" s="168"/>
    </row>
    <row r="73" spans="1:18" ht="15.75" x14ac:dyDescent="0.25">
      <c r="A73" s="168"/>
      <c r="B73" s="338"/>
      <c r="C73" s="297"/>
      <c r="D73" s="297"/>
      <c r="E73" s="259"/>
      <c r="F73" s="168"/>
      <c r="P73" s="338"/>
      <c r="Q73" s="297"/>
      <c r="R73" s="168"/>
    </row>
    <row r="74" spans="1:18" ht="15.75" x14ac:dyDescent="0.25">
      <c r="A74" s="168"/>
      <c r="B74" s="339"/>
      <c r="C74" s="259"/>
      <c r="D74" s="259"/>
      <c r="E74" s="352"/>
      <c r="F74" s="168"/>
      <c r="P74" s="339"/>
      <c r="Q74" s="259"/>
      <c r="R74" s="168"/>
    </row>
    <row r="75" spans="1:18" ht="15.75" x14ac:dyDescent="0.25">
      <c r="A75" s="168"/>
      <c r="B75" s="348"/>
      <c r="C75" s="297"/>
      <c r="D75" s="297"/>
      <c r="E75" s="259"/>
      <c r="F75" s="168"/>
      <c r="P75" s="348"/>
      <c r="Q75" s="297"/>
      <c r="R75" s="168"/>
    </row>
    <row r="76" spans="1:18" ht="15.75" x14ac:dyDescent="0.25">
      <c r="A76" s="168"/>
      <c r="B76" s="348"/>
      <c r="C76" s="297"/>
      <c r="D76" s="297"/>
      <c r="E76" s="259"/>
      <c r="F76" s="168"/>
      <c r="P76" s="348"/>
      <c r="Q76" s="297"/>
      <c r="R76" s="168"/>
    </row>
    <row r="77" spans="1:18" ht="15.75" x14ac:dyDescent="0.25">
      <c r="A77" s="168"/>
      <c r="B77" s="348"/>
      <c r="C77" s="297"/>
      <c r="D77" s="297"/>
      <c r="E77" s="259"/>
      <c r="F77" s="168"/>
      <c r="P77" s="348"/>
      <c r="Q77" s="297"/>
      <c r="R77" s="168"/>
    </row>
    <row r="78" spans="1:18" ht="15.75" x14ac:dyDescent="0.25">
      <c r="A78" s="168"/>
      <c r="B78" s="338"/>
      <c r="C78" s="297"/>
      <c r="D78" s="297"/>
      <c r="E78" s="259"/>
      <c r="F78" s="168"/>
      <c r="P78" s="338"/>
      <c r="Q78" s="297"/>
      <c r="R78" s="168"/>
    </row>
    <row r="79" spans="1:18" ht="15.75" x14ac:dyDescent="0.25">
      <c r="A79" s="168"/>
      <c r="B79" s="338"/>
      <c r="C79" s="349"/>
      <c r="D79" s="349"/>
      <c r="E79" s="259"/>
      <c r="F79" s="168"/>
      <c r="P79" s="338"/>
      <c r="Q79" s="349"/>
      <c r="R79" s="168"/>
    </row>
    <row r="80" spans="1:18" ht="15.75" x14ac:dyDescent="0.25">
      <c r="A80" s="168"/>
      <c r="B80" s="338"/>
      <c r="C80" s="297"/>
      <c r="D80" s="297"/>
      <c r="E80" s="259"/>
      <c r="F80" s="168"/>
      <c r="P80" s="338"/>
      <c r="Q80" s="297"/>
      <c r="R80" s="168"/>
    </row>
    <row r="81" spans="1:18" ht="15.75" x14ac:dyDescent="0.25">
      <c r="A81" s="168"/>
      <c r="B81" s="339"/>
      <c r="C81" s="340"/>
      <c r="D81" s="340"/>
      <c r="E81" s="351"/>
      <c r="F81" s="168"/>
      <c r="P81" s="339"/>
      <c r="Q81" s="340"/>
      <c r="R81" s="168"/>
    </row>
    <row r="82" spans="1:18" ht="15.75" x14ac:dyDescent="0.25">
      <c r="A82" s="168"/>
      <c r="B82" s="338"/>
      <c r="C82" s="297"/>
      <c r="D82" s="297"/>
      <c r="E82" s="259"/>
      <c r="F82" s="168"/>
      <c r="P82" s="338"/>
      <c r="Q82" s="297"/>
      <c r="R82" s="168"/>
    </row>
    <row r="83" spans="1:18" ht="15.75" x14ac:dyDescent="0.25">
      <c r="A83" s="168"/>
      <c r="B83" s="338"/>
      <c r="C83" s="297"/>
      <c r="D83" s="297"/>
      <c r="E83" s="259"/>
      <c r="F83" s="168"/>
      <c r="P83" s="338"/>
      <c r="Q83" s="297"/>
      <c r="R83" s="168"/>
    </row>
    <row r="84" spans="1:18" ht="15.75" x14ac:dyDescent="0.25">
      <c r="A84" s="168"/>
      <c r="B84" s="338"/>
      <c r="C84" s="350"/>
      <c r="D84" s="350"/>
      <c r="E84" s="259"/>
      <c r="F84" s="168"/>
      <c r="P84" s="338"/>
      <c r="Q84" s="350"/>
      <c r="R84" s="168"/>
    </row>
  </sheetData>
  <mergeCells count="5">
    <mergeCell ref="F37:I37"/>
    <mergeCell ref="B47:F47"/>
    <mergeCell ref="B60:F60"/>
    <mergeCell ref="U36:Y36"/>
    <mergeCell ref="F40:I40"/>
  </mergeCells>
  <printOptions horizontalCentered="1" verticalCentered="1"/>
  <pageMargins left="0" right="0" top="0.75" bottom="0.75" header="0.3" footer="0.3"/>
  <pageSetup scale="64" orientation="landscape" r:id="rId1"/>
  <headerFooter>
    <oddHeader>&amp;L&amp;G&amp;C&amp;"-,Bold"&amp;18CallFire Proforma Summary Financials 2010 - 2014</oddHeader>
    <oddFooter>&amp;L&amp;8CallFire Confidential&amp;C&amp;8Not GAAP.  Assumes Companies combnied as of 1/1/2010&amp;R&amp;8Page &amp;P of &amp;N</oddFooter>
  </headerFooter>
  <colBreaks count="1" manualBreakCount="1">
    <brk id="14" min="3" max="33" man="1"/>
  </colBreaks>
  <ignoredErrors>
    <ignoredError sqref="R25 S24:T24" formula="1"/>
    <ignoredError sqref="R8 S5:T8" formulaRange="1"/>
  </ignoredErrors>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theme="6" tint="-0.499984740745262"/>
    <pageSetUpPr fitToPage="1"/>
  </sheetPr>
  <dimension ref="A1:AZ150"/>
  <sheetViews>
    <sheetView showGridLines="0" zoomScale="90" zoomScaleNormal="90" zoomScalePageLayoutView="60" workbookViewId="0">
      <selection activeCell="B18" sqref="B18"/>
    </sheetView>
  </sheetViews>
  <sheetFormatPr defaultColWidth="9.140625" defaultRowHeight="15" outlineLevelRow="1" x14ac:dyDescent="0.25"/>
  <cols>
    <col min="1" max="1" width="9.140625" style="304"/>
    <col min="2" max="2" width="44.7109375" style="304" customWidth="1"/>
    <col min="3" max="3" width="11.28515625" style="304" customWidth="1"/>
    <col min="4" max="8" width="10.42578125" style="304" customWidth="1"/>
    <col min="9" max="9" width="8.42578125" style="304" customWidth="1"/>
    <col min="10" max="10" width="2.42578125" style="570" customWidth="1"/>
    <col min="11" max="11" width="10.140625" style="304" customWidth="1"/>
    <col min="12" max="15" width="12.42578125" style="304" customWidth="1"/>
    <col min="16" max="20" width="12.7109375" style="304" customWidth="1"/>
    <col min="21" max="21" width="13.7109375" style="304" bestFit="1" customWidth="1"/>
    <col min="22" max="22" width="12.85546875" style="304" hidden="1" customWidth="1"/>
    <col min="23" max="23" width="69.85546875" style="304" customWidth="1"/>
    <col min="24" max="24" width="12.28515625" style="304" bestFit="1" customWidth="1"/>
    <col min="25" max="25" width="24.7109375" style="304" customWidth="1"/>
    <col min="26" max="26" width="13.42578125" style="304" customWidth="1"/>
    <col min="27" max="27" width="12.28515625" style="304" bestFit="1" customWidth="1"/>
    <col min="28" max="30" width="14.28515625" style="304" bestFit="1" customWidth="1"/>
    <col min="31" max="33" width="13.42578125" style="304" customWidth="1"/>
    <col min="34" max="37" width="18.28515625" style="304" bestFit="1" customWidth="1"/>
    <col min="38" max="38" width="19.85546875" style="304" customWidth="1"/>
    <col min="39" max="39" width="18.42578125" style="304" customWidth="1"/>
    <col min="40" max="40" width="13.5703125" style="304" customWidth="1"/>
    <col min="41" max="41" width="13.140625" style="304" bestFit="1" customWidth="1"/>
    <col min="42" max="42" width="12.42578125" style="304" bestFit="1" customWidth="1"/>
    <col min="43" max="43" width="11" style="304" bestFit="1" customWidth="1"/>
    <col min="44" max="45" width="11.7109375" style="304" bestFit="1" customWidth="1"/>
    <col min="46" max="46" width="11.42578125" style="304" bestFit="1" customWidth="1"/>
    <col min="47" max="47" width="11" style="304" bestFit="1" customWidth="1"/>
    <col min="48" max="49" width="11.7109375" style="304" bestFit="1" customWidth="1"/>
    <col min="50" max="50" width="11" style="304" bestFit="1" customWidth="1"/>
    <col min="51" max="51" width="10.5703125" style="304" bestFit="1" customWidth="1"/>
    <col min="52" max="16384" width="9.140625" style="304"/>
  </cols>
  <sheetData>
    <row r="1" spans="1:49" s="437" customFormat="1" ht="44.25" customHeight="1" x14ac:dyDescent="0.25">
      <c r="B1" s="156"/>
      <c r="C1" s="156"/>
      <c r="D1" s="481" t="s">
        <v>380</v>
      </c>
      <c r="J1" s="570"/>
    </row>
    <row r="2" spans="1:49" s="437" customFormat="1" ht="11.25" customHeight="1" x14ac:dyDescent="0.25">
      <c r="B2" s="156"/>
      <c r="C2" s="156"/>
      <c r="D2" s="511"/>
      <c r="E2" s="511"/>
      <c r="F2" s="511"/>
      <c r="G2" s="511"/>
      <c r="H2" s="511"/>
      <c r="I2" s="511"/>
      <c r="J2" s="511"/>
      <c r="K2" s="511"/>
      <c r="L2" s="511"/>
      <c r="M2" s="511"/>
      <c r="N2" s="511"/>
      <c r="O2" s="511"/>
      <c r="P2" s="511"/>
      <c r="Q2" s="511"/>
      <c r="R2" s="511"/>
      <c r="S2" s="511"/>
      <c r="T2" s="511"/>
      <c r="U2" s="511"/>
      <c r="V2" s="511"/>
    </row>
    <row r="3" spans="1:49" s="437" customFormat="1" ht="8.25" customHeight="1" x14ac:dyDescent="0.25">
      <c r="B3" s="156"/>
      <c r="C3" s="156"/>
      <c r="J3" s="570"/>
    </row>
    <row r="4" spans="1:49" s="437" customFormat="1" ht="21" x14ac:dyDescent="0.35">
      <c r="B4" s="449"/>
      <c r="C4" s="472"/>
      <c r="J4" s="570"/>
      <c r="P4" s="472"/>
      <c r="Q4" s="173"/>
      <c r="R4" s="173"/>
      <c r="S4" s="173"/>
      <c r="T4" s="173"/>
      <c r="W4" s="437">
        <f>V4*3</f>
        <v>0</v>
      </c>
    </row>
    <row r="5" spans="1:49" s="223" customFormat="1" ht="32.1" customHeight="1" x14ac:dyDescent="0.25">
      <c r="A5" s="223" t="s">
        <v>381</v>
      </c>
      <c r="B5" s="512" t="s">
        <v>584</v>
      </c>
      <c r="C5" s="1343" t="s">
        <v>540</v>
      </c>
      <c r="D5" s="1343"/>
      <c r="E5" s="1343"/>
      <c r="F5" s="1343"/>
      <c r="G5" s="1343"/>
      <c r="H5" s="1343"/>
      <c r="I5" s="1343"/>
      <c r="J5" s="1343"/>
      <c r="K5" s="1343"/>
      <c r="L5" s="1343"/>
      <c r="M5" s="1343"/>
      <c r="N5" s="1343"/>
      <c r="O5" s="1344"/>
      <c r="P5" s="1345" t="s">
        <v>503</v>
      </c>
      <c r="Q5" s="1343"/>
      <c r="R5" s="1343"/>
      <c r="S5" s="1343"/>
      <c r="T5" s="1343"/>
      <c r="U5" s="1343"/>
      <c r="V5" s="1344"/>
    </row>
    <row r="6" spans="1:49" s="223" customFormat="1" ht="32.1" customHeight="1" x14ac:dyDescent="0.25">
      <c r="B6" s="488" t="s">
        <v>568</v>
      </c>
      <c r="C6" s="1035" t="s">
        <v>30</v>
      </c>
      <c r="D6" s="1035" t="s">
        <v>31</v>
      </c>
      <c r="E6" s="1035" t="s">
        <v>32</v>
      </c>
      <c r="F6" s="1035" t="s">
        <v>33</v>
      </c>
      <c r="G6" s="1035" t="s">
        <v>34</v>
      </c>
      <c r="H6" s="1035" t="s">
        <v>35</v>
      </c>
      <c r="I6" s="1346" t="s">
        <v>36</v>
      </c>
      <c r="J6" s="1346"/>
      <c r="K6" s="1035" t="s">
        <v>37</v>
      </c>
      <c r="L6" s="1035" t="s">
        <v>38</v>
      </c>
      <c r="M6" s="1035" t="s">
        <v>39</v>
      </c>
      <c r="N6" s="1035" t="s">
        <v>40</v>
      </c>
      <c r="O6" s="1035" t="s">
        <v>41</v>
      </c>
      <c r="P6" s="542" t="s">
        <v>543</v>
      </c>
      <c r="Q6" s="1035" t="s">
        <v>542</v>
      </c>
      <c r="R6" s="1035" t="s">
        <v>544</v>
      </c>
      <c r="S6" s="1035" t="s">
        <v>545</v>
      </c>
      <c r="T6" s="1035" t="s">
        <v>546</v>
      </c>
      <c r="U6" s="1035" t="s">
        <v>547</v>
      </c>
      <c r="V6" s="620" t="s">
        <v>580</v>
      </c>
    </row>
    <row r="7" spans="1:49" s="223" customFormat="1" ht="21" outlineLevel="1" x14ac:dyDescent="0.25">
      <c r="B7" s="476" t="s">
        <v>565</v>
      </c>
      <c r="C7" s="1013">
        <v>12536</v>
      </c>
      <c r="D7" s="1013">
        <v>12763</v>
      </c>
      <c r="E7" s="1013">
        <v>13772</v>
      </c>
      <c r="F7" s="1013">
        <v>17117</v>
      </c>
      <c r="G7" s="1013">
        <v>26521</v>
      </c>
      <c r="H7" s="1013">
        <v>20431</v>
      </c>
      <c r="I7" s="1342">
        <v>26109</v>
      </c>
      <c r="J7" s="1342"/>
      <c r="K7" s="1013">
        <v>24676</v>
      </c>
      <c r="L7" s="1013">
        <v>25761</v>
      </c>
      <c r="M7" s="482">
        <f>SUM('CAC Update'!AF51:AH51)</f>
        <v>41523.809523809527</v>
      </c>
      <c r="N7" s="482">
        <f>SUM('CAC Update'!AI51:AK51)</f>
        <v>31746.031746031749</v>
      </c>
      <c r="O7" s="483">
        <f>SUM('CAC Update'!AL51:AN51)</f>
        <v>37503.239941406246</v>
      </c>
      <c r="P7" s="1013">
        <v>18484</v>
      </c>
      <c r="Q7" s="1013">
        <v>24333</v>
      </c>
      <c r="R7" s="1013">
        <v>38553</v>
      </c>
      <c r="S7" s="1013">
        <f>SUM(C7:F7)</f>
        <v>56188</v>
      </c>
      <c r="T7" s="1013">
        <f>SUM(G7:K7)</f>
        <v>97737</v>
      </c>
      <c r="U7" s="482">
        <f>SUM(L7:O7)</f>
        <v>136534.08121124751</v>
      </c>
      <c r="V7" s="483">
        <f>SUM('CAC Update'!AO51:AZ51)</f>
        <v>150000</v>
      </c>
      <c r="AA7" s="168"/>
    </row>
    <row r="8" spans="1:49" s="223" customFormat="1" ht="21" customHeight="1" outlineLevel="1" x14ac:dyDescent="0.25">
      <c r="B8" s="475" t="s">
        <v>579</v>
      </c>
      <c r="C8" s="1031">
        <f t="shared" ref="C8:O8" si="0">C9/C7</f>
        <v>0.24026802807913211</v>
      </c>
      <c r="D8" s="1031">
        <f t="shared" si="0"/>
        <v>0.25464232547206772</v>
      </c>
      <c r="E8" s="1031">
        <f t="shared" si="0"/>
        <v>0.21500145222189951</v>
      </c>
      <c r="F8" s="1031">
        <f t="shared" si="0"/>
        <v>0.18823391949523866</v>
      </c>
      <c r="G8" s="1031">
        <f t="shared" si="0"/>
        <v>0.13419554315448134</v>
      </c>
      <c r="H8" s="1031">
        <f t="shared" si="0"/>
        <v>0.19529146884636092</v>
      </c>
      <c r="I8" s="1337">
        <f t="shared" si="0"/>
        <v>0.16611130261595619</v>
      </c>
      <c r="J8" s="1337"/>
      <c r="K8" s="1031">
        <f t="shared" si="0"/>
        <v>0.15371210893175555</v>
      </c>
      <c r="L8" s="1241">
        <f t="shared" si="0"/>
        <v>0.17212064749039246</v>
      </c>
      <c r="M8" s="1011">
        <f t="shared" si="0"/>
        <v>0.14999999999999997</v>
      </c>
      <c r="N8" s="1011">
        <f t="shared" si="0"/>
        <v>0.15</v>
      </c>
      <c r="O8" s="1022">
        <f t="shared" si="0"/>
        <v>0.18</v>
      </c>
      <c r="P8" s="1031">
        <f t="shared" ref="P8:U8" si="1">P9/P7</f>
        <v>0.3584721921661978</v>
      </c>
      <c r="Q8" s="1031">
        <f t="shared" si="1"/>
        <v>0.33222372909217934</v>
      </c>
      <c r="R8" s="1031">
        <f t="shared" si="1"/>
        <v>0.28916037662438721</v>
      </c>
      <c r="S8" s="1031">
        <f t="shared" si="1"/>
        <v>0.22148857407275574</v>
      </c>
      <c r="T8" s="1031">
        <f t="shared" si="1"/>
        <v>0.16042031165270063</v>
      </c>
      <c r="U8" s="1011">
        <f t="shared" si="1"/>
        <v>0.1624140960499067</v>
      </c>
      <c r="V8" s="1022">
        <f>V9/V7</f>
        <v>0.18</v>
      </c>
      <c r="Y8" s="354" t="s">
        <v>799</v>
      </c>
      <c r="Z8" s="223" t="s">
        <v>798</v>
      </c>
      <c r="AA8" s="570">
        <v>1</v>
      </c>
      <c r="AB8" s="570">
        <v>2</v>
      </c>
      <c r="AC8" s="570">
        <v>3</v>
      </c>
      <c r="AD8" s="570">
        <v>4</v>
      </c>
      <c r="AF8" s="223" t="s">
        <v>1119</v>
      </c>
      <c r="AG8" s="570"/>
      <c r="AH8" s="570">
        <v>1</v>
      </c>
      <c r="AI8" s="570">
        <v>2</v>
      </c>
      <c r="AJ8" s="570">
        <v>3</v>
      </c>
      <c r="AK8" s="570">
        <v>4</v>
      </c>
    </row>
    <row r="9" spans="1:49" s="451" customFormat="1" ht="21" x14ac:dyDescent="0.25">
      <c r="B9" s="476" t="s">
        <v>755</v>
      </c>
      <c r="C9" s="1032">
        <v>3012</v>
      </c>
      <c r="D9" s="1032">
        <v>3250</v>
      </c>
      <c r="E9" s="1032">
        <v>2961</v>
      </c>
      <c r="F9" s="1032">
        <v>3222</v>
      </c>
      <c r="G9" s="1032">
        <v>3559</v>
      </c>
      <c r="H9" s="1032">
        <v>3990</v>
      </c>
      <c r="I9" s="1338">
        <v>4337</v>
      </c>
      <c r="J9" s="1338"/>
      <c r="K9" s="1032">
        <v>3793</v>
      </c>
      <c r="L9" s="1244">
        <v>4434</v>
      </c>
      <c r="M9" s="482">
        <f>SUM('CAC Update'!AF50:AH50)</f>
        <v>6228.5714285714275</v>
      </c>
      <c r="N9" s="482">
        <f>SUM('CAC Update'!AI50:AK50)</f>
        <v>4761.9047619047624</v>
      </c>
      <c r="O9" s="483">
        <f>SUM('CAC Update'!AL50:AN50)</f>
        <v>6750.5831894531239</v>
      </c>
      <c r="P9" s="1030">
        <v>6626</v>
      </c>
      <c r="Q9" s="1030">
        <v>8084</v>
      </c>
      <c r="R9" s="1030">
        <v>11148</v>
      </c>
      <c r="S9" s="1013">
        <f>SUM(C9:F9)</f>
        <v>12445</v>
      </c>
      <c r="T9" s="1013">
        <f>SUM(G9:K9)</f>
        <v>15679</v>
      </c>
      <c r="U9" s="482">
        <f>SUM(L9:O9)</f>
        <v>22175.059379929313</v>
      </c>
      <c r="V9" s="483">
        <f>SUM('CAC Update'!AO50:AZ50)</f>
        <v>27000</v>
      </c>
      <c r="W9" s="223"/>
      <c r="X9"/>
      <c r="Y9" s="570">
        <v>2009</v>
      </c>
      <c r="Z9" s="616">
        <f>SUM(AA9:AD9)</f>
        <v>15922</v>
      </c>
      <c r="AA9" s="570">
        <v>3368</v>
      </c>
      <c r="AB9" s="570">
        <v>3890</v>
      </c>
      <c r="AC9" s="570">
        <v>3963</v>
      </c>
      <c r="AD9" s="570">
        <v>4701</v>
      </c>
      <c r="AF9" s="570">
        <v>2009</v>
      </c>
    </row>
    <row r="10" spans="1:49" s="451" customFormat="1" ht="19.5" customHeight="1" x14ac:dyDescent="0.25">
      <c r="B10" s="475" t="s">
        <v>791</v>
      </c>
      <c r="C10" s="1031">
        <f>(C9/2444)-1</f>
        <v>0.23240589198035999</v>
      </c>
      <c r="D10" s="1031">
        <f>D9/C9-1</f>
        <v>7.9017264276228349E-2</v>
      </c>
      <c r="E10" s="1031">
        <f t="shared" ref="E10:I10" si="2">E9/D9-1</f>
        <v>-8.8923076923076882E-2</v>
      </c>
      <c r="F10" s="1031">
        <f t="shared" si="2"/>
        <v>8.8145896656534939E-2</v>
      </c>
      <c r="G10" s="1031">
        <f t="shared" si="2"/>
        <v>0.10459342023587825</v>
      </c>
      <c r="H10" s="1031">
        <f t="shared" si="2"/>
        <v>0.1211014329867941</v>
      </c>
      <c r="I10" s="1337">
        <f t="shared" si="2"/>
        <v>8.6967418546365804E-2</v>
      </c>
      <c r="J10" s="1337"/>
      <c r="K10" s="1031">
        <f>K9/I9-1</f>
        <v>-0.12543232649296754</v>
      </c>
      <c r="L10" s="1241">
        <f>L9/K9-1</f>
        <v>0.16899551805958346</v>
      </c>
      <c r="M10" s="1011">
        <f t="shared" ref="M10:O10" si="3">M9/L9-1</f>
        <v>0.40472968619112026</v>
      </c>
      <c r="N10" s="1011">
        <f t="shared" si="3"/>
        <v>-0.23547400611620772</v>
      </c>
      <c r="O10" s="1022">
        <f t="shared" si="3"/>
        <v>0.41762246978515583</v>
      </c>
      <c r="P10" s="1031">
        <v>0</v>
      </c>
      <c r="Q10" s="1031">
        <f t="shared" ref="Q10:T10" si="4">Q9/P9-1</f>
        <v>0.22004225777241171</v>
      </c>
      <c r="R10" s="1031">
        <f t="shared" si="4"/>
        <v>0.37902028698664036</v>
      </c>
      <c r="S10" s="1031">
        <f t="shared" si="4"/>
        <v>0.11634373878722637</v>
      </c>
      <c r="T10" s="1031">
        <f t="shared" si="4"/>
        <v>0.25986339895540378</v>
      </c>
      <c r="U10" s="1011">
        <f t="shared" ref="U10" si="5">U9/T9-1</f>
        <v>0.4143159244804715</v>
      </c>
      <c r="V10" s="1022">
        <f t="shared" ref="V10" si="6">V9/U9-1</f>
        <v>0.21758411273693135</v>
      </c>
      <c r="Y10" s="570">
        <v>2010</v>
      </c>
      <c r="Z10" s="616">
        <f t="shared" ref="Z10:Z15" si="7">SUM(AA10:AD10)</f>
        <v>23067</v>
      </c>
      <c r="AA10" s="570">
        <v>5101</v>
      </c>
      <c r="AB10" s="570">
        <v>5524</v>
      </c>
      <c r="AC10" s="570">
        <v>5978</v>
      </c>
      <c r="AD10" s="570">
        <v>6464</v>
      </c>
      <c r="AF10" s="570">
        <v>2010</v>
      </c>
    </row>
    <row r="11" spans="1:49" s="223" customFormat="1" ht="21" customHeight="1" x14ac:dyDescent="0.25">
      <c r="B11" s="584" t="s">
        <v>566</v>
      </c>
      <c r="C11" s="1032">
        <v>500</v>
      </c>
      <c r="D11" s="1032">
        <v>472</v>
      </c>
      <c r="E11" s="1032">
        <v>538</v>
      </c>
      <c r="F11" s="1032">
        <v>478</v>
      </c>
      <c r="G11" s="1032">
        <v>511</v>
      </c>
      <c r="H11" s="1032">
        <v>560</v>
      </c>
      <c r="I11" s="1338">
        <v>669</v>
      </c>
      <c r="J11" s="1338"/>
      <c r="K11" s="1032">
        <v>603</v>
      </c>
      <c r="L11" s="1244">
        <v>875</v>
      </c>
      <c r="M11" s="1012">
        <f>SUM('SMS Sub'!AC6:AE6)</f>
        <v>739.95428571428556</v>
      </c>
      <c r="N11" s="1012">
        <f>SUM('SMS Sub'!AF6:AH6)</f>
        <v>565.71428571428578</v>
      </c>
      <c r="O11" s="1073">
        <f>SUM('SMS Sub'!AI6:AK6)</f>
        <v>801.96928290703113</v>
      </c>
      <c r="P11" s="1032">
        <v>842</v>
      </c>
      <c r="Q11" s="1032">
        <v>1932</v>
      </c>
      <c r="R11" s="1032">
        <v>2102</v>
      </c>
      <c r="S11" s="1013">
        <f>SUM(C11:F11)</f>
        <v>1988</v>
      </c>
      <c r="T11" s="1013">
        <f>SUM(G11:K11)</f>
        <v>2343</v>
      </c>
      <c r="U11" s="1023">
        <f>SUM(L11:O11)</f>
        <v>2982.6378543356022</v>
      </c>
      <c r="V11" s="1025">
        <f>SUM('SMS Sub'!AL6:AW6)</f>
        <v>3207.6000000000008</v>
      </c>
      <c r="Y11" s="570">
        <v>2011</v>
      </c>
      <c r="Z11" s="616">
        <f t="shared" si="7"/>
        <v>32631</v>
      </c>
      <c r="AA11" s="570">
        <v>7491</v>
      </c>
      <c r="AB11" s="570">
        <v>8311</v>
      </c>
      <c r="AC11" s="570">
        <v>8391</v>
      </c>
      <c r="AD11" s="570">
        <v>8438</v>
      </c>
      <c r="AF11" s="570">
        <v>2011</v>
      </c>
    </row>
    <row r="12" spans="1:49" s="223" customFormat="1" ht="21" hidden="1" customHeight="1" x14ac:dyDescent="0.25">
      <c r="B12" s="585" t="s">
        <v>586</v>
      </c>
      <c r="C12" s="1094">
        <v>0.18099999999999999</v>
      </c>
      <c r="D12" s="1033">
        <v>0.17</v>
      </c>
      <c r="E12" s="1033">
        <v>0.17799999999999999</v>
      </c>
      <c r="F12" s="1094">
        <v>0.161</v>
      </c>
      <c r="G12" s="1033">
        <v>0.16400000000000001</v>
      </c>
      <c r="H12" s="1033">
        <v>0.16700000000000001</v>
      </c>
      <c r="I12" s="1339">
        <v>0.16700000000000001</v>
      </c>
      <c r="J12" s="1339"/>
      <c r="K12" s="1033">
        <v>0.16700000000000001</v>
      </c>
      <c r="L12" s="1246"/>
      <c r="M12" s="1095"/>
      <c r="N12" s="494"/>
      <c r="O12" s="495"/>
      <c r="P12" s="1071"/>
      <c r="Q12" s="1071"/>
      <c r="R12" s="1071"/>
      <c r="S12" s="1071">
        <f>AVERAGE(C12:F12)</f>
        <v>0.17249999999999999</v>
      </c>
      <c r="T12" s="1071">
        <f>(SUM(G12:J12)+I12)/4</f>
        <v>0.16625000000000001</v>
      </c>
      <c r="U12" s="494"/>
      <c r="V12" s="495"/>
      <c r="Y12" s="570">
        <v>2012</v>
      </c>
      <c r="Z12" s="616">
        <f t="shared" si="7"/>
        <v>39393</v>
      </c>
      <c r="AA12" s="625">
        <v>9121</v>
      </c>
      <c r="AB12" s="625">
        <v>9744</v>
      </c>
      <c r="AC12" s="625">
        <v>9899</v>
      </c>
      <c r="AD12" s="625">
        <v>10629</v>
      </c>
      <c r="AF12" s="570">
        <v>2012</v>
      </c>
    </row>
    <row r="13" spans="1:49" s="223" customFormat="1" ht="21" outlineLevel="1" x14ac:dyDescent="0.3">
      <c r="B13" s="476" t="s">
        <v>587</v>
      </c>
      <c r="C13" s="1085">
        <v>12904</v>
      </c>
      <c r="D13" s="1085">
        <v>14039</v>
      </c>
      <c r="E13" s="1085">
        <v>14837</v>
      </c>
      <c r="F13" s="1085">
        <v>15827</v>
      </c>
      <c r="G13" s="1085">
        <v>16631</v>
      </c>
      <c r="H13" s="1085">
        <v>17999</v>
      </c>
      <c r="I13" s="1340">
        <v>19354</v>
      </c>
      <c r="J13" s="1340"/>
      <c r="K13" s="1085">
        <v>19849</v>
      </c>
      <c r="L13" s="1247">
        <v>23065</v>
      </c>
      <c r="M13" s="1012">
        <f>(1+AVERAGE(H14,D14))*L13</f>
        <v>25027.984311003194</v>
      </c>
      <c r="N13" s="1012">
        <f>(1+AVERAGE(I14,E14))*M13</f>
        <v>26681.378198894865</v>
      </c>
      <c r="O13" s="1073">
        <f>(1+AVERAGE(K14,F14))*N13</f>
        <v>27912.739644734549</v>
      </c>
      <c r="P13" s="1085">
        <v>9502</v>
      </c>
      <c r="Q13" s="1085">
        <v>12913</v>
      </c>
      <c r="R13" s="1085">
        <v>18595</v>
      </c>
      <c r="S13" s="1085">
        <v>24473</v>
      </c>
      <c r="T13" s="1085">
        <v>31204</v>
      </c>
      <c r="U13" s="1023">
        <f>((Q9*0.28)+(R9*0.34)+(S9*0.39)+(T9*0.39)+(U9))</f>
        <v>39197.25937992931</v>
      </c>
      <c r="V13" s="1025">
        <f>((Q9*0.2)+(R9*0.28)+(S9*0.34)+(T9*0.39)+(U9*0.39)+(V9))</f>
        <v>50732.623158172435</v>
      </c>
      <c r="X13" s="299"/>
      <c r="Z13" s="616"/>
      <c r="AF13" s="570">
        <v>2013</v>
      </c>
      <c r="AH13" s="1009">
        <f>'BOD Summary'!G6</f>
        <v>3864279.8199999994</v>
      </c>
      <c r="AI13" s="1009">
        <f>'BOD Summary'!H6</f>
        <v>4219091.37</v>
      </c>
      <c r="AJ13" s="1009">
        <f>'BOD Summary'!I6</f>
        <v>4126854.5000000005</v>
      </c>
      <c r="AK13" s="1009">
        <f>'BOD Summary'!J6</f>
        <v>4661996.8599999994</v>
      </c>
    </row>
    <row r="14" spans="1:49" s="223" customFormat="1" ht="18.75" outlineLevel="1" x14ac:dyDescent="0.25">
      <c r="B14" s="475" t="s">
        <v>791</v>
      </c>
      <c r="C14" s="1031">
        <f>(C13/12485)-1</f>
        <v>3.356027232679204E-2</v>
      </c>
      <c r="D14" s="1031">
        <f>D13/C13-1</f>
        <v>8.7957222566646065E-2</v>
      </c>
      <c r="E14" s="1031">
        <f>E13/D13-1</f>
        <v>5.6841655388560453E-2</v>
      </c>
      <c r="F14" s="1031">
        <f>F13/E13-1</f>
        <v>6.6725079193907133E-2</v>
      </c>
      <c r="G14" s="1031">
        <f>G13/F13-1</f>
        <v>5.0799267075251064E-2</v>
      </c>
      <c r="H14" s="1031">
        <f>H13/G13-1</f>
        <v>8.225602789970532E-2</v>
      </c>
      <c r="I14" s="1337">
        <f t="shared" ref="I14" si="8">I13/H13-1</f>
        <v>7.5281960108894985E-2</v>
      </c>
      <c r="J14" s="1337"/>
      <c r="K14" s="1031">
        <f>K13/I13-1</f>
        <v>2.5576108298026146E-2</v>
      </c>
      <c r="L14" s="1241">
        <f>L13/K13-1</f>
        <v>0.162023275731775</v>
      </c>
      <c r="M14" s="1026">
        <f>M13/L13-1</f>
        <v>8.5106625233175581E-2</v>
      </c>
      <c r="N14" s="1026">
        <f t="shared" ref="N14:Q14" si="9">N13/M13-1</f>
        <v>6.606180774872783E-2</v>
      </c>
      <c r="O14" s="1074">
        <f t="shared" si="9"/>
        <v>4.6150593745966528E-2</v>
      </c>
      <c r="P14" s="1031"/>
      <c r="Q14" s="1031">
        <f t="shared" si="9"/>
        <v>0.35897705746158692</v>
      </c>
      <c r="R14" s="1031">
        <f t="shared" ref="R14" si="10">R13/Q13-1</f>
        <v>0.44002168357469218</v>
      </c>
      <c r="S14" s="1031">
        <f t="shared" ref="S14" si="11">S13/R13-1</f>
        <v>0.31610648023662269</v>
      </c>
      <c r="T14" s="1031">
        <f t="shared" ref="T14:V14" si="12">T13/S13-1</f>
        <v>0.27503779675560813</v>
      </c>
      <c r="U14" s="1011">
        <f t="shared" si="12"/>
        <v>0.25616136969392733</v>
      </c>
      <c r="V14" s="1022">
        <f t="shared" si="12"/>
        <v>0.29429005906851047</v>
      </c>
      <c r="X14" s="299"/>
      <c r="Z14" s="616"/>
      <c r="AH14" s="433">
        <f>AH13-AH24</f>
        <v>2114624.9799999986</v>
      </c>
      <c r="AI14" s="433">
        <f t="shared" ref="AI14:AK14" si="13">AI13-AI24</f>
        <v>2300760.91</v>
      </c>
      <c r="AJ14" s="433">
        <f t="shared" si="13"/>
        <v>2189579.8500000006</v>
      </c>
      <c r="AK14" s="433">
        <f t="shared" si="13"/>
        <v>2568190.7199999997</v>
      </c>
    </row>
    <row r="15" spans="1:49" s="223" customFormat="1" ht="21" x14ac:dyDescent="0.25">
      <c r="B15" s="476" t="s">
        <v>788</v>
      </c>
      <c r="C15" s="1032">
        <v>9121</v>
      </c>
      <c r="D15" s="1032">
        <v>9744</v>
      </c>
      <c r="E15" s="1032">
        <v>9899</v>
      </c>
      <c r="F15" s="1032">
        <v>10629</v>
      </c>
      <c r="G15" s="1030">
        <v>11269</v>
      </c>
      <c r="H15" s="1030">
        <v>12512</v>
      </c>
      <c r="I15" s="1342">
        <v>13688</v>
      </c>
      <c r="J15" s="1342"/>
      <c r="K15" s="1030">
        <v>13928</v>
      </c>
      <c r="L15" s="1245">
        <v>15470</v>
      </c>
      <c r="M15" s="1282">
        <f>(1+AVERAGE(H16,D16))*L15</f>
        <v>16851.521386546145</v>
      </c>
      <c r="N15" s="1282">
        <v>17000</v>
      </c>
      <c r="O15" s="1283">
        <v>20000</v>
      </c>
      <c r="P15" s="1013">
        <v>9199</v>
      </c>
      <c r="Q15" s="1021">
        <v>12324</v>
      </c>
      <c r="R15" s="1021">
        <v>17255</v>
      </c>
      <c r="S15" s="1021">
        <v>20754</v>
      </c>
      <c r="T15" s="1021">
        <v>26165</v>
      </c>
      <c r="U15" s="1083"/>
      <c r="V15" s="1096"/>
      <c r="X15" s="299"/>
      <c r="Y15" s="570">
        <v>2013</v>
      </c>
      <c r="Z15" s="616">
        <f t="shared" si="7"/>
        <v>51397</v>
      </c>
      <c r="AA15" s="616">
        <v>11269</v>
      </c>
      <c r="AB15" s="616">
        <v>12512</v>
      </c>
      <c r="AC15" s="616">
        <v>13688</v>
      </c>
      <c r="AD15" s="616">
        <v>13928</v>
      </c>
      <c r="AH15" s="1010">
        <f>AH14/Z24</f>
        <v>6.9645480138966374E-3</v>
      </c>
      <c r="AI15" s="1010">
        <f t="shared" ref="AI15:AK15" si="14">AI14/AA24</f>
        <v>3.1383334686007867E-2</v>
      </c>
      <c r="AJ15" s="1010">
        <f t="shared" si="14"/>
        <v>2.881166271996153E-2</v>
      </c>
      <c r="AK15" s="1010">
        <f t="shared" si="14"/>
        <v>3.4556235221679679E-2</v>
      </c>
    </row>
    <row r="16" spans="1:49" ht="18.75" x14ac:dyDescent="0.25">
      <c r="B16" s="475" t="s">
        <v>791</v>
      </c>
      <c r="C16" s="1031">
        <f>(C15/8436)-1</f>
        <v>8.1199620673304773E-2</v>
      </c>
      <c r="D16" s="1031">
        <f>D15/C15-1</f>
        <v>6.8303914044512748E-2</v>
      </c>
      <c r="E16" s="1031">
        <f>E15/D15-1</f>
        <v>1.590722495894914E-2</v>
      </c>
      <c r="F16" s="1031">
        <f>F15/E15-1</f>
        <v>7.3744822709364666E-2</v>
      </c>
      <c r="G16" s="1031">
        <f>G15/F15-1</f>
        <v>6.0212625834979772E-2</v>
      </c>
      <c r="H16" s="1031">
        <f>H15/G15-1</f>
        <v>0.11030260005324344</v>
      </c>
      <c r="I16" s="1337">
        <f t="shared" ref="I16" si="15">I15/H15-1</f>
        <v>9.3989769820971958E-2</v>
      </c>
      <c r="J16" s="1337"/>
      <c r="K16" s="1031">
        <f>K15/I15-1</f>
        <v>1.7533606078316666E-2</v>
      </c>
      <c r="L16" s="1241">
        <f>L15/K15-1</f>
        <v>0.11071223434807576</v>
      </c>
      <c r="M16" s="1113">
        <f>M15/L15-1</f>
        <v>8.9303257048878093E-2</v>
      </c>
      <c r="N16" s="1113">
        <f t="shared" ref="N16:O16" si="16">N15/M15-1</f>
        <v>8.8109916041407832E-3</v>
      </c>
      <c r="O16" s="1114">
        <f t="shared" si="16"/>
        <v>0.17647058823529416</v>
      </c>
      <c r="P16" s="1031"/>
      <c r="Q16" s="1031">
        <f>Q15/P15-1</f>
        <v>0.33971083813457992</v>
      </c>
      <c r="R16" s="1031">
        <f t="shared" ref="R16:T16" si="17">R15/Q15-1</f>
        <v>0.40011359948068814</v>
      </c>
      <c r="S16" s="1031">
        <f t="shared" si="17"/>
        <v>0.20278180237612276</v>
      </c>
      <c r="T16" s="1031">
        <f t="shared" si="17"/>
        <v>0.26072082490122384</v>
      </c>
      <c r="U16" s="1084"/>
      <c r="V16" s="1097"/>
      <c r="X16" s="168"/>
      <c r="Y16" s="168"/>
      <c r="Z16" s="168"/>
      <c r="AA16" s="168"/>
      <c r="AB16" s="353"/>
      <c r="AC16" s="353"/>
      <c r="AD16" s="353"/>
      <c r="AE16" s="353"/>
      <c r="AF16" s="353"/>
      <c r="AG16" s="353"/>
      <c r="AH16" s="353"/>
      <c r="AI16" s="353"/>
      <c r="AJ16" s="353"/>
      <c r="AK16" s="353"/>
      <c r="AL16" s="353"/>
      <c r="AM16" s="353"/>
      <c r="AN16" s="353"/>
      <c r="AO16" s="353"/>
      <c r="AP16" s="353"/>
      <c r="AQ16" s="353"/>
      <c r="AR16" s="353"/>
      <c r="AS16" s="353"/>
      <c r="AT16" s="353"/>
      <c r="AU16" s="168"/>
      <c r="AV16" s="168"/>
      <c r="AW16" s="168"/>
    </row>
    <row r="17" spans="2:49" ht="51.75" hidden="1" customHeight="1" x14ac:dyDescent="0.25">
      <c r="B17" s="474" t="s">
        <v>382</v>
      </c>
      <c r="C17" s="473"/>
      <c r="D17" s="480"/>
      <c r="E17" s="480"/>
      <c r="F17" s="480"/>
      <c r="G17" s="480"/>
      <c r="H17" s="480"/>
      <c r="I17" s="617"/>
      <c r="J17" s="617"/>
      <c r="K17" s="480"/>
      <c r="L17" s="480"/>
      <c r="M17" s="480"/>
      <c r="N17" s="480"/>
      <c r="O17" s="1075"/>
      <c r="P17" s="480"/>
      <c r="Q17" s="480"/>
      <c r="R17" s="480"/>
      <c r="S17" s="480"/>
      <c r="T17" s="480"/>
      <c r="U17" s="480"/>
      <c r="V17" s="1075"/>
      <c r="X17" s="168"/>
      <c r="Y17" s="354"/>
      <c r="Z17" s="168"/>
      <c r="AA17" s="168"/>
      <c r="AB17" s="168"/>
      <c r="AC17" s="168"/>
      <c r="AD17" s="168"/>
      <c r="AE17" s="168"/>
      <c r="AF17" s="168"/>
      <c r="AG17" s="168"/>
      <c r="AH17" s="168"/>
      <c r="AI17" s="168"/>
      <c r="AJ17" s="168"/>
      <c r="AK17" s="168"/>
      <c r="AL17" s="168"/>
      <c r="AM17" s="168"/>
      <c r="AN17" s="168"/>
      <c r="AO17" s="168"/>
      <c r="AP17" s="168"/>
      <c r="AQ17" s="168"/>
      <c r="AR17" s="168"/>
      <c r="AS17" s="168"/>
      <c r="AT17" s="168"/>
      <c r="AU17" s="168"/>
      <c r="AV17" s="168"/>
      <c r="AW17" s="168"/>
    </row>
    <row r="18" spans="2:49" ht="32.1" customHeight="1" x14ac:dyDescent="0.25">
      <c r="B18" s="488" t="s">
        <v>567</v>
      </c>
      <c r="C18" s="489"/>
      <c r="D18" s="489"/>
      <c r="E18" s="489"/>
      <c r="F18" s="489"/>
      <c r="G18" s="489"/>
      <c r="H18" s="489"/>
      <c r="I18" s="618"/>
      <c r="J18" s="618"/>
      <c r="K18" s="489"/>
      <c r="L18" s="489"/>
      <c r="M18" s="489"/>
      <c r="N18" s="489"/>
      <c r="O18" s="491"/>
      <c r="P18" s="489"/>
      <c r="Q18" s="489"/>
      <c r="R18" s="489"/>
      <c r="S18" s="489"/>
      <c r="T18" s="489"/>
      <c r="U18" s="489"/>
      <c r="V18" s="490"/>
      <c r="X18" s="168"/>
      <c r="Y18" s="354"/>
      <c r="Z18" s="168"/>
      <c r="AA18" s="168"/>
      <c r="AB18" s="168"/>
      <c r="AC18" s="168"/>
      <c r="AD18" s="168"/>
      <c r="AE18" s="168"/>
      <c r="AF18" s="354"/>
      <c r="AG18" s="168"/>
      <c r="AH18" s="168"/>
      <c r="AI18" s="168"/>
      <c r="AJ18" s="168"/>
      <c r="AK18" s="168"/>
      <c r="AL18" s="168"/>
      <c r="AM18" s="168"/>
      <c r="AN18" s="168"/>
      <c r="AO18" s="168"/>
      <c r="AP18" s="168"/>
      <c r="AQ18" s="168"/>
      <c r="AR18" s="168"/>
      <c r="AS18" s="168"/>
      <c r="AT18" s="168"/>
      <c r="AU18" s="168"/>
      <c r="AV18" s="168"/>
      <c r="AW18" s="168"/>
    </row>
    <row r="19" spans="2:49" ht="21" x14ac:dyDescent="0.25">
      <c r="B19" s="479" t="s">
        <v>577</v>
      </c>
      <c r="C19" s="1016">
        <f>'BOD Summary'!C15/Metrics!C9</f>
        <v>192.8942958067729</v>
      </c>
      <c r="D19" s="1034">
        <f>'BOD Summary'!D15/Metrics!D9</f>
        <v>196.28045811999996</v>
      </c>
      <c r="E19" s="1034">
        <f>'BOD Summary'!E15/Metrics!E9</f>
        <v>220.34319474501856</v>
      </c>
      <c r="F19" s="1034">
        <f>'BOD Summary'!F15/Metrics!F9</f>
        <v>180.29686403786468</v>
      </c>
      <c r="G19" s="1034">
        <f>'BOD Summary'!G15/Metrics!G9</f>
        <v>323.5490053385783</v>
      </c>
      <c r="H19" s="1034">
        <f>'BOD Summary'!H15/Metrics!H9</f>
        <v>355.84545112781956</v>
      </c>
      <c r="I19" s="1341">
        <f>'BOD Summary'!I15/Metrics!I9</f>
        <v>527.60770117592813</v>
      </c>
      <c r="J19" s="1341"/>
      <c r="K19" s="1034">
        <f>'BOD Summary'!J15/Metrics!K9</f>
        <v>449.23196678091222</v>
      </c>
      <c r="L19" s="1248">
        <f>'BOD Summary'!K15/Metrics!L9</f>
        <v>421.89948128101031</v>
      </c>
      <c r="M19" s="544">
        <f>'BOD Summary'!L15/Metrics!M9</f>
        <v>544.22836509457989</v>
      </c>
      <c r="N19" s="544">
        <f>'BOD Summary'!M15/Metrics!N9</f>
        <v>644.78767447679365</v>
      </c>
      <c r="O19" s="1076">
        <f>'BOD Summary'!N15/Metrics!O9</f>
        <v>434.12141713250008</v>
      </c>
      <c r="P19" s="1106">
        <f>661064/3331</f>
        <v>198.45812068447913</v>
      </c>
      <c r="Q19" s="1106">
        <f>934142/3600</f>
        <v>259.48388888888888</v>
      </c>
      <c r="R19" s="1106">
        <f>1120118/6133</f>
        <v>182.63786075330182</v>
      </c>
      <c r="S19" s="1106">
        <f>'BOD Summary'!R15/S9</f>
        <v>197.04795527762153</v>
      </c>
      <c r="T19" s="1106">
        <f>('BOD Summary'!S15)/T9</f>
        <v>418.61762293513624</v>
      </c>
      <c r="U19" s="544">
        <f>('BOD Summary'!T15)/U9</f>
        <v>507.84341050395432</v>
      </c>
      <c r="V19" s="1076">
        <f>('BOD Summary'!U15)/V9</f>
        <v>1594.0700752394412</v>
      </c>
      <c r="X19" s="168"/>
      <c r="Y19" s="354" t="s">
        <v>794</v>
      </c>
      <c r="Z19" s="168"/>
      <c r="AA19" s="355"/>
      <c r="AB19" s="355"/>
      <c r="AC19" s="355"/>
      <c r="AD19" s="355"/>
      <c r="AE19" s="355"/>
      <c r="AF19" s="354" t="s">
        <v>795</v>
      </c>
      <c r="AG19" s="355"/>
      <c r="AH19" s="570">
        <v>1</v>
      </c>
      <c r="AI19" s="570">
        <v>2</v>
      </c>
      <c r="AJ19" s="570">
        <v>3</v>
      </c>
      <c r="AK19" s="570">
        <v>4</v>
      </c>
      <c r="AL19" s="355"/>
      <c r="AM19" s="355"/>
      <c r="AN19" s="355"/>
      <c r="AO19" s="355"/>
      <c r="AP19" s="355"/>
      <c r="AQ19" s="355"/>
      <c r="AR19" s="355"/>
      <c r="AS19" s="355"/>
      <c r="AT19" s="355"/>
      <c r="AU19" s="355"/>
      <c r="AV19" s="355"/>
      <c r="AW19" s="355"/>
    </row>
    <row r="20" spans="2:49" ht="20.25" customHeight="1" x14ac:dyDescent="0.25">
      <c r="B20" s="477" t="s">
        <v>585</v>
      </c>
      <c r="C20" s="1016">
        <f>AH29/(C9*C21)</f>
        <v>199.70916334661354</v>
      </c>
      <c r="D20" s="1034">
        <f>AI29/(D9*D21)</f>
        <v>243.74646153846155</v>
      </c>
      <c r="E20" s="1034">
        <f>AJ29/(E9*E21)</f>
        <v>249.50894967916244</v>
      </c>
      <c r="F20" s="1034">
        <f>AK29/(F9*F21)</f>
        <v>307.51458721291124</v>
      </c>
      <c r="G20" s="1034">
        <f>AH30/(G9*G21)</f>
        <v>507.3207489335615</v>
      </c>
      <c r="H20" s="1034">
        <f>AI30/(H9*H21)</f>
        <v>1414.7391516949319</v>
      </c>
      <c r="I20" s="1341">
        <f>AJ30/(I9*I21)</f>
        <v>594.66053933735429</v>
      </c>
      <c r="J20" s="1341"/>
      <c r="K20" s="1034">
        <f>AK30/(K9*K21)</f>
        <v>567.52931762779144</v>
      </c>
      <c r="L20" s="1248">
        <f>AM30/(L9*L21)</f>
        <v>523.74010389933585</v>
      </c>
      <c r="M20" s="544"/>
      <c r="N20" s="544"/>
      <c r="O20" s="1076"/>
      <c r="P20" s="1106">
        <f>AG26/(P9*P21)</f>
        <v>390.43600362209474</v>
      </c>
      <c r="Q20" s="1106">
        <f>AG27/(Q9*Q21)</f>
        <v>450.55621474517562</v>
      </c>
      <c r="R20" s="1106">
        <f>AG28/(R9*R21)</f>
        <v>369.2327987082885</v>
      </c>
      <c r="S20" s="1106">
        <f>AG29/(S9*S21)</f>
        <v>250.96958135797507</v>
      </c>
      <c r="T20" s="1110">
        <f>AG30/(T9*T21)</f>
        <v>654.42783096046196</v>
      </c>
      <c r="U20" s="1072">
        <f>(SUM('CAC Update'!AC48:AN48)/(U9*U21))</f>
        <v>514.52684467939866</v>
      </c>
      <c r="V20" s="1098">
        <f>(SUM('CAC Update'!AO48:AZ48)/(V9*V21))</f>
        <v>395.06172839506172</v>
      </c>
      <c r="W20" s="613"/>
      <c r="X20" s="168"/>
      <c r="Y20" s="570">
        <v>2009</v>
      </c>
      <c r="Z20" s="309">
        <v>90682615</v>
      </c>
      <c r="AA20" s="168"/>
      <c r="AB20" s="168"/>
      <c r="AC20" s="168"/>
      <c r="AD20" s="168"/>
      <c r="AE20" s="168"/>
      <c r="AF20" s="570">
        <v>2009</v>
      </c>
      <c r="AG20" s="168">
        <v>3042554.6598499999</v>
      </c>
      <c r="AH20" s="168"/>
      <c r="AI20" s="168"/>
      <c r="AJ20" s="168"/>
      <c r="AK20" s="168"/>
      <c r="AL20" s="168"/>
      <c r="AM20" s="168"/>
      <c r="AN20" s="168"/>
      <c r="AO20" s="168"/>
      <c r="AP20" s="168"/>
      <c r="AQ20" s="168"/>
      <c r="AR20" s="168"/>
      <c r="AS20" s="168"/>
      <c r="AT20" s="168"/>
      <c r="AU20" s="168"/>
      <c r="AV20" s="168"/>
      <c r="AW20" s="168"/>
    </row>
    <row r="21" spans="2:49" ht="20.25" customHeight="1" x14ac:dyDescent="0.25">
      <c r="B21" s="478" t="s">
        <v>569</v>
      </c>
      <c r="C21" s="1031">
        <v>0.25</v>
      </c>
      <c r="D21" s="1031">
        <v>0.25</v>
      </c>
      <c r="E21" s="1031">
        <v>0.25</v>
      </c>
      <c r="F21" s="1031">
        <v>0.25</v>
      </c>
      <c r="G21" s="1031">
        <v>0.33</v>
      </c>
      <c r="H21" s="1031">
        <v>0.1389</v>
      </c>
      <c r="I21" s="1337">
        <v>0.56830000000000003</v>
      </c>
      <c r="J21" s="1337"/>
      <c r="K21" s="1031">
        <v>0.44829999999999998</v>
      </c>
      <c r="L21" s="1249">
        <v>0.40600000000000003</v>
      </c>
      <c r="M21" s="1070">
        <v>0.45</v>
      </c>
      <c r="N21" s="1070">
        <v>0.45</v>
      </c>
      <c r="O21" s="1077">
        <v>0.45</v>
      </c>
      <c r="P21" s="1107">
        <v>0.25</v>
      </c>
      <c r="Q21" s="1107">
        <v>0.25</v>
      </c>
      <c r="R21" s="1107">
        <v>0.25</v>
      </c>
      <c r="S21" s="1107">
        <v>0.25</v>
      </c>
      <c r="T21" s="1107">
        <f>(SUM(G21:K21))/4</f>
        <v>0.37137499999999996</v>
      </c>
      <c r="U21" s="1070">
        <v>0.45</v>
      </c>
      <c r="V21" s="1077">
        <v>0.45</v>
      </c>
      <c r="X21" s="304" t="s">
        <v>1121</v>
      </c>
      <c r="Y21" s="570">
        <v>2010</v>
      </c>
      <c r="Z21" s="168">
        <v>166946686</v>
      </c>
      <c r="AF21" s="570">
        <v>2010</v>
      </c>
      <c r="AG21" s="304">
        <v>4592762.7899999861</v>
      </c>
    </row>
    <row r="22" spans="2:49" ht="20.25" customHeight="1" x14ac:dyDescent="0.25">
      <c r="B22" s="476" t="s">
        <v>804</v>
      </c>
      <c r="C22" s="1034">
        <f>SUM('Cost Summary'!M49:O49)/C13</f>
        <v>73.647489979851201</v>
      </c>
      <c r="D22" s="1034">
        <f>SUM('Cost Summary'!N49:P49)/D13</f>
        <v>60.989513258779112</v>
      </c>
      <c r="E22" s="1034">
        <f>SUM('Cost Summary'!O49:Q49)/E13</f>
        <v>45.134485408101376</v>
      </c>
      <c r="F22" s="1034">
        <f>SUM('Cost Summary'!P49:R49)/F13</f>
        <v>47.541346433310174</v>
      </c>
      <c r="G22" s="1034">
        <f>SUM('Cost Summary'!Q49:S49)/G13</f>
        <v>50.85440562804402</v>
      </c>
      <c r="H22" s="1034">
        <f>SUM('Cost Summary'!R49:T49)/H13</f>
        <v>47.532540141118957</v>
      </c>
      <c r="I22" s="1341">
        <f>SUM('Cost Summary'!U49:W49)/I13</f>
        <v>49.809377389686887</v>
      </c>
      <c r="J22" s="1341"/>
      <c r="K22" s="1034">
        <f>SUM('Cost Summary'!X49:Z49)/K13</f>
        <v>54.990385913648041</v>
      </c>
      <c r="L22" s="1248">
        <f>SUM('Cost Summary'!AA49:AC49)/L13</f>
        <v>48.509955777151525</v>
      </c>
      <c r="M22" s="544">
        <f>SUM('Cost Summary'!AD49:AF49)/M13</f>
        <v>64.756760048795968</v>
      </c>
      <c r="N22" s="544">
        <f>SUM('Cost Summary'!AG49:AI49)/N13</f>
        <v>64.806358433013955</v>
      </c>
      <c r="O22" s="1076">
        <f>SUM('Cost Summary'!AJ49:AL49)/O13</f>
        <v>66.825741598724335</v>
      </c>
      <c r="P22" s="1110">
        <f>1276787.33/P13</f>
        <v>134.3703778151968</v>
      </c>
      <c r="Q22" s="1110">
        <f>('BOD Summary'!P12+168733)/Q13</f>
        <v>163.00001858592117</v>
      </c>
      <c r="R22" s="1110">
        <f>('BOD Summary'!Q12+288413)/R13</f>
        <v>149.18187684861522</v>
      </c>
      <c r="S22" s="1110">
        <f>(SUM('Cost Summary'!C49:N49)/S13)</f>
        <v>129.22553176398478</v>
      </c>
      <c r="T22" s="1110">
        <f>(SUM('Cost Summary'!O49:Z49)/T13)</f>
        <v>114.75174368670683</v>
      </c>
      <c r="U22" s="1072">
        <f>(SUM('Cost Summary'!AA49:AL49)/U13)</f>
        <v>161.59358818927637</v>
      </c>
      <c r="V22" s="1098">
        <f>(SUM('Cost Summary'!AM49:AX49)/V13)</f>
        <v>173.69834796078916</v>
      </c>
      <c r="Y22" s="570">
        <v>2011</v>
      </c>
      <c r="Z22" s="168">
        <v>206184044</v>
      </c>
      <c r="AF22" s="570">
        <v>2011</v>
      </c>
      <c r="AG22" s="304">
        <v>5540625.6899999715</v>
      </c>
    </row>
    <row r="23" spans="2:49" s="437" customFormat="1" ht="32.1" customHeight="1" x14ac:dyDescent="0.25">
      <c r="B23" s="488" t="s">
        <v>570</v>
      </c>
      <c r="C23" s="491"/>
      <c r="D23" s="491"/>
      <c r="E23" s="491"/>
      <c r="F23" s="491"/>
      <c r="G23" s="491"/>
      <c r="H23" s="491"/>
      <c r="I23" s="619"/>
      <c r="J23" s="619"/>
      <c r="K23" s="491"/>
      <c r="L23" s="491"/>
      <c r="M23" s="491"/>
      <c r="N23" s="491"/>
      <c r="O23" s="491"/>
      <c r="P23" s="491"/>
      <c r="Q23" s="491"/>
      <c r="R23" s="491"/>
      <c r="S23" s="491"/>
      <c r="T23" s="491"/>
      <c r="U23" s="491"/>
      <c r="V23" s="492"/>
      <c r="Y23" s="570">
        <v>2012</v>
      </c>
      <c r="Z23" s="168">
        <f>SUM(AA23:AD23)</f>
        <v>246632305</v>
      </c>
      <c r="AA23" s="437">
        <v>51711280</v>
      </c>
      <c r="AB23" s="437">
        <v>59190046</v>
      </c>
      <c r="AC23" s="437">
        <v>60568500</v>
      </c>
      <c r="AD23" s="437">
        <v>75162479</v>
      </c>
      <c r="AF23" s="570">
        <v>2012</v>
      </c>
      <c r="AG23" s="437">
        <v>6589705.0399999674</v>
      </c>
      <c r="AH23" s="570">
        <v>1428659.1800000006</v>
      </c>
      <c r="AI23" s="570">
        <v>1611518.2800000005</v>
      </c>
      <c r="AJ23" s="570">
        <v>1681216.4800000004</v>
      </c>
      <c r="AK23" s="570">
        <v>1868311.0999999996</v>
      </c>
    </row>
    <row r="24" spans="2:49" s="437" customFormat="1" ht="23.25" x14ac:dyDescent="0.25">
      <c r="B24" s="478" t="s">
        <v>806</v>
      </c>
      <c r="C24" s="1034">
        <f>('BOD Summary'!C8/Metrics!C15)</f>
        <v>332.15122808626302</v>
      </c>
      <c r="D24" s="1034">
        <f>('BOD Summary'!D8/Metrics!D15)</f>
        <v>342.35120688470397</v>
      </c>
      <c r="E24" s="1034">
        <f>('BOD Summary'!E8/Metrics!E15)</f>
        <v>317.13061813241899</v>
      </c>
      <c r="F24" s="1034">
        <f>('BOD Summary'!F8/Metrics!F15)</f>
        <v>349.60548144537842</v>
      </c>
      <c r="G24" s="1034">
        <f>('BOD Summary'!G8/Metrics!G15)</f>
        <v>342.91239861567124</v>
      </c>
      <c r="H24" s="1034">
        <f>('BOD Summary'!H8/Metrics!H15)</f>
        <v>337.20359414961638</v>
      </c>
      <c r="I24" s="1341">
        <f>('BOD Summary'!I8/Metrics!I15)</f>
        <v>301.49433810637061</v>
      </c>
      <c r="J24" s="1341"/>
      <c r="K24" s="1034">
        <f>('BOD Summary'!J8/Metrics!K15)</f>
        <v>334.72119902354962</v>
      </c>
      <c r="L24" s="1248">
        <f>('BOD Summary'!K8/Metrics!L15)</f>
        <v>297.19033872010345</v>
      </c>
      <c r="M24" s="544">
        <f>('BOD Summary'!L8/Metrics!M15)</f>
        <v>329.4694288861466</v>
      </c>
      <c r="N24" s="544">
        <f>('BOD Summary'!M8/Metrics!N15)</f>
        <v>375.05301796308203</v>
      </c>
      <c r="O24" s="1076">
        <f>('BOD Summary'!N8/Metrics!O15)</f>
        <v>372.54061291480014</v>
      </c>
      <c r="P24" s="1018"/>
      <c r="Q24" s="1018"/>
      <c r="R24" s="1018"/>
      <c r="S24" s="1106">
        <f>(AVERAGE(C24:F24)*4)</f>
        <v>1341.2385345487644</v>
      </c>
      <c r="T24" s="1106">
        <f>(AVERAGE(G24:K24)*4)</f>
        <v>1316.331529895208</v>
      </c>
      <c r="U24" s="544">
        <f>(AVERAGE(L24:O24)*4)</f>
        <v>1374.253398484132</v>
      </c>
      <c r="V24" s="1112"/>
      <c r="W24" s="61"/>
      <c r="Y24" s="570">
        <v>2013</v>
      </c>
      <c r="Z24" s="309">
        <f>SUM(AA24:AD24)</f>
        <v>303627023</v>
      </c>
      <c r="AA24" s="437">
        <v>73311550</v>
      </c>
      <c r="AB24" s="437">
        <v>75996303</v>
      </c>
      <c r="AC24" s="437">
        <v>74319170</v>
      </c>
      <c r="AD24" s="612">
        <v>80000000</v>
      </c>
      <c r="AF24" s="570">
        <v>2013</v>
      </c>
      <c r="AG24" s="570">
        <f>SUM(AH24:AK24)</f>
        <v>7699066.0900000008</v>
      </c>
      <c r="AH24" s="570">
        <v>1749654.840000001</v>
      </c>
      <c r="AI24" s="570">
        <v>1918330.46</v>
      </c>
      <c r="AJ24" s="570">
        <v>1937274.6500000001</v>
      </c>
      <c r="AK24" s="615">
        <v>2093806.14</v>
      </c>
    </row>
    <row r="25" spans="2:49" s="437" customFormat="1" ht="21" hidden="1" outlineLevel="1" x14ac:dyDescent="0.25">
      <c r="B25" s="586" t="s">
        <v>571</v>
      </c>
      <c r="C25" s="1034">
        <f>AA29/AA41</f>
        <v>351.8707817836812</v>
      </c>
      <c r="D25" s="1034">
        <f>AB29/AB41</f>
        <v>399.37819629629627</v>
      </c>
      <c r="E25" s="1034">
        <f>AC29/AC41</f>
        <v>397.75477439664218</v>
      </c>
      <c r="F25" s="1034">
        <f>AD29/AD41</f>
        <v>425.5887483176312</v>
      </c>
      <c r="G25" s="1034">
        <f>AA30/AA42</f>
        <v>391.45692662059889</v>
      </c>
      <c r="H25" s="1034">
        <f>AB30/AB42</f>
        <v>401.46307120743035</v>
      </c>
      <c r="I25" s="1341">
        <f>AC30/AC42</f>
        <v>390.43650427350423</v>
      </c>
      <c r="J25" s="1341"/>
      <c r="K25" s="1034">
        <f>AD30/AD42</f>
        <v>392.41637281659393</v>
      </c>
      <c r="L25" s="1080"/>
      <c r="M25" s="1080"/>
      <c r="N25" s="1080"/>
      <c r="O25" s="1081"/>
      <c r="P25" s="1018"/>
      <c r="Q25" s="1014"/>
      <c r="R25" s="1014"/>
      <c r="S25" s="1106">
        <f>SUM(C25:F25)</f>
        <v>1574.5925007942508</v>
      </c>
      <c r="T25" s="1106">
        <f>(SUM(G25:K25))</f>
        <v>1575.7728749181274</v>
      </c>
      <c r="U25" s="1080"/>
      <c r="V25" s="1081"/>
      <c r="Y25" s="437" t="s">
        <v>792</v>
      </c>
      <c r="AA25" s="437">
        <v>1</v>
      </c>
      <c r="AB25" s="437">
        <v>2</v>
      </c>
      <c r="AC25" s="437">
        <v>3</v>
      </c>
      <c r="AD25" s="437">
        <v>4</v>
      </c>
      <c r="AF25" s="437" t="s">
        <v>796</v>
      </c>
      <c r="AG25" s="570" t="s">
        <v>1117</v>
      </c>
    </row>
    <row r="26" spans="2:49" s="437" customFormat="1" ht="21" hidden="1" outlineLevel="1" x14ac:dyDescent="0.25">
      <c r="B26" s="586" t="s">
        <v>572</v>
      </c>
      <c r="C26" s="1031">
        <f>AA29/AA36</f>
        <v>0.28358809861879553</v>
      </c>
      <c r="D26" s="1031">
        <f>AB29/AB36</f>
        <v>0.29728848043427147</v>
      </c>
      <c r="E26" s="1031">
        <f>AC29/AC36</f>
        <v>0.31740254480744651</v>
      </c>
      <c r="F26" s="1031">
        <f>AD29/AD36</f>
        <v>0.29247561584833875</v>
      </c>
      <c r="G26" s="1031">
        <f>AA30/AA37</f>
        <v>0.30785491256552461</v>
      </c>
      <c r="H26" s="1031">
        <f>AB30/AB37</f>
        <v>0.30734720161384538</v>
      </c>
      <c r="I26" s="1337">
        <f>AC30/AC37</f>
        <v>0.33805076756704783</v>
      </c>
      <c r="J26" s="1337"/>
      <c r="K26" s="1031"/>
      <c r="L26" s="1080"/>
      <c r="M26" s="1080"/>
      <c r="N26" s="1080"/>
      <c r="O26" s="1081"/>
      <c r="P26" s="1020"/>
      <c r="Q26" s="1020"/>
      <c r="R26" s="1020"/>
      <c r="S26" s="1111">
        <f>Z29/Z36</f>
        <v>0.29772467185437312</v>
      </c>
      <c r="T26" s="1111">
        <f>Z30/Z37</f>
        <v>1.5747971211141842E-3</v>
      </c>
      <c r="U26" s="1082"/>
      <c r="V26" s="1081"/>
      <c r="Y26" s="437">
        <v>2009</v>
      </c>
      <c r="Z26" s="437">
        <v>1133705.1399999999</v>
      </c>
      <c r="AA26" s="437">
        <v>180811.24498987201</v>
      </c>
      <c r="AB26" s="437">
        <v>264490.13997507101</v>
      </c>
      <c r="AC26" s="437">
        <v>292415.96000385279</v>
      </c>
      <c r="AD26" s="437">
        <v>395987.79503774637</v>
      </c>
      <c r="AF26" s="570">
        <v>2009</v>
      </c>
      <c r="AG26" s="437">
        <v>646757.24</v>
      </c>
    </row>
    <row r="27" spans="2:49" s="437" customFormat="1" ht="21" collapsed="1" x14ac:dyDescent="0.25">
      <c r="B27" s="478" t="s">
        <v>789</v>
      </c>
      <c r="C27" s="1037">
        <v>4.0847493593050933E-2</v>
      </c>
      <c r="D27" s="1037">
        <v>4.2796391778878902E-2</v>
      </c>
      <c r="E27" s="1037">
        <v>4.1557768717793139E-2</v>
      </c>
      <c r="F27" s="1037">
        <v>3.4090966150881655E-2</v>
      </c>
      <c r="G27" s="1037">
        <v>4.4530880214703535E-2</v>
      </c>
      <c r="H27" s="1037">
        <v>4.4673594335411432E-2</v>
      </c>
      <c r="I27" s="1348">
        <v>5.9945617541199585E-2</v>
      </c>
      <c r="J27" s="1348"/>
      <c r="K27" s="1037">
        <v>3.6936010310661398E-2</v>
      </c>
      <c r="L27" s="1250">
        <v>4.0852876050207376E-2</v>
      </c>
      <c r="M27" s="1080"/>
      <c r="N27" s="1080"/>
      <c r="O27" s="1081"/>
      <c r="P27" s="1015"/>
      <c r="Q27" s="1015"/>
      <c r="R27" s="1015"/>
      <c r="S27" s="1109">
        <v>3.9409429538381509E-2</v>
      </c>
      <c r="T27" s="1109">
        <v>5.2075978466881098E-2</v>
      </c>
      <c r="U27" s="1080"/>
      <c r="V27" s="1081"/>
      <c r="W27" s="570"/>
      <c r="Y27" s="437">
        <v>2010</v>
      </c>
      <c r="Z27" s="437">
        <v>2387716.16</v>
      </c>
      <c r="AA27" s="437">
        <v>477891.34003925318</v>
      </c>
      <c r="AB27" s="437">
        <v>518666.36999320978</v>
      </c>
      <c r="AC27" s="437">
        <v>626263.74008131027</v>
      </c>
      <c r="AD27" s="437">
        <v>766019.70979785919</v>
      </c>
      <c r="AE27" s="570"/>
      <c r="AF27" s="570">
        <v>2010</v>
      </c>
      <c r="AG27" s="437">
        <v>910574.11</v>
      </c>
    </row>
    <row r="28" spans="2:49" s="437" customFormat="1" ht="21" x14ac:dyDescent="0.25">
      <c r="B28" s="478" t="s">
        <v>790</v>
      </c>
      <c r="C28" s="1037">
        <f>AH23/AA23</f>
        <v>2.7627612002642375E-2</v>
      </c>
      <c r="D28" s="1037">
        <f>AI23/AB23</f>
        <v>2.7226170427372205E-2</v>
      </c>
      <c r="E28" s="1037">
        <f t="shared" ref="E28:F28" si="18">AJ23/AC23</f>
        <v>2.7757274490865722E-2</v>
      </c>
      <c r="F28" s="1037">
        <f t="shared" si="18"/>
        <v>2.4856964869399794E-2</v>
      </c>
      <c r="G28" s="1037">
        <f>AH24/AA24</f>
        <v>2.3866018928804546E-2</v>
      </c>
      <c r="H28" s="1037">
        <f t="shared" ref="H28:I28" si="19">AI24/AB24</f>
        <v>2.5242418173947224E-2</v>
      </c>
      <c r="I28" s="1348">
        <f t="shared" si="19"/>
        <v>2.6066957556172925E-2</v>
      </c>
      <c r="J28" s="1348"/>
      <c r="K28" s="1037">
        <f>AK24/AD24</f>
        <v>2.6172576749999999E-2</v>
      </c>
      <c r="L28" s="1253">
        <v>0.03</v>
      </c>
      <c r="M28" s="1080"/>
      <c r="N28" s="1080"/>
      <c r="O28" s="1081"/>
      <c r="P28" s="1015"/>
      <c r="Q28" s="1015"/>
      <c r="R28" s="1015"/>
      <c r="S28" s="1109">
        <f>AG23/Z23</f>
        <v>2.6718742461576423E-2</v>
      </c>
      <c r="T28" s="1109">
        <f>AG24/Z24</f>
        <v>2.5356985731800296E-2</v>
      </c>
      <c r="U28" s="1080"/>
      <c r="V28" s="1081"/>
      <c r="Y28" s="437">
        <v>2011</v>
      </c>
      <c r="Z28" s="437">
        <v>3405622.21</v>
      </c>
      <c r="AA28" s="437">
        <v>772979.60016822815</v>
      </c>
      <c r="AB28" s="437">
        <v>822359.23000431061</v>
      </c>
      <c r="AC28" s="437">
        <v>865471.29003238678</v>
      </c>
      <c r="AD28" s="899">
        <v>947137.08991718292</v>
      </c>
      <c r="AF28" s="570">
        <v>2011</v>
      </c>
      <c r="AG28" s="437">
        <v>1029051.81</v>
      </c>
    </row>
    <row r="29" spans="2:49" s="437" customFormat="1" ht="32.1" customHeight="1" x14ac:dyDescent="0.25">
      <c r="B29" s="488" t="s">
        <v>573</v>
      </c>
      <c r="C29" s="491"/>
      <c r="D29" s="491"/>
      <c r="E29" s="491"/>
      <c r="F29" s="491"/>
      <c r="G29" s="491"/>
      <c r="H29" s="491"/>
      <c r="I29" s="619"/>
      <c r="J29" s="619"/>
      <c r="K29" s="491"/>
      <c r="L29" s="491"/>
      <c r="M29" s="491"/>
      <c r="N29" s="491"/>
      <c r="O29" s="491"/>
      <c r="P29" s="491"/>
      <c r="Q29" s="491"/>
      <c r="R29" s="491"/>
      <c r="S29" s="491"/>
      <c r="T29" s="491"/>
      <c r="U29" s="491"/>
      <c r="V29" s="492"/>
      <c r="Y29" s="437">
        <v>2012</v>
      </c>
      <c r="Z29" s="437">
        <v>4407531.3</v>
      </c>
      <c r="AA29" s="615">
        <v>927179.51</v>
      </c>
      <c r="AB29" s="615">
        <v>1078321.1299999999</v>
      </c>
      <c r="AC29" s="615">
        <v>1137180.8999999999</v>
      </c>
      <c r="AD29" s="615">
        <v>1264849.76</v>
      </c>
      <c r="AF29" s="570">
        <v>2012</v>
      </c>
      <c r="AG29" s="615">
        <v>780829.11</v>
      </c>
      <c r="AH29" s="615">
        <v>150381</v>
      </c>
      <c r="AI29" s="437">
        <v>198044</v>
      </c>
      <c r="AJ29" s="437">
        <v>184699</v>
      </c>
      <c r="AK29" s="437">
        <v>247703</v>
      </c>
    </row>
    <row r="30" spans="2:49" ht="21" x14ac:dyDescent="0.25">
      <c r="B30" s="476" t="s">
        <v>576</v>
      </c>
      <c r="C30" s="1016">
        <f t="shared" ref="C30:H30" si="20">C24*8</f>
        <v>2657.2098246901041</v>
      </c>
      <c r="D30" s="1034">
        <f t="shared" si="20"/>
        <v>2738.8096550776318</v>
      </c>
      <c r="E30" s="1034">
        <f t="shared" si="20"/>
        <v>2537.0449450593519</v>
      </c>
      <c r="F30" s="1034">
        <f t="shared" si="20"/>
        <v>2796.8438515630273</v>
      </c>
      <c r="G30" s="1034">
        <f t="shared" si="20"/>
        <v>2743.2991889253699</v>
      </c>
      <c r="H30" s="1034">
        <f t="shared" si="20"/>
        <v>2697.628753196931</v>
      </c>
      <c r="I30" s="1341">
        <f>I24*10</f>
        <v>3014.9433810637061</v>
      </c>
      <c r="J30" s="1341"/>
      <c r="K30" s="1034">
        <f>K24*10</f>
        <v>3347.2119902354962</v>
      </c>
      <c r="L30" s="1285">
        <f>L24*10</f>
        <v>2971.9033872010345</v>
      </c>
      <c r="M30" s="544">
        <f t="shared" ref="M30:O30" si="21">M24*10</f>
        <v>3294.6942888614658</v>
      </c>
      <c r="N30" s="544">
        <f t="shared" si="21"/>
        <v>3750.5301796308204</v>
      </c>
      <c r="O30" s="1076">
        <f t="shared" si="21"/>
        <v>3725.4061291480011</v>
      </c>
      <c r="P30" s="1018"/>
      <c r="Q30" s="1018"/>
      <c r="R30" s="1018"/>
      <c r="S30" s="1106">
        <f t="shared" ref="S30:S31" si="22">S24*2</f>
        <v>2682.4770690975288</v>
      </c>
      <c r="T30" s="1106">
        <f>T24*2.5</f>
        <v>3290.8288247380196</v>
      </c>
      <c r="U30" s="544">
        <f>U24*2.5</f>
        <v>3435.6334962103301</v>
      </c>
      <c r="V30" s="1081"/>
      <c r="W30" s="621"/>
      <c r="X30" s="571"/>
      <c r="Y30" s="304">
        <v>2013</v>
      </c>
      <c r="Z30" s="899">
        <f>SUM(AA30:AD30)</f>
        <v>5294609.04</v>
      </c>
      <c r="AA30" s="899">
        <v>1189637.6000000001</v>
      </c>
      <c r="AB30" s="899">
        <v>1296725.72</v>
      </c>
      <c r="AC30" s="168">
        <v>1370432.13</v>
      </c>
      <c r="AD30" s="615">
        <v>1437813.59</v>
      </c>
      <c r="AF30" s="570">
        <v>2013</v>
      </c>
      <c r="AG30" s="304">
        <f>SUM(AH30:AK30)</f>
        <v>3810594.93</v>
      </c>
      <c r="AH30" s="304">
        <v>595833</v>
      </c>
      <c r="AI30" s="356">
        <v>784064</v>
      </c>
      <c r="AJ30" s="356">
        <v>1465670</v>
      </c>
      <c r="AK30" s="405">
        <v>965027.93</v>
      </c>
      <c r="AL30" s="304">
        <v>2014</v>
      </c>
      <c r="AM30" s="304">
        <v>942839.03</v>
      </c>
    </row>
    <row r="31" spans="2:49" s="437" customFormat="1" ht="21" hidden="1" customHeight="1" x14ac:dyDescent="0.25">
      <c r="B31" s="622" t="s">
        <v>574</v>
      </c>
      <c r="C31" s="1034">
        <f t="shared" ref="C31:H31" si="23">C25*8</f>
        <v>2814.9662542694496</v>
      </c>
      <c r="D31" s="1034">
        <f t="shared" si="23"/>
        <v>3195.0255703703701</v>
      </c>
      <c r="E31" s="1034">
        <f t="shared" si="23"/>
        <v>3182.0381951731374</v>
      </c>
      <c r="F31" s="1034">
        <f t="shared" si="23"/>
        <v>3404.7099865410496</v>
      </c>
      <c r="G31" s="1034">
        <f t="shared" si="23"/>
        <v>3131.6554129647911</v>
      </c>
      <c r="H31" s="1034">
        <f t="shared" si="23"/>
        <v>3211.7045696594428</v>
      </c>
      <c r="I31" s="1341">
        <f>I25*10</f>
        <v>3904.3650427350422</v>
      </c>
      <c r="J31" s="1341"/>
      <c r="K31" s="1034">
        <f t="shared" ref="K31" si="24">K25*8</f>
        <v>3139.3309825327515</v>
      </c>
      <c r="L31" s="1243"/>
      <c r="M31" s="544"/>
      <c r="N31" s="544"/>
      <c r="O31" s="1078"/>
      <c r="P31" s="1018"/>
      <c r="Q31" s="1018"/>
      <c r="R31" s="1018"/>
      <c r="S31" s="1106">
        <f t="shared" si="22"/>
        <v>3149.1850015885016</v>
      </c>
      <c r="T31" s="1106">
        <f>T25*2.25</f>
        <v>3545.4889685657868</v>
      </c>
      <c r="U31" s="544">
        <f>U25*2.25</f>
        <v>0</v>
      </c>
      <c r="V31" s="1081"/>
      <c r="Y31" s="437" t="s">
        <v>235</v>
      </c>
      <c r="Z31" s="899"/>
      <c r="AA31" s="899"/>
      <c r="AB31" s="899"/>
      <c r="AF31" s="570" t="s">
        <v>571</v>
      </c>
      <c r="AG31" s="437" t="s">
        <v>798</v>
      </c>
      <c r="AH31" s="437">
        <v>1</v>
      </c>
      <c r="AI31" s="437">
        <v>2</v>
      </c>
      <c r="AJ31" s="437">
        <v>3</v>
      </c>
      <c r="AK31" s="437">
        <v>4</v>
      </c>
    </row>
    <row r="32" spans="2:49" ht="21" x14ac:dyDescent="0.25">
      <c r="B32" s="478" t="s">
        <v>575</v>
      </c>
      <c r="C32" s="1034">
        <f t="shared" ref="C32:H32" si="25">C30-(C19+(8*C22))</f>
        <v>1875.1356090445215</v>
      </c>
      <c r="D32" s="1034">
        <f t="shared" si="25"/>
        <v>2054.6130908873988</v>
      </c>
      <c r="E32" s="1034">
        <f t="shared" si="25"/>
        <v>1955.6258670495222</v>
      </c>
      <c r="F32" s="1034">
        <f t="shared" si="25"/>
        <v>2236.2162160586813</v>
      </c>
      <c r="G32" s="1034">
        <f t="shared" si="25"/>
        <v>2012.9149385624394</v>
      </c>
      <c r="H32" s="1034">
        <f t="shared" si="25"/>
        <v>1961.5229809401599</v>
      </c>
      <c r="I32" s="1341">
        <f>I30-(I19+(10*I22))</f>
        <v>1989.2419059909091</v>
      </c>
      <c r="J32" s="1341"/>
      <c r="K32" s="1254">
        <f>K30-(K19+(10*K22))</f>
        <v>2348.0761643181036</v>
      </c>
      <c r="L32" s="1254">
        <f>L30-(L19+(10*L22))</f>
        <v>2064.9043481485087</v>
      </c>
      <c r="M32" s="544">
        <f>M30-(M19+(10*M22))</f>
        <v>2102.898323278926</v>
      </c>
      <c r="N32" s="544">
        <f>N30-(N19+(10*N22))</f>
        <v>2457.678920823887</v>
      </c>
      <c r="O32" s="1076">
        <f>O30-(O19+(10*O22))</f>
        <v>2623.0272960282578</v>
      </c>
      <c r="P32" s="1018"/>
      <c r="Q32" s="1018"/>
      <c r="R32" s="1018"/>
      <c r="S32" s="1106">
        <f>S30-(S19+(2*S22))</f>
        <v>2226.9780502919375</v>
      </c>
      <c r="T32" s="1106">
        <f>T30-(T19+(2.25*T22))</f>
        <v>2614.019778507793</v>
      </c>
      <c r="U32" s="544">
        <f>U30-(U19+(2.5*U22))</f>
        <v>2523.8061152331848</v>
      </c>
      <c r="V32" s="1081"/>
      <c r="X32" s="304" t="s">
        <v>1116</v>
      </c>
      <c r="Y32" s="570">
        <v>2009</v>
      </c>
      <c r="Z32" s="899">
        <v>5655161.7000000002</v>
      </c>
      <c r="AA32" s="899">
        <f>(3451449+2832064)*90%</f>
        <v>5655161.7000000002</v>
      </c>
      <c r="AB32" s="899">
        <v>1680630</v>
      </c>
      <c r="AE32" s="304" t="s">
        <v>1118</v>
      </c>
      <c r="AF32" s="570">
        <v>2009</v>
      </c>
      <c r="AG32" s="304" t="e">
        <f>SUM(AH32:AK32)</f>
        <v>#REF!</v>
      </c>
      <c r="AH32" s="304" t="e">
        <f>AA26/#REF!</f>
        <v>#REF!</v>
      </c>
      <c r="AI32" s="570" t="e">
        <f>AB26/#REF!</f>
        <v>#REF!</v>
      </c>
      <c r="AJ32" s="570" t="e">
        <f>AC26/#REF!</f>
        <v>#REF!</v>
      </c>
      <c r="AK32" s="570" t="e">
        <f>AD26/#REF!</f>
        <v>#REF!</v>
      </c>
    </row>
    <row r="33" spans="1:37" s="570" customFormat="1" ht="21" hidden="1" customHeight="1" x14ac:dyDescent="0.25">
      <c r="B33" s="622" t="s">
        <v>797</v>
      </c>
      <c r="C33" s="1034">
        <f>C31-(C19+(8*C22))</f>
        <v>2032.8920386238669</v>
      </c>
      <c r="D33" s="1034">
        <f t="shared" ref="D33:J33" si="26">D31-(D19+(8*D22))</f>
        <v>2510.8290061801372</v>
      </c>
      <c r="E33" s="1034">
        <f t="shared" si="26"/>
        <v>2600.6191171633077</v>
      </c>
      <c r="F33" s="1034">
        <f t="shared" si="26"/>
        <v>2844.0823510367036</v>
      </c>
      <c r="G33" s="1034">
        <f t="shared" si="26"/>
        <v>2401.2711626018609</v>
      </c>
      <c r="H33" s="1034">
        <f t="shared" si="26"/>
        <v>2475.5987974026716</v>
      </c>
      <c r="I33" s="1341">
        <f>I31-(I19+(10*I22))</f>
        <v>2878.6635676622454</v>
      </c>
      <c r="J33" s="1341">
        <f t="shared" si="26"/>
        <v>0</v>
      </c>
      <c r="K33" s="1034">
        <f t="shared" ref="K33:O33" si="27">K31-(K19+(8*K22))</f>
        <v>2250.1759284426548</v>
      </c>
      <c r="L33" s="1243">
        <f t="shared" si="27"/>
        <v>-809.97912749822251</v>
      </c>
      <c r="M33" s="544">
        <f t="shared" si="27"/>
        <v>-1062.2824454849476</v>
      </c>
      <c r="N33" s="544">
        <f t="shared" si="27"/>
        <v>-1163.2385419409052</v>
      </c>
      <c r="O33" s="1076">
        <f t="shared" si="27"/>
        <v>-968.72734992229471</v>
      </c>
      <c r="P33" s="1018"/>
      <c r="Q33" s="1018"/>
      <c r="R33" s="1018"/>
      <c r="S33" s="1106">
        <f>S31-(S19+(2*S22))</f>
        <v>2693.6859827829103</v>
      </c>
      <c r="T33" s="1106">
        <f>T31-(T19+(2.25*T22))</f>
        <v>2868.6799223355601</v>
      </c>
      <c r="U33" s="544">
        <f>U31-(U19+(2.25*U22))</f>
        <v>-871.42898392982625</v>
      </c>
      <c r="V33" s="1081"/>
      <c r="Z33" s="899"/>
      <c r="AA33" s="899"/>
      <c r="AB33" s="899"/>
      <c r="AF33" s="570">
        <v>2010</v>
      </c>
      <c r="AG33" s="570">
        <f t="shared" ref="AG33:AG36" si="28">SUM(AH33:AK33)</f>
        <v>1531.6605710492793</v>
      </c>
      <c r="AH33" s="570">
        <f t="shared" ref="AH33:AK36" si="29">AA27/AA39</f>
        <v>401.2521746761152</v>
      </c>
      <c r="AI33" s="570">
        <f t="shared" si="29"/>
        <v>376.66403049615815</v>
      </c>
      <c r="AJ33" s="570">
        <f t="shared" si="29"/>
        <v>370.35111772992917</v>
      </c>
      <c r="AK33" s="570">
        <f t="shared" si="29"/>
        <v>383.39324814707669</v>
      </c>
    </row>
    <row r="34" spans="1:37" s="437" customFormat="1" ht="21" x14ac:dyDescent="0.25">
      <c r="B34" s="479" t="s">
        <v>578</v>
      </c>
      <c r="C34" s="1017">
        <f t="shared" ref="C34:I34" si="30">C32/C19</f>
        <v>9.7210526687782011</v>
      </c>
      <c r="D34" s="1036">
        <f t="shared" si="30"/>
        <v>10.467741468339504</v>
      </c>
      <c r="E34" s="1036">
        <f t="shared" si="30"/>
        <v>8.875363132102061</v>
      </c>
      <c r="F34" s="1036">
        <f t="shared" si="30"/>
        <v>12.402967894045272</v>
      </c>
      <c r="G34" s="1036">
        <f t="shared" si="30"/>
        <v>6.2213603050827553</v>
      </c>
      <c r="H34" s="1036">
        <f t="shared" si="30"/>
        <v>5.5122890421200905</v>
      </c>
      <c r="I34" s="1347">
        <f t="shared" si="30"/>
        <v>3.7703049094190657</v>
      </c>
      <c r="J34" s="1347"/>
      <c r="K34" s="1036">
        <f t="shared" ref="K34:O34" si="31">K32/K19</f>
        <v>5.2268679389488915</v>
      </c>
      <c r="L34" s="1242">
        <f t="shared" si="31"/>
        <v>4.8943040694879612</v>
      </c>
      <c r="M34" s="541">
        <f t="shared" si="31"/>
        <v>3.8639998540198643</v>
      </c>
      <c r="N34" s="541">
        <f t="shared" si="31"/>
        <v>3.8116096478087074</v>
      </c>
      <c r="O34" s="1079">
        <f t="shared" si="31"/>
        <v>6.0421513256685797</v>
      </c>
      <c r="P34" s="1019"/>
      <c r="Q34" s="1019"/>
      <c r="R34" s="1019"/>
      <c r="S34" s="1108">
        <f>S32/S19</f>
        <v>11.301705958604547</v>
      </c>
      <c r="T34" s="1108">
        <f>T32/T19</f>
        <v>6.2444093016906477</v>
      </c>
      <c r="U34" s="541">
        <f>U32/U19</f>
        <v>4.9696541552615718</v>
      </c>
      <c r="V34" s="1099"/>
      <c r="Y34" s="570">
        <v>2010</v>
      </c>
      <c r="Z34" s="899">
        <v>8100314</v>
      </c>
      <c r="AA34" s="899"/>
      <c r="AB34" s="899"/>
      <c r="AF34" s="570">
        <v>2011</v>
      </c>
      <c r="AG34" s="570">
        <f t="shared" si="28"/>
        <v>1397.4614465954564</v>
      </c>
      <c r="AH34" s="437">
        <f t="shared" si="29"/>
        <v>344.0051625136752</v>
      </c>
      <c r="AI34" s="570">
        <f t="shared" si="29"/>
        <v>334.97320977772324</v>
      </c>
      <c r="AJ34" s="570">
        <f t="shared" si="29"/>
        <v>346.32704683168737</v>
      </c>
      <c r="AK34" s="570">
        <f t="shared" si="29"/>
        <v>372.15602747237051</v>
      </c>
    </row>
    <row r="35" spans="1:37" ht="32.1" customHeight="1" x14ac:dyDescent="0.25">
      <c r="B35" s="488" t="s">
        <v>688</v>
      </c>
      <c r="C35" s="491"/>
      <c r="D35" s="493"/>
      <c r="E35" s="493"/>
      <c r="F35" s="493"/>
      <c r="G35" s="493"/>
      <c r="H35" s="493"/>
      <c r="I35" s="1086"/>
      <c r="J35" s="1086"/>
      <c r="K35" s="493"/>
      <c r="L35" s="493"/>
      <c r="M35" s="493"/>
      <c r="N35" s="493"/>
      <c r="O35" s="491"/>
      <c r="P35" s="493"/>
      <c r="Q35" s="493"/>
      <c r="R35" s="493"/>
      <c r="S35" s="493"/>
      <c r="T35" s="493"/>
      <c r="U35" s="493"/>
      <c r="V35" s="1100"/>
      <c r="Y35" s="570">
        <v>2011</v>
      </c>
      <c r="Z35" s="570">
        <v>10993737</v>
      </c>
      <c r="AA35" s="570"/>
      <c r="AB35" s="570"/>
      <c r="AF35" s="570">
        <v>2012</v>
      </c>
      <c r="AG35" s="570">
        <f t="shared" si="28"/>
        <v>1574.5925007942508</v>
      </c>
      <c r="AH35" s="304">
        <f t="shared" si="29"/>
        <v>351.8707817836812</v>
      </c>
      <c r="AI35" s="570">
        <f t="shared" si="29"/>
        <v>399.37819629629627</v>
      </c>
      <c r="AJ35" s="570">
        <f t="shared" si="29"/>
        <v>397.75477439664218</v>
      </c>
      <c r="AK35" s="570">
        <f t="shared" si="29"/>
        <v>425.5887483176312</v>
      </c>
    </row>
    <row r="36" spans="1:37" ht="21" x14ac:dyDescent="0.25">
      <c r="B36" s="478" t="s">
        <v>581</v>
      </c>
      <c r="C36" s="1327">
        <f>+'CF - Monthly'!E19+'CF - Monthly'!F19+'CF - Monthly'!G19</f>
        <v>1428685.4780531176</v>
      </c>
      <c r="D36" s="1327">
        <f>+'CF - Monthly'!H19+'CF - Monthly'!I19+'CF - Monthly'!J19</f>
        <v>2013412.0651400003</v>
      </c>
      <c r="E36" s="1327">
        <f>+'CF - Monthly'!K19+'CF - Monthly'!L19+'CF - Monthly'!M19</f>
        <v>1161380.4587299998</v>
      </c>
      <c r="F36" s="1327">
        <f>+('CF - Monthly'!N19+'CF - Monthly'!O19+'CF - Monthly'!P19)-('CF - Monthly'!P17+'CF - Monthly'!P18)</f>
        <v>899256.29761283961</v>
      </c>
      <c r="G36" s="1327">
        <f>+'CF - Monthly'!Q19+'CF - Monthly'!R19+'CF - Monthly'!S19</f>
        <v>1141053.4599999995</v>
      </c>
      <c r="H36" s="1327">
        <f>+'CF - Monthly'!T19+'CF - Monthly'!U19+'CF - Monthly'!V19</f>
        <v>195304.8200000003</v>
      </c>
      <c r="I36" s="1327">
        <f>SUM('CF - Monthly'!W19:Y19)</f>
        <v>-784436.89999999921</v>
      </c>
      <c r="J36" s="1327"/>
      <c r="K36" s="1327">
        <f>SUM('CF - Monthly'!Z19:AB19)</f>
        <v>-1115486.7199999993</v>
      </c>
      <c r="L36" s="1327">
        <f>SUM('CF - Monthly'!AC19:AE19)</f>
        <v>18894.11999999953</v>
      </c>
      <c r="M36" s="1325">
        <f ca="1">SUM('CF - Monthly'!AF19:AH19)</f>
        <v>-1140408.4714093225</v>
      </c>
      <c r="N36" s="1325">
        <f ca="1">SUM('CF - Monthly'!AI19:AK19)</f>
        <v>-736983.22730134916</v>
      </c>
      <c r="O36" s="1326">
        <f ca="1">SUM('CF - Monthly'!AL19:AN19)</f>
        <v>275938.2234466435</v>
      </c>
      <c r="P36" s="1087">
        <f>432808+143811</f>
        <v>576619</v>
      </c>
      <c r="Q36" s="1087">
        <v>3600728</v>
      </c>
      <c r="R36" s="1087">
        <v>3908285</v>
      </c>
      <c r="S36" s="1325">
        <f>SUM(C36:F36)</f>
        <v>5502734.2995359572</v>
      </c>
      <c r="T36" s="1325">
        <f>SUM(G36:K36)</f>
        <v>-563565.33999999869</v>
      </c>
      <c r="U36" s="1325">
        <f ca="1">SUM(L36:O36)</f>
        <v>-1582559.3552640288</v>
      </c>
      <c r="V36" s="1101">
        <f ca="1">SUM('CF - Monthly'!AO19:AZ19)</f>
        <v>12988854.316436335</v>
      </c>
      <c r="Y36" s="570">
        <v>2012</v>
      </c>
      <c r="Z36" s="570">
        <v>14804051.248248139</v>
      </c>
      <c r="AA36" s="570">
        <v>3269458.4664017661</v>
      </c>
      <c r="AB36" s="570">
        <v>3627187.7350404416</v>
      </c>
      <c r="AC36" s="304">
        <v>3582771.8416368566</v>
      </c>
      <c r="AD36" s="304">
        <v>4324633.2051690742</v>
      </c>
      <c r="AF36" s="570">
        <v>2013</v>
      </c>
      <c r="AG36" s="570">
        <f t="shared" si="28"/>
        <v>1575.7728749181274</v>
      </c>
      <c r="AH36" s="304">
        <f t="shared" si="29"/>
        <v>391.45692662059889</v>
      </c>
      <c r="AI36" s="570">
        <f t="shared" si="29"/>
        <v>401.46307120743035</v>
      </c>
      <c r="AJ36" s="570">
        <f t="shared" si="29"/>
        <v>390.43650427350423</v>
      </c>
      <c r="AK36" s="570">
        <f t="shared" si="29"/>
        <v>392.41637281659393</v>
      </c>
    </row>
    <row r="37" spans="1:37" s="437" customFormat="1" ht="21" x14ac:dyDescent="0.25">
      <c r="B37" s="478" t="s">
        <v>582</v>
      </c>
      <c r="C37" s="1327">
        <f>+'CF - Monthly'!E22+'CF - Monthly'!F22+'CF - Monthly'!G22</f>
        <v>-31458.890000000014</v>
      </c>
      <c r="D37" s="1327">
        <f>+'CF - Monthly'!H22+'CF - Monthly'!I22+'CF - Monthly'!J22</f>
        <v>-49097.520000000019</v>
      </c>
      <c r="E37" s="1327">
        <f>+'CF - Monthly'!K22+'CF - Monthly'!L22+'CF - Monthly'!M22</f>
        <v>-47966.759999999951</v>
      </c>
      <c r="F37" s="1327">
        <f>+'CF - Monthly'!N22+'CF - Monthly'!O22+'CF - Monthly'!P22</f>
        <v>-77068</v>
      </c>
      <c r="G37" s="1327">
        <f>+'CF - Monthly'!Q22+'CF - Monthly'!R22+'CF - Monthly'!S22</f>
        <v>-120913.24999999999</v>
      </c>
      <c r="H37" s="1327">
        <f>+'CF - Monthly'!T22+'CF - Monthly'!U22+'CF - Monthly'!V22</f>
        <v>-60442.140000000014</v>
      </c>
      <c r="I37" s="1327">
        <f>SUM('CF - Monthly'!W22:Y22)</f>
        <v>-43499.330000000053</v>
      </c>
      <c r="J37" s="1327"/>
      <c r="K37" s="1327">
        <f>SUM('CF - Monthly'!Z22:AB22)</f>
        <v>-186827.02999999994</v>
      </c>
      <c r="L37" s="1327">
        <f>SUM('CF - Monthly'!AC22:AE22)</f>
        <v>-92024.349999999948</v>
      </c>
      <c r="M37" s="1325">
        <f>SUM('CF - Monthly'!AF22:AH22)</f>
        <v>148987.92999999982</v>
      </c>
      <c r="N37" s="1325">
        <f>SUM('CF - Monthly'!AI22:AK22)</f>
        <v>0</v>
      </c>
      <c r="O37" s="1326">
        <f>SUM('CF - Monthly'!AL22:AN22)</f>
        <v>0</v>
      </c>
      <c r="P37" s="1087">
        <v>0</v>
      </c>
      <c r="Q37" s="1087">
        <v>188755</v>
      </c>
      <c r="R37" s="1087">
        <v>143001</v>
      </c>
      <c r="S37" s="1325">
        <f>SUM(C37:F37)</f>
        <v>-205591.16999999998</v>
      </c>
      <c r="T37" s="1325">
        <f>SUM(G37:K37)</f>
        <v>-411681.75</v>
      </c>
      <c r="U37" s="1325">
        <f>SUM(L37:O37)</f>
        <v>56963.579999999871</v>
      </c>
      <c r="V37" s="1101">
        <f>SUM('CF - Monthly'!AO22:AZ22)</f>
        <v>0</v>
      </c>
      <c r="Y37" s="570">
        <v>2013</v>
      </c>
      <c r="Z37" s="437">
        <f>SUM(AA37:AD37)</f>
        <v>3362089610.79</v>
      </c>
      <c r="AA37" s="570">
        <v>3864280.0599999996</v>
      </c>
      <c r="AB37" s="570">
        <v>4219090.7</v>
      </c>
      <c r="AC37" s="437">
        <v>4053924.0300000003</v>
      </c>
      <c r="AD37" s="570">
        <v>3349952316</v>
      </c>
    </row>
    <row r="38" spans="1:37" s="437" customFormat="1" ht="21" x14ac:dyDescent="0.25">
      <c r="B38" s="478" t="s">
        <v>583</v>
      </c>
      <c r="C38" s="1327">
        <f>+C36+C37</f>
        <v>1397226.5880531175</v>
      </c>
      <c r="D38" s="1327">
        <f t="shared" ref="D38:O38" si="32">+D36+D37</f>
        <v>1964314.5451400003</v>
      </c>
      <c r="E38" s="1327">
        <f t="shared" si="32"/>
        <v>1113413.6987299998</v>
      </c>
      <c r="F38" s="1327">
        <f t="shared" si="32"/>
        <v>822188.29761283961</v>
      </c>
      <c r="G38" s="1327">
        <f t="shared" si="32"/>
        <v>1020140.2099999995</v>
      </c>
      <c r="H38" s="1327">
        <f t="shared" si="32"/>
        <v>134862.68000000028</v>
      </c>
      <c r="I38" s="1327">
        <f>-730194.579999999</f>
        <v>-730194.57999999903</v>
      </c>
      <c r="J38" s="1328">
        <v>1</v>
      </c>
      <c r="K38" s="1327">
        <f t="shared" si="32"/>
        <v>-1302313.7499999993</v>
      </c>
      <c r="L38" s="1327">
        <f t="shared" si="32"/>
        <v>-73130.230000000418</v>
      </c>
      <c r="M38" s="1325">
        <f t="shared" ca="1" si="32"/>
        <v>-991420.54140932264</v>
      </c>
      <c r="N38" s="1325">
        <f t="shared" ca="1" si="32"/>
        <v>-736983.22730134916</v>
      </c>
      <c r="O38" s="1326">
        <f t="shared" ca="1" si="32"/>
        <v>275938.2234466435</v>
      </c>
      <c r="P38" s="1087">
        <f>P36+P37</f>
        <v>576619</v>
      </c>
      <c r="Q38" s="1087">
        <f>'BOD Summary'!P20</f>
        <v>3600727</v>
      </c>
      <c r="R38" s="1087">
        <f>'BOD Summary'!Q20</f>
        <v>3908286</v>
      </c>
      <c r="S38" s="1325">
        <f>'BOD Summary'!R20</f>
        <v>5297143.1295359572</v>
      </c>
      <c r="T38" s="1325">
        <f>'BOD Summary'!S20</f>
        <v>-877505.43999999866</v>
      </c>
      <c r="U38" s="1325">
        <f ca="1">'BOD Summary'!T20</f>
        <v>-1525595.7752640287</v>
      </c>
      <c r="V38" s="1101">
        <f ca="1">V36+V37</f>
        <v>12988854.316436335</v>
      </c>
      <c r="Y38" s="437" t="s">
        <v>793</v>
      </c>
      <c r="AF38" s="437" t="s">
        <v>800</v>
      </c>
      <c r="AH38" s="570">
        <v>1</v>
      </c>
      <c r="AI38" s="570">
        <v>2</v>
      </c>
      <c r="AJ38" s="570">
        <v>3</v>
      </c>
      <c r="AK38" s="570">
        <v>4</v>
      </c>
    </row>
    <row r="39" spans="1:37" s="437" customFormat="1" x14ac:dyDescent="0.25">
      <c r="B39" s="1102"/>
      <c r="C39" s="1103"/>
      <c r="D39" s="1103"/>
      <c r="E39" s="1103"/>
      <c r="F39" s="1103"/>
      <c r="G39" s="1104"/>
      <c r="H39" s="1104"/>
      <c r="I39" s="1104"/>
      <c r="J39" s="1104"/>
      <c r="K39" s="1104"/>
      <c r="L39" s="1104"/>
      <c r="M39" s="1104"/>
      <c r="N39" s="1104"/>
      <c r="O39" s="1104"/>
      <c r="P39" s="1104"/>
      <c r="Q39" s="1104"/>
      <c r="R39" s="1104"/>
      <c r="S39" s="1104"/>
      <c r="T39" s="1104"/>
      <c r="U39" s="1104"/>
      <c r="V39" s="1105"/>
      <c r="Y39" s="570">
        <v>2010</v>
      </c>
      <c r="Z39" s="616">
        <f t="shared" ref="Z39:Z41" si="33">SUM(AA39:AD39)</f>
        <v>6257</v>
      </c>
      <c r="AA39" s="570">
        <v>1191</v>
      </c>
      <c r="AB39" s="570">
        <v>1377</v>
      </c>
      <c r="AC39" s="570">
        <v>1691</v>
      </c>
      <c r="AD39" s="570">
        <v>1998</v>
      </c>
      <c r="AF39" s="570">
        <v>2010</v>
      </c>
      <c r="AH39" s="570">
        <f>'BOD Summary'!C63</f>
        <v>2522381.1149999993</v>
      </c>
      <c r="AI39" s="570">
        <f>'BOD Summary'!D63</f>
        <v>2522381.1149999993</v>
      </c>
      <c r="AJ39" s="570">
        <f>'BOD Summary'!E63</f>
        <v>2522381.1149999993</v>
      </c>
      <c r="AK39" s="570">
        <f>'BOD Summary'!F63</f>
        <v>2522381.1149999993</v>
      </c>
    </row>
    <row r="40" spans="1:37" s="437" customFormat="1" ht="3.75" customHeight="1" x14ac:dyDescent="0.25">
      <c r="B40" s="29"/>
      <c r="C40" s="356"/>
      <c r="D40" s="356"/>
      <c r="E40" s="356"/>
      <c r="F40" s="356"/>
      <c r="G40" s="61"/>
      <c r="H40" s="61"/>
      <c r="I40" s="61"/>
      <c r="J40" s="61"/>
      <c r="K40" s="61"/>
      <c r="L40" s="61"/>
      <c r="M40" s="61"/>
      <c r="N40" s="61"/>
      <c r="O40" s="61"/>
      <c r="P40" s="61"/>
      <c r="Q40" s="61"/>
      <c r="R40" s="61"/>
      <c r="S40" s="61"/>
      <c r="T40" s="61"/>
      <c r="U40" s="61"/>
      <c r="Y40" s="570">
        <v>2011</v>
      </c>
      <c r="Z40" s="616">
        <f t="shared" si="33"/>
        <v>9746</v>
      </c>
      <c r="AA40" s="570">
        <v>2247</v>
      </c>
      <c r="AB40" s="570">
        <v>2455</v>
      </c>
      <c r="AC40" s="570">
        <v>2499</v>
      </c>
      <c r="AD40" s="570">
        <v>2545</v>
      </c>
      <c r="AF40" s="570">
        <v>2011</v>
      </c>
      <c r="AH40" s="570">
        <f>'BOD Summary'!C64</f>
        <v>2795131.4400000004</v>
      </c>
      <c r="AI40" s="570">
        <f>'BOD Summary'!D64</f>
        <v>2921651.3000000007</v>
      </c>
      <c r="AJ40" s="570">
        <f>'BOD Summary'!E64</f>
        <v>2865188.9300000006</v>
      </c>
      <c r="AK40" s="570">
        <f>'BOD Summary'!F64</f>
        <v>3258082.25</v>
      </c>
    </row>
    <row r="41" spans="1:37" s="437" customFormat="1" ht="15.75" customHeight="1" x14ac:dyDescent="0.25">
      <c r="B41" s="29" t="s">
        <v>784</v>
      </c>
      <c r="C41" s="356"/>
      <c r="D41" s="356"/>
      <c r="E41" s="356"/>
      <c r="F41" s="356"/>
      <c r="G41" s="61"/>
      <c r="H41" s="61"/>
      <c r="I41" s="61"/>
      <c r="J41" s="61"/>
      <c r="K41" s="61"/>
      <c r="L41" s="61"/>
      <c r="M41" s="61"/>
      <c r="N41" s="61"/>
      <c r="O41" s="61"/>
      <c r="P41" s="61"/>
      <c r="Q41" s="61"/>
      <c r="R41" s="61"/>
      <c r="S41" s="61"/>
      <c r="T41" s="61"/>
      <c r="U41" s="61"/>
      <c r="Y41" s="570">
        <v>2012</v>
      </c>
      <c r="Z41" s="616">
        <f t="shared" si="33"/>
        <v>11166</v>
      </c>
      <c r="AA41" s="616">
        <v>2635</v>
      </c>
      <c r="AB41" s="437">
        <v>2700</v>
      </c>
      <c r="AC41" s="437">
        <v>2859</v>
      </c>
      <c r="AD41" s="437">
        <v>2972</v>
      </c>
      <c r="AF41" s="570">
        <v>2012</v>
      </c>
      <c r="AH41" s="570">
        <f>'BOD Summary'!C65</f>
        <v>3306031.2199999997</v>
      </c>
      <c r="AI41" s="570">
        <f>'BOD Summary'!D65</f>
        <v>4561317.6500000004</v>
      </c>
      <c r="AJ41" s="570">
        <f>'BOD Summary'!E65</f>
        <v>4035022.7700000005</v>
      </c>
      <c r="AK41" s="570">
        <f>'BOD Summary'!F65</f>
        <v>4304869.9800000004</v>
      </c>
    </row>
    <row r="42" spans="1:37" s="437" customFormat="1" ht="15.75" customHeight="1" x14ac:dyDescent="0.25">
      <c r="B42" s="614" t="s">
        <v>785</v>
      </c>
      <c r="C42" s="356"/>
      <c r="D42" s="356"/>
      <c r="E42" s="356"/>
      <c r="F42" s="356"/>
      <c r="G42" s="61"/>
      <c r="H42" s="61"/>
      <c r="I42" s="543"/>
      <c r="J42" s="543"/>
      <c r="K42" s="61"/>
      <c r="L42" s="61"/>
      <c r="M42" s="61"/>
      <c r="N42" s="61"/>
      <c r="O42" s="61"/>
      <c r="P42" s="61"/>
      <c r="Q42" s="61"/>
      <c r="R42" s="61"/>
      <c r="S42" s="61"/>
      <c r="T42" s="61"/>
      <c r="U42" s="61"/>
      <c r="Y42" s="570">
        <v>2013</v>
      </c>
      <c r="Z42" s="616">
        <f>SUM(AA42:AD42)</f>
        <v>13443</v>
      </c>
      <c r="AA42" s="570">
        <v>3039</v>
      </c>
      <c r="AB42" s="570">
        <v>3230</v>
      </c>
      <c r="AC42" s="570">
        <v>3510</v>
      </c>
      <c r="AD42" s="570">
        <v>3664</v>
      </c>
      <c r="AF42" s="570">
        <v>2013</v>
      </c>
      <c r="AH42" s="570">
        <f>'BOD Summary'!C66</f>
        <v>4328898</v>
      </c>
      <c r="AI42" s="570">
        <f>'BOD Summary'!D66</f>
        <v>4175823.87</v>
      </c>
      <c r="AJ42" s="570">
        <f>'BOD Summary'!E66</f>
        <v>4239557</v>
      </c>
      <c r="AK42" s="570">
        <f>'BOD Summary'!F66</f>
        <v>4009253.59</v>
      </c>
    </row>
    <row r="43" spans="1:37" s="437" customFormat="1" ht="18" x14ac:dyDescent="0.25">
      <c r="B43" s="630" t="s">
        <v>802</v>
      </c>
      <c r="C43" s="570"/>
      <c r="D43" s="356"/>
      <c r="E43" s="356"/>
      <c r="F43" s="356"/>
      <c r="G43" s="61"/>
      <c r="H43" s="61"/>
      <c r="I43" s="61"/>
      <c r="J43" s="61"/>
      <c r="K43" s="61"/>
      <c r="L43" s="61"/>
      <c r="M43" s="61"/>
      <c r="N43" s="61"/>
      <c r="O43" s="61"/>
      <c r="P43" s="61"/>
      <c r="Q43" s="61"/>
      <c r="R43" s="61"/>
      <c r="S43" s="61"/>
      <c r="T43" s="61"/>
      <c r="U43" s="61"/>
    </row>
    <row r="44" spans="1:37" s="437" customFormat="1" ht="18" x14ac:dyDescent="0.25">
      <c r="B44" s="630" t="s">
        <v>803</v>
      </c>
      <c r="C44" s="356"/>
      <c r="D44" s="356"/>
      <c r="E44" s="356"/>
      <c r="F44" s="356"/>
      <c r="G44" s="61"/>
      <c r="H44" s="61"/>
      <c r="I44" s="61"/>
      <c r="J44" s="61"/>
      <c r="K44" s="61"/>
      <c r="L44" s="61"/>
      <c r="M44" s="61"/>
      <c r="N44" s="61"/>
      <c r="O44" s="61"/>
      <c r="P44" s="61"/>
      <c r="Q44" s="61"/>
      <c r="R44" s="61"/>
      <c r="S44" s="61"/>
      <c r="T44" s="61"/>
      <c r="U44" s="61"/>
      <c r="AF44" s="437" t="s">
        <v>541</v>
      </c>
      <c r="AG44" s="437" t="s">
        <v>801</v>
      </c>
      <c r="AH44" s="570">
        <v>1</v>
      </c>
      <c r="AI44" s="570">
        <v>2</v>
      </c>
      <c r="AJ44" s="570">
        <v>3</v>
      </c>
      <c r="AK44" s="570">
        <v>4</v>
      </c>
    </row>
    <row r="45" spans="1:37" s="437" customFormat="1" x14ac:dyDescent="0.25">
      <c r="B45" s="29"/>
      <c r="C45" s="356"/>
      <c r="D45" s="356"/>
      <c r="E45" s="356"/>
      <c r="F45" s="356"/>
      <c r="G45" s="61"/>
      <c r="H45" s="61"/>
      <c r="I45" s="61"/>
      <c r="J45" s="61"/>
      <c r="K45" s="61"/>
      <c r="L45" s="61"/>
      <c r="M45" s="61"/>
      <c r="N45" s="61"/>
      <c r="O45" s="61"/>
      <c r="P45" s="61"/>
      <c r="Q45" s="61"/>
      <c r="R45" s="61"/>
      <c r="S45" s="61"/>
      <c r="T45" s="61"/>
      <c r="U45" s="61"/>
      <c r="AF45" s="570">
        <v>2009</v>
      </c>
      <c r="AG45" s="437" t="e">
        <f>SUM(AH45:AK45)</f>
        <v>#REF!</v>
      </c>
      <c r="AH45" s="437" t="e">
        <f>#REF!/AA9</f>
        <v>#REF!</v>
      </c>
      <c r="AI45" s="570" t="e">
        <f>#REF!/AB9</f>
        <v>#REF!</v>
      </c>
      <c r="AJ45" s="570" t="e">
        <f>#REF!/AC9</f>
        <v>#REF!</v>
      </c>
      <c r="AK45" s="570" t="e">
        <f>#REF!/AD9</f>
        <v>#REF!</v>
      </c>
    </row>
    <row r="46" spans="1:37" x14ac:dyDescent="0.25">
      <c r="AF46" s="570">
        <v>2010</v>
      </c>
      <c r="AG46" s="570">
        <f t="shared" ref="AG46:AG49" si="34">SUM(AH46:AK46)</f>
        <v>1763.2736200254885</v>
      </c>
      <c r="AH46" s="570">
        <f t="shared" ref="AH46:AK48" si="35">AH39/AA10</f>
        <v>494.48757400509692</v>
      </c>
      <c r="AI46" s="570">
        <f t="shared" si="35"/>
        <v>456.62221488052126</v>
      </c>
      <c r="AJ46" s="570">
        <f t="shared" si="35"/>
        <v>421.94398042823673</v>
      </c>
      <c r="AK46" s="570">
        <f t="shared" si="35"/>
        <v>390.21985071163357</v>
      </c>
    </row>
    <row r="47" spans="1:37" x14ac:dyDescent="0.25">
      <c r="A47" s="358"/>
      <c r="B47" s="29" t="s">
        <v>384</v>
      </c>
      <c r="AF47" s="570">
        <v>2011</v>
      </c>
      <c r="AG47" s="570">
        <f t="shared" si="34"/>
        <v>1452.2522045775095</v>
      </c>
      <c r="AH47" s="570">
        <f t="shared" si="35"/>
        <v>373.13195034040854</v>
      </c>
      <c r="AI47" s="570">
        <f t="shared" si="35"/>
        <v>351.54028396101563</v>
      </c>
      <c r="AJ47" s="570">
        <f t="shared" si="35"/>
        <v>341.45976999165782</v>
      </c>
      <c r="AK47" s="570">
        <f t="shared" si="35"/>
        <v>386.1202002844276</v>
      </c>
    </row>
    <row r="48" spans="1:37" x14ac:dyDescent="0.25">
      <c r="A48" s="358"/>
      <c r="B48" s="304" t="s">
        <v>385</v>
      </c>
      <c r="AF48" s="570">
        <v>2012</v>
      </c>
      <c r="AG48" s="570">
        <f t="shared" si="34"/>
        <v>1643.2101914261757</v>
      </c>
      <c r="AH48" s="570">
        <f t="shared" si="35"/>
        <v>362.46367942111607</v>
      </c>
      <c r="AI48" s="570">
        <f t="shared" si="35"/>
        <v>468.11552237274225</v>
      </c>
      <c r="AJ48" s="570">
        <f t="shared" si="35"/>
        <v>407.61923123547837</v>
      </c>
      <c r="AK48" s="570">
        <f t="shared" si="35"/>
        <v>405.0117583968389</v>
      </c>
    </row>
    <row r="49" spans="1:52" x14ac:dyDescent="0.25">
      <c r="A49" s="358"/>
      <c r="B49" s="304" t="s">
        <v>386</v>
      </c>
      <c r="AF49" s="570">
        <v>2013</v>
      </c>
      <c r="AG49" s="570">
        <f t="shared" si="34"/>
        <v>1315.4713407001</v>
      </c>
      <c r="AH49" s="570">
        <f>AH42/AA15</f>
        <v>384.1421599077114</v>
      </c>
      <c r="AI49" s="570">
        <f>AI42/AB15</f>
        <v>333.74551390664965</v>
      </c>
      <c r="AJ49" s="570">
        <f>AJ42/AC15</f>
        <v>309.72800993571013</v>
      </c>
      <c r="AK49" s="570">
        <f>AK42/AD15</f>
        <v>287.85565695002873</v>
      </c>
    </row>
    <row r="50" spans="1:52" x14ac:dyDescent="0.25">
      <c r="A50" s="358"/>
      <c r="B50" s="304" t="s">
        <v>387</v>
      </c>
      <c r="Y50" s="287"/>
      <c r="Z50" s="287"/>
      <c r="AA50" s="287"/>
      <c r="AB50" s="287"/>
      <c r="AC50" s="287"/>
      <c r="AD50" s="287"/>
      <c r="AE50" s="287"/>
      <c r="AF50" s="287"/>
      <c r="AG50" s="287"/>
      <c r="AH50" s="287"/>
      <c r="AI50" s="287"/>
    </row>
    <row r="51" spans="1:52" x14ac:dyDescent="0.25">
      <c r="A51" s="151"/>
      <c r="B51" s="304" t="s">
        <v>388</v>
      </c>
    </row>
    <row r="52" spans="1:52" x14ac:dyDescent="0.25">
      <c r="AD52" s="29"/>
    </row>
    <row r="53" spans="1:52" x14ac:dyDescent="0.25">
      <c r="A53" s="151"/>
      <c r="AT53" s="304">
        <v>21</v>
      </c>
      <c r="AU53" s="304">
        <v>22</v>
      </c>
      <c r="AV53" s="304">
        <v>23</v>
      </c>
      <c r="AW53" s="304">
        <v>24</v>
      </c>
    </row>
    <row r="54" spans="1:52" x14ac:dyDescent="0.25">
      <c r="A54" s="151"/>
    </row>
    <row r="55" spans="1:52" x14ac:dyDescent="0.25">
      <c r="B55" s="151"/>
    </row>
    <row r="56" spans="1:52" x14ac:dyDescent="0.25">
      <c r="B56" s="304" t="s">
        <v>434</v>
      </c>
      <c r="Z56" s="287"/>
      <c r="AA56" s="287"/>
      <c r="AB56" s="287"/>
      <c r="AC56" s="287"/>
      <c r="AD56" s="287"/>
      <c r="AE56" s="287"/>
      <c r="AF56" s="287"/>
      <c r="AG56" s="287"/>
      <c r="AH56" s="287"/>
      <c r="AI56" s="287"/>
      <c r="AJ56" s="287"/>
      <c r="AK56" s="287"/>
      <c r="AL56" s="287"/>
      <c r="AM56" s="287"/>
      <c r="AN56" s="287"/>
      <c r="AO56" s="287"/>
      <c r="AP56" s="287"/>
      <c r="AQ56" s="287"/>
    </row>
    <row r="57" spans="1:52" x14ac:dyDescent="0.25">
      <c r="AB57" s="287"/>
      <c r="AC57" s="287"/>
      <c r="AD57" s="287"/>
      <c r="AE57" s="287"/>
      <c r="AF57" s="287"/>
      <c r="AG57" s="287"/>
      <c r="AH57" s="287"/>
      <c r="AI57" s="287"/>
      <c r="AJ57" s="287"/>
      <c r="AK57" s="287"/>
      <c r="AL57" s="287"/>
      <c r="AM57" s="287"/>
      <c r="AN57" s="287"/>
      <c r="AO57" s="287"/>
      <c r="AP57" s="287"/>
      <c r="AQ57" s="287"/>
    </row>
    <row r="58" spans="1:52" x14ac:dyDescent="0.25">
      <c r="Z58" s="287"/>
      <c r="AA58" s="287"/>
      <c r="AB58" s="287"/>
      <c r="AC58" s="287"/>
      <c r="AD58" s="287"/>
      <c r="AE58" s="287"/>
      <c r="AF58" s="287"/>
      <c r="AG58" s="287"/>
      <c r="AH58" s="287"/>
      <c r="AI58" s="287"/>
      <c r="AJ58" s="287"/>
      <c r="AK58" s="287"/>
      <c r="AL58" s="287"/>
      <c r="AM58" s="287"/>
      <c r="AN58" s="287"/>
      <c r="AO58" s="287"/>
      <c r="AP58" s="287"/>
      <c r="AQ58" s="287"/>
    </row>
    <row r="59" spans="1:52" x14ac:dyDescent="0.25">
      <c r="A59" s="223"/>
      <c r="B59" s="223"/>
      <c r="C59" s="223"/>
      <c r="AN59" s="287"/>
      <c r="AO59" s="359"/>
      <c r="AP59" s="359"/>
      <c r="AQ59" s="359"/>
      <c r="AR59" s="360"/>
      <c r="AS59" s="360"/>
      <c r="AT59" s="360"/>
      <c r="AU59" s="360"/>
      <c r="AV59" s="360"/>
      <c r="AW59" s="360"/>
      <c r="AX59" s="360"/>
      <c r="AY59" s="360"/>
      <c r="AZ59" s="360"/>
    </row>
    <row r="60" spans="1:52" x14ac:dyDescent="0.25">
      <c r="A60" s="223"/>
      <c r="B60" s="623">
        <v>400000000</v>
      </c>
      <c r="Z60" s="287"/>
      <c r="AA60" s="287"/>
      <c r="AB60" s="287"/>
      <c r="AC60" s="287"/>
      <c r="AD60" s="287"/>
      <c r="AE60" s="287"/>
      <c r="AF60" s="287"/>
      <c r="AG60" s="287"/>
      <c r="AH60" s="287"/>
      <c r="AI60" s="287"/>
      <c r="AJ60" s="287"/>
      <c r="AK60" s="287"/>
      <c r="AL60" s="287"/>
      <c r="AM60" s="287"/>
      <c r="AN60" s="287"/>
      <c r="AO60" s="359"/>
      <c r="AP60" s="359"/>
      <c r="AQ60" s="360"/>
      <c r="AR60" s="360"/>
      <c r="AS60" s="360"/>
      <c r="AT60" s="360">
        <v>538871</v>
      </c>
      <c r="AU60" s="360">
        <v>463119</v>
      </c>
      <c r="AV60" s="360">
        <v>373483</v>
      </c>
      <c r="AW60" s="360">
        <v>286240</v>
      </c>
      <c r="AX60" s="360">
        <v>175712</v>
      </c>
      <c r="AY60" s="360">
        <v>96680</v>
      </c>
      <c r="AZ60" s="360"/>
    </row>
    <row r="61" spans="1:52" x14ac:dyDescent="0.25">
      <c r="A61" s="223"/>
      <c r="B61" s="623">
        <f>B60/12</f>
        <v>33333333.333333332</v>
      </c>
      <c r="Z61" s="287"/>
      <c r="AA61" s="287"/>
      <c r="AB61" s="287"/>
      <c r="AC61" s="287"/>
      <c r="AD61" s="287"/>
      <c r="AE61" s="287"/>
      <c r="AF61" s="287"/>
      <c r="AG61" s="287"/>
      <c r="AH61" s="287"/>
      <c r="AI61" s="287"/>
      <c r="AJ61" s="287"/>
      <c r="AK61" s="287"/>
      <c r="AL61" s="287"/>
      <c r="AM61" s="287"/>
      <c r="AN61" s="287"/>
      <c r="AO61" s="359"/>
      <c r="AP61" s="359"/>
      <c r="AQ61" s="359"/>
      <c r="AR61" s="360"/>
      <c r="AS61" s="360"/>
      <c r="AT61" s="360"/>
      <c r="AU61" s="360"/>
      <c r="AV61" s="360"/>
      <c r="AW61" s="360"/>
      <c r="AX61" s="360"/>
      <c r="AY61" s="360"/>
      <c r="AZ61" s="360"/>
    </row>
    <row r="62" spans="1:52" x14ac:dyDescent="0.25">
      <c r="A62" s="223"/>
      <c r="B62" s="624">
        <f>B61/(T24/3)</f>
        <v>75968.703726150896</v>
      </c>
      <c r="C62" s="156"/>
      <c r="Z62" s="287"/>
      <c r="AA62" s="287"/>
      <c r="AB62" s="287"/>
      <c r="AC62" s="287"/>
      <c r="AD62" s="287"/>
      <c r="AE62" s="287"/>
      <c r="AF62" s="287"/>
      <c r="AG62" s="287"/>
      <c r="AH62" s="287"/>
      <c r="AI62" s="287"/>
      <c r="AJ62" s="287"/>
      <c r="AK62" s="287"/>
      <c r="AL62" s="287"/>
      <c r="AM62" s="287"/>
      <c r="AN62" s="287"/>
      <c r="AO62" s="361"/>
      <c r="AP62" s="361"/>
      <c r="AQ62" s="361"/>
      <c r="AR62" s="361"/>
      <c r="AS62" s="361"/>
      <c r="AT62" s="361">
        <f t="shared" ref="AT62:AY62" si="36">SUM(AT60:AT61)</f>
        <v>538871</v>
      </c>
      <c r="AU62" s="361">
        <f t="shared" si="36"/>
        <v>463119</v>
      </c>
      <c r="AV62" s="361">
        <f t="shared" si="36"/>
        <v>373483</v>
      </c>
      <c r="AW62" s="361">
        <f t="shared" si="36"/>
        <v>286240</v>
      </c>
      <c r="AX62" s="361">
        <f t="shared" si="36"/>
        <v>175712</v>
      </c>
      <c r="AY62" s="361">
        <f t="shared" si="36"/>
        <v>96680</v>
      </c>
      <c r="AZ62" s="360"/>
    </row>
    <row r="63" spans="1:52" x14ac:dyDescent="0.25">
      <c r="A63" s="223"/>
      <c r="B63" s="505"/>
      <c r="C63" s="223"/>
      <c r="AO63" s="360"/>
      <c r="AP63" s="360"/>
      <c r="AQ63" s="360"/>
      <c r="AR63" s="360"/>
      <c r="AS63" s="360"/>
      <c r="AT63" s="360"/>
      <c r="AU63" s="360"/>
      <c r="AV63" s="360"/>
      <c r="AW63" s="360"/>
      <c r="AX63" s="360"/>
      <c r="AY63" s="360"/>
      <c r="AZ63" s="360"/>
    </row>
    <row r="64" spans="1:52" x14ac:dyDescent="0.25">
      <c r="A64" s="223"/>
      <c r="B64" s="507"/>
      <c r="C64" s="223"/>
      <c r="Z64" s="287"/>
      <c r="AA64" s="287"/>
      <c r="AB64" s="287"/>
      <c r="AC64" s="287"/>
      <c r="AD64" s="287"/>
      <c r="AE64" s="287"/>
      <c r="AF64" s="287"/>
      <c r="AG64" s="287"/>
      <c r="AH64" s="287"/>
      <c r="AI64" s="287"/>
      <c r="AJ64" s="287"/>
      <c r="AK64" s="287"/>
      <c r="AL64" s="232"/>
      <c r="AO64" s="360"/>
      <c r="AP64" s="362"/>
      <c r="AQ64" s="360"/>
      <c r="AR64" s="360"/>
      <c r="AS64" s="360"/>
      <c r="AT64" s="360"/>
      <c r="AU64" s="360"/>
      <c r="AV64" s="360"/>
      <c r="AW64" s="360"/>
      <c r="AX64" s="360"/>
      <c r="AY64" s="360"/>
      <c r="AZ64" s="360"/>
    </row>
    <row r="65" spans="1:52" x14ac:dyDescent="0.25">
      <c r="A65" s="223"/>
      <c r="B65" s="506"/>
      <c r="C65" s="223"/>
      <c r="Z65" s="287"/>
      <c r="AA65" s="287"/>
      <c r="AB65" s="287"/>
      <c r="AC65" s="287"/>
      <c r="AD65" s="287"/>
      <c r="AE65" s="287"/>
      <c r="AF65" s="287"/>
      <c r="AG65" s="287"/>
      <c r="AH65" s="287"/>
      <c r="AI65" s="287"/>
      <c r="AJ65" s="287"/>
      <c r="AK65" s="287"/>
      <c r="AL65" s="232"/>
      <c r="AO65" s="360"/>
      <c r="AP65" s="360"/>
      <c r="AQ65" s="360"/>
      <c r="AR65" s="360"/>
      <c r="AS65" s="360"/>
      <c r="AT65" s="360"/>
      <c r="AU65" s="360"/>
      <c r="AV65" s="360"/>
      <c r="AW65" s="360"/>
      <c r="AX65" s="360"/>
      <c r="AY65" s="360"/>
      <c r="AZ65" s="360"/>
    </row>
    <row r="66" spans="1:52" x14ac:dyDescent="0.25">
      <c r="A66" s="223"/>
      <c r="B66" s="506"/>
      <c r="C66" s="223"/>
      <c r="Z66" s="287"/>
      <c r="AA66" s="287"/>
      <c r="AB66" s="287"/>
      <c r="AC66" s="287"/>
      <c r="AD66" s="287"/>
      <c r="AE66" s="287"/>
      <c r="AF66" s="287"/>
      <c r="AG66" s="287"/>
      <c r="AH66" s="287"/>
      <c r="AI66" s="287"/>
      <c r="AJ66" s="287"/>
      <c r="AK66" s="287"/>
      <c r="AL66" s="232"/>
      <c r="AM66" s="232"/>
    </row>
    <row r="67" spans="1:52" x14ac:dyDescent="0.25">
      <c r="A67" s="223"/>
      <c r="B67" s="507">
        <v>20754</v>
      </c>
      <c r="C67" s="223"/>
    </row>
    <row r="68" spans="1:52" x14ac:dyDescent="0.25">
      <c r="A68" s="223"/>
      <c r="B68" s="505">
        <v>22881</v>
      </c>
      <c r="C68" s="223"/>
      <c r="Z68" s="287"/>
      <c r="AA68" s="287"/>
      <c r="AB68" s="287"/>
      <c r="AC68" s="287"/>
      <c r="AD68" s="287"/>
      <c r="AE68" s="287"/>
      <c r="AF68" s="287"/>
      <c r="AG68" s="287"/>
      <c r="AH68" s="287"/>
      <c r="AI68" s="287"/>
      <c r="AJ68" s="287"/>
      <c r="AK68" s="287"/>
      <c r="AL68" s="232"/>
    </row>
    <row r="69" spans="1:52" x14ac:dyDescent="0.25">
      <c r="A69" s="223"/>
      <c r="B69" s="505">
        <f>B68-B67</f>
        <v>2127</v>
      </c>
      <c r="C69" s="223"/>
      <c r="AH69" s="287"/>
      <c r="AI69" s="287"/>
      <c r="AJ69" s="287"/>
      <c r="AK69" s="287"/>
      <c r="AL69" s="232"/>
    </row>
    <row r="70" spans="1:52" x14ac:dyDescent="0.25">
      <c r="A70" s="223"/>
      <c r="B70" s="508">
        <f>B69/3</f>
        <v>709</v>
      </c>
      <c r="C70" s="223"/>
      <c r="AL70" s="232"/>
      <c r="AM70" s="232"/>
    </row>
    <row r="71" spans="1:52" x14ac:dyDescent="0.25">
      <c r="A71" s="223"/>
      <c r="B71" s="509">
        <f>B68+B70</f>
        <v>23590</v>
      </c>
      <c r="C71" s="223"/>
      <c r="AM71" s="232"/>
    </row>
    <row r="72" spans="1:52" x14ac:dyDescent="0.25">
      <c r="A72" s="223"/>
      <c r="B72" s="508"/>
      <c r="C72" s="223"/>
      <c r="Z72" s="287"/>
      <c r="AA72" s="287"/>
      <c r="AB72" s="287"/>
      <c r="AC72" s="287"/>
      <c r="AD72" s="287"/>
      <c r="AE72" s="287"/>
      <c r="AF72" s="287"/>
      <c r="AG72" s="287"/>
      <c r="AH72" s="287"/>
      <c r="AI72" s="287"/>
      <c r="AJ72" s="287"/>
      <c r="AK72" s="287"/>
      <c r="AL72" s="232"/>
      <c r="AM72" s="232"/>
    </row>
    <row r="73" spans="1:52" x14ac:dyDescent="0.25">
      <c r="A73" s="223"/>
      <c r="B73" s="510"/>
      <c r="C73" s="223"/>
      <c r="AH73" s="287"/>
      <c r="AI73" s="287"/>
      <c r="AJ73" s="287"/>
      <c r="AK73" s="287"/>
      <c r="AL73" s="232"/>
      <c r="AM73" s="232"/>
    </row>
    <row r="74" spans="1:52" x14ac:dyDescent="0.25">
      <c r="A74" s="223"/>
      <c r="B74" s="509"/>
      <c r="C74" s="223"/>
      <c r="AL74" s="232"/>
      <c r="AM74" s="232"/>
    </row>
    <row r="75" spans="1:52" x14ac:dyDescent="0.25">
      <c r="A75" s="223"/>
      <c r="B75" s="508"/>
      <c r="C75" s="223"/>
      <c r="AM75" s="232"/>
    </row>
    <row r="76" spans="1:52" x14ac:dyDescent="0.25">
      <c r="A76" s="223"/>
      <c r="B76" s="509"/>
      <c r="C76" s="223"/>
      <c r="Z76" s="287"/>
      <c r="AA76" s="287"/>
      <c r="AB76" s="287"/>
      <c r="AC76" s="287"/>
      <c r="AD76" s="287"/>
      <c r="AE76" s="287"/>
      <c r="AF76" s="287"/>
      <c r="AG76" s="287"/>
      <c r="AH76" s="287"/>
      <c r="AI76" s="287"/>
      <c r="AJ76" s="287"/>
      <c r="AK76" s="287"/>
      <c r="AL76" s="232"/>
      <c r="AM76" s="232"/>
    </row>
    <row r="77" spans="1:52" x14ac:dyDescent="0.25">
      <c r="A77" s="223"/>
      <c r="B77" s="510"/>
      <c r="C77" s="223"/>
      <c r="AH77" s="287"/>
      <c r="AI77" s="287"/>
      <c r="AJ77" s="287"/>
      <c r="AK77" s="287"/>
      <c r="AL77" s="232"/>
      <c r="AM77" s="232"/>
    </row>
    <row r="78" spans="1:52" x14ac:dyDescent="0.25">
      <c r="A78" s="223"/>
      <c r="B78" s="223"/>
      <c r="C78" s="223"/>
      <c r="AL78" s="232"/>
      <c r="AM78" s="232"/>
    </row>
    <row r="79" spans="1:52" x14ac:dyDescent="0.25">
      <c r="AM79" s="232"/>
    </row>
    <row r="80" spans="1:52" x14ac:dyDescent="0.25">
      <c r="Z80" s="287"/>
      <c r="AA80" s="287"/>
      <c r="AB80" s="287"/>
      <c r="AC80" s="287"/>
      <c r="AD80" s="287"/>
      <c r="AE80" s="287"/>
      <c r="AF80" s="287"/>
      <c r="AG80" s="287"/>
      <c r="AH80" s="287"/>
      <c r="AI80" s="287"/>
      <c r="AJ80" s="287"/>
      <c r="AK80" s="287"/>
      <c r="AL80" s="232"/>
      <c r="AM80" s="232"/>
    </row>
    <row r="81" spans="26:39" x14ac:dyDescent="0.25">
      <c r="AH81" s="287"/>
      <c r="AI81" s="287"/>
      <c r="AJ81" s="287"/>
      <c r="AK81" s="287"/>
      <c r="AL81" s="232"/>
      <c r="AM81" s="232"/>
    </row>
    <row r="82" spans="26:39" x14ac:dyDescent="0.25">
      <c r="AL82" s="232"/>
      <c r="AM82" s="232"/>
    </row>
    <row r="83" spans="26:39" x14ac:dyDescent="0.25">
      <c r="AM83" s="232"/>
    </row>
    <row r="84" spans="26:39" x14ac:dyDescent="0.25">
      <c r="Z84" s="287"/>
      <c r="AA84" s="287"/>
      <c r="AB84" s="287"/>
      <c r="AC84" s="287"/>
      <c r="AD84" s="287"/>
      <c r="AE84" s="287"/>
      <c r="AF84" s="287"/>
      <c r="AG84" s="287"/>
      <c r="AH84" s="287"/>
      <c r="AI84" s="287"/>
      <c r="AJ84" s="287"/>
      <c r="AK84" s="287"/>
      <c r="AL84" s="232"/>
      <c r="AM84" s="232"/>
    </row>
    <row r="85" spans="26:39" x14ac:dyDescent="0.25">
      <c r="AH85" s="287"/>
      <c r="AI85" s="287"/>
      <c r="AJ85" s="287"/>
      <c r="AK85" s="287"/>
      <c r="AL85" s="232"/>
      <c r="AM85" s="232"/>
    </row>
    <row r="86" spans="26:39" x14ac:dyDescent="0.25">
      <c r="AL86" s="232"/>
      <c r="AM86" s="232"/>
    </row>
    <row r="87" spans="26:39" x14ac:dyDescent="0.25">
      <c r="AM87" s="232"/>
    </row>
    <row r="88" spans="26:39" x14ac:dyDescent="0.25">
      <c r="Z88" s="287"/>
      <c r="AA88" s="287"/>
      <c r="AB88" s="287"/>
      <c r="AC88" s="287"/>
      <c r="AD88" s="287"/>
      <c r="AE88" s="287"/>
      <c r="AF88" s="287"/>
      <c r="AG88" s="287"/>
      <c r="AH88" s="287"/>
      <c r="AI88" s="287"/>
      <c r="AJ88" s="287"/>
      <c r="AK88" s="287"/>
      <c r="AL88" s="232"/>
      <c r="AM88" s="232"/>
    </row>
    <row r="89" spans="26:39" x14ac:dyDescent="0.25">
      <c r="AH89" s="287"/>
      <c r="AI89" s="287"/>
      <c r="AJ89" s="287"/>
      <c r="AK89" s="287"/>
      <c r="AL89" s="232"/>
      <c r="AM89" s="232"/>
    </row>
    <row r="90" spans="26:39" x14ac:dyDescent="0.25">
      <c r="AL90" s="232"/>
      <c r="AM90" s="232"/>
    </row>
    <row r="91" spans="26:39" x14ac:dyDescent="0.25">
      <c r="AM91" s="232"/>
    </row>
    <row r="92" spans="26:39" x14ac:dyDescent="0.25">
      <c r="Z92" s="287"/>
      <c r="AA92" s="287"/>
      <c r="AB92" s="287"/>
      <c r="AC92" s="287"/>
      <c r="AD92" s="287"/>
      <c r="AE92" s="287"/>
      <c r="AF92" s="287"/>
      <c r="AG92" s="287"/>
      <c r="AH92" s="287"/>
      <c r="AI92" s="287"/>
      <c r="AJ92" s="287"/>
      <c r="AK92" s="287"/>
      <c r="AL92" s="232"/>
      <c r="AM92" s="232"/>
    </row>
    <row r="93" spans="26:39" x14ac:dyDescent="0.25">
      <c r="AH93" s="287"/>
      <c r="AI93" s="287"/>
      <c r="AJ93" s="287"/>
      <c r="AK93" s="287"/>
      <c r="AL93" s="232"/>
      <c r="AM93" s="232"/>
    </row>
    <row r="94" spans="26:39" x14ac:dyDescent="0.25">
      <c r="AL94" s="232"/>
      <c r="AM94" s="232"/>
    </row>
    <row r="95" spans="26:39" x14ac:dyDescent="0.25">
      <c r="AM95" s="232"/>
    </row>
    <row r="96" spans="26:39" x14ac:dyDescent="0.25">
      <c r="Z96" s="287"/>
      <c r="AA96" s="287"/>
      <c r="AB96" s="287"/>
      <c r="AC96" s="287"/>
      <c r="AD96" s="287"/>
      <c r="AE96" s="287"/>
      <c r="AF96" s="287"/>
      <c r="AG96" s="287"/>
      <c r="AH96" s="287"/>
      <c r="AI96" s="287"/>
      <c r="AJ96" s="287"/>
      <c r="AK96" s="287"/>
      <c r="AL96" s="232"/>
      <c r="AM96" s="232"/>
    </row>
    <row r="97" spans="26:39" x14ac:dyDescent="0.25">
      <c r="AH97" s="287"/>
      <c r="AI97" s="287"/>
      <c r="AJ97" s="287"/>
      <c r="AK97" s="287"/>
      <c r="AL97" s="232"/>
      <c r="AM97" s="232"/>
    </row>
    <row r="98" spans="26:39" x14ac:dyDescent="0.25">
      <c r="AL98" s="232"/>
      <c r="AM98" s="232"/>
    </row>
    <row r="99" spans="26:39" x14ac:dyDescent="0.25">
      <c r="AM99" s="232"/>
    </row>
    <row r="100" spans="26:39" x14ac:dyDescent="0.25">
      <c r="Z100" s="287"/>
      <c r="AA100" s="287"/>
      <c r="AB100" s="287"/>
      <c r="AC100" s="287"/>
      <c r="AD100" s="287"/>
      <c r="AE100" s="287"/>
      <c r="AF100" s="287"/>
      <c r="AG100" s="287"/>
      <c r="AH100" s="287"/>
      <c r="AI100" s="287"/>
      <c r="AJ100" s="287"/>
      <c r="AK100" s="287"/>
      <c r="AL100" s="232"/>
      <c r="AM100" s="232"/>
    </row>
    <row r="101" spans="26:39" x14ac:dyDescent="0.25">
      <c r="AH101" s="287"/>
      <c r="AI101" s="287"/>
      <c r="AJ101" s="287"/>
      <c r="AK101" s="287"/>
      <c r="AL101" s="232"/>
      <c r="AM101" s="232"/>
    </row>
    <row r="102" spans="26:39" x14ac:dyDescent="0.25">
      <c r="AL102" s="232"/>
      <c r="AM102" s="232"/>
    </row>
    <row r="103" spans="26:39" x14ac:dyDescent="0.25">
      <c r="AM103" s="232"/>
    </row>
    <row r="104" spans="26:39" x14ac:dyDescent="0.25">
      <c r="Z104" s="287"/>
      <c r="AA104" s="287"/>
      <c r="AB104" s="287"/>
      <c r="AC104" s="287"/>
      <c r="AD104" s="287"/>
      <c r="AE104" s="287"/>
      <c r="AF104" s="287"/>
      <c r="AG104" s="287"/>
      <c r="AH104" s="287"/>
      <c r="AI104" s="287"/>
      <c r="AJ104" s="287"/>
      <c r="AK104" s="287"/>
      <c r="AL104" s="232"/>
      <c r="AM104" s="232"/>
    </row>
    <row r="105" spans="26:39" x14ac:dyDescent="0.25">
      <c r="AH105" s="287"/>
      <c r="AI105" s="287"/>
      <c r="AJ105" s="287"/>
      <c r="AK105" s="287"/>
      <c r="AL105" s="232"/>
      <c r="AM105" s="232"/>
    </row>
    <row r="106" spans="26:39" x14ac:dyDescent="0.25">
      <c r="AL106" s="232"/>
      <c r="AM106" s="232"/>
    </row>
    <row r="107" spans="26:39" x14ac:dyDescent="0.25">
      <c r="AM107" s="232"/>
    </row>
    <row r="108" spans="26:39" x14ac:dyDescent="0.25">
      <c r="Z108" s="287"/>
      <c r="AA108" s="287"/>
      <c r="AB108" s="287"/>
      <c r="AC108" s="287"/>
      <c r="AD108" s="287"/>
      <c r="AE108" s="287"/>
      <c r="AF108" s="287"/>
      <c r="AG108" s="287"/>
      <c r="AH108" s="287"/>
      <c r="AI108" s="287"/>
      <c r="AJ108" s="287"/>
      <c r="AK108" s="287"/>
      <c r="AL108" s="232"/>
      <c r="AM108" s="232"/>
    </row>
    <row r="109" spans="26:39" x14ac:dyDescent="0.25">
      <c r="AH109" s="287"/>
      <c r="AI109" s="287"/>
      <c r="AJ109" s="287"/>
      <c r="AK109" s="287"/>
      <c r="AL109" s="232"/>
      <c r="AM109" s="232"/>
    </row>
    <row r="110" spans="26:39" x14ac:dyDescent="0.25">
      <c r="AL110" s="232"/>
      <c r="AM110" s="232"/>
    </row>
    <row r="111" spans="26:39" x14ac:dyDescent="0.25">
      <c r="AM111" s="232"/>
    </row>
    <row r="112" spans="26:39" x14ac:dyDescent="0.25">
      <c r="Z112" s="287"/>
      <c r="AA112" s="287"/>
      <c r="AB112" s="287"/>
      <c r="AC112" s="287"/>
      <c r="AD112" s="287"/>
      <c r="AE112" s="287"/>
      <c r="AF112" s="287"/>
      <c r="AG112" s="287"/>
      <c r="AH112" s="287"/>
      <c r="AI112" s="287"/>
      <c r="AJ112" s="287"/>
      <c r="AK112" s="287"/>
      <c r="AL112" s="232"/>
      <c r="AM112" s="232"/>
    </row>
    <row r="113" spans="26:39" x14ac:dyDescent="0.25">
      <c r="AH113" s="287"/>
      <c r="AI113" s="287"/>
      <c r="AJ113" s="287"/>
      <c r="AK113" s="287"/>
      <c r="AL113" s="232"/>
      <c r="AM113" s="232"/>
    </row>
    <row r="114" spans="26:39" x14ac:dyDescent="0.25">
      <c r="AL114" s="232"/>
      <c r="AM114" s="232"/>
    </row>
    <row r="115" spans="26:39" x14ac:dyDescent="0.25">
      <c r="AM115" s="232"/>
    </row>
    <row r="116" spans="26:39" x14ac:dyDescent="0.25">
      <c r="Z116" s="287"/>
      <c r="AA116" s="287"/>
      <c r="AB116" s="287"/>
      <c r="AC116" s="287"/>
      <c r="AD116" s="287"/>
      <c r="AE116" s="287"/>
      <c r="AF116" s="287"/>
      <c r="AG116" s="287"/>
      <c r="AH116" s="287"/>
      <c r="AI116" s="287"/>
      <c r="AJ116" s="287"/>
      <c r="AK116" s="287"/>
      <c r="AL116" s="232"/>
      <c r="AM116" s="232"/>
    </row>
    <row r="117" spans="26:39" x14ac:dyDescent="0.25">
      <c r="AA117" s="232"/>
      <c r="AB117" s="232"/>
      <c r="AC117" s="232"/>
      <c r="AH117" s="287"/>
      <c r="AI117" s="287"/>
      <c r="AJ117" s="287"/>
      <c r="AK117" s="287"/>
      <c r="AL117" s="232"/>
      <c r="AM117" s="232"/>
    </row>
    <row r="118" spans="26:39" x14ac:dyDescent="0.25">
      <c r="AA118" s="232"/>
      <c r="AB118" s="232"/>
      <c r="AC118" s="232"/>
      <c r="AL118" s="232"/>
      <c r="AM118" s="232"/>
    </row>
    <row r="119" spans="26:39" x14ac:dyDescent="0.25">
      <c r="AA119" s="232"/>
      <c r="AB119" s="232"/>
      <c r="AC119" s="232"/>
      <c r="AM119" s="232"/>
    </row>
    <row r="120" spans="26:39" x14ac:dyDescent="0.25">
      <c r="Z120" s="287"/>
      <c r="AA120" s="287"/>
      <c r="AB120" s="287"/>
      <c r="AC120" s="287"/>
      <c r="AD120" s="287"/>
      <c r="AE120" s="287"/>
      <c r="AF120" s="287"/>
      <c r="AG120" s="287"/>
      <c r="AH120" s="287"/>
      <c r="AI120" s="287"/>
      <c r="AJ120" s="287"/>
      <c r="AK120" s="287"/>
      <c r="AL120" s="232"/>
      <c r="AM120" s="232"/>
    </row>
    <row r="121" spans="26:39" x14ac:dyDescent="0.25">
      <c r="AA121" s="232"/>
      <c r="AB121" s="232"/>
      <c r="AC121" s="232"/>
      <c r="AH121" s="287"/>
      <c r="AI121" s="287"/>
      <c r="AJ121" s="287"/>
      <c r="AK121" s="287"/>
      <c r="AL121" s="232"/>
      <c r="AM121" s="232"/>
    </row>
    <row r="122" spans="26:39" x14ac:dyDescent="0.25">
      <c r="AA122" s="232"/>
      <c r="AB122" s="232"/>
      <c r="AC122" s="232"/>
      <c r="AL122" s="232"/>
      <c r="AM122" s="232"/>
    </row>
    <row r="123" spans="26:39" x14ac:dyDescent="0.25">
      <c r="AA123" s="232"/>
      <c r="AB123" s="232"/>
      <c r="AC123" s="232"/>
      <c r="AM123" s="232"/>
    </row>
    <row r="124" spans="26:39" x14ac:dyDescent="0.25">
      <c r="Z124" s="287"/>
      <c r="AA124" s="287"/>
      <c r="AB124" s="287"/>
      <c r="AC124" s="287"/>
      <c r="AD124" s="287"/>
      <c r="AE124" s="287"/>
      <c r="AF124" s="287"/>
      <c r="AG124" s="287"/>
      <c r="AH124" s="287"/>
      <c r="AI124" s="287"/>
      <c r="AJ124" s="287"/>
      <c r="AK124" s="287"/>
      <c r="AL124" s="232"/>
      <c r="AM124" s="232"/>
    </row>
    <row r="125" spans="26:39" x14ac:dyDescent="0.25">
      <c r="AH125" s="287"/>
      <c r="AI125" s="287"/>
      <c r="AJ125" s="287"/>
      <c r="AK125" s="287"/>
      <c r="AL125" s="232"/>
      <c r="AM125" s="232"/>
    </row>
    <row r="126" spans="26:39" x14ac:dyDescent="0.25">
      <c r="AL126" s="232"/>
      <c r="AM126" s="232"/>
    </row>
    <row r="127" spans="26:39" x14ac:dyDescent="0.25">
      <c r="AM127" s="232"/>
    </row>
    <row r="128" spans="26:39" x14ac:dyDescent="0.25">
      <c r="Z128" s="287"/>
      <c r="AA128" s="287"/>
      <c r="AB128" s="287"/>
      <c r="AC128" s="287"/>
      <c r="AD128" s="287"/>
      <c r="AE128" s="287"/>
      <c r="AF128" s="287"/>
      <c r="AG128" s="287"/>
      <c r="AH128" s="287"/>
      <c r="AI128" s="287"/>
      <c r="AJ128" s="287"/>
      <c r="AK128" s="287"/>
      <c r="AL128" s="232"/>
      <c r="AM128" s="232"/>
    </row>
    <row r="129" spans="26:39" x14ac:dyDescent="0.25">
      <c r="AH129" s="287"/>
      <c r="AI129" s="287"/>
      <c r="AJ129" s="287"/>
      <c r="AK129" s="287"/>
      <c r="AL129" s="232"/>
      <c r="AM129" s="232"/>
    </row>
    <row r="130" spans="26:39" x14ac:dyDescent="0.25">
      <c r="AL130" s="232"/>
      <c r="AM130" s="232"/>
    </row>
    <row r="131" spans="26:39" x14ac:dyDescent="0.25">
      <c r="AM131" s="232"/>
    </row>
    <row r="132" spans="26:39" x14ac:dyDescent="0.25">
      <c r="Z132" s="287"/>
      <c r="AA132" s="287"/>
      <c r="AB132" s="287"/>
      <c r="AC132" s="287"/>
      <c r="AD132" s="287"/>
      <c r="AE132" s="287"/>
      <c r="AF132" s="287"/>
      <c r="AG132" s="287"/>
      <c r="AH132" s="287"/>
      <c r="AI132" s="287"/>
      <c r="AJ132" s="287"/>
      <c r="AK132" s="287"/>
      <c r="AL132" s="232"/>
      <c r="AM132" s="232"/>
    </row>
    <row r="133" spans="26:39" x14ac:dyDescent="0.25">
      <c r="AH133" s="287"/>
      <c r="AI133" s="287"/>
      <c r="AJ133" s="287"/>
      <c r="AK133" s="287"/>
      <c r="AL133" s="232"/>
      <c r="AM133" s="232"/>
    </row>
    <row r="134" spans="26:39" x14ac:dyDescent="0.25">
      <c r="AL134" s="232"/>
      <c r="AM134" s="232"/>
    </row>
    <row r="135" spans="26:39" x14ac:dyDescent="0.25">
      <c r="AM135" s="232"/>
    </row>
    <row r="136" spans="26:39" x14ac:dyDescent="0.25">
      <c r="Z136" s="287"/>
      <c r="AA136" s="287"/>
      <c r="AB136" s="287"/>
      <c r="AC136" s="287"/>
      <c r="AD136" s="287"/>
      <c r="AE136" s="287"/>
      <c r="AF136" s="287"/>
      <c r="AG136" s="287"/>
      <c r="AH136" s="287"/>
      <c r="AI136" s="287"/>
      <c r="AJ136" s="287"/>
      <c r="AK136" s="287"/>
      <c r="AL136" s="232"/>
      <c r="AM136" s="232"/>
    </row>
    <row r="137" spans="26:39" x14ac:dyDescent="0.25">
      <c r="AH137" s="287"/>
      <c r="AI137" s="287"/>
      <c r="AJ137" s="287"/>
      <c r="AK137" s="287"/>
      <c r="AL137" s="232"/>
      <c r="AM137" s="232"/>
    </row>
    <row r="138" spans="26:39" x14ac:dyDescent="0.25">
      <c r="AL138" s="232"/>
      <c r="AM138" s="232"/>
    </row>
    <row r="139" spans="26:39" x14ac:dyDescent="0.25">
      <c r="AM139" s="232"/>
    </row>
    <row r="140" spans="26:39" x14ac:dyDescent="0.25">
      <c r="Z140" s="287"/>
      <c r="AA140" s="287"/>
      <c r="AB140" s="287"/>
      <c r="AC140" s="287"/>
      <c r="AD140" s="287"/>
      <c r="AE140" s="287"/>
      <c r="AF140" s="287"/>
      <c r="AG140" s="287"/>
      <c r="AH140" s="287"/>
      <c r="AI140" s="287"/>
      <c r="AJ140" s="287"/>
      <c r="AK140" s="287"/>
      <c r="AL140" s="232"/>
      <c r="AM140" s="232"/>
    </row>
    <row r="141" spans="26:39" x14ac:dyDescent="0.25">
      <c r="AH141" s="287"/>
      <c r="AI141" s="287"/>
      <c r="AJ141" s="287"/>
      <c r="AK141" s="287"/>
      <c r="AL141" s="232"/>
      <c r="AM141" s="232"/>
    </row>
    <row r="142" spans="26:39" x14ac:dyDescent="0.25">
      <c r="AL142" s="232"/>
      <c r="AM142" s="232"/>
    </row>
    <row r="143" spans="26:39" x14ac:dyDescent="0.25">
      <c r="AM143" s="232"/>
    </row>
    <row r="144" spans="26:39" x14ac:dyDescent="0.25">
      <c r="Z144" s="287"/>
      <c r="AA144" s="287"/>
      <c r="AB144" s="287"/>
      <c r="AC144" s="287"/>
      <c r="AD144" s="287"/>
      <c r="AE144" s="287"/>
      <c r="AF144" s="287"/>
      <c r="AG144" s="287"/>
      <c r="AH144" s="287"/>
      <c r="AI144" s="287"/>
      <c r="AJ144" s="287"/>
      <c r="AK144" s="287"/>
      <c r="AL144" s="232"/>
      <c r="AM144" s="232"/>
    </row>
    <row r="145" spans="26:39" x14ac:dyDescent="0.25">
      <c r="AH145" s="287"/>
      <c r="AI145" s="287"/>
      <c r="AJ145" s="287"/>
      <c r="AK145" s="287"/>
      <c r="AL145" s="232"/>
      <c r="AM145" s="232"/>
    </row>
    <row r="146" spans="26:39" x14ac:dyDescent="0.25">
      <c r="AL146" s="232"/>
      <c r="AM146" s="232"/>
    </row>
    <row r="147" spans="26:39" x14ac:dyDescent="0.25">
      <c r="AM147" s="232"/>
    </row>
    <row r="148" spans="26:39" x14ac:dyDescent="0.25">
      <c r="Z148" s="287"/>
      <c r="AA148" s="287"/>
      <c r="AB148" s="287"/>
      <c r="AC148" s="287"/>
      <c r="AD148" s="287"/>
      <c r="AE148" s="287"/>
      <c r="AF148" s="287"/>
      <c r="AG148" s="287"/>
      <c r="AH148" s="287"/>
      <c r="AI148" s="287"/>
      <c r="AJ148" s="287"/>
      <c r="AK148" s="287"/>
      <c r="AL148" s="232"/>
      <c r="AM148" s="232"/>
    </row>
    <row r="149" spans="26:39" x14ac:dyDescent="0.25">
      <c r="AH149" s="287"/>
      <c r="AI149" s="287"/>
      <c r="AJ149" s="287"/>
      <c r="AK149" s="287"/>
      <c r="AL149" s="232"/>
      <c r="AM149" s="232"/>
    </row>
    <row r="150" spans="26:39" x14ac:dyDescent="0.25">
      <c r="AL150" s="232"/>
      <c r="AM150" s="232"/>
    </row>
  </sheetData>
  <mergeCells count="27">
    <mergeCell ref="C5:O5"/>
    <mergeCell ref="P5:V5"/>
    <mergeCell ref="I6:J6"/>
    <mergeCell ref="I21:J21"/>
    <mergeCell ref="I34:J34"/>
    <mergeCell ref="I26:J26"/>
    <mergeCell ref="I25:J25"/>
    <mergeCell ref="I24:J24"/>
    <mergeCell ref="I31:J31"/>
    <mergeCell ref="I27:J27"/>
    <mergeCell ref="I28:J28"/>
    <mergeCell ref="I33:J33"/>
    <mergeCell ref="I10:J10"/>
    <mergeCell ref="I11:J11"/>
    <mergeCell ref="I14:J14"/>
    <mergeCell ref="I7:J7"/>
    <mergeCell ref="I8:J8"/>
    <mergeCell ref="I9:J9"/>
    <mergeCell ref="I12:J12"/>
    <mergeCell ref="I13:J13"/>
    <mergeCell ref="I32:J32"/>
    <mergeCell ref="I16:J16"/>
    <mergeCell ref="I15:J15"/>
    <mergeCell ref="I19:J19"/>
    <mergeCell ref="I20:J20"/>
    <mergeCell ref="I22:J22"/>
    <mergeCell ref="I30:J30"/>
  </mergeCells>
  <printOptions horizontalCentered="1" verticalCentered="1"/>
  <pageMargins left="0.25" right="0.25" top="1" bottom="0.75" header="0.3" footer="0.3"/>
  <pageSetup scale="52" fitToHeight="0" orientation="landscape" r:id="rId1"/>
  <headerFooter>
    <oddHeader>&amp;L&amp;G</oddHeader>
    <oddFooter>&amp;R&amp;D</oddFooter>
  </headerFooter>
  <ignoredErrors>
    <ignoredError sqref="P6:V6 U12:V12" numberStoredAsText="1"/>
    <ignoredError sqref="S7" numberStoredAsText="1" formulaRange="1"/>
    <ignoredError sqref="S8:V8 L14:O14 M15" formula="1"/>
    <ignoredError sqref="S9:V11" formula="1" formulaRange="1"/>
    <ignoredError sqref="T7 T21" formulaRange="1"/>
  </ignoredErrors>
  <legacyDrawing r:id="rId2"/>
  <legacyDrawingHF r:id="rId3"/>
  <extLst>
    <ext xmlns:x14="http://schemas.microsoft.com/office/spreadsheetml/2009/9/main" uri="{05C60535-1F16-4fd2-B633-F4F36F0B64E0}">
      <x14:sparklineGroups xmlns:xm="http://schemas.microsoft.com/office/excel/2006/main">
        <x14:sparklineGroup manualMax="0" manualMin="0" type="column" displayEmptyCellsAs="gap" high="1" low="1">
          <x14:colorSeries theme="8" tint="-0.249977111117893"/>
          <x14:colorNegative theme="9"/>
          <x14:colorAxis rgb="FF000000"/>
          <x14:colorMarkers theme="9" tint="-0.249977111117893"/>
          <x14:colorFirst theme="9" tint="-0.249977111117893"/>
          <x14:colorLast theme="9" tint="-0.249977111117893"/>
          <x14:colorHigh theme="9" tint="-0.249977111117893"/>
          <x14:colorLow theme="9" tint="-0.249977111117893"/>
          <x14:sparklines>
            <x14:sparkline>
              <xm:f>Metrics!C17:V17</xm:f>
              <xm:sqref>A17</xm:sqref>
            </x14:sparkline>
          </x14:sparklines>
        </x14:sparklineGroup>
        <x14:sparklineGroup manualMax="0" manualMin="0" type="column" displayEmptyCellsAs="gap" high="1" low="1">
          <x14:colorSeries theme="4" tint="-0.249977111117893"/>
          <x14:colorNegative theme="5"/>
          <x14:colorAxis rgb="FF000000"/>
          <x14:colorMarkers theme="5" tint="-0.249977111117893"/>
          <x14:colorFirst theme="5" tint="-0.249977111117893"/>
          <x14:colorLast theme="5" tint="-0.249977111117893"/>
          <x14:colorHigh theme="5" tint="-0.249977111117893"/>
          <x14:colorLow theme="5" tint="-0.249977111117893"/>
          <x14:sparklines>
            <x14:sparkline>
              <xm:f>Metrics!C18:V18</xm:f>
              <xm:sqref>A18</xm:sqref>
            </x14:sparkline>
          </x14:sparklines>
        </x14:sparklineGroup>
        <x14:sparklineGroup manualMax="0" manualMin="0" displayEmptyCellsAs="gap" high="1">
          <x14:colorSeries theme="4" tint="0.39997558519241921"/>
          <x14:colorNegative theme="0" tint="-0.499984740745262"/>
          <x14:colorAxis rgb="FF000000"/>
          <x14:colorMarkers theme="4" tint="0.79998168889431442"/>
          <x14:colorFirst theme="4" tint="-0.249977111117893"/>
          <x14:colorLast theme="4" tint="-0.249977111117893"/>
          <x14:colorHigh theme="4" tint="-0.499984740745262"/>
          <x14:colorLow theme="4" tint="-0.499984740745262"/>
          <x14:sparklines>
            <x14:sparkline>
              <xm:f>Metrics!C19:V19</xm:f>
              <xm:sqref>A19</xm:sqref>
            </x14:sparkline>
          </x14:sparklines>
        </x14:sparklineGroup>
        <x14:sparklineGroup manualMax="0" manualMin="0" lineWeight="3" displayEmptyCellsAs="gap">
          <x14:colorSeries theme="9" tint="-0.499984740745262"/>
          <x14:colorNegative theme="4"/>
          <x14:colorAxis rgb="FF000000"/>
          <x14:colorMarkers theme="9" tint="-0.499984740745262"/>
          <x14:colorFirst theme="9" tint="0.39997558519241921"/>
          <x14:colorLast theme="9" tint="0.39997558519241921"/>
          <x14:colorHigh theme="9"/>
          <x14:colorLow theme="9"/>
          <x14:sparklines>
            <x14:sparkline>
              <xm:f>Metrics!C21:V21</xm:f>
              <xm:sqref>A21</xm:sqref>
            </x14:sparkline>
          </x14:sparklines>
        </x14:sparklineGroup>
        <x14:sparklineGroup manualMax="0" manualMin="0" type="column" displayEmptyCellsAs="gap" high="1" low="1">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Metrics!C21:V21</xm:f>
              <xm:sqref>A20</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FFFF00"/>
  </sheetPr>
  <dimension ref="A1:BL167"/>
  <sheetViews>
    <sheetView zoomScale="80" zoomScaleNormal="80" workbookViewId="0">
      <pane xSplit="3" ySplit="2" topLeftCell="AB20" activePane="bottomRight" state="frozenSplit"/>
      <selection pane="topRight" activeCell="C1" sqref="C1"/>
      <selection pane="bottomLeft" activeCell="A12" sqref="A12"/>
      <selection pane="bottomRight" activeCell="AB45" sqref="AB45"/>
    </sheetView>
  </sheetViews>
  <sheetFormatPr defaultRowHeight="15" x14ac:dyDescent="0.25"/>
  <cols>
    <col min="1" max="1" width="42.140625" customWidth="1"/>
    <col min="2" max="2" width="15" customWidth="1"/>
    <col min="3" max="3" width="3" style="406" customWidth="1"/>
    <col min="4" max="4" width="11.28515625" bestFit="1" customWidth="1"/>
    <col min="5" max="7" width="12.28515625" bestFit="1" customWidth="1"/>
    <col min="8" max="8" width="11.28515625" bestFit="1" customWidth="1"/>
    <col min="9" max="9" width="12.28515625" bestFit="1" customWidth="1"/>
    <col min="10" max="11" width="11.28515625" bestFit="1" customWidth="1"/>
    <col min="12" max="12" width="12.28515625" bestFit="1" customWidth="1"/>
    <col min="13" max="13" width="13.5703125" bestFit="1" customWidth="1"/>
    <col min="14" max="39" width="12.28515625" bestFit="1" customWidth="1"/>
    <col min="40" max="40" width="11.28515625" bestFit="1" customWidth="1"/>
    <col min="41" max="41" width="10.85546875" bestFit="1" customWidth="1"/>
    <col min="42" max="46" width="11.28515625" bestFit="1" customWidth="1"/>
    <col min="47" max="47" width="10.85546875" bestFit="1" customWidth="1"/>
    <col min="48" max="48" width="10.5703125" bestFit="1" customWidth="1"/>
    <col min="49" max="52" width="10.85546875" bestFit="1" customWidth="1"/>
    <col min="53" max="57" width="11.28515625" bestFit="1" customWidth="1"/>
    <col min="58" max="58" width="10.85546875" bestFit="1" customWidth="1"/>
    <col min="59" max="59" width="10.5703125" bestFit="1" customWidth="1"/>
    <col min="60" max="63" width="10.85546875" bestFit="1" customWidth="1"/>
  </cols>
  <sheetData>
    <row r="1" spans="1:63" ht="46.5" x14ac:dyDescent="0.7">
      <c r="A1" s="211"/>
      <c r="B1" s="212"/>
      <c r="C1" s="212"/>
      <c r="D1" s="212"/>
      <c r="E1" s="212"/>
      <c r="F1" s="212"/>
      <c r="G1" s="212"/>
      <c r="H1" s="212"/>
      <c r="I1" s="212"/>
      <c r="J1" s="212"/>
      <c r="K1" s="212"/>
      <c r="L1" s="212"/>
      <c r="M1" s="212"/>
      <c r="N1" s="212"/>
      <c r="O1" s="212"/>
      <c r="P1" s="212"/>
      <c r="Q1" s="212"/>
      <c r="R1" s="212"/>
      <c r="S1" s="212"/>
      <c r="T1" s="212"/>
      <c r="U1" s="212"/>
      <c r="V1" s="212"/>
      <c r="W1" s="212"/>
      <c r="X1" s="212"/>
      <c r="Y1" s="212"/>
      <c r="Z1" s="212"/>
      <c r="AA1" s="212"/>
      <c r="AB1" s="212"/>
      <c r="AC1" s="212"/>
      <c r="AD1" s="212"/>
      <c r="AE1" s="212"/>
      <c r="AF1" s="212"/>
      <c r="AG1" s="212"/>
      <c r="AH1" s="212"/>
      <c r="AI1" s="212"/>
      <c r="AJ1" s="212"/>
      <c r="AK1" s="212"/>
      <c r="AL1" s="212"/>
      <c r="AM1" s="212"/>
      <c r="AN1" s="212"/>
      <c r="AO1" s="212"/>
      <c r="AP1" s="212"/>
      <c r="AQ1" s="212"/>
      <c r="AR1" s="212"/>
      <c r="AS1" s="212"/>
      <c r="AT1" s="212"/>
      <c r="AU1" s="212"/>
      <c r="AV1" s="212"/>
      <c r="AW1" s="212"/>
      <c r="AX1" s="212"/>
      <c r="AY1" s="212"/>
      <c r="AZ1" s="212"/>
      <c r="BA1" s="212"/>
      <c r="BB1" s="212"/>
      <c r="BC1" s="212"/>
      <c r="BD1" s="212"/>
      <c r="BE1" s="212"/>
      <c r="BF1" s="212"/>
      <c r="BG1" s="212"/>
      <c r="BH1" s="212"/>
      <c r="BI1" s="212"/>
      <c r="BJ1" s="212"/>
      <c r="BK1" s="212"/>
    </row>
    <row r="2" spans="1:63" x14ac:dyDescent="0.25">
      <c r="A2" s="212"/>
      <c r="B2" s="212"/>
      <c r="C2" s="212"/>
      <c r="D2" s="213">
        <f>B3</f>
        <v>40909</v>
      </c>
      <c r="E2" s="213">
        <f t="shared" ref="E2:AM2" si="0">D2+DAY(DATE(YEAR(D2),MONTH(D2)+1,))</f>
        <v>40940</v>
      </c>
      <c r="F2" s="213">
        <f t="shared" si="0"/>
        <v>40969</v>
      </c>
      <c r="G2" s="213">
        <f t="shared" si="0"/>
        <v>41000</v>
      </c>
      <c r="H2" s="213">
        <f t="shared" si="0"/>
        <v>41030</v>
      </c>
      <c r="I2" s="213">
        <f t="shared" si="0"/>
        <v>41061</v>
      </c>
      <c r="J2" s="213">
        <f t="shared" si="0"/>
        <v>41091</v>
      </c>
      <c r="K2" s="213">
        <f t="shared" si="0"/>
        <v>41122</v>
      </c>
      <c r="L2" s="213">
        <f t="shared" si="0"/>
        <v>41153</v>
      </c>
      <c r="M2" s="213">
        <f t="shared" si="0"/>
        <v>41183</v>
      </c>
      <c r="N2" s="213">
        <f t="shared" si="0"/>
        <v>41214</v>
      </c>
      <c r="O2" s="213">
        <f t="shared" si="0"/>
        <v>41244</v>
      </c>
      <c r="P2" s="213">
        <f t="shared" si="0"/>
        <v>41275</v>
      </c>
      <c r="Q2" s="213">
        <f t="shared" si="0"/>
        <v>41306</v>
      </c>
      <c r="R2" s="213">
        <f t="shared" si="0"/>
        <v>41334</v>
      </c>
      <c r="S2" s="213">
        <f t="shared" si="0"/>
        <v>41365</v>
      </c>
      <c r="T2" s="213">
        <f t="shared" si="0"/>
        <v>41395</v>
      </c>
      <c r="U2" s="213">
        <f t="shared" si="0"/>
        <v>41426</v>
      </c>
      <c r="V2" s="213">
        <f t="shared" si="0"/>
        <v>41456</v>
      </c>
      <c r="W2" s="213">
        <f t="shared" si="0"/>
        <v>41487</v>
      </c>
      <c r="X2" s="213">
        <f t="shared" si="0"/>
        <v>41518</v>
      </c>
      <c r="Y2" s="213">
        <f t="shared" si="0"/>
        <v>41548</v>
      </c>
      <c r="Z2" s="213">
        <f t="shared" si="0"/>
        <v>41579</v>
      </c>
      <c r="AA2" s="213">
        <f t="shared" si="0"/>
        <v>41609</v>
      </c>
      <c r="AB2" s="213">
        <f t="shared" si="0"/>
        <v>41640</v>
      </c>
      <c r="AC2" s="213">
        <f t="shared" si="0"/>
        <v>41671</v>
      </c>
      <c r="AD2" s="213">
        <f t="shared" si="0"/>
        <v>41699</v>
      </c>
      <c r="AE2" s="213">
        <f t="shared" si="0"/>
        <v>41730</v>
      </c>
      <c r="AF2" s="213">
        <f t="shared" si="0"/>
        <v>41760</v>
      </c>
      <c r="AG2" s="213">
        <f t="shared" si="0"/>
        <v>41791</v>
      </c>
      <c r="AH2" s="213">
        <f t="shared" si="0"/>
        <v>41821</v>
      </c>
      <c r="AI2" s="213">
        <f t="shared" si="0"/>
        <v>41852</v>
      </c>
      <c r="AJ2" s="213">
        <f t="shared" si="0"/>
        <v>41883</v>
      </c>
      <c r="AK2" s="213">
        <f t="shared" si="0"/>
        <v>41913</v>
      </c>
      <c r="AL2" s="213">
        <f t="shared" si="0"/>
        <v>41944</v>
      </c>
      <c r="AM2" s="213">
        <f t="shared" si="0"/>
        <v>41974</v>
      </c>
      <c r="AN2" s="213">
        <f t="shared" ref="AN2" si="1">AM2+DAY(DATE(YEAR(AM2),MONTH(AM2)+1,))</f>
        <v>42005</v>
      </c>
      <c r="AO2" s="213">
        <f t="shared" ref="AO2" si="2">AN2+DAY(DATE(YEAR(AN2),MONTH(AN2)+1,))</f>
        <v>42036</v>
      </c>
      <c r="AP2" s="213">
        <f t="shared" ref="AP2" si="3">AO2+DAY(DATE(YEAR(AO2),MONTH(AO2)+1,))</f>
        <v>42064</v>
      </c>
      <c r="AQ2" s="213">
        <f t="shared" ref="AQ2" si="4">AP2+DAY(DATE(YEAR(AP2),MONTH(AP2)+1,))</f>
        <v>42095</v>
      </c>
      <c r="AR2" s="213">
        <f t="shared" ref="AR2" si="5">AQ2+DAY(DATE(YEAR(AQ2),MONTH(AQ2)+1,))</f>
        <v>42125</v>
      </c>
      <c r="AS2" s="213">
        <f t="shared" ref="AS2" si="6">AR2+DAY(DATE(YEAR(AR2),MONTH(AR2)+1,))</f>
        <v>42156</v>
      </c>
      <c r="AT2" s="213">
        <f t="shared" ref="AT2" si="7">AS2+DAY(DATE(YEAR(AS2),MONTH(AS2)+1,))</f>
        <v>42186</v>
      </c>
      <c r="AU2" s="213">
        <f t="shared" ref="AU2" si="8">AT2+DAY(DATE(YEAR(AT2),MONTH(AT2)+1,))</f>
        <v>42217</v>
      </c>
      <c r="AV2" s="213">
        <f t="shared" ref="AV2" si="9">AU2+DAY(DATE(YEAR(AU2),MONTH(AU2)+1,))</f>
        <v>42248</v>
      </c>
      <c r="AW2" s="213">
        <f t="shared" ref="AW2" si="10">AV2+DAY(DATE(YEAR(AV2),MONTH(AV2)+1,))</f>
        <v>42278</v>
      </c>
      <c r="AX2" s="213">
        <f t="shared" ref="AX2" si="11">AW2+DAY(DATE(YEAR(AW2),MONTH(AW2)+1,))</f>
        <v>42309</v>
      </c>
      <c r="AY2" s="213">
        <f t="shared" ref="AY2" si="12">AX2+DAY(DATE(YEAR(AX2),MONTH(AX2)+1,))</f>
        <v>42339</v>
      </c>
      <c r="AZ2" s="213">
        <f t="shared" ref="AZ2" si="13">AY2+DAY(DATE(YEAR(AY2),MONTH(AY2)+1,))</f>
        <v>42370</v>
      </c>
      <c r="BA2" s="213">
        <f t="shared" ref="BA2" si="14">AZ2+DAY(DATE(YEAR(AZ2),MONTH(AZ2)+1,))</f>
        <v>42401</v>
      </c>
      <c r="BB2" s="213">
        <f t="shared" ref="BB2" si="15">BA2+DAY(DATE(YEAR(BA2),MONTH(BA2)+1,))</f>
        <v>42430</v>
      </c>
      <c r="BC2" s="213">
        <f t="shared" ref="BC2" si="16">BB2+DAY(DATE(YEAR(BB2),MONTH(BB2)+1,))</f>
        <v>42461</v>
      </c>
      <c r="BD2" s="213">
        <f t="shared" ref="BD2" si="17">BC2+DAY(DATE(YEAR(BC2),MONTH(BC2)+1,))</f>
        <v>42491</v>
      </c>
      <c r="BE2" s="213">
        <f t="shared" ref="BE2" si="18">BD2+DAY(DATE(YEAR(BD2),MONTH(BD2)+1,))</f>
        <v>42522</v>
      </c>
      <c r="BF2" s="213">
        <f t="shared" ref="BF2" si="19">BE2+DAY(DATE(YEAR(BE2),MONTH(BE2)+1,))</f>
        <v>42552</v>
      </c>
      <c r="BG2" s="213">
        <f t="shared" ref="BG2" si="20">BF2+DAY(DATE(YEAR(BF2),MONTH(BF2)+1,))</f>
        <v>42583</v>
      </c>
      <c r="BH2" s="213">
        <f t="shared" ref="BH2" si="21">BG2+DAY(DATE(YEAR(BG2),MONTH(BG2)+1,))</f>
        <v>42614</v>
      </c>
      <c r="BI2" s="213">
        <f t="shared" ref="BI2" si="22">BH2+DAY(DATE(YEAR(BH2),MONTH(BH2)+1,))</f>
        <v>42644</v>
      </c>
      <c r="BJ2" s="213">
        <f t="shared" ref="BJ2" si="23">BI2+DAY(DATE(YEAR(BI2),MONTH(BI2)+1,))</f>
        <v>42675</v>
      </c>
      <c r="BK2" s="213">
        <f t="shared" ref="BK2" si="24">BJ2+DAY(DATE(YEAR(BJ2),MONTH(BJ2)+1,))</f>
        <v>42705</v>
      </c>
    </row>
    <row r="3" spans="1:63" s="235" customFormat="1" x14ac:dyDescent="0.25">
      <c r="A3" s="212" t="s">
        <v>186</v>
      </c>
      <c r="B3" s="364">
        <v>40909</v>
      </c>
      <c r="C3" s="364"/>
      <c r="AN3" s="570"/>
      <c r="AO3" s="570"/>
      <c r="AP3" s="570"/>
      <c r="AQ3" s="570"/>
      <c r="AR3" s="570"/>
      <c r="AS3" s="570"/>
      <c r="AT3" s="570"/>
      <c r="AU3" s="570"/>
      <c r="AV3" s="570"/>
      <c r="AW3" s="570"/>
      <c r="AX3" s="570"/>
      <c r="AY3" s="570"/>
      <c r="AZ3" s="570"/>
      <c r="BA3" s="570"/>
      <c r="BB3" s="570"/>
      <c r="BC3" s="570"/>
      <c r="BD3" s="570"/>
      <c r="BE3" s="570"/>
      <c r="BF3" s="570"/>
      <c r="BG3" s="570"/>
      <c r="BH3" s="570"/>
      <c r="BI3" s="570"/>
      <c r="BJ3" s="570"/>
      <c r="BK3" s="570"/>
    </row>
    <row r="4" spans="1:63" s="235" customFormat="1" x14ac:dyDescent="0.25">
      <c r="A4" s="212" t="s">
        <v>197</v>
      </c>
      <c r="B4" s="365" t="s">
        <v>198</v>
      </c>
      <c r="C4" s="365"/>
      <c r="AN4" s="570"/>
      <c r="AO4" s="570"/>
      <c r="AP4" s="570"/>
      <c r="AQ4" s="570"/>
      <c r="AR4" s="570"/>
      <c r="AS4" s="570"/>
      <c r="AT4" s="570"/>
      <c r="AU4" s="570"/>
      <c r="AV4" s="570"/>
      <c r="AW4" s="570"/>
      <c r="AX4" s="570"/>
      <c r="AY4" s="570"/>
      <c r="AZ4" s="570"/>
      <c r="BA4" s="570"/>
      <c r="BB4" s="570"/>
      <c r="BC4" s="570"/>
      <c r="BD4" s="570"/>
      <c r="BE4" s="570"/>
      <c r="BF4" s="570"/>
      <c r="BG4" s="570"/>
      <c r="BH4" s="570"/>
      <c r="BI4" s="570"/>
      <c r="BJ4" s="570"/>
      <c r="BK4" s="570"/>
    </row>
    <row r="5" spans="1:63" s="235" customFormat="1" x14ac:dyDescent="0.25">
      <c r="A5" s="212" t="s">
        <v>225</v>
      </c>
      <c r="B5" s="365">
        <v>48</v>
      </c>
      <c r="C5" s="365"/>
      <c r="AN5" s="570"/>
      <c r="AO5" s="570"/>
      <c r="AP5" s="570"/>
      <c r="AQ5" s="570"/>
      <c r="AR5" s="570"/>
      <c r="AS5" s="570"/>
      <c r="AT5" s="570"/>
      <c r="AU5" s="570"/>
      <c r="AV5" s="570"/>
      <c r="AW5" s="570"/>
      <c r="AX5" s="570"/>
      <c r="AY5" s="570"/>
      <c r="AZ5" s="570"/>
      <c r="BA5" s="570"/>
      <c r="BB5" s="570"/>
      <c r="BC5" s="570"/>
      <c r="BD5" s="570"/>
      <c r="BE5" s="570"/>
      <c r="BF5" s="570"/>
      <c r="BG5" s="570"/>
      <c r="BH5" s="570"/>
      <c r="BI5" s="570"/>
      <c r="BJ5" s="570"/>
      <c r="BK5" s="570"/>
    </row>
    <row r="6" spans="1:63" s="235" customFormat="1" x14ac:dyDescent="0.25">
      <c r="A6" s="212" t="s">
        <v>181</v>
      </c>
      <c r="B6" s="365">
        <v>5</v>
      </c>
      <c r="C6" s="365"/>
      <c r="AN6" s="570"/>
      <c r="AO6" s="570"/>
      <c r="AP6" s="570"/>
      <c r="AQ6" s="570"/>
      <c r="AR6" s="570"/>
      <c r="AS6" s="570"/>
      <c r="AT6" s="570"/>
      <c r="AU6" s="570"/>
      <c r="AV6" s="570"/>
      <c r="AW6" s="570"/>
      <c r="AX6" s="570"/>
      <c r="AY6" s="570"/>
      <c r="AZ6" s="570"/>
      <c r="BA6" s="570"/>
      <c r="BB6" s="570"/>
      <c r="BC6" s="570"/>
      <c r="BD6" s="570"/>
      <c r="BE6" s="570"/>
      <c r="BF6" s="570"/>
      <c r="BG6" s="570"/>
      <c r="BH6" s="570"/>
      <c r="BI6" s="570"/>
      <c r="BJ6" s="570"/>
      <c r="BK6" s="570"/>
    </row>
    <row r="7" spans="1:63" s="235" customFormat="1" x14ac:dyDescent="0.25">
      <c r="A7" s="212" t="s">
        <v>182</v>
      </c>
      <c r="B7" s="365">
        <v>30</v>
      </c>
      <c r="C7" s="365"/>
      <c r="AN7" s="570"/>
      <c r="AO7" s="570"/>
      <c r="AP7" s="570"/>
      <c r="AQ7" s="570"/>
      <c r="AR7" s="570"/>
      <c r="AS7" s="570"/>
      <c r="AT7" s="570"/>
      <c r="AU7" s="570"/>
      <c r="AV7" s="570"/>
      <c r="AW7" s="570"/>
      <c r="AX7" s="570"/>
      <c r="AY7" s="570"/>
      <c r="AZ7" s="570"/>
      <c r="BA7" s="570"/>
      <c r="BB7" s="570"/>
      <c r="BC7" s="570"/>
      <c r="BD7" s="570"/>
      <c r="BE7" s="570"/>
      <c r="BF7" s="570"/>
      <c r="BG7" s="570"/>
      <c r="BH7" s="570"/>
      <c r="BI7" s="570"/>
      <c r="BJ7" s="570"/>
      <c r="BK7" s="570"/>
    </row>
    <row r="8" spans="1:63" s="210" customFormat="1" x14ac:dyDescent="0.25">
      <c r="A8" s="212" t="s">
        <v>535</v>
      </c>
      <c r="B8" s="441">
        <v>0.1</v>
      </c>
      <c r="C8" s="365"/>
      <c r="H8" s="10"/>
      <c r="AN8" s="570"/>
      <c r="AO8" s="570"/>
      <c r="AP8" s="570"/>
      <c r="AQ8" s="570"/>
      <c r="AR8" s="570"/>
      <c r="AS8" s="570"/>
      <c r="AT8" s="570"/>
      <c r="AU8" s="570"/>
      <c r="AV8" s="570"/>
      <c r="AW8" s="570"/>
      <c r="AX8" s="570"/>
      <c r="AY8" s="570"/>
      <c r="AZ8" s="570"/>
      <c r="BA8" s="570"/>
      <c r="BB8" s="570"/>
      <c r="BC8" s="570"/>
      <c r="BD8" s="570"/>
      <c r="BE8" s="570"/>
      <c r="BF8" s="570"/>
      <c r="BG8" s="570"/>
      <c r="BH8" s="570"/>
      <c r="BI8" s="570"/>
      <c r="BJ8" s="570"/>
      <c r="BK8" s="570"/>
    </row>
    <row r="9" spans="1:63" s="437" customFormat="1" x14ac:dyDescent="0.25">
      <c r="A9" s="212" t="s">
        <v>536</v>
      </c>
      <c r="B9" s="366">
        <f>100%-B8</f>
        <v>0.9</v>
      </c>
      <c r="H9" s="10"/>
      <c r="AN9" s="570"/>
      <c r="AO9" s="570"/>
      <c r="AP9" s="570"/>
      <c r="AQ9" s="570"/>
      <c r="AR9" s="570"/>
      <c r="AS9" s="570"/>
      <c r="AT9" s="570"/>
      <c r="AU9" s="570"/>
      <c r="AV9" s="570"/>
      <c r="AW9" s="570"/>
      <c r="AX9" s="570"/>
      <c r="AY9" s="570"/>
      <c r="AZ9" s="570"/>
      <c r="BA9" s="570"/>
      <c r="BB9" s="570"/>
      <c r="BC9" s="570"/>
      <c r="BD9" s="570"/>
      <c r="BE9" s="570"/>
      <c r="BF9" s="570"/>
      <c r="BG9" s="570"/>
      <c r="BH9" s="570"/>
      <c r="BI9" s="570"/>
      <c r="BJ9" s="570"/>
      <c r="BK9" s="570"/>
    </row>
    <row r="10" spans="1:63" x14ac:dyDescent="0.25">
      <c r="A10" s="212" t="s">
        <v>689</v>
      </c>
      <c r="B10" s="365" t="s">
        <v>710</v>
      </c>
      <c r="D10" s="436"/>
      <c r="AN10" s="570"/>
      <c r="AO10" s="570"/>
      <c r="AP10" s="570"/>
      <c r="AQ10" s="570"/>
      <c r="AR10" s="570"/>
      <c r="AS10" s="570"/>
      <c r="AT10" s="570"/>
      <c r="AU10" s="570"/>
      <c r="AV10" s="570"/>
      <c r="AW10" s="570"/>
      <c r="AX10" s="570"/>
      <c r="AY10" s="570"/>
      <c r="AZ10" s="570"/>
      <c r="BA10" s="570"/>
      <c r="BB10" s="570"/>
      <c r="BC10" s="570"/>
      <c r="BD10" s="570"/>
      <c r="BE10" s="570"/>
      <c r="BF10" s="570"/>
      <c r="BG10" s="570"/>
      <c r="BH10" s="570"/>
      <c r="BI10" s="570"/>
      <c r="BJ10" s="570"/>
      <c r="BK10" s="570"/>
    </row>
    <row r="11" spans="1:63" x14ac:dyDescent="0.25">
      <c r="A11" s="212" t="s">
        <v>690</v>
      </c>
      <c r="B11" s="545">
        <v>2754465.53</v>
      </c>
      <c r="D11" s="436"/>
      <c r="AN11" s="570"/>
      <c r="AO11" s="570"/>
      <c r="AP11" s="570"/>
      <c r="AQ11" s="570"/>
      <c r="AR11" s="570"/>
      <c r="AS11" s="570"/>
      <c r="AT11" s="570"/>
      <c r="AU11" s="570"/>
      <c r="AV11" s="570"/>
      <c r="AW11" s="570"/>
      <c r="AX11" s="570"/>
      <c r="AY11" s="570"/>
      <c r="AZ11" s="570"/>
      <c r="BA11" s="570"/>
      <c r="BB11" s="570"/>
      <c r="BC11" s="570"/>
      <c r="BD11" s="570"/>
      <c r="BE11" s="570"/>
      <c r="BF11" s="570"/>
      <c r="BG11" s="570"/>
      <c r="BH11" s="570"/>
      <c r="BI11" s="570"/>
      <c r="BJ11" s="570"/>
      <c r="BK11" s="570"/>
    </row>
    <row r="12" spans="1:63" x14ac:dyDescent="0.25">
      <c r="AN12" s="570"/>
      <c r="AO12" s="570"/>
      <c r="AP12" s="570"/>
      <c r="AQ12" s="570"/>
      <c r="AR12" s="570"/>
      <c r="AS12" s="570"/>
      <c r="AT12" s="570"/>
      <c r="AU12" s="570"/>
      <c r="AV12" s="570"/>
      <c r="AW12" s="570"/>
      <c r="AX12" s="570"/>
      <c r="AY12" s="570"/>
      <c r="AZ12" s="570"/>
      <c r="BA12" s="570"/>
      <c r="BB12" s="570"/>
      <c r="BC12" s="570"/>
      <c r="BD12" s="570"/>
      <c r="BE12" s="570"/>
      <c r="BF12" s="570"/>
      <c r="BG12" s="570"/>
      <c r="BH12" s="570"/>
      <c r="BI12" s="570"/>
      <c r="BJ12" s="570"/>
      <c r="BK12" s="570"/>
    </row>
    <row r="13" spans="1:63" x14ac:dyDescent="0.25">
      <c r="A13" s="219" t="s">
        <v>224</v>
      </c>
      <c r="D13" s="254">
        <v>2.5000000000000001E-2</v>
      </c>
      <c r="E13" s="254">
        <v>2.5000000000000001E-2</v>
      </c>
      <c r="F13" s="254">
        <v>2.5000000000000001E-2</v>
      </c>
      <c r="G13" s="254">
        <v>2.5000000000000001E-2</v>
      </c>
      <c r="H13" s="254">
        <v>2.5000000000000001E-2</v>
      </c>
      <c r="I13" s="254">
        <v>2.5000000000000001E-2</v>
      </c>
      <c r="J13" s="254">
        <v>2.5000000000000001E-2</v>
      </c>
      <c r="K13" s="254">
        <v>2.5000000000000001E-2</v>
      </c>
      <c r="L13" s="254">
        <v>2.5000000000000001E-2</v>
      </c>
      <c r="M13" s="254">
        <v>2.5000000000000001E-2</v>
      </c>
      <c r="N13" s="254">
        <v>2.5000000000000001E-2</v>
      </c>
      <c r="O13" s="254">
        <v>2.5000000000000001E-2</v>
      </c>
      <c r="P13" s="254">
        <v>2.5000000000000001E-2</v>
      </c>
      <c r="Q13" s="254">
        <v>2.5000000000000001E-2</v>
      </c>
      <c r="R13" s="254">
        <v>2.5000000000000001E-2</v>
      </c>
      <c r="S13" s="254">
        <v>2.5000000000000001E-2</v>
      </c>
      <c r="T13" s="254">
        <v>2.5000000000000001E-2</v>
      </c>
      <c r="U13" s="254">
        <v>2.5000000000000001E-2</v>
      </c>
      <c r="V13" s="254">
        <v>2.5000000000000001E-2</v>
      </c>
      <c r="W13" s="254">
        <v>2.5000000000000001E-2</v>
      </c>
      <c r="X13" s="254">
        <v>2.5000000000000001E-2</v>
      </c>
      <c r="Y13" s="254">
        <v>2.5000000000000001E-2</v>
      </c>
      <c r="Z13" s="254">
        <v>2.5000000000000001E-2</v>
      </c>
      <c r="AA13" s="254">
        <v>2.5000000000000001E-2</v>
      </c>
      <c r="AB13" s="254">
        <v>2.5000000000000001E-2</v>
      </c>
      <c r="AC13" s="254">
        <v>2.5000000000000001E-2</v>
      </c>
      <c r="AD13" s="254">
        <v>2.5000000000000001E-2</v>
      </c>
      <c r="AE13" s="254">
        <v>2.5000000000000001E-2</v>
      </c>
      <c r="AF13" s="254">
        <v>2.5000000000000001E-2</v>
      </c>
      <c r="AG13" s="254">
        <v>2.5000000000000001E-2</v>
      </c>
      <c r="AH13" s="254">
        <v>2.5000000000000001E-2</v>
      </c>
      <c r="AI13" s="254">
        <v>2.5000000000000001E-2</v>
      </c>
      <c r="AJ13" s="254">
        <v>2.5000000000000001E-2</v>
      </c>
      <c r="AK13" s="254">
        <v>2.5000000000000001E-2</v>
      </c>
      <c r="AL13" s="254">
        <v>2.5000000000000001E-2</v>
      </c>
      <c r="AM13" s="254">
        <v>2.5000000000000001E-2</v>
      </c>
      <c r="AN13" s="254">
        <v>2.5000000000000001E-2</v>
      </c>
      <c r="AO13" s="254">
        <v>2.5000000000000001E-2</v>
      </c>
      <c r="AP13" s="254">
        <v>2.5000000000000001E-2</v>
      </c>
      <c r="AQ13" s="254">
        <v>2.5000000000000001E-2</v>
      </c>
      <c r="AR13" s="254">
        <v>2.5000000000000001E-2</v>
      </c>
      <c r="AS13" s="254">
        <v>2.5000000000000001E-2</v>
      </c>
      <c r="AT13" s="254">
        <v>2.5000000000000001E-2</v>
      </c>
      <c r="AU13" s="254">
        <v>2.5000000000000001E-2</v>
      </c>
      <c r="AV13" s="254">
        <v>2.5000000000000001E-2</v>
      </c>
      <c r="AW13" s="254">
        <v>2.5000000000000001E-2</v>
      </c>
      <c r="AX13" s="254">
        <v>2.5000000000000001E-2</v>
      </c>
      <c r="AY13" s="254">
        <v>2.5000000000000001E-2</v>
      </c>
      <c r="AZ13" s="254">
        <v>2.5000000000000001E-2</v>
      </c>
      <c r="BA13" s="254">
        <v>2.5000000000000001E-2</v>
      </c>
      <c r="BB13" s="254">
        <v>2.5000000000000001E-2</v>
      </c>
      <c r="BC13" s="254">
        <v>2.5000000000000001E-2</v>
      </c>
      <c r="BD13" s="254">
        <v>2.5000000000000001E-2</v>
      </c>
      <c r="BE13" s="254">
        <v>2.5000000000000001E-2</v>
      </c>
      <c r="BF13" s="254">
        <v>2.5000000000000001E-2</v>
      </c>
      <c r="BG13" s="254">
        <v>2.5000000000000001E-2</v>
      </c>
      <c r="BH13" s="254">
        <v>2.5000000000000001E-2</v>
      </c>
      <c r="BI13" s="254">
        <v>2.5000000000000001E-2</v>
      </c>
      <c r="BJ13" s="254">
        <v>2.5000000000000001E-2</v>
      </c>
      <c r="BK13" s="254">
        <v>2.5000000000000001E-2</v>
      </c>
    </row>
    <row r="14" spans="1:63" x14ac:dyDescent="0.25">
      <c r="A14" s="219" t="s">
        <v>537</v>
      </c>
      <c r="D14" s="254">
        <v>8.0000000000000002E-3</v>
      </c>
      <c r="E14" s="254">
        <v>8.0000000000000002E-3</v>
      </c>
      <c r="F14" s="254">
        <v>8.0000000000000002E-3</v>
      </c>
      <c r="G14" s="254">
        <v>8.0000000000000002E-3</v>
      </c>
      <c r="H14" s="254">
        <v>8.0000000000000002E-3</v>
      </c>
      <c r="I14" s="254">
        <v>8.0000000000000002E-3</v>
      </c>
      <c r="J14" s="254">
        <v>8.0000000000000002E-3</v>
      </c>
      <c r="K14" s="254">
        <v>8.0000000000000002E-3</v>
      </c>
      <c r="L14" s="254">
        <v>8.0000000000000002E-3</v>
      </c>
      <c r="M14" s="254">
        <v>8.0000000000000002E-3</v>
      </c>
      <c r="N14" s="254">
        <v>8.0000000000000002E-3</v>
      </c>
      <c r="O14" s="254">
        <v>8.0000000000000002E-3</v>
      </c>
      <c r="P14" s="254">
        <v>0.05</v>
      </c>
      <c r="Q14" s="254">
        <v>0.05</v>
      </c>
      <c r="R14" s="254">
        <v>0.05</v>
      </c>
      <c r="S14" s="254">
        <v>0.03</v>
      </c>
      <c r="T14" s="254">
        <v>0.03</v>
      </c>
      <c r="U14" s="254">
        <v>0.03</v>
      </c>
      <c r="V14" s="254">
        <v>0.03</v>
      </c>
      <c r="W14" s="254">
        <v>0.03</v>
      </c>
      <c r="X14" s="254">
        <v>0.03</v>
      </c>
      <c r="Y14" s="254">
        <v>0.01</v>
      </c>
      <c r="Z14" s="254">
        <v>0.01</v>
      </c>
      <c r="AA14" s="254">
        <v>0.01</v>
      </c>
      <c r="AB14" s="254">
        <v>0.01</v>
      </c>
      <c r="AC14" s="254">
        <v>0.01</v>
      </c>
      <c r="AD14" s="254">
        <v>0.01</v>
      </c>
      <c r="AE14" s="254">
        <v>0.01</v>
      </c>
      <c r="AF14" s="254">
        <v>0.01</v>
      </c>
      <c r="AG14" s="254">
        <v>0.01</v>
      </c>
      <c r="AH14" s="254">
        <v>0.01</v>
      </c>
      <c r="AI14" s="254">
        <v>0.01</v>
      </c>
      <c r="AJ14" s="254">
        <v>0.01</v>
      </c>
      <c r="AK14" s="254">
        <v>0.01</v>
      </c>
      <c r="AL14" s="254">
        <v>0.01</v>
      </c>
      <c r="AM14" s="254">
        <v>0.01</v>
      </c>
      <c r="AN14" s="254">
        <v>0.01</v>
      </c>
      <c r="AO14" s="254">
        <v>0.01</v>
      </c>
      <c r="AP14" s="254">
        <v>0.01</v>
      </c>
      <c r="AQ14" s="254">
        <v>0.01</v>
      </c>
      <c r="AR14" s="254">
        <v>0.01</v>
      </c>
      <c r="AS14" s="254">
        <v>0.01</v>
      </c>
      <c r="AT14" s="254">
        <v>0.01</v>
      </c>
      <c r="AU14" s="254">
        <v>0.01</v>
      </c>
      <c r="AV14" s="254">
        <v>0.01</v>
      </c>
      <c r="AW14" s="254">
        <v>0.01</v>
      </c>
      <c r="AX14" s="254">
        <v>0.01</v>
      </c>
      <c r="AY14" s="254">
        <v>0.01</v>
      </c>
      <c r="AZ14" s="254">
        <v>0.01</v>
      </c>
      <c r="BA14" s="254">
        <v>0.01</v>
      </c>
      <c r="BB14" s="254">
        <v>0.01</v>
      </c>
      <c r="BC14" s="254">
        <v>0.01</v>
      </c>
      <c r="BD14" s="254">
        <v>0.01</v>
      </c>
      <c r="BE14" s="254">
        <v>0.01</v>
      </c>
      <c r="BF14" s="254">
        <v>0.01</v>
      </c>
      <c r="BG14" s="254">
        <v>0.01</v>
      </c>
      <c r="BH14" s="254">
        <v>0.01</v>
      </c>
      <c r="BI14" s="254">
        <v>0.01</v>
      </c>
      <c r="BJ14" s="254">
        <v>0.01</v>
      </c>
      <c r="BK14" s="254">
        <v>0.01</v>
      </c>
    </row>
    <row r="15" spans="1:63" x14ac:dyDescent="0.25">
      <c r="A15" s="219" t="s">
        <v>499</v>
      </c>
      <c r="D15" s="221">
        <v>0</v>
      </c>
      <c r="E15" s="221">
        <v>0</v>
      </c>
      <c r="F15" s="221">
        <v>0</v>
      </c>
      <c r="G15" s="221">
        <v>0</v>
      </c>
      <c r="H15" s="221">
        <v>0</v>
      </c>
      <c r="I15" s="221">
        <v>0</v>
      </c>
      <c r="J15" s="221">
        <v>0</v>
      </c>
      <c r="K15" s="221">
        <v>0</v>
      </c>
      <c r="L15" s="221">
        <v>0</v>
      </c>
      <c r="M15" s="221">
        <v>0</v>
      </c>
      <c r="N15" s="221">
        <v>0</v>
      </c>
      <c r="O15" s="221">
        <v>0</v>
      </c>
      <c r="P15" s="221">
        <v>0</v>
      </c>
      <c r="Q15" s="221">
        <v>0</v>
      </c>
      <c r="R15" s="221">
        <v>0</v>
      </c>
      <c r="S15" s="221">
        <v>0</v>
      </c>
      <c r="T15" s="221">
        <v>0</v>
      </c>
      <c r="U15" s="221">
        <v>0</v>
      </c>
      <c r="V15" s="221">
        <v>0</v>
      </c>
      <c r="W15" s="221">
        <v>0</v>
      </c>
      <c r="X15" s="221">
        <v>0</v>
      </c>
      <c r="Y15" s="221">
        <v>0</v>
      </c>
      <c r="Z15" s="221">
        <v>0</v>
      </c>
      <c r="AA15" s="221">
        <v>0</v>
      </c>
      <c r="AB15" s="221">
        <v>0</v>
      </c>
      <c r="AC15" s="221">
        <v>0</v>
      </c>
      <c r="AD15" s="221">
        <v>0</v>
      </c>
      <c r="AE15" s="221">
        <v>0</v>
      </c>
      <c r="AF15" s="221">
        <v>0</v>
      </c>
      <c r="AG15" s="221">
        <v>0</v>
      </c>
      <c r="AH15" s="221">
        <v>0</v>
      </c>
      <c r="AI15" s="221">
        <v>0</v>
      </c>
      <c r="AJ15" s="221">
        <v>0</v>
      </c>
      <c r="AK15" s="221">
        <v>0</v>
      </c>
      <c r="AL15" s="221">
        <v>0</v>
      </c>
      <c r="AM15" s="221">
        <v>0</v>
      </c>
      <c r="AN15" s="221">
        <v>0</v>
      </c>
      <c r="AO15" s="221">
        <v>0</v>
      </c>
      <c r="AP15" s="221">
        <v>0</v>
      </c>
      <c r="AQ15" s="221">
        <v>0</v>
      </c>
      <c r="AR15" s="221">
        <v>0</v>
      </c>
      <c r="AS15" s="221">
        <v>0</v>
      </c>
      <c r="AT15" s="221">
        <v>0</v>
      </c>
      <c r="AU15" s="221">
        <v>0</v>
      </c>
      <c r="AV15" s="221">
        <v>0</v>
      </c>
      <c r="AW15" s="221">
        <v>0</v>
      </c>
      <c r="AX15" s="221">
        <v>0</v>
      </c>
      <c r="AY15" s="221">
        <v>0</v>
      </c>
      <c r="AZ15" s="221">
        <v>0</v>
      </c>
      <c r="BA15" s="221">
        <v>0</v>
      </c>
      <c r="BB15" s="221">
        <v>0</v>
      </c>
      <c r="BC15" s="221">
        <v>0</v>
      </c>
      <c r="BD15" s="221">
        <v>0</v>
      </c>
      <c r="BE15" s="221">
        <v>0</v>
      </c>
      <c r="BF15" s="221">
        <v>0</v>
      </c>
      <c r="BG15" s="221">
        <v>0</v>
      </c>
      <c r="BH15" s="221">
        <v>0</v>
      </c>
      <c r="BI15" s="221">
        <v>0</v>
      </c>
      <c r="BJ15" s="221">
        <v>0</v>
      </c>
      <c r="BK15" s="221">
        <v>0</v>
      </c>
    </row>
    <row r="16" spans="1:63" x14ac:dyDescent="0.25">
      <c r="A16" s="219" t="s">
        <v>279</v>
      </c>
      <c r="D16" s="245">
        <v>0</v>
      </c>
      <c r="E16" s="245">
        <v>0</v>
      </c>
      <c r="F16" s="245">
        <v>0</v>
      </c>
      <c r="G16" s="245">
        <v>0</v>
      </c>
      <c r="H16" s="245">
        <v>0</v>
      </c>
      <c r="I16" s="245">
        <v>0</v>
      </c>
      <c r="J16" s="245">
        <v>0</v>
      </c>
      <c r="K16" s="245">
        <v>0</v>
      </c>
      <c r="L16" s="245">
        <v>0</v>
      </c>
      <c r="M16" s="245">
        <v>88</v>
      </c>
      <c r="N16" s="245">
        <v>88</v>
      </c>
      <c r="O16" s="245">
        <v>88</v>
      </c>
      <c r="P16" s="245">
        <v>88</v>
      </c>
      <c r="Q16" s="245">
        <v>88</v>
      </c>
      <c r="R16" s="245">
        <v>88</v>
      </c>
      <c r="S16" s="245">
        <v>88</v>
      </c>
      <c r="T16" s="245">
        <v>88</v>
      </c>
      <c r="U16" s="245">
        <v>88</v>
      </c>
      <c r="V16" s="245">
        <v>88</v>
      </c>
      <c r="W16" s="245">
        <v>88</v>
      </c>
      <c r="X16" s="245">
        <v>88</v>
      </c>
      <c r="Y16" s="245">
        <v>88</v>
      </c>
      <c r="Z16" s="245">
        <v>88</v>
      </c>
      <c r="AA16" s="245">
        <v>88</v>
      </c>
      <c r="AB16" s="245">
        <v>88</v>
      </c>
      <c r="AC16" s="245">
        <v>88</v>
      </c>
      <c r="AD16" s="245">
        <v>88</v>
      </c>
      <c r="AE16" s="245">
        <v>88</v>
      </c>
      <c r="AF16" s="245">
        <v>88</v>
      </c>
      <c r="AG16" s="245">
        <v>88</v>
      </c>
      <c r="AH16" s="245">
        <v>88</v>
      </c>
      <c r="AI16" s="245">
        <v>88</v>
      </c>
      <c r="AJ16" s="245">
        <v>88</v>
      </c>
      <c r="AK16" s="245">
        <v>88</v>
      </c>
      <c r="AL16" s="245">
        <v>88</v>
      </c>
      <c r="AM16" s="245">
        <v>88</v>
      </c>
      <c r="AN16" s="245">
        <v>88</v>
      </c>
      <c r="AO16" s="245">
        <v>88</v>
      </c>
      <c r="AP16" s="245">
        <v>88</v>
      </c>
      <c r="AQ16" s="245">
        <v>88</v>
      </c>
      <c r="AR16" s="245">
        <v>88</v>
      </c>
      <c r="AS16" s="245">
        <v>88</v>
      </c>
      <c r="AT16" s="245">
        <v>88</v>
      </c>
      <c r="AU16" s="245">
        <v>88</v>
      </c>
      <c r="AV16" s="245">
        <v>88</v>
      </c>
      <c r="AW16" s="245">
        <v>88</v>
      </c>
      <c r="AX16" s="245">
        <v>88</v>
      </c>
      <c r="AY16" s="245">
        <v>88</v>
      </c>
      <c r="AZ16" s="245">
        <v>88</v>
      </c>
      <c r="BA16" s="245">
        <v>88</v>
      </c>
      <c r="BB16" s="245">
        <v>88</v>
      </c>
      <c r="BC16" s="245">
        <v>88</v>
      </c>
      <c r="BD16" s="245">
        <v>88</v>
      </c>
      <c r="BE16" s="245">
        <v>88</v>
      </c>
      <c r="BF16" s="245">
        <v>88</v>
      </c>
      <c r="BG16" s="245">
        <v>88</v>
      </c>
      <c r="BH16" s="245">
        <v>88</v>
      </c>
      <c r="BI16" s="245">
        <v>88</v>
      </c>
      <c r="BJ16" s="245">
        <v>88</v>
      </c>
      <c r="BK16" s="245">
        <v>88</v>
      </c>
    </row>
    <row r="17" spans="1:63" x14ac:dyDescent="0.25">
      <c r="A17" s="219" t="s">
        <v>278</v>
      </c>
      <c r="B17" s="373" t="s">
        <v>1364</v>
      </c>
      <c r="D17" s="276">
        <f>IF($B$17="Board",INDEX(D95:AD95,0,0),IF($B$17="Non Board",INDEX(D96:AD96,0,0),IF($B$55="Medium",INDEX(D97:AD97,0,0),IF($B$55="High",INDEX(D98:AD98,0,0),INDEX(D70:AD70,0,0)))))</f>
        <v>5.1999999999999998E-2</v>
      </c>
      <c r="E17" s="276">
        <f t="shared" ref="E17:BK17" si="25">IF($B$17="Board",INDEX(E95:AE95,0,0),IF($B$17="Non Board",INDEX(E96:AE96,0,0),IF($B$55="Medium",INDEX(E97:AE97,0,0),IF($B$55="High",INDEX(E98:AE98,0,0),INDEX(E70:AE70,0,0)))))</f>
        <v>5.1999999999999998E-2</v>
      </c>
      <c r="F17" s="276">
        <f t="shared" si="25"/>
        <v>5.1999999999999998E-2</v>
      </c>
      <c r="G17" s="276">
        <f t="shared" si="25"/>
        <v>5.1999999999999998E-2</v>
      </c>
      <c r="H17" s="276">
        <f t="shared" si="25"/>
        <v>5.1999999999999998E-2</v>
      </c>
      <c r="I17" s="276">
        <f t="shared" si="25"/>
        <v>5.1999999999999998E-2</v>
      </c>
      <c r="J17" s="276">
        <f t="shared" si="25"/>
        <v>5.1999999999999998E-2</v>
      </c>
      <c r="K17" s="276">
        <f t="shared" si="25"/>
        <v>5.1999999999999998E-2</v>
      </c>
      <c r="L17" s="276">
        <f t="shared" si="25"/>
        <v>5.1999999999999998E-2</v>
      </c>
      <c r="M17" s="276">
        <f t="shared" si="25"/>
        <v>5.1999999999999998E-2</v>
      </c>
      <c r="N17" s="276">
        <f t="shared" si="25"/>
        <v>5.1999999999999998E-2</v>
      </c>
      <c r="O17" s="276">
        <f t="shared" si="25"/>
        <v>5.1999999999999998E-2</v>
      </c>
      <c r="P17" s="276">
        <f t="shared" si="25"/>
        <v>0.05</v>
      </c>
      <c r="Q17" s="276">
        <f t="shared" si="25"/>
        <v>0.05</v>
      </c>
      <c r="R17" s="276">
        <f t="shared" si="25"/>
        <v>0.05</v>
      </c>
      <c r="S17" s="276">
        <f t="shared" si="25"/>
        <v>0.05</v>
      </c>
      <c r="T17" s="276">
        <f t="shared" si="25"/>
        <v>0.05</v>
      </c>
      <c r="U17" s="276">
        <f t="shared" si="25"/>
        <v>0.05</v>
      </c>
      <c r="V17" s="276">
        <f t="shared" si="25"/>
        <v>0.05</v>
      </c>
      <c r="W17" s="276">
        <f t="shared" si="25"/>
        <v>0.05</v>
      </c>
      <c r="X17" s="276">
        <f t="shared" si="25"/>
        <v>0.05</v>
      </c>
      <c r="Y17" s="276">
        <f t="shared" si="25"/>
        <v>0.05</v>
      </c>
      <c r="Z17" s="276">
        <f t="shared" si="25"/>
        <v>0.05</v>
      </c>
      <c r="AA17" s="276">
        <f t="shared" si="25"/>
        <v>0.05</v>
      </c>
      <c r="AB17" s="276">
        <f t="shared" si="25"/>
        <v>0.05</v>
      </c>
      <c r="AC17" s="276">
        <f t="shared" si="25"/>
        <v>0.05</v>
      </c>
      <c r="AD17" s="276">
        <f t="shared" si="25"/>
        <v>0.05</v>
      </c>
      <c r="AE17" s="276">
        <f t="shared" si="25"/>
        <v>0.05</v>
      </c>
      <c r="AF17" s="276">
        <f t="shared" si="25"/>
        <v>0.05</v>
      </c>
      <c r="AG17" s="276">
        <f t="shared" si="25"/>
        <v>0.05</v>
      </c>
      <c r="AH17" s="276">
        <f t="shared" si="25"/>
        <v>3.5000000000000003E-2</v>
      </c>
      <c r="AI17" s="276">
        <f t="shared" si="25"/>
        <v>3.5000000000000003E-2</v>
      </c>
      <c r="AJ17" s="276">
        <f t="shared" si="25"/>
        <v>0.06</v>
      </c>
      <c r="AK17" s="276">
        <f t="shared" si="25"/>
        <v>0.06</v>
      </c>
      <c r="AL17" s="276">
        <f t="shared" si="25"/>
        <v>0.04</v>
      </c>
      <c r="AM17" s="276">
        <f t="shared" si="25"/>
        <v>0.03</v>
      </c>
      <c r="AN17" s="276">
        <f t="shared" si="25"/>
        <v>0.05</v>
      </c>
      <c r="AO17" s="276">
        <f t="shared" si="25"/>
        <v>0.05</v>
      </c>
      <c r="AP17" s="276">
        <f t="shared" si="25"/>
        <v>0.05</v>
      </c>
      <c r="AQ17" s="276">
        <f t="shared" si="25"/>
        <v>0.05</v>
      </c>
      <c r="AR17" s="276">
        <f t="shared" si="25"/>
        <v>0.05</v>
      </c>
      <c r="AS17" s="276">
        <f t="shared" si="25"/>
        <v>0.05</v>
      </c>
      <c r="AT17" s="276">
        <f t="shared" si="25"/>
        <v>0.05</v>
      </c>
      <c r="AU17" s="276">
        <f t="shared" si="25"/>
        <v>0.05</v>
      </c>
      <c r="AV17" s="276">
        <f t="shared" si="25"/>
        <v>0.05</v>
      </c>
      <c r="AW17" s="276">
        <f t="shared" si="25"/>
        <v>0.05</v>
      </c>
      <c r="AX17" s="276">
        <f t="shared" si="25"/>
        <v>0.05</v>
      </c>
      <c r="AY17" s="276">
        <f t="shared" si="25"/>
        <v>0.05</v>
      </c>
      <c r="AZ17" s="276">
        <f t="shared" si="25"/>
        <v>0.05</v>
      </c>
      <c r="BA17" s="276">
        <f t="shared" si="25"/>
        <v>0.05</v>
      </c>
      <c r="BB17" s="276">
        <f t="shared" si="25"/>
        <v>0.05</v>
      </c>
      <c r="BC17" s="276">
        <f t="shared" si="25"/>
        <v>0.05</v>
      </c>
      <c r="BD17" s="276">
        <f t="shared" si="25"/>
        <v>0.05</v>
      </c>
      <c r="BE17" s="276">
        <f t="shared" si="25"/>
        <v>0.05</v>
      </c>
      <c r="BF17" s="276">
        <f t="shared" si="25"/>
        <v>0.05</v>
      </c>
      <c r="BG17" s="276">
        <f t="shared" si="25"/>
        <v>0.05</v>
      </c>
      <c r="BH17" s="276">
        <f t="shared" si="25"/>
        <v>0.05</v>
      </c>
      <c r="BI17" s="276">
        <f t="shared" si="25"/>
        <v>0.05</v>
      </c>
      <c r="BJ17" s="276">
        <f t="shared" si="25"/>
        <v>0.05</v>
      </c>
      <c r="BK17" s="276">
        <f t="shared" si="25"/>
        <v>0.05</v>
      </c>
    </row>
    <row r="18" spans="1:63" s="304" customFormat="1" x14ac:dyDescent="0.25">
      <c r="A18" s="219" t="s">
        <v>394</v>
      </c>
      <c r="B18" s="373" t="s">
        <v>538</v>
      </c>
      <c r="C18" s="373"/>
      <c r="D18" s="258"/>
      <c r="E18" s="258"/>
      <c r="F18" s="258"/>
      <c r="G18" s="258"/>
      <c r="H18" s="258"/>
      <c r="I18" s="258"/>
      <c r="J18" s="258"/>
      <c r="K18" s="258"/>
      <c r="L18" s="258"/>
      <c r="M18" s="258"/>
      <c r="N18" s="258"/>
      <c r="O18" s="258"/>
      <c r="P18" s="258"/>
      <c r="Q18" s="258"/>
      <c r="R18" s="258"/>
      <c r="S18" s="258"/>
      <c r="T18" s="258"/>
      <c r="U18" s="258"/>
      <c r="V18" s="258"/>
      <c r="W18" s="258"/>
      <c r="X18" s="258"/>
      <c r="Y18" s="258"/>
      <c r="Z18" s="258"/>
      <c r="AA18" s="258"/>
      <c r="AB18" s="258"/>
      <c r="AC18" s="258"/>
      <c r="AD18" s="258"/>
      <c r="AE18" s="258"/>
      <c r="AF18" s="258"/>
      <c r="AG18" s="258"/>
      <c r="AH18" s="258"/>
      <c r="AI18" s="258"/>
      <c r="AJ18" s="258"/>
      <c r="AK18" s="258"/>
      <c r="AL18" s="258"/>
      <c r="AM18" s="258"/>
      <c r="AN18" s="258"/>
      <c r="AO18" s="258"/>
      <c r="AP18" s="258"/>
      <c r="AQ18" s="258"/>
      <c r="AR18" s="258"/>
      <c r="AS18" s="258"/>
      <c r="AT18" s="258"/>
      <c r="AU18" s="258"/>
      <c r="AV18" s="258"/>
      <c r="AW18" s="258"/>
      <c r="AX18" s="258"/>
      <c r="AY18" s="258"/>
      <c r="AZ18" s="258"/>
      <c r="BA18" s="258"/>
      <c r="BB18" s="258"/>
      <c r="BC18" s="258"/>
      <c r="BD18" s="258"/>
      <c r="BE18" s="258"/>
      <c r="BF18" s="258"/>
      <c r="BG18" s="258"/>
      <c r="BH18" s="258"/>
      <c r="BI18" s="258"/>
      <c r="BJ18" s="258"/>
      <c r="BK18" s="258"/>
    </row>
    <row r="19" spans="1:63" x14ac:dyDescent="0.25">
      <c r="A19" s="250" t="s">
        <v>249</v>
      </c>
      <c r="D19" s="366">
        <f t="array" ref="D19:BK44">IF(B18="Base",INDEX(K66:K91,0,0),IF(B18="Historical",INDEX(J66:J91,0,0),IF(B18="Best",INDEX(H66:H91,0,0),IF(B18="Better",INDEX(I66:I91,0,0),INDEX(L66:L91,0,0)))))</f>
        <v>0.75</v>
      </c>
      <c r="E19" s="366">
        <v>0.75</v>
      </c>
      <c r="F19" s="366">
        <v>0.75</v>
      </c>
      <c r="G19" s="366">
        <v>0.75</v>
      </c>
      <c r="H19" s="366">
        <v>0.75</v>
      </c>
      <c r="I19" s="366">
        <v>0.75</v>
      </c>
      <c r="J19" s="366">
        <v>0.75</v>
      </c>
      <c r="K19" s="366">
        <v>0.75</v>
      </c>
      <c r="L19" s="366">
        <v>0.75</v>
      </c>
      <c r="M19" s="366">
        <v>0.75</v>
      </c>
      <c r="N19" s="366">
        <v>0.75</v>
      </c>
      <c r="O19" s="366">
        <v>0.75</v>
      </c>
      <c r="P19" s="366">
        <v>0.75</v>
      </c>
      <c r="Q19" s="366">
        <v>0.75</v>
      </c>
      <c r="R19" s="366">
        <v>0.75</v>
      </c>
      <c r="S19" s="366">
        <v>0.75</v>
      </c>
      <c r="T19" s="366">
        <v>0.75</v>
      </c>
      <c r="U19" s="366">
        <v>0.75</v>
      </c>
      <c r="V19" s="366">
        <v>0.75</v>
      </c>
      <c r="W19" s="366">
        <v>0.75</v>
      </c>
      <c r="X19" s="366">
        <v>0.75</v>
      </c>
      <c r="Y19" s="366">
        <v>0.75</v>
      </c>
      <c r="Z19" s="366">
        <v>0.75</v>
      </c>
      <c r="AA19" s="366">
        <v>0.75</v>
      </c>
      <c r="AB19" s="366">
        <v>0.75</v>
      </c>
      <c r="AC19" s="366">
        <v>0.75</v>
      </c>
      <c r="AD19" s="366">
        <v>0.75</v>
      </c>
      <c r="AE19" s="288">
        <v>0.75</v>
      </c>
      <c r="AF19" s="288">
        <v>0.75</v>
      </c>
      <c r="AG19" s="288">
        <v>0.75</v>
      </c>
      <c r="AH19" s="288">
        <v>0.75</v>
      </c>
      <c r="AI19" s="288">
        <v>0.75</v>
      </c>
      <c r="AJ19" s="288">
        <v>0.75</v>
      </c>
      <c r="AK19" s="288">
        <v>0.75</v>
      </c>
      <c r="AL19" s="288">
        <v>0.75</v>
      </c>
      <c r="AM19" s="288">
        <v>0.75</v>
      </c>
      <c r="AN19" s="366">
        <v>0.75</v>
      </c>
      <c r="AO19" s="366">
        <v>0.75</v>
      </c>
      <c r="AP19" s="366">
        <v>0.75</v>
      </c>
      <c r="AQ19" s="366">
        <v>0.75</v>
      </c>
      <c r="AR19" s="366">
        <v>0.75</v>
      </c>
      <c r="AS19" s="366">
        <v>0.75</v>
      </c>
      <c r="AT19" s="366">
        <v>0.75</v>
      </c>
      <c r="AU19" s="366">
        <v>0.75</v>
      </c>
      <c r="AV19" s="366">
        <v>0.75</v>
      </c>
      <c r="AW19" s="366">
        <v>0.75</v>
      </c>
      <c r="AX19" s="366">
        <v>0.75</v>
      </c>
      <c r="AY19" s="366">
        <v>0.75</v>
      </c>
      <c r="AZ19" s="366">
        <v>0.75</v>
      </c>
      <c r="BA19" s="366">
        <v>0.75</v>
      </c>
      <c r="BB19" s="366">
        <v>0.75</v>
      </c>
      <c r="BC19" s="366">
        <v>0.75</v>
      </c>
      <c r="BD19" s="366">
        <v>0.75</v>
      </c>
      <c r="BE19" s="366">
        <v>0.75</v>
      </c>
      <c r="BF19" s="366">
        <v>0.75</v>
      </c>
      <c r="BG19" s="366">
        <v>0.75</v>
      </c>
      <c r="BH19" s="366">
        <v>0.75</v>
      </c>
      <c r="BI19" s="366">
        <v>0.75</v>
      </c>
      <c r="BJ19" s="366">
        <v>0.75</v>
      </c>
      <c r="BK19" s="366">
        <v>0.75</v>
      </c>
    </row>
    <row r="20" spans="1:63" x14ac:dyDescent="0.25">
      <c r="A20" s="250" t="s">
        <v>250</v>
      </c>
      <c r="D20" s="366">
        <v>0.61</v>
      </c>
      <c r="E20" s="366">
        <v>0.61</v>
      </c>
      <c r="F20" s="366">
        <v>0.61</v>
      </c>
      <c r="G20" s="366">
        <v>0.61</v>
      </c>
      <c r="H20" s="366">
        <v>0.61</v>
      </c>
      <c r="I20" s="366">
        <v>0.61</v>
      </c>
      <c r="J20" s="366">
        <v>0.61</v>
      </c>
      <c r="K20" s="366">
        <v>0.61</v>
      </c>
      <c r="L20" s="366">
        <v>0.61</v>
      </c>
      <c r="M20" s="366">
        <v>0.61</v>
      </c>
      <c r="N20" s="366">
        <v>0.61</v>
      </c>
      <c r="O20" s="366">
        <v>0.61</v>
      </c>
      <c r="P20" s="366">
        <v>0.61</v>
      </c>
      <c r="Q20" s="366">
        <v>0.61</v>
      </c>
      <c r="R20" s="366">
        <v>0.61</v>
      </c>
      <c r="S20" s="366">
        <v>0.61</v>
      </c>
      <c r="T20" s="366">
        <v>0.61</v>
      </c>
      <c r="U20" s="366">
        <v>0.61</v>
      </c>
      <c r="V20" s="366">
        <v>0.61</v>
      </c>
      <c r="W20" s="366">
        <v>0.61</v>
      </c>
      <c r="X20" s="366">
        <v>0.61</v>
      </c>
      <c r="Y20" s="366">
        <v>0.61</v>
      </c>
      <c r="Z20" s="366">
        <v>0.61</v>
      </c>
      <c r="AA20" s="366">
        <v>0.61</v>
      </c>
      <c r="AB20" s="366">
        <v>0.61</v>
      </c>
      <c r="AC20" s="366">
        <v>0.61</v>
      </c>
      <c r="AD20" s="366">
        <v>0.61</v>
      </c>
      <c r="AE20" s="288">
        <v>0.61</v>
      </c>
      <c r="AF20" s="288">
        <v>0.61</v>
      </c>
      <c r="AG20" s="288">
        <v>0.61</v>
      </c>
      <c r="AH20" s="288">
        <v>0.61</v>
      </c>
      <c r="AI20" s="288">
        <v>0.61</v>
      </c>
      <c r="AJ20" s="288">
        <v>0.61</v>
      </c>
      <c r="AK20" s="288">
        <v>0.61</v>
      </c>
      <c r="AL20" s="288">
        <v>0.61</v>
      </c>
      <c r="AM20" s="288">
        <v>0.61</v>
      </c>
      <c r="AN20" s="366">
        <v>0.61</v>
      </c>
      <c r="AO20" s="366">
        <v>0.61</v>
      </c>
      <c r="AP20" s="366">
        <v>0.61</v>
      </c>
      <c r="AQ20" s="366">
        <v>0.61</v>
      </c>
      <c r="AR20" s="366">
        <v>0.61</v>
      </c>
      <c r="AS20" s="366">
        <v>0.61</v>
      </c>
      <c r="AT20" s="366">
        <v>0.61</v>
      </c>
      <c r="AU20" s="366">
        <v>0.61</v>
      </c>
      <c r="AV20" s="366">
        <v>0.61</v>
      </c>
      <c r="AW20" s="366">
        <v>0.61</v>
      </c>
      <c r="AX20" s="366">
        <v>0.61</v>
      </c>
      <c r="AY20" s="366">
        <v>0.61</v>
      </c>
      <c r="AZ20" s="366">
        <v>0.61</v>
      </c>
      <c r="BA20" s="366">
        <v>0.61</v>
      </c>
      <c r="BB20" s="366">
        <v>0.61</v>
      </c>
      <c r="BC20" s="366">
        <v>0.61</v>
      </c>
      <c r="BD20" s="366">
        <v>0.61</v>
      </c>
      <c r="BE20" s="366">
        <v>0.61</v>
      </c>
      <c r="BF20" s="366">
        <v>0.61</v>
      </c>
      <c r="BG20" s="366">
        <v>0.61</v>
      </c>
      <c r="BH20" s="366">
        <v>0.61</v>
      </c>
      <c r="BI20" s="366">
        <v>0.61</v>
      </c>
      <c r="BJ20" s="366">
        <v>0.61</v>
      </c>
      <c r="BK20" s="366">
        <v>0.61</v>
      </c>
    </row>
    <row r="21" spans="1:63" x14ac:dyDescent="0.25">
      <c r="A21" s="250" t="s">
        <v>251</v>
      </c>
      <c r="D21" s="366">
        <v>0.62</v>
      </c>
      <c r="E21" s="366">
        <v>0.62</v>
      </c>
      <c r="F21" s="366">
        <v>0.62</v>
      </c>
      <c r="G21" s="366">
        <v>0.62</v>
      </c>
      <c r="H21" s="366">
        <v>0.62</v>
      </c>
      <c r="I21" s="366">
        <v>0.62</v>
      </c>
      <c r="J21" s="366">
        <v>0.62</v>
      </c>
      <c r="K21" s="366">
        <v>0.62</v>
      </c>
      <c r="L21" s="366">
        <v>0.62</v>
      </c>
      <c r="M21" s="366">
        <v>0.62</v>
      </c>
      <c r="N21" s="366">
        <v>0.62</v>
      </c>
      <c r="O21" s="366">
        <v>0.62</v>
      </c>
      <c r="P21" s="366">
        <v>0.62</v>
      </c>
      <c r="Q21" s="366">
        <v>0.62</v>
      </c>
      <c r="R21" s="366">
        <v>0.62</v>
      </c>
      <c r="S21" s="366">
        <v>0.62</v>
      </c>
      <c r="T21" s="366">
        <v>0.62</v>
      </c>
      <c r="U21" s="366">
        <v>0.62</v>
      </c>
      <c r="V21" s="366">
        <v>0.62</v>
      </c>
      <c r="W21" s="366">
        <v>0.62</v>
      </c>
      <c r="X21" s="366">
        <v>0.62</v>
      </c>
      <c r="Y21" s="366">
        <v>0.62</v>
      </c>
      <c r="Z21" s="366">
        <v>0.62</v>
      </c>
      <c r="AA21" s="366">
        <v>0.62</v>
      </c>
      <c r="AB21" s="366">
        <v>0.62</v>
      </c>
      <c r="AC21" s="366">
        <v>0.62</v>
      </c>
      <c r="AD21" s="366">
        <v>0.62</v>
      </c>
      <c r="AE21" s="288">
        <v>0.62</v>
      </c>
      <c r="AF21" s="288">
        <v>0.62</v>
      </c>
      <c r="AG21" s="288">
        <v>0.62</v>
      </c>
      <c r="AH21" s="288">
        <v>0.62</v>
      </c>
      <c r="AI21" s="288">
        <v>0.62</v>
      </c>
      <c r="AJ21" s="288">
        <v>0.62</v>
      </c>
      <c r="AK21" s="288">
        <v>0.62</v>
      </c>
      <c r="AL21" s="288">
        <v>0.62</v>
      </c>
      <c r="AM21" s="288">
        <v>0.62</v>
      </c>
      <c r="AN21" s="366">
        <v>0.62</v>
      </c>
      <c r="AO21" s="366">
        <v>0.62</v>
      </c>
      <c r="AP21" s="366">
        <v>0.62</v>
      </c>
      <c r="AQ21" s="366">
        <v>0.62</v>
      </c>
      <c r="AR21" s="366">
        <v>0.62</v>
      </c>
      <c r="AS21" s="366">
        <v>0.62</v>
      </c>
      <c r="AT21" s="366">
        <v>0.62</v>
      </c>
      <c r="AU21" s="366">
        <v>0.62</v>
      </c>
      <c r="AV21" s="366">
        <v>0.62</v>
      </c>
      <c r="AW21" s="366">
        <v>0.62</v>
      </c>
      <c r="AX21" s="366">
        <v>0.62</v>
      </c>
      <c r="AY21" s="366">
        <v>0.62</v>
      </c>
      <c r="AZ21" s="366">
        <v>0.62</v>
      </c>
      <c r="BA21" s="366">
        <v>0.62</v>
      </c>
      <c r="BB21" s="366">
        <v>0.62</v>
      </c>
      <c r="BC21" s="366">
        <v>0.62</v>
      </c>
      <c r="BD21" s="366">
        <v>0.62</v>
      </c>
      <c r="BE21" s="366">
        <v>0.62</v>
      </c>
      <c r="BF21" s="366">
        <v>0.62</v>
      </c>
      <c r="BG21" s="366">
        <v>0.62</v>
      </c>
      <c r="BH21" s="366">
        <v>0.62</v>
      </c>
      <c r="BI21" s="366">
        <v>0.62</v>
      </c>
      <c r="BJ21" s="366">
        <v>0.62</v>
      </c>
      <c r="BK21" s="366">
        <v>0.62</v>
      </c>
    </row>
    <row r="22" spans="1:63" x14ac:dyDescent="0.25">
      <c r="A22" s="250" t="s">
        <v>252</v>
      </c>
      <c r="D22" s="366">
        <v>0.57999999999999996</v>
      </c>
      <c r="E22" s="366">
        <v>0.57999999999999996</v>
      </c>
      <c r="F22" s="366">
        <v>0.57999999999999996</v>
      </c>
      <c r="G22" s="366">
        <v>0.57999999999999996</v>
      </c>
      <c r="H22" s="366">
        <v>0.57999999999999996</v>
      </c>
      <c r="I22" s="366">
        <v>0.57999999999999996</v>
      </c>
      <c r="J22" s="366">
        <v>0.57999999999999996</v>
      </c>
      <c r="K22" s="366">
        <v>0.57999999999999996</v>
      </c>
      <c r="L22" s="366">
        <v>0.57999999999999996</v>
      </c>
      <c r="M22" s="366">
        <v>0.57999999999999996</v>
      </c>
      <c r="N22" s="366">
        <v>0.57999999999999996</v>
      </c>
      <c r="O22" s="366">
        <v>0.57999999999999996</v>
      </c>
      <c r="P22" s="366">
        <v>0.57999999999999996</v>
      </c>
      <c r="Q22" s="366">
        <v>0.57999999999999996</v>
      </c>
      <c r="R22" s="366">
        <v>0.57999999999999996</v>
      </c>
      <c r="S22" s="366">
        <v>0.57999999999999996</v>
      </c>
      <c r="T22" s="366">
        <v>0.57999999999999996</v>
      </c>
      <c r="U22" s="366">
        <v>0.57999999999999996</v>
      </c>
      <c r="V22" s="366">
        <v>0.57999999999999996</v>
      </c>
      <c r="W22" s="366">
        <v>0.57999999999999996</v>
      </c>
      <c r="X22" s="366">
        <v>0.57999999999999996</v>
      </c>
      <c r="Y22" s="366">
        <v>0.57999999999999996</v>
      </c>
      <c r="Z22" s="366">
        <v>0.57999999999999996</v>
      </c>
      <c r="AA22" s="366">
        <v>0.57999999999999996</v>
      </c>
      <c r="AB22" s="366">
        <v>0.57999999999999996</v>
      </c>
      <c r="AC22" s="366">
        <v>0.57999999999999996</v>
      </c>
      <c r="AD22" s="366">
        <v>0.57999999999999996</v>
      </c>
      <c r="AE22" s="288">
        <v>0.57999999999999996</v>
      </c>
      <c r="AF22" s="288">
        <v>0.57999999999999996</v>
      </c>
      <c r="AG22" s="288">
        <v>0.57999999999999996</v>
      </c>
      <c r="AH22" s="288">
        <v>0.57999999999999996</v>
      </c>
      <c r="AI22" s="288">
        <v>0.57999999999999996</v>
      </c>
      <c r="AJ22" s="288">
        <v>0.57999999999999996</v>
      </c>
      <c r="AK22" s="288">
        <v>0.57999999999999996</v>
      </c>
      <c r="AL22" s="288">
        <v>0.57999999999999996</v>
      </c>
      <c r="AM22" s="288">
        <v>0.57999999999999996</v>
      </c>
      <c r="AN22" s="366">
        <v>0.57999999999999996</v>
      </c>
      <c r="AO22" s="366">
        <v>0.57999999999999996</v>
      </c>
      <c r="AP22" s="366">
        <v>0.57999999999999996</v>
      </c>
      <c r="AQ22" s="366">
        <v>0.57999999999999996</v>
      </c>
      <c r="AR22" s="366">
        <v>0.57999999999999996</v>
      </c>
      <c r="AS22" s="366">
        <v>0.57999999999999996</v>
      </c>
      <c r="AT22" s="366">
        <v>0.57999999999999996</v>
      </c>
      <c r="AU22" s="366">
        <v>0.57999999999999996</v>
      </c>
      <c r="AV22" s="366">
        <v>0.57999999999999996</v>
      </c>
      <c r="AW22" s="366">
        <v>0.57999999999999996</v>
      </c>
      <c r="AX22" s="366">
        <v>0.57999999999999996</v>
      </c>
      <c r="AY22" s="366">
        <v>0.57999999999999996</v>
      </c>
      <c r="AZ22" s="366">
        <v>0.57999999999999996</v>
      </c>
      <c r="BA22" s="366">
        <v>0.57999999999999996</v>
      </c>
      <c r="BB22" s="366">
        <v>0.57999999999999996</v>
      </c>
      <c r="BC22" s="366">
        <v>0.57999999999999996</v>
      </c>
      <c r="BD22" s="366">
        <v>0.57999999999999996</v>
      </c>
      <c r="BE22" s="366">
        <v>0.57999999999999996</v>
      </c>
      <c r="BF22" s="366">
        <v>0.57999999999999996</v>
      </c>
      <c r="BG22" s="366">
        <v>0.57999999999999996</v>
      </c>
      <c r="BH22" s="366">
        <v>0.57999999999999996</v>
      </c>
      <c r="BI22" s="366">
        <v>0.57999999999999996</v>
      </c>
      <c r="BJ22" s="366">
        <v>0.57999999999999996</v>
      </c>
      <c r="BK22" s="366">
        <v>0.57999999999999996</v>
      </c>
    </row>
    <row r="23" spans="1:63" x14ac:dyDescent="0.25">
      <c r="A23" s="250" t="s">
        <v>248</v>
      </c>
      <c r="D23" s="366">
        <v>0.56000000000000005</v>
      </c>
      <c r="E23" s="366">
        <v>0.56000000000000005</v>
      </c>
      <c r="F23" s="366">
        <v>0.56000000000000005</v>
      </c>
      <c r="G23" s="366">
        <v>0.56000000000000005</v>
      </c>
      <c r="H23" s="366">
        <v>0.56000000000000005</v>
      </c>
      <c r="I23" s="366">
        <v>0.56000000000000005</v>
      </c>
      <c r="J23" s="366">
        <v>0.56000000000000005</v>
      </c>
      <c r="K23" s="366">
        <v>0.56000000000000005</v>
      </c>
      <c r="L23" s="366">
        <v>0.56000000000000005</v>
      </c>
      <c r="M23" s="366">
        <v>0.56000000000000005</v>
      </c>
      <c r="N23" s="366">
        <v>0.56000000000000005</v>
      </c>
      <c r="O23" s="366">
        <v>0.56000000000000005</v>
      </c>
      <c r="P23" s="366">
        <v>0.56000000000000005</v>
      </c>
      <c r="Q23" s="366">
        <v>0.56000000000000005</v>
      </c>
      <c r="R23" s="366">
        <v>0.56000000000000005</v>
      </c>
      <c r="S23" s="366">
        <v>0.56000000000000005</v>
      </c>
      <c r="T23" s="366">
        <v>0.56000000000000005</v>
      </c>
      <c r="U23" s="366">
        <v>0.56000000000000005</v>
      </c>
      <c r="V23" s="366">
        <v>0.56000000000000005</v>
      </c>
      <c r="W23" s="366">
        <v>0.56000000000000005</v>
      </c>
      <c r="X23" s="366">
        <v>0.56000000000000005</v>
      </c>
      <c r="Y23" s="366">
        <v>0.56000000000000005</v>
      </c>
      <c r="Z23" s="366">
        <v>0.56000000000000005</v>
      </c>
      <c r="AA23" s="366">
        <v>0.56000000000000005</v>
      </c>
      <c r="AB23" s="366">
        <v>0.56000000000000005</v>
      </c>
      <c r="AC23" s="366">
        <v>0.56000000000000005</v>
      </c>
      <c r="AD23" s="366">
        <v>0.56000000000000005</v>
      </c>
      <c r="AE23" s="288">
        <v>0.56000000000000005</v>
      </c>
      <c r="AF23" s="288">
        <v>0.56000000000000005</v>
      </c>
      <c r="AG23" s="288">
        <v>0.56000000000000005</v>
      </c>
      <c r="AH23" s="288">
        <v>0.56000000000000005</v>
      </c>
      <c r="AI23" s="288">
        <v>0.56000000000000005</v>
      </c>
      <c r="AJ23" s="288">
        <v>0.56000000000000005</v>
      </c>
      <c r="AK23" s="288">
        <v>0.56000000000000005</v>
      </c>
      <c r="AL23" s="288">
        <v>0.56000000000000005</v>
      </c>
      <c r="AM23" s="288">
        <v>0.56000000000000005</v>
      </c>
      <c r="AN23" s="366">
        <v>0.56000000000000005</v>
      </c>
      <c r="AO23" s="366">
        <v>0.56000000000000005</v>
      </c>
      <c r="AP23" s="366">
        <v>0.56000000000000005</v>
      </c>
      <c r="AQ23" s="366">
        <v>0.56000000000000005</v>
      </c>
      <c r="AR23" s="366">
        <v>0.56000000000000005</v>
      </c>
      <c r="AS23" s="366">
        <v>0.56000000000000005</v>
      </c>
      <c r="AT23" s="366">
        <v>0.56000000000000005</v>
      </c>
      <c r="AU23" s="366">
        <v>0.56000000000000005</v>
      </c>
      <c r="AV23" s="366">
        <v>0.56000000000000005</v>
      </c>
      <c r="AW23" s="366">
        <v>0.56000000000000005</v>
      </c>
      <c r="AX23" s="366">
        <v>0.56000000000000005</v>
      </c>
      <c r="AY23" s="366">
        <v>0.56000000000000005</v>
      </c>
      <c r="AZ23" s="366">
        <v>0.56000000000000005</v>
      </c>
      <c r="BA23" s="366">
        <v>0.56000000000000005</v>
      </c>
      <c r="BB23" s="366">
        <v>0.56000000000000005</v>
      </c>
      <c r="BC23" s="366">
        <v>0.56000000000000005</v>
      </c>
      <c r="BD23" s="366">
        <v>0.56000000000000005</v>
      </c>
      <c r="BE23" s="366">
        <v>0.56000000000000005</v>
      </c>
      <c r="BF23" s="366">
        <v>0.56000000000000005</v>
      </c>
      <c r="BG23" s="366">
        <v>0.56000000000000005</v>
      </c>
      <c r="BH23" s="366">
        <v>0.56000000000000005</v>
      </c>
      <c r="BI23" s="366">
        <v>0.56000000000000005</v>
      </c>
      <c r="BJ23" s="366">
        <v>0.56000000000000005</v>
      </c>
      <c r="BK23" s="366">
        <v>0.56000000000000005</v>
      </c>
    </row>
    <row r="24" spans="1:63" s="235" customFormat="1" x14ac:dyDescent="0.25">
      <c r="A24" s="250" t="s">
        <v>253</v>
      </c>
      <c r="C24" s="406"/>
      <c r="D24" s="366">
        <v>0.54</v>
      </c>
      <c r="E24" s="366">
        <v>0.54</v>
      </c>
      <c r="F24" s="366">
        <v>0.54</v>
      </c>
      <c r="G24" s="366">
        <v>0.54</v>
      </c>
      <c r="H24" s="366">
        <v>0.54</v>
      </c>
      <c r="I24" s="366">
        <v>0.54</v>
      </c>
      <c r="J24" s="366">
        <v>0.54</v>
      </c>
      <c r="K24" s="366">
        <v>0.54</v>
      </c>
      <c r="L24" s="366">
        <v>0.54</v>
      </c>
      <c r="M24" s="366">
        <v>0.54</v>
      </c>
      <c r="N24" s="366">
        <v>0.54</v>
      </c>
      <c r="O24" s="366">
        <v>0.54</v>
      </c>
      <c r="P24" s="366">
        <v>0.54</v>
      </c>
      <c r="Q24" s="366">
        <v>0.54</v>
      </c>
      <c r="R24" s="366">
        <v>0.54</v>
      </c>
      <c r="S24" s="366">
        <v>0.54</v>
      </c>
      <c r="T24" s="366">
        <v>0.54</v>
      </c>
      <c r="U24" s="366">
        <v>0.54</v>
      </c>
      <c r="V24" s="366">
        <v>0.54</v>
      </c>
      <c r="W24" s="366">
        <v>0.54</v>
      </c>
      <c r="X24" s="366">
        <v>0.54</v>
      </c>
      <c r="Y24" s="366">
        <v>0.54</v>
      </c>
      <c r="Z24" s="366">
        <v>0.54</v>
      </c>
      <c r="AA24" s="366">
        <v>0.54</v>
      </c>
      <c r="AB24" s="366">
        <v>0.54</v>
      </c>
      <c r="AC24" s="366">
        <v>0.54</v>
      </c>
      <c r="AD24" s="366">
        <v>0.54</v>
      </c>
      <c r="AE24" s="288">
        <v>0.54</v>
      </c>
      <c r="AF24" s="288">
        <v>0.54</v>
      </c>
      <c r="AG24" s="288">
        <v>0.54</v>
      </c>
      <c r="AH24" s="288">
        <v>0.54</v>
      </c>
      <c r="AI24" s="288">
        <v>0.54</v>
      </c>
      <c r="AJ24" s="288">
        <v>0.54</v>
      </c>
      <c r="AK24" s="288">
        <v>0.54</v>
      </c>
      <c r="AL24" s="288">
        <v>0.54</v>
      </c>
      <c r="AM24" s="288">
        <v>0.54</v>
      </c>
      <c r="AN24" s="366">
        <v>0.54</v>
      </c>
      <c r="AO24" s="366">
        <v>0.54</v>
      </c>
      <c r="AP24" s="366">
        <v>0.54</v>
      </c>
      <c r="AQ24" s="366">
        <v>0.54</v>
      </c>
      <c r="AR24" s="366">
        <v>0.54</v>
      </c>
      <c r="AS24" s="366">
        <v>0.54</v>
      </c>
      <c r="AT24" s="366">
        <v>0.54</v>
      </c>
      <c r="AU24" s="366">
        <v>0.54</v>
      </c>
      <c r="AV24" s="366">
        <v>0.54</v>
      </c>
      <c r="AW24" s="366">
        <v>0.54</v>
      </c>
      <c r="AX24" s="366">
        <v>0.54</v>
      </c>
      <c r="AY24" s="366">
        <v>0.54</v>
      </c>
      <c r="AZ24" s="366">
        <v>0.54</v>
      </c>
      <c r="BA24" s="366">
        <v>0.54</v>
      </c>
      <c r="BB24" s="366">
        <v>0.54</v>
      </c>
      <c r="BC24" s="366">
        <v>0.54</v>
      </c>
      <c r="BD24" s="366">
        <v>0.54</v>
      </c>
      <c r="BE24" s="366">
        <v>0.54</v>
      </c>
      <c r="BF24" s="366">
        <v>0.54</v>
      </c>
      <c r="BG24" s="366">
        <v>0.54</v>
      </c>
      <c r="BH24" s="366">
        <v>0.54</v>
      </c>
      <c r="BI24" s="366">
        <v>0.54</v>
      </c>
      <c r="BJ24" s="366">
        <v>0.54</v>
      </c>
      <c r="BK24" s="366">
        <v>0.54</v>
      </c>
    </row>
    <row r="25" spans="1:63" s="235" customFormat="1" x14ac:dyDescent="0.25">
      <c r="A25" s="250" t="s">
        <v>254</v>
      </c>
      <c r="C25" s="406"/>
      <c r="D25" s="366">
        <v>0.52</v>
      </c>
      <c r="E25" s="366">
        <v>0.52</v>
      </c>
      <c r="F25" s="366">
        <v>0.52</v>
      </c>
      <c r="G25" s="366">
        <v>0.52</v>
      </c>
      <c r="H25" s="366">
        <v>0.52</v>
      </c>
      <c r="I25" s="366">
        <v>0.52</v>
      </c>
      <c r="J25" s="366">
        <v>0.52</v>
      </c>
      <c r="K25" s="366">
        <v>0.52</v>
      </c>
      <c r="L25" s="366">
        <v>0.52</v>
      </c>
      <c r="M25" s="366">
        <v>0.52</v>
      </c>
      <c r="N25" s="366">
        <v>0.52</v>
      </c>
      <c r="O25" s="366">
        <v>0.52</v>
      </c>
      <c r="P25" s="366">
        <v>0.52</v>
      </c>
      <c r="Q25" s="366">
        <v>0.52</v>
      </c>
      <c r="R25" s="366">
        <v>0.52</v>
      </c>
      <c r="S25" s="366">
        <v>0.52</v>
      </c>
      <c r="T25" s="366">
        <v>0.52</v>
      </c>
      <c r="U25" s="366">
        <v>0.52</v>
      </c>
      <c r="V25" s="366">
        <v>0.52</v>
      </c>
      <c r="W25" s="366">
        <v>0.52</v>
      </c>
      <c r="X25" s="366">
        <v>0.52</v>
      </c>
      <c r="Y25" s="366">
        <v>0.52</v>
      </c>
      <c r="Z25" s="366">
        <v>0.52</v>
      </c>
      <c r="AA25" s="366">
        <v>0.52</v>
      </c>
      <c r="AB25" s="366">
        <v>0.52</v>
      </c>
      <c r="AC25" s="366">
        <v>0.52</v>
      </c>
      <c r="AD25" s="366">
        <v>0.52</v>
      </c>
      <c r="AE25" s="288">
        <v>0.52</v>
      </c>
      <c r="AF25" s="288">
        <v>0.52</v>
      </c>
      <c r="AG25" s="288">
        <v>0.52</v>
      </c>
      <c r="AH25" s="288">
        <v>0.52</v>
      </c>
      <c r="AI25" s="288">
        <v>0.52</v>
      </c>
      <c r="AJ25" s="288">
        <v>0.52</v>
      </c>
      <c r="AK25" s="288">
        <v>0.52</v>
      </c>
      <c r="AL25" s="288">
        <v>0.52</v>
      </c>
      <c r="AM25" s="288">
        <v>0.52</v>
      </c>
      <c r="AN25" s="366">
        <v>0.52</v>
      </c>
      <c r="AO25" s="366">
        <v>0.52</v>
      </c>
      <c r="AP25" s="366">
        <v>0.52</v>
      </c>
      <c r="AQ25" s="366">
        <v>0.52</v>
      </c>
      <c r="AR25" s="366">
        <v>0.52</v>
      </c>
      <c r="AS25" s="366">
        <v>0.52</v>
      </c>
      <c r="AT25" s="366">
        <v>0.52</v>
      </c>
      <c r="AU25" s="366">
        <v>0.52</v>
      </c>
      <c r="AV25" s="366">
        <v>0.52</v>
      </c>
      <c r="AW25" s="366">
        <v>0.52</v>
      </c>
      <c r="AX25" s="366">
        <v>0.52</v>
      </c>
      <c r="AY25" s="366">
        <v>0.52</v>
      </c>
      <c r="AZ25" s="366">
        <v>0.52</v>
      </c>
      <c r="BA25" s="366">
        <v>0.52</v>
      </c>
      <c r="BB25" s="366">
        <v>0.52</v>
      </c>
      <c r="BC25" s="366">
        <v>0.52</v>
      </c>
      <c r="BD25" s="366">
        <v>0.52</v>
      </c>
      <c r="BE25" s="366">
        <v>0.52</v>
      </c>
      <c r="BF25" s="366">
        <v>0.52</v>
      </c>
      <c r="BG25" s="366">
        <v>0.52</v>
      </c>
      <c r="BH25" s="366">
        <v>0.52</v>
      </c>
      <c r="BI25" s="366">
        <v>0.52</v>
      </c>
      <c r="BJ25" s="366">
        <v>0.52</v>
      </c>
      <c r="BK25" s="366">
        <v>0.52</v>
      </c>
    </row>
    <row r="26" spans="1:63" s="235" customFormat="1" x14ac:dyDescent="0.25">
      <c r="A26" s="250" t="s">
        <v>255</v>
      </c>
      <c r="C26" s="406"/>
      <c r="D26" s="366">
        <v>0.52</v>
      </c>
      <c r="E26" s="366">
        <v>0.52</v>
      </c>
      <c r="F26" s="366">
        <v>0.52</v>
      </c>
      <c r="G26" s="366">
        <v>0.52</v>
      </c>
      <c r="H26" s="366">
        <v>0.52</v>
      </c>
      <c r="I26" s="366">
        <v>0.52</v>
      </c>
      <c r="J26" s="366">
        <v>0.52</v>
      </c>
      <c r="K26" s="366">
        <v>0.52</v>
      </c>
      <c r="L26" s="366">
        <v>0.52</v>
      </c>
      <c r="M26" s="366">
        <v>0.52</v>
      </c>
      <c r="N26" s="366">
        <v>0.52</v>
      </c>
      <c r="O26" s="366">
        <v>0.52</v>
      </c>
      <c r="P26" s="366">
        <v>0.52</v>
      </c>
      <c r="Q26" s="366">
        <v>0.52</v>
      </c>
      <c r="R26" s="366">
        <v>0.52</v>
      </c>
      <c r="S26" s="366">
        <v>0.52</v>
      </c>
      <c r="T26" s="366">
        <v>0.52</v>
      </c>
      <c r="U26" s="366">
        <v>0.52</v>
      </c>
      <c r="V26" s="366">
        <v>0.52</v>
      </c>
      <c r="W26" s="366">
        <v>0.52</v>
      </c>
      <c r="X26" s="366">
        <v>0.52</v>
      </c>
      <c r="Y26" s="366">
        <v>0.52</v>
      </c>
      <c r="Z26" s="366">
        <v>0.52</v>
      </c>
      <c r="AA26" s="366">
        <v>0.52</v>
      </c>
      <c r="AB26" s="366">
        <v>0.52</v>
      </c>
      <c r="AC26" s="366">
        <v>0.52</v>
      </c>
      <c r="AD26" s="366">
        <v>0.52</v>
      </c>
      <c r="AE26" s="288">
        <v>0.52</v>
      </c>
      <c r="AF26" s="288">
        <v>0.52</v>
      </c>
      <c r="AG26" s="288">
        <v>0.52</v>
      </c>
      <c r="AH26" s="288">
        <v>0.52</v>
      </c>
      <c r="AI26" s="288">
        <v>0.52</v>
      </c>
      <c r="AJ26" s="288">
        <v>0.52</v>
      </c>
      <c r="AK26" s="288">
        <v>0.52</v>
      </c>
      <c r="AL26" s="288">
        <v>0.52</v>
      </c>
      <c r="AM26" s="288">
        <v>0.52</v>
      </c>
      <c r="AN26" s="366">
        <v>0.52</v>
      </c>
      <c r="AO26" s="366">
        <v>0.52</v>
      </c>
      <c r="AP26" s="366">
        <v>0.52</v>
      </c>
      <c r="AQ26" s="366">
        <v>0.52</v>
      </c>
      <c r="AR26" s="366">
        <v>0.52</v>
      </c>
      <c r="AS26" s="366">
        <v>0.52</v>
      </c>
      <c r="AT26" s="366">
        <v>0.52</v>
      </c>
      <c r="AU26" s="366">
        <v>0.52</v>
      </c>
      <c r="AV26" s="366">
        <v>0.52</v>
      </c>
      <c r="AW26" s="366">
        <v>0.52</v>
      </c>
      <c r="AX26" s="366">
        <v>0.52</v>
      </c>
      <c r="AY26" s="366">
        <v>0.52</v>
      </c>
      <c r="AZ26" s="366">
        <v>0.52</v>
      </c>
      <c r="BA26" s="366">
        <v>0.52</v>
      </c>
      <c r="BB26" s="366">
        <v>0.52</v>
      </c>
      <c r="BC26" s="366">
        <v>0.52</v>
      </c>
      <c r="BD26" s="366">
        <v>0.52</v>
      </c>
      <c r="BE26" s="366">
        <v>0.52</v>
      </c>
      <c r="BF26" s="366">
        <v>0.52</v>
      </c>
      <c r="BG26" s="366">
        <v>0.52</v>
      </c>
      <c r="BH26" s="366">
        <v>0.52</v>
      </c>
      <c r="BI26" s="366">
        <v>0.52</v>
      </c>
      <c r="BJ26" s="366">
        <v>0.52</v>
      </c>
      <c r="BK26" s="366">
        <v>0.52</v>
      </c>
    </row>
    <row r="27" spans="1:63" s="235" customFormat="1" x14ac:dyDescent="0.25">
      <c r="A27" s="250" t="s">
        <v>256</v>
      </c>
      <c r="C27" s="406"/>
      <c r="D27" s="366">
        <v>0.51</v>
      </c>
      <c r="E27" s="366">
        <v>0.51</v>
      </c>
      <c r="F27" s="366">
        <v>0.51</v>
      </c>
      <c r="G27" s="366">
        <v>0.51</v>
      </c>
      <c r="H27" s="366">
        <v>0.51</v>
      </c>
      <c r="I27" s="366">
        <v>0.51</v>
      </c>
      <c r="J27" s="366">
        <v>0.51</v>
      </c>
      <c r="K27" s="366">
        <v>0.51</v>
      </c>
      <c r="L27" s="366">
        <v>0.51</v>
      </c>
      <c r="M27" s="366">
        <v>0.51</v>
      </c>
      <c r="N27" s="366">
        <v>0.51</v>
      </c>
      <c r="O27" s="366">
        <v>0.51</v>
      </c>
      <c r="P27" s="366">
        <v>0.51</v>
      </c>
      <c r="Q27" s="366">
        <v>0.51</v>
      </c>
      <c r="R27" s="366">
        <v>0.51</v>
      </c>
      <c r="S27" s="366">
        <v>0.51</v>
      </c>
      <c r="T27" s="366">
        <v>0.51</v>
      </c>
      <c r="U27" s="366">
        <v>0.51</v>
      </c>
      <c r="V27" s="366">
        <v>0.51</v>
      </c>
      <c r="W27" s="366">
        <v>0.51</v>
      </c>
      <c r="X27" s="366">
        <v>0.51</v>
      </c>
      <c r="Y27" s="366">
        <v>0.51</v>
      </c>
      <c r="Z27" s="366">
        <v>0.51</v>
      </c>
      <c r="AA27" s="366">
        <v>0.51</v>
      </c>
      <c r="AB27" s="366">
        <v>0.51</v>
      </c>
      <c r="AC27" s="366">
        <v>0.51</v>
      </c>
      <c r="AD27" s="366">
        <v>0.51</v>
      </c>
      <c r="AE27" s="288">
        <v>0.51</v>
      </c>
      <c r="AF27" s="288">
        <v>0.51</v>
      </c>
      <c r="AG27" s="288">
        <v>0.51</v>
      </c>
      <c r="AH27" s="288">
        <v>0.51</v>
      </c>
      <c r="AI27" s="288">
        <v>0.51</v>
      </c>
      <c r="AJ27" s="288">
        <v>0.51</v>
      </c>
      <c r="AK27" s="288">
        <v>0.51</v>
      </c>
      <c r="AL27" s="288">
        <v>0.51</v>
      </c>
      <c r="AM27" s="288">
        <v>0.51</v>
      </c>
      <c r="AN27" s="366">
        <v>0.51</v>
      </c>
      <c r="AO27" s="366">
        <v>0.51</v>
      </c>
      <c r="AP27" s="366">
        <v>0.51</v>
      </c>
      <c r="AQ27" s="366">
        <v>0.51</v>
      </c>
      <c r="AR27" s="366">
        <v>0.51</v>
      </c>
      <c r="AS27" s="366">
        <v>0.51</v>
      </c>
      <c r="AT27" s="366">
        <v>0.51</v>
      </c>
      <c r="AU27" s="366">
        <v>0.51</v>
      </c>
      <c r="AV27" s="366">
        <v>0.51</v>
      </c>
      <c r="AW27" s="366">
        <v>0.51</v>
      </c>
      <c r="AX27" s="366">
        <v>0.51</v>
      </c>
      <c r="AY27" s="366">
        <v>0.51</v>
      </c>
      <c r="AZ27" s="366">
        <v>0.51</v>
      </c>
      <c r="BA27" s="366">
        <v>0.51</v>
      </c>
      <c r="BB27" s="366">
        <v>0.51</v>
      </c>
      <c r="BC27" s="366">
        <v>0.51</v>
      </c>
      <c r="BD27" s="366">
        <v>0.51</v>
      </c>
      <c r="BE27" s="366">
        <v>0.51</v>
      </c>
      <c r="BF27" s="366">
        <v>0.51</v>
      </c>
      <c r="BG27" s="366">
        <v>0.51</v>
      </c>
      <c r="BH27" s="366">
        <v>0.51</v>
      </c>
      <c r="BI27" s="366">
        <v>0.51</v>
      </c>
      <c r="BJ27" s="366">
        <v>0.51</v>
      </c>
      <c r="BK27" s="366">
        <v>0.51</v>
      </c>
    </row>
    <row r="28" spans="1:63" s="235" customFormat="1" x14ac:dyDescent="0.25">
      <c r="A28" s="250" t="s">
        <v>257</v>
      </c>
      <c r="C28" s="406"/>
      <c r="D28" s="366">
        <v>0.5</v>
      </c>
      <c r="E28" s="366">
        <v>0.5</v>
      </c>
      <c r="F28" s="366">
        <v>0.5</v>
      </c>
      <c r="G28" s="366">
        <v>0.5</v>
      </c>
      <c r="H28" s="366">
        <v>0.5</v>
      </c>
      <c r="I28" s="366">
        <v>0.5</v>
      </c>
      <c r="J28" s="366">
        <v>0.5</v>
      </c>
      <c r="K28" s="366">
        <v>0.5</v>
      </c>
      <c r="L28" s="366">
        <v>0.5</v>
      </c>
      <c r="M28" s="366">
        <v>0.5</v>
      </c>
      <c r="N28" s="366">
        <v>0.5</v>
      </c>
      <c r="O28" s="366">
        <v>0.5</v>
      </c>
      <c r="P28" s="366">
        <v>0.5</v>
      </c>
      <c r="Q28" s="366">
        <v>0.5</v>
      </c>
      <c r="R28" s="366">
        <v>0.5</v>
      </c>
      <c r="S28" s="366">
        <v>0.5</v>
      </c>
      <c r="T28" s="366">
        <v>0.5</v>
      </c>
      <c r="U28" s="366">
        <v>0.5</v>
      </c>
      <c r="V28" s="366">
        <v>0.5</v>
      </c>
      <c r="W28" s="366">
        <v>0.5</v>
      </c>
      <c r="X28" s="366">
        <v>0.5</v>
      </c>
      <c r="Y28" s="366">
        <v>0.5</v>
      </c>
      <c r="Z28" s="366">
        <v>0.5</v>
      </c>
      <c r="AA28" s="366">
        <v>0.5</v>
      </c>
      <c r="AB28" s="366">
        <v>0.5</v>
      </c>
      <c r="AC28" s="366">
        <v>0.5</v>
      </c>
      <c r="AD28" s="366">
        <v>0.5</v>
      </c>
      <c r="AE28" s="288">
        <v>0.5</v>
      </c>
      <c r="AF28" s="288">
        <v>0.5</v>
      </c>
      <c r="AG28" s="288">
        <v>0.5</v>
      </c>
      <c r="AH28" s="288">
        <v>0.5</v>
      </c>
      <c r="AI28" s="288">
        <v>0.5</v>
      </c>
      <c r="AJ28" s="288">
        <v>0.5</v>
      </c>
      <c r="AK28" s="288">
        <v>0.5</v>
      </c>
      <c r="AL28" s="288">
        <v>0.5</v>
      </c>
      <c r="AM28" s="288">
        <v>0.5</v>
      </c>
      <c r="AN28" s="366">
        <v>0.5</v>
      </c>
      <c r="AO28" s="366">
        <v>0.5</v>
      </c>
      <c r="AP28" s="366">
        <v>0.5</v>
      </c>
      <c r="AQ28" s="366">
        <v>0.5</v>
      </c>
      <c r="AR28" s="366">
        <v>0.5</v>
      </c>
      <c r="AS28" s="366">
        <v>0.5</v>
      </c>
      <c r="AT28" s="366">
        <v>0.5</v>
      </c>
      <c r="AU28" s="366">
        <v>0.5</v>
      </c>
      <c r="AV28" s="366">
        <v>0.5</v>
      </c>
      <c r="AW28" s="366">
        <v>0.5</v>
      </c>
      <c r="AX28" s="366">
        <v>0.5</v>
      </c>
      <c r="AY28" s="366">
        <v>0.5</v>
      </c>
      <c r="AZ28" s="366">
        <v>0.5</v>
      </c>
      <c r="BA28" s="366">
        <v>0.5</v>
      </c>
      <c r="BB28" s="366">
        <v>0.5</v>
      </c>
      <c r="BC28" s="366">
        <v>0.5</v>
      </c>
      <c r="BD28" s="366">
        <v>0.5</v>
      </c>
      <c r="BE28" s="366">
        <v>0.5</v>
      </c>
      <c r="BF28" s="366">
        <v>0.5</v>
      </c>
      <c r="BG28" s="366">
        <v>0.5</v>
      </c>
      <c r="BH28" s="366">
        <v>0.5</v>
      </c>
      <c r="BI28" s="366">
        <v>0.5</v>
      </c>
      <c r="BJ28" s="366">
        <v>0.5</v>
      </c>
      <c r="BK28" s="366">
        <v>0.5</v>
      </c>
    </row>
    <row r="29" spans="1:63" s="235" customFormat="1" x14ac:dyDescent="0.25">
      <c r="A29" s="250" t="s">
        <v>258</v>
      </c>
      <c r="C29" s="406"/>
      <c r="D29" s="366">
        <v>0.51</v>
      </c>
      <c r="E29" s="366">
        <v>0.51</v>
      </c>
      <c r="F29" s="366">
        <v>0.51</v>
      </c>
      <c r="G29" s="366">
        <v>0.51</v>
      </c>
      <c r="H29" s="366">
        <v>0.51</v>
      </c>
      <c r="I29" s="366">
        <v>0.51</v>
      </c>
      <c r="J29" s="366">
        <v>0.51</v>
      </c>
      <c r="K29" s="366">
        <v>0.51</v>
      </c>
      <c r="L29" s="366">
        <v>0.51</v>
      </c>
      <c r="M29" s="366">
        <v>0.51</v>
      </c>
      <c r="N29" s="366">
        <v>0.51</v>
      </c>
      <c r="O29" s="366">
        <v>0.51</v>
      </c>
      <c r="P29" s="366">
        <v>0.51</v>
      </c>
      <c r="Q29" s="366">
        <v>0.51</v>
      </c>
      <c r="R29" s="366">
        <v>0.51</v>
      </c>
      <c r="S29" s="366">
        <v>0.51</v>
      </c>
      <c r="T29" s="366">
        <v>0.51</v>
      </c>
      <c r="U29" s="366">
        <v>0.51</v>
      </c>
      <c r="V29" s="366">
        <v>0.51</v>
      </c>
      <c r="W29" s="366">
        <v>0.51</v>
      </c>
      <c r="X29" s="366">
        <v>0.51</v>
      </c>
      <c r="Y29" s="366">
        <v>0.51</v>
      </c>
      <c r="Z29" s="366">
        <v>0.51</v>
      </c>
      <c r="AA29" s="366">
        <v>0.51</v>
      </c>
      <c r="AB29" s="366">
        <v>0.51</v>
      </c>
      <c r="AC29" s="366">
        <v>0.51</v>
      </c>
      <c r="AD29" s="366">
        <v>0.51</v>
      </c>
      <c r="AE29" s="288">
        <v>0.51</v>
      </c>
      <c r="AF29" s="288">
        <v>0.51</v>
      </c>
      <c r="AG29" s="288">
        <v>0.51</v>
      </c>
      <c r="AH29" s="288">
        <v>0.51</v>
      </c>
      <c r="AI29" s="288">
        <v>0.51</v>
      </c>
      <c r="AJ29" s="288">
        <v>0.51</v>
      </c>
      <c r="AK29" s="288">
        <v>0.51</v>
      </c>
      <c r="AL29" s="288">
        <v>0.51</v>
      </c>
      <c r="AM29" s="288">
        <v>0.51</v>
      </c>
      <c r="AN29" s="366">
        <v>0.51</v>
      </c>
      <c r="AO29" s="366">
        <v>0.51</v>
      </c>
      <c r="AP29" s="366">
        <v>0.51</v>
      </c>
      <c r="AQ29" s="366">
        <v>0.51</v>
      </c>
      <c r="AR29" s="366">
        <v>0.51</v>
      </c>
      <c r="AS29" s="366">
        <v>0.51</v>
      </c>
      <c r="AT29" s="366">
        <v>0.51</v>
      </c>
      <c r="AU29" s="366">
        <v>0.51</v>
      </c>
      <c r="AV29" s="366">
        <v>0.51</v>
      </c>
      <c r="AW29" s="366">
        <v>0.51</v>
      </c>
      <c r="AX29" s="366">
        <v>0.51</v>
      </c>
      <c r="AY29" s="366">
        <v>0.51</v>
      </c>
      <c r="AZ29" s="366">
        <v>0.51</v>
      </c>
      <c r="BA29" s="366">
        <v>0.51</v>
      </c>
      <c r="BB29" s="366">
        <v>0.51</v>
      </c>
      <c r="BC29" s="366">
        <v>0.51</v>
      </c>
      <c r="BD29" s="366">
        <v>0.51</v>
      </c>
      <c r="BE29" s="366">
        <v>0.51</v>
      </c>
      <c r="BF29" s="366">
        <v>0.51</v>
      </c>
      <c r="BG29" s="366">
        <v>0.51</v>
      </c>
      <c r="BH29" s="366">
        <v>0.51</v>
      </c>
      <c r="BI29" s="366">
        <v>0.51</v>
      </c>
      <c r="BJ29" s="366">
        <v>0.51</v>
      </c>
      <c r="BK29" s="366">
        <v>0.51</v>
      </c>
    </row>
    <row r="30" spans="1:63" s="235" customFormat="1" x14ac:dyDescent="0.25">
      <c r="A30" s="250" t="s">
        <v>259</v>
      </c>
      <c r="C30" s="406"/>
      <c r="D30" s="366">
        <v>0.51</v>
      </c>
      <c r="E30" s="366">
        <v>0.51</v>
      </c>
      <c r="F30" s="366">
        <v>0.51</v>
      </c>
      <c r="G30" s="366">
        <v>0.51</v>
      </c>
      <c r="H30" s="366">
        <v>0.51</v>
      </c>
      <c r="I30" s="366">
        <v>0.51</v>
      </c>
      <c r="J30" s="366">
        <v>0.51</v>
      </c>
      <c r="K30" s="366">
        <v>0.51</v>
      </c>
      <c r="L30" s="366">
        <v>0.51</v>
      </c>
      <c r="M30" s="366">
        <v>0.51</v>
      </c>
      <c r="N30" s="366">
        <v>0.51</v>
      </c>
      <c r="O30" s="366">
        <v>0.51</v>
      </c>
      <c r="P30" s="366">
        <v>0.51</v>
      </c>
      <c r="Q30" s="366">
        <v>0.51</v>
      </c>
      <c r="R30" s="366">
        <v>0.51</v>
      </c>
      <c r="S30" s="366">
        <v>0.51</v>
      </c>
      <c r="T30" s="366">
        <v>0.51</v>
      </c>
      <c r="U30" s="366">
        <v>0.51</v>
      </c>
      <c r="V30" s="366">
        <v>0.51</v>
      </c>
      <c r="W30" s="366">
        <v>0.51</v>
      </c>
      <c r="X30" s="366">
        <v>0.51</v>
      </c>
      <c r="Y30" s="366">
        <v>0.51</v>
      </c>
      <c r="Z30" s="366">
        <v>0.51</v>
      </c>
      <c r="AA30" s="366">
        <v>0.51</v>
      </c>
      <c r="AB30" s="366">
        <v>0.51</v>
      </c>
      <c r="AC30" s="366">
        <v>0.51</v>
      </c>
      <c r="AD30" s="366">
        <v>0.51</v>
      </c>
      <c r="AE30" s="288">
        <v>0.51</v>
      </c>
      <c r="AF30" s="288">
        <v>0.51</v>
      </c>
      <c r="AG30" s="288">
        <v>0.51</v>
      </c>
      <c r="AH30" s="288">
        <v>0.51</v>
      </c>
      <c r="AI30" s="288">
        <v>0.51</v>
      </c>
      <c r="AJ30" s="288">
        <v>0.51</v>
      </c>
      <c r="AK30" s="288">
        <v>0.51</v>
      </c>
      <c r="AL30" s="288">
        <v>0.51</v>
      </c>
      <c r="AM30" s="288">
        <v>0.51</v>
      </c>
      <c r="AN30" s="366">
        <v>0.51</v>
      </c>
      <c r="AO30" s="366">
        <v>0.51</v>
      </c>
      <c r="AP30" s="366">
        <v>0.51</v>
      </c>
      <c r="AQ30" s="366">
        <v>0.51</v>
      </c>
      <c r="AR30" s="366">
        <v>0.51</v>
      </c>
      <c r="AS30" s="366">
        <v>0.51</v>
      </c>
      <c r="AT30" s="366">
        <v>0.51</v>
      </c>
      <c r="AU30" s="366">
        <v>0.51</v>
      </c>
      <c r="AV30" s="366">
        <v>0.51</v>
      </c>
      <c r="AW30" s="366">
        <v>0.51</v>
      </c>
      <c r="AX30" s="366">
        <v>0.51</v>
      </c>
      <c r="AY30" s="366">
        <v>0.51</v>
      </c>
      <c r="AZ30" s="366">
        <v>0.51</v>
      </c>
      <c r="BA30" s="366">
        <v>0.51</v>
      </c>
      <c r="BB30" s="366">
        <v>0.51</v>
      </c>
      <c r="BC30" s="366">
        <v>0.51</v>
      </c>
      <c r="BD30" s="366">
        <v>0.51</v>
      </c>
      <c r="BE30" s="366">
        <v>0.51</v>
      </c>
      <c r="BF30" s="366">
        <v>0.51</v>
      </c>
      <c r="BG30" s="366">
        <v>0.51</v>
      </c>
      <c r="BH30" s="366">
        <v>0.51</v>
      </c>
      <c r="BI30" s="366">
        <v>0.51</v>
      </c>
      <c r="BJ30" s="366">
        <v>0.51</v>
      </c>
      <c r="BK30" s="366">
        <v>0.51</v>
      </c>
    </row>
    <row r="31" spans="1:63" s="286" customFormat="1" x14ac:dyDescent="0.25">
      <c r="A31" s="250" t="s">
        <v>312</v>
      </c>
      <c r="C31" s="406"/>
      <c r="D31" s="366">
        <v>0.21</v>
      </c>
      <c r="E31" s="366">
        <v>0.21</v>
      </c>
      <c r="F31" s="366">
        <v>0.21</v>
      </c>
      <c r="G31" s="366">
        <v>0.21</v>
      </c>
      <c r="H31" s="366">
        <v>0.21</v>
      </c>
      <c r="I31" s="366">
        <v>0.21</v>
      </c>
      <c r="J31" s="366">
        <v>0.21</v>
      </c>
      <c r="K31" s="366">
        <v>0.21</v>
      </c>
      <c r="L31" s="366">
        <v>0.21</v>
      </c>
      <c r="M31" s="366">
        <v>0.21</v>
      </c>
      <c r="N31" s="366">
        <v>0.21</v>
      </c>
      <c r="O31" s="366">
        <v>0.21</v>
      </c>
      <c r="P31" s="366">
        <v>0.21</v>
      </c>
      <c r="Q31" s="366">
        <v>0.21</v>
      </c>
      <c r="R31" s="366">
        <v>0.21</v>
      </c>
      <c r="S31" s="366">
        <v>0.21</v>
      </c>
      <c r="T31" s="366">
        <v>0.21</v>
      </c>
      <c r="U31" s="366">
        <v>0.21</v>
      </c>
      <c r="V31" s="366">
        <v>0.21</v>
      </c>
      <c r="W31" s="366">
        <v>0.21</v>
      </c>
      <c r="X31" s="366">
        <v>0.21</v>
      </c>
      <c r="Y31" s="366">
        <v>0.21</v>
      </c>
      <c r="Z31" s="366">
        <v>0.21</v>
      </c>
      <c r="AA31" s="366">
        <v>0.21</v>
      </c>
      <c r="AB31" s="366">
        <v>0.21</v>
      </c>
      <c r="AC31" s="366">
        <v>0.21</v>
      </c>
      <c r="AD31" s="366">
        <v>0.21</v>
      </c>
      <c r="AE31" s="288">
        <v>0.21</v>
      </c>
      <c r="AF31" s="288">
        <v>0.21</v>
      </c>
      <c r="AG31" s="288">
        <v>0.21</v>
      </c>
      <c r="AH31" s="288">
        <v>0.21</v>
      </c>
      <c r="AI31" s="288">
        <v>0.21</v>
      </c>
      <c r="AJ31" s="288">
        <v>0.21</v>
      </c>
      <c r="AK31" s="288">
        <v>0.21</v>
      </c>
      <c r="AL31" s="288">
        <v>0.21</v>
      </c>
      <c r="AM31" s="288">
        <v>0.21</v>
      </c>
      <c r="AN31" s="366">
        <v>0.21</v>
      </c>
      <c r="AO31" s="366">
        <v>0.21</v>
      </c>
      <c r="AP31" s="366">
        <v>0.21</v>
      </c>
      <c r="AQ31" s="366">
        <v>0.21</v>
      </c>
      <c r="AR31" s="366">
        <v>0.21</v>
      </c>
      <c r="AS31" s="366">
        <v>0.21</v>
      </c>
      <c r="AT31" s="366">
        <v>0.21</v>
      </c>
      <c r="AU31" s="366">
        <v>0.21</v>
      </c>
      <c r="AV31" s="366">
        <v>0.21</v>
      </c>
      <c r="AW31" s="366">
        <v>0.21</v>
      </c>
      <c r="AX31" s="366">
        <v>0.21</v>
      </c>
      <c r="AY31" s="366">
        <v>0.21</v>
      </c>
      <c r="AZ31" s="366">
        <v>0.21</v>
      </c>
      <c r="BA31" s="366">
        <v>0.21</v>
      </c>
      <c r="BB31" s="366">
        <v>0.21</v>
      </c>
      <c r="BC31" s="366">
        <v>0.21</v>
      </c>
      <c r="BD31" s="366">
        <v>0.21</v>
      </c>
      <c r="BE31" s="366">
        <v>0.21</v>
      </c>
      <c r="BF31" s="366">
        <v>0.21</v>
      </c>
      <c r="BG31" s="366">
        <v>0.21</v>
      </c>
      <c r="BH31" s="366">
        <v>0.21</v>
      </c>
      <c r="BI31" s="366">
        <v>0.21</v>
      </c>
      <c r="BJ31" s="366">
        <v>0.21</v>
      </c>
      <c r="BK31" s="366">
        <v>0.21</v>
      </c>
    </row>
    <row r="32" spans="1:63" x14ac:dyDescent="0.25">
      <c r="A32" s="249" t="s">
        <v>207</v>
      </c>
      <c r="D32" s="367">
        <v>700</v>
      </c>
      <c r="E32" s="367">
        <v>700</v>
      </c>
      <c r="F32" s="367">
        <v>700</v>
      </c>
      <c r="G32" s="367">
        <v>700</v>
      </c>
      <c r="H32" s="367">
        <v>700</v>
      </c>
      <c r="I32" s="367">
        <v>700</v>
      </c>
      <c r="J32" s="367">
        <v>700</v>
      </c>
      <c r="K32" s="367">
        <v>700</v>
      </c>
      <c r="L32" s="367">
        <v>700</v>
      </c>
      <c r="M32" s="367">
        <v>700</v>
      </c>
      <c r="N32" s="367">
        <v>700</v>
      </c>
      <c r="O32" s="367">
        <v>700</v>
      </c>
      <c r="P32" s="367">
        <v>700</v>
      </c>
      <c r="Q32" s="367">
        <v>700</v>
      </c>
      <c r="R32" s="367">
        <v>700</v>
      </c>
      <c r="S32" s="367">
        <v>700</v>
      </c>
      <c r="T32" s="367">
        <v>700</v>
      </c>
      <c r="U32" s="367">
        <v>700</v>
      </c>
      <c r="V32" s="367">
        <v>700</v>
      </c>
      <c r="W32" s="367">
        <v>700</v>
      </c>
      <c r="X32" s="367">
        <v>700</v>
      </c>
      <c r="Y32" s="367">
        <v>700</v>
      </c>
      <c r="Z32" s="367">
        <v>700</v>
      </c>
      <c r="AA32" s="367">
        <v>700</v>
      </c>
      <c r="AB32" s="367">
        <v>700</v>
      </c>
      <c r="AC32" s="367">
        <v>700</v>
      </c>
      <c r="AD32" s="367">
        <v>700</v>
      </c>
      <c r="AE32" s="268">
        <v>700</v>
      </c>
      <c r="AF32" s="268">
        <v>700</v>
      </c>
      <c r="AG32" s="268">
        <v>700</v>
      </c>
      <c r="AH32" s="268">
        <v>700</v>
      </c>
      <c r="AI32" s="268">
        <v>700</v>
      </c>
      <c r="AJ32" s="268">
        <v>700</v>
      </c>
      <c r="AK32" s="268">
        <v>700</v>
      </c>
      <c r="AL32" s="268">
        <v>700</v>
      </c>
      <c r="AM32" s="268">
        <v>700</v>
      </c>
      <c r="AN32" s="367">
        <v>700</v>
      </c>
      <c r="AO32" s="367">
        <v>700</v>
      </c>
      <c r="AP32" s="367">
        <v>700</v>
      </c>
      <c r="AQ32" s="367">
        <v>700</v>
      </c>
      <c r="AR32" s="367">
        <v>700</v>
      </c>
      <c r="AS32" s="367">
        <v>700</v>
      </c>
      <c r="AT32" s="367">
        <v>700</v>
      </c>
      <c r="AU32" s="367">
        <v>700</v>
      </c>
      <c r="AV32" s="367">
        <v>700</v>
      </c>
      <c r="AW32" s="367">
        <v>700</v>
      </c>
      <c r="AX32" s="367">
        <v>700</v>
      </c>
      <c r="AY32" s="367">
        <v>700</v>
      </c>
      <c r="AZ32" s="367">
        <v>700</v>
      </c>
      <c r="BA32" s="367">
        <v>700</v>
      </c>
      <c r="BB32" s="367">
        <v>700</v>
      </c>
      <c r="BC32" s="367">
        <v>700</v>
      </c>
      <c r="BD32" s="367">
        <v>700</v>
      </c>
      <c r="BE32" s="367">
        <v>700</v>
      </c>
      <c r="BF32" s="367">
        <v>700</v>
      </c>
      <c r="BG32" s="367">
        <v>700</v>
      </c>
      <c r="BH32" s="367">
        <v>700</v>
      </c>
      <c r="BI32" s="367">
        <v>700</v>
      </c>
      <c r="BJ32" s="367">
        <v>700</v>
      </c>
      <c r="BK32" s="367">
        <v>700</v>
      </c>
    </row>
    <row r="33" spans="1:63" x14ac:dyDescent="0.25">
      <c r="A33" s="249" t="s">
        <v>208</v>
      </c>
      <c r="D33" s="367">
        <v>1450</v>
      </c>
      <c r="E33" s="367">
        <v>1450</v>
      </c>
      <c r="F33" s="367">
        <v>1450</v>
      </c>
      <c r="G33" s="367">
        <v>1450</v>
      </c>
      <c r="H33" s="367">
        <v>1450</v>
      </c>
      <c r="I33" s="367">
        <v>1450</v>
      </c>
      <c r="J33" s="367">
        <v>1450</v>
      </c>
      <c r="K33" s="367">
        <v>1450</v>
      </c>
      <c r="L33" s="367">
        <v>1450</v>
      </c>
      <c r="M33" s="367">
        <v>1450</v>
      </c>
      <c r="N33" s="367">
        <v>1450</v>
      </c>
      <c r="O33" s="367">
        <v>1450</v>
      </c>
      <c r="P33" s="367">
        <v>1450</v>
      </c>
      <c r="Q33" s="367">
        <v>1450</v>
      </c>
      <c r="R33" s="367">
        <v>1450</v>
      </c>
      <c r="S33" s="367">
        <v>1450</v>
      </c>
      <c r="T33" s="367">
        <v>1450</v>
      </c>
      <c r="U33" s="367">
        <v>1450</v>
      </c>
      <c r="V33" s="367">
        <v>1450</v>
      </c>
      <c r="W33" s="367">
        <v>1450</v>
      </c>
      <c r="X33" s="367">
        <v>1450</v>
      </c>
      <c r="Y33" s="367">
        <v>1450</v>
      </c>
      <c r="Z33" s="367">
        <v>1450</v>
      </c>
      <c r="AA33" s="367">
        <v>1450</v>
      </c>
      <c r="AB33" s="367">
        <v>1450</v>
      </c>
      <c r="AC33" s="367">
        <v>1450</v>
      </c>
      <c r="AD33" s="367">
        <v>1450</v>
      </c>
      <c r="AE33" s="268">
        <v>1450</v>
      </c>
      <c r="AF33" s="268">
        <v>1450</v>
      </c>
      <c r="AG33" s="268">
        <v>1450</v>
      </c>
      <c r="AH33" s="268">
        <v>1450</v>
      </c>
      <c r="AI33" s="268">
        <v>1450</v>
      </c>
      <c r="AJ33" s="268">
        <v>1450</v>
      </c>
      <c r="AK33" s="268">
        <v>1450</v>
      </c>
      <c r="AL33" s="268">
        <v>1450</v>
      </c>
      <c r="AM33" s="268">
        <v>1450</v>
      </c>
      <c r="AN33" s="367">
        <v>1450</v>
      </c>
      <c r="AO33" s="367">
        <v>1450</v>
      </c>
      <c r="AP33" s="367">
        <v>1450</v>
      </c>
      <c r="AQ33" s="367">
        <v>1450</v>
      </c>
      <c r="AR33" s="367">
        <v>1450</v>
      </c>
      <c r="AS33" s="367">
        <v>1450</v>
      </c>
      <c r="AT33" s="367">
        <v>1450</v>
      </c>
      <c r="AU33" s="367">
        <v>1450</v>
      </c>
      <c r="AV33" s="367">
        <v>1450</v>
      </c>
      <c r="AW33" s="367">
        <v>1450</v>
      </c>
      <c r="AX33" s="367">
        <v>1450</v>
      </c>
      <c r="AY33" s="367">
        <v>1450</v>
      </c>
      <c r="AZ33" s="367">
        <v>1450</v>
      </c>
      <c r="BA33" s="367">
        <v>1450</v>
      </c>
      <c r="BB33" s="367">
        <v>1450</v>
      </c>
      <c r="BC33" s="367">
        <v>1450</v>
      </c>
      <c r="BD33" s="367">
        <v>1450</v>
      </c>
      <c r="BE33" s="367">
        <v>1450</v>
      </c>
      <c r="BF33" s="367">
        <v>1450</v>
      </c>
      <c r="BG33" s="367">
        <v>1450</v>
      </c>
      <c r="BH33" s="367">
        <v>1450</v>
      </c>
      <c r="BI33" s="367">
        <v>1450</v>
      </c>
      <c r="BJ33" s="367">
        <v>1450</v>
      </c>
      <c r="BK33" s="367">
        <v>1450</v>
      </c>
    </row>
    <row r="34" spans="1:63" s="235" customFormat="1" x14ac:dyDescent="0.25">
      <c r="A34" s="249" t="s">
        <v>209</v>
      </c>
      <c r="C34" s="406"/>
      <c r="D34" s="367">
        <v>1310</v>
      </c>
      <c r="E34" s="367">
        <v>1310</v>
      </c>
      <c r="F34" s="367">
        <v>1310</v>
      </c>
      <c r="G34" s="367">
        <v>1310</v>
      </c>
      <c r="H34" s="367">
        <v>1310</v>
      </c>
      <c r="I34" s="367">
        <v>1310</v>
      </c>
      <c r="J34" s="367">
        <v>1310</v>
      </c>
      <c r="K34" s="367">
        <v>1310</v>
      </c>
      <c r="L34" s="367">
        <v>1310</v>
      </c>
      <c r="M34" s="367">
        <v>1310</v>
      </c>
      <c r="N34" s="367">
        <v>1310</v>
      </c>
      <c r="O34" s="367">
        <v>1310</v>
      </c>
      <c r="P34" s="367">
        <v>1310</v>
      </c>
      <c r="Q34" s="367">
        <v>1310</v>
      </c>
      <c r="R34" s="367">
        <v>1310</v>
      </c>
      <c r="S34" s="367">
        <v>1310</v>
      </c>
      <c r="T34" s="367">
        <v>1310</v>
      </c>
      <c r="U34" s="367">
        <v>1310</v>
      </c>
      <c r="V34" s="367">
        <v>1310</v>
      </c>
      <c r="W34" s="367">
        <v>1310</v>
      </c>
      <c r="X34" s="367">
        <v>1310</v>
      </c>
      <c r="Y34" s="367">
        <v>1310</v>
      </c>
      <c r="Z34" s="367">
        <v>1310</v>
      </c>
      <c r="AA34" s="367">
        <v>1310</v>
      </c>
      <c r="AB34" s="367">
        <v>1310</v>
      </c>
      <c r="AC34" s="367">
        <v>1310</v>
      </c>
      <c r="AD34" s="367">
        <v>1310</v>
      </c>
      <c r="AE34" s="268">
        <v>1310</v>
      </c>
      <c r="AF34" s="268">
        <v>1310</v>
      </c>
      <c r="AG34" s="268">
        <v>1310</v>
      </c>
      <c r="AH34" s="268">
        <v>1310</v>
      </c>
      <c r="AI34" s="268">
        <v>1310</v>
      </c>
      <c r="AJ34" s="268">
        <v>1310</v>
      </c>
      <c r="AK34" s="268">
        <v>1310</v>
      </c>
      <c r="AL34" s="268">
        <v>1310</v>
      </c>
      <c r="AM34" s="268">
        <v>1310</v>
      </c>
      <c r="AN34" s="367">
        <v>1310</v>
      </c>
      <c r="AO34" s="367">
        <v>1310</v>
      </c>
      <c r="AP34" s="367">
        <v>1310</v>
      </c>
      <c r="AQ34" s="367">
        <v>1310</v>
      </c>
      <c r="AR34" s="367">
        <v>1310</v>
      </c>
      <c r="AS34" s="367">
        <v>1310</v>
      </c>
      <c r="AT34" s="367">
        <v>1310</v>
      </c>
      <c r="AU34" s="367">
        <v>1310</v>
      </c>
      <c r="AV34" s="367">
        <v>1310</v>
      </c>
      <c r="AW34" s="367">
        <v>1310</v>
      </c>
      <c r="AX34" s="367">
        <v>1310</v>
      </c>
      <c r="AY34" s="367">
        <v>1310</v>
      </c>
      <c r="AZ34" s="367">
        <v>1310</v>
      </c>
      <c r="BA34" s="367">
        <v>1310</v>
      </c>
      <c r="BB34" s="367">
        <v>1310</v>
      </c>
      <c r="BC34" s="367">
        <v>1310</v>
      </c>
      <c r="BD34" s="367">
        <v>1310</v>
      </c>
      <c r="BE34" s="367">
        <v>1310</v>
      </c>
      <c r="BF34" s="367">
        <v>1310</v>
      </c>
      <c r="BG34" s="367">
        <v>1310</v>
      </c>
      <c r="BH34" s="367">
        <v>1310</v>
      </c>
      <c r="BI34" s="367">
        <v>1310</v>
      </c>
      <c r="BJ34" s="367">
        <v>1310</v>
      </c>
      <c r="BK34" s="367">
        <v>1310</v>
      </c>
    </row>
    <row r="35" spans="1:63" s="235" customFormat="1" x14ac:dyDescent="0.25">
      <c r="A35" s="249" t="s">
        <v>210</v>
      </c>
      <c r="C35" s="406"/>
      <c r="D35" s="367">
        <v>1700</v>
      </c>
      <c r="E35" s="367">
        <v>1700</v>
      </c>
      <c r="F35" s="367">
        <v>1700</v>
      </c>
      <c r="G35" s="367">
        <v>1700</v>
      </c>
      <c r="H35" s="367">
        <v>1700</v>
      </c>
      <c r="I35" s="367">
        <v>1700</v>
      </c>
      <c r="J35" s="367">
        <v>1700</v>
      </c>
      <c r="K35" s="367">
        <v>1700</v>
      </c>
      <c r="L35" s="367">
        <v>1700</v>
      </c>
      <c r="M35" s="367">
        <v>1700</v>
      </c>
      <c r="N35" s="367">
        <v>1700</v>
      </c>
      <c r="O35" s="367">
        <v>1700</v>
      </c>
      <c r="P35" s="367">
        <v>1700</v>
      </c>
      <c r="Q35" s="367">
        <v>1700</v>
      </c>
      <c r="R35" s="367">
        <v>1700</v>
      </c>
      <c r="S35" s="367">
        <v>1700</v>
      </c>
      <c r="T35" s="367">
        <v>1700</v>
      </c>
      <c r="U35" s="367">
        <v>1700</v>
      </c>
      <c r="V35" s="367">
        <v>1700</v>
      </c>
      <c r="W35" s="367">
        <v>1700</v>
      </c>
      <c r="X35" s="367">
        <v>1700</v>
      </c>
      <c r="Y35" s="367">
        <v>1700</v>
      </c>
      <c r="Z35" s="367">
        <v>1700</v>
      </c>
      <c r="AA35" s="367">
        <v>1700</v>
      </c>
      <c r="AB35" s="367">
        <v>1700</v>
      </c>
      <c r="AC35" s="367">
        <v>1700</v>
      </c>
      <c r="AD35" s="367">
        <v>1700</v>
      </c>
      <c r="AE35" s="268">
        <v>1700</v>
      </c>
      <c r="AF35" s="268">
        <v>1700</v>
      </c>
      <c r="AG35" s="268">
        <v>1700</v>
      </c>
      <c r="AH35" s="268">
        <v>1700</v>
      </c>
      <c r="AI35" s="268">
        <v>1700</v>
      </c>
      <c r="AJ35" s="268">
        <v>1700</v>
      </c>
      <c r="AK35" s="268">
        <v>1700</v>
      </c>
      <c r="AL35" s="268">
        <v>1700</v>
      </c>
      <c r="AM35" s="268">
        <v>1700</v>
      </c>
      <c r="AN35" s="367">
        <v>1700</v>
      </c>
      <c r="AO35" s="367">
        <v>1700</v>
      </c>
      <c r="AP35" s="367">
        <v>1700</v>
      </c>
      <c r="AQ35" s="367">
        <v>1700</v>
      </c>
      <c r="AR35" s="367">
        <v>1700</v>
      </c>
      <c r="AS35" s="367">
        <v>1700</v>
      </c>
      <c r="AT35" s="367">
        <v>1700</v>
      </c>
      <c r="AU35" s="367">
        <v>1700</v>
      </c>
      <c r="AV35" s="367">
        <v>1700</v>
      </c>
      <c r="AW35" s="367">
        <v>1700</v>
      </c>
      <c r="AX35" s="367">
        <v>1700</v>
      </c>
      <c r="AY35" s="367">
        <v>1700</v>
      </c>
      <c r="AZ35" s="367">
        <v>1700</v>
      </c>
      <c r="BA35" s="367">
        <v>1700</v>
      </c>
      <c r="BB35" s="367">
        <v>1700</v>
      </c>
      <c r="BC35" s="367">
        <v>1700</v>
      </c>
      <c r="BD35" s="367">
        <v>1700</v>
      </c>
      <c r="BE35" s="367">
        <v>1700</v>
      </c>
      <c r="BF35" s="367">
        <v>1700</v>
      </c>
      <c r="BG35" s="367">
        <v>1700</v>
      </c>
      <c r="BH35" s="367">
        <v>1700</v>
      </c>
      <c r="BI35" s="367">
        <v>1700</v>
      </c>
      <c r="BJ35" s="367">
        <v>1700</v>
      </c>
      <c r="BK35" s="367">
        <v>1700</v>
      </c>
    </row>
    <row r="36" spans="1:63" x14ac:dyDescent="0.25">
      <c r="A36" s="249" t="s">
        <v>211</v>
      </c>
      <c r="D36" s="367">
        <v>1854.310165410154</v>
      </c>
      <c r="E36" s="367">
        <v>1854.310165410154</v>
      </c>
      <c r="F36" s="367">
        <v>1854.310165410154</v>
      </c>
      <c r="G36" s="367">
        <v>1854.310165410154</v>
      </c>
      <c r="H36" s="367">
        <v>1854.310165410154</v>
      </c>
      <c r="I36" s="367">
        <v>1854.310165410154</v>
      </c>
      <c r="J36" s="367">
        <v>1854.310165410154</v>
      </c>
      <c r="K36" s="367">
        <v>1854.310165410154</v>
      </c>
      <c r="L36" s="367">
        <v>1854.310165410154</v>
      </c>
      <c r="M36" s="367">
        <v>1854.310165410154</v>
      </c>
      <c r="N36" s="367">
        <v>1854.310165410154</v>
      </c>
      <c r="O36" s="367">
        <v>1854.310165410154</v>
      </c>
      <c r="P36" s="367">
        <v>1854.310165410154</v>
      </c>
      <c r="Q36" s="367">
        <v>1854.310165410154</v>
      </c>
      <c r="R36" s="367">
        <v>1854.310165410154</v>
      </c>
      <c r="S36" s="367">
        <v>1854.310165410154</v>
      </c>
      <c r="T36" s="367">
        <v>1854.310165410154</v>
      </c>
      <c r="U36" s="367">
        <v>1854.310165410154</v>
      </c>
      <c r="V36" s="367">
        <v>1854.310165410154</v>
      </c>
      <c r="W36" s="367">
        <v>1854.310165410154</v>
      </c>
      <c r="X36" s="367">
        <v>1854.310165410154</v>
      </c>
      <c r="Y36" s="367">
        <v>1854.310165410154</v>
      </c>
      <c r="Z36" s="367">
        <v>1854.310165410154</v>
      </c>
      <c r="AA36" s="367">
        <v>1854.310165410154</v>
      </c>
      <c r="AB36" s="367">
        <v>1854.310165410154</v>
      </c>
      <c r="AC36" s="367">
        <v>1854.310165410154</v>
      </c>
      <c r="AD36" s="367">
        <v>1854.310165410154</v>
      </c>
      <c r="AE36" s="268">
        <v>1854.310165410154</v>
      </c>
      <c r="AF36" s="268">
        <v>1854.310165410154</v>
      </c>
      <c r="AG36" s="268">
        <v>1854.310165410154</v>
      </c>
      <c r="AH36" s="268">
        <v>1854.310165410154</v>
      </c>
      <c r="AI36" s="268">
        <v>1854.310165410154</v>
      </c>
      <c r="AJ36" s="268">
        <v>1854.310165410154</v>
      </c>
      <c r="AK36" s="268">
        <v>1854.310165410154</v>
      </c>
      <c r="AL36" s="268">
        <v>1854.310165410154</v>
      </c>
      <c r="AM36" s="268">
        <v>1854.310165410154</v>
      </c>
      <c r="AN36" s="367">
        <v>1854.310165410154</v>
      </c>
      <c r="AO36" s="367">
        <v>1854.310165410154</v>
      </c>
      <c r="AP36" s="367">
        <v>1854.310165410154</v>
      </c>
      <c r="AQ36" s="367">
        <v>1854.310165410154</v>
      </c>
      <c r="AR36" s="367">
        <v>1854.310165410154</v>
      </c>
      <c r="AS36" s="367">
        <v>1854.310165410154</v>
      </c>
      <c r="AT36" s="367">
        <v>1854.310165410154</v>
      </c>
      <c r="AU36" s="367">
        <v>1854.310165410154</v>
      </c>
      <c r="AV36" s="367">
        <v>1854.310165410154</v>
      </c>
      <c r="AW36" s="367">
        <v>1854.310165410154</v>
      </c>
      <c r="AX36" s="367">
        <v>1854.310165410154</v>
      </c>
      <c r="AY36" s="367">
        <v>1854.310165410154</v>
      </c>
      <c r="AZ36" s="367">
        <v>1854.310165410154</v>
      </c>
      <c r="BA36" s="367">
        <v>1854.310165410154</v>
      </c>
      <c r="BB36" s="367">
        <v>1854.310165410154</v>
      </c>
      <c r="BC36" s="367">
        <v>1854.310165410154</v>
      </c>
      <c r="BD36" s="367">
        <v>1854.310165410154</v>
      </c>
      <c r="BE36" s="367">
        <v>1854.310165410154</v>
      </c>
      <c r="BF36" s="367">
        <v>1854.310165410154</v>
      </c>
      <c r="BG36" s="367">
        <v>1854.310165410154</v>
      </c>
      <c r="BH36" s="367">
        <v>1854.310165410154</v>
      </c>
      <c r="BI36" s="367">
        <v>1854.310165410154</v>
      </c>
      <c r="BJ36" s="367">
        <v>1854.310165410154</v>
      </c>
      <c r="BK36" s="367">
        <v>1854.310165410154</v>
      </c>
    </row>
    <row r="37" spans="1:63" s="235" customFormat="1" x14ac:dyDescent="0.25">
      <c r="A37" s="249" t="s">
        <v>260</v>
      </c>
      <c r="C37" s="406"/>
      <c r="D37" s="367">
        <v>2089.309387550983</v>
      </c>
      <c r="E37" s="367">
        <v>2089.309387550983</v>
      </c>
      <c r="F37" s="367">
        <v>2089.309387550983</v>
      </c>
      <c r="G37" s="367">
        <v>2089.309387550983</v>
      </c>
      <c r="H37" s="367">
        <v>2089.309387550983</v>
      </c>
      <c r="I37" s="367">
        <v>2089.309387550983</v>
      </c>
      <c r="J37" s="367">
        <v>2089.309387550983</v>
      </c>
      <c r="K37" s="367">
        <v>2089.309387550983</v>
      </c>
      <c r="L37" s="367">
        <v>2089.309387550983</v>
      </c>
      <c r="M37" s="367">
        <v>2089.309387550983</v>
      </c>
      <c r="N37" s="367">
        <v>2089.309387550983</v>
      </c>
      <c r="O37" s="367">
        <v>2089.309387550983</v>
      </c>
      <c r="P37" s="367">
        <v>2089.309387550983</v>
      </c>
      <c r="Q37" s="367">
        <v>2089.309387550983</v>
      </c>
      <c r="R37" s="367">
        <v>2089.309387550983</v>
      </c>
      <c r="S37" s="367">
        <v>2089.309387550983</v>
      </c>
      <c r="T37" s="367">
        <v>2089.309387550983</v>
      </c>
      <c r="U37" s="367">
        <v>2089.309387550983</v>
      </c>
      <c r="V37" s="367">
        <v>2089.309387550983</v>
      </c>
      <c r="W37" s="367">
        <v>2089.309387550983</v>
      </c>
      <c r="X37" s="367">
        <v>2089.309387550983</v>
      </c>
      <c r="Y37" s="367">
        <v>2089.309387550983</v>
      </c>
      <c r="Z37" s="367">
        <v>2089.309387550983</v>
      </c>
      <c r="AA37" s="367">
        <v>2089.309387550983</v>
      </c>
      <c r="AB37" s="367">
        <v>2089.309387550983</v>
      </c>
      <c r="AC37" s="367">
        <v>2089.309387550983</v>
      </c>
      <c r="AD37" s="367">
        <v>2089.309387550983</v>
      </c>
      <c r="AE37" s="268">
        <v>2089.309387550983</v>
      </c>
      <c r="AF37" s="268">
        <v>2089.309387550983</v>
      </c>
      <c r="AG37" s="268">
        <v>2089.309387550983</v>
      </c>
      <c r="AH37" s="268">
        <v>2089.309387550983</v>
      </c>
      <c r="AI37" s="268">
        <v>2089.309387550983</v>
      </c>
      <c r="AJ37" s="268">
        <v>2089.309387550983</v>
      </c>
      <c r="AK37" s="268">
        <v>2089.309387550983</v>
      </c>
      <c r="AL37" s="268">
        <v>2089.309387550983</v>
      </c>
      <c r="AM37" s="268">
        <v>2089.309387550983</v>
      </c>
      <c r="AN37" s="367">
        <v>2089.309387550983</v>
      </c>
      <c r="AO37" s="367">
        <v>2089.309387550983</v>
      </c>
      <c r="AP37" s="367">
        <v>2089.309387550983</v>
      </c>
      <c r="AQ37" s="367">
        <v>2089.309387550983</v>
      </c>
      <c r="AR37" s="367">
        <v>2089.309387550983</v>
      </c>
      <c r="AS37" s="367">
        <v>2089.309387550983</v>
      </c>
      <c r="AT37" s="367">
        <v>2089.309387550983</v>
      </c>
      <c r="AU37" s="367">
        <v>2089.309387550983</v>
      </c>
      <c r="AV37" s="367">
        <v>2089.309387550983</v>
      </c>
      <c r="AW37" s="367">
        <v>2089.309387550983</v>
      </c>
      <c r="AX37" s="367">
        <v>2089.309387550983</v>
      </c>
      <c r="AY37" s="367">
        <v>2089.309387550983</v>
      </c>
      <c r="AZ37" s="367">
        <v>2089.309387550983</v>
      </c>
      <c r="BA37" s="367">
        <v>2089.309387550983</v>
      </c>
      <c r="BB37" s="367">
        <v>2089.309387550983</v>
      </c>
      <c r="BC37" s="367">
        <v>2089.309387550983</v>
      </c>
      <c r="BD37" s="367">
        <v>2089.309387550983</v>
      </c>
      <c r="BE37" s="367">
        <v>2089.309387550983</v>
      </c>
      <c r="BF37" s="367">
        <v>2089.309387550983</v>
      </c>
      <c r="BG37" s="367">
        <v>2089.309387550983</v>
      </c>
      <c r="BH37" s="367">
        <v>2089.309387550983</v>
      </c>
      <c r="BI37" s="367">
        <v>2089.309387550983</v>
      </c>
      <c r="BJ37" s="367">
        <v>2089.309387550983</v>
      </c>
      <c r="BK37" s="367">
        <v>2089.309387550983</v>
      </c>
    </row>
    <row r="38" spans="1:63" s="235" customFormat="1" x14ac:dyDescent="0.25">
      <c r="A38" s="249" t="s">
        <v>261</v>
      </c>
      <c r="C38" s="406"/>
      <c r="D38" s="367">
        <v>1844.5541594410504</v>
      </c>
      <c r="E38" s="367">
        <v>1844.5541594410504</v>
      </c>
      <c r="F38" s="367">
        <v>1844.5541594410504</v>
      </c>
      <c r="G38" s="367">
        <v>1844.5541594410504</v>
      </c>
      <c r="H38" s="367">
        <v>1844.5541594410504</v>
      </c>
      <c r="I38" s="367">
        <v>1844.5541594410504</v>
      </c>
      <c r="J38" s="367">
        <v>1844.5541594410504</v>
      </c>
      <c r="K38" s="367">
        <v>1844.5541594410504</v>
      </c>
      <c r="L38" s="367">
        <v>1844.5541594410504</v>
      </c>
      <c r="M38" s="367">
        <v>1844.5541594410504</v>
      </c>
      <c r="N38" s="367">
        <v>1844.5541594410504</v>
      </c>
      <c r="O38" s="367">
        <v>1844.5541594410504</v>
      </c>
      <c r="P38" s="367">
        <v>1844.5541594410504</v>
      </c>
      <c r="Q38" s="367">
        <v>1844.5541594410504</v>
      </c>
      <c r="R38" s="367">
        <v>1844.5541594410504</v>
      </c>
      <c r="S38" s="367">
        <v>1844.5541594410504</v>
      </c>
      <c r="T38" s="367">
        <v>1844.5541594410504</v>
      </c>
      <c r="U38" s="367">
        <v>1844.5541594410504</v>
      </c>
      <c r="V38" s="367">
        <v>1844.5541594410504</v>
      </c>
      <c r="W38" s="367">
        <v>1844.5541594410504</v>
      </c>
      <c r="X38" s="367">
        <v>1844.5541594410504</v>
      </c>
      <c r="Y38" s="367">
        <v>1844.5541594410504</v>
      </c>
      <c r="Z38" s="367">
        <v>1844.5541594410504</v>
      </c>
      <c r="AA38" s="367">
        <v>1844.5541594410504</v>
      </c>
      <c r="AB38" s="367">
        <v>1844.5541594410504</v>
      </c>
      <c r="AC38" s="367">
        <v>1844.5541594410504</v>
      </c>
      <c r="AD38" s="367">
        <v>1844.5541594410504</v>
      </c>
      <c r="AE38" s="268">
        <v>1844.5541594410504</v>
      </c>
      <c r="AF38" s="268">
        <v>1844.5541594410504</v>
      </c>
      <c r="AG38" s="268">
        <v>1844.5541594410504</v>
      </c>
      <c r="AH38" s="268">
        <v>1844.5541594410504</v>
      </c>
      <c r="AI38" s="268">
        <v>1844.5541594410504</v>
      </c>
      <c r="AJ38" s="268">
        <v>1844.5541594410504</v>
      </c>
      <c r="AK38" s="268">
        <v>1844.5541594410504</v>
      </c>
      <c r="AL38" s="268">
        <v>1844.5541594410504</v>
      </c>
      <c r="AM38" s="268">
        <v>1844.5541594410504</v>
      </c>
      <c r="AN38" s="367">
        <v>1844.5541594410504</v>
      </c>
      <c r="AO38" s="367">
        <v>1844.5541594410504</v>
      </c>
      <c r="AP38" s="367">
        <v>1844.5541594410504</v>
      </c>
      <c r="AQ38" s="367">
        <v>1844.5541594410504</v>
      </c>
      <c r="AR38" s="367">
        <v>1844.5541594410504</v>
      </c>
      <c r="AS38" s="367">
        <v>1844.5541594410504</v>
      </c>
      <c r="AT38" s="367">
        <v>1844.5541594410504</v>
      </c>
      <c r="AU38" s="367">
        <v>1844.5541594410504</v>
      </c>
      <c r="AV38" s="367">
        <v>1844.5541594410504</v>
      </c>
      <c r="AW38" s="367">
        <v>1844.5541594410504</v>
      </c>
      <c r="AX38" s="367">
        <v>1844.5541594410504</v>
      </c>
      <c r="AY38" s="367">
        <v>1844.5541594410504</v>
      </c>
      <c r="AZ38" s="367">
        <v>1844.5541594410504</v>
      </c>
      <c r="BA38" s="367">
        <v>1844.5541594410504</v>
      </c>
      <c r="BB38" s="367">
        <v>1844.5541594410504</v>
      </c>
      <c r="BC38" s="367">
        <v>1844.5541594410504</v>
      </c>
      <c r="BD38" s="367">
        <v>1844.5541594410504</v>
      </c>
      <c r="BE38" s="367">
        <v>1844.5541594410504</v>
      </c>
      <c r="BF38" s="367">
        <v>1844.5541594410504</v>
      </c>
      <c r="BG38" s="367">
        <v>1844.5541594410504</v>
      </c>
      <c r="BH38" s="367">
        <v>1844.5541594410504</v>
      </c>
      <c r="BI38" s="367">
        <v>1844.5541594410504</v>
      </c>
      <c r="BJ38" s="367">
        <v>1844.5541594410504</v>
      </c>
      <c r="BK38" s="367">
        <v>1844.5541594410504</v>
      </c>
    </row>
    <row r="39" spans="1:63" s="235" customFormat="1" x14ac:dyDescent="0.25">
      <c r="A39" s="249" t="s">
        <v>262</v>
      </c>
      <c r="C39" s="406"/>
      <c r="D39" s="367">
        <v>1444.8011047176665</v>
      </c>
      <c r="E39" s="367">
        <v>1444.8011047176665</v>
      </c>
      <c r="F39" s="367">
        <v>1444.8011047176665</v>
      </c>
      <c r="G39" s="367">
        <v>1444.8011047176665</v>
      </c>
      <c r="H39" s="367">
        <v>1444.8011047176665</v>
      </c>
      <c r="I39" s="367">
        <v>1444.8011047176665</v>
      </c>
      <c r="J39" s="367">
        <v>1444.8011047176665</v>
      </c>
      <c r="K39" s="367">
        <v>1444.8011047176665</v>
      </c>
      <c r="L39" s="367">
        <v>1444.8011047176665</v>
      </c>
      <c r="M39" s="367">
        <v>1444.8011047176665</v>
      </c>
      <c r="N39" s="367">
        <v>1444.8011047176665</v>
      </c>
      <c r="O39" s="367">
        <v>1444.8011047176665</v>
      </c>
      <c r="P39" s="367">
        <v>1444.8011047176665</v>
      </c>
      <c r="Q39" s="367">
        <v>1444.8011047176665</v>
      </c>
      <c r="R39" s="367">
        <v>1444.8011047176665</v>
      </c>
      <c r="S39" s="367">
        <v>1444.8011047176665</v>
      </c>
      <c r="T39" s="367">
        <v>1444.8011047176665</v>
      </c>
      <c r="U39" s="367">
        <v>1444.8011047176665</v>
      </c>
      <c r="V39" s="367">
        <v>1444.8011047176665</v>
      </c>
      <c r="W39" s="367">
        <v>1444.8011047176665</v>
      </c>
      <c r="X39" s="367">
        <v>1444.8011047176665</v>
      </c>
      <c r="Y39" s="367">
        <v>1444.8011047176665</v>
      </c>
      <c r="Z39" s="367">
        <v>1444.8011047176665</v>
      </c>
      <c r="AA39" s="367">
        <v>1444.8011047176665</v>
      </c>
      <c r="AB39" s="367">
        <v>1444.8011047176665</v>
      </c>
      <c r="AC39" s="367">
        <v>1444.8011047176665</v>
      </c>
      <c r="AD39" s="367">
        <v>1444.8011047176665</v>
      </c>
      <c r="AE39" s="268">
        <v>1444.8011047176665</v>
      </c>
      <c r="AF39" s="268">
        <v>1444.8011047176665</v>
      </c>
      <c r="AG39" s="268">
        <v>1444.8011047176665</v>
      </c>
      <c r="AH39" s="268">
        <v>1444.8011047176665</v>
      </c>
      <c r="AI39" s="268">
        <v>1444.8011047176665</v>
      </c>
      <c r="AJ39" s="268">
        <v>1444.8011047176665</v>
      </c>
      <c r="AK39" s="268">
        <v>1444.8011047176665</v>
      </c>
      <c r="AL39" s="268">
        <v>1444.8011047176665</v>
      </c>
      <c r="AM39" s="268">
        <v>1444.8011047176665</v>
      </c>
      <c r="AN39" s="367">
        <v>1444.8011047176665</v>
      </c>
      <c r="AO39" s="367">
        <v>1444.8011047176665</v>
      </c>
      <c r="AP39" s="367">
        <v>1444.8011047176665</v>
      </c>
      <c r="AQ39" s="367">
        <v>1444.8011047176665</v>
      </c>
      <c r="AR39" s="367">
        <v>1444.8011047176665</v>
      </c>
      <c r="AS39" s="367">
        <v>1444.8011047176665</v>
      </c>
      <c r="AT39" s="367">
        <v>1444.8011047176665</v>
      </c>
      <c r="AU39" s="367">
        <v>1444.8011047176665</v>
      </c>
      <c r="AV39" s="367">
        <v>1444.8011047176665</v>
      </c>
      <c r="AW39" s="367">
        <v>1444.8011047176665</v>
      </c>
      <c r="AX39" s="367">
        <v>1444.8011047176665</v>
      </c>
      <c r="AY39" s="367">
        <v>1444.8011047176665</v>
      </c>
      <c r="AZ39" s="367">
        <v>1444.8011047176665</v>
      </c>
      <c r="BA39" s="367">
        <v>1444.8011047176665</v>
      </c>
      <c r="BB39" s="367">
        <v>1444.8011047176665</v>
      </c>
      <c r="BC39" s="367">
        <v>1444.8011047176665</v>
      </c>
      <c r="BD39" s="367">
        <v>1444.8011047176665</v>
      </c>
      <c r="BE39" s="367">
        <v>1444.8011047176665</v>
      </c>
      <c r="BF39" s="367">
        <v>1444.8011047176665</v>
      </c>
      <c r="BG39" s="367">
        <v>1444.8011047176665</v>
      </c>
      <c r="BH39" s="367">
        <v>1444.8011047176665</v>
      </c>
      <c r="BI39" s="367">
        <v>1444.8011047176665</v>
      </c>
      <c r="BJ39" s="367">
        <v>1444.8011047176665</v>
      </c>
      <c r="BK39" s="367">
        <v>1444.8011047176665</v>
      </c>
    </row>
    <row r="40" spans="1:63" s="235" customFormat="1" x14ac:dyDescent="0.25">
      <c r="A40" s="249" t="s">
        <v>263</v>
      </c>
      <c r="C40" s="406"/>
      <c r="D40" s="367">
        <v>1308.7091622001783</v>
      </c>
      <c r="E40" s="367">
        <v>1308.7091622001783</v>
      </c>
      <c r="F40" s="367">
        <v>1308.7091622001783</v>
      </c>
      <c r="G40" s="367">
        <v>1308.7091622001783</v>
      </c>
      <c r="H40" s="367">
        <v>1308.7091622001783</v>
      </c>
      <c r="I40" s="367">
        <v>1308.7091622001783</v>
      </c>
      <c r="J40" s="367">
        <v>1308.7091622001783</v>
      </c>
      <c r="K40" s="367">
        <v>1308.7091622001783</v>
      </c>
      <c r="L40" s="367">
        <v>1308.7091622001783</v>
      </c>
      <c r="M40" s="367">
        <v>1308.7091622001783</v>
      </c>
      <c r="N40" s="367">
        <v>1308.7091622001783</v>
      </c>
      <c r="O40" s="367">
        <v>1308.7091622001783</v>
      </c>
      <c r="P40" s="367">
        <v>1308.7091622001783</v>
      </c>
      <c r="Q40" s="367">
        <v>1308.7091622001783</v>
      </c>
      <c r="R40" s="367">
        <v>1308.7091622001783</v>
      </c>
      <c r="S40" s="367">
        <v>1308.7091622001783</v>
      </c>
      <c r="T40" s="367">
        <v>1308.7091622001783</v>
      </c>
      <c r="U40" s="367">
        <v>1308.7091622001783</v>
      </c>
      <c r="V40" s="367">
        <v>1308.7091622001783</v>
      </c>
      <c r="W40" s="367">
        <v>1308.7091622001783</v>
      </c>
      <c r="X40" s="367">
        <v>1308.7091622001783</v>
      </c>
      <c r="Y40" s="367">
        <v>1308.7091622001783</v>
      </c>
      <c r="Z40" s="367">
        <v>1308.7091622001783</v>
      </c>
      <c r="AA40" s="367">
        <v>1308.7091622001783</v>
      </c>
      <c r="AB40" s="367">
        <v>1308.7091622001783</v>
      </c>
      <c r="AC40" s="367">
        <v>1308.7091622001783</v>
      </c>
      <c r="AD40" s="367">
        <v>1308.7091622001783</v>
      </c>
      <c r="AE40" s="268">
        <v>1308.7091622001783</v>
      </c>
      <c r="AF40" s="268">
        <v>1308.7091622001783</v>
      </c>
      <c r="AG40" s="268">
        <v>1308.7091622001783</v>
      </c>
      <c r="AH40" s="268">
        <v>1308.7091622001783</v>
      </c>
      <c r="AI40" s="268">
        <v>1308.7091622001783</v>
      </c>
      <c r="AJ40" s="268">
        <v>1308.7091622001783</v>
      </c>
      <c r="AK40" s="268">
        <v>1308.7091622001783</v>
      </c>
      <c r="AL40" s="268">
        <v>1308.7091622001783</v>
      </c>
      <c r="AM40" s="268">
        <v>1308.7091622001783</v>
      </c>
      <c r="AN40" s="367">
        <v>1308.7091622001783</v>
      </c>
      <c r="AO40" s="367">
        <v>1308.7091622001783</v>
      </c>
      <c r="AP40" s="367">
        <v>1308.7091622001783</v>
      </c>
      <c r="AQ40" s="367">
        <v>1308.7091622001783</v>
      </c>
      <c r="AR40" s="367">
        <v>1308.7091622001783</v>
      </c>
      <c r="AS40" s="367">
        <v>1308.7091622001783</v>
      </c>
      <c r="AT40" s="367">
        <v>1308.7091622001783</v>
      </c>
      <c r="AU40" s="367">
        <v>1308.7091622001783</v>
      </c>
      <c r="AV40" s="367">
        <v>1308.7091622001783</v>
      </c>
      <c r="AW40" s="367">
        <v>1308.7091622001783</v>
      </c>
      <c r="AX40" s="367">
        <v>1308.7091622001783</v>
      </c>
      <c r="AY40" s="367">
        <v>1308.7091622001783</v>
      </c>
      <c r="AZ40" s="367">
        <v>1308.7091622001783</v>
      </c>
      <c r="BA40" s="367">
        <v>1308.7091622001783</v>
      </c>
      <c r="BB40" s="367">
        <v>1308.7091622001783</v>
      </c>
      <c r="BC40" s="367">
        <v>1308.7091622001783</v>
      </c>
      <c r="BD40" s="367">
        <v>1308.7091622001783</v>
      </c>
      <c r="BE40" s="367">
        <v>1308.7091622001783</v>
      </c>
      <c r="BF40" s="367">
        <v>1308.7091622001783</v>
      </c>
      <c r="BG40" s="367">
        <v>1308.7091622001783</v>
      </c>
      <c r="BH40" s="367">
        <v>1308.7091622001783</v>
      </c>
      <c r="BI40" s="367">
        <v>1308.7091622001783</v>
      </c>
      <c r="BJ40" s="367">
        <v>1308.7091622001783</v>
      </c>
      <c r="BK40" s="367">
        <v>1308.7091622001783</v>
      </c>
    </row>
    <row r="41" spans="1:63" s="235" customFormat="1" x14ac:dyDescent="0.25">
      <c r="A41" s="249" t="s">
        <v>264</v>
      </c>
      <c r="C41" s="406"/>
      <c r="D41" s="367">
        <v>1306.6521772667586</v>
      </c>
      <c r="E41" s="367">
        <v>1306.6521772667586</v>
      </c>
      <c r="F41" s="367">
        <v>1306.6521772667586</v>
      </c>
      <c r="G41" s="367">
        <v>1306.6521772667586</v>
      </c>
      <c r="H41" s="367">
        <v>1306.6521772667586</v>
      </c>
      <c r="I41" s="367">
        <v>1306.6521772667586</v>
      </c>
      <c r="J41" s="367">
        <v>1306.6521772667586</v>
      </c>
      <c r="K41" s="367">
        <v>1306.6521772667586</v>
      </c>
      <c r="L41" s="367">
        <v>1306.6521772667586</v>
      </c>
      <c r="M41" s="367">
        <v>1306.6521772667586</v>
      </c>
      <c r="N41" s="367">
        <v>1306.6521772667586</v>
      </c>
      <c r="O41" s="367">
        <v>1306.6521772667586</v>
      </c>
      <c r="P41" s="367">
        <v>1306.6521772667586</v>
      </c>
      <c r="Q41" s="367">
        <v>1306.6521772667586</v>
      </c>
      <c r="R41" s="367">
        <v>1306.6521772667586</v>
      </c>
      <c r="S41" s="367">
        <v>1306.6521772667586</v>
      </c>
      <c r="T41" s="367">
        <v>1306.6521772667586</v>
      </c>
      <c r="U41" s="367">
        <v>1306.6521772667586</v>
      </c>
      <c r="V41" s="367">
        <v>1306.6521772667586</v>
      </c>
      <c r="W41" s="367">
        <v>1306.6521772667586</v>
      </c>
      <c r="X41" s="367">
        <v>1306.6521772667586</v>
      </c>
      <c r="Y41" s="367">
        <v>1306.6521772667586</v>
      </c>
      <c r="Z41" s="367">
        <v>1306.6521772667586</v>
      </c>
      <c r="AA41" s="367">
        <v>1306.6521772667586</v>
      </c>
      <c r="AB41" s="367">
        <v>1306.6521772667586</v>
      </c>
      <c r="AC41" s="367">
        <v>1306.6521772667586</v>
      </c>
      <c r="AD41" s="367">
        <v>1306.6521772667586</v>
      </c>
      <c r="AE41" s="268">
        <v>1306.6521772667586</v>
      </c>
      <c r="AF41" s="268">
        <v>1306.6521772667586</v>
      </c>
      <c r="AG41" s="268">
        <v>1306.6521772667586</v>
      </c>
      <c r="AH41" s="268">
        <v>1306.6521772667586</v>
      </c>
      <c r="AI41" s="268">
        <v>1306.6521772667586</v>
      </c>
      <c r="AJ41" s="268">
        <v>1306.6521772667586</v>
      </c>
      <c r="AK41" s="268">
        <v>1306.6521772667586</v>
      </c>
      <c r="AL41" s="268">
        <v>1306.6521772667586</v>
      </c>
      <c r="AM41" s="268">
        <v>1306.6521772667586</v>
      </c>
      <c r="AN41" s="367">
        <v>1306.6521772667586</v>
      </c>
      <c r="AO41" s="367">
        <v>1306.6521772667586</v>
      </c>
      <c r="AP41" s="367">
        <v>1306.6521772667586</v>
      </c>
      <c r="AQ41" s="367">
        <v>1306.6521772667586</v>
      </c>
      <c r="AR41" s="367">
        <v>1306.6521772667586</v>
      </c>
      <c r="AS41" s="367">
        <v>1306.6521772667586</v>
      </c>
      <c r="AT41" s="367">
        <v>1306.6521772667586</v>
      </c>
      <c r="AU41" s="367">
        <v>1306.6521772667586</v>
      </c>
      <c r="AV41" s="367">
        <v>1306.6521772667586</v>
      </c>
      <c r="AW41" s="367">
        <v>1306.6521772667586</v>
      </c>
      <c r="AX41" s="367">
        <v>1306.6521772667586</v>
      </c>
      <c r="AY41" s="367">
        <v>1306.6521772667586</v>
      </c>
      <c r="AZ41" s="367">
        <v>1306.6521772667586</v>
      </c>
      <c r="BA41" s="367">
        <v>1306.6521772667586</v>
      </c>
      <c r="BB41" s="367">
        <v>1306.6521772667586</v>
      </c>
      <c r="BC41" s="367">
        <v>1306.6521772667586</v>
      </c>
      <c r="BD41" s="367">
        <v>1306.6521772667586</v>
      </c>
      <c r="BE41" s="367">
        <v>1306.6521772667586</v>
      </c>
      <c r="BF41" s="367">
        <v>1306.6521772667586</v>
      </c>
      <c r="BG41" s="367">
        <v>1306.6521772667586</v>
      </c>
      <c r="BH41" s="367">
        <v>1306.6521772667586</v>
      </c>
      <c r="BI41" s="367">
        <v>1306.6521772667586</v>
      </c>
      <c r="BJ41" s="367">
        <v>1306.6521772667586</v>
      </c>
      <c r="BK41" s="367">
        <v>1306.6521772667586</v>
      </c>
    </row>
    <row r="42" spans="1:63" s="235" customFormat="1" x14ac:dyDescent="0.25">
      <c r="A42" s="249" t="s">
        <v>265</v>
      </c>
      <c r="C42" s="406"/>
      <c r="D42" s="367">
        <v>1362.5276069857937</v>
      </c>
      <c r="E42" s="367">
        <v>1362.5276069857937</v>
      </c>
      <c r="F42" s="367">
        <v>1362.5276069857937</v>
      </c>
      <c r="G42" s="367">
        <v>1362.5276069857937</v>
      </c>
      <c r="H42" s="367">
        <v>1362.5276069857937</v>
      </c>
      <c r="I42" s="367">
        <v>1362.5276069857937</v>
      </c>
      <c r="J42" s="367">
        <v>1362.5276069857937</v>
      </c>
      <c r="K42" s="367">
        <v>1362.5276069857937</v>
      </c>
      <c r="L42" s="367">
        <v>1362.5276069857937</v>
      </c>
      <c r="M42" s="367">
        <v>1362.5276069857937</v>
      </c>
      <c r="N42" s="367">
        <v>1362.5276069857937</v>
      </c>
      <c r="O42" s="367">
        <v>1362.5276069857937</v>
      </c>
      <c r="P42" s="367">
        <v>1362.5276069857937</v>
      </c>
      <c r="Q42" s="367">
        <v>1362.5276069857937</v>
      </c>
      <c r="R42" s="367">
        <v>1362.5276069857937</v>
      </c>
      <c r="S42" s="367">
        <v>1362.5276069857937</v>
      </c>
      <c r="T42" s="367">
        <v>1362.5276069857937</v>
      </c>
      <c r="U42" s="367">
        <v>1362.5276069857937</v>
      </c>
      <c r="V42" s="367">
        <v>1362.5276069857937</v>
      </c>
      <c r="W42" s="367">
        <v>1362.5276069857937</v>
      </c>
      <c r="X42" s="367">
        <v>1362.5276069857937</v>
      </c>
      <c r="Y42" s="367">
        <v>1362.5276069857937</v>
      </c>
      <c r="Z42" s="367">
        <v>1362.5276069857937</v>
      </c>
      <c r="AA42" s="367">
        <v>1362.5276069857937</v>
      </c>
      <c r="AB42" s="367">
        <v>1362.5276069857937</v>
      </c>
      <c r="AC42" s="367">
        <v>1362.5276069857937</v>
      </c>
      <c r="AD42" s="367">
        <v>1362.5276069857937</v>
      </c>
      <c r="AE42" s="268">
        <v>1362.5276069857937</v>
      </c>
      <c r="AF42" s="268">
        <v>1362.5276069857937</v>
      </c>
      <c r="AG42" s="268">
        <v>1362.5276069857937</v>
      </c>
      <c r="AH42" s="268">
        <v>1362.5276069857937</v>
      </c>
      <c r="AI42" s="268">
        <v>1362.5276069857937</v>
      </c>
      <c r="AJ42" s="268">
        <v>1362.5276069857937</v>
      </c>
      <c r="AK42" s="268">
        <v>1362.5276069857937</v>
      </c>
      <c r="AL42" s="268">
        <v>1362.5276069857937</v>
      </c>
      <c r="AM42" s="268">
        <v>1362.5276069857937</v>
      </c>
      <c r="AN42" s="367">
        <v>1362.5276069857937</v>
      </c>
      <c r="AO42" s="367">
        <v>1362.5276069857937</v>
      </c>
      <c r="AP42" s="367">
        <v>1362.5276069857937</v>
      </c>
      <c r="AQ42" s="367">
        <v>1362.5276069857937</v>
      </c>
      <c r="AR42" s="367">
        <v>1362.5276069857937</v>
      </c>
      <c r="AS42" s="367">
        <v>1362.5276069857937</v>
      </c>
      <c r="AT42" s="367">
        <v>1362.5276069857937</v>
      </c>
      <c r="AU42" s="367">
        <v>1362.5276069857937</v>
      </c>
      <c r="AV42" s="367">
        <v>1362.5276069857937</v>
      </c>
      <c r="AW42" s="367">
        <v>1362.5276069857937</v>
      </c>
      <c r="AX42" s="367">
        <v>1362.5276069857937</v>
      </c>
      <c r="AY42" s="367">
        <v>1362.5276069857937</v>
      </c>
      <c r="AZ42" s="367">
        <v>1362.5276069857937</v>
      </c>
      <c r="BA42" s="367">
        <v>1362.5276069857937</v>
      </c>
      <c r="BB42" s="367">
        <v>1362.5276069857937</v>
      </c>
      <c r="BC42" s="367">
        <v>1362.5276069857937</v>
      </c>
      <c r="BD42" s="367">
        <v>1362.5276069857937</v>
      </c>
      <c r="BE42" s="367">
        <v>1362.5276069857937</v>
      </c>
      <c r="BF42" s="367">
        <v>1362.5276069857937</v>
      </c>
      <c r="BG42" s="367">
        <v>1362.5276069857937</v>
      </c>
      <c r="BH42" s="367">
        <v>1362.5276069857937</v>
      </c>
      <c r="BI42" s="367">
        <v>1362.5276069857937</v>
      </c>
      <c r="BJ42" s="367">
        <v>1362.5276069857937</v>
      </c>
      <c r="BK42" s="367">
        <v>1362.5276069857937</v>
      </c>
    </row>
    <row r="43" spans="1:63" s="235" customFormat="1" x14ac:dyDescent="0.25">
      <c r="A43" s="249" t="s">
        <v>266</v>
      </c>
      <c r="C43" s="406"/>
      <c r="D43" s="367">
        <v>1494.9082206175608</v>
      </c>
      <c r="E43" s="367">
        <v>1494.9082206175608</v>
      </c>
      <c r="F43" s="367">
        <v>1494.9082206175608</v>
      </c>
      <c r="G43" s="367">
        <v>1494.9082206175608</v>
      </c>
      <c r="H43" s="367">
        <v>1494.9082206175608</v>
      </c>
      <c r="I43" s="367">
        <v>1494.9082206175608</v>
      </c>
      <c r="J43" s="367">
        <v>1494.9082206175608</v>
      </c>
      <c r="K43" s="367">
        <v>1494.9082206175608</v>
      </c>
      <c r="L43" s="367">
        <v>1494.9082206175608</v>
      </c>
      <c r="M43" s="367">
        <v>1494.9082206175608</v>
      </c>
      <c r="N43" s="367">
        <v>1494.9082206175608</v>
      </c>
      <c r="O43" s="367">
        <v>1494.9082206175608</v>
      </c>
      <c r="P43" s="367">
        <v>1494.9082206175608</v>
      </c>
      <c r="Q43" s="367">
        <v>1494.9082206175608</v>
      </c>
      <c r="R43" s="367">
        <v>1494.9082206175608</v>
      </c>
      <c r="S43" s="367">
        <v>1494.9082206175608</v>
      </c>
      <c r="T43" s="367">
        <v>1494.9082206175608</v>
      </c>
      <c r="U43" s="367">
        <v>1494.9082206175608</v>
      </c>
      <c r="V43" s="367">
        <v>1494.9082206175608</v>
      </c>
      <c r="W43" s="367">
        <v>1494.9082206175608</v>
      </c>
      <c r="X43" s="367">
        <v>1494.9082206175608</v>
      </c>
      <c r="Y43" s="367">
        <v>1494.9082206175608</v>
      </c>
      <c r="Z43" s="367">
        <v>1494.9082206175608</v>
      </c>
      <c r="AA43" s="367">
        <v>1494.9082206175608</v>
      </c>
      <c r="AB43" s="367">
        <v>1494.9082206175608</v>
      </c>
      <c r="AC43" s="367">
        <v>1494.9082206175608</v>
      </c>
      <c r="AD43" s="367">
        <v>1494.9082206175608</v>
      </c>
      <c r="AE43" s="268">
        <v>1494.9082206175608</v>
      </c>
      <c r="AF43" s="268">
        <v>1494.9082206175608</v>
      </c>
      <c r="AG43" s="268">
        <v>1494.9082206175608</v>
      </c>
      <c r="AH43" s="268">
        <v>1494.9082206175608</v>
      </c>
      <c r="AI43" s="268">
        <v>1494.9082206175608</v>
      </c>
      <c r="AJ43" s="268">
        <v>1494.9082206175608</v>
      </c>
      <c r="AK43" s="268">
        <v>1494.9082206175608</v>
      </c>
      <c r="AL43" s="268">
        <v>1494.9082206175608</v>
      </c>
      <c r="AM43" s="268">
        <v>1494.9082206175608</v>
      </c>
      <c r="AN43" s="367">
        <v>1494.9082206175608</v>
      </c>
      <c r="AO43" s="367">
        <v>1494.9082206175608</v>
      </c>
      <c r="AP43" s="367">
        <v>1494.9082206175608</v>
      </c>
      <c r="AQ43" s="367">
        <v>1494.9082206175608</v>
      </c>
      <c r="AR43" s="367">
        <v>1494.9082206175608</v>
      </c>
      <c r="AS43" s="367">
        <v>1494.9082206175608</v>
      </c>
      <c r="AT43" s="367">
        <v>1494.9082206175608</v>
      </c>
      <c r="AU43" s="367">
        <v>1494.9082206175608</v>
      </c>
      <c r="AV43" s="367">
        <v>1494.9082206175608</v>
      </c>
      <c r="AW43" s="367">
        <v>1494.9082206175608</v>
      </c>
      <c r="AX43" s="367">
        <v>1494.9082206175608</v>
      </c>
      <c r="AY43" s="367">
        <v>1494.9082206175608</v>
      </c>
      <c r="AZ43" s="367">
        <v>1494.9082206175608</v>
      </c>
      <c r="BA43" s="367">
        <v>1494.9082206175608</v>
      </c>
      <c r="BB43" s="367">
        <v>1494.9082206175608</v>
      </c>
      <c r="BC43" s="367">
        <v>1494.9082206175608</v>
      </c>
      <c r="BD43" s="367">
        <v>1494.9082206175608</v>
      </c>
      <c r="BE43" s="367">
        <v>1494.9082206175608</v>
      </c>
      <c r="BF43" s="367">
        <v>1494.9082206175608</v>
      </c>
      <c r="BG43" s="367">
        <v>1494.9082206175608</v>
      </c>
      <c r="BH43" s="367">
        <v>1494.9082206175608</v>
      </c>
      <c r="BI43" s="367">
        <v>1494.9082206175608</v>
      </c>
      <c r="BJ43" s="367">
        <v>1494.9082206175608</v>
      </c>
      <c r="BK43" s="367">
        <v>1494.9082206175608</v>
      </c>
    </row>
    <row r="44" spans="1:63" s="286" customFormat="1" x14ac:dyDescent="0.25">
      <c r="A44" s="249" t="s">
        <v>313</v>
      </c>
      <c r="C44" s="406"/>
      <c r="D44" s="367">
        <v>3000</v>
      </c>
      <c r="E44" s="367">
        <v>3000</v>
      </c>
      <c r="F44" s="367">
        <v>3000</v>
      </c>
      <c r="G44" s="367">
        <v>3000</v>
      </c>
      <c r="H44" s="367">
        <v>3000</v>
      </c>
      <c r="I44" s="367">
        <v>3000</v>
      </c>
      <c r="J44" s="367">
        <v>3000</v>
      </c>
      <c r="K44" s="367">
        <v>3000</v>
      </c>
      <c r="L44" s="367">
        <v>3000</v>
      </c>
      <c r="M44" s="367">
        <v>3000</v>
      </c>
      <c r="N44" s="367">
        <v>3000</v>
      </c>
      <c r="O44" s="367">
        <v>3000</v>
      </c>
      <c r="P44" s="367">
        <v>3000</v>
      </c>
      <c r="Q44" s="367">
        <v>3000</v>
      </c>
      <c r="R44" s="367">
        <v>3000</v>
      </c>
      <c r="S44" s="367">
        <v>3000</v>
      </c>
      <c r="T44" s="367">
        <v>3000</v>
      </c>
      <c r="U44" s="367">
        <v>3000</v>
      </c>
      <c r="V44" s="367">
        <v>3000</v>
      </c>
      <c r="W44" s="367">
        <v>3000</v>
      </c>
      <c r="X44" s="367">
        <v>3000</v>
      </c>
      <c r="Y44" s="367">
        <v>3000</v>
      </c>
      <c r="Z44" s="367">
        <v>3000</v>
      </c>
      <c r="AA44" s="367">
        <v>3000</v>
      </c>
      <c r="AB44" s="367">
        <v>3000</v>
      </c>
      <c r="AC44" s="367">
        <v>3000</v>
      </c>
      <c r="AD44" s="367">
        <v>3000</v>
      </c>
      <c r="AE44" s="268">
        <v>3000</v>
      </c>
      <c r="AF44" s="268">
        <v>3000</v>
      </c>
      <c r="AG44" s="268">
        <v>3000</v>
      </c>
      <c r="AH44" s="268">
        <v>3000</v>
      </c>
      <c r="AI44" s="268">
        <v>3000</v>
      </c>
      <c r="AJ44" s="268">
        <v>3000</v>
      </c>
      <c r="AK44" s="268">
        <v>3000</v>
      </c>
      <c r="AL44" s="268">
        <v>3000</v>
      </c>
      <c r="AM44" s="268">
        <v>3000</v>
      </c>
      <c r="AN44" s="367">
        <v>3000</v>
      </c>
      <c r="AO44" s="367">
        <v>3000</v>
      </c>
      <c r="AP44" s="367">
        <v>3000</v>
      </c>
      <c r="AQ44" s="367">
        <v>3000</v>
      </c>
      <c r="AR44" s="367">
        <v>3000</v>
      </c>
      <c r="AS44" s="367">
        <v>3000</v>
      </c>
      <c r="AT44" s="367">
        <v>3000</v>
      </c>
      <c r="AU44" s="367">
        <v>3000</v>
      </c>
      <c r="AV44" s="367">
        <v>3000</v>
      </c>
      <c r="AW44" s="367">
        <v>3000</v>
      </c>
      <c r="AX44" s="367">
        <v>3000</v>
      </c>
      <c r="AY44" s="367">
        <v>3000</v>
      </c>
      <c r="AZ44" s="367">
        <v>3000</v>
      </c>
      <c r="BA44" s="367">
        <v>3000</v>
      </c>
      <c r="BB44" s="367">
        <v>3000</v>
      </c>
      <c r="BC44" s="367">
        <v>3000</v>
      </c>
      <c r="BD44" s="367">
        <v>3000</v>
      </c>
      <c r="BE44" s="367">
        <v>3000</v>
      </c>
      <c r="BF44" s="367">
        <v>3000</v>
      </c>
      <c r="BG44" s="367">
        <v>3000</v>
      </c>
      <c r="BH44" s="367">
        <v>3000</v>
      </c>
      <c r="BI44" s="367">
        <v>3000</v>
      </c>
      <c r="BJ44" s="367">
        <v>3000</v>
      </c>
      <c r="BK44" s="367">
        <v>3000</v>
      </c>
    </row>
    <row r="45" spans="1:63" s="235" customFormat="1" x14ac:dyDescent="0.25">
      <c r="A45" s="219" t="s">
        <v>174</v>
      </c>
      <c r="B45" s="373"/>
      <c r="C45" s="373"/>
      <c r="D45" s="290">
        <f>'Cost Summary'!C19/('Voice Revenue'!B6+'SMS Revenue'!B6)</f>
        <v>217.72430259722222</v>
      </c>
      <c r="E45" s="290">
        <f>'Cost Summary'!D19/('Voice Revenue'!C6+'SMS Revenue'!C6)</f>
        <v>228.98492859267733</v>
      </c>
      <c r="F45" s="290">
        <f>'Cost Summary'!E19/('Voice Revenue'!D6+'SMS Revenue'!D6)</f>
        <v>223.87941409590408</v>
      </c>
      <c r="G45" s="290">
        <f>'Cost Summary'!F19/('Voice Revenue'!E6+'SMS Revenue'!E6)</f>
        <v>223.15086943434343</v>
      </c>
      <c r="H45" s="290">
        <f>'Cost Summary'!G19/('Voice Revenue'!F6+'SMS Revenue'!F6)</f>
        <v>181.09090387344199</v>
      </c>
      <c r="I45" s="290">
        <f>'Cost Summary'!H19/('Voice Revenue'!G6+'SMS Revenue'!G6)</f>
        <v>265.86750047785546</v>
      </c>
      <c r="J45" s="290">
        <f>'Cost Summary'!I19/('Voice Revenue'!H6+'SMS Revenue'!H6)</f>
        <v>259.15869544270834</v>
      </c>
      <c r="K45" s="290">
        <f>'Cost Summary'!J19/('Voice Revenue'!I6+'SMS Revenue'!I6)</f>
        <v>276.33039892523362</v>
      </c>
      <c r="L45" s="290">
        <f>'Cost Summary'!K18/('Voice Revenue'!J6+'SMS Revenue'!J6)</f>
        <v>185.39264867256637</v>
      </c>
      <c r="M45" s="276">
        <f>'CAC Update'!N17</f>
        <v>136.70248869302014</v>
      </c>
      <c r="N45" s="276">
        <f>'CAC Update'!O17</f>
        <v>255.91712833209294</v>
      </c>
      <c r="O45" s="276">
        <f>'CAC Update'!P17</f>
        <v>872.3064969911469</v>
      </c>
      <c r="P45" s="276">
        <f>'CAC Update'!Q17</f>
        <v>360.63350654936943</v>
      </c>
      <c r="Q45" s="276">
        <f>'CAC Update'!R17</f>
        <v>271.95590213644908</v>
      </c>
      <c r="R45" s="276">
        <f>'CAC Update'!S17</f>
        <v>311.42653363287411</v>
      </c>
      <c r="S45" s="276">
        <f>'CAC Update'!T17</f>
        <v>236.42742627605438</v>
      </c>
      <c r="T45" s="276">
        <f>'CAC Update'!U17</f>
        <v>187.13205402039611</v>
      </c>
      <c r="U45" s="276">
        <f>'CAC Update'!V17</f>
        <v>371.69378135052176</v>
      </c>
      <c r="V45" s="276">
        <f>'CAC Update'!W17</f>
        <v>522.71815649987343</v>
      </c>
      <c r="W45" s="276">
        <f>'CAC Update'!X17</f>
        <v>411.28981262094055</v>
      </c>
      <c r="X45" s="276">
        <f>'CAC Update'!Y17</f>
        <v>271.10197221688696</v>
      </c>
      <c r="Y45" s="276">
        <f>'CAC Update'!Z17</f>
        <v>550.05353260410288</v>
      </c>
      <c r="Z45" s="276">
        <f>'CAC Update'!AA17</f>
        <v>431.82182258307159</v>
      </c>
      <c r="AA45" s="276">
        <f>'CAC Update'!AB17</f>
        <v>374.46315710284711</v>
      </c>
      <c r="AB45" s="276">
        <f>'CAC Update'!AC17</f>
        <v>431.23351527740357</v>
      </c>
      <c r="AC45" s="276">
        <f>'CAC Update'!AD17</f>
        <v>454.62411475946584</v>
      </c>
      <c r="AD45" s="276">
        <f>'CAC Update'!AE17</f>
        <v>420.91291113757131</v>
      </c>
      <c r="AE45" s="276">
        <f>'CAC Update'!AF17</f>
        <v>547.60701988459869</v>
      </c>
      <c r="AF45" s="276">
        <f>'CAC Update'!AG17</f>
        <v>541.887930137593</v>
      </c>
      <c r="AG45" s="276">
        <f>'CAC Update'!AH17</f>
        <v>614.63737528093122</v>
      </c>
      <c r="AH45" s="276">
        <f>'CAC Update'!AI17</f>
        <v>666.80539118674801</v>
      </c>
      <c r="AI45" s="276">
        <f>'CAC Update'!AJ17</f>
        <v>701.8388181709231</v>
      </c>
      <c r="AJ45" s="276">
        <f>'CAC Update'!AK17</f>
        <v>704.53130691684123</v>
      </c>
      <c r="AK45" s="276">
        <f>'CAC Update'!AL17</f>
        <v>464.98893964768308</v>
      </c>
      <c r="AL45" s="276">
        <f>'CAC Update'!AM17</f>
        <v>466.51754424609385</v>
      </c>
      <c r="AM45" s="276">
        <f>'CAC Update'!AN17</f>
        <v>467.88449689481536</v>
      </c>
      <c r="AN45" s="276">
        <f>'CAC Update'!AO17</f>
        <v>525.23456778714899</v>
      </c>
      <c r="AO45" s="276">
        <f>'CAC Update'!AP17</f>
        <v>488.56201793219202</v>
      </c>
      <c r="AP45" s="276">
        <f>'CAC Update'!AQ17</f>
        <v>487.16344306688444</v>
      </c>
      <c r="AQ45" s="276">
        <f>'CAC Update'!AR17</f>
        <v>489.14269335957141</v>
      </c>
      <c r="AR45" s="276">
        <f>'CAC Update'!AS17</f>
        <v>490.91446432915382</v>
      </c>
      <c r="AS45" s="276">
        <f>'CAC Update'!AT17</f>
        <v>492.6364148931878</v>
      </c>
      <c r="AT45" s="276">
        <f>'CAC Update'!AU17</f>
        <v>494.37230656404711</v>
      </c>
      <c r="AU45" s="276">
        <f>'CAC Update'!AV17</f>
        <v>496.12820777391488</v>
      </c>
      <c r="AV45" s="276">
        <f>'CAC Update'!AW17</f>
        <v>497.88396697831445</v>
      </c>
      <c r="AW45" s="276">
        <f>'CAC Update'!AX17</f>
        <v>499.63431646634609</v>
      </c>
      <c r="AX45" s="276">
        <f>'CAC Update'!AY17</f>
        <v>501.41781933125935</v>
      </c>
      <c r="AY45" s="276">
        <f>'CAC Update'!AZ17</f>
        <v>503.22355754255886</v>
      </c>
      <c r="AZ45" s="276" t="e">
        <f>'CAC Update'!BA17</f>
        <v>#VALUE!</v>
      </c>
      <c r="BA45" s="276" t="e">
        <f>'CAC Update'!BB17</f>
        <v>#VALUE!</v>
      </c>
      <c r="BB45" s="276" t="e">
        <f>'CAC Update'!BC17</f>
        <v>#VALUE!</v>
      </c>
      <c r="BC45" s="276" t="e">
        <f>'CAC Update'!BD17</f>
        <v>#VALUE!</v>
      </c>
      <c r="BD45" s="276" t="e">
        <f>'CAC Update'!BE17</f>
        <v>#VALUE!</v>
      </c>
      <c r="BE45" s="276" t="e">
        <f>'CAC Update'!BF17</f>
        <v>#VALUE!</v>
      </c>
      <c r="BF45" s="276" t="e">
        <f>'CAC Update'!BG17</f>
        <v>#VALUE!</v>
      </c>
      <c r="BG45" s="276" t="e">
        <f>'CAC Update'!BH17</f>
        <v>#VALUE!</v>
      </c>
      <c r="BH45" s="276" t="e">
        <f>'CAC Update'!BI17</f>
        <v>#VALUE!</v>
      </c>
      <c r="BI45" s="276" t="e">
        <f>'CAC Update'!BJ17</f>
        <v>#VALUE!</v>
      </c>
      <c r="BJ45" s="276" t="e">
        <f>'CAC Update'!BK17</f>
        <v>#VALUE!</v>
      </c>
      <c r="BK45" s="276" t="e">
        <f>'CAC Update'!BL17</f>
        <v>#VALUE!</v>
      </c>
    </row>
    <row r="46" spans="1:63" s="406" customFormat="1" x14ac:dyDescent="0.25">
      <c r="A46" s="219" t="s">
        <v>447</v>
      </c>
      <c r="B46" s="373" t="s">
        <v>492</v>
      </c>
      <c r="C46" s="373"/>
      <c r="D46" s="423">
        <v>66955.239999999991</v>
      </c>
      <c r="E46" s="423">
        <v>117273.04000000001</v>
      </c>
      <c r="F46" s="423">
        <v>111961.93</v>
      </c>
      <c r="G46" s="423">
        <v>140068.5</v>
      </c>
      <c r="H46" s="423">
        <v>96064.320000000007</v>
      </c>
      <c r="I46" s="423">
        <v>100778.07</v>
      </c>
      <c r="J46" s="423">
        <v>97579.95</v>
      </c>
      <c r="K46" s="423">
        <v>97200.08</v>
      </c>
      <c r="L46" s="423">
        <v>116000</v>
      </c>
      <c r="M46" s="421">
        <f>'CAC Update'!N9</f>
        <v>156742.78</v>
      </c>
      <c r="N46" s="421">
        <f>'CAC Update'!O9</f>
        <v>88581.16</v>
      </c>
      <c r="O46" s="421">
        <f>'CAC Update'!P9</f>
        <v>60219.11</v>
      </c>
      <c r="P46" s="421">
        <f>'CAC Update'!Q9</f>
        <v>253256.75</v>
      </c>
      <c r="Q46" s="421">
        <f>'CAC Update'!R9</f>
        <v>176428.62999999998</v>
      </c>
      <c r="R46" s="421">
        <f>'CAC Update'!S9</f>
        <v>245214.31</v>
      </c>
      <c r="S46" s="421">
        <f>'CAC Update'!T9</f>
        <v>235310.52000000002</v>
      </c>
      <c r="T46" s="421">
        <f>'CAC Update'!U9</f>
        <v>270919.63</v>
      </c>
      <c r="U46" s="421">
        <f>'CAC Update'!V9</f>
        <v>441594.77</v>
      </c>
      <c r="V46" s="421">
        <f>'CAC Update'!W9</f>
        <v>690294.7</v>
      </c>
      <c r="W46" s="421">
        <f>'CAC Update'!X9</f>
        <v>648530.91</v>
      </c>
      <c r="X46" s="421">
        <f>'CAC Update'!Y9</f>
        <v>424936.93</v>
      </c>
      <c r="Y46" s="421">
        <f>'CAC Update'!Z9</f>
        <v>380685.58</v>
      </c>
      <c r="Z46" s="421">
        <f>'CAC Update'!AA9</f>
        <v>414441.6</v>
      </c>
      <c r="AA46" s="421">
        <f>'CAC Update'!AB9</f>
        <v>336322.19</v>
      </c>
      <c r="AB46" s="421">
        <f>'CAC Update'!AC9</f>
        <v>315411.66000000003</v>
      </c>
      <c r="AC46" s="421">
        <f>'CAC Update'!AD9</f>
        <v>313464.46000000002</v>
      </c>
      <c r="AD46" s="421">
        <f>'CAC Update'!AE9</f>
        <v>511447.38</v>
      </c>
      <c r="AE46" s="421">
        <f>'CAC Update'!AF9</f>
        <v>565000</v>
      </c>
      <c r="AF46" s="421">
        <f>'CAC Update'!AG9</f>
        <v>570000</v>
      </c>
      <c r="AG46" s="421">
        <f>'CAC Update'!AH9</f>
        <v>500000</v>
      </c>
      <c r="AH46" s="421">
        <f>'CAC Update'!AI9</f>
        <v>450000</v>
      </c>
      <c r="AI46" s="421">
        <f>'CAC Update'!AJ9</f>
        <v>400000</v>
      </c>
      <c r="AJ46" s="421">
        <f>'CAC Update'!AK9</f>
        <v>400000</v>
      </c>
      <c r="AK46" s="421">
        <f>'CAC Update'!AL9</f>
        <v>369675</v>
      </c>
      <c r="AL46" s="421">
        <f>'CAC Update'!AM9</f>
        <v>369675</v>
      </c>
      <c r="AM46" s="421">
        <f>'CAC Update'!AN9</f>
        <v>369675</v>
      </c>
      <c r="AN46" s="421">
        <f>'CAC Update'!AO9</f>
        <v>400000</v>
      </c>
      <c r="AO46" s="421">
        <f>'CAC Update'!AP9</f>
        <v>400000</v>
      </c>
      <c r="AP46" s="421">
        <f>'CAC Update'!AQ9</f>
        <v>400000</v>
      </c>
      <c r="AQ46" s="421">
        <f>'CAC Update'!AR9</f>
        <v>400000</v>
      </c>
      <c r="AR46" s="421">
        <f>'CAC Update'!AS9</f>
        <v>400000</v>
      </c>
      <c r="AS46" s="421">
        <f>'CAC Update'!AT9</f>
        <v>400000</v>
      </c>
      <c r="AT46" s="421">
        <f>'CAC Update'!AU9</f>
        <v>400000</v>
      </c>
      <c r="AU46" s="421">
        <f>'CAC Update'!AV9</f>
        <v>400000</v>
      </c>
      <c r="AV46" s="421">
        <f>'CAC Update'!AW9</f>
        <v>400000</v>
      </c>
      <c r="AW46" s="421">
        <f>'CAC Update'!AX9</f>
        <v>400000</v>
      </c>
      <c r="AX46" s="421">
        <f>'CAC Update'!AY9</f>
        <v>400000</v>
      </c>
      <c r="AY46" s="421">
        <f>'CAC Update'!AZ9</f>
        <v>400000</v>
      </c>
      <c r="AZ46" s="421">
        <f>'CAC Update'!BA9</f>
        <v>400000</v>
      </c>
      <c r="BA46" s="421">
        <f>'CAC Update'!BB9</f>
        <v>400000</v>
      </c>
      <c r="BB46" s="421">
        <f>'CAC Update'!BC9</f>
        <v>400000</v>
      </c>
      <c r="BC46" s="421">
        <f>'CAC Update'!BD9</f>
        <v>400000</v>
      </c>
      <c r="BD46" s="421">
        <f>'CAC Update'!BE9</f>
        <v>400000</v>
      </c>
      <c r="BE46" s="421">
        <f>'CAC Update'!BF9</f>
        <v>400000</v>
      </c>
      <c r="BF46" s="421">
        <f>'CAC Update'!BG9</f>
        <v>400000</v>
      </c>
      <c r="BG46" s="421">
        <f>'CAC Update'!BH9</f>
        <v>400000</v>
      </c>
      <c r="BH46" s="421">
        <f>'CAC Update'!BI9</f>
        <v>400000</v>
      </c>
      <c r="BI46" s="421">
        <f>'CAC Update'!BJ9</f>
        <v>400000</v>
      </c>
      <c r="BJ46" s="421">
        <f>'CAC Update'!BK9</f>
        <v>400000</v>
      </c>
      <c r="BK46" s="421">
        <f>'CAC Update'!BL9</f>
        <v>400000</v>
      </c>
    </row>
    <row r="47" spans="1:63" x14ac:dyDescent="0.25">
      <c r="A47" s="219" t="s">
        <v>212</v>
      </c>
      <c r="B47">
        <v>6</v>
      </c>
      <c r="P47" s="307"/>
      <c r="AN47" s="570"/>
      <c r="AO47" s="570"/>
      <c r="AP47" s="570"/>
      <c r="AQ47" s="570"/>
      <c r="AR47" s="570"/>
      <c r="AS47" s="570"/>
      <c r="AT47" s="570"/>
      <c r="AU47" s="570"/>
      <c r="AV47" s="570"/>
      <c r="AW47" s="570"/>
      <c r="AX47" s="570"/>
      <c r="AY47" s="570"/>
      <c r="AZ47" s="570"/>
      <c r="BA47" s="570"/>
      <c r="BB47" s="570"/>
      <c r="BC47" s="570"/>
      <c r="BD47" s="570"/>
      <c r="BE47" s="570"/>
      <c r="BF47" s="570"/>
      <c r="BG47" s="570"/>
      <c r="BH47" s="570"/>
      <c r="BI47" s="570"/>
      <c r="BJ47" s="570"/>
      <c r="BK47" s="570"/>
    </row>
    <row r="48" spans="1:63" s="235" customFormat="1" x14ac:dyDescent="0.25">
      <c r="A48" s="219" t="s">
        <v>213</v>
      </c>
      <c r="B48" s="235">
        <v>60</v>
      </c>
      <c r="C48" s="406"/>
      <c r="AN48" s="570"/>
      <c r="AO48" s="570"/>
      <c r="AP48" s="570"/>
      <c r="AQ48" s="570"/>
      <c r="AR48" s="570"/>
      <c r="AS48" s="570"/>
      <c r="AT48" s="570"/>
      <c r="AU48" s="570"/>
      <c r="AV48" s="570"/>
      <c r="AW48" s="570"/>
      <c r="AX48" s="570"/>
      <c r="AY48" s="570"/>
      <c r="AZ48" s="570"/>
      <c r="BA48" s="570"/>
      <c r="BB48" s="570"/>
      <c r="BC48" s="570"/>
      <c r="BD48" s="570"/>
      <c r="BE48" s="570"/>
      <c r="BF48" s="570"/>
      <c r="BG48" s="570"/>
      <c r="BH48" s="570"/>
      <c r="BI48" s="570"/>
      <c r="BJ48" s="570"/>
      <c r="BK48" s="570"/>
    </row>
    <row r="49" spans="1:64" s="235" customFormat="1" x14ac:dyDescent="0.25">
      <c r="A49" s="219" t="s">
        <v>214</v>
      </c>
      <c r="B49" s="235">
        <v>5</v>
      </c>
      <c r="C49" s="406"/>
      <c r="AN49" s="570"/>
      <c r="AO49" s="570"/>
      <c r="AP49" s="570"/>
      <c r="AQ49" s="570"/>
      <c r="AR49" s="570"/>
      <c r="AS49" s="570"/>
      <c r="AT49" s="570"/>
      <c r="AU49" s="570"/>
      <c r="AV49" s="570"/>
      <c r="AW49" s="570"/>
      <c r="AX49" s="570"/>
      <c r="AY49" s="570"/>
      <c r="AZ49" s="570"/>
      <c r="BA49" s="570"/>
      <c r="BB49" s="570"/>
      <c r="BC49" s="570"/>
      <c r="BD49" s="570"/>
      <c r="BE49" s="570"/>
      <c r="BF49" s="570"/>
      <c r="BG49" s="570"/>
      <c r="BH49" s="570"/>
      <c r="BI49" s="570"/>
      <c r="BJ49" s="570"/>
      <c r="BK49" s="570"/>
    </row>
    <row r="50" spans="1:64" s="235" customFormat="1" x14ac:dyDescent="0.25">
      <c r="A50" s="219" t="s">
        <v>215</v>
      </c>
      <c r="B50" s="224">
        <v>122292</v>
      </c>
      <c r="C50" s="307"/>
      <c r="AN50" s="570"/>
      <c r="AO50" s="570"/>
      <c r="AP50" s="570"/>
      <c r="AQ50" s="570"/>
      <c r="AR50" s="570"/>
      <c r="AS50" s="570"/>
      <c r="AT50" s="570"/>
      <c r="AU50" s="570"/>
      <c r="AV50" s="570"/>
      <c r="AW50" s="570"/>
      <c r="AX50" s="570"/>
      <c r="AY50" s="570"/>
      <c r="AZ50" s="570"/>
      <c r="BA50" s="570"/>
      <c r="BB50" s="570"/>
      <c r="BC50" s="570"/>
      <c r="BD50" s="570"/>
      <c r="BE50" s="570"/>
      <c r="BF50" s="570"/>
      <c r="BG50" s="570"/>
      <c r="BH50" s="570"/>
      <c r="BI50" s="570"/>
      <c r="BJ50" s="570"/>
      <c r="BK50" s="570"/>
    </row>
    <row r="51" spans="1:64" s="235" customFormat="1" x14ac:dyDescent="0.25">
      <c r="A51" s="219" t="s">
        <v>217</v>
      </c>
      <c r="B51" s="224">
        <f>B50*145%</f>
        <v>177323.4</v>
      </c>
      <c r="C51" s="307"/>
      <c r="AN51" s="570"/>
      <c r="AO51" s="570"/>
      <c r="AP51" s="570"/>
      <c r="AQ51" s="570"/>
      <c r="AR51" s="570"/>
      <c r="AS51" s="570"/>
      <c r="AT51" s="570"/>
      <c r="AU51" s="570"/>
      <c r="AV51" s="570"/>
      <c r="AW51" s="570"/>
      <c r="AX51" s="570"/>
      <c r="AY51" s="570"/>
      <c r="AZ51" s="570"/>
      <c r="BA51" s="570"/>
      <c r="BB51" s="570"/>
      <c r="BC51" s="570"/>
      <c r="BD51" s="570"/>
      <c r="BE51" s="570"/>
      <c r="BF51" s="570"/>
      <c r="BG51" s="570"/>
      <c r="BH51" s="570"/>
      <c r="BI51" s="570"/>
      <c r="BJ51" s="570"/>
      <c r="BK51" s="570"/>
    </row>
    <row r="52" spans="1:64" s="235" customFormat="1" x14ac:dyDescent="0.25">
      <c r="A52" s="219" t="s">
        <v>285</v>
      </c>
      <c r="B52" s="61">
        <v>0.05</v>
      </c>
      <c r="C52" s="61"/>
      <c r="AN52" s="570"/>
      <c r="AO52" s="570"/>
      <c r="AP52" s="570"/>
      <c r="AQ52" s="570"/>
      <c r="AR52" s="570"/>
      <c r="AS52" s="570"/>
      <c r="AT52" s="570"/>
      <c r="AU52" s="570"/>
      <c r="AV52" s="570"/>
      <c r="AW52" s="570"/>
      <c r="AX52" s="570"/>
      <c r="AY52" s="570"/>
      <c r="AZ52" s="570"/>
      <c r="BA52" s="570"/>
      <c r="BB52" s="570"/>
      <c r="BC52" s="570"/>
      <c r="BD52" s="570"/>
      <c r="BE52" s="570"/>
      <c r="BF52" s="570"/>
      <c r="BG52" s="570"/>
      <c r="BH52" s="570"/>
      <c r="BI52" s="570"/>
      <c r="BJ52" s="570"/>
      <c r="BK52" s="570"/>
    </row>
    <row r="53" spans="1:64" s="304" customFormat="1" x14ac:dyDescent="0.25">
      <c r="A53" s="219" t="s">
        <v>450</v>
      </c>
      <c r="B53" s="368">
        <v>0.64</v>
      </c>
      <c r="C53" s="373"/>
      <c r="D53" s="228">
        <f>100%-B53</f>
        <v>0.36</v>
      </c>
      <c r="AN53" s="570"/>
      <c r="AO53" s="570"/>
      <c r="AP53" s="570"/>
      <c r="AQ53" s="570"/>
      <c r="AR53" s="570"/>
      <c r="AS53" s="570"/>
      <c r="AT53" s="570"/>
      <c r="AU53" s="570"/>
      <c r="AV53" s="570"/>
      <c r="AW53" s="570"/>
      <c r="AX53" s="570"/>
      <c r="AY53" s="570"/>
      <c r="AZ53" s="570"/>
      <c r="BA53" s="570"/>
      <c r="BB53" s="570"/>
      <c r="BC53" s="570"/>
      <c r="BD53" s="570"/>
      <c r="BE53" s="570"/>
      <c r="BF53" s="570"/>
      <c r="BG53" s="570"/>
      <c r="BH53" s="570"/>
      <c r="BI53" s="570"/>
      <c r="BJ53" s="570"/>
      <c r="BK53" s="570"/>
    </row>
    <row r="54" spans="1:64" x14ac:dyDescent="0.25">
      <c r="A54" s="219" t="s">
        <v>474</v>
      </c>
      <c r="B54">
        <v>1.89</v>
      </c>
      <c r="AN54" s="570"/>
      <c r="AO54" s="570"/>
      <c r="AP54" s="570"/>
      <c r="AQ54" s="570"/>
      <c r="AR54" s="570"/>
      <c r="AS54" s="570"/>
      <c r="AT54" s="570"/>
      <c r="AU54" s="570"/>
      <c r="AV54" s="570"/>
      <c r="AW54" s="570"/>
      <c r="AX54" s="570"/>
      <c r="AY54" s="570"/>
      <c r="AZ54" s="570"/>
      <c r="BA54" s="570"/>
      <c r="BB54" s="570"/>
      <c r="BC54" s="570"/>
      <c r="BD54" s="570"/>
      <c r="BE54" s="570"/>
      <c r="BF54" s="570"/>
      <c r="BG54" s="570"/>
      <c r="BH54" s="570"/>
      <c r="BI54" s="570"/>
      <c r="BJ54" s="570"/>
      <c r="BK54" s="570"/>
    </row>
    <row r="55" spans="1:64" x14ac:dyDescent="0.25">
      <c r="A55" s="219" t="s">
        <v>475</v>
      </c>
      <c r="B55" s="373" t="s">
        <v>492</v>
      </c>
      <c r="C55" s="373"/>
      <c r="H55" s="220"/>
      <c r="P55" s="276">
        <f>IF($B$55="Low",INDEX(P112:AP112,0,0),IF($B$55="Target-Base",INDEX(P111:AP111,0,0),IF($B$55="Medium",INDEX(P110:AP110,0,0),IF($B$55="High",INDEX(P109:AP109,0,0),INDEX(P108:AP108,0,0)))))</f>
        <v>59</v>
      </c>
      <c r="Q55" s="276">
        <v>71</v>
      </c>
      <c r="R55" s="276">
        <f t="shared" ref="R55:BK55" si="26">IF($B$55="Low",INDEX(R112:AR112,0,0),IF($B$55="Target-Base",INDEX(R111:AR111,0,0),IF($B$55="Medium",INDEX(R110:AR110,0,0),IF($B$55="High",INDEX(R109:AR109,0,0),INDEX(R108:AR108,0,0)))))</f>
        <v>59</v>
      </c>
      <c r="S55" s="276">
        <f t="shared" si="26"/>
        <v>59</v>
      </c>
      <c r="T55" s="276">
        <f t="shared" si="26"/>
        <v>59</v>
      </c>
      <c r="U55" s="276">
        <f t="shared" si="26"/>
        <v>59</v>
      </c>
      <c r="V55" s="276">
        <f t="shared" si="26"/>
        <v>59</v>
      </c>
      <c r="W55" s="276">
        <f t="shared" si="26"/>
        <v>59</v>
      </c>
      <c r="X55" s="276">
        <f t="shared" si="26"/>
        <v>59</v>
      </c>
      <c r="Y55" s="276">
        <f t="shared" si="26"/>
        <v>59</v>
      </c>
      <c r="Z55" s="276">
        <f t="shared" si="26"/>
        <v>59</v>
      </c>
      <c r="AA55" s="276">
        <f t="shared" si="26"/>
        <v>59</v>
      </c>
      <c r="AB55" s="276">
        <f t="shared" si="26"/>
        <v>59</v>
      </c>
      <c r="AC55" s="276">
        <f t="shared" si="26"/>
        <v>59</v>
      </c>
      <c r="AD55" s="276">
        <f t="shared" si="26"/>
        <v>59</v>
      </c>
      <c r="AE55" s="276">
        <f t="shared" si="26"/>
        <v>59</v>
      </c>
      <c r="AF55" s="276">
        <f t="shared" si="26"/>
        <v>59</v>
      </c>
      <c r="AG55" s="276">
        <f t="shared" si="26"/>
        <v>59</v>
      </c>
      <c r="AH55" s="276">
        <f t="shared" si="26"/>
        <v>59</v>
      </c>
      <c r="AI55" s="276">
        <f t="shared" si="26"/>
        <v>59</v>
      </c>
      <c r="AJ55" s="276">
        <f t="shared" si="26"/>
        <v>59</v>
      </c>
      <c r="AK55" s="276">
        <f t="shared" si="26"/>
        <v>59</v>
      </c>
      <c r="AL55" s="276">
        <f t="shared" si="26"/>
        <v>59</v>
      </c>
      <c r="AM55" s="276">
        <f t="shared" si="26"/>
        <v>59</v>
      </c>
      <c r="AN55" s="276">
        <f t="shared" si="26"/>
        <v>59</v>
      </c>
      <c r="AO55" s="276">
        <f t="shared" si="26"/>
        <v>59</v>
      </c>
      <c r="AP55" s="276">
        <f t="shared" si="26"/>
        <v>59</v>
      </c>
      <c r="AQ55" s="276">
        <f t="shared" si="26"/>
        <v>59</v>
      </c>
      <c r="AR55" s="276">
        <f t="shared" si="26"/>
        <v>59</v>
      </c>
      <c r="AS55" s="276">
        <f t="shared" si="26"/>
        <v>59</v>
      </c>
      <c r="AT55" s="276">
        <f t="shared" si="26"/>
        <v>59</v>
      </c>
      <c r="AU55" s="276">
        <f t="shared" si="26"/>
        <v>59</v>
      </c>
      <c r="AV55" s="276">
        <f t="shared" si="26"/>
        <v>59</v>
      </c>
      <c r="AW55" s="276">
        <f t="shared" si="26"/>
        <v>59</v>
      </c>
      <c r="AX55" s="276">
        <f t="shared" si="26"/>
        <v>59</v>
      </c>
      <c r="AY55" s="276">
        <f t="shared" si="26"/>
        <v>59</v>
      </c>
      <c r="AZ55" s="276">
        <f t="shared" si="26"/>
        <v>59</v>
      </c>
      <c r="BA55" s="276">
        <f t="shared" si="26"/>
        <v>59</v>
      </c>
      <c r="BB55" s="276">
        <f t="shared" si="26"/>
        <v>59</v>
      </c>
      <c r="BC55" s="276">
        <f t="shared" si="26"/>
        <v>59</v>
      </c>
      <c r="BD55" s="276">
        <f t="shared" si="26"/>
        <v>59</v>
      </c>
      <c r="BE55" s="276">
        <f t="shared" si="26"/>
        <v>59</v>
      </c>
      <c r="BF55" s="276">
        <f t="shared" si="26"/>
        <v>59</v>
      </c>
      <c r="BG55" s="276">
        <f t="shared" si="26"/>
        <v>59</v>
      </c>
      <c r="BH55" s="276">
        <f t="shared" si="26"/>
        <v>59</v>
      </c>
      <c r="BI55" s="276">
        <f t="shared" si="26"/>
        <v>59</v>
      </c>
      <c r="BJ55" s="276">
        <f t="shared" si="26"/>
        <v>59</v>
      </c>
      <c r="BK55" s="276">
        <f t="shared" si="26"/>
        <v>59</v>
      </c>
    </row>
    <row r="56" spans="1:64" s="570" customFormat="1" x14ac:dyDescent="0.25">
      <c r="A56" s="219" t="s">
        <v>811</v>
      </c>
      <c r="B56" s="570">
        <v>2.0299999999999998</v>
      </c>
      <c r="I56" s="288"/>
      <c r="Q56" s="276"/>
      <c r="R56" s="276"/>
      <c r="S56" s="276"/>
      <c r="T56" s="276"/>
      <c r="U56" s="276"/>
      <c r="V56" s="276"/>
      <c r="W56" s="276"/>
      <c r="X56" s="276"/>
      <c r="Y56" s="276"/>
      <c r="Z56" s="276"/>
      <c r="AA56" s="276"/>
      <c r="AB56" s="276"/>
      <c r="AC56" s="276"/>
      <c r="AD56" s="276"/>
      <c r="AE56" s="276"/>
      <c r="AF56" s="276"/>
      <c r="AG56" s="276"/>
      <c r="AH56" s="276"/>
      <c r="AI56" s="276"/>
      <c r="AJ56" s="276"/>
      <c r="AK56" s="276"/>
      <c r="AL56" s="276"/>
      <c r="AM56" s="276"/>
      <c r="AN56" s="276"/>
      <c r="AO56" s="276"/>
      <c r="AP56" s="276"/>
      <c r="AQ56" s="276"/>
      <c r="AR56" s="276"/>
      <c r="AS56" s="276"/>
      <c r="AT56" s="276"/>
      <c r="AU56" s="276"/>
      <c r="AV56" s="276"/>
      <c r="AW56" s="276"/>
      <c r="AX56" s="276"/>
      <c r="AY56" s="276"/>
      <c r="AZ56" s="276"/>
      <c r="BA56" s="276"/>
      <c r="BB56" s="276"/>
      <c r="BC56" s="276"/>
      <c r="BD56" s="276"/>
      <c r="BE56" s="276"/>
      <c r="BF56" s="276"/>
      <c r="BG56" s="276"/>
      <c r="BH56" s="276"/>
      <c r="BI56" s="276"/>
      <c r="BJ56" s="276"/>
      <c r="BK56" s="276"/>
      <c r="BL56" s="276"/>
    </row>
    <row r="57" spans="1:64" s="570" customFormat="1" x14ac:dyDescent="0.25">
      <c r="A57" s="219" t="s">
        <v>808</v>
      </c>
      <c r="B57" s="373" t="s">
        <v>492</v>
      </c>
      <c r="C57" s="373"/>
      <c r="I57" s="288"/>
      <c r="P57" s="276">
        <f>IF($B$57="Low",INDEX(P118:AP118,0,0),IF($B$57="Target-Base",INDEX(P117:AP117,0,0),IF($B$57="Medium",INDEX(P116:AP116,0,0),IF($B$57="High",INDEX(P115:AP115,0,0),INDEX(P114:AP114,0,0)))))</f>
        <v>81</v>
      </c>
      <c r="Q57" s="276">
        <f t="shared" ref="Q57:BK57" si="27">IF($B$57="Low",INDEX(Q118:AQ118,0,0),IF($B$57="Target-Base",INDEX(Q117:AQ117,0,0),IF($B$57="Medium",INDEX(Q116:AQ116,0,0),IF($B$57="High",INDEX(Q115:AQ115,0,0),INDEX(Q114:AQ114,0,0)))))</f>
        <v>81</v>
      </c>
      <c r="R57" s="276">
        <f t="shared" si="27"/>
        <v>81</v>
      </c>
      <c r="S57" s="276">
        <f t="shared" si="27"/>
        <v>81</v>
      </c>
      <c r="T57" s="276">
        <f t="shared" si="27"/>
        <v>81</v>
      </c>
      <c r="U57" s="276">
        <f t="shared" si="27"/>
        <v>81</v>
      </c>
      <c r="V57" s="276">
        <f t="shared" si="27"/>
        <v>81</v>
      </c>
      <c r="W57" s="276">
        <f t="shared" si="27"/>
        <v>81</v>
      </c>
      <c r="X57" s="276">
        <f t="shared" si="27"/>
        <v>81</v>
      </c>
      <c r="Y57" s="276">
        <f t="shared" si="27"/>
        <v>81</v>
      </c>
      <c r="Z57" s="276">
        <f t="shared" si="27"/>
        <v>81</v>
      </c>
      <c r="AA57" s="276">
        <f t="shared" si="27"/>
        <v>81</v>
      </c>
      <c r="AB57" s="276">
        <f t="shared" si="27"/>
        <v>81</v>
      </c>
      <c r="AC57" s="276">
        <f t="shared" si="27"/>
        <v>81</v>
      </c>
      <c r="AD57" s="276">
        <f t="shared" si="27"/>
        <v>81</v>
      </c>
      <c r="AE57" s="276">
        <f t="shared" si="27"/>
        <v>81</v>
      </c>
      <c r="AF57" s="276">
        <f t="shared" si="27"/>
        <v>81</v>
      </c>
      <c r="AG57" s="276">
        <f t="shared" si="27"/>
        <v>81</v>
      </c>
      <c r="AH57" s="276">
        <f t="shared" si="27"/>
        <v>81</v>
      </c>
      <c r="AI57" s="276">
        <f t="shared" si="27"/>
        <v>81</v>
      </c>
      <c r="AJ57" s="276">
        <f t="shared" si="27"/>
        <v>81</v>
      </c>
      <c r="AK57" s="276">
        <f t="shared" si="27"/>
        <v>81</v>
      </c>
      <c r="AL57" s="276">
        <f t="shared" si="27"/>
        <v>81</v>
      </c>
      <c r="AM57" s="276">
        <f t="shared" si="27"/>
        <v>81</v>
      </c>
      <c r="AN57" s="276">
        <f t="shared" si="27"/>
        <v>81</v>
      </c>
      <c r="AO57" s="276">
        <f t="shared" si="27"/>
        <v>81</v>
      </c>
      <c r="AP57" s="276">
        <f t="shared" si="27"/>
        <v>81</v>
      </c>
      <c r="AQ57" s="276">
        <f t="shared" si="27"/>
        <v>81</v>
      </c>
      <c r="AR57" s="276">
        <f t="shared" si="27"/>
        <v>81</v>
      </c>
      <c r="AS57" s="276">
        <f t="shared" si="27"/>
        <v>81</v>
      </c>
      <c r="AT57" s="276">
        <f t="shared" si="27"/>
        <v>81</v>
      </c>
      <c r="AU57" s="276">
        <f t="shared" si="27"/>
        <v>81</v>
      </c>
      <c r="AV57" s="276">
        <f t="shared" si="27"/>
        <v>81</v>
      </c>
      <c r="AW57" s="276">
        <f t="shared" si="27"/>
        <v>81</v>
      </c>
      <c r="AX57" s="276">
        <f t="shared" si="27"/>
        <v>81</v>
      </c>
      <c r="AY57" s="276">
        <f t="shared" si="27"/>
        <v>81</v>
      </c>
      <c r="AZ57" s="276">
        <f t="shared" si="27"/>
        <v>81</v>
      </c>
      <c r="BA57" s="276">
        <f t="shared" si="27"/>
        <v>81</v>
      </c>
      <c r="BB57" s="276">
        <f t="shared" si="27"/>
        <v>81</v>
      </c>
      <c r="BC57" s="276">
        <f t="shared" si="27"/>
        <v>81</v>
      </c>
      <c r="BD57" s="276">
        <f t="shared" si="27"/>
        <v>81</v>
      </c>
      <c r="BE57" s="276">
        <f t="shared" si="27"/>
        <v>81</v>
      </c>
      <c r="BF57" s="276">
        <f t="shared" si="27"/>
        <v>81</v>
      </c>
      <c r="BG57" s="276">
        <f t="shared" si="27"/>
        <v>81</v>
      </c>
      <c r="BH57" s="276">
        <f t="shared" si="27"/>
        <v>81</v>
      </c>
      <c r="BI57" s="276">
        <f t="shared" si="27"/>
        <v>81</v>
      </c>
      <c r="BJ57" s="276">
        <f t="shared" si="27"/>
        <v>81</v>
      </c>
      <c r="BK57" s="276">
        <f t="shared" si="27"/>
        <v>81</v>
      </c>
      <c r="BL57" s="276"/>
    </row>
    <row r="58" spans="1:64" s="570" customFormat="1" x14ac:dyDescent="0.25">
      <c r="A58" s="219" t="s">
        <v>809</v>
      </c>
      <c r="B58" s="61">
        <v>0.33</v>
      </c>
      <c r="I58" s="288"/>
      <c r="P58" s="276"/>
      <c r="Q58" s="276"/>
      <c r="R58" s="276"/>
      <c r="S58" s="276"/>
      <c r="T58" s="276"/>
      <c r="U58" s="276"/>
      <c r="V58" s="276"/>
      <c r="W58" s="276"/>
      <c r="X58" s="276"/>
      <c r="Y58" s="276"/>
      <c r="Z58" s="276"/>
      <c r="AA58" s="276"/>
      <c r="AB58" s="276"/>
      <c r="AC58" s="276"/>
      <c r="AD58" s="276"/>
      <c r="AE58" s="276"/>
      <c r="AF58" s="276"/>
      <c r="AG58" s="276"/>
      <c r="AH58" s="276"/>
      <c r="AI58" s="276"/>
      <c r="AJ58" s="276"/>
      <c r="AK58" s="276"/>
      <c r="AL58" s="276"/>
      <c r="AM58" s="276"/>
      <c r="AN58" s="276"/>
      <c r="AO58" s="276"/>
      <c r="AP58" s="276"/>
      <c r="AQ58" s="276"/>
      <c r="AR58" s="276"/>
      <c r="AS58" s="276"/>
      <c r="AT58" s="276"/>
      <c r="AU58" s="276"/>
      <c r="AV58" s="276"/>
      <c r="AW58" s="276"/>
      <c r="AX58" s="276"/>
      <c r="AY58" s="276"/>
      <c r="AZ58" s="276"/>
      <c r="BA58" s="276"/>
      <c r="BB58" s="276"/>
      <c r="BC58" s="276"/>
      <c r="BD58" s="276"/>
      <c r="BE58" s="276"/>
      <c r="BF58" s="276"/>
      <c r="BG58" s="276"/>
      <c r="BH58" s="276"/>
      <c r="BI58" s="276"/>
      <c r="BJ58" s="276"/>
      <c r="BK58" s="276"/>
      <c r="BL58" s="276"/>
    </row>
    <row r="59" spans="1:64" s="570" customFormat="1" x14ac:dyDescent="0.25">
      <c r="A59" s="219" t="s">
        <v>812</v>
      </c>
      <c r="B59" s="61">
        <f>1-B58</f>
        <v>0.66999999999999993</v>
      </c>
      <c r="I59" s="288"/>
      <c r="P59" s="276"/>
      <c r="Q59" s="276"/>
      <c r="R59" s="276"/>
      <c r="S59" s="276"/>
      <c r="T59" s="276"/>
      <c r="U59" s="276"/>
      <c r="V59" s="276"/>
      <c r="W59" s="276"/>
      <c r="X59" s="276"/>
      <c r="Y59" s="276"/>
      <c r="Z59" s="276"/>
      <c r="AA59" s="276"/>
      <c r="AB59" s="276"/>
      <c r="AC59" s="276"/>
      <c r="AD59" s="276"/>
      <c r="AE59" s="276"/>
      <c r="AF59" s="276"/>
      <c r="AG59" s="276"/>
      <c r="AH59" s="276"/>
      <c r="AI59" s="276"/>
      <c r="AJ59" s="276"/>
      <c r="AK59" s="276"/>
      <c r="AL59" s="276"/>
      <c r="AM59" s="276"/>
      <c r="AN59" s="276"/>
      <c r="AO59" s="276"/>
      <c r="AP59" s="276"/>
      <c r="AQ59" s="276"/>
      <c r="AR59" s="276"/>
      <c r="AS59" s="276"/>
      <c r="AT59" s="276"/>
      <c r="AU59" s="276"/>
      <c r="AV59" s="276"/>
      <c r="AW59" s="276"/>
      <c r="AX59" s="276"/>
      <c r="AY59" s="276"/>
      <c r="AZ59" s="276"/>
      <c r="BA59" s="276"/>
      <c r="BB59" s="276"/>
      <c r="BC59" s="276"/>
      <c r="BD59" s="276"/>
      <c r="BE59" s="276"/>
      <c r="BF59" s="276"/>
      <c r="BG59" s="276"/>
      <c r="BH59" s="276"/>
      <c r="BI59" s="276"/>
      <c r="BJ59" s="276"/>
      <c r="BK59" s="276"/>
      <c r="BL59" s="276"/>
    </row>
    <row r="60" spans="1:64" x14ac:dyDescent="0.25">
      <c r="AN60" s="570"/>
      <c r="AO60" s="570"/>
      <c r="AP60" s="570"/>
      <c r="AQ60" s="570"/>
      <c r="AR60" s="570"/>
      <c r="AS60" s="570"/>
      <c r="AT60" s="570"/>
      <c r="AU60" s="570"/>
      <c r="AV60" s="570"/>
      <c r="AW60" s="570"/>
      <c r="AX60" s="570"/>
      <c r="AY60" s="570"/>
      <c r="AZ60" s="570"/>
      <c r="BA60" s="570"/>
      <c r="BB60" s="570"/>
      <c r="BC60" s="570"/>
      <c r="BD60" s="570"/>
      <c r="BE60" s="570"/>
      <c r="BF60" s="570"/>
      <c r="BG60" s="570"/>
      <c r="BH60" s="570"/>
      <c r="BI60" s="570"/>
      <c r="BJ60" s="570"/>
      <c r="BK60" s="570"/>
    </row>
    <row r="61" spans="1:64" x14ac:dyDescent="0.25">
      <c r="A61" s="29" t="s">
        <v>204</v>
      </c>
      <c r="AN61" s="570"/>
      <c r="AO61" s="570"/>
      <c r="AP61" s="570"/>
      <c r="AQ61" s="570"/>
      <c r="AR61" s="570"/>
      <c r="AS61" s="570"/>
      <c r="AT61" s="570"/>
      <c r="AU61" s="570"/>
      <c r="AV61" s="570"/>
      <c r="AW61" s="570"/>
      <c r="AX61" s="570"/>
      <c r="AY61" s="570"/>
      <c r="AZ61" s="570"/>
      <c r="BA61" s="570"/>
      <c r="BB61" s="570"/>
      <c r="BC61" s="570"/>
      <c r="BD61" s="570"/>
      <c r="BE61" s="570"/>
      <c r="BF61" s="570"/>
      <c r="BG61" s="570"/>
      <c r="BH61" s="570"/>
      <c r="BI61" s="570"/>
      <c r="BJ61" s="570"/>
      <c r="BK61" s="570"/>
    </row>
    <row r="62" spans="1:64" ht="15.75" x14ac:dyDescent="0.25">
      <c r="A62" t="s">
        <v>333</v>
      </c>
      <c r="W62" s="281"/>
      <c r="X62" s="223"/>
      <c r="Y62" s="223"/>
      <c r="Z62" s="223"/>
      <c r="AA62" s="223"/>
      <c r="AB62" s="223"/>
      <c r="AC62" s="223"/>
      <c r="AD62" s="223"/>
      <c r="AE62" s="223"/>
      <c r="AF62" s="223"/>
      <c r="AG62" s="223"/>
      <c r="AH62" s="223"/>
      <c r="AN62" s="570"/>
      <c r="AO62" s="570"/>
      <c r="AP62" s="570"/>
      <c r="AQ62" s="570"/>
      <c r="AR62" s="570"/>
      <c r="AS62" s="570"/>
      <c r="AT62" s="570"/>
      <c r="AU62" s="570"/>
      <c r="AV62" s="570"/>
      <c r="AW62" s="570"/>
      <c r="AX62" s="570"/>
      <c r="AY62" s="570"/>
      <c r="AZ62" s="570"/>
      <c r="BA62" s="570"/>
      <c r="BB62" s="570"/>
      <c r="BC62" s="570"/>
      <c r="BD62" s="570"/>
      <c r="BE62" s="570"/>
      <c r="BF62" s="570"/>
      <c r="BG62" s="570"/>
      <c r="BH62" s="570"/>
      <c r="BI62" s="570"/>
      <c r="BJ62" s="570"/>
      <c r="BK62" s="570"/>
    </row>
    <row r="63" spans="1:64" ht="15.75" x14ac:dyDescent="0.25">
      <c r="A63" s="248" t="s">
        <v>318</v>
      </c>
      <c r="B63" s="48"/>
      <c r="C63" s="48"/>
      <c r="D63" s="48"/>
      <c r="E63" s="48" t="s">
        <v>707</v>
      </c>
      <c r="F63" s="48"/>
      <c r="G63" s="48"/>
      <c r="H63" s="370" t="s">
        <v>205</v>
      </c>
      <c r="I63" s="370" t="s">
        <v>393</v>
      </c>
      <c r="J63" s="371" t="s">
        <v>538</v>
      </c>
      <c r="K63" s="371" t="s">
        <v>390</v>
      </c>
      <c r="L63" s="370" t="s">
        <v>206</v>
      </c>
      <c r="W63" s="223"/>
      <c r="X63" s="223"/>
      <c r="Y63" s="223"/>
      <c r="Z63" s="223"/>
      <c r="AA63" s="223"/>
      <c r="AB63" s="223"/>
      <c r="AC63" s="223"/>
      <c r="AD63" s="223"/>
      <c r="AE63" s="223"/>
      <c r="AF63" s="223"/>
      <c r="AG63" s="223"/>
      <c r="AH63" s="223"/>
      <c r="AN63" s="570"/>
      <c r="AO63" s="570"/>
      <c r="AP63" s="570"/>
      <c r="AQ63" s="570"/>
      <c r="AR63" s="570"/>
      <c r="AS63" s="570"/>
      <c r="AT63" s="570"/>
      <c r="AU63" s="570"/>
      <c r="AV63" s="570"/>
      <c r="AW63" s="570"/>
      <c r="AX63" s="570"/>
      <c r="AY63" s="570"/>
      <c r="AZ63" s="570"/>
      <c r="BA63" s="570"/>
      <c r="BB63" s="570"/>
      <c r="BC63" s="570"/>
      <c r="BD63" s="570"/>
      <c r="BE63" s="570"/>
      <c r="BF63" s="570"/>
      <c r="BG63" s="570"/>
      <c r="BH63" s="570"/>
      <c r="BI63" s="570"/>
      <c r="BJ63" s="570"/>
      <c r="BK63" s="570"/>
    </row>
    <row r="64" spans="1:64" x14ac:dyDescent="0.25">
      <c r="A64" s="48"/>
      <c r="B64" s="48"/>
      <c r="C64" s="48"/>
      <c r="D64" s="48"/>
      <c r="E64" s="48"/>
      <c r="F64" s="48"/>
      <c r="G64" s="48"/>
      <c r="H64" s="48"/>
      <c r="I64" s="48"/>
      <c r="J64" s="48"/>
      <c r="K64" s="48"/>
      <c r="L64" s="48"/>
      <c r="W64" s="223"/>
      <c r="X64" s="223"/>
      <c r="Y64" s="223"/>
      <c r="Z64" s="223"/>
      <c r="AA64" s="223"/>
      <c r="AB64" s="223"/>
      <c r="AC64" s="223"/>
      <c r="AD64" s="223"/>
      <c r="AE64" s="223"/>
      <c r="AF64" s="223"/>
      <c r="AG64" s="223"/>
      <c r="AH64" s="223"/>
      <c r="AN64" s="570"/>
      <c r="AO64" s="570"/>
      <c r="AP64" s="570"/>
      <c r="AQ64" s="570"/>
      <c r="AR64" s="570"/>
      <c r="AS64" s="570"/>
      <c r="AT64" s="570"/>
      <c r="AU64" s="570"/>
      <c r="AV64" s="570"/>
      <c r="AW64" s="570"/>
      <c r="AX64" s="570"/>
      <c r="AY64" s="570"/>
      <c r="AZ64" s="570"/>
      <c r="BA64" s="570"/>
      <c r="BB64" s="570"/>
      <c r="BC64" s="570"/>
      <c r="BD64" s="570"/>
      <c r="BE64" s="570"/>
      <c r="BF64" s="570"/>
      <c r="BG64" s="570"/>
      <c r="BH64" s="570"/>
      <c r="BI64" s="570"/>
      <c r="BJ64" s="570"/>
      <c r="BK64" s="570"/>
    </row>
    <row r="65" spans="1:63" x14ac:dyDescent="0.25">
      <c r="A65" s="48" t="s">
        <v>319</v>
      </c>
      <c r="B65" s="48"/>
      <c r="C65" s="48"/>
      <c r="D65" s="48"/>
      <c r="E65" s="48"/>
      <c r="F65" s="48"/>
      <c r="G65" s="48"/>
      <c r="H65" s="48"/>
      <c r="I65" s="48"/>
      <c r="J65" s="48"/>
      <c r="K65" s="48"/>
      <c r="L65" s="48"/>
      <c r="W65" s="64"/>
      <c r="X65" s="223"/>
      <c r="Y65" s="223"/>
      <c r="Z65" s="223"/>
      <c r="AA65" s="223"/>
      <c r="AB65" s="223"/>
      <c r="AC65" s="279"/>
      <c r="AD65" s="279"/>
      <c r="AE65" s="279"/>
      <c r="AF65" s="279"/>
      <c r="AG65" s="279"/>
      <c r="AH65" s="279"/>
      <c r="AN65" s="570"/>
      <c r="AO65" s="570"/>
      <c r="AP65" s="570"/>
      <c r="AQ65" s="570"/>
      <c r="AR65" s="570"/>
      <c r="AS65" s="570"/>
      <c r="AT65" s="570"/>
      <c r="AU65" s="570"/>
      <c r="AV65" s="570"/>
      <c r="AW65" s="570"/>
      <c r="AX65" s="570"/>
      <c r="AY65" s="570"/>
      <c r="AZ65" s="570"/>
      <c r="BA65" s="570"/>
      <c r="BB65" s="570"/>
      <c r="BC65" s="570"/>
      <c r="BD65" s="570"/>
      <c r="BE65" s="570"/>
      <c r="BF65" s="570"/>
      <c r="BG65" s="570"/>
      <c r="BH65" s="570"/>
      <c r="BI65" s="570"/>
      <c r="BJ65" s="570"/>
      <c r="BK65" s="570"/>
    </row>
    <row r="66" spans="1:63" x14ac:dyDescent="0.25">
      <c r="A66" s="255" t="s">
        <v>321</v>
      </c>
      <c r="B66" s="48"/>
      <c r="C66" s="48"/>
      <c r="D66" s="48"/>
      <c r="E66" s="368">
        <v>0.79</v>
      </c>
      <c r="F66" s="48"/>
      <c r="G66" s="48"/>
      <c r="H66" s="368">
        <v>0.75</v>
      </c>
      <c r="I66" s="368">
        <v>0.75</v>
      </c>
      <c r="J66" s="368">
        <v>0.75</v>
      </c>
      <c r="K66" s="368">
        <v>0.69012174250480707</v>
      </c>
      <c r="L66" s="368">
        <v>0.75</v>
      </c>
      <c r="N66" s="61"/>
      <c r="O66" s="298"/>
      <c r="P66" s="61"/>
      <c r="Q66" s="296"/>
      <c r="R66" s="61"/>
      <c r="W66" s="64"/>
      <c r="X66" s="223"/>
      <c r="Y66" s="223"/>
      <c r="Z66" s="223"/>
      <c r="AA66" s="223"/>
      <c r="AB66" s="223"/>
      <c r="AC66" s="279"/>
      <c r="AD66" s="279"/>
      <c r="AE66" s="279"/>
      <c r="AF66" s="279"/>
      <c r="AG66" s="279"/>
      <c r="AH66" s="369">
        <v>1199.1638548844521</v>
      </c>
      <c r="AI66" s="166">
        <f>AH66*120%</f>
        <v>1438.9966258613424</v>
      </c>
      <c r="AJ66" s="166">
        <f>AI66*120%</f>
        <v>1726.7959510336109</v>
      </c>
      <c r="AN66" s="572">
        <f t="shared" ref="AN66:AN77" si="28">AM66*120%</f>
        <v>0</v>
      </c>
      <c r="AO66" s="570"/>
      <c r="AP66" s="570"/>
      <c r="AQ66" s="570"/>
      <c r="AR66" s="572">
        <f t="shared" ref="AR66:AR77" si="29">AQ66*120%</f>
        <v>0</v>
      </c>
      <c r="AS66" s="570"/>
      <c r="AT66" s="570"/>
      <c r="AU66" s="570"/>
      <c r="AV66" s="572">
        <f t="shared" ref="AV66:AV77" si="30">AU66*120%</f>
        <v>0</v>
      </c>
      <c r="AW66" s="570"/>
      <c r="AX66" s="570"/>
      <c r="AY66" s="570"/>
      <c r="AZ66" s="572">
        <f t="shared" ref="AZ66:AZ77" si="31">AY66*120%</f>
        <v>0</v>
      </c>
      <c r="BA66" s="570"/>
      <c r="BB66" s="572">
        <f>BA66*120%</f>
        <v>0</v>
      </c>
      <c r="BC66" s="570"/>
      <c r="BD66" s="570"/>
      <c r="BE66" s="570"/>
      <c r="BF66" s="572">
        <f t="shared" ref="BF66" si="32">BE66*120%</f>
        <v>0</v>
      </c>
      <c r="BG66" s="572">
        <f>BF66*120%</f>
        <v>0</v>
      </c>
      <c r="BH66" s="570"/>
      <c r="BI66" s="570"/>
      <c r="BJ66" s="570"/>
      <c r="BK66" s="572">
        <f t="shared" ref="BK66" si="33">BJ66*120%</f>
        <v>0</v>
      </c>
    </row>
    <row r="67" spans="1:63" x14ac:dyDescent="0.25">
      <c r="A67" s="255" t="s">
        <v>322</v>
      </c>
      <c r="B67" s="48"/>
      <c r="C67" s="48"/>
      <c r="D67" s="48"/>
      <c r="E67" s="368">
        <v>0.63800000000000001</v>
      </c>
      <c r="F67" s="48"/>
      <c r="G67" s="48"/>
      <c r="H67" s="368">
        <v>0.60899999999999999</v>
      </c>
      <c r="I67" s="368">
        <v>0.60899999999999999</v>
      </c>
      <c r="J67" s="368">
        <v>0.61</v>
      </c>
      <c r="K67" s="368">
        <v>0.53872550914144657</v>
      </c>
      <c r="L67" s="368">
        <v>0.60899999999999999</v>
      </c>
      <c r="N67" s="61"/>
      <c r="O67" s="298"/>
      <c r="P67" s="61"/>
      <c r="Q67" s="296"/>
      <c r="R67" s="61"/>
      <c r="W67" s="223"/>
      <c r="X67" s="223"/>
      <c r="Y67" s="223"/>
      <c r="Z67" s="223"/>
      <c r="AA67" s="223"/>
      <c r="AB67" s="223"/>
      <c r="AC67" s="223"/>
      <c r="AD67" s="223"/>
      <c r="AE67" s="223"/>
      <c r="AF67" s="223"/>
      <c r="AG67" s="223"/>
      <c r="AH67" s="369">
        <v>1949.8316397652402</v>
      </c>
      <c r="AI67" s="166">
        <f t="shared" ref="AI67:AJ77" si="34">AH67*120%</f>
        <v>2339.797967718288</v>
      </c>
      <c r="AJ67" s="166">
        <f t="shared" si="34"/>
        <v>2807.7575612619453</v>
      </c>
      <c r="AN67" s="572">
        <f t="shared" si="28"/>
        <v>0</v>
      </c>
      <c r="AO67" s="570"/>
      <c r="AP67" s="570"/>
      <c r="AQ67" s="570"/>
      <c r="AR67" s="572">
        <f t="shared" si="29"/>
        <v>0</v>
      </c>
      <c r="AS67" s="570"/>
      <c r="AT67" s="570"/>
      <c r="AU67" s="570"/>
      <c r="AV67" s="572">
        <f t="shared" si="30"/>
        <v>0</v>
      </c>
      <c r="AW67" s="570"/>
      <c r="AX67" s="570"/>
      <c r="AY67" s="570"/>
      <c r="AZ67" s="572">
        <f t="shared" si="31"/>
        <v>0</v>
      </c>
      <c r="BA67" s="570"/>
      <c r="BB67" s="572">
        <f t="shared" ref="BB67:BB77" si="35">BA67*120%</f>
        <v>0</v>
      </c>
      <c r="BC67" s="570"/>
      <c r="BD67" s="570"/>
      <c r="BE67" s="570"/>
      <c r="BF67" s="572">
        <f t="shared" ref="BF67" si="36">BE67*120%</f>
        <v>0</v>
      </c>
      <c r="BG67" s="572">
        <f t="shared" ref="BG67:BG77" si="37">BF67*120%</f>
        <v>0</v>
      </c>
      <c r="BH67" s="570"/>
      <c r="BI67" s="570"/>
      <c r="BJ67" s="570"/>
      <c r="BK67" s="572">
        <f t="shared" ref="BK67" si="38">BJ67*120%</f>
        <v>0</v>
      </c>
    </row>
    <row r="68" spans="1:63" x14ac:dyDescent="0.25">
      <c r="A68" s="255" t="s">
        <v>323</v>
      </c>
      <c r="B68" s="48"/>
      <c r="C68" s="48"/>
      <c r="D68" s="48"/>
      <c r="E68" s="368">
        <v>0.68108389249645362</v>
      </c>
      <c r="F68" s="48"/>
      <c r="G68" s="48"/>
      <c r="H68" s="368">
        <v>0.61916717499677598</v>
      </c>
      <c r="I68" s="368">
        <v>0.61916717499677598</v>
      </c>
      <c r="J68" s="368">
        <v>0.62</v>
      </c>
      <c r="K68" s="368">
        <v>0.56287924999706906</v>
      </c>
      <c r="L68" s="368">
        <v>0.61916717499677598</v>
      </c>
      <c r="N68" s="61"/>
      <c r="O68" s="298"/>
      <c r="P68" s="61"/>
      <c r="Q68" s="296"/>
      <c r="R68" s="61"/>
      <c r="W68" s="64"/>
      <c r="X68" s="223"/>
      <c r="Y68" s="223"/>
      <c r="Z68" s="223"/>
      <c r="AA68" s="223"/>
      <c r="AB68" s="223"/>
      <c r="AC68" s="223"/>
      <c r="AD68" s="223"/>
      <c r="AE68" s="223"/>
      <c r="AF68" s="223"/>
      <c r="AG68" s="223"/>
      <c r="AH68" s="369">
        <v>1697.1994702482114</v>
      </c>
      <c r="AI68" s="166">
        <f t="shared" si="34"/>
        <v>2036.6393642978535</v>
      </c>
      <c r="AJ68" s="166">
        <f t="shared" si="34"/>
        <v>2443.9672371574243</v>
      </c>
      <c r="AN68" s="572">
        <f t="shared" si="28"/>
        <v>0</v>
      </c>
      <c r="AO68" s="570"/>
      <c r="AP68" s="570"/>
      <c r="AQ68" s="570"/>
      <c r="AR68" s="572">
        <f t="shared" si="29"/>
        <v>0</v>
      </c>
      <c r="AS68" s="570"/>
      <c r="AT68" s="570"/>
      <c r="AU68" s="570"/>
      <c r="AV68" s="572">
        <f t="shared" si="30"/>
        <v>0</v>
      </c>
      <c r="AW68" s="570"/>
      <c r="AX68" s="570"/>
      <c r="AY68" s="570"/>
      <c r="AZ68" s="572">
        <f t="shared" si="31"/>
        <v>0</v>
      </c>
      <c r="BA68" s="570"/>
      <c r="BB68" s="572">
        <f t="shared" si="35"/>
        <v>0</v>
      </c>
      <c r="BC68" s="570"/>
      <c r="BD68" s="570"/>
      <c r="BE68" s="570"/>
      <c r="BF68" s="572">
        <f t="shared" ref="BF68" si="39">BE68*120%</f>
        <v>0</v>
      </c>
      <c r="BG68" s="572">
        <f t="shared" si="37"/>
        <v>0</v>
      </c>
      <c r="BH68" s="570"/>
      <c r="BI68" s="570"/>
      <c r="BJ68" s="570"/>
      <c r="BK68" s="572">
        <f t="shared" ref="BK68" si="40">BJ68*120%</f>
        <v>0</v>
      </c>
    </row>
    <row r="69" spans="1:63" x14ac:dyDescent="0.25">
      <c r="A69" s="255" t="s">
        <v>324</v>
      </c>
      <c r="B69" s="48"/>
      <c r="C69" s="48"/>
      <c r="D69" s="48"/>
      <c r="E69" s="368">
        <v>0.63710865446921017</v>
      </c>
      <c r="F69" s="48"/>
      <c r="G69" s="48"/>
      <c r="H69" s="368">
        <v>0.57918968588110009</v>
      </c>
      <c r="I69" s="368">
        <v>0.57918968588110009</v>
      </c>
      <c r="J69" s="368">
        <v>0.57999999999999996</v>
      </c>
      <c r="K69" s="368">
        <v>0.52653607807372727</v>
      </c>
      <c r="L69" s="368">
        <v>0.57918968588110009</v>
      </c>
      <c r="N69" s="61"/>
      <c r="O69" s="298"/>
      <c r="P69" s="61"/>
      <c r="Q69" s="296"/>
      <c r="R69" s="61"/>
      <c r="W69" s="64"/>
      <c r="X69" s="223"/>
      <c r="Y69" s="223"/>
      <c r="Z69" s="223"/>
      <c r="AA69" s="223"/>
      <c r="AB69" s="223"/>
      <c r="AC69" s="279"/>
      <c r="AD69" s="279"/>
      <c r="AE69" s="279"/>
      <c r="AF69" s="279"/>
      <c r="AG69" s="279"/>
      <c r="AH69" s="369">
        <v>1666.4421814370164</v>
      </c>
      <c r="AI69" s="166">
        <f t="shared" si="34"/>
        <v>1999.7306177244195</v>
      </c>
      <c r="AJ69" s="166">
        <f t="shared" si="34"/>
        <v>2399.6767412693034</v>
      </c>
      <c r="AN69" s="572">
        <f t="shared" si="28"/>
        <v>0</v>
      </c>
      <c r="AO69" s="570"/>
      <c r="AP69" s="570"/>
      <c r="AQ69" s="570"/>
      <c r="AR69" s="572">
        <f t="shared" si="29"/>
        <v>0</v>
      </c>
      <c r="AS69" s="570"/>
      <c r="AT69" s="570"/>
      <c r="AU69" s="570"/>
      <c r="AV69" s="572">
        <f t="shared" si="30"/>
        <v>0</v>
      </c>
      <c r="AW69" s="570"/>
      <c r="AX69" s="570"/>
      <c r="AY69" s="570"/>
      <c r="AZ69" s="572">
        <f t="shared" si="31"/>
        <v>0</v>
      </c>
      <c r="BA69" s="570"/>
      <c r="BB69" s="572">
        <f t="shared" si="35"/>
        <v>0</v>
      </c>
      <c r="BC69" s="570"/>
      <c r="BD69" s="570"/>
      <c r="BE69" s="570"/>
      <c r="BF69" s="572">
        <f t="shared" ref="BF69" si="41">BE69*120%</f>
        <v>0</v>
      </c>
      <c r="BG69" s="572">
        <f t="shared" si="37"/>
        <v>0</v>
      </c>
      <c r="BH69" s="570"/>
      <c r="BI69" s="570"/>
      <c r="BJ69" s="570"/>
      <c r="BK69" s="572">
        <f t="shared" ref="BK69" si="42">BJ69*120%</f>
        <v>0</v>
      </c>
    </row>
    <row r="70" spans="1:63" x14ac:dyDescent="0.25">
      <c r="A70" s="255" t="s">
        <v>325</v>
      </c>
      <c r="B70" s="48"/>
      <c r="C70" s="48"/>
      <c r="D70" s="48"/>
      <c r="E70" s="368">
        <v>0.61613333427169426</v>
      </c>
      <c r="F70" s="48"/>
      <c r="G70" s="48"/>
      <c r="H70" s="368">
        <v>0.56012121297426742</v>
      </c>
      <c r="I70" s="368">
        <v>0.53</v>
      </c>
      <c r="J70" s="368">
        <v>0.56000000000000005</v>
      </c>
      <c r="K70" s="368">
        <v>0.50920110270387942</v>
      </c>
      <c r="L70" s="368">
        <v>0.56012121297426742</v>
      </c>
      <c r="N70" s="61"/>
      <c r="O70" s="298"/>
      <c r="P70" s="61"/>
      <c r="Q70" s="296"/>
      <c r="R70" s="61"/>
      <c r="W70" s="223"/>
      <c r="X70" s="223"/>
      <c r="Y70" s="223"/>
      <c r="Z70" s="223"/>
      <c r="AA70" s="223"/>
      <c r="AB70" s="223"/>
      <c r="AC70" s="223"/>
      <c r="AD70" s="223"/>
      <c r="AE70" s="223"/>
      <c r="AF70" s="223"/>
      <c r="AG70" s="223"/>
      <c r="AH70" s="369">
        <v>1854.310165410154</v>
      </c>
      <c r="AI70" s="166">
        <f t="shared" si="34"/>
        <v>2225.1721984921846</v>
      </c>
      <c r="AJ70" s="166">
        <f t="shared" si="34"/>
        <v>2670.2066381906216</v>
      </c>
      <c r="AN70" s="572">
        <f t="shared" si="28"/>
        <v>0</v>
      </c>
      <c r="AO70" s="570"/>
      <c r="AP70" s="570"/>
      <c r="AQ70" s="570"/>
      <c r="AR70" s="572">
        <f t="shared" si="29"/>
        <v>0</v>
      </c>
      <c r="AS70" s="570"/>
      <c r="AT70" s="570"/>
      <c r="AU70" s="570"/>
      <c r="AV70" s="572">
        <f t="shared" si="30"/>
        <v>0</v>
      </c>
      <c r="AW70" s="570"/>
      <c r="AX70" s="570"/>
      <c r="AY70" s="570"/>
      <c r="AZ70" s="572">
        <f t="shared" si="31"/>
        <v>0</v>
      </c>
      <c r="BA70" s="570"/>
      <c r="BB70" s="572">
        <f t="shared" si="35"/>
        <v>0</v>
      </c>
      <c r="BC70" s="570"/>
      <c r="BD70" s="570"/>
      <c r="BE70" s="570"/>
      <c r="BF70" s="572">
        <f t="shared" ref="BF70" si="43">BE70*120%</f>
        <v>0</v>
      </c>
      <c r="BG70" s="572">
        <f t="shared" si="37"/>
        <v>0</v>
      </c>
      <c r="BH70" s="570"/>
      <c r="BI70" s="570"/>
      <c r="BJ70" s="570"/>
      <c r="BK70" s="572">
        <f t="shared" ref="BK70" si="44">BJ70*120%</f>
        <v>0</v>
      </c>
    </row>
    <row r="71" spans="1:63" s="286" customFormat="1" x14ac:dyDescent="0.25">
      <c r="A71" s="255" t="s">
        <v>326</v>
      </c>
      <c r="B71" s="48"/>
      <c r="C71" s="48"/>
      <c r="D71" s="48"/>
      <c r="E71" s="368">
        <v>0.5976521894266259</v>
      </c>
      <c r="F71" s="48"/>
      <c r="G71" s="48"/>
      <c r="H71" s="368">
        <v>0.54332017220602347</v>
      </c>
      <c r="I71" s="368">
        <v>0.53</v>
      </c>
      <c r="J71" s="368">
        <v>0.54</v>
      </c>
      <c r="K71" s="368">
        <v>0.4939274292782031</v>
      </c>
      <c r="L71" s="368">
        <v>0.54332017220602347</v>
      </c>
      <c r="N71" s="61"/>
      <c r="O71" s="298"/>
      <c r="P71" s="61"/>
      <c r="Q71" s="296"/>
      <c r="R71" s="61"/>
      <c r="W71" s="223"/>
      <c r="X71" s="223"/>
      <c r="Y71" s="223"/>
      <c r="Z71" s="223"/>
      <c r="AA71" s="223"/>
      <c r="AB71" s="223"/>
      <c r="AC71" s="223"/>
      <c r="AD71" s="223"/>
      <c r="AE71" s="223"/>
      <c r="AF71" s="223"/>
      <c r="AG71" s="223"/>
      <c r="AH71" s="369">
        <v>2089.309387550983</v>
      </c>
      <c r="AI71" s="166">
        <f t="shared" si="34"/>
        <v>2507.1712650611794</v>
      </c>
      <c r="AJ71" s="166">
        <f t="shared" si="34"/>
        <v>3008.6055180734152</v>
      </c>
      <c r="AN71" s="572">
        <f t="shared" si="28"/>
        <v>0</v>
      </c>
      <c r="AO71" s="570"/>
      <c r="AP71" s="570"/>
      <c r="AQ71" s="570"/>
      <c r="AR71" s="572">
        <f t="shared" si="29"/>
        <v>0</v>
      </c>
      <c r="AS71" s="570"/>
      <c r="AT71" s="570"/>
      <c r="AU71" s="570"/>
      <c r="AV71" s="572">
        <f t="shared" si="30"/>
        <v>0</v>
      </c>
      <c r="AW71" s="570"/>
      <c r="AX71" s="570"/>
      <c r="AY71" s="570"/>
      <c r="AZ71" s="572">
        <f t="shared" si="31"/>
        <v>0</v>
      </c>
      <c r="BA71" s="570"/>
      <c r="BB71" s="572">
        <f t="shared" si="35"/>
        <v>0</v>
      </c>
      <c r="BC71" s="570"/>
      <c r="BD71" s="570"/>
      <c r="BE71" s="570"/>
      <c r="BF71" s="572">
        <f t="shared" ref="BF71" si="45">BE71*120%</f>
        <v>0</v>
      </c>
      <c r="BG71" s="572">
        <f t="shared" si="37"/>
        <v>0</v>
      </c>
      <c r="BH71" s="570"/>
      <c r="BI71" s="570"/>
      <c r="BJ71" s="570"/>
      <c r="BK71" s="572">
        <f t="shared" ref="BK71" si="46">BJ71*120%</f>
        <v>0</v>
      </c>
    </row>
    <row r="72" spans="1:63" s="286" customFormat="1" x14ac:dyDescent="0.25">
      <c r="A72" s="255" t="s">
        <v>327</v>
      </c>
      <c r="B72" s="48"/>
      <c r="C72" s="48"/>
      <c r="D72" s="48"/>
      <c r="E72" s="368">
        <v>0.57377150083018669</v>
      </c>
      <c r="F72" s="48"/>
      <c r="G72" s="48"/>
      <c r="H72" s="368">
        <v>0.5216104553001697</v>
      </c>
      <c r="I72" s="368">
        <v>0.5216104553001697</v>
      </c>
      <c r="J72" s="368">
        <v>0.52</v>
      </c>
      <c r="K72" s="368">
        <v>0.47419132300015426</v>
      </c>
      <c r="L72" s="368">
        <v>0.5216104553001697</v>
      </c>
      <c r="N72" s="61"/>
      <c r="O72" s="298"/>
      <c r="P72" s="61"/>
      <c r="Q72" s="296"/>
      <c r="R72" s="61"/>
      <c r="W72" s="223"/>
      <c r="X72" s="223"/>
      <c r="Y72" s="223"/>
      <c r="Z72" s="223"/>
      <c r="AA72" s="223"/>
      <c r="AB72" s="223"/>
      <c r="AC72" s="223"/>
      <c r="AD72" s="223"/>
      <c r="AE72" s="223"/>
      <c r="AF72" s="223"/>
      <c r="AG72" s="223"/>
      <c r="AH72" s="369">
        <v>1844.5541594410504</v>
      </c>
      <c r="AI72" s="166">
        <f t="shared" si="34"/>
        <v>2213.4649913292606</v>
      </c>
      <c r="AJ72" s="166">
        <f t="shared" si="34"/>
        <v>2656.1579895951127</v>
      </c>
      <c r="AN72" s="572">
        <f t="shared" si="28"/>
        <v>0</v>
      </c>
      <c r="AO72" s="570"/>
      <c r="AP72" s="570"/>
      <c r="AQ72" s="570"/>
      <c r="AR72" s="572">
        <f t="shared" si="29"/>
        <v>0</v>
      </c>
      <c r="AS72" s="570"/>
      <c r="AT72" s="570"/>
      <c r="AU72" s="570"/>
      <c r="AV72" s="572">
        <f t="shared" si="30"/>
        <v>0</v>
      </c>
      <c r="AW72" s="570"/>
      <c r="AX72" s="570"/>
      <c r="AY72" s="570"/>
      <c r="AZ72" s="572">
        <f t="shared" si="31"/>
        <v>0</v>
      </c>
      <c r="BA72" s="570"/>
      <c r="BB72" s="572">
        <f t="shared" si="35"/>
        <v>0</v>
      </c>
      <c r="BC72" s="570"/>
      <c r="BD72" s="570"/>
      <c r="BE72" s="570"/>
      <c r="BF72" s="572">
        <f t="shared" ref="BF72" si="47">BE72*120%</f>
        <v>0</v>
      </c>
      <c r="BG72" s="572">
        <f t="shared" si="37"/>
        <v>0</v>
      </c>
      <c r="BH72" s="570"/>
      <c r="BI72" s="570"/>
      <c r="BJ72" s="570"/>
      <c r="BK72" s="572">
        <f t="shared" ref="BK72" si="48">BJ72*120%</f>
        <v>0</v>
      </c>
    </row>
    <row r="73" spans="1:63" s="286" customFormat="1" x14ac:dyDescent="0.25">
      <c r="A73" s="255" t="s">
        <v>328</v>
      </c>
      <c r="B73" s="48"/>
      <c r="C73" s="48"/>
      <c r="D73" s="48"/>
      <c r="E73" s="368">
        <v>0.5684984030844823</v>
      </c>
      <c r="F73" s="48"/>
      <c r="G73" s="48"/>
      <c r="H73" s="368">
        <v>0.51681673007680207</v>
      </c>
      <c r="I73" s="368">
        <v>0.48</v>
      </c>
      <c r="J73" s="368">
        <v>0.52</v>
      </c>
      <c r="K73" s="368">
        <v>0.46983339097891097</v>
      </c>
      <c r="L73" s="368">
        <v>0.51681673007680207</v>
      </c>
      <c r="N73" s="61"/>
      <c r="O73" s="298"/>
      <c r="P73" s="61"/>
      <c r="Q73" s="296"/>
      <c r="R73" s="61"/>
      <c r="W73" s="223"/>
      <c r="X73" s="223"/>
      <c r="Y73" s="223"/>
      <c r="Z73" s="223"/>
      <c r="AA73" s="223"/>
      <c r="AB73" s="223"/>
      <c r="AC73" s="223"/>
      <c r="AD73" s="223"/>
      <c r="AE73" s="223"/>
      <c r="AF73" s="223"/>
      <c r="AG73" s="223"/>
      <c r="AH73" s="369">
        <v>1444.8011047176665</v>
      </c>
      <c r="AI73" s="166">
        <f t="shared" si="34"/>
        <v>1733.7613256611996</v>
      </c>
      <c r="AJ73" s="166">
        <f t="shared" si="34"/>
        <v>2080.5135907934396</v>
      </c>
      <c r="AN73" s="572">
        <f t="shared" si="28"/>
        <v>0</v>
      </c>
      <c r="AO73" s="570"/>
      <c r="AP73" s="570"/>
      <c r="AQ73" s="570"/>
      <c r="AR73" s="572">
        <f t="shared" si="29"/>
        <v>0</v>
      </c>
      <c r="AS73" s="570"/>
      <c r="AT73" s="570"/>
      <c r="AU73" s="570"/>
      <c r="AV73" s="572">
        <f t="shared" si="30"/>
        <v>0</v>
      </c>
      <c r="AW73" s="570"/>
      <c r="AX73" s="570"/>
      <c r="AY73" s="570"/>
      <c r="AZ73" s="572">
        <f t="shared" si="31"/>
        <v>0</v>
      </c>
      <c r="BA73" s="570"/>
      <c r="BB73" s="572">
        <f t="shared" si="35"/>
        <v>0</v>
      </c>
      <c r="BC73" s="570"/>
      <c r="BD73" s="570"/>
      <c r="BE73" s="570"/>
      <c r="BF73" s="572">
        <f t="shared" ref="BF73" si="49">BE73*120%</f>
        <v>0</v>
      </c>
      <c r="BG73" s="572">
        <f t="shared" si="37"/>
        <v>0</v>
      </c>
      <c r="BH73" s="570"/>
      <c r="BI73" s="570"/>
      <c r="BJ73" s="570"/>
      <c r="BK73" s="572">
        <f t="shared" ref="BK73" si="50">BJ73*120%</f>
        <v>0</v>
      </c>
    </row>
    <row r="74" spans="1:63" s="286" customFormat="1" x14ac:dyDescent="0.25">
      <c r="A74" s="255" t="s">
        <v>329</v>
      </c>
      <c r="B74" s="48"/>
      <c r="C74" s="48"/>
      <c r="D74" s="48"/>
      <c r="E74" s="368">
        <v>0.5566079299278931</v>
      </c>
      <c r="F74" s="48"/>
      <c r="G74" s="48"/>
      <c r="H74" s="368">
        <v>0.50600720902535734</v>
      </c>
      <c r="I74" s="368">
        <v>0.42</v>
      </c>
      <c r="J74" s="368">
        <v>0.51</v>
      </c>
      <c r="K74" s="368">
        <v>0.46000655365941573</v>
      </c>
      <c r="L74" s="368">
        <v>0.50600720902535734</v>
      </c>
      <c r="N74" s="61"/>
      <c r="O74" s="298"/>
      <c r="P74" s="61"/>
      <c r="Q74" s="296"/>
      <c r="R74" s="61"/>
      <c r="W74" s="223"/>
      <c r="X74" s="223"/>
      <c r="Y74" s="223"/>
      <c r="Z74" s="223"/>
      <c r="AA74" s="223"/>
      <c r="AB74" s="223"/>
      <c r="AC74" s="223"/>
      <c r="AD74" s="223"/>
      <c r="AE74" s="223"/>
      <c r="AF74" s="223"/>
      <c r="AG74" s="223"/>
      <c r="AH74" s="369">
        <v>1308.7091622001783</v>
      </c>
      <c r="AI74" s="166">
        <f t="shared" si="34"/>
        <v>1570.4509946402138</v>
      </c>
      <c r="AJ74" s="166">
        <f t="shared" si="34"/>
        <v>1884.5411935682564</v>
      </c>
      <c r="AN74" s="572">
        <f t="shared" si="28"/>
        <v>0</v>
      </c>
      <c r="AO74" s="570"/>
      <c r="AP74" s="570"/>
      <c r="AQ74" s="570"/>
      <c r="AR74" s="572">
        <f t="shared" si="29"/>
        <v>0</v>
      </c>
      <c r="AS74" s="570"/>
      <c r="AT74" s="570"/>
      <c r="AU74" s="570"/>
      <c r="AV74" s="572">
        <f t="shared" si="30"/>
        <v>0</v>
      </c>
      <c r="AW74" s="570"/>
      <c r="AX74" s="570"/>
      <c r="AY74" s="570"/>
      <c r="AZ74" s="572">
        <f t="shared" si="31"/>
        <v>0</v>
      </c>
      <c r="BA74" s="570"/>
      <c r="BB74" s="572">
        <f t="shared" si="35"/>
        <v>0</v>
      </c>
      <c r="BC74" s="570"/>
      <c r="BD74" s="570"/>
      <c r="BE74" s="570"/>
      <c r="BF74" s="572">
        <f t="shared" ref="BF74" si="51">BE74*120%</f>
        <v>0</v>
      </c>
      <c r="BG74" s="572">
        <f t="shared" si="37"/>
        <v>0</v>
      </c>
      <c r="BH74" s="570"/>
      <c r="BI74" s="570"/>
      <c r="BJ74" s="570"/>
      <c r="BK74" s="572">
        <f t="shared" ref="BK74" si="52">BJ74*120%</f>
        <v>0</v>
      </c>
    </row>
    <row r="75" spans="1:63" s="286" customFormat="1" x14ac:dyDescent="0.25">
      <c r="A75" s="255" t="s">
        <v>330</v>
      </c>
      <c r="B75" s="48"/>
      <c r="C75" s="48"/>
      <c r="D75" s="48"/>
      <c r="E75" s="368">
        <v>0.5544046452066439</v>
      </c>
      <c r="F75" s="48"/>
      <c r="G75" s="48"/>
      <c r="H75" s="368">
        <v>0.50400422291513081</v>
      </c>
      <c r="I75" s="368">
        <v>0.4</v>
      </c>
      <c r="J75" s="368">
        <v>0.5</v>
      </c>
      <c r="K75" s="368">
        <v>0.45818565719557341</v>
      </c>
      <c r="L75" s="368">
        <v>0.50400422291513081</v>
      </c>
      <c r="N75" s="61"/>
      <c r="O75" s="298"/>
      <c r="P75" s="61"/>
      <c r="Q75" s="296"/>
      <c r="R75" s="61"/>
      <c r="W75" s="223"/>
      <c r="X75" s="223"/>
      <c r="Y75" s="223"/>
      <c r="Z75" s="223"/>
      <c r="AA75" s="223"/>
      <c r="AB75" s="223"/>
      <c r="AC75" s="223"/>
      <c r="AD75" s="223"/>
      <c r="AE75" s="223"/>
      <c r="AF75" s="223"/>
      <c r="AG75" s="223"/>
      <c r="AH75" s="369">
        <v>1306.6521772667586</v>
      </c>
      <c r="AI75" s="166">
        <f t="shared" si="34"/>
        <v>1567.9826127201102</v>
      </c>
      <c r="AJ75" s="166">
        <f t="shared" si="34"/>
        <v>1881.5791352641322</v>
      </c>
      <c r="AN75" s="572">
        <f t="shared" si="28"/>
        <v>0</v>
      </c>
      <c r="AO75" s="570"/>
      <c r="AP75" s="570"/>
      <c r="AQ75" s="570"/>
      <c r="AR75" s="572">
        <f t="shared" si="29"/>
        <v>0</v>
      </c>
      <c r="AS75" s="570"/>
      <c r="AT75" s="570"/>
      <c r="AU75" s="570"/>
      <c r="AV75" s="572">
        <f t="shared" si="30"/>
        <v>0</v>
      </c>
      <c r="AW75" s="570"/>
      <c r="AX75" s="570"/>
      <c r="AY75" s="570"/>
      <c r="AZ75" s="572">
        <f t="shared" si="31"/>
        <v>0</v>
      </c>
      <c r="BA75" s="570"/>
      <c r="BB75" s="572">
        <f t="shared" si="35"/>
        <v>0</v>
      </c>
      <c r="BC75" s="570"/>
      <c r="BD75" s="570"/>
      <c r="BE75" s="570"/>
      <c r="BF75" s="572">
        <f t="shared" ref="BF75" si="53">BE75*120%</f>
        <v>0</v>
      </c>
      <c r="BG75" s="572">
        <f t="shared" si="37"/>
        <v>0</v>
      </c>
      <c r="BH75" s="570"/>
      <c r="BI75" s="570"/>
      <c r="BJ75" s="570"/>
      <c r="BK75" s="572">
        <f t="shared" ref="BK75" si="54">BJ75*120%</f>
        <v>0</v>
      </c>
    </row>
    <row r="76" spans="1:63" s="286" customFormat="1" x14ac:dyDescent="0.25">
      <c r="A76" s="255" t="s">
        <v>331</v>
      </c>
      <c r="B76" s="48"/>
      <c r="C76" s="48"/>
      <c r="D76" s="48"/>
      <c r="E76" s="368">
        <v>0.55776135201669086</v>
      </c>
      <c r="F76" s="48"/>
      <c r="G76" s="48"/>
      <c r="H76" s="368">
        <v>0.507055774560628</v>
      </c>
      <c r="I76" s="368">
        <v>0.4</v>
      </c>
      <c r="J76" s="368">
        <v>0.51</v>
      </c>
      <c r="K76" s="368">
        <v>0.46095979505511636</v>
      </c>
      <c r="L76" s="368">
        <v>0.507055774560628</v>
      </c>
      <c r="N76" s="61"/>
      <c r="O76" s="298"/>
      <c r="P76" s="61"/>
      <c r="Q76" s="296"/>
      <c r="R76" s="61"/>
      <c r="W76" s="223"/>
      <c r="X76" s="223"/>
      <c r="Y76" s="223"/>
      <c r="Z76" s="223"/>
      <c r="AA76" s="223"/>
      <c r="AB76" s="223"/>
      <c r="AC76" s="223"/>
      <c r="AD76" s="223"/>
      <c r="AE76" s="223"/>
      <c r="AF76" s="223"/>
      <c r="AG76" s="223"/>
      <c r="AH76" s="369">
        <v>1362.5276069857937</v>
      </c>
      <c r="AI76" s="166">
        <f t="shared" si="34"/>
        <v>1635.0331283829523</v>
      </c>
      <c r="AJ76" s="166">
        <f t="shared" si="34"/>
        <v>1962.0397540595427</v>
      </c>
      <c r="AN76" s="572">
        <f t="shared" si="28"/>
        <v>0</v>
      </c>
      <c r="AO76" s="570"/>
      <c r="AP76" s="570"/>
      <c r="AQ76" s="570"/>
      <c r="AR76" s="572">
        <f t="shared" si="29"/>
        <v>0</v>
      </c>
      <c r="AS76" s="570"/>
      <c r="AT76" s="570"/>
      <c r="AU76" s="570"/>
      <c r="AV76" s="572">
        <f t="shared" si="30"/>
        <v>0</v>
      </c>
      <c r="AW76" s="570"/>
      <c r="AX76" s="570"/>
      <c r="AY76" s="570"/>
      <c r="AZ76" s="572">
        <f t="shared" si="31"/>
        <v>0</v>
      </c>
      <c r="BA76" s="570"/>
      <c r="BB76" s="572">
        <f t="shared" si="35"/>
        <v>0</v>
      </c>
      <c r="BC76" s="570"/>
      <c r="BD76" s="570"/>
      <c r="BE76" s="570"/>
      <c r="BF76" s="572">
        <f t="shared" ref="BF76" si="55">BE76*120%</f>
        <v>0</v>
      </c>
      <c r="BG76" s="572">
        <f t="shared" si="37"/>
        <v>0</v>
      </c>
      <c r="BH76" s="570"/>
      <c r="BI76" s="570"/>
      <c r="BJ76" s="570"/>
      <c r="BK76" s="572">
        <f t="shared" ref="BK76" si="56">BJ76*120%</f>
        <v>0</v>
      </c>
    </row>
    <row r="77" spans="1:63" s="286" customFormat="1" x14ac:dyDescent="0.25">
      <c r="A77" s="255" t="s">
        <v>332</v>
      </c>
      <c r="B77" s="48"/>
      <c r="C77" s="48"/>
      <c r="D77" s="48"/>
      <c r="E77" s="368">
        <v>0.5648051558717524</v>
      </c>
      <c r="F77" s="48"/>
      <c r="G77" s="48"/>
      <c r="H77" s="368">
        <v>0.51345923261068394</v>
      </c>
      <c r="I77" s="368">
        <v>0.4</v>
      </c>
      <c r="J77" s="368">
        <v>0.51</v>
      </c>
      <c r="K77" s="368">
        <v>0.46678112055516718</v>
      </c>
      <c r="L77" s="368">
        <v>0.51345923261068394</v>
      </c>
      <c r="N77" s="61"/>
      <c r="O77" s="298"/>
      <c r="P77" s="61"/>
      <c r="Q77" s="296"/>
      <c r="R77" s="61"/>
      <c r="W77" s="223"/>
      <c r="X77" s="223"/>
      <c r="Y77" s="223"/>
      <c r="Z77" s="223"/>
      <c r="AA77" s="223"/>
      <c r="AB77" s="223"/>
      <c r="AC77" s="223"/>
      <c r="AD77" s="223"/>
      <c r="AE77" s="223"/>
      <c r="AF77" s="223"/>
      <c r="AG77" s="223"/>
      <c r="AH77" s="369">
        <v>1494.9082206175608</v>
      </c>
      <c r="AI77" s="166">
        <f t="shared" si="34"/>
        <v>1793.8898647410729</v>
      </c>
      <c r="AJ77" s="166">
        <f t="shared" si="34"/>
        <v>2152.6678376892874</v>
      </c>
      <c r="AN77" s="572">
        <f t="shared" si="28"/>
        <v>0</v>
      </c>
      <c r="AO77" s="570"/>
      <c r="AP77" s="570"/>
      <c r="AQ77" s="570"/>
      <c r="AR77" s="572">
        <f t="shared" si="29"/>
        <v>0</v>
      </c>
      <c r="AS77" s="570"/>
      <c r="AT77" s="570"/>
      <c r="AU77" s="570"/>
      <c r="AV77" s="572">
        <f t="shared" si="30"/>
        <v>0</v>
      </c>
      <c r="AW77" s="570"/>
      <c r="AX77" s="570"/>
      <c r="AY77" s="570"/>
      <c r="AZ77" s="572">
        <f t="shared" si="31"/>
        <v>0</v>
      </c>
      <c r="BA77" s="570"/>
      <c r="BB77" s="572">
        <f t="shared" si="35"/>
        <v>0</v>
      </c>
      <c r="BC77" s="570"/>
      <c r="BD77" s="570"/>
      <c r="BE77" s="570"/>
      <c r="BF77" s="572">
        <f t="shared" ref="BF77" si="57">BE77*120%</f>
        <v>0</v>
      </c>
      <c r="BG77" s="572">
        <f t="shared" si="37"/>
        <v>0</v>
      </c>
      <c r="BH77" s="570"/>
      <c r="BI77" s="570"/>
      <c r="BJ77" s="570"/>
      <c r="BK77" s="572">
        <f t="shared" ref="BK77" si="58">BJ77*120%</f>
        <v>0</v>
      </c>
    </row>
    <row r="78" spans="1:63" s="286" customFormat="1" x14ac:dyDescent="0.25">
      <c r="A78" s="255" t="s">
        <v>320</v>
      </c>
      <c r="B78" s="48"/>
      <c r="C78" s="48"/>
      <c r="D78" s="48"/>
      <c r="E78" s="368">
        <v>0.25</v>
      </c>
      <c r="F78" s="48"/>
      <c r="G78" s="48"/>
      <c r="H78" s="368">
        <v>0.21000000000000002</v>
      </c>
      <c r="I78" s="368">
        <v>0.21000000000000002</v>
      </c>
      <c r="J78" s="368">
        <v>0.21</v>
      </c>
      <c r="K78" s="368">
        <v>0.2</v>
      </c>
      <c r="L78" s="368">
        <v>0.21000000000000002</v>
      </c>
      <c r="N78" s="61"/>
      <c r="O78" s="298"/>
      <c r="P78" s="61"/>
      <c r="Q78" s="296"/>
      <c r="R78" s="61"/>
      <c r="W78" s="223"/>
      <c r="X78" s="223"/>
      <c r="Y78" s="223"/>
      <c r="Z78" s="223"/>
      <c r="AA78" s="223"/>
      <c r="AB78" s="223"/>
      <c r="AC78" s="223"/>
      <c r="AD78" s="223"/>
      <c r="AE78" s="223"/>
      <c r="AF78" s="223"/>
      <c r="AG78" s="223"/>
      <c r="AH78" s="369">
        <v>3000</v>
      </c>
      <c r="AI78" s="369">
        <v>3000</v>
      </c>
      <c r="AJ78" s="369">
        <v>3000</v>
      </c>
      <c r="AN78" s="369">
        <v>3000</v>
      </c>
      <c r="AO78" s="570"/>
      <c r="AP78" s="570"/>
      <c r="AQ78" s="570"/>
      <c r="AR78" s="369">
        <v>3000</v>
      </c>
      <c r="AS78" s="570"/>
      <c r="AT78" s="570"/>
      <c r="AU78" s="570"/>
      <c r="AV78" s="369">
        <v>3000</v>
      </c>
      <c r="AW78" s="570"/>
      <c r="AX78" s="570"/>
      <c r="AY78" s="570"/>
      <c r="AZ78" s="369">
        <v>3000</v>
      </c>
      <c r="BA78" s="570"/>
      <c r="BB78" s="369">
        <v>3000</v>
      </c>
      <c r="BC78" s="570"/>
      <c r="BD78" s="570"/>
      <c r="BE78" s="570"/>
      <c r="BF78" s="369">
        <v>3000</v>
      </c>
      <c r="BG78" s="369">
        <v>3000</v>
      </c>
      <c r="BH78" s="570"/>
      <c r="BI78" s="570"/>
      <c r="BJ78" s="570"/>
      <c r="BK78" s="369">
        <v>3000</v>
      </c>
    </row>
    <row r="79" spans="1:63" x14ac:dyDescent="0.25">
      <c r="A79" s="255" t="s">
        <v>207</v>
      </c>
      <c r="B79" s="48"/>
      <c r="C79" s="48"/>
      <c r="D79" s="48"/>
      <c r="E79" s="369">
        <v>3495.6617295107562</v>
      </c>
      <c r="F79" s="48"/>
      <c r="G79" s="48"/>
      <c r="H79" s="369">
        <v>1726.7959510336109</v>
      </c>
      <c r="I79" s="369">
        <v>1438.9966258613424</v>
      </c>
      <c r="J79" s="369">
        <v>700</v>
      </c>
      <c r="K79" s="369">
        <v>1199.1638548844521</v>
      </c>
      <c r="L79" s="369">
        <v>650</v>
      </c>
      <c r="O79" s="369">
        <v>2395.6358708189932</v>
      </c>
      <c r="W79" s="223"/>
      <c r="X79" s="223"/>
      <c r="Y79" s="223"/>
      <c r="Z79" s="223"/>
      <c r="AA79" s="223"/>
      <c r="AB79" s="223"/>
      <c r="AC79" s="223"/>
      <c r="AD79" s="223"/>
      <c r="AE79" s="223"/>
      <c r="AF79" s="223"/>
      <c r="AG79" s="223"/>
      <c r="AH79" s="223"/>
      <c r="AN79" s="570"/>
      <c r="AO79" s="570"/>
      <c r="AP79" s="570"/>
      <c r="AQ79" s="570"/>
      <c r="AR79" s="570"/>
      <c r="AS79" s="570"/>
      <c r="AT79" s="570"/>
      <c r="AU79" s="570"/>
      <c r="AV79" s="570"/>
      <c r="AW79" s="570"/>
      <c r="AX79" s="570"/>
      <c r="AY79" s="570"/>
      <c r="AZ79" s="570"/>
      <c r="BA79" s="570"/>
      <c r="BB79" s="570"/>
      <c r="BC79" s="570"/>
      <c r="BD79" s="570"/>
      <c r="BE79" s="570"/>
      <c r="BF79" s="570"/>
      <c r="BG79" s="570"/>
      <c r="BH79" s="570"/>
      <c r="BI79" s="570"/>
      <c r="BJ79" s="570"/>
      <c r="BK79" s="570"/>
    </row>
    <row r="80" spans="1:63" x14ac:dyDescent="0.25">
      <c r="A80" s="255" t="s">
        <v>208</v>
      </c>
      <c r="B80" s="48"/>
      <c r="C80" s="48"/>
      <c r="D80" s="48"/>
      <c r="E80" s="369">
        <v>4634.1102324893045</v>
      </c>
      <c r="F80" s="48"/>
      <c r="G80" s="48"/>
      <c r="H80" s="369">
        <v>2807.7575612619453</v>
      </c>
      <c r="I80" s="369">
        <v>2339.797967718288</v>
      </c>
      <c r="J80" s="369">
        <v>1450</v>
      </c>
      <c r="K80" s="369">
        <v>1949.8316397652402</v>
      </c>
      <c r="L80" s="369">
        <v>1800</v>
      </c>
      <c r="O80" s="369">
        <v>3299.8840465054354</v>
      </c>
      <c r="W80" s="64"/>
      <c r="X80" s="223"/>
      <c r="Y80" s="223"/>
      <c r="Z80" s="223"/>
      <c r="AA80" s="223"/>
      <c r="AB80" s="223"/>
      <c r="AC80" s="279"/>
      <c r="AD80" s="279"/>
      <c r="AE80" s="279"/>
      <c r="AF80" s="279"/>
      <c r="AG80" s="279"/>
      <c r="AH80" s="279"/>
      <c r="AN80" s="570"/>
      <c r="AO80" s="570"/>
      <c r="AP80" s="570"/>
      <c r="AQ80" s="570"/>
      <c r="AR80" s="570"/>
      <c r="AS80" s="570"/>
      <c r="AT80" s="570"/>
      <c r="AU80" s="570"/>
      <c r="AV80" s="570"/>
      <c r="AW80" s="570"/>
      <c r="AX80" s="570"/>
      <c r="AY80" s="570"/>
      <c r="AZ80" s="570"/>
      <c r="BA80" s="570"/>
      <c r="BB80" s="570"/>
      <c r="BC80" s="570"/>
      <c r="BD80" s="570"/>
      <c r="BE80" s="570"/>
      <c r="BF80" s="570"/>
      <c r="BG80" s="570"/>
      <c r="BH80" s="570"/>
      <c r="BI80" s="570"/>
      <c r="BJ80" s="570"/>
      <c r="BK80" s="570"/>
    </row>
    <row r="81" spans="1:63" x14ac:dyDescent="0.25">
      <c r="A81" s="255" t="s">
        <v>209</v>
      </c>
      <c r="B81" s="48"/>
      <c r="C81" s="48"/>
      <c r="D81" s="48"/>
      <c r="E81" s="369">
        <v>3785.1365710968435</v>
      </c>
      <c r="F81" s="48"/>
      <c r="G81" s="48"/>
      <c r="H81" s="369">
        <v>2443.9672371574243</v>
      </c>
      <c r="I81" s="369">
        <v>2036.6393642978535</v>
      </c>
      <c r="J81" s="369">
        <v>1310</v>
      </c>
      <c r="K81" s="369">
        <v>1697.1994702482114</v>
      </c>
      <c r="L81" s="369">
        <v>1280.622338719555</v>
      </c>
      <c r="O81" s="369">
        <v>2746.3165113614587</v>
      </c>
      <c r="W81" s="64"/>
      <c r="X81" s="223"/>
      <c r="Y81" s="223"/>
      <c r="Z81" s="223"/>
      <c r="AA81" s="223"/>
      <c r="AB81" s="223"/>
      <c r="AC81" s="223"/>
      <c r="AD81" s="223"/>
      <c r="AE81" s="223"/>
      <c r="AF81" s="223"/>
      <c r="AG81" s="223"/>
      <c r="AH81" s="223"/>
      <c r="AN81" s="570"/>
      <c r="AO81" s="570"/>
      <c r="AP81" s="570"/>
      <c r="AQ81" s="570"/>
      <c r="AR81" s="570"/>
      <c r="AS81" s="570"/>
      <c r="AT81" s="570"/>
      <c r="AU81" s="570"/>
      <c r="AV81" s="570"/>
      <c r="AW81" s="570"/>
      <c r="AX81" s="570"/>
      <c r="AY81" s="570"/>
      <c r="AZ81" s="570"/>
      <c r="BA81" s="570"/>
      <c r="BB81" s="570"/>
      <c r="BC81" s="570"/>
      <c r="BD81" s="570"/>
      <c r="BE81" s="570"/>
      <c r="BF81" s="570"/>
      <c r="BG81" s="570"/>
      <c r="BH81" s="570"/>
      <c r="BI81" s="570"/>
      <c r="BJ81" s="570"/>
      <c r="BK81" s="570"/>
    </row>
    <row r="82" spans="1:63" x14ac:dyDescent="0.25">
      <c r="A82" s="255" t="s">
        <v>210</v>
      </c>
      <c r="B82" s="48"/>
      <c r="C82" s="48"/>
      <c r="D82" s="48"/>
      <c r="E82" s="369">
        <v>3657.0703438376295</v>
      </c>
      <c r="F82" s="48"/>
      <c r="G82" s="48"/>
      <c r="H82" s="369">
        <v>2399.6767412693034</v>
      </c>
      <c r="I82" s="369">
        <v>1999.7306177244195</v>
      </c>
      <c r="J82" s="369">
        <v>1700</v>
      </c>
      <c r="K82" s="369">
        <v>1666.4421814370164</v>
      </c>
      <c r="L82" s="369">
        <v>1461.8924587655522</v>
      </c>
      <c r="O82" s="369">
        <v>2803.130144429183</v>
      </c>
      <c r="AN82" s="570"/>
      <c r="AO82" s="570"/>
      <c r="AP82" s="570"/>
      <c r="AQ82" s="570"/>
      <c r="AR82" s="570"/>
      <c r="AS82" s="570"/>
      <c r="AT82" s="570"/>
      <c r="AU82" s="570"/>
      <c r="AV82" s="570"/>
      <c r="AW82" s="570"/>
      <c r="AX82" s="570"/>
      <c r="AY82" s="570"/>
      <c r="AZ82" s="570"/>
      <c r="BA82" s="570"/>
      <c r="BB82" s="570"/>
      <c r="BC82" s="570"/>
      <c r="BD82" s="570"/>
      <c r="BE82" s="570"/>
      <c r="BF82" s="570"/>
      <c r="BG82" s="570"/>
      <c r="BH82" s="570"/>
      <c r="BI82" s="570"/>
      <c r="BJ82" s="570"/>
      <c r="BK82" s="570"/>
    </row>
    <row r="83" spans="1:63" x14ac:dyDescent="0.25">
      <c r="A83" s="255" t="s">
        <v>211</v>
      </c>
      <c r="B83" s="256"/>
      <c r="C83" s="256"/>
      <c r="D83" s="256"/>
      <c r="E83" s="369">
        <v>4242.0525639503085</v>
      </c>
      <c r="F83" s="256"/>
      <c r="G83" s="256"/>
      <c r="H83" s="369">
        <v>2670.2066381906216</v>
      </c>
      <c r="I83" s="369">
        <v>2225.1721984921846</v>
      </c>
      <c r="J83" s="369">
        <v>1854.310165410154</v>
      </c>
      <c r="K83" s="369">
        <v>1854.310165410154</v>
      </c>
      <c r="L83" s="369">
        <v>1611.6830659707014</v>
      </c>
      <c r="O83" s="369">
        <v>3195.4816592889551</v>
      </c>
      <c r="AN83" s="570"/>
      <c r="AO83" s="570"/>
      <c r="AP83" s="570"/>
      <c r="AQ83" s="570"/>
      <c r="AR83" s="570"/>
      <c r="AS83" s="570"/>
      <c r="AT83" s="570"/>
      <c r="AU83" s="570"/>
      <c r="AV83" s="570"/>
      <c r="AW83" s="570"/>
      <c r="AX83" s="570"/>
      <c r="AY83" s="570"/>
      <c r="AZ83" s="570"/>
      <c r="BA83" s="570"/>
      <c r="BB83" s="570"/>
      <c r="BC83" s="570"/>
      <c r="BD83" s="570"/>
      <c r="BE83" s="570"/>
      <c r="BF83" s="570"/>
      <c r="BG83" s="570"/>
      <c r="BH83" s="570"/>
      <c r="BI83" s="570"/>
      <c r="BJ83" s="570"/>
      <c r="BK83" s="570"/>
    </row>
    <row r="84" spans="1:63" s="286" customFormat="1" x14ac:dyDescent="0.25">
      <c r="A84" s="255" t="s">
        <v>260</v>
      </c>
      <c r="B84" s="256"/>
      <c r="C84" s="256"/>
      <c r="D84" s="256"/>
      <c r="E84" s="369">
        <v>4056.8147324178617</v>
      </c>
      <c r="F84" s="256"/>
      <c r="G84" s="256"/>
      <c r="H84" s="369">
        <v>3008.6055180734152</v>
      </c>
      <c r="I84" s="369">
        <v>2507.1712650611794</v>
      </c>
      <c r="J84" s="369">
        <v>2089.309387550983</v>
      </c>
      <c r="K84" s="369">
        <v>2089.309387550983</v>
      </c>
      <c r="L84" s="369">
        <v>1794.6891499808048</v>
      </c>
      <c r="O84" s="369">
        <v>3224.8667995294672</v>
      </c>
      <c r="AN84" s="570"/>
      <c r="AO84" s="570"/>
      <c r="AP84" s="570"/>
      <c r="AQ84" s="570"/>
      <c r="AR84" s="570"/>
      <c r="AS84" s="570"/>
      <c r="AT84" s="570"/>
      <c r="AU84" s="570"/>
      <c r="AV84" s="570"/>
      <c r="AW84" s="570"/>
      <c r="AX84" s="570"/>
      <c r="AY84" s="570"/>
      <c r="AZ84" s="570"/>
      <c r="BA84" s="570"/>
      <c r="BB84" s="570"/>
      <c r="BC84" s="570"/>
      <c r="BD84" s="570"/>
      <c r="BE84" s="570"/>
      <c r="BF84" s="570"/>
      <c r="BG84" s="570"/>
      <c r="BH84" s="570"/>
      <c r="BI84" s="570"/>
      <c r="BJ84" s="570"/>
      <c r="BK84" s="570"/>
    </row>
    <row r="85" spans="1:63" s="286" customFormat="1" x14ac:dyDescent="0.25">
      <c r="A85" s="255" t="s">
        <v>261</v>
      </c>
      <c r="B85" s="256"/>
      <c r="C85" s="256"/>
      <c r="D85" s="256"/>
      <c r="E85" s="369">
        <v>4143.5626874537656</v>
      </c>
      <c r="F85" s="256"/>
      <c r="G85" s="256"/>
      <c r="H85" s="369">
        <v>2656.1579895951127</v>
      </c>
      <c r="I85" s="369">
        <v>2213.4649913292606</v>
      </c>
      <c r="J85" s="369">
        <v>1844.5541594410504</v>
      </c>
      <c r="K85" s="369">
        <v>1844.5541594410504</v>
      </c>
      <c r="L85" s="369">
        <v>1627.030641632444</v>
      </c>
      <c r="O85" s="369">
        <v>3156.4684381485122</v>
      </c>
      <c r="AN85" s="570"/>
      <c r="AO85" s="570"/>
      <c r="AP85" s="570"/>
      <c r="AQ85" s="570"/>
      <c r="AR85" s="570"/>
      <c r="AS85" s="570"/>
      <c r="AT85" s="570"/>
      <c r="AU85" s="570"/>
      <c r="AV85" s="570"/>
      <c r="AW85" s="570"/>
      <c r="AX85" s="570"/>
      <c r="AY85" s="570"/>
      <c r="AZ85" s="570"/>
      <c r="BA85" s="570"/>
      <c r="BB85" s="570"/>
      <c r="BC85" s="570"/>
      <c r="BD85" s="570"/>
      <c r="BE85" s="570"/>
      <c r="BF85" s="570"/>
      <c r="BG85" s="570"/>
      <c r="BH85" s="570"/>
      <c r="BI85" s="570"/>
      <c r="BJ85" s="570"/>
      <c r="BK85" s="570"/>
    </row>
    <row r="86" spans="1:63" s="286" customFormat="1" x14ac:dyDescent="0.25">
      <c r="A86" s="255" t="s">
        <v>262</v>
      </c>
      <c r="B86" s="256"/>
      <c r="C86" s="256"/>
      <c r="D86" s="256"/>
      <c r="E86" s="369">
        <v>5503.1578263365454</v>
      </c>
      <c r="F86" s="256"/>
      <c r="G86" s="256"/>
      <c r="H86" s="369">
        <v>2080.5135907934396</v>
      </c>
      <c r="I86" s="369">
        <v>1733.7613256611996</v>
      </c>
      <c r="J86" s="369">
        <v>1444.8011047176665</v>
      </c>
      <c r="K86" s="369">
        <v>1444.8011047176665</v>
      </c>
      <c r="L86" s="369">
        <v>1191.5500590197091</v>
      </c>
      <c r="O86" s="369">
        <v>3545.945619181412</v>
      </c>
      <c r="AN86" s="570"/>
      <c r="AO86" s="570"/>
      <c r="AP86" s="570"/>
      <c r="AQ86" s="570"/>
      <c r="AR86" s="570"/>
      <c r="AS86" s="570"/>
      <c r="AT86" s="570"/>
      <c r="AU86" s="570"/>
      <c r="AV86" s="570"/>
      <c r="AW86" s="570"/>
      <c r="AX86" s="570"/>
      <c r="AY86" s="570"/>
      <c r="AZ86" s="570"/>
      <c r="BA86" s="570"/>
      <c r="BB86" s="570"/>
      <c r="BC86" s="570"/>
      <c r="BD86" s="570"/>
      <c r="BE86" s="570"/>
      <c r="BF86" s="570"/>
      <c r="BG86" s="570"/>
      <c r="BH86" s="570"/>
      <c r="BI86" s="570"/>
      <c r="BJ86" s="570"/>
      <c r="BK86" s="570"/>
    </row>
    <row r="87" spans="1:63" s="286" customFormat="1" x14ac:dyDescent="0.25">
      <c r="A87" s="255" t="s">
        <v>263</v>
      </c>
      <c r="B87" s="256"/>
      <c r="C87" s="256"/>
      <c r="D87" s="256"/>
      <c r="E87" s="369">
        <v>4800.5133871399667</v>
      </c>
      <c r="F87" s="256"/>
      <c r="G87" s="256"/>
      <c r="H87" s="369">
        <v>1884.5411935682564</v>
      </c>
      <c r="I87" s="369">
        <v>1570.4509946402138</v>
      </c>
      <c r="J87" s="369">
        <v>1308.7091622001783</v>
      </c>
      <c r="K87" s="369">
        <v>1308.7091622001783</v>
      </c>
      <c r="L87" s="369">
        <v>1231.5615191930046</v>
      </c>
      <c r="O87" s="369">
        <v>3221.2977063653198</v>
      </c>
      <c r="AN87" s="570"/>
      <c r="AO87" s="570"/>
      <c r="AP87" s="570"/>
      <c r="AQ87" s="570"/>
      <c r="AR87" s="570"/>
      <c r="AS87" s="570"/>
      <c r="AT87" s="570"/>
      <c r="AU87" s="570"/>
      <c r="AV87" s="570"/>
      <c r="AW87" s="570"/>
      <c r="AX87" s="570"/>
      <c r="AY87" s="570"/>
      <c r="AZ87" s="570"/>
      <c r="BA87" s="570"/>
      <c r="BB87" s="570"/>
      <c r="BC87" s="570"/>
      <c r="BD87" s="570"/>
      <c r="BE87" s="570"/>
      <c r="BF87" s="570"/>
      <c r="BG87" s="570"/>
      <c r="BH87" s="570"/>
      <c r="BI87" s="570"/>
      <c r="BJ87" s="570"/>
      <c r="BK87" s="570"/>
    </row>
    <row r="88" spans="1:63" s="286" customFormat="1" x14ac:dyDescent="0.25">
      <c r="A88" s="255" t="s">
        <v>264</v>
      </c>
      <c r="B88" s="256"/>
      <c r="C88" s="256"/>
      <c r="D88" s="256"/>
      <c r="E88" s="369">
        <v>5235.095465926086</v>
      </c>
      <c r="F88" s="256"/>
      <c r="G88" s="256"/>
      <c r="H88" s="369">
        <v>1881.5791352641322</v>
      </c>
      <c r="I88" s="369">
        <v>1567.9826127201102</v>
      </c>
      <c r="J88" s="369">
        <v>1306.6521772667586</v>
      </c>
      <c r="K88" s="369">
        <v>1306.6521772667586</v>
      </c>
      <c r="L88" s="369">
        <v>1170.4336222584232</v>
      </c>
      <c r="O88" s="369">
        <v>3397.8368144686583</v>
      </c>
      <c r="AN88" s="570"/>
      <c r="AO88" s="570"/>
      <c r="AP88" s="570"/>
      <c r="AQ88" s="570"/>
      <c r="AR88" s="570"/>
      <c r="AS88" s="570"/>
      <c r="AT88" s="570"/>
      <c r="AU88" s="570"/>
      <c r="AV88" s="570"/>
      <c r="AW88" s="570"/>
      <c r="AX88" s="570"/>
      <c r="AY88" s="570"/>
      <c r="AZ88" s="570"/>
      <c r="BA88" s="570"/>
      <c r="BB88" s="570"/>
      <c r="BC88" s="570"/>
      <c r="BD88" s="570"/>
      <c r="BE88" s="570"/>
      <c r="BF88" s="570"/>
      <c r="BG88" s="570"/>
      <c r="BH88" s="570"/>
      <c r="BI88" s="570"/>
      <c r="BJ88" s="570"/>
      <c r="BK88" s="570"/>
    </row>
    <row r="89" spans="1:63" s="286" customFormat="1" x14ac:dyDescent="0.25">
      <c r="A89" s="255" t="s">
        <v>265</v>
      </c>
      <c r="B89" s="256"/>
      <c r="C89" s="256"/>
      <c r="D89" s="256"/>
      <c r="E89" s="369">
        <v>5815.1950576279578</v>
      </c>
      <c r="F89" s="256"/>
      <c r="G89" s="256"/>
      <c r="H89" s="369">
        <v>1962.0397540595427</v>
      </c>
      <c r="I89" s="369">
        <v>1635.0331283829523</v>
      </c>
      <c r="J89" s="369">
        <v>1362.5276069857937</v>
      </c>
      <c r="K89" s="369">
        <v>1362.5276069857937</v>
      </c>
      <c r="L89" s="369">
        <v>1224.1808169507099</v>
      </c>
      <c r="O89" s="369">
        <v>3723.7180734477856</v>
      </c>
      <c r="AN89" s="570"/>
      <c r="AO89" s="570"/>
      <c r="AP89" s="570"/>
      <c r="AQ89" s="570"/>
      <c r="AR89" s="570"/>
      <c r="AS89" s="570"/>
      <c r="AT89" s="570"/>
      <c r="AU89" s="570"/>
      <c r="AV89" s="570"/>
      <c r="AW89" s="570"/>
      <c r="AX89" s="570"/>
      <c r="AY89" s="570"/>
      <c r="AZ89" s="570"/>
      <c r="BA89" s="570"/>
      <c r="BB89" s="570"/>
      <c r="BC89" s="570"/>
      <c r="BD89" s="570"/>
      <c r="BE89" s="570"/>
      <c r="BF89" s="570"/>
      <c r="BG89" s="570"/>
      <c r="BH89" s="570"/>
      <c r="BI89" s="570"/>
      <c r="BJ89" s="570"/>
      <c r="BK89" s="570"/>
    </row>
    <row r="90" spans="1:63" s="286" customFormat="1" x14ac:dyDescent="0.25">
      <c r="A90" s="255" t="s">
        <v>266</v>
      </c>
      <c r="B90" s="256"/>
      <c r="C90" s="256"/>
      <c r="D90" s="256"/>
      <c r="E90" s="369">
        <v>6599.0717638556389</v>
      </c>
      <c r="F90" s="256"/>
      <c r="G90" s="256"/>
      <c r="H90" s="369">
        <v>2152.6678376892874</v>
      </c>
      <c r="I90" s="369">
        <v>1793.8898647410729</v>
      </c>
      <c r="J90" s="369">
        <v>1494.9082206175608</v>
      </c>
      <c r="K90" s="369">
        <v>1494.9082206175608</v>
      </c>
      <c r="L90" s="369">
        <v>1363.1400925340747</v>
      </c>
      <c r="O90" s="369">
        <v>4208.2959436172023</v>
      </c>
      <c r="AN90" s="570"/>
      <c r="AO90" s="570"/>
      <c r="AP90" s="570"/>
      <c r="AQ90" s="570"/>
      <c r="AR90" s="570"/>
      <c r="AS90" s="570"/>
      <c r="AT90" s="570"/>
      <c r="AU90" s="570"/>
      <c r="AV90" s="570"/>
      <c r="AW90" s="570"/>
      <c r="AX90" s="570"/>
      <c r="AY90" s="570"/>
      <c r="AZ90" s="570"/>
      <c r="BA90" s="570"/>
      <c r="BB90" s="570"/>
      <c r="BC90" s="570"/>
      <c r="BD90" s="570"/>
      <c r="BE90" s="570"/>
      <c r="BF90" s="570"/>
      <c r="BG90" s="570"/>
      <c r="BH90" s="570"/>
      <c r="BI90" s="570"/>
      <c r="BJ90" s="570"/>
      <c r="BK90" s="570"/>
    </row>
    <row r="91" spans="1:63" s="286" customFormat="1" x14ac:dyDescent="0.25">
      <c r="A91" s="255" t="s">
        <v>317</v>
      </c>
      <c r="B91" s="256"/>
      <c r="C91" s="256"/>
      <c r="D91" s="256"/>
      <c r="E91" s="369">
        <v>6776.2158213186003</v>
      </c>
      <c r="F91" s="256"/>
      <c r="G91" s="256"/>
      <c r="H91" s="369">
        <v>3000</v>
      </c>
      <c r="I91" s="369">
        <v>3000</v>
      </c>
      <c r="J91" s="369">
        <v>3000</v>
      </c>
      <c r="K91" s="369">
        <v>3000</v>
      </c>
      <c r="L91" s="369">
        <v>2250</v>
      </c>
      <c r="O91" s="369">
        <v>4888.1079106593006</v>
      </c>
      <c r="AN91" s="570"/>
      <c r="AO91" s="570"/>
      <c r="AP91" s="570"/>
      <c r="AQ91" s="570"/>
      <c r="AR91" s="570"/>
      <c r="AS91" s="570"/>
      <c r="AT91" s="570"/>
      <c r="AU91" s="570"/>
      <c r="AV91" s="570"/>
      <c r="AW91" s="570"/>
      <c r="AX91" s="570"/>
      <c r="AY91" s="570"/>
      <c r="AZ91" s="570"/>
      <c r="BA91" s="570"/>
      <c r="BB91" s="570"/>
      <c r="BC91" s="570"/>
      <c r="BD91" s="570"/>
      <c r="BE91" s="570"/>
      <c r="BF91" s="570"/>
      <c r="BG91" s="570"/>
      <c r="BH91" s="570"/>
      <c r="BI91" s="570"/>
      <c r="BJ91" s="570"/>
      <c r="BK91" s="570"/>
    </row>
    <row r="92" spans="1:63" s="286" customFormat="1" x14ac:dyDescent="0.25">
      <c r="A92" s="255"/>
      <c r="B92" s="256"/>
      <c r="C92" s="256"/>
      <c r="D92" s="256"/>
      <c r="E92" s="256"/>
      <c r="F92" s="256"/>
      <c r="G92" s="256"/>
      <c r="H92" s="256"/>
      <c r="I92" s="256"/>
      <c r="J92" s="256"/>
      <c r="K92" s="256"/>
      <c r="L92" s="256"/>
      <c r="AN92" s="570"/>
      <c r="AO92" s="570"/>
      <c r="AP92" s="570"/>
      <c r="AQ92" s="570"/>
      <c r="AR92" s="570"/>
      <c r="AS92" s="570"/>
      <c r="AT92" s="570"/>
      <c r="AU92" s="570"/>
      <c r="AV92" s="570"/>
      <c r="AW92" s="570"/>
      <c r="AX92" s="570"/>
      <c r="AY92" s="570"/>
      <c r="AZ92" s="570"/>
      <c r="BA92" s="570"/>
      <c r="BB92" s="570"/>
      <c r="BC92" s="570"/>
      <c r="BD92" s="570"/>
      <c r="BE92" s="570"/>
      <c r="BF92" s="570"/>
      <c r="BG92" s="570"/>
      <c r="BH92" s="570"/>
      <c r="BI92" s="570"/>
      <c r="BJ92" s="570"/>
      <c r="BK92" s="570"/>
    </row>
    <row r="93" spans="1:63" s="286" customFormat="1" x14ac:dyDescent="0.25">
      <c r="A93" s="255"/>
      <c r="B93" s="256"/>
      <c r="C93" s="256"/>
      <c r="D93" s="256"/>
      <c r="E93" s="256"/>
      <c r="F93" s="256"/>
      <c r="G93" s="256"/>
      <c r="H93" s="256"/>
      <c r="I93" s="256"/>
      <c r="J93" s="256"/>
      <c r="K93" s="256"/>
      <c r="L93" s="256"/>
      <c r="AN93" s="570"/>
      <c r="AO93" s="570"/>
      <c r="AP93" s="570"/>
      <c r="AQ93" s="570"/>
      <c r="AR93" s="570"/>
      <c r="AS93" s="570"/>
      <c r="AT93" s="570"/>
      <c r="AU93" s="570"/>
      <c r="AV93" s="570"/>
      <c r="AW93" s="570"/>
      <c r="AX93" s="570"/>
      <c r="AY93" s="570"/>
      <c r="AZ93" s="570"/>
      <c r="BA93" s="570"/>
      <c r="BB93" s="570"/>
      <c r="BC93" s="570"/>
      <c r="BD93" s="570"/>
      <c r="BE93" s="570"/>
      <c r="BF93" s="570"/>
      <c r="BG93" s="570"/>
      <c r="BH93" s="570"/>
      <c r="BI93" s="570"/>
      <c r="BJ93" s="570"/>
      <c r="BK93" s="570"/>
    </row>
    <row r="94" spans="1:63" x14ac:dyDescent="0.25">
      <c r="AN94" s="570"/>
      <c r="AO94" s="570"/>
      <c r="AP94" s="570"/>
      <c r="AQ94" s="570"/>
      <c r="AR94" s="570"/>
      <c r="AS94" s="570"/>
      <c r="AT94" s="570"/>
      <c r="AU94" s="570"/>
      <c r="AV94" s="570"/>
      <c r="AW94" s="570"/>
      <c r="AX94" s="570"/>
      <c r="AY94" s="570"/>
      <c r="AZ94" s="570"/>
      <c r="BA94" s="570"/>
      <c r="BB94" s="570"/>
      <c r="BC94" s="570"/>
      <c r="BD94" s="570"/>
      <c r="BE94" s="570"/>
      <c r="BF94" s="570"/>
      <c r="BG94" s="570"/>
      <c r="BH94" s="570"/>
      <c r="BI94" s="570"/>
      <c r="BJ94" s="570"/>
      <c r="BK94" s="570"/>
    </row>
    <row r="95" spans="1:63" ht="15.75" x14ac:dyDescent="0.25">
      <c r="A95" s="642" t="s">
        <v>1364</v>
      </c>
      <c r="B95" s="223" t="s">
        <v>1366</v>
      </c>
      <c r="C95" s="223"/>
      <c r="D95" s="258">
        <v>5.1999999999999998E-2</v>
      </c>
      <c r="E95" s="258">
        <v>5.1999999999999998E-2</v>
      </c>
      <c r="F95" s="258">
        <v>5.1999999999999998E-2</v>
      </c>
      <c r="G95" s="258">
        <v>5.1999999999999998E-2</v>
      </c>
      <c r="H95" s="258">
        <v>5.1999999999999998E-2</v>
      </c>
      <c r="I95" s="258">
        <v>5.1999999999999998E-2</v>
      </c>
      <c r="J95" s="258">
        <v>5.1999999999999998E-2</v>
      </c>
      <c r="K95" s="258">
        <v>5.1999999999999998E-2</v>
      </c>
      <c r="L95" s="258">
        <v>5.1999999999999998E-2</v>
      </c>
      <c r="M95" s="258">
        <v>5.1999999999999998E-2</v>
      </c>
      <c r="N95" s="258">
        <v>5.1999999999999998E-2</v>
      </c>
      <c r="O95" s="258">
        <v>5.1999999999999998E-2</v>
      </c>
      <c r="P95" s="258">
        <v>0.05</v>
      </c>
      <c r="Q95" s="258">
        <v>0.05</v>
      </c>
      <c r="R95" s="258">
        <v>0.05</v>
      </c>
      <c r="S95" s="258">
        <v>0.05</v>
      </c>
      <c r="T95" s="258">
        <v>0.05</v>
      </c>
      <c r="U95" s="258">
        <v>0.05</v>
      </c>
      <c r="V95" s="258">
        <v>0.05</v>
      </c>
      <c r="W95" s="258">
        <v>0.05</v>
      </c>
      <c r="X95" s="258">
        <v>0.05</v>
      </c>
      <c r="Y95" s="258">
        <v>0.05</v>
      </c>
      <c r="Z95" s="258">
        <v>0.05</v>
      </c>
      <c r="AA95" s="258">
        <v>0.05</v>
      </c>
      <c r="AB95" s="258">
        <v>0.05</v>
      </c>
      <c r="AC95" s="258">
        <v>0.05</v>
      </c>
      <c r="AD95" s="258">
        <v>0.05</v>
      </c>
      <c r="AE95" s="258">
        <v>0.05</v>
      </c>
      <c r="AF95" s="258">
        <v>0.05</v>
      </c>
      <c r="AG95" s="258">
        <v>0.05</v>
      </c>
      <c r="AH95" s="258">
        <v>3.5000000000000003E-2</v>
      </c>
      <c r="AI95" s="258">
        <v>3.5000000000000003E-2</v>
      </c>
      <c r="AJ95" s="258">
        <v>0.06</v>
      </c>
      <c r="AK95" s="258">
        <v>0.06</v>
      </c>
      <c r="AL95" s="258">
        <v>0.04</v>
      </c>
      <c r="AM95" s="258">
        <v>0.03</v>
      </c>
      <c r="AN95" s="258">
        <v>0.05</v>
      </c>
      <c r="AO95" s="258">
        <v>0.05</v>
      </c>
      <c r="AP95" s="258">
        <v>0.05</v>
      </c>
      <c r="AQ95" s="258">
        <v>0.05</v>
      </c>
      <c r="AR95" s="258">
        <v>0.05</v>
      </c>
      <c r="AS95" s="258">
        <v>0.05</v>
      </c>
      <c r="AT95" s="258">
        <v>0.05</v>
      </c>
      <c r="AU95" s="258">
        <v>0.05</v>
      </c>
      <c r="AV95" s="258">
        <v>0.05</v>
      </c>
      <c r="AW95" s="258">
        <v>0.05</v>
      </c>
      <c r="AX95" s="258">
        <v>0.05</v>
      </c>
      <c r="AY95" s="258">
        <v>0.05</v>
      </c>
      <c r="AZ95" s="258">
        <v>0.05</v>
      </c>
      <c r="BA95" s="258">
        <v>0.05</v>
      </c>
      <c r="BB95" s="258">
        <v>0.05</v>
      </c>
      <c r="BC95" s="258">
        <v>0.05</v>
      </c>
      <c r="BD95" s="258">
        <v>0.05</v>
      </c>
      <c r="BE95" s="258">
        <v>0.05</v>
      </c>
      <c r="BF95" s="258">
        <v>0.05</v>
      </c>
      <c r="BG95" s="258">
        <v>0.05</v>
      </c>
      <c r="BH95" s="258">
        <v>0.05</v>
      </c>
      <c r="BI95" s="258">
        <v>0.05</v>
      </c>
      <c r="BJ95" s="258">
        <v>0.05</v>
      </c>
      <c r="BK95" s="258">
        <v>0.05</v>
      </c>
    </row>
    <row r="96" spans="1:63" x14ac:dyDescent="0.25">
      <c r="A96" s="640" t="s">
        <v>1365</v>
      </c>
      <c r="B96" s="223" t="s">
        <v>1366</v>
      </c>
      <c r="C96" s="223"/>
      <c r="D96" s="258">
        <v>5.1999999999999998E-2</v>
      </c>
      <c r="E96" s="258">
        <v>5.1999999999999998E-2</v>
      </c>
      <c r="F96" s="258">
        <v>5.1999999999999998E-2</v>
      </c>
      <c r="G96" s="258">
        <v>5.1999999999999998E-2</v>
      </c>
      <c r="H96" s="258">
        <v>5.1999999999999998E-2</v>
      </c>
      <c r="I96" s="258">
        <v>5.1999999999999998E-2</v>
      </c>
      <c r="J96" s="258">
        <v>5.1999999999999998E-2</v>
      </c>
      <c r="K96" s="258">
        <v>5.1999999999999998E-2</v>
      </c>
      <c r="L96" s="258">
        <v>5.1999999999999998E-2</v>
      </c>
      <c r="M96" s="258">
        <v>5.1999999999999998E-2</v>
      </c>
      <c r="N96" s="258">
        <v>5.1999999999999998E-2</v>
      </c>
      <c r="O96" s="258">
        <v>5.1999999999999998E-2</v>
      </c>
      <c r="P96" s="258">
        <v>0.05</v>
      </c>
      <c r="Q96" s="258">
        <v>0.05</v>
      </c>
      <c r="R96" s="258">
        <v>0.05</v>
      </c>
      <c r="S96" s="258">
        <v>0.05</v>
      </c>
      <c r="T96" s="258">
        <v>0.05</v>
      </c>
      <c r="U96" s="258">
        <v>0.05</v>
      </c>
      <c r="V96" s="258">
        <v>0.05</v>
      </c>
      <c r="W96" s="258">
        <v>0.05</v>
      </c>
      <c r="X96" s="258">
        <v>0.05</v>
      </c>
      <c r="Y96" s="258">
        <v>0.05</v>
      </c>
      <c r="Z96" s="258">
        <v>0.05</v>
      </c>
      <c r="AA96" s="258">
        <v>0.05</v>
      </c>
      <c r="AB96" s="258">
        <v>0.05</v>
      </c>
      <c r="AC96" s="258">
        <v>0.05</v>
      </c>
      <c r="AD96" s="258">
        <v>0.05</v>
      </c>
      <c r="AE96" s="258">
        <v>0.05</v>
      </c>
      <c r="AF96" s="258">
        <v>0.05</v>
      </c>
      <c r="AG96" s="258">
        <v>0.05</v>
      </c>
      <c r="AH96" s="258">
        <v>3.5000000000000003E-2</v>
      </c>
      <c r="AI96" s="258">
        <v>3.5000000000000003E-2</v>
      </c>
      <c r="AJ96" s="258">
        <v>0.06</v>
      </c>
      <c r="AK96" s="258">
        <v>0.06</v>
      </c>
      <c r="AL96" s="258">
        <v>0.04</v>
      </c>
      <c r="AM96" s="258">
        <v>0.03</v>
      </c>
      <c r="AN96" s="258">
        <v>0.05</v>
      </c>
      <c r="AO96" s="258">
        <v>0.05</v>
      </c>
      <c r="AP96" s="258">
        <v>0.05</v>
      </c>
      <c r="AQ96" s="258">
        <v>0.05</v>
      </c>
      <c r="AR96" s="258">
        <v>0.05</v>
      </c>
      <c r="AS96" s="258">
        <v>0.05</v>
      </c>
      <c r="AT96" s="258">
        <v>0.05</v>
      </c>
      <c r="AU96" s="258">
        <v>0.05</v>
      </c>
      <c r="AV96" s="258">
        <v>0.05</v>
      </c>
      <c r="AW96" s="258">
        <v>0.05</v>
      </c>
      <c r="AX96" s="258">
        <v>0.05</v>
      </c>
      <c r="AY96" s="258">
        <v>0.05</v>
      </c>
      <c r="AZ96" s="258">
        <v>0.05</v>
      </c>
      <c r="BA96" s="258">
        <v>0.05</v>
      </c>
      <c r="BB96" s="258">
        <v>0.05</v>
      </c>
      <c r="BC96" s="258">
        <v>0.05</v>
      </c>
      <c r="BD96" s="258">
        <v>0.05</v>
      </c>
      <c r="BE96" s="258">
        <v>0.05</v>
      </c>
      <c r="BF96" s="258">
        <v>0.05</v>
      </c>
      <c r="BG96" s="258">
        <v>0.05</v>
      </c>
      <c r="BH96" s="258">
        <v>0.05</v>
      </c>
      <c r="BI96" s="258">
        <v>0.05</v>
      </c>
      <c r="BJ96" s="258">
        <v>0.05</v>
      </c>
      <c r="BK96" s="258">
        <v>0.05</v>
      </c>
    </row>
    <row r="97" spans="1:63" s="406" customFormat="1" x14ac:dyDescent="0.25">
      <c r="A97" s="640" t="s">
        <v>451</v>
      </c>
      <c r="B97" s="223" t="s">
        <v>1366</v>
      </c>
      <c r="C97" s="223"/>
      <c r="D97" s="257"/>
      <c r="E97" s="257"/>
      <c r="F97" s="257"/>
      <c r="G97" s="257"/>
      <c r="H97" s="257"/>
      <c r="I97" s="257"/>
      <c r="J97" s="257"/>
      <c r="K97" s="257"/>
      <c r="L97" s="257"/>
      <c r="M97" s="372"/>
      <c r="N97" s="372"/>
      <c r="O97" s="372"/>
      <c r="P97" s="372"/>
      <c r="Q97" s="372"/>
      <c r="R97" s="372"/>
      <c r="S97" s="372"/>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c r="AQ97" s="372"/>
      <c r="AR97" s="372"/>
      <c r="AS97" s="372"/>
      <c r="AT97" s="372"/>
      <c r="AU97" s="372"/>
      <c r="AV97" s="372"/>
      <c r="AW97" s="372"/>
      <c r="AX97" s="372"/>
      <c r="AY97" s="372"/>
      <c r="AZ97" s="372"/>
      <c r="BA97" s="372"/>
      <c r="BB97" s="372"/>
      <c r="BC97" s="372"/>
      <c r="BD97" s="372"/>
      <c r="BE97" s="372"/>
      <c r="BF97" s="372"/>
      <c r="BG97" s="372"/>
      <c r="BH97" s="372"/>
      <c r="BI97" s="372"/>
      <c r="BJ97" s="372"/>
      <c r="BK97" s="372"/>
    </row>
    <row r="98" spans="1:63" x14ac:dyDescent="0.25">
      <c r="A98" s="636" t="s">
        <v>492</v>
      </c>
      <c r="B98" s="223" t="s">
        <v>1366</v>
      </c>
      <c r="D98" s="257"/>
      <c r="E98" s="257"/>
      <c r="F98" s="257"/>
      <c r="G98" s="257"/>
      <c r="H98" s="257"/>
      <c r="I98" s="257"/>
      <c r="J98" s="257"/>
      <c r="K98" s="257"/>
      <c r="L98" s="257"/>
      <c r="M98" s="372"/>
      <c r="N98" s="372"/>
      <c r="O98" s="372"/>
      <c r="P98" s="372"/>
      <c r="Q98" s="372"/>
      <c r="R98" s="372"/>
      <c r="S98" s="372"/>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c r="AQ98" s="372"/>
      <c r="AR98" s="372"/>
      <c r="AS98" s="372"/>
      <c r="AT98" s="372"/>
      <c r="AU98" s="372"/>
      <c r="AV98" s="372"/>
      <c r="AW98" s="372"/>
      <c r="AX98" s="372"/>
      <c r="AY98" s="372"/>
      <c r="AZ98" s="372"/>
      <c r="BA98" s="372"/>
      <c r="BB98" s="372"/>
      <c r="BC98" s="372"/>
      <c r="BD98" s="372"/>
      <c r="BE98" s="372"/>
      <c r="BF98" s="372"/>
      <c r="BG98" s="372"/>
      <c r="BH98" s="372"/>
      <c r="BI98" s="372"/>
      <c r="BJ98" s="372"/>
      <c r="BK98" s="372"/>
    </row>
    <row r="99" spans="1:63" x14ac:dyDescent="0.25">
      <c r="A99" s="640" t="s">
        <v>206</v>
      </c>
      <c r="B99" s="223" t="s">
        <v>1366</v>
      </c>
      <c r="C99" s="223"/>
      <c r="D99" s="257"/>
      <c r="E99" s="257"/>
      <c r="F99" s="257"/>
      <c r="G99" s="257"/>
      <c r="H99" s="257"/>
      <c r="I99" s="257"/>
      <c r="J99" s="257"/>
      <c r="K99" s="257"/>
      <c r="L99" s="257"/>
      <c r="M99" s="372"/>
      <c r="N99" s="372"/>
      <c r="O99" s="372"/>
      <c r="P99" s="372"/>
      <c r="Q99" s="372"/>
      <c r="R99" s="372"/>
      <c r="S99" s="372"/>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c r="AQ99" s="372"/>
      <c r="AR99" s="372"/>
      <c r="AS99" s="372"/>
      <c r="AT99" s="372"/>
      <c r="AU99" s="372"/>
      <c r="AV99" s="372"/>
      <c r="AW99" s="372"/>
      <c r="AX99" s="372"/>
      <c r="AY99" s="372"/>
      <c r="AZ99" s="372"/>
      <c r="BA99" s="372"/>
      <c r="BB99" s="372"/>
      <c r="BC99" s="372"/>
      <c r="BD99" s="372"/>
      <c r="BE99" s="372"/>
      <c r="BF99" s="372"/>
      <c r="BG99" s="372"/>
      <c r="BH99" s="372"/>
      <c r="BI99" s="372"/>
      <c r="BJ99" s="372"/>
      <c r="BK99" s="372"/>
    </row>
    <row r="100" spans="1:63" s="406" customFormat="1" x14ac:dyDescent="0.25">
      <c r="A100" s="640"/>
      <c r="B100" s="223"/>
      <c r="C100" s="223"/>
      <c r="D100" s="257"/>
      <c r="E100" s="257"/>
      <c r="F100" s="257"/>
      <c r="G100" s="257"/>
      <c r="H100" s="257"/>
      <c r="I100" s="257"/>
      <c r="J100" s="257"/>
      <c r="K100" s="257"/>
      <c r="L100" s="257"/>
      <c r="M100" s="372"/>
      <c r="N100" s="372"/>
      <c r="O100" s="372"/>
      <c r="P100" s="372"/>
      <c r="Q100" s="372"/>
      <c r="R100" s="372"/>
      <c r="S100" s="372"/>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c r="AQ100" s="372"/>
      <c r="AR100" s="372"/>
      <c r="AS100" s="372"/>
      <c r="AT100" s="372"/>
      <c r="AU100" s="372"/>
      <c r="AV100" s="372"/>
      <c r="AW100" s="372"/>
      <c r="AX100" s="372"/>
      <c r="AY100" s="372"/>
      <c r="AZ100" s="372"/>
      <c r="BA100" s="372"/>
      <c r="BB100" s="372"/>
      <c r="BC100" s="372"/>
      <c r="BD100" s="372"/>
      <c r="BE100" s="372"/>
      <c r="BF100" s="372"/>
      <c r="BG100" s="372"/>
      <c r="BH100" s="372"/>
      <c r="BI100" s="372"/>
      <c r="BJ100" s="372"/>
      <c r="BK100" s="372"/>
    </row>
    <row r="101" spans="1:63" x14ac:dyDescent="0.25">
      <c r="A101" s="643"/>
      <c r="B101" s="223"/>
      <c r="C101" s="223"/>
      <c r="D101" s="223"/>
      <c r="E101" s="223"/>
      <c r="F101" s="223"/>
      <c r="G101" s="223"/>
      <c r="H101" s="293"/>
      <c r="I101" s="293"/>
      <c r="J101" s="293"/>
      <c r="K101" s="223"/>
      <c r="L101" s="223"/>
      <c r="M101" s="223"/>
      <c r="AN101" s="570"/>
      <c r="AO101" s="570"/>
      <c r="AP101" s="570"/>
      <c r="AQ101" s="570"/>
      <c r="AR101" s="570"/>
      <c r="AS101" s="570"/>
      <c r="AT101" s="570"/>
      <c r="AU101" s="570"/>
      <c r="AV101" s="570"/>
      <c r="AW101" s="570"/>
      <c r="AX101" s="570"/>
      <c r="AY101" s="570"/>
      <c r="AZ101" s="570"/>
      <c r="BA101" s="570"/>
      <c r="BB101" s="570"/>
      <c r="BC101" s="570"/>
      <c r="BD101" s="570"/>
      <c r="BE101" s="570"/>
      <c r="BF101" s="570"/>
      <c r="BG101" s="570"/>
      <c r="BH101" s="570"/>
      <c r="BI101" s="570"/>
      <c r="BJ101" s="570"/>
      <c r="BK101" s="570"/>
    </row>
    <row r="102" spans="1:63" x14ac:dyDescent="0.25">
      <c r="A102" s="636" t="s">
        <v>492</v>
      </c>
      <c r="B102" s="420" t="s">
        <v>447</v>
      </c>
      <c r="C102" s="420"/>
      <c r="D102" s="423">
        <v>66955.239999999991</v>
      </c>
      <c r="E102" s="423">
        <v>117273.04000000001</v>
      </c>
      <c r="F102" s="423">
        <v>111961.93</v>
      </c>
      <c r="G102" s="423">
        <v>140068.5</v>
      </c>
      <c r="H102" s="423">
        <v>96064.320000000007</v>
      </c>
      <c r="I102" s="423">
        <v>100778.07</v>
      </c>
      <c r="J102" s="423">
        <v>97579.95</v>
      </c>
      <c r="K102" s="423">
        <v>97200.08</v>
      </c>
      <c r="L102" s="423">
        <v>116000</v>
      </c>
      <c r="M102" s="423">
        <f>40000+67163+17388</f>
        <v>124551</v>
      </c>
      <c r="N102" s="422">
        <v>150000</v>
      </c>
      <c r="O102" s="422">
        <v>50000</v>
      </c>
      <c r="P102" s="422">
        <f>P104</f>
        <v>200000</v>
      </c>
      <c r="Q102" s="422">
        <v>300000</v>
      </c>
      <c r="R102" s="422">
        <v>500000</v>
      </c>
      <c r="S102" s="422">
        <f>S103*200%</f>
        <v>1400000</v>
      </c>
      <c r="T102" s="422">
        <f t="shared" ref="T102:X102" si="59">T103*200%</f>
        <v>1400000</v>
      </c>
      <c r="U102" s="422">
        <f t="shared" si="59"/>
        <v>1400000</v>
      </c>
      <c r="V102" s="422">
        <f t="shared" si="59"/>
        <v>1400000</v>
      </c>
      <c r="W102" s="422">
        <f t="shared" si="59"/>
        <v>1400000</v>
      </c>
      <c r="X102" s="422">
        <f t="shared" si="59"/>
        <v>1400000</v>
      </c>
      <c r="Y102" s="422">
        <v>600000</v>
      </c>
      <c r="Z102" s="422">
        <v>600000</v>
      </c>
      <c r="AA102" s="422">
        <v>600000</v>
      </c>
      <c r="AB102" s="422">
        <v>600000</v>
      </c>
      <c r="AC102" s="422">
        <v>600000</v>
      </c>
      <c r="AD102" s="422">
        <v>600000</v>
      </c>
      <c r="AE102" s="422">
        <v>600000</v>
      </c>
      <c r="AF102" s="422">
        <v>600000</v>
      </c>
      <c r="AG102" s="422">
        <v>600000</v>
      </c>
      <c r="AH102" s="422">
        <v>600000</v>
      </c>
      <c r="AI102" s="422">
        <v>600000</v>
      </c>
      <c r="AJ102" s="422">
        <v>600000</v>
      </c>
      <c r="AK102" s="422">
        <v>600000</v>
      </c>
      <c r="AL102" s="422">
        <v>600000</v>
      </c>
      <c r="AM102" s="422">
        <v>600000</v>
      </c>
      <c r="AN102" s="422">
        <v>600000</v>
      </c>
      <c r="AO102" s="422">
        <v>600000</v>
      </c>
      <c r="AP102" s="422">
        <v>600000</v>
      </c>
      <c r="AQ102" s="422">
        <v>600000</v>
      </c>
      <c r="AR102" s="422">
        <v>600000</v>
      </c>
      <c r="AS102" s="422">
        <v>600000</v>
      </c>
      <c r="AT102" s="422">
        <v>600000</v>
      </c>
      <c r="AU102" s="422">
        <v>600000</v>
      </c>
      <c r="AV102" s="422">
        <v>600000</v>
      </c>
      <c r="AW102" s="422">
        <v>600000</v>
      </c>
      <c r="AX102" s="422">
        <v>600000</v>
      </c>
      <c r="AY102" s="422">
        <v>600000</v>
      </c>
      <c r="AZ102" s="422">
        <v>600000</v>
      </c>
      <c r="BA102" s="422">
        <v>600000</v>
      </c>
      <c r="BB102" s="422">
        <v>600000</v>
      </c>
      <c r="BC102" s="422">
        <v>600000</v>
      </c>
      <c r="BD102" s="422">
        <v>600000</v>
      </c>
      <c r="BE102" s="422">
        <v>600000</v>
      </c>
      <c r="BF102" s="422">
        <v>600000</v>
      </c>
      <c r="BG102" s="422">
        <v>600000</v>
      </c>
      <c r="BH102" s="422">
        <v>600000</v>
      </c>
      <c r="BI102" s="422">
        <v>600000</v>
      </c>
      <c r="BJ102" s="422">
        <v>600000</v>
      </c>
      <c r="BK102" s="422">
        <v>600000</v>
      </c>
    </row>
    <row r="103" spans="1:63" s="406" customFormat="1" x14ac:dyDescent="0.25">
      <c r="A103" s="636" t="s">
        <v>444</v>
      </c>
      <c r="B103" s="420" t="s">
        <v>447</v>
      </c>
      <c r="C103" s="420"/>
      <c r="D103" s="423">
        <v>66955.239999999991</v>
      </c>
      <c r="E103" s="423">
        <v>117273.04000000001</v>
      </c>
      <c r="F103" s="423">
        <v>111961.93</v>
      </c>
      <c r="G103" s="423">
        <v>140068.5</v>
      </c>
      <c r="H103" s="423">
        <v>96064.320000000007</v>
      </c>
      <c r="I103" s="423">
        <v>100778.07</v>
      </c>
      <c r="J103" s="423">
        <v>97579.95</v>
      </c>
      <c r="K103" s="423">
        <v>97200.08</v>
      </c>
      <c r="L103" s="423">
        <v>116000</v>
      </c>
      <c r="M103" s="423">
        <f t="shared" ref="M103:M106" si="60">40000+67163+17388</f>
        <v>124551</v>
      </c>
      <c r="N103" s="422">
        <v>150000</v>
      </c>
      <c r="O103" s="422">
        <v>50000</v>
      </c>
      <c r="P103" s="422">
        <v>200000</v>
      </c>
      <c r="Q103" s="422">
        <v>300000</v>
      </c>
      <c r="R103" s="422">
        <v>500000</v>
      </c>
      <c r="S103" s="422">
        <v>700000</v>
      </c>
      <c r="T103" s="422">
        <v>700000</v>
      </c>
      <c r="U103" s="422">
        <v>700000</v>
      </c>
      <c r="V103" s="422">
        <v>700000</v>
      </c>
      <c r="W103" s="422">
        <v>700000</v>
      </c>
      <c r="X103" s="422">
        <v>700000</v>
      </c>
      <c r="Y103" s="422">
        <v>600000</v>
      </c>
      <c r="Z103" s="422">
        <v>600000</v>
      </c>
      <c r="AA103" s="422">
        <v>600000</v>
      </c>
      <c r="AB103" s="422">
        <v>800000</v>
      </c>
      <c r="AC103" s="422">
        <v>800000</v>
      </c>
      <c r="AD103" s="422">
        <v>800000</v>
      </c>
      <c r="AE103" s="422">
        <v>1000000</v>
      </c>
      <c r="AF103" s="422">
        <v>1000000</v>
      </c>
      <c r="AG103" s="422">
        <v>1000000</v>
      </c>
      <c r="AH103" s="422">
        <v>1000000</v>
      </c>
      <c r="AI103" s="422">
        <v>1000000</v>
      </c>
      <c r="AJ103" s="422">
        <v>1000000</v>
      </c>
      <c r="AK103" s="422">
        <v>800000</v>
      </c>
      <c r="AL103" s="422">
        <v>800000</v>
      </c>
      <c r="AM103" s="422">
        <v>800000</v>
      </c>
      <c r="AN103" s="422">
        <v>700000</v>
      </c>
      <c r="AO103" s="422">
        <v>640000</v>
      </c>
      <c r="AP103" s="422">
        <v>580000</v>
      </c>
      <c r="AQ103" s="422">
        <v>520000</v>
      </c>
      <c r="AR103" s="422">
        <v>460000</v>
      </c>
      <c r="AS103" s="422">
        <v>400000</v>
      </c>
      <c r="AT103" s="422">
        <v>340000</v>
      </c>
      <c r="AU103" s="422">
        <v>280000</v>
      </c>
      <c r="AV103" s="422">
        <v>220000</v>
      </c>
      <c r="AW103" s="422">
        <v>160000</v>
      </c>
      <c r="AX103" s="422">
        <v>100000</v>
      </c>
      <c r="AY103" s="422">
        <v>40000</v>
      </c>
      <c r="AZ103" s="422">
        <v>-20000</v>
      </c>
      <c r="BA103" s="422">
        <v>-80000</v>
      </c>
      <c r="BB103" s="422">
        <v>-140000</v>
      </c>
      <c r="BC103" s="422">
        <v>-200000</v>
      </c>
      <c r="BD103" s="422">
        <v>-260000</v>
      </c>
      <c r="BE103" s="422">
        <v>-320000</v>
      </c>
      <c r="BF103" s="422">
        <v>-380000</v>
      </c>
      <c r="BG103" s="422">
        <v>-440000</v>
      </c>
      <c r="BH103" s="422">
        <v>-500000</v>
      </c>
      <c r="BI103" s="422">
        <v>-560000</v>
      </c>
      <c r="BJ103" s="422">
        <v>-620000</v>
      </c>
      <c r="BK103" s="422">
        <v>-680000</v>
      </c>
    </row>
    <row r="104" spans="1:63" ht="15.75" x14ac:dyDescent="0.25">
      <c r="A104" s="642" t="s">
        <v>451</v>
      </c>
      <c r="B104" s="420" t="s">
        <v>447</v>
      </c>
      <c r="C104" s="420"/>
      <c r="D104" s="423">
        <v>66955.239999999991</v>
      </c>
      <c r="E104" s="423">
        <v>117273.04000000001</v>
      </c>
      <c r="F104" s="423">
        <v>111961.93</v>
      </c>
      <c r="G104" s="423">
        <v>140068.5</v>
      </c>
      <c r="H104" s="423">
        <v>96064.320000000007</v>
      </c>
      <c r="I104" s="423">
        <v>100778.07</v>
      </c>
      <c r="J104" s="423">
        <v>97579.95</v>
      </c>
      <c r="K104" s="423">
        <v>97200.08</v>
      </c>
      <c r="L104" s="423">
        <v>116000</v>
      </c>
      <c r="M104" s="423">
        <f t="shared" si="60"/>
        <v>124551</v>
      </c>
      <c r="N104" s="422">
        <v>150000</v>
      </c>
      <c r="O104" s="422">
        <v>50000</v>
      </c>
      <c r="P104" s="422">
        <v>200000</v>
      </c>
      <c r="Q104" s="422">
        <v>200000</v>
      </c>
      <c r="R104" s="422">
        <v>300000</v>
      </c>
      <c r="S104" s="422">
        <v>350000</v>
      </c>
      <c r="T104" s="422">
        <v>350000</v>
      </c>
      <c r="U104" s="422">
        <v>350000</v>
      </c>
      <c r="V104" s="422">
        <v>350000</v>
      </c>
      <c r="W104" s="422">
        <v>350000</v>
      </c>
      <c r="X104" s="422">
        <v>350000</v>
      </c>
      <c r="Y104" s="422">
        <v>300000</v>
      </c>
      <c r="Z104" s="422">
        <v>300000</v>
      </c>
      <c r="AA104" s="422">
        <v>300000</v>
      </c>
      <c r="AB104" s="422">
        <v>400000</v>
      </c>
      <c r="AC104" s="422">
        <v>400000</v>
      </c>
      <c r="AD104" s="422">
        <v>400000</v>
      </c>
      <c r="AE104" s="422">
        <v>500000</v>
      </c>
      <c r="AF104" s="422">
        <v>500000</v>
      </c>
      <c r="AG104" s="422">
        <v>500000</v>
      </c>
      <c r="AH104" s="422">
        <v>500000</v>
      </c>
      <c r="AI104" s="422">
        <v>500000</v>
      </c>
      <c r="AJ104" s="422">
        <v>500000</v>
      </c>
      <c r="AK104" s="422">
        <v>400000</v>
      </c>
      <c r="AL104" s="422">
        <v>400000</v>
      </c>
      <c r="AM104" s="422">
        <v>400000</v>
      </c>
      <c r="AN104" s="422">
        <v>350000</v>
      </c>
      <c r="AO104" s="422">
        <v>320000</v>
      </c>
      <c r="AP104" s="422">
        <v>290000</v>
      </c>
      <c r="AQ104" s="422">
        <v>260000</v>
      </c>
      <c r="AR104" s="422">
        <v>230000</v>
      </c>
      <c r="AS104" s="422">
        <v>200000</v>
      </c>
      <c r="AT104" s="422">
        <v>170000</v>
      </c>
      <c r="AU104" s="422">
        <v>140000</v>
      </c>
      <c r="AV104" s="422">
        <v>110000</v>
      </c>
      <c r="AW104" s="422">
        <v>80000</v>
      </c>
      <c r="AX104" s="422">
        <v>50000</v>
      </c>
      <c r="AY104" s="422">
        <v>20000</v>
      </c>
      <c r="AZ104" s="422">
        <v>-10000</v>
      </c>
      <c r="BA104" s="422">
        <v>-40000</v>
      </c>
      <c r="BB104" s="422">
        <v>-70000.000000000102</v>
      </c>
      <c r="BC104" s="422">
        <v>-100000</v>
      </c>
      <c r="BD104" s="422">
        <v>-130000</v>
      </c>
      <c r="BE104" s="422">
        <v>-160000</v>
      </c>
      <c r="BF104" s="422">
        <v>-190000</v>
      </c>
      <c r="BG104" s="422">
        <v>-220000</v>
      </c>
      <c r="BH104" s="422">
        <v>-250000</v>
      </c>
      <c r="BI104" s="422">
        <v>-280000</v>
      </c>
      <c r="BJ104" s="422">
        <v>-310000</v>
      </c>
      <c r="BK104" s="422">
        <v>-340000</v>
      </c>
    </row>
    <row r="105" spans="1:63" x14ac:dyDescent="0.25">
      <c r="A105" s="640" t="s">
        <v>446</v>
      </c>
      <c r="B105" s="420" t="s">
        <v>447</v>
      </c>
      <c r="C105" s="420"/>
      <c r="D105" s="423">
        <v>66955.239999999991</v>
      </c>
      <c r="E105" s="423">
        <v>117273.04000000001</v>
      </c>
      <c r="F105" s="423">
        <v>111961.93</v>
      </c>
      <c r="G105" s="423">
        <v>140068.5</v>
      </c>
      <c r="H105" s="423">
        <v>96064.320000000007</v>
      </c>
      <c r="I105" s="423">
        <v>100778.07</v>
      </c>
      <c r="J105" s="423">
        <v>97579.95</v>
      </c>
      <c r="K105" s="423">
        <v>97200.08</v>
      </c>
      <c r="L105" s="423">
        <v>116000</v>
      </c>
      <c r="M105" s="423">
        <f t="shared" si="60"/>
        <v>124551</v>
      </c>
      <c r="N105" s="423">
        <v>150000</v>
      </c>
      <c r="O105" s="423">
        <v>50000</v>
      </c>
      <c r="P105" s="423">
        <v>150000</v>
      </c>
      <c r="Q105" s="423">
        <v>150000</v>
      </c>
      <c r="R105" s="423">
        <v>150000</v>
      </c>
      <c r="S105" s="423">
        <v>150000</v>
      </c>
      <c r="T105" s="423">
        <v>150000</v>
      </c>
      <c r="U105" s="423">
        <v>150000</v>
      </c>
      <c r="V105" s="423">
        <v>150000</v>
      </c>
      <c r="W105" s="423">
        <v>150000</v>
      </c>
      <c r="X105" s="423">
        <v>300000</v>
      </c>
      <c r="Y105" s="423">
        <v>300000</v>
      </c>
      <c r="Z105" s="423">
        <v>300000</v>
      </c>
      <c r="AA105" s="423">
        <v>300000</v>
      </c>
      <c r="AB105" s="423">
        <v>300000</v>
      </c>
      <c r="AC105" s="423">
        <v>300000</v>
      </c>
      <c r="AD105" s="423">
        <v>300000</v>
      </c>
      <c r="AE105" s="423">
        <v>300000</v>
      </c>
      <c r="AF105" s="423">
        <v>300000</v>
      </c>
      <c r="AG105" s="423">
        <v>300000</v>
      </c>
      <c r="AH105" s="423">
        <v>300000</v>
      </c>
      <c r="AI105" s="423">
        <v>300000</v>
      </c>
      <c r="AJ105" s="423">
        <v>300000</v>
      </c>
      <c r="AK105" s="423">
        <v>300000</v>
      </c>
      <c r="AL105" s="423">
        <v>300000</v>
      </c>
      <c r="AM105" s="423">
        <v>300000</v>
      </c>
      <c r="AN105" s="423">
        <v>300000</v>
      </c>
      <c r="AO105" s="423">
        <v>300000</v>
      </c>
      <c r="AP105" s="423">
        <v>300000</v>
      </c>
      <c r="AQ105" s="423">
        <v>300000</v>
      </c>
      <c r="AR105" s="423">
        <v>300000</v>
      </c>
      <c r="AS105" s="423">
        <v>300000</v>
      </c>
      <c r="AT105" s="423">
        <v>300000</v>
      </c>
      <c r="AU105" s="423">
        <v>300000</v>
      </c>
      <c r="AV105" s="423">
        <v>300000</v>
      </c>
      <c r="AW105" s="423">
        <v>300000</v>
      </c>
      <c r="AX105" s="423">
        <v>300000</v>
      </c>
      <c r="AY105" s="423">
        <v>300000</v>
      </c>
      <c r="AZ105" s="423">
        <v>300000</v>
      </c>
      <c r="BA105" s="423">
        <v>300000</v>
      </c>
      <c r="BB105" s="423">
        <v>300000</v>
      </c>
      <c r="BC105" s="423">
        <v>300000</v>
      </c>
      <c r="BD105" s="423">
        <v>300000</v>
      </c>
      <c r="BE105" s="423">
        <v>300000</v>
      </c>
      <c r="BF105" s="423">
        <v>300000</v>
      </c>
      <c r="BG105" s="423">
        <v>300000</v>
      </c>
      <c r="BH105" s="423">
        <v>300000</v>
      </c>
      <c r="BI105" s="423">
        <v>300000</v>
      </c>
      <c r="BJ105" s="423">
        <v>300000</v>
      </c>
      <c r="BK105" s="423">
        <v>300000</v>
      </c>
    </row>
    <row r="106" spans="1:63" x14ac:dyDescent="0.25">
      <c r="A106" s="640" t="s">
        <v>445</v>
      </c>
      <c r="B106" s="420" t="s">
        <v>447</v>
      </c>
      <c r="C106" s="420"/>
      <c r="D106" s="423">
        <v>66955.239999999991</v>
      </c>
      <c r="E106" s="423">
        <v>117273.04000000001</v>
      </c>
      <c r="F106" s="423">
        <v>111961.93</v>
      </c>
      <c r="G106" s="423">
        <v>140068.5</v>
      </c>
      <c r="H106" s="423">
        <v>96064.320000000007</v>
      </c>
      <c r="I106" s="423">
        <v>100778.07</v>
      </c>
      <c r="J106" s="423">
        <v>97579.95</v>
      </c>
      <c r="K106" s="423">
        <v>97200.08</v>
      </c>
      <c r="L106" s="423">
        <v>116000</v>
      </c>
      <c r="M106" s="423">
        <f t="shared" si="60"/>
        <v>124551</v>
      </c>
      <c r="N106" s="422">
        <v>150000</v>
      </c>
      <c r="O106" s="422">
        <v>50000</v>
      </c>
      <c r="P106" s="422">
        <v>150000</v>
      </c>
      <c r="Q106" s="422">
        <v>150000</v>
      </c>
      <c r="R106" s="422">
        <v>150000</v>
      </c>
      <c r="S106" s="422">
        <v>150000</v>
      </c>
      <c r="T106" s="422">
        <v>150000</v>
      </c>
      <c r="U106" s="422">
        <v>150000</v>
      </c>
      <c r="V106" s="422">
        <v>150000</v>
      </c>
      <c r="W106" s="422">
        <v>150000</v>
      </c>
      <c r="X106" s="422">
        <v>150000</v>
      </c>
      <c r="Y106" s="422">
        <v>150000</v>
      </c>
      <c r="Z106" s="422">
        <v>150000</v>
      </c>
      <c r="AA106" s="422">
        <v>150000</v>
      </c>
      <c r="AB106" s="422">
        <v>150000</v>
      </c>
      <c r="AC106" s="422">
        <v>150000</v>
      </c>
      <c r="AD106" s="422">
        <v>150000</v>
      </c>
      <c r="AE106" s="422">
        <v>150000</v>
      </c>
      <c r="AF106" s="422">
        <v>150000</v>
      </c>
      <c r="AG106" s="422">
        <v>150000</v>
      </c>
      <c r="AH106" s="422">
        <v>150000</v>
      </c>
      <c r="AI106" s="422">
        <v>150000</v>
      </c>
      <c r="AJ106" s="422">
        <v>150000</v>
      </c>
      <c r="AK106" s="422">
        <v>150000</v>
      </c>
      <c r="AL106" s="422">
        <v>150000</v>
      </c>
      <c r="AM106" s="422">
        <v>150000</v>
      </c>
      <c r="AN106" s="422">
        <v>150000</v>
      </c>
      <c r="AO106" s="422">
        <v>150000</v>
      </c>
      <c r="AP106" s="422">
        <v>150000</v>
      </c>
      <c r="AQ106" s="422">
        <v>150000</v>
      </c>
      <c r="AR106" s="422">
        <v>150000</v>
      </c>
      <c r="AS106" s="422">
        <v>150000</v>
      </c>
      <c r="AT106" s="422">
        <v>150000</v>
      </c>
      <c r="AU106" s="422">
        <v>150000</v>
      </c>
      <c r="AV106" s="422">
        <v>150000</v>
      </c>
      <c r="AW106" s="422">
        <v>150000</v>
      </c>
      <c r="AX106" s="422">
        <v>150000</v>
      </c>
      <c r="AY106" s="422">
        <v>150000</v>
      </c>
      <c r="AZ106" s="422">
        <v>150000</v>
      </c>
      <c r="BA106" s="422">
        <v>150000</v>
      </c>
      <c r="BB106" s="422">
        <v>150000</v>
      </c>
      <c r="BC106" s="422">
        <v>150000</v>
      </c>
      <c r="BD106" s="422">
        <v>150000</v>
      </c>
      <c r="BE106" s="422">
        <v>150000</v>
      </c>
      <c r="BF106" s="422">
        <v>150000</v>
      </c>
      <c r="BG106" s="422">
        <v>150000</v>
      </c>
      <c r="BH106" s="422">
        <v>150000</v>
      </c>
      <c r="BI106" s="422">
        <v>150000</v>
      </c>
      <c r="BJ106" s="422">
        <v>150000</v>
      </c>
      <c r="BK106" s="422">
        <v>150000</v>
      </c>
    </row>
    <row r="107" spans="1:63" x14ac:dyDescent="0.25">
      <c r="A107" s="223"/>
      <c r="B107" s="223"/>
      <c r="C107" s="223"/>
      <c r="D107" s="223"/>
      <c r="E107" s="223"/>
      <c r="F107" s="223"/>
      <c r="G107" s="223"/>
      <c r="H107" s="223"/>
      <c r="I107" s="223"/>
      <c r="J107" s="223"/>
      <c r="K107" s="223"/>
      <c r="L107" s="223"/>
      <c r="M107" s="223"/>
      <c r="AN107" s="570"/>
      <c r="AO107" s="570"/>
      <c r="AP107" s="570"/>
      <c r="AQ107" s="570"/>
      <c r="AR107" s="570"/>
      <c r="AS107" s="570"/>
      <c r="AT107" s="570"/>
      <c r="AU107" s="570"/>
      <c r="AV107" s="570"/>
      <c r="AW107" s="570"/>
      <c r="AX107" s="570"/>
      <c r="AY107" s="570"/>
      <c r="AZ107" s="570"/>
      <c r="BA107" s="570"/>
      <c r="BB107" s="570"/>
      <c r="BC107" s="570"/>
      <c r="BD107" s="570"/>
      <c r="BE107" s="570"/>
      <c r="BF107" s="570"/>
      <c r="BG107" s="570"/>
      <c r="BH107" s="570"/>
      <c r="BI107" s="570"/>
      <c r="BJ107" s="570"/>
      <c r="BK107" s="570"/>
    </row>
    <row r="108" spans="1:63" x14ac:dyDescent="0.25">
      <c r="A108" s="29" t="s">
        <v>492</v>
      </c>
      <c r="B108" s="420" t="s">
        <v>475</v>
      </c>
      <c r="C108" s="223"/>
      <c r="D108" s="223"/>
      <c r="E108" s="223"/>
      <c r="F108" s="223"/>
      <c r="G108" s="223"/>
      <c r="H108" s="295"/>
      <c r="I108" s="295"/>
      <c r="J108" s="295"/>
      <c r="K108" s="223"/>
      <c r="L108" s="223"/>
      <c r="M108" s="223"/>
      <c r="P108" s="422">
        <v>59</v>
      </c>
      <c r="Q108" s="422">
        <v>59</v>
      </c>
      <c r="R108" s="422">
        <v>59</v>
      </c>
      <c r="S108" s="422">
        <v>59</v>
      </c>
      <c r="T108" s="422">
        <v>59</v>
      </c>
      <c r="U108" s="422">
        <v>59</v>
      </c>
      <c r="V108" s="422">
        <v>59</v>
      </c>
      <c r="W108" s="422">
        <v>59</v>
      </c>
      <c r="X108" s="422">
        <v>59</v>
      </c>
      <c r="Y108" s="422">
        <v>59</v>
      </c>
      <c r="Z108" s="422">
        <v>59</v>
      </c>
      <c r="AA108" s="422">
        <v>59</v>
      </c>
      <c r="AB108" s="422">
        <v>59</v>
      </c>
      <c r="AC108" s="422">
        <v>59</v>
      </c>
      <c r="AD108" s="422">
        <v>59</v>
      </c>
      <c r="AE108" s="422">
        <v>59</v>
      </c>
      <c r="AF108" s="422">
        <v>59</v>
      </c>
      <c r="AG108" s="422">
        <v>59</v>
      </c>
      <c r="AH108" s="422">
        <v>59</v>
      </c>
      <c r="AI108" s="422">
        <v>59</v>
      </c>
      <c r="AJ108" s="422">
        <v>59</v>
      </c>
      <c r="AK108" s="422">
        <v>59</v>
      </c>
      <c r="AL108" s="422">
        <v>59</v>
      </c>
      <c r="AM108" s="422">
        <v>59</v>
      </c>
      <c r="AN108" s="422">
        <v>59</v>
      </c>
      <c r="AO108" s="422">
        <v>59</v>
      </c>
      <c r="AP108" s="422">
        <v>59</v>
      </c>
      <c r="AQ108" s="422">
        <v>59</v>
      </c>
      <c r="AR108" s="422">
        <v>59</v>
      </c>
      <c r="AS108" s="422">
        <v>59</v>
      </c>
      <c r="AT108" s="422">
        <v>59</v>
      </c>
      <c r="AU108" s="422">
        <v>59</v>
      </c>
      <c r="AV108" s="422">
        <v>59</v>
      </c>
      <c r="AW108" s="422">
        <v>59</v>
      </c>
      <c r="AX108" s="422">
        <v>59</v>
      </c>
      <c r="AY108" s="422">
        <v>59</v>
      </c>
      <c r="AZ108" s="422">
        <v>59</v>
      </c>
      <c r="BA108" s="422">
        <v>59</v>
      </c>
      <c r="BB108" s="422">
        <v>59</v>
      </c>
      <c r="BC108" s="422">
        <v>59</v>
      </c>
      <c r="BD108" s="422">
        <v>59</v>
      </c>
      <c r="BE108" s="422">
        <v>59</v>
      </c>
      <c r="BF108" s="422">
        <v>59</v>
      </c>
      <c r="BG108" s="422">
        <v>59</v>
      </c>
      <c r="BH108" s="422">
        <v>59</v>
      </c>
      <c r="BI108" s="422">
        <v>59</v>
      </c>
      <c r="BJ108" s="422">
        <v>59</v>
      </c>
      <c r="BK108" s="422">
        <v>59</v>
      </c>
    </row>
    <row r="109" spans="1:63" x14ac:dyDescent="0.25">
      <c r="A109" s="29" t="s">
        <v>444</v>
      </c>
      <c r="B109" s="420" t="s">
        <v>475</v>
      </c>
      <c r="C109" s="223"/>
      <c r="D109" s="223"/>
      <c r="E109" s="223"/>
      <c r="F109" s="223"/>
      <c r="G109" s="223"/>
      <c r="H109" s="295"/>
      <c r="I109" s="295"/>
      <c r="J109" s="295"/>
      <c r="K109" s="223"/>
      <c r="L109" s="223"/>
      <c r="M109" s="223"/>
      <c r="P109" s="422">
        <v>80</v>
      </c>
      <c r="Q109" s="422">
        <v>80</v>
      </c>
      <c r="R109" s="422">
        <v>80</v>
      </c>
      <c r="S109" s="422">
        <v>80</v>
      </c>
      <c r="T109" s="422">
        <v>80</v>
      </c>
      <c r="U109" s="422">
        <v>80</v>
      </c>
      <c r="V109" s="422">
        <v>80</v>
      </c>
      <c r="W109" s="422">
        <v>80</v>
      </c>
      <c r="X109" s="422">
        <v>80</v>
      </c>
      <c r="Y109" s="422">
        <v>80</v>
      </c>
      <c r="Z109" s="422">
        <v>80</v>
      </c>
      <c r="AA109" s="422">
        <v>80</v>
      </c>
      <c r="AB109" s="422">
        <v>80</v>
      </c>
      <c r="AC109" s="422">
        <v>80</v>
      </c>
      <c r="AD109" s="422">
        <v>80</v>
      </c>
      <c r="AE109" s="422">
        <v>80</v>
      </c>
      <c r="AF109" s="422">
        <v>80</v>
      </c>
      <c r="AG109" s="422">
        <v>80</v>
      </c>
      <c r="AH109" s="422">
        <v>80</v>
      </c>
      <c r="AI109" s="422">
        <v>80</v>
      </c>
      <c r="AJ109" s="422">
        <v>80</v>
      </c>
      <c r="AK109" s="422">
        <v>80</v>
      </c>
      <c r="AL109" s="422">
        <v>80</v>
      </c>
      <c r="AM109" s="422">
        <v>80</v>
      </c>
      <c r="AN109" s="422">
        <v>80</v>
      </c>
      <c r="AO109" s="422">
        <v>80</v>
      </c>
      <c r="AP109" s="422">
        <v>80</v>
      </c>
      <c r="AQ109" s="422">
        <v>80</v>
      </c>
      <c r="AR109" s="422">
        <v>80</v>
      </c>
      <c r="AS109" s="422">
        <v>80</v>
      </c>
      <c r="AT109" s="422">
        <v>80</v>
      </c>
      <c r="AU109" s="422">
        <v>80</v>
      </c>
      <c r="AV109" s="422">
        <v>80</v>
      </c>
      <c r="AW109" s="422">
        <v>80</v>
      </c>
      <c r="AX109" s="422">
        <v>80</v>
      </c>
      <c r="AY109" s="422">
        <v>80</v>
      </c>
      <c r="AZ109" s="422">
        <v>80</v>
      </c>
      <c r="BA109" s="422">
        <v>80</v>
      </c>
      <c r="BB109" s="422">
        <v>80</v>
      </c>
      <c r="BC109" s="422">
        <v>80</v>
      </c>
      <c r="BD109" s="422">
        <v>80</v>
      </c>
      <c r="BE109" s="422">
        <v>80</v>
      </c>
      <c r="BF109" s="422">
        <v>80</v>
      </c>
      <c r="BG109" s="422">
        <v>80</v>
      </c>
      <c r="BH109" s="422">
        <v>80</v>
      </c>
      <c r="BI109" s="422">
        <v>80</v>
      </c>
      <c r="BJ109" s="422">
        <v>80</v>
      </c>
      <c r="BK109" s="422">
        <v>80</v>
      </c>
    </row>
    <row r="110" spans="1:63" ht="15.75" x14ac:dyDescent="0.25">
      <c r="A110" s="281" t="s">
        <v>451</v>
      </c>
      <c r="B110" s="420" t="s">
        <v>475</v>
      </c>
      <c r="C110" s="223"/>
      <c r="D110" s="223"/>
      <c r="E110" s="223"/>
      <c r="F110" s="223"/>
      <c r="G110" s="223"/>
      <c r="H110" s="295"/>
      <c r="I110" s="295"/>
      <c r="J110" s="295"/>
      <c r="K110" s="223"/>
      <c r="L110" s="223"/>
      <c r="M110" s="223"/>
      <c r="P110" s="422">
        <v>77</v>
      </c>
      <c r="Q110" s="422">
        <v>77</v>
      </c>
      <c r="R110" s="422">
        <v>77</v>
      </c>
      <c r="S110" s="422">
        <v>77</v>
      </c>
      <c r="T110" s="422">
        <v>77</v>
      </c>
      <c r="U110" s="422">
        <v>77</v>
      </c>
      <c r="V110" s="422">
        <v>77</v>
      </c>
      <c r="W110" s="422">
        <v>77</v>
      </c>
      <c r="X110" s="422">
        <v>77</v>
      </c>
      <c r="Y110" s="422">
        <v>77</v>
      </c>
      <c r="Z110" s="422">
        <v>77</v>
      </c>
      <c r="AA110" s="422">
        <v>77</v>
      </c>
      <c r="AB110" s="422">
        <v>77</v>
      </c>
      <c r="AC110" s="422">
        <v>77</v>
      </c>
      <c r="AD110" s="422">
        <v>77</v>
      </c>
      <c r="AE110" s="422">
        <v>77</v>
      </c>
      <c r="AF110" s="422">
        <v>77</v>
      </c>
      <c r="AG110" s="422">
        <v>77</v>
      </c>
      <c r="AH110" s="422">
        <v>77</v>
      </c>
      <c r="AI110" s="422">
        <v>77</v>
      </c>
      <c r="AJ110" s="422">
        <v>77</v>
      </c>
      <c r="AK110" s="422">
        <v>77</v>
      </c>
      <c r="AL110" s="422">
        <v>77</v>
      </c>
      <c r="AM110" s="422">
        <v>77</v>
      </c>
      <c r="AN110" s="422">
        <v>77</v>
      </c>
      <c r="AO110" s="422">
        <v>77</v>
      </c>
      <c r="AP110" s="422">
        <v>77</v>
      </c>
      <c r="AQ110" s="422">
        <v>77</v>
      </c>
      <c r="AR110" s="422">
        <v>77</v>
      </c>
      <c r="AS110" s="422">
        <v>77</v>
      </c>
      <c r="AT110" s="422">
        <v>77</v>
      </c>
      <c r="AU110" s="422">
        <v>77</v>
      </c>
      <c r="AV110" s="422">
        <v>77</v>
      </c>
      <c r="AW110" s="422">
        <v>77</v>
      </c>
      <c r="AX110" s="422">
        <v>77</v>
      </c>
      <c r="AY110" s="422">
        <v>77</v>
      </c>
      <c r="AZ110" s="422">
        <v>77</v>
      </c>
      <c r="BA110" s="422">
        <v>77</v>
      </c>
      <c r="BB110" s="422">
        <v>77</v>
      </c>
      <c r="BC110" s="422">
        <v>77</v>
      </c>
      <c r="BD110" s="422">
        <v>77</v>
      </c>
      <c r="BE110" s="422">
        <v>77</v>
      </c>
      <c r="BF110" s="422">
        <v>77</v>
      </c>
      <c r="BG110" s="422">
        <v>77</v>
      </c>
      <c r="BH110" s="422">
        <v>77</v>
      </c>
      <c r="BI110" s="422">
        <v>77</v>
      </c>
      <c r="BJ110" s="422">
        <v>77</v>
      </c>
      <c r="BK110" s="422">
        <v>77</v>
      </c>
    </row>
    <row r="111" spans="1:63" x14ac:dyDescent="0.25">
      <c r="A111" s="308" t="s">
        <v>446</v>
      </c>
      <c r="B111" s="420" t="s">
        <v>475</v>
      </c>
      <c r="C111" s="223"/>
      <c r="D111" s="223"/>
      <c r="E111" s="223"/>
      <c r="F111" s="223"/>
      <c r="G111" s="223"/>
      <c r="H111" s="295"/>
      <c r="I111" s="295"/>
      <c r="J111" s="295"/>
      <c r="K111" s="223"/>
      <c r="L111" s="223"/>
      <c r="M111" s="223"/>
      <c r="P111" s="422">
        <v>75</v>
      </c>
      <c r="Q111" s="422">
        <v>75</v>
      </c>
      <c r="R111" s="422">
        <v>75</v>
      </c>
      <c r="S111" s="422">
        <v>75</v>
      </c>
      <c r="T111" s="422">
        <v>75</v>
      </c>
      <c r="U111" s="422">
        <v>75</v>
      </c>
      <c r="V111" s="422">
        <v>75</v>
      </c>
      <c r="W111" s="422">
        <v>75</v>
      </c>
      <c r="X111" s="422">
        <v>75</v>
      </c>
      <c r="Y111" s="422">
        <v>75</v>
      </c>
      <c r="Z111" s="422">
        <v>75</v>
      </c>
      <c r="AA111" s="422">
        <v>75</v>
      </c>
      <c r="AB111" s="422">
        <v>75</v>
      </c>
      <c r="AC111" s="422">
        <v>75</v>
      </c>
      <c r="AD111" s="422">
        <v>75</v>
      </c>
      <c r="AE111" s="422">
        <v>75</v>
      </c>
      <c r="AF111" s="422">
        <v>75</v>
      </c>
      <c r="AG111" s="422">
        <v>75</v>
      </c>
      <c r="AH111" s="422">
        <v>75</v>
      </c>
      <c r="AI111" s="422">
        <v>75</v>
      </c>
      <c r="AJ111" s="422">
        <v>75</v>
      </c>
      <c r="AK111" s="422">
        <v>75</v>
      </c>
      <c r="AL111" s="422">
        <v>75</v>
      </c>
      <c r="AM111" s="422">
        <v>75</v>
      </c>
      <c r="AN111" s="422">
        <v>75</v>
      </c>
      <c r="AO111" s="422">
        <v>75</v>
      </c>
      <c r="AP111" s="422">
        <v>75</v>
      </c>
      <c r="AQ111" s="422">
        <v>75</v>
      </c>
      <c r="AR111" s="422">
        <v>75</v>
      </c>
      <c r="AS111" s="422">
        <v>75</v>
      </c>
      <c r="AT111" s="422">
        <v>75</v>
      </c>
      <c r="AU111" s="422">
        <v>75</v>
      </c>
      <c r="AV111" s="422">
        <v>75</v>
      </c>
      <c r="AW111" s="422">
        <v>75</v>
      </c>
      <c r="AX111" s="422">
        <v>75</v>
      </c>
      <c r="AY111" s="422">
        <v>75</v>
      </c>
      <c r="AZ111" s="422">
        <v>75</v>
      </c>
      <c r="BA111" s="422">
        <v>75</v>
      </c>
      <c r="BB111" s="422">
        <v>75</v>
      </c>
      <c r="BC111" s="422">
        <v>75</v>
      </c>
      <c r="BD111" s="422">
        <v>75</v>
      </c>
      <c r="BE111" s="422">
        <v>75</v>
      </c>
      <c r="BF111" s="422">
        <v>75</v>
      </c>
      <c r="BG111" s="422">
        <v>75</v>
      </c>
      <c r="BH111" s="422">
        <v>75</v>
      </c>
      <c r="BI111" s="422">
        <v>75</v>
      </c>
      <c r="BJ111" s="422">
        <v>75</v>
      </c>
      <c r="BK111" s="422">
        <v>75</v>
      </c>
    </row>
    <row r="112" spans="1:63" x14ac:dyDescent="0.25">
      <c r="A112" s="308" t="s">
        <v>445</v>
      </c>
      <c r="B112" s="420" t="s">
        <v>475</v>
      </c>
      <c r="C112" s="223"/>
      <c r="D112" s="223"/>
      <c r="E112" s="223"/>
      <c r="F112" s="223"/>
      <c r="G112" s="223"/>
      <c r="H112" s="295"/>
      <c r="I112" s="295"/>
      <c r="J112" s="295"/>
      <c r="K112" s="223"/>
      <c r="L112" s="223"/>
      <c r="M112" s="223"/>
      <c r="P112" s="422">
        <v>67</v>
      </c>
      <c r="Q112" s="422">
        <v>67</v>
      </c>
      <c r="R112" s="422">
        <v>67</v>
      </c>
      <c r="S112" s="422">
        <v>67</v>
      </c>
      <c r="T112" s="422">
        <v>67</v>
      </c>
      <c r="U112" s="422">
        <v>67</v>
      </c>
      <c r="V112" s="422">
        <v>67</v>
      </c>
      <c r="W112" s="422">
        <v>67</v>
      </c>
      <c r="X112" s="422">
        <v>67</v>
      </c>
      <c r="Y112" s="422">
        <v>67</v>
      </c>
      <c r="Z112" s="422">
        <v>67</v>
      </c>
      <c r="AA112" s="422">
        <v>67</v>
      </c>
      <c r="AB112" s="422">
        <v>67</v>
      </c>
      <c r="AC112" s="422">
        <v>67</v>
      </c>
      <c r="AD112" s="422">
        <v>67</v>
      </c>
      <c r="AE112" s="422">
        <v>67</v>
      </c>
      <c r="AF112" s="422">
        <v>67</v>
      </c>
      <c r="AG112" s="422">
        <v>67</v>
      </c>
      <c r="AH112" s="422">
        <v>67</v>
      </c>
      <c r="AI112" s="422">
        <v>67</v>
      </c>
      <c r="AJ112" s="422">
        <v>67</v>
      </c>
      <c r="AK112" s="422">
        <v>67</v>
      </c>
      <c r="AL112" s="422">
        <v>67</v>
      </c>
      <c r="AM112" s="422">
        <v>67</v>
      </c>
      <c r="AN112" s="422">
        <v>67</v>
      </c>
      <c r="AO112" s="422">
        <v>67</v>
      </c>
      <c r="AP112" s="422">
        <v>67</v>
      </c>
      <c r="AQ112" s="422">
        <v>67</v>
      </c>
      <c r="AR112" s="422">
        <v>67</v>
      </c>
      <c r="AS112" s="422">
        <v>67</v>
      </c>
      <c r="AT112" s="422">
        <v>67</v>
      </c>
      <c r="AU112" s="422">
        <v>67</v>
      </c>
      <c r="AV112" s="422">
        <v>67</v>
      </c>
      <c r="AW112" s="422">
        <v>67</v>
      </c>
      <c r="AX112" s="422">
        <v>67</v>
      </c>
      <c r="AY112" s="422">
        <v>67</v>
      </c>
      <c r="AZ112" s="422">
        <v>67</v>
      </c>
      <c r="BA112" s="422">
        <v>67</v>
      </c>
      <c r="BB112" s="422">
        <v>67</v>
      </c>
      <c r="BC112" s="422">
        <v>67</v>
      </c>
      <c r="BD112" s="422">
        <v>67</v>
      </c>
      <c r="BE112" s="422">
        <v>67</v>
      </c>
      <c r="BF112" s="422">
        <v>67</v>
      </c>
      <c r="BG112" s="422">
        <v>67</v>
      </c>
      <c r="BH112" s="422">
        <v>67</v>
      </c>
      <c r="BI112" s="422">
        <v>67</v>
      </c>
      <c r="BJ112" s="422">
        <v>67</v>
      </c>
      <c r="BK112" s="422">
        <v>67</v>
      </c>
    </row>
    <row r="113" spans="1:63" x14ac:dyDescent="0.25">
      <c r="A113" s="64"/>
      <c r="B113" s="223"/>
      <c r="C113" s="223"/>
      <c r="D113" s="223"/>
      <c r="E113" s="223"/>
      <c r="F113" s="223"/>
      <c r="G113" s="223"/>
      <c r="H113" s="154"/>
      <c r="I113" s="154"/>
      <c r="J113" s="154"/>
      <c r="K113" s="223"/>
      <c r="L113" s="223"/>
      <c r="M113" s="223"/>
    </row>
    <row r="114" spans="1:63" x14ac:dyDescent="0.25">
      <c r="A114" s="571" t="s">
        <v>492</v>
      </c>
      <c r="B114" s="420" t="s">
        <v>808</v>
      </c>
      <c r="C114" s="223"/>
      <c r="D114" s="223"/>
      <c r="E114" s="223"/>
      <c r="F114" s="223"/>
      <c r="G114" s="223"/>
      <c r="H114" s="154"/>
      <c r="I114" s="154"/>
      <c r="J114" s="154"/>
      <c r="K114" s="223"/>
      <c r="L114" s="223"/>
      <c r="M114" s="223"/>
      <c r="P114" s="422">
        <v>81</v>
      </c>
      <c r="Q114" s="422">
        <v>81</v>
      </c>
      <c r="R114" s="422">
        <v>81</v>
      </c>
      <c r="S114" s="422">
        <v>81</v>
      </c>
      <c r="T114" s="422">
        <v>81</v>
      </c>
      <c r="U114" s="422">
        <v>81</v>
      </c>
      <c r="V114" s="422">
        <v>81</v>
      </c>
      <c r="W114" s="422">
        <v>81</v>
      </c>
      <c r="X114" s="422">
        <v>81</v>
      </c>
      <c r="Y114" s="422">
        <v>81</v>
      </c>
      <c r="Z114" s="422">
        <v>81</v>
      </c>
      <c r="AA114" s="422">
        <v>81</v>
      </c>
      <c r="AB114" s="422">
        <v>81</v>
      </c>
      <c r="AC114" s="422">
        <v>81</v>
      </c>
      <c r="AD114" s="422">
        <v>81</v>
      </c>
      <c r="AE114" s="422">
        <v>81</v>
      </c>
      <c r="AF114" s="422">
        <v>81</v>
      </c>
      <c r="AG114" s="422">
        <v>81</v>
      </c>
      <c r="AH114" s="422">
        <v>81</v>
      </c>
      <c r="AI114" s="422">
        <v>81</v>
      </c>
      <c r="AJ114" s="422">
        <v>81</v>
      </c>
      <c r="AK114" s="422">
        <v>81</v>
      </c>
      <c r="AL114" s="422">
        <v>81</v>
      </c>
      <c r="AM114" s="422">
        <v>81</v>
      </c>
      <c r="AN114" s="422">
        <v>81</v>
      </c>
      <c r="AO114" s="422">
        <v>81</v>
      </c>
      <c r="AP114" s="422">
        <v>81</v>
      </c>
      <c r="AQ114" s="422">
        <v>81</v>
      </c>
      <c r="AR114" s="422">
        <v>81</v>
      </c>
      <c r="AS114" s="422">
        <v>81</v>
      </c>
      <c r="AT114" s="422">
        <v>81</v>
      </c>
      <c r="AU114" s="422">
        <v>81</v>
      </c>
      <c r="AV114" s="422">
        <v>81</v>
      </c>
      <c r="AW114" s="422">
        <v>81</v>
      </c>
      <c r="AX114" s="422">
        <v>81</v>
      </c>
      <c r="AY114" s="422">
        <v>81</v>
      </c>
      <c r="AZ114" s="422">
        <v>81</v>
      </c>
      <c r="BA114" s="422">
        <v>81</v>
      </c>
      <c r="BB114" s="422">
        <v>81</v>
      </c>
      <c r="BC114" s="422">
        <v>81</v>
      </c>
      <c r="BD114" s="422">
        <v>81</v>
      </c>
      <c r="BE114" s="422">
        <v>81</v>
      </c>
      <c r="BF114" s="422">
        <v>81</v>
      </c>
      <c r="BG114" s="422">
        <v>81</v>
      </c>
      <c r="BH114" s="422">
        <v>81</v>
      </c>
      <c r="BI114" s="422">
        <v>81</v>
      </c>
      <c r="BJ114" s="422">
        <v>81</v>
      </c>
      <c r="BK114" s="422">
        <v>81</v>
      </c>
    </row>
    <row r="115" spans="1:63" x14ac:dyDescent="0.25">
      <c r="A115" s="571" t="s">
        <v>444</v>
      </c>
      <c r="B115" s="420" t="s">
        <v>808</v>
      </c>
      <c r="C115" s="223"/>
      <c r="D115" s="223"/>
      <c r="E115" s="223"/>
      <c r="F115" s="223"/>
      <c r="G115" s="223"/>
      <c r="H115" s="154"/>
      <c r="I115" s="154"/>
      <c r="J115" s="154"/>
      <c r="K115" s="223"/>
      <c r="L115" s="223"/>
      <c r="M115" s="223"/>
      <c r="P115" s="422">
        <v>80</v>
      </c>
      <c r="Q115" s="422">
        <v>80</v>
      </c>
      <c r="R115" s="422">
        <v>80</v>
      </c>
      <c r="S115" s="422">
        <v>80</v>
      </c>
      <c r="T115" s="422">
        <v>80</v>
      </c>
      <c r="U115" s="422">
        <v>80</v>
      </c>
      <c r="V115" s="422">
        <v>80</v>
      </c>
      <c r="W115" s="422">
        <v>80</v>
      </c>
      <c r="X115" s="422">
        <v>80</v>
      </c>
      <c r="Y115" s="422">
        <v>80</v>
      </c>
      <c r="Z115" s="422">
        <v>80</v>
      </c>
      <c r="AA115" s="422">
        <v>80</v>
      </c>
      <c r="AB115" s="422">
        <v>80</v>
      </c>
      <c r="AC115" s="422">
        <v>80</v>
      </c>
      <c r="AD115" s="422">
        <v>80</v>
      </c>
      <c r="AE115" s="422">
        <v>80</v>
      </c>
      <c r="AF115" s="422">
        <v>80</v>
      </c>
      <c r="AG115" s="422">
        <v>80</v>
      </c>
      <c r="AH115" s="422">
        <v>80</v>
      </c>
      <c r="AI115" s="422">
        <v>80</v>
      </c>
      <c r="AJ115" s="422">
        <v>80</v>
      </c>
      <c r="AK115" s="422">
        <v>80</v>
      </c>
      <c r="AL115" s="422">
        <v>80</v>
      </c>
      <c r="AM115" s="422">
        <v>80</v>
      </c>
      <c r="AN115" s="422">
        <v>80</v>
      </c>
      <c r="AO115" s="422">
        <v>80</v>
      </c>
      <c r="AP115" s="422">
        <v>80</v>
      </c>
      <c r="AQ115" s="422">
        <v>80</v>
      </c>
      <c r="AR115" s="422">
        <v>80</v>
      </c>
      <c r="AS115" s="422">
        <v>80</v>
      </c>
      <c r="AT115" s="422">
        <v>80</v>
      </c>
      <c r="AU115" s="422">
        <v>80</v>
      </c>
      <c r="AV115" s="422">
        <v>80</v>
      </c>
      <c r="AW115" s="422">
        <v>80</v>
      </c>
      <c r="AX115" s="422">
        <v>80</v>
      </c>
      <c r="AY115" s="422">
        <v>80</v>
      </c>
      <c r="AZ115" s="422">
        <v>80</v>
      </c>
      <c r="BA115" s="422">
        <v>80</v>
      </c>
      <c r="BB115" s="422">
        <v>80</v>
      </c>
      <c r="BC115" s="422">
        <v>80</v>
      </c>
      <c r="BD115" s="422">
        <v>80</v>
      </c>
      <c r="BE115" s="422">
        <v>80</v>
      </c>
      <c r="BF115" s="422">
        <v>80</v>
      </c>
      <c r="BG115" s="422">
        <v>80</v>
      </c>
      <c r="BH115" s="422">
        <v>80</v>
      </c>
      <c r="BI115" s="422">
        <v>80</v>
      </c>
      <c r="BJ115" s="422">
        <v>80</v>
      </c>
      <c r="BK115" s="422">
        <v>80</v>
      </c>
    </row>
    <row r="116" spans="1:63" ht="15.75" x14ac:dyDescent="0.25">
      <c r="A116" s="281" t="s">
        <v>451</v>
      </c>
      <c r="B116" s="420" t="s">
        <v>808</v>
      </c>
      <c r="C116" s="223"/>
      <c r="D116" s="223"/>
      <c r="E116" s="223"/>
      <c r="F116" s="223"/>
      <c r="G116" s="223"/>
      <c r="H116" s="154"/>
      <c r="I116" s="154"/>
      <c r="J116" s="154"/>
      <c r="K116" s="223"/>
      <c r="L116" s="223"/>
      <c r="M116" s="223"/>
      <c r="P116" s="422">
        <v>77</v>
      </c>
      <c r="Q116" s="422">
        <v>77</v>
      </c>
      <c r="R116" s="422">
        <v>77</v>
      </c>
      <c r="S116" s="422">
        <v>77</v>
      </c>
      <c r="T116" s="422">
        <v>77</v>
      </c>
      <c r="U116" s="422">
        <v>77</v>
      </c>
      <c r="V116" s="422">
        <v>77</v>
      </c>
      <c r="W116" s="422">
        <v>77</v>
      </c>
      <c r="X116" s="422">
        <v>77</v>
      </c>
      <c r="Y116" s="422">
        <v>77</v>
      </c>
      <c r="Z116" s="422">
        <v>77</v>
      </c>
      <c r="AA116" s="422">
        <v>77</v>
      </c>
      <c r="AB116" s="422">
        <v>77</v>
      </c>
      <c r="AC116" s="422">
        <v>77</v>
      </c>
      <c r="AD116" s="422">
        <v>77</v>
      </c>
      <c r="AE116" s="422">
        <v>77</v>
      </c>
      <c r="AF116" s="422">
        <v>77</v>
      </c>
      <c r="AG116" s="422">
        <v>77</v>
      </c>
      <c r="AH116" s="422">
        <v>77</v>
      </c>
      <c r="AI116" s="422">
        <v>77</v>
      </c>
      <c r="AJ116" s="422">
        <v>77</v>
      </c>
      <c r="AK116" s="422">
        <v>77</v>
      </c>
      <c r="AL116" s="422">
        <v>77</v>
      </c>
      <c r="AM116" s="422">
        <v>77</v>
      </c>
      <c r="AN116" s="422">
        <v>77</v>
      </c>
      <c r="AO116" s="422">
        <v>77</v>
      </c>
      <c r="AP116" s="422">
        <v>77</v>
      </c>
      <c r="AQ116" s="422">
        <v>77</v>
      </c>
      <c r="AR116" s="422">
        <v>77</v>
      </c>
      <c r="AS116" s="422">
        <v>77</v>
      </c>
      <c r="AT116" s="422">
        <v>77</v>
      </c>
      <c r="AU116" s="422">
        <v>77</v>
      </c>
      <c r="AV116" s="422">
        <v>77</v>
      </c>
      <c r="AW116" s="422">
        <v>77</v>
      </c>
      <c r="AX116" s="422">
        <v>77</v>
      </c>
      <c r="AY116" s="422">
        <v>77</v>
      </c>
      <c r="AZ116" s="422">
        <v>77</v>
      </c>
      <c r="BA116" s="422">
        <v>77</v>
      </c>
      <c r="BB116" s="422">
        <v>77</v>
      </c>
      <c r="BC116" s="422">
        <v>77</v>
      </c>
      <c r="BD116" s="422">
        <v>77</v>
      </c>
      <c r="BE116" s="422">
        <v>77</v>
      </c>
      <c r="BF116" s="422">
        <v>77</v>
      </c>
      <c r="BG116" s="422">
        <v>77</v>
      </c>
      <c r="BH116" s="422">
        <v>77</v>
      </c>
      <c r="BI116" s="422">
        <v>77</v>
      </c>
      <c r="BJ116" s="422">
        <v>77</v>
      </c>
      <c r="BK116" s="422">
        <v>77</v>
      </c>
    </row>
    <row r="117" spans="1:63" x14ac:dyDescent="0.25">
      <c r="A117" s="308" t="s">
        <v>446</v>
      </c>
      <c r="B117" s="420" t="s">
        <v>808</v>
      </c>
      <c r="C117" s="154"/>
      <c r="D117" s="154"/>
      <c r="E117" s="154"/>
      <c r="F117" s="154"/>
      <c r="G117" s="154"/>
      <c r="H117" s="154"/>
      <c r="I117" s="154"/>
      <c r="J117" s="154"/>
      <c r="K117" s="223"/>
      <c r="L117" s="223"/>
      <c r="M117" s="223"/>
      <c r="P117" s="422">
        <v>75</v>
      </c>
      <c r="Q117" s="422">
        <v>75</v>
      </c>
      <c r="R117" s="422">
        <v>75</v>
      </c>
      <c r="S117" s="422">
        <v>75</v>
      </c>
      <c r="T117" s="422">
        <v>75</v>
      </c>
      <c r="U117" s="422">
        <v>75</v>
      </c>
      <c r="V117" s="422">
        <v>75</v>
      </c>
      <c r="W117" s="422">
        <v>75</v>
      </c>
      <c r="X117" s="422">
        <v>75</v>
      </c>
      <c r="Y117" s="422">
        <v>75</v>
      </c>
      <c r="Z117" s="422">
        <v>75</v>
      </c>
      <c r="AA117" s="422">
        <v>75</v>
      </c>
      <c r="AB117" s="422">
        <v>75</v>
      </c>
      <c r="AC117" s="422">
        <v>75</v>
      </c>
      <c r="AD117" s="422">
        <v>75</v>
      </c>
      <c r="AE117" s="422">
        <v>75</v>
      </c>
      <c r="AF117" s="422">
        <v>75</v>
      </c>
      <c r="AG117" s="422">
        <v>75</v>
      </c>
      <c r="AH117" s="422">
        <v>75</v>
      </c>
      <c r="AI117" s="422">
        <v>75</v>
      </c>
      <c r="AJ117" s="422">
        <v>75</v>
      </c>
      <c r="AK117" s="422">
        <v>75</v>
      </c>
      <c r="AL117" s="422">
        <v>75</v>
      </c>
      <c r="AM117" s="422">
        <v>75</v>
      </c>
      <c r="AN117" s="422">
        <v>75</v>
      </c>
      <c r="AO117" s="422">
        <v>75</v>
      </c>
      <c r="AP117" s="422">
        <v>75</v>
      </c>
      <c r="AQ117" s="422">
        <v>75</v>
      </c>
      <c r="AR117" s="422">
        <v>75</v>
      </c>
      <c r="AS117" s="422">
        <v>75</v>
      </c>
      <c r="AT117" s="422">
        <v>75</v>
      </c>
      <c r="AU117" s="422">
        <v>75</v>
      </c>
      <c r="AV117" s="422">
        <v>75</v>
      </c>
      <c r="AW117" s="422">
        <v>75</v>
      </c>
      <c r="AX117" s="422">
        <v>75</v>
      </c>
      <c r="AY117" s="422">
        <v>75</v>
      </c>
      <c r="AZ117" s="422">
        <v>75</v>
      </c>
      <c r="BA117" s="422">
        <v>75</v>
      </c>
      <c r="BB117" s="422">
        <v>75</v>
      </c>
      <c r="BC117" s="422">
        <v>75</v>
      </c>
      <c r="BD117" s="422">
        <v>75</v>
      </c>
      <c r="BE117" s="422">
        <v>75</v>
      </c>
      <c r="BF117" s="422">
        <v>75</v>
      </c>
      <c r="BG117" s="422">
        <v>75</v>
      </c>
      <c r="BH117" s="422">
        <v>75</v>
      </c>
      <c r="BI117" s="422">
        <v>75</v>
      </c>
      <c r="BJ117" s="422">
        <v>75</v>
      </c>
      <c r="BK117" s="422">
        <v>75</v>
      </c>
    </row>
    <row r="118" spans="1:63" x14ac:dyDescent="0.25">
      <c r="A118" s="308" t="s">
        <v>445</v>
      </c>
      <c r="B118" s="420" t="s">
        <v>808</v>
      </c>
      <c r="C118" s="223"/>
      <c r="D118" s="223"/>
      <c r="E118" s="223"/>
      <c r="F118" s="223"/>
      <c r="G118" s="223"/>
      <c r="H118" s="223"/>
      <c r="I118" s="223"/>
      <c r="J118" s="223"/>
      <c r="K118" s="223"/>
      <c r="L118" s="223"/>
      <c r="M118" s="223"/>
      <c r="P118" s="422">
        <v>67</v>
      </c>
      <c r="Q118" s="422">
        <v>67</v>
      </c>
      <c r="R118" s="422">
        <v>67</v>
      </c>
      <c r="S118" s="422">
        <v>67</v>
      </c>
      <c r="T118" s="422">
        <v>67</v>
      </c>
      <c r="U118" s="422">
        <v>67</v>
      </c>
      <c r="V118" s="422">
        <v>67</v>
      </c>
      <c r="W118" s="422">
        <v>67</v>
      </c>
      <c r="X118" s="422">
        <v>67</v>
      </c>
      <c r="Y118" s="422">
        <v>67</v>
      </c>
      <c r="Z118" s="422">
        <v>67</v>
      </c>
      <c r="AA118" s="422">
        <v>67</v>
      </c>
      <c r="AB118" s="422">
        <v>67</v>
      </c>
      <c r="AC118" s="422">
        <v>67</v>
      </c>
      <c r="AD118" s="422">
        <v>67</v>
      </c>
      <c r="AE118" s="422">
        <v>67</v>
      </c>
      <c r="AF118" s="422">
        <v>67</v>
      </c>
      <c r="AG118" s="422">
        <v>67</v>
      </c>
      <c r="AH118" s="422">
        <v>67</v>
      </c>
      <c r="AI118" s="422">
        <v>67</v>
      </c>
      <c r="AJ118" s="422">
        <v>67</v>
      </c>
      <c r="AK118" s="422">
        <v>67</v>
      </c>
      <c r="AL118" s="422">
        <v>67</v>
      </c>
      <c r="AM118" s="422">
        <v>67</v>
      </c>
      <c r="AN118" s="422">
        <v>67</v>
      </c>
      <c r="AO118" s="422">
        <v>67</v>
      </c>
      <c r="AP118" s="422">
        <v>67</v>
      </c>
      <c r="AQ118" s="422">
        <v>67</v>
      </c>
      <c r="AR118" s="422">
        <v>67</v>
      </c>
      <c r="AS118" s="422">
        <v>67</v>
      </c>
      <c r="AT118" s="422">
        <v>67</v>
      </c>
      <c r="AU118" s="422">
        <v>67</v>
      </c>
      <c r="AV118" s="422">
        <v>67</v>
      </c>
      <c r="AW118" s="422">
        <v>67</v>
      </c>
      <c r="AX118" s="422">
        <v>67</v>
      </c>
      <c r="AY118" s="422">
        <v>67</v>
      </c>
      <c r="AZ118" s="422">
        <v>67</v>
      </c>
      <c r="BA118" s="422">
        <v>67</v>
      </c>
      <c r="BB118" s="422">
        <v>67</v>
      </c>
      <c r="BC118" s="422">
        <v>67</v>
      </c>
      <c r="BD118" s="422">
        <v>67</v>
      </c>
      <c r="BE118" s="422">
        <v>67</v>
      </c>
      <c r="BF118" s="422">
        <v>67</v>
      </c>
      <c r="BG118" s="422">
        <v>67</v>
      </c>
      <c r="BH118" s="422">
        <v>67</v>
      </c>
      <c r="BI118" s="422">
        <v>67</v>
      </c>
      <c r="BJ118" s="422">
        <v>67</v>
      </c>
      <c r="BK118" s="422">
        <v>67</v>
      </c>
    </row>
    <row r="119" spans="1:63" x14ac:dyDescent="0.25">
      <c r="A119" s="223"/>
      <c r="B119" s="223"/>
      <c r="C119" s="223"/>
      <c r="D119" s="223"/>
      <c r="E119" s="223"/>
      <c r="F119" s="223"/>
      <c r="G119" s="223"/>
      <c r="H119" s="223"/>
      <c r="I119" s="223"/>
      <c r="J119" s="223"/>
      <c r="K119" s="223"/>
      <c r="L119" s="223"/>
      <c r="M119" s="223"/>
    </row>
    <row r="120" spans="1:63" x14ac:dyDescent="0.25">
      <c r="A120" s="223"/>
      <c r="B120" s="223"/>
      <c r="C120" s="223"/>
      <c r="D120" s="223"/>
      <c r="E120" s="223"/>
      <c r="F120" s="223"/>
      <c r="G120" s="223"/>
      <c r="H120" s="223"/>
      <c r="I120" s="223"/>
      <c r="J120" s="223"/>
      <c r="K120" s="223"/>
      <c r="L120" s="223"/>
      <c r="M120" s="223"/>
    </row>
    <row r="121" spans="1:63" x14ac:dyDescent="0.25">
      <c r="A121" s="223"/>
      <c r="B121" s="223"/>
      <c r="C121" s="223"/>
      <c r="D121" s="223"/>
      <c r="E121" s="223"/>
      <c r="F121" s="223"/>
      <c r="G121" s="223"/>
      <c r="H121" s="223"/>
      <c r="I121" s="223"/>
      <c r="J121" s="223"/>
      <c r="K121" s="223"/>
      <c r="L121" s="223"/>
      <c r="M121" s="223"/>
    </row>
    <row r="122" spans="1:63" ht="15.75" x14ac:dyDescent="0.25">
      <c r="A122" s="281"/>
      <c r="B122" s="223"/>
      <c r="C122" s="223"/>
      <c r="D122" s="223"/>
      <c r="E122" s="223"/>
      <c r="F122" s="223"/>
      <c r="G122" s="223"/>
      <c r="H122" s="223"/>
      <c r="I122" s="223"/>
      <c r="J122" s="223"/>
      <c r="K122" s="223"/>
      <c r="L122" s="223"/>
      <c r="M122" s="223"/>
    </row>
    <row r="123" spans="1:63" x14ac:dyDescent="0.25">
      <c r="A123" s="223"/>
      <c r="B123" s="223"/>
      <c r="C123" s="223"/>
      <c r="D123" s="223"/>
      <c r="E123" s="223"/>
      <c r="F123" s="223"/>
      <c r="G123" s="223"/>
      <c r="H123" s="223"/>
      <c r="I123" s="223"/>
      <c r="J123" s="223"/>
      <c r="K123" s="223"/>
      <c r="L123" s="223"/>
      <c r="M123" s="223"/>
    </row>
    <row r="124" spans="1:63" x14ac:dyDescent="0.25">
      <c r="A124" s="223"/>
      <c r="B124" s="223"/>
      <c r="C124" s="223"/>
      <c r="D124" s="223"/>
      <c r="E124" s="223"/>
      <c r="F124" s="223"/>
      <c r="G124" s="223"/>
      <c r="H124" s="223"/>
      <c r="I124" s="223"/>
      <c r="J124" s="223"/>
      <c r="K124" s="223"/>
      <c r="L124" s="223"/>
      <c r="M124" s="223"/>
    </row>
    <row r="125" spans="1:63" x14ac:dyDescent="0.25">
      <c r="A125" s="64"/>
      <c r="B125" s="223"/>
      <c r="C125" s="223"/>
      <c r="D125" s="223"/>
      <c r="E125" s="223"/>
      <c r="F125" s="223"/>
      <c r="G125" s="223"/>
      <c r="H125" s="154"/>
      <c r="I125" s="154"/>
      <c r="J125" s="154"/>
      <c r="K125" s="223"/>
      <c r="L125" s="223"/>
      <c r="M125" s="223"/>
    </row>
    <row r="126" spans="1:63" x14ac:dyDescent="0.25">
      <c r="A126" s="64"/>
      <c r="B126" s="223"/>
      <c r="C126" s="223"/>
      <c r="D126" s="223"/>
      <c r="E126" s="223"/>
      <c r="F126" s="223"/>
      <c r="G126" s="223"/>
      <c r="H126" s="293"/>
      <c r="I126" s="293"/>
      <c r="J126" s="293"/>
      <c r="K126" s="223"/>
      <c r="L126" s="223"/>
      <c r="M126" s="223"/>
    </row>
    <row r="127" spans="1:63" x14ac:dyDescent="0.25">
      <c r="A127" s="64"/>
      <c r="B127" s="223"/>
      <c r="C127" s="223"/>
      <c r="D127" s="223"/>
      <c r="E127" s="223"/>
      <c r="F127" s="223"/>
      <c r="G127" s="223"/>
      <c r="H127" s="294"/>
      <c r="I127" s="294"/>
      <c r="J127" s="294"/>
      <c r="K127" s="223"/>
      <c r="L127" s="223"/>
      <c r="M127" s="223"/>
    </row>
    <row r="128" spans="1:63" x14ac:dyDescent="0.25">
      <c r="A128" s="64"/>
      <c r="B128" s="223"/>
      <c r="C128" s="223"/>
      <c r="D128" s="223"/>
      <c r="E128" s="223"/>
      <c r="F128" s="223"/>
      <c r="G128" s="223"/>
      <c r="H128" s="280"/>
      <c r="I128" s="280"/>
      <c r="J128" s="280"/>
      <c r="K128" s="223"/>
      <c r="L128" s="223"/>
      <c r="M128" s="223"/>
    </row>
    <row r="129" spans="1:13" x14ac:dyDescent="0.25">
      <c r="A129" s="64"/>
      <c r="B129" s="223"/>
      <c r="C129" s="223"/>
      <c r="D129" s="223"/>
      <c r="E129" s="223"/>
      <c r="F129" s="223"/>
      <c r="G129" s="223"/>
      <c r="H129" s="280"/>
      <c r="I129" s="280"/>
      <c r="J129" s="280"/>
      <c r="K129" s="223"/>
      <c r="L129" s="223"/>
      <c r="M129" s="223"/>
    </row>
    <row r="130" spans="1:13" x14ac:dyDescent="0.25">
      <c r="A130" s="223"/>
      <c r="B130" s="223"/>
      <c r="C130" s="223"/>
      <c r="D130" s="223"/>
      <c r="E130" s="223"/>
      <c r="F130" s="223"/>
      <c r="G130" s="223"/>
      <c r="H130" s="223"/>
      <c r="I130" s="223"/>
      <c r="J130" s="223"/>
      <c r="K130" s="223"/>
      <c r="L130" s="223"/>
      <c r="M130" s="223"/>
    </row>
    <row r="131" spans="1:13" x14ac:dyDescent="0.25">
      <c r="A131" s="223"/>
      <c r="B131" s="223"/>
      <c r="C131" s="223"/>
      <c r="D131" s="223"/>
      <c r="E131" s="223"/>
      <c r="F131" s="223"/>
      <c r="G131" s="223"/>
      <c r="H131" s="223"/>
      <c r="I131" s="223"/>
      <c r="J131" s="223"/>
      <c r="K131" s="223"/>
      <c r="L131" s="223"/>
      <c r="M131" s="223"/>
    </row>
    <row r="132" spans="1:13" x14ac:dyDescent="0.25">
      <c r="A132" s="64"/>
      <c r="B132" s="223"/>
      <c r="C132" s="223"/>
      <c r="D132" s="223"/>
      <c r="E132" s="223"/>
      <c r="F132" s="223"/>
      <c r="G132" s="223"/>
      <c r="H132" s="223"/>
      <c r="I132" s="223"/>
      <c r="J132" s="223"/>
      <c r="K132" s="223"/>
      <c r="L132" s="223"/>
      <c r="M132" s="223"/>
    </row>
    <row r="133" spans="1:13" x14ac:dyDescent="0.25">
      <c r="A133" s="64"/>
      <c r="B133" s="223"/>
      <c r="C133" s="223"/>
      <c r="D133" s="223"/>
      <c r="E133" s="223"/>
      <c r="F133" s="223"/>
      <c r="G133" s="223"/>
      <c r="H133" s="223"/>
      <c r="I133" s="223"/>
      <c r="J133" s="223"/>
      <c r="K133" s="223"/>
      <c r="L133" s="223"/>
      <c r="M133" s="223"/>
    </row>
    <row r="134" spans="1:13" x14ac:dyDescent="0.25">
      <c r="A134" s="64"/>
      <c r="B134" s="223"/>
      <c r="C134" s="223"/>
      <c r="D134" s="223"/>
      <c r="E134" s="223"/>
      <c r="F134" s="223"/>
      <c r="G134" s="223"/>
      <c r="H134" s="223"/>
      <c r="I134" s="223"/>
      <c r="J134" s="223"/>
      <c r="K134" s="223"/>
      <c r="L134" s="223"/>
      <c r="M134" s="223"/>
    </row>
    <row r="135" spans="1:13" x14ac:dyDescent="0.25">
      <c r="A135" s="64"/>
      <c r="B135" s="223"/>
      <c r="C135" s="223"/>
      <c r="D135" s="223"/>
      <c r="E135" s="223"/>
      <c r="F135" s="223"/>
      <c r="G135" s="223"/>
      <c r="H135" s="295"/>
      <c r="I135" s="295"/>
      <c r="J135" s="295"/>
      <c r="K135" s="223"/>
      <c r="L135" s="223"/>
      <c r="M135" s="223"/>
    </row>
    <row r="136" spans="1:13" x14ac:dyDescent="0.25">
      <c r="A136" s="64"/>
      <c r="B136" s="223"/>
      <c r="C136" s="223"/>
      <c r="D136" s="223"/>
      <c r="E136" s="223"/>
      <c r="F136" s="223"/>
      <c r="G136" s="223"/>
      <c r="H136" s="295"/>
      <c r="I136" s="295"/>
      <c r="J136" s="295"/>
      <c r="K136" s="223"/>
      <c r="L136" s="223"/>
      <c r="M136" s="223"/>
    </row>
    <row r="137" spans="1:13" x14ac:dyDescent="0.25">
      <c r="A137" s="64"/>
      <c r="B137" s="223"/>
      <c r="C137" s="223"/>
      <c r="D137" s="223"/>
      <c r="E137" s="223"/>
      <c r="F137" s="223"/>
      <c r="G137" s="223"/>
      <c r="H137" s="295"/>
      <c r="I137" s="295"/>
      <c r="J137" s="295"/>
      <c r="K137" s="223"/>
      <c r="L137" s="223"/>
      <c r="M137" s="223"/>
    </row>
    <row r="138" spans="1:13" x14ac:dyDescent="0.25">
      <c r="A138" s="64"/>
      <c r="B138" s="223"/>
      <c r="C138" s="223"/>
      <c r="D138" s="223"/>
      <c r="E138" s="223"/>
      <c r="F138" s="223"/>
      <c r="G138" s="223"/>
      <c r="H138" s="295"/>
      <c r="I138" s="295"/>
      <c r="J138" s="295"/>
      <c r="K138" s="223"/>
      <c r="L138" s="223"/>
      <c r="M138" s="223"/>
    </row>
    <row r="139" spans="1:13" x14ac:dyDescent="0.25">
      <c r="A139" s="64"/>
      <c r="B139" s="223"/>
      <c r="C139" s="223"/>
      <c r="D139" s="223"/>
      <c r="E139" s="223"/>
      <c r="F139" s="223"/>
      <c r="G139" s="223"/>
      <c r="H139" s="295"/>
      <c r="I139" s="295"/>
      <c r="J139" s="295"/>
      <c r="K139" s="223"/>
      <c r="L139" s="223"/>
      <c r="M139" s="223"/>
    </row>
    <row r="140" spans="1:13" x14ac:dyDescent="0.25">
      <c r="A140" s="64"/>
      <c r="B140" s="223"/>
      <c r="C140" s="223"/>
      <c r="D140" s="223"/>
      <c r="E140" s="223"/>
      <c r="F140" s="223"/>
      <c r="G140" s="223"/>
      <c r="H140" s="154"/>
      <c r="I140" s="154"/>
      <c r="J140" s="154"/>
      <c r="K140" s="223"/>
      <c r="L140" s="223"/>
      <c r="M140" s="223"/>
    </row>
    <row r="141" spans="1:13" x14ac:dyDescent="0.25">
      <c r="A141" s="64"/>
      <c r="B141" s="223"/>
      <c r="C141" s="223"/>
      <c r="D141" s="223"/>
      <c r="E141" s="223"/>
      <c r="F141" s="223"/>
      <c r="G141" s="223"/>
      <c r="H141" s="154"/>
      <c r="I141" s="154"/>
      <c r="J141" s="154"/>
      <c r="K141" s="223"/>
      <c r="L141" s="223"/>
      <c r="M141" s="223"/>
    </row>
    <row r="142" spans="1:13" x14ac:dyDescent="0.25">
      <c r="A142" s="64"/>
      <c r="B142" s="223"/>
      <c r="C142" s="223"/>
      <c r="D142" s="223"/>
      <c r="E142" s="223"/>
      <c r="F142" s="223"/>
      <c r="G142" s="223"/>
      <c r="H142" s="154"/>
      <c r="I142" s="154"/>
      <c r="J142" s="154"/>
      <c r="K142" s="223"/>
      <c r="L142" s="223"/>
      <c r="M142" s="223"/>
    </row>
    <row r="143" spans="1:13" x14ac:dyDescent="0.25">
      <c r="A143" s="64"/>
      <c r="B143" s="223"/>
      <c r="C143" s="223"/>
      <c r="D143" s="223"/>
      <c r="E143" s="223"/>
      <c r="F143" s="223"/>
      <c r="G143" s="223"/>
      <c r="H143" s="154"/>
      <c r="I143" s="154"/>
      <c r="J143" s="154"/>
      <c r="K143" s="223"/>
      <c r="L143" s="223"/>
      <c r="M143" s="223"/>
    </row>
    <row r="144" spans="1:13" x14ac:dyDescent="0.25">
      <c r="A144" s="64"/>
      <c r="B144" s="154"/>
      <c r="C144" s="154"/>
      <c r="D144" s="154"/>
      <c r="E144" s="154"/>
      <c r="F144" s="154"/>
      <c r="G144" s="154"/>
      <c r="H144" s="154"/>
      <c r="I144" s="154"/>
      <c r="J144" s="154"/>
      <c r="K144" s="223"/>
      <c r="L144" s="223"/>
      <c r="M144" s="223"/>
    </row>
    <row r="145" spans="1:13" x14ac:dyDescent="0.25">
      <c r="A145" s="223"/>
      <c r="B145" s="223"/>
      <c r="C145" s="223"/>
      <c r="D145" s="223"/>
      <c r="E145" s="223"/>
      <c r="F145" s="223"/>
      <c r="G145" s="223"/>
      <c r="H145" s="223"/>
      <c r="I145" s="223"/>
      <c r="J145" s="223"/>
      <c r="K145" s="223"/>
      <c r="L145" s="223"/>
      <c r="M145" s="223"/>
    </row>
    <row r="146" spans="1:13" x14ac:dyDescent="0.25">
      <c r="A146" s="223"/>
      <c r="B146" s="223"/>
      <c r="C146" s="223"/>
      <c r="D146" s="223"/>
      <c r="E146" s="223"/>
      <c r="F146" s="223"/>
      <c r="G146" s="223"/>
      <c r="H146" s="223"/>
      <c r="I146" s="223"/>
      <c r="J146" s="223"/>
      <c r="K146" s="223"/>
      <c r="L146" s="223"/>
      <c r="M146" s="223"/>
    </row>
    <row r="147" spans="1:13" x14ac:dyDescent="0.25">
      <c r="A147" s="223"/>
      <c r="B147" s="223"/>
      <c r="C147" s="223"/>
      <c r="D147" s="223"/>
      <c r="E147" s="223"/>
      <c r="F147" s="223"/>
      <c r="G147" s="223"/>
      <c r="H147" s="223"/>
      <c r="I147" s="223"/>
      <c r="J147" s="223"/>
      <c r="K147" s="223"/>
      <c r="L147" s="223"/>
      <c r="M147" s="223"/>
    </row>
    <row r="148" spans="1:13" x14ac:dyDescent="0.25">
      <c r="A148" s="223"/>
      <c r="B148" s="223"/>
      <c r="C148" s="223"/>
      <c r="D148" s="223"/>
      <c r="E148" s="223"/>
      <c r="F148" s="223"/>
      <c r="G148" s="223"/>
      <c r="H148" s="223"/>
      <c r="I148" s="223"/>
      <c r="J148" s="223"/>
      <c r="K148" s="223"/>
      <c r="L148" s="223"/>
      <c r="M148" s="223"/>
    </row>
    <row r="149" spans="1:13" x14ac:dyDescent="0.25">
      <c r="A149" s="223"/>
      <c r="B149" s="223"/>
      <c r="C149" s="223"/>
      <c r="D149" s="223"/>
      <c r="E149" s="223"/>
      <c r="F149" s="223"/>
      <c r="G149" s="223"/>
      <c r="H149" s="223"/>
      <c r="I149" s="223"/>
      <c r="J149" s="223"/>
      <c r="K149" s="223"/>
      <c r="L149" s="223"/>
      <c r="M149" s="223"/>
    </row>
    <row r="150" spans="1:13" x14ac:dyDescent="0.25">
      <c r="A150" s="223"/>
      <c r="B150" s="223"/>
      <c r="C150" s="223"/>
      <c r="D150" s="223"/>
      <c r="E150" s="223"/>
      <c r="F150" s="223"/>
      <c r="G150" s="223"/>
      <c r="H150" s="223"/>
      <c r="I150" s="223"/>
      <c r="J150" s="223"/>
      <c r="K150" s="223"/>
      <c r="L150" s="223"/>
      <c r="M150" s="223"/>
    </row>
    <row r="151" spans="1:13" x14ac:dyDescent="0.25">
      <c r="A151" s="223"/>
      <c r="B151" s="223"/>
      <c r="C151" s="223"/>
      <c r="D151" s="223"/>
      <c r="E151" s="223"/>
      <c r="F151" s="223"/>
      <c r="G151" s="223"/>
      <c r="H151" s="223"/>
      <c r="I151" s="223"/>
      <c r="J151" s="223"/>
      <c r="K151" s="223"/>
      <c r="L151" s="223"/>
      <c r="M151" s="223"/>
    </row>
    <row r="152" spans="1:13" x14ac:dyDescent="0.25">
      <c r="A152" s="223"/>
      <c r="B152" s="223"/>
      <c r="C152" s="223"/>
      <c r="D152" s="223"/>
      <c r="E152" s="223"/>
      <c r="F152" s="223"/>
      <c r="G152" s="223"/>
      <c r="H152" s="223"/>
      <c r="I152" s="223"/>
      <c r="J152" s="223"/>
      <c r="K152" s="223"/>
      <c r="L152" s="223"/>
      <c r="M152" s="223"/>
    </row>
    <row r="153" spans="1:13" x14ac:dyDescent="0.25">
      <c r="A153" s="223"/>
      <c r="B153" s="223"/>
      <c r="C153" s="223"/>
      <c r="D153" s="223"/>
      <c r="E153" s="223"/>
      <c r="F153" s="223"/>
      <c r="G153" s="223"/>
      <c r="H153" s="223"/>
      <c r="I153" s="223"/>
      <c r="J153" s="223"/>
      <c r="K153" s="223"/>
      <c r="L153" s="223"/>
      <c r="M153" s="223"/>
    </row>
    <row r="154" spans="1:13" x14ac:dyDescent="0.25">
      <c r="A154" s="223"/>
      <c r="B154" s="223"/>
      <c r="C154" s="223"/>
      <c r="D154" s="223"/>
      <c r="E154" s="223"/>
      <c r="F154" s="223"/>
      <c r="G154" s="223"/>
      <c r="H154" s="223"/>
      <c r="I154" s="223"/>
      <c r="J154" s="223"/>
      <c r="K154" s="223"/>
      <c r="L154" s="223"/>
      <c r="M154" s="223"/>
    </row>
    <row r="155" spans="1:13" x14ac:dyDescent="0.25">
      <c r="L155" s="288"/>
      <c r="M155" s="268"/>
    </row>
    <row r="156" spans="1:13" x14ac:dyDescent="0.25">
      <c r="L156" s="288"/>
      <c r="M156" s="268"/>
    </row>
    <row r="157" spans="1:13" x14ac:dyDescent="0.25">
      <c r="L157" s="288"/>
      <c r="M157" s="268"/>
    </row>
    <row r="158" spans="1:13" x14ac:dyDescent="0.25">
      <c r="L158" s="288"/>
      <c r="M158" s="268"/>
    </row>
    <row r="159" spans="1:13" x14ac:dyDescent="0.25">
      <c r="L159" s="288"/>
      <c r="M159" s="268"/>
    </row>
    <row r="160" spans="1:13" x14ac:dyDescent="0.25">
      <c r="L160" s="288"/>
      <c r="M160" s="268"/>
    </row>
    <row r="161" spans="12:13" x14ac:dyDescent="0.25">
      <c r="L161" s="288"/>
      <c r="M161" s="268"/>
    </row>
    <row r="162" spans="12:13" x14ac:dyDescent="0.25">
      <c r="L162" s="288"/>
      <c r="M162" s="268"/>
    </row>
    <row r="163" spans="12:13" x14ac:dyDescent="0.25">
      <c r="L163" s="288"/>
      <c r="M163" s="268"/>
    </row>
    <row r="164" spans="12:13" x14ac:dyDescent="0.25">
      <c r="L164" s="288"/>
      <c r="M164" s="268"/>
    </row>
    <row r="165" spans="12:13" x14ac:dyDescent="0.25">
      <c r="L165" s="288"/>
      <c r="M165" s="268"/>
    </row>
    <row r="166" spans="12:13" x14ac:dyDescent="0.25">
      <c r="L166" s="288"/>
      <c r="M166" s="268"/>
    </row>
    <row r="167" spans="12:13" x14ac:dyDescent="0.25">
      <c r="L167" s="288"/>
      <c r="M167" s="268"/>
    </row>
  </sheetData>
  <protectedRanges>
    <protectedRange password="C269" sqref="B2:C2" name="Inputs_2"/>
  </protectedRanges>
  <dataValidations count="5">
    <dataValidation type="list" allowBlank="1" showInputMessage="1" showErrorMessage="1" sqref="B18:C18">
      <formula1>$H$63:$L$63</formula1>
    </dataValidation>
    <dataValidation type="list" allowBlank="1" showInputMessage="1" showErrorMessage="1" sqref="B46:C46">
      <formula1>$A$102:$A$106</formula1>
    </dataValidation>
    <dataValidation type="list" allowBlank="1" showInputMessage="1" showErrorMessage="1" sqref="C45">
      <formula1>$A$98:$A$99</formula1>
    </dataValidation>
    <dataValidation type="list" allowBlank="1" showInputMessage="1" showErrorMessage="1" sqref="B45 B17">
      <formula1>$A$95:$A$99</formula1>
    </dataValidation>
    <dataValidation type="list" allowBlank="1" showInputMessage="1" showErrorMessage="1" sqref="C56:C59 B57 B55">
      <formula1>$A$108:$A$112</formula1>
    </dataValidation>
  </dataValidation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X184"/>
  <sheetViews>
    <sheetView zoomScale="80" zoomScaleNormal="80" workbookViewId="0">
      <pane xSplit="1" ySplit="2" topLeftCell="P5" activePane="bottomRight" state="frozen"/>
      <selection pane="topRight" activeCell="B1" sqref="B1"/>
      <selection pane="bottomLeft" activeCell="A3" sqref="A3"/>
      <selection pane="bottomRight" activeCell="AN51" sqref="AL50:AN51"/>
    </sheetView>
  </sheetViews>
  <sheetFormatPr defaultColWidth="9.140625" defaultRowHeight="15" outlineLevelCol="1" x14ac:dyDescent="0.25"/>
  <cols>
    <col min="1" max="1" width="2.140625" style="570" customWidth="1"/>
    <col min="2" max="2" width="42.28515625" style="570" bestFit="1" customWidth="1"/>
    <col min="3" max="3" width="19.140625" style="570" customWidth="1"/>
    <col min="4" max="4" width="24.5703125" style="570" bestFit="1" customWidth="1"/>
    <col min="5" max="5" width="12.42578125" style="570" bestFit="1" customWidth="1"/>
    <col min="6" max="15" width="12.42578125" style="570" hidden="1" customWidth="1" outlineLevel="1"/>
    <col min="16" max="16" width="12.42578125" style="570" customWidth="1" collapsed="1"/>
    <col min="17" max="17" width="12" style="570" customWidth="1"/>
    <col min="18" max="27" width="12.28515625" style="570" hidden="1" customWidth="1" outlineLevel="1"/>
    <col min="28" max="28" width="12.28515625" style="570" bestFit="1" customWidth="1" collapsed="1"/>
    <col min="29" max="29" width="13.85546875" style="570" bestFit="1" customWidth="1"/>
    <col min="30" max="31" width="13.85546875" style="570" customWidth="1" outlineLevel="1"/>
    <col min="32" max="37" width="15.42578125" style="570" customWidth="1" outlineLevel="1"/>
    <col min="38" max="39" width="13.85546875" style="570" customWidth="1" outlineLevel="1"/>
    <col min="40" max="41" width="13.85546875" style="570" bestFit="1" customWidth="1"/>
    <col min="42" max="51" width="13.85546875" style="570" customWidth="1" outlineLevel="1"/>
    <col min="52" max="52" width="13.85546875" style="570" bestFit="1" customWidth="1"/>
    <col min="53" max="53" width="13.7109375" style="570" bestFit="1" customWidth="1"/>
    <col min="54" max="54" width="13.7109375" style="570" hidden="1" customWidth="1" outlineLevel="1"/>
    <col min="55" max="63" width="14.42578125" style="570" hidden="1" customWidth="1" outlineLevel="1"/>
    <col min="64" max="64" width="14.42578125" style="570" bestFit="1" customWidth="1" collapsed="1"/>
    <col min="65" max="16384" width="9.140625" style="570"/>
  </cols>
  <sheetData>
    <row r="1" spans="1:74" x14ac:dyDescent="0.25">
      <c r="B1" s="571" t="s">
        <v>1153</v>
      </c>
    </row>
    <row r="2" spans="1:74" x14ac:dyDescent="0.25">
      <c r="B2" s="861">
        <v>40909</v>
      </c>
      <c r="C2" s="771"/>
      <c r="D2" s="772"/>
      <c r="E2" s="772">
        <f>B2</f>
        <v>40909</v>
      </c>
      <c r="F2" s="772">
        <f t="shared" ref="F2:BL2" si="0">E2+DAY(DATE(YEAR(E2),MONTH(E2)+1,))</f>
        <v>40940</v>
      </c>
      <c r="G2" s="772">
        <f t="shared" si="0"/>
        <v>40969</v>
      </c>
      <c r="H2" s="772">
        <f t="shared" si="0"/>
        <v>41000</v>
      </c>
      <c r="I2" s="772">
        <f t="shared" si="0"/>
        <v>41030</v>
      </c>
      <c r="J2" s="772">
        <f t="shared" si="0"/>
        <v>41061</v>
      </c>
      <c r="K2" s="772">
        <f t="shared" si="0"/>
        <v>41091</v>
      </c>
      <c r="L2" s="772">
        <f t="shared" si="0"/>
        <v>41122</v>
      </c>
      <c r="M2" s="772">
        <f t="shared" si="0"/>
        <v>41153</v>
      </c>
      <c r="N2" s="772">
        <f t="shared" si="0"/>
        <v>41183</v>
      </c>
      <c r="O2" s="772">
        <f t="shared" si="0"/>
        <v>41214</v>
      </c>
      <c r="P2" s="772">
        <f t="shared" si="0"/>
        <v>41244</v>
      </c>
      <c r="Q2" s="772">
        <f t="shared" si="0"/>
        <v>41275</v>
      </c>
      <c r="R2" s="772">
        <f t="shared" si="0"/>
        <v>41306</v>
      </c>
      <c r="S2" s="772">
        <f t="shared" si="0"/>
        <v>41334</v>
      </c>
      <c r="T2" s="772">
        <f t="shared" si="0"/>
        <v>41365</v>
      </c>
      <c r="U2" s="772">
        <f t="shared" si="0"/>
        <v>41395</v>
      </c>
      <c r="V2" s="772">
        <f t="shared" si="0"/>
        <v>41426</v>
      </c>
      <c r="W2" s="772">
        <f t="shared" si="0"/>
        <v>41456</v>
      </c>
      <c r="X2" s="772">
        <f t="shared" si="0"/>
        <v>41487</v>
      </c>
      <c r="Y2" s="772">
        <f t="shared" si="0"/>
        <v>41518</v>
      </c>
      <c r="Z2" s="772">
        <f t="shared" si="0"/>
        <v>41548</v>
      </c>
      <c r="AA2" s="772">
        <f t="shared" si="0"/>
        <v>41579</v>
      </c>
      <c r="AB2" s="772">
        <f t="shared" si="0"/>
        <v>41609</v>
      </c>
      <c r="AC2" s="772">
        <f t="shared" si="0"/>
        <v>41640</v>
      </c>
      <c r="AD2" s="772">
        <f t="shared" si="0"/>
        <v>41671</v>
      </c>
      <c r="AE2" s="772">
        <f t="shared" si="0"/>
        <v>41699</v>
      </c>
      <c r="AF2" s="772">
        <f t="shared" si="0"/>
        <v>41730</v>
      </c>
      <c r="AG2" s="772">
        <f t="shared" si="0"/>
        <v>41760</v>
      </c>
      <c r="AH2" s="772">
        <f t="shared" si="0"/>
        <v>41791</v>
      </c>
      <c r="AI2" s="772">
        <f t="shared" si="0"/>
        <v>41821</v>
      </c>
      <c r="AJ2" s="772">
        <f t="shared" si="0"/>
        <v>41852</v>
      </c>
      <c r="AK2" s="772">
        <f t="shared" si="0"/>
        <v>41883</v>
      </c>
      <c r="AL2" s="772">
        <f t="shared" si="0"/>
        <v>41913</v>
      </c>
      <c r="AM2" s="772">
        <f t="shared" si="0"/>
        <v>41944</v>
      </c>
      <c r="AN2" s="772">
        <f t="shared" si="0"/>
        <v>41974</v>
      </c>
      <c r="AO2" s="772">
        <f t="shared" si="0"/>
        <v>42005</v>
      </c>
      <c r="AP2" s="772">
        <f t="shared" si="0"/>
        <v>42036</v>
      </c>
      <c r="AQ2" s="772">
        <f t="shared" si="0"/>
        <v>42064</v>
      </c>
      <c r="AR2" s="772">
        <f t="shared" si="0"/>
        <v>42095</v>
      </c>
      <c r="AS2" s="772">
        <f t="shared" si="0"/>
        <v>42125</v>
      </c>
      <c r="AT2" s="772">
        <f t="shared" si="0"/>
        <v>42156</v>
      </c>
      <c r="AU2" s="772">
        <f t="shared" si="0"/>
        <v>42186</v>
      </c>
      <c r="AV2" s="772">
        <f t="shared" si="0"/>
        <v>42217</v>
      </c>
      <c r="AW2" s="772">
        <f t="shared" si="0"/>
        <v>42248</v>
      </c>
      <c r="AX2" s="772">
        <f t="shared" si="0"/>
        <v>42278</v>
      </c>
      <c r="AY2" s="772">
        <f t="shared" si="0"/>
        <v>42309</v>
      </c>
      <c r="AZ2" s="772">
        <f t="shared" si="0"/>
        <v>42339</v>
      </c>
      <c r="BA2" s="772">
        <f t="shared" si="0"/>
        <v>42370</v>
      </c>
      <c r="BB2" s="772">
        <f t="shared" si="0"/>
        <v>42401</v>
      </c>
      <c r="BC2" s="772">
        <f t="shared" si="0"/>
        <v>42430</v>
      </c>
      <c r="BD2" s="772">
        <f t="shared" si="0"/>
        <v>42461</v>
      </c>
      <c r="BE2" s="772">
        <f t="shared" si="0"/>
        <v>42491</v>
      </c>
      <c r="BF2" s="772">
        <f t="shared" si="0"/>
        <v>42522</v>
      </c>
      <c r="BG2" s="772">
        <f t="shared" si="0"/>
        <v>42552</v>
      </c>
      <c r="BH2" s="772">
        <f t="shared" si="0"/>
        <v>42583</v>
      </c>
      <c r="BI2" s="772">
        <f t="shared" si="0"/>
        <v>42614</v>
      </c>
      <c r="BJ2" s="772">
        <f t="shared" si="0"/>
        <v>42644</v>
      </c>
      <c r="BK2" s="772">
        <f t="shared" si="0"/>
        <v>42675</v>
      </c>
      <c r="BL2" s="773">
        <f t="shared" si="0"/>
        <v>42705</v>
      </c>
    </row>
    <row r="3" spans="1:74" x14ac:dyDescent="0.25">
      <c r="B3" s="1115"/>
      <c r="C3" s="1116"/>
      <c r="D3" s="1116"/>
      <c r="E3" s="1116" t="str">
        <f>'BS - Monthly'!F3</f>
        <v>Actual</v>
      </c>
      <c r="F3" s="1116" t="str">
        <f>'BS - Monthly'!G3</f>
        <v>Actual</v>
      </c>
      <c r="G3" s="1116" t="str">
        <f>'BS - Monthly'!H3</f>
        <v>Actual</v>
      </c>
      <c r="H3" s="1116" t="str">
        <f>'BS - Monthly'!I3</f>
        <v>Actual</v>
      </c>
      <c r="I3" s="1116" t="str">
        <f>'BS - Monthly'!J3</f>
        <v>Actual</v>
      </c>
      <c r="J3" s="1116" t="str">
        <f>'BS - Monthly'!K3</f>
        <v>Actual</v>
      </c>
      <c r="K3" s="1116" t="str">
        <f>'BS - Monthly'!L3</f>
        <v>Actual</v>
      </c>
      <c r="L3" s="1116" t="str">
        <f>'BS - Monthly'!M3</f>
        <v>Actual</v>
      </c>
      <c r="M3" s="1116" t="str">
        <f>'BS - Monthly'!N3</f>
        <v>Actual</v>
      </c>
      <c r="N3" s="1116" t="str">
        <f>'BS - Monthly'!O3</f>
        <v>Actual</v>
      </c>
      <c r="O3" s="1116" t="str">
        <f>'BS - Monthly'!P3</f>
        <v>Actual</v>
      </c>
      <c r="P3" s="1116" t="str">
        <f>'BS - Monthly'!Q3</f>
        <v>Actual</v>
      </c>
      <c r="Q3" s="1116" t="str">
        <f>'BS - Monthly'!R3</f>
        <v>Actual</v>
      </c>
      <c r="R3" s="1116" t="str">
        <f>'BS - Monthly'!S3</f>
        <v>Actual</v>
      </c>
      <c r="S3" s="1116" t="str">
        <f>'BS - Monthly'!T3</f>
        <v>Actual</v>
      </c>
      <c r="T3" s="1116" t="str">
        <f>'BS - Monthly'!U3</f>
        <v>Actual</v>
      </c>
      <c r="U3" s="1116" t="str">
        <f>'BS - Monthly'!V3</f>
        <v>Actual</v>
      </c>
      <c r="V3" s="1116" t="str">
        <f>'BS - Monthly'!W3</f>
        <v>Actual</v>
      </c>
      <c r="W3" s="1116" t="str">
        <f>'BS - Monthly'!X3</f>
        <v>Actual</v>
      </c>
      <c r="X3" s="1116" t="str">
        <f>'BS - Monthly'!Y3</f>
        <v>Actual</v>
      </c>
      <c r="Y3" s="1116" t="str">
        <f>'BS - Monthly'!Z3</f>
        <v>Actual</v>
      </c>
      <c r="Z3" s="1116" t="str">
        <f>'BS - Monthly'!AA3</f>
        <v>Actual</v>
      </c>
      <c r="AA3" s="1117" t="str">
        <f>'BS - Monthly'!AB3</f>
        <v>Actual</v>
      </c>
      <c r="AB3" s="1117" t="str">
        <f>'BS - Monthly'!AC3</f>
        <v>Actual</v>
      </c>
      <c r="AC3" s="1117" t="str">
        <f>'BS - Monthly'!AD3</f>
        <v>Actual</v>
      </c>
      <c r="AD3" s="1117" t="str">
        <f>'BS - Monthly'!AE3</f>
        <v>Actual</v>
      </c>
      <c r="AE3" s="1117" t="str">
        <f>'BS - Monthly'!AF3</f>
        <v>Actual</v>
      </c>
      <c r="AF3" s="1117" t="str">
        <f>'BS - Monthly'!AG3</f>
        <v>Forecast</v>
      </c>
      <c r="AG3" s="1117" t="str">
        <f>'BS - Monthly'!AH3</f>
        <v>Forecast</v>
      </c>
      <c r="AH3" s="1117" t="str">
        <f>'BS - Monthly'!AI3</f>
        <v>Forecast</v>
      </c>
      <c r="AI3" s="1117" t="str">
        <f>'BS - Monthly'!AJ3</f>
        <v>Forecast</v>
      </c>
      <c r="AJ3" s="1117" t="str">
        <f>'BS - Monthly'!AK3</f>
        <v>Forecast</v>
      </c>
      <c r="AK3" s="1117" t="str">
        <f>'BS - Monthly'!AL3</f>
        <v>Forecast</v>
      </c>
      <c r="AL3" s="1117" t="str">
        <f>'BS - Monthly'!AM3</f>
        <v>Forecast</v>
      </c>
      <c r="AM3" s="1117" t="str">
        <f>'BS - Monthly'!AN3</f>
        <v>Forecast</v>
      </c>
      <c r="AN3" s="1117" t="str">
        <f>'BS - Monthly'!AO3</f>
        <v>Forecast</v>
      </c>
      <c r="AO3" s="1117" t="str">
        <f>'BS - Monthly'!AP3</f>
        <v>Forecast</v>
      </c>
      <c r="AP3" s="1117" t="str">
        <f>'BS - Monthly'!AQ3</f>
        <v>Forecast</v>
      </c>
      <c r="AQ3" s="1117" t="str">
        <f>'BS - Monthly'!AR3</f>
        <v>Forecast</v>
      </c>
      <c r="AR3" s="1117" t="str">
        <f>'BS - Monthly'!AS3</f>
        <v>Forecast</v>
      </c>
      <c r="AS3" s="1117" t="str">
        <f>'BS - Monthly'!AT3</f>
        <v>Forecast</v>
      </c>
      <c r="AT3" s="1117" t="str">
        <f>'BS - Monthly'!AU3</f>
        <v>Forecast</v>
      </c>
      <c r="AU3" s="1117" t="str">
        <f>'BS - Monthly'!AV3</f>
        <v>Forecast</v>
      </c>
      <c r="AV3" s="1117" t="str">
        <f>'BS - Monthly'!AW3</f>
        <v>Forecast</v>
      </c>
      <c r="AW3" s="1117" t="str">
        <f>'BS - Monthly'!AX3</f>
        <v>Forecast</v>
      </c>
      <c r="AX3" s="1117" t="str">
        <f>'BS - Monthly'!AY3</f>
        <v>Forecast</v>
      </c>
      <c r="AY3" s="1117" t="str">
        <f>'BS - Monthly'!AZ3</f>
        <v>Forecast</v>
      </c>
      <c r="AZ3" s="1117" t="str">
        <f>'BS - Monthly'!BA3</f>
        <v>Forecast</v>
      </c>
      <c r="BA3" s="1117" t="str">
        <f>'BS - Monthly'!BB3</f>
        <v>Forecast</v>
      </c>
      <c r="BB3" s="1117" t="str">
        <f>'BS - Monthly'!BC3</f>
        <v>Forecast</v>
      </c>
      <c r="BC3" s="1117" t="str">
        <f>'BS - Monthly'!BD3</f>
        <v>Forecast</v>
      </c>
      <c r="BD3" s="1117" t="str">
        <f>'BS - Monthly'!BE3</f>
        <v>Forecast</v>
      </c>
      <c r="BE3" s="1117" t="str">
        <f>'BS - Monthly'!BF3</f>
        <v>Forecast</v>
      </c>
      <c r="BF3" s="1117" t="str">
        <f>'BS - Monthly'!BG3</f>
        <v>Forecast</v>
      </c>
      <c r="BG3" s="1117" t="str">
        <f>'BS - Monthly'!BH3</f>
        <v>Forecast</v>
      </c>
      <c r="BH3" s="1117" t="str">
        <f>'BS - Monthly'!BI3</f>
        <v>Forecast</v>
      </c>
      <c r="BI3" s="1117" t="str">
        <f>'BS - Monthly'!BJ3</f>
        <v>Forecast</v>
      </c>
      <c r="BJ3" s="1117" t="str">
        <f>'BS - Monthly'!BK3</f>
        <v>Forecast</v>
      </c>
      <c r="BK3" s="1117" t="str">
        <f>'BS - Monthly'!BL3</f>
        <v>Forecast</v>
      </c>
      <c r="BL3" s="1118" t="str">
        <f>'BS - Monthly'!BM3</f>
        <v>Forecast</v>
      </c>
      <c r="BM3" s="775"/>
      <c r="BN3" s="775"/>
      <c r="BO3" s="775"/>
      <c r="BP3" s="775"/>
      <c r="BQ3" s="775"/>
      <c r="BR3" s="775"/>
      <c r="BS3" s="775"/>
      <c r="BT3" s="775"/>
      <c r="BU3" s="775"/>
      <c r="BV3" s="776"/>
    </row>
    <row r="4" spans="1:74" x14ac:dyDescent="0.25">
      <c r="A4" s="305"/>
      <c r="B4" s="636" t="s">
        <v>813</v>
      </c>
      <c r="C4" s="570" t="s">
        <v>814</v>
      </c>
    </row>
    <row r="5" spans="1:74" x14ac:dyDescent="0.25">
      <c r="B5" s="163" t="s">
        <v>815</v>
      </c>
      <c r="C5" s="163"/>
      <c r="D5" s="163"/>
      <c r="E5" s="1123">
        <f>Sales!C29+Marketing!C29</f>
        <v>62126.410285369013</v>
      </c>
      <c r="F5" s="1123">
        <f>Sales!D29+Marketing!D29</f>
        <v>59616.878731345016</v>
      </c>
      <c r="G5" s="1123">
        <f>Sales!E29+Marketing!E29</f>
        <v>57265.540171685774</v>
      </c>
      <c r="H5" s="1123">
        <f>Sales!F29+Marketing!F29</f>
        <v>64448.241596194253</v>
      </c>
      <c r="I5" s="1123">
        <f>Sales!G29+Marketing!G29</f>
        <v>69080.324025515729</v>
      </c>
      <c r="J5" s="1123">
        <f>Sales!H29+Marketing!H29</f>
        <v>87395.228925565665</v>
      </c>
      <c r="K5" s="1123">
        <f>Sales!I29+Marketing!I29</f>
        <v>65238.804237327771</v>
      </c>
      <c r="L5" s="1123">
        <f>Sales!J29+Marketing!J29</f>
        <v>86064.395305305603</v>
      </c>
      <c r="M5" s="1123">
        <f>Sales!K29+Marketing!K29</f>
        <v>65597.181391750084</v>
      </c>
      <c r="N5" s="1123">
        <f>Sales!L29+Marketing!L29</f>
        <v>62550.755247785695</v>
      </c>
      <c r="O5" s="1123">
        <f>Sales!M29+Marketing!M29</f>
        <v>90937.110860155051</v>
      </c>
      <c r="P5" s="1123">
        <f>Sales!N29+Marketing!N29</f>
        <v>99498.618651704732</v>
      </c>
      <c r="Q5" s="1123">
        <f>Sales!O29+Marketing!O29</f>
        <v>138914.30000000002</v>
      </c>
      <c r="R5" s="1123">
        <f>Sales!P29+Marketing!P29</f>
        <v>110368.95000000001</v>
      </c>
      <c r="S5" s="1123">
        <f>Sales!Q29+Marketing!Q29</f>
        <v>177493.98</v>
      </c>
      <c r="T5" s="1123">
        <f>Sales!R29+Marketing!R29</f>
        <v>128248.78</v>
      </c>
      <c r="U5" s="1123">
        <f>Sales!S29+Marketing!S29</f>
        <v>145743.22</v>
      </c>
      <c r="V5" s="1123">
        <f>Sales!T29+Marketing!T29</f>
        <v>131821.04999999999</v>
      </c>
      <c r="W5" s="1123">
        <f>Sales!U29+Marketing!U29</f>
        <v>157152.98000000001</v>
      </c>
      <c r="X5" s="1123">
        <f>Sales!V29+Marketing!V29</f>
        <v>144103.76</v>
      </c>
      <c r="Y5" s="1123">
        <f>Sales!W29+Marketing!W29</f>
        <v>158618.51</v>
      </c>
      <c r="Z5" s="1123">
        <f>Sales!X29+Marketing!X29</f>
        <v>198308.42</v>
      </c>
      <c r="AA5" s="1123">
        <f>Sales!Y29+Marketing!Y29</f>
        <v>155525.83000000002</v>
      </c>
      <c r="AB5" s="1123">
        <f>Sales!Z29+Marketing!Z29</f>
        <v>155094.35999999999</v>
      </c>
      <c r="AC5" s="649">
        <f>Sales!AA29+Marketing!AA29</f>
        <v>226791.51</v>
      </c>
      <c r="AD5" s="649">
        <f>Sales!AB29+Marketing!AB29</f>
        <v>204289.12</v>
      </c>
      <c r="AE5" s="649">
        <f>Sales!AC29+Marketing!AC29</f>
        <v>218688.36</v>
      </c>
      <c r="AF5" s="649">
        <f>Sales!AD29+Marketing!AD29</f>
        <v>306829.45949485392</v>
      </c>
      <c r="AG5" s="649">
        <f>Sales!AE29+Marketing!AE29</f>
        <v>303335.46700652945</v>
      </c>
      <c r="AH5" s="649">
        <f>Sales!AF29+Marketing!AF29</f>
        <v>335368.92883898201</v>
      </c>
      <c r="AI5" s="649">
        <f>Sales!AG29+Marketing!AG29</f>
        <v>346547.47816006979</v>
      </c>
      <c r="AJ5" s="649">
        <f>Sales!AH29+Marketing!AH29</f>
        <v>334734.3376540367</v>
      </c>
      <c r="AK5" s="649">
        <f>Sales!AI29+Marketing!AI29</f>
        <v>336785.75765092677</v>
      </c>
      <c r="AL5" s="649">
        <f>Sales!AJ29+Marketing!AJ29</f>
        <v>338320.25321121374</v>
      </c>
      <c r="AM5" s="649">
        <f>Sales!AK29+Marketing!AK29</f>
        <v>340040.08196210588</v>
      </c>
      <c r="AN5" s="649">
        <f>Sales!AL29+Marketing!AL29</f>
        <v>341578.03655731207</v>
      </c>
      <c r="AO5" s="649">
        <f>Sales!AM29+Marketing!AM29</f>
        <v>390888.88876054261</v>
      </c>
      <c r="AP5" s="649">
        <f>Sales!AN29+Marketing!AN29</f>
        <v>349632.27017371601</v>
      </c>
      <c r="AQ5" s="649">
        <f>Sales!AO29+Marketing!AO29</f>
        <v>348058.87345024501</v>
      </c>
      <c r="AR5" s="649">
        <f>Sales!AP29+Marketing!AP29</f>
        <v>350285.53002951783</v>
      </c>
      <c r="AS5" s="649">
        <f>Sales!AQ29+Marketing!AQ29</f>
        <v>352278.77237029804</v>
      </c>
      <c r="AT5" s="649">
        <f>Sales!AR29+Marketing!AR29</f>
        <v>354215.96675483626</v>
      </c>
      <c r="AU5" s="649">
        <f>Sales!AS29+Marketing!AS29</f>
        <v>356168.84488455293</v>
      </c>
      <c r="AV5" s="649">
        <f>Sales!AT29+Marketing!AT29</f>
        <v>358144.23374565423</v>
      </c>
      <c r="AW5" s="649">
        <f>Sales!AU29+Marketing!AU29</f>
        <v>360119.46285060374</v>
      </c>
      <c r="AX5" s="649">
        <f>Sales!AV29+Marketing!AV29</f>
        <v>362088.60602463933</v>
      </c>
      <c r="AY5" s="649">
        <f>Sales!AW29+Marketing!AW29</f>
        <v>364095.04674766678</v>
      </c>
      <c r="AZ5" s="649">
        <f>Sales!AX29+Marketing!AX29</f>
        <v>366126.50223537872</v>
      </c>
      <c r="BA5" s="649">
        <f>Sales!AY29+Marketing!AY29</f>
        <v>374973.60607960587</v>
      </c>
      <c r="BB5" s="649">
        <f>Sales!AZ29+Marketing!AZ29</f>
        <v>383123.39554579748</v>
      </c>
      <c r="BC5" s="649">
        <f>Sales!BA29+Marketing!BA29</f>
        <v>381508.76296953944</v>
      </c>
      <c r="BD5" s="649">
        <f>Sales!BB29+Marketing!BB29</f>
        <v>383715.98605025955</v>
      </c>
      <c r="BE5" s="649">
        <f>Sales!BC29+Marketing!BC29</f>
        <v>385935.4630707812</v>
      </c>
      <c r="BF5" s="649">
        <f>Sales!BD29+Marketing!BD29</f>
        <v>388173.95749594027</v>
      </c>
      <c r="BG5" s="649">
        <f>Sales!BE29+Marketing!BE29</f>
        <v>390431.84641326935</v>
      </c>
      <c r="BH5" s="649">
        <f>Sales!BF29+Marketing!BF29</f>
        <v>392719.36206342292</v>
      </c>
      <c r="BI5" s="649">
        <f>Sales!BG29+Marketing!BG29</f>
        <v>395036.87755543436</v>
      </c>
      <c r="BJ5" s="649">
        <f>Sales!BH29+Marketing!BH29</f>
        <v>397386.75505144731</v>
      </c>
      <c r="BK5" s="649">
        <f>Sales!BI29+Marketing!BI29</f>
        <v>399772.89301751368</v>
      </c>
      <c r="BL5" s="649">
        <f>Sales!BJ29+Marketing!BJ29</f>
        <v>402195.71515631909</v>
      </c>
    </row>
    <row r="6" spans="1:74" x14ac:dyDescent="0.25">
      <c r="B6" s="163" t="s">
        <v>816</v>
      </c>
      <c r="C6" s="570" t="s">
        <v>817</v>
      </c>
      <c r="E6" s="1123">
        <f>E24</f>
        <v>0</v>
      </c>
      <c r="F6" s="1123">
        <f t="shared" ref="F6:AZ6" si="1">F24</f>
        <v>0</v>
      </c>
      <c r="G6" s="1123">
        <f t="shared" si="1"/>
        <v>0</v>
      </c>
      <c r="H6" s="1123">
        <f t="shared" si="1"/>
        <v>0</v>
      </c>
      <c r="I6" s="1123">
        <f t="shared" si="1"/>
        <v>0</v>
      </c>
      <c r="J6" s="1123">
        <f t="shared" si="1"/>
        <v>0</v>
      </c>
      <c r="K6" s="1123">
        <f t="shared" si="1"/>
        <v>0</v>
      </c>
      <c r="L6" s="1123">
        <f t="shared" si="1"/>
        <v>0</v>
      </c>
      <c r="M6" s="1123">
        <f t="shared" si="1"/>
        <v>0</v>
      </c>
      <c r="N6" s="1123">
        <f t="shared" si="1"/>
        <v>0</v>
      </c>
      <c r="O6" s="1123">
        <f t="shared" si="1"/>
        <v>0</v>
      </c>
      <c r="P6" s="1123">
        <f t="shared" si="1"/>
        <v>0</v>
      </c>
      <c r="Q6" s="1123">
        <f t="shared" si="1"/>
        <v>0</v>
      </c>
      <c r="R6" s="1123">
        <f t="shared" si="1"/>
        <v>0</v>
      </c>
      <c r="S6" s="1123">
        <f t="shared" si="1"/>
        <v>0</v>
      </c>
      <c r="T6" s="1123">
        <f t="shared" si="1"/>
        <v>0</v>
      </c>
      <c r="U6" s="1123">
        <f t="shared" si="1"/>
        <v>0</v>
      </c>
      <c r="V6" s="1123">
        <f t="shared" si="1"/>
        <v>0</v>
      </c>
      <c r="W6" s="1123">
        <f t="shared" si="1"/>
        <v>0</v>
      </c>
      <c r="X6" s="1123">
        <f t="shared" si="1"/>
        <v>0</v>
      </c>
      <c r="Y6" s="1123">
        <f t="shared" si="1"/>
        <v>0</v>
      </c>
      <c r="Z6" s="1123">
        <f t="shared" si="1"/>
        <v>0</v>
      </c>
      <c r="AA6" s="1123">
        <f t="shared" si="1"/>
        <v>0</v>
      </c>
      <c r="AB6" s="1123">
        <f t="shared" si="1"/>
        <v>0</v>
      </c>
      <c r="AC6" s="649">
        <f t="shared" si="1"/>
        <v>0</v>
      </c>
      <c r="AD6" s="649">
        <f t="shared" si="1"/>
        <v>0</v>
      </c>
      <c r="AE6" s="649">
        <f t="shared" si="1"/>
        <v>0</v>
      </c>
      <c r="AF6" s="649">
        <f t="shared" si="1"/>
        <v>0</v>
      </c>
      <c r="AG6" s="649">
        <f t="shared" si="1"/>
        <v>0</v>
      </c>
      <c r="AH6" s="649">
        <f t="shared" si="1"/>
        <v>0</v>
      </c>
      <c r="AI6" s="649">
        <f t="shared" si="1"/>
        <v>0</v>
      </c>
      <c r="AJ6" s="649">
        <f t="shared" si="1"/>
        <v>0</v>
      </c>
      <c r="AK6" s="649">
        <f t="shared" si="1"/>
        <v>0</v>
      </c>
      <c r="AL6" s="649">
        <f t="shared" si="1"/>
        <v>0</v>
      </c>
      <c r="AM6" s="649">
        <f t="shared" si="1"/>
        <v>0</v>
      </c>
      <c r="AN6" s="649">
        <f t="shared" si="1"/>
        <v>0</v>
      </c>
      <c r="AO6" s="649">
        <f t="shared" si="1"/>
        <v>0</v>
      </c>
      <c r="AP6" s="649">
        <f t="shared" si="1"/>
        <v>0</v>
      </c>
      <c r="AQ6" s="649">
        <f t="shared" si="1"/>
        <v>0</v>
      </c>
      <c r="AR6" s="649">
        <f t="shared" si="1"/>
        <v>0</v>
      </c>
      <c r="AS6" s="649">
        <f t="shared" si="1"/>
        <v>0</v>
      </c>
      <c r="AT6" s="649">
        <f t="shared" si="1"/>
        <v>0</v>
      </c>
      <c r="AU6" s="649">
        <f t="shared" si="1"/>
        <v>0</v>
      </c>
      <c r="AV6" s="649">
        <f t="shared" si="1"/>
        <v>0</v>
      </c>
      <c r="AW6" s="649">
        <f t="shared" si="1"/>
        <v>0</v>
      </c>
      <c r="AX6" s="649">
        <f t="shared" si="1"/>
        <v>0</v>
      </c>
      <c r="AY6" s="649">
        <f t="shared" si="1"/>
        <v>0</v>
      </c>
      <c r="AZ6" s="649">
        <f t="shared" si="1"/>
        <v>0</v>
      </c>
      <c r="BA6" s="649">
        <f t="shared" ref="BA6:BL6" si="2">BA24</f>
        <v>0</v>
      </c>
      <c r="BB6" s="649">
        <f t="shared" si="2"/>
        <v>0</v>
      </c>
      <c r="BC6" s="649">
        <f t="shared" si="2"/>
        <v>0</v>
      </c>
      <c r="BD6" s="649">
        <f t="shared" si="2"/>
        <v>0</v>
      </c>
      <c r="BE6" s="649">
        <f t="shared" si="2"/>
        <v>0</v>
      </c>
      <c r="BF6" s="649">
        <f t="shared" si="2"/>
        <v>0</v>
      </c>
      <c r="BG6" s="649">
        <f t="shared" si="2"/>
        <v>0</v>
      </c>
      <c r="BH6" s="649">
        <f t="shared" si="2"/>
        <v>0</v>
      </c>
      <c r="BI6" s="649">
        <f t="shared" si="2"/>
        <v>0</v>
      </c>
      <c r="BJ6" s="649">
        <f t="shared" si="2"/>
        <v>0</v>
      </c>
      <c r="BK6" s="649">
        <f t="shared" si="2"/>
        <v>0</v>
      </c>
      <c r="BL6" s="649">
        <f t="shared" si="2"/>
        <v>0</v>
      </c>
    </row>
    <row r="7" spans="1:74" x14ac:dyDescent="0.25">
      <c r="C7" s="570" t="s">
        <v>818</v>
      </c>
      <c r="E7" s="1123">
        <f>E32</f>
        <v>0</v>
      </c>
      <c r="F7" s="1123">
        <f t="shared" ref="F7:AZ7" si="3">F32</f>
        <v>0</v>
      </c>
      <c r="G7" s="1123">
        <f t="shared" si="3"/>
        <v>0</v>
      </c>
      <c r="H7" s="1123">
        <f t="shared" si="3"/>
        <v>0</v>
      </c>
      <c r="I7" s="1123">
        <f t="shared" si="3"/>
        <v>0</v>
      </c>
      <c r="J7" s="1123">
        <f t="shared" si="3"/>
        <v>0</v>
      </c>
      <c r="K7" s="1123">
        <f t="shared" si="3"/>
        <v>0</v>
      </c>
      <c r="L7" s="1123">
        <f t="shared" si="3"/>
        <v>0</v>
      </c>
      <c r="M7" s="1123">
        <f t="shared" si="3"/>
        <v>0</v>
      </c>
      <c r="N7" s="1123">
        <f t="shared" si="3"/>
        <v>0</v>
      </c>
      <c r="O7" s="1123">
        <f t="shared" si="3"/>
        <v>0</v>
      </c>
      <c r="P7" s="1123">
        <f t="shared" si="3"/>
        <v>0</v>
      </c>
      <c r="Q7" s="1123">
        <f t="shared" si="3"/>
        <v>0</v>
      </c>
      <c r="R7" s="1123">
        <f t="shared" si="3"/>
        <v>0</v>
      </c>
      <c r="S7" s="1123">
        <f t="shared" si="3"/>
        <v>0</v>
      </c>
      <c r="T7" s="1123">
        <f t="shared" si="3"/>
        <v>0</v>
      </c>
      <c r="U7" s="1123">
        <f t="shared" si="3"/>
        <v>0</v>
      </c>
      <c r="V7" s="1123">
        <f t="shared" si="3"/>
        <v>0</v>
      </c>
      <c r="W7" s="1123">
        <f t="shared" si="3"/>
        <v>0</v>
      </c>
      <c r="X7" s="1123">
        <f t="shared" si="3"/>
        <v>0</v>
      </c>
      <c r="Y7" s="1123">
        <f t="shared" si="3"/>
        <v>0</v>
      </c>
      <c r="Z7" s="1123">
        <f t="shared" si="3"/>
        <v>0</v>
      </c>
      <c r="AA7" s="1123">
        <f t="shared" si="3"/>
        <v>0</v>
      </c>
      <c r="AB7" s="1123">
        <f t="shared" si="3"/>
        <v>0</v>
      </c>
      <c r="AC7" s="649">
        <f t="shared" si="3"/>
        <v>0</v>
      </c>
      <c r="AD7" s="649">
        <f t="shared" si="3"/>
        <v>0</v>
      </c>
      <c r="AE7" s="649">
        <f t="shared" si="3"/>
        <v>0</v>
      </c>
      <c r="AF7" s="649">
        <f t="shared" si="3"/>
        <v>0</v>
      </c>
      <c r="AG7" s="649">
        <f t="shared" si="3"/>
        <v>0</v>
      </c>
      <c r="AH7" s="649">
        <f t="shared" si="3"/>
        <v>0</v>
      </c>
      <c r="AI7" s="649">
        <f t="shared" si="3"/>
        <v>0</v>
      </c>
      <c r="AJ7" s="649">
        <f t="shared" si="3"/>
        <v>0</v>
      </c>
      <c r="AK7" s="649">
        <f t="shared" si="3"/>
        <v>0</v>
      </c>
      <c r="AL7" s="649">
        <f t="shared" si="3"/>
        <v>0</v>
      </c>
      <c r="AM7" s="649">
        <f t="shared" si="3"/>
        <v>0</v>
      </c>
      <c r="AN7" s="649">
        <f t="shared" si="3"/>
        <v>0</v>
      </c>
      <c r="AO7" s="649">
        <f t="shared" si="3"/>
        <v>0</v>
      </c>
      <c r="AP7" s="649">
        <f t="shared" si="3"/>
        <v>0</v>
      </c>
      <c r="AQ7" s="649">
        <f t="shared" si="3"/>
        <v>0</v>
      </c>
      <c r="AR7" s="649">
        <f t="shared" si="3"/>
        <v>0</v>
      </c>
      <c r="AS7" s="649">
        <f t="shared" si="3"/>
        <v>0</v>
      </c>
      <c r="AT7" s="649">
        <f t="shared" si="3"/>
        <v>0</v>
      </c>
      <c r="AU7" s="649">
        <f t="shared" si="3"/>
        <v>0</v>
      </c>
      <c r="AV7" s="649">
        <f t="shared" si="3"/>
        <v>0</v>
      </c>
      <c r="AW7" s="649">
        <f t="shared" si="3"/>
        <v>0</v>
      </c>
      <c r="AX7" s="649">
        <f t="shared" si="3"/>
        <v>0</v>
      </c>
      <c r="AY7" s="649">
        <f t="shared" si="3"/>
        <v>0</v>
      </c>
      <c r="AZ7" s="649">
        <f t="shared" si="3"/>
        <v>0</v>
      </c>
      <c r="BA7" s="649">
        <f t="shared" ref="BA7:BL7" si="4">BA32</f>
        <v>0</v>
      </c>
      <c r="BB7" s="649">
        <f t="shared" si="4"/>
        <v>0</v>
      </c>
      <c r="BC7" s="649">
        <f t="shared" si="4"/>
        <v>0</v>
      </c>
      <c r="BD7" s="649">
        <f t="shared" si="4"/>
        <v>0</v>
      </c>
      <c r="BE7" s="649">
        <f t="shared" si="4"/>
        <v>0</v>
      </c>
      <c r="BF7" s="649">
        <f t="shared" si="4"/>
        <v>0</v>
      </c>
      <c r="BG7" s="649">
        <f t="shared" si="4"/>
        <v>0</v>
      </c>
      <c r="BH7" s="649">
        <f t="shared" si="4"/>
        <v>0</v>
      </c>
      <c r="BI7" s="649">
        <f t="shared" si="4"/>
        <v>0</v>
      </c>
      <c r="BJ7" s="649">
        <f t="shared" si="4"/>
        <v>0</v>
      </c>
      <c r="BK7" s="649">
        <f t="shared" si="4"/>
        <v>0</v>
      </c>
      <c r="BL7" s="649">
        <f t="shared" si="4"/>
        <v>0</v>
      </c>
    </row>
    <row r="8" spans="1:74" x14ac:dyDescent="0.25">
      <c r="C8" s="570" t="s">
        <v>819</v>
      </c>
      <c r="E8" s="1123">
        <f>E40</f>
        <v>0</v>
      </c>
      <c r="F8" s="1123">
        <f t="shared" ref="F8:AZ8" si="5">F40</f>
        <v>0</v>
      </c>
      <c r="G8" s="1123">
        <f t="shared" si="5"/>
        <v>0</v>
      </c>
      <c r="H8" s="1123">
        <f t="shared" si="5"/>
        <v>0</v>
      </c>
      <c r="I8" s="1123">
        <f t="shared" si="5"/>
        <v>0</v>
      </c>
      <c r="J8" s="1123">
        <f t="shared" si="5"/>
        <v>0</v>
      </c>
      <c r="K8" s="1123">
        <f t="shared" si="5"/>
        <v>0</v>
      </c>
      <c r="L8" s="1123">
        <f t="shared" si="5"/>
        <v>0</v>
      </c>
      <c r="M8" s="1123">
        <f t="shared" si="5"/>
        <v>0</v>
      </c>
      <c r="N8" s="1123">
        <f t="shared" si="5"/>
        <v>0</v>
      </c>
      <c r="O8" s="1123">
        <f t="shared" si="5"/>
        <v>0</v>
      </c>
      <c r="P8" s="1123">
        <f t="shared" si="5"/>
        <v>0</v>
      </c>
      <c r="Q8" s="1123">
        <f t="shared" si="5"/>
        <v>0</v>
      </c>
      <c r="R8" s="1123">
        <f t="shared" si="5"/>
        <v>0</v>
      </c>
      <c r="S8" s="1123">
        <f t="shared" si="5"/>
        <v>0</v>
      </c>
      <c r="T8" s="1123">
        <f t="shared" si="5"/>
        <v>0</v>
      </c>
      <c r="U8" s="1123">
        <f t="shared" si="5"/>
        <v>0</v>
      </c>
      <c r="V8" s="1123">
        <f t="shared" si="5"/>
        <v>0</v>
      </c>
      <c r="W8" s="1123">
        <f t="shared" si="5"/>
        <v>0</v>
      </c>
      <c r="X8" s="1123">
        <f t="shared" si="5"/>
        <v>0</v>
      </c>
      <c r="Y8" s="1123">
        <f t="shared" si="5"/>
        <v>0</v>
      </c>
      <c r="Z8" s="1123">
        <f t="shared" si="5"/>
        <v>0</v>
      </c>
      <c r="AA8" s="1123">
        <f t="shared" si="5"/>
        <v>0</v>
      </c>
      <c r="AB8" s="1123">
        <f t="shared" si="5"/>
        <v>0</v>
      </c>
      <c r="AC8" s="649">
        <f t="shared" si="5"/>
        <v>0</v>
      </c>
      <c r="AD8" s="649">
        <f t="shared" si="5"/>
        <v>0</v>
      </c>
      <c r="AE8" s="649">
        <f t="shared" si="5"/>
        <v>0</v>
      </c>
      <c r="AF8" s="649">
        <f t="shared" si="5"/>
        <v>0</v>
      </c>
      <c r="AG8" s="649">
        <f t="shared" si="5"/>
        <v>0</v>
      </c>
      <c r="AH8" s="649">
        <f t="shared" si="5"/>
        <v>0</v>
      </c>
      <c r="AI8" s="649">
        <f t="shared" si="5"/>
        <v>0</v>
      </c>
      <c r="AJ8" s="649">
        <f t="shared" si="5"/>
        <v>0</v>
      </c>
      <c r="AK8" s="649">
        <f t="shared" si="5"/>
        <v>0</v>
      </c>
      <c r="AL8" s="649">
        <f t="shared" si="5"/>
        <v>0</v>
      </c>
      <c r="AM8" s="649">
        <f t="shared" si="5"/>
        <v>0</v>
      </c>
      <c r="AN8" s="649">
        <f t="shared" si="5"/>
        <v>0</v>
      </c>
      <c r="AO8" s="649">
        <f t="shared" si="5"/>
        <v>0</v>
      </c>
      <c r="AP8" s="649">
        <f t="shared" si="5"/>
        <v>0</v>
      </c>
      <c r="AQ8" s="649">
        <f t="shared" si="5"/>
        <v>0</v>
      </c>
      <c r="AR8" s="649">
        <f t="shared" si="5"/>
        <v>0</v>
      </c>
      <c r="AS8" s="649">
        <f t="shared" si="5"/>
        <v>0</v>
      </c>
      <c r="AT8" s="649">
        <f t="shared" si="5"/>
        <v>0</v>
      </c>
      <c r="AU8" s="649">
        <f t="shared" si="5"/>
        <v>0</v>
      </c>
      <c r="AV8" s="649">
        <f t="shared" si="5"/>
        <v>0</v>
      </c>
      <c r="AW8" s="649">
        <f t="shared" si="5"/>
        <v>0</v>
      </c>
      <c r="AX8" s="649">
        <f t="shared" si="5"/>
        <v>0</v>
      </c>
      <c r="AY8" s="649">
        <f t="shared" si="5"/>
        <v>0</v>
      </c>
      <c r="AZ8" s="649">
        <f t="shared" si="5"/>
        <v>0</v>
      </c>
      <c r="BA8" s="649">
        <f t="shared" ref="BA8:BL8" si="6">BA40</f>
        <v>0</v>
      </c>
      <c r="BB8" s="649">
        <f t="shared" si="6"/>
        <v>0</v>
      </c>
      <c r="BC8" s="649">
        <f t="shared" si="6"/>
        <v>0</v>
      </c>
      <c r="BD8" s="649">
        <f t="shared" si="6"/>
        <v>0</v>
      </c>
      <c r="BE8" s="649">
        <f t="shared" si="6"/>
        <v>0</v>
      </c>
      <c r="BF8" s="649">
        <f t="shared" si="6"/>
        <v>0</v>
      </c>
      <c r="BG8" s="649">
        <f t="shared" si="6"/>
        <v>0</v>
      </c>
      <c r="BH8" s="649">
        <f t="shared" si="6"/>
        <v>0</v>
      </c>
      <c r="BI8" s="649">
        <f t="shared" si="6"/>
        <v>0</v>
      </c>
      <c r="BJ8" s="649">
        <f t="shared" si="6"/>
        <v>0</v>
      </c>
      <c r="BK8" s="649">
        <f t="shared" si="6"/>
        <v>0</v>
      </c>
      <c r="BL8" s="649">
        <f t="shared" si="6"/>
        <v>0</v>
      </c>
    </row>
    <row r="9" spans="1:74" x14ac:dyDescent="0.25">
      <c r="C9" s="570" t="s">
        <v>48</v>
      </c>
      <c r="E9" s="1123">
        <f>E48</f>
        <v>91250.8</v>
      </c>
      <c r="F9" s="1123">
        <f t="shared" ref="F9:AZ9" si="7">F48</f>
        <v>137787.19999999998</v>
      </c>
      <c r="G9" s="1123">
        <f t="shared" si="7"/>
        <v>162742.02000000002</v>
      </c>
      <c r="H9" s="1123">
        <f t="shared" si="7"/>
        <v>151877.41</v>
      </c>
      <c r="I9" s="1123">
        <f t="shared" si="7"/>
        <v>115310.32</v>
      </c>
      <c r="J9" s="1123">
        <f t="shared" si="7"/>
        <v>133316.34</v>
      </c>
      <c r="K9" s="1123">
        <f t="shared" si="7"/>
        <v>125631.40000000001</v>
      </c>
      <c r="L9" s="1123">
        <f t="shared" si="7"/>
        <v>142464.76</v>
      </c>
      <c r="M9" s="1123">
        <f t="shared" si="7"/>
        <v>143788.80000000005</v>
      </c>
      <c r="N9" s="1123">
        <f t="shared" si="7"/>
        <v>156742.78</v>
      </c>
      <c r="O9" s="1123">
        <f t="shared" si="7"/>
        <v>88581.16</v>
      </c>
      <c r="P9" s="1123">
        <f t="shared" si="7"/>
        <v>60219.11</v>
      </c>
      <c r="Q9" s="1123">
        <f t="shared" si="7"/>
        <v>253256.75</v>
      </c>
      <c r="R9" s="1123">
        <f t="shared" si="7"/>
        <v>176428.62999999998</v>
      </c>
      <c r="S9" s="1123">
        <f t="shared" si="7"/>
        <v>245214.31</v>
      </c>
      <c r="T9" s="1123">
        <f t="shared" si="7"/>
        <v>235310.52000000002</v>
      </c>
      <c r="U9" s="1123">
        <f t="shared" si="7"/>
        <v>270919.63</v>
      </c>
      <c r="V9" s="1123">
        <f t="shared" si="7"/>
        <v>441594.77</v>
      </c>
      <c r="W9" s="1123">
        <f t="shared" si="7"/>
        <v>690294.7</v>
      </c>
      <c r="X9" s="1123">
        <f t="shared" si="7"/>
        <v>648530.91</v>
      </c>
      <c r="Y9" s="1123">
        <f t="shared" si="7"/>
        <v>424936.93</v>
      </c>
      <c r="Z9" s="1123">
        <f t="shared" si="7"/>
        <v>380685.58</v>
      </c>
      <c r="AA9" s="1123">
        <f t="shared" si="7"/>
        <v>414441.6</v>
      </c>
      <c r="AB9" s="1123">
        <f t="shared" si="7"/>
        <v>336322.19</v>
      </c>
      <c r="AC9" s="649">
        <f t="shared" si="7"/>
        <v>315411.66000000003</v>
      </c>
      <c r="AD9" s="649">
        <f t="shared" si="7"/>
        <v>313464.46000000002</v>
      </c>
      <c r="AE9" s="649">
        <f t="shared" si="7"/>
        <v>511447.38</v>
      </c>
      <c r="AF9" s="649">
        <f t="shared" si="7"/>
        <v>565000</v>
      </c>
      <c r="AG9" s="649">
        <f t="shared" si="7"/>
        <v>570000</v>
      </c>
      <c r="AH9" s="649">
        <f t="shared" si="7"/>
        <v>500000</v>
      </c>
      <c r="AI9" s="649">
        <f t="shared" si="7"/>
        <v>450000</v>
      </c>
      <c r="AJ9" s="649">
        <f t="shared" si="7"/>
        <v>400000</v>
      </c>
      <c r="AK9" s="649">
        <f t="shared" si="7"/>
        <v>400000</v>
      </c>
      <c r="AL9" s="649">
        <f t="shared" si="7"/>
        <v>369675</v>
      </c>
      <c r="AM9" s="649">
        <f t="shared" si="7"/>
        <v>369675</v>
      </c>
      <c r="AN9" s="649">
        <f t="shared" si="7"/>
        <v>369675</v>
      </c>
      <c r="AO9" s="649">
        <f t="shared" si="7"/>
        <v>400000</v>
      </c>
      <c r="AP9" s="649">
        <f t="shared" si="7"/>
        <v>400000</v>
      </c>
      <c r="AQ9" s="649">
        <f t="shared" si="7"/>
        <v>400000</v>
      </c>
      <c r="AR9" s="649">
        <f t="shared" si="7"/>
        <v>400000</v>
      </c>
      <c r="AS9" s="649">
        <f t="shared" si="7"/>
        <v>400000</v>
      </c>
      <c r="AT9" s="649">
        <f t="shared" si="7"/>
        <v>400000</v>
      </c>
      <c r="AU9" s="649">
        <f t="shared" si="7"/>
        <v>400000</v>
      </c>
      <c r="AV9" s="649">
        <f t="shared" si="7"/>
        <v>400000</v>
      </c>
      <c r="AW9" s="649">
        <f t="shared" si="7"/>
        <v>400000</v>
      </c>
      <c r="AX9" s="649">
        <f t="shared" si="7"/>
        <v>400000</v>
      </c>
      <c r="AY9" s="649">
        <f t="shared" si="7"/>
        <v>400000</v>
      </c>
      <c r="AZ9" s="649">
        <f t="shared" si="7"/>
        <v>400000</v>
      </c>
      <c r="BA9" s="649">
        <f t="shared" ref="BA9:BL9" si="8">BA48</f>
        <v>400000</v>
      </c>
      <c r="BB9" s="649">
        <f t="shared" si="8"/>
        <v>400000</v>
      </c>
      <c r="BC9" s="649">
        <f t="shared" si="8"/>
        <v>400000</v>
      </c>
      <c r="BD9" s="649">
        <f t="shared" si="8"/>
        <v>400000</v>
      </c>
      <c r="BE9" s="649">
        <f t="shared" si="8"/>
        <v>400000</v>
      </c>
      <c r="BF9" s="649">
        <f t="shared" si="8"/>
        <v>400000</v>
      </c>
      <c r="BG9" s="649">
        <f t="shared" si="8"/>
        <v>400000</v>
      </c>
      <c r="BH9" s="649">
        <f t="shared" si="8"/>
        <v>400000</v>
      </c>
      <c r="BI9" s="649">
        <f t="shared" si="8"/>
        <v>400000</v>
      </c>
      <c r="BJ9" s="649">
        <f t="shared" si="8"/>
        <v>400000</v>
      </c>
      <c r="BK9" s="649">
        <f t="shared" si="8"/>
        <v>400000</v>
      </c>
      <c r="BL9" s="649">
        <f t="shared" si="8"/>
        <v>400000</v>
      </c>
    </row>
    <row r="10" spans="1:74" x14ac:dyDescent="0.25">
      <c r="B10" s="11" t="s">
        <v>49</v>
      </c>
      <c r="C10" s="11"/>
      <c r="D10" s="11"/>
      <c r="E10" s="1123">
        <f>SUM(E5:E9)</f>
        <v>153377.21028536902</v>
      </c>
      <c r="F10" s="1123">
        <f t="shared" ref="F10:AZ10" si="9">SUM(F5:F9)</f>
        <v>197404.07873134501</v>
      </c>
      <c r="G10" s="1123">
        <f t="shared" si="9"/>
        <v>220007.56017168579</v>
      </c>
      <c r="H10" s="1123">
        <f t="shared" si="9"/>
        <v>216325.65159619425</v>
      </c>
      <c r="I10" s="1123">
        <f t="shared" si="9"/>
        <v>184390.64402551574</v>
      </c>
      <c r="J10" s="1123">
        <f t="shared" si="9"/>
        <v>220711.56892556566</v>
      </c>
      <c r="K10" s="1123">
        <f t="shared" si="9"/>
        <v>190870.20423732779</v>
      </c>
      <c r="L10" s="1123">
        <f t="shared" si="9"/>
        <v>228529.15530530561</v>
      </c>
      <c r="M10" s="1123">
        <f t="shared" si="9"/>
        <v>209385.98139175013</v>
      </c>
      <c r="N10" s="1123">
        <f t="shared" si="9"/>
        <v>219293.53524778568</v>
      </c>
      <c r="O10" s="1123">
        <f t="shared" si="9"/>
        <v>179518.27086015505</v>
      </c>
      <c r="P10" s="1123">
        <f t="shared" si="9"/>
        <v>159717.72865170473</v>
      </c>
      <c r="Q10" s="1123">
        <f t="shared" si="9"/>
        <v>392171.05000000005</v>
      </c>
      <c r="R10" s="1123">
        <f t="shared" si="9"/>
        <v>286797.57999999996</v>
      </c>
      <c r="S10" s="1123">
        <f t="shared" si="9"/>
        <v>422708.29000000004</v>
      </c>
      <c r="T10" s="1123">
        <f t="shared" si="9"/>
        <v>363559.30000000005</v>
      </c>
      <c r="U10" s="1123">
        <f t="shared" si="9"/>
        <v>416662.85</v>
      </c>
      <c r="V10" s="1123">
        <f t="shared" si="9"/>
        <v>573415.82000000007</v>
      </c>
      <c r="W10" s="1123">
        <f t="shared" si="9"/>
        <v>847447.67999999993</v>
      </c>
      <c r="X10" s="1123">
        <f t="shared" si="9"/>
        <v>792634.67</v>
      </c>
      <c r="Y10" s="1123">
        <f t="shared" si="9"/>
        <v>583555.43999999994</v>
      </c>
      <c r="Z10" s="1123">
        <f t="shared" si="9"/>
        <v>578994</v>
      </c>
      <c r="AA10" s="1123">
        <f t="shared" si="9"/>
        <v>569967.42999999993</v>
      </c>
      <c r="AB10" s="1123">
        <f t="shared" si="9"/>
        <v>491416.55</v>
      </c>
      <c r="AC10" s="649">
        <f t="shared" si="9"/>
        <v>542203.17000000004</v>
      </c>
      <c r="AD10" s="649">
        <f t="shared" si="9"/>
        <v>517753.58</v>
      </c>
      <c r="AE10" s="649">
        <f t="shared" si="9"/>
        <v>730135.74</v>
      </c>
      <c r="AF10" s="649">
        <f t="shared" si="9"/>
        <v>871829.45949485386</v>
      </c>
      <c r="AG10" s="649">
        <f t="shared" si="9"/>
        <v>873335.46700652945</v>
      </c>
      <c r="AH10" s="649">
        <f t="shared" si="9"/>
        <v>835368.92883898201</v>
      </c>
      <c r="AI10" s="649">
        <f t="shared" si="9"/>
        <v>796547.47816006979</v>
      </c>
      <c r="AJ10" s="649">
        <f t="shared" si="9"/>
        <v>734734.3376540367</v>
      </c>
      <c r="AK10" s="649">
        <f t="shared" si="9"/>
        <v>736785.75765092671</v>
      </c>
      <c r="AL10" s="649">
        <f t="shared" si="9"/>
        <v>707995.25321121374</v>
      </c>
      <c r="AM10" s="649">
        <f t="shared" si="9"/>
        <v>709715.08196210582</v>
      </c>
      <c r="AN10" s="649">
        <f t="shared" si="9"/>
        <v>711253.03655731212</v>
      </c>
      <c r="AO10" s="649">
        <f t="shared" si="9"/>
        <v>790888.88876054261</v>
      </c>
      <c r="AP10" s="649">
        <f t="shared" si="9"/>
        <v>749632.27017371601</v>
      </c>
      <c r="AQ10" s="649">
        <f t="shared" si="9"/>
        <v>748058.87345024501</v>
      </c>
      <c r="AR10" s="649">
        <f t="shared" si="9"/>
        <v>750285.53002951783</v>
      </c>
      <c r="AS10" s="649">
        <f t="shared" si="9"/>
        <v>752278.77237029804</v>
      </c>
      <c r="AT10" s="649">
        <f t="shared" si="9"/>
        <v>754215.96675483626</v>
      </c>
      <c r="AU10" s="649">
        <f t="shared" si="9"/>
        <v>756168.84488455299</v>
      </c>
      <c r="AV10" s="649">
        <f t="shared" si="9"/>
        <v>758144.23374565423</v>
      </c>
      <c r="AW10" s="649">
        <f t="shared" si="9"/>
        <v>760119.46285060374</v>
      </c>
      <c r="AX10" s="649">
        <f t="shared" si="9"/>
        <v>762088.60602463933</v>
      </c>
      <c r="AY10" s="649">
        <f t="shared" si="9"/>
        <v>764095.04674766678</v>
      </c>
      <c r="AZ10" s="649">
        <f t="shared" si="9"/>
        <v>766126.50223537872</v>
      </c>
      <c r="BA10" s="649">
        <f t="shared" ref="BA10:BL10" si="10">SUM(BA5:BA9)</f>
        <v>774973.60607960587</v>
      </c>
      <c r="BB10" s="649">
        <f t="shared" si="10"/>
        <v>783123.39554579742</v>
      </c>
      <c r="BC10" s="649">
        <f t="shared" si="10"/>
        <v>781508.7629695395</v>
      </c>
      <c r="BD10" s="649">
        <f t="shared" si="10"/>
        <v>783715.98605025955</v>
      </c>
      <c r="BE10" s="649">
        <f t="shared" si="10"/>
        <v>785935.4630707812</v>
      </c>
      <c r="BF10" s="649">
        <f t="shared" si="10"/>
        <v>788173.95749594027</v>
      </c>
      <c r="BG10" s="649">
        <f t="shared" si="10"/>
        <v>790431.84641326941</v>
      </c>
      <c r="BH10" s="649">
        <f t="shared" si="10"/>
        <v>792719.36206342292</v>
      </c>
      <c r="BI10" s="649">
        <f t="shared" si="10"/>
        <v>795036.87755543436</v>
      </c>
      <c r="BJ10" s="649">
        <f t="shared" si="10"/>
        <v>797386.75505144731</v>
      </c>
      <c r="BK10" s="649">
        <f t="shared" si="10"/>
        <v>799772.89301751368</v>
      </c>
      <c r="BL10" s="649">
        <f t="shared" si="10"/>
        <v>802195.71515631909</v>
      </c>
    </row>
    <row r="11" spans="1:74" x14ac:dyDescent="0.25">
      <c r="E11" s="48"/>
      <c r="F11" s="48"/>
      <c r="G11" s="48"/>
      <c r="H11" s="48"/>
      <c r="I11" s="48"/>
      <c r="J11" s="48"/>
      <c r="K11" s="48"/>
      <c r="L11" s="48"/>
      <c r="M11" s="48"/>
      <c r="N11" s="48"/>
      <c r="O11" s="48"/>
      <c r="P11" s="48"/>
      <c r="Q11" s="48"/>
      <c r="R11" s="48"/>
      <c r="S11" s="48"/>
      <c r="T11" s="48"/>
      <c r="U11" s="48"/>
      <c r="V11" s="48"/>
      <c r="W11" s="48"/>
      <c r="X11" s="48"/>
      <c r="Y11" s="48"/>
      <c r="Z11" s="48"/>
      <c r="AA11" s="48"/>
      <c r="AB11" s="48"/>
      <c r="AC11" s="223"/>
      <c r="AD11" s="223"/>
      <c r="AE11" s="223"/>
      <c r="AF11" s="223"/>
      <c r="AG11" s="223"/>
      <c r="AH11" s="223"/>
      <c r="AI11" s="223"/>
      <c r="AJ11" s="223"/>
      <c r="AK11" s="223"/>
      <c r="AL11" s="223"/>
      <c r="AM11" s="223"/>
      <c r="AN11" s="223"/>
      <c r="AO11" s="223"/>
      <c r="AP11" s="223"/>
      <c r="AQ11" s="223"/>
      <c r="AR11" s="223"/>
      <c r="AS11" s="223"/>
      <c r="AT11" s="223"/>
      <c r="AU11" s="223"/>
      <c r="AV11" s="223"/>
      <c r="AW11" s="223"/>
      <c r="AX11" s="223"/>
      <c r="AY11" s="223"/>
      <c r="AZ11" s="223"/>
      <c r="BA11" s="223"/>
      <c r="BB11" s="223"/>
      <c r="BC11" s="223"/>
      <c r="BD11" s="223"/>
      <c r="BE11" s="223"/>
      <c r="BF11" s="223"/>
      <c r="BG11" s="223"/>
      <c r="BH11" s="223"/>
      <c r="BI11" s="223"/>
      <c r="BJ11" s="223"/>
      <c r="BK11" s="223"/>
      <c r="BL11" s="223"/>
    </row>
    <row r="12" spans="1:74" x14ac:dyDescent="0.25">
      <c r="B12" s="163" t="s">
        <v>820</v>
      </c>
      <c r="C12" s="570" t="s">
        <v>817</v>
      </c>
      <c r="E12" s="256">
        <f>E26</f>
        <v>0</v>
      </c>
      <c r="F12" s="256">
        <f t="shared" ref="F12:AZ12" si="11">F26</f>
        <v>0</v>
      </c>
      <c r="G12" s="256">
        <f t="shared" si="11"/>
        <v>0</v>
      </c>
      <c r="H12" s="256">
        <f t="shared" si="11"/>
        <v>0</v>
      </c>
      <c r="I12" s="256">
        <f t="shared" si="11"/>
        <v>0</v>
      </c>
      <c r="J12" s="256">
        <f t="shared" si="11"/>
        <v>0</v>
      </c>
      <c r="K12" s="256">
        <f t="shared" si="11"/>
        <v>0</v>
      </c>
      <c r="L12" s="256">
        <f t="shared" si="11"/>
        <v>0</v>
      </c>
      <c r="M12" s="256">
        <f t="shared" si="11"/>
        <v>0</v>
      </c>
      <c r="N12" s="256">
        <f t="shared" si="11"/>
        <v>0</v>
      </c>
      <c r="O12" s="256">
        <f t="shared" si="11"/>
        <v>0</v>
      </c>
      <c r="P12" s="256">
        <f t="shared" si="11"/>
        <v>0</v>
      </c>
      <c r="Q12" s="256">
        <f t="shared" si="11"/>
        <v>0</v>
      </c>
      <c r="R12" s="256">
        <f t="shared" si="11"/>
        <v>0</v>
      </c>
      <c r="S12" s="256">
        <f t="shared" si="11"/>
        <v>0</v>
      </c>
      <c r="T12" s="256">
        <f t="shared" si="11"/>
        <v>0</v>
      </c>
      <c r="U12" s="256">
        <f t="shared" si="11"/>
        <v>0</v>
      </c>
      <c r="V12" s="256">
        <f t="shared" si="11"/>
        <v>0</v>
      </c>
      <c r="W12" s="256">
        <f t="shared" si="11"/>
        <v>0</v>
      </c>
      <c r="X12" s="256">
        <f t="shared" si="11"/>
        <v>0</v>
      </c>
      <c r="Y12" s="256">
        <f t="shared" si="11"/>
        <v>0</v>
      </c>
      <c r="Z12" s="256">
        <f t="shared" si="11"/>
        <v>0</v>
      </c>
      <c r="AA12" s="256">
        <f t="shared" si="11"/>
        <v>0</v>
      </c>
      <c r="AB12" s="256">
        <f t="shared" si="11"/>
        <v>0</v>
      </c>
      <c r="AC12" s="573">
        <f t="shared" si="11"/>
        <v>0</v>
      </c>
      <c r="AD12" s="573">
        <f t="shared" si="11"/>
        <v>0</v>
      </c>
      <c r="AE12" s="573">
        <f t="shared" si="11"/>
        <v>0</v>
      </c>
      <c r="AF12" s="573">
        <f t="shared" si="11"/>
        <v>0</v>
      </c>
      <c r="AG12" s="573">
        <f t="shared" si="11"/>
        <v>0</v>
      </c>
      <c r="AH12" s="573">
        <f t="shared" si="11"/>
        <v>0</v>
      </c>
      <c r="AI12" s="573">
        <f t="shared" si="11"/>
        <v>0</v>
      </c>
      <c r="AJ12" s="573">
        <f t="shared" si="11"/>
        <v>0</v>
      </c>
      <c r="AK12" s="573">
        <f t="shared" si="11"/>
        <v>0</v>
      </c>
      <c r="AL12" s="573">
        <f t="shared" si="11"/>
        <v>0</v>
      </c>
      <c r="AM12" s="573">
        <f t="shared" si="11"/>
        <v>0</v>
      </c>
      <c r="AN12" s="573">
        <f t="shared" si="11"/>
        <v>0</v>
      </c>
      <c r="AO12" s="573">
        <f t="shared" si="11"/>
        <v>0</v>
      </c>
      <c r="AP12" s="573">
        <f t="shared" si="11"/>
        <v>0</v>
      </c>
      <c r="AQ12" s="573">
        <f t="shared" si="11"/>
        <v>0</v>
      </c>
      <c r="AR12" s="573">
        <f t="shared" si="11"/>
        <v>0</v>
      </c>
      <c r="AS12" s="573">
        <f t="shared" si="11"/>
        <v>0</v>
      </c>
      <c r="AT12" s="573">
        <f t="shared" si="11"/>
        <v>0</v>
      </c>
      <c r="AU12" s="573">
        <f t="shared" si="11"/>
        <v>0</v>
      </c>
      <c r="AV12" s="573">
        <f t="shared" si="11"/>
        <v>0</v>
      </c>
      <c r="AW12" s="573">
        <f t="shared" si="11"/>
        <v>0</v>
      </c>
      <c r="AX12" s="573">
        <f t="shared" si="11"/>
        <v>0</v>
      </c>
      <c r="AY12" s="573">
        <f t="shared" si="11"/>
        <v>0</v>
      </c>
      <c r="AZ12" s="573">
        <f t="shared" si="11"/>
        <v>0</v>
      </c>
      <c r="BA12" s="573">
        <f t="shared" ref="BA12:BL12" si="12">BA26</f>
        <v>0</v>
      </c>
      <c r="BB12" s="573">
        <f t="shared" si="12"/>
        <v>0</v>
      </c>
      <c r="BC12" s="573">
        <f t="shared" si="12"/>
        <v>0</v>
      </c>
      <c r="BD12" s="573">
        <f t="shared" si="12"/>
        <v>0</v>
      </c>
      <c r="BE12" s="573">
        <f t="shared" si="12"/>
        <v>0</v>
      </c>
      <c r="BF12" s="573">
        <f t="shared" si="12"/>
        <v>0</v>
      </c>
      <c r="BG12" s="573">
        <f t="shared" si="12"/>
        <v>0</v>
      </c>
      <c r="BH12" s="573">
        <f t="shared" si="12"/>
        <v>0</v>
      </c>
      <c r="BI12" s="573">
        <f t="shared" si="12"/>
        <v>0</v>
      </c>
      <c r="BJ12" s="573">
        <f t="shared" si="12"/>
        <v>0</v>
      </c>
      <c r="BK12" s="573">
        <f t="shared" si="12"/>
        <v>0</v>
      </c>
      <c r="BL12" s="573">
        <f t="shared" si="12"/>
        <v>0</v>
      </c>
    </row>
    <row r="13" spans="1:74" x14ac:dyDescent="0.25">
      <c r="C13" s="570" t="s">
        <v>818</v>
      </c>
      <c r="E13" s="256">
        <f>E34</f>
        <v>0</v>
      </c>
      <c r="F13" s="256">
        <f t="shared" ref="F13:AZ13" si="13">F34</f>
        <v>0</v>
      </c>
      <c r="G13" s="256">
        <f t="shared" si="13"/>
        <v>0</v>
      </c>
      <c r="H13" s="256">
        <f t="shared" si="13"/>
        <v>0</v>
      </c>
      <c r="I13" s="256">
        <f t="shared" si="13"/>
        <v>0</v>
      </c>
      <c r="J13" s="256">
        <f t="shared" si="13"/>
        <v>0</v>
      </c>
      <c r="K13" s="256">
        <f t="shared" si="13"/>
        <v>0</v>
      </c>
      <c r="L13" s="256">
        <f t="shared" si="13"/>
        <v>0</v>
      </c>
      <c r="M13" s="256">
        <f t="shared" si="13"/>
        <v>0</v>
      </c>
      <c r="N13" s="256">
        <f t="shared" si="13"/>
        <v>0</v>
      </c>
      <c r="O13" s="256">
        <f t="shared" si="13"/>
        <v>0</v>
      </c>
      <c r="P13" s="256">
        <f t="shared" si="13"/>
        <v>0</v>
      </c>
      <c r="Q13" s="256">
        <f t="shared" si="13"/>
        <v>0</v>
      </c>
      <c r="R13" s="256">
        <f t="shared" si="13"/>
        <v>0</v>
      </c>
      <c r="S13" s="256">
        <f t="shared" si="13"/>
        <v>0</v>
      </c>
      <c r="T13" s="256">
        <f t="shared" si="13"/>
        <v>0</v>
      </c>
      <c r="U13" s="256">
        <f t="shared" si="13"/>
        <v>0</v>
      </c>
      <c r="V13" s="256">
        <f t="shared" si="13"/>
        <v>0</v>
      </c>
      <c r="W13" s="256">
        <f t="shared" si="13"/>
        <v>0</v>
      </c>
      <c r="X13" s="256">
        <f t="shared" si="13"/>
        <v>0</v>
      </c>
      <c r="Y13" s="256">
        <f t="shared" si="13"/>
        <v>0</v>
      </c>
      <c r="Z13" s="256">
        <f t="shared" si="13"/>
        <v>0</v>
      </c>
      <c r="AA13" s="256">
        <f t="shared" si="13"/>
        <v>0</v>
      </c>
      <c r="AB13" s="256">
        <f t="shared" si="13"/>
        <v>0</v>
      </c>
      <c r="AC13" s="573">
        <f t="shared" si="13"/>
        <v>0</v>
      </c>
      <c r="AD13" s="573">
        <f t="shared" si="13"/>
        <v>0</v>
      </c>
      <c r="AE13" s="573">
        <f t="shared" si="13"/>
        <v>0</v>
      </c>
      <c r="AF13" s="573">
        <f t="shared" si="13"/>
        <v>0</v>
      </c>
      <c r="AG13" s="573">
        <f t="shared" si="13"/>
        <v>0</v>
      </c>
      <c r="AH13" s="573">
        <f t="shared" si="13"/>
        <v>0</v>
      </c>
      <c r="AI13" s="573">
        <f t="shared" si="13"/>
        <v>0</v>
      </c>
      <c r="AJ13" s="573">
        <f t="shared" si="13"/>
        <v>0</v>
      </c>
      <c r="AK13" s="573">
        <f t="shared" si="13"/>
        <v>0</v>
      </c>
      <c r="AL13" s="573">
        <f t="shared" si="13"/>
        <v>0</v>
      </c>
      <c r="AM13" s="573">
        <f t="shared" si="13"/>
        <v>0</v>
      </c>
      <c r="AN13" s="573">
        <f t="shared" si="13"/>
        <v>0</v>
      </c>
      <c r="AO13" s="573">
        <f t="shared" si="13"/>
        <v>0</v>
      </c>
      <c r="AP13" s="573">
        <f t="shared" si="13"/>
        <v>0</v>
      </c>
      <c r="AQ13" s="573">
        <f t="shared" si="13"/>
        <v>0</v>
      </c>
      <c r="AR13" s="573">
        <f t="shared" si="13"/>
        <v>0</v>
      </c>
      <c r="AS13" s="573">
        <f t="shared" si="13"/>
        <v>0</v>
      </c>
      <c r="AT13" s="573">
        <f t="shared" si="13"/>
        <v>0</v>
      </c>
      <c r="AU13" s="573">
        <f t="shared" si="13"/>
        <v>0</v>
      </c>
      <c r="AV13" s="573">
        <f t="shared" si="13"/>
        <v>0</v>
      </c>
      <c r="AW13" s="573">
        <f t="shared" si="13"/>
        <v>0</v>
      </c>
      <c r="AX13" s="573">
        <f t="shared" si="13"/>
        <v>0</v>
      </c>
      <c r="AY13" s="573">
        <f t="shared" si="13"/>
        <v>0</v>
      </c>
      <c r="AZ13" s="573">
        <f t="shared" si="13"/>
        <v>0</v>
      </c>
      <c r="BA13" s="573">
        <f t="shared" ref="BA13:BL13" si="14">BA34</f>
        <v>0</v>
      </c>
      <c r="BB13" s="573">
        <f t="shared" si="14"/>
        <v>0</v>
      </c>
      <c r="BC13" s="573">
        <f t="shared" si="14"/>
        <v>0</v>
      </c>
      <c r="BD13" s="573">
        <f t="shared" si="14"/>
        <v>0</v>
      </c>
      <c r="BE13" s="573">
        <f t="shared" si="14"/>
        <v>0</v>
      </c>
      <c r="BF13" s="573">
        <f t="shared" si="14"/>
        <v>0</v>
      </c>
      <c r="BG13" s="573">
        <f t="shared" si="14"/>
        <v>0</v>
      </c>
      <c r="BH13" s="573">
        <f t="shared" si="14"/>
        <v>0</v>
      </c>
      <c r="BI13" s="573">
        <f t="shared" si="14"/>
        <v>0</v>
      </c>
      <c r="BJ13" s="573">
        <f t="shared" si="14"/>
        <v>0</v>
      </c>
      <c r="BK13" s="573">
        <f t="shared" si="14"/>
        <v>0</v>
      </c>
      <c r="BL13" s="573">
        <f t="shared" si="14"/>
        <v>0</v>
      </c>
    </row>
    <row r="14" spans="1:74" x14ac:dyDescent="0.25">
      <c r="C14" s="570" t="s">
        <v>819</v>
      </c>
      <c r="E14" s="256">
        <f>E42</f>
        <v>0</v>
      </c>
      <c r="F14" s="256">
        <f t="shared" ref="F14:AZ14" si="15">F34</f>
        <v>0</v>
      </c>
      <c r="G14" s="256">
        <f t="shared" si="15"/>
        <v>0</v>
      </c>
      <c r="H14" s="256">
        <f t="shared" si="15"/>
        <v>0</v>
      </c>
      <c r="I14" s="256">
        <f t="shared" si="15"/>
        <v>0</v>
      </c>
      <c r="J14" s="256">
        <f t="shared" si="15"/>
        <v>0</v>
      </c>
      <c r="K14" s="256">
        <f t="shared" si="15"/>
        <v>0</v>
      </c>
      <c r="L14" s="256">
        <f t="shared" si="15"/>
        <v>0</v>
      </c>
      <c r="M14" s="256">
        <f t="shared" si="15"/>
        <v>0</v>
      </c>
      <c r="N14" s="256">
        <f t="shared" si="15"/>
        <v>0</v>
      </c>
      <c r="O14" s="256">
        <f t="shared" si="15"/>
        <v>0</v>
      </c>
      <c r="P14" s="256">
        <f t="shared" si="15"/>
        <v>0</v>
      </c>
      <c r="Q14" s="256">
        <f t="shared" si="15"/>
        <v>0</v>
      </c>
      <c r="R14" s="256">
        <f t="shared" si="15"/>
        <v>0</v>
      </c>
      <c r="S14" s="256">
        <f t="shared" si="15"/>
        <v>0</v>
      </c>
      <c r="T14" s="256">
        <f t="shared" si="15"/>
        <v>0</v>
      </c>
      <c r="U14" s="256">
        <f t="shared" si="15"/>
        <v>0</v>
      </c>
      <c r="V14" s="256">
        <f t="shared" si="15"/>
        <v>0</v>
      </c>
      <c r="W14" s="256">
        <f t="shared" si="15"/>
        <v>0</v>
      </c>
      <c r="X14" s="256">
        <f t="shared" si="15"/>
        <v>0</v>
      </c>
      <c r="Y14" s="256">
        <f t="shared" si="15"/>
        <v>0</v>
      </c>
      <c r="Z14" s="256">
        <f t="shared" si="15"/>
        <v>0</v>
      </c>
      <c r="AA14" s="256">
        <f t="shared" si="15"/>
        <v>0</v>
      </c>
      <c r="AB14" s="256">
        <f t="shared" si="15"/>
        <v>0</v>
      </c>
      <c r="AC14" s="573">
        <f t="shared" si="15"/>
        <v>0</v>
      </c>
      <c r="AD14" s="573">
        <f t="shared" si="15"/>
        <v>0</v>
      </c>
      <c r="AE14" s="573">
        <f t="shared" si="15"/>
        <v>0</v>
      </c>
      <c r="AF14" s="573">
        <f t="shared" si="15"/>
        <v>0</v>
      </c>
      <c r="AG14" s="573">
        <f t="shared" si="15"/>
        <v>0</v>
      </c>
      <c r="AH14" s="573">
        <f t="shared" si="15"/>
        <v>0</v>
      </c>
      <c r="AI14" s="573">
        <f t="shared" si="15"/>
        <v>0</v>
      </c>
      <c r="AJ14" s="573">
        <f t="shared" si="15"/>
        <v>0</v>
      </c>
      <c r="AK14" s="573">
        <f t="shared" si="15"/>
        <v>0</v>
      </c>
      <c r="AL14" s="573">
        <f t="shared" si="15"/>
        <v>0</v>
      </c>
      <c r="AM14" s="573">
        <f t="shared" si="15"/>
        <v>0</v>
      </c>
      <c r="AN14" s="573">
        <f t="shared" si="15"/>
        <v>0</v>
      </c>
      <c r="AO14" s="573">
        <f t="shared" si="15"/>
        <v>0</v>
      </c>
      <c r="AP14" s="573">
        <f t="shared" si="15"/>
        <v>0</v>
      </c>
      <c r="AQ14" s="573">
        <f t="shared" si="15"/>
        <v>0</v>
      </c>
      <c r="AR14" s="573">
        <f t="shared" si="15"/>
        <v>0</v>
      </c>
      <c r="AS14" s="573">
        <f t="shared" si="15"/>
        <v>0</v>
      </c>
      <c r="AT14" s="573">
        <f t="shared" si="15"/>
        <v>0</v>
      </c>
      <c r="AU14" s="573">
        <f t="shared" si="15"/>
        <v>0</v>
      </c>
      <c r="AV14" s="573">
        <f t="shared" si="15"/>
        <v>0</v>
      </c>
      <c r="AW14" s="573">
        <f t="shared" si="15"/>
        <v>0</v>
      </c>
      <c r="AX14" s="573">
        <f t="shared" si="15"/>
        <v>0</v>
      </c>
      <c r="AY14" s="573">
        <f t="shared" si="15"/>
        <v>0</v>
      </c>
      <c r="AZ14" s="573">
        <f t="shared" si="15"/>
        <v>0</v>
      </c>
      <c r="BA14" s="573">
        <f t="shared" ref="BA14:BL14" si="16">BA34</f>
        <v>0</v>
      </c>
      <c r="BB14" s="573">
        <f t="shared" si="16"/>
        <v>0</v>
      </c>
      <c r="BC14" s="573">
        <f t="shared" si="16"/>
        <v>0</v>
      </c>
      <c r="BD14" s="573">
        <f t="shared" si="16"/>
        <v>0</v>
      </c>
      <c r="BE14" s="573">
        <f t="shared" si="16"/>
        <v>0</v>
      </c>
      <c r="BF14" s="573">
        <f t="shared" si="16"/>
        <v>0</v>
      </c>
      <c r="BG14" s="573">
        <f t="shared" si="16"/>
        <v>0</v>
      </c>
      <c r="BH14" s="573">
        <f t="shared" si="16"/>
        <v>0</v>
      </c>
      <c r="BI14" s="573">
        <f t="shared" si="16"/>
        <v>0</v>
      </c>
      <c r="BJ14" s="573">
        <f t="shared" si="16"/>
        <v>0</v>
      </c>
      <c r="BK14" s="573">
        <f t="shared" si="16"/>
        <v>0</v>
      </c>
      <c r="BL14" s="573">
        <f t="shared" si="16"/>
        <v>0</v>
      </c>
    </row>
    <row r="15" spans="1:74" x14ac:dyDescent="0.25">
      <c r="C15" s="570" t="s">
        <v>48</v>
      </c>
      <c r="E15" s="256">
        <f>E50</f>
        <v>4522.5134241917012</v>
      </c>
      <c r="F15" s="256">
        <f t="shared" ref="F15:AZ15" si="17">F50</f>
        <v>953.89397533837291</v>
      </c>
      <c r="G15" s="256">
        <f t="shared" si="17"/>
        <v>1380.5484428631873</v>
      </c>
      <c r="H15" s="256">
        <f t="shared" si="17"/>
        <v>1381.5123845377782</v>
      </c>
      <c r="I15" s="256">
        <f t="shared" si="17"/>
        <v>1136.2576679468675</v>
      </c>
      <c r="J15" s="256">
        <f t="shared" si="17"/>
        <v>895.7560895421127</v>
      </c>
      <c r="K15" s="256">
        <f t="shared" si="17"/>
        <v>753.18345465442872</v>
      </c>
      <c r="L15" s="256">
        <f t="shared" si="17"/>
        <v>1134.9652393542513</v>
      </c>
      <c r="M15" s="256">
        <f t="shared" si="17"/>
        <v>2201.9562055716879</v>
      </c>
      <c r="N15" s="256">
        <f t="shared" si="17"/>
        <v>2061.7348900537027</v>
      </c>
      <c r="O15" s="256">
        <f t="shared" si="17"/>
        <v>1056.8084421819217</v>
      </c>
      <c r="P15" s="256">
        <f t="shared" si="17"/>
        <v>297.16200463658851</v>
      </c>
      <c r="Q15" s="256">
        <f t="shared" si="17"/>
        <v>1472.6456093377346</v>
      </c>
      <c r="R15" s="256">
        <f t="shared" si="17"/>
        <v>1460.407834063953</v>
      </c>
      <c r="S15" s="256">
        <f t="shared" si="17"/>
        <v>1927.267606258463</v>
      </c>
      <c r="T15" s="256">
        <f t="shared" si="17"/>
        <v>2080.1650965220988</v>
      </c>
      <c r="U15" s="256">
        <f t="shared" si="17"/>
        <v>3005.3967661718798</v>
      </c>
      <c r="V15" s="256">
        <f t="shared" si="17"/>
        <v>1897.3598843585014</v>
      </c>
      <c r="W15" s="256">
        <f t="shared" si="17"/>
        <v>1921.8782579254889</v>
      </c>
      <c r="X15" s="256">
        <f t="shared" si="17"/>
        <v>2277.5629282686168</v>
      </c>
      <c r="Y15" s="256">
        <f t="shared" si="17"/>
        <v>2737.6191472566861</v>
      </c>
      <c r="Z15" s="256">
        <f t="shared" si="17"/>
        <v>1413.1395835602386</v>
      </c>
      <c r="AA15" s="256">
        <f t="shared" si="17"/>
        <v>1680.0754896087574</v>
      </c>
      <c r="AB15" s="256">
        <f t="shared" si="17"/>
        <v>1726.5007190612196</v>
      </c>
      <c r="AC15" s="573">
        <f>AC50</f>
        <v>1783.2442348673242</v>
      </c>
      <c r="AD15" s="573">
        <f t="shared" si="17"/>
        <v>1588.2190947614401</v>
      </c>
      <c r="AE15" s="573">
        <f t="shared" si="17"/>
        <v>2254.205264066813</v>
      </c>
      <c r="AF15" s="573">
        <f t="shared" si="17"/>
        <v>2152.3809523809523</v>
      </c>
      <c r="AG15" s="573">
        <f t="shared" si="17"/>
        <v>2171.4285714285711</v>
      </c>
      <c r="AH15" s="573">
        <f t="shared" si="17"/>
        <v>1904.7619047619046</v>
      </c>
      <c r="AI15" s="573">
        <f t="shared" si="17"/>
        <v>1714.2857142857144</v>
      </c>
      <c r="AJ15" s="573">
        <f t="shared" si="17"/>
        <v>1523.8095238095239</v>
      </c>
      <c r="AK15" s="573">
        <f t="shared" si="17"/>
        <v>1523.8095238095239</v>
      </c>
      <c r="AL15" s="573">
        <f t="shared" si="17"/>
        <v>2250.1943964843745</v>
      </c>
      <c r="AM15" s="573">
        <f t="shared" si="17"/>
        <v>2250.1943964843745</v>
      </c>
      <c r="AN15" s="573">
        <f t="shared" si="17"/>
        <v>2250.1943964843745</v>
      </c>
      <c r="AO15" s="573">
        <f t="shared" si="17"/>
        <v>2250</v>
      </c>
      <c r="AP15" s="573">
        <f t="shared" si="17"/>
        <v>2250</v>
      </c>
      <c r="AQ15" s="573">
        <f t="shared" si="17"/>
        <v>2250</v>
      </c>
      <c r="AR15" s="573">
        <f t="shared" si="17"/>
        <v>2250</v>
      </c>
      <c r="AS15" s="573">
        <f t="shared" si="17"/>
        <v>2250</v>
      </c>
      <c r="AT15" s="573">
        <f t="shared" si="17"/>
        <v>2250</v>
      </c>
      <c r="AU15" s="573">
        <f t="shared" si="17"/>
        <v>2250</v>
      </c>
      <c r="AV15" s="573">
        <f t="shared" si="17"/>
        <v>2250</v>
      </c>
      <c r="AW15" s="573">
        <f t="shared" si="17"/>
        <v>2250</v>
      </c>
      <c r="AX15" s="573">
        <f t="shared" si="17"/>
        <v>2250</v>
      </c>
      <c r="AY15" s="573">
        <f t="shared" si="17"/>
        <v>2250</v>
      </c>
      <c r="AZ15" s="573">
        <f t="shared" si="17"/>
        <v>2250</v>
      </c>
      <c r="BA15" s="573" t="e">
        <f t="shared" ref="BA15:BL15" si="18">BA50</f>
        <v>#VALUE!</v>
      </c>
      <c r="BB15" s="573" t="e">
        <f t="shared" si="18"/>
        <v>#VALUE!</v>
      </c>
      <c r="BC15" s="573" t="e">
        <f t="shared" si="18"/>
        <v>#VALUE!</v>
      </c>
      <c r="BD15" s="573" t="e">
        <f t="shared" si="18"/>
        <v>#VALUE!</v>
      </c>
      <c r="BE15" s="573" t="e">
        <f t="shared" si="18"/>
        <v>#VALUE!</v>
      </c>
      <c r="BF15" s="573" t="e">
        <f t="shared" si="18"/>
        <v>#VALUE!</v>
      </c>
      <c r="BG15" s="573" t="e">
        <f t="shared" si="18"/>
        <v>#VALUE!</v>
      </c>
      <c r="BH15" s="573" t="e">
        <f t="shared" si="18"/>
        <v>#VALUE!</v>
      </c>
      <c r="BI15" s="573" t="e">
        <f t="shared" si="18"/>
        <v>#VALUE!</v>
      </c>
      <c r="BJ15" s="573" t="e">
        <f t="shared" si="18"/>
        <v>#VALUE!</v>
      </c>
      <c r="BK15" s="573" t="e">
        <f t="shared" si="18"/>
        <v>#VALUE!</v>
      </c>
      <c r="BL15" s="573" t="e">
        <f t="shared" si="18"/>
        <v>#VALUE!</v>
      </c>
    </row>
    <row r="16" spans="1:74" x14ac:dyDescent="0.25">
      <c r="B16" s="11" t="s">
        <v>49</v>
      </c>
      <c r="C16" s="11"/>
      <c r="D16" s="11"/>
      <c r="E16" s="256">
        <f>SUM(E12:E15)</f>
        <v>4522.5134241917012</v>
      </c>
      <c r="F16" s="256">
        <f t="shared" ref="F16:AZ16" si="19">SUM(F12:F15)</f>
        <v>953.89397533837291</v>
      </c>
      <c r="G16" s="256">
        <f t="shared" si="19"/>
        <v>1380.5484428631873</v>
      </c>
      <c r="H16" s="256">
        <f t="shared" si="19"/>
        <v>1381.5123845377782</v>
      </c>
      <c r="I16" s="256">
        <f t="shared" si="19"/>
        <v>1136.2576679468675</v>
      </c>
      <c r="J16" s="256">
        <f t="shared" si="19"/>
        <v>895.7560895421127</v>
      </c>
      <c r="K16" s="256">
        <f t="shared" si="19"/>
        <v>753.18345465442872</v>
      </c>
      <c r="L16" s="256">
        <f t="shared" si="19"/>
        <v>1134.9652393542513</v>
      </c>
      <c r="M16" s="256">
        <f t="shared" si="19"/>
        <v>2201.9562055716879</v>
      </c>
      <c r="N16" s="256">
        <f t="shared" si="19"/>
        <v>2061.7348900537027</v>
      </c>
      <c r="O16" s="256">
        <f t="shared" si="19"/>
        <v>1056.8084421819217</v>
      </c>
      <c r="P16" s="256">
        <f t="shared" si="19"/>
        <v>297.16200463658851</v>
      </c>
      <c r="Q16" s="256">
        <f t="shared" si="19"/>
        <v>1472.6456093377346</v>
      </c>
      <c r="R16" s="256">
        <f t="shared" si="19"/>
        <v>1460.407834063953</v>
      </c>
      <c r="S16" s="256">
        <f t="shared" si="19"/>
        <v>1927.267606258463</v>
      </c>
      <c r="T16" s="256">
        <f t="shared" si="19"/>
        <v>2080.1650965220988</v>
      </c>
      <c r="U16" s="256">
        <f t="shared" si="19"/>
        <v>3005.3967661718798</v>
      </c>
      <c r="V16" s="256">
        <f t="shared" si="19"/>
        <v>1897.3598843585014</v>
      </c>
      <c r="W16" s="256">
        <f t="shared" si="19"/>
        <v>1921.8782579254889</v>
      </c>
      <c r="X16" s="256">
        <f t="shared" si="19"/>
        <v>2277.5629282686168</v>
      </c>
      <c r="Y16" s="256">
        <f t="shared" si="19"/>
        <v>2737.6191472566861</v>
      </c>
      <c r="Z16" s="256">
        <f t="shared" si="19"/>
        <v>1413.1395835602386</v>
      </c>
      <c r="AA16" s="256">
        <f t="shared" si="19"/>
        <v>1680.0754896087574</v>
      </c>
      <c r="AB16" s="256">
        <f t="shared" si="19"/>
        <v>1726.5007190612196</v>
      </c>
      <c r="AC16" s="573">
        <f t="shared" si="19"/>
        <v>1783.2442348673242</v>
      </c>
      <c r="AD16" s="573">
        <f t="shared" si="19"/>
        <v>1588.2190947614401</v>
      </c>
      <c r="AE16" s="573">
        <f t="shared" si="19"/>
        <v>2254.205264066813</v>
      </c>
      <c r="AF16" s="573">
        <f t="shared" si="19"/>
        <v>2152.3809523809523</v>
      </c>
      <c r="AG16" s="573">
        <f t="shared" si="19"/>
        <v>2171.4285714285711</v>
      </c>
      <c r="AH16" s="573">
        <f t="shared" si="19"/>
        <v>1904.7619047619046</v>
      </c>
      <c r="AI16" s="573">
        <f t="shared" si="19"/>
        <v>1714.2857142857144</v>
      </c>
      <c r="AJ16" s="573">
        <f t="shared" si="19"/>
        <v>1523.8095238095239</v>
      </c>
      <c r="AK16" s="573">
        <f t="shared" si="19"/>
        <v>1523.8095238095239</v>
      </c>
      <c r="AL16" s="573">
        <f t="shared" si="19"/>
        <v>2250.1943964843745</v>
      </c>
      <c r="AM16" s="573">
        <f t="shared" si="19"/>
        <v>2250.1943964843745</v>
      </c>
      <c r="AN16" s="573">
        <f t="shared" si="19"/>
        <v>2250.1943964843745</v>
      </c>
      <c r="AO16" s="573">
        <f t="shared" si="19"/>
        <v>2250</v>
      </c>
      <c r="AP16" s="573">
        <f t="shared" si="19"/>
        <v>2250</v>
      </c>
      <c r="AQ16" s="573">
        <f t="shared" si="19"/>
        <v>2250</v>
      </c>
      <c r="AR16" s="573">
        <f t="shared" si="19"/>
        <v>2250</v>
      </c>
      <c r="AS16" s="573">
        <f t="shared" si="19"/>
        <v>2250</v>
      </c>
      <c r="AT16" s="573">
        <f t="shared" si="19"/>
        <v>2250</v>
      </c>
      <c r="AU16" s="573">
        <f t="shared" si="19"/>
        <v>2250</v>
      </c>
      <c r="AV16" s="573">
        <f t="shared" si="19"/>
        <v>2250</v>
      </c>
      <c r="AW16" s="573">
        <f t="shared" si="19"/>
        <v>2250</v>
      </c>
      <c r="AX16" s="573">
        <f t="shared" si="19"/>
        <v>2250</v>
      </c>
      <c r="AY16" s="573">
        <f t="shared" si="19"/>
        <v>2250</v>
      </c>
      <c r="AZ16" s="573">
        <f t="shared" si="19"/>
        <v>2250</v>
      </c>
      <c r="BA16" s="573" t="e">
        <f t="shared" ref="BA16:BL16" si="20">SUM(BA12:BA15)</f>
        <v>#VALUE!</v>
      </c>
      <c r="BB16" s="573" t="e">
        <f t="shared" si="20"/>
        <v>#VALUE!</v>
      </c>
      <c r="BC16" s="573" t="e">
        <f t="shared" si="20"/>
        <v>#VALUE!</v>
      </c>
      <c r="BD16" s="573" t="e">
        <f t="shared" si="20"/>
        <v>#VALUE!</v>
      </c>
      <c r="BE16" s="573" t="e">
        <f t="shared" si="20"/>
        <v>#VALUE!</v>
      </c>
      <c r="BF16" s="573" t="e">
        <f t="shared" si="20"/>
        <v>#VALUE!</v>
      </c>
      <c r="BG16" s="573" t="e">
        <f t="shared" si="20"/>
        <v>#VALUE!</v>
      </c>
      <c r="BH16" s="573" t="e">
        <f t="shared" si="20"/>
        <v>#VALUE!</v>
      </c>
      <c r="BI16" s="573" t="e">
        <f t="shared" si="20"/>
        <v>#VALUE!</v>
      </c>
      <c r="BJ16" s="573" t="e">
        <f t="shared" si="20"/>
        <v>#VALUE!</v>
      </c>
      <c r="BK16" s="573" t="e">
        <f t="shared" si="20"/>
        <v>#VALUE!</v>
      </c>
      <c r="BL16" s="573" t="e">
        <f t="shared" si="20"/>
        <v>#VALUE!</v>
      </c>
    </row>
    <row r="17" spans="2:102" s="40" customFormat="1" x14ac:dyDescent="0.25">
      <c r="B17" s="872" t="s">
        <v>821</v>
      </c>
      <c r="C17" s="873"/>
      <c r="D17" s="873"/>
      <c r="E17" s="873">
        <f>(SUM(E5,E10)/E16)</f>
        <v>47.651294834852706</v>
      </c>
      <c r="F17" s="873">
        <f t="shared" ref="F17:AZ17" si="21">(SUM(F5,F10)/F16)</f>
        <v>269.44394671485105</v>
      </c>
      <c r="G17" s="873">
        <f t="shared" si="21"/>
        <v>200.84271709315846</v>
      </c>
      <c r="H17" s="873">
        <f t="shared" si="21"/>
        <v>203.23660962788179</v>
      </c>
      <c r="I17" s="873">
        <f t="shared" si="21"/>
        <v>223.07525414462947</v>
      </c>
      <c r="J17" s="873">
        <f t="shared" si="21"/>
        <v>343.96282810494483</v>
      </c>
      <c r="K17" s="873">
        <f t="shared" si="21"/>
        <v>340.03536175945612</v>
      </c>
      <c r="L17" s="873">
        <f t="shared" si="21"/>
        <v>277.18342351136857</v>
      </c>
      <c r="M17" s="873">
        <f t="shared" si="21"/>
        <v>124.88130421835847</v>
      </c>
      <c r="N17" s="873">
        <f t="shared" si="21"/>
        <v>136.70248869302014</v>
      </c>
      <c r="O17" s="873">
        <f t="shared" si="21"/>
        <v>255.91712833209294</v>
      </c>
      <c r="P17" s="873">
        <f t="shared" si="21"/>
        <v>872.3064969911469</v>
      </c>
      <c r="Q17" s="873">
        <f t="shared" si="21"/>
        <v>360.63350654936943</v>
      </c>
      <c r="R17" s="873">
        <f t="shared" si="21"/>
        <v>271.95590213644908</v>
      </c>
      <c r="S17" s="873">
        <f t="shared" si="21"/>
        <v>311.42653363287411</v>
      </c>
      <c r="T17" s="873">
        <f t="shared" si="21"/>
        <v>236.42742627605438</v>
      </c>
      <c r="U17" s="873">
        <f t="shared" si="21"/>
        <v>187.13205402039611</v>
      </c>
      <c r="V17" s="873">
        <f t="shared" si="21"/>
        <v>371.69378135052176</v>
      </c>
      <c r="W17" s="873">
        <f t="shared" si="21"/>
        <v>522.71815649987343</v>
      </c>
      <c r="X17" s="873">
        <f t="shared" si="21"/>
        <v>411.28981262094055</v>
      </c>
      <c r="Y17" s="873">
        <f t="shared" si="21"/>
        <v>271.10197221688696</v>
      </c>
      <c r="Z17" s="873">
        <f t="shared" si="21"/>
        <v>550.05353260410288</v>
      </c>
      <c r="AA17" s="873">
        <f t="shared" si="21"/>
        <v>431.82182258307159</v>
      </c>
      <c r="AB17" s="873">
        <f t="shared" si="21"/>
        <v>374.46315710284711</v>
      </c>
      <c r="AC17" s="873">
        <f t="shared" si="21"/>
        <v>431.23351527740357</v>
      </c>
      <c r="AD17" s="873">
        <f t="shared" si="21"/>
        <v>454.62411475946584</v>
      </c>
      <c r="AE17" s="873">
        <f t="shared" si="21"/>
        <v>420.91291113757131</v>
      </c>
      <c r="AF17" s="873">
        <f t="shared" si="21"/>
        <v>547.60701988459869</v>
      </c>
      <c r="AG17" s="873">
        <f t="shared" si="21"/>
        <v>541.887930137593</v>
      </c>
      <c r="AH17" s="873">
        <f t="shared" si="21"/>
        <v>614.63737528093122</v>
      </c>
      <c r="AI17" s="873">
        <f t="shared" si="21"/>
        <v>666.80539118674801</v>
      </c>
      <c r="AJ17" s="873">
        <f t="shared" si="21"/>
        <v>701.8388181709231</v>
      </c>
      <c r="AK17" s="873">
        <f t="shared" si="21"/>
        <v>704.53130691684123</v>
      </c>
      <c r="AL17" s="873">
        <f t="shared" si="21"/>
        <v>464.98893964768308</v>
      </c>
      <c r="AM17" s="873">
        <f t="shared" si="21"/>
        <v>466.51754424609385</v>
      </c>
      <c r="AN17" s="873">
        <f t="shared" si="21"/>
        <v>467.88449689481536</v>
      </c>
      <c r="AO17" s="873">
        <f t="shared" si="21"/>
        <v>525.23456778714899</v>
      </c>
      <c r="AP17" s="873">
        <f t="shared" si="21"/>
        <v>488.56201793219202</v>
      </c>
      <c r="AQ17" s="873">
        <f t="shared" si="21"/>
        <v>487.16344306688444</v>
      </c>
      <c r="AR17" s="873">
        <f t="shared" si="21"/>
        <v>489.14269335957141</v>
      </c>
      <c r="AS17" s="873">
        <f t="shared" si="21"/>
        <v>490.91446432915382</v>
      </c>
      <c r="AT17" s="873">
        <f t="shared" si="21"/>
        <v>492.6364148931878</v>
      </c>
      <c r="AU17" s="873">
        <f t="shared" si="21"/>
        <v>494.37230656404711</v>
      </c>
      <c r="AV17" s="873">
        <f t="shared" si="21"/>
        <v>496.12820777391488</v>
      </c>
      <c r="AW17" s="873">
        <f t="shared" si="21"/>
        <v>497.88396697831445</v>
      </c>
      <c r="AX17" s="873">
        <f t="shared" si="21"/>
        <v>499.63431646634609</v>
      </c>
      <c r="AY17" s="873">
        <f t="shared" si="21"/>
        <v>501.41781933125935</v>
      </c>
      <c r="AZ17" s="873">
        <f t="shared" si="21"/>
        <v>503.22355754255886</v>
      </c>
      <c r="BA17" s="873" t="e">
        <f t="shared" ref="BA17:BL17" si="22">(SUM(BA5,BA10)/BA16)</f>
        <v>#VALUE!</v>
      </c>
      <c r="BB17" s="873" t="e">
        <f t="shared" si="22"/>
        <v>#VALUE!</v>
      </c>
      <c r="BC17" s="873" t="e">
        <f t="shared" si="22"/>
        <v>#VALUE!</v>
      </c>
      <c r="BD17" s="873" t="e">
        <f t="shared" si="22"/>
        <v>#VALUE!</v>
      </c>
      <c r="BE17" s="873" t="e">
        <f t="shared" si="22"/>
        <v>#VALUE!</v>
      </c>
      <c r="BF17" s="873" t="e">
        <f t="shared" si="22"/>
        <v>#VALUE!</v>
      </c>
      <c r="BG17" s="873" t="e">
        <f t="shared" si="22"/>
        <v>#VALUE!</v>
      </c>
      <c r="BH17" s="873" t="e">
        <f t="shared" si="22"/>
        <v>#VALUE!</v>
      </c>
      <c r="BI17" s="873" t="e">
        <f t="shared" si="22"/>
        <v>#VALUE!</v>
      </c>
      <c r="BJ17" s="873" t="e">
        <f t="shared" si="22"/>
        <v>#VALUE!</v>
      </c>
      <c r="BK17" s="873" t="e">
        <f t="shared" si="22"/>
        <v>#VALUE!</v>
      </c>
      <c r="BL17" s="873" t="e">
        <f t="shared" si="22"/>
        <v>#VALUE!</v>
      </c>
    </row>
    <row r="21" spans="2:102" s="223" customFormat="1" hidden="1" x14ac:dyDescent="0.25">
      <c r="B21" s="640" t="s">
        <v>822</v>
      </c>
    </row>
    <row r="22" spans="2:102" hidden="1" x14ac:dyDescent="0.25">
      <c r="B22" s="163" t="s">
        <v>1128</v>
      </c>
      <c r="C22" s="570" t="s">
        <v>389</v>
      </c>
      <c r="E22" s="648">
        <f t="shared" ref="E22:AZ22" si="23">IF($C$22="Target",INDEX($E$57:$AZ$57,0,0),IF($C$22="Base",INDEX($E$58:$AZ$58,0,0),IF($C$22="High",INDEX($E$59:$AZ$59,0,0),IF($C$22="Medium",INDEX($E$60:$AZ$60,0,0),IF($C$22="Worst",INDEX($E$61:$AZ$61,0,0),INDEX($E$62:$AZ$62,0,0))))))</f>
        <v>0</v>
      </c>
      <c r="F22" s="648">
        <f t="shared" si="23"/>
        <v>0</v>
      </c>
      <c r="G22" s="648">
        <f t="shared" si="23"/>
        <v>0</v>
      </c>
      <c r="H22" s="648">
        <f t="shared" si="23"/>
        <v>0</v>
      </c>
      <c r="I22" s="648">
        <f t="shared" si="23"/>
        <v>0</v>
      </c>
      <c r="J22" s="648">
        <f t="shared" si="23"/>
        <v>0</v>
      </c>
      <c r="K22" s="648">
        <f t="shared" si="23"/>
        <v>0</v>
      </c>
      <c r="L22" s="648">
        <f t="shared" si="23"/>
        <v>0</v>
      </c>
      <c r="M22" s="648">
        <f t="shared" si="23"/>
        <v>0</v>
      </c>
      <c r="N22" s="648">
        <f t="shared" si="23"/>
        <v>0</v>
      </c>
      <c r="O22" s="648">
        <f t="shared" si="23"/>
        <v>0</v>
      </c>
      <c r="P22" s="648">
        <f t="shared" si="23"/>
        <v>0</v>
      </c>
      <c r="Q22" s="648">
        <f t="shared" si="23"/>
        <v>0</v>
      </c>
      <c r="R22" s="648">
        <f t="shared" si="23"/>
        <v>0</v>
      </c>
      <c r="S22" s="648">
        <f t="shared" si="23"/>
        <v>0</v>
      </c>
      <c r="T22" s="648">
        <f t="shared" si="23"/>
        <v>0</v>
      </c>
      <c r="U22" s="648">
        <f t="shared" si="23"/>
        <v>0</v>
      </c>
      <c r="V22" s="648">
        <f t="shared" si="23"/>
        <v>0</v>
      </c>
      <c r="W22" s="648">
        <f t="shared" si="23"/>
        <v>0</v>
      </c>
      <c r="X22" s="648">
        <f t="shared" si="23"/>
        <v>0</v>
      </c>
      <c r="Y22" s="648">
        <f t="shared" si="23"/>
        <v>0</v>
      </c>
      <c r="Z22" s="648">
        <f t="shared" si="23"/>
        <v>0</v>
      </c>
      <c r="AA22" s="648">
        <f t="shared" si="23"/>
        <v>0</v>
      </c>
      <c r="AB22" s="648">
        <f t="shared" si="23"/>
        <v>0</v>
      </c>
      <c r="AC22" s="648">
        <f t="shared" si="23"/>
        <v>0</v>
      </c>
      <c r="AD22" s="648">
        <f t="shared" si="23"/>
        <v>0</v>
      </c>
      <c r="AE22" s="648">
        <f t="shared" si="23"/>
        <v>0</v>
      </c>
      <c r="AF22" s="648">
        <f t="shared" si="23"/>
        <v>0</v>
      </c>
      <c r="AG22" s="648">
        <f t="shared" si="23"/>
        <v>0</v>
      </c>
      <c r="AH22" s="648">
        <f t="shared" si="23"/>
        <v>0</v>
      </c>
      <c r="AI22" s="648">
        <f t="shared" si="23"/>
        <v>0</v>
      </c>
      <c r="AJ22" s="648">
        <f t="shared" si="23"/>
        <v>0</v>
      </c>
      <c r="AK22" s="648">
        <f t="shared" si="23"/>
        <v>0</v>
      </c>
      <c r="AL22" s="648">
        <f t="shared" si="23"/>
        <v>0</v>
      </c>
      <c r="AM22" s="648">
        <f t="shared" si="23"/>
        <v>0</v>
      </c>
      <c r="AN22" s="648">
        <f t="shared" si="23"/>
        <v>0</v>
      </c>
      <c r="AO22" s="648">
        <f t="shared" si="23"/>
        <v>0</v>
      </c>
      <c r="AP22" s="648">
        <f t="shared" si="23"/>
        <v>0</v>
      </c>
      <c r="AQ22" s="648">
        <f t="shared" si="23"/>
        <v>0</v>
      </c>
      <c r="AR22" s="648">
        <f t="shared" si="23"/>
        <v>0</v>
      </c>
      <c r="AS22" s="648">
        <f t="shared" si="23"/>
        <v>0</v>
      </c>
      <c r="AT22" s="648">
        <f t="shared" si="23"/>
        <v>0</v>
      </c>
      <c r="AU22" s="648">
        <f t="shared" si="23"/>
        <v>0</v>
      </c>
      <c r="AV22" s="648">
        <f t="shared" si="23"/>
        <v>0</v>
      </c>
      <c r="AW22" s="648">
        <f t="shared" si="23"/>
        <v>0</v>
      </c>
      <c r="AX22" s="648">
        <f t="shared" si="23"/>
        <v>0</v>
      </c>
      <c r="AY22" s="648">
        <f t="shared" si="23"/>
        <v>0</v>
      </c>
      <c r="AZ22" s="648">
        <f t="shared" si="23"/>
        <v>0</v>
      </c>
      <c r="BA22" s="648">
        <f t="shared" ref="BA22:BL22" si="24">IF($C$22="Target",INDEX($E$57:$BL$57,0,0),IF($C$22="Base",INDEX($E$58:$BL$58,0,0),IF($C$22="High",INDEX($E$59:$BL$59,0,0),IF($C$22="Medium",INDEX($E$60:$BL$60,0,0),IF($C$22="Worst",INDEX($E$61:$BL$61,0,0),INDEX($E$62:$BL$62,0,0))))))</f>
        <v>0</v>
      </c>
      <c r="BB22" s="648">
        <f t="shared" si="24"/>
        <v>0</v>
      </c>
      <c r="BC22" s="648">
        <f t="shared" si="24"/>
        <v>0</v>
      </c>
      <c r="BD22" s="648">
        <f t="shared" si="24"/>
        <v>0</v>
      </c>
      <c r="BE22" s="648">
        <f t="shared" si="24"/>
        <v>0</v>
      </c>
      <c r="BF22" s="648">
        <f t="shared" si="24"/>
        <v>0</v>
      </c>
      <c r="BG22" s="648">
        <f t="shared" si="24"/>
        <v>0</v>
      </c>
      <c r="BH22" s="648">
        <f t="shared" si="24"/>
        <v>0</v>
      </c>
      <c r="BI22" s="648">
        <f t="shared" si="24"/>
        <v>0</v>
      </c>
      <c r="BJ22" s="648">
        <f t="shared" si="24"/>
        <v>0</v>
      </c>
      <c r="BK22" s="648">
        <f t="shared" si="24"/>
        <v>0</v>
      </c>
      <c r="BL22" s="648">
        <f t="shared" si="24"/>
        <v>0</v>
      </c>
    </row>
    <row r="23" spans="2:102" hidden="1" x14ac:dyDescent="0.25">
      <c r="B23" s="163" t="s">
        <v>1127</v>
      </c>
      <c r="C23" s="570" t="s">
        <v>389</v>
      </c>
      <c r="E23" s="646">
        <f t="shared" ref="E23:AZ23" si="25">IF($C$23="Target",INDEX($E$83:$AZ$83,0,0),IF($C$23="Base",INDEX($E$84:$AZ$84,0,0),IF($C$23="High",INDEX($E$85:$AZ$85,0,0),IF($C$23="Medium",INDEX($E$86:$AZ$86,0,0),IF($C$23="Worst",INDEX($E$87:$AZ$87,0,0),INDEX($E$88:$AZ$88,0,0))))))</f>
        <v>0</v>
      </c>
      <c r="F23" s="646">
        <f t="shared" si="25"/>
        <v>0</v>
      </c>
      <c r="G23" s="646">
        <f t="shared" si="25"/>
        <v>0</v>
      </c>
      <c r="H23" s="646">
        <f t="shared" si="25"/>
        <v>0</v>
      </c>
      <c r="I23" s="646">
        <f t="shared" si="25"/>
        <v>0</v>
      </c>
      <c r="J23" s="646">
        <f t="shared" si="25"/>
        <v>0</v>
      </c>
      <c r="K23" s="646">
        <f t="shared" si="25"/>
        <v>0</v>
      </c>
      <c r="L23" s="646">
        <f t="shared" si="25"/>
        <v>0</v>
      </c>
      <c r="M23" s="646">
        <f t="shared" si="25"/>
        <v>0</v>
      </c>
      <c r="N23" s="646">
        <f t="shared" si="25"/>
        <v>0</v>
      </c>
      <c r="O23" s="646">
        <f t="shared" si="25"/>
        <v>0</v>
      </c>
      <c r="P23" s="646">
        <f t="shared" si="25"/>
        <v>0</v>
      </c>
      <c r="Q23" s="646">
        <f t="shared" si="25"/>
        <v>0</v>
      </c>
      <c r="R23" s="646">
        <f t="shared" si="25"/>
        <v>0</v>
      </c>
      <c r="S23" s="646">
        <f t="shared" si="25"/>
        <v>0</v>
      </c>
      <c r="T23" s="646">
        <f t="shared" si="25"/>
        <v>0</v>
      </c>
      <c r="U23" s="646">
        <f t="shared" si="25"/>
        <v>0</v>
      </c>
      <c r="V23" s="646">
        <f t="shared" si="25"/>
        <v>0</v>
      </c>
      <c r="W23" s="646">
        <f t="shared" si="25"/>
        <v>0</v>
      </c>
      <c r="X23" s="646">
        <f t="shared" si="25"/>
        <v>0</v>
      </c>
      <c r="Y23" s="646">
        <f t="shared" si="25"/>
        <v>0</v>
      </c>
      <c r="Z23" s="646">
        <f t="shared" si="25"/>
        <v>0</v>
      </c>
      <c r="AA23" s="646">
        <f t="shared" si="25"/>
        <v>0</v>
      </c>
      <c r="AB23" s="646">
        <f t="shared" si="25"/>
        <v>0</v>
      </c>
      <c r="AC23" s="646">
        <f t="shared" si="25"/>
        <v>0</v>
      </c>
      <c r="AD23" s="646">
        <f t="shared" si="25"/>
        <v>0</v>
      </c>
      <c r="AE23" s="646">
        <f t="shared" si="25"/>
        <v>0</v>
      </c>
      <c r="AF23" s="646">
        <f t="shared" si="25"/>
        <v>0</v>
      </c>
      <c r="AG23" s="646">
        <f t="shared" si="25"/>
        <v>0</v>
      </c>
      <c r="AH23" s="646">
        <f t="shared" si="25"/>
        <v>0</v>
      </c>
      <c r="AI23" s="646">
        <f t="shared" si="25"/>
        <v>0</v>
      </c>
      <c r="AJ23" s="646">
        <f t="shared" si="25"/>
        <v>0</v>
      </c>
      <c r="AK23" s="646">
        <f t="shared" si="25"/>
        <v>0</v>
      </c>
      <c r="AL23" s="646">
        <f t="shared" si="25"/>
        <v>0</v>
      </c>
      <c r="AM23" s="646">
        <f t="shared" si="25"/>
        <v>0</v>
      </c>
      <c r="AN23" s="646">
        <f t="shared" si="25"/>
        <v>0</v>
      </c>
      <c r="AO23" s="646">
        <f t="shared" si="25"/>
        <v>0</v>
      </c>
      <c r="AP23" s="646">
        <f t="shared" si="25"/>
        <v>0</v>
      </c>
      <c r="AQ23" s="646">
        <f t="shared" si="25"/>
        <v>0</v>
      </c>
      <c r="AR23" s="646">
        <f t="shared" si="25"/>
        <v>0</v>
      </c>
      <c r="AS23" s="646">
        <f t="shared" si="25"/>
        <v>0</v>
      </c>
      <c r="AT23" s="646">
        <f t="shared" si="25"/>
        <v>0</v>
      </c>
      <c r="AU23" s="646">
        <f t="shared" si="25"/>
        <v>0</v>
      </c>
      <c r="AV23" s="646">
        <f t="shared" si="25"/>
        <v>0</v>
      </c>
      <c r="AW23" s="646">
        <f t="shared" si="25"/>
        <v>0</v>
      </c>
      <c r="AX23" s="646">
        <f t="shared" si="25"/>
        <v>0</v>
      </c>
      <c r="AY23" s="646">
        <f t="shared" si="25"/>
        <v>0</v>
      </c>
      <c r="AZ23" s="646">
        <f t="shared" si="25"/>
        <v>0</v>
      </c>
      <c r="BA23" s="646">
        <f t="shared" ref="BA23:BL23" si="26">IF($C$23="Target",INDEX($E$83:$BL$83,0,0),IF($C$23="Base",INDEX($E$84:$BL$84,0,0),IF($C$23="High",INDEX($E$85:$BL$85,0,0),IF($C$23="Medium",INDEX($E$86:$BL$86,0,0),IF($C$23="Worst",INDEX($E$87:$BL$87,0,0),INDEX($E$88:$BL$88,0,0))))))</f>
        <v>0</v>
      </c>
      <c r="BB23" s="646">
        <f t="shared" si="26"/>
        <v>0</v>
      </c>
      <c r="BC23" s="646">
        <f t="shared" si="26"/>
        <v>0</v>
      </c>
      <c r="BD23" s="646">
        <f t="shared" si="26"/>
        <v>0</v>
      </c>
      <c r="BE23" s="646">
        <f t="shared" si="26"/>
        <v>0</v>
      </c>
      <c r="BF23" s="646">
        <f t="shared" si="26"/>
        <v>0</v>
      </c>
      <c r="BG23" s="646">
        <f t="shared" si="26"/>
        <v>0</v>
      </c>
      <c r="BH23" s="646">
        <f t="shared" si="26"/>
        <v>0</v>
      </c>
      <c r="BI23" s="646">
        <f t="shared" si="26"/>
        <v>0</v>
      </c>
      <c r="BJ23" s="646">
        <f t="shared" si="26"/>
        <v>0</v>
      </c>
      <c r="BK23" s="646">
        <f t="shared" si="26"/>
        <v>0</v>
      </c>
      <c r="BL23" s="646">
        <f t="shared" si="26"/>
        <v>0</v>
      </c>
    </row>
    <row r="24" spans="2:102" hidden="1" x14ac:dyDescent="0.25">
      <c r="B24" s="163" t="s">
        <v>824</v>
      </c>
      <c r="C24" s="570" t="s">
        <v>389</v>
      </c>
      <c r="E24" s="648">
        <f t="shared" ref="E24:AZ24" si="27">IF($C$24="Target",INDEX($E$109:$AZ$109,0,0),IF($C$24="Base",INDEX($E$110:$AZ$110,0,0),IF($C$24="High",INDEX($E$111:$AZ$111,0,0),IF($C$24="Medium",INDEX($E$112:$AZ$112,0,0),IF($C$24="Worst",INDEX($E$113:$AZ$113,0,0),INDEX($E$114:$AZ$114,0,0))))))</f>
        <v>0</v>
      </c>
      <c r="F24" s="648">
        <f t="shared" si="27"/>
        <v>0</v>
      </c>
      <c r="G24" s="648">
        <f t="shared" si="27"/>
        <v>0</v>
      </c>
      <c r="H24" s="648">
        <f t="shared" si="27"/>
        <v>0</v>
      </c>
      <c r="I24" s="648">
        <f t="shared" si="27"/>
        <v>0</v>
      </c>
      <c r="J24" s="648">
        <f t="shared" si="27"/>
        <v>0</v>
      </c>
      <c r="K24" s="648">
        <f t="shared" si="27"/>
        <v>0</v>
      </c>
      <c r="L24" s="648">
        <f t="shared" si="27"/>
        <v>0</v>
      </c>
      <c r="M24" s="648">
        <f t="shared" si="27"/>
        <v>0</v>
      </c>
      <c r="N24" s="648">
        <f t="shared" si="27"/>
        <v>0</v>
      </c>
      <c r="O24" s="648">
        <f t="shared" si="27"/>
        <v>0</v>
      </c>
      <c r="P24" s="648">
        <f t="shared" si="27"/>
        <v>0</v>
      </c>
      <c r="Q24" s="648">
        <f t="shared" si="27"/>
        <v>0</v>
      </c>
      <c r="R24" s="648">
        <f t="shared" si="27"/>
        <v>0</v>
      </c>
      <c r="S24" s="648">
        <f t="shared" si="27"/>
        <v>0</v>
      </c>
      <c r="T24" s="648">
        <f t="shared" si="27"/>
        <v>0</v>
      </c>
      <c r="U24" s="648">
        <f t="shared" si="27"/>
        <v>0</v>
      </c>
      <c r="V24" s="648">
        <f t="shared" si="27"/>
        <v>0</v>
      </c>
      <c r="W24" s="648">
        <f t="shared" si="27"/>
        <v>0</v>
      </c>
      <c r="X24" s="648">
        <f t="shared" si="27"/>
        <v>0</v>
      </c>
      <c r="Y24" s="648">
        <f t="shared" si="27"/>
        <v>0</v>
      </c>
      <c r="Z24" s="648">
        <f t="shared" si="27"/>
        <v>0</v>
      </c>
      <c r="AA24" s="648">
        <f t="shared" si="27"/>
        <v>0</v>
      </c>
      <c r="AB24" s="648">
        <f t="shared" si="27"/>
        <v>0</v>
      </c>
      <c r="AC24" s="648">
        <f t="shared" si="27"/>
        <v>0</v>
      </c>
      <c r="AD24" s="648">
        <f t="shared" si="27"/>
        <v>0</v>
      </c>
      <c r="AE24" s="648">
        <f t="shared" si="27"/>
        <v>0</v>
      </c>
      <c r="AF24" s="648">
        <f t="shared" si="27"/>
        <v>0</v>
      </c>
      <c r="AG24" s="648">
        <f t="shared" si="27"/>
        <v>0</v>
      </c>
      <c r="AH24" s="648">
        <f t="shared" si="27"/>
        <v>0</v>
      </c>
      <c r="AI24" s="648">
        <f t="shared" si="27"/>
        <v>0</v>
      </c>
      <c r="AJ24" s="648">
        <f t="shared" si="27"/>
        <v>0</v>
      </c>
      <c r="AK24" s="648">
        <f t="shared" si="27"/>
        <v>0</v>
      </c>
      <c r="AL24" s="648">
        <f t="shared" si="27"/>
        <v>0</v>
      </c>
      <c r="AM24" s="648">
        <f t="shared" si="27"/>
        <v>0</v>
      </c>
      <c r="AN24" s="648">
        <f t="shared" si="27"/>
        <v>0</v>
      </c>
      <c r="AO24" s="648">
        <f t="shared" si="27"/>
        <v>0</v>
      </c>
      <c r="AP24" s="648">
        <f t="shared" si="27"/>
        <v>0</v>
      </c>
      <c r="AQ24" s="648">
        <f t="shared" si="27"/>
        <v>0</v>
      </c>
      <c r="AR24" s="648">
        <f t="shared" si="27"/>
        <v>0</v>
      </c>
      <c r="AS24" s="648">
        <f t="shared" si="27"/>
        <v>0</v>
      </c>
      <c r="AT24" s="648">
        <f t="shared" si="27"/>
        <v>0</v>
      </c>
      <c r="AU24" s="648">
        <f t="shared" si="27"/>
        <v>0</v>
      </c>
      <c r="AV24" s="648">
        <f t="shared" si="27"/>
        <v>0</v>
      </c>
      <c r="AW24" s="648">
        <f t="shared" si="27"/>
        <v>0</v>
      </c>
      <c r="AX24" s="648">
        <f t="shared" si="27"/>
        <v>0</v>
      </c>
      <c r="AY24" s="648">
        <f t="shared" si="27"/>
        <v>0</v>
      </c>
      <c r="AZ24" s="648">
        <f t="shared" si="27"/>
        <v>0</v>
      </c>
      <c r="BA24" s="648">
        <f t="shared" ref="BA24:BL24" si="28">IF($C$24="Target",INDEX($E$109:$BL$109,0,0),IF($C$24="Base",INDEX($E$110:$BL$110,0,0),IF($C$24="High",INDEX($E$111:$BL$111,0,0),IF($C$24="Medium",INDEX($E$112:$BL$112,0,0),IF($C$24="Worst",INDEX($E$113:$BL$113,0,0),INDEX($E$114:$BL$114,0,0))))))</f>
        <v>0</v>
      </c>
      <c r="BB24" s="648">
        <f t="shared" si="28"/>
        <v>0</v>
      </c>
      <c r="BC24" s="648">
        <f t="shared" si="28"/>
        <v>0</v>
      </c>
      <c r="BD24" s="648">
        <f t="shared" si="28"/>
        <v>0</v>
      </c>
      <c r="BE24" s="648">
        <f t="shared" si="28"/>
        <v>0</v>
      </c>
      <c r="BF24" s="648">
        <f t="shared" si="28"/>
        <v>0</v>
      </c>
      <c r="BG24" s="648">
        <f t="shared" si="28"/>
        <v>0</v>
      </c>
      <c r="BH24" s="648">
        <f t="shared" si="28"/>
        <v>0</v>
      </c>
      <c r="BI24" s="648">
        <f t="shared" si="28"/>
        <v>0</v>
      </c>
      <c r="BJ24" s="648">
        <f t="shared" si="28"/>
        <v>0</v>
      </c>
      <c r="BK24" s="648">
        <f t="shared" si="28"/>
        <v>0</v>
      </c>
      <c r="BL24" s="648">
        <f t="shared" si="28"/>
        <v>0</v>
      </c>
    </row>
    <row r="25" spans="2:102" hidden="1" x14ac:dyDescent="0.25">
      <c r="B25" s="163" t="s">
        <v>1123</v>
      </c>
      <c r="C25" s="570" t="s">
        <v>389</v>
      </c>
      <c r="E25" s="648"/>
      <c r="F25" s="648"/>
      <c r="G25" s="648"/>
      <c r="H25" s="648"/>
      <c r="I25" s="648"/>
      <c r="J25" s="648"/>
      <c r="K25" s="648"/>
      <c r="L25" s="648"/>
      <c r="M25" s="648"/>
      <c r="N25" s="648"/>
      <c r="O25" s="648"/>
      <c r="P25" s="648"/>
      <c r="Q25" s="648"/>
      <c r="R25" s="648"/>
      <c r="S25" s="648"/>
      <c r="T25" s="648"/>
      <c r="U25" s="648"/>
      <c r="V25" s="648"/>
      <c r="W25" s="648"/>
      <c r="X25" s="648"/>
      <c r="Y25" s="648"/>
      <c r="Z25" s="648"/>
      <c r="AA25" s="648"/>
      <c r="AB25" s="648"/>
      <c r="AC25" s="648"/>
      <c r="AD25" s="648"/>
      <c r="AE25" s="648"/>
      <c r="AF25" s="648"/>
      <c r="AG25" s="648"/>
      <c r="AH25" s="648"/>
      <c r="AI25" s="648"/>
      <c r="AJ25" s="648"/>
      <c r="AK25" s="648"/>
      <c r="AL25" s="648"/>
      <c r="AM25" s="648"/>
      <c r="AN25" s="648"/>
      <c r="AO25" s="648"/>
      <c r="AP25" s="648"/>
      <c r="AQ25" s="648"/>
      <c r="AR25" s="648"/>
      <c r="AS25" s="648"/>
      <c r="AT25" s="648"/>
      <c r="AU25" s="648"/>
      <c r="AV25" s="648"/>
      <c r="AW25" s="648"/>
      <c r="AX25" s="648"/>
      <c r="AY25" s="648"/>
      <c r="AZ25" s="648"/>
      <c r="BA25" s="648"/>
      <c r="BB25" s="648"/>
      <c r="BC25" s="648"/>
      <c r="BD25" s="648"/>
      <c r="BE25" s="648"/>
      <c r="BF25" s="648"/>
      <c r="BG25" s="648"/>
      <c r="BH25" s="648"/>
      <c r="BI25" s="648"/>
      <c r="BJ25" s="648"/>
      <c r="BK25" s="648"/>
      <c r="BL25" s="648"/>
    </row>
    <row r="26" spans="2:102" hidden="1" x14ac:dyDescent="0.25">
      <c r="B26" s="163" t="s">
        <v>825</v>
      </c>
      <c r="C26" s="570" t="s">
        <v>389</v>
      </c>
      <c r="E26" s="647">
        <f t="shared" ref="E26:AJ26" si="29">E22*E23</f>
        <v>0</v>
      </c>
      <c r="F26" s="647">
        <f t="shared" si="29"/>
        <v>0</v>
      </c>
      <c r="G26" s="647">
        <f t="shared" si="29"/>
        <v>0</v>
      </c>
      <c r="H26" s="647">
        <f t="shared" si="29"/>
        <v>0</v>
      </c>
      <c r="I26" s="647">
        <f t="shared" si="29"/>
        <v>0</v>
      </c>
      <c r="J26" s="647">
        <f t="shared" si="29"/>
        <v>0</v>
      </c>
      <c r="K26" s="647">
        <f t="shared" si="29"/>
        <v>0</v>
      </c>
      <c r="L26" s="647">
        <f t="shared" si="29"/>
        <v>0</v>
      </c>
      <c r="M26" s="647">
        <f t="shared" si="29"/>
        <v>0</v>
      </c>
      <c r="N26" s="647">
        <f t="shared" si="29"/>
        <v>0</v>
      </c>
      <c r="O26" s="647">
        <f t="shared" si="29"/>
        <v>0</v>
      </c>
      <c r="P26" s="647">
        <f t="shared" si="29"/>
        <v>0</v>
      </c>
      <c r="Q26" s="647">
        <f t="shared" si="29"/>
        <v>0</v>
      </c>
      <c r="R26" s="647">
        <f t="shared" si="29"/>
        <v>0</v>
      </c>
      <c r="S26" s="647">
        <f t="shared" si="29"/>
        <v>0</v>
      </c>
      <c r="T26" s="647">
        <f t="shared" si="29"/>
        <v>0</v>
      </c>
      <c r="U26" s="647">
        <f t="shared" si="29"/>
        <v>0</v>
      </c>
      <c r="V26" s="647">
        <f t="shared" si="29"/>
        <v>0</v>
      </c>
      <c r="W26" s="647">
        <f t="shared" si="29"/>
        <v>0</v>
      </c>
      <c r="X26" s="647">
        <f t="shared" si="29"/>
        <v>0</v>
      </c>
      <c r="Y26" s="647">
        <f t="shared" si="29"/>
        <v>0</v>
      </c>
      <c r="Z26" s="647">
        <f t="shared" si="29"/>
        <v>0</v>
      </c>
      <c r="AA26" s="647">
        <f t="shared" si="29"/>
        <v>0</v>
      </c>
      <c r="AB26" s="647">
        <f t="shared" si="29"/>
        <v>0</v>
      </c>
      <c r="AC26" s="647">
        <f t="shared" si="29"/>
        <v>0</v>
      </c>
      <c r="AD26" s="647">
        <f t="shared" si="29"/>
        <v>0</v>
      </c>
      <c r="AE26" s="647">
        <f t="shared" si="29"/>
        <v>0</v>
      </c>
      <c r="AF26" s="647">
        <f t="shared" si="29"/>
        <v>0</v>
      </c>
      <c r="AG26" s="647">
        <f t="shared" si="29"/>
        <v>0</v>
      </c>
      <c r="AH26" s="647">
        <f t="shared" si="29"/>
        <v>0</v>
      </c>
      <c r="AI26" s="647">
        <f t="shared" si="29"/>
        <v>0</v>
      </c>
      <c r="AJ26" s="647">
        <f t="shared" si="29"/>
        <v>0</v>
      </c>
      <c r="AK26" s="647">
        <f t="shared" ref="AK26:BL26" si="30">AK22*AK23</f>
        <v>0</v>
      </c>
      <c r="AL26" s="647">
        <f t="shared" si="30"/>
        <v>0</v>
      </c>
      <c r="AM26" s="647">
        <f t="shared" si="30"/>
        <v>0</v>
      </c>
      <c r="AN26" s="647">
        <f t="shared" si="30"/>
        <v>0</v>
      </c>
      <c r="AO26" s="647">
        <f t="shared" si="30"/>
        <v>0</v>
      </c>
      <c r="AP26" s="647">
        <f t="shared" si="30"/>
        <v>0</v>
      </c>
      <c r="AQ26" s="647">
        <f t="shared" si="30"/>
        <v>0</v>
      </c>
      <c r="AR26" s="647">
        <f t="shared" si="30"/>
        <v>0</v>
      </c>
      <c r="AS26" s="647">
        <f t="shared" si="30"/>
        <v>0</v>
      </c>
      <c r="AT26" s="647">
        <f t="shared" si="30"/>
        <v>0</v>
      </c>
      <c r="AU26" s="647">
        <f t="shared" si="30"/>
        <v>0</v>
      </c>
      <c r="AV26" s="647">
        <f t="shared" si="30"/>
        <v>0</v>
      </c>
      <c r="AW26" s="647">
        <f t="shared" si="30"/>
        <v>0</v>
      </c>
      <c r="AX26" s="647">
        <f t="shared" si="30"/>
        <v>0</v>
      </c>
      <c r="AY26" s="647">
        <f t="shared" si="30"/>
        <v>0</v>
      </c>
      <c r="AZ26" s="647">
        <f t="shared" si="30"/>
        <v>0</v>
      </c>
      <c r="BA26" s="647">
        <f t="shared" si="30"/>
        <v>0</v>
      </c>
      <c r="BB26" s="647">
        <f t="shared" si="30"/>
        <v>0</v>
      </c>
      <c r="BC26" s="647">
        <f t="shared" si="30"/>
        <v>0</v>
      </c>
      <c r="BD26" s="647">
        <f t="shared" si="30"/>
        <v>0</v>
      </c>
      <c r="BE26" s="647">
        <f t="shared" si="30"/>
        <v>0</v>
      </c>
      <c r="BF26" s="647">
        <f t="shared" si="30"/>
        <v>0</v>
      </c>
      <c r="BG26" s="647">
        <f t="shared" si="30"/>
        <v>0</v>
      </c>
      <c r="BH26" s="647">
        <f t="shared" si="30"/>
        <v>0</v>
      </c>
      <c r="BI26" s="647">
        <f t="shared" si="30"/>
        <v>0</v>
      </c>
      <c r="BJ26" s="647">
        <f t="shared" si="30"/>
        <v>0</v>
      </c>
      <c r="BK26" s="647">
        <f t="shared" si="30"/>
        <v>0</v>
      </c>
      <c r="BL26" s="647">
        <f t="shared" si="30"/>
        <v>0</v>
      </c>
    </row>
    <row r="27" spans="2:102" hidden="1" x14ac:dyDescent="0.25">
      <c r="B27" s="638" t="s">
        <v>826</v>
      </c>
      <c r="C27" s="639"/>
      <c r="D27" s="639"/>
      <c r="E27" s="651" t="e">
        <f t="shared" ref="E27:AJ27" si="31">E24/E26</f>
        <v>#DIV/0!</v>
      </c>
      <c r="F27" s="651" t="e">
        <f t="shared" si="31"/>
        <v>#DIV/0!</v>
      </c>
      <c r="G27" s="651" t="e">
        <f t="shared" si="31"/>
        <v>#DIV/0!</v>
      </c>
      <c r="H27" s="651" t="e">
        <f t="shared" si="31"/>
        <v>#DIV/0!</v>
      </c>
      <c r="I27" s="651" t="e">
        <f t="shared" si="31"/>
        <v>#DIV/0!</v>
      </c>
      <c r="J27" s="651" t="e">
        <f t="shared" si="31"/>
        <v>#DIV/0!</v>
      </c>
      <c r="K27" s="651" t="e">
        <f t="shared" si="31"/>
        <v>#DIV/0!</v>
      </c>
      <c r="L27" s="651" t="e">
        <f t="shared" si="31"/>
        <v>#DIV/0!</v>
      </c>
      <c r="M27" s="651" t="e">
        <f t="shared" si="31"/>
        <v>#DIV/0!</v>
      </c>
      <c r="N27" s="651" t="e">
        <f t="shared" si="31"/>
        <v>#DIV/0!</v>
      </c>
      <c r="O27" s="651" t="e">
        <f t="shared" si="31"/>
        <v>#DIV/0!</v>
      </c>
      <c r="P27" s="651" t="e">
        <f t="shared" si="31"/>
        <v>#DIV/0!</v>
      </c>
      <c r="Q27" s="651" t="e">
        <f t="shared" si="31"/>
        <v>#DIV/0!</v>
      </c>
      <c r="R27" s="651" t="e">
        <f t="shared" si="31"/>
        <v>#DIV/0!</v>
      </c>
      <c r="S27" s="651" t="e">
        <f t="shared" si="31"/>
        <v>#DIV/0!</v>
      </c>
      <c r="T27" s="651" t="e">
        <f t="shared" si="31"/>
        <v>#DIV/0!</v>
      </c>
      <c r="U27" s="651" t="e">
        <f t="shared" si="31"/>
        <v>#DIV/0!</v>
      </c>
      <c r="V27" s="651" t="e">
        <f t="shared" si="31"/>
        <v>#DIV/0!</v>
      </c>
      <c r="W27" s="651" t="e">
        <f t="shared" si="31"/>
        <v>#DIV/0!</v>
      </c>
      <c r="X27" s="651" t="e">
        <f t="shared" si="31"/>
        <v>#DIV/0!</v>
      </c>
      <c r="Y27" s="651" t="e">
        <f t="shared" si="31"/>
        <v>#DIV/0!</v>
      </c>
      <c r="Z27" s="651" t="e">
        <f t="shared" si="31"/>
        <v>#DIV/0!</v>
      </c>
      <c r="AA27" s="651" t="e">
        <f t="shared" si="31"/>
        <v>#DIV/0!</v>
      </c>
      <c r="AB27" s="651" t="e">
        <f t="shared" si="31"/>
        <v>#DIV/0!</v>
      </c>
      <c r="AC27" s="651" t="e">
        <f t="shared" si="31"/>
        <v>#DIV/0!</v>
      </c>
      <c r="AD27" s="651" t="e">
        <f t="shared" si="31"/>
        <v>#DIV/0!</v>
      </c>
      <c r="AE27" s="651" t="e">
        <f t="shared" si="31"/>
        <v>#DIV/0!</v>
      </c>
      <c r="AF27" s="651" t="e">
        <f t="shared" si="31"/>
        <v>#DIV/0!</v>
      </c>
      <c r="AG27" s="651" t="e">
        <f t="shared" si="31"/>
        <v>#DIV/0!</v>
      </c>
      <c r="AH27" s="651" t="e">
        <f t="shared" si="31"/>
        <v>#DIV/0!</v>
      </c>
      <c r="AI27" s="651" t="e">
        <f t="shared" si="31"/>
        <v>#DIV/0!</v>
      </c>
      <c r="AJ27" s="651" t="e">
        <f t="shared" si="31"/>
        <v>#DIV/0!</v>
      </c>
      <c r="AK27" s="651" t="e">
        <f t="shared" ref="AK27:BL27" si="32">AK24/AK26</f>
        <v>#DIV/0!</v>
      </c>
      <c r="AL27" s="651" t="e">
        <f t="shared" si="32"/>
        <v>#DIV/0!</v>
      </c>
      <c r="AM27" s="651" t="e">
        <f t="shared" si="32"/>
        <v>#DIV/0!</v>
      </c>
      <c r="AN27" s="651" t="e">
        <f t="shared" si="32"/>
        <v>#DIV/0!</v>
      </c>
      <c r="AO27" s="651" t="e">
        <f t="shared" si="32"/>
        <v>#DIV/0!</v>
      </c>
      <c r="AP27" s="651" t="e">
        <f t="shared" si="32"/>
        <v>#DIV/0!</v>
      </c>
      <c r="AQ27" s="651" t="e">
        <f t="shared" si="32"/>
        <v>#DIV/0!</v>
      </c>
      <c r="AR27" s="651" t="e">
        <f t="shared" si="32"/>
        <v>#DIV/0!</v>
      </c>
      <c r="AS27" s="651" t="e">
        <f t="shared" si="32"/>
        <v>#DIV/0!</v>
      </c>
      <c r="AT27" s="651" t="e">
        <f t="shared" si="32"/>
        <v>#DIV/0!</v>
      </c>
      <c r="AU27" s="651" t="e">
        <f t="shared" si="32"/>
        <v>#DIV/0!</v>
      </c>
      <c r="AV27" s="651" t="e">
        <f t="shared" si="32"/>
        <v>#DIV/0!</v>
      </c>
      <c r="AW27" s="651" t="e">
        <f t="shared" si="32"/>
        <v>#DIV/0!</v>
      </c>
      <c r="AX27" s="651" t="e">
        <f t="shared" si="32"/>
        <v>#DIV/0!</v>
      </c>
      <c r="AY27" s="651" t="e">
        <f t="shared" si="32"/>
        <v>#DIV/0!</v>
      </c>
      <c r="AZ27" s="651" t="e">
        <f t="shared" si="32"/>
        <v>#DIV/0!</v>
      </c>
      <c r="BA27" s="651" t="e">
        <f t="shared" si="32"/>
        <v>#DIV/0!</v>
      </c>
      <c r="BB27" s="651" t="e">
        <f t="shared" si="32"/>
        <v>#DIV/0!</v>
      </c>
      <c r="BC27" s="651" t="e">
        <f t="shared" si="32"/>
        <v>#DIV/0!</v>
      </c>
      <c r="BD27" s="651" t="e">
        <f t="shared" si="32"/>
        <v>#DIV/0!</v>
      </c>
      <c r="BE27" s="651" t="e">
        <f t="shared" si="32"/>
        <v>#DIV/0!</v>
      </c>
      <c r="BF27" s="651" t="e">
        <f t="shared" si="32"/>
        <v>#DIV/0!</v>
      </c>
      <c r="BG27" s="651" t="e">
        <f t="shared" si="32"/>
        <v>#DIV/0!</v>
      </c>
      <c r="BH27" s="651" t="e">
        <f t="shared" si="32"/>
        <v>#DIV/0!</v>
      </c>
      <c r="BI27" s="651" t="e">
        <f t="shared" si="32"/>
        <v>#DIV/0!</v>
      </c>
      <c r="BJ27" s="651" t="e">
        <f t="shared" si="32"/>
        <v>#DIV/0!</v>
      </c>
      <c r="BK27" s="651" t="e">
        <f t="shared" si="32"/>
        <v>#DIV/0!</v>
      </c>
      <c r="BL27" s="651" t="e">
        <f t="shared" si="32"/>
        <v>#DIV/0!</v>
      </c>
      <c r="BM27" s="649"/>
      <c r="BN27" s="649"/>
      <c r="BO27" s="649"/>
      <c r="BP27" s="649"/>
      <c r="BQ27" s="649"/>
      <c r="BR27" s="649"/>
      <c r="BS27" s="649"/>
      <c r="BT27" s="649"/>
      <c r="BU27" s="649"/>
      <c r="BV27" s="649"/>
      <c r="BW27" s="649"/>
      <c r="BX27" s="649"/>
      <c r="BY27" s="649"/>
      <c r="BZ27" s="649"/>
      <c r="CA27" s="649"/>
      <c r="CB27" s="649"/>
      <c r="CC27" s="649"/>
      <c r="CD27" s="649"/>
      <c r="CE27" s="649"/>
      <c r="CF27" s="649"/>
      <c r="CG27" s="649"/>
      <c r="CH27" s="649"/>
      <c r="CI27" s="649"/>
      <c r="CJ27" s="649"/>
      <c r="CK27" s="649"/>
      <c r="CL27" s="649"/>
      <c r="CM27" s="649"/>
      <c r="CN27" s="649"/>
      <c r="CO27" s="649"/>
      <c r="CP27" s="649"/>
      <c r="CQ27" s="649"/>
      <c r="CR27" s="649"/>
      <c r="CS27" s="649"/>
      <c r="CT27" s="649"/>
      <c r="CU27" s="649"/>
      <c r="CV27" s="649"/>
      <c r="CW27" s="649"/>
      <c r="CX27" s="649"/>
    </row>
    <row r="28" spans="2:102" hidden="1" x14ac:dyDescent="0.25">
      <c r="BM28" s="650"/>
      <c r="BN28" s="650"/>
      <c r="BO28" s="650"/>
      <c r="BP28" s="650"/>
      <c r="BQ28" s="650"/>
      <c r="BR28" s="650"/>
      <c r="BS28" s="650"/>
      <c r="BT28" s="650"/>
      <c r="BU28" s="650"/>
      <c r="BV28" s="650"/>
      <c r="BW28" s="650"/>
      <c r="BX28" s="650"/>
      <c r="BY28" s="650"/>
      <c r="BZ28" s="650"/>
      <c r="CA28" s="650"/>
      <c r="CB28" s="650"/>
      <c r="CC28" s="650"/>
      <c r="CD28" s="650"/>
      <c r="CE28" s="650"/>
      <c r="CF28" s="650"/>
      <c r="CG28" s="650"/>
      <c r="CH28" s="650"/>
      <c r="CI28" s="650"/>
      <c r="CJ28" s="650"/>
      <c r="CK28" s="650"/>
      <c r="CL28" s="650"/>
      <c r="CM28" s="650"/>
      <c r="CN28" s="650"/>
      <c r="CO28" s="650"/>
      <c r="CP28" s="650"/>
      <c r="CQ28" s="650"/>
      <c r="CR28" s="650"/>
      <c r="CS28" s="650"/>
      <c r="CT28" s="650"/>
      <c r="CU28" s="650"/>
      <c r="CV28" s="650"/>
      <c r="CW28" s="650"/>
      <c r="CX28" s="650"/>
    </row>
    <row r="29" spans="2:102" hidden="1" x14ac:dyDescent="0.25">
      <c r="B29" s="636" t="s">
        <v>827</v>
      </c>
      <c r="BM29" s="649"/>
      <c r="BN29" s="649"/>
      <c r="BO29" s="649"/>
      <c r="BP29" s="649"/>
      <c r="BQ29" s="649"/>
      <c r="BR29" s="649"/>
      <c r="BS29" s="649"/>
      <c r="BT29" s="649"/>
      <c r="BU29" s="649"/>
      <c r="BV29" s="649"/>
      <c r="BW29" s="649"/>
      <c r="BX29" s="649"/>
      <c r="BY29" s="649"/>
      <c r="BZ29" s="649"/>
      <c r="CA29" s="649"/>
      <c r="CB29" s="649"/>
      <c r="CC29" s="649"/>
      <c r="CD29" s="649"/>
      <c r="CE29" s="649"/>
      <c r="CF29" s="649"/>
      <c r="CG29" s="649"/>
      <c r="CH29" s="649"/>
      <c r="CI29" s="649"/>
      <c r="CJ29" s="649"/>
      <c r="CK29" s="649"/>
      <c r="CL29" s="649"/>
      <c r="CM29" s="649"/>
      <c r="CN29" s="649"/>
      <c r="CO29" s="649"/>
      <c r="CP29" s="649"/>
      <c r="CQ29" s="649"/>
      <c r="CR29" s="649"/>
      <c r="CS29" s="649"/>
      <c r="CT29" s="649"/>
      <c r="CU29" s="649"/>
      <c r="CV29" s="649"/>
      <c r="CW29" s="649"/>
      <c r="CX29" s="649"/>
    </row>
    <row r="30" spans="2:102" hidden="1" x14ac:dyDescent="0.25">
      <c r="B30" s="163" t="s">
        <v>1129</v>
      </c>
      <c r="C30" s="570" t="s">
        <v>389</v>
      </c>
      <c r="E30" s="648">
        <f t="shared" ref="E30:AZ30" si="33">IF($C$30="Target",INDEX($E$63:$AZ$63,0,0),IF($C$30="Base",INDEX($E$64:$AZ$64,0,0),IF($C$30="High",INDEX($E$65:$AZ$65,0,0),IF($C$30="Medium",INDEX($E$66:$AZ$66,0,0),IF($C$30="Worst",INDEX($E$67:$AZ$67,0,0),INDEX($E$68:$AZ$68,0,0))))))</f>
        <v>0</v>
      </c>
      <c r="F30" s="648">
        <f t="shared" si="33"/>
        <v>0</v>
      </c>
      <c r="G30" s="648">
        <f t="shared" si="33"/>
        <v>0</v>
      </c>
      <c r="H30" s="648">
        <f t="shared" si="33"/>
        <v>0</v>
      </c>
      <c r="I30" s="648">
        <f t="shared" si="33"/>
        <v>0</v>
      </c>
      <c r="J30" s="648">
        <f t="shared" si="33"/>
        <v>0</v>
      </c>
      <c r="K30" s="648">
        <f t="shared" si="33"/>
        <v>0</v>
      </c>
      <c r="L30" s="648">
        <f t="shared" si="33"/>
        <v>0</v>
      </c>
      <c r="M30" s="648">
        <f t="shared" si="33"/>
        <v>0</v>
      </c>
      <c r="N30" s="648">
        <f t="shared" si="33"/>
        <v>0</v>
      </c>
      <c r="O30" s="648">
        <f t="shared" si="33"/>
        <v>0</v>
      </c>
      <c r="P30" s="648">
        <f t="shared" si="33"/>
        <v>0</v>
      </c>
      <c r="Q30" s="648">
        <f t="shared" si="33"/>
        <v>0</v>
      </c>
      <c r="R30" s="648">
        <f t="shared" si="33"/>
        <v>0</v>
      </c>
      <c r="S30" s="648">
        <f t="shared" si="33"/>
        <v>0</v>
      </c>
      <c r="T30" s="648">
        <f t="shared" si="33"/>
        <v>0</v>
      </c>
      <c r="U30" s="648">
        <f t="shared" si="33"/>
        <v>0</v>
      </c>
      <c r="V30" s="648">
        <f t="shared" si="33"/>
        <v>0</v>
      </c>
      <c r="W30" s="648">
        <f t="shared" si="33"/>
        <v>0</v>
      </c>
      <c r="X30" s="648">
        <f t="shared" si="33"/>
        <v>0</v>
      </c>
      <c r="Y30" s="648">
        <f t="shared" si="33"/>
        <v>0</v>
      </c>
      <c r="Z30" s="648">
        <f t="shared" si="33"/>
        <v>0</v>
      </c>
      <c r="AA30" s="648">
        <f t="shared" si="33"/>
        <v>0</v>
      </c>
      <c r="AB30" s="648">
        <f t="shared" si="33"/>
        <v>0</v>
      </c>
      <c r="AC30" s="648">
        <f t="shared" si="33"/>
        <v>0</v>
      </c>
      <c r="AD30" s="648">
        <f t="shared" si="33"/>
        <v>0</v>
      </c>
      <c r="AE30" s="648">
        <f t="shared" si="33"/>
        <v>0</v>
      </c>
      <c r="AF30" s="648">
        <f t="shared" si="33"/>
        <v>0</v>
      </c>
      <c r="AG30" s="648">
        <f t="shared" si="33"/>
        <v>0</v>
      </c>
      <c r="AH30" s="648">
        <f t="shared" si="33"/>
        <v>0</v>
      </c>
      <c r="AI30" s="648">
        <f t="shared" si="33"/>
        <v>0</v>
      </c>
      <c r="AJ30" s="648">
        <f t="shared" si="33"/>
        <v>0</v>
      </c>
      <c r="AK30" s="648">
        <f t="shared" si="33"/>
        <v>0</v>
      </c>
      <c r="AL30" s="648">
        <f t="shared" si="33"/>
        <v>0</v>
      </c>
      <c r="AM30" s="648">
        <f t="shared" si="33"/>
        <v>0</v>
      </c>
      <c r="AN30" s="648">
        <f t="shared" si="33"/>
        <v>0</v>
      </c>
      <c r="AO30" s="648">
        <f t="shared" si="33"/>
        <v>0</v>
      </c>
      <c r="AP30" s="648">
        <f t="shared" si="33"/>
        <v>0</v>
      </c>
      <c r="AQ30" s="648">
        <f t="shared" si="33"/>
        <v>0</v>
      </c>
      <c r="AR30" s="648">
        <f t="shared" si="33"/>
        <v>0</v>
      </c>
      <c r="AS30" s="648">
        <f t="shared" si="33"/>
        <v>0</v>
      </c>
      <c r="AT30" s="648">
        <f t="shared" si="33"/>
        <v>0</v>
      </c>
      <c r="AU30" s="648">
        <f t="shared" si="33"/>
        <v>0</v>
      </c>
      <c r="AV30" s="648">
        <f t="shared" si="33"/>
        <v>0</v>
      </c>
      <c r="AW30" s="648">
        <f t="shared" si="33"/>
        <v>0</v>
      </c>
      <c r="AX30" s="648">
        <f t="shared" si="33"/>
        <v>0</v>
      </c>
      <c r="AY30" s="648">
        <f t="shared" si="33"/>
        <v>0</v>
      </c>
      <c r="AZ30" s="648">
        <f t="shared" si="33"/>
        <v>0</v>
      </c>
      <c r="BA30" s="648">
        <f t="shared" ref="BA30:BL30" si="34">IF($C$30="Target",INDEX($E$63:$BL$63,0,0),IF($C$30="Base",INDEX($E$64:$BL$64,0,0),IF($C$30="High",INDEX($E$65:$BL$65,0,0),IF($C$30="Medium",INDEX($E$66:$BL$66,0,0),IF($C$30="Worst",INDEX($E$67:$BL$67,0,0),INDEX($E$68:$BL$68,0,0))))))</f>
        <v>0</v>
      </c>
      <c r="BB30" s="648">
        <f t="shared" si="34"/>
        <v>0</v>
      </c>
      <c r="BC30" s="648">
        <f t="shared" si="34"/>
        <v>0</v>
      </c>
      <c r="BD30" s="648">
        <f t="shared" si="34"/>
        <v>0</v>
      </c>
      <c r="BE30" s="648">
        <f t="shared" si="34"/>
        <v>0</v>
      </c>
      <c r="BF30" s="648">
        <f t="shared" si="34"/>
        <v>0</v>
      </c>
      <c r="BG30" s="648">
        <f t="shared" si="34"/>
        <v>0</v>
      </c>
      <c r="BH30" s="648">
        <f t="shared" si="34"/>
        <v>0</v>
      </c>
      <c r="BI30" s="648">
        <f t="shared" si="34"/>
        <v>0</v>
      </c>
      <c r="BJ30" s="648">
        <f t="shared" si="34"/>
        <v>0</v>
      </c>
      <c r="BK30" s="648">
        <f t="shared" si="34"/>
        <v>0</v>
      </c>
      <c r="BL30" s="648">
        <f t="shared" si="34"/>
        <v>0</v>
      </c>
      <c r="BM30" s="573"/>
      <c r="BN30" s="573"/>
      <c r="BO30" s="573"/>
      <c r="BP30" s="573"/>
      <c r="BQ30" s="573"/>
      <c r="BR30" s="573"/>
      <c r="BS30" s="573"/>
      <c r="BT30" s="573"/>
      <c r="BU30" s="573"/>
      <c r="BV30" s="573"/>
      <c r="BW30" s="573"/>
      <c r="BX30" s="573"/>
      <c r="BY30" s="573"/>
      <c r="BZ30" s="573"/>
      <c r="CA30" s="573"/>
      <c r="CB30" s="573"/>
      <c r="CC30" s="573"/>
      <c r="CD30" s="573"/>
      <c r="CE30" s="573"/>
      <c r="CF30" s="573"/>
      <c r="CG30" s="573"/>
      <c r="CH30" s="573"/>
      <c r="CI30" s="573"/>
      <c r="CJ30" s="573"/>
      <c r="CK30" s="573"/>
      <c r="CL30" s="573"/>
      <c r="CM30" s="573"/>
      <c r="CN30" s="573"/>
      <c r="CO30" s="573"/>
      <c r="CP30" s="573"/>
      <c r="CQ30" s="573"/>
      <c r="CR30" s="573"/>
      <c r="CS30" s="573"/>
      <c r="CT30" s="573"/>
      <c r="CU30" s="573"/>
      <c r="CV30" s="573"/>
      <c r="CW30" s="573"/>
      <c r="CX30" s="573"/>
    </row>
    <row r="31" spans="2:102" hidden="1" x14ac:dyDescent="0.25">
      <c r="B31" s="163" t="s">
        <v>1135</v>
      </c>
      <c r="C31" s="570" t="s">
        <v>389</v>
      </c>
      <c r="E31" s="646">
        <f t="shared" ref="E31:AZ31" si="35">IF($C$31="Target",INDEX($E$89:$AZ$89,0,0),IF($C$31="Base",INDEX($E$90:$AZ$90,0,0),IF($C$31="High",INDEX($E$91:$AZ$91,0,0),IF($C$31="Medium",INDEX($E$92:$AZ$92,0,0),IF($C$31="Worst",INDEX($E$93:$AZ$93,0,0),INDEX($E$94:$AZ$94,0,0))))))</f>
        <v>0</v>
      </c>
      <c r="F31" s="646">
        <f t="shared" si="35"/>
        <v>0</v>
      </c>
      <c r="G31" s="646">
        <f t="shared" si="35"/>
        <v>0</v>
      </c>
      <c r="H31" s="646">
        <f t="shared" si="35"/>
        <v>0</v>
      </c>
      <c r="I31" s="646">
        <f t="shared" si="35"/>
        <v>0</v>
      </c>
      <c r="J31" s="646">
        <f t="shared" si="35"/>
        <v>0</v>
      </c>
      <c r="K31" s="646">
        <f t="shared" si="35"/>
        <v>0</v>
      </c>
      <c r="L31" s="646">
        <f t="shared" si="35"/>
        <v>0</v>
      </c>
      <c r="M31" s="646">
        <f t="shared" si="35"/>
        <v>0</v>
      </c>
      <c r="N31" s="646">
        <f t="shared" si="35"/>
        <v>0</v>
      </c>
      <c r="O31" s="646">
        <f t="shared" si="35"/>
        <v>0</v>
      </c>
      <c r="P31" s="646">
        <f t="shared" si="35"/>
        <v>0</v>
      </c>
      <c r="Q31" s="646">
        <f t="shared" si="35"/>
        <v>0</v>
      </c>
      <c r="R31" s="646">
        <f t="shared" si="35"/>
        <v>0</v>
      </c>
      <c r="S31" s="646">
        <f t="shared" si="35"/>
        <v>0</v>
      </c>
      <c r="T31" s="646">
        <f t="shared" si="35"/>
        <v>0</v>
      </c>
      <c r="U31" s="646">
        <f t="shared" si="35"/>
        <v>0</v>
      </c>
      <c r="V31" s="646">
        <f t="shared" si="35"/>
        <v>0</v>
      </c>
      <c r="W31" s="646">
        <f t="shared" si="35"/>
        <v>0</v>
      </c>
      <c r="X31" s="646">
        <f t="shared" si="35"/>
        <v>0</v>
      </c>
      <c r="Y31" s="646">
        <f t="shared" si="35"/>
        <v>0</v>
      </c>
      <c r="Z31" s="646">
        <f t="shared" si="35"/>
        <v>0</v>
      </c>
      <c r="AA31" s="646">
        <f t="shared" si="35"/>
        <v>0</v>
      </c>
      <c r="AB31" s="646">
        <f t="shared" si="35"/>
        <v>0</v>
      </c>
      <c r="AC31" s="646">
        <f t="shared" si="35"/>
        <v>0</v>
      </c>
      <c r="AD31" s="646">
        <f t="shared" si="35"/>
        <v>0</v>
      </c>
      <c r="AE31" s="646">
        <f t="shared" si="35"/>
        <v>0</v>
      </c>
      <c r="AF31" s="646">
        <f t="shared" si="35"/>
        <v>0</v>
      </c>
      <c r="AG31" s="646">
        <f t="shared" si="35"/>
        <v>0</v>
      </c>
      <c r="AH31" s="646">
        <f t="shared" si="35"/>
        <v>0</v>
      </c>
      <c r="AI31" s="646">
        <f t="shared" si="35"/>
        <v>0</v>
      </c>
      <c r="AJ31" s="646">
        <f t="shared" si="35"/>
        <v>0</v>
      </c>
      <c r="AK31" s="646">
        <f t="shared" si="35"/>
        <v>0</v>
      </c>
      <c r="AL31" s="646">
        <f t="shared" si="35"/>
        <v>0</v>
      </c>
      <c r="AM31" s="646">
        <f t="shared" si="35"/>
        <v>0</v>
      </c>
      <c r="AN31" s="646">
        <f t="shared" si="35"/>
        <v>0</v>
      </c>
      <c r="AO31" s="646">
        <f t="shared" si="35"/>
        <v>0</v>
      </c>
      <c r="AP31" s="646">
        <f t="shared" si="35"/>
        <v>0</v>
      </c>
      <c r="AQ31" s="646">
        <f t="shared" si="35"/>
        <v>0</v>
      </c>
      <c r="AR31" s="646">
        <f t="shared" si="35"/>
        <v>0</v>
      </c>
      <c r="AS31" s="646">
        <f t="shared" si="35"/>
        <v>0</v>
      </c>
      <c r="AT31" s="646">
        <f t="shared" si="35"/>
        <v>0</v>
      </c>
      <c r="AU31" s="646">
        <f t="shared" si="35"/>
        <v>0</v>
      </c>
      <c r="AV31" s="646">
        <f t="shared" si="35"/>
        <v>0</v>
      </c>
      <c r="AW31" s="646">
        <f t="shared" si="35"/>
        <v>0</v>
      </c>
      <c r="AX31" s="646">
        <f t="shared" si="35"/>
        <v>0</v>
      </c>
      <c r="AY31" s="646">
        <f t="shared" si="35"/>
        <v>0</v>
      </c>
      <c r="AZ31" s="646">
        <f t="shared" si="35"/>
        <v>0</v>
      </c>
      <c r="BA31" s="646">
        <f t="shared" ref="BA31:BL31" si="36">IF($C$31="Target",INDEX($E$89:$BL$89,0,0),IF($C$31="Base",INDEX($E$90:$BL$90,0,0),IF($C$31="High",INDEX($E$91:$BL$91,0,0),IF($C$31="Medium",INDEX($E$92:$BL$92,0,0),IF($C$31="Worst",INDEX($E$93:$BL$93,0,0),INDEX($E$94:$BL$94,0,0))))))</f>
        <v>0</v>
      </c>
      <c r="BB31" s="646">
        <f t="shared" si="36"/>
        <v>0</v>
      </c>
      <c r="BC31" s="646">
        <f t="shared" si="36"/>
        <v>0</v>
      </c>
      <c r="BD31" s="646">
        <f t="shared" si="36"/>
        <v>0</v>
      </c>
      <c r="BE31" s="646">
        <f t="shared" si="36"/>
        <v>0</v>
      </c>
      <c r="BF31" s="646">
        <f t="shared" si="36"/>
        <v>0</v>
      </c>
      <c r="BG31" s="646">
        <f t="shared" si="36"/>
        <v>0</v>
      </c>
      <c r="BH31" s="646">
        <f t="shared" si="36"/>
        <v>0</v>
      </c>
      <c r="BI31" s="646">
        <f t="shared" si="36"/>
        <v>0</v>
      </c>
      <c r="BJ31" s="646">
        <f t="shared" si="36"/>
        <v>0</v>
      </c>
      <c r="BK31" s="646">
        <f t="shared" si="36"/>
        <v>0</v>
      </c>
      <c r="BL31" s="646">
        <f t="shared" si="36"/>
        <v>0</v>
      </c>
    </row>
    <row r="32" spans="2:102" hidden="1" x14ac:dyDescent="0.25">
      <c r="B32" s="163" t="s">
        <v>829</v>
      </c>
      <c r="C32" s="570" t="s">
        <v>389</v>
      </c>
      <c r="E32" s="648">
        <f t="shared" ref="E32:AZ32" si="37">IF($C$32="Target",INDEX($E$115:$AZ$115,0,0),IF($C$32="Base",INDEX($E$116:$AZ$116,0,0),IF($C$32="High",INDEX($E$117:$AZ$117,0,0),IF($C$32="Medium",INDEX($E$118:$AZ$118,0,0),IF($C$32="Worst",INDEX($E$119:$AZ$119,0,0),INDEX($E$120:$AZ$120,0,0))))))</f>
        <v>0</v>
      </c>
      <c r="F32" s="648">
        <f t="shared" si="37"/>
        <v>0</v>
      </c>
      <c r="G32" s="648">
        <f t="shared" si="37"/>
        <v>0</v>
      </c>
      <c r="H32" s="648">
        <f t="shared" si="37"/>
        <v>0</v>
      </c>
      <c r="I32" s="648">
        <f t="shared" si="37"/>
        <v>0</v>
      </c>
      <c r="J32" s="648">
        <f t="shared" si="37"/>
        <v>0</v>
      </c>
      <c r="K32" s="648">
        <f t="shared" si="37"/>
        <v>0</v>
      </c>
      <c r="L32" s="648">
        <f t="shared" si="37"/>
        <v>0</v>
      </c>
      <c r="M32" s="648">
        <f t="shared" si="37"/>
        <v>0</v>
      </c>
      <c r="N32" s="648">
        <f t="shared" si="37"/>
        <v>0</v>
      </c>
      <c r="O32" s="648">
        <f t="shared" si="37"/>
        <v>0</v>
      </c>
      <c r="P32" s="648">
        <f t="shared" si="37"/>
        <v>0</v>
      </c>
      <c r="Q32" s="648">
        <f t="shared" si="37"/>
        <v>0</v>
      </c>
      <c r="R32" s="648">
        <f t="shared" si="37"/>
        <v>0</v>
      </c>
      <c r="S32" s="648">
        <f t="shared" si="37"/>
        <v>0</v>
      </c>
      <c r="T32" s="648">
        <f t="shared" si="37"/>
        <v>0</v>
      </c>
      <c r="U32" s="648">
        <f t="shared" si="37"/>
        <v>0</v>
      </c>
      <c r="V32" s="648">
        <f t="shared" si="37"/>
        <v>0</v>
      </c>
      <c r="W32" s="648">
        <f t="shared" si="37"/>
        <v>0</v>
      </c>
      <c r="X32" s="648">
        <f t="shared" si="37"/>
        <v>0</v>
      </c>
      <c r="Y32" s="648">
        <f t="shared" si="37"/>
        <v>0</v>
      </c>
      <c r="Z32" s="648">
        <f t="shared" si="37"/>
        <v>0</v>
      </c>
      <c r="AA32" s="648">
        <f t="shared" si="37"/>
        <v>0</v>
      </c>
      <c r="AB32" s="648">
        <f t="shared" si="37"/>
        <v>0</v>
      </c>
      <c r="AC32" s="648">
        <f t="shared" si="37"/>
        <v>0</v>
      </c>
      <c r="AD32" s="648">
        <f t="shared" si="37"/>
        <v>0</v>
      </c>
      <c r="AE32" s="648">
        <f t="shared" si="37"/>
        <v>0</v>
      </c>
      <c r="AF32" s="648">
        <f t="shared" si="37"/>
        <v>0</v>
      </c>
      <c r="AG32" s="648">
        <f t="shared" si="37"/>
        <v>0</v>
      </c>
      <c r="AH32" s="648">
        <f t="shared" si="37"/>
        <v>0</v>
      </c>
      <c r="AI32" s="648">
        <f t="shared" si="37"/>
        <v>0</v>
      </c>
      <c r="AJ32" s="648">
        <f t="shared" si="37"/>
        <v>0</v>
      </c>
      <c r="AK32" s="648">
        <f t="shared" si="37"/>
        <v>0</v>
      </c>
      <c r="AL32" s="648">
        <f t="shared" si="37"/>
        <v>0</v>
      </c>
      <c r="AM32" s="648">
        <f t="shared" si="37"/>
        <v>0</v>
      </c>
      <c r="AN32" s="648">
        <f t="shared" si="37"/>
        <v>0</v>
      </c>
      <c r="AO32" s="648">
        <f t="shared" si="37"/>
        <v>0</v>
      </c>
      <c r="AP32" s="648">
        <f t="shared" si="37"/>
        <v>0</v>
      </c>
      <c r="AQ32" s="648">
        <f t="shared" si="37"/>
        <v>0</v>
      </c>
      <c r="AR32" s="648">
        <f t="shared" si="37"/>
        <v>0</v>
      </c>
      <c r="AS32" s="648">
        <f t="shared" si="37"/>
        <v>0</v>
      </c>
      <c r="AT32" s="648">
        <f t="shared" si="37"/>
        <v>0</v>
      </c>
      <c r="AU32" s="648">
        <f t="shared" si="37"/>
        <v>0</v>
      </c>
      <c r="AV32" s="648">
        <f t="shared" si="37"/>
        <v>0</v>
      </c>
      <c r="AW32" s="648">
        <f t="shared" si="37"/>
        <v>0</v>
      </c>
      <c r="AX32" s="648">
        <f t="shared" si="37"/>
        <v>0</v>
      </c>
      <c r="AY32" s="648">
        <f t="shared" si="37"/>
        <v>0</v>
      </c>
      <c r="AZ32" s="648">
        <f t="shared" si="37"/>
        <v>0</v>
      </c>
      <c r="BA32" s="648">
        <f t="shared" ref="BA32:BL32" si="38">IF($C$32="Target",INDEX($E$115:$BL$115,0,0),IF($C$32="Base",INDEX($E$116:$BL$116,0,0),IF($C$32="High",INDEX($E$117:$BL$117,0,0),IF($C$32="Medium",INDEX($E$118:$BL$118,0,0),IF($C$32="Worst",INDEX($E$119:$BL$119,0,0),INDEX($E$120:$BL$120,0,0))))))</f>
        <v>0</v>
      </c>
      <c r="BB32" s="648">
        <f t="shared" si="38"/>
        <v>0</v>
      </c>
      <c r="BC32" s="648">
        <f t="shared" si="38"/>
        <v>0</v>
      </c>
      <c r="BD32" s="648">
        <f t="shared" si="38"/>
        <v>0</v>
      </c>
      <c r="BE32" s="648">
        <f t="shared" si="38"/>
        <v>0</v>
      </c>
      <c r="BF32" s="648">
        <f t="shared" si="38"/>
        <v>0</v>
      </c>
      <c r="BG32" s="648">
        <f t="shared" si="38"/>
        <v>0</v>
      </c>
      <c r="BH32" s="648">
        <f t="shared" si="38"/>
        <v>0</v>
      </c>
      <c r="BI32" s="648">
        <f t="shared" si="38"/>
        <v>0</v>
      </c>
      <c r="BJ32" s="648">
        <f t="shared" si="38"/>
        <v>0</v>
      </c>
      <c r="BK32" s="648">
        <f t="shared" si="38"/>
        <v>0</v>
      </c>
      <c r="BL32" s="648">
        <f t="shared" si="38"/>
        <v>0</v>
      </c>
    </row>
    <row r="33" spans="2:64" hidden="1" x14ac:dyDescent="0.25">
      <c r="B33" s="163" t="s">
        <v>1124</v>
      </c>
      <c r="C33" s="570" t="s">
        <v>389</v>
      </c>
      <c r="E33" s="648"/>
      <c r="F33" s="648"/>
      <c r="G33" s="648"/>
      <c r="H33" s="648"/>
      <c r="I33" s="648"/>
      <c r="J33" s="648"/>
      <c r="K33" s="648"/>
      <c r="L33" s="648"/>
      <c r="M33" s="648"/>
      <c r="N33" s="648"/>
      <c r="O33" s="648"/>
      <c r="P33" s="648"/>
      <c r="Q33" s="648"/>
      <c r="R33" s="648"/>
      <c r="S33" s="648"/>
      <c r="T33" s="648"/>
      <c r="U33" s="648"/>
      <c r="V33" s="648"/>
      <c r="W33" s="648"/>
      <c r="X33" s="648"/>
      <c r="Y33" s="648"/>
      <c r="Z33" s="648"/>
      <c r="AA33" s="648"/>
      <c r="AB33" s="648"/>
      <c r="AC33" s="648"/>
      <c r="AD33" s="648"/>
      <c r="AE33" s="648"/>
      <c r="AF33" s="648"/>
      <c r="AG33" s="648"/>
      <c r="AH33" s="648"/>
      <c r="AI33" s="648"/>
      <c r="AJ33" s="648"/>
      <c r="AK33" s="648"/>
      <c r="AL33" s="648"/>
      <c r="AM33" s="648"/>
      <c r="AN33" s="648"/>
      <c r="AO33" s="648"/>
      <c r="AP33" s="648"/>
      <c r="AQ33" s="648"/>
      <c r="AR33" s="648"/>
      <c r="AS33" s="648"/>
      <c r="AT33" s="648"/>
      <c r="AU33" s="648"/>
      <c r="AV33" s="648"/>
      <c r="AW33" s="648"/>
      <c r="AX33" s="648"/>
      <c r="AY33" s="648"/>
      <c r="AZ33" s="648"/>
      <c r="BA33" s="648"/>
      <c r="BB33" s="648"/>
      <c r="BC33" s="648"/>
      <c r="BD33" s="648"/>
      <c r="BE33" s="648"/>
      <c r="BF33" s="648"/>
      <c r="BG33" s="648"/>
      <c r="BH33" s="648"/>
      <c r="BI33" s="648"/>
      <c r="BJ33" s="648"/>
      <c r="BK33" s="648"/>
      <c r="BL33" s="648"/>
    </row>
    <row r="34" spans="2:64" hidden="1" x14ac:dyDescent="0.25">
      <c r="B34" s="163" t="s">
        <v>1135</v>
      </c>
      <c r="C34" s="570" t="s">
        <v>389</v>
      </c>
      <c r="E34" s="647">
        <f>E30*E31</f>
        <v>0</v>
      </c>
      <c r="F34" s="647">
        <f t="shared" ref="F34:AZ34" si="39">F30*F31</f>
        <v>0</v>
      </c>
      <c r="G34" s="647">
        <f t="shared" si="39"/>
        <v>0</v>
      </c>
      <c r="H34" s="647">
        <f t="shared" si="39"/>
        <v>0</v>
      </c>
      <c r="I34" s="647">
        <f t="shared" si="39"/>
        <v>0</v>
      </c>
      <c r="J34" s="647">
        <f t="shared" si="39"/>
        <v>0</v>
      </c>
      <c r="K34" s="647">
        <f t="shared" si="39"/>
        <v>0</v>
      </c>
      <c r="L34" s="647">
        <f t="shared" si="39"/>
        <v>0</v>
      </c>
      <c r="M34" s="647">
        <f t="shared" si="39"/>
        <v>0</v>
      </c>
      <c r="N34" s="647">
        <f t="shared" si="39"/>
        <v>0</v>
      </c>
      <c r="O34" s="647">
        <f t="shared" si="39"/>
        <v>0</v>
      </c>
      <c r="P34" s="647">
        <f t="shared" si="39"/>
        <v>0</v>
      </c>
      <c r="Q34" s="647">
        <f t="shared" si="39"/>
        <v>0</v>
      </c>
      <c r="R34" s="647">
        <f t="shared" si="39"/>
        <v>0</v>
      </c>
      <c r="S34" s="647">
        <f t="shared" si="39"/>
        <v>0</v>
      </c>
      <c r="T34" s="647">
        <f t="shared" si="39"/>
        <v>0</v>
      </c>
      <c r="U34" s="647">
        <f t="shared" si="39"/>
        <v>0</v>
      </c>
      <c r="V34" s="647">
        <f t="shared" si="39"/>
        <v>0</v>
      </c>
      <c r="W34" s="647">
        <f t="shared" si="39"/>
        <v>0</v>
      </c>
      <c r="X34" s="647">
        <f t="shared" si="39"/>
        <v>0</v>
      </c>
      <c r="Y34" s="647">
        <f t="shared" si="39"/>
        <v>0</v>
      </c>
      <c r="Z34" s="647">
        <f t="shared" si="39"/>
        <v>0</v>
      </c>
      <c r="AA34" s="647">
        <f t="shared" si="39"/>
        <v>0</v>
      </c>
      <c r="AB34" s="647">
        <f t="shared" si="39"/>
        <v>0</v>
      </c>
      <c r="AC34" s="647">
        <f t="shared" si="39"/>
        <v>0</v>
      </c>
      <c r="AD34" s="647">
        <f t="shared" si="39"/>
        <v>0</v>
      </c>
      <c r="AE34" s="647">
        <f t="shared" si="39"/>
        <v>0</v>
      </c>
      <c r="AF34" s="647">
        <f t="shared" si="39"/>
        <v>0</v>
      </c>
      <c r="AG34" s="647">
        <f t="shared" si="39"/>
        <v>0</v>
      </c>
      <c r="AH34" s="647">
        <f t="shared" si="39"/>
        <v>0</v>
      </c>
      <c r="AI34" s="647">
        <f t="shared" si="39"/>
        <v>0</v>
      </c>
      <c r="AJ34" s="647">
        <f t="shared" si="39"/>
        <v>0</v>
      </c>
      <c r="AK34" s="647">
        <f t="shared" si="39"/>
        <v>0</v>
      </c>
      <c r="AL34" s="647">
        <f t="shared" si="39"/>
        <v>0</v>
      </c>
      <c r="AM34" s="647">
        <f t="shared" si="39"/>
        <v>0</v>
      </c>
      <c r="AN34" s="647">
        <f t="shared" si="39"/>
        <v>0</v>
      </c>
      <c r="AO34" s="647">
        <f t="shared" si="39"/>
        <v>0</v>
      </c>
      <c r="AP34" s="647">
        <f t="shared" si="39"/>
        <v>0</v>
      </c>
      <c r="AQ34" s="647">
        <f t="shared" si="39"/>
        <v>0</v>
      </c>
      <c r="AR34" s="647">
        <f t="shared" si="39"/>
        <v>0</v>
      </c>
      <c r="AS34" s="647">
        <f t="shared" si="39"/>
        <v>0</v>
      </c>
      <c r="AT34" s="647">
        <f t="shared" si="39"/>
        <v>0</v>
      </c>
      <c r="AU34" s="647">
        <f t="shared" si="39"/>
        <v>0</v>
      </c>
      <c r="AV34" s="647">
        <f t="shared" si="39"/>
        <v>0</v>
      </c>
      <c r="AW34" s="647">
        <f t="shared" si="39"/>
        <v>0</v>
      </c>
      <c r="AX34" s="647">
        <f t="shared" si="39"/>
        <v>0</v>
      </c>
      <c r="AY34" s="647">
        <f t="shared" si="39"/>
        <v>0</v>
      </c>
      <c r="AZ34" s="647">
        <f t="shared" si="39"/>
        <v>0</v>
      </c>
      <c r="BA34" s="647">
        <f t="shared" ref="BA34:BL34" si="40">BA30*BA31</f>
        <v>0</v>
      </c>
      <c r="BB34" s="647">
        <f t="shared" si="40"/>
        <v>0</v>
      </c>
      <c r="BC34" s="647">
        <f t="shared" si="40"/>
        <v>0</v>
      </c>
      <c r="BD34" s="647">
        <f t="shared" si="40"/>
        <v>0</v>
      </c>
      <c r="BE34" s="647">
        <f t="shared" si="40"/>
        <v>0</v>
      </c>
      <c r="BF34" s="647">
        <f t="shared" si="40"/>
        <v>0</v>
      </c>
      <c r="BG34" s="647">
        <f t="shared" si="40"/>
        <v>0</v>
      </c>
      <c r="BH34" s="647">
        <f t="shared" si="40"/>
        <v>0</v>
      </c>
      <c r="BI34" s="647">
        <f t="shared" si="40"/>
        <v>0</v>
      </c>
      <c r="BJ34" s="647">
        <f t="shared" si="40"/>
        <v>0</v>
      </c>
      <c r="BK34" s="647">
        <f t="shared" si="40"/>
        <v>0</v>
      </c>
      <c r="BL34" s="647">
        <f t="shared" si="40"/>
        <v>0</v>
      </c>
    </row>
    <row r="35" spans="2:64" hidden="1" x14ac:dyDescent="0.25">
      <c r="B35" s="638" t="s">
        <v>1130</v>
      </c>
      <c r="C35" s="639"/>
      <c r="D35" s="639"/>
      <c r="E35" s="651" t="e">
        <f t="shared" ref="E35:AJ35" si="41">E32/E34</f>
        <v>#DIV/0!</v>
      </c>
      <c r="F35" s="651" t="e">
        <f t="shared" si="41"/>
        <v>#DIV/0!</v>
      </c>
      <c r="G35" s="651" t="e">
        <f t="shared" si="41"/>
        <v>#DIV/0!</v>
      </c>
      <c r="H35" s="651" t="e">
        <f t="shared" si="41"/>
        <v>#DIV/0!</v>
      </c>
      <c r="I35" s="651" t="e">
        <f t="shared" si="41"/>
        <v>#DIV/0!</v>
      </c>
      <c r="J35" s="651" t="e">
        <f t="shared" si="41"/>
        <v>#DIV/0!</v>
      </c>
      <c r="K35" s="651" t="e">
        <f t="shared" si="41"/>
        <v>#DIV/0!</v>
      </c>
      <c r="L35" s="651" t="e">
        <f t="shared" si="41"/>
        <v>#DIV/0!</v>
      </c>
      <c r="M35" s="651" t="e">
        <f t="shared" si="41"/>
        <v>#DIV/0!</v>
      </c>
      <c r="N35" s="651" t="e">
        <f t="shared" si="41"/>
        <v>#DIV/0!</v>
      </c>
      <c r="O35" s="651" t="e">
        <f t="shared" si="41"/>
        <v>#DIV/0!</v>
      </c>
      <c r="P35" s="651" t="e">
        <f t="shared" si="41"/>
        <v>#DIV/0!</v>
      </c>
      <c r="Q35" s="651" t="e">
        <f t="shared" si="41"/>
        <v>#DIV/0!</v>
      </c>
      <c r="R35" s="651" t="e">
        <f t="shared" si="41"/>
        <v>#DIV/0!</v>
      </c>
      <c r="S35" s="651" t="e">
        <f t="shared" si="41"/>
        <v>#DIV/0!</v>
      </c>
      <c r="T35" s="651" t="e">
        <f t="shared" si="41"/>
        <v>#DIV/0!</v>
      </c>
      <c r="U35" s="651" t="e">
        <f t="shared" si="41"/>
        <v>#DIV/0!</v>
      </c>
      <c r="V35" s="651" t="e">
        <f t="shared" si="41"/>
        <v>#DIV/0!</v>
      </c>
      <c r="W35" s="651" t="e">
        <f t="shared" si="41"/>
        <v>#DIV/0!</v>
      </c>
      <c r="X35" s="651" t="e">
        <f t="shared" si="41"/>
        <v>#DIV/0!</v>
      </c>
      <c r="Y35" s="651" t="e">
        <f t="shared" si="41"/>
        <v>#DIV/0!</v>
      </c>
      <c r="Z35" s="651" t="e">
        <f t="shared" si="41"/>
        <v>#DIV/0!</v>
      </c>
      <c r="AA35" s="651" t="e">
        <f t="shared" si="41"/>
        <v>#DIV/0!</v>
      </c>
      <c r="AB35" s="651" t="e">
        <f t="shared" si="41"/>
        <v>#DIV/0!</v>
      </c>
      <c r="AC35" s="651" t="e">
        <f t="shared" si="41"/>
        <v>#DIV/0!</v>
      </c>
      <c r="AD35" s="651" t="e">
        <f t="shared" si="41"/>
        <v>#DIV/0!</v>
      </c>
      <c r="AE35" s="651" t="e">
        <f t="shared" si="41"/>
        <v>#DIV/0!</v>
      </c>
      <c r="AF35" s="651" t="e">
        <f t="shared" si="41"/>
        <v>#DIV/0!</v>
      </c>
      <c r="AG35" s="651" t="e">
        <f t="shared" si="41"/>
        <v>#DIV/0!</v>
      </c>
      <c r="AH35" s="651" t="e">
        <f t="shared" si="41"/>
        <v>#DIV/0!</v>
      </c>
      <c r="AI35" s="651" t="e">
        <f t="shared" si="41"/>
        <v>#DIV/0!</v>
      </c>
      <c r="AJ35" s="651" t="e">
        <f t="shared" si="41"/>
        <v>#DIV/0!</v>
      </c>
      <c r="AK35" s="651" t="e">
        <f t="shared" ref="AK35:BL35" si="42">AK32/AK34</f>
        <v>#DIV/0!</v>
      </c>
      <c r="AL35" s="651" t="e">
        <f t="shared" si="42"/>
        <v>#DIV/0!</v>
      </c>
      <c r="AM35" s="651" t="e">
        <f t="shared" si="42"/>
        <v>#DIV/0!</v>
      </c>
      <c r="AN35" s="651" t="e">
        <f t="shared" si="42"/>
        <v>#DIV/0!</v>
      </c>
      <c r="AO35" s="651" t="e">
        <f t="shared" si="42"/>
        <v>#DIV/0!</v>
      </c>
      <c r="AP35" s="651" t="e">
        <f t="shared" si="42"/>
        <v>#DIV/0!</v>
      </c>
      <c r="AQ35" s="651" t="e">
        <f t="shared" si="42"/>
        <v>#DIV/0!</v>
      </c>
      <c r="AR35" s="651" t="e">
        <f t="shared" si="42"/>
        <v>#DIV/0!</v>
      </c>
      <c r="AS35" s="651" t="e">
        <f t="shared" si="42"/>
        <v>#DIV/0!</v>
      </c>
      <c r="AT35" s="651" t="e">
        <f t="shared" si="42"/>
        <v>#DIV/0!</v>
      </c>
      <c r="AU35" s="651" t="e">
        <f t="shared" si="42"/>
        <v>#DIV/0!</v>
      </c>
      <c r="AV35" s="651" t="e">
        <f t="shared" si="42"/>
        <v>#DIV/0!</v>
      </c>
      <c r="AW35" s="651" t="e">
        <f t="shared" si="42"/>
        <v>#DIV/0!</v>
      </c>
      <c r="AX35" s="651" t="e">
        <f t="shared" si="42"/>
        <v>#DIV/0!</v>
      </c>
      <c r="AY35" s="651" t="e">
        <f t="shared" si="42"/>
        <v>#DIV/0!</v>
      </c>
      <c r="AZ35" s="651" t="e">
        <f t="shared" si="42"/>
        <v>#DIV/0!</v>
      </c>
      <c r="BA35" s="651" t="e">
        <f t="shared" si="42"/>
        <v>#DIV/0!</v>
      </c>
      <c r="BB35" s="651" t="e">
        <f t="shared" si="42"/>
        <v>#DIV/0!</v>
      </c>
      <c r="BC35" s="651" t="e">
        <f t="shared" si="42"/>
        <v>#DIV/0!</v>
      </c>
      <c r="BD35" s="651" t="e">
        <f t="shared" si="42"/>
        <v>#DIV/0!</v>
      </c>
      <c r="BE35" s="651" t="e">
        <f t="shared" si="42"/>
        <v>#DIV/0!</v>
      </c>
      <c r="BF35" s="651" t="e">
        <f t="shared" si="42"/>
        <v>#DIV/0!</v>
      </c>
      <c r="BG35" s="651" t="e">
        <f t="shared" si="42"/>
        <v>#DIV/0!</v>
      </c>
      <c r="BH35" s="651" t="e">
        <f t="shared" si="42"/>
        <v>#DIV/0!</v>
      </c>
      <c r="BI35" s="651" t="e">
        <f t="shared" si="42"/>
        <v>#DIV/0!</v>
      </c>
      <c r="BJ35" s="651" t="e">
        <f t="shared" si="42"/>
        <v>#DIV/0!</v>
      </c>
      <c r="BK35" s="651" t="e">
        <f t="shared" si="42"/>
        <v>#DIV/0!</v>
      </c>
      <c r="BL35" s="651" t="e">
        <f t="shared" si="42"/>
        <v>#DIV/0!</v>
      </c>
    </row>
    <row r="36" spans="2:64" hidden="1" x14ac:dyDescent="0.25"/>
    <row r="37" spans="2:64" hidden="1" x14ac:dyDescent="0.25">
      <c r="B37" s="636" t="s">
        <v>830</v>
      </c>
    </row>
    <row r="38" spans="2:64" hidden="1" x14ac:dyDescent="0.25">
      <c r="B38" s="163" t="s">
        <v>1132</v>
      </c>
      <c r="C38" s="570" t="s">
        <v>389</v>
      </c>
      <c r="E38" s="648">
        <f t="shared" ref="E38:AZ38" si="43">IF($C$38="Target",INDEX($E$69:$AZ$69,0,0),IF($C$38="Base",INDEX($E$70:$AZ$70,0,0),IF($C$38="High",INDEX($E$71:$AZ$71,0,0),IF($C$38="Medium",INDEX($E$72:$AZ$72,0,0),IF($C$38="Worst",INDEX($E$73:$AZ$73,0,0),INDEX($E$74:$AZ$74,0,0))))))</f>
        <v>0</v>
      </c>
      <c r="F38" s="648">
        <f t="shared" si="43"/>
        <v>0</v>
      </c>
      <c r="G38" s="648">
        <f t="shared" si="43"/>
        <v>0</v>
      </c>
      <c r="H38" s="648">
        <f t="shared" si="43"/>
        <v>0</v>
      </c>
      <c r="I38" s="648">
        <f t="shared" si="43"/>
        <v>0</v>
      </c>
      <c r="J38" s="648">
        <f t="shared" si="43"/>
        <v>0</v>
      </c>
      <c r="K38" s="648">
        <f t="shared" si="43"/>
        <v>0</v>
      </c>
      <c r="L38" s="648">
        <f t="shared" si="43"/>
        <v>0</v>
      </c>
      <c r="M38" s="648">
        <f t="shared" si="43"/>
        <v>0</v>
      </c>
      <c r="N38" s="648">
        <f t="shared" si="43"/>
        <v>0</v>
      </c>
      <c r="O38" s="648">
        <f t="shared" si="43"/>
        <v>0</v>
      </c>
      <c r="P38" s="648">
        <f t="shared" si="43"/>
        <v>0</v>
      </c>
      <c r="Q38" s="648">
        <f t="shared" si="43"/>
        <v>0</v>
      </c>
      <c r="R38" s="648">
        <f t="shared" si="43"/>
        <v>0</v>
      </c>
      <c r="S38" s="648">
        <f t="shared" si="43"/>
        <v>0</v>
      </c>
      <c r="T38" s="648">
        <f t="shared" si="43"/>
        <v>0</v>
      </c>
      <c r="U38" s="648">
        <f t="shared" si="43"/>
        <v>0</v>
      </c>
      <c r="V38" s="648">
        <f t="shared" si="43"/>
        <v>0</v>
      </c>
      <c r="W38" s="648">
        <f t="shared" si="43"/>
        <v>0</v>
      </c>
      <c r="X38" s="648">
        <f t="shared" si="43"/>
        <v>0</v>
      </c>
      <c r="Y38" s="648">
        <f t="shared" si="43"/>
        <v>0</v>
      </c>
      <c r="Z38" s="648">
        <f t="shared" si="43"/>
        <v>0</v>
      </c>
      <c r="AA38" s="648">
        <f t="shared" si="43"/>
        <v>0</v>
      </c>
      <c r="AB38" s="648">
        <f t="shared" si="43"/>
        <v>0</v>
      </c>
      <c r="AC38" s="648">
        <f t="shared" si="43"/>
        <v>0</v>
      </c>
      <c r="AD38" s="648">
        <f t="shared" si="43"/>
        <v>0</v>
      </c>
      <c r="AE38" s="648">
        <f t="shared" si="43"/>
        <v>0</v>
      </c>
      <c r="AF38" s="648">
        <f t="shared" si="43"/>
        <v>0</v>
      </c>
      <c r="AG38" s="648">
        <f t="shared" si="43"/>
        <v>0</v>
      </c>
      <c r="AH38" s="648">
        <f t="shared" si="43"/>
        <v>0</v>
      </c>
      <c r="AI38" s="648">
        <f t="shared" si="43"/>
        <v>0</v>
      </c>
      <c r="AJ38" s="648">
        <f t="shared" si="43"/>
        <v>0</v>
      </c>
      <c r="AK38" s="648">
        <f t="shared" si="43"/>
        <v>0</v>
      </c>
      <c r="AL38" s="648">
        <f t="shared" si="43"/>
        <v>0</v>
      </c>
      <c r="AM38" s="648">
        <f t="shared" si="43"/>
        <v>0</v>
      </c>
      <c r="AN38" s="648">
        <f t="shared" si="43"/>
        <v>0</v>
      </c>
      <c r="AO38" s="648">
        <f t="shared" si="43"/>
        <v>0</v>
      </c>
      <c r="AP38" s="648">
        <f t="shared" si="43"/>
        <v>0</v>
      </c>
      <c r="AQ38" s="648">
        <f t="shared" si="43"/>
        <v>0</v>
      </c>
      <c r="AR38" s="648">
        <f t="shared" si="43"/>
        <v>0</v>
      </c>
      <c r="AS38" s="648">
        <f t="shared" si="43"/>
        <v>0</v>
      </c>
      <c r="AT38" s="648">
        <f t="shared" si="43"/>
        <v>0</v>
      </c>
      <c r="AU38" s="648">
        <f t="shared" si="43"/>
        <v>0</v>
      </c>
      <c r="AV38" s="648">
        <f t="shared" si="43"/>
        <v>0</v>
      </c>
      <c r="AW38" s="648">
        <f t="shared" si="43"/>
        <v>0</v>
      </c>
      <c r="AX38" s="648">
        <f t="shared" si="43"/>
        <v>0</v>
      </c>
      <c r="AY38" s="648">
        <f t="shared" si="43"/>
        <v>0</v>
      </c>
      <c r="AZ38" s="648">
        <f t="shared" si="43"/>
        <v>0</v>
      </c>
      <c r="BA38" s="648">
        <f t="shared" ref="BA38:BL38" si="44">IF($C$38="Target",INDEX($E$69:$BL$69,0,0),IF($C$38="Base",INDEX($E$70:$BL$70,0,0),IF($C$38="High",INDEX($E$71:$BL$71,0,0),IF($C$38="Medium",INDEX($E$72:$BL$72,0,0),IF($C$38="Worst",INDEX($E$73:$BL$73,0,0),INDEX($E$74:$BL$74,0,0))))))</f>
        <v>0</v>
      </c>
      <c r="BB38" s="648">
        <f t="shared" si="44"/>
        <v>0</v>
      </c>
      <c r="BC38" s="648">
        <f t="shared" si="44"/>
        <v>0</v>
      </c>
      <c r="BD38" s="648">
        <f t="shared" si="44"/>
        <v>0</v>
      </c>
      <c r="BE38" s="648">
        <f t="shared" si="44"/>
        <v>0</v>
      </c>
      <c r="BF38" s="648">
        <f t="shared" si="44"/>
        <v>0</v>
      </c>
      <c r="BG38" s="648">
        <f t="shared" si="44"/>
        <v>0</v>
      </c>
      <c r="BH38" s="648">
        <f t="shared" si="44"/>
        <v>0</v>
      </c>
      <c r="BI38" s="648">
        <f t="shared" si="44"/>
        <v>0</v>
      </c>
      <c r="BJ38" s="648">
        <f t="shared" si="44"/>
        <v>0</v>
      </c>
      <c r="BK38" s="648">
        <f t="shared" si="44"/>
        <v>0</v>
      </c>
      <c r="BL38" s="648">
        <f t="shared" si="44"/>
        <v>0</v>
      </c>
    </row>
    <row r="39" spans="2:64" hidden="1" x14ac:dyDescent="0.25">
      <c r="B39" s="163" t="s">
        <v>1134</v>
      </c>
      <c r="C39" s="570" t="s">
        <v>389</v>
      </c>
      <c r="E39" s="646">
        <f t="shared" ref="E39:AZ39" si="45">IF($C$39="Target",INDEX($E$95:$AZ$95,0,0),IF($C$39="Base",INDEX($E$96:$AZ$96,0,0),IF($C$39="High",INDEX($E$97:$AZ$97,0,0),IF($C$39="Medium",INDEX($E$98:$AZ$98,0,0),IF($C$39="Worst",INDEX($E$99:$AZ$99,0,0),INDEX($E$100:$AZ$100,0,0))))))</f>
        <v>0</v>
      </c>
      <c r="F39" s="646">
        <f t="shared" si="45"/>
        <v>0</v>
      </c>
      <c r="G39" s="646">
        <f t="shared" si="45"/>
        <v>0</v>
      </c>
      <c r="H39" s="646">
        <f t="shared" si="45"/>
        <v>0</v>
      </c>
      <c r="I39" s="646">
        <f t="shared" si="45"/>
        <v>0</v>
      </c>
      <c r="J39" s="646">
        <f t="shared" si="45"/>
        <v>0</v>
      </c>
      <c r="K39" s="646">
        <f t="shared" si="45"/>
        <v>0</v>
      </c>
      <c r="L39" s="646">
        <f t="shared" si="45"/>
        <v>0</v>
      </c>
      <c r="M39" s="646">
        <f t="shared" si="45"/>
        <v>0</v>
      </c>
      <c r="N39" s="646">
        <f t="shared" si="45"/>
        <v>0</v>
      </c>
      <c r="O39" s="646">
        <f t="shared" si="45"/>
        <v>0</v>
      </c>
      <c r="P39" s="646">
        <f t="shared" si="45"/>
        <v>0</v>
      </c>
      <c r="Q39" s="646">
        <f t="shared" si="45"/>
        <v>0</v>
      </c>
      <c r="R39" s="646">
        <f t="shared" si="45"/>
        <v>0</v>
      </c>
      <c r="S39" s="646">
        <f t="shared" si="45"/>
        <v>0</v>
      </c>
      <c r="T39" s="646">
        <f t="shared" si="45"/>
        <v>0</v>
      </c>
      <c r="U39" s="646">
        <f t="shared" si="45"/>
        <v>0</v>
      </c>
      <c r="V39" s="646">
        <f t="shared" si="45"/>
        <v>0</v>
      </c>
      <c r="W39" s="646">
        <f t="shared" si="45"/>
        <v>0</v>
      </c>
      <c r="X39" s="646">
        <f t="shared" si="45"/>
        <v>0</v>
      </c>
      <c r="Y39" s="646">
        <f t="shared" si="45"/>
        <v>0</v>
      </c>
      <c r="Z39" s="646">
        <f t="shared" si="45"/>
        <v>0</v>
      </c>
      <c r="AA39" s="646">
        <f t="shared" si="45"/>
        <v>0</v>
      </c>
      <c r="AB39" s="646">
        <f t="shared" si="45"/>
        <v>0</v>
      </c>
      <c r="AC39" s="646">
        <f t="shared" si="45"/>
        <v>0</v>
      </c>
      <c r="AD39" s="646">
        <f t="shared" si="45"/>
        <v>0</v>
      </c>
      <c r="AE39" s="646">
        <f t="shared" si="45"/>
        <v>0</v>
      </c>
      <c r="AF39" s="646">
        <f t="shared" si="45"/>
        <v>0</v>
      </c>
      <c r="AG39" s="646">
        <f t="shared" si="45"/>
        <v>0</v>
      </c>
      <c r="AH39" s="646">
        <f t="shared" si="45"/>
        <v>0</v>
      </c>
      <c r="AI39" s="646">
        <f t="shared" si="45"/>
        <v>0</v>
      </c>
      <c r="AJ39" s="646">
        <f t="shared" si="45"/>
        <v>0</v>
      </c>
      <c r="AK39" s="646">
        <f t="shared" si="45"/>
        <v>0</v>
      </c>
      <c r="AL39" s="646">
        <f t="shared" si="45"/>
        <v>0</v>
      </c>
      <c r="AM39" s="646">
        <f t="shared" si="45"/>
        <v>0</v>
      </c>
      <c r="AN39" s="646">
        <f t="shared" si="45"/>
        <v>0</v>
      </c>
      <c r="AO39" s="646">
        <f t="shared" si="45"/>
        <v>0</v>
      </c>
      <c r="AP39" s="646">
        <f t="shared" si="45"/>
        <v>0</v>
      </c>
      <c r="AQ39" s="646">
        <f t="shared" si="45"/>
        <v>0</v>
      </c>
      <c r="AR39" s="646">
        <f t="shared" si="45"/>
        <v>0</v>
      </c>
      <c r="AS39" s="646">
        <f t="shared" si="45"/>
        <v>0</v>
      </c>
      <c r="AT39" s="646">
        <f t="shared" si="45"/>
        <v>0</v>
      </c>
      <c r="AU39" s="646">
        <f t="shared" si="45"/>
        <v>0</v>
      </c>
      <c r="AV39" s="646">
        <f t="shared" si="45"/>
        <v>0</v>
      </c>
      <c r="AW39" s="646">
        <f t="shared" si="45"/>
        <v>0</v>
      </c>
      <c r="AX39" s="646">
        <f t="shared" si="45"/>
        <v>0</v>
      </c>
      <c r="AY39" s="646">
        <f t="shared" si="45"/>
        <v>0</v>
      </c>
      <c r="AZ39" s="646">
        <f t="shared" si="45"/>
        <v>0</v>
      </c>
      <c r="BA39" s="646">
        <f t="shared" ref="BA39:BL39" si="46">IF($C$39="Target",INDEX($E$95:$BL$95,0,0),IF($C$39="Base",INDEX($E$96:$BL$96,0,0),IF($C$39="High",INDEX($E$97:$BL$97,0,0),IF($C$39="Medium",INDEX($E$98:$BL$98,0,0),IF($C$39="Worst",INDEX($E$99:$BL$99,0,0),INDEX($E$100:$BL$100,0,0))))))</f>
        <v>0</v>
      </c>
      <c r="BB39" s="646">
        <f t="shared" si="46"/>
        <v>0</v>
      </c>
      <c r="BC39" s="646">
        <f t="shared" si="46"/>
        <v>0</v>
      </c>
      <c r="BD39" s="646">
        <f t="shared" si="46"/>
        <v>0</v>
      </c>
      <c r="BE39" s="646">
        <f t="shared" si="46"/>
        <v>0</v>
      </c>
      <c r="BF39" s="646">
        <f t="shared" si="46"/>
        <v>0</v>
      </c>
      <c r="BG39" s="646">
        <f t="shared" si="46"/>
        <v>0</v>
      </c>
      <c r="BH39" s="646">
        <f t="shared" si="46"/>
        <v>0</v>
      </c>
      <c r="BI39" s="646">
        <f t="shared" si="46"/>
        <v>0</v>
      </c>
      <c r="BJ39" s="646">
        <f t="shared" si="46"/>
        <v>0</v>
      </c>
      <c r="BK39" s="646">
        <f t="shared" si="46"/>
        <v>0</v>
      </c>
      <c r="BL39" s="646">
        <f t="shared" si="46"/>
        <v>0</v>
      </c>
    </row>
    <row r="40" spans="2:64" hidden="1" x14ac:dyDescent="0.25">
      <c r="B40" s="163" t="s">
        <v>832</v>
      </c>
      <c r="C40" s="570" t="s">
        <v>389</v>
      </c>
      <c r="E40" s="648">
        <f t="shared" ref="E40:AZ40" si="47">IF($C$40="Target",INDEX($E$121:$AZ$121,0,0),IF($C$40="Base",INDEX($E$122:$AZ$122,0,0),IF($C$40="High",INDEX($E$123:$AZ$123,0,0),IF($C$40="Medium",INDEX($E$124:$AZ$124,0,0),IF($C$40="Worst",INDEX($E$125:$AZ$125,0,0),INDEX($E$126:$AZ$126,0,0))))))</f>
        <v>0</v>
      </c>
      <c r="F40" s="648">
        <f t="shared" si="47"/>
        <v>0</v>
      </c>
      <c r="G40" s="648">
        <f t="shared" si="47"/>
        <v>0</v>
      </c>
      <c r="H40" s="648">
        <f t="shared" si="47"/>
        <v>0</v>
      </c>
      <c r="I40" s="648">
        <f t="shared" si="47"/>
        <v>0</v>
      </c>
      <c r="J40" s="648">
        <f t="shared" si="47"/>
        <v>0</v>
      </c>
      <c r="K40" s="648">
        <f t="shared" si="47"/>
        <v>0</v>
      </c>
      <c r="L40" s="648">
        <f t="shared" si="47"/>
        <v>0</v>
      </c>
      <c r="M40" s="648">
        <f t="shared" si="47"/>
        <v>0</v>
      </c>
      <c r="N40" s="648">
        <f t="shared" si="47"/>
        <v>0</v>
      </c>
      <c r="O40" s="648">
        <f t="shared" si="47"/>
        <v>0</v>
      </c>
      <c r="P40" s="648">
        <f t="shared" si="47"/>
        <v>0</v>
      </c>
      <c r="Q40" s="648">
        <f t="shared" si="47"/>
        <v>0</v>
      </c>
      <c r="R40" s="648">
        <f t="shared" si="47"/>
        <v>0</v>
      </c>
      <c r="S40" s="648">
        <f t="shared" si="47"/>
        <v>0</v>
      </c>
      <c r="T40" s="648">
        <f t="shared" si="47"/>
        <v>0</v>
      </c>
      <c r="U40" s="648">
        <f t="shared" si="47"/>
        <v>0</v>
      </c>
      <c r="V40" s="648">
        <f t="shared" si="47"/>
        <v>0</v>
      </c>
      <c r="W40" s="648">
        <f t="shared" si="47"/>
        <v>0</v>
      </c>
      <c r="X40" s="648">
        <f t="shared" si="47"/>
        <v>0</v>
      </c>
      <c r="Y40" s="648">
        <f t="shared" si="47"/>
        <v>0</v>
      </c>
      <c r="Z40" s="648">
        <f t="shared" si="47"/>
        <v>0</v>
      </c>
      <c r="AA40" s="648">
        <f t="shared" si="47"/>
        <v>0</v>
      </c>
      <c r="AB40" s="648">
        <f t="shared" si="47"/>
        <v>0</v>
      </c>
      <c r="AC40" s="648">
        <f t="shared" si="47"/>
        <v>0</v>
      </c>
      <c r="AD40" s="648">
        <f t="shared" si="47"/>
        <v>0</v>
      </c>
      <c r="AE40" s="648">
        <f t="shared" si="47"/>
        <v>0</v>
      </c>
      <c r="AF40" s="648">
        <f t="shared" si="47"/>
        <v>0</v>
      </c>
      <c r="AG40" s="648">
        <f t="shared" si="47"/>
        <v>0</v>
      </c>
      <c r="AH40" s="648">
        <f t="shared" si="47"/>
        <v>0</v>
      </c>
      <c r="AI40" s="648">
        <f t="shared" si="47"/>
        <v>0</v>
      </c>
      <c r="AJ40" s="648">
        <f t="shared" si="47"/>
        <v>0</v>
      </c>
      <c r="AK40" s="648">
        <f t="shared" si="47"/>
        <v>0</v>
      </c>
      <c r="AL40" s="648">
        <f t="shared" si="47"/>
        <v>0</v>
      </c>
      <c r="AM40" s="648">
        <f t="shared" si="47"/>
        <v>0</v>
      </c>
      <c r="AN40" s="648">
        <f t="shared" si="47"/>
        <v>0</v>
      </c>
      <c r="AO40" s="648">
        <f t="shared" si="47"/>
        <v>0</v>
      </c>
      <c r="AP40" s="648">
        <f t="shared" si="47"/>
        <v>0</v>
      </c>
      <c r="AQ40" s="648">
        <f t="shared" si="47"/>
        <v>0</v>
      </c>
      <c r="AR40" s="648">
        <f t="shared" si="47"/>
        <v>0</v>
      </c>
      <c r="AS40" s="648">
        <f t="shared" si="47"/>
        <v>0</v>
      </c>
      <c r="AT40" s="648">
        <f t="shared" si="47"/>
        <v>0</v>
      </c>
      <c r="AU40" s="648">
        <f t="shared" si="47"/>
        <v>0</v>
      </c>
      <c r="AV40" s="648">
        <f t="shared" si="47"/>
        <v>0</v>
      </c>
      <c r="AW40" s="648">
        <f t="shared" si="47"/>
        <v>0</v>
      </c>
      <c r="AX40" s="648">
        <f t="shared" si="47"/>
        <v>0</v>
      </c>
      <c r="AY40" s="648">
        <f t="shared" si="47"/>
        <v>0</v>
      </c>
      <c r="AZ40" s="648">
        <f t="shared" si="47"/>
        <v>0</v>
      </c>
      <c r="BA40" s="648">
        <f t="shared" ref="BA40:BL40" si="48">IF($C$40="Target",INDEX($E$121:$BL$121,0,0),IF($C$40="Base",INDEX($E$122:$BL$122,0,0),IF($C$40="High",INDEX($E$123:$BL$123,0,0),IF($C$40="Medium",INDEX($E$124:$BL$124,0,0),IF($C$40="Worst",INDEX($E$125:$BL$125,0,0),INDEX($E$126:$BL$126,0,0))))))</f>
        <v>0</v>
      </c>
      <c r="BB40" s="648">
        <f t="shared" si="48"/>
        <v>0</v>
      </c>
      <c r="BC40" s="648">
        <f t="shared" si="48"/>
        <v>0</v>
      </c>
      <c r="BD40" s="648">
        <f t="shared" si="48"/>
        <v>0</v>
      </c>
      <c r="BE40" s="648">
        <f t="shared" si="48"/>
        <v>0</v>
      </c>
      <c r="BF40" s="648">
        <f t="shared" si="48"/>
        <v>0</v>
      </c>
      <c r="BG40" s="648">
        <f t="shared" si="48"/>
        <v>0</v>
      </c>
      <c r="BH40" s="648">
        <f t="shared" si="48"/>
        <v>0</v>
      </c>
      <c r="BI40" s="648">
        <f t="shared" si="48"/>
        <v>0</v>
      </c>
      <c r="BJ40" s="648">
        <f t="shared" si="48"/>
        <v>0</v>
      </c>
      <c r="BK40" s="648">
        <f t="shared" si="48"/>
        <v>0</v>
      </c>
      <c r="BL40" s="648">
        <f t="shared" si="48"/>
        <v>0</v>
      </c>
    </row>
    <row r="41" spans="2:64" hidden="1" x14ac:dyDescent="0.25">
      <c r="B41" s="163" t="s">
        <v>1125</v>
      </c>
      <c r="C41" s="570" t="s">
        <v>389</v>
      </c>
      <c r="E41" s="648"/>
      <c r="F41" s="648"/>
      <c r="G41" s="648"/>
      <c r="H41" s="648"/>
      <c r="I41" s="648"/>
      <c r="J41" s="648"/>
      <c r="K41" s="648"/>
      <c r="L41" s="648"/>
      <c r="M41" s="648"/>
      <c r="N41" s="648"/>
      <c r="O41" s="648"/>
      <c r="P41" s="648"/>
      <c r="Q41" s="648"/>
      <c r="R41" s="648"/>
      <c r="S41" s="648"/>
      <c r="T41" s="648"/>
      <c r="U41" s="648"/>
      <c r="V41" s="648"/>
      <c r="W41" s="648"/>
      <c r="X41" s="648"/>
      <c r="Y41" s="648"/>
      <c r="Z41" s="648"/>
      <c r="AA41" s="648"/>
      <c r="AB41" s="648"/>
      <c r="AC41" s="648"/>
      <c r="AD41" s="648"/>
      <c r="AE41" s="648"/>
      <c r="AF41" s="648"/>
      <c r="AG41" s="648"/>
      <c r="AH41" s="648"/>
      <c r="AI41" s="648"/>
      <c r="AJ41" s="648"/>
      <c r="AK41" s="648"/>
      <c r="AL41" s="648"/>
      <c r="AM41" s="648"/>
      <c r="AN41" s="648"/>
      <c r="AO41" s="648"/>
      <c r="AP41" s="648"/>
      <c r="AQ41" s="648"/>
      <c r="AR41" s="648"/>
      <c r="AS41" s="648"/>
      <c r="AT41" s="648"/>
      <c r="AU41" s="648"/>
      <c r="AV41" s="648"/>
      <c r="AW41" s="648"/>
      <c r="AX41" s="648"/>
      <c r="AY41" s="648"/>
      <c r="AZ41" s="648"/>
      <c r="BA41" s="648"/>
      <c r="BB41" s="648"/>
      <c r="BC41" s="648"/>
      <c r="BD41" s="648"/>
      <c r="BE41" s="648"/>
      <c r="BF41" s="648"/>
      <c r="BG41" s="648"/>
      <c r="BH41" s="648"/>
      <c r="BI41" s="648"/>
      <c r="BJ41" s="648"/>
      <c r="BK41" s="648"/>
      <c r="BL41" s="648"/>
    </row>
    <row r="42" spans="2:64" hidden="1" x14ac:dyDescent="0.25">
      <c r="B42" s="163" t="s">
        <v>833</v>
      </c>
      <c r="C42" s="570" t="s">
        <v>389</v>
      </c>
      <c r="E42" s="647">
        <f>E38*E39</f>
        <v>0</v>
      </c>
      <c r="F42" s="647">
        <f t="shared" ref="F42:AZ42" si="49">F38*F39</f>
        <v>0</v>
      </c>
      <c r="G42" s="647">
        <f t="shared" si="49"/>
        <v>0</v>
      </c>
      <c r="H42" s="647">
        <f t="shared" si="49"/>
        <v>0</v>
      </c>
      <c r="I42" s="647">
        <f t="shared" si="49"/>
        <v>0</v>
      </c>
      <c r="J42" s="647">
        <f t="shared" si="49"/>
        <v>0</v>
      </c>
      <c r="K42" s="647">
        <f t="shared" si="49"/>
        <v>0</v>
      </c>
      <c r="L42" s="647">
        <f t="shared" si="49"/>
        <v>0</v>
      </c>
      <c r="M42" s="647">
        <f t="shared" si="49"/>
        <v>0</v>
      </c>
      <c r="N42" s="647">
        <f t="shared" si="49"/>
        <v>0</v>
      </c>
      <c r="O42" s="647">
        <f t="shared" si="49"/>
        <v>0</v>
      </c>
      <c r="P42" s="647">
        <f t="shared" si="49"/>
        <v>0</v>
      </c>
      <c r="Q42" s="647">
        <f t="shared" si="49"/>
        <v>0</v>
      </c>
      <c r="R42" s="647">
        <f t="shared" si="49"/>
        <v>0</v>
      </c>
      <c r="S42" s="647">
        <f t="shared" si="49"/>
        <v>0</v>
      </c>
      <c r="T42" s="647">
        <f t="shared" si="49"/>
        <v>0</v>
      </c>
      <c r="U42" s="647">
        <f t="shared" si="49"/>
        <v>0</v>
      </c>
      <c r="V42" s="647">
        <f t="shared" si="49"/>
        <v>0</v>
      </c>
      <c r="W42" s="647">
        <f t="shared" si="49"/>
        <v>0</v>
      </c>
      <c r="X42" s="647">
        <f t="shared" si="49"/>
        <v>0</v>
      </c>
      <c r="Y42" s="647">
        <f t="shared" si="49"/>
        <v>0</v>
      </c>
      <c r="Z42" s="647">
        <f t="shared" si="49"/>
        <v>0</v>
      </c>
      <c r="AA42" s="647">
        <f t="shared" si="49"/>
        <v>0</v>
      </c>
      <c r="AB42" s="647">
        <f t="shared" si="49"/>
        <v>0</v>
      </c>
      <c r="AC42" s="647">
        <f t="shared" si="49"/>
        <v>0</v>
      </c>
      <c r="AD42" s="647">
        <f t="shared" si="49"/>
        <v>0</v>
      </c>
      <c r="AE42" s="647">
        <f t="shared" si="49"/>
        <v>0</v>
      </c>
      <c r="AF42" s="647">
        <f t="shared" si="49"/>
        <v>0</v>
      </c>
      <c r="AG42" s="647">
        <f t="shared" si="49"/>
        <v>0</v>
      </c>
      <c r="AH42" s="647">
        <f t="shared" si="49"/>
        <v>0</v>
      </c>
      <c r="AI42" s="647">
        <f t="shared" si="49"/>
        <v>0</v>
      </c>
      <c r="AJ42" s="647">
        <f t="shared" si="49"/>
        <v>0</v>
      </c>
      <c r="AK42" s="647">
        <f t="shared" si="49"/>
        <v>0</v>
      </c>
      <c r="AL42" s="647">
        <f t="shared" si="49"/>
        <v>0</v>
      </c>
      <c r="AM42" s="647">
        <f t="shared" si="49"/>
        <v>0</v>
      </c>
      <c r="AN42" s="647">
        <f t="shared" si="49"/>
        <v>0</v>
      </c>
      <c r="AO42" s="647">
        <f t="shared" si="49"/>
        <v>0</v>
      </c>
      <c r="AP42" s="647">
        <f t="shared" si="49"/>
        <v>0</v>
      </c>
      <c r="AQ42" s="647">
        <f t="shared" si="49"/>
        <v>0</v>
      </c>
      <c r="AR42" s="647">
        <f t="shared" si="49"/>
        <v>0</v>
      </c>
      <c r="AS42" s="647">
        <f t="shared" si="49"/>
        <v>0</v>
      </c>
      <c r="AT42" s="647">
        <f t="shared" si="49"/>
        <v>0</v>
      </c>
      <c r="AU42" s="647">
        <f t="shared" si="49"/>
        <v>0</v>
      </c>
      <c r="AV42" s="647">
        <f t="shared" si="49"/>
        <v>0</v>
      </c>
      <c r="AW42" s="647">
        <f t="shared" si="49"/>
        <v>0</v>
      </c>
      <c r="AX42" s="647">
        <f t="shared" si="49"/>
        <v>0</v>
      </c>
      <c r="AY42" s="647">
        <f t="shared" si="49"/>
        <v>0</v>
      </c>
      <c r="AZ42" s="647">
        <f t="shared" si="49"/>
        <v>0</v>
      </c>
      <c r="BA42" s="647">
        <f t="shared" ref="BA42:BL42" si="50">BA38*BA39</f>
        <v>0</v>
      </c>
      <c r="BB42" s="647">
        <f t="shared" si="50"/>
        <v>0</v>
      </c>
      <c r="BC42" s="647">
        <f t="shared" si="50"/>
        <v>0</v>
      </c>
      <c r="BD42" s="647">
        <f t="shared" si="50"/>
        <v>0</v>
      </c>
      <c r="BE42" s="647">
        <f t="shared" si="50"/>
        <v>0</v>
      </c>
      <c r="BF42" s="647">
        <f t="shared" si="50"/>
        <v>0</v>
      </c>
      <c r="BG42" s="647">
        <f t="shared" si="50"/>
        <v>0</v>
      </c>
      <c r="BH42" s="647">
        <f t="shared" si="50"/>
        <v>0</v>
      </c>
      <c r="BI42" s="647">
        <f t="shared" si="50"/>
        <v>0</v>
      </c>
      <c r="BJ42" s="647">
        <f t="shared" si="50"/>
        <v>0</v>
      </c>
      <c r="BK42" s="647">
        <f t="shared" si="50"/>
        <v>0</v>
      </c>
      <c r="BL42" s="647">
        <f t="shared" si="50"/>
        <v>0</v>
      </c>
    </row>
    <row r="43" spans="2:64" hidden="1" x14ac:dyDescent="0.25">
      <c r="B43" s="638" t="s">
        <v>1131</v>
      </c>
      <c r="C43" s="639"/>
      <c r="D43" s="639"/>
      <c r="E43" s="651" t="e">
        <f t="shared" ref="E43:AJ43" si="51">E40/E42</f>
        <v>#DIV/0!</v>
      </c>
      <c r="F43" s="651" t="e">
        <f t="shared" si="51"/>
        <v>#DIV/0!</v>
      </c>
      <c r="G43" s="651" t="e">
        <f t="shared" si="51"/>
        <v>#DIV/0!</v>
      </c>
      <c r="H43" s="651" t="e">
        <f t="shared" si="51"/>
        <v>#DIV/0!</v>
      </c>
      <c r="I43" s="651" t="e">
        <f t="shared" si="51"/>
        <v>#DIV/0!</v>
      </c>
      <c r="J43" s="651" t="e">
        <f t="shared" si="51"/>
        <v>#DIV/0!</v>
      </c>
      <c r="K43" s="651" t="e">
        <f t="shared" si="51"/>
        <v>#DIV/0!</v>
      </c>
      <c r="L43" s="651" t="e">
        <f t="shared" si="51"/>
        <v>#DIV/0!</v>
      </c>
      <c r="M43" s="651" t="e">
        <f t="shared" si="51"/>
        <v>#DIV/0!</v>
      </c>
      <c r="N43" s="651" t="e">
        <f t="shared" si="51"/>
        <v>#DIV/0!</v>
      </c>
      <c r="O43" s="651" t="e">
        <f t="shared" si="51"/>
        <v>#DIV/0!</v>
      </c>
      <c r="P43" s="651" t="e">
        <f t="shared" si="51"/>
        <v>#DIV/0!</v>
      </c>
      <c r="Q43" s="651" t="e">
        <f t="shared" si="51"/>
        <v>#DIV/0!</v>
      </c>
      <c r="R43" s="651" t="e">
        <f t="shared" si="51"/>
        <v>#DIV/0!</v>
      </c>
      <c r="S43" s="651" t="e">
        <f t="shared" si="51"/>
        <v>#DIV/0!</v>
      </c>
      <c r="T43" s="651" t="e">
        <f t="shared" si="51"/>
        <v>#DIV/0!</v>
      </c>
      <c r="U43" s="651" t="e">
        <f t="shared" si="51"/>
        <v>#DIV/0!</v>
      </c>
      <c r="V43" s="651" t="e">
        <f t="shared" si="51"/>
        <v>#DIV/0!</v>
      </c>
      <c r="W43" s="651" t="e">
        <f t="shared" si="51"/>
        <v>#DIV/0!</v>
      </c>
      <c r="X43" s="651" t="e">
        <f t="shared" si="51"/>
        <v>#DIV/0!</v>
      </c>
      <c r="Y43" s="651" t="e">
        <f t="shared" si="51"/>
        <v>#DIV/0!</v>
      </c>
      <c r="Z43" s="651" t="e">
        <f t="shared" si="51"/>
        <v>#DIV/0!</v>
      </c>
      <c r="AA43" s="651" t="e">
        <f t="shared" si="51"/>
        <v>#DIV/0!</v>
      </c>
      <c r="AB43" s="651" t="e">
        <f t="shared" si="51"/>
        <v>#DIV/0!</v>
      </c>
      <c r="AC43" s="651" t="e">
        <f t="shared" si="51"/>
        <v>#DIV/0!</v>
      </c>
      <c r="AD43" s="651" t="e">
        <f t="shared" si="51"/>
        <v>#DIV/0!</v>
      </c>
      <c r="AE43" s="651" t="e">
        <f t="shared" si="51"/>
        <v>#DIV/0!</v>
      </c>
      <c r="AF43" s="651" t="e">
        <f t="shared" si="51"/>
        <v>#DIV/0!</v>
      </c>
      <c r="AG43" s="651" t="e">
        <f t="shared" si="51"/>
        <v>#DIV/0!</v>
      </c>
      <c r="AH43" s="651" t="e">
        <f t="shared" si="51"/>
        <v>#DIV/0!</v>
      </c>
      <c r="AI43" s="651" t="e">
        <f t="shared" si="51"/>
        <v>#DIV/0!</v>
      </c>
      <c r="AJ43" s="651" t="e">
        <f t="shared" si="51"/>
        <v>#DIV/0!</v>
      </c>
      <c r="AK43" s="651" t="e">
        <f t="shared" ref="AK43:BL43" si="52">AK40/AK42</f>
        <v>#DIV/0!</v>
      </c>
      <c r="AL43" s="651" t="e">
        <f t="shared" si="52"/>
        <v>#DIV/0!</v>
      </c>
      <c r="AM43" s="651" t="e">
        <f t="shared" si="52"/>
        <v>#DIV/0!</v>
      </c>
      <c r="AN43" s="651" t="e">
        <f t="shared" si="52"/>
        <v>#DIV/0!</v>
      </c>
      <c r="AO43" s="651" t="e">
        <f t="shared" si="52"/>
        <v>#DIV/0!</v>
      </c>
      <c r="AP43" s="651" t="e">
        <f t="shared" si="52"/>
        <v>#DIV/0!</v>
      </c>
      <c r="AQ43" s="651" t="e">
        <f t="shared" si="52"/>
        <v>#DIV/0!</v>
      </c>
      <c r="AR43" s="651" t="e">
        <f t="shared" si="52"/>
        <v>#DIV/0!</v>
      </c>
      <c r="AS43" s="651" t="e">
        <f t="shared" si="52"/>
        <v>#DIV/0!</v>
      </c>
      <c r="AT43" s="651" t="e">
        <f t="shared" si="52"/>
        <v>#DIV/0!</v>
      </c>
      <c r="AU43" s="651" t="e">
        <f t="shared" si="52"/>
        <v>#DIV/0!</v>
      </c>
      <c r="AV43" s="651" t="e">
        <f t="shared" si="52"/>
        <v>#DIV/0!</v>
      </c>
      <c r="AW43" s="651" t="e">
        <f t="shared" si="52"/>
        <v>#DIV/0!</v>
      </c>
      <c r="AX43" s="651" t="e">
        <f t="shared" si="52"/>
        <v>#DIV/0!</v>
      </c>
      <c r="AY43" s="651" t="e">
        <f t="shared" si="52"/>
        <v>#DIV/0!</v>
      </c>
      <c r="AZ43" s="651" t="e">
        <f t="shared" si="52"/>
        <v>#DIV/0!</v>
      </c>
      <c r="BA43" s="651" t="e">
        <f t="shared" si="52"/>
        <v>#DIV/0!</v>
      </c>
      <c r="BB43" s="651" t="e">
        <f t="shared" si="52"/>
        <v>#DIV/0!</v>
      </c>
      <c r="BC43" s="651" t="e">
        <f t="shared" si="52"/>
        <v>#DIV/0!</v>
      </c>
      <c r="BD43" s="651" t="e">
        <f t="shared" si="52"/>
        <v>#DIV/0!</v>
      </c>
      <c r="BE43" s="651" t="e">
        <f t="shared" si="52"/>
        <v>#DIV/0!</v>
      </c>
      <c r="BF43" s="651" t="e">
        <f t="shared" si="52"/>
        <v>#DIV/0!</v>
      </c>
      <c r="BG43" s="651" t="e">
        <f t="shared" si="52"/>
        <v>#DIV/0!</v>
      </c>
      <c r="BH43" s="651" t="e">
        <f t="shared" si="52"/>
        <v>#DIV/0!</v>
      </c>
      <c r="BI43" s="651" t="e">
        <f t="shared" si="52"/>
        <v>#DIV/0!</v>
      </c>
      <c r="BJ43" s="651" t="e">
        <f t="shared" si="52"/>
        <v>#DIV/0!</v>
      </c>
      <c r="BK43" s="651" t="e">
        <f t="shared" si="52"/>
        <v>#DIV/0!</v>
      </c>
      <c r="BL43" s="651" t="e">
        <f t="shared" si="52"/>
        <v>#DIV/0!</v>
      </c>
    </row>
    <row r="44" spans="2:64" hidden="1" x14ac:dyDescent="0.25"/>
    <row r="45" spans="2:64" x14ac:dyDescent="0.25">
      <c r="B45" s="636" t="s">
        <v>834</v>
      </c>
    </row>
    <row r="46" spans="2:64" x14ac:dyDescent="0.25">
      <c r="B46" s="163" t="s">
        <v>1133</v>
      </c>
      <c r="C46" s="570" t="s">
        <v>492</v>
      </c>
      <c r="E46" s="1119">
        <f t="shared" ref="E46:AJ46" si="53">IF($C$46="Target",INDEX($E$179:$AZ$179,0,0),IF($C$46="Base",INDEX($E$180:$AZ$180,0,0),IF($C$46="High",INDEX($E$181:$AZ$181,0,0),IF($C$46="Medium",INDEX($E$182:$AZ$182,0,0),IF($C$46="Worst",INDEX($E$183:$AZ$183,0,0),INDEX($E$184:$AZ$184,0,0))))))</f>
        <v>3.1852497969741628E-2</v>
      </c>
      <c r="F46" s="1119">
        <f t="shared" si="53"/>
        <v>3.5747817106374993E-2</v>
      </c>
      <c r="G46" s="1119">
        <f t="shared" si="53"/>
        <v>3.5674060452821517E-2</v>
      </c>
      <c r="H46" s="1119">
        <f t="shared" si="53"/>
        <v>3.7609980302035453E-2</v>
      </c>
      <c r="I46" s="1119">
        <f t="shared" si="53"/>
        <v>4.5968712394705173E-2</v>
      </c>
      <c r="J46" s="1119">
        <f t="shared" si="53"/>
        <v>3.920539074122692E-2</v>
      </c>
      <c r="K46" s="1119">
        <f t="shared" si="53"/>
        <v>3.4075104311543807E-2</v>
      </c>
      <c r="L46" s="1119">
        <f t="shared" si="53"/>
        <v>3.1664559002206848E-2</v>
      </c>
      <c r="M46" s="1119">
        <f t="shared" si="53"/>
        <v>5.6402439024390252E-2</v>
      </c>
      <c r="N46" s="1119">
        <f t="shared" si="53"/>
        <v>6.4630846540394277E-2</v>
      </c>
      <c r="O46" s="1119">
        <f t="shared" si="53"/>
        <v>6.3965598333669285E-2</v>
      </c>
      <c r="P46" s="1119">
        <f t="shared" si="53"/>
        <v>5.4297838306191823E-2</v>
      </c>
      <c r="Q46" s="1119">
        <f t="shared" si="53"/>
        <v>6.0189270081832502E-2</v>
      </c>
      <c r="R46" s="1119">
        <f t="shared" si="53"/>
        <v>0.22775130222764051</v>
      </c>
      <c r="S46" s="1119">
        <f t="shared" si="53"/>
        <v>7.4512560583077439E-2</v>
      </c>
      <c r="T46" s="1119">
        <f t="shared" si="53"/>
        <v>7.0596096774827533E-2</v>
      </c>
      <c r="U46" s="1119">
        <f t="shared" si="53"/>
        <v>7.8371023740264611E-2</v>
      </c>
      <c r="V46" s="1119">
        <f t="shared" si="53"/>
        <v>6.5810622251267284E-2</v>
      </c>
      <c r="W46" s="1119">
        <f t="shared" si="53"/>
        <v>5.764411027568922E-2</v>
      </c>
      <c r="X46" s="1119">
        <f t="shared" si="53"/>
        <v>6.825158298976354E-2</v>
      </c>
      <c r="Y46" s="1119">
        <f t="shared" si="53"/>
        <v>7.5916882964527158E-2</v>
      </c>
      <c r="Z46" s="1119">
        <f t="shared" si="53"/>
        <v>6.4148946819007305E-2</v>
      </c>
      <c r="AA46" s="1119">
        <f t="shared" si="53"/>
        <v>7.2767467928758253E-2</v>
      </c>
      <c r="AB46" s="1119">
        <f t="shared" si="53"/>
        <v>7.1453882230328294E-2</v>
      </c>
      <c r="AC46" s="1119">
        <f t="shared" si="53"/>
        <v>7.0300000000000001E-2</v>
      </c>
      <c r="AD46" s="1119">
        <f t="shared" si="53"/>
        <v>6.4199999999999993E-2</v>
      </c>
      <c r="AE46" s="1119">
        <f t="shared" si="53"/>
        <v>6.2799999999999995E-2</v>
      </c>
      <c r="AF46" s="650">
        <f t="shared" si="53"/>
        <v>0.08</v>
      </c>
      <c r="AG46" s="650">
        <f t="shared" si="53"/>
        <v>0.08</v>
      </c>
      <c r="AH46" s="650">
        <f t="shared" si="53"/>
        <v>0.08</v>
      </c>
      <c r="AI46" s="650">
        <f t="shared" si="53"/>
        <v>0.08</v>
      </c>
      <c r="AJ46" s="650">
        <f t="shared" si="53"/>
        <v>0.08</v>
      </c>
      <c r="AK46" s="650">
        <f t="shared" ref="AK46:BL46" si="54">IF($C$46="Target",INDEX($E$179:$AZ$179,0,0),IF($C$46="Base",INDEX($E$180:$AZ$180,0,0),IF($C$46="High",INDEX($E$181:$AZ$181,0,0),IF($C$46="Medium",INDEX($E$182:$AZ$182,0,0),IF($C$46="Worst",INDEX($E$183:$AZ$183,0,0),INDEX($E$184:$AZ$184,0,0))))))</f>
        <v>0.08</v>
      </c>
      <c r="AL46" s="650">
        <f t="shared" si="54"/>
        <v>8.6569999999999994E-2</v>
      </c>
      <c r="AM46" s="650">
        <f t="shared" si="54"/>
        <v>8.6569999999999994E-2</v>
      </c>
      <c r="AN46" s="650">
        <f t="shared" si="54"/>
        <v>8.6569999999999994E-2</v>
      </c>
      <c r="AO46" s="650">
        <f t="shared" si="54"/>
        <v>0.08</v>
      </c>
      <c r="AP46" s="650">
        <f t="shared" si="54"/>
        <v>0.08</v>
      </c>
      <c r="AQ46" s="650">
        <f t="shared" si="54"/>
        <v>0.08</v>
      </c>
      <c r="AR46" s="650">
        <f t="shared" si="54"/>
        <v>0.08</v>
      </c>
      <c r="AS46" s="650">
        <f t="shared" si="54"/>
        <v>0.08</v>
      </c>
      <c r="AT46" s="650">
        <f t="shared" si="54"/>
        <v>0.08</v>
      </c>
      <c r="AU46" s="650">
        <f t="shared" si="54"/>
        <v>0.08</v>
      </c>
      <c r="AV46" s="650">
        <f t="shared" si="54"/>
        <v>0.08</v>
      </c>
      <c r="AW46" s="650">
        <f t="shared" si="54"/>
        <v>0.08</v>
      </c>
      <c r="AX46" s="650">
        <f t="shared" si="54"/>
        <v>0.08</v>
      </c>
      <c r="AY46" s="650">
        <f t="shared" si="54"/>
        <v>0.08</v>
      </c>
      <c r="AZ46" s="650">
        <f t="shared" si="54"/>
        <v>0.08</v>
      </c>
      <c r="BA46" s="650" t="e">
        <f t="shared" si="54"/>
        <v>#VALUE!</v>
      </c>
      <c r="BB46" s="650" t="e">
        <f t="shared" si="54"/>
        <v>#VALUE!</v>
      </c>
      <c r="BC46" s="650" t="e">
        <f t="shared" si="54"/>
        <v>#VALUE!</v>
      </c>
      <c r="BD46" s="650" t="e">
        <f t="shared" si="54"/>
        <v>#VALUE!</v>
      </c>
      <c r="BE46" s="650" t="e">
        <f t="shared" si="54"/>
        <v>#VALUE!</v>
      </c>
      <c r="BF46" s="650" t="e">
        <f t="shared" si="54"/>
        <v>#VALUE!</v>
      </c>
      <c r="BG46" s="650" t="e">
        <f t="shared" si="54"/>
        <v>#VALUE!</v>
      </c>
      <c r="BH46" s="650" t="e">
        <f t="shared" si="54"/>
        <v>#VALUE!</v>
      </c>
      <c r="BI46" s="650" t="e">
        <f t="shared" si="54"/>
        <v>#VALUE!</v>
      </c>
      <c r="BJ46" s="650" t="e">
        <f t="shared" si="54"/>
        <v>#VALUE!</v>
      </c>
      <c r="BK46" s="650" t="e">
        <f t="shared" si="54"/>
        <v>#VALUE!</v>
      </c>
      <c r="BL46" s="650" t="e">
        <f t="shared" si="54"/>
        <v>#VALUE!</v>
      </c>
    </row>
    <row r="47" spans="2:64" x14ac:dyDescent="0.25">
      <c r="B47" s="163" t="s">
        <v>1136</v>
      </c>
      <c r="C47" s="570" t="s">
        <v>492</v>
      </c>
      <c r="E47" s="1119">
        <f t="shared" ref="E47:AZ47" si="55">IF($C$47="Target",INDEX($E$101:$AZ$101,0,0),IF($C$47="Base",INDEX($E$102:$AZ$102,0,0),IF($C$47="High",INDEX($E$103:$AZ$103,0,0),IF($C$47="Medium",INDEX($E$104:$AZ$104,0,0),IF($C$47="Worst",INDEX($E$105:$AZ$105,0,0),INDEX($E$106:$AZ$106,0,0))))))</f>
        <v>0.21989657719773459</v>
      </c>
      <c r="F47" s="1119">
        <f t="shared" si="55"/>
        <v>0.25265444015444022</v>
      </c>
      <c r="G47" s="1119">
        <f t="shared" si="55"/>
        <v>0.27247515599722671</v>
      </c>
      <c r="H47" s="1119">
        <f t="shared" si="55"/>
        <v>0.27543729982754372</v>
      </c>
      <c r="I47" s="1119">
        <f t="shared" si="55"/>
        <v>0.2521891418563923</v>
      </c>
      <c r="J47" s="1119">
        <f t="shared" si="55"/>
        <v>0.21779066956731929</v>
      </c>
      <c r="K47" s="1119">
        <f t="shared" si="55"/>
        <v>0.23239257564200361</v>
      </c>
      <c r="L47" s="1119">
        <f t="shared" si="55"/>
        <v>0.2493940862821134</v>
      </c>
      <c r="M47" s="1119">
        <f t="shared" si="55"/>
        <v>0.21834992887624466</v>
      </c>
      <c r="N47" s="1119">
        <f t="shared" si="55"/>
        <v>0.22816985645933013</v>
      </c>
      <c r="O47" s="1119">
        <f t="shared" si="55"/>
        <v>0.21603641456582634</v>
      </c>
      <c r="P47" s="1119">
        <f t="shared" si="55"/>
        <v>0.22135842880523732</v>
      </c>
      <c r="Q47" s="1119">
        <f t="shared" si="55"/>
        <v>0.2161540672607071</v>
      </c>
      <c r="R47" s="1119">
        <f t="shared" si="55"/>
        <v>6.1411192214111919E-2</v>
      </c>
      <c r="S47" s="1119">
        <f t="shared" si="55"/>
        <v>0.19091360476663358</v>
      </c>
      <c r="T47" s="1119">
        <f t="shared" si="55"/>
        <v>0.21742761692650334</v>
      </c>
      <c r="U47" s="1119">
        <f t="shared" si="55"/>
        <v>0.23347701149425287</v>
      </c>
      <c r="V47" s="1119">
        <f t="shared" si="55"/>
        <v>0.20316693505099301</v>
      </c>
      <c r="W47" s="1119">
        <f t="shared" si="55"/>
        <v>0.16205533596837945</v>
      </c>
      <c r="X47" s="1119">
        <f t="shared" si="55"/>
        <v>0.17839668799397818</v>
      </c>
      <c r="Y47" s="1119">
        <f t="shared" si="55"/>
        <v>0.1674715085957118</v>
      </c>
      <c r="Z47" s="1119">
        <f t="shared" si="55"/>
        <v>0.1560410164957646</v>
      </c>
      <c r="AA47" s="1119">
        <f t="shared" si="55"/>
        <v>0.14698331193838254</v>
      </c>
      <c r="AB47" s="1119">
        <f t="shared" si="55"/>
        <v>0.1572345390898483</v>
      </c>
      <c r="AC47" s="1119">
        <f t="shared" si="55"/>
        <v>0.17130000000000001</v>
      </c>
      <c r="AD47" s="1119">
        <f t="shared" si="55"/>
        <v>0.1973</v>
      </c>
      <c r="AE47" s="1119">
        <f t="shared" si="55"/>
        <v>0.19159999999999999</v>
      </c>
      <c r="AF47" s="650">
        <f t="shared" si="55"/>
        <v>0.15</v>
      </c>
      <c r="AG47" s="650">
        <f t="shared" si="55"/>
        <v>0.15</v>
      </c>
      <c r="AH47" s="650">
        <f t="shared" si="55"/>
        <v>0.15</v>
      </c>
      <c r="AI47" s="650">
        <f t="shared" si="55"/>
        <v>0.15</v>
      </c>
      <c r="AJ47" s="650">
        <f t="shared" si="55"/>
        <v>0.15</v>
      </c>
      <c r="AK47" s="650">
        <f t="shared" si="55"/>
        <v>0.15</v>
      </c>
      <c r="AL47" s="650">
        <f t="shared" si="55"/>
        <v>0.18</v>
      </c>
      <c r="AM47" s="650">
        <f t="shared" si="55"/>
        <v>0.18</v>
      </c>
      <c r="AN47" s="650">
        <f t="shared" si="55"/>
        <v>0.18</v>
      </c>
      <c r="AO47" s="650">
        <f t="shared" si="55"/>
        <v>0.18</v>
      </c>
      <c r="AP47" s="650">
        <f t="shared" si="55"/>
        <v>0.18</v>
      </c>
      <c r="AQ47" s="650">
        <f t="shared" si="55"/>
        <v>0.18</v>
      </c>
      <c r="AR47" s="650">
        <f t="shared" si="55"/>
        <v>0.18</v>
      </c>
      <c r="AS47" s="650">
        <f t="shared" si="55"/>
        <v>0.18</v>
      </c>
      <c r="AT47" s="650">
        <f t="shared" si="55"/>
        <v>0.18</v>
      </c>
      <c r="AU47" s="650">
        <f t="shared" si="55"/>
        <v>0.18</v>
      </c>
      <c r="AV47" s="650">
        <f t="shared" si="55"/>
        <v>0.18</v>
      </c>
      <c r="AW47" s="650">
        <f t="shared" si="55"/>
        <v>0.18</v>
      </c>
      <c r="AX47" s="650">
        <f t="shared" si="55"/>
        <v>0.18</v>
      </c>
      <c r="AY47" s="650">
        <f t="shared" si="55"/>
        <v>0.18</v>
      </c>
      <c r="AZ47" s="650">
        <f t="shared" si="55"/>
        <v>0.18</v>
      </c>
      <c r="BA47" s="650">
        <f t="shared" ref="BA47:BL47" si="56">IF($C$47="Target",INDEX($E$101:$BL$101,0,0),IF($C$47="Base",INDEX($E$102:$BL$102,0,0),IF($C$47="High",INDEX($E$103:$BL$103,0,0),IF($C$47="Medium",INDEX($E$104:$BL$104,0,0),IF($C$47="Worst",INDEX($E$105:$BL$105,0,0),INDEX($E$106:$BL$106,0,0))))))</f>
        <v>0.18</v>
      </c>
      <c r="BB47" s="650">
        <f t="shared" si="56"/>
        <v>0.18</v>
      </c>
      <c r="BC47" s="650">
        <f t="shared" si="56"/>
        <v>0.18</v>
      </c>
      <c r="BD47" s="650">
        <f t="shared" si="56"/>
        <v>0.18</v>
      </c>
      <c r="BE47" s="650">
        <f t="shared" si="56"/>
        <v>0.18</v>
      </c>
      <c r="BF47" s="650">
        <f t="shared" si="56"/>
        <v>0.18</v>
      </c>
      <c r="BG47" s="650">
        <f t="shared" si="56"/>
        <v>0.18</v>
      </c>
      <c r="BH47" s="650">
        <f t="shared" si="56"/>
        <v>0.18</v>
      </c>
      <c r="BI47" s="650">
        <f t="shared" si="56"/>
        <v>0.18</v>
      </c>
      <c r="BJ47" s="650">
        <f t="shared" si="56"/>
        <v>0.18</v>
      </c>
      <c r="BK47" s="650">
        <f t="shared" si="56"/>
        <v>0.18</v>
      </c>
      <c r="BL47" s="650">
        <f t="shared" si="56"/>
        <v>0.18</v>
      </c>
    </row>
    <row r="48" spans="2:64" x14ac:dyDescent="0.25">
      <c r="B48" s="163" t="s">
        <v>836</v>
      </c>
      <c r="C48" s="570" t="s">
        <v>492</v>
      </c>
      <c r="E48" s="1123">
        <f t="shared" ref="E48:AZ48" si="57">IF($C$48="Target",INDEX($E$127:$AZ$127,0,0),IF($C$48="Base",INDEX($E$128:$AZ$128,0,0),IF($C$48="High",INDEX($E$129:$AZ$129,0,0),IF($C$48="Medium",INDEX($E$130:$AZ$130,0,0),IF($C$48="Worst",INDEX($E$131:$AZ$131,0,0),INDEX($E$132:$AZ$132,0,0))))))</f>
        <v>91250.8</v>
      </c>
      <c r="F48" s="1123">
        <f t="shared" si="57"/>
        <v>137787.19999999998</v>
      </c>
      <c r="G48" s="1123">
        <f t="shared" si="57"/>
        <v>162742.02000000002</v>
      </c>
      <c r="H48" s="1123">
        <f t="shared" si="57"/>
        <v>151877.41</v>
      </c>
      <c r="I48" s="1123">
        <f t="shared" si="57"/>
        <v>115310.32</v>
      </c>
      <c r="J48" s="1123">
        <f t="shared" si="57"/>
        <v>133316.34</v>
      </c>
      <c r="K48" s="1123">
        <f t="shared" si="57"/>
        <v>125631.40000000001</v>
      </c>
      <c r="L48" s="1123">
        <f t="shared" si="57"/>
        <v>142464.76</v>
      </c>
      <c r="M48" s="1123">
        <f t="shared" si="57"/>
        <v>143788.80000000005</v>
      </c>
      <c r="N48" s="1123">
        <f t="shared" si="57"/>
        <v>156742.78</v>
      </c>
      <c r="O48" s="1123">
        <f t="shared" si="57"/>
        <v>88581.16</v>
      </c>
      <c r="P48" s="1123">
        <f t="shared" si="57"/>
        <v>60219.11</v>
      </c>
      <c r="Q48" s="1123">
        <f t="shared" si="57"/>
        <v>253256.75</v>
      </c>
      <c r="R48" s="1123">
        <f t="shared" si="57"/>
        <v>176428.62999999998</v>
      </c>
      <c r="S48" s="1123">
        <f t="shared" si="57"/>
        <v>245214.31</v>
      </c>
      <c r="T48" s="1123">
        <f t="shared" si="57"/>
        <v>235310.52000000002</v>
      </c>
      <c r="U48" s="1123">
        <f t="shared" si="57"/>
        <v>270919.63</v>
      </c>
      <c r="V48" s="1123">
        <f t="shared" si="57"/>
        <v>441594.77</v>
      </c>
      <c r="W48" s="1123">
        <f t="shared" si="57"/>
        <v>690294.7</v>
      </c>
      <c r="X48" s="1123">
        <f t="shared" si="57"/>
        <v>648530.91</v>
      </c>
      <c r="Y48" s="1123">
        <f t="shared" si="57"/>
        <v>424936.93</v>
      </c>
      <c r="Z48" s="1123">
        <f t="shared" si="57"/>
        <v>380685.58</v>
      </c>
      <c r="AA48" s="1123">
        <f t="shared" si="57"/>
        <v>414441.6</v>
      </c>
      <c r="AB48" s="1123">
        <f t="shared" si="57"/>
        <v>336322.19</v>
      </c>
      <c r="AC48" s="1123">
        <f t="shared" si="57"/>
        <v>315411.66000000003</v>
      </c>
      <c r="AD48" s="1123">
        <f t="shared" si="57"/>
        <v>313464.46000000002</v>
      </c>
      <c r="AE48" s="1123">
        <f t="shared" si="57"/>
        <v>511447.38</v>
      </c>
      <c r="AF48" s="649">
        <f t="shared" si="57"/>
        <v>565000</v>
      </c>
      <c r="AG48" s="649">
        <f t="shared" si="57"/>
        <v>570000</v>
      </c>
      <c r="AH48" s="649">
        <f t="shared" si="57"/>
        <v>500000</v>
      </c>
      <c r="AI48" s="649">
        <f t="shared" si="57"/>
        <v>450000</v>
      </c>
      <c r="AJ48" s="649">
        <f t="shared" si="57"/>
        <v>400000</v>
      </c>
      <c r="AK48" s="649">
        <f t="shared" si="57"/>
        <v>400000</v>
      </c>
      <c r="AL48" s="649">
        <f t="shared" si="57"/>
        <v>369675</v>
      </c>
      <c r="AM48" s="649">
        <f t="shared" si="57"/>
        <v>369675</v>
      </c>
      <c r="AN48" s="649">
        <f t="shared" si="57"/>
        <v>369675</v>
      </c>
      <c r="AO48" s="649">
        <f t="shared" si="57"/>
        <v>400000</v>
      </c>
      <c r="AP48" s="649">
        <f t="shared" si="57"/>
        <v>400000</v>
      </c>
      <c r="AQ48" s="649">
        <f t="shared" si="57"/>
        <v>400000</v>
      </c>
      <c r="AR48" s="649">
        <f t="shared" si="57"/>
        <v>400000</v>
      </c>
      <c r="AS48" s="649">
        <f t="shared" si="57"/>
        <v>400000</v>
      </c>
      <c r="AT48" s="649">
        <f t="shared" si="57"/>
        <v>400000</v>
      </c>
      <c r="AU48" s="649">
        <f t="shared" si="57"/>
        <v>400000</v>
      </c>
      <c r="AV48" s="649">
        <f t="shared" si="57"/>
        <v>400000</v>
      </c>
      <c r="AW48" s="649">
        <f t="shared" si="57"/>
        <v>400000</v>
      </c>
      <c r="AX48" s="649">
        <f t="shared" si="57"/>
        <v>400000</v>
      </c>
      <c r="AY48" s="649">
        <f t="shared" si="57"/>
        <v>400000</v>
      </c>
      <c r="AZ48" s="649">
        <f t="shared" si="57"/>
        <v>400000</v>
      </c>
      <c r="BA48" s="649">
        <f t="shared" ref="BA48:BL48" si="58">IF($C$48="Target",INDEX($E$127:$BL$127,0,0),IF($C$48="Base",INDEX($E$128:$BL$128,0,0),IF($C$48="High",INDEX($E$129:$BL$129,0,0),IF($C$48="Medium",INDEX($E$130:$BL$130,0,0),IF($C$48="Worst",INDEX($E$131:$BL$131,0,0),INDEX($E$132:$BL$132,0,0))))))</f>
        <v>400000</v>
      </c>
      <c r="BB48" s="649">
        <f t="shared" si="58"/>
        <v>400000</v>
      </c>
      <c r="BC48" s="649">
        <f t="shared" si="58"/>
        <v>400000</v>
      </c>
      <c r="BD48" s="649">
        <f t="shared" si="58"/>
        <v>400000</v>
      </c>
      <c r="BE48" s="649">
        <f t="shared" si="58"/>
        <v>400000</v>
      </c>
      <c r="BF48" s="649">
        <f t="shared" si="58"/>
        <v>400000</v>
      </c>
      <c r="BG48" s="649">
        <f t="shared" si="58"/>
        <v>400000</v>
      </c>
      <c r="BH48" s="649">
        <f t="shared" si="58"/>
        <v>400000</v>
      </c>
      <c r="BI48" s="649">
        <f t="shared" si="58"/>
        <v>400000</v>
      </c>
      <c r="BJ48" s="649">
        <f t="shared" si="58"/>
        <v>400000</v>
      </c>
      <c r="BK48" s="649">
        <f t="shared" si="58"/>
        <v>400000</v>
      </c>
      <c r="BL48" s="649">
        <f t="shared" si="58"/>
        <v>400000</v>
      </c>
    </row>
    <row r="49" spans="2:82" x14ac:dyDescent="0.25">
      <c r="B49" s="163" t="s">
        <v>1126</v>
      </c>
      <c r="C49" s="570" t="s">
        <v>1367</v>
      </c>
      <c r="E49" s="1124">
        <f>IF($C$49="Target",INDEX($E$153:$AZ$153,0,0),IF($C$49="Base",INDEX($E$154:$AZ$154,0,0),IF($C$49="High",INDEX($E$155:$AZ$155,0,0),IF($C$49="Medium",INDEX($E$156:$AZ$156,0,0),IF($C$49="Worst",INDEX($E$157:$AZ$157,0,0),INDEX($E$158:$AZ$158,0,0))))))</f>
        <v>0.14132493099317739</v>
      </c>
      <c r="F49" s="1124">
        <f t="shared" ref="F49:BL49" si="59">IF($C$49="Target",INDEX($E$153:$AZ$153,0,0),IF($C$49="Base",INDEX($E$154:$AZ$154,0,0),IF($C$49="High",INDEX($E$155:$AZ$155,0,0),IF($C$49="Medium",INDEX($E$156:$AZ$156,0,0),IF($C$49="Worst",INDEX($E$157:$AZ$157,0,0),INDEX($E$158:$AZ$158,0,0))))))</f>
        <v>1.304623602484472</v>
      </c>
      <c r="G49" s="1124">
        <f t="shared" si="59"/>
        <v>1.1458493049600129</v>
      </c>
      <c r="H49" s="1124">
        <f t="shared" si="59"/>
        <v>1.1388440525895001</v>
      </c>
      <c r="I49" s="1124">
        <f t="shared" si="59"/>
        <v>1.176467876628438</v>
      </c>
      <c r="J49" s="1124">
        <f t="shared" si="59"/>
        <v>1.2708042824491761</v>
      </c>
      <c r="K49" s="1124">
        <f t="shared" si="59"/>
        <v>1.320860252564013</v>
      </c>
      <c r="L49" s="1124">
        <f t="shared" si="59"/>
        <v>0.9912529327970504</v>
      </c>
      <c r="M49" s="1124">
        <f t="shared" si="59"/>
        <v>0.80420602357049331</v>
      </c>
      <c r="N49" s="1124">
        <f t="shared" si="59"/>
        <v>1.1211219056203781</v>
      </c>
      <c r="O49" s="1124">
        <f t="shared" si="59"/>
        <v>1.158293226971135</v>
      </c>
      <c r="P49" s="1124">
        <f t="shared" si="59"/>
        <v>2.4356767842493849</v>
      </c>
      <c r="Q49" s="1124">
        <f t="shared" si="59"/>
        <v>2.2374084345562721</v>
      </c>
      <c r="R49" s="1124">
        <f t="shared" si="59"/>
        <v>1.68967549379313</v>
      </c>
      <c r="S49" s="1124">
        <f t="shared" si="59"/>
        <v>1.8099649083270291</v>
      </c>
      <c r="T49" s="1124">
        <f t="shared" si="59"/>
        <v>1.7363566482111721</v>
      </c>
      <c r="U49" s="1124">
        <f t="shared" si="59"/>
        <v>1.649446769320257</v>
      </c>
      <c r="V49" s="1124">
        <f t="shared" si="59"/>
        <v>3.1118828072118641</v>
      </c>
      <c r="W49" s="1124">
        <f t="shared" si="59"/>
        <v>3.3552658850894592</v>
      </c>
      <c r="X49" s="1124">
        <f t="shared" si="59"/>
        <v>3.4670476518544029</v>
      </c>
      <c r="Y49" s="1124">
        <f t="shared" si="59"/>
        <v>1.9734709917302391</v>
      </c>
      <c r="Z49" s="1124">
        <f t="shared" si="59"/>
        <v>2.6965573811614201</v>
      </c>
      <c r="AA49" s="1124">
        <f t="shared" si="59"/>
        <v>2.6383951370252912</v>
      </c>
      <c r="AB49" s="1124">
        <f t="shared" si="59"/>
        <v>2.188580576307364</v>
      </c>
      <c r="AC49" s="1124">
        <f t="shared" si="59"/>
        <v>2.13</v>
      </c>
      <c r="AD49" s="1124">
        <f t="shared" si="59"/>
        <v>2.5</v>
      </c>
      <c r="AE49" s="1124">
        <f t="shared" si="59"/>
        <v>2.73</v>
      </c>
      <c r="AF49" s="1024">
        <f t="shared" si="59"/>
        <v>3.15</v>
      </c>
      <c r="AG49" s="1024">
        <f t="shared" si="59"/>
        <v>3.15</v>
      </c>
      <c r="AH49" s="1024">
        <f t="shared" si="59"/>
        <v>3.15</v>
      </c>
      <c r="AI49" s="1024">
        <f t="shared" si="59"/>
        <v>3.15</v>
      </c>
      <c r="AJ49" s="1024">
        <f t="shared" si="59"/>
        <v>3.15</v>
      </c>
      <c r="AK49" s="1024">
        <f t="shared" si="59"/>
        <v>3.15</v>
      </c>
      <c r="AL49" s="1024">
        <f t="shared" si="59"/>
        <v>2.56</v>
      </c>
      <c r="AM49" s="1024">
        <f t="shared" si="59"/>
        <v>2.56</v>
      </c>
      <c r="AN49" s="1024">
        <f t="shared" si="59"/>
        <v>2.56</v>
      </c>
      <c r="AO49" s="1024">
        <f t="shared" si="59"/>
        <v>2.56</v>
      </c>
      <c r="AP49" s="1024">
        <f t="shared" si="59"/>
        <v>2.56</v>
      </c>
      <c r="AQ49" s="1024">
        <f t="shared" si="59"/>
        <v>2.56</v>
      </c>
      <c r="AR49" s="1024">
        <f t="shared" si="59"/>
        <v>2.56</v>
      </c>
      <c r="AS49" s="1024">
        <f t="shared" si="59"/>
        <v>2.56</v>
      </c>
      <c r="AT49" s="1024">
        <f t="shared" si="59"/>
        <v>2.56</v>
      </c>
      <c r="AU49" s="1024">
        <f t="shared" si="59"/>
        <v>2.56</v>
      </c>
      <c r="AV49" s="1024">
        <f t="shared" si="59"/>
        <v>2.56</v>
      </c>
      <c r="AW49" s="1024">
        <f t="shared" si="59"/>
        <v>2.56</v>
      </c>
      <c r="AX49" s="1024">
        <f t="shared" si="59"/>
        <v>2.56</v>
      </c>
      <c r="AY49" s="1024">
        <f t="shared" si="59"/>
        <v>2.56</v>
      </c>
      <c r="AZ49" s="1024">
        <f t="shared" si="59"/>
        <v>2.56</v>
      </c>
      <c r="BA49" s="1024" t="e">
        <f t="shared" si="59"/>
        <v>#VALUE!</v>
      </c>
      <c r="BB49" s="1024" t="e">
        <f t="shared" si="59"/>
        <v>#VALUE!</v>
      </c>
      <c r="BC49" s="1024" t="e">
        <f t="shared" si="59"/>
        <v>#VALUE!</v>
      </c>
      <c r="BD49" s="1024" t="e">
        <f t="shared" si="59"/>
        <v>#VALUE!</v>
      </c>
      <c r="BE49" s="1024" t="e">
        <f t="shared" si="59"/>
        <v>#VALUE!</v>
      </c>
      <c r="BF49" s="1024" t="e">
        <f t="shared" si="59"/>
        <v>#VALUE!</v>
      </c>
      <c r="BG49" s="1024" t="e">
        <f t="shared" si="59"/>
        <v>#VALUE!</v>
      </c>
      <c r="BH49" s="1024" t="e">
        <f t="shared" si="59"/>
        <v>#VALUE!</v>
      </c>
      <c r="BI49" s="1024" t="e">
        <f t="shared" si="59"/>
        <v>#VALUE!</v>
      </c>
      <c r="BJ49" s="1024" t="e">
        <f t="shared" si="59"/>
        <v>#VALUE!</v>
      </c>
      <c r="BK49" s="1024" t="e">
        <f t="shared" si="59"/>
        <v>#VALUE!</v>
      </c>
      <c r="BL49" s="1024" t="e">
        <f t="shared" si="59"/>
        <v>#VALUE!</v>
      </c>
    </row>
    <row r="50" spans="2:82" x14ac:dyDescent="0.25">
      <c r="B50" s="163" t="s">
        <v>837</v>
      </c>
      <c r="E50" s="256">
        <f>(((E48/E49)*E46)*E47)</f>
        <v>4522.5134241917012</v>
      </c>
      <c r="F50" s="256">
        <f t="shared" ref="F50:BA50" si="60">(((F48/F49)*F46)*F47)</f>
        <v>953.89397533837291</v>
      </c>
      <c r="G50" s="256">
        <f t="shared" si="60"/>
        <v>1380.5484428631873</v>
      </c>
      <c r="H50" s="256">
        <f t="shared" si="60"/>
        <v>1381.5123845377782</v>
      </c>
      <c r="I50" s="256">
        <f t="shared" si="60"/>
        <v>1136.2576679468675</v>
      </c>
      <c r="J50" s="256">
        <f t="shared" si="60"/>
        <v>895.7560895421127</v>
      </c>
      <c r="K50" s="256">
        <f t="shared" si="60"/>
        <v>753.18345465442872</v>
      </c>
      <c r="L50" s="256">
        <f t="shared" si="60"/>
        <v>1134.9652393542513</v>
      </c>
      <c r="M50" s="256">
        <f t="shared" si="60"/>
        <v>2201.9562055716879</v>
      </c>
      <c r="N50" s="256">
        <f t="shared" si="60"/>
        <v>2061.7348900537027</v>
      </c>
      <c r="O50" s="256">
        <f t="shared" si="60"/>
        <v>1056.8084421819217</v>
      </c>
      <c r="P50" s="256">
        <f t="shared" si="60"/>
        <v>297.16200463658851</v>
      </c>
      <c r="Q50" s="256">
        <f t="shared" si="60"/>
        <v>1472.6456093377346</v>
      </c>
      <c r="R50" s="256">
        <f t="shared" si="60"/>
        <v>1460.407834063953</v>
      </c>
      <c r="S50" s="256">
        <f t="shared" si="60"/>
        <v>1927.267606258463</v>
      </c>
      <c r="T50" s="256">
        <f t="shared" si="60"/>
        <v>2080.1650965220988</v>
      </c>
      <c r="U50" s="256">
        <f t="shared" si="60"/>
        <v>3005.3967661718798</v>
      </c>
      <c r="V50" s="256">
        <f t="shared" si="60"/>
        <v>1897.3598843585014</v>
      </c>
      <c r="W50" s="256">
        <f t="shared" si="60"/>
        <v>1921.8782579254889</v>
      </c>
      <c r="X50" s="256">
        <f t="shared" si="60"/>
        <v>2277.5629282686168</v>
      </c>
      <c r="Y50" s="256">
        <f t="shared" si="60"/>
        <v>2737.6191472566861</v>
      </c>
      <c r="Z50" s="256">
        <f t="shared" si="60"/>
        <v>1413.1395835602386</v>
      </c>
      <c r="AA50" s="256">
        <f t="shared" si="60"/>
        <v>1680.0754896087574</v>
      </c>
      <c r="AB50" s="256">
        <f t="shared" si="60"/>
        <v>1726.5007190612196</v>
      </c>
      <c r="AC50" s="256">
        <f t="shared" si="60"/>
        <v>1783.2442348673242</v>
      </c>
      <c r="AD50" s="256">
        <f t="shared" si="60"/>
        <v>1588.2190947614401</v>
      </c>
      <c r="AE50" s="256">
        <f t="shared" si="60"/>
        <v>2254.205264066813</v>
      </c>
      <c r="AF50" s="573">
        <f t="shared" si="60"/>
        <v>2152.3809523809523</v>
      </c>
      <c r="AG50" s="573">
        <f t="shared" si="60"/>
        <v>2171.4285714285711</v>
      </c>
      <c r="AH50" s="573">
        <f t="shared" si="60"/>
        <v>1904.7619047619046</v>
      </c>
      <c r="AI50" s="573">
        <f t="shared" si="60"/>
        <v>1714.2857142857144</v>
      </c>
      <c r="AJ50" s="573">
        <f t="shared" si="60"/>
        <v>1523.8095238095239</v>
      </c>
      <c r="AK50" s="573">
        <f t="shared" si="60"/>
        <v>1523.8095238095239</v>
      </c>
      <c r="AL50" s="573">
        <f t="shared" si="60"/>
        <v>2250.1943964843745</v>
      </c>
      <c r="AM50" s="573">
        <f t="shared" si="60"/>
        <v>2250.1943964843745</v>
      </c>
      <c r="AN50" s="573">
        <f t="shared" si="60"/>
        <v>2250.1943964843745</v>
      </c>
      <c r="AO50" s="573">
        <f t="shared" si="60"/>
        <v>2250</v>
      </c>
      <c r="AP50" s="573">
        <f t="shared" si="60"/>
        <v>2250</v>
      </c>
      <c r="AQ50" s="573">
        <f t="shared" si="60"/>
        <v>2250</v>
      </c>
      <c r="AR50" s="573">
        <f t="shared" si="60"/>
        <v>2250</v>
      </c>
      <c r="AS50" s="573">
        <f t="shared" si="60"/>
        <v>2250</v>
      </c>
      <c r="AT50" s="573">
        <f t="shared" si="60"/>
        <v>2250</v>
      </c>
      <c r="AU50" s="573">
        <f t="shared" si="60"/>
        <v>2250</v>
      </c>
      <c r="AV50" s="573">
        <f t="shared" si="60"/>
        <v>2250</v>
      </c>
      <c r="AW50" s="573">
        <f t="shared" si="60"/>
        <v>2250</v>
      </c>
      <c r="AX50" s="573">
        <f t="shared" si="60"/>
        <v>2250</v>
      </c>
      <c r="AY50" s="573">
        <f t="shared" si="60"/>
        <v>2250</v>
      </c>
      <c r="AZ50" s="573">
        <f t="shared" si="60"/>
        <v>2250</v>
      </c>
      <c r="BA50" s="573" t="e">
        <f t="shared" si="60"/>
        <v>#VALUE!</v>
      </c>
      <c r="BB50" s="573" t="e">
        <f t="shared" ref="BB50:BL50" si="61">BB46*BB47</f>
        <v>#VALUE!</v>
      </c>
      <c r="BC50" s="573" t="e">
        <f t="shared" si="61"/>
        <v>#VALUE!</v>
      </c>
      <c r="BD50" s="573" t="e">
        <f t="shared" si="61"/>
        <v>#VALUE!</v>
      </c>
      <c r="BE50" s="573" t="e">
        <f t="shared" si="61"/>
        <v>#VALUE!</v>
      </c>
      <c r="BF50" s="573" t="e">
        <f t="shared" si="61"/>
        <v>#VALUE!</v>
      </c>
      <c r="BG50" s="573" t="e">
        <f t="shared" si="61"/>
        <v>#VALUE!</v>
      </c>
      <c r="BH50" s="573" t="e">
        <f t="shared" si="61"/>
        <v>#VALUE!</v>
      </c>
      <c r="BI50" s="573" t="e">
        <f t="shared" si="61"/>
        <v>#VALUE!</v>
      </c>
      <c r="BJ50" s="573" t="e">
        <f t="shared" si="61"/>
        <v>#VALUE!</v>
      </c>
      <c r="BK50" s="573" t="e">
        <f t="shared" si="61"/>
        <v>#VALUE!</v>
      </c>
      <c r="BL50" s="573" t="e">
        <f t="shared" si="61"/>
        <v>#VALUE!</v>
      </c>
    </row>
    <row r="51" spans="2:82" x14ac:dyDescent="0.25">
      <c r="B51" s="163" t="s">
        <v>835</v>
      </c>
      <c r="E51" s="256">
        <f>((E48/E49)*E46)</f>
        <v>20566.547609902012</v>
      </c>
      <c r="F51" s="256">
        <f t="shared" ref="F51:BL51" si="62">((F48/F49)*F46)</f>
        <v>3775.4886664777614</v>
      </c>
      <c r="G51" s="256">
        <f t="shared" si="62"/>
        <v>5066.6947517124781</v>
      </c>
      <c r="H51" s="256">
        <f t="shared" si="62"/>
        <v>5015.7055177449392</v>
      </c>
      <c r="I51" s="256">
        <f t="shared" si="62"/>
        <v>4505.5772805393153</v>
      </c>
      <c r="J51" s="256">
        <f t="shared" si="62"/>
        <v>4112.9222446567373</v>
      </c>
      <c r="K51" s="256">
        <f t="shared" si="62"/>
        <v>3240.9962003893515</v>
      </c>
      <c r="L51" s="256">
        <f t="shared" si="62"/>
        <v>4550.8907459432858</v>
      </c>
      <c r="M51" s="256">
        <f t="shared" si="62"/>
        <v>10084.529071771314</v>
      </c>
      <c r="N51" s="256">
        <f t="shared" si="62"/>
        <v>9035.9652324240924</v>
      </c>
      <c r="O51" s="256">
        <f t="shared" si="62"/>
        <v>4891.8069868258799</v>
      </c>
      <c r="P51" s="256">
        <f t="shared" si="62"/>
        <v>1342.4472076373795</v>
      </c>
      <c r="Q51" s="256">
        <f t="shared" si="62"/>
        <v>6812.9442485185891</v>
      </c>
      <c r="R51" s="256">
        <f t="shared" si="62"/>
        <v>23780.809025367857</v>
      </c>
      <c r="S51" s="256">
        <f t="shared" si="62"/>
        <v>10094.972585187372</v>
      </c>
      <c r="T51" s="256">
        <f t="shared" si="62"/>
        <v>9567.1613658225087</v>
      </c>
      <c r="U51" s="256">
        <f t="shared" si="62"/>
        <v>12872.345533880789</v>
      </c>
      <c r="V51" s="256">
        <f t="shared" si="62"/>
        <v>9338.9206461291633</v>
      </c>
      <c r="W51" s="256">
        <f t="shared" si="62"/>
        <v>11859.395103784114</v>
      </c>
      <c r="X51" s="256">
        <f t="shared" si="62"/>
        <v>12766.845359514165</v>
      </c>
      <c r="Y51" s="256">
        <f t="shared" si="62"/>
        <v>16346.775461762243</v>
      </c>
      <c r="Z51" s="256">
        <f t="shared" si="62"/>
        <v>9056.2059597874722</v>
      </c>
      <c r="AA51" s="256">
        <f t="shared" si="62"/>
        <v>11430.382588691895</v>
      </c>
      <c r="AB51" s="256">
        <f t="shared" si="62"/>
        <v>10980.41644701644</v>
      </c>
      <c r="AC51" s="256">
        <f t="shared" si="62"/>
        <v>10410.065585915494</v>
      </c>
      <c r="AD51" s="256">
        <f t="shared" si="62"/>
        <v>8049.7673328000001</v>
      </c>
      <c r="AE51" s="256">
        <f t="shared" si="62"/>
        <v>11765.163173626373</v>
      </c>
      <c r="AF51" s="573">
        <f t="shared" si="62"/>
        <v>14349.20634920635</v>
      </c>
      <c r="AG51" s="573">
        <f t="shared" si="62"/>
        <v>14476.190476190475</v>
      </c>
      <c r="AH51" s="573">
        <f t="shared" si="62"/>
        <v>12698.412698412698</v>
      </c>
      <c r="AI51" s="573">
        <f t="shared" si="62"/>
        <v>11428.571428571429</v>
      </c>
      <c r="AJ51" s="573">
        <f t="shared" si="62"/>
        <v>10158.730158730159</v>
      </c>
      <c r="AK51" s="573">
        <f t="shared" si="62"/>
        <v>10158.730158730159</v>
      </c>
      <c r="AL51" s="573">
        <f>((AL48/AL49)*AL46)</f>
        <v>12501.079980468749</v>
      </c>
      <c r="AM51" s="573">
        <f t="shared" si="62"/>
        <v>12501.079980468749</v>
      </c>
      <c r="AN51" s="573">
        <f t="shared" si="62"/>
        <v>12501.079980468749</v>
      </c>
      <c r="AO51" s="573">
        <f t="shared" si="62"/>
        <v>12500</v>
      </c>
      <c r="AP51" s="573">
        <f t="shared" si="62"/>
        <v>12500</v>
      </c>
      <c r="AQ51" s="573">
        <f t="shared" si="62"/>
        <v>12500</v>
      </c>
      <c r="AR51" s="573">
        <f t="shared" si="62"/>
        <v>12500</v>
      </c>
      <c r="AS51" s="573">
        <f t="shared" si="62"/>
        <v>12500</v>
      </c>
      <c r="AT51" s="573">
        <f t="shared" si="62"/>
        <v>12500</v>
      </c>
      <c r="AU51" s="573">
        <f t="shared" si="62"/>
        <v>12500</v>
      </c>
      <c r="AV51" s="573">
        <f t="shared" si="62"/>
        <v>12500</v>
      </c>
      <c r="AW51" s="573">
        <f t="shared" si="62"/>
        <v>12500</v>
      </c>
      <c r="AX51" s="573">
        <f t="shared" si="62"/>
        <v>12500</v>
      </c>
      <c r="AY51" s="573">
        <f t="shared" si="62"/>
        <v>12500</v>
      </c>
      <c r="AZ51" s="573">
        <f t="shared" si="62"/>
        <v>12500</v>
      </c>
      <c r="BA51" s="573" t="e">
        <f t="shared" si="62"/>
        <v>#VALUE!</v>
      </c>
      <c r="BB51" s="573" t="e">
        <f t="shared" si="62"/>
        <v>#VALUE!</v>
      </c>
      <c r="BC51" s="573" t="e">
        <f t="shared" si="62"/>
        <v>#VALUE!</v>
      </c>
      <c r="BD51" s="573" t="e">
        <f t="shared" si="62"/>
        <v>#VALUE!</v>
      </c>
      <c r="BE51" s="573" t="e">
        <f t="shared" si="62"/>
        <v>#VALUE!</v>
      </c>
      <c r="BF51" s="573" t="e">
        <f t="shared" si="62"/>
        <v>#VALUE!</v>
      </c>
      <c r="BG51" s="573" t="e">
        <f t="shared" si="62"/>
        <v>#VALUE!</v>
      </c>
      <c r="BH51" s="573" t="e">
        <f t="shared" si="62"/>
        <v>#VALUE!</v>
      </c>
      <c r="BI51" s="573" t="e">
        <f t="shared" si="62"/>
        <v>#VALUE!</v>
      </c>
      <c r="BJ51" s="573" t="e">
        <f t="shared" si="62"/>
        <v>#VALUE!</v>
      </c>
      <c r="BK51" s="573" t="e">
        <f t="shared" si="62"/>
        <v>#VALUE!</v>
      </c>
      <c r="BL51" s="573" t="e">
        <f t="shared" si="62"/>
        <v>#VALUE!</v>
      </c>
    </row>
    <row r="52" spans="2:82" s="40" customFormat="1" x14ac:dyDescent="0.25">
      <c r="B52" s="872" t="s">
        <v>841</v>
      </c>
      <c r="C52" s="873"/>
      <c r="D52" s="873"/>
      <c r="E52" s="873">
        <f>E48/E50</f>
        <v>20.177010312868017</v>
      </c>
      <c r="F52" s="873">
        <f t="shared" ref="F52:AZ52" si="63">F48/F50</f>
        <v>144.44708066336514</v>
      </c>
      <c r="G52" s="873">
        <f t="shared" si="63"/>
        <v>117.88215099680338</v>
      </c>
      <c r="H52" s="873">
        <f t="shared" si="63"/>
        <v>109.9356123765873</v>
      </c>
      <c r="I52" s="873">
        <f t="shared" si="63"/>
        <v>101.48254507127518</v>
      </c>
      <c r="J52" s="873">
        <f t="shared" si="63"/>
        <v>148.83107305265193</v>
      </c>
      <c r="K52" s="873">
        <f t="shared" si="63"/>
        <v>166.80053076529873</v>
      </c>
      <c r="L52" s="873">
        <f t="shared" si="63"/>
        <v>125.52345663119746</v>
      </c>
      <c r="M52" s="873">
        <f t="shared" si="63"/>
        <v>65.300481288486182</v>
      </c>
      <c r="N52" s="873">
        <f t="shared" si="63"/>
        <v>76.024701699604677</v>
      </c>
      <c r="O52" s="873">
        <f t="shared" si="63"/>
        <v>83.819504523556233</v>
      </c>
      <c r="P52" s="873">
        <f t="shared" si="63"/>
        <v>202.64740801450844</v>
      </c>
      <c r="Q52" s="873">
        <f t="shared" si="63"/>
        <v>171.97399591195088</v>
      </c>
      <c r="R52" s="873">
        <f t="shared" si="63"/>
        <v>120.80778114497156</v>
      </c>
      <c r="S52" s="873">
        <f t="shared" si="63"/>
        <v>127.2341781720969</v>
      </c>
      <c r="T52" s="873">
        <f t="shared" si="63"/>
        <v>113.12107889581647</v>
      </c>
      <c r="U52" s="873">
        <f t="shared" si="63"/>
        <v>90.144380618697326</v>
      </c>
      <c r="V52" s="873">
        <f t="shared" si="63"/>
        <v>232.74170263661051</v>
      </c>
      <c r="W52" s="873">
        <f t="shared" si="63"/>
        <v>359.17712121116188</v>
      </c>
      <c r="X52" s="873">
        <f t="shared" si="63"/>
        <v>284.74774591321938</v>
      </c>
      <c r="Y52" s="873">
        <f t="shared" si="63"/>
        <v>155.22134641183411</v>
      </c>
      <c r="Z52" s="873">
        <f t="shared" si="63"/>
        <v>269.3899346028561</v>
      </c>
      <c r="AA52" s="873">
        <f t="shared" si="63"/>
        <v>246.68034416507786</v>
      </c>
      <c r="AB52" s="873">
        <f t="shared" si="63"/>
        <v>194.79991307670832</v>
      </c>
      <c r="AC52" s="873">
        <f t="shared" si="63"/>
        <v>176.87518839698762</v>
      </c>
      <c r="AD52" s="873">
        <f>AD48/AD50</f>
        <v>197.36852493080258</v>
      </c>
      <c r="AE52" s="873">
        <f t="shared" si="63"/>
        <v>226.88589550948768</v>
      </c>
      <c r="AF52" s="873">
        <f t="shared" si="63"/>
        <v>262.5</v>
      </c>
      <c r="AG52" s="873">
        <f t="shared" si="63"/>
        <v>262.50000000000006</v>
      </c>
      <c r="AH52" s="873">
        <f t="shared" si="63"/>
        <v>262.5</v>
      </c>
      <c r="AI52" s="873">
        <f t="shared" si="63"/>
        <v>262.5</v>
      </c>
      <c r="AJ52" s="873">
        <f t="shared" si="63"/>
        <v>262.5</v>
      </c>
      <c r="AK52" s="873">
        <f t="shared" si="63"/>
        <v>262.5</v>
      </c>
      <c r="AL52" s="873">
        <f t="shared" si="63"/>
        <v>164.28580596306139</v>
      </c>
      <c r="AM52" s="873">
        <f t="shared" si="63"/>
        <v>164.28580596306139</v>
      </c>
      <c r="AN52" s="873">
        <f t="shared" si="63"/>
        <v>164.28580596306139</v>
      </c>
      <c r="AO52" s="873">
        <f t="shared" si="63"/>
        <v>177.77777777777777</v>
      </c>
      <c r="AP52" s="873">
        <f t="shared" si="63"/>
        <v>177.77777777777777</v>
      </c>
      <c r="AQ52" s="873">
        <f t="shared" si="63"/>
        <v>177.77777777777777</v>
      </c>
      <c r="AR52" s="873">
        <f t="shared" si="63"/>
        <v>177.77777777777777</v>
      </c>
      <c r="AS52" s="873">
        <f t="shared" si="63"/>
        <v>177.77777777777777</v>
      </c>
      <c r="AT52" s="873">
        <f t="shared" si="63"/>
        <v>177.77777777777777</v>
      </c>
      <c r="AU52" s="873">
        <f t="shared" si="63"/>
        <v>177.77777777777777</v>
      </c>
      <c r="AV52" s="873">
        <f t="shared" si="63"/>
        <v>177.77777777777777</v>
      </c>
      <c r="AW52" s="873">
        <f t="shared" si="63"/>
        <v>177.77777777777777</v>
      </c>
      <c r="AX52" s="873">
        <f t="shared" si="63"/>
        <v>177.77777777777777</v>
      </c>
      <c r="AY52" s="873">
        <f t="shared" si="63"/>
        <v>177.77777777777777</v>
      </c>
      <c r="AZ52" s="873">
        <f t="shared" si="63"/>
        <v>177.77777777777777</v>
      </c>
      <c r="BA52" s="873" t="e">
        <f t="shared" ref="BA52:BL52" si="64">BA48/BA50</f>
        <v>#VALUE!</v>
      </c>
      <c r="BB52" s="873" t="e">
        <f t="shared" si="64"/>
        <v>#VALUE!</v>
      </c>
      <c r="BC52" s="873" t="e">
        <f t="shared" si="64"/>
        <v>#VALUE!</v>
      </c>
      <c r="BD52" s="873" t="e">
        <f t="shared" si="64"/>
        <v>#VALUE!</v>
      </c>
      <c r="BE52" s="873" t="e">
        <f t="shared" si="64"/>
        <v>#VALUE!</v>
      </c>
      <c r="BF52" s="873" t="e">
        <f t="shared" si="64"/>
        <v>#VALUE!</v>
      </c>
      <c r="BG52" s="873" t="e">
        <f t="shared" si="64"/>
        <v>#VALUE!</v>
      </c>
      <c r="BH52" s="873" t="e">
        <f t="shared" si="64"/>
        <v>#VALUE!</v>
      </c>
      <c r="BI52" s="873" t="e">
        <f t="shared" si="64"/>
        <v>#VALUE!</v>
      </c>
      <c r="BJ52" s="873" t="e">
        <f t="shared" si="64"/>
        <v>#VALUE!</v>
      </c>
      <c r="BK52" s="873" t="e">
        <f t="shared" si="64"/>
        <v>#VALUE!</v>
      </c>
      <c r="BL52" s="873" t="e">
        <f t="shared" si="64"/>
        <v>#VALUE!</v>
      </c>
    </row>
    <row r="53" spans="2:82" x14ac:dyDescent="0.25">
      <c r="E53" s="157"/>
    </row>
    <row r="54" spans="2:82" x14ac:dyDescent="0.25">
      <c r="AF54" s="157">
        <f>AF50/30</f>
        <v>71.746031746031747</v>
      </c>
      <c r="AG54" s="157">
        <f>AF54*26</f>
        <v>1865.3968253968255</v>
      </c>
    </row>
    <row r="55" spans="2:82" x14ac:dyDescent="0.25">
      <c r="B55" s="636" t="s">
        <v>838</v>
      </c>
    </row>
    <row r="56" spans="2:82" x14ac:dyDescent="0.25">
      <c r="B56" s="498" t="s">
        <v>839</v>
      </c>
      <c r="Y56" s="573"/>
      <c r="Z56" s="573"/>
      <c r="AA56" s="573"/>
      <c r="AB56" s="573"/>
      <c r="AC56" s="573"/>
      <c r="AD56" s="573"/>
      <c r="AE56" s="573"/>
      <c r="AF56" s="573"/>
      <c r="AG56" s="573"/>
      <c r="AH56" s="573"/>
      <c r="AI56" s="573"/>
      <c r="AJ56" s="573"/>
      <c r="AK56" s="573"/>
      <c r="AL56" s="573"/>
      <c r="AM56" s="573"/>
      <c r="AN56" s="573"/>
      <c r="AO56" s="573"/>
      <c r="AP56" s="573"/>
      <c r="AQ56" s="573"/>
      <c r="AR56" s="573"/>
      <c r="AS56" s="573"/>
      <c r="AT56" s="573"/>
      <c r="AU56" s="573"/>
      <c r="AV56" s="573"/>
      <c r="AW56" s="573"/>
      <c r="AX56" s="573"/>
      <c r="AY56" s="573"/>
      <c r="AZ56" s="573"/>
      <c r="BA56" s="573"/>
      <c r="BB56" s="573"/>
      <c r="BC56" s="573"/>
      <c r="BD56" s="573"/>
      <c r="BE56" s="573"/>
      <c r="BF56" s="573"/>
      <c r="BG56" s="573"/>
      <c r="BH56" s="573"/>
      <c r="BI56" s="573"/>
      <c r="BJ56" s="573"/>
      <c r="BK56" s="573"/>
      <c r="BL56" s="573"/>
      <c r="BM56" s="573"/>
      <c r="BN56" s="573"/>
      <c r="BO56" s="573"/>
      <c r="BP56" s="573"/>
      <c r="BQ56" s="573"/>
      <c r="BR56" s="573"/>
      <c r="BS56" s="573"/>
      <c r="BT56" s="573"/>
      <c r="BU56" s="573"/>
      <c r="BV56" s="573"/>
      <c r="BW56" s="573"/>
      <c r="BX56" s="573"/>
      <c r="BY56" s="573"/>
      <c r="BZ56" s="573"/>
      <c r="CA56" s="573"/>
      <c r="CB56" s="573"/>
      <c r="CC56" s="573"/>
      <c r="CD56" s="573"/>
    </row>
    <row r="57" spans="2:82" hidden="1" x14ac:dyDescent="0.25">
      <c r="B57" s="49" t="s">
        <v>817</v>
      </c>
      <c r="C57" s="434" t="s">
        <v>389</v>
      </c>
      <c r="D57" s="163" t="s">
        <v>823</v>
      </c>
      <c r="E57" s="637"/>
      <c r="F57" s="637"/>
      <c r="G57" s="637"/>
      <c r="H57" s="637"/>
      <c r="I57" s="637"/>
      <c r="J57" s="637"/>
      <c r="K57" s="637"/>
      <c r="L57" s="637"/>
      <c r="M57" s="637"/>
      <c r="N57" s="637"/>
      <c r="O57" s="637"/>
      <c r="P57" s="637"/>
      <c r="Q57" s="637"/>
      <c r="AB57" s="637"/>
      <c r="AC57" s="637"/>
      <c r="AD57" s="637"/>
      <c r="AE57" s="637"/>
      <c r="AF57" s="637"/>
      <c r="AG57" s="637"/>
      <c r="AH57" s="637"/>
      <c r="AI57" s="637"/>
      <c r="AJ57" s="637"/>
      <c r="AK57" s="637"/>
      <c r="AL57" s="637"/>
      <c r="AM57" s="637"/>
      <c r="AN57" s="637"/>
      <c r="AO57" s="637"/>
      <c r="AP57" s="637"/>
      <c r="AQ57" s="637"/>
      <c r="AR57" s="637"/>
      <c r="AS57" s="637"/>
      <c r="AT57" s="637"/>
      <c r="AU57" s="637"/>
      <c r="AV57" s="637"/>
      <c r="AW57" s="637"/>
      <c r="AX57" s="637"/>
      <c r="AY57" s="637"/>
      <c r="AZ57" s="637"/>
      <c r="BA57" s="637"/>
      <c r="BL57" s="637"/>
      <c r="BM57" s="573"/>
      <c r="BN57" s="573"/>
      <c r="BO57" s="573"/>
      <c r="BP57" s="573"/>
      <c r="BQ57" s="573"/>
      <c r="BR57" s="573"/>
      <c r="BS57" s="573"/>
      <c r="BT57" s="573"/>
      <c r="BU57" s="573"/>
      <c r="BV57" s="573"/>
      <c r="BW57" s="573"/>
      <c r="BX57" s="573"/>
      <c r="BY57" s="573"/>
      <c r="BZ57" s="573"/>
      <c r="CA57" s="573"/>
      <c r="CB57" s="573"/>
      <c r="CC57" s="573"/>
      <c r="CD57" s="573"/>
    </row>
    <row r="58" spans="2:82" hidden="1" x14ac:dyDescent="0.25">
      <c r="B58" s="498"/>
      <c r="C58" s="434" t="s">
        <v>390</v>
      </c>
      <c r="D58" s="163" t="s">
        <v>823</v>
      </c>
      <c r="E58" s="637"/>
      <c r="F58" s="637"/>
      <c r="G58" s="637"/>
      <c r="H58" s="637"/>
      <c r="I58" s="637"/>
      <c r="J58" s="637"/>
      <c r="K58" s="637"/>
      <c r="L58" s="637"/>
      <c r="M58" s="637"/>
      <c r="N58" s="637"/>
      <c r="O58" s="637"/>
      <c r="P58" s="637"/>
      <c r="Q58" s="637"/>
      <c r="AB58" s="637"/>
      <c r="AC58" s="637"/>
      <c r="AD58" s="637"/>
      <c r="AE58" s="637"/>
      <c r="AF58" s="637"/>
      <c r="AG58" s="637"/>
      <c r="AH58" s="637"/>
      <c r="AI58" s="637"/>
      <c r="AJ58" s="637"/>
      <c r="AK58" s="637"/>
      <c r="AL58" s="637"/>
      <c r="AM58" s="637"/>
      <c r="AN58" s="637"/>
      <c r="AO58" s="637"/>
      <c r="AP58" s="637"/>
      <c r="AQ58" s="637"/>
      <c r="AR58" s="637"/>
      <c r="AS58" s="637"/>
      <c r="AT58" s="637"/>
      <c r="AU58" s="637"/>
      <c r="AV58" s="637"/>
      <c r="AW58" s="637"/>
      <c r="AX58" s="637"/>
      <c r="AY58" s="637"/>
      <c r="AZ58" s="637"/>
      <c r="BA58" s="637"/>
      <c r="BL58" s="637"/>
      <c r="BM58" s="573"/>
      <c r="BN58" s="573"/>
      <c r="BO58" s="573"/>
      <c r="BP58" s="573"/>
      <c r="BQ58" s="573"/>
      <c r="BR58" s="573"/>
      <c r="BS58" s="573"/>
      <c r="BT58" s="573"/>
      <c r="BU58" s="573"/>
      <c r="BV58" s="573"/>
      <c r="BW58" s="573"/>
      <c r="BX58" s="573"/>
      <c r="BY58" s="573"/>
      <c r="BZ58" s="573"/>
      <c r="CA58" s="573"/>
      <c r="CB58" s="573"/>
      <c r="CC58" s="573"/>
      <c r="CD58" s="573"/>
    </row>
    <row r="59" spans="2:82" hidden="1" x14ac:dyDescent="0.25">
      <c r="B59" s="498"/>
      <c r="C59" s="434" t="s">
        <v>444</v>
      </c>
      <c r="D59" s="163" t="s">
        <v>823</v>
      </c>
      <c r="E59" s="637"/>
      <c r="F59" s="637"/>
      <c r="G59" s="637"/>
      <c r="H59" s="637"/>
      <c r="I59" s="637"/>
      <c r="J59" s="637"/>
      <c r="K59" s="637"/>
      <c r="L59" s="637"/>
      <c r="M59" s="637"/>
      <c r="N59" s="637"/>
      <c r="O59" s="637"/>
      <c r="P59" s="637"/>
      <c r="Q59" s="637"/>
      <c r="AB59" s="637"/>
      <c r="AC59" s="637"/>
      <c r="AD59" s="637"/>
      <c r="AE59" s="637"/>
      <c r="AF59" s="637"/>
      <c r="AG59" s="637"/>
      <c r="AH59" s="637"/>
      <c r="AI59" s="637"/>
      <c r="AJ59" s="637"/>
      <c r="AK59" s="637"/>
      <c r="AL59" s="637"/>
      <c r="AM59" s="637"/>
      <c r="AN59" s="637"/>
      <c r="AO59" s="637"/>
      <c r="AP59" s="637"/>
      <c r="AQ59" s="637"/>
      <c r="AR59" s="637"/>
      <c r="AS59" s="637"/>
      <c r="AT59" s="637"/>
      <c r="AU59" s="637"/>
      <c r="AV59" s="637"/>
      <c r="AW59" s="637"/>
      <c r="AX59" s="637"/>
      <c r="AY59" s="637"/>
      <c r="AZ59" s="637"/>
      <c r="BA59" s="637"/>
      <c r="BL59" s="637"/>
      <c r="BM59" s="573"/>
      <c r="BN59" s="573"/>
      <c r="BO59" s="573"/>
      <c r="BP59" s="573"/>
      <c r="BQ59" s="573"/>
      <c r="BR59" s="573"/>
      <c r="BS59" s="573"/>
      <c r="BT59" s="573"/>
      <c r="BU59" s="573"/>
      <c r="BV59" s="573"/>
      <c r="BW59" s="573"/>
      <c r="BX59" s="573"/>
      <c r="BY59" s="573"/>
      <c r="BZ59" s="573"/>
      <c r="CA59" s="573"/>
      <c r="CB59" s="573"/>
      <c r="CC59" s="573"/>
      <c r="CD59" s="573"/>
    </row>
    <row r="60" spans="2:82" hidden="1" x14ac:dyDescent="0.25">
      <c r="B60" s="498"/>
      <c r="C60" s="434" t="s">
        <v>451</v>
      </c>
      <c r="D60" s="163" t="s">
        <v>823</v>
      </c>
      <c r="E60" s="637"/>
      <c r="F60" s="637"/>
      <c r="G60" s="637"/>
      <c r="H60" s="637"/>
      <c r="I60" s="637"/>
      <c r="J60" s="637"/>
      <c r="K60" s="637"/>
      <c r="L60" s="637"/>
      <c r="M60" s="637"/>
      <c r="N60" s="637"/>
      <c r="O60" s="637"/>
      <c r="P60" s="637"/>
      <c r="Q60" s="637"/>
      <c r="AB60" s="637"/>
      <c r="AC60" s="637"/>
      <c r="AD60" s="637"/>
      <c r="AE60" s="637"/>
      <c r="AF60" s="637"/>
      <c r="AG60" s="637"/>
      <c r="AH60" s="637"/>
      <c r="AI60" s="637"/>
      <c r="AJ60" s="637"/>
      <c r="AK60" s="637"/>
      <c r="AL60" s="637"/>
      <c r="AM60" s="637"/>
      <c r="AN60" s="637"/>
      <c r="AO60" s="637"/>
      <c r="AP60" s="637"/>
      <c r="AQ60" s="637"/>
      <c r="AR60" s="637"/>
      <c r="AS60" s="637"/>
      <c r="AT60" s="637"/>
      <c r="AU60" s="637"/>
      <c r="AV60" s="637"/>
      <c r="AW60" s="637"/>
      <c r="AX60" s="637"/>
      <c r="AY60" s="637"/>
      <c r="AZ60" s="637"/>
      <c r="BA60" s="637"/>
      <c r="BL60" s="637"/>
      <c r="BM60" s="573"/>
      <c r="BN60" s="573"/>
      <c r="BO60" s="573"/>
      <c r="BP60" s="573"/>
      <c r="BQ60" s="573"/>
      <c r="BR60" s="573"/>
      <c r="BS60" s="573"/>
      <c r="BT60" s="573"/>
      <c r="BU60" s="573"/>
      <c r="BV60" s="573"/>
      <c r="BW60" s="573"/>
      <c r="BX60" s="573"/>
      <c r="BY60" s="573"/>
      <c r="BZ60" s="573"/>
      <c r="CA60" s="573"/>
      <c r="CB60" s="573"/>
      <c r="CC60" s="573"/>
      <c r="CD60" s="573"/>
    </row>
    <row r="61" spans="2:82" hidden="1" x14ac:dyDescent="0.25">
      <c r="B61" s="498"/>
      <c r="C61" s="434" t="s">
        <v>206</v>
      </c>
      <c r="D61" s="163" t="s">
        <v>823</v>
      </c>
      <c r="E61" s="641"/>
      <c r="F61" s="637"/>
      <c r="G61" s="637"/>
      <c r="H61" s="637"/>
      <c r="I61" s="637"/>
      <c r="J61" s="637"/>
      <c r="K61" s="637"/>
      <c r="L61" s="637"/>
      <c r="M61" s="637"/>
      <c r="N61" s="637"/>
      <c r="O61" s="637"/>
      <c r="P61" s="637"/>
      <c r="Q61" s="637"/>
      <c r="AB61" s="641"/>
      <c r="AC61" s="637"/>
      <c r="AD61" s="637"/>
      <c r="AE61" s="637"/>
      <c r="AF61" s="637"/>
      <c r="AG61" s="637"/>
      <c r="AH61" s="637"/>
      <c r="AI61" s="637"/>
      <c r="AJ61" s="637"/>
      <c r="AK61" s="637"/>
      <c r="AL61" s="637"/>
      <c r="AM61" s="637"/>
      <c r="AN61" s="637"/>
      <c r="AO61" s="641"/>
      <c r="AP61" s="637"/>
      <c r="AQ61" s="637"/>
      <c r="AR61" s="637"/>
      <c r="AS61" s="637"/>
      <c r="AT61" s="637"/>
      <c r="AU61" s="637"/>
      <c r="AV61" s="637"/>
      <c r="AW61" s="637"/>
      <c r="AX61" s="637"/>
      <c r="AY61" s="637"/>
      <c r="AZ61" s="637"/>
      <c r="BA61" s="637"/>
      <c r="BL61" s="637"/>
      <c r="BM61" s="573"/>
      <c r="BN61" s="573"/>
      <c r="BO61" s="573"/>
      <c r="BP61" s="573"/>
      <c r="BQ61" s="573"/>
      <c r="BR61" s="573"/>
      <c r="BS61" s="573"/>
      <c r="BT61" s="573"/>
      <c r="BU61" s="573"/>
      <c r="BV61" s="573"/>
      <c r="BW61" s="573"/>
      <c r="BX61" s="573"/>
      <c r="BY61" s="573"/>
      <c r="BZ61" s="573"/>
      <c r="CA61" s="573"/>
      <c r="CB61" s="573"/>
      <c r="CC61" s="573"/>
      <c r="CD61" s="573"/>
    </row>
    <row r="62" spans="2:82" hidden="1" x14ac:dyDescent="0.25">
      <c r="B62" s="498"/>
      <c r="C62" s="434" t="s">
        <v>492</v>
      </c>
      <c r="D62" s="163" t="s">
        <v>823</v>
      </c>
      <c r="E62" s="641"/>
      <c r="F62" s="637"/>
      <c r="G62" s="637"/>
      <c r="H62" s="637"/>
      <c r="I62" s="637"/>
      <c r="J62" s="637"/>
      <c r="K62" s="637"/>
      <c r="L62" s="637"/>
      <c r="M62" s="637"/>
      <c r="N62" s="637"/>
      <c r="O62" s="637"/>
      <c r="P62" s="637"/>
      <c r="Q62" s="637"/>
      <c r="AB62" s="641"/>
      <c r="AC62" s="637"/>
      <c r="AD62" s="637"/>
      <c r="AE62" s="637"/>
      <c r="AF62" s="637"/>
      <c r="AG62" s="637"/>
      <c r="AH62" s="637"/>
      <c r="AI62" s="637"/>
      <c r="AJ62" s="637"/>
      <c r="AK62" s="637"/>
      <c r="AL62" s="637"/>
      <c r="AM62" s="637"/>
      <c r="AN62" s="637"/>
      <c r="AO62" s="641"/>
      <c r="AP62" s="637"/>
      <c r="AQ62" s="637"/>
      <c r="AR62" s="637"/>
      <c r="AS62" s="637"/>
      <c r="AT62" s="637"/>
      <c r="AU62" s="637"/>
      <c r="AV62" s="637"/>
      <c r="AW62" s="637"/>
      <c r="AX62" s="637"/>
      <c r="AY62" s="637"/>
      <c r="AZ62" s="637"/>
      <c r="BA62" s="637"/>
      <c r="BL62" s="637"/>
      <c r="BM62" s="573"/>
      <c r="BN62" s="573"/>
      <c r="BO62" s="573"/>
      <c r="BP62" s="573"/>
      <c r="BQ62" s="573"/>
      <c r="BR62" s="573"/>
      <c r="BS62" s="573"/>
      <c r="BT62" s="573"/>
      <c r="BU62" s="573"/>
      <c r="BV62" s="573"/>
      <c r="BW62" s="573"/>
      <c r="BX62" s="573"/>
      <c r="BY62" s="573"/>
      <c r="BZ62" s="573"/>
      <c r="CA62" s="573"/>
      <c r="CB62" s="573"/>
      <c r="CC62" s="573"/>
      <c r="CD62" s="573"/>
    </row>
    <row r="63" spans="2:82" hidden="1" x14ac:dyDescent="0.25">
      <c r="B63" s="49" t="s">
        <v>818</v>
      </c>
      <c r="C63" s="434" t="s">
        <v>389</v>
      </c>
      <c r="D63" s="163" t="s">
        <v>828</v>
      </c>
      <c r="E63" s="641"/>
      <c r="F63" s="637"/>
      <c r="G63" s="637"/>
      <c r="H63" s="637"/>
      <c r="I63" s="637"/>
      <c r="J63" s="637"/>
      <c r="K63" s="637"/>
      <c r="L63" s="637"/>
      <c r="M63" s="637"/>
      <c r="N63" s="637"/>
      <c r="O63" s="637"/>
      <c r="P63" s="637"/>
      <c r="Q63" s="637"/>
      <c r="AB63" s="641"/>
      <c r="AC63" s="637"/>
      <c r="AD63" s="637"/>
      <c r="AE63" s="637"/>
      <c r="AF63" s="637"/>
      <c r="AG63" s="637"/>
      <c r="AH63" s="637"/>
      <c r="AI63" s="637"/>
      <c r="AJ63" s="637"/>
      <c r="AK63" s="637"/>
      <c r="AL63" s="637"/>
      <c r="AM63" s="637"/>
      <c r="AN63" s="637"/>
      <c r="AO63" s="641"/>
      <c r="AP63" s="637"/>
      <c r="AQ63" s="637"/>
      <c r="AR63" s="637"/>
      <c r="AS63" s="637"/>
      <c r="AT63" s="637"/>
      <c r="AU63" s="637"/>
      <c r="AV63" s="637"/>
      <c r="AW63" s="637"/>
      <c r="AX63" s="637"/>
      <c r="AY63" s="637"/>
      <c r="AZ63" s="637"/>
      <c r="BA63" s="637"/>
      <c r="BL63" s="637"/>
      <c r="BM63" s="573"/>
      <c r="BN63" s="573"/>
      <c r="BO63" s="573"/>
      <c r="BP63" s="573"/>
      <c r="BQ63" s="573"/>
      <c r="BR63" s="573"/>
      <c r="BS63" s="573"/>
      <c r="BT63" s="573"/>
      <c r="BU63" s="573"/>
      <c r="BV63" s="573"/>
      <c r="BW63" s="573"/>
      <c r="BX63" s="573"/>
      <c r="BY63" s="573"/>
      <c r="BZ63" s="573"/>
      <c r="CA63" s="573"/>
      <c r="CB63" s="573"/>
      <c r="CC63" s="573"/>
      <c r="CD63" s="573"/>
    </row>
    <row r="64" spans="2:82" hidden="1" x14ac:dyDescent="0.25">
      <c r="B64" s="498"/>
      <c r="C64" s="434" t="s">
        <v>390</v>
      </c>
      <c r="D64" s="163" t="s">
        <v>828</v>
      </c>
      <c r="E64" s="641"/>
      <c r="F64" s="637"/>
      <c r="G64" s="637"/>
      <c r="H64" s="637"/>
      <c r="I64" s="637"/>
      <c r="J64" s="637"/>
      <c r="K64" s="637"/>
      <c r="L64" s="637"/>
      <c r="M64" s="637"/>
      <c r="N64" s="637"/>
      <c r="O64" s="637"/>
      <c r="P64" s="637"/>
      <c r="Q64" s="637"/>
      <c r="AB64" s="641"/>
      <c r="AC64" s="637"/>
      <c r="AD64" s="637"/>
      <c r="AE64" s="637"/>
      <c r="AF64" s="637"/>
      <c r="AG64" s="637"/>
      <c r="AH64" s="637"/>
      <c r="AI64" s="637"/>
      <c r="AJ64" s="637"/>
      <c r="AK64" s="637"/>
      <c r="AL64" s="637"/>
      <c r="AM64" s="637"/>
      <c r="AN64" s="637"/>
      <c r="AO64" s="641"/>
      <c r="AP64" s="637"/>
      <c r="AQ64" s="637"/>
      <c r="AR64" s="637"/>
      <c r="AS64" s="637"/>
      <c r="AT64" s="637"/>
      <c r="AU64" s="637"/>
      <c r="AV64" s="637"/>
      <c r="AW64" s="637"/>
      <c r="AX64" s="637"/>
      <c r="AY64" s="637"/>
      <c r="AZ64" s="637"/>
      <c r="BA64" s="637"/>
      <c r="BL64" s="637"/>
      <c r="BM64" s="573"/>
      <c r="BN64" s="573"/>
      <c r="BO64" s="573"/>
      <c r="BP64" s="573"/>
      <c r="BQ64" s="573"/>
      <c r="BR64" s="573"/>
      <c r="BS64" s="573"/>
      <c r="BT64" s="573"/>
      <c r="BU64" s="573"/>
      <c r="BV64" s="573"/>
      <c r="BW64" s="573"/>
      <c r="BX64" s="573"/>
      <c r="BY64" s="573"/>
      <c r="BZ64" s="573"/>
      <c r="CA64" s="573"/>
      <c r="CB64" s="573"/>
      <c r="CC64" s="573"/>
      <c r="CD64" s="573"/>
    </row>
    <row r="65" spans="2:82" hidden="1" x14ac:dyDescent="0.25">
      <c r="B65" s="498"/>
      <c r="C65" s="434" t="s">
        <v>444</v>
      </c>
      <c r="D65" s="163" t="s">
        <v>828</v>
      </c>
      <c r="E65" s="641"/>
      <c r="F65" s="637"/>
      <c r="G65" s="637"/>
      <c r="H65" s="637"/>
      <c r="I65" s="637"/>
      <c r="J65" s="637"/>
      <c r="K65" s="637"/>
      <c r="L65" s="637"/>
      <c r="M65" s="637"/>
      <c r="N65" s="637"/>
      <c r="O65" s="637"/>
      <c r="P65" s="637"/>
      <c r="Q65" s="637"/>
      <c r="AB65" s="641"/>
      <c r="AC65" s="637"/>
      <c r="AD65" s="637"/>
      <c r="AE65" s="637"/>
      <c r="AF65" s="637"/>
      <c r="AG65" s="637"/>
      <c r="AH65" s="637"/>
      <c r="AI65" s="637"/>
      <c r="AJ65" s="637"/>
      <c r="AK65" s="637"/>
      <c r="AL65" s="637"/>
      <c r="AM65" s="637"/>
      <c r="AN65" s="637"/>
      <c r="AO65" s="641"/>
      <c r="AP65" s="637"/>
      <c r="AQ65" s="637"/>
      <c r="AR65" s="637"/>
      <c r="AS65" s="637"/>
      <c r="AT65" s="637"/>
      <c r="AU65" s="637"/>
      <c r="AV65" s="637"/>
      <c r="AW65" s="637"/>
      <c r="AX65" s="637"/>
      <c r="AY65" s="637"/>
      <c r="AZ65" s="637"/>
      <c r="BA65" s="637"/>
      <c r="BL65" s="637"/>
      <c r="BM65" s="573"/>
      <c r="BN65" s="573"/>
      <c r="BO65" s="573"/>
      <c r="BP65" s="573"/>
      <c r="BQ65" s="573"/>
      <c r="BR65" s="573"/>
      <c r="BS65" s="573"/>
      <c r="BT65" s="573"/>
      <c r="BU65" s="573"/>
      <c r="BV65" s="573"/>
      <c r="BW65" s="573"/>
      <c r="BX65" s="573"/>
      <c r="BY65" s="573"/>
      <c r="BZ65" s="573"/>
      <c r="CA65" s="573"/>
      <c r="CB65" s="573"/>
      <c r="CC65" s="573"/>
      <c r="CD65" s="573"/>
    </row>
    <row r="66" spans="2:82" hidden="1" x14ac:dyDescent="0.25">
      <c r="B66" s="498"/>
      <c r="C66" s="434" t="s">
        <v>451</v>
      </c>
      <c r="D66" s="163" t="s">
        <v>828</v>
      </c>
      <c r="E66" s="641"/>
      <c r="F66" s="637"/>
      <c r="G66" s="637"/>
      <c r="H66" s="637"/>
      <c r="I66" s="637"/>
      <c r="J66" s="637"/>
      <c r="K66" s="637"/>
      <c r="L66" s="637"/>
      <c r="M66" s="637"/>
      <c r="N66" s="637"/>
      <c r="O66" s="637"/>
      <c r="P66" s="637"/>
      <c r="Q66" s="637"/>
      <c r="AB66" s="641"/>
      <c r="AC66" s="637"/>
      <c r="AD66" s="637"/>
      <c r="AE66" s="637"/>
      <c r="AF66" s="637"/>
      <c r="AG66" s="637"/>
      <c r="AH66" s="637"/>
      <c r="AI66" s="637"/>
      <c r="AJ66" s="637"/>
      <c r="AK66" s="637"/>
      <c r="AL66" s="637"/>
      <c r="AM66" s="637"/>
      <c r="AN66" s="637"/>
      <c r="AO66" s="641"/>
      <c r="AP66" s="637"/>
      <c r="AQ66" s="637"/>
      <c r="AR66" s="637"/>
      <c r="AS66" s="637"/>
      <c r="AT66" s="637"/>
      <c r="AU66" s="637"/>
      <c r="AV66" s="637"/>
      <c r="AW66" s="637"/>
      <c r="AX66" s="637"/>
      <c r="AY66" s="637"/>
      <c r="AZ66" s="637"/>
      <c r="BA66" s="637"/>
      <c r="BL66" s="637"/>
      <c r="BM66" s="573"/>
      <c r="BN66" s="573"/>
      <c r="BO66" s="573"/>
      <c r="BP66" s="573"/>
      <c r="BQ66" s="573"/>
      <c r="BR66" s="573"/>
      <c r="BS66" s="573"/>
      <c r="BT66" s="573"/>
      <c r="BU66" s="573"/>
      <c r="BV66" s="573"/>
      <c r="BW66" s="573"/>
      <c r="BX66" s="573"/>
      <c r="BY66" s="573"/>
      <c r="BZ66" s="573"/>
      <c r="CA66" s="573"/>
      <c r="CB66" s="573"/>
      <c r="CC66" s="573"/>
      <c r="CD66" s="573"/>
    </row>
    <row r="67" spans="2:82" hidden="1" x14ac:dyDescent="0.25">
      <c r="B67" s="498"/>
      <c r="C67" s="434" t="s">
        <v>206</v>
      </c>
      <c r="D67" s="163" t="s">
        <v>828</v>
      </c>
      <c r="E67" s="641"/>
      <c r="F67" s="637"/>
      <c r="G67" s="637"/>
      <c r="H67" s="637"/>
      <c r="I67" s="637"/>
      <c r="J67" s="637"/>
      <c r="K67" s="637"/>
      <c r="L67" s="637"/>
      <c r="M67" s="637"/>
      <c r="N67" s="637"/>
      <c r="O67" s="637"/>
      <c r="P67" s="637"/>
      <c r="Q67" s="637"/>
      <c r="AB67" s="641"/>
      <c r="AC67" s="637"/>
      <c r="AD67" s="637"/>
      <c r="AE67" s="637"/>
      <c r="AF67" s="637"/>
      <c r="AG67" s="637"/>
      <c r="AH67" s="637"/>
      <c r="AI67" s="637"/>
      <c r="AJ67" s="637"/>
      <c r="AK67" s="637"/>
      <c r="AL67" s="637"/>
      <c r="AM67" s="637"/>
      <c r="AN67" s="637"/>
      <c r="AO67" s="641"/>
      <c r="AP67" s="637"/>
      <c r="AQ67" s="637"/>
      <c r="AR67" s="637"/>
      <c r="AS67" s="637"/>
      <c r="AT67" s="637"/>
      <c r="AU67" s="637"/>
      <c r="AV67" s="637"/>
      <c r="AW67" s="637"/>
      <c r="AX67" s="637"/>
      <c r="AY67" s="637"/>
      <c r="AZ67" s="637"/>
      <c r="BA67" s="637"/>
      <c r="BL67" s="637"/>
      <c r="BM67" s="573"/>
      <c r="BN67" s="573"/>
      <c r="BO67" s="573"/>
      <c r="BP67" s="573"/>
      <c r="BQ67" s="573"/>
      <c r="BR67" s="573"/>
      <c r="BS67" s="573"/>
      <c r="BT67" s="573"/>
      <c r="BU67" s="573"/>
      <c r="BV67" s="573"/>
      <c r="BW67" s="573"/>
      <c r="BX67" s="573"/>
      <c r="BY67" s="573"/>
      <c r="BZ67" s="573"/>
      <c r="CA67" s="573"/>
      <c r="CB67" s="573"/>
      <c r="CC67" s="573"/>
      <c r="CD67" s="573"/>
    </row>
    <row r="68" spans="2:82" hidden="1" x14ac:dyDescent="0.25">
      <c r="B68" s="498"/>
      <c r="C68" s="434" t="s">
        <v>492</v>
      </c>
      <c r="D68" s="163" t="s">
        <v>828</v>
      </c>
      <c r="E68" s="641"/>
      <c r="F68" s="637"/>
      <c r="G68" s="637"/>
      <c r="H68" s="637"/>
      <c r="I68" s="637"/>
      <c r="J68" s="637"/>
      <c r="K68" s="637"/>
      <c r="L68" s="637"/>
      <c r="M68" s="637"/>
      <c r="N68" s="637"/>
      <c r="O68" s="637"/>
      <c r="P68" s="637"/>
      <c r="Q68" s="637"/>
      <c r="AB68" s="641"/>
      <c r="AC68" s="637"/>
      <c r="AD68" s="637"/>
      <c r="AE68" s="637"/>
      <c r="AF68" s="637"/>
      <c r="AG68" s="637"/>
      <c r="AH68" s="637"/>
      <c r="AI68" s="637"/>
      <c r="AJ68" s="637"/>
      <c r="AK68" s="637"/>
      <c r="AL68" s="637"/>
      <c r="AM68" s="637"/>
      <c r="AN68" s="637"/>
      <c r="AO68" s="641"/>
      <c r="AP68" s="637"/>
      <c r="AQ68" s="637"/>
      <c r="AR68" s="637"/>
      <c r="AS68" s="637"/>
      <c r="AT68" s="637"/>
      <c r="AU68" s="637"/>
      <c r="AV68" s="637"/>
      <c r="AW68" s="637"/>
      <c r="AX68" s="637"/>
      <c r="AY68" s="637"/>
      <c r="AZ68" s="637"/>
      <c r="BA68" s="637"/>
      <c r="BL68" s="637"/>
      <c r="BM68" s="573"/>
      <c r="BN68" s="573"/>
      <c r="BO68" s="573"/>
      <c r="BP68" s="573"/>
      <c r="BQ68" s="573"/>
      <c r="BR68" s="573"/>
      <c r="BS68" s="573"/>
      <c r="BT68" s="573"/>
      <c r="BU68" s="573"/>
      <c r="BV68" s="573"/>
      <c r="BW68" s="573"/>
      <c r="BX68" s="573"/>
      <c r="BY68" s="573"/>
      <c r="BZ68" s="573"/>
      <c r="CA68" s="573"/>
      <c r="CB68" s="573"/>
      <c r="CC68" s="573"/>
      <c r="CD68" s="573"/>
    </row>
    <row r="69" spans="2:82" hidden="1" x14ac:dyDescent="0.25">
      <c r="B69" s="49" t="s">
        <v>819</v>
      </c>
      <c r="C69" s="434" t="s">
        <v>389</v>
      </c>
      <c r="D69" s="163" t="s">
        <v>831</v>
      </c>
      <c r="E69" s="641"/>
      <c r="F69" s="637"/>
      <c r="G69" s="637"/>
      <c r="H69" s="637"/>
      <c r="I69" s="637"/>
      <c r="J69" s="637"/>
      <c r="K69" s="637"/>
      <c r="L69" s="637"/>
      <c r="M69" s="637"/>
      <c r="N69" s="637"/>
      <c r="O69" s="637"/>
      <c r="P69" s="637"/>
      <c r="Q69" s="637"/>
      <c r="AB69" s="641"/>
      <c r="AC69" s="637"/>
      <c r="AD69" s="637"/>
      <c r="AE69" s="637"/>
      <c r="AF69" s="637"/>
      <c r="AG69" s="637"/>
      <c r="AH69" s="637"/>
      <c r="AI69" s="637"/>
      <c r="AJ69" s="637"/>
      <c r="AK69" s="637"/>
      <c r="AL69" s="637"/>
      <c r="AM69" s="637"/>
      <c r="AN69" s="637"/>
      <c r="AO69" s="641"/>
      <c r="AP69" s="637"/>
      <c r="AQ69" s="637"/>
      <c r="AR69" s="637"/>
      <c r="AS69" s="637"/>
      <c r="AT69" s="637"/>
      <c r="AU69" s="637"/>
      <c r="AV69" s="637"/>
      <c r="AW69" s="637"/>
      <c r="AX69" s="637"/>
      <c r="AY69" s="637"/>
      <c r="AZ69" s="637"/>
      <c r="BA69" s="637"/>
      <c r="BL69" s="637"/>
      <c r="BM69" s="573"/>
      <c r="BN69" s="573"/>
      <c r="BO69" s="573"/>
      <c r="BP69" s="573"/>
      <c r="BQ69" s="573"/>
      <c r="BR69" s="573"/>
      <c r="BS69" s="573"/>
      <c r="BT69" s="573"/>
      <c r="BU69" s="573"/>
      <c r="BV69" s="573"/>
      <c r="BW69" s="573"/>
      <c r="BX69" s="573"/>
      <c r="BY69" s="573"/>
      <c r="BZ69" s="573"/>
      <c r="CA69" s="573"/>
      <c r="CB69" s="573"/>
      <c r="CC69" s="573"/>
      <c r="CD69" s="573"/>
    </row>
    <row r="70" spans="2:82" hidden="1" x14ac:dyDescent="0.25">
      <c r="B70" s="498"/>
      <c r="C70" s="434" t="s">
        <v>390</v>
      </c>
      <c r="D70" s="163" t="s">
        <v>831</v>
      </c>
      <c r="E70" s="641"/>
      <c r="F70" s="637"/>
      <c r="G70" s="637"/>
      <c r="H70" s="637"/>
      <c r="I70" s="637"/>
      <c r="J70" s="637"/>
      <c r="K70" s="637"/>
      <c r="L70" s="637"/>
      <c r="M70" s="637"/>
      <c r="N70" s="637"/>
      <c r="O70" s="637"/>
      <c r="P70" s="637"/>
      <c r="Q70" s="637"/>
      <c r="AB70" s="641"/>
      <c r="AC70" s="637"/>
      <c r="AD70" s="637"/>
      <c r="AE70" s="637"/>
      <c r="AF70" s="637"/>
      <c r="AG70" s="637"/>
      <c r="AH70" s="637"/>
      <c r="AI70" s="637"/>
      <c r="AJ70" s="637"/>
      <c r="AK70" s="637"/>
      <c r="AL70" s="637"/>
      <c r="AM70" s="637"/>
      <c r="AN70" s="637"/>
      <c r="AO70" s="641"/>
      <c r="AP70" s="637"/>
      <c r="AQ70" s="637"/>
      <c r="AR70" s="637"/>
      <c r="AS70" s="637"/>
      <c r="AT70" s="637"/>
      <c r="AU70" s="637"/>
      <c r="AV70" s="637"/>
      <c r="AW70" s="637"/>
      <c r="AX70" s="637"/>
      <c r="AY70" s="637"/>
      <c r="AZ70" s="637"/>
      <c r="BA70" s="637"/>
      <c r="BL70" s="637"/>
      <c r="BM70" s="573"/>
      <c r="BN70" s="573"/>
      <c r="BO70" s="573"/>
      <c r="BP70" s="573"/>
      <c r="BQ70" s="573"/>
      <c r="BR70" s="573"/>
      <c r="BS70" s="573"/>
      <c r="BT70" s="573"/>
      <c r="BU70" s="573"/>
      <c r="BV70" s="573"/>
      <c r="BW70" s="573"/>
      <c r="BX70" s="573"/>
      <c r="BY70" s="573"/>
      <c r="BZ70" s="573"/>
      <c r="CA70" s="573"/>
      <c r="CB70" s="573"/>
      <c r="CC70" s="573"/>
      <c r="CD70" s="573"/>
    </row>
    <row r="71" spans="2:82" hidden="1" x14ac:dyDescent="0.25">
      <c r="B71" s="498"/>
      <c r="C71" s="434" t="s">
        <v>444</v>
      </c>
      <c r="D71" s="163" t="s">
        <v>831</v>
      </c>
      <c r="E71" s="641"/>
      <c r="F71" s="637"/>
      <c r="G71" s="637"/>
      <c r="H71" s="637"/>
      <c r="I71" s="637"/>
      <c r="J71" s="637"/>
      <c r="K71" s="637"/>
      <c r="L71" s="637"/>
      <c r="M71" s="637"/>
      <c r="N71" s="637"/>
      <c r="O71" s="637"/>
      <c r="P71" s="637"/>
      <c r="Q71" s="637"/>
      <c r="AB71" s="641"/>
      <c r="AC71" s="637"/>
      <c r="AD71" s="637"/>
      <c r="AE71" s="637"/>
      <c r="AF71" s="637"/>
      <c r="AG71" s="637"/>
      <c r="AH71" s="637"/>
      <c r="AI71" s="637"/>
      <c r="AJ71" s="637"/>
      <c r="AK71" s="637"/>
      <c r="AL71" s="637"/>
      <c r="AM71" s="637"/>
      <c r="AN71" s="637"/>
      <c r="AO71" s="641"/>
      <c r="AP71" s="637"/>
      <c r="AQ71" s="637"/>
      <c r="AR71" s="637"/>
      <c r="AS71" s="637"/>
      <c r="AT71" s="637"/>
      <c r="AU71" s="637"/>
      <c r="AV71" s="637"/>
      <c r="AW71" s="637"/>
      <c r="AX71" s="637"/>
      <c r="AY71" s="637"/>
      <c r="AZ71" s="637"/>
      <c r="BA71" s="637"/>
      <c r="BL71" s="637"/>
      <c r="BM71" s="573"/>
      <c r="BN71" s="573"/>
      <c r="BO71" s="573"/>
      <c r="BP71" s="573"/>
      <c r="BQ71" s="573"/>
      <c r="BR71" s="573"/>
      <c r="BS71" s="573"/>
      <c r="BT71" s="573"/>
      <c r="BU71" s="573"/>
      <c r="BV71" s="573"/>
      <c r="BW71" s="573"/>
      <c r="BX71" s="573"/>
      <c r="BY71" s="573"/>
      <c r="BZ71" s="573"/>
      <c r="CA71" s="573"/>
      <c r="CB71" s="573"/>
      <c r="CC71" s="573"/>
      <c r="CD71" s="573"/>
    </row>
    <row r="72" spans="2:82" hidden="1" x14ac:dyDescent="0.25">
      <c r="B72" s="498"/>
      <c r="C72" s="434" t="s">
        <v>451</v>
      </c>
      <c r="D72" s="163" t="s">
        <v>831</v>
      </c>
      <c r="E72" s="641"/>
      <c r="F72" s="637"/>
      <c r="G72" s="637"/>
      <c r="H72" s="637"/>
      <c r="I72" s="637"/>
      <c r="J72" s="637"/>
      <c r="K72" s="637"/>
      <c r="L72" s="637"/>
      <c r="M72" s="637"/>
      <c r="N72" s="637"/>
      <c r="O72" s="637"/>
      <c r="P72" s="637"/>
      <c r="Q72" s="637"/>
      <c r="AB72" s="641"/>
      <c r="AC72" s="637"/>
      <c r="AD72" s="637"/>
      <c r="AE72" s="637"/>
      <c r="AF72" s="637"/>
      <c r="AG72" s="637"/>
      <c r="AH72" s="637"/>
      <c r="AI72" s="637"/>
      <c r="AJ72" s="637"/>
      <c r="AK72" s="637"/>
      <c r="AL72" s="637"/>
      <c r="AM72" s="637"/>
      <c r="AN72" s="637"/>
      <c r="AO72" s="641"/>
      <c r="AP72" s="637"/>
      <c r="AQ72" s="637"/>
      <c r="AR72" s="637"/>
      <c r="AS72" s="637"/>
      <c r="AT72" s="637"/>
      <c r="AU72" s="637"/>
      <c r="AV72" s="637"/>
      <c r="AW72" s="637"/>
      <c r="AX72" s="637"/>
      <c r="AY72" s="637"/>
      <c r="AZ72" s="637"/>
      <c r="BA72" s="637"/>
      <c r="BL72" s="637"/>
      <c r="BM72" s="573"/>
      <c r="BN72" s="573"/>
      <c r="BO72" s="573"/>
      <c r="BP72" s="573"/>
      <c r="BQ72" s="573"/>
      <c r="BR72" s="573"/>
      <c r="BS72" s="573"/>
      <c r="BT72" s="573"/>
      <c r="BU72" s="573"/>
      <c r="BV72" s="573"/>
      <c r="BW72" s="573"/>
      <c r="BX72" s="573"/>
      <c r="BY72" s="573"/>
      <c r="BZ72" s="573"/>
      <c r="CA72" s="573"/>
      <c r="CB72" s="573"/>
      <c r="CC72" s="573"/>
      <c r="CD72" s="573"/>
    </row>
    <row r="73" spans="2:82" hidden="1" x14ac:dyDescent="0.25">
      <c r="B73" s="498"/>
      <c r="C73" s="434" t="s">
        <v>206</v>
      </c>
      <c r="D73" s="163" t="s">
        <v>831</v>
      </c>
      <c r="E73" s="641"/>
      <c r="F73" s="637"/>
      <c r="G73" s="637"/>
      <c r="H73" s="637"/>
      <c r="I73" s="637"/>
      <c r="J73" s="637"/>
      <c r="K73" s="637"/>
      <c r="L73" s="637"/>
      <c r="M73" s="637"/>
      <c r="N73" s="637"/>
      <c r="O73" s="637"/>
      <c r="P73" s="637"/>
      <c r="Q73" s="637"/>
      <c r="AB73" s="641"/>
      <c r="AC73" s="637"/>
      <c r="AD73" s="637"/>
      <c r="AE73" s="637"/>
      <c r="AF73" s="637"/>
      <c r="AG73" s="637"/>
      <c r="AH73" s="637"/>
      <c r="AI73" s="637"/>
      <c r="AJ73" s="637"/>
      <c r="AK73" s="637"/>
      <c r="AL73" s="637"/>
      <c r="AM73" s="637"/>
      <c r="AN73" s="637"/>
      <c r="AO73" s="641"/>
      <c r="AP73" s="637"/>
      <c r="AQ73" s="637"/>
      <c r="AR73" s="637"/>
      <c r="AS73" s="637"/>
      <c r="AT73" s="637"/>
      <c r="AU73" s="637"/>
      <c r="AV73" s="637"/>
      <c r="AW73" s="637"/>
      <c r="AX73" s="637"/>
      <c r="AY73" s="637"/>
      <c r="AZ73" s="637"/>
      <c r="BA73" s="637"/>
      <c r="BL73" s="637"/>
      <c r="BM73" s="573"/>
      <c r="BN73" s="573"/>
      <c r="BO73" s="573"/>
      <c r="BP73" s="573"/>
      <c r="BQ73" s="573"/>
      <c r="BR73" s="573"/>
      <c r="BS73" s="573"/>
      <c r="BT73" s="573"/>
      <c r="BU73" s="573"/>
      <c r="BV73" s="573"/>
      <c r="BW73" s="573"/>
      <c r="BX73" s="573"/>
      <c r="BY73" s="573"/>
      <c r="BZ73" s="573"/>
      <c r="CA73" s="573"/>
      <c r="CB73" s="573"/>
      <c r="CC73" s="573"/>
      <c r="CD73" s="573"/>
    </row>
    <row r="74" spans="2:82" hidden="1" x14ac:dyDescent="0.25">
      <c r="B74" s="498"/>
      <c r="C74" s="434" t="s">
        <v>492</v>
      </c>
      <c r="D74" s="163" t="s">
        <v>831</v>
      </c>
      <c r="E74" s="641"/>
      <c r="F74" s="637"/>
      <c r="G74" s="637"/>
      <c r="H74" s="637"/>
      <c r="I74" s="637"/>
      <c r="J74" s="637"/>
      <c r="K74" s="637"/>
      <c r="L74" s="637"/>
      <c r="M74" s="637"/>
      <c r="N74" s="637"/>
      <c r="O74" s="637"/>
      <c r="P74" s="637"/>
      <c r="Q74" s="637"/>
      <c r="AB74" s="641"/>
      <c r="AC74" s="637"/>
      <c r="AD74" s="637"/>
      <c r="AE74" s="637"/>
      <c r="AF74" s="637"/>
      <c r="AG74" s="637"/>
      <c r="AH74" s="637"/>
      <c r="AI74" s="637"/>
      <c r="AJ74" s="637"/>
      <c r="AK74" s="637"/>
      <c r="AL74" s="637"/>
      <c r="AM74" s="637"/>
      <c r="AN74" s="637"/>
      <c r="AO74" s="641"/>
      <c r="AP74" s="637"/>
      <c r="AQ74" s="637"/>
      <c r="AR74" s="637"/>
      <c r="AS74" s="637"/>
      <c r="AT74" s="637"/>
      <c r="AU74" s="637"/>
      <c r="AV74" s="637"/>
      <c r="AW74" s="637"/>
      <c r="AX74" s="637"/>
      <c r="AY74" s="637"/>
      <c r="AZ74" s="637"/>
      <c r="BA74" s="637"/>
      <c r="BL74" s="637"/>
      <c r="BM74" s="573"/>
      <c r="BN74" s="573"/>
      <c r="BO74" s="573"/>
      <c r="BP74" s="573"/>
      <c r="BQ74" s="573"/>
      <c r="BR74" s="573"/>
      <c r="BS74" s="573"/>
      <c r="BT74" s="573"/>
      <c r="BU74" s="573"/>
      <c r="BV74" s="573"/>
      <c r="BW74" s="573"/>
      <c r="BX74" s="573"/>
      <c r="BY74" s="573"/>
      <c r="BZ74" s="573"/>
      <c r="CA74" s="573"/>
      <c r="CB74" s="573"/>
      <c r="CC74" s="573"/>
      <c r="CD74" s="573"/>
    </row>
    <row r="75" spans="2:82" x14ac:dyDescent="0.25">
      <c r="B75" s="49" t="s">
        <v>48</v>
      </c>
      <c r="C75" s="434" t="s">
        <v>389</v>
      </c>
      <c r="D75" s="163" t="s">
        <v>835</v>
      </c>
      <c r="E75" s="573">
        <v>4061</v>
      </c>
      <c r="F75" s="573">
        <v>4144</v>
      </c>
      <c r="G75" s="573">
        <v>4327</v>
      </c>
      <c r="H75" s="573">
        <v>4059</v>
      </c>
      <c r="I75" s="573">
        <v>4568</v>
      </c>
      <c r="J75" s="573">
        <v>4137</v>
      </c>
      <c r="K75" s="573">
        <v>3933</v>
      </c>
      <c r="L75" s="573">
        <v>4126</v>
      </c>
      <c r="M75" s="573">
        <v>5710</v>
      </c>
      <c r="N75" s="573">
        <v>6624</v>
      </c>
      <c r="O75" s="573">
        <v>5638</v>
      </c>
      <c r="P75" s="573">
        <v>4848</v>
      </c>
      <c r="Q75" s="573">
        <v>6501</v>
      </c>
      <c r="R75" s="573">
        <v>12994</v>
      </c>
      <c r="S75" s="573">
        <v>7027</v>
      </c>
      <c r="T75" s="573">
        <v>6735</v>
      </c>
      <c r="U75" s="573">
        <v>7069</v>
      </c>
      <c r="V75" s="573">
        <v>6622</v>
      </c>
      <c r="W75" s="573">
        <v>8260</v>
      </c>
      <c r="X75" s="573">
        <v>8889</v>
      </c>
      <c r="Y75" s="573"/>
      <c r="Z75" s="573"/>
      <c r="AA75" s="573"/>
      <c r="AB75" s="573"/>
      <c r="AC75" s="573"/>
      <c r="AD75" s="573"/>
      <c r="AE75" s="573"/>
      <c r="AF75" s="573"/>
      <c r="AG75" s="573"/>
      <c r="AH75" s="573"/>
      <c r="AI75" s="573"/>
      <c r="AJ75" s="573"/>
      <c r="AK75" s="573"/>
      <c r="AL75" s="573"/>
      <c r="AM75" s="573"/>
      <c r="AN75" s="573"/>
      <c r="AO75" s="573"/>
      <c r="AP75" s="573"/>
      <c r="AQ75" s="573"/>
      <c r="AR75" s="573"/>
      <c r="AS75" s="573"/>
      <c r="AT75" s="573"/>
      <c r="AU75" s="573"/>
      <c r="AV75" s="573"/>
      <c r="AW75" s="573"/>
      <c r="AX75" s="573"/>
      <c r="AY75" s="573"/>
      <c r="AZ75" s="573"/>
      <c r="BA75" s="573"/>
      <c r="BB75" s="573"/>
      <c r="BC75" s="573"/>
      <c r="BD75" s="573"/>
      <c r="BE75" s="573"/>
      <c r="BF75" s="573"/>
      <c r="BG75" s="573"/>
      <c r="BH75" s="573"/>
      <c r="BI75" s="573"/>
      <c r="BJ75" s="573"/>
      <c r="BK75" s="573"/>
      <c r="BL75" s="573"/>
      <c r="BM75" s="573"/>
      <c r="BN75" s="573"/>
      <c r="BO75" s="573"/>
      <c r="BP75" s="573"/>
      <c r="BQ75" s="573"/>
      <c r="BR75" s="573"/>
      <c r="BS75" s="573"/>
      <c r="BT75" s="573"/>
      <c r="BU75" s="573"/>
      <c r="BV75" s="573"/>
      <c r="BW75" s="573"/>
      <c r="BX75" s="573"/>
      <c r="BY75" s="573"/>
      <c r="BZ75" s="573"/>
      <c r="CA75" s="573"/>
      <c r="CB75" s="573"/>
      <c r="CC75" s="573"/>
      <c r="CD75" s="573"/>
    </row>
    <row r="76" spans="2:82" x14ac:dyDescent="0.25">
      <c r="B76" s="652" t="s">
        <v>842</v>
      </c>
      <c r="C76" s="434" t="s">
        <v>390</v>
      </c>
      <c r="D76" s="163" t="s">
        <v>835</v>
      </c>
      <c r="E76" s="573">
        <v>4061</v>
      </c>
      <c r="F76" s="573">
        <v>4144</v>
      </c>
      <c r="G76" s="573">
        <v>4327</v>
      </c>
      <c r="H76" s="573">
        <v>4059</v>
      </c>
      <c r="I76" s="573">
        <v>4568</v>
      </c>
      <c r="J76" s="573">
        <v>4137</v>
      </c>
      <c r="K76" s="573">
        <v>3933</v>
      </c>
      <c r="L76" s="573">
        <v>4126</v>
      </c>
      <c r="M76" s="573">
        <v>5710</v>
      </c>
      <c r="N76" s="573">
        <v>6624</v>
      </c>
      <c r="O76" s="573">
        <v>5638</v>
      </c>
      <c r="P76" s="573">
        <v>4848</v>
      </c>
      <c r="Q76" s="573">
        <v>6501</v>
      </c>
      <c r="R76" s="573">
        <v>12994</v>
      </c>
      <c r="S76" s="573">
        <v>7027</v>
      </c>
      <c r="T76" s="573">
        <v>6735</v>
      </c>
      <c r="U76" s="573">
        <v>7069</v>
      </c>
      <c r="V76" s="573">
        <v>6622</v>
      </c>
      <c r="W76" s="573">
        <v>8260</v>
      </c>
      <c r="X76" s="573">
        <v>8889</v>
      </c>
      <c r="Y76" s="573">
        <v>8952</v>
      </c>
      <c r="Z76" s="573">
        <v>8747</v>
      </c>
      <c r="AA76" s="573">
        <f>AVERAGE(Q76:Z76)</f>
        <v>8179.6</v>
      </c>
      <c r="AB76" s="573">
        <v>8179.6</v>
      </c>
      <c r="AC76" s="573">
        <v>8179.6</v>
      </c>
      <c r="AD76" s="573">
        <v>8179.6</v>
      </c>
      <c r="AE76" s="573">
        <v>8179.6</v>
      </c>
      <c r="AF76" s="573">
        <v>8179.6</v>
      </c>
      <c r="AG76" s="573">
        <v>8179.6</v>
      </c>
      <c r="AH76" s="573">
        <v>8179.6</v>
      </c>
      <c r="AI76" s="573">
        <v>8179.6</v>
      </c>
      <c r="AJ76" s="573">
        <v>8179.6</v>
      </c>
      <c r="AK76" s="573">
        <v>8179.6</v>
      </c>
      <c r="AL76" s="573">
        <v>8179.6</v>
      </c>
      <c r="AM76" s="573">
        <v>8179.6</v>
      </c>
      <c r="AN76" s="573">
        <v>8179.6</v>
      </c>
      <c r="AO76" s="573">
        <v>8179.6</v>
      </c>
      <c r="AP76" s="573">
        <v>8179.6</v>
      </c>
      <c r="AQ76" s="573">
        <v>8179.6</v>
      </c>
      <c r="AR76" s="573">
        <v>8179.6</v>
      </c>
      <c r="AS76" s="573">
        <v>8179.6</v>
      </c>
      <c r="AT76" s="573">
        <v>8179.6</v>
      </c>
      <c r="AU76" s="573">
        <v>8179.6</v>
      </c>
      <c r="AV76" s="573">
        <v>8179.6</v>
      </c>
      <c r="AW76" s="573">
        <v>8179.6</v>
      </c>
      <c r="AX76" s="573">
        <v>8179.6</v>
      </c>
      <c r="AY76" s="573">
        <v>8179.6</v>
      </c>
      <c r="AZ76" s="573">
        <v>8179.6</v>
      </c>
      <c r="BA76" s="573">
        <v>8179.6</v>
      </c>
      <c r="BB76" s="573">
        <v>8179.6</v>
      </c>
      <c r="BC76" s="573">
        <v>8179.6</v>
      </c>
      <c r="BD76" s="573">
        <v>8179.6</v>
      </c>
      <c r="BE76" s="573">
        <v>8179.6</v>
      </c>
      <c r="BF76" s="573">
        <v>8179.6</v>
      </c>
      <c r="BG76" s="573">
        <v>8179.6</v>
      </c>
      <c r="BH76" s="573">
        <v>8179.6</v>
      </c>
      <c r="BI76" s="573">
        <v>8179.6</v>
      </c>
      <c r="BJ76" s="573">
        <v>8179.6</v>
      </c>
      <c r="BK76" s="573">
        <v>8179.6</v>
      </c>
      <c r="BL76" s="573">
        <v>8179.6</v>
      </c>
      <c r="BM76" s="573"/>
      <c r="BN76" s="573"/>
      <c r="BO76" s="573"/>
      <c r="BP76" s="573"/>
      <c r="BQ76" s="573"/>
      <c r="BR76" s="573"/>
      <c r="BS76" s="573"/>
      <c r="BT76" s="573"/>
      <c r="BU76" s="573"/>
      <c r="BV76" s="573"/>
      <c r="BW76" s="573"/>
      <c r="BX76" s="573"/>
      <c r="BY76" s="573"/>
      <c r="BZ76" s="573"/>
      <c r="CA76" s="573"/>
      <c r="CB76" s="573"/>
      <c r="CC76" s="573"/>
      <c r="CD76" s="573"/>
    </row>
    <row r="77" spans="2:82" x14ac:dyDescent="0.25">
      <c r="B77" s="652" t="s">
        <v>843</v>
      </c>
      <c r="C77" s="434" t="s">
        <v>444</v>
      </c>
      <c r="D77" s="163" t="s">
        <v>835</v>
      </c>
      <c r="E77" s="573">
        <v>4061</v>
      </c>
      <c r="F77" s="573">
        <v>4144</v>
      </c>
      <c r="G77" s="573">
        <v>4327</v>
      </c>
      <c r="H77" s="573">
        <v>4059</v>
      </c>
      <c r="I77" s="573">
        <v>4568</v>
      </c>
      <c r="J77" s="573">
        <v>4137</v>
      </c>
      <c r="K77" s="573">
        <v>3933</v>
      </c>
      <c r="L77" s="573">
        <v>4126</v>
      </c>
      <c r="M77" s="573">
        <v>5710</v>
      </c>
      <c r="N77" s="573">
        <v>6624</v>
      </c>
      <c r="O77" s="573">
        <v>5638</v>
      </c>
      <c r="P77" s="573">
        <v>4848</v>
      </c>
      <c r="Q77" s="573">
        <v>6501</v>
      </c>
      <c r="R77" s="573">
        <v>12994</v>
      </c>
      <c r="S77" s="573">
        <v>7027</v>
      </c>
      <c r="T77" s="573">
        <v>6735</v>
      </c>
      <c r="U77" s="573">
        <v>7069</v>
      </c>
      <c r="V77" s="573">
        <v>6622</v>
      </c>
      <c r="W77" s="573">
        <v>8260</v>
      </c>
      <c r="X77" s="573">
        <v>8889</v>
      </c>
      <c r="Y77" s="573">
        <v>12994</v>
      </c>
      <c r="Z77" s="573">
        <v>12994</v>
      </c>
      <c r="AA77" s="573">
        <v>12994</v>
      </c>
      <c r="AB77" s="573">
        <v>12994</v>
      </c>
      <c r="AC77" s="573">
        <v>12994</v>
      </c>
      <c r="AD77" s="573">
        <v>12994</v>
      </c>
      <c r="AE77" s="573">
        <v>12994</v>
      </c>
      <c r="AF77" s="573">
        <v>12994</v>
      </c>
      <c r="AG77" s="573">
        <v>12994</v>
      </c>
      <c r="AH77" s="573">
        <v>12994</v>
      </c>
      <c r="AI77" s="573">
        <v>12994</v>
      </c>
      <c r="AJ77" s="573">
        <v>12994</v>
      </c>
      <c r="AK77" s="573">
        <v>12994</v>
      </c>
      <c r="AL77" s="573">
        <v>12994</v>
      </c>
      <c r="AM77" s="573">
        <v>12994</v>
      </c>
      <c r="AN77" s="573">
        <v>12994</v>
      </c>
      <c r="AO77" s="573">
        <v>12994</v>
      </c>
      <c r="AP77" s="573">
        <v>12994</v>
      </c>
      <c r="AQ77" s="573">
        <v>12994</v>
      </c>
      <c r="AR77" s="573">
        <v>12994</v>
      </c>
      <c r="AS77" s="573">
        <v>12994</v>
      </c>
      <c r="AT77" s="573">
        <v>12994</v>
      </c>
      <c r="AU77" s="573">
        <v>12994</v>
      </c>
      <c r="AV77" s="573">
        <v>12994</v>
      </c>
      <c r="AW77" s="573">
        <v>12994</v>
      </c>
      <c r="AX77" s="573">
        <v>12994</v>
      </c>
      <c r="AY77" s="573">
        <v>12994</v>
      </c>
      <c r="AZ77" s="573">
        <v>12994</v>
      </c>
      <c r="BA77" s="573">
        <v>12994</v>
      </c>
      <c r="BB77" s="573">
        <v>12994</v>
      </c>
      <c r="BC77" s="573">
        <v>12994</v>
      </c>
      <c r="BD77" s="573">
        <v>12994</v>
      </c>
      <c r="BE77" s="573">
        <v>12994</v>
      </c>
      <c r="BF77" s="573">
        <v>12994</v>
      </c>
      <c r="BG77" s="573">
        <v>12994</v>
      </c>
      <c r="BH77" s="573">
        <v>12994</v>
      </c>
      <c r="BI77" s="573">
        <v>12994</v>
      </c>
      <c r="BJ77" s="573">
        <v>12994</v>
      </c>
      <c r="BK77" s="573">
        <v>12994</v>
      </c>
      <c r="BL77" s="573">
        <v>12994</v>
      </c>
      <c r="BM77" s="573"/>
      <c r="BN77" s="573"/>
      <c r="BO77" s="573"/>
      <c r="BP77" s="573"/>
      <c r="BQ77" s="573"/>
      <c r="BR77" s="573"/>
      <c r="BS77" s="573"/>
      <c r="BT77" s="573"/>
      <c r="BU77" s="573"/>
      <c r="BV77" s="573"/>
      <c r="BW77" s="573"/>
      <c r="BX77" s="573"/>
      <c r="BY77" s="573"/>
      <c r="BZ77" s="573"/>
      <c r="CA77" s="573"/>
      <c r="CB77" s="573"/>
      <c r="CC77" s="573"/>
      <c r="CD77" s="573"/>
    </row>
    <row r="78" spans="2:82" x14ac:dyDescent="0.25">
      <c r="B78" s="652" t="s">
        <v>844</v>
      </c>
      <c r="C78" s="434" t="s">
        <v>451</v>
      </c>
      <c r="D78" s="163" t="s">
        <v>835</v>
      </c>
      <c r="E78" s="573">
        <v>4061</v>
      </c>
      <c r="F78" s="573">
        <v>4144</v>
      </c>
      <c r="G78" s="573">
        <v>4327</v>
      </c>
      <c r="H78" s="573">
        <v>4059</v>
      </c>
      <c r="I78" s="573">
        <v>4568</v>
      </c>
      <c r="J78" s="573">
        <v>4137</v>
      </c>
      <c r="K78" s="573">
        <v>3933</v>
      </c>
      <c r="L78" s="573">
        <v>4126</v>
      </c>
      <c r="M78" s="573">
        <v>5710</v>
      </c>
      <c r="N78" s="573">
        <v>6624</v>
      </c>
      <c r="O78" s="573">
        <v>5638</v>
      </c>
      <c r="P78" s="573">
        <v>4848</v>
      </c>
      <c r="Q78" s="573">
        <v>6501</v>
      </c>
      <c r="R78" s="573">
        <v>12994</v>
      </c>
      <c r="S78" s="573">
        <v>7027</v>
      </c>
      <c r="T78" s="573">
        <v>6735</v>
      </c>
      <c r="U78" s="573">
        <v>7069</v>
      </c>
      <c r="V78" s="573">
        <v>6622</v>
      </c>
      <c r="W78" s="573">
        <v>8260</v>
      </c>
      <c r="X78" s="573">
        <v>8889</v>
      </c>
      <c r="Y78" s="573">
        <v>9747.5</v>
      </c>
      <c r="Z78" s="573">
        <v>9747.5</v>
      </c>
      <c r="AA78" s="573">
        <v>9747.5</v>
      </c>
      <c r="AB78" s="573">
        <v>9747.5</v>
      </c>
      <c r="AC78" s="573">
        <v>9747.5</v>
      </c>
      <c r="AD78" s="573">
        <v>9747.5</v>
      </c>
      <c r="AE78" s="573">
        <v>9747.5</v>
      </c>
      <c r="AF78" s="573">
        <v>9747.5</v>
      </c>
      <c r="AG78" s="573">
        <v>9747.5</v>
      </c>
      <c r="AH78" s="573">
        <v>9747.5</v>
      </c>
      <c r="AI78" s="573">
        <v>9747.5</v>
      </c>
      <c r="AJ78" s="573">
        <v>9747.5</v>
      </c>
      <c r="AK78" s="573">
        <v>9747.5</v>
      </c>
      <c r="AL78" s="573">
        <v>9747.5</v>
      </c>
      <c r="AM78" s="573">
        <v>9747.5</v>
      </c>
      <c r="AN78" s="573">
        <v>9747.5</v>
      </c>
      <c r="AO78" s="573">
        <v>9747.5</v>
      </c>
      <c r="AP78" s="573">
        <v>9747.5</v>
      </c>
      <c r="AQ78" s="573">
        <v>9747.5</v>
      </c>
      <c r="AR78" s="573">
        <v>9747.5</v>
      </c>
      <c r="AS78" s="573">
        <v>9747.5</v>
      </c>
      <c r="AT78" s="573">
        <v>9747.5</v>
      </c>
      <c r="AU78" s="573">
        <v>9747.5</v>
      </c>
      <c r="AV78" s="573">
        <v>9747.5</v>
      </c>
      <c r="AW78" s="573">
        <v>9747.5</v>
      </c>
      <c r="AX78" s="573">
        <v>9747.5</v>
      </c>
      <c r="AY78" s="573">
        <v>9747.5</v>
      </c>
      <c r="AZ78" s="573">
        <v>9747.5</v>
      </c>
      <c r="BA78" s="573">
        <v>9747.5</v>
      </c>
      <c r="BB78" s="573">
        <v>9747.5</v>
      </c>
      <c r="BC78" s="573">
        <v>9747.5</v>
      </c>
      <c r="BD78" s="573">
        <v>9747.5</v>
      </c>
      <c r="BE78" s="573">
        <v>9747.5</v>
      </c>
      <c r="BF78" s="573">
        <v>9747.5</v>
      </c>
      <c r="BG78" s="573">
        <v>9747.5</v>
      </c>
      <c r="BH78" s="573">
        <v>9747.5</v>
      </c>
      <c r="BI78" s="573">
        <v>9747.5</v>
      </c>
      <c r="BJ78" s="573">
        <v>9747.5</v>
      </c>
      <c r="BK78" s="573">
        <v>9747.5</v>
      </c>
      <c r="BL78" s="573">
        <v>9747.5</v>
      </c>
      <c r="BM78" s="573"/>
      <c r="BN78" s="573"/>
      <c r="BO78" s="573"/>
      <c r="BP78" s="573"/>
      <c r="BQ78" s="573"/>
      <c r="BR78" s="573"/>
      <c r="BS78" s="573"/>
      <c r="BT78" s="573"/>
      <c r="BU78" s="573"/>
      <c r="BV78" s="573"/>
      <c r="BW78" s="573"/>
      <c r="BX78" s="573"/>
      <c r="BY78" s="573"/>
      <c r="BZ78" s="573"/>
      <c r="CA78" s="573"/>
      <c r="CB78" s="573"/>
      <c r="CC78" s="573"/>
      <c r="CD78" s="573"/>
    </row>
    <row r="79" spans="2:82" x14ac:dyDescent="0.25">
      <c r="B79" s="652" t="s">
        <v>845</v>
      </c>
      <c r="C79" s="434" t="s">
        <v>206</v>
      </c>
      <c r="D79" s="163" t="s">
        <v>835</v>
      </c>
      <c r="E79" s="573">
        <v>4061</v>
      </c>
      <c r="F79" s="573">
        <v>4144</v>
      </c>
      <c r="G79" s="573">
        <v>4327</v>
      </c>
      <c r="H79" s="573">
        <v>4059</v>
      </c>
      <c r="I79" s="573">
        <v>4568</v>
      </c>
      <c r="J79" s="573">
        <v>4137</v>
      </c>
      <c r="K79" s="573">
        <v>3933</v>
      </c>
      <c r="L79" s="573">
        <v>4126</v>
      </c>
      <c r="M79" s="573">
        <v>5710</v>
      </c>
      <c r="N79" s="573">
        <v>6624</v>
      </c>
      <c r="O79" s="573">
        <v>5638</v>
      </c>
      <c r="P79" s="573">
        <v>4848</v>
      </c>
      <c r="Q79" s="573">
        <v>6501</v>
      </c>
      <c r="R79" s="573">
        <v>12994</v>
      </c>
      <c r="S79" s="573">
        <v>7027</v>
      </c>
      <c r="T79" s="573">
        <v>6735</v>
      </c>
      <c r="U79" s="573">
        <v>7069</v>
      </c>
      <c r="V79" s="573">
        <v>6622</v>
      </c>
      <c r="W79" s="573">
        <v>8260</v>
      </c>
      <c r="X79" s="573">
        <v>8889</v>
      </c>
      <c r="Y79" s="573">
        <v>6501</v>
      </c>
      <c r="Z79" s="573">
        <v>6501</v>
      </c>
      <c r="AA79" s="573">
        <v>6501</v>
      </c>
      <c r="AB79" s="573">
        <v>6501</v>
      </c>
      <c r="AC79" s="573">
        <v>6501</v>
      </c>
      <c r="AD79" s="573">
        <v>6501</v>
      </c>
      <c r="AE79" s="573">
        <v>6501</v>
      </c>
      <c r="AF79" s="573">
        <v>6501</v>
      </c>
      <c r="AG79" s="573">
        <v>6501</v>
      </c>
      <c r="AH79" s="573">
        <v>6501</v>
      </c>
      <c r="AI79" s="573">
        <v>6501</v>
      </c>
      <c r="AJ79" s="573">
        <v>6501</v>
      </c>
      <c r="AK79" s="573">
        <v>6501</v>
      </c>
      <c r="AL79" s="573">
        <v>6501</v>
      </c>
      <c r="AM79" s="573">
        <v>6501</v>
      </c>
      <c r="AN79" s="573">
        <v>6501</v>
      </c>
      <c r="AO79" s="573">
        <v>6501</v>
      </c>
      <c r="AP79" s="573">
        <v>6501</v>
      </c>
      <c r="AQ79" s="573">
        <v>6501</v>
      </c>
      <c r="AR79" s="573">
        <v>6501</v>
      </c>
      <c r="AS79" s="573">
        <v>6501</v>
      </c>
      <c r="AT79" s="573">
        <v>6501</v>
      </c>
      <c r="AU79" s="573">
        <v>6501</v>
      </c>
      <c r="AV79" s="573">
        <v>6501</v>
      </c>
      <c r="AW79" s="573">
        <v>6501</v>
      </c>
      <c r="AX79" s="573">
        <v>6501</v>
      </c>
      <c r="AY79" s="573">
        <v>6501</v>
      </c>
      <c r="AZ79" s="573">
        <v>6501</v>
      </c>
      <c r="BA79" s="573">
        <v>6501</v>
      </c>
      <c r="BB79" s="573">
        <v>6501</v>
      </c>
      <c r="BC79" s="573">
        <v>6501</v>
      </c>
      <c r="BD79" s="573">
        <v>6501</v>
      </c>
      <c r="BE79" s="573">
        <v>6501</v>
      </c>
      <c r="BF79" s="573">
        <v>6501</v>
      </c>
      <c r="BG79" s="573">
        <v>6501</v>
      </c>
      <c r="BH79" s="573">
        <v>6501</v>
      </c>
      <c r="BI79" s="573">
        <v>6501</v>
      </c>
      <c r="BJ79" s="573">
        <v>6501</v>
      </c>
      <c r="BK79" s="573">
        <v>6501</v>
      </c>
      <c r="BL79" s="573">
        <v>6501</v>
      </c>
      <c r="BM79" s="573"/>
      <c r="BN79" s="573"/>
      <c r="BO79" s="573"/>
      <c r="BP79" s="573"/>
      <c r="BQ79" s="573"/>
      <c r="BR79" s="573"/>
      <c r="BS79" s="573"/>
      <c r="BT79" s="573"/>
      <c r="BU79" s="573"/>
      <c r="BV79" s="573"/>
      <c r="BW79" s="573"/>
      <c r="BX79" s="573"/>
      <c r="BY79" s="573"/>
      <c r="BZ79" s="573"/>
      <c r="CA79" s="573"/>
      <c r="CB79" s="573"/>
      <c r="CC79" s="573"/>
      <c r="CD79" s="573"/>
    </row>
    <row r="80" spans="2:82" x14ac:dyDescent="0.25">
      <c r="B80" s="498"/>
      <c r="C80" s="434" t="s">
        <v>492</v>
      </c>
      <c r="D80" s="163" t="s">
        <v>835</v>
      </c>
      <c r="E80" s="573">
        <v>4061</v>
      </c>
      <c r="F80" s="573">
        <v>4144</v>
      </c>
      <c r="G80" s="573">
        <v>4327</v>
      </c>
      <c r="H80" s="573">
        <v>4059</v>
      </c>
      <c r="I80" s="573">
        <v>4568</v>
      </c>
      <c r="J80" s="573">
        <v>4137</v>
      </c>
      <c r="K80" s="573">
        <v>3933</v>
      </c>
      <c r="L80" s="573">
        <v>4126</v>
      </c>
      <c r="M80" s="573">
        <v>5710</v>
      </c>
      <c r="N80" s="573">
        <v>6624</v>
      </c>
      <c r="O80" s="573">
        <v>5638</v>
      </c>
      <c r="P80" s="573">
        <v>4848</v>
      </c>
      <c r="Q80" s="573">
        <v>6501</v>
      </c>
      <c r="R80" s="573">
        <v>12994</v>
      </c>
      <c r="S80" s="573">
        <v>7027</v>
      </c>
      <c r="T80" s="573">
        <v>6735</v>
      </c>
      <c r="U80" s="573">
        <v>7069</v>
      </c>
      <c r="V80" s="573">
        <v>6622</v>
      </c>
      <c r="W80" s="573">
        <v>8260</v>
      </c>
      <c r="X80" s="573">
        <v>8889</v>
      </c>
      <c r="Y80" s="573"/>
      <c r="Z80" s="573"/>
      <c r="AA80" s="573"/>
      <c r="AB80" s="573"/>
      <c r="AC80" s="573"/>
      <c r="AD80" s="573"/>
      <c r="AE80" s="573"/>
      <c r="AF80" s="573"/>
      <c r="AG80" s="573"/>
      <c r="AH80" s="573"/>
      <c r="AI80" s="573"/>
      <c r="AJ80" s="573"/>
      <c r="AK80" s="573"/>
      <c r="AL80" s="573"/>
      <c r="AM80" s="573"/>
      <c r="AN80" s="573"/>
      <c r="AO80" s="573"/>
      <c r="AP80" s="573"/>
      <c r="AQ80" s="573"/>
      <c r="AR80" s="573"/>
      <c r="AS80" s="573"/>
      <c r="AT80" s="573"/>
      <c r="AU80" s="573"/>
      <c r="AV80" s="573"/>
      <c r="AW80" s="573"/>
      <c r="AX80" s="573"/>
      <c r="AY80" s="573"/>
      <c r="AZ80" s="573"/>
      <c r="BA80" s="573"/>
      <c r="BB80" s="573"/>
      <c r="BC80" s="573"/>
      <c r="BD80" s="573"/>
      <c r="BE80" s="573"/>
      <c r="BF80" s="573"/>
      <c r="BG80" s="573"/>
      <c r="BH80" s="573"/>
      <c r="BI80" s="573"/>
      <c r="BJ80" s="573"/>
      <c r="BK80" s="573"/>
      <c r="BL80" s="573"/>
      <c r="BM80" s="573"/>
      <c r="BN80" s="573"/>
      <c r="BO80" s="573"/>
      <c r="BP80" s="573"/>
      <c r="BQ80" s="573"/>
      <c r="BR80" s="573"/>
      <c r="BS80" s="573"/>
      <c r="BT80" s="573"/>
      <c r="BU80" s="573"/>
      <c r="BV80" s="573"/>
      <c r="BW80" s="573"/>
      <c r="BX80" s="573"/>
      <c r="BY80" s="573"/>
      <c r="BZ80" s="573"/>
      <c r="CA80" s="573"/>
      <c r="CB80" s="573"/>
      <c r="CC80" s="573"/>
      <c r="CD80" s="573"/>
    </row>
    <row r="81" spans="2:64" x14ac:dyDescent="0.25">
      <c r="E81" s="223"/>
      <c r="F81" s="223"/>
      <c r="G81" s="223"/>
      <c r="H81" s="223"/>
      <c r="I81" s="223"/>
      <c r="J81" s="223"/>
      <c r="K81" s="223"/>
      <c r="L81" s="223"/>
      <c r="M81" s="223"/>
      <c r="N81" s="223"/>
      <c r="O81" s="223"/>
      <c r="P81" s="223"/>
      <c r="Q81" s="223"/>
      <c r="R81" s="223"/>
      <c r="S81" s="223"/>
      <c r="T81" s="223"/>
      <c r="U81" s="223"/>
      <c r="V81" s="223"/>
      <c r="W81" s="223"/>
      <c r="X81" s="433"/>
      <c r="Y81" s="157"/>
    </row>
    <row r="82" spans="2:64" x14ac:dyDescent="0.25">
      <c r="B82" s="498" t="s">
        <v>1152</v>
      </c>
      <c r="E82" s="223"/>
      <c r="F82" s="223"/>
      <c r="G82" s="223"/>
      <c r="H82" s="223"/>
      <c r="I82" s="223"/>
      <c r="J82" s="223"/>
      <c r="K82" s="223"/>
      <c r="L82" s="223"/>
      <c r="M82" s="223"/>
      <c r="N82" s="223"/>
      <c r="O82" s="223"/>
      <c r="P82" s="223"/>
      <c r="Q82" s="223"/>
      <c r="R82" s="223"/>
      <c r="S82" s="223"/>
      <c r="T82" s="223"/>
      <c r="U82" s="223"/>
      <c r="V82" s="223"/>
      <c r="W82" s="223"/>
      <c r="X82" s="223"/>
    </row>
    <row r="83" spans="2:64" hidden="1" x14ac:dyDescent="0.25">
      <c r="B83" s="49" t="s">
        <v>817</v>
      </c>
      <c r="C83" s="434" t="s">
        <v>389</v>
      </c>
      <c r="D83" s="163" t="s">
        <v>1127</v>
      </c>
      <c r="E83" s="637"/>
      <c r="F83" s="637"/>
      <c r="G83" s="637"/>
      <c r="H83" s="637"/>
      <c r="I83" s="637"/>
      <c r="J83" s="637"/>
      <c r="K83" s="637"/>
      <c r="L83" s="637"/>
      <c r="M83" s="637"/>
      <c r="N83" s="637"/>
      <c r="O83" s="637"/>
      <c r="P83" s="637"/>
      <c r="Q83" s="637"/>
      <c r="AB83" s="637"/>
      <c r="AC83" s="637"/>
      <c r="AD83" s="637"/>
      <c r="AE83" s="637"/>
      <c r="AF83" s="637"/>
      <c r="AG83" s="637"/>
      <c r="AH83" s="637"/>
      <c r="AI83" s="637"/>
      <c r="AJ83" s="637"/>
      <c r="AK83" s="637"/>
      <c r="AL83" s="637"/>
      <c r="AM83" s="637"/>
      <c r="AN83" s="637"/>
      <c r="AO83" s="637"/>
      <c r="AP83" s="637"/>
      <c r="AQ83" s="637"/>
      <c r="AR83" s="637"/>
      <c r="AS83" s="637"/>
      <c r="AT83" s="637"/>
      <c r="AU83" s="637"/>
      <c r="AV83" s="637"/>
      <c r="AW83" s="637"/>
      <c r="AX83" s="637"/>
      <c r="AY83" s="637"/>
      <c r="AZ83" s="637"/>
      <c r="BA83" s="637"/>
      <c r="BL83" s="637"/>
    </row>
    <row r="84" spans="2:64" hidden="1" x14ac:dyDescent="0.25">
      <c r="B84" s="498"/>
      <c r="C84" s="434" t="s">
        <v>390</v>
      </c>
      <c r="D84" s="163" t="s">
        <v>1127</v>
      </c>
      <c r="E84" s="637"/>
      <c r="F84" s="637"/>
      <c r="G84" s="637"/>
      <c r="H84" s="637"/>
      <c r="I84" s="637"/>
      <c r="J84" s="637"/>
      <c r="K84" s="637"/>
      <c r="L84" s="637"/>
      <c r="M84" s="637"/>
      <c r="N84" s="637"/>
      <c r="O84" s="637"/>
      <c r="P84" s="637"/>
      <c r="Q84" s="637"/>
      <c r="AB84" s="637"/>
      <c r="AC84" s="637"/>
      <c r="AD84" s="637"/>
      <c r="AE84" s="637"/>
      <c r="AF84" s="637"/>
      <c r="AG84" s="637"/>
      <c r="AH84" s="637"/>
      <c r="AI84" s="637"/>
      <c r="AJ84" s="637"/>
      <c r="AK84" s="637"/>
      <c r="AL84" s="637"/>
      <c r="AM84" s="637"/>
      <c r="AN84" s="637"/>
      <c r="AO84" s="637"/>
      <c r="AP84" s="637"/>
      <c r="AQ84" s="637"/>
      <c r="AR84" s="637"/>
      <c r="AS84" s="637"/>
      <c r="AT84" s="637"/>
      <c r="AU84" s="637"/>
      <c r="AV84" s="637"/>
      <c r="AW84" s="637"/>
      <c r="AX84" s="637"/>
      <c r="AY84" s="637"/>
      <c r="AZ84" s="637"/>
      <c r="BA84" s="637"/>
      <c r="BL84" s="637"/>
    </row>
    <row r="85" spans="2:64" hidden="1" x14ac:dyDescent="0.25">
      <c r="B85" s="498"/>
      <c r="C85" s="434" t="s">
        <v>444</v>
      </c>
      <c r="D85" s="163" t="s">
        <v>1127</v>
      </c>
      <c r="E85" s="637"/>
      <c r="F85" s="637"/>
      <c r="G85" s="637"/>
      <c r="H85" s="637"/>
      <c r="I85" s="637"/>
      <c r="J85" s="637"/>
      <c r="K85" s="637"/>
      <c r="L85" s="637"/>
      <c r="M85" s="637"/>
      <c r="N85" s="637"/>
      <c r="O85" s="637"/>
      <c r="P85" s="637"/>
      <c r="Q85" s="637"/>
      <c r="AB85" s="637"/>
      <c r="AC85" s="637"/>
      <c r="AD85" s="637"/>
      <c r="AE85" s="637"/>
      <c r="AF85" s="637"/>
      <c r="AG85" s="637"/>
      <c r="AH85" s="637"/>
      <c r="AI85" s="637"/>
      <c r="AJ85" s="637"/>
      <c r="AK85" s="637"/>
      <c r="AL85" s="637"/>
      <c r="AM85" s="637"/>
      <c r="AN85" s="637"/>
      <c r="AO85" s="637"/>
      <c r="AP85" s="637"/>
      <c r="AQ85" s="637"/>
      <c r="AR85" s="637"/>
      <c r="AS85" s="637"/>
      <c r="AT85" s="637"/>
      <c r="AU85" s="637"/>
      <c r="AV85" s="637"/>
      <c r="AW85" s="637"/>
      <c r="AX85" s="637"/>
      <c r="AY85" s="637"/>
      <c r="AZ85" s="637"/>
      <c r="BA85" s="637"/>
      <c r="BL85" s="637"/>
    </row>
    <row r="86" spans="2:64" hidden="1" x14ac:dyDescent="0.25">
      <c r="B86" s="498"/>
      <c r="C86" s="434" t="s">
        <v>451</v>
      </c>
      <c r="D86" s="163" t="s">
        <v>1127</v>
      </c>
      <c r="E86" s="637"/>
      <c r="F86" s="637"/>
      <c r="G86" s="637"/>
      <c r="H86" s="637"/>
      <c r="I86" s="637"/>
      <c r="J86" s="637"/>
      <c r="K86" s="637"/>
      <c r="L86" s="637"/>
      <c r="M86" s="637"/>
      <c r="N86" s="637"/>
      <c r="O86" s="637"/>
      <c r="P86" s="637"/>
      <c r="Q86" s="637"/>
      <c r="AB86" s="637"/>
      <c r="AC86" s="637"/>
      <c r="AD86" s="637"/>
      <c r="AE86" s="637"/>
      <c r="AF86" s="637"/>
      <c r="AG86" s="637"/>
      <c r="AH86" s="637"/>
      <c r="AI86" s="637"/>
      <c r="AJ86" s="637"/>
      <c r="AK86" s="637"/>
      <c r="AL86" s="637"/>
      <c r="AM86" s="637"/>
      <c r="AN86" s="637"/>
      <c r="AO86" s="637"/>
      <c r="AP86" s="637"/>
      <c r="AQ86" s="637"/>
      <c r="AR86" s="637"/>
      <c r="AS86" s="637"/>
      <c r="AT86" s="637"/>
      <c r="AU86" s="637"/>
      <c r="AV86" s="637"/>
      <c r="AW86" s="637"/>
      <c r="AX86" s="637"/>
      <c r="AY86" s="637"/>
      <c r="AZ86" s="637"/>
      <c r="BA86" s="637"/>
      <c r="BL86" s="637"/>
    </row>
    <row r="87" spans="2:64" hidden="1" x14ac:dyDescent="0.25">
      <c r="B87" s="498"/>
      <c r="C87" s="434" t="s">
        <v>206</v>
      </c>
      <c r="D87" s="163" t="s">
        <v>1127</v>
      </c>
      <c r="E87" s="641"/>
      <c r="F87" s="637"/>
      <c r="G87" s="637"/>
      <c r="H87" s="637"/>
      <c r="I87" s="637"/>
      <c r="J87" s="637"/>
      <c r="K87" s="637"/>
      <c r="L87" s="637"/>
      <c r="M87" s="637"/>
      <c r="N87" s="637"/>
      <c r="O87" s="637"/>
      <c r="P87" s="637"/>
      <c r="Q87" s="637"/>
      <c r="AB87" s="641"/>
      <c r="AC87" s="637"/>
      <c r="AD87" s="637"/>
      <c r="AE87" s="637"/>
      <c r="AF87" s="637"/>
      <c r="AG87" s="637"/>
      <c r="AH87" s="637"/>
      <c r="AI87" s="637"/>
      <c r="AJ87" s="637"/>
      <c r="AK87" s="637"/>
      <c r="AL87" s="637"/>
      <c r="AM87" s="637"/>
      <c r="AN87" s="637"/>
      <c r="AO87" s="641"/>
      <c r="AP87" s="637"/>
      <c r="AQ87" s="637"/>
      <c r="AR87" s="637"/>
      <c r="AS87" s="637"/>
      <c r="AT87" s="637"/>
      <c r="AU87" s="637"/>
      <c r="AV87" s="637"/>
      <c r="AW87" s="637"/>
      <c r="AX87" s="637"/>
      <c r="AY87" s="637"/>
      <c r="AZ87" s="637"/>
      <c r="BA87" s="637"/>
      <c r="BL87" s="637"/>
    </row>
    <row r="88" spans="2:64" hidden="1" x14ac:dyDescent="0.25">
      <c r="B88" s="498"/>
      <c r="C88" s="434" t="s">
        <v>492</v>
      </c>
      <c r="D88" s="163" t="s">
        <v>1127</v>
      </c>
      <c r="E88" s="641"/>
      <c r="F88" s="637"/>
      <c r="G88" s="637"/>
      <c r="H88" s="637"/>
      <c r="I88" s="637"/>
      <c r="J88" s="637"/>
      <c r="K88" s="637"/>
      <c r="L88" s="637"/>
      <c r="M88" s="637"/>
      <c r="N88" s="637"/>
      <c r="O88" s="637"/>
      <c r="P88" s="637"/>
      <c r="Q88" s="637"/>
      <c r="AB88" s="641"/>
      <c r="AC88" s="637"/>
      <c r="AD88" s="637"/>
      <c r="AE88" s="637"/>
      <c r="AF88" s="637"/>
      <c r="AG88" s="637"/>
      <c r="AH88" s="637"/>
      <c r="AI88" s="637"/>
      <c r="AJ88" s="637"/>
      <c r="AK88" s="637"/>
      <c r="AL88" s="637"/>
      <c r="AM88" s="637"/>
      <c r="AN88" s="637"/>
      <c r="AO88" s="641"/>
      <c r="AP88" s="637"/>
      <c r="AQ88" s="637"/>
      <c r="AR88" s="637"/>
      <c r="AS88" s="637"/>
      <c r="AT88" s="637"/>
      <c r="AU88" s="637"/>
      <c r="AV88" s="637"/>
      <c r="AW88" s="637"/>
      <c r="AX88" s="637"/>
      <c r="AY88" s="637"/>
      <c r="AZ88" s="637"/>
      <c r="BA88" s="637"/>
      <c r="BL88" s="637"/>
    </row>
    <row r="89" spans="2:64" hidden="1" x14ac:dyDescent="0.25">
      <c r="B89" s="49" t="s">
        <v>818</v>
      </c>
      <c r="C89" s="434" t="s">
        <v>389</v>
      </c>
      <c r="D89" s="163" t="s">
        <v>1135</v>
      </c>
      <c r="E89" s="641"/>
      <c r="F89" s="637"/>
      <c r="G89" s="637"/>
      <c r="H89" s="637"/>
      <c r="I89" s="637"/>
      <c r="J89" s="637"/>
      <c r="K89" s="637"/>
      <c r="L89" s="637"/>
      <c r="M89" s="637"/>
      <c r="N89" s="637"/>
      <c r="O89" s="637"/>
      <c r="P89" s="637"/>
      <c r="Q89" s="637"/>
      <c r="AB89" s="641"/>
      <c r="AC89" s="637"/>
      <c r="AD89" s="637"/>
      <c r="AE89" s="637"/>
      <c r="AF89" s="637"/>
      <c r="AG89" s="637"/>
      <c r="AH89" s="637"/>
      <c r="AI89" s="637"/>
      <c r="AJ89" s="637"/>
      <c r="AK89" s="637"/>
      <c r="AL89" s="637"/>
      <c r="AM89" s="637"/>
      <c r="AN89" s="637"/>
      <c r="AO89" s="641"/>
      <c r="AP89" s="637"/>
      <c r="AQ89" s="637"/>
      <c r="AR89" s="637"/>
      <c r="AS89" s="637"/>
      <c r="AT89" s="637"/>
      <c r="AU89" s="637"/>
      <c r="AV89" s="637"/>
      <c r="AW89" s="637"/>
      <c r="AX89" s="637"/>
      <c r="AY89" s="637"/>
      <c r="AZ89" s="637"/>
      <c r="BA89" s="637"/>
      <c r="BL89" s="637"/>
    </row>
    <row r="90" spans="2:64" hidden="1" x14ac:dyDescent="0.25">
      <c r="B90" s="498"/>
      <c r="C90" s="434" t="s">
        <v>390</v>
      </c>
      <c r="D90" s="163" t="s">
        <v>1135</v>
      </c>
      <c r="E90" s="641"/>
      <c r="F90" s="637"/>
      <c r="G90" s="637"/>
      <c r="H90" s="637"/>
      <c r="I90" s="637"/>
      <c r="J90" s="637"/>
      <c r="K90" s="637"/>
      <c r="L90" s="637"/>
      <c r="M90" s="637"/>
      <c r="N90" s="637"/>
      <c r="O90" s="637"/>
      <c r="P90" s="637"/>
      <c r="Q90" s="637"/>
      <c r="AB90" s="641"/>
      <c r="AC90" s="637"/>
      <c r="AD90" s="637"/>
      <c r="AE90" s="637"/>
      <c r="AF90" s="637"/>
      <c r="AG90" s="637"/>
      <c r="AH90" s="637"/>
      <c r="AI90" s="637"/>
      <c r="AJ90" s="637"/>
      <c r="AK90" s="637"/>
      <c r="AL90" s="637"/>
      <c r="AM90" s="637"/>
      <c r="AN90" s="637"/>
      <c r="AO90" s="641"/>
      <c r="AP90" s="637"/>
      <c r="AQ90" s="637"/>
      <c r="AR90" s="637"/>
      <c r="AS90" s="637"/>
      <c r="AT90" s="637"/>
      <c r="AU90" s="637"/>
      <c r="AV90" s="637"/>
      <c r="AW90" s="637"/>
      <c r="AX90" s="637"/>
      <c r="AY90" s="637"/>
      <c r="AZ90" s="637"/>
      <c r="BA90" s="637"/>
      <c r="BL90" s="637"/>
    </row>
    <row r="91" spans="2:64" hidden="1" x14ac:dyDescent="0.25">
      <c r="B91" s="498"/>
      <c r="C91" s="434" t="s">
        <v>444</v>
      </c>
      <c r="D91" s="163" t="s">
        <v>1135</v>
      </c>
      <c r="E91" s="641"/>
      <c r="F91" s="637"/>
      <c r="G91" s="637"/>
      <c r="H91" s="637"/>
      <c r="I91" s="637"/>
      <c r="J91" s="637"/>
      <c r="K91" s="637"/>
      <c r="L91" s="637"/>
      <c r="M91" s="637"/>
      <c r="N91" s="637"/>
      <c r="O91" s="637"/>
      <c r="P91" s="637"/>
      <c r="Q91" s="637"/>
      <c r="AB91" s="641"/>
      <c r="AC91" s="637"/>
      <c r="AD91" s="637"/>
      <c r="AE91" s="637"/>
      <c r="AF91" s="637"/>
      <c r="AG91" s="637"/>
      <c r="AH91" s="637"/>
      <c r="AI91" s="637"/>
      <c r="AJ91" s="637"/>
      <c r="AK91" s="637"/>
      <c r="AL91" s="637"/>
      <c r="AM91" s="637"/>
      <c r="AN91" s="637"/>
      <c r="AO91" s="641"/>
      <c r="AP91" s="637"/>
      <c r="AQ91" s="637"/>
      <c r="AR91" s="637"/>
      <c r="AS91" s="637"/>
      <c r="AT91" s="637"/>
      <c r="AU91" s="637"/>
      <c r="AV91" s="637"/>
      <c r="AW91" s="637"/>
      <c r="AX91" s="637"/>
      <c r="AY91" s="637"/>
      <c r="AZ91" s="637"/>
      <c r="BA91" s="637"/>
      <c r="BL91" s="637"/>
    </row>
    <row r="92" spans="2:64" hidden="1" x14ac:dyDescent="0.25">
      <c r="B92" s="498"/>
      <c r="C92" s="434" t="s">
        <v>451</v>
      </c>
      <c r="D92" s="163" t="s">
        <v>1135</v>
      </c>
      <c r="E92" s="641"/>
      <c r="F92" s="637"/>
      <c r="G92" s="637"/>
      <c r="H92" s="637"/>
      <c r="I92" s="637"/>
      <c r="J92" s="637"/>
      <c r="K92" s="637"/>
      <c r="L92" s="637"/>
      <c r="M92" s="637"/>
      <c r="N92" s="637"/>
      <c r="O92" s="637"/>
      <c r="P92" s="637"/>
      <c r="Q92" s="637"/>
      <c r="AB92" s="641"/>
      <c r="AC92" s="637"/>
      <c r="AD92" s="637"/>
      <c r="AE92" s="637"/>
      <c r="AF92" s="637"/>
      <c r="AG92" s="637"/>
      <c r="AH92" s="637"/>
      <c r="AI92" s="637"/>
      <c r="AJ92" s="637"/>
      <c r="AK92" s="637"/>
      <c r="AL92" s="637"/>
      <c r="AM92" s="637"/>
      <c r="AN92" s="637"/>
      <c r="AO92" s="641"/>
      <c r="AP92" s="637"/>
      <c r="AQ92" s="637"/>
      <c r="AR92" s="637"/>
      <c r="AS92" s="637"/>
      <c r="AT92" s="637"/>
      <c r="AU92" s="637"/>
      <c r="AV92" s="637"/>
      <c r="AW92" s="637"/>
      <c r="AX92" s="637"/>
      <c r="AY92" s="637"/>
      <c r="AZ92" s="637"/>
      <c r="BA92" s="637"/>
      <c r="BL92" s="637"/>
    </row>
    <row r="93" spans="2:64" hidden="1" x14ac:dyDescent="0.25">
      <c r="B93" s="498"/>
      <c r="C93" s="434" t="s">
        <v>206</v>
      </c>
      <c r="D93" s="163" t="s">
        <v>1135</v>
      </c>
      <c r="E93" s="641"/>
      <c r="F93" s="637"/>
      <c r="G93" s="637"/>
      <c r="H93" s="637"/>
      <c r="I93" s="637"/>
      <c r="J93" s="637"/>
      <c r="K93" s="637"/>
      <c r="L93" s="637"/>
      <c r="M93" s="637"/>
      <c r="N93" s="637"/>
      <c r="O93" s="637"/>
      <c r="P93" s="637"/>
      <c r="Q93" s="637"/>
      <c r="AB93" s="641"/>
      <c r="AC93" s="637"/>
      <c r="AD93" s="637"/>
      <c r="AE93" s="637"/>
      <c r="AF93" s="637"/>
      <c r="AG93" s="637"/>
      <c r="AH93" s="637"/>
      <c r="AI93" s="637"/>
      <c r="AJ93" s="637"/>
      <c r="AK93" s="637"/>
      <c r="AL93" s="637"/>
      <c r="AM93" s="637"/>
      <c r="AN93" s="637"/>
      <c r="AO93" s="641"/>
      <c r="AP93" s="637"/>
      <c r="AQ93" s="637"/>
      <c r="AR93" s="637"/>
      <c r="AS93" s="637"/>
      <c r="AT93" s="637"/>
      <c r="AU93" s="637"/>
      <c r="AV93" s="637"/>
      <c r="AW93" s="637"/>
      <c r="AX93" s="637"/>
      <c r="AY93" s="637"/>
      <c r="AZ93" s="637"/>
      <c r="BA93" s="637"/>
      <c r="BL93" s="637"/>
    </row>
    <row r="94" spans="2:64" hidden="1" x14ac:dyDescent="0.25">
      <c r="B94" s="498"/>
      <c r="C94" s="434" t="s">
        <v>492</v>
      </c>
      <c r="D94" s="163" t="s">
        <v>1135</v>
      </c>
      <c r="E94" s="641"/>
      <c r="F94" s="637"/>
      <c r="G94" s="637"/>
      <c r="H94" s="637"/>
      <c r="I94" s="637"/>
      <c r="J94" s="637"/>
      <c r="K94" s="637"/>
      <c r="L94" s="637"/>
      <c r="M94" s="637"/>
      <c r="N94" s="637"/>
      <c r="O94" s="637"/>
      <c r="P94" s="637"/>
      <c r="Q94" s="637"/>
      <c r="AB94" s="641"/>
      <c r="AC94" s="637"/>
      <c r="AD94" s="637"/>
      <c r="AE94" s="637"/>
      <c r="AF94" s="637"/>
      <c r="AG94" s="637"/>
      <c r="AH94" s="637"/>
      <c r="AI94" s="637"/>
      <c r="AJ94" s="637"/>
      <c r="AK94" s="637"/>
      <c r="AL94" s="637"/>
      <c r="AM94" s="637"/>
      <c r="AN94" s="637"/>
      <c r="AO94" s="641"/>
      <c r="AP94" s="637"/>
      <c r="AQ94" s="637"/>
      <c r="AR94" s="637"/>
      <c r="AS94" s="637"/>
      <c r="AT94" s="637"/>
      <c r="AU94" s="637"/>
      <c r="AV94" s="637"/>
      <c r="AW94" s="637"/>
      <c r="AX94" s="637"/>
      <c r="AY94" s="637"/>
      <c r="AZ94" s="637"/>
      <c r="BA94" s="637"/>
      <c r="BL94" s="637"/>
    </row>
    <row r="95" spans="2:64" hidden="1" x14ac:dyDescent="0.25">
      <c r="B95" s="49" t="s">
        <v>819</v>
      </c>
      <c r="C95" s="434" t="s">
        <v>389</v>
      </c>
      <c r="D95" s="163" t="s">
        <v>1134</v>
      </c>
      <c r="E95" s="641"/>
      <c r="F95" s="637"/>
      <c r="G95" s="637"/>
      <c r="H95" s="637"/>
      <c r="I95" s="637"/>
      <c r="J95" s="637"/>
      <c r="K95" s="637"/>
      <c r="L95" s="637"/>
      <c r="M95" s="637"/>
      <c r="N95" s="637"/>
      <c r="O95" s="637"/>
      <c r="P95" s="637"/>
      <c r="Q95" s="637"/>
      <c r="AB95" s="641"/>
      <c r="AC95" s="637"/>
      <c r="AD95" s="637"/>
      <c r="AE95" s="637"/>
      <c r="AF95" s="637"/>
      <c r="AG95" s="637"/>
      <c r="AH95" s="637"/>
      <c r="AI95" s="637"/>
      <c r="AJ95" s="637"/>
      <c r="AK95" s="637"/>
      <c r="AL95" s="637"/>
      <c r="AM95" s="637"/>
      <c r="AN95" s="637"/>
      <c r="AO95" s="641"/>
      <c r="AP95" s="637"/>
      <c r="AQ95" s="637"/>
      <c r="AR95" s="637"/>
      <c r="AS95" s="637"/>
      <c r="AT95" s="637"/>
      <c r="AU95" s="637"/>
      <c r="AV95" s="637"/>
      <c r="AW95" s="637"/>
      <c r="AX95" s="637"/>
      <c r="AY95" s="637"/>
      <c r="AZ95" s="637"/>
      <c r="BA95" s="637"/>
      <c r="BL95" s="637"/>
    </row>
    <row r="96" spans="2:64" hidden="1" x14ac:dyDescent="0.25">
      <c r="B96" s="498"/>
      <c r="C96" s="434" t="s">
        <v>390</v>
      </c>
      <c r="D96" s="163" t="s">
        <v>1134</v>
      </c>
      <c r="E96" s="641"/>
      <c r="F96" s="637"/>
      <c r="G96" s="637"/>
      <c r="H96" s="637"/>
      <c r="I96" s="637"/>
      <c r="J96" s="637"/>
      <c r="K96" s="637"/>
      <c r="L96" s="637"/>
      <c r="M96" s="637"/>
      <c r="N96" s="637"/>
      <c r="O96" s="637"/>
      <c r="P96" s="637"/>
      <c r="Q96" s="637"/>
      <c r="AB96" s="641"/>
      <c r="AC96" s="637"/>
      <c r="AD96" s="637"/>
      <c r="AE96" s="637"/>
      <c r="AF96" s="637"/>
      <c r="AG96" s="637"/>
      <c r="AH96" s="637"/>
      <c r="AI96" s="637"/>
      <c r="AJ96" s="637"/>
      <c r="AK96" s="637"/>
      <c r="AL96" s="637"/>
      <c r="AM96" s="637"/>
      <c r="AN96" s="637"/>
      <c r="AO96" s="641"/>
      <c r="AP96" s="637"/>
      <c r="AQ96" s="637"/>
      <c r="AR96" s="637"/>
      <c r="AS96" s="637"/>
      <c r="AT96" s="637"/>
      <c r="AU96" s="637"/>
      <c r="AV96" s="637"/>
      <c r="AW96" s="637"/>
      <c r="AX96" s="637"/>
      <c r="AY96" s="637"/>
      <c r="AZ96" s="637"/>
      <c r="BA96" s="637"/>
      <c r="BL96" s="637"/>
    </row>
    <row r="97" spans="2:64" hidden="1" x14ac:dyDescent="0.25">
      <c r="B97" s="498"/>
      <c r="C97" s="434" t="s">
        <v>444</v>
      </c>
      <c r="D97" s="163" t="s">
        <v>1134</v>
      </c>
      <c r="E97" s="641"/>
      <c r="F97" s="637"/>
      <c r="G97" s="637"/>
      <c r="H97" s="637"/>
      <c r="I97" s="637"/>
      <c r="J97" s="637"/>
      <c r="K97" s="637"/>
      <c r="L97" s="637"/>
      <c r="M97" s="637"/>
      <c r="N97" s="637"/>
      <c r="O97" s="637"/>
      <c r="P97" s="637"/>
      <c r="Q97" s="637"/>
      <c r="AB97" s="641"/>
      <c r="AC97" s="637"/>
      <c r="AD97" s="637"/>
      <c r="AE97" s="637"/>
      <c r="AF97" s="637"/>
      <c r="AG97" s="637"/>
      <c r="AH97" s="637"/>
      <c r="AI97" s="637"/>
      <c r="AJ97" s="637"/>
      <c r="AK97" s="637"/>
      <c r="AL97" s="637"/>
      <c r="AM97" s="637"/>
      <c r="AN97" s="637"/>
      <c r="AO97" s="641"/>
      <c r="AP97" s="637"/>
      <c r="AQ97" s="637"/>
      <c r="AR97" s="637"/>
      <c r="AS97" s="637"/>
      <c r="AT97" s="637"/>
      <c r="AU97" s="637"/>
      <c r="AV97" s="637"/>
      <c r="AW97" s="637"/>
      <c r="AX97" s="637"/>
      <c r="AY97" s="637"/>
      <c r="AZ97" s="637"/>
      <c r="BA97" s="637"/>
      <c r="BL97" s="637"/>
    </row>
    <row r="98" spans="2:64" hidden="1" x14ac:dyDescent="0.25">
      <c r="B98" s="498"/>
      <c r="C98" s="434" t="s">
        <v>451</v>
      </c>
      <c r="D98" s="163" t="s">
        <v>1134</v>
      </c>
      <c r="E98" s="641"/>
      <c r="F98" s="637"/>
      <c r="G98" s="637"/>
      <c r="H98" s="637"/>
      <c r="I98" s="637"/>
      <c r="J98" s="637"/>
      <c r="K98" s="637"/>
      <c r="L98" s="637"/>
      <c r="M98" s="637"/>
      <c r="N98" s="637"/>
      <c r="O98" s="637"/>
      <c r="P98" s="637"/>
      <c r="Q98" s="637"/>
      <c r="AB98" s="641"/>
      <c r="AC98" s="637"/>
      <c r="AD98" s="637"/>
      <c r="AE98" s="637"/>
      <c r="AF98" s="637"/>
      <c r="AG98" s="637"/>
      <c r="AH98" s="637"/>
      <c r="AI98" s="637"/>
      <c r="AJ98" s="637"/>
      <c r="AK98" s="637"/>
      <c r="AL98" s="637"/>
      <c r="AM98" s="637"/>
      <c r="AN98" s="637"/>
      <c r="AO98" s="641"/>
      <c r="AP98" s="637"/>
      <c r="AQ98" s="637"/>
      <c r="AR98" s="637"/>
      <c r="AS98" s="637"/>
      <c r="AT98" s="637"/>
      <c r="AU98" s="637"/>
      <c r="AV98" s="637"/>
      <c r="AW98" s="637"/>
      <c r="AX98" s="637"/>
      <c r="AY98" s="637"/>
      <c r="AZ98" s="637"/>
      <c r="BA98" s="637"/>
      <c r="BL98" s="637"/>
    </row>
    <row r="99" spans="2:64" hidden="1" x14ac:dyDescent="0.25">
      <c r="B99" s="498"/>
      <c r="C99" s="434" t="s">
        <v>206</v>
      </c>
      <c r="D99" s="163" t="s">
        <v>1134</v>
      </c>
      <c r="E99" s="641"/>
      <c r="F99" s="637"/>
      <c r="G99" s="637"/>
      <c r="H99" s="637"/>
      <c r="I99" s="637"/>
      <c r="J99" s="637"/>
      <c r="K99" s="637"/>
      <c r="L99" s="637"/>
      <c r="M99" s="637"/>
      <c r="N99" s="637"/>
      <c r="O99" s="637"/>
      <c r="P99" s="637"/>
      <c r="Q99" s="637"/>
      <c r="AB99" s="641"/>
      <c r="AC99" s="637"/>
      <c r="AD99" s="637"/>
      <c r="AE99" s="637"/>
      <c r="AF99" s="637"/>
      <c r="AG99" s="637"/>
      <c r="AH99" s="637"/>
      <c r="AI99" s="637"/>
      <c r="AJ99" s="637"/>
      <c r="AK99" s="637"/>
      <c r="AL99" s="637"/>
      <c r="AM99" s="637"/>
      <c r="AN99" s="637"/>
      <c r="AO99" s="641"/>
      <c r="AP99" s="637"/>
      <c r="AQ99" s="637"/>
      <c r="AR99" s="637"/>
      <c r="AS99" s="637"/>
      <c r="AT99" s="637"/>
      <c r="AU99" s="637"/>
      <c r="AV99" s="637"/>
      <c r="AW99" s="637"/>
      <c r="AX99" s="637"/>
      <c r="AY99" s="637"/>
      <c r="AZ99" s="637"/>
      <c r="BA99" s="637"/>
      <c r="BL99" s="637"/>
    </row>
    <row r="100" spans="2:64" hidden="1" x14ac:dyDescent="0.25">
      <c r="B100" s="498"/>
      <c r="C100" s="434" t="s">
        <v>492</v>
      </c>
      <c r="D100" s="163" t="s">
        <v>1134</v>
      </c>
      <c r="E100" s="641"/>
      <c r="F100" s="637"/>
      <c r="G100" s="637"/>
      <c r="H100" s="637"/>
      <c r="I100" s="637"/>
      <c r="J100" s="637"/>
      <c r="K100" s="637"/>
      <c r="L100" s="637"/>
      <c r="M100" s="637"/>
      <c r="N100" s="637"/>
      <c r="O100" s="637"/>
      <c r="P100" s="637"/>
      <c r="Q100" s="637"/>
      <c r="AB100" s="641"/>
      <c r="AC100" s="637"/>
      <c r="AD100" s="637"/>
      <c r="AE100" s="637"/>
      <c r="AF100" s="637"/>
      <c r="AG100" s="637"/>
      <c r="AH100" s="637"/>
      <c r="AI100" s="637"/>
      <c r="AJ100" s="637"/>
      <c r="AK100" s="637"/>
      <c r="AL100" s="637"/>
      <c r="AM100" s="637"/>
      <c r="AN100" s="637"/>
      <c r="AO100" s="641"/>
      <c r="AP100" s="637"/>
      <c r="AQ100" s="637"/>
      <c r="AR100" s="637"/>
      <c r="AS100" s="637"/>
      <c r="AT100" s="637"/>
      <c r="AU100" s="637"/>
      <c r="AV100" s="637"/>
      <c r="AW100" s="637"/>
      <c r="AX100" s="637"/>
      <c r="AY100" s="637"/>
      <c r="AZ100" s="637"/>
      <c r="BA100" s="637"/>
      <c r="BL100" s="637"/>
    </row>
    <row r="101" spans="2:64" x14ac:dyDescent="0.25">
      <c r="B101" s="652" t="s">
        <v>48</v>
      </c>
      <c r="C101" s="434" t="s">
        <v>389</v>
      </c>
      <c r="D101" s="163" t="s">
        <v>1136</v>
      </c>
      <c r="E101" s="1119">
        <v>0.21989657719773459</v>
      </c>
      <c r="F101" s="1119">
        <v>0.25265444015444022</v>
      </c>
      <c r="G101" s="1119">
        <v>0.27247515599722671</v>
      </c>
      <c r="H101" s="1119">
        <v>0.27543729982754372</v>
      </c>
      <c r="I101" s="1119">
        <v>0.2521891418563923</v>
      </c>
      <c r="J101" s="1119">
        <v>0.21779066956731929</v>
      </c>
      <c r="K101" s="1119">
        <v>0.23239257564200361</v>
      </c>
      <c r="L101" s="1119">
        <v>0.2493940862821134</v>
      </c>
      <c r="M101" s="1119">
        <v>0.21834992887624466</v>
      </c>
      <c r="N101" s="1119">
        <v>0.22816985645933013</v>
      </c>
      <c r="O101" s="1119">
        <v>0.21603641456582634</v>
      </c>
      <c r="P101" s="1119">
        <v>0.22135842880523732</v>
      </c>
      <c r="Q101" s="1119">
        <v>0.2161540672607071</v>
      </c>
      <c r="R101" s="1119">
        <v>6.1411192214111919E-2</v>
      </c>
      <c r="S101" s="1119">
        <v>0.19091360476663358</v>
      </c>
      <c r="T101" s="1119">
        <v>0.21742761692650334</v>
      </c>
      <c r="U101" s="1119">
        <v>0.23347701149425287</v>
      </c>
      <c r="V101" s="1119">
        <v>0.20316693505099301</v>
      </c>
      <c r="W101" s="1119">
        <v>0.16205533596837945</v>
      </c>
      <c r="X101" s="1119">
        <v>0.17839668799397818</v>
      </c>
      <c r="Y101" s="1119">
        <v>0.1674715085957118</v>
      </c>
      <c r="Z101" s="1119">
        <v>0.1560410164957646</v>
      </c>
      <c r="AA101" s="1119">
        <v>0.14698331193838254</v>
      </c>
      <c r="AB101" s="1119">
        <v>0.1572345390898483</v>
      </c>
      <c r="AC101" s="1119">
        <v>0.17130000000000001</v>
      </c>
      <c r="AD101" s="1119">
        <v>0.1973</v>
      </c>
      <c r="AE101" s="1119">
        <v>0.19159999999999999</v>
      </c>
      <c r="AF101" s="645"/>
      <c r="AG101" s="645"/>
      <c r="AH101" s="645"/>
      <c r="AI101" s="645"/>
      <c r="AJ101" s="645"/>
      <c r="AK101" s="645"/>
      <c r="AL101" s="645"/>
      <c r="AM101" s="645"/>
      <c r="AN101" s="645"/>
      <c r="AO101" s="645"/>
      <c r="AP101" s="645"/>
      <c r="AQ101" s="645"/>
      <c r="AR101" s="645"/>
      <c r="AS101" s="645"/>
      <c r="AT101" s="645"/>
      <c r="AU101" s="645"/>
      <c r="AV101" s="645"/>
      <c r="AW101" s="645"/>
      <c r="AX101" s="645"/>
      <c r="AY101" s="645"/>
      <c r="AZ101" s="645"/>
      <c r="BA101" s="645"/>
      <c r="BB101" s="645"/>
      <c r="BC101" s="645"/>
      <c r="BD101" s="645"/>
      <c r="BE101" s="645"/>
      <c r="BF101" s="645"/>
      <c r="BG101" s="645"/>
      <c r="BH101" s="645"/>
      <c r="BI101" s="645"/>
      <c r="BJ101" s="645"/>
      <c r="BK101" s="645"/>
      <c r="BL101" s="645"/>
    </row>
    <row r="102" spans="2:64" x14ac:dyDescent="0.25">
      <c r="B102" s="652" t="s">
        <v>842</v>
      </c>
      <c r="C102" s="434" t="s">
        <v>390</v>
      </c>
      <c r="D102" s="163" t="s">
        <v>1136</v>
      </c>
      <c r="E102" s="1119">
        <v>0.21989657719773459</v>
      </c>
      <c r="F102" s="1119">
        <v>0.25265444015444022</v>
      </c>
      <c r="G102" s="1119">
        <v>0.27247515599722671</v>
      </c>
      <c r="H102" s="1119">
        <v>0.27543729982754372</v>
      </c>
      <c r="I102" s="1119">
        <v>0.2521891418563923</v>
      </c>
      <c r="J102" s="1119">
        <v>0.21779066956731929</v>
      </c>
      <c r="K102" s="1119">
        <v>0.23239257564200361</v>
      </c>
      <c r="L102" s="1119">
        <v>0.2493940862821134</v>
      </c>
      <c r="M102" s="1119">
        <v>0.21834992887624466</v>
      </c>
      <c r="N102" s="1119">
        <v>0.22816985645933013</v>
      </c>
      <c r="O102" s="1119">
        <v>0.21603641456582634</v>
      </c>
      <c r="P102" s="1119">
        <v>0.22135842880523732</v>
      </c>
      <c r="Q102" s="1119">
        <v>0.2161540672607071</v>
      </c>
      <c r="R102" s="1119">
        <v>6.1411192214111919E-2</v>
      </c>
      <c r="S102" s="1119">
        <v>0.19091360476663358</v>
      </c>
      <c r="T102" s="1119">
        <v>0.21742761692650334</v>
      </c>
      <c r="U102" s="1119">
        <v>0.23347701149425287</v>
      </c>
      <c r="V102" s="1119">
        <v>0.20316693505099301</v>
      </c>
      <c r="W102" s="1119">
        <v>0.16205533596837945</v>
      </c>
      <c r="X102" s="1119">
        <v>0.17839668799397818</v>
      </c>
      <c r="Y102" s="1119">
        <v>0.1674715085957118</v>
      </c>
      <c r="Z102" s="1119">
        <v>0.1560410164957646</v>
      </c>
      <c r="AA102" s="1119">
        <v>0.14698331193838254</v>
      </c>
      <c r="AB102" s="1119">
        <v>0.1572345390898483</v>
      </c>
      <c r="AC102" s="1119">
        <v>0.17130000000000001</v>
      </c>
      <c r="AD102" s="1119">
        <v>0.1973</v>
      </c>
      <c r="AE102" s="1119">
        <v>0.19159999999999999</v>
      </c>
      <c r="AF102" s="645">
        <v>0.16497553327853828</v>
      </c>
      <c r="AG102" s="645">
        <v>0.16497553327853828</v>
      </c>
      <c r="AH102" s="645">
        <v>0.16497553327853828</v>
      </c>
      <c r="AI102" s="645">
        <v>0.16497553327853828</v>
      </c>
      <c r="AJ102" s="645">
        <v>0.16497553327853828</v>
      </c>
      <c r="AK102" s="645">
        <v>0.16497553327853828</v>
      </c>
      <c r="AL102" s="645">
        <v>0.16497553327853828</v>
      </c>
      <c r="AM102" s="645">
        <v>0.16497553327853828</v>
      </c>
      <c r="AN102" s="645">
        <v>0.16497553327853828</v>
      </c>
      <c r="AO102" s="645">
        <v>0.16497553327853828</v>
      </c>
      <c r="AP102" s="645">
        <v>0.16497553327853828</v>
      </c>
      <c r="AQ102" s="645">
        <v>0.16497553327853828</v>
      </c>
      <c r="AR102" s="645">
        <v>0.16497553327853828</v>
      </c>
      <c r="AS102" s="645">
        <v>0.16497553327853828</v>
      </c>
      <c r="AT102" s="645">
        <v>0.16497553327853828</v>
      </c>
      <c r="AU102" s="645">
        <v>0.16497553327853828</v>
      </c>
      <c r="AV102" s="645">
        <v>0.16497553327853828</v>
      </c>
      <c r="AW102" s="645">
        <v>0.16497553327853828</v>
      </c>
      <c r="AX102" s="645">
        <v>0.16497553327853828</v>
      </c>
      <c r="AY102" s="645">
        <v>0.16497553327853828</v>
      </c>
      <c r="AZ102" s="645">
        <v>0.16497553327853828</v>
      </c>
      <c r="BA102" s="645">
        <v>0.16497553327853828</v>
      </c>
      <c r="BB102" s="645">
        <v>0.16497553327853828</v>
      </c>
      <c r="BC102" s="645">
        <v>0.16497553327853828</v>
      </c>
      <c r="BD102" s="645">
        <v>0.16497553327853828</v>
      </c>
      <c r="BE102" s="645">
        <v>0.16497553327853828</v>
      </c>
      <c r="BF102" s="645">
        <v>0.16497553327853828</v>
      </c>
      <c r="BG102" s="645">
        <v>0.16497553327853828</v>
      </c>
      <c r="BH102" s="645">
        <v>0.16497553327853828</v>
      </c>
      <c r="BI102" s="645">
        <v>0.16497553327853828</v>
      </c>
      <c r="BJ102" s="645">
        <v>0.16497553327853828</v>
      </c>
      <c r="BK102" s="645">
        <v>0.16497553327853828</v>
      </c>
      <c r="BL102" s="645">
        <v>0.16497553327853828</v>
      </c>
    </row>
    <row r="103" spans="2:64" x14ac:dyDescent="0.25">
      <c r="B103" s="652" t="s">
        <v>843</v>
      </c>
      <c r="C103" s="434" t="s">
        <v>444</v>
      </c>
      <c r="D103" s="163" t="s">
        <v>1136</v>
      </c>
      <c r="E103" s="1119">
        <v>0.21989657719773459</v>
      </c>
      <c r="F103" s="1119">
        <v>0.25265444015444022</v>
      </c>
      <c r="G103" s="1119">
        <v>0.27247515599722671</v>
      </c>
      <c r="H103" s="1119">
        <v>0.27543729982754372</v>
      </c>
      <c r="I103" s="1119">
        <v>0.2521891418563923</v>
      </c>
      <c r="J103" s="1119">
        <v>0.21779066956731929</v>
      </c>
      <c r="K103" s="1119">
        <v>0.23239257564200361</v>
      </c>
      <c r="L103" s="1119">
        <v>0.2493940862821134</v>
      </c>
      <c r="M103" s="1119">
        <v>0.21834992887624466</v>
      </c>
      <c r="N103" s="1119">
        <v>0.22816985645933013</v>
      </c>
      <c r="O103" s="1119">
        <v>0.21603641456582634</v>
      </c>
      <c r="P103" s="1119">
        <v>0.22135842880523732</v>
      </c>
      <c r="Q103" s="1119">
        <v>0.2161540672607071</v>
      </c>
      <c r="R103" s="1119">
        <v>6.1411192214111919E-2</v>
      </c>
      <c r="S103" s="1119">
        <v>0.19091360476663358</v>
      </c>
      <c r="T103" s="1119">
        <v>0.21742761692650334</v>
      </c>
      <c r="U103" s="1119">
        <v>0.23347701149425287</v>
      </c>
      <c r="V103" s="1119">
        <v>0.20316693505099301</v>
      </c>
      <c r="W103" s="1119">
        <v>0.16205533596837945</v>
      </c>
      <c r="X103" s="1119">
        <v>0.17839668799397818</v>
      </c>
      <c r="Y103" s="1119">
        <v>0.1674715085957118</v>
      </c>
      <c r="Z103" s="1119">
        <v>0.1560410164957646</v>
      </c>
      <c r="AA103" s="1119">
        <v>0.14698331193838254</v>
      </c>
      <c r="AB103" s="1119">
        <v>0.1572345390898483</v>
      </c>
      <c r="AC103" s="1119">
        <v>0.17130000000000001</v>
      </c>
      <c r="AD103" s="1119">
        <v>0.1973</v>
      </c>
      <c r="AE103" s="1119">
        <v>0.19159999999999999</v>
      </c>
      <c r="AF103" s="650">
        <v>0.20130145706606309</v>
      </c>
      <c r="AG103" s="650">
        <v>0.20130145706606309</v>
      </c>
      <c r="AH103" s="650">
        <v>0.20130145706606309</v>
      </c>
      <c r="AI103" s="650">
        <v>0.20130145706606309</v>
      </c>
      <c r="AJ103" s="650">
        <v>0.20130145706606309</v>
      </c>
      <c r="AK103" s="650">
        <v>0.20130145706606309</v>
      </c>
      <c r="AL103" s="650">
        <v>0.20130145706606309</v>
      </c>
      <c r="AM103" s="650">
        <v>0.20130145706606309</v>
      </c>
      <c r="AN103" s="650">
        <v>0.20130145706606309</v>
      </c>
      <c r="AO103" s="650">
        <v>0.20130145706606309</v>
      </c>
      <c r="AP103" s="650">
        <v>0.20130145706606309</v>
      </c>
      <c r="AQ103" s="650">
        <v>0.20130145706606309</v>
      </c>
      <c r="AR103" s="650">
        <v>0.20130145706606309</v>
      </c>
      <c r="AS103" s="650">
        <v>0.20130145706606309</v>
      </c>
      <c r="AT103" s="650">
        <v>0.20130145706606309</v>
      </c>
      <c r="AU103" s="650">
        <v>0.20130145706606309</v>
      </c>
      <c r="AV103" s="650">
        <v>0.20130145706606309</v>
      </c>
      <c r="AW103" s="650">
        <v>0.20130145706606309</v>
      </c>
      <c r="AX103" s="650">
        <v>0.20130145706606309</v>
      </c>
      <c r="AY103" s="650">
        <v>0.20130145706606309</v>
      </c>
      <c r="AZ103" s="650">
        <v>0.20130145706606309</v>
      </c>
      <c r="BA103" s="650">
        <v>0.20130145706606309</v>
      </c>
      <c r="BB103" s="650">
        <v>0.20130145706606309</v>
      </c>
      <c r="BC103" s="650">
        <v>0.20130145706606309</v>
      </c>
      <c r="BD103" s="650">
        <v>0.20130145706606309</v>
      </c>
      <c r="BE103" s="650">
        <v>0.20130145706606309</v>
      </c>
      <c r="BF103" s="650">
        <v>0.20130145706606309</v>
      </c>
      <c r="BG103" s="650">
        <v>0.20130145706606309</v>
      </c>
      <c r="BH103" s="650">
        <v>0.20130145706606309</v>
      </c>
      <c r="BI103" s="650">
        <v>0.20130145706606309</v>
      </c>
      <c r="BJ103" s="650">
        <v>0.20130145706606309</v>
      </c>
      <c r="BK103" s="650">
        <v>0.20130145706606309</v>
      </c>
      <c r="BL103" s="650">
        <v>0.20130145706606309</v>
      </c>
    </row>
    <row r="104" spans="2:64" x14ac:dyDescent="0.25">
      <c r="B104" s="652" t="s">
        <v>844</v>
      </c>
      <c r="C104" s="434" t="s">
        <v>451</v>
      </c>
      <c r="D104" s="163" t="s">
        <v>1136</v>
      </c>
      <c r="E104" s="1119">
        <v>0.21989657719773459</v>
      </c>
      <c r="F104" s="1119">
        <v>0.25265444015444022</v>
      </c>
      <c r="G104" s="1119">
        <v>0.27247515599722671</v>
      </c>
      <c r="H104" s="1119">
        <v>0.27543729982754372</v>
      </c>
      <c r="I104" s="1119">
        <v>0.2521891418563923</v>
      </c>
      <c r="J104" s="1119">
        <v>0.21779066956731929</v>
      </c>
      <c r="K104" s="1119">
        <v>0.23239257564200361</v>
      </c>
      <c r="L104" s="1119">
        <v>0.2493940862821134</v>
      </c>
      <c r="M104" s="1119">
        <v>0.21834992887624466</v>
      </c>
      <c r="N104" s="1119">
        <v>0.22816985645933013</v>
      </c>
      <c r="O104" s="1119">
        <v>0.21603641456582634</v>
      </c>
      <c r="P104" s="1119">
        <v>0.22135842880523732</v>
      </c>
      <c r="Q104" s="1119">
        <v>0.2161540672607071</v>
      </c>
      <c r="R104" s="1119">
        <v>6.1411192214111919E-2</v>
      </c>
      <c r="S104" s="1119">
        <v>0.19091360476663358</v>
      </c>
      <c r="T104" s="1119">
        <v>0.21742761692650334</v>
      </c>
      <c r="U104" s="1119">
        <v>0.23347701149425287</v>
      </c>
      <c r="V104" s="1119">
        <v>0.20316693505099301</v>
      </c>
      <c r="W104" s="1119">
        <v>0.16205533596837945</v>
      </c>
      <c r="X104" s="1119">
        <v>0.17839668799397818</v>
      </c>
      <c r="Y104" s="1119">
        <v>0.1674715085957118</v>
      </c>
      <c r="Z104" s="1119">
        <v>0.1560410164957646</v>
      </c>
      <c r="AA104" s="1119">
        <v>0.14698331193838254</v>
      </c>
      <c r="AB104" s="1119">
        <v>0.1572345390898483</v>
      </c>
      <c r="AC104" s="1119">
        <v>0.17130000000000001</v>
      </c>
      <c r="AD104" s="1119">
        <v>0.1973</v>
      </c>
      <c r="AE104" s="1119">
        <v>0.19159999999999999</v>
      </c>
      <c r="AF104" s="650">
        <v>0.14228532911791686</v>
      </c>
      <c r="AG104" s="650">
        <v>0.14228532911791686</v>
      </c>
      <c r="AH104" s="650">
        <v>0.14228532911791686</v>
      </c>
      <c r="AI104" s="650">
        <v>0.14228532911791686</v>
      </c>
      <c r="AJ104" s="650">
        <v>0.14228532911791686</v>
      </c>
      <c r="AK104" s="650">
        <v>0.14228532911791686</v>
      </c>
      <c r="AL104" s="650">
        <v>0.14228532911791686</v>
      </c>
      <c r="AM104" s="650">
        <v>0.14228532911791686</v>
      </c>
      <c r="AN104" s="650">
        <v>0.14228532911791686</v>
      </c>
      <c r="AO104" s="650">
        <v>0.14228532911791686</v>
      </c>
      <c r="AP104" s="650">
        <v>0.14228532911791686</v>
      </c>
      <c r="AQ104" s="650">
        <v>0.14228532911791686</v>
      </c>
      <c r="AR104" s="650">
        <v>0.14228532911791686</v>
      </c>
      <c r="AS104" s="650">
        <v>0.14228532911791686</v>
      </c>
      <c r="AT104" s="650">
        <v>0.14228532911791686</v>
      </c>
      <c r="AU104" s="650">
        <v>0.14228532911791686</v>
      </c>
      <c r="AV104" s="650">
        <v>0.14228532911791686</v>
      </c>
      <c r="AW104" s="650">
        <v>0.14228532911791686</v>
      </c>
      <c r="AX104" s="650">
        <v>0.14228532911791686</v>
      </c>
      <c r="AY104" s="650">
        <v>0.14228532911791686</v>
      </c>
      <c r="AZ104" s="650">
        <v>0.14228532911791686</v>
      </c>
      <c r="BA104" s="650">
        <v>0.14228532911791686</v>
      </c>
      <c r="BB104" s="650">
        <v>0.14228532911791686</v>
      </c>
      <c r="BC104" s="650">
        <v>0.14228532911791686</v>
      </c>
      <c r="BD104" s="650">
        <v>0.14228532911791686</v>
      </c>
      <c r="BE104" s="650">
        <v>0.14228532911791686</v>
      </c>
      <c r="BF104" s="650">
        <v>0.14228532911791686</v>
      </c>
      <c r="BG104" s="650">
        <v>0.14228532911791686</v>
      </c>
      <c r="BH104" s="650">
        <v>0.14228532911791686</v>
      </c>
      <c r="BI104" s="650">
        <v>0.14228532911791686</v>
      </c>
      <c r="BJ104" s="650">
        <v>0.14228532911791686</v>
      </c>
      <c r="BK104" s="650">
        <v>0.14228532911791686</v>
      </c>
      <c r="BL104" s="650">
        <v>0.14228532911791686</v>
      </c>
    </row>
    <row r="105" spans="2:64" x14ac:dyDescent="0.25">
      <c r="B105" s="652" t="s">
        <v>845</v>
      </c>
      <c r="C105" s="434" t="s">
        <v>206</v>
      </c>
      <c r="D105" s="163" t="s">
        <v>1136</v>
      </c>
      <c r="E105" s="1119">
        <v>0.21989657719773459</v>
      </c>
      <c r="F105" s="1119">
        <v>0.25265444015444022</v>
      </c>
      <c r="G105" s="1119">
        <v>0.27247515599722671</v>
      </c>
      <c r="H105" s="1119">
        <v>0.27543729982754372</v>
      </c>
      <c r="I105" s="1119">
        <v>0.2521891418563923</v>
      </c>
      <c r="J105" s="1119">
        <v>0.21779066956731929</v>
      </c>
      <c r="K105" s="1119">
        <v>0.23239257564200361</v>
      </c>
      <c r="L105" s="1119">
        <v>0.2493940862821134</v>
      </c>
      <c r="M105" s="1119">
        <v>0.21834992887624466</v>
      </c>
      <c r="N105" s="1119">
        <v>0.22816985645933013</v>
      </c>
      <c r="O105" s="1119">
        <v>0.21603641456582634</v>
      </c>
      <c r="P105" s="1119">
        <v>0.22135842880523732</v>
      </c>
      <c r="Q105" s="1119">
        <v>0.2161540672607071</v>
      </c>
      <c r="R105" s="1119">
        <v>6.1411192214111919E-2</v>
      </c>
      <c r="S105" s="1119">
        <v>0.19091360476663358</v>
      </c>
      <c r="T105" s="1119">
        <v>0.21742761692650334</v>
      </c>
      <c r="U105" s="1119">
        <v>0.23347701149425287</v>
      </c>
      <c r="V105" s="1119">
        <v>0.20316693505099301</v>
      </c>
      <c r="W105" s="1119">
        <v>0.16205533596837945</v>
      </c>
      <c r="X105" s="1119">
        <v>0.17839668799397818</v>
      </c>
      <c r="Y105" s="1119">
        <v>0.1674715085957118</v>
      </c>
      <c r="Z105" s="1119">
        <v>0.1560410164957646</v>
      </c>
      <c r="AA105" s="1119">
        <v>0.14698331193838254</v>
      </c>
      <c r="AB105" s="1119">
        <v>0.1572345390898483</v>
      </c>
      <c r="AC105" s="1119">
        <v>0.17130000000000001</v>
      </c>
      <c r="AD105" s="1119">
        <v>0.1973</v>
      </c>
      <c r="AE105" s="1119">
        <v>0.19159999999999999</v>
      </c>
      <c r="AF105" s="650">
        <v>8.3269201169770657E-2</v>
      </c>
      <c r="AG105" s="650">
        <v>8.3269201169770657E-2</v>
      </c>
      <c r="AH105" s="650">
        <v>8.3269201169770657E-2</v>
      </c>
      <c r="AI105" s="650">
        <v>8.3269201169770657E-2</v>
      </c>
      <c r="AJ105" s="650">
        <v>8.3269201169770657E-2</v>
      </c>
      <c r="AK105" s="650">
        <v>8.3269201169770657E-2</v>
      </c>
      <c r="AL105" s="650">
        <v>8.3269201169770657E-2</v>
      </c>
      <c r="AM105" s="650">
        <v>8.3269201169770657E-2</v>
      </c>
      <c r="AN105" s="650">
        <v>8.3269201169770657E-2</v>
      </c>
      <c r="AO105" s="650">
        <v>8.3269201169770657E-2</v>
      </c>
      <c r="AP105" s="650">
        <v>8.3269201169770657E-2</v>
      </c>
      <c r="AQ105" s="650">
        <v>8.3269201169770657E-2</v>
      </c>
      <c r="AR105" s="650">
        <v>8.3269201169770657E-2</v>
      </c>
      <c r="AS105" s="650">
        <v>8.3269201169770657E-2</v>
      </c>
      <c r="AT105" s="650">
        <v>8.3269201169770657E-2</v>
      </c>
      <c r="AU105" s="650">
        <v>8.3269201169770657E-2</v>
      </c>
      <c r="AV105" s="650">
        <v>8.3269201169770657E-2</v>
      </c>
      <c r="AW105" s="650">
        <v>8.3269201169770657E-2</v>
      </c>
      <c r="AX105" s="650">
        <v>8.3269201169770657E-2</v>
      </c>
      <c r="AY105" s="650">
        <v>8.3269201169770657E-2</v>
      </c>
      <c r="AZ105" s="650">
        <v>8.3269201169770657E-2</v>
      </c>
      <c r="BA105" s="650">
        <v>8.3269201169770657E-2</v>
      </c>
      <c r="BB105" s="650">
        <v>8.3269201169770657E-2</v>
      </c>
      <c r="BC105" s="650">
        <v>8.3269201169770657E-2</v>
      </c>
      <c r="BD105" s="650">
        <v>8.3269201169770657E-2</v>
      </c>
      <c r="BE105" s="650">
        <v>8.3269201169770657E-2</v>
      </c>
      <c r="BF105" s="650">
        <v>8.3269201169770657E-2</v>
      </c>
      <c r="BG105" s="650">
        <v>8.3269201169770657E-2</v>
      </c>
      <c r="BH105" s="650">
        <v>8.3269201169770657E-2</v>
      </c>
      <c r="BI105" s="650">
        <v>8.3269201169770657E-2</v>
      </c>
      <c r="BJ105" s="650">
        <v>8.3269201169770657E-2</v>
      </c>
      <c r="BK105" s="650">
        <v>8.3269201169770657E-2</v>
      </c>
      <c r="BL105" s="650">
        <v>8.3269201169770657E-2</v>
      </c>
    </row>
    <row r="106" spans="2:64" x14ac:dyDescent="0.25">
      <c r="B106" s="498"/>
      <c r="C106" s="434" t="s">
        <v>492</v>
      </c>
      <c r="D106" s="163" t="s">
        <v>1136</v>
      </c>
      <c r="E106" s="1119">
        <v>0.21989657719773459</v>
      </c>
      <c r="F106" s="1119">
        <v>0.25265444015444022</v>
      </c>
      <c r="G106" s="1119">
        <v>0.27247515599722671</v>
      </c>
      <c r="H106" s="1119">
        <v>0.27543729982754372</v>
      </c>
      <c r="I106" s="1119">
        <v>0.2521891418563923</v>
      </c>
      <c r="J106" s="1119">
        <v>0.21779066956731929</v>
      </c>
      <c r="K106" s="1119">
        <v>0.23239257564200361</v>
      </c>
      <c r="L106" s="1119">
        <v>0.2493940862821134</v>
      </c>
      <c r="M106" s="1119">
        <v>0.21834992887624466</v>
      </c>
      <c r="N106" s="1119">
        <v>0.22816985645933013</v>
      </c>
      <c r="O106" s="1119">
        <v>0.21603641456582634</v>
      </c>
      <c r="P106" s="1119">
        <v>0.22135842880523732</v>
      </c>
      <c r="Q106" s="1119">
        <v>0.2161540672607071</v>
      </c>
      <c r="R106" s="1119">
        <v>6.1411192214111919E-2</v>
      </c>
      <c r="S106" s="1119">
        <v>0.19091360476663358</v>
      </c>
      <c r="T106" s="1119">
        <v>0.21742761692650334</v>
      </c>
      <c r="U106" s="1119">
        <v>0.23347701149425287</v>
      </c>
      <c r="V106" s="1119">
        <v>0.20316693505099301</v>
      </c>
      <c r="W106" s="1119">
        <v>0.16205533596837945</v>
      </c>
      <c r="X106" s="1119">
        <v>0.17839668799397818</v>
      </c>
      <c r="Y106" s="1119">
        <v>0.1674715085957118</v>
      </c>
      <c r="Z106" s="1119">
        <v>0.1560410164957646</v>
      </c>
      <c r="AA106" s="1119">
        <v>0.14698331193838254</v>
      </c>
      <c r="AB106" s="1119">
        <v>0.1572345390898483</v>
      </c>
      <c r="AC106" s="1119">
        <v>0.17130000000000001</v>
      </c>
      <c r="AD106" s="1119">
        <v>0.1973</v>
      </c>
      <c r="AE106" s="1119">
        <v>0.19159999999999999</v>
      </c>
      <c r="AF106" s="650">
        <v>0.15</v>
      </c>
      <c r="AG106" s="650">
        <v>0.15</v>
      </c>
      <c r="AH106" s="650">
        <v>0.15</v>
      </c>
      <c r="AI106" s="650">
        <v>0.15</v>
      </c>
      <c r="AJ106" s="650">
        <v>0.15</v>
      </c>
      <c r="AK106" s="650">
        <v>0.15</v>
      </c>
      <c r="AL106" s="650">
        <v>0.18</v>
      </c>
      <c r="AM106" s="650">
        <v>0.18</v>
      </c>
      <c r="AN106" s="650">
        <v>0.18</v>
      </c>
      <c r="AO106" s="650">
        <v>0.18</v>
      </c>
      <c r="AP106" s="650">
        <v>0.18</v>
      </c>
      <c r="AQ106" s="650">
        <v>0.18</v>
      </c>
      <c r="AR106" s="650">
        <v>0.18</v>
      </c>
      <c r="AS106" s="650">
        <v>0.18</v>
      </c>
      <c r="AT106" s="650">
        <v>0.18</v>
      </c>
      <c r="AU106" s="650">
        <v>0.18</v>
      </c>
      <c r="AV106" s="650">
        <v>0.18</v>
      </c>
      <c r="AW106" s="650">
        <v>0.18</v>
      </c>
      <c r="AX106" s="650">
        <v>0.18</v>
      </c>
      <c r="AY106" s="650">
        <v>0.18</v>
      </c>
      <c r="AZ106" s="650">
        <v>0.18</v>
      </c>
      <c r="BA106" s="650">
        <v>0.18</v>
      </c>
      <c r="BB106" s="650">
        <v>0.18</v>
      </c>
      <c r="BC106" s="650">
        <v>0.18</v>
      </c>
      <c r="BD106" s="650">
        <v>0.18</v>
      </c>
      <c r="BE106" s="650">
        <v>0.18</v>
      </c>
      <c r="BF106" s="650">
        <v>0.18</v>
      </c>
      <c r="BG106" s="650">
        <v>0.18</v>
      </c>
      <c r="BH106" s="650">
        <v>0.18</v>
      </c>
      <c r="BI106" s="650">
        <v>0.18</v>
      </c>
      <c r="BJ106" s="650">
        <v>0.18</v>
      </c>
      <c r="BK106" s="650">
        <v>0.18</v>
      </c>
      <c r="BL106" s="650">
        <v>0.18</v>
      </c>
    </row>
    <row r="107" spans="2:64" x14ac:dyDescent="0.25">
      <c r="E107" s="223"/>
      <c r="F107" s="223"/>
      <c r="G107" s="223"/>
      <c r="H107" s="223"/>
      <c r="I107" s="223"/>
      <c r="J107" s="223"/>
      <c r="K107" s="223"/>
      <c r="L107" s="223"/>
      <c r="M107" s="223"/>
      <c r="N107" s="223"/>
      <c r="O107" s="223"/>
      <c r="P107" s="223"/>
      <c r="Q107" s="223"/>
      <c r="R107" s="223"/>
      <c r="S107" s="223"/>
      <c r="T107" s="223"/>
      <c r="U107" s="223"/>
      <c r="V107" s="223"/>
      <c r="W107" s="223"/>
      <c r="X107" s="223"/>
    </row>
    <row r="108" spans="2:64" x14ac:dyDescent="0.25">
      <c r="B108" s="498" t="s">
        <v>840</v>
      </c>
      <c r="E108" s="223"/>
      <c r="F108" s="223"/>
      <c r="G108" s="223"/>
      <c r="H108" s="223"/>
      <c r="I108" s="223"/>
      <c r="J108" s="223"/>
      <c r="K108" s="223"/>
      <c r="L108" s="223"/>
      <c r="M108" s="223"/>
      <c r="N108" s="223"/>
      <c r="O108" s="223"/>
      <c r="P108" s="223"/>
      <c r="Q108" s="223"/>
      <c r="R108" s="223"/>
      <c r="S108" s="223"/>
      <c r="T108" s="223"/>
      <c r="U108" s="223"/>
      <c r="V108" s="223"/>
      <c r="W108" s="223"/>
      <c r="X108" s="223"/>
    </row>
    <row r="109" spans="2:64" hidden="1" x14ac:dyDescent="0.25">
      <c r="B109" s="49" t="s">
        <v>817</v>
      </c>
      <c r="C109" s="434" t="s">
        <v>389</v>
      </c>
      <c r="D109" s="163" t="s">
        <v>824</v>
      </c>
      <c r="E109" s="637"/>
      <c r="F109" s="637"/>
      <c r="G109" s="637"/>
      <c r="H109" s="637"/>
      <c r="I109" s="637"/>
      <c r="J109" s="637"/>
      <c r="K109" s="637"/>
      <c r="L109" s="637"/>
      <c r="M109" s="637"/>
      <c r="N109" s="637"/>
      <c r="O109" s="637"/>
      <c r="P109" s="637"/>
      <c r="Q109" s="637"/>
      <c r="AB109" s="637"/>
      <c r="AC109" s="637"/>
      <c r="AD109" s="637"/>
      <c r="AE109" s="637"/>
      <c r="AF109" s="637"/>
      <c r="AG109" s="637"/>
      <c r="AH109" s="637"/>
      <c r="AI109" s="637"/>
      <c r="AJ109" s="637"/>
      <c r="AK109" s="637"/>
      <c r="AL109" s="637"/>
      <c r="AM109" s="637"/>
      <c r="AN109" s="637"/>
      <c r="AO109" s="637"/>
      <c r="AP109" s="637"/>
      <c r="AQ109" s="637"/>
      <c r="AR109" s="637"/>
      <c r="AS109" s="637"/>
      <c r="AT109" s="637"/>
      <c r="AU109" s="637"/>
      <c r="AV109" s="637"/>
      <c r="AW109" s="637"/>
      <c r="AX109" s="637"/>
      <c r="AY109" s="637"/>
      <c r="AZ109" s="637"/>
      <c r="BA109" s="637"/>
      <c r="BL109" s="637"/>
    </row>
    <row r="110" spans="2:64" hidden="1" x14ac:dyDescent="0.25">
      <c r="B110" s="498"/>
      <c r="C110" s="434" t="s">
        <v>390</v>
      </c>
      <c r="D110" s="163" t="s">
        <v>824</v>
      </c>
      <c r="E110" s="637"/>
      <c r="F110" s="637"/>
      <c r="G110" s="637"/>
      <c r="H110" s="637"/>
      <c r="I110" s="637"/>
      <c r="J110" s="637"/>
      <c r="K110" s="637"/>
      <c r="L110" s="637"/>
      <c r="M110" s="637"/>
      <c r="N110" s="637"/>
      <c r="O110" s="637"/>
      <c r="P110" s="637"/>
      <c r="Q110" s="637"/>
      <c r="AB110" s="637"/>
      <c r="AC110" s="637"/>
      <c r="AD110" s="637"/>
      <c r="AE110" s="637"/>
      <c r="AF110" s="637"/>
      <c r="AG110" s="637"/>
      <c r="AH110" s="637"/>
      <c r="AI110" s="637"/>
      <c r="AJ110" s="637"/>
      <c r="AK110" s="637"/>
      <c r="AL110" s="637"/>
      <c r="AM110" s="637"/>
      <c r="AN110" s="637"/>
      <c r="AO110" s="637"/>
      <c r="AP110" s="637"/>
      <c r="AQ110" s="637"/>
      <c r="AR110" s="637"/>
      <c r="AS110" s="637"/>
      <c r="AT110" s="637"/>
      <c r="AU110" s="637"/>
      <c r="AV110" s="637"/>
      <c r="AW110" s="637"/>
      <c r="AX110" s="637"/>
      <c r="AY110" s="637"/>
      <c r="AZ110" s="637"/>
      <c r="BA110" s="637"/>
      <c r="BL110" s="637"/>
    </row>
    <row r="111" spans="2:64" hidden="1" x14ac:dyDescent="0.25">
      <c r="B111" s="498"/>
      <c r="C111" s="434" t="s">
        <v>444</v>
      </c>
      <c r="D111" s="163" t="s">
        <v>824</v>
      </c>
      <c r="E111" s="637"/>
      <c r="F111" s="637"/>
      <c r="G111" s="637"/>
      <c r="H111" s="637"/>
      <c r="I111" s="637"/>
      <c r="J111" s="637"/>
      <c r="K111" s="637"/>
      <c r="L111" s="637"/>
      <c r="M111" s="637"/>
      <c r="N111" s="637"/>
      <c r="O111" s="637"/>
      <c r="P111" s="637"/>
      <c r="Q111" s="637"/>
      <c r="AB111" s="637"/>
      <c r="AC111" s="637"/>
      <c r="AD111" s="637"/>
      <c r="AE111" s="637"/>
      <c r="AF111" s="637"/>
      <c r="AG111" s="637"/>
      <c r="AH111" s="637"/>
      <c r="AI111" s="637"/>
      <c r="AJ111" s="637"/>
      <c r="AK111" s="637"/>
      <c r="AL111" s="637"/>
      <c r="AM111" s="637"/>
      <c r="AN111" s="637"/>
      <c r="AO111" s="637"/>
      <c r="AP111" s="637"/>
      <c r="AQ111" s="637"/>
      <c r="AR111" s="637"/>
      <c r="AS111" s="637"/>
      <c r="AT111" s="637"/>
      <c r="AU111" s="637"/>
      <c r="AV111" s="637"/>
      <c r="AW111" s="637"/>
      <c r="AX111" s="637"/>
      <c r="AY111" s="637"/>
      <c r="AZ111" s="637"/>
      <c r="BA111" s="637"/>
      <c r="BL111" s="637"/>
    </row>
    <row r="112" spans="2:64" hidden="1" x14ac:dyDescent="0.25">
      <c r="B112" s="498"/>
      <c r="C112" s="434" t="s">
        <v>451</v>
      </c>
      <c r="D112" s="163" t="s">
        <v>824</v>
      </c>
      <c r="E112" s="637"/>
      <c r="F112" s="637"/>
      <c r="G112" s="637"/>
      <c r="H112" s="637"/>
      <c r="I112" s="637"/>
      <c r="J112" s="637"/>
      <c r="K112" s="637"/>
      <c r="L112" s="637"/>
      <c r="M112" s="637"/>
      <c r="N112" s="637"/>
      <c r="O112" s="637"/>
      <c r="P112" s="637"/>
      <c r="Q112" s="637"/>
      <c r="AB112" s="637"/>
      <c r="AC112" s="637"/>
      <c r="AD112" s="637"/>
      <c r="AE112" s="637"/>
      <c r="AF112" s="637"/>
      <c r="AG112" s="637"/>
      <c r="AH112" s="637"/>
      <c r="AI112" s="637"/>
      <c r="AJ112" s="637"/>
      <c r="AK112" s="637"/>
      <c r="AL112" s="637"/>
      <c r="AM112" s="637"/>
      <c r="AN112" s="637"/>
      <c r="AO112" s="637"/>
      <c r="AP112" s="637"/>
      <c r="AQ112" s="637"/>
      <c r="AR112" s="637"/>
      <c r="AS112" s="637"/>
      <c r="AT112" s="637"/>
      <c r="AU112" s="637"/>
      <c r="AV112" s="637"/>
      <c r="AW112" s="637"/>
      <c r="AX112" s="637"/>
      <c r="AY112" s="637"/>
      <c r="AZ112" s="637"/>
      <c r="BA112" s="637"/>
      <c r="BL112" s="637"/>
    </row>
    <row r="113" spans="2:64" hidden="1" x14ac:dyDescent="0.25">
      <c r="B113" s="498"/>
      <c r="C113" s="434" t="s">
        <v>206</v>
      </c>
      <c r="D113" s="163" t="s">
        <v>824</v>
      </c>
      <c r="E113" s="641"/>
      <c r="F113" s="637"/>
      <c r="G113" s="637"/>
      <c r="H113" s="637"/>
      <c r="I113" s="637"/>
      <c r="J113" s="637"/>
      <c r="K113" s="637"/>
      <c r="L113" s="637"/>
      <c r="M113" s="637"/>
      <c r="N113" s="637"/>
      <c r="O113" s="637"/>
      <c r="P113" s="637"/>
      <c r="Q113" s="637"/>
      <c r="AB113" s="641"/>
      <c r="AC113" s="637"/>
      <c r="AD113" s="637"/>
      <c r="AE113" s="637"/>
      <c r="AF113" s="637"/>
      <c r="AG113" s="637"/>
      <c r="AH113" s="637"/>
      <c r="AI113" s="637"/>
      <c r="AJ113" s="637"/>
      <c r="AK113" s="637"/>
      <c r="AL113" s="637"/>
      <c r="AM113" s="637"/>
      <c r="AN113" s="637"/>
      <c r="AO113" s="641"/>
      <c r="AP113" s="637"/>
      <c r="AQ113" s="637"/>
      <c r="AR113" s="637"/>
      <c r="AS113" s="637"/>
      <c r="AT113" s="637"/>
      <c r="AU113" s="637"/>
      <c r="AV113" s="637"/>
      <c r="AW113" s="637"/>
      <c r="AX113" s="637"/>
      <c r="AY113" s="637"/>
      <c r="AZ113" s="637"/>
      <c r="BA113" s="637"/>
      <c r="BL113" s="637"/>
    </row>
    <row r="114" spans="2:64" hidden="1" x14ac:dyDescent="0.25">
      <c r="B114" s="498"/>
      <c r="C114" s="434" t="s">
        <v>492</v>
      </c>
      <c r="D114" s="163" t="s">
        <v>824</v>
      </c>
      <c r="E114" s="641"/>
      <c r="F114" s="637"/>
      <c r="G114" s="637"/>
      <c r="H114" s="637"/>
      <c r="I114" s="637"/>
      <c r="J114" s="637"/>
      <c r="K114" s="637"/>
      <c r="L114" s="637"/>
      <c r="M114" s="637"/>
      <c r="N114" s="637"/>
      <c r="O114" s="637"/>
      <c r="P114" s="637"/>
      <c r="Q114" s="637"/>
      <c r="AB114" s="641"/>
      <c r="AC114" s="637"/>
      <c r="AD114" s="637"/>
      <c r="AE114" s="637"/>
      <c r="AF114" s="637"/>
      <c r="AG114" s="637"/>
      <c r="AH114" s="637"/>
      <c r="AI114" s="637"/>
      <c r="AJ114" s="637"/>
      <c r="AK114" s="637"/>
      <c r="AL114" s="637"/>
      <c r="AM114" s="637"/>
      <c r="AN114" s="637"/>
      <c r="AO114" s="641"/>
      <c r="AP114" s="637"/>
      <c r="AQ114" s="637"/>
      <c r="AR114" s="637"/>
      <c r="AS114" s="637"/>
      <c r="AT114" s="637"/>
      <c r="AU114" s="637"/>
      <c r="AV114" s="637"/>
      <c r="AW114" s="637"/>
      <c r="AX114" s="637"/>
      <c r="AY114" s="637"/>
      <c r="AZ114" s="637"/>
      <c r="BA114" s="637"/>
      <c r="BL114" s="637"/>
    </row>
    <row r="115" spans="2:64" hidden="1" x14ac:dyDescent="0.25">
      <c r="B115" s="49" t="s">
        <v>818</v>
      </c>
      <c r="C115" s="434" t="s">
        <v>389</v>
      </c>
      <c r="D115" s="163" t="s">
        <v>829</v>
      </c>
      <c r="E115" s="641"/>
      <c r="F115" s="637"/>
      <c r="G115" s="637"/>
      <c r="H115" s="637"/>
      <c r="I115" s="637"/>
      <c r="J115" s="637"/>
      <c r="K115" s="637"/>
      <c r="L115" s="637"/>
      <c r="M115" s="637"/>
      <c r="N115" s="637"/>
      <c r="O115" s="637"/>
      <c r="P115" s="637"/>
      <c r="Q115" s="637"/>
      <c r="AB115" s="641"/>
      <c r="AC115" s="637"/>
      <c r="AD115" s="637"/>
      <c r="AE115" s="637"/>
      <c r="AF115" s="637"/>
      <c r="AG115" s="637"/>
      <c r="AH115" s="637"/>
      <c r="AI115" s="637"/>
      <c r="AJ115" s="637"/>
      <c r="AK115" s="637"/>
      <c r="AL115" s="637"/>
      <c r="AM115" s="637"/>
      <c r="AN115" s="637"/>
      <c r="AO115" s="641"/>
      <c r="AP115" s="637"/>
      <c r="AQ115" s="637"/>
      <c r="AR115" s="637"/>
      <c r="AS115" s="637"/>
      <c r="AT115" s="637"/>
      <c r="AU115" s="637"/>
      <c r="AV115" s="637"/>
      <c r="AW115" s="637"/>
      <c r="AX115" s="637"/>
      <c r="AY115" s="637"/>
      <c r="AZ115" s="637"/>
      <c r="BA115" s="637"/>
      <c r="BL115" s="637"/>
    </row>
    <row r="116" spans="2:64" hidden="1" x14ac:dyDescent="0.25">
      <c r="B116" s="498"/>
      <c r="C116" s="434" t="s">
        <v>390</v>
      </c>
      <c r="D116" s="163" t="s">
        <v>829</v>
      </c>
      <c r="E116" s="641"/>
      <c r="F116" s="637"/>
      <c r="G116" s="637"/>
      <c r="H116" s="637"/>
      <c r="I116" s="637"/>
      <c r="J116" s="637"/>
      <c r="K116" s="637"/>
      <c r="L116" s="637"/>
      <c r="M116" s="637"/>
      <c r="N116" s="637"/>
      <c r="O116" s="637"/>
      <c r="P116" s="637"/>
      <c r="Q116" s="637"/>
      <c r="AB116" s="641"/>
      <c r="AC116" s="637"/>
      <c r="AD116" s="637"/>
      <c r="AE116" s="637"/>
      <c r="AF116" s="637"/>
      <c r="AG116" s="637"/>
      <c r="AH116" s="637"/>
      <c r="AI116" s="637"/>
      <c r="AJ116" s="637"/>
      <c r="AK116" s="637"/>
      <c r="AL116" s="637"/>
      <c r="AM116" s="637"/>
      <c r="AN116" s="637"/>
      <c r="AO116" s="641"/>
      <c r="AP116" s="637"/>
      <c r="AQ116" s="637"/>
      <c r="AR116" s="637"/>
      <c r="AS116" s="637"/>
      <c r="AT116" s="637"/>
      <c r="AU116" s="637"/>
      <c r="AV116" s="637"/>
      <c r="AW116" s="637"/>
      <c r="AX116" s="637"/>
      <c r="AY116" s="637"/>
      <c r="AZ116" s="637"/>
      <c r="BA116" s="637"/>
      <c r="BL116" s="637"/>
    </row>
    <row r="117" spans="2:64" hidden="1" x14ac:dyDescent="0.25">
      <c r="B117" s="498"/>
      <c r="C117" s="434" t="s">
        <v>444</v>
      </c>
      <c r="D117" s="163" t="s">
        <v>829</v>
      </c>
      <c r="E117" s="641"/>
      <c r="F117" s="637"/>
      <c r="G117" s="637"/>
      <c r="H117" s="637"/>
      <c r="I117" s="637"/>
      <c r="J117" s="637"/>
      <c r="K117" s="637"/>
      <c r="L117" s="637"/>
      <c r="M117" s="637"/>
      <c r="N117" s="637"/>
      <c r="O117" s="637"/>
      <c r="P117" s="637"/>
      <c r="Q117" s="637"/>
      <c r="AB117" s="641"/>
      <c r="AC117" s="637"/>
      <c r="AD117" s="637"/>
      <c r="AE117" s="637"/>
      <c r="AF117" s="637"/>
      <c r="AG117" s="637"/>
      <c r="AH117" s="637"/>
      <c r="AI117" s="637"/>
      <c r="AJ117" s="637"/>
      <c r="AK117" s="637"/>
      <c r="AL117" s="637"/>
      <c r="AM117" s="637"/>
      <c r="AN117" s="637"/>
      <c r="AO117" s="641"/>
      <c r="AP117" s="637"/>
      <c r="AQ117" s="637"/>
      <c r="AR117" s="637"/>
      <c r="AS117" s="637"/>
      <c r="AT117" s="637"/>
      <c r="AU117" s="637"/>
      <c r="AV117" s="637"/>
      <c r="AW117" s="637"/>
      <c r="AX117" s="637"/>
      <c r="AY117" s="637"/>
      <c r="AZ117" s="637"/>
      <c r="BA117" s="637"/>
      <c r="BL117" s="637"/>
    </row>
    <row r="118" spans="2:64" hidden="1" x14ac:dyDescent="0.25">
      <c r="B118" s="498"/>
      <c r="C118" s="434" t="s">
        <v>451</v>
      </c>
      <c r="D118" s="163" t="s">
        <v>829</v>
      </c>
      <c r="E118" s="641"/>
      <c r="F118" s="637"/>
      <c r="G118" s="637"/>
      <c r="H118" s="637"/>
      <c r="I118" s="637"/>
      <c r="J118" s="637"/>
      <c r="K118" s="637"/>
      <c r="L118" s="637"/>
      <c r="M118" s="637"/>
      <c r="N118" s="637"/>
      <c r="O118" s="637"/>
      <c r="P118" s="637"/>
      <c r="Q118" s="637"/>
      <c r="AB118" s="641"/>
      <c r="AC118" s="637"/>
      <c r="AD118" s="637"/>
      <c r="AE118" s="637"/>
      <c r="AF118" s="637"/>
      <c r="AG118" s="637"/>
      <c r="AH118" s="637"/>
      <c r="AI118" s="637"/>
      <c r="AJ118" s="637"/>
      <c r="AK118" s="637"/>
      <c r="AL118" s="637"/>
      <c r="AM118" s="637"/>
      <c r="AN118" s="637"/>
      <c r="AO118" s="641"/>
      <c r="AP118" s="637"/>
      <c r="AQ118" s="637"/>
      <c r="AR118" s="637"/>
      <c r="AS118" s="637"/>
      <c r="AT118" s="637"/>
      <c r="AU118" s="637"/>
      <c r="AV118" s="637"/>
      <c r="AW118" s="637"/>
      <c r="AX118" s="637"/>
      <c r="AY118" s="637"/>
      <c r="AZ118" s="637"/>
      <c r="BA118" s="637"/>
      <c r="BL118" s="637"/>
    </row>
    <row r="119" spans="2:64" hidden="1" x14ac:dyDescent="0.25">
      <c r="B119" s="498"/>
      <c r="C119" s="434" t="s">
        <v>206</v>
      </c>
      <c r="D119" s="163" t="s">
        <v>829</v>
      </c>
      <c r="E119" s="641"/>
      <c r="F119" s="637"/>
      <c r="G119" s="637"/>
      <c r="H119" s="637"/>
      <c r="I119" s="637"/>
      <c r="J119" s="637"/>
      <c r="K119" s="637"/>
      <c r="L119" s="637"/>
      <c r="M119" s="637"/>
      <c r="N119" s="637"/>
      <c r="O119" s="637"/>
      <c r="P119" s="637"/>
      <c r="Q119" s="637"/>
      <c r="AB119" s="641"/>
      <c r="AC119" s="637"/>
      <c r="AD119" s="637"/>
      <c r="AE119" s="637"/>
      <c r="AF119" s="637"/>
      <c r="AG119" s="637"/>
      <c r="AH119" s="637"/>
      <c r="AI119" s="637"/>
      <c r="AJ119" s="637"/>
      <c r="AK119" s="637"/>
      <c r="AL119" s="637"/>
      <c r="AM119" s="637"/>
      <c r="AN119" s="637"/>
      <c r="AO119" s="641"/>
      <c r="AP119" s="637"/>
      <c r="AQ119" s="637"/>
      <c r="AR119" s="637"/>
      <c r="AS119" s="637"/>
      <c r="AT119" s="637"/>
      <c r="AU119" s="637"/>
      <c r="AV119" s="637"/>
      <c r="AW119" s="637"/>
      <c r="AX119" s="637"/>
      <c r="AY119" s="637"/>
      <c r="AZ119" s="637"/>
      <c r="BA119" s="637"/>
      <c r="BL119" s="637"/>
    </row>
    <row r="120" spans="2:64" hidden="1" x14ac:dyDescent="0.25">
      <c r="B120" s="498"/>
      <c r="C120" s="434" t="s">
        <v>492</v>
      </c>
      <c r="D120" s="163" t="s">
        <v>829</v>
      </c>
      <c r="E120" s="641"/>
      <c r="F120" s="637"/>
      <c r="G120" s="637"/>
      <c r="H120" s="637"/>
      <c r="I120" s="637"/>
      <c r="J120" s="637"/>
      <c r="K120" s="637"/>
      <c r="L120" s="637"/>
      <c r="M120" s="637"/>
      <c r="N120" s="637"/>
      <c r="O120" s="637"/>
      <c r="P120" s="637"/>
      <c r="Q120" s="637"/>
      <c r="AB120" s="641"/>
      <c r="AC120" s="637"/>
      <c r="AD120" s="637"/>
      <c r="AE120" s="637"/>
      <c r="AF120" s="637"/>
      <c r="AG120" s="637"/>
      <c r="AH120" s="637"/>
      <c r="AI120" s="637"/>
      <c r="AJ120" s="637"/>
      <c r="AK120" s="637"/>
      <c r="AL120" s="637"/>
      <c r="AM120" s="637"/>
      <c r="AN120" s="637"/>
      <c r="AO120" s="641"/>
      <c r="AP120" s="637"/>
      <c r="AQ120" s="637"/>
      <c r="AR120" s="637"/>
      <c r="AS120" s="637"/>
      <c r="AT120" s="637"/>
      <c r="AU120" s="637"/>
      <c r="AV120" s="637"/>
      <c r="AW120" s="637"/>
      <c r="AX120" s="637"/>
      <c r="AY120" s="637"/>
      <c r="AZ120" s="637"/>
      <c r="BA120" s="637"/>
      <c r="BL120" s="637"/>
    </row>
    <row r="121" spans="2:64" hidden="1" x14ac:dyDescent="0.25">
      <c r="B121" s="49" t="s">
        <v>819</v>
      </c>
      <c r="C121" s="434" t="s">
        <v>389</v>
      </c>
      <c r="D121" s="163" t="s">
        <v>832</v>
      </c>
      <c r="E121" s="641"/>
      <c r="F121" s="637"/>
      <c r="G121" s="637"/>
      <c r="H121" s="637"/>
      <c r="I121" s="637"/>
      <c r="J121" s="637"/>
      <c r="K121" s="637"/>
      <c r="L121" s="637"/>
      <c r="M121" s="637"/>
      <c r="N121" s="637"/>
      <c r="O121" s="637"/>
      <c r="P121" s="637"/>
      <c r="Q121" s="637"/>
      <c r="AB121" s="641"/>
      <c r="AC121" s="637"/>
      <c r="AD121" s="637"/>
      <c r="AE121" s="637"/>
      <c r="AF121" s="637"/>
      <c r="AG121" s="637"/>
      <c r="AH121" s="637"/>
      <c r="AI121" s="637"/>
      <c r="AJ121" s="637"/>
      <c r="AK121" s="637"/>
      <c r="AL121" s="637"/>
      <c r="AM121" s="637"/>
      <c r="AN121" s="637"/>
      <c r="AO121" s="641"/>
      <c r="AP121" s="637"/>
      <c r="AQ121" s="637"/>
      <c r="AR121" s="637"/>
      <c r="AS121" s="637"/>
      <c r="AT121" s="637"/>
      <c r="AU121" s="637"/>
      <c r="AV121" s="637"/>
      <c r="AW121" s="637"/>
      <c r="AX121" s="637"/>
      <c r="AY121" s="637"/>
      <c r="AZ121" s="637"/>
      <c r="BA121" s="637"/>
      <c r="BL121" s="637"/>
    </row>
    <row r="122" spans="2:64" hidden="1" x14ac:dyDescent="0.25">
      <c r="B122" s="498"/>
      <c r="C122" s="434" t="s">
        <v>390</v>
      </c>
      <c r="D122" s="163" t="s">
        <v>832</v>
      </c>
      <c r="E122" s="641"/>
      <c r="F122" s="637"/>
      <c r="G122" s="637"/>
      <c r="H122" s="637"/>
      <c r="I122" s="637"/>
      <c r="J122" s="637"/>
      <c r="K122" s="637"/>
      <c r="L122" s="637"/>
      <c r="M122" s="637"/>
      <c r="N122" s="637"/>
      <c r="O122" s="637"/>
      <c r="P122" s="637"/>
      <c r="Q122" s="637"/>
      <c r="AB122" s="641"/>
      <c r="AC122" s="637"/>
      <c r="AD122" s="637"/>
      <c r="AE122" s="637"/>
      <c r="AF122" s="637"/>
      <c r="AG122" s="637"/>
      <c r="AH122" s="637"/>
      <c r="AI122" s="637"/>
      <c r="AJ122" s="637"/>
      <c r="AK122" s="637"/>
      <c r="AL122" s="637"/>
      <c r="AM122" s="637"/>
      <c r="AN122" s="637"/>
      <c r="AO122" s="641"/>
      <c r="AP122" s="637"/>
      <c r="AQ122" s="637"/>
      <c r="AR122" s="637"/>
      <c r="AS122" s="637"/>
      <c r="AT122" s="637"/>
      <c r="AU122" s="637"/>
      <c r="AV122" s="637"/>
      <c r="AW122" s="637"/>
      <c r="AX122" s="637"/>
      <c r="AY122" s="637"/>
      <c r="AZ122" s="637"/>
      <c r="BA122" s="637"/>
      <c r="BL122" s="637"/>
    </row>
    <row r="123" spans="2:64" hidden="1" x14ac:dyDescent="0.25">
      <c r="B123" s="498"/>
      <c r="C123" s="434" t="s">
        <v>444</v>
      </c>
      <c r="D123" s="163" t="s">
        <v>832</v>
      </c>
      <c r="E123" s="641"/>
      <c r="F123" s="637"/>
      <c r="G123" s="637"/>
      <c r="H123" s="637"/>
      <c r="I123" s="637"/>
      <c r="J123" s="637"/>
      <c r="K123" s="637"/>
      <c r="L123" s="637"/>
      <c r="M123" s="637"/>
      <c r="N123" s="637"/>
      <c r="O123" s="637"/>
      <c r="P123" s="637"/>
      <c r="Q123" s="637"/>
      <c r="AB123" s="641"/>
      <c r="AC123" s="637"/>
      <c r="AD123" s="637"/>
      <c r="AE123" s="637"/>
      <c r="AF123" s="637"/>
      <c r="AG123" s="637"/>
      <c r="AH123" s="637"/>
      <c r="AI123" s="637"/>
      <c r="AJ123" s="637"/>
      <c r="AK123" s="637"/>
      <c r="AL123" s="637"/>
      <c r="AM123" s="637"/>
      <c r="AN123" s="637"/>
      <c r="AO123" s="641"/>
      <c r="AP123" s="637"/>
      <c r="AQ123" s="637"/>
      <c r="AR123" s="637"/>
      <c r="AS123" s="637"/>
      <c r="AT123" s="637"/>
      <c r="AU123" s="637"/>
      <c r="AV123" s="637"/>
      <c r="AW123" s="637"/>
      <c r="AX123" s="637"/>
      <c r="AY123" s="637"/>
      <c r="AZ123" s="637"/>
      <c r="BA123" s="637"/>
      <c r="BL123" s="637"/>
    </row>
    <row r="124" spans="2:64" hidden="1" x14ac:dyDescent="0.25">
      <c r="B124" s="498"/>
      <c r="C124" s="434" t="s">
        <v>451</v>
      </c>
      <c r="D124" s="163" t="s">
        <v>832</v>
      </c>
      <c r="E124" s="641"/>
      <c r="F124" s="637"/>
      <c r="G124" s="637"/>
      <c r="H124" s="637"/>
      <c r="I124" s="637"/>
      <c r="J124" s="637"/>
      <c r="K124" s="637"/>
      <c r="L124" s="637"/>
      <c r="M124" s="637"/>
      <c r="N124" s="637"/>
      <c r="O124" s="637"/>
      <c r="P124" s="637"/>
      <c r="Q124" s="637"/>
      <c r="AB124" s="641"/>
      <c r="AC124" s="637"/>
      <c r="AD124" s="637"/>
      <c r="AE124" s="637"/>
      <c r="AF124" s="637"/>
      <c r="AG124" s="637"/>
      <c r="AH124" s="637"/>
      <c r="AI124" s="637"/>
      <c r="AJ124" s="637"/>
      <c r="AK124" s="637"/>
      <c r="AL124" s="637"/>
      <c r="AM124" s="637"/>
      <c r="AN124" s="637"/>
      <c r="AO124" s="641"/>
      <c r="AP124" s="637"/>
      <c r="AQ124" s="637"/>
      <c r="AR124" s="637"/>
      <c r="AS124" s="637"/>
      <c r="AT124" s="637"/>
      <c r="AU124" s="637"/>
      <c r="AV124" s="637"/>
      <c r="AW124" s="637"/>
      <c r="AX124" s="637"/>
      <c r="AY124" s="637"/>
      <c r="AZ124" s="637"/>
      <c r="BA124" s="637"/>
      <c r="BL124" s="637"/>
    </row>
    <row r="125" spans="2:64" hidden="1" x14ac:dyDescent="0.25">
      <c r="B125" s="498"/>
      <c r="C125" s="434" t="s">
        <v>206</v>
      </c>
      <c r="D125" s="163" t="s">
        <v>832</v>
      </c>
      <c r="E125" s="641"/>
      <c r="F125" s="637"/>
      <c r="G125" s="637"/>
      <c r="H125" s="637"/>
      <c r="I125" s="637"/>
      <c r="J125" s="637"/>
      <c r="K125" s="637"/>
      <c r="L125" s="637"/>
      <c r="M125" s="637"/>
      <c r="N125" s="637"/>
      <c r="O125" s="637"/>
      <c r="P125" s="637"/>
      <c r="Q125" s="637"/>
      <c r="AB125" s="641"/>
      <c r="AC125" s="637"/>
      <c r="AD125" s="637"/>
      <c r="AE125" s="637"/>
      <c r="AF125" s="637"/>
      <c r="AG125" s="637"/>
      <c r="AH125" s="637"/>
      <c r="AI125" s="637"/>
      <c r="AJ125" s="637"/>
      <c r="AK125" s="637"/>
      <c r="AL125" s="637"/>
      <c r="AM125" s="637"/>
      <c r="AN125" s="637"/>
      <c r="AO125" s="641"/>
      <c r="AP125" s="637"/>
      <c r="AQ125" s="637"/>
      <c r="AR125" s="637"/>
      <c r="AS125" s="637"/>
      <c r="AT125" s="637"/>
      <c r="AU125" s="637"/>
      <c r="AV125" s="637"/>
      <c r="AW125" s="637"/>
      <c r="AX125" s="637"/>
      <c r="AY125" s="637"/>
      <c r="AZ125" s="637"/>
      <c r="BA125" s="637"/>
      <c r="BL125" s="637"/>
    </row>
    <row r="126" spans="2:64" hidden="1" x14ac:dyDescent="0.25">
      <c r="B126" s="498"/>
      <c r="C126" s="434" t="s">
        <v>492</v>
      </c>
      <c r="D126" s="163" t="s">
        <v>832</v>
      </c>
      <c r="E126" s="641"/>
      <c r="F126" s="637"/>
      <c r="G126" s="637"/>
      <c r="H126" s="637"/>
      <c r="I126" s="637"/>
      <c r="J126" s="637"/>
      <c r="K126" s="637"/>
      <c r="L126" s="637"/>
      <c r="M126" s="637"/>
      <c r="N126" s="637"/>
      <c r="O126" s="637"/>
      <c r="P126" s="637"/>
      <c r="Q126" s="637"/>
      <c r="AB126" s="641"/>
      <c r="AC126" s="637"/>
      <c r="AD126" s="637"/>
      <c r="AE126" s="637"/>
      <c r="AF126" s="637"/>
      <c r="AG126" s="637"/>
      <c r="AH126" s="637"/>
      <c r="AI126" s="637"/>
      <c r="AJ126" s="637"/>
      <c r="AK126" s="637"/>
      <c r="AL126" s="637"/>
      <c r="AM126" s="637"/>
      <c r="AN126" s="637"/>
      <c r="AO126" s="641"/>
      <c r="AP126" s="637"/>
      <c r="AQ126" s="637"/>
      <c r="AR126" s="637"/>
      <c r="AS126" s="637"/>
      <c r="AT126" s="637"/>
      <c r="AU126" s="637"/>
      <c r="AV126" s="637"/>
      <c r="AW126" s="637"/>
      <c r="AX126" s="637"/>
      <c r="AY126" s="637"/>
      <c r="AZ126" s="637"/>
      <c r="BA126" s="637"/>
      <c r="BL126" s="637"/>
    </row>
    <row r="127" spans="2:64" x14ac:dyDescent="0.25">
      <c r="B127" s="49" t="s">
        <v>48</v>
      </c>
      <c r="C127" s="434" t="s">
        <v>389</v>
      </c>
      <c r="D127" s="163" t="s">
        <v>836</v>
      </c>
      <c r="E127" s="1120">
        <v>91250.8</v>
      </c>
      <c r="F127" s="1120">
        <v>137787.19999999998</v>
      </c>
      <c r="G127" s="1120">
        <v>162742.02000000002</v>
      </c>
      <c r="H127" s="1120">
        <v>151877.41</v>
      </c>
      <c r="I127" s="1120">
        <v>115310.32</v>
      </c>
      <c r="J127" s="1120">
        <v>133316.34</v>
      </c>
      <c r="K127" s="1120">
        <v>125631.40000000001</v>
      </c>
      <c r="L127" s="1120">
        <v>142464.76</v>
      </c>
      <c r="M127" s="1120">
        <v>143788.80000000005</v>
      </c>
      <c r="N127" s="1120">
        <v>156742.78</v>
      </c>
      <c r="O127" s="1120">
        <v>88581.16</v>
      </c>
      <c r="P127" s="1120">
        <v>60219.11</v>
      </c>
      <c r="Q127" s="1120">
        <v>253256.75</v>
      </c>
      <c r="R127" s="1120">
        <v>176428.62999999998</v>
      </c>
      <c r="S127" s="1120">
        <v>245214.31</v>
      </c>
      <c r="T127" s="1120">
        <v>235310.52000000002</v>
      </c>
      <c r="U127" s="1120">
        <v>270919.63</v>
      </c>
      <c r="V127" s="1120">
        <v>441594.77</v>
      </c>
      <c r="W127" s="1120">
        <v>690294.7</v>
      </c>
      <c r="X127" s="1120">
        <v>648530.91</v>
      </c>
      <c r="Y127" s="1121">
        <v>424936.93</v>
      </c>
      <c r="Z127" s="1121">
        <v>380685.58</v>
      </c>
      <c r="AA127" s="1121">
        <v>414441.6</v>
      </c>
      <c r="AB127" s="1121">
        <v>336322.19</v>
      </c>
      <c r="AC127" s="1121">
        <v>315411.66000000003</v>
      </c>
      <c r="AD127" s="1121">
        <v>313464.46000000002</v>
      </c>
      <c r="AE127" s="1121">
        <v>511447.38</v>
      </c>
      <c r="AF127" s="644">
        <v>300000</v>
      </c>
      <c r="AG127" s="644">
        <v>300000</v>
      </c>
      <c r="AH127" s="644">
        <v>300000</v>
      </c>
      <c r="AI127" s="644">
        <v>300000</v>
      </c>
      <c r="AJ127" s="644">
        <v>300000</v>
      </c>
      <c r="AK127" s="644">
        <v>300000</v>
      </c>
      <c r="AL127" s="644">
        <v>300000</v>
      </c>
      <c r="AM127" s="644">
        <v>300000</v>
      </c>
      <c r="AN127" s="644">
        <v>300000</v>
      </c>
      <c r="AO127" s="644">
        <v>300000</v>
      </c>
      <c r="AP127" s="644">
        <v>300000</v>
      </c>
      <c r="AQ127" s="644">
        <v>300000</v>
      </c>
      <c r="AR127" s="644">
        <v>300000</v>
      </c>
      <c r="AS127" s="644">
        <v>300000</v>
      </c>
      <c r="AT127" s="644">
        <v>300000</v>
      </c>
      <c r="AU127" s="644">
        <v>300000</v>
      </c>
      <c r="AV127" s="644">
        <v>300000</v>
      </c>
      <c r="AW127" s="644">
        <v>300000</v>
      </c>
      <c r="AX127" s="644">
        <v>300000</v>
      </c>
      <c r="AY127" s="644">
        <v>300000</v>
      </c>
      <c r="AZ127" s="644">
        <v>300000</v>
      </c>
      <c r="BA127" s="644">
        <v>300000</v>
      </c>
      <c r="BB127" s="644">
        <v>300000</v>
      </c>
      <c r="BC127" s="644">
        <v>300000</v>
      </c>
      <c r="BD127" s="644">
        <v>300000</v>
      </c>
      <c r="BE127" s="644">
        <v>300000</v>
      </c>
      <c r="BF127" s="644">
        <v>300000</v>
      </c>
      <c r="BG127" s="644">
        <v>300000</v>
      </c>
      <c r="BH127" s="644">
        <v>300000</v>
      </c>
      <c r="BI127" s="644">
        <v>300000</v>
      </c>
      <c r="BJ127" s="644">
        <v>300000</v>
      </c>
      <c r="BK127" s="644">
        <v>300000</v>
      </c>
      <c r="BL127" s="644">
        <v>300000</v>
      </c>
    </row>
    <row r="128" spans="2:64" x14ac:dyDescent="0.25">
      <c r="B128" s="652"/>
      <c r="C128" s="434" t="s">
        <v>390</v>
      </c>
      <c r="D128" s="163" t="s">
        <v>836</v>
      </c>
      <c r="E128" s="1120">
        <v>91250.8</v>
      </c>
      <c r="F128" s="1120">
        <v>137787.19999999998</v>
      </c>
      <c r="G128" s="1120">
        <v>162742.02000000002</v>
      </c>
      <c r="H128" s="1120">
        <v>151877.41</v>
      </c>
      <c r="I128" s="1120">
        <v>115310.32</v>
      </c>
      <c r="J128" s="1120">
        <v>133316.34</v>
      </c>
      <c r="K128" s="1120">
        <v>125631.40000000001</v>
      </c>
      <c r="L128" s="1120">
        <v>142464.76</v>
      </c>
      <c r="M128" s="1120">
        <v>143788.80000000005</v>
      </c>
      <c r="N128" s="1120">
        <v>156742.78</v>
      </c>
      <c r="O128" s="1120">
        <v>88581.16</v>
      </c>
      <c r="P128" s="1120">
        <v>60219.11</v>
      </c>
      <c r="Q128" s="1120">
        <v>253256.75</v>
      </c>
      <c r="R128" s="1120">
        <v>176428.62999999998</v>
      </c>
      <c r="S128" s="1120">
        <v>245214.31</v>
      </c>
      <c r="T128" s="1120">
        <v>235310.52000000002</v>
      </c>
      <c r="U128" s="1120">
        <v>270919.63</v>
      </c>
      <c r="V128" s="1120">
        <v>441594.77</v>
      </c>
      <c r="W128" s="1120">
        <v>690294.7</v>
      </c>
      <c r="X128" s="1120">
        <v>648530.91</v>
      </c>
      <c r="Y128" s="1121">
        <v>424936.93</v>
      </c>
      <c r="Z128" s="1121">
        <v>380685.58</v>
      </c>
      <c r="AA128" s="1121">
        <v>414441.6</v>
      </c>
      <c r="AB128" s="1121">
        <v>336322.19</v>
      </c>
      <c r="AC128" s="1121">
        <v>315411.66000000003</v>
      </c>
      <c r="AD128" s="1121">
        <v>313464.46000000002</v>
      </c>
      <c r="AE128" s="1121">
        <v>511447.38</v>
      </c>
      <c r="AF128" s="644">
        <v>300000</v>
      </c>
      <c r="AG128" s="644">
        <v>300000</v>
      </c>
      <c r="AH128" s="644">
        <v>300000</v>
      </c>
      <c r="AI128" s="644">
        <v>300000</v>
      </c>
      <c r="AJ128" s="644">
        <v>200000</v>
      </c>
      <c r="AK128" s="644">
        <v>200000</v>
      </c>
      <c r="AL128" s="644">
        <v>300000</v>
      </c>
      <c r="AM128" s="644">
        <v>300000</v>
      </c>
      <c r="AN128" s="644">
        <v>300000</v>
      </c>
      <c r="AO128" s="644">
        <v>300000</v>
      </c>
      <c r="AP128" s="644">
        <v>300000</v>
      </c>
      <c r="AQ128" s="644">
        <v>300000</v>
      </c>
      <c r="AR128" s="644">
        <v>300000</v>
      </c>
      <c r="AS128" s="644">
        <v>300000</v>
      </c>
      <c r="AT128" s="644">
        <v>300000</v>
      </c>
      <c r="AU128" s="644">
        <v>300000</v>
      </c>
      <c r="AV128" s="644">
        <v>300000</v>
      </c>
      <c r="AW128" s="644">
        <v>300000</v>
      </c>
      <c r="AX128" s="644">
        <v>300000</v>
      </c>
      <c r="AY128" s="644">
        <v>300000</v>
      </c>
      <c r="AZ128" s="644">
        <v>300000</v>
      </c>
      <c r="BA128" s="644">
        <v>300000</v>
      </c>
      <c r="BB128" s="644">
        <v>300000</v>
      </c>
      <c r="BC128" s="644">
        <v>300000</v>
      </c>
      <c r="BD128" s="644">
        <v>300000</v>
      </c>
      <c r="BE128" s="644">
        <v>300000</v>
      </c>
      <c r="BF128" s="644">
        <v>300000</v>
      </c>
      <c r="BG128" s="644">
        <v>300000</v>
      </c>
      <c r="BH128" s="644">
        <v>300000</v>
      </c>
      <c r="BI128" s="644">
        <v>300000</v>
      </c>
      <c r="BJ128" s="644">
        <v>300000</v>
      </c>
      <c r="BK128" s="644">
        <v>300000</v>
      </c>
      <c r="BL128" s="644">
        <v>300000</v>
      </c>
    </row>
    <row r="129" spans="2:64" x14ac:dyDescent="0.25">
      <c r="B129" s="652"/>
      <c r="C129" s="434" t="s">
        <v>444</v>
      </c>
      <c r="D129" s="163" t="s">
        <v>836</v>
      </c>
      <c r="E129" s="1120">
        <v>91250.8</v>
      </c>
      <c r="F129" s="1120">
        <v>137787.19999999998</v>
      </c>
      <c r="G129" s="1120">
        <v>162742.02000000002</v>
      </c>
      <c r="H129" s="1120">
        <v>151877.41</v>
      </c>
      <c r="I129" s="1120">
        <v>115310.32</v>
      </c>
      <c r="J129" s="1120">
        <v>133316.34</v>
      </c>
      <c r="K129" s="1120">
        <v>125631.40000000001</v>
      </c>
      <c r="L129" s="1120">
        <v>142464.76</v>
      </c>
      <c r="M129" s="1120">
        <v>143788.80000000005</v>
      </c>
      <c r="N129" s="1120">
        <v>156742.78</v>
      </c>
      <c r="O129" s="1120">
        <v>88581.16</v>
      </c>
      <c r="P129" s="1120">
        <v>60219.11</v>
      </c>
      <c r="Q129" s="1120">
        <v>253256.75</v>
      </c>
      <c r="R129" s="1120">
        <v>176428.62999999998</v>
      </c>
      <c r="S129" s="1120">
        <v>245214.31</v>
      </c>
      <c r="T129" s="1120">
        <v>235310.52000000002</v>
      </c>
      <c r="U129" s="1120">
        <v>270919.63</v>
      </c>
      <c r="V129" s="1120">
        <v>441594.77</v>
      </c>
      <c r="W129" s="1120">
        <v>690294.7</v>
      </c>
      <c r="X129" s="1120">
        <v>648530.91</v>
      </c>
      <c r="Y129" s="1121">
        <v>424936.93</v>
      </c>
      <c r="Z129" s="1121">
        <v>380685.58</v>
      </c>
      <c r="AA129" s="1121">
        <v>414441.6</v>
      </c>
      <c r="AB129" s="1121">
        <v>336322.19</v>
      </c>
      <c r="AC129" s="1121">
        <v>315411.66000000003</v>
      </c>
      <c r="AD129" s="1121">
        <v>313464.46000000002</v>
      </c>
      <c r="AE129" s="1121">
        <v>511447.38</v>
      </c>
      <c r="AF129" s="644">
        <v>1000000</v>
      </c>
      <c r="AG129" s="644">
        <v>1000000</v>
      </c>
      <c r="AH129" s="644">
        <v>1000000</v>
      </c>
      <c r="AI129" s="644">
        <v>1000000</v>
      </c>
      <c r="AJ129" s="644">
        <v>1000000</v>
      </c>
      <c r="AK129" s="644">
        <v>1000000</v>
      </c>
      <c r="AL129" s="644">
        <v>800000</v>
      </c>
      <c r="AM129" s="644">
        <v>800000</v>
      </c>
      <c r="AN129" s="644">
        <v>800000</v>
      </c>
      <c r="AO129" s="644">
        <v>700000</v>
      </c>
      <c r="AP129" s="644">
        <v>640000</v>
      </c>
      <c r="AQ129" s="644">
        <v>580000</v>
      </c>
      <c r="AR129" s="644">
        <v>520000</v>
      </c>
      <c r="AS129" s="644">
        <v>460000</v>
      </c>
      <c r="AT129" s="644">
        <v>400000</v>
      </c>
      <c r="AU129" s="644">
        <v>340000</v>
      </c>
      <c r="AV129" s="644">
        <v>280000</v>
      </c>
      <c r="AW129" s="644">
        <v>220000</v>
      </c>
      <c r="AX129" s="644">
        <v>160000</v>
      </c>
      <c r="AY129" s="644">
        <v>100000</v>
      </c>
      <c r="AZ129" s="644">
        <v>40000</v>
      </c>
      <c r="BA129" s="644">
        <v>20000</v>
      </c>
      <c r="BB129" s="644">
        <v>80000</v>
      </c>
      <c r="BC129" s="644">
        <v>140000</v>
      </c>
      <c r="BD129" s="644">
        <v>200000</v>
      </c>
      <c r="BE129" s="644">
        <v>260000</v>
      </c>
      <c r="BF129" s="644">
        <v>320000</v>
      </c>
      <c r="BG129" s="644">
        <v>380000</v>
      </c>
      <c r="BH129" s="644">
        <v>440000</v>
      </c>
      <c r="BI129" s="644">
        <v>500000</v>
      </c>
      <c r="BJ129" s="644">
        <v>560000</v>
      </c>
      <c r="BK129" s="644">
        <v>620000</v>
      </c>
      <c r="BL129" s="644">
        <v>680000</v>
      </c>
    </row>
    <row r="130" spans="2:64" x14ac:dyDescent="0.25">
      <c r="B130" s="652"/>
      <c r="C130" s="434" t="s">
        <v>451</v>
      </c>
      <c r="D130" s="163" t="s">
        <v>836</v>
      </c>
      <c r="E130" s="1120">
        <v>91250.8</v>
      </c>
      <c r="F130" s="1120">
        <v>137787.19999999998</v>
      </c>
      <c r="G130" s="1120">
        <v>162742.02000000002</v>
      </c>
      <c r="H130" s="1120">
        <v>151877.41</v>
      </c>
      <c r="I130" s="1120">
        <v>115310.32</v>
      </c>
      <c r="J130" s="1120">
        <v>133316.34</v>
      </c>
      <c r="K130" s="1120">
        <v>125631.40000000001</v>
      </c>
      <c r="L130" s="1120">
        <v>142464.76</v>
      </c>
      <c r="M130" s="1120">
        <v>143788.80000000005</v>
      </c>
      <c r="N130" s="1120">
        <v>156742.78</v>
      </c>
      <c r="O130" s="1120">
        <v>88581.16</v>
      </c>
      <c r="P130" s="1120">
        <v>60219.11</v>
      </c>
      <c r="Q130" s="1120">
        <v>253256.75</v>
      </c>
      <c r="R130" s="1120">
        <v>176428.62999999998</v>
      </c>
      <c r="S130" s="1120">
        <v>245214.31</v>
      </c>
      <c r="T130" s="1120">
        <v>235310.52000000002</v>
      </c>
      <c r="U130" s="1120">
        <v>270919.63</v>
      </c>
      <c r="V130" s="1120">
        <v>441594.77</v>
      </c>
      <c r="W130" s="1120">
        <v>690294.7</v>
      </c>
      <c r="X130" s="1120">
        <v>648530.91</v>
      </c>
      <c r="Y130" s="1121">
        <v>424936.93</v>
      </c>
      <c r="Z130" s="1121">
        <v>380685.58</v>
      </c>
      <c r="AA130" s="1121">
        <v>414441.6</v>
      </c>
      <c r="AB130" s="1121">
        <v>336322.19</v>
      </c>
      <c r="AC130" s="1121">
        <v>315411.66000000003</v>
      </c>
      <c r="AD130" s="1121">
        <v>313464.46000000002</v>
      </c>
      <c r="AE130" s="1121">
        <v>511447.38</v>
      </c>
      <c r="AF130" s="644">
        <v>500000</v>
      </c>
      <c r="AG130" s="644">
        <v>500000</v>
      </c>
      <c r="AH130" s="644">
        <v>500000</v>
      </c>
      <c r="AI130" s="644">
        <v>500000</v>
      </c>
      <c r="AJ130" s="644">
        <v>500000</v>
      </c>
      <c r="AK130" s="644">
        <v>500000</v>
      </c>
      <c r="AL130" s="644">
        <f>400000-30325</f>
        <v>369675</v>
      </c>
      <c r="AM130" s="644">
        <f t="shared" ref="AM130:AN132" si="65">400000-30325</f>
        <v>369675</v>
      </c>
      <c r="AN130" s="644">
        <f t="shared" si="65"/>
        <v>369675</v>
      </c>
      <c r="AO130" s="644">
        <v>350000</v>
      </c>
      <c r="AP130" s="644">
        <v>320000</v>
      </c>
      <c r="AQ130" s="644">
        <v>290000</v>
      </c>
      <c r="AR130" s="644">
        <v>260000</v>
      </c>
      <c r="AS130" s="644">
        <v>230000</v>
      </c>
      <c r="AT130" s="644">
        <v>200000</v>
      </c>
      <c r="AU130" s="644">
        <v>170000</v>
      </c>
      <c r="AV130" s="644">
        <v>140000</v>
      </c>
      <c r="AW130" s="644">
        <v>110000</v>
      </c>
      <c r="AX130" s="644">
        <v>80000</v>
      </c>
      <c r="AY130" s="644">
        <v>50000</v>
      </c>
      <c r="AZ130" s="644">
        <v>20000</v>
      </c>
      <c r="BA130" s="644">
        <v>10000</v>
      </c>
      <c r="BB130" s="644">
        <v>40000</v>
      </c>
      <c r="BC130" s="644">
        <v>70000.000000000102</v>
      </c>
      <c r="BD130" s="644">
        <v>100000</v>
      </c>
      <c r="BE130" s="644">
        <v>130000</v>
      </c>
      <c r="BF130" s="644">
        <v>160000</v>
      </c>
      <c r="BG130" s="644">
        <v>190000</v>
      </c>
      <c r="BH130" s="644">
        <v>220000</v>
      </c>
      <c r="BI130" s="644">
        <v>250000</v>
      </c>
      <c r="BJ130" s="644">
        <v>280000</v>
      </c>
      <c r="BK130" s="644">
        <v>310000</v>
      </c>
      <c r="BL130" s="644">
        <v>340000</v>
      </c>
    </row>
    <row r="131" spans="2:64" x14ac:dyDescent="0.25">
      <c r="B131" s="652"/>
      <c r="C131" s="434" t="s">
        <v>206</v>
      </c>
      <c r="D131" s="163" t="s">
        <v>836</v>
      </c>
      <c r="E131" s="1120">
        <v>91250.8</v>
      </c>
      <c r="F131" s="1120">
        <v>137787.19999999998</v>
      </c>
      <c r="G131" s="1120">
        <v>162742.02000000002</v>
      </c>
      <c r="H131" s="1120">
        <v>151877.41</v>
      </c>
      <c r="I131" s="1120">
        <v>115310.32</v>
      </c>
      <c r="J131" s="1120">
        <v>133316.34</v>
      </c>
      <c r="K131" s="1120">
        <v>125631.40000000001</v>
      </c>
      <c r="L131" s="1120">
        <v>142464.76</v>
      </c>
      <c r="M131" s="1120">
        <v>143788.80000000005</v>
      </c>
      <c r="N131" s="1120">
        <v>156742.78</v>
      </c>
      <c r="O131" s="1120">
        <v>88581.16</v>
      </c>
      <c r="P131" s="1120">
        <v>60219.11</v>
      </c>
      <c r="Q131" s="1120">
        <v>253256.75</v>
      </c>
      <c r="R131" s="1120">
        <v>176428.62999999998</v>
      </c>
      <c r="S131" s="1120">
        <v>245214.31</v>
      </c>
      <c r="T131" s="1120">
        <v>235310.52000000002</v>
      </c>
      <c r="U131" s="1120">
        <v>270919.63</v>
      </c>
      <c r="V131" s="1120">
        <v>441594.77</v>
      </c>
      <c r="W131" s="1120">
        <v>690294.7</v>
      </c>
      <c r="X131" s="1120">
        <v>648530.91</v>
      </c>
      <c r="Y131" s="1121">
        <v>424936.93</v>
      </c>
      <c r="Z131" s="1121">
        <v>380685.58</v>
      </c>
      <c r="AA131" s="1121">
        <v>414441.6</v>
      </c>
      <c r="AB131" s="1121">
        <v>336322.19</v>
      </c>
      <c r="AC131" s="1121">
        <v>315411.66000000003</v>
      </c>
      <c r="AD131" s="1121">
        <v>313464.46000000002</v>
      </c>
      <c r="AE131" s="1121">
        <v>511447.38</v>
      </c>
      <c r="AF131" s="644">
        <v>150000</v>
      </c>
      <c r="AG131" s="644">
        <v>150000</v>
      </c>
      <c r="AH131" s="644">
        <v>150000</v>
      </c>
      <c r="AI131" s="644">
        <v>150000</v>
      </c>
      <c r="AJ131" s="644">
        <v>150000</v>
      </c>
      <c r="AK131" s="644">
        <v>150000</v>
      </c>
      <c r="AL131" s="644">
        <v>150000</v>
      </c>
      <c r="AM131" s="644">
        <v>150000</v>
      </c>
      <c r="AN131" s="644">
        <v>150000</v>
      </c>
      <c r="AO131" s="644">
        <v>150000</v>
      </c>
      <c r="AP131" s="644">
        <v>150000</v>
      </c>
      <c r="AQ131" s="644">
        <v>150000</v>
      </c>
      <c r="AR131" s="644">
        <v>150000</v>
      </c>
      <c r="AS131" s="644">
        <v>150000</v>
      </c>
      <c r="AT131" s="644">
        <v>150000</v>
      </c>
      <c r="AU131" s="644">
        <v>150000</v>
      </c>
      <c r="AV131" s="644">
        <v>150000</v>
      </c>
      <c r="AW131" s="644">
        <v>150000</v>
      </c>
      <c r="AX131" s="644">
        <v>150000</v>
      </c>
      <c r="AY131" s="644">
        <v>150000</v>
      </c>
      <c r="AZ131" s="644">
        <v>150000</v>
      </c>
      <c r="BA131" s="644">
        <v>150000</v>
      </c>
      <c r="BB131" s="644">
        <v>150000</v>
      </c>
      <c r="BC131" s="644">
        <v>150000</v>
      </c>
      <c r="BD131" s="644">
        <v>150000</v>
      </c>
      <c r="BE131" s="644">
        <v>150000</v>
      </c>
      <c r="BF131" s="644">
        <v>150000</v>
      </c>
      <c r="BG131" s="644">
        <v>150000</v>
      </c>
      <c r="BH131" s="644">
        <v>150000</v>
      </c>
      <c r="BI131" s="644">
        <v>150000</v>
      </c>
      <c r="BJ131" s="644">
        <v>150000</v>
      </c>
      <c r="BK131" s="644">
        <v>150000</v>
      </c>
      <c r="BL131" s="644">
        <v>150000</v>
      </c>
    </row>
    <row r="132" spans="2:64" x14ac:dyDescent="0.25">
      <c r="B132" s="883" t="s">
        <v>1113</v>
      </c>
      <c r="C132" s="434" t="s">
        <v>492</v>
      </c>
      <c r="D132" s="163" t="s">
        <v>836</v>
      </c>
      <c r="E132" s="1120">
        <v>91250.8</v>
      </c>
      <c r="F132" s="1120">
        <v>137787.19999999998</v>
      </c>
      <c r="G132" s="1120">
        <v>162742.02000000002</v>
      </c>
      <c r="H132" s="1120">
        <v>151877.41</v>
      </c>
      <c r="I132" s="1120">
        <v>115310.32</v>
      </c>
      <c r="J132" s="1120">
        <v>133316.34</v>
      </c>
      <c r="K132" s="1120">
        <v>125631.40000000001</v>
      </c>
      <c r="L132" s="1120">
        <v>142464.76</v>
      </c>
      <c r="M132" s="1120">
        <v>143788.80000000005</v>
      </c>
      <c r="N132" s="1120">
        <v>156742.78</v>
      </c>
      <c r="O132" s="1120">
        <v>88581.16</v>
      </c>
      <c r="P132" s="1120">
        <v>60219.11</v>
      </c>
      <c r="Q132" s="1120">
        <v>253256.75</v>
      </c>
      <c r="R132" s="1120">
        <v>176428.62999999998</v>
      </c>
      <c r="S132" s="1120">
        <v>245214.31</v>
      </c>
      <c r="T132" s="1120">
        <v>235310.52000000002</v>
      </c>
      <c r="U132" s="1120">
        <v>270919.63</v>
      </c>
      <c r="V132" s="1120">
        <v>441594.77</v>
      </c>
      <c r="W132" s="1120">
        <v>690294.7</v>
      </c>
      <c r="X132" s="1120">
        <v>648530.91</v>
      </c>
      <c r="Y132" s="1121">
        <v>424936.93</v>
      </c>
      <c r="Z132" s="1121">
        <v>380685.58</v>
      </c>
      <c r="AA132" s="1121">
        <v>414441.6</v>
      </c>
      <c r="AB132" s="1121">
        <v>336322.19</v>
      </c>
      <c r="AC132" s="1121">
        <v>315411.66000000003</v>
      </c>
      <c r="AD132" s="1121">
        <v>313464.46000000002</v>
      </c>
      <c r="AE132" s="1121">
        <v>511447.38</v>
      </c>
      <c r="AF132" s="851">
        <v>565000</v>
      </c>
      <c r="AG132" s="851">
        <v>570000</v>
      </c>
      <c r="AH132" s="851">
        <v>500000</v>
      </c>
      <c r="AI132" s="851">
        <v>450000</v>
      </c>
      <c r="AJ132" s="851">
        <v>400000</v>
      </c>
      <c r="AK132" s="851">
        <v>400000</v>
      </c>
      <c r="AL132" s="644">
        <f>400000-30325</f>
        <v>369675</v>
      </c>
      <c r="AM132" s="644">
        <f t="shared" si="65"/>
        <v>369675</v>
      </c>
      <c r="AN132" s="644">
        <f t="shared" si="65"/>
        <v>369675</v>
      </c>
      <c r="AO132" s="851">
        <v>400000</v>
      </c>
      <c r="AP132" s="851">
        <v>400000</v>
      </c>
      <c r="AQ132" s="851">
        <v>400000</v>
      </c>
      <c r="AR132" s="851">
        <v>400000</v>
      </c>
      <c r="AS132" s="851">
        <v>400000</v>
      </c>
      <c r="AT132" s="851">
        <v>400000</v>
      </c>
      <c r="AU132" s="851">
        <v>400000</v>
      </c>
      <c r="AV132" s="851">
        <v>400000</v>
      </c>
      <c r="AW132" s="851">
        <v>400000</v>
      </c>
      <c r="AX132" s="851">
        <v>400000</v>
      </c>
      <c r="AY132" s="851">
        <v>400000</v>
      </c>
      <c r="AZ132" s="851">
        <v>400000</v>
      </c>
      <c r="BA132" s="851">
        <v>400000</v>
      </c>
      <c r="BB132" s="851">
        <v>400000</v>
      </c>
      <c r="BC132" s="851">
        <v>400000</v>
      </c>
      <c r="BD132" s="851">
        <v>400000</v>
      </c>
      <c r="BE132" s="851">
        <v>400000</v>
      </c>
      <c r="BF132" s="851">
        <v>400000</v>
      </c>
      <c r="BG132" s="851">
        <v>400000</v>
      </c>
      <c r="BH132" s="851">
        <v>400000</v>
      </c>
      <c r="BI132" s="851">
        <v>400000</v>
      </c>
      <c r="BJ132" s="851">
        <v>400000</v>
      </c>
      <c r="BK132" s="851">
        <v>400000</v>
      </c>
      <c r="BL132" s="851">
        <v>400000</v>
      </c>
    </row>
    <row r="133" spans="2:64" x14ac:dyDescent="0.25">
      <c r="E133" s="223"/>
      <c r="F133" s="223"/>
      <c r="G133" s="223"/>
      <c r="H133" s="223"/>
      <c r="I133" s="223"/>
      <c r="J133" s="223"/>
      <c r="K133" s="223"/>
      <c r="L133" s="223"/>
      <c r="M133" s="223"/>
      <c r="N133" s="223"/>
      <c r="O133" s="223"/>
      <c r="P133" s="223"/>
      <c r="Q133" s="223"/>
      <c r="R133" s="223"/>
      <c r="S133" s="223"/>
      <c r="T133" s="223"/>
      <c r="U133" s="223"/>
      <c r="V133" s="223"/>
      <c r="W133" s="223"/>
      <c r="X133" s="223"/>
    </row>
    <row r="134" spans="2:64" x14ac:dyDescent="0.25">
      <c r="B134" s="498" t="s">
        <v>1122</v>
      </c>
      <c r="BA134" s="572"/>
      <c r="BB134" s="572"/>
      <c r="BC134" s="572"/>
      <c r="BD134" s="572"/>
      <c r="BE134" s="572"/>
      <c r="BF134" s="572"/>
      <c r="BG134" s="572"/>
      <c r="BH134" s="572"/>
      <c r="BI134" s="572"/>
      <c r="BJ134" s="572"/>
      <c r="BK134" s="572"/>
      <c r="BL134" s="572"/>
    </row>
    <row r="135" spans="2:64" hidden="1" x14ac:dyDescent="0.25">
      <c r="B135" s="49" t="s">
        <v>817</v>
      </c>
      <c r="C135" s="434" t="s">
        <v>389</v>
      </c>
      <c r="D135" s="163" t="s">
        <v>1123</v>
      </c>
      <c r="E135" s="637"/>
      <c r="F135" s="637"/>
      <c r="G135" s="637"/>
      <c r="H135" s="637"/>
      <c r="I135" s="637"/>
      <c r="J135" s="637"/>
      <c r="K135" s="637"/>
      <c r="L135" s="637"/>
      <c r="M135" s="637"/>
      <c r="N135" s="637"/>
      <c r="O135" s="637"/>
      <c r="P135" s="637"/>
      <c r="Q135" s="637"/>
      <c r="AB135" s="637"/>
      <c r="AC135" s="637"/>
      <c r="AD135" s="637"/>
      <c r="AE135" s="637"/>
      <c r="AF135" s="637"/>
      <c r="AG135" s="637"/>
      <c r="AH135" s="637"/>
      <c r="AI135" s="637"/>
      <c r="AJ135" s="637"/>
      <c r="AK135" s="637"/>
      <c r="AL135" s="637"/>
      <c r="AM135" s="637"/>
      <c r="AN135" s="637"/>
      <c r="AO135" s="637"/>
      <c r="AP135" s="637"/>
      <c r="AQ135" s="637"/>
      <c r="AR135" s="637"/>
      <c r="AS135" s="637"/>
      <c r="AT135" s="637"/>
      <c r="AU135" s="637"/>
      <c r="AV135" s="637"/>
      <c r="AW135" s="637"/>
      <c r="AX135" s="637"/>
      <c r="AY135" s="637"/>
      <c r="AZ135" s="637"/>
      <c r="BA135" s="637"/>
      <c r="BL135" s="637"/>
    </row>
    <row r="136" spans="2:64" hidden="1" x14ac:dyDescent="0.25">
      <c r="B136" s="498"/>
      <c r="C136" s="434" t="s">
        <v>390</v>
      </c>
      <c r="D136" s="163" t="s">
        <v>1123</v>
      </c>
      <c r="E136" s="637"/>
      <c r="F136" s="637"/>
      <c r="G136" s="637"/>
      <c r="H136" s="637"/>
      <c r="I136" s="637"/>
      <c r="J136" s="637"/>
      <c r="K136" s="637"/>
      <c r="L136" s="637"/>
      <c r="M136" s="637"/>
      <c r="N136" s="637"/>
      <c r="O136" s="637"/>
      <c r="P136" s="637"/>
      <c r="Q136" s="637"/>
      <c r="AB136" s="637"/>
      <c r="AC136" s="637"/>
      <c r="AD136" s="637"/>
      <c r="AE136" s="637"/>
      <c r="AF136" s="637"/>
      <c r="AG136" s="637"/>
      <c r="AH136" s="637"/>
      <c r="AI136" s="637"/>
      <c r="AJ136" s="637"/>
      <c r="AK136" s="637"/>
      <c r="AL136" s="637"/>
      <c r="AM136" s="637"/>
      <c r="AN136" s="637"/>
      <c r="AO136" s="637"/>
      <c r="AP136" s="637"/>
      <c r="AQ136" s="637"/>
      <c r="AR136" s="637"/>
      <c r="AS136" s="637"/>
      <c r="AT136" s="637"/>
      <c r="AU136" s="637"/>
      <c r="AV136" s="637"/>
      <c r="AW136" s="637"/>
      <c r="AX136" s="637"/>
      <c r="AY136" s="637"/>
      <c r="AZ136" s="637"/>
      <c r="BA136" s="637"/>
      <c r="BL136" s="637"/>
    </row>
    <row r="137" spans="2:64" hidden="1" x14ac:dyDescent="0.25">
      <c r="B137" s="498"/>
      <c r="C137" s="434" t="s">
        <v>444</v>
      </c>
      <c r="D137" s="163" t="s">
        <v>1123</v>
      </c>
      <c r="E137" s="637"/>
      <c r="F137" s="637"/>
      <c r="G137" s="637"/>
      <c r="H137" s="637"/>
      <c r="I137" s="637"/>
      <c r="J137" s="637"/>
      <c r="K137" s="637"/>
      <c r="L137" s="637"/>
      <c r="M137" s="637"/>
      <c r="N137" s="637"/>
      <c r="O137" s="637"/>
      <c r="P137" s="637"/>
      <c r="Q137" s="637"/>
      <c r="AB137" s="637"/>
      <c r="AC137" s="637"/>
      <c r="AD137" s="637"/>
      <c r="AE137" s="637"/>
      <c r="AF137" s="637"/>
      <c r="AG137" s="637"/>
      <c r="AH137" s="637"/>
      <c r="AI137" s="637"/>
      <c r="AJ137" s="637"/>
      <c r="AK137" s="637"/>
      <c r="AL137" s="637"/>
      <c r="AM137" s="637"/>
      <c r="AN137" s="637"/>
      <c r="AO137" s="637"/>
      <c r="AP137" s="637"/>
      <c r="AQ137" s="637"/>
      <c r="AR137" s="637"/>
      <c r="AS137" s="637"/>
      <c r="AT137" s="637"/>
      <c r="AU137" s="637"/>
      <c r="AV137" s="637"/>
      <c r="AW137" s="637"/>
      <c r="AX137" s="637"/>
      <c r="AY137" s="637"/>
      <c r="AZ137" s="637"/>
      <c r="BA137" s="637"/>
      <c r="BL137" s="637"/>
    </row>
    <row r="138" spans="2:64" hidden="1" x14ac:dyDescent="0.25">
      <c r="B138" s="498"/>
      <c r="C138" s="434" t="s">
        <v>451</v>
      </c>
      <c r="D138" s="163" t="s">
        <v>1123</v>
      </c>
      <c r="E138" s="637"/>
      <c r="F138" s="637"/>
      <c r="G138" s="637"/>
      <c r="H138" s="637"/>
      <c r="I138" s="637"/>
      <c r="J138" s="637"/>
      <c r="K138" s="637"/>
      <c r="L138" s="637"/>
      <c r="M138" s="637"/>
      <c r="N138" s="637"/>
      <c r="O138" s="637"/>
      <c r="P138" s="637"/>
      <c r="Q138" s="637"/>
      <c r="AB138" s="637"/>
      <c r="AC138" s="637"/>
      <c r="AD138" s="637"/>
      <c r="AE138" s="637"/>
      <c r="AF138" s="637"/>
      <c r="AG138" s="637"/>
      <c r="AH138" s="637"/>
      <c r="AI138" s="637"/>
      <c r="AJ138" s="637"/>
      <c r="AK138" s="637"/>
      <c r="AL138" s="637"/>
      <c r="AM138" s="637"/>
      <c r="AN138" s="637"/>
      <c r="AO138" s="637"/>
      <c r="AP138" s="637"/>
      <c r="AQ138" s="637"/>
      <c r="AR138" s="637"/>
      <c r="AS138" s="637"/>
      <c r="AT138" s="637"/>
      <c r="AU138" s="637"/>
      <c r="AV138" s="637"/>
      <c r="AW138" s="637"/>
      <c r="AX138" s="637"/>
      <c r="AY138" s="637"/>
      <c r="AZ138" s="637"/>
      <c r="BA138" s="637"/>
      <c r="BL138" s="637"/>
    </row>
    <row r="139" spans="2:64" hidden="1" x14ac:dyDescent="0.25">
      <c r="B139" s="498"/>
      <c r="C139" s="434" t="s">
        <v>206</v>
      </c>
      <c r="D139" s="163" t="s">
        <v>1123</v>
      </c>
      <c r="E139" s="641"/>
      <c r="F139" s="637"/>
      <c r="G139" s="637"/>
      <c r="H139" s="637"/>
      <c r="I139" s="637"/>
      <c r="J139" s="637"/>
      <c r="K139" s="637"/>
      <c r="L139" s="637"/>
      <c r="M139" s="637"/>
      <c r="N139" s="637"/>
      <c r="O139" s="637"/>
      <c r="P139" s="637"/>
      <c r="Q139" s="637"/>
      <c r="AB139" s="641"/>
      <c r="AC139" s="637"/>
      <c r="AD139" s="637"/>
      <c r="AE139" s="637"/>
      <c r="AF139" s="637"/>
      <c r="AG139" s="637"/>
      <c r="AH139" s="637"/>
      <c r="AI139" s="637"/>
      <c r="AJ139" s="637"/>
      <c r="AK139" s="637"/>
      <c r="AL139" s="637"/>
      <c r="AM139" s="637"/>
      <c r="AN139" s="637"/>
      <c r="AO139" s="641"/>
      <c r="AP139" s="637"/>
      <c r="AQ139" s="637"/>
      <c r="AR139" s="637"/>
      <c r="AS139" s="637"/>
      <c r="AT139" s="637"/>
      <c r="AU139" s="637"/>
      <c r="AV139" s="637"/>
      <c r="AW139" s="637"/>
      <c r="AX139" s="637"/>
      <c r="AY139" s="637"/>
      <c r="AZ139" s="637"/>
      <c r="BA139" s="637"/>
      <c r="BL139" s="637"/>
    </row>
    <row r="140" spans="2:64" hidden="1" x14ac:dyDescent="0.25">
      <c r="B140" s="498"/>
      <c r="C140" s="434" t="s">
        <v>492</v>
      </c>
      <c r="D140" s="163" t="s">
        <v>1123</v>
      </c>
      <c r="E140" s="641"/>
      <c r="F140" s="637"/>
      <c r="G140" s="637"/>
      <c r="H140" s="637"/>
      <c r="I140" s="637"/>
      <c r="J140" s="637"/>
      <c r="K140" s="637"/>
      <c r="L140" s="637"/>
      <c r="M140" s="637"/>
      <c r="N140" s="637"/>
      <c r="O140" s="637"/>
      <c r="P140" s="637"/>
      <c r="Q140" s="637"/>
      <c r="AB140" s="641"/>
      <c r="AC140" s="637"/>
      <c r="AD140" s="637"/>
      <c r="AE140" s="637"/>
      <c r="AF140" s="637"/>
      <c r="AG140" s="637"/>
      <c r="AH140" s="637"/>
      <c r="AI140" s="637"/>
      <c r="AJ140" s="637"/>
      <c r="AK140" s="637"/>
      <c r="AL140" s="637"/>
      <c r="AM140" s="637"/>
      <c r="AN140" s="637"/>
      <c r="AO140" s="641"/>
      <c r="AP140" s="637"/>
      <c r="AQ140" s="637"/>
      <c r="AR140" s="637"/>
      <c r="AS140" s="637"/>
      <c r="AT140" s="637"/>
      <c r="AU140" s="637"/>
      <c r="AV140" s="637"/>
      <c r="AW140" s="637"/>
      <c r="AX140" s="637"/>
      <c r="AY140" s="637"/>
      <c r="AZ140" s="637"/>
      <c r="BA140" s="637"/>
      <c r="BL140" s="637"/>
    </row>
    <row r="141" spans="2:64" hidden="1" x14ac:dyDescent="0.25">
      <c r="B141" s="49" t="s">
        <v>818</v>
      </c>
      <c r="C141" s="434" t="s">
        <v>389</v>
      </c>
      <c r="D141" s="163" t="s">
        <v>1124</v>
      </c>
      <c r="E141" s="641"/>
      <c r="F141" s="637"/>
      <c r="G141" s="637"/>
      <c r="H141" s="637"/>
      <c r="I141" s="637"/>
      <c r="J141" s="637"/>
      <c r="K141" s="637"/>
      <c r="L141" s="637"/>
      <c r="M141" s="637"/>
      <c r="N141" s="637"/>
      <c r="O141" s="637"/>
      <c r="P141" s="637"/>
      <c r="Q141" s="637"/>
      <c r="AB141" s="641"/>
      <c r="AC141" s="637"/>
      <c r="AD141" s="637"/>
      <c r="AE141" s="637"/>
      <c r="AF141" s="637"/>
      <c r="AG141" s="637"/>
      <c r="AH141" s="637"/>
      <c r="AI141" s="637"/>
      <c r="AJ141" s="637"/>
      <c r="AK141" s="637"/>
      <c r="AL141" s="637"/>
      <c r="AM141" s="637"/>
      <c r="AN141" s="637"/>
      <c r="AO141" s="641"/>
      <c r="AP141" s="637"/>
      <c r="AQ141" s="637"/>
      <c r="AR141" s="637"/>
      <c r="AS141" s="637"/>
      <c r="AT141" s="637"/>
      <c r="AU141" s="637"/>
      <c r="AV141" s="637"/>
      <c r="AW141" s="637"/>
      <c r="AX141" s="637"/>
      <c r="AY141" s="637"/>
      <c r="AZ141" s="637"/>
      <c r="BA141" s="637"/>
      <c r="BL141" s="637"/>
    </row>
    <row r="142" spans="2:64" hidden="1" x14ac:dyDescent="0.25">
      <c r="B142" s="498"/>
      <c r="C142" s="434" t="s">
        <v>390</v>
      </c>
      <c r="D142" s="163" t="s">
        <v>1124</v>
      </c>
      <c r="E142" s="641"/>
      <c r="F142" s="637"/>
      <c r="G142" s="637"/>
      <c r="H142" s="637"/>
      <c r="I142" s="637"/>
      <c r="J142" s="637"/>
      <c r="K142" s="637"/>
      <c r="L142" s="637"/>
      <c r="M142" s="637"/>
      <c r="N142" s="637"/>
      <c r="O142" s="637"/>
      <c r="P142" s="637"/>
      <c r="Q142" s="637"/>
      <c r="AB142" s="641"/>
      <c r="AC142" s="637"/>
      <c r="AD142" s="637"/>
      <c r="AE142" s="637"/>
      <c r="AF142" s="637"/>
      <c r="AG142" s="637"/>
      <c r="AH142" s="637"/>
      <c r="AI142" s="637"/>
      <c r="AJ142" s="637"/>
      <c r="AK142" s="637"/>
      <c r="AL142" s="637"/>
      <c r="AM142" s="637"/>
      <c r="AN142" s="637"/>
      <c r="AO142" s="641"/>
      <c r="AP142" s="637"/>
      <c r="AQ142" s="637"/>
      <c r="AR142" s="637"/>
      <c r="AS142" s="637"/>
      <c r="AT142" s="637"/>
      <c r="AU142" s="637"/>
      <c r="AV142" s="637"/>
      <c r="AW142" s="637"/>
      <c r="AX142" s="637"/>
      <c r="AY142" s="637"/>
      <c r="AZ142" s="637"/>
      <c r="BA142" s="637"/>
      <c r="BL142" s="637"/>
    </row>
    <row r="143" spans="2:64" hidden="1" x14ac:dyDescent="0.25">
      <c r="B143" s="498"/>
      <c r="C143" s="434" t="s">
        <v>444</v>
      </c>
      <c r="D143" s="163" t="s">
        <v>1124</v>
      </c>
      <c r="E143" s="641"/>
      <c r="F143" s="637"/>
      <c r="G143" s="637"/>
      <c r="H143" s="637"/>
      <c r="I143" s="637"/>
      <c r="J143" s="637"/>
      <c r="K143" s="637"/>
      <c r="L143" s="637"/>
      <c r="M143" s="637"/>
      <c r="N143" s="637"/>
      <c r="O143" s="637"/>
      <c r="P143" s="637"/>
      <c r="Q143" s="637"/>
      <c r="AB143" s="641"/>
      <c r="AC143" s="637"/>
      <c r="AD143" s="637"/>
      <c r="AE143" s="637"/>
      <c r="AF143" s="637"/>
      <c r="AG143" s="637"/>
      <c r="AH143" s="637"/>
      <c r="AI143" s="637"/>
      <c r="AJ143" s="637"/>
      <c r="AK143" s="637"/>
      <c r="AL143" s="637"/>
      <c r="AM143" s="637"/>
      <c r="AN143" s="637"/>
      <c r="AO143" s="641"/>
      <c r="AP143" s="637"/>
      <c r="AQ143" s="637"/>
      <c r="AR143" s="637"/>
      <c r="AS143" s="637"/>
      <c r="AT143" s="637"/>
      <c r="AU143" s="637"/>
      <c r="AV143" s="637"/>
      <c r="AW143" s="637"/>
      <c r="AX143" s="637"/>
      <c r="AY143" s="637"/>
      <c r="AZ143" s="637"/>
      <c r="BA143" s="637"/>
      <c r="BL143" s="637"/>
    </row>
    <row r="144" spans="2:64" hidden="1" x14ac:dyDescent="0.25">
      <c r="B144" s="498"/>
      <c r="C144" s="434" t="s">
        <v>451</v>
      </c>
      <c r="D144" s="163" t="s">
        <v>1124</v>
      </c>
      <c r="E144" s="641"/>
      <c r="F144" s="637"/>
      <c r="G144" s="637"/>
      <c r="H144" s="637"/>
      <c r="I144" s="637"/>
      <c r="J144" s="637"/>
      <c r="K144" s="637"/>
      <c r="L144" s="637"/>
      <c r="M144" s="637"/>
      <c r="N144" s="637"/>
      <c r="O144" s="637"/>
      <c r="P144" s="637"/>
      <c r="Q144" s="637"/>
      <c r="AB144" s="641"/>
      <c r="AC144" s="637"/>
      <c r="AD144" s="637"/>
      <c r="AE144" s="637"/>
      <c r="AF144" s="637"/>
      <c r="AG144" s="637"/>
      <c r="AH144" s="637"/>
      <c r="AI144" s="637"/>
      <c r="AJ144" s="637"/>
      <c r="AK144" s="637"/>
      <c r="AL144" s="637"/>
      <c r="AM144" s="637"/>
      <c r="AN144" s="637"/>
      <c r="AO144" s="641"/>
      <c r="AP144" s="637"/>
      <c r="AQ144" s="637"/>
      <c r="AR144" s="637"/>
      <c r="AS144" s="637"/>
      <c r="AT144" s="637"/>
      <c r="AU144" s="637"/>
      <c r="AV144" s="637"/>
      <c r="AW144" s="637"/>
      <c r="AX144" s="637"/>
      <c r="AY144" s="637"/>
      <c r="AZ144" s="637"/>
      <c r="BA144" s="637"/>
      <c r="BL144" s="637"/>
    </row>
    <row r="145" spans="2:64" hidden="1" x14ac:dyDescent="0.25">
      <c r="B145" s="498"/>
      <c r="C145" s="434" t="s">
        <v>206</v>
      </c>
      <c r="D145" s="163" t="s">
        <v>1124</v>
      </c>
      <c r="E145" s="641"/>
      <c r="F145" s="637"/>
      <c r="G145" s="637"/>
      <c r="H145" s="637"/>
      <c r="I145" s="637"/>
      <c r="J145" s="637"/>
      <c r="K145" s="637"/>
      <c r="L145" s="637"/>
      <c r="M145" s="637"/>
      <c r="N145" s="637"/>
      <c r="O145" s="637"/>
      <c r="P145" s="637"/>
      <c r="Q145" s="637"/>
      <c r="AB145" s="641"/>
      <c r="AC145" s="637"/>
      <c r="AD145" s="637"/>
      <c r="AE145" s="637"/>
      <c r="AF145" s="637"/>
      <c r="AG145" s="637"/>
      <c r="AH145" s="637"/>
      <c r="AI145" s="637"/>
      <c r="AJ145" s="637"/>
      <c r="AK145" s="637"/>
      <c r="AL145" s="637"/>
      <c r="AM145" s="637"/>
      <c r="AN145" s="637"/>
      <c r="AO145" s="641"/>
      <c r="AP145" s="637"/>
      <c r="AQ145" s="637"/>
      <c r="AR145" s="637"/>
      <c r="AS145" s="637"/>
      <c r="AT145" s="637"/>
      <c r="AU145" s="637"/>
      <c r="AV145" s="637"/>
      <c r="AW145" s="637"/>
      <c r="AX145" s="637"/>
      <c r="AY145" s="637"/>
      <c r="AZ145" s="637"/>
      <c r="BA145" s="637"/>
      <c r="BL145" s="637"/>
    </row>
    <row r="146" spans="2:64" hidden="1" x14ac:dyDescent="0.25">
      <c r="B146" s="498"/>
      <c r="C146" s="434" t="s">
        <v>492</v>
      </c>
      <c r="D146" s="163" t="s">
        <v>1124</v>
      </c>
      <c r="E146" s="641"/>
      <c r="F146" s="637"/>
      <c r="G146" s="637"/>
      <c r="H146" s="637"/>
      <c r="I146" s="637"/>
      <c r="J146" s="637"/>
      <c r="K146" s="637"/>
      <c r="L146" s="637"/>
      <c r="M146" s="637"/>
      <c r="N146" s="637"/>
      <c r="O146" s="637"/>
      <c r="P146" s="637"/>
      <c r="Q146" s="637"/>
      <c r="AB146" s="641"/>
      <c r="AC146" s="637"/>
      <c r="AD146" s="637"/>
      <c r="AE146" s="637"/>
      <c r="AF146" s="637"/>
      <c r="AG146" s="637"/>
      <c r="AH146" s="637"/>
      <c r="AI146" s="637"/>
      <c r="AJ146" s="637"/>
      <c r="AK146" s="637"/>
      <c r="AL146" s="637"/>
      <c r="AM146" s="637"/>
      <c r="AN146" s="637"/>
      <c r="AO146" s="641"/>
      <c r="AP146" s="637"/>
      <c r="AQ146" s="637"/>
      <c r="AR146" s="637"/>
      <c r="AS146" s="637"/>
      <c r="AT146" s="637"/>
      <c r="AU146" s="637"/>
      <c r="AV146" s="637"/>
      <c r="AW146" s="637"/>
      <c r="AX146" s="637"/>
      <c r="AY146" s="637"/>
      <c r="AZ146" s="637"/>
      <c r="BA146" s="637"/>
      <c r="BL146" s="637"/>
    </row>
    <row r="147" spans="2:64" hidden="1" x14ac:dyDescent="0.25">
      <c r="B147" s="49" t="s">
        <v>819</v>
      </c>
      <c r="C147" s="434" t="s">
        <v>389</v>
      </c>
      <c r="D147" s="163" t="s">
        <v>1125</v>
      </c>
      <c r="E147" s="641"/>
      <c r="F147" s="637"/>
      <c r="G147" s="637"/>
      <c r="H147" s="637"/>
      <c r="I147" s="637"/>
      <c r="J147" s="637"/>
      <c r="K147" s="637"/>
      <c r="L147" s="637"/>
      <c r="M147" s="637"/>
      <c r="N147" s="637"/>
      <c r="O147" s="637"/>
      <c r="P147" s="637"/>
      <c r="Q147" s="637"/>
      <c r="AB147" s="641"/>
      <c r="AC147" s="637"/>
      <c r="AD147" s="637"/>
      <c r="AE147" s="637"/>
      <c r="AF147" s="637"/>
      <c r="AG147" s="637"/>
      <c r="AH147" s="637"/>
      <c r="AI147" s="637"/>
      <c r="AJ147" s="637"/>
      <c r="AK147" s="637"/>
      <c r="AL147" s="637"/>
      <c r="AM147" s="637"/>
      <c r="AN147" s="637"/>
      <c r="AO147" s="641"/>
      <c r="AP147" s="637"/>
      <c r="AQ147" s="637"/>
      <c r="AR147" s="637"/>
      <c r="AS147" s="637"/>
      <c r="AT147" s="637"/>
      <c r="AU147" s="637"/>
      <c r="AV147" s="637"/>
      <c r="AW147" s="637"/>
      <c r="AX147" s="637"/>
      <c r="AY147" s="637"/>
      <c r="AZ147" s="637"/>
      <c r="BA147" s="637"/>
      <c r="BL147" s="637"/>
    </row>
    <row r="148" spans="2:64" hidden="1" x14ac:dyDescent="0.25">
      <c r="B148" s="498"/>
      <c r="C148" s="434" t="s">
        <v>390</v>
      </c>
      <c r="D148" s="163" t="s">
        <v>1125</v>
      </c>
      <c r="E148" s="641"/>
      <c r="F148" s="637"/>
      <c r="G148" s="637"/>
      <c r="H148" s="637"/>
      <c r="I148" s="637"/>
      <c r="J148" s="637"/>
      <c r="K148" s="637"/>
      <c r="L148" s="637"/>
      <c r="M148" s="637"/>
      <c r="N148" s="637"/>
      <c r="O148" s="637"/>
      <c r="P148" s="637"/>
      <c r="Q148" s="637"/>
      <c r="AB148" s="641"/>
      <c r="AC148" s="637"/>
      <c r="AD148" s="637"/>
      <c r="AE148" s="637"/>
      <c r="AF148" s="637"/>
      <c r="AG148" s="637"/>
      <c r="AH148" s="637"/>
      <c r="AI148" s="637"/>
      <c r="AJ148" s="637"/>
      <c r="AK148" s="637"/>
      <c r="AL148" s="637"/>
      <c r="AM148" s="637"/>
      <c r="AN148" s="637"/>
      <c r="AO148" s="641"/>
      <c r="AP148" s="637"/>
      <c r="AQ148" s="637"/>
      <c r="AR148" s="637"/>
      <c r="AS148" s="637"/>
      <c r="AT148" s="637"/>
      <c r="AU148" s="637"/>
      <c r="AV148" s="637"/>
      <c r="AW148" s="637"/>
      <c r="AX148" s="637"/>
      <c r="AY148" s="637"/>
      <c r="AZ148" s="637"/>
      <c r="BA148" s="637"/>
      <c r="BL148" s="637"/>
    </row>
    <row r="149" spans="2:64" hidden="1" x14ac:dyDescent="0.25">
      <c r="B149" s="498"/>
      <c r="C149" s="434" t="s">
        <v>444</v>
      </c>
      <c r="D149" s="163" t="s">
        <v>1125</v>
      </c>
      <c r="E149" s="641"/>
      <c r="F149" s="637"/>
      <c r="G149" s="637"/>
      <c r="H149" s="637"/>
      <c r="I149" s="637"/>
      <c r="J149" s="637"/>
      <c r="K149" s="637"/>
      <c r="L149" s="637"/>
      <c r="M149" s="637"/>
      <c r="N149" s="637"/>
      <c r="O149" s="637"/>
      <c r="P149" s="637"/>
      <c r="Q149" s="637"/>
      <c r="AB149" s="641"/>
      <c r="AC149" s="637"/>
      <c r="AD149" s="637"/>
      <c r="AE149" s="637"/>
      <c r="AF149" s="637"/>
      <c r="AG149" s="637"/>
      <c r="AH149" s="637"/>
      <c r="AI149" s="637"/>
      <c r="AJ149" s="637"/>
      <c r="AK149" s="637"/>
      <c r="AL149" s="637"/>
      <c r="AM149" s="637"/>
      <c r="AN149" s="637"/>
      <c r="AO149" s="641"/>
      <c r="AP149" s="637"/>
      <c r="AQ149" s="637"/>
      <c r="AR149" s="637"/>
      <c r="AS149" s="637"/>
      <c r="AT149" s="637"/>
      <c r="AU149" s="637"/>
      <c r="AV149" s="637"/>
      <c r="AW149" s="637"/>
      <c r="AX149" s="637"/>
      <c r="AY149" s="637"/>
      <c r="AZ149" s="637"/>
      <c r="BA149" s="637"/>
      <c r="BL149" s="637"/>
    </row>
    <row r="150" spans="2:64" hidden="1" x14ac:dyDescent="0.25">
      <c r="B150" s="498"/>
      <c r="C150" s="434" t="s">
        <v>451</v>
      </c>
      <c r="D150" s="163" t="s">
        <v>1125</v>
      </c>
      <c r="E150" s="641"/>
      <c r="F150" s="637"/>
      <c r="G150" s="637"/>
      <c r="H150" s="637"/>
      <c r="I150" s="637"/>
      <c r="J150" s="637"/>
      <c r="K150" s="637"/>
      <c r="L150" s="637"/>
      <c r="M150" s="637"/>
      <c r="N150" s="637"/>
      <c r="O150" s="637"/>
      <c r="P150" s="637"/>
      <c r="Q150" s="637"/>
      <c r="AB150" s="641"/>
      <c r="AC150" s="637"/>
      <c r="AD150" s="637"/>
      <c r="AE150" s="637"/>
      <c r="AF150" s="637"/>
      <c r="AG150" s="637"/>
      <c r="AH150" s="637"/>
      <c r="AI150" s="637"/>
      <c r="AJ150" s="637"/>
      <c r="AK150" s="637"/>
      <c r="AL150" s="637"/>
      <c r="AM150" s="637"/>
      <c r="AN150" s="637"/>
      <c r="AO150" s="641"/>
      <c r="AP150" s="637"/>
      <c r="AQ150" s="637"/>
      <c r="AR150" s="637"/>
      <c r="AS150" s="637"/>
      <c r="AT150" s="637"/>
      <c r="AU150" s="637"/>
      <c r="AV150" s="637"/>
      <c r="AW150" s="637"/>
      <c r="AX150" s="637"/>
      <c r="AY150" s="637"/>
      <c r="AZ150" s="637"/>
      <c r="BA150" s="637"/>
      <c r="BL150" s="637"/>
    </row>
    <row r="151" spans="2:64" hidden="1" x14ac:dyDescent="0.25">
      <c r="B151" s="498"/>
      <c r="C151" s="434" t="s">
        <v>206</v>
      </c>
      <c r="D151" s="163" t="s">
        <v>1125</v>
      </c>
      <c r="E151" s="641"/>
      <c r="F151" s="637"/>
      <c r="G151" s="637"/>
      <c r="H151" s="637"/>
      <c r="I151" s="637"/>
      <c r="J151" s="637"/>
      <c r="K151" s="637"/>
      <c r="L151" s="637"/>
      <c r="M151" s="637"/>
      <c r="N151" s="637"/>
      <c r="O151" s="637"/>
      <c r="P151" s="637"/>
      <c r="Q151" s="637"/>
      <c r="AB151" s="641"/>
      <c r="AC151" s="637"/>
      <c r="AD151" s="637"/>
      <c r="AE151" s="637"/>
      <c r="AF151" s="637"/>
      <c r="AG151" s="637"/>
      <c r="AH151" s="637"/>
      <c r="AI151" s="637"/>
      <c r="AJ151" s="637"/>
      <c r="AK151" s="637"/>
      <c r="AL151" s="637"/>
      <c r="AM151" s="637"/>
      <c r="AN151" s="637"/>
      <c r="AO151" s="641"/>
      <c r="AP151" s="637"/>
      <c r="AQ151" s="637"/>
      <c r="AR151" s="637"/>
      <c r="AS151" s="637"/>
      <c r="AT151" s="637"/>
      <c r="AU151" s="637"/>
      <c r="AV151" s="637"/>
      <c r="AW151" s="637"/>
      <c r="AX151" s="637"/>
      <c r="AY151" s="637"/>
      <c r="AZ151" s="637"/>
      <c r="BA151" s="637"/>
      <c r="BL151" s="637"/>
    </row>
    <row r="152" spans="2:64" hidden="1" x14ac:dyDescent="0.25">
      <c r="B152" s="498"/>
      <c r="C152" s="434" t="s">
        <v>492</v>
      </c>
      <c r="D152" s="163" t="s">
        <v>1125</v>
      </c>
      <c r="E152" s="641"/>
      <c r="F152" s="637"/>
      <c r="G152" s="637"/>
      <c r="H152" s="637"/>
      <c r="I152" s="637"/>
      <c r="J152" s="637"/>
      <c r="K152" s="637"/>
      <c r="L152" s="637"/>
      <c r="M152" s="637"/>
      <c r="N152" s="637"/>
      <c r="O152" s="637"/>
      <c r="P152" s="637"/>
      <c r="Q152" s="637"/>
      <c r="AB152" s="641"/>
      <c r="AC152" s="637"/>
      <c r="AD152" s="637"/>
      <c r="AE152" s="637"/>
      <c r="AF152" s="637"/>
      <c r="AG152" s="637"/>
      <c r="AH152" s="637"/>
      <c r="AI152" s="637"/>
      <c r="AJ152" s="637"/>
      <c r="AK152" s="637"/>
      <c r="AL152" s="637"/>
      <c r="AM152" s="637"/>
      <c r="AN152" s="637"/>
      <c r="AO152" s="641"/>
      <c r="AP152" s="637"/>
      <c r="AQ152" s="637"/>
      <c r="AR152" s="637"/>
      <c r="AS152" s="637"/>
      <c r="AT152" s="637"/>
      <c r="AU152" s="637"/>
      <c r="AV152" s="637"/>
      <c r="AW152" s="637"/>
      <c r="AX152" s="637"/>
      <c r="AY152" s="637"/>
      <c r="AZ152" s="637"/>
      <c r="BA152" s="637"/>
      <c r="BL152" s="637"/>
    </row>
    <row r="153" spans="2:64" x14ac:dyDescent="0.25">
      <c r="B153" s="49" t="s">
        <v>1368</v>
      </c>
      <c r="C153" s="49" t="s">
        <v>1370</v>
      </c>
      <c r="D153" s="163" t="s">
        <v>1126</v>
      </c>
      <c r="E153" s="1122">
        <v>0.14132493099317739</v>
      </c>
      <c r="F153" s="1122">
        <v>1.304623602484472</v>
      </c>
      <c r="G153" s="1122">
        <v>1.1458493049600129</v>
      </c>
      <c r="H153" s="1122">
        <v>1.1388440525895001</v>
      </c>
      <c r="I153" s="1122">
        <v>1.176467876628438</v>
      </c>
      <c r="J153" s="1122">
        <v>1.2708042824491761</v>
      </c>
      <c r="K153" s="1122">
        <v>1.320860252564013</v>
      </c>
      <c r="L153" s="1122">
        <v>0.9912529327970504</v>
      </c>
      <c r="M153" s="1122">
        <v>0.80420602357049331</v>
      </c>
      <c r="N153" s="1122">
        <v>1.1211219056203781</v>
      </c>
      <c r="O153" s="1122">
        <v>1.158293226971135</v>
      </c>
      <c r="P153" s="1122">
        <v>2.4356767842493849</v>
      </c>
      <c r="Q153" s="1122">
        <v>2.2374084345562721</v>
      </c>
      <c r="R153" s="1122">
        <v>1.68967549379313</v>
      </c>
      <c r="S153" s="1122">
        <v>1.8099649083270291</v>
      </c>
      <c r="T153" s="1122">
        <v>1.7363566482111721</v>
      </c>
      <c r="U153" s="1122">
        <v>1.649446769320257</v>
      </c>
      <c r="V153" s="1122">
        <v>3.1118828072118641</v>
      </c>
      <c r="W153" s="1122">
        <v>3.3552658850894592</v>
      </c>
      <c r="X153" s="1122">
        <v>3.4670476518544029</v>
      </c>
      <c r="Y153" s="1122">
        <v>1.9734709917302391</v>
      </c>
      <c r="Z153" s="1122">
        <v>2.6965573811614201</v>
      </c>
      <c r="AA153" s="1122">
        <v>2.6383951370252912</v>
      </c>
      <c r="AB153" s="1122">
        <v>2.188580576307364</v>
      </c>
      <c r="AC153" s="1122">
        <v>2.13</v>
      </c>
      <c r="AD153" s="1122">
        <v>2.5</v>
      </c>
      <c r="AE153" s="1122">
        <v>2.73</v>
      </c>
      <c r="AF153" s="570">
        <v>2.56</v>
      </c>
      <c r="AG153" s="570">
        <v>2.56</v>
      </c>
      <c r="AH153" s="570">
        <v>2.56</v>
      </c>
      <c r="AI153" s="570">
        <v>2.56</v>
      </c>
      <c r="AJ153" s="570">
        <v>2.56</v>
      </c>
      <c r="AK153" s="570">
        <v>2.56</v>
      </c>
      <c r="AL153" s="570">
        <v>2.56</v>
      </c>
      <c r="AM153" s="570">
        <v>2.56</v>
      </c>
      <c r="AN153" s="570">
        <v>2.56</v>
      </c>
      <c r="AO153" s="570">
        <v>2.56</v>
      </c>
      <c r="AP153" s="570">
        <v>2.56</v>
      </c>
      <c r="AQ153" s="570">
        <v>2.56</v>
      </c>
      <c r="AR153" s="570">
        <v>2.56</v>
      </c>
      <c r="AS153" s="570">
        <v>2.56</v>
      </c>
      <c r="AT153" s="570">
        <v>2.56</v>
      </c>
      <c r="AU153" s="570">
        <v>2.56</v>
      </c>
      <c r="AV153" s="570">
        <v>2.56</v>
      </c>
      <c r="AW153" s="570">
        <v>2.56</v>
      </c>
      <c r="AX153" s="570">
        <v>2.56</v>
      </c>
      <c r="AY153" s="570">
        <v>2.56</v>
      </c>
      <c r="AZ153" s="570">
        <v>2.56</v>
      </c>
      <c r="BA153" s="570">
        <v>2.56</v>
      </c>
      <c r="BB153" s="570">
        <v>1.76</v>
      </c>
      <c r="BC153" s="570">
        <v>1.76</v>
      </c>
      <c r="BD153" s="570">
        <v>1.76</v>
      </c>
      <c r="BE153" s="570">
        <v>1.76</v>
      </c>
      <c r="BF153" s="570">
        <v>1.76</v>
      </c>
      <c r="BG153" s="570">
        <v>1.76</v>
      </c>
      <c r="BH153" s="570">
        <v>1.76</v>
      </c>
      <c r="BI153" s="570">
        <v>1.76</v>
      </c>
      <c r="BJ153" s="570">
        <v>1.76</v>
      </c>
      <c r="BK153" s="570">
        <v>1.76</v>
      </c>
      <c r="BL153" s="570">
        <v>1.76</v>
      </c>
    </row>
    <row r="154" spans="2:64" x14ac:dyDescent="0.25">
      <c r="B154" s="652" t="s">
        <v>842</v>
      </c>
      <c r="C154" s="434" t="s">
        <v>390</v>
      </c>
      <c r="D154" s="163" t="s">
        <v>1126</v>
      </c>
      <c r="E154" s="1122">
        <v>0.14132493099317739</v>
      </c>
      <c r="F154" s="1122">
        <v>1.304623602484472</v>
      </c>
      <c r="G154" s="1122">
        <v>1.1458493049600129</v>
      </c>
      <c r="H154" s="1122">
        <v>1.1388440525895001</v>
      </c>
      <c r="I154" s="1122">
        <v>1.176467876628438</v>
      </c>
      <c r="J154" s="1122">
        <v>1.2708042824491761</v>
      </c>
      <c r="K154" s="1122">
        <v>1.320860252564013</v>
      </c>
      <c r="L154" s="1122">
        <v>0.9912529327970504</v>
      </c>
      <c r="M154" s="1122">
        <v>0.80420602357049331</v>
      </c>
      <c r="N154" s="1122">
        <v>1.1211219056203781</v>
      </c>
      <c r="O154" s="1122">
        <v>1.158293226971135</v>
      </c>
      <c r="P154" s="1122">
        <v>2.4356767842493849</v>
      </c>
      <c r="Q154" s="1122">
        <v>2.2374084345562721</v>
      </c>
      <c r="R154" s="1122">
        <v>1.68967549379313</v>
      </c>
      <c r="S154" s="1122">
        <v>1.8099649083270291</v>
      </c>
      <c r="T154" s="1122">
        <v>1.7363566482111721</v>
      </c>
      <c r="U154" s="1122">
        <v>1.649446769320257</v>
      </c>
      <c r="V154" s="1122">
        <v>3.1118828072118641</v>
      </c>
      <c r="W154" s="1122">
        <v>3.3552658850894592</v>
      </c>
      <c r="X154" s="1122">
        <v>3.4670476518544029</v>
      </c>
      <c r="Y154" s="1122">
        <v>1.9734709917302391</v>
      </c>
      <c r="Z154" s="1122">
        <v>2.6965573811614201</v>
      </c>
      <c r="AA154" s="1122">
        <v>2.6383951370252912</v>
      </c>
      <c r="AB154" s="1122">
        <v>2.188580576307364</v>
      </c>
      <c r="AC154" s="1122">
        <v>2.13</v>
      </c>
      <c r="AD154" s="1122">
        <v>2.5</v>
      </c>
      <c r="AE154" s="1122">
        <v>2.73</v>
      </c>
      <c r="AF154" s="570">
        <v>2.38</v>
      </c>
      <c r="AG154" s="570">
        <v>2.38</v>
      </c>
      <c r="AH154" s="570">
        <v>2.38</v>
      </c>
      <c r="AI154" s="570">
        <v>2.38</v>
      </c>
      <c r="AJ154" s="570">
        <v>2.38</v>
      </c>
      <c r="AK154" s="570">
        <v>2.38</v>
      </c>
      <c r="AL154" s="570">
        <v>2.38</v>
      </c>
      <c r="AM154" s="570">
        <v>2.38</v>
      </c>
      <c r="AN154" s="570">
        <v>2.38</v>
      </c>
      <c r="AO154" s="570">
        <v>2.38</v>
      </c>
      <c r="AP154" s="570">
        <v>2.38</v>
      </c>
      <c r="AQ154" s="570">
        <v>2.38</v>
      </c>
      <c r="AR154" s="570">
        <v>2.38</v>
      </c>
      <c r="AS154" s="570">
        <v>2.38</v>
      </c>
      <c r="AT154" s="570">
        <v>2.38</v>
      </c>
      <c r="AU154" s="570">
        <v>2.38</v>
      </c>
      <c r="AV154" s="570">
        <v>2.38</v>
      </c>
      <c r="AW154" s="570">
        <v>2.38</v>
      </c>
      <c r="AX154" s="570">
        <v>2.38</v>
      </c>
      <c r="AY154" s="570">
        <v>2.38</v>
      </c>
      <c r="AZ154" s="570">
        <v>2.38</v>
      </c>
      <c r="BA154" s="570">
        <v>2.38</v>
      </c>
      <c r="BB154" s="570">
        <v>2.38</v>
      </c>
      <c r="BC154" s="570">
        <v>2.38</v>
      </c>
      <c r="BD154" s="570">
        <v>2.38</v>
      </c>
      <c r="BE154" s="570">
        <v>2.38</v>
      </c>
      <c r="BF154" s="570">
        <v>2.38</v>
      </c>
      <c r="BG154" s="570">
        <v>2.38</v>
      </c>
      <c r="BH154" s="570">
        <v>2.38</v>
      </c>
      <c r="BI154" s="570">
        <v>2.38</v>
      </c>
      <c r="BJ154" s="570">
        <v>2.38</v>
      </c>
      <c r="BK154" s="570">
        <v>2.38</v>
      </c>
      <c r="BL154" s="570">
        <v>2.38</v>
      </c>
    </row>
    <row r="155" spans="2:64" x14ac:dyDescent="0.25">
      <c r="B155" s="652" t="s">
        <v>843</v>
      </c>
      <c r="C155" s="434" t="s">
        <v>444</v>
      </c>
      <c r="D155" s="163" t="s">
        <v>1126</v>
      </c>
      <c r="E155" s="1122">
        <v>0.14132493099317739</v>
      </c>
      <c r="F155" s="1122">
        <v>1.304623602484472</v>
      </c>
      <c r="G155" s="1122">
        <v>1.1458493049600129</v>
      </c>
      <c r="H155" s="1122">
        <v>1.1388440525895001</v>
      </c>
      <c r="I155" s="1122">
        <v>1.176467876628438</v>
      </c>
      <c r="J155" s="1122">
        <v>1.2708042824491761</v>
      </c>
      <c r="K155" s="1122">
        <v>1.320860252564013</v>
      </c>
      <c r="L155" s="1122">
        <v>0.9912529327970504</v>
      </c>
      <c r="M155" s="1122">
        <v>0.80420602357049331</v>
      </c>
      <c r="N155" s="1122">
        <v>1.1211219056203781</v>
      </c>
      <c r="O155" s="1122">
        <v>1.158293226971135</v>
      </c>
      <c r="P155" s="1122">
        <v>2.4356767842493849</v>
      </c>
      <c r="Q155" s="1122">
        <v>2.2374084345562721</v>
      </c>
      <c r="R155" s="1122">
        <v>1.68967549379313</v>
      </c>
      <c r="S155" s="1122">
        <v>1.8099649083270291</v>
      </c>
      <c r="T155" s="1122">
        <v>1.7363566482111721</v>
      </c>
      <c r="U155" s="1122">
        <v>1.649446769320257</v>
      </c>
      <c r="V155" s="1122">
        <v>3.1118828072118641</v>
      </c>
      <c r="W155" s="1122">
        <v>3.3552658850894592</v>
      </c>
      <c r="X155" s="1122">
        <v>3.4670476518544029</v>
      </c>
      <c r="Y155" s="1122">
        <v>1.9734709917302391</v>
      </c>
      <c r="Z155" s="1122">
        <v>2.6965573811614201</v>
      </c>
      <c r="AA155" s="1122">
        <v>2.6383951370252912</v>
      </c>
      <c r="AB155" s="1122">
        <v>2.188580576307364</v>
      </c>
      <c r="AC155" s="1122">
        <v>2.13</v>
      </c>
      <c r="AD155" s="1122">
        <v>2.5</v>
      </c>
      <c r="AE155" s="1122">
        <v>2.73</v>
      </c>
      <c r="AF155" s="570">
        <v>3.47</v>
      </c>
      <c r="AG155" s="570">
        <v>3.47</v>
      </c>
      <c r="AH155" s="570">
        <v>3.47</v>
      </c>
      <c r="AI155" s="570">
        <v>3.47</v>
      </c>
      <c r="AJ155" s="570">
        <v>3.47</v>
      </c>
      <c r="AK155" s="570">
        <v>3.47</v>
      </c>
      <c r="AL155" s="570">
        <v>3.47</v>
      </c>
      <c r="AM155" s="570">
        <v>3.47</v>
      </c>
      <c r="AN155" s="570">
        <v>3.47</v>
      </c>
      <c r="AO155" s="570">
        <v>3.47</v>
      </c>
      <c r="AP155" s="570">
        <v>3.47</v>
      </c>
      <c r="AQ155" s="570">
        <v>3.47</v>
      </c>
      <c r="AR155" s="570">
        <v>3.47</v>
      </c>
      <c r="AS155" s="570">
        <v>3.47</v>
      </c>
      <c r="AT155" s="570">
        <v>3.47</v>
      </c>
      <c r="AU155" s="570">
        <v>3.47</v>
      </c>
      <c r="AV155" s="570">
        <v>3.47</v>
      </c>
      <c r="AW155" s="570">
        <v>3.47</v>
      </c>
      <c r="AX155" s="570">
        <v>3.47</v>
      </c>
      <c r="AY155" s="570">
        <v>3.47</v>
      </c>
      <c r="AZ155" s="570">
        <v>3.47</v>
      </c>
      <c r="BA155" s="570">
        <v>3.47</v>
      </c>
      <c r="BB155" s="570">
        <v>3.47</v>
      </c>
      <c r="BC155" s="570">
        <v>3.47</v>
      </c>
      <c r="BD155" s="570">
        <v>3.47</v>
      </c>
      <c r="BE155" s="570">
        <v>3.47</v>
      </c>
      <c r="BF155" s="570">
        <v>3.47</v>
      </c>
      <c r="BG155" s="570">
        <v>3.47</v>
      </c>
      <c r="BH155" s="570">
        <v>3.47</v>
      </c>
      <c r="BI155" s="570">
        <v>3.47</v>
      </c>
      <c r="BJ155" s="570">
        <v>3.47</v>
      </c>
      <c r="BK155" s="570">
        <v>3.47</v>
      </c>
      <c r="BL155" s="570">
        <v>3.47</v>
      </c>
    </row>
    <row r="156" spans="2:64" x14ac:dyDescent="0.25">
      <c r="B156" s="652" t="s">
        <v>844</v>
      </c>
      <c r="C156" s="434" t="s">
        <v>451</v>
      </c>
      <c r="D156" s="163" t="s">
        <v>1126</v>
      </c>
      <c r="E156" s="1122">
        <v>0.14132493099317739</v>
      </c>
      <c r="F156" s="1122">
        <v>1.304623602484472</v>
      </c>
      <c r="G156" s="1122">
        <v>1.1458493049600129</v>
      </c>
      <c r="H156" s="1122">
        <v>1.1388440525895001</v>
      </c>
      <c r="I156" s="1122">
        <v>1.176467876628438</v>
      </c>
      <c r="J156" s="1122">
        <v>1.2708042824491761</v>
      </c>
      <c r="K156" s="1122">
        <v>1.320860252564013</v>
      </c>
      <c r="L156" s="1122">
        <v>0.9912529327970504</v>
      </c>
      <c r="M156" s="1122">
        <v>0.80420602357049331</v>
      </c>
      <c r="N156" s="1122">
        <v>1.1211219056203781</v>
      </c>
      <c r="O156" s="1122">
        <v>1.158293226971135</v>
      </c>
      <c r="P156" s="1122">
        <v>2.4356767842493849</v>
      </c>
      <c r="Q156" s="1122">
        <v>2.2374084345562721</v>
      </c>
      <c r="R156" s="1122">
        <v>1.68967549379313</v>
      </c>
      <c r="S156" s="1122">
        <v>1.8099649083270291</v>
      </c>
      <c r="T156" s="1122">
        <v>1.7363566482111721</v>
      </c>
      <c r="U156" s="1122">
        <v>1.649446769320257</v>
      </c>
      <c r="V156" s="1122">
        <v>3.1118828072118641</v>
      </c>
      <c r="W156" s="1122">
        <v>3.3552658850894592</v>
      </c>
      <c r="X156" s="1122">
        <v>3.4670476518544029</v>
      </c>
      <c r="Y156" s="1122">
        <v>1.9734709917302391</v>
      </c>
      <c r="Z156" s="1122">
        <v>2.6965573811614201</v>
      </c>
      <c r="AA156" s="1122">
        <v>2.6383951370252912</v>
      </c>
      <c r="AB156" s="1122">
        <v>2.188580576307364</v>
      </c>
      <c r="AC156" s="1122">
        <v>2.13</v>
      </c>
      <c r="AD156" s="1122">
        <v>2.5</v>
      </c>
      <c r="AE156" s="1122">
        <v>2.73</v>
      </c>
      <c r="AF156" s="570">
        <v>2.56</v>
      </c>
      <c r="AG156" s="570">
        <v>2.56</v>
      </c>
      <c r="AH156" s="570">
        <v>2.56</v>
      </c>
      <c r="AI156" s="570">
        <v>2.56</v>
      </c>
      <c r="AJ156" s="570">
        <v>2.56</v>
      </c>
      <c r="AK156" s="570">
        <v>2.56</v>
      </c>
      <c r="AL156" s="570">
        <v>2.56</v>
      </c>
      <c r="AM156" s="570">
        <v>2.56</v>
      </c>
      <c r="AN156" s="570">
        <v>2.56</v>
      </c>
      <c r="AO156" s="570">
        <v>2.56</v>
      </c>
      <c r="AP156" s="570">
        <v>2.56</v>
      </c>
      <c r="AQ156" s="570">
        <v>2.56</v>
      </c>
      <c r="AR156" s="570">
        <v>2.56</v>
      </c>
      <c r="AS156" s="570">
        <v>2.56</v>
      </c>
      <c r="AT156" s="570">
        <v>2.56</v>
      </c>
      <c r="AU156" s="570">
        <v>2.56</v>
      </c>
      <c r="AV156" s="570">
        <v>2.56</v>
      </c>
      <c r="AW156" s="570">
        <v>2.56</v>
      </c>
      <c r="AX156" s="570">
        <v>2.56</v>
      </c>
      <c r="AY156" s="570">
        <v>2.56</v>
      </c>
      <c r="AZ156" s="570">
        <v>2.56</v>
      </c>
      <c r="BA156" s="570">
        <v>2.56</v>
      </c>
      <c r="BB156" s="570">
        <v>2.56</v>
      </c>
      <c r="BC156" s="570">
        <v>2.56</v>
      </c>
      <c r="BD156" s="570">
        <v>2.56</v>
      </c>
      <c r="BE156" s="570">
        <v>2.56</v>
      </c>
      <c r="BF156" s="570">
        <v>2.56</v>
      </c>
      <c r="BG156" s="570">
        <v>2.56</v>
      </c>
      <c r="BH156" s="570">
        <v>2.56</v>
      </c>
      <c r="BI156" s="570">
        <v>2.56</v>
      </c>
      <c r="BJ156" s="570">
        <v>2.56</v>
      </c>
      <c r="BK156" s="570">
        <v>2.56</v>
      </c>
      <c r="BL156" s="570">
        <v>2.56</v>
      </c>
    </row>
    <row r="157" spans="2:64" x14ac:dyDescent="0.25">
      <c r="B157" s="652" t="s">
        <v>845</v>
      </c>
      <c r="C157" s="434" t="s">
        <v>206</v>
      </c>
      <c r="D157" s="163" t="s">
        <v>1126</v>
      </c>
      <c r="E157" s="1122">
        <v>0.14132493099317739</v>
      </c>
      <c r="F157" s="1122">
        <v>1.304623602484472</v>
      </c>
      <c r="G157" s="1122">
        <v>1.1458493049600129</v>
      </c>
      <c r="H157" s="1122">
        <v>1.1388440525895001</v>
      </c>
      <c r="I157" s="1122">
        <v>1.176467876628438</v>
      </c>
      <c r="J157" s="1122">
        <v>1.2708042824491761</v>
      </c>
      <c r="K157" s="1122">
        <v>1.320860252564013</v>
      </c>
      <c r="L157" s="1122">
        <v>0.9912529327970504</v>
      </c>
      <c r="M157" s="1122">
        <v>0.80420602357049331</v>
      </c>
      <c r="N157" s="1122">
        <v>1.1211219056203781</v>
      </c>
      <c r="O157" s="1122">
        <v>1.158293226971135</v>
      </c>
      <c r="P157" s="1122">
        <v>2.4356767842493849</v>
      </c>
      <c r="Q157" s="1122">
        <v>2.2374084345562721</v>
      </c>
      <c r="R157" s="1122">
        <v>1.68967549379313</v>
      </c>
      <c r="S157" s="1122">
        <v>1.8099649083270291</v>
      </c>
      <c r="T157" s="1122">
        <v>1.7363566482111721</v>
      </c>
      <c r="U157" s="1122">
        <v>1.649446769320257</v>
      </c>
      <c r="V157" s="1122">
        <v>3.1118828072118641</v>
      </c>
      <c r="W157" s="1122">
        <v>3.3552658850894592</v>
      </c>
      <c r="X157" s="1122">
        <v>3.4670476518544029</v>
      </c>
      <c r="Y157" s="1122">
        <v>1.9734709917302391</v>
      </c>
      <c r="Z157" s="1122">
        <v>2.6965573811614201</v>
      </c>
      <c r="AA157" s="1122">
        <v>2.6383951370252912</v>
      </c>
      <c r="AB157" s="1122">
        <v>2.188580576307364</v>
      </c>
      <c r="AC157" s="1122">
        <v>2.13</v>
      </c>
      <c r="AD157" s="1122">
        <v>2.5</v>
      </c>
      <c r="AE157" s="1122">
        <v>2.73</v>
      </c>
      <c r="AF157" s="570">
        <v>1.65</v>
      </c>
      <c r="AG157" s="570">
        <v>1.65</v>
      </c>
      <c r="AH157" s="570">
        <v>1.65</v>
      </c>
      <c r="AI157" s="570">
        <v>1.65</v>
      </c>
      <c r="AJ157" s="570">
        <v>1.65</v>
      </c>
      <c r="AK157" s="570">
        <v>1.65</v>
      </c>
      <c r="AL157" s="570">
        <v>1.65</v>
      </c>
      <c r="AM157" s="570">
        <v>1.65</v>
      </c>
      <c r="AN157" s="570">
        <v>1.65</v>
      </c>
      <c r="AO157" s="570">
        <v>1.65</v>
      </c>
      <c r="AP157" s="570">
        <v>1.65</v>
      </c>
      <c r="AQ157" s="570">
        <v>1.65</v>
      </c>
      <c r="AR157" s="570">
        <v>1.65</v>
      </c>
      <c r="AS157" s="570">
        <v>1.65</v>
      </c>
      <c r="AT157" s="570">
        <v>1.65</v>
      </c>
      <c r="AU157" s="570">
        <v>1.65</v>
      </c>
      <c r="AV157" s="570">
        <v>1.65</v>
      </c>
      <c r="AW157" s="570">
        <v>1.65</v>
      </c>
      <c r="AX157" s="570">
        <v>1.65</v>
      </c>
      <c r="AY157" s="570">
        <v>1.65</v>
      </c>
      <c r="AZ157" s="570">
        <v>1.65</v>
      </c>
      <c r="BA157" s="570">
        <v>1.65</v>
      </c>
      <c r="BB157" s="570">
        <v>1.65</v>
      </c>
      <c r="BC157" s="570">
        <v>1.65</v>
      </c>
      <c r="BD157" s="570">
        <v>1.65</v>
      </c>
      <c r="BE157" s="570">
        <v>1.65</v>
      </c>
      <c r="BF157" s="570">
        <v>1.65</v>
      </c>
      <c r="BG157" s="570">
        <v>1.65</v>
      </c>
      <c r="BH157" s="570">
        <v>1.65</v>
      </c>
      <c r="BI157" s="570">
        <v>1.65</v>
      </c>
      <c r="BJ157" s="570">
        <v>1.65</v>
      </c>
      <c r="BK157" s="570">
        <v>1.65</v>
      </c>
      <c r="BL157" s="570">
        <v>1.65</v>
      </c>
    </row>
    <row r="158" spans="2:64" x14ac:dyDescent="0.25">
      <c r="B158" s="883" t="s">
        <v>1367</v>
      </c>
      <c r="C158" s="883" t="s">
        <v>1367</v>
      </c>
      <c r="D158" s="163" t="s">
        <v>1126</v>
      </c>
      <c r="E158" s="1122">
        <v>0.14132493099317739</v>
      </c>
      <c r="F158" s="1122">
        <v>1.304623602484472</v>
      </c>
      <c r="G158" s="1122">
        <v>1.1458493049600129</v>
      </c>
      <c r="H158" s="1122">
        <v>1.1388440525895001</v>
      </c>
      <c r="I158" s="1122">
        <v>1.176467876628438</v>
      </c>
      <c r="J158" s="1122">
        <v>1.2708042824491761</v>
      </c>
      <c r="K158" s="1122">
        <v>1.320860252564013</v>
      </c>
      <c r="L158" s="1122">
        <v>0.9912529327970504</v>
      </c>
      <c r="M158" s="1122">
        <v>0.80420602357049331</v>
      </c>
      <c r="N158" s="1122">
        <v>1.1211219056203781</v>
      </c>
      <c r="O158" s="1122">
        <v>1.158293226971135</v>
      </c>
      <c r="P158" s="1122">
        <v>2.4356767842493849</v>
      </c>
      <c r="Q158" s="1122">
        <v>2.2374084345562721</v>
      </c>
      <c r="R158" s="1122">
        <v>1.68967549379313</v>
      </c>
      <c r="S158" s="1122">
        <v>1.8099649083270291</v>
      </c>
      <c r="T158" s="1122">
        <v>1.7363566482111721</v>
      </c>
      <c r="U158" s="1122">
        <v>1.649446769320257</v>
      </c>
      <c r="V158" s="1122">
        <v>3.1118828072118641</v>
      </c>
      <c r="W158" s="1122">
        <v>3.3552658850894592</v>
      </c>
      <c r="X158" s="1122">
        <v>3.4670476518544029</v>
      </c>
      <c r="Y158" s="1122">
        <v>1.9734709917302391</v>
      </c>
      <c r="Z158" s="1122">
        <v>2.6965573811614201</v>
      </c>
      <c r="AA158" s="1122">
        <v>2.6383951370252912</v>
      </c>
      <c r="AB158" s="1122">
        <v>2.188580576307364</v>
      </c>
      <c r="AC158" s="1122">
        <v>2.13</v>
      </c>
      <c r="AD158" s="1122">
        <v>2.5</v>
      </c>
      <c r="AE158" s="1122">
        <v>2.73</v>
      </c>
      <c r="AF158" s="570">
        <v>3.15</v>
      </c>
      <c r="AG158" s="570">
        <v>3.15</v>
      </c>
      <c r="AH158" s="570">
        <v>3.15</v>
      </c>
      <c r="AI158" s="570">
        <v>3.15</v>
      </c>
      <c r="AJ158" s="570">
        <v>3.15</v>
      </c>
      <c r="AK158" s="570">
        <v>3.15</v>
      </c>
      <c r="AL158" s="570">
        <v>2.56</v>
      </c>
      <c r="AM158" s="570">
        <v>2.56</v>
      </c>
      <c r="AN158" s="570">
        <v>2.56</v>
      </c>
      <c r="AO158" s="570">
        <v>2.56</v>
      </c>
      <c r="AP158" s="570">
        <v>2.56</v>
      </c>
      <c r="AQ158" s="570">
        <v>2.56</v>
      </c>
      <c r="AR158" s="570">
        <v>2.56</v>
      </c>
      <c r="AS158" s="570">
        <v>2.56</v>
      </c>
      <c r="AT158" s="570">
        <v>2.56</v>
      </c>
      <c r="AU158" s="570">
        <v>2.56</v>
      </c>
      <c r="AV158" s="570">
        <v>2.56</v>
      </c>
      <c r="AW158" s="570">
        <v>2.56</v>
      </c>
      <c r="AX158" s="570">
        <v>2.56</v>
      </c>
      <c r="AY158" s="570">
        <v>2.56</v>
      </c>
      <c r="AZ158" s="570">
        <v>2.56</v>
      </c>
      <c r="BA158" s="570">
        <v>2.56</v>
      </c>
      <c r="BB158" s="570">
        <v>2.56</v>
      </c>
      <c r="BC158" s="570">
        <v>2.56</v>
      </c>
      <c r="BD158" s="570">
        <v>2.56</v>
      </c>
      <c r="BE158" s="570">
        <v>2.56</v>
      </c>
      <c r="BF158" s="570">
        <v>2.56</v>
      </c>
      <c r="BG158" s="570">
        <v>2.56</v>
      </c>
      <c r="BH158" s="570">
        <v>2.56</v>
      </c>
      <c r="BI158" s="570">
        <v>2.56</v>
      </c>
      <c r="BJ158" s="570">
        <v>2.56</v>
      </c>
      <c r="BK158" s="570">
        <v>2.56</v>
      </c>
      <c r="BL158" s="570">
        <v>2.56</v>
      </c>
    </row>
    <row r="160" spans="2:64" x14ac:dyDescent="0.25">
      <c r="B160" s="498" t="s">
        <v>1151</v>
      </c>
    </row>
    <row r="161" spans="2:64" hidden="1" x14ac:dyDescent="0.25">
      <c r="B161" s="49" t="s">
        <v>817</v>
      </c>
      <c r="C161" s="434" t="s">
        <v>389</v>
      </c>
      <c r="D161" s="163" t="s">
        <v>1137</v>
      </c>
      <c r="E161" s="637"/>
      <c r="F161" s="637"/>
      <c r="G161" s="637"/>
      <c r="H161" s="637"/>
      <c r="I161" s="637"/>
      <c r="J161" s="637"/>
      <c r="K161" s="637"/>
      <c r="L161" s="637"/>
      <c r="M161" s="637"/>
      <c r="N161" s="637"/>
      <c r="O161" s="637"/>
      <c r="P161" s="637"/>
      <c r="Q161" s="637"/>
      <c r="AB161" s="637"/>
      <c r="AC161" s="637"/>
      <c r="AD161" s="637"/>
      <c r="AE161" s="637"/>
      <c r="AF161" s="637"/>
      <c r="AG161" s="637"/>
      <c r="AH161" s="637"/>
      <c r="AI161" s="637"/>
      <c r="AJ161" s="637"/>
      <c r="AK161" s="637"/>
      <c r="AL161" s="637"/>
      <c r="AM161" s="637"/>
      <c r="AN161" s="637"/>
      <c r="AO161" s="637"/>
      <c r="AP161" s="637"/>
      <c r="AQ161" s="637"/>
      <c r="AR161" s="637"/>
      <c r="AS161" s="637"/>
      <c r="AT161" s="637"/>
      <c r="AU161" s="637"/>
      <c r="AV161" s="637"/>
      <c r="AW161" s="637"/>
      <c r="AX161" s="637"/>
      <c r="AY161" s="637"/>
      <c r="AZ161" s="637"/>
      <c r="BA161" s="637"/>
      <c r="BL161" s="637"/>
    </row>
    <row r="162" spans="2:64" hidden="1" x14ac:dyDescent="0.25">
      <c r="B162" s="498"/>
      <c r="C162" s="434" t="s">
        <v>390</v>
      </c>
      <c r="D162" s="163" t="s">
        <v>1137</v>
      </c>
      <c r="E162" s="637"/>
      <c r="F162" s="637"/>
      <c r="G162" s="637"/>
      <c r="H162" s="637"/>
      <c r="I162" s="637"/>
      <c r="J162" s="637"/>
      <c r="K162" s="637"/>
      <c r="L162" s="637"/>
      <c r="M162" s="637"/>
      <c r="N162" s="637"/>
      <c r="O162" s="637"/>
      <c r="P162" s="637"/>
      <c r="Q162" s="637"/>
      <c r="AB162" s="637"/>
      <c r="AC162" s="637"/>
      <c r="AD162" s="637"/>
      <c r="AE162" s="637"/>
      <c r="AF162" s="637"/>
      <c r="AG162" s="637"/>
      <c r="AH162" s="637"/>
      <c r="AI162" s="637"/>
      <c r="AJ162" s="637"/>
      <c r="AK162" s="637"/>
      <c r="AL162" s="637"/>
      <c r="AM162" s="637"/>
      <c r="AN162" s="637"/>
      <c r="AO162" s="637"/>
      <c r="AP162" s="637"/>
      <c r="AQ162" s="637"/>
      <c r="AR162" s="637"/>
      <c r="AS162" s="637"/>
      <c r="AT162" s="637"/>
      <c r="AU162" s="637"/>
      <c r="AV162" s="637"/>
      <c r="AW162" s="637"/>
      <c r="AX162" s="637"/>
      <c r="AY162" s="637"/>
      <c r="AZ162" s="637"/>
      <c r="BA162" s="637"/>
      <c r="BL162" s="637"/>
    </row>
    <row r="163" spans="2:64" hidden="1" x14ac:dyDescent="0.25">
      <c r="B163" s="498"/>
      <c r="C163" s="434" t="s">
        <v>444</v>
      </c>
      <c r="D163" s="163" t="s">
        <v>1137</v>
      </c>
      <c r="E163" s="637"/>
      <c r="F163" s="637"/>
      <c r="G163" s="637"/>
      <c r="H163" s="637"/>
      <c r="I163" s="637"/>
      <c r="J163" s="637"/>
      <c r="K163" s="637"/>
      <c r="L163" s="637"/>
      <c r="M163" s="637"/>
      <c r="N163" s="637"/>
      <c r="O163" s="637"/>
      <c r="P163" s="637"/>
      <c r="Q163" s="637"/>
      <c r="AB163" s="637"/>
      <c r="AC163" s="637"/>
      <c r="AD163" s="637"/>
      <c r="AE163" s="637"/>
      <c r="AF163" s="637"/>
      <c r="AG163" s="637"/>
      <c r="AH163" s="637"/>
      <c r="AI163" s="637"/>
      <c r="AJ163" s="637"/>
      <c r="AK163" s="637"/>
      <c r="AL163" s="637"/>
      <c r="AM163" s="637"/>
      <c r="AN163" s="637"/>
      <c r="AO163" s="637"/>
      <c r="AP163" s="637"/>
      <c r="AQ163" s="637"/>
      <c r="AR163" s="637"/>
      <c r="AS163" s="637"/>
      <c r="AT163" s="637"/>
      <c r="AU163" s="637"/>
      <c r="AV163" s="637"/>
      <c r="AW163" s="637"/>
      <c r="AX163" s="637"/>
      <c r="AY163" s="637"/>
      <c r="AZ163" s="637"/>
      <c r="BA163" s="637"/>
      <c r="BL163" s="637"/>
    </row>
    <row r="164" spans="2:64" hidden="1" x14ac:dyDescent="0.25">
      <c r="B164" s="498"/>
      <c r="C164" s="434" t="s">
        <v>451</v>
      </c>
      <c r="D164" s="163" t="s">
        <v>1137</v>
      </c>
      <c r="E164" s="637"/>
      <c r="F164" s="637"/>
      <c r="G164" s="637"/>
      <c r="H164" s="637"/>
      <c r="I164" s="637"/>
      <c r="J164" s="637"/>
      <c r="K164" s="637"/>
      <c r="L164" s="637"/>
      <c r="M164" s="637"/>
      <c r="N164" s="637"/>
      <c r="O164" s="637"/>
      <c r="P164" s="637"/>
      <c r="Q164" s="637"/>
      <c r="AB164" s="637"/>
      <c r="AC164" s="637"/>
      <c r="AD164" s="637"/>
      <c r="AE164" s="637"/>
      <c r="AF164" s="637"/>
      <c r="AG164" s="637"/>
      <c r="AH164" s="637"/>
      <c r="AI164" s="637"/>
      <c r="AJ164" s="637"/>
      <c r="AK164" s="637"/>
      <c r="AL164" s="637"/>
      <c r="AM164" s="637"/>
      <c r="AN164" s="637"/>
      <c r="AO164" s="637"/>
      <c r="AP164" s="637"/>
      <c r="AQ164" s="637"/>
      <c r="AR164" s="637"/>
      <c r="AS164" s="637"/>
      <c r="AT164" s="637"/>
      <c r="AU164" s="637"/>
      <c r="AV164" s="637"/>
      <c r="AW164" s="637"/>
      <c r="AX164" s="637"/>
      <c r="AY164" s="637"/>
      <c r="AZ164" s="637"/>
      <c r="BA164" s="637"/>
      <c r="BL164" s="637"/>
    </row>
    <row r="165" spans="2:64" hidden="1" x14ac:dyDescent="0.25">
      <c r="B165" s="498"/>
      <c r="C165" s="434" t="s">
        <v>206</v>
      </c>
      <c r="D165" s="163" t="s">
        <v>1137</v>
      </c>
      <c r="E165" s="641"/>
      <c r="F165" s="637"/>
      <c r="G165" s="637"/>
      <c r="H165" s="637"/>
      <c r="I165" s="637"/>
      <c r="J165" s="637"/>
      <c r="K165" s="637"/>
      <c r="L165" s="637"/>
      <c r="M165" s="637"/>
      <c r="N165" s="637"/>
      <c r="O165" s="637"/>
      <c r="P165" s="637"/>
      <c r="Q165" s="637"/>
      <c r="AB165" s="641"/>
      <c r="AC165" s="637"/>
      <c r="AD165" s="637"/>
      <c r="AE165" s="637"/>
      <c r="AF165" s="637"/>
      <c r="AG165" s="637"/>
      <c r="AH165" s="637"/>
      <c r="AI165" s="637"/>
      <c r="AJ165" s="637"/>
      <c r="AK165" s="637"/>
      <c r="AL165" s="637"/>
      <c r="AM165" s="637"/>
      <c r="AN165" s="637"/>
      <c r="AO165" s="641"/>
      <c r="AP165" s="637"/>
      <c r="AQ165" s="637"/>
      <c r="AR165" s="637"/>
      <c r="AS165" s="637"/>
      <c r="AT165" s="637"/>
      <c r="AU165" s="637"/>
      <c r="AV165" s="637"/>
      <c r="AW165" s="637"/>
      <c r="AX165" s="637"/>
      <c r="AY165" s="637"/>
      <c r="AZ165" s="637"/>
      <c r="BA165" s="637"/>
      <c r="BL165" s="637"/>
    </row>
    <row r="166" spans="2:64" hidden="1" x14ac:dyDescent="0.25">
      <c r="B166" s="498"/>
      <c r="C166" s="434" t="s">
        <v>492</v>
      </c>
      <c r="D166" s="163" t="s">
        <v>1137</v>
      </c>
      <c r="E166" s="641"/>
      <c r="F166" s="637"/>
      <c r="G166" s="637"/>
      <c r="H166" s="637"/>
      <c r="I166" s="637"/>
      <c r="J166" s="637"/>
      <c r="K166" s="637"/>
      <c r="L166" s="637"/>
      <c r="M166" s="637"/>
      <c r="N166" s="637"/>
      <c r="O166" s="637"/>
      <c r="P166" s="637"/>
      <c r="Q166" s="637"/>
      <c r="AB166" s="641"/>
      <c r="AC166" s="637"/>
      <c r="AD166" s="637"/>
      <c r="AE166" s="637"/>
      <c r="AF166" s="637"/>
      <c r="AG166" s="637"/>
      <c r="AH166" s="637"/>
      <c r="AI166" s="637"/>
      <c r="AJ166" s="637"/>
      <c r="AK166" s="637"/>
      <c r="AL166" s="637"/>
      <c r="AM166" s="637"/>
      <c r="AN166" s="637"/>
      <c r="AO166" s="641"/>
      <c r="AP166" s="637"/>
      <c r="AQ166" s="637"/>
      <c r="AR166" s="637"/>
      <c r="AS166" s="637"/>
      <c r="AT166" s="637"/>
      <c r="AU166" s="637"/>
      <c r="AV166" s="637"/>
      <c r="AW166" s="637"/>
      <c r="AX166" s="637"/>
      <c r="AY166" s="637"/>
      <c r="AZ166" s="637"/>
      <c r="BA166" s="637"/>
      <c r="BL166" s="637"/>
    </row>
    <row r="167" spans="2:64" hidden="1" x14ac:dyDescent="0.25">
      <c r="B167" s="49" t="s">
        <v>818</v>
      </c>
      <c r="C167" s="434" t="s">
        <v>389</v>
      </c>
      <c r="D167" s="163" t="s">
        <v>1138</v>
      </c>
      <c r="E167" s="641"/>
      <c r="F167" s="637"/>
      <c r="G167" s="637"/>
      <c r="H167" s="637"/>
      <c r="I167" s="637"/>
      <c r="J167" s="637"/>
      <c r="K167" s="637"/>
      <c r="L167" s="637"/>
      <c r="M167" s="637"/>
      <c r="N167" s="637"/>
      <c r="O167" s="637"/>
      <c r="P167" s="637"/>
      <c r="Q167" s="637"/>
      <c r="AB167" s="641"/>
      <c r="AC167" s="637"/>
      <c r="AD167" s="637"/>
      <c r="AE167" s="637"/>
      <c r="AF167" s="637"/>
      <c r="AG167" s="637"/>
      <c r="AH167" s="637"/>
      <c r="AI167" s="637"/>
      <c r="AJ167" s="637"/>
      <c r="AK167" s="637"/>
      <c r="AL167" s="637"/>
      <c r="AM167" s="637"/>
      <c r="AN167" s="637"/>
      <c r="AO167" s="641"/>
      <c r="AP167" s="637"/>
      <c r="AQ167" s="637"/>
      <c r="AR167" s="637"/>
      <c r="AS167" s="637"/>
      <c r="AT167" s="637"/>
      <c r="AU167" s="637"/>
      <c r="AV167" s="637"/>
      <c r="AW167" s="637"/>
      <c r="AX167" s="637"/>
      <c r="AY167" s="637"/>
      <c r="AZ167" s="637"/>
      <c r="BA167" s="637"/>
      <c r="BL167" s="637"/>
    </row>
    <row r="168" spans="2:64" hidden="1" x14ac:dyDescent="0.25">
      <c r="B168" s="498"/>
      <c r="C168" s="434" t="s">
        <v>390</v>
      </c>
      <c r="D168" s="163" t="s">
        <v>1138</v>
      </c>
      <c r="E168" s="641"/>
      <c r="F168" s="637"/>
      <c r="G168" s="637"/>
      <c r="H168" s="637"/>
      <c r="I168" s="637"/>
      <c r="J168" s="637"/>
      <c r="K168" s="637"/>
      <c r="L168" s="637"/>
      <c r="M168" s="637"/>
      <c r="N168" s="637"/>
      <c r="O168" s="637"/>
      <c r="P168" s="637"/>
      <c r="Q168" s="637"/>
      <c r="AB168" s="641"/>
      <c r="AC168" s="637"/>
      <c r="AD168" s="637"/>
      <c r="AE168" s="637"/>
      <c r="AF168" s="637"/>
      <c r="AG168" s="637"/>
      <c r="AH168" s="637"/>
      <c r="AI168" s="637"/>
      <c r="AJ168" s="637"/>
      <c r="AK168" s="637"/>
      <c r="AL168" s="637"/>
      <c r="AM168" s="637"/>
      <c r="AN168" s="637"/>
      <c r="AO168" s="641"/>
      <c r="AP168" s="637"/>
      <c r="AQ168" s="637"/>
      <c r="AR168" s="637"/>
      <c r="AS168" s="637"/>
      <c r="AT168" s="637"/>
      <c r="AU168" s="637"/>
      <c r="AV168" s="637"/>
      <c r="AW168" s="637"/>
      <c r="AX168" s="637"/>
      <c r="AY168" s="637"/>
      <c r="AZ168" s="637"/>
      <c r="BA168" s="637"/>
      <c r="BL168" s="637"/>
    </row>
    <row r="169" spans="2:64" hidden="1" x14ac:dyDescent="0.25">
      <c r="B169" s="498"/>
      <c r="C169" s="434" t="s">
        <v>444</v>
      </c>
      <c r="D169" s="163" t="s">
        <v>1138</v>
      </c>
      <c r="E169" s="641"/>
      <c r="F169" s="637"/>
      <c r="G169" s="637"/>
      <c r="H169" s="637"/>
      <c r="I169" s="637"/>
      <c r="J169" s="637"/>
      <c r="K169" s="637"/>
      <c r="L169" s="637"/>
      <c r="M169" s="637"/>
      <c r="N169" s="637"/>
      <c r="O169" s="637"/>
      <c r="P169" s="637"/>
      <c r="Q169" s="637"/>
      <c r="AB169" s="641"/>
      <c r="AC169" s="637"/>
      <c r="AD169" s="637"/>
      <c r="AE169" s="637"/>
      <c r="AF169" s="637"/>
      <c r="AG169" s="637"/>
      <c r="AH169" s="637"/>
      <c r="AI169" s="637"/>
      <c r="AJ169" s="637"/>
      <c r="AK169" s="637"/>
      <c r="AL169" s="637"/>
      <c r="AM169" s="637"/>
      <c r="AN169" s="637"/>
      <c r="AO169" s="641"/>
      <c r="AP169" s="637"/>
      <c r="AQ169" s="637"/>
      <c r="AR169" s="637"/>
      <c r="AS169" s="637"/>
      <c r="AT169" s="637"/>
      <c r="AU169" s="637"/>
      <c r="AV169" s="637"/>
      <c r="AW169" s="637"/>
      <c r="AX169" s="637"/>
      <c r="AY169" s="637"/>
      <c r="AZ169" s="637"/>
      <c r="BA169" s="637"/>
      <c r="BL169" s="637"/>
    </row>
    <row r="170" spans="2:64" hidden="1" x14ac:dyDescent="0.25">
      <c r="B170" s="498"/>
      <c r="C170" s="434" t="s">
        <v>451</v>
      </c>
      <c r="D170" s="163" t="s">
        <v>1138</v>
      </c>
      <c r="E170" s="641"/>
      <c r="F170" s="637"/>
      <c r="G170" s="637"/>
      <c r="H170" s="637"/>
      <c r="I170" s="637"/>
      <c r="J170" s="637"/>
      <c r="K170" s="637"/>
      <c r="L170" s="637"/>
      <c r="M170" s="637"/>
      <c r="N170" s="637"/>
      <c r="O170" s="637"/>
      <c r="P170" s="637"/>
      <c r="Q170" s="637"/>
      <c r="AB170" s="641"/>
      <c r="AC170" s="637"/>
      <c r="AD170" s="637"/>
      <c r="AE170" s="637"/>
      <c r="AF170" s="637"/>
      <c r="AG170" s="637"/>
      <c r="AH170" s="637"/>
      <c r="AI170" s="637"/>
      <c r="AJ170" s="637"/>
      <c r="AK170" s="637"/>
      <c r="AL170" s="637"/>
      <c r="AM170" s="637"/>
      <c r="AN170" s="637"/>
      <c r="AO170" s="641"/>
      <c r="AP170" s="637"/>
      <c r="AQ170" s="637"/>
      <c r="AR170" s="637"/>
      <c r="AS170" s="637"/>
      <c r="AT170" s="637"/>
      <c r="AU170" s="637"/>
      <c r="AV170" s="637"/>
      <c r="AW170" s="637"/>
      <c r="AX170" s="637"/>
      <c r="AY170" s="637"/>
      <c r="AZ170" s="637"/>
      <c r="BA170" s="637"/>
      <c r="BL170" s="637"/>
    </row>
    <row r="171" spans="2:64" hidden="1" x14ac:dyDescent="0.25">
      <c r="B171" s="498"/>
      <c r="C171" s="434" t="s">
        <v>206</v>
      </c>
      <c r="D171" s="163" t="s">
        <v>1138</v>
      </c>
      <c r="E171" s="641"/>
      <c r="F171" s="637"/>
      <c r="G171" s="637"/>
      <c r="H171" s="637"/>
      <c r="I171" s="637"/>
      <c r="J171" s="637"/>
      <c r="K171" s="637"/>
      <c r="L171" s="637"/>
      <c r="M171" s="637"/>
      <c r="N171" s="637"/>
      <c r="O171" s="637"/>
      <c r="P171" s="637"/>
      <c r="Q171" s="637"/>
      <c r="AB171" s="641"/>
      <c r="AC171" s="637"/>
      <c r="AD171" s="637"/>
      <c r="AE171" s="637"/>
      <c r="AF171" s="637"/>
      <c r="AG171" s="637"/>
      <c r="AH171" s="637"/>
      <c r="AI171" s="637"/>
      <c r="AJ171" s="637"/>
      <c r="AK171" s="637"/>
      <c r="AL171" s="637"/>
      <c r="AM171" s="637"/>
      <c r="AN171" s="637"/>
      <c r="AO171" s="641"/>
      <c r="AP171" s="637"/>
      <c r="AQ171" s="637"/>
      <c r="AR171" s="637"/>
      <c r="AS171" s="637"/>
      <c r="AT171" s="637"/>
      <c r="AU171" s="637"/>
      <c r="AV171" s="637"/>
      <c r="AW171" s="637"/>
      <c r="AX171" s="637"/>
      <c r="AY171" s="637"/>
      <c r="AZ171" s="637"/>
      <c r="BA171" s="637"/>
      <c r="BL171" s="637"/>
    </row>
    <row r="172" spans="2:64" hidden="1" x14ac:dyDescent="0.25">
      <c r="B172" s="498"/>
      <c r="C172" s="434" t="s">
        <v>492</v>
      </c>
      <c r="D172" s="163" t="s">
        <v>1138</v>
      </c>
      <c r="E172" s="641"/>
      <c r="F172" s="637"/>
      <c r="G172" s="637"/>
      <c r="H172" s="637"/>
      <c r="I172" s="637"/>
      <c r="J172" s="637"/>
      <c r="K172" s="637"/>
      <c r="L172" s="637"/>
      <c r="M172" s="637"/>
      <c r="N172" s="637"/>
      <c r="O172" s="637"/>
      <c r="P172" s="637"/>
      <c r="Q172" s="637"/>
      <c r="AB172" s="641"/>
      <c r="AC172" s="637"/>
      <c r="AD172" s="637"/>
      <c r="AE172" s="637"/>
      <c r="AF172" s="637"/>
      <c r="AG172" s="637"/>
      <c r="AH172" s="637"/>
      <c r="AI172" s="637"/>
      <c r="AJ172" s="637"/>
      <c r="AK172" s="637"/>
      <c r="AL172" s="637"/>
      <c r="AM172" s="637"/>
      <c r="AN172" s="637"/>
      <c r="AO172" s="641"/>
      <c r="AP172" s="637"/>
      <c r="AQ172" s="637"/>
      <c r="AR172" s="637"/>
      <c r="AS172" s="637"/>
      <c r="AT172" s="637"/>
      <c r="AU172" s="637"/>
      <c r="AV172" s="637"/>
      <c r="AW172" s="637"/>
      <c r="AX172" s="637"/>
      <c r="AY172" s="637"/>
      <c r="AZ172" s="637"/>
      <c r="BA172" s="637"/>
      <c r="BL172" s="637"/>
    </row>
    <row r="173" spans="2:64" hidden="1" x14ac:dyDescent="0.25">
      <c r="B173" s="49" t="s">
        <v>819</v>
      </c>
      <c r="C173" s="434" t="s">
        <v>389</v>
      </c>
      <c r="D173" s="163" t="s">
        <v>1139</v>
      </c>
      <c r="E173" s="641"/>
      <c r="F173" s="637"/>
      <c r="G173" s="637"/>
      <c r="H173" s="637"/>
      <c r="I173" s="637"/>
      <c r="J173" s="637"/>
      <c r="K173" s="637"/>
      <c r="L173" s="637"/>
      <c r="M173" s="637"/>
      <c r="N173" s="637"/>
      <c r="O173" s="637"/>
      <c r="P173" s="637"/>
      <c r="Q173" s="637"/>
      <c r="AB173" s="641"/>
      <c r="AC173" s="637"/>
      <c r="AD173" s="637"/>
      <c r="AE173" s="637"/>
      <c r="AF173" s="637"/>
      <c r="AG173" s="637"/>
      <c r="AH173" s="637"/>
      <c r="AI173" s="637"/>
      <c r="AJ173" s="637"/>
      <c r="AK173" s="637"/>
      <c r="AL173" s="637"/>
      <c r="AM173" s="637"/>
      <c r="AN173" s="637"/>
      <c r="AO173" s="641"/>
      <c r="AP173" s="637"/>
      <c r="AQ173" s="637"/>
      <c r="AR173" s="637"/>
      <c r="AS173" s="637"/>
      <c r="AT173" s="637"/>
      <c r="AU173" s="637"/>
      <c r="AV173" s="637"/>
      <c r="AW173" s="637"/>
      <c r="AX173" s="637"/>
      <c r="AY173" s="637"/>
      <c r="AZ173" s="637"/>
      <c r="BA173" s="637"/>
      <c r="BL173" s="637"/>
    </row>
    <row r="174" spans="2:64" hidden="1" x14ac:dyDescent="0.25">
      <c r="B174" s="498"/>
      <c r="C174" s="434" t="s">
        <v>390</v>
      </c>
      <c r="D174" s="163" t="s">
        <v>1139</v>
      </c>
      <c r="E174" s="641"/>
      <c r="F174" s="637"/>
      <c r="G174" s="637"/>
      <c r="H174" s="637"/>
      <c r="I174" s="637"/>
      <c r="J174" s="637"/>
      <c r="K174" s="637"/>
      <c r="L174" s="637"/>
      <c r="M174" s="637"/>
      <c r="N174" s="637"/>
      <c r="O174" s="637"/>
      <c r="P174" s="637"/>
      <c r="Q174" s="637"/>
      <c r="AB174" s="641"/>
      <c r="AC174" s="637"/>
      <c r="AD174" s="637"/>
      <c r="AE174" s="637"/>
      <c r="AF174" s="637"/>
      <c r="AG174" s="637"/>
      <c r="AH174" s="637"/>
      <c r="AI174" s="637"/>
      <c r="AJ174" s="637"/>
      <c r="AK174" s="637"/>
      <c r="AL174" s="637"/>
      <c r="AM174" s="637"/>
      <c r="AN174" s="637"/>
      <c r="AO174" s="641"/>
      <c r="AP174" s="637"/>
      <c r="AQ174" s="637"/>
      <c r="AR174" s="637"/>
      <c r="AS174" s="637"/>
      <c r="AT174" s="637"/>
      <c r="AU174" s="637"/>
      <c r="AV174" s="637"/>
      <c r="AW174" s="637"/>
      <c r="AX174" s="637"/>
      <c r="AY174" s="637"/>
      <c r="AZ174" s="637"/>
      <c r="BA174" s="637"/>
      <c r="BL174" s="637"/>
    </row>
    <row r="175" spans="2:64" hidden="1" x14ac:dyDescent="0.25">
      <c r="B175" s="498"/>
      <c r="C175" s="434" t="s">
        <v>444</v>
      </c>
      <c r="D175" s="163" t="s">
        <v>1139</v>
      </c>
      <c r="E175" s="641"/>
      <c r="F175" s="637"/>
      <c r="G175" s="637"/>
      <c r="H175" s="637"/>
      <c r="I175" s="637"/>
      <c r="J175" s="637"/>
      <c r="K175" s="637"/>
      <c r="L175" s="637"/>
      <c r="M175" s="637"/>
      <c r="N175" s="637"/>
      <c r="O175" s="637"/>
      <c r="P175" s="637"/>
      <c r="Q175" s="637"/>
      <c r="AB175" s="641"/>
      <c r="AC175" s="637"/>
      <c r="AD175" s="637"/>
      <c r="AE175" s="637"/>
      <c r="AF175" s="637"/>
      <c r="AG175" s="637"/>
      <c r="AH175" s="637"/>
      <c r="AI175" s="637"/>
      <c r="AJ175" s="637"/>
      <c r="AK175" s="637"/>
      <c r="AL175" s="637"/>
      <c r="AM175" s="637"/>
      <c r="AN175" s="637"/>
      <c r="AO175" s="641"/>
      <c r="AP175" s="637"/>
      <c r="AQ175" s="637"/>
      <c r="AR175" s="637"/>
      <c r="AS175" s="637"/>
      <c r="AT175" s="637"/>
      <c r="AU175" s="637"/>
      <c r="AV175" s="637"/>
      <c r="AW175" s="637"/>
      <c r="AX175" s="637"/>
      <c r="AY175" s="637"/>
      <c r="AZ175" s="637"/>
      <c r="BA175" s="637"/>
      <c r="BL175" s="637"/>
    </row>
    <row r="176" spans="2:64" hidden="1" x14ac:dyDescent="0.25">
      <c r="B176" s="498"/>
      <c r="C176" s="434" t="s">
        <v>451</v>
      </c>
      <c r="D176" s="163" t="s">
        <v>1139</v>
      </c>
      <c r="E176" s="641"/>
      <c r="F176" s="637"/>
      <c r="G176" s="637"/>
      <c r="H176" s="637"/>
      <c r="I176" s="637"/>
      <c r="J176" s="637"/>
      <c r="K176" s="637"/>
      <c r="L176" s="637"/>
      <c r="M176" s="637"/>
      <c r="N176" s="637"/>
      <c r="O176" s="637"/>
      <c r="P176" s="637"/>
      <c r="Q176" s="637"/>
      <c r="AB176" s="641"/>
      <c r="AC176" s="637"/>
      <c r="AD176" s="637"/>
      <c r="AE176" s="637"/>
      <c r="AF176" s="637"/>
      <c r="AG176" s="637"/>
      <c r="AH176" s="637"/>
      <c r="AI176" s="637"/>
      <c r="AJ176" s="637"/>
      <c r="AK176" s="637"/>
      <c r="AL176" s="637"/>
      <c r="AM176" s="637"/>
      <c r="AN176" s="637"/>
      <c r="AO176" s="641"/>
      <c r="AP176" s="637"/>
      <c r="AQ176" s="637"/>
      <c r="AR176" s="637"/>
      <c r="AS176" s="637"/>
      <c r="AT176" s="637"/>
      <c r="AU176" s="637"/>
      <c r="AV176" s="637"/>
      <c r="AW176" s="637"/>
      <c r="AX176" s="637"/>
      <c r="AY176" s="637"/>
      <c r="AZ176" s="637"/>
      <c r="BA176" s="637"/>
      <c r="BL176" s="637"/>
    </row>
    <row r="177" spans="2:64" hidden="1" x14ac:dyDescent="0.25">
      <c r="B177" s="498"/>
      <c r="C177" s="434" t="s">
        <v>206</v>
      </c>
      <c r="D177" s="163" t="s">
        <v>1139</v>
      </c>
      <c r="E177" s="641"/>
      <c r="F177" s="637"/>
      <c r="G177" s="637"/>
      <c r="H177" s="637"/>
      <c r="I177" s="637"/>
      <c r="J177" s="637"/>
      <c r="K177" s="637"/>
      <c r="L177" s="637"/>
      <c r="M177" s="637"/>
      <c r="N177" s="637"/>
      <c r="O177" s="637"/>
      <c r="P177" s="637"/>
      <c r="Q177" s="637"/>
      <c r="AB177" s="641"/>
      <c r="AC177" s="637"/>
      <c r="AD177" s="637"/>
      <c r="AE177" s="637"/>
      <c r="AF177" s="637"/>
      <c r="AG177" s="637"/>
      <c r="AH177" s="637"/>
      <c r="AI177" s="637"/>
      <c r="AJ177" s="637"/>
      <c r="AK177" s="637"/>
      <c r="AL177" s="637"/>
      <c r="AM177" s="637"/>
      <c r="AN177" s="637"/>
      <c r="AO177" s="641"/>
      <c r="AP177" s="637"/>
      <c r="AQ177" s="637"/>
      <c r="AR177" s="637"/>
      <c r="AS177" s="637"/>
      <c r="AT177" s="637"/>
      <c r="AU177" s="637"/>
      <c r="AV177" s="637"/>
      <c r="AW177" s="637"/>
      <c r="AX177" s="637"/>
      <c r="AY177" s="637"/>
      <c r="AZ177" s="637"/>
      <c r="BA177" s="637"/>
      <c r="BL177" s="637"/>
    </row>
    <row r="178" spans="2:64" hidden="1" x14ac:dyDescent="0.25">
      <c r="B178" s="498"/>
      <c r="C178" s="434" t="s">
        <v>492</v>
      </c>
      <c r="D178" s="163" t="s">
        <v>1139</v>
      </c>
      <c r="E178" s="641"/>
      <c r="F178" s="637"/>
      <c r="G178" s="637"/>
      <c r="H178" s="637"/>
      <c r="I178" s="637"/>
      <c r="J178" s="637"/>
      <c r="K178" s="637"/>
      <c r="L178" s="637"/>
      <c r="M178" s="637"/>
      <c r="N178" s="637"/>
      <c r="O178" s="637"/>
      <c r="P178" s="637"/>
      <c r="Q178" s="637"/>
      <c r="AB178" s="641"/>
      <c r="AC178" s="637"/>
      <c r="AD178" s="637"/>
      <c r="AE178" s="637"/>
      <c r="AF178" s="637"/>
      <c r="AG178" s="637"/>
      <c r="AH178" s="637"/>
      <c r="AI178" s="637"/>
      <c r="AJ178" s="637"/>
      <c r="AK178" s="637"/>
      <c r="AL178" s="637"/>
      <c r="AM178" s="637"/>
      <c r="AN178" s="637"/>
      <c r="AO178" s="641"/>
      <c r="AP178" s="637"/>
      <c r="AQ178" s="637"/>
      <c r="AR178" s="637"/>
      <c r="AS178" s="637"/>
      <c r="AT178" s="637"/>
      <c r="AU178" s="637"/>
      <c r="AV178" s="637"/>
      <c r="AW178" s="637"/>
      <c r="AX178" s="637"/>
      <c r="AY178" s="637"/>
      <c r="AZ178" s="637"/>
      <c r="BA178" s="637"/>
      <c r="BL178" s="637"/>
    </row>
    <row r="179" spans="2:64" x14ac:dyDescent="0.25">
      <c r="B179" s="652" t="s">
        <v>48</v>
      </c>
      <c r="C179" s="434" t="s">
        <v>389</v>
      </c>
      <c r="D179" s="163" t="s">
        <v>1140</v>
      </c>
      <c r="E179" s="1119">
        <v>3.1852497969741628E-2</v>
      </c>
      <c r="F179" s="1119">
        <v>3.5747817106374993E-2</v>
      </c>
      <c r="G179" s="1119">
        <v>3.5674060452821517E-2</v>
      </c>
      <c r="H179" s="1119">
        <v>3.7609980302035453E-2</v>
      </c>
      <c r="I179" s="1119">
        <v>4.5968712394705173E-2</v>
      </c>
      <c r="J179" s="1119">
        <v>3.920539074122692E-2</v>
      </c>
      <c r="K179" s="1119">
        <v>3.4075104311543807E-2</v>
      </c>
      <c r="L179" s="1119">
        <v>3.1664559002206848E-2</v>
      </c>
      <c r="M179" s="1119">
        <v>5.6402439024390252E-2</v>
      </c>
      <c r="N179" s="1119">
        <v>6.4630846540394277E-2</v>
      </c>
      <c r="O179" s="1119">
        <v>6.3965598333669285E-2</v>
      </c>
      <c r="P179" s="1119">
        <v>5.4297838306191823E-2</v>
      </c>
      <c r="Q179" s="1119">
        <v>6.0189270081832502E-2</v>
      </c>
      <c r="R179" s="1119">
        <v>0.22775130222764051</v>
      </c>
      <c r="S179" s="1119">
        <v>7.4512560583077439E-2</v>
      </c>
      <c r="T179" s="1119">
        <v>7.0596096774827533E-2</v>
      </c>
      <c r="U179" s="1119">
        <v>7.8371023740264611E-2</v>
      </c>
      <c r="V179" s="1119">
        <v>6.5810622251267284E-2</v>
      </c>
      <c r="W179" s="1119">
        <v>5.764411027568922E-2</v>
      </c>
      <c r="X179" s="1119">
        <v>6.825158298976354E-2</v>
      </c>
      <c r="Y179" s="1119">
        <v>7.5916882964527158E-2</v>
      </c>
      <c r="Z179" s="1119">
        <v>6.4148946819007305E-2</v>
      </c>
      <c r="AA179" s="1119">
        <v>7.2767467928758253E-2</v>
      </c>
      <c r="AB179" s="1119">
        <v>7.1453882230328294E-2</v>
      </c>
      <c r="AC179" s="1135">
        <v>7.0300000000000001E-2</v>
      </c>
      <c r="AD179" s="1135">
        <v>6.4199999999999993E-2</v>
      </c>
      <c r="AE179" s="1135">
        <v>6.2799999999999995E-2</v>
      </c>
      <c r="AF179" s="650">
        <v>5.2999999999999999E-2</v>
      </c>
      <c r="AG179" s="650">
        <v>5.2999999999999999E-2</v>
      </c>
      <c r="AH179" s="650">
        <v>5.2999999999999999E-2</v>
      </c>
      <c r="AI179" s="650">
        <v>5.2999999999999999E-2</v>
      </c>
      <c r="AJ179" s="650">
        <v>5.2999999999999999E-2</v>
      </c>
      <c r="AK179" s="650">
        <v>5.2999999999999999E-2</v>
      </c>
      <c r="AL179" s="650">
        <v>5.2999999999999999E-2</v>
      </c>
      <c r="AM179" s="650">
        <v>5.2999999999999999E-2</v>
      </c>
      <c r="AN179" s="650">
        <v>5.2999999999999999E-2</v>
      </c>
      <c r="AO179" s="650">
        <v>5.2999999999999999E-2</v>
      </c>
      <c r="AP179" s="650">
        <v>5.2999999999999999E-2</v>
      </c>
      <c r="AQ179" s="650">
        <v>5.2999999999999999E-2</v>
      </c>
      <c r="AR179" s="650">
        <v>5.2999999999999999E-2</v>
      </c>
      <c r="AS179" s="650">
        <v>5.2999999999999999E-2</v>
      </c>
      <c r="AT179" s="650">
        <v>5.2999999999999999E-2</v>
      </c>
      <c r="AU179" s="650">
        <v>5.2999999999999999E-2</v>
      </c>
      <c r="AV179" s="650">
        <v>5.2999999999999999E-2</v>
      </c>
      <c r="AW179" s="650">
        <v>5.2999999999999999E-2</v>
      </c>
      <c r="AX179" s="650">
        <v>5.2999999999999999E-2</v>
      </c>
      <c r="AY179" s="650">
        <v>5.2999999999999999E-2</v>
      </c>
      <c r="AZ179" s="650">
        <v>5.2999999999999999E-2</v>
      </c>
      <c r="BA179" s="650">
        <v>5.2999999999999999E-2</v>
      </c>
      <c r="BB179" s="650">
        <v>5.2999999999999999E-2</v>
      </c>
      <c r="BC179" s="650">
        <v>5.2999999999999999E-2</v>
      </c>
      <c r="BD179" s="650">
        <v>5.2999999999999999E-2</v>
      </c>
      <c r="BE179" s="650">
        <v>5.2999999999999999E-2</v>
      </c>
      <c r="BF179" s="650">
        <v>5.2999999999999999E-2</v>
      </c>
      <c r="BG179" s="650">
        <v>5.2999999999999999E-2</v>
      </c>
      <c r="BH179" s="650">
        <v>5.2999999999999999E-2</v>
      </c>
      <c r="BI179" s="650">
        <v>5.2999999999999999E-2</v>
      </c>
      <c r="BJ179" s="650">
        <v>5.2999999999999999E-2</v>
      </c>
      <c r="BK179" s="650">
        <v>5.2999999999999999E-2</v>
      </c>
      <c r="BL179" s="650">
        <v>5.2999999999999999E-2</v>
      </c>
    </row>
    <row r="180" spans="2:64" x14ac:dyDescent="0.25">
      <c r="B180" s="652" t="s">
        <v>842</v>
      </c>
      <c r="C180" s="434" t="s">
        <v>390</v>
      </c>
      <c r="D180" s="163" t="s">
        <v>1140</v>
      </c>
      <c r="E180" s="1119">
        <v>3.1852497969741628E-2</v>
      </c>
      <c r="F180" s="1119">
        <v>3.5747817106374993E-2</v>
      </c>
      <c r="G180" s="1119">
        <v>3.5674060452821517E-2</v>
      </c>
      <c r="H180" s="1119">
        <v>3.7609980302035453E-2</v>
      </c>
      <c r="I180" s="1119">
        <v>4.5968712394705173E-2</v>
      </c>
      <c r="J180" s="1119">
        <v>3.920539074122692E-2</v>
      </c>
      <c r="K180" s="1119">
        <v>3.4075104311543807E-2</v>
      </c>
      <c r="L180" s="1119">
        <v>3.1664559002206848E-2</v>
      </c>
      <c r="M180" s="1119">
        <v>5.6402439024390252E-2</v>
      </c>
      <c r="N180" s="1119">
        <v>6.4630846540394277E-2</v>
      </c>
      <c r="O180" s="1119">
        <v>6.3965598333669285E-2</v>
      </c>
      <c r="P180" s="1119">
        <v>5.4297838306191823E-2</v>
      </c>
      <c r="Q180" s="1119">
        <v>6.0189270081832502E-2</v>
      </c>
      <c r="R180" s="1119">
        <v>0.22775130222764051</v>
      </c>
      <c r="S180" s="1119">
        <v>7.4512560583077439E-2</v>
      </c>
      <c r="T180" s="1119">
        <v>7.0596096774827533E-2</v>
      </c>
      <c r="U180" s="1119">
        <v>7.8371023740264611E-2</v>
      </c>
      <c r="V180" s="1119">
        <v>6.5810622251267284E-2</v>
      </c>
      <c r="W180" s="1119">
        <v>5.764411027568922E-2</v>
      </c>
      <c r="X180" s="1119">
        <v>6.825158298976354E-2</v>
      </c>
      <c r="Y180" s="1119">
        <v>7.5916882964527158E-2</v>
      </c>
      <c r="Z180" s="1119">
        <v>6.4148946819007305E-2</v>
      </c>
      <c r="AA180" s="1119">
        <v>7.2767467928758253E-2</v>
      </c>
      <c r="AB180" s="1119">
        <v>7.1453882230328294E-2</v>
      </c>
      <c r="AC180" s="1135">
        <v>7.0300000000000001E-2</v>
      </c>
      <c r="AD180" s="1135">
        <v>6.4199999999999993E-2</v>
      </c>
      <c r="AE180" s="1135">
        <v>6.2799999999999995E-2</v>
      </c>
      <c r="AF180" s="650">
        <v>8.2000000000000003E-2</v>
      </c>
      <c r="AG180" s="650">
        <v>8.2000000000000003E-2</v>
      </c>
      <c r="AH180" s="650">
        <v>8.2000000000000003E-2</v>
      </c>
      <c r="AI180" s="650">
        <v>8.2000000000000003E-2</v>
      </c>
      <c r="AJ180" s="650">
        <v>8.2000000000000003E-2</v>
      </c>
      <c r="AK180" s="650">
        <v>8.2000000000000003E-2</v>
      </c>
      <c r="AL180" s="650">
        <v>8.2000000000000003E-2</v>
      </c>
      <c r="AM180" s="650">
        <v>8.2000000000000003E-2</v>
      </c>
      <c r="AN180" s="650">
        <v>8.2000000000000003E-2</v>
      </c>
      <c r="AO180" s="650">
        <v>8.2000000000000003E-2</v>
      </c>
      <c r="AP180" s="650">
        <v>8.2000000000000003E-2</v>
      </c>
      <c r="AQ180" s="650">
        <v>8.2000000000000003E-2</v>
      </c>
      <c r="AR180" s="650">
        <v>8.2000000000000003E-2</v>
      </c>
      <c r="AS180" s="650">
        <v>8.2000000000000003E-2</v>
      </c>
      <c r="AT180" s="650">
        <v>8.2000000000000003E-2</v>
      </c>
      <c r="AU180" s="650">
        <v>8.2000000000000003E-2</v>
      </c>
      <c r="AV180" s="650">
        <v>8.2000000000000003E-2</v>
      </c>
      <c r="AW180" s="650">
        <v>8.2000000000000003E-2</v>
      </c>
      <c r="AX180" s="650">
        <v>8.2000000000000003E-2</v>
      </c>
      <c r="AY180" s="650">
        <v>8.2000000000000003E-2</v>
      </c>
      <c r="AZ180" s="650">
        <v>8.2000000000000003E-2</v>
      </c>
      <c r="BA180" s="650">
        <v>8.2000000000000003E-2</v>
      </c>
      <c r="BB180" s="650">
        <v>8.2000000000000003E-2</v>
      </c>
      <c r="BC180" s="650">
        <v>8.2000000000000003E-2</v>
      </c>
      <c r="BD180" s="650">
        <v>8.2000000000000003E-2</v>
      </c>
      <c r="BE180" s="650">
        <v>8.2000000000000003E-2</v>
      </c>
      <c r="BF180" s="650">
        <v>8.2000000000000003E-2</v>
      </c>
      <c r="BG180" s="650">
        <v>8.2000000000000003E-2</v>
      </c>
      <c r="BH180" s="650">
        <v>8.2000000000000003E-2</v>
      </c>
      <c r="BI180" s="650">
        <v>8.2000000000000003E-2</v>
      </c>
      <c r="BJ180" s="650">
        <v>8.2000000000000003E-2</v>
      </c>
      <c r="BK180" s="650">
        <v>8.2000000000000003E-2</v>
      </c>
      <c r="BL180" s="650">
        <v>8.2000000000000003E-2</v>
      </c>
    </row>
    <row r="181" spans="2:64" x14ac:dyDescent="0.25">
      <c r="B181" s="652" t="s">
        <v>843</v>
      </c>
      <c r="C181" s="434" t="s">
        <v>444</v>
      </c>
      <c r="D181" s="163" t="s">
        <v>1140</v>
      </c>
      <c r="E181" s="1119">
        <v>3.1852497969741628E-2</v>
      </c>
      <c r="F181" s="1119">
        <v>3.5747817106374993E-2</v>
      </c>
      <c r="G181" s="1119">
        <v>3.5674060452821517E-2</v>
      </c>
      <c r="H181" s="1119">
        <v>3.7609980302035453E-2</v>
      </c>
      <c r="I181" s="1119">
        <v>4.5968712394705173E-2</v>
      </c>
      <c r="J181" s="1119">
        <v>3.920539074122692E-2</v>
      </c>
      <c r="K181" s="1119">
        <v>3.4075104311543807E-2</v>
      </c>
      <c r="L181" s="1119">
        <v>3.1664559002206848E-2</v>
      </c>
      <c r="M181" s="1119">
        <v>5.6402439024390252E-2</v>
      </c>
      <c r="N181" s="1119">
        <v>6.4630846540394277E-2</v>
      </c>
      <c r="O181" s="1119">
        <v>6.3965598333669285E-2</v>
      </c>
      <c r="P181" s="1119">
        <v>5.4297838306191823E-2</v>
      </c>
      <c r="Q181" s="1119">
        <v>6.0189270081832502E-2</v>
      </c>
      <c r="R181" s="1119">
        <v>0.22775130222764051</v>
      </c>
      <c r="S181" s="1119">
        <v>7.4512560583077439E-2</v>
      </c>
      <c r="T181" s="1119">
        <v>7.0596096774827533E-2</v>
      </c>
      <c r="U181" s="1119">
        <v>7.8371023740264611E-2</v>
      </c>
      <c r="V181" s="1119">
        <v>6.5810622251267284E-2</v>
      </c>
      <c r="W181" s="1119">
        <v>5.764411027568922E-2</v>
      </c>
      <c r="X181" s="1119">
        <v>6.825158298976354E-2</v>
      </c>
      <c r="Y181" s="1119">
        <v>7.5916882964527158E-2</v>
      </c>
      <c r="Z181" s="1119">
        <v>6.4148946819007305E-2</v>
      </c>
      <c r="AA181" s="1119">
        <v>7.2767467928758253E-2</v>
      </c>
      <c r="AB181" s="1119">
        <v>7.1453882230328294E-2</v>
      </c>
      <c r="AC181" s="1135">
        <v>7.0300000000000001E-2</v>
      </c>
      <c r="AD181" s="1135">
        <v>6.4199999999999993E-2</v>
      </c>
      <c r="AE181" s="1135">
        <v>6.2799999999999995E-2</v>
      </c>
      <c r="AF181" s="650">
        <v>7.8E-2</v>
      </c>
      <c r="AG181" s="650">
        <v>7.8E-2</v>
      </c>
      <c r="AH181" s="650">
        <v>7.8E-2</v>
      </c>
      <c r="AI181" s="650">
        <v>7.8E-2</v>
      </c>
      <c r="AJ181" s="650">
        <v>7.8E-2</v>
      </c>
      <c r="AK181" s="650">
        <v>7.8E-2</v>
      </c>
      <c r="AL181" s="650">
        <v>7.8E-2</v>
      </c>
      <c r="AM181" s="650">
        <v>7.8E-2</v>
      </c>
      <c r="AN181" s="650">
        <v>7.8E-2</v>
      </c>
      <c r="AO181" s="650">
        <v>7.8E-2</v>
      </c>
      <c r="AP181" s="650">
        <v>7.8E-2</v>
      </c>
      <c r="AQ181" s="650">
        <v>7.8E-2</v>
      </c>
      <c r="AR181" s="650">
        <v>7.8E-2</v>
      </c>
      <c r="AS181" s="650">
        <v>7.8E-2</v>
      </c>
      <c r="AT181" s="650">
        <v>7.8E-2</v>
      </c>
      <c r="AU181" s="650">
        <v>7.8E-2</v>
      </c>
      <c r="AV181" s="650">
        <v>7.8E-2</v>
      </c>
      <c r="AW181" s="650">
        <v>7.8E-2</v>
      </c>
      <c r="AX181" s="650">
        <v>7.8E-2</v>
      </c>
      <c r="AY181" s="650">
        <v>7.8E-2</v>
      </c>
      <c r="AZ181" s="650">
        <v>7.8E-2</v>
      </c>
      <c r="BA181" s="650">
        <v>7.8E-2</v>
      </c>
      <c r="BB181" s="650">
        <v>7.8E-2</v>
      </c>
      <c r="BC181" s="650">
        <v>7.8E-2</v>
      </c>
      <c r="BD181" s="650">
        <v>7.8E-2</v>
      </c>
      <c r="BE181" s="650">
        <v>7.8E-2</v>
      </c>
      <c r="BF181" s="650">
        <v>7.8E-2</v>
      </c>
      <c r="BG181" s="650">
        <v>7.8E-2</v>
      </c>
      <c r="BH181" s="650">
        <v>7.8E-2</v>
      </c>
      <c r="BI181" s="650">
        <v>7.8E-2</v>
      </c>
      <c r="BJ181" s="650">
        <v>7.8E-2</v>
      </c>
      <c r="BK181" s="650">
        <v>7.8E-2</v>
      </c>
      <c r="BL181" s="650">
        <v>7.8E-2</v>
      </c>
    </row>
    <row r="182" spans="2:64" x14ac:dyDescent="0.25">
      <c r="B182" s="652" t="s">
        <v>844</v>
      </c>
      <c r="C182" s="434" t="s">
        <v>451</v>
      </c>
      <c r="D182" s="163" t="s">
        <v>1140</v>
      </c>
      <c r="E182" s="1119">
        <v>3.1852497969741628E-2</v>
      </c>
      <c r="F182" s="1119">
        <v>3.5747817106374993E-2</v>
      </c>
      <c r="G182" s="1119">
        <v>3.5674060452821517E-2</v>
      </c>
      <c r="H182" s="1119">
        <v>3.7609980302035453E-2</v>
      </c>
      <c r="I182" s="1119">
        <v>4.5968712394705173E-2</v>
      </c>
      <c r="J182" s="1119">
        <v>3.920539074122692E-2</v>
      </c>
      <c r="K182" s="1119">
        <v>3.4075104311543807E-2</v>
      </c>
      <c r="L182" s="1119">
        <v>3.1664559002206848E-2</v>
      </c>
      <c r="M182" s="1119">
        <v>5.6402439024390252E-2</v>
      </c>
      <c r="N182" s="1119">
        <v>6.4630846540394277E-2</v>
      </c>
      <c r="O182" s="1119">
        <v>6.3965598333669285E-2</v>
      </c>
      <c r="P182" s="1119">
        <v>5.4297838306191823E-2</v>
      </c>
      <c r="Q182" s="1119">
        <v>6.0189270081832502E-2</v>
      </c>
      <c r="R182" s="1119">
        <v>0.22775130222764051</v>
      </c>
      <c r="S182" s="1119">
        <v>7.4512560583077439E-2</v>
      </c>
      <c r="T182" s="1119">
        <v>7.0596096774827533E-2</v>
      </c>
      <c r="U182" s="1119">
        <v>7.8371023740264611E-2</v>
      </c>
      <c r="V182" s="1119">
        <v>6.5810622251267284E-2</v>
      </c>
      <c r="W182" s="1119">
        <v>5.764411027568922E-2</v>
      </c>
      <c r="X182" s="1119">
        <v>6.825158298976354E-2</v>
      </c>
      <c r="Y182" s="1119">
        <v>7.5916882964527158E-2</v>
      </c>
      <c r="Z182" s="1119">
        <v>6.4148946819007305E-2</v>
      </c>
      <c r="AA182" s="1119">
        <v>7.2767467928758253E-2</v>
      </c>
      <c r="AB182" s="1119">
        <v>7.1453882230328294E-2</v>
      </c>
      <c r="AC182" s="1135">
        <v>7.0300000000000001E-2</v>
      </c>
      <c r="AD182" s="1135">
        <v>6.4199999999999993E-2</v>
      </c>
      <c r="AE182" s="1135">
        <v>6.2799999999999995E-2</v>
      </c>
      <c r="AF182" s="650">
        <v>5.8000000000000003E-2</v>
      </c>
      <c r="AG182" s="650">
        <v>5.8000000000000003E-2</v>
      </c>
      <c r="AH182" s="650">
        <v>5.8000000000000003E-2</v>
      </c>
      <c r="AI182" s="650">
        <v>5.8000000000000003E-2</v>
      </c>
      <c r="AJ182" s="650">
        <v>5.8000000000000003E-2</v>
      </c>
      <c r="AK182" s="650">
        <v>5.8000000000000003E-2</v>
      </c>
      <c r="AL182" s="650">
        <v>5.8000000000000003E-2</v>
      </c>
      <c r="AM182" s="650">
        <v>5.8000000000000003E-2</v>
      </c>
      <c r="AN182" s="650">
        <v>5.8000000000000003E-2</v>
      </c>
      <c r="AO182" s="650">
        <v>5.8000000000000003E-2</v>
      </c>
      <c r="AP182" s="650">
        <v>5.8000000000000003E-2</v>
      </c>
      <c r="AQ182" s="650">
        <v>5.8000000000000003E-2</v>
      </c>
      <c r="AR182" s="650">
        <v>5.8000000000000003E-2</v>
      </c>
      <c r="AS182" s="650">
        <v>5.8000000000000003E-2</v>
      </c>
      <c r="AT182" s="650">
        <v>5.8000000000000003E-2</v>
      </c>
      <c r="AU182" s="650">
        <v>5.8000000000000003E-2</v>
      </c>
      <c r="AV182" s="650">
        <v>5.8000000000000003E-2</v>
      </c>
      <c r="AW182" s="650">
        <v>5.8000000000000003E-2</v>
      </c>
      <c r="AX182" s="650">
        <v>5.8000000000000003E-2</v>
      </c>
      <c r="AY182" s="650">
        <v>5.8000000000000003E-2</v>
      </c>
      <c r="AZ182" s="650">
        <v>5.8000000000000003E-2</v>
      </c>
      <c r="BA182" s="650">
        <v>5.8000000000000003E-2</v>
      </c>
      <c r="BB182" s="650">
        <v>5.8000000000000003E-2</v>
      </c>
      <c r="BC182" s="650">
        <v>5.8000000000000003E-2</v>
      </c>
      <c r="BD182" s="650">
        <v>5.8000000000000003E-2</v>
      </c>
      <c r="BE182" s="650">
        <v>5.8000000000000003E-2</v>
      </c>
      <c r="BF182" s="650">
        <v>5.8000000000000003E-2</v>
      </c>
      <c r="BG182" s="650">
        <v>5.8000000000000003E-2</v>
      </c>
      <c r="BH182" s="650">
        <v>5.8000000000000003E-2</v>
      </c>
      <c r="BI182" s="650">
        <v>5.8000000000000003E-2</v>
      </c>
      <c r="BJ182" s="650">
        <v>5.8000000000000003E-2</v>
      </c>
      <c r="BK182" s="650">
        <v>5.8000000000000003E-2</v>
      </c>
      <c r="BL182" s="650">
        <v>5.8000000000000003E-2</v>
      </c>
    </row>
    <row r="183" spans="2:64" x14ac:dyDescent="0.25">
      <c r="B183" s="652" t="s">
        <v>845</v>
      </c>
      <c r="C183" s="434" t="s">
        <v>206</v>
      </c>
      <c r="D183" s="163" t="s">
        <v>1140</v>
      </c>
      <c r="E183" s="1119">
        <v>3.1852497969741628E-2</v>
      </c>
      <c r="F183" s="1119">
        <v>3.5747817106374993E-2</v>
      </c>
      <c r="G183" s="1119">
        <v>3.5674060452821517E-2</v>
      </c>
      <c r="H183" s="1119">
        <v>3.7609980302035453E-2</v>
      </c>
      <c r="I183" s="1119">
        <v>4.5968712394705173E-2</v>
      </c>
      <c r="J183" s="1119">
        <v>3.920539074122692E-2</v>
      </c>
      <c r="K183" s="1119">
        <v>3.4075104311543807E-2</v>
      </c>
      <c r="L183" s="1119">
        <v>3.1664559002206848E-2</v>
      </c>
      <c r="M183" s="1119">
        <v>5.6402439024390252E-2</v>
      </c>
      <c r="N183" s="1119">
        <v>6.4630846540394277E-2</v>
      </c>
      <c r="O183" s="1119">
        <v>6.3965598333669285E-2</v>
      </c>
      <c r="P183" s="1119">
        <v>5.4297838306191823E-2</v>
      </c>
      <c r="Q183" s="1119">
        <v>6.0189270081832502E-2</v>
      </c>
      <c r="R183" s="1119">
        <v>0.22775130222764051</v>
      </c>
      <c r="S183" s="1119">
        <v>7.4512560583077439E-2</v>
      </c>
      <c r="T183" s="1119">
        <v>7.0596096774827533E-2</v>
      </c>
      <c r="U183" s="1119">
        <v>7.8371023740264611E-2</v>
      </c>
      <c r="V183" s="1119">
        <v>6.5810622251267284E-2</v>
      </c>
      <c r="W183" s="1119">
        <v>5.764411027568922E-2</v>
      </c>
      <c r="X183" s="1119">
        <v>6.825158298976354E-2</v>
      </c>
      <c r="Y183" s="1119">
        <v>7.5916882964527158E-2</v>
      </c>
      <c r="Z183" s="1119">
        <v>6.4148946819007305E-2</v>
      </c>
      <c r="AA183" s="1119">
        <v>7.2767467928758253E-2</v>
      </c>
      <c r="AB183" s="1119">
        <v>7.1453882230328294E-2</v>
      </c>
      <c r="AC183" s="1135">
        <v>7.0300000000000001E-2</v>
      </c>
      <c r="AD183" s="1135">
        <v>6.4199999999999993E-2</v>
      </c>
      <c r="AE183" s="1135">
        <v>6.2799999999999995E-2</v>
      </c>
      <c r="AF183" s="650">
        <v>6.8000000000000005E-2</v>
      </c>
      <c r="AG183" s="650">
        <v>6.8000000000000005E-2</v>
      </c>
      <c r="AH183" s="650">
        <v>6.8000000000000005E-2</v>
      </c>
      <c r="AI183" s="650">
        <v>6.8000000000000005E-2</v>
      </c>
      <c r="AJ183" s="650">
        <v>6.8000000000000005E-2</v>
      </c>
      <c r="AK183" s="650">
        <v>6.8000000000000005E-2</v>
      </c>
      <c r="AL183" s="650">
        <v>6.8000000000000005E-2</v>
      </c>
      <c r="AM183" s="650">
        <v>6.8000000000000005E-2</v>
      </c>
      <c r="AN183" s="650">
        <v>6.8000000000000005E-2</v>
      </c>
      <c r="AO183" s="650">
        <v>6.8000000000000005E-2</v>
      </c>
      <c r="AP183" s="650">
        <v>6.8000000000000005E-2</v>
      </c>
      <c r="AQ183" s="650">
        <v>6.8000000000000005E-2</v>
      </c>
      <c r="AR183" s="650">
        <v>6.8000000000000005E-2</v>
      </c>
      <c r="AS183" s="650">
        <v>6.8000000000000005E-2</v>
      </c>
      <c r="AT183" s="650">
        <v>6.8000000000000005E-2</v>
      </c>
      <c r="AU183" s="650">
        <v>6.8000000000000005E-2</v>
      </c>
      <c r="AV183" s="650">
        <v>6.8000000000000005E-2</v>
      </c>
      <c r="AW183" s="650">
        <v>6.8000000000000005E-2</v>
      </c>
      <c r="AX183" s="650">
        <v>6.8000000000000005E-2</v>
      </c>
      <c r="AY183" s="650">
        <v>6.8000000000000005E-2</v>
      </c>
      <c r="AZ183" s="650">
        <v>6.8000000000000005E-2</v>
      </c>
      <c r="BA183" s="650">
        <v>6.8000000000000005E-2</v>
      </c>
      <c r="BB183" s="650">
        <v>6.8000000000000005E-2</v>
      </c>
      <c r="BC183" s="650">
        <v>6.8000000000000005E-2</v>
      </c>
      <c r="BD183" s="650">
        <v>6.8000000000000005E-2</v>
      </c>
      <c r="BE183" s="650">
        <v>6.8000000000000005E-2</v>
      </c>
      <c r="BF183" s="650">
        <v>6.8000000000000005E-2</v>
      </c>
      <c r="BG183" s="650">
        <v>6.8000000000000005E-2</v>
      </c>
      <c r="BH183" s="650">
        <v>6.8000000000000005E-2</v>
      </c>
      <c r="BI183" s="650">
        <v>6.8000000000000005E-2</v>
      </c>
      <c r="BJ183" s="650">
        <v>6.8000000000000005E-2</v>
      </c>
      <c r="BK183" s="650">
        <v>6.8000000000000005E-2</v>
      </c>
      <c r="BL183" s="650">
        <v>6.8000000000000005E-2</v>
      </c>
    </row>
    <row r="184" spans="2:64" x14ac:dyDescent="0.25">
      <c r="B184" s="883"/>
      <c r="C184" s="434" t="s">
        <v>492</v>
      </c>
      <c r="D184" s="163" t="s">
        <v>1140</v>
      </c>
      <c r="E184" s="1119">
        <v>3.1852497969741628E-2</v>
      </c>
      <c r="F184" s="1119">
        <v>3.5747817106374993E-2</v>
      </c>
      <c r="G184" s="1119">
        <v>3.5674060452821517E-2</v>
      </c>
      <c r="H184" s="1119">
        <v>3.7609980302035453E-2</v>
      </c>
      <c r="I184" s="1119">
        <v>4.5968712394705173E-2</v>
      </c>
      <c r="J184" s="1119">
        <v>3.920539074122692E-2</v>
      </c>
      <c r="K184" s="1119">
        <v>3.4075104311543807E-2</v>
      </c>
      <c r="L184" s="1119">
        <v>3.1664559002206848E-2</v>
      </c>
      <c r="M184" s="1119">
        <v>5.6402439024390252E-2</v>
      </c>
      <c r="N184" s="1119">
        <v>6.4630846540394277E-2</v>
      </c>
      <c r="O184" s="1119">
        <v>6.3965598333669285E-2</v>
      </c>
      <c r="P184" s="1119">
        <v>5.4297838306191823E-2</v>
      </c>
      <c r="Q184" s="1119">
        <v>6.0189270081832502E-2</v>
      </c>
      <c r="R184" s="1119">
        <v>0.22775130222764051</v>
      </c>
      <c r="S184" s="1119">
        <v>7.4512560583077439E-2</v>
      </c>
      <c r="T184" s="1119">
        <v>7.0596096774827533E-2</v>
      </c>
      <c r="U184" s="1119">
        <v>7.8371023740264611E-2</v>
      </c>
      <c r="V184" s="1119">
        <v>6.5810622251267284E-2</v>
      </c>
      <c r="W184" s="1119">
        <v>5.764411027568922E-2</v>
      </c>
      <c r="X184" s="1119">
        <v>6.825158298976354E-2</v>
      </c>
      <c r="Y184" s="1119">
        <v>7.5916882964527158E-2</v>
      </c>
      <c r="Z184" s="1119">
        <v>6.4148946819007305E-2</v>
      </c>
      <c r="AA184" s="1119">
        <v>7.2767467928758253E-2</v>
      </c>
      <c r="AB184" s="1119">
        <v>7.1453882230328294E-2</v>
      </c>
      <c r="AC184" s="1135">
        <v>7.0300000000000001E-2</v>
      </c>
      <c r="AD184" s="1135">
        <v>6.4199999999999993E-2</v>
      </c>
      <c r="AE184" s="1135">
        <v>6.2799999999999995E-2</v>
      </c>
      <c r="AF184" s="650">
        <v>0.08</v>
      </c>
      <c r="AG184" s="650">
        <v>0.08</v>
      </c>
      <c r="AH184" s="650">
        <v>0.08</v>
      </c>
      <c r="AI184" s="650">
        <v>0.08</v>
      </c>
      <c r="AJ184" s="650">
        <v>0.08</v>
      </c>
      <c r="AK184" s="650">
        <v>0.08</v>
      </c>
      <c r="AL184" s="650">
        <v>8.6569999999999994E-2</v>
      </c>
      <c r="AM184" s="650">
        <v>8.6569999999999994E-2</v>
      </c>
      <c r="AN184" s="650">
        <v>8.6569999999999994E-2</v>
      </c>
      <c r="AO184" s="650">
        <v>0.08</v>
      </c>
      <c r="AP184" s="650">
        <v>0.08</v>
      </c>
      <c r="AQ184" s="650">
        <v>0.08</v>
      </c>
      <c r="AR184" s="650">
        <v>0.08</v>
      </c>
      <c r="AS184" s="650">
        <v>0.08</v>
      </c>
      <c r="AT184" s="650">
        <v>0.08</v>
      </c>
      <c r="AU184" s="650">
        <v>0.08</v>
      </c>
      <c r="AV184" s="650">
        <v>0.08</v>
      </c>
      <c r="AW184" s="650">
        <v>0.08</v>
      </c>
      <c r="AX184" s="650">
        <v>0.08</v>
      </c>
      <c r="AY184" s="650">
        <v>0.08</v>
      </c>
      <c r="AZ184" s="650">
        <v>0.08</v>
      </c>
      <c r="BA184" s="650">
        <v>0.08</v>
      </c>
      <c r="BB184" s="650">
        <v>0.08</v>
      </c>
      <c r="BC184" s="650">
        <v>0.08</v>
      </c>
      <c r="BD184" s="650">
        <v>0.08</v>
      </c>
      <c r="BE184" s="650">
        <v>0.08</v>
      </c>
      <c r="BF184" s="650">
        <v>0.08</v>
      </c>
      <c r="BG184" s="650">
        <v>0.08</v>
      </c>
      <c r="BH184" s="650">
        <v>0.08</v>
      </c>
      <c r="BI184" s="650">
        <v>0.08</v>
      </c>
      <c r="BJ184" s="650">
        <v>0.08</v>
      </c>
      <c r="BK184" s="650">
        <v>0.08</v>
      </c>
      <c r="BL184" s="650">
        <v>0.08</v>
      </c>
    </row>
  </sheetData>
  <conditionalFormatting sqref="AA3:BV3">
    <cfRule type="containsText" dxfId="324" priority="6" operator="containsText" text="forecast">
      <formula>NOT(ISERROR(SEARCH("forecast",AA3)))</formula>
    </cfRule>
  </conditionalFormatting>
  <conditionalFormatting sqref="C3:Z3">
    <cfRule type="containsText" dxfId="323" priority="4" operator="containsText" text="forecast">
      <formula>NOT(ISERROR(SEARCH("forecast",C3)))</formula>
    </cfRule>
  </conditionalFormatting>
  <conditionalFormatting sqref="B3">
    <cfRule type="containsText" dxfId="322" priority="1" operator="containsText" text="actual">
      <formula>NOT(ISERROR(SEARCH("actual",B3)))</formula>
    </cfRule>
    <cfRule type="containsText" dxfId="321" priority="2" operator="containsText" text="forecast">
      <formula>NOT(ISERROR(SEARCH("forecast",B3)))</formula>
    </cfRule>
  </conditionalFormatting>
  <conditionalFormatting sqref="A3:BV3">
    <cfRule type="containsText" dxfId="320" priority="5" operator="containsText" text="actual">
      <formula>NOT(ISERROR(SEARCH("actual",A3)))</formula>
    </cfRule>
  </conditionalFormatting>
  <dataValidations count="11">
    <dataValidation type="list" allowBlank="1" showInputMessage="1" showErrorMessage="1" sqref="C24">
      <formula1>$C$109:$C$114</formula1>
    </dataValidation>
    <dataValidation type="list" allowBlank="1" showInputMessage="1" showErrorMessage="1" sqref="C23">
      <formula1>$C$83:$C$88</formula1>
    </dataValidation>
    <dataValidation type="list" allowBlank="1" showInputMessage="1" showErrorMessage="1" sqref="C26 C42 C31:C32 C39:C40 C47:C48 C34">
      <formula1>$C$57:$C$62</formula1>
    </dataValidation>
    <dataValidation type="list" allowBlank="1" showInputMessage="1" showErrorMessage="1" sqref="C22">
      <formula1>$C$161:$C$166</formula1>
    </dataValidation>
    <dataValidation type="list" allowBlank="1" showInputMessage="1" showErrorMessage="1" sqref="C30">
      <formula1>$C$167:$C$172</formula1>
    </dataValidation>
    <dataValidation type="list" allowBlank="1" showInputMessage="1" showErrorMessage="1" sqref="C38">
      <formula1>$C$173:$C$178</formula1>
    </dataValidation>
    <dataValidation type="list" allowBlank="1" showInputMessage="1" showErrorMessage="1" sqref="C46">
      <formula1>$C$179:$C$184</formula1>
    </dataValidation>
    <dataValidation type="list" allowBlank="1" showInputMessage="1" showErrorMessage="1" sqref="C25">
      <formula1>$C$135:$C$140</formula1>
    </dataValidation>
    <dataValidation type="list" allowBlank="1" showInputMessage="1" showErrorMessage="1" sqref="C33">
      <formula1>$C$141:$C$146</formula1>
    </dataValidation>
    <dataValidation type="list" allowBlank="1" showInputMessage="1" showErrorMessage="1" sqref="C41">
      <formula1>$C$147:$C$152</formula1>
    </dataValidation>
    <dataValidation type="list" allowBlank="1" showInputMessage="1" showErrorMessage="1" sqref="C49">
      <formula1>$C$153:$C$158</formula1>
    </dataValidation>
  </dataValidations>
  <pageMargins left="0.7" right="0.7" top="0.75" bottom="0.75" header="0.3" footer="0.3"/>
  <pageSetup orientation="portrait" horizontalDpi="0"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3" tint="0.39997558519241921"/>
  </sheetPr>
  <dimension ref="A1:BY164"/>
  <sheetViews>
    <sheetView showGridLines="0" zoomScale="70" zoomScaleNormal="70" zoomScaleSheetLayoutView="40" workbookViewId="0">
      <pane xSplit="3" ySplit="4" topLeftCell="D22" activePane="bottomRight" state="frozen"/>
      <selection activeCell="AD84" sqref="AD84"/>
      <selection pane="topRight" activeCell="AD84" sqref="AD84"/>
      <selection pane="bottomLeft" activeCell="AD84" sqref="AD84"/>
      <selection pane="bottomRight" activeCell="AH26" sqref="AH26"/>
    </sheetView>
  </sheetViews>
  <sheetFormatPr defaultColWidth="13.140625" defaultRowHeight="15" outlineLevelRow="2" outlineLevelCol="1" x14ac:dyDescent="0.25"/>
  <cols>
    <col min="1" max="1" width="3.42578125" customWidth="1"/>
    <col min="2" max="2" width="12.7109375" bestFit="1" customWidth="1"/>
    <col min="3" max="3" width="33" style="40" customWidth="1"/>
    <col min="4" max="4" width="19.28515625" style="437" hidden="1" customWidth="1"/>
    <col min="5" max="5" width="19.28515625" hidden="1" customWidth="1" outlineLevel="1"/>
    <col min="6" max="9" width="14.42578125" hidden="1" customWidth="1" outlineLevel="1"/>
    <col min="10" max="12" width="14.5703125" hidden="1" customWidth="1" outlineLevel="1"/>
    <col min="13" max="13" width="15.85546875" hidden="1" customWidth="1" outlineLevel="1"/>
    <col min="14" max="15" width="14.5703125" hidden="1" customWidth="1" outlineLevel="1"/>
    <col min="16" max="16" width="13.5703125" hidden="1" customWidth="1" collapsed="1"/>
    <col min="17" max="17" width="20" hidden="1" customWidth="1" outlineLevel="1"/>
    <col min="18" max="18" width="15.42578125" hidden="1" customWidth="1" outlineLevel="1"/>
    <col min="19" max="19" width="16" hidden="1" customWidth="1" outlineLevel="1"/>
    <col min="20" max="21" width="13.5703125" hidden="1" customWidth="1" outlineLevel="1"/>
    <col min="22" max="22" width="17.28515625" hidden="1" customWidth="1" outlineLevel="1"/>
    <col min="23" max="26" width="14.42578125" hidden="1" customWidth="1" outlineLevel="1"/>
    <col min="27" max="27" width="15.85546875" hidden="1" customWidth="1" outlineLevel="1"/>
    <col min="28" max="28" width="15.85546875" hidden="1" customWidth="1" collapsed="1"/>
    <col min="29" max="29" width="16.85546875" customWidth="1" outlineLevel="1"/>
    <col min="30" max="33" width="14.5703125" customWidth="1" outlineLevel="1"/>
    <col min="34" max="35" width="15.85546875" customWidth="1" outlineLevel="1"/>
    <col min="36" max="39" width="14.5703125" customWidth="1" outlineLevel="1"/>
    <col min="40" max="40" width="15.85546875" bestFit="1" customWidth="1"/>
    <col min="41" max="41" width="15" hidden="1" customWidth="1" outlineLevel="1"/>
    <col min="42" max="45" width="15.42578125" hidden="1" customWidth="1" outlineLevel="1"/>
    <col min="46" max="46" width="15" hidden="1" customWidth="1" outlineLevel="1"/>
    <col min="47" max="51" width="15.42578125" hidden="1" customWidth="1" outlineLevel="1"/>
    <col min="52" max="52" width="15" bestFit="1" customWidth="1" collapsed="1"/>
    <col min="53" max="53" width="15.42578125" hidden="1" customWidth="1" outlineLevel="1"/>
    <col min="54" max="54" width="15" hidden="1" customWidth="1" outlineLevel="1"/>
    <col min="55" max="61" width="15.42578125" hidden="1" customWidth="1" outlineLevel="1"/>
    <col min="62" max="63" width="15" hidden="1" customWidth="1" outlineLevel="1"/>
    <col min="64" max="64" width="12.140625" bestFit="1" customWidth="1" collapsed="1"/>
    <col min="65" max="65" width="13.140625" hidden="1" customWidth="1" outlineLevel="1"/>
    <col min="66" max="75" width="13.140625" style="570" hidden="1" customWidth="1" outlineLevel="1"/>
    <col min="76" max="76" width="13.140625" style="570" collapsed="1"/>
  </cols>
  <sheetData>
    <row r="1" spans="1:77" ht="18.75" thickBot="1" x14ac:dyDescent="0.3">
      <c r="A1" s="87" t="str">
        <f>Sensativities!B4</f>
        <v>CallFire</v>
      </c>
      <c r="B1" s="87"/>
      <c r="D1" s="13"/>
      <c r="E1" s="13">
        <f>'Cost Summary'!C3</f>
        <v>40909</v>
      </c>
      <c r="F1" s="13">
        <f>'Cost Summary'!D3</f>
        <v>40942</v>
      </c>
      <c r="G1" s="13">
        <f>'Cost Summary'!E3</f>
        <v>40975</v>
      </c>
      <c r="H1" s="13">
        <f>'Cost Summary'!F3</f>
        <v>41008</v>
      </c>
      <c r="I1" s="13">
        <f>'Cost Summary'!G3</f>
        <v>41041</v>
      </c>
      <c r="J1" s="13">
        <f>'Cost Summary'!H3</f>
        <v>41074</v>
      </c>
      <c r="K1" s="13">
        <f>'Cost Summary'!I3</f>
        <v>41107</v>
      </c>
      <c r="L1" s="13">
        <f>'Cost Summary'!J3</f>
        <v>41140</v>
      </c>
      <c r="M1" s="13">
        <f>'Cost Summary'!K3</f>
        <v>41173</v>
      </c>
      <c r="N1" s="13">
        <f>'Cost Summary'!L3</f>
        <v>41206</v>
      </c>
      <c r="O1" s="13">
        <f>'Cost Summary'!M3</f>
        <v>41239</v>
      </c>
      <c r="P1" s="13">
        <f>'Cost Summary'!N3</f>
        <v>41272</v>
      </c>
      <c r="Q1" s="12">
        <f>'Cost Summary'!O3</f>
        <v>41282</v>
      </c>
      <c r="R1" s="12">
        <f>'Cost Summary'!P3</f>
        <v>41312</v>
      </c>
      <c r="S1" s="12">
        <f>'Cost Summary'!Q3</f>
        <v>41342</v>
      </c>
      <c r="T1" s="12">
        <f>'Cost Summary'!R3</f>
        <v>41372</v>
      </c>
      <c r="U1" s="12">
        <f>'Cost Summary'!S3</f>
        <v>41402</v>
      </c>
      <c r="V1" s="12">
        <f>'Cost Summary'!T3</f>
        <v>41432</v>
      </c>
      <c r="W1" s="12">
        <f>'Cost Summary'!U3</f>
        <v>41462</v>
      </c>
      <c r="X1" s="12">
        <f>'Cost Summary'!V3</f>
        <v>41492</v>
      </c>
      <c r="Y1" s="12">
        <f>'Cost Summary'!W3</f>
        <v>41522</v>
      </c>
      <c r="Z1" s="12">
        <f>'Cost Summary'!X3</f>
        <v>41552</v>
      </c>
      <c r="AA1" s="12">
        <f>'Cost Summary'!Y3</f>
        <v>41582</v>
      </c>
      <c r="AB1" s="12">
        <f>'Cost Summary'!Z3</f>
        <v>41612</v>
      </c>
      <c r="AC1" s="13">
        <f>'Cost Summary'!AA3</f>
        <v>41642</v>
      </c>
      <c r="AD1" s="13">
        <f>'Cost Summary'!AB3</f>
        <v>41675</v>
      </c>
      <c r="AE1" s="13">
        <f>'Cost Summary'!AC3</f>
        <v>41708</v>
      </c>
      <c r="AF1" s="13">
        <f>'Cost Summary'!AD3</f>
        <v>41741</v>
      </c>
      <c r="AG1" s="13">
        <f>'Cost Summary'!AE3</f>
        <v>41774</v>
      </c>
      <c r="AH1" s="13">
        <f>'Cost Summary'!AF3</f>
        <v>41807</v>
      </c>
      <c r="AI1" s="13">
        <f>'Cost Summary'!AG3</f>
        <v>41840</v>
      </c>
      <c r="AJ1" s="13">
        <f>'Cost Summary'!AH3</f>
        <v>41873</v>
      </c>
      <c r="AK1" s="13">
        <f>'Cost Summary'!AI3</f>
        <v>41906</v>
      </c>
      <c r="AL1" s="13">
        <f>'Cost Summary'!AJ3</f>
        <v>41939</v>
      </c>
      <c r="AM1" s="13">
        <f>'Cost Summary'!AK3</f>
        <v>41972</v>
      </c>
      <c r="AN1" s="13">
        <f>'Cost Summary'!AL3</f>
        <v>41982</v>
      </c>
      <c r="AO1" s="12">
        <f>'Cost Summary'!AM3</f>
        <v>42012</v>
      </c>
      <c r="AP1" s="12">
        <f>'Cost Summary'!AN3</f>
        <v>42042</v>
      </c>
      <c r="AQ1" s="12">
        <f>'Cost Summary'!AO3</f>
        <v>42072</v>
      </c>
      <c r="AR1" s="12">
        <f>'Cost Summary'!AP3</f>
        <v>42102</v>
      </c>
      <c r="AS1" s="12">
        <f>'Cost Summary'!AQ3</f>
        <v>42132</v>
      </c>
      <c r="AT1" s="12">
        <f>'Cost Summary'!AR3</f>
        <v>42162</v>
      </c>
      <c r="AU1" s="12">
        <f>'Cost Summary'!AS3</f>
        <v>42192</v>
      </c>
      <c r="AV1" s="12">
        <f>'Cost Summary'!AT3</f>
        <v>42222</v>
      </c>
      <c r="AW1" s="12">
        <f>'Cost Summary'!AU3</f>
        <v>42252</v>
      </c>
      <c r="AX1" s="12">
        <f>'Cost Summary'!AV3</f>
        <v>42282</v>
      </c>
      <c r="AY1" s="12">
        <f>'Cost Summary'!AW3</f>
        <v>42312</v>
      </c>
      <c r="AZ1" s="12">
        <f>'Cost Summary'!AX3</f>
        <v>42342</v>
      </c>
      <c r="BA1" s="13">
        <f>'Cost Summary'!AY3</f>
        <v>42372</v>
      </c>
      <c r="BB1" s="13">
        <f>'Cost Summary'!AZ3</f>
        <v>42402</v>
      </c>
      <c r="BC1" s="13">
        <f>'Cost Summary'!BA3</f>
        <v>42432</v>
      </c>
      <c r="BD1" s="13">
        <f>'Cost Summary'!BB3</f>
        <v>42462</v>
      </c>
      <c r="BE1" s="13">
        <f>'Cost Summary'!BC3</f>
        <v>42492</v>
      </c>
      <c r="BF1" s="13">
        <f>'Cost Summary'!BD3</f>
        <v>42522</v>
      </c>
      <c r="BG1" s="13">
        <f>'Cost Summary'!BE3</f>
        <v>42555</v>
      </c>
      <c r="BH1" s="13">
        <f>'Cost Summary'!BF3</f>
        <v>42585</v>
      </c>
      <c r="BI1" s="13">
        <f>'Cost Summary'!BG3</f>
        <v>42615</v>
      </c>
      <c r="BJ1" s="13">
        <f>'Cost Summary'!BH3</f>
        <v>42645</v>
      </c>
      <c r="BK1" s="13">
        <f>'Cost Summary'!BI3</f>
        <v>42675</v>
      </c>
      <c r="BL1" s="13">
        <f>'Cost Summary'!BJ3</f>
        <v>42705</v>
      </c>
      <c r="BM1" s="13">
        <v>42736</v>
      </c>
      <c r="BN1" s="13">
        <v>42767</v>
      </c>
      <c r="BO1" s="13">
        <v>42795</v>
      </c>
      <c r="BP1" s="13">
        <v>42826</v>
      </c>
      <c r="BQ1" s="13">
        <v>42856</v>
      </c>
      <c r="BR1" s="13">
        <v>42887</v>
      </c>
      <c r="BS1" s="13">
        <v>42917</v>
      </c>
      <c r="BT1" s="13">
        <v>42948</v>
      </c>
      <c r="BU1" s="13">
        <v>42979</v>
      </c>
      <c r="BV1" s="13">
        <v>43009</v>
      </c>
      <c r="BW1" s="13">
        <v>43040</v>
      </c>
      <c r="BX1" s="13">
        <v>43070</v>
      </c>
      <c r="BY1" s="975"/>
    </row>
    <row r="2" spans="1:77" ht="15.75" x14ac:dyDescent="0.25">
      <c r="A2" s="90"/>
      <c r="B2" s="16"/>
      <c r="D2" s="13"/>
      <c r="E2" s="13" t="str">
        <f t="shared" ref="E2:BE2" si="0">CONCATENATE(IF(MONTH(E1)&lt;4,"1Q",IF(MONTH(E1)&lt;7,"2Q",IF(MONTH(E1)&lt;10,"3Q","4Q")))&amp; ""&amp;YEAR(E1))</f>
        <v>1Q2012</v>
      </c>
      <c r="F2" s="13" t="str">
        <f t="shared" si="0"/>
        <v>1Q2012</v>
      </c>
      <c r="G2" s="13" t="str">
        <f t="shared" si="0"/>
        <v>1Q2012</v>
      </c>
      <c r="H2" s="13" t="str">
        <f t="shared" si="0"/>
        <v>2Q2012</v>
      </c>
      <c r="I2" s="13" t="str">
        <f t="shared" si="0"/>
        <v>2Q2012</v>
      </c>
      <c r="J2" s="13" t="str">
        <f t="shared" si="0"/>
        <v>2Q2012</v>
      </c>
      <c r="K2" s="13" t="str">
        <f t="shared" si="0"/>
        <v>3Q2012</v>
      </c>
      <c r="L2" s="13" t="str">
        <f t="shared" si="0"/>
        <v>3Q2012</v>
      </c>
      <c r="M2" s="13" t="str">
        <f t="shared" si="0"/>
        <v>3Q2012</v>
      </c>
      <c r="N2" s="13" t="str">
        <f t="shared" si="0"/>
        <v>4Q2012</v>
      </c>
      <c r="O2" s="13" t="str">
        <f t="shared" si="0"/>
        <v>4Q2012</v>
      </c>
      <c r="P2" s="13" t="str">
        <f t="shared" si="0"/>
        <v>4Q2012</v>
      </c>
      <c r="Q2" s="12" t="str">
        <f t="shared" si="0"/>
        <v>1Q2013</v>
      </c>
      <c r="R2" s="12" t="str">
        <f t="shared" si="0"/>
        <v>1Q2013</v>
      </c>
      <c r="S2" s="12" t="str">
        <f t="shared" si="0"/>
        <v>1Q2013</v>
      </c>
      <c r="T2" s="12" t="str">
        <f t="shared" si="0"/>
        <v>2Q2013</v>
      </c>
      <c r="U2" s="12" t="str">
        <f t="shared" si="0"/>
        <v>2Q2013</v>
      </c>
      <c r="V2" s="12" t="str">
        <f t="shared" si="0"/>
        <v>2Q2013</v>
      </c>
      <c r="W2" s="12" t="str">
        <f t="shared" si="0"/>
        <v>3Q2013</v>
      </c>
      <c r="X2" s="12" t="str">
        <f t="shared" si="0"/>
        <v>3Q2013</v>
      </c>
      <c r="Y2" s="12" t="str">
        <f t="shared" si="0"/>
        <v>3Q2013</v>
      </c>
      <c r="Z2" s="12" t="str">
        <f t="shared" si="0"/>
        <v>4Q2013</v>
      </c>
      <c r="AA2" s="12" t="str">
        <f t="shared" si="0"/>
        <v>4Q2013</v>
      </c>
      <c r="AB2" s="12" t="str">
        <f t="shared" si="0"/>
        <v>4Q2013</v>
      </c>
      <c r="AC2" s="13" t="str">
        <f t="shared" si="0"/>
        <v>1Q2014</v>
      </c>
      <c r="AD2" s="13" t="str">
        <f t="shared" si="0"/>
        <v>1Q2014</v>
      </c>
      <c r="AE2" s="13" t="str">
        <f t="shared" si="0"/>
        <v>1Q2014</v>
      </c>
      <c r="AF2" s="13" t="str">
        <f t="shared" si="0"/>
        <v>2Q2014</v>
      </c>
      <c r="AG2" s="13" t="str">
        <f t="shared" si="0"/>
        <v>2Q2014</v>
      </c>
      <c r="AH2" s="13" t="str">
        <f t="shared" si="0"/>
        <v>2Q2014</v>
      </c>
      <c r="AI2" s="13" t="str">
        <f t="shared" si="0"/>
        <v>3Q2014</v>
      </c>
      <c r="AJ2" s="13" t="str">
        <f t="shared" si="0"/>
        <v>3Q2014</v>
      </c>
      <c r="AK2" s="13" t="str">
        <f t="shared" si="0"/>
        <v>3Q2014</v>
      </c>
      <c r="AL2" s="13" t="str">
        <f t="shared" si="0"/>
        <v>4Q2014</v>
      </c>
      <c r="AM2" s="13" t="str">
        <f t="shared" si="0"/>
        <v>4Q2014</v>
      </c>
      <c r="AN2" s="13" t="str">
        <f t="shared" si="0"/>
        <v>4Q2014</v>
      </c>
      <c r="AO2" s="12" t="str">
        <f t="shared" si="0"/>
        <v>1Q2015</v>
      </c>
      <c r="AP2" s="12" t="str">
        <f t="shared" si="0"/>
        <v>1Q2015</v>
      </c>
      <c r="AQ2" s="12" t="str">
        <f t="shared" si="0"/>
        <v>1Q2015</v>
      </c>
      <c r="AR2" s="12" t="str">
        <f t="shared" si="0"/>
        <v>2Q2015</v>
      </c>
      <c r="AS2" s="12" t="str">
        <f t="shared" si="0"/>
        <v>2Q2015</v>
      </c>
      <c r="AT2" s="12" t="str">
        <f t="shared" si="0"/>
        <v>2Q2015</v>
      </c>
      <c r="AU2" s="12" t="str">
        <f t="shared" si="0"/>
        <v>3Q2015</v>
      </c>
      <c r="AV2" s="12" t="str">
        <f t="shared" si="0"/>
        <v>3Q2015</v>
      </c>
      <c r="AW2" s="12" t="str">
        <f t="shared" si="0"/>
        <v>3Q2015</v>
      </c>
      <c r="AX2" s="12" t="str">
        <f t="shared" si="0"/>
        <v>4Q2015</v>
      </c>
      <c r="AY2" s="12" t="str">
        <f t="shared" si="0"/>
        <v>4Q2015</v>
      </c>
      <c r="AZ2" s="12" t="str">
        <f t="shared" si="0"/>
        <v>4Q2015</v>
      </c>
      <c r="BA2" s="13" t="str">
        <f t="shared" si="0"/>
        <v>1Q2016</v>
      </c>
      <c r="BB2" s="13" t="str">
        <f t="shared" si="0"/>
        <v>1Q2016</v>
      </c>
      <c r="BC2" s="13" t="str">
        <f t="shared" si="0"/>
        <v>1Q2016</v>
      </c>
      <c r="BD2" s="13" t="str">
        <f t="shared" si="0"/>
        <v>2Q2016</v>
      </c>
      <c r="BE2" s="13" t="str">
        <f t="shared" si="0"/>
        <v>2Q2016</v>
      </c>
      <c r="BF2" s="13" t="str">
        <f t="shared" ref="BF2:BM2" si="1">CONCATENATE(IF(MONTH(BF1)&lt;4,"1Q",IF(MONTH(BF1)&lt;7,"2Q",IF(MONTH(BF1)&lt;10,"3Q","4Q")))&amp; ""&amp;YEAR(BF1))</f>
        <v>2Q2016</v>
      </c>
      <c r="BG2" s="13" t="str">
        <f t="shared" si="1"/>
        <v>3Q2016</v>
      </c>
      <c r="BH2" s="13" t="str">
        <f t="shared" si="1"/>
        <v>3Q2016</v>
      </c>
      <c r="BI2" s="13" t="str">
        <f t="shared" si="1"/>
        <v>3Q2016</v>
      </c>
      <c r="BJ2" s="13" t="str">
        <f t="shared" si="1"/>
        <v>4Q2016</v>
      </c>
      <c r="BK2" s="13" t="str">
        <f t="shared" si="1"/>
        <v>4Q2016</v>
      </c>
      <c r="BL2" s="13" t="str">
        <f t="shared" si="1"/>
        <v>4Q2016</v>
      </c>
      <c r="BM2" s="12" t="str">
        <f t="shared" si="1"/>
        <v>1Q2017</v>
      </c>
      <c r="BN2" s="12" t="str">
        <f t="shared" ref="BN2:BX2" si="2">CONCATENATE(IF(MONTH(BN1)&lt;4,"1Q",IF(MONTH(BN1)&lt;7,"2Q",IF(MONTH(BN1)&lt;10,"3Q","4Q")))&amp; ""&amp;YEAR(BN1))</f>
        <v>1Q2017</v>
      </c>
      <c r="BO2" s="12" t="str">
        <f t="shared" si="2"/>
        <v>1Q2017</v>
      </c>
      <c r="BP2" s="12" t="str">
        <f t="shared" si="2"/>
        <v>2Q2017</v>
      </c>
      <c r="BQ2" s="12" t="str">
        <f t="shared" si="2"/>
        <v>2Q2017</v>
      </c>
      <c r="BR2" s="12" t="str">
        <f t="shared" si="2"/>
        <v>2Q2017</v>
      </c>
      <c r="BS2" s="12" t="str">
        <f t="shared" si="2"/>
        <v>3Q2017</v>
      </c>
      <c r="BT2" s="12" t="str">
        <f t="shared" si="2"/>
        <v>3Q2017</v>
      </c>
      <c r="BU2" s="12" t="str">
        <f t="shared" si="2"/>
        <v>3Q2017</v>
      </c>
      <c r="BV2" s="12" t="str">
        <f t="shared" si="2"/>
        <v>4Q2017</v>
      </c>
      <c r="BW2" s="12" t="str">
        <f t="shared" si="2"/>
        <v>4Q2017</v>
      </c>
      <c r="BX2" s="12" t="str">
        <f t="shared" si="2"/>
        <v>4Q2017</v>
      </c>
    </row>
    <row r="3" spans="1:77" ht="15.75" x14ac:dyDescent="0.25">
      <c r="A3" s="92" t="s">
        <v>185</v>
      </c>
      <c r="B3" s="16"/>
      <c r="D3" s="15"/>
      <c r="E3" s="15">
        <f t="shared" ref="E3:BE3" si="3">YEAR(E1)</f>
        <v>2012</v>
      </c>
      <c r="F3" s="15">
        <f t="shared" si="3"/>
        <v>2012</v>
      </c>
      <c r="G3" s="15">
        <f t="shared" si="3"/>
        <v>2012</v>
      </c>
      <c r="H3" s="15">
        <f t="shared" si="3"/>
        <v>2012</v>
      </c>
      <c r="I3" s="15">
        <f t="shared" si="3"/>
        <v>2012</v>
      </c>
      <c r="J3" s="15">
        <f t="shared" si="3"/>
        <v>2012</v>
      </c>
      <c r="K3" s="15">
        <f t="shared" si="3"/>
        <v>2012</v>
      </c>
      <c r="L3" s="15">
        <f t="shared" si="3"/>
        <v>2012</v>
      </c>
      <c r="M3" s="15">
        <f t="shared" si="3"/>
        <v>2012</v>
      </c>
      <c r="N3" s="15">
        <f t="shared" si="3"/>
        <v>2012</v>
      </c>
      <c r="O3" s="15">
        <f t="shared" si="3"/>
        <v>2012</v>
      </c>
      <c r="P3" s="15">
        <f t="shared" si="3"/>
        <v>2012</v>
      </c>
      <c r="Q3" s="14">
        <f t="shared" si="3"/>
        <v>2013</v>
      </c>
      <c r="R3" s="14">
        <f t="shared" si="3"/>
        <v>2013</v>
      </c>
      <c r="S3" s="14">
        <f t="shared" si="3"/>
        <v>2013</v>
      </c>
      <c r="T3" s="14">
        <f t="shared" si="3"/>
        <v>2013</v>
      </c>
      <c r="U3" s="14">
        <f t="shared" si="3"/>
        <v>2013</v>
      </c>
      <c r="V3" s="14">
        <f t="shared" si="3"/>
        <v>2013</v>
      </c>
      <c r="W3" s="14">
        <f t="shared" si="3"/>
        <v>2013</v>
      </c>
      <c r="X3" s="14">
        <f t="shared" si="3"/>
        <v>2013</v>
      </c>
      <c r="Y3" s="14">
        <f t="shared" si="3"/>
        <v>2013</v>
      </c>
      <c r="Z3" s="14">
        <f t="shared" si="3"/>
        <v>2013</v>
      </c>
      <c r="AA3" s="14">
        <f t="shared" si="3"/>
        <v>2013</v>
      </c>
      <c r="AB3" s="14">
        <f t="shared" si="3"/>
        <v>2013</v>
      </c>
      <c r="AC3" s="15">
        <f t="shared" si="3"/>
        <v>2014</v>
      </c>
      <c r="AD3" s="15">
        <f t="shared" si="3"/>
        <v>2014</v>
      </c>
      <c r="AE3" s="15">
        <f t="shared" si="3"/>
        <v>2014</v>
      </c>
      <c r="AF3" s="15">
        <f t="shared" si="3"/>
        <v>2014</v>
      </c>
      <c r="AG3" s="15">
        <f t="shared" si="3"/>
        <v>2014</v>
      </c>
      <c r="AH3" s="15">
        <f t="shared" si="3"/>
        <v>2014</v>
      </c>
      <c r="AI3" s="15">
        <f t="shared" si="3"/>
        <v>2014</v>
      </c>
      <c r="AJ3" s="15">
        <f t="shared" si="3"/>
        <v>2014</v>
      </c>
      <c r="AK3" s="15">
        <f t="shared" si="3"/>
        <v>2014</v>
      </c>
      <c r="AL3" s="15">
        <f t="shared" si="3"/>
        <v>2014</v>
      </c>
      <c r="AM3" s="15">
        <f t="shared" si="3"/>
        <v>2014</v>
      </c>
      <c r="AN3" s="15">
        <f t="shared" si="3"/>
        <v>2014</v>
      </c>
      <c r="AO3" s="14">
        <f t="shared" si="3"/>
        <v>2015</v>
      </c>
      <c r="AP3" s="14">
        <f t="shared" si="3"/>
        <v>2015</v>
      </c>
      <c r="AQ3" s="14">
        <f t="shared" si="3"/>
        <v>2015</v>
      </c>
      <c r="AR3" s="14">
        <f t="shared" si="3"/>
        <v>2015</v>
      </c>
      <c r="AS3" s="14">
        <f t="shared" si="3"/>
        <v>2015</v>
      </c>
      <c r="AT3" s="14">
        <f t="shared" si="3"/>
        <v>2015</v>
      </c>
      <c r="AU3" s="14">
        <f t="shared" si="3"/>
        <v>2015</v>
      </c>
      <c r="AV3" s="14">
        <f t="shared" si="3"/>
        <v>2015</v>
      </c>
      <c r="AW3" s="14">
        <f t="shared" si="3"/>
        <v>2015</v>
      </c>
      <c r="AX3" s="14">
        <f t="shared" si="3"/>
        <v>2015</v>
      </c>
      <c r="AY3" s="14">
        <f t="shared" si="3"/>
        <v>2015</v>
      </c>
      <c r="AZ3" s="14">
        <f t="shared" si="3"/>
        <v>2015</v>
      </c>
      <c r="BA3" s="15">
        <f t="shared" si="3"/>
        <v>2016</v>
      </c>
      <c r="BB3" s="15">
        <f t="shared" si="3"/>
        <v>2016</v>
      </c>
      <c r="BC3" s="15">
        <f t="shared" si="3"/>
        <v>2016</v>
      </c>
      <c r="BD3" s="15">
        <f t="shared" si="3"/>
        <v>2016</v>
      </c>
      <c r="BE3" s="15">
        <f t="shared" si="3"/>
        <v>2016</v>
      </c>
      <c r="BF3" s="15">
        <f t="shared" ref="BF3:BM3" si="4">YEAR(BF1)</f>
        <v>2016</v>
      </c>
      <c r="BG3" s="15">
        <f t="shared" si="4"/>
        <v>2016</v>
      </c>
      <c r="BH3" s="15">
        <f t="shared" si="4"/>
        <v>2016</v>
      </c>
      <c r="BI3" s="15">
        <f t="shared" si="4"/>
        <v>2016</v>
      </c>
      <c r="BJ3" s="15">
        <f t="shared" si="4"/>
        <v>2016</v>
      </c>
      <c r="BK3" s="15">
        <f t="shared" si="4"/>
        <v>2016</v>
      </c>
      <c r="BL3" s="15">
        <f t="shared" si="4"/>
        <v>2016</v>
      </c>
      <c r="BM3" s="14">
        <f t="shared" si="4"/>
        <v>2017</v>
      </c>
      <c r="BN3" s="14">
        <f t="shared" ref="BN3:BX3" si="5">YEAR(BN1)</f>
        <v>2017</v>
      </c>
      <c r="BO3" s="14">
        <f t="shared" si="5"/>
        <v>2017</v>
      </c>
      <c r="BP3" s="14">
        <f t="shared" si="5"/>
        <v>2017</v>
      </c>
      <c r="BQ3" s="14">
        <f t="shared" si="5"/>
        <v>2017</v>
      </c>
      <c r="BR3" s="14">
        <f t="shared" si="5"/>
        <v>2017</v>
      </c>
      <c r="BS3" s="14">
        <f t="shared" si="5"/>
        <v>2017</v>
      </c>
      <c r="BT3" s="14">
        <f t="shared" si="5"/>
        <v>2017</v>
      </c>
      <c r="BU3" s="14">
        <f t="shared" si="5"/>
        <v>2017</v>
      </c>
      <c r="BV3" s="14">
        <f t="shared" si="5"/>
        <v>2017</v>
      </c>
      <c r="BW3" s="14">
        <f t="shared" si="5"/>
        <v>2017</v>
      </c>
      <c r="BX3" s="14">
        <f t="shared" si="5"/>
        <v>2017</v>
      </c>
    </row>
    <row r="4" spans="1:77" s="2" customFormat="1" x14ac:dyDescent="0.25">
      <c r="C4" s="42"/>
      <c r="D4" s="227"/>
      <c r="E4" s="227" t="str">
        <f>'Gross Margin Actual'!D3</f>
        <v>Actual</v>
      </c>
      <c r="F4" s="227" t="str">
        <f>'Gross Margin Actual'!E3</f>
        <v>Actual</v>
      </c>
      <c r="G4" s="227" t="str">
        <f>'Gross Margin Actual'!F3</f>
        <v>Actual</v>
      </c>
      <c r="H4" s="227" t="str">
        <f>'Gross Margin Actual'!G3</f>
        <v>Actual</v>
      </c>
      <c r="I4" s="227" t="str">
        <f>'Gross Margin Actual'!H3</f>
        <v>Actual</v>
      </c>
      <c r="J4" s="227" t="str">
        <f>'Gross Margin Actual'!I3</f>
        <v>Actual</v>
      </c>
      <c r="K4" s="227" t="str">
        <f>'Gross Margin Actual'!J3</f>
        <v>Actual</v>
      </c>
      <c r="L4" s="227" t="str">
        <f>'Gross Margin Actual'!K3</f>
        <v>Actual</v>
      </c>
      <c r="M4" s="227" t="str">
        <f>'Gross Margin Actual'!L3</f>
        <v>Actual</v>
      </c>
      <c r="N4" s="227" t="str">
        <f>'Gross Margin Actual'!M3</f>
        <v>Actual</v>
      </c>
      <c r="O4" s="227" t="str">
        <f>'Gross Margin Actual'!N3</f>
        <v>Actual</v>
      </c>
      <c r="P4" s="580" t="str">
        <f>'Gross Margin Actual'!O3</f>
        <v>Actual</v>
      </c>
      <c r="Q4" s="227" t="str">
        <f>'Gross Margin Actual'!P3</f>
        <v>Actual</v>
      </c>
      <c r="R4" s="227" t="str">
        <f>'Gross Margin Actual'!Q3</f>
        <v>Actual</v>
      </c>
      <c r="S4" s="227" t="str">
        <f>'Gross Margin Actual'!R3</f>
        <v>Actual</v>
      </c>
      <c r="T4" s="227" t="str">
        <f>'Gross Margin Actual'!S3</f>
        <v>Actual</v>
      </c>
      <c r="U4" s="227" t="str">
        <f>'Gross Margin Actual'!T3</f>
        <v>Actual</v>
      </c>
      <c r="V4" s="227" t="str">
        <f>'Gross Margin Actual'!U3</f>
        <v>Actual</v>
      </c>
      <c r="W4" s="227" t="str">
        <f>'Gross Margin Actual'!V3</f>
        <v>Actual</v>
      </c>
      <c r="X4" s="227" t="str">
        <f>'Gross Margin Actual'!W3</f>
        <v>Actual</v>
      </c>
      <c r="Y4" s="227" t="str">
        <f>'Gross Margin Actual'!X3</f>
        <v>Actual</v>
      </c>
      <c r="Z4" s="227" t="str">
        <f>'Gross Margin Actual'!Y3</f>
        <v>Actual</v>
      </c>
      <c r="AA4" s="227" t="str">
        <f>'Gross Margin Actual'!Z3</f>
        <v>Actual</v>
      </c>
      <c r="AB4" s="227" t="str">
        <f>'Gross Margin Actual'!AA3</f>
        <v>Actual</v>
      </c>
      <c r="AC4" s="227" t="str">
        <f>'Gross Margin Actual'!AB3</f>
        <v>Actual</v>
      </c>
      <c r="AD4" s="227" t="str">
        <f>'Gross Margin Actual'!AC3</f>
        <v>Actual</v>
      </c>
      <c r="AE4" s="227" t="str">
        <f>'Gross Margin Actual'!AD3</f>
        <v>Actual</v>
      </c>
      <c r="AF4" s="227" t="str">
        <f>'Gross Margin Actual'!AE3</f>
        <v>Forecast</v>
      </c>
      <c r="AG4" s="227" t="str">
        <f>'Gross Margin Actual'!AF3</f>
        <v>Forecast</v>
      </c>
      <c r="AH4" s="227" t="str">
        <f>'Gross Margin Actual'!AG3</f>
        <v>Forecast</v>
      </c>
      <c r="AI4" s="227" t="str">
        <f>'Gross Margin Actual'!AH3</f>
        <v>Forecast</v>
      </c>
      <c r="AJ4" s="227" t="str">
        <f>'Gross Margin Actual'!AI3</f>
        <v>Forecast</v>
      </c>
      <c r="AK4" s="227" t="str">
        <f>'Gross Margin Actual'!AJ3</f>
        <v>Forecast</v>
      </c>
      <c r="AL4" s="227" t="str">
        <f>'Gross Margin Actual'!AK3</f>
        <v>Forecast</v>
      </c>
      <c r="AM4" s="227" t="str">
        <f>'Gross Margin Actual'!AL3</f>
        <v>Forecast</v>
      </c>
      <c r="AN4" s="227" t="str">
        <f>'Gross Margin Actual'!AM3</f>
        <v>Forecast</v>
      </c>
      <c r="AO4" s="227" t="str">
        <f>'Gross Margin Actual'!AN3</f>
        <v>Forecast</v>
      </c>
      <c r="AP4" s="227" t="str">
        <f>'Gross Margin Actual'!AO3</f>
        <v>Forecast</v>
      </c>
      <c r="AQ4" s="227" t="str">
        <f>'Gross Margin Actual'!AP3</f>
        <v>Forecast</v>
      </c>
      <c r="AR4" s="227" t="str">
        <f>'Gross Margin Actual'!AQ3</f>
        <v>Forecast</v>
      </c>
      <c r="AS4" s="227" t="str">
        <f>'Gross Margin Actual'!AR3</f>
        <v>Forecast</v>
      </c>
      <c r="AT4" s="227" t="str">
        <f>'Gross Margin Actual'!AS3</f>
        <v>Forecast</v>
      </c>
      <c r="AU4" s="227" t="str">
        <f>'Gross Margin Actual'!AT3</f>
        <v>Forecast</v>
      </c>
      <c r="AV4" s="227" t="str">
        <f>'Gross Margin Actual'!AU3</f>
        <v>Forecast</v>
      </c>
      <c r="AW4" s="227" t="str">
        <f>'Gross Margin Actual'!AV3</f>
        <v>Forecast</v>
      </c>
      <c r="AX4" s="227" t="str">
        <f>'Gross Margin Actual'!AW3</f>
        <v>Forecast</v>
      </c>
      <c r="AY4" s="227" t="str">
        <f>'Gross Margin Actual'!AX3</f>
        <v>Forecast</v>
      </c>
      <c r="AZ4" s="227" t="str">
        <f>'Gross Margin Actual'!AY3</f>
        <v>Forecast</v>
      </c>
      <c r="BA4" s="227" t="str">
        <f>'Gross Margin Actual'!AZ3</f>
        <v>Forecast</v>
      </c>
      <c r="BB4" s="227" t="str">
        <f>'Gross Margin Actual'!BA3</f>
        <v>Forecast</v>
      </c>
      <c r="BC4" s="227" t="str">
        <f>'Gross Margin Actual'!BB3</f>
        <v>Forecast</v>
      </c>
      <c r="BD4" s="227" t="str">
        <f>'Gross Margin Actual'!BC3</f>
        <v>Forecast</v>
      </c>
      <c r="BE4" s="227" t="str">
        <f>'Gross Margin Actual'!BD3</f>
        <v>Forecast</v>
      </c>
      <c r="BF4" s="227" t="str">
        <f>'Gross Margin Actual'!BE3</f>
        <v>Forecast</v>
      </c>
      <c r="BG4" s="227" t="str">
        <f>'Gross Margin Actual'!BF3</f>
        <v>Forecast</v>
      </c>
      <c r="BH4" s="227" t="str">
        <f>'Gross Margin Actual'!BG3</f>
        <v>Forecast</v>
      </c>
      <c r="BI4" s="227" t="str">
        <f>'Gross Margin Actual'!BH3</f>
        <v>Forecast</v>
      </c>
      <c r="BJ4" s="227" t="str">
        <f>'Gross Margin Actual'!BI3</f>
        <v>Forecast</v>
      </c>
      <c r="BK4" s="227" t="str">
        <f>'Gross Margin Actual'!BJ3</f>
        <v>Forecast</v>
      </c>
      <c r="BL4" s="227" t="str">
        <f>'Gross Margin Actual'!BK3</f>
        <v>Forecast</v>
      </c>
      <c r="BM4" s="227" t="str">
        <f>'Gross Margin Actual'!BL3</f>
        <v>Forecast</v>
      </c>
      <c r="BN4" s="227" t="str">
        <f>'Gross Margin Actual'!BM3</f>
        <v>Forecast</v>
      </c>
      <c r="BO4" s="227" t="str">
        <f>'Gross Margin Actual'!BN3</f>
        <v>Forecast</v>
      </c>
      <c r="BP4" s="227" t="str">
        <f>'Gross Margin Actual'!BO3</f>
        <v>Forecast</v>
      </c>
      <c r="BQ4" s="227" t="str">
        <f>'Gross Margin Actual'!BP3</f>
        <v>Forecast</v>
      </c>
      <c r="BR4" s="227" t="str">
        <f>'Gross Margin Actual'!BQ3</f>
        <v>Forecast</v>
      </c>
      <c r="BS4" s="227" t="str">
        <f>'Gross Margin Actual'!BR3</f>
        <v>Forecast</v>
      </c>
      <c r="BT4" s="227" t="str">
        <f>'Gross Margin Actual'!BS3</f>
        <v>Forecast</v>
      </c>
      <c r="BU4" s="227" t="str">
        <f>'Gross Margin Actual'!BT3</f>
        <v>Forecast</v>
      </c>
      <c r="BV4" s="227" t="str">
        <f>'Gross Margin Actual'!BU3</f>
        <v>Forecast</v>
      </c>
      <c r="BW4" s="227" t="str">
        <f>'Gross Margin Actual'!BV3</f>
        <v>Forecast</v>
      </c>
      <c r="BX4" s="227">
        <f>'Gross Margin Actual'!BW3</f>
        <v>0</v>
      </c>
    </row>
    <row r="5" spans="1:77" s="133" customFormat="1" hidden="1" x14ac:dyDescent="0.25">
      <c r="B5" s="29"/>
      <c r="C5" s="40"/>
      <c r="D5" s="157"/>
      <c r="E5" s="157"/>
      <c r="G5" s="172"/>
      <c r="H5" s="157"/>
      <c r="I5" s="157"/>
      <c r="J5" s="157"/>
      <c r="BN5" s="570"/>
      <c r="BO5" s="570"/>
      <c r="BP5" s="570"/>
      <c r="BQ5" s="570"/>
      <c r="BR5" s="570"/>
      <c r="BS5" s="570"/>
      <c r="BT5" s="570"/>
      <c r="BU5" s="570"/>
      <c r="BV5" s="570"/>
      <c r="BW5" s="570"/>
      <c r="BX5" s="570"/>
    </row>
    <row r="6" spans="1:77" s="437" customFormat="1" hidden="1" x14ac:dyDescent="0.25">
      <c r="B6" s="29" t="s">
        <v>563</v>
      </c>
      <c r="C6" s="40"/>
      <c r="D6" s="157"/>
      <c r="E6" s="157"/>
      <c r="H6" s="157"/>
      <c r="I6" s="157"/>
      <c r="J6" s="157"/>
      <c r="BN6" s="570"/>
      <c r="BO6" s="570"/>
      <c r="BP6" s="570"/>
      <c r="BQ6" s="570"/>
      <c r="BR6" s="570"/>
      <c r="BS6" s="570"/>
      <c r="BT6" s="570"/>
      <c r="BU6" s="570"/>
      <c r="BV6" s="570"/>
      <c r="BW6" s="570"/>
      <c r="BX6" s="570"/>
    </row>
    <row r="7" spans="1:77" s="437" customFormat="1" hidden="1" x14ac:dyDescent="0.25">
      <c r="B7" s="29"/>
      <c r="C7" s="40"/>
      <c r="D7" s="157"/>
      <c r="E7" s="157"/>
      <c r="H7" s="157"/>
      <c r="I7" s="157"/>
      <c r="J7" s="157"/>
      <c r="BN7" s="570"/>
      <c r="BO7" s="570"/>
      <c r="BP7" s="570"/>
      <c r="BQ7" s="570"/>
      <c r="BR7" s="570"/>
      <c r="BS7" s="570"/>
      <c r="BT7" s="570"/>
      <c r="BU7" s="570"/>
      <c r="BV7" s="570"/>
      <c r="BW7" s="570"/>
      <c r="BX7" s="570"/>
    </row>
    <row r="8" spans="1:77" s="133" customFormat="1" x14ac:dyDescent="0.25">
      <c r="B8" s="29" t="s">
        <v>69</v>
      </c>
      <c r="C8" s="40"/>
      <c r="D8" s="437"/>
      <c r="G8" s="157"/>
      <c r="S8" s="570"/>
      <c r="T8" s="570"/>
      <c r="U8" s="570"/>
      <c r="BN8" s="570"/>
      <c r="BO8" s="570"/>
      <c r="BP8" s="570"/>
      <c r="BQ8" s="570"/>
      <c r="BR8" s="570"/>
      <c r="BS8" s="570"/>
      <c r="BT8" s="570"/>
      <c r="BU8" s="570"/>
      <c r="BV8" s="570"/>
      <c r="BW8" s="570"/>
      <c r="BX8" s="570"/>
    </row>
    <row r="9" spans="1:77" hidden="1" outlineLevel="1" x14ac:dyDescent="0.25">
      <c r="D9" s="166"/>
      <c r="E9" s="28"/>
      <c r="F9" s="28"/>
      <c r="G9" s="166"/>
      <c r="H9" s="28"/>
      <c r="I9" s="28"/>
      <c r="J9" s="28"/>
      <c r="K9" s="28"/>
      <c r="L9" s="28"/>
      <c r="M9" s="28"/>
      <c r="N9" s="28"/>
      <c r="O9" s="28"/>
      <c r="P9" s="28"/>
      <c r="Q9" s="232"/>
      <c r="R9" s="232"/>
      <c r="S9" s="232"/>
      <c r="T9" s="232"/>
      <c r="U9" s="232"/>
      <c r="V9" s="232"/>
      <c r="W9" s="232"/>
      <c r="X9" s="232"/>
      <c r="Y9" s="232"/>
      <c r="Z9" s="232"/>
      <c r="AA9" s="232"/>
      <c r="AB9" s="232"/>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row>
    <row r="10" spans="1:77" hidden="1" outlineLevel="2" x14ac:dyDescent="0.25">
      <c r="A10" s="16"/>
      <c r="B10" s="16"/>
      <c r="C10" s="29" t="s">
        <v>220</v>
      </c>
      <c r="D10" s="433"/>
      <c r="E10" s="433"/>
      <c r="F10" s="223"/>
      <c r="G10" s="223"/>
      <c r="H10" s="223"/>
      <c r="I10" s="223"/>
      <c r="J10" s="223"/>
      <c r="K10" s="223"/>
      <c r="L10" s="223"/>
      <c r="M10" s="223"/>
      <c r="N10" s="223"/>
      <c r="O10" s="223"/>
      <c r="P10" s="223"/>
      <c r="Q10" s="223"/>
      <c r="R10" s="223"/>
      <c r="S10" s="223"/>
      <c r="T10" s="223"/>
      <c r="U10" s="223"/>
      <c r="V10" s="223"/>
      <c r="W10" s="223"/>
      <c r="X10" s="223"/>
      <c r="Y10" s="223"/>
      <c r="Z10" s="223"/>
      <c r="AA10" s="223"/>
      <c r="AB10" s="223"/>
      <c r="AC10" s="223"/>
      <c r="AD10" s="223"/>
      <c r="AE10" s="223"/>
      <c r="AF10" s="223"/>
      <c r="AG10" s="223"/>
      <c r="AH10" s="223"/>
      <c r="AI10" s="223"/>
      <c r="AJ10" s="223"/>
      <c r="AK10" s="223"/>
      <c r="AL10" s="223"/>
      <c r="AM10" s="223"/>
      <c r="AN10" s="223"/>
      <c r="AO10" s="223"/>
      <c r="AP10" s="223"/>
      <c r="AQ10" s="223"/>
      <c r="AR10" s="223"/>
      <c r="AS10" s="223"/>
      <c r="AT10" s="223"/>
      <c r="AU10" s="223"/>
      <c r="AV10" s="223"/>
      <c r="AW10" s="223"/>
      <c r="AX10" s="223"/>
      <c r="AY10" s="223"/>
      <c r="AZ10" s="223"/>
      <c r="BA10" s="223"/>
      <c r="BB10" s="223"/>
      <c r="BC10" s="223"/>
      <c r="BD10" s="223"/>
      <c r="BE10" s="223"/>
      <c r="BF10" s="223"/>
      <c r="BG10" s="223"/>
      <c r="BH10" s="223"/>
      <c r="BI10" s="223"/>
      <c r="BJ10" s="223"/>
      <c r="BK10" s="223"/>
      <c r="BL10" s="223"/>
      <c r="BM10" s="223"/>
      <c r="BN10" s="223"/>
      <c r="BO10" s="223"/>
      <c r="BP10" s="223"/>
      <c r="BQ10" s="223"/>
      <c r="BR10" s="223"/>
      <c r="BS10" s="223"/>
      <c r="BT10" s="223"/>
      <c r="BU10" s="223"/>
      <c r="BV10" s="223"/>
      <c r="BW10" s="223"/>
      <c r="BX10" s="223"/>
    </row>
    <row r="11" spans="1:77" hidden="1" outlineLevel="2" x14ac:dyDescent="0.25">
      <c r="A11" s="16"/>
      <c r="B11" s="2"/>
      <c r="C11" s="1131" t="s">
        <v>222</v>
      </c>
      <c r="D11" s="154"/>
      <c r="E11" s="154">
        <f>IF(E4="forecast",'SMS Sub'!B66,'Gross Margin Actual'!D7)</f>
        <v>0</v>
      </c>
      <c r="F11" s="573">
        <f>IF(F4="forecast",'SMS Sub'!C66,'Gross Margin Actual'!E7)</f>
        <v>0</v>
      </c>
      <c r="G11" s="573">
        <f>IF(G4="forecast",'SMS Sub'!D66,'Gross Margin Actual'!F7)</f>
        <v>0</v>
      </c>
      <c r="H11" s="573">
        <f>IF(H4="forecast",'SMS Sub'!E66,'Gross Margin Actual'!G7)</f>
        <v>0</v>
      </c>
      <c r="I11" s="573">
        <f>IF(I4="forecast",'SMS Sub'!F66,'Gross Margin Actual'!H7)</f>
        <v>0</v>
      </c>
      <c r="J11" s="573">
        <f>IF(J4="forecast",'SMS Sub'!G66,'Gross Margin Actual'!I7)</f>
        <v>0</v>
      </c>
      <c r="K11" s="573">
        <f>IF(K4="forecast",'SMS Sub'!H66,'Gross Margin Actual'!J7)</f>
        <v>0</v>
      </c>
      <c r="L11" s="573">
        <f>IF(L4="forecast",'SMS Sub'!I66,'Gross Margin Actual'!K7)</f>
        <v>0</v>
      </c>
      <c r="M11" s="573">
        <f>IF(M4="forecast",'SMS Sub'!J66,'Gross Margin Actual'!L7)</f>
        <v>0</v>
      </c>
      <c r="N11" s="573">
        <f>IF(N4="forecast",'SMS Sub'!K66,'Gross Margin Actual'!M7)</f>
        <v>0</v>
      </c>
      <c r="O11" s="573">
        <f>IF(O4="forecast",'SMS Sub'!L66,'Gross Margin Actual'!N7)</f>
        <v>0</v>
      </c>
      <c r="P11" s="573">
        <f>IF(P4="forecast",'SMS Sub'!M66,'Gross Margin Actual'!O7)</f>
        <v>0</v>
      </c>
      <c r="Q11" s="573">
        <f>IF(Q4="forecast",'SMS Sub'!N66,'Gross Margin Actual'!P7)</f>
        <v>68568.25</v>
      </c>
      <c r="R11" s="573">
        <f>IF(R4="forecast",'SMS Sub'!O66,'Gross Margin Actual'!Q7)</f>
        <v>81802.92</v>
      </c>
      <c r="S11" s="573">
        <f>IF(S4="forecast",'SMS Sub'!P66,'Gross Margin Actual'!R7)</f>
        <v>90480.9</v>
      </c>
      <c r="T11" s="573">
        <f>IF(T4="forecast",'SMS Sub'!Q66,'Gross Margin Actual'!S7)</f>
        <v>97542.61</v>
      </c>
      <c r="U11" s="573">
        <f>IF(U4="forecast",'SMS Sub'!R66,'Gross Margin Actual'!T7)</f>
        <v>112808.73</v>
      </c>
      <c r="V11" s="573">
        <f>IF(V4="forecast",'SMS Sub'!S66,'Gross Margin Actual'!U7)</f>
        <v>114358.57</v>
      </c>
      <c r="W11" s="573">
        <f>IF(W4="forecast",'SMS Sub'!T66,'Gross Margin Actual'!V7)</f>
        <v>133498.74</v>
      </c>
      <c r="X11" s="573">
        <f>IF(X4="forecast",'SMS Sub'!U66,'Gross Margin Actual'!W7)</f>
        <v>118553.86</v>
      </c>
      <c r="Y11" s="573">
        <f>IF(Y4="forecast",'SMS Sub'!V66,'Gross Margin Actual'!X7)</f>
        <v>120864.5</v>
      </c>
      <c r="Z11" s="573">
        <f>IF(Z4="forecast",'SMS Sub'!W66,'Gross Margin Actual'!Y7)</f>
        <v>135994.17000000001</v>
      </c>
      <c r="AA11" s="573">
        <f>IF(AA4="forecast",'SMS Sub'!X66,'Gross Margin Actual'!Z7)</f>
        <v>145638.19</v>
      </c>
      <c r="AB11" s="573">
        <f>IF(AB4="forecast",'SMS Sub'!Y66,'Gross Margin Actual'!AA7)</f>
        <v>506348.82</v>
      </c>
      <c r="AC11" s="573">
        <f>IF(AC4="forecast",'SMS Sub'!Z66,'Gross Margin Actual'!AB7)</f>
        <v>501961.27</v>
      </c>
      <c r="AD11" s="573">
        <f>IF(AD4="forecast",'SMS Sub'!AA66,'Gross Margin Actual'!AC7)</f>
        <v>523368.04</v>
      </c>
      <c r="AE11" s="573">
        <f>IF(AE4="forecast",'SMS Sub'!AB66,'Gross Margin Actual'!AD7)</f>
        <v>592055.31000000006</v>
      </c>
      <c r="AF11" s="573">
        <f>IF(AF4="forecast",'SMS Sub'!AC66,'Gross Margin Actual'!AE7)</f>
        <v>352824.19559999998</v>
      </c>
      <c r="AG11" s="573">
        <f>IF(AG4="forecast",'SMS Sub'!AD66,'Gross Margin Actual'!AF7)</f>
        <v>380363.34239999996</v>
      </c>
      <c r="AH11" s="573">
        <f>IF(AH4="forecast",'SMS Sub'!AE66,'Gross Margin Actual'!AG7)</f>
        <v>405596.46239999996</v>
      </c>
      <c r="AI11" s="573">
        <f>IF(AI4="forecast",'SMS Sub'!AF66,'Gross Margin Actual'!AH7)</f>
        <v>428306.27040000004</v>
      </c>
      <c r="AJ11" s="573">
        <f>IF(AJ4="forecast",'SMS Sub'!AG66,'Gross Margin Actual'!AI7)</f>
        <v>448492.76639999996</v>
      </c>
      <c r="AK11" s="573">
        <f>IF(AK4="forecast",'SMS Sub'!AH66,'Gross Margin Actual'!AJ7)</f>
        <v>468679.26240000001</v>
      </c>
      <c r="AL11" s="573">
        <f>IF(AL4="forecast",'SMS Sub'!AI66,'Gross Margin Actual'!AK7)</f>
        <v>498488.46064565436</v>
      </c>
      <c r="AM11" s="573">
        <f>IF(AM4="forecast",'SMS Sub'!AJ66,'Gross Margin Actual'!AL7)</f>
        <v>528297.6588913087</v>
      </c>
      <c r="AN11" s="573">
        <f>IF(AN4="forecast",'SMS Sub'!AK66,'Gross Margin Actual'!AM7)</f>
        <v>558106.85713696305</v>
      </c>
      <c r="AO11" s="573">
        <f>IF(AO4="forecast",'SMS Sub'!AL66,'Gross Margin Actual'!AN7)</f>
        <v>587913.48013696296</v>
      </c>
      <c r="AP11" s="573">
        <f>IF(AP4="forecast",'SMS Sub'!AM66,'Gross Margin Actual'!AO7)</f>
        <v>617720.10313696286</v>
      </c>
      <c r="AQ11" s="573">
        <f>IF(AQ4="forecast",'SMS Sub'!AN66,'Gross Margin Actual'!AP7)</f>
        <v>647526.72613696288</v>
      </c>
      <c r="AR11" s="573">
        <f>IF(AR4="forecast",'SMS Sub'!AO66,'Gross Margin Actual'!AQ7)</f>
        <v>677333.3491369629</v>
      </c>
      <c r="AS11" s="573">
        <f>IF(AS4="forecast",'SMS Sub'!AP66,'Gross Margin Actual'!AR7)</f>
        <v>707139.97213696293</v>
      </c>
      <c r="AT11" s="573">
        <f>IF(AT4="forecast",'SMS Sub'!AQ66,'Gross Margin Actual'!AS7)</f>
        <v>736946.59513696283</v>
      </c>
      <c r="AU11" s="573">
        <f>IF(AU4="forecast",'SMS Sub'!AR66,'Gross Margin Actual'!AT7)</f>
        <v>766753.21813696274</v>
      </c>
      <c r="AV11" s="573">
        <f>IF(AV4="forecast",'SMS Sub'!AS66,'Gross Margin Actual'!AU7)</f>
        <v>796559.84113696276</v>
      </c>
      <c r="AW11" s="573">
        <f>IF(AW4="forecast",'SMS Sub'!AT66,'Gross Margin Actual'!AV7)</f>
        <v>826366.46413696278</v>
      </c>
      <c r="AX11" s="573">
        <f>IF(AX4="forecast",'SMS Sub'!AU66,'Gross Margin Actual'!AW7)</f>
        <v>856173.0871369628</v>
      </c>
      <c r="AY11" s="573">
        <f>IF(AY4="forecast",'SMS Sub'!AV66,'Gross Margin Actual'!AX7)</f>
        <v>885979.71013696282</v>
      </c>
      <c r="AZ11" s="573">
        <f>IF(AZ4="forecast",'SMS Sub'!AW66,'Gross Margin Actual'!AY7)</f>
        <v>915786.33313696273</v>
      </c>
      <c r="BA11" s="573">
        <f>IF(BA4="forecast",'SMS Sub'!AX66,'Gross Margin Actual'!AZ7)</f>
        <v>0</v>
      </c>
      <c r="BB11" s="573">
        <f>IF(BB4="forecast",'SMS Sub'!AY66,'Gross Margin Actual'!BA7)</f>
        <v>0</v>
      </c>
      <c r="BC11" s="573">
        <f>IF(BC4="forecast",'SMS Sub'!AZ66,'Gross Margin Actual'!BB7)</f>
        <v>0</v>
      </c>
      <c r="BD11" s="573">
        <f>IF(BD4="forecast",'SMS Sub'!BA66,'Gross Margin Actual'!BC7)</f>
        <v>0</v>
      </c>
      <c r="BE11" s="573">
        <f>IF(BE4="forecast",'SMS Sub'!BB66,'Gross Margin Actual'!BD7)</f>
        <v>0</v>
      </c>
      <c r="BF11" s="573">
        <f>IF(BF4="forecast",'SMS Sub'!BC66,'Gross Margin Actual'!BE7)</f>
        <v>0</v>
      </c>
      <c r="BG11" s="573">
        <f>IF(BG4="forecast",'SMS Sub'!BD66,'Gross Margin Actual'!BF7)</f>
        <v>0</v>
      </c>
      <c r="BH11" s="573">
        <f>IF(BH4="forecast",'SMS Sub'!BE66,'Gross Margin Actual'!BG7)</f>
        <v>0</v>
      </c>
      <c r="BI11" s="573">
        <f>IF(BI4="forecast",'SMS Sub'!BF66,'Gross Margin Actual'!BH7)</f>
        <v>0</v>
      </c>
      <c r="BJ11" s="573">
        <f>IF(BJ4="forecast",'SMS Sub'!BG66,'Gross Margin Actual'!BI7)</f>
        <v>0</v>
      </c>
      <c r="BK11" s="573">
        <f>IF(BK4="forecast",'SMS Sub'!BH66,'Gross Margin Actual'!BJ7)</f>
        <v>0</v>
      </c>
      <c r="BL11" s="573">
        <f>IF(BL4="forecast",'SMS Sub'!BI66,'Gross Margin Actual'!BK7)</f>
        <v>0</v>
      </c>
      <c r="BM11" s="573">
        <f>IF(BM4="forecast",'SMS Sub'!BJ66,'Gross Margin Actual'!BL7)</f>
        <v>0</v>
      </c>
      <c r="BN11" s="573">
        <f>IF(BN4="forecast",'SMS Sub'!BK66,'Gross Margin Actual'!BM7)</f>
        <v>0</v>
      </c>
      <c r="BO11" s="573">
        <f>IF(BO4="forecast",'SMS Sub'!BL66,'Gross Margin Actual'!BN7)</f>
        <v>0</v>
      </c>
      <c r="BP11" s="573">
        <f>IF(BP4="forecast",'SMS Sub'!BM66,'Gross Margin Actual'!BO7)</f>
        <v>0</v>
      </c>
      <c r="BQ11" s="573">
        <f>IF(BQ4="forecast",'SMS Sub'!BN66,'Gross Margin Actual'!BP7)</f>
        <v>0</v>
      </c>
      <c r="BR11" s="573">
        <f>IF(BR4="forecast",'SMS Sub'!BO66,'Gross Margin Actual'!BQ7)</f>
        <v>0</v>
      </c>
      <c r="BS11" s="573">
        <f>IF(BS4="forecast",'SMS Sub'!BP66,'Gross Margin Actual'!BR7)</f>
        <v>0</v>
      </c>
      <c r="BT11" s="573">
        <f>IF(BT4="forecast",'SMS Sub'!BQ66,'Gross Margin Actual'!BS7)</f>
        <v>0</v>
      </c>
      <c r="BU11" s="573">
        <f>IF(BU4="forecast",'SMS Sub'!BR66,'Gross Margin Actual'!BT7)</f>
        <v>0</v>
      </c>
      <c r="BV11" s="573">
        <f>IF(BV4="forecast",'SMS Sub'!BS66,'Gross Margin Actual'!BU7)</f>
        <v>0</v>
      </c>
      <c r="BW11" s="573">
        <f>IF(BW4="forecast",'SMS Sub'!BT66,'Gross Margin Actual'!BV7)</f>
        <v>0</v>
      </c>
      <c r="BX11" s="573">
        <f>IF(BX4="forecast",'SMS Sub'!BU66,'Gross Margin Actual'!BW7)</f>
        <v>0</v>
      </c>
    </row>
    <row r="12" spans="1:77" s="304" customFormat="1" hidden="1" outlineLevel="2" x14ac:dyDescent="0.25">
      <c r="B12" s="223"/>
      <c r="C12" s="1131" t="s">
        <v>1162</v>
      </c>
      <c r="D12" s="154"/>
      <c r="E12" s="154">
        <f>IF(E4="forecast",'SMS Revenue'!B66+'Voice Revenue'!B65,'Gross Margin Actual'!D18)</f>
        <v>1076099.8098231177</v>
      </c>
      <c r="F12" s="573">
        <f>IF(F4="forecast",'SMS Revenue'!C66+'Voice Revenue'!C65,'Gross Margin Actual'!E18)</f>
        <v>1027503.3946649963</v>
      </c>
      <c r="G12" s="573">
        <f>IF(G4="forecast",'SMS Revenue'!D66+'Voice Revenue'!D65,'Gross Margin Actual'!F18)</f>
        <v>1165855.2619136521</v>
      </c>
      <c r="H12" s="573">
        <f>IF(H4="forecast",'SMS Revenue'!E66+'Voice Revenue'!E65,'Gross Margin Actual'!G18)</f>
        <v>1140453.0636260421</v>
      </c>
      <c r="I12" s="573">
        <f>IF(I4="forecast",'SMS Revenue'!F66+'Voice Revenue'!F65,'Gross Margin Actual'!H18)</f>
        <v>1282886.6505704422</v>
      </c>
      <c r="J12" s="573">
        <f>IF(J4="forecast",'SMS Revenue'!G66+'Voice Revenue'!G65,'Gross Margin Actual'!I18)</f>
        <v>1203848.0208439571</v>
      </c>
      <c r="K12" s="573">
        <f>IF(K4="forecast",'SMS Revenue'!H66+'Voice Revenue'!H65,'Gross Margin Actual'!J18)</f>
        <v>1207264.3500906043</v>
      </c>
      <c r="L12" s="573">
        <f>IF(L4="forecast",'SMS Revenue'!I66+'Voice Revenue'!I65,'Gross Margin Actual'!K18)</f>
        <v>1214322.5464305405</v>
      </c>
      <c r="M12" s="573">
        <f>IF(M4="forecast",'SMS Revenue'!J66+'Voice Revenue'!J65,'Gross Margin Actual'!L18)</f>
        <v>1161184.945115712</v>
      </c>
      <c r="N12" s="573">
        <f>IF(N4="forecast",'SMS Revenue'!K66+'Voice Revenue'!K65,'Gross Margin Actual'!M18)</f>
        <v>1555605.1039152998</v>
      </c>
      <c r="O12" s="573">
        <f>IF(O4="forecast",'SMS Revenue'!L66+'Voice Revenue'!L65,'Gross Margin Actual'!N18)</f>
        <v>1628234.699860936</v>
      </c>
      <c r="P12" s="573">
        <f>IF(P4="forecast",'SMS Revenue'!M66+'Voice Revenue'!M65,'Gross Margin Actual'!O18)</f>
        <v>1140793.4013928385</v>
      </c>
      <c r="Q12" s="573">
        <f>IF(Q4="forecast",'SMS Revenue'!N66+'Voice Revenue'!N65,'Gross Margin Actual'!P18)</f>
        <v>1019534.02</v>
      </c>
      <c r="R12" s="573">
        <f>IF(R4="forecast",'SMS Revenue'!O66+'Voice Revenue'!O65,'Gross Margin Actual'!Q18)</f>
        <v>1241014.96</v>
      </c>
      <c r="S12" s="573">
        <f>IF(S4="forecast",'SMS Revenue'!P66+'Voice Revenue'!P65,'Gross Margin Actual'!R18)</f>
        <v>1362313.49</v>
      </c>
      <c r="T12" s="573">
        <f>IF(T4="forecast",'SMS Revenue'!Q66+'Voice Revenue'!Q65,'Gross Margin Actual'!S18)</f>
        <v>1392493.31</v>
      </c>
      <c r="U12" s="573">
        <f>IF(U4="forecast",'SMS Revenue'!R66+'Voice Revenue'!R65,'Gross Margin Actual'!T18)</f>
        <v>1348735.31</v>
      </c>
      <c r="V12" s="573">
        <f>IF(V4="forecast",'SMS Revenue'!S66+'Voice Revenue'!S65,'Gross Margin Actual'!U18)</f>
        <v>1146631.24</v>
      </c>
      <c r="W12" s="573">
        <f>IF(W4="forecast",'SMS Revenue'!T66+'Voice Revenue'!T65,'Gross Margin Actual'!V18)</f>
        <v>1178908.0900000001</v>
      </c>
      <c r="X12" s="573">
        <f>IF(X4="forecast",'SMS Revenue'!U66+'Voice Revenue'!U65,'Gross Margin Actual'!W18)</f>
        <v>1194857.31</v>
      </c>
      <c r="Y12" s="573">
        <f>IF(Y4="forecast",'SMS Revenue'!V66+'Voice Revenue'!V65,'Gross Margin Actual'!X18)</f>
        <v>1346716.8</v>
      </c>
      <c r="Z12" s="573">
        <f>IF(Z4="forecast",'SMS Revenue'!W66+'Voice Revenue'!W65,'Gross Margin Actual'!Y18)</f>
        <v>1545437.35</v>
      </c>
      <c r="AA12" s="573">
        <f>IF(AA4="forecast",'SMS Revenue'!X66+'Voice Revenue'!X65,'Gross Margin Actual'!Z18)</f>
        <v>1239368.58</v>
      </c>
      <c r="AB12" s="573">
        <f>IF(AB4="forecast",'SMS Revenue'!Y66+'Voice Revenue'!Y65,'Gross Margin Actual'!AA18)</f>
        <v>1084636.57</v>
      </c>
      <c r="AC12" s="573">
        <f>IF(AC4="forecast",'SMS Revenue'!Z66+'Voice Revenue'!Z65,'Gross Margin Actual'!AB18)</f>
        <v>951326.84</v>
      </c>
      <c r="AD12" s="573">
        <f>IF(AD4="forecast",'SMS Revenue'!AA66+'Voice Revenue'!AA65,'Gross Margin Actual'!AC18)</f>
        <v>958332.92</v>
      </c>
      <c r="AE12" s="573">
        <f>IF(AE4="forecast",'SMS Revenue'!AB66+'Voice Revenue'!AB65,'Gross Margin Actual'!AD18)</f>
        <v>1012325.66</v>
      </c>
      <c r="AF12" s="573">
        <f>IF(AF4="forecast",'SMS Revenue'!AC66+'Voice Revenue'!AC65,'Gross Margin Actual'!AE18)</f>
        <v>1366883.6026679762</v>
      </c>
      <c r="AG12" s="573">
        <f>IF(AG4="forecast",'SMS Revenue'!AD66+'Voice Revenue'!AD65,'Gross Margin Actual'!AF18)</f>
        <v>1473389.6609188081</v>
      </c>
      <c r="AH12" s="573">
        <f>IF(AH4="forecast",'SMS Revenue'!AE66+'Voice Revenue'!AE65,'Gross Margin Actual'!AG18)</f>
        <v>1573003.8631012596</v>
      </c>
      <c r="AI12" s="573">
        <f>IF(AI4="forecast",'SMS Revenue'!AF66+'Voice Revenue'!AF65,'Gross Margin Actual'!AH18)</f>
        <v>1522358.0067738919</v>
      </c>
      <c r="AJ12" s="573">
        <f>IF(AJ4="forecast",'SMS Revenue'!AG66+'Voice Revenue'!AG65,'Gross Margin Actual'!AI18)</f>
        <v>1592637.6023285477</v>
      </c>
      <c r="AK12" s="573">
        <f>IF(AK4="forecast",'SMS Revenue'!AH66+'Voice Revenue'!AH65,'Gross Margin Actual'!AJ18)</f>
        <v>1915427.3970699543</v>
      </c>
      <c r="AL12" s="573">
        <f>IF(AL4="forecast",'SMS Revenue'!AI66+'Voice Revenue'!AI65,'Gross Margin Actual'!AK18)</f>
        <v>2031376.2790167511</v>
      </c>
      <c r="AM12" s="573">
        <f>IF(AM4="forecast",'SMS Revenue'!AJ66+'Voice Revenue'!AJ65,'Gross Margin Actual'!AL18)</f>
        <v>1926768.1436679652</v>
      </c>
      <c r="AN12" s="573">
        <f>IF(AN4="forecast",'SMS Revenue'!AK66+'Voice Revenue'!AK65,'Gross Margin Actual'!AM18)</f>
        <v>1907774.8589373603</v>
      </c>
      <c r="AO12" s="573">
        <f>IF(AO4="forecast",'SMS Revenue'!AL66+'Voice Revenue'!AL65,'Gross Margin Actual'!AN18)</f>
        <v>2239175.0171767808</v>
      </c>
      <c r="AP12" s="573">
        <f>IF(AP4="forecast",'SMS Revenue'!AM66+'Voice Revenue'!AM65,'Gross Margin Actual'!AO18)</f>
        <v>2353651.5951290186</v>
      </c>
      <c r="AQ12" s="573">
        <f>IF(AQ4="forecast",'SMS Revenue'!AN66+'Voice Revenue'!AN65,'Gross Margin Actual'!AP18)</f>
        <v>2473934.9761406668</v>
      </c>
      <c r="AR12" s="573">
        <f>IF(AR4="forecast",'SMS Revenue'!AO66+'Voice Revenue'!AO65,'Gross Margin Actual'!AQ18)</f>
        <v>2586623.2497238205</v>
      </c>
      <c r="AS12" s="573">
        <f>IF(AS4="forecast",'SMS Revenue'!AP66+'Voice Revenue'!AP65,'Gross Margin Actual'!AR18)</f>
        <v>2693655.5686243335</v>
      </c>
      <c r="AT12" s="573">
        <f>IF(AT4="forecast",'SMS Revenue'!AQ66+'Voice Revenue'!AQ65,'Gross Margin Actual'!AS18)</f>
        <v>2799203.7273543291</v>
      </c>
      <c r="AU12" s="573">
        <f>IF(AU4="forecast",'SMS Revenue'!AR66+'Voice Revenue'!AR65,'Gross Margin Actual'!AT18)</f>
        <v>2904819.2933780085</v>
      </c>
      <c r="AV12" s="573">
        <f>IF(AV4="forecast",'SMS Revenue'!AS66+'Voice Revenue'!AS65,'Gross Margin Actual'!AU18)</f>
        <v>3012207.9916766114</v>
      </c>
      <c r="AW12" s="573">
        <f>IF(AW4="forecast",'SMS Revenue'!AT66+'Voice Revenue'!AT65,'Gross Margin Actual'!AV18)</f>
        <v>3121166.0093461117</v>
      </c>
      <c r="AX12" s="573">
        <f>IF(AX4="forecast",'SMS Revenue'!AU66+'Voice Revenue'!AU65,'Gross Margin Actual'!AW18)</f>
        <v>3227046.4053792362</v>
      </c>
      <c r="AY12" s="573">
        <f>IF(AY4="forecast",'SMS Revenue'!AV66+'Voice Revenue'!AV65,'Gross Margin Actual'!AX18)</f>
        <v>3332926.8014123612</v>
      </c>
      <c r="AZ12" s="573">
        <f>IF(AZ4="forecast",'SMS Revenue'!AW66+'Voice Revenue'!AW65,'Gross Margin Actual'!AY18)</f>
        <v>3438807.1974454857</v>
      </c>
      <c r="BA12" s="573">
        <f>IF(BA4="forecast",'SMS Revenue'!AX66+'Voice Revenue'!AX65,'Gross Margin Actual'!AZ18)</f>
        <v>0</v>
      </c>
      <c r="BB12" s="573">
        <f>IF(BB4="forecast",'SMS Revenue'!AY66+'Voice Revenue'!AY65,'Gross Margin Actual'!BA18)</f>
        <v>0</v>
      </c>
      <c r="BC12" s="573">
        <f>IF(BC4="forecast",'SMS Revenue'!AZ66+'Voice Revenue'!AZ65,'Gross Margin Actual'!BB18)</f>
        <v>0</v>
      </c>
      <c r="BD12" s="573">
        <f>IF(BD4="forecast",'SMS Revenue'!BA66+'Voice Revenue'!BA65,'Gross Margin Actual'!BC18)</f>
        <v>0</v>
      </c>
      <c r="BE12" s="573">
        <f>IF(BE4="forecast",'SMS Revenue'!BB66+'Voice Revenue'!BB65,'Gross Margin Actual'!BD18)</f>
        <v>0</v>
      </c>
      <c r="BF12" s="573">
        <f>IF(BF4="forecast",'SMS Revenue'!BC66+'Voice Revenue'!BC65,'Gross Margin Actual'!BE18)</f>
        <v>0</v>
      </c>
      <c r="BG12" s="573">
        <f>IF(BG4="forecast",'SMS Revenue'!BD66+'Voice Revenue'!BD65,'Gross Margin Actual'!BF18)</f>
        <v>0</v>
      </c>
      <c r="BH12" s="573">
        <f>IF(BH4="forecast",'SMS Revenue'!BE66+'Voice Revenue'!BE65,'Gross Margin Actual'!BG18)</f>
        <v>0</v>
      </c>
      <c r="BI12" s="573">
        <f>IF(BI4="forecast",'SMS Revenue'!BF66+'Voice Revenue'!BF65,'Gross Margin Actual'!BH18)</f>
        <v>0</v>
      </c>
      <c r="BJ12" s="573">
        <f>IF(BJ4="forecast",'SMS Revenue'!BG66+'Voice Revenue'!BG65,'Gross Margin Actual'!BI18)</f>
        <v>0</v>
      </c>
      <c r="BK12" s="573">
        <f>IF(BK4="forecast",'SMS Revenue'!BH66+'Voice Revenue'!BH65,'Gross Margin Actual'!BJ18)</f>
        <v>0</v>
      </c>
      <c r="BL12" s="573">
        <f>IF(BL4="forecast",'SMS Revenue'!BI66+'Voice Revenue'!BI65,'Gross Margin Actual'!BK18)</f>
        <v>0</v>
      </c>
      <c r="BM12" s="573">
        <f>IF(BM4="forecast",'SMS Revenue'!BJ66+'Voice Revenue'!BJ65,'Gross Margin Actual'!BL18)</f>
        <v>0</v>
      </c>
      <c r="BN12" s="573">
        <f>IF(BN4="forecast",'SMS Revenue'!BK66+'Voice Revenue'!BK65,'Gross Margin Actual'!BM18)</f>
        <v>0</v>
      </c>
      <c r="BO12" s="573">
        <f>IF(BO4="forecast",'SMS Revenue'!BL66+'Voice Revenue'!BL65,'Gross Margin Actual'!BN18)</f>
        <v>0</v>
      </c>
      <c r="BP12" s="573">
        <f>IF(BP4="forecast",'SMS Revenue'!BM66+'Voice Revenue'!BM65,'Gross Margin Actual'!BO18)</f>
        <v>0</v>
      </c>
      <c r="BQ12" s="573">
        <f>IF(BQ4="forecast",'SMS Revenue'!BN66+'Voice Revenue'!BN65,'Gross Margin Actual'!BP18)</f>
        <v>0</v>
      </c>
      <c r="BR12" s="573">
        <f>IF(BR4="forecast",'SMS Revenue'!BO66+'Voice Revenue'!BO65,'Gross Margin Actual'!BQ18)</f>
        <v>0</v>
      </c>
      <c r="BS12" s="573">
        <f>IF(BS4="forecast",'SMS Revenue'!BP66+'Voice Revenue'!BP65,'Gross Margin Actual'!BR18)</f>
        <v>0</v>
      </c>
      <c r="BT12" s="573">
        <f>IF(BT4="forecast",'SMS Revenue'!BQ66+'Voice Revenue'!BQ65,'Gross Margin Actual'!BS18)</f>
        <v>0</v>
      </c>
      <c r="BU12" s="573">
        <f>IF(BU4="forecast",'SMS Revenue'!BR66+'Voice Revenue'!BR65,'Gross Margin Actual'!BT18)</f>
        <v>0</v>
      </c>
      <c r="BV12" s="573">
        <f>IF(BV4="forecast",'SMS Revenue'!BS66+'Voice Revenue'!BS65,'Gross Margin Actual'!BU18)</f>
        <v>0</v>
      </c>
      <c r="BW12" s="573">
        <f>IF(BW4="forecast",'SMS Revenue'!BT66+'Voice Revenue'!BT65,'Gross Margin Actual'!BV18)</f>
        <v>0</v>
      </c>
      <c r="BX12" s="573">
        <f>IF(BX4="forecast",'SMS Revenue'!BU66+'Voice Revenue'!BU65,'Gross Margin Actual'!BW18)</f>
        <v>0</v>
      </c>
    </row>
    <row r="13" spans="1:77" hidden="1" outlineLevel="2" x14ac:dyDescent="0.25">
      <c r="A13" s="16"/>
      <c r="B13" s="2"/>
      <c r="C13" s="1131" t="s">
        <v>1165</v>
      </c>
      <c r="D13" s="37"/>
      <c r="E13" s="573">
        <f>IF(E5="forecast",0,'Gross Margin Actual'!D21)</f>
        <v>0</v>
      </c>
      <c r="F13" s="573">
        <f>IF(F5="forecast",0,'Gross Margin Actual'!E21)</f>
        <v>0</v>
      </c>
      <c r="G13" s="573">
        <f>IF(G5="forecast",0,'Gross Margin Actual'!F21)</f>
        <v>0</v>
      </c>
      <c r="H13" s="573">
        <f>IF(H5="forecast",0,'Gross Margin Actual'!G21)</f>
        <v>0</v>
      </c>
      <c r="I13" s="573">
        <f>IF(I5="forecast",0,'Gross Margin Actual'!H21)</f>
        <v>0</v>
      </c>
      <c r="J13" s="573">
        <f>IF(J5="forecast",0,'Gross Margin Actual'!I21)</f>
        <v>0</v>
      </c>
      <c r="K13" s="573">
        <f>IF(K5="forecast",0,'Gross Margin Actual'!J21)</f>
        <v>0</v>
      </c>
      <c r="L13" s="573">
        <f>IF(L5="forecast",0,'Gross Margin Actual'!K21)</f>
        <v>0</v>
      </c>
      <c r="M13" s="573">
        <f>IF(M5="forecast",0,'Gross Margin Actual'!L21)</f>
        <v>0</v>
      </c>
      <c r="N13" s="573">
        <f>IF(N5="forecast",0,'Gross Margin Actual'!M21)</f>
        <v>0</v>
      </c>
      <c r="O13" s="573">
        <f>IF(O5="forecast",0,'Gross Margin Actual'!N21)</f>
        <v>0</v>
      </c>
      <c r="P13" s="573">
        <f>IF(P5="forecast",0,'Gross Margin Actual'!O21)</f>
        <v>0</v>
      </c>
      <c r="Q13" s="573">
        <f>IF(Q5="forecast",0,'Gross Margin Actual'!P21)</f>
        <v>0</v>
      </c>
      <c r="R13" s="573">
        <f>IF(R5="forecast",0,'Gross Margin Actual'!Q21)</f>
        <v>0</v>
      </c>
      <c r="S13" s="573">
        <f>IF(S5="forecast",0,'Gross Margin Actual'!R21)</f>
        <v>0</v>
      </c>
      <c r="T13" s="573">
        <f>IF(T5="forecast",0,'Gross Margin Actual'!S21)</f>
        <v>0</v>
      </c>
      <c r="U13" s="573">
        <f>IF(U5="forecast",0,'Gross Margin Actual'!T21)</f>
        <v>0</v>
      </c>
      <c r="V13" s="573">
        <f>IF(V5="forecast",0,'Gross Margin Actual'!U21)</f>
        <v>0</v>
      </c>
      <c r="W13" s="573">
        <f>IF(W5="forecast",0,'Gross Margin Actual'!V21)</f>
        <v>0</v>
      </c>
      <c r="X13" s="573">
        <f>IF(X5="forecast",0,'Gross Margin Actual'!W21)</f>
        <v>0</v>
      </c>
      <c r="Y13" s="573">
        <f>IF(Y5="forecast",0,'Gross Margin Actual'!X21)</f>
        <v>0</v>
      </c>
      <c r="Z13" s="573">
        <f>IF(Z5="forecast",0,'Gross Margin Actual'!Y21)</f>
        <v>0</v>
      </c>
      <c r="AA13" s="573">
        <f>IF(AA5="forecast",0,'Gross Margin Actual'!Z21)</f>
        <v>0</v>
      </c>
      <c r="AB13" s="573">
        <f>IF(AB5="forecast",0,'Gross Margin Actual'!AA21)</f>
        <v>0</v>
      </c>
      <c r="AC13" s="573">
        <f>IF(AC5="forecast",0,'Gross Margin Actual'!AB21)</f>
        <v>0</v>
      </c>
      <c r="AD13" s="573">
        <f>IF(AD5="forecast",0,'Gross Margin Actual'!AC21)</f>
        <v>0</v>
      </c>
      <c r="AE13" s="573">
        <f>IF(AE5="forecast",0,'Gross Margin Actual'!AD21)</f>
        <v>0</v>
      </c>
      <c r="AF13" s="573">
        <f>IF(AF5="forecast",0,'Gross Margin Actual'!AE21)</f>
        <v>0</v>
      </c>
      <c r="AG13" s="573">
        <f>IF(AG5="forecast",0,'Gross Margin Actual'!AF21)</f>
        <v>0</v>
      </c>
      <c r="AH13" s="573">
        <f>IF(AH5="forecast",0,'Gross Margin Actual'!AG21)</f>
        <v>0</v>
      </c>
      <c r="AI13" s="573">
        <f>IF(AI5="forecast",0,'Gross Margin Actual'!AH21)</f>
        <v>0</v>
      </c>
      <c r="AJ13" s="573">
        <f>IF(AJ5="forecast",0,'Gross Margin Actual'!AI21)</f>
        <v>0</v>
      </c>
      <c r="AK13" s="573">
        <f>IF(AK5="forecast",0,'Gross Margin Actual'!AJ21)</f>
        <v>0</v>
      </c>
      <c r="AL13" s="573">
        <f>IF(AL5="forecast",0,'Gross Margin Actual'!AK21)</f>
        <v>0</v>
      </c>
      <c r="AM13" s="573">
        <f>IF(AM5="forecast",0,'Gross Margin Actual'!AL21)</f>
        <v>0</v>
      </c>
      <c r="AN13" s="573">
        <f>IF(AN5="forecast",0,'Gross Margin Actual'!AM21)</f>
        <v>0</v>
      </c>
      <c r="AO13" s="573">
        <f>IF(AO5="forecast",0,'Gross Margin Actual'!AN21)</f>
        <v>0</v>
      </c>
      <c r="AP13" s="573">
        <f>IF(AP5="forecast",0,'Gross Margin Actual'!AO21)</f>
        <v>0</v>
      </c>
      <c r="AQ13" s="573">
        <f>IF(AQ5="forecast",0,'Gross Margin Actual'!AP21)</f>
        <v>0</v>
      </c>
      <c r="AR13" s="573">
        <f>IF(AR5="forecast",0,'Gross Margin Actual'!AQ21)</f>
        <v>0</v>
      </c>
      <c r="AS13" s="573">
        <f>IF(AS5="forecast",0,'Gross Margin Actual'!AR21)</f>
        <v>0</v>
      </c>
      <c r="AT13" s="573">
        <f>IF(AT5="forecast",0,'Gross Margin Actual'!AS21)</f>
        <v>0</v>
      </c>
      <c r="AU13" s="573">
        <f>IF(AU5="forecast",0,'Gross Margin Actual'!AT21)</f>
        <v>0</v>
      </c>
      <c r="AV13" s="573">
        <f>IF(AV5="forecast",0,'Gross Margin Actual'!AU21)</f>
        <v>0</v>
      </c>
      <c r="AW13" s="573">
        <f>IF(AW5="forecast",0,'Gross Margin Actual'!AV21)</f>
        <v>0</v>
      </c>
      <c r="AX13" s="573">
        <f>IF(AX5="forecast",0,'Gross Margin Actual'!AW21)</f>
        <v>0</v>
      </c>
      <c r="AY13" s="573">
        <f>IF(AY5="forecast",0,'Gross Margin Actual'!AX21)</f>
        <v>0</v>
      </c>
      <c r="AZ13" s="573">
        <f>IF(AZ5="forecast",0,'Gross Margin Actual'!AY21)</f>
        <v>0</v>
      </c>
      <c r="BA13" s="573">
        <f>IF(BA5="forecast",0,'Gross Margin Actual'!AZ21)</f>
        <v>0</v>
      </c>
      <c r="BB13" s="573">
        <f>IF(BB5="forecast",0,'Gross Margin Actual'!BA21)</f>
        <v>0</v>
      </c>
      <c r="BC13" s="573">
        <f>IF(BC5="forecast",0,'Gross Margin Actual'!BB21)</f>
        <v>0</v>
      </c>
      <c r="BD13" s="573">
        <f>IF(BD5="forecast",0,'Gross Margin Actual'!BC21)</f>
        <v>0</v>
      </c>
      <c r="BE13" s="573">
        <f>IF(BE5="forecast",0,'Gross Margin Actual'!BD21)</f>
        <v>0</v>
      </c>
      <c r="BF13" s="573">
        <f>IF(BF5="forecast",0,'Gross Margin Actual'!BE21)</f>
        <v>0</v>
      </c>
      <c r="BG13" s="573">
        <f>IF(BG5="forecast",0,'Gross Margin Actual'!BF21)</f>
        <v>0</v>
      </c>
      <c r="BH13" s="573">
        <f>IF(BH5="forecast",0,'Gross Margin Actual'!BG21)</f>
        <v>0</v>
      </c>
      <c r="BI13" s="573">
        <f>IF(BI5="forecast",0,'Gross Margin Actual'!BH21)</f>
        <v>0</v>
      </c>
      <c r="BJ13" s="573">
        <f>IF(BJ5="forecast",0,'Gross Margin Actual'!BI21)</f>
        <v>0</v>
      </c>
      <c r="BK13" s="573">
        <f>IF(BK5="forecast",0,'Gross Margin Actual'!BJ21)</f>
        <v>0</v>
      </c>
      <c r="BL13" s="573">
        <f>IF(BL5="forecast",0,'Gross Margin Actual'!BK21)</f>
        <v>0</v>
      </c>
      <c r="BM13" s="573">
        <f>IF(BM5="forecast",0,'Gross Margin Actual'!BL21)</f>
        <v>0</v>
      </c>
      <c r="BN13" s="573">
        <f>IF(BN5="forecast",0,'Gross Margin Actual'!BM21)</f>
        <v>0</v>
      </c>
      <c r="BO13" s="573">
        <f>IF(BO5="forecast",0,'Gross Margin Actual'!BN21)</f>
        <v>0</v>
      </c>
      <c r="BP13" s="573">
        <f>IF(BP5="forecast",0,'Gross Margin Actual'!BO21)</f>
        <v>0</v>
      </c>
      <c r="BQ13" s="573">
        <f>IF(BQ5="forecast",0,'Gross Margin Actual'!BP21)</f>
        <v>0</v>
      </c>
      <c r="BR13" s="573">
        <f>IF(BR5="forecast",0,'Gross Margin Actual'!BQ21)</f>
        <v>0</v>
      </c>
      <c r="BS13" s="573">
        <f>IF(BS5="forecast",0,'Gross Margin Actual'!BR21)</f>
        <v>0</v>
      </c>
      <c r="BT13" s="573">
        <f>IF(BT5="forecast",0,'Gross Margin Actual'!BS21)</f>
        <v>0</v>
      </c>
      <c r="BU13" s="573">
        <f>IF(BU5="forecast",0,'Gross Margin Actual'!BT21)</f>
        <v>0</v>
      </c>
      <c r="BV13" s="573">
        <f>IF(BV5="forecast",0,'Gross Margin Actual'!BU21)</f>
        <v>0</v>
      </c>
      <c r="BW13" s="573">
        <f>IF(BW5="forecast",0,'Gross Margin Actual'!BV21)</f>
        <v>0</v>
      </c>
      <c r="BX13" s="573">
        <f>IF(BX5="forecast",0,'Gross Margin Actual'!BW21)</f>
        <v>0</v>
      </c>
    </row>
    <row r="14" spans="1:77" s="570" customFormat="1" hidden="1" outlineLevel="2" x14ac:dyDescent="0.25">
      <c r="B14" s="223"/>
      <c r="C14" s="1131" t="s">
        <v>1166</v>
      </c>
      <c r="D14" s="37"/>
      <c r="E14" s="573">
        <f>IF(E6="forecast",0,'Gross Margin Actual'!D22)</f>
        <v>0</v>
      </c>
      <c r="F14" s="573">
        <f>IF(F6="forecast",0,'Gross Margin Actual'!E22)</f>
        <v>0</v>
      </c>
      <c r="G14" s="573">
        <f>IF(G6="forecast",0,'Gross Margin Actual'!F22)</f>
        <v>0</v>
      </c>
      <c r="H14" s="573">
        <f>IF(H6="forecast",0,'Gross Margin Actual'!G22)</f>
        <v>0</v>
      </c>
      <c r="I14" s="573">
        <f>IF(I6="forecast",0,'Gross Margin Actual'!H22)</f>
        <v>0</v>
      </c>
      <c r="J14" s="573">
        <f>IF(J6="forecast",0,'Gross Margin Actual'!I22)</f>
        <v>0</v>
      </c>
      <c r="K14" s="573">
        <f>IF(K6="forecast",0,'Gross Margin Actual'!J22)</f>
        <v>0</v>
      </c>
      <c r="L14" s="573">
        <f>IF(L6="forecast",0,'Gross Margin Actual'!K22)</f>
        <v>0</v>
      </c>
      <c r="M14" s="573">
        <f>IF(M6="forecast",0,'Gross Margin Actual'!L22)</f>
        <v>0</v>
      </c>
      <c r="N14" s="573">
        <f>IF(N6="forecast",0,'Gross Margin Actual'!M22)</f>
        <v>0</v>
      </c>
      <c r="O14" s="573">
        <f>IF(O6="forecast",0,'Gross Margin Actual'!N22)</f>
        <v>0</v>
      </c>
      <c r="P14" s="573">
        <f>IF(P6="forecast",0,'Gross Margin Actual'!O22)</f>
        <v>0</v>
      </c>
      <c r="Q14" s="573">
        <f>IF(Q6="forecast",0,'Gross Margin Actual'!P22)</f>
        <v>1073.4000000000001</v>
      </c>
      <c r="R14" s="573">
        <f>IF(R6="forecast",0,'Gross Margin Actual'!Q22)</f>
        <v>-78.42</v>
      </c>
      <c r="S14" s="573">
        <f>IF(S6="forecast",0,'Gross Margin Actual'!R22)</f>
        <v>-2232.1999999999998</v>
      </c>
      <c r="T14" s="573">
        <f>IF(T6="forecast",0,'Gross Margin Actual'!S22)</f>
        <v>-117.6</v>
      </c>
      <c r="U14" s="573">
        <f>IF(U6="forecast",0,'Gross Margin Actual'!T22)</f>
        <v>69.599999999999994</v>
      </c>
      <c r="V14" s="573">
        <f>IF(V6="forecast",0,'Gross Margin Actual'!U22)</f>
        <v>69.599999999999994</v>
      </c>
      <c r="W14" s="573">
        <f>IF(W6="forecast",0,'Gross Margin Actual'!V22)</f>
        <v>237.6</v>
      </c>
      <c r="X14" s="573">
        <f>IF(X6="forecast",0,'Gross Margin Actual'!W22)</f>
        <v>6000</v>
      </c>
      <c r="Y14" s="573">
        <f>IF(Y6="forecast",0,'Gross Margin Actual'!X22)</f>
        <v>16117.6</v>
      </c>
      <c r="Z14" s="573">
        <f>IF(Z6="forecast",0,'Gross Margin Actual'!Y22)</f>
        <v>0</v>
      </c>
      <c r="AA14" s="573">
        <f>IF(AA6="forecast",0,'Gross Margin Actual'!Z22)</f>
        <v>0</v>
      </c>
      <c r="AB14" s="573">
        <f>IF(AB6="forecast",0,'Gross Margin Actual'!AA22)</f>
        <v>3000</v>
      </c>
      <c r="AC14" s="573">
        <f>IF(AC6="forecast",0,'Gross Margin Actual'!AB22)</f>
        <v>-0.5</v>
      </c>
      <c r="AD14" s="573">
        <f>IF(AD6="forecast",0,'Gross Margin Actual'!AC22)</f>
        <v>1794</v>
      </c>
      <c r="AE14" s="573">
        <f>IF(AE6="forecast",0,'Gross Margin Actual'!AD22)</f>
        <v>1196</v>
      </c>
      <c r="AF14" s="573">
        <f>IF(AF6="forecast",0,'Gross Margin Actual'!AE22)</f>
        <v>0</v>
      </c>
      <c r="AG14" s="573">
        <f>IF(AG6="forecast",0,'Gross Margin Actual'!AF22)</f>
        <v>0</v>
      </c>
      <c r="AH14" s="573">
        <f>IF(AH6="forecast",0,'Gross Margin Actual'!AG22)</f>
        <v>0</v>
      </c>
      <c r="AI14" s="573">
        <f>IF(AI6="forecast",0,'Gross Margin Actual'!AH22)</f>
        <v>0</v>
      </c>
      <c r="AJ14" s="573">
        <f>IF(AJ6="forecast",0,'Gross Margin Actual'!AI22)</f>
        <v>0</v>
      </c>
      <c r="AK14" s="573">
        <f>IF(AK6="forecast",0,'Gross Margin Actual'!AJ22)</f>
        <v>0</v>
      </c>
      <c r="AL14" s="573">
        <f>IF(AL6="forecast",0,'Gross Margin Actual'!AK22)</f>
        <v>0</v>
      </c>
      <c r="AM14" s="573">
        <f>IF(AM6="forecast",0,'Gross Margin Actual'!AL22)</f>
        <v>0</v>
      </c>
      <c r="AN14" s="573">
        <f>IF(AN6="forecast",0,'Gross Margin Actual'!AM22)</f>
        <v>0</v>
      </c>
      <c r="AO14" s="573">
        <f>IF(AO6="forecast",0,'Gross Margin Actual'!AN22)</f>
        <v>0</v>
      </c>
      <c r="AP14" s="573">
        <f>IF(AP6="forecast",0,'Gross Margin Actual'!AO22)</f>
        <v>0</v>
      </c>
      <c r="AQ14" s="573">
        <f>IF(AQ6="forecast",0,'Gross Margin Actual'!AP22)</f>
        <v>0</v>
      </c>
      <c r="AR14" s="573">
        <f>IF(AR6="forecast",0,'Gross Margin Actual'!AQ22)</f>
        <v>0</v>
      </c>
      <c r="AS14" s="573">
        <f>IF(AS6="forecast",0,'Gross Margin Actual'!AR22)</f>
        <v>0</v>
      </c>
      <c r="AT14" s="573">
        <f>IF(AT6="forecast",0,'Gross Margin Actual'!AS22)</f>
        <v>0</v>
      </c>
      <c r="AU14" s="573">
        <f>IF(AU6="forecast",0,'Gross Margin Actual'!AT22)</f>
        <v>0</v>
      </c>
      <c r="AV14" s="573">
        <f>IF(AV6="forecast",0,'Gross Margin Actual'!AU22)</f>
        <v>0</v>
      </c>
      <c r="AW14" s="573">
        <f>IF(AW6="forecast",0,'Gross Margin Actual'!AV22)</f>
        <v>0</v>
      </c>
      <c r="AX14" s="573">
        <f>IF(AX6="forecast",0,'Gross Margin Actual'!AW22)</f>
        <v>0</v>
      </c>
      <c r="AY14" s="573">
        <f>IF(AY6="forecast",0,'Gross Margin Actual'!AX22)</f>
        <v>0</v>
      </c>
      <c r="AZ14" s="573">
        <f>IF(AZ6="forecast",0,'Gross Margin Actual'!AY22)</f>
        <v>0</v>
      </c>
      <c r="BA14" s="573">
        <f>IF(BA6="forecast",0,'Gross Margin Actual'!AZ22)</f>
        <v>0</v>
      </c>
      <c r="BB14" s="573">
        <f>IF(BB6="forecast",0,'Gross Margin Actual'!BA22)</f>
        <v>0</v>
      </c>
      <c r="BC14" s="573">
        <f>IF(BC6="forecast",0,'Gross Margin Actual'!BB22)</f>
        <v>0</v>
      </c>
      <c r="BD14" s="573">
        <f>IF(BD6="forecast",0,'Gross Margin Actual'!BC22)</f>
        <v>0</v>
      </c>
      <c r="BE14" s="573">
        <f>IF(BE6="forecast",0,'Gross Margin Actual'!BD22)</f>
        <v>0</v>
      </c>
      <c r="BF14" s="573">
        <f>IF(BF6="forecast",0,'Gross Margin Actual'!BE22)</f>
        <v>0</v>
      </c>
      <c r="BG14" s="573">
        <f>IF(BG6="forecast",0,'Gross Margin Actual'!BF22)</f>
        <v>0</v>
      </c>
      <c r="BH14" s="573">
        <f>IF(BH6="forecast",0,'Gross Margin Actual'!BG22)</f>
        <v>0</v>
      </c>
      <c r="BI14" s="573">
        <f>IF(BI6="forecast",0,'Gross Margin Actual'!BH22)</f>
        <v>0</v>
      </c>
      <c r="BJ14" s="573">
        <f>IF(BJ6="forecast",0,'Gross Margin Actual'!BI22)</f>
        <v>0</v>
      </c>
      <c r="BK14" s="573">
        <f>IF(BK6="forecast",0,'Gross Margin Actual'!BJ22)</f>
        <v>0</v>
      </c>
      <c r="BL14" s="573">
        <f>IF(BL6="forecast",0,'Gross Margin Actual'!BK22)</f>
        <v>0</v>
      </c>
      <c r="BM14" s="573">
        <f>IF(BM6="forecast",0,'Gross Margin Actual'!BL22)</f>
        <v>0</v>
      </c>
      <c r="BN14" s="573">
        <f>IF(BN6="forecast",0,'Gross Margin Actual'!BM22)</f>
        <v>0</v>
      </c>
      <c r="BO14" s="573">
        <f>IF(BO6="forecast",0,'Gross Margin Actual'!BN22)</f>
        <v>0</v>
      </c>
      <c r="BP14" s="573">
        <f>IF(BP6="forecast",0,'Gross Margin Actual'!BO22)</f>
        <v>0</v>
      </c>
      <c r="BQ14" s="573">
        <f>IF(BQ6="forecast",0,'Gross Margin Actual'!BP22)</f>
        <v>0</v>
      </c>
      <c r="BR14" s="573">
        <f>IF(BR6="forecast",0,'Gross Margin Actual'!BQ22)</f>
        <v>0</v>
      </c>
      <c r="BS14" s="573">
        <f>IF(BS6="forecast",0,'Gross Margin Actual'!BR22)</f>
        <v>0</v>
      </c>
      <c r="BT14" s="573">
        <f>IF(BT6="forecast",0,'Gross Margin Actual'!BS22)</f>
        <v>0</v>
      </c>
      <c r="BU14" s="573">
        <f>IF(BU6="forecast",0,'Gross Margin Actual'!BT22)</f>
        <v>0</v>
      </c>
      <c r="BV14" s="573">
        <f>IF(BV6="forecast",0,'Gross Margin Actual'!BU22)</f>
        <v>0</v>
      </c>
      <c r="BW14" s="573">
        <f>IF(BW6="forecast",0,'Gross Margin Actual'!BV22)</f>
        <v>0</v>
      </c>
      <c r="BX14" s="573">
        <f>IF(BX6="forecast",0,'Gross Margin Actual'!BW22)</f>
        <v>0</v>
      </c>
    </row>
    <row r="15" spans="1:77" s="570" customFormat="1" hidden="1" outlineLevel="2" x14ac:dyDescent="0.25">
      <c r="B15" s="223"/>
      <c r="C15" s="1131" t="s">
        <v>1168</v>
      </c>
      <c r="D15" s="37"/>
      <c r="E15" s="575">
        <f>'Gross Margin Actual'!D23</f>
        <v>0</v>
      </c>
      <c r="F15" s="575">
        <f>'Gross Margin Actual'!E23</f>
        <v>0</v>
      </c>
      <c r="G15" s="575">
        <f>'Gross Margin Actual'!F23</f>
        <v>0</v>
      </c>
      <c r="H15" s="575">
        <f>'Gross Margin Actual'!G23</f>
        <v>0</v>
      </c>
      <c r="I15" s="575">
        <f>'Gross Margin Actual'!H23</f>
        <v>0</v>
      </c>
      <c r="J15" s="575">
        <f>'Gross Margin Actual'!I23</f>
        <v>0</v>
      </c>
      <c r="K15" s="575">
        <f>'Gross Margin Actual'!J23</f>
        <v>0</v>
      </c>
      <c r="L15" s="575">
        <f>'Gross Margin Actual'!K23</f>
        <v>0</v>
      </c>
      <c r="M15" s="575">
        <f>'Gross Margin Actual'!L23</f>
        <v>0</v>
      </c>
      <c r="N15" s="575">
        <f>'Gross Margin Actual'!M23</f>
        <v>0</v>
      </c>
      <c r="O15" s="575">
        <f>'Gross Margin Actual'!N23</f>
        <v>0</v>
      </c>
      <c r="P15" s="575">
        <f>'Gross Margin Actual'!O23</f>
        <v>0</v>
      </c>
      <c r="Q15" s="575">
        <f>'Gross Margin Actual'!P23</f>
        <v>0</v>
      </c>
      <c r="R15" s="575">
        <f>'Gross Margin Actual'!Q23</f>
        <v>0</v>
      </c>
      <c r="S15" s="575">
        <f>'Gross Margin Actual'!R23</f>
        <v>0</v>
      </c>
      <c r="T15" s="575">
        <f>'Gross Margin Actual'!S23</f>
        <v>0</v>
      </c>
      <c r="U15" s="575">
        <f>'Gross Margin Actual'!T23</f>
        <v>0</v>
      </c>
      <c r="V15" s="575">
        <f>'Gross Margin Actual'!U23</f>
        <v>5000</v>
      </c>
      <c r="W15" s="575">
        <f>'Gross Margin Actual'!V23</f>
        <v>0</v>
      </c>
      <c r="X15" s="575">
        <f>'Gross Margin Actual'!W23</f>
        <v>9600</v>
      </c>
      <c r="Y15" s="575">
        <f>'Gross Margin Actual'!X23</f>
        <v>0</v>
      </c>
      <c r="Z15" s="575">
        <f>'Gross Margin Actual'!Y23</f>
        <v>0</v>
      </c>
      <c r="AA15" s="575">
        <f>'Gross Margin Actual'!Z23</f>
        <v>0</v>
      </c>
      <c r="AB15" s="575">
        <f>'Gross Margin Actual'!AA23</f>
        <v>0</v>
      </c>
      <c r="AC15" s="575">
        <f>'Gross Margin Actual'!AB23</f>
        <v>3000</v>
      </c>
      <c r="AD15" s="575">
        <f>'Gross Margin Actual'!AC23</f>
        <v>2000</v>
      </c>
      <c r="AE15" s="575">
        <f>'Gross Margin Actual'!AD23</f>
        <v>4200</v>
      </c>
      <c r="AF15" s="575">
        <f>'Gross Margin Actual'!AE23</f>
        <v>0</v>
      </c>
      <c r="AG15" s="575">
        <f>'Gross Margin Actual'!AF23</f>
        <v>0</v>
      </c>
      <c r="AH15" s="575">
        <f>'Gross Margin Actual'!AG23</f>
        <v>0</v>
      </c>
      <c r="AI15" s="575">
        <f>'Gross Margin Actual'!AH23</f>
        <v>0</v>
      </c>
      <c r="AJ15" s="575">
        <f>'Gross Margin Actual'!AI23</f>
        <v>0</v>
      </c>
      <c r="AK15" s="575">
        <f>'Gross Margin Actual'!AJ23</f>
        <v>0</v>
      </c>
      <c r="AL15" s="575">
        <f>'Gross Margin Actual'!AK23</f>
        <v>0</v>
      </c>
      <c r="AM15" s="575">
        <f>'Gross Margin Actual'!AL23</f>
        <v>0</v>
      </c>
      <c r="AN15" s="575">
        <f>'Gross Margin Actual'!AM23</f>
        <v>0</v>
      </c>
      <c r="AO15" s="575">
        <f>'Gross Margin Actual'!AN23</f>
        <v>0</v>
      </c>
      <c r="AP15" s="575">
        <f>'Gross Margin Actual'!AO23</f>
        <v>0</v>
      </c>
      <c r="AQ15" s="575">
        <f>'Gross Margin Actual'!AP23</f>
        <v>0</v>
      </c>
      <c r="AR15" s="575">
        <f>'Gross Margin Actual'!AQ23</f>
        <v>0</v>
      </c>
      <c r="AS15" s="575">
        <f>'Gross Margin Actual'!AR23</f>
        <v>0</v>
      </c>
      <c r="AT15" s="575">
        <f>'Gross Margin Actual'!AS23</f>
        <v>0</v>
      </c>
      <c r="AU15" s="575">
        <f>'Gross Margin Actual'!AT23</f>
        <v>0</v>
      </c>
      <c r="AV15" s="575">
        <f>'Gross Margin Actual'!AU23</f>
        <v>0</v>
      </c>
      <c r="AW15" s="575">
        <f>'Gross Margin Actual'!AV23</f>
        <v>0</v>
      </c>
      <c r="AX15" s="575">
        <f>'Gross Margin Actual'!AW23</f>
        <v>0</v>
      </c>
      <c r="AY15" s="575">
        <f>'Gross Margin Actual'!AX23</f>
        <v>0</v>
      </c>
      <c r="AZ15" s="575">
        <f>'Gross Margin Actual'!AY23</f>
        <v>0</v>
      </c>
      <c r="BA15" s="575">
        <f>'Gross Margin Actual'!AZ23</f>
        <v>0</v>
      </c>
      <c r="BB15" s="575">
        <f>'Gross Margin Actual'!BA23</f>
        <v>0</v>
      </c>
      <c r="BC15" s="575">
        <f>'Gross Margin Actual'!BB23</f>
        <v>0</v>
      </c>
      <c r="BD15" s="575">
        <f>'Gross Margin Actual'!BC23</f>
        <v>0</v>
      </c>
      <c r="BE15" s="575">
        <f>'Gross Margin Actual'!BD23</f>
        <v>0</v>
      </c>
      <c r="BF15" s="575">
        <f>'Gross Margin Actual'!BE23</f>
        <v>0</v>
      </c>
      <c r="BG15" s="575">
        <f>'Gross Margin Actual'!BF23</f>
        <v>0</v>
      </c>
      <c r="BH15" s="575">
        <f>'Gross Margin Actual'!BG23</f>
        <v>0</v>
      </c>
      <c r="BI15" s="575">
        <f>'Gross Margin Actual'!BH23</f>
        <v>0</v>
      </c>
      <c r="BJ15" s="575">
        <f>'Gross Margin Actual'!BI23</f>
        <v>0</v>
      </c>
      <c r="BK15" s="575">
        <f>'Gross Margin Actual'!BJ23</f>
        <v>0</v>
      </c>
      <c r="BL15" s="575">
        <f>'Gross Margin Actual'!BK23</f>
        <v>0</v>
      </c>
      <c r="BM15" s="575">
        <f>'Gross Margin Actual'!BL23</f>
        <v>0</v>
      </c>
      <c r="BN15" s="575">
        <f>'Gross Margin Actual'!BM23</f>
        <v>0</v>
      </c>
      <c r="BO15" s="575">
        <f>'Gross Margin Actual'!BN23</f>
        <v>0</v>
      </c>
      <c r="BP15" s="575">
        <f>'Gross Margin Actual'!BO23</f>
        <v>0</v>
      </c>
      <c r="BQ15" s="575">
        <f>'Gross Margin Actual'!BP23</f>
        <v>0</v>
      </c>
      <c r="BR15" s="575">
        <f>'Gross Margin Actual'!BQ23</f>
        <v>0</v>
      </c>
      <c r="BS15" s="575">
        <f>'Gross Margin Actual'!BR23</f>
        <v>0</v>
      </c>
      <c r="BT15" s="575">
        <f>'Gross Margin Actual'!BS23</f>
        <v>0</v>
      </c>
      <c r="BU15" s="575">
        <f>'Gross Margin Actual'!BT23</f>
        <v>0</v>
      </c>
      <c r="BV15" s="575">
        <f>'Gross Margin Actual'!BU23</f>
        <v>0</v>
      </c>
      <c r="BW15" s="575">
        <f>'Gross Margin Actual'!BV23</f>
        <v>0</v>
      </c>
      <c r="BX15" s="575">
        <f>'Gross Margin Actual'!BW23</f>
        <v>0</v>
      </c>
    </row>
    <row r="16" spans="1:77" s="437" customFormat="1" hidden="1" outlineLevel="2" x14ac:dyDescent="0.25">
      <c r="B16" s="223"/>
      <c r="C16" s="1131" t="s">
        <v>1167</v>
      </c>
      <c r="D16" s="175"/>
      <c r="E16" s="175">
        <f>IF(E5="forecast",0,'Gross Margin Actual'!D24)</f>
        <v>25039.321666666667</v>
      </c>
      <c r="F16" s="574">
        <f>IF(F5="forecast",0,'Gross Margin Actual'!E24)</f>
        <v>25039.321666666667</v>
      </c>
      <c r="G16" s="574">
        <f>IF(G5="forecast",0,'Gross Margin Actual'!F24)</f>
        <v>25039.321666666667</v>
      </c>
      <c r="H16" s="574">
        <f>IF(H5="forecast",0,'Gross Margin Actual'!G24)</f>
        <v>25039.321666666667</v>
      </c>
      <c r="I16" s="574">
        <f>IF(I5="forecast",0,'Gross Margin Actual'!H24)</f>
        <v>25039.321666666667</v>
      </c>
      <c r="J16" s="574">
        <f>IF(J5="forecast",0,'Gross Margin Actual'!I24)</f>
        <v>25039.321666666667</v>
      </c>
      <c r="K16" s="574">
        <f>IF(K5="forecast",0,'Gross Margin Actual'!J24)</f>
        <v>25039.321666666667</v>
      </c>
      <c r="L16" s="574">
        <f>IF(L5="forecast",0,'Gross Margin Actual'!K24)</f>
        <v>25039.321666666667</v>
      </c>
      <c r="M16" s="574">
        <f>IF(M5="forecast",0,'Gross Margin Actual'!L24)</f>
        <v>25039.321666666667</v>
      </c>
      <c r="N16" s="574">
        <f>IF(N5="forecast",0,'Gross Margin Actual'!M24)</f>
        <v>25039.321666666667</v>
      </c>
      <c r="O16" s="574">
        <f>IF(O5="forecast",0,'Gross Margin Actual'!N24)</f>
        <v>25039.321666666667</v>
      </c>
      <c r="P16" s="574">
        <f>IF(P5="forecast",0,'Gross Margin Actual'!O24)</f>
        <v>25039.321666666667</v>
      </c>
      <c r="Q16" s="574">
        <f>IF(Q5="forecast",0,'Gross Margin Actual'!P24)</f>
        <v>0</v>
      </c>
      <c r="R16" s="574">
        <f>IF(R5="forecast",0,'Gross Margin Actual'!Q24)</f>
        <v>-2140</v>
      </c>
      <c r="S16" s="574">
        <f>IF(S5="forecast",0,'Gross Margin Actual'!R24)</f>
        <v>3942.5</v>
      </c>
      <c r="T16" s="574">
        <f>IF(T5="forecast",0,'Gross Margin Actual'!S24)</f>
        <v>0</v>
      </c>
      <c r="U16" s="574">
        <f>IF(U5="forecast",0,'Gross Margin Actual'!T24)</f>
        <v>1000</v>
      </c>
      <c r="V16" s="574">
        <f>IF(V5="forecast",0,'Gross Margin Actual'!U24)</f>
        <v>500</v>
      </c>
      <c r="W16" s="574">
        <f>IF(W5="forecast",0,'Gross Margin Actual'!V24)</f>
        <v>500</v>
      </c>
      <c r="X16" s="574">
        <f>IF(X5="forecast",0,'Gross Margin Actual'!W24)</f>
        <v>500</v>
      </c>
      <c r="Y16" s="574">
        <f>IF(Y5="forecast",0,'Gross Margin Actual'!X24)</f>
        <v>500</v>
      </c>
      <c r="Z16" s="574">
        <f>IF(Z5="forecast",0,'Gross Margin Actual'!Y24)</f>
        <v>500</v>
      </c>
      <c r="AA16" s="574">
        <f>IF(AA5="forecast",0,'Gross Margin Actual'!Z24)</f>
        <v>500</v>
      </c>
      <c r="AB16" s="574">
        <f>IF(AB5="forecast",0,'Gross Margin Actual'!AA24)</f>
        <v>573.17999999999995</v>
      </c>
      <c r="AC16" s="574">
        <f>IF(AC5="forecast",0,'Gross Margin Actual'!AB24)</f>
        <v>500</v>
      </c>
      <c r="AD16" s="574">
        <f>IF(AD5="forecast",0,'Gross Margin Actual'!AC24)</f>
        <v>500</v>
      </c>
      <c r="AE16" s="574">
        <f>IF(AE5="forecast",0,'Gross Margin Actual'!AD24)</f>
        <v>44975</v>
      </c>
      <c r="AF16" s="574">
        <f>IF(AF5="forecast",0,'Gross Margin Actual'!AE24)</f>
        <v>0</v>
      </c>
      <c r="AG16" s="574">
        <f>IF(AG5="forecast",0,'Gross Margin Actual'!AF24)</f>
        <v>0</v>
      </c>
      <c r="AH16" s="574">
        <f>IF(AH5="forecast",0,'Gross Margin Actual'!AG24)</f>
        <v>0</v>
      </c>
      <c r="AI16" s="574">
        <f>IF(AI5="forecast",0,'Gross Margin Actual'!AH24)</f>
        <v>0</v>
      </c>
      <c r="AJ16" s="574">
        <f>IF(AJ5="forecast",0,'Gross Margin Actual'!AI24)</f>
        <v>0</v>
      </c>
      <c r="AK16" s="574">
        <f>IF(AK5="forecast",0,'Gross Margin Actual'!AJ24)</f>
        <v>0</v>
      </c>
      <c r="AL16" s="574">
        <f>IF(AL5="forecast",0,'Gross Margin Actual'!AK24)</f>
        <v>0</v>
      </c>
      <c r="AM16" s="574">
        <f>IF(AM5="forecast",0,'Gross Margin Actual'!AL24)</f>
        <v>0</v>
      </c>
      <c r="AN16" s="574">
        <f>IF(AN5="forecast",0,'Gross Margin Actual'!AM24)</f>
        <v>0</v>
      </c>
      <c r="AO16" s="574">
        <f>IF(AO5="forecast",0,'Gross Margin Actual'!AN24)</f>
        <v>0</v>
      </c>
      <c r="AP16" s="574">
        <f>IF(AP5="forecast",0,'Gross Margin Actual'!AO24)</f>
        <v>0</v>
      </c>
      <c r="AQ16" s="574">
        <f>IF(AQ5="forecast",0,'Gross Margin Actual'!AP24)</f>
        <v>0</v>
      </c>
      <c r="AR16" s="574">
        <f>IF(AR5="forecast",0,'Gross Margin Actual'!AQ24)</f>
        <v>0</v>
      </c>
      <c r="AS16" s="574">
        <f>IF(AS5="forecast",0,'Gross Margin Actual'!AR24)</f>
        <v>0</v>
      </c>
      <c r="AT16" s="574">
        <f>IF(AT5="forecast",0,'Gross Margin Actual'!AS24)</f>
        <v>0</v>
      </c>
      <c r="AU16" s="574">
        <f>IF(AU5="forecast",0,'Gross Margin Actual'!AT24)</f>
        <v>0</v>
      </c>
      <c r="AV16" s="574">
        <f>IF(AV5="forecast",0,'Gross Margin Actual'!AU24)</f>
        <v>0</v>
      </c>
      <c r="AW16" s="574">
        <f>IF(AW5="forecast",0,'Gross Margin Actual'!AV24)</f>
        <v>0</v>
      </c>
      <c r="AX16" s="574">
        <f>IF(AX5="forecast",0,'Gross Margin Actual'!AW24)</f>
        <v>0</v>
      </c>
      <c r="AY16" s="574">
        <f>IF(AY5="forecast",0,'Gross Margin Actual'!AX24)</f>
        <v>0</v>
      </c>
      <c r="AZ16" s="574">
        <f>IF(AZ5="forecast",0,'Gross Margin Actual'!AY24)</f>
        <v>0</v>
      </c>
      <c r="BA16" s="574">
        <f>IF(BA5="forecast",0,'Gross Margin Actual'!AZ24)</f>
        <v>0</v>
      </c>
      <c r="BB16" s="574">
        <f>IF(BB5="forecast",0,'Gross Margin Actual'!BA24)</f>
        <v>0</v>
      </c>
      <c r="BC16" s="574">
        <f>IF(BC5="forecast",0,'Gross Margin Actual'!BB24)</f>
        <v>0</v>
      </c>
      <c r="BD16" s="574">
        <f>IF(BD5="forecast",0,'Gross Margin Actual'!BC24)</f>
        <v>0</v>
      </c>
      <c r="BE16" s="574">
        <f>IF(BE5="forecast",0,'Gross Margin Actual'!BD24)</f>
        <v>0</v>
      </c>
      <c r="BF16" s="574">
        <f>IF(BF5="forecast",0,'Gross Margin Actual'!BE24)</f>
        <v>0</v>
      </c>
      <c r="BG16" s="574">
        <f>IF(BG5="forecast",0,'Gross Margin Actual'!BF24)</f>
        <v>0</v>
      </c>
      <c r="BH16" s="574">
        <f>IF(BH5="forecast",0,'Gross Margin Actual'!BG24)</f>
        <v>0</v>
      </c>
      <c r="BI16" s="574">
        <f>IF(BI5="forecast",0,'Gross Margin Actual'!BH24)</f>
        <v>0</v>
      </c>
      <c r="BJ16" s="574">
        <f>IF(BJ5="forecast",0,'Gross Margin Actual'!BI24)</f>
        <v>0</v>
      </c>
      <c r="BK16" s="574">
        <f>IF(BK5="forecast",0,'Gross Margin Actual'!BJ24)</f>
        <v>0</v>
      </c>
      <c r="BL16" s="574">
        <f>IF(BL5="forecast",0,'Gross Margin Actual'!BK24)</f>
        <v>0</v>
      </c>
      <c r="BM16" s="574">
        <f>IF(BM5="forecast",0,'Gross Margin Actual'!BL24)</f>
        <v>0</v>
      </c>
      <c r="BN16" s="574">
        <f>IF(BN5="forecast",0,'Gross Margin Actual'!BM24)</f>
        <v>0</v>
      </c>
      <c r="BO16" s="574">
        <f>IF(BO5="forecast",0,'Gross Margin Actual'!BN24)</f>
        <v>0</v>
      </c>
      <c r="BP16" s="574">
        <f>IF(BP5="forecast",0,'Gross Margin Actual'!BO24)</f>
        <v>0</v>
      </c>
      <c r="BQ16" s="574">
        <f>IF(BQ5="forecast",0,'Gross Margin Actual'!BP24)</f>
        <v>0</v>
      </c>
      <c r="BR16" s="574">
        <f>IF(BR5="forecast",0,'Gross Margin Actual'!BQ24)</f>
        <v>0</v>
      </c>
      <c r="BS16" s="574">
        <f>IF(BS5="forecast",0,'Gross Margin Actual'!BR24)</f>
        <v>0</v>
      </c>
      <c r="BT16" s="574">
        <f>IF(BT5="forecast",0,'Gross Margin Actual'!BS24)</f>
        <v>0</v>
      </c>
      <c r="BU16" s="574">
        <f>IF(BU5="forecast",0,'Gross Margin Actual'!BT24)</f>
        <v>0</v>
      </c>
      <c r="BV16" s="574">
        <f>IF(BV5="forecast",0,'Gross Margin Actual'!BU24)</f>
        <v>0</v>
      </c>
      <c r="BW16" s="574">
        <f>IF(BW5="forecast",0,'Gross Margin Actual'!BV24)</f>
        <v>0</v>
      </c>
      <c r="BX16" s="574">
        <f>IF(BX5="forecast",0,'Gross Margin Actual'!BW24)</f>
        <v>0</v>
      </c>
    </row>
    <row r="17" spans="1:76" hidden="1" outlineLevel="1" x14ac:dyDescent="0.25">
      <c r="A17" s="16"/>
      <c r="B17" s="16"/>
      <c r="C17" s="39" t="s">
        <v>221</v>
      </c>
      <c r="D17" s="165">
        <f>SUM(D11:D16)</f>
        <v>0</v>
      </c>
      <c r="E17" s="8">
        <f>SUM(E11:E16)</f>
        <v>1101139.1314897845</v>
      </c>
      <c r="F17" s="165">
        <f t="shared" ref="F17:BL17" si="6">SUM(F11:F16)</f>
        <v>1052542.7163316631</v>
      </c>
      <c r="G17" s="165">
        <f t="shared" si="6"/>
        <v>1190894.5835803188</v>
      </c>
      <c r="H17" s="165">
        <f t="shared" si="6"/>
        <v>1165492.3852927089</v>
      </c>
      <c r="I17" s="165">
        <f t="shared" si="6"/>
        <v>1307925.972237109</v>
      </c>
      <c r="J17" s="165">
        <f t="shared" si="6"/>
        <v>1228887.3425106239</v>
      </c>
      <c r="K17" s="165">
        <f t="shared" si="6"/>
        <v>1232303.671757271</v>
      </c>
      <c r="L17" s="165">
        <f t="shared" si="6"/>
        <v>1239361.8680972073</v>
      </c>
      <c r="M17" s="165">
        <f t="shared" si="6"/>
        <v>1186224.2667823788</v>
      </c>
      <c r="N17" s="165">
        <f t="shared" si="6"/>
        <v>1580644.4255819665</v>
      </c>
      <c r="O17" s="165">
        <f t="shared" si="6"/>
        <v>1653274.0215276028</v>
      </c>
      <c r="P17" s="165">
        <f t="shared" si="6"/>
        <v>1165832.7230595052</v>
      </c>
      <c r="Q17" s="165">
        <f t="shared" si="6"/>
        <v>1089175.67</v>
      </c>
      <c r="R17" s="165">
        <f t="shared" si="6"/>
        <v>1320599.46</v>
      </c>
      <c r="S17" s="165">
        <f t="shared" si="6"/>
        <v>1454504.69</v>
      </c>
      <c r="T17" s="165">
        <f t="shared" si="6"/>
        <v>1489918.32</v>
      </c>
      <c r="U17" s="165">
        <f t="shared" si="6"/>
        <v>1462613.6400000001</v>
      </c>
      <c r="V17" s="165">
        <f t="shared" si="6"/>
        <v>1266559.4100000001</v>
      </c>
      <c r="W17" s="165">
        <f t="shared" si="6"/>
        <v>1313144.4300000002</v>
      </c>
      <c r="X17" s="165">
        <f t="shared" si="6"/>
        <v>1329511.1700000002</v>
      </c>
      <c r="Y17" s="165">
        <f t="shared" si="6"/>
        <v>1484198.9000000001</v>
      </c>
      <c r="Z17" s="165">
        <f t="shared" si="6"/>
        <v>1681931.52</v>
      </c>
      <c r="AA17" s="165">
        <f t="shared" si="6"/>
        <v>1385506.77</v>
      </c>
      <c r="AB17" s="165">
        <f t="shared" si="6"/>
        <v>1594558.57</v>
      </c>
      <c r="AC17" s="165">
        <f t="shared" si="6"/>
        <v>1456787.6099999999</v>
      </c>
      <c r="AD17" s="165">
        <f t="shared" si="6"/>
        <v>1485994.96</v>
      </c>
      <c r="AE17" s="165">
        <f t="shared" si="6"/>
        <v>1654751.9700000002</v>
      </c>
      <c r="AF17" s="165">
        <f t="shared" si="6"/>
        <v>1719707.7982679761</v>
      </c>
      <c r="AG17" s="165">
        <f t="shared" si="6"/>
        <v>1853753.003318808</v>
      </c>
      <c r="AH17" s="165">
        <f t="shared" si="6"/>
        <v>1978600.3255012594</v>
      </c>
      <c r="AI17" s="165">
        <f t="shared" si="6"/>
        <v>1950664.2771738919</v>
      </c>
      <c r="AJ17" s="165">
        <f t="shared" si="6"/>
        <v>2041130.3687285478</v>
      </c>
      <c r="AK17" s="165">
        <f t="shared" si="6"/>
        <v>2384106.6594699542</v>
      </c>
      <c r="AL17" s="165">
        <f t="shared" si="6"/>
        <v>2529864.7396624056</v>
      </c>
      <c r="AM17" s="165">
        <f t="shared" si="6"/>
        <v>2455065.8025592738</v>
      </c>
      <c r="AN17" s="165">
        <f t="shared" si="6"/>
        <v>2465881.7160743233</v>
      </c>
      <c r="AO17" s="165">
        <f t="shared" si="6"/>
        <v>2827088.4973137439</v>
      </c>
      <c r="AP17" s="165">
        <f t="shared" si="6"/>
        <v>2971371.6982659814</v>
      </c>
      <c r="AQ17" s="165">
        <f t="shared" si="6"/>
        <v>3121461.7022776296</v>
      </c>
      <c r="AR17" s="165">
        <f t="shared" si="6"/>
        <v>3263956.5988607835</v>
      </c>
      <c r="AS17" s="165">
        <f t="shared" si="6"/>
        <v>3400795.5407612966</v>
      </c>
      <c r="AT17" s="165">
        <f t="shared" si="6"/>
        <v>3536150.3224912919</v>
      </c>
      <c r="AU17" s="165">
        <f t="shared" si="6"/>
        <v>3671572.511514971</v>
      </c>
      <c r="AV17" s="165">
        <f t="shared" si="6"/>
        <v>3808767.832813574</v>
      </c>
      <c r="AW17" s="165">
        <f t="shared" si="6"/>
        <v>3947532.4734830745</v>
      </c>
      <c r="AX17" s="165">
        <f t="shared" si="6"/>
        <v>4083219.4925161991</v>
      </c>
      <c r="AY17" s="165">
        <f t="shared" si="6"/>
        <v>4218906.5115493238</v>
      </c>
      <c r="AZ17" s="165">
        <f t="shared" si="6"/>
        <v>4354593.5305824485</v>
      </c>
      <c r="BA17" s="165">
        <f t="shared" si="6"/>
        <v>0</v>
      </c>
      <c r="BB17" s="165">
        <f t="shared" si="6"/>
        <v>0</v>
      </c>
      <c r="BC17" s="165">
        <f t="shared" si="6"/>
        <v>0</v>
      </c>
      <c r="BD17" s="165">
        <f t="shared" si="6"/>
        <v>0</v>
      </c>
      <c r="BE17" s="165">
        <f t="shared" si="6"/>
        <v>0</v>
      </c>
      <c r="BF17" s="165">
        <f t="shared" si="6"/>
        <v>0</v>
      </c>
      <c r="BG17" s="165">
        <f t="shared" si="6"/>
        <v>0</v>
      </c>
      <c r="BH17" s="165">
        <f t="shared" si="6"/>
        <v>0</v>
      </c>
      <c r="BI17" s="165">
        <f t="shared" si="6"/>
        <v>0</v>
      </c>
      <c r="BJ17" s="165">
        <f t="shared" si="6"/>
        <v>0</v>
      </c>
      <c r="BK17" s="165">
        <f t="shared" si="6"/>
        <v>0</v>
      </c>
      <c r="BL17" s="165">
        <f t="shared" si="6"/>
        <v>0</v>
      </c>
      <c r="BM17" s="165">
        <f t="shared" ref="BM17:BX17" si="7">SUM(BM11:BM13)</f>
        <v>0</v>
      </c>
      <c r="BN17" s="165">
        <f t="shared" si="7"/>
        <v>0</v>
      </c>
      <c r="BO17" s="165">
        <f t="shared" si="7"/>
        <v>0</v>
      </c>
      <c r="BP17" s="165">
        <f t="shared" si="7"/>
        <v>0</v>
      </c>
      <c r="BQ17" s="165">
        <f t="shared" si="7"/>
        <v>0</v>
      </c>
      <c r="BR17" s="165">
        <f t="shared" si="7"/>
        <v>0</v>
      </c>
      <c r="BS17" s="165">
        <f t="shared" si="7"/>
        <v>0</v>
      </c>
      <c r="BT17" s="165">
        <f t="shared" si="7"/>
        <v>0</v>
      </c>
      <c r="BU17" s="165">
        <f t="shared" si="7"/>
        <v>0</v>
      </c>
      <c r="BV17" s="165">
        <f t="shared" si="7"/>
        <v>0</v>
      </c>
      <c r="BW17" s="165">
        <f t="shared" si="7"/>
        <v>0</v>
      </c>
      <c r="BX17" s="165">
        <f t="shared" si="7"/>
        <v>0</v>
      </c>
    </row>
    <row r="18" spans="1:76" hidden="1" outlineLevel="1" x14ac:dyDescent="0.25">
      <c r="A18" s="16"/>
      <c r="B18" s="16"/>
      <c r="D18" s="165"/>
      <c r="E18" s="165"/>
      <c r="F18" s="165"/>
      <c r="G18" s="165"/>
      <c r="H18" s="165"/>
      <c r="I18" s="165"/>
      <c r="J18" s="165"/>
      <c r="K18" s="17"/>
      <c r="L18" s="17"/>
      <c r="M18" s="17"/>
      <c r="N18" s="17"/>
      <c r="O18" s="17"/>
      <c r="P18" s="17"/>
      <c r="Q18" s="233"/>
      <c r="R18" s="233"/>
      <c r="S18" s="233"/>
      <c r="T18" s="287"/>
      <c r="U18" s="233"/>
      <c r="V18" s="233"/>
      <c r="W18" s="233"/>
      <c r="X18" s="233"/>
      <c r="Y18" s="233"/>
      <c r="Z18" s="233"/>
      <c r="AA18" s="233"/>
      <c r="AB18" s="233"/>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6"/>
      <c r="BM18" s="570"/>
    </row>
    <row r="19" spans="1:76" s="16" customFormat="1" hidden="1" outlineLevel="1" x14ac:dyDescent="0.25">
      <c r="C19" s="29" t="s">
        <v>148</v>
      </c>
      <c r="D19" s="307"/>
      <c r="E19" s="17"/>
      <c r="F19" s="575"/>
      <c r="G19" s="575"/>
      <c r="H19" s="575"/>
      <c r="I19" s="575"/>
      <c r="J19" s="575"/>
      <c r="K19" s="575"/>
      <c r="L19" s="575"/>
      <c r="M19" s="575"/>
      <c r="N19" s="575"/>
      <c r="O19" s="575"/>
      <c r="P19" s="575"/>
      <c r="Q19" s="575"/>
      <c r="R19" s="575"/>
      <c r="S19" s="575"/>
      <c r="T19" s="575"/>
      <c r="U19" s="575"/>
      <c r="V19" s="575"/>
      <c r="W19" s="575"/>
      <c r="X19" s="575"/>
      <c r="Y19" s="575"/>
      <c r="Z19" s="575"/>
      <c r="AA19" s="575"/>
      <c r="AB19" s="575"/>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575"/>
      <c r="BN19" s="575"/>
      <c r="BO19" s="575"/>
      <c r="BP19" s="575"/>
      <c r="BQ19" s="575"/>
      <c r="BR19" s="575"/>
      <c r="BS19" s="575"/>
      <c r="BT19" s="575"/>
      <c r="BU19" s="575"/>
      <c r="BV19" s="575"/>
      <c r="BW19" s="575"/>
      <c r="BX19" s="575"/>
    </row>
    <row r="20" spans="1:76" hidden="1" outlineLevel="1" x14ac:dyDescent="0.25">
      <c r="A20" s="16"/>
      <c r="B20" s="2"/>
      <c r="C20" s="31" t="s">
        <v>1171</v>
      </c>
      <c r="D20" s="307"/>
      <c r="E20" s="17">
        <f>'Cost Summary'!C11</f>
        <v>0</v>
      </c>
      <c r="F20" s="575">
        <f>'Cost Summary'!D11</f>
        <v>0</v>
      </c>
      <c r="G20" s="575">
        <f>'Cost Summary'!E11</f>
        <v>0</v>
      </c>
      <c r="H20" s="575">
        <f>'Cost Summary'!F11</f>
        <v>0</v>
      </c>
      <c r="I20" s="575">
        <f>'Cost Summary'!G11</f>
        <v>0</v>
      </c>
      <c r="J20" s="575">
        <f>'Cost Summary'!H11</f>
        <v>0</v>
      </c>
      <c r="K20" s="575">
        <f>'Cost Summary'!I11</f>
        <v>0</v>
      </c>
      <c r="L20" s="575">
        <f>'Cost Summary'!J11</f>
        <v>0</v>
      </c>
      <c r="M20" s="575">
        <f>'Cost Summary'!K11</f>
        <v>0</v>
      </c>
      <c r="N20" s="575">
        <f>'Cost Summary'!L11</f>
        <v>0</v>
      </c>
      <c r="O20" s="575">
        <f>'Cost Summary'!M11</f>
        <v>0</v>
      </c>
      <c r="P20" s="575">
        <f>'Cost Summary'!N11</f>
        <v>0</v>
      </c>
      <c r="Q20" s="575">
        <f>'Cost Summary'!O11</f>
        <v>0</v>
      </c>
      <c r="R20" s="575">
        <f>'Cost Summary'!P11</f>
        <v>0</v>
      </c>
      <c r="S20" s="575">
        <f>'Cost Summary'!Q11</f>
        <v>0</v>
      </c>
      <c r="T20" s="575">
        <f>'Cost Summary'!R11</f>
        <v>0</v>
      </c>
      <c r="U20" s="575">
        <f>'Cost Summary'!S11</f>
        <v>0</v>
      </c>
      <c r="V20" s="575">
        <f>'Cost Summary'!T11</f>
        <v>0</v>
      </c>
      <c r="W20" s="575">
        <f>'Cost Summary'!U11</f>
        <v>0</v>
      </c>
      <c r="X20" s="575">
        <f>'Cost Summary'!V11</f>
        <v>0</v>
      </c>
      <c r="Y20" s="575">
        <f>'Cost Summary'!W11</f>
        <v>0</v>
      </c>
      <c r="Z20" s="575">
        <f>'Cost Summary'!X11</f>
        <v>0</v>
      </c>
      <c r="AA20" s="575">
        <f>'Cost Summary'!Y11</f>
        <v>0</v>
      </c>
      <c r="AB20" s="575">
        <f>'Cost Summary'!Z11</f>
        <v>0</v>
      </c>
      <c r="AC20" s="17">
        <f>'Cost Summary'!AA11</f>
        <v>0</v>
      </c>
      <c r="AD20" s="17">
        <f>'Cost Summary'!AB11</f>
        <v>0</v>
      </c>
      <c r="AE20" s="17">
        <f>'Cost Summary'!AC11</f>
        <v>0</v>
      </c>
      <c r="AF20" s="17">
        <f>'Cost Summary'!AD11</f>
        <v>7091.7285826797624</v>
      </c>
      <c r="AG20" s="17">
        <f>'Cost Summary'!AE11</f>
        <v>7583.9081331880834</v>
      </c>
      <c r="AH20" s="17">
        <f>'Cost Summary'!AF11</f>
        <v>8067.7413550125957</v>
      </c>
      <c r="AI20" s="17">
        <f>'Cost Summary'!AG11</f>
        <v>7100.2048717389207</v>
      </c>
      <c r="AJ20" s="17">
        <f>'Cost Summary'!AH11</f>
        <v>7393.1537872854788</v>
      </c>
      <c r="AK20" s="17">
        <f>'Cost Summary'!AI11</f>
        <v>10211.204694699543</v>
      </c>
      <c r="AL20" s="17">
        <f>'Cost Summary'!AJ11</f>
        <v>10765.476458876956</v>
      </c>
      <c r="AM20" s="17">
        <f>'Cost Summary'!AK11</f>
        <v>9114.1780500985351</v>
      </c>
      <c r="AN20" s="17">
        <f>'Cost Summary'!AL11</f>
        <v>8319.0281475019292</v>
      </c>
      <c r="AO20" s="17">
        <f>'Cost Summary'!AM11</f>
        <v>11027.864959896135</v>
      </c>
      <c r="AP20" s="17">
        <f>'Cost Summary'!AN11</f>
        <v>11567.465969418516</v>
      </c>
      <c r="AQ20" s="17">
        <f>'Cost Summary'!AO11</f>
        <v>12165.135009534995</v>
      </c>
      <c r="AR20" s="17">
        <f>'Cost Summary'!AP11</f>
        <v>12686.852975366535</v>
      </c>
      <c r="AS20" s="17">
        <f>'Cost Summary'!AQ11</f>
        <v>13152.011394371662</v>
      </c>
      <c r="AT20" s="17">
        <f>'Cost Summary'!AR11</f>
        <v>13602.328211671622</v>
      </c>
      <c r="AU20" s="17">
        <f>'Cost Summary'!AS11</f>
        <v>14053.319101908417</v>
      </c>
      <c r="AV20" s="17">
        <f>'Cost Summary'!AT11</f>
        <v>14522.041314894443</v>
      </c>
      <c r="AW20" s="17">
        <f>'Cost Summary'!AU11</f>
        <v>15006.456721589444</v>
      </c>
      <c r="AX20" s="17">
        <f>'Cost Summary'!AV11</f>
        <v>15460.095911920695</v>
      </c>
      <c r="AY20" s="17">
        <f>'Cost Summary'!AW11</f>
        <v>15913.735102251945</v>
      </c>
      <c r="AZ20" s="17">
        <f>'Cost Summary'!AX11</f>
        <v>16367.374292583196</v>
      </c>
      <c r="BA20" s="17">
        <f>'Cost Summary'!AY11</f>
        <v>0</v>
      </c>
      <c r="BB20" s="17">
        <f>'Cost Summary'!AZ11</f>
        <v>0</v>
      </c>
      <c r="BC20" s="17">
        <f>'Cost Summary'!BA11</f>
        <v>0</v>
      </c>
      <c r="BD20" s="17">
        <f>'Cost Summary'!BB11</f>
        <v>0</v>
      </c>
      <c r="BE20" s="17">
        <f>'Cost Summary'!BC11</f>
        <v>0</v>
      </c>
      <c r="BF20" s="17">
        <f>'Cost Summary'!BD11</f>
        <v>0</v>
      </c>
      <c r="BG20" s="17">
        <f>'Cost Summary'!BE11</f>
        <v>0</v>
      </c>
      <c r="BH20" s="17">
        <f>'Cost Summary'!BF11</f>
        <v>0</v>
      </c>
      <c r="BI20" s="17">
        <f>'Cost Summary'!BG11</f>
        <v>0</v>
      </c>
      <c r="BJ20" s="17">
        <f>'Cost Summary'!BH11</f>
        <v>0</v>
      </c>
      <c r="BK20" s="17">
        <f>'Cost Summary'!BI11</f>
        <v>0</v>
      </c>
      <c r="BL20" s="17">
        <f>'Cost Summary'!BJ11</f>
        <v>0</v>
      </c>
      <c r="BM20" s="575">
        <f>'Cost Summary'!BK11</f>
        <v>0</v>
      </c>
      <c r="BN20" s="575">
        <f>'Cost Summary'!BL11</f>
        <v>0</v>
      </c>
      <c r="BO20" s="575">
        <f>'Cost Summary'!BM11</f>
        <v>0</v>
      </c>
      <c r="BP20" s="575">
        <f>'Cost Summary'!BN11</f>
        <v>0</v>
      </c>
      <c r="BQ20" s="575">
        <f>'Cost Summary'!BO11</f>
        <v>0</v>
      </c>
      <c r="BR20" s="575">
        <f>'Cost Summary'!BP11</f>
        <v>0</v>
      </c>
      <c r="BS20" s="575">
        <f>'Cost Summary'!BQ11</f>
        <v>0</v>
      </c>
      <c r="BT20" s="575">
        <f>'Cost Summary'!BR11</f>
        <v>0</v>
      </c>
      <c r="BU20" s="575">
        <f>'Cost Summary'!BS11</f>
        <v>0</v>
      </c>
      <c r="BV20" s="575">
        <f>'Cost Summary'!BT11</f>
        <v>0</v>
      </c>
      <c r="BW20" s="575">
        <f>'Cost Summary'!BU11</f>
        <v>0</v>
      </c>
      <c r="BX20" s="575">
        <f>'Cost Summary'!BV11</f>
        <v>0</v>
      </c>
    </row>
    <row r="21" spans="1:76" hidden="1" outlineLevel="1" x14ac:dyDescent="0.25">
      <c r="A21" s="16"/>
      <c r="B21" s="16"/>
      <c r="C21" s="16"/>
      <c r="E21" s="16"/>
      <c r="F21" s="16"/>
      <c r="G21" s="172"/>
      <c r="H21" s="16"/>
      <c r="I21" s="16"/>
      <c r="J21" s="16"/>
      <c r="K21" s="16"/>
      <c r="L21" s="16"/>
      <c r="M21" s="16"/>
      <c r="N21" s="16"/>
      <c r="O21" s="16"/>
      <c r="P21" s="16"/>
      <c r="Q21" s="16"/>
      <c r="R21" s="16"/>
      <c r="S21" s="16"/>
      <c r="T21" s="16"/>
      <c r="U21" s="16"/>
      <c r="V21" s="16"/>
      <c r="W21" s="16"/>
      <c r="X21" s="16"/>
      <c r="Y21" s="16"/>
      <c r="Z21" s="16"/>
      <c r="AA21" s="570"/>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570"/>
    </row>
    <row r="22" spans="1:76" collapsed="1" x14ac:dyDescent="0.25">
      <c r="A22" s="16"/>
      <c r="B22" s="16"/>
      <c r="C22" s="3" t="s">
        <v>71</v>
      </c>
      <c r="D22" s="46">
        <f>+D17+D19-D20</f>
        <v>0</v>
      </c>
      <c r="E22" s="46">
        <f>+E17+E19-E20</f>
        <v>1101139.1314897845</v>
      </c>
      <c r="F22" s="46">
        <f>+F17+F19-F20</f>
        <v>1052542.7163316631</v>
      </c>
      <c r="G22" s="46">
        <f>+G17+G19-G20</f>
        <v>1190894.5835803188</v>
      </c>
      <c r="H22" s="46">
        <f t="shared" ref="H22:BL22" si="8">+H17+H19-H20</f>
        <v>1165492.3852927089</v>
      </c>
      <c r="I22" s="46">
        <f t="shared" si="8"/>
        <v>1307925.972237109</v>
      </c>
      <c r="J22" s="46">
        <f t="shared" si="8"/>
        <v>1228887.3425106239</v>
      </c>
      <c r="K22" s="46">
        <f t="shared" si="8"/>
        <v>1232303.671757271</v>
      </c>
      <c r="L22" s="46">
        <f t="shared" si="8"/>
        <v>1239361.8680972073</v>
      </c>
      <c r="M22" s="46">
        <f t="shared" si="8"/>
        <v>1186224.2667823788</v>
      </c>
      <c r="N22" s="46">
        <f t="shared" si="8"/>
        <v>1580644.4255819665</v>
      </c>
      <c r="O22" s="46">
        <f t="shared" si="8"/>
        <v>1653274.0215276028</v>
      </c>
      <c r="P22" s="46">
        <f t="shared" si="8"/>
        <v>1165832.7230595052</v>
      </c>
      <c r="Q22" s="46">
        <f t="shared" si="8"/>
        <v>1089175.67</v>
      </c>
      <c r="R22" s="46">
        <f t="shared" si="8"/>
        <v>1320599.46</v>
      </c>
      <c r="S22" s="46">
        <f t="shared" si="8"/>
        <v>1454504.69</v>
      </c>
      <c r="T22" s="46">
        <f t="shared" si="8"/>
        <v>1489918.32</v>
      </c>
      <c r="U22" s="46">
        <f>+U17+U19-U20</f>
        <v>1462613.6400000001</v>
      </c>
      <c r="V22" s="46">
        <f t="shared" si="8"/>
        <v>1266559.4100000001</v>
      </c>
      <c r="W22" s="46">
        <f t="shared" si="8"/>
        <v>1313144.4300000002</v>
      </c>
      <c r="X22" s="46">
        <f t="shared" si="8"/>
        <v>1329511.1700000002</v>
      </c>
      <c r="Y22" s="46">
        <f t="shared" si="8"/>
        <v>1484198.9000000001</v>
      </c>
      <c r="Z22" s="46">
        <f t="shared" si="8"/>
        <v>1681931.52</v>
      </c>
      <c r="AA22" s="46">
        <f t="shared" ref="AA22" si="9">+AA17+AA19-AA20</f>
        <v>1385506.77</v>
      </c>
      <c r="AB22" s="46">
        <f t="shared" si="8"/>
        <v>1594558.57</v>
      </c>
      <c r="AC22" s="46">
        <f t="shared" si="8"/>
        <v>1456787.6099999999</v>
      </c>
      <c r="AD22" s="46">
        <f t="shared" si="8"/>
        <v>1485994.96</v>
      </c>
      <c r="AE22" s="46">
        <f t="shared" si="8"/>
        <v>1654751.9700000002</v>
      </c>
      <c r="AF22" s="46">
        <f t="shared" si="8"/>
        <v>1712616.0696852964</v>
      </c>
      <c r="AG22" s="46">
        <f t="shared" si="8"/>
        <v>1846169.09518562</v>
      </c>
      <c r="AH22" s="46">
        <f t="shared" si="8"/>
        <v>1970532.5841462468</v>
      </c>
      <c r="AI22" s="46">
        <f t="shared" si="8"/>
        <v>1943564.0723021529</v>
      </c>
      <c r="AJ22" s="46">
        <f t="shared" si="8"/>
        <v>2033737.2149412623</v>
      </c>
      <c r="AK22" s="46">
        <f t="shared" si="8"/>
        <v>2373895.4547752547</v>
      </c>
      <c r="AL22" s="46">
        <f t="shared" si="8"/>
        <v>2519099.2632035287</v>
      </c>
      <c r="AM22" s="46">
        <f t="shared" si="8"/>
        <v>2445951.6245091753</v>
      </c>
      <c r="AN22" s="46">
        <f t="shared" si="8"/>
        <v>2457562.6879268214</v>
      </c>
      <c r="AO22" s="46">
        <f t="shared" si="8"/>
        <v>2816060.6323538478</v>
      </c>
      <c r="AP22" s="46">
        <f t="shared" si="8"/>
        <v>2959804.2322965628</v>
      </c>
      <c r="AQ22" s="46">
        <f t="shared" si="8"/>
        <v>3109296.5672680945</v>
      </c>
      <c r="AR22" s="46">
        <f t="shared" si="8"/>
        <v>3251269.7458854169</v>
      </c>
      <c r="AS22" s="46">
        <f t="shared" si="8"/>
        <v>3387643.5293669249</v>
      </c>
      <c r="AT22" s="46">
        <f t="shared" si="8"/>
        <v>3522547.9942796202</v>
      </c>
      <c r="AU22" s="46">
        <f t="shared" si="8"/>
        <v>3657519.1924130628</v>
      </c>
      <c r="AV22" s="46">
        <f t="shared" si="8"/>
        <v>3794245.7914986797</v>
      </c>
      <c r="AW22" s="46">
        <f t="shared" si="8"/>
        <v>3932526.016761485</v>
      </c>
      <c r="AX22" s="46">
        <f t="shared" si="8"/>
        <v>4067759.3966042786</v>
      </c>
      <c r="AY22" s="46">
        <f t="shared" si="8"/>
        <v>4202992.7764470717</v>
      </c>
      <c r="AZ22" s="46">
        <f t="shared" si="8"/>
        <v>4338226.1562898653</v>
      </c>
      <c r="BA22" s="46">
        <f t="shared" si="8"/>
        <v>0</v>
      </c>
      <c r="BB22" s="46">
        <f t="shared" si="8"/>
        <v>0</v>
      </c>
      <c r="BC22" s="46">
        <f t="shared" si="8"/>
        <v>0</v>
      </c>
      <c r="BD22" s="46">
        <f t="shared" si="8"/>
        <v>0</v>
      </c>
      <c r="BE22" s="46">
        <f t="shared" si="8"/>
        <v>0</v>
      </c>
      <c r="BF22" s="46">
        <f t="shared" si="8"/>
        <v>0</v>
      </c>
      <c r="BG22" s="46">
        <f t="shared" si="8"/>
        <v>0</v>
      </c>
      <c r="BH22" s="46">
        <f t="shared" si="8"/>
        <v>0</v>
      </c>
      <c r="BI22" s="46">
        <f t="shared" si="8"/>
        <v>0</v>
      </c>
      <c r="BJ22" s="46">
        <f t="shared" si="8"/>
        <v>0</v>
      </c>
      <c r="BK22" s="46">
        <f t="shared" si="8"/>
        <v>0</v>
      </c>
      <c r="BL22" s="46">
        <f t="shared" si="8"/>
        <v>0</v>
      </c>
      <c r="BM22" s="46">
        <f t="shared" ref="BM22:BX22" si="10">+BM17+BM19-BM20</f>
        <v>0</v>
      </c>
      <c r="BN22" s="46">
        <f t="shared" si="10"/>
        <v>0</v>
      </c>
      <c r="BO22" s="46">
        <f t="shared" si="10"/>
        <v>0</v>
      </c>
      <c r="BP22" s="46">
        <f t="shared" si="10"/>
        <v>0</v>
      </c>
      <c r="BQ22" s="46">
        <f t="shared" si="10"/>
        <v>0</v>
      </c>
      <c r="BR22" s="46">
        <f t="shared" si="10"/>
        <v>0</v>
      </c>
      <c r="BS22" s="46">
        <f t="shared" si="10"/>
        <v>0</v>
      </c>
      <c r="BT22" s="46">
        <f t="shared" si="10"/>
        <v>0</v>
      </c>
      <c r="BU22" s="46">
        <f t="shared" si="10"/>
        <v>0</v>
      </c>
      <c r="BV22" s="46">
        <f t="shared" si="10"/>
        <v>0</v>
      </c>
      <c r="BW22" s="46">
        <f t="shared" si="10"/>
        <v>0</v>
      </c>
      <c r="BX22" s="46">
        <f t="shared" si="10"/>
        <v>0</v>
      </c>
    </row>
    <row r="23" spans="1:76" x14ac:dyDescent="0.25">
      <c r="A23" s="16"/>
      <c r="B23" s="16"/>
      <c r="D23" s="166"/>
      <c r="E23" s="166"/>
      <c r="F23" s="572"/>
      <c r="G23" s="572"/>
      <c r="H23" s="572"/>
      <c r="I23" s="572"/>
      <c r="J23" s="572"/>
      <c r="K23" s="572"/>
      <c r="L23" s="572"/>
      <c r="M23" s="572"/>
      <c r="N23" s="572"/>
      <c r="O23" s="572"/>
      <c r="P23" s="16"/>
      <c r="Q23" s="16"/>
      <c r="R23" s="16"/>
      <c r="S23" s="16"/>
      <c r="T23" s="16"/>
      <c r="U23" s="16"/>
      <c r="V23" s="16"/>
      <c r="W23" s="16"/>
      <c r="X23" s="16"/>
      <c r="Y23" s="16"/>
      <c r="Z23" s="16"/>
      <c r="AA23" s="16"/>
      <c r="AB23" s="16"/>
      <c r="AC23" s="16"/>
      <c r="AD23" s="16"/>
      <c r="AE23" s="16"/>
      <c r="AF23" s="157"/>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570"/>
    </row>
    <row r="24" spans="1:76" x14ac:dyDescent="0.25">
      <c r="A24" s="16"/>
      <c r="B24" s="16"/>
      <c r="D24" s="166"/>
      <c r="E24" s="438"/>
      <c r="F24" s="438"/>
      <c r="G24" s="438"/>
      <c r="H24" s="438"/>
      <c r="I24" s="438"/>
      <c r="J24" s="438"/>
      <c r="K24" s="438"/>
      <c r="L24" s="438"/>
      <c r="M24" s="438"/>
      <c r="N24" s="438"/>
      <c r="O24" s="438"/>
      <c r="P24" s="166"/>
      <c r="Q24" s="166"/>
      <c r="R24" s="166"/>
      <c r="S24" s="166"/>
      <c r="T24" s="166"/>
      <c r="U24" s="166"/>
      <c r="V24" s="166"/>
      <c r="W24" s="166"/>
      <c r="X24" s="166">
        <f>AVERAGE(X22:Z22)</f>
        <v>1498547.1966666665</v>
      </c>
      <c r="Y24" s="166"/>
      <c r="Z24" s="166"/>
      <c r="AA24" s="166"/>
      <c r="AB24" s="16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570"/>
    </row>
    <row r="25" spans="1:76" x14ac:dyDescent="0.25">
      <c r="B25" s="44" t="s">
        <v>72</v>
      </c>
      <c r="E25" s="172"/>
      <c r="F25" s="141"/>
      <c r="G25" s="141"/>
      <c r="H25" s="141"/>
      <c r="I25" s="141"/>
      <c r="J25" s="141"/>
      <c r="K25" s="172"/>
      <c r="L25" s="172"/>
      <c r="M25" s="172"/>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570"/>
    </row>
    <row r="26" spans="1:76" hidden="1" outlineLevel="1" x14ac:dyDescent="0.25">
      <c r="B26" s="17"/>
      <c r="C26" s="43" t="s">
        <v>219</v>
      </c>
      <c r="D26" s="154"/>
      <c r="E26" s="154">
        <f>'Cost Summary'!C8</f>
        <v>114123.61</v>
      </c>
      <c r="F26" s="154">
        <f>'Cost Summary'!D8</f>
        <v>154940.40000000002</v>
      </c>
      <c r="G26" s="154">
        <f>'Cost Summary'!E8</f>
        <v>153693.6</v>
      </c>
      <c r="H26" s="154">
        <f>'Cost Summary'!F8</f>
        <v>140652.93</v>
      </c>
      <c r="I26" s="154">
        <f>'Cost Summary'!G8</f>
        <v>151105.10999999999</v>
      </c>
      <c r="J26" s="154">
        <f>'Cost Summary'!H8</f>
        <v>174986.84</v>
      </c>
      <c r="K26" s="154">
        <f>'Cost Summary'!I8</f>
        <v>124185.39</v>
      </c>
      <c r="L26" s="154">
        <f>'Cost Summary'!J8</f>
        <v>37615.32</v>
      </c>
      <c r="M26" s="154">
        <f>'Cost Summary'!K8</f>
        <v>102063.34</v>
      </c>
      <c r="N26" s="154">
        <f>'Cost Summary'!L8</f>
        <v>54380.88</v>
      </c>
      <c r="O26" s="154">
        <f>'Cost Summary'!M8</f>
        <v>130805.63999999998</v>
      </c>
      <c r="P26" s="154">
        <f>'Cost Summary'!N8</f>
        <v>251407.58</v>
      </c>
      <c r="Q26" s="154">
        <f>'Cost Summary'!O8</f>
        <v>64638.600000000006</v>
      </c>
      <c r="R26" s="154">
        <f>'Cost Summary'!P8</f>
        <v>75914.48</v>
      </c>
      <c r="S26" s="154">
        <f>'Cost Summary'!Q8</f>
        <v>103069.56999999999</v>
      </c>
      <c r="T26" s="154">
        <f>'Cost Summary'!R8</f>
        <v>87362.32</v>
      </c>
      <c r="U26" s="154">
        <f>'Cost Summary'!S8</f>
        <v>98240.57</v>
      </c>
      <c r="V26" s="154">
        <f>'Cost Summary'!T8</f>
        <v>86387.87000000001</v>
      </c>
      <c r="W26" s="154">
        <f>'Cost Summary'!U8</f>
        <v>100398.06000000001</v>
      </c>
      <c r="X26" s="154">
        <f>'Cost Summary'!V8</f>
        <v>80790.740000000005</v>
      </c>
      <c r="Y26" s="154">
        <f>'Cost Summary'!W8</f>
        <v>107041.31</v>
      </c>
      <c r="Z26" s="154">
        <f>'Cost Summary'!X8</f>
        <v>119074.54999999999</v>
      </c>
      <c r="AA26" s="573">
        <f>'Cost Summary'!Y8</f>
        <v>110198.93999999999</v>
      </c>
      <c r="AB26" s="154">
        <f>'Cost Summary'!Z8</f>
        <v>109527.41</v>
      </c>
      <c r="AC26" s="154">
        <f>'Cost Summary'!AA8</f>
        <v>95913.24</v>
      </c>
      <c r="AD26" s="154">
        <f>'Cost Summary'!AB8</f>
        <v>86837.359999999986</v>
      </c>
      <c r="AE26" s="154">
        <f>'Cost Summary'!AC8</f>
        <v>97737.79</v>
      </c>
      <c r="AF26" s="154">
        <f>'Cost Summary'!AD8</f>
        <v>106375.92874019642</v>
      </c>
      <c r="AG26" s="154">
        <f>'Cost Summary'!AE8</f>
        <v>113758.62199782125</v>
      </c>
      <c r="AH26" s="154">
        <f>'Cost Summary'!AF8</f>
        <v>121016.12032518894</v>
      </c>
      <c r="AI26" s="154">
        <f>'Cost Summary'!AG8</f>
        <v>106503.07307608381</v>
      </c>
      <c r="AJ26" s="154">
        <f>'Cost Summary'!AH8</f>
        <v>110897.30680928218</v>
      </c>
      <c r="AK26" s="154">
        <f>'Cost Summary'!AI8</f>
        <v>153168.07042049314</v>
      </c>
      <c r="AL26" s="154">
        <f>'Cost Summary'!AJ8</f>
        <v>161482.14688315432</v>
      </c>
      <c r="AM26" s="154">
        <f>'Cost Summary'!AK8</f>
        <v>136712.67075147803</v>
      </c>
      <c r="AN26" s="154">
        <f>'Cost Summary'!AL8</f>
        <v>124785.42221252894</v>
      </c>
      <c r="AO26" s="154">
        <f>'Cost Summary'!AM8</f>
        <v>165417.97439844202</v>
      </c>
      <c r="AP26" s="154">
        <f>'Cost Summary'!AN8</f>
        <v>173511.98954127773</v>
      </c>
      <c r="AQ26" s="154">
        <f>'Cost Summary'!AO8</f>
        <v>182477.02514302492</v>
      </c>
      <c r="AR26" s="154">
        <f>'Cost Summary'!AP8</f>
        <v>190302.79463049801</v>
      </c>
      <c r="AS26" s="154">
        <f>'Cost Summary'!AQ8</f>
        <v>197280.17091557494</v>
      </c>
      <c r="AT26" s="154">
        <f>'Cost Summary'!AR8</f>
        <v>204034.92317507431</v>
      </c>
      <c r="AU26" s="154">
        <f>'Cost Summary'!AS8</f>
        <v>210799.78652862625</v>
      </c>
      <c r="AV26" s="154">
        <f>'Cost Summary'!AT8</f>
        <v>217830.61972341663</v>
      </c>
      <c r="AW26" s="154">
        <f>'Cost Summary'!AU8</f>
        <v>225096.85082384167</v>
      </c>
      <c r="AX26" s="154">
        <f>'Cost Summary'!AV8</f>
        <v>231901.4386788104</v>
      </c>
      <c r="AY26" s="154">
        <f>'Cost Summary'!AW8</f>
        <v>238706.02653377916</v>
      </c>
      <c r="AZ26" s="154">
        <f>'Cost Summary'!AX8</f>
        <v>245510.61438874793</v>
      </c>
      <c r="BA26" s="154">
        <f>'Cost Summary'!AY8</f>
        <v>0</v>
      </c>
      <c r="BB26" s="154">
        <f>'Cost Summary'!AZ8</f>
        <v>0</v>
      </c>
      <c r="BC26" s="154">
        <f>'Cost Summary'!BA8</f>
        <v>0</v>
      </c>
      <c r="BD26" s="154">
        <f>'Cost Summary'!BB8</f>
        <v>0</v>
      </c>
      <c r="BE26" s="154">
        <f>'Cost Summary'!BC8</f>
        <v>0</v>
      </c>
      <c r="BF26" s="154">
        <f>'Cost Summary'!BD8</f>
        <v>0</v>
      </c>
      <c r="BG26" s="154">
        <f>'Cost Summary'!BE8</f>
        <v>0</v>
      </c>
      <c r="BH26" s="154">
        <f>'Cost Summary'!BF8</f>
        <v>0</v>
      </c>
      <c r="BI26" s="154">
        <f>'Cost Summary'!BG8</f>
        <v>0</v>
      </c>
      <c r="BJ26" s="154">
        <f>'Cost Summary'!BH8</f>
        <v>0</v>
      </c>
      <c r="BK26" s="154">
        <f>'Cost Summary'!BI8</f>
        <v>0</v>
      </c>
      <c r="BL26" s="154">
        <f>'Cost Summary'!BJ8</f>
        <v>0</v>
      </c>
      <c r="BM26" s="573">
        <f>'Cost Summary'!BK8</f>
        <v>0</v>
      </c>
      <c r="BN26" s="573">
        <f>'Cost Summary'!BL8</f>
        <v>0</v>
      </c>
      <c r="BO26" s="573">
        <f>'Cost Summary'!BM8</f>
        <v>0</v>
      </c>
      <c r="BP26" s="573">
        <f>'Cost Summary'!BN8</f>
        <v>0</v>
      </c>
      <c r="BQ26" s="573">
        <f>'Cost Summary'!BO8</f>
        <v>0</v>
      </c>
      <c r="BR26" s="573">
        <f>'Cost Summary'!BP8</f>
        <v>0</v>
      </c>
      <c r="BS26" s="573">
        <f>'Cost Summary'!BQ8</f>
        <v>0</v>
      </c>
      <c r="BT26" s="573">
        <f>'Cost Summary'!BR8</f>
        <v>0</v>
      </c>
      <c r="BU26" s="573">
        <f>'Cost Summary'!BS8</f>
        <v>0</v>
      </c>
      <c r="BV26" s="573">
        <f>'Cost Summary'!BT8</f>
        <v>0</v>
      </c>
      <c r="BW26" s="573">
        <f>'Cost Summary'!BU8</f>
        <v>0</v>
      </c>
      <c r="BX26" s="573">
        <f>'Cost Summary'!BV8</f>
        <v>0</v>
      </c>
    </row>
    <row r="27" spans="1:76" hidden="1" outlineLevel="1" x14ac:dyDescent="0.25">
      <c r="B27" s="17"/>
      <c r="C27" s="43" t="s">
        <v>218</v>
      </c>
      <c r="D27" s="154"/>
      <c r="E27" s="154">
        <f>'Cost Summary'!C9</f>
        <v>28462.22</v>
      </c>
      <c r="F27" s="154">
        <f>'Cost Summary'!D9</f>
        <v>32415.870000000003</v>
      </c>
      <c r="G27" s="154">
        <f>'Cost Summary'!E9</f>
        <v>33964.15</v>
      </c>
      <c r="H27" s="154">
        <f>'Cost Summary'!F9</f>
        <v>32920.99</v>
      </c>
      <c r="I27" s="154">
        <f>'Cost Summary'!G9</f>
        <v>38367.51</v>
      </c>
      <c r="J27" s="154">
        <f>'Cost Summary'!H9</f>
        <v>69265.509999999995</v>
      </c>
      <c r="K27" s="154">
        <f>'Cost Summary'!I9</f>
        <v>41789.490000000005</v>
      </c>
      <c r="L27" s="154">
        <f>'Cost Summary'!J9</f>
        <v>39656.43</v>
      </c>
      <c r="M27" s="154">
        <f>'Cost Summary'!K9</f>
        <v>40158.36</v>
      </c>
      <c r="N27" s="154">
        <f>'Cost Summary'!L9</f>
        <v>48012.869999999995</v>
      </c>
      <c r="O27" s="154">
        <f>'Cost Summary'!M9</f>
        <v>43573.91</v>
      </c>
      <c r="P27" s="154">
        <f>'Cost Summary'!N9</f>
        <v>69313.539999999994</v>
      </c>
      <c r="Q27" s="154">
        <f>'Cost Summary'!O9</f>
        <v>28986.98</v>
      </c>
      <c r="R27" s="154">
        <f>'Cost Summary'!P9</f>
        <v>27795.119999999999</v>
      </c>
      <c r="S27" s="154">
        <f>'Cost Summary'!Q9</f>
        <v>35112.93</v>
      </c>
      <c r="T27" s="154">
        <f>'Cost Summary'!R9</f>
        <v>64951.85</v>
      </c>
      <c r="U27" s="154">
        <f>'Cost Summary'!S9</f>
        <v>41650.379999999997</v>
      </c>
      <c r="V27" s="154">
        <f>'Cost Summary'!T9</f>
        <v>41628.949999999997</v>
      </c>
      <c r="W27" s="154">
        <f>'Cost Summary'!U9</f>
        <v>46305.83</v>
      </c>
      <c r="X27" s="154">
        <f>'Cost Summary'!V9</f>
        <v>47929.09</v>
      </c>
      <c r="Y27" s="154">
        <f>'Cost Summary'!W9</f>
        <v>55027.8</v>
      </c>
      <c r="Z27" s="154">
        <f>'Cost Summary'!X9</f>
        <v>69821.600000000006</v>
      </c>
      <c r="AA27" s="573">
        <f>'Cost Summary'!Y9</f>
        <v>59081.45</v>
      </c>
      <c r="AB27" s="154">
        <f>'Cost Summary'!Z9</f>
        <v>41188.42</v>
      </c>
      <c r="AC27" s="154">
        <f>'Cost Summary'!AA9</f>
        <v>43688.49</v>
      </c>
      <c r="AD27" s="154">
        <f>'Cost Summary'!AB9</f>
        <v>65161.93</v>
      </c>
      <c r="AE27" s="154">
        <f>'Cost Summary'!AC9</f>
        <v>54496.79</v>
      </c>
      <c r="AF27" s="154">
        <f>'Cost Summary'!AD9</f>
        <v>93389.445800000001</v>
      </c>
      <c r="AG27" s="154">
        <f>'Cost Summary'!AE9</f>
        <v>99327.353300000002</v>
      </c>
      <c r="AH27" s="154">
        <f>'Cost Summary'!AF9</f>
        <v>104679.8333</v>
      </c>
      <c r="AI27" s="154">
        <f>'Cost Summary'!AG9</f>
        <v>109497.06530000002</v>
      </c>
      <c r="AJ27" s="154">
        <f>'Cost Summary'!AH9</f>
        <v>113779.0493</v>
      </c>
      <c r="AK27" s="154">
        <f>'Cost Summary'!AI9</f>
        <v>118061.03330000001</v>
      </c>
      <c r="AL27" s="154">
        <f>'Cost Summary'!AJ9</f>
        <v>124384.1965642297</v>
      </c>
      <c r="AM27" s="154">
        <f>'Cost Summary'!AK9</f>
        <v>130707.35982845942</v>
      </c>
      <c r="AN27" s="154">
        <f>'Cost Summary'!AL9</f>
        <v>137030.52309268917</v>
      </c>
      <c r="AO27" s="154">
        <f>'Cost Summary'!AM9</f>
        <v>143353.14009268914</v>
      </c>
      <c r="AP27" s="154">
        <f>'Cost Summary'!AN9</f>
        <v>149675.75709268913</v>
      </c>
      <c r="AQ27" s="154">
        <f>'Cost Summary'!AO9</f>
        <v>155998.37409268913</v>
      </c>
      <c r="AR27" s="154">
        <f>'Cost Summary'!AP9</f>
        <v>162320.9910926891</v>
      </c>
      <c r="AS27" s="154">
        <f>'Cost Summary'!AQ9</f>
        <v>168643.60809268913</v>
      </c>
      <c r="AT27" s="154">
        <f>'Cost Summary'!AR9</f>
        <v>174966.22509268913</v>
      </c>
      <c r="AU27" s="154">
        <f>'Cost Summary'!AS9</f>
        <v>181288.8420926891</v>
      </c>
      <c r="AV27" s="154">
        <f>'Cost Summary'!AT9</f>
        <v>187611.45909268913</v>
      </c>
      <c r="AW27" s="154">
        <f>'Cost Summary'!AU9</f>
        <v>193934.07609268912</v>
      </c>
      <c r="AX27" s="154">
        <f>'Cost Summary'!AV9</f>
        <v>200256.69309268909</v>
      </c>
      <c r="AY27" s="154">
        <f>'Cost Summary'!AW9</f>
        <v>206579.31009268906</v>
      </c>
      <c r="AZ27" s="154">
        <f>'Cost Summary'!AX9</f>
        <v>212901.92709268903</v>
      </c>
      <c r="BA27" s="154">
        <f>'Cost Summary'!AY9</f>
        <v>22652</v>
      </c>
      <c r="BB27" s="154">
        <f>'Cost Summary'!AZ9</f>
        <v>22652</v>
      </c>
      <c r="BC27" s="154">
        <f>'Cost Summary'!BA9</f>
        <v>22652</v>
      </c>
      <c r="BD27" s="154">
        <f>'Cost Summary'!BB9</f>
        <v>0</v>
      </c>
      <c r="BE27" s="154">
        <f>'Cost Summary'!BC9</f>
        <v>0</v>
      </c>
      <c r="BF27" s="154">
        <f>'Cost Summary'!BD9</f>
        <v>0</v>
      </c>
      <c r="BG27" s="154">
        <f>'Cost Summary'!BE9</f>
        <v>0</v>
      </c>
      <c r="BH27" s="154">
        <f>'Cost Summary'!BF9</f>
        <v>0</v>
      </c>
      <c r="BI27" s="154">
        <f>'Cost Summary'!BG9</f>
        <v>0</v>
      </c>
      <c r="BJ27" s="154">
        <f>'Cost Summary'!BH9</f>
        <v>0</v>
      </c>
      <c r="BK27" s="154">
        <f>'Cost Summary'!BI9</f>
        <v>0</v>
      </c>
      <c r="BL27" s="154">
        <f>'Cost Summary'!BJ9</f>
        <v>0</v>
      </c>
      <c r="BM27" s="573">
        <f>'Cost Summary'!BK9</f>
        <v>0</v>
      </c>
      <c r="BN27" s="573">
        <f>'Cost Summary'!BL9</f>
        <v>0</v>
      </c>
      <c r="BO27" s="573">
        <f>'Cost Summary'!BM9</f>
        <v>0</v>
      </c>
      <c r="BP27" s="573">
        <f>'Cost Summary'!BN9</f>
        <v>0</v>
      </c>
      <c r="BQ27" s="573">
        <f>'Cost Summary'!BO9</f>
        <v>0</v>
      </c>
      <c r="BR27" s="573">
        <f>'Cost Summary'!BP9</f>
        <v>0</v>
      </c>
      <c r="BS27" s="573">
        <f>'Cost Summary'!BQ9</f>
        <v>0</v>
      </c>
      <c r="BT27" s="573">
        <f>'Cost Summary'!BR9</f>
        <v>0</v>
      </c>
      <c r="BU27" s="573">
        <f>'Cost Summary'!BS9</f>
        <v>0</v>
      </c>
      <c r="BV27" s="573">
        <f>'Cost Summary'!BT9</f>
        <v>0</v>
      </c>
      <c r="BW27" s="573">
        <f>'Cost Summary'!BU9</f>
        <v>0</v>
      </c>
      <c r="BX27" s="573">
        <f>'Cost Summary'!BV9</f>
        <v>0</v>
      </c>
    </row>
    <row r="28" spans="1:76" hidden="1" outlineLevel="1" x14ac:dyDescent="0.25">
      <c r="B28" s="17"/>
      <c r="C28" s="43" t="s">
        <v>180</v>
      </c>
      <c r="D28" s="307"/>
      <c r="E28" s="17">
        <f>'Cost Summary'!C12</f>
        <v>22161.71</v>
      </c>
      <c r="F28" s="17">
        <f>'Cost Summary'!D12</f>
        <v>16538.16</v>
      </c>
      <c r="G28" s="174">
        <f>'Cost Summary'!E12</f>
        <v>16577.8</v>
      </c>
      <c r="H28" s="17">
        <f>'Cost Summary'!F12</f>
        <v>27760.080000000002</v>
      </c>
      <c r="I28" s="17">
        <f>'Cost Summary'!G12</f>
        <v>25496.159999999996</v>
      </c>
      <c r="J28" s="17">
        <f>'Cost Summary'!H12</f>
        <v>18014.29</v>
      </c>
      <c r="K28" s="17">
        <f>'Cost Summary'!I12</f>
        <v>21669.42</v>
      </c>
      <c r="L28" s="17">
        <f>'Cost Summary'!J12</f>
        <v>24773.83</v>
      </c>
      <c r="M28" s="17">
        <f>'Cost Summary'!K12</f>
        <v>21977.45</v>
      </c>
      <c r="N28" s="224">
        <f>'Cost Summary'!L12</f>
        <v>21326.42</v>
      </c>
      <c r="O28" s="224">
        <f>'Cost Summary'!M12</f>
        <v>22974</v>
      </c>
      <c r="P28" s="224">
        <f>'Cost Summary'!N12</f>
        <v>39383.899999999994</v>
      </c>
      <c r="Q28" s="224">
        <f>'Cost Summary'!O12</f>
        <v>23677.3</v>
      </c>
      <c r="R28" s="224">
        <f>'Cost Summary'!P12</f>
        <v>35916.199999999997</v>
      </c>
      <c r="S28" s="224">
        <f>'Cost Summary'!Q12</f>
        <v>25322.559999999998</v>
      </c>
      <c r="T28" s="224">
        <f>'Cost Summary'!R12</f>
        <v>33812.629999999997</v>
      </c>
      <c r="U28" s="224">
        <f>'Cost Summary'!S12</f>
        <v>28943.33</v>
      </c>
      <c r="V28" s="224">
        <f>'Cost Summary'!T12</f>
        <v>28552.67</v>
      </c>
      <c r="W28" s="224">
        <f>'Cost Summary'!U12</f>
        <v>23645.519999999997</v>
      </c>
      <c r="X28" s="224">
        <f>'Cost Summary'!V12</f>
        <v>43556.01</v>
      </c>
      <c r="Y28" s="224">
        <f>'Cost Summary'!W12</f>
        <v>37610.559999999998</v>
      </c>
      <c r="Z28" s="224">
        <f>'Cost Summary'!X12</f>
        <v>46571.200000000004</v>
      </c>
      <c r="AA28" s="575">
        <f>'Cost Summary'!Y12</f>
        <v>36427.620000000003</v>
      </c>
      <c r="AB28" s="224">
        <f>'Cost Summary'!Z12</f>
        <v>34493.99</v>
      </c>
      <c r="AC28" s="17">
        <f>'Cost Summary'!AA12</f>
        <v>39539.440000000002</v>
      </c>
      <c r="AD28" s="17">
        <f>'Cost Summary'!AB12</f>
        <v>39221.22</v>
      </c>
      <c r="AE28" s="17">
        <f>'Cost Summary'!AC12</f>
        <v>36380.620000000003</v>
      </c>
      <c r="AF28" s="17">
        <f>'Cost Summary'!AD12</f>
        <v>25350</v>
      </c>
      <c r="AG28" s="17">
        <f>'Cost Summary'!AE12</f>
        <v>25350</v>
      </c>
      <c r="AH28" s="17">
        <f>'Cost Summary'!AF12</f>
        <v>25350</v>
      </c>
      <c r="AI28" s="17">
        <f>'Cost Summary'!AG12</f>
        <v>25350</v>
      </c>
      <c r="AJ28" s="17">
        <f>'Cost Summary'!AH12</f>
        <v>25350</v>
      </c>
      <c r="AK28" s="17">
        <f>'Cost Summary'!AI12</f>
        <v>25350</v>
      </c>
      <c r="AL28" s="17">
        <f>'Cost Summary'!AJ12</f>
        <v>25350</v>
      </c>
      <c r="AM28" s="17">
        <f>'Cost Summary'!AK12</f>
        <v>25350</v>
      </c>
      <c r="AN28" s="17">
        <f>'Cost Summary'!AL12</f>
        <v>25350</v>
      </c>
      <c r="AO28" s="17">
        <f>'Cost Summary'!AM12</f>
        <v>25350</v>
      </c>
      <c r="AP28" s="17">
        <f>'Cost Summary'!AN12</f>
        <v>25350</v>
      </c>
      <c r="AQ28" s="17">
        <f>'Cost Summary'!AO12</f>
        <v>25350</v>
      </c>
      <c r="AR28" s="17">
        <f>'Cost Summary'!AP12</f>
        <v>25350</v>
      </c>
      <c r="AS28" s="17">
        <f>'Cost Summary'!AQ12</f>
        <v>25350</v>
      </c>
      <c r="AT28" s="17">
        <f>'Cost Summary'!AR12</f>
        <v>25350</v>
      </c>
      <c r="AU28" s="17">
        <f>'Cost Summary'!AS12</f>
        <v>25350</v>
      </c>
      <c r="AV28" s="17">
        <f>'Cost Summary'!AT12</f>
        <v>25350</v>
      </c>
      <c r="AW28" s="17">
        <f>'Cost Summary'!AU12</f>
        <v>25350</v>
      </c>
      <c r="AX28" s="17">
        <f>'Cost Summary'!AV12</f>
        <v>25350</v>
      </c>
      <c r="AY28" s="17">
        <f>'Cost Summary'!AW12</f>
        <v>25350</v>
      </c>
      <c r="AZ28" s="17">
        <f>'Cost Summary'!AX12</f>
        <v>25350</v>
      </c>
      <c r="BA28" s="17">
        <f>'Cost Summary'!AY12</f>
        <v>25350</v>
      </c>
      <c r="BB28" s="17">
        <f>'Cost Summary'!AZ12</f>
        <v>25350</v>
      </c>
      <c r="BC28" s="17">
        <f>'Cost Summary'!BA12</f>
        <v>25350</v>
      </c>
      <c r="BD28" s="17">
        <f>'Cost Summary'!BB12</f>
        <v>25350</v>
      </c>
      <c r="BE28" s="17">
        <f>'Cost Summary'!BC12</f>
        <v>25350</v>
      </c>
      <c r="BF28" s="17">
        <f>'Cost Summary'!BD12</f>
        <v>25350</v>
      </c>
      <c r="BG28" s="17">
        <f>'Cost Summary'!BE12</f>
        <v>25350</v>
      </c>
      <c r="BH28" s="17">
        <f>'Cost Summary'!BF12</f>
        <v>25350</v>
      </c>
      <c r="BI28" s="17">
        <f>'Cost Summary'!BG12</f>
        <v>25350</v>
      </c>
      <c r="BJ28" s="17">
        <f>'Cost Summary'!BH12</f>
        <v>25350</v>
      </c>
      <c r="BK28" s="17">
        <f>'Cost Summary'!BI12</f>
        <v>25350</v>
      </c>
      <c r="BL28" s="17">
        <f>'Cost Summary'!BJ12</f>
        <v>25350</v>
      </c>
      <c r="BM28" s="575">
        <f>'Cost Summary'!BK12</f>
        <v>25350</v>
      </c>
      <c r="BN28" s="575">
        <f>'Cost Summary'!BL12</f>
        <v>25350</v>
      </c>
      <c r="BO28" s="575">
        <f>'Cost Summary'!BM12</f>
        <v>25350</v>
      </c>
      <c r="BP28" s="575">
        <f>'Cost Summary'!BN12</f>
        <v>25350</v>
      </c>
      <c r="BQ28" s="575">
        <f>'Cost Summary'!BO12</f>
        <v>25350</v>
      </c>
      <c r="BR28" s="575">
        <f>'Cost Summary'!BP12</f>
        <v>25350</v>
      </c>
      <c r="BS28" s="575">
        <f>'Cost Summary'!BQ12</f>
        <v>25350</v>
      </c>
      <c r="BT28" s="575">
        <f>'Cost Summary'!BR12</f>
        <v>25350</v>
      </c>
      <c r="BU28" s="575">
        <f>'Cost Summary'!BS12</f>
        <v>25350</v>
      </c>
      <c r="BV28" s="575">
        <f>'Cost Summary'!BT12</f>
        <v>25350</v>
      </c>
      <c r="BW28" s="575">
        <f>'Cost Summary'!BU12</f>
        <v>25350</v>
      </c>
      <c r="BX28" s="575">
        <f>'Cost Summary'!BV12</f>
        <v>25350</v>
      </c>
    </row>
    <row r="29" spans="1:76" hidden="1" outlineLevel="1" x14ac:dyDescent="0.25">
      <c r="B29" s="17"/>
      <c r="C29" s="43" t="s">
        <v>73</v>
      </c>
      <c r="D29" s="307"/>
      <c r="E29" s="17">
        <f>'Cost Summary'!C13</f>
        <v>20576.849999999999</v>
      </c>
      <c r="F29" s="17">
        <f>'Cost Summary'!D13</f>
        <v>20279.760000000002</v>
      </c>
      <c r="G29" s="174">
        <f>'Cost Summary'!E13</f>
        <v>20182.7</v>
      </c>
      <c r="H29" s="17">
        <f>'Cost Summary'!F13</f>
        <v>25924.18</v>
      </c>
      <c r="I29" s="17">
        <f>'Cost Summary'!G13</f>
        <v>26600.04</v>
      </c>
      <c r="J29" s="17">
        <f>'Cost Summary'!H13</f>
        <v>28612.95</v>
      </c>
      <c r="K29" s="17">
        <f>'Cost Summary'!I13</f>
        <v>26847.27</v>
      </c>
      <c r="L29" s="17">
        <f>'Cost Summary'!J13</f>
        <v>26671.67</v>
      </c>
      <c r="M29" s="17">
        <f>'Cost Summary'!K13</f>
        <v>26885.89</v>
      </c>
      <c r="N29" s="17">
        <f>'Cost Summary'!L13</f>
        <v>29707.010000000002</v>
      </c>
      <c r="O29" s="17">
        <f>'Cost Summary'!M13</f>
        <v>33841.120000000003</v>
      </c>
      <c r="P29" s="17">
        <f>'Cost Summary'!N13</f>
        <v>31757.35</v>
      </c>
      <c r="Q29" s="17">
        <f>'Cost Summary'!O13</f>
        <v>15810.7</v>
      </c>
      <c r="R29" s="17">
        <f>'Cost Summary'!P13</f>
        <v>28578.89</v>
      </c>
      <c r="S29" s="17">
        <f>'Cost Summary'!Q13</f>
        <v>27683.75</v>
      </c>
      <c r="T29" s="17">
        <f>'Cost Summary'!R13</f>
        <v>32422.07</v>
      </c>
      <c r="U29" s="17">
        <f>'Cost Summary'!S13</f>
        <v>30649.41</v>
      </c>
      <c r="V29" s="17">
        <f>'Cost Summary'!T13</f>
        <v>36002.61</v>
      </c>
      <c r="W29" s="17">
        <f>'Cost Summary'!U13</f>
        <v>37367.67</v>
      </c>
      <c r="X29" s="17">
        <f>'Cost Summary'!V13</f>
        <v>30284.080000000002</v>
      </c>
      <c r="Y29" s="17">
        <f>'Cost Summary'!W13</f>
        <v>35976.410000000003</v>
      </c>
      <c r="Z29" s="17">
        <f>'Cost Summary'!X13</f>
        <v>43264.55</v>
      </c>
      <c r="AA29" s="575">
        <f>'Cost Summary'!Y13</f>
        <v>35930.800000000003</v>
      </c>
      <c r="AB29" s="17">
        <f>'Cost Summary'!Z13</f>
        <v>34948.92</v>
      </c>
      <c r="AC29" s="17">
        <f>'Cost Summary'!AA13</f>
        <v>33832.550000000003</v>
      </c>
      <c r="AD29" s="17">
        <f>'Cost Summary'!AB13</f>
        <v>36325.089999999997</v>
      </c>
      <c r="AE29" s="17">
        <f>'Cost Summary'!AC13</f>
        <v>35313.760000000002</v>
      </c>
      <c r="AF29" s="17">
        <f>'Cost Summary'!AD13</f>
        <v>42992.694956699408</v>
      </c>
      <c r="AG29" s="17">
        <f>'Cost Summary'!AE13</f>
        <v>46343.825082970201</v>
      </c>
      <c r="AH29" s="17">
        <f>'Cost Summary'!AF13</f>
        <v>49465.008137531491</v>
      </c>
      <c r="AI29" s="17">
        <f>'Cost Summary'!AG13</f>
        <v>48766.606929347297</v>
      </c>
      <c r="AJ29" s="17">
        <f>'Cost Summary'!AH13</f>
        <v>51028.259218213701</v>
      </c>
      <c r="AK29" s="17">
        <f>'Cost Summary'!AI13</f>
        <v>59602.666486748858</v>
      </c>
      <c r="AL29" s="17">
        <f>'Cost Summary'!AJ13</f>
        <v>63246.618491560141</v>
      </c>
      <c r="AM29" s="17">
        <f>'Cost Summary'!AK13</f>
        <v>61376.64506398185</v>
      </c>
      <c r="AN29" s="17">
        <f>'Cost Summary'!AL13</f>
        <v>61647.042901858083</v>
      </c>
      <c r="AO29" s="17">
        <f>'Cost Summary'!AM13</f>
        <v>70677.212432843604</v>
      </c>
      <c r="AP29" s="17">
        <f>'Cost Summary'!AN13</f>
        <v>74284.292456649535</v>
      </c>
      <c r="AQ29" s="17">
        <f>'Cost Summary'!AO13</f>
        <v>78036.542556940738</v>
      </c>
      <c r="AR29" s="17">
        <f>'Cost Summary'!AP13</f>
        <v>81598.914971519596</v>
      </c>
      <c r="AS29" s="17">
        <f>'Cost Summary'!AQ13</f>
        <v>85019.888519032422</v>
      </c>
      <c r="AT29" s="17">
        <f>'Cost Summary'!AR13</f>
        <v>88403.758062282301</v>
      </c>
      <c r="AU29" s="17">
        <f>'Cost Summary'!AS13</f>
        <v>91789.312787874282</v>
      </c>
      <c r="AV29" s="17">
        <f>'Cost Summary'!AT13</f>
        <v>95219.195820339359</v>
      </c>
      <c r="AW29" s="17">
        <f>'Cost Summary'!AU13</f>
        <v>98688.311837076864</v>
      </c>
      <c r="AX29" s="17">
        <f>'Cost Summary'!AV13</f>
        <v>102080.48731290498</v>
      </c>
      <c r="AY29" s="17">
        <f>'Cost Summary'!AW13</f>
        <v>105472.6627887331</v>
      </c>
      <c r="AZ29" s="17">
        <f>'Cost Summary'!AX13</f>
        <v>108864.83826456121</v>
      </c>
      <c r="BA29" s="17">
        <f>'Cost Summary'!AY13</f>
        <v>0</v>
      </c>
      <c r="BB29" s="17">
        <f>'Cost Summary'!AZ13</f>
        <v>0</v>
      </c>
      <c r="BC29" s="17">
        <f>'Cost Summary'!BA13</f>
        <v>0</v>
      </c>
      <c r="BD29" s="17">
        <f>'Cost Summary'!BB13</f>
        <v>0</v>
      </c>
      <c r="BE29" s="17">
        <f>'Cost Summary'!BC13</f>
        <v>0</v>
      </c>
      <c r="BF29" s="17">
        <f>'Cost Summary'!BD13</f>
        <v>0</v>
      </c>
      <c r="BG29" s="17">
        <f>'Cost Summary'!BE13</f>
        <v>0</v>
      </c>
      <c r="BH29" s="17">
        <f>'Cost Summary'!BF13</f>
        <v>0</v>
      </c>
      <c r="BI29" s="17">
        <f>'Cost Summary'!BG13</f>
        <v>0</v>
      </c>
      <c r="BJ29" s="17">
        <f>'Cost Summary'!BH13</f>
        <v>0</v>
      </c>
      <c r="BK29" s="17">
        <f>'Cost Summary'!BI13</f>
        <v>0</v>
      </c>
      <c r="BL29" s="17">
        <f>'Cost Summary'!BJ13</f>
        <v>0</v>
      </c>
      <c r="BM29" s="575">
        <f>'Cost Summary'!BK13</f>
        <v>0</v>
      </c>
      <c r="BN29" s="575">
        <f>'Cost Summary'!BL13</f>
        <v>0</v>
      </c>
      <c r="BO29" s="575">
        <f>'Cost Summary'!BM13</f>
        <v>0</v>
      </c>
      <c r="BP29" s="575">
        <f>'Cost Summary'!BN13</f>
        <v>0</v>
      </c>
      <c r="BQ29" s="575">
        <f>'Cost Summary'!BO13</f>
        <v>0</v>
      </c>
      <c r="BR29" s="575">
        <f>'Cost Summary'!BP13</f>
        <v>0</v>
      </c>
      <c r="BS29" s="575">
        <f>'Cost Summary'!BQ13</f>
        <v>0</v>
      </c>
      <c r="BT29" s="575">
        <f>'Cost Summary'!BR13</f>
        <v>0</v>
      </c>
      <c r="BU29" s="575">
        <f>'Cost Summary'!BS13</f>
        <v>0</v>
      </c>
      <c r="BV29" s="575">
        <f>'Cost Summary'!BT13</f>
        <v>0</v>
      </c>
      <c r="BW29" s="575">
        <f>'Cost Summary'!BU13</f>
        <v>0</v>
      </c>
      <c r="BX29" s="575">
        <f>'Cost Summary'!BV13</f>
        <v>0</v>
      </c>
    </row>
    <row r="30" spans="1:76" collapsed="1" x14ac:dyDescent="0.25">
      <c r="C30" s="47" t="s">
        <v>72</v>
      </c>
      <c r="D30" s="7"/>
      <c r="E30" s="7">
        <f t="shared" ref="E30:AJ30" si="11">SUM(E27:E29)+E26</f>
        <v>185324.39</v>
      </c>
      <c r="F30" s="7">
        <f t="shared" si="11"/>
        <v>224174.19000000003</v>
      </c>
      <c r="G30" s="7">
        <f t="shared" si="11"/>
        <v>224418.25</v>
      </c>
      <c r="H30" s="7">
        <f t="shared" si="11"/>
        <v>227258.18</v>
      </c>
      <c r="I30" s="7">
        <f t="shared" si="11"/>
        <v>241568.81999999998</v>
      </c>
      <c r="J30" s="7">
        <f t="shared" si="11"/>
        <v>290879.58999999997</v>
      </c>
      <c r="K30" s="7">
        <f t="shared" si="11"/>
        <v>214491.57</v>
      </c>
      <c r="L30" s="7">
        <f t="shared" si="11"/>
        <v>128717.25</v>
      </c>
      <c r="M30" s="7">
        <f t="shared" si="11"/>
        <v>191085.03999999998</v>
      </c>
      <c r="N30" s="7">
        <f t="shared" si="11"/>
        <v>153427.18</v>
      </c>
      <c r="O30" s="7">
        <f t="shared" si="11"/>
        <v>231194.66999999998</v>
      </c>
      <c r="P30" s="7">
        <f t="shared" si="11"/>
        <v>391862.37</v>
      </c>
      <c r="Q30" s="7">
        <f t="shared" si="11"/>
        <v>133113.58000000002</v>
      </c>
      <c r="R30" s="7">
        <f t="shared" si="11"/>
        <v>168204.69</v>
      </c>
      <c r="S30" s="7">
        <f t="shared" si="11"/>
        <v>191188.81</v>
      </c>
      <c r="T30" s="7">
        <f t="shared" si="11"/>
        <v>218548.87</v>
      </c>
      <c r="U30" s="7">
        <f t="shared" si="11"/>
        <v>199483.69</v>
      </c>
      <c r="V30" s="7">
        <f t="shared" si="11"/>
        <v>192572.1</v>
      </c>
      <c r="W30" s="7">
        <f t="shared" si="11"/>
        <v>207717.08000000002</v>
      </c>
      <c r="X30" s="7">
        <f t="shared" si="11"/>
        <v>202559.92</v>
      </c>
      <c r="Y30" s="7">
        <f t="shared" si="11"/>
        <v>235656.08000000002</v>
      </c>
      <c r="Z30" s="7">
        <f t="shared" si="11"/>
        <v>278731.90000000002</v>
      </c>
      <c r="AA30" s="7">
        <f t="shared" si="11"/>
        <v>241638.81</v>
      </c>
      <c r="AB30" s="7">
        <f t="shared" si="11"/>
        <v>220158.74</v>
      </c>
      <c r="AC30" s="7">
        <f t="shared" si="11"/>
        <v>212973.72</v>
      </c>
      <c r="AD30" s="7">
        <f t="shared" si="11"/>
        <v>227545.59999999998</v>
      </c>
      <c r="AE30" s="7">
        <f t="shared" si="11"/>
        <v>223928.96000000002</v>
      </c>
      <c r="AF30" s="7">
        <f t="shared" si="11"/>
        <v>268108.06949689583</v>
      </c>
      <c r="AG30" s="7">
        <f t="shared" si="11"/>
        <v>284779.80038079148</v>
      </c>
      <c r="AH30" s="7">
        <f t="shared" si="11"/>
        <v>300510.96176272043</v>
      </c>
      <c r="AI30" s="7">
        <f t="shared" si="11"/>
        <v>290116.74530543113</v>
      </c>
      <c r="AJ30" s="7">
        <f t="shared" si="11"/>
        <v>301054.61532749591</v>
      </c>
      <c r="AK30" s="7">
        <f t="shared" ref="AK30:BL30" si="12">SUM(AK27:AK29)+AK26</f>
        <v>356181.77020724199</v>
      </c>
      <c r="AL30" s="7">
        <f t="shared" si="12"/>
        <v>374462.96193894418</v>
      </c>
      <c r="AM30" s="7">
        <f t="shared" si="12"/>
        <v>354146.67564391927</v>
      </c>
      <c r="AN30" s="7">
        <f t="shared" si="12"/>
        <v>348812.98820707621</v>
      </c>
      <c r="AO30" s="7">
        <f t="shared" si="12"/>
        <v>404798.32692397479</v>
      </c>
      <c r="AP30" s="7">
        <f t="shared" si="12"/>
        <v>422822.0390906164</v>
      </c>
      <c r="AQ30" s="7">
        <f t="shared" si="12"/>
        <v>441861.9417926548</v>
      </c>
      <c r="AR30" s="7">
        <f t="shared" si="12"/>
        <v>459572.70069470676</v>
      </c>
      <c r="AS30" s="7">
        <f t="shared" si="12"/>
        <v>476293.66752729652</v>
      </c>
      <c r="AT30" s="7">
        <f t="shared" si="12"/>
        <v>492754.90633004578</v>
      </c>
      <c r="AU30" s="7">
        <f t="shared" si="12"/>
        <v>509227.9414091896</v>
      </c>
      <c r="AV30" s="7">
        <f t="shared" si="12"/>
        <v>526011.2746364451</v>
      </c>
      <c r="AW30" s="7">
        <f t="shared" si="12"/>
        <v>543069.23875360761</v>
      </c>
      <c r="AX30" s="7">
        <f t="shared" si="12"/>
        <v>559588.61908440443</v>
      </c>
      <c r="AY30" s="7">
        <f t="shared" si="12"/>
        <v>576107.99941520137</v>
      </c>
      <c r="AZ30" s="7">
        <f t="shared" si="12"/>
        <v>592627.37974599819</v>
      </c>
      <c r="BA30" s="7">
        <f t="shared" si="12"/>
        <v>48002</v>
      </c>
      <c r="BB30" s="7">
        <f t="shared" si="12"/>
        <v>48002</v>
      </c>
      <c r="BC30" s="7">
        <f t="shared" si="12"/>
        <v>48002</v>
      </c>
      <c r="BD30" s="7">
        <f t="shared" si="12"/>
        <v>25350</v>
      </c>
      <c r="BE30" s="7">
        <f t="shared" si="12"/>
        <v>25350</v>
      </c>
      <c r="BF30" s="7">
        <f t="shared" si="12"/>
        <v>25350</v>
      </c>
      <c r="BG30" s="7">
        <f t="shared" si="12"/>
        <v>25350</v>
      </c>
      <c r="BH30" s="7">
        <f t="shared" si="12"/>
        <v>25350</v>
      </c>
      <c r="BI30" s="7">
        <f t="shared" si="12"/>
        <v>25350</v>
      </c>
      <c r="BJ30" s="7">
        <f t="shared" si="12"/>
        <v>25350</v>
      </c>
      <c r="BK30" s="7">
        <f t="shared" si="12"/>
        <v>25350</v>
      </c>
      <c r="BL30" s="7">
        <f t="shared" si="12"/>
        <v>25350</v>
      </c>
      <c r="BM30" s="7">
        <f t="shared" ref="BM30:BX30" si="13">SUM(BM27:BM29)+BM26</f>
        <v>25350</v>
      </c>
      <c r="BN30" s="7">
        <f t="shared" si="13"/>
        <v>25350</v>
      </c>
      <c r="BO30" s="7">
        <f t="shared" si="13"/>
        <v>25350</v>
      </c>
      <c r="BP30" s="7">
        <f t="shared" si="13"/>
        <v>25350</v>
      </c>
      <c r="BQ30" s="7">
        <f t="shared" si="13"/>
        <v>25350</v>
      </c>
      <c r="BR30" s="7">
        <f t="shared" si="13"/>
        <v>25350</v>
      </c>
      <c r="BS30" s="7">
        <f t="shared" si="13"/>
        <v>25350</v>
      </c>
      <c r="BT30" s="7">
        <f t="shared" si="13"/>
        <v>25350</v>
      </c>
      <c r="BU30" s="7">
        <f t="shared" si="13"/>
        <v>25350</v>
      </c>
      <c r="BV30" s="7">
        <f t="shared" si="13"/>
        <v>25350</v>
      </c>
      <c r="BW30" s="7">
        <f t="shared" si="13"/>
        <v>25350</v>
      </c>
      <c r="BX30" s="7">
        <f t="shared" si="13"/>
        <v>25350</v>
      </c>
    </row>
    <row r="31" spans="1:76" x14ac:dyDescent="0.25">
      <c r="A31" s="16"/>
      <c r="B31" s="16"/>
      <c r="C31" s="44"/>
      <c r="D31" s="166"/>
      <c r="E31" s="166"/>
      <c r="F31" s="166"/>
      <c r="G31" s="166"/>
      <c r="H31" s="166"/>
      <c r="I31" s="166"/>
      <c r="J31" s="16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570"/>
    </row>
    <row r="32" spans="1:76" x14ac:dyDescent="0.25">
      <c r="A32" s="16"/>
      <c r="B32" s="16"/>
      <c r="C32" s="44"/>
      <c r="D32" s="181"/>
      <c r="E32" s="181"/>
      <c r="F32" s="181"/>
      <c r="G32" s="181"/>
      <c r="H32" s="181"/>
      <c r="I32" s="181"/>
      <c r="J32" s="181"/>
      <c r="K32" s="16"/>
      <c r="L32" s="16"/>
      <c r="M32" s="16"/>
      <c r="N32" s="16"/>
      <c r="O32" s="16"/>
      <c r="P32" s="16"/>
      <c r="Q32" s="572"/>
      <c r="R32" s="572"/>
      <c r="S32" s="572"/>
      <c r="T32" s="572"/>
      <c r="U32" s="572"/>
      <c r="V32" s="572"/>
      <c r="W32" s="572"/>
      <c r="X32" s="572"/>
      <c r="Y32" s="572"/>
      <c r="Z32" s="572"/>
      <c r="AA32" s="572"/>
      <c r="AB32" s="572"/>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570"/>
    </row>
    <row r="33" spans="1:76" ht="15.75" thickBot="1" x14ac:dyDescent="0.3">
      <c r="B33" s="50" t="s">
        <v>75</v>
      </c>
      <c r="C33" s="51"/>
      <c r="D33" s="52"/>
      <c r="E33" s="52">
        <f t="shared" ref="E33:AJ33" si="14">E22-E30</f>
        <v>915814.74148978444</v>
      </c>
      <c r="F33" s="52">
        <f t="shared" si="14"/>
        <v>828368.52633166302</v>
      </c>
      <c r="G33" s="52">
        <f t="shared" si="14"/>
        <v>966476.33358031884</v>
      </c>
      <c r="H33" s="52">
        <f t="shared" si="14"/>
        <v>938234.20529270894</v>
      </c>
      <c r="I33" s="52">
        <f t="shared" si="14"/>
        <v>1066357.1522371089</v>
      </c>
      <c r="J33" s="52">
        <f t="shared" si="14"/>
        <v>938007.75251062389</v>
      </c>
      <c r="K33" s="52">
        <f t="shared" si="14"/>
        <v>1017812.101757271</v>
      </c>
      <c r="L33" s="52">
        <f t="shared" si="14"/>
        <v>1110644.6180972073</v>
      </c>
      <c r="M33" s="52">
        <f t="shared" si="14"/>
        <v>995139.22678237874</v>
      </c>
      <c r="N33" s="52">
        <f t="shared" si="14"/>
        <v>1427217.2455819666</v>
      </c>
      <c r="O33" s="52">
        <f t="shared" si="14"/>
        <v>1422079.3515276029</v>
      </c>
      <c r="P33" s="52">
        <f t="shared" si="14"/>
        <v>773970.35305950523</v>
      </c>
      <c r="Q33" s="52">
        <f t="shared" si="14"/>
        <v>956062.08999999985</v>
      </c>
      <c r="R33" s="52">
        <f t="shared" si="14"/>
        <v>1152394.77</v>
      </c>
      <c r="S33" s="52">
        <f t="shared" si="14"/>
        <v>1263315.8799999999</v>
      </c>
      <c r="T33" s="52">
        <f t="shared" si="14"/>
        <v>1271369.4500000002</v>
      </c>
      <c r="U33" s="52">
        <f t="shared" si="14"/>
        <v>1263129.9500000002</v>
      </c>
      <c r="V33" s="52">
        <f t="shared" si="14"/>
        <v>1073987.31</v>
      </c>
      <c r="W33" s="52">
        <f t="shared" si="14"/>
        <v>1105427.3500000001</v>
      </c>
      <c r="X33" s="52">
        <f t="shared" si="14"/>
        <v>1126951.2500000002</v>
      </c>
      <c r="Y33" s="52">
        <f t="shared" si="14"/>
        <v>1248542.82</v>
      </c>
      <c r="Z33" s="52">
        <f>Z22-Z30</f>
        <v>1403199.62</v>
      </c>
      <c r="AA33" s="52">
        <f>AA22-AA30</f>
        <v>1143867.96</v>
      </c>
      <c r="AB33" s="52">
        <f>AB22-AB30</f>
        <v>1374399.83</v>
      </c>
      <c r="AC33" s="52">
        <f t="shared" si="14"/>
        <v>1243813.8899999999</v>
      </c>
      <c r="AD33" s="52">
        <f t="shared" si="14"/>
        <v>1258449.3599999999</v>
      </c>
      <c r="AE33" s="52">
        <f t="shared" si="14"/>
        <v>1430823.0100000002</v>
      </c>
      <c r="AF33" s="52">
        <f t="shared" si="14"/>
        <v>1444508.0001884005</v>
      </c>
      <c r="AG33" s="52">
        <f t="shared" si="14"/>
        <v>1561389.2948048285</v>
      </c>
      <c r="AH33" s="52">
        <f t="shared" si="14"/>
        <v>1670021.6223835263</v>
      </c>
      <c r="AI33" s="52">
        <f t="shared" si="14"/>
        <v>1653447.3269967218</v>
      </c>
      <c r="AJ33" s="52">
        <f t="shared" si="14"/>
        <v>1732682.5996137664</v>
      </c>
      <c r="AK33" s="52">
        <f t="shared" ref="AK33:BL33" si="15">AK22-AK30</f>
        <v>2017713.6845680126</v>
      </c>
      <c r="AL33" s="52">
        <f t="shared" si="15"/>
        <v>2144636.3012645845</v>
      </c>
      <c r="AM33" s="52">
        <f t="shared" si="15"/>
        <v>2091804.948865256</v>
      </c>
      <c r="AN33" s="52">
        <f t="shared" si="15"/>
        <v>2108749.6997197452</v>
      </c>
      <c r="AO33" s="52">
        <f t="shared" si="15"/>
        <v>2411262.3054298731</v>
      </c>
      <c r="AP33" s="52">
        <f t="shared" si="15"/>
        <v>2536982.1932059461</v>
      </c>
      <c r="AQ33" s="52">
        <f t="shared" si="15"/>
        <v>2667434.6254754397</v>
      </c>
      <c r="AR33" s="52">
        <f t="shared" si="15"/>
        <v>2791697.0451907101</v>
      </c>
      <c r="AS33" s="52">
        <f t="shared" si="15"/>
        <v>2911349.8618396283</v>
      </c>
      <c r="AT33" s="52">
        <f t="shared" si="15"/>
        <v>3029793.0879495745</v>
      </c>
      <c r="AU33" s="52">
        <f t="shared" si="15"/>
        <v>3148291.2510038731</v>
      </c>
      <c r="AV33" s="52">
        <f t="shared" si="15"/>
        <v>3268234.5168622346</v>
      </c>
      <c r="AW33" s="52">
        <f t="shared" si="15"/>
        <v>3389456.7780078775</v>
      </c>
      <c r="AX33" s="52">
        <f t="shared" si="15"/>
        <v>3508170.7775198743</v>
      </c>
      <c r="AY33" s="52">
        <f t="shared" si="15"/>
        <v>3626884.7770318706</v>
      </c>
      <c r="AZ33" s="52">
        <f t="shared" si="15"/>
        <v>3745598.7765438668</v>
      </c>
      <c r="BA33" s="52">
        <f t="shared" si="15"/>
        <v>-48002</v>
      </c>
      <c r="BB33" s="52">
        <f t="shared" si="15"/>
        <v>-48002</v>
      </c>
      <c r="BC33" s="52">
        <f t="shared" si="15"/>
        <v>-48002</v>
      </c>
      <c r="BD33" s="52">
        <f t="shared" si="15"/>
        <v>-25350</v>
      </c>
      <c r="BE33" s="52">
        <f t="shared" si="15"/>
        <v>-25350</v>
      </c>
      <c r="BF33" s="52">
        <f t="shared" si="15"/>
        <v>-25350</v>
      </c>
      <c r="BG33" s="52">
        <f t="shared" si="15"/>
        <v>-25350</v>
      </c>
      <c r="BH33" s="52">
        <f t="shared" si="15"/>
        <v>-25350</v>
      </c>
      <c r="BI33" s="52">
        <f t="shared" si="15"/>
        <v>-25350</v>
      </c>
      <c r="BJ33" s="52">
        <f t="shared" si="15"/>
        <v>-25350</v>
      </c>
      <c r="BK33" s="52">
        <f t="shared" si="15"/>
        <v>-25350</v>
      </c>
      <c r="BL33" s="52">
        <f t="shared" si="15"/>
        <v>-25350</v>
      </c>
      <c r="BM33" s="52">
        <f t="shared" ref="BM33:BX33" si="16">BM22-BM30</f>
        <v>-25350</v>
      </c>
      <c r="BN33" s="52">
        <f t="shared" si="16"/>
        <v>-25350</v>
      </c>
      <c r="BO33" s="52">
        <f t="shared" si="16"/>
        <v>-25350</v>
      </c>
      <c r="BP33" s="52">
        <f t="shared" si="16"/>
        <v>-25350</v>
      </c>
      <c r="BQ33" s="52">
        <f t="shared" si="16"/>
        <v>-25350</v>
      </c>
      <c r="BR33" s="52">
        <f t="shared" si="16"/>
        <v>-25350</v>
      </c>
      <c r="BS33" s="52">
        <f t="shared" si="16"/>
        <v>-25350</v>
      </c>
      <c r="BT33" s="52">
        <f t="shared" si="16"/>
        <v>-25350</v>
      </c>
      <c r="BU33" s="52">
        <f t="shared" si="16"/>
        <v>-25350</v>
      </c>
      <c r="BV33" s="52">
        <f t="shared" si="16"/>
        <v>-25350</v>
      </c>
      <c r="BW33" s="52">
        <f t="shared" si="16"/>
        <v>-25350</v>
      </c>
      <c r="BX33" s="52">
        <f t="shared" si="16"/>
        <v>-25350</v>
      </c>
    </row>
    <row r="34" spans="1:76" x14ac:dyDescent="0.25">
      <c r="C34" s="79" t="s">
        <v>145</v>
      </c>
      <c r="D34" s="124"/>
      <c r="E34" s="124">
        <f t="shared" ref="E34:AJ34" si="17">E33/E22</f>
        <v>0.83169757145106116</v>
      </c>
      <c r="F34" s="124">
        <f t="shared" si="17"/>
        <v>0.78701653954597195</v>
      </c>
      <c r="G34" s="124">
        <f t="shared" si="17"/>
        <v>0.81155489906981826</v>
      </c>
      <c r="H34" s="124">
        <f t="shared" si="17"/>
        <v>0.80501101262628594</v>
      </c>
      <c r="I34" s="124">
        <f t="shared" si="17"/>
        <v>0.81530390471043646</v>
      </c>
      <c r="J34" s="124">
        <f t="shared" si="17"/>
        <v>0.76329840829369167</v>
      </c>
      <c r="K34" s="124">
        <f t="shared" si="17"/>
        <v>0.82594260252902274</v>
      </c>
      <c r="L34" s="124">
        <f t="shared" si="17"/>
        <v>0.89614231862916705</v>
      </c>
      <c r="M34" s="124">
        <f t="shared" si="17"/>
        <v>0.83891322631738408</v>
      </c>
      <c r="N34" s="124">
        <f t="shared" si="17"/>
        <v>0.90293377971866717</v>
      </c>
      <c r="O34" s="124">
        <f t="shared" si="17"/>
        <v>0.86015949746408094</v>
      </c>
      <c r="P34" s="124">
        <f t="shared" si="17"/>
        <v>0.66387770539530566</v>
      </c>
      <c r="Q34" s="124">
        <f t="shared" si="17"/>
        <v>0.87778502250238466</v>
      </c>
      <c r="R34" s="124">
        <f t="shared" si="17"/>
        <v>0.87263004787235032</v>
      </c>
      <c r="S34" s="124">
        <f t="shared" si="17"/>
        <v>0.86855400926895598</v>
      </c>
      <c r="T34" s="124">
        <f t="shared" si="17"/>
        <v>0.85331486493836795</v>
      </c>
      <c r="U34" s="124">
        <f t="shared" si="17"/>
        <v>0.86361149346316779</v>
      </c>
      <c r="V34" s="124">
        <f t="shared" si="17"/>
        <v>0.84795652025513746</v>
      </c>
      <c r="W34" s="124">
        <f t="shared" si="17"/>
        <v>0.84181703455118029</v>
      </c>
      <c r="X34" s="124">
        <f t="shared" si="17"/>
        <v>0.8476433108869631</v>
      </c>
      <c r="Y34" s="124">
        <f t="shared" si="17"/>
        <v>0.84122338320018963</v>
      </c>
      <c r="Z34" s="124">
        <f t="shared" si="17"/>
        <v>0.83427868692299678</v>
      </c>
      <c r="AA34" s="124">
        <f t="shared" si="17"/>
        <v>0.82559535959539188</v>
      </c>
      <c r="AB34" s="124">
        <f t="shared" si="17"/>
        <v>0.86193123028400265</v>
      </c>
      <c r="AC34" s="124">
        <f t="shared" si="17"/>
        <v>0.85380592301989722</v>
      </c>
      <c r="AD34" s="124">
        <f t="shared" si="17"/>
        <v>0.8468732356938814</v>
      </c>
      <c r="AE34" s="124">
        <f t="shared" si="17"/>
        <v>0.86467521171768125</v>
      </c>
      <c r="AF34" s="124">
        <f t="shared" si="17"/>
        <v>0.84345115391439573</v>
      </c>
      <c r="AG34" s="124">
        <f t="shared" si="17"/>
        <v>0.84574554891887688</v>
      </c>
      <c r="AH34" s="124">
        <f t="shared" si="17"/>
        <v>0.84749759319868345</v>
      </c>
      <c r="AI34" s="124">
        <f t="shared" si="17"/>
        <v>0.85072951829069998</v>
      </c>
      <c r="AJ34" s="124">
        <f t="shared" si="17"/>
        <v>0.85196975640916772</v>
      </c>
      <c r="AK34" s="124">
        <f t="shared" ref="AK34:BL34" si="18">AK33/AK22</f>
        <v>0.84995894849086218</v>
      </c>
      <c r="AL34" s="124">
        <f t="shared" si="18"/>
        <v>0.85135045394648678</v>
      </c>
      <c r="AM34" s="124">
        <f t="shared" si="18"/>
        <v>0.85521108753940089</v>
      </c>
      <c r="AN34" s="124">
        <f t="shared" si="18"/>
        <v>0.85806547685612378</v>
      </c>
      <c r="AO34" s="124">
        <f t="shared" si="18"/>
        <v>0.85625368918792855</v>
      </c>
      <c r="AP34" s="124">
        <f t="shared" si="18"/>
        <v>0.85714526843468231</v>
      </c>
      <c r="AQ34" s="124">
        <f t="shared" si="18"/>
        <v>0.85789006219471509</v>
      </c>
      <c r="AR34" s="124">
        <f t="shared" si="18"/>
        <v>0.85864824003720075</v>
      </c>
      <c r="AS34" s="124">
        <f t="shared" si="18"/>
        <v>0.85940266046342095</v>
      </c>
      <c r="AT34" s="124">
        <f t="shared" si="18"/>
        <v>0.86011406881318686</v>
      </c>
      <c r="AU34" s="124">
        <f t="shared" si="18"/>
        <v>0.86077231188136993</v>
      </c>
      <c r="AV34" s="124">
        <f t="shared" si="18"/>
        <v>0.86136605176843928</v>
      </c>
      <c r="AW34" s="124">
        <f t="shared" si="18"/>
        <v>0.86190320510559881</v>
      </c>
      <c r="AX34" s="124">
        <f t="shared" si="18"/>
        <v>0.86243320596799733</v>
      </c>
      <c r="AY34" s="124">
        <f t="shared" si="18"/>
        <v>0.86292910074848994</v>
      </c>
      <c r="AZ34" s="124">
        <f t="shared" si="18"/>
        <v>0.86339407896318043</v>
      </c>
      <c r="BA34" s="124" t="e">
        <f t="shared" si="18"/>
        <v>#DIV/0!</v>
      </c>
      <c r="BB34" s="124" t="e">
        <f t="shared" si="18"/>
        <v>#DIV/0!</v>
      </c>
      <c r="BC34" s="124" t="e">
        <f t="shared" si="18"/>
        <v>#DIV/0!</v>
      </c>
      <c r="BD34" s="124" t="e">
        <f t="shared" si="18"/>
        <v>#DIV/0!</v>
      </c>
      <c r="BE34" s="124" t="e">
        <f t="shared" si="18"/>
        <v>#DIV/0!</v>
      </c>
      <c r="BF34" s="124" t="e">
        <f t="shared" si="18"/>
        <v>#DIV/0!</v>
      </c>
      <c r="BG34" s="124" t="e">
        <f t="shared" si="18"/>
        <v>#DIV/0!</v>
      </c>
      <c r="BH34" s="124" t="e">
        <f t="shared" si="18"/>
        <v>#DIV/0!</v>
      </c>
      <c r="BI34" s="124" t="e">
        <f t="shared" si="18"/>
        <v>#DIV/0!</v>
      </c>
      <c r="BJ34" s="124" t="e">
        <f t="shared" si="18"/>
        <v>#DIV/0!</v>
      </c>
      <c r="BK34" s="124" t="e">
        <f t="shared" si="18"/>
        <v>#DIV/0!</v>
      </c>
      <c r="BL34" s="124" t="e">
        <f t="shared" si="18"/>
        <v>#DIV/0!</v>
      </c>
      <c r="BM34" s="124" t="e">
        <f t="shared" ref="BM34:BX34" si="19">BM33/BM22</f>
        <v>#DIV/0!</v>
      </c>
      <c r="BN34" s="124" t="e">
        <f t="shared" si="19"/>
        <v>#DIV/0!</v>
      </c>
      <c r="BO34" s="124" t="e">
        <f t="shared" si="19"/>
        <v>#DIV/0!</v>
      </c>
      <c r="BP34" s="124" t="e">
        <f t="shared" si="19"/>
        <v>#DIV/0!</v>
      </c>
      <c r="BQ34" s="124" t="e">
        <f t="shared" si="19"/>
        <v>#DIV/0!</v>
      </c>
      <c r="BR34" s="124" t="e">
        <f t="shared" si="19"/>
        <v>#DIV/0!</v>
      </c>
      <c r="BS34" s="124" t="e">
        <f t="shared" si="19"/>
        <v>#DIV/0!</v>
      </c>
      <c r="BT34" s="124" t="e">
        <f t="shared" si="19"/>
        <v>#DIV/0!</v>
      </c>
      <c r="BU34" s="124" t="e">
        <f t="shared" si="19"/>
        <v>#DIV/0!</v>
      </c>
      <c r="BV34" s="124" t="e">
        <f t="shared" si="19"/>
        <v>#DIV/0!</v>
      </c>
      <c r="BW34" s="124" t="e">
        <f t="shared" si="19"/>
        <v>#DIV/0!</v>
      </c>
      <c r="BX34" s="124" t="e">
        <f t="shared" si="19"/>
        <v>#DIV/0!</v>
      </c>
    </row>
    <row r="35" spans="1:76" s="16" customFormat="1" x14ac:dyDescent="0.25">
      <c r="C35" s="40"/>
      <c r="D35" s="437"/>
      <c r="G35" s="172"/>
      <c r="L35" s="166"/>
      <c r="BM35" s="570"/>
      <c r="BN35" s="570"/>
      <c r="BO35" s="570"/>
      <c r="BP35" s="570"/>
      <c r="BQ35" s="570"/>
      <c r="BR35" s="570"/>
      <c r="BS35" s="570"/>
      <c r="BT35" s="570"/>
      <c r="BU35" s="570"/>
      <c r="BV35" s="570"/>
      <c r="BW35" s="570"/>
      <c r="BX35" s="570"/>
    </row>
    <row r="36" spans="1:76" x14ac:dyDescent="0.25">
      <c r="B36" s="29" t="s">
        <v>15</v>
      </c>
      <c r="E36" s="16"/>
      <c r="F36" s="16"/>
      <c r="G36" s="172"/>
      <c r="H36" s="16"/>
      <c r="I36" s="16"/>
      <c r="J36" s="16"/>
      <c r="K36" s="16"/>
      <c r="L36" s="16"/>
      <c r="M36" s="16"/>
      <c r="N36" s="16"/>
      <c r="O36" s="16"/>
      <c r="P36" s="16"/>
      <c r="Q36" s="16"/>
      <c r="R36" s="16"/>
      <c r="S36" s="16"/>
      <c r="T36" s="157"/>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570"/>
    </row>
    <row r="37" spans="1:76" hidden="1" outlineLevel="1" x14ac:dyDescent="0.25">
      <c r="C37" s="29" t="s">
        <v>16</v>
      </c>
      <c r="E37" s="16"/>
      <c r="F37" s="16"/>
      <c r="G37" s="172"/>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570"/>
    </row>
    <row r="38" spans="1:76" hidden="1" outlineLevel="1" x14ac:dyDescent="0.25">
      <c r="B38" s="133"/>
      <c r="C38" s="40" t="s">
        <v>223</v>
      </c>
      <c r="D38" s="307"/>
      <c r="E38" s="17">
        <f>'Cost Summary'!C17</f>
        <v>34017.993179999998</v>
      </c>
      <c r="F38" s="17">
        <f>'Cost Summary'!D17</f>
        <v>34542.950689999998</v>
      </c>
      <c r="G38" s="174">
        <f>'Cost Summary'!E17</f>
        <v>30852.619060000001</v>
      </c>
      <c r="H38" s="17">
        <f>'Cost Summary'!F17</f>
        <v>35093.753120000001</v>
      </c>
      <c r="I38" s="17">
        <f>'Cost Summary'!G17</f>
        <v>39242.344689999998</v>
      </c>
      <c r="J38" s="17">
        <f>'Cost Summary'!H17</f>
        <v>58312.668250000002</v>
      </c>
      <c r="K38" s="17">
        <f>'Cost Summary'!I17</f>
        <v>49675.559130000001</v>
      </c>
      <c r="L38" s="17">
        <f>'Cost Summary'!J17</f>
        <v>63917.624900000003</v>
      </c>
      <c r="M38" s="224">
        <f>'Cost Summary'!K17</f>
        <v>49268.545660000003</v>
      </c>
      <c r="N38" s="224">
        <f>'Cost Summary'!L17</f>
        <v>44395.188029999998</v>
      </c>
      <c r="O38" s="17">
        <f>'Cost Summary'!M17</f>
        <v>68735.622730000003</v>
      </c>
      <c r="P38" s="17">
        <f>'Cost Summary'!N17</f>
        <v>68706.519369999995</v>
      </c>
      <c r="Q38" s="17">
        <f>'Cost Summary'!O17</f>
        <v>108819.14</v>
      </c>
      <c r="R38" s="17">
        <f>'Cost Summary'!P17</f>
        <v>88746.52</v>
      </c>
      <c r="S38" s="17">
        <f>'Cost Summary'!Q17</f>
        <v>147580.19</v>
      </c>
      <c r="T38" s="17">
        <f>'Cost Summary'!R17</f>
        <v>118226.94</v>
      </c>
      <c r="U38" s="17">
        <f>'Cost Summary'!S17</f>
        <v>122808.24</v>
      </c>
      <c r="V38" s="17">
        <f>'Cost Summary'!T17</f>
        <v>103263.89</v>
      </c>
      <c r="W38" s="17">
        <f>'Cost Summary'!U17</f>
        <v>132491.95000000001</v>
      </c>
      <c r="X38" s="17">
        <f>'Cost Summary'!V17</f>
        <v>115863.47</v>
      </c>
      <c r="Y38" s="17">
        <f>'Cost Summary'!W17</f>
        <v>131784.16</v>
      </c>
      <c r="Z38" s="17">
        <f>'Cost Summary'!X17</f>
        <v>163135.63</v>
      </c>
      <c r="AA38" s="575">
        <f>'Cost Summary'!Y17</f>
        <v>129571.93</v>
      </c>
      <c r="AB38" s="17">
        <f>'Cost Summary'!Z17</f>
        <v>137228.06</v>
      </c>
      <c r="AC38" s="17">
        <f>'Cost Summary'!AA17</f>
        <v>146192.46</v>
      </c>
      <c r="AD38" s="17">
        <f>'Cost Summary'!AB17</f>
        <v>125489.62</v>
      </c>
      <c r="AE38" s="17">
        <f>'Cost Summary'!AC17</f>
        <v>136806.78</v>
      </c>
      <c r="AF38" s="17">
        <f>'Cost Summary'!AD17</f>
        <v>203234.43053637672</v>
      </c>
      <c r="AG38" s="17">
        <f>'Cost Summary'!AE17</f>
        <v>199916.41758612401</v>
      </c>
      <c r="AH38" s="17">
        <f>'Cost Summary'!AF17</f>
        <v>220076.88128856901</v>
      </c>
      <c r="AI38" s="17">
        <f>'Cost Summary'!AG17</f>
        <v>207814.06972838673</v>
      </c>
      <c r="AJ38" s="17">
        <f>'Cost Summary'!AH17</f>
        <v>209497.62162489718</v>
      </c>
      <c r="AK38" s="17">
        <f>'Cost Summary'!AI17</f>
        <v>210620.25906908672</v>
      </c>
      <c r="AL38" s="17">
        <f>'Cost Summary'!AJ17</f>
        <v>211632.00712357208</v>
      </c>
      <c r="AM38" s="17">
        <f>'Cost Summary'!AK17</f>
        <v>212639.10474594988</v>
      </c>
      <c r="AN38" s="17">
        <f>'Cost Summary'!AL17</f>
        <v>214941.71466265741</v>
      </c>
      <c r="AO38" s="17">
        <f>'Cost Summary'!AM17</f>
        <v>219822.1416366054</v>
      </c>
      <c r="AP38" s="17">
        <f>'Cost Summary'!AN17</f>
        <v>217925.81179156931</v>
      </c>
      <c r="AQ38" s="17">
        <f>'Cost Summary'!AO17</f>
        <v>219460.328523693</v>
      </c>
      <c r="AR38" s="17">
        <f>'Cost Summary'!AP17</f>
        <v>221027.70083512948</v>
      </c>
      <c r="AS38" s="17">
        <f>'Cost Summary'!AQ17</f>
        <v>222425.86535239327</v>
      </c>
      <c r="AT38" s="17">
        <f>'Cost Summary'!AR17</f>
        <v>223849.62084449935</v>
      </c>
      <c r="AU38" s="17">
        <f>'Cost Summary'!AS17</f>
        <v>225269.74209882884</v>
      </c>
      <c r="AV38" s="17">
        <f>'Cost Summary'!AT17</f>
        <v>226676.50555925863</v>
      </c>
      <c r="AW38" s="17">
        <f>'Cost Summary'!AU17</f>
        <v>228059.95079993008</v>
      </c>
      <c r="AX38" s="17">
        <f>'Cost Summary'!AV17</f>
        <v>229465.22345385817</v>
      </c>
      <c r="AY38" s="17">
        <f>'Cost Summary'!AW17</f>
        <v>230902.62505476264</v>
      </c>
      <c r="AZ38" s="17">
        <f>'Cost Summary'!AX17</f>
        <v>237494.18790812782</v>
      </c>
      <c r="BA38" s="17">
        <f>'Cost Summary'!AY17</f>
        <v>242891.10659508422</v>
      </c>
      <c r="BB38" s="17">
        <f>'Cost Summary'!AZ17</f>
        <v>240649.9951737668</v>
      </c>
      <c r="BC38" s="17">
        <f>'Cost Summary'!BA17</f>
        <v>242229.34396785547</v>
      </c>
      <c r="BD38" s="17">
        <f>'Cost Summary'!BB17</f>
        <v>243816.23815440887</v>
      </c>
      <c r="BE38" s="17">
        <f>'Cost Summary'!BC17</f>
        <v>245410.30842892686</v>
      </c>
      <c r="BF38" s="17">
        <f>'Cost Summary'!BD17</f>
        <v>247004.30357949642</v>
      </c>
      <c r="BG38" s="17">
        <f>'Cost Summary'!BE17</f>
        <v>248618.34075918075</v>
      </c>
      <c r="BH38" s="17">
        <f>'Cost Summary'!BF17</f>
        <v>250250.8477828383</v>
      </c>
      <c r="BI38" s="17">
        <f>'Cost Summary'!BG17</f>
        <v>251904.52560834278</v>
      </c>
      <c r="BJ38" s="17">
        <f>'Cost Summary'!BH17</f>
        <v>253584.06776208663</v>
      </c>
      <c r="BK38" s="17">
        <f>'Cost Summary'!BI17</f>
        <v>255290.21345623824</v>
      </c>
      <c r="BL38" s="17">
        <f>'Cost Summary'!BJ17</f>
        <v>262279.30718901794</v>
      </c>
      <c r="BM38" s="575">
        <f>'Cost Summary'!BK17</f>
        <v>268006.42157869349</v>
      </c>
      <c r="BN38" s="575">
        <f>'Cost Summary'!BL17</f>
        <v>265863.35038046213</v>
      </c>
      <c r="BO38" s="575">
        <f>'Cost Summary'!BM17</f>
        <v>267680.0424887868</v>
      </c>
      <c r="BP38" s="575">
        <f>'Cost Summary'!BN17</f>
        <v>269521.10406981327</v>
      </c>
      <c r="BQ38" s="575">
        <f>'Cost Summary'!BO17</f>
        <v>271386.57610850781</v>
      </c>
      <c r="BR38" s="575">
        <f>'Cost Summary'!BP17</f>
        <v>273277.98373379256</v>
      </c>
      <c r="BS38" s="575">
        <f>'Cost Summary'!BQ17</f>
        <v>275197.2475055512</v>
      </c>
      <c r="BT38" s="575">
        <f>'Cost Summary'!BR17</f>
        <v>277147.15913759149</v>
      </c>
      <c r="BU38" s="575">
        <f>'Cost Summary'!BS17</f>
        <v>279128.43617762142</v>
      </c>
      <c r="BV38" s="575">
        <f>'Cost Summary'!BT17</f>
        <v>281142.24684484926</v>
      </c>
      <c r="BW38" s="575">
        <f>'Cost Summary'!BU17</f>
        <v>283189.42810586671</v>
      </c>
      <c r="BX38" s="575" t="e">
        <f>'Cost Summary'!BV17</f>
        <v>#REF!</v>
      </c>
    </row>
    <row r="39" spans="1:76" ht="15.75" hidden="1" outlineLevel="1" thickBot="1" x14ac:dyDescent="0.3">
      <c r="B39" s="133"/>
      <c r="C39" s="41" t="s">
        <v>4</v>
      </c>
      <c r="D39" s="225"/>
      <c r="E39" s="20">
        <f>'Cost Summary'!C18</f>
        <v>122743.50469</v>
      </c>
      <c r="F39" s="20">
        <f>'Cost Summary'!D18</f>
        <v>165589.8769</v>
      </c>
      <c r="G39" s="20">
        <f>'Cost Summary'!E18</f>
        <v>193250.67444999999</v>
      </c>
      <c r="H39" s="20">
        <f>'Cost Summary'!F18</f>
        <v>185825.60762</v>
      </c>
      <c r="I39" s="20">
        <f>'Cost Summary'!G18</f>
        <v>149635.46805</v>
      </c>
      <c r="J39" s="20">
        <f>'Cost Summary'!H18</f>
        <v>169801.64715999999</v>
      </c>
      <c r="K39" s="20">
        <f>'Cost Summary'!I18</f>
        <v>149358.31896999999</v>
      </c>
      <c r="L39" s="20">
        <f>'Cost Summary'!J18</f>
        <v>172621.19657999999</v>
      </c>
      <c r="M39" s="225">
        <f>'Cost Summary'!K18</f>
        <v>167594.95439999999</v>
      </c>
      <c r="N39" s="225">
        <f>'Cost Summary'!L18</f>
        <v>180125.49536999999</v>
      </c>
      <c r="O39" s="20">
        <f>'Cost Summary'!M18</f>
        <v>120151.0729</v>
      </c>
      <c r="P39" s="20">
        <f>'Cost Summary'!N18</f>
        <v>98802.597529999999</v>
      </c>
      <c r="Q39" s="20">
        <f>'Cost Summary'!O18</f>
        <v>296216.34999999998</v>
      </c>
      <c r="R39" s="20">
        <f>'Cost Summary'!P18</f>
        <v>221717.66</v>
      </c>
      <c r="S39" s="20">
        <f>'Cost Summary'!Q18</f>
        <v>288431.05</v>
      </c>
      <c r="T39" s="20">
        <f>'Cost Summary'!R18</f>
        <v>276885.86</v>
      </c>
      <c r="U39" s="20">
        <f>'Cost Summary'!S18</f>
        <v>308903.64</v>
      </c>
      <c r="V39" s="20">
        <f>'Cost Summary'!T18</f>
        <v>489734.78</v>
      </c>
      <c r="W39" s="20">
        <f>'Cost Summary'!U18</f>
        <v>734273.72</v>
      </c>
      <c r="X39" s="20">
        <f>'Cost Summary'!V18</f>
        <v>694948.04</v>
      </c>
      <c r="Y39" s="20">
        <f>'Cost Summary'!W18</f>
        <v>478873.26</v>
      </c>
      <c r="Z39" s="20">
        <f>'Cost Summary'!X18</f>
        <v>431771.88</v>
      </c>
      <c r="AA39" s="225">
        <f>'Cost Summary'!Y18</f>
        <v>469217.29</v>
      </c>
      <c r="AB39" s="20">
        <f>'Cost Summary'!Z18</f>
        <v>373012.06</v>
      </c>
      <c r="AC39" s="20">
        <f>'Cost Summary'!AA18</f>
        <v>416289.09</v>
      </c>
      <c r="AD39" s="20">
        <f>'Cost Summary'!AB18</f>
        <v>421370.4</v>
      </c>
      <c r="AE39" s="20">
        <f>'Cost Summary'!AC18</f>
        <v>624553.94999999995</v>
      </c>
      <c r="AF39" s="20">
        <f>'Cost Summary'!AD18</f>
        <v>992824.26982257632</v>
      </c>
      <c r="AG39" s="20">
        <f>'Cost Summary'!AE18</f>
        <v>856260.54917848599</v>
      </c>
      <c r="AH39" s="20">
        <f>'Cost Summary'!AF18</f>
        <v>917452.69703410799</v>
      </c>
      <c r="AI39" s="20">
        <f>'Cost Summary'!AG18</f>
        <v>995698.94098174374</v>
      </c>
      <c r="AJ39" s="20">
        <f>'Cost Summary'!AH18</f>
        <v>703139.76439230214</v>
      </c>
      <c r="AK39" s="20">
        <f>'Cost Summary'!AI18</f>
        <v>743646.84171212488</v>
      </c>
      <c r="AL39" s="20">
        <f>'Cost Summary'!AJ18</f>
        <v>884217.69731595251</v>
      </c>
      <c r="AM39" s="20">
        <f>'Cost Summary'!AK18</f>
        <v>704687.88195740036</v>
      </c>
      <c r="AN39" s="20">
        <f>'Cost Summary'!AL18</f>
        <v>702454.33487068978</v>
      </c>
      <c r="AO39" s="20">
        <f>'Cost Summary'!AM18</f>
        <v>7659523.7152593788</v>
      </c>
      <c r="AP39" s="20">
        <f>'Cost Summary'!AN18</f>
        <v>143448.01819817346</v>
      </c>
      <c r="AQ39" s="20">
        <f>'Cost Summary'!AO18</f>
        <v>143915.49302760494</v>
      </c>
      <c r="AR39" s="20">
        <f>'Cost Summary'!AP18</f>
        <v>144423.13972494262</v>
      </c>
      <c r="AS39" s="20">
        <f>'Cost Summary'!AQ18</f>
        <v>144880.77863365723</v>
      </c>
      <c r="AT39" s="20">
        <f>'Cost Summary'!AR18</f>
        <v>145436.69942233351</v>
      </c>
      <c r="AU39" s="20">
        <f>'Cost Summary'!AS18</f>
        <v>145983.64780205308</v>
      </c>
      <c r="AV39" s="20">
        <f>'Cost Summary'!AT18</f>
        <v>146549.6301020268</v>
      </c>
      <c r="AW39" s="20">
        <f>'Cost Summary'!AU18</f>
        <v>147124.19063448117</v>
      </c>
      <c r="AX39" s="20">
        <f>'Cost Summary'!AV18</f>
        <v>147704.89059482093</v>
      </c>
      <c r="AY39" s="20">
        <f>'Cost Summary'!AW18</f>
        <v>148295.72773583303</v>
      </c>
      <c r="AZ39" s="20">
        <f>'Cost Summary'!AX18</f>
        <v>148890.08112179255</v>
      </c>
      <c r="BA39" s="20">
        <f>'Cost Summary'!AY18</f>
        <v>151151.3135750308</v>
      </c>
      <c r="BB39" s="20">
        <f>'Cost Summary'!AZ18</f>
        <v>553898.58887443761</v>
      </c>
      <c r="BC39" s="20">
        <f>'Cost Summary'!BA18</f>
        <v>554527.43524138536</v>
      </c>
      <c r="BD39" s="20">
        <f>'Cost Summary'!BB18</f>
        <v>555145.82920107374</v>
      </c>
      <c r="BE39" s="20">
        <f>'Cost Summary'!BC18</f>
        <v>555783.51611000474</v>
      </c>
      <c r="BF39" s="20">
        <f>'Cost Summary'!BD18</f>
        <v>556430.82226857438</v>
      </c>
      <c r="BG39" s="20">
        <f>'Cost Summary'!BE18</f>
        <v>557096.43063380639</v>
      </c>
      <c r="BH39" s="20">
        <f>'Cost Summary'!BF18</f>
        <v>557770.28110744513</v>
      </c>
      <c r="BI39" s="20">
        <f>'Cost Summary'!BG18</f>
        <v>558454.79968813248</v>
      </c>
      <c r="BJ39" s="20">
        <f>'Cost Summary'!BH18</f>
        <v>559149.9607396744</v>
      </c>
      <c r="BK39" s="20">
        <f>'Cost Summary'!BI18</f>
        <v>559855.84787920176</v>
      </c>
      <c r="BL39" s="20">
        <f>'Cost Summary'!BJ18</f>
        <v>560572.61750566808</v>
      </c>
      <c r="BM39" s="225">
        <f>'Cost Summary'!BK18</f>
        <v>163015.62621492424</v>
      </c>
      <c r="BN39" s="225">
        <f>'Cost Summary'!BL18</f>
        <v>165958.47491921863</v>
      </c>
      <c r="BO39" s="225">
        <f>'Cost Summary'!BM18</f>
        <v>166723.85881278952</v>
      </c>
      <c r="BP39" s="225">
        <f>'Cost Summary'!BN18</f>
        <v>167502.27527709852</v>
      </c>
      <c r="BQ39" s="225">
        <f>'Cost Summary'!BO18</f>
        <v>168294.32149610706</v>
      </c>
      <c r="BR39" s="225">
        <f>'Cost Summary'!BP18</f>
        <v>169102.29697429587</v>
      </c>
      <c r="BS39" s="225">
        <f>'Cost Summary'!BQ18</f>
        <v>169925.67222259211</v>
      </c>
      <c r="BT39" s="225">
        <f>'Cost Summary'!BR18</f>
        <v>170765.12390291388</v>
      </c>
      <c r="BU39" s="225">
        <f>'Cost Summary'!BS18</f>
        <v>171620.36800031218</v>
      </c>
      <c r="BV39" s="225">
        <f>'Cost Summary'!BT18</f>
        <v>172492.33024611211</v>
      </c>
      <c r="BW39" s="225">
        <f>'Cost Summary'!BU18</f>
        <v>173381.5539148477</v>
      </c>
      <c r="BX39" s="225">
        <f>'Cost Summary'!BV18</f>
        <v>174288.69625644223</v>
      </c>
    </row>
    <row r="40" spans="1:76" collapsed="1" x14ac:dyDescent="0.25">
      <c r="A40" s="29"/>
      <c r="B40" s="29"/>
      <c r="C40" s="29" t="s">
        <v>16</v>
      </c>
      <c r="D40" s="165"/>
      <c r="E40" s="8">
        <f t="shared" ref="E40:M40" si="20">SUM(E38:E39)</f>
        <v>156761.49786999999</v>
      </c>
      <c r="F40" s="8">
        <f t="shared" si="20"/>
        <v>200132.82759</v>
      </c>
      <c r="G40" s="165">
        <f t="shared" si="20"/>
        <v>224103.29350999999</v>
      </c>
      <c r="H40" s="8">
        <f t="shared" si="20"/>
        <v>220919.36074</v>
      </c>
      <c r="I40" s="8">
        <f t="shared" si="20"/>
        <v>188877.81273999999</v>
      </c>
      <c r="J40" s="8">
        <f t="shared" si="20"/>
        <v>228114.31540999998</v>
      </c>
      <c r="K40" s="8">
        <f t="shared" si="20"/>
        <v>199033.8781</v>
      </c>
      <c r="L40" s="8">
        <f t="shared" si="20"/>
        <v>236538.82147999998</v>
      </c>
      <c r="M40" s="8">
        <f t="shared" si="20"/>
        <v>216863.50005999999</v>
      </c>
      <c r="N40" s="8">
        <f>SUM(N38:N39)</f>
        <v>224520.68339999998</v>
      </c>
      <c r="O40" s="8">
        <f t="shared" ref="O40:AT40" si="21">SUM(O38:O39)</f>
        <v>188886.69563</v>
      </c>
      <c r="P40" s="8">
        <f t="shared" si="21"/>
        <v>167509.11689999999</v>
      </c>
      <c r="Q40" s="8">
        <f t="shared" si="21"/>
        <v>405035.49</v>
      </c>
      <c r="R40" s="8">
        <f t="shared" si="21"/>
        <v>310464.18</v>
      </c>
      <c r="S40" s="8">
        <f t="shared" si="21"/>
        <v>436011.24</v>
      </c>
      <c r="T40" s="8">
        <f t="shared" si="21"/>
        <v>395112.8</v>
      </c>
      <c r="U40" s="8">
        <f t="shared" si="21"/>
        <v>431711.88</v>
      </c>
      <c r="V40" s="8">
        <f t="shared" si="21"/>
        <v>592998.67000000004</v>
      </c>
      <c r="W40" s="8">
        <f t="shared" si="21"/>
        <v>866765.66999999993</v>
      </c>
      <c r="X40" s="8">
        <f t="shared" si="21"/>
        <v>810811.51</v>
      </c>
      <c r="Y40" s="8">
        <f t="shared" si="21"/>
        <v>610657.42000000004</v>
      </c>
      <c r="Z40" s="8">
        <f t="shared" si="21"/>
        <v>594907.51</v>
      </c>
      <c r="AA40" s="165">
        <f t="shared" ref="AA40" si="22">SUM(AA38:AA39)</f>
        <v>598789.22</v>
      </c>
      <c r="AB40" s="8">
        <f t="shared" si="21"/>
        <v>510240.12</v>
      </c>
      <c r="AC40" s="8">
        <f t="shared" si="21"/>
        <v>562481.55000000005</v>
      </c>
      <c r="AD40" s="8">
        <f t="shared" si="21"/>
        <v>546860.02</v>
      </c>
      <c r="AE40" s="8">
        <f t="shared" si="21"/>
        <v>761360.73</v>
      </c>
      <c r="AF40" s="8">
        <f t="shared" si="21"/>
        <v>1196058.7003589531</v>
      </c>
      <c r="AG40" s="8">
        <f t="shared" si="21"/>
        <v>1056176.96676461</v>
      </c>
      <c r="AH40" s="8">
        <f t="shared" si="21"/>
        <v>1137529.5783226769</v>
      </c>
      <c r="AI40" s="8">
        <f t="shared" si="21"/>
        <v>1203513.0107101304</v>
      </c>
      <c r="AJ40" s="8">
        <f t="shared" si="21"/>
        <v>912637.38601719937</v>
      </c>
      <c r="AK40" s="8">
        <f t="shared" si="21"/>
        <v>954267.10078121163</v>
      </c>
      <c r="AL40" s="8">
        <f t="shared" si="21"/>
        <v>1095849.7044395246</v>
      </c>
      <c r="AM40" s="8">
        <f t="shared" si="21"/>
        <v>917326.98670335021</v>
      </c>
      <c r="AN40" s="8">
        <f t="shared" si="21"/>
        <v>917396.04953334713</v>
      </c>
      <c r="AO40" s="8">
        <f t="shared" si="21"/>
        <v>7879345.8568959842</v>
      </c>
      <c r="AP40" s="8">
        <f t="shared" si="21"/>
        <v>361373.82998974278</v>
      </c>
      <c r="AQ40" s="8">
        <f t="shared" si="21"/>
        <v>363375.82155129791</v>
      </c>
      <c r="AR40" s="8">
        <f t="shared" si="21"/>
        <v>365450.8405600721</v>
      </c>
      <c r="AS40" s="8">
        <f t="shared" si="21"/>
        <v>367306.64398605051</v>
      </c>
      <c r="AT40" s="8">
        <f t="shared" si="21"/>
        <v>369286.32026683283</v>
      </c>
      <c r="AU40" s="8">
        <f t="shared" ref="AU40:BL40" si="23">SUM(AU38:AU39)</f>
        <v>371253.38990088191</v>
      </c>
      <c r="AV40" s="8">
        <f t="shared" si="23"/>
        <v>373226.13566128543</v>
      </c>
      <c r="AW40" s="8">
        <f t="shared" si="23"/>
        <v>375184.14143441129</v>
      </c>
      <c r="AX40" s="8">
        <f t="shared" si="23"/>
        <v>377170.11404867913</v>
      </c>
      <c r="AY40" s="8">
        <f t="shared" si="23"/>
        <v>379198.35279059567</v>
      </c>
      <c r="AZ40" s="8">
        <f t="shared" si="23"/>
        <v>386384.26902992034</v>
      </c>
      <c r="BA40" s="8">
        <f t="shared" si="23"/>
        <v>394042.42017011502</v>
      </c>
      <c r="BB40" s="8">
        <f t="shared" si="23"/>
        <v>794548.58404820436</v>
      </c>
      <c r="BC40" s="8">
        <f t="shared" si="23"/>
        <v>796756.77920924081</v>
      </c>
      <c r="BD40" s="8">
        <f t="shared" si="23"/>
        <v>798962.06735548261</v>
      </c>
      <c r="BE40" s="8">
        <f t="shared" si="23"/>
        <v>801193.8245389316</v>
      </c>
      <c r="BF40" s="8">
        <f t="shared" si="23"/>
        <v>803435.12584807083</v>
      </c>
      <c r="BG40" s="8">
        <f t="shared" si="23"/>
        <v>805714.77139298711</v>
      </c>
      <c r="BH40" s="8">
        <f t="shared" si="23"/>
        <v>808021.12889028341</v>
      </c>
      <c r="BI40" s="8">
        <f t="shared" si="23"/>
        <v>810359.32529647532</v>
      </c>
      <c r="BJ40" s="8">
        <f t="shared" si="23"/>
        <v>812734.02850176103</v>
      </c>
      <c r="BK40" s="8">
        <f t="shared" si="23"/>
        <v>815146.06133544003</v>
      </c>
      <c r="BL40" s="8">
        <f t="shared" si="23"/>
        <v>822851.92469468596</v>
      </c>
      <c r="BM40" s="165">
        <f t="shared" ref="BM40:BX40" si="24">SUM(BM38:BM39)</f>
        <v>431022.0477936177</v>
      </c>
      <c r="BN40" s="165">
        <f t="shared" si="24"/>
        <v>431821.82529968076</v>
      </c>
      <c r="BO40" s="165">
        <f t="shared" si="24"/>
        <v>434403.90130157629</v>
      </c>
      <c r="BP40" s="165">
        <f t="shared" si="24"/>
        <v>437023.3793469118</v>
      </c>
      <c r="BQ40" s="165">
        <f t="shared" si="24"/>
        <v>439680.89760461485</v>
      </c>
      <c r="BR40" s="165">
        <f t="shared" si="24"/>
        <v>442380.28070808842</v>
      </c>
      <c r="BS40" s="165">
        <f t="shared" si="24"/>
        <v>445122.91972814332</v>
      </c>
      <c r="BT40" s="165">
        <f t="shared" si="24"/>
        <v>447912.28304050537</v>
      </c>
      <c r="BU40" s="165">
        <f t="shared" si="24"/>
        <v>450748.80417793361</v>
      </c>
      <c r="BV40" s="165">
        <f t="shared" si="24"/>
        <v>453634.57709096139</v>
      </c>
      <c r="BW40" s="165">
        <f t="shared" si="24"/>
        <v>456570.98202071444</v>
      </c>
      <c r="BX40" s="165" t="e">
        <f t="shared" si="24"/>
        <v>#REF!</v>
      </c>
    </row>
    <row r="41" spans="1:76" x14ac:dyDescent="0.25">
      <c r="D41" s="307"/>
      <c r="E41" s="17"/>
      <c r="F41" s="17"/>
      <c r="G41" s="174"/>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575"/>
      <c r="BN41" s="575"/>
      <c r="BO41" s="575"/>
      <c r="BP41" s="575"/>
      <c r="BQ41" s="575"/>
      <c r="BR41" s="575"/>
      <c r="BS41" s="575"/>
      <c r="BT41" s="575"/>
      <c r="BU41" s="575"/>
      <c r="BV41" s="575"/>
      <c r="BW41" s="575"/>
      <c r="BX41" s="575"/>
    </row>
    <row r="42" spans="1:76" hidden="1" outlineLevel="1" x14ac:dyDescent="0.25">
      <c r="C42" s="29" t="s">
        <v>17</v>
      </c>
      <c r="D42" s="307"/>
      <c r="E42" s="17"/>
      <c r="F42" s="17"/>
      <c r="G42" s="174"/>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575"/>
      <c r="BN42" s="575"/>
      <c r="BO42" s="575"/>
      <c r="BP42" s="575"/>
      <c r="BQ42" s="575"/>
      <c r="BR42" s="575"/>
      <c r="BS42" s="575"/>
      <c r="BT42" s="575"/>
      <c r="BU42" s="575"/>
      <c r="BV42" s="575"/>
      <c r="BW42" s="575"/>
      <c r="BX42" s="575"/>
    </row>
    <row r="43" spans="1:76" s="150" customFormat="1" hidden="1" outlineLevel="1" x14ac:dyDescent="0.25">
      <c r="C43" s="42" t="s">
        <v>340</v>
      </c>
      <c r="D43" s="307"/>
      <c r="E43" s="17">
        <f>'Cost Summary'!C21</f>
        <v>28936.19499</v>
      </c>
      <c r="F43" s="17">
        <f>'Cost Summary'!D21</f>
        <v>29068.384699999999</v>
      </c>
      <c r="G43" s="174">
        <f>'Cost Summary'!E21</f>
        <v>24260.56236</v>
      </c>
      <c r="H43" s="17">
        <f>'Cost Summary'!F21</f>
        <v>33096.835249999996</v>
      </c>
      <c r="I43" s="17">
        <f>'Cost Summary'!G21</f>
        <v>30687.359680000001</v>
      </c>
      <c r="J43" s="17">
        <f>'Cost Summary'!H21</f>
        <v>42573.263429999999</v>
      </c>
      <c r="K43" s="17">
        <f>'Cost Summary'!I21</f>
        <v>31775.71715</v>
      </c>
      <c r="L43" s="17">
        <f>'Cost Summary'!J21</f>
        <v>37195.632060000004</v>
      </c>
      <c r="M43" s="17">
        <f>'Cost Summary'!K21</f>
        <v>32910.646090000002</v>
      </c>
      <c r="N43" s="224">
        <f>'Cost Summary'!L21</f>
        <v>39324.872450000003</v>
      </c>
      <c r="O43" s="224">
        <f>'Cost Summary'!M21</f>
        <v>67613.394060000006</v>
      </c>
      <c r="P43" s="224">
        <f>'Cost Summary'!N21</f>
        <v>60692.076639999999</v>
      </c>
      <c r="Q43" s="224">
        <f>'Cost Summary'!O21</f>
        <v>65871.12</v>
      </c>
      <c r="R43" s="224">
        <f>'Cost Summary'!P21</f>
        <v>36487.94</v>
      </c>
      <c r="S43" s="224">
        <f>'Cost Summary'!Q21</f>
        <v>74794.22</v>
      </c>
      <c r="T43" s="224">
        <f>'Cost Summary'!R21</f>
        <v>63212.36</v>
      </c>
      <c r="U43" s="224">
        <f>'Cost Summary'!S21</f>
        <v>98531.67</v>
      </c>
      <c r="V43" s="224">
        <f>'Cost Summary'!T21</f>
        <v>83189.5</v>
      </c>
      <c r="W43" s="224">
        <f>'Cost Summary'!U21</f>
        <v>111312.5</v>
      </c>
      <c r="X43" s="224">
        <f>'Cost Summary'!V21</f>
        <v>108879.77</v>
      </c>
      <c r="Y43" s="224">
        <f>'Cost Summary'!W21</f>
        <v>97885.34</v>
      </c>
      <c r="Z43" s="224">
        <f>'Cost Summary'!X21</f>
        <v>110090.17</v>
      </c>
      <c r="AA43" s="575">
        <f>'Cost Summary'!Y21</f>
        <v>105787.7</v>
      </c>
      <c r="AB43" s="224">
        <f>'Cost Summary'!Z21</f>
        <v>135096.85</v>
      </c>
      <c r="AC43" s="224">
        <f>'Cost Summary'!AA21</f>
        <v>173259.54</v>
      </c>
      <c r="AD43" s="224">
        <f>'Cost Summary'!AB21</f>
        <v>137737.29999999999</v>
      </c>
      <c r="AE43" s="224">
        <f>'Cost Summary'!AC21</f>
        <v>143437.01</v>
      </c>
      <c r="AF43" s="224">
        <f>'Cost Summary'!AD21</f>
        <v>237780.44377061751</v>
      </c>
      <c r="AG43" s="224">
        <f>'Cost Summary'!AE21</f>
        <v>251213.41672347276</v>
      </c>
      <c r="AH43" s="224">
        <f>'Cost Summary'!AF21</f>
        <v>255595.10432728531</v>
      </c>
      <c r="AI43" s="224">
        <f>'Cost Summary'!AG21</f>
        <v>252324.58778144507</v>
      </c>
      <c r="AJ43" s="224">
        <f>'Cost Summary'!AH21</f>
        <v>253533.87649724251</v>
      </c>
      <c r="AK43" s="224">
        <f>'Cost Summary'!AI21</f>
        <v>251206.80057180446</v>
      </c>
      <c r="AL43" s="224">
        <f>'Cost Summary'!AJ21</f>
        <v>252466.81315373944</v>
      </c>
      <c r="AM43" s="224">
        <f>'Cost Summary'!AK21</f>
        <v>253162.99743894039</v>
      </c>
      <c r="AN43" s="224">
        <f>'Cost Summary'!AL21</f>
        <v>254038.4077724026</v>
      </c>
      <c r="AO43" s="224">
        <f>'Cost Summary'!AM21</f>
        <v>245773.51327880847</v>
      </c>
      <c r="AP43" s="224">
        <f>'Cost Summary'!AN21</f>
        <v>213425.87908339451</v>
      </c>
      <c r="AQ43" s="224">
        <f>'Cost Summary'!AO21</f>
        <v>214267.60800014989</v>
      </c>
      <c r="AR43" s="224">
        <f>'Cost Summary'!AP21</f>
        <v>215171.57288279859</v>
      </c>
      <c r="AS43" s="224">
        <f>'Cost Summary'!AQ21</f>
        <v>215904.15878812029</v>
      </c>
      <c r="AT43" s="224">
        <f>'Cost Summary'!AR21</f>
        <v>216872.63882349854</v>
      </c>
      <c r="AU43" s="224">
        <f>'Cost Summary'!AS21</f>
        <v>217806.63229517368</v>
      </c>
      <c r="AV43" s="224">
        <f>'Cost Summary'!AT21</f>
        <v>218728.20924499788</v>
      </c>
      <c r="AW43" s="224">
        <f>'Cost Summary'!AU21</f>
        <v>219635.60147553985</v>
      </c>
      <c r="AX43" s="224">
        <f>'Cost Summary'!AV21</f>
        <v>220544.16983393533</v>
      </c>
      <c r="AY43" s="224">
        <f>'Cost Summary'!AW21</f>
        <v>221437.1986135522</v>
      </c>
      <c r="AZ43" s="224">
        <f>'Cost Summary'!AX21</f>
        <v>222344.93160230739</v>
      </c>
      <c r="BA43" s="224">
        <f>'Cost Summary'!AY21</f>
        <v>217838.79942629687</v>
      </c>
      <c r="BB43" s="224">
        <f>'Cost Summary'!AZ21</f>
        <v>222951.14280841697</v>
      </c>
      <c r="BC43" s="224">
        <f>'Cost Summary'!BA21</f>
        <v>223931.8716007997</v>
      </c>
      <c r="BD43" s="224">
        <f>'Cost Summary'!BB21</f>
        <v>224892.69788370602</v>
      </c>
      <c r="BE43" s="224">
        <f>'Cost Summary'!BC21</f>
        <v>225865.40955998318</v>
      </c>
      <c r="BF43" s="224">
        <f>'Cost Summary'!BD21</f>
        <v>226848.48609917125</v>
      </c>
      <c r="BG43" s="224">
        <f>'Cost Summary'!BE21</f>
        <v>227855.99668089004</v>
      </c>
      <c r="BH43" s="224">
        <f>'Cost Summary'!BF21</f>
        <v>228862.84413263758</v>
      </c>
      <c r="BI43" s="224">
        <f>'Cost Summary'!BG21</f>
        <v>229877.59890231353</v>
      </c>
      <c r="BJ43" s="224">
        <f>'Cost Summary'!BH21</f>
        <v>230900.66031240337</v>
      </c>
      <c r="BK43" s="224">
        <f>'Cost Summary'!BI21</f>
        <v>231933.16780236043</v>
      </c>
      <c r="BL43" s="224">
        <f>'Cost Summary'!BJ21</f>
        <v>232977.01385587451</v>
      </c>
      <c r="BM43" s="575">
        <f>'Cost Summary'!BK21</f>
        <v>235430.92069560022</v>
      </c>
      <c r="BN43" s="575">
        <f>'Cost Summary'!BL21</f>
        <v>240857.11118414431</v>
      </c>
      <c r="BO43" s="575">
        <f>'Cost Summary'!BM21</f>
        <v>241953.35129897686</v>
      </c>
      <c r="BP43" s="575">
        <f>'Cost Summary'!BN21</f>
        <v>243063.34710577744</v>
      </c>
      <c r="BQ43" s="575">
        <f>'Cost Summary'!BO21</f>
        <v>244184.30008675769</v>
      </c>
      <c r="BR43" s="575">
        <f>'Cost Summary'!BP21</f>
        <v>245319.99723332858</v>
      </c>
      <c r="BS43" s="575">
        <f>'Cost Summary'!BQ21</f>
        <v>246469.87558148909</v>
      </c>
      <c r="BT43" s="575">
        <f>'Cost Summary'!BR21</f>
        <v>247634.3906532423</v>
      </c>
      <c r="BU43" s="575">
        <f>'Cost Summary'!BS21</f>
        <v>248812.46664943016</v>
      </c>
      <c r="BV43" s="575">
        <f>'Cost Summary'!BT21</f>
        <v>250005.61660805385</v>
      </c>
      <c r="BW43" s="575">
        <f>'Cost Summary'!BU21</f>
        <v>251214.36934997485</v>
      </c>
      <c r="BX43" s="575">
        <f>'Cost Summary'!BV21</f>
        <v>252439.47186618566</v>
      </c>
    </row>
    <row r="44" spans="1:76" hidden="1" outlineLevel="1" x14ac:dyDescent="0.25">
      <c r="C44" s="40" t="s">
        <v>66</v>
      </c>
      <c r="D44" s="307"/>
      <c r="E44" s="17">
        <f>'Cost Summary'!C22</f>
        <v>60951.026539999999</v>
      </c>
      <c r="F44" s="17">
        <f>'Cost Summary'!D22</f>
        <v>54573.89733</v>
      </c>
      <c r="G44" s="174">
        <f>'Cost Summary'!E22</f>
        <v>76876.314729999998</v>
      </c>
      <c r="H44" s="17">
        <f>'Cost Summary'!F22</f>
        <v>86237.985629999996</v>
      </c>
      <c r="I44" s="17">
        <f>'Cost Summary'!G22</f>
        <v>79829.350699999995</v>
      </c>
      <c r="J44" s="17">
        <f>'Cost Summary'!H22</f>
        <v>106990.47821</v>
      </c>
      <c r="K44" s="17">
        <f>'Cost Summary'!I22</f>
        <v>117372.99169</v>
      </c>
      <c r="L44" s="17">
        <f>'Cost Summary'!J22</f>
        <v>130340.79027</v>
      </c>
      <c r="M44" s="17">
        <f>'Cost Summary'!K22</f>
        <v>134907.88183</v>
      </c>
      <c r="N44" s="224">
        <f>'Cost Summary'!L22</f>
        <v>135611.68799000001</v>
      </c>
      <c r="O44" s="224">
        <f>'Cost Summary'!M22</f>
        <v>179290.10190000001</v>
      </c>
      <c r="P44" s="224">
        <f>'Cost Summary'!N22</f>
        <v>208819.66216000001</v>
      </c>
      <c r="Q44" s="224">
        <f>'Cost Summary'!O22</f>
        <v>321543.2</v>
      </c>
      <c r="R44" s="224">
        <f>'Cost Summary'!P22</f>
        <v>204416.35</v>
      </c>
      <c r="S44" s="224">
        <f>'Cost Summary'!Q22</f>
        <v>270280.2</v>
      </c>
      <c r="T44" s="224">
        <f>'Cost Summary'!R22</f>
        <v>302619.27</v>
      </c>
      <c r="U44" s="224">
        <f>'Cost Summary'!S22</f>
        <v>256681.38</v>
      </c>
      <c r="V44" s="224">
        <f>'Cost Summary'!T22</f>
        <v>216287.32</v>
      </c>
      <c r="W44" s="224">
        <f>'Cost Summary'!U22</f>
        <v>307011.43</v>
      </c>
      <c r="X44" s="224">
        <f>'Cost Summary'!V22</f>
        <v>296560.23</v>
      </c>
      <c r="Y44" s="224">
        <f>'Cost Summary'!W22</f>
        <v>259876.5</v>
      </c>
      <c r="Z44" s="224">
        <f>'Cost Summary'!X22</f>
        <v>285864.71999999997</v>
      </c>
      <c r="AA44" s="575">
        <f>'Cost Summary'!Y22</f>
        <v>277660.88</v>
      </c>
      <c r="AB44" s="224">
        <f>'Cost Summary'!Z22</f>
        <v>238550.02000000002</v>
      </c>
      <c r="AC44" s="224">
        <f>'Cost Summary'!AA22</f>
        <v>326021.43</v>
      </c>
      <c r="AD44" s="224">
        <f>'Cost Summary'!AB22</f>
        <v>300185.33000000013</v>
      </c>
      <c r="AE44" s="224">
        <f>'Cost Summary'!AC22</f>
        <v>311936.83999999997</v>
      </c>
      <c r="AF44" s="224">
        <f>'Cost Summary'!AD22</f>
        <v>335017.06191613543</v>
      </c>
      <c r="AG44" s="224">
        <f>'Cost Summary'!AE22</f>
        <v>325837.1060947153</v>
      </c>
      <c r="AH44" s="224">
        <f>'Cost Summary'!AF22</f>
        <v>326973.65499647625</v>
      </c>
      <c r="AI44" s="224">
        <f>'Cost Summary'!AG22</f>
        <v>343900.72111102781</v>
      </c>
      <c r="AJ44" s="224">
        <f>'Cost Summary'!AH22</f>
        <v>340475.73659145</v>
      </c>
      <c r="AK44" s="224">
        <f>'Cost Summary'!AI22</f>
        <v>341851.22273470904</v>
      </c>
      <c r="AL44" s="224">
        <f>'Cost Summary'!AJ22</f>
        <v>359123.51878449164</v>
      </c>
      <c r="AM44" s="224">
        <f>'Cost Summary'!AK22</f>
        <v>355592.96064549149</v>
      </c>
      <c r="AN44" s="224">
        <f>'Cost Summary'!AL22</f>
        <v>357610.53610878094</v>
      </c>
      <c r="AO44" s="224">
        <f>'Cost Summary'!AM22</f>
        <v>361378.12692394987</v>
      </c>
      <c r="AP44" s="224">
        <f>'Cost Summary'!AN22</f>
        <v>368616.72377300472</v>
      </c>
      <c r="AQ44" s="224">
        <f>'Cost Summary'!AO22</f>
        <v>370462.17483642237</v>
      </c>
      <c r="AR44" s="224">
        <f>'Cost Summary'!AP22</f>
        <v>371383.42521484289</v>
      </c>
      <c r="AS44" s="224">
        <f>'Cost Summary'!AQ22</f>
        <v>372827.63682585291</v>
      </c>
      <c r="AT44" s="224">
        <f>'Cost Summary'!AR22</f>
        <v>374364.46136301477</v>
      </c>
      <c r="AU44" s="224">
        <f>'Cost Summary'!AS22</f>
        <v>375929.79663108301</v>
      </c>
      <c r="AV44" s="224">
        <f>'Cost Summary'!AT22</f>
        <v>377538.68067737215</v>
      </c>
      <c r="AW44" s="224">
        <f>'Cost Summary'!AU22</f>
        <v>379185.85315253964</v>
      </c>
      <c r="AX44" s="224">
        <f>'Cost Summary'!AV22</f>
        <v>380856.9196269121</v>
      </c>
      <c r="AY44" s="224">
        <f>'Cost Summary'!AW22</f>
        <v>382552.14312630607</v>
      </c>
      <c r="AZ44" s="224">
        <f>'Cost Summary'!AX22</f>
        <v>384304.85421610804</v>
      </c>
      <c r="BA44" s="224">
        <f>'Cost Summary'!AY22</f>
        <v>388305.54532707739</v>
      </c>
      <c r="BB44" s="224">
        <f>'Cost Summary'!AZ22</f>
        <v>397377.16250981827</v>
      </c>
      <c r="BC44" s="224">
        <f>'Cost Summary'!BA22</f>
        <v>399182.78092839778</v>
      </c>
      <c r="BD44" s="224">
        <f>'Cost Summary'!BB22</f>
        <v>400988.290306254</v>
      </c>
      <c r="BE44" s="224">
        <f>'Cost Summary'!BC22</f>
        <v>402870.90681232337</v>
      </c>
      <c r="BF44" s="224">
        <f>'Cost Summary'!BD22</f>
        <v>404796.43788412894</v>
      </c>
      <c r="BG44" s="224">
        <f>'Cost Summary'!BE22</f>
        <v>406761.68250707031</v>
      </c>
      <c r="BH44" s="224">
        <f>'Cost Summary'!BF22</f>
        <v>408767.03795218002</v>
      </c>
      <c r="BI44" s="224">
        <f>'Cost Summary'!BG22</f>
        <v>410812.69271133101</v>
      </c>
      <c r="BJ44" s="224">
        <f>'Cost Summary'!BH22</f>
        <v>412898.88130893465</v>
      </c>
      <c r="BK44" s="224">
        <f>'Cost Summary'!BI22</f>
        <v>415027.27351388719</v>
      </c>
      <c r="BL44" s="224">
        <f>'Cost Summary'!BJ22</f>
        <v>417199.74762090266</v>
      </c>
      <c r="BM44" s="575">
        <f>'Cost Summary'!BK22</f>
        <v>421750.12700212654</v>
      </c>
      <c r="BN44" s="575">
        <f>'Cost Summary'!BL22</f>
        <v>431563.5809474432</v>
      </c>
      <c r="BO44" s="575">
        <f>'Cost Summary'!BM22</f>
        <v>433911.8973187363</v>
      </c>
      <c r="BP44" s="575">
        <f>'Cost Summary'!BN22</f>
        <v>436315.18628768984</v>
      </c>
      <c r="BQ44" s="575">
        <f>'Cost Summary'!BO22</f>
        <v>438778.74718027393</v>
      </c>
      <c r="BR44" s="575">
        <f>'Cost Summary'!BP22</f>
        <v>441301.96250697179</v>
      </c>
      <c r="BS44" s="575">
        <f>'Cost Summary'!BQ22</f>
        <v>443886.75995129964</v>
      </c>
      <c r="BT44" s="575">
        <f>'Cost Summary'!BR22</f>
        <v>446535.52132118004</v>
      </c>
      <c r="BU44" s="575">
        <f>'Cost Summary'!BS22</f>
        <v>449250.76941785519</v>
      </c>
      <c r="BV44" s="575">
        <f>'Cost Summary'!BT22</f>
        <v>452035.33165205776</v>
      </c>
      <c r="BW44" s="575">
        <f>'Cost Summary'!BU22</f>
        <v>454892.26592330582</v>
      </c>
      <c r="BX44" s="575">
        <f>'Cost Summary'!BV22</f>
        <v>457824.80383558461</v>
      </c>
    </row>
    <row r="45" spans="1:76" collapsed="1" x14ac:dyDescent="0.25">
      <c r="A45" s="29"/>
      <c r="B45" s="29"/>
      <c r="C45" s="571" t="s">
        <v>17</v>
      </c>
      <c r="D45" s="165"/>
      <c r="E45" s="165">
        <f t="shared" ref="E45:AJ45" si="25">SUM(E43:E44)</f>
        <v>89887.221529999995</v>
      </c>
      <c r="F45" s="165">
        <f t="shared" si="25"/>
        <v>83642.282030000002</v>
      </c>
      <c r="G45" s="165">
        <f t="shared" si="25"/>
        <v>101136.87708999999</v>
      </c>
      <c r="H45" s="165">
        <f t="shared" si="25"/>
        <v>119334.82087999998</v>
      </c>
      <c r="I45" s="165">
        <f t="shared" si="25"/>
        <v>110516.71038</v>
      </c>
      <c r="J45" s="165">
        <f t="shared" si="25"/>
        <v>149563.74163999999</v>
      </c>
      <c r="K45" s="165">
        <f t="shared" si="25"/>
        <v>149148.70884000001</v>
      </c>
      <c r="L45" s="165">
        <f t="shared" si="25"/>
        <v>167536.42233</v>
      </c>
      <c r="M45" s="165">
        <f t="shared" si="25"/>
        <v>167818.52791999999</v>
      </c>
      <c r="N45" s="165">
        <f t="shared" si="25"/>
        <v>174936.56044</v>
      </c>
      <c r="O45" s="165">
        <f t="shared" si="25"/>
        <v>246903.49596000003</v>
      </c>
      <c r="P45" s="165">
        <f t="shared" si="25"/>
        <v>269511.73879999999</v>
      </c>
      <c r="Q45" s="165">
        <f t="shared" si="25"/>
        <v>387414.32</v>
      </c>
      <c r="R45" s="165">
        <f t="shared" si="25"/>
        <v>240904.29</v>
      </c>
      <c r="S45" s="165">
        <f t="shared" si="25"/>
        <v>345074.42000000004</v>
      </c>
      <c r="T45" s="165">
        <f t="shared" si="25"/>
        <v>365831.63</v>
      </c>
      <c r="U45" s="165">
        <f t="shared" si="25"/>
        <v>355213.05</v>
      </c>
      <c r="V45" s="165">
        <f t="shared" si="25"/>
        <v>299476.82</v>
      </c>
      <c r="W45" s="165">
        <f t="shared" si="25"/>
        <v>418323.93</v>
      </c>
      <c r="X45" s="165">
        <f t="shared" si="25"/>
        <v>405440</v>
      </c>
      <c r="Y45" s="165">
        <f t="shared" si="25"/>
        <v>357761.83999999997</v>
      </c>
      <c r="Z45" s="165">
        <f t="shared" si="25"/>
        <v>395954.88999999996</v>
      </c>
      <c r="AA45" s="165">
        <f t="shared" ref="AA45" si="26">SUM(AA43:AA44)</f>
        <v>383448.58</v>
      </c>
      <c r="AB45" s="165">
        <f t="shared" si="25"/>
        <v>373646.87</v>
      </c>
      <c r="AC45" s="165">
        <f t="shared" si="25"/>
        <v>499280.97</v>
      </c>
      <c r="AD45" s="165">
        <f t="shared" si="25"/>
        <v>437922.63000000012</v>
      </c>
      <c r="AE45" s="165">
        <f t="shared" si="25"/>
        <v>455373.85</v>
      </c>
      <c r="AF45" s="165">
        <f t="shared" si="25"/>
        <v>572797.50568675296</v>
      </c>
      <c r="AG45" s="165">
        <f t="shared" si="25"/>
        <v>577050.52281818807</v>
      </c>
      <c r="AH45" s="165">
        <f t="shared" si="25"/>
        <v>582568.75932376157</v>
      </c>
      <c r="AI45" s="165">
        <f t="shared" si="25"/>
        <v>596225.30889247288</v>
      </c>
      <c r="AJ45" s="165">
        <f t="shared" si="25"/>
        <v>594009.61308869254</v>
      </c>
      <c r="AK45" s="165">
        <f t="shared" ref="AK45:BL45" si="27">SUM(AK43:AK44)</f>
        <v>593058.02330651344</v>
      </c>
      <c r="AL45" s="165">
        <f t="shared" si="27"/>
        <v>611590.33193823113</v>
      </c>
      <c r="AM45" s="165">
        <f t="shared" si="27"/>
        <v>608755.95808443194</v>
      </c>
      <c r="AN45" s="165">
        <f t="shared" si="27"/>
        <v>611648.94388118351</v>
      </c>
      <c r="AO45" s="165">
        <f t="shared" si="27"/>
        <v>607151.64020275837</v>
      </c>
      <c r="AP45" s="165">
        <f t="shared" si="27"/>
        <v>582042.60285639926</v>
      </c>
      <c r="AQ45" s="165">
        <f t="shared" si="27"/>
        <v>584729.78283657227</v>
      </c>
      <c r="AR45" s="165">
        <f t="shared" si="27"/>
        <v>586554.99809764151</v>
      </c>
      <c r="AS45" s="165">
        <f t="shared" si="27"/>
        <v>588731.79561397317</v>
      </c>
      <c r="AT45" s="165">
        <f t="shared" si="27"/>
        <v>591237.10018651327</v>
      </c>
      <c r="AU45" s="165">
        <f t="shared" si="27"/>
        <v>593736.42892625672</v>
      </c>
      <c r="AV45" s="165">
        <f t="shared" si="27"/>
        <v>596266.88992236997</v>
      </c>
      <c r="AW45" s="165">
        <f t="shared" si="27"/>
        <v>598821.45462807943</v>
      </c>
      <c r="AX45" s="165">
        <f t="shared" si="27"/>
        <v>601401.08946084743</v>
      </c>
      <c r="AY45" s="165">
        <f t="shared" si="27"/>
        <v>603989.34173985827</v>
      </c>
      <c r="AZ45" s="165">
        <f t="shared" si="27"/>
        <v>606649.78581841546</v>
      </c>
      <c r="BA45" s="165">
        <f t="shared" si="27"/>
        <v>606144.34475337423</v>
      </c>
      <c r="BB45" s="165">
        <f t="shared" si="27"/>
        <v>620328.30531823519</v>
      </c>
      <c r="BC45" s="165">
        <f t="shared" si="27"/>
        <v>623114.65252919751</v>
      </c>
      <c r="BD45" s="165">
        <f t="shared" si="27"/>
        <v>625880.98818996002</v>
      </c>
      <c r="BE45" s="165">
        <f t="shared" si="27"/>
        <v>628736.31637230655</v>
      </c>
      <c r="BF45" s="165">
        <f t="shared" si="27"/>
        <v>631644.92398330022</v>
      </c>
      <c r="BG45" s="165">
        <f t="shared" si="27"/>
        <v>634617.67918796034</v>
      </c>
      <c r="BH45" s="165">
        <f t="shared" si="27"/>
        <v>637629.88208481763</v>
      </c>
      <c r="BI45" s="165">
        <f t="shared" si="27"/>
        <v>640690.29161364457</v>
      </c>
      <c r="BJ45" s="165">
        <f t="shared" si="27"/>
        <v>643799.54162133799</v>
      </c>
      <c r="BK45" s="165">
        <f t="shared" si="27"/>
        <v>646960.44131624768</v>
      </c>
      <c r="BL45" s="165">
        <f t="shared" si="27"/>
        <v>650176.76147677714</v>
      </c>
      <c r="BM45" s="165">
        <f t="shared" ref="BM45:BX45" si="28">SUM(BM43:BM44)</f>
        <v>657181.04769772675</v>
      </c>
      <c r="BN45" s="165">
        <f t="shared" si="28"/>
        <v>672420.69213158754</v>
      </c>
      <c r="BO45" s="165">
        <f t="shared" si="28"/>
        <v>675865.24861771311</v>
      </c>
      <c r="BP45" s="165">
        <f t="shared" si="28"/>
        <v>679378.53339346731</v>
      </c>
      <c r="BQ45" s="165">
        <f t="shared" si="28"/>
        <v>682963.04726703162</v>
      </c>
      <c r="BR45" s="165">
        <f t="shared" si="28"/>
        <v>686621.95974030043</v>
      </c>
      <c r="BS45" s="165">
        <f t="shared" si="28"/>
        <v>690356.6355327887</v>
      </c>
      <c r="BT45" s="165">
        <f t="shared" si="28"/>
        <v>694169.9119744224</v>
      </c>
      <c r="BU45" s="165">
        <f t="shared" si="28"/>
        <v>698063.2360672853</v>
      </c>
      <c r="BV45" s="165">
        <f t="shared" si="28"/>
        <v>702040.94826011162</v>
      </c>
      <c r="BW45" s="165">
        <f t="shared" si="28"/>
        <v>706106.63527328067</v>
      </c>
      <c r="BX45" s="165">
        <f t="shared" si="28"/>
        <v>710264.27570177033</v>
      </c>
    </row>
    <row r="46" spans="1:76" x14ac:dyDescent="0.25">
      <c r="D46" s="307"/>
      <c r="E46" s="17"/>
      <c r="F46" s="17"/>
      <c r="G46" s="174"/>
      <c r="H46" s="17"/>
      <c r="I46" s="17"/>
      <c r="J46" s="17"/>
      <c r="K46" s="17"/>
      <c r="L46" s="17"/>
      <c r="M46" s="17"/>
      <c r="N46" s="17"/>
      <c r="O46" s="17"/>
      <c r="P46" s="17"/>
      <c r="Q46" s="17"/>
      <c r="R46" s="17"/>
      <c r="S46" s="17"/>
      <c r="T46" s="17"/>
      <c r="U46" s="17"/>
      <c r="V46" s="17"/>
      <c r="W46" s="17"/>
      <c r="X46" s="17"/>
      <c r="Y46" s="17"/>
      <c r="Z46" s="17"/>
      <c r="AA46" s="575"/>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575"/>
      <c r="BN46" s="575"/>
      <c r="BO46" s="575"/>
      <c r="BP46" s="575"/>
      <c r="BQ46" s="575"/>
      <c r="BR46" s="575"/>
      <c r="BS46" s="575"/>
      <c r="BT46" s="575"/>
      <c r="BU46" s="575"/>
      <c r="BV46" s="575"/>
      <c r="BW46" s="575"/>
      <c r="BX46" s="575"/>
    </row>
    <row r="47" spans="1:76" hidden="1" outlineLevel="1" x14ac:dyDescent="0.25">
      <c r="C47" s="29" t="s">
        <v>18</v>
      </c>
      <c r="D47" s="307"/>
      <c r="E47" s="17"/>
      <c r="F47" s="17"/>
      <c r="G47" s="174"/>
      <c r="H47" s="17"/>
      <c r="I47" s="17"/>
      <c r="J47" s="17"/>
      <c r="K47" s="17"/>
      <c r="L47" s="17"/>
      <c r="M47" s="17"/>
      <c r="N47" s="17"/>
      <c r="O47" s="17"/>
      <c r="P47" s="17"/>
      <c r="Q47" s="17"/>
      <c r="R47" s="17"/>
      <c r="S47" s="17"/>
      <c r="T47" s="17"/>
      <c r="U47" s="17"/>
      <c r="V47" s="17"/>
      <c r="W47" s="17"/>
      <c r="X47" s="17"/>
      <c r="Y47" s="17"/>
      <c r="Z47" s="17"/>
      <c r="AA47" s="575"/>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575"/>
      <c r="BN47" s="575"/>
      <c r="BO47" s="575"/>
      <c r="BP47" s="575"/>
      <c r="BQ47" s="575"/>
      <c r="BR47" s="575"/>
      <c r="BS47" s="575"/>
      <c r="BT47" s="575"/>
      <c r="BU47" s="575"/>
      <c r="BV47" s="575"/>
      <c r="BW47" s="575"/>
      <c r="BX47" s="575"/>
    </row>
    <row r="48" spans="1:76" hidden="1" outlineLevel="1" x14ac:dyDescent="0.25">
      <c r="C48" s="40" t="s">
        <v>3</v>
      </c>
      <c r="D48" s="307"/>
      <c r="E48" s="17">
        <f>'Cost Summary'!C25</f>
        <v>9635.0423499999997</v>
      </c>
      <c r="F48" s="174">
        <f>'Cost Summary'!D25</f>
        <v>9277.1477699999996</v>
      </c>
      <c r="G48" s="174">
        <f>'Cost Summary'!E25</f>
        <v>9308.0311500000007</v>
      </c>
      <c r="H48" s="174">
        <f>'Cost Summary'!F25</f>
        <v>9862.4723699999995</v>
      </c>
      <c r="I48" s="174">
        <f>'Cost Summary'!G25</f>
        <v>6708.4937200000004</v>
      </c>
      <c r="J48" s="174">
        <f>'Cost Summary'!H25</f>
        <v>10477.386780000001</v>
      </c>
      <c r="K48" s="174">
        <f>'Cost Summary'!I25</f>
        <v>9821.2936200000004</v>
      </c>
      <c r="L48" s="174">
        <f>'Cost Summary'!J25</f>
        <v>12153.213589999999</v>
      </c>
      <c r="M48" s="174">
        <f>'Cost Summary'!K25</f>
        <v>10264.047909999999</v>
      </c>
      <c r="N48" s="224">
        <f>'Cost Summary'!L25</f>
        <v>11650.98136</v>
      </c>
      <c r="O48" s="174">
        <f>'Cost Summary'!M25</f>
        <v>15711.28535</v>
      </c>
      <c r="P48" s="174">
        <f>'Cost Summary'!N25</f>
        <v>12669.161840000001</v>
      </c>
      <c r="Q48" s="174">
        <f>'Cost Summary'!O25</f>
        <v>18751.82</v>
      </c>
      <c r="R48" s="174">
        <f>'Cost Summary'!P25</f>
        <v>42229.19</v>
      </c>
      <c r="S48" s="174">
        <f>'Cost Summary'!Q25</f>
        <v>21295.49</v>
      </c>
      <c r="T48" s="174">
        <f>'Cost Summary'!R25</f>
        <v>13352.83</v>
      </c>
      <c r="U48" s="174">
        <f>'Cost Summary'!S25</f>
        <v>32762.05</v>
      </c>
      <c r="V48" s="174">
        <f>'Cost Summary'!T25</f>
        <v>21728.84</v>
      </c>
      <c r="W48" s="174">
        <f>'Cost Summary'!U25</f>
        <v>53607.71</v>
      </c>
      <c r="X48" s="174">
        <f>'Cost Summary'!V25</f>
        <v>51547.13</v>
      </c>
      <c r="Y48" s="174">
        <f>'Cost Summary'!W25</f>
        <v>41961.1</v>
      </c>
      <c r="Z48" s="174">
        <f>'Cost Summary'!X25</f>
        <v>40709.93</v>
      </c>
      <c r="AA48" s="575">
        <f>'Cost Summary'!Y25</f>
        <v>43557.17</v>
      </c>
      <c r="AB48" s="174">
        <f>'Cost Summary'!Z25</f>
        <v>74841.59</v>
      </c>
      <c r="AC48" s="174">
        <f>'Cost Summary'!AA25</f>
        <v>49491.91</v>
      </c>
      <c r="AD48" s="174">
        <f>'Cost Summary'!AB25</f>
        <v>-23751.86</v>
      </c>
      <c r="AE48" s="174">
        <f>'Cost Summary'!AC25</f>
        <v>52990.13</v>
      </c>
      <c r="AF48" s="174">
        <f ca="1">'Cost Summary'!AD25</f>
        <v>74124.260264409022</v>
      </c>
      <c r="AG48" s="174">
        <f ca="1">'Cost Summary'!AE25</f>
        <v>100838.54597019698</v>
      </c>
      <c r="AH48" s="174">
        <f ca="1">'Cost Summary'!AF25</f>
        <v>96567.054343809024</v>
      </c>
      <c r="AI48" s="174">
        <f ca="1">'Cost Summary'!AG25</f>
        <v>97817.754774230474</v>
      </c>
      <c r="AJ48" s="174">
        <f ca="1">'Cost Summary'!AH25</f>
        <v>96746.514932862119</v>
      </c>
      <c r="AK48" s="174">
        <f ca="1">'Cost Summary'!AI25</f>
        <v>96407.91729705481</v>
      </c>
      <c r="AL48" s="174">
        <f ca="1">'Cost Summary'!AJ25</f>
        <v>96977.654550605293</v>
      </c>
      <c r="AM48" s="174">
        <f ca="1">'Cost Summary'!AK25</f>
        <v>97878.850434293417</v>
      </c>
      <c r="AN48" s="174">
        <f ca="1">'Cost Summary'!AL25</f>
        <v>98756.850667297273</v>
      </c>
      <c r="AO48" s="174">
        <f ca="1">'Cost Summary'!AM25</f>
        <v>96348.549566243149</v>
      </c>
      <c r="AP48" s="174">
        <f ca="1">'Cost Summary'!AN25</f>
        <v>97578.90380116801</v>
      </c>
      <c r="AQ48" s="174">
        <f ca="1">'Cost Summary'!AO25</f>
        <v>103906.52622211528</v>
      </c>
      <c r="AR48" s="174">
        <f ca="1">'Cost Summary'!AP25</f>
        <v>105111.97334458682</v>
      </c>
      <c r="AS48" s="174">
        <f ca="1">'Cost Summary'!AQ25</f>
        <v>105744.16104648742</v>
      </c>
      <c r="AT48" s="174">
        <f ca="1">'Cost Summary'!AR25</f>
        <v>106343.93038883434</v>
      </c>
      <c r="AU48" s="174">
        <f ca="1">'Cost Summary'!AS25</f>
        <v>106965.7279526794</v>
      </c>
      <c r="AV48" s="174">
        <f ca="1">'Cost Summary'!AT25</f>
        <v>107534.54008508004</v>
      </c>
      <c r="AW48" s="174">
        <f ca="1">'Cost Summary'!AU25</f>
        <v>108239.44635606499</v>
      </c>
      <c r="AX48" s="174">
        <f ca="1">'Cost Summary'!AV25</f>
        <v>109030.73442671956</v>
      </c>
      <c r="AY48" s="174">
        <f ca="1">'Cost Summary'!AW25</f>
        <v>109839.90820623637</v>
      </c>
      <c r="AZ48" s="174">
        <f ca="1">'Cost Summary'!AX25</f>
        <v>110640.83661784252</v>
      </c>
      <c r="BA48" s="174">
        <f ca="1">'Cost Summary'!AY25</f>
        <v>112845.61981624452</v>
      </c>
      <c r="BB48" s="174">
        <f ca="1">'Cost Summary'!AZ25</f>
        <v>115050.9211256736</v>
      </c>
      <c r="BC48" s="174">
        <f ca="1">'Cost Summary'!BA25</f>
        <v>116310.56885963804</v>
      </c>
      <c r="BD48" s="174">
        <f ca="1">'Cost Summary'!BB25</f>
        <v>117147.2912046806</v>
      </c>
      <c r="BE48" s="174">
        <f ca="1">'Cost Summary'!BC25</f>
        <v>117952.69231993079</v>
      </c>
      <c r="BF48" s="174">
        <f ca="1">'Cost Summary'!BD25</f>
        <v>118771.9337212868</v>
      </c>
      <c r="BG48" s="174">
        <f ca="1">'Cost Summary'!BE25</f>
        <v>119608.87029588693</v>
      </c>
      <c r="BH48" s="174">
        <f ca="1">'Cost Summary'!BF25</f>
        <v>120463.14095637665</v>
      </c>
      <c r="BI48" s="174">
        <f ca="1">'Cost Summary'!BG25</f>
        <v>121340.60566253384</v>
      </c>
      <c r="BJ48" s="174">
        <f ca="1">'Cost Summary'!BH25</f>
        <v>122231.85607328205</v>
      </c>
      <c r="BK48" s="174">
        <f ca="1">'Cost Summary'!BI25</f>
        <v>123130.84251403146</v>
      </c>
      <c r="BL48" s="174">
        <f ca="1">'Cost Summary'!BJ25</f>
        <v>124036.71917821027</v>
      </c>
      <c r="BM48" s="575">
        <f ca="1">'Cost Summary'!BK25</f>
        <v>126403.92729183985</v>
      </c>
      <c r="BN48" s="575">
        <f ca="1">'Cost Summary'!BL25</f>
        <v>128389.24806705963</v>
      </c>
      <c r="BO48" s="575">
        <f ca="1">'Cost Summary'!BM25</f>
        <v>129298.53099113842</v>
      </c>
      <c r="BP48" s="575">
        <f ca="1">'Cost Summary'!BN25</f>
        <v>130178.00485776993</v>
      </c>
      <c r="BQ48" s="575">
        <f ca="1">'Cost Summary'!BO25</f>
        <v>131060.4293612437</v>
      </c>
      <c r="BR48" s="575">
        <f ca="1">'Cost Summary'!BP25</f>
        <v>131948.66049044588</v>
      </c>
      <c r="BS48" s="575">
        <f ca="1">'Cost Summary'!BQ25</f>
        <v>132842.02877367847</v>
      </c>
      <c r="BT48" s="575">
        <f ca="1">'Cost Summary'!BR25</f>
        <v>133739.48770934017</v>
      </c>
      <c r="BU48" s="575">
        <f ca="1">'Cost Summary'!BS25</f>
        <v>134639.93367797608</v>
      </c>
      <c r="BV48" s="575">
        <f ca="1">'Cost Summary'!BT25</f>
        <v>135541.68276186171</v>
      </c>
      <c r="BW48" s="575">
        <f ca="1">'Cost Summary'!BU25</f>
        <v>136443.69474521861</v>
      </c>
      <c r="BX48" s="575">
        <f ca="1">'Cost Summary'!BV25</f>
        <v>137345.34686716931</v>
      </c>
    </row>
    <row r="49" spans="1:76" hidden="1" outlineLevel="1" x14ac:dyDescent="0.25">
      <c r="C49" s="40" t="s">
        <v>2</v>
      </c>
      <c r="D49" s="307"/>
      <c r="E49" s="17">
        <f>'Cost Summary'!C26</f>
        <v>47661.500330000003</v>
      </c>
      <c r="F49" s="17">
        <f>'Cost Summary'!D26</f>
        <v>44989.780780000001</v>
      </c>
      <c r="G49" s="174">
        <f>'Cost Summary'!E26</f>
        <v>44796.259180000001</v>
      </c>
      <c r="H49" s="17">
        <f>'Cost Summary'!F26</f>
        <v>60301.242319999998</v>
      </c>
      <c r="I49" s="17">
        <f>'Cost Summary'!G26</f>
        <v>366717.49333000003</v>
      </c>
      <c r="J49" s="17">
        <f>'Cost Summary'!H26</f>
        <v>80603.399600000004</v>
      </c>
      <c r="K49" s="17">
        <f>'Cost Summary'!I26</f>
        <v>370233.86025000003</v>
      </c>
      <c r="L49" s="17">
        <f>'Cost Summary'!J26</f>
        <v>368731.60355</v>
      </c>
      <c r="M49" s="17">
        <f>'Cost Summary'!K26</f>
        <v>62833.92411</v>
      </c>
      <c r="N49" s="224">
        <f>'Cost Summary'!L26</f>
        <v>400376.50328</v>
      </c>
      <c r="O49" s="17">
        <f>'Cost Summary'!M26</f>
        <v>158348.36421</v>
      </c>
      <c r="P49" s="17">
        <f>'Cost Summary'!N26</f>
        <v>80846.813169999994</v>
      </c>
      <c r="Q49" s="17">
        <f>'Cost Summary'!O26</f>
        <v>177465.02</v>
      </c>
      <c r="R49" s="17">
        <f>'Cost Summary'!P26</f>
        <v>165701.10999999999</v>
      </c>
      <c r="S49" s="17">
        <f>'Cost Summary'!Q26</f>
        <v>145047.78</v>
      </c>
      <c r="T49" s="17">
        <f>'Cost Summary'!R26</f>
        <v>155192.48000000001</v>
      </c>
      <c r="U49" s="17">
        <f>'Cost Summary'!S26</f>
        <v>152088.53</v>
      </c>
      <c r="V49" s="17">
        <f>'Cost Summary'!T26</f>
        <v>133638.82999999999</v>
      </c>
      <c r="W49" s="17">
        <f>'Cost Summary'!U26</f>
        <v>147125.71</v>
      </c>
      <c r="X49" s="17">
        <f>'Cost Summary'!V26</f>
        <v>119536.23</v>
      </c>
      <c r="Y49" s="17">
        <f>'Cost Summary'!W26</f>
        <v>136799.23000000001</v>
      </c>
      <c r="Z49" s="17">
        <f>'Cost Summary'!X26</f>
        <v>145528.28</v>
      </c>
      <c r="AA49" s="575">
        <f>'Cost Summary'!Y26</f>
        <v>140337.62</v>
      </c>
      <c r="AB49" s="17">
        <f>'Cost Summary'!Z26</f>
        <v>76650.789999999994</v>
      </c>
      <c r="AC49" s="17">
        <f>'Cost Summary'!AA26</f>
        <v>154302.07</v>
      </c>
      <c r="AD49" s="17">
        <f>'Cost Summary'!AB26</f>
        <v>146605.20000000001</v>
      </c>
      <c r="AE49" s="17">
        <f>'Cost Summary'!AC26</f>
        <v>128164.61</v>
      </c>
      <c r="AF49" s="17">
        <f>'Cost Summary'!AD26</f>
        <v>124630.09078871182</v>
      </c>
      <c r="AG49" s="17">
        <f>'Cost Summary'!AE26</f>
        <v>125567.39708297919</v>
      </c>
      <c r="AH49" s="17">
        <f>'Cost Summary'!AF26</f>
        <v>126305.82062979287</v>
      </c>
      <c r="AI49" s="17">
        <f>'Cost Summary'!AG26</f>
        <v>127114.35298544141</v>
      </c>
      <c r="AJ49" s="17">
        <f>'Cost Summary'!AH26</f>
        <v>127855.95477838677</v>
      </c>
      <c r="AK49" s="17">
        <f>'Cost Summary'!AI26</f>
        <v>129004.8577509196</v>
      </c>
      <c r="AL49" s="17">
        <f>'Cost Summary'!AJ26</f>
        <v>130241.96177213613</v>
      </c>
      <c r="AM49" s="17">
        <f>'Cost Summary'!AK26</f>
        <v>131488.60987321878</v>
      </c>
      <c r="AN49" s="17">
        <f>'Cost Summary'!AL26</f>
        <v>106053.26090090594</v>
      </c>
      <c r="AO49" s="17">
        <f>'Cost Summary'!AM26</f>
        <v>106856.66014441999</v>
      </c>
      <c r="AP49" s="17">
        <f>'Cost Summary'!AN26</f>
        <v>107945.77201930061</v>
      </c>
      <c r="AQ49" s="17">
        <f>'Cost Summary'!AO26</f>
        <v>108625.59880595676</v>
      </c>
      <c r="AR49" s="17">
        <f>'Cost Summary'!AP26</f>
        <v>110016.28030643576</v>
      </c>
      <c r="AS49" s="17">
        <f>'Cost Summary'!AQ26</f>
        <v>110808.0420949632</v>
      </c>
      <c r="AT49" s="17">
        <f>'Cost Summary'!AR26</f>
        <v>111637.30548222762</v>
      </c>
      <c r="AU49" s="17">
        <f>'Cost Summary'!AS26</f>
        <v>112475.38155816056</v>
      </c>
      <c r="AV49" s="17">
        <f>'Cost Summary'!AT26</f>
        <v>113325.11720237449</v>
      </c>
      <c r="AW49" s="17">
        <f>'Cost Summary'!AU26</f>
        <v>114191.34193001589</v>
      </c>
      <c r="AX49" s="17">
        <f>'Cost Summary'!AV26</f>
        <v>115042.16536873062</v>
      </c>
      <c r="AY49" s="17">
        <f>'Cost Summary'!AW26</f>
        <v>115865.67965628514</v>
      </c>
      <c r="AZ49" s="17">
        <f>'Cost Summary'!AX26</f>
        <v>116660.49420663231</v>
      </c>
      <c r="BA49" s="17">
        <f>'Cost Summary'!AY26</f>
        <v>118093.61316393234</v>
      </c>
      <c r="BB49" s="17">
        <f>'Cost Summary'!AZ26</f>
        <v>118984.33721720475</v>
      </c>
      <c r="BC49" s="17">
        <f>'Cost Summary'!BA26</f>
        <v>119853.82448833497</v>
      </c>
      <c r="BD49" s="17">
        <f>'Cost Summary'!BB26</f>
        <v>120749.66034151929</v>
      </c>
      <c r="BE49" s="17">
        <f>'Cost Summary'!BC26</f>
        <v>121602.55629524961</v>
      </c>
      <c r="BF49" s="17">
        <f>'Cost Summary'!BD26</f>
        <v>122456.65656724098</v>
      </c>
      <c r="BG49" s="17">
        <f>'Cost Summary'!BE26</f>
        <v>123317.01973855891</v>
      </c>
      <c r="BH49" s="17">
        <f>'Cost Summary'!BF26</f>
        <v>124178.45952155974</v>
      </c>
      <c r="BI49" s="17">
        <f>'Cost Summary'!BG26</f>
        <v>125041.23788533098</v>
      </c>
      <c r="BJ49" s="17">
        <f>'Cost Summary'!BH26</f>
        <v>125903.83556151585</v>
      </c>
      <c r="BK49" s="17">
        <f>'Cost Summary'!BI26</f>
        <v>126767.57442441946</v>
      </c>
      <c r="BL49" s="17">
        <f>'Cost Summary'!BJ26</f>
        <v>127634.77763993898</v>
      </c>
      <c r="BM49" s="575">
        <f>'Cost Summary'!BK26</f>
        <v>129115.10485954951</v>
      </c>
      <c r="BN49" s="575">
        <f>'Cost Summary'!BL26</f>
        <v>129991.17525464603</v>
      </c>
      <c r="BO49" s="575">
        <f>'Cost Summary'!BM26</f>
        <v>130866.06485506108</v>
      </c>
      <c r="BP49" s="575">
        <f>'Cost Summary'!BN26</f>
        <v>131741.92190593714</v>
      </c>
      <c r="BQ49" s="575">
        <f>'Cost Summary'!BO26</f>
        <v>132617.14533375207</v>
      </c>
      <c r="BR49" s="575">
        <f>'Cost Summary'!BP26</f>
        <v>133494.17448062816</v>
      </c>
      <c r="BS49" s="575">
        <f>'Cost Summary'!BQ26</f>
        <v>134373.35565089071</v>
      </c>
      <c r="BT49" s="575">
        <f>'Cost Summary'!BR26</f>
        <v>135254.76176148179</v>
      </c>
      <c r="BU49" s="575">
        <f>'Cost Summary'!BS26</f>
        <v>136138.06038665053</v>
      </c>
      <c r="BV49" s="575">
        <f>'Cost Summary'!BT26</f>
        <v>137023.45340804924</v>
      </c>
      <c r="BW49" s="575">
        <f>'Cost Summary'!BU26</f>
        <v>137911.11583628727</v>
      </c>
      <c r="BX49" s="575">
        <f>'Cost Summary'!BV26</f>
        <v>138801.1717917544</v>
      </c>
    </row>
    <row r="50" spans="1:76" hidden="1" outlineLevel="1" x14ac:dyDescent="0.25">
      <c r="C50" s="40" t="s">
        <v>19</v>
      </c>
      <c r="D50" s="307"/>
      <c r="E50" s="17">
        <f>'Cost Summary'!C27</f>
        <v>0</v>
      </c>
      <c r="F50" s="17">
        <f>'Cost Summary'!D27</f>
        <v>0</v>
      </c>
      <c r="G50" s="174">
        <f>'Cost Summary'!E27</f>
        <v>0</v>
      </c>
      <c r="H50" s="174">
        <f>'Cost Summary'!F27</f>
        <v>0</v>
      </c>
      <c r="I50" s="174">
        <f>'Cost Summary'!G27</f>
        <v>0</v>
      </c>
      <c r="J50" s="174">
        <f>'Cost Summary'!H27</f>
        <v>0</v>
      </c>
      <c r="K50" s="224">
        <f>'Cost Summary'!I27</f>
        <v>0</v>
      </c>
      <c r="L50" s="224">
        <f>'Cost Summary'!J27</f>
        <v>0</v>
      </c>
      <c r="M50" s="224">
        <f>'Cost Summary'!K27</f>
        <v>0</v>
      </c>
      <c r="N50" s="224">
        <f>'Cost Summary'!L27</f>
        <v>0</v>
      </c>
      <c r="O50" s="224">
        <f>'Cost Summary'!M27</f>
        <v>0</v>
      </c>
      <c r="P50" s="224">
        <f>'Cost Summary'!N27</f>
        <v>0</v>
      </c>
      <c r="Q50" s="224">
        <f>'Cost Summary'!O27</f>
        <v>0</v>
      </c>
      <c r="R50" s="224">
        <f>'Cost Summary'!P27</f>
        <v>0</v>
      </c>
      <c r="S50" s="224">
        <f>'Cost Summary'!Q27</f>
        <v>0</v>
      </c>
      <c r="T50" s="224">
        <f>'Cost Summary'!R27</f>
        <v>0</v>
      </c>
      <c r="U50" s="224">
        <f>'Cost Summary'!S27</f>
        <v>0</v>
      </c>
      <c r="V50" s="224">
        <f>'Cost Summary'!T27</f>
        <v>0</v>
      </c>
      <c r="W50" s="224">
        <f>'Cost Summary'!U27</f>
        <v>0</v>
      </c>
      <c r="X50" s="224">
        <f>'Cost Summary'!V27</f>
        <v>0</v>
      </c>
      <c r="Y50" s="224">
        <f>'Cost Summary'!W27</f>
        <v>0</v>
      </c>
      <c r="Z50" s="224">
        <f>'Cost Summary'!X27</f>
        <v>0</v>
      </c>
      <c r="AA50" s="575">
        <f>'Cost Summary'!Y27</f>
        <v>0</v>
      </c>
      <c r="AB50" s="224">
        <f>'Cost Summary'!Z27</f>
        <v>0</v>
      </c>
      <c r="AC50" s="224">
        <f>'Cost Summary'!AA27</f>
        <v>0</v>
      </c>
      <c r="AD50" s="224">
        <f>'Cost Summary'!AB27</f>
        <v>0</v>
      </c>
      <c r="AE50" s="224">
        <f>'Cost Summary'!AC27</f>
        <v>0</v>
      </c>
      <c r="AF50" s="224">
        <f>'Cost Summary'!AD27</f>
        <v>7250</v>
      </c>
      <c r="AG50" s="224">
        <f>'Cost Summary'!AE27</f>
        <v>7250</v>
      </c>
      <c r="AH50" s="224">
        <f>'Cost Summary'!AF27</f>
        <v>7250</v>
      </c>
      <c r="AI50" s="224">
        <f>'Cost Summary'!AG27</f>
        <v>7250</v>
      </c>
      <c r="AJ50" s="224">
        <f>'Cost Summary'!AH27</f>
        <v>7250</v>
      </c>
      <c r="AK50" s="224">
        <f>'Cost Summary'!AI27</f>
        <v>7250</v>
      </c>
      <c r="AL50" s="224">
        <f>'Cost Summary'!AJ27</f>
        <v>7250</v>
      </c>
      <c r="AM50" s="224">
        <f>'Cost Summary'!AK27</f>
        <v>7250</v>
      </c>
      <c r="AN50" s="224">
        <f>'Cost Summary'!AL27</f>
        <v>7250</v>
      </c>
      <c r="AO50" s="224">
        <f>'Cost Summary'!AM27</f>
        <v>7250</v>
      </c>
      <c r="AP50" s="224">
        <f>'Cost Summary'!AN27</f>
        <v>7250</v>
      </c>
      <c r="AQ50" s="224">
        <f>'Cost Summary'!AO27</f>
        <v>7250</v>
      </c>
      <c r="AR50" s="224">
        <f>'Cost Summary'!AP27</f>
        <v>7250</v>
      </c>
      <c r="AS50" s="224">
        <f>'Cost Summary'!AQ27</f>
        <v>7250</v>
      </c>
      <c r="AT50" s="224">
        <f>'Cost Summary'!AR27</f>
        <v>7250</v>
      </c>
      <c r="AU50" s="224">
        <f>'Cost Summary'!AS27</f>
        <v>7250</v>
      </c>
      <c r="AV50" s="224">
        <f>'Cost Summary'!AT27</f>
        <v>7250</v>
      </c>
      <c r="AW50" s="224">
        <f>'Cost Summary'!AU27</f>
        <v>7250</v>
      </c>
      <c r="AX50" s="224">
        <f>'Cost Summary'!AV27</f>
        <v>7250</v>
      </c>
      <c r="AY50" s="224">
        <f>'Cost Summary'!AW27</f>
        <v>7250</v>
      </c>
      <c r="AZ50" s="224">
        <f>'Cost Summary'!AX27</f>
        <v>7250</v>
      </c>
      <c r="BA50" s="224">
        <f>'Cost Summary'!AY27</f>
        <v>1000</v>
      </c>
      <c r="BB50" s="224">
        <f>'Cost Summary'!AZ27</f>
        <v>1000</v>
      </c>
      <c r="BC50" s="224">
        <f>'Cost Summary'!BA27</f>
        <v>1000</v>
      </c>
      <c r="BD50" s="224">
        <f>'Cost Summary'!BB27</f>
        <v>1000</v>
      </c>
      <c r="BE50" s="224">
        <f>'Cost Summary'!BC27</f>
        <v>1000</v>
      </c>
      <c r="BF50" s="224">
        <f>'Cost Summary'!BD27</f>
        <v>1000</v>
      </c>
      <c r="BG50" s="224">
        <f>'Cost Summary'!BE27</f>
        <v>1000</v>
      </c>
      <c r="BH50" s="224">
        <f>'Cost Summary'!BF27</f>
        <v>1000</v>
      </c>
      <c r="BI50" s="224">
        <f>'Cost Summary'!BG27</f>
        <v>1000</v>
      </c>
      <c r="BJ50" s="224">
        <f>'Cost Summary'!BH27</f>
        <v>1000</v>
      </c>
      <c r="BK50" s="224">
        <f>'Cost Summary'!BI27</f>
        <v>1000</v>
      </c>
      <c r="BL50" s="224">
        <f>'Cost Summary'!BJ27</f>
        <v>1000</v>
      </c>
      <c r="BM50" s="575">
        <f>'Cost Summary'!BK27</f>
        <v>1000</v>
      </c>
      <c r="BN50" s="575">
        <f>'Cost Summary'!BL27</f>
        <v>1000</v>
      </c>
      <c r="BO50" s="575">
        <f>'Cost Summary'!BM27</f>
        <v>1000</v>
      </c>
      <c r="BP50" s="575">
        <f>'Cost Summary'!BN27</f>
        <v>1000</v>
      </c>
      <c r="BQ50" s="575">
        <f>'Cost Summary'!BO27</f>
        <v>1000</v>
      </c>
      <c r="BR50" s="575">
        <f>'Cost Summary'!BP27</f>
        <v>1000</v>
      </c>
      <c r="BS50" s="575">
        <f>'Cost Summary'!BQ27</f>
        <v>1000</v>
      </c>
      <c r="BT50" s="575">
        <f>'Cost Summary'!BR27</f>
        <v>1000</v>
      </c>
      <c r="BU50" s="575">
        <f>'Cost Summary'!BS27</f>
        <v>1000</v>
      </c>
      <c r="BV50" s="575">
        <f>'Cost Summary'!BT27</f>
        <v>1000</v>
      </c>
      <c r="BW50" s="575">
        <f>'Cost Summary'!BU27</f>
        <v>1000</v>
      </c>
      <c r="BX50" s="575">
        <f>'Cost Summary'!BV27</f>
        <v>1000</v>
      </c>
    </row>
    <row r="51" spans="1:76" hidden="1" outlineLevel="1" x14ac:dyDescent="0.25">
      <c r="C51" s="40" t="s">
        <v>20</v>
      </c>
      <c r="D51" s="307"/>
      <c r="E51" s="17">
        <f>'Cost Summary'!C28</f>
        <v>0</v>
      </c>
      <c r="F51" s="17">
        <f>'Cost Summary'!D28</f>
        <v>0</v>
      </c>
      <c r="G51" s="174">
        <f>'Cost Summary'!E28</f>
        <v>0</v>
      </c>
      <c r="H51" s="17">
        <f>'Cost Summary'!F28</f>
        <v>0</v>
      </c>
      <c r="I51" s="17">
        <f>'Cost Summary'!G28</f>
        <v>0</v>
      </c>
      <c r="J51" s="17">
        <f>'Cost Summary'!H28</f>
        <v>0</v>
      </c>
      <c r="K51" s="17">
        <f>'Cost Summary'!I28</f>
        <v>0</v>
      </c>
      <c r="L51" s="17">
        <f>'Cost Summary'!J28</f>
        <v>0</v>
      </c>
      <c r="M51" s="17">
        <f>'Cost Summary'!K28</f>
        <v>0</v>
      </c>
      <c r="N51" s="224">
        <f>'Cost Summary'!L28</f>
        <v>0</v>
      </c>
      <c r="O51" s="224">
        <f>'Cost Summary'!M28</f>
        <v>0</v>
      </c>
      <c r="P51" s="224">
        <f>'Cost Summary'!N28</f>
        <v>0</v>
      </c>
      <c r="Q51" s="224">
        <f>'Cost Summary'!O28</f>
        <v>0</v>
      </c>
      <c r="R51" s="224">
        <f>'Cost Summary'!P28</f>
        <v>0</v>
      </c>
      <c r="S51" s="224">
        <f>'Cost Summary'!Q28</f>
        <v>0</v>
      </c>
      <c r="T51" s="224">
        <f>'Cost Summary'!R28</f>
        <v>0</v>
      </c>
      <c r="U51" s="224">
        <f>'Cost Summary'!S28</f>
        <v>0</v>
      </c>
      <c r="V51" s="224">
        <f>'Cost Summary'!T28</f>
        <v>0</v>
      </c>
      <c r="W51" s="224">
        <f>'Cost Summary'!U28</f>
        <v>0</v>
      </c>
      <c r="X51" s="224">
        <f>'Cost Summary'!V28</f>
        <v>0</v>
      </c>
      <c r="Y51" s="224">
        <f>'Cost Summary'!W28</f>
        <v>0</v>
      </c>
      <c r="Z51" s="224">
        <f>'Cost Summary'!X28</f>
        <v>0</v>
      </c>
      <c r="AA51" s="575">
        <f>'Cost Summary'!Y28</f>
        <v>0</v>
      </c>
      <c r="AB51" s="224">
        <f>'Cost Summary'!Z28</f>
        <v>0</v>
      </c>
      <c r="AC51" s="224">
        <f>'Cost Summary'!AA28</f>
        <v>0</v>
      </c>
      <c r="AD51" s="224">
        <f>'Cost Summary'!AB28</f>
        <v>0</v>
      </c>
      <c r="AE51" s="224">
        <f>'Cost Summary'!AC28</f>
        <v>0</v>
      </c>
      <c r="AF51" s="224">
        <f>'Cost Summary'!AD28</f>
        <v>8000</v>
      </c>
      <c r="AG51" s="224">
        <f>'Cost Summary'!AE28</f>
        <v>8000</v>
      </c>
      <c r="AH51" s="224">
        <f>'Cost Summary'!AF28</f>
        <v>8000</v>
      </c>
      <c r="AI51" s="224">
        <f>'Cost Summary'!AG28</f>
        <v>8000</v>
      </c>
      <c r="AJ51" s="224">
        <f>'Cost Summary'!AH28</f>
        <v>8000</v>
      </c>
      <c r="AK51" s="224">
        <f>'Cost Summary'!AI28</f>
        <v>8000</v>
      </c>
      <c r="AL51" s="224">
        <f>'Cost Summary'!AJ28</f>
        <v>8000</v>
      </c>
      <c r="AM51" s="224">
        <f>'Cost Summary'!AK28</f>
        <v>8000</v>
      </c>
      <c r="AN51" s="224">
        <f>'Cost Summary'!AL28</f>
        <v>8000</v>
      </c>
      <c r="AO51" s="224">
        <f>'Cost Summary'!AM28</f>
        <v>8000</v>
      </c>
      <c r="AP51" s="224">
        <f>'Cost Summary'!AN28</f>
        <v>8000</v>
      </c>
      <c r="AQ51" s="224">
        <f>'Cost Summary'!AO28</f>
        <v>8000</v>
      </c>
      <c r="AR51" s="224">
        <f>'Cost Summary'!AP28</f>
        <v>8000</v>
      </c>
      <c r="AS51" s="224">
        <f>'Cost Summary'!AQ28</f>
        <v>8000</v>
      </c>
      <c r="AT51" s="224">
        <f>'Cost Summary'!AR28</f>
        <v>8000</v>
      </c>
      <c r="AU51" s="224">
        <f>'Cost Summary'!AS28</f>
        <v>8000</v>
      </c>
      <c r="AV51" s="224">
        <f>'Cost Summary'!AT28</f>
        <v>8000</v>
      </c>
      <c r="AW51" s="224">
        <f>'Cost Summary'!AU28</f>
        <v>8000</v>
      </c>
      <c r="AX51" s="224">
        <f>'Cost Summary'!AV28</f>
        <v>8000</v>
      </c>
      <c r="AY51" s="224">
        <f>'Cost Summary'!AW28</f>
        <v>8000</v>
      </c>
      <c r="AZ51" s="224">
        <f>'Cost Summary'!AX28</f>
        <v>8000</v>
      </c>
      <c r="BA51" s="224">
        <f>'Cost Summary'!AY28</f>
        <v>8000</v>
      </c>
      <c r="BB51" s="224">
        <f>'Cost Summary'!AZ28</f>
        <v>8000</v>
      </c>
      <c r="BC51" s="224">
        <f>'Cost Summary'!BA28</f>
        <v>8000</v>
      </c>
      <c r="BD51" s="224">
        <f>'Cost Summary'!BB28</f>
        <v>8000</v>
      </c>
      <c r="BE51" s="224">
        <f>'Cost Summary'!BC28</f>
        <v>8000</v>
      </c>
      <c r="BF51" s="224">
        <f>'Cost Summary'!BD28</f>
        <v>8000</v>
      </c>
      <c r="BG51" s="224">
        <f>'Cost Summary'!BE28</f>
        <v>8000</v>
      </c>
      <c r="BH51" s="224">
        <f>'Cost Summary'!BF28</f>
        <v>8000</v>
      </c>
      <c r="BI51" s="224">
        <f>'Cost Summary'!BG28</f>
        <v>8000</v>
      </c>
      <c r="BJ51" s="224">
        <f>'Cost Summary'!BH28</f>
        <v>8000</v>
      </c>
      <c r="BK51" s="224">
        <f>'Cost Summary'!BI28</f>
        <v>8000</v>
      </c>
      <c r="BL51" s="224">
        <f>'Cost Summary'!BJ28</f>
        <v>8000</v>
      </c>
      <c r="BM51" s="575">
        <f>'Cost Summary'!BK28</f>
        <v>8000</v>
      </c>
      <c r="BN51" s="575">
        <f>'Cost Summary'!BL28</f>
        <v>8000</v>
      </c>
      <c r="BO51" s="575">
        <f>'Cost Summary'!BM28</f>
        <v>8000</v>
      </c>
      <c r="BP51" s="575">
        <f>'Cost Summary'!BN28</f>
        <v>8000</v>
      </c>
      <c r="BQ51" s="575">
        <f>'Cost Summary'!BO28</f>
        <v>8000</v>
      </c>
      <c r="BR51" s="575">
        <f>'Cost Summary'!BP28</f>
        <v>8000</v>
      </c>
      <c r="BS51" s="575">
        <f>'Cost Summary'!BQ28</f>
        <v>8000</v>
      </c>
      <c r="BT51" s="575">
        <f>'Cost Summary'!BR28</f>
        <v>8000</v>
      </c>
      <c r="BU51" s="575">
        <f>'Cost Summary'!BS28</f>
        <v>8000</v>
      </c>
      <c r="BV51" s="575">
        <f>'Cost Summary'!BT28</f>
        <v>8000</v>
      </c>
      <c r="BW51" s="575">
        <f>'Cost Summary'!BU28</f>
        <v>8000</v>
      </c>
      <c r="BX51" s="575">
        <f>'Cost Summary'!BV28</f>
        <v>8000</v>
      </c>
    </row>
    <row r="52" spans="1:76" hidden="1" outlineLevel="1" x14ac:dyDescent="0.25">
      <c r="C52" s="40" t="s">
        <v>431</v>
      </c>
      <c r="D52" s="307"/>
      <c r="E52" s="224">
        <f>'Cost Summary'!C29</f>
        <v>0</v>
      </c>
      <c r="F52" s="174">
        <f>'Cost Summary'!D29</f>
        <v>0</v>
      </c>
      <c r="G52" s="174">
        <f>'Cost Summary'!E29</f>
        <v>0</v>
      </c>
      <c r="H52" s="174">
        <f>'Cost Summary'!F29</f>
        <v>0</v>
      </c>
      <c r="I52" s="174">
        <f>'Cost Summary'!G29</f>
        <v>0</v>
      </c>
      <c r="J52" s="174">
        <f>'Cost Summary'!H29</f>
        <v>0</v>
      </c>
      <c r="K52" s="224">
        <f>'Cost Summary'!I29</f>
        <v>0</v>
      </c>
      <c r="L52" s="224">
        <f>'Cost Summary'!J29</f>
        <v>0</v>
      </c>
      <c r="M52" s="224">
        <f>'Cost Summary'!K29</f>
        <v>0</v>
      </c>
      <c r="N52" s="224">
        <f>'Cost Summary'!L29</f>
        <v>0</v>
      </c>
      <c r="O52" s="224">
        <f>'Cost Summary'!M29</f>
        <v>0</v>
      </c>
      <c r="P52" s="224">
        <f>'Cost Summary'!N29</f>
        <v>0</v>
      </c>
      <c r="Q52" s="224">
        <f>'Cost Summary'!O29</f>
        <v>0</v>
      </c>
      <c r="R52" s="224">
        <f>'Cost Summary'!P29</f>
        <v>0</v>
      </c>
      <c r="S52" s="224">
        <f>'Cost Summary'!Q29</f>
        <v>0</v>
      </c>
      <c r="T52" s="224">
        <f>'Cost Summary'!R29</f>
        <v>0</v>
      </c>
      <c r="U52" s="224">
        <f>'Cost Summary'!S29</f>
        <v>0</v>
      </c>
      <c r="V52" s="224">
        <f>'Cost Summary'!T29</f>
        <v>0</v>
      </c>
      <c r="W52" s="224">
        <f>'Cost Summary'!U29</f>
        <v>0</v>
      </c>
      <c r="X52" s="224">
        <f>'Cost Summary'!V29</f>
        <v>0</v>
      </c>
      <c r="Y52" s="224">
        <f>'Cost Summary'!W29</f>
        <v>0</v>
      </c>
      <c r="Z52" s="224">
        <f>'Cost Summary'!X29</f>
        <v>0</v>
      </c>
      <c r="AA52" s="575">
        <f>'Cost Summary'!Y29</f>
        <v>0</v>
      </c>
      <c r="AB52" s="224">
        <f>'Cost Summary'!Z29</f>
        <v>0</v>
      </c>
      <c r="AC52" s="224">
        <f>'Cost Summary'!AA29</f>
        <v>0</v>
      </c>
      <c r="AD52" s="224">
        <f>'Cost Summary'!AB29</f>
        <v>0</v>
      </c>
      <c r="AE52" s="224">
        <f>'Cost Summary'!AC29</f>
        <v>0</v>
      </c>
      <c r="AF52" s="224">
        <f>'Cost Summary'!AD29</f>
        <v>0</v>
      </c>
      <c r="AG52" s="224">
        <f>'Cost Summary'!AE29</f>
        <v>0</v>
      </c>
      <c r="AH52" s="224">
        <f>'Cost Summary'!AF29</f>
        <v>0</v>
      </c>
      <c r="AI52" s="224">
        <f>'Cost Summary'!AG29</f>
        <v>0</v>
      </c>
      <c r="AJ52" s="224">
        <f>'Cost Summary'!AH29</f>
        <v>0</v>
      </c>
      <c r="AK52" s="224">
        <f>'Cost Summary'!AI29</f>
        <v>0</v>
      </c>
      <c r="AL52" s="224">
        <f>'Cost Summary'!AJ29</f>
        <v>0</v>
      </c>
      <c r="AM52" s="224">
        <f>'Cost Summary'!AK29</f>
        <v>0</v>
      </c>
      <c r="AN52" s="224">
        <f>'Cost Summary'!AL29</f>
        <v>0</v>
      </c>
      <c r="AO52" s="224">
        <f>'Cost Summary'!AM29</f>
        <v>0</v>
      </c>
      <c r="AP52" s="224">
        <f>'Cost Summary'!AN29</f>
        <v>0</v>
      </c>
      <c r="AQ52" s="224">
        <f>'Cost Summary'!AO29</f>
        <v>0</v>
      </c>
      <c r="AR52" s="224">
        <f>'Cost Summary'!AP29</f>
        <v>0</v>
      </c>
      <c r="AS52" s="224">
        <f>'Cost Summary'!AQ29</f>
        <v>0</v>
      </c>
      <c r="AT52" s="224">
        <f>'Cost Summary'!AR29</f>
        <v>0</v>
      </c>
      <c r="AU52" s="224">
        <f>'Cost Summary'!AS29</f>
        <v>0</v>
      </c>
      <c r="AV52" s="224">
        <f>'Cost Summary'!AT29</f>
        <v>0</v>
      </c>
      <c r="AW52" s="224">
        <f>'Cost Summary'!AU29</f>
        <v>0</v>
      </c>
      <c r="AX52" s="224">
        <f>'Cost Summary'!AV29</f>
        <v>0</v>
      </c>
      <c r="AY52" s="224">
        <f>'Cost Summary'!AW29</f>
        <v>0</v>
      </c>
      <c r="AZ52" s="224">
        <f>'Cost Summary'!AX29</f>
        <v>0</v>
      </c>
      <c r="BA52" s="224">
        <f>'Cost Summary'!AY29</f>
        <v>0</v>
      </c>
      <c r="BB52" s="224">
        <f>'Cost Summary'!AZ29</f>
        <v>0</v>
      </c>
      <c r="BC52" s="224">
        <f>'Cost Summary'!BA29</f>
        <v>0</v>
      </c>
      <c r="BD52" s="224">
        <f>'Cost Summary'!BB29</f>
        <v>0</v>
      </c>
      <c r="BE52" s="224">
        <f>'Cost Summary'!BC29</f>
        <v>0</v>
      </c>
      <c r="BF52" s="224">
        <f>'Cost Summary'!BD29</f>
        <v>0</v>
      </c>
      <c r="BG52" s="224">
        <f>'Cost Summary'!BE29</f>
        <v>0</v>
      </c>
      <c r="BH52" s="224">
        <f>'Cost Summary'!BF29</f>
        <v>0</v>
      </c>
      <c r="BI52" s="224">
        <f>'Cost Summary'!BG29</f>
        <v>0</v>
      </c>
      <c r="BJ52" s="224">
        <f>'Cost Summary'!BH29</f>
        <v>0</v>
      </c>
      <c r="BK52" s="224">
        <f>'Cost Summary'!BI29</f>
        <v>0</v>
      </c>
      <c r="BL52" s="224">
        <f>'Cost Summary'!BJ29</f>
        <v>0</v>
      </c>
      <c r="BM52" s="575">
        <f>'Cost Summary'!BK29</f>
        <v>0</v>
      </c>
      <c r="BN52" s="575">
        <f>'Cost Summary'!BL29</f>
        <v>0</v>
      </c>
      <c r="BO52" s="575">
        <f>'Cost Summary'!BM29</f>
        <v>0</v>
      </c>
      <c r="BP52" s="575">
        <f>'Cost Summary'!BN29</f>
        <v>0</v>
      </c>
      <c r="BQ52" s="575">
        <f>'Cost Summary'!BO29</f>
        <v>0</v>
      </c>
      <c r="BR52" s="575">
        <f>'Cost Summary'!BP29</f>
        <v>0</v>
      </c>
      <c r="BS52" s="575">
        <f>'Cost Summary'!BQ29</f>
        <v>0</v>
      </c>
      <c r="BT52" s="575">
        <f>'Cost Summary'!BR29</f>
        <v>0</v>
      </c>
      <c r="BU52" s="575">
        <f>'Cost Summary'!BS29</f>
        <v>0</v>
      </c>
      <c r="BV52" s="575">
        <f>'Cost Summary'!BT29</f>
        <v>0</v>
      </c>
      <c r="BW52" s="575">
        <f>'Cost Summary'!BU29</f>
        <v>0</v>
      </c>
      <c r="BX52" s="575">
        <f>'Cost Summary'!BV29</f>
        <v>0</v>
      </c>
    </row>
    <row r="53" spans="1:76" hidden="1" outlineLevel="1" x14ac:dyDescent="0.25">
      <c r="C53" s="40" t="s">
        <v>22</v>
      </c>
      <c r="D53" s="307"/>
      <c r="E53" s="17">
        <f>'Cost Summary'!C30</f>
        <v>0</v>
      </c>
      <c r="F53" s="17">
        <f>'Cost Summary'!D30</f>
        <v>0</v>
      </c>
      <c r="G53" s="174">
        <f>'Cost Summary'!E30</f>
        <v>0</v>
      </c>
      <c r="H53" s="174">
        <f>'Cost Summary'!F30</f>
        <v>0</v>
      </c>
      <c r="I53" s="174">
        <f>'Cost Summary'!G30</f>
        <v>0</v>
      </c>
      <c r="J53" s="174">
        <f>'Cost Summary'!H30</f>
        <v>0</v>
      </c>
      <c r="K53" s="224">
        <f>'Cost Summary'!I30</f>
        <v>0</v>
      </c>
      <c r="L53" s="224">
        <f>'Cost Summary'!J30</f>
        <v>0</v>
      </c>
      <c r="M53" s="224">
        <f>'Cost Summary'!K30</f>
        <v>0</v>
      </c>
      <c r="N53" s="224">
        <f>'Cost Summary'!L30</f>
        <v>0</v>
      </c>
      <c r="O53" s="224">
        <f>'Cost Summary'!M30</f>
        <v>0</v>
      </c>
      <c r="P53" s="224">
        <f>'Cost Summary'!N30</f>
        <v>0</v>
      </c>
      <c r="Q53" s="224">
        <f>'Cost Summary'!O30</f>
        <v>0</v>
      </c>
      <c r="R53" s="224">
        <f>'Cost Summary'!P30</f>
        <v>0</v>
      </c>
      <c r="S53" s="224">
        <f>'Cost Summary'!Q30</f>
        <v>0</v>
      </c>
      <c r="T53" s="224">
        <f>'Cost Summary'!R30</f>
        <v>0</v>
      </c>
      <c r="U53" s="224">
        <f>'Cost Summary'!S30</f>
        <v>0</v>
      </c>
      <c r="V53" s="224">
        <f>'Cost Summary'!T30</f>
        <v>0</v>
      </c>
      <c r="W53" s="224">
        <f>'Cost Summary'!U30</f>
        <v>0</v>
      </c>
      <c r="X53" s="224">
        <f>'Cost Summary'!V30</f>
        <v>0</v>
      </c>
      <c r="Y53" s="224">
        <f>'Cost Summary'!W30</f>
        <v>0</v>
      </c>
      <c r="Z53" s="224">
        <f>'Cost Summary'!X30</f>
        <v>0</v>
      </c>
      <c r="AA53" s="575">
        <f>'Cost Summary'!Y30</f>
        <v>0</v>
      </c>
      <c r="AB53" s="224">
        <f>'Cost Summary'!Z30</f>
        <v>0</v>
      </c>
      <c r="AC53" s="224">
        <f>'Cost Summary'!AA30</f>
        <v>0</v>
      </c>
      <c r="AD53" s="224">
        <f>'Cost Summary'!AB30</f>
        <v>0</v>
      </c>
      <c r="AE53" s="224">
        <f>'Cost Summary'!AC30</f>
        <v>0</v>
      </c>
      <c r="AF53" s="224">
        <f>'Cost Summary'!AD30</f>
        <v>500</v>
      </c>
      <c r="AG53" s="224">
        <f>'Cost Summary'!AE30</f>
        <v>500</v>
      </c>
      <c r="AH53" s="224">
        <f>'Cost Summary'!AF30</f>
        <v>500</v>
      </c>
      <c r="AI53" s="224">
        <f>'Cost Summary'!AG30</f>
        <v>500</v>
      </c>
      <c r="AJ53" s="224">
        <f>'Cost Summary'!AH30</f>
        <v>500</v>
      </c>
      <c r="AK53" s="224">
        <f>'Cost Summary'!AI30</f>
        <v>500</v>
      </c>
      <c r="AL53" s="224">
        <f>'Cost Summary'!AJ30</f>
        <v>500</v>
      </c>
      <c r="AM53" s="224">
        <f>'Cost Summary'!AK30</f>
        <v>500</v>
      </c>
      <c r="AN53" s="224">
        <f>'Cost Summary'!AL30</f>
        <v>500</v>
      </c>
      <c r="AO53" s="224">
        <f>'Cost Summary'!AM30</f>
        <v>500</v>
      </c>
      <c r="AP53" s="224">
        <f>'Cost Summary'!AN30</f>
        <v>500</v>
      </c>
      <c r="AQ53" s="224">
        <f>'Cost Summary'!AO30</f>
        <v>500</v>
      </c>
      <c r="AR53" s="224">
        <f>'Cost Summary'!AP30</f>
        <v>500</v>
      </c>
      <c r="AS53" s="224">
        <f>'Cost Summary'!AQ30</f>
        <v>500</v>
      </c>
      <c r="AT53" s="224">
        <f>'Cost Summary'!AR30</f>
        <v>500</v>
      </c>
      <c r="AU53" s="224">
        <f>'Cost Summary'!AS30</f>
        <v>500</v>
      </c>
      <c r="AV53" s="224">
        <f>'Cost Summary'!AT30</f>
        <v>500</v>
      </c>
      <c r="AW53" s="224">
        <f>'Cost Summary'!AU30</f>
        <v>500</v>
      </c>
      <c r="AX53" s="224">
        <f>'Cost Summary'!AV30</f>
        <v>500</v>
      </c>
      <c r="AY53" s="224">
        <f>'Cost Summary'!AW30</f>
        <v>500</v>
      </c>
      <c r="AZ53" s="224">
        <f>'Cost Summary'!AX30</f>
        <v>500</v>
      </c>
      <c r="BA53" s="224">
        <f>'Cost Summary'!AY30</f>
        <v>500</v>
      </c>
      <c r="BB53" s="224">
        <f>'Cost Summary'!AZ30</f>
        <v>500</v>
      </c>
      <c r="BC53" s="224">
        <f>'Cost Summary'!BA30</f>
        <v>500</v>
      </c>
      <c r="BD53" s="224">
        <f>'Cost Summary'!BB30</f>
        <v>500</v>
      </c>
      <c r="BE53" s="224">
        <f>'Cost Summary'!BC30</f>
        <v>500</v>
      </c>
      <c r="BF53" s="224">
        <f>'Cost Summary'!BD30</f>
        <v>500</v>
      </c>
      <c r="BG53" s="224">
        <f>'Cost Summary'!BE30</f>
        <v>500</v>
      </c>
      <c r="BH53" s="224">
        <f>'Cost Summary'!BF30</f>
        <v>500</v>
      </c>
      <c r="BI53" s="224">
        <f>'Cost Summary'!BG30</f>
        <v>500</v>
      </c>
      <c r="BJ53" s="224">
        <f>'Cost Summary'!BH30</f>
        <v>500</v>
      </c>
      <c r="BK53" s="224">
        <f>'Cost Summary'!BI30</f>
        <v>500</v>
      </c>
      <c r="BL53" s="224">
        <f>'Cost Summary'!BJ30</f>
        <v>500</v>
      </c>
      <c r="BM53" s="575">
        <f>'Cost Summary'!BK30</f>
        <v>500</v>
      </c>
      <c r="BN53" s="575">
        <f>'Cost Summary'!BL30</f>
        <v>500</v>
      </c>
      <c r="BO53" s="575">
        <f>'Cost Summary'!BM30</f>
        <v>500</v>
      </c>
      <c r="BP53" s="575">
        <f>'Cost Summary'!BN30</f>
        <v>500</v>
      </c>
      <c r="BQ53" s="575">
        <f>'Cost Summary'!BO30</f>
        <v>500</v>
      </c>
      <c r="BR53" s="575">
        <f>'Cost Summary'!BP30</f>
        <v>500</v>
      </c>
      <c r="BS53" s="575">
        <f>'Cost Summary'!BQ30</f>
        <v>500</v>
      </c>
      <c r="BT53" s="575">
        <f>'Cost Summary'!BR30</f>
        <v>500</v>
      </c>
      <c r="BU53" s="575">
        <f>'Cost Summary'!BS30</f>
        <v>500</v>
      </c>
      <c r="BV53" s="575">
        <f>'Cost Summary'!BT30</f>
        <v>500</v>
      </c>
      <c r="BW53" s="575">
        <f>'Cost Summary'!BU30</f>
        <v>500</v>
      </c>
      <c r="BX53" s="575">
        <f>'Cost Summary'!BV30</f>
        <v>500</v>
      </c>
    </row>
    <row r="54" spans="1:76" hidden="1" outlineLevel="1" x14ac:dyDescent="0.25">
      <c r="C54" s="40" t="s">
        <v>23</v>
      </c>
      <c r="D54" s="307"/>
      <c r="E54" s="17">
        <f>'Cost Summary'!C31</f>
        <v>0</v>
      </c>
      <c r="F54" s="17">
        <f>'Cost Summary'!D31</f>
        <v>0</v>
      </c>
      <c r="G54" s="174">
        <f>'Cost Summary'!E31</f>
        <v>0</v>
      </c>
      <c r="H54" s="174">
        <f>'Cost Summary'!F31</f>
        <v>0</v>
      </c>
      <c r="I54" s="174">
        <f>'Cost Summary'!G31</f>
        <v>0</v>
      </c>
      <c r="J54" s="174">
        <f>'Cost Summary'!H31</f>
        <v>0</v>
      </c>
      <c r="K54" s="224">
        <f>'Cost Summary'!I31</f>
        <v>0</v>
      </c>
      <c r="L54" s="224">
        <f>'Cost Summary'!J31</f>
        <v>0</v>
      </c>
      <c r="M54" s="224">
        <f>'Cost Summary'!K31</f>
        <v>0</v>
      </c>
      <c r="N54" s="224">
        <f>'Cost Summary'!L31</f>
        <v>0</v>
      </c>
      <c r="O54" s="224">
        <f>'Cost Summary'!M31</f>
        <v>0</v>
      </c>
      <c r="P54" s="224">
        <f>'Cost Summary'!N31</f>
        <v>0</v>
      </c>
      <c r="Q54" s="224">
        <f>'Cost Summary'!O31</f>
        <v>0</v>
      </c>
      <c r="R54" s="224">
        <f>'Cost Summary'!P31</f>
        <v>0</v>
      </c>
      <c r="S54" s="224">
        <f>'Cost Summary'!Q31</f>
        <v>0</v>
      </c>
      <c r="T54" s="224">
        <f>'Cost Summary'!R31</f>
        <v>0</v>
      </c>
      <c r="U54" s="224">
        <f>'Cost Summary'!S31</f>
        <v>0</v>
      </c>
      <c r="V54" s="224">
        <f>'Cost Summary'!T31</f>
        <v>0</v>
      </c>
      <c r="W54" s="224">
        <f>'Cost Summary'!U31</f>
        <v>0</v>
      </c>
      <c r="X54" s="224">
        <f>'Cost Summary'!V31</f>
        <v>0</v>
      </c>
      <c r="Y54" s="224">
        <f>'Cost Summary'!W31</f>
        <v>0</v>
      </c>
      <c r="Z54" s="224">
        <f>'Cost Summary'!X31</f>
        <v>0</v>
      </c>
      <c r="AA54" s="575">
        <f>'Cost Summary'!Y31</f>
        <v>0</v>
      </c>
      <c r="AB54" s="224">
        <f>'Cost Summary'!Z31</f>
        <v>0</v>
      </c>
      <c r="AC54" s="224">
        <f>'Cost Summary'!AA31</f>
        <v>0</v>
      </c>
      <c r="AD54" s="224">
        <f>'Cost Summary'!AB31</f>
        <v>0</v>
      </c>
      <c r="AE54" s="224">
        <f>'Cost Summary'!AC31</f>
        <v>0</v>
      </c>
      <c r="AF54" s="224">
        <f>'Cost Summary'!AD31</f>
        <v>2000</v>
      </c>
      <c r="AG54" s="224">
        <f>'Cost Summary'!AE31</f>
        <v>2000</v>
      </c>
      <c r="AH54" s="224">
        <f>'Cost Summary'!AF31</f>
        <v>2000</v>
      </c>
      <c r="AI54" s="224">
        <f>'Cost Summary'!AG31</f>
        <v>2000</v>
      </c>
      <c r="AJ54" s="224">
        <f>'Cost Summary'!AH31</f>
        <v>2000</v>
      </c>
      <c r="AK54" s="224">
        <f>'Cost Summary'!AI31</f>
        <v>2000</v>
      </c>
      <c r="AL54" s="224">
        <f>'Cost Summary'!AJ31</f>
        <v>2000</v>
      </c>
      <c r="AM54" s="224">
        <f>'Cost Summary'!AK31</f>
        <v>2000</v>
      </c>
      <c r="AN54" s="224">
        <f>'Cost Summary'!AL31</f>
        <v>2000</v>
      </c>
      <c r="AO54" s="224">
        <f>'Cost Summary'!AM31</f>
        <v>2000</v>
      </c>
      <c r="AP54" s="224">
        <f>'Cost Summary'!AN31</f>
        <v>2000</v>
      </c>
      <c r="AQ54" s="224">
        <f>'Cost Summary'!AO31</f>
        <v>2000</v>
      </c>
      <c r="AR54" s="224">
        <f>'Cost Summary'!AP31</f>
        <v>2000</v>
      </c>
      <c r="AS54" s="224">
        <f>'Cost Summary'!AQ31</f>
        <v>2000</v>
      </c>
      <c r="AT54" s="224">
        <f>'Cost Summary'!AR31</f>
        <v>2000</v>
      </c>
      <c r="AU54" s="224">
        <f>'Cost Summary'!AS31</f>
        <v>2000</v>
      </c>
      <c r="AV54" s="224">
        <f>'Cost Summary'!AT31</f>
        <v>2000</v>
      </c>
      <c r="AW54" s="224">
        <f>'Cost Summary'!AU31</f>
        <v>2000</v>
      </c>
      <c r="AX54" s="224">
        <f>'Cost Summary'!AV31</f>
        <v>2000</v>
      </c>
      <c r="AY54" s="224">
        <f>'Cost Summary'!AW31</f>
        <v>2000</v>
      </c>
      <c r="AZ54" s="224">
        <f>'Cost Summary'!AX31</f>
        <v>2000</v>
      </c>
      <c r="BA54" s="224">
        <f>'Cost Summary'!AY31</f>
        <v>2000</v>
      </c>
      <c r="BB54" s="224">
        <f>'Cost Summary'!AZ31</f>
        <v>2000</v>
      </c>
      <c r="BC54" s="224">
        <f>'Cost Summary'!BA31</f>
        <v>2000</v>
      </c>
      <c r="BD54" s="224">
        <f>'Cost Summary'!BB31</f>
        <v>2000</v>
      </c>
      <c r="BE54" s="224">
        <f>'Cost Summary'!BC31</f>
        <v>2000</v>
      </c>
      <c r="BF54" s="224">
        <f>'Cost Summary'!BD31</f>
        <v>2000</v>
      </c>
      <c r="BG54" s="224">
        <f>'Cost Summary'!BE31</f>
        <v>2000</v>
      </c>
      <c r="BH54" s="224">
        <f>'Cost Summary'!BF31</f>
        <v>2000</v>
      </c>
      <c r="BI54" s="224">
        <f>'Cost Summary'!BG31</f>
        <v>2000</v>
      </c>
      <c r="BJ54" s="224">
        <f>'Cost Summary'!BH31</f>
        <v>2000</v>
      </c>
      <c r="BK54" s="224">
        <f>'Cost Summary'!BI31</f>
        <v>2000</v>
      </c>
      <c r="BL54" s="224">
        <f>'Cost Summary'!BJ31</f>
        <v>2000</v>
      </c>
      <c r="BM54" s="575">
        <f>'Cost Summary'!BK31</f>
        <v>2000</v>
      </c>
      <c r="BN54" s="575">
        <f>'Cost Summary'!BL31</f>
        <v>2000</v>
      </c>
      <c r="BO54" s="575">
        <f>'Cost Summary'!BM31</f>
        <v>2000</v>
      </c>
      <c r="BP54" s="575">
        <f>'Cost Summary'!BN31</f>
        <v>2000</v>
      </c>
      <c r="BQ54" s="575">
        <f>'Cost Summary'!BO31</f>
        <v>2000</v>
      </c>
      <c r="BR54" s="575">
        <f>'Cost Summary'!BP31</f>
        <v>2000</v>
      </c>
      <c r="BS54" s="575">
        <f>'Cost Summary'!BQ31</f>
        <v>2000</v>
      </c>
      <c r="BT54" s="575">
        <f>'Cost Summary'!BR31</f>
        <v>2000</v>
      </c>
      <c r="BU54" s="575">
        <f>'Cost Summary'!BS31</f>
        <v>2000</v>
      </c>
      <c r="BV54" s="575">
        <f>'Cost Summary'!BT31</f>
        <v>2000</v>
      </c>
      <c r="BW54" s="575">
        <f>'Cost Summary'!BU31</f>
        <v>2000</v>
      </c>
      <c r="BX54" s="575">
        <f>'Cost Summary'!BV31</f>
        <v>2000</v>
      </c>
    </row>
    <row r="55" spans="1:76" hidden="1" outlineLevel="1" x14ac:dyDescent="0.25">
      <c r="C55" s="40" t="s">
        <v>24</v>
      </c>
      <c r="D55" s="307"/>
      <c r="E55" s="17">
        <f>'Cost Summary'!C32</f>
        <v>0</v>
      </c>
      <c r="F55" s="17">
        <f>'Cost Summary'!D32</f>
        <v>0</v>
      </c>
      <c r="G55" s="174">
        <f>'Cost Summary'!E32</f>
        <v>0</v>
      </c>
      <c r="H55" s="174">
        <f>'Cost Summary'!F32</f>
        <v>0</v>
      </c>
      <c r="I55" s="174">
        <f>'Cost Summary'!G32</f>
        <v>0</v>
      </c>
      <c r="J55" s="174">
        <f>'Cost Summary'!H32</f>
        <v>0</v>
      </c>
      <c r="K55" s="224">
        <f>'Cost Summary'!I32</f>
        <v>0</v>
      </c>
      <c r="L55" s="224">
        <f>'Cost Summary'!J32</f>
        <v>0</v>
      </c>
      <c r="M55" s="224">
        <f>'Cost Summary'!K32</f>
        <v>0</v>
      </c>
      <c r="N55" s="224">
        <f>'Cost Summary'!L32</f>
        <v>0</v>
      </c>
      <c r="O55" s="224">
        <f>'Cost Summary'!M32</f>
        <v>0</v>
      </c>
      <c r="P55" s="224">
        <f>'Cost Summary'!N32</f>
        <v>0</v>
      </c>
      <c r="Q55" s="224">
        <f>'Cost Summary'!O32</f>
        <v>0</v>
      </c>
      <c r="R55" s="224">
        <f>'Cost Summary'!P32</f>
        <v>0</v>
      </c>
      <c r="S55" s="224">
        <f>'Cost Summary'!Q32</f>
        <v>0</v>
      </c>
      <c r="T55" s="224">
        <f>'Cost Summary'!R32</f>
        <v>0</v>
      </c>
      <c r="U55" s="224">
        <f>'Cost Summary'!S32</f>
        <v>0</v>
      </c>
      <c r="V55" s="224">
        <f>'Cost Summary'!T32</f>
        <v>0</v>
      </c>
      <c r="W55" s="224">
        <f>'Cost Summary'!U32</f>
        <v>0</v>
      </c>
      <c r="X55" s="224">
        <f>'Cost Summary'!V32</f>
        <v>0</v>
      </c>
      <c r="Y55" s="224">
        <f>'Cost Summary'!W32</f>
        <v>0</v>
      </c>
      <c r="Z55" s="224">
        <f>'Cost Summary'!X32</f>
        <v>0</v>
      </c>
      <c r="AA55" s="575">
        <f>'Cost Summary'!Y32</f>
        <v>0</v>
      </c>
      <c r="AB55" s="224">
        <f>'Cost Summary'!Z32</f>
        <v>0</v>
      </c>
      <c r="AC55" s="224">
        <f>'Cost Summary'!AA32</f>
        <v>0</v>
      </c>
      <c r="AD55" s="224">
        <f>'Cost Summary'!AB32</f>
        <v>0</v>
      </c>
      <c r="AE55" s="224">
        <f>'Cost Summary'!AC32</f>
        <v>0</v>
      </c>
      <c r="AF55" s="224">
        <f>'Cost Summary'!AD32</f>
        <v>20000</v>
      </c>
      <c r="AG55" s="224">
        <f>'Cost Summary'!AE32</f>
        <v>20000</v>
      </c>
      <c r="AH55" s="224">
        <f>'Cost Summary'!AF32</f>
        <v>20000</v>
      </c>
      <c r="AI55" s="224">
        <f>'Cost Summary'!AG32</f>
        <v>20000</v>
      </c>
      <c r="AJ55" s="224">
        <f>'Cost Summary'!AH32</f>
        <v>20000</v>
      </c>
      <c r="AK55" s="224">
        <f>'Cost Summary'!AI32</f>
        <v>20000</v>
      </c>
      <c r="AL55" s="224">
        <f>'Cost Summary'!AJ32</f>
        <v>20000</v>
      </c>
      <c r="AM55" s="224">
        <f>'Cost Summary'!AK32</f>
        <v>20000</v>
      </c>
      <c r="AN55" s="224">
        <f>'Cost Summary'!AL32</f>
        <v>20000</v>
      </c>
      <c r="AO55" s="224">
        <f>'Cost Summary'!AM32</f>
        <v>10000</v>
      </c>
      <c r="AP55" s="224">
        <f>'Cost Summary'!AN32</f>
        <v>10000</v>
      </c>
      <c r="AQ55" s="224">
        <f>'Cost Summary'!AO32</f>
        <v>10000</v>
      </c>
      <c r="AR55" s="224">
        <f>'Cost Summary'!AP32</f>
        <v>10000</v>
      </c>
      <c r="AS55" s="224">
        <f>'Cost Summary'!AQ32</f>
        <v>10000</v>
      </c>
      <c r="AT55" s="224">
        <f>'Cost Summary'!AR32</f>
        <v>10000</v>
      </c>
      <c r="AU55" s="224">
        <f>'Cost Summary'!AS32</f>
        <v>10000</v>
      </c>
      <c r="AV55" s="224">
        <f>'Cost Summary'!AT32</f>
        <v>10000</v>
      </c>
      <c r="AW55" s="224">
        <f>'Cost Summary'!AU32</f>
        <v>10000</v>
      </c>
      <c r="AX55" s="224">
        <f>'Cost Summary'!AV32</f>
        <v>10000</v>
      </c>
      <c r="AY55" s="224">
        <f>'Cost Summary'!AW32</f>
        <v>10000</v>
      </c>
      <c r="AZ55" s="224">
        <f>'Cost Summary'!AX32</f>
        <v>10000</v>
      </c>
      <c r="BA55" s="224">
        <f>'Cost Summary'!AY32</f>
        <v>10000</v>
      </c>
      <c r="BB55" s="224">
        <f>'Cost Summary'!AZ32</f>
        <v>10000</v>
      </c>
      <c r="BC55" s="224">
        <f>'Cost Summary'!BA32</f>
        <v>10000</v>
      </c>
      <c r="BD55" s="224">
        <f>'Cost Summary'!BB32</f>
        <v>10000</v>
      </c>
      <c r="BE55" s="224">
        <f>'Cost Summary'!BC32</f>
        <v>10000</v>
      </c>
      <c r="BF55" s="224">
        <f>'Cost Summary'!BD32</f>
        <v>10000</v>
      </c>
      <c r="BG55" s="224">
        <f>'Cost Summary'!BE32</f>
        <v>10000</v>
      </c>
      <c r="BH55" s="224">
        <f>'Cost Summary'!BF32</f>
        <v>10000</v>
      </c>
      <c r="BI55" s="224">
        <f>'Cost Summary'!BG32</f>
        <v>10000</v>
      </c>
      <c r="BJ55" s="224">
        <f>'Cost Summary'!BH32</f>
        <v>10000</v>
      </c>
      <c r="BK55" s="224">
        <f>'Cost Summary'!BI32</f>
        <v>10000</v>
      </c>
      <c r="BL55" s="224">
        <f>'Cost Summary'!BJ32</f>
        <v>10000</v>
      </c>
      <c r="BM55" s="575">
        <f>'Cost Summary'!BK32</f>
        <v>10000</v>
      </c>
      <c r="BN55" s="575">
        <f>'Cost Summary'!BL32</f>
        <v>10000</v>
      </c>
      <c r="BO55" s="575">
        <f>'Cost Summary'!BM32</f>
        <v>10000</v>
      </c>
      <c r="BP55" s="575">
        <f>'Cost Summary'!BN32</f>
        <v>10000</v>
      </c>
      <c r="BQ55" s="575">
        <f>'Cost Summary'!BO32</f>
        <v>10000</v>
      </c>
      <c r="BR55" s="575">
        <f>'Cost Summary'!BP32</f>
        <v>10000</v>
      </c>
      <c r="BS55" s="575">
        <f>'Cost Summary'!BQ32</f>
        <v>10000</v>
      </c>
      <c r="BT55" s="575">
        <f>'Cost Summary'!BR32</f>
        <v>10000</v>
      </c>
      <c r="BU55" s="575">
        <f>'Cost Summary'!BS32</f>
        <v>10000</v>
      </c>
      <c r="BV55" s="575">
        <f>'Cost Summary'!BT32</f>
        <v>10000</v>
      </c>
      <c r="BW55" s="575">
        <f>'Cost Summary'!BU32</f>
        <v>10000</v>
      </c>
      <c r="BX55" s="575">
        <f>'Cost Summary'!BV32</f>
        <v>10000</v>
      </c>
    </row>
    <row r="56" spans="1:76" hidden="1" outlineLevel="1" x14ac:dyDescent="0.25">
      <c r="C56" s="40" t="s">
        <v>25</v>
      </c>
      <c r="D56" s="307"/>
      <c r="E56" s="17">
        <f>'Cost Summary'!C33</f>
        <v>0</v>
      </c>
      <c r="F56" s="17">
        <f>'Cost Summary'!D33</f>
        <v>0</v>
      </c>
      <c r="G56" s="174">
        <f>'Cost Summary'!E33</f>
        <v>0</v>
      </c>
      <c r="H56" s="17">
        <f>'Cost Summary'!F33</f>
        <v>0</v>
      </c>
      <c r="I56" s="17">
        <f>'Cost Summary'!G33</f>
        <v>0</v>
      </c>
      <c r="J56" s="17">
        <f>'Cost Summary'!H33</f>
        <v>0</v>
      </c>
      <c r="K56" s="17">
        <f>'Cost Summary'!I33</f>
        <v>0</v>
      </c>
      <c r="L56" s="17">
        <f>'Cost Summary'!J33</f>
        <v>0</v>
      </c>
      <c r="M56" s="17">
        <f>'Cost Summary'!K33</f>
        <v>0</v>
      </c>
      <c r="N56" s="224">
        <f>'Cost Summary'!L33</f>
        <v>0</v>
      </c>
      <c r="O56" s="224">
        <f>'Cost Summary'!M33</f>
        <v>0</v>
      </c>
      <c r="P56" s="224">
        <f>'Cost Summary'!N33</f>
        <v>0</v>
      </c>
      <c r="Q56" s="224">
        <f>'Cost Summary'!O33</f>
        <v>0</v>
      </c>
      <c r="R56" s="224">
        <f>'Cost Summary'!P33</f>
        <v>0</v>
      </c>
      <c r="S56" s="224">
        <f>'Cost Summary'!Q33</f>
        <v>0</v>
      </c>
      <c r="T56" s="224">
        <f>'Cost Summary'!R33</f>
        <v>0</v>
      </c>
      <c r="U56" s="224">
        <f>'Cost Summary'!S33</f>
        <v>0</v>
      </c>
      <c r="V56" s="224">
        <f>'Cost Summary'!T33</f>
        <v>0</v>
      </c>
      <c r="W56" s="224">
        <f>'Cost Summary'!U33</f>
        <v>0</v>
      </c>
      <c r="X56" s="224">
        <f>'Cost Summary'!V33</f>
        <v>0</v>
      </c>
      <c r="Y56" s="224">
        <f>'Cost Summary'!W33</f>
        <v>0</v>
      </c>
      <c r="Z56" s="224">
        <f>'Cost Summary'!X33</f>
        <v>0</v>
      </c>
      <c r="AA56" s="575">
        <f>'Cost Summary'!Y33</f>
        <v>0</v>
      </c>
      <c r="AB56" s="224">
        <f>'Cost Summary'!Z33</f>
        <v>0</v>
      </c>
      <c r="AC56" s="224">
        <f>'Cost Summary'!AA33</f>
        <v>0</v>
      </c>
      <c r="AD56" s="224">
        <f>'Cost Summary'!AB33</f>
        <v>0</v>
      </c>
      <c r="AE56" s="224">
        <f>'Cost Summary'!AC33</f>
        <v>0</v>
      </c>
      <c r="AF56" s="224">
        <f>'Cost Summary'!AD33</f>
        <v>6105</v>
      </c>
      <c r="AG56" s="224">
        <f>'Cost Summary'!AE33</f>
        <v>6105</v>
      </c>
      <c r="AH56" s="224">
        <f>'Cost Summary'!AF33</f>
        <v>6105</v>
      </c>
      <c r="AI56" s="224">
        <f>'Cost Summary'!AG33</f>
        <v>6105</v>
      </c>
      <c r="AJ56" s="224">
        <f>'Cost Summary'!AH33</f>
        <v>6105</v>
      </c>
      <c r="AK56" s="224">
        <f>'Cost Summary'!AI33</f>
        <v>6105</v>
      </c>
      <c r="AL56" s="224">
        <f>'Cost Summary'!AJ33</f>
        <v>6105</v>
      </c>
      <c r="AM56" s="224">
        <f>'Cost Summary'!AK33</f>
        <v>6105</v>
      </c>
      <c r="AN56" s="224">
        <f>'Cost Summary'!AL33</f>
        <v>6105</v>
      </c>
      <c r="AO56" s="224">
        <f>'Cost Summary'!AM33</f>
        <v>6105</v>
      </c>
      <c r="AP56" s="224">
        <f>'Cost Summary'!AN33</f>
        <v>6105</v>
      </c>
      <c r="AQ56" s="224">
        <f>'Cost Summary'!AO33</f>
        <v>6105</v>
      </c>
      <c r="AR56" s="224">
        <f>'Cost Summary'!AP33</f>
        <v>6105</v>
      </c>
      <c r="AS56" s="224">
        <f>'Cost Summary'!AQ33</f>
        <v>6105</v>
      </c>
      <c r="AT56" s="224">
        <f>'Cost Summary'!AR33</f>
        <v>6105</v>
      </c>
      <c r="AU56" s="224">
        <f>'Cost Summary'!AS33</f>
        <v>6105</v>
      </c>
      <c r="AV56" s="224">
        <f>'Cost Summary'!AT33</f>
        <v>6105</v>
      </c>
      <c r="AW56" s="224">
        <f>'Cost Summary'!AU33</f>
        <v>6105</v>
      </c>
      <c r="AX56" s="224">
        <f>'Cost Summary'!AV33</f>
        <v>6105</v>
      </c>
      <c r="AY56" s="224">
        <f>'Cost Summary'!AW33</f>
        <v>6105</v>
      </c>
      <c r="AZ56" s="224">
        <f>'Cost Summary'!AX33</f>
        <v>6105</v>
      </c>
      <c r="BA56" s="224">
        <f>'Cost Summary'!AY33</f>
        <v>6105</v>
      </c>
      <c r="BB56" s="224">
        <f>'Cost Summary'!AZ33</f>
        <v>6105</v>
      </c>
      <c r="BC56" s="224">
        <f>'Cost Summary'!BA33</f>
        <v>6105</v>
      </c>
      <c r="BD56" s="224">
        <f>'Cost Summary'!BB33</f>
        <v>6105</v>
      </c>
      <c r="BE56" s="224">
        <f>'Cost Summary'!BC33</f>
        <v>6105</v>
      </c>
      <c r="BF56" s="224">
        <f>'Cost Summary'!BD33</f>
        <v>6105</v>
      </c>
      <c r="BG56" s="224">
        <f>'Cost Summary'!BE33</f>
        <v>6105</v>
      </c>
      <c r="BH56" s="224">
        <f>'Cost Summary'!BF33</f>
        <v>6105</v>
      </c>
      <c r="BI56" s="224">
        <f>'Cost Summary'!BG33</f>
        <v>6105</v>
      </c>
      <c r="BJ56" s="224">
        <f>'Cost Summary'!BH33</f>
        <v>6105</v>
      </c>
      <c r="BK56" s="224">
        <f>'Cost Summary'!BI33</f>
        <v>6105</v>
      </c>
      <c r="BL56" s="224">
        <f>'Cost Summary'!BJ33</f>
        <v>6105</v>
      </c>
      <c r="BM56" s="575">
        <f>'Cost Summary'!BK33</f>
        <v>6105</v>
      </c>
      <c r="BN56" s="575">
        <f>'Cost Summary'!BL33</f>
        <v>6105</v>
      </c>
      <c r="BO56" s="575">
        <f>'Cost Summary'!BM33</f>
        <v>6105</v>
      </c>
      <c r="BP56" s="575">
        <f>'Cost Summary'!BN33</f>
        <v>6105</v>
      </c>
      <c r="BQ56" s="575">
        <f>'Cost Summary'!BO33</f>
        <v>6105</v>
      </c>
      <c r="BR56" s="575">
        <f>'Cost Summary'!BP33</f>
        <v>6105</v>
      </c>
      <c r="BS56" s="575">
        <f>'Cost Summary'!BQ33</f>
        <v>6105</v>
      </c>
      <c r="BT56" s="575">
        <f>'Cost Summary'!BR33</f>
        <v>6105</v>
      </c>
      <c r="BU56" s="575">
        <f>'Cost Summary'!BS33</f>
        <v>6105</v>
      </c>
      <c r="BV56" s="575">
        <f>'Cost Summary'!BT33</f>
        <v>6105</v>
      </c>
      <c r="BW56" s="575">
        <f>'Cost Summary'!BU33</f>
        <v>6105</v>
      </c>
      <c r="BX56" s="575">
        <f>'Cost Summary'!BV33</f>
        <v>6105</v>
      </c>
    </row>
    <row r="57" spans="1:76" hidden="1" outlineLevel="1" x14ac:dyDescent="0.25">
      <c r="C57" s="40" t="s">
        <v>26</v>
      </c>
      <c r="D57" s="307"/>
      <c r="E57" s="17">
        <f>'Cost Summary'!C34</f>
        <v>0</v>
      </c>
      <c r="F57" s="17">
        <f>'Cost Summary'!D34</f>
        <v>0</v>
      </c>
      <c r="G57" s="174">
        <f>'Cost Summary'!E34</f>
        <v>0</v>
      </c>
      <c r="H57" s="17">
        <f>'Cost Summary'!F34</f>
        <v>0</v>
      </c>
      <c r="I57" s="17">
        <f>'Cost Summary'!G34</f>
        <v>0</v>
      </c>
      <c r="J57" s="17">
        <f>'Cost Summary'!H34</f>
        <v>0</v>
      </c>
      <c r="K57" s="17">
        <f>'Cost Summary'!I34</f>
        <v>0</v>
      </c>
      <c r="L57" s="17">
        <f>'Cost Summary'!J34</f>
        <v>0</v>
      </c>
      <c r="M57" s="17">
        <f>'Cost Summary'!K34</f>
        <v>0</v>
      </c>
      <c r="N57" s="224">
        <f>'Cost Summary'!L34</f>
        <v>0</v>
      </c>
      <c r="O57" s="224">
        <f>'Cost Summary'!M34</f>
        <v>0</v>
      </c>
      <c r="P57" s="224">
        <f>'Cost Summary'!N34</f>
        <v>0</v>
      </c>
      <c r="Q57" s="224">
        <f>'Cost Summary'!O34</f>
        <v>0</v>
      </c>
      <c r="R57" s="224">
        <f>'Cost Summary'!P34</f>
        <v>0</v>
      </c>
      <c r="S57" s="224">
        <f>'Cost Summary'!Q34</f>
        <v>0</v>
      </c>
      <c r="T57" s="224">
        <f>'Cost Summary'!R34</f>
        <v>0</v>
      </c>
      <c r="U57" s="224">
        <f>'Cost Summary'!S34</f>
        <v>0</v>
      </c>
      <c r="V57" s="224">
        <f>'Cost Summary'!T34</f>
        <v>0</v>
      </c>
      <c r="W57" s="224">
        <f>'Cost Summary'!U34</f>
        <v>0</v>
      </c>
      <c r="X57" s="224">
        <f>'Cost Summary'!V34</f>
        <v>0</v>
      </c>
      <c r="Y57" s="224">
        <f>'Cost Summary'!W34</f>
        <v>0</v>
      </c>
      <c r="Z57" s="224">
        <f>'Cost Summary'!X34</f>
        <v>0</v>
      </c>
      <c r="AA57" s="575">
        <f>'Cost Summary'!Y34</f>
        <v>0</v>
      </c>
      <c r="AB57" s="224">
        <f>'Cost Summary'!Z34</f>
        <v>0</v>
      </c>
      <c r="AC57" s="224">
        <f>'Cost Summary'!AA34</f>
        <v>0</v>
      </c>
      <c r="AD57" s="224">
        <f>'Cost Summary'!AB34</f>
        <v>0</v>
      </c>
      <c r="AE57" s="224">
        <f>'Cost Summary'!AC34</f>
        <v>0</v>
      </c>
      <c r="AF57" s="224">
        <f>'Cost Summary'!AD34</f>
        <v>3100</v>
      </c>
      <c r="AG57" s="224">
        <f>'Cost Summary'!AE34</f>
        <v>3100</v>
      </c>
      <c r="AH57" s="224">
        <f>'Cost Summary'!AF34</f>
        <v>3100</v>
      </c>
      <c r="AI57" s="224">
        <f>'Cost Summary'!AG34</f>
        <v>3100</v>
      </c>
      <c r="AJ57" s="224">
        <f>'Cost Summary'!AH34</f>
        <v>3100</v>
      </c>
      <c r="AK57" s="224">
        <f>'Cost Summary'!AI34</f>
        <v>3100</v>
      </c>
      <c r="AL57" s="224">
        <f>'Cost Summary'!AJ34</f>
        <v>3100</v>
      </c>
      <c r="AM57" s="224">
        <f>'Cost Summary'!AK34</f>
        <v>3100</v>
      </c>
      <c r="AN57" s="224">
        <f>'Cost Summary'!AL34</f>
        <v>3100</v>
      </c>
      <c r="AO57" s="224">
        <f>'Cost Summary'!AM34</f>
        <v>3100</v>
      </c>
      <c r="AP57" s="224">
        <f>'Cost Summary'!AN34</f>
        <v>3100</v>
      </c>
      <c r="AQ57" s="224">
        <f>'Cost Summary'!AO34</f>
        <v>3100</v>
      </c>
      <c r="AR57" s="224">
        <f>'Cost Summary'!AP34</f>
        <v>3100</v>
      </c>
      <c r="AS57" s="224">
        <f>'Cost Summary'!AQ34</f>
        <v>3100</v>
      </c>
      <c r="AT57" s="224">
        <f>'Cost Summary'!AR34</f>
        <v>3100</v>
      </c>
      <c r="AU57" s="224">
        <f>'Cost Summary'!AS34</f>
        <v>3100</v>
      </c>
      <c r="AV57" s="224">
        <f>'Cost Summary'!AT34</f>
        <v>3100</v>
      </c>
      <c r="AW57" s="224">
        <f>'Cost Summary'!AU34</f>
        <v>3100</v>
      </c>
      <c r="AX57" s="224">
        <f>'Cost Summary'!AV34</f>
        <v>3100</v>
      </c>
      <c r="AY57" s="224">
        <f>'Cost Summary'!AW34</f>
        <v>3100</v>
      </c>
      <c r="AZ57" s="224">
        <f>'Cost Summary'!AX34</f>
        <v>3100</v>
      </c>
      <c r="BA57" s="224">
        <f>'Cost Summary'!AY34</f>
        <v>3100</v>
      </c>
      <c r="BB57" s="224">
        <f>'Cost Summary'!AZ34</f>
        <v>3100</v>
      </c>
      <c r="BC57" s="224">
        <f>'Cost Summary'!BA34</f>
        <v>3100</v>
      </c>
      <c r="BD57" s="224">
        <f>'Cost Summary'!BB34</f>
        <v>3100</v>
      </c>
      <c r="BE57" s="224">
        <f>'Cost Summary'!BC34</f>
        <v>3100</v>
      </c>
      <c r="BF57" s="224">
        <f>'Cost Summary'!BD34</f>
        <v>3100</v>
      </c>
      <c r="BG57" s="224">
        <f>'Cost Summary'!BE34</f>
        <v>3100</v>
      </c>
      <c r="BH57" s="224">
        <f>'Cost Summary'!BF34</f>
        <v>3100</v>
      </c>
      <c r="BI57" s="224">
        <f>'Cost Summary'!BG34</f>
        <v>3100</v>
      </c>
      <c r="BJ57" s="224">
        <f>'Cost Summary'!BH34</f>
        <v>3100</v>
      </c>
      <c r="BK57" s="224">
        <f>'Cost Summary'!BI34</f>
        <v>3100</v>
      </c>
      <c r="BL57" s="224">
        <f>'Cost Summary'!BJ34</f>
        <v>3100</v>
      </c>
      <c r="BM57" s="575">
        <f>'Cost Summary'!BK34</f>
        <v>3100</v>
      </c>
      <c r="BN57" s="575">
        <f>'Cost Summary'!BL34</f>
        <v>3100</v>
      </c>
      <c r="BO57" s="575">
        <f>'Cost Summary'!BM34</f>
        <v>3100</v>
      </c>
      <c r="BP57" s="575">
        <f>'Cost Summary'!BN34</f>
        <v>3100</v>
      </c>
      <c r="BQ57" s="575">
        <f>'Cost Summary'!BO34</f>
        <v>3100</v>
      </c>
      <c r="BR57" s="575">
        <f>'Cost Summary'!BP34</f>
        <v>3100</v>
      </c>
      <c r="BS57" s="575">
        <f>'Cost Summary'!BQ34</f>
        <v>3100</v>
      </c>
      <c r="BT57" s="575">
        <f>'Cost Summary'!BR34</f>
        <v>3100</v>
      </c>
      <c r="BU57" s="575">
        <f>'Cost Summary'!BS34</f>
        <v>3100</v>
      </c>
      <c r="BV57" s="575">
        <f>'Cost Summary'!BT34</f>
        <v>3100</v>
      </c>
      <c r="BW57" s="575">
        <f>'Cost Summary'!BU34</f>
        <v>3100</v>
      </c>
      <c r="BX57" s="575">
        <f>'Cost Summary'!BV34</f>
        <v>3100</v>
      </c>
    </row>
    <row r="58" spans="1:76" hidden="1" outlineLevel="1" x14ac:dyDescent="0.25">
      <c r="C58" s="42" t="s">
        <v>27</v>
      </c>
      <c r="D58" s="307"/>
      <c r="E58" s="224">
        <f>'Cost Summary'!C35</f>
        <v>0</v>
      </c>
      <c r="F58" s="17">
        <f>'Cost Summary'!D35</f>
        <v>0</v>
      </c>
      <c r="G58" s="174">
        <f>'Cost Summary'!E35</f>
        <v>0</v>
      </c>
      <c r="H58" s="174">
        <f>'Cost Summary'!F35</f>
        <v>0</v>
      </c>
      <c r="I58" s="174">
        <f>'Cost Summary'!G35</f>
        <v>0</v>
      </c>
      <c r="J58" s="174">
        <f>'Cost Summary'!H35</f>
        <v>0</v>
      </c>
      <c r="K58" s="224">
        <f>'Cost Summary'!I35</f>
        <v>0</v>
      </c>
      <c r="L58" s="224">
        <f>'Cost Summary'!J35</f>
        <v>0</v>
      </c>
      <c r="M58" s="224">
        <f>'Cost Summary'!K35</f>
        <v>0</v>
      </c>
      <c r="N58" s="224">
        <f>'Cost Summary'!L35</f>
        <v>0</v>
      </c>
      <c r="O58" s="224">
        <f>'Cost Summary'!M35</f>
        <v>0</v>
      </c>
      <c r="P58" s="224">
        <f>'Cost Summary'!N35</f>
        <v>0</v>
      </c>
      <c r="Q58" s="224">
        <f>'Cost Summary'!O35</f>
        <v>0</v>
      </c>
      <c r="R58" s="224">
        <f>'Cost Summary'!P35</f>
        <v>0</v>
      </c>
      <c r="S58" s="224">
        <f>'Cost Summary'!Q35</f>
        <v>0</v>
      </c>
      <c r="T58" s="224">
        <f>'Cost Summary'!R35</f>
        <v>0</v>
      </c>
      <c r="U58" s="224">
        <f>'Cost Summary'!S35</f>
        <v>0</v>
      </c>
      <c r="V58" s="224">
        <f>'Cost Summary'!T35</f>
        <v>0</v>
      </c>
      <c r="W58" s="224">
        <f>'Cost Summary'!U35</f>
        <v>0</v>
      </c>
      <c r="X58" s="224">
        <f>'Cost Summary'!V35</f>
        <v>0</v>
      </c>
      <c r="Y58" s="224">
        <f>'Cost Summary'!W35</f>
        <v>0</v>
      </c>
      <c r="Z58" s="224">
        <f>'Cost Summary'!X35</f>
        <v>0</v>
      </c>
      <c r="AA58" s="575">
        <f>'Cost Summary'!Y35</f>
        <v>0</v>
      </c>
      <c r="AB58" s="224">
        <f>'Cost Summary'!Z35</f>
        <v>0</v>
      </c>
      <c r="AC58" s="224">
        <f>'Cost Summary'!AA35</f>
        <v>0</v>
      </c>
      <c r="AD58" s="224">
        <f>'Cost Summary'!AB35</f>
        <v>0</v>
      </c>
      <c r="AE58" s="224">
        <f>'Cost Summary'!AC35</f>
        <v>0</v>
      </c>
      <c r="AF58" s="224">
        <f>'Cost Summary'!AD35</f>
        <v>1000</v>
      </c>
      <c r="AG58" s="224">
        <f>'Cost Summary'!AE35</f>
        <v>1000</v>
      </c>
      <c r="AH58" s="224">
        <f>'Cost Summary'!AF35</f>
        <v>1000</v>
      </c>
      <c r="AI58" s="224">
        <f>'Cost Summary'!AG35</f>
        <v>1000</v>
      </c>
      <c r="AJ58" s="224">
        <f>'Cost Summary'!AH35</f>
        <v>1000</v>
      </c>
      <c r="AK58" s="224">
        <f>'Cost Summary'!AI35</f>
        <v>1000</v>
      </c>
      <c r="AL58" s="224">
        <f>'Cost Summary'!AJ35</f>
        <v>1000</v>
      </c>
      <c r="AM58" s="224">
        <f>'Cost Summary'!AK35</f>
        <v>1000</v>
      </c>
      <c r="AN58" s="224">
        <f>'Cost Summary'!AL35</f>
        <v>1000</v>
      </c>
      <c r="AO58" s="224">
        <f>'Cost Summary'!AM35</f>
        <v>1000</v>
      </c>
      <c r="AP58" s="224">
        <f>'Cost Summary'!AN35</f>
        <v>1000</v>
      </c>
      <c r="AQ58" s="224">
        <f>'Cost Summary'!AO35</f>
        <v>1000</v>
      </c>
      <c r="AR58" s="224">
        <f>'Cost Summary'!AP35</f>
        <v>1000</v>
      </c>
      <c r="AS58" s="224">
        <f>'Cost Summary'!AQ35</f>
        <v>1000</v>
      </c>
      <c r="AT58" s="224">
        <f>'Cost Summary'!AR35</f>
        <v>1000</v>
      </c>
      <c r="AU58" s="224">
        <f>'Cost Summary'!AS35</f>
        <v>1000</v>
      </c>
      <c r="AV58" s="224">
        <f>'Cost Summary'!AT35</f>
        <v>1000</v>
      </c>
      <c r="AW58" s="224">
        <f>'Cost Summary'!AU35</f>
        <v>1000</v>
      </c>
      <c r="AX58" s="224">
        <f>'Cost Summary'!AV35</f>
        <v>1000</v>
      </c>
      <c r="AY58" s="224">
        <f>'Cost Summary'!AW35</f>
        <v>1000</v>
      </c>
      <c r="AZ58" s="224">
        <f>'Cost Summary'!AX35</f>
        <v>1000</v>
      </c>
      <c r="BA58" s="224">
        <f>'Cost Summary'!AY35</f>
        <v>1000</v>
      </c>
      <c r="BB58" s="224">
        <f>'Cost Summary'!AZ35</f>
        <v>1000</v>
      </c>
      <c r="BC58" s="224">
        <f>'Cost Summary'!BA35</f>
        <v>1000</v>
      </c>
      <c r="BD58" s="224">
        <f>'Cost Summary'!BB35</f>
        <v>1000</v>
      </c>
      <c r="BE58" s="224">
        <f>'Cost Summary'!BC35</f>
        <v>1000</v>
      </c>
      <c r="BF58" s="224">
        <f>'Cost Summary'!BD35</f>
        <v>1000</v>
      </c>
      <c r="BG58" s="224">
        <f>'Cost Summary'!BE35</f>
        <v>1000</v>
      </c>
      <c r="BH58" s="224">
        <f>'Cost Summary'!BF35</f>
        <v>1000</v>
      </c>
      <c r="BI58" s="224">
        <f>'Cost Summary'!BG35</f>
        <v>1000</v>
      </c>
      <c r="BJ58" s="224">
        <f>'Cost Summary'!BH35</f>
        <v>1000</v>
      </c>
      <c r="BK58" s="224">
        <f>'Cost Summary'!BI35</f>
        <v>1000</v>
      </c>
      <c r="BL58" s="224">
        <f>'Cost Summary'!BJ35</f>
        <v>1000</v>
      </c>
      <c r="BM58" s="575">
        <f>'Cost Summary'!BK35</f>
        <v>1000</v>
      </c>
      <c r="BN58" s="575">
        <f>'Cost Summary'!BL35</f>
        <v>1000</v>
      </c>
      <c r="BO58" s="575">
        <f>'Cost Summary'!BM35</f>
        <v>1000</v>
      </c>
      <c r="BP58" s="575">
        <f>'Cost Summary'!BN35</f>
        <v>1000</v>
      </c>
      <c r="BQ58" s="575">
        <f>'Cost Summary'!BO35</f>
        <v>1000</v>
      </c>
      <c r="BR58" s="575">
        <f>'Cost Summary'!BP35</f>
        <v>1000</v>
      </c>
      <c r="BS58" s="575">
        <f>'Cost Summary'!BQ35</f>
        <v>1000</v>
      </c>
      <c r="BT58" s="575">
        <f>'Cost Summary'!BR35</f>
        <v>1000</v>
      </c>
      <c r="BU58" s="575">
        <f>'Cost Summary'!BS35</f>
        <v>1000</v>
      </c>
      <c r="BV58" s="575">
        <f>'Cost Summary'!BT35</f>
        <v>1000</v>
      </c>
      <c r="BW58" s="575">
        <f>'Cost Summary'!BU35</f>
        <v>1000</v>
      </c>
      <c r="BX58" s="575">
        <f>'Cost Summary'!BV35</f>
        <v>1000</v>
      </c>
    </row>
    <row r="59" spans="1:76" hidden="1" outlineLevel="1" x14ac:dyDescent="0.25">
      <c r="C59" s="40" t="s">
        <v>47</v>
      </c>
      <c r="D59" s="307"/>
      <c r="E59" s="17">
        <f>'Cost Summary'!C36</f>
        <v>0</v>
      </c>
      <c r="F59" s="17">
        <f>'Cost Summary'!D36</f>
        <v>0</v>
      </c>
      <c r="G59" s="174">
        <f>'Cost Summary'!E36</f>
        <v>0</v>
      </c>
      <c r="H59" s="17">
        <f>'Cost Summary'!F36</f>
        <v>0</v>
      </c>
      <c r="I59" s="17">
        <f>'Cost Summary'!G36</f>
        <v>0</v>
      </c>
      <c r="J59" s="17">
        <f>'Cost Summary'!H36</f>
        <v>0</v>
      </c>
      <c r="K59" s="17">
        <f>'Cost Summary'!I36</f>
        <v>0</v>
      </c>
      <c r="L59" s="17">
        <f>'Cost Summary'!J36</f>
        <v>0</v>
      </c>
      <c r="M59" s="17">
        <f>'Cost Summary'!K36</f>
        <v>0</v>
      </c>
      <c r="N59" s="224">
        <f>'Cost Summary'!L36</f>
        <v>0</v>
      </c>
      <c r="O59" s="224">
        <f>'Cost Summary'!M36</f>
        <v>0</v>
      </c>
      <c r="P59" s="224">
        <f>'Cost Summary'!N36</f>
        <v>0</v>
      </c>
      <c r="Q59" s="224">
        <f>'Cost Summary'!O36</f>
        <v>0</v>
      </c>
      <c r="R59" s="224">
        <f>'Cost Summary'!P36</f>
        <v>0</v>
      </c>
      <c r="S59" s="224">
        <f>'Cost Summary'!Q36</f>
        <v>0</v>
      </c>
      <c r="T59" s="224">
        <f>'Cost Summary'!R36</f>
        <v>0</v>
      </c>
      <c r="U59" s="224">
        <f>'Cost Summary'!S36</f>
        <v>0</v>
      </c>
      <c r="V59" s="224">
        <f>'Cost Summary'!T36</f>
        <v>0</v>
      </c>
      <c r="W59" s="224">
        <f>'Cost Summary'!U36</f>
        <v>0</v>
      </c>
      <c r="X59" s="224">
        <f>'Cost Summary'!V36</f>
        <v>0</v>
      </c>
      <c r="Y59" s="224">
        <f>'Cost Summary'!W36</f>
        <v>0</v>
      </c>
      <c r="Z59" s="224">
        <f>'Cost Summary'!X36</f>
        <v>0</v>
      </c>
      <c r="AA59" s="575">
        <f>'Cost Summary'!Y36</f>
        <v>0</v>
      </c>
      <c r="AB59" s="224">
        <f>'Cost Summary'!Z36</f>
        <v>0</v>
      </c>
      <c r="AC59" s="224">
        <f>'Cost Summary'!AA36</f>
        <v>0</v>
      </c>
      <c r="AD59" s="224">
        <f>'Cost Summary'!AB36</f>
        <v>0</v>
      </c>
      <c r="AE59" s="224">
        <f>'Cost Summary'!AC36</f>
        <v>0</v>
      </c>
      <c r="AF59" s="224">
        <f>'Cost Summary'!AD36</f>
        <v>43000</v>
      </c>
      <c r="AG59" s="224">
        <f>'Cost Summary'!AE36</f>
        <v>43000</v>
      </c>
      <c r="AH59" s="224">
        <f>'Cost Summary'!AF36</f>
        <v>43000</v>
      </c>
      <c r="AI59" s="224">
        <f>'Cost Summary'!AG36</f>
        <v>43000</v>
      </c>
      <c r="AJ59" s="224">
        <f>'Cost Summary'!AH36</f>
        <v>43000</v>
      </c>
      <c r="AK59" s="224">
        <f>'Cost Summary'!AI36</f>
        <v>43000</v>
      </c>
      <c r="AL59" s="224">
        <f>'Cost Summary'!AJ36</f>
        <v>43000</v>
      </c>
      <c r="AM59" s="224">
        <f>'Cost Summary'!AK36</f>
        <v>43000</v>
      </c>
      <c r="AN59" s="224">
        <f>'Cost Summary'!AL36</f>
        <v>43000</v>
      </c>
      <c r="AO59" s="224">
        <f>'Cost Summary'!AM36</f>
        <v>43000</v>
      </c>
      <c r="AP59" s="224">
        <f>'Cost Summary'!AN36</f>
        <v>43000</v>
      </c>
      <c r="AQ59" s="224">
        <f>'Cost Summary'!AO36</f>
        <v>43000</v>
      </c>
      <c r="AR59" s="224">
        <f>'Cost Summary'!AP36</f>
        <v>43000</v>
      </c>
      <c r="AS59" s="224">
        <f>'Cost Summary'!AQ36</f>
        <v>43000</v>
      </c>
      <c r="AT59" s="224">
        <f>'Cost Summary'!AR36</f>
        <v>43000</v>
      </c>
      <c r="AU59" s="224">
        <f>'Cost Summary'!AS36</f>
        <v>43000</v>
      </c>
      <c r="AV59" s="224">
        <f>'Cost Summary'!AT36</f>
        <v>43000</v>
      </c>
      <c r="AW59" s="224">
        <f>'Cost Summary'!AU36</f>
        <v>43000</v>
      </c>
      <c r="AX59" s="224">
        <f>'Cost Summary'!AV36</f>
        <v>43000</v>
      </c>
      <c r="AY59" s="224">
        <f>'Cost Summary'!AW36</f>
        <v>43000</v>
      </c>
      <c r="AZ59" s="224">
        <f>'Cost Summary'!AX36</f>
        <v>43000</v>
      </c>
      <c r="BA59" s="224">
        <f>'Cost Summary'!AY36</f>
        <v>43000</v>
      </c>
      <c r="BB59" s="224">
        <f>'Cost Summary'!AZ36</f>
        <v>43000</v>
      </c>
      <c r="BC59" s="224">
        <f>'Cost Summary'!BA36</f>
        <v>43000</v>
      </c>
      <c r="BD59" s="224">
        <f>'Cost Summary'!BB36</f>
        <v>43000</v>
      </c>
      <c r="BE59" s="224">
        <f>'Cost Summary'!BC36</f>
        <v>43000</v>
      </c>
      <c r="BF59" s="224">
        <f>'Cost Summary'!BD36</f>
        <v>43000</v>
      </c>
      <c r="BG59" s="224">
        <f>'Cost Summary'!BE36</f>
        <v>43000</v>
      </c>
      <c r="BH59" s="224">
        <f>'Cost Summary'!BF36</f>
        <v>43000</v>
      </c>
      <c r="BI59" s="224">
        <f>'Cost Summary'!BG36</f>
        <v>43000</v>
      </c>
      <c r="BJ59" s="224">
        <f>'Cost Summary'!BH36</f>
        <v>43000</v>
      </c>
      <c r="BK59" s="224">
        <f>'Cost Summary'!BI36</f>
        <v>43000</v>
      </c>
      <c r="BL59" s="224">
        <f>'Cost Summary'!BJ36</f>
        <v>43000</v>
      </c>
      <c r="BM59" s="575">
        <f>'Cost Summary'!BK36</f>
        <v>43000</v>
      </c>
      <c r="BN59" s="575">
        <f>'Cost Summary'!BL36</f>
        <v>43000</v>
      </c>
      <c r="BO59" s="575">
        <f>'Cost Summary'!BM36</f>
        <v>43000</v>
      </c>
      <c r="BP59" s="575">
        <f>'Cost Summary'!BN36</f>
        <v>43000</v>
      </c>
      <c r="BQ59" s="575">
        <f>'Cost Summary'!BO36</f>
        <v>43000</v>
      </c>
      <c r="BR59" s="575">
        <f>'Cost Summary'!BP36</f>
        <v>43000</v>
      </c>
      <c r="BS59" s="575">
        <f>'Cost Summary'!BQ36</f>
        <v>43000</v>
      </c>
      <c r="BT59" s="575">
        <f>'Cost Summary'!BR36</f>
        <v>43000</v>
      </c>
      <c r="BU59" s="575">
        <f>'Cost Summary'!BS36</f>
        <v>43000</v>
      </c>
      <c r="BV59" s="575">
        <f>'Cost Summary'!BT36</f>
        <v>43000</v>
      </c>
      <c r="BW59" s="575">
        <f>'Cost Summary'!BU36</f>
        <v>43000</v>
      </c>
      <c r="BX59" s="575">
        <f>'Cost Summary'!BV36</f>
        <v>43000</v>
      </c>
    </row>
    <row r="60" spans="1:76" ht="15.75" hidden="1" outlineLevel="1" thickBot="1" x14ac:dyDescent="0.3">
      <c r="C60" s="41" t="s">
        <v>28</v>
      </c>
      <c r="D60" s="225"/>
      <c r="E60" s="20">
        <f>'Cost Summary'!C37</f>
        <v>54155.821190000002</v>
      </c>
      <c r="F60" s="20">
        <f>'Cost Summary'!D37</f>
        <v>117062.92675</v>
      </c>
      <c r="G60" s="20">
        <f>'Cost Summary'!E37-588</f>
        <v>101850.55467</v>
      </c>
      <c r="H60" s="20">
        <f>'Cost Summary'!F37+274</f>
        <v>88706.521710000001</v>
      </c>
      <c r="I60" s="20">
        <f>'Cost Summary'!G37</f>
        <v>76196.030350000001</v>
      </c>
      <c r="J60" s="20">
        <f>'Cost Summary'!H37</f>
        <v>92144.343420000005</v>
      </c>
      <c r="K60" s="20">
        <f>'Cost Summary'!I37</f>
        <v>136538.98177000001</v>
      </c>
      <c r="L60" s="20">
        <f>'Cost Summary'!J37</f>
        <v>102769.32266000001</v>
      </c>
      <c r="M60" s="20">
        <f>'Cost Summary'!K37</f>
        <v>76459.785610000006</v>
      </c>
      <c r="N60" s="225">
        <f>'Cost Summary'!L37</f>
        <v>283861.12433999998</v>
      </c>
      <c r="O60" s="225">
        <f>'Cost Summary'!M37</f>
        <v>163730.92997</v>
      </c>
      <c r="P60" s="225">
        <f>'Cost Summary'!N37+332579</f>
        <v>529449.49115000002</v>
      </c>
      <c r="Q60" s="225">
        <f>'Cost Summary'!O37</f>
        <v>82749.41</v>
      </c>
      <c r="R60" s="225">
        <f>'Cost Summary'!P37</f>
        <v>47805.14</v>
      </c>
      <c r="S60" s="225">
        <f>'Cost Summary'!Q37</f>
        <v>-34371.040000000001</v>
      </c>
      <c r="T60" s="225">
        <f>'Cost Summary'!R37</f>
        <v>46309.1</v>
      </c>
      <c r="U60" s="225">
        <f>'Cost Summary'!S37</f>
        <v>49087.58</v>
      </c>
      <c r="V60" s="225">
        <f>'Cost Summary'!T37</f>
        <v>98654.99</v>
      </c>
      <c r="W60" s="225">
        <f>'Cost Summary'!U37</f>
        <v>86600.91</v>
      </c>
      <c r="X60" s="225">
        <f>'Cost Summary'!V37</f>
        <v>67998.14</v>
      </c>
      <c r="Y60" s="225">
        <f>'Cost Summary'!W37</f>
        <v>101127.73</v>
      </c>
      <c r="Z60" s="225">
        <f>'Cost Summary'!X37</f>
        <v>163591.07999999999</v>
      </c>
      <c r="AA60" s="225">
        <f>'Cost Summary'!Y37</f>
        <v>76076.22</v>
      </c>
      <c r="AB60" s="225">
        <f>'Cost Summary'!Z37</f>
        <v>119617.69</v>
      </c>
      <c r="AC60" s="225">
        <f>'Cost Summary'!AA37</f>
        <v>129800.1</v>
      </c>
      <c r="AD60" s="225">
        <f>'Cost Summary'!AB37</f>
        <v>119451.57</v>
      </c>
      <c r="AE60" s="225">
        <f>'Cost Summary'!AC37</f>
        <v>126341.54</v>
      </c>
      <c r="AF60" s="225">
        <f>'Cost Summary'!AD37</f>
        <v>18333.333333333336</v>
      </c>
      <c r="AG60" s="225">
        <f>'Cost Summary'!AE37</f>
        <v>18333.333333333336</v>
      </c>
      <c r="AH60" s="225">
        <f>'Cost Summary'!AF37</f>
        <v>18333.333333333336</v>
      </c>
      <c r="AI60" s="225">
        <f>'Cost Summary'!AG37</f>
        <v>18333.333333333336</v>
      </c>
      <c r="AJ60" s="225">
        <f>'Cost Summary'!AH37</f>
        <v>18333.333333333336</v>
      </c>
      <c r="AK60" s="225">
        <f>'Cost Summary'!AI37</f>
        <v>18333.333333333336</v>
      </c>
      <c r="AL60" s="225">
        <f>'Cost Summary'!AJ37</f>
        <v>18333.333333333336</v>
      </c>
      <c r="AM60" s="225">
        <f>'Cost Summary'!AK37</f>
        <v>18333.333333333336</v>
      </c>
      <c r="AN60" s="225">
        <f>'Cost Summary'!AL37</f>
        <v>18333.333333333336</v>
      </c>
      <c r="AO60" s="225">
        <f>'Cost Summary'!AM37</f>
        <v>18333.333333333336</v>
      </c>
      <c r="AP60" s="225">
        <f>'Cost Summary'!AN37</f>
        <v>18333.333333333336</v>
      </c>
      <c r="AQ60" s="225">
        <f>'Cost Summary'!AO37</f>
        <v>18333.333333333336</v>
      </c>
      <c r="AR60" s="225">
        <f>'Cost Summary'!AP37</f>
        <v>18333.333333333336</v>
      </c>
      <c r="AS60" s="225">
        <f>'Cost Summary'!AQ37</f>
        <v>18333.333333333336</v>
      </c>
      <c r="AT60" s="225">
        <f>'Cost Summary'!AR37</f>
        <v>18333.333333333336</v>
      </c>
      <c r="AU60" s="225">
        <f>'Cost Summary'!AS37</f>
        <v>18333.333333333336</v>
      </c>
      <c r="AV60" s="225">
        <f>'Cost Summary'!AT37</f>
        <v>18333.333333333336</v>
      </c>
      <c r="AW60" s="225">
        <f>'Cost Summary'!AU37</f>
        <v>18333.333333333336</v>
      </c>
      <c r="AX60" s="225">
        <f>'Cost Summary'!AV37</f>
        <v>18333.333333333336</v>
      </c>
      <c r="AY60" s="225">
        <f>'Cost Summary'!AW37</f>
        <v>18333.333333333336</v>
      </c>
      <c r="AZ60" s="225">
        <f>'Cost Summary'!AX37</f>
        <v>18333.333333333336</v>
      </c>
      <c r="BA60" s="225">
        <f>'Cost Summary'!AY37</f>
        <v>18333.333333333336</v>
      </c>
      <c r="BB60" s="225">
        <f>'Cost Summary'!AZ37</f>
        <v>18333.333333333336</v>
      </c>
      <c r="BC60" s="225">
        <f>'Cost Summary'!BA37</f>
        <v>18333.333333333336</v>
      </c>
      <c r="BD60" s="225">
        <f>'Cost Summary'!BB37</f>
        <v>18333.333333333336</v>
      </c>
      <c r="BE60" s="225">
        <f>'Cost Summary'!BC37</f>
        <v>18333.333333333336</v>
      </c>
      <c r="BF60" s="225">
        <f>'Cost Summary'!BD37</f>
        <v>18333.333333333336</v>
      </c>
      <c r="BG60" s="225">
        <f>'Cost Summary'!BE37</f>
        <v>18333.333333333336</v>
      </c>
      <c r="BH60" s="225">
        <f>'Cost Summary'!BF37</f>
        <v>18333.333333333336</v>
      </c>
      <c r="BI60" s="225">
        <f>'Cost Summary'!BG37</f>
        <v>18333.333333333336</v>
      </c>
      <c r="BJ60" s="225">
        <f>'Cost Summary'!BH37</f>
        <v>18333.333333333336</v>
      </c>
      <c r="BK60" s="225">
        <f>'Cost Summary'!BI37</f>
        <v>18333.333333333336</v>
      </c>
      <c r="BL60" s="225">
        <f>'Cost Summary'!BJ37</f>
        <v>18333.333333333336</v>
      </c>
      <c r="BM60" s="225">
        <f>'Cost Summary'!BK37</f>
        <v>18333.333333333336</v>
      </c>
      <c r="BN60" s="225">
        <f>'Cost Summary'!BL37</f>
        <v>18333.333333333336</v>
      </c>
      <c r="BO60" s="225">
        <f>'Cost Summary'!BM37</f>
        <v>18333.333333333336</v>
      </c>
      <c r="BP60" s="225">
        <f>'Cost Summary'!BN37</f>
        <v>18333.333333333336</v>
      </c>
      <c r="BQ60" s="225">
        <f>'Cost Summary'!BO37</f>
        <v>18333.333333333336</v>
      </c>
      <c r="BR60" s="225">
        <f>'Cost Summary'!BP37</f>
        <v>18333.333333333336</v>
      </c>
      <c r="BS60" s="225">
        <f>'Cost Summary'!BQ37</f>
        <v>18333.333333333336</v>
      </c>
      <c r="BT60" s="225">
        <f>'Cost Summary'!BR37</f>
        <v>18333.333333333336</v>
      </c>
      <c r="BU60" s="225">
        <f>'Cost Summary'!BS37</f>
        <v>18333.333333333336</v>
      </c>
      <c r="BV60" s="225">
        <f>'Cost Summary'!BT37</f>
        <v>18333.333333333336</v>
      </c>
      <c r="BW60" s="225">
        <f>'Cost Summary'!BU37</f>
        <v>18333.333333333336</v>
      </c>
      <c r="BX60" s="225">
        <f>'Cost Summary'!BV37</f>
        <v>18333.333333333336</v>
      </c>
    </row>
    <row r="61" spans="1:76" collapsed="1" x14ac:dyDescent="0.25">
      <c r="A61" s="29"/>
      <c r="B61" s="19"/>
      <c r="C61" s="29" t="s">
        <v>18</v>
      </c>
      <c r="D61" s="165"/>
      <c r="E61" s="8">
        <f t="shared" ref="E61:AJ61" si="29">SUM(E48:E60)</f>
        <v>111452.36387</v>
      </c>
      <c r="F61" s="8">
        <f t="shared" si="29"/>
        <v>171329.8553</v>
      </c>
      <c r="G61" s="165">
        <f t="shared" si="29"/>
        <v>155954.845</v>
      </c>
      <c r="H61" s="8">
        <f t="shared" si="29"/>
        <v>158870.23639999999</v>
      </c>
      <c r="I61" s="8">
        <f t="shared" si="29"/>
        <v>449622.01740000007</v>
      </c>
      <c r="J61" s="8">
        <f t="shared" si="29"/>
        <v>183225.1298</v>
      </c>
      <c r="K61" s="8">
        <f t="shared" si="29"/>
        <v>516594.13564000005</v>
      </c>
      <c r="L61" s="8">
        <f t="shared" si="29"/>
        <v>483654.1398</v>
      </c>
      <c r="M61" s="8">
        <f t="shared" si="29"/>
        <v>149557.75763000001</v>
      </c>
      <c r="N61" s="8">
        <f t="shared" si="29"/>
        <v>695888.60898000002</v>
      </c>
      <c r="O61" s="8">
        <f t="shared" si="29"/>
        <v>337790.57952999999</v>
      </c>
      <c r="P61" s="8">
        <f t="shared" si="29"/>
        <v>622965.46616000007</v>
      </c>
      <c r="Q61" s="8">
        <f t="shared" si="29"/>
        <v>278966.25</v>
      </c>
      <c r="R61" s="8">
        <f t="shared" si="29"/>
        <v>255735.44</v>
      </c>
      <c r="S61" s="8">
        <f t="shared" si="29"/>
        <v>131972.22999999998</v>
      </c>
      <c r="T61" s="8">
        <f t="shared" si="29"/>
        <v>214854.41</v>
      </c>
      <c r="U61" s="8">
        <f t="shared" si="29"/>
        <v>233938.15999999997</v>
      </c>
      <c r="V61" s="8">
        <f t="shared" si="29"/>
        <v>254022.65999999997</v>
      </c>
      <c r="W61" s="8">
        <f t="shared" si="29"/>
        <v>287334.32999999996</v>
      </c>
      <c r="X61" s="8">
        <f t="shared" si="29"/>
        <v>239081.5</v>
      </c>
      <c r="Y61" s="8">
        <f t="shared" si="29"/>
        <v>279888.06</v>
      </c>
      <c r="Z61" s="8">
        <f t="shared" si="29"/>
        <v>349829.29</v>
      </c>
      <c r="AA61" s="165">
        <f t="shared" ref="AA61" si="30">SUM(AA48:AA60)</f>
        <v>259971.00999999998</v>
      </c>
      <c r="AB61" s="8">
        <f t="shared" si="29"/>
        <v>271110.07</v>
      </c>
      <c r="AC61" s="8">
        <f t="shared" si="29"/>
        <v>333594.08</v>
      </c>
      <c r="AD61" s="8">
        <f t="shared" si="29"/>
        <v>242304.91000000003</v>
      </c>
      <c r="AE61" s="8">
        <f t="shared" si="29"/>
        <v>307496.27999999997</v>
      </c>
      <c r="AF61" s="8">
        <f t="shared" ca="1" si="29"/>
        <v>308042.68438645417</v>
      </c>
      <c r="AG61" s="8">
        <f t="shared" ca="1" si="29"/>
        <v>335694.27638650947</v>
      </c>
      <c r="AH61" s="8">
        <f t="shared" ca="1" si="29"/>
        <v>332161.20830693521</v>
      </c>
      <c r="AI61" s="8">
        <f t="shared" ca="1" si="29"/>
        <v>334220.44109300518</v>
      </c>
      <c r="AJ61" s="8">
        <f t="shared" ca="1" si="29"/>
        <v>333890.80304458219</v>
      </c>
      <c r="AK61" s="8">
        <f t="shared" ref="AK61:BL61" ca="1" si="31">SUM(AK48:AK60)</f>
        <v>334701.10838130774</v>
      </c>
      <c r="AL61" s="8">
        <f t="shared" ca="1" si="31"/>
        <v>336507.94965607475</v>
      </c>
      <c r="AM61" s="8">
        <f t="shared" ca="1" si="31"/>
        <v>338655.79364084551</v>
      </c>
      <c r="AN61" s="8">
        <f t="shared" ca="1" si="31"/>
        <v>314098.44490153651</v>
      </c>
      <c r="AO61" s="8">
        <f t="shared" ca="1" si="31"/>
        <v>302493.54304399644</v>
      </c>
      <c r="AP61" s="8">
        <f t="shared" ca="1" si="31"/>
        <v>304813.00915380195</v>
      </c>
      <c r="AQ61" s="8">
        <f t="shared" ca="1" si="31"/>
        <v>311820.45836140536</v>
      </c>
      <c r="AR61" s="8">
        <f t="shared" ca="1" si="31"/>
        <v>314416.58698435588</v>
      </c>
      <c r="AS61" s="8">
        <f t="shared" ca="1" si="31"/>
        <v>315840.53647478396</v>
      </c>
      <c r="AT61" s="8">
        <f t="shared" ca="1" si="31"/>
        <v>317269.56920439529</v>
      </c>
      <c r="AU61" s="8">
        <f t="shared" ca="1" si="31"/>
        <v>318729.44284417329</v>
      </c>
      <c r="AV61" s="8">
        <f t="shared" ca="1" si="31"/>
        <v>320147.99062078784</v>
      </c>
      <c r="AW61" s="8">
        <f t="shared" ca="1" si="31"/>
        <v>321719.12161941419</v>
      </c>
      <c r="AX61" s="8">
        <f t="shared" ca="1" si="31"/>
        <v>323361.23312878347</v>
      </c>
      <c r="AY61" s="8">
        <f t="shared" ca="1" si="31"/>
        <v>324993.92119585484</v>
      </c>
      <c r="AZ61" s="8">
        <f t="shared" ca="1" si="31"/>
        <v>326589.66415780812</v>
      </c>
      <c r="BA61" s="8">
        <f t="shared" ca="1" si="31"/>
        <v>323977.56631351018</v>
      </c>
      <c r="BB61" s="8">
        <f t="shared" ca="1" si="31"/>
        <v>327073.59167621168</v>
      </c>
      <c r="BC61" s="8">
        <f t="shared" ca="1" si="31"/>
        <v>329202.72668130632</v>
      </c>
      <c r="BD61" s="8">
        <f t="shared" ca="1" si="31"/>
        <v>330935.28487953322</v>
      </c>
      <c r="BE61" s="8">
        <f t="shared" ca="1" si="31"/>
        <v>332593.58194851369</v>
      </c>
      <c r="BF61" s="8">
        <f t="shared" ca="1" si="31"/>
        <v>334266.92362186109</v>
      </c>
      <c r="BG61" s="8">
        <f t="shared" ca="1" si="31"/>
        <v>335964.22336777917</v>
      </c>
      <c r="BH61" s="8">
        <f t="shared" ca="1" si="31"/>
        <v>337679.9338112697</v>
      </c>
      <c r="BI61" s="8">
        <f t="shared" ca="1" si="31"/>
        <v>339420.17688119813</v>
      </c>
      <c r="BJ61" s="8">
        <f t="shared" ca="1" si="31"/>
        <v>341174.02496813121</v>
      </c>
      <c r="BK61" s="8">
        <f t="shared" ca="1" si="31"/>
        <v>342936.75027178426</v>
      </c>
      <c r="BL61" s="8">
        <f t="shared" ca="1" si="31"/>
        <v>344709.83015148254</v>
      </c>
      <c r="BM61" s="165">
        <f t="shared" ref="BM61:BX61" ca="1" si="32">SUM(BM48:BM60)</f>
        <v>348557.36548472266</v>
      </c>
      <c r="BN61" s="165">
        <f t="shared" ca="1" si="32"/>
        <v>351418.75665503897</v>
      </c>
      <c r="BO61" s="165">
        <f t="shared" ca="1" si="32"/>
        <v>353202.9291795328</v>
      </c>
      <c r="BP61" s="165">
        <f t="shared" ca="1" si="32"/>
        <v>354958.26009704039</v>
      </c>
      <c r="BQ61" s="165">
        <f t="shared" ca="1" si="32"/>
        <v>356715.90802832908</v>
      </c>
      <c r="BR61" s="165">
        <f t="shared" ca="1" si="32"/>
        <v>358481.16830440733</v>
      </c>
      <c r="BS61" s="165">
        <f t="shared" ca="1" si="32"/>
        <v>360253.71775790252</v>
      </c>
      <c r="BT61" s="165">
        <f t="shared" ca="1" si="32"/>
        <v>362032.58280415524</v>
      </c>
      <c r="BU61" s="165">
        <f t="shared" ca="1" si="32"/>
        <v>363816.32739795995</v>
      </c>
      <c r="BV61" s="165">
        <f t="shared" ca="1" si="32"/>
        <v>365603.46950324427</v>
      </c>
      <c r="BW61" s="165">
        <f t="shared" ca="1" si="32"/>
        <v>367393.14391483919</v>
      </c>
      <c r="BX61" s="165">
        <f t="shared" ca="1" si="32"/>
        <v>369184.851992257</v>
      </c>
    </row>
    <row r="62" spans="1:76" x14ac:dyDescent="0.25">
      <c r="D62" s="166"/>
      <c r="E62" s="166"/>
      <c r="F62" s="166"/>
      <c r="G62" s="166"/>
      <c r="H62" s="166"/>
      <c r="I62" s="166"/>
      <c r="J62" s="166"/>
      <c r="K62" s="166"/>
      <c r="L62" s="166"/>
      <c r="M62" s="16"/>
      <c r="N62" s="16"/>
      <c r="O62" s="16"/>
      <c r="P62" s="16"/>
      <c r="Q62" s="16"/>
      <c r="R62" s="16"/>
      <c r="S62" s="16"/>
      <c r="T62" s="16"/>
      <c r="U62" s="16"/>
      <c r="V62" s="16"/>
      <c r="W62" s="16"/>
      <c r="X62" s="16"/>
      <c r="Y62" s="16"/>
      <c r="Z62" s="16"/>
      <c r="AA62" s="570"/>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570"/>
    </row>
    <row r="63" spans="1:76" s="16" customFormat="1" x14ac:dyDescent="0.25">
      <c r="C63" s="29" t="s">
        <v>144</v>
      </c>
      <c r="D63" s="307"/>
      <c r="E63" s="17">
        <f t="shared" ref="E63:AJ63" si="33">E40+E45+E61</f>
        <v>358101.08327</v>
      </c>
      <c r="F63" s="17">
        <f t="shared" si="33"/>
        <v>455104.96492</v>
      </c>
      <c r="G63" s="174">
        <f t="shared" si="33"/>
        <v>481195.01559999993</v>
      </c>
      <c r="H63" s="17">
        <f t="shared" si="33"/>
        <v>499124.41801999998</v>
      </c>
      <c r="I63" s="17">
        <f t="shared" si="33"/>
        <v>749016.54052000004</v>
      </c>
      <c r="J63" s="17">
        <f t="shared" si="33"/>
        <v>560903.18684999994</v>
      </c>
      <c r="K63" s="17">
        <f t="shared" si="33"/>
        <v>864776.72258000006</v>
      </c>
      <c r="L63" s="17">
        <f t="shared" si="33"/>
        <v>887729.38361000002</v>
      </c>
      <c r="M63" s="17">
        <f t="shared" si="33"/>
        <v>534239.78561000002</v>
      </c>
      <c r="N63" s="17">
        <f t="shared" si="33"/>
        <v>1095345.8528200001</v>
      </c>
      <c r="O63" s="17">
        <f t="shared" si="33"/>
        <v>773580.77112000005</v>
      </c>
      <c r="P63" s="17">
        <f>P40+P45+P61</f>
        <v>1059986.32186</v>
      </c>
      <c r="Q63" s="307">
        <f t="shared" si="33"/>
        <v>1071416.06</v>
      </c>
      <c r="R63" s="307">
        <f t="shared" si="33"/>
        <v>807103.90999999992</v>
      </c>
      <c r="S63" s="307">
        <f t="shared" si="33"/>
        <v>913057.89</v>
      </c>
      <c r="T63" s="17">
        <f t="shared" si="33"/>
        <v>975798.84</v>
      </c>
      <c r="U63" s="17">
        <f t="shared" si="33"/>
        <v>1020863.0899999999</v>
      </c>
      <c r="V63" s="17">
        <f t="shared" si="33"/>
        <v>1146498.1499999999</v>
      </c>
      <c r="W63" s="17">
        <f t="shared" si="33"/>
        <v>1572423.9299999997</v>
      </c>
      <c r="X63" s="17">
        <f t="shared" si="33"/>
        <v>1455333.01</v>
      </c>
      <c r="Y63" s="17">
        <f t="shared" si="33"/>
        <v>1248307.32</v>
      </c>
      <c r="Z63" s="17">
        <f t="shared" si="33"/>
        <v>1340691.69</v>
      </c>
      <c r="AA63" s="575">
        <f t="shared" ref="AA63" si="34">AA40+AA45+AA61</f>
        <v>1242208.81</v>
      </c>
      <c r="AB63" s="17">
        <f t="shared" si="33"/>
        <v>1154997.06</v>
      </c>
      <c r="AC63" s="17">
        <f t="shared" si="33"/>
        <v>1395356.6</v>
      </c>
      <c r="AD63" s="17">
        <f t="shared" si="33"/>
        <v>1227087.56</v>
      </c>
      <c r="AE63" s="17">
        <f t="shared" si="33"/>
        <v>1524230.86</v>
      </c>
      <c r="AF63" s="17">
        <f t="shared" ca="1" si="33"/>
        <v>2076898.8904321603</v>
      </c>
      <c r="AG63" s="17">
        <f t="shared" ca="1" si="33"/>
        <v>1968921.7659693074</v>
      </c>
      <c r="AH63" s="17">
        <f t="shared" ca="1" si="33"/>
        <v>2052259.5459533737</v>
      </c>
      <c r="AI63" s="17">
        <f t="shared" ca="1" si="33"/>
        <v>2133958.7606956083</v>
      </c>
      <c r="AJ63" s="17">
        <f t="shared" ca="1" si="33"/>
        <v>1840537.8021504742</v>
      </c>
      <c r="AK63" s="17">
        <f t="shared" ref="AK63:BL63" ca="1" si="35">AK40+AK45+AK61</f>
        <v>1882026.2324690328</v>
      </c>
      <c r="AL63" s="17">
        <f t="shared" ca="1" si="35"/>
        <v>2043947.9860338303</v>
      </c>
      <c r="AM63" s="17">
        <f t="shared" ca="1" si="35"/>
        <v>1864738.7384286276</v>
      </c>
      <c r="AN63" s="17">
        <f t="shared" ca="1" si="35"/>
        <v>1843143.438316067</v>
      </c>
      <c r="AO63" s="17">
        <f t="shared" ca="1" si="35"/>
        <v>8788991.0401427392</v>
      </c>
      <c r="AP63" s="17">
        <f t="shared" ca="1" si="35"/>
        <v>1248229.4419999439</v>
      </c>
      <c r="AQ63" s="17">
        <f t="shared" ca="1" si="35"/>
        <v>1259926.0627492755</v>
      </c>
      <c r="AR63" s="17">
        <f t="shared" ca="1" si="35"/>
        <v>1266422.4256420694</v>
      </c>
      <c r="AS63" s="17">
        <f t="shared" ca="1" si="35"/>
        <v>1271878.9760748076</v>
      </c>
      <c r="AT63" s="17">
        <f t="shared" ca="1" si="35"/>
        <v>1277792.9896577415</v>
      </c>
      <c r="AU63" s="17">
        <f t="shared" ca="1" si="35"/>
        <v>1283719.2616713119</v>
      </c>
      <c r="AV63" s="17">
        <f t="shared" ca="1" si="35"/>
        <v>1289641.0162044433</v>
      </c>
      <c r="AW63" s="17">
        <f t="shared" ca="1" si="35"/>
        <v>1295724.7176819048</v>
      </c>
      <c r="AX63" s="17">
        <f t="shared" ca="1" si="35"/>
        <v>1301932.4366383101</v>
      </c>
      <c r="AY63" s="17">
        <f t="shared" ca="1" si="35"/>
        <v>1308181.6157263089</v>
      </c>
      <c r="AZ63" s="17">
        <f t="shared" ca="1" si="35"/>
        <v>1319623.719006144</v>
      </c>
      <c r="BA63" s="17">
        <f t="shared" ca="1" si="35"/>
        <v>1324164.3312369995</v>
      </c>
      <c r="BB63" s="17">
        <f t="shared" ca="1" si="35"/>
        <v>1741950.4810426512</v>
      </c>
      <c r="BC63" s="17">
        <f t="shared" ca="1" si="35"/>
        <v>1749074.1584197446</v>
      </c>
      <c r="BD63" s="17">
        <f t="shared" ca="1" si="35"/>
        <v>1755778.3404249758</v>
      </c>
      <c r="BE63" s="17">
        <f t="shared" ca="1" si="35"/>
        <v>1762523.7228597519</v>
      </c>
      <c r="BF63" s="17">
        <f t="shared" ca="1" si="35"/>
        <v>1769346.9734532321</v>
      </c>
      <c r="BG63" s="17">
        <f t="shared" ca="1" si="35"/>
        <v>1776296.6739487266</v>
      </c>
      <c r="BH63" s="17">
        <f t="shared" ca="1" si="35"/>
        <v>1783330.9447863707</v>
      </c>
      <c r="BI63" s="17">
        <f t="shared" ca="1" si="35"/>
        <v>1790469.7937913181</v>
      </c>
      <c r="BJ63" s="17">
        <f t="shared" ca="1" si="35"/>
        <v>1797707.5950912302</v>
      </c>
      <c r="BK63" s="17">
        <f t="shared" ca="1" si="35"/>
        <v>1805043.2529234719</v>
      </c>
      <c r="BL63" s="17">
        <f t="shared" ca="1" si="35"/>
        <v>1817738.5163229457</v>
      </c>
      <c r="BM63" s="575">
        <f t="shared" ref="BM63:BX63" ca="1" si="36">BM40+BM45+BM61</f>
        <v>1436760.4609760672</v>
      </c>
      <c r="BN63" s="575">
        <f t="shared" ca="1" si="36"/>
        <v>1455661.2740863073</v>
      </c>
      <c r="BO63" s="575">
        <f t="shared" ca="1" si="36"/>
        <v>1463472.0790988221</v>
      </c>
      <c r="BP63" s="575">
        <f t="shared" ca="1" si="36"/>
        <v>1471360.1728374194</v>
      </c>
      <c r="BQ63" s="575">
        <f t="shared" ca="1" si="36"/>
        <v>1479359.8528999754</v>
      </c>
      <c r="BR63" s="575">
        <f t="shared" ca="1" si="36"/>
        <v>1487483.408752796</v>
      </c>
      <c r="BS63" s="575">
        <f t="shared" ca="1" si="36"/>
        <v>1495733.2730188346</v>
      </c>
      <c r="BT63" s="575">
        <f t="shared" ca="1" si="36"/>
        <v>1504114.7778190831</v>
      </c>
      <c r="BU63" s="575">
        <f t="shared" ca="1" si="36"/>
        <v>1512628.3676431789</v>
      </c>
      <c r="BV63" s="575">
        <f t="shared" ca="1" si="36"/>
        <v>1521278.9948543175</v>
      </c>
      <c r="BW63" s="575">
        <f t="shared" ca="1" si="36"/>
        <v>1530070.7612088344</v>
      </c>
      <c r="BX63" s="575" t="e">
        <f t="shared" ca="1" si="36"/>
        <v>#REF!</v>
      </c>
    </row>
    <row r="64" spans="1:76" s="437" customFormat="1" x14ac:dyDescent="0.25">
      <c r="C64" s="29"/>
      <c r="D64" s="307"/>
      <c r="E64" s="307">
        <v>358120</v>
      </c>
      <c r="F64" s="307">
        <v>455120</v>
      </c>
      <c r="G64" s="307">
        <v>481258</v>
      </c>
      <c r="H64" s="307">
        <v>499173</v>
      </c>
      <c r="I64" s="307">
        <v>749019</v>
      </c>
      <c r="J64" s="307">
        <v>560974</v>
      </c>
      <c r="K64" s="307">
        <v>864819</v>
      </c>
      <c r="L64" s="307">
        <v>887760</v>
      </c>
      <c r="M64" s="307">
        <v>534257</v>
      </c>
      <c r="N64" s="307">
        <v>1095616</v>
      </c>
      <c r="O64" s="307">
        <v>773978</v>
      </c>
      <c r="P64" s="307">
        <v>1060115</v>
      </c>
      <c r="Q64" s="307"/>
      <c r="R64" s="307"/>
      <c r="S64" s="307"/>
      <c r="T64" s="307"/>
      <c r="U64" s="307"/>
      <c r="V64" s="307"/>
      <c r="W64" s="307"/>
      <c r="X64" s="307"/>
      <c r="Y64" s="307"/>
      <c r="Z64" s="307"/>
      <c r="AA64" s="575"/>
      <c r="AB64" s="307"/>
      <c r="AC64" s="307"/>
      <c r="AD64" s="307"/>
      <c r="AE64" s="307"/>
      <c r="AF64" s="307"/>
      <c r="AG64" s="307"/>
      <c r="AH64" s="307"/>
      <c r="AI64" s="307"/>
      <c r="AJ64" s="307"/>
      <c r="AK64" s="307"/>
      <c r="AL64" s="307"/>
      <c r="AM64" s="307"/>
      <c r="AN64" s="307"/>
      <c r="AO64" s="307"/>
      <c r="AP64" s="307"/>
      <c r="AQ64" s="307"/>
      <c r="AR64" s="307"/>
      <c r="AS64" s="307"/>
      <c r="AT64" s="307"/>
      <c r="AU64" s="307"/>
      <c r="AV64" s="307"/>
      <c r="AW64" s="307"/>
      <c r="AX64" s="307"/>
      <c r="AY64" s="307"/>
      <c r="AZ64" s="307"/>
      <c r="BA64" s="307"/>
      <c r="BB64" s="307"/>
      <c r="BC64" s="307"/>
      <c r="BD64" s="307"/>
      <c r="BE64" s="307"/>
      <c r="BF64" s="307"/>
      <c r="BG64" s="307"/>
      <c r="BH64" s="307"/>
      <c r="BI64" s="307"/>
      <c r="BJ64" s="307"/>
      <c r="BK64" s="307"/>
      <c r="BL64" s="307"/>
      <c r="BM64" s="575"/>
      <c r="BN64" s="575"/>
      <c r="BO64" s="575"/>
      <c r="BP64" s="575"/>
      <c r="BQ64" s="575"/>
      <c r="BR64" s="575"/>
      <c r="BS64" s="575"/>
      <c r="BT64" s="575"/>
      <c r="BU64" s="575"/>
      <c r="BV64" s="575"/>
      <c r="BW64" s="575"/>
      <c r="BX64" s="575"/>
    </row>
    <row r="65" spans="1:76" x14ac:dyDescent="0.25">
      <c r="D65" s="166"/>
      <c r="E65" s="166">
        <f>+E63-E64</f>
        <v>-18.916729999997187</v>
      </c>
      <c r="F65" s="166">
        <f t="shared" ref="F65:P65" si="37">+F63-F64</f>
        <v>-15.035080000001471</v>
      </c>
      <c r="G65" s="166">
        <f t="shared" si="37"/>
        <v>-62.984400000073947</v>
      </c>
      <c r="H65" s="166">
        <f t="shared" si="37"/>
        <v>-48.581980000017211</v>
      </c>
      <c r="I65" s="166">
        <f t="shared" si="37"/>
        <v>-2.4594799999613315</v>
      </c>
      <c r="J65" s="166">
        <f t="shared" si="37"/>
        <v>-70.813150000059977</v>
      </c>
      <c r="K65" s="166">
        <f t="shared" si="37"/>
        <v>-42.277419999940321</v>
      </c>
      <c r="L65" s="166">
        <f t="shared" si="37"/>
        <v>-30.616389999981038</v>
      </c>
      <c r="M65" s="166">
        <f t="shared" si="37"/>
        <v>-17.214389999979176</v>
      </c>
      <c r="N65" s="166">
        <f t="shared" si="37"/>
        <v>-270.14717999985442</v>
      </c>
      <c r="O65" s="166">
        <f t="shared" si="37"/>
        <v>-397.22887999995146</v>
      </c>
      <c r="P65" s="166">
        <f t="shared" si="37"/>
        <v>-128.67813999997452</v>
      </c>
      <c r="Q65" s="16"/>
      <c r="R65" s="16"/>
      <c r="S65" s="16"/>
      <c r="T65" s="16"/>
      <c r="U65" s="16"/>
      <c r="V65" s="16"/>
      <c r="W65" s="16"/>
      <c r="X65" s="16"/>
      <c r="Y65" s="16"/>
      <c r="Z65" s="16"/>
      <c r="AA65" s="570"/>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570"/>
    </row>
    <row r="66" spans="1:76" ht="15.75" thickBot="1" x14ac:dyDescent="0.3">
      <c r="A66" s="16"/>
      <c r="B66" s="50" t="s">
        <v>525</v>
      </c>
      <c r="C66" s="51"/>
      <c r="D66" s="53"/>
      <c r="E66" s="53">
        <f>E33-E40-E45-E61</f>
        <v>557713.6582197845</v>
      </c>
      <c r="F66" s="53">
        <f t="shared" ref="F66:O66" si="38">F33-F40-F45-F61</f>
        <v>373263.56141166302</v>
      </c>
      <c r="G66" s="53">
        <f t="shared" si="38"/>
        <v>485281.31798031891</v>
      </c>
      <c r="H66" s="53">
        <f t="shared" si="38"/>
        <v>439109.7872727089</v>
      </c>
      <c r="I66" s="53">
        <f t="shared" si="38"/>
        <v>317340.61171710881</v>
      </c>
      <c r="J66" s="53">
        <f t="shared" si="38"/>
        <v>377104.56566062395</v>
      </c>
      <c r="K66" s="53">
        <f t="shared" si="38"/>
        <v>153035.37917727098</v>
      </c>
      <c r="L66" s="53">
        <f t="shared" si="38"/>
        <v>222915.23448720737</v>
      </c>
      <c r="M66" s="53">
        <f t="shared" si="38"/>
        <v>460899.44117237872</v>
      </c>
      <c r="N66" s="53">
        <f t="shared" si="38"/>
        <v>331871.39276196656</v>
      </c>
      <c r="O66" s="53">
        <f t="shared" si="38"/>
        <v>648498.58040760295</v>
      </c>
      <c r="P66" s="53">
        <f>P33-P40-P45-P61</f>
        <v>-286015.96880049485</v>
      </c>
      <c r="Q66" s="53">
        <f t="shared" ref="Q66:BL66" si="39">Q33-Q63</f>
        <v>-115353.9700000002</v>
      </c>
      <c r="R66" s="53">
        <f t="shared" si="39"/>
        <v>345290.8600000001</v>
      </c>
      <c r="S66" s="53">
        <f>S33-S63</f>
        <v>350257.98999999987</v>
      </c>
      <c r="T66" s="53">
        <f t="shared" si="39"/>
        <v>295570.61000000022</v>
      </c>
      <c r="U66" s="53">
        <f t="shared" si="39"/>
        <v>242266.86000000034</v>
      </c>
      <c r="V66" s="53">
        <f t="shared" si="39"/>
        <v>-72510.839999999851</v>
      </c>
      <c r="W66" s="53">
        <f t="shared" si="39"/>
        <v>-466996.57999999961</v>
      </c>
      <c r="X66" s="53">
        <f t="shared" si="39"/>
        <v>-328381.75999999978</v>
      </c>
      <c r="Y66" s="53">
        <f t="shared" si="39"/>
        <v>235.5</v>
      </c>
      <c r="Z66" s="53">
        <f t="shared" si="39"/>
        <v>62507.930000000168</v>
      </c>
      <c r="AA66" s="577">
        <f t="shared" ref="AA66:AB66" si="40">AA33-AA63</f>
        <v>-98340.850000000093</v>
      </c>
      <c r="AB66" s="577">
        <f t="shared" si="40"/>
        <v>219402.77000000002</v>
      </c>
      <c r="AC66" s="53">
        <f t="shared" si="39"/>
        <v>-151542.7100000002</v>
      </c>
      <c r="AD66" s="53">
        <f t="shared" si="39"/>
        <v>31361.799999999814</v>
      </c>
      <c r="AE66" s="53">
        <f t="shared" si="39"/>
        <v>-93407.84999999986</v>
      </c>
      <c r="AF66" s="53">
        <f t="shared" ca="1" si="39"/>
        <v>-632390.89024375984</v>
      </c>
      <c r="AG66" s="53">
        <f t="shared" ca="1" si="39"/>
        <v>-407532.47116447892</v>
      </c>
      <c r="AH66" s="53">
        <f t="shared" ca="1" si="39"/>
        <v>-382237.92356984736</v>
      </c>
      <c r="AI66" s="53">
        <f t="shared" ca="1" si="39"/>
        <v>-480511.43369888654</v>
      </c>
      <c r="AJ66" s="53">
        <f t="shared" ca="1" si="39"/>
        <v>-107855.20253670774</v>
      </c>
      <c r="AK66" s="53">
        <f t="shared" ca="1" si="39"/>
        <v>135687.45209897985</v>
      </c>
      <c r="AL66" s="53">
        <f t="shared" ca="1" si="39"/>
        <v>100688.3152307542</v>
      </c>
      <c r="AM66" s="53">
        <f t="shared" ca="1" si="39"/>
        <v>227066.21043662843</v>
      </c>
      <c r="AN66" s="53">
        <f t="shared" ca="1" si="39"/>
        <v>265606.26140367822</v>
      </c>
      <c r="AO66" s="53">
        <f t="shared" ca="1" si="39"/>
        <v>-6377728.7347128661</v>
      </c>
      <c r="AP66" s="53">
        <f t="shared" ca="1" si="39"/>
        <v>1288752.7512060022</v>
      </c>
      <c r="AQ66" s="53">
        <f t="shared" ca="1" si="39"/>
        <v>1407508.5627261642</v>
      </c>
      <c r="AR66" s="53">
        <f t="shared" ca="1" si="39"/>
        <v>1525274.6195486407</v>
      </c>
      <c r="AS66" s="53">
        <f t="shared" ca="1" si="39"/>
        <v>1639470.8857648207</v>
      </c>
      <c r="AT66" s="53">
        <f t="shared" ca="1" si="39"/>
        <v>1752000.098291833</v>
      </c>
      <c r="AU66" s="53">
        <f t="shared" ca="1" si="39"/>
        <v>1864571.9893325611</v>
      </c>
      <c r="AV66" s="53">
        <f t="shared" ca="1" si="39"/>
        <v>1978593.5006577913</v>
      </c>
      <c r="AW66" s="53">
        <f t="shared" ca="1" si="39"/>
        <v>2093732.0603259727</v>
      </c>
      <c r="AX66" s="53">
        <f t="shared" ca="1" si="39"/>
        <v>2206238.3408815642</v>
      </c>
      <c r="AY66" s="53">
        <f t="shared" ca="1" si="39"/>
        <v>2318703.1613055617</v>
      </c>
      <c r="AZ66" s="53">
        <f t="shared" ca="1" si="39"/>
        <v>2425975.0575377229</v>
      </c>
      <c r="BA66" s="53">
        <f t="shared" ca="1" si="39"/>
        <v>-1372166.3312369995</v>
      </c>
      <c r="BB66" s="53">
        <f t="shared" ca="1" si="39"/>
        <v>-1789952.4810426512</v>
      </c>
      <c r="BC66" s="53">
        <f t="shared" ca="1" si="39"/>
        <v>-1797076.1584197446</v>
      </c>
      <c r="BD66" s="53">
        <f t="shared" ca="1" si="39"/>
        <v>-1781128.3404249758</v>
      </c>
      <c r="BE66" s="53">
        <f t="shared" ca="1" si="39"/>
        <v>-1787873.7228597519</v>
      </c>
      <c r="BF66" s="53">
        <f t="shared" ca="1" si="39"/>
        <v>-1794696.9734532321</v>
      </c>
      <c r="BG66" s="53">
        <f t="shared" ca="1" si="39"/>
        <v>-1801646.6739487266</v>
      </c>
      <c r="BH66" s="53">
        <f t="shared" ca="1" si="39"/>
        <v>-1808680.9447863707</v>
      </c>
      <c r="BI66" s="53">
        <f t="shared" ca="1" si="39"/>
        <v>-1815819.7937913181</v>
      </c>
      <c r="BJ66" s="53">
        <f t="shared" ca="1" si="39"/>
        <v>-1823057.5950912302</v>
      </c>
      <c r="BK66" s="53">
        <f t="shared" ca="1" si="39"/>
        <v>-1830393.2529234719</v>
      </c>
      <c r="BL66" s="53">
        <f t="shared" ca="1" si="39"/>
        <v>-1843088.5163229457</v>
      </c>
      <c r="BM66" s="577">
        <f t="shared" ref="BM66:BX66" ca="1" si="41">BM33-BM63</f>
        <v>-1462110.4609760672</v>
      </c>
      <c r="BN66" s="577">
        <f t="shared" ca="1" si="41"/>
        <v>-1481011.2740863073</v>
      </c>
      <c r="BO66" s="577">
        <f t="shared" ca="1" si="41"/>
        <v>-1488822.0790988221</v>
      </c>
      <c r="BP66" s="577">
        <f t="shared" ca="1" si="41"/>
        <v>-1496710.1728374194</v>
      </c>
      <c r="BQ66" s="577">
        <f t="shared" ca="1" si="41"/>
        <v>-1504709.8528999754</v>
      </c>
      <c r="BR66" s="577">
        <f t="shared" ca="1" si="41"/>
        <v>-1512833.408752796</v>
      </c>
      <c r="BS66" s="577">
        <f t="shared" ca="1" si="41"/>
        <v>-1521083.2730188346</v>
      </c>
      <c r="BT66" s="577">
        <f t="shared" ca="1" si="41"/>
        <v>-1529464.7778190831</v>
      </c>
      <c r="BU66" s="577">
        <f t="shared" ca="1" si="41"/>
        <v>-1537978.3676431789</v>
      </c>
      <c r="BV66" s="577">
        <f t="shared" ca="1" si="41"/>
        <v>-1546628.9948543175</v>
      </c>
      <c r="BW66" s="577">
        <f t="shared" ca="1" si="41"/>
        <v>-1555420.7612088344</v>
      </c>
      <c r="BX66" s="577" t="e">
        <f t="shared" ca="1" si="41"/>
        <v>#REF!</v>
      </c>
    </row>
    <row r="67" spans="1:76" s="16" customFormat="1" x14ac:dyDescent="0.25">
      <c r="B67" s="5"/>
      <c r="C67" s="128"/>
      <c r="D67" s="84"/>
      <c r="E67" s="84"/>
      <c r="F67" s="84"/>
      <c r="G67" s="84"/>
      <c r="H67" s="84"/>
      <c r="I67" s="84"/>
      <c r="J67" s="84"/>
      <c r="K67" s="84"/>
      <c r="L67" s="84"/>
      <c r="M67" s="84"/>
      <c r="N67" s="84"/>
      <c r="O67" s="84"/>
      <c r="P67" s="84"/>
      <c r="Q67" s="84"/>
      <c r="R67" s="84"/>
      <c r="S67" s="84"/>
      <c r="T67" s="84"/>
      <c r="U67" s="84"/>
      <c r="V67" s="84"/>
      <c r="W67" s="84"/>
      <c r="X67" s="84"/>
      <c r="Y67" s="84"/>
      <c r="Z67" s="84"/>
      <c r="AA67" s="84"/>
      <c r="AB67" s="148"/>
      <c r="AC67" s="84"/>
      <c r="AD67" s="84"/>
      <c r="AE67" s="84"/>
      <c r="AF67" s="84"/>
      <c r="AG67" s="84"/>
      <c r="AH67" s="84"/>
      <c r="AI67" s="84"/>
      <c r="AJ67" s="84"/>
      <c r="AK67" s="84"/>
      <c r="AL67" s="84"/>
      <c r="AM67" s="84"/>
      <c r="AN67" s="84"/>
      <c r="AO67" s="84"/>
      <c r="AP67" s="84"/>
      <c r="AQ67" s="84"/>
      <c r="AR67" s="84"/>
      <c r="AS67" s="84"/>
      <c r="AT67" s="84"/>
      <c r="AU67" s="84"/>
      <c r="AV67" s="84"/>
      <c r="AW67" s="84"/>
      <c r="AX67" s="84"/>
      <c r="AY67" s="84"/>
      <c r="AZ67" s="84"/>
      <c r="BA67" s="84"/>
      <c r="BB67" s="84"/>
      <c r="BC67" s="84"/>
      <c r="BD67" s="84"/>
      <c r="BE67" s="84"/>
      <c r="BF67" s="84"/>
      <c r="BG67" s="84"/>
      <c r="BH67" s="84"/>
      <c r="BI67" s="84"/>
      <c r="BJ67" s="84"/>
      <c r="BK67" s="84"/>
      <c r="BL67" s="84"/>
      <c r="BM67" s="84"/>
      <c r="BN67" s="84"/>
      <c r="BO67" s="84"/>
      <c r="BP67" s="84"/>
      <c r="BQ67" s="84"/>
      <c r="BR67" s="84"/>
      <c r="BS67" s="84"/>
      <c r="BT67" s="84"/>
      <c r="BU67" s="84"/>
      <c r="BV67" s="84"/>
      <c r="BW67" s="84"/>
      <c r="BX67" s="84"/>
    </row>
    <row r="68" spans="1:76" s="16" customFormat="1" hidden="1" outlineLevel="1" x14ac:dyDescent="0.25">
      <c r="B68" s="5"/>
      <c r="C68" s="128"/>
      <c r="D68" s="84"/>
      <c r="E68" s="84"/>
      <c r="F68" s="84"/>
      <c r="G68" s="84"/>
      <c r="H68" s="84"/>
      <c r="I68" s="84"/>
      <c r="J68" s="84"/>
      <c r="K68" s="84"/>
      <c r="L68" s="84"/>
      <c r="M68" s="84"/>
      <c r="N68" s="84"/>
      <c r="O68" s="84"/>
      <c r="P68" s="84"/>
      <c r="Q68" s="84"/>
      <c r="R68" s="84"/>
      <c r="S68" s="84"/>
      <c r="T68" s="84"/>
      <c r="U68" s="84"/>
      <c r="V68" s="84"/>
      <c r="W68" s="84"/>
      <c r="X68" s="84"/>
      <c r="Y68" s="84"/>
      <c r="Z68" s="84"/>
      <c r="AA68" s="84"/>
      <c r="AB68" s="84"/>
      <c r="AC68" s="84"/>
      <c r="AD68" s="84"/>
      <c r="AE68" s="84"/>
      <c r="AF68" s="84"/>
      <c r="AG68" s="84"/>
      <c r="AH68" s="84"/>
      <c r="AI68" s="84"/>
      <c r="AJ68" s="84"/>
      <c r="AK68" s="84"/>
      <c r="AL68" s="84"/>
      <c r="AM68" s="84"/>
      <c r="AN68" s="84"/>
      <c r="AO68" s="84"/>
      <c r="AP68" s="84"/>
      <c r="AQ68" s="84"/>
      <c r="AR68" s="84"/>
      <c r="AS68" s="84"/>
      <c r="AT68" s="84"/>
      <c r="AU68" s="84"/>
      <c r="AV68" s="84"/>
      <c r="AW68" s="84"/>
      <c r="AX68" s="84"/>
      <c r="AY68" s="84"/>
      <c r="AZ68" s="84"/>
      <c r="BA68" s="84"/>
      <c r="BB68" s="84"/>
      <c r="BC68" s="84"/>
      <c r="BD68" s="84"/>
      <c r="BE68" s="84"/>
      <c r="BF68" s="84"/>
      <c r="BG68" s="84"/>
      <c r="BH68" s="84"/>
      <c r="BI68" s="84"/>
      <c r="BJ68" s="84"/>
      <c r="BK68" s="84"/>
      <c r="BL68" s="84"/>
      <c r="BM68" s="84"/>
      <c r="BN68" s="84"/>
      <c r="BO68" s="84"/>
      <c r="BP68" s="84"/>
      <c r="BQ68" s="84"/>
      <c r="BR68" s="84"/>
      <c r="BS68" s="84"/>
      <c r="BT68" s="84"/>
      <c r="BU68" s="84"/>
      <c r="BV68" s="84"/>
      <c r="BW68" s="84"/>
      <c r="BX68" s="84"/>
    </row>
    <row r="69" spans="1:76" s="16" customFormat="1" hidden="1" outlineLevel="1" x14ac:dyDescent="0.25">
      <c r="B69" s="5"/>
      <c r="C69" s="125" t="s">
        <v>146</v>
      </c>
      <c r="D69" s="126"/>
      <c r="E69" s="126">
        <f t="shared" ref="E69:AJ69" si="42">E66/E22</f>
        <v>0.50648791081035027</v>
      </c>
      <c r="F69" s="126">
        <f t="shared" si="42"/>
        <v>0.35463032105011993</v>
      </c>
      <c r="G69" s="126">
        <f t="shared" si="42"/>
        <v>0.40749309357119057</v>
      </c>
      <c r="H69" s="126">
        <f t="shared" si="42"/>
        <v>0.37675903576360836</v>
      </c>
      <c r="I69" s="126">
        <f t="shared" si="42"/>
        <v>0.24262887843286846</v>
      </c>
      <c r="J69" s="126">
        <f t="shared" si="42"/>
        <v>0.30686666923446143</v>
      </c>
      <c r="K69" s="126">
        <f t="shared" si="42"/>
        <v>0.12418641823816186</v>
      </c>
      <c r="L69" s="126">
        <f t="shared" si="42"/>
        <v>0.17986291189469078</v>
      </c>
      <c r="M69" s="126">
        <f t="shared" si="42"/>
        <v>0.38854325786350985</v>
      </c>
      <c r="N69" s="126">
        <f t="shared" si="42"/>
        <v>0.20995955028897606</v>
      </c>
      <c r="O69" s="126">
        <f t="shared" si="42"/>
        <v>0.39225111624774645</v>
      </c>
      <c r="P69" s="126">
        <f t="shared" si="42"/>
        <v>-0.24533191009590175</v>
      </c>
      <c r="Q69" s="126">
        <f t="shared" si="42"/>
        <v>-0.10590942597900686</v>
      </c>
      <c r="R69" s="126">
        <f t="shared" si="42"/>
        <v>0.26146524397336957</v>
      </c>
      <c r="S69" s="126">
        <f t="shared" si="42"/>
        <v>0.24080911695100818</v>
      </c>
      <c r="T69" s="126">
        <f t="shared" si="42"/>
        <v>0.19838041188727729</v>
      </c>
      <c r="U69" s="126">
        <f t="shared" si="42"/>
        <v>0.16563968321805089</v>
      </c>
      <c r="V69" s="126">
        <f t="shared" si="42"/>
        <v>-5.7250247740056541E-2</v>
      </c>
      <c r="W69" s="126">
        <f t="shared" si="42"/>
        <v>-0.3556323046658314</v>
      </c>
      <c r="X69" s="126">
        <f t="shared" si="42"/>
        <v>-0.2469943595885695</v>
      </c>
      <c r="Y69" s="126">
        <f t="shared" si="42"/>
        <v>1.5867145569236035E-4</v>
      </c>
      <c r="Z69" s="126">
        <f t="shared" si="42"/>
        <v>3.7164372780171318E-2</v>
      </c>
      <c r="AA69" s="126">
        <f t="shared" ref="AA69" si="43">AA66/AA22</f>
        <v>-7.0978252960828256E-2</v>
      </c>
      <c r="AB69" s="126">
        <f t="shared" si="42"/>
        <v>0.13759467612406362</v>
      </c>
      <c r="AC69" s="126">
        <f t="shared" si="42"/>
        <v>-0.10402526007205691</v>
      </c>
      <c r="AD69" s="126">
        <f t="shared" si="42"/>
        <v>2.1104916802678668E-2</v>
      </c>
      <c r="AE69" s="126">
        <f t="shared" si="42"/>
        <v>-5.6448248253180719E-2</v>
      </c>
      <c r="AF69" s="126">
        <f t="shared" ca="1" si="42"/>
        <v>-0.36925432467766434</v>
      </c>
      <c r="AG69" s="126">
        <f t="shared" ca="1" si="42"/>
        <v>-0.22074493188474928</v>
      </c>
      <c r="AH69" s="126">
        <f t="shared" ca="1" si="42"/>
        <v>-0.19397696168290252</v>
      </c>
      <c r="AI69" s="126">
        <f t="shared" ca="1" si="42"/>
        <v>-0.24723210340563687</v>
      </c>
      <c r="AJ69" s="126">
        <f t="shared" ca="1" si="42"/>
        <v>-5.3033008268879411E-2</v>
      </c>
      <c r="AK69" s="126">
        <f t="shared" ref="AK69:BL69" ca="1" si="44">AK66/AK22</f>
        <v>5.7158141411002394E-2</v>
      </c>
      <c r="AL69" s="126">
        <f t="shared" ca="1" si="44"/>
        <v>3.9969967321855059E-2</v>
      </c>
      <c r="AM69" s="126">
        <f t="shared" ca="1" si="44"/>
        <v>9.2833483770225184E-2</v>
      </c>
      <c r="AN69" s="126">
        <f t="shared" ca="1" si="44"/>
        <v>0.10807710529969893</v>
      </c>
      <c r="AO69" s="126">
        <f t="shared" ca="1" si="44"/>
        <v>-2.2647696791180034</v>
      </c>
      <c r="AP69" s="126">
        <f t="shared" ca="1" si="44"/>
        <v>0.43541824055236145</v>
      </c>
      <c r="AQ69" s="126">
        <f t="shared" ca="1" si="44"/>
        <v>0.45267748903181543</v>
      </c>
      <c r="AR69" s="126">
        <f t="shared" ca="1" si="44"/>
        <v>0.46913198189074384</v>
      </c>
      <c r="AS69" s="126">
        <f t="shared" ca="1" si="44"/>
        <v>0.48395613988086916</v>
      </c>
      <c r="AT69" s="126">
        <f t="shared" ca="1" si="44"/>
        <v>0.4973672753748033</v>
      </c>
      <c r="AU69" s="126">
        <f t="shared" ca="1" si="44"/>
        <v>0.50979144366496199</v>
      </c>
      <c r="AV69" s="126">
        <f t="shared" ca="1" si="44"/>
        <v>0.5214721474004117</v>
      </c>
      <c r="AW69" s="126">
        <f t="shared" ca="1" si="44"/>
        <v>0.53241403906850782</v>
      </c>
      <c r="AX69" s="126">
        <f t="shared" ca="1" si="44"/>
        <v>0.54237188726631869</v>
      </c>
      <c r="AY69" s="126">
        <f t="shared" ca="1" si="44"/>
        <v>0.55167907361136082</v>
      </c>
      <c r="AZ69" s="126">
        <f t="shared" ca="1" si="44"/>
        <v>0.55920898776113226</v>
      </c>
      <c r="BA69" s="126" t="e">
        <f t="shared" ca="1" si="44"/>
        <v>#DIV/0!</v>
      </c>
      <c r="BB69" s="126" t="e">
        <f t="shared" ca="1" si="44"/>
        <v>#DIV/0!</v>
      </c>
      <c r="BC69" s="126" t="e">
        <f t="shared" ca="1" si="44"/>
        <v>#DIV/0!</v>
      </c>
      <c r="BD69" s="126" t="e">
        <f t="shared" ca="1" si="44"/>
        <v>#DIV/0!</v>
      </c>
      <c r="BE69" s="126" t="e">
        <f t="shared" ca="1" si="44"/>
        <v>#DIV/0!</v>
      </c>
      <c r="BF69" s="126" t="e">
        <f t="shared" ca="1" si="44"/>
        <v>#DIV/0!</v>
      </c>
      <c r="BG69" s="126" t="e">
        <f t="shared" ca="1" si="44"/>
        <v>#DIV/0!</v>
      </c>
      <c r="BH69" s="126" t="e">
        <f t="shared" ca="1" si="44"/>
        <v>#DIV/0!</v>
      </c>
      <c r="BI69" s="126" t="e">
        <f t="shared" ca="1" si="44"/>
        <v>#DIV/0!</v>
      </c>
      <c r="BJ69" s="126" t="e">
        <f t="shared" ca="1" si="44"/>
        <v>#DIV/0!</v>
      </c>
      <c r="BK69" s="126" t="e">
        <f t="shared" ca="1" si="44"/>
        <v>#DIV/0!</v>
      </c>
      <c r="BL69" s="126" t="e">
        <f t="shared" ca="1" si="44"/>
        <v>#DIV/0!</v>
      </c>
      <c r="BM69" s="126" t="e">
        <f t="shared" ref="BM69:BX69" ca="1" si="45">BM66/BM22</f>
        <v>#DIV/0!</v>
      </c>
      <c r="BN69" s="126" t="e">
        <f t="shared" ca="1" si="45"/>
        <v>#DIV/0!</v>
      </c>
      <c r="BO69" s="126" t="e">
        <f t="shared" ca="1" si="45"/>
        <v>#DIV/0!</v>
      </c>
      <c r="BP69" s="126" t="e">
        <f t="shared" ca="1" si="45"/>
        <v>#DIV/0!</v>
      </c>
      <c r="BQ69" s="126" t="e">
        <f t="shared" ca="1" si="45"/>
        <v>#DIV/0!</v>
      </c>
      <c r="BR69" s="126" t="e">
        <f t="shared" ca="1" si="45"/>
        <v>#DIV/0!</v>
      </c>
      <c r="BS69" s="126" t="e">
        <f t="shared" ca="1" si="45"/>
        <v>#DIV/0!</v>
      </c>
      <c r="BT69" s="126" t="e">
        <f t="shared" ca="1" si="45"/>
        <v>#DIV/0!</v>
      </c>
      <c r="BU69" s="126" t="e">
        <f t="shared" ca="1" si="45"/>
        <v>#DIV/0!</v>
      </c>
      <c r="BV69" s="126" t="e">
        <f t="shared" ca="1" si="45"/>
        <v>#DIV/0!</v>
      </c>
      <c r="BW69" s="126" t="e">
        <f t="shared" ca="1" si="45"/>
        <v>#DIV/0!</v>
      </c>
      <c r="BX69" s="126" t="e">
        <f t="shared" ca="1" si="45"/>
        <v>#REF!</v>
      </c>
    </row>
    <row r="70" spans="1:76" collapsed="1" x14ac:dyDescent="0.25">
      <c r="G70" s="172"/>
      <c r="J70" s="166"/>
      <c r="K70" s="166"/>
      <c r="AA70" s="570"/>
      <c r="BM70" s="570"/>
    </row>
    <row r="71" spans="1:76" s="16" customFormat="1" x14ac:dyDescent="0.25">
      <c r="C71" s="40" t="s">
        <v>138</v>
      </c>
      <c r="D71" s="307"/>
      <c r="E71" s="17">
        <f>'Cost Summary'!C42</f>
        <v>0</v>
      </c>
      <c r="F71" s="17">
        <f>'Cost Summary'!D42</f>
        <v>0</v>
      </c>
      <c r="G71" s="174">
        <f>'Cost Summary'!E42</f>
        <v>0</v>
      </c>
      <c r="H71" s="17">
        <f>'Cost Summary'!F42</f>
        <v>0</v>
      </c>
      <c r="I71" s="17">
        <f>'Cost Summary'!G42</f>
        <v>0</v>
      </c>
      <c r="J71" s="17">
        <f>'Cost Summary'!H42</f>
        <v>0</v>
      </c>
      <c r="K71" s="17">
        <f>'Cost Summary'!I42</f>
        <v>0</v>
      </c>
      <c r="L71" s="17">
        <f>'Cost Summary'!J42</f>
        <v>0</v>
      </c>
      <c r="M71" s="17">
        <f>'Cost Summary'!K42</f>
        <v>0</v>
      </c>
      <c r="N71" s="17">
        <f>'Cost Summary'!L42</f>
        <v>0</v>
      </c>
      <c r="O71" s="17">
        <f>'Cost Summary'!M42</f>
        <v>0</v>
      </c>
      <c r="P71" s="17">
        <f>'Cost Summary'!N42</f>
        <v>0</v>
      </c>
      <c r="Q71" s="17">
        <f>'Cost Summary'!O42</f>
        <v>0</v>
      </c>
      <c r="R71" s="17">
        <f>'Cost Summary'!P42</f>
        <v>0</v>
      </c>
      <c r="S71" s="17">
        <f>'Cost Summary'!Q42</f>
        <v>0</v>
      </c>
      <c r="T71" s="17">
        <f>'Cost Summary'!R42</f>
        <v>0</v>
      </c>
      <c r="U71" s="17">
        <f>'Cost Summary'!S42</f>
        <v>0</v>
      </c>
      <c r="V71" s="17">
        <f>'Cost Summary'!T42</f>
        <v>0</v>
      </c>
      <c r="W71" s="17">
        <f>'Cost Summary'!U42</f>
        <v>0</v>
      </c>
      <c r="X71" s="17">
        <f>'Cost Summary'!V42</f>
        <v>0</v>
      </c>
      <c r="Y71" s="17">
        <f>'Cost Summary'!W42</f>
        <v>0</v>
      </c>
      <c r="Z71" s="17">
        <f>'Cost Summary'!X42</f>
        <v>0</v>
      </c>
      <c r="AA71" s="575">
        <f>'Cost Summary'!Y42</f>
        <v>0</v>
      </c>
      <c r="AB71" s="17">
        <f>'Cost Summary'!Z42</f>
        <v>0</v>
      </c>
      <c r="AC71" s="17">
        <f>'Cost Summary'!AA42</f>
        <v>0</v>
      </c>
      <c r="AD71" s="17">
        <f>'Cost Summary'!AB42</f>
        <v>0</v>
      </c>
      <c r="AE71" s="17">
        <f>'Cost Summary'!AC42</f>
        <v>0</v>
      </c>
      <c r="AF71" s="17">
        <f>'Cost Summary'!AD42</f>
        <v>0</v>
      </c>
      <c r="AG71" s="17">
        <f>'Cost Summary'!AE42</f>
        <v>0</v>
      </c>
      <c r="AH71" s="17">
        <f>'Cost Summary'!AF42</f>
        <v>0</v>
      </c>
      <c r="AI71" s="17">
        <f>'Cost Summary'!AG42</f>
        <v>0</v>
      </c>
      <c r="AJ71" s="17">
        <f>'Cost Summary'!AH42</f>
        <v>0</v>
      </c>
      <c r="AK71" s="17">
        <f>'Cost Summary'!AI42</f>
        <v>0</v>
      </c>
      <c r="AL71" s="17">
        <f>'Cost Summary'!AJ42</f>
        <v>0</v>
      </c>
      <c r="AM71" s="17">
        <f>'Cost Summary'!AK42</f>
        <v>0</v>
      </c>
      <c r="AN71" s="17">
        <f>'Cost Summary'!AL42</f>
        <v>0</v>
      </c>
      <c r="AO71" s="17">
        <f>'Cost Summary'!AM42</f>
        <v>0</v>
      </c>
      <c r="AP71" s="17">
        <f>'Cost Summary'!AN42</f>
        <v>0</v>
      </c>
      <c r="AQ71" s="17">
        <f>'Cost Summary'!AO42</f>
        <v>0</v>
      </c>
      <c r="AR71" s="17">
        <f>'Cost Summary'!AP42</f>
        <v>0</v>
      </c>
      <c r="AS71" s="17">
        <f>'Cost Summary'!AQ42</f>
        <v>0</v>
      </c>
      <c r="AT71" s="17">
        <f>'Cost Summary'!AR42</f>
        <v>0</v>
      </c>
      <c r="AU71" s="17">
        <f>'Cost Summary'!AS42</f>
        <v>0</v>
      </c>
      <c r="AV71" s="17">
        <f>'Cost Summary'!AT42</f>
        <v>0</v>
      </c>
      <c r="AW71" s="17">
        <f>'Cost Summary'!AU42</f>
        <v>0</v>
      </c>
      <c r="AX71" s="17">
        <f>'Cost Summary'!AV42</f>
        <v>0</v>
      </c>
      <c r="AY71" s="17">
        <f>'Cost Summary'!AW42</f>
        <v>0</v>
      </c>
      <c r="AZ71" s="17">
        <f>'Cost Summary'!AX42</f>
        <v>0</v>
      </c>
      <c r="BA71" s="17">
        <f>'Cost Summary'!AY42</f>
        <v>0</v>
      </c>
      <c r="BB71" s="17">
        <f>'Cost Summary'!AZ42</f>
        <v>0</v>
      </c>
      <c r="BC71" s="17">
        <f>'Cost Summary'!BA42</f>
        <v>0</v>
      </c>
      <c r="BD71" s="17">
        <f>'Cost Summary'!BB42</f>
        <v>0</v>
      </c>
      <c r="BE71" s="17">
        <f>'Cost Summary'!BC42</f>
        <v>0</v>
      </c>
      <c r="BF71" s="17">
        <f>'Cost Summary'!BD42</f>
        <v>0</v>
      </c>
      <c r="BG71" s="17">
        <f>'Cost Summary'!BE42</f>
        <v>0</v>
      </c>
      <c r="BH71" s="17">
        <f>'Cost Summary'!BF42</f>
        <v>0</v>
      </c>
      <c r="BI71" s="17">
        <f>'Cost Summary'!BG42</f>
        <v>0</v>
      </c>
      <c r="BJ71" s="17">
        <f>'Cost Summary'!BH42</f>
        <v>0</v>
      </c>
      <c r="BK71" s="17">
        <f>'Cost Summary'!BI42</f>
        <v>0</v>
      </c>
      <c r="BL71" s="17">
        <f>'Cost Summary'!BJ42</f>
        <v>0</v>
      </c>
      <c r="BM71" s="575">
        <f>'Cost Summary'!BK42</f>
        <v>0</v>
      </c>
      <c r="BN71" s="575">
        <f>'Cost Summary'!BL42</f>
        <v>0</v>
      </c>
      <c r="BO71" s="575">
        <f>'Cost Summary'!BM42</f>
        <v>0</v>
      </c>
      <c r="BP71" s="575">
        <f>'Cost Summary'!BN42</f>
        <v>0</v>
      </c>
      <c r="BQ71" s="575">
        <f>'Cost Summary'!BO42</f>
        <v>0</v>
      </c>
      <c r="BR71" s="575">
        <f>'Cost Summary'!BP42</f>
        <v>0</v>
      </c>
      <c r="BS71" s="575">
        <f>'Cost Summary'!BQ42</f>
        <v>0</v>
      </c>
      <c r="BT71" s="575">
        <f>'Cost Summary'!BR42</f>
        <v>0</v>
      </c>
      <c r="BU71" s="575">
        <f>'Cost Summary'!BS42</f>
        <v>0</v>
      </c>
      <c r="BV71" s="575">
        <f>'Cost Summary'!BT42</f>
        <v>0</v>
      </c>
      <c r="BW71" s="575">
        <f>'Cost Summary'!BU42</f>
        <v>0</v>
      </c>
      <c r="BX71" s="575">
        <f>'Cost Summary'!BV42</f>
        <v>0</v>
      </c>
    </row>
    <row r="72" spans="1:76" s="16" customFormat="1" x14ac:dyDescent="0.25">
      <c r="C72" s="40" t="s">
        <v>139</v>
      </c>
      <c r="D72" s="307"/>
      <c r="E72" s="575">
        <f>IF(E4="actual",('BS - CF Actuals'!I60-'BS - CF Actuals'!J60)-('BS - CF Actuals'!J71-'BS - CF Actuals'!I71),'CAPEX &amp; Depr '!C19+'CAPEX &amp; Depr '!C45)</f>
        <v>12909.999999999971</v>
      </c>
      <c r="F72" s="575">
        <f>IF(F4="actual",('BS - CF Actuals'!J60-'BS - CF Actuals'!K60)-('BS - CF Actuals'!K71-'BS - CF Actuals'!J71),'CAPEX &amp; Depr '!D19+'CAPEX &amp; Depr '!D45)</f>
        <v>12910</v>
      </c>
      <c r="G72" s="575">
        <f>IF(G4="actual",('BS - CF Actuals'!K60-'BS - CF Actuals'!L60)-('BS - CF Actuals'!L71-'BS - CF Actuals'!K71),'CAPEX &amp; Depr '!E19+'CAPEX &amp; Depr '!E45)</f>
        <v>12910</v>
      </c>
      <c r="H72" s="575">
        <f>IF(H4="actual",('BS - CF Actuals'!L60-'BS - CF Actuals'!M60)-('BS - CF Actuals'!M71-'BS - CF Actuals'!L71),'CAPEX &amp; Depr '!F19+'CAPEX &amp; Depr '!F45)</f>
        <v>12910</v>
      </c>
      <c r="I72" s="575">
        <f>IF(I4="actual",('BS - CF Actuals'!M60-'BS - CF Actuals'!N60)-('BS - CF Actuals'!N71-'BS - CF Actuals'!M71),'CAPEX &amp; Depr '!G19+'CAPEX &amp; Depr '!G45)</f>
        <v>12910</v>
      </c>
      <c r="J72" s="575">
        <f>IF(J4="actual",('BS - CF Actuals'!N60-'BS - CF Actuals'!O60)-('BS - CF Actuals'!O71-'BS - CF Actuals'!N71),'CAPEX &amp; Depr '!H19+'CAPEX &amp; Depr '!H45)</f>
        <v>12910</v>
      </c>
      <c r="K72" s="575">
        <f>IF(K4="actual",('BS - CF Actuals'!O60-'BS - CF Actuals'!P60)-('BS - CF Actuals'!P71-'BS - CF Actuals'!O71),'CAPEX &amp; Depr '!I19+'CAPEX &amp; Depr '!I45)</f>
        <v>12910</v>
      </c>
      <c r="L72" s="575">
        <f>IF(L4="actual",('BS - CF Actuals'!P60-'BS - CF Actuals'!Q60)-('BS - CF Actuals'!Q71-'BS - CF Actuals'!P71),'CAPEX &amp; Depr '!J19+'CAPEX &amp; Depr '!J45)</f>
        <v>12910</v>
      </c>
      <c r="M72" s="575">
        <f>IF(M4="actual",('BS - CF Actuals'!Q60-'BS - CF Actuals'!R60)-('BS - CF Actuals'!R71-'BS - CF Actuals'!Q71),'CAPEX &amp; Depr '!K19+'CAPEX &amp; Depr '!K45)</f>
        <v>12910</v>
      </c>
      <c r="N72" s="575">
        <f>IF(N4="actual",('BS - CF Actuals'!R60-'BS - CF Actuals'!S60)-('BS - CF Actuals'!S71-'BS - CF Actuals'!R71),'CAPEX &amp; Depr '!L19+'CAPEX &amp; Depr '!L45)</f>
        <v>12910</v>
      </c>
      <c r="O72" s="575">
        <f>IF(O4="actual",('BS - CF Actuals'!S60-'BS - CF Actuals'!T60)-('BS - CF Actuals'!T71-'BS - CF Actuals'!S71),'CAPEX &amp; Depr '!M19+'CAPEX &amp; Depr '!M45)</f>
        <v>12910</v>
      </c>
      <c r="P72" s="575">
        <f>IF(P4="actual",('BS - CF Actuals'!T60-'BS - CF Actuals'!U60)-('BS - CF Actuals'!U71-'BS - CF Actuals'!T71),'CAPEX &amp; Depr '!N19+'CAPEX &amp; Depr '!N45)</f>
        <v>-630921.57999999996</v>
      </c>
      <c r="Q72" s="575">
        <f>IF(Q4="actual",('BS - CF Actuals'!U60-'BS - CF Actuals'!V60)-('BS - CF Actuals'!V71-'BS - CF Actuals'!U71),'CAPEX &amp; Depr '!O19+'CAPEX &amp; Depr '!O45)</f>
        <v>246487.33000000005</v>
      </c>
      <c r="R72" s="575">
        <f>IF(R4="actual",('BS - CF Actuals'!V60-'BS - CF Actuals'!W60)-('BS - CF Actuals'!W71-'BS - CF Actuals'!V71),'CAPEX &amp; Depr '!P19+'CAPEX &amp; Depr '!P45)</f>
        <v>247289.5</v>
      </c>
      <c r="S72" s="575">
        <f>IF(S4="actual",('BS - CF Actuals'!W60-'BS - CF Actuals'!X60)-('BS - CF Actuals'!X71-'BS - CF Actuals'!W71),'CAPEX &amp; Depr '!Q19+'CAPEX &amp; Depr '!Q45)</f>
        <v>247721.76</v>
      </c>
      <c r="T72" s="575">
        <f>IF(T4="actual",('BS - CF Actuals'!X60-'BS - CF Actuals'!Y60)-('BS - CF Actuals'!Y71-'BS - CF Actuals'!X71),'CAPEX &amp; Depr '!R19+'CAPEX &amp; Depr '!R45)</f>
        <v>248057</v>
      </c>
      <c r="U72" s="575">
        <f>IF(U4="actual",('BS - CF Actuals'!Y60-'BS - CF Actuals'!Z60)-('BS - CF Actuals'!Z71-'BS - CF Actuals'!Y71),'CAPEX &amp; Depr '!S19+'CAPEX &amp; Depr '!S45)</f>
        <v>248220.49999999994</v>
      </c>
      <c r="V72" s="575">
        <f>IF(V4="actual",('BS - CF Actuals'!Z60-'BS - CF Actuals'!AA60)-('BS - CF Actuals'!AA71-'BS - CF Actuals'!Z71),'CAPEX &amp; Depr '!T19+'CAPEX &amp; Depr '!T45)</f>
        <v>248303.5</v>
      </c>
      <c r="W72" s="575">
        <f>IF(W4="actual",('BS - CF Actuals'!AA60-'BS - CF Actuals'!AB60)-('BS - CF Actuals'!AB71-'BS - CF Actuals'!AA71),'CAPEX &amp; Depr '!U19+'CAPEX &amp; Depr '!U45)</f>
        <v>248354.16999999998</v>
      </c>
      <c r="X72" s="575">
        <f>IF(X4="actual",('BS - CF Actuals'!AB60-'BS - CF Actuals'!AC60)-('BS - CF Actuals'!AC71-'BS - CF Actuals'!AB71),'CAPEX &amp; Depr '!V19+'CAPEX &amp; Depr '!V45)</f>
        <v>248475.74000000005</v>
      </c>
      <c r="Y72" s="575">
        <f>IF(Y4="actual",('BS - CF Actuals'!AC60-'BS - CF Actuals'!AD60)-('BS - CF Actuals'!AD71-'BS - CF Actuals'!AC71),'CAPEX &amp; Depr '!W19+'CAPEX &amp; Depr '!W45)</f>
        <v>248544.33000000002</v>
      </c>
      <c r="Z72" s="575">
        <f>IF(Z4="actual",('BS - CF Actuals'!AD60-'BS - CF Actuals'!AE60)-('BS - CF Actuals'!AE71-'BS - CF Actuals'!AD71),'CAPEX &amp; Depr '!X19+'CAPEX &amp; Depr '!X45)</f>
        <v>248784.32999999996</v>
      </c>
      <c r="AA72" s="575">
        <f>IF(AA4="actual",('BS - CF Actuals'!AE60-'BS - CF Actuals'!AF60)-('BS - CF Actuals'!AF71-'BS - CF Actuals'!AE71),'CAPEX &amp; Depr '!Y19+'CAPEX &amp; Depr '!Y45)</f>
        <v>248884.25</v>
      </c>
      <c r="AB72" s="575">
        <f>IF(AB4="actual",('BS - CF Actuals'!AF60-'BS - CF Actuals'!AG60)-('BS - CF Actuals'!AG71-'BS - CF Actuals'!AF71),'CAPEX &amp; Depr '!Z19+'CAPEX &amp; Depr '!Z45)</f>
        <v>247566.00000000006</v>
      </c>
      <c r="AC72" s="575">
        <f>IF(AC4="actual",('BS - CF Actuals'!AG60-'BS - CF Actuals'!AH60)-('BS - CF Actuals'!AH71-'BS - CF Actuals'!AG71),'CAPEX &amp; Depr '!AA19+'CAPEX &amp; Depr '!AA45)</f>
        <v>252278</v>
      </c>
      <c r="AD72" s="575">
        <f>IF(AD4="actual",('BS - CF Actuals'!AH60-'BS - CF Actuals'!AI60)-('BS - CF Actuals'!AI71-'BS - CF Actuals'!AH71),'CAPEX &amp; Depr '!AB19+'CAPEX &amp; Depr '!AB45)</f>
        <v>252278</v>
      </c>
      <c r="AE72" s="575">
        <f>IF(AE4="actual",('BS - CF Actuals'!AI60-'BS - CF Actuals'!AJ60)-('BS - CF Actuals'!AJ71-'BS - CF Actuals'!AI71),'CAPEX &amp; Depr '!AC19+'CAPEX &amp; Depr '!AC45)</f>
        <v>252278</v>
      </c>
      <c r="AF72" s="575">
        <f>IF(AF4="actual",('BS - CF Actuals'!AJ60-'BS - CF Actuals'!AK60)-('BS - CF Actuals'!AK71-'BS - CF Actuals'!AJ71),'CAPEX &amp; Depr '!AD19+'CAPEX &amp; Depr '!AD45)</f>
        <v>252263.5</v>
      </c>
      <c r="AG72" s="575">
        <f>IF(AG4="actual",('BS - CF Actuals'!AK60-'BS - CF Actuals'!AL60)-('BS - CF Actuals'!AL71-'BS - CF Actuals'!AK71),'CAPEX &amp; Depr '!AE19+'CAPEX &amp; Depr '!AE45)</f>
        <v>252740.905</v>
      </c>
      <c r="AH72" s="575">
        <f>IF(AH4="actual",('BS - CF Actuals'!AL60-'BS - CF Actuals'!AM60)-('BS - CF Actuals'!AM71-'BS - CF Actuals'!AL71),'CAPEX &amp; Depr '!AF19+'CAPEX &amp; Depr '!AF45)</f>
        <v>253232.63214999999</v>
      </c>
      <c r="AI72" s="575">
        <f>IF(AI4="actual",('BS - CF Actuals'!AM60-'BS - CF Actuals'!AN60)-('BS - CF Actuals'!AN71-'BS - CF Actuals'!AM71),'CAPEX &amp; Depr '!AG19+'CAPEX &amp; Depr '!AG45)</f>
        <v>253739.1111145</v>
      </c>
      <c r="AJ72" s="575">
        <f>IF(AJ4="actual",('BS - CF Actuals'!AN60-'BS - CF Actuals'!AO60)-('BS - CF Actuals'!AO71-'BS - CF Actuals'!AN71),'CAPEX &amp; Depr '!AH19+'CAPEX &amp; Depr '!AH45)</f>
        <v>254260.784447935</v>
      </c>
      <c r="AK72" s="575">
        <f>IF(AK4="actual",('BS - CF Actuals'!AO60-'BS - CF Actuals'!AP60)-('BS - CF Actuals'!AP71-'BS - CF Actuals'!AO71),'CAPEX &amp; Depr '!AI19+'CAPEX &amp; Depr '!AI45)</f>
        <v>254798.10798137306</v>
      </c>
      <c r="AL72" s="575">
        <f>IF(AL4="actual",('BS - CF Actuals'!AP60-'BS - CF Actuals'!AQ60)-('BS - CF Actuals'!AQ71-'BS - CF Actuals'!AP71),'CAPEX &amp; Depr '!AJ19+'CAPEX &amp; Depr '!AJ45)</f>
        <v>255351.55122081423</v>
      </c>
      <c r="AM72" s="575">
        <f>IF(AM4="actual",('BS - CF Actuals'!AQ60-'BS - CF Actuals'!AR60)-('BS - CF Actuals'!AR71-'BS - CF Actuals'!AQ71),'CAPEX &amp; Depr '!AK19+'CAPEX &amp; Depr '!AK45)</f>
        <v>255921.59775743866</v>
      </c>
      <c r="AN72" s="575">
        <f>IF(AN4="actual",('BS - CF Actuals'!AR60-'BS - CF Actuals'!AS60)-('BS - CF Actuals'!AS71-'BS - CF Actuals'!AR71),'CAPEX &amp; Depr '!AL19+'CAPEX &amp; Depr '!AL45)</f>
        <v>256508.74569016183</v>
      </c>
      <c r="AO72" s="575">
        <f>IF(AO4="actual",('BS - CF Actuals'!AS60-'BS - CF Actuals'!AT60)-('BS - CF Actuals'!AT71-'BS - CF Actuals'!AS71),'CAPEX &amp; Depr '!AM19+'CAPEX &amp; Depr '!AM45)</f>
        <v>257113.50806086668</v>
      </c>
      <c r="AP72" s="575">
        <f>IF(AP4="actual",('BS - CF Actuals'!AT60-'BS - CF Actuals'!AU60)-('BS - CF Actuals'!AU71-'BS - CF Actuals'!AT71),'CAPEX &amp; Depr '!AN19+'CAPEX &amp; Depr '!AN45)</f>
        <v>257736.4133026927</v>
      </c>
      <c r="AQ72" s="575">
        <f>IF(AQ4="actual",('BS - CF Actuals'!AU60-'BS - CF Actuals'!AV60)-('BS - CF Actuals'!AV71-'BS - CF Actuals'!AU71),'CAPEX &amp; Depr '!AO19+'CAPEX &amp; Depr '!AO45)</f>
        <v>258378.00570177348</v>
      </c>
      <c r="AR72" s="575">
        <f>IF(AR4="actual",('BS - CF Actuals'!AV60-'BS - CF Actuals'!AW60)-('BS - CF Actuals'!AW71-'BS - CF Actuals'!AV71),'CAPEX &amp; Depr '!AP19+'CAPEX &amp; Depr '!AP45)</f>
        <v>259038.84587282667</v>
      </c>
      <c r="AS72" s="575">
        <f>IF(AS4="actual",('BS - CF Actuals'!AW60-'BS - CF Actuals'!AX60)-('BS - CF Actuals'!AX71-'BS - CF Actuals'!AW71),'CAPEX &amp; Depr '!AQ19+'CAPEX &amp; Depr '!AQ45)</f>
        <v>259719.51124901147</v>
      </c>
      <c r="AT72" s="575">
        <f>IF(AT4="actual",('BS - CF Actuals'!AX60-'BS - CF Actuals'!AY60)-('BS - CF Actuals'!AY71-'BS - CF Actuals'!AX71),'CAPEX &amp; Depr '!AR19+'CAPEX &amp; Depr '!AR45)</f>
        <v>260420.59658648181</v>
      </c>
      <c r="AU72" s="575">
        <f>IF(AU4="actual",('BS - CF Actuals'!AY60-'BS - CF Actuals'!AZ60)-('BS - CF Actuals'!AZ71-'BS - CF Actuals'!AY71),'CAPEX &amp; Depr '!AS19+'CAPEX &amp; Depr '!AS45)</f>
        <v>261142.71448407628</v>
      </c>
      <c r="AV72" s="575">
        <f>IF(AV4="actual",('BS - CF Actuals'!AZ60-'BS - CF Actuals'!BA60)-('BS - CF Actuals'!BA71-'BS - CF Actuals'!AZ71),'CAPEX &amp; Depr '!AT19+'CAPEX &amp; Depr '!AT45)</f>
        <v>261886.49591859855</v>
      </c>
      <c r="AW72" s="575">
        <f>IF(AW4="actual",('BS - CF Actuals'!BA60-'BS - CF Actuals'!BB60)-('BS - CF Actuals'!BB71-'BS - CF Actuals'!BA71),'CAPEX &amp; Depr '!AU19+'CAPEX &amp; Depr '!AU45)</f>
        <v>262652.5907961565</v>
      </c>
      <c r="AX72" s="575">
        <f>IF(AX4="actual",('BS - CF Actuals'!BB60-'BS - CF Actuals'!BC60)-('BS - CF Actuals'!BC71-'BS - CF Actuals'!BB71),'CAPEX &amp; Depr '!AV19+'CAPEX &amp; Depr '!AV45)</f>
        <v>263441.66852004122</v>
      </c>
      <c r="AY72" s="575">
        <f>IF(AY4="actual",('BS - CF Actuals'!BC60-'BS - CF Actuals'!BD60)-('BS - CF Actuals'!BD71-'BS - CF Actuals'!BC71),'CAPEX &amp; Depr '!AW19+'CAPEX &amp; Depr '!AW45)</f>
        <v>264254.41857564246</v>
      </c>
      <c r="AZ72" s="575">
        <f>IF(AZ4="actual",('BS - CF Actuals'!BD60-'BS - CF Actuals'!BE60)-('BS - CF Actuals'!BE71-'BS - CF Actuals'!BD71),'CAPEX &amp; Depr '!AX19+'CAPEX &amp; Depr '!AX45)</f>
        <v>265091.5511329117</v>
      </c>
      <c r="BA72" s="575">
        <f>IF(BA4="actual",('BS - CF Actuals'!BE60-'BS - CF Actuals'!BF60)-('BS - CF Actuals'!BF71-'BS - CF Actuals'!BE71),'CAPEX &amp; Depr '!AY19+'CAPEX &amp; Depr '!AY45)</f>
        <v>265953.7976668991</v>
      </c>
      <c r="BB72" s="575">
        <f>IF(BB4="actual",('BS - CF Actuals'!BF60-'BS - CF Actuals'!BG60)-('BS - CF Actuals'!BG71-'BS - CF Actuals'!BF71),'CAPEX &amp; Depr '!AZ19+'CAPEX &amp; Depr '!AZ45)</f>
        <v>236350</v>
      </c>
      <c r="BC72" s="575">
        <f>IF(BC4="actual",('BS - CF Actuals'!BG60-'BS - CF Actuals'!BH60)-('BS - CF Actuals'!BH71-'BS - CF Actuals'!BG71),'CAPEX &amp; Depr '!BA19+'CAPEX &amp; Depr '!BA45)</f>
        <v>236350</v>
      </c>
      <c r="BD72" s="575">
        <f>IF(BD4="actual",('BS - CF Actuals'!BH60-'BS - CF Actuals'!BI60)-('BS - CF Actuals'!BI71-'BS - CF Actuals'!BH71),'CAPEX &amp; Depr '!BB19+'CAPEX &amp; Depr '!BB45)</f>
        <v>236350</v>
      </c>
      <c r="BE72" s="575">
        <f>IF(BE4="actual",('BS - CF Actuals'!BI60-'BS - CF Actuals'!BJ60)-('BS - CF Actuals'!BJ71-'BS - CF Actuals'!BI71),'CAPEX &amp; Depr '!BC19+'CAPEX &amp; Depr '!BC45)</f>
        <v>236350</v>
      </c>
      <c r="BF72" s="575">
        <f>IF(BF4="actual",('BS - CF Actuals'!BJ60-'BS - CF Actuals'!BK60)-('BS - CF Actuals'!BK71-'BS - CF Actuals'!BJ71),'CAPEX &amp; Depr '!BD19+'CAPEX &amp; Depr '!BD45)</f>
        <v>236350</v>
      </c>
      <c r="BG72" s="575">
        <f>IF(BG4="actual",('BS - CF Actuals'!BK60-'BS - CF Actuals'!BL60)-('BS - CF Actuals'!BL71-'BS - CF Actuals'!BK71),'CAPEX &amp; Depr '!BE19+'CAPEX &amp; Depr '!BE45)</f>
        <v>236350</v>
      </c>
      <c r="BH72" s="575">
        <f>IF(BH4="actual",('BS - CF Actuals'!BL60-'BS - CF Actuals'!BM60)-('BS - CF Actuals'!BM71-'BS - CF Actuals'!BL71),'CAPEX &amp; Depr '!BF19+'CAPEX &amp; Depr '!BF45)</f>
        <v>236350</v>
      </c>
      <c r="BI72" s="575">
        <f>IF(BI4="actual",('BS - CF Actuals'!BM60-'BS - CF Actuals'!BN60)-('BS - CF Actuals'!BN71-'BS - CF Actuals'!BM71),'CAPEX &amp; Depr '!BG19+'CAPEX &amp; Depr '!BG45)</f>
        <v>236350</v>
      </c>
      <c r="BJ72" s="575">
        <f>IF(BJ4="actual",('BS - CF Actuals'!BN60-'BS - CF Actuals'!BO60)-('BS - CF Actuals'!BO71-'BS - CF Actuals'!BN71),'CAPEX &amp; Depr '!BH19+'CAPEX &amp; Depr '!BH45)</f>
        <v>236350</v>
      </c>
      <c r="BK72" s="575">
        <f>IF(BK4="actual",('BS - CF Actuals'!BO60-'BS - CF Actuals'!BP60)-('BS - CF Actuals'!BP71-'BS - CF Actuals'!BO71),'CAPEX &amp; Depr '!BI19+'CAPEX &amp; Depr '!BI45)</f>
        <v>236350</v>
      </c>
      <c r="BL72" s="575">
        <f>IF(BL4="actual",('BS - CF Actuals'!BP60-'BS - CF Actuals'!BQ60)-('BS - CF Actuals'!BQ71-'BS - CF Actuals'!BP71),'CAPEX &amp; Depr '!BJ19+'CAPEX &amp; Depr '!BJ45)</f>
        <v>236350</v>
      </c>
      <c r="BM72" s="575">
        <f>IF(BM4="actual",('BS - CF Actuals'!BQ60-'BS - CF Actuals'!BR60)-('BS - CF Actuals'!BR71-'BS - CF Actuals'!BQ71),'CAPEX &amp; Depr '!BK19+'CAPEX &amp; Depr '!BK45)</f>
        <v>236350</v>
      </c>
      <c r="BN72" s="575">
        <f>IF(BN4="actual",('BS - CF Actuals'!BR60-'BS - CF Actuals'!BS60)-('BS - CF Actuals'!BS71-'BS - CF Actuals'!BR71),'CAPEX &amp; Depr '!BL19+'CAPEX &amp; Depr '!BL45)</f>
        <v>236350</v>
      </c>
      <c r="BO72" s="575">
        <f>IF(BO4="actual",('BS - CF Actuals'!BS60-'BS - CF Actuals'!BT60)-('BS - CF Actuals'!BT71-'BS - CF Actuals'!BS71),'CAPEX &amp; Depr '!BM19+'CAPEX &amp; Depr '!BM45)</f>
        <v>236350</v>
      </c>
      <c r="BP72" s="575">
        <f>IF(BP4="actual",('BS - CF Actuals'!BT60-'BS - CF Actuals'!BU60)-('BS - CF Actuals'!BU71-'BS - CF Actuals'!BT71),'CAPEX &amp; Depr '!BN19+'CAPEX &amp; Depr '!BN45)</f>
        <v>236350</v>
      </c>
      <c r="BQ72" s="575">
        <f>IF(BQ4="actual",('BS - CF Actuals'!BU60-'BS - CF Actuals'!BV60)-('BS - CF Actuals'!BV71-'BS - CF Actuals'!BU71),'CAPEX &amp; Depr '!BO19+'CAPEX &amp; Depr '!BO45)</f>
        <v>236350</v>
      </c>
      <c r="BR72" s="575">
        <f>IF(BR4="actual",('BS - CF Actuals'!BV60-'BS - CF Actuals'!BW60)-('BS - CF Actuals'!BW71-'BS - CF Actuals'!BV71),'CAPEX &amp; Depr '!BP19+'CAPEX &amp; Depr '!BP45)</f>
        <v>236350</v>
      </c>
      <c r="BS72" s="575">
        <f>IF(BS4="actual",('BS - CF Actuals'!BW60-'BS - CF Actuals'!BX60)-('BS - CF Actuals'!BX71-'BS - CF Actuals'!BW71),'CAPEX &amp; Depr '!BQ19+'CAPEX &amp; Depr '!BQ45)</f>
        <v>236350</v>
      </c>
      <c r="BT72" s="575">
        <f>IF(BT4="actual",('BS - CF Actuals'!BX60-'BS - CF Actuals'!BY60)-('BS - CF Actuals'!BY71-'BS - CF Actuals'!BX71),'CAPEX &amp; Depr '!BR19+'CAPEX &amp; Depr '!BR45)</f>
        <v>236350</v>
      </c>
      <c r="BU72" s="575">
        <f>IF(BU4="actual",('BS - CF Actuals'!BY60-'BS - CF Actuals'!BZ60)-('BS - CF Actuals'!BZ71-'BS - CF Actuals'!BY71),'CAPEX &amp; Depr '!BS19+'CAPEX &amp; Depr '!BS45)</f>
        <v>236350</v>
      </c>
      <c r="BV72" s="575">
        <f>IF(BV4="actual",('BS - CF Actuals'!BZ60-'BS - CF Actuals'!CA60)-('BS - CF Actuals'!CA71-'BS - CF Actuals'!BZ71),'CAPEX &amp; Depr '!BT19+'CAPEX &amp; Depr '!BT45)</f>
        <v>236350</v>
      </c>
      <c r="BW72" s="575">
        <f>IF(BW4="actual",('BS - CF Actuals'!CA60-'BS - CF Actuals'!CB60)-('BS - CF Actuals'!CB71-'BS - CF Actuals'!CA71),'CAPEX &amp; Depr '!BU19+'CAPEX &amp; Depr '!BU45)</f>
        <v>236350</v>
      </c>
      <c r="BX72" s="575">
        <f>IF(BX4="actual",('BS - CF Actuals'!CB60-'BS - CF Actuals'!CC60)-('BS - CF Actuals'!CC71-'BS - CF Actuals'!CB71),'CAPEX &amp; Depr '!BV19+'CAPEX &amp; Depr '!BV45)</f>
        <v>236350</v>
      </c>
    </row>
    <row r="73" spans="1:76" x14ac:dyDescent="0.25">
      <c r="B73" s="27"/>
      <c r="G73" s="172"/>
      <c r="AA73" s="570"/>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570"/>
    </row>
    <row r="74" spans="1:76" s="16" customFormat="1" ht="15.75" thickBot="1" x14ac:dyDescent="0.3">
      <c r="B74" s="50" t="s">
        <v>140</v>
      </c>
      <c r="C74" s="51"/>
      <c r="D74" s="53"/>
      <c r="E74" s="53">
        <f>E66-E71-E72</f>
        <v>544803.6582197845</v>
      </c>
      <c r="F74" s="53">
        <f t="shared" ref="F74:AJ74" si="46">F66-F71-F72</f>
        <v>360353.56141166302</v>
      </c>
      <c r="G74" s="53">
        <f t="shared" si="46"/>
        <v>472371.31798031891</v>
      </c>
      <c r="H74" s="53">
        <f t="shared" si="46"/>
        <v>426199.7872727089</v>
      </c>
      <c r="I74" s="53">
        <f t="shared" si="46"/>
        <v>304430.61171710881</v>
      </c>
      <c r="J74" s="53">
        <f t="shared" si="46"/>
        <v>364194.56566062395</v>
      </c>
      <c r="K74" s="53">
        <f t="shared" si="46"/>
        <v>140125.37917727098</v>
      </c>
      <c r="L74" s="53">
        <f t="shared" si="46"/>
        <v>210005.23448720737</v>
      </c>
      <c r="M74" s="577">
        <f t="shared" si="46"/>
        <v>447989.44117237872</v>
      </c>
      <c r="N74" s="577">
        <f t="shared" si="46"/>
        <v>318961.39276196656</v>
      </c>
      <c r="O74" s="53">
        <f t="shared" si="46"/>
        <v>635588.58040760295</v>
      </c>
      <c r="P74" s="53">
        <f t="shared" si="46"/>
        <v>344905.6111995051</v>
      </c>
      <c r="Q74" s="53">
        <f t="shared" si="46"/>
        <v>-361841.30000000028</v>
      </c>
      <c r="R74" s="53">
        <f t="shared" si="46"/>
        <v>98001.360000000102</v>
      </c>
      <c r="S74" s="53">
        <f t="shared" si="46"/>
        <v>102536.22999999986</v>
      </c>
      <c r="T74" s="53">
        <f t="shared" si="46"/>
        <v>47513.610000000219</v>
      </c>
      <c r="U74" s="53">
        <f t="shared" si="46"/>
        <v>-5953.6399999996065</v>
      </c>
      <c r="V74" s="577">
        <f t="shared" si="46"/>
        <v>-320814.33999999985</v>
      </c>
      <c r="W74" s="53">
        <f t="shared" si="46"/>
        <v>-715350.74999999953</v>
      </c>
      <c r="X74" s="53">
        <f t="shared" si="46"/>
        <v>-576857.49999999977</v>
      </c>
      <c r="Y74" s="53">
        <f>Y66-Y71-Y72</f>
        <v>-248308.83000000002</v>
      </c>
      <c r="Z74" s="577">
        <f>Z66-Z71-Z72</f>
        <v>-186276.39999999979</v>
      </c>
      <c r="AA74" s="577">
        <f>AA66-AA71-AA72</f>
        <v>-347225.10000000009</v>
      </c>
      <c r="AB74" s="577">
        <f>AB66-AB71-AB72</f>
        <v>-28163.23000000004</v>
      </c>
      <c r="AC74" s="53">
        <f t="shared" si="46"/>
        <v>-403820.7100000002</v>
      </c>
      <c r="AD74" s="53">
        <f t="shared" si="46"/>
        <v>-220916.20000000019</v>
      </c>
      <c r="AE74" s="53">
        <f t="shared" si="46"/>
        <v>-345685.84999999986</v>
      </c>
      <c r="AF74" s="53">
        <f t="shared" ca="1" si="46"/>
        <v>-884654.39024375984</v>
      </c>
      <c r="AG74" s="53">
        <f t="shared" ca="1" si="46"/>
        <v>-660273.37616447895</v>
      </c>
      <c r="AH74" s="53">
        <f t="shared" ca="1" si="46"/>
        <v>-635470.55571984733</v>
      </c>
      <c r="AI74" s="53">
        <f t="shared" ca="1" si="46"/>
        <v>-734250.54481338651</v>
      </c>
      <c r="AJ74" s="53">
        <f t="shared" ca="1" si="46"/>
        <v>-362115.98698464275</v>
      </c>
      <c r="AK74" s="53">
        <f t="shared" ref="AK74:BL74" ca="1" si="47">AK66-AK71-AK72</f>
        <v>-119110.65588239321</v>
      </c>
      <c r="AL74" s="53">
        <f ca="1">AL66-AL71-AL72</f>
        <v>-154663.23599006003</v>
      </c>
      <c r="AM74" s="53">
        <f t="shared" ca="1" si="47"/>
        <v>-28855.38732081023</v>
      </c>
      <c r="AN74" s="53">
        <f t="shared" ca="1" si="47"/>
        <v>9097.51571351639</v>
      </c>
      <c r="AO74" s="53">
        <f t="shared" ca="1" si="47"/>
        <v>-6634842.2427737331</v>
      </c>
      <c r="AP74" s="53">
        <f t="shared" ca="1" si="47"/>
        <v>1031016.3379033095</v>
      </c>
      <c r="AQ74" s="53">
        <f t="shared" ca="1" si="47"/>
        <v>1149130.5570243907</v>
      </c>
      <c r="AR74" s="53">
        <f t="shared" ca="1" si="47"/>
        <v>1266235.773675814</v>
      </c>
      <c r="AS74" s="53">
        <f t="shared" ca="1" si="47"/>
        <v>1379751.3745158094</v>
      </c>
      <c r="AT74" s="53">
        <f t="shared" ca="1" si="47"/>
        <v>1491579.5017053511</v>
      </c>
      <c r="AU74" s="53">
        <f t="shared" ca="1" si="47"/>
        <v>1603429.2748484849</v>
      </c>
      <c r="AV74" s="53">
        <f t="shared" ca="1" si="47"/>
        <v>1716707.0047391928</v>
      </c>
      <c r="AW74" s="53">
        <f t="shared" ca="1" si="47"/>
        <v>1831079.4695298162</v>
      </c>
      <c r="AX74" s="53">
        <f t="shared" ca="1" si="47"/>
        <v>1942796.6723615229</v>
      </c>
      <c r="AY74" s="53">
        <f t="shared" ca="1" si="47"/>
        <v>2054448.7427299193</v>
      </c>
      <c r="AZ74" s="53">
        <f t="shared" ca="1" si="47"/>
        <v>2160883.5064048111</v>
      </c>
      <c r="BA74" s="53">
        <f t="shared" ca="1" si="47"/>
        <v>-1638120.1289038986</v>
      </c>
      <c r="BB74" s="53">
        <f t="shared" ca="1" si="47"/>
        <v>-2026302.4810426512</v>
      </c>
      <c r="BC74" s="53">
        <f t="shared" ca="1" si="47"/>
        <v>-2033426.1584197446</v>
      </c>
      <c r="BD74" s="53">
        <f t="shared" ca="1" si="47"/>
        <v>-2017478.3404249758</v>
      </c>
      <c r="BE74" s="53">
        <f t="shared" ca="1" si="47"/>
        <v>-2024223.7228597519</v>
      </c>
      <c r="BF74" s="53">
        <f t="shared" ca="1" si="47"/>
        <v>-2031046.9734532321</v>
      </c>
      <c r="BG74" s="53">
        <f t="shared" ca="1" si="47"/>
        <v>-2037996.6739487266</v>
      </c>
      <c r="BH74" s="53">
        <f t="shared" ca="1" si="47"/>
        <v>-2045030.9447863707</v>
      </c>
      <c r="BI74" s="53">
        <f t="shared" ca="1" si="47"/>
        <v>-2052169.7937913181</v>
      </c>
      <c r="BJ74" s="53">
        <f t="shared" ca="1" si="47"/>
        <v>-2059407.5950912302</v>
      </c>
      <c r="BK74" s="53">
        <f t="shared" ca="1" si="47"/>
        <v>-2066743.2529234719</v>
      </c>
      <c r="BL74" s="53">
        <f t="shared" ca="1" si="47"/>
        <v>-2079438.5163229457</v>
      </c>
      <c r="BM74" s="577">
        <f t="shared" ref="BM74:BX74" ca="1" si="48">BM66-BM71-BM72</f>
        <v>-1698460.4609760672</v>
      </c>
      <c r="BN74" s="577">
        <f t="shared" ca="1" si="48"/>
        <v>-1717361.2740863073</v>
      </c>
      <c r="BO74" s="577">
        <f t="shared" ca="1" si="48"/>
        <v>-1725172.0790988221</v>
      </c>
      <c r="BP74" s="577">
        <f t="shared" ca="1" si="48"/>
        <v>-1733060.1728374194</v>
      </c>
      <c r="BQ74" s="577">
        <f t="shared" ca="1" si="48"/>
        <v>-1741059.8528999754</v>
      </c>
      <c r="BR74" s="577">
        <f t="shared" ca="1" si="48"/>
        <v>-1749183.408752796</v>
      </c>
      <c r="BS74" s="577">
        <f t="shared" ca="1" si="48"/>
        <v>-1757433.2730188346</v>
      </c>
      <c r="BT74" s="577">
        <f t="shared" ca="1" si="48"/>
        <v>-1765814.7778190831</v>
      </c>
      <c r="BU74" s="577">
        <f t="shared" ca="1" si="48"/>
        <v>-1774328.3676431789</v>
      </c>
      <c r="BV74" s="577">
        <f t="shared" ca="1" si="48"/>
        <v>-1782978.9948543175</v>
      </c>
      <c r="BW74" s="577">
        <f t="shared" ca="1" si="48"/>
        <v>-1791770.7612088344</v>
      </c>
      <c r="BX74" s="577" t="e">
        <f t="shared" ca="1" si="48"/>
        <v>#REF!</v>
      </c>
    </row>
    <row r="75" spans="1:76" x14ac:dyDescent="0.25">
      <c r="B75" s="27"/>
      <c r="E75" s="16"/>
      <c r="F75" s="16"/>
      <c r="G75" s="172"/>
      <c r="H75" s="16"/>
      <c r="I75" s="16"/>
      <c r="J75" s="16"/>
      <c r="K75" s="16"/>
      <c r="L75" s="16"/>
      <c r="M75" s="16"/>
      <c r="N75" s="16"/>
      <c r="O75" s="16"/>
      <c r="P75" s="16"/>
      <c r="Q75" s="16"/>
      <c r="R75" s="16"/>
      <c r="S75" s="16"/>
      <c r="T75" s="16"/>
      <c r="U75" s="16"/>
      <c r="V75" s="16"/>
      <c r="W75" s="16"/>
      <c r="X75" s="16"/>
      <c r="Y75" s="16"/>
      <c r="Z75" s="16"/>
      <c r="AA75" s="570"/>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570"/>
    </row>
    <row r="76" spans="1:76" s="16" customFormat="1" x14ac:dyDescent="0.25">
      <c r="C76" s="172" t="s">
        <v>717</v>
      </c>
      <c r="D76" s="307"/>
      <c r="E76" s="17">
        <f>+'Cost Summary'!C45+'Cost Summary'!C46</f>
        <v>-408</v>
      </c>
      <c r="F76" s="307">
        <f>+'Cost Summary'!D45+'Cost Summary'!D46</f>
        <v>-378</v>
      </c>
      <c r="G76" s="307">
        <f>+'Cost Summary'!E45+'Cost Summary'!E46</f>
        <v>-282</v>
      </c>
      <c r="H76" s="307">
        <f>+'Cost Summary'!F45+'Cost Summary'!F46</f>
        <v>37532</v>
      </c>
      <c r="I76" s="307">
        <f>+'Cost Summary'!G45+'Cost Summary'!G46</f>
        <v>54</v>
      </c>
      <c r="J76" s="307">
        <f>+'Cost Summary'!H45+'Cost Summary'!H46</f>
        <v>-30</v>
      </c>
      <c r="K76" s="307">
        <f>+'Cost Summary'!I45+'Cost Summary'!I46</f>
        <v>-90</v>
      </c>
      <c r="L76" s="307">
        <f>+'Cost Summary'!J45+'Cost Summary'!J46</f>
        <v>-132</v>
      </c>
      <c r="M76" s="307">
        <f>+'Cost Summary'!K45+'Cost Summary'!K46</f>
        <v>662</v>
      </c>
      <c r="N76" s="307">
        <f>+'Cost Summary'!L45+'Cost Summary'!L46</f>
        <v>39</v>
      </c>
      <c r="O76" s="307">
        <f>+'Cost Summary'!M45+'Cost Summary'!M46</f>
        <v>80</v>
      </c>
      <c r="P76" s="307">
        <f>+'Cost Summary'!N45+'Cost Summary'!N46</f>
        <v>2</v>
      </c>
      <c r="Q76" s="307">
        <f>IF(Q4="forecast",'CF - Monthly'!Q58,('Cost Summary'!O45-'Cost Summary'!O46))</f>
        <v>101076.48000000001</v>
      </c>
      <c r="R76" s="307">
        <f>IF(R4="forecast",'CF - Monthly'!R58,('Cost Summary'!P45-'Cost Summary'!P46))</f>
        <v>86769.51</v>
      </c>
      <c r="S76" s="307">
        <f>IF(S4="forecast",'CF - Monthly'!S58,('Cost Summary'!Q45-'Cost Summary'!Q46))</f>
        <v>100866.6</v>
      </c>
      <c r="T76" s="307">
        <f>IF(T4="forecast",'CF - Monthly'!T58,('Cost Summary'!R45-'Cost Summary'!R46))</f>
        <v>116739.4</v>
      </c>
      <c r="U76" s="307">
        <f>IF(U4="forecast",'CF - Monthly'!U58,('Cost Summary'!S45-'Cost Summary'!S46))</f>
        <v>177781.7</v>
      </c>
      <c r="V76" s="575">
        <f>IF(V4="forecast",'CF - Monthly'!V58,('Cost Summary'!T45-'Cost Summary'!T46))</f>
        <v>98905.97</v>
      </c>
      <c r="W76" s="575">
        <f>IF(W4="forecast",'CF - Monthly'!W58,('Cost Summary'!U45-'Cost Summary'!U46))</f>
        <v>99814.58</v>
      </c>
      <c r="X76" s="575">
        <f>IF(X4="forecast",'CF - Monthly'!X58,('Cost Summary'!V45-'Cost Summary'!V46))</f>
        <v>95822.080000000002</v>
      </c>
      <c r="Y76" s="575">
        <f>IF(Y4="forecast",'CF - Monthly'!Y58,('Cost Summary'!W45-'Cost Summary'!W46))</f>
        <v>91262.73</v>
      </c>
      <c r="Z76" s="575">
        <f>IF(Z4="forecast",'CF - Monthly'!Z58,('Cost Summary'!X45-'Cost Summary'!X46))</f>
        <v>97921.91</v>
      </c>
      <c r="AA76" s="575">
        <f>IF(AA4="forecast",'CF - Monthly'!AA58,('Cost Summary'!Y45-'Cost Summary'!Y46))</f>
        <v>91940.73000000001</v>
      </c>
      <c r="AB76" s="575">
        <f>IF(AB4="forecast",'CF - Monthly'!AB58,('Cost Summary'!Z45-'Cost Summary'!Z46))</f>
        <v>96312.23</v>
      </c>
      <c r="AC76" s="575">
        <f>IF(AC4="forecast",'CF - Monthly'!AC58,('Cost Summary'!AA45-'Cost Summary'!AA46))</f>
        <v>96641.53</v>
      </c>
      <c r="AD76" s="307">
        <f>IF(AD4="forecast",'CF - Monthly'!AD58,'Cost Summary'!AB45-'Cost Summary'!AB46)</f>
        <v>85772.54</v>
      </c>
      <c r="AE76" s="575">
        <f>IF(AE4="forecast",'CF - Monthly'!AE58,'Cost Summary'!AC45-'Cost Summary'!AC46)</f>
        <v>184854</v>
      </c>
      <c r="AF76" s="307">
        <f>IF(AF4="forecast",'CF - Monthly'!AF58,'Cost Summary'!AD45)</f>
        <v>97847.182589402466</v>
      </c>
      <c r="AG76" s="307">
        <f>IF(AG4="forecast",'CF - Monthly'!AG58,'Cost Summary'!AE45)</f>
        <v>97314.844106710865</v>
      </c>
      <c r="AH76" s="307">
        <f>IF(AH4="forecast",'CF - Monthly'!AH58,'Cost Summary'!AF45)</f>
        <v>96779.843935355791</v>
      </c>
      <c r="AI76" s="307">
        <f>IF(AI4="forecast",'CF - Monthly'!AI58,'Cost Summary'!AG45)</f>
        <v>96242.168766893941</v>
      </c>
      <c r="AJ76" s="307">
        <f>IF(AJ4="forecast",'CF - Monthly'!AJ58,'Cost Summary'!AH45)</f>
        <v>95701.805226339784</v>
      </c>
      <c r="AK76" s="307">
        <f>IF(AK4="forecast",'CF - Monthly'!AK58,'Cost Summary'!AI45)</f>
        <v>95158.739871832862</v>
      </c>
      <c r="AL76" s="307">
        <f>IF(AL4="forecast",'CF - Monthly'!AL58,'Cost Summary'!AJ45)</f>
        <v>94612.959194303388</v>
      </c>
      <c r="AM76" s="307">
        <f>IF(AM4="forecast",'CF - Monthly'!AM58,'Cost Summary'!AK45)</f>
        <v>94064.44961713627</v>
      </c>
      <c r="AN76" s="307">
        <f>IF(AN4="forecast",'CF - Monthly'!AN58,'Cost Summary'!AL45)</f>
        <v>93513.19749583333</v>
      </c>
      <c r="AO76" s="307">
        <f>'CF - Monthly'!AO56</f>
        <v>98292.31242690247</v>
      </c>
      <c r="AP76" s="307">
        <f>'CF - Monthly'!AP56</f>
        <v>97759.974694210861</v>
      </c>
      <c r="AQ76" s="307">
        <f>'CF - Monthly'!AQ56</f>
        <v>97224.975272855794</v>
      </c>
      <c r="AR76" s="307">
        <f>'CF - Monthly'!AR56</f>
        <v>96687.300854393936</v>
      </c>
      <c r="AS76" s="307">
        <f>'CF - Monthly'!AS56</f>
        <v>96146.938063839785</v>
      </c>
      <c r="AT76" s="307">
        <f>'CF - Monthly'!AT56</f>
        <v>95603.873459332855</v>
      </c>
      <c r="AU76" s="307">
        <f>'CF - Monthly'!AU56</f>
        <v>95058.093531803388</v>
      </c>
      <c r="AV76" s="307">
        <f>'CF - Monthly'!AV56</f>
        <v>94509.584704636276</v>
      </c>
      <c r="AW76" s="307">
        <f>'CF - Monthly'!AW56</f>
        <v>93958.333333333328</v>
      </c>
      <c r="AX76" s="307">
        <f>'CF - Monthly'!AX56</f>
        <v>98292.31242690247</v>
      </c>
      <c r="AY76" s="307">
        <f>'CF - Monthly'!AY56</f>
        <v>97759.974694210861</v>
      </c>
      <c r="AZ76" s="307">
        <f>'CF - Monthly'!AZ56</f>
        <v>97224.975272855794</v>
      </c>
      <c r="BA76" s="307">
        <f>IF(BA4="forecast",'CF - Monthly'!BA58,'Cost Summary'!AY45)</f>
        <v>97314.829106710866</v>
      </c>
      <c r="BB76" s="307">
        <f>IF(BB4="forecast",'CF - Monthly'!BB58,'Cost Summary'!AZ45)</f>
        <v>96779.828935355792</v>
      </c>
      <c r="BC76" s="307">
        <f>IF(BC4="forecast",'CF - Monthly'!BC58,'Cost Summary'!BA45)</f>
        <v>97314.827606710867</v>
      </c>
      <c r="BD76" s="307">
        <f>IF(BD4="forecast",'CF - Monthly'!BD58,'Cost Summary'!BB45)</f>
        <v>96779.827435355794</v>
      </c>
      <c r="BE76" s="307">
        <f>IF(BE4="forecast",'CF - Monthly'!BE58,'Cost Summary'!BC45)</f>
        <v>97314.826106710854</v>
      </c>
      <c r="BF76" s="307">
        <f>IF(BF4="forecast",'CF - Monthly'!BF58,'Cost Summary'!BD45)</f>
        <v>96779.825935355795</v>
      </c>
      <c r="BG76" s="307">
        <f>IF(BG4="forecast",'CF - Monthly'!BG58,'Cost Summary'!BE45)</f>
        <v>97314.824606710856</v>
      </c>
      <c r="BH76" s="307">
        <f>IF(BH4="forecast",'CF - Monthly'!BH58,'Cost Summary'!BF45)</f>
        <v>96779.824435355797</v>
      </c>
      <c r="BI76" s="307">
        <f>IF(BI4="forecast",'CF - Monthly'!BI58,'Cost Summary'!BG45)</f>
        <v>97314.823106710857</v>
      </c>
      <c r="BJ76" s="307">
        <f>IF(BJ4="forecast",'CF - Monthly'!BJ58,'Cost Summary'!BH45)</f>
        <v>96779.822935355798</v>
      </c>
      <c r="BK76" s="307">
        <f>IF(BK4="forecast",'CF - Monthly'!BK58,'Cost Summary'!BI45)</f>
        <v>97314.821606710859</v>
      </c>
      <c r="BL76" s="307">
        <f>IF(BL4="forecast",'CF - Monthly'!BL58,'Cost Summary'!BJ45)</f>
        <v>96779.8214353558</v>
      </c>
      <c r="BM76" s="575">
        <f>'CF - Monthly'!BM56</f>
        <v>97759.974694210861</v>
      </c>
      <c r="BN76" s="575">
        <f>IF(BN4="forecast",'CF - Monthly'!BN58,'Cost Summary'!BL45)</f>
        <v>96779.819935355801</v>
      </c>
      <c r="BO76" s="575">
        <f>IF(BO4="forecast",'CF - Monthly'!BO58,'Cost Summary'!BM45)</f>
        <v>97314.818606710862</v>
      </c>
      <c r="BP76" s="575">
        <f>IF(BP4="forecast",'CF - Monthly'!BP58,'Cost Summary'!BN45)</f>
        <v>96779.818435355788</v>
      </c>
      <c r="BQ76" s="575">
        <f>IF(BQ4="forecast",'CF - Monthly'!BQ58,'Cost Summary'!BO45)</f>
        <v>97314.817106710863</v>
      </c>
      <c r="BR76" s="575">
        <f>IF(BR4="forecast",'CF - Monthly'!BR58,'Cost Summary'!BP45)</f>
        <v>96779.81693535579</v>
      </c>
      <c r="BS76" s="575">
        <f>IF(BS4="forecast",'CF - Monthly'!BS58,'Cost Summary'!BQ45)</f>
        <v>97314.815606710865</v>
      </c>
      <c r="BT76" s="575">
        <f>IF(BT4="forecast",'CF - Monthly'!BT58,'Cost Summary'!BR45)</f>
        <v>97314.814856710858</v>
      </c>
      <c r="BU76" s="575">
        <f>IF(BU4="forecast",'CF - Monthly'!BU58,'Cost Summary'!BS45)</f>
        <v>96779.814685355799</v>
      </c>
      <c r="BV76" s="575">
        <f>IF(BV4="forecast",'CF - Monthly'!BV58,'Cost Summary'!BT45)</f>
        <v>97314.81335671086</v>
      </c>
      <c r="BW76" s="575">
        <f>IF(BW4="forecast",'CF - Monthly'!BW58,'Cost Summary'!BU45)</f>
        <v>0</v>
      </c>
      <c r="BX76" s="575">
        <f>IF(BX4="forecast",'CF - Monthly'!BX58,'Cost Summary'!BV45)</f>
        <v>0</v>
      </c>
    </row>
    <row r="77" spans="1:76" x14ac:dyDescent="0.25">
      <c r="B77" s="27"/>
      <c r="E77" s="16"/>
      <c r="F77" s="16"/>
      <c r="G77" s="172"/>
      <c r="H77" s="16"/>
      <c r="I77" s="16"/>
      <c r="J77" s="16"/>
      <c r="K77" s="16"/>
      <c r="L77" s="16"/>
      <c r="M77" s="16"/>
      <c r="N77" s="16"/>
      <c r="O77" s="16"/>
      <c r="P77" s="16"/>
      <c r="Q77" s="16"/>
      <c r="R77" s="16"/>
      <c r="S77" s="16"/>
      <c r="T77" s="16"/>
      <c r="U77" s="16"/>
      <c r="V77" s="16"/>
      <c r="W77" s="16"/>
      <c r="X77" s="16"/>
      <c r="Y77" s="16"/>
      <c r="Z77" s="406"/>
      <c r="AA77" s="570"/>
      <c r="AB77" s="406"/>
      <c r="AC77" s="406"/>
      <c r="AD77" s="406"/>
      <c r="AE77" s="406"/>
      <c r="AF77" s="406"/>
      <c r="AG77" s="406"/>
      <c r="AH77" s="406"/>
      <c r="AI77" s="406"/>
      <c r="AJ77" s="406"/>
      <c r="AK77" s="406"/>
      <c r="AL77" s="406"/>
      <c r="AM77" s="406"/>
      <c r="AN77" s="40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570"/>
    </row>
    <row r="78" spans="1:76" s="16" customFormat="1" ht="15.75" thickBot="1" x14ac:dyDescent="0.3">
      <c r="B78" s="50" t="s">
        <v>141</v>
      </c>
      <c r="C78" s="51"/>
      <c r="D78" s="53"/>
      <c r="E78" s="53">
        <f>E74+E76</f>
        <v>544395.6582197845</v>
      </c>
      <c r="F78" s="53">
        <f t="shared" ref="F78:P78" si="49">F74+F76</f>
        <v>359975.56141166302</v>
      </c>
      <c r="G78" s="53">
        <f>G74+G76</f>
        <v>472089.31798031891</v>
      </c>
      <c r="H78" s="53">
        <f t="shared" si="49"/>
        <v>463731.7872727089</v>
      </c>
      <c r="I78" s="53">
        <f t="shared" si="49"/>
        <v>304484.61171710881</v>
      </c>
      <c r="J78" s="53">
        <f t="shared" si="49"/>
        <v>364164.56566062395</v>
      </c>
      <c r="K78" s="53">
        <f t="shared" si="49"/>
        <v>140035.37917727098</v>
      </c>
      <c r="L78" s="53">
        <f t="shared" si="49"/>
        <v>209873.23448720737</v>
      </c>
      <c r="M78" s="53">
        <f t="shared" si="49"/>
        <v>448651.44117237872</v>
      </c>
      <c r="N78" s="53">
        <f t="shared" si="49"/>
        <v>319000.39276196656</v>
      </c>
      <c r="O78" s="53">
        <f t="shared" si="49"/>
        <v>635668.58040760295</v>
      </c>
      <c r="P78" s="53">
        <f t="shared" si="49"/>
        <v>344907.6111995051</v>
      </c>
      <c r="Q78" s="53">
        <f>Q74-Q76</f>
        <v>-462917.78000000026</v>
      </c>
      <c r="R78" s="53">
        <f t="shared" ref="R78:V78" si="50">R74-R76</f>
        <v>11231.850000000108</v>
      </c>
      <c r="S78" s="53">
        <f t="shared" si="50"/>
        <v>1669.6299999998591</v>
      </c>
      <c r="T78" s="53">
        <f t="shared" si="50"/>
        <v>-69225.789999999775</v>
      </c>
      <c r="U78" s="53">
        <f t="shared" si="50"/>
        <v>-183735.33999999962</v>
      </c>
      <c r="V78" s="577">
        <f t="shared" si="50"/>
        <v>-419720.30999999982</v>
      </c>
      <c r="W78" s="577">
        <f>W74-W76</f>
        <v>-815165.32999999949</v>
      </c>
      <c r="X78" s="577">
        <f t="shared" ref="X78:AN78" si="51">X74-X76</f>
        <v>-672679.57999999973</v>
      </c>
      <c r="Y78" s="577">
        <f t="shared" si="51"/>
        <v>-339571.56</v>
      </c>
      <c r="Z78" s="577">
        <f t="shared" si="51"/>
        <v>-284198.30999999982</v>
      </c>
      <c r="AA78" s="577">
        <f t="shared" ref="AA78" si="52">AA74-AA76</f>
        <v>-439165.83000000007</v>
      </c>
      <c r="AB78" s="577">
        <f t="shared" si="51"/>
        <v>-124475.46000000004</v>
      </c>
      <c r="AC78" s="577">
        <f t="shared" si="51"/>
        <v>-500462.24000000022</v>
      </c>
      <c r="AD78" s="577">
        <f t="shared" si="51"/>
        <v>-306688.74000000017</v>
      </c>
      <c r="AE78" s="577">
        <f t="shared" si="51"/>
        <v>-530539.84999999986</v>
      </c>
      <c r="AF78" s="577">
        <f t="shared" ca="1" si="51"/>
        <v>-982501.57283316227</v>
      </c>
      <c r="AG78" s="577">
        <f t="shared" ca="1" si="51"/>
        <v>-757588.22027118981</v>
      </c>
      <c r="AH78" s="577">
        <f t="shared" ca="1" si="51"/>
        <v>-732250.3996552031</v>
      </c>
      <c r="AI78" s="577">
        <f t="shared" ca="1" si="51"/>
        <v>-830492.71358028043</v>
      </c>
      <c r="AJ78" s="577">
        <f t="shared" ca="1" si="51"/>
        <v>-457817.79221098253</v>
      </c>
      <c r="AK78" s="577">
        <f t="shared" ca="1" si="51"/>
        <v>-214269.39575422608</v>
      </c>
      <c r="AL78" s="577">
        <f t="shared" ca="1" si="51"/>
        <v>-249276.1951843634</v>
      </c>
      <c r="AM78" s="577">
        <f t="shared" ca="1" si="51"/>
        <v>-122919.8369379465</v>
      </c>
      <c r="AN78" s="577">
        <f t="shared" ca="1" si="51"/>
        <v>-84415.68178231694</v>
      </c>
      <c r="AO78" s="53">
        <f t="shared" ref="AO78:BL78" ca="1" si="53">AO74-AO76</f>
        <v>-6733134.5552006355</v>
      </c>
      <c r="AP78" s="53">
        <f t="shared" ca="1" si="53"/>
        <v>933256.36320909858</v>
      </c>
      <c r="AQ78" s="53">
        <f t="shared" ca="1" si="53"/>
        <v>1051905.5817515349</v>
      </c>
      <c r="AR78" s="53">
        <f t="shared" ca="1" si="53"/>
        <v>1169548.4728214201</v>
      </c>
      <c r="AS78" s="53">
        <f t="shared" ca="1" si="53"/>
        <v>1283604.4364519697</v>
      </c>
      <c r="AT78" s="53">
        <f t="shared" ca="1" si="53"/>
        <v>1395975.6282460182</v>
      </c>
      <c r="AU78" s="53">
        <f t="shared" ca="1" si="53"/>
        <v>1508371.1813166814</v>
      </c>
      <c r="AV78" s="53">
        <f t="shared" ca="1" si="53"/>
        <v>1622197.4200345564</v>
      </c>
      <c r="AW78" s="53">
        <f t="shared" ca="1" si="53"/>
        <v>1737121.1361964829</v>
      </c>
      <c r="AX78" s="53">
        <f t="shared" ca="1" si="53"/>
        <v>1844504.3599346206</v>
      </c>
      <c r="AY78" s="53">
        <f t="shared" ca="1" si="53"/>
        <v>1956688.7680357085</v>
      </c>
      <c r="AZ78" s="53">
        <f t="shared" ca="1" si="53"/>
        <v>2063658.5311319553</v>
      </c>
      <c r="BA78" s="53">
        <f t="shared" ca="1" si="53"/>
        <v>-1735434.9580106095</v>
      </c>
      <c r="BB78" s="53">
        <f t="shared" ca="1" si="53"/>
        <v>-2123082.3099780069</v>
      </c>
      <c r="BC78" s="53">
        <f t="shared" ca="1" si="53"/>
        <v>-2130740.9860264556</v>
      </c>
      <c r="BD78" s="53">
        <f t="shared" ca="1" si="53"/>
        <v>-2114258.1678603315</v>
      </c>
      <c r="BE78" s="53">
        <f t="shared" ca="1" si="53"/>
        <v>-2121538.5489664627</v>
      </c>
      <c r="BF78" s="53">
        <f t="shared" ca="1" si="53"/>
        <v>-2127826.7993885879</v>
      </c>
      <c r="BG78" s="53">
        <f t="shared" ca="1" si="53"/>
        <v>-2135311.4985554377</v>
      </c>
      <c r="BH78" s="53">
        <f t="shared" ca="1" si="53"/>
        <v>-2141810.7692217263</v>
      </c>
      <c r="BI78" s="53">
        <f t="shared" ca="1" si="53"/>
        <v>-2149484.6168980291</v>
      </c>
      <c r="BJ78" s="53">
        <f t="shared" ca="1" si="53"/>
        <v>-2156187.4180265861</v>
      </c>
      <c r="BK78" s="53">
        <f t="shared" ca="1" si="53"/>
        <v>-2164058.0745301829</v>
      </c>
      <c r="BL78" s="53">
        <f t="shared" ca="1" si="53"/>
        <v>-2176218.3377583013</v>
      </c>
      <c r="BM78" s="577">
        <f t="shared" ref="BM78:BX78" ca="1" si="54">BM74-BM76</f>
        <v>-1796220.435670278</v>
      </c>
      <c r="BN78" s="577">
        <f t="shared" ca="1" si="54"/>
        <v>-1814141.0940216631</v>
      </c>
      <c r="BO78" s="577">
        <f t="shared" ca="1" si="54"/>
        <v>-1822486.8977055328</v>
      </c>
      <c r="BP78" s="577">
        <f t="shared" ca="1" si="54"/>
        <v>-1829839.9912727752</v>
      </c>
      <c r="BQ78" s="577">
        <f t="shared" ca="1" si="54"/>
        <v>-1838374.6700066864</v>
      </c>
      <c r="BR78" s="577">
        <f t="shared" ca="1" si="54"/>
        <v>-1845963.2256881518</v>
      </c>
      <c r="BS78" s="577">
        <f t="shared" ca="1" si="54"/>
        <v>-1854748.0886255456</v>
      </c>
      <c r="BT78" s="577">
        <f t="shared" ca="1" si="54"/>
        <v>-1863129.5926757939</v>
      </c>
      <c r="BU78" s="577">
        <f t="shared" ca="1" si="54"/>
        <v>-1871108.1823285348</v>
      </c>
      <c r="BV78" s="577">
        <f t="shared" ca="1" si="54"/>
        <v>-1880293.8082110283</v>
      </c>
      <c r="BW78" s="577">
        <f t="shared" ca="1" si="54"/>
        <v>-1791770.7612088344</v>
      </c>
      <c r="BX78" s="577" t="e">
        <f t="shared" ca="1" si="54"/>
        <v>#REF!</v>
      </c>
    </row>
    <row r="79" spans="1:76" x14ac:dyDescent="0.25">
      <c r="B79" s="27"/>
      <c r="E79" s="16"/>
      <c r="F79" s="16"/>
      <c r="G79" s="172"/>
      <c r="H79" s="16"/>
      <c r="I79" s="16"/>
      <c r="J79" s="16"/>
      <c r="K79" s="16"/>
      <c r="L79" s="16"/>
      <c r="M79" s="16"/>
      <c r="N79" s="16"/>
      <c r="O79" s="16"/>
      <c r="P79" s="16"/>
      <c r="Q79" s="16"/>
      <c r="R79" s="16"/>
      <c r="S79" s="16"/>
      <c r="T79" s="16"/>
      <c r="U79" s="16"/>
      <c r="V79" s="16"/>
      <c r="W79" s="16"/>
      <c r="X79" s="16"/>
      <c r="Y79" s="16"/>
      <c r="Z79" s="16"/>
      <c r="AA79" s="570"/>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570"/>
    </row>
    <row r="80" spans="1:76" s="16" customFormat="1" x14ac:dyDescent="0.25">
      <c r="C80" s="40" t="s">
        <v>142</v>
      </c>
      <c r="D80" s="307"/>
      <c r="E80" s="17">
        <v>0</v>
      </c>
      <c r="F80" s="17">
        <v>0</v>
      </c>
      <c r="G80" s="174">
        <v>0</v>
      </c>
      <c r="H80" s="17">
        <v>0</v>
      </c>
      <c r="I80" s="17">
        <v>0</v>
      </c>
      <c r="J80" s="17">
        <v>0</v>
      </c>
      <c r="K80" s="17">
        <v>0</v>
      </c>
      <c r="L80" s="17">
        <v>0</v>
      </c>
      <c r="M80" s="17">
        <v>0</v>
      </c>
      <c r="N80" s="17">
        <v>0</v>
      </c>
      <c r="O80" s="17">
        <v>0</v>
      </c>
      <c r="P80" s="17">
        <v>0</v>
      </c>
      <c r="Q80" s="17">
        <v>0</v>
      </c>
      <c r="R80" s="17">
        <v>0</v>
      </c>
      <c r="S80" s="17">
        <v>0</v>
      </c>
      <c r="T80" s="17">
        <v>0</v>
      </c>
      <c r="U80" s="17">
        <v>0</v>
      </c>
      <c r="V80" s="17">
        <v>0</v>
      </c>
      <c r="W80" s="17">
        <v>0</v>
      </c>
      <c r="X80" s="17">
        <v>0</v>
      </c>
      <c r="Y80" s="17">
        <v>0</v>
      </c>
      <c r="Z80" s="17">
        <v>0</v>
      </c>
      <c r="AA80" s="575">
        <v>0</v>
      </c>
      <c r="AB80" s="17"/>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575">
        <v>0</v>
      </c>
      <c r="BN80" s="575">
        <v>0</v>
      </c>
      <c r="BO80" s="575">
        <v>0</v>
      </c>
      <c r="BP80" s="575">
        <v>0</v>
      </c>
      <c r="BQ80" s="575">
        <v>0</v>
      </c>
      <c r="BR80" s="575">
        <v>0</v>
      </c>
      <c r="BS80" s="575">
        <v>0</v>
      </c>
      <c r="BT80" s="575">
        <v>0</v>
      </c>
      <c r="BU80" s="575">
        <v>0</v>
      </c>
      <c r="BV80" s="575">
        <v>0</v>
      </c>
      <c r="BW80" s="575">
        <v>0</v>
      </c>
      <c r="BX80" s="575">
        <v>0</v>
      </c>
    </row>
    <row r="81" spans="2:76" x14ac:dyDescent="0.25">
      <c r="B81" s="27"/>
      <c r="E81" s="16"/>
      <c r="F81" s="16"/>
      <c r="G81" s="172"/>
      <c r="H81" s="16"/>
      <c r="I81" s="16"/>
      <c r="J81" s="16"/>
      <c r="K81" s="16"/>
      <c r="L81" s="16"/>
      <c r="M81" s="16"/>
      <c r="N81" s="16"/>
      <c r="O81" s="16"/>
      <c r="P81" s="16"/>
      <c r="Q81" s="16"/>
      <c r="R81" s="16"/>
      <c r="S81" s="16"/>
      <c r="T81" s="16"/>
      <c r="U81" s="16"/>
      <c r="V81" s="16"/>
      <c r="W81" s="16"/>
      <c r="X81" s="16"/>
      <c r="Y81" s="16"/>
      <c r="Z81" s="16"/>
      <c r="AA81" s="570"/>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570"/>
    </row>
    <row r="82" spans="2:76" s="16" customFormat="1" ht="15.75" thickBot="1" x14ac:dyDescent="0.3">
      <c r="B82" s="50" t="s">
        <v>112</v>
      </c>
      <c r="C82" s="51"/>
      <c r="D82" s="53"/>
      <c r="E82" s="53">
        <f>E78-E80</f>
        <v>544395.6582197845</v>
      </c>
      <c r="F82" s="53">
        <f t="shared" ref="F82:X82" si="55">F78-F80</f>
        <v>359975.56141166302</v>
      </c>
      <c r="G82" s="53">
        <f>G78-G80</f>
        <v>472089.31798031891</v>
      </c>
      <c r="H82" s="53">
        <f t="shared" si="55"/>
        <v>463731.7872727089</v>
      </c>
      <c r="I82" s="53">
        <f t="shared" si="55"/>
        <v>304484.61171710881</v>
      </c>
      <c r="J82" s="53">
        <f t="shared" si="55"/>
        <v>364164.56566062395</v>
      </c>
      <c r="K82" s="53">
        <f t="shared" si="55"/>
        <v>140035.37917727098</v>
      </c>
      <c r="L82" s="53">
        <f t="shared" si="55"/>
        <v>209873.23448720737</v>
      </c>
      <c r="M82" s="53">
        <f t="shared" si="55"/>
        <v>448651.44117237872</v>
      </c>
      <c r="N82" s="53">
        <f t="shared" si="55"/>
        <v>319000.39276196656</v>
      </c>
      <c r="O82" s="53">
        <f t="shared" si="55"/>
        <v>635668.58040760295</v>
      </c>
      <c r="P82" s="53">
        <f t="shared" si="55"/>
        <v>344907.6111995051</v>
      </c>
      <c r="Q82" s="53">
        <f t="shared" si="55"/>
        <v>-462917.78000000026</v>
      </c>
      <c r="R82" s="53">
        <f t="shared" si="55"/>
        <v>11231.850000000108</v>
      </c>
      <c r="S82" s="53">
        <f t="shared" si="55"/>
        <v>1669.6299999998591</v>
      </c>
      <c r="T82" s="53">
        <f t="shared" si="55"/>
        <v>-69225.789999999775</v>
      </c>
      <c r="U82" s="53">
        <f t="shared" si="55"/>
        <v>-183735.33999999962</v>
      </c>
      <c r="V82" s="53">
        <f t="shared" si="55"/>
        <v>-419720.30999999982</v>
      </c>
      <c r="W82" s="53">
        <f t="shared" si="55"/>
        <v>-815165.32999999949</v>
      </c>
      <c r="X82" s="53">
        <f t="shared" si="55"/>
        <v>-672679.57999999973</v>
      </c>
      <c r="Y82" s="53">
        <f>Y78-Y80</f>
        <v>-339571.56</v>
      </c>
      <c r="Z82" s="577">
        <f>Z78-Z80</f>
        <v>-284198.30999999982</v>
      </c>
      <c r="AA82" s="577">
        <f>AA78-AA80</f>
        <v>-439165.83000000007</v>
      </c>
      <c r="AB82" s="53">
        <f>AB78-AB80</f>
        <v>-124475.46000000004</v>
      </c>
      <c r="AC82" s="577">
        <f>AC78-AC80</f>
        <v>-500462.24000000022</v>
      </c>
      <c r="AD82" s="53">
        <f t="shared" ref="AD82:BL82" si="56">AD78-AD80</f>
        <v>-306688.74000000017</v>
      </c>
      <c r="AE82" s="53">
        <f t="shared" si="56"/>
        <v>-530539.84999999986</v>
      </c>
      <c r="AF82" s="53">
        <f t="shared" ca="1" si="56"/>
        <v>-982501.57283316227</v>
      </c>
      <c r="AG82" s="53">
        <f t="shared" ca="1" si="56"/>
        <v>-757588.22027118981</v>
      </c>
      <c r="AH82" s="53">
        <f t="shared" ca="1" si="56"/>
        <v>-732250.3996552031</v>
      </c>
      <c r="AI82" s="53">
        <f t="shared" ca="1" si="56"/>
        <v>-830492.71358028043</v>
      </c>
      <c r="AJ82" s="53">
        <f t="shared" ca="1" si="56"/>
        <v>-457817.79221098253</v>
      </c>
      <c r="AK82" s="53">
        <f t="shared" ca="1" si="56"/>
        <v>-214269.39575422608</v>
      </c>
      <c r="AL82" s="53">
        <f t="shared" ca="1" si="56"/>
        <v>-249276.1951843634</v>
      </c>
      <c r="AM82" s="53">
        <f t="shared" ca="1" si="56"/>
        <v>-122919.8369379465</v>
      </c>
      <c r="AN82" s="53">
        <f t="shared" ca="1" si="56"/>
        <v>-84415.68178231694</v>
      </c>
      <c r="AO82" s="53">
        <f t="shared" ca="1" si="56"/>
        <v>-6733134.5552006355</v>
      </c>
      <c r="AP82" s="53">
        <f t="shared" ca="1" si="56"/>
        <v>933256.36320909858</v>
      </c>
      <c r="AQ82" s="53">
        <f t="shared" ca="1" si="56"/>
        <v>1051905.5817515349</v>
      </c>
      <c r="AR82" s="53">
        <f t="shared" ca="1" si="56"/>
        <v>1169548.4728214201</v>
      </c>
      <c r="AS82" s="53">
        <f t="shared" ca="1" si="56"/>
        <v>1283604.4364519697</v>
      </c>
      <c r="AT82" s="53">
        <f t="shared" ca="1" si="56"/>
        <v>1395975.6282460182</v>
      </c>
      <c r="AU82" s="53">
        <f t="shared" ca="1" si="56"/>
        <v>1508371.1813166814</v>
      </c>
      <c r="AV82" s="53">
        <f t="shared" ca="1" si="56"/>
        <v>1622197.4200345564</v>
      </c>
      <c r="AW82" s="53">
        <f t="shared" ca="1" si="56"/>
        <v>1737121.1361964829</v>
      </c>
      <c r="AX82" s="53">
        <f t="shared" ca="1" si="56"/>
        <v>1844504.3599346206</v>
      </c>
      <c r="AY82" s="53">
        <f t="shared" ca="1" si="56"/>
        <v>1956688.7680357085</v>
      </c>
      <c r="AZ82" s="53">
        <f t="shared" ca="1" si="56"/>
        <v>2063658.5311319553</v>
      </c>
      <c r="BA82" s="53">
        <f t="shared" ca="1" si="56"/>
        <v>-1735434.9580106095</v>
      </c>
      <c r="BB82" s="53">
        <f t="shared" ca="1" si="56"/>
        <v>-2123082.3099780069</v>
      </c>
      <c r="BC82" s="53">
        <f t="shared" ca="1" si="56"/>
        <v>-2130740.9860264556</v>
      </c>
      <c r="BD82" s="53">
        <f t="shared" ca="1" si="56"/>
        <v>-2114258.1678603315</v>
      </c>
      <c r="BE82" s="53">
        <f t="shared" ca="1" si="56"/>
        <v>-2121538.5489664627</v>
      </c>
      <c r="BF82" s="53">
        <f t="shared" ca="1" si="56"/>
        <v>-2127826.7993885879</v>
      </c>
      <c r="BG82" s="53">
        <f t="shared" ca="1" si="56"/>
        <v>-2135311.4985554377</v>
      </c>
      <c r="BH82" s="53">
        <f t="shared" ca="1" si="56"/>
        <v>-2141810.7692217263</v>
      </c>
      <c r="BI82" s="53">
        <f t="shared" ca="1" si="56"/>
        <v>-2149484.6168980291</v>
      </c>
      <c r="BJ82" s="53">
        <f t="shared" ca="1" si="56"/>
        <v>-2156187.4180265861</v>
      </c>
      <c r="BK82" s="53">
        <f t="shared" ca="1" si="56"/>
        <v>-2164058.0745301829</v>
      </c>
      <c r="BL82" s="53">
        <f t="shared" ca="1" si="56"/>
        <v>-2176218.3377583013</v>
      </c>
      <c r="BM82" s="577">
        <f t="shared" ref="BM82:BX82" ca="1" si="57">BM78-BM80</f>
        <v>-1796220.435670278</v>
      </c>
      <c r="BN82" s="577">
        <f t="shared" ca="1" si="57"/>
        <v>-1814141.0940216631</v>
      </c>
      <c r="BO82" s="577">
        <f t="shared" ca="1" si="57"/>
        <v>-1822486.8977055328</v>
      </c>
      <c r="BP82" s="577">
        <f t="shared" ca="1" si="57"/>
        <v>-1829839.9912727752</v>
      </c>
      <c r="BQ82" s="577">
        <f t="shared" ca="1" si="57"/>
        <v>-1838374.6700066864</v>
      </c>
      <c r="BR82" s="577">
        <f t="shared" ca="1" si="57"/>
        <v>-1845963.2256881518</v>
      </c>
      <c r="BS82" s="577">
        <f t="shared" ca="1" si="57"/>
        <v>-1854748.0886255456</v>
      </c>
      <c r="BT82" s="577">
        <f t="shared" ca="1" si="57"/>
        <v>-1863129.5926757939</v>
      </c>
      <c r="BU82" s="577">
        <f t="shared" ca="1" si="57"/>
        <v>-1871108.1823285348</v>
      </c>
      <c r="BV82" s="577">
        <f t="shared" ca="1" si="57"/>
        <v>-1880293.8082110283</v>
      </c>
      <c r="BW82" s="577">
        <f t="shared" ca="1" si="57"/>
        <v>-1791770.7612088344</v>
      </c>
      <c r="BX82" s="577" t="e">
        <f t="shared" ca="1" si="57"/>
        <v>#REF!</v>
      </c>
    </row>
    <row r="83" spans="2:76" x14ac:dyDescent="0.25">
      <c r="AC83" s="570"/>
      <c r="AD83" s="570"/>
      <c r="AE83" s="570"/>
      <c r="AF83" s="570"/>
      <c r="AG83" s="570"/>
      <c r="AH83" s="570"/>
      <c r="AI83" s="570"/>
      <c r="AJ83" s="570"/>
      <c r="AK83" s="570"/>
      <c r="AL83" s="570"/>
      <c r="AM83" s="570"/>
      <c r="AN83" s="570"/>
      <c r="AO83" s="570"/>
      <c r="AP83" s="570"/>
      <c r="AQ83" s="570"/>
      <c r="AR83" s="570"/>
      <c r="AS83" s="570"/>
      <c r="AT83" s="570"/>
      <c r="AU83" s="570"/>
      <c r="AV83" s="570"/>
      <c r="AW83" s="570"/>
      <c r="AX83" s="570"/>
      <c r="AY83" s="570"/>
      <c r="AZ83" s="570"/>
      <c r="BA83" s="570"/>
      <c r="BB83" s="570"/>
      <c r="BC83" s="570"/>
      <c r="BD83" s="570"/>
      <c r="BE83" s="570"/>
      <c r="BF83" s="570"/>
      <c r="BG83" s="570"/>
      <c r="BH83" s="570"/>
      <c r="BI83" s="570"/>
      <c r="BJ83" s="570"/>
      <c r="BK83" s="570"/>
      <c r="BL83" s="570"/>
      <c r="BM83" s="570"/>
    </row>
    <row r="84" spans="2:76" x14ac:dyDescent="0.25">
      <c r="D84" s="166"/>
      <c r="E84" s="166">
        <v>535494</v>
      </c>
      <c r="F84">
        <v>351078</v>
      </c>
      <c r="G84">
        <v>463144</v>
      </c>
      <c r="H84">
        <v>454800</v>
      </c>
      <c r="I84">
        <v>295600</v>
      </c>
      <c r="J84">
        <v>355212</v>
      </c>
      <c r="K84">
        <v>131111</v>
      </c>
      <c r="L84">
        <v>200960</v>
      </c>
      <c r="M84">
        <v>439751</v>
      </c>
      <c r="N84">
        <v>309848</v>
      </c>
      <c r="O84">
        <v>626388</v>
      </c>
      <c r="P84">
        <v>-425457</v>
      </c>
      <c r="Q84" s="570">
        <f>'BS - Monthly'!R50</f>
        <v>-364100.71</v>
      </c>
      <c r="R84" s="570">
        <f>'BS - Monthly'!S50-'BS - Monthly'!R50</f>
        <v>12031.850000000035</v>
      </c>
      <c r="S84" s="570">
        <f>'BS - Monthly'!T50-'BS - Monthly'!S50</f>
        <v>69.75</v>
      </c>
      <c r="T84" s="570">
        <f>'BS - Monthly'!U50-'BS - Monthly'!T50</f>
        <v>-69168.98000000004</v>
      </c>
      <c r="U84" s="570">
        <f>'BS - Monthly'!V50-'BS - Monthly'!U50</f>
        <v>-183735.34000000003</v>
      </c>
      <c r="V84" s="570">
        <f>'BS - Monthly'!W50-'BS - Monthly'!V50</f>
        <v>-419720.30999999994</v>
      </c>
      <c r="W84" s="570">
        <f>'BS - Monthly'!X50-'BS - Monthly'!W50</f>
        <v>-815159.21</v>
      </c>
      <c r="X84" s="570">
        <f>'BS - Monthly'!Y50-'BS - Monthly'!X50</f>
        <v>-672679.57999999984</v>
      </c>
      <c r="Y84" s="570">
        <f>'BS - Monthly'!Z50-'BS - Monthly'!Y50</f>
        <v>-339571.56000000006</v>
      </c>
      <c r="Z84" s="570">
        <f>'BS - Monthly'!AA50-'BS - Monthly'!Z50</f>
        <v>-284198.31000000006</v>
      </c>
      <c r="AA84" s="570">
        <f>'BS - Monthly'!AB50-'BS - Monthly'!AA50</f>
        <v>-439165.8300000038</v>
      </c>
      <c r="AB84" s="570">
        <f>'BS - Monthly'!AC50-'BS - Monthly'!AB50</f>
        <v>-124475.45999999624</v>
      </c>
      <c r="AC84" s="570">
        <f>'BS - Monthly'!AD50</f>
        <v>-499222.28</v>
      </c>
      <c r="AD84" s="570">
        <f>'BS - Monthly'!AE50-'BS - Monthly'!AD50</f>
        <v>-309813.74</v>
      </c>
      <c r="AE84" s="570">
        <f>'BS - Monthly'!AF50-'BS - Monthly'!AE50</f>
        <v>-530539.85000000009</v>
      </c>
      <c r="AF84" s="570">
        <f ca="1">'BS - Monthly'!AG50-'BS - Monthly'!AF50</f>
        <v>-982501.57283316227</v>
      </c>
      <c r="AG84" s="570">
        <f ca="1">'BS - Monthly'!AH50-'BS - Monthly'!AG50</f>
        <v>-757588.2202711897</v>
      </c>
      <c r="AH84" s="570">
        <f ca="1">'BS - Monthly'!AI50-'BS - Monthly'!AH50</f>
        <v>-732250.39965520287</v>
      </c>
      <c r="AI84" s="570">
        <f ca="1">'BS - Monthly'!AJ50-'BS - Monthly'!AI50</f>
        <v>-830492.71358028054</v>
      </c>
      <c r="AJ84" s="570">
        <f ca="1">'BS - Monthly'!AK50-'BS - Monthly'!AJ50</f>
        <v>-457817.79221098218</v>
      </c>
      <c r="AK84" s="570">
        <f ca="1">'BS - Monthly'!AL50-'BS - Monthly'!AK50</f>
        <v>-214269.39575422648</v>
      </c>
      <c r="AL84" s="570">
        <f ca="1">'BS - Monthly'!AM50-'BS - Monthly'!AL50</f>
        <v>-249276.19518436305</v>
      </c>
      <c r="AM84" s="570">
        <f ca="1">'BS - Monthly'!AN50-'BS - Monthly'!AM50</f>
        <v>-122919.83693794627</v>
      </c>
      <c r="AN84" s="570">
        <f ca="1">'BS - Monthly'!AO50-'BS - Monthly'!AN50</f>
        <v>-84415.681782317348</v>
      </c>
      <c r="AO84" s="570">
        <f ca="1">'BS - Monthly'!AP50-'BS - Monthly'!AO50</f>
        <v>-6733134.5552006355</v>
      </c>
      <c r="AP84" s="570">
        <f ca="1">'BS - Monthly'!AQ50-'BS - Monthly'!AP50</f>
        <v>933256.36320909858</v>
      </c>
      <c r="AQ84" s="570">
        <f ca="1">'BS - Monthly'!AR50-'BS - Monthly'!AQ50</f>
        <v>1051905.5817515347</v>
      </c>
      <c r="AR84" s="570">
        <f ca="1">'BS - Monthly'!AS50-'BS - Monthly'!AR50</f>
        <v>1169548.4728214201</v>
      </c>
      <c r="AS84" s="570">
        <f ca="1">'BS - Monthly'!AT50-'BS - Monthly'!AS50</f>
        <v>1283604.4364519697</v>
      </c>
      <c r="AT84" s="570">
        <f ca="1">'BS - Monthly'!AU50-'BS - Monthly'!AT50</f>
        <v>1395975.6282460187</v>
      </c>
      <c r="AU84" s="570">
        <f ca="1">'BS - Monthly'!AV50-'BS - Monthly'!AU50</f>
        <v>1508371.1813166812</v>
      </c>
      <c r="AV84" s="570">
        <f ca="1">'BS - Monthly'!AW50-'BS - Monthly'!AV50</f>
        <v>1622197.4200345566</v>
      </c>
      <c r="AW84" s="570">
        <f ca="1">'BS - Monthly'!AX50-'BS - Monthly'!AW50</f>
        <v>1737121.1361964829</v>
      </c>
      <c r="AX84" s="570">
        <f ca="1">'BS - Monthly'!AY50-'BS - Monthly'!AX50</f>
        <v>1844504.3599346206</v>
      </c>
      <c r="AY84" s="570">
        <f ca="1">'BS - Monthly'!AZ50-'BS - Monthly'!AY50</f>
        <v>1956688.7680357085</v>
      </c>
      <c r="AZ84" s="570">
        <f ca="1">'BS - Monthly'!BA50-'BS - Monthly'!AZ50</f>
        <v>2063658.5311319553</v>
      </c>
      <c r="BA84" s="570">
        <f ca="1">'BS - Monthly'!BB50-'BS - Monthly'!BA50</f>
        <v>-1735434.9580106093</v>
      </c>
      <c r="BB84" s="570">
        <f ca="1">'BS - Monthly'!BC50-'BS - Monthly'!BB50</f>
        <v>-2123082.3099780069</v>
      </c>
      <c r="BC84" s="570">
        <f ca="1">'BS - Monthly'!BD50-'BS - Monthly'!BC50</f>
        <v>-2130740.9860264556</v>
      </c>
      <c r="BD84" s="570">
        <f ca="1">'BS - Monthly'!BE50-'BS - Monthly'!BD50</f>
        <v>-2114258.1678603315</v>
      </c>
      <c r="BE84" s="570">
        <f ca="1">'BS - Monthly'!BF50-'BS - Monthly'!BE50</f>
        <v>-2121538.5489664627</v>
      </c>
      <c r="BF84" s="570">
        <f ca="1">'BS - Monthly'!BG50-'BS - Monthly'!BF50</f>
        <v>-2127826.7993885875</v>
      </c>
      <c r="BG84" s="570">
        <f ca="1">'BS - Monthly'!BH50-'BS - Monthly'!BG50</f>
        <v>-2135311.4985554367</v>
      </c>
      <c r="BH84" s="570">
        <f ca="1">'BS - Monthly'!BI50-'BS - Monthly'!BH50</f>
        <v>-2141810.7692217268</v>
      </c>
      <c r="BI84" s="570">
        <f ca="1">'BS - Monthly'!BJ50-'BS - Monthly'!BI50</f>
        <v>-2149484.61689803</v>
      </c>
      <c r="BJ84" s="570">
        <f ca="1">'BS - Monthly'!BK50-'BS - Monthly'!BJ50</f>
        <v>-2156187.4180265851</v>
      </c>
      <c r="BK84" s="570">
        <f ca="1">'BS - Monthly'!BL50-'BS - Monthly'!BK50</f>
        <v>-2164058.0745301843</v>
      </c>
      <c r="BL84" s="570">
        <f ca="1">'BS - Monthly'!BM50-'BS - Monthly'!BL50</f>
        <v>-2176218.3377583027</v>
      </c>
      <c r="BM84" s="570">
        <f ca="1">'BS - Monthly'!BN50-'BS - Monthly'!BM50</f>
        <v>-1796220.435670279</v>
      </c>
      <c r="BN84" s="570">
        <f ca="1">'BS - Monthly'!BO50-'BS - Monthly'!BN50</f>
        <v>-1814141.0940216631</v>
      </c>
      <c r="BO84" s="570">
        <f ca="1">'BS - Monthly'!BP50-'BS - Monthly'!BO50</f>
        <v>-1822486.8977055326</v>
      </c>
      <c r="BP84" s="570">
        <f ca="1">'BS - Monthly'!BQ50-'BS - Monthly'!BP50</f>
        <v>-1829839.9912727736</v>
      </c>
      <c r="BQ84" s="570">
        <f ca="1">'BS - Monthly'!BR50-'BS - Monthly'!BQ50</f>
        <v>-1838374.670006685</v>
      </c>
      <c r="BR84" s="570">
        <f ca="1">'BS - Monthly'!BS50-'BS - Monthly'!BR50</f>
        <v>-1845963.225688152</v>
      </c>
      <c r="BS84" s="570">
        <f ca="1">'BS - Monthly'!BT50-'BS - Monthly'!BS50</f>
        <v>-1854748.0886255465</v>
      </c>
      <c r="BT84" s="570">
        <f ca="1">'BS - Monthly'!BU50-'BS - Monthly'!BT50</f>
        <v>-1863129.5926757976</v>
      </c>
      <c r="BU84" s="570">
        <f ca="1">'BS - Monthly'!BV50-'BS - Monthly'!BU50</f>
        <v>-1871108.1823285371</v>
      </c>
      <c r="BV84" s="570">
        <f ca="1">'BS - Monthly'!BW50-'BS - Monthly'!BV50</f>
        <v>-1880293.8082110286</v>
      </c>
      <c r="BW84" s="570">
        <f ca="1">'BS - Monthly'!BX50-'BS - Monthly'!BW50</f>
        <v>-1791770.7612088323</v>
      </c>
    </row>
    <row r="85" spans="2:76" x14ac:dyDescent="0.25">
      <c r="D85" s="166"/>
      <c r="E85" s="166">
        <f>+E84-E82</f>
        <v>-8901.6582197844982</v>
      </c>
      <c r="F85" s="166">
        <f>+F84-F82</f>
        <v>-8897.5614116630168</v>
      </c>
      <c r="G85" s="166">
        <f t="shared" ref="G85:T85" si="58">+G84-G82</f>
        <v>-8945.3179803189123</v>
      </c>
      <c r="H85" s="166">
        <f t="shared" si="58"/>
        <v>-8931.7872727088979</v>
      </c>
      <c r="I85" s="166">
        <f t="shared" si="58"/>
        <v>-8884.6117171088117</v>
      </c>
      <c r="J85" s="166">
        <f t="shared" si="58"/>
        <v>-8952.56566062395</v>
      </c>
      <c r="K85" s="166">
        <f t="shared" si="58"/>
        <v>-8924.379177270981</v>
      </c>
      <c r="L85" s="166">
        <f t="shared" si="58"/>
        <v>-8913.2344872073736</v>
      </c>
      <c r="M85" s="166">
        <f t="shared" si="58"/>
        <v>-8900.4411723787198</v>
      </c>
      <c r="N85" s="166">
        <f t="shared" si="58"/>
        <v>-9152.3927619665628</v>
      </c>
      <c r="O85" s="166">
        <f t="shared" si="58"/>
        <v>-9280.5804076029453</v>
      </c>
      <c r="P85" s="166">
        <f t="shared" si="58"/>
        <v>-770364.61119950516</v>
      </c>
      <c r="Q85" s="166">
        <f t="shared" si="58"/>
        <v>98817.07000000024</v>
      </c>
      <c r="R85" s="166">
        <f t="shared" si="58"/>
        <v>799.99999999992724</v>
      </c>
      <c r="S85" s="166">
        <f t="shared" si="58"/>
        <v>-1599.8799999998591</v>
      </c>
      <c r="T85" s="166">
        <f t="shared" si="58"/>
        <v>56.809999999735737</v>
      </c>
      <c r="U85" s="166">
        <f>+U84-U82</f>
        <v>-4.0745362639427185E-10</v>
      </c>
      <c r="V85" s="572">
        <f>+V84-V82</f>
        <v>0</v>
      </c>
      <c r="W85" s="572">
        <f>+W84-W82</f>
        <v>6.1199999995296821</v>
      </c>
      <c r="X85" s="572">
        <f>+X82-X84</f>
        <v>0</v>
      </c>
      <c r="Y85" s="572">
        <f t="shared" ref="Y85:BV85" si="59">+Y82-Y84</f>
        <v>0</v>
      </c>
      <c r="Z85" s="572">
        <f t="shared" si="59"/>
        <v>0</v>
      </c>
      <c r="AA85" s="572">
        <f t="shared" si="59"/>
        <v>3.7252902984619141E-9</v>
      </c>
      <c r="AB85" s="572">
        <f t="shared" si="59"/>
        <v>-3.7980498746037483E-9</v>
      </c>
      <c r="AC85" s="572">
        <f t="shared" si="59"/>
        <v>-1239.9600000001956</v>
      </c>
      <c r="AD85" s="572">
        <f t="shared" si="59"/>
        <v>3124.9999999998254</v>
      </c>
      <c r="AE85" s="572">
        <f t="shared" si="59"/>
        <v>0</v>
      </c>
      <c r="AF85" s="572">
        <f t="shared" ca="1" si="59"/>
        <v>0</v>
      </c>
      <c r="AG85" s="572">
        <f t="shared" ca="1" si="59"/>
        <v>0</v>
      </c>
      <c r="AH85" s="572">
        <f t="shared" ca="1" si="59"/>
        <v>0</v>
      </c>
      <c r="AI85" s="572">
        <f t="shared" ca="1" si="59"/>
        <v>0</v>
      </c>
      <c r="AJ85" s="572">
        <f t="shared" ca="1" si="59"/>
        <v>0</v>
      </c>
      <c r="AK85" s="572">
        <f t="shared" ca="1" si="59"/>
        <v>4.0745362639427185E-10</v>
      </c>
      <c r="AL85" s="572">
        <f t="shared" ca="1" si="59"/>
        <v>-3.4924596548080444E-10</v>
      </c>
      <c r="AM85" s="572">
        <f t="shared" ca="1" si="59"/>
        <v>-2.3283064365386963E-10</v>
      </c>
      <c r="AN85" s="572">
        <f t="shared" ca="1" si="59"/>
        <v>4.0745362639427185E-10</v>
      </c>
      <c r="AO85" s="572">
        <f t="shared" ca="1" si="59"/>
        <v>0</v>
      </c>
      <c r="AP85" s="572">
        <f t="shared" ca="1" si="59"/>
        <v>0</v>
      </c>
      <c r="AQ85" s="572">
        <f t="shared" ca="1" si="59"/>
        <v>0</v>
      </c>
      <c r="AR85" s="572">
        <f t="shared" ca="1" si="59"/>
        <v>0</v>
      </c>
      <c r="AS85" s="572">
        <f t="shared" ca="1" si="59"/>
        <v>0</v>
      </c>
      <c r="AT85" s="572">
        <f t="shared" ca="1" si="59"/>
        <v>0</v>
      </c>
      <c r="AU85" s="572">
        <f t="shared" ca="1" si="59"/>
        <v>0</v>
      </c>
      <c r="AV85" s="572">
        <f t="shared" ca="1" si="59"/>
        <v>0</v>
      </c>
      <c r="AW85" s="572">
        <f t="shared" ca="1" si="59"/>
        <v>0</v>
      </c>
      <c r="AX85" s="572">
        <f t="shared" ca="1" si="59"/>
        <v>0</v>
      </c>
      <c r="AY85" s="572">
        <f t="shared" ca="1" si="59"/>
        <v>0</v>
      </c>
      <c r="AZ85" s="572">
        <f t="shared" ca="1" si="59"/>
        <v>0</v>
      </c>
      <c r="BA85" s="572">
        <f t="shared" ca="1" si="59"/>
        <v>0</v>
      </c>
      <c r="BB85" s="572">
        <f t="shared" ca="1" si="59"/>
        <v>0</v>
      </c>
      <c r="BC85" s="572">
        <f t="shared" ca="1" si="59"/>
        <v>0</v>
      </c>
      <c r="BD85" s="572">
        <f t="shared" ca="1" si="59"/>
        <v>0</v>
      </c>
      <c r="BE85" s="572">
        <f t="shared" ca="1" si="59"/>
        <v>0</v>
      </c>
      <c r="BF85" s="572">
        <f t="shared" ca="1" si="59"/>
        <v>0</v>
      </c>
      <c r="BG85" s="572">
        <f t="shared" ca="1" si="59"/>
        <v>0</v>
      </c>
      <c r="BH85" s="572">
        <f t="shared" ca="1" si="59"/>
        <v>0</v>
      </c>
      <c r="BI85" s="572">
        <f t="shared" ca="1" si="59"/>
        <v>0</v>
      </c>
      <c r="BJ85" s="572">
        <f t="shared" ca="1" si="59"/>
        <v>0</v>
      </c>
      <c r="BK85" s="572">
        <f t="shared" ca="1" si="59"/>
        <v>0</v>
      </c>
      <c r="BL85" s="572">
        <f t="shared" ca="1" si="59"/>
        <v>0</v>
      </c>
      <c r="BM85" s="572">
        <f t="shared" ca="1" si="59"/>
        <v>0</v>
      </c>
      <c r="BN85" s="572">
        <f t="shared" ca="1" si="59"/>
        <v>0</v>
      </c>
      <c r="BO85" s="572">
        <f t="shared" ca="1" si="59"/>
        <v>0</v>
      </c>
      <c r="BP85" s="572">
        <f t="shared" ca="1" si="59"/>
        <v>0</v>
      </c>
      <c r="BQ85" s="572">
        <f t="shared" ca="1" si="59"/>
        <v>0</v>
      </c>
      <c r="BR85" s="572">
        <f t="shared" ca="1" si="59"/>
        <v>0</v>
      </c>
      <c r="BS85" s="572">
        <f t="shared" ca="1" si="59"/>
        <v>0</v>
      </c>
      <c r="BT85" s="572">
        <f t="shared" ca="1" si="59"/>
        <v>3.7252902984619141E-9</v>
      </c>
      <c r="BU85" s="572">
        <f t="shared" ca="1" si="59"/>
        <v>2.3283064365386963E-9</v>
      </c>
      <c r="BV85" s="572">
        <f t="shared" ca="1" si="59"/>
        <v>0</v>
      </c>
    </row>
    <row r="86" spans="2:76" x14ac:dyDescent="0.25">
      <c r="D86" s="566"/>
      <c r="E86" s="566">
        <f>+E85-E32</f>
        <v>-8901.6582197844982</v>
      </c>
      <c r="Q86" s="166"/>
      <c r="R86" s="166">
        <f>+R82-R84</f>
        <v>-799.99999999992724</v>
      </c>
      <c r="S86" s="166">
        <f>+S82-S84</f>
        <v>1599.8799999998591</v>
      </c>
      <c r="T86" s="166">
        <f>+T82-T84</f>
        <v>-56.809999999735737</v>
      </c>
      <c r="U86" s="166">
        <f>+U82-U84</f>
        <v>4.0745362639427185E-10</v>
      </c>
      <c r="V86" s="572">
        <f>+V82-V84</f>
        <v>0</v>
      </c>
      <c r="W86" s="572">
        <f t="shared" ref="W86:BV86" si="60">+W82-W84</f>
        <v>-6.1199999995296821</v>
      </c>
      <c r="X86" s="572">
        <f t="shared" si="60"/>
        <v>0</v>
      </c>
      <c r="Y86" s="572">
        <f t="shared" si="60"/>
        <v>0</v>
      </c>
      <c r="Z86" s="572">
        <f t="shared" si="60"/>
        <v>0</v>
      </c>
      <c r="AA86" s="572">
        <f t="shared" si="60"/>
        <v>3.7252902984619141E-9</v>
      </c>
      <c r="AB86" s="572">
        <f t="shared" si="60"/>
        <v>-3.7980498746037483E-9</v>
      </c>
      <c r="AC86" s="572">
        <f t="shared" si="60"/>
        <v>-1239.9600000001956</v>
      </c>
      <c r="AD86" s="572">
        <f t="shared" si="60"/>
        <v>3124.9999999998254</v>
      </c>
      <c r="AE86" s="572">
        <f t="shared" si="60"/>
        <v>0</v>
      </c>
      <c r="AF86" s="572">
        <f t="shared" ca="1" si="60"/>
        <v>0</v>
      </c>
      <c r="AG86" s="572">
        <f t="shared" ca="1" si="60"/>
        <v>0</v>
      </c>
      <c r="AH86" s="572">
        <f t="shared" ca="1" si="60"/>
        <v>0</v>
      </c>
      <c r="AI86" s="572">
        <f t="shared" ca="1" si="60"/>
        <v>0</v>
      </c>
      <c r="AJ86" s="572">
        <f t="shared" ca="1" si="60"/>
        <v>0</v>
      </c>
      <c r="AK86" s="572">
        <f t="shared" ca="1" si="60"/>
        <v>4.0745362639427185E-10</v>
      </c>
      <c r="AL86" s="572">
        <f t="shared" ca="1" si="60"/>
        <v>-3.4924596548080444E-10</v>
      </c>
      <c r="AM86" s="572">
        <f t="shared" ca="1" si="60"/>
        <v>-2.3283064365386963E-10</v>
      </c>
      <c r="AN86" s="572">
        <f t="shared" ca="1" si="60"/>
        <v>4.0745362639427185E-10</v>
      </c>
      <c r="AO86" s="572">
        <f t="shared" ca="1" si="60"/>
        <v>0</v>
      </c>
      <c r="AP86" s="572">
        <f t="shared" ca="1" si="60"/>
        <v>0</v>
      </c>
      <c r="AQ86" s="572">
        <f t="shared" ca="1" si="60"/>
        <v>0</v>
      </c>
      <c r="AR86" s="572">
        <f t="shared" ca="1" si="60"/>
        <v>0</v>
      </c>
      <c r="AS86" s="572">
        <f t="shared" ca="1" si="60"/>
        <v>0</v>
      </c>
      <c r="AT86" s="572">
        <f t="shared" ca="1" si="60"/>
        <v>0</v>
      </c>
      <c r="AU86" s="572">
        <f t="shared" ca="1" si="60"/>
        <v>0</v>
      </c>
      <c r="AV86" s="572">
        <f t="shared" ca="1" si="60"/>
        <v>0</v>
      </c>
      <c r="AW86" s="572">
        <f t="shared" ca="1" si="60"/>
        <v>0</v>
      </c>
      <c r="AX86" s="572">
        <f t="shared" ca="1" si="60"/>
        <v>0</v>
      </c>
      <c r="AY86" s="572">
        <f t="shared" ca="1" si="60"/>
        <v>0</v>
      </c>
      <c r="AZ86" s="572">
        <f t="shared" ca="1" si="60"/>
        <v>0</v>
      </c>
      <c r="BA86" s="572">
        <f t="shared" ca="1" si="60"/>
        <v>0</v>
      </c>
      <c r="BB86" s="572">
        <f t="shared" ca="1" si="60"/>
        <v>0</v>
      </c>
      <c r="BC86" s="572">
        <f t="shared" ca="1" si="60"/>
        <v>0</v>
      </c>
      <c r="BD86" s="572">
        <f t="shared" ca="1" si="60"/>
        <v>0</v>
      </c>
      <c r="BE86" s="572">
        <f t="shared" ca="1" si="60"/>
        <v>0</v>
      </c>
      <c r="BF86" s="572">
        <f t="shared" ca="1" si="60"/>
        <v>0</v>
      </c>
      <c r="BG86" s="572">
        <f t="shared" ca="1" si="60"/>
        <v>0</v>
      </c>
      <c r="BH86" s="572">
        <f t="shared" ca="1" si="60"/>
        <v>0</v>
      </c>
      <c r="BI86" s="572">
        <f t="shared" ca="1" si="60"/>
        <v>0</v>
      </c>
      <c r="BJ86" s="572">
        <f t="shared" ca="1" si="60"/>
        <v>0</v>
      </c>
      <c r="BK86" s="572">
        <f t="shared" ca="1" si="60"/>
        <v>0</v>
      </c>
      <c r="BL86" s="572">
        <f t="shared" ca="1" si="60"/>
        <v>0</v>
      </c>
      <c r="BM86" s="572">
        <f t="shared" ca="1" si="60"/>
        <v>0</v>
      </c>
      <c r="BN86" s="572">
        <f t="shared" ca="1" si="60"/>
        <v>0</v>
      </c>
      <c r="BO86" s="572">
        <f t="shared" ca="1" si="60"/>
        <v>0</v>
      </c>
      <c r="BP86" s="572">
        <f t="shared" ca="1" si="60"/>
        <v>0</v>
      </c>
      <c r="BQ86" s="572">
        <f t="shared" ca="1" si="60"/>
        <v>0</v>
      </c>
      <c r="BR86" s="572">
        <f t="shared" ca="1" si="60"/>
        <v>0</v>
      </c>
      <c r="BS86" s="572">
        <f t="shared" ca="1" si="60"/>
        <v>0</v>
      </c>
      <c r="BT86" s="572">
        <f t="shared" ca="1" si="60"/>
        <v>3.7252902984619141E-9</v>
      </c>
      <c r="BU86" s="572">
        <f t="shared" ca="1" si="60"/>
        <v>2.3283064365386963E-9</v>
      </c>
      <c r="BV86" s="572">
        <f t="shared" ca="1" si="60"/>
        <v>0</v>
      </c>
    </row>
    <row r="87" spans="2:76" s="133" customFormat="1" x14ac:dyDescent="0.25">
      <c r="C87" s="29"/>
      <c r="D87" s="143"/>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c r="BN87" s="570"/>
      <c r="BO87" s="570"/>
      <c r="BP87" s="570"/>
      <c r="BQ87" s="570"/>
      <c r="BR87" s="570"/>
      <c r="BS87" s="570"/>
      <c r="BT87" s="570"/>
      <c r="BU87" s="570"/>
      <c r="BV87" s="570"/>
      <c r="BW87" s="570"/>
      <c r="BX87" s="570"/>
    </row>
    <row r="88" spans="2:76" s="133" customFormat="1" x14ac:dyDescent="0.25">
      <c r="C88" s="29"/>
      <c r="D88" s="165"/>
      <c r="E88" s="8"/>
      <c r="F88" s="165"/>
      <c r="G88" s="165"/>
      <c r="H88" s="165"/>
      <c r="I88" s="165"/>
      <c r="J88" s="165"/>
      <c r="K88" s="165"/>
      <c r="L88" s="165"/>
      <c r="M88" s="165"/>
      <c r="N88" s="165"/>
      <c r="O88" s="165"/>
      <c r="P88" s="165"/>
      <c r="Q88" s="165"/>
      <c r="R88" s="165"/>
      <c r="S88" s="165"/>
      <c r="T88" s="165"/>
      <c r="U88" s="165"/>
      <c r="V88" s="165"/>
      <c r="W88" s="165"/>
      <c r="X88" s="165"/>
      <c r="Y88" s="165"/>
      <c r="Z88" s="165"/>
      <c r="AA88" s="165"/>
      <c r="AB88" s="165"/>
      <c r="BN88" s="570"/>
      <c r="BO88" s="570"/>
      <c r="BP88" s="570"/>
      <c r="BQ88" s="570"/>
      <c r="BR88" s="570"/>
      <c r="BS88" s="570"/>
      <c r="BT88" s="570"/>
      <c r="BU88" s="570"/>
      <c r="BV88" s="570"/>
      <c r="BW88" s="570"/>
      <c r="BX88" s="570"/>
    </row>
    <row r="89" spans="2:76" s="133" customFormat="1" x14ac:dyDescent="0.25">
      <c r="C89" s="29"/>
      <c r="D89" s="165"/>
      <c r="E89" s="165"/>
      <c r="F89" s="165"/>
      <c r="G89" s="165"/>
      <c r="H89" s="165"/>
      <c r="I89" s="165"/>
      <c r="J89" s="165"/>
      <c r="K89" s="165"/>
      <c r="L89" s="165"/>
      <c r="M89" s="165"/>
      <c r="N89" s="165"/>
      <c r="O89" s="165"/>
      <c r="P89" s="165"/>
      <c r="Q89" s="165"/>
      <c r="R89" s="165"/>
      <c r="S89" s="165"/>
      <c r="T89" s="165"/>
      <c r="U89" s="165"/>
      <c r="V89" s="165"/>
      <c r="W89" s="165"/>
      <c r="X89" s="165"/>
      <c r="Y89" s="165"/>
      <c r="Z89" s="165"/>
      <c r="AA89" s="165"/>
      <c r="AB89" s="165"/>
      <c r="AC89" s="575">
        <v>10115</v>
      </c>
      <c r="AD89" s="575">
        <v>10168</v>
      </c>
      <c r="AE89" s="575">
        <v>10733</v>
      </c>
      <c r="AF89" s="575"/>
      <c r="BN89" s="570"/>
      <c r="BO89" s="570"/>
      <c r="BP89" s="570"/>
      <c r="BQ89" s="570"/>
      <c r="BR89" s="570"/>
      <c r="BS89" s="570"/>
      <c r="BT89" s="570"/>
      <c r="BU89" s="570"/>
      <c r="BV89" s="570"/>
      <c r="BW89" s="570"/>
      <c r="BX89" s="570"/>
    </row>
    <row r="90" spans="2:76" s="133" customFormat="1" x14ac:dyDescent="0.25">
      <c r="C90" s="29"/>
      <c r="D90" s="144"/>
      <c r="E90" s="144"/>
      <c r="F90" s="144"/>
      <c r="G90" s="144"/>
      <c r="H90" s="144"/>
      <c r="I90" s="144"/>
      <c r="J90" s="144"/>
      <c r="K90" s="144"/>
      <c r="L90" s="144"/>
      <c r="M90" s="144"/>
      <c r="N90" s="144"/>
      <c r="O90" s="144"/>
      <c r="P90" s="144"/>
      <c r="Q90" s="19"/>
      <c r="R90" s="19"/>
      <c r="S90" s="19"/>
      <c r="T90" s="19"/>
      <c r="U90" s="19"/>
      <c r="V90" s="144"/>
      <c r="W90" s="144"/>
      <c r="X90" s="144"/>
      <c r="Y90" s="144"/>
      <c r="Z90" s="144"/>
      <c r="AA90" s="144"/>
      <c r="AB90" s="144"/>
      <c r="AC90" s="133">
        <f>AC22/AC89</f>
        <v>144.02250222441916</v>
      </c>
      <c r="AD90" s="570">
        <f t="shared" ref="AD90:AE90" si="61">AD22/AD89</f>
        <v>146.14427222659322</v>
      </c>
      <c r="AE90" s="570">
        <f t="shared" si="61"/>
        <v>154.17422621820555</v>
      </c>
      <c r="BN90" s="570"/>
      <c r="BO90" s="570"/>
      <c r="BP90" s="570"/>
      <c r="BQ90" s="570"/>
      <c r="BR90" s="570"/>
      <c r="BS90" s="570"/>
      <c r="BT90" s="570"/>
      <c r="BU90" s="570"/>
      <c r="BV90" s="570"/>
      <c r="BW90" s="570"/>
      <c r="BX90" s="570"/>
    </row>
    <row r="91" spans="2:76" s="133" customFormat="1" x14ac:dyDescent="0.25">
      <c r="C91" s="29"/>
      <c r="D91" s="29"/>
      <c r="E91" s="29"/>
      <c r="F91" s="29"/>
      <c r="G91" s="29"/>
      <c r="H91" s="29"/>
      <c r="I91" s="29"/>
      <c r="J91" s="29"/>
      <c r="K91" s="29"/>
      <c r="L91" s="29"/>
      <c r="M91" s="29"/>
      <c r="N91" s="29"/>
      <c r="O91" s="29"/>
      <c r="P91" s="29"/>
      <c r="Q91" s="19"/>
      <c r="R91" s="19"/>
      <c r="S91" s="19"/>
      <c r="T91" s="19"/>
      <c r="U91" s="19"/>
      <c r="V91" s="29"/>
      <c r="W91" s="29"/>
      <c r="X91" s="29"/>
      <c r="Y91" s="29"/>
      <c r="Z91" s="29"/>
      <c r="AA91" s="29"/>
      <c r="AB91" s="29"/>
      <c r="BN91" s="570"/>
      <c r="BO91" s="570"/>
      <c r="BP91" s="570"/>
      <c r="BQ91" s="570"/>
      <c r="BR91" s="570"/>
      <c r="BS91" s="570"/>
      <c r="BT91" s="570"/>
      <c r="BU91" s="570"/>
      <c r="BV91" s="570"/>
      <c r="BW91" s="570"/>
      <c r="BX91" s="570"/>
    </row>
    <row r="92" spans="2:76" s="133" customFormat="1" x14ac:dyDescent="0.25">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BN92" s="570"/>
      <c r="BO92" s="570"/>
      <c r="BP92" s="570"/>
      <c r="BQ92" s="570"/>
      <c r="BR92" s="570"/>
      <c r="BS92" s="570"/>
      <c r="BT92" s="570"/>
      <c r="BU92" s="570"/>
      <c r="BV92" s="570"/>
      <c r="BW92" s="570"/>
      <c r="BX92" s="570"/>
    </row>
    <row r="93" spans="2:76" s="133" customFormat="1" x14ac:dyDescent="0.25">
      <c r="C93" s="145"/>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BN93" s="570"/>
      <c r="BO93" s="570"/>
      <c r="BP93" s="570"/>
      <c r="BQ93" s="570"/>
      <c r="BR93" s="570"/>
      <c r="BS93" s="570"/>
      <c r="BT93" s="570"/>
      <c r="BU93" s="570"/>
      <c r="BV93" s="570"/>
      <c r="BW93" s="570"/>
      <c r="BX93" s="570"/>
    </row>
    <row r="94" spans="2:76" s="133" customFormat="1" x14ac:dyDescent="0.25">
      <c r="C94" s="29"/>
      <c r="D94" s="29"/>
      <c r="E94" s="29"/>
      <c r="F94" s="29"/>
      <c r="G94" s="29"/>
      <c r="H94" s="29"/>
      <c r="I94" s="29"/>
      <c r="J94" s="29"/>
      <c r="K94" s="29"/>
      <c r="L94" s="29"/>
      <c r="M94" s="29"/>
      <c r="N94" s="29"/>
      <c r="O94" s="29"/>
      <c r="P94" s="29"/>
      <c r="Q94" s="1131"/>
      <c r="R94" s="29"/>
      <c r="S94" s="29"/>
      <c r="T94" s="29"/>
      <c r="U94" s="29"/>
      <c r="V94" s="29"/>
      <c r="W94" s="29"/>
      <c r="X94" s="29"/>
      <c r="Y94" s="29"/>
      <c r="Z94" s="29"/>
      <c r="AA94" s="29"/>
      <c r="AB94" s="29"/>
      <c r="BN94" s="570"/>
      <c r="BO94" s="570"/>
      <c r="BP94" s="570"/>
      <c r="BQ94" s="570"/>
      <c r="BR94" s="570"/>
      <c r="BS94" s="570"/>
      <c r="BT94" s="570"/>
      <c r="BU94" s="570"/>
      <c r="BV94" s="570"/>
      <c r="BW94" s="570"/>
      <c r="BX94" s="570"/>
    </row>
    <row r="95" spans="2:76" s="133" customFormat="1" x14ac:dyDescent="0.25">
      <c r="C95" s="29"/>
      <c r="D95" s="143"/>
      <c r="E95" s="143"/>
      <c r="F95" s="143"/>
      <c r="G95" s="143"/>
      <c r="H95" s="143"/>
      <c r="I95" s="143"/>
      <c r="J95" s="143"/>
      <c r="K95" s="143"/>
      <c r="L95" s="143"/>
      <c r="M95" s="143"/>
      <c r="N95" s="143"/>
      <c r="O95" s="143"/>
      <c r="P95" s="143"/>
      <c r="Q95" s="1131"/>
      <c r="R95" s="143"/>
      <c r="S95" s="143"/>
      <c r="T95" s="143"/>
      <c r="U95" s="143"/>
      <c r="V95" s="143"/>
      <c r="W95" s="143"/>
      <c r="X95" s="143"/>
      <c r="Y95" s="143"/>
      <c r="Z95" s="143"/>
      <c r="AA95" s="143"/>
      <c r="AB95" s="143"/>
      <c r="BN95" s="570"/>
      <c r="BO95" s="570"/>
      <c r="BP95" s="570"/>
      <c r="BQ95" s="570"/>
      <c r="BR95" s="570"/>
      <c r="BS95" s="570"/>
      <c r="BT95" s="570"/>
      <c r="BU95" s="570"/>
      <c r="BV95" s="570"/>
      <c r="BW95" s="570"/>
      <c r="BX95" s="570"/>
    </row>
    <row r="96" spans="2:76" s="133" customFormat="1" x14ac:dyDescent="0.25">
      <c r="C96" s="146"/>
      <c r="D96" s="22"/>
      <c r="E96" s="22"/>
      <c r="F96" s="22"/>
      <c r="G96" s="22"/>
      <c r="H96" s="22"/>
      <c r="I96" s="22"/>
      <c r="J96" s="22"/>
      <c r="K96" s="22"/>
      <c r="L96" s="22"/>
      <c r="M96" s="22"/>
      <c r="N96" s="22"/>
      <c r="O96" s="22"/>
      <c r="P96" s="22"/>
      <c r="Q96" s="1126"/>
      <c r="R96" s="22"/>
      <c r="S96" s="22"/>
      <c r="T96" s="22"/>
      <c r="U96" s="22"/>
      <c r="V96" s="22"/>
      <c r="W96" s="22"/>
      <c r="X96" s="22"/>
      <c r="Y96" s="22"/>
      <c r="Z96" s="22"/>
      <c r="AA96" s="22"/>
      <c r="AB96" s="22"/>
      <c r="BN96" s="570"/>
      <c r="BO96" s="570"/>
      <c r="BP96" s="570"/>
      <c r="BQ96" s="570"/>
      <c r="BR96" s="570"/>
      <c r="BS96" s="570"/>
      <c r="BT96" s="570"/>
      <c r="BU96" s="570"/>
      <c r="BV96" s="570"/>
      <c r="BW96" s="570"/>
      <c r="BX96" s="570"/>
    </row>
    <row r="97" spans="3:76" s="133" customFormat="1" x14ac:dyDescent="0.25">
      <c r="C97" s="146"/>
      <c r="D97" s="22"/>
      <c r="E97" s="22"/>
      <c r="F97" s="22"/>
      <c r="G97" s="22"/>
      <c r="H97" s="22"/>
      <c r="I97" s="22"/>
      <c r="J97" s="22"/>
      <c r="K97" s="22"/>
      <c r="L97" s="22"/>
      <c r="M97" s="22"/>
      <c r="N97" s="22"/>
      <c r="O97" s="22"/>
      <c r="P97" s="22"/>
      <c r="Q97" s="1126"/>
      <c r="R97" s="22"/>
      <c r="S97" s="22"/>
      <c r="T97" s="22"/>
      <c r="U97" s="22"/>
      <c r="V97" s="22"/>
      <c r="W97" s="22"/>
      <c r="X97" s="22"/>
      <c r="Y97" s="22"/>
      <c r="Z97" s="22"/>
      <c r="AA97" s="22"/>
      <c r="AB97" s="22"/>
      <c r="BN97" s="570"/>
      <c r="BO97" s="570"/>
      <c r="BP97" s="570"/>
      <c r="BQ97" s="570"/>
      <c r="BR97" s="570"/>
      <c r="BS97" s="570"/>
      <c r="BT97" s="570"/>
      <c r="BU97" s="570"/>
      <c r="BV97" s="570"/>
      <c r="BW97" s="570"/>
      <c r="BX97" s="570"/>
    </row>
    <row r="98" spans="3:76" s="133" customFormat="1" x14ac:dyDescent="0.25">
      <c r="C98" s="29"/>
      <c r="D98" s="143"/>
      <c r="E98" s="143"/>
      <c r="F98" s="143"/>
      <c r="G98" s="143"/>
      <c r="H98" s="143"/>
      <c r="I98" s="143"/>
      <c r="J98" s="143"/>
      <c r="K98" s="143"/>
      <c r="L98" s="143"/>
      <c r="M98" s="143"/>
      <c r="N98" s="143"/>
      <c r="O98" s="143"/>
      <c r="P98" s="143"/>
      <c r="Q98" s="1131"/>
      <c r="R98" s="143"/>
      <c r="S98" s="143"/>
      <c r="T98" s="143"/>
      <c r="U98" s="143"/>
      <c r="V98" s="143"/>
      <c r="W98" s="143"/>
      <c r="X98" s="143"/>
      <c r="Y98" s="143"/>
      <c r="Z98" s="143"/>
      <c r="AA98" s="143"/>
      <c r="AB98" s="143"/>
      <c r="BN98" s="570"/>
      <c r="BO98" s="570"/>
      <c r="BP98" s="570"/>
      <c r="BQ98" s="570"/>
      <c r="BR98" s="570"/>
      <c r="BS98" s="570"/>
      <c r="BT98" s="570"/>
      <c r="BU98" s="570"/>
      <c r="BV98" s="570"/>
      <c r="BW98" s="570"/>
      <c r="BX98" s="570"/>
    </row>
    <row r="99" spans="3:76" s="133" customFormat="1" x14ac:dyDescent="0.25">
      <c r="C99" s="49"/>
      <c r="D99" s="147"/>
      <c r="E99" s="147"/>
      <c r="F99" s="147"/>
      <c r="G99" s="147"/>
      <c r="H99" s="147"/>
      <c r="I99" s="147"/>
      <c r="J99" s="147"/>
      <c r="K99" s="147"/>
      <c r="L99" s="147"/>
      <c r="M99" s="147"/>
      <c r="N99" s="147"/>
      <c r="O99" s="147"/>
      <c r="P99" s="147"/>
      <c r="Q99" s="1131"/>
      <c r="R99" s="147"/>
      <c r="S99" s="147"/>
      <c r="T99" s="147"/>
      <c r="U99" s="147"/>
      <c r="V99" s="147"/>
      <c r="W99" s="147"/>
      <c r="X99" s="147"/>
      <c r="Y99" s="147"/>
      <c r="Z99" s="147"/>
      <c r="AA99" s="147"/>
      <c r="AB99" s="147"/>
      <c r="BN99" s="570"/>
      <c r="BO99" s="570"/>
      <c r="BP99" s="570"/>
      <c r="BQ99" s="570"/>
      <c r="BR99" s="570"/>
      <c r="BS99" s="570"/>
      <c r="BT99" s="570"/>
      <c r="BU99" s="570"/>
      <c r="BV99" s="570"/>
      <c r="BW99" s="570"/>
      <c r="BX99" s="570"/>
    </row>
    <row r="100" spans="3:76" s="133" customFormat="1" x14ac:dyDescent="0.25">
      <c r="C100" s="49"/>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BN100" s="570"/>
      <c r="BO100" s="570"/>
      <c r="BP100" s="570"/>
      <c r="BQ100" s="570"/>
      <c r="BR100" s="570"/>
      <c r="BS100" s="570"/>
      <c r="BT100" s="570"/>
      <c r="BU100" s="570"/>
      <c r="BV100" s="570"/>
      <c r="BW100" s="570"/>
      <c r="BX100" s="570"/>
    </row>
    <row r="101" spans="3:76" s="133" customFormat="1" x14ac:dyDescent="0.25">
      <c r="C101" s="142"/>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BN101" s="570"/>
      <c r="BO101" s="570"/>
      <c r="BP101" s="570"/>
      <c r="BQ101" s="570"/>
      <c r="BR101" s="570"/>
      <c r="BS101" s="570"/>
      <c r="BT101" s="570"/>
      <c r="BU101" s="570"/>
      <c r="BV101" s="570"/>
      <c r="BW101" s="570"/>
      <c r="BX101" s="570"/>
    </row>
    <row r="102" spans="3:76" s="133" customFormat="1" x14ac:dyDescent="0.25">
      <c r="C102" s="14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BN102" s="570"/>
      <c r="BO102" s="570"/>
      <c r="BP102" s="570"/>
      <c r="BQ102" s="570"/>
      <c r="BR102" s="570"/>
      <c r="BS102" s="570"/>
      <c r="BT102" s="570"/>
      <c r="BU102" s="570"/>
      <c r="BV102" s="570"/>
      <c r="BW102" s="570"/>
      <c r="BX102" s="570"/>
    </row>
    <row r="103" spans="3:76" s="133" customFormat="1" x14ac:dyDescent="0.25">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BN103" s="570"/>
      <c r="BO103" s="570"/>
      <c r="BP103" s="570"/>
      <c r="BQ103" s="570"/>
      <c r="BR103" s="570"/>
      <c r="BS103" s="570"/>
      <c r="BT103" s="570"/>
      <c r="BU103" s="570"/>
      <c r="BV103" s="570"/>
      <c r="BW103" s="570"/>
      <c r="BX103" s="570"/>
    </row>
    <row r="104" spans="3:76" s="133" customFormat="1" x14ac:dyDescent="0.25">
      <c r="C104" s="146"/>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BN104" s="570"/>
      <c r="BO104" s="570"/>
      <c r="BP104" s="570"/>
      <c r="BQ104" s="570"/>
      <c r="BR104" s="570"/>
      <c r="BS104" s="570"/>
      <c r="BT104" s="570"/>
      <c r="BU104" s="570"/>
      <c r="BV104" s="570"/>
      <c r="BW104" s="570"/>
      <c r="BX104" s="570"/>
    </row>
    <row r="105" spans="3:76" s="133" customFormat="1" x14ac:dyDescent="0.25">
      <c r="C105" s="146"/>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BN105" s="570"/>
      <c r="BO105" s="570"/>
      <c r="BP105" s="570"/>
      <c r="BQ105" s="570"/>
      <c r="BR105" s="570"/>
      <c r="BS105" s="570"/>
      <c r="BT105" s="570"/>
      <c r="BU105" s="570"/>
      <c r="BV105" s="570"/>
      <c r="BW105" s="570"/>
      <c r="BX105" s="570"/>
    </row>
    <row r="106" spans="3:76" s="133" customFormat="1" x14ac:dyDescent="0.25">
      <c r="C106" s="146"/>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BN106" s="570"/>
      <c r="BO106" s="570"/>
      <c r="BP106" s="570"/>
      <c r="BQ106" s="570"/>
      <c r="BR106" s="570"/>
      <c r="BS106" s="570"/>
      <c r="BT106" s="570"/>
      <c r="BU106" s="570"/>
      <c r="BV106" s="570"/>
      <c r="BW106" s="570"/>
      <c r="BX106" s="570"/>
    </row>
    <row r="107" spans="3:76" s="133" customFormat="1" x14ac:dyDescent="0.25">
      <c r="C107" s="146"/>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BN107" s="570"/>
      <c r="BO107" s="570"/>
      <c r="BP107" s="570"/>
      <c r="BQ107" s="570"/>
      <c r="BR107" s="570"/>
      <c r="BS107" s="570"/>
      <c r="BT107" s="570"/>
      <c r="BU107" s="570"/>
      <c r="BV107" s="570"/>
      <c r="BW107" s="570"/>
      <c r="BX107" s="570"/>
    </row>
    <row r="108" spans="3:76" s="133" customFormat="1" x14ac:dyDescent="0.25">
      <c r="C108" s="146"/>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BN108" s="570"/>
      <c r="BO108" s="570"/>
      <c r="BP108" s="570"/>
      <c r="BQ108" s="570"/>
      <c r="BR108" s="570"/>
      <c r="BS108" s="570"/>
      <c r="BT108" s="570"/>
      <c r="BU108" s="570"/>
      <c r="BV108" s="570"/>
      <c r="BW108" s="570"/>
      <c r="BX108" s="570"/>
    </row>
    <row r="109" spans="3:76" s="133" customFormat="1" x14ac:dyDescent="0.25">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BN109" s="570"/>
      <c r="BO109" s="570"/>
      <c r="BP109" s="570"/>
      <c r="BQ109" s="570"/>
      <c r="BR109" s="570"/>
      <c r="BS109" s="570"/>
      <c r="BT109" s="570"/>
      <c r="BU109" s="570"/>
      <c r="BV109" s="570"/>
      <c r="BW109" s="570"/>
      <c r="BX109" s="570"/>
    </row>
    <row r="110" spans="3:76" s="133" customFormat="1" x14ac:dyDescent="0.25">
      <c r="C110" s="29"/>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BN110" s="570"/>
      <c r="BO110" s="570"/>
      <c r="BP110" s="570"/>
      <c r="BQ110" s="570"/>
      <c r="BR110" s="570"/>
      <c r="BS110" s="570"/>
      <c r="BT110" s="570"/>
      <c r="BU110" s="570"/>
      <c r="BV110" s="570"/>
      <c r="BW110" s="570"/>
      <c r="BX110" s="570"/>
    </row>
    <row r="111" spans="3:76" s="133" customFormat="1" x14ac:dyDescent="0.25">
      <c r="C111" s="29"/>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BN111" s="570"/>
      <c r="BO111" s="570"/>
      <c r="BP111" s="570"/>
      <c r="BQ111" s="570"/>
      <c r="BR111" s="570"/>
      <c r="BS111" s="570"/>
      <c r="BT111" s="570"/>
      <c r="BU111" s="570"/>
      <c r="BV111" s="570"/>
      <c r="BW111" s="570"/>
      <c r="BX111" s="570"/>
    </row>
    <row r="112" spans="3:76" s="133" customFormat="1" x14ac:dyDescent="0.25">
      <c r="C112" s="29"/>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BN112" s="570"/>
      <c r="BO112" s="570"/>
      <c r="BP112" s="570"/>
      <c r="BQ112" s="570"/>
      <c r="BR112" s="570"/>
      <c r="BS112" s="570"/>
      <c r="BT112" s="570"/>
      <c r="BU112" s="570"/>
      <c r="BV112" s="570"/>
      <c r="BW112" s="570"/>
      <c r="BX112" s="570"/>
    </row>
    <row r="113" spans="3:76" s="133" customFormat="1" x14ac:dyDescent="0.25">
      <c r="C113" s="145"/>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BN113" s="570"/>
      <c r="BO113" s="570"/>
      <c r="BP113" s="570"/>
      <c r="BQ113" s="570"/>
      <c r="BR113" s="570"/>
      <c r="BS113" s="570"/>
      <c r="BT113" s="570"/>
      <c r="BU113" s="570"/>
      <c r="BV113" s="570"/>
      <c r="BW113" s="570"/>
      <c r="BX113" s="570"/>
    </row>
    <row r="114" spans="3:76" s="133" customFormat="1" x14ac:dyDescent="0.25">
      <c r="C114" s="29"/>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BN114" s="570"/>
      <c r="BO114" s="570"/>
      <c r="BP114" s="570"/>
      <c r="BQ114" s="570"/>
      <c r="BR114" s="570"/>
      <c r="BS114" s="570"/>
      <c r="BT114" s="570"/>
      <c r="BU114" s="570"/>
      <c r="BV114" s="570"/>
      <c r="BW114" s="570"/>
      <c r="BX114" s="570"/>
    </row>
    <row r="115" spans="3:76" s="133" customFormat="1" x14ac:dyDescent="0.25">
      <c r="C115" s="145"/>
      <c r="D115" s="78"/>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BN115" s="570"/>
      <c r="BO115" s="570"/>
      <c r="BP115" s="570"/>
      <c r="BQ115" s="570"/>
      <c r="BR115" s="570"/>
      <c r="BS115" s="570"/>
      <c r="BT115" s="570"/>
      <c r="BU115" s="570"/>
      <c r="BV115" s="570"/>
      <c r="BW115" s="570"/>
      <c r="BX115" s="570"/>
    </row>
    <row r="116" spans="3:76" s="133" customFormat="1" x14ac:dyDescent="0.25">
      <c r="C116" s="14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BN116" s="570"/>
      <c r="BO116" s="570"/>
      <c r="BP116" s="570"/>
      <c r="BQ116" s="570"/>
      <c r="BR116" s="570"/>
      <c r="BS116" s="570"/>
      <c r="BT116" s="570"/>
      <c r="BU116" s="570"/>
      <c r="BV116" s="570"/>
      <c r="BW116" s="570"/>
      <c r="BX116" s="570"/>
    </row>
    <row r="117" spans="3:76" s="133" customFormat="1" x14ac:dyDescent="0.25">
      <c r="C117" s="29"/>
      <c r="D117" s="143"/>
      <c r="E117" s="143"/>
      <c r="F117" s="143"/>
      <c r="G117" s="143"/>
      <c r="H117" s="143"/>
      <c r="I117" s="143"/>
      <c r="J117" s="143"/>
      <c r="K117" s="143"/>
      <c r="L117" s="143"/>
      <c r="M117" s="143"/>
      <c r="N117" s="143"/>
      <c r="O117" s="143"/>
      <c r="P117" s="143"/>
      <c r="Q117" s="143"/>
      <c r="R117" s="143"/>
      <c r="S117" s="143"/>
      <c r="T117" s="143"/>
      <c r="U117" s="143"/>
      <c r="V117" s="143"/>
      <c r="W117" s="143"/>
      <c r="X117" s="143"/>
      <c r="Y117" s="143"/>
      <c r="Z117" s="143"/>
      <c r="AA117" s="143"/>
      <c r="AB117" s="143"/>
      <c r="BN117" s="570"/>
      <c r="BO117" s="570"/>
      <c r="BP117" s="570"/>
      <c r="BQ117" s="570"/>
      <c r="BR117" s="570"/>
      <c r="BS117" s="570"/>
      <c r="BT117" s="570"/>
      <c r="BU117" s="570"/>
      <c r="BV117" s="570"/>
      <c r="BW117" s="570"/>
      <c r="BX117" s="570"/>
    </row>
    <row r="118" spans="3:76" s="133" customFormat="1" x14ac:dyDescent="0.25">
      <c r="C118" s="146"/>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BN118" s="570"/>
      <c r="BO118" s="570"/>
      <c r="BP118" s="570"/>
      <c r="BQ118" s="570"/>
      <c r="BR118" s="570"/>
      <c r="BS118" s="570"/>
      <c r="BT118" s="570"/>
      <c r="BU118" s="570"/>
      <c r="BV118" s="570"/>
      <c r="BW118" s="570"/>
      <c r="BX118" s="570"/>
    </row>
    <row r="119" spans="3:76" s="133" customFormat="1" x14ac:dyDescent="0.25">
      <c r="C119" s="146"/>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BN119" s="570"/>
      <c r="BO119" s="570"/>
      <c r="BP119" s="570"/>
      <c r="BQ119" s="570"/>
      <c r="BR119" s="570"/>
      <c r="BS119" s="570"/>
      <c r="BT119" s="570"/>
      <c r="BU119" s="570"/>
      <c r="BV119" s="570"/>
      <c r="BW119" s="570"/>
      <c r="BX119" s="570"/>
    </row>
    <row r="120" spans="3:76" s="133" customFormat="1" x14ac:dyDescent="0.25">
      <c r="C120" s="49"/>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BN120" s="570"/>
      <c r="BO120" s="570"/>
      <c r="BP120" s="570"/>
      <c r="BQ120" s="570"/>
      <c r="BR120" s="570"/>
      <c r="BS120" s="570"/>
      <c r="BT120" s="570"/>
      <c r="BU120" s="570"/>
      <c r="BV120" s="570"/>
      <c r="BW120" s="570"/>
      <c r="BX120" s="570"/>
    </row>
    <row r="121" spans="3:76" s="133" customFormat="1" x14ac:dyDescent="0.25">
      <c r="C121" s="29"/>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BN121" s="570"/>
      <c r="BO121" s="570"/>
      <c r="BP121" s="570"/>
      <c r="BQ121" s="570"/>
      <c r="BR121" s="570"/>
      <c r="BS121" s="570"/>
      <c r="BT121" s="570"/>
      <c r="BU121" s="570"/>
      <c r="BV121" s="570"/>
      <c r="BW121" s="570"/>
      <c r="BX121" s="570"/>
    </row>
    <row r="122" spans="3:76" s="133" customFormat="1" x14ac:dyDescent="0.25">
      <c r="C122" s="29"/>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BN122" s="570"/>
      <c r="BO122" s="570"/>
      <c r="BP122" s="570"/>
      <c r="BQ122" s="570"/>
      <c r="BR122" s="570"/>
      <c r="BS122" s="570"/>
      <c r="BT122" s="570"/>
      <c r="BU122" s="570"/>
      <c r="BV122" s="570"/>
      <c r="BW122" s="570"/>
      <c r="BX122" s="570"/>
    </row>
    <row r="123" spans="3:76" s="133" customFormat="1" x14ac:dyDescent="0.25">
      <c r="C123" s="29"/>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BN123" s="570"/>
      <c r="BO123" s="570"/>
      <c r="BP123" s="570"/>
      <c r="BQ123" s="570"/>
      <c r="BR123" s="570"/>
      <c r="BS123" s="570"/>
      <c r="BT123" s="570"/>
      <c r="BU123" s="570"/>
      <c r="BV123" s="570"/>
      <c r="BW123" s="570"/>
      <c r="BX123" s="570"/>
    </row>
    <row r="124" spans="3:76" s="133" customFormat="1" x14ac:dyDescent="0.25">
      <c r="C124" s="145"/>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BN124" s="570"/>
      <c r="BO124" s="570"/>
      <c r="BP124" s="570"/>
      <c r="BQ124" s="570"/>
      <c r="BR124" s="570"/>
      <c r="BS124" s="570"/>
      <c r="BT124" s="570"/>
      <c r="BU124" s="570"/>
      <c r="BV124" s="570"/>
      <c r="BW124" s="570"/>
      <c r="BX124" s="570"/>
    </row>
    <row r="125" spans="3:76" s="133" customFormat="1" x14ac:dyDescent="0.25">
      <c r="C125" s="29"/>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BN125" s="570"/>
      <c r="BO125" s="570"/>
      <c r="BP125" s="570"/>
      <c r="BQ125" s="570"/>
      <c r="BR125" s="570"/>
      <c r="BS125" s="570"/>
      <c r="BT125" s="570"/>
      <c r="BU125" s="570"/>
      <c r="BV125" s="570"/>
      <c r="BW125" s="570"/>
      <c r="BX125" s="570"/>
    </row>
    <row r="140" spans="3:76" s="150" customFormat="1" x14ac:dyDescent="0.25">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BN140" s="570"/>
      <c r="BO140" s="570"/>
      <c r="BP140" s="570"/>
      <c r="BQ140" s="570"/>
      <c r="BR140" s="570"/>
      <c r="BS140" s="570"/>
      <c r="BT140" s="570"/>
      <c r="BU140" s="570"/>
      <c r="BV140" s="570"/>
      <c r="BW140" s="570"/>
      <c r="BX140" s="570"/>
    </row>
    <row r="141" spans="3:76" s="150" customFormat="1" x14ac:dyDescent="0.25">
      <c r="C141" s="40"/>
      <c r="D141" s="22"/>
      <c r="E141" s="22"/>
      <c r="F141" s="22"/>
      <c r="G141" s="22"/>
      <c r="H141" s="22"/>
      <c r="I141" s="22"/>
      <c r="J141" s="22"/>
      <c r="K141" s="22"/>
      <c r="L141" s="22"/>
      <c r="M141" s="22"/>
      <c r="N141" s="22"/>
      <c r="O141" s="22"/>
      <c r="P141" s="22"/>
      <c r="BN141" s="570"/>
      <c r="BO141" s="570"/>
      <c r="BP141" s="570"/>
      <c r="BQ141" s="570"/>
      <c r="BR141" s="570"/>
      <c r="BS141" s="570"/>
      <c r="BT141" s="570"/>
      <c r="BU141" s="570"/>
      <c r="BV141" s="570"/>
      <c r="BW141" s="570"/>
      <c r="BX141" s="570"/>
    </row>
    <row r="142" spans="3:76" s="150" customFormat="1" x14ac:dyDescent="0.25">
      <c r="C142" s="40"/>
      <c r="D142" s="22"/>
      <c r="E142" s="22"/>
      <c r="F142" s="22"/>
      <c r="G142" s="22"/>
      <c r="H142" s="22"/>
      <c r="I142" s="22"/>
      <c r="J142" s="22"/>
      <c r="K142" s="22"/>
      <c r="L142" s="22"/>
      <c r="M142" s="22"/>
      <c r="N142" s="22"/>
      <c r="O142" s="22"/>
      <c r="P142" s="22"/>
      <c r="BN142" s="570"/>
      <c r="BO142" s="570"/>
      <c r="BP142" s="570"/>
      <c r="BQ142" s="570"/>
      <c r="BR142" s="570"/>
      <c r="BS142" s="570"/>
      <c r="BT142" s="570"/>
      <c r="BU142" s="570"/>
      <c r="BV142" s="570"/>
      <c r="BW142" s="570"/>
      <c r="BX142" s="570"/>
    </row>
    <row r="143" spans="3:76" s="150" customFormat="1" x14ac:dyDescent="0.25">
      <c r="C143" s="40"/>
      <c r="D143" s="22"/>
      <c r="E143" s="22"/>
      <c r="F143" s="22"/>
      <c r="G143" s="22"/>
      <c r="H143" s="22"/>
      <c r="I143" s="22"/>
      <c r="J143" s="22"/>
      <c r="K143" s="22"/>
      <c r="L143" s="22"/>
      <c r="M143" s="22"/>
      <c r="N143" s="22"/>
      <c r="O143" s="22"/>
      <c r="P143" s="22"/>
      <c r="BN143" s="570"/>
      <c r="BO143" s="570"/>
      <c r="BP143" s="570"/>
      <c r="BQ143" s="570"/>
      <c r="BR143" s="570"/>
      <c r="BS143" s="570"/>
      <c r="BT143" s="570"/>
      <c r="BU143" s="570"/>
      <c r="BV143" s="570"/>
      <c r="BW143" s="570"/>
      <c r="BX143" s="570"/>
    </row>
    <row r="144" spans="3:76" s="150" customFormat="1" x14ac:dyDescent="0.25">
      <c r="C144" s="40"/>
      <c r="D144" s="22"/>
      <c r="E144" s="22"/>
      <c r="F144" s="22"/>
      <c r="G144" s="22"/>
      <c r="H144" s="22"/>
      <c r="I144" s="22"/>
      <c r="J144" s="22"/>
      <c r="K144" s="22"/>
      <c r="L144" s="22"/>
      <c r="M144" s="22"/>
      <c r="N144" s="22"/>
      <c r="O144" s="22"/>
      <c r="P144" s="22"/>
      <c r="BN144" s="570"/>
      <c r="BO144" s="570"/>
      <c r="BP144" s="570"/>
      <c r="BQ144" s="570"/>
      <c r="BR144" s="570"/>
      <c r="BS144" s="570"/>
      <c r="BT144" s="570"/>
      <c r="BU144" s="570"/>
      <c r="BV144" s="570"/>
      <c r="BW144" s="570"/>
      <c r="BX144" s="570"/>
    </row>
    <row r="145" spans="3:76" s="150" customFormat="1" x14ac:dyDescent="0.25">
      <c r="C145" s="40"/>
      <c r="D145" s="22"/>
      <c r="E145" s="22"/>
      <c r="F145" s="22"/>
      <c r="G145" s="22"/>
      <c r="H145" s="22"/>
      <c r="I145" s="22"/>
      <c r="J145" s="22"/>
      <c r="K145" s="22"/>
      <c r="L145" s="22"/>
      <c r="M145" s="22"/>
      <c r="N145" s="22"/>
      <c r="O145" s="22"/>
      <c r="P145" s="22"/>
      <c r="BN145" s="570"/>
      <c r="BO145" s="570"/>
      <c r="BP145" s="570"/>
      <c r="BQ145" s="570"/>
      <c r="BR145" s="570"/>
      <c r="BS145" s="570"/>
      <c r="BT145" s="570"/>
      <c r="BU145" s="570"/>
      <c r="BV145" s="570"/>
      <c r="BW145" s="570"/>
      <c r="BX145" s="570"/>
    </row>
    <row r="146" spans="3:76" s="150" customFormat="1" x14ac:dyDescent="0.25">
      <c r="C146" s="40"/>
      <c r="D146" s="22"/>
      <c r="E146" s="22"/>
      <c r="F146" s="22"/>
      <c r="G146" s="22"/>
      <c r="H146" s="22"/>
      <c r="I146" s="22"/>
      <c r="J146" s="22"/>
      <c r="K146" s="22"/>
      <c r="L146" s="22"/>
      <c r="M146" s="22"/>
      <c r="N146" s="22"/>
      <c r="O146" s="22"/>
      <c r="P146" s="22"/>
      <c r="BN146" s="570"/>
      <c r="BO146" s="570"/>
      <c r="BP146" s="570"/>
      <c r="BQ146" s="570"/>
      <c r="BR146" s="570"/>
      <c r="BS146" s="570"/>
      <c r="BT146" s="570"/>
      <c r="BU146" s="570"/>
      <c r="BV146" s="570"/>
      <c r="BW146" s="570"/>
      <c r="BX146" s="570"/>
    </row>
    <row r="147" spans="3:76" s="150" customFormat="1" x14ac:dyDescent="0.25">
      <c r="C147" s="40"/>
      <c r="D147" s="22"/>
      <c r="E147" s="22"/>
      <c r="F147" s="22"/>
      <c r="G147" s="22"/>
      <c r="H147" s="22"/>
      <c r="I147" s="22"/>
      <c r="J147" s="22"/>
      <c r="K147" s="22"/>
      <c r="L147" s="22"/>
      <c r="M147" s="22"/>
      <c r="N147" s="22"/>
      <c r="O147" s="22"/>
      <c r="P147" s="22"/>
      <c r="BN147" s="570"/>
      <c r="BO147" s="570"/>
      <c r="BP147" s="570"/>
      <c r="BQ147" s="570"/>
      <c r="BR147" s="570"/>
      <c r="BS147" s="570"/>
      <c r="BT147" s="570"/>
      <c r="BU147" s="570"/>
      <c r="BV147" s="570"/>
      <c r="BW147" s="570"/>
      <c r="BX147" s="570"/>
    </row>
    <row r="148" spans="3:76" s="150" customFormat="1" x14ac:dyDescent="0.25">
      <c r="C148" s="40"/>
      <c r="D148" s="22"/>
      <c r="E148" s="22"/>
      <c r="F148" s="22"/>
      <c r="G148" s="22"/>
      <c r="H148" s="22"/>
      <c r="I148" s="22"/>
      <c r="J148" s="22"/>
      <c r="K148" s="22"/>
      <c r="L148" s="22"/>
      <c r="M148" s="22"/>
      <c r="N148" s="22"/>
      <c r="O148" s="22"/>
      <c r="P148" s="22"/>
      <c r="BN148" s="570"/>
      <c r="BO148" s="570"/>
      <c r="BP148" s="570"/>
      <c r="BQ148" s="570"/>
      <c r="BR148" s="570"/>
      <c r="BS148" s="570"/>
      <c r="BT148" s="570"/>
      <c r="BU148" s="570"/>
      <c r="BV148" s="570"/>
      <c r="BW148" s="570"/>
      <c r="BX148" s="570"/>
    </row>
    <row r="149" spans="3:76" s="150" customFormat="1" x14ac:dyDescent="0.25">
      <c r="C149" s="40"/>
      <c r="D149" s="22"/>
      <c r="E149" s="22"/>
      <c r="F149" s="22"/>
      <c r="G149" s="22"/>
      <c r="H149" s="22"/>
      <c r="I149" s="22"/>
      <c r="J149" s="22"/>
      <c r="K149" s="22"/>
      <c r="L149" s="22"/>
      <c r="M149" s="22"/>
      <c r="N149" s="22"/>
      <c r="O149" s="22"/>
      <c r="P149" s="22"/>
      <c r="BN149" s="570"/>
      <c r="BO149" s="570"/>
      <c r="BP149" s="570"/>
      <c r="BQ149" s="570"/>
      <c r="BR149" s="570"/>
      <c r="BS149" s="570"/>
      <c r="BT149" s="570"/>
      <c r="BU149" s="570"/>
      <c r="BV149" s="570"/>
      <c r="BW149" s="570"/>
      <c r="BX149" s="570"/>
    </row>
    <row r="150" spans="3:76" s="150" customFormat="1" x14ac:dyDescent="0.25">
      <c r="C150" s="40"/>
      <c r="D150" s="22"/>
      <c r="E150" s="22"/>
      <c r="F150" s="22"/>
      <c r="G150" s="22"/>
      <c r="H150" s="22"/>
      <c r="I150" s="22"/>
      <c r="J150" s="22"/>
      <c r="K150" s="22"/>
      <c r="L150" s="22"/>
      <c r="M150" s="22"/>
      <c r="N150" s="22"/>
      <c r="O150" s="22"/>
      <c r="P150" s="22"/>
      <c r="BN150" s="570"/>
      <c r="BO150" s="570"/>
      <c r="BP150" s="570"/>
      <c r="BQ150" s="570"/>
      <c r="BR150" s="570"/>
      <c r="BS150" s="570"/>
      <c r="BT150" s="570"/>
      <c r="BU150" s="570"/>
      <c r="BV150" s="570"/>
      <c r="BW150" s="570"/>
      <c r="BX150" s="570"/>
    </row>
    <row r="151" spans="3:76" s="150" customFormat="1" x14ac:dyDescent="0.25">
      <c r="C151" s="40"/>
      <c r="D151" s="22"/>
      <c r="E151" s="22"/>
      <c r="F151" s="22"/>
      <c r="G151" s="22"/>
      <c r="H151" s="22"/>
      <c r="I151" s="22"/>
      <c r="J151" s="22"/>
      <c r="K151" s="22"/>
      <c r="L151" s="22"/>
      <c r="M151" s="22"/>
      <c r="N151" s="22"/>
      <c r="O151" s="22"/>
      <c r="P151" s="22"/>
      <c r="BN151" s="570"/>
      <c r="BO151" s="570"/>
      <c r="BP151" s="570"/>
      <c r="BQ151" s="570"/>
      <c r="BR151" s="570"/>
      <c r="BS151" s="570"/>
      <c r="BT151" s="570"/>
      <c r="BU151" s="570"/>
      <c r="BV151" s="570"/>
      <c r="BW151" s="570"/>
      <c r="BX151" s="570"/>
    </row>
    <row r="152" spans="3:76" s="150" customFormat="1" x14ac:dyDescent="0.25">
      <c r="C152" s="40"/>
      <c r="D152" s="22"/>
      <c r="E152" s="22"/>
      <c r="F152" s="22"/>
      <c r="G152" s="22"/>
      <c r="H152" s="22"/>
      <c r="I152" s="22"/>
      <c r="J152" s="22"/>
      <c r="K152" s="22"/>
      <c r="L152" s="22"/>
      <c r="M152" s="22"/>
      <c r="N152" s="22"/>
      <c r="O152" s="22"/>
      <c r="P152" s="22"/>
      <c r="BN152" s="570"/>
      <c r="BO152" s="570"/>
      <c r="BP152" s="570"/>
      <c r="BQ152" s="570"/>
      <c r="BR152" s="570"/>
      <c r="BS152" s="570"/>
      <c r="BT152" s="570"/>
      <c r="BU152" s="570"/>
      <c r="BV152" s="570"/>
      <c r="BW152" s="570"/>
      <c r="BX152" s="570"/>
    </row>
    <row r="153" spans="3:76" s="150" customFormat="1" x14ac:dyDescent="0.25">
      <c r="C153" s="40"/>
      <c r="D153" s="22"/>
      <c r="E153" s="22"/>
      <c r="F153" s="22"/>
      <c r="G153" s="22"/>
      <c r="H153" s="22"/>
      <c r="I153" s="22"/>
      <c r="J153" s="22"/>
      <c r="K153" s="22"/>
      <c r="L153" s="22"/>
      <c r="M153" s="22"/>
      <c r="N153" s="22"/>
      <c r="O153" s="22"/>
      <c r="P153" s="22"/>
      <c r="BN153" s="570"/>
      <c r="BO153" s="570"/>
      <c r="BP153" s="570"/>
      <c r="BQ153" s="570"/>
      <c r="BR153" s="570"/>
      <c r="BS153" s="570"/>
      <c r="BT153" s="570"/>
      <c r="BU153" s="570"/>
      <c r="BV153" s="570"/>
      <c r="BW153" s="570"/>
      <c r="BX153" s="570"/>
    </row>
    <row r="154" spans="3:76" s="150" customFormat="1" x14ac:dyDescent="0.25">
      <c r="C154" s="40"/>
      <c r="D154" s="22"/>
      <c r="E154" s="22"/>
      <c r="F154" s="22"/>
      <c r="G154" s="22"/>
      <c r="H154" s="22"/>
      <c r="I154" s="22"/>
      <c r="J154" s="22"/>
      <c r="K154" s="22"/>
      <c r="L154" s="22"/>
      <c r="M154" s="22"/>
      <c r="N154" s="22"/>
      <c r="O154" s="22"/>
      <c r="P154" s="22"/>
      <c r="BN154" s="570"/>
      <c r="BO154" s="570"/>
      <c r="BP154" s="570"/>
      <c r="BQ154" s="570"/>
      <c r="BR154" s="570"/>
      <c r="BS154" s="570"/>
      <c r="BT154" s="570"/>
      <c r="BU154" s="570"/>
      <c r="BV154" s="570"/>
      <c r="BW154" s="570"/>
      <c r="BX154" s="570"/>
    </row>
    <row r="155" spans="3:76" s="150" customFormat="1" x14ac:dyDescent="0.25">
      <c r="C155" s="40"/>
      <c r="D155" s="22"/>
      <c r="E155" s="22"/>
      <c r="F155" s="22"/>
      <c r="G155" s="22"/>
      <c r="H155" s="22"/>
      <c r="I155" s="22"/>
      <c r="J155" s="22"/>
      <c r="K155" s="22"/>
      <c r="L155" s="22"/>
      <c r="M155" s="22"/>
      <c r="N155" s="22"/>
      <c r="O155" s="22"/>
      <c r="P155" s="22"/>
      <c r="BN155" s="570"/>
      <c r="BO155" s="570"/>
      <c r="BP155" s="570"/>
      <c r="BQ155" s="570"/>
      <c r="BR155" s="570"/>
      <c r="BS155" s="570"/>
      <c r="BT155" s="570"/>
      <c r="BU155" s="570"/>
      <c r="BV155" s="570"/>
      <c r="BW155" s="570"/>
      <c r="BX155" s="570"/>
    </row>
    <row r="156" spans="3:76" s="150" customFormat="1" x14ac:dyDescent="0.25">
      <c r="C156" s="40"/>
      <c r="D156" s="22"/>
      <c r="E156" s="22"/>
      <c r="F156" s="22"/>
      <c r="G156" s="22"/>
      <c r="H156" s="22"/>
      <c r="I156" s="22"/>
      <c r="J156" s="22"/>
      <c r="K156" s="22"/>
      <c r="L156" s="22"/>
      <c r="M156" s="22"/>
      <c r="N156" s="22"/>
      <c r="O156" s="22"/>
      <c r="P156" s="22"/>
      <c r="BN156" s="570"/>
      <c r="BO156" s="570"/>
      <c r="BP156" s="570"/>
      <c r="BQ156" s="570"/>
      <c r="BR156" s="570"/>
      <c r="BS156" s="570"/>
      <c r="BT156" s="570"/>
      <c r="BU156" s="570"/>
      <c r="BV156" s="570"/>
      <c r="BW156" s="570"/>
      <c r="BX156" s="570"/>
    </row>
    <row r="157" spans="3:76" s="150" customFormat="1" x14ac:dyDescent="0.25">
      <c r="C157" s="40"/>
      <c r="D157" s="22"/>
      <c r="E157" s="22"/>
      <c r="F157" s="22"/>
      <c r="G157" s="22"/>
      <c r="H157" s="22"/>
      <c r="I157" s="22"/>
      <c r="J157" s="22"/>
      <c r="K157" s="22"/>
      <c r="L157" s="22"/>
      <c r="M157" s="22"/>
      <c r="N157" s="22"/>
      <c r="O157" s="22"/>
      <c r="P157" s="22"/>
      <c r="BN157" s="570"/>
      <c r="BO157" s="570"/>
      <c r="BP157" s="570"/>
      <c r="BQ157" s="570"/>
      <c r="BR157" s="570"/>
      <c r="BS157" s="570"/>
      <c r="BT157" s="570"/>
      <c r="BU157" s="570"/>
      <c r="BV157" s="570"/>
      <c r="BW157" s="570"/>
      <c r="BX157" s="570"/>
    </row>
    <row r="158" spans="3:76" s="150" customFormat="1" x14ac:dyDescent="0.25">
      <c r="C158" s="40"/>
      <c r="D158" s="22"/>
      <c r="E158" s="22"/>
      <c r="F158" s="22"/>
      <c r="G158" s="22"/>
      <c r="H158" s="22"/>
      <c r="I158" s="22"/>
      <c r="J158" s="22"/>
      <c r="K158" s="22"/>
      <c r="L158" s="22"/>
      <c r="M158" s="22"/>
      <c r="N158" s="22"/>
      <c r="O158" s="22"/>
      <c r="P158" s="22"/>
      <c r="BN158" s="570"/>
      <c r="BO158" s="570"/>
      <c r="BP158" s="570"/>
      <c r="BQ158" s="570"/>
      <c r="BR158" s="570"/>
      <c r="BS158" s="570"/>
      <c r="BT158" s="570"/>
      <c r="BU158" s="570"/>
      <c r="BV158" s="570"/>
      <c r="BW158" s="570"/>
      <c r="BX158" s="570"/>
    </row>
    <row r="159" spans="3:76" s="150" customFormat="1" x14ac:dyDescent="0.25">
      <c r="C159" s="40"/>
      <c r="D159" s="22"/>
      <c r="E159" s="22"/>
      <c r="F159" s="22"/>
      <c r="G159" s="22"/>
      <c r="H159" s="22"/>
      <c r="I159" s="22"/>
      <c r="J159" s="22"/>
      <c r="K159" s="22"/>
      <c r="L159" s="22"/>
      <c r="M159" s="22"/>
      <c r="N159" s="22"/>
      <c r="O159" s="22"/>
      <c r="P159" s="22"/>
      <c r="BN159" s="570"/>
      <c r="BO159" s="570"/>
      <c r="BP159" s="570"/>
      <c r="BQ159" s="570"/>
      <c r="BR159" s="570"/>
      <c r="BS159" s="570"/>
      <c r="BT159" s="570"/>
      <c r="BU159" s="570"/>
      <c r="BV159" s="570"/>
      <c r="BW159" s="570"/>
      <c r="BX159" s="570"/>
    </row>
    <row r="160" spans="3:76" s="150" customFormat="1" x14ac:dyDescent="0.25">
      <c r="C160" s="40"/>
      <c r="D160" s="22"/>
      <c r="E160" s="22"/>
      <c r="F160" s="22"/>
      <c r="G160" s="22"/>
      <c r="H160" s="22"/>
      <c r="I160" s="22"/>
      <c r="J160" s="22"/>
      <c r="K160" s="22"/>
      <c r="L160" s="22"/>
      <c r="M160" s="22"/>
      <c r="N160" s="22"/>
      <c r="O160" s="22"/>
      <c r="P160" s="22"/>
      <c r="BN160" s="570"/>
      <c r="BO160" s="570"/>
      <c r="BP160" s="570"/>
      <c r="BQ160" s="570"/>
      <c r="BR160" s="570"/>
      <c r="BS160" s="570"/>
      <c r="BT160" s="570"/>
      <c r="BU160" s="570"/>
      <c r="BV160" s="570"/>
      <c r="BW160" s="570"/>
      <c r="BX160" s="570"/>
    </row>
    <row r="161" spans="3:76" s="150" customFormat="1" x14ac:dyDescent="0.25">
      <c r="C161" s="40"/>
      <c r="D161" s="22"/>
      <c r="E161" s="22"/>
      <c r="F161" s="22"/>
      <c r="G161" s="22"/>
      <c r="H161" s="22"/>
      <c r="I161" s="22"/>
      <c r="J161" s="22"/>
      <c r="K161" s="22"/>
      <c r="L161" s="22"/>
      <c r="M161" s="22"/>
      <c r="N161" s="22"/>
      <c r="O161" s="22"/>
      <c r="P161" s="22"/>
      <c r="BN161" s="570"/>
      <c r="BO161" s="570"/>
      <c r="BP161" s="570"/>
      <c r="BQ161" s="570"/>
      <c r="BR161" s="570"/>
      <c r="BS161" s="570"/>
      <c r="BT161" s="570"/>
      <c r="BU161" s="570"/>
      <c r="BV161" s="570"/>
      <c r="BW161" s="570"/>
      <c r="BX161" s="570"/>
    </row>
    <row r="162" spans="3:76" s="150" customFormat="1" x14ac:dyDescent="0.25">
      <c r="C162" s="40"/>
      <c r="D162" s="22"/>
      <c r="E162" s="22"/>
      <c r="F162" s="22"/>
      <c r="G162" s="22"/>
      <c r="H162" s="22"/>
      <c r="I162" s="22"/>
      <c r="J162" s="22"/>
      <c r="K162" s="22"/>
      <c r="L162" s="22"/>
      <c r="M162" s="22"/>
      <c r="N162" s="22"/>
      <c r="O162" s="22"/>
      <c r="P162" s="22"/>
      <c r="BN162" s="570"/>
      <c r="BO162" s="570"/>
      <c r="BP162" s="570"/>
      <c r="BQ162" s="570"/>
      <c r="BR162" s="570"/>
      <c r="BS162" s="570"/>
      <c r="BT162" s="570"/>
      <c r="BU162" s="570"/>
      <c r="BV162" s="570"/>
      <c r="BW162" s="570"/>
      <c r="BX162" s="570"/>
    </row>
    <row r="163" spans="3:76" s="150" customFormat="1" x14ac:dyDescent="0.25">
      <c r="C163" s="40"/>
      <c r="D163" s="22"/>
      <c r="E163" s="22"/>
      <c r="F163" s="22"/>
      <c r="G163" s="22"/>
      <c r="H163" s="22"/>
      <c r="I163" s="22"/>
      <c r="J163" s="22"/>
      <c r="K163" s="22"/>
      <c r="L163" s="22"/>
      <c r="M163" s="22"/>
      <c r="N163" s="22"/>
      <c r="O163" s="22"/>
      <c r="P163" s="22"/>
      <c r="BN163" s="570"/>
      <c r="BO163" s="570"/>
      <c r="BP163" s="570"/>
      <c r="BQ163" s="570"/>
      <c r="BR163" s="570"/>
      <c r="BS163" s="570"/>
      <c r="BT163" s="570"/>
      <c r="BU163" s="570"/>
      <c r="BV163" s="570"/>
      <c r="BW163" s="570"/>
      <c r="BX163" s="570"/>
    </row>
    <row r="164" spans="3:76" s="150" customFormat="1" x14ac:dyDescent="0.25">
      <c r="C164" s="40"/>
      <c r="D164" s="22"/>
      <c r="E164" s="22"/>
      <c r="F164" s="22"/>
      <c r="G164" s="22"/>
      <c r="H164" s="22"/>
      <c r="I164" s="22"/>
      <c r="J164" s="22"/>
      <c r="K164" s="22"/>
      <c r="L164" s="22"/>
      <c r="M164" s="22"/>
      <c r="N164" s="22"/>
      <c r="O164" s="22"/>
      <c r="P164" s="22"/>
      <c r="BN164" s="570"/>
      <c r="BO164" s="570"/>
      <c r="BP164" s="570"/>
      <c r="BQ164" s="570"/>
      <c r="BR164" s="570"/>
      <c r="BS164" s="570"/>
      <c r="BT164" s="570"/>
      <c r="BU164" s="570"/>
      <c r="BV164" s="570"/>
      <c r="BW164" s="570"/>
      <c r="BX164" s="570"/>
    </row>
  </sheetData>
  <conditionalFormatting sqref="E26:BX29 E38:BX39 E43:BX44 E63:BX64 E48:BX60 E71:BX72 E80:BX80 E19:BX20 E4:BX4 E16:BX16 E11:BX12 E76:BX76">
    <cfRule type="expression" dxfId="319" priority="73">
      <formula>E$4="Actual"</formula>
    </cfRule>
  </conditionalFormatting>
  <conditionalFormatting sqref="I72 AF72 BC72 BP72">
    <cfRule type="expression" dxfId="318" priority="24">
      <formula>I$4="Actual"</formula>
    </cfRule>
  </conditionalFormatting>
  <conditionalFormatting sqref="I76">
    <cfRule type="expression" dxfId="317" priority="23">
      <formula>I$4="Actual"</formula>
    </cfRule>
  </conditionalFormatting>
  <conditionalFormatting sqref="K18:P18">
    <cfRule type="expression" dxfId="316" priority="18">
      <formula>K$3="actual"</formula>
    </cfRule>
  </conditionalFormatting>
  <conditionalFormatting sqref="D80 D19:D20 D43:D44 D38:D39 D26:D29 D4 D11:D12 D63:D64 D48:D60 D76 D71:D72 D16">
    <cfRule type="expression" dxfId="315" priority="5">
      <formula>D$4="Actual"</formula>
    </cfRule>
  </conditionalFormatting>
  <conditionalFormatting sqref="D13:D15">
    <cfRule type="expression" dxfId="314" priority="4">
      <formula>D$4="Actual"</formula>
    </cfRule>
  </conditionalFormatting>
  <conditionalFormatting sqref="E13:BX13">
    <cfRule type="expression" dxfId="313" priority="3">
      <formula>E$4="Actual"</formula>
    </cfRule>
  </conditionalFormatting>
  <conditionalFormatting sqref="E14:BX14">
    <cfRule type="expression" dxfId="312" priority="2">
      <formula>E$4="Actual"</formula>
    </cfRule>
  </conditionalFormatting>
  <conditionalFormatting sqref="E15:BX15">
    <cfRule type="expression" dxfId="311" priority="1">
      <formula>E$4="Actual"</formula>
    </cfRule>
  </conditionalFormatting>
  <printOptions horizontalCentered="1" verticalCentered="1"/>
  <pageMargins left="0.25" right="0.25" top="0.75" bottom="0.75" header="0.3" footer="0.3"/>
  <pageSetup scale="75" fitToWidth="2" fitToHeight="2" orientation="landscape" r:id="rId1"/>
  <headerFooter>
    <oddHeader>&amp;L&amp;"-,Bold"&amp;12CallFire Financial Model&amp;C&amp;"-,Bold"&amp;12&amp;A</oddHeader>
    <oddFooter>&amp;L&amp;8CallFire Confidential&amp;R&amp;8Page &amp;P of  &amp;N</oddFooter>
  </headerFooter>
  <colBreaks count="1" manualBreakCount="1">
    <brk id="31" max="81" man="1"/>
  </col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1">
    <tabColor theme="3" tint="0.39997558519241921"/>
    <pageSetUpPr fitToPage="1"/>
  </sheetPr>
  <dimension ref="A1:BY84"/>
  <sheetViews>
    <sheetView showGridLines="0" zoomScale="80" zoomScaleNormal="80" zoomScaleSheetLayoutView="40" zoomScalePageLayoutView="30" workbookViewId="0">
      <pane xSplit="3" ySplit="3" topLeftCell="AD4" activePane="bottomRight" state="frozen"/>
      <selection activeCell="AD84" sqref="AD84"/>
      <selection pane="topRight" activeCell="AD84" sqref="AD84"/>
      <selection pane="bottomLeft" activeCell="AD84" sqref="AD84"/>
      <selection pane="bottomRight" activeCell="AF52" sqref="A1:AF52"/>
    </sheetView>
  </sheetViews>
  <sheetFormatPr defaultColWidth="9.140625" defaultRowHeight="12.75" outlineLevelRow="1" outlineLevelCol="1" x14ac:dyDescent="0.2"/>
  <cols>
    <col min="1" max="1" width="4.7109375" style="26" customWidth="1"/>
    <col min="2" max="2" width="35.5703125" style="26" customWidth="1"/>
    <col min="3" max="3" width="18.5703125" style="26" customWidth="1"/>
    <col min="4" max="16" width="14.5703125" style="26" hidden="1" customWidth="1" outlineLevel="1"/>
    <col min="17" max="17" width="14.5703125" style="26" hidden="1" customWidth="1" collapsed="1"/>
    <col min="18" max="28" width="14.5703125" style="26" hidden="1" customWidth="1" outlineLevel="1"/>
    <col min="29" max="29" width="14.42578125" style="26" hidden="1" customWidth="1" collapsed="1"/>
    <col min="30" max="35" width="14.42578125" style="26" customWidth="1" outlineLevel="1"/>
    <col min="36" max="36" width="14.140625" style="26" customWidth="1" outlineLevel="1"/>
    <col min="37" max="38" width="14.42578125" style="26" customWidth="1" outlineLevel="1"/>
    <col min="39" max="39" width="14.140625" style="26" customWidth="1" outlineLevel="1"/>
    <col min="40" max="40" width="14.42578125" style="26" customWidth="1" outlineLevel="1"/>
    <col min="41" max="41" width="13.42578125" style="26" bestFit="1" customWidth="1"/>
    <col min="42" max="52" width="13.42578125" style="26" customWidth="1" outlineLevel="1"/>
    <col min="53" max="53" width="13.42578125" style="26" bestFit="1" customWidth="1"/>
    <col min="54" max="54" width="13.42578125" style="26" bestFit="1" customWidth="1" collapsed="1"/>
    <col min="55" max="64" width="13.42578125" style="26" bestFit="1" customWidth="1" outlineLevel="1" collapsed="1"/>
    <col min="65" max="65" width="13.42578125" style="26" bestFit="1" customWidth="1"/>
    <col min="66" max="76" width="12.5703125" style="26" hidden="1" customWidth="1" outlineLevel="1" collapsed="1"/>
    <col min="77" max="77" width="12.5703125" style="26" customWidth="1" collapsed="1"/>
    <col min="78" max="16384" width="9.140625" style="26"/>
  </cols>
  <sheetData>
    <row r="1" spans="1:77" ht="18.75" thickBot="1" x14ac:dyDescent="0.3">
      <c r="A1" s="87" t="str">
        <f>Sensativities!B4</f>
        <v>CallFire</v>
      </c>
      <c r="B1" s="88"/>
      <c r="C1" s="88"/>
    </row>
    <row r="2" spans="1:77" ht="15.75" x14ac:dyDescent="0.25">
      <c r="A2" s="90"/>
      <c r="D2" s="397">
        <v>40513</v>
      </c>
      <c r="E2" s="397">
        <v>40878</v>
      </c>
      <c r="F2" s="397">
        <f>'BS - CF Actuals'!J3</f>
        <v>40909</v>
      </c>
      <c r="G2" s="130">
        <f>'BS - CF Actuals'!K3</f>
        <v>40942</v>
      </c>
      <c r="H2" s="403">
        <f>'BS - CF Actuals'!L3</f>
        <v>40975</v>
      </c>
      <c r="I2" s="130">
        <f>'BS - CF Actuals'!M3</f>
        <v>41008</v>
      </c>
      <c r="J2" s="130">
        <f>'BS - CF Actuals'!N3</f>
        <v>41041</v>
      </c>
      <c r="K2" s="403">
        <f>'BS - CF Actuals'!O3</f>
        <v>41074</v>
      </c>
      <c r="L2" s="397">
        <f>'BS - CF Actuals'!P3</f>
        <v>41107</v>
      </c>
      <c r="M2" s="397">
        <f>'BS - CF Actuals'!Q3</f>
        <v>41140</v>
      </c>
      <c r="N2" s="403">
        <f>'BS - CF Actuals'!R3</f>
        <v>41173</v>
      </c>
      <c r="O2" s="397">
        <f>'BS - CF Actuals'!S3</f>
        <v>41206</v>
      </c>
      <c r="P2" s="397">
        <f>'BS - CF Actuals'!T3</f>
        <v>41239</v>
      </c>
      <c r="Q2" s="403">
        <f>'BS - CF Actuals'!U3</f>
        <v>41272</v>
      </c>
      <c r="R2" s="397">
        <f>'BS - CF Actuals'!V3</f>
        <v>41282</v>
      </c>
      <c r="S2" s="397">
        <f>'BS - CF Actuals'!W3</f>
        <v>41312</v>
      </c>
      <c r="T2" s="403">
        <f>'BS - CF Actuals'!X3</f>
        <v>41342</v>
      </c>
      <c r="U2" s="397">
        <f>'BS - CF Actuals'!Y3</f>
        <v>41372</v>
      </c>
      <c r="V2" s="397">
        <f>'BS - CF Actuals'!Z3</f>
        <v>41402</v>
      </c>
      <c r="W2" s="397">
        <f>'BS - CF Actuals'!AA3</f>
        <v>41432</v>
      </c>
      <c r="X2" s="397">
        <f>'BS - CF Actuals'!AB3</f>
        <v>41462</v>
      </c>
      <c r="Y2" s="397">
        <f>'BS - CF Actuals'!AC3</f>
        <v>41492</v>
      </c>
      <c r="Z2" s="397">
        <f>'BS - CF Actuals'!AD3</f>
        <v>41522</v>
      </c>
      <c r="AA2" s="397">
        <f>'BS - CF Actuals'!AE3</f>
        <v>41552</v>
      </c>
      <c r="AB2" s="397">
        <f>'BS - CF Actuals'!AF3</f>
        <v>41582</v>
      </c>
      <c r="AC2" s="397">
        <f>'BS - CF Actuals'!AG3</f>
        <v>41612</v>
      </c>
      <c r="AD2" s="397">
        <f>'BS - CF Actuals'!AH3</f>
        <v>41642</v>
      </c>
      <c r="AE2" s="397">
        <f>'BS - CF Actuals'!AI3</f>
        <v>41675</v>
      </c>
      <c r="AF2" s="397">
        <f>'BS - CF Actuals'!AJ3</f>
        <v>41708</v>
      </c>
      <c r="AG2" s="397">
        <f>'BS - CF Actuals'!AK3</f>
        <v>41741</v>
      </c>
      <c r="AH2" s="397">
        <f>'BS - CF Actuals'!AL3</f>
        <v>41774</v>
      </c>
      <c r="AI2" s="397">
        <f>'BS - CF Actuals'!AM3</f>
        <v>41807</v>
      </c>
      <c r="AJ2" s="397">
        <f>'BS - CF Actuals'!AN3</f>
        <v>41840</v>
      </c>
      <c r="AK2" s="397">
        <f>'BS - CF Actuals'!AO3</f>
        <v>41873</v>
      </c>
      <c r="AL2" s="397">
        <f>'BS - CF Actuals'!AP3</f>
        <v>41906</v>
      </c>
      <c r="AM2" s="397">
        <f>'BS - CF Actuals'!AQ3</f>
        <v>41939</v>
      </c>
      <c r="AN2" s="397">
        <f>'BS - CF Actuals'!AR3</f>
        <v>41972</v>
      </c>
      <c r="AO2" s="397">
        <f>'BS - CF Actuals'!AS3</f>
        <v>41982</v>
      </c>
      <c r="AP2" s="397">
        <f>'BS - CF Actuals'!AT3</f>
        <v>42012</v>
      </c>
      <c r="AQ2" s="397">
        <f>'BS - CF Actuals'!AU3</f>
        <v>42042</v>
      </c>
      <c r="AR2" s="397">
        <f>'BS - CF Actuals'!AV3</f>
        <v>42072</v>
      </c>
      <c r="AS2" s="397">
        <f>'BS - CF Actuals'!AW3</f>
        <v>42102</v>
      </c>
      <c r="AT2" s="397">
        <f>'BS - CF Actuals'!AX3</f>
        <v>42132</v>
      </c>
      <c r="AU2" s="397">
        <f>'BS - CF Actuals'!AY3</f>
        <v>42162</v>
      </c>
      <c r="AV2" s="397">
        <f>'BS - CF Actuals'!AZ3</f>
        <v>42192</v>
      </c>
      <c r="AW2" s="397">
        <f>'BS - CF Actuals'!BA3</f>
        <v>42222</v>
      </c>
      <c r="AX2" s="397">
        <f>'BS - CF Actuals'!BB3</f>
        <v>42252</v>
      </c>
      <c r="AY2" s="397">
        <f>'BS - CF Actuals'!BC3</f>
        <v>42282</v>
      </c>
      <c r="AZ2" s="397">
        <f>'BS - CF Actuals'!BD3</f>
        <v>42312</v>
      </c>
      <c r="BA2" s="397">
        <f>'BS - CF Actuals'!BE3</f>
        <v>42342</v>
      </c>
      <c r="BB2" s="397">
        <f>'BS - CF Actuals'!BF3</f>
        <v>42372</v>
      </c>
      <c r="BC2" s="397">
        <f>'BS - CF Actuals'!BG3</f>
        <v>42403</v>
      </c>
      <c r="BD2" s="397">
        <f>'BS - CF Actuals'!BH3</f>
        <v>42432</v>
      </c>
      <c r="BE2" s="397">
        <f>'BS - CF Actuals'!BI3</f>
        <v>42463</v>
      </c>
      <c r="BF2" s="397">
        <f>'BS - CF Actuals'!BJ3</f>
        <v>42493</v>
      </c>
      <c r="BG2" s="397">
        <f>'BS - CF Actuals'!BK3</f>
        <v>42524</v>
      </c>
      <c r="BH2" s="397">
        <f>'BS - CF Actuals'!BL3</f>
        <v>42554</v>
      </c>
      <c r="BI2" s="397">
        <f>'BS - CF Actuals'!BM3</f>
        <v>42585</v>
      </c>
      <c r="BJ2" s="397">
        <f>'BS - CF Actuals'!BN3</f>
        <v>42616</v>
      </c>
      <c r="BK2" s="397">
        <f>'BS - CF Actuals'!BO3</f>
        <v>42646</v>
      </c>
      <c r="BL2" s="397">
        <f>'BS - CF Actuals'!BP3</f>
        <v>42677</v>
      </c>
      <c r="BM2" s="397">
        <f>'BS - CF Actuals'!BQ3</f>
        <v>42707</v>
      </c>
      <c r="BN2" s="397">
        <f>'BS - CF Actuals'!BR3</f>
        <v>42738</v>
      </c>
      <c r="BO2" s="397">
        <f>'BS - CF Actuals'!BS3</f>
        <v>42769</v>
      </c>
      <c r="BP2" s="397">
        <f>'BS - CF Actuals'!BT3</f>
        <v>42797</v>
      </c>
      <c r="BQ2" s="397">
        <f>'BS - CF Actuals'!BU3</f>
        <v>42828</v>
      </c>
      <c r="BR2" s="397">
        <f>'BS - CF Actuals'!BV3</f>
        <v>42858</v>
      </c>
      <c r="BS2" s="397">
        <f>'BS - CF Actuals'!BW3</f>
        <v>42889</v>
      </c>
      <c r="BT2" s="397">
        <f>'BS - CF Actuals'!BX3</f>
        <v>42919</v>
      </c>
      <c r="BU2" s="397">
        <f>'BS - CF Actuals'!BY3</f>
        <v>42950</v>
      </c>
      <c r="BV2" s="397">
        <f>'BS - CF Actuals'!BZ3</f>
        <v>42981</v>
      </c>
      <c r="BW2" s="397">
        <f>'BS - CF Actuals'!CA3</f>
        <v>43011</v>
      </c>
      <c r="BX2" s="397">
        <f>'BS - CF Actuals'!CB3</f>
        <v>43042</v>
      </c>
      <c r="BY2" s="397">
        <f>'BS - CF Actuals'!CC3</f>
        <v>43072</v>
      </c>
    </row>
    <row r="3" spans="1:77" ht="15.75" x14ac:dyDescent="0.25">
      <c r="A3" s="92" t="s">
        <v>87</v>
      </c>
      <c r="D3" s="397" t="s">
        <v>5</v>
      </c>
      <c r="E3" s="397" t="s">
        <v>5</v>
      </c>
      <c r="F3" s="397" t="str">
        <f>'BS - CF Actuals'!J4</f>
        <v>Actual</v>
      </c>
      <c r="G3" s="130" t="str">
        <f>'BS - CF Actuals'!K4</f>
        <v>Actual</v>
      </c>
      <c r="H3" s="397" t="str">
        <f>'BS - CF Actuals'!L4</f>
        <v>Actual</v>
      </c>
      <c r="I3" s="130" t="str">
        <f>'BS - CF Actuals'!M4</f>
        <v>Actual</v>
      </c>
      <c r="J3" s="130" t="str">
        <f>'BS - CF Actuals'!N4</f>
        <v>Actual</v>
      </c>
      <c r="K3" s="397" t="str">
        <f>'BS - CF Actuals'!O4</f>
        <v>Actual</v>
      </c>
      <c r="L3" s="397" t="str">
        <f>'BS - CF Actuals'!P4</f>
        <v>Actual</v>
      </c>
      <c r="M3" s="397" t="str">
        <f>'BS - CF Actuals'!Q4</f>
        <v>Actual</v>
      </c>
      <c r="N3" s="397" t="str">
        <f>'BS - CF Actuals'!R4</f>
        <v>Actual</v>
      </c>
      <c r="O3" s="397" t="str">
        <f>'BS - CF Actuals'!S4</f>
        <v>Actual</v>
      </c>
      <c r="P3" s="397" t="str">
        <f>'BS - CF Actuals'!T4</f>
        <v>Actual</v>
      </c>
      <c r="Q3" s="397" t="str">
        <f>'BS - CF Actuals'!U4</f>
        <v>Actual</v>
      </c>
      <c r="R3" s="397" t="str">
        <f>'BS - CF Actuals'!V4</f>
        <v>Actual</v>
      </c>
      <c r="S3" s="397" t="str">
        <f>'BS - CF Actuals'!W4</f>
        <v>Actual</v>
      </c>
      <c r="T3" s="397" t="str">
        <f>'BS - CF Actuals'!X4</f>
        <v>Actual</v>
      </c>
      <c r="U3" s="397" t="str">
        <f>'BS - CF Actuals'!Y4</f>
        <v>Actual</v>
      </c>
      <c r="V3" s="397" t="str">
        <f>'BS - CF Actuals'!Z4</f>
        <v>Actual</v>
      </c>
      <c r="W3" s="397" t="str">
        <f>'BS - CF Actuals'!AA4</f>
        <v>Actual</v>
      </c>
      <c r="X3" s="397" t="str">
        <f>'BS - CF Actuals'!AB4</f>
        <v>Actual</v>
      </c>
      <c r="Y3" s="397" t="str">
        <f>'BS - CF Actuals'!AC4</f>
        <v>Actual</v>
      </c>
      <c r="Z3" s="397" t="str">
        <f>'BS - CF Actuals'!AD4</f>
        <v>Actual</v>
      </c>
      <c r="AA3" s="397" t="str">
        <f>'BS - CF Actuals'!AE4</f>
        <v>Actual</v>
      </c>
      <c r="AB3" s="130" t="str">
        <f>'BS - CF Actuals'!AF4</f>
        <v>Actual</v>
      </c>
      <c r="AC3" s="130" t="str">
        <f>'BS - CF Actuals'!AG4</f>
        <v>Actual</v>
      </c>
      <c r="AD3" s="130" t="str">
        <f>'BS - CF Actuals'!AH4</f>
        <v>Actual</v>
      </c>
      <c r="AE3" s="130" t="str">
        <f>'BS - CF Actuals'!AI4</f>
        <v>Actual</v>
      </c>
      <c r="AF3" s="130" t="str">
        <f>'BS - CF Actuals'!AJ4</f>
        <v>Actual</v>
      </c>
      <c r="AG3" s="130" t="str">
        <f>'BS - CF Actuals'!AK4</f>
        <v>Forecast</v>
      </c>
      <c r="AH3" s="130" t="str">
        <f>'BS - CF Actuals'!AL4</f>
        <v>Forecast</v>
      </c>
      <c r="AI3" s="130" t="str">
        <f>'BS - CF Actuals'!AM4</f>
        <v>Forecast</v>
      </c>
      <c r="AJ3" s="130" t="str">
        <f>'BS - CF Actuals'!AN4</f>
        <v>Forecast</v>
      </c>
      <c r="AK3" s="130" t="str">
        <f>'BS - CF Actuals'!AO4</f>
        <v>Forecast</v>
      </c>
      <c r="AL3" s="130" t="str">
        <f>'BS - CF Actuals'!AP4</f>
        <v>Forecast</v>
      </c>
      <c r="AM3" s="130" t="str">
        <f>'BS - CF Actuals'!AQ4</f>
        <v>Forecast</v>
      </c>
      <c r="AN3" s="130" t="str">
        <f>'BS - CF Actuals'!AR4</f>
        <v>Forecast</v>
      </c>
      <c r="AO3" s="130" t="str">
        <f>'BS - CF Actuals'!AS4</f>
        <v>Forecast</v>
      </c>
      <c r="AP3" s="130" t="str">
        <f>'BS - CF Actuals'!AT4</f>
        <v>Forecast</v>
      </c>
      <c r="AQ3" s="130" t="str">
        <f>'BS - CF Actuals'!AU4</f>
        <v>Forecast</v>
      </c>
      <c r="AR3" s="130" t="str">
        <f>'BS - CF Actuals'!AV4</f>
        <v>Forecast</v>
      </c>
      <c r="AS3" s="130" t="str">
        <f>'BS - CF Actuals'!AW4</f>
        <v>Forecast</v>
      </c>
      <c r="AT3" s="130" t="str">
        <f>'BS - CF Actuals'!AX4</f>
        <v>Forecast</v>
      </c>
      <c r="AU3" s="130" t="str">
        <f>'BS - CF Actuals'!AY4</f>
        <v>Forecast</v>
      </c>
      <c r="AV3" s="130" t="str">
        <f>'BS - CF Actuals'!AZ4</f>
        <v>Forecast</v>
      </c>
      <c r="AW3" s="130" t="str">
        <f>'BS - CF Actuals'!BA4</f>
        <v>Forecast</v>
      </c>
      <c r="AX3" s="130" t="str">
        <f>'BS - CF Actuals'!BB4</f>
        <v>Forecast</v>
      </c>
      <c r="AY3" s="130" t="str">
        <f>'BS - CF Actuals'!BC4</f>
        <v>Forecast</v>
      </c>
      <c r="AZ3" s="130" t="str">
        <f>'BS - CF Actuals'!BD4</f>
        <v>Forecast</v>
      </c>
      <c r="BA3" s="130" t="str">
        <f>'BS - CF Actuals'!BE4</f>
        <v>Forecast</v>
      </c>
      <c r="BB3" s="130" t="str">
        <f>'BS - CF Actuals'!BF4</f>
        <v>Forecast</v>
      </c>
      <c r="BC3" s="130" t="str">
        <f>'BS - CF Actuals'!BG4</f>
        <v>Forecast</v>
      </c>
      <c r="BD3" s="130" t="str">
        <f>'BS - CF Actuals'!BH4</f>
        <v>Forecast</v>
      </c>
      <c r="BE3" s="130" t="str">
        <f>'BS - CF Actuals'!BI4</f>
        <v>Forecast</v>
      </c>
      <c r="BF3" s="130" t="str">
        <f>'BS - CF Actuals'!BJ4</f>
        <v>Forecast</v>
      </c>
      <c r="BG3" s="130" t="str">
        <f>'BS - CF Actuals'!BK4</f>
        <v>Forecast</v>
      </c>
      <c r="BH3" s="130" t="str">
        <f>'BS - CF Actuals'!BL4</f>
        <v>Forecast</v>
      </c>
      <c r="BI3" s="130" t="str">
        <f>'BS - CF Actuals'!BM4</f>
        <v>Forecast</v>
      </c>
      <c r="BJ3" s="130" t="str">
        <f>'BS - CF Actuals'!BN4</f>
        <v>Forecast</v>
      </c>
      <c r="BK3" s="130" t="str">
        <f>'BS - CF Actuals'!BO4</f>
        <v>Forecast</v>
      </c>
      <c r="BL3" s="130" t="str">
        <f>'BS - CF Actuals'!BP4</f>
        <v>Forecast</v>
      </c>
      <c r="BM3" s="130" t="str">
        <f>'BS - CF Actuals'!BQ4</f>
        <v>Forecast</v>
      </c>
      <c r="BN3" s="130" t="str">
        <f>'BS - CF Actuals'!BR4</f>
        <v>Forecast</v>
      </c>
      <c r="BO3" s="130" t="str">
        <f>'BS - CF Actuals'!BS4</f>
        <v>Forecast</v>
      </c>
      <c r="BP3" s="130" t="str">
        <f>'BS - CF Actuals'!BT4</f>
        <v>Forecast</v>
      </c>
      <c r="BQ3" s="130" t="str">
        <f>'BS - CF Actuals'!BU4</f>
        <v>Forecast</v>
      </c>
      <c r="BR3" s="130" t="str">
        <f>'BS - CF Actuals'!BV4</f>
        <v>Forecast</v>
      </c>
      <c r="BS3" s="130" t="str">
        <f>'BS - CF Actuals'!BW4</f>
        <v>Forecast</v>
      </c>
      <c r="BT3" s="130" t="str">
        <f>'BS - CF Actuals'!BX4</f>
        <v>Forecast</v>
      </c>
      <c r="BU3" s="130" t="str">
        <f>'BS - CF Actuals'!BY4</f>
        <v>Forecast</v>
      </c>
      <c r="BV3" s="130" t="str">
        <f>'BS - CF Actuals'!BZ4</f>
        <v>Forecast</v>
      </c>
      <c r="BW3" s="130" t="str">
        <f>'BS - CF Actuals'!CA4</f>
        <v>Forecast</v>
      </c>
      <c r="BX3" s="130" t="str">
        <f>'BS - CF Actuals'!CB4</f>
        <v>Forecast</v>
      </c>
      <c r="BY3" s="130" t="str">
        <f>'BS - CF Actuals'!CC4</f>
        <v>Forecast</v>
      </c>
    </row>
    <row r="4" spans="1:77" x14ac:dyDescent="0.2">
      <c r="D4" s="96"/>
      <c r="E4" s="96"/>
      <c r="F4" s="96"/>
      <c r="H4" s="96"/>
      <c r="K4" s="96"/>
      <c r="L4" s="96"/>
      <c r="M4" s="96"/>
      <c r="N4" s="96"/>
      <c r="O4" s="96"/>
      <c r="P4" s="96"/>
      <c r="Q4" s="96"/>
      <c r="R4" s="96"/>
      <c r="S4" s="96"/>
      <c r="T4" s="96"/>
      <c r="U4" s="96"/>
      <c r="V4" s="96"/>
      <c r="W4" s="96"/>
      <c r="X4" s="96"/>
      <c r="Y4" s="96"/>
      <c r="Z4" s="96"/>
      <c r="AA4" s="96"/>
    </row>
    <row r="5" spans="1:77" ht="15" x14ac:dyDescent="0.25">
      <c r="D5" s="156"/>
      <c r="E5" s="156"/>
      <c r="F5" s="156"/>
      <c r="G5" s="16"/>
      <c r="H5" s="156"/>
      <c r="I5" s="16"/>
      <c r="J5" s="16"/>
      <c r="K5" s="156"/>
      <c r="L5" s="156"/>
      <c r="M5" s="156"/>
      <c r="N5" s="156"/>
      <c r="O5" s="418"/>
      <c r="P5" s="156"/>
      <c r="Q5" s="156"/>
      <c r="R5" s="156"/>
      <c r="S5" s="156"/>
      <c r="T5" s="156"/>
      <c r="U5" s="156"/>
      <c r="V5" s="156"/>
      <c r="W5" s="156"/>
      <c r="X5" s="156"/>
      <c r="Y5" s="768">
        <f>AVERAGE(Y9:AA9)</f>
        <v>169519.14333333334</v>
      </c>
      <c r="Z5" s="156">
        <v>1498547.1966666665</v>
      </c>
      <c r="AA5" s="769">
        <f>Y5/Z5</f>
        <v>0.11312232521632136</v>
      </c>
      <c r="AB5" s="16"/>
      <c r="AC5" s="133"/>
      <c r="AD5" s="304"/>
      <c r="AE5" s="304"/>
      <c r="AF5" s="304"/>
      <c r="AG5" s="304"/>
      <c r="AH5" s="304"/>
      <c r="AI5" s="304"/>
      <c r="AJ5" s="304"/>
      <c r="AK5" s="304"/>
      <c r="AL5" s="304"/>
      <c r="AM5" s="304"/>
      <c r="AN5" s="304"/>
      <c r="AO5" s="304"/>
    </row>
    <row r="6" spans="1:77" x14ac:dyDescent="0.2">
      <c r="A6" s="94" t="s">
        <v>88</v>
      </c>
      <c r="B6" s="95"/>
      <c r="C6" s="96"/>
      <c r="D6" s="97"/>
      <c r="E6" s="97"/>
      <c r="F6" s="97"/>
      <c r="G6" s="97"/>
      <c r="H6" s="97"/>
      <c r="I6" s="97"/>
      <c r="J6" s="97"/>
      <c r="K6" s="97"/>
      <c r="L6" s="97"/>
      <c r="M6" s="97"/>
      <c r="N6" s="236"/>
      <c r="O6" s="419"/>
      <c r="P6" s="97"/>
      <c r="Q6" s="97"/>
      <c r="R6" s="97"/>
      <c r="S6" s="97"/>
      <c r="T6" s="97"/>
      <c r="U6" s="97"/>
      <c r="V6" s="97"/>
      <c r="W6" s="97"/>
      <c r="X6" s="97"/>
      <c r="Y6" s="97"/>
      <c r="Z6" s="97"/>
      <c r="AA6" s="97"/>
      <c r="AB6" s="97"/>
      <c r="AC6" s="97"/>
      <c r="AD6" s="97"/>
      <c r="AE6" s="97"/>
      <c r="AF6" s="97"/>
      <c r="AG6" s="97"/>
      <c r="AH6" s="97"/>
      <c r="AI6" s="97"/>
      <c r="AJ6" s="97"/>
      <c r="AK6" s="97"/>
      <c r="AL6" s="97"/>
      <c r="AM6" s="97"/>
      <c r="AN6" s="97"/>
      <c r="AO6" s="97"/>
      <c r="AP6" s="97"/>
      <c r="AQ6" s="97"/>
      <c r="AR6" s="97"/>
      <c r="AS6" s="97"/>
      <c r="AT6" s="97"/>
      <c r="AU6" s="97"/>
      <c r="AV6" s="97"/>
      <c r="AW6" s="97"/>
      <c r="AX6" s="97"/>
      <c r="AY6" s="97"/>
      <c r="AZ6" s="97"/>
      <c r="BA6" s="97"/>
      <c r="BB6" s="97"/>
      <c r="BC6" s="97"/>
      <c r="BD6" s="97"/>
      <c r="BE6" s="97"/>
      <c r="BF6" s="97"/>
      <c r="BG6" s="97"/>
      <c r="BH6" s="97"/>
      <c r="BI6" s="97"/>
      <c r="BJ6" s="97"/>
      <c r="BK6" s="97"/>
      <c r="BL6" s="97"/>
      <c r="BM6" s="97"/>
      <c r="BN6" s="97"/>
      <c r="BO6" s="97"/>
      <c r="BP6" s="97"/>
      <c r="BQ6" s="97"/>
      <c r="BR6" s="97"/>
      <c r="BS6" s="97"/>
      <c r="BT6" s="97"/>
      <c r="BU6" s="97"/>
      <c r="BV6" s="97"/>
      <c r="BW6" s="97"/>
      <c r="BX6" s="97"/>
      <c r="BY6" s="97"/>
    </row>
    <row r="7" spans="1:77" x14ac:dyDescent="0.2">
      <c r="A7" s="98" t="s">
        <v>89</v>
      </c>
      <c r="B7" s="96"/>
      <c r="C7" s="96"/>
      <c r="D7" s="99"/>
      <c r="E7" s="99"/>
      <c r="F7" s="99"/>
      <c r="G7" s="399"/>
      <c r="H7" s="399"/>
      <c r="I7" s="399"/>
      <c r="J7" s="399"/>
      <c r="K7" s="399"/>
      <c r="L7" s="99"/>
      <c r="M7" s="99"/>
      <c r="N7" s="399"/>
      <c r="O7" s="399"/>
      <c r="P7" s="399"/>
      <c r="Q7" s="399"/>
      <c r="R7" s="399"/>
      <c r="S7" s="399"/>
      <c r="T7" s="399"/>
      <c r="U7" s="399"/>
      <c r="V7" s="399"/>
      <c r="W7" s="399"/>
      <c r="X7" s="399"/>
      <c r="Y7" s="399"/>
      <c r="Z7" s="399"/>
      <c r="AA7" s="399"/>
      <c r="AB7" s="399"/>
      <c r="AC7" s="399"/>
      <c r="AD7" s="399"/>
      <c r="AE7" s="399"/>
      <c r="AF7" s="399"/>
      <c r="AG7" s="399"/>
      <c r="AH7" s="399"/>
      <c r="AI7" s="399"/>
      <c r="AJ7" s="399"/>
      <c r="AK7" s="399"/>
      <c r="AL7" s="399"/>
      <c r="AM7" s="399"/>
      <c r="AN7" s="399"/>
      <c r="AO7" s="399"/>
    </row>
    <row r="8" spans="1:77" x14ac:dyDescent="0.2">
      <c r="B8" s="26" t="s">
        <v>90</v>
      </c>
      <c r="D8" s="239">
        <f>IF(D3="forecast",'CF - Monthly'!C42,'BS - CF Actuals'!H18)</f>
        <v>3594930.3999999994</v>
      </c>
      <c r="E8" s="239">
        <f>IF(E3="forecast",'CF - Monthly'!D42,'BS - CF Actuals'!I18)</f>
        <v>4672646.8099999996</v>
      </c>
      <c r="F8" s="239">
        <f>IF(F3="forecast",'CF - Monthly'!E42,'BS - CF Actuals'!J18)</f>
        <v>1572588.96</v>
      </c>
      <c r="G8" s="239">
        <f>IF(G3="forecast",'CF - Monthly'!F42,'BS - CF Actuals'!K18)</f>
        <v>1390004.54</v>
      </c>
      <c r="H8" s="239">
        <f>IF(H3="forecast",'CF - Monthly'!G42,'BS - CF Actuals'!L18)</f>
        <v>1562923.57</v>
      </c>
      <c r="I8" s="239">
        <f>IF(I3="forecast",'CF - Monthly'!H42,'BS - CF Actuals'!M18)</f>
        <v>1655539.08</v>
      </c>
      <c r="J8" s="239">
        <f>IF(J3="forecast",'CF - Monthly'!I42,'BS - CF Actuals'!N18)</f>
        <v>2522633.6199999996</v>
      </c>
      <c r="K8" s="239">
        <f>IF(K3="forecast",'CF - Monthly'!J42,'BS - CF Actuals'!O18)</f>
        <v>2439482.09</v>
      </c>
      <c r="L8" s="239">
        <f>IF(L3="forecast",'CF - Monthly'!K42,'BS - CF Actuals'!P18)</f>
        <v>2672024.4699999997</v>
      </c>
      <c r="M8" s="239">
        <f>IF(M3="forecast",'CF - Monthly'!L42,'BS - CF Actuals'!Q18)</f>
        <v>2738927.5500000003</v>
      </c>
      <c r="N8" s="239">
        <f>IF(N3="forecast",'CF - Monthly'!M42,'BS - CF Actuals'!R18)</f>
        <v>2469471.3199999998</v>
      </c>
      <c r="O8" s="239">
        <f>IF(O3="forecast",'CF - Monthly'!N42,'BS - CF Actuals'!S18)</f>
        <v>2267774.33</v>
      </c>
      <c r="P8" s="239">
        <f>IF(P3="forecast",'CF - Monthly'!O42,'BS - CF Actuals'!T18)</f>
        <v>1614256.28</v>
      </c>
      <c r="Q8" s="239">
        <f>IF(Q3="forecast",'CF - Monthly'!P42,'BS - CF Actuals'!U18)</f>
        <v>5762942.2999999998</v>
      </c>
      <c r="R8" s="239">
        <f>IF(R3="forecast",'CF - Monthly'!Q42,'BS - CF Actuals'!V18+'BS - CF Actuals'!V30)</f>
        <v>5602920.8500000006</v>
      </c>
      <c r="S8" s="239">
        <f>IF(S3="forecast",'CF - Monthly'!R42,'BS - CF Actuals'!W18+'BS - CF Actuals'!W30)</f>
        <v>5625526.0999999996</v>
      </c>
      <c r="T8" s="239">
        <f>IF(T3="forecast",'CF - Monthly'!S42,'BS - CF Actuals'!X18+'BS - CF Actuals'!X30)</f>
        <v>6700298.6899999995</v>
      </c>
      <c r="U8" s="239">
        <f>IF(U3="forecast",'CF - Monthly'!T42,'BS - CF Actuals'!Y18+'BS - CF Actuals'!Y30)</f>
        <v>6699346.2999999998</v>
      </c>
      <c r="V8" s="239">
        <f>IF(V3="forecast",'CF - Monthly'!U42,'BS - CF Actuals'!Z18+'BS - CF Actuals'!Z30)</f>
        <v>6564170.8399999999</v>
      </c>
      <c r="W8" s="239">
        <f>IF(W3="forecast",'CF - Monthly'!V42,'BS - CF Actuals'!AA18+'BS - CF Actuals'!AA30)</f>
        <v>6551019.1999999993</v>
      </c>
      <c r="X8" s="239">
        <f>IF(X3="forecast",'CF - Monthly'!W42,'BS - CF Actuals'!AB18+'BS - CF Actuals'!AB30)</f>
        <v>6029409.4299999997</v>
      </c>
      <c r="Y8" s="239">
        <f>IF(Y3="forecast",'CF - Monthly'!X42,'BS - CF Actuals'!AC18+'BS - CF Actuals'!AC30)</f>
        <v>5145176.43</v>
      </c>
      <c r="Z8" s="239">
        <f>IF(Z3="forecast",'CF - Monthly'!Y42,'BS - CF Actuals'!AD18+'BS - CF Actuals'!AD30)</f>
        <v>5413089.0899999999</v>
      </c>
      <c r="AA8" s="239">
        <f>IF(AA3="forecast",'CF - Monthly'!Z42,'BS - CF Actuals'!AE18+'BS - CF Actuals'!AE30)</f>
        <v>4842332.95</v>
      </c>
      <c r="AB8" s="239">
        <f>IF(AB3="forecast",'CF - Monthly'!AA42,'BS - CF Actuals'!AF18+'BS - CF Actuals'!AF30)</f>
        <v>4411224.8999999994</v>
      </c>
      <c r="AC8" s="239">
        <f>IF(AC3="forecast",'CF - Monthly'!AB42,'BS - CF Actuals'!AG18+'BS - CF Actuals'!AG30)</f>
        <v>3801829.25</v>
      </c>
      <c r="AD8" s="239">
        <f>IF(AD3="forecast",'CF - Monthly'!AC42,'BS - CF Actuals'!AH18+'BS - CF Actuals'!AH30)</f>
        <v>3279300.4899999998</v>
      </c>
      <c r="AE8" s="239">
        <f>IF(AE3="forecast",'CF - Monthly'!AD42,'BS - CF Actuals'!AI18+'BS - CF Actuals'!AI30)</f>
        <v>3205559.74</v>
      </c>
      <c r="AF8" s="239">
        <f>IF(AF3="forecast",'CF - Monthly'!AE42,'BS - CF Actuals'!AJ18+'BS - CF Actuals'!AJ30)</f>
        <v>3401813.99</v>
      </c>
      <c r="AG8" s="239">
        <f ca="1">IF(AG3="forecast",'CF - Monthly'!AF42,'BS - CF Actuals'!AK18+'BS - CF Actuals'!AK30)</f>
        <v>3483826.6259020367</v>
      </c>
      <c r="AH8" s="239">
        <f ca="1">IF(AH3="forecast",'CF - Monthly'!AG42,'BS - CF Actuals'!AL18+'BS - CF Actuals'!AL30)</f>
        <v>2968879.1229190915</v>
      </c>
      <c r="AI8" s="239">
        <f ca="1">IF(AI3="forecast",'CF - Monthly'!AH42,'BS - CF Actuals'!AM18+'BS - CF Actuals'!AM30)</f>
        <v>2508424.2691714419</v>
      </c>
      <c r="AJ8" s="239">
        <f ca="1">IF(AJ3="forecast",'CF - Monthly'!AI42,'BS - CF Actuals'!AN18+'BS - CF Actuals'!AN30)</f>
        <v>1929585.433138005</v>
      </c>
      <c r="AK8" s="239">
        <f ca="1">IF(AK3="forecast",'CF - Monthly'!AJ42,'BS - CF Actuals'!AO18+'BS - CF Actuals'!AO30)</f>
        <v>1685537.0787915494</v>
      </c>
      <c r="AL8" s="239">
        <f ca="1">IF(AL3="forecast",'CF - Monthly'!AK42,'BS - CF Actuals'!AP18+'BS - CF Actuals'!AP30)</f>
        <v>1771441.0418700925</v>
      </c>
      <c r="AM8" s="239">
        <f ca="1">IF(AM3="forecast",'CF - Monthly'!AL42,'BS - CF Actuals'!AQ18+'BS - CF Actuals'!AQ30)</f>
        <v>1808724.1264960591</v>
      </c>
      <c r="AN8" s="239">
        <f ca="1">IF(AN3="forecast",'CF - Monthly'!AM42,'BS - CF Actuals'!AR18+'BS - CF Actuals'!AR30)</f>
        <v>1890644.3705891606</v>
      </c>
      <c r="AO8" s="239">
        <f ca="1">IF(AO3="forecast",'CF - Monthly'!AN42,'BS - CF Actuals'!AS18+'BS - CF Actuals'!AS30)</f>
        <v>2047379.2653167362</v>
      </c>
      <c r="AP8" s="239">
        <f ca="1">IF(AP3="forecast",'CF - Monthly'!AO42,'BS - CF Actuals'!AT18+'BS - CF Actuals'!AT30)</f>
        <v>-3349446.18512615</v>
      </c>
      <c r="AQ8" s="239">
        <f ca="1">IF(AQ3="forecast",'CF - Monthly'!AP42,'BS - CF Actuals'!AU18+'BS - CF Actuals'!AU30)</f>
        <v>-3282852.4424247509</v>
      </c>
      <c r="AR8" s="239">
        <f ca="1">IF(AR3="forecast",'CF - Monthly'!AQ42,'BS - CF Actuals'!AV18+'BS - CF Actuals'!AV30)</f>
        <v>-1963278.9588934756</v>
      </c>
      <c r="AS8" s="239">
        <f ca="1">IF(AS3="forecast",'CF - Monthly'!AR42,'BS - CF Actuals'!AW18+'BS - CF Actuals'!AW30)</f>
        <v>-527252.59531504544</v>
      </c>
      <c r="AT8" s="239">
        <f ca="1">IF(AT3="forecast",'CF - Monthly'!AS42,'BS - CF Actuals'!AX18+'BS - CF Actuals'!AX30)</f>
        <v>1022557.2273382463</v>
      </c>
      <c r="AU8" s="239">
        <f ca="1">IF(AU3="forecast",'CF - Monthly'!AT42,'BS - CF Actuals'!AY18+'BS - CF Actuals'!AY30)</f>
        <v>2685299.3887383845</v>
      </c>
      <c r="AV8" s="239">
        <f ca="1">IF(AV3="forecast",'CF - Monthly'!AU42,'BS - CF Actuals'!AZ18+'BS - CF Actuals'!AZ30)</f>
        <v>4461171.4281833712</v>
      </c>
      <c r="AW8" s="239">
        <f ca="1">IF(AW3="forecast",'CF - Monthly'!AV42,'BS - CF Actuals'!BA18+'BS - CF Actuals'!BA30)</f>
        <v>6351854.0467417287</v>
      </c>
      <c r="AX8" s="239">
        <f ca="1">IF(AX3="forecast",'CF - Monthly'!AW42,'BS - CF Actuals'!BB18+'BS - CF Actuals'!BB30)</f>
        <v>8358482.008868264</v>
      </c>
      <c r="AY8" s="239">
        <f ca="1">IF(AY3="forecast",'CF - Monthly'!AX42,'BS - CF Actuals'!BC18+'BS - CF Actuals'!BC30)</f>
        <v>10472867.479808627</v>
      </c>
      <c r="AZ8" s="239">
        <f ca="1">IF(AZ3="forecast",'CF - Monthly'!AY42,'BS - CF Actuals'!BD18+'BS - CF Actuals'!BD30)</f>
        <v>12700257.185068276</v>
      </c>
      <c r="BA8" s="239">
        <f ca="1">IF(BA3="forecast",'CF - Monthly'!AZ42,'BS - CF Actuals'!BE18+'BS - CF Actuals'!BE30)</f>
        <v>15036233.581753073</v>
      </c>
      <c r="BB8" s="239">
        <f ca="1">IF(BB3="forecast",'CF - Monthly'!BA42,'BS - CF Actuals'!BF18+'BS - CF Actuals'!BF30)</f>
        <v>13363681.803941265</v>
      </c>
      <c r="BC8" s="239">
        <f ca="1">IF(BC3="forecast",'CF - Monthly'!BB42,'BS - CF Actuals'!BG18+'BS - CF Actuals'!BG30)</f>
        <v>11539631.797386486</v>
      </c>
      <c r="BD8" s="239">
        <f ca="1">IF(BD3="forecast",'CF - Monthly'!BC42,'BS - CF Actuals'!BH18+'BS - CF Actuals'!BH30)</f>
        <v>9646324.7439189758</v>
      </c>
      <c r="BE8" s="239">
        <f ca="1">IF(BE3="forecast",'CF - Monthly'!BD42,'BS - CF Actuals'!BI18+'BS - CF Actuals'!BI30)</f>
        <v>7769438.5843118103</v>
      </c>
      <c r="BF8" s="239">
        <f ca="1">IF(BF3="forecast",'CF - Monthly'!BE42,'BS - CF Actuals'!BJ18+'BS - CF Actuals'!BJ30)</f>
        <v>5885279.2236629445</v>
      </c>
      <c r="BG8" s="239">
        <f ca="1">IF(BG3="forecast",'CF - Monthly'!BF42,'BS - CF Actuals'!BK18+'BS - CF Actuals'!BK30)</f>
        <v>3994844.2928157598</v>
      </c>
      <c r="BH8" s="239">
        <f ca="1">IF(BH3="forecast",'CF - Monthly'!BG42,'BS - CF Actuals'!BL18+'BS - CF Actuals'!BL30)</f>
        <v>2096944.6302870275</v>
      </c>
      <c r="BI8" s="239">
        <f ca="1">IF(BI3="forecast",'CF - Monthly'!BH42,'BS - CF Actuals'!BM18+'BS - CF Actuals'!BM30)</f>
        <v>192559.38264332875</v>
      </c>
      <c r="BJ8" s="239">
        <f ca="1">IF(BJ3="forecast",'CF - Monthly'!BI42,'BS - CF Actuals'!BN18+'BS - CF Actuals'!BN30)</f>
        <v>-1719483.0259515771</v>
      </c>
      <c r="BK8" s="239">
        <f ca="1">IF(BK3="forecast",'CF - Monthly'!BJ42,'BS - CF Actuals'!BO18+'BS - CF Actuals'!BO30)</f>
        <v>-3638212.3928307956</v>
      </c>
      <c r="BL8" s="239">
        <f ca="1">IF(BL3="forecast",'CF - Monthly'!BK42,'BS - CF Actuals'!BP18+'BS - CF Actuals'!BP30)</f>
        <v>-5564796.7377337608</v>
      </c>
      <c r="BM8" s="239">
        <f ca="1">IF(BM3="forecast",'CF - Monthly'!BL42,'BS - CF Actuals'!BQ18+'BS - CF Actuals'!BQ30)</f>
        <v>-7502736.4050297597</v>
      </c>
      <c r="BN8" s="239">
        <f ca="1">IF(BN3="forecast",'CF - Monthly'!BM42,'BS - CF Actuals'!BR18+'BS - CF Actuals'!BR30)</f>
        <v>-9119728.1680496894</v>
      </c>
      <c r="BO8" s="239">
        <f ca="1">IF(BO3="forecast",'CF - Monthly'!BN42,'BS - CF Actuals'!BS18+'BS - CF Actuals'!BS30)</f>
        <v>-10694657.759152435</v>
      </c>
      <c r="BP8" s="239">
        <f ca="1">IF(BP3="forecast",'CF - Monthly'!BO42,'BS - CF Actuals'!BT18+'BS - CF Actuals'!BT30)</f>
        <v>-12279595.655153709</v>
      </c>
      <c r="BQ8" s="239">
        <f ca="1">IF(BQ3="forecast",'CF - Monthly'!BP42,'BS - CF Actuals'!BU18+'BS - CF Actuals'!BU30)</f>
        <v>-13871874.051413313</v>
      </c>
      <c r="BR8" s="239">
        <f ca="1">IF(BR3="forecast",'CF - Monthly'!BQ42,'BS - CF Actuals'!BV18+'BS - CF Actuals'!BV30)</f>
        <v>-15472669.388458235</v>
      </c>
      <c r="BS8" s="239">
        <f ca="1">IF(BS3="forecast",'CF - Monthly'!BR42,'BS - CF Actuals'!BW18+'BS - CF Actuals'!BW30)</f>
        <v>-17081033.699816082</v>
      </c>
      <c r="BT8" s="239">
        <f ca="1">IF(BT3="forecast",'CF - Monthly'!BS42,'BS - CF Actuals'!BX18+'BS - CF Actuals'!BX30)</f>
        <v>-18698162.927849341</v>
      </c>
      <c r="BU8" s="239">
        <f ca="1">IF(BU3="forecast",'CF - Monthly'!BT42,'BS - CF Actuals'!BY18+'BS - CF Actuals'!BY30)</f>
        <v>-20323652.913852718</v>
      </c>
      <c r="BV8" s="239">
        <f ca="1">IF(BV3="forecast",'CF - Monthly'!BU42,'BS - CF Actuals'!BZ18+'BS - CF Actuals'!BZ30)</f>
        <v>-21957100.676755257</v>
      </c>
      <c r="BW8" s="239">
        <f ca="1">IF(BW3="forecast",'CF - Monthly'!BV42,'BS - CF Actuals'!CA18+'BS - CF Actuals'!CA30)</f>
        <v>-23599712.509932235</v>
      </c>
      <c r="BX8" s="239">
        <f>IF(BX3="forecast",'CF - Monthly'!BW42,'BS - CF Actuals'!CB18+'BS - CF Actuals'!CB30)</f>
        <v>0</v>
      </c>
      <c r="BY8" s="239">
        <f>IF(BY3="forecast",'CF - Monthly'!BX42,'BS - CF Actuals'!CC18+'BS - CF Actuals'!CC30)</f>
        <v>0</v>
      </c>
    </row>
    <row r="9" spans="1:77" x14ac:dyDescent="0.2">
      <c r="B9" s="26" t="s">
        <v>91</v>
      </c>
      <c r="D9" s="106">
        <f>IF(D3="forecast",0,'BS - CF Actuals'!H21)</f>
        <v>43393.87</v>
      </c>
      <c r="E9" s="106">
        <f>IF(E3="forecast",0,'BS - CF Actuals'!I21)</f>
        <v>238713.42</v>
      </c>
      <c r="F9" s="106">
        <f>IF(F3="forecast",0,'BS - CF Actuals'!J21)</f>
        <v>164788.24</v>
      </c>
      <c r="G9" s="106">
        <f>IF(G3="forecast",0,'BS - CF Actuals'!K21)</f>
        <v>166599.56999999998</v>
      </c>
      <c r="H9" s="106">
        <f>IF(H3="forecast",0,'BS - CF Actuals'!L21)</f>
        <v>191231.68</v>
      </c>
      <c r="I9" s="106">
        <f>IF(I3="forecast",0,'BS - CF Actuals'!M21)</f>
        <v>1058598.46</v>
      </c>
      <c r="J9" s="106">
        <f>IF(J3="forecast",0,'BS - CF Actuals'!N21)</f>
        <v>481639.58999999997</v>
      </c>
      <c r="K9" s="106">
        <f>IF(K3="forecast",0,'BS - CF Actuals'!O21)</f>
        <v>470798.19</v>
      </c>
      <c r="L9" s="106">
        <f>IF(L3="forecast",0,'BS - CF Actuals'!P21)</f>
        <v>171448.87</v>
      </c>
      <c r="M9" s="106">
        <f>IF(M3="forecast",0,'BS - CF Actuals'!Q21)</f>
        <v>162626.36000000002</v>
      </c>
      <c r="N9" s="106">
        <f>IF(N3="forecast",0,'BS - CF Actuals'!R21)</f>
        <v>107082.9</v>
      </c>
      <c r="O9" s="106">
        <f>IF(O3="forecast",0,'BS - CF Actuals'!S21)</f>
        <v>76979.429999999993</v>
      </c>
      <c r="P9" s="106">
        <f>IF(P3="forecast",0,'BS - CF Actuals'!T21)</f>
        <v>151692.14000000001</v>
      </c>
      <c r="Q9" s="106">
        <f>IF(Q3="forecast",0,'BS - CF Actuals'!U21)</f>
        <v>122001.32</v>
      </c>
      <c r="R9" s="106">
        <f>IF(R3="forecast",0,'BS - CF Actuals'!V21)</f>
        <v>1071884.29</v>
      </c>
      <c r="S9" s="106">
        <f>IF(S3="forecast",0,'BS - CF Actuals'!W21)</f>
        <v>992059.81</v>
      </c>
      <c r="T9" s="106">
        <f>IF(T3="forecast",0,'BS - CF Actuals'!X21)</f>
        <v>168475.67</v>
      </c>
      <c r="U9" s="106">
        <f>IF(U3="forecast",0,'BS - CF Actuals'!Y21)</f>
        <v>181522.59</v>
      </c>
      <c r="V9" s="106">
        <f>IF(V3="forecast",0,'BS - CF Actuals'!Z21)</f>
        <v>76470.039999999994</v>
      </c>
      <c r="W9" s="106">
        <f>IF(W3="forecast",0,'BS - CF Actuals'!AA21)</f>
        <v>96790.7</v>
      </c>
      <c r="X9" s="106">
        <f>IF(X3="forecast",0,'BS - CF Actuals'!AB21)</f>
        <v>73573.72</v>
      </c>
      <c r="Y9" s="106">
        <f>IF(Y3="forecast",0,'BS - CF Actuals'!AC21)</f>
        <v>95000.48</v>
      </c>
      <c r="Z9" s="106">
        <f>IF(Z3="forecast",0,'BS - CF Actuals'!AD21)</f>
        <v>203163.07</v>
      </c>
      <c r="AA9" s="106">
        <f>IF(AA3="forecast",0,'BS - CF Actuals'!AE21)</f>
        <v>210393.88</v>
      </c>
      <c r="AB9" s="106">
        <f>IF(AB3="forecast",0,'BS - CF Actuals'!AF21)</f>
        <v>177051.64</v>
      </c>
      <c r="AC9" s="106">
        <f>IF(AC3="forecast",(0.11*'P&amp;L - Monthly'!AB22),'BS - CF Actuals'!AG21)</f>
        <v>62844.36</v>
      </c>
      <c r="AD9" s="106">
        <f>IF(AD3="forecast",(0.11*'P&amp;L - Monthly'!AC22),'BS - CF Actuals'!AH21)</f>
        <v>499067.3</v>
      </c>
      <c r="AE9" s="106">
        <f>IF(AE3="forecast",(0.11*'P&amp;L - Monthly'!AD22),'BS - CF Actuals'!AI21)</f>
        <v>468237.94</v>
      </c>
      <c r="AF9" s="106">
        <f>IF(AF3="forecast",(0.11*'P&amp;L - Monthly'!AE22),'BS - CF Actuals'!AJ21)</f>
        <v>213965.93</v>
      </c>
      <c r="AG9" s="106">
        <f>IF(AG3="forecast",(0.11*'P&amp;L - Monthly'!AF22),'BS - CF Actuals'!AK21)</f>
        <v>188387.76766538259</v>
      </c>
      <c r="AH9" s="106">
        <f>IF(AH3="forecast",(0.11*'P&amp;L - Monthly'!AG22),'BS - CF Actuals'!AL21)</f>
        <v>203078.6004704182</v>
      </c>
      <c r="AI9" s="106">
        <f>IF(AI3="forecast",(0.11*'P&amp;L - Monthly'!AH22),'BS - CF Actuals'!AM21)</f>
        <v>216758.58425608714</v>
      </c>
      <c r="AJ9" s="106">
        <f>IF(AJ3="forecast",(0.11*'P&amp;L - Monthly'!AI22),'BS - CF Actuals'!AN21)</f>
        <v>213792.04795323682</v>
      </c>
      <c r="AK9" s="106">
        <f>IF(AK3="forecast",(0.11*'P&amp;L - Monthly'!AJ22),'BS - CF Actuals'!AO21)</f>
        <v>223711.09364353886</v>
      </c>
      <c r="AL9" s="106">
        <f>IF(AL3="forecast",(0.11*'P&amp;L - Monthly'!AK22),'BS - CF Actuals'!AP21)</f>
        <v>261128.50002527802</v>
      </c>
      <c r="AM9" s="106">
        <f>IF(AM3="forecast",(0.11*'P&amp;L - Monthly'!AL22),'BS - CF Actuals'!AQ21)</f>
        <v>277100.91895238817</v>
      </c>
      <c r="AN9" s="106">
        <f>IF(AN3="forecast",(0.11*'P&amp;L - Monthly'!AM22),'BS - CF Actuals'!AR21)</f>
        <v>269054.67869600927</v>
      </c>
      <c r="AO9" s="106">
        <f>IF(AO3="forecast",(0.11*'P&amp;L - Monthly'!AN22),'BS - CF Actuals'!AS21)</f>
        <v>270331.89567195036</v>
      </c>
      <c r="AP9" s="106">
        <f>IF(AP3="forecast",(0.11*'P&amp;L - Monthly'!AO22),'BS - CF Actuals'!AT21)</f>
        <v>309766.66955892328</v>
      </c>
      <c r="AQ9" s="106">
        <f>IF(AQ3="forecast",(0.11*'P&amp;L - Monthly'!AP22),'BS - CF Actuals'!AU21)</f>
        <v>325578.46555262193</v>
      </c>
      <c r="AR9" s="106">
        <f>IF(AR3="forecast",(0.11*'P&amp;L - Monthly'!AQ22),'BS - CF Actuals'!AV21)</f>
        <v>342022.62239949038</v>
      </c>
      <c r="AS9" s="106">
        <f>IF(AS3="forecast",(0.11*'P&amp;L - Monthly'!AR22),'BS - CF Actuals'!AW21)</f>
        <v>357639.67204739584</v>
      </c>
      <c r="AT9" s="106">
        <f>IF(AT3="forecast",(0.11*'P&amp;L - Monthly'!AS22),'BS - CF Actuals'!AX21)</f>
        <v>372640.78823036177</v>
      </c>
      <c r="AU9" s="106">
        <f>IF(AU3="forecast",(0.11*'P&amp;L - Monthly'!AT22),'BS - CF Actuals'!AY21)</f>
        <v>387480.27937075822</v>
      </c>
      <c r="AV9" s="106">
        <f>IF(AV3="forecast",(0.11*'P&amp;L - Monthly'!AU22),'BS - CF Actuals'!AZ21)</f>
        <v>402327.11116543692</v>
      </c>
      <c r="AW9" s="106">
        <f>IF(AW3="forecast",(0.11*'P&amp;L - Monthly'!AV22),'BS - CF Actuals'!BA21)</f>
        <v>417367.03706485475</v>
      </c>
      <c r="AX9" s="106">
        <f>IF(AX3="forecast",(0.11*'P&amp;L - Monthly'!AW22),'BS - CF Actuals'!BB21)</f>
        <v>432577.86184376333</v>
      </c>
      <c r="AY9" s="106">
        <f>IF(AY3="forecast",(0.11*'P&amp;L - Monthly'!AX22),'BS - CF Actuals'!BC21)</f>
        <v>447453.53362647066</v>
      </c>
      <c r="AZ9" s="106">
        <f>IF(AZ3="forecast",(0.11*'P&amp;L - Monthly'!AY22),'BS - CF Actuals'!BD21)</f>
        <v>462329.20540917787</v>
      </c>
      <c r="BA9" s="106">
        <f>IF(BA3="forecast",(0.11*'P&amp;L - Monthly'!AZ22),'BS - CF Actuals'!BE21)</f>
        <v>477204.8771918852</v>
      </c>
      <c r="BB9" s="106">
        <f>IF(BB3="forecast",(0.11*'P&amp;L - Monthly'!BA22),'BS - CF Actuals'!BF21)</f>
        <v>0</v>
      </c>
      <c r="BC9" s="106">
        <f>IF(BC3="forecast",(0.11*'P&amp;L - Monthly'!BB22),'BS - CF Actuals'!BG21)</f>
        <v>0</v>
      </c>
      <c r="BD9" s="106">
        <f>IF(BD3="forecast",(0.11*'P&amp;L - Monthly'!BC22),'BS - CF Actuals'!BH21)</f>
        <v>0</v>
      </c>
      <c r="BE9" s="106">
        <f>IF(BE3="forecast",(0.11*'P&amp;L - Monthly'!BD22),'BS - CF Actuals'!BI21)</f>
        <v>0</v>
      </c>
      <c r="BF9" s="106">
        <f>IF(BF3="forecast",(0.11*'P&amp;L - Monthly'!BE22),'BS - CF Actuals'!BJ21)</f>
        <v>0</v>
      </c>
      <c r="BG9" s="106">
        <f>IF(BG3="forecast",(0.11*'P&amp;L - Monthly'!BF22),'BS - CF Actuals'!BK21)</f>
        <v>0</v>
      </c>
      <c r="BH9" s="106">
        <f>IF(BH3="forecast",(0.11*'P&amp;L - Monthly'!BG22),'BS - CF Actuals'!BL21)</f>
        <v>0</v>
      </c>
      <c r="BI9" s="106">
        <f>IF(BI3="forecast",(0.11*'P&amp;L - Monthly'!BH22),'BS - CF Actuals'!BM21)</f>
        <v>0</v>
      </c>
      <c r="BJ9" s="106">
        <f>IF(BJ3="forecast",(0.11*'P&amp;L - Monthly'!BI22),'BS - CF Actuals'!BN21)</f>
        <v>0</v>
      </c>
      <c r="BK9" s="106">
        <f>IF(BK3="forecast",(0.11*'P&amp;L - Monthly'!BJ22),'BS - CF Actuals'!BO21)</f>
        <v>0</v>
      </c>
      <c r="BL9" s="106">
        <f>IF(BL3="forecast",(0.11*'P&amp;L - Monthly'!BK22),'BS - CF Actuals'!BP21)</f>
        <v>0</v>
      </c>
      <c r="BM9" s="106">
        <f>IF(BM3="forecast",(0.11*'P&amp;L - Monthly'!BL22),'BS - CF Actuals'!BQ21)</f>
        <v>0</v>
      </c>
      <c r="BN9" s="106">
        <f>IF(BN3="forecast",(0.11*'P&amp;L - Monthly'!BM22),'BS - CF Actuals'!BR21)</f>
        <v>0</v>
      </c>
      <c r="BO9" s="106">
        <f>IF(BO3="forecast",(0.11*'P&amp;L - Monthly'!BN22),'BS - CF Actuals'!BS21)</f>
        <v>0</v>
      </c>
      <c r="BP9" s="106">
        <f>IF(BP3="forecast",(0.11*'P&amp;L - Monthly'!BO22),'BS - CF Actuals'!BT21)</f>
        <v>0</v>
      </c>
      <c r="BQ9" s="106">
        <f>IF(BQ3="forecast",(0.11*'P&amp;L - Monthly'!BP22),'BS - CF Actuals'!BU21)</f>
        <v>0</v>
      </c>
      <c r="BR9" s="106">
        <f>IF(BR3="forecast",(0.11*'P&amp;L - Monthly'!BQ22),'BS - CF Actuals'!BV21)</f>
        <v>0</v>
      </c>
      <c r="BS9" s="106">
        <f>IF(BS3="forecast",(0.11*'P&amp;L - Monthly'!BR22),'BS - CF Actuals'!BW21)</f>
        <v>0</v>
      </c>
      <c r="BT9" s="106">
        <f>IF(BT3="forecast",(0.11*'P&amp;L - Monthly'!BS22),'BS - CF Actuals'!BX21)</f>
        <v>0</v>
      </c>
      <c r="BU9" s="106">
        <f>IF(BU3="forecast",(0.11*'P&amp;L - Monthly'!BT22),'BS - CF Actuals'!BY21)</f>
        <v>0</v>
      </c>
      <c r="BV9" s="106">
        <f>IF(BV3="forecast",(0.11*'P&amp;L - Monthly'!BU22),'BS - CF Actuals'!BZ21)</f>
        <v>0</v>
      </c>
      <c r="BW9" s="106">
        <f>IF(BW3="forecast",(0.11*'P&amp;L - Monthly'!BV22),'BS - CF Actuals'!CA21)</f>
        <v>0</v>
      </c>
      <c r="BX9" s="106">
        <f>IF(BX3="forecast",(0.11*'P&amp;L - Monthly'!BW22),'BS - CF Actuals'!CB21)</f>
        <v>0</v>
      </c>
      <c r="BY9" s="106">
        <f>IF(BY3="forecast",(0.11*'P&amp;L - Monthly'!BX22),'BS - CF Actuals'!CC21)</f>
        <v>0</v>
      </c>
    </row>
    <row r="10" spans="1:77" x14ac:dyDescent="0.2">
      <c r="B10" s="26" t="s">
        <v>92</v>
      </c>
      <c r="D10" s="239"/>
      <c r="E10" s="239"/>
      <c r="F10" s="106"/>
      <c r="G10" s="106"/>
      <c r="H10" s="106"/>
      <c r="I10" s="106"/>
      <c r="J10" s="106"/>
      <c r="K10" s="106"/>
      <c r="L10" s="106"/>
      <c r="M10" s="106"/>
      <c r="N10" s="106"/>
      <c r="O10" s="106"/>
      <c r="P10" s="106"/>
      <c r="Q10" s="106"/>
      <c r="R10" s="106"/>
      <c r="S10" s="106"/>
      <c r="T10" s="106"/>
      <c r="U10" s="106"/>
      <c r="V10" s="106"/>
      <c r="W10" s="106"/>
      <c r="X10" s="106"/>
      <c r="Y10" s="106"/>
      <c r="Z10" s="106"/>
      <c r="AA10" s="106"/>
      <c r="AB10" s="106"/>
      <c r="AC10" s="106"/>
      <c r="AD10" s="106"/>
      <c r="AE10" s="106"/>
      <c r="AF10" s="106"/>
      <c r="AG10" s="106"/>
      <c r="AH10" s="106"/>
      <c r="AI10" s="106"/>
      <c r="AJ10" s="106"/>
      <c r="AK10" s="106"/>
      <c r="AL10" s="106"/>
      <c r="AM10" s="106"/>
      <c r="AN10" s="106"/>
      <c r="AO10" s="106"/>
      <c r="AP10" s="106"/>
      <c r="AQ10" s="106"/>
      <c r="AR10" s="106"/>
      <c r="AS10" s="106"/>
      <c r="AT10" s="106"/>
      <c r="AU10" s="106"/>
      <c r="AV10" s="106"/>
      <c r="AW10" s="106"/>
      <c r="AX10" s="106"/>
      <c r="AY10" s="106"/>
      <c r="AZ10" s="106"/>
      <c r="BA10" s="106"/>
      <c r="BB10" s="106"/>
      <c r="BC10" s="106"/>
      <c r="BD10" s="106"/>
      <c r="BE10" s="106"/>
      <c r="BF10" s="106"/>
      <c r="BG10" s="106"/>
      <c r="BH10" s="106"/>
      <c r="BI10" s="106"/>
      <c r="BJ10" s="106"/>
      <c r="BK10" s="106"/>
      <c r="BL10" s="106"/>
      <c r="BM10" s="106"/>
      <c r="BN10" s="106"/>
      <c r="BO10" s="106"/>
      <c r="BP10" s="106"/>
      <c r="BQ10" s="106"/>
      <c r="BR10" s="106"/>
      <c r="BS10" s="106"/>
      <c r="BT10" s="106"/>
      <c r="BU10" s="106"/>
      <c r="BV10" s="106"/>
      <c r="BW10" s="106"/>
      <c r="BX10" s="106"/>
      <c r="BY10" s="106"/>
    </row>
    <row r="11" spans="1:77" x14ac:dyDescent="0.2">
      <c r="B11" s="26" t="s">
        <v>93</v>
      </c>
      <c r="D11" s="110">
        <f>IF(D3="forecast",0,'BS - CF Actuals'!H36)</f>
        <v>48055.22</v>
      </c>
      <c r="E11" s="110">
        <f>IF(E3="forecast",0,'BS - CF Actuals'!I36)</f>
        <v>11277.72</v>
      </c>
      <c r="F11" s="110">
        <f>IF(F3="forecast",0,'BS - CF Actuals'!J36)</f>
        <v>10223.86</v>
      </c>
      <c r="G11" s="110">
        <f>IF(G3="forecast",0,'BS - CF Actuals'!K36)</f>
        <v>11574.36</v>
      </c>
      <c r="H11" s="110">
        <f>IF(H3="forecast",0,'BS - CF Actuals'!L36)</f>
        <v>4821.21</v>
      </c>
      <c r="I11" s="110">
        <f>IF(I3="forecast",0,'BS - CF Actuals'!M36)</f>
        <v>11922.36</v>
      </c>
      <c r="J11" s="110">
        <f>IF(J3="forecast",0,'BS - CF Actuals'!N36)</f>
        <v>3696.21</v>
      </c>
      <c r="K11" s="110">
        <f>IF(K3="forecast",0,'BS - CF Actuals'!O36)</f>
        <v>12674.05</v>
      </c>
      <c r="L11" s="110">
        <f>IF(L3="forecast",0,'BS - CF Actuals'!P36)</f>
        <v>774.95</v>
      </c>
      <c r="M11" s="110">
        <f>IF(M3="forecast",0,'BS - CF Actuals'!Q36)</f>
        <v>500</v>
      </c>
      <c r="N11" s="110">
        <f>IF(N3="forecast",0,'BS - CF Actuals'!R36)</f>
        <v>500</v>
      </c>
      <c r="O11" s="110">
        <f>IF(O3="forecast",0,'BS - CF Actuals'!S36)</f>
        <v>617.70000000000005</v>
      </c>
      <c r="P11" s="110">
        <f>IF(P3="forecast",0,'BS - CF Actuals'!T36)</f>
        <v>1572.45</v>
      </c>
      <c r="Q11" s="110">
        <f>IF(Q3="forecast",0,'BS - CF Actuals'!U36)</f>
        <v>232035.08</v>
      </c>
      <c r="R11" s="110">
        <f>IF(R3="forecast",0,'BS - CF Actuals'!V36-'BS - CF Actuals'!V30)</f>
        <v>252359.34999999998</v>
      </c>
      <c r="S11" s="110">
        <f>IF(S3="forecast",0,'BS - CF Actuals'!W36-'BS - CF Actuals'!W30)</f>
        <v>265239.22000000003</v>
      </c>
      <c r="T11" s="110">
        <f>IF(T3="forecast",0,'BS - CF Actuals'!X36-'BS - CF Actuals'!X30)</f>
        <v>277756.48</v>
      </c>
      <c r="U11" s="110">
        <f>IF(U3="forecast",0,'BS - CF Actuals'!Y36-'BS - CF Actuals'!Y30)</f>
        <v>332081.79000000004</v>
      </c>
      <c r="V11" s="110">
        <f>IF(V3="forecast",0,'BS - CF Actuals'!Z36-'BS - CF Actuals'!Z30)</f>
        <v>361793.59</v>
      </c>
      <c r="W11" s="110">
        <f>IF(W3="forecast",0,'BS - CF Actuals'!AA36-'BS - CF Actuals'!AA30)</f>
        <v>317328.24</v>
      </c>
      <c r="X11" s="110">
        <f>IF(X3="forecast",0,'BS - CF Actuals'!AB36-'BS - CF Actuals'!AB30)</f>
        <v>338731.13</v>
      </c>
      <c r="Y11" s="110">
        <f>IF(Y3="forecast",0,'BS - CF Actuals'!AC36-'BS - CF Actuals'!AC30)</f>
        <v>376717.61999999994</v>
      </c>
      <c r="Z11" s="110">
        <f>IF(Z3="forecast",0,'BS - CF Actuals'!AD36-'BS - CF Actuals'!AD30)</f>
        <v>393233.01</v>
      </c>
      <c r="AA11" s="110">
        <f>IF(AA3="forecast",0,'BS - CF Actuals'!AE36-'BS - CF Actuals'!AE30)</f>
        <v>403259.23</v>
      </c>
      <c r="AB11" s="110">
        <f>IF(AB3="forecast",0,'BS - CF Actuals'!AF36-'BS - CF Actuals'!AF30)</f>
        <v>459153.32</v>
      </c>
      <c r="AC11" s="110">
        <f>IF(AC3="forecast",0,'BS - CF Actuals'!AG36-'BS - CF Actuals'!AG30)</f>
        <v>462390.73</v>
      </c>
      <c r="AD11" s="1005">
        <f>IF(AD3="forecast",AC11,'BS - CF Actuals'!AG36-'BS - CF Actuals'!AG30)</f>
        <v>462390.73</v>
      </c>
      <c r="AE11" s="1005">
        <f>IF(AE3="forecast",AD11,'BS - CF Actuals'!AH36-'BS - CF Actuals'!AH30)</f>
        <v>560164.66</v>
      </c>
      <c r="AF11" s="1005">
        <f>IF(AF3="forecast",AE11,'BS - CF Actuals'!AI36-'BS - CF Actuals'!AI30)</f>
        <v>592476.80999999994</v>
      </c>
      <c r="AG11" s="1005">
        <f>IF(AG3="forecast",AF11,'BS - CF Actuals'!AJ36-'BS - CF Actuals'!AJ30)</f>
        <v>592476.80999999994</v>
      </c>
      <c r="AH11" s="1005">
        <f>IF(AH3="forecast",AG11,'BS - CF Actuals'!AK36-'BS - CF Actuals'!AK30)</f>
        <v>592476.80999999994</v>
      </c>
      <c r="AI11" s="1005">
        <f>IF(AI3="forecast",AH11,'BS - CF Actuals'!AL36-'BS - CF Actuals'!AL30)</f>
        <v>592476.80999999994</v>
      </c>
      <c r="AJ11" s="1005">
        <f>IF(AJ3="forecast",AI11,'BS - CF Actuals'!AM36-'BS - CF Actuals'!AM30)</f>
        <v>592476.80999999994</v>
      </c>
      <c r="AK11" s="1005">
        <f>IF(AK3="forecast",AJ11,'BS - CF Actuals'!AN36-'BS - CF Actuals'!AN30)</f>
        <v>592476.80999999994</v>
      </c>
      <c r="AL11" s="1005">
        <f>IF(AL3="forecast",AK11,'BS - CF Actuals'!AO36-'BS - CF Actuals'!AO30)</f>
        <v>592476.80999999994</v>
      </c>
      <c r="AM11" s="1005">
        <f>IF(AM3="forecast",AL11,'BS - CF Actuals'!AP36-'BS - CF Actuals'!AP30)</f>
        <v>592476.80999999994</v>
      </c>
      <c r="AN11" s="1005">
        <f>IF(AN3="forecast",AM11,'BS - CF Actuals'!AQ36-'BS - CF Actuals'!AQ30)</f>
        <v>592476.80999999994</v>
      </c>
      <c r="AO11" s="1005">
        <f>IF(AO3="forecast",AN11,'BS - CF Actuals'!AR36-'BS - CF Actuals'!AR30)</f>
        <v>592476.80999999994</v>
      </c>
      <c r="AP11" s="1005">
        <f>IF(AP3="forecast",AO11,'BS - CF Actuals'!AS36-'BS - CF Actuals'!AS30)</f>
        <v>592476.80999999994</v>
      </c>
      <c r="AQ11" s="1005">
        <f>IF(AQ3="forecast",AP11,'BS - CF Actuals'!AT36-'BS - CF Actuals'!AT30)</f>
        <v>592476.80999999994</v>
      </c>
      <c r="AR11" s="1005">
        <f>IF(AR3="forecast",AQ11,'BS - CF Actuals'!AU36-'BS - CF Actuals'!AU30)</f>
        <v>592476.80999999994</v>
      </c>
      <c r="AS11" s="1005">
        <f>IF(AS3="forecast",AR11,'BS - CF Actuals'!AV36-'BS - CF Actuals'!AV30)</f>
        <v>592476.80999999994</v>
      </c>
      <c r="AT11" s="1005">
        <f>IF(AT3="forecast",AS11,'BS - CF Actuals'!AW36-'BS - CF Actuals'!AW30)</f>
        <v>592476.80999999994</v>
      </c>
      <c r="AU11" s="1005">
        <f>IF(AU3="forecast",AT11,'BS - CF Actuals'!AX36-'BS - CF Actuals'!AX30)</f>
        <v>592476.80999999994</v>
      </c>
      <c r="AV11" s="1005">
        <f>IF(AV3="forecast",AU11,'BS - CF Actuals'!AY36-'BS - CF Actuals'!AY30)</f>
        <v>592476.80999999994</v>
      </c>
      <c r="AW11" s="1005">
        <f>IF(AW3="forecast",AV11,'BS - CF Actuals'!AZ36-'BS - CF Actuals'!AZ30)</f>
        <v>592476.80999999994</v>
      </c>
      <c r="AX11" s="1005">
        <f>IF(AX3="forecast",AW11,'BS - CF Actuals'!BA36-'BS - CF Actuals'!BA30)</f>
        <v>592476.80999999994</v>
      </c>
      <c r="AY11" s="1005">
        <f>IF(AY3="forecast",AX11,'BS - CF Actuals'!BB36-'BS - CF Actuals'!BB30)</f>
        <v>592476.80999999994</v>
      </c>
      <c r="AZ11" s="1005">
        <f>IF(AZ3="forecast",AY11,'BS - CF Actuals'!BC36-'BS - CF Actuals'!BC30)</f>
        <v>592476.80999999994</v>
      </c>
      <c r="BA11" s="1005">
        <f>IF(BA3="forecast",AZ11,'BS - CF Actuals'!BD36-'BS - CF Actuals'!BD30)</f>
        <v>592476.80999999994</v>
      </c>
      <c r="BB11" s="1005">
        <f>IF(BB3="forecast",BA11,'BS - CF Actuals'!BE36-'BS - CF Actuals'!BE30)</f>
        <v>592476.80999999994</v>
      </c>
      <c r="BC11" s="1005">
        <f>IF(BC3="forecast",BB11,'BS - CF Actuals'!BF36-'BS - CF Actuals'!BF30)</f>
        <v>592476.80999999994</v>
      </c>
      <c r="BD11" s="1005">
        <f>IF(BD3="forecast",BC11,'BS - CF Actuals'!BG36-'BS - CF Actuals'!BG30)</f>
        <v>592476.80999999994</v>
      </c>
      <c r="BE11" s="1005">
        <f>IF(BE3="forecast",BD11,'BS - CF Actuals'!BH36-'BS - CF Actuals'!BH30)</f>
        <v>592476.80999999994</v>
      </c>
      <c r="BF11" s="1005">
        <f>IF(BF3="forecast",BE11,'BS - CF Actuals'!BI36-'BS - CF Actuals'!BI30)</f>
        <v>592476.80999999994</v>
      </c>
      <c r="BG11" s="1005">
        <f>IF(BG3="forecast",BF11,'BS - CF Actuals'!BJ36-'BS - CF Actuals'!BJ30)</f>
        <v>592476.80999999994</v>
      </c>
      <c r="BH11" s="1005">
        <f>IF(BH3="forecast",BG11,'BS - CF Actuals'!BK36-'BS - CF Actuals'!BK30)</f>
        <v>592476.80999999994</v>
      </c>
      <c r="BI11" s="1005">
        <f>IF(BI3="forecast",BH11,'BS - CF Actuals'!BL36-'BS - CF Actuals'!BL30)</f>
        <v>592476.80999999994</v>
      </c>
      <c r="BJ11" s="1005">
        <f>IF(BJ3="forecast",BI11,'BS - CF Actuals'!BM36-'BS - CF Actuals'!BM30)</f>
        <v>592476.80999999994</v>
      </c>
      <c r="BK11" s="1005">
        <f>IF(BK3="forecast",BJ11,'BS - CF Actuals'!BN36-'BS - CF Actuals'!BN30)</f>
        <v>592476.80999999994</v>
      </c>
      <c r="BL11" s="1005">
        <f>IF(BL3="forecast",BK11,'BS - CF Actuals'!BO36-'BS - CF Actuals'!BO30)</f>
        <v>592476.80999999994</v>
      </c>
      <c r="BM11" s="1005">
        <f>IF(BM3="forecast",BL11,'BS - CF Actuals'!BP36-'BS - CF Actuals'!BP30)</f>
        <v>592476.80999999994</v>
      </c>
      <c r="BN11" s="1005">
        <f>IF(BN3="forecast",BM11,'BS - CF Actuals'!BQ36-'BS - CF Actuals'!BQ30)</f>
        <v>592476.80999999994</v>
      </c>
      <c r="BO11" s="1005">
        <f>IF(BO3="forecast",BN11,'BS - CF Actuals'!BR36-'BS - CF Actuals'!BR30)</f>
        <v>592476.80999999994</v>
      </c>
      <c r="BP11" s="1005">
        <f>IF(BP3="forecast",BO11,'BS - CF Actuals'!BS36-'BS - CF Actuals'!BS30)</f>
        <v>592476.80999999994</v>
      </c>
      <c r="BQ11" s="1005">
        <f>IF(BQ3="forecast",BP11,'BS - CF Actuals'!BT36-'BS - CF Actuals'!BT30)</f>
        <v>592476.80999999994</v>
      </c>
      <c r="BR11" s="1005">
        <f>IF(BR3="forecast",BQ11,'BS - CF Actuals'!BU36-'BS - CF Actuals'!BU30)</f>
        <v>592476.80999999994</v>
      </c>
      <c r="BS11" s="1005">
        <f>IF(BS3="forecast",BR11,'BS - CF Actuals'!BV36-'BS - CF Actuals'!BV30)</f>
        <v>592476.80999999994</v>
      </c>
      <c r="BT11" s="1005">
        <f>IF(BT3="forecast",BS11,'BS - CF Actuals'!BW36-'BS - CF Actuals'!BW30)</f>
        <v>592476.80999999994</v>
      </c>
      <c r="BU11" s="1005">
        <f>IF(BU3="forecast",BT11,'BS - CF Actuals'!BX36-'BS - CF Actuals'!BX30)</f>
        <v>592476.80999999994</v>
      </c>
      <c r="BV11" s="1005">
        <f>IF(BV3="forecast",BU11,'BS - CF Actuals'!BY36-'BS - CF Actuals'!BY30)</f>
        <v>592476.80999999994</v>
      </c>
      <c r="BW11" s="1005">
        <f>IF(BW3="forecast",BV11,'BS - CF Actuals'!BZ36-'BS - CF Actuals'!BZ30)</f>
        <v>592476.80999999994</v>
      </c>
      <c r="BX11" s="1005">
        <f>IF(BX3="forecast",BW11,'BS - CF Actuals'!CA36-'BS - CF Actuals'!CA30)</f>
        <v>592476.80999999994</v>
      </c>
      <c r="BY11" s="1005">
        <f>IF(BY3="forecast",BX11,'BS - CF Actuals'!CB36-'BS - CF Actuals'!CB30)</f>
        <v>592476.80999999994</v>
      </c>
    </row>
    <row r="12" spans="1:77" s="100" customFormat="1" x14ac:dyDescent="0.2">
      <c r="A12" s="104" t="s">
        <v>94</v>
      </c>
      <c r="D12" s="105">
        <f t="shared" ref="D12:E12" si="0">SUM(D8:D11)</f>
        <v>3686379.4899999998</v>
      </c>
      <c r="E12" s="105">
        <f t="shared" si="0"/>
        <v>4922637.9499999993</v>
      </c>
      <c r="F12" s="105">
        <f>SUM(F8:F11)</f>
        <v>1747601.06</v>
      </c>
      <c r="G12" s="105">
        <f>SUM(G8:G11)</f>
        <v>1568178.4700000002</v>
      </c>
      <c r="H12" s="105">
        <f t="shared" ref="H12:M12" si="1">SUM(H8:H11)</f>
        <v>1758976.46</v>
      </c>
      <c r="I12" s="105">
        <f t="shared" si="1"/>
        <v>2726059.9</v>
      </c>
      <c r="J12" s="105">
        <f t="shared" si="1"/>
        <v>3007969.4199999995</v>
      </c>
      <c r="K12" s="105">
        <f t="shared" si="1"/>
        <v>2922954.3299999996</v>
      </c>
      <c r="L12" s="105">
        <f t="shared" si="1"/>
        <v>2844248.29</v>
      </c>
      <c r="M12" s="105">
        <f t="shared" si="1"/>
        <v>2902053.91</v>
      </c>
      <c r="N12" s="105">
        <f t="shared" ref="N12:AO12" si="2">SUM(N8:N11)</f>
        <v>2577054.2199999997</v>
      </c>
      <c r="O12" s="105">
        <f t="shared" si="2"/>
        <v>2345371.4600000004</v>
      </c>
      <c r="P12" s="105">
        <f t="shared" si="2"/>
        <v>1767520.8699999999</v>
      </c>
      <c r="Q12" s="105">
        <f t="shared" si="2"/>
        <v>6116978.7000000002</v>
      </c>
      <c r="R12" s="105">
        <f t="shared" si="2"/>
        <v>6927164.4900000002</v>
      </c>
      <c r="S12" s="105">
        <f t="shared" si="2"/>
        <v>6882825.1299999999</v>
      </c>
      <c r="T12" s="105">
        <f t="shared" si="2"/>
        <v>7146530.8399999999</v>
      </c>
      <c r="U12" s="105">
        <f t="shared" si="2"/>
        <v>7212950.6799999997</v>
      </c>
      <c r="V12" s="105">
        <f t="shared" si="2"/>
        <v>7002434.4699999997</v>
      </c>
      <c r="W12" s="105">
        <f t="shared" si="2"/>
        <v>6965138.1399999997</v>
      </c>
      <c r="X12" s="105">
        <f t="shared" si="2"/>
        <v>6441714.2799999993</v>
      </c>
      <c r="Y12" s="105">
        <f t="shared" ref="Y12" si="3">SUM(Y8:Y11)</f>
        <v>5616894.5300000003</v>
      </c>
      <c r="Z12" s="105">
        <f>SUM(Z8:Z11)</f>
        <v>6009485.1699999999</v>
      </c>
      <c r="AA12" s="105">
        <f t="shared" si="2"/>
        <v>5455986.0600000005</v>
      </c>
      <c r="AB12" s="105">
        <f t="shared" si="2"/>
        <v>5047429.8599999994</v>
      </c>
      <c r="AC12" s="238">
        <f t="shared" si="2"/>
        <v>4327064.34</v>
      </c>
      <c r="AD12" s="238">
        <f t="shared" si="2"/>
        <v>4240758.5199999996</v>
      </c>
      <c r="AE12" s="238">
        <f t="shared" si="2"/>
        <v>4233962.34</v>
      </c>
      <c r="AF12" s="238">
        <f t="shared" si="2"/>
        <v>4208256.7300000004</v>
      </c>
      <c r="AG12" s="238">
        <f t="shared" ca="1" si="2"/>
        <v>4264691.2035674192</v>
      </c>
      <c r="AH12" s="238">
        <f t="shared" ca="1" si="2"/>
        <v>3764434.5333895097</v>
      </c>
      <c r="AI12" s="238">
        <f t="shared" ca="1" si="2"/>
        <v>3317659.6634275289</v>
      </c>
      <c r="AJ12" s="238">
        <f t="shared" ca="1" si="2"/>
        <v>2735854.2910912419</v>
      </c>
      <c r="AK12" s="238">
        <f t="shared" ca="1" si="2"/>
        <v>2501724.9824350881</v>
      </c>
      <c r="AL12" s="238">
        <f t="shared" ca="1" si="2"/>
        <v>2625046.3518953705</v>
      </c>
      <c r="AM12" s="238">
        <f t="shared" ca="1" si="2"/>
        <v>2678301.8554484472</v>
      </c>
      <c r="AN12" s="238">
        <f t="shared" ca="1" si="2"/>
        <v>2752175.8592851697</v>
      </c>
      <c r="AO12" s="238">
        <f t="shared" ca="1" si="2"/>
        <v>2910187.9709886867</v>
      </c>
      <c r="AP12" s="238">
        <f t="shared" ref="AP12:BA12" ca="1" si="4">SUM(AP8:AP11)</f>
        <v>-2447202.7055672267</v>
      </c>
      <c r="AQ12" s="238">
        <f t="shared" ca="1" si="4"/>
        <v>-2364797.1668721288</v>
      </c>
      <c r="AR12" s="238">
        <f t="shared" ca="1" si="4"/>
        <v>-1028779.5264939853</v>
      </c>
      <c r="AS12" s="238">
        <f t="shared" ca="1" si="4"/>
        <v>422863.88673235034</v>
      </c>
      <c r="AT12" s="238">
        <f t="shared" ca="1" si="4"/>
        <v>1987674.825568608</v>
      </c>
      <c r="AU12" s="238">
        <f t="shared" ca="1" si="4"/>
        <v>3665256.4781091427</v>
      </c>
      <c r="AV12" s="238">
        <f t="shared" ca="1" si="4"/>
        <v>5455975.3493488077</v>
      </c>
      <c r="AW12" s="238">
        <f t="shared" ca="1" si="4"/>
        <v>7361697.8938065832</v>
      </c>
      <c r="AX12" s="238">
        <f t="shared" ca="1" si="4"/>
        <v>9383536.6807120275</v>
      </c>
      <c r="AY12" s="238">
        <f t="shared" ca="1" si="4"/>
        <v>11512797.823435098</v>
      </c>
      <c r="AZ12" s="238">
        <f t="shared" ca="1" si="4"/>
        <v>13755063.200477455</v>
      </c>
      <c r="BA12" s="238">
        <f t="shared" ca="1" si="4"/>
        <v>16105915.268944958</v>
      </c>
      <c r="BB12" s="238">
        <f t="shared" ref="BB12:BK12" ca="1" si="5">SUM(BB8:BB11)</f>
        <v>13956158.613941265</v>
      </c>
      <c r="BC12" s="238">
        <f t="shared" ca="1" si="5"/>
        <v>12132108.607386487</v>
      </c>
      <c r="BD12" s="238">
        <f t="shared" ca="1" si="5"/>
        <v>10238801.553918976</v>
      </c>
      <c r="BE12" s="238">
        <f t="shared" ca="1" si="5"/>
        <v>8361915.3943118099</v>
      </c>
      <c r="BF12" s="238">
        <f t="shared" ca="1" si="5"/>
        <v>6477756.0336629441</v>
      </c>
      <c r="BG12" s="238">
        <f t="shared" ca="1" si="5"/>
        <v>4587321.1028157594</v>
      </c>
      <c r="BH12" s="238">
        <f t="shared" ca="1" si="5"/>
        <v>2689421.4402870275</v>
      </c>
      <c r="BI12" s="238">
        <f t="shared" ca="1" si="5"/>
        <v>785036.19264332869</v>
      </c>
      <c r="BJ12" s="238">
        <f t="shared" ca="1" si="5"/>
        <v>-1127006.2159515773</v>
      </c>
      <c r="BK12" s="238">
        <f t="shared" ca="1" si="5"/>
        <v>-3045735.5828307956</v>
      </c>
      <c r="BL12" s="238">
        <f t="shared" ref="BL12:BW12" ca="1" si="6">SUM(BL8:BL11)</f>
        <v>-4972319.9277337613</v>
      </c>
      <c r="BM12" s="238">
        <f t="shared" ca="1" si="6"/>
        <v>-6910259.5950297602</v>
      </c>
      <c r="BN12" s="238">
        <f t="shared" ca="1" si="6"/>
        <v>-8527251.3580496889</v>
      </c>
      <c r="BO12" s="238">
        <f t="shared" ca="1" si="6"/>
        <v>-10102180.949152434</v>
      </c>
      <c r="BP12" s="238">
        <f t="shared" ca="1" si="6"/>
        <v>-11687118.845153708</v>
      </c>
      <c r="BQ12" s="238">
        <f t="shared" ca="1" si="6"/>
        <v>-13279397.241413312</v>
      </c>
      <c r="BR12" s="238">
        <f t="shared" ca="1" si="6"/>
        <v>-14880192.578458235</v>
      </c>
      <c r="BS12" s="238">
        <f t="shared" ca="1" si="6"/>
        <v>-16488556.889816081</v>
      </c>
      <c r="BT12" s="238">
        <f t="shared" ca="1" si="6"/>
        <v>-18105686.117849343</v>
      </c>
      <c r="BU12" s="238">
        <f t="shared" ca="1" si="6"/>
        <v>-19731176.103852719</v>
      </c>
      <c r="BV12" s="238">
        <f t="shared" ca="1" si="6"/>
        <v>-21364623.866755258</v>
      </c>
      <c r="BW12" s="238">
        <f t="shared" ca="1" si="6"/>
        <v>-23007235.699932236</v>
      </c>
      <c r="BX12" s="238">
        <f t="shared" ref="BX12:BY12" si="7">SUM(BX8:BX11)</f>
        <v>592476.80999999994</v>
      </c>
      <c r="BY12" s="238">
        <f t="shared" si="7"/>
        <v>592476.80999999994</v>
      </c>
    </row>
    <row r="13" spans="1:77" ht="6" customHeight="1" x14ac:dyDescent="0.2">
      <c r="A13" s="23"/>
      <c r="D13" s="106"/>
      <c r="E13" s="106"/>
      <c r="F13" s="106"/>
      <c r="G13" s="106"/>
      <c r="H13" s="106"/>
      <c r="I13" s="106"/>
      <c r="J13" s="106"/>
      <c r="K13" s="106"/>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106"/>
      <c r="BI13" s="106"/>
      <c r="BJ13" s="106"/>
      <c r="BK13" s="106"/>
      <c r="BL13" s="106"/>
      <c r="BM13" s="106"/>
      <c r="BN13" s="106"/>
      <c r="BO13" s="106"/>
      <c r="BP13" s="106"/>
      <c r="BQ13" s="106"/>
      <c r="BR13" s="106"/>
      <c r="BS13" s="106"/>
      <c r="BT13" s="106"/>
      <c r="BU13" s="106"/>
      <c r="BV13" s="106"/>
      <c r="BW13" s="106"/>
      <c r="BX13" s="106"/>
      <c r="BY13" s="106"/>
    </row>
    <row r="14" spans="1:77" x14ac:dyDescent="0.2">
      <c r="A14" s="104" t="s">
        <v>95</v>
      </c>
      <c r="D14" s="106"/>
      <c r="E14" s="106"/>
      <c r="F14" s="106"/>
      <c r="G14" s="106"/>
      <c r="H14" s="106"/>
      <c r="I14" s="106"/>
      <c r="J14" s="106"/>
      <c r="K14" s="106"/>
      <c r="L14" s="106"/>
      <c r="M14" s="106"/>
      <c r="N14" s="106"/>
      <c r="O14" s="106"/>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106"/>
      <c r="BI14" s="106"/>
      <c r="BJ14" s="106"/>
      <c r="BK14" s="106"/>
      <c r="BL14" s="106"/>
      <c r="BM14" s="106"/>
      <c r="BN14" s="106"/>
      <c r="BO14" s="106"/>
      <c r="BP14" s="106"/>
      <c r="BQ14" s="106"/>
      <c r="BR14" s="106"/>
      <c r="BS14" s="106"/>
      <c r="BT14" s="106"/>
      <c r="BU14" s="106"/>
      <c r="BV14" s="106"/>
      <c r="BW14" s="106"/>
      <c r="BX14" s="106"/>
      <c r="BY14" s="106"/>
    </row>
    <row r="15" spans="1:77" s="27" customFormat="1" x14ac:dyDescent="0.2">
      <c r="B15" s="27" t="s">
        <v>96</v>
      </c>
      <c r="D15" s="197">
        <f>IF(D3="forecast",#REF!,'BS - CF Actuals'!H46+'BS - CF Actuals'!H50)</f>
        <v>123177.64</v>
      </c>
      <c r="E15" s="197">
        <f>IF(E3="forecast",#REF!,'BS - CF Actuals'!I46+'BS - CF Actuals'!I50)</f>
        <v>160766.24</v>
      </c>
      <c r="F15" s="197">
        <f>IF(F3="forecast",#REF!,'BS - CF Actuals'!J46+'BS - CF Actuals'!J50)</f>
        <v>161800.12</v>
      </c>
      <c r="G15" s="197">
        <f>IF(G3="forecast",#REF!,'BS - CF Actuals'!K46+'BS - CF Actuals'!K50)</f>
        <v>168911.1</v>
      </c>
      <c r="H15" s="197">
        <f>IF(H3="forecast",#REF!,'BS - CF Actuals'!L46+'BS - CF Actuals'!L50)</f>
        <v>172829.16</v>
      </c>
      <c r="I15" s="197">
        <f>IF(I3="forecast",#REF!,'BS - CF Actuals'!M46+'BS - CF Actuals'!M50)</f>
        <v>178814.28</v>
      </c>
      <c r="J15" s="197">
        <f>IF(J3="forecast",#REF!,'BS - CF Actuals'!N46+'BS - CF Actuals'!N50)</f>
        <v>180033.28</v>
      </c>
      <c r="K15" s="197">
        <f>IF(K3="forecast",#REF!,'BS - CF Actuals'!O46+'BS - CF Actuals'!O50)</f>
        <v>188816.75</v>
      </c>
      <c r="L15" s="197">
        <f>IF(L3="forecast",#REF!,'BS - CF Actuals'!P46+'BS - CF Actuals'!P50)</f>
        <v>209850.96000000002</v>
      </c>
      <c r="M15" s="197">
        <f>IF(M3="forecast",#REF!,'BS - CF Actuals'!Q46+'BS - CF Actuals'!Q50)</f>
        <v>222747.24</v>
      </c>
      <c r="N15" s="197">
        <f>IF(N3="forecast",#REF!,'BS - CF Actuals'!R46+'BS - CF Actuals'!R50)</f>
        <v>234383.51</v>
      </c>
      <c r="O15" s="197">
        <f>IF(O3="forecast",#REF!,'BS - CF Actuals'!S46+'BS - CF Actuals'!S50)</f>
        <v>248406.51</v>
      </c>
      <c r="P15" s="197">
        <f>IF(P3="forecast",#REF!,'BS - CF Actuals'!T46+'BS - CF Actuals'!T50)</f>
        <v>255582.27000000002</v>
      </c>
      <c r="Q15" s="197">
        <f>IF(Q3="forecast",#REF!,'BS - CF Actuals'!U46+'BS - CF Actuals'!U50)</f>
        <v>264164.8</v>
      </c>
      <c r="R15" s="197">
        <f>IF(R3="forecast",#REF!,'BS - CF Actuals'!V46+'BS - CF Actuals'!V50)</f>
        <v>280415.81</v>
      </c>
      <c r="S15" s="197">
        <f>IF(S3="forecast",#REF!,'BS - CF Actuals'!W46+'BS - CF Actuals'!W50)</f>
        <v>287238.53999999998</v>
      </c>
      <c r="T15" s="197">
        <f>IF(T3="forecast",#REF!,'BS - CF Actuals'!X46+'BS - CF Actuals'!X50)</f>
        <v>299315.68</v>
      </c>
      <c r="U15" s="197">
        <f>IF(U3="forecast",#REF!,'BS - CF Actuals'!Y46+'BS - CF Actuals'!Y50)</f>
        <v>324498.96000000002</v>
      </c>
      <c r="V15" s="197">
        <f>IF(V3="forecast",#REF!,'BS - CF Actuals'!Z46+'BS - CF Actuals'!Z50)</f>
        <v>336671.58999999997</v>
      </c>
      <c r="W15" s="197">
        <f>IF(W3="forecast",#REF!,'BS - CF Actuals'!AA46+'BS - CF Actuals'!AA50)</f>
        <v>349957.82</v>
      </c>
      <c r="X15" s="197">
        <f>IF(X3="forecast",#REF!,'BS - CF Actuals'!AB46+'BS - CF Actuals'!AB50)</f>
        <v>349957.82</v>
      </c>
      <c r="Y15" s="197">
        <f>IF(Y3="forecast",#REF!,'BS - CF Actuals'!AC46+'BS - CF Actuals'!AC50)</f>
        <v>369664.7</v>
      </c>
      <c r="Z15" s="1006">
        <f>IF(Z3="forecast",Y15,'BS - CF Actuals'!AD46+'BS - CF Actuals'!AD50)</f>
        <v>382658.59</v>
      </c>
      <c r="AA15" s="1006">
        <f>IF(AA3="forecast",Z15,'BS - CF Actuals'!AE46+'BS - CF Actuals'!AE50)</f>
        <v>478935.35</v>
      </c>
      <c r="AB15" s="1006">
        <f>IF(AB3="forecast",AA15,'BS - CF Actuals'!AF46+'BS - CF Actuals'!AF50)</f>
        <v>519743.41000000003</v>
      </c>
      <c r="AC15" s="604">
        <f>IF(AC3="forecast",'CAPEX &amp; Depr '!AB5,'BS - CF Actuals'!AG46+'BS - CF Actuals'!AG50)</f>
        <v>569485.62</v>
      </c>
      <c r="AD15" s="1006">
        <f>IF(AD3="forecast",'CAPEX &amp; Depr '!AA5,'BS - CF Actuals'!AH46+'BS - CF Actuals'!AH50)</f>
        <v>601347.96</v>
      </c>
      <c r="AE15" s="1006">
        <f>IF(AE3="forecast",'CAPEX &amp; Depr '!AB5,'BS - CF Actuals'!AI46+'BS - CF Actuals'!AI50)</f>
        <v>607415.02</v>
      </c>
      <c r="AF15" s="1006">
        <f>IF(AF3="forecast",'CAPEX &amp; Depr '!AC5,'BS - CF Actuals'!AJ46+'BS - CF Actuals'!AJ50)</f>
        <v>612454.22</v>
      </c>
      <c r="AG15" s="1006">
        <f>IF(AG3="forecast",'CAPEX &amp; Depr '!AD5,'BS - CF Actuals'!AK46+'BS - CF Actuals'!AK50)</f>
        <v>478935.35</v>
      </c>
      <c r="AH15" s="1006">
        <f>IF(AH3="forecast",'CAPEX &amp; Depr '!AE5,'BS - CF Actuals'!AL46+'BS - CF Actuals'!AL50)</f>
        <v>478935.35</v>
      </c>
      <c r="AI15" s="1006">
        <f>IF(AI3="forecast",'CAPEX &amp; Depr '!AF5,'BS - CF Actuals'!AM46+'BS - CF Actuals'!AM50)</f>
        <v>478935.35</v>
      </c>
      <c r="AJ15" s="1006">
        <f>IF(AJ3="forecast",'CAPEX &amp; Depr '!AG5,'BS - CF Actuals'!AN46+'BS - CF Actuals'!AN50)</f>
        <v>478935.35</v>
      </c>
      <c r="AK15" s="1006">
        <f>IF(AK3="forecast",'CAPEX &amp; Depr '!AH5,'BS - CF Actuals'!AO46+'BS - CF Actuals'!AO50)</f>
        <v>478935.35</v>
      </c>
      <c r="AL15" s="1006">
        <f>IF(AL3="forecast",'CAPEX &amp; Depr '!AI5,'BS - CF Actuals'!AP46+'BS - CF Actuals'!AP50)</f>
        <v>478935.35</v>
      </c>
      <c r="AM15" s="1006">
        <f>IF(AM3="forecast",'CAPEX &amp; Depr '!AJ5,'BS - CF Actuals'!AQ46+'BS - CF Actuals'!AQ50)</f>
        <v>478935.35</v>
      </c>
      <c r="AN15" s="1006">
        <f>IF(AN3="forecast",'CAPEX &amp; Depr '!AK5,'BS - CF Actuals'!AR46+'BS - CF Actuals'!AR50)</f>
        <v>478935.35</v>
      </c>
      <c r="AO15" s="1006">
        <f>IF(AO3="forecast",'CAPEX &amp; Depr '!AL5,'BS - CF Actuals'!AS46+'BS - CF Actuals'!AS50)</f>
        <v>478935.35</v>
      </c>
      <c r="AP15" s="1006">
        <f>IF(AP3="forecast",'CAPEX &amp; Depr '!AM5,'BS - CF Actuals'!AT46+'BS - CF Actuals'!AT50)</f>
        <v>478935.35</v>
      </c>
      <c r="AQ15" s="1006">
        <f>IF(AQ3="forecast",'CAPEX &amp; Depr '!AN5,'BS - CF Actuals'!AU46+'BS - CF Actuals'!AU50)</f>
        <v>478935.35</v>
      </c>
      <c r="AR15" s="1006">
        <f>IF(AR3="forecast",'CAPEX &amp; Depr '!AO5,'BS - CF Actuals'!AV46+'BS - CF Actuals'!AV50)</f>
        <v>478935.35</v>
      </c>
      <c r="AS15" s="1006">
        <f>IF(AS3="forecast",'CAPEX &amp; Depr '!AP5,'BS - CF Actuals'!AW46+'BS - CF Actuals'!AW50)</f>
        <v>478935.35</v>
      </c>
      <c r="AT15" s="1006">
        <f>IF(AT3="forecast",'CAPEX &amp; Depr '!AQ5,'BS - CF Actuals'!AX46+'BS - CF Actuals'!AX50)</f>
        <v>478935.35</v>
      </c>
      <c r="AU15" s="1006">
        <f>IF(AU3="forecast",'CAPEX &amp; Depr '!AR5,'BS - CF Actuals'!AY46+'BS - CF Actuals'!AY50)</f>
        <v>478935.35</v>
      </c>
      <c r="AV15" s="1006">
        <f>IF(AV3="forecast",'CAPEX &amp; Depr '!AS5,'BS - CF Actuals'!AZ46+'BS - CF Actuals'!AZ50)</f>
        <v>478935.35</v>
      </c>
      <c r="AW15" s="1006">
        <f>IF(AW3="forecast",'CAPEX &amp; Depr '!AT5,'BS - CF Actuals'!BA46+'BS - CF Actuals'!BA50)</f>
        <v>478935.35</v>
      </c>
      <c r="AX15" s="1006">
        <f>IF(AX3="forecast",'CAPEX &amp; Depr '!AU5,'BS - CF Actuals'!BB46+'BS - CF Actuals'!BB50)</f>
        <v>478935.35</v>
      </c>
      <c r="AY15" s="1006">
        <f>IF(AY3="forecast",'CAPEX &amp; Depr '!AV5,'BS - CF Actuals'!BC46+'BS - CF Actuals'!BC50)</f>
        <v>478935.35</v>
      </c>
      <c r="AZ15" s="1006">
        <f>IF(AZ3="forecast",'CAPEX &amp; Depr '!AW5,'BS - CF Actuals'!BD46+'BS - CF Actuals'!BD50)</f>
        <v>478935.35</v>
      </c>
      <c r="BA15" s="1006">
        <f>IF(BA3="forecast",'CAPEX &amp; Depr '!AX5,'BS - CF Actuals'!BE46+'BS - CF Actuals'!BE50)</f>
        <v>478935.35</v>
      </c>
      <c r="BB15" s="1006">
        <f>IF(BB3="forecast",'CAPEX &amp; Depr '!AY5,'BS - CF Actuals'!BF46+'BS - CF Actuals'!BF50)</f>
        <v>478935.35</v>
      </c>
      <c r="BC15" s="1006">
        <f>IF(BC3="forecast",'CAPEX &amp; Depr '!AZ5,'BS - CF Actuals'!BG46+'BS - CF Actuals'!BG50)</f>
        <v>478935.35</v>
      </c>
      <c r="BD15" s="1006">
        <f>IF(BD3="forecast",'CAPEX &amp; Depr '!BA5,'BS - CF Actuals'!BH46+'BS - CF Actuals'!BH50)</f>
        <v>478935.35</v>
      </c>
      <c r="BE15" s="1006">
        <f>IF(BE3="forecast",'CAPEX &amp; Depr '!BB5,'BS - CF Actuals'!BI46+'BS - CF Actuals'!BI50)</f>
        <v>478935.35</v>
      </c>
      <c r="BF15" s="1006">
        <f>IF(BF3="forecast",'CAPEX &amp; Depr '!BC5,'BS - CF Actuals'!BJ46+'BS - CF Actuals'!BJ50)</f>
        <v>478935.35</v>
      </c>
      <c r="BG15" s="1006">
        <f>IF(BG3="forecast",'CAPEX &amp; Depr '!BD5,'BS - CF Actuals'!BK46+'BS - CF Actuals'!BK50)</f>
        <v>478935.35</v>
      </c>
      <c r="BH15" s="1006">
        <f>IF(BH3="forecast",'CAPEX &amp; Depr '!BE5,'BS - CF Actuals'!BL46+'BS - CF Actuals'!BL50)</f>
        <v>478935.35</v>
      </c>
      <c r="BI15" s="1006">
        <f>IF(BI3="forecast",'CAPEX &amp; Depr '!BF5,'BS - CF Actuals'!BM46+'BS - CF Actuals'!BM50)</f>
        <v>478935.35</v>
      </c>
      <c r="BJ15" s="1006">
        <f>IF(BJ3="forecast",'CAPEX &amp; Depr '!BG5,'BS - CF Actuals'!BN46+'BS - CF Actuals'!BN50)</f>
        <v>478935.35</v>
      </c>
      <c r="BK15" s="1006">
        <f>IF(BK3="forecast",'CAPEX &amp; Depr '!BH5,'BS - CF Actuals'!BO46+'BS - CF Actuals'!BO50)</f>
        <v>478935.35</v>
      </c>
      <c r="BL15" s="1006">
        <f>IF(BL3="forecast",'CAPEX &amp; Depr '!BI5,'BS - CF Actuals'!BP46+'BS - CF Actuals'!BP50)</f>
        <v>478935.35</v>
      </c>
      <c r="BM15" s="1006">
        <f>IF(BM3="forecast",'CAPEX &amp; Depr '!BJ5,'BS - CF Actuals'!BQ46+'BS - CF Actuals'!BQ50)</f>
        <v>478935.35</v>
      </c>
      <c r="BN15" s="1006">
        <f>IF(BN3="forecast",'CAPEX &amp; Depr '!BK5,'BS - CF Actuals'!BR46+'BS - CF Actuals'!BR50)</f>
        <v>478935.35</v>
      </c>
      <c r="BO15" s="1006">
        <f>IF(BO3="forecast",'CAPEX &amp; Depr '!BL5,'BS - CF Actuals'!BS46+'BS - CF Actuals'!BS50)</f>
        <v>478935.35</v>
      </c>
      <c r="BP15" s="1006">
        <f>IF(BP3="forecast",'CAPEX &amp; Depr '!BM5,'BS - CF Actuals'!BT46+'BS - CF Actuals'!BT50)</f>
        <v>478935.35</v>
      </c>
      <c r="BQ15" s="1006">
        <f>IF(BQ3="forecast",'CAPEX &amp; Depr '!BN5,'BS - CF Actuals'!BU46+'BS - CF Actuals'!BU50)</f>
        <v>478935.35</v>
      </c>
      <c r="BR15" s="1006">
        <f>IF(BR3="forecast",'CAPEX &amp; Depr '!BO5,'BS - CF Actuals'!BV46+'BS - CF Actuals'!BV50)</f>
        <v>478935.35</v>
      </c>
      <c r="BS15" s="1006">
        <f>IF(BS3="forecast",'CAPEX &amp; Depr '!BP5,'BS - CF Actuals'!BW46+'BS - CF Actuals'!BW50)</f>
        <v>478935.35</v>
      </c>
      <c r="BT15" s="1006">
        <f>IF(BT3="forecast",'CAPEX &amp; Depr '!BQ5,'BS - CF Actuals'!BX46+'BS - CF Actuals'!BX50)</f>
        <v>478935.35</v>
      </c>
      <c r="BU15" s="1006">
        <f>IF(BU3="forecast",'CAPEX &amp; Depr '!BR5,'BS - CF Actuals'!BY46+'BS - CF Actuals'!BY50)</f>
        <v>478935.35</v>
      </c>
      <c r="BV15" s="1006">
        <f>IF(BV3="forecast",'CAPEX &amp; Depr '!BS5,'BS - CF Actuals'!BZ46+'BS - CF Actuals'!BZ50)</f>
        <v>478935.35</v>
      </c>
      <c r="BW15" s="1006">
        <f>IF(BW3="forecast",'CAPEX &amp; Depr '!BT5,'BS - CF Actuals'!CA46+'BS - CF Actuals'!CA50)</f>
        <v>478935.35</v>
      </c>
      <c r="BX15" s="1006">
        <f>IF(BX3="forecast",'CAPEX &amp; Depr '!BU5,'BS - CF Actuals'!CB46+'BS - CF Actuals'!CB50)</f>
        <v>478935.35</v>
      </c>
      <c r="BY15" s="1006">
        <f>IF(BY3="forecast",'CAPEX &amp; Depr '!BV5,'BS - CF Actuals'!CC46+'BS - CF Actuals'!CC50)</f>
        <v>478935.35</v>
      </c>
    </row>
    <row r="16" spans="1:77" s="27" customFormat="1" x14ac:dyDescent="0.2">
      <c r="B16" s="27" t="s">
        <v>442</v>
      </c>
      <c r="D16" s="197">
        <f>IF(D3="forecast",#REF!,'BS - CF Actuals'!H54+'BS - CF Actuals'!H58)</f>
        <v>218701.44</v>
      </c>
      <c r="E16" s="197">
        <f>IF(E3="forecast",#REF!,'BS - CF Actuals'!I54+'BS - CF Actuals'!I58)</f>
        <v>321612.34999999998</v>
      </c>
      <c r="F16" s="197">
        <f>IF(F3="forecast",#REF!,'BS - CF Actuals'!J54+'BS - CF Actuals'!J58)</f>
        <v>324949.84999999998</v>
      </c>
      <c r="G16" s="197">
        <f>IF(G3="forecast",#REF!,'BS - CF Actuals'!K54+'BS - CF Actuals'!K58)</f>
        <v>324949.84999999998</v>
      </c>
      <c r="H16" s="197">
        <f>IF(H3="forecast",#REF!,'BS - CF Actuals'!L54+'BS - CF Actuals'!L58)</f>
        <v>341008.32</v>
      </c>
      <c r="I16" s="197">
        <f>IF(I3="forecast",#REF!,'BS - CF Actuals'!M54+'BS - CF Actuals'!M58)</f>
        <v>373612.26</v>
      </c>
      <c r="J16" s="197">
        <f>IF(J3="forecast",#REF!,'BS - CF Actuals'!N54+'BS - CF Actuals'!N58)</f>
        <v>373612.26</v>
      </c>
      <c r="K16" s="197">
        <f>IF(K3="forecast",#REF!,'BS - CF Actuals'!O54+'BS - CF Actuals'!O58)</f>
        <v>374118.25</v>
      </c>
      <c r="L16" s="197">
        <f>IF(L3="forecast",#REF!,'BS - CF Actuals'!P54+'BS - CF Actuals'!P58)</f>
        <v>376518.25</v>
      </c>
      <c r="M16" s="197">
        <f>IF(M3="forecast",#REF!,'BS - CF Actuals'!Q54+'BS - CF Actuals'!Q58)</f>
        <v>376518.25</v>
      </c>
      <c r="N16" s="197">
        <f>IF(N3="forecast",#REF!,'BS - CF Actuals'!R54+'BS - CF Actuals'!R58)</f>
        <v>376518.25</v>
      </c>
      <c r="O16" s="197">
        <f>IF(O3="forecast",#REF!,'BS - CF Actuals'!S54+'BS - CF Actuals'!S58)</f>
        <v>416973.49</v>
      </c>
      <c r="P16" s="197">
        <f>IF(P3="forecast",#REF!,'BS - CF Actuals'!T54+'BS - CF Actuals'!T58)</f>
        <v>416973.49</v>
      </c>
      <c r="Q16" s="197">
        <f>IF(Q3="forecast",'CAPEX &amp; Depr '!N6+'CAPEX &amp; Depr '!N7,'BS - CF Actuals'!T54+'BS - CF Actuals'!T58)</f>
        <v>416973.49</v>
      </c>
      <c r="R16" s="197">
        <f>IF(R3="forecast",'CAPEX &amp; Depr '!O6+'CAPEX &amp; Depr '!O7,'BS - CF Actuals'!U54+'BS - CF Actuals'!U58)</f>
        <v>416384.7</v>
      </c>
      <c r="S16" s="197">
        <f>IF(S3="forecast",'CAPEX &amp; Depr '!P6+'CAPEX &amp; Depr '!P7,'BS - CF Actuals'!V54+'BS - CF Actuals'!V58)</f>
        <v>431756.89</v>
      </c>
      <c r="T16" s="197">
        <f>IF(T3="forecast",'CAPEX &amp; Depr '!Q6+'CAPEX &amp; Depr '!Q7,'BS - CF Actuals'!W54+'BS - CF Actuals'!W58)</f>
        <v>482146.62</v>
      </c>
      <c r="U16" s="197">
        <f>IF(U3="forecast",'CAPEX &amp; Depr '!R6+'CAPEX &amp; Depr '!R7,'BS - CF Actuals'!X54+'BS - CF Actuals'!X58)</f>
        <v>502147.06999999995</v>
      </c>
      <c r="V16" s="197">
        <f>IF(V3="forecast",'CAPEX &amp; Depr '!S6+'CAPEX &amp; Depr '!S7,'BS - CF Actuals'!Y54+'BS - CF Actuals'!Y58)</f>
        <v>511947.06999999995</v>
      </c>
      <c r="W16" s="197">
        <f>IF(W3="forecast",'CAPEX &amp; Depr '!T6+'CAPEX &amp; Depr '!T7,'BS - CF Actuals'!Z54+'BS - CF Actuals'!Z58)</f>
        <v>511947.06999999995</v>
      </c>
      <c r="X16" s="197">
        <f>IF(X3="forecast",'CAPEX &amp; Depr '!U6+'CAPEX &amp; Depr '!U7,'BS - CF Actuals'!AA54+'BS - CF Actuals'!AA58)</f>
        <v>511947.06999999995</v>
      </c>
      <c r="Y16" s="197">
        <f>IF(Y3="forecast",'CAPEX &amp; Depr '!V6+'CAPEX &amp; Depr '!V7,'BS - CF Actuals'!AB54+'BS - CF Actuals'!AB58)</f>
        <v>515595.75</v>
      </c>
      <c r="Z16" s="197">
        <f>IF(Z3="forecast",'CAPEX &amp; Depr '!W6+'CAPEX &amp; Depr '!W7,'BS - CF Actuals'!AC54+'BS - CF Actuals'!AC58)</f>
        <v>521881.78</v>
      </c>
      <c r="AA16" s="197">
        <f>IF(AA3="forecast",'CAPEX &amp; Depr '!X6+'CAPEX &amp; Depr '!X7,'BS - CF Actuals'!AD54+'BS - CF Actuals'!AD58)</f>
        <v>522745.63</v>
      </c>
      <c r="AB16" s="197">
        <f>IF(AB3="forecast",'CAPEX &amp; Depr '!Y6+'CAPEX &amp; Depr '!Y7,'BS - CF Actuals'!AE54+'BS - CF Actuals'!AE58)</f>
        <v>522745.63</v>
      </c>
      <c r="AC16" s="197">
        <f>IF(AC3="forecast",'CAPEX &amp; Depr '!Z6+'CAPEX &amp; Depr '!Z7,'BS - CF Actuals'!AF54+'BS - CF Actuals'!AF58)</f>
        <v>522745.63</v>
      </c>
      <c r="AD16" s="197">
        <f>IF(AD3="forecast",'CAPEX &amp; Depr '!AA6+'CAPEX &amp; Depr '!AA7,'BS - CF Actuals'!AG54+'BS - CF Actuals'!AG58)</f>
        <v>522745.63</v>
      </c>
      <c r="AE16" s="197">
        <f>IF(AE3="forecast",'CAPEX &amp; Depr '!AB6+'CAPEX &amp; Depr '!AB7,'BS - CF Actuals'!AH54+'BS - CF Actuals'!AH58)</f>
        <v>571801.37999999989</v>
      </c>
      <c r="AF16" s="197">
        <f>IF(AF3="forecast",'CAPEX &amp; Depr '!AC6+'CAPEX &amp; Depr '!AC7,'BS - CF Actuals'!AI54+'BS - CF Actuals'!AI58)</f>
        <v>571801.37999999989</v>
      </c>
      <c r="AG16" s="197">
        <f>IF(AG3="forecast",'CAPEX &amp; Depr '!AD6+'CAPEX &amp; Depr '!AD7,'BS - CF Actuals'!AJ54+'BS - CF Actuals'!AJ58)</f>
        <v>556332.32000000007</v>
      </c>
      <c r="AH16" s="197">
        <f>IF(AH3="forecast",'CAPEX &amp; Depr '!AE6+'CAPEX &amp; Depr '!AE7,'BS - CF Actuals'!AK54+'BS - CF Actuals'!AK58)</f>
        <v>556332.32000000007</v>
      </c>
      <c r="AI16" s="197">
        <f>IF(AI3="forecast",'CAPEX &amp; Depr '!AF6+'CAPEX &amp; Depr '!AF7,'BS - CF Actuals'!AL54+'BS - CF Actuals'!AL58)</f>
        <v>556332.32000000007</v>
      </c>
      <c r="AJ16" s="197">
        <f>IF(AJ3="forecast",'CAPEX &amp; Depr '!AG6+'CAPEX &amp; Depr '!AG7,'BS - CF Actuals'!AM54+'BS - CF Actuals'!AM58)</f>
        <v>556332.32000000007</v>
      </c>
      <c r="AK16" s="197">
        <f>IF(AK3="forecast",'CAPEX &amp; Depr '!AH6+'CAPEX &amp; Depr '!AH7,'BS - CF Actuals'!AN54+'BS - CF Actuals'!AN58)</f>
        <v>556332.32000000007</v>
      </c>
      <c r="AL16" s="197">
        <f>IF(AL3="forecast",'CAPEX &amp; Depr '!AI6+'CAPEX &amp; Depr '!AI7,'BS - CF Actuals'!AO54+'BS - CF Actuals'!AO58)</f>
        <v>556332.32000000007</v>
      </c>
      <c r="AM16" s="197">
        <f>IF(AM3="forecast",'CAPEX &amp; Depr '!AJ6+'CAPEX &amp; Depr '!AJ7,'BS - CF Actuals'!AP54+'BS - CF Actuals'!AP58)</f>
        <v>556332.32000000007</v>
      </c>
      <c r="AN16" s="197">
        <f>IF(AN3="forecast",'CAPEX &amp; Depr '!AK6+'CAPEX &amp; Depr '!AK7,'BS - CF Actuals'!AQ54+'BS - CF Actuals'!AQ58)</f>
        <v>556332.32000000007</v>
      </c>
      <c r="AO16" s="197">
        <f>IF(AO3="forecast",'CAPEX &amp; Depr '!AL6+'CAPEX &amp; Depr '!AL7,'BS - CF Actuals'!AR54+'BS - CF Actuals'!AR58)</f>
        <v>556332.32000000007</v>
      </c>
      <c r="AP16" s="197">
        <f>IF(AP3="forecast",'CAPEX &amp; Depr '!AM6+'CAPEX &amp; Depr '!AM7,'BS - CF Actuals'!AS54+'BS - CF Actuals'!AS58)</f>
        <v>556332.32000000007</v>
      </c>
      <c r="AQ16" s="197">
        <f>IF(AQ3="forecast",'CAPEX &amp; Depr '!AN6+'CAPEX &amp; Depr '!AN7,'BS - CF Actuals'!AT54+'BS - CF Actuals'!AT58)</f>
        <v>556332.32000000007</v>
      </c>
      <c r="AR16" s="197">
        <f>IF(AR3="forecast",'CAPEX &amp; Depr '!AO6+'CAPEX &amp; Depr '!AO7,'BS - CF Actuals'!AU54+'BS - CF Actuals'!AU58)</f>
        <v>556332.32000000007</v>
      </c>
      <c r="AS16" s="197">
        <f>IF(AS3="forecast",'CAPEX &amp; Depr '!AP6+'CAPEX &amp; Depr '!AP7,'BS - CF Actuals'!AV54+'BS - CF Actuals'!AV58)</f>
        <v>556332.32000000007</v>
      </c>
      <c r="AT16" s="197">
        <f>IF(AT3="forecast",'CAPEX &amp; Depr '!AQ6+'CAPEX &amp; Depr '!AQ7,'BS - CF Actuals'!AW54+'BS - CF Actuals'!AW58)</f>
        <v>556332.32000000007</v>
      </c>
      <c r="AU16" s="197">
        <f>IF(AU3="forecast",'CAPEX &amp; Depr '!AR6+'CAPEX &amp; Depr '!AR7,'BS - CF Actuals'!AX54+'BS - CF Actuals'!AX58)</f>
        <v>556332.32000000007</v>
      </c>
      <c r="AV16" s="197">
        <f>IF(AV3="forecast",'CAPEX &amp; Depr '!AS6+'CAPEX &amp; Depr '!AS7,'BS - CF Actuals'!AY54+'BS - CF Actuals'!AY58)</f>
        <v>556332.32000000007</v>
      </c>
      <c r="AW16" s="197">
        <f>IF(AW3="forecast",'CAPEX &amp; Depr '!AT6+'CAPEX &amp; Depr '!AT7,'BS - CF Actuals'!AZ54+'BS - CF Actuals'!AZ58)</f>
        <v>556332.32000000007</v>
      </c>
      <c r="AX16" s="197">
        <f>IF(AX3="forecast",'CAPEX &amp; Depr '!AU6+'CAPEX &amp; Depr '!AU7,'BS - CF Actuals'!BA54+'BS - CF Actuals'!BA58)</f>
        <v>556332.32000000007</v>
      </c>
      <c r="AY16" s="197">
        <f>IF(AY3="forecast",'CAPEX &amp; Depr '!AV6+'CAPEX &amp; Depr '!AV7,'BS - CF Actuals'!BB54+'BS - CF Actuals'!BB58)</f>
        <v>556332.32000000007</v>
      </c>
      <c r="AZ16" s="197">
        <f>IF(AZ3="forecast",'CAPEX &amp; Depr '!AW6+'CAPEX &amp; Depr '!AW7,'BS - CF Actuals'!BC54+'BS - CF Actuals'!BC58)</f>
        <v>556332.32000000007</v>
      </c>
      <c r="BA16" s="197">
        <f>IF(BA3="forecast",'CAPEX &amp; Depr '!AX6+'CAPEX &amp; Depr '!AX7,'BS - CF Actuals'!BD54+'BS - CF Actuals'!BD58)</f>
        <v>556332.32000000007</v>
      </c>
      <c r="BB16" s="197">
        <f>IF(BB3="forecast",'CAPEX &amp; Depr '!AY6+'CAPEX &amp; Depr '!AY7,'BS - CF Actuals'!BE54+'BS - CF Actuals'!BE58)</f>
        <v>556332.32000000007</v>
      </c>
      <c r="BC16" s="197">
        <f>IF(BC3="forecast",'CAPEX &amp; Depr '!AZ6+'CAPEX &amp; Depr '!AZ7,'BS - CF Actuals'!BF54+'BS - CF Actuals'!BF58)</f>
        <v>556332.32000000007</v>
      </c>
      <c r="BD16" s="197">
        <f>IF(BD3="forecast",'CAPEX &amp; Depr '!BA6+'CAPEX &amp; Depr '!BA7,'BS - CF Actuals'!BG54+'BS - CF Actuals'!BG58)</f>
        <v>556332.32000000007</v>
      </c>
      <c r="BE16" s="197">
        <f>IF(BE3="forecast",'CAPEX &amp; Depr '!BB6+'CAPEX &amp; Depr '!BB7,'BS - CF Actuals'!BH54+'BS - CF Actuals'!BH58)</f>
        <v>556332.32000000007</v>
      </c>
      <c r="BF16" s="197">
        <f>IF(BF3="forecast",'CAPEX &amp; Depr '!BC6+'CAPEX &amp; Depr '!BC7,'BS - CF Actuals'!BI54+'BS - CF Actuals'!BI58)</f>
        <v>556332.32000000007</v>
      </c>
      <c r="BG16" s="197">
        <f>IF(BG3="forecast",'CAPEX &amp; Depr '!BD6+'CAPEX &amp; Depr '!BD7,'BS - CF Actuals'!BJ54+'BS - CF Actuals'!BJ58)</f>
        <v>556332.32000000007</v>
      </c>
      <c r="BH16" s="197">
        <f>IF(BH3="forecast",'CAPEX &amp; Depr '!BE6+'CAPEX &amp; Depr '!BE7,'BS - CF Actuals'!BK54+'BS - CF Actuals'!BK58)</f>
        <v>556332.32000000007</v>
      </c>
      <c r="BI16" s="197">
        <f>IF(BI3="forecast",'CAPEX &amp; Depr '!BF6+'CAPEX &amp; Depr '!BF7,'BS - CF Actuals'!BL54+'BS - CF Actuals'!BL58)</f>
        <v>556332.32000000007</v>
      </c>
      <c r="BJ16" s="197">
        <f>IF(BJ3="forecast",'CAPEX &amp; Depr '!BG6+'CAPEX &amp; Depr '!BG7,'BS - CF Actuals'!BM54+'BS - CF Actuals'!BM58)</f>
        <v>556332.32000000007</v>
      </c>
      <c r="BK16" s="197">
        <f>IF(BK3="forecast",'CAPEX &amp; Depr '!BH6+'CAPEX &amp; Depr '!BH7,'BS - CF Actuals'!BN54+'BS - CF Actuals'!BN58)</f>
        <v>556332.32000000007</v>
      </c>
      <c r="BL16" s="197">
        <f>IF(BL3="forecast",'CAPEX &amp; Depr '!BI6+'CAPEX &amp; Depr '!BI7,'BS - CF Actuals'!BO54+'BS - CF Actuals'!BO58)</f>
        <v>556332.32000000007</v>
      </c>
      <c r="BM16" s="197">
        <f>IF(BM3="forecast",'CAPEX &amp; Depr '!BJ6+'CAPEX &amp; Depr '!BJ7,'BS - CF Actuals'!BP54+'BS - CF Actuals'!BP58)</f>
        <v>556332.32000000007</v>
      </c>
      <c r="BN16" s="197">
        <f>IF(BN3="forecast",'CAPEX &amp; Depr '!BK6+'CAPEX &amp; Depr '!BK7,'BS - CF Actuals'!BQ54+'BS - CF Actuals'!BQ58)</f>
        <v>556332.32000000007</v>
      </c>
      <c r="BO16" s="197">
        <f>IF(BO3="forecast",'CAPEX &amp; Depr '!BL6+'CAPEX &amp; Depr '!BL7,'BS - CF Actuals'!BR54+'BS - CF Actuals'!BR58)</f>
        <v>556332.32000000007</v>
      </c>
      <c r="BP16" s="197">
        <f>IF(BP3="forecast",'CAPEX &amp; Depr '!BM6+'CAPEX &amp; Depr '!BM7,'BS - CF Actuals'!BS54+'BS - CF Actuals'!BS58)</f>
        <v>556332.32000000007</v>
      </c>
      <c r="BQ16" s="197">
        <f>IF(BQ3="forecast",'CAPEX &amp; Depr '!BN6+'CAPEX &amp; Depr '!BN7,'BS - CF Actuals'!BT54+'BS - CF Actuals'!BT58)</f>
        <v>556332.32000000007</v>
      </c>
      <c r="BR16" s="197">
        <f>IF(BR3="forecast",'CAPEX &amp; Depr '!BO6+'CAPEX &amp; Depr '!BO7,'BS - CF Actuals'!BU54+'BS - CF Actuals'!BU58)</f>
        <v>556332.32000000007</v>
      </c>
      <c r="BS16" s="197">
        <f>IF(BS3="forecast",'CAPEX &amp; Depr '!BP6+'CAPEX &amp; Depr '!BP7,'BS - CF Actuals'!BV54+'BS - CF Actuals'!BV58)</f>
        <v>556332.32000000007</v>
      </c>
      <c r="BT16" s="197">
        <f>IF(BT3="forecast",'CAPEX &amp; Depr '!BQ6+'CAPEX &amp; Depr '!BQ7,'BS - CF Actuals'!BW54+'BS - CF Actuals'!BW58)</f>
        <v>556332.32000000007</v>
      </c>
      <c r="BU16" s="197">
        <f>IF(BU3="forecast",'CAPEX &amp; Depr '!BR6+'CAPEX &amp; Depr '!BR7,'BS - CF Actuals'!BX54+'BS - CF Actuals'!BX58)</f>
        <v>556332.32000000007</v>
      </c>
      <c r="BV16" s="197">
        <f>IF(BV3="forecast",'CAPEX &amp; Depr '!BS6+'CAPEX &amp; Depr '!BS7,'BS - CF Actuals'!BY54+'BS - CF Actuals'!BY58)</f>
        <v>556332.32000000007</v>
      </c>
      <c r="BW16" s="197">
        <f>IF(BW3="forecast",'CAPEX &amp; Depr '!BT6+'CAPEX &amp; Depr '!BT7,'BS - CF Actuals'!BZ54+'BS - CF Actuals'!BZ58)</f>
        <v>556332.32000000007</v>
      </c>
      <c r="BX16" s="197">
        <f>IF(BX3="forecast",'CAPEX &amp; Depr '!BU6+'CAPEX &amp; Depr '!BU7,'BS - CF Actuals'!CA54+'BS - CF Actuals'!CA58)</f>
        <v>556332.32000000007</v>
      </c>
      <c r="BY16" s="197">
        <f>IF(BY3="forecast",'CAPEX &amp; Depr '!BV6+'CAPEX &amp; Depr '!BV7,'BS - CF Actuals'!CB54+'BS - CF Actuals'!CB58)</f>
        <v>556332.32000000007</v>
      </c>
    </row>
    <row r="17" spans="1:77" s="27" customFormat="1" x14ac:dyDescent="0.2">
      <c r="B17" s="27" t="s">
        <v>97</v>
      </c>
      <c r="D17" s="107">
        <f>IF(D3="forecast",A17-#REF!,'BS - CF Actuals'!H60)</f>
        <v>-112017.22</v>
      </c>
      <c r="E17" s="107">
        <f>IF(E3="forecast",B17-#REF!,'BS - CF Actuals'!I60)</f>
        <v>-182957.23</v>
      </c>
      <c r="F17" s="107">
        <f>IF(F3="forecast",C17-#REF!,'BS - CF Actuals'!J60)</f>
        <v>-182957.22999999998</v>
      </c>
      <c r="G17" s="107">
        <f>IF(G3="forecast",F17-#REF!,'BS - CF Actuals'!K60)</f>
        <v>-182957.22999999998</v>
      </c>
      <c r="H17" s="107">
        <f>IF(H3="forecast",G17-#REF!,'BS - CF Actuals'!L60)</f>
        <v>-182957.22999999998</v>
      </c>
      <c r="I17" s="107">
        <f>IF(I3="forecast",H17-#REF!,'BS - CF Actuals'!M60)</f>
        <v>-182957.22999999998</v>
      </c>
      <c r="J17" s="107">
        <f>IF(J3="forecast",I17-#REF!,'BS - CF Actuals'!N60)</f>
        <v>-182957.22999999998</v>
      </c>
      <c r="K17" s="107">
        <f>IF(K3="forecast",J17-#REF!,'BS - CF Actuals'!O60)</f>
        <v>-182957.22999999998</v>
      </c>
      <c r="L17" s="107">
        <f>IF(L3="forecast",K17-#REF!,'BS - CF Actuals'!P60)</f>
        <v>-182957.22999999998</v>
      </c>
      <c r="M17" s="107">
        <f>IF(M3="forecast",L17-#REF!,'BS - CF Actuals'!Q60)</f>
        <v>-182957.22999999998</v>
      </c>
      <c r="N17" s="107">
        <f>IF(N3="forecast",M17-#REF!,'BS - CF Actuals'!R60)</f>
        <v>-182957.22999999998</v>
      </c>
      <c r="O17" s="107">
        <f>IF(O3="forecast",N17-#REF!,'BS - CF Actuals'!S60)</f>
        <v>-182957.22999999998</v>
      </c>
      <c r="P17" s="107">
        <f>IF(P3="forecast",O17-#REF!,'BS - CF Actuals'!T60)</f>
        <v>-182957.22999999998</v>
      </c>
      <c r="Q17" s="107">
        <f>IF(Q3="forecast",P17-'CAPEX &amp; Depr '!N19,'BS - CF Actuals'!T60)</f>
        <v>-182957.22999999998</v>
      </c>
      <c r="R17" s="107">
        <f>IF(R3="forecast",Q17-'CAPEX &amp; Depr '!O19,'BS - CF Actuals'!U60)</f>
        <v>-280493.88</v>
      </c>
      <c r="S17" s="107">
        <f>IF(S3="forecast",R17-'CAPEX &amp; Depr '!P19,'BS - CF Actuals'!V60)</f>
        <v>-290631.21000000002</v>
      </c>
      <c r="T17" s="107">
        <f>IF(T3="forecast",S17-'CAPEX &amp; Depr '!Q19,'BS - CF Actuals'!W60)</f>
        <v>-301570.71000000002</v>
      </c>
      <c r="U17" s="107">
        <f>IF(U3="forecast",T17-'CAPEX &amp; Depr '!R19,'BS - CF Actuals'!X60)</f>
        <v>-312942.47000000003</v>
      </c>
      <c r="V17" s="107">
        <f>IF(V3="forecast",U17-'CAPEX &amp; Depr '!S19,'BS - CF Actuals'!Y60)</f>
        <v>-324649.47000000003</v>
      </c>
      <c r="W17" s="107">
        <f>IF(W3="forecast",V17-'CAPEX &amp; Depr '!T19,'BS - CF Actuals'!Z60)</f>
        <v>-336519.97</v>
      </c>
      <c r="X17" s="107">
        <f>IF(X3="forecast",W17-'CAPEX &amp; Depr '!U19,'BS - CF Actuals'!AA60)</f>
        <v>-348473.47</v>
      </c>
      <c r="Y17" s="107">
        <f>IF(Y3="forecast",X17-'CAPEX &amp; Depr '!V19,'BS - CF Actuals'!AB60)</f>
        <v>-360477.63999999996</v>
      </c>
      <c r="Z17" s="107">
        <f>IF(Z3="forecast",Y17-'CAPEX &amp; Depr '!W19,'BS - CF Actuals'!AC60)</f>
        <v>-372603.38</v>
      </c>
      <c r="AA17" s="107">
        <f>IF(AA3="forecast",Z17-'CAPEX &amp; Depr '!X19,'BS - CF Actuals'!AD60)</f>
        <v>-384797.71</v>
      </c>
      <c r="AB17" s="107">
        <f>IF(AB3="forecast",AA17-'CAPEX &amp; Depr '!Y19,'BS - CF Actuals'!AF60)</f>
        <v>-409766.29</v>
      </c>
      <c r="AC17" s="107">
        <f>IF(AC3="forecast",AB17-'CAPEX &amp; Depr '!Z19,'BS - CF Actuals'!AF60)</f>
        <v>-409766.29</v>
      </c>
      <c r="AD17" s="107">
        <f>IF(AD3="forecast",AC17-'CAPEX &amp; Depr '!AA19,'BS - CF Actuals'!AG60)</f>
        <v>-420982.29000000004</v>
      </c>
      <c r="AE17" s="107">
        <f>IF(AE3="forecast",AD17-'CAPEX &amp; Depr '!AB19,'BS - CF Actuals'!AH60)</f>
        <v>-436910.29000000004</v>
      </c>
      <c r="AF17" s="107">
        <f>IF(AF3="forecast",AE17-'CAPEX &amp; Depr '!AC19,'BS - CF Actuals'!AI60)</f>
        <v>-452838.29000000004</v>
      </c>
      <c r="AG17" s="107">
        <f>IF(AG3="forecast",AF17-'CAPEX &amp; Depr '!AD19,'BS - CF Actuals'!AJ60)</f>
        <v>-468751.79000000004</v>
      </c>
      <c r="AH17" s="107">
        <f>IF(AH3="forecast",AG17-'CAPEX &amp; Depr '!AE19,'BS - CF Actuals'!AK60)</f>
        <v>-485142.69500000007</v>
      </c>
      <c r="AI17" s="107">
        <f>IF(AI3="forecast",AH17-'CAPEX &amp; Depr '!AF19,'BS - CF Actuals'!AL60)</f>
        <v>-502025.32715000008</v>
      </c>
      <c r="AJ17" s="107">
        <f>IF(AJ3="forecast",AI17-'CAPEX &amp; Depr '!AG19,'BS - CF Actuals'!AM60)</f>
        <v>-519414.43826450006</v>
      </c>
      <c r="AK17" s="107">
        <f>IF(AK3="forecast",AJ17-'CAPEX &amp; Depr '!AH19,'BS - CF Actuals'!AN60)</f>
        <v>-537325.22271243506</v>
      </c>
      <c r="AL17" s="107">
        <f>IF(AL3="forecast",AK17-'CAPEX &amp; Depr '!AI19,'BS - CF Actuals'!AO60)</f>
        <v>-555773.33069380815</v>
      </c>
      <c r="AM17" s="107">
        <f>IF(AM3="forecast",AL17-'CAPEX &amp; Depr '!AJ19,'BS - CF Actuals'!AP60)</f>
        <v>-574774.88191462238</v>
      </c>
      <c r="AN17" s="107">
        <f>IF(AN3="forecast",AM17-'CAPEX &amp; Depr '!AK19,'BS - CF Actuals'!AQ60)</f>
        <v>-594346.47967206105</v>
      </c>
      <c r="AO17" s="107">
        <f>IF(AO3="forecast",AN17-'CAPEX &amp; Depr '!AL19,'BS - CF Actuals'!AR60)</f>
        <v>-614505.22536222287</v>
      </c>
      <c r="AP17" s="107">
        <f>IF(AP3="forecast",AO17-'CAPEX &amp; Depr '!AM19,'BS - CF Actuals'!AS60)</f>
        <v>-635268.73342308961</v>
      </c>
      <c r="AQ17" s="107">
        <f>IF(AQ3="forecast",AP17-'CAPEX &amp; Depr '!AN19,'BS - CF Actuals'!AT60)</f>
        <v>-656655.14672578231</v>
      </c>
      <c r="AR17" s="107">
        <f>IF(AR3="forecast",AQ17-'CAPEX &amp; Depr '!AO19,'BS - CF Actuals'!AU60)</f>
        <v>-678683.15242755576</v>
      </c>
      <c r="AS17" s="107">
        <f>IF(AS3="forecast",AR17-'CAPEX &amp; Depr '!AP19,'BS - CF Actuals'!AV60)</f>
        <v>-701371.9983003824</v>
      </c>
      <c r="AT17" s="107">
        <f>IF(AT3="forecast",AS17-'CAPEX &amp; Depr '!AQ19,'BS - CF Actuals'!AW60)</f>
        <v>-724741.5095493939</v>
      </c>
      <c r="AU17" s="107">
        <f>IF(AU3="forecast",AT17-'CAPEX &amp; Depr '!AR19,'BS - CF Actuals'!AX60)</f>
        <v>-748812.10613587569</v>
      </c>
      <c r="AV17" s="107">
        <f>IF(AV3="forecast",AU17-'CAPEX &amp; Depr '!AS19,'BS - CF Actuals'!AY60)</f>
        <v>-773604.82061995193</v>
      </c>
      <c r="AW17" s="107">
        <f>IF(AW3="forecast",AV17-'CAPEX &amp; Depr '!AT19,'BS - CF Actuals'!AZ60)</f>
        <v>-799141.31653855054</v>
      </c>
      <c r="AX17" s="107">
        <f>IF(AX3="forecast",AW17-'CAPEX &amp; Depr '!AU19,'BS - CF Actuals'!BA60)</f>
        <v>-825443.9073347071</v>
      </c>
      <c r="AY17" s="107">
        <f>IF(AY3="forecast",AX17-'CAPEX &amp; Depr '!AV19,'BS - CF Actuals'!BB60)</f>
        <v>-852535.57585474825</v>
      </c>
      <c r="AZ17" s="107">
        <f>IF(AZ3="forecast",AY17-'CAPEX &amp; Depr '!AW19,'BS - CF Actuals'!BC60)</f>
        <v>-880439.99443039065</v>
      </c>
      <c r="BA17" s="107">
        <f>IF(BA3="forecast",AZ17-'CAPEX &amp; Depr '!AX19,'BS - CF Actuals'!BD60)</f>
        <v>-909181.54556330235</v>
      </c>
      <c r="BB17" s="107">
        <f>IF(BB3="forecast",BA17-'CAPEX &amp; Depr '!AY19,'BS - CF Actuals'!BE60)</f>
        <v>-938785.3432302014</v>
      </c>
      <c r="BC17" s="107">
        <f>IF(BC3="forecast",BB17-'CAPEX &amp; Depr '!AZ19,'BS - CF Actuals'!BF60)</f>
        <v>-938785.3432302014</v>
      </c>
      <c r="BD17" s="107">
        <f>IF(BD3="forecast",BC17-'CAPEX &amp; Depr '!BA19,'BS - CF Actuals'!BG60)</f>
        <v>-938785.3432302014</v>
      </c>
      <c r="BE17" s="107">
        <f>IF(BE3="forecast",BD17-'CAPEX &amp; Depr '!BB19,'BS - CF Actuals'!BH60)</f>
        <v>-938785.3432302014</v>
      </c>
      <c r="BF17" s="107">
        <f>IF(BF3="forecast",BE17-'CAPEX &amp; Depr '!BC19,'BS - CF Actuals'!BI60)</f>
        <v>-938785.3432302014</v>
      </c>
      <c r="BG17" s="107">
        <f>IF(BG3="forecast",BF17-'CAPEX &amp; Depr '!BD19,'BS - CF Actuals'!BJ60)</f>
        <v>-938785.3432302014</v>
      </c>
      <c r="BH17" s="107">
        <f>IF(BH3="forecast",BG17-'CAPEX &amp; Depr '!BE19,'BS - CF Actuals'!BK60)</f>
        <v>-938785.3432302014</v>
      </c>
      <c r="BI17" s="107">
        <f>IF(BI3="forecast",BH17-'CAPEX &amp; Depr '!BF19,'BS - CF Actuals'!BL60)</f>
        <v>-938785.3432302014</v>
      </c>
      <c r="BJ17" s="107">
        <f>IF(BJ3="forecast",BI17-'CAPEX &amp; Depr '!BG19,'BS - CF Actuals'!BM60)</f>
        <v>-938785.3432302014</v>
      </c>
      <c r="BK17" s="107">
        <f>IF(BK3="forecast",BJ17-'CAPEX &amp; Depr '!BH19,'BS - CF Actuals'!BN60)</f>
        <v>-938785.3432302014</v>
      </c>
      <c r="BL17" s="107">
        <f>IF(BL3="forecast",BK17-'CAPEX &amp; Depr '!BI19,'BS - CF Actuals'!BO60)</f>
        <v>-938785.3432302014</v>
      </c>
      <c r="BM17" s="107">
        <f>IF(BM3="forecast",BL17-'CAPEX &amp; Depr '!BJ19,'BS - CF Actuals'!BP60)</f>
        <v>-938785.3432302014</v>
      </c>
      <c r="BN17" s="107">
        <f>IF(BN3="forecast",BM17-'CAPEX &amp; Depr '!BK19,'BS - CF Actuals'!BQ60)</f>
        <v>-938785.3432302014</v>
      </c>
      <c r="BO17" s="107">
        <f>IF(BO3="forecast",BN17-'CAPEX &amp; Depr '!BL19,'BS - CF Actuals'!BR60)</f>
        <v>-938785.3432302014</v>
      </c>
      <c r="BP17" s="107">
        <f>IF(BP3="forecast",BO17-'CAPEX &amp; Depr '!BM19,'BS - CF Actuals'!BS60)</f>
        <v>-938785.3432302014</v>
      </c>
      <c r="BQ17" s="107">
        <f>IF(BQ3="forecast",BP17-'CAPEX &amp; Depr '!BN19,'BS - CF Actuals'!BT60)</f>
        <v>-938785.3432302014</v>
      </c>
      <c r="BR17" s="107">
        <f>IF(BR3="forecast",BQ17-'CAPEX &amp; Depr '!BO19,'BS - CF Actuals'!BU60)</f>
        <v>-938785.3432302014</v>
      </c>
      <c r="BS17" s="107">
        <f>IF(BS3="forecast",BR17-'CAPEX &amp; Depr '!BP19,'BS - CF Actuals'!BV60)</f>
        <v>-938785.3432302014</v>
      </c>
      <c r="BT17" s="107">
        <f>IF(BT3="forecast",BS17-'CAPEX &amp; Depr '!BQ19,'BS - CF Actuals'!BW60)</f>
        <v>-938785.3432302014</v>
      </c>
      <c r="BU17" s="107">
        <f>IF(BU3="forecast",BT17-'CAPEX &amp; Depr '!BR19,'BS - CF Actuals'!BX60)</f>
        <v>-938785.3432302014</v>
      </c>
      <c r="BV17" s="107">
        <f>IF(BV3="forecast",BU17-'CAPEX &amp; Depr '!BS19,'BS - CF Actuals'!BY60)</f>
        <v>-938785.3432302014</v>
      </c>
      <c r="BW17" s="107">
        <f>IF(BW3="forecast",BV17-'CAPEX &amp; Depr '!BT19,'BS - CF Actuals'!BZ60)</f>
        <v>-938785.3432302014</v>
      </c>
      <c r="BX17" s="107">
        <f>IF(BX3="forecast",BW17-'CAPEX &amp; Depr '!BU19,'BS - CF Actuals'!CA60)</f>
        <v>-938785.3432302014</v>
      </c>
      <c r="BY17" s="107">
        <f>IF(BY3="forecast",BX17-'CAPEX &amp; Depr '!BV19,'BS - CF Actuals'!CB60)</f>
        <v>-938785.3432302014</v>
      </c>
    </row>
    <row r="18" spans="1:77" s="100" customFormat="1" x14ac:dyDescent="0.2">
      <c r="A18" s="104" t="s">
        <v>98</v>
      </c>
      <c r="D18" s="111">
        <f t="shared" ref="D18:E18" si="8">SUM(D15:D17)</f>
        <v>229861.86000000002</v>
      </c>
      <c r="E18" s="111">
        <f t="shared" si="8"/>
        <v>299421.36</v>
      </c>
      <c r="F18" s="111">
        <f>SUM(F15:F17)</f>
        <v>303792.74</v>
      </c>
      <c r="G18" s="111">
        <f>SUM(G15:G17)</f>
        <v>310903.71999999997</v>
      </c>
      <c r="H18" s="111">
        <f t="shared" ref="H18:AC18" si="9">SUM(H15:H17)</f>
        <v>330880.25</v>
      </c>
      <c r="I18" s="111">
        <f t="shared" si="9"/>
        <v>369469.31000000006</v>
      </c>
      <c r="J18" s="111">
        <f t="shared" si="9"/>
        <v>370688.31000000006</v>
      </c>
      <c r="K18" s="111">
        <f t="shared" si="9"/>
        <v>379977.77</v>
      </c>
      <c r="L18" s="111">
        <f t="shared" si="9"/>
        <v>403411.98</v>
      </c>
      <c r="M18" s="111">
        <f t="shared" si="9"/>
        <v>416308.26</v>
      </c>
      <c r="N18" s="111">
        <f t="shared" si="9"/>
        <v>427944.53</v>
      </c>
      <c r="O18" s="111">
        <f t="shared" si="9"/>
        <v>482422.77</v>
      </c>
      <c r="P18" s="111">
        <f t="shared" si="9"/>
        <v>489598.53</v>
      </c>
      <c r="Q18" s="111">
        <f t="shared" si="9"/>
        <v>498181.06000000006</v>
      </c>
      <c r="R18" s="111">
        <f t="shared" si="9"/>
        <v>416306.63</v>
      </c>
      <c r="S18" s="111">
        <f t="shared" si="9"/>
        <v>428364.21999999991</v>
      </c>
      <c r="T18" s="111">
        <f t="shared" si="9"/>
        <v>479891.59</v>
      </c>
      <c r="U18" s="111">
        <f t="shared" si="9"/>
        <v>513703.56</v>
      </c>
      <c r="V18" s="111">
        <f t="shared" si="9"/>
        <v>523969.18999999989</v>
      </c>
      <c r="W18" s="111">
        <f t="shared" si="9"/>
        <v>525384.91999999993</v>
      </c>
      <c r="X18" s="111">
        <f t="shared" si="9"/>
        <v>513431.41999999993</v>
      </c>
      <c r="Y18" s="111">
        <f t="shared" ref="Y18" si="10">SUM(Y15:Y17)</f>
        <v>524782.81000000006</v>
      </c>
      <c r="Z18" s="111">
        <f>SUM(Z15:Z17)</f>
        <v>531936.99000000011</v>
      </c>
      <c r="AA18" s="111">
        <f t="shared" si="9"/>
        <v>616883.27</v>
      </c>
      <c r="AB18" s="111">
        <f t="shared" si="9"/>
        <v>632722.75</v>
      </c>
      <c r="AC18" s="111">
        <f t="shared" si="9"/>
        <v>682464.96</v>
      </c>
      <c r="AD18" s="111">
        <f t="shared" ref="AD18:AO18" si="11">SUM(AD15:AD17)</f>
        <v>703111.29999999981</v>
      </c>
      <c r="AE18" s="111">
        <f t="shared" si="11"/>
        <v>742306.10999999987</v>
      </c>
      <c r="AF18" s="111">
        <f t="shared" si="11"/>
        <v>731417.30999999982</v>
      </c>
      <c r="AG18" s="111">
        <f t="shared" si="11"/>
        <v>566515.88</v>
      </c>
      <c r="AH18" s="111">
        <f t="shared" si="11"/>
        <v>550124.97499999998</v>
      </c>
      <c r="AI18" s="111">
        <f t="shared" si="11"/>
        <v>533242.3428499999</v>
      </c>
      <c r="AJ18" s="111">
        <f t="shared" si="11"/>
        <v>515853.23173549998</v>
      </c>
      <c r="AK18" s="111">
        <f t="shared" si="11"/>
        <v>497942.44728756498</v>
      </c>
      <c r="AL18" s="111">
        <f t="shared" si="11"/>
        <v>479494.33930619189</v>
      </c>
      <c r="AM18" s="111">
        <f t="shared" si="11"/>
        <v>460492.78808537766</v>
      </c>
      <c r="AN18" s="111">
        <f t="shared" si="11"/>
        <v>440921.190327939</v>
      </c>
      <c r="AO18" s="111">
        <f t="shared" si="11"/>
        <v>420762.44463777717</v>
      </c>
      <c r="AP18" s="111">
        <f t="shared" ref="AP18:BA18" si="12">SUM(AP15:AP17)</f>
        <v>399998.93657691043</v>
      </c>
      <c r="AQ18" s="111">
        <f t="shared" si="12"/>
        <v>378612.52327421773</v>
      </c>
      <c r="AR18" s="111">
        <f t="shared" si="12"/>
        <v>356584.51757244428</v>
      </c>
      <c r="AS18" s="111">
        <f t="shared" si="12"/>
        <v>333895.67169961764</v>
      </c>
      <c r="AT18" s="111">
        <f t="shared" si="12"/>
        <v>310526.16045060614</v>
      </c>
      <c r="AU18" s="111">
        <f t="shared" si="12"/>
        <v>286455.56386412436</v>
      </c>
      <c r="AV18" s="111">
        <f t="shared" si="12"/>
        <v>261662.84938004811</v>
      </c>
      <c r="AW18" s="111">
        <f t="shared" si="12"/>
        <v>236126.3534614495</v>
      </c>
      <c r="AX18" s="111">
        <f t="shared" si="12"/>
        <v>209823.76266529295</v>
      </c>
      <c r="AY18" s="111">
        <f t="shared" si="12"/>
        <v>182732.09414525179</v>
      </c>
      <c r="AZ18" s="111">
        <f t="shared" si="12"/>
        <v>154827.67556960939</v>
      </c>
      <c r="BA18" s="111">
        <f t="shared" si="12"/>
        <v>126086.12443669769</v>
      </c>
      <c r="BB18" s="111">
        <f t="shared" ref="BB18:BK18" si="13">SUM(BB15:BB17)</f>
        <v>96482.326769798645</v>
      </c>
      <c r="BC18" s="111">
        <f t="shared" si="13"/>
        <v>96482.326769798645</v>
      </c>
      <c r="BD18" s="111">
        <f t="shared" si="13"/>
        <v>96482.326769798645</v>
      </c>
      <c r="BE18" s="111">
        <f t="shared" si="13"/>
        <v>96482.326769798645</v>
      </c>
      <c r="BF18" s="111">
        <f t="shared" si="13"/>
        <v>96482.326769798645</v>
      </c>
      <c r="BG18" s="111">
        <f t="shared" si="13"/>
        <v>96482.326769798645</v>
      </c>
      <c r="BH18" s="111">
        <f t="shared" si="13"/>
        <v>96482.326769798645</v>
      </c>
      <c r="BI18" s="111">
        <f t="shared" si="13"/>
        <v>96482.326769798645</v>
      </c>
      <c r="BJ18" s="111">
        <f t="shared" si="13"/>
        <v>96482.326769798645</v>
      </c>
      <c r="BK18" s="111">
        <f t="shared" si="13"/>
        <v>96482.326769798645</v>
      </c>
      <c r="BL18" s="111">
        <f t="shared" ref="BL18:BW18" si="14">SUM(BL15:BL17)</f>
        <v>96482.326769798645</v>
      </c>
      <c r="BM18" s="111">
        <f t="shared" si="14"/>
        <v>96482.326769798645</v>
      </c>
      <c r="BN18" s="111">
        <f t="shared" si="14"/>
        <v>96482.326769798645</v>
      </c>
      <c r="BO18" s="111">
        <f t="shared" si="14"/>
        <v>96482.326769798645</v>
      </c>
      <c r="BP18" s="111">
        <f t="shared" si="14"/>
        <v>96482.326769798645</v>
      </c>
      <c r="BQ18" s="111">
        <f t="shared" si="14"/>
        <v>96482.326769798645</v>
      </c>
      <c r="BR18" s="111">
        <f t="shared" si="14"/>
        <v>96482.326769798645</v>
      </c>
      <c r="BS18" s="111">
        <f t="shared" si="14"/>
        <v>96482.326769798645</v>
      </c>
      <c r="BT18" s="111">
        <f t="shared" si="14"/>
        <v>96482.326769798645</v>
      </c>
      <c r="BU18" s="111">
        <f t="shared" si="14"/>
        <v>96482.326769798645</v>
      </c>
      <c r="BV18" s="111">
        <f t="shared" si="14"/>
        <v>96482.326769798645</v>
      </c>
      <c r="BW18" s="111">
        <f t="shared" si="14"/>
        <v>96482.326769798645</v>
      </c>
      <c r="BX18" s="111">
        <f t="shared" ref="BX18:BY18" si="15">SUM(BX15:BX17)</f>
        <v>96482.326769798645</v>
      </c>
      <c r="BY18" s="111">
        <f t="shared" si="15"/>
        <v>96482.326769798645</v>
      </c>
    </row>
    <row r="19" spans="1:77" ht="6" customHeight="1" x14ac:dyDescent="0.2">
      <c r="A19" s="23"/>
      <c r="D19" s="106"/>
      <c r="E19" s="106"/>
      <c r="F19" s="106"/>
      <c r="G19" s="106"/>
      <c r="H19" s="106"/>
      <c r="I19" s="106"/>
      <c r="J19" s="106"/>
      <c r="K19" s="106"/>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c r="BU19" s="106"/>
      <c r="BV19" s="106"/>
      <c r="BW19" s="106"/>
      <c r="BX19" s="106"/>
      <c r="BY19" s="106"/>
    </row>
    <row r="20" spans="1:77" x14ac:dyDescent="0.2">
      <c r="B20" s="26" t="s">
        <v>99</v>
      </c>
      <c r="D20" s="106">
        <f>IF(D3="forecast",21500000,'BS - CF Actuals'!H73)</f>
        <v>1876281</v>
      </c>
      <c r="E20" s="106">
        <f>IF(E3="forecast",21500000,'BS - CF Actuals'!I73)</f>
        <v>1723468</v>
      </c>
      <c r="F20" s="106">
        <f>IF(F3="forecast",21500000,'BS - CF Actuals'!J73)</f>
        <v>1713109</v>
      </c>
      <c r="G20" s="106">
        <f>IF(G3="forecast",21500000,'BS - CF Actuals'!K73)</f>
        <v>1700199</v>
      </c>
      <c r="H20" s="106">
        <f>IF(H3="forecast",21500000,'BS - CF Actuals'!L73)</f>
        <v>1687289</v>
      </c>
      <c r="I20" s="106">
        <f>IF(I3="forecast",21500000,'BS - CF Actuals'!M73)</f>
        <v>1674379</v>
      </c>
      <c r="J20" s="106">
        <f>IF(J3="forecast",21500000,'BS - CF Actuals'!N73)</f>
        <v>1661469</v>
      </c>
      <c r="K20" s="106">
        <f>IF(K3="forecast",21500000,'BS - CF Actuals'!O73)</f>
        <v>1648559</v>
      </c>
      <c r="L20" s="106">
        <f>IF(L3="forecast",21500000,'BS - CF Actuals'!P73)</f>
        <v>1635649</v>
      </c>
      <c r="M20" s="106">
        <f>IF(M3="forecast",21500000,'BS - CF Actuals'!Q73)</f>
        <v>1622739</v>
      </c>
      <c r="N20" s="106">
        <f>IF(N3="forecast",21500000,'BS - CF Actuals'!R73)</f>
        <v>1609829</v>
      </c>
      <c r="O20" s="106">
        <f>IF(O3="forecast",21500000,'BS - CF Actuals'!S73)</f>
        <v>1596919</v>
      </c>
      <c r="P20" s="106">
        <f>IF(P3="forecast",21500000,'BS - CF Actuals'!T73)</f>
        <v>1584009</v>
      </c>
      <c r="Q20" s="106">
        <f>IF(Q3="forecast",21500000,'BS - CF Actuals'!U73)</f>
        <v>23624705.580000002</v>
      </c>
      <c r="R20" s="106">
        <f>IF(R3="forecast",21500000,'BS - CF Actuals'!V73)</f>
        <v>23388355.580000002</v>
      </c>
      <c r="S20" s="106">
        <f>IF(S3="forecast",21500000,'BS - CF Actuals'!W73)</f>
        <v>23152005.580000002</v>
      </c>
      <c r="T20" s="106">
        <f>IF(T3="forecast",21500000,'BS - CF Actuals'!X73)</f>
        <v>22916337.580000002</v>
      </c>
      <c r="U20" s="106">
        <f>IF(U3="forecast",21500000,'BS - CF Actuals'!Y73)</f>
        <v>22679987.580000002</v>
      </c>
      <c r="V20" s="106">
        <f>IF(V3="forecast",21500000,'BS - CF Actuals'!Z73)</f>
        <v>22443637.580000002</v>
      </c>
      <c r="W20" s="106">
        <f>IF(W3="forecast",21500000,'BS - CF Actuals'!AA73)</f>
        <v>22225287.580000002</v>
      </c>
      <c r="X20" s="106">
        <f>IF(X3="forecast",'BS - CF Actuals'!AA73-#REF!,'BS - CF Actuals'!AB73)</f>
        <v>21951091.580000002</v>
      </c>
      <c r="Y20" s="106">
        <f>IF(Y3="forecast",'BS - CF Actuals'!AB73-#REF!,'BS - CF Actuals'!AC73)</f>
        <v>21753903.580000002</v>
      </c>
      <c r="Z20" s="106">
        <f>IF(Z3="forecast",'BS - CF Actuals'!AC73-#REF!,'BS - CF Actuals'!AD73)</f>
        <v>21516871.580000002</v>
      </c>
      <c r="AA20" s="106">
        <f>IF(AA3="forecast",(Z20-#REF!),'BS - CF Actuals'!AE73)</f>
        <v>21337339.279999997</v>
      </c>
      <c r="AB20" s="106">
        <f>IF(AB3="forecast",(AA20-'CAPEX &amp; Depr '!Y45),'BS - CF Actuals'!AF73)</f>
        <v>21103487.279999997</v>
      </c>
      <c r="AC20" s="106">
        <f>IF(AC3="forecast",(AB20-'CAPEX &amp; Depr '!Z45),'BS - CF Actuals'!AG73)</f>
        <v>20867137.279999997</v>
      </c>
      <c r="AD20" s="106">
        <f>IF(AD3="forecast",(AC20-'CAPEX &amp; Depr '!AA45),'BS - CF Actuals'!AH73)</f>
        <v>20630787.279999997</v>
      </c>
      <c r="AE20" s="106">
        <f>IF(AE3="forecast",(AD20-'CAPEX &amp; Depr '!AB45),'BS - CF Actuals'!AI73)</f>
        <v>20398032.790000003</v>
      </c>
      <c r="AF20" s="106">
        <f>IF(AF3="forecast",(AE20-'CAPEX &amp; Depr '!AC45),'BS - CF Actuals'!AJ73)</f>
        <v>20158087.279999997</v>
      </c>
      <c r="AG20" s="106">
        <f>IF(AG3="forecast",(AF20-'CAPEX &amp; Depr '!AD45),'BS - CF Actuals'!AK73)</f>
        <v>19921737.279999997</v>
      </c>
      <c r="AH20" s="106">
        <f>IF(AH3="forecast",(AG20-'CAPEX &amp; Depr '!AE45),'BS - CF Actuals'!AL73)</f>
        <v>19685387.279999997</v>
      </c>
      <c r="AI20" s="106">
        <f>IF(AI3="forecast",(AH20-'CAPEX &amp; Depr '!AF45),'BS - CF Actuals'!AM73)</f>
        <v>19449037.279999997</v>
      </c>
      <c r="AJ20" s="106">
        <f>IF(AJ3="forecast",(AI20-'CAPEX &amp; Depr '!AG45),'BS - CF Actuals'!AN73)</f>
        <v>19212687.279999997</v>
      </c>
      <c r="AK20" s="106">
        <f>IF(AK3="forecast",(AJ20-'CAPEX &amp; Depr '!AH45),'BS - CF Actuals'!AO73)</f>
        <v>18976337.279999997</v>
      </c>
      <c r="AL20" s="106">
        <f>IF(AL3="forecast",(AK20-'CAPEX &amp; Depr '!AI45),'BS - CF Actuals'!AP73)</f>
        <v>18739987.279999997</v>
      </c>
      <c r="AM20" s="106">
        <f>IF(AM3="forecast",(AL20-'CAPEX &amp; Depr '!AJ45),'BS - CF Actuals'!AQ73)</f>
        <v>18503637.279999997</v>
      </c>
      <c r="AN20" s="106">
        <f>IF(AN3="forecast",(AM20-'CAPEX &amp; Depr '!AK45),'BS - CF Actuals'!AR73)</f>
        <v>18267287.279999997</v>
      </c>
      <c r="AO20" s="106">
        <f>IF(AO3="forecast",(AN20-'CAPEX &amp; Depr '!AL45),'BS - CF Actuals'!AS73)</f>
        <v>18030937.279999997</v>
      </c>
      <c r="AP20" s="106">
        <f>IF(AP3="forecast",(AO20-'CAPEX &amp; Depr '!AM45),'BS - CF Actuals'!AT73)</f>
        <v>17794587.279999997</v>
      </c>
      <c r="AQ20" s="106">
        <f>IF(AQ3="forecast",(AP20-'CAPEX &amp; Depr '!AN45),'BS - CF Actuals'!AU73)</f>
        <v>17558237.279999997</v>
      </c>
      <c r="AR20" s="106">
        <f>IF(AR3="forecast",(AQ20-'CAPEX &amp; Depr '!AO45),'BS - CF Actuals'!AV73)</f>
        <v>17321887.279999997</v>
      </c>
      <c r="AS20" s="106">
        <f>IF(AS3="forecast",(AR20-'CAPEX &amp; Depr '!AP45),'BS - CF Actuals'!AW73)</f>
        <v>17085537.279999997</v>
      </c>
      <c r="AT20" s="106">
        <f>IF(AT3="forecast",(AS20-'CAPEX &amp; Depr '!AQ45),'BS - CF Actuals'!AX73)</f>
        <v>16849187.279999997</v>
      </c>
      <c r="AU20" s="106">
        <f>IF(AU3="forecast",(AT20-'CAPEX &amp; Depr '!AR45),'BS - CF Actuals'!AY73)</f>
        <v>16612837.279999997</v>
      </c>
      <c r="AV20" s="106">
        <f>IF(AV3="forecast",(AU20-'CAPEX &amp; Depr '!AS45),'BS - CF Actuals'!AZ73)</f>
        <v>16376487.279999997</v>
      </c>
      <c r="AW20" s="106">
        <f>IF(AW3="forecast",(AV20-'CAPEX &amp; Depr '!AT45),'BS - CF Actuals'!BA73)</f>
        <v>16140137.279999997</v>
      </c>
      <c r="AX20" s="106">
        <f>IF(AX3="forecast",(AW20-'CAPEX &amp; Depr '!AU45),'BS - CF Actuals'!BB73)</f>
        <v>15903787.279999997</v>
      </c>
      <c r="AY20" s="106">
        <f>IF(AY3="forecast",(AX20-'CAPEX &amp; Depr '!AV45),'BS - CF Actuals'!BC73)</f>
        <v>15667437.279999997</v>
      </c>
      <c r="AZ20" s="106">
        <f>IF(AZ3="forecast",(AY20-'CAPEX &amp; Depr '!AW45),'BS - CF Actuals'!BD73)</f>
        <v>15431087.279999997</v>
      </c>
      <c r="BA20" s="106">
        <f>IF(BA3="forecast",(AZ20-'CAPEX &amp; Depr '!AX45),'BS - CF Actuals'!BE73)</f>
        <v>15194737.279999997</v>
      </c>
      <c r="BB20" s="106">
        <f>IF(BB3="forecast",(BA20-'CAPEX &amp; Depr '!AY45),'BS - CF Actuals'!BF73)</f>
        <v>14958387.279999997</v>
      </c>
      <c r="BC20" s="106">
        <f>IF(BC3="forecast",(BB20-'CAPEX &amp; Depr '!AZ45),'BS - CF Actuals'!BG73)</f>
        <v>14722037.279999997</v>
      </c>
      <c r="BD20" s="106">
        <f>IF(BD3="forecast",(BC20-'CAPEX &amp; Depr '!BA45),'BS - CF Actuals'!BH73)</f>
        <v>14485687.279999997</v>
      </c>
      <c r="BE20" s="106">
        <f>IF(BE3="forecast",(BD20-'CAPEX &amp; Depr '!BB45),'BS - CF Actuals'!BI73)</f>
        <v>14249337.279999997</v>
      </c>
      <c r="BF20" s="106">
        <f>IF(BF3="forecast",(BE20-'CAPEX &amp; Depr '!BC45),'BS - CF Actuals'!BJ73)</f>
        <v>14012987.279999997</v>
      </c>
      <c r="BG20" s="106">
        <f>IF(BG3="forecast",(BF20-'CAPEX &amp; Depr '!BD45),'BS - CF Actuals'!BK73)</f>
        <v>13776637.279999997</v>
      </c>
      <c r="BH20" s="106">
        <f>IF(BH3="forecast",(BG20-'CAPEX &amp; Depr '!BE45),'BS - CF Actuals'!BL73)</f>
        <v>13540287.279999997</v>
      </c>
      <c r="BI20" s="106">
        <f>IF(BI3="forecast",(BH20-'CAPEX &amp; Depr '!BF45),'BS - CF Actuals'!BM73)</f>
        <v>13303937.279999997</v>
      </c>
      <c r="BJ20" s="106">
        <f>IF(BJ3="forecast",(BI20-'CAPEX &amp; Depr '!BG45),'BS - CF Actuals'!BN73)</f>
        <v>13067587.279999997</v>
      </c>
      <c r="BK20" s="106">
        <f>IF(BK3="forecast",(BJ20-'CAPEX &amp; Depr '!BH45),'BS - CF Actuals'!BO73)</f>
        <v>12831237.279999997</v>
      </c>
      <c r="BL20" s="106">
        <f>IF(BL3="forecast",(BK20-'CAPEX &amp; Depr '!BI45),'BS - CF Actuals'!BP73)</f>
        <v>12594887.279999997</v>
      </c>
      <c r="BM20" s="106">
        <f>IF(BM3="forecast",(BL20-'CAPEX &amp; Depr '!BJ45),'BS - CF Actuals'!BQ73)</f>
        <v>12358537.279999997</v>
      </c>
      <c r="BN20" s="106">
        <f>IF(BN3="forecast",(BM20-'CAPEX &amp; Depr '!BK45),'BS - CF Actuals'!BR73)</f>
        <v>12122187.279999997</v>
      </c>
      <c r="BO20" s="106">
        <f>IF(BO3="forecast",(BN20-'CAPEX &amp; Depr '!BL45),'BS - CF Actuals'!BS73)</f>
        <v>11885837.279999997</v>
      </c>
      <c r="BP20" s="106">
        <f>IF(BP3="forecast",(BO20-'CAPEX &amp; Depr '!BM45),'BS - CF Actuals'!BT73)</f>
        <v>11649487.279999997</v>
      </c>
      <c r="BQ20" s="106">
        <f>IF(BQ3="forecast",(BP20-'CAPEX &amp; Depr '!BN45),'BS - CF Actuals'!BU73)</f>
        <v>11413137.279999997</v>
      </c>
      <c r="BR20" s="106">
        <f>IF(BR3="forecast",(BQ20-'CAPEX &amp; Depr '!BO45),'BS - CF Actuals'!BV73)</f>
        <v>11176787.279999997</v>
      </c>
      <c r="BS20" s="106">
        <f>IF(BS3="forecast",(BR20-'CAPEX &amp; Depr '!BP45),'BS - CF Actuals'!BW73)</f>
        <v>10940437.279999997</v>
      </c>
      <c r="BT20" s="106">
        <f>IF(BT3="forecast",(BS20-'CAPEX &amp; Depr '!BQ45),'BS - CF Actuals'!BX73)</f>
        <v>10704087.279999997</v>
      </c>
      <c r="BU20" s="106">
        <f>IF(BU3="forecast",(BT20-'CAPEX &amp; Depr '!BR45),'BS - CF Actuals'!BY73)</f>
        <v>10467737.279999997</v>
      </c>
      <c r="BV20" s="106">
        <f>IF(BV3="forecast",(BU20-'CAPEX &amp; Depr '!BS45),'BS - CF Actuals'!BZ73)</f>
        <v>10231387.279999997</v>
      </c>
      <c r="BW20" s="106">
        <f>IF(BW3="forecast",(BV20-'CAPEX &amp; Depr '!BT45),'BS - CF Actuals'!CA73)</f>
        <v>9995037.2799999975</v>
      </c>
      <c r="BX20" s="106">
        <f>IF(BX3="forecast",(BW20-'CAPEX &amp; Depr '!BU45),'BS - CF Actuals'!CB73)</f>
        <v>9758687.2799999975</v>
      </c>
      <c r="BY20" s="106">
        <f>IF(BY3="forecast",(BX20-'CAPEX &amp; Depr '!BV45),'BS - CF Actuals'!CC73)</f>
        <v>9522337.2799999975</v>
      </c>
    </row>
    <row r="21" spans="1:77" x14ac:dyDescent="0.2">
      <c r="D21" s="110"/>
      <c r="E21" s="110"/>
      <c r="F21" s="110"/>
      <c r="G21" s="110"/>
      <c r="H21" s="110"/>
      <c r="I21" s="110"/>
      <c r="J21" s="110"/>
      <c r="K21" s="110"/>
      <c r="L21" s="110"/>
      <c r="M21" s="110"/>
      <c r="N21" s="110"/>
      <c r="O21" s="110"/>
      <c r="P21" s="110"/>
      <c r="Q21" s="110"/>
      <c r="R21" s="110"/>
      <c r="S21" s="110"/>
      <c r="T21" s="110"/>
      <c r="U21" s="110"/>
      <c r="V21" s="110"/>
      <c r="W21" s="110"/>
      <c r="X21" s="110"/>
      <c r="Y21" s="110"/>
      <c r="Z21" s="110"/>
      <c r="AA21" s="110"/>
      <c r="AB21" s="110"/>
      <c r="AC21" s="110"/>
      <c r="AD21" s="110"/>
      <c r="AE21" s="110"/>
      <c r="AF21" s="110"/>
      <c r="AG21" s="110"/>
      <c r="AH21" s="110"/>
      <c r="AI21" s="110"/>
      <c r="AJ21" s="110"/>
      <c r="AK21" s="110"/>
      <c r="AL21" s="110"/>
      <c r="AM21" s="110"/>
      <c r="AN21" s="110"/>
      <c r="AO21" s="110"/>
      <c r="AP21" s="110"/>
      <c r="AQ21" s="110"/>
      <c r="AR21" s="110"/>
      <c r="AS21" s="110"/>
      <c r="AT21" s="110"/>
      <c r="AU21" s="110"/>
      <c r="AV21" s="110"/>
      <c r="AW21" s="110"/>
      <c r="AX21" s="110"/>
      <c r="AY21" s="110"/>
      <c r="AZ21" s="110"/>
      <c r="BA21" s="110"/>
      <c r="BB21" s="110"/>
      <c r="BC21" s="110"/>
      <c r="BD21" s="110"/>
      <c r="BE21" s="110"/>
      <c r="BF21" s="110"/>
      <c r="BG21" s="110"/>
      <c r="BH21" s="110"/>
      <c r="BI21" s="110"/>
      <c r="BJ21" s="110"/>
      <c r="BK21" s="110"/>
      <c r="BL21" s="110"/>
      <c r="BM21" s="110"/>
      <c r="BN21" s="110"/>
      <c r="BO21" s="110"/>
      <c r="BP21" s="110"/>
      <c r="BQ21" s="110"/>
      <c r="BR21" s="110"/>
      <c r="BS21" s="110"/>
      <c r="BT21" s="110"/>
      <c r="BU21" s="110"/>
      <c r="BV21" s="110"/>
      <c r="BW21" s="110"/>
      <c r="BX21" s="110"/>
      <c r="BY21" s="110"/>
    </row>
    <row r="22" spans="1:77" s="100" customFormat="1" x14ac:dyDescent="0.2">
      <c r="A22" s="104" t="s">
        <v>100</v>
      </c>
      <c r="D22" s="398">
        <f t="shared" ref="D22:M22" si="16">SUM(D20:D21)</f>
        <v>1876281</v>
      </c>
      <c r="E22" s="398">
        <f t="shared" si="16"/>
        <v>1723468</v>
      </c>
      <c r="F22" s="398">
        <f t="shared" si="16"/>
        <v>1713109</v>
      </c>
      <c r="G22" s="398">
        <f t="shared" si="16"/>
        <v>1700199</v>
      </c>
      <c r="H22" s="398">
        <f t="shared" si="16"/>
        <v>1687289</v>
      </c>
      <c r="I22" s="398">
        <f t="shared" si="16"/>
        <v>1674379</v>
      </c>
      <c r="J22" s="398">
        <f t="shared" si="16"/>
        <v>1661469</v>
      </c>
      <c r="K22" s="398">
        <f t="shared" si="16"/>
        <v>1648559</v>
      </c>
      <c r="L22" s="398">
        <f t="shared" si="16"/>
        <v>1635649</v>
      </c>
      <c r="M22" s="398">
        <f t="shared" si="16"/>
        <v>1622739</v>
      </c>
      <c r="N22" s="398">
        <f>SUM(N20:N21)</f>
        <v>1609829</v>
      </c>
      <c r="O22" s="398">
        <f t="shared" ref="O22:AO22" si="17">SUM(O20:O21)</f>
        <v>1596919</v>
      </c>
      <c r="P22" s="398">
        <f t="shared" si="17"/>
        <v>1584009</v>
      </c>
      <c r="Q22" s="398">
        <f t="shared" si="17"/>
        <v>23624705.580000002</v>
      </c>
      <c r="R22" s="398">
        <f t="shared" si="17"/>
        <v>23388355.580000002</v>
      </c>
      <c r="S22" s="398">
        <f t="shared" si="17"/>
        <v>23152005.580000002</v>
      </c>
      <c r="T22" s="398">
        <f t="shared" si="17"/>
        <v>22916337.580000002</v>
      </c>
      <c r="U22" s="398">
        <f>SUM(U20:U21)</f>
        <v>22679987.580000002</v>
      </c>
      <c r="V22" s="398">
        <f t="shared" si="17"/>
        <v>22443637.580000002</v>
      </c>
      <c r="W22" s="398">
        <f t="shared" si="17"/>
        <v>22225287.580000002</v>
      </c>
      <c r="X22" s="398">
        <f t="shared" si="17"/>
        <v>21951091.580000002</v>
      </c>
      <c r="Y22" s="398">
        <f t="shared" ref="Y22" si="18">SUM(Y20:Y21)</f>
        <v>21753903.580000002</v>
      </c>
      <c r="Z22" s="398">
        <f>SUM(Z20:Z21)</f>
        <v>21516871.580000002</v>
      </c>
      <c r="AA22" s="398">
        <f t="shared" si="17"/>
        <v>21337339.279999997</v>
      </c>
      <c r="AB22" s="398">
        <f t="shared" si="17"/>
        <v>21103487.279999997</v>
      </c>
      <c r="AC22" s="398">
        <f t="shared" si="17"/>
        <v>20867137.279999997</v>
      </c>
      <c r="AD22" s="398">
        <f t="shared" si="17"/>
        <v>20630787.279999997</v>
      </c>
      <c r="AE22" s="398">
        <f t="shared" si="17"/>
        <v>20398032.790000003</v>
      </c>
      <c r="AF22" s="398">
        <f t="shared" si="17"/>
        <v>20158087.279999997</v>
      </c>
      <c r="AG22" s="398">
        <f t="shared" si="17"/>
        <v>19921737.279999997</v>
      </c>
      <c r="AH22" s="398">
        <f t="shared" si="17"/>
        <v>19685387.279999997</v>
      </c>
      <c r="AI22" s="398">
        <f t="shared" si="17"/>
        <v>19449037.279999997</v>
      </c>
      <c r="AJ22" s="398">
        <f t="shared" si="17"/>
        <v>19212687.279999997</v>
      </c>
      <c r="AK22" s="398">
        <f t="shared" si="17"/>
        <v>18976337.279999997</v>
      </c>
      <c r="AL22" s="398">
        <f t="shared" si="17"/>
        <v>18739987.279999997</v>
      </c>
      <c r="AM22" s="398">
        <f t="shared" si="17"/>
        <v>18503637.279999997</v>
      </c>
      <c r="AN22" s="398">
        <f t="shared" si="17"/>
        <v>18267287.279999997</v>
      </c>
      <c r="AO22" s="398">
        <f t="shared" si="17"/>
        <v>18030937.279999997</v>
      </c>
      <c r="AP22" s="398">
        <f t="shared" ref="AP22:BA22" si="19">SUM(AP20:AP21)</f>
        <v>17794587.279999997</v>
      </c>
      <c r="AQ22" s="398">
        <f t="shared" si="19"/>
        <v>17558237.279999997</v>
      </c>
      <c r="AR22" s="398">
        <f t="shared" si="19"/>
        <v>17321887.279999997</v>
      </c>
      <c r="AS22" s="398">
        <f t="shared" si="19"/>
        <v>17085537.279999997</v>
      </c>
      <c r="AT22" s="398">
        <f t="shared" si="19"/>
        <v>16849187.279999997</v>
      </c>
      <c r="AU22" s="398">
        <f t="shared" si="19"/>
        <v>16612837.279999997</v>
      </c>
      <c r="AV22" s="398">
        <f t="shared" si="19"/>
        <v>16376487.279999997</v>
      </c>
      <c r="AW22" s="398">
        <f t="shared" si="19"/>
        <v>16140137.279999997</v>
      </c>
      <c r="AX22" s="398">
        <f t="shared" si="19"/>
        <v>15903787.279999997</v>
      </c>
      <c r="AY22" s="398">
        <f t="shared" si="19"/>
        <v>15667437.279999997</v>
      </c>
      <c r="AZ22" s="398">
        <f t="shared" si="19"/>
        <v>15431087.279999997</v>
      </c>
      <c r="BA22" s="398">
        <f t="shared" si="19"/>
        <v>15194737.279999997</v>
      </c>
      <c r="BB22" s="398">
        <f t="shared" ref="BB22:BK22" si="20">SUM(BB20:BB21)</f>
        <v>14958387.279999997</v>
      </c>
      <c r="BC22" s="398">
        <f t="shared" si="20"/>
        <v>14722037.279999997</v>
      </c>
      <c r="BD22" s="398">
        <f t="shared" si="20"/>
        <v>14485687.279999997</v>
      </c>
      <c r="BE22" s="398">
        <f t="shared" si="20"/>
        <v>14249337.279999997</v>
      </c>
      <c r="BF22" s="398">
        <f t="shared" si="20"/>
        <v>14012987.279999997</v>
      </c>
      <c r="BG22" s="398">
        <f t="shared" si="20"/>
        <v>13776637.279999997</v>
      </c>
      <c r="BH22" s="398">
        <f t="shared" si="20"/>
        <v>13540287.279999997</v>
      </c>
      <c r="BI22" s="398">
        <f t="shared" si="20"/>
        <v>13303937.279999997</v>
      </c>
      <c r="BJ22" s="398">
        <f t="shared" si="20"/>
        <v>13067587.279999997</v>
      </c>
      <c r="BK22" s="398">
        <f t="shared" si="20"/>
        <v>12831237.279999997</v>
      </c>
      <c r="BL22" s="398">
        <f t="shared" ref="BL22:BW22" si="21">SUM(BL20:BL21)</f>
        <v>12594887.279999997</v>
      </c>
      <c r="BM22" s="398">
        <f t="shared" si="21"/>
        <v>12358537.279999997</v>
      </c>
      <c r="BN22" s="398">
        <f t="shared" si="21"/>
        <v>12122187.279999997</v>
      </c>
      <c r="BO22" s="398">
        <f t="shared" si="21"/>
        <v>11885837.279999997</v>
      </c>
      <c r="BP22" s="398">
        <f t="shared" si="21"/>
        <v>11649487.279999997</v>
      </c>
      <c r="BQ22" s="398">
        <f t="shared" si="21"/>
        <v>11413137.279999997</v>
      </c>
      <c r="BR22" s="398">
        <f t="shared" si="21"/>
        <v>11176787.279999997</v>
      </c>
      <c r="BS22" s="398">
        <f t="shared" si="21"/>
        <v>10940437.279999997</v>
      </c>
      <c r="BT22" s="398">
        <f t="shared" si="21"/>
        <v>10704087.279999997</v>
      </c>
      <c r="BU22" s="398">
        <f t="shared" si="21"/>
        <v>10467737.279999997</v>
      </c>
      <c r="BV22" s="398">
        <f t="shared" si="21"/>
        <v>10231387.279999997</v>
      </c>
      <c r="BW22" s="398">
        <f t="shared" si="21"/>
        <v>9995037.2799999975</v>
      </c>
      <c r="BX22" s="398">
        <f t="shared" ref="BX22:BY22" si="22">SUM(BX20:BX21)</f>
        <v>9758687.2799999975</v>
      </c>
      <c r="BY22" s="398">
        <f t="shared" si="22"/>
        <v>9522337.2799999975</v>
      </c>
    </row>
    <row r="23" spans="1:77" x14ac:dyDescent="0.2">
      <c r="A23" s="104"/>
      <c r="D23" s="96"/>
      <c r="E23" s="96"/>
      <c r="F23" s="96"/>
      <c r="G23" s="96"/>
      <c r="H23" s="96"/>
      <c r="I23" s="96"/>
      <c r="J23" s="96"/>
      <c r="K23" s="96"/>
      <c r="N23" s="96"/>
      <c r="O23" s="96"/>
      <c r="P23" s="96"/>
      <c r="Q23" s="96"/>
      <c r="R23" s="96"/>
      <c r="S23" s="96"/>
      <c r="T23" s="96"/>
      <c r="U23" s="96"/>
      <c r="V23" s="96"/>
      <c r="W23" s="96"/>
      <c r="X23" s="96"/>
      <c r="Y23" s="96"/>
      <c r="Z23" s="96"/>
      <c r="AA23" s="96"/>
      <c r="AB23" s="96"/>
      <c r="AC23" s="96"/>
      <c r="AD23" s="96"/>
      <c r="AE23" s="96"/>
      <c r="AF23" s="96"/>
      <c r="AG23" s="96"/>
      <c r="AH23" s="96"/>
      <c r="AI23" s="96"/>
      <c r="AJ23" s="96"/>
      <c r="AK23" s="96"/>
      <c r="AL23" s="96"/>
      <c r="AM23" s="96"/>
      <c r="AN23" s="96"/>
      <c r="AO23" s="96"/>
      <c r="AP23" s="96"/>
      <c r="AQ23" s="96"/>
      <c r="AR23" s="96"/>
      <c r="AS23" s="96"/>
      <c r="AT23" s="96"/>
      <c r="AU23" s="96"/>
      <c r="AV23" s="96"/>
      <c r="AW23" s="96"/>
      <c r="AX23" s="96"/>
      <c r="AY23" s="96"/>
      <c r="AZ23" s="96"/>
      <c r="BA23" s="96"/>
      <c r="BB23" s="96"/>
      <c r="BC23" s="96"/>
      <c r="BD23" s="96"/>
      <c r="BE23" s="96"/>
      <c r="BF23" s="96"/>
      <c r="BG23" s="96"/>
      <c r="BH23" s="96"/>
      <c r="BI23" s="96"/>
      <c r="BJ23" s="96"/>
      <c r="BK23" s="96"/>
      <c r="BL23" s="96"/>
      <c r="BM23" s="96"/>
      <c r="BN23" s="96"/>
      <c r="BO23" s="96"/>
      <c r="BP23" s="96"/>
      <c r="BQ23" s="96"/>
      <c r="BR23" s="96"/>
      <c r="BS23" s="96"/>
      <c r="BT23" s="96"/>
      <c r="BU23" s="96"/>
      <c r="BV23" s="96"/>
      <c r="BW23" s="96"/>
      <c r="BX23" s="96"/>
      <c r="BY23" s="96"/>
    </row>
    <row r="24" spans="1:77" s="100" customFormat="1" ht="13.5" thickBot="1" x14ac:dyDescent="0.25">
      <c r="A24" s="23" t="s">
        <v>101</v>
      </c>
      <c r="D24" s="400">
        <f>IF(D3="forecast",+D12+D18+D22,'BS - CF Actuals'!H74)</f>
        <v>5749128.4799999995</v>
      </c>
      <c r="E24" s="400">
        <f>IF(E3="forecast",+E12+E18+E22,'BS - CF Actuals'!I74)</f>
        <v>6945527.3099999987</v>
      </c>
      <c r="F24" s="400">
        <f>IF(F3="forecast",+F12+F18+F22,'BS - CF Actuals'!J74)</f>
        <v>3764502.8</v>
      </c>
      <c r="G24" s="400">
        <f>IF(G3="forecast",+G12+G18+G22,'BS - CF Actuals'!K74)</f>
        <v>3579281.19</v>
      </c>
      <c r="H24" s="400">
        <f>IF(H3="forecast",+H12+H18+H22,'BS - CF Actuals'!L74)</f>
        <v>3777145.71</v>
      </c>
      <c r="I24" s="400">
        <f>IF(I3="forecast",+I12+I18+I22,'BS - CF Actuals'!M74)</f>
        <v>4769908.2100000009</v>
      </c>
      <c r="J24" s="400">
        <f>IF(J3="forecast",+J12+J18+J22,'BS - CF Actuals'!N74)</f>
        <v>5040126.7299999995</v>
      </c>
      <c r="K24" s="400">
        <f>IF(K3="forecast",+K12+K18+K22,'BS - CF Actuals'!O74)</f>
        <v>4951491.0999999996</v>
      </c>
      <c r="L24" s="400">
        <f>IF(L3="forecast",+L12+L18+L22,'BS - CF Actuals'!P74)</f>
        <v>4883309.2699999996</v>
      </c>
      <c r="M24" s="400">
        <f>IF(M3="forecast",+M12+M18+M22,'BS - CF Actuals'!Q74)</f>
        <v>4941101.17</v>
      </c>
      <c r="N24" s="400">
        <f>IF(N3="forecast",+N12+N18+N22,'BS - CF Actuals'!R74)</f>
        <v>4614827.75</v>
      </c>
      <c r="O24" s="400">
        <f>IF(O3="forecast",+O12+O18+O22,'BS - CF Actuals'!S74)</f>
        <v>4424713.2300000004</v>
      </c>
      <c r="P24" s="400">
        <f>IF(P3="forecast",+P12+P18+P22,'BS - CF Actuals'!T74)</f>
        <v>3841128.4000000004</v>
      </c>
      <c r="Q24" s="400">
        <f>IF(Q3="forecast",+Q12+Q18+Q22,'BS - CF Actuals'!U74)</f>
        <v>30141739.900000002</v>
      </c>
      <c r="R24" s="400">
        <f>IF(R3="forecast",+R12+R18+R22,'BS - CF Actuals'!V74)</f>
        <v>30737061.560000002</v>
      </c>
      <c r="S24" s="400">
        <f>IF(S3="forecast",+S12+S18+S22,'BS - CF Actuals'!W74)</f>
        <v>30502645.16</v>
      </c>
      <c r="T24" s="400">
        <f>IF(T3="forecast",+T12+T18+T22,'BS - CF Actuals'!X74)</f>
        <v>30551388.700000003</v>
      </c>
      <c r="U24" s="400">
        <f>IF(U3="forecast",+U12+U18+U22,'BS - CF Actuals'!Y74)</f>
        <v>30404734.82</v>
      </c>
      <c r="V24" s="400">
        <f>IF(V3="forecast",+V12+V18+V22,'BS - CF Actuals'!Z74)</f>
        <v>29958170.740000002</v>
      </c>
      <c r="W24" s="400">
        <f>IF(W3="forecast",+W12+W18+W22,'BS - CF Actuals'!AA74)</f>
        <v>29703857.140000004</v>
      </c>
      <c r="X24" s="400">
        <f>IF(X3="forecast",+X12+X18+X22,'BS - CF Actuals'!AB74)</f>
        <v>28937043.790000003</v>
      </c>
      <c r="Y24" s="400">
        <f>IF(Y3="forecast",+Y12+Y18+Y22,'BS - CF Actuals'!AC74)</f>
        <v>27889741.210000005</v>
      </c>
      <c r="Z24" s="400">
        <f>IF(Z3="forecast",+Z12+Z18+Z22,'BS - CF Actuals'!AD74)</f>
        <v>28046963.260000005</v>
      </c>
      <c r="AA24" s="400">
        <f>IF(AA3="forecast",+AA12+AA18+AA22,'BS - CF Actuals'!AE74)</f>
        <v>27397774.280000001</v>
      </c>
      <c r="AB24" s="400">
        <f>IF(AB3="forecast",+AB12+AB18+AB22,'BS - CF Actuals'!AF74)</f>
        <v>26783639.889999997</v>
      </c>
      <c r="AC24" s="400">
        <f>IF(AC3="forecast",+AC12+AC18+AC22,'BS - CF Actuals'!AG74)</f>
        <v>25865450.579999998</v>
      </c>
      <c r="AD24" s="400">
        <f>IF(AD3="forecast",+AD12+AD18+AD22,'BS - CF Actuals'!AH74)</f>
        <v>25705558.779999997</v>
      </c>
      <c r="AE24" s="400">
        <f>IF(AE3="forecast",+AE12+AE18+AE22,'BS - CF Actuals'!AI74)</f>
        <v>25390685.390000001</v>
      </c>
      <c r="AF24" s="400">
        <f>IF(AF3="forecast",+AF12+AF18+AF22,'BS - CF Actuals'!AJ74)</f>
        <v>24965771.109999996</v>
      </c>
      <c r="AG24" s="400">
        <f ca="1">IF(AG3="forecast",+AG12+AG18+AG22,'BS - CF Actuals'!AK74)</f>
        <v>24752944.363567416</v>
      </c>
      <c r="AH24" s="400">
        <f ca="1">IF(AH3="forecast",+AH12+AH18+AH22,'BS - CF Actuals'!AL74)</f>
        <v>23999946.788389508</v>
      </c>
      <c r="AI24" s="400">
        <f ca="1">IF(AI3="forecast",+AI12+AI18+AI22,'BS - CF Actuals'!AM74)</f>
        <v>23299939.286277525</v>
      </c>
      <c r="AJ24" s="400">
        <f ca="1">IF(AJ3="forecast",+AJ12+AJ18+AJ22,'BS - CF Actuals'!AN74)</f>
        <v>22464394.80282674</v>
      </c>
      <c r="AK24" s="400">
        <f ca="1">IF(AK3="forecast",+AK12+AK18+AK22,'BS - CF Actuals'!AO74)</f>
        <v>21976004.709722649</v>
      </c>
      <c r="AL24" s="400">
        <f ca="1">IF(AL3="forecast",+AL12+AL18+AL22,'BS - CF Actuals'!AP74)</f>
        <v>21844527.971201561</v>
      </c>
      <c r="AM24" s="400">
        <f ca="1">IF(AM3="forecast",+AM12+AM18+AM22,'BS - CF Actuals'!AQ74)</f>
        <v>21642431.923533823</v>
      </c>
      <c r="AN24" s="400">
        <f ca="1">IF(AN3="forecast",+AN12+AN18+AN22,'BS - CF Actuals'!AR74)</f>
        <v>21460384.329613104</v>
      </c>
      <c r="AO24" s="400">
        <f ca="1">IF(AO3="forecast",+AO12+AO18+AO22,'BS - CF Actuals'!AS74)</f>
        <v>21361887.69562646</v>
      </c>
      <c r="AP24" s="400">
        <f ca="1">IF(AP3="forecast",+AP12+AP18+AP22,'BS - CF Actuals'!AT74)</f>
        <v>15747383.511009682</v>
      </c>
      <c r="AQ24" s="400">
        <f ca="1">IF(AQ3="forecast",+AQ12+AQ18+AQ22,'BS - CF Actuals'!AU74)</f>
        <v>15572052.636402085</v>
      </c>
      <c r="AR24" s="400">
        <f ca="1">IF(AR3="forecast",+AR12+AR18+AR22,'BS - CF Actuals'!AV74)</f>
        <v>16649692.271078456</v>
      </c>
      <c r="AS24" s="400">
        <f ca="1">IF(AS3="forecast",+AS12+AS18+AS22,'BS - CF Actuals'!AW74)</f>
        <v>17842296.838431966</v>
      </c>
      <c r="AT24" s="400">
        <f ca="1">IF(AT3="forecast",+AT12+AT18+AT22,'BS - CF Actuals'!AX74)</f>
        <v>19147388.26601921</v>
      </c>
      <c r="AU24" s="400">
        <f ca="1">IF(AU3="forecast",+AU12+AU18+AU22,'BS - CF Actuals'!AY74)</f>
        <v>20564549.321973264</v>
      </c>
      <c r="AV24" s="400">
        <f ca="1">IF(AV3="forecast",+AV12+AV18+AV22,'BS - CF Actuals'!AZ74)</f>
        <v>22094125.478728853</v>
      </c>
      <c r="AW24" s="400">
        <f ca="1">IF(AW3="forecast",+AW12+AW18+AW22,'BS - CF Actuals'!BA74)</f>
        <v>23737961.52726803</v>
      </c>
      <c r="AX24" s="400">
        <f ca="1">IF(AX3="forecast",+AX12+AX18+AX22,'BS - CF Actuals'!BB74)</f>
        <v>25497147.723377317</v>
      </c>
      <c r="AY24" s="400">
        <f ca="1">IF(AY3="forecast",+AY12+AY18+AY22,'BS - CF Actuals'!BC74)</f>
        <v>27362967.197580345</v>
      </c>
      <c r="AZ24" s="400">
        <f ca="1">IF(AZ3="forecast",+AZ12+AZ18+AZ22,'BS - CF Actuals'!BD74)</f>
        <v>29340978.156047061</v>
      </c>
      <c r="BA24" s="400">
        <f ca="1">IF(BA3="forecast",+BA12+BA18+BA22,'BS - CF Actuals'!BE74)</f>
        <v>31426738.673381653</v>
      </c>
      <c r="BB24" s="400">
        <f ca="1">IF(BB3="forecast",+BB12+BB18+BB22,'BS - CF Actuals'!BF74)</f>
        <v>29011028.22071106</v>
      </c>
      <c r="BC24" s="400">
        <f ca="1">IF(BC3="forecast",+BC12+BC18+BC22,'BS - CF Actuals'!BG74)</f>
        <v>26950628.214156285</v>
      </c>
      <c r="BD24" s="400">
        <f ca="1">IF(BD3="forecast",+BD12+BD18+BD22,'BS - CF Actuals'!BH74)</f>
        <v>24820971.160688773</v>
      </c>
      <c r="BE24" s="400">
        <f ca="1">IF(BE3="forecast",+BE12+BE18+BE22,'BS - CF Actuals'!BI74)</f>
        <v>22707735.001081608</v>
      </c>
      <c r="BF24" s="400">
        <f ca="1">IF(BF3="forecast",+BF12+BF18+BF22,'BS - CF Actuals'!BJ74)</f>
        <v>20587225.640432741</v>
      </c>
      <c r="BG24" s="400">
        <f ca="1">IF(BG3="forecast",+BG12+BG18+BG22,'BS - CF Actuals'!BK74)</f>
        <v>18460440.709585555</v>
      </c>
      <c r="BH24" s="400">
        <f ca="1">IF(BH3="forecast",+BH12+BH18+BH22,'BS - CF Actuals'!BL74)</f>
        <v>16326191.047056824</v>
      </c>
      <c r="BI24" s="400">
        <f ca="1">IF(BI3="forecast",+BI12+BI18+BI22,'BS - CF Actuals'!BM74)</f>
        <v>14185455.799413124</v>
      </c>
      <c r="BJ24" s="400">
        <f ca="1">IF(BJ3="forecast",+BJ12+BJ18+BJ22,'BS - CF Actuals'!BN74)</f>
        <v>12037063.39081822</v>
      </c>
      <c r="BK24" s="400">
        <f ca="1">IF(BK3="forecast",+BK12+BK18+BK22,'BS - CF Actuals'!BO74)</f>
        <v>9881984.0239390004</v>
      </c>
      <c r="BL24" s="400">
        <f ca="1">IF(BL3="forecast",+BL12+BL18+BL22,'BS - CF Actuals'!BP74)</f>
        <v>7719049.6790360352</v>
      </c>
      <c r="BM24" s="400">
        <f ca="1">IF(BM3="forecast",+BM12+BM18+BM22,'BS - CF Actuals'!BQ74)</f>
        <v>5544760.0117400363</v>
      </c>
      <c r="BN24" s="400">
        <f ca="1">IF(BN3="forecast",+BN12+BN18+BN22,'BS - CF Actuals'!BR74)</f>
        <v>3691418.2487201076</v>
      </c>
      <c r="BO24" s="400">
        <f ca="1">IF(BO3="forecast",+BO12+BO18+BO22,'BS - CF Actuals'!BS74)</f>
        <v>1880138.6576173622</v>
      </c>
      <c r="BP24" s="400">
        <f ca="1">IF(BP3="forecast",+BP12+BP18+BP22,'BS - CF Actuals'!BT74)</f>
        <v>58850.76161608845</v>
      </c>
      <c r="BQ24" s="400">
        <f ca="1">IF(BQ3="forecast",+BQ12+BQ18+BQ22,'BS - CF Actuals'!BU74)</f>
        <v>-1769777.6346435156</v>
      </c>
      <c r="BR24" s="400">
        <f ca="1">IF(BR3="forecast",+BR12+BR18+BR22,'BS - CF Actuals'!BV74)</f>
        <v>-3606922.9716884382</v>
      </c>
      <c r="BS24" s="400">
        <f ca="1">IF(BS3="forecast",+BS12+BS18+BS22,'BS - CF Actuals'!BW74)</f>
        <v>-5451637.2830462847</v>
      </c>
      <c r="BT24" s="400">
        <f ca="1">IF(BT3="forecast",+BT12+BT18+BT22,'BS - CF Actuals'!BX74)</f>
        <v>-7305116.5110795461</v>
      </c>
      <c r="BU24" s="400">
        <f ca="1">IF(BU3="forecast",+BU12+BU18+BU22,'BS - CF Actuals'!BY74)</f>
        <v>-9166956.4970829226</v>
      </c>
      <c r="BV24" s="400">
        <f ca="1">IF(BV3="forecast",+BV12+BV18+BV22,'BS - CF Actuals'!BZ74)</f>
        <v>-11036754.259985462</v>
      </c>
      <c r="BW24" s="400">
        <f ca="1">IF(BW3="forecast",+BW12+BW18+BW22,'BS - CF Actuals'!CA74)</f>
        <v>-12915716.09316244</v>
      </c>
      <c r="BX24" s="400">
        <f>IF(BX3="forecast",+BX12+BX18+BX22,'BS - CF Actuals'!CB74)</f>
        <v>10447646.416769795</v>
      </c>
      <c r="BY24" s="400">
        <f>IF(BY3="forecast",+BY12+BY18+BY22,'BS - CF Actuals'!CC74)</f>
        <v>10211296.416769795</v>
      </c>
    </row>
    <row r="25" spans="1:77" ht="13.5" thickTop="1" x14ac:dyDescent="0.2">
      <c r="D25" s="401"/>
      <c r="E25" s="401"/>
      <c r="F25" s="401"/>
      <c r="G25" s="117"/>
      <c r="H25" s="117"/>
      <c r="I25" s="401"/>
      <c r="J25" s="117"/>
      <c r="K25" s="401"/>
      <c r="L25" s="109"/>
      <c r="M25" s="401"/>
      <c r="N25" s="401"/>
      <c r="O25" s="401"/>
      <c r="P25" s="401"/>
      <c r="Q25" s="117"/>
      <c r="R25" s="401"/>
      <c r="S25" s="401"/>
      <c r="T25" s="117">
        <f>T8-T29</f>
        <v>4097908.9099999997</v>
      </c>
      <c r="U25" s="401"/>
      <c r="V25" s="401"/>
      <c r="W25" s="401"/>
      <c r="X25" s="401"/>
      <c r="Y25" s="401"/>
      <c r="Z25" s="401"/>
      <c r="AA25" s="401"/>
      <c r="AB25" s="401"/>
      <c r="AC25" s="109"/>
      <c r="AD25" s="109"/>
      <c r="AE25" s="109"/>
      <c r="AF25" s="109"/>
      <c r="AG25" s="101"/>
      <c r="AH25" s="109"/>
      <c r="AI25" s="109"/>
      <c r="AJ25" s="109"/>
      <c r="AK25" s="109"/>
      <c r="AL25" s="109"/>
      <c r="AM25" s="109"/>
      <c r="AN25" s="109"/>
      <c r="AO25" s="109"/>
      <c r="AP25" s="109"/>
      <c r="AQ25" s="109"/>
      <c r="AR25" s="109"/>
      <c r="AS25" s="109"/>
      <c r="AT25" s="109"/>
      <c r="AU25" s="109"/>
      <c r="AV25" s="109"/>
      <c r="AW25" s="109"/>
      <c r="AX25" s="109"/>
      <c r="AY25" s="109"/>
      <c r="AZ25" s="109"/>
      <c r="BA25" s="109"/>
      <c r="BB25" s="109"/>
      <c r="BC25" s="109"/>
      <c r="BD25" s="109"/>
      <c r="BE25" s="109"/>
      <c r="BF25" s="109"/>
      <c r="BG25" s="109"/>
      <c r="BH25" s="109"/>
      <c r="BI25" s="109"/>
      <c r="BJ25" s="109"/>
      <c r="BK25" s="109"/>
      <c r="BL25" s="109"/>
      <c r="BM25" s="109"/>
      <c r="BN25" s="109"/>
      <c r="BO25" s="109"/>
      <c r="BP25" s="109"/>
      <c r="BQ25" s="109"/>
      <c r="BR25" s="109"/>
      <c r="BS25" s="109"/>
      <c r="BT25" s="109"/>
      <c r="BU25" s="109"/>
      <c r="BV25" s="109"/>
      <c r="BW25" s="109"/>
      <c r="BX25" s="109"/>
      <c r="BY25" s="109"/>
    </row>
    <row r="26" spans="1:77" x14ac:dyDescent="0.2">
      <c r="A26" s="94" t="s">
        <v>102</v>
      </c>
      <c r="B26" s="95"/>
      <c r="C26" s="96"/>
      <c r="D26" s="401"/>
      <c r="E26" s="401"/>
      <c r="F26" s="401"/>
      <c r="G26" s="402"/>
      <c r="H26" s="117"/>
      <c r="I26" s="401"/>
      <c r="J26" s="401"/>
      <c r="K26" s="401"/>
      <c r="L26" s="109"/>
      <c r="M26" s="401"/>
      <c r="N26" s="401"/>
      <c r="O26" s="401"/>
      <c r="P26" s="401"/>
      <c r="Q26" s="117"/>
      <c r="R26" s="117"/>
      <c r="S26" s="117"/>
      <c r="T26" s="117"/>
      <c r="U26" s="117"/>
      <c r="V26" s="402"/>
      <c r="W26" s="401"/>
      <c r="X26" s="401"/>
      <c r="Y26" s="401"/>
      <c r="Z26" s="401"/>
      <c r="AA26" s="401"/>
      <c r="AB26" s="401"/>
      <c r="AC26" s="101"/>
      <c r="AD26" s="101"/>
      <c r="AE26" s="109"/>
      <c r="AF26" s="101"/>
      <c r="AG26" s="101"/>
      <c r="AH26" s="101"/>
      <c r="AI26" s="109"/>
      <c r="AJ26" s="109"/>
      <c r="AK26" s="109"/>
      <c r="AL26" s="109"/>
      <c r="AM26" s="109"/>
      <c r="AN26" s="109"/>
      <c r="AO26" s="109"/>
      <c r="AP26" s="109"/>
      <c r="AQ26" s="109"/>
      <c r="AR26" s="109"/>
      <c r="AS26" s="109"/>
      <c r="AT26" s="109"/>
      <c r="AU26" s="109"/>
      <c r="AV26" s="109"/>
      <c r="AW26" s="109"/>
      <c r="AX26" s="109"/>
      <c r="AY26" s="109"/>
      <c r="AZ26" s="109"/>
      <c r="BA26" s="109"/>
      <c r="BB26" s="109"/>
      <c r="BC26" s="109"/>
      <c r="BD26" s="109"/>
      <c r="BE26" s="109"/>
      <c r="BF26" s="109"/>
      <c r="BG26" s="109"/>
      <c r="BH26" s="109"/>
      <c r="BI26" s="109"/>
      <c r="BJ26" s="109"/>
      <c r="BK26" s="109"/>
      <c r="BL26" s="109"/>
      <c r="BM26" s="109"/>
      <c r="BN26" s="109"/>
      <c r="BO26" s="109"/>
      <c r="BP26" s="109"/>
      <c r="BQ26" s="109"/>
      <c r="BR26" s="109"/>
      <c r="BS26" s="109"/>
      <c r="BT26" s="109"/>
      <c r="BU26" s="109"/>
      <c r="BV26" s="109"/>
      <c r="BW26" s="109"/>
      <c r="BX26" s="109"/>
      <c r="BY26" s="109"/>
    </row>
    <row r="27" spans="1:77" x14ac:dyDescent="0.2">
      <c r="A27" s="98" t="s">
        <v>103</v>
      </c>
      <c r="B27" s="96"/>
      <c r="C27" s="96"/>
      <c r="D27" s="401"/>
      <c r="E27" s="401"/>
      <c r="F27" s="401"/>
      <c r="G27" s="106"/>
      <c r="H27" s="401"/>
      <c r="I27" s="401"/>
      <c r="J27" s="401"/>
      <c r="K27" s="401"/>
      <c r="L27" s="109"/>
      <c r="M27" s="401"/>
      <c r="N27" s="401"/>
      <c r="O27" s="401"/>
      <c r="P27" s="401"/>
      <c r="Q27" s="401"/>
      <c r="R27" s="401"/>
      <c r="S27" s="401"/>
      <c r="T27" s="401"/>
      <c r="U27" s="401"/>
      <c r="V27" s="117"/>
      <c r="W27" s="401"/>
      <c r="X27" s="401"/>
      <c r="Y27" s="401"/>
      <c r="Z27" s="401"/>
      <c r="AA27" s="770"/>
      <c r="AB27" s="401"/>
      <c r="AC27" s="109"/>
      <c r="AD27" s="109"/>
      <c r="AE27" s="109"/>
      <c r="AF27" s="109"/>
      <c r="AG27" s="109"/>
      <c r="AH27" s="109"/>
      <c r="AI27" s="109"/>
      <c r="AJ27" s="109"/>
      <c r="AK27" s="109"/>
      <c r="AL27" s="109"/>
      <c r="AM27" s="109"/>
      <c r="AN27" s="109"/>
      <c r="AO27" s="109"/>
      <c r="AP27" s="109"/>
      <c r="AQ27" s="109"/>
      <c r="AR27" s="109"/>
      <c r="AS27" s="109"/>
      <c r="AT27" s="109"/>
      <c r="AU27" s="109"/>
      <c r="AV27" s="109"/>
      <c r="AW27" s="109"/>
      <c r="AX27" s="109"/>
      <c r="AY27" s="109"/>
      <c r="AZ27" s="109"/>
      <c r="BA27" s="109"/>
      <c r="BB27" s="109"/>
      <c r="BC27" s="109"/>
      <c r="BD27" s="109"/>
      <c r="BE27" s="109"/>
      <c r="BF27" s="109"/>
      <c r="BG27" s="109"/>
      <c r="BH27" s="109"/>
      <c r="BI27" s="109"/>
      <c r="BJ27" s="109"/>
      <c r="BK27" s="109"/>
      <c r="BL27" s="109"/>
      <c r="BM27" s="109"/>
      <c r="BN27" s="109"/>
      <c r="BO27" s="109"/>
      <c r="BP27" s="109"/>
      <c r="BQ27" s="109"/>
      <c r="BR27" s="109"/>
      <c r="BS27" s="109"/>
      <c r="BT27" s="109"/>
      <c r="BU27" s="109"/>
      <c r="BV27" s="109"/>
      <c r="BW27" s="109"/>
      <c r="BX27" s="109"/>
      <c r="BY27" s="109"/>
    </row>
    <row r="28" spans="1:77" x14ac:dyDescent="0.2">
      <c r="B28" s="26" t="s">
        <v>104</v>
      </c>
      <c r="D28" s="117">
        <f>IF(D3="forecast",('P&amp;L - Monthly'!B26+'P&amp;L - Monthly'!B28+'P&amp;L - Monthly'!B63*0.15)*D55/30,'BS - CF Actuals'!H80)</f>
        <v>10166.129999999999</v>
      </c>
      <c r="E28" s="117">
        <f>IF(E3="forecast",('P&amp;L - Monthly'!C26+'P&amp;L - Monthly'!C28+'P&amp;L - Monthly'!C63*0.15)*E55/30,'BS - CF Actuals'!I80)</f>
        <v>127466.18</v>
      </c>
      <c r="F28" s="117">
        <f>IF(F3="forecast",('P&amp;L - Monthly'!E26+'P&amp;L - Monthly'!E28+'P&amp;L - Monthly'!E63*0.15)*F55/30,'BS - CF Actuals'!J80)</f>
        <v>117600.45000000001</v>
      </c>
      <c r="G28" s="117">
        <f>IF(G3="forecast",('P&amp;L - Monthly'!F26+'P&amp;L - Monthly'!F28+'P&amp;L - Monthly'!F63*0.15)*G55/30,'BS - CF Actuals'!K80)</f>
        <v>137742.41999999998</v>
      </c>
      <c r="H28" s="117">
        <f>IF(H3="forecast",('P&amp;L - Monthly'!G26+'P&amp;L - Monthly'!G28+'P&amp;L - Monthly'!G63*0.15)*H55/30,'BS - CF Actuals'!L80)</f>
        <v>154613.62</v>
      </c>
      <c r="I28" s="117">
        <f>IF(I3="forecast",('P&amp;L - Monthly'!H26+'P&amp;L - Monthly'!H28+'P&amp;L - Monthly'!H63*0.15)*I55/30,'BS - CF Actuals'!M80)</f>
        <v>141940.87</v>
      </c>
      <c r="J28" s="117">
        <f>IF(J3="forecast",('P&amp;L - Monthly'!I26+'P&amp;L - Monthly'!I28+'P&amp;L - Monthly'!I63*0.15)*J55/30,'BS - CF Actuals'!N80)</f>
        <v>295779.82</v>
      </c>
      <c r="K28" s="117">
        <f>IF(K3="forecast",('P&amp;L - Monthly'!J26+'P&amp;L - Monthly'!J28+'P&amp;L - Monthly'!J63*0.15)*K55/30,'BS - CF Actuals'!O80)</f>
        <v>150972.02000000002</v>
      </c>
      <c r="L28" s="117">
        <f>IF(L3="forecast",('P&amp;L - Monthly'!K26+'P&amp;L - Monthly'!K28+'P&amp;L - Monthly'!K63*0.15)*L55/30,'BS - CF Actuals'!P80)</f>
        <v>149805.26</v>
      </c>
      <c r="M28" s="117">
        <f>IF(M3="forecast",('P&amp;L - Monthly'!L26+'P&amp;L - Monthly'!L28+'P&amp;L - Monthly'!L63*0.15)*M55/30,'BS - CF Actuals'!Q80)</f>
        <v>61495.99</v>
      </c>
      <c r="N28" s="117">
        <f>IF(N3="forecast",('P&amp;L - Monthly'!M26+'P&amp;L - Monthly'!M28+'P&amp;L - Monthly'!M63*0.15)*N55/30,'BS - CF Actuals'!R80)</f>
        <v>76277.840000000011</v>
      </c>
      <c r="O28" s="117">
        <f>IF(O3="forecast",('P&amp;L - Monthly'!N26+'P&amp;L - Monthly'!N28+'P&amp;L - Monthly'!N63*0.15)*O55/30,'BS - CF Actuals'!S80)</f>
        <v>44856.979999999996</v>
      </c>
      <c r="P28" s="117">
        <f>IF(P3="forecast",('P&amp;L - Monthly'!O26+'P&amp;L - Monthly'!O28+'P&amp;L - Monthly'!O63*0.15)*P55/30,'BS - CF Actuals'!T80)</f>
        <v>244320.17</v>
      </c>
      <c r="Q28" s="117">
        <f>IF(Q3="forecast",('P&amp;L - Monthly'!P26+'P&amp;L - Monthly'!P28+'P&amp;L - Monthly'!P63*0.15)*Q55/30,'BS - CF Actuals'!U80)</f>
        <v>114346.3</v>
      </c>
      <c r="R28" s="117">
        <f>IF(R3="forecast",('P&amp;L - Monthly'!Q26+'P&amp;L - Monthly'!Q28+'P&amp;L - Monthly'!Q63*0.15)*R55/30,'BS - CF Actuals'!V80)</f>
        <v>150397.99</v>
      </c>
      <c r="S28" s="117">
        <f>IF(S3="forecast",('P&amp;L - Monthly'!R26+'P&amp;L - Monthly'!R28+'P&amp;L - Monthly'!R63*0.15)*S55/30,'BS - CF Actuals'!W80)</f>
        <v>249877.71</v>
      </c>
      <c r="T28" s="117">
        <f>IF(T3="forecast",('P&amp;L - Monthly'!S26+'P&amp;L - Monthly'!S28+'P&amp;L - Monthly'!S63*0.15)*T55/30,'BS - CF Actuals'!X80)</f>
        <v>188670.67</v>
      </c>
      <c r="U28" s="117">
        <f>IF(U3="forecast",('P&amp;L - Monthly'!T26+'P&amp;L - Monthly'!T28+'P&amp;L - Monthly'!T63*0.15)*U55/30,'BS - CF Actuals'!Y80)</f>
        <v>209251.75</v>
      </c>
      <c r="V28" s="117">
        <f>IF(V3="forecast",('P&amp;L - Monthly'!U26+'P&amp;L - Monthly'!U28+'P&amp;L - Monthly'!U63*0.15)*V55/30,'BS - CF Actuals'!Z80)</f>
        <v>115568.56</v>
      </c>
      <c r="W28" s="117">
        <f>IF(W3="forecast",('P&amp;L - Monthly'!V26+'P&amp;L - Monthly'!V28+'P&amp;L - Monthly'!V63*0.15)*W55/30,'BS - CF Actuals'!AA80)</f>
        <v>92513.37</v>
      </c>
      <c r="X28" s="117">
        <f>IF(X3="forecast",('P&amp;L - Monthly'!W26+'P&amp;L - Monthly'!W28+'P&amp;L - Monthly'!W63*0.15)*X55/30,'BS - CF Actuals'!AB80)</f>
        <v>194947.13</v>
      </c>
      <c r="Y28" s="117">
        <f>IF(Y3="forecast",('P&amp;L - Monthly'!X26+'P&amp;L - Monthly'!X28+'P&amp;L - Monthly'!X63*0.15)*Y55/30,'BS - CF Actuals'!AC80)</f>
        <v>206551.45</v>
      </c>
      <c r="Z28" s="117">
        <f>IF(Z3="forecast",('P&amp;L - Monthly'!Y26+'P&amp;L - Monthly'!Y28+'P&amp;L - Monthly'!Y63*0.15)*Z55/30,'BS - CF Actuals'!AD80)</f>
        <v>239669.88</v>
      </c>
      <c r="AA28" s="117">
        <f>IF(AA3="forecast",('P&amp;L - Monthly'!Z26+'P&amp;L - Monthly'!Z28+'P&amp;L - Monthly'!Z63*0.15)*AA55/30,'BS - CF Actuals'!AE80)</f>
        <v>150453.07999999999</v>
      </c>
      <c r="AB28" s="117">
        <f>IF(AB3="forecast",('P&amp;L - Monthly'!AA26+'P&amp;L - Monthly'!AA28+'P&amp;L - Monthly'!AA63*0.15)*AB55/30,'BS - CF Actuals'!AF80)</f>
        <v>217494.95</v>
      </c>
      <c r="AC28" s="117">
        <f>IF(AC3="forecast",('P&amp;L - Monthly'!AB26+'P&amp;L - Monthly'!AB28+'P&amp;L - Monthly'!AB63*0.15)*AC55/30,'BS - CF Actuals'!AG80)</f>
        <v>323421</v>
      </c>
      <c r="AD28" s="117">
        <f>IF(AD3="forecast",('P&amp;L - Monthly'!AC26+'P&amp;L - Monthly'!AC28+'P&amp;L - Monthly'!AC63*0.15)*AD55/30,'BS - CF Actuals'!AH80)</f>
        <v>220261.32</v>
      </c>
      <c r="AE28" s="117">
        <f>IF(AE3="forecast",('P&amp;L - Monthly'!AD26+'P&amp;L - Monthly'!AD28+'P&amp;L - Monthly'!AD63*0.15)*AE55/30,'BS - CF Actuals'!AI80)</f>
        <v>233414.89</v>
      </c>
      <c r="AF28" s="117">
        <f>IF(AF3="forecast",('P&amp;L - Monthly'!AE26+'P&amp;L - Monthly'!AE28+'P&amp;L - Monthly'!AE63*0.15)*AF55/30,'BS - CF Actuals'!AJ80)</f>
        <v>331077.65000000002</v>
      </c>
      <c r="AG28" s="117">
        <f ca="1">IF(AG3="forecast",('P&amp;L - Monthly'!AF26+'P&amp;L - Monthly'!AF28+'P&amp;L - Monthly'!AF63*0.15)*AG55/30,'BS - CF Actuals'!AK80)</f>
        <v>443260.76230502047</v>
      </c>
      <c r="AH28" s="117">
        <f ca="1">IF(AH3="forecast",('P&amp;L - Monthly'!AG26+'P&amp;L - Monthly'!AG28+'P&amp;L - Monthly'!AG63*0.15)*AH55/30,'BS - CF Actuals'!AL80)</f>
        <v>434446.88689321734</v>
      </c>
      <c r="AI28" s="117">
        <f ca="1">IF(AI3="forecast",('P&amp;L - Monthly'!AH26+'P&amp;L - Monthly'!AH28+'P&amp;L - Monthly'!AH63*0.15)*AI55/30,'BS - CF Actuals'!AM80)</f>
        <v>454205.05221819493</v>
      </c>
      <c r="AJ28" s="117">
        <f ca="1">IF(AJ3="forecast",('P&amp;L - Monthly'!AI26+'P&amp;L - Monthly'!AI28+'P&amp;L - Monthly'!AI63*0.15)*AJ55/30,'BS - CF Actuals'!AN80)</f>
        <v>451946.88718042505</v>
      </c>
      <c r="AK28" s="117">
        <f ca="1">IF(AK3="forecast",('P&amp;L - Monthly'!AJ26+'P&amp;L - Monthly'!AJ28+'P&amp;L - Monthly'!AJ63*0.15)*AK55/30,'BS - CF Actuals'!AO80)</f>
        <v>412327.97713185329</v>
      </c>
      <c r="AL28" s="117">
        <f ca="1">IF(AL3="forecast",('P&amp;L - Monthly'!AK26+'P&amp;L - Monthly'!AK28+'P&amp;L - Monthly'!AK63*0.15)*AL55/30,'BS - CF Actuals'!AP80)</f>
        <v>460822.00529084803</v>
      </c>
      <c r="AM28" s="117">
        <f ca="1">IF(AM3="forecast",('P&amp;L - Monthly'!AL26+'P&amp;L - Monthly'!AL28+'P&amp;L - Monthly'!AL63*0.15)*AM55/30,'BS - CF Actuals'!AQ80)</f>
        <v>493424.34478822886</v>
      </c>
      <c r="AN28" s="117">
        <f ca="1">IF(AN3="forecast",('P&amp;L - Monthly'!AM26+'P&amp;L - Monthly'!AM28+'P&amp;L - Monthly'!AM63*0.15)*AN55/30,'BS - CF Actuals'!AR80)</f>
        <v>441773.48151577212</v>
      </c>
      <c r="AO28" s="117">
        <f ca="1">IF(AO3="forecast",('P&amp;L - Monthly'!AN26+'P&amp;L - Monthly'!AN28+'P&amp;L - Monthly'!AN63*0.15)*AO55/30,'BS - CF Actuals'!AS80)</f>
        <v>426606.93795993895</v>
      </c>
      <c r="AP28" s="117">
        <f ca="1">IF(AP3="forecast",('P&amp;L - Monthly'!AO26+'P&amp;L - Monthly'!AO28+'P&amp;L - Monthly'!AO63*0.15)*AP55/30,'BS - CF Actuals'!AT80)</f>
        <v>1509116.6304198529</v>
      </c>
      <c r="AQ28" s="117">
        <f ca="1">IF(AQ3="forecast",('P&amp;L - Monthly'!AP26+'P&amp;L - Monthly'!AP28+'P&amp;L - Monthly'!AP63*0.15)*AQ55/30,'BS - CF Actuals'!AU80)</f>
        <v>386096.4058412693</v>
      </c>
      <c r="AR28" s="117">
        <f ca="1">IF(AR3="forecast",('P&amp;L - Monthly'!AQ26+'P&amp;L - Monthly'!AQ28+'P&amp;L - Monthly'!AQ63*0.15)*AR55/30,'BS - CF Actuals'!AV80)</f>
        <v>396815.93455541623</v>
      </c>
      <c r="AS28" s="117">
        <f ca="1">IF(AS3="forecast",('P&amp;L - Monthly'!AR26+'P&amp;L - Monthly'!AR28+'P&amp;L - Monthly'!AR63*0.15)*AS55/30,'BS - CF Actuals'!AW80)</f>
        <v>405616.15847680846</v>
      </c>
      <c r="AT28" s="117">
        <f ca="1">IF(AT3="forecast",('P&amp;L - Monthly'!AS26+'P&amp;L - Monthly'!AS28+'P&amp;L - Monthly'!AS63*0.15)*AT55/30,'BS - CF Actuals'!AX80)</f>
        <v>413412.01732679608</v>
      </c>
      <c r="AU28" s="117">
        <f ca="1">IF(AU3="forecast",('P&amp;L - Monthly'!AT26+'P&amp;L - Monthly'!AT28+'P&amp;L - Monthly'!AT63*0.15)*AU55/30,'BS - CF Actuals'!AY80)</f>
        <v>421053.87162373553</v>
      </c>
      <c r="AV28" s="117">
        <f ca="1">IF(AV3="forecast",('P&amp;L - Monthly'!AU26+'P&amp;L - Monthly'!AU28+'P&amp;L - Monthly'!AU63*0.15)*AV55/30,'BS - CF Actuals'!AZ80)</f>
        <v>428707.67577932304</v>
      </c>
      <c r="AW28" s="117">
        <f ca="1">IF(AW3="forecast",('P&amp;L - Monthly'!AV26+'P&amp;L - Monthly'!AV28+'P&amp;L - Monthly'!AV63*0.15)*AW55/30,'BS - CF Actuals'!BA80)</f>
        <v>436626.77215408313</v>
      </c>
      <c r="AX28" s="117">
        <f ca="1">IF(AX3="forecast",('P&amp;L - Monthly'!AW26+'P&amp;L - Monthly'!AW28+'P&amp;L - Monthly'!AW63*0.15)*AX55/30,'BS - CF Actuals'!BB80)</f>
        <v>444805.55847612739</v>
      </c>
      <c r="AY28" s="117">
        <f ca="1">IF(AY3="forecast",('P&amp;L - Monthly'!AX26+'P&amp;L - Monthly'!AX28+'P&amp;L - Monthly'!AX63*0.15)*AY55/30,'BS - CF Actuals'!BC80)</f>
        <v>452541.30417455692</v>
      </c>
      <c r="AZ28" s="117">
        <f ca="1">IF(AZ3="forecast",('P&amp;L - Monthly'!AY26+'P&amp;L - Monthly'!AY28+'P&amp;L - Monthly'!AY63*0.15)*AZ55/30,'BS - CF Actuals'!BD80)</f>
        <v>460283.26889272541</v>
      </c>
      <c r="BA28" s="117">
        <f ca="1">IF(BA3="forecast",('P&amp;L - Monthly'!AZ26+'P&amp;L - Monthly'!AZ28+'P&amp;L - Monthly'!AZ63*0.15)*BA55/30,'BS - CF Actuals'!BE80)</f>
        <v>468804.17223966954</v>
      </c>
      <c r="BB28" s="117">
        <f ca="1">IF(BB3="forecast",('P&amp;L - Monthly'!BA26+'P&amp;L - Monthly'!BA28+'P&amp;L - Monthly'!BA63*0.15)*BB55/30,'BS - CF Actuals'!BF80)</f>
        <v>223974.64968554993</v>
      </c>
      <c r="BC28" s="117">
        <f ca="1">IF(BC3="forecast",('P&amp;L - Monthly'!BB26+'P&amp;L - Monthly'!BB28+'P&amp;L - Monthly'!BB63*0.15)*BC55/30,'BS - CF Actuals'!BG80)</f>
        <v>286642.57215639768</v>
      </c>
      <c r="BD28" s="117">
        <f ca="1">IF(BD3="forecast",('P&amp;L - Monthly'!BC26+'P&amp;L - Monthly'!BC28+'P&amp;L - Monthly'!BC63*0.15)*BD55/30,'BS - CF Actuals'!BH80)</f>
        <v>287711.12376296165</v>
      </c>
      <c r="BE28" s="117">
        <f ca="1">IF(BE3="forecast",('P&amp;L - Monthly'!BD26+'P&amp;L - Monthly'!BD28+'P&amp;L - Monthly'!BD63*0.15)*BE55/30,'BS - CF Actuals'!BI80)</f>
        <v>288716.75106374634</v>
      </c>
      <c r="BF28" s="117">
        <f ca="1">IF(BF3="forecast",('P&amp;L - Monthly'!BE26+'P&amp;L - Monthly'!BE28+'P&amp;L - Monthly'!BE63*0.15)*BF55/30,'BS - CF Actuals'!BJ80)</f>
        <v>289728.55842896277</v>
      </c>
      <c r="BG28" s="117">
        <f ca="1">IF(BG3="forecast",('P&amp;L - Monthly'!BF26+'P&amp;L - Monthly'!BF28+'P&amp;L - Monthly'!BF63*0.15)*BG55/30,'BS - CF Actuals'!BK80)</f>
        <v>290752.0460179848</v>
      </c>
      <c r="BH28" s="117">
        <f ca="1">IF(BH3="forecast",('P&amp;L - Monthly'!BG26+'P&amp;L - Monthly'!BG28+'P&amp;L - Monthly'!BG63*0.15)*BH55/30,'BS - CF Actuals'!BL80)</f>
        <v>291794.50109230896</v>
      </c>
      <c r="BI28" s="117">
        <f ca="1">IF(BI3="forecast",('P&amp;L - Monthly'!BH26+'P&amp;L - Monthly'!BH28+'P&amp;L - Monthly'!BH63*0.15)*BI55/30,'BS - CF Actuals'!BM80)</f>
        <v>292849.64171795559</v>
      </c>
      <c r="BJ28" s="117">
        <f ca="1">IF(BJ3="forecast",('P&amp;L - Monthly'!BI26+'P&amp;L - Monthly'!BI28+'P&amp;L - Monthly'!BI63*0.15)*BJ55/30,'BS - CF Actuals'!BN80)</f>
        <v>293920.46906869771</v>
      </c>
      <c r="BK28" s="117">
        <f ca="1">IF(BK3="forecast",('P&amp;L - Monthly'!BJ26+'P&amp;L - Monthly'!BJ28+'P&amp;L - Monthly'!BJ63*0.15)*BK55/30,'BS - CF Actuals'!BO80)</f>
        <v>295006.13926368451</v>
      </c>
      <c r="BL28" s="117">
        <f ca="1">IF(BL3="forecast",('P&amp;L - Monthly'!BK26+'P&amp;L - Monthly'!BK28+'P&amp;L - Monthly'!BK63*0.15)*BL55/30,'BS - CF Actuals'!BP80)</f>
        <v>296106.48793852079</v>
      </c>
      <c r="BM28" s="117">
        <f ca="1">IF(BM3="forecast",('P&amp;L - Monthly'!BL26+'P&amp;L - Monthly'!BL28+'P&amp;L - Monthly'!BL63*0.15)*BM55/30,'BS - CF Actuals'!BQ80)</f>
        <v>298010.77744844183</v>
      </c>
      <c r="BN28" s="117">
        <f ca="1">IF(BN3="forecast",('P&amp;L - Monthly'!BM26+'P&amp;L - Monthly'!BM28+'P&amp;L - Monthly'!BM63*0.15)*BN55/30,'BS - CF Actuals'!BR80)</f>
        <v>240864.06914641007</v>
      </c>
      <c r="BO28" s="117">
        <f ca="1">IF(BO3="forecast",('P&amp;L - Monthly'!BN26+'P&amp;L - Monthly'!BN28+'P&amp;L - Monthly'!BN63*0.15)*BO55/30,'BS - CF Actuals'!BS80)</f>
        <v>243699.19111294608</v>
      </c>
      <c r="BP28" s="117">
        <f ca="1">IF(BP3="forecast",('P&amp;L - Monthly'!BO26+'P&amp;L - Monthly'!BO28+'P&amp;L - Monthly'!BO63*0.15)*BP55/30,'BS - CF Actuals'!BT80)</f>
        <v>244870.81186482331</v>
      </c>
      <c r="BQ28" s="117">
        <f ca="1">IF(BQ3="forecast",('P&amp;L - Monthly'!BP26+'P&amp;L - Monthly'!BP28+'P&amp;L - Monthly'!BP63*0.15)*BQ55/30,'BS - CF Actuals'!BU80)</f>
        <v>246054.02592561292</v>
      </c>
      <c r="BR28" s="117">
        <f ca="1">IF(BR3="forecast",('P&amp;L - Monthly'!BQ26+'P&amp;L - Monthly'!BQ28+'P&amp;L - Monthly'!BQ63*0.15)*BR55/30,'BS - CF Actuals'!BV80)</f>
        <v>247253.97793499631</v>
      </c>
      <c r="BS28" s="117">
        <f ca="1">IF(BS3="forecast",('P&amp;L - Monthly'!BR26+'P&amp;L - Monthly'!BR28+'P&amp;L - Monthly'!BR63*0.15)*BS55/30,'BS - CF Actuals'!BW80)</f>
        <v>248472.51131291941</v>
      </c>
      <c r="BT28" s="117">
        <f ca="1">IF(BT3="forecast",('P&amp;L - Monthly'!BS26+'P&amp;L - Monthly'!BS28+'P&amp;L - Monthly'!BS63*0.15)*BT55/30,'BS - CF Actuals'!BX80)</f>
        <v>249709.9909528252</v>
      </c>
      <c r="BU28" s="117">
        <f ca="1">IF(BU3="forecast",('P&amp;L - Monthly'!BT26+'P&amp;L - Monthly'!BT28+'P&amp;L - Monthly'!BT63*0.15)*BU55/30,'BS - CF Actuals'!BY80)</f>
        <v>250967.21667286244</v>
      </c>
      <c r="BV28" s="117">
        <f ca="1">IF(BV3="forecast",('P&amp;L - Monthly'!BU26+'P&amp;L - Monthly'!BU28+'P&amp;L - Monthly'!BU63*0.15)*BV55/30,'BS - CF Actuals'!BZ80)</f>
        <v>252244.25514647682</v>
      </c>
      <c r="BW28" s="117">
        <f ca="1">IF(BW3="forecast",('P&amp;L - Monthly'!BV26+'P&amp;L - Monthly'!BV28+'P&amp;L - Monthly'!BV63*0.15)*BW55/30,'BS - CF Actuals'!CA80)</f>
        <v>253541.84922814762</v>
      </c>
      <c r="BX28" s="117">
        <f ca="1">IF(BX3="forecast",('P&amp;L - Monthly'!BW26+'P&amp;L - Monthly'!BW28+'P&amp;L - Monthly'!BW63*0.15)*BX55/30,'BS - CF Actuals'!CB80)</f>
        <v>254860.61418132516</v>
      </c>
      <c r="BY28" s="117" t="e">
        <f ca="1">IF(BY3="forecast",('P&amp;L - Monthly'!BX26+'P&amp;L - Monthly'!BX28+'P&amp;L - Monthly'!BX63*0.15)*BY55/30,'BS - CF Actuals'!CC80)</f>
        <v>#REF!</v>
      </c>
    </row>
    <row r="29" spans="1:77" x14ac:dyDescent="0.2">
      <c r="B29" s="26" t="s">
        <v>507</v>
      </c>
      <c r="D29" s="117">
        <f>IF(D3="forecast",,IF(Sensativities!$B$10="GAAP",'BS - CF Actuals'!H100,'BS - CF Actuals'!H100-Sensativities!$B$11))</f>
        <v>1465072.79</v>
      </c>
      <c r="E29" s="117">
        <f>IF(E3="forecast",,IF(Sensativities!$B$10="GAAP",'BS - CF Actuals'!I100,'BS - CF Actuals'!I100-Sensativities!$B$11))</f>
        <v>2448176.83</v>
      </c>
      <c r="F29" s="117">
        <f>IF(F3="forecast",,IF(Sensativities!$B$10="GAAP",'BS - CF Actuals'!J100,'BS - CF Actuals'!J100-Sensativities!$B$11))</f>
        <v>2451443.6811143844</v>
      </c>
      <c r="G29" s="117">
        <f>IF(G3="forecast",,IF(Sensativities!$B$10="GAAP",'BS - CF Actuals'!K100,'BS - CF Actuals'!K100-Sensativities!$B$11))</f>
        <v>2411815.7549593886</v>
      </c>
      <c r="H29" s="117">
        <f>IF(H3="forecast",,IF(Sensativities!$B$10="GAAP",'BS - CF Actuals'!L100,'BS - CF Actuals'!L100-Sensativities!$B$11))</f>
        <v>2359010.9015557361</v>
      </c>
      <c r="I29" s="117">
        <f>IF(I3="forecast",,IF(Sensativities!$B$10="GAAP",'BS - CF Actuals'!M100,'BS - CF Actuals'!M100-Sensativities!$B$11))</f>
        <v>3303695.0664396943</v>
      </c>
      <c r="J29" s="117">
        <f>IF(J3="forecast",,IF(Sensativities!$B$10="GAAP",'BS - CF Actuals'!N100,'BS - CF Actuals'!N100-Sensativities!$B$11))</f>
        <v>3565567.1843792517</v>
      </c>
      <c r="K29" s="117">
        <f>IF(K3="forecast",,IF(Sensativities!$B$10="GAAP",'BS - CF Actuals'!O100,'BS - CF Actuals'!O100-Sensativities!$B$11))</f>
        <v>3497235.7020452945</v>
      </c>
      <c r="L29" s="117">
        <f>IF(L3="forecast",,IF(Sensativities!$B$10="GAAP",'BS - CF Actuals'!P100,'BS - CF Actuals'!P100-Sensativities!$B$11))</f>
        <v>3504387.7004646901</v>
      </c>
      <c r="M29" s="117">
        <f>IF(M3="forecast",,IF(Sensativities!$B$10="GAAP",'BS - CF Actuals'!Q100,'BS - CF Actuals'!Q100-Sensativities!$B$11))</f>
        <v>3457435.0925441496</v>
      </c>
      <c r="N29" s="117">
        <f>IF(N3="forecast",,IF(Sensativities!$B$10="GAAP",'BS - CF Actuals'!R100,'BS - CF Actuals'!R100-Sensativities!$B$11))</f>
        <v>3411836.1159384376</v>
      </c>
      <c r="O29" s="117">
        <f>IF(O3="forecast",,IF(Sensativities!$B$10="GAAP",'BS - CF Actuals'!S100,'BS - CF Actuals'!S100-Sensativities!$B$11))</f>
        <v>3608558.6505331378</v>
      </c>
      <c r="P29" s="117">
        <f>IF(P3="forecast",,IF(Sensativities!$B$10="GAAP",'BS - CF Actuals'!T100,'BS - CF Actuals'!T100-Sensativities!$B$11))</f>
        <v>3389939.2191822021</v>
      </c>
      <c r="Q29" s="117">
        <f>IF(Q3="forecast",,IF(Sensativities!$B$10="GAAP",'BS - CF Actuals'!U100,'BS - CF Actuals'!U100-Sensativities!$B$11))</f>
        <v>2110394.37</v>
      </c>
      <c r="R29" s="117">
        <f>IF(R3="forecast",,IF(Sensativities!$B$10="GAAP",'BS - CF Actuals'!V100,'BS - CF Actuals'!V100-Sensativities!$B$11))</f>
        <v>3091002.33</v>
      </c>
      <c r="S29" s="117">
        <f>IF(S3="forecast",S69,IF(Sensativities!$B$10="GAAP",'BS - CF Actuals'!W100,'BS - CF Actuals'!W100-Sensativities!$B$11))</f>
        <v>2766690.83</v>
      </c>
      <c r="T29" s="117">
        <f>IF(T3="forecast",T69,IF(Sensativities!$B$10="GAAP",'BS - CF Actuals'!X100,'BS - CF Actuals'!X100-Sensativities!$B$11))</f>
        <v>2602389.7799999998</v>
      </c>
      <c r="U29" s="117">
        <f>IF(U3="forecast",U69,IF(Sensativities!$B$10="GAAP",'BS - CF Actuals'!Y100,'BS - CF Actuals'!Y100-Sensativities!$B$11))</f>
        <v>2431390.27</v>
      </c>
      <c r="V29" s="117">
        <f>IF(V3="Forecast",V65,'BS - CF Actuals'!Z100)</f>
        <v>2374179.9500000002</v>
      </c>
      <c r="W29" s="117">
        <f>IF(W3="Forecast",W65,'BS - CF Actuals'!AA100)</f>
        <v>2484153.2799999998</v>
      </c>
      <c r="X29" s="117">
        <f>IF(X3="Forecast",X65,'BS - CF Actuals'!AB100)</f>
        <v>2312820.5499999998</v>
      </c>
      <c r="Y29" s="117">
        <f>IF(Y3="Forecast",Y65,'BS - CF Actuals'!AC100)</f>
        <v>2351706.7000000002</v>
      </c>
      <c r="Z29" s="117">
        <f>IF(Z3="Forecast",Z65,'BS - CF Actuals'!AD100)</f>
        <v>2702980.32</v>
      </c>
      <c r="AA29" s="117">
        <f>IF(AA3="Forecast",AA65,'BS - CF Actuals'!AE100)</f>
        <v>2390645.64</v>
      </c>
      <c r="AB29" s="117">
        <f>IF(AB3="Forecast",AB65,'BS - CF Actuals'!AF100)</f>
        <v>2326548.5499999998</v>
      </c>
      <c r="AC29" s="117">
        <f>IF(AC3="Forecast",AC65,'BS - CF Actuals'!AG100)</f>
        <v>1923457.01</v>
      </c>
      <c r="AD29" s="117">
        <f>IF(AD3="Forecast",AD65,'BS - CF Actuals'!AH100)</f>
        <v>2331022.65</v>
      </c>
      <c r="AE29" s="117">
        <f>IF(AE3="Forecast",AE65,'BS - CF Actuals'!AI100)</f>
        <v>2237217.4900000002</v>
      </c>
      <c r="AF29" s="117">
        <f>IF(AF3="Forecast",AF65,'BS - CF Actuals'!AJ100)</f>
        <v>2226243.5</v>
      </c>
      <c r="AG29" s="117">
        <f>IF(AG3="Forecast",AG65,'BS - CF Actuals'!AK100)</f>
        <v>2653714.1835147967</v>
      </c>
      <c r="AH29" s="117">
        <f>IF(AH3="Forecast",AH65,'BS - CF Actuals'!AL100)</f>
        <v>2667118.7040198799</v>
      </c>
      <c r="AI29" s="117">
        <f>IF(AI3="Forecast",AI65,'BS - CF Actuals'!AM100)</f>
        <v>2679603.436238125</v>
      </c>
      <c r="AJ29" s="117">
        <f>IF(AJ3="Forecast",AJ65,'BS - CF Actuals'!AN100)</f>
        <v>2676809.8314053882</v>
      </c>
      <c r="AK29" s="117">
        <f>IF(AK3="Forecast",AK65,'BS - CF Actuals'!AO100)</f>
        <v>2685856.440560854</v>
      </c>
      <c r="AL29" s="117">
        <f>IF(AL3="Forecast",AL65,'BS - CF Actuals'!AP100)</f>
        <v>2720155.0696349945</v>
      </c>
      <c r="AM29" s="117">
        <f>IF(AM3="Forecast",AM65,'BS - CF Actuals'!AQ100)</f>
        <v>2734732.8776542395</v>
      </c>
      <c r="AN29" s="117">
        <f>IF(AN3="Forecast",AN65,'BS - CF Actuals'!AR100)</f>
        <v>2727255.9839439266</v>
      </c>
      <c r="AO29" s="117">
        <f>IF(AO3="Forecast",AO65,'BS - CF Actuals'!AS100)</f>
        <v>2728341.5752954315</v>
      </c>
      <c r="AP29" s="117">
        <f>IF(AP3="Forecast",AP65,'BS - CF Actuals'!AT100)</f>
        <v>2764462.2534193737</v>
      </c>
      <c r="AQ29" s="117">
        <f>IF(AQ3="Forecast",AQ65,'BS - CF Actuals'!AU100)</f>
        <v>2778895.240181264</v>
      </c>
      <c r="AR29" s="117">
        <f>IF(AR3="Forecast",AR65,'BS - CF Actuals'!AV100)</f>
        <v>2793909.7643919522</v>
      </c>
      <c r="AS29" s="117">
        <f>IF(AS3="Forecast",AS65,'BS - CF Actuals'!AW100)</f>
        <v>2808165.6350026489</v>
      </c>
      <c r="AT29" s="117">
        <f>IF(AT3="Forecast",AT65,'BS - CF Actuals'!AX100)</f>
        <v>2821856.7672879379</v>
      </c>
      <c r="AU29" s="117">
        <f>IF(AU3="Forecast",AU65,'BS - CF Actuals'!AY100)</f>
        <v>2835400.3406990329</v>
      </c>
      <c r="AV29" s="117">
        <f>IF(AV3="Forecast",AV65,'BS - CF Actuals'!AZ100)</f>
        <v>2848951.5119823529</v>
      </c>
      <c r="AW29" s="117">
        <f>IF(AW3="Forecast",AW65,'BS - CF Actuals'!BA100)</f>
        <v>2862671.0441122134</v>
      </c>
      <c r="AX29" s="117">
        <f>IF(AX3="Forecast",AX65,'BS - CF Actuals'!BB100)</f>
        <v>2876557.3177029733</v>
      </c>
      <c r="AY29" s="117">
        <f>IF(AY3="Forecast",AY65,'BS - CF Actuals'!BC100)</f>
        <v>2890136.6862729522</v>
      </c>
      <c r="AZ29" s="117">
        <f>IF(AZ3="Forecast",AZ65,'BS - CF Actuals'!BD100)</f>
        <v>2903716.9119857885</v>
      </c>
      <c r="BA29" s="117">
        <f>IF(BA3="Forecast",BA65,'BS - CF Actuals'!BE100)</f>
        <v>2917297.994841482</v>
      </c>
      <c r="BB29" s="117">
        <f>IF(BB3="Forecast",BB65,'BS - CF Actuals'!BF100)</f>
        <v>2481852.0227356181</v>
      </c>
      <c r="BC29" s="117">
        <f>IF(BC3="Forecast",BC65,'BS - CF Actuals'!BG100)</f>
        <v>2481866.4036879991</v>
      </c>
      <c r="BD29" s="117">
        <f>IF(BD3="Forecast",BD65,'BS - CF Actuals'!BH100)</f>
        <v>2481881.7846403802</v>
      </c>
      <c r="BE29" s="117">
        <f>IF(BE3="Forecast",BE65,'BS - CF Actuals'!BI100)</f>
        <v>2481898.1655927612</v>
      </c>
      <c r="BF29" s="117">
        <f>IF(BF3="Forecast",BF65,'BS - CF Actuals'!BJ100)</f>
        <v>2481915.5465451423</v>
      </c>
      <c r="BG29" s="117">
        <f>IF(BG3="Forecast",BG65,'BS - CF Actuals'!BK100)</f>
        <v>2481933.9274975234</v>
      </c>
      <c r="BH29" s="117">
        <f>IF(BH3="Forecast",BH65,'BS - CF Actuals'!BL100)</f>
        <v>2481953.3084499044</v>
      </c>
      <c r="BI29" s="117">
        <f>IF(BI3="Forecast",BI65,'BS - CF Actuals'!BM100)</f>
        <v>2481973.6894022855</v>
      </c>
      <c r="BJ29" s="117">
        <f>IF(BJ3="Forecast",BJ65,'BS - CF Actuals'!BN100)</f>
        <v>2481995.0703546666</v>
      </c>
      <c r="BK29" s="117">
        <f>IF(BK3="Forecast",BK65,'BS - CF Actuals'!BO100)</f>
        <v>2482017.4513070476</v>
      </c>
      <c r="BL29" s="117">
        <f>IF(BL3="Forecast",BL65,'BS - CF Actuals'!BP100)</f>
        <v>2482040.8322594287</v>
      </c>
      <c r="BM29" s="117">
        <f>IF(BM3="Forecast",BM65,'BS - CF Actuals'!BQ100)</f>
        <v>2482065.2132118098</v>
      </c>
      <c r="BN29" s="117">
        <f>IF(BN3="Forecast",BN65,'BS - CF Actuals'!BR100)</f>
        <v>2482090.5941641908</v>
      </c>
      <c r="BO29" s="117">
        <f>IF(BO3="Forecast",BO65,'BS - CF Actuals'!BS100)</f>
        <v>2482116.9751165719</v>
      </c>
      <c r="BP29" s="117">
        <f>IF(BP3="Forecast",BP65,'BS - CF Actuals'!BT100)</f>
        <v>2482144.3560689529</v>
      </c>
      <c r="BQ29" s="117">
        <f>IF(BQ3="Forecast",BQ65,'BS - CF Actuals'!BU100)</f>
        <v>2482172.737021334</v>
      </c>
      <c r="BR29" s="117">
        <f>IF(BR3="Forecast",BR65,'BS - CF Actuals'!BV100)</f>
        <v>2482202.1179737151</v>
      </c>
      <c r="BS29" s="117">
        <f>IF(BS3="Forecast",BS65,'BS - CF Actuals'!BW100)</f>
        <v>2482232.4989260961</v>
      </c>
      <c r="BT29" s="117">
        <f>IF(BT3="Forecast",BT65,'BS - CF Actuals'!BX100)</f>
        <v>2482263.8798784772</v>
      </c>
      <c r="BU29" s="117">
        <f>IF(BU3="Forecast",BU65,'BS - CF Actuals'!BY100)</f>
        <v>2482296.2608308583</v>
      </c>
      <c r="BV29" s="117">
        <f>IF(BV3="Forecast",BV65,'BS - CF Actuals'!BZ100)</f>
        <v>2482329.6417832393</v>
      </c>
      <c r="BW29" s="117">
        <f>IF(BW3="Forecast",BW65,'BS - CF Actuals'!CA100)</f>
        <v>2482364.0227356204</v>
      </c>
      <c r="BX29" s="117">
        <f>IF(BX3="Forecast",BX65,'BS - CF Actuals'!CB100)</f>
        <v>2482399.4036880014</v>
      </c>
      <c r="BY29" s="117">
        <f>IF(BY3="Forecast",BY65,'BS - CF Actuals'!CC100)</f>
        <v>2482435.7846403825</v>
      </c>
    </row>
    <row r="30" spans="1:77" x14ac:dyDescent="0.2">
      <c r="B30" s="26" t="s">
        <v>105</v>
      </c>
      <c r="D30" s="197">
        <f>IF(D3="forecast",0,('BS - CF Actuals'!H101-D29))</f>
        <v>46777.100000000093</v>
      </c>
      <c r="E30" s="197">
        <f>IF(E3="forecast",0,('BS - CF Actuals'!I101-E29))</f>
        <v>70896.669999999925</v>
      </c>
      <c r="F30" s="197">
        <f>IF(F3="forecast",0,('BS - CF Actuals'!J101-F29))</f>
        <v>37979.449999999721</v>
      </c>
      <c r="G30" s="197">
        <f>IF(G3="forecast",0,('BS - CF Actuals'!K101-G29))</f>
        <v>66583.75</v>
      </c>
      <c r="H30" s="197">
        <f>IF(H3="forecast",0,('BS - CF Actuals'!L101-H29))</f>
        <v>95022.55999999959</v>
      </c>
      <c r="I30" s="197">
        <f>IF(I3="forecast",0,('BS - CF Actuals'!M101-I29))</f>
        <v>246391.54000000004</v>
      </c>
      <c r="J30" s="197">
        <f>IF(J3="forecast",0,('BS - CF Actuals'!N101-J29))</f>
        <v>13083.399999999907</v>
      </c>
      <c r="K30" s="197">
        <f>IF(K3="forecast",0,('BS - CF Actuals'!O101-K29))</f>
        <v>90159.810000000056</v>
      </c>
      <c r="L30" s="197">
        <f>IF(L3="forecast",0,('BS - CF Actuals'!P101-L29))</f>
        <v>92666.259999999776</v>
      </c>
      <c r="M30" s="197">
        <f>IF(M3="forecast",0,('BS - CF Actuals'!Q101-M29))</f>
        <v>92544.429999999702</v>
      </c>
      <c r="N30" s="197">
        <f>IF(N3="forecast",0,('BS - CF Actuals'!R101-N29))</f>
        <v>198454.63999999966</v>
      </c>
      <c r="O30" s="197">
        <f>IF(O3="forecast",0,('BS - CF Actuals'!S101-O29))</f>
        <v>124308.53000000026</v>
      </c>
      <c r="P30" s="197">
        <f>IF(P3="forecast",0,('BS - CF Actuals'!T101-P29))</f>
        <v>-120.75</v>
      </c>
      <c r="Q30" s="197">
        <f>IF(Q3="forecast",0,('BS - CF Actuals'!U101-Q29))</f>
        <v>633517.87000000011</v>
      </c>
      <c r="R30" s="197">
        <f>IF(R3="forecast",0,('BS - CF Actuals'!V101-R29))</f>
        <v>636730.58000000007</v>
      </c>
      <c r="S30" s="197">
        <f>IF(S3="forecast",0,('BS - CF Actuals'!W101-S29))</f>
        <v>675381.10999999987</v>
      </c>
      <c r="T30" s="197">
        <f>IF(T3="forecast",0,('BS - CF Actuals'!X101-T29))</f>
        <v>1009647.0100000002</v>
      </c>
      <c r="U30" s="197">
        <f>IF(U3="forecast",0,('BS - CF Actuals'!Y101-U29))</f>
        <v>1160112.8600000003</v>
      </c>
      <c r="V30" s="197">
        <f>IF(V3="forecast",0,('BS - CF Actuals'!Z101-V29))</f>
        <v>1151510.96</v>
      </c>
      <c r="W30" s="197">
        <f>IF(W3="forecast",0,('BS - CF Actuals'!AA101-W29))</f>
        <v>1333332.8599999999</v>
      </c>
      <c r="X30" s="197">
        <f>IF(X3="forecast",0,('BS - CF Actuals'!AB101-X29))</f>
        <v>1553911.0199999996</v>
      </c>
      <c r="Y30" s="197">
        <f>IF(Y3="forecast",0,('BS - CF Actuals'!AC101-Y29))</f>
        <v>1232130.8900000001</v>
      </c>
      <c r="Z30" s="197">
        <f>IF(Z3="forecast",0,('BS - CF Actuals'!AD101-Z29))</f>
        <v>1447865.7799999998</v>
      </c>
      <c r="AA30" s="197">
        <f>IF(AA3="forecast",0,('BS - CF Actuals'!AE101-AA29))</f>
        <v>1587759.92</v>
      </c>
      <c r="AB30" s="197">
        <f>IF(AB3="forecast",AA30,('BS - CF Actuals'!AF101-AB29))</f>
        <v>1513179.9099999997</v>
      </c>
      <c r="AC30" s="197">
        <f>IF(AC3="forecast",AB30,('BS - CF Actuals'!AG101-AC29))</f>
        <v>1118910.9800000002</v>
      </c>
      <c r="AD30" s="197">
        <f>IF(AD3="forecast",AC30,('BS - CF Actuals'!AH101-AD29))</f>
        <v>1257168.83</v>
      </c>
      <c r="AE30" s="197">
        <f>IF(AE3="forecast",AD30,('BS - CF Actuals'!AI101-AE29))</f>
        <v>1436094.1</v>
      </c>
      <c r="AF30" s="197">
        <f>IF(AF3="forecast",AE30,('BS - CF Actuals'!AJ101-AF29))</f>
        <v>1573364.23</v>
      </c>
      <c r="AG30" s="197">
        <f>IF(AG3="forecast",AF30,('BS - CF Actuals'!AK101-AG29))</f>
        <v>1573364.23</v>
      </c>
      <c r="AH30" s="197">
        <f>IF(AH3="forecast",AG30,('BS - CF Actuals'!AL101-AH29))</f>
        <v>1573364.23</v>
      </c>
      <c r="AI30" s="197">
        <f>IF(AI3="forecast",AH30,('BS - CF Actuals'!AM101-AI29))</f>
        <v>1573364.23</v>
      </c>
      <c r="AJ30" s="197">
        <f>IF(AJ3="forecast",AI30,('BS - CF Actuals'!AN101-AJ29))</f>
        <v>1573364.23</v>
      </c>
      <c r="AK30" s="197">
        <f>IF(AK3="forecast",AJ30,('BS - CF Actuals'!AO101-AK29))</f>
        <v>1573364.23</v>
      </c>
      <c r="AL30" s="197">
        <f>IF(AL3="forecast",AK30,('BS - CF Actuals'!AP101-AL29))</f>
        <v>1573364.23</v>
      </c>
      <c r="AM30" s="197">
        <f>IF(AM3="forecast",AL30,('BS - CF Actuals'!AQ101-AM29))</f>
        <v>1573364.23</v>
      </c>
      <c r="AN30" s="197">
        <f>IF(AN3="forecast",AM30,('BS - CF Actuals'!AR101-AN29))</f>
        <v>1573364.23</v>
      </c>
      <c r="AO30" s="197">
        <f>IF(AO3="forecast",AN30,('BS - CF Actuals'!AS101-AO29))</f>
        <v>1573364.23</v>
      </c>
      <c r="AP30" s="197">
        <f>IF(AP3="forecast",AO30,('BS - CF Actuals'!AT101-AP29))</f>
        <v>1573364.23</v>
      </c>
      <c r="AQ30" s="197">
        <f>IF(AQ3="forecast",AP30,('BS - CF Actuals'!AU101-AQ29))</f>
        <v>1573364.23</v>
      </c>
      <c r="AR30" s="197">
        <f>IF(AR3="forecast",AQ30,('BS - CF Actuals'!AV101-AR29))</f>
        <v>1573364.23</v>
      </c>
      <c r="AS30" s="197">
        <f>IF(AS3="forecast",AR30,('BS - CF Actuals'!AW101-AS29))</f>
        <v>1573364.23</v>
      </c>
      <c r="AT30" s="197">
        <f>IF(AT3="forecast",AS30,('BS - CF Actuals'!AX101-AT29))</f>
        <v>1573364.23</v>
      </c>
      <c r="AU30" s="197">
        <f>IF(AU3="forecast",AT30,('BS - CF Actuals'!AY101-AU29))</f>
        <v>1573364.23</v>
      </c>
      <c r="AV30" s="197">
        <f>IF(AV3="forecast",AU30,('BS - CF Actuals'!AZ101-AV29))</f>
        <v>1573364.23</v>
      </c>
      <c r="AW30" s="197">
        <f>IF(AW3="forecast",AV30,('BS - CF Actuals'!BA101-AW29))</f>
        <v>1573364.23</v>
      </c>
      <c r="AX30" s="197">
        <f>IF(AX3="forecast",AW30,('BS - CF Actuals'!BB101-AX29))</f>
        <v>1573364.23</v>
      </c>
      <c r="AY30" s="197">
        <f>IF(AY3="forecast",AX30,('BS - CF Actuals'!BC101-AY29))</f>
        <v>1573364.23</v>
      </c>
      <c r="AZ30" s="197">
        <f>IF(AZ3="forecast",AY30,('BS - CF Actuals'!BD101-AZ29))</f>
        <v>1573364.23</v>
      </c>
      <c r="BA30" s="197">
        <f>IF(BA3="forecast",AZ30,('BS - CF Actuals'!BE101-BA29))</f>
        <v>1573364.23</v>
      </c>
      <c r="BB30" s="197">
        <f>IF(BB3="forecast",BA30,('BS - CF Actuals'!BF101-BB29))</f>
        <v>1573364.23</v>
      </c>
      <c r="BC30" s="197">
        <f>IF(BC3="forecast",BB30,('BS - CF Actuals'!BG101-BC29))</f>
        <v>1573364.23</v>
      </c>
      <c r="BD30" s="197">
        <f>IF(BD3="forecast",BC30,('BS - CF Actuals'!BH101-BD29))</f>
        <v>1573364.23</v>
      </c>
      <c r="BE30" s="197">
        <f>IF(BE3="forecast",BD30,('BS - CF Actuals'!BI101-BE29))</f>
        <v>1573364.23</v>
      </c>
      <c r="BF30" s="197">
        <f>IF(BF3="forecast",BE30,('BS - CF Actuals'!BJ101-BF29))</f>
        <v>1573364.23</v>
      </c>
      <c r="BG30" s="197">
        <f>IF(BG3="forecast",BF30,('BS - CF Actuals'!BK101-BG29))</f>
        <v>1573364.23</v>
      </c>
      <c r="BH30" s="197">
        <f>IF(BH3="forecast",BG30,('BS - CF Actuals'!BL101-BH29))</f>
        <v>1573364.23</v>
      </c>
      <c r="BI30" s="197">
        <f>IF(BI3="forecast",BH30,('BS - CF Actuals'!BM101-BI29))</f>
        <v>1573364.23</v>
      </c>
      <c r="BJ30" s="197">
        <f>IF(BJ3="forecast",BI30,('BS - CF Actuals'!BN101-BJ29))</f>
        <v>1573364.23</v>
      </c>
      <c r="BK30" s="197">
        <f>IF(BK3="forecast",BJ30,('BS - CF Actuals'!BO101-BK29))</f>
        <v>1573364.23</v>
      </c>
      <c r="BL30" s="197">
        <f>IF(BL3="forecast",BK30,('BS - CF Actuals'!BP101-BL29))</f>
        <v>1573364.23</v>
      </c>
      <c r="BM30" s="197">
        <f>IF(BM3="forecast",BL30,('BS - CF Actuals'!BQ101-BM29))</f>
        <v>1573364.23</v>
      </c>
      <c r="BN30" s="197">
        <f>IF(BN3="forecast",BM30,('BS - CF Actuals'!BR101-BN29))</f>
        <v>1573364.23</v>
      </c>
      <c r="BO30" s="197">
        <f>IF(BO3="forecast",BN30,('BS - CF Actuals'!BS101-BO29))</f>
        <v>1573364.23</v>
      </c>
      <c r="BP30" s="197">
        <f>IF(BP3="forecast",BO30,('BS - CF Actuals'!BT101-BP29))</f>
        <v>1573364.23</v>
      </c>
      <c r="BQ30" s="197">
        <f>IF(BQ3="forecast",BP30,('BS - CF Actuals'!BU101-BQ29))</f>
        <v>1573364.23</v>
      </c>
      <c r="BR30" s="197">
        <f>IF(BR3="forecast",BQ30,('BS - CF Actuals'!BV101-BR29))</f>
        <v>1573364.23</v>
      </c>
      <c r="BS30" s="197">
        <f>IF(BS3="forecast",BR30,('BS - CF Actuals'!BW101-BS29))</f>
        <v>1573364.23</v>
      </c>
      <c r="BT30" s="197">
        <f>IF(BT3="forecast",BS30,('BS - CF Actuals'!BX101-BT29))</f>
        <v>1573364.23</v>
      </c>
      <c r="BU30" s="197">
        <f>IF(BU3="forecast",BT30,('BS - CF Actuals'!BY101-BU29))</f>
        <v>1573364.23</v>
      </c>
      <c r="BV30" s="197">
        <f>IF(BV3="forecast",BU30,('BS - CF Actuals'!BZ101-BV29))</f>
        <v>1573364.23</v>
      </c>
      <c r="BW30" s="197">
        <f>IF(BW3="forecast",BV30,('BS - CF Actuals'!CA101-BW29))</f>
        <v>1573364.23</v>
      </c>
      <c r="BX30" s="197">
        <f>IF(BX3="forecast",BW30,('BS - CF Actuals'!CB101-BX29))</f>
        <v>1573364.23</v>
      </c>
      <c r="BY30" s="197">
        <f>IF(BY3="forecast",BX30,('BS - CF Actuals'!CC101-BY29))</f>
        <v>1573364.23</v>
      </c>
    </row>
    <row r="31" spans="1:77" x14ac:dyDescent="0.2">
      <c r="B31" s="26" t="s">
        <v>364</v>
      </c>
      <c r="D31" s="197">
        <f>IF(D3="forecast",EzTxtNote!$L4,'BS - CF Actuals'!H106)</f>
        <v>0</v>
      </c>
      <c r="E31" s="197">
        <f>IF(E3="forecast",EzTxtNote!$L4,'BS - CF Actuals'!I106)</f>
        <v>0</v>
      </c>
      <c r="F31" s="197">
        <f>IF(F3="forecast",EzTxtNote!$L4,'BS - CF Actuals'!J106)</f>
        <v>0</v>
      </c>
      <c r="G31" s="197">
        <f>IF(G3="forecast",EzTxtNote!$L4,'BS - CF Actuals'!K106)</f>
        <v>0</v>
      </c>
      <c r="H31" s="197">
        <f>IF(H3="forecast",EzTxtNote!$L4,'BS - CF Actuals'!L106)</f>
        <v>0</v>
      </c>
      <c r="I31" s="197">
        <f>IF(I3="forecast",EzTxtNote!$L4,'BS - CF Actuals'!M106)</f>
        <v>0</v>
      </c>
      <c r="J31" s="197">
        <f>IF(J3="forecast",EzTxtNote!$L4,'BS - CF Actuals'!N106)</f>
        <v>0</v>
      </c>
      <c r="K31" s="197">
        <f>IF(K3="forecast",EzTxtNote!$L4,'BS - CF Actuals'!O106)</f>
        <v>0</v>
      </c>
      <c r="L31" s="197">
        <f>IF(L3="forecast",EzTxtNote!$L4,'BS - CF Actuals'!P106)</f>
        <v>0</v>
      </c>
      <c r="M31" s="197">
        <f>IF(M3="forecast",EzTxtNote!$L4,'BS - CF Actuals'!Q106)</f>
        <v>0</v>
      </c>
      <c r="N31" s="197">
        <f>IF(N3="forecast",EzTxtNote!$L4,'BS - CF Actuals'!R106)</f>
        <v>0</v>
      </c>
      <c r="O31" s="197">
        <f>IF(O3="forecast",EzTxtNote!$L4,'BS - CF Actuals'!S106)</f>
        <v>0</v>
      </c>
      <c r="P31" s="197">
        <f>IF(P3="forecast",EzTxtNote!$L4,'BS - CF Actuals'!T106)</f>
        <v>0</v>
      </c>
      <c r="Q31" s="197">
        <f>IF(Q3="forecast",EzTxtNote!$L4,'BS - CF Actuals'!U106)</f>
        <v>2480000</v>
      </c>
      <c r="R31" s="197">
        <f>IF(R3="forecast",EzTxtNote!$L4,'BS - CF Actuals'!V106)</f>
        <v>2419550.0099999998</v>
      </c>
      <c r="S31" s="197">
        <v>2359283</v>
      </c>
      <c r="T31" s="197">
        <v>2299198.98</v>
      </c>
      <c r="U31" s="197">
        <v>2221666.66</v>
      </c>
      <c r="V31" s="197">
        <f>IF(V3="forecast",EzTxtNote!$L8, 'BS - CF Actuals'!Z106)</f>
        <v>2118333.33</v>
      </c>
      <c r="W31" s="197">
        <f>IF(W3="forecast",EzTxtNote!$L8, 'BS - CF Actuals'!AA106)</f>
        <v>2015000</v>
      </c>
      <c r="X31" s="197">
        <f>IF(X3="forecast",EzTxtNote!$L8, 'BS - CF Actuals'!AB106)</f>
        <v>1911666.67</v>
      </c>
      <c r="Y31" s="197">
        <f>IF(Y3="forecast",EzTxtNote!$L11, 'BS - CF Actuals'!AC106)</f>
        <v>1808333.34</v>
      </c>
      <c r="Z31" s="197">
        <f>IF(Z3="forecast",EzTxtNote!$L12, 'BS - CF Actuals'!AD106)</f>
        <v>1705000.01</v>
      </c>
      <c r="AA31" s="197">
        <f>IF(AA3="forecast",EzTxtNote!$L13, 'BS - CF Actuals'!AE106)</f>
        <v>1601666.68</v>
      </c>
      <c r="AB31" s="197">
        <f>IF(AB3="forecast",EzTxtNote!$L14, 'BS - CF Actuals'!AF106)</f>
        <v>1498333.35</v>
      </c>
      <c r="AC31" s="197">
        <f>IF(AC3="forecast",EzTxtNote!$L15, 'BS - CF Actuals'!AG106)</f>
        <v>1395000.02</v>
      </c>
      <c r="AD31" s="197">
        <f>IF(AD3="forecast",EzTxtNote!$L15, 'BS - CF Actuals'!AH106)</f>
        <v>1291666.69</v>
      </c>
      <c r="AE31" s="197">
        <f>IF(AE3="forecast",EzTxtNote!$L15, 'BS - CF Actuals'!AI106)</f>
        <v>1188333.3600000001</v>
      </c>
      <c r="AF31" s="197">
        <f>IF(AF3="forecast",EzTxtNote!$L15, 'BS - CF Actuals'!AJ106)</f>
        <v>1085000.03</v>
      </c>
      <c r="AG31" s="197">
        <f>IF(AG3="forecast",EzTxtNote!$L15, 'BS - CF Actuals'!AK106)</f>
        <v>1183030.8505807642</v>
      </c>
      <c r="AH31" s="197">
        <f>IF(AH3="forecast",EzTxtNote!$L15, 'BS - CF Actuals'!AL106)</f>
        <v>1183030.8505807642</v>
      </c>
      <c r="AI31" s="197">
        <f>IF(AI3="forecast",EzTxtNote!$L15, 'BS - CF Actuals'!AM106)</f>
        <v>1183030.8505807642</v>
      </c>
      <c r="AJ31" s="197">
        <f>IF(AJ3="forecast",EzTxtNote!$L15, 'BS - CF Actuals'!AN106)</f>
        <v>1183030.8505807642</v>
      </c>
      <c r="AK31" s="197">
        <f>IF(AK3="forecast",EzTxtNote!$L15, 'BS - CF Actuals'!AO106)</f>
        <v>1183030.8505807642</v>
      </c>
      <c r="AL31" s="197">
        <f>IF(AL3="forecast",EzTxtNote!$L15, 'BS - CF Actuals'!AP106)</f>
        <v>1183030.8505807642</v>
      </c>
      <c r="AM31" s="197">
        <f>IF(AM3="forecast",EzTxtNote!$L15, 'BS - CF Actuals'!AQ106)</f>
        <v>1183030.8505807642</v>
      </c>
      <c r="AN31" s="197">
        <f>IF(AN3="forecast",EzTxtNote!$L15, 'BS - CF Actuals'!AR106)</f>
        <v>1183030.8505807642</v>
      </c>
      <c r="AO31" s="197">
        <f>IF(AO3="forecast",EzTxtNote!$L15, 'BS - CF Actuals'!AS106)</f>
        <v>1183030.8505807642</v>
      </c>
      <c r="AP31" s="197">
        <f>IF(AP3="forecast",EzTxtNote!$L15, 'BS - CF Actuals'!AT106)</f>
        <v>1183030.8505807642</v>
      </c>
      <c r="AQ31" s="197">
        <f>IF(AQ3="forecast",EzTxtNote!$L15, 'BS - CF Actuals'!AU106)</f>
        <v>1183030.8505807642</v>
      </c>
      <c r="AR31" s="197">
        <f>IF(AR3="forecast",EzTxtNote!$L15, 'BS - CF Actuals'!AV106)</f>
        <v>1183030.8505807642</v>
      </c>
      <c r="AS31" s="197">
        <f>IF(AS3="forecast",EzTxtNote!$L15, 'BS - CF Actuals'!AW106)</f>
        <v>1183030.8505807642</v>
      </c>
      <c r="AT31" s="197">
        <f>IF(AT3="forecast",EzTxtNote!$L15, 'BS - CF Actuals'!AX106)</f>
        <v>1183030.8505807642</v>
      </c>
      <c r="AU31" s="197">
        <f>IF(AU3="forecast",EzTxtNote!$L15, 'BS - CF Actuals'!AY106)</f>
        <v>1183030.8505807642</v>
      </c>
      <c r="AV31" s="197">
        <f>IF(AV3="forecast",EzTxtNote!$L15, 'BS - CF Actuals'!AZ106)</f>
        <v>1183030.8505807642</v>
      </c>
      <c r="AW31" s="197">
        <f>IF(AW3="forecast",EzTxtNote!$L15, 'BS - CF Actuals'!BA106)</f>
        <v>1183030.8505807642</v>
      </c>
      <c r="AX31" s="197">
        <f>IF(AX3="forecast",EzTxtNote!$L15, 'BS - CF Actuals'!BB106)</f>
        <v>1183030.8505807642</v>
      </c>
      <c r="AY31" s="197">
        <f>IF(AY3="forecast",EzTxtNote!$L15, 'BS - CF Actuals'!BC106)</f>
        <v>1183030.8505807642</v>
      </c>
      <c r="AZ31" s="197">
        <f>IF(AZ3="forecast",EzTxtNote!$L15, 'BS - CF Actuals'!BD106)</f>
        <v>1183030.8505807642</v>
      </c>
      <c r="BA31" s="197">
        <f>IF(BA3="forecast",EzTxtNote!$L15, 'BS - CF Actuals'!BE106)</f>
        <v>1183030.8505807642</v>
      </c>
      <c r="BB31" s="197">
        <f>IF(BB3="forecast",EzTxtNote!$L15, 'BS - CF Actuals'!BF106)</f>
        <v>1183030.8505807642</v>
      </c>
      <c r="BC31" s="197">
        <f>IF(BC3="forecast",EzTxtNote!$L15, 'BS - CF Actuals'!BG106)</f>
        <v>1183030.8505807642</v>
      </c>
      <c r="BD31" s="197">
        <f>IF(BD3="forecast",EzTxtNote!$L15, 'BS - CF Actuals'!BH106)</f>
        <v>1183030.8505807642</v>
      </c>
      <c r="BE31" s="197">
        <f>IF(BE3="forecast",EzTxtNote!$L15, 'BS - CF Actuals'!BI106)</f>
        <v>1183030.8505807642</v>
      </c>
      <c r="BF31" s="197">
        <f>IF(BF3="forecast",EzTxtNote!$L15, 'BS - CF Actuals'!BJ106)</f>
        <v>1183030.8505807642</v>
      </c>
      <c r="BG31" s="197">
        <f>IF(BG3="forecast",EzTxtNote!$L15, 'BS - CF Actuals'!BK106)</f>
        <v>1183030.8505807642</v>
      </c>
      <c r="BH31" s="197">
        <f>IF(BH3="forecast",EzTxtNote!$L15, 'BS - CF Actuals'!BL106)</f>
        <v>1183030.8505807642</v>
      </c>
      <c r="BI31" s="197">
        <f>IF(BI3="forecast",EzTxtNote!$L15, 'BS - CF Actuals'!BM106)</f>
        <v>1183030.8505807642</v>
      </c>
      <c r="BJ31" s="197">
        <f>IF(BJ3="forecast",EzTxtNote!$L15, 'BS - CF Actuals'!BN106)</f>
        <v>1183030.8505807642</v>
      </c>
      <c r="BK31" s="197">
        <f>IF(BK3="forecast",EzTxtNote!$L15, 'BS - CF Actuals'!BO106)</f>
        <v>1183030.8505807642</v>
      </c>
      <c r="BL31" s="197">
        <f>IF(BL3="forecast",EzTxtNote!$L15, 'BS - CF Actuals'!BP106)</f>
        <v>1183030.8505807642</v>
      </c>
      <c r="BM31" s="197">
        <f>IF(BM3="forecast",EzTxtNote!$L15, 'BS - CF Actuals'!BQ106)</f>
        <v>1183030.8505807642</v>
      </c>
      <c r="BN31" s="197">
        <f>IF(BN3="forecast",EzTxtNote!$L15, 'BS - CF Actuals'!BR106)</f>
        <v>1183030.8505807642</v>
      </c>
      <c r="BO31" s="197">
        <f>IF(BO3="forecast",EzTxtNote!$L15, 'BS - CF Actuals'!BS106)</f>
        <v>1183030.8505807642</v>
      </c>
      <c r="BP31" s="197">
        <f>IF(BP3="forecast",EzTxtNote!$L15, 'BS - CF Actuals'!BT106)</f>
        <v>1183030.8505807642</v>
      </c>
      <c r="BQ31" s="197">
        <f>IF(BQ3="forecast",EzTxtNote!$L15, 'BS - CF Actuals'!BU106)</f>
        <v>1183030.8505807642</v>
      </c>
      <c r="BR31" s="197">
        <f>IF(BR3="forecast",EzTxtNote!$L15, 'BS - CF Actuals'!BV106)</f>
        <v>1183030.8505807642</v>
      </c>
      <c r="BS31" s="197">
        <f>IF(BS3="forecast",EzTxtNote!$L15, 'BS - CF Actuals'!BW106)</f>
        <v>1183030.8505807642</v>
      </c>
      <c r="BT31" s="197">
        <f>IF(BT3="forecast",EzTxtNote!$L15, 'BS - CF Actuals'!BX106)</f>
        <v>1183030.8505807642</v>
      </c>
      <c r="BU31" s="197">
        <f>IF(BU3="forecast",EzTxtNote!$L15, 'BS - CF Actuals'!BY106)</f>
        <v>1183030.8505807642</v>
      </c>
      <c r="BV31" s="197">
        <f>IF(BV3="forecast",EzTxtNote!$L15, 'BS - CF Actuals'!BZ106)</f>
        <v>1183030.8505807642</v>
      </c>
      <c r="BW31" s="197">
        <f>IF(BW3="forecast",EzTxtNote!$L15, 'BS - CF Actuals'!CA106)</f>
        <v>1183030.8505807642</v>
      </c>
      <c r="BX31" s="197">
        <f>IF(BX3="forecast",EzTxtNote!$L27, 'BS - CF Actuals'!CB106)</f>
        <v>0</v>
      </c>
      <c r="BY31" s="197">
        <f>IF(BY3="forecast",EzTxtNote!$L27, 'BS - CF Actuals'!CC106)</f>
        <v>0</v>
      </c>
    </row>
    <row r="32" spans="1:77" x14ac:dyDescent="0.2">
      <c r="B32" s="229" t="s">
        <v>436</v>
      </c>
      <c r="D32" s="106">
        <f>IF(D3="forecast",Debt!$L4,'BS - CF Actuals'!H105)</f>
        <v>0</v>
      </c>
      <c r="E32" s="106">
        <f>IF(E3="forecast",Debt!$L4,'BS - CF Actuals'!I105)</f>
        <v>0</v>
      </c>
      <c r="F32" s="106">
        <f>IF(F3="forecast",Debt!$L4,'BS - CF Actuals'!J105)</f>
        <v>0</v>
      </c>
      <c r="G32" s="106">
        <f>IF(G3="forecast",Debt!$L4,'BS - CF Actuals'!K105)</f>
        <v>0</v>
      </c>
      <c r="H32" s="106">
        <f>IF(H3="forecast",Debt!$L4,'BS - CF Actuals'!L105)</f>
        <v>0</v>
      </c>
      <c r="I32" s="106">
        <f>IF(I3="forecast",Debt!$L4,'BS - CF Actuals'!M105)</f>
        <v>0</v>
      </c>
      <c r="J32" s="106">
        <f>IF(J3="forecast",Debt!$L4,'BS - CF Actuals'!N105)</f>
        <v>0</v>
      </c>
      <c r="K32" s="106">
        <f>IF(K3="forecast",Debt!$L4,'BS - CF Actuals'!O105)</f>
        <v>0</v>
      </c>
      <c r="L32" s="106">
        <f>IF(L3="forecast",Debt!$L4,'BS - CF Actuals'!P105)</f>
        <v>0</v>
      </c>
      <c r="M32" s="106">
        <f>IF(M3="forecast",Debt!$L4,'BS - CF Actuals'!Q105)</f>
        <v>0</v>
      </c>
      <c r="N32" s="106">
        <f>IF(N3="forecast",Debt!$L4,'BS - CF Actuals'!R105)</f>
        <v>0</v>
      </c>
      <c r="O32" s="106">
        <f>IF(O3="forecast",Debt!$L4,'BS - CF Actuals'!S105)</f>
        <v>0</v>
      </c>
      <c r="P32" s="106">
        <f>IF(P3="forecast",Debt!$L4,'BS - CF Actuals'!T105)</f>
        <v>0</v>
      </c>
      <c r="Q32" s="106">
        <f>IF(Q3="forecast",Debt!$L4,'BS - CF Actuals'!U105)</f>
        <v>10250000</v>
      </c>
      <c r="R32" s="106">
        <f>IF(R3="forecast",Debt!$L4,'BS - CF Actuals'!V105)</f>
        <v>10250000</v>
      </c>
      <c r="S32" s="106">
        <f>Debt!$L5</f>
        <v>10250000</v>
      </c>
      <c r="T32" s="106">
        <f>Debt!$L6</f>
        <v>10250000</v>
      </c>
      <c r="U32" s="106">
        <f>Debt!$L7</f>
        <v>10250000</v>
      </c>
      <c r="V32" s="106">
        <f>Debt!$L8</f>
        <v>10250000</v>
      </c>
      <c r="W32" s="106">
        <f>Debt!$L8</f>
        <v>10250000</v>
      </c>
      <c r="X32" s="106">
        <f>Debt!$L10</f>
        <v>10250000</v>
      </c>
      <c r="Y32" s="106">
        <f>Debt!$L11</f>
        <v>10250000</v>
      </c>
      <c r="Z32" s="106">
        <f>Debt!$L11</f>
        <v>10250000</v>
      </c>
      <c r="AA32" s="106">
        <f>Debt!$L11</f>
        <v>10250000</v>
      </c>
      <c r="AB32" s="106">
        <f>Debt!$L11</f>
        <v>10250000</v>
      </c>
      <c r="AC32" s="106">
        <f>Debt!$L11</f>
        <v>10250000</v>
      </c>
      <c r="AD32" s="106">
        <f>Debt!$L11</f>
        <v>10250000</v>
      </c>
      <c r="AE32" s="106">
        <f>Debt!$L11</f>
        <v>10250000</v>
      </c>
      <c r="AF32" s="106">
        <f>Debt!$L11</f>
        <v>10250000</v>
      </c>
      <c r="AG32" s="106">
        <f>Debt!$L11</f>
        <v>10250000</v>
      </c>
      <c r="AH32" s="106">
        <f>Debt!$L11</f>
        <v>10250000</v>
      </c>
      <c r="AI32" s="106">
        <f>Debt!$L11</f>
        <v>10250000</v>
      </c>
      <c r="AJ32" s="106">
        <f>Debt!$L11</f>
        <v>10250000</v>
      </c>
      <c r="AK32" s="106">
        <f>Debt!$L11</f>
        <v>10250000</v>
      </c>
      <c r="AL32" s="106">
        <f>Debt!$L11</f>
        <v>10250000</v>
      </c>
      <c r="AM32" s="106">
        <f>Debt!$L11</f>
        <v>10250000</v>
      </c>
      <c r="AN32" s="106">
        <f>Debt!$L11</f>
        <v>10250000</v>
      </c>
      <c r="AO32" s="106">
        <f>Debt!$L11</f>
        <v>10250000</v>
      </c>
      <c r="AP32" s="106">
        <f>Debt!$L11</f>
        <v>10250000</v>
      </c>
      <c r="AQ32" s="106">
        <f>Debt!$L11</f>
        <v>10250000</v>
      </c>
      <c r="AR32" s="106">
        <f>Debt!$L11</f>
        <v>10250000</v>
      </c>
      <c r="AS32" s="106">
        <f>Debt!$L11</f>
        <v>10250000</v>
      </c>
      <c r="AT32" s="106">
        <f>Debt!$L11</f>
        <v>10250000</v>
      </c>
      <c r="AU32" s="106">
        <f>Debt!$L11</f>
        <v>10250000</v>
      </c>
      <c r="AV32" s="106">
        <f>Debt!$L11</f>
        <v>10250000</v>
      </c>
      <c r="AW32" s="106">
        <f>Debt!$L11</f>
        <v>10250000</v>
      </c>
      <c r="AX32" s="106">
        <f>Debt!$L11</f>
        <v>10250000</v>
      </c>
      <c r="AY32" s="106">
        <f>Debt!$L11</f>
        <v>10250000</v>
      </c>
      <c r="AZ32" s="106">
        <f>Debt!$L11</f>
        <v>10250000</v>
      </c>
      <c r="BA32" s="106">
        <f>Debt!$L11</f>
        <v>10250000</v>
      </c>
      <c r="BB32" s="106">
        <f>Debt!$L11</f>
        <v>10250000</v>
      </c>
      <c r="BC32" s="106">
        <f>Debt!$L11</f>
        <v>10250000</v>
      </c>
      <c r="BD32" s="106">
        <f>Debt!$L11</f>
        <v>10250000</v>
      </c>
      <c r="BE32" s="106">
        <f>Debt!$L11</f>
        <v>10250000</v>
      </c>
      <c r="BF32" s="106">
        <f>Debt!$L11</f>
        <v>10250000</v>
      </c>
      <c r="BG32" s="106">
        <f>Debt!$L11</f>
        <v>10250000</v>
      </c>
      <c r="BH32" s="106">
        <f>Debt!$L11</f>
        <v>10250000</v>
      </c>
      <c r="BI32" s="106">
        <f>Debt!$L11</f>
        <v>10250000</v>
      </c>
      <c r="BJ32" s="106">
        <f>Debt!$L11</f>
        <v>10250000</v>
      </c>
      <c r="BK32" s="106">
        <f>Debt!$L11</f>
        <v>10250000</v>
      </c>
      <c r="BL32" s="106">
        <f>Debt!$L11</f>
        <v>10250000</v>
      </c>
      <c r="BM32" s="106">
        <f>Debt!$L11</f>
        <v>10250000</v>
      </c>
      <c r="BN32" s="106">
        <f>Debt!$L11</f>
        <v>10250000</v>
      </c>
      <c r="BO32" s="106">
        <f>Debt!$L11</f>
        <v>10250000</v>
      </c>
      <c r="BP32" s="106">
        <f>Debt!$L11</f>
        <v>10250000</v>
      </c>
      <c r="BQ32" s="106">
        <f>Debt!$L11</f>
        <v>10250000</v>
      </c>
      <c r="BR32" s="106">
        <f>Debt!$L11</f>
        <v>10250000</v>
      </c>
      <c r="BS32" s="106">
        <f>Debt!$L11</f>
        <v>10250000</v>
      </c>
      <c r="BT32" s="106">
        <f>Debt!$L11</f>
        <v>10250000</v>
      </c>
      <c r="BU32" s="106">
        <f>Debt!$L11</f>
        <v>10250000</v>
      </c>
      <c r="BV32" s="106">
        <f>Debt!$L11</f>
        <v>10250000</v>
      </c>
      <c r="BW32" s="106">
        <f>Debt!$L11</f>
        <v>10250000</v>
      </c>
      <c r="BX32" s="106">
        <f>Debt!$L11</f>
        <v>10250000</v>
      </c>
      <c r="BY32" s="106">
        <f>Debt!$L11</f>
        <v>10250000</v>
      </c>
    </row>
    <row r="33" spans="1:77" s="100" customFormat="1" x14ac:dyDescent="0.2">
      <c r="A33" s="104" t="s">
        <v>106</v>
      </c>
      <c r="D33" s="111">
        <f t="shared" ref="D33:M33" si="23">SUM(D28:D32)</f>
        <v>1522016.02</v>
      </c>
      <c r="E33" s="111">
        <f t="shared" si="23"/>
        <v>2646539.6800000002</v>
      </c>
      <c r="F33" s="111">
        <f t="shared" si="23"/>
        <v>2607023.5811143843</v>
      </c>
      <c r="G33" s="111">
        <f t="shared" si="23"/>
        <v>2616141.9249593886</v>
      </c>
      <c r="H33" s="111">
        <f t="shared" si="23"/>
        <v>2608647.0815557358</v>
      </c>
      <c r="I33" s="111">
        <f t="shared" si="23"/>
        <v>3692027.4764396944</v>
      </c>
      <c r="J33" s="111">
        <f t="shared" si="23"/>
        <v>3874430.4043792514</v>
      </c>
      <c r="K33" s="111">
        <f t="shared" si="23"/>
        <v>3738367.5320452945</v>
      </c>
      <c r="L33" s="111">
        <f t="shared" si="23"/>
        <v>3746859.2204646897</v>
      </c>
      <c r="M33" s="111">
        <f t="shared" si="23"/>
        <v>3611475.5125441495</v>
      </c>
      <c r="N33" s="111">
        <f t="shared" ref="N33:AO33" si="24">SUM(N28:N32)</f>
        <v>3686568.5959384372</v>
      </c>
      <c r="O33" s="111">
        <f t="shared" si="24"/>
        <v>3777724.1605331381</v>
      </c>
      <c r="P33" s="111">
        <f t="shared" si="24"/>
        <v>3634138.6391822021</v>
      </c>
      <c r="Q33" s="106">
        <f>SUM(Q28:Q32)</f>
        <v>15588258.539999999</v>
      </c>
      <c r="R33" s="111">
        <f t="shared" si="24"/>
        <v>16547680.91</v>
      </c>
      <c r="S33" s="111">
        <f>SUM(S28:S32)</f>
        <v>16301232.65</v>
      </c>
      <c r="T33" s="111">
        <f t="shared" si="24"/>
        <v>16349906.439999999</v>
      </c>
      <c r="U33" s="111">
        <f t="shared" si="24"/>
        <v>16272421.540000001</v>
      </c>
      <c r="V33" s="111">
        <f t="shared" si="24"/>
        <v>16009592.800000001</v>
      </c>
      <c r="W33" s="111">
        <f>SUM(W28:W32)</f>
        <v>16174999.51</v>
      </c>
      <c r="X33" s="111">
        <f t="shared" si="24"/>
        <v>16223345.369999999</v>
      </c>
      <c r="Y33" s="111">
        <f t="shared" ref="Y33" si="25">SUM(Y28:Y32)</f>
        <v>15848722.380000001</v>
      </c>
      <c r="Z33" s="111">
        <f>SUM(Z28:Z32)</f>
        <v>16345515.989999998</v>
      </c>
      <c r="AA33" s="111">
        <f t="shared" si="24"/>
        <v>15980525.32</v>
      </c>
      <c r="AB33" s="111">
        <f t="shared" si="24"/>
        <v>15805556.76</v>
      </c>
      <c r="AC33" s="111">
        <f t="shared" si="24"/>
        <v>15010789.01</v>
      </c>
      <c r="AD33" s="111">
        <f t="shared" si="24"/>
        <v>15350119.49</v>
      </c>
      <c r="AE33" s="111">
        <f t="shared" si="24"/>
        <v>15345059.84</v>
      </c>
      <c r="AF33" s="111">
        <f t="shared" si="24"/>
        <v>15465685.41</v>
      </c>
      <c r="AG33" s="111">
        <f t="shared" ca="1" si="24"/>
        <v>16103370.026400581</v>
      </c>
      <c r="AH33" s="111">
        <f t="shared" ca="1" si="24"/>
        <v>16107960.671493862</v>
      </c>
      <c r="AI33" s="111">
        <f t="shared" ca="1" si="24"/>
        <v>16140203.569037084</v>
      </c>
      <c r="AJ33" s="111">
        <f t="shared" ca="1" si="24"/>
        <v>16135151.799166579</v>
      </c>
      <c r="AK33" s="111">
        <f t="shared" ca="1" si="24"/>
        <v>16104579.498273471</v>
      </c>
      <c r="AL33" s="111">
        <f t="shared" ca="1" si="24"/>
        <v>16187372.155506607</v>
      </c>
      <c r="AM33" s="111">
        <f t="shared" ca="1" si="24"/>
        <v>16234552.303023234</v>
      </c>
      <c r="AN33" s="111">
        <f t="shared" ca="1" si="24"/>
        <v>16175424.546040464</v>
      </c>
      <c r="AO33" s="111">
        <f t="shared" ca="1" si="24"/>
        <v>16161343.593836134</v>
      </c>
      <c r="AP33" s="111">
        <f t="shared" ref="AP33:BA33" ca="1" si="26">SUM(AP28:AP32)</f>
        <v>17279973.964419991</v>
      </c>
      <c r="AQ33" s="111">
        <f t="shared" ca="1" si="26"/>
        <v>16171386.726603296</v>
      </c>
      <c r="AR33" s="111">
        <f t="shared" ca="1" si="26"/>
        <v>16197120.779528134</v>
      </c>
      <c r="AS33" s="111">
        <f t="shared" ca="1" si="26"/>
        <v>16220176.874060221</v>
      </c>
      <c r="AT33" s="111">
        <f t="shared" ca="1" si="26"/>
        <v>16241663.865195498</v>
      </c>
      <c r="AU33" s="111">
        <f t="shared" ca="1" si="26"/>
        <v>16262849.292903531</v>
      </c>
      <c r="AV33" s="111">
        <f t="shared" ca="1" si="26"/>
        <v>16284054.268342439</v>
      </c>
      <c r="AW33" s="111">
        <f t="shared" ca="1" si="26"/>
        <v>16305692.896847062</v>
      </c>
      <c r="AX33" s="111">
        <f t="shared" ca="1" si="26"/>
        <v>16327757.956759864</v>
      </c>
      <c r="AY33" s="111">
        <f t="shared" ca="1" si="26"/>
        <v>16349073.071028274</v>
      </c>
      <c r="AZ33" s="111">
        <f t="shared" ca="1" si="26"/>
        <v>16370395.261459278</v>
      </c>
      <c r="BA33" s="111">
        <f t="shared" ca="1" si="26"/>
        <v>16392497.247661915</v>
      </c>
      <c r="BB33" s="111">
        <f t="shared" ref="BB33:BK33" ca="1" si="27">SUM(BB28:BB32)</f>
        <v>15712221.753001932</v>
      </c>
      <c r="BC33" s="111">
        <f t="shared" ca="1" si="27"/>
        <v>15774904.056425162</v>
      </c>
      <c r="BD33" s="111">
        <f t="shared" ca="1" si="27"/>
        <v>15775987.988984104</v>
      </c>
      <c r="BE33" s="111">
        <f t="shared" ca="1" si="27"/>
        <v>15777009.997237273</v>
      </c>
      <c r="BF33" s="111">
        <f t="shared" ca="1" si="27"/>
        <v>15778039.185554869</v>
      </c>
      <c r="BG33" s="111">
        <f t="shared" ca="1" si="27"/>
        <v>15779081.054096272</v>
      </c>
      <c r="BH33" s="111">
        <f t="shared" ca="1" si="27"/>
        <v>15780142.890122976</v>
      </c>
      <c r="BI33" s="111">
        <f t="shared" ca="1" si="27"/>
        <v>15781218.411701005</v>
      </c>
      <c r="BJ33" s="111">
        <f t="shared" ca="1" si="27"/>
        <v>15782310.620004129</v>
      </c>
      <c r="BK33" s="111">
        <f t="shared" ca="1" si="27"/>
        <v>15783418.671151496</v>
      </c>
      <c r="BL33" s="111">
        <f t="shared" ref="BL33:BW33" ca="1" si="28">SUM(BL28:BL32)</f>
        <v>15784542.400778715</v>
      </c>
      <c r="BM33" s="111">
        <f t="shared" ca="1" si="28"/>
        <v>15786471.071241016</v>
      </c>
      <c r="BN33" s="111">
        <f t="shared" ca="1" si="28"/>
        <v>15729349.743891366</v>
      </c>
      <c r="BO33" s="111">
        <f t="shared" ca="1" si="28"/>
        <v>15732211.246810284</v>
      </c>
      <c r="BP33" s="111">
        <f t="shared" ca="1" si="28"/>
        <v>15733410.24851454</v>
      </c>
      <c r="BQ33" s="111">
        <f t="shared" ca="1" si="28"/>
        <v>15734621.843527712</v>
      </c>
      <c r="BR33" s="111">
        <f t="shared" ca="1" si="28"/>
        <v>15735851.176489476</v>
      </c>
      <c r="BS33" s="111">
        <f t="shared" ca="1" si="28"/>
        <v>15737100.09081978</v>
      </c>
      <c r="BT33" s="111">
        <f t="shared" ca="1" si="28"/>
        <v>15738368.951412067</v>
      </c>
      <c r="BU33" s="111">
        <f t="shared" ca="1" si="28"/>
        <v>15739658.558084484</v>
      </c>
      <c r="BV33" s="111">
        <f t="shared" ca="1" si="28"/>
        <v>15740968.97751048</v>
      </c>
      <c r="BW33" s="111">
        <f t="shared" ca="1" si="28"/>
        <v>15742300.952544533</v>
      </c>
      <c r="BX33" s="111">
        <f t="shared" ref="BX33:BY33" ca="1" si="29">SUM(BX28:BX32)</f>
        <v>14560624.247869328</v>
      </c>
      <c r="BY33" s="111" t="e">
        <f t="shared" ca="1" si="29"/>
        <v>#REF!</v>
      </c>
    </row>
    <row r="34" spans="1:77" ht="6" customHeight="1" x14ac:dyDescent="0.2">
      <c r="A34" s="23"/>
      <c r="D34" s="106"/>
      <c r="E34" s="106"/>
      <c r="F34" s="106"/>
      <c r="G34" s="106"/>
      <c r="H34" s="106"/>
      <c r="I34" s="106"/>
      <c r="J34" s="106"/>
      <c r="K34" s="106"/>
      <c r="L34" s="106"/>
      <c r="M34" s="106"/>
      <c r="N34" s="106"/>
      <c r="O34" s="106"/>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c r="BU34" s="106"/>
      <c r="BV34" s="106"/>
      <c r="BW34" s="106"/>
      <c r="BX34" s="106"/>
      <c r="BY34" s="106"/>
    </row>
    <row r="35" spans="1:77" x14ac:dyDescent="0.2">
      <c r="B35" s="26" t="s">
        <v>107</v>
      </c>
      <c r="D35" s="110">
        <f>+'BS - CF Actuals'!H107</f>
        <v>380690.15</v>
      </c>
      <c r="E35" s="110">
        <f>+'BS - CF Actuals'!I107</f>
        <v>183333.66</v>
      </c>
      <c r="F35" s="110">
        <f>+'BS - CF Actuals'!J107</f>
        <v>166667</v>
      </c>
      <c r="G35" s="110">
        <f>+'BS - CF Actuals'!K107</f>
        <v>150000.34</v>
      </c>
      <c r="H35" s="110">
        <f>+'BS - CF Actuals'!L107</f>
        <v>133333.68</v>
      </c>
      <c r="I35" s="110">
        <f>+'BS - CF Actuals'!M107</f>
        <v>116667.02</v>
      </c>
      <c r="J35" s="110">
        <f>+'BS - CF Actuals'!N107</f>
        <v>100000.36</v>
      </c>
      <c r="K35" s="110">
        <f>+'BS - CF Actuals'!O107</f>
        <v>83333.7</v>
      </c>
      <c r="L35" s="110">
        <f>+'BS - CF Actuals'!P107</f>
        <v>66667.039999999994</v>
      </c>
      <c r="M35" s="106">
        <f>+'BS - CF Actuals'!Q107</f>
        <v>50000</v>
      </c>
      <c r="N35" s="106">
        <v>0</v>
      </c>
      <c r="O35" s="106">
        <v>0</v>
      </c>
      <c r="P35" s="110">
        <f>O35</f>
        <v>0</v>
      </c>
      <c r="Q35" s="106">
        <f t="shared" ref="Q35:AC35" si="30">P35</f>
        <v>0</v>
      </c>
      <c r="R35" s="106">
        <f t="shared" si="30"/>
        <v>0</v>
      </c>
      <c r="S35" s="110">
        <f t="shared" si="30"/>
        <v>0</v>
      </c>
      <c r="T35" s="110">
        <f t="shared" si="30"/>
        <v>0</v>
      </c>
      <c r="U35" s="106">
        <f t="shared" si="30"/>
        <v>0</v>
      </c>
      <c r="V35" s="110">
        <f t="shared" si="30"/>
        <v>0</v>
      </c>
      <c r="W35" s="110">
        <f t="shared" si="30"/>
        <v>0</v>
      </c>
      <c r="X35" s="106">
        <f t="shared" si="30"/>
        <v>0</v>
      </c>
      <c r="Y35" s="106">
        <f t="shared" si="30"/>
        <v>0</v>
      </c>
      <c r="Z35" s="110">
        <f>Y35</f>
        <v>0</v>
      </c>
      <c r="AA35" s="106">
        <f t="shared" si="30"/>
        <v>0</v>
      </c>
      <c r="AB35" s="106">
        <f t="shared" si="30"/>
        <v>0</v>
      </c>
      <c r="AC35" s="103">
        <f t="shared" si="30"/>
        <v>0</v>
      </c>
      <c r="AD35" s="103">
        <f t="shared" ref="AD35:AO35" si="31">AC35</f>
        <v>0</v>
      </c>
      <c r="AE35" s="103">
        <f t="shared" si="31"/>
        <v>0</v>
      </c>
      <c r="AF35" s="103">
        <f t="shared" si="31"/>
        <v>0</v>
      </c>
      <c r="AG35" s="103">
        <f t="shared" si="31"/>
        <v>0</v>
      </c>
      <c r="AH35" s="103">
        <f t="shared" si="31"/>
        <v>0</v>
      </c>
      <c r="AI35" s="103">
        <f t="shared" si="31"/>
        <v>0</v>
      </c>
      <c r="AJ35" s="103">
        <f t="shared" si="31"/>
        <v>0</v>
      </c>
      <c r="AK35" s="103">
        <f t="shared" si="31"/>
        <v>0</v>
      </c>
      <c r="AL35" s="103">
        <f t="shared" si="31"/>
        <v>0</v>
      </c>
      <c r="AM35" s="103">
        <f t="shared" si="31"/>
        <v>0</v>
      </c>
      <c r="AN35" s="103">
        <f t="shared" si="31"/>
        <v>0</v>
      </c>
      <c r="AO35" s="103">
        <f t="shared" si="31"/>
        <v>0</v>
      </c>
      <c r="AP35" s="103">
        <f t="shared" ref="AP35" si="32">AO35</f>
        <v>0</v>
      </c>
      <c r="AQ35" s="103">
        <f t="shared" ref="AQ35" si="33">AP35</f>
        <v>0</v>
      </c>
      <c r="AR35" s="103">
        <f t="shared" ref="AR35" si="34">AQ35</f>
        <v>0</v>
      </c>
      <c r="AS35" s="103">
        <f t="shared" ref="AS35" si="35">AR35</f>
        <v>0</v>
      </c>
      <c r="AT35" s="103">
        <f t="shared" ref="AT35" si="36">AS35</f>
        <v>0</v>
      </c>
      <c r="AU35" s="103">
        <f t="shared" ref="AU35" si="37">AT35</f>
        <v>0</v>
      </c>
      <c r="AV35" s="103">
        <f t="shared" ref="AV35" si="38">AU35</f>
        <v>0</v>
      </c>
      <c r="AW35" s="103">
        <f t="shared" ref="AW35" si="39">AV35</f>
        <v>0</v>
      </c>
      <c r="AX35" s="103">
        <f t="shared" ref="AX35" si="40">AW35</f>
        <v>0</v>
      </c>
      <c r="AY35" s="103">
        <f t="shared" ref="AY35" si="41">AX35</f>
        <v>0</v>
      </c>
      <c r="AZ35" s="103">
        <f t="shared" ref="AZ35" si="42">AY35</f>
        <v>0</v>
      </c>
      <c r="BA35" s="103">
        <f t="shared" ref="BA35" si="43">AZ35</f>
        <v>0</v>
      </c>
      <c r="BB35" s="103">
        <f t="shared" ref="BB35" si="44">BA35</f>
        <v>0</v>
      </c>
      <c r="BC35" s="103">
        <f t="shared" ref="BC35" si="45">BB35</f>
        <v>0</v>
      </c>
      <c r="BD35" s="103">
        <f t="shared" ref="BD35" si="46">BC35</f>
        <v>0</v>
      </c>
      <c r="BE35" s="103">
        <f t="shared" ref="BE35" si="47">BD35</f>
        <v>0</v>
      </c>
      <c r="BF35" s="103">
        <f t="shared" ref="BF35" si="48">BE35</f>
        <v>0</v>
      </c>
      <c r="BG35" s="103">
        <f t="shared" ref="BG35" si="49">BF35</f>
        <v>0</v>
      </c>
      <c r="BH35" s="103">
        <f t="shared" ref="BH35" si="50">BG35</f>
        <v>0</v>
      </c>
      <c r="BI35" s="103">
        <f t="shared" ref="BI35" si="51">BH35</f>
        <v>0</v>
      </c>
      <c r="BJ35" s="103">
        <f t="shared" ref="BJ35" si="52">BI35</f>
        <v>0</v>
      </c>
      <c r="BK35" s="103">
        <f t="shared" ref="BK35" si="53">BJ35</f>
        <v>0</v>
      </c>
      <c r="BL35" s="103">
        <f t="shared" ref="BL35" si="54">BK35</f>
        <v>0</v>
      </c>
      <c r="BM35" s="103">
        <f t="shared" ref="BM35" si="55">BL35</f>
        <v>0</v>
      </c>
      <c r="BN35" s="103">
        <f t="shared" ref="BN35" si="56">BM35</f>
        <v>0</v>
      </c>
      <c r="BO35" s="103">
        <f t="shared" ref="BO35" si="57">BN35</f>
        <v>0</v>
      </c>
      <c r="BP35" s="103">
        <f t="shared" ref="BP35" si="58">BO35</f>
        <v>0</v>
      </c>
      <c r="BQ35" s="103">
        <f t="shared" ref="BQ35" si="59">BP35</f>
        <v>0</v>
      </c>
      <c r="BR35" s="103">
        <f t="shared" ref="BR35" si="60">BQ35</f>
        <v>0</v>
      </c>
      <c r="BS35" s="103">
        <f t="shared" ref="BS35" si="61">BR35</f>
        <v>0</v>
      </c>
      <c r="BT35" s="103">
        <f t="shared" ref="BT35" si="62">BS35</f>
        <v>0</v>
      </c>
      <c r="BU35" s="103">
        <f t="shared" ref="BU35" si="63">BT35</f>
        <v>0</v>
      </c>
      <c r="BV35" s="103">
        <f t="shared" ref="BV35" si="64">BU35</f>
        <v>0</v>
      </c>
      <c r="BW35" s="103">
        <f t="shared" ref="BW35" si="65">BV35</f>
        <v>0</v>
      </c>
      <c r="BX35" s="103">
        <f t="shared" ref="BX35" si="66">BW35</f>
        <v>0</v>
      </c>
      <c r="BY35" s="103">
        <f t="shared" ref="BY35" si="67">BX35</f>
        <v>0</v>
      </c>
    </row>
    <row r="36" spans="1:77" s="100" customFormat="1" x14ac:dyDescent="0.2">
      <c r="A36" s="104" t="s">
        <v>108</v>
      </c>
      <c r="D36" s="113">
        <f t="shared" ref="D36:M36" si="68">SUM(D33:D35)</f>
        <v>1902706.17</v>
      </c>
      <c r="E36" s="113">
        <f t="shared" si="68"/>
        <v>2829873.3400000003</v>
      </c>
      <c r="F36" s="113">
        <f t="shared" si="68"/>
        <v>2773690.5811143843</v>
      </c>
      <c r="G36" s="415">
        <f t="shared" si="68"/>
        <v>2766142.2649593884</v>
      </c>
      <c r="H36" s="415">
        <f t="shared" si="68"/>
        <v>2741980.761555736</v>
      </c>
      <c r="I36" s="415">
        <f t="shared" si="68"/>
        <v>3808694.4964396944</v>
      </c>
      <c r="J36" s="415">
        <f t="shared" si="68"/>
        <v>3974430.7643792513</v>
      </c>
      <c r="K36" s="415">
        <f t="shared" si="68"/>
        <v>3821701.2320452947</v>
      </c>
      <c r="L36" s="415">
        <f t="shared" si="68"/>
        <v>3813526.2604646897</v>
      </c>
      <c r="M36" s="113">
        <f t="shared" si="68"/>
        <v>3661475.5125441495</v>
      </c>
      <c r="N36" s="113">
        <f t="shared" ref="N36:AO36" si="69">SUM(N33:N35)</f>
        <v>3686568.5959384372</v>
      </c>
      <c r="O36" s="113">
        <f t="shared" si="69"/>
        <v>3777724.1605331381</v>
      </c>
      <c r="P36" s="113">
        <f t="shared" si="69"/>
        <v>3634138.6391822021</v>
      </c>
      <c r="Q36" s="113">
        <f t="shared" si="69"/>
        <v>15588258.539999999</v>
      </c>
      <c r="R36" s="113">
        <f t="shared" si="69"/>
        <v>16547680.91</v>
      </c>
      <c r="S36" s="113">
        <f>SUM(S33:S35)</f>
        <v>16301232.65</v>
      </c>
      <c r="T36" s="113">
        <f t="shared" si="69"/>
        <v>16349906.439999999</v>
      </c>
      <c r="U36" s="113">
        <f t="shared" si="69"/>
        <v>16272421.540000001</v>
      </c>
      <c r="V36" s="113">
        <f t="shared" si="69"/>
        <v>16009592.800000001</v>
      </c>
      <c r="W36" s="113">
        <f t="shared" si="69"/>
        <v>16174999.51</v>
      </c>
      <c r="X36" s="113">
        <f t="shared" si="69"/>
        <v>16223345.369999999</v>
      </c>
      <c r="Y36" s="113">
        <f t="shared" ref="Y36" si="70">SUM(Y33:Y35)</f>
        <v>15848722.380000001</v>
      </c>
      <c r="Z36" s="113">
        <f>SUM(Z33:Z35)</f>
        <v>16345515.989999998</v>
      </c>
      <c r="AA36" s="113">
        <f t="shared" si="69"/>
        <v>15980525.32</v>
      </c>
      <c r="AB36" s="113">
        <f t="shared" si="69"/>
        <v>15805556.76</v>
      </c>
      <c r="AC36" s="113">
        <f t="shared" si="69"/>
        <v>15010789.01</v>
      </c>
      <c r="AD36" s="113">
        <f t="shared" si="69"/>
        <v>15350119.49</v>
      </c>
      <c r="AE36" s="113">
        <f t="shared" si="69"/>
        <v>15345059.84</v>
      </c>
      <c r="AF36" s="113">
        <f t="shared" si="69"/>
        <v>15465685.41</v>
      </c>
      <c r="AG36" s="113">
        <f t="shared" ca="1" si="69"/>
        <v>16103370.026400581</v>
      </c>
      <c r="AH36" s="113">
        <f t="shared" ca="1" si="69"/>
        <v>16107960.671493862</v>
      </c>
      <c r="AI36" s="113">
        <f t="shared" ca="1" si="69"/>
        <v>16140203.569037084</v>
      </c>
      <c r="AJ36" s="113">
        <f t="shared" ca="1" si="69"/>
        <v>16135151.799166579</v>
      </c>
      <c r="AK36" s="113">
        <f t="shared" ca="1" si="69"/>
        <v>16104579.498273471</v>
      </c>
      <c r="AL36" s="113">
        <f t="shared" ca="1" si="69"/>
        <v>16187372.155506607</v>
      </c>
      <c r="AM36" s="113">
        <f t="shared" ca="1" si="69"/>
        <v>16234552.303023234</v>
      </c>
      <c r="AN36" s="113">
        <f t="shared" ca="1" si="69"/>
        <v>16175424.546040464</v>
      </c>
      <c r="AO36" s="113">
        <f t="shared" ca="1" si="69"/>
        <v>16161343.593836134</v>
      </c>
      <c r="AP36" s="113">
        <f t="shared" ref="AP36:BA36" ca="1" si="71">SUM(AP33:AP35)</f>
        <v>17279973.964419991</v>
      </c>
      <c r="AQ36" s="113">
        <f t="shared" ca="1" si="71"/>
        <v>16171386.726603296</v>
      </c>
      <c r="AR36" s="113">
        <f t="shared" ca="1" si="71"/>
        <v>16197120.779528134</v>
      </c>
      <c r="AS36" s="113">
        <f t="shared" ca="1" si="71"/>
        <v>16220176.874060221</v>
      </c>
      <c r="AT36" s="113">
        <f t="shared" ca="1" si="71"/>
        <v>16241663.865195498</v>
      </c>
      <c r="AU36" s="113">
        <f t="shared" ca="1" si="71"/>
        <v>16262849.292903531</v>
      </c>
      <c r="AV36" s="113">
        <f t="shared" ca="1" si="71"/>
        <v>16284054.268342439</v>
      </c>
      <c r="AW36" s="113">
        <f t="shared" ca="1" si="71"/>
        <v>16305692.896847062</v>
      </c>
      <c r="AX36" s="113">
        <f t="shared" ca="1" si="71"/>
        <v>16327757.956759864</v>
      </c>
      <c r="AY36" s="113">
        <f t="shared" ca="1" si="71"/>
        <v>16349073.071028274</v>
      </c>
      <c r="AZ36" s="113">
        <f t="shared" ca="1" si="71"/>
        <v>16370395.261459278</v>
      </c>
      <c r="BA36" s="113">
        <f t="shared" ca="1" si="71"/>
        <v>16392497.247661915</v>
      </c>
      <c r="BB36" s="113">
        <f t="shared" ref="BB36:BK36" ca="1" si="72">SUM(BB33:BB35)</f>
        <v>15712221.753001932</v>
      </c>
      <c r="BC36" s="113">
        <f t="shared" ca="1" si="72"/>
        <v>15774904.056425162</v>
      </c>
      <c r="BD36" s="113">
        <f t="shared" ca="1" si="72"/>
        <v>15775987.988984104</v>
      </c>
      <c r="BE36" s="113">
        <f t="shared" ca="1" si="72"/>
        <v>15777009.997237273</v>
      </c>
      <c r="BF36" s="113">
        <f t="shared" ca="1" si="72"/>
        <v>15778039.185554869</v>
      </c>
      <c r="BG36" s="113">
        <f t="shared" ca="1" si="72"/>
        <v>15779081.054096272</v>
      </c>
      <c r="BH36" s="113">
        <f t="shared" ca="1" si="72"/>
        <v>15780142.890122976</v>
      </c>
      <c r="BI36" s="113">
        <f t="shared" ca="1" si="72"/>
        <v>15781218.411701005</v>
      </c>
      <c r="BJ36" s="113">
        <f t="shared" ca="1" si="72"/>
        <v>15782310.620004129</v>
      </c>
      <c r="BK36" s="113">
        <f t="shared" ca="1" si="72"/>
        <v>15783418.671151496</v>
      </c>
      <c r="BL36" s="113">
        <f t="shared" ref="BL36:BW36" ca="1" si="73">SUM(BL33:BL35)</f>
        <v>15784542.400778715</v>
      </c>
      <c r="BM36" s="113">
        <f t="shared" ca="1" si="73"/>
        <v>15786471.071241016</v>
      </c>
      <c r="BN36" s="113">
        <f t="shared" ca="1" si="73"/>
        <v>15729349.743891366</v>
      </c>
      <c r="BO36" s="113">
        <f t="shared" ca="1" si="73"/>
        <v>15732211.246810284</v>
      </c>
      <c r="BP36" s="113">
        <f t="shared" ca="1" si="73"/>
        <v>15733410.24851454</v>
      </c>
      <c r="BQ36" s="113">
        <f t="shared" ca="1" si="73"/>
        <v>15734621.843527712</v>
      </c>
      <c r="BR36" s="113">
        <f t="shared" ca="1" si="73"/>
        <v>15735851.176489476</v>
      </c>
      <c r="BS36" s="113">
        <f t="shared" ca="1" si="73"/>
        <v>15737100.09081978</v>
      </c>
      <c r="BT36" s="113">
        <f t="shared" ca="1" si="73"/>
        <v>15738368.951412067</v>
      </c>
      <c r="BU36" s="113">
        <f t="shared" ca="1" si="73"/>
        <v>15739658.558084484</v>
      </c>
      <c r="BV36" s="113">
        <f t="shared" ca="1" si="73"/>
        <v>15740968.97751048</v>
      </c>
      <c r="BW36" s="113">
        <f t="shared" ca="1" si="73"/>
        <v>15742300.952544533</v>
      </c>
      <c r="BX36" s="113">
        <f t="shared" ref="BX36:BY36" ca="1" si="74">SUM(BX33:BX35)</f>
        <v>14560624.247869328</v>
      </c>
      <c r="BY36" s="113" t="e">
        <f t="shared" ca="1" si="74"/>
        <v>#REF!</v>
      </c>
    </row>
    <row r="37" spans="1:77" ht="6" customHeight="1" x14ac:dyDescent="0.2">
      <c r="A37" s="23"/>
      <c r="D37" s="106"/>
      <c r="E37" s="106"/>
      <c r="F37" s="106"/>
      <c r="G37" s="106"/>
      <c r="H37" s="106"/>
      <c r="I37" s="106"/>
      <c r="J37" s="106"/>
      <c r="K37" s="106"/>
      <c r="L37" s="106"/>
      <c r="M37" s="106"/>
      <c r="N37" s="106"/>
      <c r="O37" s="106"/>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c r="BU37" s="106"/>
      <c r="BV37" s="106"/>
      <c r="BW37" s="106"/>
      <c r="BX37" s="106"/>
      <c r="BY37" s="106"/>
    </row>
    <row r="38" spans="1:77" x14ac:dyDescent="0.2">
      <c r="A38" s="104" t="s">
        <v>109</v>
      </c>
      <c r="D38" s="106"/>
      <c r="E38" s="106"/>
      <c r="F38" s="106"/>
      <c r="G38" s="106"/>
      <c r="H38" s="106"/>
      <c r="I38" s="106"/>
      <c r="J38" s="106"/>
      <c r="K38" s="106"/>
      <c r="L38" s="106"/>
      <c r="M38" s="106"/>
      <c r="N38" s="106"/>
      <c r="O38" s="106"/>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c r="BU38" s="106"/>
      <c r="BV38" s="106"/>
      <c r="BW38" s="106"/>
      <c r="BX38" s="106"/>
      <c r="BY38" s="106"/>
    </row>
    <row r="39" spans="1:77" x14ac:dyDescent="0.2">
      <c r="A39" s="104"/>
      <c r="B39" s="513" t="s">
        <v>510</v>
      </c>
      <c r="D39" s="106">
        <f>IF(D3="Forecast",A39,'BS - CF Actuals'!H117)</f>
        <v>0</v>
      </c>
      <c r="E39" s="106">
        <f>IF(E3="Forecast",B39,'BS - CF Actuals'!I117)</f>
        <v>0</v>
      </c>
      <c r="F39" s="106">
        <f>IF(F3="Forecast",C39,'BS - CF Actuals'!J117)</f>
        <v>0</v>
      </c>
      <c r="G39" s="106">
        <f>IF(G3="Forecast",F39,'BS - CF Actuals'!K117)</f>
        <v>0</v>
      </c>
      <c r="H39" s="106">
        <f>IF(H3="Forecast",G39,'BS - CF Actuals'!L117)</f>
        <v>0</v>
      </c>
      <c r="I39" s="106">
        <f>IF(I3="Forecast",H39,'BS - CF Actuals'!M117)</f>
        <v>0</v>
      </c>
      <c r="J39" s="106">
        <f>IF(J3="Forecast",I39,'BS - CF Actuals'!N117)</f>
        <v>0</v>
      </c>
      <c r="K39" s="106">
        <f>IF(K3="Forecast",J39,'BS - CF Actuals'!O117)</f>
        <v>0</v>
      </c>
      <c r="L39" s="106">
        <f>IF(L3="Forecast",K39,'BS - CF Actuals'!P117)</f>
        <v>0</v>
      </c>
      <c r="M39" s="106">
        <f>IF(M3="Forecast",L39,'BS - CF Actuals'!Q117)</f>
        <v>0</v>
      </c>
      <c r="N39" s="106">
        <f>IF(N3="Forecast",M39,'BS - CF Actuals'!R117)</f>
        <v>0</v>
      </c>
      <c r="O39" s="106">
        <f>IF(O3="Forecast",N39,'BS - CF Actuals'!S117)</f>
        <v>0</v>
      </c>
      <c r="P39" s="106">
        <f>IF(P3="Forecast",O39,'BS - CF Actuals'!T117)</f>
        <v>0</v>
      </c>
      <c r="Q39" s="106">
        <f>IF(Q3="Forecast",P39,'BS - CF Actuals'!U117)</f>
        <v>15569796.68</v>
      </c>
      <c r="R39" s="106">
        <f>IF(R3="Forecast",Q39,'BS - CF Actuals'!V117)</f>
        <v>15569796.68</v>
      </c>
      <c r="S39" s="106">
        <f>IF(S3="Forecast",R39,'BS - CF Actuals'!W117)</f>
        <v>15569796.68</v>
      </c>
      <c r="T39" s="106">
        <f>IF(T3="Forecast",S39,'BS - CF Actuals'!X117)</f>
        <v>15569796.68</v>
      </c>
      <c r="U39" s="106">
        <f>IF(U3="Forecast",T39,'BS - CF Actuals'!Y117)</f>
        <v>15569796.68</v>
      </c>
      <c r="V39" s="106">
        <f>IF(V3="Forecast",U39,'BS - CF Actuals'!Z117)</f>
        <v>15569796.68</v>
      </c>
      <c r="W39" s="106">
        <f>IF(W3="Forecast",V39,'BS - CF Actuals'!AA117)</f>
        <v>15569796.68</v>
      </c>
      <c r="X39" s="106">
        <f>IF(X3="Forecast",W39,'BS - CF Actuals'!AB117)</f>
        <v>15569796.68</v>
      </c>
      <c r="Y39" s="106">
        <f>IF(Y3="Forecast",X39,'BS - CF Actuals'!AC117)</f>
        <v>15569796.68</v>
      </c>
      <c r="Z39" s="106">
        <f>IF(Z3="Forecast",Y39,'BS - CF Actuals'!AD117)</f>
        <v>15569796.68</v>
      </c>
      <c r="AA39" s="106">
        <f>IF(AA3="Forecast",Z39,'BS - CF Actuals'!AE117)</f>
        <v>15569796.68</v>
      </c>
      <c r="AB39" s="106">
        <f>IF(AB3="Forecast",AA39,'BS - CF Actuals'!AF117)</f>
        <v>15569796.68</v>
      </c>
      <c r="AC39" s="106">
        <f>IF(AC3="Forecast",AB39,'BS - CF Actuals'!AG117)</f>
        <v>15569796.68</v>
      </c>
      <c r="AD39" s="106">
        <f>IF(AD3="Forecast",AC39,'BS - CF Actuals'!AH117)</f>
        <v>15569796.68</v>
      </c>
      <c r="AE39" s="106">
        <f>IF(AE3="Forecast",AD39,'BS - CF Actuals'!AI117)</f>
        <v>15569796.68</v>
      </c>
      <c r="AF39" s="106">
        <f>IF(AF3="Forecast",AE39,'BS - CF Actuals'!AJ117)</f>
        <v>15569796.68</v>
      </c>
      <c r="AG39" s="106">
        <f>IF(AG3="Forecast",AF39,'BS - CF Actuals'!AK117)</f>
        <v>15569796.68</v>
      </c>
      <c r="AH39" s="106">
        <f>IF(AH3="Forecast",AG39,'BS - CF Actuals'!AL117)</f>
        <v>15569796.68</v>
      </c>
      <c r="AI39" s="106">
        <f>IF(AI3="Forecast",AH39,'BS - CF Actuals'!AM117)</f>
        <v>15569796.68</v>
      </c>
      <c r="AJ39" s="106">
        <f>IF(AJ3="Forecast",AI39,'BS - CF Actuals'!AN117)</f>
        <v>15569796.68</v>
      </c>
      <c r="AK39" s="106">
        <f>IF(AK3="Forecast",AJ39,'BS - CF Actuals'!AO117)</f>
        <v>15569796.68</v>
      </c>
      <c r="AL39" s="106">
        <f>IF(AL3="Forecast",AK39,'BS - CF Actuals'!AP117)</f>
        <v>15569796.68</v>
      </c>
      <c r="AM39" s="106">
        <f>IF(AM3="Forecast",AL39,'BS - CF Actuals'!AQ117)</f>
        <v>15569796.68</v>
      </c>
      <c r="AN39" s="106">
        <f>IF(AN3="Forecast",AM39,'BS - CF Actuals'!AR117)</f>
        <v>15569796.68</v>
      </c>
      <c r="AO39" s="106">
        <f>IF(AO3="Forecast",AN39,'BS - CF Actuals'!AS117)</f>
        <v>15569796.68</v>
      </c>
      <c r="AP39" s="106">
        <f>IF(AP3="Forecast",AO39,'BS - CF Actuals'!AT117)</f>
        <v>15569796.68</v>
      </c>
      <c r="AQ39" s="106">
        <f>IF(AQ3="Forecast",AP39,'BS - CF Actuals'!AU117)</f>
        <v>15569796.68</v>
      </c>
      <c r="AR39" s="106">
        <f>IF(AR3="Forecast",AQ39,'BS - CF Actuals'!AV117)</f>
        <v>15569796.68</v>
      </c>
      <c r="AS39" s="106">
        <f>IF(AS3="Forecast",AR39,'BS - CF Actuals'!AW117)</f>
        <v>15569796.68</v>
      </c>
      <c r="AT39" s="106">
        <f>IF(AT3="Forecast",AS39,'BS - CF Actuals'!AX117)</f>
        <v>15569796.68</v>
      </c>
      <c r="AU39" s="106">
        <f>IF(AU3="Forecast",AT39,'BS - CF Actuals'!AY117)</f>
        <v>15569796.68</v>
      </c>
      <c r="AV39" s="106">
        <f>IF(AV3="Forecast",AU39,'BS - CF Actuals'!AZ117)</f>
        <v>15569796.68</v>
      </c>
      <c r="AW39" s="106">
        <f>IF(AW3="Forecast",AV39,'BS - CF Actuals'!BA117)</f>
        <v>15569796.68</v>
      </c>
      <c r="AX39" s="106">
        <f>IF(AX3="Forecast",AW39,'BS - CF Actuals'!BB117)</f>
        <v>15569796.68</v>
      </c>
      <c r="AY39" s="106">
        <f>IF(AY3="Forecast",AX39,'BS - CF Actuals'!BC117)</f>
        <v>15569796.68</v>
      </c>
      <c r="AZ39" s="106">
        <f>IF(AZ3="Forecast",AY39,'BS - CF Actuals'!BD117)</f>
        <v>15569796.68</v>
      </c>
      <c r="BA39" s="106">
        <f>IF(BA3="Forecast",AZ39,'BS - CF Actuals'!BE117)</f>
        <v>15569796.68</v>
      </c>
      <c r="BB39" s="106">
        <f>IF(BB3="Forecast",BA39,'BS - CF Actuals'!BF117)</f>
        <v>15569796.68</v>
      </c>
      <c r="BC39" s="106">
        <f>IF(BC3="Forecast",BB39,'BS - CF Actuals'!BG117)</f>
        <v>15569796.68</v>
      </c>
      <c r="BD39" s="106">
        <f>IF(BD3="Forecast",BC39,'BS - CF Actuals'!BH117)</f>
        <v>15569796.68</v>
      </c>
      <c r="BE39" s="106">
        <f>IF(BE3="Forecast",BD39,'BS - CF Actuals'!BI117)</f>
        <v>15569796.68</v>
      </c>
      <c r="BF39" s="106">
        <f>IF(BF3="Forecast",BE39,'BS - CF Actuals'!BJ117)</f>
        <v>15569796.68</v>
      </c>
      <c r="BG39" s="106">
        <f>IF(BG3="Forecast",BF39,'BS - CF Actuals'!BK117)</f>
        <v>15569796.68</v>
      </c>
      <c r="BH39" s="106">
        <f>IF(BH3="Forecast",BG39,'BS - CF Actuals'!BL117)</f>
        <v>15569796.68</v>
      </c>
      <c r="BI39" s="106">
        <f>IF(BI3="Forecast",BH39,'BS - CF Actuals'!BM117)</f>
        <v>15569796.68</v>
      </c>
      <c r="BJ39" s="106">
        <f>IF(BJ3="Forecast",BI39,'BS - CF Actuals'!BN117)</f>
        <v>15569796.68</v>
      </c>
      <c r="BK39" s="106">
        <f>IF(BK3="Forecast",BJ39,'BS - CF Actuals'!BO117)</f>
        <v>15569796.68</v>
      </c>
      <c r="BL39" s="106">
        <f>IF(BL3="Forecast",BK39,'BS - CF Actuals'!BP117)</f>
        <v>15569796.68</v>
      </c>
      <c r="BM39" s="106">
        <f>IF(BM3="Forecast",BL39,'BS - CF Actuals'!BQ117)</f>
        <v>15569796.68</v>
      </c>
      <c r="BN39" s="106">
        <f>IF(BN3="Forecast",BM39,'BS - CF Actuals'!BR117)</f>
        <v>15569796.68</v>
      </c>
      <c r="BO39" s="106">
        <f>IF(BO3="Forecast",BN39,'BS - CF Actuals'!BS117)</f>
        <v>15569796.68</v>
      </c>
      <c r="BP39" s="106">
        <f>IF(BP3="Forecast",BO39,'BS - CF Actuals'!BT117)</f>
        <v>15569796.68</v>
      </c>
      <c r="BQ39" s="106">
        <f>IF(BQ3="Forecast",BP39,'BS - CF Actuals'!BU117)</f>
        <v>15569796.68</v>
      </c>
      <c r="BR39" s="106">
        <f>IF(BR3="Forecast",BQ39,'BS - CF Actuals'!BV117)</f>
        <v>15569796.68</v>
      </c>
      <c r="BS39" s="106">
        <f>IF(BS3="Forecast",BR39,'BS - CF Actuals'!BW117)</f>
        <v>15569796.68</v>
      </c>
      <c r="BT39" s="106">
        <f>IF(BT3="Forecast",BS39,'BS - CF Actuals'!BX117)</f>
        <v>15569796.68</v>
      </c>
      <c r="BU39" s="106">
        <f>IF(BU3="Forecast",BT39,'BS - CF Actuals'!BY117)</f>
        <v>15569796.68</v>
      </c>
      <c r="BV39" s="106">
        <f>IF(BV3="Forecast",BU39,'BS - CF Actuals'!BZ117)</f>
        <v>15569796.68</v>
      </c>
      <c r="BW39" s="106">
        <f>IF(BW3="Forecast",BV39,'BS - CF Actuals'!CA117)</f>
        <v>15569796.68</v>
      </c>
      <c r="BX39" s="106">
        <f>IF(BX3="Forecast",BW39,'BS - CF Actuals'!CB117)</f>
        <v>15569796.68</v>
      </c>
      <c r="BY39" s="106">
        <f>IF(BY3="Forecast",BX39,'BS - CF Actuals'!CC117)</f>
        <v>15569796.68</v>
      </c>
    </row>
    <row r="40" spans="1:77" x14ac:dyDescent="0.2">
      <c r="A40" s="104"/>
      <c r="B40" s="513" t="s">
        <v>511</v>
      </c>
      <c r="D40" s="106">
        <f>IF(D$3="Forecast",A40,'BS - CF Actuals'!H120)</f>
        <v>9999.99</v>
      </c>
      <c r="E40" s="106">
        <f>IF(E$3="Forecast",B40,'BS - CF Actuals'!I120)</f>
        <v>18754.62</v>
      </c>
      <c r="F40" s="106">
        <f>IF(F$3="Forecast",C40,'BS - CF Actuals'!J120)</f>
        <v>18754.62</v>
      </c>
      <c r="G40" s="106">
        <f>IF(G$3="Forecast",F40,'BS - CF Actuals'!K120)</f>
        <v>18754.62</v>
      </c>
      <c r="H40" s="106">
        <f>IF(H$3="Forecast",G40,'BS - CF Actuals'!L120)</f>
        <v>18754.62</v>
      </c>
      <c r="I40" s="106">
        <f>IF(I$3="Forecast",H40,'BS - CF Actuals'!M120)</f>
        <v>18754.62</v>
      </c>
      <c r="J40" s="106">
        <f>IF(J$3="Forecast",I40,'BS - CF Actuals'!N120)</f>
        <v>18754.62</v>
      </c>
      <c r="K40" s="106">
        <f>IF(K$3="Forecast",J40,'BS - CF Actuals'!O120)</f>
        <v>18754.62</v>
      </c>
      <c r="L40" s="106">
        <f>IF(L$3="Forecast",K40,'BS - CF Actuals'!P120)</f>
        <v>18754.62</v>
      </c>
      <c r="M40" s="106">
        <f>IF(M$3="Forecast",L40,'BS - CF Actuals'!Q120)</f>
        <v>18754.62</v>
      </c>
      <c r="N40" s="106">
        <f>IF(N$3="Forecast",M40,'BS - CF Actuals'!R120)</f>
        <v>18754.62</v>
      </c>
      <c r="O40" s="106">
        <f>IF(O$3="Forecast",N40,'BS - CF Actuals'!S120)</f>
        <v>18754.62</v>
      </c>
      <c r="P40" s="106">
        <f>IF(P$3="Forecast",O40,'BS - CF Actuals'!T120)</f>
        <v>18754.62</v>
      </c>
      <c r="Q40" s="106">
        <f>IF(Q$3="Forecast",P40,'BS - CF Actuals'!U120)</f>
        <v>-1099999.8599999999</v>
      </c>
      <c r="R40" s="106">
        <f>IF(R$3="Forecast",Q40,'BS - CF Actuals'!V120)</f>
        <v>-1099970.8799999999</v>
      </c>
      <c r="S40" s="106">
        <f>IF(S$3="Forecast",R40,'BS - CF Actuals'!W120)</f>
        <v>-1099970.8799999999</v>
      </c>
      <c r="T40" s="106">
        <f>IF(T$3="Forecast",S40,'BS - CF Actuals'!X120)</f>
        <v>-1099970.8799999999</v>
      </c>
      <c r="U40" s="106">
        <f>IF(U$3="Forecast",T40,'BS - CF Actuals'!Y120)</f>
        <v>-1099970.8799999999</v>
      </c>
      <c r="V40" s="106">
        <f>IF(V$3="Forecast",U40,'BS - CF Actuals'!Z120)</f>
        <v>-1099970.8799999999</v>
      </c>
      <c r="W40" s="106">
        <f>IF(W$3="Forecast",V40,'BS - CF Actuals'!AA120)</f>
        <v>-1099970.8799999999</v>
      </c>
      <c r="X40" s="106">
        <f>IF(X$3="Forecast",W40,'BS - CF Actuals'!AB120)</f>
        <v>-1099970.8799999999</v>
      </c>
      <c r="Y40" s="106">
        <f>IF(Y$3="Forecast",X40,'BS - CF Actuals'!AC120)</f>
        <v>-1099970.8799999999</v>
      </c>
      <c r="Z40" s="106">
        <f>IF(Z$3="Forecast",Y40,'BS - CF Actuals'!AD120)</f>
        <v>-1099970.8799999999</v>
      </c>
      <c r="AA40" s="106">
        <f>IF(AA$3="Forecast",Z40,'BS - CF Actuals'!AE120)</f>
        <v>-1099970.8799999999</v>
      </c>
      <c r="AB40" s="106">
        <f>IF(AB$3="Forecast",AA40,'BS - CF Actuals'!AF120)</f>
        <v>-1099970.8799999999</v>
      </c>
      <c r="AC40" s="106">
        <f>IF(AC$3="Forecast",AB40,'BS - CF Actuals'!AG120)</f>
        <v>-1099970.8799999999</v>
      </c>
      <c r="AD40" s="106">
        <f>IF(AD$3="Forecast",AC40,'BS - CF Actuals'!AH120)</f>
        <v>-1099970.8799999999</v>
      </c>
      <c r="AE40" s="106">
        <f>IF(AE$3="Forecast",AD40,'BS - CF Actuals'!AI120)</f>
        <v>-1099970.8799999999</v>
      </c>
      <c r="AF40" s="106">
        <f>IF(AF$3="Forecast",AE40,'BS - CF Actuals'!AJ120)</f>
        <v>-1099970.8799999999</v>
      </c>
      <c r="AG40" s="106">
        <f>IF(AG$3="Forecast",AF40,'BS - CF Actuals'!AK120)</f>
        <v>-1099970.8799999999</v>
      </c>
      <c r="AH40" s="106">
        <f>IF(AH$3="Forecast",AG40,'BS - CF Actuals'!AL120)</f>
        <v>-1099970.8799999999</v>
      </c>
      <c r="AI40" s="106">
        <f>IF(AI$3="Forecast",AH40,'BS - CF Actuals'!AM120)</f>
        <v>-1099970.8799999999</v>
      </c>
      <c r="AJ40" s="106">
        <f>IF(AJ$3="Forecast",AI40,'BS - CF Actuals'!AN120)</f>
        <v>-1099970.8799999999</v>
      </c>
      <c r="AK40" s="106">
        <f>IF(AK$3="Forecast",AJ40,'BS - CF Actuals'!AO120)</f>
        <v>-1099970.8799999999</v>
      </c>
      <c r="AL40" s="106">
        <f>IF(AL$3="Forecast",AK40,'BS - CF Actuals'!AP120)</f>
        <v>-1099970.8799999999</v>
      </c>
      <c r="AM40" s="106">
        <f>IF(AM$3="Forecast",AL40,'BS - CF Actuals'!AQ120)</f>
        <v>-1099970.8799999999</v>
      </c>
      <c r="AN40" s="106">
        <f>IF(AN$3="Forecast",AM40,'BS - CF Actuals'!AR120)</f>
        <v>-1099970.8799999999</v>
      </c>
      <c r="AO40" s="106">
        <f>IF(AO$3="Forecast",AN40,'BS - CF Actuals'!AS120)</f>
        <v>-1099970.8799999999</v>
      </c>
      <c r="AP40" s="106">
        <f>IF(AP$3="Forecast",AO40,'BS - CF Actuals'!AT120)</f>
        <v>-1099970.8799999999</v>
      </c>
      <c r="AQ40" s="106">
        <f>IF(AQ$3="Forecast",AP40,'BS - CF Actuals'!AU120)</f>
        <v>-1099970.8799999999</v>
      </c>
      <c r="AR40" s="106">
        <f>IF(AR$3="Forecast",AQ40,'BS - CF Actuals'!AV120)</f>
        <v>-1099970.8799999999</v>
      </c>
      <c r="AS40" s="106">
        <f>IF(AS$3="Forecast",AR40,'BS - CF Actuals'!AW120)</f>
        <v>-1099970.8799999999</v>
      </c>
      <c r="AT40" s="106">
        <f>IF(AT$3="Forecast",AS40,'BS - CF Actuals'!AX120)</f>
        <v>-1099970.8799999999</v>
      </c>
      <c r="AU40" s="106">
        <f>IF(AU$3="Forecast",AT40,'BS - CF Actuals'!AY120)</f>
        <v>-1099970.8799999999</v>
      </c>
      <c r="AV40" s="106">
        <f>IF(AV$3="Forecast",AU40,'BS - CF Actuals'!AZ120)</f>
        <v>-1099970.8799999999</v>
      </c>
      <c r="AW40" s="106">
        <f>IF(AW$3="Forecast",AV40,'BS - CF Actuals'!BA120)</f>
        <v>-1099970.8799999999</v>
      </c>
      <c r="AX40" s="106">
        <f>IF(AX$3="Forecast",AW40,'BS - CF Actuals'!BB120)</f>
        <v>-1099970.8799999999</v>
      </c>
      <c r="AY40" s="106">
        <f>IF(AY$3="Forecast",AX40,'BS - CF Actuals'!BC120)</f>
        <v>-1099970.8799999999</v>
      </c>
      <c r="AZ40" s="106">
        <f>IF(AZ$3="Forecast",AY40,'BS - CF Actuals'!BD120)</f>
        <v>-1099970.8799999999</v>
      </c>
      <c r="BA40" s="106">
        <f>IF(BA$3="Forecast",AZ40,'BS - CF Actuals'!BE120)</f>
        <v>-1099970.8799999999</v>
      </c>
      <c r="BB40" s="106">
        <f>IF(BB$3="Forecast",BA40,'BS - CF Actuals'!BF120)</f>
        <v>-1099970.8799999999</v>
      </c>
      <c r="BC40" s="106">
        <f>IF(BC$3="Forecast",BB40,'BS - CF Actuals'!BG120)</f>
        <v>-1099970.8799999999</v>
      </c>
      <c r="BD40" s="106">
        <f>IF(BD$3="Forecast",BC40,'BS - CF Actuals'!BH120)</f>
        <v>-1099970.8799999999</v>
      </c>
      <c r="BE40" s="106">
        <f>IF(BE$3="Forecast",BD40,'BS - CF Actuals'!BI120)</f>
        <v>-1099970.8799999999</v>
      </c>
      <c r="BF40" s="106">
        <f>IF(BF$3="Forecast",BE40,'BS - CF Actuals'!BJ120)</f>
        <v>-1099970.8799999999</v>
      </c>
      <c r="BG40" s="106">
        <f>IF(BG$3="Forecast",BF40,'BS - CF Actuals'!BK120)</f>
        <v>-1099970.8799999999</v>
      </c>
      <c r="BH40" s="106">
        <f>IF(BH$3="Forecast",BG40,'BS - CF Actuals'!BL120)</f>
        <v>-1099970.8799999999</v>
      </c>
      <c r="BI40" s="106">
        <f>IF(BI$3="Forecast",BH40,'BS - CF Actuals'!BM120)</f>
        <v>-1099970.8799999999</v>
      </c>
      <c r="BJ40" s="106">
        <f>IF(BJ$3="Forecast",BI40,'BS - CF Actuals'!BN120)</f>
        <v>-1099970.8799999999</v>
      </c>
      <c r="BK40" s="106">
        <f>IF(BK$3="Forecast",BJ40,'BS - CF Actuals'!BO120)</f>
        <v>-1099970.8799999999</v>
      </c>
      <c r="BL40" s="106">
        <f>IF(BL$3="Forecast",BK40,'BS - CF Actuals'!BP120)</f>
        <v>-1099970.8799999999</v>
      </c>
      <c r="BM40" s="106">
        <f>IF(BM$3="Forecast",BL40,'BS - CF Actuals'!BQ120)</f>
        <v>-1099970.8799999999</v>
      </c>
      <c r="BN40" s="106">
        <f>IF(BN$3="Forecast",BM40,'BS - CF Actuals'!BR120)</f>
        <v>-1099970.8799999999</v>
      </c>
      <c r="BO40" s="106">
        <f>IF(BO$3="Forecast",BN40,'BS - CF Actuals'!BS120)</f>
        <v>-1099970.8799999999</v>
      </c>
      <c r="BP40" s="106">
        <f>IF(BP$3="Forecast",BO40,'BS - CF Actuals'!BT120)</f>
        <v>-1099970.8799999999</v>
      </c>
      <c r="BQ40" s="106">
        <f>IF(BQ$3="Forecast",BP40,'BS - CF Actuals'!BU120)</f>
        <v>-1099970.8799999999</v>
      </c>
      <c r="BR40" s="106">
        <f>IF(BR$3="Forecast",BQ40,'BS - CF Actuals'!BV120)</f>
        <v>-1099970.8799999999</v>
      </c>
      <c r="BS40" s="106">
        <f>IF(BS$3="Forecast",BR40,'BS - CF Actuals'!BW120)</f>
        <v>-1099970.8799999999</v>
      </c>
      <c r="BT40" s="106">
        <f>IF(BT$3="Forecast",BS40,'BS - CF Actuals'!BX120)</f>
        <v>-1099970.8799999999</v>
      </c>
      <c r="BU40" s="106">
        <f>IF(BU$3="Forecast",BT40,'BS - CF Actuals'!BY120)</f>
        <v>-1099970.8799999999</v>
      </c>
      <c r="BV40" s="106">
        <f>IF(BV$3="Forecast",BU40,'BS - CF Actuals'!BZ120)</f>
        <v>-1099970.8799999999</v>
      </c>
      <c r="BW40" s="106">
        <f>IF(BW$3="Forecast",BV40,'BS - CF Actuals'!CA120)</f>
        <v>-1099970.8799999999</v>
      </c>
      <c r="BX40" s="106">
        <f>IF(BX$3="Forecast",BW40,'BS - CF Actuals'!CB120)</f>
        <v>-1099970.8799999999</v>
      </c>
      <c r="BY40" s="106">
        <f>IF(BY$3="Forecast",BX40,'BS - CF Actuals'!CC120)</f>
        <v>-1099970.8799999999</v>
      </c>
    </row>
    <row r="41" spans="1:77" x14ac:dyDescent="0.2">
      <c r="A41" s="104"/>
      <c r="B41" s="513" t="s">
        <v>514</v>
      </c>
      <c r="D41" s="106"/>
      <c r="E41" s="106"/>
      <c r="F41" s="106">
        <f>IF(F$3="Forecast",C41,'BS - CF Actuals'!J118)</f>
        <v>0</v>
      </c>
      <c r="G41" s="106">
        <f>IF(G$3="Forecast",F41,'BS - CF Actuals'!K118)</f>
        <v>0</v>
      </c>
      <c r="H41" s="106">
        <f>IF(H$3="Forecast",G41,'BS - CF Actuals'!L118)</f>
        <v>0</v>
      </c>
      <c r="I41" s="106">
        <f>IF(I$3="Forecast",H41,'BS - CF Actuals'!M118)</f>
        <v>0</v>
      </c>
      <c r="J41" s="106">
        <f>IF(J$3="Forecast",I41,'BS - CF Actuals'!N118)</f>
        <v>0</v>
      </c>
      <c r="K41" s="106">
        <f>IF(K$3="Forecast",J41,'BS - CF Actuals'!O118)</f>
        <v>0</v>
      </c>
      <c r="L41" s="106">
        <f>IF(L$3="Forecast",K41,'BS - CF Actuals'!P118)</f>
        <v>0</v>
      </c>
      <c r="M41" s="106">
        <f>IF(M$3="Forecast",L41,'BS - CF Actuals'!Q118)</f>
        <v>0</v>
      </c>
      <c r="N41" s="106">
        <f>IF(N$3="Forecast",M41,'BS - CF Actuals'!R118)</f>
        <v>0</v>
      </c>
      <c r="O41" s="106">
        <f>IF(O$3="Forecast",N41,'BS - CF Actuals'!S118)</f>
        <v>0</v>
      </c>
      <c r="P41" s="106">
        <f>IF(P$3="Forecast",O41,'BS - CF Actuals'!T118)</f>
        <v>0</v>
      </c>
      <c r="Q41" s="106">
        <f>IF(Q$3="Forecast",P41,'BS - CF Actuals'!U118)</f>
        <v>-379174.74</v>
      </c>
      <c r="R41" s="106">
        <f>IF(R$3="Forecast",Q41,'BS - CF Actuals'!V118)</f>
        <v>-379174.74</v>
      </c>
      <c r="S41" s="106">
        <f>IF(S$3="Forecast",R41,'BS - CF Actuals'!W118)</f>
        <v>-379174.74</v>
      </c>
      <c r="T41" s="106">
        <f>IF(T$3="Forecast",S41,'BS - CF Actuals'!X118)</f>
        <v>-379174.74</v>
      </c>
      <c r="U41" s="106">
        <f>IF(U$3="Forecast",T41,'BS - CF Actuals'!Y118)</f>
        <v>-379174.74</v>
      </c>
      <c r="V41" s="106">
        <f>IF(V$3="Forecast",U41,'BS - CF Actuals'!Z118)</f>
        <v>-379174.74</v>
      </c>
      <c r="W41" s="106">
        <f>IF(W$3="Forecast",V41,'BS - CF Actuals'!AA118)</f>
        <v>-379174.74</v>
      </c>
      <c r="X41" s="106">
        <f>IF(X$3="Forecast",W41,'BS - CF Actuals'!AB118)</f>
        <v>-379174.74</v>
      </c>
      <c r="Y41" s="106">
        <f>IF(Y$3="Forecast",X41,'BS - CF Actuals'!AC118)</f>
        <v>-379174.74</v>
      </c>
      <c r="Z41" s="106">
        <f>IF(Z$3="Forecast",Y41,'BS - CF Actuals'!AD118)</f>
        <v>-379174.74</v>
      </c>
      <c r="AA41" s="106">
        <f>IF(AA$3="Forecast",Z41,'BS - CF Actuals'!AE118)</f>
        <v>-379174.74</v>
      </c>
      <c r="AB41" s="106">
        <f>IF(AB$3="Forecast",AA41,'BS - CF Actuals'!AF118)</f>
        <v>-379174.74</v>
      </c>
      <c r="AC41" s="106">
        <f>IF(AC$3="Forecast",AB41,'BS - CF Actuals'!AG118)</f>
        <v>-378120.84</v>
      </c>
      <c r="AD41" s="106">
        <f>IF(AD$3="Forecast",AC41,'BS - CF Actuals'!AH118)</f>
        <v>-378120.84</v>
      </c>
      <c r="AE41" s="106">
        <f>IF(AE$3="Forecast",AD41,'BS - CF Actuals'!AI118)</f>
        <v>-378120.84</v>
      </c>
      <c r="AF41" s="106">
        <f>IF(AF$3="Forecast",AE41,'BS - CF Actuals'!AJ118)</f>
        <v>-393120.84</v>
      </c>
      <c r="AG41" s="106">
        <f>IF(AG$3="Forecast",AF41,'BS - CF Actuals'!AK118)</f>
        <v>-393120.84</v>
      </c>
      <c r="AH41" s="106">
        <f>IF(AH$3="Forecast",AG41,'BS - CF Actuals'!AL118)</f>
        <v>-393120.84</v>
      </c>
      <c r="AI41" s="106">
        <f>IF(AI$3="Forecast",AH41,'BS - CF Actuals'!AM118)</f>
        <v>-393120.84</v>
      </c>
      <c r="AJ41" s="106">
        <f>IF(AJ$3="Forecast",AI41,'BS - CF Actuals'!AN118)</f>
        <v>-393120.84</v>
      </c>
      <c r="AK41" s="106">
        <f>IF(AK$3="Forecast",AJ41,'BS - CF Actuals'!AO118)</f>
        <v>-393120.84</v>
      </c>
      <c r="AL41" s="106">
        <f>IF(AL$3="Forecast",AK41,'BS - CF Actuals'!AP118)</f>
        <v>-393120.84</v>
      </c>
      <c r="AM41" s="106">
        <f>IF(AM$3="Forecast",AL41,'BS - CF Actuals'!AQ118)</f>
        <v>-393120.84</v>
      </c>
      <c r="AN41" s="106">
        <f>IF(AN$3="Forecast",AM41,'BS - CF Actuals'!AR118)</f>
        <v>-393120.84</v>
      </c>
      <c r="AO41" s="106">
        <f>IF(AO$3="Forecast",AN41,'BS - CF Actuals'!AS118)</f>
        <v>-393120.84</v>
      </c>
      <c r="AP41" s="106">
        <f>IF(AP$3="Forecast",AO41,'BS - CF Actuals'!AT118)</f>
        <v>-393120.84</v>
      </c>
      <c r="AQ41" s="106">
        <f>IF(AQ$3="Forecast",AP41,'BS - CF Actuals'!AU118)</f>
        <v>-393120.84</v>
      </c>
      <c r="AR41" s="106">
        <f>IF(AR$3="Forecast",AQ41,'BS - CF Actuals'!AV118)</f>
        <v>-393120.84</v>
      </c>
      <c r="AS41" s="106">
        <f>IF(AS$3="Forecast",AR41,'BS - CF Actuals'!AW118)</f>
        <v>-393120.84</v>
      </c>
      <c r="AT41" s="106">
        <f>IF(AT$3="Forecast",AS41,'BS - CF Actuals'!AX118)</f>
        <v>-393120.84</v>
      </c>
      <c r="AU41" s="106">
        <f>IF(AU$3="Forecast",AT41,'BS - CF Actuals'!AY118)</f>
        <v>-393120.84</v>
      </c>
      <c r="AV41" s="106">
        <f>IF(AV$3="Forecast",AU41,'BS - CF Actuals'!AZ118)</f>
        <v>-393120.84</v>
      </c>
      <c r="AW41" s="106">
        <f>IF(AW$3="Forecast",AV41,'BS - CF Actuals'!BA118)</f>
        <v>-393120.84</v>
      </c>
      <c r="AX41" s="106">
        <f>IF(AX$3="Forecast",AW41,'BS - CF Actuals'!BB118)</f>
        <v>-393120.84</v>
      </c>
      <c r="AY41" s="106">
        <f>IF(AY$3="Forecast",AX41,'BS - CF Actuals'!BC118)</f>
        <v>-393120.84</v>
      </c>
      <c r="AZ41" s="106">
        <f>IF(AZ$3="Forecast",AY41,'BS - CF Actuals'!BD118)</f>
        <v>-393120.84</v>
      </c>
      <c r="BA41" s="106">
        <f>IF(BA$3="Forecast",AZ41,'BS - CF Actuals'!BE118)</f>
        <v>-393120.84</v>
      </c>
      <c r="BB41" s="106">
        <f>IF(BB$3="Forecast",BA41,'BS - CF Actuals'!BF118)</f>
        <v>-393120.84</v>
      </c>
      <c r="BC41" s="106">
        <f>IF(BC$3="Forecast",BB41,'BS - CF Actuals'!BG118)</f>
        <v>-393120.84</v>
      </c>
      <c r="BD41" s="106">
        <f>IF(BD$3="Forecast",BC41,'BS - CF Actuals'!BH118)</f>
        <v>-393120.84</v>
      </c>
      <c r="BE41" s="106">
        <f>IF(BE$3="Forecast",BD41,'BS - CF Actuals'!BI118)</f>
        <v>-393120.84</v>
      </c>
      <c r="BF41" s="106">
        <f>IF(BF$3="Forecast",BE41,'BS - CF Actuals'!BJ118)</f>
        <v>-393120.84</v>
      </c>
      <c r="BG41" s="106">
        <f>IF(BG$3="Forecast",BF41,'BS - CF Actuals'!BK118)</f>
        <v>-393120.84</v>
      </c>
      <c r="BH41" s="106">
        <f>IF(BH$3="Forecast",BG41,'BS - CF Actuals'!BL118)</f>
        <v>-393120.84</v>
      </c>
      <c r="BI41" s="106">
        <f>IF(BI$3="Forecast",BH41,'BS - CF Actuals'!BM118)</f>
        <v>-393120.84</v>
      </c>
      <c r="BJ41" s="106">
        <f>IF(BJ$3="Forecast",BI41,'BS - CF Actuals'!BN118)</f>
        <v>-393120.84</v>
      </c>
      <c r="BK41" s="106">
        <f>IF(BK$3="Forecast",BJ41,'BS - CF Actuals'!BO118)</f>
        <v>-393120.84</v>
      </c>
      <c r="BL41" s="106">
        <f>IF(BL$3="Forecast",BK41,'BS - CF Actuals'!BP118)</f>
        <v>-393120.84</v>
      </c>
      <c r="BM41" s="106">
        <f>IF(BM$3="Forecast",BL41,'BS - CF Actuals'!BQ118)</f>
        <v>-393120.84</v>
      </c>
      <c r="BN41" s="106">
        <f>IF(BN$3="Forecast",BM41,'BS - CF Actuals'!BR118)</f>
        <v>-393120.84</v>
      </c>
      <c r="BO41" s="106">
        <f>IF(BO$3="Forecast",BN41,'BS - CF Actuals'!BS118)</f>
        <v>-393120.84</v>
      </c>
      <c r="BP41" s="106">
        <f>IF(BP$3="Forecast",BO41,'BS - CF Actuals'!BT118)</f>
        <v>-393120.84</v>
      </c>
      <c r="BQ41" s="106">
        <f>IF(BQ$3="Forecast",BP41,'BS - CF Actuals'!BU118)</f>
        <v>-393120.84</v>
      </c>
      <c r="BR41" s="106">
        <f>IF(BR$3="Forecast",BQ41,'BS - CF Actuals'!BV118)</f>
        <v>-393120.84</v>
      </c>
      <c r="BS41" s="106">
        <f>IF(BS$3="Forecast",BR41,'BS - CF Actuals'!BW118)</f>
        <v>-393120.84</v>
      </c>
      <c r="BT41" s="106">
        <f>IF(BT$3="Forecast",BS41,'BS - CF Actuals'!BX118)</f>
        <v>-393120.84</v>
      </c>
      <c r="BU41" s="106">
        <f>IF(BU$3="Forecast",BT41,'BS - CF Actuals'!BY118)</f>
        <v>-393120.84</v>
      </c>
      <c r="BV41" s="106">
        <f>IF(BV$3="Forecast",BU41,'BS - CF Actuals'!BZ118)</f>
        <v>-393120.84</v>
      </c>
      <c r="BW41" s="106">
        <f>IF(BW$3="Forecast",BV41,'BS - CF Actuals'!CA118)</f>
        <v>-393120.84</v>
      </c>
      <c r="BX41" s="106">
        <f>IF(BX$3="Forecast",BW41,'BS - CF Actuals'!CB118)</f>
        <v>-393120.84</v>
      </c>
      <c r="BY41" s="106">
        <f>IF(BY$3="Forecast",BX41,'BS - CF Actuals'!CC118)</f>
        <v>-393120.84</v>
      </c>
    </row>
    <row r="42" spans="1:77" x14ac:dyDescent="0.2">
      <c r="B42" s="513" t="s">
        <v>110</v>
      </c>
      <c r="D42" s="106">
        <f>IF(D$3="Forecast",A42,'BS - CF Actuals'!H119)</f>
        <v>1083231.1100000001</v>
      </c>
      <c r="E42" s="106">
        <f>IF(E$3="Forecast",B42,'BS - CF Actuals'!I119)</f>
        <v>2153113.71</v>
      </c>
      <c r="F42" s="106">
        <f>IF(F$3="Forecast",C42,'BS - CF Actuals'!J119)</f>
        <v>2931772.2299999995</v>
      </c>
      <c r="G42" s="106">
        <f>IF(G$3="Forecast",F42,'BS - CF Actuals'!K119)</f>
        <v>2931772.23</v>
      </c>
      <c r="H42" s="106">
        <f>IF(H$3="Forecast",G42,'BS - CF Actuals'!L119)</f>
        <v>2931772.23</v>
      </c>
      <c r="I42" s="106">
        <f>IF(I$3="Forecast",H42,'BS - CF Actuals'!M119)</f>
        <v>2931772.2299999995</v>
      </c>
      <c r="J42" s="106">
        <f>IF(J$3="Forecast",I42,'BS - CF Actuals'!N119)</f>
        <v>2931772.2299999995</v>
      </c>
      <c r="K42" s="106">
        <f>IF(K$3="Forecast",J42,'BS - CF Actuals'!O119)</f>
        <v>2931772.2299999995</v>
      </c>
      <c r="L42" s="106">
        <f>IF(L$3="Forecast",K42,'BS - CF Actuals'!P119)</f>
        <v>2931772.2299999995</v>
      </c>
      <c r="M42" s="106">
        <f>IF(M$3="Forecast",L42,'BS - CF Actuals'!Q119)</f>
        <v>2931772.2299999995</v>
      </c>
      <c r="N42" s="106">
        <f>IF(N$3="Forecast",M42,'BS - CF Actuals'!R119)</f>
        <v>2931772.2299999995</v>
      </c>
      <c r="O42" s="106">
        <f>IF(O$3="Forecast",N42,'BS - CF Actuals'!S119)</f>
        <v>2931772.2299999995</v>
      </c>
      <c r="P42" s="106">
        <f>IF(P$3="Forecast",O42,'BS - CF Actuals'!T119)</f>
        <v>2931772.2299999995</v>
      </c>
      <c r="Q42" s="106">
        <f>IF(Q$3="Forecast",P42,'BS - CF Actuals'!U119)</f>
        <v>0</v>
      </c>
      <c r="R42" s="106">
        <f>IF(R$3="Forecast",Q42,'BS - CF Actuals'!V119)</f>
        <v>-28.98</v>
      </c>
      <c r="S42" s="106">
        <f>IF(S$3="Forecast",R42,'BS - CF Actuals'!W119)</f>
        <v>-28.98</v>
      </c>
      <c r="T42" s="106">
        <f>IF(T$3="Forecast",S42,'BS - CF Actuals'!X119)</f>
        <v>-28.98</v>
      </c>
      <c r="U42" s="106">
        <f>IF(U$3="Forecast",T42,'BS - CF Actuals'!Y119)</f>
        <v>-28.98</v>
      </c>
      <c r="V42" s="106">
        <f>IF(V$3="Forecast",U42,'BS - CF Actuals'!Z119)</f>
        <v>-28.98</v>
      </c>
      <c r="W42" s="106">
        <f>IF(W$3="Forecast",V42,'BS - CF Actuals'!AA119)</f>
        <v>-28.98</v>
      </c>
      <c r="X42" s="106">
        <f>IF(X$3="Forecast",W42,'BS - CF Actuals'!AB119)</f>
        <v>-28.98</v>
      </c>
      <c r="Y42" s="106">
        <f>IF(Y$3="Forecast",X42,'BS - CF Actuals'!AC119)</f>
        <v>-28.98</v>
      </c>
      <c r="Z42" s="106">
        <f>IF(Z$3="Forecast",Y42,'BS - CF Actuals'!AD119)</f>
        <v>-28.98</v>
      </c>
      <c r="AA42" s="106">
        <f>IF(AA$3="Forecast",Z42,'BS - CF Actuals'!AE119)</f>
        <v>-28.98</v>
      </c>
      <c r="AB42" s="106">
        <f>IF(AB$3="Forecast",AA42,'BS - CF Actuals'!AF119)</f>
        <v>-28.98</v>
      </c>
      <c r="AC42" s="106">
        <f>IF(AC$3="Forecast",AB42,'BS - CF Actuals'!AG119)</f>
        <v>-28.98</v>
      </c>
      <c r="AD42" s="106">
        <f>IF(AD$3="Forecast",AC42,'BS - CF Actuals'!AH119)</f>
        <v>-28.98</v>
      </c>
      <c r="AE42" s="106">
        <f>IF(AE$3="Forecast",AD42,'BS - CF Actuals'!AI119)</f>
        <v>-28.98</v>
      </c>
      <c r="AF42" s="106">
        <f>IF(AF$3="Forecast",AE42,'BS - CF Actuals'!AJ119)</f>
        <v>-28.98</v>
      </c>
      <c r="AG42" s="106">
        <f>IF(AG$3="Forecast",AF42,'BS - CF Actuals'!AK119)</f>
        <v>-28.98</v>
      </c>
      <c r="AH42" s="106">
        <f>IF(AH$3="Forecast",AG42,'BS - CF Actuals'!AL119)</f>
        <v>-28.98</v>
      </c>
      <c r="AI42" s="106">
        <f>IF(AI$3="Forecast",AH42,'BS - CF Actuals'!AM119)</f>
        <v>-28.98</v>
      </c>
      <c r="AJ42" s="106">
        <f>IF(AJ$3="Forecast",AI42,'BS - CF Actuals'!AN119)</f>
        <v>-28.98</v>
      </c>
      <c r="AK42" s="106">
        <f>IF(AK$3="Forecast",AJ42,'BS - CF Actuals'!AO119)</f>
        <v>-28.98</v>
      </c>
      <c r="AL42" s="106">
        <f>IF(AL$3="Forecast",AK42,'BS - CF Actuals'!AP119)</f>
        <v>-28.98</v>
      </c>
      <c r="AM42" s="106">
        <f>IF(AM$3="Forecast",AL42,'BS - CF Actuals'!AQ119)</f>
        <v>-28.98</v>
      </c>
      <c r="AN42" s="106">
        <f>IF(AN$3="Forecast",AM42,'BS - CF Actuals'!AR119)</f>
        <v>-28.98</v>
      </c>
      <c r="AO42" s="106">
        <f>IF(AO$3="Forecast",AN42,'BS - CF Actuals'!AS119)</f>
        <v>-28.98</v>
      </c>
      <c r="AP42" s="106">
        <f>IF(AP$3="Forecast",AO42,'BS - CF Actuals'!AT119)</f>
        <v>-28.98</v>
      </c>
      <c r="AQ42" s="106">
        <f>IF(AQ$3="Forecast",AP42,'BS - CF Actuals'!AU119)</f>
        <v>-28.98</v>
      </c>
      <c r="AR42" s="106">
        <f>IF(AR$3="Forecast",AQ42,'BS - CF Actuals'!AV119)</f>
        <v>-28.98</v>
      </c>
      <c r="AS42" s="106">
        <f>IF(AS$3="Forecast",AR42,'BS - CF Actuals'!AW119)</f>
        <v>-28.98</v>
      </c>
      <c r="AT42" s="106">
        <f>IF(AT$3="Forecast",AS42,'BS - CF Actuals'!AX119)</f>
        <v>-28.98</v>
      </c>
      <c r="AU42" s="106">
        <f>IF(AU$3="Forecast",AT42,'BS - CF Actuals'!AY119)</f>
        <v>-28.98</v>
      </c>
      <c r="AV42" s="106">
        <f>IF(AV$3="Forecast",AU42,'BS - CF Actuals'!AZ119)</f>
        <v>-28.98</v>
      </c>
      <c r="AW42" s="106">
        <f>IF(AW$3="Forecast",AV42,'BS - CF Actuals'!BA119)</f>
        <v>-28.98</v>
      </c>
      <c r="AX42" s="106">
        <f>IF(AX$3="Forecast",AW42,'BS - CF Actuals'!BB119)</f>
        <v>-28.98</v>
      </c>
      <c r="AY42" s="106">
        <f>IF(AY$3="Forecast",AX42,'BS - CF Actuals'!BC119)</f>
        <v>-28.98</v>
      </c>
      <c r="AZ42" s="106">
        <f>IF(AZ$3="Forecast",AY42,'BS - CF Actuals'!BD119)</f>
        <v>-28.98</v>
      </c>
      <c r="BA42" s="106">
        <f>IF(BA$3="Forecast",AZ42,'BS - CF Actuals'!BE119)</f>
        <v>-28.98</v>
      </c>
      <c r="BB42" s="106">
        <f>IF(BB$3="Forecast",BA42,'BS - CF Actuals'!BF119)</f>
        <v>-28.98</v>
      </c>
      <c r="BC42" s="106">
        <f>IF(BC$3="Forecast",BB42,'BS - CF Actuals'!BG119)</f>
        <v>-28.98</v>
      </c>
      <c r="BD42" s="106">
        <f>IF(BD$3="Forecast",BC42,'BS - CF Actuals'!BH119)</f>
        <v>-28.98</v>
      </c>
      <c r="BE42" s="106">
        <f>IF(BE$3="Forecast",BD42,'BS - CF Actuals'!BI119)</f>
        <v>-28.98</v>
      </c>
      <c r="BF42" s="106">
        <f>IF(BF$3="Forecast",BE42,'BS - CF Actuals'!BJ119)</f>
        <v>-28.98</v>
      </c>
      <c r="BG42" s="106">
        <f>IF(BG$3="Forecast",BF42,'BS - CF Actuals'!BK119)</f>
        <v>-28.98</v>
      </c>
      <c r="BH42" s="106">
        <f>IF(BH$3="Forecast",BG42,'BS - CF Actuals'!BL119)</f>
        <v>-28.98</v>
      </c>
      <c r="BI42" s="106">
        <f>IF(BI$3="Forecast",BH42,'BS - CF Actuals'!BM119)</f>
        <v>-28.98</v>
      </c>
      <c r="BJ42" s="106">
        <f>IF(BJ$3="Forecast",BI42,'BS - CF Actuals'!BN119)</f>
        <v>-28.98</v>
      </c>
      <c r="BK42" s="106">
        <f>IF(BK$3="Forecast",BJ42,'BS - CF Actuals'!BO119)</f>
        <v>-28.98</v>
      </c>
      <c r="BL42" s="106">
        <f>IF(BL$3="Forecast",BK42,'BS - CF Actuals'!BP119)</f>
        <v>-28.98</v>
      </c>
      <c r="BM42" s="106">
        <f>IF(BM$3="Forecast",BL42,'BS - CF Actuals'!BQ119)</f>
        <v>-28.98</v>
      </c>
      <c r="BN42" s="106">
        <f>IF(BN$3="Forecast",BM42,'BS - CF Actuals'!BR119)</f>
        <v>-28.98</v>
      </c>
      <c r="BO42" s="106">
        <f>IF(BO$3="Forecast",BN42,'BS - CF Actuals'!BS119)</f>
        <v>-28.98</v>
      </c>
      <c r="BP42" s="106">
        <f>IF(BP$3="Forecast",BO42,'BS - CF Actuals'!BT119)</f>
        <v>-28.98</v>
      </c>
      <c r="BQ42" s="106">
        <f>IF(BQ$3="Forecast",BP42,'BS - CF Actuals'!BU119)</f>
        <v>-28.98</v>
      </c>
      <c r="BR42" s="106">
        <f>IF(BR$3="Forecast",BQ42,'BS - CF Actuals'!BV119)</f>
        <v>-28.98</v>
      </c>
      <c r="BS42" s="106">
        <f>IF(BS$3="Forecast",BR42,'BS - CF Actuals'!BW119)</f>
        <v>-28.98</v>
      </c>
      <c r="BT42" s="106">
        <f>IF(BT$3="Forecast",BS42,'BS - CF Actuals'!BX119)</f>
        <v>-28.98</v>
      </c>
      <c r="BU42" s="106">
        <f>IF(BU$3="Forecast",BT42,'BS - CF Actuals'!BY119)</f>
        <v>-28.98</v>
      </c>
      <c r="BV42" s="106">
        <f>IF(BV$3="Forecast",BU42,'BS - CF Actuals'!BZ119)</f>
        <v>-28.98</v>
      </c>
      <c r="BW42" s="106">
        <f>IF(BW$3="Forecast",BV42,'BS - CF Actuals'!CA119)</f>
        <v>-28.98</v>
      </c>
      <c r="BX42" s="106">
        <f>IF(BX$3="Forecast",BW42,'BS - CF Actuals'!CB119)</f>
        <v>-28.98</v>
      </c>
      <c r="BY42" s="106">
        <f>IF(BY$3="Forecast",BX42,'BS - CF Actuals'!CC119)</f>
        <v>-28.98</v>
      </c>
    </row>
    <row r="43" spans="1:77" x14ac:dyDescent="0.2">
      <c r="B43" s="513" t="s">
        <v>357</v>
      </c>
      <c r="D43" s="106"/>
      <c r="E43" s="106"/>
      <c r="F43" s="106">
        <f>IF(F$3="Forecast",C43,'BS - CF Actuals'!J116)</f>
        <v>0</v>
      </c>
      <c r="G43" s="106">
        <f>IF(G$3="Forecast",F43,'BS - CF Actuals'!K116)</f>
        <v>0</v>
      </c>
      <c r="H43" s="106">
        <f>IF(H$3="Forecast",G43,'BS - CF Actuals'!L116)</f>
        <v>0</v>
      </c>
      <c r="I43" s="106">
        <f>IF(I$3="Forecast",H43,'BS - CF Actuals'!M116)</f>
        <v>0</v>
      </c>
      <c r="J43" s="106">
        <f>IF(J$3="Forecast",I43,'BS - CF Actuals'!N116)</f>
        <v>0</v>
      </c>
      <c r="K43" s="106">
        <f>IF(K$3="Forecast",J43,'BS - CF Actuals'!O116)</f>
        <v>0</v>
      </c>
      <c r="L43" s="106">
        <f>IF(L$3="Forecast",K43,'BS - CF Actuals'!P116)</f>
        <v>0</v>
      </c>
      <c r="M43" s="106">
        <f>IF(M$3="Forecast",L43,'BS - CF Actuals'!Q116)</f>
        <v>0</v>
      </c>
      <c r="N43" s="106">
        <f>IF(N$3="Forecast",M43,'BS - CF Actuals'!R116)</f>
        <v>0</v>
      </c>
      <c r="O43" s="106">
        <f>IF(O$3="Forecast",N43,'BS - CF Actuals'!S116)</f>
        <v>0</v>
      </c>
      <c r="P43" s="106">
        <f>IF(P$3="Forecast",O43,'BS - CF Actuals'!T116)</f>
        <v>0</v>
      </c>
      <c r="Q43" s="106">
        <f>IF(Q$3="Forecast",P43,'BS - CF Actuals'!U116)</f>
        <v>1930197.24</v>
      </c>
      <c r="R43" s="106">
        <f>IF(R$3="Forecast",Q43,'BS - CF Actuals'!V116)</f>
        <v>1930197.24</v>
      </c>
      <c r="S43" s="106">
        <f>IF(S$3="Forecast",R43,'BS - CF Actuals'!W116)</f>
        <v>1930197.24</v>
      </c>
      <c r="T43" s="106">
        <f>IF(T$3="Forecast",S43,'BS - CF Actuals'!X116)</f>
        <v>1930197.24</v>
      </c>
      <c r="U43" s="106">
        <f>IF(U$3="Forecast",T43,'BS - CF Actuals'!Y116)</f>
        <v>1930197.24</v>
      </c>
      <c r="V43" s="106">
        <f>IF(V$3="Forecast",U43,'BS - CF Actuals'!Z116)</f>
        <v>1930197.24</v>
      </c>
      <c r="W43" s="106">
        <f>IF(W$3="Forecast",V43,'BS - CF Actuals'!AA116)</f>
        <v>1930197.24</v>
      </c>
      <c r="X43" s="106">
        <f>IF(X$3="Forecast",W43,'BS - CF Actuals'!AB116)</f>
        <v>1930197.24</v>
      </c>
      <c r="Y43" s="106">
        <f>IF(Y$3="Forecast",X43,'BS - CF Actuals'!AC116)</f>
        <v>1930197.24</v>
      </c>
      <c r="Z43" s="106">
        <f>IF(Z$3="Forecast",Y43,'BS - CF Actuals'!AD116)</f>
        <v>1930197.24</v>
      </c>
      <c r="AA43" s="106">
        <f>IF(AA$3="Forecast",Z43,'BS - CF Actuals'!AE116)</f>
        <v>1930197.24</v>
      </c>
      <c r="AB43" s="106">
        <f>IF(AB$3="Forecast",AA43,'BS - CF Actuals'!AF116)</f>
        <v>1930197.24</v>
      </c>
      <c r="AC43" s="106">
        <f>IF(AC$3="Forecast",AB43,'BS - CF Actuals'!AG116)</f>
        <v>1930197.24</v>
      </c>
      <c r="AD43" s="106">
        <f>IF(AD$3="Forecast",AC43,'BS - CF Actuals'!AH116)</f>
        <v>1930197.24</v>
      </c>
      <c r="AE43" s="106">
        <f>IF(AE$3="Forecast",AD43,'BS - CF Actuals'!AI116)</f>
        <v>1930197.24</v>
      </c>
      <c r="AF43" s="106">
        <f>IF(AF$3="Forecast",AE43,'BS - CF Actuals'!AJ116)</f>
        <v>1930197.24</v>
      </c>
      <c r="AG43" s="106">
        <f>IF(AG$3="Forecast",AF43,'BS - CF Actuals'!AK116)</f>
        <v>1930197.24</v>
      </c>
      <c r="AH43" s="106">
        <f>IF(AH$3="Forecast",AG43,'BS - CF Actuals'!AL116)</f>
        <v>1930197.24</v>
      </c>
      <c r="AI43" s="106">
        <f>IF(AI$3="Forecast",AH43,'BS - CF Actuals'!AM116)</f>
        <v>1930197.24</v>
      </c>
      <c r="AJ43" s="106">
        <f>IF(AJ$3="Forecast",AI43,'BS - CF Actuals'!AN116)</f>
        <v>1930197.24</v>
      </c>
      <c r="AK43" s="106">
        <f>IF(AK$3="Forecast",AJ43,'BS - CF Actuals'!AO116)</f>
        <v>1930197.24</v>
      </c>
      <c r="AL43" s="106">
        <f>IF(AL$3="Forecast",AK43,'BS - CF Actuals'!AP116)</f>
        <v>1930197.24</v>
      </c>
      <c r="AM43" s="106">
        <f>IF(AM$3="Forecast",AL43,'BS - CF Actuals'!AQ116)</f>
        <v>1930197.24</v>
      </c>
      <c r="AN43" s="106">
        <f>IF(AN$3="Forecast",AM43,'BS - CF Actuals'!AR116)</f>
        <v>1930197.24</v>
      </c>
      <c r="AO43" s="106">
        <f>IF(AO$3="Forecast",AN43,'BS - CF Actuals'!AS116)</f>
        <v>1930197.24</v>
      </c>
      <c r="AP43" s="106">
        <f>IF(AP$3="Forecast",AO43,'BS - CF Actuals'!AT116)</f>
        <v>1930197.24</v>
      </c>
      <c r="AQ43" s="106">
        <f>IF(AQ$3="Forecast",AP43,'BS - CF Actuals'!AU116)</f>
        <v>1930197.24</v>
      </c>
      <c r="AR43" s="106">
        <f>IF(AR$3="Forecast",AQ43,'BS - CF Actuals'!AV116)</f>
        <v>1930197.24</v>
      </c>
      <c r="AS43" s="106">
        <f>IF(AS$3="Forecast",AR43,'BS - CF Actuals'!AW116)</f>
        <v>1930197.24</v>
      </c>
      <c r="AT43" s="106">
        <f>IF(AT$3="Forecast",AS43,'BS - CF Actuals'!AX116)</f>
        <v>1930197.24</v>
      </c>
      <c r="AU43" s="106">
        <f>IF(AU$3="Forecast",AT43,'BS - CF Actuals'!AY116)</f>
        <v>1930197.24</v>
      </c>
      <c r="AV43" s="106">
        <f>IF(AV$3="Forecast",AU43,'BS - CF Actuals'!AZ116)</f>
        <v>1930197.24</v>
      </c>
      <c r="AW43" s="106">
        <f>IF(AW$3="Forecast",AV43,'BS - CF Actuals'!BA116)</f>
        <v>1930197.24</v>
      </c>
      <c r="AX43" s="106">
        <f>IF(AX$3="Forecast",AW43,'BS - CF Actuals'!BB116)</f>
        <v>1930197.24</v>
      </c>
      <c r="AY43" s="106">
        <f>IF(AY$3="Forecast",AX43,'BS - CF Actuals'!BC116)</f>
        <v>1930197.24</v>
      </c>
      <c r="AZ43" s="106">
        <f>IF(AZ$3="Forecast",AY43,'BS - CF Actuals'!BD116)</f>
        <v>1930197.24</v>
      </c>
      <c r="BA43" s="106">
        <f>IF(BA$3="Forecast",AZ43,'BS - CF Actuals'!BE116)</f>
        <v>1930197.24</v>
      </c>
      <c r="BB43" s="106">
        <f>IF(BB$3="Forecast",BA43,'BS - CF Actuals'!BF116)</f>
        <v>1930197.24</v>
      </c>
      <c r="BC43" s="106">
        <f>IF(BC$3="Forecast",BB43,'BS - CF Actuals'!BG116)</f>
        <v>1930197.24</v>
      </c>
      <c r="BD43" s="106">
        <f>IF(BD$3="Forecast",BC43,'BS - CF Actuals'!BH116)</f>
        <v>1930197.24</v>
      </c>
      <c r="BE43" s="106">
        <f>IF(BE$3="Forecast",BD43,'BS - CF Actuals'!BI116)</f>
        <v>1930197.24</v>
      </c>
      <c r="BF43" s="106">
        <f>IF(BF$3="Forecast",BE43,'BS - CF Actuals'!BJ116)</f>
        <v>1930197.24</v>
      </c>
      <c r="BG43" s="106">
        <f>IF(BG$3="Forecast",BF43,'BS - CF Actuals'!BK116)</f>
        <v>1930197.24</v>
      </c>
      <c r="BH43" s="106">
        <f>IF(BH$3="Forecast",BG43,'BS - CF Actuals'!BL116)</f>
        <v>1930197.24</v>
      </c>
      <c r="BI43" s="106">
        <f>IF(BI$3="Forecast",BH43,'BS - CF Actuals'!BM116)</f>
        <v>1930197.24</v>
      </c>
      <c r="BJ43" s="106">
        <f>IF(BJ$3="Forecast",BI43,'BS - CF Actuals'!BN116)</f>
        <v>1930197.24</v>
      </c>
      <c r="BK43" s="106">
        <f>IF(BK$3="Forecast",BJ43,'BS - CF Actuals'!BO116)</f>
        <v>1930197.24</v>
      </c>
      <c r="BL43" s="106">
        <f>IF(BL$3="Forecast",BK43,'BS - CF Actuals'!BP116)</f>
        <v>1930197.24</v>
      </c>
      <c r="BM43" s="106">
        <f>IF(BM$3="Forecast",BL43,'BS - CF Actuals'!BQ116)</f>
        <v>1930197.24</v>
      </c>
      <c r="BN43" s="106">
        <f>IF(BN$3="Forecast",BM43,'BS - CF Actuals'!BR116)</f>
        <v>1930197.24</v>
      </c>
      <c r="BO43" s="106">
        <f>IF(BO$3="Forecast",BN43,'BS - CF Actuals'!BS116)</f>
        <v>1930197.24</v>
      </c>
      <c r="BP43" s="106">
        <f>IF(BP$3="Forecast",BO43,'BS - CF Actuals'!BT116)</f>
        <v>1930197.24</v>
      </c>
      <c r="BQ43" s="106">
        <f>IF(BQ$3="Forecast",BP43,'BS - CF Actuals'!BU116)</f>
        <v>1930197.24</v>
      </c>
      <c r="BR43" s="106">
        <f>IF(BR$3="Forecast",BQ43,'BS - CF Actuals'!BV116)</f>
        <v>1930197.24</v>
      </c>
      <c r="BS43" s="106">
        <f>IF(BS$3="Forecast",BR43,'BS - CF Actuals'!BW116)</f>
        <v>1930197.24</v>
      </c>
      <c r="BT43" s="106">
        <f>IF(BT$3="Forecast",BS43,'BS - CF Actuals'!BX116)</f>
        <v>1930197.24</v>
      </c>
      <c r="BU43" s="106">
        <f>IF(BU$3="Forecast",BT43,'BS - CF Actuals'!BY116)</f>
        <v>1930197.24</v>
      </c>
      <c r="BV43" s="106">
        <f>IF(BV$3="Forecast",BU43,'BS - CF Actuals'!BZ116)</f>
        <v>1930197.24</v>
      </c>
      <c r="BW43" s="106">
        <f>IF(BW$3="Forecast",BV43,'BS - CF Actuals'!CA116)</f>
        <v>1930197.24</v>
      </c>
      <c r="BX43" s="106">
        <f>IF(BX$3="Forecast",BW43,'BS - CF Actuals'!CB116)</f>
        <v>1930197.24</v>
      </c>
      <c r="BY43" s="106">
        <f>IF(BY$3="Forecast",BX43,'BS - CF Actuals'!CC116)</f>
        <v>1930197.24</v>
      </c>
    </row>
    <row r="44" spans="1:77" hidden="1" x14ac:dyDescent="0.2">
      <c r="B44" s="131" t="s">
        <v>377</v>
      </c>
      <c r="D44" s="106">
        <f>IF(D$3="Forecast",A44,'BS - CF Actuals'!H123)</f>
        <v>0</v>
      </c>
      <c r="E44" s="106">
        <f>IF(E$3="Forecast",B44,'BS - CF Actuals'!I123)</f>
        <v>-1225000</v>
      </c>
      <c r="F44" s="106">
        <f>IF(F$3="Forecast",C44,'BS - CF Actuals'!J123)</f>
        <v>-2335798.7999999998</v>
      </c>
      <c r="G44" s="106">
        <f>IF(G$3="Forecast",F44,'BS - CF Actuals'!K123)</f>
        <v>-2873432.8</v>
      </c>
      <c r="H44" s="106">
        <f>IF(H$3="Forecast",G44,'BS - CF Actuals'!L123)</f>
        <v>-3123432.8</v>
      </c>
      <c r="I44" s="106">
        <f>IF(I$3="Forecast",H44,'BS - CF Actuals'!M123)</f>
        <v>-3661066.8</v>
      </c>
      <c r="J44" s="106">
        <f>IF(J$3="Forecast",I44,'BS - CF Actuals'!N123)</f>
        <v>-3861066.8000000003</v>
      </c>
      <c r="K44" s="106">
        <f>IF(K$3="Forecast",J44,'BS - CF Actuals'!O123)</f>
        <v>-4161066.8000000003</v>
      </c>
      <c r="L44" s="106">
        <f>IF(L$3="Forecast",K44,'BS - CF Actuals'!P123)</f>
        <v>-4361066.8000000007</v>
      </c>
      <c r="M44" s="106">
        <f>IF(M$3="Forecast",L44,'BS - CF Actuals'!Q123)</f>
        <v>-4361066.8000000007</v>
      </c>
      <c r="N44" s="106">
        <f>IF(N$3="Forecast",M44,'BS - CF Actuals'!R123)</f>
        <v>-5161066.8</v>
      </c>
      <c r="O44" s="106">
        <f>IF(O$3="Forecast",N44,'BS - CF Actuals'!S123)</f>
        <v>-5761066.7999999998</v>
      </c>
      <c r="P44" s="106">
        <f>IF(P$3="Forecast",O44,'BS - CF Actuals'!T123)</f>
        <v>-6836336.8000000007</v>
      </c>
      <c r="Q44" s="106">
        <f>IF(Q$3="Forecast",P44,'BS - CF Actuals'!U123)</f>
        <v>0</v>
      </c>
      <c r="R44" s="106">
        <f>IF(R$3="Forecast",Q44,'BS - CF Actuals'!V123)</f>
        <v>0</v>
      </c>
      <c r="S44" s="106">
        <f>IF(S$3="Forecast",R44,'BS - CF Actuals'!W123)</f>
        <v>0</v>
      </c>
      <c r="T44" s="106">
        <f>IF(T$3="Forecast",S44,'BS - CF Actuals'!X123)</f>
        <v>0</v>
      </c>
      <c r="U44" s="106">
        <f>IF(U$3="Forecast",T44,'BS - CF Actuals'!Y123)</f>
        <v>0</v>
      </c>
      <c r="V44" s="106">
        <f>IF(V$3="Forecast",U44,'BS - CF Actuals'!Z123)</f>
        <v>0</v>
      </c>
      <c r="W44" s="106">
        <f>IF(W$3="Forecast",V44,'BS - CF Actuals'!AA123)</f>
        <v>0</v>
      </c>
      <c r="X44" s="106">
        <f>IF(X$3="Forecast",W44,'BS - CF Actuals'!AB123)</f>
        <v>0</v>
      </c>
      <c r="Y44" s="106">
        <f>IF(Y$3="Forecast",X44,'BS - CF Actuals'!AC123)</f>
        <v>0</v>
      </c>
      <c r="Z44" s="106">
        <f>IF(Z$3="Forecast",Y44,'BS - CF Actuals'!AD123)</f>
        <v>0</v>
      </c>
      <c r="AA44" s="106">
        <f>IF(AA$3="Forecast",Z44,'BS - CF Actuals'!AE123)</f>
        <v>0</v>
      </c>
      <c r="AB44" s="106">
        <f>IF(AB$3="Forecast",AA44,'BS - CF Actuals'!AF123)</f>
        <v>0</v>
      </c>
      <c r="AC44" s="106">
        <f>IF(AC$3="Forecast",AB44,'BS - CF Actuals'!AG123)</f>
        <v>0</v>
      </c>
      <c r="AD44" s="106">
        <f>IF(AD$3="Forecast",AC44,'BS - CF Actuals'!AH123)</f>
        <v>0</v>
      </c>
      <c r="AE44" s="106">
        <f>IF(AE$3="Forecast",AD44,'BS - CF Actuals'!AI123)</f>
        <v>0</v>
      </c>
      <c r="AF44" s="106">
        <f>IF(AF$3="Forecast",AE44,'BS - CF Actuals'!AJ123)</f>
        <v>0</v>
      </c>
      <c r="AG44" s="106">
        <f>IF(AG$3="Forecast",AF44,'BS - CF Actuals'!AK123)</f>
        <v>0</v>
      </c>
      <c r="AH44" s="106">
        <f>IF(AH$3="Forecast",AG44,'BS - CF Actuals'!AL123)</f>
        <v>0</v>
      </c>
      <c r="AI44" s="106">
        <f>IF(AI$3="Forecast",AH44,'BS - CF Actuals'!AM123)</f>
        <v>0</v>
      </c>
      <c r="AJ44" s="106">
        <f>IF(AJ$3="Forecast",AI44,'BS - CF Actuals'!AN123)</f>
        <v>0</v>
      </c>
      <c r="AK44" s="106">
        <f>IF(AK$3="Forecast",AJ44,'BS - CF Actuals'!AO123)</f>
        <v>0</v>
      </c>
      <c r="AL44" s="106">
        <f>IF(AL$3="Forecast",AK44,'BS - CF Actuals'!AP123)</f>
        <v>0</v>
      </c>
      <c r="AM44" s="106">
        <f>IF(AM$3="Forecast",AL44,'BS - CF Actuals'!AQ123)</f>
        <v>0</v>
      </c>
      <c r="AN44" s="106">
        <f>IF(AN$3="Forecast",AM44,'BS - CF Actuals'!AR123)</f>
        <v>0</v>
      </c>
      <c r="AO44" s="106">
        <f>IF(AO$3="Forecast",AN44,'BS - CF Actuals'!AS123)</f>
        <v>0</v>
      </c>
      <c r="AP44" s="106">
        <f>IF(AP$3="Forecast",AO44,'BS - CF Actuals'!AT123)</f>
        <v>0</v>
      </c>
      <c r="AQ44" s="106">
        <f>IF(AQ$3="Forecast",AP44,'BS - CF Actuals'!AU123)</f>
        <v>0</v>
      </c>
      <c r="AR44" s="106">
        <f>IF(AR$3="Forecast",AQ44,'BS - CF Actuals'!AV123)</f>
        <v>0</v>
      </c>
      <c r="AS44" s="106">
        <f>IF(AS$3="Forecast",AR44,'BS - CF Actuals'!AW123)</f>
        <v>0</v>
      </c>
      <c r="AT44" s="106">
        <f>IF(AT$3="Forecast",AS44,'BS - CF Actuals'!AX123)</f>
        <v>0</v>
      </c>
      <c r="AU44" s="106">
        <f>IF(AU$3="Forecast",AT44,'BS - CF Actuals'!AY123)</f>
        <v>0</v>
      </c>
      <c r="AV44" s="106">
        <f>IF(AV$3="Forecast",AU44,'BS - CF Actuals'!AZ123)</f>
        <v>0</v>
      </c>
      <c r="AW44" s="106">
        <f>IF(AW$3="Forecast",AV44,'BS - CF Actuals'!BA123)</f>
        <v>0</v>
      </c>
      <c r="AX44" s="106">
        <f>IF(AX$3="Forecast",AW44,'BS - CF Actuals'!BB123)</f>
        <v>0</v>
      </c>
      <c r="AY44" s="106">
        <f>IF(AY$3="Forecast",AX44,'BS - CF Actuals'!BC123)</f>
        <v>0</v>
      </c>
      <c r="AZ44" s="106">
        <f>IF(AZ$3="Forecast",AY44,'BS - CF Actuals'!BD123)</f>
        <v>0</v>
      </c>
      <c r="BA44" s="106">
        <f>IF(BA$3="Forecast",AZ44,'BS - CF Actuals'!BE123)</f>
        <v>0</v>
      </c>
      <c r="BB44" s="106">
        <f>IF(BB$3="Forecast",BA44,'BS - CF Actuals'!BF123)</f>
        <v>0</v>
      </c>
      <c r="BC44" s="106">
        <f>IF(BC$3="Forecast",BB44,'BS - CF Actuals'!BG123)</f>
        <v>0</v>
      </c>
      <c r="BD44" s="106">
        <f>IF(BD$3="Forecast",BC44,'BS - CF Actuals'!BH123)</f>
        <v>0</v>
      </c>
      <c r="BE44" s="106">
        <f>IF(BE$3="Forecast",BD44,'BS - CF Actuals'!BI123)</f>
        <v>0</v>
      </c>
      <c r="BF44" s="106">
        <f>IF(BF$3="Forecast",BE44,'BS - CF Actuals'!BJ123)</f>
        <v>0</v>
      </c>
      <c r="BG44" s="106">
        <f>IF(BG$3="Forecast",BF44,'BS - CF Actuals'!BK123)</f>
        <v>0</v>
      </c>
      <c r="BH44" s="106">
        <f>IF(BH$3="Forecast",BG44,'BS - CF Actuals'!BL123)</f>
        <v>0</v>
      </c>
      <c r="BI44" s="106">
        <f>IF(BI$3="Forecast",BH44,'BS - CF Actuals'!BM123)</f>
        <v>0</v>
      </c>
      <c r="BJ44" s="106">
        <f>IF(BJ$3="Forecast",BI44,'BS - CF Actuals'!BN123)</f>
        <v>0</v>
      </c>
      <c r="BK44" s="106">
        <f>IF(BK$3="Forecast",BJ44,'BS - CF Actuals'!BO123)</f>
        <v>0</v>
      </c>
      <c r="BL44" s="106">
        <f>IF(BL$3="Forecast",BK44,'BS - CF Actuals'!BP123)</f>
        <v>0</v>
      </c>
      <c r="BM44" s="106">
        <f>IF(BM$3="Forecast",BL44,'BS - CF Actuals'!BQ123)</f>
        <v>0</v>
      </c>
      <c r="BN44" s="106">
        <f>IF(BN$3="Forecast",BM44,'BS - CF Actuals'!BR123)</f>
        <v>0</v>
      </c>
      <c r="BO44" s="106">
        <f>IF(BO$3="Forecast",BN44,'BS - CF Actuals'!BS123)</f>
        <v>0</v>
      </c>
      <c r="BP44" s="106">
        <f>IF(BP$3="Forecast",BO44,'BS - CF Actuals'!BT123)</f>
        <v>0</v>
      </c>
      <c r="BQ44" s="106">
        <f>IF(BQ$3="Forecast",BP44,'BS - CF Actuals'!BU123)</f>
        <v>0</v>
      </c>
      <c r="BR44" s="106">
        <f>IF(BR$3="Forecast",BQ44,'BS - CF Actuals'!BV123)</f>
        <v>0</v>
      </c>
      <c r="BS44" s="106">
        <f>IF(BS$3="Forecast",BR44,'BS - CF Actuals'!BW123)</f>
        <v>0</v>
      </c>
      <c r="BT44" s="106">
        <f>IF(BT$3="Forecast",BS44,'BS - CF Actuals'!BX123)</f>
        <v>0</v>
      </c>
      <c r="BU44" s="106">
        <f>IF(BU$3="Forecast",BT44,'BS - CF Actuals'!BY123)</f>
        <v>0</v>
      </c>
      <c r="BV44" s="106">
        <f>IF(BV$3="Forecast",BU44,'BS - CF Actuals'!BZ123)</f>
        <v>0</v>
      </c>
      <c r="BW44" s="106">
        <f>IF(BW$3="Forecast",BV44,'BS - CF Actuals'!CA123)</f>
        <v>0</v>
      </c>
      <c r="BX44" s="106">
        <f>IF(BX$3="Forecast",BW44,'BS - CF Actuals'!CB123)</f>
        <v>0</v>
      </c>
      <c r="BY44" s="106">
        <f>IF(BY$3="Forecast",BX44,'BS - CF Actuals'!CC123)</f>
        <v>0</v>
      </c>
    </row>
    <row r="45" spans="1:77" x14ac:dyDescent="0.2">
      <c r="B45" s="582" t="s">
        <v>716</v>
      </c>
      <c r="D45" s="106"/>
      <c r="E45" s="106"/>
      <c r="F45" s="106"/>
      <c r="G45" s="106"/>
      <c r="H45" s="106"/>
      <c r="I45" s="106"/>
      <c r="J45" s="106"/>
      <c r="K45" s="106"/>
      <c r="L45" s="106"/>
      <c r="M45" s="106"/>
      <c r="N45" s="106"/>
      <c r="O45" s="106"/>
      <c r="P45" s="106"/>
      <c r="Q45" s="106"/>
      <c r="R45" s="106"/>
      <c r="S45" s="106"/>
      <c r="T45" s="106"/>
      <c r="U45" s="106"/>
      <c r="V45" s="106"/>
      <c r="W45" s="106"/>
      <c r="X45" s="106"/>
      <c r="Y45" s="106"/>
      <c r="Z45" s="106"/>
      <c r="AA45" s="106"/>
      <c r="AB45" s="106"/>
      <c r="AC45" s="106"/>
      <c r="AD45" s="106"/>
      <c r="AE45" s="106"/>
      <c r="AF45" s="106"/>
      <c r="AG45" s="106"/>
      <c r="AH45" s="106"/>
      <c r="AI45" s="106"/>
      <c r="AJ45" s="106"/>
      <c r="AK45" s="106"/>
      <c r="AL45" s="106"/>
      <c r="AM45" s="106"/>
      <c r="AN45" s="106"/>
      <c r="AO45" s="106"/>
      <c r="AP45" s="106"/>
      <c r="AQ45" s="106"/>
      <c r="AR45" s="106"/>
      <c r="AS45" s="106"/>
      <c r="AT45" s="106"/>
      <c r="AU45" s="106"/>
      <c r="AV45" s="106"/>
      <c r="AW45" s="106"/>
      <c r="AX45" s="106"/>
      <c r="AY45" s="106"/>
      <c r="AZ45" s="106"/>
      <c r="BA45" s="106"/>
      <c r="BB45" s="106"/>
      <c r="BC45" s="106"/>
      <c r="BD45" s="106"/>
      <c r="BE45" s="106"/>
      <c r="BF45" s="106"/>
      <c r="BG45" s="106"/>
      <c r="BH45" s="106"/>
      <c r="BI45" s="106"/>
      <c r="BJ45" s="106"/>
      <c r="BK45" s="106"/>
      <c r="BL45" s="106"/>
      <c r="BM45" s="106"/>
      <c r="BN45" s="106"/>
      <c r="BO45" s="106"/>
      <c r="BP45" s="106"/>
      <c r="BQ45" s="106"/>
      <c r="BR45" s="106"/>
      <c r="BS45" s="106"/>
      <c r="BT45" s="106"/>
      <c r="BU45" s="106"/>
      <c r="BV45" s="106"/>
      <c r="BW45" s="106"/>
      <c r="BX45" s="106"/>
      <c r="BY45" s="106"/>
    </row>
    <row r="46" spans="1:77" outlineLevel="1" x14ac:dyDescent="0.2">
      <c r="B46" s="581" t="s">
        <v>716</v>
      </c>
      <c r="D46" s="106"/>
      <c r="E46" s="106"/>
      <c r="F46" s="106">
        <f>IF(F$3="Forecast",C46,'BS - CF Actuals'!J112)</f>
        <v>0</v>
      </c>
      <c r="G46" s="106">
        <f>IF(G$3="Forecast",F46,'BS - CF Actuals'!K112)</f>
        <v>0</v>
      </c>
      <c r="H46" s="106">
        <f>IF(H$3="Forecast",G46,'BS - CF Actuals'!L112)</f>
        <v>0</v>
      </c>
      <c r="I46" s="106">
        <f>IF(I$3="Forecast",H46,'BS - CF Actuals'!M112)</f>
        <v>0</v>
      </c>
      <c r="J46" s="106">
        <f>IF(J$3="Forecast",I46,'BS - CF Actuals'!N112)</f>
        <v>0</v>
      </c>
      <c r="K46" s="106">
        <f>IF(K$3="Forecast",J46,'BS - CF Actuals'!O112)</f>
        <v>0</v>
      </c>
      <c r="L46" s="106">
        <f>IF(L$3="Forecast",K46,'BS - CF Actuals'!P112)</f>
        <v>0</v>
      </c>
      <c r="M46" s="106">
        <f>IF(M$3="Forecast",L46,'BS - CF Actuals'!Q112)</f>
        <v>0</v>
      </c>
      <c r="N46" s="106">
        <f>IF(N$3="Forecast",M46,'BS - CF Actuals'!R112)</f>
        <v>0</v>
      </c>
      <c r="O46" s="106">
        <f>IF(O$3="Forecast",N46,'BS - CF Actuals'!S112)</f>
        <v>0</v>
      </c>
      <c r="P46" s="106">
        <f>IF(P$3="Forecast",O46,'BS - CF Actuals'!T112)</f>
        <v>0</v>
      </c>
      <c r="Q46" s="106">
        <f>IF(Q$3="Forecast",P46,'BS - CF Actuals'!U112)</f>
        <v>-535803.63</v>
      </c>
      <c r="R46" s="106">
        <f>IF(R$3="Forecast",Q46,'BS - CF Actuals'!V112)</f>
        <v>-535803.63</v>
      </c>
      <c r="S46" s="106">
        <f>IF(S$3="Forecast",R46,'BS - CF Actuals'!W112)</f>
        <v>-535803.63</v>
      </c>
      <c r="T46" s="106">
        <f>IF(T$3="Forecast",S46,'BS - CF Actuals'!X112)</f>
        <v>-535803.63</v>
      </c>
      <c r="U46" s="106">
        <f>IF(U$3="Forecast",T46,'BS - CF Actuals'!Y112)</f>
        <v>-535803.63</v>
      </c>
      <c r="V46" s="106">
        <f>IF(V$3="Forecast",U46,'BS - CF Actuals'!Z112)</f>
        <v>-535803.63</v>
      </c>
      <c r="W46" s="106">
        <f>IF(W$3="Forecast",V46,'BS - CF Actuals'!AA112)</f>
        <v>-535803.63</v>
      </c>
      <c r="X46" s="106">
        <f>IF(X$3="Forecast",W46,'BS - CF Actuals'!AB112)</f>
        <v>-535803.63</v>
      </c>
      <c r="Y46" s="106">
        <f>IF(Y$3="Forecast",X46,'BS - CF Actuals'!AC112)</f>
        <v>-535803.63</v>
      </c>
      <c r="Z46" s="106">
        <f>IF(Z$3="Forecast",Y46,'BS - CF Actuals'!AD112)</f>
        <v>-535803.63</v>
      </c>
      <c r="AA46" s="106">
        <f>IF(AA$3="Forecast",Z46,'BS - CF Actuals'!AE112)</f>
        <v>-535803.63</v>
      </c>
      <c r="AB46" s="106">
        <f>IF(AB$3="Forecast",AA46,'BS - CF Actuals'!AF112)</f>
        <v>-535803.63</v>
      </c>
      <c r="AC46" s="106">
        <f>IF(AC$3="Forecast",AB46,'BS - CF Actuals'!AG112)</f>
        <v>-535803.63</v>
      </c>
      <c r="AD46" s="106">
        <f>IF(AD$3="Forecast",AC46,'BS - CF Actuals'!AH112)</f>
        <v>-535803.63</v>
      </c>
      <c r="AE46" s="106">
        <f>IF(AE$3="Forecast",AD46,'BS - CF Actuals'!AI112)</f>
        <v>-535803.63</v>
      </c>
      <c r="AF46" s="106">
        <f>IF(AF$3="Forecast",AE46,'BS - CF Actuals'!AJ112)</f>
        <v>-535803.63</v>
      </c>
      <c r="AG46" s="106">
        <f>IF(AG$3="Forecast",AF46,'BS - CF Actuals'!AK112)</f>
        <v>-535803.63</v>
      </c>
      <c r="AH46" s="106">
        <f>IF(AH$3="Forecast",AG46,'BS - CF Actuals'!AL112)</f>
        <v>-535803.63</v>
      </c>
      <c r="AI46" s="106">
        <f>IF(AI$3="Forecast",AH46,'BS - CF Actuals'!AM112)</f>
        <v>-535803.63</v>
      </c>
      <c r="AJ46" s="106">
        <f>IF(AJ$3="Forecast",AI46,'BS - CF Actuals'!AN112)</f>
        <v>-535803.63</v>
      </c>
      <c r="AK46" s="106">
        <f>IF(AK$3="Forecast",AJ46,'BS - CF Actuals'!AO112)</f>
        <v>-535803.63</v>
      </c>
      <c r="AL46" s="106">
        <f>IF(AL$3="Forecast",AK46,'BS - CF Actuals'!AP112)</f>
        <v>-535803.63</v>
      </c>
      <c r="AM46" s="106">
        <f>IF(AM$3="Forecast",AL46,'BS - CF Actuals'!AQ112)</f>
        <v>-535803.63</v>
      </c>
      <c r="AN46" s="106">
        <f>IF(AN$3="Forecast",AM46,'BS - CF Actuals'!AR112)</f>
        <v>-535803.63</v>
      </c>
      <c r="AO46" s="106">
        <f>IF(AO$3="Forecast",AN46,'BS - CF Actuals'!AS112)</f>
        <v>-535803.63</v>
      </c>
      <c r="AP46" s="106">
        <f>IF(AP$3="Forecast",AO46,'BS - CF Actuals'!AT112)</f>
        <v>-535803.63</v>
      </c>
      <c r="AQ46" s="106">
        <f>IF(AQ$3="Forecast",AP46,'BS - CF Actuals'!AU112)</f>
        <v>-535803.63</v>
      </c>
      <c r="AR46" s="106">
        <f>IF(AR$3="Forecast",AQ46,'BS - CF Actuals'!AV112)</f>
        <v>-535803.63</v>
      </c>
      <c r="AS46" s="106">
        <f>IF(AS$3="Forecast",AR46,'BS - CF Actuals'!AW112)</f>
        <v>-535803.63</v>
      </c>
      <c r="AT46" s="106">
        <f>IF(AT$3="Forecast",AS46,'BS - CF Actuals'!AX112)</f>
        <v>-535803.63</v>
      </c>
      <c r="AU46" s="106">
        <f>IF(AU$3="Forecast",AT46,'BS - CF Actuals'!AY112)</f>
        <v>-535803.63</v>
      </c>
      <c r="AV46" s="106">
        <f>IF(AV$3="Forecast",AU46,'BS - CF Actuals'!AZ112)</f>
        <v>-535803.63</v>
      </c>
      <c r="AW46" s="106">
        <f>IF(AW$3="Forecast",AV46,'BS - CF Actuals'!BA112)</f>
        <v>-535803.63</v>
      </c>
      <c r="AX46" s="106">
        <f>IF(AX$3="Forecast",AW46,'BS - CF Actuals'!BB112)</f>
        <v>-535803.63</v>
      </c>
      <c r="AY46" s="106">
        <f>IF(AY$3="Forecast",AX46,'BS - CF Actuals'!BC112)</f>
        <v>-535803.63</v>
      </c>
      <c r="AZ46" s="106">
        <f>IF(AZ$3="Forecast",AY46,'BS - CF Actuals'!BD112)</f>
        <v>-535803.63</v>
      </c>
      <c r="BA46" s="106">
        <f>IF(BA$3="Forecast",AZ46,'BS - CF Actuals'!BE112)</f>
        <v>-535803.63</v>
      </c>
      <c r="BB46" s="106">
        <f>IF(BB$3="Forecast",BA46,'BS - CF Actuals'!BF112)</f>
        <v>-535803.63</v>
      </c>
      <c r="BC46" s="106">
        <f>IF(BC$3="Forecast",BB46,'BS - CF Actuals'!BG112)</f>
        <v>-535803.63</v>
      </c>
      <c r="BD46" s="106">
        <f>IF(BD$3="Forecast",BC46,'BS - CF Actuals'!BH112)</f>
        <v>-535803.63</v>
      </c>
      <c r="BE46" s="106">
        <f>IF(BE$3="Forecast",BD46,'BS - CF Actuals'!BI112)</f>
        <v>-535803.63</v>
      </c>
      <c r="BF46" s="106">
        <f>IF(BF$3="Forecast",BE46,'BS - CF Actuals'!BJ112)</f>
        <v>-535803.63</v>
      </c>
      <c r="BG46" s="106">
        <f>IF(BG$3="Forecast",BF46,'BS - CF Actuals'!BK112)</f>
        <v>-535803.63</v>
      </c>
      <c r="BH46" s="106">
        <f>IF(BH$3="Forecast",BG46,'BS - CF Actuals'!BL112)</f>
        <v>-535803.63</v>
      </c>
      <c r="BI46" s="106">
        <f>IF(BI$3="Forecast",BH46,'BS - CF Actuals'!BM112)</f>
        <v>-535803.63</v>
      </c>
      <c r="BJ46" s="106">
        <f>IF(BJ$3="Forecast",BI46,'BS - CF Actuals'!BN112)</f>
        <v>-535803.63</v>
      </c>
      <c r="BK46" s="106">
        <f>IF(BK$3="Forecast",BJ46,'BS - CF Actuals'!BO112)</f>
        <v>-535803.63</v>
      </c>
      <c r="BL46" s="106">
        <f>IF(BL$3="Forecast",BK46,'BS - CF Actuals'!BP112)</f>
        <v>-535803.63</v>
      </c>
      <c r="BM46" s="106">
        <f>IF(BM$3="Forecast",BL46,'BS - CF Actuals'!BQ112)</f>
        <v>-535803.63</v>
      </c>
      <c r="BN46" s="106">
        <f>IF(BN$3="Forecast",BM46,'BS - CF Actuals'!BR112)</f>
        <v>-535803.63</v>
      </c>
      <c r="BO46" s="106">
        <f>IF(BO$3="Forecast",BN46,'BS - CF Actuals'!BS112)</f>
        <v>-535803.63</v>
      </c>
      <c r="BP46" s="106">
        <f>IF(BP$3="Forecast",BO46,'BS - CF Actuals'!BT112)</f>
        <v>-535803.63</v>
      </c>
      <c r="BQ46" s="106">
        <f>IF(BQ$3="Forecast",BP46,'BS - CF Actuals'!BU112)</f>
        <v>-535803.63</v>
      </c>
      <c r="BR46" s="106">
        <f>IF(BR$3="Forecast",BQ46,'BS - CF Actuals'!BV112)</f>
        <v>-535803.63</v>
      </c>
      <c r="BS46" s="106">
        <f>IF(BS$3="Forecast",BR46,'BS - CF Actuals'!BW112)</f>
        <v>-535803.63</v>
      </c>
      <c r="BT46" s="106">
        <f>IF(BT$3="Forecast",BS46,'BS - CF Actuals'!BX112)</f>
        <v>-535803.63</v>
      </c>
      <c r="BU46" s="106">
        <f>IF(BU$3="Forecast",BT46,'BS - CF Actuals'!BY112)</f>
        <v>-535803.63</v>
      </c>
      <c r="BV46" s="106">
        <f>IF(BV$3="Forecast",BU46,'BS - CF Actuals'!BZ112)</f>
        <v>-535803.63</v>
      </c>
      <c r="BW46" s="106">
        <f>IF(BW$3="Forecast",BV46,'BS - CF Actuals'!CA112)</f>
        <v>-535803.63</v>
      </c>
      <c r="BX46" s="106">
        <f>IF(BX$3="Forecast",BW46,'BS - CF Actuals'!CB112)</f>
        <v>-535803.63</v>
      </c>
      <c r="BY46" s="106">
        <f>IF(BY$3="Forecast",BX46,'BS - CF Actuals'!CC112)</f>
        <v>-535803.63</v>
      </c>
    </row>
    <row r="47" spans="1:77" outlineLevel="1" x14ac:dyDescent="0.2">
      <c r="B47" s="581" t="s">
        <v>752</v>
      </c>
      <c r="D47" s="106"/>
      <c r="E47" s="106"/>
      <c r="F47" s="106">
        <f>IF(F$3="Forecast",C47,'BS - CF Actuals'!J113)</f>
        <v>0</v>
      </c>
      <c r="G47" s="106">
        <f>IF(G$3="Forecast",F47,'BS - CF Actuals'!K113)</f>
        <v>0</v>
      </c>
      <c r="H47" s="106">
        <f>IF(H$3="Forecast",G47,'BS - CF Actuals'!L113)</f>
        <v>0</v>
      </c>
      <c r="I47" s="106">
        <f>IF(I$3="Forecast",H47,'BS - CF Actuals'!M113)</f>
        <v>0</v>
      </c>
      <c r="J47" s="106">
        <f>IF(J$3="Forecast",I47,'BS - CF Actuals'!N113)</f>
        <v>0</v>
      </c>
      <c r="K47" s="106">
        <f>IF(K$3="Forecast",J47,'BS - CF Actuals'!O113)</f>
        <v>0</v>
      </c>
      <c r="L47" s="106">
        <f>IF(L$3="Forecast",K47,'BS - CF Actuals'!P113)</f>
        <v>0</v>
      </c>
      <c r="M47" s="106">
        <f>IF(M$3="Forecast",L47,'BS - CF Actuals'!Q113)</f>
        <v>0</v>
      </c>
      <c r="N47" s="106">
        <f>IF(N$3="Forecast",M47,'BS - CF Actuals'!R113)</f>
        <v>0</v>
      </c>
      <c r="O47" s="106">
        <f>IF(O$3="Forecast",N47,'BS - CF Actuals'!S113)</f>
        <v>0</v>
      </c>
      <c r="P47" s="106">
        <f>IF(P$3="Forecast",O47,'BS - CF Actuals'!T113)</f>
        <v>0</v>
      </c>
      <c r="Q47" s="106">
        <f>IF(Q$3="Forecast",P47,'BS - CF Actuals'!U113)</f>
        <v>-2084409.93</v>
      </c>
      <c r="R47" s="106">
        <f>IF(R$3="Forecast",Q47,'BS - CF Actuals'!V113)</f>
        <v>-2084409.93</v>
      </c>
      <c r="S47" s="106">
        <f>IF(S$3="Forecast",R47,'BS - CF Actuals'!W113)</f>
        <v>-2084409.93</v>
      </c>
      <c r="T47" s="106">
        <f>IF(T$3="Forecast",S47,'BS - CF Actuals'!X113)</f>
        <v>-2084409.93</v>
      </c>
      <c r="U47" s="106">
        <f>IF(U$3="Forecast",T47,'BS - CF Actuals'!Y113)</f>
        <v>-2084409.93</v>
      </c>
      <c r="V47" s="106">
        <f>IF(V$3="Forecast",U47,'BS - CF Actuals'!Z113)</f>
        <v>-2084409.93</v>
      </c>
      <c r="W47" s="106">
        <f>IF(W$3="Forecast",V47,'BS - CF Actuals'!AA113)</f>
        <v>-2084409.93</v>
      </c>
      <c r="X47" s="106">
        <f>IF(X$3="Forecast",W47,'BS - CF Actuals'!AB113)</f>
        <v>-2084409.93</v>
      </c>
      <c r="Y47" s="106">
        <f>IF(Y$3="Forecast",X47,'BS - CF Actuals'!AC113)</f>
        <v>-2084409.93</v>
      </c>
      <c r="Z47" s="106">
        <f>IF(Z$3="Forecast",Y47,'BS - CF Actuals'!AD113)</f>
        <v>-2084409.93</v>
      </c>
      <c r="AA47" s="106">
        <f>IF(AA$3="Forecast",Z47,'BS - CF Actuals'!AE113)</f>
        <v>-2084409.93</v>
      </c>
      <c r="AB47" s="106">
        <f>IF(AB$3="Forecast",AA47,'BS - CF Actuals'!AF113)</f>
        <v>-2084409.93</v>
      </c>
      <c r="AC47" s="106">
        <f>IF(AC$3="Forecast",AB47,'BS - CF Actuals'!AG113)</f>
        <v>-2084409.93</v>
      </c>
      <c r="AD47" s="106">
        <f>IF(AD$3="Forecast",AC47,'BS - CF Actuals'!AH113)</f>
        <v>-2084409.93</v>
      </c>
      <c r="AE47" s="106">
        <f>IF(AE$3="Forecast",AD47,'BS - CF Actuals'!AI113)</f>
        <v>-2084409.93</v>
      </c>
      <c r="AF47" s="106">
        <f>IF(AF$3="Forecast",AE47,'BS - CF Actuals'!AJ113)</f>
        <v>-2084409.93</v>
      </c>
      <c r="AG47" s="106">
        <f>IF(AG$3="Forecast",AF47,'BS - CF Actuals'!AK113)</f>
        <v>-2084409.93</v>
      </c>
      <c r="AH47" s="106">
        <f>IF(AH$3="Forecast",AG47,'BS - CF Actuals'!AL113)</f>
        <v>-2084409.93</v>
      </c>
      <c r="AI47" s="106">
        <f>IF(AI$3="Forecast",AH47,'BS - CF Actuals'!AM113)</f>
        <v>-2084409.93</v>
      </c>
      <c r="AJ47" s="106">
        <f>IF(AJ$3="Forecast",AI47,'BS - CF Actuals'!AN113)</f>
        <v>-2084409.93</v>
      </c>
      <c r="AK47" s="106">
        <f>IF(AK$3="Forecast",AJ47,'BS - CF Actuals'!AO113)</f>
        <v>-2084409.93</v>
      </c>
      <c r="AL47" s="106">
        <f>IF(AL$3="Forecast",AK47,'BS - CF Actuals'!AP113)</f>
        <v>-2084409.93</v>
      </c>
      <c r="AM47" s="106">
        <f>IF(AM$3="Forecast",AL47,'BS - CF Actuals'!AQ113)</f>
        <v>-2084409.93</v>
      </c>
      <c r="AN47" s="106">
        <f>IF(AN$3="Forecast",AM47,'BS - CF Actuals'!AR113)</f>
        <v>-2084409.93</v>
      </c>
      <c r="AO47" s="106">
        <f>IF(AO$3="Forecast",AN47,'BS - CF Actuals'!AS113)</f>
        <v>-2084409.93</v>
      </c>
      <c r="AP47" s="106">
        <f>IF(AP$3="Forecast",AO47,'BS - CF Actuals'!AT113)</f>
        <v>-2084409.93</v>
      </c>
      <c r="AQ47" s="106">
        <f>IF(AQ$3="Forecast",AP47,'BS - CF Actuals'!AU113)</f>
        <v>-2084409.93</v>
      </c>
      <c r="AR47" s="106">
        <f>IF(AR$3="Forecast",AQ47,'BS - CF Actuals'!AV113)</f>
        <v>-2084409.93</v>
      </c>
      <c r="AS47" s="106">
        <f>IF(AS$3="Forecast",AR47,'BS - CF Actuals'!AW113)</f>
        <v>-2084409.93</v>
      </c>
      <c r="AT47" s="106">
        <f>IF(AT$3="Forecast",AS47,'BS - CF Actuals'!AX113)</f>
        <v>-2084409.93</v>
      </c>
      <c r="AU47" s="106">
        <f>IF(AU$3="Forecast",AT47,'BS - CF Actuals'!AY113)</f>
        <v>-2084409.93</v>
      </c>
      <c r="AV47" s="106">
        <f>IF(AV$3="Forecast",AU47,'BS - CF Actuals'!AZ113)</f>
        <v>-2084409.93</v>
      </c>
      <c r="AW47" s="106">
        <f>IF(AW$3="Forecast",AV47,'BS - CF Actuals'!BA113)</f>
        <v>-2084409.93</v>
      </c>
      <c r="AX47" s="106">
        <f>IF(AX$3="Forecast",AW47,'BS - CF Actuals'!BB113)</f>
        <v>-2084409.93</v>
      </c>
      <c r="AY47" s="106">
        <f>IF(AY$3="Forecast",AX47,'BS - CF Actuals'!BC113)</f>
        <v>-2084409.93</v>
      </c>
      <c r="AZ47" s="106">
        <f>IF(AZ$3="Forecast",AY47,'BS - CF Actuals'!BD113)</f>
        <v>-2084409.93</v>
      </c>
      <c r="BA47" s="106">
        <f>IF(BA$3="Forecast",AZ47,'BS - CF Actuals'!BE113)</f>
        <v>-2084409.93</v>
      </c>
      <c r="BB47" s="106">
        <f>IF(BB$3="Forecast",BA47,'BS - CF Actuals'!BF113)</f>
        <v>-2084409.93</v>
      </c>
      <c r="BC47" s="106">
        <f>IF(BC$3="Forecast",BB47,'BS - CF Actuals'!BG113)</f>
        <v>-2084409.93</v>
      </c>
      <c r="BD47" s="106">
        <f>IF(BD$3="Forecast",BC47,'BS - CF Actuals'!BH113)</f>
        <v>-2084409.93</v>
      </c>
      <c r="BE47" s="106">
        <f>IF(BE$3="Forecast",BD47,'BS - CF Actuals'!BI113)</f>
        <v>-2084409.93</v>
      </c>
      <c r="BF47" s="106">
        <f>IF(BF$3="Forecast",BE47,'BS - CF Actuals'!BJ113)</f>
        <v>-2084409.93</v>
      </c>
      <c r="BG47" s="106">
        <f>IF(BG$3="Forecast",BF47,'BS - CF Actuals'!BK113)</f>
        <v>-2084409.93</v>
      </c>
      <c r="BH47" s="106">
        <f>IF(BH$3="Forecast",BG47,'BS - CF Actuals'!BL113)</f>
        <v>-2084409.93</v>
      </c>
      <c r="BI47" s="106">
        <f>IF(BI$3="Forecast",BH47,'BS - CF Actuals'!BM113)</f>
        <v>-2084409.93</v>
      </c>
      <c r="BJ47" s="106">
        <f>IF(BJ$3="Forecast",BI47,'BS - CF Actuals'!BN113)</f>
        <v>-2084409.93</v>
      </c>
      <c r="BK47" s="106">
        <f>IF(BK$3="Forecast",BJ47,'BS - CF Actuals'!BO113)</f>
        <v>-2084409.93</v>
      </c>
      <c r="BL47" s="106">
        <f>IF(BL$3="Forecast",BK47,'BS - CF Actuals'!BP113)</f>
        <v>-2084409.93</v>
      </c>
      <c r="BM47" s="106">
        <f>IF(BM$3="Forecast",BL47,'BS - CF Actuals'!BQ113)</f>
        <v>-2084409.93</v>
      </c>
      <c r="BN47" s="106">
        <f>IF(BN$3="Forecast",BM47,'BS - CF Actuals'!BR113)</f>
        <v>-2084409.93</v>
      </c>
      <c r="BO47" s="106">
        <f>IF(BO$3="Forecast",BN47,'BS - CF Actuals'!BS113)</f>
        <v>-2084409.93</v>
      </c>
      <c r="BP47" s="106">
        <f>IF(BP$3="Forecast",BO47,'BS - CF Actuals'!BT113)</f>
        <v>-2084409.93</v>
      </c>
      <c r="BQ47" s="106">
        <f>IF(BQ$3="Forecast",BP47,'BS - CF Actuals'!BU113)</f>
        <v>-2084409.93</v>
      </c>
      <c r="BR47" s="106">
        <f>IF(BR$3="Forecast",BQ47,'BS - CF Actuals'!BV113)</f>
        <v>-2084409.93</v>
      </c>
      <c r="BS47" s="106">
        <f>IF(BS$3="Forecast",BR47,'BS - CF Actuals'!BW113)</f>
        <v>-2084409.93</v>
      </c>
      <c r="BT47" s="106">
        <f>IF(BT$3="Forecast",BS47,'BS - CF Actuals'!BX113)</f>
        <v>-2084409.93</v>
      </c>
      <c r="BU47" s="106">
        <f>IF(BU$3="Forecast",BT47,'BS - CF Actuals'!BY113)</f>
        <v>-2084409.93</v>
      </c>
      <c r="BV47" s="106">
        <f>IF(BV$3="Forecast",BU47,'BS - CF Actuals'!BZ113)</f>
        <v>-2084409.93</v>
      </c>
      <c r="BW47" s="106">
        <f>IF(BW$3="Forecast",BV47,'BS - CF Actuals'!CA113)</f>
        <v>-2084409.93</v>
      </c>
      <c r="BX47" s="106">
        <f>IF(BX$3="Forecast",BW47,'BS - CF Actuals'!CB113)</f>
        <v>-2084409.93</v>
      </c>
      <c r="BY47" s="106">
        <f>IF(BY$3="Forecast",BX47,'BS - CF Actuals'!CC113)</f>
        <v>-2084409.93</v>
      </c>
    </row>
    <row r="48" spans="1:77" outlineLevel="1" x14ac:dyDescent="0.2">
      <c r="B48" s="581" t="s">
        <v>753</v>
      </c>
      <c r="D48" s="106"/>
      <c r="E48" s="106"/>
      <c r="F48" s="106"/>
      <c r="G48" s="106"/>
      <c r="H48" s="106"/>
      <c r="I48" s="106"/>
      <c r="J48" s="106"/>
      <c r="K48" s="106"/>
      <c r="L48" s="106"/>
      <c r="M48" s="106"/>
      <c r="N48" s="106"/>
      <c r="O48" s="106"/>
      <c r="P48" s="106"/>
      <c r="Q48" s="106">
        <f>+'BS - CF Actuals'!U124</f>
        <v>-2523349.13</v>
      </c>
      <c r="R48" s="106">
        <f>IF(R$3="Forecast",Q48,'BS - CF Actuals'!V124)</f>
        <v>0</v>
      </c>
      <c r="S48" s="106">
        <f>IF(S$3="Forecast",R48,'BS - CF Actuals'!W124)</f>
        <v>0</v>
      </c>
      <c r="T48" s="106">
        <f>IF(T$3="Forecast",S48,'BS - CF Actuals'!X124)</f>
        <v>0</v>
      </c>
      <c r="U48" s="106">
        <f>IF(U$3="Forecast",T48,'BS - CF Actuals'!Y124)</f>
        <v>0</v>
      </c>
      <c r="V48" s="106">
        <f>IF(V$3="Forecast",U48,'BS - CF Actuals'!Z124)</f>
        <v>0</v>
      </c>
      <c r="W48" s="106">
        <f>IF(W$3="Forecast",V48,'BS - CF Actuals'!AA124)</f>
        <v>0</v>
      </c>
      <c r="X48" s="106"/>
      <c r="Y48" s="106"/>
      <c r="Z48" s="106"/>
      <c r="AA48" s="106"/>
      <c r="AB48" s="106"/>
      <c r="AC48" s="106"/>
      <c r="AD48" s="106"/>
      <c r="AE48" s="106"/>
      <c r="AF48" s="106"/>
      <c r="AG48" s="106"/>
      <c r="AH48" s="106"/>
      <c r="AI48" s="106"/>
      <c r="AJ48" s="106"/>
      <c r="AK48" s="106"/>
      <c r="AL48" s="106"/>
      <c r="AM48" s="106"/>
      <c r="AN48" s="106"/>
      <c r="AO48" s="106"/>
      <c r="AP48" s="106"/>
      <c r="AQ48" s="106"/>
      <c r="AR48" s="106"/>
      <c r="AS48" s="106"/>
      <c r="AT48" s="106"/>
      <c r="AU48" s="106"/>
      <c r="AV48" s="106"/>
      <c r="AW48" s="106"/>
      <c r="AX48" s="106"/>
      <c r="AY48" s="106"/>
      <c r="AZ48" s="106"/>
      <c r="BA48" s="106"/>
      <c r="BB48" s="106"/>
      <c r="BC48" s="106"/>
      <c r="BD48" s="106"/>
      <c r="BE48" s="106"/>
      <c r="BF48" s="106"/>
      <c r="BG48" s="106"/>
      <c r="BH48" s="106"/>
      <c r="BI48" s="106"/>
      <c r="BJ48" s="106"/>
      <c r="BK48" s="106"/>
      <c r="BL48" s="106"/>
      <c r="BM48" s="106"/>
      <c r="BN48" s="106"/>
      <c r="BO48" s="106"/>
      <c r="BP48" s="106"/>
      <c r="BQ48" s="106"/>
      <c r="BR48" s="106"/>
      <c r="BS48" s="106"/>
      <c r="BT48" s="106"/>
      <c r="BU48" s="106"/>
      <c r="BV48" s="106"/>
      <c r="BW48" s="106"/>
      <c r="BX48" s="106"/>
      <c r="BY48" s="106"/>
    </row>
    <row r="49" spans="1:77" x14ac:dyDescent="0.2">
      <c r="B49" s="131" t="s">
        <v>111</v>
      </c>
      <c r="D49" s="106">
        <f>IF(D$3="Forecast",A49,'BS - CF Actuals'!H115)</f>
        <v>719994.74</v>
      </c>
      <c r="E49" s="106">
        <f>IF(E$3="Forecast",B49,'BS - CF Actuals'!I115)</f>
        <v>417956.25</v>
      </c>
      <c r="F49" s="106">
        <f>IF(F$3="Forecast",C49,'BS - CF Actuals'!J115)</f>
        <v>-168292.07999999984</v>
      </c>
      <c r="G49" s="106">
        <f>IF(G$3="Forecast",F49,'BS - CF Actuals'!K115)</f>
        <v>-168292.07999999984</v>
      </c>
      <c r="H49" s="106">
        <f>IF(H$3="Forecast",G49,'BS - CF Actuals'!L115)</f>
        <v>-168292.07999999984</v>
      </c>
      <c r="I49" s="106">
        <f>IF(I$3="Forecast",H49,'BS - CF Actuals'!M115)</f>
        <v>-168292.07999999984</v>
      </c>
      <c r="J49" s="106">
        <f>IF(J$3="Forecast",I49,'BS - CF Actuals'!N115)</f>
        <v>-168292.07999999984</v>
      </c>
      <c r="K49" s="106">
        <f>IF(K$3="Forecast",J49,'BS - CF Actuals'!O115)</f>
        <v>-168292.07999999984</v>
      </c>
      <c r="L49" s="106">
        <f>IF(L$3="Forecast",K49,'BS - CF Actuals'!P115)</f>
        <v>-168292.07999999984</v>
      </c>
      <c r="M49" s="106">
        <f>IF(M$3="Forecast",L49,'BS - CF Actuals'!Q115)</f>
        <v>-168292.07999999984</v>
      </c>
      <c r="N49" s="106">
        <f>IF(N$3="Forecast",M49,'BS - CF Actuals'!R115)</f>
        <v>-168292.07999999984</v>
      </c>
      <c r="O49" s="106">
        <f>IF(O$3="Forecast",N49,'BS - CF Actuals'!S115)</f>
        <v>-168292.07999999984</v>
      </c>
      <c r="P49" s="106">
        <f>IF(P$3="Forecast",O49,'BS - CF Actuals'!T115)</f>
        <v>-168292.07999999984</v>
      </c>
      <c r="Q49" s="106">
        <f>IF(Q$3="Forecast",P49,'BS - CF Actuals'!U115)</f>
        <v>-168292.08</v>
      </c>
      <c r="R49" s="106">
        <f>IF(R$3="Forecast",Q49,'BS - CF Actuals'!V115)</f>
        <v>1152875.6000000001</v>
      </c>
      <c r="S49" s="106">
        <f>IF(S$3="Forecast",R49,'BS - CF Actuals'!W115)</f>
        <v>1152875.6000000001</v>
      </c>
      <c r="T49" s="106">
        <f>IF(T$3="Forecast",S49,'BS - CF Actuals'!X115)</f>
        <v>1152875.6000000001</v>
      </c>
      <c r="U49" s="106">
        <f>IF(U$3="Forecast",T49,'BS - CF Actuals'!Y115)</f>
        <v>1152875.6000000001</v>
      </c>
      <c r="V49" s="106">
        <f>IF(V$3="Forecast",U49,'BS - CF Actuals'!Z115)</f>
        <v>1152875.6000000001</v>
      </c>
      <c r="W49" s="106">
        <f>IF(W$3="Forecast",V49,'BS - CF Actuals'!AA115)</f>
        <v>1152875.6000000001</v>
      </c>
      <c r="X49" s="106">
        <f>IF(X$3="Forecast",W49,'BS - CF Actuals'!AB115)</f>
        <v>1152875.6000000001</v>
      </c>
      <c r="Y49" s="106">
        <f>IF(Y$3="Forecast",X49,'BS - CF Actuals'!AC115)</f>
        <v>1152875.6000000001</v>
      </c>
      <c r="Z49" s="106">
        <f>IF(Z$3="Forecast",Y49,'BS - CF Actuals'!AD115)</f>
        <v>1152875.6000000001</v>
      </c>
      <c r="AA49" s="106">
        <f>IF(AA$3="Forecast",Z49,'BS - CF Actuals'!AE115)</f>
        <v>1152875.6000000001</v>
      </c>
      <c r="AB49" s="106">
        <f>IF(AB$3="Forecast",AA49,'BS - CF Actuals'!AF115)</f>
        <v>1152875.6000000001</v>
      </c>
      <c r="AC49" s="106">
        <f>IF(AC$3="Forecast",AB49,'BS - CF Actuals'!AG115)</f>
        <v>1152875.6000000001</v>
      </c>
      <c r="AD49" s="106">
        <f>IF(AD$3="Forecast",AC49,'BS - CF Actuals'!AH115)</f>
        <v>-2546998.09</v>
      </c>
      <c r="AE49" s="106">
        <f>IF(AE$3="Forecast",AD49,'BS - CF Actuals'!AI115)</f>
        <v>-2546998.09</v>
      </c>
      <c r="AF49" s="106">
        <f>IF(AF$3="Forecast",AE49,'BS - CF Actuals'!AJ115)</f>
        <v>-2546998.09</v>
      </c>
      <c r="AG49" s="106">
        <f>IF(AG$3="Forecast",AF49,'BS - CF Actuals'!AK115)</f>
        <v>-2546998.09</v>
      </c>
      <c r="AH49" s="106">
        <f>IF(AH$3="Forecast",AG49,'BS - CF Actuals'!AL115)</f>
        <v>-2546998.09</v>
      </c>
      <c r="AI49" s="106">
        <f>IF(AI$3="Forecast",AH49,'BS - CF Actuals'!AM115)</f>
        <v>-2546998.09</v>
      </c>
      <c r="AJ49" s="106">
        <f>IF(AJ$3="Forecast",AI49,'BS - CF Actuals'!AN115)</f>
        <v>-2546998.09</v>
      </c>
      <c r="AK49" s="106">
        <f>IF(AK$3="Forecast",AJ49,'BS - CF Actuals'!AO115)</f>
        <v>-2546998.09</v>
      </c>
      <c r="AL49" s="106">
        <f>IF(AL$3="Forecast",AK49,'BS - CF Actuals'!AP115)</f>
        <v>-2546998.09</v>
      </c>
      <c r="AM49" s="106">
        <f>IF(AM$3="Forecast",AL49,'BS - CF Actuals'!AQ115)</f>
        <v>-2546998.09</v>
      </c>
      <c r="AN49" s="106">
        <f>IF(AN$3="Forecast",AM49,'BS - CF Actuals'!AR115)</f>
        <v>-2546998.09</v>
      </c>
      <c r="AO49" s="106">
        <f>IF(AO$3="Forecast",AN49,'BS - CF Actuals'!AS115)</f>
        <v>-2546998.09</v>
      </c>
      <c r="AP49" s="106">
        <f>IF(AP$3="Forecast",AO49,'BS - CF Actuals'!AT115)</f>
        <v>-2546998.09</v>
      </c>
      <c r="AQ49" s="106">
        <f>IF(AQ$3="Forecast",AP49,'BS - CF Actuals'!AU115)</f>
        <v>-2546998.09</v>
      </c>
      <c r="AR49" s="106">
        <f>IF(AR$3="Forecast",AQ49,'BS - CF Actuals'!AV115)</f>
        <v>-2546998.09</v>
      </c>
      <c r="AS49" s="106">
        <f>IF(AS$3="Forecast",AR49,'BS - CF Actuals'!AW115)</f>
        <v>-2546998.09</v>
      </c>
      <c r="AT49" s="106">
        <f>IF(AT$3="Forecast",AS49,'BS - CF Actuals'!AX115)</f>
        <v>-2546998.09</v>
      </c>
      <c r="AU49" s="106">
        <f>IF(AU$3="Forecast",AT49,'BS - CF Actuals'!AY115)</f>
        <v>-2546998.09</v>
      </c>
      <c r="AV49" s="106">
        <f>IF(AV$3="Forecast",AU49,'BS - CF Actuals'!AZ115)</f>
        <v>-2546998.09</v>
      </c>
      <c r="AW49" s="106">
        <f>IF(AW$3="Forecast",AV49,'BS - CF Actuals'!BA115)</f>
        <v>-2546998.09</v>
      </c>
      <c r="AX49" s="106">
        <f>IF(AX$3="Forecast",AW49,'BS - CF Actuals'!BB115)</f>
        <v>-2546998.09</v>
      </c>
      <c r="AY49" s="106">
        <f>IF(AY$3="Forecast",AX49,'BS - CF Actuals'!BC115)</f>
        <v>-2546998.09</v>
      </c>
      <c r="AZ49" s="106">
        <f>IF(AZ$3="Forecast",AY49,'BS - CF Actuals'!BD115)</f>
        <v>-2546998.09</v>
      </c>
      <c r="BA49" s="106">
        <f>IF(BA$3="Forecast",AZ49,'BS - CF Actuals'!BE115)</f>
        <v>-2546998.09</v>
      </c>
      <c r="BB49" s="106">
        <f>IF(BB$3="Forecast",BA49,'BS - CF Actuals'!BF115)</f>
        <v>-2546998.09</v>
      </c>
      <c r="BC49" s="106">
        <f>IF(BC$3="Forecast",BB49,'BS - CF Actuals'!BG115)</f>
        <v>-2546998.09</v>
      </c>
      <c r="BD49" s="106">
        <f>IF(BD$3="Forecast",BC49,'BS - CF Actuals'!BH115)</f>
        <v>-2546998.09</v>
      </c>
      <c r="BE49" s="106">
        <f>IF(BE$3="Forecast",BD49,'BS - CF Actuals'!BI115)</f>
        <v>-2546998.09</v>
      </c>
      <c r="BF49" s="106">
        <f>IF(BF$3="Forecast",BE49,'BS - CF Actuals'!BJ115)</f>
        <v>-2546998.09</v>
      </c>
      <c r="BG49" s="106">
        <f>IF(BG$3="Forecast",BF49,'BS - CF Actuals'!BK115)</f>
        <v>-2546998.09</v>
      </c>
      <c r="BH49" s="106">
        <f>IF(BH$3="Forecast",BG49,'BS - CF Actuals'!BL115)</f>
        <v>-2546998.09</v>
      </c>
      <c r="BI49" s="106">
        <f>IF(BI$3="Forecast",BH49,'BS - CF Actuals'!BM115)</f>
        <v>-2546998.09</v>
      </c>
      <c r="BJ49" s="106">
        <f>IF(BJ$3="Forecast",BI49,'BS - CF Actuals'!BN115)</f>
        <v>-2546998.09</v>
      </c>
      <c r="BK49" s="106">
        <f>IF(BK$3="Forecast",BJ49,'BS - CF Actuals'!BO115)</f>
        <v>-2546998.09</v>
      </c>
      <c r="BL49" s="106">
        <f>IF(BL$3="Forecast",BK49,'BS - CF Actuals'!BP115)</f>
        <v>-2546998.09</v>
      </c>
      <c r="BM49" s="106">
        <f>IF(BM$3="Forecast",BL49,'BS - CF Actuals'!BQ115)</f>
        <v>-2546998.09</v>
      </c>
      <c r="BN49" s="106">
        <f>IF(BN$3="Forecast",BM49,'BS - CF Actuals'!BR115)</f>
        <v>-2546998.09</v>
      </c>
      <c r="BO49" s="106">
        <f>IF(BO$3="Forecast",BN49,'BS - CF Actuals'!BS115)</f>
        <v>-2546998.09</v>
      </c>
      <c r="BP49" s="106">
        <f>IF(BP$3="Forecast",BO49,'BS - CF Actuals'!BT115)</f>
        <v>-2546998.09</v>
      </c>
      <c r="BQ49" s="106">
        <f>IF(BQ$3="Forecast",BP49,'BS - CF Actuals'!BU115)</f>
        <v>-2546998.09</v>
      </c>
      <c r="BR49" s="106">
        <f>IF(BR$3="Forecast",BQ49,'BS - CF Actuals'!BV115)</f>
        <v>-2546998.09</v>
      </c>
      <c r="BS49" s="106">
        <f>IF(BS$3="Forecast",BR49,'BS - CF Actuals'!BW115)</f>
        <v>-2546998.09</v>
      </c>
      <c r="BT49" s="106">
        <f>IF(BT$3="Forecast",BS49,'BS - CF Actuals'!BX115)</f>
        <v>-2546998.09</v>
      </c>
      <c r="BU49" s="106">
        <f>IF(BU$3="Forecast",BT49,'BS - CF Actuals'!BY115)</f>
        <v>-2546998.09</v>
      </c>
      <c r="BV49" s="106">
        <f>IF(BV$3="Forecast",BU49,'BS - CF Actuals'!BZ115)</f>
        <v>-2546998.09</v>
      </c>
      <c r="BW49" s="106">
        <f>IF(BW$3="Forecast",BV49,'BS - CF Actuals'!CA115)</f>
        <v>-2546998.09</v>
      </c>
      <c r="BX49" s="106">
        <f>IF(BX$3="Forecast",BW49,'BS - CF Actuals'!CB115)</f>
        <v>-2546998.09</v>
      </c>
      <c r="BY49" s="106">
        <f>IF(BY$3="Forecast",BX49,'BS - CF Actuals'!CC115)</f>
        <v>-2546998.09</v>
      </c>
    </row>
    <row r="50" spans="1:77" x14ac:dyDescent="0.2">
      <c r="B50" s="131" t="s">
        <v>112</v>
      </c>
      <c r="D50" s="106">
        <f>IF(D$3="Forecast",A50,'BS - CF Actuals'!H121)</f>
        <v>2033196.46</v>
      </c>
      <c r="E50" s="106">
        <f>IF(E$3="Forecast",B50,'BS - CF Actuals'!I121)</f>
        <v>2750829.39</v>
      </c>
      <c r="F50" s="106">
        <f>IF(F$3="Forecast",C50,'BS - CF Actuals'!J121)</f>
        <v>544376.25148978445</v>
      </c>
      <c r="G50" s="106">
        <f>IF(G$3="Forecast",F50,'BS - CF Actuals'!K121)</f>
        <v>904336.95782144764</v>
      </c>
      <c r="H50" s="106">
        <f>IF(H$3="Forecast",G50,'BS - CF Actuals'!L121)</f>
        <v>1376362.9814017664</v>
      </c>
      <c r="I50" s="106">
        <f>IF(I$3="Forecast",H50,'BS - CF Actuals'!M121)</f>
        <v>1840045.7466944754</v>
      </c>
      <c r="J50" s="106">
        <f>IF(J$3="Forecast",I50,'BS - CF Actuals'!N121)</f>
        <v>2144527.9989315844</v>
      </c>
      <c r="K50" s="106">
        <f>IF(K$3="Forecast",J50,'BS - CF Actuals'!O121)</f>
        <v>2508621.9014422083</v>
      </c>
      <c r="L50" s="106">
        <f>IF(L$3="Forecast",K50,'BS - CF Actuals'!P121)</f>
        <v>2648615.0431994796</v>
      </c>
      <c r="M50" s="106">
        <f>IF(M$3="Forecast",L50,'BS - CF Actuals'!Q121)</f>
        <v>2858457.6912966869</v>
      </c>
      <c r="N50" s="106">
        <f>IF(N$3="Forecast",M50,'BS - CF Actuals'!R121)</f>
        <v>3307091.1880790656</v>
      </c>
      <c r="O50" s="106">
        <f>IF(O$3="Forecast",N50,'BS - CF Actuals'!S121)</f>
        <v>3625821.1036610324</v>
      </c>
      <c r="P50" s="106">
        <f>IF(P$3="Forecast",O50,'BS - CF Actuals'!T121)</f>
        <v>4261091.7951886356</v>
      </c>
      <c r="Q50" s="106">
        <f>IF(Q$3="Forecast",P50,'BS - CF Actuals'!U121)</f>
        <v>3844516.82</v>
      </c>
      <c r="R50" s="106">
        <f>IF(R$3="Forecast",Q50,'BS - CF Actuals'!V121)</f>
        <v>-364100.71</v>
      </c>
      <c r="S50" s="106">
        <f>IF(S$3="Forecast",R50,'BS - CF Actuals'!W121)</f>
        <v>-352068.86</v>
      </c>
      <c r="T50" s="106">
        <f>IF(T$3="Forecast",S50,'BS - CF Actuals'!X121)</f>
        <v>-351999.11</v>
      </c>
      <c r="U50" s="106">
        <f>IF(U$3="Forecast",T50,'BS - CF Actuals'!Y121)</f>
        <v>-421168.09</v>
      </c>
      <c r="V50" s="106">
        <f>IF(V$3="Forecast",U50,'BS - CF Actuals'!Z121)</f>
        <v>-604903.43000000005</v>
      </c>
      <c r="W50" s="106">
        <f>IF(W$3="Forecast",V50,'BS - CF Actuals'!AA121)</f>
        <v>-1024623.74</v>
      </c>
      <c r="X50" s="106">
        <f>IF(X$3="Forecast",W50+'P&amp;L - Monthly'!W82,'BS - CF Actuals'!AB121)</f>
        <v>-1839782.95</v>
      </c>
      <c r="Y50" s="106">
        <f>IF(Y$3="Forecast",X50+'P&amp;L - Monthly'!X82,'BS - CF Actuals'!AC121)</f>
        <v>-2512462.5299999998</v>
      </c>
      <c r="Z50" s="106">
        <f>IF(Z$3="Forecast",Y50+'P&amp;L - Monthly'!Y82,'BS - CF Actuals'!AD121)</f>
        <v>-2852034.09</v>
      </c>
      <c r="AA50" s="106">
        <f>IF(AA$3="Forecast",Z50+'P&amp;L - Monthly'!Z82,'BS - CF Actuals'!AE121)</f>
        <v>-3136232.4</v>
      </c>
      <c r="AB50" s="106">
        <f>IF(AB$3="Forecast",AA50+'P&amp;L - Monthly'!AA82,'BS - CF Actuals'!AF121)</f>
        <v>-3575398.2300000037</v>
      </c>
      <c r="AC50" s="106">
        <f>IF(AC$3="Forecast",AB50+'P&amp;L - Monthly'!AB82,'BS - CF Actuals'!AG121)</f>
        <v>-3699873.69</v>
      </c>
      <c r="AD50" s="106">
        <f>IF(AD$3="Forecast",AC50+'P&amp;L - Monthly'!AC82,'BS - CF Actuals'!AH121)</f>
        <v>-499222.28</v>
      </c>
      <c r="AE50" s="106">
        <f>IF(AE$3="Forecast",AD50+'P&amp;L - Monthly'!AD82,'BS - CF Actuals'!AI121)</f>
        <v>-809036.02</v>
      </c>
      <c r="AF50" s="106">
        <f>IF(AF$3="Forecast",AE50+'P&amp;L - Monthly'!AE82,'BS - CF Actuals'!AJ121)</f>
        <v>-1339575.8700000001</v>
      </c>
      <c r="AG50" s="106">
        <f ca="1">IF(AG$3="Forecast",AF50+'P&amp;L - Monthly'!AF82,'BS - CF Actuals'!AK121)</f>
        <v>-2322077.4428331624</v>
      </c>
      <c r="AH50" s="106">
        <f ca="1">IF(AH$3="Forecast",AG50+'P&amp;L - Monthly'!AG82,'BS - CF Actuals'!AL121)</f>
        <v>-3079665.6631043521</v>
      </c>
      <c r="AI50" s="106">
        <f ca="1">IF(AI$3="Forecast",AH50+'P&amp;L - Monthly'!AH82,'BS - CF Actuals'!AM121)</f>
        <v>-3811916.0627595549</v>
      </c>
      <c r="AJ50" s="106">
        <f ca="1">IF(AJ$3="Forecast",AI50+'P&amp;L - Monthly'!AI82,'BS - CF Actuals'!AN121)</f>
        <v>-4642408.7763398355</v>
      </c>
      <c r="AK50" s="106">
        <f ca="1">IF(AK$3="Forecast",AJ50+'P&amp;L - Monthly'!AJ82,'BS - CF Actuals'!AO121)</f>
        <v>-5100226.5685508177</v>
      </c>
      <c r="AL50" s="106">
        <f ca="1">IF(AL$3="Forecast",AK50+'P&amp;L - Monthly'!AK82,'BS - CF Actuals'!AP121)</f>
        <v>-5314495.9643050442</v>
      </c>
      <c r="AM50" s="106">
        <f ca="1">IF(AM$3="Forecast",AL50+'P&amp;L - Monthly'!AL82,'BS - CF Actuals'!AQ121)</f>
        <v>-5563772.1594894072</v>
      </c>
      <c r="AN50" s="106">
        <f ca="1">IF(AN$3="Forecast",AM50+'P&amp;L - Monthly'!AM82,'BS - CF Actuals'!AR121)</f>
        <v>-5686691.9964273535</v>
      </c>
      <c r="AO50" s="106">
        <f ca="1">IF(AO$3="Forecast",AN50+'P&amp;L - Monthly'!AN82,'BS - CF Actuals'!AS121)</f>
        <v>-5771107.6782096708</v>
      </c>
      <c r="AP50" s="106">
        <f ca="1">IF(AP$3="Forecast",AO50+'P&amp;L - Monthly'!AO82,'BS - CF Actuals'!AT121)</f>
        <v>-12504242.233410306</v>
      </c>
      <c r="AQ50" s="106">
        <f ca="1">IF(AQ$3="Forecast",AP50+'P&amp;L - Monthly'!AP82,'BS - CF Actuals'!AU121)</f>
        <v>-11570985.870201208</v>
      </c>
      <c r="AR50" s="106">
        <f ca="1">IF(AR$3="Forecast",AQ50+'P&amp;L - Monthly'!AQ82,'BS - CF Actuals'!AV121)</f>
        <v>-10519080.288449673</v>
      </c>
      <c r="AS50" s="106">
        <f ca="1">IF(AS$3="Forecast",AR50+'P&amp;L - Monthly'!AR82,'BS - CF Actuals'!AW121)</f>
        <v>-9349531.8156282529</v>
      </c>
      <c r="AT50" s="106">
        <f ca="1">IF(AT$3="Forecast",AS50+'P&amp;L - Monthly'!AS82,'BS - CF Actuals'!AX121)</f>
        <v>-8065927.3791762833</v>
      </c>
      <c r="AU50" s="106">
        <f ca="1">IF(AU$3="Forecast",AT50+'P&amp;L - Monthly'!AT82,'BS - CF Actuals'!AY121)</f>
        <v>-6669951.7509302646</v>
      </c>
      <c r="AV50" s="106">
        <f ca="1">IF(AV$3="Forecast",AU50+'P&amp;L - Monthly'!AU82,'BS - CF Actuals'!AZ121)</f>
        <v>-5161580.5696135834</v>
      </c>
      <c r="AW50" s="106">
        <f ca="1">IF(AW$3="Forecast",AV50+'P&amp;L - Monthly'!AV82,'BS - CF Actuals'!BA121)</f>
        <v>-3539383.1495790267</v>
      </c>
      <c r="AX50" s="106">
        <f ca="1">IF(AX$3="Forecast",AW50+'P&amp;L - Monthly'!AW82,'BS - CF Actuals'!BB121)</f>
        <v>-1802262.0133825438</v>
      </c>
      <c r="AY50" s="106">
        <f ca="1">IF(AY$3="Forecast",AX50+'P&amp;L - Monthly'!AX82,'BS - CF Actuals'!BC121)</f>
        <v>42242.34655207675</v>
      </c>
      <c r="AZ50" s="106">
        <f ca="1">IF(AZ$3="Forecast",AY50+'P&amp;L - Monthly'!AY82,'BS - CF Actuals'!BD121)</f>
        <v>1998931.1145877852</v>
      </c>
      <c r="BA50" s="106">
        <f ca="1">IF(BA$3="Forecast",AZ50+'P&amp;L - Monthly'!AZ82,'BS - CF Actuals'!BE121)</f>
        <v>4062589.6457197405</v>
      </c>
      <c r="BB50" s="106">
        <f ca="1">IF(BB$3="Forecast",BA50+'P&amp;L - Monthly'!BA82,'BS - CF Actuals'!BF121)</f>
        <v>2327154.6877091313</v>
      </c>
      <c r="BC50" s="106">
        <f ca="1">IF(BC$3="Forecast",BB50+'P&amp;L - Monthly'!BB82,'BS - CF Actuals'!BG121)</f>
        <v>204072.3777311244</v>
      </c>
      <c r="BD50" s="106">
        <f ca="1">IF(BD$3="Forecast",BC50+'P&amp;L - Monthly'!BC82,'BS - CF Actuals'!BH121)</f>
        <v>-1926668.6082953312</v>
      </c>
      <c r="BE50" s="106">
        <f ca="1">IF(BE$3="Forecast",BD50+'P&amp;L - Monthly'!BD82,'BS - CF Actuals'!BI121)</f>
        <v>-4040926.7761556627</v>
      </c>
      <c r="BF50" s="106">
        <f ca="1">IF(BF$3="Forecast",BE50+'P&amp;L - Monthly'!BE82,'BS - CF Actuals'!BJ121)</f>
        <v>-6162465.3251221254</v>
      </c>
      <c r="BG50" s="106">
        <f ca="1">IF(BG$3="Forecast",BF50+'P&amp;L - Monthly'!BF82,'BS - CF Actuals'!BK121)</f>
        <v>-8290292.1245107129</v>
      </c>
      <c r="BH50" s="106">
        <f ca="1">IF(BH$3="Forecast",BG50+'P&amp;L - Monthly'!BG82,'BS - CF Actuals'!BL121)</f>
        <v>-10425603.62306615</v>
      </c>
      <c r="BI50" s="106">
        <f ca="1">IF(BI$3="Forecast",BH50+'P&amp;L - Monthly'!BH82,'BS - CF Actuals'!BM121)</f>
        <v>-12567414.392287876</v>
      </c>
      <c r="BJ50" s="106">
        <f ca="1">IF(BJ$3="Forecast",BI50+'P&amp;L - Monthly'!BI82,'BS - CF Actuals'!BN121)</f>
        <v>-14716899.009185906</v>
      </c>
      <c r="BK50" s="106">
        <f ca="1">IF(BK$3="Forecast",BJ50+'P&amp;L - Monthly'!BJ82,'BS - CF Actuals'!BO121)</f>
        <v>-16873086.427212492</v>
      </c>
      <c r="BL50" s="106">
        <f ca="1">IF(BL$3="Forecast",BK50+'P&amp;L - Monthly'!BK82,'BS - CF Actuals'!BP121)</f>
        <v>-19037144.501742676</v>
      </c>
      <c r="BM50" s="106">
        <f ca="1">IF(BM$3="Forecast",BL50+'P&amp;L - Monthly'!BL82,'BS - CF Actuals'!BQ121)</f>
        <v>-21213362.839500979</v>
      </c>
      <c r="BN50" s="106">
        <f ca="1">IF(BN$3="Forecast",BM50+'P&amp;L - Monthly'!BM82,'BS - CF Actuals'!BR121)</f>
        <v>-23009583.275171258</v>
      </c>
      <c r="BO50" s="106">
        <f ca="1">IF(BO$3="Forecast",BN50+'P&amp;L - Monthly'!BN82,'BS - CF Actuals'!BS121)</f>
        <v>-24823724.369192921</v>
      </c>
      <c r="BP50" s="106">
        <f ca="1">IF(BP$3="Forecast",BO50+'P&amp;L - Monthly'!BO82,'BS - CF Actuals'!BT121)</f>
        <v>-26646211.266898453</v>
      </c>
      <c r="BQ50" s="106">
        <f ca="1">IF(BQ$3="Forecast",BP50+'P&amp;L - Monthly'!BP82,'BS - CF Actuals'!BU121)</f>
        <v>-28476051.258171227</v>
      </c>
      <c r="BR50" s="106">
        <f ca="1">IF(BR$3="Forecast",BQ50+'P&amp;L - Monthly'!BQ82,'BS - CF Actuals'!BV121)</f>
        <v>-30314425.928177912</v>
      </c>
      <c r="BS50" s="106">
        <f ca="1">IF(BS$3="Forecast",BR50+'P&amp;L - Monthly'!BR82,'BS - CF Actuals'!BW121)</f>
        <v>-32160389.153866064</v>
      </c>
      <c r="BT50" s="106">
        <f ca="1">IF(BT$3="Forecast",BS50+'P&amp;L - Monthly'!BS82,'BS - CF Actuals'!BX121)</f>
        <v>-34015137.24249161</v>
      </c>
      <c r="BU50" s="106">
        <f ca="1">IF(BU$3="Forecast",BT50+'P&amp;L - Monthly'!BT82,'BS - CF Actuals'!BY121)</f>
        <v>-35878266.835167408</v>
      </c>
      <c r="BV50" s="106">
        <f ca="1">IF(BV$3="Forecast",BU50+'P&amp;L - Monthly'!BU82,'BS - CF Actuals'!BZ121)</f>
        <v>-37749375.017495945</v>
      </c>
      <c r="BW50" s="106">
        <f ca="1">IF(BW$3="Forecast",BV50+'P&amp;L - Monthly'!BV82,'BS - CF Actuals'!CA121)</f>
        <v>-39629668.825706974</v>
      </c>
      <c r="BX50" s="106">
        <f ca="1">IF(BX$3="Forecast",BW50+'P&amp;L - Monthly'!BW82,'BS - CF Actuals'!CB121)</f>
        <v>-41421439.586915806</v>
      </c>
      <c r="BY50" s="106" t="e">
        <f ca="1">IF(BY$3="Forecast",BX50+'P&amp;L - Monthly'!BX82,'BS - CF Actuals'!CC121)</f>
        <v>#REF!</v>
      </c>
    </row>
    <row r="51" spans="1:77" s="100" customFormat="1" x14ac:dyDescent="0.2">
      <c r="A51" s="104" t="s">
        <v>113</v>
      </c>
      <c r="D51" s="113">
        <f t="shared" ref="D51" si="75">SUM(D39:D50)</f>
        <v>3846422.3</v>
      </c>
      <c r="E51" s="113">
        <f>SUM(E39:E50)</f>
        <v>4115653.97</v>
      </c>
      <c r="F51" s="113">
        <f>SUM(F39:F50)</f>
        <v>990812.22148978442</v>
      </c>
      <c r="G51" s="416">
        <f t="shared" ref="G51:M51" si="76">SUM(G39:G50)</f>
        <v>813138.92782144807</v>
      </c>
      <c r="H51" s="416">
        <f t="shared" si="76"/>
        <v>1035164.9514017669</v>
      </c>
      <c r="I51" s="416">
        <f t="shared" si="76"/>
        <v>961213.71669447538</v>
      </c>
      <c r="J51" s="416">
        <f t="shared" si="76"/>
        <v>1065695.9689315839</v>
      </c>
      <c r="K51" s="416">
        <f t="shared" si="76"/>
        <v>1129789.8714422078</v>
      </c>
      <c r="L51" s="416">
        <f t="shared" si="76"/>
        <v>1069783.0131994786</v>
      </c>
      <c r="M51" s="416">
        <f t="shared" si="76"/>
        <v>1279625.6612966859</v>
      </c>
      <c r="N51" s="416">
        <f t="shared" ref="N51:S51" si="77">SUM(N39:N50)</f>
        <v>928259.15807906538</v>
      </c>
      <c r="O51" s="416">
        <f t="shared" si="77"/>
        <v>646989.07366103213</v>
      </c>
      <c r="P51" s="416">
        <f t="shared" si="77"/>
        <v>206989.7651886344</v>
      </c>
      <c r="Q51" s="416">
        <f>SUM(Q39:Q50)</f>
        <v>14553481.369999999</v>
      </c>
      <c r="R51" s="416">
        <f t="shared" si="77"/>
        <v>14189380.649999999</v>
      </c>
      <c r="S51" s="416">
        <f t="shared" si="77"/>
        <v>14201412.5</v>
      </c>
      <c r="T51" s="416">
        <f t="shared" ref="T51:AO51" si="78">SUM(T39:T50)</f>
        <v>14201482.25</v>
      </c>
      <c r="U51" s="416">
        <f t="shared" si="78"/>
        <v>14132313.27</v>
      </c>
      <c r="V51" s="416">
        <f>SUM(V39:V50)</f>
        <v>13948577.93</v>
      </c>
      <c r="W51" s="416">
        <f t="shared" si="78"/>
        <v>13528857.619999999</v>
      </c>
      <c r="X51" s="416">
        <f>SUM(X39:X50)</f>
        <v>12713698.41</v>
      </c>
      <c r="Y51" s="416">
        <f>SUM(Y39:Y50)</f>
        <v>12041018.83</v>
      </c>
      <c r="Z51" s="416">
        <f>SUM(Z39:Z50)</f>
        <v>11701447.27</v>
      </c>
      <c r="AA51" s="416">
        <f t="shared" si="78"/>
        <v>11417248.959999999</v>
      </c>
      <c r="AB51" s="416">
        <f t="shared" si="78"/>
        <v>10978083.129999995</v>
      </c>
      <c r="AC51" s="416">
        <f t="shared" si="78"/>
        <v>10854661.57</v>
      </c>
      <c r="AD51" s="416">
        <f t="shared" si="78"/>
        <v>10355439.290000001</v>
      </c>
      <c r="AE51" s="416">
        <f t="shared" si="78"/>
        <v>10045625.550000001</v>
      </c>
      <c r="AF51" s="416">
        <f t="shared" si="78"/>
        <v>9500085.6999999993</v>
      </c>
      <c r="AG51" s="416">
        <f t="shared" ca="1" si="78"/>
        <v>8517584.1271668375</v>
      </c>
      <c r="AH51" s="416">
        <f t="shared" ca="1" si="78"/>
        <v>7759995.9068956487</v>
      </c>
      <c r="AI51" s="416">
        <f t="shared" ca="1" si="78"/>
        <v>7027745.5072404454</v>
      </c>
      <c r="AJ51" s="416">
        <f t="shared" ca="1" si="78"/>
        <v>6197252.7936601648</v>
      </c>
      <c r="AK51" s="416">
        <f t="shared" ca="1" si="78"/>
        <v>5739435.0014491826</v>
      </c>
      <c r="AL51" s="416">
        <f t="shared" ca="1" si="78"/>
        <v>5525165.6056949561</v>
      </c>
      <c r="AM51" s="416">
        <f t="shared" ca="1" si="78"/>
        <v>5275889.4105105931</v>
      </c>
      <c r="AN51" s="416">
        <f t="shared" ca="1" si="78"/>
        <v>5152969.5735726468</v>
      </c>
      <c r="AO51" s="416">
        <f t="shared" ca="1" si="78"/>
        <v>5068553.8917903295</v>
      </c>
      <c r="AP51" s="416">
        <f t="shared" ref="AP51:BA51" ca="1" si="79">SUM(AP39:AP50)</f>
        <v>-1664580.663410306</v>
      </c>
      <c r="AQ51" s="416">
        <f t="shared" ca="1" si="79"/>
        <v>-731324.3002012074</v>
      </c>
      <c r="AR51" s="416">
        <f t="shared" ca="1" si="79"/>
        <v>320581.28155032732</v>
      </c>
      <c r="AS51" s="416">
        <f t="shared" ca="1" si="79"/>
        <v>1490129.7543717474</v>
      </c>
      <c r="AT51" s="416">
        <f t="shared" ca="1" si="79"/>
        <v>2773734.190823717</v>
      </c>
      <c r="AU51" s="416">
        <f t="shared" ca="1" si="79"/>
        <v>4169709.8190697357</v>
      </c>
      <c r="AV51" s="416">
        <f t="shared" ca="1" si="79"/>
        <v>5678081.0003864169</v>
      </c>
      <c r="AW51" s="416">
        <f t="shared" ca="1" si="79"/>
        <v>7300278.4204209736</v>
      </c>
      <c r="AX51" s="416">
        <f t="shared" ca="1" si="79"/>
        <v>9037399.5566174574</v>
      </c>
      <c r="AY51" s="416">
        <f t="shared" ca="1" si="79"/>
        <v>10881903.916552078</v>
      </c>
      <c r="AZ51" s="416">
        <f t="shared" ca="1" si="79"/>
        <v>12838592.684587786</v>
      </c>
      <c r="BA51" s="416">
        <f t="shared" ca="1" si="79"/>
        <v>14902251.215719741</v>
      </c>
      <c r="BB51" s="416">
        <f t="shared" ref="BB51:BK51" ca="1" si="80">SUM(BB39:BB50)</f>
        <v>13166816.257709131</v>
      </c>
      <c r="BC51" s="416">
        <f t="shared" ca="1" si="80"/>
        <v>11043733.947731124</v>
      </c>
      <c r="BD51" s="416">
        <f t="shared" ca="1" si="80"/>
        <v>8912992.9617046695</v>
      </c>
      <c r="BE51" s="416">
        <f t="shared" ca="1" si="80"/>
        <v>6798734.7938443376</v>
      </c>
      <c r="BF51" s="416">
        <f t="shared" ca="1" si="80"/>
        <v>4677196.2448778749</v>
      </c>
      <c r="BG51" s="416">
        <f t="shared" ca="1" si="80"/>
        <v>2549369.4454892874</v>
      </c>
      <c r="BH51" s="416">
        <f t="shared" ca="1" si="80"/>
        <v>414057.94693385065</v>
      </c>
      <c r="BI51" s="416">
        <f t="shared" ca="1" si="80"/>
        <v>-1727752.8222878762</v>
      </c>
      <c r="BJ51" s="416">
        <f t="shared" ca="1" si="80"/>
        <v>-3877237.4391859062</v>
      </c>
      <c r="BK51" s="416">
        <f t="shared" ca="1" si="80"/>
        <v>-6033424.8572124913</v>
      </c>
      <c r="BL51" s="416">
        <f t="shared" ref="BL51:BW51" ca="1" si="81">SUM(BL39:BL50)</f>
        <v>-8197482.9317426756</v>
      </c>
      <c r="BM51" s="416">
        <f t="shared" ca="1" si="81"/>
        <v>-10373701.269500978</v>
      </c>
      <c r="BN51" s="416">
        <f t="shared" ca="1" si="81"/>
        <v>-12169921.705171257</v>
      </c>
      <c r="BO51" s="416">
        <f t="shared" ca="1" si="81"/>
        <v>-13984062.79919292</v>
      </c>
      <c r="BP51" s="416">
        <f t="shared" ca="1" si="81"/>
        <v>-15806549.696898453</v>
      </c>
      <c r="BQ51" s="416">
        <f t="shared" ca="1" si="81"/>
        <v>-17636389.688171227</v>
      </c>
      <c r="BR51" s="416">
        <f t="shared" ca="1" si="81"/>
        <v>-19474764.358177911</v>
      </c>
      <c r="BS51" s="416">
        <f t="shared" ca="1" si="81"/>
        <v>-21320727.583866064</v>
      </c>
      <c r="BT51" s="416">
        <f t="shared" ca="1" si="81"/>
        <v>-23175475.67249161</v>
      </c>
      <c r="BU51" s="416">
        <f t="shared" ca="1" si="81"/>
        <v>-25038605.265167408</v>
      </c>
      <c r="BV51" s="416">
        <f t="shared" ca="1" si="81"/>
        <v>-26909713.447495945</v>
      </c>
      <c r="BW51" s="416">
        <f t="shared" ca="1" si="81"/>
        <v>-28790007.255706973</v>
      </c>
      <c r="BX51" s="416">
        <f t="shared" ref="BX51:BY51" ca="1" si="82">SUM(BX39:BX50)</f>
        <v>-30581778.016915806</v>
      </c>
      <c r="BY51" s="416" t="e">
        <f t="shared" ca="1" si="82"/>
        <v>#REF!</v>
      </c>
    </row>
    <row r="52" spans="1:77" s="100" customFormat="1" ht="13.5" thickBot="1" x14ac:dyDescent="0.25">
      <c r="A52" s="23" t="s">
        <v>114</v>
      </c>
      <c r="D52" s="400">
        <f>IF(D$3="forecast",+D51+D36,'BS - CF Actuals'!H126)</f>
        <v>5749128.4700000007</v>
      </c>
      <c r="E52" s="400">
        <f>IF(E$3="forecast",+E51+E36,'BS - CF Actuals'!I126)</f>
        <v>6945527.3100000005</v>
      </c>
      <c r="F52" s="400">
        <f>IF(F$3="forecast",+F51+F36,'BS - CF Actuals'!J126)</f>
        <v>3764502.8026041687</v>
      </c>
      <c r="G52" s="400">
        <f>IF(G$3="forecast",+G51+G36,'BS - CF Actuals'!K126)</f>
        <v>3579281.1927808365</v>
      </c>
      <c r="H52" s="400">
        <f>IF(H$3="forecast",+H51+H36,'BS - CF Actuals'!L126)</f>
        <v>3777145.7129575033</v>
      </c>
      <c r="I52" s="400">
        <f>IF(I$3="forecast",+I51+I36,'BS - CF Actuals'!M126)</f>
        <v>4769908.2131341696</v>
      </c>
      <c r="J52" s="400">
        <f>IF(J$3="forecast",+J51+J36,'BS - CF Actuals'!N126)</f>
        <v>5040126.7333108354</v>
      </c>
      <c r="K52" s="400">
        <f>IF(K$3="forecast",+K51+K36,'BS - CF Actuals'!O126)</f>
        <v>4951491.1034875028</v>
      </c>
      <c r="L52" s="400">
        <f>IF(L$3="forecast",+L51+L36,'BS - CF Actuals'!P126)</f>
        <v>4883309.2736641681</v>
      </c>
      <c r="M52" s="400">
        <f>IF(M$3="forecast",+M51+M36,'BS - CF Actuals'!Q126)</f>
        <v>4941101.1738408357</v>
      </c>
      <c r="N52" s="400">
        <f>IF(N$3="forecast",+N51+N36,'BS - CF Actuals'!R126)</f>
        <v>4614827.7540175021</v>
      </c>
      <c r="O52" s="400">
        <f>IF(O$3="forecast",+O51+O36,'BS - CF Actuals'!S126)</f>
        <v>4424713.2341941707</v>
      </c>
      <c r="P52" s="400">
        <f>IF(P$3="forecast",+P51+P36,'BS - CF Actuals'!T126)</f>
        <v>3841128.4043708364</v>
      </c>
      <c r="Q52" s="400">
        <f>+Q51+Q36</f>
        <v>30141739.909999996</v>
      </c>
      <c r="R52" s="400">
        <f t="shared" ref="R52:U52" si="83">+R51+R36</f>
        <v>30737061.559999999</v>
      </c>
      <c r="S52" s="400">
        <f>+S51+S36</f>
        <v>30502645.149999999</v>
      </c>
      <c r="T52" s="400">
        <f>+T51+T36</f>
        <v>30551388.689999998</v>
      </c>
      <c r="U52" s="400">
        <f t="shared" si="83"/>
        <v>30404734.810000002</v>
      </c>
      <c r="V52" s="400">
        <f>IF(V$3="forecast",+V51+V36,'BS - CF Actuals'!Z126)</f>
        <v>29958170.73</v>
      </c>
      <c r="W52" s="400">
        <f>IF(W$3="forecast",+W51+W36,'BS - CF Actuals'!AA126)</f>
        <v>29703857.129999999</v>
      </c>
      <c r="X52" s="400">
        <f>IF(X$3="forecast",+X51+X36,'BS - CF Actuals'!AB126)</f>
        <v>28937043.780000001</v>
      </c>
      <c r="Y52" s="400">
        <f>IF(Y$3="forecast",+Y51+Y36,'BS - CF Actuals'!AC126)</f>
        <v>27889741.210000001</v>
      </c>
      <c r="Z52" s="400">
        <f>IF(Z$3="forecast",+Z51+Z36,'BS - CF Actuals'!AD126)</f>
        <v>28046963.259999998</v>
      </c>
      <c r="AA52" s="400">
        <f>IF(AA$3="forecast",+AA51+AA36,'BS - CF Actuals'!AE126)</f>
        <v>27397774.280000001</v>
      </c>
      <c r="AB52" s="400">
        <f>IF(AB$3="forecast",+AB51+AB36,'BS - CF Actuals'!AF126)</f>
        <v>26783639.889999993</v>
      </c>
      <c r="AC52" s="400">
        <f>IF(AC$3="forecast",+AC51+AC36,'BS - CF Actuals'!AG126)</f>
        <v>25865450.579999998</v>
      </c>
      <c r="AD52" s="400">
        <f>IF(AD$3="forecast",+AD51+AD36,'BS - CF Actuals'!AH126)</f>
        <v>25705558.780000001</v>
      </c>
      <c r="AE52" s="400">
        <f>IF(AE$3="forecast",+AE51+AE36,'BS - CF Actuals'!AI126)</f>
        <v>25390685.390000001</v>
      </c>
      <c r="AF52" s="400">
        <f>IF(AF$3="forecast",+AF51+AF36,'BS - CF Actuals'!AJ126)</f>
        <v>24965771.109999999</v>
      </c>
      <c r="AG52" s="400">
        <f ca="1">IF(AG$3="forecast",+AG51+AG36,'BS - CF Actuals'!AK126)</f>
        <v>24620954.153567418</v>
      </c>
      <c r="AH52" s="400">
        <f ca="1">IF(AH$3="forecast",+AH51+AH36,'BS - CF Actuals'!AL126)</f>
        <v>23867956.578389511</v>
      </c>
      <c r="AI52" s="400">
        <f ca="1">IF(AI$3="forecast",+AI51+AI36,'BS - CF Actuals'!AM126)</f>
        <v>23167949.076277528</v>
      </c>
      <c r="AJ52" s="400">
        <f ca="1">IF(AJ$3="forecast",+AJ51+AJ36,'BS - CF Actuals'!AN126)</f>
        <v>22332404.592826743</v>
      </c>
      <c r="AK52" s="400">
        <f ca="1">IF(AK$3="forecast",+AK51+AK36,'BS - CF Actuals'!AO126)</f>
        <v>21844014.499722652</v>
      </c>
      <c r="AL52" s="400">
        <f ca="1">IF(AL$3="forecast",+AL51+AL36,'BS - CF Actuals'!AP126)</f>
        <v>21712537.761201564</v>
      </c>
      <c r="AM52" s="400">
        <f ca="1">IF(AM$3="forecast",+AM51+AM36,'BS - CF Actuals'!AQ126)</f>
        <v>21510441.713533826</v>
      </c>
      <c r="AN52" s="400">
        <f ca="1">IF(AN$3="forecast",+AN51+AN36,'BS - CF Actuals'!AR126)</f>
        <v>21328394.119613111</v>
      </c>
      <c r="AO52" s="400">
        <f ca="1">IF(AO$3="forecast",+AO51+AO36,'BS - CF Actuals'!AS126)</f>
        <v>21229897.485626463</v>
      </c>
      <c r="AP52" s="400">
        <f ca="1">IF(AP$3="forecast",+AP51+AP36,'BS - CF Actuals'!AT126)</f>
        <v>15615393.301009685</v>
      </c>
      <c r="AQ52" s="400">
        <f ca="1">IF(AQ$3="forecast",+AQ51+AQ36,'BS - CF Actuals'!AU126)</f>
        <v>15440062.426402088</v>
      </c>
      <c r="AR52" s="400">
        <f ca="1">IF(AR$3="forecast",+AR51+AR36,'BS - CF Actuals'!AV126)</f>
        <v>16517702.061078461</v>
      </c>
      <c r="AS52" s="400">
        <f ca="1">IF(AS$3="forecast",+AS51+AS36,'BS - CF Actuals'!AW126)</f>
        <v>17710306.628431968</v>
      </c>
      <c r="AT52" s="400">
        <f ca="1">IF(AT$3="forecast",+AT51+AT36,'BS - CF Actuals'!AX126)</f>
        <v>19015398.056019217</v>
      </c>
      <c r="AU52" s="400">
        <f ca="1">IF(AU$3="forecast",+AU51+AU36,'BS - CF Actuals'!AY126)</f>
        <v>20432559.111973267</v>
      </c>
      <c r="AV52" s="400">
        <f ca="1">IF(AV$3="forecast",+AV51+AV36,'BS - CF Actuals'!AZ126)</f>
        <v>21962135.268728856</v>
      </c>
      <c r="AW52" s="400">
        <f ca="1">IF(AW$3="forecast",+AW51+AW36,'BS - CF Actuals'!BA126)</f>
        <v>23605971.317268036</v>
      </c>
      <c r="AX52" s="400">
        <f ca="1">IF(AX$3="forecast",+AX51+AX36,'BS - CF Actuals'!BB126)</f>
        <v>25365157.513377324</v>
      </c>
      <c r="AY52" s="400">
        <f ca="1">IF(AY$3="forecast",+AY51+AY36,'BS - CF Actuals'!BC126)</f>
        <v>27230976.987580352</v>
      </c>
      <c r="AZ52" s="400">
        <f ca="1">IF(AZ$3="forecast",+AZ51+AZ36,'BS - CF Actuals'!BD126)</f>
        <v>29208987.946047064</v>
      </c>
      <c r="BA52" s="400">
        <f ca="1">IF(BA$3="forecast",+BA51+BA36,'BS - CF Actuals'!BE126)</f>
        <v>31294748.463381656</v>
      </c>
      <c r="BB52" s="400">
        <f ca="1">IF(BB$3="forecast",+BB51+BB36,'BS - CF Actuals'!BF126)</f>
        <v>28879038.010711063</v>
      </c>
      <c r="BC52" s="400">
        <f ca="1">IF(BC$3="forecast",+BC51+BC36,'BS - CF Actuals'!BG126)</f>
        <v>26818638.004156284</v>
      </c>
      <c r="BD52" s="400">
        <f ca="1">IF(BD$3="forecast",+BD51+BD36,'BS - CF Actuals'!BH126)</f>
        <v>24688980.950688772</v>
      </c>
      <c r="BE52" s="400">
        <f ca="1">IF(BE$3="forecast",+BE51+BE36,'BS - CF Actuals'!BI126)</f>
        <v>22575744.791081611</v>
      </c>
      <c r="BF52" s="400">
        <f ca="1">IF(BF$3="forecast",+BF51+BF36,'BS - CF Actuals'!BJ126)</f>
        <v>20455235.430432744</v>
      </c>
      <c r="BG52" s="400">
        <f ca="1">IF(BG$3="forecast",+BG51+BG36,'BS - CF Actuals'!BK126)</f>
        <v>18328450.499585561</v>
      </c>
      <c r="BH52" s="400">
        <f ca="1">IF(BH$3="forecast",+BH51+BH36,'BS - CF Actuals'!BL126)</f>
        <v>16194200.837056827</v>
      </c>
      <c r="BI52" s="400">
        <f ca="1">IF(BI$3="forecast",+BI51+BI36,'BS - CF Actuals'!BM126)</f>
        <v>14053465.589413129</v>
      </c>
      <c r="BJ52" s="400">
        <f ca="1">IF(BJ$3="forecast",+BJ51+BJ36,'BS - CF Actuals'!BN126)</f>
        <v>11905073.180818222</v>
      </c>
      <c r="BK52" s="400">
        <f ca="1">IF(BK$3="forecast",+BK51+BK36,'BS - CF Actuals'!BO126)</f>
        <v>9749993.8139390051</v>
      </c>
      <c r="BL52" s="400">
        <f ca="1">IF(BL$3="forecast",+BL51+BL36,'BS - CF Actuals'!BP126)</f>
        <v>7587059.469036039</v>
      </c>
      <c r="BM52" s="400">
        <f ca="1">IF(BM$3="forecast",+BM51+BM36,'BS - CF Actuals'!BQ126)</f>
        <v>5412769.8017400373</v>
      </c>
      <c r="BN52" s="400">
        <f ca="1">IF(BN$3="forecast",+BN51+BN36,'BS - CF Actuals'!BR126)</f>
        <v>3559428.0387201086</v>
      </c>
      <c r="BO52" s="400">
        <f ca="1">IF(BO$3="forecast",+BO51+BO36,'BS - CF Actuals'!BS126)</f>
        <v>1748148.4476173632</v>
      </c>
      <c r="BP52" s="400">
        <f ca="1">IF(BP$3="forecast",+BP51+BP36,'BS - CF Actuals'!BT126)</f>
        <v>-73139.448383912444</v>
      </c>
      <c r="BQ52" s="400">
        <f ca="1">IF(BQ$3="forecast",+BQ51+BQ36,'BS - CF Actuals'!BU126)</f>
        <v>-1901767.8446435146</v>
      </c>
      <c r="BR52" s="400">
        <f ca="1">IF(BR$3="forecast",+BR51+BR36,'BS - CF Actuals'!BV126)</f>
        <v>-3738913.1816884354</v>
      </c>
      <c r="BS52" s="400">
        <f ca="1">IF(BS$3="forecast",+BS51+BS36,'BS - CF Actuals'!BW126)</f>
        <v>-5583627.4930462837</v>
      </c>
      <c r="BT52" s="400">
        <f ca="1">IF(BT$3="forecast",+BT51+BT36,'BS - CF Actuals'!BX126)</f>
        <v>-7437106.7210795432</v>
      </c>
      <c r="BU52" s="400">
        <f ca="1">IF(BU$3="forecast",+BU51+BU36,'BS - CF Actuals'!BY126)</f>
        <v>-9298946.7070829235</v>
      </c>
      <c r="BV52" s="400">
        <f ca="1">IF(BV$3="forecast",+BV51+BV36,'BS - CF Actuals'!BZ126)</f>
        <v>-11168744.469985465</v>
      </c>
      <c r="BW52" s="400">
        <f ca="1">IF(BW$3="forecast",+BW51+BW36,'BS - CF Actuals'!CA126)</f>
        <v>-13047706.303162441</v>
      </c>
      <c r="BX52" s="400">
        <f ca="1">IF(BX$3="forecast",+BX51+BX36,'BS - CF Actuals'!CB126)</f>
        <v>-16021153.769046478</v>
      </c>
      <c r="BY52" s="400" t="e">
        <f ca="1">IF(BY$3="forecast",+BY51+BY36,'BS - CF Actuals'!CC126)</f>
        <v>#REF!</v>
      </c>
    </row>
    <row r="53" spans="1:77" s="115" customFormat="1" ht="18" customHeight="1" thickTop="1" x14ac:dyDescent="0.2">
      <c r="A53" s="89"/>
      <c r="B53" s="114" t="s">
        <v>115</v>
      </c>
      <c r="C53" s="114"/>
      <c r="D53" s="547">
        <f t="shared" ref="D53:M53" si="84">+D24-D52</f>
        <v>9.9999988451600075E-3</v>
      </c>
      <c r="E53" s="547">
        <f t="shared" si="84"/>
        <v>0</v>
      </c>
      <c r="F53" s="547">
        <f t="shared" si="84"/>
        <v>-2.6041688397526741E-3</v>
      </c>
      <c r="G53" s="404">
        <f t="shared" si="84"/>
        <v>-2.7808365412056446E-3</v>
      </c>
      <c r="H53" s="404">
        <f t="shared" si="84"/>
        <v>-2.9575033113360405E-3</v>
      </c>
      <c r="I53" s="404">
        <f t="shared" si="84"/>
        <v>-3.1341686844825745E-3</v>
      </c>
      <c r="J53" s="404">
        <f t="shared" si="84"/>
        <v>-3.3108359202742577E-3</v>
      </c>
      <c r="K53" s="404">
        <f t="shared" si="84"/>
        <v>-3.4875031560659409E-3</v>
      </c>
      <c r="L53" s="404">
        <f t="shared" si="84"/>
        <v>-3.6641685292124748E-3</v>
      </c>
      <c r="M53" s="404">
        <f t="shared" si="84"/>
        <v>-3.840835765004158E-3</v>
      </c>
      <c r="N53" s="404">
        <f t="shared" ref="N53:AO53" si="85">+N24-N52</f>
        <v>-4.0175020694732666E-3</v>
      </c>
      <c r="O53" s="404">
        <f t="shared" si="85"/>
        <v>-4.1941702365875244E-3</v>
      </c>
      <c r="P53" s="404">
        <f t="shared" si="85"/>
        <v>-4.3708360753953457E-3</v>
      </c>
      <c r="Q53" s="404">
        <f>+Q24-Q52</f>
        <v>-9.9999941885471344E-3</v>
      </c>
      <c r="R53" s="404">
        <f t="shared" si="85"/>
        <v>0</v>
      </c>
      <c r="S53" s="404">
        <f t="shared" si="85"/>
        <v>1.0000001639127731E-2</v>
      </c>
      <c r="T53" s="404">
        <f t="shared" si="85"/>
        <v>1.000000536441803E-2</v>
      </c>
      <c r="U53" s="404">
        <f t="shared" si="85"/>
        <v>9.9999979138374329E-3</v>
      </c>
      <c r="V53" s="404">
        <f t="shared" si="85"/>
        <v>1.0000001639127731E-2</v>
      </c>
      <c r="W53" s="404">
        <f t="shared" si="85"/>
        <v>1.000000536441803E-2</v>
      </c>
      <c r="X53" s="404">
        <f t="shared" si="85"/>
        <v>1.0000001639127731E-2</v>
      </c>
      <c r="Y53" s="404">
        <f>+Y24-Y52</f>
        <v>0</v>
      </c>
      <c r="Z53" s="404">
        <f>+Z24-Z52</f>
        <v>0</v>
      </c>
      <c r="AA53" s="404">
        <f t="shared" si="85"/>
        <v>0</v>
      </c>
      <c r="AB53" s="404">
        <f t="shared" si="85"/>
        <v>0</v>
      </c>
      <c r="AC53" s="404">
        <f t="shared" si="85"/>
        <v>0</v>
      </c>
      <c r="AD53" s="404">
        <f t="shared" si="85"/>
        <v>0</v>
      </c>
      <c r="AE53" s="404">
        <f t="shared" si="85"/>
        <v>0</v>
      </c>
      <c r="AF53" s="404">
        <f t="shared" si="85"/>
        <v>0</v>
      </c>
      <c r="AG53" s="404">
        <f t="shared" ca="1" si="85"/>
        <v>131990.20999999717</v>
      </c>
      <c r="AH53" s="404">
        <f t="shared" ca="1" si="85"/>
        <v>131990.20999999717</v>
      </c>
      <c r="AI53" s="404">
        <f t="shared" ca="1" si="85"/>
        <v>131990.20999999717</v>
      </c>
      <c r="AJ53" s="404">
        <f t="shared" ca="1" si="85"/>
        <v>131990.20999999717</v>
      </c>
      <c r="AK53" s="404">
        <f t="shared" ca="1" si="85"/>
        <v>131990.20999999717</v>
      </c>
      <c r="AL53" s="404">
        <f t="shared" ca="1" si="85"/>
        <v>131990.20999999717</v>
      </c>
      <c r="AM53" s="404">
        <f t="shared" ca="1" si="85"/>
        <v>131990.20999999717</v>
      </c>
      <c r="AN53" s="404">
        <f t="shared" ca="1" si="85"/>
        <v>131990.20999999344</v>
      </c>
      <c r="AO53" s="404">
        <f t="shared" ca="1" si="85"/>
        <v>131990.20999999717</v>
      </c>
      <c r="AP53" s="404">
        <f t="shared" ref="AP53:BA53" ca="1" si="86">+AP24-AP52</f>
        <v>131990.20999999717</v>
      </c>
      <c r="AQ53" s="404">
        <f t="shared" ca="1" si="86"/>
        <v>131990.20999999717</v>
      </c>
      <c r="AR53" s="404">
        <f t="shared" ca="1" si="86"/>
        <v>131990.20999999531</v>
      </c>
      <c r="AS53" s="404">
        <f t="shared" ca="1" si="86"/>
        <v>131990.20999999717</v>
      </c>
      <c r="AT53" s="404">
        <f t="shared" ca="1" si="86"/>
        <v>131990.20999999344</v>
      </c>
      <c r="AU53" s="404">
        <f t="shared" ca="1" si="86"/>
        <v>131990.20999999717</v>
      </c>
      <c r="AV53" s="404">
        <f t="shared" ca="1" si="86"/>
        <v>131990.20999999717</v>
      </c>
      <c r="AW53" s="404">
        <f t="shared" ca="1" si="86"/>
        <v>131990.20999999344</v>
      </c>
      <c r="AX53" s="404">
        <f t="shared" ca="1" si="86"/>
        <v>131990.20999999344</v>
      </c>
      <c r="AY53" s="404">
        <f t="shared" ca="1" si="86"/>
        <v>131990.20999999344</v>
      </c>
      <c r="AZ53" s="404">
        <f t="shared" ca="1" si="86"/>
        <v>131990.20999999717</v>
      </c>
      <c r="BA53" s="404">
        <f t="shared" ca="1" si="86"/>
        <v>131990.20999999717</v>
      </c>
      <c r="BB53" s="404">
        <f t="shared" ref="BB53:BK53" ca="1" si="87">+BB24-BB52</f>
        <v>131990.20999999717</v>
      </c>
      <c r="BC53" s="404">
        <f t="shared" ca="1" si="87"/>
        <v>131990.21000000089</v>
      </c>
      <c r="BD53" s="404">
        <f t="shared" ca="1" si="87"/>
        <v>131990.21000000089</v>
      </c>
      <c r="BE53" s="404">
        <f t="shared" ca="1" si="87"/>
        <v>131990.20999999717</v>
      </c>
      <c r="BF53" s="404">
        <f t="shared" ca="1" si="87"/>
        <v>131990.20999999717</v>
      </c>
      <c r="BG53" s="404">
        <f t="shared" ca="1" si="87"/>
        <v>131990.20999999344</v>
      </c>
      <c r="BH53" s="404">
        <f t="shared" ca="1" si="87"/>
        <v>131990.20999999717</v>
      </c>
      <c r="BI53" s="404">
        <f t="shared" ca="1" si="87"/>
        <v>131990.20999999531</v>
      </c>
      <c r="BJ53" s="404">
        <f t="shared" ca="1" si="87"/>
        <v>131990.20999999717</v>
      </c>
      <c r="BK53" s="404">
        <f t="shared" ca="1" si="87"/>
        <v>131990.20999999531</v>
      </c>
      <c r="BL53" s="404">
        <f t="shared" ref="BL53:BW53" ca="1" si="88">+BL24-BL52</f>
        <v>131990.20999999624</v>
      </c>
      <c r="BM53" s="404">
        <f t="shared" ca="1" si="88"/>
        <v>131990.20999999903</v>
      </c>
      <c r="BN53" s="404">
        <f t="shared" ca="1" si="88"/>
        <v>131990.20999999903</v>
      </c>
      <c r="BO53" s="404">
        <f t="shared" ca="1" si="88"/>
        <v>131990.20999999903</v>
      </c>
      <c r="BP53" s="404">
        <f t="shared" ca="1" si="88"/>
        <v>131990.21000000089</v>
      </c>
      <c r="BQ53" s="404">
        <f t="shared" ca="1" si="88"/>
        <v>131990.20999999903</v>
      </c>
      <c r="BR53" s="404">
        <f t="shared" ca="1" si="88"/>
        <v>131990.20999999717</v>
      </c>
      <c r="BS53" s="404">
        <f t="shared" ca="1" si="88"/>
        <v>131990.20999999903</v>
      </c>
      <c r="BT53" s="404">
        <f t="shared" ca="1" si="88"/>
        <v>131990.20999999717</v>
      </c>
      <c r="BU53" s="404">
        <f t="shared" ca="1" si="88"/>
        <v>131990.21000000089</v>
      </c>
      <c r="BV53" s="404">
        <f t="shared" ca="1" si="88"/>
        <v>131990.21000000276</v>
      </c>
      <c r="BW53" s="404">
        <f t="shared" ca="1" si="88"/>
        <v>131990.21000000089</v>
      </c>
      <c r="BX53" s="404">
        <f t="shared" ref="BX53:BY53" ca="1" si="89">+BX24-BX52</f>
        <v>26468800.185816273</v>
      </c>
      <c r="BY53" s="404" t="e">
        <f t="shared" ca="1" si="89"/>
        <v>#REF!</v>
      </c>
    </row>
    <row r="54" spans="1:77" s="131" customFormat="1" x14ac:dyDescent="0.2">
      <c r="B54" s="131" t="s">
        <v>181</v>
      </c>
      <c r="D54" s="548">
        <f>Sensativities!$B$6</f>
        <v>5</v>
      </c>
      <c r="E54" s="548">
        <f>Sensativities!$B$6</f>
        <v>5</v>
      </c>
      <c r="F54" s="548">
        <f>Sensativities!$B$6</f>
        <v>5</v>
      </c>
      <c r="G54" s="177">
        <f>Sensativities!$B$6</f>
        <v>5</v>
      </c>
      <c r="H54" s="177">
        <f>Sensativities!$B$6</f>
        <v>5</v>
      </c>
      <c r="I54" s="177">
        <f>Sensativities!$B$6</f>
        <v>5</v>
      </c>
      <c r="J54" s="177">
        <f>Sensativities!$B$6</f>
        <v>5</v>
      </c>
      <c r="K54" s="177">
        <f>Sensativities!$B$6</f>
        <v>5</v>
      </c>
      <c r="L54" s="177">
        <f>Sensativities!$B$6</f>
        <v>5</v>
      </c>
      <c r="M54" s="177">
        <f>Sensativities!$B$6</f>
        <v>5</v>
      </c>
      <c r="N54" s="177">
        <f>Sensativities!$B$6</f>
        <v>5</v>
      </c>
      <c r="O54" s="177">
        <f>Sensativities!$B$6</f>
        <v>5</v>
      </c>
      <c r="P54" s="177">
        <f>Sensativities!$B$6</f>
        <v>5</v>
      </c>
      <c r="Q54" s="177">
        <f>Sensativities!$B$6</f>
        <v>5</v>
      </c>
      <c r="R54" s="177">
        <f>Sensativities!$B$6</f>
        <v>5</v>
      </c>
      <c r="S54" s="177">
        <f>Sensativities!$B$6</f>
        <v>5</v>
      </c>
      <c r="T54" s="177">
        <f>Sensativities!$B$6</f>
        <v>5</v>
      </c>
      <c r="U54" s="177">
        <f>Sensativities!$B$6</f>
        <v>5</v>
      </c>
      <c r="V54" s="177">
        <f>Sensativities!$B$6</f>
        <v>5</v>
      </c>
      <c r="W54" s="177">
        <f>Sensativities!$B$6</f>
        <v>5</v>
      </c>
      <c r="X54" s="177">
        <f>Sensativities!$B$6</f>
        <v>5</v>
      </c>
      <c r="Y54" s="177">
        <f>Sensativities!$B$6</f>
        <v>5</v>
      </c>
      <c r="Z54" s="177">
        <f>Sensativities!$B$6</f>
        <v>5</v>
      </c>
      <c r="AA54" s="177">
        <f>Sensativities!$B$6</f>
        <v>5</v>
      </c>
      <c r="AB54" s="177">
        <f>Sensativities!$B$6</f>
        <v>5</v>
      </c>
      <c r="AC54" s="177">
        <f>Sensativities!$B$6</f>
        <v>5</v>
      </c>
      <c r="AD54" s="177">
        <f>Sensativities!$B$6</f>
        <v>5</v>
      </c>
      <c r="AE54" s="177">
        <f>Sensativities!$B$6</f>
        <v>5</v>
      </c>
      <c r="AF54" s="177">
        <f>Sensativities!$B$6</f>
        <v>5</v>
      </c>
      <c r="AG54" s="177">
        <f>Sensativities!$B$6</f>
        <v>5</v>
      </c>
      <c r="AH54" s="177">
        <f>Sensativities!$B$6</f>
        <v>5</v>
      </c>
      <c r="AI54" s="177">
        <f>Sensativities!$B$6</f>
        <v>5</v>
      </c>
      <c r="AJ54" s="177">
        <f>Sensativities!$B$6</f>
        <v>5</v>
      </c>
      <c r="AK54" s="177">
        <f>Sensativities!$B$6</f>
        <v>5</v>
      </c>
      <c r="AL54" s="177">
        <f>Sensativities!$B$6</f>
        <v>5</v>
      </c>
      <c r="AM54" s="177">
        <f>Sensativities!$B$6</f>
        <v>5</v>
      </c>
      <c r="AN54" s="177">
        <f>Sensativities!$B$6</f>
        <v>5</v>
      </c>
      <c r="AO54" s="177">
        <f>Sensativities!$B$6</f>
        <v>5</v>
      </c>
      <c r="AP54" s="177">
        <f>Sensativities!$B$6</f>
        <v>5</v>
      </c>
      <c r="AQ54" s="177">
        <f>Sensativities!$B$6</f>
        <v>5</v>
      </c>
      <c r="AR54" s="177">
        <f>Sensativities!$B$6</f>
        <v>5</v>
      </c>
      <c r="AS54" s="177">
        <f>Sensativities!$B$6</f>
        <v>5</v>
      </c>
      <c r="AT54" s="177">
        <f>Sensativities!$B$6</f>
        <v>5</v>
      </c>
      <c r="AU54" s="177">
        <f>Sensativities!$B$6</f>
        <v>5</v>
      </c>
      <c r="AV54" s="177">
        <f>Sensativities!$B$6</f>
        <v>5</v>
      </c>
      <c r="AW54" s="177">
        <f>Sensativities!$B$6</f>
        <v>5</v>
      </c>
      <c r="AX54" s="177">
        <f>Sensativities!$B$6</f>
        <v>5</v>
      </c>
      <c r="AY54" s="177">
        <f>Sensativities!$B$6</f>
        <v>5</v>
      </c>
      <c r="AZ54" s="177">
        <f>Sensativities!$B$6</f>
        <v>5</v>
      </c>
      <c r="BA54" s="177">
        <f>Sensativities!$B$6</f>
        <v>5</v>
      </c>
      <c r="BB54" s="177">
        <f>Sensativities!$B$6</f>
        <v>5</v>
      </c>
      <c r="BC54" s="177">
        <f>Sensativities!$B$6</f>
        <v>5</v>
      </c>
      <c r="BD54" s="177">
        <f>Sensativities!$B$6</f>
        <v>5</v>
      </c>
      <c r="BE54" s="177">
        <f>Sensativities!$B$6</f>
        <v>5</v>
      </c>
      <c r="BF54" s="177">
        <f>Sensativities!$B$6</f>
        <v>5</v>
      </c>
      <c r="BG54" s="177">
        <f>Sensativities!$B$6</f>
        <v>5</v>
      </c>
      <c r="BH54" s="177">
        <f>Sensativities!$B$6</f>
        <v>5</v>
      </c>
      <c r="BI54" s="177">
        <f>Sensativities!$B$6</f>
        <v>5</v>
      </c>
      <c r="BJ54" s="177">
        <f>Sensativities!$B$6</f>
        <v>5</v>
      </c>
      <c r="BK54" s="177">
        <f>Sensativities!$B$6</f>
        <v>5</v>
      </c>
      <c r="BL54" s="177">
        <f>Sensativities!$B$6</f>
        <v>5</v>
      </c>
      <c r="BM54" s="177">
        <f>Sensativities!$B$6</f>
        <v>5</v>
      </c>
      <c r="BN54" s="177">
        <f>Sensativities!$B$6</f>
        <v>5</v>
      </c>
      <c r="BO54" s="177">
        <f>Sensativities!$B$6</f>
        <v>5</v>
      </c>
      <c r="BP54" s="177">
        <f>Sensativities!$B$6</f>
        <v>5</v>
      </c>
      <c r="BQ54" s="177">
        <f>Sensativities!$B$6</f>
        <v>5</v>
      </c>
      <c r="BR54" s="177">
        <f>Sensativities!$B$6</f>
        <v>5</v>
      </c>
      <c r="BS54" s="177">
        <f>Sensativities!$B$6</f>
        <v>5</v>
      </c>
      <c r="BT54" s="177">
        <f>Sensativities!$B$6</f>
        <v>5</v>
      </c>
      <c r="BU54" s="177">
        <f>Sensativities!$B$6</f>
        <v>5</v>
      </c>
      <c r="BV54" s="177">
        <f>Sensativities!$B$6</f>
        <v>5</v>
      </c>
      <c r="BW54" s="177">
        <f>Sensativities!$B$6</f>
        <v>5</v>
      </c>
      <c r="BX54" s="177">
        <f>Sensativities!$B$6</f>
        <v>5</v>
      </c>
      <c r="BY54" s="177">
        <f>Sensativities!$B$6</f>
        <v>5</v>
      </c>
    </row>
    <row r="55" spans="1:77" s="131" customFormat="1" x14ac:dyDescent="0.2">
      <c r="B55" s="131" t="s">
        <v>182</v>
      </c>
      <c r="D55" s="549">
        <f>Sensativities!$B$7</f>
        <v>30</v>
      </c>
      <c r="E55" s="549">
        <f>Sensativities!$B$7</f>
        <v>30</v>
      </c>
      <c r="F55" s="549">
        <f>Sensativities!$B$7</f>
        <v>30</v>
      </c>
      <c r="G55" s="178">
        <f>Sensativities!$B$7</f>
        <v>30</v>
      </c>
      <c r="H55" s="178">
        <f>Sensativities!$B$7</f>
        <v>30</v>
      </c>
      <c r="I55" s="178">
        <f>Sensativities!$B$7</f>
        <v>30</v>
      </c>
      <c r="J55" s="178">
        <f>Sensativities!$B$7</f>
        <v>30</v>
      </c>
      <c r="K55" s="178">
        <f>Sensativities!$B$7</f>
        <v>30</v>
      </c>
      <c r="L55" s="178">
        <f>Sensativities!$B$7</f>
        <v>30</v>
      </c>
      <c r="M55" s="178">
        <f>Sensativities!$B$7</f>
        <v>30</v>
      </c>
      <c r="N55" s="178">
        <f>Sensativities!$B$7</f>
        <v>30</v>
      </c>
      <c r="O55" s="178">
        <f>Sensativities!$B$7</f>
        <v>30</v>
      </c>
      <c r="P55" s="178">
        <f>Sensativities!$B$7</f>
        <v>30</v>
      </c>
      <c r="Q55" s="178">
        <f>Sensativities!$B$7</f>
        <v>30</v>
      </c>
      <c r="R55" s="178">
        <f>Sensativities!$B$7</f>
        <v>30</v>
      </c>
      <c r="S55" s="178">
        <f>Sensativities!$B$7</f>
        <v>30</v>
      </c>
      <c r="T55" s="178">
        <f>Sensativities!$B$7</f>
        <v>30</v>
      </c>
      <c r="U55" s="178">
        <f>Sensativities!$B$7</f>
        <v>30</v>
      </c>
      <c r="V55" s="178">
        <f>Sensativities!$B$7</f>
        <v>30</v>
      </c>
      <c r="W55" s="178">
        <f>Sensativities!$B$7</f>
        <v>30</v>
      </c>
      <c r="X55" s="178">
        <f>Sensativities!$B$7</f>
        <v>30</v>
      </c>
      <c r="Y55" s="178">
        <f>Sensativities!$B$7</f>
        <v>30</v>
      </c>
      <c r="Z55" s="178">
        <f>Sensativities!$B$7</f>
        <v>30</v>
      </c>
      <c r="AA55" s="178">
        <f>Sensativities!$B$7</f>
        <v>30</v>
      </c>
      <c r="AB55" s="178">
        <f>Sensativities!$B$7</f>
        <v>30</v>
      </c>
      <c r="AC55" s="178">
        <f>Sensativities!$B$7</f>
        <v>30</v>
      </c>
      <c r="AD55" s="178">
        <f>Sensativities!$B$7</f>
        <v>30</v>
      </c>
      <c r="AE55" s="178">
        <f>Sensativities!$B$7</f>
        <v>30</v>
      </c>
      <c r="AF55" s="178">
        <f>Sensativities!$B$7</f>
        <v>30</v>
      </c>
      <c r="AG55" s="178">
        <f>Sensativities!$B$7</f>
        <v>30</v>
      </c>
      <c r="AH55" s="178">
        <f>Sensativities!$B$7</f>
        <v>30</v>
      </c>
      <c r="AI55" s="178">
        <f>Sensativities!$B$7</f>
        <v>30</v>
      </c>
      <c r="AJ55" s="178">
        <f>Sensativities!$B$7</f>
        <v>30</v>
      </c>
      <c r="AK55" s="178">
        <f>Sensativities!$B$7</f>
        <v>30</v>
      </c>
      <c r="AL55" s="178">
        <f>Sensativities!$B$7</f>
        <v>30</v>
      </c>
      <c r="AM55" s="178">
        <f>Sensativities!$B$7</f>
        <v>30</v>
      </c>
      <c r="AN55" s="178">
        <f>Sensativities!$B$7</f>
        <v>30</v>
      </c>
      <c r="AO55" s="178">
        <f>Sensativities!$B$7</f>
        <v>30</v>
      </c>
      <c r="AP55" s="178">
        <f>Sensativities!$B$7</f>
        <v>30</v>
      </c>
      <c r="AQ55" s="178">
        <f>Sensativities!$B$7</f>
        <v>30</v>
      </c>
      <c r="AR55" s="178">
        <f>Sensativities!$B$7</f>
        <v>30</v>
      </c>
      <c r="AS55" s="178">
        <f>Sensativities!$B$7</f>
        <v>30</v>
      </c>
      <c r="AT55" s="178">
        <f>Sensativities!$B$7</f>
        <v>30</v>
      </c>
      <c r="AU55" s="178">
        <f>Sensativities!$B$7</f>
        <v>30</v>
      </c>
      <c r="AV55" s="178">
        <f>Sensativities!$B$7</f>
        <v>30</v>
      </c>
      <c r="AW55" s="178">
        <f>Sensativities!$B$7</f>
        <v>30</v>
      </c>
      <c r="AX55" s="178">
        <f>Sensativities!$B$7</f>
        <v>30</v>
      </c>
      <c r="AY55" s="178">
        <f>Sensativities!$B$7</f>
        <v>30</v>
      </c>
      <c r="AZ55" s="178">
        <f>Sensativities!$B$7</f>
        <v>30</v>
      </c>
      <c r="BA55" s="178">
        <f>Sensativities!$B$7</f>
        <v>30</v>
      </c>
      <c r="BB55" s="178">
        <f>Sensativities!$B$7</f>
        <v>30</v>
      </c>
      <c r="BC55" s="178">
        <f>Sensativities!$B$7</f>
        <v>30</v>
      </c>
      <c r="BD55" s="178">
        <f>Sensativities!$B$7</f>
        <v>30</v>
      </c>
      <c r="BE55" s="178">
        <f>Sensativities!$B$7</f>
        <v>30</v>
      </c>
      <c r="BF55" s="178">
        <f>Sensativities!$B$7</f>
        <v>30</v>
      </c>
      <c r="BG55" s="178">
        <f>Sensativities!$B$7</f>
        <v>30</v>
      </c>
      <c r="BH55" s="178">
        <f>Sensativities!$B$7</f>
        <v>30</v>
      </c>
      <c r="BI55" s="178">
        <f>Sensativities!$B$7</f>
        <v>30</v>
      </c>
      <c r="BJ55" s="178">
        <f>Sensativities!$B$7</f>
        <v>30</v>
      </c>
      <c r="BK55" s="178">
        <f>Sensativities!$B$7</f>
        <v>30</v>
      </c>
      <c r="BL55" s="178">
        <f>Sensativities!$B$7</f>
        <v>30</v>
      </c>
      <c r="BM55" s="178">
        <f>Sensativities!$B$7</f>
        <v>30</v>
      </c>
      <c r="BN55" s="178">
        <f>Sensativities!$B$7</f>
        <v>30</v>
      </c>
      <c r="BO55" s="178">
        <f>Sensativities!$B$7</f>
        <v>30</v>
      </c>
      <c r="BP55" s="178">
        <f>Sensativities!$B$7</f>
        <v>30</v>
      </c>
      <c r="BQ55" s="178">
        <f>Sensativities!$B$7</f>
        <v>30</v>
      </c>
      <c r="BR55" s="178">
        <f>Sensativities!$B$7</f>
        <v>30</v>
      </c>
      <c r="BS55" s="178">
        <f>Sensativities!$B$7</f>
        <v>30</v>
      </c>
      <c r="BT55" s="178">
        <f>Sensativities!$B$7</f>
        <v>30</v>
      </c>
      <c r="BU55" s="178">
        <f>Sensativities!$B$7</f>
        <v>30</v>
      </c>
      <c r="BV55" s="178">
        <f>Sensativities!$B$7</f>
        <v>30</v>
      </c>
      <c r="BW55" s="178">
        <f>Sensativities!$B$7</f>
        <v>30</v>
      </c>
      <c r="BX55" s="178">
        <f>Sensativities!$B$7</f>
        <v>30</v>
      </c>
      <c r="BY55" s="178">
        <f>Sensativities!$B$7</f>
        <v>30</v>
      </c>
    </row>
    <row r="56" spans="1:77" s="131" customFormat="1" x14ac:dyDescent="0.2">
      <c r="D56" s="550"/>
      <c r="E56" s="550"/>
      <c r="F56" s="550"/>
      <c r="G56" s="93"/>
      <c r="H56" s="93"/>
      <c r="I56" s="93"/>
      <c r="J56" s="93"/>
      <c r="K56" s="93"/>
      <c r="L56" s="93"/>
      <c r="M56" s="93"/>
      <c r="N56" s="93"/>
      <c r="O56" s="93"/>
      <c r="P56" s="93"/>
      <c r="Q56" s="93"/>
      <c r="R56" s="93"/>
      <c r="S56" s="93"/>
      <c r="T56" s="93"/>
      <c r="U56" s="93"/>
      <c r="V56" s="93"/>
      <c r="W56" s="93"/>
      <c r="X56" s="93"/>
      <c r="Y56" s="93"/>
      <c r="Z56" s="93"/>
      <c r="AA56" s="93"/>
      <c r="AB56" s="93"/>
    </row>
    <row r="57" spans="1:77" s="131" customFormat="1" x14ac:dyDescent="0.2">
      <c r="D57" s="551"/>
      <c r="E57" s="551"/>
      <c r="F57" s="551"/>
      <c r="N57" s="237"/>
      <c r="Q57" s="237"/>
      <c r="R57" s="237"/>
      <c r="S57" s="237"/>
      <c r="T57" s="237"/>
      <c r="U57" s="237"/>
      <c r="V57" s="237"/>
      <c r="W57" s="237"/>
      <c r="X57" s="237"/>
      <c r="Z57" s="237"/>
      <c r="AA57" s="237"/>
      <c r="AB57" s="237"/>
      <c r="AD57" s="237"/>
    </row>
    <row r="58" spans="1:77" s="131" customFormat="1" x14ac:dyDescent="0.2">
      <c r="D58" s="551"/>
      <c r="E58" s="551"/>
      <c r="F58" s="551"/>
      <c r="I58" s="315"/>
      <c r="N58" s="315"/>
      <c r="Q58" s="237"/>
    </row>
    <row r="59" spans="1:77" s="131" customFormat="1" x14ac:dyDescent="0.2">
      <c r="D59" s="552"/>
      <c r="E59" s="552"/>
      <c r="F59" s="552"/>
      <c r="G59" s="132"/>
      <c r="H59" s="132"/>
      <c r="I59" s="132"/>
      <c r="J59" s="132"/>
      <c r="K59" s="132"/>
      <c r="L59" s="132"/>
      <c r="M59" s="132"/>
      <c r="N59" s="132"/>
      <c r="O59" s="132"/>
      <c r="P59" s="132"/>
      <c r="Q59" s="132"/>
      <c r="R59" s="132"/>
      <c r="S59" s="132"/>
      <c r="T59" s="132"/>
      <c r="U59" s="132"/>
      <c r="V59" s="132"/>
      <c r="W59" s="132"/>
      <c r="X59" s="132"/>
      <c r="Y59" s="132"/>
      <c r="Z59" s="132"/>
      <c r="AA59" s="132"/>
    </row>
    <row r="60" spans="1:77" s="448" customFormat="1" x14ac:dyDescent="0.2">
      <c r="A60" s="447" t="s">
        <v>532</v>
      </c>
      <c r="D60" s="553"/>
      <c r="E60" s="553"/>
      <c r="F60" s="553"/>
    </row>
    <row r="61" spans="1:77" s="131" customFormat="1" x14ac:dyDescent="0.2">
      <c r="B61" s="100" t="s">
        <v>531</v>
      </c>
      <c r="D61" s="551"/>
      <c r="E61" s="551"/>
      <c r="F61" s="568">
        <f>+E29</f>
        <v>2448176.83</v>
      </c>
      <c r="G61" s="568">
        <f>+F29</f>
        <v>2451443.6811143844</v>
      </c>
      <c r="H61" s="568">
        <f>+G29</f>
        <v>2411815.7549593886</v>
      </c>
      <c r="I61" s="568">
        <f>+H29</f>
        <v>2359010.9015557361</v>
      </c>
      <c r="J61" s="568">
        <f t="shared" ref="J61:W61" si="90">+I29</f>
        <v>3303695.0664396943</v>
      </c>
      <c r="K61" s="568">
        <f t="shared" si="90"/>
        <v>3565567.1843792517</v>
      </c>
      <c r="L61" s="568">
        <f t="shared" si="90"/>
        <v>3497235.7020452945</v>
      </c>
      <c r="M61" s="568">
        <f t="shared" si="90"/>
        <v>3504387.7004646901</v>
      </c>
      <c r="N61" s="568">
        <f t="shared" si="90"/>
        <v>3457435.0925441496</v>
      </c>
      <c r="O61" s="568">
        <f t="shared" si="90"/>
        <v>3411836.1159384376</v>
      </c>
      <c r="P61" s="568">
        <f t="shared" si="90"/>
        <v>3608558.6505331378</v>
      </c>
      <c r="Q61" s="568">
        <f t="shared" si="90"/>
        <v>3389939.2191822021</v>
      </c>
      <c r="R61" s="568">
        <f t="shared" si="90"/>
        <v>2110394.37</v>
      </c>
      <c r="S61" s="568">
        <f t="shared" si="90"/>
        <v>3091002.33</v>
      </c>
      <c r="T61" s="568">
        <f t="shared" si="90"/>
        <v>2766690.83</v>
      </c>
      <c r="U61" s="568">
        <f t="shared" si="90"/>
        <v>2602389.7799999998</v>
      </c>
      <c r="V61" s="568">
        <f t="shared" si="90"/>
        <v>2431390.27</v>
      </c>
      <c r="W61" s="568">
        <f t="shared" si="90"/>
        <v>2374179.9500000002</v>
      </c>
      <c r="X61" s="315">
        <f>W65</f>
        <v>2484153.2799999998</v>
      </c>
      <c r="Y61" s="315">
        <f t="shared" ref="Y61:AE61" si="91">X65</f>
        <v>2579841.1160345278</v>
      </c>
      <c r="Z61" s="315">
        <f t="shared" si="91"/>
        <v>2588216.4714687136</v>
      </c>
      <c r="AA61" s="315">
        <f t="shared" si="91"/>
        <v>2596524.3709289683</v>
      </c>
      <c r="AB61" s="315">
        <f t="shared" si="91"/>
        <v>2604567.3926660898</v>
      </c>
      <c r="AC61" s="315">
        <f t="shared" si="91"/>
        <v>2611158.594670583</v>
      </c>
      <c r="AD61" s="315">
        <f t="shared" si="91"/>
        <v>2617881.4643648248</v>
      </c>
      <c r="AE61" s="315">
        <f t="shared" si="91"/>
        <v>2626600.0549700949</v>
      </c>
      <c r="AF61" s="315">
        <f t="shared" ref="AF61:AJ61" si="92">AE65</f>
        <v>2636173.3635492227</v>
      </c>
      <c r="AG61" s="315">
        <f t="shared" si="92"/>
        <v>2640379.7260470507</v>
      </c>
      <c r="AH61" s="315">
        <f t="shared" si="92"/>
        <v>2653714.1835147967</v>
      </c>
      <c r="AI61" s="315">
        <f t="shared" si="92"/>
        <v>2667118.7040198799</v>
      </c>
      <c r="AJ61" s="315">
        <f t="shared" si="92"/>
        <v>2679603.436238125</v>
      </c>
      <c r="AK61" s="315">
        <f t="shared" ref="AK61:AO61" si="93">AJ65</f>
        <v>2676809.8314053882</v>
      </c>
      <c r="AL61" s="315">
        <f t="shared" si="93"/>
        <v>2685856.440560854</v>
      </c>
      <c r="AM61" s="315">
        <f t="shared" si="93"/>
        <v>2720155.0696349945</v>
      </c>
      <c r="AN61" s="315">
        <f t="shared" si="93"/>
        <v>2734732.8776542395</v>
      </c>
      <c r="AO61" s="315">
        <f t="shared" si="93"/>
        <v>2727255.9839439266</v>
      </c>
      <c r="AP61" s="315">
        <f t="shared" ref="AP61" si="94">AO65</f>
        <v>2728341.5752954315</v>
      </c>
      <c r="AQ61" s="315">
        <f t="shared" ref="AQ61" si="95">AP65</f>
        <v>2764462.2534193737</v>
      </c>
      <c r="AR61" s="315">
        <f t="shared" ref="AR61" si="96">AQ65</f>
        <v>2778895.240181264</v>
      </c>
      <c r="AS61" s="315">
        <f t="shared" ref="AS61" si="97">AR65</f>
        <v>2793909.7643919522</v>
      </c>
      <c r="AT61" s="315">
        <f t="shared" ref="AT61" si="98">AS65</f>
        <v>2808165.6350026489</v>
      </c>
      <c r="AU61" s="315">
        <f t="shared" ref="AU61" si="99">AT65</f>
        <v>2821856.7672879379</v>
      </c>
      <c r="AV61" s="315">
        <f t="shared" ref="AV61" si="100">AU65</f>
        <v>2835400.3406990329</v>
      </c>
      <c r="AW61" s="315">
        <f t="shared" ref="AW61" si="101">AV65</f>
        <v>2848951.5119823529</v>
      </c>
      <c r="AX61" s="315">
        <f t="shared" ref="AX61" si="102">AW65</f>
        <v>2862671.0441122134</v>
      </c>
      <c r="AY61" s="315">
        <f t="shared" ref="AY61" si="103">AX65</f>
        <v>2876557.3177029733</v>
      </c>
      <c r="AZ61" s="315">
        <f t="shared" ref="AZ61" si="104">AY65</f>
        <v>2890136.6862729522</v>
      </c>
      <c r="BA61" s="315">
        <f t="shared" ref="BA61" si="105">AZ65</f>
        <v>2903716.9119857885</v>
      </c>
      <c r="BB61" s="315">
        <f t="shared" ref="BB61" si="106">BA65</f>
        <v>2917297.994841482</v>
      </c>
      <c r="BC61" s="315">
        <f t="shared" ref="BC61" si="107">BB65</f>
        <v>2481852.0227356181</v>
      </c>
      <c r="BD61" s="315">
        <f t="shared" ref="BD61" si="108">BC65</f>
        <v>2481866.4036879991</v>
      </c>
      <c r="BE61" s="315">
        <f t="shared" ref="BE61" si="109">BD65</f>
        <v>2481881.7846403802</v>
      </c>
      <c r="BF61" s="315">
        <f t="shared" ref="BF61" si="110">BE65</f>
        <v>2481898.1655927612</v>
      </c>
      <c r="BG61" s="315">
        <f t="shared" ref="BG61" si="111">BF65</f>
        <v>2481915.5465451423</v>
      </c>
      <c r="BH61" s="315">
        <f t="shared" ref="BH61" si="112">BG65</f>
        <v>2481933.9274975234</v>
      </c>
      <c r="BI61" s="315">
        <f t="shared" ref="BI61" si="113">BH65</f>
        <v>2481953.3084499044</v>
      </c>
      <c r="BJ61" s="315">
        <f t="shared" ref="BJ61" si="114">BI65</f>
        <v>2481973.6894022855</v>
      </c>
      <c r="BK61" s="315">
        <f t="shared" ref="BK61" si="115">BJ65</f>
        <v>2481995.0703546666</v>
      </c>
      <c r="BL61" s="315">
        <f t="shared" ref="BL61" si="116">BK65</f>
        <v>2482017.4513070476</v>
      </c>
      <c r="BM61" s="315">
        <f t="shared" ref="BM61" si="117">BL65</f>
        <v>2482040.8322594287</v>
      </c>
      <c r="BN61" s="315">
        <f t="shared" ref="BN61" si="118">BM65</f>
        <v>2482065.2132118098</v>
      </c>
      <c r="BO61" s="315">
        <f t="shared" ref="BO61" si="119">BN65</f>
        <v>2482090.5941641908</v>
      </c>
      <c r="BP61" s="315">
        <f t="shared" ref="BP61" si="120">BO65</f>
        <v>2482116.9751165719</v>
      </c>
      <c r="BQ61" s="315">
        <f t="shared" ref="BQ61" si="121">BP65</f>
        <v>2482144.3560689529</v>
      </c>
      <c r="BR61" s="315">
        <f t="shared" ref="BR61" si="122">BQ65</f>
        <v>2482172.737021334</v>
      </c>
      <c r="BS61" s="315">
        <f t="shared" ref="BS61" si="123">BR65</f>
        <v>2482202.1179737151</v>
      </c>
      <c r="BT61" s="315">
        <f t="shared" ref="BT61" si="124">BS65</f>
        <v>2482232.4989260961</v>
      </c>
      <c r="BU61" s="315">
        <f t="shared" ref="BU61" si="125">BT65</f>
        <v>2482263.8798784772</v>
      </c>
      <c r="BV61" s="315">
        <f t="shared" ref="BV61" si="126">BU65</f>
        <v>2482296.2608308583</v>
      </c>
      <c r="BW61" s="315">
        <f t="shared" ref="BW61" si="127">BV65</f>
        <v>2482329.6417832393</v>
      </c>
      <c r="BX61" s="315">
        <f t="shared" ref="BX61" si="128">BW65</f>
        <v>2482364.0227356204</v>
      </c>
      <c r="BY61" s="315">
        <f t="shared" ref="BY61" si="129">BX65</f>
        <v>2482399.4036880014</v>
      </c>
    </row>
    <row r="62" spans="1:77" s="131" customFormat="1" x14ac:dyDescent="0.2">
      <c r="B62" s="442" t="s">
        <v>528</v>
      </c>
      <c r="D62" s="315"/>
      <c r="E62" s="315"/>
      <c r="F62" s="315"/>
      <c r="G62" s="315"/>
      <c r="H62" s="315"/>
      <c r="I62" s="315"/>
      <c r="J62" s="315"/>
      <c r="K62" s="315"/>
      <c r="L62" s="315"/>
      <c r="M62" s="315"/>
      <c r="N62" s="315"/>
      <c r="O62" s="315"/>
      <c r="P62" s="315"/>
      <c r="Q62" s="315"/>
      <c r="R62" s="315"/>
      <c r="S62" s="315"/>
      <c r="T62" s="315"/>
      <c r="U62" s="315"/>
      <c r="V62" s="315"/>
      <c r="W62" s="315"/>
      <c r="X62" s="315">
        <f>('Voice Revenue'!T65*Sensativities!$B$8)+('SMS Revenue'!T66*Sensativities!$B$8)+('SMS Sub'!T66*Sensativities!$B$8)</f>
        <v>96089.482086528122</v>
      </c>
      <c r="Y62" s="315">
        <f>('Voice Revenue'!U65*Sensativities!$B$8)+('SMS Revenue'!U66*Sensativities!$B$8)+('SMS Sub'!U66*Sensativities!$B$8)</f>
        <v>104866.48357271406</v>
      </c>
      <c r="Z62" s="315">
        <f>('Voice Revenue'!V65*Sensativities!$B$8)+('SMS Revenue'!V66*Sensativities!$B$8)+('SMS Sub'!V66*Sensativities!$B$8)</f>
        <v>113576.02908496872</v>
      </c>
      <c r="AA62" s="315">
        <f>('Voice Revenue'!W65*Sensativities!$B$8)+('SMS Revenue'!W66*Sensativities!$B$8)+('SMS Sub'!W66*Sensativities!$B$8)</f>
        <v>122020.69687409041</v>
      </c>
      <c r="AB62" s="315">
        <f>('Voice Revenue'!X65*Sensativities!$B$8)+('SMS Revenue'!X66*Sensativities!$B$8)+('SMS Sub'!X66*Sensativities!$B$8)</f>
        <v>129013.54493058358</v>
      </c>
      <c r="AC62" s="315">
        <f>('Voice Revenue'!Y65*Sensativities!$B$8)+('SMS Revenue'!Y66*Sensativities!$B$8)+('SMS Sub'!Y66*Sensativities!$B$8)</f>
        <v>136138.06067682561</v>
      </c>
      <c r="AD62" s="315">
        <f>('Voice Revenue'!Z65*Sensativities!$B$8)+('SMS Revenue'!Z66*Sensativities!$B$8)+('SMS Sub'!Z66*Sensativities!$B$8)</f>
        <v>144856.65128209585</v>
      </c>
      <c r="AE62" s="315">
        <f>('Voice Revenue'!AA65*Sensativities!$B$8)+('SMS Revenue'!AA66*Sensativities!$B$8)+('SMS Sub'!AA66*Sensativities!$B$8)</f>
        <v>154429.95986122376</v>
      </c>
      <c r="AF62" s="315">
        <f>('Voice Revenue'!AB65*Sensativities!$B$8)+('SMS Revenue'!AB66*Sensativities!$B$8)+('SMS Sub'!AB66*Sensativities!$B$8)</f>
        <v>158636.3223590517</v>
      </c>
      <c r="AG62" s="315">
        <f>('Voice Revenue'!AC65*Sensativities!$B$8)+('SMS Revenue'!AC66*Sensativities!$B$8)+('SMS Sub'!AC66*Sensativities!$B$8)</f>
        <v>171970.7798267976</v>
      </c>
      <c r="AH62" s="315">
        <f>('Voice Revenue'!AD65*Sensativities!$B$8)+('SMS Revenue'!AD66*Sensativities!$B$8)+('SMS Sub'!AD66*Sensativities!$B$8)</f>
        <v>185375.3003318808</v>
      </c>
      <c r="AI62" s="315">
        <f>('Voice Revenue'!AE65*Sensativities!$B$8)+('SMS Revenue'!AE66*Sensativities!$B$8)+('SMS Sub'!AE66*Sensativities!$B$8)</f>
        <v>197860.03255012596</v>
      </c>
      <c r="AJ62" s="315">
        <f>('Voice Revenue'!AF65*Sensativities!$B$8)+('SMS Revenue'!AF66*Sensativities!$B$8)+('SMS Sub'!AF66*Sensativities!$B$8)</f>
        <v>195066.42771738919</v>
      </c>
      <c r="AK62" s="315">
        <f>('Voice Revenue'!AG65*Sensativities!$B$8)+('SMS Revenue'!AG66*Sensativities!$B$8)+('SMS Sub'!AG66*Sensativities!$B$8)</f>
        <v>204113.03687285478</v>
      </c>
      <c r="AL62" s="315">
        <f>('Voice Revenue'!AH65*Sensativities!$B$8)+('SMS Revenue'!AH66*Sensativities!$B$8)+('SMS Sub'!AH66*Sensativities!$B$8)</f>
        <v>238410.66594699543</v>
      </c>
      <c r="AM62" s="315">
        <f>('Voice Revenue'!AI65*Sensativities!$B$8)+('SMS Revenue'!AI66*Sensativities!$B$8)+('SMS Sub'!AI66*Sensativities!$B$8)</f>
        <v>252986.47396624056</v>
      </c>
      <c r="AN62" s="315">
        <f>('Voice Revenue'!AJ65*Sensativities!$B$8)+('SMS Revenue'!AJ66*Sensativities!$B$8)+('SMS Sub'!AJ66*Sensativities!$B$8)</f>
        <v>245506.5802559274</v>
      </c>
      <c r="AO62" s="315">
        <f>('Voice Revenue'!AK65*Sensativities!$B$8)+('SMS Revenue'!AK66*Sensativities!$B$8)+('SMS Sub'!AK66*Sensativities!$B$8)</f>
        <v>246588.17160743236</v>
      </c>
      <c r="AP62" s="315">
        <f>('Voice Revenue'!AL65*Sensativities!$B$8)+('SMS Revenue'!AL66*Sensativities!$B$8)+('SMS Sub'!AL66*Sensativities!$B$8)</f>
        <v>282708.84973137442</v>
      </c>
      <c r="AQ62" s="315">
        <f>('Voice Revenue'!AM65*Sensativities!$B$8)+('SMS Revenue'!AM66*Sensativities!$B$8)+('SMS Sub'!AM66*Sensativities!$B$8)</f>
        <v>297137.1698265982</v>
      </c>
      <c r="AR62" s="315">
        <f>('Voice Revenue'!AN65*Sensativities!$B$8)+('SMS Revenue'!AN66*Sensativities!$B$8)+('SMS Sub'!AN66*Sensativities!$B$8)</f>
        <v>312146.17022776301</v>
      </c>
      <c r="AS62" s="315">
        <f>('Voice Revenue'!AO65*Sensativities!$B$8)+('SMS Revenue'!AO66*Sensativities!$B$8)+('SMS Sub'!AO66*Sensativities!$B$8)</f>
        <v>326395.65988607833</v>
      </c>
      <c r="AT62" s="315">
        <f>('Voice Revenue'!AP65*Sensativities!$B$8)+('SMS Revenue'!AP66*Sensativities!$B$8)+('SMS Sub'!AP66*Sensativities!$B$8)</f>
        <v>340079.55407612963</v>
      </c>
      <c r="AU62" s="315">
        <f>('Voice Revenue'!AQ65*Sensativities!$B$8)+('SMS Revenue'!AQ66*Sensativities!$B$8)+('SMS Sub'!AQ66*Sensativities!$B$8)</f>
        <v>353615.0322491292</v>
      </c>
      <c r="AV62" s="315">
        <f>('Voice Revenue'!AR65*Sensativities!$B$8)+('SMS Revenue'!AR66*Sensativities!$B$8)+('SMS Sub'!AR66*Sensativities!$B$8)</f>
        <v>367157.25115149718</v>
      </c>
      <c r="AW62" s="315">
        <f>('Voice Revenue'!AS65*Sensativities!$B$8)+('SMS Revenue'!AS66*Sensativities!$B$8)+('SMS Sub'!AS66*Sensativities!$B$8)</f>
        <v>380876.78328135738</v>
      </c>
      <c r="AX62" s="315">
        <f>('Voice Revenue'!AT65*Sensativities!$B$8)+('SMS Revenue'!AT66*Sensativities!$B$8)+('SMS Sub'!AT66*Sensativities!$B$8)</f>
        <v>394753.24734830746</v>
      </c>
      <c r="AY62" s="315">
        <f>('Voice Revenue'!AU65*Sensativities!$B$8)+('SMS Revenue'!AU66*Sensativities!$B$8)+('SMS Sub'!AU66*Sensativities!$B$8)</f>
        <v>408321.94925161998</v>
      </c>
      <c r="AZ62" s="315">
        <f>('Voice Revenue'!AV65*Sensativities!$B$8)+('SMS Revenue'!AV66*Sensativities!$B$8)+('SMS Sub'!AV66*Sensativities!$B$8)</f>
        <v>421890.65115493245</v>
      </c>
      <c r="BA62" s="315">
        <f>('Voice Revenue'!AW65*Sensativities!$B$8)+('SMS Revenue'!AW66*Sensativities!$B$8)+('SMS Sub'!AW66*Sensativities!$B$8)</f>
        <v>435459.35305824492</v>
      </c>
      <c r="BB62" s="315">
        <f>('Voice Revenue'!AX65*Sensativities!$B$8)+('SMS Revenue'!AX66*Sensativities!$B$8)+('SMS Sub'!AX66*Sensativities!$B$8)</f>
        <v>0</v>
      </c>
      <c r="BC62" s="315">
        <f>('Voice Revenue'!AY65*Sensativities!$B$8)+('SMS Revenue'!AY66*Sensativities!$B$8)+('SMS Sub'!AY66*Sensativities!$B$8)</f>
        <v>0</v>
      </c>
      <c r="BD62" s="315">
        <f>('Voice Revenue'!AZ65*Sensativities!$B$8)+('SMS Revenue'!AZ66*Sensativities!$B$8)+('SMS Sub'!AZ66*Sensativities!$B$8)</f>
        <v>0</v>
      </c>
      <c r="BE62" s="315">
        <f>('Voice Revenue'!BA65*Sensativities!$B$8)+('SMS Revenue'!BA66*Sensativities!$B$8)+('SMS Sub'!BA66*Sensativities!$B$8)</f>
        <v>0</v>
      </c>
      <c r="BF62" s="315">
        <f>('Voice Revenue'!BB65*Sensativities!$B$8)+('SMS Revenue'!BB66*Sensativities!$B$8)+('SMS Sub'!BB66*Sensativities!$B$8)</f>
        <v>0</v>
      </c>
      <c r="BG62" s="315">
        <f>('Voice Revenue'!BC65*Sensativities!$B$8)+('SMS Revenue'!BC66*Sensativities!$B$8)+('SMS Sub'!BC66*Sensativities!$B$8)</f>
        <v>0</v>
      </c>
      <c r="BH62" s="315">
        <f>('Voice Revenue'!BD65*Sensativities!$B$8)+('SMS Revenue'!BD66*Sensativities!$B$8)+('SMS Sub'!BD66*Sensativities!$B$8)</f>
        <v>0</v>
      </c>
      <c r="BI62" s="315">
        <f>('Voice Revenue'!BE65*Sensativities!$B$8)+('SMS Revenue'!BE66*Sensativities!$B$8)+('SMS Sub'!BE66*Sensativities!$B$8)</f>
        <v>0</v>
      </c>
      <c r="BJ62" s="315">
        <f>('Voice Revenue'!BF65*Sensativities!$B$8)+('SMS Revenue'!BF66*Sensativities!$B$8)+('SMS Sub'!BF66*Sensativities!$B$8)</f>
        <v>0</v>
      </c>
      <c r="BK62" s="315">
        <f>('Voice Revenue'!BG65*Sensativities!$B$8)+('SMS Revenue'!BG66*Sensativities!$B$8)+('SMS Sub'!BG66*Sensativities!$B$8)</f>
        <v>0</v>
      </c>
      <c r="BL62" s="315">
        <f>('Voice Revenue'!BH65*Sensativities!$B$8)+('SMS Revenue'!BH66*Sensativities!$B$8)+('SMS Sub'!BH66*Sensativities!$B$8)</f>
        <v>0</v>
      </c>
      <c r="BM62" s="315">
        <f>('Voice Revenue'!BI65*Sensativities!$B$8)+('SMS Revenue'!BI66*Sensativities!$B$8)+('SMS Sub'!BI66*Sensativities!$B$8)</f>
        <v>0</v>
      </c>
      <c r="BN62" s="315">
        <f>('Voice Revenue'!BJ65*Sensativities!$B$8)+('SMS Revenue'!BJ66*Sensativities!$B$8)+('SMS Sub'!BJ66*Sensativities!$B$8)</f>
        <v>0</v>
      </c>
      <c r="BO62" s="315">
        <f>('Voice Revenue'!BK65*Sensativities!$B$8)+('SMS Revenue'!BK66*Sensativities!$B$8)+('SMS Sub'!BK66*Sensativities!$B$8)</f>
        <v>0</v>
      </c>
      <c r="BP62" s="315">
        <f>('Voice Revenue'!BL65*Sensativities!$B$8)+('SMS Revenue'!BL66*Sensativities!$B$8)+('SMS Sub'!BL66*Sensativities!$B$8)</f>
        <v>0</v>
      </c>
      <c r="BQ62" s="315">
        <f>('Voice Revenue'!BM65*Sensativities!$B$8)+('SMS Revenue'!BM66*Sensativities!$B$8)+('SMS Sub'!BM66*Sensativities!$B$8)</f>
        <v>0</v>
      </c>
      <c r="BR62" s="315">
        <f>('Voice Revenue'!BN65*Sensativities!$B$8)+('SMS Revenue'!BN66*Sensativities!$B$8)+('SMS Sub'!BN66*Sensativities!$B$8)</f>
        <v>0</v>
      </c>
      <c r="BS62" s="315">
        <f>('Voice Revenue'!BO65*Sensativities!$B$8)+('SMS Revenue'!BO66*Sensativities!$B$8)+('SMS Sub'!BO66*Sensativities!$B$8)</f>
        <v>0</v>
      </c>
      <c r="BT62" s="315">
        <f>('Voice Revenue'!BP65*Sensativities!$B$8)+('SMS Revenue'!BP66*Sensativities!$B$8)+('SMS Sub'!BP66*Sensativities!$B$8)</f>
        <v>0</v>
      </c>
      <c r="BU62" s="315">
        <f>('Voice Revenue'!BQ65*Sensativities!$B$8)+('SMS Revenue'!BQ66*Sensativities!$B$8)+('SMS Sub'!BQ66*Sensativities!$B$8)</f>
        <v>0</v>
      </c>
      <c r="BV62" s="315">
        <f>('Voice Revenue'!BR65*Sensativities!$B$8)+('SMS Revenue'!BR66*Sensativities!$B$8)+('SMS Sub'!BR66*Sensativities!$B$8)</f>
        <v>0</v>
      </c>
      <c r="BW62" s="315">
        <f>('Voice Revenue'!BS65*Sensativities!$B$8)+('SMS Revenue'!BS66*Sensativities!$B$8)+('SMS Sub'!BS66*Sensativities!$B$8)</f>
        <v>0</v>
      </c>
      <c r="BX62" s="315">
        <f>('Voice Revenue'!BT65*Sensativities!$B$8)+('SMS Revenue'!BT66*Sensativities!$B$8)+('SMS Sub'!BT66*Sensativities!$B$8)</f>
        <v>0</v>
      </c>
      <c r="BY62" s="315">
        <f>('Voice Revenue'!BU65*Sensativities!$B$8)+('SMS Revenue'!BU66*Sensativities!$B$8)+('SMS Sub'!BU66*Sensativities!$B$8)</f>
        <v>0</v>
      </c>
    </row>
    <row r="63" spans="1:77" s="131" customFormat="1" x14ac:dyDescent="0.2">
      <c r="B63" s="442" t="s">
        <v>529</v>
      </c>
      <c r="D63" s="315"/>
      <c r="E63" s="315"/>
      <c r="F63" s="315">
        <f>-(+E29-F29)+25039</f>
        <v>28305.851114384364</v>
      </c>
      <c r="G63" s="315">
        <f t="shared" ref="G63:Q63" si="130">-(+F29-G29)+25039</f>
        <v>-14588.926154995803</v>
      </c>
      <c r="H63" s="315">
        <f t="shared" si="130"/>
        <v>-27765.853403652553</v>
      </c>
      <c r="I63" s="315">
        <f t="shared" si="130"/>
        <v>969723.16488395818</v>
      </c>
      <c r="J63" s="315">
        <f t="shared" si="130"/>
        <v>286911.11793955741</v>
      </c>
      <c r="K63" s="315">
        <f t="shared" si="130"/>
        <v>-43292.482333957218</v>
      </c>
      <c r="L63" s="315">
        <f t="shared" si="130"/>
        <v>32190.998419395648</v>
      </c>
      <c r="M63" s="315">
        <f t="shared" si="130"/>
        <v>-21913.607920540497</v>
      </c>
      <c r="N63" s="315">
        <f t="shared" si="130"/>
        <v>-20559.97660571197</v>
      </c>
      <c r="O63" s="315">
        <f t="shared" si="130"/>
        <v>221761.53459470021</v>
      </c>
      <c r="P63" s="315">
        <f t="shared" si="130"/>
        <v>-193580.43135093572</v>
      </c>
      <c r="Q63" s="315">
        <f t="shared" si="130"/>
        <v>-1254505.849182202</v>
      </c>
      <c r="R63" s="315">
        <f>-(+Q29-R29)+7096.22</f>
        <v>987704.17999999993</v>
      </c>
      <c r="S63" s="315">
        <f>-(+R29-S29)-70041</f>
        <v>-394352.5</v>
      </c>
      <c r="T63" s="315">
        <f>-(+S29-T29)-98915</f>
        <v>-263216.05000000028</v>
      </c>
      <c r="U63" s="315">
        <f>-(+T29-U29)-83043</f>
        <v>-254042.50999999978</v>
      </c>
      <c r="V63" s="315">
        <f>-(+U29-V29)-63499</f>
        <v>-120709.31999999983</v>
      </c>
      <c r="W63" s="315">
        <f>-(+V29-W29)-8938.57</f>
        <v>101034.7599999996</v>
      </c>
      <c r="X63" s="315">
        <f t="shared" ref="X63:AO63" si="131">-W62</f>
        <v>0</v>
      </c>
      <c r="Y63" s="315">
        <f t="shared" si="131"/>
        <v>-96089.482086528122</v>
      </c>
      <c r="Z63" s="315">
        <f t="shared" si="131"/>
        <v>-104866.48357271406</v>
      </c>
      <c r="AA63" s="315">
        <f t="shared" si="131"/>
        <v>-113576.02908496872</v>
      </c>
      <c r="AB63" s="315">
        <f t="shared" si="131"/>
        <v>-122020.69687409041</v>
      </c>
      <c r="AC63" s="315">
        <f t="shared" si="131"/>
        <v>-129013.54493058358</v>
      </c>
      <c r="AD63" s="315">
        <f t="shared" si="131"/>
        <v>-136138.06067682561</v>
      </c>
      <c r="AE63" s="315">
        <f t="shared" si="131"/>
        <v>-144856.65128209585</v>
      </c>
      <c r="AF63" s="315">
        <f t="shared" si="131"/>
        <v>-154429.95986122376</v>
      </c>
      <c r="AG63" s="315">
        <f t="shared" si="131"/>
        <v>-158636.3223590517</v>
      </c>
      <c r="AH63" s="315">
        <f t="shared" si="131"/>
        <v>-171970.7798267976</v>
      </c>
      <c r="AI63" s="315">
        <f t="shared" si="131"/>
        <v>-185375.3003318808</v>
      </c>
      <c r="AJ63" s="315">
        <f t="shared" si="131"/>
        <v>-197860.03255012596</v>
      </c>
      <c r="AK63" s="315">
        <f t="shared" si="131"/>
        <v>-195066.42771738919</v>
      </c>
      <c r="AL63" s="315">
        <f t="shared" si="131"/>
        <v>-204113.03687285478</v>
      </c>
      <c r="AM63" s="315">
        <f t="shared" si="131"/>
        <v>-238410.66594699543</v>
      </c>
      <c r="AN63" s="315">
        <f t="shared" si="131"/>
        <v>-252986.47396624056</v>
      </c>
      <c r="AO63" s="315">
        <f t="shared" si="131"/>
        <v>-245506.5802559274</v>
      </c>
      <c r="AP63" s="315">
        <f t="shared" ref="AP63" si="132">-AO62</f>
        <v>-246588.17160743236</v>
      </c>
      <c r="AQ63" s="315">
        <f t="shared" ref="AQ63" si="133">-AP62</f>
        <v>-282708.84973137442</v>
      </c>
      <c r="AR63" s="315">
        <f t="shared" ref="AR63" si="134">-AQ62</f>
        <v>-297137.1698265982</v>
      </c>
      <c r="AS63" s="315">
        <f t="shared" ref="AS63" si="135">-AR62</f>
        <v>-312146.17022776301</v>
      </c>
      <c r="AT63" s="315">
        <f t="shared" ref="AT63" si="136">-AS62</f>
        <v>-326395.65988607833</v>
      </c>
      <c r="AU63" s="315">
        <f t="shared" ref="AU63" si="137">-AT62</f>
        <v>-340079.55407612963</v>
      </c>
      <c r="AV63" s="315">
        <f t="shared" ref="AV63" si="138">-AU62</f>
        <v>-353615.0322491292</v>
      </c>
      <c r="AW63" s="315">
        <f t="shared" ref="AW63" si="139">-AV62</f>
        <v>-367157.25115149718</v>
      </c>
      <c r="AX63" s="315">
        <f t="shared" ref="AX63" si="140">-AW62</f>
        <v>-380876.78328135738</v>
      </c>
      <c r="AY63" s="315">
        <f t="shared" ref="AY63" si="141">-AX62</f>
        <v>-394753.24734830746</v>
      </c>
      <c r="AZ63" s="315">
        <f t="shared" ref="AZ63" si="142">-AY62</f>
        <v>-408321.94925161998</v>
      </c>
      <c r="BA63" s="315">
        <f t="shared" ref="BA63" si="143">-AZ62</f>
        <v>-421890.65115493245</v>
      </c>
      <c r="BB63" s="315">
        <f t="shared" ref="BB63" si="144">-BA62</f>
        <v>-435459.35305824492</v>
      </c>
      <c r="BC63" s="315">
        <f t="shared" ref="BC63" si="145">-BB62</f>
        <v>0</v>
      </c>
      <c r="BD63" s="315">
        <f t="shared" ref="BD63" si="146">-BC62</f>
        <v>0</v>
      </c>
      <c r="BE63" s="315">
        <f t="shared" ref="BE63" si="147">-BD62</f>
        <v>0</v>
      </c>
      <c r="BF63" s="315">
        <f t="shared" ref="BF63" si="148">-BE62</f>
        <v>0</v>
      </c>
      <c r="BG63" s="315">
        <f t="shared" ref="BG63" si="149">-BF62</f>
        <v>0</v>
      </c>
      <c r="BH63" s="315">
        <f t="shared" ref="BH63" si="150">-BG62</f>
        <v>0</v>
      </c>
      <c r="BI63" s="315">
        <f t="shared" ref="BI63" si="151">-BH62</f>
        <v>0</v>
      </c>
      <c r="BJ63" s="315">
        <f t="shared" ref="BJ63" si="152">-BI62</f>
        <v>0</v>
      </c>
      <c r="BK63" s="315">
        <f t="shared" ref="BK63" si="153">-BJ62</f>
        <v>0</v>
      </c>
      <c r="BL63" s="315">
        <f t="shared" ref="BL63" si="154">-BK62</f>
        <v>0</v>
      </c>
      <c r="BM63" s="315">
        <f t="shared" ref="BM63" si="155">-BL62</f>
        <v>0</v>
      </c>
      <c r="BN63" s="315">
        <f t="shared" ref="BN63" si="156">-BM62</f>
        <v>0</v>
      </c>
      <c r="BO63" s="315">
        <f t="shared" ref="BO63" si="157">-BN62</f>
        <v>0</v>
      </c>
      <c r="BP63" s="315">
        <f t="shared" ref="BP63" si="158">-BO62</f>
        <v>0</v>
      </c>
      <c r="BQ63" s="315">
        <f t="shared" ref="BQ63" si="159">-BP62</f>
        <v>0</v>
      </c>
      <c r="BR63" s="315">
        <f t="shared" ref="BR63" si="160">-BQ62</f>
        <v>0</v>
      </c>
      <c r="BS63" s="315">
        <f t="shared" ref="BS63" si="161">-BR62</f>
        <v>0</v>
      </c>
      <c r="BT63" s="315">
        <f t="shared" ref="BT63" si="162">-BS62</f>
        <v>0</v>
      </c>
      <c r="BU63" s="315">
        <f t="shared" ref="BU63" si="163">-BT62</f>
        <v>0</v>
      </c>
      <c r="BV63" s="315">
        <f t="shared" ref="BV63" si="164">-BU62</f>
        <v>0</v>
      </c>
      <c r="BW63" s="315">
        <f t="shared" ref="BW63" si="165">-BV62</f>
        <v>0</v>
      </c>
      <c r="BX63" s="315">
        <f t="shared" ref="BX63" si="166">-BW62</f>
        <v>0</v>
      </c>
      <c r="BY63" s="315">
        <f t="shared" ref="BY63" si="167">-BX62</f>
        <v>0</v>
      </c>
    </row>
    <row r="64" spans="1:77" s="131" customFormat="1" x14ac:dyDescent="0.2">
      <c r="B64" s="442" t="s">
        <v>530</v>
      </c>
      <c r="D64" s="551"/>
      <c r="E64" s="551"/>
      <c r="F64" s="568">
        <f>300472/12</f>
        <v>25039.333333333332</v>
      </c>
      <c r="G64" s="568">
        <f t="shared" ref="G64:Q64" si="168">300472/12</f>
        <v>25039.333333333332</v>
      </c>
      <c r="H64" s="568">
        <f t="shared" si="168"/>
        <v>25039.333333333332</v>
      </c>
      <c r="I64" s="568">
        <f t="shared" si="168"/>
        <v>25039.333333333332</v>
      </c>
      <c r="J64" s="568">
        <f t="shared" si="168"/>
        <v>25039.333333333332</v>
      </c>
      <c r="K64" s="568">
        <f t="shared" si="168"/>
        <v>25039.333333333332</v>
      </c>
      <c r="L64" s="568">
        <f t="shared" si="168"/>
        <v>25039.333333333332</v>
      </c>
      <c r="M64" s="568">
        <f t="shared" si="168"/>
        <v>25039.333333333332</v>
      </c>
      <c r="N64" s="568">
        <f t="shared" si="168"/>
        <v>25039.333333333332</v>
      </c>
      <c r="O64" s="568">
        <f t="shared" si="168"/>
        <v>25039.333333333332</v>
      </c>
      <c r="P64" s="568">
        <f t="shared" si="168"/>
        <v>25039.333333333332</v>
      </c>
      <c r="Q64" s="568">
        <f t="shared" si="168"/>
        <v>25039.333333333332</v>
      </c>
      <c r="R64" s="131">
        <v>7096.22</v>
      </c>
      <c r="S64" s="315">
        <v>70040.87</v>
      </c>
      <c r="T64" s="315">
        <v>98915.37</v>
      </c>
      <c r="U64" s="315">
        <v>83043.05</v>
      </c>
      <c r="V64" s="315">
        <v>63498.71</v>
      </c>
      <c r="W64" s="315">
        <v>8938.57</v>
      </c>
      <c r="X64" s="315">
        <f>-R64*5.66%</f>
        <v>-401.64605200000005</v>
      </c>
      <c r="Y64" s="315">
        <f t="shared" ref="Y64:AH64" si="169">X64</f>
        <v>-401.64605200000005</v>
      </c>
      <c r="Z64" s="315">
        <f t="shared" si="169"/>
        <v>-401.64605200000005</v>
      </c>
      <c r="AA64" s="315">
        <f t="shared" si="169"/>
        <v>-401.64605200000005</v>
      </c>
      <c r="AB64" s="315">
        <f t="shared" si="169"/>
        <v>-401.64605200000005</v>
      </c>
      <c r="AC64" s="315">
        <f t="shared" si="169"/>
        <v>-401.64605200000005</v>
      </c>
      <c r="AD64" s="315">
        <v>0</v>
      </c>
      <c r="AE64" s="315">
        <v>0</v>
      </c>
      <c r="AF64" s="315">
        <v>0</v>
      </c>
      <c r="AG64" s="315">
        <v>0</v>
      </c>
      <c r="AH64" s="315">
        <f t="shared" si="169"/>
        <v>0</v>
      </c>
      <c r="AI64" s="315">
        <f>-AH69</f>
        <v>0</v>
      </c>
      <c r="AJ64" s="315">
        <v>0</v>
      </c>
      <c r="AK64" s="315">
        <v>0</v>
      </c>
      <c r="AL64" s="315">
        <v>1</v>
      </c>
      <c r="AM64" s="315">
        <v>2</v>
      </c>
      <c r="AN64" s="315">
        <v>3</v>
      </c>
      <c r="AO64" s="315">
        <v>4</v>
      </c>
      <c r="AP64" s="315">
        <f t="shared" ref="AP64" si="170">-AO69</f>
        <v>0</v>
      </c>
      <c r="AQ64" s="315">
        <v>4.6666666666666599</v>
      </c>
      <c r="AR64" s="315">
        <v>5.5238095238095202</v>
      </c>
      <c r="AS64" s="315">
        <v>6.3809523809523796</v>
      </c>
      <c r="AT64" s="315">
        <v>7.2380952380952399</v>
      </c>
      <c r="AU64" s="315">
        <v>8.0952380952380896</v>
      </c>
      <c r="AV64" s="315">
        <v>8.9523809523809508</v>
      </c>
      <c r="AW64" s="315">
        <f t="shared" ref="AW64" si="171">-AV69</f>
        <v>0</v>
      </c>
      <c r="AX64" s="315">
        <v>9.8095238095238209</v>
      </c>
      <c r="AY64" s="315">
        <v>10.6666666666666</v>
      </c>
      <c r="AZ64" s="315">
        <v>11.523809523809501</v>
      </c>
      <c r="BA64" s="315">
        <v>12.380952380952399</v>
      </c>
      <c r="BB64" s="315">
        <v>13.380952380952399</v>
      </c>
      <c r="BC64" s="315">
        <v>14.380952380952399</v>
      </c>
      <c r="BD64" s="315">
        <v>15.380952380952399</v>
      </c>
      <c r="BE64" s="315">
        <v>16.380952380952401</v>
      </c>
      <c r="BF64" s="315">
        <v>17.380952380952401</v>
      </c>
      <c r="BG64" s="315">
        <v>18.380952380952401</v>
      </c>
      <c r="BH64" s="315">
        <v>19.380952380952401</v>
      </c>
      <c r="BI64" s="315">
        <v>20.380952380952401</v>
      </c>
      <c r="BJ64" s="315">
        <v>21.380952380952401</v>
      </c>
      <c r="BK64" s="315">
        <v>22.380952380952401</v>
      </c>
      <c r="BL64" s="315">
        <v>23.380952380952401</v>
      </c>
      <c r="BM64" s="315">
        <v>24.380952380952401</v>
      </c>
      <c r="BN64" s="315">
        <v>25.380952380952401</v>
      </c>
      <c r="BO64" s="315">
        <v>26.380952380952401</v>
      </c>
      <c r="BP64" s="315">
        <v>27.380952380952401</v>
      </c>
      <c r="BQ64" s="315">
        <v>28.380952380952401</v>
      </c>
      <c r="BR64" s="315">
        <v>29.380952380952401</v>
      </c>
      <c r="BS64" s="315">
        <v>30.380952380952401</v>
      </c>
      <c r="BT64" s="315">
        <v>31.380952380952401</v>
      </c>
      <c r="BU64" s="315">
        <v>32.380952380952401</v>
      </c>
      <c r="BV64" s="315">
        <v>33.380952380952401</v>
      </c>
      <c r="BW64" s="315">
        <v>34.380952380952401</v>
      </c>
      <c r="BX64" s="315">
        <v>35.380952380952401</v>
      </c>
      <c r="BY64" s="315">
        <v>36.380952380952401</v>
      </c>
    </row>
    <row r="65" spans="1:77" s="131" customFormat="1" x14ac:dyDescent="0.2">
      <c r="B65" s="310" t="s">
        <v>65</v>
      </c>
      <c r="D65" s="443"/>
      <c r="E65" s="443"/>
      <c r="F65" s="444">
        <f>+F61+F62+F63-F64</f>
        <v>2451443.347781051</v>
      </c>
      <c r="G65" s="444">
        <f>+G61+G62+G63-G64</f>
        <v>2411815.4216260551</v>
      </c>
      <c r="H65" s="444">
        <f t="shared" ref="H65:R65" si="172">+H61+H62+H63-H64</f>
        <v>2359010.5682224026</v>
      </c>
      <c r="I65" s="444">
        <f t="shared" si="172"/>
        <v>3303694.7331063608</v>
      </c>
      <c r="J65" s="444">
        <f t="shared" si="172"/>
        <v>3565566.8510459182</v>
      </c>
      <c r="K65" s="444">
        <f t="shared" si="172"/>
        <v>3497235.368711961</v>
      </c>
      <c r="L65" s="444">
        <f t="shared" si="172"/>
        <v>3504387.3671313566</v>
      </c>
      <c r="M65" s="444">
        <f t="shared" si="172"/>
        <v>3457434.7592108161</v>
      </c>
      <c r="N65" s="444">
        <f t="shared" si="172"/>
        <v>3411835.7826051041</v>
      </c>
      <c r="O65" s="444">
        <f t="shared" si="172"/>
        <v>3608558.3171998044</v>
      </c>
      <c r="P65" s="444">
        <f t="shared" si="172"/>
        <v>3389938.8858488686</v>
      </c>
      <c r="Q65" s="444">
        <f t="shared" si="172"/>
        <v>2110394.0366666666</v>
      </c>
      <c r="R65" s="444">
        <f t="shared" si="172"/>
        <v>3091002.3299999996</v>
      </c>
      <c r="S65" s="444">
        <f>SUM(S61:S64)</f>
        <v>2766690.7</v>
      </c>
      <c r="T65" s="444">
        <f>SUM(T61:T64)</f>
        <v>2602390.15</v>
      </c>
      <c r="U65" s="444">
        <f>SUM(U61:U64)</f>
        <v>2431390.3199999998</v>
      </c>
      <c r="V65" s="444">
        <f t="shared" ref="V65:AE65" si="173">SUM(V61:V64)</f>
        <v>2374179.66</v>
      </c>
      <c r="W65" s="444">
        <f t="shared" si="173"/>
        <v>2484153.2799999998</v>
      </c>
      <c r="X65" s="444">
        <f t="shared" si="173"/>
        <v>2579841.1160345278</v>
      </c>
      <c r="Y65" s="444">
        <f t="shared" si="173"/>
        <v>2588216.4714687136</v>
      </c>
      <c r="Z65" s="444">
        <f t="shared" si="173"/>
        <v>2596524.3709289683</v>
      </c>
      <c r="AA65" s="444">
        <f t="shared" si="173"/>
        <v>2604567.3926660898</v>
      </c>
      <c r="AB65" s="444">
        <f t="shared" si="173"/>
        <v>2611158.594670583</v>
      </c>
      <c r="AC65" s="444">
        <f t="shared" si="173"/>
        <v>2617881.4643648248</v>
      </c>
      <c r="AD65" s="444">
        <f t="shared" si="173"/>
        <v>2626600.0549700949</v>
      </c>
      <c r="AE65" s="444">
        <f t="shared" si="173"/>
        <v>2636173.3635492227</v>
      </c>
      <c r="AF65" s="444">
        <f t="shared" ref="AF65" si="174">SUM(AF61:AF64)</f>
        <v>2640379.7260470507</v>
      </c>
      <c r="AG65" s="444">
        <f t="shared" ref="AG65" si="175">SUM(AG61:AG64)</f>
        <v>2653714.1835147967</v>
      </c>
      <c r="AH65" s="444">
        <f t="shared" ref="AH65" si="176">SUM(AH61:AH64)</f>
        <v>2667118.7040198799</v>
      </c>
      <c r="AI65" s="444">
        <f t="shared" ref="AI65" si="177">SUM(AI61:AI64)</f>
        <v>2679603.436238125</v>
      </c>
      <c r="AJ65" s="444">
        <f t="shared" ref="AJ65:AK65" si="178">SUM(AJ61:AJ64)</f>
        <v>2676809.8314053882</v>
      </c>
      <c r="AK65" s="444">
        <f t="shared" si="178"/>
        <v>2685856.440560854</v>
      </c>
      <c r="AL65" s="444">
        <f t="shared" ref="AL65" si="179">SUM(AL61:AL64)</f>
        <v>2720155.0696349945</v>
      </c>
      <c r="AM65" s="444">
        <f t="shared" ref="AM65" si="180">SUM(AM61:AM64)</f>
        <v>2734732.8776542395</v>
      </c>
      <c r="AN65" s="444">
        <f t="shared" ref="AN65" si="181">SUM(AN61:AN64)</f>
        <v>2727255.9839439266</v>
      </c>
      <c r="AO65" s="444">
        <f t="shared" ref="AO65:BA65" si="182">SUM(AO61:AO64)</f>
        <v>2728341.5752954315</v>
      </c>
      <c r="AP65" s="444">
        <f t="shared" si="182"/>
        <v>2764462.2534193737</v>
      </c>
      <c r="AQ65" s="444">
        <f t="shared" si="182"/>
        <v>2778895.240181264</v>
      </c>
      <c r="AR65" s="444">
        <f t="shared" si="182"/>
        <v>2793909.7643919522</v>
      </c>
      <c r="AS65" s="444">
        <f t="shared" si="182"/>
        <v>2808165.6350026489</v>
      </c>
      <c r="AT65" s="444">
        <f t="shared" si="182"/>
        <v>2821856.7672879379</v>
      </c>
      <c r="AU65" s="444">
        <f t="shared" si="182"/>
        <v>2835400.3406990329</v>
      </c>
      <c r="AV65" s="444">
        <f t="shared" ref="AV65" si="183">SUM(AV61:AV64)</f>
        <v>2848951.5119823529</v>
      </c>
      <c r="AW65" s="444">
        <f t="shared" si="182"/>
        <v>2862671.0441122134</v>
      </c>
      <c r="AX65" s="444">
        <f t="shared" si="182"/>
        <v>2876557.3177029733</v>
      </c>
      <c r="AY65" s="444">
        <f t="shared" si="182"/>
        <v>2890136.6862729522</v>
      </c>
      <c r="AZ65" s="444">
        <f t="shared" si="182"/>
        <v>2903716.9119857885</v>
      </c>
      <c r="BA65" s="444">
        <f t="shared" si="182"/>
        <v>2917297.994841482</v>
      </c>
      <c r="BB65" s="444">
        <f t="shared" ref="BB65:BK65" si="184">SUM(BB61:BB64)</f>
        <v>2481852.0227356181</v>
      </c>
      <c r="BC65" s="444">
        <f t="shared" si="184"/>
        <v>2481866.4036879991</v>
      </c>
      <c r="BD65" s="444">
        <f t="shared" si="184"/>
        <v>2481881.7846403802</v>
      </c>
      <c r="BE65" s="444">
        <f t="shared" si="184"/>
        <v>2481898.1655927612</v>
      </c>
      <c r="BF65" s="444">
        <f t="shared" si="184"/>
        <v>2481915.5465451423</v>
      </c>
      <c r="BG65" s="444">
        <f t="shared" si="184"/>
        <v>2481933.9274975234</v>
      </c>
      <c r="BH65" s="444">
        <f t="shared" si="184"/>
        <v>2481953.3084499044</v>
      </c>
      <c r="BI65" s="444">
        <f t="shared" si="184"/>
        <v>2481973.6894022855</v>
      </c>
      <c r="BJ65" s="444">
        <f t="shared" si="184"/>
        <v>2481995.0703546666</v>
      </c>
      <c r="BK65" s="444">
        <f t="shared" si="184"/>
        <v>2482017.4513070476</v>
      </c>
      <c r="BL65" s="444">
        <f t="shared" ref="BL65:BW65" si="185">SUM(BL61:BL64)</f>
        <v>2482040.8322594287</v>
      </c>
      <c r="BM65" s="444">
        <f t="shared" si="185"/>
        <v>2482065.2132118098</v>
      </c>
      <c r="BN65" s="444">
        <f t="shared" si="185"/>
        <v>2482090.5941641908</v>
      </c>
      <c r="BO65" s="444">
        <f t="shared" si="185"/>
        <v>2482116.9751165719</v>
      </c>
      <c r="BP65" s="444">
        <f t="shared" si="185"/>
        <v>2482144.3560689529</v>
      </c>
      <c r="BQ65" s="444">
        <f t="shared" si="185"/>
        <v>2482172.737021334</v>
      </c>
      <c r="BR65" s="444">
        <f t="shared" si="185"/>
        <v>2482202.1179737151</v>
      </c>
      <c r="BS65" s="444">
        <f t="shared" si="185"/>
        <v>2482232.4989260961</v>
      </c>
      <c r="BT65" s="444">
        <f t="shared" si="185"/>
        <v>2482263.8798784772</v>
      </c>
      <c r="BU65" s="444">
        <f t="shared" si="185"/>
        <v>2482296.2608308583</v>
      </c>
      <c r="BV65" s="444">
        <f t="shared" si="185"/>
        <v>2482329.6417832393</v>
      </c>
      <c r="BW65" s="444">
        <f t="shared" si="185"/>
        <v>2482364.0227356204</v>
      </c>
      <c r="BX65" s="444">
        <f t="shared" ref="BX65:BY65" si="186">SUM(BX61:BX64)</f>
        <v>2482399.4036880014</v>
      </c>
      <c r="BY65" s="444">
        <f t="shared" si="186"/>
        <v>2482435.7846403825</v>
      </c>
    </row>
    <row r="66" spans="1:77" s="131" customFormat="1" x14ac:dyDescent="0.2">
      <c r="B66" s="310"/>
      <c r="D66" s="551"/>
      <c r="E66" s="551"/>
      <c r="F66" s="568">
        <f>+F29</f>
        <v>2451443.6811143844</v>
      </c>
      <c r="G66" s="568">
        <f t="shared" ref="G66:W66" si="187">+G29</f>
        <v>2411815.7549593886</v>
      </c>
      <c r="H66" s="568">
        <f t="shared" si="187"/>
        <v>2359010.9015557361</v>
      </c>
      <c r="I66" s="568">
        <f t="shared" si="187"/>
        <v>3303695.0664396943</v>
      </c>
      <c r="J66" s="568">
        <f t="shared" si="187"/>
        <v>3565567.1843792517</v>
      </c>
      <c r="K66" s="568">
        <f t="shared" si="187"/>
        <v>3497235.7020452945</v>
      </c>
      <c r="L66" s="568">
        <f t="shared" si="187"/>
        <v>3504387.7004646901</v>
      </c>
      <c r="M66" s="568">
        <f t="shared" si="187"/>
        <v>3457435.0925441496</v>
      </c>
      <c r="N66" s="568">
        <f t="shared" si="187"/>
        <v>3411836.1159384376</v>
      </c>
      <c r="O66" s="568">
        <f t="shared" si="187"/>
        <v>3608558.6505331378</v>
      </c>
      <c r="P66" s="568">
        <f t="shared" si="187"/>
        <v>3389939.2191822021</v>
      </c>
      <c r="Q66" s="568">
        <f t="shared" si="187"/>
        <v>2110394.37</v>
      </c>
      <c r="R66" s="568">
        <f t="shared" si="187"/>
        <v>3091002.33</v>
      </c>
      <c r="S66" s="568">
        <f t="shared" si="187"/>
        <v>2766690.83</v>
      </c>
      <c r="T66" s="568">
        <f t="shared" si="187"/>
        <v>2602389.7799999998</v>
      </c>
      <c r="U66" s="568">
        <f t="shared" si="187"/>
        <v>2431390.27</v>
      </c>
      <c r="V66" s="568">
        <f t="shared" si="187"/>
        <v>2374179.9500000002</v>
      </c>
      <c r="W66" s="568">
        <f t="shared" si="187"/>
        <v>2484153.2799999998</v>
      </c>
      <c r="X66" s="568"/>
      <c r="Y66" s="568"/>
      <c r="Z66" s="568"/>
      <c r="AA66" s="568"/>
      <c r="AB66" s="568"/>
      <c r="AC66" s="568"/>
      <c r="AD66" s="568"/>
      <c r="AE66" s="568"/>
      <c r="AF66" s="568"/>
      <c r="AG66" s="568"/>
      <c r="AH66" s="568"/>
      <c r="AI66" s="568"/>
      <c r="AJ66" s="568"/>
      <c r="AK66" s="568"/>
      <c r="AL66" s="568"/>
      <c r="AM66" s="568"/>
      <c r="AN66" s="568"/>
      <c r="AO66" s="568"/>
      <c r="AP66" s="568"/>
      <c r="AQ66" s="568"/>
      <c r="AR66" s="568"/>
      <c r="AS66" s="568"/>
      <c r="AT66" s="568"/>
      <c r="AU66" s="568"/>
      <c r="AV66" s="568"/>
      <c r="AW66" s="568"/>
      <c r="AX66" s="568"/>
      <c r="AY66" s="568"/>
      <c r="AZ66" s="568"/>
      <c r="BA66" s="568"/>
      <c r="BB66" s="568"/>
      <c r="BC66" s="568"/>
      <c r="BD66" s="568"/>
      <c r="BE66" s="568"/>
      <c r="BF66" s="568"/>
      <c r="BG66" s="568"/>
      <c r="BH66" s="568"/>
      <c r="BI66" s="568"/>
      <c r="BJ66" s="568"/>
      <c r="BK66" s="568"/>
      <c r="BL66" s="568"/>
      <c r="BM66" s="568"/>
      <c r="BN66" s="568"/>
      <c r="BO66" s="568"/>
      <c r="BP66" s="568"/>
      <c r="BQ66" s="568"/>
      <c r="BR66" s="568"/>
      <c r="BS66" s="568"/>
      <c r="BT66" s="568"/>
      <c r="BU66" s="568"/>
      <c r="BV66" s="568"/>
      <c r="BW66" s="568"/>
      <c r="BX66" s="568"/>
      <c r="BY66" s="568"/>
    </row>
    <row r="67" spans="1:77" s="131" customFormat="1" x14ac:dyDescent="0.2">
      <c r="B67" s="310"/>
      <c r="D67" s="551"/>
      <c r="E67" s="551"/>
      <c r="F67" s="569">
        <f>+F65-F66</f>
        <v>-0.33333333348855376</v>
      </c>
      <c r="G67" s="569">
        <f t="shared" ref="G67:Q67" si="188">+G65-G66</f>
        <v>-0.33333333348855376</v>
      </c>
      <c r="H67" s="569">
        <f t="shared" si="188"/>
        <v>-0.33333333348855376</v>
      </c>
      <c r="I67" s="569">
        <f t="shared" si="188"/>
        <v>-0.33333333348855376</v>
      </c>
      <c r="J67" s="569">
        <f t="shared" si="188"/>
        <v>-0.33333333348855376</v>
      </c>
      <c r="K67" s="569">
        <f t="shared" si="188"/>
        <v>-0.33333333348855376</v>
      </c>
      <c r="L67" s="569">
        <f t="shared" si="188"/>
        <v>-0.33333333348855376</v>
      </c>
      <c r="M67" s="569">
        <f t="shared" si="188"/>
        <v>-0.33333333348855376</v>
      </c>
      <c r="N67" s="569">
        <f t="shared" si="188"/>
        <v>-0.33333333348855376</v>
      </c>
      <c r="O67" s="569">
        <f t="shared" si="188"/>
        <v>-0.33333333348855376</v>
      </c>
      <c r="P67" s="569">
        <f t="shared" si="188"/>
        <v>-0.33333333348855376</v>
      </c>
      <c r="Q67" s="569">
        <f t="shared" si="188"/>
        <v>-0.33333333348855376</v>
      </c>
      <c r="R67" s="569">
        <f t="shared" ref="R67" si="189">+R65-R66</f>
        <v>0</v>
      </c>
      <c r="S67" s="569">
        <f t="shared" ref="S67" si="190">+S65-S66</f>
        <v>-0.12999999988824129</v>
      </c>
      <c r="T67" s="569">
        <f t="shared" ref="T67" si="191">+T65-T66</f>
        <v>0.37000000011175871</v>
      </c>
      <c r="U67" s="569">
        <f t="shared" ref="U67" si="192">+U65-U66</f>
        <v>4.9999999813735485E-2</v>
      </c>
      <c r="V67" s="569">
        <f t="shared" ref="V67" si="193">+V65-V66</f>
        <v>-0.2900000000372529</v>
      </c>
      <c r="W67" s="569">
        <f t="shared" ref="W67" si="194">+W65-W66</f>
        <v>0</v>
      </c>
      <c r="X67" s="568"/>
      <c r="Y67" s="568"/>
      <c r="Z67" s="568"/>
      <c r="AA67" s="568"/>
      <c r="AB67" s="568"/>
      <c r="AC67" s="568"/>
      <c r="AD67" s="568"/>
      <c r="AE67" s="568"/>
      <c r="AF67" s="568"/>
      <c r="AG67" s="568"/>
      <c r="AH67" s="568"/>
      <c r="AI67" s="568"/>
      <c r="AJ67" s="568"/>
      <c r="AK67" s="568"/>
      <c r="AL67" s="568"/>
      <c r="AM67" s="568"/>
      <c r="AN67" s="568"/>
      <c r="AO67" s="568"/>
      <c r="AP67" s="568"/>
      <c r="AQ67" s="568"/>
      <c r="AR67" s="568"/>
      <c r="AS67" s="568"/>
      <c r="AT67" s="568"/>
      <c r="AU67" s="568"/>
      <c r="AV67" s="568"/>
      <c r="AW67" s="568"/>
      <c r="AX67" s="568"/>
      <c r="AY67" s="568"/>
      <c r="AZ67" s="568"/>
      <c r="BA67" s="568"/>
      <c r="BB67" s="568"/>
      <c r="BC67" s="568"/>
      <c r="BD67" s="568"/>
      <c r="BE67" s="568"/>
      <c r="BF67" s="568"/>
      <c r="BG67" s="568"/>
      <c r="BH67" s="568"/>
      <c r="BI67" s="568"/>
      <c r="BJ67" s="568"/>
      <c r="BK67" s="568"/>
      <c r="BL67" s="568"/>
      <c r="BM67" s="568"/>
      <c r="BN67" s="568"/>
      <c r="BO67" s="568"/>
      <c r="BP67" s="568"/>
      <c r="BQ67" s="568"/>
      <c r="BR67" s="568"/>
      <c r="BS67" s="568"/>
      <c r="BT67" s="568"/>
      <c r="BU67" s="568"/>
      <c r="BV67" s="568"/>
      <c r="BW67" s="568"/>
      <c r="BX67" s="568"/>
      <c r="BY67" s="568"/>
    </row>
    <row r="68" spans="1:77" s="131" customFormat="1" x14ac:dyDescent="0.2">
      <c r="A68" s="18"/>
      <c r="B68" s="442" t="s">
        <v>533</v>
      </c>
      <c r="C68" s="18"/>
      <c r="D68" s="551"/>
      <c r="E68" s="551"/>
      <c r="G68" s="26"/>
      <c r="S68" s="315">
        <f>(S64+S63+S62)*-1</f>
        <v>324311.63</v>
      </c>
      <c r="T68" s="315">
        <f>(T64+T63+T62)*-1</f>
        <v>164300.68000000028</v>
      </c>
      <c r="U68" s="315">
        <f>(U64+U63+U62)*-1</f>
        <v>170999.45999999979</v>
      </c>
      <c r="V68" s="315">
        <f t="shared" ref="V68:AO68" si="195">(V64+V63+V62)*-1</f>
        <v>57210.609999999833</v>
      </c>
      <c r="W68" s="315">
        <f t="shared" si="195"/>
        <v>-109973.32999999961</v>
      </c>
      <c r="X68" s="315">
        <f t="shared" si="195"/>
        <v>-95687.836034528125</v>
      </c>
      <c r="Y68" s="315">
        <f t="shared" si="195"/>
        <v>-8375.3554341859417</v>
      </c>
      <c r="Z68" s="315">
        <f t="shared" si="195"/>
        <v>-8307.8994602546591</v>
      </c>
      <c r="AA68" s="315">
        <f t="shared" si="195"/>
        <v>-8043.0217371217004</v>
      </c>
      <c r="AB68" s="315">
        <f t="shared" si="195"/>
        <v>-6591.2020044931705</v>
      </c>
      <c r="AC68" s="315">
        <f t="shared" si="195"/>
        <v>-6722.8696942420356</v>
      </c>
      <c r="AD68" s="315">
        <f t="shared" si="195"/>
        <v>-8718.5906052702339</v>
      </c>
      <c r="AE68" s="315">
        <f t="shared" si="195"/>
        <v>-9573.3085791279154</v>
      </c>
      <c r="AF68" s="315">
        <f t="shared" si="195"/>
        <v>-4206.3624978279404</v>
      </c>
      <c r="AG68" s="315">
        <f t="shared" si="195"/>
        <v>-13334.457467745902</v>
      </c>
      <c r="AH68" s="315">
        <f t="shared" si="195"/>
        <v>-13404.520505083201</v>
      </c>
      <c r="AI68" s="315">
        <f t="shared" si="195"/>
        <v>-12484.732218245161</v>
      </c>
      <c r="AJ68" s="315">
        <f t="shared" si="195"/>
        <v>2793.6048327367753</v>
      </c>
      <c r="AK68" s="315">
        <f t="shared" si="195"/>
        <v>-9046.6091554655868</v>
      </c>
      <c r="AL68" s="315">
        <f t="shared" si="195"/>
        <v>-34298.629074140656</v>
      </c>
      <c r="AM68" s="315">
        <f t="shared" si="195"/>
        <v>-14577.808019245131</v>
      </c>
      <c r="AN68" s="315">
        <f t="shared" si="195"/>
        <v>7476.8937103131611</v>
      </c>
      <c r="AO68" s="315">
        <f t="shared" si="195"/>
        <v>-1085.5913515049615</v>
      </c>
      <c r="AP68" s="315">
        <f t="shared" ref="AP68:BA68" si="196">(AP64+AP63+AP62)*-1</f>
        <v>-36120.678123942052</v>
      </c>
      <c r="AQ68" s="315">
        <f t="shared" si="196"/>
        <v>-14432.986761890468</v>
      </c>
      <c r="AR68" s="315">
        <f t="shared" si="196"/>
        <v>-15014.5242106886</v>
      </c>
      <c r="AS68" s="315">
        <f t="shared" si="196"/>
        <v>-14255.870610696264</v>
      </c>
      <c r="AT68" s="315">
        <f t="shared" si="196"/>
        <v>-13691.132285289408</v>
      </c>
      <c r="AU68" s="315">
        <f t="shared" si="196"/>
        <v>-13543.57341109484</v>
      </c>
      <c r="AV68" s="315">
        <f t="shared" si="196"/>
        <v>-13551.171283320349</v>
      </c>
      <c r="AW68" s="315">
        <f t="shared" si="196"/>
        <v>-13719.532129860192</v>
      </c>
      <c r="AX68" s="315">
        <f t="shared" si="196"/>
        <v>-13886.273590759607</v>
      </c>
      <c r="AY68" s="315">
        <f t="shared" si="196"/>
        <v>-13579.368569979211</v>
      </c>
      <c r="AZ68" s="315">
        <f t="shared" si="196"/>
        <v>-13580.225712836254</v>
      </c>
      <c r="BA68" s="315">
        <f t="shared" si="196"/>
        <v>-13581.082855693414</v>
      </c>
      <c r="BB68" s="315">
        <f t="shared" ref="BB68:BK68" si="197">(BB64+BB63+BB62)*-1</f>
        <v>435445.97210586397</v>
      </c>
      <c r="BC68" s="315">
        <f t="shared" si="197"/>
        <v>-14.380952380952399</v>
      </c>
      <c r="BD68" s="315">
        <f t="shared" si="197"/>
        <v>-15.380952380952399</v>
      </c>
      <c r="BE68" s="315">
        <f t="shared" si="197"/>
        <v>-16.380952380952401</v>
      </c>
      <c r="BF68" s="315">
        <f t="shared" si="197"/>
        <v>-17.380952380952401</v>
      </c>
      <c r="BG68" s="315">
        <f t="shared" si="197"/>
        <v>-18.380952380952401</v>
      </c>
      <c r="BH68" s="315">
        <f t="shared" si="197"/>
        <v>-19.380952380952401</v>
      </c>
      <c r="BI68" s="315">
        <f t="shared" si="197"/>
        <v>-20.380952380952401</v>
      </c>
      <c r="BJ68" s="315">
        <f t="shared" si="197"/>
        <v>-21.380952380952401</v>
      </c>
      <c r="BK68" s="315">
        <f t="shared" si="197"/>
        <v>-22.380952380952401</v>
      </c>
      <c r="BL68" s="315">
        <f t="shared" ref="BL68:BW68" si="198">(BL64+BL63+BL62)*-1</f>
        <v>-23.380952380952401</v>
      </c>
      <c r="BM68" s="315">
        <f t="shared" si="198"/>
        <v>-24.380952380952401</v>
      </c>
      <c r="BN68" s="315">
        <f t="shared" si="198"/>
        <v>-25.380952380952401</v>
      </c>
      <c r="BO68" s="315">
        <f t="shared" si="198"/>
        <v>-26.380952380952401</v>
      </c>
      <c r="BP68" s="315">
        <f t="shared" si="198"/>
        <v>-27.380952380952401</v>
      </c>
      <c r="BQ68" s="315">
        <f t="shared" si="198"/>
        <v>-28.380952380952401</v>
      </c>
      <c r="BR68" s="315">
        <f t="shared" si="198"/>
        <v>-29.380952380952401</v>
      </c>
      <c r="BS68" s="315">
        <f t="shared" si="198"/>
        <v>-30.380952380952401</v>
      </c>
      <c r="BT68" s="315">
        <f t="shared" si="198"/>
        <v>-31.380952380952401</v>
      </c>
      <c r="BU68" s="315">
        <f t="shared" si="198"/>
        <v>-32.380952380952401</v>
      </c>
      <c r="BV68" s="315">
        <f t="shared" si="198"/>
        <v>-33.380952380952401</v>
      </c>
      <c r="BW68" s="315">
        <f t="shared" si="198"/>
        <v>-34.380952380952401</v>
      </c>
      <c r="BX68" s="315">
        <f t="shared" ref="BX68:BY68" si="199">(BX64+BX63+BX62)*-1</f>
        <v>-35.380952380952401</v>
      </c>
      <c r="BY68" s="315">
        <f t="shared" si="199"/>
        <v>-36.380952380952401</v>
      </c>
    </row>
    <row r="69" spans="1:77" x14ac:dyDescent="0.2">
      <c r="A69" s="27"/>
      <c r="B69" s="445" t="s">
        <v>534</v>
      </c>
      <c r="C69" s="27"/>
      <c r="D69" s="96"/>
      <c r="E69" s="96"/>
      <c r="S69" s="315">
        <v>0</v>
      </c>
      <c r="T69" s="315">
        <v>0</v>
      </c>
      <c r="U69" s="315">
        <v>0</v>
      </c>
      <c r="V69" s="315">
        <v>0</v>
      </c>
      <c r="W69" s="315">
        <v>0</v>
      </c>
      <c r="X69" s="315">
        <v>0</v>
      </c>
      <c r="Y69" s="315">
        <v>0</v>
      </c>
      <c r="Z69" s="315">
        <v>0</v>
      </c>
      <c r="AA69" s="315">
        <v>0</v>
      </c>
      <c r="AB69" s="315">
        <v>0</v>
      </c>
      <c r="AC69" s="315">
        <v>0</v>
      </c>
      <c r="AD69" s="315">
        <v>0</v>
      </c>
      <c r="AE69" s="315">
        <v>0</v>
      </c>
      <c r="AF69" s="315">
        <v>0</v>
      </c>
      <c r="AG69" s="315">
        <v>0</v>
      </c>
      <c r="AH69" s="315">
        <v>0</v>
      </c>
      <c r="AI69" s="315">
        <v>0</v>
      </c>
      <c r="AJ69" s="315">
        <v>0</v>
      </c>
      <c r="AK69" s="315">
        <v>0</v>
      </c>
      <c r="AL69" s="315">
        <v>0</v>
      </c>
      <c r="AM69" s="315">
        <v>0</v>
      </c>
      <c r="AN69" s="315">
        <v>0</v>
      </c>
      <c r="AO69" s="315">
        <v>0</v>
      </c>
      <c r="AP69" s="315">
        <v>0</v>
      </c>
      <c r="AQ69" s="315">
        <v>0</v>
      </c>
      <c r="AR69" s="315">
        <v>0</v>
      </c>
      <c r="AS69" s="315">
        <v>0</v>
      </c>
      <c r="AT69" s="315">
        <v>0</v>
      </c>
      <c r="AU69" s="315">
        <v>0</v>
      </c>
      <c r="AV69" s="315">
        <v>0</v>
      </c>
      <c r="AW69" s="315">
        <v>0</v>
      </c>
      <c r="AX69" s="315">
        <v>0</v>
      </c>
      <c r="AY69" s="315">
        <v>0</v>
      </c>
      <c r="AZ69" s="315">
        <v>0</v>
      </c>
      <c r="BA69" s="315">
        <v>0</v>
      </c>
      <c r="BB69" s="315">
        <v>0</v>
      </c>
      <c r="BC69" s="315">
        <v>0</v>
      </c>
      <c r="BD69" s="315">
        <v>0</v>
      </c>
      <c r="BE69" s="315">
        <v>0</v>
      </c>
      <c r="BF69" s="315">
        <v>0</v>
      </c>
      <c r="BG69" s="315">
        <v>0</v>
      </c>
      <c r="BH69" s="315">
        <v>0</v>
      </c>
      <c r="BI69" s="315">
        <v>0</v>
      </c>
      <c r="BJ69" s="315">
        <v>0</v>
      </c>
      <c r="BK69" s="315">
        <v>0</v>
      </c>
      <c r="BL69" s="315">
        <v>0</v>
      </c>
      <c r="BM69" s="315">
        <v>0</v>
      </c>
      <c r="BN69" s="315">
        <v>0</v>
      </c>
      <c r="BO69" s="315">
        <v>0</v>
      </c>
      <c r="BP69" s="315">
        <v>0</v>
      </c>
      <c r="BQ69" s="315">
        <v>0</v>
      </c>
      <c r="BR69" s="315">
        <v>0</v>
      </c>
      <c r="BS69" s="315">
        <v>0</v>
      </c>
      <c r="BT69" s="315">
        <v>0</v>
      </c>
      <c r="BU69" s="315">
        <v>0</v>
      </c>
      <c r="BV69" s="315">
        <v>0</v>
      </c>
      <c r="BW69" s="315">
        <v>0</v>
      </c>
      <c r="BX69" s="315">
        <v>0</v>
      </c>
      <c r="BY69" s="315">
        <v>0</v>
      </c>
    </row>
    <row r="70" spans="1:77" x14ac:dyDescent="0.2">
      <c r="B70" s="440" t="s">
        <v>111</v>
      </c>
      <c r="D70" s="96"/>
      <c r="E70" s="96"/>
      <c r="F70" s="96"/>
      <c r="AA70" s="767"/>
    </row>
    <row r="71" spans="1:77" x14ac:dyDescent="0.2">
      <c r="B71" s="440" t="s">
        <v>112</v>
      </c>
      <c r="D71" s="96"/>
      <c r="E71" s="96"/>
      <c r="F71" s="96"/>
      <c r="AA71" s="315"/>
      <c r="AB71" s="767"/>
    </row>
    <row r="72" spans="1:77" x14ac:dyDescent="0.2">
      <c r="D72" s="96"/>
      <c r="E72" s="96"/>
      <c r="F72" s="96"/>
      <c r="AA72" s="315"/>
    </row>
    <row r="73" spans="1:77" x14ac:dyDescent="0.2">
      <c r="T73" s="446"/>
    </row>
    <row r="75" spans="1:77" x14ac:dyDescent="0.2">
      <c r="B75" s="513" t="s">
        <v>510</v>
      </c>
    </row>
    <row r="76" spans="1:77" x14ac:dyDescent="0.2">
      <c r="B76" s="513" t="s">
        <v>511</v>
      </c>
    </row>
    <row r="77" spans="1:77" x14ac:dyDescent="0.2">
      <c r="B77" s="513" t="s">
        <v>514</v>
      </c>
    </row>
    <row r="78" spans="1:77" x14ac:dyDescent="0.2">
      <c r="B78" s="513" t="s">
        <v>110</v>
      </c>
    </row>
    <row r="79" spans="1:77" x14ac:dyDescent="0.2">
      <c r="B79" s="513" t="s">
        <v>357</v>
      </c>
    </row>
    <row r="80" spans="1:77" x14ac:dyDescent="0.2">
      <c r="B80" s="131" t="s">
        <v>377</v>
      </c>
    </row>
    <row r="81" spans="2:2" x14ac:dyDescent="0.2">
      <c r="B81" s="513" t="s">
        <v>512</v>
      </c>
    </row>
    <row r="82" spans="2:2" x14ac:dyDescent="0.2">
      <c r="B82" s="513" t="s">
        <v>513</v>
      </c>
    </row>
    <row r="83" spans="2:2" x14ac:dyDescent="0.2">
      <c r="B83" s="131" t="s">
        <v>111</v>
      </c>
    </row>
    <row r="84" spans="2:2" x14ac:dyDescent="0.2">
      <c r="B84" s="131" t="s">
        <v>112</v>
      </c>
    </row>
  </sheetData>
  <conditionalFormatting sqref="D9:Y10 D35:Y35 R31:Y32 F2:YP2 AA35:BY35 AA21:BY21 AA39:BY50 V29:BY29 AA31:BY32 D15:AB15 D16:P17 AA9:BY10 D11:BY11 D8:BY8 R28:BY28">
    <cfRule type="expression" dxfId="310" priority="81">
      <formula>D$3="actual"</formula>
    </cfRule>
  </conditionalFormatting>
  <conditionalFormatting sqref="F3:XFD3">
    <cfRule type="expression" dxfId="309" priority="79">
      <formula>F$3="Actual"</formula>
    </cfRule>
  </conditionalFormatting>
  <conditionalFormatting sqref="R20:BY20">
    <cfRule type="expression" dxfId="308" priority="57">
      <formula>R$3="actual"</formula>
    </cfRule>
  </conditionalFormatting>
  <conditionalFormatting sqref="R21:Y21">
    <cfRule type="expression" dxfId="307" priority="53">
      <formula>R$3="actual"</formula>
    </cfRule>
  </conditionalFormatting>
  <conditionalFormatting sqref="R39:Y49">
    <cfRule type="expression" dxfId="306" priority="52">
      <formula>R$3="actual"</formula>
    </cfRule>
  </conditionalFormatting>
  <conditionalFormatting sqref="R50:Y50">
    <cfRule type="expression" dxfId="305" priority="51">
      <formula>R$3="actual"</formula>
    </cfRule>
  </conditionalFormatting>
  <conditionalFormatting sqref="D20:Q20">
    <cfRule type="expression" dxfId="304" priority="50">
      <formula>D$3="actual"</formula>
    </cfRule>
  </conditionalFormatting>
  <conditionalFormatting sqref="F21:Q21">
    <cfRule type="expression" dxfId="303" priority="49">
      <formula>F$3="actual"</formula>
    </cfRule>
  </conditionalFormatting>
  <conditionalFormatting sqref="D28:Q32 R29">
    <cfRule type="expression" dxfId="302" priority="48">
      <formula>D$3="actual"</formula>
    </cfRule>
  </conditionalFormatting>
  <conditionalFormatting sqref="F39:Q49 D39:E40 D42:E42 D44:E45 D49:E49">
    <cfRule type="expression" dxfId="301" priority="47">
      <formula>D$3="actual"</formula>
    </cfRule>
  </conditionalFormatting>
  <conditionalFormatting sqref="D50:Q50">
    <cfRule type="expression" dxfId="300" priority="46">
      <formula>D$3="actual"</formula>
    </cfRule>
  </conditionalFormatting>
  <conditionalFormatting sqref="R30">
    <cfRule type="expression" dxfId="299" priority="45">
      <formula>R$3="actual"</formula>
    </cfRule>
  </conditionalFormatting>
  <conditionalFormatting sqref="S30">
    <cfRule type="expression" dxfId="298" priority="43">
      <formula>S$3="actual"</formula>
    </cfRule>
  </conditionalFormatting>
  <conditionalFormatting sqref="T30">
    <cfRule type="expression" dxfId="297" priority="42">
      <formula>T$3="actual"</formula>
    </cfRule>
  </conditionalFormatting>
  <conditionalFormatting sqref="U30:BY30">
    <cfRule type="expression" dxfId="296" priority="41">
      <formula>U$3="actual"</formula>
    </cfRule>
  </conditionalFormatting>
  <conditionalFormatting sqref="S29">
    <cfRule type="expression" dxfId="295" priority="39">
      <formula>S$3="actual"</formula>
    </cfRule>
  </conditionalFormatting>
  <conditionalFormatting sqref="T29">
    <cfRule type="expression" dxfId="294" priority="38">
      <formula>T$3="actual"</formula>
    </cfRule>
  </conditionalFormatting>
  <conditionalFormatting sqref="U29">
    <cfRule type="expression" dxfId="293" priority="37">
      <formula>U$3="actual"</formula>
    </cfRule>
  </conditionalFormatting>
  <conditionalFormatting sqref="E41 E43 E46:E48">
    <cfRule type="expression" dxfId="292" priority="26">
      <formula>E$3="actual"</formula>
    </cfRule>
  </conditionalFormatting>
  <conditionalFormatting sqref="E2">
    <cfRule type="expression" dxfId="291" priority="31">
      <formula>E$3="actual"</formula>
    </cfRule>
  </conditionalFormatting>
  <conditionalFormatting sqref="E3">
    <cfRule type="expression" dxfId="290" priority="30">
      <formula>E$3="Actual"</formula>
    </cfRule>
  </conditionalFormatting>
  <conditionalFormatting sqref="E21">
    <cfRule type="expression" dxfId="289" priority="28">
      <formula>E$3="actual"</formula>
    </cfRule>
  </conditionalFormatting>
  <conditionalFormatting sqref="D2">
    <cfRule type="expression" dxfId="288" priority="24">
      <formula>D$3="actual"</formula>
    </cfRule>
  </conditionalFormatting>
  <conditionalFormatting sqref="D3">
    <cfRule type="expression" dxfId="287" priority="23">
      <formula>D$3="Actual"</formula>
    </cfRule>
  </conditionalFormatting>
  <conditionalFormatting sqref="D21">
    <cfRule type="expression" dxfId="286" priority="21">
      <formula>D$3="actual"</formula>
    </cfRule>
  </conditionalFormatting>
  <conditionalFormatting sqref="D41 D43 D46:D48">
    <cfRule type="expression" dxfId="285" priority="19">
      <formula>D$3="actual"</formula>
    </cfRule>
  </conditionalFormatting>
  <conditionalFormatting sqref="Z9:Z10 Z35 Z31:Z32">
    <cfRule type="expression" dxfId="284" priority="11">
      <formula>Z$3="actual"</formula>
    </cfRule>
  </conditionalFormatting>
  <conditionalFormatting sqref="Z21">
    <cfRule type="expression" dxfId="283" priority="9">
      <formula>Z$3="actual"</formula>
    </cfRule>
  </conditionalFormatting>
  <conditionalFormatting sqref="Z39:Z49">
    <cfRule type="expression" dxfId="282" priority="8">
      <formula>Z$3="actual"</formula>
    </cfRule>
  </conditionalFormatting>
  <conditionalFormatting sqref="Z50">
    <cfRule type="expression" dxfId="281" priority="7">
      <formula>Z$3="actual"</formula>
    </cfRule>
  </conditionalFormatting>
  <conditionalFormatting sqref="Q16:BY17">
    <cfRule type="expression" dxfId="280" priority="2">
      <formula>Q$3="actual"</formula>
    </cfRule>
  </conditionalFormatting>
  <conditionalFormatting sqref="AC15:BY15">
    <cfRule type="expression" dxfId="279" priority="1">
      <formula>AC$3="actual"</formula>
    </cfRule>
  </conditionalFormatting>
  <printOptions horizontalCentered="1" verticalCentered="1"/>
  <pageMargins left="0.25" right="0.25" top="1" bottom="1" header="0.5" footer="0.5"/>
  <pageSetup scale="71" orientation="landscape" verticalDpi="1200" r:id="rId1"/>
  <headerFooter alignWithMargins="0">
    <oddHeader>&amp;L&amp;"-,Bold"&amp;12CallFire Financial Model&amp;C&amp;"-,Bold"&amp;12&amp;A</oddHeader>
    <oddFooter>&amp;L&amp;8CallFire Confidential&amp;R&amp;8Page &amp;P of &amp;N</oddFooter>
  </headerFooter>
  <colBreaks count="2" manualBreakCount="2">
    <brk id="17" max="51" man="1"/>
    <brk id="29" max="44" man="1"/>
  </col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3" tint="0.39997558519241921"/>
  </sheetPr>
  <dimension ref="A1:BV58"/>
  <sheetViews>
    <sheetView showGridLines="0" zoomScale="80" zoomScaleNormal="80" workbookViewId="0">
      <pane xSplit="3" ySplit="7" topLeftCell="D8" activePane="bottomRight" state="frozen"/>
      <selection activeCell="AD84" sqref="AD84"/>
      <selection pane="topRight" activeCell="AD84" sqref="AD84"/>
      <selection pane="bottomLeft" activeCell="AD84" sqref="AD84"/>
      <selection pane="bottomRight" activeCell="AC41" sqref="AC41:AE41"/>
    </sheetView>
  </sheetViews>
  <sheetFormatPr defaultColWidth="9.140625" defaultRowHeight="12.75" outlineLevelRow="2" outlineLevelCol="1" x14ac:dyDescent="0.2"/>
  <cols>
    <col min="1" max="1" width="4.7109375" style="26" customWidth="1"/>
    <col min="2" max="2" width="18" style="26" customWidth="1"/>
    <col min="3" max="3" width="15.85546875" style="26" customWidth="1"/>
    <col min="4" max="4" width="2.85546875" style="26" hidden="1" customWidth="1"/>
    <col min="5" max="5" width="11.85546875" style="26" hidden="1" customWidth="1" outlineLevel="1"/>
    <col min="6" max="7" width="12.5703125" style="26" hidden="1" customWidth="1" outlineLevel="1"/>
    <col min="8" max="8" width="15.140625" style="26" hidden="1" customWidth="1" outlineLevel="1"/>
    <col min="9" max="11" width="12.5703125" style="26" hidden="1" customWidth="1" outlineLevel="1"/>
    <col min="12" max="12" width="12.5703125" style="27" hidden="1" customWidth="1" outlineLevel="1"/>
    <col min="13" max="14" width="12.5703125" style="26" hidden="1" customWidth="1" outlineLevel="1"/>
    <col min="15" max="15" width="13.42578125" style="26" hidden="1" customWidth="1" outlineLevel="1"/>
    <col min="16" max="16" width="12.5703125" style="26" hidden="1" customWidth="1" collapsed="1"/>
    <col min="17" max="26" width="13.7109375" style="26" hidden="1" customWidth="1" outlineLevel="1"/>
    <col min="27" max="27" width="15.28515625" style="26" hidden="1" customWidth="1" outlineLevel="1"/>
    <col min="28" max="28" width="14.5703125" style="26" hidden="1" customWidth="1" collapsed="1"/>
    <col min="29" max="29" width="14.42578125" style="26" customWidth="1" outlineLevel="1"/>
    <col min="30" max="30" width="14.28515625" style="26" customWidth="1" outlineLevel="1"/>
    <col min="31" max="38" width="15.28515625" style="26" customWidth="1" outlineLevel="1"/>
    <col min="39" max="39" width="13.28515625" style="26" customWidth="1" outlineLevel="1"/>
    <col min="40" max="40" width="13.5703125" style="26" customWidth="1"/>
    <col min="41" max="51" width="13.42578125" style="26" bestFit="1" customWidth="1" outlineLevel="1"/>
    <col min="52" max="74" width="13.42578125" style="26" bestFit="1" customWidth="1"/>
    <col min="75" max="16384" width="9.140625" style="26"/>
  </cols>
  <sheetData>
    <row r="1" spans="1:74" ht="18.75" thickBot="1" x14ac:dyDescent="0.3">
      <c r="A1" s="87" t="str">
        <f>Sensativities!B4</f>
        <v>CallFire</v>
      </c>
      <c r="B1" s="88"/>
      <c r="C1" s="88"/>
    </row>
    <row r="2" spans="1:74" ht="15.75" x14ac:dyDescent="0.25">
      <c r="A2" s="90"/>
    </row>
    <row r="3" spans="1:74" ht="15.75" x14ac:dyDescent="0.25">
      <c r="A3" s="92" t="s">
        <v>116</v>
      </c>
    </row>
    <row r="4" spans="1:74" ht="15.75" x14ac:dyDescent="0.25">
      <c r="A4" s="90" t="s">
        <v>7</v>
      </c>
      <c r="AE4" s="96"/>
      <c r="AF4" s="96"/>
      <c r="AG4" s="96"/>
      <c r="AH4" s="96"/>
      <c r="AI4" s="96"/>
      <c r="AJ4" s="96"/>
      <c r="AK4" s="96"/>
      <c r="AL4" s="96"/>
      <c r="AM4" s="96"/>
      <c r="AN4" s="96"/>
    </row>
    <row r="5" spans="1:74" x14ac:dyDescent="0.2">
      <c r="AE5" s="96"/>
      <c r="AF5" s="96"/>
      <c r="AG5" s="96"/>
      <c r="AH5" s="96"/>
      <c r="AI5" s="96"/>
      <c r="AJ5" s="96"/>
      <c r="AK5" s="96"/>
      <c r="AL5" s="96"/>
      <c r="AM5" s="96"/>
      <c r="AN5" s="96"/>
    </row>
    <row r="6" spans="1:74" ht="15" x14ac:dyDescent="0.25">
      <c r="E6" s="16"/>
      <c r="F6" s="16"/>
      <c r="G6" s="16"/>
      <c r="H6" s="16"/>
      <c r="I6" s="16"/>
      <c r="J6" s="16"/>
      <c r="K6" s="16"/>
      <c r="L6" s="2"/>
      <c r="M6" s="16"/>
      <c r="N6" s="16"/>
      <c r="O6" s="16"/>
      <c r="P6" s="16"/>
      <c r="Q6" s="16"/>
      <c r="R6" s="16"/>
      <c r="S6" s="16"/>
      <c r="T6" s="16"/>
      <c r="U6" s="16"/>
      <c r="V6" s="16"/>
      <c r="W6" s="16"/>
      <c r="X6" s="16"/>
      <c r="Y6" s="16"/>
      <c r="Z6" s="16"/>
      <c r="AA6" s="16"/>
      <c r="AB6" s="16"/>
      <c r="AC6" s="116"/>
      <c r="AE6" s="116"/>
      <c r="AF6" s="116"/>
      <c r="AG6" s="116"/>
      <c r="AH6" s="116"/>
      <c r="AI6" s="116"/>
      <c r="AJ6" s="116"/>
      <c r="AK6" s="116"/>
      <c r="AL6" s="116"/>
      <c r="AM6" s="96"/>
      <c r="AN6" s="96"/>
    </row>
    <row r="7" spans="1:74" x14ac:dyDescent="0.2">
      <c r="A7" s="94" t="s">
        <v>117</v>
      </c>
      <c r="B7" s="95"/>
      <c r="E7" s="97">
        <f>'Cost Summary'!C3</f>
        <v>40909</v>
      </c>
      <c r="F7" s="97">
        <f>'Cost Summary'!D3</f>
        <v>40942</v>
      </c>
      <c r="G7" s="97">
        <f>'Cost Summary'!E3</f>
        <v>40975</v>
      </c>
      <c r="H7" s="97">
        <f>'Cost Summary'!F3</f>
        <v>41008</v>
      </c>
      <c r="I7" s="97">
        <f>'Cost Summary'!G3</f>
        <v>41041</v>
      </c>
      <c r="J7" s="97">
        <f>'Cost Summary'!H3</f>
        <v>41074</v>
      </c>
      <c r="K7" s="97">
        <f>'Cost Summary'!I3</f>
        <v>41107</v>
      </c>
      <c r="L7" s="97">
        <f>'Cost Summary'!J3</f>
        <v>41140</v>
      </c>
      <c r="M7" s="97">
        <f>'Cost Summary'!K3</f>
        <v>41173</v>
      </c>
      <c r="N7" s="97">
        <f>'Cost Summary'!L3</f>
        <v>41206</v>
      </c>
      <c r="O7" s="97">
        <f>'Cost Summary'!M3</f>
        <v>41239</v>
      </c>
      <c r="P7" s="97">
        <f>'Cost Summary'!N3</f>
        <v>41272</v>
      </c>
      <c r="Q7" s="97">
        <f>'Cost Summary'!O3</f>
        <v>41282</v>
      </c>
      <c r="R7" s="97">
        <f>'Cost Summary'!P3</f>
        <v>41312</v>
      </c>
      <c r="S7" s="97">
        <f>'Cost Summary'!Q3</f>
        <v>41342</v>
      </c>
      <c r="T7" s="97">
        <f>'Cost Summary'!R3</f>
        <v>41372</v>
      </c>
      <c r="U7" s="97">
        <f>'Cost Summary'!S3</f>
        <v>41402</v>
      </c>
      <c r="V7" s="97">
        <f>'Cost Summary'!T3</f>
        <v>41432</v>
      </c>
      <c r="W7" s="97">
        <f>'Cost Summary'!U3</f>
        <v>41462</v>
      </c>
      <c r="X7" s="97">
        <f>'Cost Summary'!V3</f>
        <v>41492</v>
      </c>
      <c r="Y7" s="97">
        <f>'Cost Summary'!W3</f>
        <v>41522</v>
      </c>
      <c r="Z7" s="97">
        <f>'Cost Summary'!X3</f>
        <v>41552</v>
      </c>
      <c r="AA7" s="97">
        <f>'Cost Summary'!Y3</f>
        <v>41582</v>
      </c>
      <c r="AB7" s="97">
        <f>'Cost Summary'!Z3</f>
        <v>41612</v>
      </c>
      <c r="AC7" s="97">
        <f>'Cost Summary'!AA3</f>
        <v>41642</v>
      </c>
      <c r="AD7" s="97">
        <f>'Cost Summary'!AB3</f>
        <v>41675</v>
      </c>
      <c r="AE7" s="97">
        <f>'Cost Summary'!AC3</f>
        <v>41708</v>
      </c>
      <c r="AF7" s="97">
        <f>'Cost Summary'!AD3</f>
        <v>41741</v>
      </c>
      <c r="AG7" s="97">
        <f>'Cost Summary'!AE3</f>
        <v>41774</v>
      </c>
      <c r="AH7" s="97">
        <f>'Cost Summary'!AF3</f>
        <v>41807</v>
      </c>
      <c r="AI7" s="97">
        <f>'Cost Summary'!AG3</f>
        <v>41840</v>
      </c>
      <c r="AJ7" s="97">
        <f>'Cost Summary'!AH3</f>
        <v>41873</v>
      </c>
      <c r="AK7" s="97">
        <f>'Cost Summary'!AI3</f>
        <v>41906</v>
      </c>
      <c r="AL7" s="97">
        <f>'Cost Summary'!AJ3</f>
        <v>41939</v>
      </c>
      <c r="AM7" s="97">
        <f>'Cost Summary'!AK3</f>
        <v>41972</v>
      </c>
      <c r="AN7" s="97">
        <f>'Cost Summary'!AL3</f>
        <v>41982</v>
      </c>
      <c r="AO7" s="97">
        <f>'Cost Summary'!AM3</f>
        <v>42012</v>
      </c>
      <c r="AP7" s="97">
        <f>'Cost Summary'!AN3</f>
        <v>42042</v>
      </c>
      <c r="AQ7" s="97">
        <f>'Cost Summary'!AO3</f>
        <v>42072</v>
      </c>
      <c r="AR7" s="97">
        <f>'Cost Summary'!AP3</f>
        <v>42102</v>
      </c>
      <c r="AS7" s="97">
        <f>'Cost Summary'!AQ3</f>
        <v>42132</v>
      </c>
      <c r="AT7" s="97">
        <f>'Cost Summary'!AR3</f>
        <v>42162</v>
      </c>
      <c r="AU7" s="97">
        <f>'Cost Summary'!AS3</f>
        <v>42192</v>
      </c>
      <c r="AV7" s="97">
        <f>'Cost Summary'!AT3</f>
        <v>42222</v>
      </c>
      <c r="AW7" s="97">
        <f>'Cost Summary'!AU3</f>
        <v>42252</v>
      </c>
      <c r="AX7" s="97">
        <f>'Cost Summary'!AV3</f>
        <v>42282</v>
      </c>
      <c r="AY7" s="97">
        <f>'Cost Summary'!AW3</f>
        <v>42312</v>
      </c>
      <c r="AZ7" s="97">
        <f>'Cost Summary'!AX3</f>
        <v>42342</v>
      </c>
      <c r="BA7" s="97">
        <f>'Cost Summary'!AY3</f>
        <v>42372</v>
      </c>
      <c r="BB7" s="97">
        <f>'Cost Summary'!AZ3</f>
        <v>42402</v>
      </c>
      <c r="BC7" s="97">
        <f>'Cost Summary'!BA3</f>
        <v>42432</v>
      </c>
      <c r="BD7" s="97">
        <f>'Cost Summary'!BB3</f>
        <v>42462</v>
      </c>
      <c r="BE7" s="97">
        <f>'Cost Summary'!BC3</f>
        <v>42492</v>
      </c>
      <c r="BF7" s="97">
        <f>'Cost Summary'!BD3</f>
        <v>42522</v>
      </c>
      <c r="BG7" s="97">
        <f>'Cost Summary'!BE3</f>
        <v>42555</v>
      </c>
      <c r="BH7" s="97">
        <f>'Cost Summary'!BF3</f>
        <v>42585</v>
      </c>
      <c r="BI7" s="97">
        <f>'Cost Summary'!BG3</f>
        <v>42615</v>
      </c>
      <c r="BJ7" s="97">
        <f>'Cost Summary'!BH3</f>
        <v>42645</v>
      </c>
      <c r="BK7" s="97">
        <f>'Cost Summary'!BI3</f>
        <v>42675</v>
      </c>
      <c r="BL7" s="97">
        <f>'Cost Summary'!BJ3</f>
        <v>42705</v>
      </c>
      <c r="BM7" s="97">
        <f>'Cost Summary'!BK3</f>
        <v>42736</v>
      </c>
      <c r="BN7" s="97">
        <v>0</v>
      </c>
      <c r="BO7" s="97">
        <v>31</v>
      </c>
      <c r="BP7" s="97">
        <v>60</v>
      </c>
      <c r="BQ7" s="97">
        <v>91</v>
      </c>
      <c r="BR7" s="97">
        <v>121</v>
      </c>
      <c r="BS7" s="97">
        <v>152</v>
      </c>
      <c r="BT7" s="97">
        <v>182</v>
      </c>
      <c r="BU7" s="97">
        <v>213</v>
      </c>
      <c r="BV7" s="97">
        <v>244</v>
      </c>
    </row>
    <row r="8" spans="1:74" outlineLevel="1" x14ac:dyDescent="0.2">
      <c r="A8" s="100" t="s">
        <v>118</v>
      </c>
    </row>
    <row r="9" spans="1:74" outlineLevel="1" x14ac:dyDescent="0.2">
      <c r="A9" s="26" t="s">
        <v>119</v>
      </c>
      <c r="E9" s="103">
        <f>'P&amp;L - Monthly'!E82</f>
        <v>544395.6582197845</v>
      </c>
      <c r="F9" s="101">
        <f>'P&amp;L - Monthly'!F82</f>
        <v>359975.56141166302</v>
      </c>
      <c r="G9" s="101">
        <f>'P&amp;L - Monthly'!G82</f>
        <v>472089.31798031891</v>
      </c>
      <c r="H9" s="101">
        <f>'P&amp;L - Monthly'!H82</f>
        <v>463731.7872727089</v>
      </c>
      <c r="I9" s="101">
        <f>'P&amp;L - Monthly'!I82</f>
        <v>304484.61171710881</v>
      </c>
      <c r="J9" s="101">
        <f>'P&amp;L - Monthly'!J82</f>
        <v>364164.56566062395</v>
      </c>
      <c r="K9" s="101">
        <f>'P&amp;L - Monthly'!K82</f>
        <v>140035.37917727098</v>
      </c>
      <c r="L9" s="102">
        <f>'P&amp;L - Monthly'!L82</f>
        <v>209873.23448720737</v>
      </c>
      <c r="M9" s="101">
        <f>'P&amp;L - Monthly'!M82</f>
        <v>448651.44117237872</v>
      </c>
      <c r="N9" s="101">
        <f>'P&amp;L - Monthly'!N82</f>
        <v>319000.39276196656</v>
      </c>
      <c r="O9" s="101">
        <f>'P&amp;L - Monthly'!O82</f>
        <v>635668.58040760295</v>
      </c>
      <c r="P9" s="101">
        <f>'P&amp;L - Monthly'!P82</f>
        <v>344907.6111995051</v>
      </c>
      <c r="Q9" s="101">
        <f>'P&amp;L - Monthly'!Q82</f>
        <v>-462917.78000000026</v>
      </c>
      <c r="R9" s="101">
        <f>'P&amp;L - Monthly'!R82</f>
        <v>11231.850000000108</v>
      </c>
      <c r="S9" s="101">
        <f>'P&amp;L - Monthly'!S82</f>
        <v>1669.6299999998591</v>
      </c>
      <c r="T9" s="101">
        <f>'P&amp;L - Monthly'!T82</f>
        <v>-69225.789999999775</v>
      </c>
      <c r="U9" s="101">
        <f>'P&amp;L - Monthly'!U82</f>
        <v>-183735.33999999962</v>
      </c>
      <c r="V9" s="101">
        <f>'P&amp;L - Monthly'!V82</f>
        <v>-419720.30999999982</v>
      </c>
      <c r="W9" s="101">
        <f>'P&amp;L - Monthly'!W82</f>
        <v>-815165.32999999949</v>
      </c>
      <c r="X9" s="101">
        <f>'P&amp;L - Monthly'!X82</f>
        <v>-672679.57999999973</v>
      </c>
      <c r="Y9" s="101">
        <f>'P&amp;L - Monthly'!Y82</f>
        <v>-339571.56</v>
      </c>
      <c r="Z9" s="101">
        <f>'P&amp;L - Monthly'!Z82</f>
        <v>-284198.30999999982</v>
      </c>
      <c r="AA9" s="101">
        <f>'P&amp;L - Monthly'!AA82</f>
        <v>-439165.83000000007</v>
      </c>
      <c r="AB9" s="101">
        <f>'P&amp;L - Monthly'!AB82</f>
        <v>-124475.46000000004</v>
      </c>
      <c r="AC9" s="101">
        <f>'P&amp;L - Monthly'!AC82</f>
        <v>-500462.24000000022</v>
      </c>
      <c r="AD9" s="101">
        <f>'P&amp;L - Monthly'!AD82</f>
        <v>-306688.74000000017</v>
      </c>
      <c r="AE9" s="101">
        <f>'P&amp;L - Monthly'!AE82</f>
        <v>-530539.84999999986</v>
      </c>
      <c r="AF9" s="101">
        <f ca="1">'P&amp;L - Monthly'!AF82</f>
        <v>-982501.57283316227</v>
      </c>
      <c r="AG9" s="101">
        <f ca="1">'P&amp;L - Monthly'!AG82</f>
        <v>-757588.22027118981</v>
      </c>
      <c r="AH9" s="101">
        <f ca="1">'P&amp;L - Monthly'!AH82</f>
        <v>-732250.3996552031</v>
      </c>
      <c r="AI9" s="101">
        <f ca="1">'P&amp;L - Monthly'!AI82</f>
        <v>-830492.71358028043</v>
      </c>
      <c r="AJ9" s="101">
        <f ca="1">'P&amp;L - Monthly'!AJ82</f>
        <v>-457817.79221098253</v>
      </c>
      <c r="AK9" s="101">
        <f ca="1">'P&amp;L - Monthly'!AK82</f>
        <v>-214269.39575422608</v>
      </c>
      <c r="AL9" s="101">
        <f ca="1">'P&amp;L - Monthly'!AL82</f>
        <v>-249276.1951843634</v>
      </c>
      <c r="AM9" s="101">
        <f ca="1">'P&amp;L - Monthly'!AM82</f>
        <v>-122919.8369379465</v>
      </c>
      <c r="AN9" s="101">
        <f ca="1">'P&amp;L - Monthly'!AN82</f>
        <v>-84415.68178231694</v>
      </c>
      <c r="AO9" s="101">
        <f ca="1">'P&amp;L - Monthly'!AO82</f>
        <v>-6733134.5552006355</v>
      </c>
      <c r="AP9" s="101">
        <f ca="1">'P&amp;L - Monthly'!AP82</f>
        <v>933256.36320909858</v>
      </c>
      <c r="AQ9" s="101">
        <f ca="1">'P&amp;L - Monthly'!AQ82</f>
        <v>1051905.5817515349</v>
      </c>
      <c r="AR9" s="101">
        <f ca="1">'P&amp;L - Monthly'!AR82</f>
        <v>1169548.4728214201</v>
      </c>
      <c r="AS9" s="101">
        <f ca="1">'P&amp;L - Monthly'!AS82</f>
        <v>1283604.4364519697</v>
      </c>
      <c r="AT9" s="101">
        <f ca="1">'P&amp;L - Monthly'!AT82</f>
        <v>1395975.6282460182</v>
      </c>
      <c r="AU9" s="101">
        <f ca="1">'P&amp;L - Monthly'!AU82</f>
        <v>1508371.1813166814</v>
      </c>
      <c r="AV9" s="101">
        <f ca="1">'P&amp;L - Monthly'!AV82</f>
        <v>1622197.4200345564</v>
      </c>
      <c r="AW9" s="101">
        <f ca="1">'P&amp;L - Monthly'!AW82</f>
        <v>1737121.1361964829</v>
      </c>
      <c r="AX9" s="101">
        <f ca="1">'P&amp;L - Monthly'!AX82</f>
        <v>1844504.3599346206</v>
      </c>
      <c r="AY9" s="101">
        <f ca="1">'P&amp;L - Monthly'!AY82</f>
        <v>1956688.7680357085</v>
      </c>
      <c r="AZ9" s="101">
        <f ca="1">'P&amp;L - Monthly'!AZ82</f>
        <v>2063658.5311319553</v>
      </c>
      <c r="BA9" s="101">
        <f ca="1">'P&amp;L - Monthly'!BA82</f>
        <v>-1735434.9580106095</v>
      </c>
      <c r="BB9" s="101">
        <f ca="1">'P&amp;L - Monthly'!BB82</f>
        <v>-2123082.3099780069</v>
      </c>
      <c r="BC9" s="101">
        <f ca="1">'P&amp;L - Monthly'!BC82</f>
        <v>-2130740.9860264556</v>
      </c>
      <c r="BD9" s="101">
        <f ca="1">'P&amp;L - Monthly'!BD82</f>
        <v>-2114258.1678603315</v>
      </c>
      <c r="BE9" s="101">
        <f ca="1">'P&amp;L - Monthly'!BE82</f>
        <v>-2121538.5489664627</v>
      </c>
      <c r="BF9" s="101">
        <f ca="1">'P&amp;L - Monthly'!BF82</f>
        <v>-2127826.7993885879</v>
      </c>
      <c r="BG9" s="101">
        <f ca="1">'P&amp;L - Monthly'!BG82</f>
        <v>-2135311.4985554377</v>
      </c>
      <c r="BH9" s="101">
        <f ca="1">'P&amp;L - Monthly'!BH82</f>
        <v>-2141810.7692217263</v>
      </c>
      <c r="BI9" s="101">
        <f ca="1">'P&amp;L - Monthly'!BI82</f>
        <v>-2149484.6168980291</v>
      </c>
      <c r="BJ9" s="101">
        <f ca="1">'P&amp;L - Monthly'!BJ82</f>
        <v>-2156187.4180265861</v>
      </c>
      <c r="BK9" s="101">
        <f ca="1">'P&amp;L - Monthly'!BK82</f>
        <v>-2164058.0745301829</v>
      </c>
      <c r="BL9" s="101">
        <f ca="1">'P&amp;L - Monthly'!BL82</f>
        <v>-2176218.3377583013</v>
      </c>
      <c r="BM9" s="101">
        <f ca="1">'P&amp;L - Monthly'!BM82</f>
        <v>-1796220.435670278</v>
      </c>
      <c r="BN9" s="101">
        <f ca="1">'P&amp;L - Monthly'!BN82</f>
        <v>-1814141.0940216631</v>
      </c>
      <c r="BO9" s="101">
        <f ca="1">'P&amp;L - Monthly'!BO82</f>
        <v>-1822486.8977055328</v>
      </c>
      <c r="BP9" s="101">
        <f ca="1">'P&amp;L - Monthly'!BP82</f>
        <v>-1829839.9912727752</v>
      </c>
      <c r="BQ9" s="101">
        <f ca="1">'P&amp;L - Monthly'!BQ82</f>
        <v>-1838374.6700066864</v>
      </c>
      <c r="BR9" s="101">
        <f ca="1">'P&amp;L - Monthly'!BR82</f>
        <v>-1845963.2256881518</v>
      </c>
      <c r="BS9" s="101">
        <f ca="1">'P&amp;L - Monthly'!BS82</f>
        <v>-1854748.0886255456</v>
      </c>
      <c r="BT9" s="101">
        <f ca="1">'P&amp;L - Monthly'!BT82</f>
        <v>-1863129.5926757939</v>
      </c>
      <c r="BU9" s="101">
        <f ca="1">'P&amp;L - Monthly'!BU82</f>
        <v>-1871108.1823285348</v>
      </c>
      <c r="BV9" s="101">
        <f ca="1">'P&amp;L - Monthly'!BV82</f>
        <v>-1880293.8082110283</v>
      </c>
    </row>
    <row r="10" spans="1:74" outlineLevel="1" x14ac:dyDescent="0.2">
      <c r="A10" s="26" t="s">
        <v>178</v>
      </c>
      <c r="E10" s="103">
        <f>'P&amp;L - Monthly'!E72</f>
        <v>12909.999999999971</v>
      </c>
      <c r="F10" s="103">
        <f>'P&amp;L - Monthly'!F72</f>
        <v>12910</v>
      </c>
      <c r="G10" s="103">
        <f>'P&amp;L - Monthly'!G72</f>
        <v>12910</v>
      </c>
      <c r="H10" s="103">
        <f>'P&amp;L - Monthly'!H72</f>
        <v>12910</v>
      </c>
      <c r="I10" s="103">
        <f>'P&amp;L - Monthly'!I72</f>
        <v>12910</v>
      </c>
      <c r="J10" s="103">
        <f>'P&amp;L - Monthly'!J72</f>
        <v>12910</v>
      </c>
      <c r="K10" s="103">
        <f>'P&amp;L - Monthly'!K72</f>
        <v>12910</v>
      </c>
      <c r="L10" s="24">
        <f>'P&amp;L - Monthly'!L72</f>
        <v>12910</v>
      </c>
      <c r="M10" s="103">
        <f>'P&amp;L - Monthly'!M72</f>
        <v>12910</v>
      </c>
      <c r="N10" s="103">
        <f>'P&amp;L - Monthly'!N72</f>
        <v>12910</v>
      </c>
      <c r="O10" s="103">
        <f>'P&amp;L - Monthly'!O72</f>
        <v>12910</v>
      </c>
      <c r="P10" s="103">
        <f>'P&amp;L - Monthly'!P72</f>
        <v>-630921.57999999996</v>
      </c>
      <c r="Q10" s="103">
        <f>'P&amp;L - Monthly'!Q72</f>
        <v>246487.33000000005</v>
      </c>
      <c r="R10" s="103">
        <f>'P&amp;L - Monthly'!R72</f>
        <v>247289.5</v>
      </c>
      <c r="S10" s="103">
        <f>'P&amp;L - Monthly'!S72</f>
        <v>247721.76</v>
      </c>
      <c r="T10" s="103">
        <f>'P&amp;L - Monthly'!T72</f>
        <v>248057</v>
      </c>
      <c r="U10" s="103">
        <f>'P&amp;L - Monthly'!U72</f>
        <v>248220.49999999994</v>
      </c>
      <c r="V10" s="103">
        <f>'P&amp;L - Monthly'!V72</f>
        <v>248303.5</v>
      </c>
      <c r="W10" s="103">
        <f>'P&amp;L - Monthly'!W72</f>
        <v>248354.16999999998</v>
      </c>
      <c r="X10" s="103">
        <f>'P&amp;L - Monthly'!X72</f>
        <v>248475.74000000005</v>
      </c>
      <c r="Y10" s="103">
        <f>'P&amp;L - Monthly'!Y72</f>
        <v>248544.33000000002</v>
      </c>
      <c r="Z10" s="103">
        <f>'P&amp;L - Monthly'!Z72</f>
        <v>248784.32999999996</v>
      </c>
      <c r="AA10" s="103">
        <f>'P&amp;L - Monthly'!AA72</f>
        <v>248884.25</v>
      </c>
      <c r="AB10" s="103">
        <f>'P&amp;L - Monthly'!AB72</f>
        <v>247566.00000000006</v>
      </c>
      <c r="AC10" s="103">
        <f>'P&amp;L - Monthly'!AC72</f>
        <v>252278</v>
      </c>
      <c r="AD10" s="103">
        <f>'P&amp;L - Monthly'!AD72</f>
        <v>252278</v>
      </c>
      <c r="AE10" s="103">
        <f>'P&amp;L - Monthly'!AE72</f>
        <v>252278</v>
      </c>
      <c r="AF10" s="103">
        <f>'P&amp;L - Monthly'!AF72</f>
        <v>252263.5</v>
      </c>
      <c r="AG10" s="103">
        <f>'P&amp;L - Monthly'!AG72</f>
        <v>252740.905</v>
      </c>
      <c r="AH10" s="103">
        <f>'P&amp;L - Monthly'!AH72</f>
        <v>253232.63214999999</v>
      </c>
      <c r="AI10" s="103">
        <f>'P&amp;L - Monthly'!AI72</f>
        <v>253739.1111145</v>
      </c>
      <c r="AJ10" s="103">
        <f>'P&amp;L - Monthly'!AJ72</f>
        <v>254260.784447935</v>
      </c>
      <c r="AK10" s="103">
        <f>'P&amp;L - Monthly'!AK72</f>
        <v>254798.10798137306</v>
      </c>
      <c r="AL10" s="103">
        <f>'P&amp;L - Monthly'!AL72</f>
        <v>255351.55122081423</v>
      </c>
      <c r="AM10" s="103">
        <f>'P&amp;L - Monthly'!AM72</f>
        <v>255921.59775743866</v>
      </c>
      <c r="AN10" s="103">
        <f>'P&amp;L - Monthly'!AN72</f>
        <v>256508.74569016183</v>
      </c>
      <c r="AO10" s="103">
        <f>'P&amp;L - Monthly'!AO72</f>
        <v>257113.50806086668</v>
      </c>
      <c r="AP10" s="103">
        <f>'P&amp;L - Monthly'!AP72</f>
        <v>257736.4133026927</v>
      </c>
      <c r="AQ10" s="103">
        <f>'P&amp;L - Monthly'!AQ72</f>
        <v>258378.00570177348</v>
      </c>
      <c r="AR10" s="103">
        <f>'P&amp;L - Monthly'!AR72</f>
        <v>259038.84587282667</v>
      </c>
      <c r="AS10" s="103">
        <f>'P&amp;L - Monthly'!AS72</f>
        <v>259719.51124901147</v>
      </c>
      <c r="AT10" s="103">
        <f>'P&amp;L - Monthly'!AT72</f>
        <v>260420.59658648181</v>
      </c>
      <c r="AU10" s="103">
        <f>'P&amp;L - Monthly'!AU72</f>
        <v>261142.71448407628</v>
      </c>
      <c r="AV10" s="103">
        <f>'P&amp;L - Monthly'!AV72</f>
        <v>261886.49591859855</v>
      </c>
      <c r="AW10" s="103">
        <f>'P&amp;L - Monthly'!AW72</f>
        <v>262652.5907961565</v>
      </c>
      <c r="AX10" s="103">
        <f>'P&amp;L - Monthly'!AX72</f>
        <v>263441.66852004122</v>
      </c>
      <c r="AY10" s="103">
        <f>'P&amp;L - Monthly'!AY72</f>
        <v>264254.41857564246</v>
      </c>
      <c r="AZ10" s="103">
        <f>'P&amp;L - Monthly'!AZ72</f>
        <v>265091.5511329117</v>
      </c>
      <c r="BA10" s="103">
        <f>'P&amp;L - Monthly'!BA72</f>
        <v>265953.7976668991</v>
      </c>
      <c r="BB10" s="103">
        <f>'P&amp;L - Monthly'!BB72</f>
        <v>236350</v>
      </c>
      <c r="BC10" s="103">
        <f>'P&amp;L - Monthly'!BC72</f>
        <v>236350</v>
      </c>
      <c r="BD10" s="103">
        <f>'P&amp;L - Monthly'!BD72</f>
        <v>236350</v>
      </c>
      <c r="BE10" s="103">
        <f>'P&amp;L - Monthly'!BE72</f>
        <v>236350</v>
      </c>
      <c r="BF10" s="103">
        <f>'P&amp;L - Monthly'!BF72</f>
        <v>236350</v>
      </c>
      <c r="BG10" s="103">
        <f>'P&amp;L - Monthly'!BG72</f>
        <v>236350</v>
      </c>
      <c r="BH10" s="103">
        <f>'P&amp;L - Monthly'!BH72</f>
        <v>236350</v>
      </c>
      <c r="BI10" s="103">
        <f>'P&amp;L - Monthly'!BI72</f>
        <v>236350</v>
      </c>
      <c r="BJ10" s="103">
        <f>'P&amp;L - Monthly'!BJ72</f>
        <v>236350</v>
      </c>
      <c r="BK10" s="103">
        <f>'P&amp;L - Monthly'!BK72</f>
        <v>236350</v>
      </c>
      <c r="BL10" s="103">
        <f>'P&amp;L - Monthly'!BL72</f>
        <v>236350</v>
      </c>
      <c r="BM10" s="103">
        <f>'P&amp;L - Monthly'!BM72</f>
        <v>236350</v>
      </c>
      <c r="BN10" s="103">
        <f>'P&amp;L - Monthly'!BN72</f>
        <v>236350</v>
      </c>
      <c r="BO10" s="103">
        <f>'P&amp;L - Monthly'!BO72</f>
        <v>236350</v>
      </c>
      <c r="BP10" s="103">
        <f>'P&amp;L - Monthly'!BP72</f>
        <v>236350</v>
      </c>
      <c r="BQ10" s="103">
        <f>'P&amp;L - Monthly'!BQ72</f>
        <v>236350</v>
      </c>
      <c r="BR10" s="103">
        <f>'P&amp;L - Monthly'!BR72</f>
        <v>236350</v>
      </c>
      <c r="BS10" s="103">
        <f>'P&amp;L - Monthly'!BS72</f>
        <v>236350</v>
      </c>
      <c r="BT10" s="103">
        <f>'P&amp;L - Monthly'!BT72</f>
        <v>236350</v>
      </c>
      <c r="BU10" s="103">
        <f>'P&amp;L - Monthly'!BU72</f>
        <v>236350</v>
      </c>
      <c r="BV10" s="103">
        <f>'P&amp;L - Monthly'!BV72</f>
        <v>236350</v>
      </c>
    </row>
    <row r="11" spans="1:74" outlineLevel="1" x14ac:dyDescent="0.2">
      <c r="A11" s="26" t="s">
        <v>179</v>
      </c>
      <c r="E11" s="103">
        <f>'P&amp;L - Monthly'!E71</f>
        <v>0</v>
      </c>
      <c r="F11" s="103">
        <f>'P&amp;L - Monthly'!F71</f>
        <v>0</v>
      </c>
      <c r="G11" s="103">
        <f>'P&amp;L - Monthly'!G71</f>
        <v>0</v>
      </c>
      <c r="H11" s="103">
        <f>'P&amp;L - Monthly'!H71</f>
        <v>0</v>
      </c>
      <c r="I11" s="103">
        <f>'P&amp;L - Monthly'!I71</f>
        <v>0</v>
      </c>
      <c r="J11" s="103">
        <f>'P&amp;L - Monthly'!J71</f>
        <v>0</v>
      </c>
      <c r="K11" s="103">
        <f>'P&amp;L - Monthly'!K71</f>
        <v>0</v>
      </c>
      <c r="L11" s="24">
        <f>'P&amp;L - Monthly'!L71</f>
        <v>0</v>
      </c>
      <c r="M11" s="103">
        <f>'P&amp;L - Monthly'!M71</f>
        <v>0</v>
      </c>
      <c r="N11" s="103">
        <f>'P&amp;L - Monthly'!N71</f>
        <v>0</v>
      </c>
      <c r="O11" s="103">
        <f>'P&amp;L - Monthly'!O71</f>
        <v>0</v>
      </c>
      <c r="P11" s="103">
        <f>'P&amp;L - Monthly'!P71</f>
        <v>0</v>
      </c>
      <c r="Q11" s="103">
        <f>'P&amp;L - Monthly'!Q71</f>
        <v>0</v>
      </c>
      <c r="R11" s="103">
        <f>'P&amp;L - Monthly'!R71</f>
        <v>0</v>
      </c>
      <c r="S11" s="103">
        <f>'P&amp;L - Monthly'!S71</f>
        <v>0</v>
      </c>
      <c r="T11" s="103">
        <f>'P&amp;L - Monthly'!T71</f>
        <v>0</v>
      </c>
      <c r="U11" s="103">
        <f>'P&amp;L - Monthly'!U71</f>
        <v>0</v>
      </c>
      <c r="V11" s="103">
        <f>'P&amp;L - Monthly'!V71</f>
        <v>0</v>
      </c>
      <c r="W11" s="103">
        <f>'P&amp;L - Monthly'!W71</f>
        <v>0</v>
      </c>
      <c r="X11" s="103">
        <f>'P&amp;L - Monthly'!X71</f>
        <v>0</v>
      </c>
      <c r="Y11" s="103">
        <f>'P&amp;L - Monthly'!Y71</f>
        <v>0</v>
      </c>
      <c r="Z11" s="103">
        <f>'P&amp;L - Monthly'!Z71</f>
        <v>0</v>
      </c>
      <c r="AA11" s="103">
        <f>'P&amp;L - Monthly'!AA71</f>
        <v>0</v>
      </c>
      <c r="AB11" s="103">
        <f>'P&amp;L - Monthly'!AB71</f>
        <v>0</v>
      </c>
      <c r="AC11" s="103">
        <f>'P&amp;L - Monthly'!AC71</f>
        <v>0</v>
      </c>
      <c r="AD11" s="103">
        <f>'P&amp;L - Monthly'!AD71</f>
        <v>0</v>
      </c>
      <c r="AE11" s="103">
        <f>'P&amp;L - Monthly'!AE71</f>
        <v>0</v>
      </c>
      <c r="AF11" s="103">
        <f>'P&amp;L - Monthly'!AF71</f>
        <v>0</v>
      </c>
      <c r="AG11" s="103">
        <f>'P&amp;L - Monthly'!AG71</f>
        <v>0</v>
      </c>
      <c r="AH11" s="103">
        <f>'P&amp;L - Monthly'!AH71</f>
        <v>0</v>
      </c>
      <c r="AI11" s="103">
        <f>'P&amp;L - Monthly'!AI71</f>
        <v>0</v>
      </c>
      <c r="AJ11" s="103">
        <f>'P&amp;L - Monthly'!AJ71</f>
        <v>0</v>
      </c>
      <c r="AK11" s="103">
        <f>'P&amp;L - Monthly'!AK71</f>
        <v>0</v>
      </c>
      <c r="AL11" s="103">
        <f>'P&amp;L - Monthly'!AL71</f>
        <v>0</v>
      </c>
      <c r="AM11" s="103">
        <f>'P&amp;L - Monthly'!AM71</f>
        <v>0</v>
      </c>
      <c r="AN11" s="103">
        <f>'P&amp;L - Monthly'!AN71</f>
        <v>0</v>
      </c>
      <c r="AO11" s="103">
        <f>'P&amp;L - Monthly'!AO71</f>
        <v>0</v>
      </c>
      <c r="AP11" s="103">
        <f>'P&amp;L - Monthly'!AP71</f>
        <v>0</v>
      </c>
      <c r="AQ11" s="103">
        <f>'P&amp;L - Monthly'!AQ71</f>
        <v>0</v>
      </c>
      <c r="AR11" s="103">
        <f>'P&amp;L - Monthly'!AR71</f>
        <v>0</v>
      </c>
      <c r="AS11" s="103">
        <f>'P&amp;L - Monthly'!AS71</f>
        <v>0</v>
      </c>
      <c r="AT11" s="103">
        <f>'P&amp;L - Monthly'!AT71</f>
        <v>0</v>
      </c>
      <c r="AU11" s="103">
        <f>'P&amp;L - Monthly'!AU71</f>
        <v>0</v>
      </c>
      <c r="AV11" s="103">
        <f>'P&amp;L - Monthly'!AV71</f>
        <v>0</v>
      </c>
      <c r="AW11" s="103">
        <f>'P&amp;L - Monthly'!AW71</f>
        <v>0</v>
      </c>
      <c r="AX11" s="103">
        <f>'P&amp;L - Monthly'!AX71</f>
        <v>0</v>
      </c>
      <c r="AY11" s="103">
        <f>'P&amp;L - Monthly'!AY71</f>
        <v>0</v>
      </c>
      <c r="AZ11" s="103">
        <f>'P&amp;L - Monthly'!AZ71</f>
        <v>0</v>
      </c>
      <c r="BA11" s="103">
        <f>'P&amp;L - Monthly'!BA71</f>
        <v>0</v>
      </c>
      <c r="BB11" s="103">
        <f>'P&amp;L - Monthly'!BB71</f>
        <v>0</v>
      </c>
      <c r="BC11" s="103">
        <f>'P&amp;L - Monthly'!BC71</f>
        <v>0</v>
      </c>
      <c r="BD11" s="103">
        <f>'P&amp;L - Monthly'!BD71</f>
        <v>0</v>
      </c>
      <c r="BE11" s="103">
        <f>'P&amp;L - Monthly'!BE71</f>
        <v>0</v>
      </c>
      <c r="BF11" s="103">
        <f>'P&amp;L - Monthly'!BF71</f>
        <v>0</v>
      </c>
      <c r="BG11" s="103">
        <f>'P&amp;L - Monthly'!BG71</f>
        <v>0</v>
      </c>
      <c r="BH11" s="103">
        <f>'P&amp;L - Monthly'!BH71</f>
        <v>0</v>
      </c>
      <c r="BI11" s="103">
        <f>'P&amp;L - Monthly'!BI71</f>
        <v>0</v>
      </c>
      <c r="BJ11" s="103">
        <f>'P&amp;L - Monthly'!BJ71</f>
        <v>0</v>
      </c>
      <c r="BK11" s="103">
        <f>'P&amp;L - Monthly'!BK71</f>
        <v>0</v>
      </c>
      <c r="BL11" s="103">
        <f>'P&amp;L - Monthly'!BL71</f>
        <v>0</v>
      </c>
      <c r="BM11" s="103">
        <f>'P&amp;L - Monthly'!BM71</f>
        <v>0</v>
      </c>
      <c r="BN11" s="103">
        <f>'P&amp;L - Monthly'!BN71</f>
        <v>0</v>
      </c>
      <c r="BO11" s="103">
        <f>'P&amp;L - Monthly'!BO71</f>
        <v>0</v>
      </c>
      <c r="BP11" s="103">
        <f>'P&amp;L - Monthly'!BP71</f>
        <v>0</v>
      </c>
      <c r="BQ11" s="103">
        <f>'P&amp;L - Monthly'!BQ71</f>
        <v>0</v>
      </c>
      <c r="BR11" s="103">
        <f>'P&amp;L - Monthly'!BR71</f>
        <v>0</v>
      </c>
      <c r="BS11" s="103">
        <f>'P&amp;L - Monthly'!BS71</f>
        <v>0</v>
      </c>
      <c r="BT11" s="103">
        <f>'P&amp;L - Monthly'!BT71</f>
        <v>0</v>
      </c>
      <c r="BU11" s="103">
        <f>'P&amp;L - Monthly'!BU71</f>
        <v>0</v>
      </c>
      <c r="BV11" s="103">
        <f>'P&amp;L - Monthly'!BV71</f>
        <v>0</v>
      </c>
    </row>
    <row r="12" spans="1:74" outlineLevel="1" x14ac:dyDescent="0.2">
      <c r="A12" s="26" t="s">
        <v>120</v>
      </c>
      <c r="E12" s="103"/>
      <c r="F12" s="103"/>
      <c r="G12" s="103"/>
      <c r="H12" s="103"/>
      <c r="I12" s="103"/>
      <c r="J12" s="103"/>
      <c r="K12" s="103"/>
      <c r="L12" s="24"/>
      <c r="M12" s="103"/>
      <c r="N12" s="103"/>
      <c r="O12" s="103"/>
      <c r="P12" s="103"/>
      <c r="Q12" s="103"/>
      <c r="R12" s="103"/>
      <c r="S12" s="103"/>
      <c r="T12" s="103"/>
      <c r="U12" s="103"/>
      <c r="V12" s="103"/>
      <c r="W12" s="103"/>
      <c r="X12" s="103"/>
      <c r="Y12" s="103"/>
      <c r="Z12" s="103"/>
      <c r="AA12" s="103"/>
      <c r="AB12" s="103"/>
      <c r="AC12" s="103"/>
      <c r="AD12" s="103"/>
      <c r="AE12" s="103"/>
      <c r="AF12" s="103"/>
      <c r="AG12" s="103"/>
      <c r="AH12" s="103"/>
      <c r="AI12" s="103"/>
      <c r="AJ12" s="103"/>
      <c r="AK12" s="103"/>
      <c r="AL12" s="103"/>
      <c r="AM12" s="103"/>
      <c r="AN12" s="103"/>
      <c r="AO12" s="103"/>
      <c r="AP12" s="103"/>
      <c r="AQ12" s="103"/>
      <c r="AR12" s="103"/>
      <c r="AS12" s="103"/>
      <c r="AT12" s="103"/>
      <c r="AU12" s="103"/>
      <c r="AV12" s="103"/>
      <c r="AW12" s="103"/>
      <c r="AX12" s="103"/>
      <c r="AY12" s="103"/>
      <c r="AZ12" s="103"/>
      <c r="BA12" s="103"/>
      <c r="BB12" s="103"/>
      <c r="BC12" s="103"/>
      <c r="BD12" s="103"/>
      <c r="BE12" s="103"/>
      <c r="BF12" s="103"/>
      <c r="BG12" s="103"/>
      <c r="BH12" s="103"/>
      <c r="BI12" s="103"/>
      <c r="BJ12" s="103"/>
      <c r="BK12" s="103"/>
      <c r="BL12" s="103"/>
      <c r="BM12" s="103"/>
      <c r="BN12" s="103"/>
      <c r="BO12" s="103"/>
      <c r="BP12" s="103"/>
      <c r="BQ12" s="103"/>
      <c r="BR12" s="103"/>
      <c r="BS12" s="103"/>
      <c r="BT12" s="103"/>
      <c r="BU12" s="103"/>
      <c r="BV12" s="103"/>
    </row>
    <row r="13" spans="1:74" outlineLevel="1" x14ac:dyDescent="0.2">
      <c r="B13" s="26" t="s">
        <v>91</v>
      </c>
      <c r="E13" s="103">
        <v>73925.180000000022</v>
      </c>
      <c r="F13" s="103">
        <f>'BS - Monthly'!F9-'BS - Monthly'!G9</f>
        <v>-1811.3299999999872</v>
      </c>
      <c r="G13" s="103">
        <f>'BS - Monthly'!G9-'BS - Monthly'!H9</f>
        <v>-24632.110000000015</v>
      </c>
      <c r="H13" s="103">
        <f>'BS - Monthly'!H9-'BS - Monthly'!I9</f>
        <v>-867366.78</v>
      </c>
      <c r="I13" s="103">
        <f>'BS - Monthly'!I9-'BS - Monthly'!J9</f>
        <v>576958.87</v>
      </c>
      <c r="J13" s="103">
        <f>'BS - Monthly'!J9-'BS - Monthly'!K9</f>
        <v>10841.399999999965</v>
      </c>
      <c r="K13" s="103">
        <f>'BS - Monthly'!K9-'BS - Monthly'!L9</f>
        <v>299349.32</v>
      </c>
      <c r="L13" s="24">
        <f>'BS - Monthly'!L9-'BS - Monthly'!M9</f>
        <v>8822.5099999999802</v>
      </c>
      <c r="M13" s="103">
        <f>'BS - Monthly'!M9-'BS - Monthly'!N9</f>
        <v>55543.460000000021</v>
      </c>
      <c r="N13" s="103">
        <f>'BS - Monthly'!N9-'BS - Monthly'!O9</f>
        <v>30103.47</v>
      </c>
      <c r="O13" s="103">
        <f>'BS - Monthly'!O9-'BS - Monthly'!P9</f>
        <v>-74712.710000000021</v>
      </c>
      <c r="P13" s="103">
        <f>'BS - Monthly'!P9-'BS - Monthly'!Q9</f>
        <v>29690.820000000007</v>
      </c>
      <c r="Q13" s="103">
        <f>'BS - Monthly'!Q9-'BS - Monthly'!R9</f>
        <v>-949882.97</v>
      </c>
      <c r="R13" s="103">
        <f>'BS - Monthly'!R9-'BS - Monthly'!S9</f>
        <v>79824.479999999981</v>
      </c>
      <c r="S13" s="103">
        <f>'BS - Monthly'!S9-'BS - Monthly'!T9</f>
        <v>823584.14</v>
      </c>
      <c r="T13" s="103">
        <f>'BS - Monthly'!T9-'BS - Monthly'!U9</f>
        <v>-13046.919999999984</v>
      </c>
      <c r="U13" s="103">
        <f>'BS - Monthly'!U9-'BS - Monthly'!V9</f>
        <v>105052.55</v>
      </c>
      <c r="V13" s="103">
        <f>'BS - Monthly'!V9-'BS - Monthly'!W9</f>
        <v>-20320.660000000003</v>
      </c>
      <c r="W13" s="103">
        <f>'BS - Monthly'!W9-'BS - Monthly'!X9</f>
        <v>23216.979999999996</v>
      </c>
      <c r="X13" s="103">
        <f>'BS - Monthly'!X9-'BS - Monthly'!Y9</f>
        <v>-21426.759999999995</v>
      </c>
      <c r="Y13" s="103">
        <f>'BS - Monthly'!Y9-'BS - Monthly'!Z9</f>
        <v>-108162.59000000001</v>
      </c>
      <c r="Z13" s="103">
        <f>'BS - Monthly'!Z9-'BS - Monthly'!AA9</f>
        <v>-7230.8099999999977</v>
      </c>
      <c r="AA13" s="103">
        <f>'BS - Monthly'!AA9-'BS - Monthly'!AB9</f>
        <v>33342.239999999991</v>
      </c>
      <c r="AB13" s="103">
        <f>'BS - Monthly'!AB9-'BS - Monthly'!AC9</f>
        <v>114207.28000000001</v>
      </c>
      <c r="AC13" s="103">
        <f>'BS - Monthly'!AC9-'BS - Monthly'!AD9</f>
        <v>-436222.94</v>
      </c>
      <c r="AD13" s="103">
        <f>'BS - Monthly'!AD9-'BS - Monthly'!AE9</f>
        <v>30829.359999999986</v>
      </c>
      <c r="AE13" s="103">
        <f>'BS - Monthly'!AE9-'BS - Monthly'!AF9</f>
        <v>254272.01</v>
      </c>
      <c r="AF13" s="103">
        <f>'BS - Monthly'!AF9-'BS - Monthly'!AG9</f>
        <v>25578.162334617402</v>
      </c>
      <c r="AG13" s="103">
        <f>'BS - Monthly'!AG9-'BS - Monthly'!AH9</f>
        <v>-14690.832805035607</v>
      </c>
      <c r="AH13" s="103">
        <f>'BS - Monthly'!AH9-'BS - Monthly'!AI9</f>
        <v>-13679.983785668941</v>
      </c>
      <c r="AI13" s="103">
        <f>'BS - Monthly'!AI9-'BS - Monthly'!AJ9</f>
        <v>2966.5363028503198</v>
      </c>
      <c r="AJ13" s="103">
        <f>'BS - Monthly'!AJ9-'BS - Monthly'!AK9</f>
        <v>-9919.0456903020386</v>
      </c>
      <c r="AK13" s="103">
        <f>'BS - Monthly'!AK9-'BS - Monthly'!AL9</f>
        <v>-37417.406381739158</v>
      </c>
      <c r="AL13" s="103">
        <f>'BS - Monthly'!AL9-'BS - Monthly'!AM9</f>
        <v>-15972.41892711015</v>
      </c>
      <c r="AM13" s="103">
        <f>'BS - Monthly'!AM9-'BS - Monthly'!AN9</f>
        <v>8046.2402563788928</v>
      </c>
      <c r="AN13" s="103">
        <f>'BS - Monthly'!AN9-'BS - Monthly'!AO9</f>
        <v>-1277.2169759410899</v>
      </c>
      <c r="AO13" s="103">
        <f>'BS - Monthly'!AO9-'BS - Monthly'!AP9</f>
        <v>-39434.773886972922</v>
      </c>
      <c r="AP13" s="103">
        <f>'BS - Monthly'!AP9-'BS - Monthly'!AQ9</f>
        <v>-15811.795993698644</v>
      </c>
      <c r="AQ13" s="103">
        <f>'BS - Monthly'!AQ9-'BS - Monthly'!AR9</f>
        <v>-16444.156846868456</v>
      </c>
      <c r="AR13" s="103">
        <f>'BS - Monthly'!AR9-'BS - Monthly'!AS9</f>
        <v>-15617.049647905456</v>
      </c>
      <c r="AS13" s="103">
        <f>'BS - Monthly'!AS9-'BS - Monthly'!AT9</f>
        <v>-15001.116182965925</v>
      </c>
      <c r="AT13" s="103">
        <f>'BS - Monthly'!AT9-'BS - Monthly'!AU9</f>
        <v>-14839.491140396451</v>
      </c>
      <c r="AU13" s="103">
        <f>'BS - Monthly'!AU9-'BS - Monthly'!AV9</f>
        <v>-14846.831794678699</v>
      </c>
      <c r="AV13" s="103">
        <f>'BS - Monthly'!AV9-'BS - Monthly'!AW9</f>
        <v>-15039.925899417838</v>
      </c>
      <c r="AW13" s="103">
        <f>'BS - Monthly'!AW9-'BS - Monthly'!AX9</f>
        <v>-15210.824778908573</v>
      </c>
      <c r="AX13" s="103">
        <f>'BS - Monthly'!AX9-'BS - Monthly'!AY9</f>
        <v>-14875.67178270733</v>
      </c>
      <c r="AY13" s="103">
        <f>'BS - Monthly'!AY9-'BS - Monthly'!AZ9</f>
        <v>-14875.671782707213</v>
      </c>
      <c r="AZ13" s="103">
        <f>'BS - Monthly'!AZ9-'BS - Monthly'!BA9</f>
        <v>-14875.67178270733</v>
      </c>
      <c r="BA13" s="103">
        <f>'BS - Monthly'!BA9-'BS - Monthly'!BB9</f>
        <v>477204.8771918852</v>
      </c>
      <c r="BB13" s="103">
        <f>'BS - Monthly'!BB9-'BS - Monthly'!BC9</f>
        <v>0</v>
      </c>
      <c r="BC13" s="103">
        <f>'BS - Monthly'!BC9-'BS - Monthly'!BD9</f>
        <v>0</v>
      </c>
      <c r="BD13" s="103">
        <f>'BS - Monthly'!BD9-'BS - Monthly'!BE9</f>
        <v>0</v>
      </c>
      <c r="BE13" s="103">
        <f>'BS - Monthly'!BE9-'BS - Monthly'!BF9</f>
        <v>0</v>
      </c>
      <c r="BF13" s="103">
        <f>'BS - Monthly'!BF9-'BS - Monthly'!BG9</f>
        <v>0</v>
      </c>
      <c r="BG13" s="103">
        <f>'BS - Monthly'!BG9-'BS - Monthly'!BH9</f>
        <v>0</v>
      </c>
      <c r="BH13" s="103">
        <f>'BS - Monthly'!BH9-'BS - Monthly'!BI9</f>
        <v>0</v>
      </c>
      <c r="BI13" s="103">
        <f>'BS - Monthly'!BI9-'BS - Monthly'!BJ9</f>
        <v>0</v>
      </c>
      <c r="BJ13" s="103">
        <f>'BS - Monthly'!BJ9-'BS - Monthly'!BK9</f>
        <v>0</v>
      </c>
      <c r="BK13" s="103">
        <f>'BS - Monthly'!BK9-'BS - Monthly'!BL9</f>
        <v>0</v>
      </c>
      <c r="BL13" s="103">
        <f>'BS - Monthly'!BL9-'BS - Monthly'!BM9</f>
        <v>0</v>
      </c>
      <c r="BM13" s="103">
        <f>'BS - Monthly'!BM9-'BS - Monthly'!BN9</f>
        <v>0</v>
      </c>
      <c r="BN13" s="103">
        <f>'BS - Monthly'!BN9-'BS - Monthly'!BO9</f>
        <v>0</v>
      </c>
      <c r="BO13" s="103">
        <f>'BS - Monthly'!BO9-'BS - Monthly'!BP9</f>
        <v>0</v>
      </c>
      <c r="BP13" s="103">
        <f>'BS - Monthly'!BP9-'BS - Monthly'!BQ9</f>
        <v>0</v>
      </c>
      <c r="BQ13" s="103">
        <f>'BS - Monthly'!BQ9-'BS - Monthly'!BR9</f>
        <v>0</v>
      </c>
      <c r="BR13" s="103">
        <f>'BS - Monthly'!BR9-'BS - Monthly'!BS9</f>
        <v>0</v>
      </c>
      <c r="BS13" s="103">
        <f>'BS - Monthly'!BS9-'BS - Monthly'!BT9</f>
        <v>0</v>
      </c>
      <c r="BT13" s="103">
        <f>'BS - Monthly'!BT9-'BS - Monthly'!BU9</f>
        <v>0</v>
      </c>
      <c r="BU13" s="103">
        <f>'BS - Monthly'!BU9-'BS - Monthly'!BV9</f>
        <v>0</v>
      </c>
      <c r="BV13" s="103">
        <f>'BS - Monthly'!BV9-'BS - Monthly'!BW9</f>
        <v>0</v>
      </c>
    </row>
    <row r="14" spans="1:74" outlineLevel="1" x14ac:dyDescent="0.2">
      <c r="B14" s="26" t="s">
        <v>93</v>
      </c>
      <c r="E14" s="103">
        <v>-1497</v>
      </c>
      <c r="F14" s="103">
        <f>-('BS - Monthly'!G11-'BS - Monthly'!F11)</f>
        <v>-1350.5</v>
      </c>
      <c r="G14" s="103">
        <f>-('BS - Monthly'!H11-'BS - Monthly'!G11)</f>
        <v>6753.1500000000005</v>
      </c>
      <c r="H14" s="103">
        <f>-('BS - Monthly'!I11-'BS - Monthly'!H11)</f>
        <v>-7101.1500000000005</v>
      </c>
      <c r="I14" s="103">
        <f>-('BS - Monthly'!J11-'BS - Monthly'!I11)</f>
        <v>8226.1500000000015</v>
      </c>
      <c r="J14" s="103">
        <f>-('BS - Monthly'!K11-'BS - Monthly'!J11)</f>
        <v>-8977.84</v>
      </c>
      <c r="K14" s="103">
        <f>-('BS - Monthly'!L11-'BS - Monthly'!K11)</f>
        <v>11899.099999999999</v>
      </c>
      <c r="L14" s="103">
        <f>-('BS - Monthly'!M11-'BS - Monthly'!L11)</f>
        <v>274.95000000000005</v>
      </c>
      <c r="M14" s="103"/>
      <c r="N14" s="103">
        <f>-('BS - Monthly'!O11-'BS - Monthly'!N11)</f>
        <v>-117.70000000000005</v>
      </c>
      <c r="O14" s="103">
        <f>-('BS - Monthly'!P11-'BS - Monthly'!O11)</f>
        <v>-954.75</v>
      </c>
      <c r="P14" s="103">
        <f>-('BS - Monthly'!Q11-'BS - Monthly'!P11)</f>
        <v>-230462.62999999998</v>
      </c>
      <c r="Q14" s="103">
        <f>-('BS - Monthly'!R11-'BS - Monthly'!Q11)</f>
        <v>-20324.26999999999</v>
      </c>
      <c r="R14" s="103">
        <f>-('BS - Monthly'!S11-'BS - Monthly'!R11)</f>
        <v>-12879.870000000054</v>
      </c>
      <c r="S14" s="103">
        <f>-('BS - Monthly'!T11-'BS - Monthly'!S11)-('BS - CF Actuals'!X64-'BS - CF Actuals'!W64)</f>
        <v>-13199.259999999951</v>
      </c>
      <c r="T14" s="103">
        <f>-('BS - Monthly'!U11-'BS - Monthly'!T11)-('BS - CF Actuals'!Y64-'BS - CF Actuals'!X64)</f>
        <v>-54325.310000000056</v>
      </c>
      <c r="U14" s="103">
        <f>-('BS - Monthly'!V11-'BS - Monthly'!U11)-('BS - CF Actuals'!Z64-'BS - CF Actuals'!Y64)</f>
        <v>-29711.799999999988</v>
      </c>
      <c r="V14" s="103">
        <f>-('BS - Monthly'!W11-'BS - Monthly'!V11)-('BS - CF Actuals'!AA64-'BS - CF Actuals'!Z64)</f>
        <v>26465.350000000035</v>
      </c>
      <c r="W14" s="103">
        <f>-('BS - Monthly'!X11-'BS - Monthly'!W11)-('BS - CF Actuals'!AB64-'BS - CF Actuals'!AA64)</f>
        <v>-22718.890000000014</v>
      </c>
      <c r="X14" s="103">
        <f>-('BS - Monthly'!Y11-'BS - Monthly'!X11)-('BS - CF Actuals'!AC64-'BS - CF Actuals'!AB64)</f>
        <v>-37986.489999999932</v>
      </c>
      <c r="Y14" s="103">
        <f>-('BS - Monthly'!Z11-'BS - Monthly'!Y11)-('BS - CF Actuals'!AD64-'BS - CF Actuals'!AC64)</f>
        <v>-15833.390000000072</v>
      </c>
      <c r="Z14" s="103">
        <f>-('BS - Monthly'!AA11-'BS - Monthly'!Z11)-('BS - CF Actuals'!AE64-'BS - CF Actuals'!AD64)</f>
        <v>-66843.919999999969</v>
      </c>
      <c r="AA14" s="103">
        <f>-('BS - Monthly'!AB11-'BS - Monthly'!AA11)-('BS - CF Actuals'!AF64-'BS - CF Actuals'!AE64)</f>
        <v>-58392.090000000026</v>
      </c>
      <c r="AB14" s="103">
        <f>SUM('BS - CF Actuals'!AG24:AG29,'BS - CF Actuals'!AG31-SUM('BS - CF Actuals'!AF24:AF29,'BS - CF Actuals'!AF31))*-1</f>
        <v>-3237.4099999999744</v>
      </c>
      <c r="AC14" s="103">
        <f>IF('BS - CF Actuals'!AH4="actual",(SUM('BS - CF Actuals'!AH24:AH29,'BS - CF Actuals'!AH31-SUM('BS - CF Actuals'!AG24:AG29,'BS - CF Actuals'!AG31))*-1),(-('BS - Monthly'!AD11-'BS - Monthly'!AC11)))</f>
        <v>-97773.930000000051</v>
      </c>
      <c r="AD14" s="103">
        <f>IF('BS - CF Actuals'!AI4="actual",(SUM('BS - CF Actuals'!AI24:AI29,'BS - CF Actuals'!AI31-SUM('BS - CF Actuals'!AH24:AH29,'BS - CF Actuals'!AH31))*-1),(-('BS - Monthly'!AE11-'BS - Monthly'!AD11)))</f>
        <v>-32312.149999999907</v>
      </c>
      <c r="AE14" s="103">
        <f>IF('BS - CF Actuals'!AJ4="actual",(SUM('BS - CF Actuals'!AJ24:AJ29,'BS - CF Actuals'!AJ31-SUM('BS - CF Actuals'!AI24:AI29,'BS - CF Actuals'!AI31))*-1),(-('BS - Monthly'!AF11-'BS - Monthly'!AE11)))</f>
        <v>116062.21000000002</v>
      </c>
      <c r="AF14" s="103">
        <f>IF('BS - CF Actuals'!AK4="actual",(SUM('BS - CF Actuals'!AK24:AK29,'BS - CF Actuals'!AK31-SUM('BS - CF Actuals'!AJ24:AJ29,'BS - CF Actuals'!AJ31))*-1),(-('BS - Monthly'!AG11-'BS - Monthly'!AF11)))</f>
        <v>0</v>
      </c>
      <c r="AG14" s="103">
        <f>IF('BS - CF Actuals'!AL4="actual",(SUM('BS - CF Actuals'!AL24:AL29,'BS - CF Actuals'!AL31-SUM('BS - CF Actuals'!AK24:AK29,'BS - CF Actuals'!AK31))*-1),(-('BS - Monthly'!AH11-'BS - Monthly'!AG11)))</f>
        <v>0</v>
      </c>
      <c r="AH14" s="103">
        <f>IF('BS - CF Actuals'!AM4="actual",(SUM('BS - CF Actuals'!AM24:AM29,'BS - CF Actuals'!AM31-SUM('BS - CF Actuals'!AL24:AL29,'BS - CF Actuals'!AL31))*-1),(-('BS - Monthly'!AI11-'BS - Monthly'!AH11)))</f>
        <v>0</v>
      </c>
      <c r="AI14" s="103">
        <f>IF('BS - CF Actuals'!AN4="actual",(SUM('BS - CF Actuals'!AN24:AN29,'BS - CF Actuals'!AN31-SUM('BS - CF Actuals'!AM24:AM29,'BS - CF Actuals'!AM31))*-1),(-('BS - Monthly'!AJ11-'BS - Monthly'!AI11)))</f>
        <v>0</v>
      </c>
      <c r="AJ14" s="103">
        <f>IF('BS - CF Actuals'!AO4="actual",(SUM('BS - CF Actuals'!AO24:AO29,'BS - CF Actuals'!AO31-SUM('BS - CF Actuals'!AN24:AN29,'BS - CF Actuals'!AN31))*-1),(-('BS - Monthly'!AK11-'BS - Monthly'!AJ11)))</f>
        <v>0</v>
      </c>
      <c r="AK14" s="103">
        <f>IF('BS - CF Actuals'!AP4="actual",(SUM('BS - CF Actuals'!AP24:AP29,'BS - CF Actuals'!AP31-SUM('BS - CF Actuals'!AO24:AO29,'BS - CF Actuals'!AO31))*-1),(-('BS - Monthly'!AL11-'BS - Monthly'!AK11)))</f>
        <v>0</v>
      </c>
      <c r="AL14" s="103">
        <f>IF('BS - CF Actuals'!AQ4="actual",(SUM('BS - CF Actuals'!AQ24:AQ29,'BS - CF Actuals'!AQ31-SUM('BS - CF Actuals'!AP24:AP29,'BS - CF Actuals'!AP31))*-1),(-('BS - Monthly'!AM11-'BS - Monthly'!AL11)))</f>
        <v>0</v>
      </c>
      <c r="AM14" s="103">
        <f>IF('BS - CF Actuals'!AR4="actual",(SUM('BS - CF Actuals'!AR24:AR29,'BS - CF Actuals'!AR31-SUM('BS - CF Actuals'!AQ24:AQ29,'BS - CF Actuals'!AQ31))*-1),(-('BS - Monthly'!AN11-'BS - Monthly'!AM11)))</f>
        <v>0</v>
      </c>
      <c r="AN14" s="103">
        <f>IF('BS - CF Actuals'!AS4="actual",(SUM('BS - CF Actuals'!AS24:AS29,'BS - CF Actuals'!AS31-SUM('BS - CF Actuals'!AR24:AR29,'BS - CF Actuals'!AR31))*-1),(-('BS - Monthly'!AO11-'BS - Monthly'!AN11)))</f>
        <v>0</v>
      </c>
      <c r="AO14" s="103">
        <f>IF('BS - CF Actuals'!AT4="actual",(SUM('BS - CF Actuals'!AT24:AT29,'BS - CF Actuals'!AT31-SUM('BS - CF Actuals'!AS24:AS29,'BS - CF Actuals'!AS31))*-1),(-('BS - Monthly'!AP11-'BS - Monthly'!AO11)))</f>
        <v>0</v>
      </c>
      <c r="AP14" s="103">
        <f>IF('BS - CF Actuals'!AU4="actual",(SUM('BS - CF Actuals'!AU24:AU29,'BS - CF Actuals'!AU31-SUM('BS - CF Actuals'!AT24:AT29,'BS - CF Actuals'!AT31))*-1),(-('BS - Monthly'!AQ11-'BS - Monthly'!AP11)))</f>
        <v>0</v>
      </c>
      <c r="AQ14" s="103">
        <f>IF('BS - CF Actuals'!AV4="actual",(SUM('BS - CF Actuals'!AV24:AV29,'BS - CF Actuals'!AV31-SUM('BS - CF Actuals'!AU24:AU29,'BS - CF Actuals'!AU31))*-1),(-('BS - Monthly'!AR11-'BS - Monthly'!AQ11)))</f>
        <v>0</v>
      </c>
      <c r="AR14" s="103">
        <f>IF('BS - CF Actuals'!AW4="actual",(SUM('BS - CF Actuals'!AW24:AW29,'BS - CF Actuals'!AW31-SUM('BS - CF Actuals'!AV24:AV29,'BS - CF Actuals'!AV31))*-1),(-('BS - Monthly'!AS11-'BS - Monthly'!AR11)))</f>
        <v>0</v>
      </c>
      <c r="AS14" s="103">
        <f>IF('BS - CF Actuals'!AX4="actual",(SUM('BS - CF Actuals'!AX24:AX29,'BS - CF Actuals'!AX31-SUM('BS - CF Actuals'!AW24:AW29,'BS - CF Actuals'!AW31))*-1),(-('BS - Monthly'!AT11-'BS - Monthly'!AS11)))</f>
        <v>0</v>
      </c>
      <c r="AT14" s="103">
        <f>IF('BS - CF Actuals'!AY4="actual",(SUM('BS - CF Actuals'!AY24:AY29,'BS - CF Actuals'!AY31-SUM('BS - CF Actuals'!AX24:AX29,'BS - CF Actuals'!AX31))*-1),(-('BS - Monthly'!AU11-'BS - Monthly'!AT11)))</f>
        <v>0</v>
      </c>
      <c r="AU14" s="103">
        <f>IF('BS - CF Actuals'!AZ4="actual",(SUM('BS - CF Actuals'!AZ24:AZ29,'BS - CF Actuals'!AZ31-SUM('BS - CF Actuals'!AY24:AY29,'BS - CF Actuals'!AY31))*-1),(-('BS - Monthly'!AV11-'BS - Monthly'!AU11)))</f>
        <v>0</v>
      </c>
      <c r="AV14" s="103">
        <f>IF('BS - CF Actuals'!BA4="actual",(SUM('BS - CF Actuals'!BA24:BA29,'BS - CF Actuals'!BA31-SUM('BS - CF Actuals'!AZ24:AZ29,'BS - CF Actuals'!AZ31))*-1),(-('BS - Monthly'!AW11-'BS - Monthly'!AV11)))</f>
        <v>0</v>
      </c>
      <c r="AW14" s="103">
        <f>IF('BS - CF Actuals'!BB4="actual",(SUM('BS - CF Actuals'!BB24:BB29,'BS - CF Actuals'!BB31-SUM('BS - CF Actuals'!BA24:BA29,'BS - CF Actuals'!BA31))*-1),(-('BS - Monthly'!AX11-'BS - Monthly'!AW11)))</f>
        <v>0</v>
      </c>
      <c r="AX14" s="103">
        <f>IF('BS - CF Actuals'!BC4="actual",(SUM('BS - CF Actuals'!BC24:BC29,'BS - CF Actuals'!BC31-SUM('BS - CF Actuals'!BB24:BB29,'BS - CF Actuals'!BB31))*-1),(-('BS - Monthly'!AY11-'BS - Monthly'!AX11)))</f>
        <v>0</v>
      </c>
      <c r="AY14" s="103">
        <f>IF('BS - CF Actuals'!BD4="actual",(SUM('BS - CF Actuals'!BD24:BD29,'BS - CF Actuals'!BD31-SUM('BS - CF Actuals'!BC24:BC29,'BS - CF Actuals'!BC31))*-1),(-('BS - Monthly'!AZ11-'BS - Monthly'!AY11)))</f>
        <v>0</v>
      </c>
      <c r="AZ14" s="103">
        <f>IF('BS - CF Actuals'!BE4="actual",(SUM('BS - CF Actuals'!BE24:BE29,'BS - CF Actuals'!BE31-SUM('BS - CF Actuals'!BD24:BD29,'BS - CF Actuals'!BD31))*-1),(-('BS - Monthly'!BA11-'BS - Monthly'!AZ11)))</f>
        <v>0</v>
      </c>
      <c r="BA14" s="103">
        <f>IF('BS - CF Actuals'!BF4="actual",(SUM('BS - CF Actuals'!BF24:BF29,'BS - CF Actuals'!BF31-SUM('BS - CF Actuals'!BE24:BE29,'BS - CF Actuals'!BE31))*-1),(-('BS - Monthly'!BB11-'BS - Monthly'!BA11)))</f>
        <v>0</v>
      </c>
      <c r="BB14" s="103">
        <f>IF('BS - CF Actuals'!BG4="actual",(SUM('BS - CF Actuals'!BG24:BG29,'BS - CF Actuals'!BG31-SUM('BS - CF Actuals'!BF24:BF29,'BS - CF Actuals'!BF31))*-1),(-('BS - Monthly'!BC11-'BS - Monthly'!BB11)))</f>
        <v>0</v>
      </c>
      <c r="BC14" s="103">
        <f>IF('BS - CF Actuals'!BH4="actual",(SUM('BS - CF Actuals'!BH24:BH29,'BS - CF Actuals'!BH31-SUM('BS - CF Actuals'!BG24:BG29,'BS - CF Actuals'!BG31))*-1),(-('BS - Monthly'!BD11-'BS - Monthly'!BC11)))</f>
        <v>0</v>
      </c>
      <c r="BD14" s="103">
        <f>IF('BS - CF Actuals'!BI4="actual",(SUM('BS - CF Actuals'!BI24:BI29,'BS - CF Actuals'!BI31-SUM('BS - CF Actuals'!BH24:BH29,'BS - CF Actuals'!BH31))*-1),(-('BS - Monthly'!BE11-'BS - Monthly'!BD11)))</f>
        <v>0</v>
      </c>
      <c r="BE14" s="103">
        <f>IF('BS - CF Actuals'!BJ4="actual",(SUM('BS - CF Actuals'!BJ24:BJ29,'BS - CF Actuals'!BJ31-SUM('BS - CF Actuals'!BI24:BI29,'BS - CF Actuals'!BI31))*-1),(-('BS - Monthly'!BF11-'BS - Monthly'!BE11)))</f>
        <v>0</v>
      </c>
      <c r="BF14" s="103">
        <f>IF('BS - CF Actuals'!BK4="actual",(SUM('BS - CF Actuals'!BK24:BK29,'BS - CF Actuals'!BK31-SUM('BS - CF Actuals'!BJ24:BJ29,'BS - CF Actuals'!BJ31))*-1),(-('BS - Monthly'!BG11-'BS - Monthly'!BF11)))</f>
        <v>0</v>
      </c>
      <c r="BG14" s="103">
        <f>IF('BS - CF Actuals'!BL4="actual",(SUM('BS - CF Actuals'!BL24:BL29,'BS - CF Actuals'!BL31-SUM('BS - CF Actuals'!BK24:BK29,'BS - CF Actuals'!BK31))*-1),(-('BS - Monthly'!BH11-'BS - Monthly'!BG11)))</f>
        <v>0</v>
      </c>
      <c r="BH14" s="103">
        <f>IF('BS - CF Actuals'!BM4="actual",(SUM('BS - CF Actuals'!BM24:BM29,'BS - CF Actuals'!BM31-SUM('BS - CF Actuals'!BL24:BL29,'BS - CF Actuals'!BL31))*-1),(-('BS - Monthly'!BI11-'BS - Monthly'!BH11)))</f>
        <v>0</v>
      </c>
      <c r="BI14" s="103">
        <f>IF('BS - CF Actuals'!BN4="actual",(SUM('BS - CF Actuals'!BN24:BN29,'BS - CF Actuals'!BN31-SUM('BS - CF Actuals'!BM24:BM29,'BS - CF Actuals'!BM31))*-1),(-('BS - Monthly'!BJ11-'BS - Monthly'!BI11)))</f>
        <v>0</v>
      </c>
      <c r="BJ14" s="103">
        <f>IF('BS - CF Actuals'!BO4="actual",(SUM('BS - CF Actuals'!BO24:BO29,'BS - CF Actuals'!BO31-SUM('BS - CF Actuals'!BN24:BN29,'BS - CF Actuals'!BN31))*-1),(-('BS - Monthly'!BK11-'BS - Monthly'!BJ11)))</f>
        <v>0</v>
      </c>
      <c r="BK14" s="103">
        <f>IF('BS - CF Actuals'!BP4="actual",(SUM('BS - CF Actuals'!BP24:BP29,'BS - CF Actuals'!BP31-SUM('BS - CF Actuals'!BO24:BO29,'BS - CF Actuals'!BO31))*-1),(-('BS - Monthly'!BL11-'BS - Monthly'!BK11)))</f>
        <v>0</v>
      </c>
      <c r="BL14" s="103">
        <f>IF('BS - CF Actuals'!BQ4="actual",(SUM('BS - CF Actuals'!BQ24:BQ29,'BS - CF Actuals'!BQ31-SUM('BS - CF Actuals'!BP24:BP29,'BS - CF Actuals'!BP31))*-1),(-('BS - Monthly'!BM11-'BS - Monthly'!BL11)))</f>
        <v>0</v>
      </c>
      <c r="BM14" s="103">
        <f>IF('BS - CF Actuals'!BR4="actual",(SUM('BS - CF Actuals'!BR24:BR29,'BS - CF Actuals'!BR31-SUM('BS - CF Actuals'!BQ24:BQ29,'BS - CF Actuals'!BQ31))*-1),(-('BS - Monthly'!BN11-'BS - Monthly'!BM11)))</f>
        <v>0</v>
      </c>
      <c r="BN14" s="103">
        <f>IF('BS - CF Actuals'!BS4="actual",(SUM('BS - CF Actuals'!BS24:BS29,'BS - CF Actuals'!BS31-SUM('BS - CF Actuals'!BR24:BR29,'BS - CF Actuals'!BR31))*-1),(-('BS - Monthly'!BO11-'BS - Monthly'!BN11)))</f>
        <v>0</v>
      </c>
      <c r="BO14" s="103">
        <f>IF('BS - CF Actuals'!BT4="actual",(SUM('BS - CF Actuals'!BT24:BT29,'BS - CF Actuals'!BT31-SUM('BS - CF Actuals'!BS24:BS29,'BS - CF Actuals'!BS31))*-1),(-('BS - Monthly'!BP11-'BS - Monthly'!BO11)))</f>
        <v>0</v>
      </c>
      <c r="BP14" s="103">
        <f>IF('BS - CF Actuals'!BU4="actual",(SUM('BS - CF Actuals'!BU24:BU29,'BS - CF Actuals'!BU31-SUM('BS - CF Actuals'!BT24:BT29,'BS - CF Actuals'!BT31))*-1),(-('BS - Monthly'!BQ11-'BS - Monthly'!BP11)))</f>
        <v>0</v>
      </c>
      <c r="BQ14" s="103">
        <f>IF('BS - CF Actuals'!BV4="actual",(SUM('BS - CF Actuals'!BV24:BV29,'BS - CF Actuals'!BV31-SUM('BS - CF Actuals'!BU24:BU29,'BS - CF Actuals'!BU31))*-1),(-('BS - Monthly'!BR11-'BS - Monthly'!BQ11)))</f>
        <v>0</v>
      </c>
      <c r="BR14" s="103">
        <f>IF('BS - CF Actuals'!BW4="actual",(SUM('BS - CF Actuals'!BW24:BW29,'BS - CF Actuals'!BW31-SUM('BS - CF Actuals'!BV24:BV29,'BS - CF Actuals'!BV31))*-1),(-('BS - Monthly'!BS11-'BS - Monthly'!BR11)))</f>
        <v>0</v>
      </c>
      <c r="BS14" s="103">
        <f>IF('BS - CF Actuals'!BX4="actual",(SUM('BS - CF Actuals'!BX24:BX29,'BS - CF Actuals'!BX31-SUM('BS - CF Actuals'!BW24:BW29,'BS - CF Actuals'!BW31))*-1),(-('BS - Monthly'!BT11-'BS - Monthly'!BS11)))</f>
        <v>0</v>
      </c>
      <c r="BT14" s="103">
        <f>IF('BS - CF Actuals'!BY4="actual",(SUM('BS - CF Actuals'!BY24:BY29,'BS - CF Actuals'!BY31-SUM('BS - CF Actuals'!BX24:BX29,'BS - CF Actuals'!BX31))*-1),(-('BS - Monthly'!BU11-'BS - Monthly'!BT11)))</f>
        <v>0</v>
      </c>
      <c r="BU14" s="103">
        <f>IF('BS - CF Actuals'!BZ4="actual",(SUM('BS - CF Actuals'!BZ24:BZ29,'BS - CF Actuals'!BZ31-SUM('BS - CF Actuals'!BY24:BY29,'BS - CF Actuals'!BY31))*-1),(-('BS - Monthly'!BV11-'BS - Monthly'!BU11)))</f>
        <v>0</v>
      </c>
      <c r="BV14" s="103">
        <f>IF('BS - CF Actuals'!CA4="actual",(SUM('BS - CF Actuals'!CA24:CA29,'BS - CF Actuals'!CA31-SUM('BS - CF Actuals'!BZ24:BZ29,'BS - CF Actuals'!BZ31))*-1),(-('BS - Monthly'!BW11-'BS - Monthly'!BV11)))</f>
        <v>0</v>
      </c>
    </row>
    <row r="15" spans="1:74" outlineLevel="1" x14ac:dyDescent="0.2">
      <c r="B15" s="26" t="s">
        <v>121</v>
      </c>
      <c r="E15" s="103">
        <v>-9865.7299999999959</v>
      </c>
      <c r="F15" s="103">
        <f>'BS - Monthly'!G28-'BS - Monthly'!F28</f>
        <v>20141.969999999972</v>
      </c>
      <c r="G15" s="103">
        <f>'BS - Monthly'!H28-'BS - Monthly'!G28</f>
        <v>16871.200000000012</v>
      </c>
      <c r="H15" s="103">
        <f>'BS - Monthly'!I28-'BS - Monthly'!H28</f>
        <v>-12672.75</v>
      </c>
      <c r="I15" s="103">
        <f>'BS - Monthly'!J28-'BS - Monthly'!I28</f>
        <v>153838.95000000001</v>
      </c>
      <c r="J15" s="103">
        <f>'BS - Monthly'!K28-'BS - Monthly'!J28</f>
        <v>-144807.79999999999</v>
      </c>
      <c r="K15" s="103">
        <f>'BS - Monthly'!L28-'BS - Monthly'!K28</f>
        <v>-1166.7600000000093</v>
      </c>
      <c r="L15" s="103">
        <f>'BS - Monthly'!M28-'BS - Monthly'!L28</f>
        <v>-88309.270000000019</v>
      </c>
      <c r="M15" s="103">
        <f>'BS - Monthly'!N28-'BS - Monthly'!M28</f>
        <v>14781.850000000013</v>
      </c>
      <c r="N15" s="103">
        <f>'BS - Monthly'!O28-'BS - Monthly'!N28</f>
        <v>-31420.860000000015</v>
      </c>
      <c r="O15" s="103">
        <f>'BS - Monthly'!P28-'BS - Monthly'!O28</f>
        <v>199463.19</v>
      </c>
      <c r="P15" s="103">
        <f>'BS - Monthly'!Q28-'BS - Monthly'!P28</f>
        <v>-129973.87000000001</v>
      </c>
      <c r="Q15" s="103">
        <f>'BS - Monthly'!R28-'BS - Monthly'!Q28</f>
        <v>36051.689999999988</v>
      </c>
      <c r="R15" s="103">
        <f>'BS - Monthly'!S28-'BS - Monthly'!R28</f>
        <v>99479.72</v>
      </c>
      <c r="S15" s="103">
        <f>'BS - Monthly'!T28-'BS - Monthly'!S28</f>
        <v>-61207.039999999979</v>
      </c>
      <c r="T15" s="103">
        <f>'BS - Monthly'!U28-'BS - Monthly'!T28</f>
        <v>20581.079999999987</v>
      </c>
      <c r="U15" s="103">
        <f>'BS - Monthly'!V28-'BS - Monthly'!U28</f>
        <v>-93683.19</v>
      </c>
      <c r="V15" s="103">
        <f>'BS - Monthly'!W28-'BS - Monthly'!V28</f>
        <v>-23055.190000000002</v>
      </c>
      <c r="W15" s="103">
        <f>'BS - Monthly'!X28-'BS - Monthly'!W28</f>
        <v>102433.76000000001</v>
      </c>
      <c r="X15" s="103">
        <f>'BS - Monthly'!Y28-'BS - Monthly'!X28</f>
        <v>11604.320000000007</v>
      </c>
      <c r="Y15" s="103">
        <f>'BS - Monthly'!Z28-'BS - Monthly'!Y28</f>
        <v>33118.429999999993</v>
      </c>
      <c r="Z15" s="103">
        <f>'BS - Monthly'!AA28-'BS - Monthly'!Z28</f>
        <v>-89216.800000000017</v>
      </c>
      <c r="AA15" s="103">
        <f>'BS - Monthly'!AB28-'BS - Monthly'!AA28</f>
        <v>67041.870000000024</v>
      </c>
      <c r="AB15" s="103">
        <f>'BS - Monthly'!AC28-'BS - Monthly'!AB28</f>
        <v>105926.04999999999</v>
      </c>
      <c r="AC15" s="103">
        <f>'BS - Monthly'!AD28-'BS - Monthly'!AC28</f>
        <v>-103159.67999999999</v>
      </c>
      <c r="AD15" s="103">
        <f>'BS - Monthly'!AE28-'BS - Monthly'!AD28</f>
        <v>13153.570000000007</v>
      </c>
      <c r="AE15" s="103">
        <f>'BS - Monthly'!AF28-'BS - Monthly'!AE28</f>
        <v>97662.760000000009</v>
      </c>
      <c r="AF15" s="103">
        <f ca="1">'BS - Monthly'!AG28-'BS - Monthly'!AF28</f>
        <v>112183.11230502045</v>
      </c>
      <c r="AG15" s="103">
        <f ca="1">'BS - Monthly'!AH28-'BS - Monthly'!AG28</f>
        <v>-8813.8754118031356</v>
      </c>
      <c r="AH15" s="103">
        <f ca="1">'BS - Monthly'!AI28-'BS - Monthly'!AH28</f>
        <v>19758.165324977599</v>
      </c>
      <c r="AI15" s="103">
        <f ca="1">'BS - Monthly'!AJ28-'BS - Monthly'!AI28</f>
        <v>-2258.1650377698825</v>
      </c>
      <c r="AJ15" s="103">
        <f ca="1">'BS - Monthly'!AK28-'BS - Monthly'!AJ28</f>
        <v>-39618.910048571764</v>
      </c>
      <c r="AK15" s="103">
        <f ca="1">'BS - Monthly'!AL28-'BS - Monthly'!AK28</f>
        <v>48494.028158994741</v>
      </c>
      <c r="AL15" s="103">
        <f ca="1">'BS - Monthly'!AM28-'BS - Monthly'!AL28</f>
        <v>32602.339497380832</v>
      </c>
      <c r="AM15" s="103">
        <f ca="1">'BS - Monthly'!AN28-'BS - Monthly'!AM28</f>
        <v>-51650.863272456743</v>
      </c>
      <c r="AN15" s="103">
        <f ca="1">'BS - Monthly'!AO28-'BS - Monthly'!AN28</f>
        <v>-15166.543555833166</v>
      </c>
      <c r="AO15" s="103">
        <f ca="1">'BS - Monthly'!AP28-'BS - Monthly'!AO28</f>
        <v>1082509.6924599139</v>
      </c>
      <c r="AP15" s="103">
        <f ca="1">'BS - Monthly'!AQ28-'BS - Monthly'!AP28</f>
        <v>-1123020.2245785836</v>
      </c>
      <c r="AQ15" s="103">
        <f ca="1">'BS - Monthly'!AR28-'BS - Monthly'!AQ28</f>
        <v>10719.528714146931</v>
      </c>
      <c r="AR15" s="103">
        <f ca="1">'BS - Monthly'!AS28-'BS - Monthly'!AR28</f>
        <v>8800.2239213922294</v>
      </c>
      <c r="AS15" s="103">
        <f ca="1">'BS - Monthly'!AT28-'BS - Monthly'!AS28</f>
        <v>7795.8588499876205</v>
      </c>
      <c r="AT15" s="103">
        <f ca="1">'BS - Monthly'!AU28-'BS - Monthly'!AT28</f>
        <v>7641.8542969394475</v>
      </c>
      <c r="AU15" s="103">
        <f ca="1">'BS - Monthly'!AV28-'BS - Monthly'!AU28</f>
        <v>7653.8041555875097</v>
      </c>
      <c r="AV15" s="103">
        <f ca="1">'BS - Monthly'!AW28-'BS - Monthly'!AV28</f>
        <v>7919.0963747600908</v>
      </c>
      <c r="AW15" s="103">
        <f ca="1">'BS - Monthly'!AX28-'BS - Monthly'!AW28</f>
        <v>8178.7863220442669</v>
      </c>
      <c r="AX15" s="103">
        <f ca="1">'BS - Monthly'!AY28-'BS - Monthly'!AX28</f>
        <v>7735.7456984295277</v>
      </c>
      <c r="AY15" s="103">
        <f ca="1">'BS - Monthly'!AZ28-'BS - Monthly'!AY28</f>
        <v>7741.964718168485</v>
      </c>
      <c r="AZ15" s="103">
        <f ca="1">'BS - Monthly'!BA28-'BS - Monthly'!AZ28</f>
        <v>8520.9033469441347</v>
      </c>
      <c r="BA15" s="103">
        <f ca="1">'BS - Monthly'!BB28-'BS - Monthly'!BA28</f>
        <v>-244829.52255411961</v>
      </c>
      <c r="BB15" s="103">
        <f ca="1">'BS - Monthly'!BC28-'BS - Monthly'!BB28</f>
        <v>62667.922470847756</v>
      </c>
      <c r="BC15" s="103">
        <f ca="1">'BS - Monthly'!BD28-'BS - Monthly'!BC28</f>
        <v>1068.5516065639677</v>
      </c>
      <c r="BD15" s="103">
        <f ca="1">'BS - Monthly'!BE28-'BS - Monthly'!BD28</f>
        <v>1005.6273007846903</v>
      </c>
      <c r="BE15" s="103">
        <f ca="1">'BS - Monthly'!BF28-'BS - Monthly'!BE28</f>
        <v>1011.8073652164312</v>
      </c>
      <c r="BF15" s="103">
        <f ca="1">'BS - Monthly'!BG28-'BS - Monthly'!BF28</f>
        <v>1023.4875890220283</v>
      </c>
      <c r="BG15" s="103">
        <f ca="1">'BS - Monthly'!BH28-'BS - Monthly'!BG28</f>
        <v>1042.4550743241562</v>
      </c>
      <c r="BH15" s="103">
        <f ca="1">'BS - Monthly'!BI28-'BS - Monthly'!BH28</f>
        <v>1055.1406256466289</v>
      </c>
      <c r="BI15" s="103">
        <f ca="1">'BS - Monthly'!BJ28-'BS - Monthly'!BI28</f>
        <v>1070.8273507421254</v>
      </c>
      <c r="BJ15" s="103">
        <f ca="1">'BS - Monthly'!BK28-'BS - Monthly'!BJ28</f>
        <v>1085.6701949868002</v>
      </c>
      <c r="BK15" s="103">
        <f ca="1">'BS - Monthly'!BL28-'BS - Monthly'!BK28</f>
        <v>1100.3486748362775</v>
      </c>
      <c r="BL15" s="103">
        <f ca="1">'BS - Monthly'!BM28-'BS - Monthly'!BL28</f>
        <v>1904.2895099210436</v>
      </c>
      <c r="BM15" s="103">
        <f ca="1">'BS - Monthly'!BN28-'BS - Monthly'!BM28</f>
        <v>-57146.708302031766</v>
      </c>
      <c r="BN15" s="103">
        <f ca="1">'BS - Monthly'!BO28-'BS - Monthly'!BN28</f>
        <v>2835.1219665360113</v>
      </c>
      <c r="BO15" s="103">
        <f ca="1">'BS - Monthly'!BP28-'BS - Monthly'!BO28</f>
        <v>1171.620751877228</v>
      </c>
      <c r="BP15" s="103">
        <f ca="1">'BS - Monthly'!BQ28-'BS - Monthly'!BP28</f>
        <v>1183.2140607896145</v>
      </c>
      <c r="BQ15" s="103">
        <f ca="1">'BS - Monthly'!BR28-'BS - Monthly'!BQ28</f>
        <v>1199.9520093833853</v>
      </c>
      <c r="BR15" s="103">
        <f ca="1">'BS - Monthly'!BS28-'BS - Monthly'!BR28</f>
        <v>1218.5333779231005</v>
      </c>
      <c r="BS15" s="103">
        <f ca="1">'BS - Monthly'!BT28-'BS - Monthly'!BS28</f>
        <v>1237.4796399057959</v>
      </c>
      <c r="BT15" s="103">
        <f ca="1">'BS - Monthly'!BU28-'BS - Monthly'!BT28</f>
        <v>1257.2257200372405</v>
      </c>
      <c r="BU15" s="103">
        <f ca="1">'BS - Monthly'!BV28-'BS - Monthly'!BU28</f>
        <v>1277.0384736143751</v>
      </c>
      <c r="BV15" s="103">
        <f ca="1">'BS - Monthly'!BW28-'BS - Monthly'!BV28</f>
        <v>1297.5940816708026</v>
      </c>
    </row>
    <row r="16" spans="1:74" outlineLevel="1" x14ac:dyDescent="0.2">
      <c r="B16" s="26" t="s">
        <v>122</v>
      </c>
      <c r="E16" s="103">
        <v>-32917.220000000205</v>
      </c>
      <c r="F16" s="103">
        <f>'BS - Monthly'!G30-'BS - Monthly'!F30</f>
        <v>28604.300000000279</v>
      </c>
      <c r="G16" s="103">
        <f>'BS - Monthly'!H30-'BS - Monthly'!G30</f>
        <v>28438.80999999959</v>
      </c>
      <c r="H16" s="103">
        <f>'BS - Monthly'!I30-'BS - Monthly'!H30</f>
        <v>151368.98000000045</v>
      </c>
      <c r="I16" s="103">
        <f>'BS - Monthly'!J30-'BS - Monthly'!I30</f>
        <v>-233308.14000000013</v>
      </c>
      <c r="J16" s="103">
        <f>'BS - Monthly'!K30-'BS - Monthly'!J30</f>
        <v>77076.410000000149</v>
      </c>
      <c r="K16" s="103">
        <f>'BS - Monthly'!L30-'BS - Monthly'!K30</f>
        <v>2506.4499999997206</v>
      </c>
      <c r="L16" s="103">
        <f>'BS - Monthly'!M30-'BS - Monthly'!L30</f>
        <v>-121.83000000007451</v>
      </c>
      <c r="M16" s="103">
        <f>'BS - Monthly'!N30-'BS - Monthly'!M30</f>
        <v>105910.20999999996</v>
      </c>
      <c r="N16" s="103">
        <f>'BS - Monthly'!O30-'BS - Monthly'!N30</f>
        <v>-74146.109999999404</v>
      </c>
      <c r="O16" s="103">
        <f>'BS - Monthly'!P30-'BS - Monthly'!O30</f>
        <v>-124429.28000000026</v>
      </c>
      <c r="P16" s="103">
        <f>'BS - Monthly'!Q30-'BS - Monthly'!P30</f>
        <v>633638.62000000011</v>
      </c>
      <c r="Q16" s="103">
        <f>'BS - Monthly'!R30-'BS - Monthly'!Q30</f>
        <v>3212.7099999999627</v>
      </c>
      <c r="R16" s="103">
        <f>'BS - Monthly'!S30-'BS - Monthly'!R30</f>
        <v>38650.529999999795</v>
      </c>
      <c r="S16" s="103">
        <f>'BS - Monthly'!T30-'BS - Monthly'!S30</f>
        <v>334265.90000000037</v>
      </c>
      <c r="T16" s="103">
        <f>'BS - Monthly'!U30-'BS - Monthly'!T30</f>
        <v>150465.85000000009</v>
      </c>
      <c r="U16" s="103">
        <f>'BS - Monthly'!V30-'BS - Monthly'!U30</f>
        <v>-8601.9000000003725</v>
      </c>
      <c r="V16" s="103">
        <f>'BS - Monthly'!W30-'BS - Monthly'!V30</f>
        <v>181821.89999999991</v>
      </c>
      <c r="W16" s="103">
        <f>'BS - Monthly'!X30-'BS - Monthly'!W30</f>
        <v>220578.15999999968</v>
      </c>
      <c r="X16" s="103">
        <f>'BS - Monthly'!Y30-'BS - Monthly'!X30</f>
        <v>-321780.12999999942</v>
      </c>
      <c r="Y16" s="103">
        <f>'BS - Monthly'!Z30-'BS - Monthly'!Y30</f>
        <v>215734.88999999966</v>
      </c>
      <c r="Z16" s="103">
        <f>'BS - Monthly'!AA30-'BS - Monthly'!Z30</f>
        <v>139894.14000000013</v>
      </c>
      <c r="AA16" s="103">
        <f>'BS - Monthly'!AB30-'BS - Monthly'!AA30</f>
        <v>-74580.010000000242</v>
      </c>
      <c r="AB16" s="103">
        <f>'BS - Monthly'!AC30-'BS - Monthly'!AB30</f>
        <v>-394268.92999999947</v>
      </c>
      <c r="AC16" s="103">
        <f>'BS - Monthly'!AD30-'BS - Monthly'!AC30</f>
        <v>138257.84999999986</v>
      </c>
      <c r="AD16" s="103">
        <f>'BS - Monthly'!AE30-'BS - Monthly'!AD30</f>
        <v>178925.27000000002</v>
      </c>
      <c r="AE16" s="103">
        <f>'BS - Monthly'!AF30-'BS - Monthly'!AE30</f>
        <v>137270.12999999989</v>
      </c>
      <c r="AF16" s="103">
        <f>'BS - Monthly'!AG30-'BS - Monthly'!AF30</f>
        <v>0</v>
      </c>
      <c r="AG16" s="103">
        <f>'BS - Monthly'!AH30-'BS - Monthly'!AG30</f>
        <v>0</v>
      </c>
      <c r="AH16" s="103">
        <f>'BS - Monthly'!AI30-'BS - Monthly'!AH30</f>
        <v>0</v>
      </c>
      <c r="AI16" s="103">
        <f>'BS - Monthly'!AJ30-'BS - Monthly'!AI30</f>
        <v>0</v>
      </c>
      <c r="AJ16" s="103">
        <f>'BS - Monthly'!AK30-'BS - Monthly'!AJ30</f>
        <v>0</v>
      </c>
      <c r="AK16" s="103">
        <f>'BS - Monthly'!AL30-'BS - Monthly'!AK30</f>
        <v>0</v>
      </c>
      <c r="AL16" s="103">
        <f>'BS - Monthly'!AM30-'BS - Monthly'!AL30</f>
        <v>0</v>
      </c>
      <c r="AM16" s="103">
        <f>'BS - Monthly'!AN30-'BS - Monthly'!AM30</f>
        <v>0</v>
      </c>
      <c r="AN16" s="103">
        <f>'BS - Monthly'!AO30-'BS - Monthly'!AN30</f>
        <v>0</v>
      </c>
      <c r="AO16" s="103">
        <f>'BS - Monthly'!AP30-'BS - Monthly'!AO30</f>
        <v>0</v>
      </c>
      <c r="AP16" s="103">
        <f>'BS - Monthly'!AQ30-'BS - Monthly'!AP30</f>
        <v>0</v>
      </c>
      <c r="AQ16" s="103">
        <f>'BS - Monthly'!AR30-'BS - Monthly'!AQ30</f>
        <v>0</v>
      </c>
      <c r="AR16" s="103">
        <f>'BS - Monthly'!AS30-'BS - Monthly'!AR30</f>
        <v>0</v>
      </c>
      <c r="AS16" s="103">
        <f>'BS - Monthly'!AT30-'BS - Monthly'!AS30</f>
        <v>0</v>
      </c>
      <c r="AT16" s="103">
        <f>'BS - Monthly'!AU30-'BS - Monthly'!AT30</f>
        <v>0</v>
      </c>
      <c r="AU16" s="103">
        <f>'BS - Monthly'!AV30-'BS - Monthly'!AU30</f>
        <v>0</v>
      </c>
      <c r="AV16" s="103">
        <f>'BS - Monthly'!AW30-'BS - Monthly'!AV30</f>
        <v>0</v>
      </c>
      <c r="AW16" s="103">
        <f>'BS - Monthly'!AX30-'BS - Monthly'!AW30</f>
        <v>0</v>
      </c>
      <c r="AX16" s="103">
        <f>'BS - Monthly'!AY30-'BS - Monthly'!AX30</f>
        <v>0</v>
      </c>
      <c r="AY16" s="103">
        <f>'BS - Monthly'!AZ30-'BS - Monthly'!AY30</f>
        <v>0</v>
      </c>
      <c r="AZ16" s="103">
        <f>'BS - Monthly'!BA30-'BS - Monthly'!AZ30</f>
        <v>0</v>
      </c>
      <c r="BA16" s="103">
        <f>'BS - Monthly'!BB30-'BS - Monthly'!BA30</f>
        <v>0</v>
      </c>
      <c r="BB16" s="103">
        <f>'BS - Monthly'!BC30-'BS - Monthly'!BB30</f>
        <v>0</v>
      </c>
      <c r="BC16" s="103">
        <f>'BS - Monthly'!BD30-'BS - Monthly'!BC30</f>
        <v>0</v>
      </c>
      <c r="BD16" s="103">
        <f>'BS - Monthly'!BE30-'BS - Monthly'!BD30</f>
        <v>0</v>
      </c>
      <c r="BE16" s="103">
        <f>'BS - Monthly'!BF30-'BS - Monthly'!BE30</f>
        <v>0</v>
      </c>
      <c r="BF16" s="103">
        <f>'BS - Monthly'!BG30-'BS - Monthly'!BF30</f>
        <v>0</v>
      </c>
      <c r="BG16" s="103">
        <f>'BS - Monthly'!BH30-'BS - Monthly'!BG30</f>
        <v>0</v>
      </c>
      <c r="BH16" s="103">
        <f>'BS - Monthly'!BI30-'BS - Monthly'!BH30</f>
        <v>0</v>
      </c>
      <c r="BI16" s="103">
        <f>'BS - Monthly'!BJ30-'BS - Monthly'!BI30</f>
        <v>0</v>
      </c>
      <c r="BJ16" s="103">
        <f>'BS - Monthly'!BK30-'BS - Monthly'!BJ30</f>
        <v>0</v>
      </c>
      <c r="BK16" s="103">
        <f>'BS - Monthly'!BL30-'BS - Monthly'!BK30</f>
        <v>0</v>
      </c>
      <c r="BL16" s="103">
        <f>'BS - Monthly'!BM30-'BS - Monthly'!BL30</f>
        <v>0</v>
      </c>
      <c r="BM16" s="103">
        <f>'BS - Monthly'!BN30-'BS - Monthly'!BM30</f>
        <v>0</v>
      </c>
      <c r="BN16" s="103">
        <f>'BS - Monthly'!BO30-'BS - Monthly'!BN30</f>
        <v>0</v>
      </c>
      <c r="BO16" s="103">
        <f>'BS - Monthly'!BP30-'BS - Monthly'!BO30</f>
        <v>0</v>
      </c>
      <c r="BP16" s="103">
        <f>'BS - Monthly'!BQ30-'BS - Monthly'!BP30</f>
        <v>0</v>
      </c>
      <c r="BQ16" s="103">
        <f>'BS - Monthly'!BR30-'BS - Monthly'!BQ30</f>
        <v>0</v>
      </c>
      <c r="BR16" s="103">
        <f>'BS - Monthly'!BS30-'BS - Monthly'!BR30</f>
        <v>0</v>
      </c>
      <c r="BS16" s="103">
        <f>'BS - Monthly'!BT30-'BS - Monthly'!BS30</f>
        <v>0</v>
      </c>
      <c r="BT16" s="103">
        <f>'BS - Monthly'!BU30-'BS - Monthly'!BT30</f>
        <v>0</v>
      </c>
      <c r="BU16" s="103">
        <f>'BS - Monthly'!BV30-'BS - Monthly'!BU30</f>
        <v>0</v>
      </c>
      <c r="BV16" s="103">
        <f>'BS - Monthly'!BW30-'BS - Monthly'!BV30</f>
        <v>0</v>
      </c>
    </row>
    <row r="17" spans="1:74" outlineLevel="1" x14ac:dyDescent="0.2">
      <c r="B17" s="26" t="s">
        <v>507</v>
      </c>
      <c r="E17" s="103">
        <v>3267</v>
      </c>
      <c r="F17" s="103">
        <f>'BS - Monthly'!G29-'BS - Monthly'!F29</f>
        <v>-39627.926154995803</v>
      </c>
      <c r="G17" s="103">
        <f>'BS - Monthly'!H29-'BS - Monthly'!G29</f>
        <v>-52804.853403652553</v>
      </c>
      <c r="H17" s="103">
        <f>'BS - Monthly'!I29-'BS - Monthly'!H29</f>
        <v>944684.16488395818</v>
      </c>
      <c r="I17" s="103">
        <f>'BS - Monthly'!J29-'BS - Monthly'!I29</f>
        <v>261872.11793955741</v>
      </c>
      <c r="J17" s="103">
        <f>'BS - Monthly'!K29-'BS - Monthly'!J29</f>
        <v>-68331.482333957218</v>
      </c>
      <c r="K17" s="103">
        <f>'BS - Monthly'!L29-'BS - Monthly'!K29</f>
        <v>7151.9984193956479</v>
      </c>
      <c r="L17" s="103">
        <f>'BS - Monthly'!M29-'BS - Monthly'!L29</f>
        <v>-46952.607920540497</v>
      </c>
      <c r="M17" s="103">
        <f>'BS - Monthly'!N29-'BS - Monthly'!M29</f>
        <v>-45598.97660571197</v>
      </c>
      <c r="N17" s="103">
        <f>'BS - Monthly'!O29-'BS - Monthly'!N29</f>
        <v>196722.53459470021</v>
      </c>
      <c r="O17" s="103">
        <f>'BS - Monthly'!P29-'BS - Monthly'!O29</f>
        <v>-218619.43135093572</v>
      </c>
      <c r="P17" s="103">
        <f>'BS - Monthly'!Q29-'BS - Monthly'!P29</f>
        <v>-1279544.849182202</v>
      </c>
      <c r="Q17" s="103">
        <f>'BS - Monthly'!R29-'BS - Monthly'!Q29</f>
        <v>980607.96</v>
      </c>
      <c r="R17" s="103">
        <f>'BS - Monthly'!S29-'BS - Monthly'!R29</f>
        <v>-324311.5</v>
      </c>
      <c r="S17" s="103">
        <f>'BS - Monthly'!T29-'BS - Monthly'!S29</f>
        <v>-164301.05000000028</v>
      </c>
      <c r="T17" s="103">
        <f>'BS - Monthly'!U29-'BS - Monthly'!T29</f>
        <v>-170999.50999999978</v>
      </c>
      <c r="U17" s="103">
        <f>'BS - Monthly'!V29-'BS - Monthly'!U29</f>
        <v>-57210.319999999832</v>
      </c>
      <c r="V17" s="103">
        <f>'BS - Monthly'!W29-'BS - Monthly'!V29</f>
        <v>109973.32999999961</v>
      </c>
      <c r="W17" s="103">
        <f>'BS - Monthly'!X29-'BS - Monthly'!W29</f>
        <v>-171332.72999999998</v>
      </c>
      <c r="X17" s="103">
        <f>'BS - Monthly'!Y29-'BS - Monthly'!X29</f>
        <v>38886.150000000373</v>
      </c>
      <c r="Y17" s="103">
        <f>'BS - Monthly'!Z29-'BS - Monthly'!Y29</f>
        <v>351273.61999999965</v>
      </c>
      <c r="Z17" s="103">
        <f>'BS - Monthly'!AA29-'BS - Monthly'!Z29</f>
        <v>-312334.6799999997</v>
      </c>
      <c r="AA17" s="103">
        <f>'BS - Monthly'!AB29-'BS - Monthly'!AA29</f>
        <v>-64097.090000000317</v>
      </c>
      <c r="AB17" s="103">
        <f>'BS - Monthly'!AC29-'BS - Monthly'!AB29</f>
        <v>-403091.5399999998</v>
      </c>
      <c r="AC17" s="103">
        <f>'BS - Monthly'!AD29-'BS - Monthly'!AC29</f>
        <v>407565.6399999999</v>
      </c>
      <c r="AD17" s="103">
        <f>'BS - Monthly'!AE29-'BS - Monthly'!AD29</f>
        <v>-93805.159999999683</v>
      </c>
      <c r="AE17" s="103">
        <f>'BS - Monthly'!AF29-'BS - Monthly'!AE29</f>
        <v>-10973.990000000224</v>
      </c>
      <c r="AF17" s="103">
        <f>'BS - Monthly'!AG29-'BS - Monthly'!AF29</f>
        <v>427470.68351479666</v>
      </c>
      <c r="AG17" s="103">
        <f>'BS - Monthly'!AH29-'BS - Monthly'!AG29</f>
        <v>13404.520505083259</v>
      </c>
      <c r="AH17" s="103">
        <f>'BS - Monthly'!AI29-'BS - Monthly'!AH29</f>
        <v>12484.732218245044</v>
      </c>
      <c r="AI17" s="103">
        <f>'BS - Monthly'!AJ29-'BS - Monthly'!AI29</f>
        <v>-2793.6048327367753</v>
      </c>
      <c r="AJ17" s="103">
        <f>'BS - Monthly'!AK29-'BS - Monthly'!AJ29</f>
        <v>9046.6091554658487</v>
      </c>
      <c r="AK17" s="103">
        <f>'BS - Monthly'!AL29-'BS - Monthly'!AK29</f>
        <v>34298.629074140452</v>
      </c>
      <c r="AL17" s="103">
        <f>'BS - Monthly'!AM29-'BS - Monthly'!AL29</f>
        <v>14577.808019245043</v>
      </c>
      <c r="AM17" s="103">
        <f>'BS - Monthly'!AN29-'BS - Monthly'!AM29</f>
        <v>-7476.8937103128992</v>
      </c>
      <c r="AN17" s="103">
        <f>'BS - Monthly'!AO29-'BS - Monthly'!AN29</f>
        <v>1085.5913515049033</v>
      </c>
      <c r="AO17" s="103">
        <f>'BS - Monthly'!AP29-'BS - Monthly'!AO29</f>
        <v>36120.678123942111</v>
      </c>
      <c r="AP17" s="103">
        <f>'BS - Monthly'!AQ29-'BS - Monthly'!AP29</f>
        <v>14432.986761890352</v>
      </c>
      <c r="AQ17" s="103">
        <f>'BS - Monthly'!AR29-'BS - Monthly'!AQ29</f>
        <v>15014.524210688192</v>
      </c>
      <c r="AR17" s="103">
        <f>'BS - Monthly'!AS29-'BS - Monthly'!AR29</f>
        <v>14255.870610696729</v>
      </c>
      <c r="AS17" s="103">
        <f>'BS - Monthly'!AT29-'BS - Monthly'!AS29</f>
        <v>13691.132285289001</v>
      </c>
      <c r="AT17" s="103">
        <f>'BS - Monthly'!AU29-'BS - Monthly'!AT29</f>
        <v>13543.573411094956</v>
      </c>
      <c r="AU17" s="103">
        <f>'BS - Monthly'!AV29-'BS - Monthly'!AU29</f>
        <v>13551.171283320058</v>
      </c>
      <c r="AV17" s="103">
        <f>'BS - Monthly'!AW29-'BS - Monthly'!AV29</f>
        <v>13719.532129860483</v>
      </c>
      <c r="AW17" s="103">
        <f>'BS - Monthly'!AX29-'BS - Monthly'!AW29</f>
        <v>13886.27359075984</v>
      </c>
      <c r="AX17" s="103">
        <f>'BS - Monthly'!AY29-'BS - Monthly'!AX29</f>
        <v>13579.368569978978</v>
      </c>
      <c r="AY17" s="103">
        <f>'BS - Monthly'!AZ29-'BS - Monthly'!AY29</f>
        <v>13580.225712836254</v>
      </c>
      <c r="AZ17" s="103">
        <f>'BS - Monthly'!BA29-'BS - Monthly'!AZ29</f>
        <v>13581.08285569353</v>
      </c>
      <c r="BA17" s="103">
        <f>'BS - Monthly'!BB29-'BS - Monthly'!BA29</f>
        <v>-435445.97210586397</v>
      </c>
      <c r="BB17" s="103">
        <f>'BS - Monthly'!BC29-'BS - Monthly'!BB29</f>
        <v>14.380952381063253</v>
      </c>
      <c r="BC17" s="103">
        <f>'BS - Monthly'!BD29-'BS - Monthly'!BC29</f>
        <v>15.380952381063253</v>
      </c>
      <c r="BD17" s="103">
        <f>'BS - Monthly'!BE29-'BS - Monthly'!BD29</f>
        <v>16.380952381063253</v>
      </c>
      <c r="BE17" s="103">
        <f>'BS - Monthly'!BF29-'BS - Monthly'!BE29</f>
        <v>17.380952381063253</v>
      </c>
      <c r="BF17" s="103">
        <f>'BS - Monthly'!BG29-'BS - Monthly'!BF29</f>
        <v>18.380952381063253</v>
      </c>
      <c r="BG17" s="103">
        <f>'BS - Monthly'!BH29-'BS - Monthly'!BG29</f>
        <v>19.380952381063253</v>
      </c>
      <c r="BH17" s="103">
        <f>'BS - Monthly'!BI29-'BS - Monthly'!BH29</f>
        <v>20.380952381063253</v>
      </c>
      <c r="BI17" s="103">
        <f>'BS - Monthly'!BJ29-'BS - Monthly'!BI29</f>
        <v>21.380952381063253</v>
      </c>
      <c r="BJ17" s="103">
        <f>'BS - Monthly'!BK29-'BS - Monthly'!BJ29</f>
        <v>22.380952381063253</v>
      </c>
      <c r="BK17" s="103">
        <f>'BS - Monthly'!BL29-'BS - Monthly'!BK29</f>
        <v>23.380952381063253</v>
      </c>
      <c r="BL17" s="103">
        <f>'BS - Monthly'!BM29-'BS - Monthly'!BL29</f>
        <v>24.380952381063253</v>
      </c>
      <c r="BM17" s="103">
        <f>'BS - Monthly'!BN29-'BS - Monthly'!BM29</f>
        <v>25.380952381063253</v>
      </c>
      <c r="BN17" s="103">
        <f>'BS - Monthly'!BO29-'BS - Monthly'!BN29</f>
        <v>26.380952381063253</v>
      </c>
      <c r="BO17" s="103">
        <f>'BS - Monthly'!BP29-'BS - Monthly'!BO29</f>
        <v>27.380952381063253</v>
      </c>
      <c r="BP17" s="103">
        <f>'BS - Monthly'!BQ29-'BS - Monthly'!BP29</f>
        <v>28.380952381063253</v>
      </c>
      <c r="BQ17" s="103">
        <f>'BS - Monthly'!BR29-'BS - Monthly'!BQ29</f>
        <v>29.380952381063253</v>
      </c>
      <c r="BR17" s="103">
        <f>'BS - Monthly'!BS29-'BS - Monthly'!BR29</f>
        <v>30.380952381063253</v>
      </c>
      <c r="BS17" s="103">
        <f>'BS - Monthly'!BT29-'BS - Monthly'!BS29</f>
        <v>31.380952381063253</v>
      </c>
      <c r="BT17" s="103">
        <f>'BS - Monthly'!BU29-'BS - Monthly'!BT29</f>
        <v>32.380952381063253</v>
      </c>
      <c r="BU17" s="103">
        <f>'BS - Monthly'!BV29-'BS - Monthly'!BU29</f>
        <v>33.380952381063253</v>
      </c>
      <c r="BV17" s="103">
        <f>'BS - Monthly'!BW29-'BS - Monthly'!BV29</f>
        <v>34.380952381063253</v>
      </c>
    </row>
    <row r="18" spans="1:74" hidden="1" outlineLevel="1" x14ac:dyDescent="0.2">
      <c r="B18" s="26" t="s">
        <v>715</v>
      </c>
      <c r="E18" s="103"/>
      <c r="F18" s="103">
        <v>0</v>
      </c>
      <c r="G18" s="103"/>
      <c r="H18" s="103"/>
      <c r="I18" s="103"/>
      <c r="J18" s="103"/>
      <c r="K18" s="103"/>
      <c r="L18" s="103"/>
      <c r="M18" s="103"/>
      <c r="N18" s="103"/>
      <c r="O18" s="103"/>
      <c r="P18" s="103">
        <v>-673458</v>
      </c>
      <c r="Q18" s="103"/>
      <c r="R18" s="103">
        <f>+'BS - Monthly'!S48-'BS - Monthly'!R48</f>
        <v>0</v>
      </c>
      <c r="S18" s="103">
        <f>+'BS - Monthly'!T48-'BS - Monthly'!S48</f>
        <v>0</v>
      </c>
      <c r="T18" s="103">
        <f>+'BS - Monthly'!U48-'BS - Monthly'!T48</f>
        <v>0</v>
      </c>
      <c r="U18" s="103">
        <f>+'BS - Monthly'!V48-'BS - Monthly'!U48</f>
        <v>0</v>
      </c>
      <c r="V18" s="103"/>
      <c r="W18" s="103"/>
      <c r="X18" s="103">
        <f>+'BS - Monthly'!Y48-'BS - Monthly'!X48</f>
        <v>0</v>
      </c>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c r="BF18" s="103"/>
      <c r="BG18" s="103"/>
      <c r="BH18" s="103"/>
      <c r="BI18" s="103"/>
      <c r="BJ18" s="103"/>
      <c r="BK18" s="103"/>
      <c r="BL18" s="103"/>
      <c r="BM18" s="103"/>
      <c r="BN18" s="103"/>
      <c r="BO18" s="103"/>
      <c r="BP18" s="103"/>
      <c r="BQ18" s="103"/>
      <c r="BR18" s="103"/>
      <c r="BS18" s="103"/>
      <c r="BT18" s="103"/>
      <c r="BU18" s="103"/>
      <c r="BV18" s="103"/>
    </row>
    <row r="19" spans="1:74" outlineLevel="1" x14ac:dyDescent="0.2">
      <c r="A19" s="23" t="s">
        <v>175</v>
      </c>
      <c r="E19" s="112">
        <f>SUM(E13:E17)+SUM(E9:E11)</f>
        <v>590217.88821978436</v>
      </c>
      <c r="F19" s="112">
        <f>SUM(F13:F17)+SUM(F9:F11)</f>
        <v>378842.07525666745</v>
      </c>
      <c r="G19" s="112">
        <f>SUM(G13:G17)+SUM(G9:G11)</f>
        <v>459625.51457666594</v>
      </c>
      <c r="H19" s="112">
        <f t="shared" ref="H19:AN19" si="0">SUM(H13:H17)+SUM(H9:H11)</f>
        <v>685554.25215666741</v>
      </c>
      <c r="I19" s="112">
        <f t="shared" si="0"/>
        <v>1084982.5596566661</v>
      </c>
      <c r="J19" s="112">
        <f t="shared" si="0"/>
        <v>242875.25332666686</v>
      </c>
      <c r="K19" s="112">
        <f t="shared" si="0"/>
        <v>472685.48759666632</v>
      </c>
      <c r="L19" s="112">
        <f t="shared" si="0"/>
        <v>96496.986566666761</v>
      </c>
      <c r="M19" s="112">
        <f t="shared" si="0"/>
        <v>592197.98456666677</v>
      </c>
      <c r="N19" s="112">
        <f t="shared" si="0"/>
        <v>453051.72735666734</v>
      </c>
      <c r="O19" s="112">
        <f t="shared" si="0"/>
        <v>429325.59905666695</v>
      </c>
      <c r="P19" s="112">
        <f>SUM(P13:P18)+SUM(P9:P11)</f>
        <v>-1936123.8779826968</v>
      </c>
      <c r="Q19" s="112">
        <f>SUM(Q13:Q18)+SUM(Q9:Q11)</f>
        <v>-166765.33000000034</v>
      </c>
      <c r="R19" s="112">
        <f>SUM(R13:R18)+SUM(R9:R11)</f>
        <v>139284.70999999982</v>
      </c>
      <c r="S19" s="112">
        <f>SUM(S13:S18)+SUM(S9:S11)</f>
        <v>1168534.08</v>
      </c>
      <c r="T19" s="112">
        <f t="shared" ref="T19:U19" si="1">SUM(T13:T18)+SUM(T9:T11)</f>
        <v>111506.40000000049</v>
      </c>
      <c r="U19" s="112">
        <f t="shared" si="1"/>
        <v>-19669.499999999869</v>
      </c>
      <c r="V19" s="112">
        <f t="shared" si="0"/>
        <v>103467.91999999969</v>
      </c>
      <c r="W19" s="112">
        <f t="shared" si="0"/>
        <v>-414633.87999999977</v>
      </c>
      <c r="X19" s="112">
        <f>SUM(X13:X18)+SUM(X9:X11)</f>
        <v>-754906.7499999986</v>
      </c>
      <c r="Y19" s="112">
        <f>SUM(Y13:Y18)+SUM(Y9:Y11)</f>
        <v>385103.72999999922</v>
      </c>
      <c r="Z19" s="112">
        <f t="shared" si="0"/>
        <v>-371146.04999999941</v>
      </c>
      <c r="AA19" s="112">
        <f t="shared" si="0"/>
        <v>-286966.66000000061</v>
      </c>
      <c r="AB19" s="112">
        <f t="shared" si="0"/>
        <v>-457374.00999999919</v>
      </c>
      <c r="AC19" s="112">
        <f t="shared" si="0"/>
        <v>-339517.30000000051</v>
      </c>
      <c r="AD19" s="112">
        <f t="shared" si="0"/>
        <v>42380.150000000256</v>
      </c>
      <c r="AE19" s="112">
        <f t="shared" si="0"/>
        <v>316031.26999999979</v>
      </c>
      <c r="AF19" s="112">
        <f t="shared" ca="1" si="0"/>
        <v>-165006.1146787277</v>
      </c>
      <c r="AG19" s="112">
        <f t="shared" ca="1" si="0"/>
        <v>-514947.5029829453</v>
      </c>
      <c r="AH19" s="112">
        <f t="shared" ca="1" si="0"/>
        <v>-460454.85374764947</v>
      </c>
      <c r="AI19" s="112">
        <f t="shared" ca="1" si="0"/>
        <v>-578838.83603343682</v>
      </c>
      <c r="AJ19" s="112">
        <f t="shared" ca="1" si="0"/>
        <v>-244048.35434645548</v>
      </c>
      <c r="AK19" s="112">
        <f t="shared" ca="1" si="0"/>
        <v>85903.96307854302</v>
      </c>
      <c r="AL19" s="112">
        <f t="shared" ca="1" si="0"/>
        <v>37283.084625966556</v>
      </c>
      <c r="AM19" s="112">
        <f t="shared" ca="1" si="0"/>
        <v>81920.244093101413</v>
      </c>
      <c r="AN19" s="112">
        <f t="shared" ca="1" si="0"/>
        <v>156734.89472757553</v>
      </c>
      <c r="AO19" s="112">
        <f t="shared" ref="AO19:AZ19" ca="1" si="2">SUM(AO13:AO17)+SUM(AO9:AO11)</f>
        <v>-5396825.450442886</v>
      </c>
      <c r="AP19" s="112">
        <f t="shared" ca="1" si="2"/>
        <v>66593.74270139914</v>
      </c>
      <c r="AQ19" s="112">
        <f t="shared" ca="1" si="2"/>
        <v>1319573.4835312753</v>
      </c>
      <c r="AR19" s="112">
        <f t="shared" ca="1" si="2"/>
        <v>1436026.3635784301</v>
      </c>
      <c r="AS19" s="112">
        <f t="shared" ca="1" si="2"/>
        <v>1549809.8226532917</v>
      </c>
      <c r="AT19" s="112">
        <f t="shared" ca="1" si="2"/>
        <v>1662742.1614001379</v>
      </c>
      <c r="AU19" s="112">
        <f t="shared" ca="1" si="2"/>
        <v>1775872.0394449865</v>
      </c>
      <c r="AV19" s="112">
        <f t="shared" ca="1" si="2"/>
        <v>1890682.6185583577</v>
      </c>
      <c r="AW19" s="112">
        <f t="shared" ca="1" si="2"/>
        <v>2006627.9621265349</v>
      </c>
      <c r="AX19" s="112">
        <f t="shared" ca="1" si="2"/>
        <v>2114385.4709403631</v>
      </c>
      <c r="AY19" s="112">
        <f t="shared" ca="1" si="2"/>
        <v>2227389.7052596486</v>
      </c>
      <c r="AZ19" s="112">
        <f t="shared" ca="1" si="2"/>
        <v>2335976.3966847975</v>
      </c>
      <c r="BA19" s="112">
        <f t="shared" ref="BA19:BL19" ca="1" si="3">SUM(BA13:BA17)+SUM(BA9:BA11)</f>
        <v>-1672551.7778118087</v>
      </c>
      <c r="BB19" s="112">
        <f t="shared" ca="1" si="3"/>
        <v>-1824050.006554778</v>
      </c>
      <c r="BC19" s="112">
        <f t="shared" ca="1" si="3"/>
        <v>-1893307.0534675107</v>
      </c>
      <c r="BD19" s="112">
        <f t="shared" ca="1" si="3"/>
        <v>-1876886.1596071657</v>
      </c>
      <c r="BE19" s="112">
        <f t="shared" ca="1" si="3"/>
        <v>-1884159.3606488653</v>
      </c>
      <c r="BF19" s="112">
        <f t="shared" ca="1" si="3"/>
        <v>-1890434.9308471847</v>
      </c>
      <c r="BG19" s="112">
        <f t="shared" ca="1" si="3"/>
        <v>-1897899.6625287323</v>
      </c>
      <c r="BH19" s="112">
        <f t="shared" ca="1" si="3"/>
        <v>-1904385.2476436987</v>
      </c>
      <c r="BI19" s="112">
        <f t="shared" ca="1" si="3"/>
        <v>-1912042.4085949059</v>
      </c>
      <c r="BJ19" s="112">
        <f t="shared" ca="1" si="3"/>
        <v>-1918729.3668792183</v>
      </c>
      <c r="BK19" s="112">
        <f t="shared" ca="1" si="3"/>
        <v>-1926584.3449029655</v>
      </c>
      <c r="BL19" s="112">
        <f t="shared" ca="1" si="3"/>
        <v>-1937939.6672959991</v>
      </c>
      <c r="BM19" s="112">
        <f t="shared" ref="BM19:BS19" ca="1" si="4">SUM(BM13:BM17)+SUM(BM9:BM11)</f>
        <v>-1616991.7630199287</v>
      </c>
      <c r="BN19" s="112">
        <f t="shared" ca="1" si="4"/>
        <v>-1574929.5911027461</v>
      </c>
      <c r="BO19" s="112">
        <f t="shared" ca="1" si="4"/>
        <v>-1584937.8960012745</v>
      </c>
      <c r="BP19" s="112">
        <f t="shared" ca="1" si="4"/>
        <v>-1592278.3962596045</v>
      </c>
      <c r="BQ19" s="112">
        <f t="shared" ca="1" si="4"/>
        <v>-1600795.3370449219</v>
      </c>
      <c r="BR19" s="112">
        <f t="shared" ca="1" si="4"/>
        <v>-1608364.3113578476</v>
      </c>
      <c r="BS19" s="112">
        <f t="shared" ca="1" si="4"/>
        <v>-1617129.2280332588</v>
      </c>
      <c r="BT19" s="112">
        <f t="shared" ref="BT19:BV19" ca="1" si="5">SUM(BT13:BT17)+SUM(BT9:BT11)</f>
        <v>-1625489.9860033756</v>
      </c>
      <c r="BU19" s="112">
        <f t="shared" ca="1" si="5"/>
        <v>-1633447.7629025392</v>
      </c>
      <c r="BV19" s="112">
        <f t="shared" ca="1" si="5"/>
        <v>-1642611.8331769765</v>
      </c>
    </row>
    <row r="20" spans="1:74" ht="6" customHeight="1" outlineLevel="2" x14ac:dyDescent="0.2">
      <c r="B20" s="118"/>
      <c r="E20" s="106"/>
      <c r="F20" s="106"/>
      <c r="G20" s="106"/>
      <c r="H20" s="106"/>
      <c r="I20" s="106"/>
      <c r="J20" s="106"/>
      <c r="K20" s="106"/>
      <c r="L20" s="197"/>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6"/>
      <c r="BK20" s="106"/>
      <c r="BL20" s="106"/>
      <c r="BM20" s="106"/>
      <c r="BN20" s="106"/>
      <c r="BO20" s="106"/>
      <c r="BP20" s="106"/>
      <c r="BQ20" s="106"/>
      <c r="BR20" s="106"/>
      <c r="BS20" s="106"/>
      <c r="BT20" s="106"/>
      <c r="BU20" s="106"/>
      <c r="BV20" s="106"/>
    </row>
    <row r="21" spans="1:74" outlineLevel="1" x14ac:dyDescent="0.2">
      <c r="A21" s="100" t="s">
        <v>123</v>
      </c>
      <c r="E21" s="103"/>
      <c r="F21" s="103"/>
      <c r="G21" s="103"/>
      <c r="H21" s="103"/>
      <c r="I21" s="103"/>
      <c r="J21" s="103"/>
      <c r="K21" s="103"/>
      <c r="L21" s="24"/>
      <c r="M21" s="103"/>
      <c r="N21" s="103"/>
      <c r="O21" s="103"/>
      <c r="P21" s="103"/>
      <c r="Q21" s="103"/>
      <c r="R21" s="103"/>
      <c r="S21" s="103"/>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103"/>
      <c r="BI21" s="103"/>
      <c r="BJ21" s="103"/>
      <c r="BK21" s="103"/>
      <c r="BL21" s="103"/>
      <c r="BM21" s="103"/>
      <c r="BN21" s="103"/>
      <c r="BO21" s="103"/>
      <c r="BP21" s="103"/>
      <c r="BQ21" s="103"/>
      <c r="BR21" s="103"/>
      <c r="BS21" s="103"/>
      <c r="BT21" s="103"/>
      <c r="BU21" s="103"/>
      <c r="BV21" s="103"/>
    </row>
    <row r="22" spans="1:74" outlineLevel="2" x14ac:dyDescent="0.2">
      <c r="A22" s="26" t="s">
        <v>124</v>
      </c>
      <c r="E22" s="103">
        <v>-4371.3800000000047</v>
      </c>
      <c r="F22" s="103">
        <f>('BS - Monthly'!F15+'BS - Monthly'!F16)-('BS - Monthly'!G15+'BS - Monthly'!G16)</f>
        <v>-7110.9799999999814</v>
      </c>
      <c r="G22" s="103">
        <f>('BS - Monthly'!G15+'BS - Monthly'!G16)-('BS - Monthly'!H15+'BS - Monthly'!H16)</f>
        <v>-19976.530000000028</v>
      </c>
      <c r="H22" s="103">
        <f>('BS - Monthly'!H15+'BS - Monthly'!H16)-('BS - Monthly'!I15+'BS - Monthly'!I16)</f>
        <v>-38589.060000000056</v>
      </c>
      <c r="I22" s="103">
        <f>('BS - Monthly'!I15+'BS - Monthly'!I16)-('BS - Monthly'!J15+'BS - Monthly'!J16)</f>
        <v>-1219</v>
      </c>
      <c r="J22" s="103">
        <f>('BS - Monthly'!J15+'BS - Monthly'!J16)-('BS - Monthly'!K15+'BS - Monthly'!K16)</f>
        <v>-9289.4599999999627</v>
      </c>
      <c r="K22" s="103">
        <f>('BS - Monthly'!K15+'BS - Monthly'!K16)-('BS - Monthly'!L15+'BS - Monthly'!L16)</f>
        <v>-23434.209999999963</v>
      </c>
      <c r="L22" s="24">
        <f>'BS - Monthly'!L15-'BS - Monthly'!M15</f>
        <v>-12896.27999999997</v>
      </c>
      <c r="M22" s="103">
        <f>'BS - Monthly'!M18-'BS - Monthly'!N18</f>
        <v>-11636.270000000019</v>
      </c>
      <c r="N22" s="103">
        <f>'BS - Monthly'!N18-'BS - Monthly'!O18</f>
        <v>-54478.239999999991</v>
      </c>
      <c r="O22" s="103">
        <f>'BS - Monthly'!O15-'BS - Monthly'!P15</f>
        <v>-7175.7600000000093</v>
      </c>
      <c r="P22" s="103">
        <v>-15414</v>
      </c>
      <c r="Q22" s="103">
        <f>-+('BS - CF Actuals'!V46-'BS - CF Actuals'!U46+'BS - CF Actuals'!V54-'BS - CF Actuals'!U54+'BS - CF Actuals'!V58-'BS - CF Actuals'!U58+'BS - CF Actuals'!V50-'BS - CF Actuals'!U50)</f>
        <v>-31623.199999999953</v>
      </c>
      <c r="R22" s="103">
        <f>-+('BS - CF Actuals'!W46-'BS - CF Actuals'!V46+'BS - CF Actuals'!W54-'BS - CF Actuals'!V54+'BS - CF Actuals'!W58-'BS - CF Actuals'!V58+'BS - CF Actuals'!W50-'BS - CF Actuals'!V50)</f>
        <v>-57212.460000000065</v>
      </c>
      <c r="S22" s="103">
        <f>-+('BS - CF Actuals'!X46-'BS - CF Actuals'!W46+'BS - CF Actuals'!X54-'BS - CF Actuals'!W54+'BS - CF Actuals'!X58-'BS - CF Actuals'!W58+'BS - CF Actuals'!X50-'BS - CF Actuals'!W50)</f>
        <v>-32077.589999999967</v>
      </c>
      <c r="T22" s="103">
        <f>-+('BS - CF Actuals'!Y46-'BS - CF Actuals'!X46+'BS - CF Actuals'!Y54-'BS - CF Actuals'!X54+'BS - CF Actuals'!Y58-'BS - CF Actuals'!X58+'BS - CF Actuals'!Y50-'BS - CF Actuals'!X50)</f>
        <v>-34983.280000000028</v>
      </c>
      <c r="U22" s="103">
        <f>-+('BS - CF Actuals'!Z46-'BS - CF Actuals'!Y46+'BS - CF Actuals'!Z54-'BS - CF Actuals'!Y54+'BS - CF Actuals'!Z58-'BS - CF Actuals'!Y58+'BS - CF Actuals'!Z50-'BS - CF Actuals'!Y50)</f>
        <v>-12172.629999999946</v>
      </c>
      <c r="V22" s="103">
        <f>-+('BS - CF Actuals'!AA46-'BS - CF Actuals'!Z46+'BS - CF Actuals'!AA54-'BS - CF Actuals'!Z54+'BS - CF Actuals'!AA58-'BS - CF Actuals'!Z58+'BS - CF Actuals'!AA50-'BS - CF Actuals'!Z50)</f>
        <v>-13286.23000000004</v>
      </c>
      <c r="W22" s="103">
        <f>-+('BS - CF Actuals'!AB46-'BS - CF Actuals'!AA46+'BS - CF Actuals'!AB54-'BS - CF Actuals'!AA54+'BS - CF Actuals'!AB58-'BS - CF Actuals'!AA58+'BS - CF Actuals'!AB50-'BS - CF Actuals'!AA50)</f>
        <v>-3648.6800000000003</v>
      </c>
      <c r="X22" s="103">
        <f>-+('BS - CF Actuals'!AC46-'BS - CF Actuals'!AB46+'BS - CF Actuals'!AC54-'BS - CF Actuals'!AB54+'BS - CF Actuals'!AC58-'BS - CF Actuals'!AB58+'BS - CF Actuals'!AC50-'BS - CF Actuals'!AB50)</f>
        <v>-25992.910000000033</v>
      </c>
      <c r="Y22" s="103">
        <f>-+('BS - CF Actuals'!AD46-'BS - CF Actuals'!AC46+'BS - CF Actuals'!AD54-'BS - CF Actuals'!AC54+'BS - CF Actuals'!AD58-'BS - CF Actuals'!AC58+'BS - CF Actuals'!AD50-'BS - CF Actuals'!AC50)</f>
        <v>-13857.74000000002</v>
      </c>
      <c r="Z22" s="103">
        <f>-+('BS - CF Actuals'!AE46-'BS - CF Actuals'!AD46+'BS - CF Actuals'!AE54-'BS - CF Actuals'!AD54+'BS - CF Actuals'!AE58-'BS - CF Actuals'!AD58+'BS - CF Actuals'!AE50-'BS - CF Actuals'!AD50)</f>
        <v>-96276.759999999907</v>
      </c>
      <c r="AA22" s="103">
        <f>-+('BS - CF Actuals'!AF46-'BS - CF Actuals'!AE46+'BS - CF Actuals'!AF54-'BS - CF Actuals'!AE54+'BS - CF Actuals'!AF58-'BS - CF Actuals'!AE58+'BS - CF Actuals'!AF50-'BS - CF Actuals'!AE50)</f>
        <v>-40808.060000000027</v>
      </c>
      <c r="AB22" s="103">
        <f>-+('BS - CF Actuals'!AG46-'BS - CF Actuals'!AF46+'BS - CF Actuals'!AG54-'BS - CF Actuals'!AF54+'BS - CF Actuals'!AG58-'BS - CF Actuals'!AF58+'BS - CF Actuals'!AG50-'BS - CF Actuals'!AF50)</f>
        <v>-49742.209999999992</v>
      </c>
      <c r="AC22" s="103">
        <f>-+('BS - CF Actuals'!AH46-'BS - CF Actuals'!AG46+'BS - CF Actuals'!AH54-'BS - CF Actuals'!AG54+'BS - CF Actuals'!AH58-'BS - CF Actuals'!AG58+'BS - CF Actuals'!AH50-'BS - CF Actuals'!AG50)</f>
        <v>-80918.089999999938</v>
      </c>
      <c r="AD22" s="103">
        <f>IF('BS - CF Actuals'!AI4="actual",-('BS - CF Actuals'!AI46-'BS - CF Actuals'!AH46+'BS - CF Actuals'!AI54-'BS - CF Actuals'!AH54+'BS - CF Actuals'!AI58-'BS - CF Actuals'!AH58+'BS - CF Actuals'!AI50-'BS - CF Actuals'!AH50),-('BS - Monthly'!AE15-'BS - Monthly'!AD15)+('BS - Monthly'!AD16-'BS - Monthly'!AE16))</f>
        <v>-6067.0600000000559</v>
      </c>
      <c r="AE22" s="103">
        <f>IF('BS - CF Actuals'!AJ4="actual",-('BS - CF Actuals'!AJ46-'BS - CF Actuals'!AI46+'BS - CF Actuals'!AJ54-'BS - CF Actuals'!AI54+'BS - CF Actuals'!AJ58-'BS - CF Actuals'!AI58+'BS - CF Actuals'!AJ50-'BS - CF Actuals'!AI50),-('BS - Monthly'!AF15-'BS - Monthly'!AE15)+('BS - Monthly'!AE16-'BS - Monthly'!AF16))</f>
        <v>-5039.1999999999534</v>
      </c>
      <c r="AF22" s="103">
        <f>IF('BS - CF Actuals'!AK4="actual",-('BS - CF Actuals'!AK46-'BS - CF Actuals'!AJ46+'BS - CF Actuals'!AK54-'BS - CF Actuals'!AJ54+'BS - CF Actuals'!AK58-'BS - CF Actuals'!AJ58+'BS - CF Actuals'!AK50-'BS - CF Actuals'!AJ50),-('BS - Monthly'!AG15-'BS - Monthly'!AF15)+('BS - Monthly'!AF16-'BS - Monthly'!AG16))</f>
        <v>148987.92999999982</v>
      </c>
      <c r="AG22" s="103">
        <f>IF('BS - CF Actuals'!AL4="actual",-('BS - CF Actuals'!AL46-'BS - CF Actuals'!AK46+'BS - CF Actuals'!AL54-'BS - CF Actuals'!AK54+'BS - CF Actuals'!AL58-'BS - CF Actuals'!AK58+'BS - CF Actuals'!AL50-'BS - CF Actuals'!AK50),-('BS - Monthly'!AH15-'BS - Monthly'!AG15)+('BS - Monthly'!AG16-'BS - Monthly'!AH16))</f>
        <v>0</v>
      </c>
      <c r="AH22" s="103">
        <f>IF('BS - CF Actuals'!AM4="actual",-('BS - CF Actuals'!AM46-'BS - CF Actuals'!AL46+'BS - CF Actuals'!AM54-'BS - CF Actuals'!AL54+'BS - CF Actuals'!AM58-'BS - CF Actuals'!AL58+'BS - CF Actuals'!AM50-'BS - CF Actuals'!AL50),-('BS - Monthly'!AI15-'BS - Monthly'!AH15)+('BS - Monthly'!AH16-'BS - Monthly'!AI16))</f>
        <v>0</v>
      </c>
      <c r="AI22" s="103">
        <f>IF('BS - CF Actuals'!AN4="actual",-('BS - CF Actuals'!AN46-'BS - CF Actuals'!AM46+'BS - CF Actuals'!AN54-'BS - CF Actuals'!AM54+'BS - CF Actuals'!AN58-'BS - CF Actuals'!AM58+'BS - CF Actuals'!AN50-'BS - CF Actuals'!AM50),-('BS - Monthly'!AJ15-'BS - Monthly'!AI15)+('BS - Monthly'!AI16-'BS - Monthly'!AJ16))</f>
        <v>0</v>
      </c>
      <c r="AJ22" s="103">
        <f>IF('BS - CF Actuals'!AO4="actual",-('BS - CF Actuals'!AO46-'BS - CF Actuals'!AN46+'BS - CF Actuals'!AO54-'BS - CF Actuals'!AN54+'BS - CF Actuals'!AO58-'BS - CF Actuals'!AN58+'BS - CF Actuals'!AO50-'BS - CF Actuals'!AN50),-('BS - Monthly'!AK15-'BS - Monthly'!AJ15)+('BS - Monthly'!AJ16-'BS - Monthly'!AK16))</f>
        <v>0</v>
      </c>
      <c r="AK22" s="103">
        <f>IF('BS - CF Actuals'!AP4="actual",-('BS - CF Actuals'!AP46-'BS - CF Actuals'!AO46+'BS - CF Actuals'!AP54-'BS - CF Actuals'!AO54+'BS - CF Actuals'!AP58-'BS - CF Actuals'!AO58+'BS - CF Actuals'!AP50-'BS - CF Actuals'!AO50),-('BS - Monthly'!AL15-'BS - Monthly'!AK15)+('BS - Monthly'!AK16-'BS - Monthly'!AL16))</f>
        <v>0</v>
      </c>
      <c r="AL22" s="103">
        <f>IF('BS - CF Actuals'!AQ4="actual",-('BS - CF Actuals'!AQ46-'BS - CF Actuals'!AP46+'BS - CF Actuals'!AQ54-'BS - CF Actuals'!AP54+'BS - CF Actuals'!AQ58-'BS - CF Actuals'!AP58+'BS - CF Actuals'!AQ50-'BS - CF Actuals'!AP50),-('BS - Monthly'!AM15-'BS - Monthly'!AL15)+('BS - Monthly'!AL16-'BS - Monthly'!AM16))</f>
        <v>0</v>
      </c>
      <c r="AM22" s="103">
        <f>IF('BS - CF Actuals'!AR4="actual",-('BS - CF Actuals'!AR46-'BS - CF Actuals'!AQ46+'BS - CF Actuals'!AR54-'BS - CF Actuals'!AQ54+'BS - CF Actuals'!AR58-'BS - CF Actuals'!AQ58+'BS - CF Actuals'!AR50-'BS - CF Actuals'!AQ50),-('BS - Monthly'!AN15-'BS - Monthly'!AM15)+('BS - Monthly'!AM16-'BS - Monthly'!AN16))</f>
        <v>0</v>
      </c>
      <c r="AN22" s="103">
        <f>IF('BS - CF Actuals'!AS4="actual",-('BS - CF Actuals'!AS46-'BS - CF Actuals'!AR46+'BS - CF Actuals'!AS54-'BS - CF Actuals'!AR54+'BS - CF Actuals'!AS58-'BS - CF Actuals'!AR58+'BS - CF Actuals'!AS50-'BS - CF Actuals'!AR50),-('BS - Monthly'!AO15-'BS - Monthly'!AN15)+('BS - Monthly'!AN16-'BS - Monthly'!AO16))</f>
        <v>0</v>
      </c>
      <c r="AO22" s="103">
        <f>IF('BS - CF Actuals'!AT4="actual",-('BS - CF Actuals'!AT46-'BS - CF Actuals'!AS46+'BS - CF Actuals'!AT54-'BS - CF Actuals'!AS54+'BS - CF Actuals'!AT58-'BS - CF Actuals'!AS58+'BS - CF Actuals'!AT50-'BS - CF Actuals'!AS50),-('BS - Monthly'!AP15-'BS - Monthly'!AO15)+('BS - Monthly'!AO16-'BS - Monthly'!AP16))</f>
        <v>0</v>
      </c>
      <c r="AP22" s="103">
        <f>IF('BS - CF Actuals'!AU4="actual",-('BS - CF Actuals'!AU46-'BS - CF Actuals'!AT46+'BS - CF Actuals'!AU54-'BS - CF Actuals'!AT54+'BS - CF Actuals'!AU58-'BS - CF Actuals'!AT58+'BS - CF Actuals'!AU50-'BS - CF Actuals'!AT50),-('BS - Monthly'!AQ15-'BS - Monthly'!AP15)+('BS - Monthly'!AP16-'BS - Monthly'!AQ16))</f>
        <v>0</v>
      </c>
      <c r="AQ22" s="103">
        <f>IF('BS - CF Actuals'!AV4="actual",-('BS - CF Actuals'!AV46-'BS - CF Actuals'!AU46+'BS - CF Actuals'!AV54-'BS - CF Actuals'!AU54+'BS - CF Actuals'!AV58-'BS - CF Actuals'!AU58+'BS - CF Actuals'!AV50-'BS - CF Actuals'!AU50),-('BS - Monthly'!AR15-'BS - Monthly'!AQ15)+('BS - Monthly'!AQ16-'BS - Monthly'!AR16))</f>
        <v>0</v>
      </c>
      <c r="AR22" s="103">
        <f>IF('BS - CF Actuals'!AW4="actual",-('BS - CF Actuals'!AW46-'BS - CF Actuals'!AV46+'BS - CF Actuals'!AW54-'BS - CF Actuals'!AV54+'BS - CF Actuals'!AW58-'BS - CF Actuals'!AV58+'BS - CF Actuals'!AW50-'BS - CF Actuals'!AV50),-('BS - Monthly'!AS15-'BS - Monthly'!AR15)+('BS - Monthly'!AR16-'BS - Monthly'!AS16))</f>
        <v>0</v>
      </c>
      <c r="AS22" s="103">
        <f>IF('BS - CF Actuals'!AX4="actual",-('BS - CF Actuals'!AX46-'BS - CF Actuals'!AW46+'BS - CF Actuals'!AX54-'BS - CF Actuals'!AW54+'BS - CF Actuals'!AX58-'BS - CF Actuals'!AW58+'BS - CF Actuals'!AX50-'BS - CF Actuals'!AW50),-('BS - Monthly'!AT15-'BS - Monthly'!AS15)+('BS - Monthly'!AS16-'BS - Monthly'!AT16))</f>
        <v>0</v>
      </c>
      <c r="AT22" s="103">
        <f>IF('BS - CF Actuals'!AY4="actual",-('BS - CF Actuals'!AY46-'BS - CF Actuals'!AX46+'BS - CF Actuals'!AY54-'BS - CF Actuals'!AX54+'BS - CF Actuals'!AY58-'BS - CF Actuals'!AX58+'BS - CF Actuals'!AY50-'BS - CF Actuals'!AX50),-('BS - Monthly'!AU15-'BS - Monthly'!AT15)+('BS - Monthly'!AT16-'BS - Monthly'!AU16))</f>
        <v>0</v>
      </c>
      <c r="AU22" s="103">
        <f>IF('BS - CF Actuals'!AZ4="actual",-('BS - CF Actuals'!AZ46-'BS - CF Actuals'!AY46+'BS - CF Actuals'!AZ54-'BS - CF Actuals'!AY54+'BS - CF Actuals'!AZ58-'BS - CF Actuals'!AY58+'BS - CF Actuals'!AZ50-'BS - CF Actuals'!AY50),-('BS - Monthly'!AV15-'BS - Monthly'!AU15)+('BS - Monthly'!AU16-'BS - Monthly'!AV16))</f>
        <v>0</v>
      </c>
      <c r="AV22" s="103">
        <f>IF('BS - CF Actuals'!BA4="actual",-('BS - CF Actuals'!BA46-'BS - CF Actuals'!AZ46+'BS - CF Actuals'!BA54-'BS - CF Actuals'!AZ54+'BS - CF Actuals'!BA58-'BS - CF Actuals'!AZ58+'BS - CF Actuals'!BA50-'BS - CF Actuals'!AZ50),-('BS - Monthly'!AW15-'BS - Monthly'!AV15)+('BS - Monthly'!AV16-'BS - Monthly'!AW16))</f>
        <v>0</v>
      </c>
      <c r="AW22" s="103">
        <f>IF('BS - CF Actuals'!BB4="actual",-('BS - CF Actuals'!BB46-'BS - CF Actuals'!BA46+'BS - CF Actuals'!BB54-'BS - CF Actuals'!BA54+'BS - CF Actuals'!BB58-'BS - CF Actuals'!BA58+'BS - CF Actuals'!BB50-'BS - CF Actuals'!BA50),-('BS - Monthly'!AX15-'BS - Monthly'!AW15)+('BS - Monthly'!AW16-'BS - Monthly'!AX16))</f>
        <v>0</v>
      </c>
      <c r="AX22" s="103">
        <f>IF('BS - CF Actuals'!BC4="actual",-('BS - CF Actuals'!BC46-'BS - CF Actuals'!BB46+'BS - CF Actuals'!BC54-'BS - CF Actuals'!BB54+'BS - CF Actuals'!BC58-'BS - CF Actuals'!BB58+'BS - CF Actuals'!BC50-'BS - CF Actuals'!BB50),-('BS - Monthly'!AY15-'BS - Monthly'!AX15)+('BS - Monthly'!AX16-'BS - Monthly'!AY16))</f>
        <v>0</v>
      </c>
      <c r="AY22" s="103">
        <f>IF('BS - CF Actuals'!BD4="actual",-('BS - CF Actuals'!BD46-'BS - CF Actuals'!BC46+'BS - CF Actuals'!BD54-'BS - CF Actuals'!BC54+'BS - CF Actuals'!BD58-'BS - CF Actuals'!BC58+'BS - CF Actuals'!BD50-'BS - CF Actuals'!BC50),-('BS - Monthly'!AZ15-'BS - Monthly'!AY15)+('BS - Monthly'!AY16-'BS - Monthly'!AZ16))</f>
        <v>0</v>
      </c>
      <c r="AZ22" s="103">
        <f>IF('BS - CF Actuals'!BE4="actual",-('BS - CF Actuals'!BE46-'BS - CF Actuals'!BD46+'BS - CF Actuals'!BE54-'BS - CF Actuals'!BD54+'BS - CF Actuals'!BE58-'BS - CF Actuals'!BD58+'BS - CF Actuals'!BE50-'BS - CF Actuals'!BD50),-('BS - Monthly'!BA15-'BS - Monthly'!AZ15)+('BS - Monthly'!AZ16-'BS - Monthly'!BA16))</f>
        <v>0</v>
      </c>
      <c r="BA22" s="103">
        <f>IF('BS - CF Actuals'!BF4="actual",-('BS - CF Actuals'!BF46-'BS - CF Actuals'!BE46+'BS - CF Actuals'!BF54-'BS - CF Actuals'!BE54+'BS - CF Actuals'!BF58-'BS - CF Actuals'!BE58+'BS - CF Actuals'!BF50-'BS - CF Actuals'!BE50),-('BS - Monthly'!BB15-'BS - Monthly'!BA15)+('BS - Monthly'!BA16-'BS - Monthly'!BB16))</f>
        <v>0</v>
      </c>
      <c r="BB22" s="103">
        <f>IF('BS - CF Actuals'!BG4="actual",-('BS - CF Actuals'!BG46-'BS - CF Actuals'!BF46+'BS - CF Actuals'!BG54-'BS - CF Actuals'!BF54+'BS - CF Actuals'!BG58-'BS - CF Actuals'!BF58+'BS - CF Actuals'!BG50-'BS - CF Actuals'!BF50),-('BS - Monthly'!BC15-'BS - Monthly'!BB15)+('BS - Monthly'!BB16-'BS - Monthly'!BC16))</f>
        <v>0</v>
      </c>
      <c r="BC22" s="103">
        <f>IF('BS - CF Actuals'!BH4="actual",-('BS - CF Actuals'!BH46-'BS - CF Actuals'!BG46+'BS - CF Actuals'!BH54-'BS - CF Actuals'!BG54+'BS - CF Actuals'!BH58-'BS - CF Actuals'!BG58+'BS - CF Actuals'!BH50-'BS - CF Actuals'!BG50),-('BS - Monthly'!BD15-'BS - Monthly'!BC15)+('BS - Monthly'!BC16-'BS - Monthly'!BD16))</f>
        <v>0</v>
      </c>
      <c r="BD22" s="103">
        <f>IF('BS - CF Actuals'!BI4="actual",-('BS - CF Actuals'!BI46-'BS - CF Actuals'!BH46+'BS - CF Actuals'!BI54-'BS - CF Actuals'!BH54+'BS - CF Actuals'!BI58-'BS - CF Actuals'!BH58+'BS - CF Actuals'!BI50-'BS - CF Actuals'!BH50),-('BS - Monthly'!BE15-'BS - Monthly'!BD15)+('BS - Monthly'!BD16-'BS - Monthly'!BE16))</f>
        <v>0</v>
      </c>
      <c r="BE22" s="103">
        <f>IF('BS - CF Actuals'!BJ4="actual",-('BS - CF Actuals'!BJ46-'BS - CF Actuals'!BI46+'BS - CF Actuals'!BJ54-'BS - CF Actuals'!BI54+'BS - CF Actuals'!BJ58-'BS - CF Actuals'!BI58+'BS - CF Actuals'!BJ50-'BS - CF Actuals'!BI50),-('BS - Monthly'!BF15-'BS - Monthly'!BE15)+('BS - Monthly'!BE16-'BS - Monthly'!BF16))</f>
        <v>0</v>
      </c>
      <c r="BF22" s="103">
        <f>IF('BS - CF Actuals'!BK4="actual",-('BS - CF Actuals'!BK46-'BS - CF Actuals'!BJ46+'BS - CF Actuals'!BK54-'BS - CF Actuals'!BJ54+'BS - CF Actuals'!BK58-'BS - CF Actuals'!BJ58+'BS - CF Actuals'!BK50-'BS - CF Actuals'!BJ50),-('BS - Monthly'!BG15-'BS - Monthly'!BF15)+('BS - Monthly'!BF16-'BS - Monthly'!BG16))</f>
        <v>0</v>
      </c>
      <c r="BG22" s="103">
        <f>IF('BS - CF Actuals'!BL4="actual",-('BS - CF Actuals'!BL46-'BS - CF Actuals'!BK46+'BS - CF Actuals'!BL54-'BS - CF Actuals'!BK54+'BS - CF Actuals'!BL58-'BS - CF Actuals'!BK58+'BS - CF Actuals'!BL50-'BS - CF Actuals'!BK50),-('BS - Monthly'!BH15-'BS - Monthly'!BG15)+('BS - Monthly'!BG16-'BS - Monthly'!BH16))</f>
        <v>0</v>
      </c>
      <c r="BH22" s="103">
        <f>IF('BS - CF Actuals'!BM4="actual",-('BS - CF Actuals'!BM46-'BS - CF Actuals'!BL46+'BS - CF Actuals'!BM54-'BS - CF Actuals'!BL54+'BS - CF Actuals'!BM58-'BS - CF Actuals'!BL58+'BS - CF Actuals'!BM50-'BS - CF Actuals'!BL50),-('BS - Monthly'!BI15-'BS - Monthly'!BH15)+('BS - Monthly'!BH16-'BS - Monthly'!BI16))</f>
        <v>0</v>
      </c>
      <c r="BI22" s="103">
        <f>IF('BS - CF Actuals'!BN4="actual",-('BS - CF Actuals'!BN46-'BS - CF Actuals'!BM46+'BS - CF Actuals'!BN54-'BS - CF Actuals'!BM54+'BS - CF Actuals'!BN58-'BS - CF Actuals'!BM58+'BS - CF Actuals'!BN50-'BS - CF Actuals'!BM50),-('BS - Monthly'!BJ15-'BS - Monthly'!BI15)+('BS - Monthly'!BI16-'BS - Monthly'!BJ16))</f>
        <v>0</v>
      </c>
      <c r="BJ22" s="103">
        <f>IF('BS - CF Actuals'!BO4="actual",-('BS - CF Actuals'!BO46-'BS - CF Actuals'!BN46+'BS - CF Actuals'!BO54-'BS - CF Actuals'!BN54+'BS - CF Actuals'!BO58-'BS - CF Actuals'!BN58+'BS - CF Actuals'!BO50-'BS - CF Actuals'!BN50),-('BS - Monthly'!BK15-'BS - Monthly'!BJ15)+('BS - Monthly'!BJ16-'BS - Monthly'!BK16))</f>
        <v>0</v>
      </c>
      <c r="BK22" s="103">
        <f>IF('BS - CF Actuals'!BP4="actual",-('BS - CF Actuals'!BP46-'BS - CF Actuals'!BO46+'BS - CF Actuals'!BP54-'BS - CF Actuals'!BO54+'BS - CF Actuals'!BP58-'BS - CF Actuals'!BO58+'BS - CF Actuals'!BP50-'BS - CF Actuals'!BO50),-('BS - Monthly'!BL15-'BS - Monthly'!BK15)+('BS - Monthly'!BK16-'BS - Monthly'!BL16))</f>
        <v>0</v>
      </c>
      <c r="BL22" s="103">
        <f>IF('BS - CF Actuals'!BQ4="actual",-('BS - CF Actuals'!BQ46-'BS - CF Actuals'!BP46+'BS - CF Actuals'!BQ54-'BS - CF Actuals'!BP54+'BS - CF Actuals'!BQ58-'BS - CF Actuals'!BP58+'BS - CF Actuals'!BQ50-'BS - CF Actuals'!BP50),-('BS - Monthly'!BM15-'BS - Monthly'!BL15)+('BS - Monthly'!BL16-'BS - Monthly'!BM16))</f>
        <v>0</v>
      </c>
      <c r="BM22" s="103">
        <f>IF('BS - CF Actuals'!BR4="actual",-('BS - CF Actuals'!BR46-'BS - CF Actuals'!BQ46+'BS - CF Actuals'!BR54-'BS - CF Actuals'!BQ54+'BS - CF Actuals'!BR58-'BS - CF Actuals'!BQ58+'BS - CF Actuals'!BR50-'BS - CF Actuals'!BQ50),-('BS - Monthly'!BN15-'BS - Monthly'!BM15)+('BS - Monthly'!BM16-'BS - Monthly'!BN16))</f>
        <v>0</v>
      </c>
      <c r="BN22" s="103">
        <f>IF('BS - CF Actuals'!BS4="actual",-('BS - CF Actuals'!BS46-'BS - CF Actuals'!BR46+'BS - CF Actuals'!BS54-'BS - CF Actuals'!BR54+'BS - CF Actuals'!BS58-'BS - CF Actuals'!BR58+'BS - CF Actuals'!BS50-'BS - CF Actuals'!BR50),-('BS - Monthly'!BO15-'BS - Monthly'!BN15)+('BS - Monthly'!BN16-'BS - Monthly'!BO16))</f>
        <v>0</v>
      </c>
      <c r="BO22" s="103">
        <f>IF('BS - CF Actuals'!BT4="actual",-('BS - CF Actuals'!BT46-'BS - CF Actuals'!BS46+'BS - CF Actuals'!BT54-'BS - CF Actuals'!BS54+'BS - CF Actuals'!BT58-'BS - CF Actuals'!BS58+'BS - CF Actuals'!BT50-'BS - CF Actuals'!BS50),-('BS - Monthly'!BP15-'BS - Monthly'!BO15)+('BS - Monthly'!BO16-'BS - Monthly'!BP16))</f>
        <v>0</v>
      </c>
      <c r="BP22" s="103">
        <f>IF('BS - CF Actuals'!BU4="actual",-('BS - CF Actuals'!BU46-'BS - CF Actuals'!BT46+'BS - CF Actuals'!BU54-'BS - CF Actuals'!BT54+'BS - CF Actuals'!BU58-'BS - CF Actuals'!BT58+'BS - CF Actuals'!BU50-'BS - CF Actuals'!BT50),-('BS - Monthly'!BQ15-'BS - Monthly'!BP15)+('BS - Monthly'!BP16-'BS - Monthly'!BQ16))</f>
        <v>0</v>
      </c>
      <c r="BQ22" s="103">
        <f>IF('BS - CF Actuals'!BV4="actual",-('BS - CF Actuals'!BV46-'BS - CF Actuals'!BU46+'BS - CF Actuals'!BV54-'BS - CF Actuals'!BU54+'BS - CF Actuals'!BV58-'BS - CF Actuals'!BU58+'BS - CF Actuals'!BV50-'BS - CF Actuals'!BU50),-('BS - Monthly'!BR15-'BS - Monthly'!BQ15)+('BS - Monthly'!BQ16-'BS - Monthly'!BR16))</f>
        <v>0</v>
      </c>
      <c r="BR22" s="103">
        <f>IF('BS - CF Actuals'!BW4="actual",-('BS - CF Actuals'!BW46-'BS - CF Actuals'!BV46+'BS - CF Actuals'!BW54-'BS - CF Actuals'!BV54+'BS - CF Actuals'!BW58-'BS - CF Actuals'!BV58+'BS - CF Actuals'!BW50-'BS - CF Actuals'!BV50),-('BS - Monthly'!BS15-'BS - Monthly'!BR15)+('BS - Monthly'!BR16-'BS - Monthly'!BS16))</f>
        <v>0</v>
      </c>
      <c r="BS22" s="103">
        <f>IF('BS - CF Actuals'!BX4="actual",-('BS - CF Actuals'!BX46-'BS - CF Actuals'!BW46+'BS - CF Actuals'!BX54-'BS - CF Actuals'!BW54+'BS - CF Actuals'!BX58-'BS - CF Actuals'!BW58+'BS - CF Actuals'!BX50-'BS - CF Actuals'!BW50),-('BS - Monthly'!BT15-'BS - Monthly'!BS15)+('BS - Monthly'!BS16-'BS - Monthly'!BT16))</f>
        <v>0</v>
      </c>
      <c r="BT22" s="103">
        <f>IF('BS - CF Actuals'!BY4="actual",-('BS - CF Actuals'!BY46-'BS - CF Actuals'!BX46+'BS - CF Actuals'!BY54-'BS - CF Actuals'!BX54+'BS - CF Actuals'!BY58-'BS - CF Actuals'!BX58+'BS - CF Actuals'!BY50-'BS - CF Actuals'!BX50),-('BS - Monthly'!BU15-'BS - Monthly'!BT15)+('BS - Monthly'!BT16-'BS - Monthly'!BU16))</f>
        <v>0</v>
      </c>
      <c r="BU22" s="103">
        <f>IF('BS - CF Actuals'!BZ4="actual",-('BS - CF Actuals'!BZ46-'BS - CF Actuals'!BY46+'BS - CF Actuals'!BZ54-'BS - CF Actuals'!BY54+'BS - CF Actuals'!BZ58-'BS - CF Actuals'!BY58+'BS - CF Actuals'!BZ50-'BS - CF Actuals'!BY50),-('BS - Monthly'!BV15-'BS - Monthly'!BU15)+('BS - Monthly'!BU16-'BS - Monthly'!BV16))</f>
        <v>0</v>
      </c>
      <c r="BV22" s="103">
        <f>IF('BS - CF Actuals'!CA4="actual",-('BS - CF Actuals'!CA46-'BS - CF Actuals'!BZ46+'BS - CF Actuals'!CA54-'BS - CF Actuals'!BZ54+'BS - CF Actuals'!CA58-'BS - CF Actuals'!BZ58+'BS - CF Actuals'!CA50-'BS - CF Actuals'!BZ50),-('BS - Monthly'!BW15-'BS - Monthly'!BV15)+('BS - Monthly'!BV16-'BS - Monthly'!BW16))</f>
        <v>0</v>
      </c>
    </row>
    <row r="23" spans="1:74" outlineLevel="2" x14ac:dyDescent="0.2">
      <c r="A23" s="26" t="s">
        <v>125</v>
      </c>
      <c r="E23" s="103">
        <v>0</v>
      </c>
      <c r="F23" s="103"/>
      <c r="G23" s="103"/>
      <c r="H23" s="103"/>
      <c r="I23" s="103"/>
      <c r="J23" s="103"/>
      <c r="K23" s="103"/>
      <c r="L23" s="103"/>
      <c r="M23" s="103">
        <v>0</v>
      </c>
      <c r="N23" s="103"/>
      <c r="O23" s="103"/>
      <c r="P23" s="103">
        <v>-21320971</v>
      </c>
      <c r="Q23" s="103">
        <f>'BS - Monthly'!Q22-'BS - Monthly'!R22-'Cost Summary'!O44</f>
        <v>0</v>
      </c>
      <c r="R23" s="103">
        <f>'BS - Monthly'!R22-'BS - Monthly'!S22-'Cost Summary'!P44</f>
        <v>0</v>
      </c>
      <c r="S23" s="103"/>
      <c r="T23" s="103">
        <f>'BS - Monthly'!T22-'BS - Monthly'!U22-'Cost Summary'!R44</f>
        <v>0</v>
      </c>
      <c r="U23" s="103">
        <f>'BS - Monthly'!U22-'BS - Monthly'!V22-'Cost Summary'!S44</f>
        <v>0</v>
      </c>
      <c r="V23" s="103"/>
      <c r="W23" s="103"/>
      <c r="X23" s="103"/>
      <c r="Y23" s="103"/>
      <c r="Z23" s="103">
        <v>0</v>
      </c>
      <c r="AA23" s="103">
        <v>0</v>
      </c>
      <c r="AB23" s="103">
        <v>0</v>
      </c>
      <c r="AC23" s="103">
        <v>0</v>
      </c>
      <c r="AD23" s="103">
        <f>('BS - CF Actuals'!AH64-'BS - CF Actuals'!AI64)</f>
        <v>-3595.5100000000093</v>
      </c>
      <c r="AE23" s="103">
        <f>('BS - CF Actuals'!AI64-'BS - CF Actuals'!AJ64)</f>
        <v>3595.5100000000093</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0</v>
      </c>
      <c r="AY23" s="103">
        <v>0</v>
      </c>
      <c r="AZ23" s="103">
        <v>0</v>
      </c>
      <c r="BA23" s="103">
        <v>0</v>
      </c>
      <c r="BB23" s="103">
        <v>0</v>
      </c>
      <c r="BC23" s="103">
        <v>0</v>
      </c>
      <c r="BD23" s="103">
        <v>0</v>
      </c>
      <c r="BE23" s="103">
        <v>0</v>
      </c>
      <c r="BF23" s="103">
        <v>0</v>
      </c>
      <c r="BG23" s="103">
        <v>0</v>
      </c>
      <c r="BH23" s="103">
        <v>0</v>
      </c>
      <c r="BI23" s="103">
        <v>0</v>
      </c>
      <c r="BJ23" s="103">
        <v>0</v>
      </c>
      <c r="BK23" s="103">
        <v>0</v>
      </c>
      <c r="BL23" s="103">
        <v>0</v>
      </c>
      <c r="BM23" s="103">
        <v>0</v>
      </c>
      <c r="BN23" s="103">
        <v>0</v>
      </c>
      <c r="BO23" s="103">
        <v>0</v>
      </c>
      <c r="BP23" s="103">
        <v>0</v>
      </c>
      <c r="BQ23" s="103">
        <v>0</v>
      </c>
      <c r="BR23" s="103">
        <v>0</v>
      </c>
      <c r="BS23" s="103">
        <v>0</v>
      </c>
      <c r="BT23" s="103">
        <v>0</v>
      </c>
      <c r="BU23" s="103">
        <v>0</v>
      </c>
      <c r="BV23" s="103">
        <v>0</v>
      </c>
    </row>
    <row r="24" spans="1:74" outlineLevel="2" x14ac:dyDescent="0.2">
      <c r="A24" s="26" t="s">
        <v>107</v>
      </c>
      <c r="E24" s="103">
        <v>0</v>
      </c>
      <c r="F24" s="103">
        <v>0</v>
      </c>
      <c r="G24" s="103">
        <v>0</v>
      </c>
      <c r="H24" s="103">
        <v>0</v>
      </c>
      <c r="I24" s="103">
        <v>0</v>
      </c>
      <c r="J24" s="103">
        <v>0</v>
      </c>
      <c r="K24" s="103"/>
      <c r="L24" s="24">
        <v>0</v>
      </c>
      <c r="M24" s="103"/>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0</v>
      </c>
      <c r="AY24" s="103">
        <v>0</v>
      </c>
      <c r="AZ24" s="103">
        <v>0</v>
      </c>
      <c r="BA24" s="103">
        <v>0</v>
      </c>
      <c r="BB24" s="103">
        <v>0</v>
      </c>
      <c r="BC24" s="103">
        <v>0</v>
      </c>
      <c r="BD24" s="103">
        <v>0</v>
      </c>
      <c r="BE24" s="103">
        <v>0</v>
      </c>
      <c r="BF24" s="103">
        <v>0</v>
      </c>
      <c r="BG24" s="103">
        <v>0</v>
      </c>
      <c r="BH24" s="103">
        <v>0</v>
      </c>
      <c r="BI24" s="103">
        <v>0</v>
      </c>
      <c r="BJ24" s="103">
        <v>0</v>
      </c>
      <c r="BK24" s="103">
        <v>0</v>
      </c>
      <c r="BL24" s="103">
        <v>0</v>
      </c>
      <c r="BM24" s="103">
        <v>0</v>
      </c>
      <c r="BN24" s="103">
        <v>0</v>
      </c>
      <c r="BO24" s="103">
        <v>0</v>
      </c>
      <c r="BP24" s="103">
        <v>0</v>
      </c>
      <c r="BQ24" s="103">
        <v>0</v>
      </c>
      <c r="BR24" s="103">
        <v>0</v>
      </c>
      <c r="BS24" s="103">
        <v>0</v>
      </c>
      <c r="BT24" s="103">
        <v>0</v>
      </c>
      <c r="BU24" s="103">
        <v>0</v>
      </c>
      <c r="BV24" s="103">
        <v>0</v>
      </c>
    </row>
    <row r="25" spans="1:74" outlineLevel="1" x14ac:dyDescent="0.2">
      <c r="A25" s="23" t="s">
        <v>176</v>
      </c>
      <c r="E25" s="112">
        <f t="shared" ref="E25:M25" si="6">SUM(E22:E24)</f>
        <v>-4371.3800000000047</v>
      </c>
      <c r="F25" s="112">
        <f t="shared" si="6"/>
        <v>-7110.9799999999814</v>
      </c>
      <c r="G25" s="112">
        <f t="shared" si="6"/>
        <v>-19976.530000000028</v>
      </c>
      <c r="H25" s="112">
        <f t="shared" si="6"/>
        <v>-38589.060000000056</v>
      </c>
      <c r="I25" s="112">
        <f t="shared" si="6"/>
        <v>-1219</v>
      </c>
      <c r="J25" s="112">
        <f t="shared" si="6"/>
        <v>-9289.4599999999627</v>
      </c>
      <c r="K25" s="112">
        <f t="shared" si="6"/>
        <v>-23434.209999999963</v>
      </c>
      <c r="L25" s="112">
        <f t="shared" si="6"/>
        <v>-12896.27999999997</v>
      </c>
      <c r="M25" s="112">
        <f t="shared" si="6"/>
        <v>-11636.270000000019</v>
      </c>
      <c r="N25" s="112">
        <f>SUM(N22:N24)</f>
        <v>-54478.239999999991</v>
      </c>
      <c r="O25" s="112">
        <f>SUM(O22:O24)</f>
        <v>-7175.7600000000093</v>
      </c>
      <c r="P25" s="112">
        <f>SUM(P22:P24)</f>
        <v>-21336385</v>
      </c>
      <c r="Q25" s="112">
        <f t="shared" ref="Q25:W25" si="7">SUM(Q22:Q24)</f>
        <v>-31623.199999999953</v>
      </c>
      <c r="R25" s="112">
        <f t="shared" si="7"/>
        <v>-57212.460000000065</v>
      </c>
      <c r="S25" s="112">
        <f t="shared" si="7"/>
        <v>-32077.589999999967</v>
      </c>
      <c r="T25" s="112">
        <f t="shared" si="7"/>
        <v>-34983.280000000028</v>
      </c>
      <c r="U25" s="112">
        <f t="shared" si="7"/>
        <v>-12172.629999999946</v>
      </c>
      <c r="V25" s="112">
        <f t="shared" si="7"/>
        <v>-13286.23000000004</v>
      </c>
      <c r="W25" s="112">
        <f t="shared" si="7"/>
        <v>-3648.6800000000003</v>
      </c>
      <c r="X25" s="112">
        <f t="shared" ref="X25" si="8">SUM(X22:X24)</f>
        <v>-25992.910000000033</v>
      </c>
      <c r="Y25" s="112">
        <f t="shared" ref="Y25:AN25" si="9">SUM(Y22:Y24)</f>
        <v>-13857.74000000002</v>
      </c>
      <c r="Z25" s="112">
        <f t="shared" si="9"/>
        <v>-96276.759999999907</v>
      </c>
      <c r="AA25" s="112">
        <f t="shared" si="9"/>
        <v>-40808.060000000027</v>
      </c>
      <c r="AB25" s="112">
        <f t="shared" si="9"/>
        <v>-49742.209999999992</v>
      </c>
      <c r="AC25" s="112">
        <f t="shared" si="9"/>
        <v>-80918.089999999938</v>
      </c>
      <c r="AD25" s="112">
        <f t="shared" si="9"/>
        <v>-9662.5700000000652</v>
      </c>
      <c r="AE25" s="112">
        <f t="shared" si="9"/>
        <v>-1443.6899999999441</v>
      </c>
      <c r="AF25" s="112">
        <f t="shared" si="9"/>
        <v>148987.92999999982</v>
      </c>
      <c r="AG25" s="112">
        <f t="shared" si="9"/>
        <v>0</v>
      </c>
      <c r="AH25" s="112">
        <f t="shared" si="9"/>
        <v>0</v>
      </c>
      <c r="AI25" s="112">
        <f t="shared" si="9"/>
        <v>0</v>
      </c>
      <c r="AJ25" s="112">
        <f t="shared" si="9"/>
        <v>0</v>
      </c>
      <c r="AK25" s="112">
        <f t="shared" si="9"/>
        <v>0</v>
      </c>
      <c r="AL25" s="112">
        <f t="shared" si="9"/>
        <v>0</v>
      </c>
      <c r="AM25" s="112">
        <f t="shared" si="9"/>
        <v>0</v>
      </c>
      <c r="AN25" s="112">
        <f t="shared" si="9"/>
        <v>0</v>
      </c>
      <c r="AO25" s="112">
        <f t="shared" ref="AO25:AZ25" si="10">SUM(AO22:AO24)</f>
        <v>0</v>
      </c>
      <c r="AP25" s="112">
        <f t="shared" si="10"/>
        <v>0</v>
      </c>
      <c r="AQ25" s="112">
        <f t="shared" si="10"/>
        <v>0</v>
      </c>
      <c r="AR25" s="112">
        <f t="shared" si="10"/>
        <v>0</v>
      </c>
      <c r="AS25" s="112">
        <f t="shared" si="10"/>
        <v>0</v>
      </c>
      <c r="AT25" s="112">
        <f t="shared" si="10"/>
        <v>0</v>
      </c>
      <c r="AU25" s="112">
        <f t="shared" si="10"/>
        <v>0</v>
      </c>
      <c r="AV25" s="112">
        <f t="shared" si="10"/>
        <v>0</v>
      </c>
      <c r="AW25" s="112">
        <f t="shared" si="10"/>
        <v>0</v>
      </c>
      <c r="AX25" s="112">
        <f t="shared" si="10"/>
        <v>0</v>
      </c>
      <c r="AY25" s="112">
        <f t="shared" si="10"/>
        <v>0</v>
      </c>
      <c r="AZ25" s="112">
        <f t="shared" si="10"/>
        <v>0</v>
      </c>
      <c r="BA25" s="112">
        <f t="shared" ref="BA25:BL25" si="11">SUM(BA22:BA24)</f>
        <v>0</v>
      </c>
      <c r="BB25" s="112">
        <f t="shared" si="11"/>
        <v>0</v>
      </c>
      <c r="BC25" s="112">
        <f t="shared" si="11"/>
        <v>0</v>
      </c>
      <c r="BD25" s="112">
        <f t="shared" si="11"/>
        <v>0</v>
      </c>
      <c r="BE25" s="112">
        <f t="shared" si="11"/>
        <v>0</v>
      </c>
      <c r="BF25" s="112">
        <f t="shared" si="11"/>
        <v>0</v>
      </c>
      <c r="BG25" s="112">
        <f t="shared" si="11"/>
        <v>0</v>
      </c>
      <c r="BH25" s="112">
        <f t="shared" si="11"/>
        <v>0</v>
      </c>
      <c r="BI25" s="112">
        <f t="shared" si="11"/>
        <v>0</v>
      </c>
      <c r="BJ25" s="112">
        <f t="shared" si="11"/>
        <v>0</v>
      </c>
      <c r="BK25" s="112">
        <f t="shared" si="11"/>
        <v>0</v>
      </c>
      <c r="BL25" s="112">
        <f t="shared" si="11"/>
        <v>0</v>
      </c>
      <c r="BM25" s="112">
        <f t="shared" ref="BM25:BS25" si="12">SUM(BM22:BM24)</f>
        <v>0</v>
      </c>
      <c r="BN25" s="112">
        <f t="shared" si="12"/>
        <v>0</v>
      </c>
      <c r="BO25" s="112">
        <f t="shared" si="12"/>
        <v>0</v>
      </c>
      <c r="BP25" s="112">
        <f t="shared" si="12"/>
        <v>0</v>
      </c>
      <c r="BQ25" s="112">
        <f t="shared" si="12"/>
        <v>0</v>
      </c>
      <c r="BR25" s="112">
        <f t="shared" si="12"/>
        <v>0</v>
      </c>
      <c r="BS25" s="112">
        <f t="shared" si="12"/>
        <v>0</v>
      </c>
      <c r="BT25" s="112">
        <f t="shared" ref="BT25:BV25" si="13">SUM(BT22:BT24)</f>
        <v>0</v>
      </c>
      <c r="BU25" s="112">
        <f t="shared" si="13"/>
        <v>0</v>
      </c>
      <c r="BV25" s="112">
        <f t="shared" si="13"/>
        <v>0</v>
      </c>
    </row>
    <row r="26" spans="1:74" ht="6" customHeight="1" outlineLevel="2" x14ac:dyDescent="0.2">
      <c r="B26" s="118"/>
      <c r="E26" s="106"/>
      <c r="F26" s="106"/>
      <c r="G26" s="106"/>
      <c r="H26" s="106"/>
      <c r="I26" s="106"/>
      <c r="J26" s="106"/>
      <c r="K26" s="106"/>
      <c r="L26" s="197"/>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106"/>
      <c r="BI26" s="106"/>
      <c r="BJ26" s="106"/>
      <c r="BK26" s="106"/>
      <c r="BL26" s="106"/>
      <c r="BM26" s="106"/>
      <c r="BN26" s="106"/>
      <c r="BO26" s="106"/>
      <c r="BP26" s="106"/>
      <c r="BQ26" s="106"/>
      <c r="BR26" s="106"/>
      <c r="BS26" s="106"/>
      <c r="BT26" s="106"/>
      <c r="BU26" s="106"/>
      <c r="BV26" s="106"/>
    </row>
    <row r="27" spans="1:74" outlineLevel="1" x14ac:dyDescent="0.2">
      <c r="A27" s="100" t="s">
        <v>126</v>
      </c>
      <c r="E27" s="103"/>
      <c r="F27" s="103"/>
      <c r="G27" s="103"/>
      <c r="H27" s="103"/>
      <c r="I27" s="103"/>
      <c r="J27" s="103"/>
      <c r="K27" s="103"/>
      <c r="L27" s="24"/>
      <c r="M27" s="103"/>
      <c r="N27" s="103"/>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row>
    <row r="28" spans="1:74" outlineLevel="1" x14ac:dyDescent="0.2">
      <c r="A28" s="26" t="s">
        <v>127</v>
      </c>
      <c r="E28" s="103"/>
      <c r="F28" s="103"/>
      <c r="G28" s="103"/>
      <c r="H28" s="103"/>
      <c r="I28" s="103"/>
      <c r="J28" s="103"/>
      <c r="K28" s="103"/>
      <c r="L28" s="24"/>
      <c r="M28" s="103"/>
      <c r="N28" s="103"/>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c r="BF28" s="103"/>
      <c r="BG28" s="103"/>
      <c r="BH28" s="103"/>
      <c r="BI28" s="103"/>
      <c r="BJ28" s="103"/>
      <c r="BK28" s="103"/>
      <c r="BL28" s="103"/>
      <c r="BM28" s="103"/>
      <c r="BN28" s="103"/>
      <c r="BO28" s="103"/>
      <c r="BP28" s="103"/>
      <c r="BQ28" s="103"/>
      <c r="BR28" s="103"/>
      <c r="BS28" s="103"/>
      <c r="BT28" s="103"/>
      <c r="BU28" s="103"/>
      <c r="BV28" s="103"/>
    </row>
    <row r="29" spans="1:74" outlineLevel="2" x14ac:dyDescent="0.2">
      <c r="B29" s="27" t="s">
        <v>377</v>
      </c>
      <c r="E29" s="103">
        <v>0</v>
      </c>
      <c r="F29" s="103">
        <v>-537634</v>
      </c>
      <c r="G29" s="103">
        <v>-250000</v>
      </c>
      <c r="H29" s="103">
        <v>-537634</v>
      </c>
      <c r="I29" s="103">
        <v>-200000.00000000047</v>
      </c>
      <c r="J29" s="103">
        <v>-300000</v>
      </c>
      <c r="K29" s="103">
        <v>-200000.00000000047</v>
      </c>
      <c r="L29" s="24">
        <v>0</v>
      </c>
      <c r="M29" s="103">
        <v>-799999.99999999907</v>
      </c>
      <c r="N29" s="103">
        <v>-600000</v>
      </c>
      <c r="O29" s="103">
        <v>-1075270.0000000009</v>
      </c>
      <c r="P29" s="103">
        <v>-1329524</v>
      </c>
      <c r="Q29" s="103">
        <v>0</v>
      </c>
      <c r="R29" s="103">
        <v>0</v>
      </c>
      <c r="S29" s="103">
        <v>0</v>
      </c>
      <c r="T29" s="103">
        <v>0</v>
      </c>
      <c r="U29" s="103">
        <v>0</v>
      </c>
      <c r="V29" s="103">
        <v>0</v>
      </c>
      <c r="W29" s="103">
        <v>0</v>
      </c>
      <c r="X29" s="103">
        <v>0</v>
      </c>
      <c r="Y29" s="103">
        <v>0</v>
      </c>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c r="BF29" s="103"/>
      <c r="BG29" s="103"/>
      <c r="BH29" s="103"/>
      <c r="BI29" s="103"/>
      <c r="BJ29" s="103"/>
      <c r="BK29" s="103"/>
      <c r="BL29" s="103"/>
      <c r="BM29" s="103"/>
      <c r="BN29" s="103"/>
      <c r="BO29" s="103"/>
      <c r="BP29" s="103"/>
      <c r="BQ29" s="103"/>
      <c r="BR29" s="103"/>
      <c r="BS29" s="103"/>
      <c r="BT29" s="103"/>
      <c r="BU29" s="103"/>
      <c r="BV29" s="103"/>
    </row>
    <row r="30" spans="1:74" outlineLevel="2" x14ac:dyDescent="0.2">
      <c r="B30" s="27" t="s">
        <v>364</v>
      </c>
      <c r="E30" s="103"/>
      <c r="F30" s="103"/>
      <c r="G30" s="103"/>
      <c r="H30" s="103"/>
      <c r="I30" s="103"/>
      <c r="J30" s="103"/>
      <c r="K30" s="103"/>
      <c r="L30" s="24"/>
      <c r="M30" s="103"/>
      <c r="N30" s="103"/>
      <c r="O30" s="103">
        <v>0</v>
      </c>
      <c r="P30" s="103">
        <v>2480000</v>
      </c>
      <c r="Q30" s="103">
        <f>'BS - Monthly'!R31-'BS - Monthly'!Q31</f>
        <v>-60449.990000000224</v>
      </c>
      <c r="R30" s="103">
        <f>+'BS - CF Actuals'!W106-'BS - CF Actuals'!V106</f>
        <v>-60267.009999999776</v>
      </c>
      <c r="S30" s="103">
        <f>+'BS - CF Actuals'!X106-'BS - CF Actuals'!W106</f>
        <v>-60084.020000000019</v>
      </c>
      <c r="T30" s="103">
        <f>+'BS - CF Actuals'!Y106-'BS - CF Actuals'!X106</f>
        <v>-77532.319999999832</v>
      </c>
      <c r="U30" s="103">
        <f>+'BS - CF Actuals'!Z106-'BS - CF Actuals'!Y106</f>
        <v>-103333.33000000007</v>
      </c>
      <c r="V30" s="103">
        <f>+'BS - CF Actuals'!AA106-'BS - CF Actuals'!Z106</f>
        <v>-103333.33000000007</v>
      </c>
      <c r="W30" s="103">
        <f>+'BS - CF Actuals'!AB106-'BS - CF Actuals'!AA106</f>
        <v>-103333.33000000007</v>
      </c>
      <c r="X30" s="103">
        <f>+'BS - CF Actuals'!AC106-'BS - CF Actuals'!AB106</f>
        <v>-103333.32999999984</v>
      </c>
      <c r="Y30" s="103">
        <f>+'BS - Monthly'!Z31-'BS - Monthly'!Y31</f>
        <v>-103333.33000000007</v>
      </c>
      <c r="Z30" s="103">
        <f>'BS - Monthly'!AA31-'BS - Monthly'!Z31</f>
        <v>-103333.33000000007</v>
      </c>
      <c r="AA30" s="103">
        <f>'BS - Monthly'!AB31-'BS - Monthly'!AA31</f>
        <v>-103333.32999999984</v>
      </c>
      <c r="AB30" s="103">
        <f>'BS - Monthly'!AC31-'BS - Monthly'!AB31</f>
        <v>-103333.33000000007</v>
      </c>
      <c r="AC30" s="103">
        <f>'BS - Monthly'!AD31-'BS - Monthly'!AC31</f>
        <v>-103333.33000000007</v>
      </c>
      <c r="AD30" s="103">
        <f>'BS - Monthly'!AE31-'BS - Monthly'!AD31</f>
        <v>-103333.32999999984</v>
      </c>
      <c r="AE30" s="103">
        <f>'BS - Monthly'!AF31-'BS - Monthly'!AE31</f>
        <v>-103333.33000000007</v>
      </c>
      <c r="AF30" s="103">
        <f>'BS - Monthly'!AG31-'BS - Monthly'!AF31</f>
        <v>98030.820580764208</v>
      </c>
      <c r="AG30" s="103">
        <f>'BS - Monthly'!AH31-'BS - Monthly'!AG31</f>
        <v>0</v>
      </c>
      <c r="AH30" s="103">
        <f>'BS - Monthly'!AI31-'BS - Monthly'!AH31</f>
        <v>0</v>
      </c>
      <c r="AI30" s="103">
        <f>'BS - Monthly'!AJ31-'BS - Monthly'!AI31</f>
        <v>0</v>
      </c>
      <c r="AJ30" s="103">
        <f>'BS - Monthly'!AK31-'BS - Monthly'!AJ31</f>
        <v>0</v>
      </c>
      <c r="AK30" s="103">
        <f>'BS - Monthly'!AL31-'BS - Monthly'!AK31</f>
        <v>0</v>
      </c>
      <c r="AL30" s="103">
        <f>'BS - Monthly'!AM31-'BS - Monthly'!AL31</f>
        <v>0</v>
      </c>
      <c r="AM30" s="103">
        <f>'BS - Monthly'!AN31-'BS - Monthly'!AM31</f>
        <v>0</v>
      </c>
      <c r="AN30" s="103">
        <f>'BS - Monthly'!AO31-'BS - Monthly'!AN31</f>
        <v>0</v>
      </c>
      <c r="AO30" s="103">
        <f>'BS - Monthly'!AP31-'BS - Monthly'!AO31</f>
        <v>0</v>
      </c>
      <c r="AP30" s="103">
        <f>'BS - Monthly'!AQ31-'BS - Monthly'!AP31</f>
        <v>0</v>
      </c>
      <c r="AQ30" s="103">
        <f>'BS - Monthly'!AR31-'BS - Monthly'!AQ31</f>
        <v>0</v>
      </c>
      <c r="AR30" s="103">
        <f>'BS - Monthly'!AS31-'BS - Monthly'!AR31</f>
        <v>0</v>
      </c>
      <c r="AS30" s="103">
        <f>'BS - Monthly'!AT31-'BS - Monthly'!AS31</f>
        <v>0</v>
      </c>
      <c r="AT30" s="103">
        <f>'BS - Monthly'!AU31-'BS - Monthly'!AT31</f>
        <v>0</v>
      </c>
      <c r="AU30" s="103">
        <f>'BS - Monthly'!AV31-'BS - Monthly'!AU31</f>
        <v>0</v>
      </c>
      <c r="AV30" s="103">
        <f>'BS - Monthly'!AW31-'BS - Monthly'!AV31</f>
        <v>0</v>
      </c>
      <c r="AW30" s="103">
        <f>'BS - Monthly'!AX31-'BS - Monthly'!AW31</f>
        <v>0</v>
      </c>
      <c r="AX30" s="103">
        <f>'BS - Monthly'!AY31-'BS - Monthly'!AX31</f>
        <v>0</v>
      </c>
      <c r="AY30" s="103">
        <f>'BS - Monthly'!AZ31-'BS - Monthly'!AY31</f>
        <v>0</v>
      </c>
      <c r="AZ30" s="103">
        <f>'BS - Monthly'!BA31-'BS - Monthly'!AZ31</f>
        <v>0</v>
      </c>
      <c r="BA30" s="103">
        <f>'BS - Monthly'!BB31-'BS - Monthly'!BA31</f>
        <v>0</v>
      </c>
      <c r="BB30" s="103">
        <f>'BS - Monthly'!BC31-'BS - Monthly'!BB31</f>
        <v>0</v>
      </c>
      <c r="BC30" s="103">
        <f>'BS - Monthly'!BD31-'BS - Monthly'!BC31</f>
        <v>0</v>
      </c>
      <c r="BD30" s="103">
        <f>'BS - Monthly'!BE31-'BS - Monthly'!BD31</f>
        <v>0</v>
      </c>
      <c r="BE30" s="103">
        <f>'BS - Monthly'!BF31-'BS - Monthly'!BE31</f>
        <v>0</v>
      </c>
      <c r="BF30" s="103">
        <f>'BS - Monthly'!BG31-'BS - Monthly'!BF31</f>
        <v>0</v>
      </c>
      <c r="BG30" s="103">
        <f>'BS - Monthly'!BH31-'BS - Monthly'!BG31</f>
        <v>0</v>
      </c>
      <c r="BH30" s="103">
        <f>'BS - Monthly'!BI31-'BS - Monthly'!BH31</f>
        <v>0</v>
      </c>
      <c r="BI30" s="103">
        <f>'BS - Monthly'!BJ31-'BS - Monthly'!BI31</f>
        <v>0</v>
      </c>
      <c r="BJ30" s="103">
        <f>'BS - Monthly'!BK31-'BS - Monthly'!BJ31</f>
        <v>0</v>
      </c>
      <c r="BK30" s="103">
        <f>'BS - Monthly'!BL31-'BS - Monthly'!BK31</f>
        <v>0</v>
      </c>
      <c r="BL30" s="103">
        <f>'BS - Monthly'!BM31-'BS - Monthly'!BL31</f>
        <v>0</v>
      </c>
      <c r="BM30" s="103">
        <f>'BS - Monthly'!BN31-'BS - Monthly'!BM31</f>
        <v>0</v>
      </c>
      <c r="BN30" s="103">
        <f>'BS - Monthly'!BO31-'BS - Monthly'!BN31</f>
        <v>0</v>
      </c>
      <c r="BO30" s="103">
        <f>'BS - Monthly'!BP31-'BS - Monthly'!BO31</f>
        <v>0</v>
      </c>
      <c r="BP30" s="103">
        <f>'BS - Monthly'!BQ31-'BS - Monthly'!BP31</f>
        <v>0</v>
      </c>
      <c r="BQ30" s="103">
        <f>'BS - Monthly'!BR31-'BS - Monthly'!BQ31</f>
        <v>0</v>
      </c>
      <c r="BR30" s="103">
        <f>'BS - Monthly'!BS31-'BS - Monthly'!BR31</f>
        <v>0</v>
      </c>
      <c r="BS30" s="103">
        <f>'BS - Monthly'!BT31-'BS - Monthly'!BS31</f>
        <v>0</v>
      </c>
      <c r="BT30" s="103">
        <f>'BS - Monthly'!BU31-'BS - Monthly'!BT31</f>
        <v>0</v>
      </c>
      <c r="BU30" s="103">
        <f>'BS - Monthly'!BV31-'BS - Monthly'!BU31</f>
        <v>0</v>
      </c>
      <c r="BV30" s="103">
        <f>'BS - Monthly'!BW31-'BS - Monthly'!BV31</f>
        <v>0</v>
      </c>
    </row>
    <row r="31" spans="1:74" outlineLevel="2" x14ac:dyDescent="0.2">
      <c r="B31" s="27" t="s">
        <v>436</v>
      </c>
      <c r="E31" s="103">
        <v>0</v>
      </c>
      <c r="F31" s="103">
        <v>0</v>
      </c>
      <c r="G31" s="103">
        <v>0</v>
      </c>
      <c r="H31" s="103">
        <v>0</v>
      </c>
      <c r="I31" s="103">
        <v>0</v>
      </c>
      <c r="J31" s="103">
        <v>0</v>
      </c>
      <c r="K31" s="103">
        <v>0</v>
      </c>
      <c r="L31" s="24">
        <v>0</v>
      </c>
      <c r="M31" s="103">
        <v>0</v>
      </c>
      <c r="N31" s="103">
        <v>0</v>
      </c>
      <c r="O31" s="103"/>
      <c r="P31" s="103">
        <f>Debt!B5</f>
        <v>10250000</v>
      </c>
      <c r="Q31" s="103">
        <f>-('BS - Monthly'!Q32-'BS - Monthly'!R32)</f>
        <v>0</v>
      </c>
      <c r="R31" s="103">
        <f>-('BS - Monthly'!R32-'BS - Monthly'!S32)</f>
        <v>0</v>
      </c>
      <c r="S31" s="103">
        <f>-('BS - Monthly'!S32-'BS - Monthly'!T32)</f>
        <v>0</v>
      </c>
      <c r="T31" s="103">
        <f>-('BS - Monthly'!T32-'BS - Monthly'!U32)</f>
        <v>0</v>
      </c>
      <c r="U31" s="103">
        <f>-('BS - Monthly'!U32-'BS - Monthly'!V32)</f>
        <v>0</v>
      </c>
      <c r="V31" s="103">
        <f>-('BS - Monthly'!V32-'BS - Monthly'!W32)</f>
        <v>0</v>
      </c>
      <c r="W31" s="103">
        <f>-('BS - Monthly'!W32-'BS - Monthly'!X32)</f>
        <v>0</v>
      </c>
      <c r="X31" s="103">
        <f>-('BS - Monthly'!X32-'BS - Monthly'!Y32)</f>
        <v>0</v>
      </c>
      <c r="Y31" s="103">
        <f>-('BS - Monthly'!Y32-'BS - Monthly'!Z32)</f>
        <v>0</v>
      </c>
      <c r="Z31" s="103">
        <f>-('BS - Monthly'!Z32-'BS - Monthly'!AA32)</f>
        <v>0</v>
      </c>
      <c r="AA31" s="103">
        <f>-('BS - Monthly'!AA32-'BS - Monthly'!AB32)</f>
        <v>0</v>
      </c>
      <c r="AB31" s="103">
        <f>-('BS - Monthly'!AB32-'BS - Monthly'!AC32)</f>
        <v>0</v>
      </c>
      <c r="AC31" s="103">
        <f>-('BS - Monthly'!AC32-'BS - Monthly'!AD32)</f>
        <v>0</v>
      </c>
      <c r="AD31" s="103">
        <f>-('BS - Monthly'!AD32-'BS - Monthly'!AE32)</f>
        <v>0</v>
      </c>
      <c r="AE31" s="103">
        <f>-('BS - Monthly'!AE32-'BS - Monthly'!AF32)</f>
        <v>0</v>
      </c>
      <c r="AF31" s="103">
        <f>-('BS - Monthly'!AF32-'BS - Monthly'!AG32)</f>
        <v>0</v>
      </c>
      <c r="AG31" s="103">
        <f>-('BS - Monthly'!AG32-'BS - Monthly'!AH32)</f>
        <v>0</v>
      </c>
      <c r="AH31" s="103">
        <f>-('BS - Monthly'!AH32-'BS - Monthly'!AI32)</f>
        <v>0</v>
      </c>
      <c r="AI31" s="103">
        <f>-('BS - Monthly'!AI32-'BS - Monthly'!AJ32)</f>
        <v>0</v>
      </c>
      <c r="AJ31" s="103">
        <f>-('BS - Monthly'!AJ32-'BS - Monthly'!AK32)</f>
        <v>0</v>
      </c>
      <c r="AK31" s="103">
        <f>-('BS - Monthly'!AK32-'BS - Monthly'!AL32)</f>
        <v>0</v>
      </c>
      <c r="AL31" s="103">
        <f>-('BS - Monthly'!AL32-'BS - Monthly'!AM32)</f>
        <v>0</v>
      </c>
      <c r="AM31" s="103">
        <f>-('BS - Monthly'!AM32-'BS - Monthly'!AN32)</f>
        <v>0</v>
      </c>
      <c r="AN31" s="103">
        <f>-('BS - Monthly'!AN32-'BS - Monthly'!AO32)</f>
        <v>0</v>
      </c>
      <c r="AO31" s="103">
        <f>-('BS - Monthly'!AO32-'BS - Monthly'!AP32)</f>
        <v>0</v>
      </c>
      <c r="AP31" s="103">
        <f>-('BS - Monthly'!AP32-'BS - Monthly'!AQ32)</f>
        <v>0</v>
      </c>
      <c r="AQ31" s="103">
        <f>-('BS - Monthly'!AQ32-'BS - Monthly'!AR32)</f>
        <v>0</v>
      </c>
      <c r="AR31" s="103">
        <f>-('BS - Monthly'!AR32-'BS - Monthly'!AS32)</f>
        <v>0</v>
      </c>
      <c r="AS31" s="103">
        <f>-('BS - Monthly'!AS32-'BS - Monthly'!AT32)</f>
        <v>0</v>
      </c>
      <c r="AT31" s="103">
        <f>-('BS - Monthly'!AT32-'BS - Monthly'!AU32)</f>
        <v>0</v>
      </c>
      <c r="AU31" s="103">
        <f>-('BS - Monthly'!AU32-'BS - Monthly'!AV32)</f>
        <v>0</v>
      </c>
      <c r="AV31" s="103">
        <f>-('BS - Monthly'!AV32-'BS - Monthly'!AW32)</f>
        <v>0</v>
      </c>
      <c r="AW31" s="103">
        <f>-('BS - Monthly'!AW32-'BS - Monthly'!AX32)</f>
        <v>0</v>
      </c>
      <c r="AX31" s="103">
        <f>-('BS - Monthly'!AX32-'BS - Monthly'!AY32)</f>
        <v>0</v>
      </c>
      <c r="AY31" s="103">
        <f>-('BS - Monthly'!AY32-'BS - Monthly'!AZ32)</f>
        <v>0</v>
      </c>
      <c r="AZ31" s="103">
        <f>-('BS - Monthly'!AZ32-'BS - Monthly'!BA32)</f>
        <v>0</v>
      </c>
      <c r="BA31" s="103">
        <f>-('BS - Monthly'!BA32-'BS - Monthly'!BB32)</f>
        <v>0</v>
      </c>
      <c r="BB31" s="103">
        <f>-('BS - Monthly'!BB32-'BS - Monthly'!BC32)</f>
        <v>0</v>
      </c>
      <c r="BC31" s="103">
        <f>-('BS - Monthly'!BC32-'BS - Monthly'!BD32)</f>
        <v>0</v>
      </c>
      <c r="BD31" s="103">
        <f>-('BS - Monthly'!BD32-'BS - Monthly'!BE32)</f>
        <v>0</v>
      </c>
      <c r="BE31" s="103">
        <f>-('BS - Monthly'!BE32-'BS - Monthly'!BF32)</f>
        <v>0</v>
      </c>
      <c r="BF31" s="103">
        <f>-('BS - Monthly'!BF32-'BS - Monthly'!BG32)</f>
        <v>0</v>
      </c>
      <c r="BG31" s="103">
        <f>-('BS - Monthly'!BG32-'BS - Monthly'!BH32)</f>
        <v>0</v>
      </c>
      <c r="BH31" s="103">
        <f>-('BS - Monthly'!BH32-'BS - Monthly'!BI32)</f>
        <v>0</v>
      </c>
      <c r="BI31" s="103">
        <f>-('BS - Monthly'!BI32-'BS - Monthly'!BJ32)</f>
        <v>0</v>
      </c>
      <c r="BJ31" s="103">
        <f>-('BS - Monthly'!BJ32-'BS - Monthly'!BK32)</f>
        <v>0</v>
      </c>
      <c r="BK31" s="103">
        <f>-('BS - Monthly'!BK32-'BS - Monthly'!BL32)</f>
        <v>0</v>
      </c>
      <c r="BL31" s="103">
        <f>-('BS - Monthly'!BL32-'BS - Monthly'!BM32)</f>
        <v>0</v>
      </c>
      <c r="BM31" s="103">
        <f>-('BS - Monthly'!BM32-'BS - Monthly'!BN32)</f>
        <v>0</v>
      </c>
      <c r="BN31" s="103">
        <f>-('BS - Monthly'!BN32-'BS - Monthly'!BO32)</f>
        <v>0</v>
      </c>
      <c r="BO31" s="103">
        <f>-('BS - Monthly'!BO32-'BS - Monthly'!BP32)</f>
        <v>0</v>
      </c>
      <c r="BP31" s="103">
        <f>-('BS - Monthly'!BP32-'BS - Monthly'!BQ32)</f>
        <v>0</v>
      </c>
      <c r="BQ31" s="103">
        <f>-('BS - Monthly'!BQ32-'BS - Monthly'!BR32)</f>
        <v>0</v>
      </c>
      <c r="BR31" s="103">
        <f>-('BS - Monthly'!BR32-'BS - Monthly'!BS32)</f>
        <v>0</v>
      </c>
      <c r="BS31" s="103">
        <f>-('BS - Monthly'!BS32-'BS - Monthly'!BT32)</f>
        <v>0</v>
      </c>
      <c r="BT31" s="103">
        <f>-('BS - Monthly'!BT32-'BS - Monthly'!BU32)</f>
        <v>0</v>
      </c>
      <c r="BU31" s="103">
        <f>-('BS - Monthly'!BU32-'BS - Monthly'!BV32)</f>
        <v>0</v>
      </c>
      <c r="BV31" s="103">
        <f>-('BS - Monthly'!BV32-'BS - Monthly'!BW32)</f>
        <v>0</v>
      </c>
    </row>
    <row r="32" spans="1:74" outlineLevel="2" x14ac:dyDescent="0.2">
      <c r="B32" s="229" t="s">
        <v>714</v>
      </c>
      <c r="E32" s="103">
        <v>-16667</v>
      </c>
      <c r="F32" s="103">
        <f>'BS - Monthly'!G35-'BS - Monthly'!F35</f>
        <v>-16666.660000000003</v>
      </c>
      <c r="G32" s="103">
        <f>'BS - Monthly'!H35-'BS - Monthly'!G35</f>
        <v>-16666.660000000003</v>
      </c>
      <c r="H32" s="103">
        <f>'BS - Monthly'!I35-'BS - Monthly'!H35</f>
        <v>-16666.659999999989</v>
      </c>
      <c r="I32" s="103">
        <f>'BS - Monthly'!J35-'BS - Monthly'!I35</f>
        <v>-16666.660000000003</v>
      </c>
      <c r="J32" s="103">
        <f>'BS - Monthly'!K35-'BS - Monthly'!J35</f>
        <v>-16666.660000000003</v>
      </c>
      <c r="K32" s="103">
        <f>'BS - Monthly'!L35-'BS - Monthly'!K35</f>
        <v>-16666.660000000003</v>
      </c>
      <c r="L32" s="103">
        <f>'BS - Monthly'!M35-'BS - Monthly'!L35</f>
        <v>-16667.039999999994</v>
      </c>
      <c r="M32" s="103">
        <f>'BS - Monthly'!N35-'BS - Monthly'!M35</f>
        <v>-50000</v>
      </c>
      <c r="N32" s="103">
        <f>'BS - Monthly'!O35-'BS - Monthly'!N35</f>
        <v>0</v>
      </c>
      <c r="O32" s="103">
        <f>'BS - Monthly'!P35-'BS - Monthly'!O35</f>
        <v>0</v>
      </c>
      <c r="P32" s="103">
        <f>'BS - Monthly'!Q35-'BS - Monthly'!P35</f>
        <v>0</v>
      </c>
      <c r="Q32" s="103">
        <f>'BS - Monthly'!R35-'BS - Monthly'!Q35</f>
        <v>0</v>
      </c>
      <c r="R32" s="103">
        <f>'BS - Monthly'!S35-'BS - Monthly'!R35</f>
        <v>0</v>
      </c>
      <c r="S32" s="103">
        <f>'BS - Monthly'!T35-'BS - Monthly'!S35</f>
        <v>0</v>
      </c>
      <c r="T32" s="103">
        <f>'BS - Monthly'!U35-'BS - Monthly'!T35</f>
        <v>0</v>
      </c>
      <c r="U32" s="103">
        <f>'BS - Monthly'!V35-'BS - Monthly'!U35</f>
        <v>0</v>
      </c>
      <c r="V32" s="103">
        <f>'BS - Monthly'!W35-'BS - Monthly'!V35</f>
        <v>0</v>
      </c>
      <c r="W32" s="103">
        <f>'BS - Monthly'!X35-'BS - Monthly'!W35</f>
        <v>0</v>
      </c>
      <c r="X32" s="103">
        <f>'BS - Monthly'!Y35-'BS - Monthly'!X35</f>
        <v>0</v>
      </c>
      <c r="Y32" s="103">
        <f>'BS - Monthly'!Z35-'BS - Monthly'!Y35</f>
        <v>0</v>
      </c>
      <c r="Z32" s="103">
        <f>'BS - Monthly'!AA35-'BS - Monthly'!Z35</f>
        <v>0</v>
      </c>
      <c r="AA32" s="103">
        <f>'BS - Monthly'!AB35-'BS - Monthly'!AA35</f>
        <v>0</v>
      </c>
      <c r="AB32" s="103">
        <f>'BS - Monthly'!AC35-'BS - Monthly'!AB35</f>
        <v>0</v>
      </c>
      <c r="AC32" s="103">
        <f>'BS - Monthly'!AD35-'BS - Monthly'!AC35</f>
        <v>0</v>
      </c>
      <c r="AD32" s="103">
        <f>'BS - Monthly'!AE35-'BS - Monthly'!AD35</f>
        <v>0</v>
      </c>
      <c r="AE32" s="103">
        <f>'BS - Monthly'!AF35-'BS - Monthly'!AE35</f>
        <v>0</v>
      </c>
      <c r="AF32" s="103">
        <f>'BS - Monthly'!AG35-'BS - Monthly'!AF35</f>
        <v>0</v>
      </c>
      <c r="AG32" s="103">
        <f>'BS - Monthly'!AH35-'BS - Monthly'!AG35</f>
        <v>0</v>
      </c>
      <c r="AH32" s="103">
        <f>'BS - Monthly'!AI35-'BS - Monthly'!AH35</f>
        <v>0</v>
      </c>
      <c r="AI32" s="103">
        <f>'BS - Monthly'!AJ35-'BS - Monthly'!AI35</f>
        <v>0</v>
      </c>
      <c r="AJ32" s="103">
        <f>'BS - Monthly'!AK35-'BS - Monthly'!AJ35</f>
        <v>0</v>
      </c>
      <c r="AK32" s="103">
        <f>'BS - Monthly'!AL35-'BS - Monthly'!AK35</f>
        <v>0</v>
      </c>
      <c r="AL32" s="103">
        <f>'BS - Monthly'!AM35-'BS - Monthly'!AL35</f>
        <v>0</v>
      </c>
      <c r="AM32" s="103">
        <f>'BS - Monthly'!AN35-'BS - Monthly'!AM35</f>
        <v>0</v>
      </c>
      <c r="AN32" s="103">
        <f>'BS - Monthly'!AO35-'BS - Monthly'!AN35</f>
        <v>0</v>
      </c>
      <c r="AO32" s="103">
        <f>'BS - Monthly'!AP35-'BS - Monthly'!AO35</f>
        <v>0</v>
      </c>
      <c r="AP32" s="103">
        <f>'BS - Monthly'!AQ35-'BS - Monthly'!AP35</f>
        <v>0</v>
      </c>
      <c r="AQ32" s="103">
        <f>'BS - Monthly'!AR35-'BS - Monthly'!AQ35</f>
        <v>0</v>
      </c>
      <c r="AR32" s="103">
        <f>'BS - Monthly'!AS35-'BS - Monthly'!AR35</f>
        <v>0</v>
      </c>
      <c r="AS32" s="103">
        <f>'BS - Monthly'!AT35-'BS - Monthly'!AS35</f>
        <v>0</v>
      </c>
      <c r="AT32" s="103">
        <f>'BS - Monthly'!AU35-'BS - Monthly'!AT35</f>
        <v>0</v>
      </c>
      <c r="AU32" s="103">
        <f>'BS - Monthly'!AV35-'BS - Monthly'!AU35</f>
        <v>0</v>
      </c>
      <c r="AV32" s="103">
        <f>'BS - Monthly'!AW35-'BS - Monthly'!AV35</f>
        <v>0</v>
      </c>
      <c r="AW32" s="103">
        <f>'BS - Monthly'!AX35-'BS - Monthly'!AW35</f>
        <v>0</v>
      </c>
      <c r="AX32" s="103">
        <f>'BS - Monthly'!AY35-'BS - Monthly'!AX35</f>
        <v>0</v>
      </c>
      <c r="AY32" s="103">
        <f>'BS - Monthly'!AZ35-'BS - Monthly'!AY35</f>
        <v>0</v>
      </c>
      <c r="AZ32" s="103">
        <f>'BS - Monthly'!BA35-'BS - Monthly'!AZ35</f>
        <v>0</v>
      </c>
      <c r="BA32" s="103">
        <f>'BS - Monthly'!BB35-'BS - Monthly'!BA35</f>
        <v>0</v>
      </c>
      <c r="BB32" s="103">
        <f>'BS - Monthly'!BC35-'BS - Monthly'!BB35</f>
        <v>0</v>
      </c>
      <c r="BC32" s="103">
        <f>'BS - Monthly'!BD35-'BS - Monthly'!BC35</f>
        <v>0</v>
      </c>
      <c r="BD32" s="103">
        <f>'BS - Monthly'!BE35-'BS - Monthly'!BD35</f>
        <v>0</v>
      </c>
      <c r="BE32" s="103">
        <f>'BS - Monthly'!BF35-'BS - Monthly'!BE35</f>
        <v>0</v>
      </c>
      <c r="BF32" s="103">
        <f>'BS - Monthly'!BG35-'BS - Monthly'!BF35</f>
        <v>0</v>
      </c>
      <c r="BG32" s="103">
        <f>'BS - Monthly'!BH35-'BS - Monthly'!BG35</f>
        <v>0</v>
      </c>
      <c r="BH32" s="103">
        <f>'BS - Monthly'!BI35-'BS - Monthly'!BH35</f>
        <v>0</v>
      </c>
      <c r="BI32" s="103">
        <f>'BS - Monthly'!BJ35-'BS - Monthly'!BI35</f>
        <v>0</v>
      </c>
      <c r="BJ32" s="103">
        <f>'BS - Monthly'!BK35-'BS - Monthly'!BJ35</f>
        <v>0</v>
      </c>
      <c r="BK32" s="103">
        <f>'BS - Monthly'!BL35-'BS - Monthly'!BK35</f>
        <v>0</v>
      </c>
      <c r="BL32" s="103">
        <f>'BS - Monthly'!BM35-'BS - Monthly'!BL35</f>
        <v>0</v>
      </c>
      <c r="BM32" s="103">
        <f>'BS - Monthly'!BN35-'BS - Monthly'!BM35</f>
        <v>0</v>
      </c>
      <c r="BN32" s="103">
        <f>'BS - Monthly'!BO35-'BS - Monthly'!BN35</f>
        <v>0</v>
      </c>
      <c r="BO32" s="103">
        <f>'BS - Monthly'!BP35-'BS - Monthly'!BO35</f>
        <v>0</v>
      </c>
      <c r="BP32" s="103">
        <f>'BS - Monthly'!BQ35-'BS - Monthly'!BP35</f>
        <v>0</v>
      </c>
      <c r="BQ32" s="103">
        <f>'BS - Monthly'!BR35-'BS - Monthly'!BQ35</f>
        <v>0</v>
      </c>
      <c r="BR32" s="103">
        <f>'BS - Monthly'!BS35-'BS - Monthly'!BR35</f>
        <v>0</v>
      </c>
      <c r="BS32" s="103">
        <f>'BS - Monthly'!BT35-'BS - Monthly'!BS35</f>
        <v>0</v>
      </c>
      <c r="BT32" s="103">
        <f>'BS - Monthly'!BU35-'BS - Monthly'!BT35</f>
        <v>0</v>
      </c>
      <c r="BU32" s="103">
        <f>'BS - Monthly'!BV35-'BS - Monthly'!BU35</f>
        <v>0</v>
      </c>
      <c r="BV32" s="103">
        <f>'BS - Monthly'!BW35-'BS - Monthly'!BV35</f>
        <v>0</v>
      </c>
    </row>
    <row r="33" spans="1:74" outlineLevel="2" x14ac:dyDescent="0.2">
      <c r="A33" s="26" t="s">
        <v>419</v>
      </c>
      <c r="E33" s="103"/>
      <c r="F33" s="103"/>
      <c r="G33" s="103"/>
      <c r="H33" s="103"/>
      <c r="I33" s="103"/>
      <c r="J33" s="103"/>
      <c r="K33" s="103"/>
      <c r="L33" s="24"/>
      <c r="M33" s="103"/>
      <c r="N33" s="103"/>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c r="BF33" s="103"/>
      <c r="BG33" s="103"/>
      <c r="BH33" s="103"/>
      <c r="BI33" s="103"/>
      <c r="BJ33" s="103"/>
      <c r="BK33" s="103"/>
      <c r="BL33" s="103"/>
      <c r="BM33" s="103"/>
      <c r="BN33" s="103"/>
      <c r="BO33" s="103"/>
      <c r="BP33" s="103"/>
      <c r="BQ33" s="103"/>
      <c r="BR33" s="103"/>
      <c r="BS33" s="103"/>
      <c r="BT33" s="103"/>
      <c r="BU33" s="103"/>
      <c r="BV33" s="103"/>
    </row>
    <row r="34" spans="1:74" outlineLevel="2" x14ac:dyDescent="0.2">
      <c r="B34" s="26" t="s">
        <v>234</v>
      </c>
      <c r="E34" s="103"/>
      <c r="F34" s="103"/>
      <c r="G34" s="103"/>
      <c r="H34" s="103"/>
      <c r="I34" s="103"/>
      <c r="J34" s="103"/>
      <c r="K34" s="103"/>
      <c r="L34" s="226"/>
      <c r="M34" s="103"/>
      <c r="N34" s="103">
        <v>0</v>
      </c>
      <c r="O34" s="103"/>
      <c r="P34" s="103">
        <f>17499994-379175</f>
        <v>17120819</v>
      </c>
      <c r="Q34" s="103">
        <f>'BS - Monthly'!R43-'BS - Monthly'!Q43</f>
        <v>0</v>
      </c>
      <c r="R34" s="103">
        <f>'BS - Monthly'!S43-'BS - Monthly'!R43</f>
        <v>0</v>
      </c>
      <c r="S34" s="103">
        <f>'BS - Monthly'!T43-'BS - Monthly'!S43</f>
        <v>0</v>
      </c>
      <c r="T34" s="103">
        <f>'BS - Monthly'!U43-'BS - Monthly'!T43</f>
        <v>0</v>
      </c>
      <c r="U34" s="103">
        <f>'BS - Monthly'!V43-'BS - Monthly'!U43</f>
        <v>0</v>
      </c>
      <c r="V34" s="103">
        <f>'BS - Monthly'!W43-'BS - Monthly'!V43</f>
        <v>0</v>
      </c>
      <c r="W34" s="103">
        <f>'BS - Monthly'!X43-'BS - Monthly'!W43</f>
        <v>0</v>
      </c>
      <c r="X34" s="103">
        <f>'BS - Monthly'!Y43-'BS - Monthly'!X43</f>
        <v>0</v>
      </c>
      <c r="Y34" s="103">
        <f>'BS - Monthly'!Z43-'BS - Monthly'!Y43</f>
        <v>0</v>
      </c>
      <c r="Z34" s="103">
        <f>'BS - Monthly'!AA43-'BS - Monthly'!Z43</f>
        <v>0</v>
      </c>
      <c r="AA34" s="103">
        <f>'BS - Monthly'!AB43-'BS - Monthly'!AA43</f>
        <v>0</v>
      </c>
      <c r="AB34" s="103">
        <f>'BS - Monthly'!AC43-'BS - Monthly'!AB43</f>
        <v>0</v>
      </c>
      <c r="AC34" s="103">
        <f>'BS - Monthly'!AD43-'BS - Monthly'!AC43</f>
        <v>0</v>
      </c>
      <c r="AD34" s="103">
        <f>'BS - Monthly'!AE43-'BS - Monthly'!AD43</f>
        <v>0</v>
      </c>
      <c r="AE34" s="103">
        <f>'BS - Monthly'!AF43-'BS - Monthly'!AE43</f>
        <v>0</v>
      </c>
      <c r="AF34" s="103">
        <f>'BS - Monthly'!AG43-'BS - Monthly'!AF43</f>
        <v>0</v>
      </c>
      <c r="AG34" s="103">
        <f>'BS - Monthly'!AH43-'BS - Monthly'!AG43</f>
        <v>0</v>
      </c>
      <c r="AH34" s="103">
        <f>'BS - Monthly'!AI43-'BS - Monthly'!AH43</f>
        <v>0</v>
      </c>
      <c r="AI34" s="103">
        <f>'BS - Monthly'!AJ43-'BS - Monthly'!AI43</f>
        <v>0</v>
      </c>
      <c r="AJ34" s="103">
        <f>'BS - Monthly'!AK43-'BS - Monthly'!AJ43</f>
        <v>0</v>
      </c>
      <c r="AK34" s="103">
        <f>'BS - Monthly'!AL43-'BS - Monthly'!AK43</f>
        <v>0</v>
      </c>
      <c r="AL34" s="103">
        <f>'BS - Monthly'!AM43-'BS - Monthly'!AL43</f>
        <v>0</v>
      </c>
      <c r="AM34" s="103">
        <f>'BS - Monthly'!AN43-'BS - Monthly'!AM43</f>
        <v>0</v>
      </c>
      <c r="AN34" s="103">
        <f>'BS - Monthly'!AO43-'BS - Monthly'!AN43</f>
        <v>0</v>
      </c>
      <c r="AO34" s="103">
        <f>'BS - Monthly'!AP43-'BS - Monthly'!AO43</f>
        <v>0</v>
      </c>
      <c r="AP34" s="103">
        <f>'BS - Monthly'!AQ43-'BS - Monthly'!AP43</f>
        <v>0</v>
      </c>
      <c r="AQ34" s="103">
        <f>'BS - Monthly'!AR43-'BS - Monthly'!AQ43</f>
        <v>0</v>
      </c>
      <c r="AR34" s="103">
        <f>'BS - Monthly'!AS43-'BS - Monthly'!AR43</f>
        <v>0</v>
      </c>
      <c r="AS34" s="103">
        <f>'BS - Monthly'!AT43-'BS - Monthly'!AS43</f>
        <v>0</v>
      </c>
      <c r="AT34" s="103">
        <f>'BS - Monthly'!AU43-'BS - Monthly'!AT43</f>
        <v>0</v>
      </c>
      <c r="AU34" s="103">
        <f>'BS - Monthly'!AV43-'BS - Monthly'!AU43</f>
        <v>0</v>
      </c>
      <c r="AV34" s="103">
        <f>'BS - Monthly'!AW43-'BS - Monthly'!AV43</f>
        <v>0</v>
      </c>
      <c r="AW34" s="103">
        <f>'BS - Monthly'!AX43-'BS - Monthly'!AW43</f>
        <v>0</v>
      </c>
      <c r="AX34" s="103">
        <f>'BS - Monthly'!AY43-'BS - Monthly'!AX43</f>
        <v>0</v>
      </c>
      <c r="AY34" s="103">
        <f>'BS - Monthly'!AZ43-'BS - Monthly'!AY43</f>
        <v>0</v>
      </c>
      <c r="AZ34" s="103">
        <f>'BS - Monthly'!BA43-'BS - Monthly'!AZ43</f>
        <v>0</v>
      </c>
      <c r="BA34" s="103">
        <f>'BS - Monthly'!BB43-'BS - Monthly'!BA43</f>
        <v>0</v>
      </c>
      <c r="BB34" s="103">
        <f>'BS - Monthly'!BC43-'BS - Monthly'!BB43</f>
        <v>0</v>
      </c>
      <c r="BC34" s="103">
        <f>'BS - Monthly'!BD43-'BS - Monthly'!BC43</f>
        <v>0</v>
      </c>
      <c r="BD34" s="103">
        <f>'BS - Monthly'!BE43-'BS - Monthly'!BD43</f>
        <v>0</v>
      </c>
      <c r="BE34" s="103">
        <f>'BS - Monthly'!BF43-'BS - Monthly'!BE43</f>
        <v>0</v>
      </c>
      <c r="BF34" s="103">
        <f>'BS - Monthly'!BG43-'BS - Monthly'!BF43</f>
        <v>0</v>
      </c>
      <c r="BG34" s="103">
        <f>'BS - Monthly'!BH43-'BS - Monthly'!BG43</f>
        <v>0</v>
      </c>
      <c r="BH34" s="103">
        <f>'BS - Monthly'!BI43-'BS - Monthly'!BH43</f>
        <v>0</v>
      </c>
      <c r="BI34" s="103">
        <f>'BS - Monthly'!BJ43-'BS - Monthly'!BI43</f>
        <v>0</v>
      </c>
      <c r="BJ34" s="103">
        <f>'BS - Monthly'!BK43-'BS - Monthly'!BJ43</f>
        <v>0</v>
      </c>
      <c r="BK34" s="103">
        <f>'BS - Monthly'!BL43-'BS - Monthly'!BK43</f>
        <v>0</v>
      </c>
      <c r="BL34" s="103">
        <f>'BS - Monthly'!BM43-'BS - Monthly'!BL43</f>
        <v>0</v>
      </c>
      <c r="BM34" s="103">
        <f>'BS - Monthly'!BN43-'BS - Monthly'!BM43</f>
        <v>0</v>
      </c>
      <c r="BN34" s="103">
        <f>'BS - Monthly'!BO43-'BS - Monthly'!BN43</f>
        <v>0</v>
      </c>
      <c r="BO34" s="103">
        <f>'BS - Monthly'!BP43-'BS - Monthly'!BO43</f>
        <v>0</v>
      </c>
      <c r="BP34" s="103">
        <f>'BS - Monthly'!BQ43-'BS - Monthly'!BP43</f>
        <v>0</v>
      </c>
      <c r="BQ34" s="103">
        <f>'BS - Monthly'!BR43-'BS - Monthly'!BQ43</f>
        <v>0</v>
      </c>
      <c r="BR34" s="103">
        <f>'BS - Monthly'!BS43-'BS - Monthly'!BR43</f>
        <v>0</v>
      </c>
      <c r="BS34" s="103">
        <f>'BS - Monthly'!BT43-'BS - Monthly'!BS43</f>
        <v>0</v>
      </c>
      <c r="BT34" s="103">
        <f>'BS - Monthly'!BU43-'BS - Monthly'!BT43</f>
        <v>0</v>
      </c>
      <c r="BU34" s="103">
        <f>'BS - Monthly'!BV43-'BS - Monthly'!BU43</f>
        <v>0</v>
      </c>
      <c r="BV34" s="103">
        <f>'BS - Monthly'!BW43-'BS - Monthly'!BV43</f>
        <v>0</v>
      </c>
    </row>
    <row r="35" spans="1:74" outlineLevel="2" x14ac:dyDescent="0.2">
      <c r="B35" s="26" t="s">
        <v>110</v>
      </c>
      <c r="E35" s="103"/>
      <c r="F35" s="103"/>
      <c r="G35" s="103"/>
      <c r="H35" s="103"/>
      <c r="I35" s="103"/>
      <c r="J35" s="103"/>
      <c r="K35" s="103"/>
      <c r="L35" s="24"/>
      <c r="M35" s="103"/>
      <c r="N35" s="103"/>
      <c r="O35" s="103"/>
      <c r="P35" s="103">
        <v>-1099970.8799999999</v>
      </c>
      <c r="Q35" s="103">
        <f>'BS - Monthly'!R42-'BS - Monthly'!Q42</f>
        <v>-28.98</v>
      </c>
      <c r="R35" s="103">
        <f>'BS - Monthly'!S42-'BS - Monthly'!R42</f>
        <v>0</v>
      </c>
      <c r="S35" s="103">
        <f>'BS - Monthly'!T42-'BS - Monthly'!S42</f>
        <v>0</v>
      </c>
      <c r="T35" s="103">
        <f>'BS - Monthly'!U42-'BS - Monthly'!T42</f>
        <v>0</v>
      </c>
      <c r="U35" s="103">
        <f>'BS - Monthly'!V42-'BS - Monthly'!U42</f>
        <v>0</v>
      </c>
      <c r="V35" s="103">
        <f>'BS - Monthly'!W42-'BS - Monthly'!V42</f>
        <v>0</v>
      </c>
      <c r="W35" s="103">
        <f>'BS - Monthly'!X42-'BS - Monthly'!W42</f>
        <v>0</v>
      </c>
      <c r="X35" s="103"/>
      <c r="Y35" s="603">
        <f>'BS - Monthly'!Z42-'BS - Monthly'!Y42</f>
        <v>0</v>
      </c>
      <c r="Z35" s="103">
        <f>'BS - Monthly'!AA42-'BS - Monthly'!Z42</f>
        <v>0</v>
      </c>
      <c r="AA35" s="103">
        <f>'BS - Monthly'!AB42-'BS - Monthly'!AA42</f>
        <v>0</v>
      </c>
      <c r="AB35" s="103">
        <f>'BS - Monthly'!AC42-'BS - Monthly'!AB42</f>
        <v>0</v>
      </c>
      <c r="AC35" s="103">
        <f>'BS - Monthly'!AD42-'BS - Monthly'!AC42</f>
        <v>0</v>
      </c>
      <c r="AD35" s="103">
        <f>'BS - Monthly'!AE42-'BS - Monthly'!AD42</f>
        <v>0</v>
      </c>
      <c r="AE35" s="103">
        <f>'BS - Monthly'!AF42-'BS - Monthly'!AE42</f>
        <v>0</v>
      </c>
      <c r="AF35" s="103">
        <f>'BS - Monthly'!AG42-'BS - Monthly'!AF42</f>
        <v>0</v>
      </c>
      <c r="AG35" s="103">
        <f>'BS - Monthly'!AH42-'BS - Monthly'!AG42</f>
        <v>0</v>
      </c>
      <c r="AH35" s="103">
        <f>'BS - Monthly'!AI42-'BS - Monthly'!AH42</f>
        <v>0</v>
      </c>
      <c r="AI35" s="103">
        <f>'BS - Monthly'!AJ42-'BS - Monthly'!AI42</f>
        <v>0</v>
      </c>
      <c r="AJ35" s="103">
        <f>'BS - Monthly'!AK42-'BS - Monthly'!AJ42</f>
        <v>0</v>
      </c>
      <c r="AK35" s="103">
        <f>'BS - Monthly'!AL42-'BS - Monthly'!AK42</f>
        <v>0</v>
      </c>
      <c r="AL35" s="103">
        <f>'BS - Monthly'!AM42-'BS - Monthly'!AL42</f>
        <v>0</v>
      </c>
      <c r="AM35" s="103">
        <f>'BS - Monthly'!AN42-'BS - Monthly'!AM42</f>
        <v>0</v>
      </c>
      <c r="AN35" s="103">
        <f>'BS - Monthly'!AO42-'BS - Monthly'!AN42</f>
        <v>0</v>
      </c>
      <c r="AO35" s="103">
        <f>'BS - Monthly'!AP42-'BS - Monthly'!AO42</f>
        <v>0</v>
      </c>
      <c r="AP35" s="103">
        <f>'BS - Monthly'!AQ42-'BS - Monthly'!AP42</f>
        <v>0</v>
      </c>
      <c r="AQ35" s="103">
        <f>'BS - Monthly'!AR42-'BS - Monthly'!AQ42</f>
        <v>0</v>
      </c>
      <c r="AR35" s="103">
        <f>'BS - Monthly'!AS42-'BS - Monthly'!AR42</f>
        <v>0</v>
      </c>
      <c r="AS35" s="103">
        <f>'BS - Monthly'!AT42-'BS - Monthly'!AS42</f>
        <v>0</v>
      </c>
      <c r="AT35" s="103">
        <f>'BS - Monthly'!AU42-'BS - Monthly'!AT42</f>
        <v>0</v>
      </c>
      <c r="AU35" s="103">
        <f>'BS - Monthly'!AV42-'BS - Monthly'!AU42</f>
        <v>0</v>
      </c>
      <c r="AV35" s="103">
        <f>'BS - Monthly'!AW42-'BS - Monthly'!AV42</f>
        <v>0</v>
      </c>
      <c r="AW35" s="103">
        <f>'BS - Monthly'!AX42-'BS - Monthly'!AW42</f>
        <v>0</v>
      </c>
      <c r="AX35" s="103">
        <f>'BS - Monthly'!AY42-'BS - Monthly'!AX42</f>
        <v>0</v>
      </c>
      <c r="AY35" s="103">
        <f>'BS - Monthly'!AZ42-'BS - Monthly'!AY42</f>
        <v>0</v>
      </c>
      <c r="AZ35" s="103">
        <f>'BS - Monthly'!BA42-'BS - Monthly'!AZ42</f>
        <v>0</v>
      </c>
      <c r="BA35" s="103">
        <f>'BS - Monthly'!BB42-'BS - Monthly'!BA42</f>
        <v>0</v>
      </c>
      <c r="BB35" s="103">
        <f>'BS - Monthly'!BC42-'BS - Monthly'!BB42</f>
        <v>0</v>
      </c>
      <c r="BC35" s="103">
        <f>'BS - Monthly'!BD42-'BS - Monthly'!BC42</f>
        <v>0</v>
      </c>
      <c r="BD35" s="103">
        <f>'BS - Monthly'!BE42-'BS - Monthly'!BD42</f>
        <v>0</v>
      </c>
      <c r="BE35" s="103">
        <f>'BS - Monthly'!BF42-'BS - Monthly'!BE42</f>
        <v>0</v>
      </c>
      <c r="BF35" s="103">
        <f>'BS - Monthly'!BG42-'BS - Monthly'!BF42</f>
        <v>0</v>
      </c>
      <c r="BG35" s="103">
        <f>'BS - Monthly'!BH42-'BS - Monthly'!BG42</f>
        <v>0</v>
      </c>
      <c r="BH35" s="103">
        <f>'BS - Monthly'!BI42-'BS - Monthly'!BH42</f>
        <v>0</v>
      </c>
      <c r="BI35" s="103">
        <f>'BS - Monthly'!BJ42-'BS - Monthly'!BI42</f>
        <v>0</v>
      </c>
      <c r="BJ35" s="103">
        <f>'BS - Monthly'!BK42-'BS - Monthly'!BJ42</f>
        <v>0</v>
      </c>
      <c r="BK35" s="103">
        <f>'BS - Monthly'!BL42-'BS - Monthly'!BK42</f>
        <v>0</v>
      </c>
      <c r="BL35" s="103">
        <f>'BS - Monthly'!BM42-'BS - Monthly'!BL42</f>
        <v>0</v>
      </c>
      <c r="BM35" s="103">
        <f>'BS - Monthly'!BN42-'BS - Monthly'!BM42</f>
        <v>0</v>
      </c>
      <c r="BN35" s="103">
        <f>'BS - Monthly'!BO42-'BS - Monthly'!BN42</f>
        <v>0</v>
      </c>
      <c r="BO35" s="103">
        <f>'BS - Monthly'!BP42-'BS - Monthly'!BO42</f>
        <v>0</v>
      </c>
      <c r="BP35" s="103">
        <f>'BS - Monthly'!BQ42-'BS - Monthly'!BP42</f>
        <v>0</v>
      </c>
      <c r="BQ35" s="103">
        <f>'BS - Monthly'!BR42-'BS - Monthly'!BQ42</f>
        <v>0</v>
      </c>
      <c r="BR35" s="103">
        <f>'BS - Monthly'!BS42-'BS - Monthly'!BR42</f>
        <v>0</v>
      </c>
      <c r="BS35" s="103">
        <f>'BS - Monthly'!BT42-'BS - Monthly'!BS42</f>
        <v>0</v>
      </c>
      <c r="BT35" s="103">
        <f>'BS - Monthly'!BU42-'BS - Monthly'!BT42</f>
        <v>0</v>
      </c>
      <c r="BU35" s="103">
        <f>'BS - Monthly'!BV42-'BS - Monthly'!BU42</f>
        <v>0</v>
      </c>
      <c r="BV35" s="103">
        <f>'BS - Monthly'!BW42-'BS - Monthly'!BV42</f>
        <v>0</v>
      </c>
    </row>
    <row r="36" spans="1:74" outlineLevel="2" x14ac:dyDescent="0.2">
      <c r="B36" s="26" t="s">
        <v>111</v>
      </c>
      <c r="E36" s="103"/>
      <c r="F36" s="103"/>
      <c r="G36" s="103"/>
      <c r="H36" s="103"/>
      <c r="I36" s="103"/>
      <c r="J36" s="103"/>
      <c r="K36" s="103"/>
      <c r="L36" s="226"/>
      <c r="M36" s="103"/>
      <c r="N36" s="103"/>
      <c r="O36" s="103"/>
      <c r="P36" s="103"/>
      <c r="Q36" s="103"/>
      <c r="R36" s="103"/>
      <c r="S36" s="103">
        <f>'BS - CF Actuals'!X118-'BS - CF Actuals'!W118</f>
        <v>0</v>
      </c>
      <c r="T36" s="103">
        <f>'BS - CF Actuals'!Y118-'BS - CF Actuals'!X118</f>
        <v>0</v>
      </c>
      <c r="U36" s="103">
        <f>'BS - CF Actuals'!Z118-'BS - CF Actuals'!Y118</f>
        <v>0</v>
      </c>
      <c r="V36" s="103">
        <f>'BS - CF Actuals'!AA118-'BS - CF Actuals'!Z118</f>
        <v>0</v>
      </c>
      <c r="W36" s="103">
        <f>'BS - CF Actuals'!AB118-'BS - CF Actuals'!AA118</f>
        <v>0</v>
      </c>
      <c r="X36" s="103">
        <f>'BS - CF Actuals'!AC118-'BS - CF Actuals'!AB118</f>
        <v>0</v>
      </c>
      <c r="Y36" s="103">
        <f>'BS - CF Actuals'!AD118-'BS - CF Actuals'!AC118</f>
        <v>0</v>
      </c>
      <c r="Z36" s="103">
        <f>'BS - CF Actuals'!AE118-'BS - CF Actuals'!AD118</f>
        <v>0</v>
      </c>
      <c r="AA36" s="103">
        <f>'BS - CF Actuals'!AF118-'BS - CF Actuals'!AE118</f>
        <v>0</v>
      </c>
      <c r="AB36" s="103">
        <f>IF('BS - CF Actuals'!AG4="actual",'BS - CF Actuals'!AG118-'BS - CF Actuals'!AF118,0)</f>
        <v>1053.8999999999651</v>
      </c>
      <c r="AC36" s="103">
        <f>IF('BS - CF Actuals'!AH4="actual",'BS - CF Actuals'!AH118-'BS - CF Actuals'!AG118,0)</f>
        <v>0</v>
      </c>
      <c r="AD36" s="103">
        <f>IF('BS - CF Actuals'!AI4="actual",'BS - CF Actuals'!AI118-'BS - CF Actuals'!AH118,0)</f>
        <v>0</v>
      </c>
      <c r="AE36" s="103">
        <f>IF('BS - CF Actuals'!AJ4="actual",'BS - CF Actuals'!AJ118-'BS - CF Actuals'!AI118,0)</f>
        <v>-15000</v>
      </c>
      <c r="AF36" s="103">
        <f>IF('BS - CF Actuals'!AK4="actual",'BS - CF Actuals'!AK118-'BS - CF Actuals'!AJ118,0)</f>
        <v>0</v>
      </c>
      <c r="AG36" s="103">
        <f>IF('BS - CF Actuals'!AL4="actual",'BS - CF Actuals'!AL118-'BS - CF Actuals'!AK118,0)</f>
        <v>0</v>
      </c>
      <c r="AH36" s="103">
        <f>IF('BS - CF Actuals'!AM4="actual",'BS - CF Actuals'!AM118-'BS - CF Actuals'!AL118,0)</f>
        <v>0</v>
      </c>
      <c r="AI36" s="103">
        <f>IF('BS - CF Actuals'!AN4="actual",'BS - CF Actuals'!AN118-'BS - CF Actuals'!AM118,0)</f>
        <v>0</v>
      </c>
      <c r="AJ36" s="103">
        <f>IF('BS - CF Actuals'!AO4="actual",'BS - CF Actuals'!AO118-'BS - CF Actuals'!AN118,0)</f>
        <v>0</v>
      </c>
      <c r="AK36" s="103">
        <f>IF('BS - CF Actuals'!AP4="actual",'BS - CF Actuals'!AP118-'BS - CF Actuals'!AO118,0)</f>
        <v>0</v>
      </c>
      <c r="AL36" s="103">
        <f>IF('BS - CF Actuals'!AQ4="actual",'BS - CF Actuals'!AQ118-'BS - CF Actuals'!AP118,0)</f>
        <v>0</v>
      </c>
      <c r="AM36" s="103">
        <f>IF('BS - CF Actuals'!AR4="actual",'BS - CF Actuals'!AR118-'BS - CF Actuals'!AQ118,0)</f>
        <v>0</v>
      </c>
      <c r="AN36" s="103">
        <f>IF('BS - CF Actuals'!AS4="actual",'BS - CF Actuals'!AS118-'BS - CF Actuals'!AR118,0)</f>
        <v>0</v>
      </c>
      <c r="AO36" s="103">
        <f>IF('BS - CF Actuals'!AT4="actual",'BS - CF Actuals'!AT118-'BS - CF Actuals'!AS118,0)</f>
        <v>0</v>
      </c>
      <c r="AP36" s="103">
        <f>IF('BS - CF Actuals'!AU4="actual",'BS - CF Actuals'!AU118-'BS - CF Actuals'!AT118,0)</f>
        <v>0</v>
      </c>
      <c r="AQ36" s="103">
        <f>IF('BS - CF Actuals'!AV4="actual",'BS - CF Actuals'!AV118-'BS - CF Actuals'!AU118,0)</f>
        <v>0</v>
      </c>
      <c r="AR36" s="103">
        <f>IF('BS - CF Actuals'!AW4="actual",'BS - CF Actuals'!AW118-'BS - CF Actuals'!AV118,0)</f>
        <v>0</v>
      </c>
      <c r="AS36" s="103">
        <f>IF('BS - CF Actuals'!AX4="actual",'BS - CF Actuals'!AX118-'BS - CF Actuals'!AW118,0)</f>
        <v>0</v>
      </c>
      <c r="AT36" s="103">
        <f>IF('BS - CF Actuals'!AY4="actual",'BS - CF Actuals'!AY118-'BS - CF Actuals'!AX118,0)</f>
        <v>0</v>
      </c>
      <c r="AU36" s="103">
        <f>IF('BS - CF Actuals'!AZ4="actual",'BS - CF Actuals'!AZ118-'BS - CF Actuals'!AY118,0)</f>
        <v>0</v>
      </c>
      <c r="AV36" s="103">
        <f>IF('BS - CF Actuals'!BA4="actual",'BS - CF Actuals'!BA118-'BS - CF Actuals'!AZ118,0)</f>
        <v>0</v>
      </c>
      <c r="AW36" s="103">
        <f>IF('BS - CF Actuals'!BB4="actual",'BS - CF Actuals'!BB118-'BS - CF Actuals'!BA118,0)</f>
        <v>0</v>
      </c>
      <c r="AX36" s="103">
        <f>IF('BS - CF Actuals'!BC4="actual",'BS - CF Actuals'!BC118-'BS - CF Actuals'!BB118,0)</f>
        <v>0</v>
      </c>
      <c r="AY36" s="103">
        <f>IF('BS - CF Actuals'!BD4="actual",'BS - CF Actuals'!BD118-'BS - CF Actuals'!BC118,0)</f>
        <v>0</v>
      </c>
      <c r="AZ36" s="103">
        <f>IF('BS - CF Actuals'!BE4="actual",'BS - CF Actuals'!BE118-'BS - CF Actuals'!BD118,0)</f>
        <v>0</v>
      </c>
      <c r="BA36" s="103">
        <f>IF('BS - CF Actuals'!BF4="actual",'BS - CF Actuals'!BF118-'BS - CF Actuals'!BE118,0)</f>
        <v>0</v>
      </c>
      <c r="BB36" s="103">
        <f>IF('BS - CF Actuals'!BG4="actual",'BS - CF Actuals'!BG118-'BS - CF Actuals'!BF118,0)</f>
        <v>0</v>
      </c>
      <c r="BC36" s="103">
        <f>IF('BS - CF Actuals'!BH4="actual",'BS - CF Actuals'!BH118-'BS - CF Actuals'!BG118,0)</f>
        <v>0</v>
      </c>
      <c r="BD36" s="103">
        <f>IF('BS - CF Actuals'!BI4="actual",'BS - CF Actuals'!BI118-'BS - CF Actuals'!BH118,0)</f>
        <v>0</v>
      </c>
      <c r="BE36" s="103">
        <f>IF('BS - CF Actuals'!BJ4="actual",'BS - CF Actuals'!BJ118-'BS - CF Actuals'!BI118,0)</f>
        <v>0</v>
      </c>
      <c r="BF36" s="103">
        <f>IF('BS - CF Actuals'!BK4="actual",'BS - CF Actuals'!BK118-'BS - CF Actuals'!BJ118,0)</f>
        <v>0</v>
      </c>
      <c r="BG36" s="103">
        <f>IF('BS - CF Actuals'!BL4="actual",'BS - CF Actuals'!BL118-'BS - CF Actuals'!BK118,0)</f>
        <v>0</v>
      </c>
      <c r="BH36" s="103">
        <f>IF('BS - CF Actuals'!BM4="actual",'BS - CF Actuals'!BM118-'BS - CF Actuals'!BL118,0)</f>
        <v>0</v>
      </c>
      <c r="BI36" s="103">
        <f>IF('BS - CF Actuals'!BN4="actual",'BS - CF Actuals'!BN118-'BS - CF Actuals'!BM118,0)</f>
        <v>0</v>
      </c>
      <c r="BJ36" s="103">
        <f>IF('BS - CF Actuals'!BO4="actual",'BS - CF Actuals'!BO118-'BS - CF Actuals'!BN118,0)</f>
        <v>0</v>
      </c>
      <c r="BK36" s="103">
        <f>IF('BS - CF Actuals'!BP4="actual",'BS - CF Actuals'!BP118-'BS - CF Actuals'!BO118,0)</f>
        <v>0</v>
      </c>
      <c r="BL36" s="103">
        <f>IF('BS - CF Actuals'!BQ4="actual",'BS - CF Actuals'!BQ118-'BS - CF Actuals'!BP118,0)</f>
        <v>0</v>
      </c>
      <c r="BM36" s="103">
        <f>IF('BS - CF Actuals'!BR4="actual",'BS - CF Actuals'!BR118-'BS - CF Actuals'!BQ118,0)</f>
        <v>0</v>
      </c>
      <c r="BN36" s="103">
        <f>IF('BS - CF Actuals'!BS4="actual",'BS - CF Actuals'!BS118-'BS - CF Actuals'!BR118,0)</f>
        <v>0</v>
      </c>
      <c r="BO36" s="103">
        <f>IF('BS - CF Actuals'!BT4="actual",'BS - CF Actuals'!BT118-'BS - CF Actuals'!BS118,0)</f>
        <v>0</v>
      </c>
      <c r="BP36" s="103">
        <f>IF('BS - CF Actuals'!BU4="actual",'BS - CF Actuals'!BU118-'BS - CF Actuals'!BT118,0)</f>
        <v>0</v>
      </c>
      <c r="BQ36" s="103">
        <f>IF('BS - CF Actuals'!BV4="actual",'BS - CF Actuals'!BV118-'BS - CF Actuals'!BU118,0)</f>
        <v>0</v>
      </c>
      <c r="BR36" s="103">
        <f>IF('BS - CF Actuals'!BW4="actual",'BS - CF Actuals'!BW118-'BS - CF Actuals'!BV118,0)</f>
        <v>0</v>
      </c>
      <c r="BS36" s="103">
        <f>IF('BS - CF Actuals'!BX4="actual",'BS - CF Actuals'!BX118-'BS - CF Actuals'!BW118,0)</f>
        <v>0</v>
      </c>
      <c r="BT36" s="103">
        <f>IF('BS - CF Actuals'!BY4="actual",'BS - CF Actuals'!BY118-'BS - CF Actuals'!BX118,0)</f>
        <v>0</v>
      </c>
      <c r="BU36" s="103">
        <f>IF('BS - CF Actuals'!BZ4="actual",'BS - CF Actuals'!BZ118-'BS - CF Actuals'!BY118,0)</f>
        <v>0</v>
      </c>
      <c r="BV36" s="103">
        <f>IF('BS - CF Actuals'!CA4="actual",'BS - CF Actuals'!CA118-'BS - CF Actuals'!BZ118,0)</f>
        <v>0</v>
      </c>
    </row>
    <row r="37" spans="1:74" outlineLevel="2" x14ac:dyDescent="0.2">
      <c r="B37" s="26" t="s">
        <v>1315</v>
      </c>
      <c r="E37" s="103"/>
      <c r="F37" s="103"/>
      <c r="G37" s="103"/>
      <c r="H37" s="103"/>
      <c r="I37" s="103"/>
      <c r="J37" s="103"/>
      <c r="K37" s="103"/>
      <c r="L37" s="226"/>
      <c r="M37" s="103"/>
      <c r="N37" s="103"/>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c r="BF37" s="103"/>
      <c r="BG37" s="103"/>
      <c r="BH37" s="103"/>
      <c r="BI37" s="103"/>
      <c r="BJ37" s="103"/>
      <c r="BK37" s="103"/>
      <c r="BL37" s="103"/>
      <c r="BM37" s="103"/>
      <c r="BN37" s="103"/>
      <c r="BO37" s="103"/>
      <c r="BP37" s="103"/>
      <c r="BQ37" s="103"/>
      <c r="BR37" s="103"/>
      <c r="BS37" s="103"/>
      <c r="BT37" s="103"/>
      <c r="BU37" s="103"/>
      <c r="BV37" s="103"/>
    </row>
    <row r="38" spans="1:74" outlineLevel="1" x14ac:dyDescent="0.2">
      <c r="A38" s="23" t="s">
        <v>177</v>
      </c>
      <c r="E38" s="112">
        <f t="shared" ref="E38:O38" si="14">SUM(E29:E36)</f>
        <v>-16667</v>
      </c>
      <c r="F38" s="112">
        <f t="shared" si="14"/>
        <v>-554300.66</v>
      </c>
      <c r="G38" s="112">
        <f t="shared" si="14"/>
        <v>-266666.66000000003</v>
      </c>
      <c r="H38" s="112">
        <f t="shared" si="14"/>
        <v>-554300.66</v>
      </c>
      <c r="I38" s="112">
        <f t="shared" si="14"/>
        <v>-216666.66000000047</v>
      </c>
      <c r="J38" s="112">
        <f t="shared" si="14"/>
        <v>-316666.66000000003</v>
      </c>
      <c r="K38" s="112">
        <f t="shared" si="14"/>
        <v>-216666.66000000047</v>
      </c>
      <c r="L38" s="112">
        <f t="shared" si="14"/>
        <v>-16667.039999999994</v>
      </c>
      <c r="M38" s="112">
        <f t="shared" si="14"/>
        <v>-849999.99999999907</v>
      </c>
      <c r="N38" s="112">
        <f t="shared" si="14"/>
        <v>-600000</v>
      </c>
      <c r="O38" s="112">
        <f t="shared" si="14"/>
        <v>-1075270.0000000009</v>
      </c>
      <c r="P38" s="112">
        <f>SUM(P29:P31,P34:P36)</f>
        <v>27421324.120000001</v>
      </c>
      <c r="Q38" s="112">
        <f>SUM(Q29:Q31,Q34:Q36)</f>
        <v>-60478.970000000227</v>
      </c>
      <c r="R38" s="112">
        <f>SUM(R29:R31,R34:R36)</f>
        <v>-60267.009999999776</v>
      </c>
      <c r="S38" s="112">
        <f t="shared" ref="S38:W38" si="15">SUM(S29:S31,S34:S36)</f>
        <v>-60084.020000000019</v>
      </c>
      <c r="T38" s="112">
        <f t="shared" si="15"/>
        <v>-77532.319999999832</v>
      </c>
      <c r="U38" s="112">
        <f t="shared" si="15"/>
        <v>-103333.33000000007</v>
      </c>
      <c r="V38" s="112">
        <f t="shared" si="15"/>
        <v>-103333.33000000007</v>
      </c>
      <c r="W38" s="112">
        <f t="shared" si="15"/>
        <v>-103333.33000000007</v>
      </c>
      <c r="X38" s="112">
        <f>SUM(X29:X31,X34:X36)</f>
        <v>-103333.32999999984</v>
      </c>
      <c r="Y38" s="112">
        <f t="shared" ref="Y38:Z38" si="16">SUM(Y29:Y31,Y34:Y36)</f>
        <v>-103333.33000000007</v>
      </c>
      <c r="Z38" s="112">
        <f t="shared" si="16"/>
        <v>-103333.33000000007</v>
      </c>
      <c r="AA38" s="112">
        <f t="shared" ref="AA38:AC38" si="17">SUM(AA29:AA31,AA34:AA36)</f>
        <v>-103333.32999999984</v>
      </c>
      <c r="AB38" s="112">
        <f t="shared" si="17"/>
        <v>-102279.43000000011</v>
      </c>
      <c r="AC38" s="112">
        <f t="shared" si="17"/>
        <v>-103333.33000000007</v>
      </c>
      <c r="AD38" s="112">
        <f t="shared" ref="AD38:AN38" si="18">SUM(AD29:AD31,AD34:AD36)</f>
        <v>-103333.32999999984</v>
      </c>
      <c r="AE38" s="112">
        <f t="shared" si="18"/>
        <v>-118333.33000000007</v>
      </c>
      <c r="AF38" s="112">
        <f t="shared" si="18"/>
        <v>98030.820580764208</v>
      </c>
      <c r="AG38" s="112">
        <f t="shared" si="18"/>
        <v>0</v>
      </c>
      <c r="AH38" s="112">
        <f t="shared" si="18"/>
        <v>0</v>
      </c>
      <c r="AI38" s="112">
        <f t="shared" si="18"/>
        <v>0</v>
      </c>
      <c r="AJ38" s="112">
        <f t="shared" si="18"/>
        <v>0</v>
      </c>
      <c r="AK38" s="112">
        <f t="shared" si="18"/>
        <v>0</v>
      </c>
      <c r="AL38" s="112">
        <f t="shared" si="18"/>
        <v>0</v>
      </c>
      <c r="AM38" s="112">
        <f t="shared" si="18"/>
        <v>0</v>
      </c>
      <c r="AN38" s="112">
        <f t="shared" si="18"/>
        <v>0</v>
      </c>
      <c r="AO38" s="112">
        <f t="shared" ref="AO38:AZ38" si="19">SUM(AO29:AO31,AO34:AO36)</f>
        <v>0</v>
      </c>
      <c r="AP38" s="112">
        <f t="shared" si="19"/>
        <v>0</v>
      </c>
      <c r="AQ38" s="112">
        <f t="shared" si="19"/>
        <v>0</v>
      </c>
      <c r="AR38" s="112">
        <f t="shared" si="19"/>
        <v>0</v>
      </c>
      <c r="AS38" s="112">
        <f t="shared" si="19"/>
        <v>0</v>
      </c>
      <c r="AT38" s="112">
        <f t="shared" si="19"/>
        <v>0</v>
      </c>
      <c r="AU38" s="112">
        <f t="shared" si="19"/>
        <v>0</v>
      </c>
      <c r="AV38" s="112">
        <f t="shared" si="19"/>
        <v>0</v>
      </c>
      <c r="AW38" s="112">
        <f t="shared" si="19"/>
        <v>0</v>
      </c>
      <c r="AX38" s="112">
        <f t="shared" si="19"/>
        <v>0</v>
      </c>
      <c r="AY38" s="112">
        <f t="shared" si="19"/>
        <v>0</v>
      </c>
      <c r="AZ38" s="112">
        <f t="shared" si="19"/>
        <v>0</v>
      </c>
      <c r="BA38" s="112">
        <f t="shared" ref="BA38:BL38" si="20">SUM(BA29:BA31,BA34:BA36)</f>
        <v>0</v>
      </c>
      <c r="BB38" s="112">
        <f t="shared" si="20"/>
        <v>0</v>
      </c>
      <c r="BC38" s="112">
        <f t="shared" si="20"/>
        <v>0</v>
      </c>
      <c r="BD38" s="112">
        <f t="shared" si="20"/>
        <v>0</v>
      </c>
      <c r="BE38" s="112">
        <f t="shared" si="20"/>
        <v>0</v>
      </c>
      <c r="BF38" s="112">
        <f t="shared" si="20"/>
        <v>0</v>
      </c>
      <c r="BG38" s="112">
        <f t="shared" si="20"/>
        <v>0</v>
      </c>
      <c r="BH38" s="112">
        <f t="shared" si="20"/>
        <v>0</v>
      </c>
      <c r="BI38" s="112">
        <f t="shared" si="20"/>
        <v>0</v>
      </c>
      <c r="BJ38" s="112">
        <f t="shared" si="20"/>
        <v>0</v>
      </c>
      <c r="BK38" s="112">
        <f t="shared" si="20"/>
        <v>0</v>
      </c>
      <c r="BL38" s="112">
        <f t="shared" si="20"/>
        <v>0</v>
      </c>
      <c r="BM38" s="112">
        <f t="shared" ref="BM38:BS38" si="21">SUM(BM29:BM31,BM34:BM36)</f>
        <v>0</v>
      </c>
      <c r="BN38" s="112">
        <f t="shared" si="21"/>
        <v>0</v>
      </c>
      <c r="BO38" s="112">
        <f t="shared" si="21"/>
        <v>0</v>
      </c>
      <c r="BP38" s="112">
        <f t="shared" si="21"/>
        <v>0</v>
      </c>
      <c r="BQ38" s="112">
        <f t="shared" si="21"/>
        <v>0</v>
      </c>
      <c r="BR38" s="112">
        <f t="shared" si="21"/>
        <v>0</v>
      </c>
      <c r="BS38" s="112">
        <f t="shared" si="21"/>
        <v>0</v>
      </c>
      <c r="BT38" s="112">
        <f t="shared" ref="BT38:BV38" si="22">SUM(BT29:BT31,BT34:BT36)</f>
        <v>0</v>
      </c>
      <c r="BU38" s="112">
        <f t="shared" si="22"/>
        <v>0</v>
      </c>
      <c r="BV38" s="112">
        <f t="shared" si="22"/>
        <v>0</v>
      </c>
    </row>
    <row r="39" spans="1:74" outlineLevel="2" x14ac:dyDescent="0.2">
      <c r="E39" s="103"/>
      <c r="F39" s="103"/>
      <c r="G39" s="103"/>
      <c r="H39" s="103"/>
      <c r="I39" s="103"/>
      <c r="J39" s="103"/>
      <c r="K39" s="103"/>
      <c r="L39" s="24"/>
      <c r="M39" s="103"/>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c r="BF39" s="103"/>
      <c r="BG39" s="103"/>
      <c r="BH39" s="103"/>
      <c r="BI39" s="103"/>
      <c r="BJ39" s="103"/>
      <c r="BK39" s="103"/>
      <c r="BL39" s="103"/>
      <c r="BM39" s="103"/>
      <c r="BN39" s="103"/>
      <c r="BO39" s="103"/>
      <c r="BP39" s="103"/>
      <c r="BQ39" s="103"/>
      <c r="BR39" s="103"/>
      <c r="BS39" s="103"/>
      <c r="BT39" s="103"/>
      <c r="BU39" s="103"/>
      <c r="BV39" s="103"/>
    </row>
    <row r="40" spans="1:74" outlineLevel="1" x14ac:dyDescent="0.2">
      <c r="A40" s="26" t="s">
        <v>128</v>
      </c>
      <c r="E40" s="103">
        <v>1003428.81</v>
      </c>
      <c r="F40" s="103">
        <f>'BS - Monthly'!F8</f>
        <v>1572588.96</v>
      </c>
      <c r="G40" s="103">
        <f>'BS - Monthly'!G8</f>
        <v>1390004.54</v>
      </c>
      <c r="H40" s="103">
        <f>'BS - Monthly'!H8</f>
        <v>1562923.57</v>
      </c>
      <c r="I40" s="103">
        <f>'BS - Monthly'!I8</f>
        <v>1655539.08</v>
      </c>
      <c r="J40" s="103">
        <f>'BS - Monthly'!J8</f>
        <v>2522633.6199999996</v>
      </c>
      <c r="K40" s="103">
        <f>'BS - Monthly'!K8</f>
        <v>2439482.09</v>
      </c>
      <c r="L40" s="24">
        <f>'BS - Monthly'!L8</f>
        <v>2672024.4699999997</v>
      </c>
      <c r="M40" s="103">
        <f>'BS - Monthly'!M8</f>
        <v>2738927.5500000003</v>
      </c>
      <c r="N40" s="103">
        <f>'BS - Monthly'!N8</f>
        <v>2469471.3199999998</v>
      </c>
      <c r="O40" s="103">
        <f>'BS - Monthly'!O8</f>
        <v>2267774.33</v>
      </c>
      <c r="P40" s="103">
        <f>'BS - Monthly'!P8</f>
        <v>1614256.28</v>
      </c>
      <c r="Q40" s="103">
        <f>'BS - Monthly'!Q8</f>
        <v>5762942.2999999998</v>
      </c>
      <c r="R40" s="103">
        <f>'BS - Monthly'!R8</f>
        <v>5602920.8500000006</v>
      </c>
      <c r="S40" s="103">
        <f>'BS - Monthly'!S8</f>
        <v>5625526.0999999996</v>
      </c>
      <c r="T40" s="103">
        <f>'BS - Monthly'!T8</f>
        <v>6700298.6899999995</v>
      </c>
      <c r="U40" s="103">
        <f>'BS - Monthly'!U8</f>
        <v>6699346.2999999998</v>
      </c>
      <c r="V40" s="103">
        <f>'BS - Monthly'!V8</f>
        <v>6564170.8399999999</v>
      </c>
      <c r="W40" s="103">
        <f>'BS - Monthly'!W8</f>
        <v>6551019.1999999993</v>
      </c>
      <c r="X40" s="103">
        <f>'BS - Monthly'!X8</f>
        <v>6029409.4299999997</v>
      </c>
      <c r="Y40" s="103">
        <f>'BS - Monthly'!Y8</f>
        <v>5145176.43</v>
      </c>
      <c r="Z40" s="103">
        <f>'BS - Monthly'!Z8</f>
        <v>5413089.0899999999</v>
      </c>
      <c r="AA40" s="103">
        <f>'BS - Monthly'!AA8</f>
        <v>4842332.95</v>
      </c>
      <c r="AB40" s="103">
        <f>'BS - Monthly'!AB8</f>
        <v>4411224.8999999994</v>
      </c>
      <c r="AC40" s="103">
        <f>'BS - Monthly'!AC8</f>
        <v>3801829.25</v>
      </c>
      <c r="AD40" s="103">
        <f>'BS - Monthly'!AD8</f>
        <v>3279300.4899999998</v>
      </c>
      <c r="AE40" s="103">
        <f>'BS - Monthly'!AE8</f>
        <v>3205559.74</v>
      </c>
      <c r="AF40" s="103">
        <f>'BS - Monthly'!AF8</f>
        <v>3401813.99</v>
      </c>
      <c r="AG40" s="103">
        <f ca="1">'BS - Monthly'!AG8</f>
        <v>3483826.6259020367</v>
      </c>
      <c r="AH40" s="103">
        <f ca="1">'BS - Monthly'!AH8</f>
        <v>2968879.1229190915</v>
      </c>
      <c r="AI40" s="103">
        <f ca="1">'BS - Monthly'!AI8</f>
        <v>2508424.2691714419</v>
      </c>
      <c r="AJ40" s="103">
        <f ca="1">'BS - Monthly'!AJ8</f>
        <v>1929585.433138005</v>
      </c>
      <c r="AK40" s="103">
        <f ca="1">'BS - Monthly'!AK8</f>
        <v>1685537.0787915494</v>
      </c>
      <c r="AL40" s="103">
        <f ca="1">'BS - Monthly'!AL8</f>
        <v>1771441.0418700925</v>
      </c>
      <c r="AM40" s="103">
        <f ca="1">'BS - Monthly'!AM8</f>
        <v>1808724.1264960591</v>
      </c>
      <c r="AN40" s="103">
        <f ca="1">'BS - Monthly'!AN8</f>
        <v>1890644.3705891606</v>
      </c>
      <c r="AO40" s="103">
        <f ca="1">'BS - Monthly'!AO8</f>
        <v>2047379.2653167362</v>
      </c>
      <c r="AP40" s="103">
        <f ca="1">'BS - Monthly'!AP8</f>
        <v>-3349446.18512615</v>
      </c>
      <c r="AQ40" s="103">
        <f ca="1">'BS - Monthly'!AQ8</f>
        <v>-3282852.4424247509</v>
      </c>
      <c r="AR40" s="103">
        <f ca="1">'BS - Monthly'!AR8</f>
        <v>-1963278.9588934756</v>
      </c>
      <c r="AS40" s="103">
        <f ca="1">'BS - Monthly'!AS8</f>
        <v>-527252.59531504544</v>
      </c>
      <c r="AT40" s="103">
        <f ca="1">'BS - Monthly'!AT8</f>
        <v>1022557.2273382463</v>
      </c>
      <c r="AU40" s="103">
        <f ca="1">'BS - Monthly'!AU8</f>
        <v>2685299.3887383845</v>
      </c>
      <c r="AV40" s="103">
        <f ca="1">'BS - Monthly'!AV8</f>
        <v>4461171.4281833712</v>
      </c>
      <c r="AW40" s="103">
        <f ca="1">'BS - Monthly'!AW8</f>
        <v>6351854.0467417287</v>
      </c>
      <c r="AX40" s="103">
        <f ca="1">'BS - Monthly'!AX8</f>
        <v>8358482.008868264</v>
      </c>
      <c r="AY40" s="103">
        <f ca="1">'BS - Monthly'!AY8</f>
        <v>10472867.479808627</v>
      </c>
      <c r="AZ40" s="103">
        <f ca="1">'BS - Monthly'!AZ8</f>
        <v>12700257.185068276</v>
      </c>
      <c r="BA40" s="103">
        <f ca="1">'BS - Monthly'!BA8</f>
        <v>15036233.581753073</v>
      </c>
      <c r="BB40" s="103">
        <f ca="1">'BS - Monthly'!BB8</f>
        <v>13363681.803941265</v>
      </c>
      <c r="BC40" s="103">
        <f ca="1">'BS - Monthly'!BC8</f>
        <v>11539631.797386486</v>
      </c>
      <c r="BD40" s="103">
        <f ca="1">'BS - Monthly'!BD8</f>
        <v>9646324.7439189758</v>
      </c>
      <c r="BE40" s="103">
        <f ca="1">'BS - Monthly'!BE8</f>
        <v>7769438.5843118103</v>
      </c>
      <c r="BF40" s="103">
        <f ca="1">'BS - Monthly'!BF8</f>
        <v>5885279.2236629445</v>
      </c>
      <c r="BG40" s="103">
        <f ca="1">'BS - Monthly'!BG8</f>
        <v>3994844.2928157598</v>
      </c>
      <c r="BH40" s="103">
        <f ca="1">'BS - Monthly'!BH8</f>
        <v>2096944.6302870275</v>
      </c>
      <c r="BI40" s="103">
        <f ca="1">'BS - Monthly'!BI8</f>
        <v>192559.38264332875</v>
      </c>
      <c r="BJ40" s="103">
        <f ca="1">'BS - Monthly'!BJ8</f>
        <v>-1719483.0259515771</v>
      </c>
      <c r="BK40" s="103">
        <f ca="1">'BS - Monthly'!BK8</f>
        <v>-3638212.3928307956</v>
      </c>
      <c r="BL40" s="103">
        <f ca="1">'BS - Monthly'!BL8</f>
        <v>-5564796.7377337608</v>
      </c>
      <c r="BM40" s="103">
        <f ca="1">'BS - Monthly'!BM8</f>
        <v>-7502736.4050297597</v>
      </c>
      <c r="BN40" s="103">
        <f ca="1">'BS - Monthly'!BN8</f>
        <v>-9119728.1680496894</v>
      </c>
      <c r="BO40" s="103">
        <f ca="1">'BS - Monthly'!BO8</f>
        <v>-10694657.759152435</v>
      </c>
      <c r="BP40" s="103">
        <f ca="1">'BS - Monthly'!BP8</f>
        <v>-12279595.655153709</v>
      </c>
      <c r="BQ40" s="103">
        <f ca="1">'BS - Monthly'!BQ8</f>
        <v>-13871874.051413313</v>
      </c>
      <c r="BR40" s="103">
        <f ca="1">'BS - Monthly'!BR8</f>
        <v>-15472669.388458235</v>
      </c>
      <c r="BS40" s="103">
        <f ca="1">'BS - Monthly'!BS8</f>
        <v>-17081033.699816082</v>
      </c>
      <c r="BT40" s="103">
        <f ca="1">'BS - Monthly'!BT8</f>
        <v>-18698162.927849341</v>
      </c>
      <c r="BU40" s="103">
        <f ca="1">'BS - Monthly'!BU8</f>
        <v>-20323652.913852718</v>
      </c>
      <c r="BV40" s="103">
        <f ca="1">'BS - Monthly'!BV8</f>
        <v>-21957100.676755257</v>
      </c>
    </row>
    <row r="41" spans="1:74" x14ac:dyDescent="0.2">
      <c r="A41" s="26" t="s">
        <v>129</v>
      </c>
      <c r="E41" s="103">
        <f>SUM(E19,E25,E38)</f>
        <v>569179.50821978436</v>
      </c>
      <c r="F41" s="103">
        <f t="shared" ref="F41:AB41" si="23">SUM(F19,F25,F38)</f>
        <v>-182569.56474333256</v>
      </c>
      <c r="G41" s="103">
        <f t="shared" si="23"/>
        <v>172982.32457666588</v>
      </c>
      <c r="H41" s="103">
        <f t="shared" si="23"/>
        <v>92664.532156667323</v>
      </c>
      <c r="I41" s="103">
        <f t="shared" si="23"/>
        <v>867096.89965666563</v>
      </c>
      <c r="J41" s="103">
        <f t="shared" si="23"/>
        <v>-83080.866673333134</v>
      </c>
      <c r="K41" s="103">
        <f t="shared" si="23"/>
        <v>232584.61759666589</v>
      </c>
      <c r="L41" s="24">
        <f t="shared" si="23"/>
        <v>66933.666566666798</v>
      </c>
      <c r="M41" s="103">
        <f t="shared" si="23"/>
        <v>-269438.28543333232</v>
      </c>
      <c r="N41" s="103">
        <f t="shared" si="23"/>
        <v>-201426.51264333265</v>
      </c>
      <c r="O41" s="103">
        <f t="shared" si="23"/>
        <v>-653120.16094333399</v>
      </c>
      <c r="P41" s="103">
        <f t="shared" si="23"/>
        <v>4148815.2420173027</v>
      </c>
      <c r="Q41" s="103">
        <f t="shared" si="23"/>
        <v>-258867.50000000052</v>
      </c>
      <c r="R41" s="103">
        <f t="shared" si="23"/>
        <v>21805.239999999976</v>
      </c>
      <c r="S41" s="103">
        <f t="shared" si="23"/>
        <v>1076372.4700000002</v>
      </c>
      <c r="T41" s="103">
        <f t="shared" si="23"/>
        <v>-1009.1999999993714</v>
      </c>
      <c r="U41" s="103">
        <f t="shared" si="23"/>
        <v>-135175.4599999999</v>
      </c>
      <c r="V41" s="103">
        <f t="shared" si="23"/>
        <v>-13151.640000000421</v>
      </c>
      <c r="W41" s="103">
        <f t="shared" si="23"/>
        <v>-521615.88999999984</v>
      </c>
      <c r="X41" s="103">
        <f t="shared" ref="X41" si="24">SUM(X19,X25,X38)</f>
        <v>-884232.98999999848</v>
      </c>
      <c r="Y41" s="103">
        <f t="shared" si="23"/>
        <v>267912.6599999991</v>
      </c>
      <c r="Z41" s="103">
        <f>SUM(Z19,Z25,Z38)</f>
        <v>-570756.13999999943</v>
      </c>
      <c r="AA41" s="103">
        <f t="shared" si="23"/>
        <v>-431108.05000000051</v>
      </c>
      <c r="AB41" s="103">
        <f t="shared" si="23"/>
        <v>-609395.64999999921</v>
      </c>
      <c r="AC41" s="103">
        <f t="shared" ref="AC41:AM41" si="25">SUM(AC19,AC25,AC38)</f>
        <v>-523768.72000000055</v>
      </c>
      <c r="AD41" s="103">
        <f t="shared" si="25"/>
        <v>-70615.749999999651</v>
      </c>
      <c r="AE41" s="103">
        <f t="shared" si="25"/>
        <v>196254.24999999977</v>
      </c>
      <c r="AF41" s="103">
        <f t="shared" ca="1" si="25"/>
        <v>82012.635902036331</v>
      </c>
      <c r="AG41" s="103">
        <f t="shared" ca="1" si="25"/>
        <v>-514947.5029829453</v>
      </c>
      <c r="AH41" s="103">
        <f t="shared" ca="1" si="25"/>
        <v>-460454.85374764947</v>
      </c>
      <c r="AI41" s="103">
        <f t="shared" ca="1" si="25"/>
        <v>-578838.83603343682</v>
      </c>
      <c r="AJ41" s="103">
        <f t="shared" ca="1" si="25"/>
        <v>-244048.35434645548</v>
      </c>
      <c r="AK41" s="103">
        <f t="shared" ca="1" si="25"/>
        <v>85903.96307854302</v>
      </c>
      <c r="AL41" s="103">
        <f t="shared" ca="1" si="25"/>
        <v>37283.084625966556</v>
      </c>
      <c r="AM41" s="103">
        <f t="shared" ca="1" si="25"/>
        <v>81920.244093101413</v>
      </c>
      <c r="AN41" s="103">
        <f ca="1">SUM(AN19,AN25,AN38)</f>
        <v>156734.89472757553</v>
      </c>
      <c r="AO41" s="103">
        <f t="shared" ref="AO41:AZ41" ca="1" si="26">SUM(AO19,AO25,AO38)</f>
        <v>-5396825.450442886</v>
      </c>
      <c r="AP41" s="103">
        <f t="shared" ca="1" si="26"/>
        <v>66593.74270139914</v>
      </c>
      <c r="AQ41" s="103">
        <f t="shared" ca="1" si="26"/>
        <v>1319573.4835312753</v>
      </c>
      <c r="AR41" s="103">
        <f t="shared" ca="1" si="26"/>
        <v>1436026.3635784301</v>
      </c>
      <c r="AS41" s="103">
        <f t="shared" ca="1" si="26"/>
        <v>1549809.8226532917</v>
      </c>
      <c r="AT41" s="103">
        <f t="shared" ca="1" si="26"/>
        <v>1662742.1614001379</v>
      </c>
      <c r="AU41" s="103">
        <f t="shared" ca="1" si="26"/>
        <v>1775872.0394449865</v>
      </c>
      <c r="AV41" s="103">
        <f t="shared" ca="1" si="26"/>
        <v>1890682.6185583577</v>
      </c>
      <c r="AW41" s="103">
        <f t="shared" ca="1" si="26"/>
        <v>2006627.9621265349</v>
      </c>
      <c r="AX41" s="103">
        <f t="shared" ca="1" si="26"/>
        <v>2114385.4709403631</v>
      </c>
      <c r="AY41" s="103">
        <f t="shared" ca="1" si="26"/>
        <v>2227389.7052596486</v>
      </c>
      <c r="AZ41" s="103">
        <f t="shared" ca="1" si="26"/>
        <v>2335976.3966847975</v>
      </c>
      <c r="BA41" s="103">
        <f t="shared" ref="BA41:BL41" ca="1" si="27">SUM(BA19,BA25,BA38)</f>
        <v>-1672551.7778118087</v>
      </c>
      <c r="BB41" s="103">
        <f t="shared" ca="1" si="27"/>
        <v>-1824050.006554778</v>
      </c>
      <c r="BC41" s="103">
        <f t="shared" ca="1" si="27"/>
        <v>-1893307.0534675107</v>
      </c>
      <c r="BD41" s="103">
        <f t="shared" ca="1" si="27"/>
        <v>-1876886.1596071657</v>
      </c>
      <c r="BE41" s="103">
        <f t="shared" ca="1" si="27"/>
        <v>-1884159.3606488653</v>
      </c>
      <c r="BF41" s="103">
        <f t="shared" ca="1" si="27"/>
        <v>-1890434.9308471847</v>
      </c>
      <c r="BG41" s="103">
        <f t="shared" ca="1" si="27"/>
        <v>-1897899.6625287323</v>
      </c>
      <c r="BH41" s="103">
        <f t="shared" ca="1" si="27"/>
        <v>-1904385.2476436987</v>
      </c>
      <c r="BI41" s="103">
        <f t="shared" ca="1" si="27"/>
        <v>-1912042.4085949059</v>
      </c>
      <c r="BJ41" s="103">
        <f t="shared" ca="1" si="27"/>
        <v>-1918729.3668792183</v>
      </c>
      <c r="BK41" s="103">
        <f t="shared" ca="1" si="27"/>
        <v>-1926584.3449029655</v>
      </c>
      <c r="BL41" s="103">
        <f t="shared" ca="1" si="27"/>
        <v>-1937939.6672959991</v>
      </c>
      <c r="BM41" s="103">
        <f t="shared" ref="BM41:BS41" ca="1" si="28">SUM(BM19,BM25,BM38)</f>
        <v>-1616991.7630199287</v>
      </c>
      <c r="BN41" s="103">
        <f t="shared" ca="1" si="28"/>
        <v>-1574929.5911027461</v>
      </c>
      <c r="BO41" s="103">
        <f t="shared" ca="1" si="28"/>
        <v>-1584937.8960012745</v>
      </c>
      <c r="BP41" s="103">
        <f t="shared" ca="1" si="28"/>
        <v>-1592278.3962596045</v>
      </c>
      <c r="BQ41" s="103">
        <f t="shared" ca="1" si="28"/>
        <v>-1600795.3370449219</v>
      </c>
      <c r="BR41" s="103">
        <f t="shared" ca="1" si="28"/>
        <v>-1608364.3113578476</v>
      </c>
      <c r="BS41" s="103">
        <f t="shared" ca="1" si="28"/>
        <v>-1617129.2280332588</v>
      </c>
      <c r="BT41" s="103">
        <f t="shared" ref="BT41:BV41" ca="1" si="29">SUM(BT19,BT25,BT38)</f>
        <v>-1625489.9860033756</v>
      </c>
      <c r="BU41" s="103">
        <f t="shared" ca="1" si="29"/>
        <v>-1633447.7629025392</v>
      </c>
      <c r="BV41" s="103">
        <f t="shared" ca="1" si="29"/>
        <v>-1642611.8331769765</v>
      </c>
    </row>
    <row r="42" spans="1:74" ht="13.5" thickBot="1" x14ac:dyDescent="0.25">
      <c r="A42" s="23" t="s">
        <v>130</v>
      </c>
      <c r="E42" s="207">
        <f>SUM(E40:E41)</f>
        <v>1572608.3182197844</v>
      </c>
      <c r="F42" s="108">
        <f t="shared" ref="F42:P42" si="30">SUM(F40:F41)</f>
        <v>1390019.3952566674</v>
      </c>
      <c r="G42" s="108">
        <f t="shared" si="30"/>
        <v>1562986.8645766659</v>
      </c>
      <c r="H42" s="108">
        <f t="shared" si="30"/>
        <v>1655588.1021566675</v>
      </c>
      <c r="I42" s="108">
        <f t="shared" si="30"/>
        <v>2522635.9796566656</v>
      </c>
      <c r="J42" s="108">
        <f t="shared" si="30"/>
        <v>2439552.7533266665</v>
      </c>
      <c r="K42" s="108">
        <f t="shared" si="30"/>
        <v>2672066.7075966657</v>
      </c>
      <c r="L42" s="198">
        <f t="shared" si="30"/>
        <v>2738958.1365666664</v>
      </c>
      <c r="M42" s="108">
        <f t="shared" si="30"/>
        <v>2469489.2645666678</v>
      </c>
      <c r="N42" s="108">
        <f t="shared" si="30"/>
        <v>2268044.8073566672</v>
      </c>
      <c r="O42" s="108">
        <f t="shared" si="30"/>
        <v>1614654.1690566661</v>
      </c>
      <c r="P42" s="108">
        <f t="shared" si="30"/>
        <v>5763071.5220173029</v>
      </c>
      <c r="Q42" s="108">
        <f t="shared" ref="Q42:AA42" si="31">SUM(Q40:Q41)</f>
        <v>5504074.7999999989</v>
      </c>
      <c r="R42" s="108">
        <f t="shared" si="31"/>
        <v>5624726.0900000008</v>
      </c>
      <c r="S42" s="108">
        <f t="shared" si="31"/>
        <v>6701898.5700000003</v>
      </c>
      <c r="T42" s="108">
        <f t="shared" si="31"/>
        <v>6699289.4900000002</v>
      </c>
      <c r="U42" s="108">
        <f t="shared" si="31"/>
        <v>6564170.8399999999</v>
      </c>
      <c r="V42" s="108">
        <f t="shared" si="31"/>
        <v>6551019.1999999993</v>
      </c>
      <c r="W42" s="108">
        <f t="shared" si="31"/>
        <v>6029403.3099999996</v>
      </c>
      <c r="X42" s="108">
        <f t="shared" ref="X42" si="32">SUM(X40:X41)</f>
        <v>5145176.4400000013</v>
      </c>
      <c r="Y42" s="108">
        <f t="shared" si="31"/>
        <v>5413089.0899999989</v>
      </c>
      <c r="Z42" s="108">
        <f t="shared" si="31"/>
        <v>4842332.95</v>
      </c>
      <c r="AA42" s="108">
        <f t="shared" si="31"/>
        <v>4411224.8999999994</v>
      </c>
      <c r="AB42" s="108">
        <f>SUM(AB40:AB41)</f>
        <v>3801829.25</v>
      </c>
      <c r="AC42" s="108">
        <f t="shared" ref="AC42:AM42" si="33">SUM(AC40:AC41)</f>
        <v>3278060.5299999993</v>
      </c>
      <c r="AD42" s="108">
        <f t="shared" si="33"/>
        <v>3208684.74</v>
      </c>
      <c r="AE42" s="108">
        <f t="shared" si="33"/>
        <v>3401813.99</v>
      </c>
      <c r="AF42" s="108">
        <f t="shared" ca="1" si="33"/>
        <v>3483826.6259020367</v>
      </c>
      <c r="AG42" s="108">
        <f t="shared" ca="1" si="33"/>
        <v>2968879.1229190915</v>
      </c>
      <c r="AH42" s="108">
        <f t="shared" ca="1" si="33"/>
        <v>2508424.2691714419</v>
      </c>
      <c r="AI42" s="108">
        <f t="shared" ca="1" si="33"/>
        <v>1929585.433138005</v>
      </c>
      <c r="AJ42" s="108">
        <f t="shared" ca="1" si="33"/>
        <v>1685537.0787915494</v>
      </c>
      <c r="AK42" s="108">
        <f t="shared" ca="1" si="33"/>
        <v>1771441.0418700925</v>
      </c>
      <c r="AL42" s="108">
        <f t="shared" ca="1" si="33"/>
        <v>1808724.1264960591</v>
      </c>
      <c r="AM42" s="108">
        <f t="shared" ca="1" si="33"/>
        <v>1890644.3705891606</v>
      </c>
      <c r="AN42" s="108">
        <f ca="1">SUM(AN40:AN41)</f>
        <v>2047379.2653167362</v>
      </c>
      <c r="AO42" s="108">
        <f t="shared" ref="AO42:AZ42" ca="1" si="34">SUM(AO40:AO41)</f>
        <v>-3349446.18512615</v>
      </c>
      <c r="AP42" s="108">
        <f t="shared" ca="1" si="34"/>
        <v>-3282852.4424247509</v>
      </c>
      <c r="AQ42" s="108">
        <f t="shared" ca="1" si="34"/>
        <v>-1963278.9588934756</v>
      </c>
      <c r="AR42" s="108">
        <f t="shared" ca="1" si="34"/>
        <v>-527252.59531504544</v>
      </c>
      <c r="AS42" s="108">
        <f t="shared" ca="1" si="34"/>
        <v>1022557.2273382463</v>
      </c>
      <c r="AT42" s="108">
        <f t="shared" ca="1" si="34"/>
        <v>2685299.3887383845</v>
      </c>
      <c r="AU42" s="108">
        <f t="shared" ca="1" si="34"/>
        <v>4461171.4281833712</v>
      </c>
      <c r="AV42" s="108">
        <f t="shared" ca="1" si="34"/>
        <v>6351854.0467417287</v>
      </c>
      <c r="AW42" s="108">
        <f t="shared" ca="1" si="34"/>
        <v>8358482.008868264</v>
      </c>
      <c r="AX42" s="108">
        <f t="shared" ca="1" si="34"/>
        <v>10472867.479808627</v>
      </c>
      <c r="AY42" s="108">
        <f t="shared" ca="1" si="34"/>
        <v>12700257.185068276</v>
      </c>
      <c r="AZ42" s="108">
        <f t="shared" ca="1" si="34"/>
        <v>15036233.581753073</v>
      </c>
      <c r="BA42" s="108">
        <f t="shared" ref="BA42:BL42" ca="1" si="35">SUM(BA40:BA41)</f>
        <v>13363681.803941265</v>
      </c>
      <c r="BB42" s="108">
        <f t="shared" ca="1" si="35"/>
        <v>11539631.797386486</v>
      </c>
      <c r="BC42" s="108">
        <f t="shared" ca="1" si="35"/>
        <v>9646324.7439189758</v>
      </c>
      <c r="BD42" s="108">
        <f t="shared" ca="1" si="35"/>
        <v>7769438.5843118103</v>
      </c>
      <c r="BE42" s="108">
        <f t="shared" ca="1" si="35"/>
        <v>5885279.2236629445</v>
      </c>
      <c r="BF42" s="108">
        <f t="shared" ca="1" si="35"/>
        <v>3994844.2928157598</v>
      </c>
      <c r="BG42" s="108">
        <f t="shared" ca="1" si="35"/>
        <v>2096944.6302870275</v>
      </c>
      <c r="BH42" s="108">
        <f t="shared" ca="1" si="35"/>
        <v>192559.38264332875</v>
      </c>
      <c r="BI42" s="108">
        <f t="shared" ca="1" si="35"/>
        <v>-1719483.0259515771</v>
      </c>
      <c r="BJ42" s="108">
        <f t="shared" ca="1" si="35"/>
        <v>-3638212.3928307956</v>
      </c>
      <c r="BK42" s="108">
        <f t="shared" ca="1" si="35"/>
        <v>-5564796.7377337608</v>
      </c>
      <c r="BL42" s="108">
        <f t="shared" ca="1" si="35"/>
        <v>-7502736.4050297597</v>
      </c>
      <c r="BM42" s="108">
        <f t="shared" ref="BM42:BS42" ca="1" si="36">SUM(BM40:BM41)</f>
        <v>-9119728.1680496894</v>
      </c>
      <c r="BN42" s="108">
        <f t="shared" ca="1" si="36"/>
        <v>-10694657.759152435</v>
      </c>
      <c r="BO42" s="108">
        <f t="shared" ca="1" si="36"/>
        <v>-12279595.655153709</v>
      </c>
      <c r="BP42" s="108">
        <f t="shared" ca="1" si="36"/>
        <v>-13871874.051413313</v>
      </c>
      <c r="BQ42" s="108">
        <f t="shared" ca="1" si="36"/>
        <v>-15472669.388458235</v>
      </c>
      <c r="BR42" s="108">
        <f t="shared" ca="1" si="36"/>
        <v>-17081033.699816082</v>
      </c>
      <c r="BS42" s="108">
        <f t="shared" ca="1" si="36"/>
        <v>-18698162.927849341</v>
      </c>
      <c r="BT42" s="108">
        <f t="shared" ref="BT42:BV42" ca="1" si="37">SUM(BT40:BT41)</f>
        <v>-20323652.913852718</v>
      </c>
      <c r="BU42" s="108">
        <f t="shared" ca="1" si="37"/>
        <v>-21957100.676755257</v>
      </c>
      <c r="BV42" s="108">
        <f t="shared" ca="1" si="37"/>
        <v>-23599712.509932235</v>
      </c>
    </row>
    <row r="43" spans="1:74" s="89" customFormat="1" ht="13.5" thickTop="1" x14ac:dyDescent="0.2">
      <c r="B43" s="546" t="s">
        <v>433</v>
      </c>
      <c r="E43" s="237">
        <f>+E42-F40</f>
        <v>19.358219784451649</v>
      </c>
      <c r="F43" s="237">
        <f t="shared" ref="F43:W43" si="38">G40-F42</f>
        <v>-14.855256667360663</v>
      </c>
      <c r="G43" s="237">
        <f t="shared" si="38"/>
        <v>-63.294576665852219</v>
      </c>
      <c r="H43" s="237">
        <f>I40-H42</f>
        <v>-49.022156667429954</v>
      </c>
      <c r="I43" s="237">
        <f t="shared" si="38"/>
        <v>-2.3596566659398377</v>
      </c>
      <c r="J43" s="237">
        <f t="shared" si="38"/>
        <v>-70.663326666690409</v>
      </c>
      <c r="K43" s="237">
        <f t="shared" si="38"/>
        <v>-42.237596665974706</v>
      </c>
      <c r="L43" s="237">
        <f t="shared" si="38"/>
        <v>-30.586566666141152</v>
      </c>
      <c r="M43" s="237">
        <f t="shared" si="38"/>
        <v>-17.944566668011248</v>
      </c>
      <c r="N43" s="237">
        <f t="shared" si="38"/>
        <v>-270.47735666716471</v>
      </c>
      <c r="O43" s="237">
        <f t="shared" si="38"/>
        <v>-397.88905666605569</v>
      </c>
      <c r="P43" s="237">
        <f t="shared" si="38"/>
        <v>-129.22201730310917</v>
      </c>
      <c r="Q43" s="602">
        <f t="shared" si="38"/>
        <v>98846.050000001676</v>
      </c>
      <c r="R43" s="602">
        <f t="shared" si="38"/>
        <v>800.00999999884516</v>
      </c>
      <c r="S43" s="602">
        <f>T40-S42</f>
        <v>-1599.8800000008196</v>
      </c>
      <c r="T43" s="602">
        <f t="shared" si="38"/>
        <v>56.809999999590218</v>
      </c>
      <c r="U43" s="602">
        <f t="shared" si="38"/>
        <v>0</v>
      </c>
      <c r="V43" s="237">
        <f t="shared" si="38"/>
        <v>0</v>
      </c>
      <c r="W43" s="237">
        <f t="shared" si="38"/>
        <v>6.1200000001117587</v>
      </c>
      <c r="X43" s="237">
        <f t="shared" ref="X43" si="39">Y40-X42</f>
        <v>-1.0000001639127731E-2</v>
      </c>
      <c r="Y43" s="237">
        <f t="shared" ref="Y43:AA43" si="40">Z40-Y42</f>
        <v>0</v>
      </c>
      <c r="Z43" s="237">
        <f t="shared" si="40"/>
        <v>0</v>
      </c>
      <c r="AA43" s="237">
        <f t="shared" si="40"/>
        <v>0</v>
      </c>
      <c r="AB43" s="237">
        <f t="shared" ref="AB43" si="41">AC40-AB42</f>
        <v>0</v>
      </c>
      <c r="AC43" s="237">
        <f t="shared" ref="AC43" si="42">AD40-AC42</f>
        <v>1239.9600000004284</v>
      </c>
      <c r="AD43" s="237">
        <f t="shared" ref="AD43" si="43">AE40-AD42</f>
        <v>-3125</v>
      </c>
      <c r="AE43" s="237">
        <f t="shared" ref="AE43" si="44">AF40-AE42</f>
        <v>0</v>
      </c>
      <c r="AF43" s="237">
        <f t="shared" ref="AF43" ca="1" si="45">AG40-AF42</f>
        <v>0</v>
      </c>
      <c r="AG43" s="237">
        <f t="shared" ref="AG43" ca="1" si="46">AH40-AG42</f>
        <v>0</v>
      </c>
      <c r="AH43" s="237">
        <f t="shared" ref="AH43" ca="1" si="47">AI40-AH42</f>
        <v>0</v>
      </c>
      <c r="AI43" s="237">
        <f t="shared" ref="AI43" ca="1" si="48">AJ40-AI42</f>
        <v>0</v>
      </c>
      <c r="AJ43" s="237">
        <f t="shared" ref="AJ43" ca="1" si="49">AK40-AJ42</f>
        <v>0</v>
      </c>
      <c r="AK43" s="237">
        <f t="shared" ref="AK43" ca="1" si="50">AL40-AK42</f>
        <v>0</v>
      </c>
      <c r="AL43" s="237">
        <f t="shared" ref="AL43" ca="1" si="51">AM40-AL42</f>
        <v>0</v>
      </c>
      <c r="AM43" s="237">
        <f t="shared" ref="AM43" ca="1" si="52">AN40-AM42</f>
        <v>0</v>
      </c>
      <c r="AN43" s="237"/>
      <c r="AO43" s="237">
        <f t="shared" ref="AO43" ca="1" si="53">AP40-AO42</f>
        <v>0</v>
      </c>
      <c r="AP43" s="237">
        <f t="shared" ref="AP43" ca="1" si="54">AQ40-AP42</f>
        <v>0</v>
      </c>
      <c r="AQ43" s="237">
        <f t="shared" ref="AQ43" ca="1" si="55">AR40-AQ42</f>
        <v>0</v>
      </c>
      <c r="AR43" s="237">
        <f t="shared" ref="AR43" ca="1" si="56">AS40-AR42</f>
        <v>0</v>
      </c>
      <c r="AS43" s="237">
        <f t="shared" ref="AS43" ca="1" si="57">AT40-AS42</f>
        <v>0</v>
      </c>
      <c r="AT43" s="237">
        <f t="shared" ref="AT43" ca="1" si="58">AU40-AT42</f>
        <v>0</v>
      </c>
      <c r="AU43" s="237">
        <f t="shared" ref="AU43" ca="1" si="59">AV40-AU42</f>
        <v>0</v>
      </c>
      <c r="AV43" s="237">
        <f t="shared" ref="AV43" ca="1" si="60">AW40-AV42</f>
        <v>0</v>
      </c>
      <c r="AW43" s="237"/>
      <c r="AX43" s="237">
        <f t="shared" ref="AX43" ca="1" si="61">AY40-AX42</f>
        <v>0</v>
      </c>
      <c r="AY43" s="237">
        <f t="shared" ref="AY43" ca="1" si="62">AZ40-AY42</f>
        <v>0</v>
      </c>
      <c r="AZ43" s="237">
        <f t="shared" ref="AZ43" ca="1" si="63">BA40-AZ42</f>
        <v>0</v>
      </c>
      <c r="BA43" s="237">
        <f t="shared" ref="BA43" ca="1" si="64">BB40-BA42</f>
        <v>0</v>
      </c>
      <c r="BB43" s="237">
        <f t="shared" ref="BB43" ca="1" si="65">BC40-BB42</f>
        <v>0</v>
      </c>
      <c r="BC43" s="237">
        <f t="shared" ref="BC43" ca="1" si="66">BD40-BC42</f>
        <v>0</v>
      </c>
      <c r="BD43" s="237">
        <f t="shared" ref="BD43" ca="1" si="67">BE40-BD42</f>
        <v>0</v>
      </c>
      <c r="BE43" s="237">
        <f t="shared" ref="BE43" ca="1" si="68">BF40-BE42</f>
        <v>0</v>
      </c>
      <c r="BF43" s="237">
        <f t="shared" ref="BF43" ca="1" si="69">BG40-BF42</f>
        <v>0</v>
      </c>
      <c r="BG43" s="237">
        <f t="shared" ref="BG43" ca="1" si="70">BH40-BG42</f>
        <v>0</v>
      </c>
      <c r="BH43" s="237">
        <f t="shared" ref="BH43" ca="1" si="71">BI40-BH42</f>
        <v>0</v>
      </c>
      <c r="BI43" s="237">
        <f t="shared" ref="BI43" ca="1" si="72">BJ40-BI42</f>
        <v>0</v>
      </c>
      <c r="BJ43" s="237">
        <f t="shared" ref="BJ43" ca="1" si="73">BK40-BJ42</f>
        <v>0</v>
      </c>
      <c r="BK43" s="237">
        <f t="shared" ref="BK43" ca="1" si="74">BL40-BK42</f>
        <v>0</v>
      </c>
      <c r="BL43" s="237">
        <f t="shared" ref="BL43" ca="1" si="75">BM40-BL42</f>
        <v>0</v>
      </c>
      <c r="BM43" s="237">
        <f t="shared" ref="BM43" ca="1" si="76">BN40-BM42</f>
        <v>0</v>
      </c>
      <c r="BN43" s="237">
        <f t="shared" ref="BN43" ca="1" si="77">BO40-BN42</f>
        <v>0</v>
      </c>
      <c r="BO43" s="237">
        <f t="shared" ref="BO43" ca="1" si="78">BP40-BO42</f>
        <v>0</v>
      </c>
      <c r="BP43" s="237">
        <f t="shared" ref="BP43" ca="1" si="79">BQ40-BP42</f>
        <v>0</v>
      </c>
      <c r="BQ43" s="237">
        <f t="shared" ref="BQ43" ca="1" si="80">BR40-BQ42</f>
        <v>0</v>
      </c>
      <c r="BR43" s="237">
        <f t="shared" ref="BR43" ca="1" si="81">BS40-BR42</f>
        <v>0</v>
      </c>
      <c r="BS43" s="237">
        <f t="shared" ref="BS43" ca="1" si="82">BT40-BS42</f>
        <v>0</v>
      </c>
      <c r="BT43" s="237">
        <f t="shared" ref="BT43" ca="1" si="83">BU40-BT42</f>
        <v>0</v>
      </c>
      <c r="BU43" s="237">
        <f t="shared" ref="BU43" ca="1" si="84">BV40-BU42</f>
        <v>0</v>
      </c>
      <c r="BV43" s="237">
        <f t="shared" ref="BV43" ca="1" si="85">BW40-BV42</f>
        <v>23599712.509932235</v>
      </c>
    </row>
    <row r="44" spans="1:74" s="89" customFormat="1" x14ac:dyDescent="0.2">
      <c r="E44" s="404">
        <f>+E9-'BS - Monthly'!F50</f>
        <v>19.406730000046082</v>
      </c>
      <c r="F44" s="404">
        <f>+F9-'BS - Monthly'!G50+'BS - Monthly'!F50</f>
        <v>14.855079999775626</v>
      </c>
      <c r="G44" s="404">
        <f>+G9-'BS - Monthly'!H50+'BS - Monthly'!G50</f>
        <v>63.294400000129826</v>
      </c>
      <c r="H44" s="404">
        <f>+H9-'BS - Monthly'!I50+'BS - Monthly'!H50</f>
        <v>49.021979999961331</v>
      </c>
      <c r="I44" s="404">
        <f>+I9-'BS - Monthly'!J50+'BS - Monthly'!I50</f>
        <v>2.3594799998681992</v>
      </c>
      <c r="J44" s="404">
        <f>+J9-'BS - Monthly'!K50+'BS - Monthly'!J50</f>
        <v>70.663149999920279</v>
      </c>
      <c r="K44" s="404">
        <f>+K9-'BS - Monthly'!L50+'BS - Monthly'!K50</f>
        <v>42.237419999670237</v>
      </c>
      <c r="L44" s="404">
        <f>+L9-'BS - Monthly'!M50+'BS - Monthly'!L50</f>
        <v>30.586389999836683</v>
      </c>
      <c r="M44" s="91"/>
      <c r="N44" s="91"/>
      <c r="O44" s="91"/>
      <c r="P44" s="91"/>
      <c r="Q44" s="91"/>
      <c r="R44" s="91"/>
      <c r="S44" s="91"/>
      <c r="T44" s="91"/>
      <c r="U44" s="91"/>
      <c r="V44" s="91"/>
      <c r="W44" s="91"/>
      <c r="X44" s="91"/>
      <c r="Y44" s="91"/>
      <c r="Z44" s="91"/>
      <c r="AA44" s="91"/>
      <c r="AB44" s="91"/>
      <c r="AC44" s="237"/>
      <c r="AD44" s="91"/>
      <c r="AE44" s="91"/>
      <c r="AF44" s="91"/>
      <c r="AG44" s="91"/>
      <c r="AH44" s="91"/>
      <c r="AI44" s="91"/>
      <c r="AJ44" s="91"/>
      <c r="AK44" s="91"/>
      <c r="AL44" s="91"/>
      <c r="AM44" s="91"/>
      <c r="AN44" s="91"/>
      <c r="AO44" s="91"/>
      <c r="AP44" s="91"/>
      <c r="AQ44" s="91"/>
      <c r="AR44" s="91"/>
      <c r="AS44" s="91"/>
      <c r="AT44" s="91"/>
      <c r="AU44" s="91"/>
      <c r="AV44" s="91"/>
      <c r="AW44" s="91"/>
      <c r="AX44" s="91"/>
      <c r="AY44" s="91"/>
      <c r="AZ44" s="91"/>
      <c r="BA44" s="91"/>
      <c r="BB44" s="91"/>
      <c r="BC44" s="91"/>
      <c r="BD44" s="91"/>
      <c r="BE44" s="91"/>
      <c r="BF44" s="91"/>
      <c r="BG44" s="91"/>
      <c r="BH44" s="91"/>
      <c r="BI44" s="91"/>
      <c r="BJ44" s="91"/>
      <c r="BK44" s="91"/>
      <c r="BL44" s="91"/>
      <c r="BM44" s="91"/>
      <c r="BN44" s="91"/>
      <c r="BO44" s="91"/>
      <c r="BP44" s="91"/>
      <c r="BQ44" s="91"/>
      <c r="BR44" s="91"/>
      <c r="BS44" s="91"/>
      <c r="BT44" s="91"/>
      <c r="BU44" s="91"/>
      <c r="BV44" s="91"/>
    </row>
    <row r="45" spans="1:74" x14ac:dyDescent="0.2">
      <c r="E45" s="203" t="s">
        <v>718</v>
      </c>
      <c r="F45" s="203"/>
      <c r="G45" s="203"/>
      <c r="H45" s="203"/>
      <c r="I45" s="203"/>
      <c r="J45" s="203"/>
      <c r="K45" s="203"/>
      <c r="L45" s="204"/>
      <c r="M45" s="203"/>
      <c r="N45" s="203"/>
      <c r="O45" s="203"/>
      <c r="P45" s="203"/>
      <c r="AC45" s="1252">
        <f>AC19+AC22</f>
        <v>-420435.39000000048</v>
      </c>
      <c r="AD45" s="1252">
        <f t="shared" ref="AD45:AE45" si="86">AD19+AD22</f>
        <v>36313.0900000002</v>
      </c>
      <c r="AE45" s="1252">
        <f t="shared" si="86"/>
        <v>310992.06999999983</v>
      </c>
    </row>
    <row r="48" spans="1:74" outlineLevel="1" x14ac:dyDescent="0.2">
      <c r="A48" s="119" t="s">
        <v>131</v>
      </c>
      <c r="B48" s="119"/>
      <c r="C48" s="119"/>
      <c r="E48" s="119"/>
      <c r="F48" s="119"/>
      <c r="G48" s="119"/>
      <c r="H48" s="119"/>
      <c r="I48" s="119"/>
      <c r="J48" s="119"/>
      <c r="K48" s="119"/>
      <c r="L48" s="119"/>
      <c r="M48" s="119"/>
      <c r="N48" s="119"/>
      <c r="O48" s="119"/>
      <c r="P48" s="119"/>
      <c r="Q48" s="119"/>
      <c r="R48" s="119"/>
      <c r="S48" s="119"/>
      <c r="T48" s="119"/>
      <c r="U48" s="119"/>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c r="AU48" s="119"/>
      <c r="AV48" s="119"/>
      <c r="AW48" s="119"/>
      <c r="AX48" s="119"/>
      <c r="AY48" s="119"/>
      <c r="AZ48" s="119"/>
      <c r="BA48" s="119"/>
      <c r="BB48" s="119"/>
      <c r="BC48" s="119"/>
      <c r="BD48" s="119"/>
      <c r="BE48" s="119"/>
      <c r="BF48" s="119"/>
      <c r="BG48" s="119"/>
      <c r="BH48" s="119"/>
      <c r="BI48" s="119"/>
      <c r="BJ48" s="119"/>
      <c r="BK48" s="119"/>
      <c r="BL48" s="119"/>
      <c r="BM48" s="119"/>
      <c r="BN48" s="119"/>
      <c r="BO48" s="119"/>
      <c r="BP48" s="119"/>
      <c r="BQ48" s="119"/>
      <c r="BR48" s="119"/>
      <c r="BS48" s="119"/>
      <c r="BT48" s="119"/>
      <c r="BU48" s="119"/>
      <c r="BV48" s="119"/>
    </row>
    <row r="49" spans="1:74" outlineLevel="1" x14ac:dyDescent="0.2">
      <c r="A49" s="119"/>
      <c r="B49" s="119" t="s">
        <v>132</v>
      </c>
      <c r="C49" s="119"/>
      <c r="E49" s="120">
        <f>E42</f>
        <v>1572608.3182197844</v>
      </c>
      <c r="F49" s="120">
        <f>F42</f>
        <v>1390019.3952566674</v>
      </c>
      <c r="G49" s="120">
        <f>G42</f>
        <v>1562986.8645766659</v>
      </c>
      <c r="H49" s="120">
        <f>H42</f>
        <v>1655588.1021566675</v>
      </c>
      <c r="I49" s="120">
        <f>I42</f>
        <v>2522635.9796566656</v>
      </c>
      <c r="J49" s="120">
        <v>593502.4500000003</v>
      </c>
      <c r="K49" s="120">
        <v>593502.4500000003</v>
      </c>
      <c r="L49" s="120">
        <v>593502.4500000003</v>
      </c>
      <c r="M49" s="120">
        <v>593502.4500000003</v>
      </c>
      <c r="N49" s="120">
        <v>593502.4500000003</v>
      </c>
      <c r="O49" s="120">
        <v>593502.4500000003</v>
      </c>
      <c r="P49" s="120">
        <v>593502.4500000003</v>
      </c>
      <c r="Q49" s="120">
        <v>593502.4500000003</v>
      </c>
      <c r="R49" s="120">
        <v>593502.4500000003</v>
      </c>
      <c r="S49" s="120">
        <v>593502.4500000003</v>
      </c>
      <c r="T49" s="120">
        <v>593502.4500000003</v>
      </c>
      <c r="U49" s="120">
        <v>593502.4500000003</v>
      </c>
      <c r="V49" s="120">
        <v>593502.4500000003</v>
      </c>
      <c r="W49" s="120">
        <v>593502.4500000003</v>
      </c>
      <c r="X49" s="120">
        <v>593502.4500000003</v>
      </c>
      <c r="Y49" s="120">
        <v>593502.4500000003</v>
      </c>
      <c r="Z49" s="120">
        <v>593502.4500000003</v>
      </c>
      <c r="AA49" s="120">
        <v>593502.4500000003</v>
      </c>
      <c r="AB49" s="120">
        <v>593502.4500000003</v>
      </c>
      <c r="AC49" s="120">
        <v>593503.44999999995</v>
      </c>
      <c r="AD49" s="120">
        <v>593504.44999999995</v>
      </c>
      <c r="AE49" s="120">
        <v>593505.44999999995</v>
      </c>
      <c r="AF49" s="120">
        <v>593506.44999999995</v>
      </c>
      <c r="AG49" s="120">
        <v>593507.44999999995</v>
      </c>
      <c r="AH49" s="120">
        <v>593508.44999999995</v>
      </c>
      <c r="AI49" s="120">
        <v>593509.44999999995</v>
      </c>
      <c r="AJ49" s="120">
        <v>593510.44999999995</v>
      </c>
      <c r="AK49" s="120">
        <v>593511.44999999995</v>
      </c>
      <c r="AL49" s="120">
        <v>593512.44999999995</v>
      </c>
      <c r="AM49" s="120">
        <v>593513.44999999995</v>
      </c>
      <c r="AN49" s="120">
        <v>593514.449999996</v>
      </c>
      <c r="AO49" s="120">
        <v>593515.44999999995</v>
      </c>
      <c r="AP49" s="120">
        <v>593516.44999999995</v>
      </c>
      <c r="AQ49" s="120">
        <v>593517.44999999995</v>
      </c>
      <c r="AR49" s="120">
        <v>593518.44999999995</v>
      </c>
      <c r="AS49" s="120">
        <v>593519.44999999995</v>
      </c>
      <c r="AT49" s="120">
        <v>593520.44999999995</v>
      </c>
      <c r="AU49" s="120">
        <v>593521.44999999995</v>
      </c>
      <c r="AV49" s="120">
        <v>593522.44999999995</v>
      </c>
      <c r="AW49" s="120">
        <v>593523.44999999995</v>
      </c>
      <c r="AX49" s="120">
        <v>593524.44999999995</v>
      </c>
      <c r="AY49" s="120">
        <v>593525.44999999995</v>
      </c>
      <c r="AZ49" s="120">
        <v>593526.44999999995</v>
      </c>
      <c r="BA49" s="120">
        <v>593527.44999999995</v>
      </c>
      <c r="BB49" s="120">
        <v>593528.44999999995</v>
      </c>
      <c r="BC49" s="120">
        <v>593529.44999999995</v>
      </c>
      <c r="BD49" s="120">
        <v>593530.44999999995</v>
      </c>
      <c r="BE49" s="120">
        <v>593531.44999999995</v>
      </c>
      <c r="BF49" s="120">
        <v>593532.44999999995</v>
      </c>
      <c r="BG49" s="120">
        <v>593533.44999999995</v>
      </c>
      <c r="BH49" s="120">
        <v>593534.44999999995</v>
      </c>
      <c r="BI49" s="120">
        <v>593535.44999999995</v>
      </c>
      <c r="BJ49" s="120">
        <v>593536.44999999995</v>
      </c>
      <c r="BK49" s="120">
        <v>593537.44999999995</v>
      </c>
      <c r="BL49" s="120">
        <v>593538.44999999995</v>
      </c>
      <c r="BM49" s="120">
        <v>593539.44999999995</v>
      </c>
      <c r="BN49" s="120">
        <v>593540.44999999995</v>
      </c>
      <c r="BO49" s="120">
        <v>593541.44999999995</v>
      </c>
      <c r="BP49" s="120">
        <v>593542.44999999995</v>
      </c>
      <c r="BQ49" s="120">
        <v>593543.44999999995</v>
      </c>
      <c r="BR49" s="120">
        <v>593544.44999999995</v>
      </c>
      <c r="BS49" s="120">
        <v>593545.44999999995</v>
      </c>
      <c r="BT49" s="120">
        <v>593546.44999999995</v>
      </c>
      <c r="BU49" s="120">
        <v>593547.44999999995</v>
      </c>
      <c r="BV49" s="120">
        <v>593548.44999999995</v>
      </c>
    </row>
    <row r="50" spans="1:74" ht="15" outlineLevel="1" x14ac:dyDescent="0.25">
      <c r="A50" s="119"/>
      <c r="B50" s="119" t="s">
        <v>133</v>
      </c>
      <c r="C50" s="119"/>
      <c r="E50" s="121">
        <f t="shared" ref="E50:BP50" si="87">0.009/12</f>
        <v>7.4999999999999991E-4</v>
      </c>
      <c r="F50" s="121">
        <f>0.9%/12</f>
        <v>7.5000000000000012E-4</v>
      </c>
      <c r="G50" s="121">
        <f t="shared" si="87"/>
        <v>7.4999999999999991E-4</v>
      </c>
      <c r="H50" s="121">
        <f t="shared" si="87"/>
        <v>7.4999999999999991E-4</v>
      </c>
      <c r="I50" s="121">
        <f t="shared" si="87"/>
        <v>7.4999999999999991E-4</v>
      </c>
      <c r="J50" s="121">
        <f t="shared" si="87"/>
        <v>7.4999999999999991E-4</v>
      </c>
      <c r="K50" s="121">
        <f t="shared" si="87"/>
        <v>7.4999999999999991E-4</v>
      </c>
      <c r="L50" s="121">
        <f t="shared" si="87"/>
        <v>7.4999999999999991E-4</v>
      </c>
      <c r="M50" s="121">
        <f t="shared" si="87"/>
        <v>7.4999999999999991E-4</v>
      </c>
      <c r="N50" s="121">
        <f t="shared" si="87"/>
        <v>7.4999999999999991E-4</v>
      </c>
      <c r="O50" s="121">
        <f t="shared" si="87"/>
        <v>7.4999999999999991E-4</v>
      </c>
      <c r="P50" s="121">
        <f t="shared" si="87"/>
        <v>7.4999999999999991E-4</v>
      </c>
      <c r="Q50" s="121">
        <f t="shared" si="87"/>
        <v>7.4999999999999991E-4</v>
      </c>
      <c r="R50" s="121">
        <f t="shared" si="87"/>
        <v>7.4999999999999991E-4</v>
      </c>
      <c r="S50" s="121">
        <f t="shared" si="87"/>
        <v>7.4999999999999991E-4</v>
      </c>
      <c r="T50" s="121">
        <f t="shared" si="87"/>
        <v>7.4999999999999991E-4</v>
      </c>
      <c r="U50" s="121">
        <f t="shared" si="87"/>
        <v>7.4999999999999991E-4</v>
      </c>
      <c r="V50" s="121">
        <f t="shared" si="87"/>
        <v>7.4999999999999991E-4</v>
      </c>
      <c r="W50" s="121">
        <f t="shared" si="87"/>
        <v>7.4999999999999991E-4</v>
      </c>
      <c r="X50" s="121">
        <f t="shared" si="87"/>
        <v>7.4999999999999991E-4</v>
      </c>
      <c r="Y50" s="121">
        <f t="shared" si="87"/>
        <v>7.4999999999999991E-4</v>
      </c>
      <c r="Z50" s="121">
        <f t="shared" si="87"/>
        <v>7.4999999999999991E-4</v>
      </c>
      <c r="AA50" s="121">
        <f t="shared" si="87"/>
        <v>7.4999999999999991E-4</v>
      </c>
      <c r="AB50" s="121">
        <f t="shared" si="87"/>
        <v>7.4999999999999991E-4</v>
      </c>
      <c r="AC50" s="121">
        <f t="shared" si="87"/>
        <v>7.4999999999999991E-4</v>
      </c>
      <c r="AD50" s="121">
        <f t="shared" si="87"/>
        <v>7.4999999999999991E-4</v>
      </c>
      <c r="AE50" s="121">
        <f t="shared" si="87"/>
        <v>7.4999999999999991E-4</v>
      </c>
      <c r="AF50" s="121">
        <f t="shared" si="87"/>
        <v>7.4999999999999991E-4</v>
      </c>
      <c r="AG50" s="121">
        <f t="shared" si="87"/>
        <v>7.4999999999999991E-4</v>
      </c>
      <c r="AH50" s="121">
        <f t="shared" si="87"/>
        <v>7.4999999999999991E-4</v>
      </c>
      <c r="AI50" s="121">
        <f t="shared" si="87"/>
        <v>7.4999999999999991E-4</v>
      </c>
      <c r="AJ50" s="121">
        <f t="shared" si="87"/>
        <v>7.4999999999999991E-4</v>
      </c>
      <c r="AK50" s="121">
        <f t="shared" si="87"/>
        <v>7.4999999999999991E-4</v>
      </c>
      <c r="AL50" s="121">
        <f t="shared" si="87"/>
        <v>7.4999999999999991E-4</v>
      </c>
      <c r="AM50" s="121">
        <f t="shared" si="87"/>
        <v>7.4999999999999991E-4</v>
      </c>
      <c r="AN50" s="121">
        <f t="shared" si="87"/>
        <v>7.4999999999999991E-4</v>
      </c>
      <c r="AO50" s="121">
        <f t="shared" si="87"/>
        <v>7.4999999999999991E-4</v>
      </c>
      <c r="AP50" s="121">
        <f t="shared" si="87"/>
        <v>7.4999999999999991E-4</v>
      </c>
      <c r="AQ50" s="121">
        <f t="shared" si="87"/>
        <v>7.4999999999999991E-4</v>
      </c>
      <c r="AR50" s="121">
        <f t="shared" si="87"/>
        <v>7.4999999999999991E-4</v>
      </c>
      <c r="AS50" s="121">
        <f t="shared" si="87"/>
        <v>7.4999999999999991E-4</v>
      </c>
      <c r="AT50" s="121">
        <f t="shared" si="87"/>
        <v>7.4999999999999991E-4</v>
      </c>
      <c r="AU50" s="121">
        <f t="shared" si="87"/>
        <v>7.4999999999999991E-4</v>
      </c>
      <c r="AV50" s="121">
        <f t="shared" si="87"/>
        <v>7.4999999999999991E-4</v>
      </c>
      <c r="AW50" s="121">
        <f t="shared" si="87"/>
        <v>7.4999999999999991E-4</v>
      </c>
      <c r="AX50" s="121">
        <f t="shared" si="87"/>
        <v>7.4999999999999991E-4</v>
      </c>
      <c r="AY50" s="121">
        <f t="shared" si="87"/>
        <v>7.4999999999999991E-4</v>
      </c>
      <c r="AZ50" s="121">
        <f t="shared" si="87"/>
        <v>7.4999999999999991E-4</v>
      </c>
      <c r="BA50" s="121">
        <f t="shared" si="87"/>
        <v>7.4999999999999991E-4</v>
      </c>
      <c r="BB50" s="121">
        <f t="shared" si="87"/>
        <v>7.4999999999999991E-4</v>
      </c>
      <c r="BC50" s="121">
        <f t="shared" si="87"/>
        <v>7.4999999999999991E-4</v>
      </c>
      <c r="BD50" s="121">
        <f t="shared" si="87"/>
        <v>7.4999999999999991E-4</v>
      </c>
      <c r="BE50" s="121">
        <f t="shared" si="87"/>
        <v>7.4999999999999991E-4</v>
      </c>
      <c r="BF50" s="121">
        <f t="shared" si="87"/>
        <v>7.4999999999999991E-4</v>
      </c>
      <c r="BG50" s="121">
        <f t="shared" si="87"/>
        <v>7.4999999999999991E-4</v>
      </c>
      <c r="BH50" s="121">
        <f t="shared" si="87"/>
        <v>7.4999999999999991E-4</v>
      </c>
      <c r="BI50" s="121">
        <f t="shared" si="87"/>
        <v>7.4999999999999991E-4</v>
      </c>
      <c r="BJ50" s="121">
        <f t="shared" si="87"/>
        <v>7.4999999999999991E-4</v>
      </c>
      <c r="BK50" s="121">
        <f t="shared" si="87"/>
        <v>7.4999999999999991E-4</v>
      </c>
      <c r="BL50" s="121">
        <f t="shared" si="87"/>
        <v>7.4999999999999991E-4</v>
      </c>
      <c r="BM50" s="121">
        <f t="shared" si="87"/>
        <v>7.4999999999999991E-4</v>
      </c>
      <c r="BN50" s="121">
        <f t="shared" si="87"/>
        <v>7.4999999999999991E-4</v>
      </c>
      <c r="BO50" s="121">
        <f t="shared" si="87"/>
        <v>7.4999999999999991E-4</v>
      </c>
      <c r="BP50" s="121">
        <f t="shared" si="87"/>
        <v>7.4999999999999991E-4</v>
      </c>
      <c r="BQ50" s="121">
        <f t="shared" ref="BQ50:BS50" si="88">0.009/12</f>
        <v>7.4999999999999991E-4</v>
      </c>
      <c r="BR50" s="121">
        <f t="shared" si="88"/>
        <v>7.4999999999999991E-4</v>
      </c>
      <c r="BS50" s="121">
        <f t="shared" si="88"/>
        <v>7.4999999999999991E-4</v>
      </c>
      <c r="BT50" s="121">
        <f t="shared" ref="BT50:BV50" si="89">0.009/12</f>
        <v>7.4999999999999991E-4</v>
      </c>
      <c r="BU50" s="121">
        <f t="shared" si="89"/>
        <v>7.4999999999999991E-4</v>
      </c>
      <c r="BV50" s="121">
        <f t="shared" si="89"/>
        <v>7.4999999999999991E-4</v>
      </c>
    </row>
    <row r="51" spans="1:74" outlineLevel="1" x14ac:dyDescent="0.2">
      <c r="A51" s="119"/>
      <c r="B51" s="119" t="s">
        <v>134</v>
      </c>
      <c r="C51" s="119"/>
      <c r="E51" s="120">
        <f>+E49*E50</f>
        <v>1179.4562386648381</v>
      </c>
      <c r="F51" s="120">
        <f t="shared" ref="F51:AB51" si="90">+F49*F50</f>
        <v>1042.5145464425007</v>
      </c>
      <c r="G51" s="120">
        <f t="shared" si="90"/>
        <v>1172.2401484324994</v>
      </c>
      <c r="H51" s="120">
        <f t="shared" si="90"/>
        <v>1241.6910766175006</v>
      </c>
      <c r="I51" s="120">
        <f t="shared" si="90"/>
        <v>1891.9769847424989</v>
      </c>
      <c r="J51" s="120">
        <f t="shared" si="90"/>
        <v>445.12683750000019</v>
      </c>
      <c r="K51" s="120">
        <f t="shared" si="90"/>
        <v>445.12683750000019</v>
      </c>
      <c r="L51" s="120">
        <f t="shared" si="90"/>
        <v>445.12683750000019</v>
      </c>
      <c r="M51" s="120">
        <f t="shared" si="90"/>
        <v>445.12683750000019</v>
      </c>
      <c r="N51" s="120">
        <f t="shared" si="90"/>
        <v>445.12683750000019</v>
      </c>
      <c r="O51" s="120">
        <f t="shared" si="90"/>
        <v>445.12683750000019</v>
      </c>
      <c r="P51" s="120">
        <f t="shared" si="90"/>
        <v>445.12683750000019</v>
      </c>
      <c r="Q51" s="120">
        <f t="shared" si="90"/>
        <v>445.12683750000019</v>
      </c>
      <c r="R51" s="120">
        <f t="shared" si="90"/>
        <v>445.12683750000019</v>
      </c>
      <c r="S51" s="120">
        <f t="shared" si="90"/>
        <v>445.12683750000019</v>
      </c>
      <c r="T51" s="120">
        <f t="shared" si="90"/>
        <v>445.12683750000019</v>
      </c>
      <c r="U51" s="120">
        <f t="shared" si="90"/>
        <v>445.12683750000019</v>
      </c>
      <c r="V51" s="120">
        <f t="shared" si="90"/>
        <v>445.12683750000019</v>
      </c>
      <c r="W51" s="120">
        <f t="shared" si="90"/>
        <v>445.12683750000019</v>
      </c>
      <c r="X51" s="120">
        <f t="shared" si="90"/>
        <v>445.12683750000019</v>
      </c>
      <c r="Y51" s="120">
        <f t="shared" si="90"/>
        <v>445.12683750000019</v>
      </c>
      <c r="Z51" s="120">
        <f t="shared" si="90"/>
        <v>445.12683750000019</v>
      </c>
      <c r="AA51" s="120">
        <f t="shared" si="90"/>
        <v>445.12683750000019</v>
      </c>
      <c r="AB51" s="120">
        <f t="shared" si="90"/>
        <v>445.12683750000019</v>
      </c>
      <c r="AC51" s="120">
        <f t="shared" ref="AC51:AN51" si="91">+AC49*AC50</f>
        <v>445.12758749999989</v>
      </c>
      <c r="AD51" s="120">
        <f t="shared" si="91"/>
        <v>445.12833749999993</v>
      </c>
      <c r="AE51" s="120">
        <f t="shared" si="91"/>
        <v>445.12908749999991</v>
      </c>
      <c r="AF51" s="120">
        <f t="shared" si="91"/>
        <v>445.12983749999989</v>
      </c>
      <c r="AG51" s="120">
        <f t="shared" si="91"/>
        <v>445.13058749999993</v>
      </c>
      <c r="AH51" s="120">
        <f t="shared" si="91"/>
        <v>445.13133749999992</v>
      </c>
      <c r="AI51" s="120">
        <f t="shared" si="91"/>
        <v>445.1320874999999</v>
      </c>
      <c r="AJ51" s="120">
        <f t="shared" si="91"/>
        <v>445.13283749999994</v>
      </c>
      <c r="AK51" s="120">
        <f t="shared" si="91"/>
        <v>445.13358749999992</v>
      </c>
      <c r="AL51" s="120">
        <f t="shared" si="91"/>
        <v>445.1343374999999</v>
      </c>
      <c r="AM51" s="120">
        <f t="shared" si="91"/>
        <v>445.13508749999988</v>
      </c>
      <c r="AN51" s="120">
        <f t="shared" si="91"/>
        <v>445.13583749999697</v>
      </c>
      <c r="AO51" s="120">
        <f t="shared" ref="AO51:AZ51" si="92">+AO49*AO50</f>
        <v>445.13658749999991</v>
      </c>
      <c r="AP51" s="120">
        <f t="shared" si="92"/>
        <v>445.13733749999989</v>
      </c>
      <c r="AQ51" s="120">
        <f t="shared" si="92"/>
        <v>445.13808749999993</v>
      </c>
      <c r="AR51" s="120">
        <f t="shared" si="92"/>
        <v>445.13883749999991</v>
      </c>
      <c r="AS51" s="120">
        <f t="shared" si="92"/>
        <v>445.13958749999989</v>
      </c>
      <c r="AT51" s="120">
        <f t="shared" si="92"/>
        <v>445.14033749999993</v>
      </c>
      <c r="AU51" s="120">
        <f t="shared" si="92"/>
        <v>445.14108749999991</v>
      </c>
      <c r="AV51" s="120">
        <f t="shared" si="92"/>
        <v>445.14183749999989</v>
      </c>
      <c r="AW51" s="120">
        <f t="shared" si="92"/>
        <v>445.14258749999993</v>
      </c>
      <c r="AX51" s="120">
        <f t="shared" si="92"/>
        <v>445.14333749999992</v>
      </c>
      <c r="AY51" s="120">
        <f t="shared" si="92"/>
        <v>445.1440874999999</v>
      </c>
      <c r="AZ51" s="120">
        <f t="shared" si="92"/>
        <v>445.14483749999994</v>
      </c>
      <c r="BA51" s="120">
        <f t="shared" ref="BA51:BL51" si="93">+BA49*BA50</f>
        <v>445.14558749999992</v>
      </c>
      <c r="BB51" s="120">
        <f t="shared" si="93"/>
        <v>445.1463374999999</v>
      </c>
      <c r="BC51" s="120">
        <f t="shared" si="93"/>
        <v>445.14708749999988</v>
      </c>
      <c r="BD51" s="120">
        <f t="shared" si="93"/>
        <v>445.14783749999992</v>
      </c>
      <c r="BE51" s="120">
        <f t="shared" si="93"/>
        <v>445.14858749999991</v>
      </c>
      <c r="BF51" s="120">
        <f t="shared" si="93"/>
        <v>445.14933749999989</v>
      </c>
      <c r="BG51" s="120">
        <f t="shared" si="93"/>
        <v>445.15008749999993</v>
      </c>
      <c r="BH51" s="120">
        <f t="shared" si="93"/>
        <v>445.15083749999991</v>
      </c>
      <c r="BI51" s="120">
        <f t="shared" si="93"/>
        <v>445.15158749999989</v>
      </c>
      <c r="BJ51" s="120">
        <f t="shared" si="93"/>
        <v>445.15233749999993</v>
      </c>
      <c r="BK51" s="120">
        <f t="shared" si="93"/>
        <v>445.15308749999991</v>
      </c>
      <c r="BL51" s="120">
        <f t="shared" si="93"/>
        <v>445.1538374999999</v>
      </c>
      <c r="BM51" s="120">
        <f t="shared" ref="BM51:BS51" si="94">+BM49*BM50</f>
        <v>445.15458749999993</v>
      </c>
      <c r="BN51" s="120">
        <f t="shared" si="94"/>
        <v>445.15533749999992</v>
      </c>
      <c r="BO51" s="120">
        <f t="shared" si="94"/>
        <v>445.1560874999999</v>
      </c>
      <c r="BP51" s="120">
        <f t="shared" si="94"/>
        <v>445.15683749999994</v>
      </c>
      <c r="BQ51" s="120">
        <f t="shared" si="94"/>
        <v>445.15758749999992</v>
      </c>
      <c r="BR51" s="120">
        <f t="shared" si="94"/>
        <v>445.1583374999999</v>
      </c>
      <c r="BS51" s="120">
        <f t="shared" si="94"/>
        <v>445.15908749999988</v>
      </c>
      <c r="BT51" s="120">
        <f t="shared" ref="BT51:BV51" si="95">+BT49*BT50</f>
        <v>445.15983749999992</v>
      </c>
      <c r="BU51" s="120">
        <f t="shared" si="95"/>
        <v>445.16058749999991</v>
      </c>
      <c r="BV51" s="120">
        <f t="shared" si="95"/>
        <v>445.16133749999989</v>
      </c>
    </row>
    <row r="52" spans="1:74" outlineLevel="1" x14ac:dyDescent="0.2">
      <c r="A52" s="119"/>
      <c r="B52" s="119"/>
      <c r="C52" s="119"/>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row>
    <row r="53" spans="1:74" outlineLevel="1" x14ac:dyDescent="0.2">
      <c r="A53" s="119" t="s">
        <v>135</v>
      </c>
      <c r="B53" s="119"/>
      <c r="C53" s="119"/>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19"/>
    </row>
    <row r="54" spans="1:74" outlineLevel="1" x14ac:dyDescent="0.2">
      <c r="A54" s="119"/>
      <c r="B54" s="119" t="s">
        <v>136</v>
      </c>
      <c r="C54" s="119"/>
      <c r="E54" s="120"/>
      <c r="F54" s="120"/>
      <c r="G54" s="120"/>
      <c r="H54" s="120"/>
      <c r="I54" s="120"/>
      <c r="J54" s="120"/>
      <c r="K54" s="120"/>
      <c r="L54" s="120"/>
      <c r="M54" s="120"/>
      <c r="N54" s="120"/>
      <c r="O54" s="120"/>
      <c r="P54" s="120"/>
      <c r="Q54" s="120"/>
      <c r="R54" s="120"/>
      <c r="S54" s="120"/>
      <c r="T54" s="120"/>
      <c r="U54" s="120"/>
      <c r="V54" s="120"/>
      <c r="W54" s="120"/>
      <c r="X54" s="120"/>
      <c r="Y54" s="120"/>
      <c r="Z54" s="120"/>
      <c r="AA54" s="120"/>
      <c r="AB54" s="120"/>
      <c r="AC54" s="120"/>
      <c r="AD54" s="120"/>
      <c r="AE54" s="120"/>
      <c r="AF54" s="120"/>
      <c r="AG54" s="120"/>
      <c r="AH54" s="120"/>
      <c r="AI54" s="120"/>
      <c r="AJ54" s="120"/>
      <c r="AK54" s="120"/>
      <c r="AL54" s="120"/>
      <c r="AM54" s="120"/>
      <c r="AN54" s="120"/>
      <c r="AO54" s="120"/>
      <c r="AP54" s="120"/>
      <c r="AQ54" s="120"/>
      <c r="AR54" s="120"/>
      <c r="AS54" s="120"/>
      <c r="AT54" s="120"/>
      <c r="AU54" s="120"/>
      <c r="AV54" s="120"/>
      <c r="AW54" s="120"/>
      <c r="AX54" s="120"/>
      <c r="AY54" s="120"/>
      <c r="AZ54" s="120"/>
      <c r="BA54" s="120"/>
      <c r="BB54" s="120"/>
      <c r="BC54" s="120"/>
      <c r="BD54" s="120"/>
      <c r="BE54" s="120"/>
      <c r="BF54" s="120"/>
      <c r="BG54" s="120"/>
      <c r="BH54" s="120"/>
      <c r="BI54" s="120"/>
      <c r="BJ54" s="120"/>
      <c r="BK54" s="120"/>
      <c r="BL54" s="120"/>
      <c r="BM54" s="120"/>
      <c r="BN54" s="120"/>
      <c r="BO54" s="120"/>
      <c r="BP54" s="120"/>
      <c r="BQ54" s="120"/>
      <c r="BR54" s="120"/>
      <c r="BS54" s="120"/>
      <c r="BT54" s="120"/>
      <c r="BU54" s="120"/>
      <c r="BV54" s="120"/>
    </row>
    <row r="55" spans="1:74" ht="15" outlineLevel="1" x14ac:dyDescent="0.25">
      <c r="A55" s="119"/>
      <c r="B55" s="119" t="s">
        <v>133</v>
      </c>
      <c r="C55" s="119"/>
      <c r="E55" s="122">
        <f t="shared" ref="E55:BP55" si="96">0.08/12</f>
        <v>6.6666666666666671E-3</v>
      </c>
      <c r="F55" s="122">
        <f t="shared" si="96"/>
        <v>6.6666666666666671E-3</v>
      </c>
      <c r="G55" s="122">
        <f t="shared" si="96"/>
        <v>6.6666666666666671E-3</v>
      </c>
      <c r="H55" s="122">
        <f t="shared" si="96"/>
        <v>6.6666666666666671E-3</v>
      </c>
      <c r="I55" s="122">
        <f t="shared" si="96"/>
        <v>6.6666666666666671E-3</v>
      </c>
      <c r="J55" s="122">
        <f t="shared" si="96"/>
        <v>6.6666666666666671E-3</v>
      </c>
      <c r="K55" s="122">
        <f t="shared" si="96"/>
        <v>6.6666666666666671E-3</v>
      </c>
      <c r="L55" s="122">
        <f t="shared" si="96"/>
        <v>6.6666666666666671E-3</v>
      </c>
      <c r="M55" s="122">
        <f t="shared" si="96"/>
        <v>6.6666666666666671E-3</v>
      </c>
      <c r="N55" s="122">
        <f t="shared" si="96"/>
        <v>6.6666666666666671E-3</v>
      </c>
      <c r="O55" s="122">
        <f t="shared" si="96"/>
        <v>6.6666666666666671E-3</v>
      </c>
      <c r="P55" s="122">
        <f t="shared" si="96"/>
        <v>6.6666666666666671E-3</v>
      </c>
      <c r="Q55" s="122">
        <f t="shared" si="96"/>
        <v>6.6666666666666671E-3</v>
      </c>
      <c r="R55" s="122">
        <f t="shared" si="96"/>
        <v>6.6666666666666671E-3</v>
      </c>
      <c r="S55" s="122">
        <f t="shared" si="96"/>
        <v>6.6666666666666671E-3</v>
      </c>
      <c r="T55" s="122">
        <f t="shared" si="96"/>
        <v>6.6666666666666671E-3</v>
      </c>
      <c r="U55" s="122">
        <f t="shared" si="96"/>
        <v>6.6666666666666671E-3</v>
      </c>
      <c r="V55" s="122">
        <f t="shared" si="96"/>
        <v>6.6666666666666671E-3</v>
      </c>
      <c r="W55" s="122">
        <f t="shared" si="96"/>
        <v>6.6666666666666671E-3</v>
      </c>
      <c r="X55" s="122">
        <f t="shared" si="96"/>
        <v>6.6666666666666671E-3</v>
      </c>
      <c r="Y55" s="122">
        <f t="shared" si="96"/>
        <v>6.6666666666666671E-3</v>
      </c>
      <c r="Z55" s="122">
        <f t="shared" si="96"/>
        <v>6.6666666666666671E-3</v>
      </c>
      <c r="AA55" s="122">
        <f t="shared" si="96"/>
        <v>6.6666666666666671E-3</v>
      </c>
      <c r="AB55" s="122">
        <f t="shared" si="96"/>
        <v>6.6666666666666671E-3</v>
      </c>
      <c r="AC55" s="122">
        <f t="shared" si="96"/>
        <v>6.6666666666666671E-3</v>
      </c>
      <c r="AD55" s="122">
        <f t="shared" si="96"/>
        <v>6.6666666666666671E-3</v>
      </c>
      <c r="AE55" s="122">
        <f t="shared" si="96"/>
        <v>6.6666666666666671E-3</v>
      </c>
      <c r="AF55" s="122">
        <f t="shared" si="96"/>
        <v>6.6666666666666671E-3</v>
      </c>
      <c r="AG55" s="122">
        <f t="shared" si="96"/>
        <v>6.6666666666666671E-3</v>
      </c>
      <c r="AH55" s="122">
        <f t="shared" si="96"/>
        <v>6.6666666666666671E-3</v>
      </c>
      <c r="AI55" s="122">
        <f t="shared" si="96"/>
        <v>6.6666666666666671E-3</v>
      </c>
      <c r="AJ55" s="122">
        <f t="shared" si="96"/>
        <v>6.6666666666666671E-3</v>
      </c>
      <c r="AK55" s="122">
        <f t="shared" si="96"/>
        <v>6.6666666666666671E-3</v>
      </c>
      <c r="AL55" s="122">
        <f t="shared" si="96"/>
        <v>6.6666666666666671E-3</v>
      </c>
      <c r="AM55" s="122">
        <f t="shared" si="96"/>
        <v>6.6666666666666671E-3</v>
      </c>
      <c r="AN55" s="122">
        <f t="shared" si="96"/>
        <v>6.6666666666666671E-3</v>
      </c>
      <c r="AO55" s="122">
        <f t="shared" si="96"/>
        <v>6.6666666666666671E-3</v>
      </c>
      <c r="AP55" s="122">
        <f t="shared" si="96"/>
        <v>6.6666666666666671E-3</v>
      </c>
      <c r="AQ55" s="122">
        <f t="shared" si="96"/>
        <v>6.6666666666666671E-3</v>
      </c>
      <c r="AR55" s="122">
        <f t="shared" si="96"/>
        <v>6.6666666666666671E-3</v>
      </c>
      <c r="AS55" s="122">
        <f t="shared" si="96"/>
        <v>6.6666666666666671E-3</v>
      </c>
      <c r="AT55" s="122">
        <f t="shared" si="96"/>
        <v>6.6666666666666671E-3</v>
      </c>
      <c r="AU55" s="122">
        <f t="shared" si="96"/>
        <v>6.6666666666666671E-3</v>
      </c>
      <c r="AV55" s="122">
        <f t="shared" si="96"/>
        <v>6.6666666666666671E-3</v>
      </c>
      <c r="AW55" s="122">
        <f t="shared" si="96"/>
        <v>6.6666666666666671E-3</v>
      </c>
      <c r="AX55" s="122">
        <f t="shared" si="96"/>
        <v>6.6666666666666671E-3</v>
      </c>
      <c r="AY55" s="122">
        <f t="shared" si="96"/>
        <v>6.6666666666666671E-3</v>
      </c>
      <c r="AZ55" s="122">
        <f t="shared" si="96"/>
        <v>6.6666666666666671E-3</v>
      </c>
      <c r="BA55" s="122">
        <f t="shared" si="96"/>
        <v>6.6666666666666671E-3</v>
      </c>
      <c r="BB55" s="122">
        <f t="shared" si="96"/>
        <v>6.6666666666666671E-3</v>
      </c>
      <c r="BC55" s="122">
        <f t="shared" si="96"/>
        <v>6.6666666666666671E-3</v>
      </c>
      <c r="BD55" s="122">
        <f t="shared" si="96"/>
        <v>6.6666666666666671E-3</v>
      </c>
      <c r="BE55" s="122">
        <f t="shared" si="96"/>
        <v>6.6666666666666671E-3</v>
      </c>
      <c r="BF55" s="122">
        <f t="shared" si="96"/>
        <v>6.6666666666666671E-3</v>
      </c>
      <c r="BG55" s="122">
        <f t="shared" si="96"/>
        <v>6.6666666666666671E-3</v>
      </c>
      <c r="BH55" s="122">
        <f t="shared" si="96"/>
        <v>6.6666666666666671E-3</v>
      </c>
      <c r="BI55" s="122">
        <f t="shared" si="96"/>
        <v>6.6666666666666671E-3</v>
      </c>
      <c r="BJ55" s="122">
        <f t="shared" si="96"/>
        <v>6.6666666666666671E-3</v>
      </c>
      <c r="BK55" s="122">
        <f t="shared" si="96"/>
        <v>6.6666666666666671E-3</v>
      </c>
      <c r="BL55" s="122">
        <f t="shared" si="96"/>
        <v>6.6666666666666671E-3</v>
      </c>
      <c r="BM55" s="122">
        <f t="shared" si="96"/>
        <v>6.6666666666666671E-3</v>
      </c>
      <c r="BN55" s="122">
        <f t="shared" si="96"/>
        <v>6.6666666666666671E-3</v>
      </c>
      <c r="BO55" s="122">
        <f t="shared" si="96"/>
        <v>6.6666666666666671E-3</v>
      </c>
      <c r="BP55" s="122">
        <f t="shared" si="96"/>
        <v>6.6666666666666671E-3</v>
      </c>
      <c r="BQ55" s="122">
        <f t="shared" ref="BQ55:BS55" si="97">0.08/12</f>
        <v>6.6666666666666671E-3</v>
      </c>
      <c r="BR55" s="122">
        <f t="shared" si="97"/>
        <v>6.6666666666666671E-3</v>
      </c>
      <c r="BS55" s="122">
        <f t="shared" si="97"/>
        <v>6.6666666666666671E-3</v>
      </c>
      <c r="BT55" s="122">
        <f t="shared" ref="BT55:BV55" si="98">0.08/12</f>
        <v>6.6666666666666671E-3</v>
      </c>
      <c r="BU55" s="122">
        <f t="shared" si="98"/>
        <v>6.6666666666666671E-3</v>
      </c>
      <c r="BV55" s="122">
        <f t="shared" si="98"/>
        <v>6.6666666666666671E-3</v>
      </c>
    </row>
    <row r="56" spans="1:74" outlineLevel="1" x14ac:dyDescent="0.2">
      <c r="A56" s="119"/>
      <c r="B56" s="119" t="s">
        <v>137</v>
      </c>
      <c r="C56" s="119"/>
      <c r="E56" s="120">
        <f t="shared" ref="E56:O56" si="99">+E54*E55</f>
        <v>0</v>
      </c>
      <c r="F56" s="120">
        <f t="shared" si="99"/>
        <v>0</v>
      </c>
      <c r="G56" s="120">
        <f t="shared" si="99"/>
        <v>0</v>
      </c>
      <c r="H56" s="120">
        <f t="shared" si="99"/>
        <v>0</v>
      </c>
      <c r="I56" s="120">
        <f t="shared" si="99"/>
        <v>0</v>
      </c>
      <c r="J56" s="120">
        <f t="shared" si="99"/>
        <v>0</v>
      </c>
      <c r="K56" s="120">
        <f t="shared" si="99"/>
        <v>0</v>
      </c>
      <c r="L56" s="120">
        <f t="shared" si="99"/>
        <v>0</v>
      </c>
      <c r="M56" s="120">
        <f t="shared" si="99"/>
        <v>0</v>
      </c>
      <c r="N56" s="120">
        <f t="shared" si="99"/>
        <v>0</v>
      </c>
      <c r="O56" s="120">
        <f t="shared" si="99"/>
        <v>0</v>
      </c>
      <c r="P56" s="120">
        <f>Debt!$K3+EzTxtNote!$K3</f>
        <v>106458.33333333333</v>
      </c>
      <c r="Q56" s="120">
        <f>Debt!$K4+EzTxtNote!$K4</f>
        <v>105966.82570517386</v>
      </c>
      <c r="R56" s="120">
        <f>Debt!$K5+EzTxtNote!$K5</f>
        <v>105472.86053887362</v>
      </c>
      <c r="S56" s="120">
        <f>Debt!$K6+EzTxtNote!$K6</f>
        <v>104976.42554674186</v>
      </c>
      <c r="T56" s="120">
        <f>Debt!$K7+EzTxtNote!$K7</f>
        <v>104477.50837964943</v>
      </c>
      <c r="U56" s="120">
        <f>Debt!$K8+EzTxtNote!$K8</f>
        <v>103976.09662672156</v>
      </c>
      <c r="V56" s="120">
        <f>Debt!$K9+EzTxtNote!$K9</f>
        <v>103472.17781502903</v>
      </c>
      <c r="W56" s="120">
        <f>Debt!$K10+EzTxtNote!$K10</f>
        <v>102965.73940927805</v>
      </c>
      <c r="X56" s="120">
        <f>Debt!$K11+EzTxtNote!$K11</f>
        <v>102456.7688114983</v>
      </c>
      <c r="Y56" s="120">
        <f>Debt!$K12+EzTxtNote!$K12</f>
        <v>101945.25336072968</v>
      </c>
      <c r="Z56" s="120">
        <f>Debt!$K13+EzTxtNote!$K13</f>
        <v>101431.1803327072</v>
      </c>
      <c r="AA56" s="120">
        <f>Debt!$K14+EzTxtNote!$K14</f>
        <v>100914.5369395446</v>
      </c>
      <c r="AB56" s="120">
        <f>Debt!$K15+EzTxtNote!$K15</f>
        <v>100395.3103294162</v>
      </c>
      <c r="AC56" s="120">
        <f>Debt!$K16+EzTxtNote!$K16</f>
        <v>99873.487586237155</v>
      </c>
      <c r="AD56" s="120">
        <f>Debt!$K7+EzTxtNote!$K7</f>
        <v>104477.50837964943</v>
      </c>
      <c r="AE56" s="120">
        <f>Debt!$K18+EzTxtNote!$K18</f>
        <v>98822.001713162783</v>
      </c>
      <c r="AF56" s="120">
        <f>Debt!$K19+EzTxtNote!$K19</f>
        <v>98292.31242690247</v>
      </c>
      <c r="AG56" s="120">
        <f>Debt!$K20+EzTxtNote!$K20</f>
        <v>97759.974694210861</v>
      </c>
      <c r="AH56" s="120">
        <f>Debt!$K21+EzTxtNote!$K21</f>
        <v>97224.975272855794</v>
      </c>
      <c r="AI56" s="120">
        <f>Debt!$K22+EzTxtNote!$K22</f>
        <v>96687.300854393936</v>
      </c>
      <c r="AJ56" s="120">
        <f>Debt!$K23+EzTxtNote!$K23</f>
        <v>96146.938063839785</v>
      </c>
      <c r="AK56" s="120">
        <f>Debt!$K24+EzTxtNote!$K24</f>
        <v>95603.873459332855</v>
      </c>
      <c r="AL56" s="120">
        <f>Debt!$K25+EzTxtNote!$K25</f>
        <v>95058.093531803388</v>
      </c>
      <c r="AM56" s="120">
        <f>Debt!$K26+EzTxtNote!$K26</f>
        <v>94509.584704636276</v>
      </c>
      <c r="AN56" s="120">
        <f>Debt!$K27</f>
        <v>93958.333333333328</v>
      </c>
      <c r="AO56" s="120">
        <f>Debt!$K19+EzTxtNote!$K19</f>
        <v>98292.31242690247</v>
      </c>
      <c r="AP56" s="120">
        <f>Debt!$K20+EzTxtNote!$K20</f>
        <v>97759.974694210861</v>
      </c>
      <c r="AQ56" s="120">
        <f>Debt!$K21+EzTxtNote!$K21</f>
        <v>97224.975272855794</v>
      </c>
      <c r="AR56" s="120">
        <f>Debt!$K22+EzTxtNote!$K22</f>
        <v>96687.300854393936</v>
      </c>
      <c r="AS56" s="120">
        <f>Debt!$K23+EzTxtNote!$K23</f>
        <v>96146.938063839785</v>
      </c>
      <c r="AT56" s="120">
        <f>Debt!$K24+EzTxtNote!$K24</f>
        <v>95603.873459332855</v>
      </c>
      <c r="AU56" s="120">
        <f>Debt!$K25+EzTxtNote!$K25</f>
        <v>95058.093531803388</v>
      </c>
      <c r="AV56" s="120">
        <f>Debt!$K26+EzTxtNote!$K26</f>
        <v>94509.584704636276</v>
      </c>
      <c r="AW56" s="120">
        <f>Debt!$K27</f>
        <v>93958.333333333328</v>
      </c>
      <c r="AX56" s="120">
        <f>Debt!$K19+EzTxtNote!$K19</f>
        <v>98292.31242690247</v>
      </c>
      <c r="AY56" s="120">
        <f>Debt!$K20+EzTxtNote!$K20</f>
        <v>97759.974694210861</v>
      </c>
      <c r="AZ56" s="120">
        <f>Debt!$K21+EzTxtNote!$K21</f>
        <v>97224.975272855794</v>
      </c>
      <c r="BA56" s="120">
        <f>Debt!$K20+EzTxtNote!$K20</f>
        <v>97759.974694210861</v>
      </c>
      <c r="BB56" s="120">
        <f>Debt!$K21+EzTxtNote!$K21</f>
        <v>97224.975272855794</v>
      </c>
      <c r="BC56" s="120">
        <f>Debt!$K20+EzTxtNote!$K20</f>
        <v>97759.974694210861</v>
      </c>
      <c r="BD56" s="120">
        <f>Debt!$K21+EzTxtNote!$K21</f>
        <v>97224.975272855794</v>
      </c>
      <c r="BE56" s="120">
        <f>Debt!$K20+EzTxtNote!$K20</f>
        <v>97759.974694210861</v>
      </c>
      <c r="BF56" s="120">
        <f>Debt!$K21+EzTxtNote!$K21</f>
        <v>97224.975272855794</v>
      </c>
      <c r="BG56" s="120">
        <f>Debt!$K20+EzTxtNote!$K20</f>
        <v>97759.974694210861</v>
      </c>
      <c r="BH56" s="120">
        <f>Debt!$K21+EzTxtNote!$K21</f>
        <v>97224.975272855794</v>
      </c>
      <c r="BI56" s="120">
        <f>Debt!$K20+EzTxtNote!$K20</f>
        <v>97759.974694210861</v>
      </c>
      <c r="BJ56" s="120">
        <f>Debt!$K21+EzTxtNote!$K21</f>
        <v>97224.975272855794</v>
      </c>
      <c r="BK56" s="120">
        <f>Debt!$K20+EzTxtNote!$K20</f>
        <v>97759.974694210861</v>
      </c>
      <c r="BL56" s="120">
        <f>Debt!$K21+EzTxtNote!$K21</f>
        <v>97224.975272855794</v>
      </c>
      <c r="BM56" s="120">
        <f>Debt!$K20+EzTxtNote!$K20</f>
        <v>97759.974694210861</v>
      </c>
      <c r="BN56" s="120">
        <f>Debt!$K21+EzTxtNote!$K21</f>
        <v>97224.975272855794</v>
      </c>
      <c r="BO56" s="120">
        <f>Debt!$K20+EzTxtNote!$K20</f>
        <v>97759.974694210861</v>
      </c>
      <c r="BP56" s="120">
        <f>Debt!$K21+EzTxtNote!$K21</f>
        <v>97224.975272855794</v>
      </c>
      <c r="BQ56" s="120">
        <f>Debt!$K20+EzTxtNote!$K20</f>
        <v>97759.974694210861</v>
      </c>
      <c r="BR56" s="120">
        <f>Debt!$K21+EzTxtNote!$K21</f>
        <v>97224.975272855794</v>
      </c>
      <c r="BS56" s="120">
        <f>Debt!$K20+EzTxtNote!$K20</f>
        <v>97759.974694210861</v>
      </c>
      <c r="BT56" s="120">
        <f>Debt!$K20+EzTxtNote!$K20</f>
        <v>97759.974694210861</v>
      </c>
      <c r="BU56" s="120">
        <f>Debt!$K21+EzTxtNote!$K21</f>
        <v>97224.975272855794</v>
      </c>
      <c r="BV56" s="120">
        <f>Debt!$K20+EzTxtNote!$K20</f>
        <v>97759.974694210861</v>
      </c>
    </row>
    <row r="57" spans="1:74" ht="15" outlineLevel="1" x14ac:dyDescent="0.25">
      <c r="A57" s="16"/>
      <c r="B57" s="16"/>
      <c r="C57" s="16"/>
      <c r="E57" s="16"/>
      <c r="Q57" s="16"/>
    </row>
    <row r="58" spans="1:74" ht="15" x14ac:dyDescent="0.25">
      <c r="A58" s="29" t="s">
        <v>173</v>
      </c>
      <c r="B58" s="29"/>
      <c r="C58" s="29"/>
      <c r="D58" s="100"/>
      <c r="E58" s="123">
        <f t="shared" ref="E58:Z58" si="100">E56-E51</f>
        <v>-1179.4562386648381</v>
      </c>
      <c r="F58" s="123">
        <f t="shared" si="100"/>
        <v>-1042.5145464425007</v>
      </c>
      <c r="G58" s="123">
        <f t="shared" si="100"/>
        <v>-1172.2401484324994</v>
      </c>
      <c r="H58" s="123">
        <f t="shared" si="100"/>
        <v>-1241.6910766175006</v>
      </c>
      <c r="I58" s="123">
        <f t="shared" si="100"/>
        <v>-1891.9769847424989</v>
      </c>
      <c r="J58" s="123">
        <f t="shared" si="100"/>
        <v>-445.12683750000019</v>
      </c>
      <c r="K58" s="123">
        <f t="shared" si="100"/>
        <v>-445.12683750000019</v>
      </c>
      <c r="L58" s="123">
        <f t="shared" si="100"/>
        <v>-445.12683750000019</v>
      </c>
      <c r="M58" s="123">
        <f t="shared" si="100"/>
        <v>-445.12683750000019</v>
      </c>
      <c r="N58" s="123">
        <f t="shared" si="100"/>
        <v>-445.12683750000019</v>
      </c>
      <c r="O58" s="123">
        <f t="shared" si="100"/>
        <v>-445.12683750000019</v>
      </c>
      <c r="P58" s="123">
        <f t="shared" si="100"/>
        <v>106013.20649583332</v>
      </c>
      <c r="Q58" s="123">
        <f t="shared" si="100"/>
        <v>105521.69886767385</v>
      </c>
      <c r="R58" s="123">
        <f t="shared" si="100"/>
        <v>105027.73370137361</v>
      </c>
      <c r="S58" s="123">
        <f t="shared" si="100"/>
        <v>104531.29870924185</v>
      </c>
      <c r="T58" s="123">
        <f t="shared" si="100"/>
        <v>104032.38154214942</v>
      </c>
      <c r="U58" s="123">
        <f t="shared" si="100"/>
        <v>103530.96978922155</v>
      </c>
      <c r="V58" s="123">
        <f t="shared" si="100"/>
        <v>103027.05097752903</v>
      </c>
      <c r="W58" s="123">
        <f t="shared" si="100"/>
        <v>102520.61257177804</v>
      </c>
      <c r="X58" s="123">
        <f t="shared" si="100"/>
        <v>102011.6419739983</v>
      </c>
      <c r="Y58" s="123">
        <f t="shared" si="100"/>
        <v>101500.12652322967</v>
      </c>
      <c r="Z58" s="123">
        <f t="shared" si="100"/>
        <v>100986.05349520719</v>
      </c>
      <c r="AA58" s="123">
        <f>AA56-AA51</f>
        <v>100469.4101020446</v>
      </c>
      <c r="AB58" s="123">
        <f t="shared" ref="AB58:AZ58" si="101">AB56-AB51</f>
        <v>99950.183491916192</v>
      </c>
      <c r="AC58" s="123">
        <f t="shared" si="101"/>
        <v>99428.359998737156</v>
      </c>
      <c r="AD58" s="123">
        <f t="shared" si="101"/>
        <v>104032.38004214942</v>
      </c>
      <c r="AE58" s="123">
        <f t="shared" si="101"/>
        <v>98376.872625662785</v>
      </c>
      <c r="AF58" s="123">
        <f t="shared" si="101"/>
        <v>97847.182589402466</v>
      </c>
      <c r="AG58" s="123">
        <f t="shared" si="101"/>
        <v>97314.844106710865</v>
      </c>
      <c r="AH58" s="123">
        <f t="shared" si="101"/>
        <v>96779.843935355791</v>
      </c>
      <c r="AI58" s="123">
        <f t="shared" si="101"/>
        <v>96242.168766893941</v>
      </c>
      <c r="AJ58" s="123">
        <f t="shared" si="101"/>
        <v>95701.805226339784</v>
      </c>
      <c r="AK58" s="123">
        <f t="shared" si="101"/>
        <v>95158.739871832862</v>
      </c>
      <c r="AL58" s="123">
        <f t="shared" si="101"/>
        <v>94612.959194303388</v>
      </c>
      <c r="AM58" s="123">
        <f t="shared" si="101"/>
        <v>94064.44961713627</v>
      </c>
      <c r="AN58" s="123">
        <f t="shared" si="101"/>
        <v>93513.19749583333</v>
      </c>
      <c r="AO58" s="123">
        <f t="shared" si="101"/>
        <v>97847.175839402465</v>
      </c>
      <c r="AP58" s="123">
        <f t="shared" si="101"/>
        <v>97314.837356710865</v>
      </c>
      <c r="AQ58" s="123">
        <f t="shared" si="101"/>
        <v>96779.837185355791</v>
      </c>
      <c r="AR58" s="123">
        <f t="shared" si="101"/>
        <v>96242.162016893941</v>
      </c>
      <c r="AS58" s="123">
        <f t="shared" si="101"/>
        <v>95701.798476339784</v>
      </c>
      <c r="AT58" s="123">
        <f t="shared" si="101"/>
        <v>95158.733121832862</v>
      </c>
      <c r="AU58" s="123">
        <f t="shared" si="101"/>
        <v>94612.952444303388</v>
      </c>
      <c r="AV58" s="123">
        <f t="shared" si="101"/>
        <v>94064.442867136269</v>
      </c>
      <c r="AW58" s="123">
        <f t="shared" si="101"/>
        <v>93513.19074583333</v>
      </c>
      <c r="AX58" s="123">
        <f t="shared" si="101"/>
        <v>97847.169089402465</v>
      </c>
      <c r="AY58" s="123">
        <f t="shared" si="101"/>
        <v>97314.830606710864</v>
      </c>
      <c r="AZ58" s="123">
        <f t="shared" si="101"/>
        <v>96779.830435355791</v>
      </c>
      <c r="BA58" s="123">
        <f t="shared" ref="BA58:BL58" si="102">BA56-BA51</f>
        <v>97314.829106710866</v>
      </c>
      <c r="BB58" s="123">
        <f t="shared" si="102"/>
        <v>96779.828935355792</v>
      </c>
      <c r="BC58" s="123">
        <f t="shared" si="102"/>
        <v>97314.827606710867</v>
      </c>
      <c r="BD58" s="123">
        <f t="shared" si="102"/>
        <v>96779.827435355794</v>
      </c>
      <c r="BE58" s="123">
        <f t="shared" si="102"/>
        <v>97314.826106710854</v>
      </c>
      <c r="BF58" s="123">
        <f t="shared" si="102"/>
        <v>96779.825935355795</v>
      </c>
      <c r="BG58" s="123">
        <f t="shared" si="102"/>
        <v>97314.824606710856</v>
      </c>
      <c r="BH58" s="123">
        <f t="shared" si="102"/>
        <v>96779.824435355797</v>
      </c>
      <c r="BI58" s="123">
        <f t="shared" si="102"/>
        <v>97314.823106710857</v>
      </c>
      <c r="BJ58" s="123">
        <f t="shared" si="102"/>
        <v>96779.822935355798</v>
      </c>
      <c r="BK58" s="123">
        <f t="shared" si="102"/>
        <v>97314.821606710859</v>
      </c>
      <c r="BL58" s="123">
        <f t="shared" si="102"/>
        <v>96779.8214353558</v>
      </c>
      <c r="BM58" s="123">
        <f t="shared" ref="BM58:BS58" si="103">BM56-BM51</f>
        <v>97314.82010671086</v>
      </c>
      <c r="BN58" s="123">
        <f t="shared" si="103"/>
        <v>96779.819935355801</v>
      </c>
      <c r="BO58" s="123">
        <f t="shared" si="103"/>
        <v>97314.818606710862</v>
      </c>
      <c r="BP58" s="123">
        <f t="shared" si="103"/>
        <v>96779.818435355788</v>
      </c>
      <c r="BQ58" s="123">
        <f t="shared" si="103"/>
        <v>97314.817106710863</v>
      </c>
      <c r="BR58" s="123">
        <f t="shared" si="103"/>
        <v>96779.81693535579</v>
      </c>
      <c r="BS58" s="123">
        <f t="shared" si="103"/>
        <v>97314.815606710865</v>
      </c>
      <c r="BT58" s="123">
        <f t="shared" ref="BT58:BV58" si="104">BT56-BT51</f>
        <v>97314.814856710858</v>
      </c>
      <c r="BU58" s="123">
        <f t="shared" si="104"/>
        <v>96779.814685355799</v>
      </c>
      <c r="BV58" s="123">
        <f t="shared" si="104"/>
        <v>97314.81335671086</v>
      </c>
    </row>
  </sheetData>
  <printOptions horizontalCentered="1" verticalCentered="1"/>
  <pageMargins left="0.25" right="0.25" top="1" bottom="1" header="0.5" footer="0.5"/>
  <pageSetup scale="80" fitToWidth="2" orientation="landscape" horizontalDpi="1200" verticalDpi="1200" r:id="rId1"/>
  <headerFooter alignWithMargins="0">
    <oddHeader>&amp;L&amp;"-,Bold"&amp;12CallFire Financial Model&amp;C&amp;"-,Bold"&amp;12&amp;A</oddHeader>
    <oddFooter>&amp;L&amp;"-,Bold"&amp;8CallFire Confidential&amp;C&amp;8&amp;D&amp;R&amp;8Page &amp;P</oddFooter>
  </headerFooter>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3" tint="0.39997558519241921"/>
    <pageSetUpPr fitToPage="1"/>
  </sheetPr>
  <dimension ref="A1:BV35"/>
  <sheetViews>
    <sheetView zoomScale="80" zoomScaleNormal="80" workbookViewId="0">
      <pane xSplit="2" ySplit="5" topLeftCell="X6" activePane="bottomRight" state="frozen"/>
      <selection activeCell="C20" sqref="C20"/>
      <selection pane="topRight" activeCell="C20" sqref="C20"/>
      <selection pane="bottomLeft" activeCell="C20" sqref="C20"/>
      <selection pane="bottomRight" activeCell="AJ22" sqref="AJ22"/>
    </sheetView>
  </sheetViews>
  <sheetFormatPr defaultRowHeight="15" x14ac:dyDescent="0.25"/>
  <cols>
    <col min="1" max="1" width="2.140625" customWidth="1"/>
    <col min="2" max="2" width="25.28515625" bestFit="1" customWidth="1"/>
    <col min="3" max="3" width="11" customWidth="1"/>
    <col min="4" max="4" width="11.5703125" bestFit="1" customWidth="1"/>
    <col min="5" max="5" width="12.5703125" customWidth="1"/>
    <col min="6" max="7" width="11.5703125" bestFit="1" customWidth="1"/>
    <col min="8" max="8" width="12.7109375" bestFit="1" customWidth="1"/>
    <col min="9" max="13" width="11.5703125" bestFit="1" customWidth="1"/>
    <col min="14" max="14" width="12.7109375" bestFit="1" customWidth="1"/>
    <col min="62" max="62" width="9.140625" customWidth="1"/>
    <col min="63" max="71" width="8.7109375" style="570" customWidth="1"/>
  </cols>
  <sheetData>
    <row r="1" spans="1:74" ht="18.75" thickBot="1" x14ac:dyDescent="0.3">
      <c r="A1" s="87" t="str">
        <f>Sensativities!B4</f>
        <v>CallFire</v>
      </c>
      <c r="B1" s="87"/>
    </row>
    <row r="3" spans="1:74" s="235" customFormat="1" ht="15.75" x14ac:dyDescent="0.25">
      <c r="A3" s="92" t="s">
        <v>85</v>
      </c>
      <c r="BK3" s="570"/>
      <c r="BL3" s="570"/>
      <c r="BM3" s="570"/>
      <c r="BN3" s="570"/>
      <c r="BO3" s="570"/>
      <c r="BP3" s="570"/>
      <c r="BQ3" s="570"/>
      <c r="BR3" s="570"/>
      <c r="BS3" s="570"/>
    </row>
    <row r="4" spans="1:74" s="16" customFormat="1" x14ac:dyDescent="0.25">
      <c r="B4" s="40"/>
      <c r="C4" s="13">
        <f>'P&amp;L - Monthly'!E1</f>
        <v>40909</v>
      </c>
      <c r="D4" s="13">
        <f>'P&amp;L - Monthly'!F1</f>
        <v>40942</v>
      </c>
      <c r="E4" s="13">
        <f>'P&amp;L - Monthly'!G1</f>
        <v>40975</v>
      </c>
      <c r="F4" s="13">
        <f>'P&amp;L - Monthly'!H1</f>
        <v>41008</v>
      </c>
      <c r="G4" s="13">
        <f>'P&amp;L - Monthly'!I1</f>
        <v>41041</v>
      </c>
      <c r="H4" s="13">
        <f>'P&amp;L - Monthly'!J1</f>
        <v>41074</v>
      </c>
      <c r="I4" s="13">
        <f>'P&amp;L - Monthly'!K1</f>
        <v>41107</v>
      </c>
      <c r="J4" s="13">
        <f>'P&amp;L - Monthly'!L1</f>
        <v>41140</v>
      </c>
      <c r="K4" s="13">
        <f>'P&amp;L - Monthly'!M1</f>
        <v>41173</v>
      </c>
      <c r="L4" s="13">
        <f>'P&amp;L - Monthly'!N1</f>
        <v>41206</v>
      </c>
      <c r="M4" s="13">
        <f>'P&amp;L - Monthly'!O1</f>
        <v>41239</v>
      </c>
      <c r="N4" s="13">
        <f>'P&amp;L - Monthly'!P1</f>
        <v>41272</v>
      </c>
      <c r="O4" s="12">
        <f>'P&amp;L - Monthly'!Q1</f>
        <v>41282</v>
      </c>
      <c r="P4" s="12">
        <f>'P&amp;L - Monthly'!R1</f>
        <v>41312</v>
      </c>
      <c r="Q4" s="12">
        <f>'P&amp;L - Monthly'!S1</f>
        <v>41342</v>
      </c>
      <c r="R4" s="12">
        <f>'P&amp;L - Monthly'!T1</f>
        <v>41372</v>
      </c>
      <c r="S4" s="12">
        <f>'P&amp;L - Monthly'!U1</f>
        <v>41402</v>
      </c>
      <c r="T4" s="12">
        <f>'P&amp;L - Monthly'!V1</f>
        <v>41432</v>
      </c>
      <c r="U4" s="12">
        <f>'P&amp;L - Monthly'!W1</f>
        <v>41462</v>
      </c>
      <c r="V4" s="12">
        <f>'P&amp;L - Monthly'!X1</f>
        <v>41492</v>
      </c>
      <c r="W4" s="12">
        <f>'P&amp;L - Monthly'!Y1</f>
        <v>41522</v>
      </c>
      <c r="X4" s="12">
        <f>'P&amp;L - Monthly'!Z1</f>
        <v>41552</v>
      </c>
      <c r="Y4" s="12">
        <f>'P&amp;L - Monthly'!AA1</f>
        <v>41582</v>
      </c>
      <c r="Z4" s="12">
        <f>'P&amp;L - Monthly'!AB1</f>
        <v>41612</v>
      </c>
      <c r="AA4" s="13">
        <f>'P&amp;L - Monthly'!AC1</f>
        <v>41642</v>
      </c>
      <c r="AB4" s="13">
        <f>'P&amp;L - Monthly'!AD1</f>
        <v>41675</v>
      </c>
      <c r="AC4" s="13">
        <f>'P&amp;L - Monthly'!AE1</f>
        <v>41708</v>
      </c>
      <c r="AD4" s="13">
        <f>'P&amp;L - Monthly'!AF1</f>
        <v>41741</v>
      </c>
      <c r="AE4" s="13">
        <f>'P&amp;L - Monthly'!AG1</f>
        <v>41774</v>
      </c>
      <c r="AF4" s="13">
        <f>'P&amp;L - Monthly'!AH1</f>
        <v>41807</v>
      </c>
      <c r="AG4" s="13">
        <f>'P&amp;L - Monthly'!AI1</f>
        <v>41840</v>
      </c>
      <c r="AH4" s="13">
        <f>'P&amp;L - Monthly'!AJ1</f>
        <v>41873</v>
      </c>
      <c r="AI4" s="13">
        <f>'P&amp;L - Monthly'!AK1</f>
        <v>41906</v>
      </c>
      <c r="AJ4" s="13">
        <f>'P&amp;L - Monthly'!AL1</f>
        <v>41939</v>
      </c>
      <c r="AK4" s="13">
        <f>'P&amp;L - Monthly'!AM1</f>
        <v>41972</v>
      </c>
      <c r="AL4" s="13">
        <f>'P&amp;L - Monthly'!AN1</f>
        <v>41982</v>
      </c>
      <c r="AM4" s="12">
        <f>'P&amp;L - Monthly'!AO1</f>
        <v>42012</v>
      </c>
      <c r="AN4" s="12">
        <f>'P&amp;L - Monthly'!AP1</f>
        <v>42042</v>
      </c>
      <c r="AO4" s="12">
        <f>'P&amp;L - Monthly'!AQ1</f>
        <v>42072</v>
      </c>
      <c r="AP4" s="12">
        <f>'P&amp;L - Monthly'!AR1</f>
        <v>42102</v>
      </c>
      <c r="AQ4" s="12">
        <f>'P&amp;L - Monthly'!AS1</f>
        <v>42132</v>
      </c>
      <c r="AR4" s="12">
        <f>'P&amp;L - Monthly'!AT1</f>
        <v>42162</v>
      </c>
      <c r="AS4" s="12">
        <f>'P&amp;L - Monthly'!AU1</f>
        <v>42192</v>
      </c>
      <c r="AT4" s="12">
        <f>'P&amp;L - Monthly'!AV1</f>
        <v>42222</v>
      </c>
      <c r="AU4" s="12">
        <f>'P&amp;L - Monthly'!AW1</f>
        <v>42252</v>
      </c>
      <c r="AV4" s="12">
        <f>'P&amp;L - Monthly'!AX1</f>
        <v>42282</v>
      </c>
      <c r="AW4" s="12">
        <f>'P&amp;L - Monthly'!AY1</f>
        <v>42312</v>
      </c>
      <c r="AX4" s="12">
        <f>'P&amp;L - Monthly'!AZ1</f>
        <v>42342</v>
      </c>
      <c r="AY4" s="13">
        <f>'P&amp;L - Monthly'!BA1</f>
        <v>42372</v>
      </c>
      <c r="AZ4" s="13">
        <f>'P&amp;L - Monthly'!BB1</f>
        <v>42402</v>
      </c>
      <c r="BA4" s="13">
        <f>'P&amp;L - Monthly'!BC1</f>
        <v>42432</v>
      </c>
      <c r="BB4" s="13">
        <f>'P&amp;L - Monthly'!BD1</f>
        <v>42462</v>
      </c>
      <c r="BC4" s="13">
        <f>'P&amp;L - Monthly'!BE1</f>
        <v>42492</v>
      </c>
      <c r="BD4" s="13">
        <f>'P&amp;L - Monthly'!BF1</f>
        <v>42522</v>
      </c>
      <c r="BE4" s="13">
        <f>'P&amp;L - Monthly'!BG1</f>
        <v>42555</v>
      </c>
      <c r="BF4" s="13">
        <f>'P&amp;L - Monthly'!BH1</f>
        <v>42585</v>
      </c>
      <c r="BG4" s="13">
        <f>'P&amp;L - Monthly'!BI1</f>
        <v>42615</v>
      </c>
      <c r="BH4" s="13">
        <f>'P&amp;L - Monthly'!BJ1</f>
        <v>42645</v>
      </c>
      <c r="BI4" s="13">
        <f>'P&amp;L - Monthly'!BK1</f>
        <v>42675</v>
      </c>
      <c r="BJ4" s="13">
        <f>'P&amp;L - Monthly'!BL1</f>
        <v>42705</v>
      </c>
      <c r="BK4" s="13">
        <f>'P&amp;L - Monthly'!BM1</f>
        <v>42736</v>
      </c>
      <c r="BL4" s="13">
        <f>'P&amp;L - Monthly'!BN1</f>
        <v>42767</v>
      </c>
      <c r="BM4" s="13">
        <f>'P&amp;L - Monthly'!BO1</f>
        <v>42795</v>
      </c>
      <c r="BN4" s="13">
        <f>'P&amp;L - Monthly'!BP1</f>
        <v>42826</v>
      </c>
      <c r="BO4" s="13">
        <f>'P&amp;L - Monthly'!BQ1</f>
        <v>42856</v>
      </c>
      <c r="BP4" s="13">
        <f>'P&amp;L - Monthly'!BR1</f>
        <v>42887</v>
      </c>
      <c r="BQ4" s="13">
        <f>'P&amp;L - Monthly'!BS1</f>
        <v>42917</v>
      </c>
      <c r="BR4" s="13">
        <f>'P&amp;L - Monthly'!BT1</f>
        <v>42948</v>
      </c>
      <c r="BS4" s="13">
        <f>'P&amp;L - Monthly'!BU1</f>
        <v>42979</v>
      </c>
      <c r="BT4" s="13">
        <f>'P&amp;L - Monthly'!BV1</f>
        <v>43009</v>
      </c>
      <c r="BU4" s="13">
        <f>'P&amp;L - Monthly'!BW1</f>
        <v>43040</v>
      </c>
      <c r="BV4" s="13">
        <f>'P&amp;L - Monthly'!BX1</f>
        <v>43070</v>
      </c>
    </row>
    <row r="5" spans="1:74" x14ac:dyDescent="0.25">
      <c r="C5" s="1" t="str">
        <f>'P&amp;L - Monthly'!E4</f>
        <v>Actual</v>
      </c>
      <c r="D5" s="1" t="str">
        <f>'P&amp;L - Monthly'!F4</f>
        <v>Actual</v>
      </c>
      <c r="E5" s="1" t="str">
        <f>'P&amp;L - Monthly'!G4</f>
        <v>Actual</v>
      </c>
      <c r="F5" s="1" t="str">
        <f>'P&amp;L - Monthly'!H4</f>
        <v>Actual</v>
      </c>
      <c r="G5" s="1" t="str">
        <f>'P&amp;L - Monthly'!I4</f>
        <v>Actual</v>
      </c>
      <c r="H5" s="1" t="str">
        <f>'P&amp;L - Monthly'!J4</f>
        <v>Actual</v>
      </c>
      <c r="I5" s="1" t="str">
        <f>'P&amp;L - Monthly'!K4</f>
        <v>Actual</v>
      </c>
      <c r="J5" s="1" t="str">
        <f>'P&amp;L - Monthly'!L4</f>
        <v>Actual</v>
      </c>
      <c r="K5" s="1" t="str">
        <f>'P&amp;L - Monthly'!M4</f>
        <v>Actual</v>
      </c>
      <c r="L5" s="1" t="str">
        <f>'P&amp;L - Monthly'!N4</f>
        <v>Actual</v>
      </c>
      <c r="M5" s="1" t="str">
        <f>'P&amp;L - Monthly'!O4</f>
        <v>Actual</v>
      </c>
      <c r="N5" s="1" t="str">
        <f>'P&amp;L - Monthly'!P4</f>
        <v>Actual</v>
      </c>
      <c r="O5" s="1" t="str">
        <f>'P&amp;L - Monthly'!Q4</f>
        <v>Actual</v>
      </c>
      <c r="P5" s="1" t="str">
        <f>'P&amp;L - Monthly'!R4</f>
        <v>Actual</v>
      </c>
      <c r="Q5" s="1" t="str">
        <f>'P&amp;L - Monthly'!S4</f>
        <v>Actual</v>
      </c>
      <c r="R5" s="1" t="str">
        <f>'P&amp;L - Monthly'!T4</f>
        <v>Actual</v>
      </c>
      <c r="S5" s="1" t="str">
        <f>'P&amp;L - Monthly'!U4</f>
        <v>Actual</v>
      </c>
      <c r="T5" s="1" t="str">
        <f>'P&amp;L - Monthly'!V4</f>
        <v>Actual</v>
      </c>
      <c r="U5" s="1" t="str">
        <f>'P&amp;L - Monthly'!W4</f>
        <v>Actual</v>
      </c>
      <c r="V5" s="1" t="str">
        <f>'P&amp;L - Monthly'!X4</f>
        <v>Actual</v>
      </c>
      <c r="W5" s="1" t="str">
        <f>'P&amp;L - Monthly'!Y4</f>
        <v>Actual</v>
      </c>
      <c r="X5" s="1" t="str">
        <f>'P&amp;L - Monthly'!Z4</f>
        <v>Actual</v>
      </c>
      <c r="Y5" s="1" t="str">
        <f>'P&amp;L - Monthly'!AA4</f>
        <v>Actual</v>
      </c>
      <c r="Z5" s="1" t="str">
        <f>'P&amp;L - Monthly'!AB4</f>
        <v>Actual</v>
      </c>
      <c r="AA5" s="1" t="str">
        <f>'P&amp;L - Monthly'!AC4</f>
        <v>Actual</v>
      </c>
      <c r="AB5" s="1" t="str">
        <f>'P&amp;L - Monthly'!AD4</f>
        <v>Actual</v>
      </c>
      <c r="AC5" s="1" t="str">
        <f>'P&amp;L - Monthly'!AE4</f>
        <v>Actual</v>
      </c>
      <c r="AD5" s="1" t="str">
        <f>'P&amp;L - Monthly'!AF4</f>
        <v>Forecast</v>
      </c>
      <c r="AE5" s="1" t="str">
        <f>'P&amp;L - Monthly'!AG4</f>
        <v>Forecast</v>
      </c>
      <c r="AF5" s="1" t="str">
        <f>'P&amp;L - Monthly'!AH4</f>
        <v>Forecast</v>
      </c>
      <c r="AG5" s="1" t="str">
        <f>'P&amp;L - Monthly'!AI4</f>
        <v>Forecast</v>
      </c>
      <c r="AH5" s="1" t="str">
        <f>'P&amp;L - Monthly'!AJ4</f>
        <v>Forecast</v>
      </c>
      <c r="AI5" s="1" t="str">
        <f>'P&amp;L - Monthly'!AK4</f>
        <v>Forecast</v>
      </c>
      <c r="AJ5" s="1" t="str">
        <f>'P&amp;L - Monthly'!AL4</f>
        <v>Forecast</v>
      </c>
      <c r="AK5" s="1" t="str">
        <f>'P&amp;L - Monthly'!AM4</f>
        <v>Forecast</v>
      </c>
      <c r="AL5" s="1" t="str">
        <f>'P&amp;L - Monthly'!AN4</f>
        <v>Forecast</v>
      </c>
      <c r="AM5" s="1" t="str">
        <f>'P&amp;L - Monthly'!AO4</f>
        <v>Forecast</v>
      </c>
      <c r="AN5" s="1" t="str">
        <f>'P&amp;L - Monthly'!AP4</f>
        <v>Forecast</v>
      </c>
      <c r="AO5" s="1" t="str">
        <f>'P&amp;L - Monthly'!AQ4</f>
        <v>Forecast</v>
      </c>
      <c r="AP5" s="1" t="str">
        <f>'P&amp;L - Monthly'!AR4</f>
        <v>Forecast</v>
      </c>
      <c r="AQ5" s="1" t="str">
        <f>'P&amp;L - Monthly'!AS4</f>
        <v>Forecast</v>
      </c>
      <c r="AR5" s="1" t="str">
        <f>'P&amp;L - Monthly'!AT4</f>
        <v>Forecast</v>
      </c>
      <c r="AS5" s="1" t="str">
        <f>'P&amp;L - Monthly'!AU4</f>
        <v>Forecast</v>
      </c>
      <c r="AT5" s="1" t="str">
        <f>'P&amp;L - Monthly'!AV4</f>
        <v>Forecast</v>
      </c>
      <c r="AU5" s="1" t="str">
        <f>'P&amp;L - Monthly'!AW4</f>
        <v>Forecast</v>
      </c>
      <c r="AV5" s="1" t="str">
        <f>'P&amp;L - Monthly'!AX4</f>
        <v>Forecast</v>
      </c>
      <c r="AW5" s="1" t="str">
        <f>'P&amp;L - Monthly'!AY4</f>
        <v>Forecast</v>
      </c>
      <c r="AX5" s="1" t="str">
        <f>'P&amp;L - Monthly'!AZ4</f>
        <v>Forecast</v>
      </c>
      <c r="AY5" s="1" t="str">
        <f>'P&amp;L - Monthly'!BA4</f>
        <v>Forecast</v>
      </c>
      <c r="AZ5" s="1" t="str">
        <f>'P&amp;L - Monthly'!BB4</f>
        <v>Forecast</v>
      </c>
      <c r="BA5" s="1" t="str">
        <f>'P&amp;L - Monthly'!BC4</f>
        <v>Forecast</v>
      </c>
      <c r="BB5" s="1" t="str">
        <f>'P&amp;L - Monthly'!BD4</f>
        <v>Forecast</v>
      </c>
      <c r="BC5" s="1" t="str">
        <f>'P&amp;L - Monthly'!BE4</f>
        <v>Forecast</v>
      </c>
      <c r="BD5" s="1" t="str">
        <f>'P&amp;L - Monthly'!BF4</f>
        <v>Forecast</v>
      </c>
      <c r="BE5" s="1" t="str">
        <f>'P&amp;L - Monthly'!BG4</f>
        <v>Forecast</v>
      </c>
      <c r="BF5" s="1" t="str">
        <f>'P&amp;L - Monthly'!BH4</f>
        <v>Forecast</v>
      </c>
      <c r="BG5" s="1" t="str">
        <f>'P&amp;L - Monthly'!BI4</f>
        <v>Forecast</v>
      </c>
      <c r="BH5" s="1" t="str">
        <f>'P&amp;L - Monthly'!BJ4</f>
        <v>Forecast</v>
      </c>
      <c r="BI5" s="1" t="str">
        <f>'P&amp;L - Monthly'!BK4</f>
        <v>Forecast</v>
      </c>
      <c r="BJ5" s="1" t="str">
        <f>'P&amp;L - Monthly'!BL4</f>
        <v>Forecast</v>
      </c>
      <c r="BK5" s="289" t="str">
        <f>'P&amp;L - Monthly'!BM4</f>
        <v>Forecast</v>
      </c>
      <c r="BL5" s="289" t="str">
        <f>'P&amp;L - Monthly'!BN4</f>
        <v>Forecast</v>
      </c>
      <c r="BM5" s="289" t="str">
        <f>'P&amp;L - Monthly'!BO4</f>
        <v>Forecast</v>
      </c>
      <c r="BN5" s="289" t="str">
        <f>'P&amp;L - Monthly'!BP4</f>
        <v>Forecast</v>
      </c>
      <c r="BO5" s="289" t="str">
        <f>'P&amp;L - Monthly'!BQ4</f>
        <v>Forecast</v>
      </c>
      <c r="BP5" s="289" t="str">
        <f>'P&amp;L - Monthly'!BR4</f>
        <v>Forecast</v>
      </c>
      <c r="BQ5" s="289" t="str">
        <f>'P&amp;L - Monthly'!BS4</f>
        <v>Forecast</v>
      </c>
      <c r="BR5" s="289" t="str">
        <f>'P&amp;L - Monthly'!BT4</f>
        <v>Forecast</v>
      </c>
      <c r="BS5" s="289" t="str">
        <f>'P&amp;L - Monthly'!BU4</f>
        <v>Forecast</v>
      </c>
      <c r="BT5" s="289" t="str">
        <f>'P&amp;L - Monthly'!BV4</f>
        <v>Forecast</v>
      </c>
      <c r="BU5" s="289" t="str">
        <f>'P&amp;L - Monthly'!BW4</f>
        <v>Forecast</v>
      </c>
      <c r="BV5" s="289">
        <f>'P&amp;L - Monthly'!BX4</f>
        <v>0</v>
      </c>
    </row>
    <row r="6" spans="1:74" x14ac:dyDescent="0.25">
      <c r="BT6" s="570"/>
      <c r="BU6" s="570"/>
      <c r="BV6" s="570"/>
    </row>
    <row r="7" spans="1:74" x14ac:dyDescent="0.25">
      <c r="B7" s="176" t="s">
        <v>223</v>
      </c>
      <c r="C7" s="570">
        <f>Sales!C7</f>
        <v>9</v>
      </c>
      <c r="D7" s="570">
        <f>Sales!D7</f>
        <v>9</v>
      </c>
      <c r="E7" s="570">
        <f>Sales!E7</f>
        <v>9</v>
      </c>
      <c r="F7" s="570">
        <f>Sales!F7</f>
        <v>9</v>
      </c>
      <c r="G7" s="570">
        <f>Sales!G7</f>
        <v>9</v>
      </c>
      <c r="H7" s="570">
        <f>Sales!H7</f>
        <v>9</v>
      </c>
      <c r="I7" s="570">
        <f>Sales!I7</f>
        <v>9</v>
      </c>
      <c r="J7" s="570">
        <f>Sales!J7</f>
        <v>9</v>
      </c>
      <c r="K7" s="570">
        <f>Sales!K7</f>
        <v>9</v>
      </c>
      <c r="L7" s="570">
        <f>Sales!L7</f>
        <v>9</v>
      </c>
      <c r="M7" s="570">
        <f>Sales!M7</f>
        <v>9</v>
      </c>
      <c r="N7" s="570">
        <f>Sales!N7</f>
        <v>10</v>
      </c>
      <c r="O7" s="570">
        <f>Sales!O7</f>
        <v>11</v>
      </c>
      <c r="P7" s="570">
        <f>Sales!P7</f>
        <v>11</v>
      </c>
      <c r="Q7" s="570">
        <f>Sales!Q7</f>
        <v>16</v>
      </c>
      <c r="R7" s="570">
        <f>Sales!R7</f>
        <v>16</v>
      </c>
      <c r="S7" s="570">
        <f>Sales!S7</f>
        <v>16</v>
      </c>
      <c r="T7" s="570">
        <f>Sales!T7</f>
        <v>16</v>
      </c>
      <c r="U7" s="570">
        <f>Sales!U7</f>
        <v>17</v>
      </c>
      <c r="V7" s="570">
        <f>Sales!V7</f>
        <v>17</v>
      </c>
      <c r="W7" s="570">
        <f>Sales!W7</f>
        <v>19</v>
      </c>
      <c r="X7" s="570">
        <f>Sales!X7</f>
        <v>18</v>
      </c>
      <c r="Y7" s="570">
        <f>Sales!Y7</f>
        <v>17</v>
      </c>
      <c r="Z7" s="570">
        <f>Sales!Z7</f>
        <v>19</v>
      </c>
      <c r="AA7" s="570">
        <f>Sales!AA7</f>
        <v>19</v>
      </c>
      <c r="AB7" s="570">
        <f>Sales!AB7</f>
        <v>20</v>
      </c>
      <c r="AC7" s="570">
        <f>Sales!AC7</f>
        <v>20</v>
      </c>
      <c r="AD7" s="570">
        <f>Sales!AD7</f>
        <v>22</v>
      </c>
      <c r="AE7" s="570">
        <f>Sales!AE7</f>
        <v>23</v>
      </c>
      <c r="AF7" s="570">
        <f>Sales!AF7</f>
        <v>23</v>
      </c>
      <c r="AG7" s="570">
        <f>Sales!AG7</f>
        <v>25</v>
      </c>
      <c r="AH7" s="570">
        <f>Sales!AH7</f>
        <v>25</v>
      </c>
      <c r="AI7" s="570">
        <f>Sales!AI7</f>
        <v>25</v>
      </c>
      <c r="AJ7" s="570">
        <f>Sales!AJ7</f>
        <v>25</v>
      </c>
      <c r="AK7" s="570">
        <f>Sales!AK7</f>
        <v>25</v>
      </c>
      <c r="AL7" s="570">
        <f>Sales!AL7</f>
        <v>25</v>
      </c>
      <c r="AM7" s="570">
        <f>Sales!AM7</f>
        <v>25</v>
      </c>
      <c r="AN7" s="570">
        <f>Sales!AN7</f>
        <v>25</v>
      </c>
      <c r="AO7" s="570">
        <f>Sales!AO7</f>
        <v>25</v>
      </c>
      <c r="AP7" s="570">
        <f>Sales!AP7</f>
        <v>25</v>
      </c>
      <c r="AQ7" s="570">
        <f>Sales!AQ7</f>
        <v>25</v>
      </c>
      <c r="AR7" s="570">
        <f>Sales!AR7</f>
        <v>25</v>
      </c>
      <c r="AS7" s="570">
        <f>Sales!AS7</f>
        <v>25</v>
      </c>
      <c r="AT7" s="570">
        <f>Sales!AT7</f>
        <v>25</v>
      </c>
      <c r="AU7" s="570">
        <f>Sales!AU7</f>
        <v>25</v>
      </c>
      <c r="AV7" s="570">
        <f>Sales!AV7</f>
        <v>25</v>
      </c>
      <c r="AW7" s="570">
        <f>Sales!AW7</f>
        <v>25</v>
      </c>
      <c r="AX7" s="570">
        <f>Sales!AX7</f>
        <v>25</v>
      </c>
      <c r="AY7" s="570">
        <f>Sales!AY7</f>
        <v>25</v>
      </c>
      <c r="AZ7" s="570">
        <f>Sales!AZ7</f>
        <v>25</v>
      </c>
      <c r="BA7" s="570">
        <f>Sales!BA7</f>
        <v>25</v>
      </c>
      <c r="BB7" s="570">
        <f>Sales!BB7</f>
        <v>25</v>
      </c>
      <c r="BC7" s="570">
        <f>Sales!BC7</f>
        <v>25</v>
      </c>
      <c r="BD7" s="570">
        <f>Sales!BD7</f>
        <v>25</v>
      </c>
      <c r="BE7" s="570">
        <f>Sales!BE7</f>
        <v>25</v>
      </c>
      <c r="BF7" s="570">
        <f>Sales!BF7</f>
        <v>25</v>
      </c>
      <c r="BG7" s="570">
        <f>Sales!BG7</f>
        <v>25</v>
      </c>
      <c r="BH7" s="570">
        <f>Sales!BH7</f>
        <v>25</v>
      </c>
      <c r="BI7" s="570">
        <f>Sales!BI7</f>
        <v>25</v>
      </c>
      <c r="BJ7" s="570">
        <f>Sales!BJ7</f>
        <v>25</v>
      </c>
      <c r="BK7" s="570">
        <f>Sales!BK7</f>
        <v>25</v>
      </c>
      <c r="BL7" s="570">
        <f>Sales!BL7</f>
        <v>25</v>
      </c>
      <c r="BM7" s="570">
        <f>Sales!BM7</f>
        <v>25</v>
      </c>
      <c r="BN7" s="570">
        <f>Sales!BN7</f>
        <v>25</v>
      </c>
      <c r="BO7" s="570">
        <f>Sales!BO7</f>
        <v>25</v>
      </c>
      <c r="BP7" s="570">
        <f>Sales!BP7</f>
        <v>25</v>
      </c>
      <c r="BQ7" s="570">
        <f>Sales!BQ7</f>
        <v>25</v>
      </c>
      <c r="BR7" s="570">
        <f>Sales!BR7</f>
        <v>25</v>
      </c>
      <c r="BS7" s="570">
        <f>Sales!BS7</f>
        <v>25</v>
      </c>
      <c r="BT7" s="570">
        <f>Sales!BT7</f>
        <v>25</v>
      </c>
      <c r="BU7" s="570">
        <f>Sales!BU7</f>
        <v>25</v>
      </c>
      <c r="BV7" s="570">
        <f>Sales!BV7</f>
        <v>25</v>
      </c>
    </row>
    <row r="8" spans="1:74" x14ac:dyDescent="0.25">
      <c r="B8" s="176" t="s">
        <v>4</v>
      </c>
      <c r="C8" s="235">
        <f>Marketing!C7</f>
        <v>4</v>
      </c>
      <c r="D8" s="570">
        <f>Marketing!D7</f>
        <v>4</v>
      </c>
      <c r="E8" s="570">
        <f>Marketing!E7</f>
        <v>4</v>
      </c>
      <c r="F8" s="570">
        <f>Marketing!F7</f>
        <v>4</v>
      </c>
      <c r="G8" s="570">
        <f>Marketing!G7</f>
        <v>4</v>
      </c>
      <c r="H8" s="570">
        <f>Marketing!H7</f>
        <v>4</v>
      </c>
      <c r="I8" s="570">
        <f>Marketing!I7</f>
        <v>4</v>
      </c>
      <c r="J8" s="570">
        <f>Marketing!J7</f>
        <v>4</v>
      </c>
      <c r="K8" s="570">
        <f>Marketing!K7</f>
        <v>4</v>
      </c>
      <c r="L8" s="570">
        <f>Marketing!L7</f>
        <v>4</v>
      </c>
      <c r="M8" s="570">
        <f>Marketing!M7</f>
        <v>4</v>
      </c>
      <c r="N8" s="570">
        <f>Marketing!N7</f>
        <v>4</v>
      </c>
      <c r="O8" s="570">
        <f>Marketing!O7</f>
        <v>4</v>
      </c>
      <c r="P8" s="570">
        <f>Marketing!P7</f>
        <v>4</v>
      </c>
      <c r="Q8" s="570">
        <f>Marketing!Q7</f>
        <v>4</v>
      </c>
      <c r="R8" s="570">
        <f>Marketing!R7</f>
        <v>3</v>
      </c>
      <c r="S8" s="570">
        <f>Marketing!S7</f>
        <v>3</v>
      </c>
      <c r="T8" s="570">
        <f>Marketing!T7</f>
        <v>3</v>
      </c>
      <c r="U8" s="570">
        <f>Marketing!U7</f>
        <v>3</v>
      </c>
      <c r="V8" s="570">
        <f>Marketing!V7</f>
        <v>3</v>
      </c>
      <c r="W8" s="570">
        <f>Marketing!W7</f>
        <v>2</v>
      </c>
      <c r="X8" s="570">
        <f>Marketing!X7</f>
        <v>2</v>
      </c>
      <c r="Y8" s="570">
        <f>Marketing!Y7</f>
        <v>3</v>
      </c>
      <c r="Z8" s="570">
        <f>Marketing!Z7</f>
        <v>3</v>
      </c>
      <c r="AA8" s="570">
        <f>Marketing!AA7</f>
        <v>3</v>
      </c>
      <c r="AB8" s="570">
        <f>Marketing!AB7</f>
        <v>5</v>
      </c>
      <c r="AC8" s="570">
        <f>Marketing!AC7</f>
        <v>5</v>
      </c>
      <c r="AD8" s="570">
        <f>Marketing!AD7</f>
        <v>7</v>
      </c>
      <c r="AE8" s="570">
        <f>Marketing!AE7</f>
        <v>7</v>
      </c>
      <c r="AF8" s="570">
        <f>Marketing!AF7</f>
        <v>9</v>
      </c>
      <c r="AG8" s="570">
        <f>Marketing!AG7</f>
        <v>9</v>
      </c>
      <c r="AH8" s="570">
        <f>Marketing!AH7</f>
        <v>9</v>
      </c>
      <c r="AI8" s="570">
        <f>Marketing!AI7</f>
        <v>9</v>
      </c>
      <c r="AJ8" s="570">
        <f>Marketing!AJ7</f>
        <v>9</v>
      </c>
      <c r="AK8" s="570">
        <f>Marketing!AK7</f>
        <v>9</v>
      </c>
      <c r="AL8" s="570">
        <f>Marketing!AL7</f>
        <v>9</v>
      </c>
      <c r="AM8" s="570">
        <f>Marketing!AM7</f>
        <v>9</v>
      </c>
      <c r="AN8" s="570">
        <f>Marketing!AN7</f>
        <v>9</v>
      </c>
      <c r="AO8" s="570">
        <f>Marketing!AO7</f>
        <v>9</v>
      </c>
      <c r="AP8" s="570">
        <f>Marketing!AP7</f>
        <v>9</v>
      </c>
      <c r="AQ8" s="570">
        <f>Marketing!AQ7</f>
        <v>9</v>
      </c>
      <c r="AR8" s="570">
        <f>Marketing!AR7</f>
        <v>9</v>
      </c>
      <c r="AS8" s="570">
        <f>Marketing!AS7</f>
        <v>9</v>
      </c>
      <c r="AT8" s="570">
        <f>Marketing!AT7</f>
        <v>9</v>
      </c>
      <c r="AU8" s="570">
        <f>Marketing!AU7</f>
        <v>9</v>
      </c>
      <c r="AV8" s="570">
        <f>Marketing!AV7</f>
        <v>9</v>
      </c>
      <c r="AW8" s="570">
        <f>Marketing!AW7</f>
        <v>9</v>
      </c>
      <c r="AX8" s="570">
        <f>Marketing!AX7</f>
        <v>9</v>
      </c>
      <c r="AY8" s="570">
        <f>Marketing!AY7</f>
        <v>9</v>
      </c>
      <c r="AZ8" s="570">
        <f>Marketing!AZ7</f>
        <v>9</v>
      </c>
      <c r="BA8" s="570">
        <f>Marketing!BA7</f>
        <v>9</v>
      </c>
      <c r="BB8" s="570">
        <f>Marketing!BB7</f>
        <v>9</v>
      </c>
      <c r="BC8" s="570">
        <f>Marketing!BC7</f>
        <v>9</v>
      </c>
      <c r="BD8" s="570">
        <f>Marketing!BD7</f>
        <v>9</v>
      </c>
      <c r="BE8" s="570">
        <f>Marketing!BE7</f>
        <v>9</v>
      </c>
      <c r="BF8" s="570">
        <f>Marketing!BF7</f>
        <v>9</v>
      </c>
      <c r="BG8" s="570">
        <f>Marketing!BG7</f>
        <v>9</v>
      </c>
      <c r="BH8" s="570">
        <f>Marketing!BH7</f>
        <v>9</v>
      </c>
      <c r="BI8" s="570">
        <f>Marketing!BI7</f>
        <v>9</v>
      </c>
      <c r="BJ8" s="570">
        <f>Marketing!BJ7</f>
        <v>9</v>
      </c>
      <c r="BK8" s="570">
        <f>Marketing!BK7</f>
        <v>9</v>
      </c>
      <c r="BL8" s="570">
        <f>Marketing!BL7</f>
        <v>9</v>
      </c>
      <c r="BM8" s="570">
        <f>Marketing!BM7</f>
        <v>9</v>
      </c>
      <c r="BN8" s="570">
        <f>Marketing!BN7</f>
        <v>9</v>
      </c>
      <c r="BO8" s="570">
        <f>Marketing!BO7</f>
        <v>9</v>
      </c>
      <c r="BP8" s="570">
        <f>Marketing!BP7</f>
        <v>9</v>
      </c>
      <c r="BQ8" s="570">
        <f>Marketing!BQ7</f>
        <v>9</v>
      </c>
      <c r="BR8" s="570">
        <f>Marketing!BR7</f>
        <v>9</v>
      </c>
      <c r="BS8" s="570">
        <f>Marketing!BS7</f>
        <v>9</v>
      </c>
      <c r="BT8" s="570">
        <f>Marketing!BT7</f>
        <v>9</v>
      </c>
      <c r="BU8" s="570">
        <f>Marketing!BU7</f>
        <v>9</v>
      </c>
      <c r="BV8" s="570">
        <f>Marketing!BV7</f>
        <v>9</v>
      </c>
    </row>
    <row r="9" spans="1:74" x14ac:dyDescent="0.25">
      <c r="B9" s="205" t="s">
        <v>66</v>
      </c>
      <c r="C9" s="235">
        <f>Software!C7</f>
        <v>12</v>
      </c>
      <c r="D9" s="570">
        <f>Software!D7</f>
        <v>12</v>
      </c>
      <c r="E9" s="570">
        <f>Software!E7</f>
        <v>12</v>
      </c>
      <c r="F9" s="570">
        <f>Software!F7</f>
        <v>12</v>
      </c>
      <c r="G9" s="570">
        <f>Software!G7</f>
        <v>12</v>
      </c>
      <c r="H9" s="570">
        <f>Software!H7</f>
        <v>12</v>
      </c>
      <c r="I9" s="570">
        <f>Software!I7</f>
        <v>12</v>
      </c>
      <c r="J9" s="570">
        <f>Software!J7</f>
        <v>15</v>
      </c>
      <c r="K9" s="570">
        <f>Software!K7</f>
        <v>15</v>
      </c>
      <c r="L9" s="570">
        <f>Software!L7</f>
        <v>15</v>
      </c>
      <c r="M9" s="570">
        <f>Software!M7</f>
        <v>15</v>
      </c>
      <c r="N9" s="570">
        <f>Software!N7</f>
        <v>16</v>
      </c>
      <c r="O9" s="570">
        <f>Software!O7</f>
        <v>16</v>
      </c>
      <c r="P9" s="570">
        <f>Software!P7</f>
        <v>16</v>
      </c>
      <c r="Q9" s="570">
        <f>Software!Q7</f>
        <v>16</v>
      </c>
      <c r="R9" s="570">
        <f>Software!R7</f>
        <v>20</v>
      </c>
      <c r="S9" s="570">
        <f>Software!S7</f>
        <v>20</v>
      </c>
      <c r="T9" s="570">
        <f>Software!T7</f>
        <v>20</v>
      </c>
      <c r="U9" s="570">
        <f>Software!U7</f>
        <v>20</v>
      </c>
      <c r="V9" s="570">
        <f>Software!V7</f>
        <v>20</v>
      </c>
      <c r="W9" s="570">
        <f>Software!W7</f>
        <v>19</v>
      </c>
      <c r="X9" s="570">
        <f>Software!X7</f>
        <v>19</v>
      </c>
      <c r="Y9" s="570">
        <f>Software!Y7</f>
        <v>20</v>
      </c>
      <c r="Z9" s="570">
        <f>Software!Z7</f>
        <v>20</v>
      </c>
      <c r="AA9" s="570">
        <f>Software!AA7</f>
        <v>20</v>
      </c>
      <c r="AB9" s="570">
        <f>Software!AB7</f>
        <v>23</v>
      </c>
      <c r="AC9" s="570">
        <f>Software!AC7</f>
        <v>23</v>
      </c>
      <c r="AD9" s="570">
        <f>Software!AD7</f>
        <v>24</v>
      </c>
      <c r="AE9" s="570">
        <f>Software!AE7</f>
        <v>24</v>
      </c>
      <c r="AF9" s="570">
        <f>Software!AF7</f>
        <v>24</v>
      </c>
      <c r="AG9" s="570">
        <f>Software!AG7</f>
        <v>25</v>
      </c>
      <c r="AH9" s="570">
        <f>Software!AH7</f>
        <v>25</v>
      </c>
      <c r="AI9" s="570">
        <f>Software!AI7</f>
        <v>25</v>
      </c>
      <c r="AJ9" s="570">
        <f>Software!AJ7</f>
        <v>26</v>
      </c>
      <c r="AK9" s="570">
        <f>Software!AK7</f>
        <v>26</v>
      </c>
      <c r="AL9" s="570">
        <f>Software!AL7</f>
        <v>26</v>
      </c>
      <c r="AM9" s="570">
        <f>Software!AM7</f>
        <v>26</v>
      </c>
      <c r="AN9" s="570">
        <f>Software!AN7</f>
        <v>26</v>
      </c>
      <c r="AO9" s="570">
        <f>Software!AO7</f>
        <v>26</v>
      </c>
      <c r="AP9" s="570">
        <f>Software!AP7</f>
        <v>26</v>
      </c>
      <c r="AQ9" s="570">
        <f>Software!AQ7</f>
        <v>26</v>
      </c>
      <c r="AR9" s="570">
        <f>Software!AR7</f>
        <v>26</v>
      </c>
      <c r="AS9" s="570">
        <f>Software!AS7</f>
        <v>26</v>
      </c>
      <c r="AT9" s="570">
        <f>Software!AT7</f>
        <v>26</v>
      </c>
      <c r="AU9" s="570">
        <f>Software!AU7</f>
        <v>26</v>
      </c>
      <c r="AV9" s="570">
        <f>Software!AV7</f>
        <v>26</v>
      </c>
      <c r="AW9" s="570">
        <f>Software!AW7</f>
        <v>26</v>
      </c>
      <c r="AX9" s="570">
        <f>Software!AX7</f>
        <v>26</v>
      </c>
      <c r="AY9" s="570">
        <f>Software!AY7</f>
        <v>26</v>
      </c>
      <c r="AZ9" s="570">
        <f>Software!AZ7</f>
        <v>26</v>
      </c>
      <c r="BA9" s="570">
        <f>Software!BA7</f>
        <v>26</v>
      </c>
      <c r="BB9" s="570">
        <f>Software!BB7</f>
        <v>26</v>
      </c>
      <c r="BC9" s="570">
        <f>Software!BC7</f>
        <v>26</v>
      </c>
      <c r="BD9" s="570">
        <f>Software!BD7</f>
        <v>26</v>
      </c>
      <c r="BE9" s="570">
        <f>Software!BE7</f>
        <v>26</v>
      </c>
      <c r="BF9" s="570">
        <f>Software!BF7</f>
        <v>26</v>
      </c>
      <c r="BG9" s="570">
        <f>Software!BG7</f>
        <v>26</v>
      </c>
      <c r="BH9" s="570">
        <f>Software!BH7</f>
        <v>26</v>
      </c>
      <c r="BI9" s="570">
        <f>Software!BI7</f>
        <v>26</v>
      </c>
      <c r="BJ9" s="570">
        <f>Software!BJ7</f>
        <v>26</v>
      </c>
      <c r="BK9" s="570">
        <f>Software!BK7</f>
        <v>26</v>
      </c>
      <c r="BL9" s="570">
        <f>Software!BL7</f>
        <v>26</v>
      </c>
      <c r="BM9" s="570">
        <f>Software!BM7</f>
        <v>26</v>
      </c>
      <c r="BN9" s="570">
        <f>Software!BN7</f>
        <v>26</v>
      </c>
      <c r="BO9" s="570">
        <f>Software!BO7</f>
        <v>26</v>
      </c>
      <c r="BP9" s="570">
        <f>Software!BP7</f>
        <v>26</v>
      </c>
      <c r="BQ9" s="570">
        <f>Software!BQ7</f>
        <v>26</v>
      </c>
      <c r="BR9" s="570">
        <f>Software!BR7</f>
        <v>26</v>
      </c>
      <c r="BS9" s="570">
        <f>Software!BS7</f>
        <v>26</v>
      </c>
      <c r="BT9" s="570">
        <f>Software!BT7</f>
        <v>26</v>
      </c>
      <c r="BU9" s="570">
        <f>Software!BU7</f>
        <v>26</v>
      </c>
      <c r="BV9" s="570">
        <f>Software!BV7</f>
        <v>26</v>
      </c>
    </row>
    <row r="10" spans="1:74" x14ac:dyDescent="0.25">
      <c r="B10" s="205" t="s">
        <v>340</v>
      </c>
      <c r="C10" s="570">
        <f>'Dev Ops'!C7</f>
        <v>5</v>
      </c>
      <c r="D10" s="570">
        <f>'Dev Ops'!D7</f>
        <v>11</v>
      </c>
      <c r="E10" s="570">
        <f>'Dev Ops'!E7</f>
        <v>11</v>
      </c>
      <c r="F10" s="570">
        <f>'Dev Ops'!F7</f>
        <v>11</v>
      </c>
      <c r="G10" s="570">
        <f>'Dev Ops'!G7</f>
        <v>11</v>
      </c>
      <c r="H10" s="570">
        <f>'Dev Ops'!H7</f>
        <v>12</v>
      </c>
      <c r="I10" s="570">
        <f>'Dev Ops'!I7</f>
        <v>12</v>
      </c>
      <c r="J10" s="570">
        <f>'Dev Ops'!J7</f>
        <v>13</v>
      </c>
      <c r="K10" s="570">
        <f>'Dev Ops'!K7</f>
        <v>13</v>
      </c>
      <c r="L10" s="570">
        <f>'Dev Ops'!L7</f>
        <v>13</v>
      </c>
      <c r="M10" s="570">
        <f>'Dev Ops'!M7</f>
        <v>13</v>
      </c>
      <c r="N10" s="570">
        <f>'Dev Ops'!N7</f>
        <v>13</v>
      </c>
      <c r="O10" s="570">
        <f>'Dev Ops'!O7</f>
        <v>13</v>
      </c>
      <c r="P10" s="570">
        <f>'Dev Ops'!P7</f>
        <v>13</v>
      </c>
      <c r="Q10" s="570">
        <f>'Dev Ops'!Q7</f>
        <v>13</v>
      </c>
      <c r="R10" s="570">
        <f>'Dev Ops'!R7</f>
        <v>15</v>
      </c>
      <c r="S10" s="570">
        <f>'Dev Ops'!S7</f>
        <v>15</v>
      </c>
      <c r="T10" s="570">
        <f>'Dev Ops'!T7</f>
        <v>15</v>
      </c>
      <c r="U10" s="570">
        <f>'Dev Ops'!U7</f>
        <v>15</v>
      </c>
      <c r="V10" s="570">
        <f>'Dev Ops'!V7</f>
        <v>15</v>
      </c>
      <c r="W10" s="570">
        <f>'Dev Ops'!W7</f>
        <v>15</v>
      </c>
      <c r="X10" s="570">
        <f>'Dev Ops'!X7</f>
        <v>15</v>
      </c>
      <c r="Y10" s="570">
        <f>'Dev Ops'!Y7</f>
        <v>15</v>
      </c>
      <c r="Z10" s="570">
        <f>'Dev Ops'!Z7</f>
        <v>15</v>
      </c>
      <c r="AA10" s="570">
        <f>'Dev Ops'!AA7</f>
        <v>16</v>
      </c>
      <c r="AB10" s="570">
        <f>'Dev Ops'!AB7</f>
        <v>17</v>
      </c>
      <c r="AC10" s="570">
        <f>'Dev Ops'!AC7</f>
        <v>16</v>
      </c>
      <c r="AD10" s="570">
        <f>'Dev Ops'!AD7</f>
        <v>19</v>
      </c>
      <c r="AE10" s="570">
        <f>'Dev Ops'!AE7</f>
        <v>20</v>
      </c>
      <c r="AF10" s="570">
        <f>'Dev Ops'!AF7</f>
        <v>21</v>
      </c>
      <c r="AG10" s="570">
        <f>'Dev Ops'!AG7</f>
        <v>21</v>
      </c>
      <c r="AH10" s="570">
        <f>'Dev Ops'!AH7</f>
        <v>21</v>
      </c>
      <c r="AI10" s="570">
        <f>'Dev Ops'!AI7</f>
        <v>21</v>
      </c>
      <c r="AJ10" s="570">
        <f>'Dev Ops'!AJ7</f>
        <v>21</v>
      </c>
      <c r="AK10" s="570">
        <f>'Dev Ops'!AK7</f>
        <v>21</v>
      </c>
      <c r="AL10" s="570">
        <f>'Dev Ops'!AL7</f>
        <v>21</v>
      </c>
      <c r="AM10" s="570">
        <f>'Dev Ops'!AM7</f>
        <v>18</v>
      </c>
      <c r="AN10" s="570">
        <f>'Dev Ops'!AN7</f>
        <v>18</v>
      </c>
      <c r="AO10" s="570">
        <f>'Dev Ops'!AO7</f>
        <v>18</v>
      </c>
      <c r="AP10" s="570">
        <f>'Dev Ops'!AP7</f>
        <v>18</v>
      </c>
      <c r="AQ10" s="570">
        <f>'Dev Ops'!AQ7</f>
        <v>18</v>
      </c>
      <c r="AR10" s="570">
        <f>'Dev Ops'!AR7</f>
        <v>18</v>
      </c>
      <c r="AS10" s="570">
        <f>'Dev Ops'!AS7</f>
        <v>18</v>
      </c>
      <c r="AT10" s="570">
        <f>'Dev Ops'!AT7</f>
        <v>18</v>
      </c>
      <c r="AU10" s="570">
        <f>'Dev Ops'!AU7</f>
        <v>18</v>
      </c>
      <c r="AV10" s="570">
        <f>'Dev Ops'!AV7</f>
        <v>18</v>
      </c>
      <c r="AW10" s="570">
        <f>'Dev Ops'!AW7</f>
        <v>18</v>
      </c>
      <c r="AX10" s="570">
        <f>'Dev Ops'!AX7</f>
        <v>18</v>
      </c>
      <c r="AY10" s="570">
        <f>'Dev Ops'!AY7</f>
        <v>18</v>
      </c>
      <c r="AZ10" s="570">
        <f>'Dev Ops'!AZ7</f>
        <v>18</v>
      </c>
      <c r="BA10" s="570">
        <f>'Dev Ops'!BA7</f>
        <v>18</v>
      </c>
      <c r="BB10" s="570">
        <f>'Dev Ops'!BB7</f>
        <v>18</v>
      </c>
      <c r="BC10" s="570">
        <f>'Dev Ops'!BC7</f>
        <v>18</v>
      </c>
      <c r="BD10" s="570">
        <f>'Dev Ops'!BD7</f>
        <v>18</v>
      </c>
      <c r="BE10" s="570">
        <f>'Dev Ops'!BE7</f>
        <v>18</v>
      </c>
      <c r="BF10" s="570">
        <f>'Dev Ops'!BF7</f>
        <v>18</v>
      </c>
      <c r="BG10" s="570">
        <f>'Dev Ops'!BG7</f>
        <v>18</v>
      </c>
      <c r="BH10" s="570">
        <f>'Dev Ops'!BH7</f>
        <v>18</v>
      </c>
      <c r="BI10" s="570">
        <f>'Dev Ops'!BI7</f>
        <v>18</v>
      </c>
      <c r="BJ10" s="570">
        <f>'Dev Ops'!BJ7</f>
        <v>18</v>
      </c>
      <c r="BK10" s="570">
        <f>'Dev Ops'!BK7</f>
        <v>18</v>
      </c>
      <c r="BL10" s="570">
        <f>'Dev Ops'!BL7</f>
        <v>18</v>
      </c>
      <c r="BM10" s="570">
        <f>'Dev Ops'!BM7</f>
        <v>18</v>
      </c>
      <c r="BN10" s="570">
        <f>'Dev Ops'!BN7</f>
        <v>18</v>
      </c>
      <c r="BO10" s="570">
        <f>'Dev Ops'!BO7</f>
        <v>18</v>
      </c>
      <c r="BP10" s="570">
        <f>'Dev Ops'!BP7</f>
        <v>18</v>
      </c>
      <c r="BQ10" s="570">
        <f>'Dev Ops'!BQ7</f>
        <v>18</v>
      </c>
      <c r="BR10" s="570">
        <f>'Dev Ops'!BR7</f>
        <v>18</v>
      </c>
      <c r="BS10" s="570">
        <f>'Dev Ops'!BS7</f>
        <v>18</v>
      </c>
      <c r="BT10" s="570">
        <f>'Dev Ops'!BT7</f>
        <v>18</v>
      </c>
      <c r="BU10" s="570">
        <f>'Dev Ops'!BU7</f>
        <v>18</v>
      </c>
      <c r="BV10" s="570">
        <f>'Dev Ops'!BV7</f>
        <v>18</v>
      </c>
    </row>
    <row r="11" spans="1:74" x14ac:dyDescent="0.25">
      <c r="B11" s="206" t="s">
        <v>3</v>
      </c>
      <c r="C11" s="570">
        <f>Finance!C7</f>
        <v>2</v>
      </c>
      <c r="D11" s="570">
        <f>Finance!D7</f>
        <v>2</v>
      </c>
      <c r="E11" s="570">
        <f>Finance!E7</f>
        <v>2</v>
      </c>
      <c r="F11" s="570">
        <f>Finance!F7</f>
        <v>2</v>
      </c>
      <c r="G11" s="570">
        <f>Finance!G7</f>
        <v>2</v>
      </c>
      <c r="H11" s="570">
        <f>Finance!H7</f>
        <v>2</v>
      </c>
      <c r="I11" s="570">
        <f>Finance!I7</f>
        <v>2</v>
      </c>
      <c r="J11" s="570">
        <f>Finance!J7</f>
        <v>2</v>
      </c>
      <c r="K11" s="570">
        <f>Finance!K7</f>
        <v>2</v>
      </c>
      <c r="L11" s="570">
        <f>Finance!L7</f>
        <v>2</v>
      </c>
      <c r="M11" s="570">
        <f>Finance!M7</f>
        <v>2</v>
      </c>
      <c r="N11" s="570">
        <f>Finance!N7</f>
        <v>2</v>
      </c>
      <c r="O11" s="570">
        <f>Finance!O7</f>
        <v>2</v>
      </c>
      <c r="P11" s="570">
        <f>Finance!P7</f>
        <v>2</v>
      </c>
      <c r="Q11" s="570">
        <f>Finance!Q7</f>
        <v>3</v>
      </c>
      <c r="R11" s="570">
        <f>Finance!R7</f>
        <v>3</v>
      </c>
      <c r="S11" s="570">
        <f>Finance!S7</f>
        <v>3</v>
      </c>
      <c r="T11" s="570">
        <f>Finance!T7</f>
        <v>3</v>
      </c>
      <c r="U11" s="570">
        <f>Finance!U7</f>
        <v>3</v>
      </c>
      <c r="V11" s="570">
        <f>Finance!V7</f>
        <v>3</v>
      </c>
      <c r="W11" s="570">
        <f>Finance!W7</f>
        <v>4</v>
      </c>
      <c r="X11" s="570">
        <f>Finance!X7</f>
        <v>4</v>
      </c>
      <c r="Y11" s="570">
        <f>Finance!Y7</f>
        <v>4</v>
      </c>
      <c r="Z11" s="570">
        <f>Finance!Z7</f>
        <v>4</v>
      </c>
      <c r="AA11" s="570">
        <f>Finance!AA7</f>
        <v>4</v>
      </c>
      <c r="AB11" s="570">
        <f>Finance!AB7</f>
        <v>4</v>
      </c>
      <c r="AC11" s="570">
        <f>Finance!AC7</f>
        <v>4</v>
      </c>
      <c r="AD11" s="570">
        <f>Finance!AD7</f>
        <v>5</v>
      </c>
      <c r="AE11" s="570">
        <f>Finance!AE7</f>
        <v>6</v>
      </c>
      <c r="AF11" s="570">
        <f>Finance!AF7</f>
        <v>6</v>
      </c>
      <c r="AG11" s="570">
        <f>Finance!AG7</f>
        <v>6</v>
      </c>
      <c r="AH11" s="570">
        <f>Finance!AH7</f>
        <v>6</v>
      </c>
      <c r="AI11" s="570">
        <f>Finance!AI7</f>
        <v>6</v>
      </c>
      <c r="AJ11" s="570">
        <f>Finance!AJ7</f>
        <v>6</v>
      </c>
      <c r="AK11" s="570">
        <f>Finance!AK7</f>
        <v>6</v>
      </c>
      <c r="AL11" s="570">
        <f>Finance!AL7</f>
        <v>6</v>
      </c>
      <c r="AM11" s="570">
        <f>Finance!AM7</f>
        <v>6</v>
      </c>
      <c r="AN11" s="570">
        <f>Finance!AN7</f>
        <v>6</v>
      </c>
      <c r="AO11" s="570">
        <f>Finance!AO7</f>
        <v>6</v>
      </c>
      <c r="AP11" s="570">
        <f>Finance!AP7</f>
        <v>6</v>
      </c>
      <c r="AQ11" s="570">
        <f>Finance!AQ7</f>
        <v>6</v>
      </c>
      <c r="AR11" s="570">
        <f>Finance!AR7</f>
        <v>6</v>
      </c>
      <c r="AS11" s="570">
        <f>Finance!AS7</f>
        <v>6</v>
      </c>
      <c r="AT11" s="570">
        <f>Finance!AT7</f>
        <v>6</v>
      </c>
      <c r="AU11" s="570">
        <f>Finance!AU7</f>
        <v>6</v>
      </c>
      <c r="AV11" s="570">
        <f>Finance!AV7</f>
        <v>6</v>
      </c>
      <c r="AW11" s="570">
        <f>Finance!AW7</f>
        <v>6</v>
      </c>
      <c r="AX11" s="570">
        <f>Finance!AX7</f>
        <v>6</v>
      </c>
      <c r="AY11" s="570">
        <f>Finance!AY7</f>
        <v>6</v>
      </c>
      <c r="AZ11" s="570">
        <f>Finance!AZ7</f>
        <v>6</v>
      </c>
      <c r="BA11" s="570">
        <f>Finance!BA7</f>
        <v>6</v>
      </c>
      <c r="BB11" s="570">
        <f>Finance!BB7</f>
        <v>6</v>
      </c>
      <c r="BC11" s="570">
        <f>Finance!BC7</f>
        <v>6</v>
      </c>
      <c r="BD11" s="570">
        <f>Finance!BD7</f>
        <v>6</v>
      </c>
      <c r="BE11" s="570">
        <f>Finance!BE7</f>
        <v>6</v>
      </c>
      <c r="BF11" s="570">
        <f>Finance!BF7</f>
        <v>6</v>
      </c>
      <c r="BG11" s="570">
        <f>Finance!BG7</f>
        <v>6</v>
      </c>
      <c r="BH11" s="570">
        <f>Finance!BH7</f>
        <v>6</v>
      </c>
      <c r="BI11" s="570">
        <f>Finance!BI7</f>
        <v>6</v>
      </c>
      <c r="BJ11" s="570">
        <f>Finance!BJ7</f>
        <v>6</v>
      </c>
      <c r="BK11" s="570">
        <f>Finance!BK7</f>
        <v>6</v>
      </c>
      <c r="BL11" s="570">
        <f>Finance!BL7</f>
        <v>6</v>
      </c>
      <c r="BM11" s="570">
        <f>Finance!BM7</f>
        <v>6</v>
      </c>
      <c r="BN11" s="570">
        <f>Finance!BN7</f>
        <v>6</v>
      </c>
      <c r="BO11" s="570">
        <f>Finance!BO7</f>
        <v>6</v>
      </c>
      <c r="BP11" s="570">
        <f>Finance!BP7</f>
        <v>6</v>
      </c>
      <c r="BQ11" s="570">
        <f>Finance!BQ7</f>
        <v>6</v>
      </c>
      <c r="BR11" s="570">
        <f>Finance!BR7</f>
        <v>6</v>
      </c>
      <c r="BS11" s="570">
        <f>Finance!BS7</f>
        <v>6</v>
      </c>
      <c r="BT11" s="570">
        <f>Finance!BT7</f>
        <v>6</v>
      </c>
      <c r="BU11" s="570">
        <f>Finance!BU7</f>
        <v>6</v>
      </c>
      <c r="BV11" s="570">
        <f>Finance!BV7</f>
        <v>6</v>
      </c>
    </row>
    <row r="12" spans="1:74" x14ac:dyDescent="0.25">
      <c r="B12" s="206" t="s">
        <v>2</v>
      </c>
      <c r="C12" s="570">
        <f>Exec!C7</f>
        <v>2</v>
      </c>
      <c r="D12" s="570">
        <f>Exec!D7</f>
        <v>2</v>
      </c>
      <c r="E12" s="570">
        <f>Exec!E7</f>
        <v>2</v>
      </c>
      <c r="F12" s="570">
        <f>Exec!F7</f>
        <v>2</v>
      </c>
      <c r="G12" s="570">
        <f>Exec!G7</f>
        <v>3</v>
      </c>
      <c r="H12" s="570">
        <f>Exec!H7</f>
        <v>3</v>
      </c>
      <c r="I12" s="570">
        <f>Exec!I7</f>
        <v>3</v>
      </c>
      <c r="J12" s="570">
        <f>Exec!J7</f>
        <v>3</v>
      </c>
      <c r="K12" s="570">
        <f>Exec!K7</f>
        <v>3</v>
      </c>
      <c r="L12" s="570">
        <f>Exec!L7</f>
        <v>3</v>
      </c>
      <c r="M12" s="570">
        <f>Exec!M7</f>
        <v>3</v>
      </c>
      <c r="N12" s="570">
        <f>Exec!N7</f>
        <v>3</v>
      </c>
      <c r="O12" s="570">
        <f>Exec!O7</f>
        <v>3</v>
      </c>
      <c r="P12" s="570">
        <f>Exec!P7</f>
        <v>3</v>
      </c>
      <c r="Q12" s="570">
        <f>Exec!Q7</f>
        <v>3</v>
      </c>
      <c r="R12" s="570">
        <f>Exec!R7</f>
        <v>3</v>
      </c>
      <c r="S12" s="570">
        <f>Exec!S7</f>
        <v>3</v>
      </c>
      <c r="T12" s="570">
        <f>Exec!T7</f>
        <v>3</v>
      </c>
      <c r="U12" s="570">
        <f>Exec!U7</f>
        <v>3</v>
      </c>
      <c r="V12" s="570">
        <f>Exec!V7</f>
        <v>3</v>
      </c>
      <c r="W12" s="570">
        <f>Exec!W7</f>
        <v>3</v>
      </c>
      <c r="X12" s="570">
        <f>Exec!X7</f>
        <v>3</v>
      </c>
      <c r="Y12" s="570">
        <f>Exec!Y7</f>
        <v>3</v>
      </c>
      <c r="Z12" s="570">
        <f>Exec!Z7</f>
        <v>3</v>
      </c>
      <c r="AA12" s="570">
        <f>Exec!AA7</f>
        <v>3</v>
      </c>
      <c r="AB12" s="570">
        <f>Exec!AB7</f>
        <v>3</v>
      </c>
      <c r="AC12" s="570">
        <f>Exec!AC7</f>
        <v>3</v>
      </c>
      <c r="AD12" s="570">
        <f>Exec!AD7</f>
        <v>3</v>
      </c>
      <c r="AE12" s="570">
        <f>Exec!AE7</f>
        <v>3</v>
      </c>
      <c r="AF12" s="570">
        <f>Exec!AF7</f>
        <v>3</v>
      </c>
      <c r="AG12" s="570">
        <f>Exec!AG7</f>
        <v>3</v>
      </c>
      <c r="AH12" s="570">
        <f>Exec!AH7</f>
        <v>3</v>
      </c>
      <c r="AI12" s="570">
        <f>Exec!AI7</f>
        <v>3</v>
      </c>
      <c r="AJ12" s="570">
        <f>Exec!AJ7</f>
        <v>2</v>
      </c>
      <c r="AK12" s="570">
        <f>Exec!AK7</f>
        <v>2</v>
      </c>
      <c r="AL12" s="570">
        <f>Exec!AL7</f>
        <v>2</v>
      </c>
      <c r="AM12" s="570">
        <f>Exec!AM7</f>
        <v>2</v>
      </c>
      <c r="AN12" s="570">
        <f>Exec!AN7</f>
        <v>2</v>
      </c>
      <c r="AO12" s="570">
        <f>Exec!AO7</f>
        <v>2</v>
      </c>
      <c r="AP12" s="570">
        <f>Exec!AP7</f>
        <v>2</v>
      </c>
      <c r="AQ12" s="570">
        <f>Exec!AQ7</f>
        <v>2</v>
      </c>
      <c r="AR12" s="570">
        <f>Exec!AR7</f>
        <v>2</v>
      </c>
      <c r="AS12" s="570">
        <f>Exec!AS7</f>
        <v>2</v>
      </c>
      <c r="AT12" s="570">
        <f>Exec!AT7</f>
        <v>2</v>
      </c>
      <c r="AU12" s="570">
        <f>Exec!AU7</f>
        <v>2</v>
      </c>
      <c r="AV12" s="570">
        <f>Exec!AV7</f>
        <v>2</v>
      </c>
      <c r="AW12" s="570">
        <f>Exec!AW7</f>
        <v>2</v>
      </c>
      <c r="AX12" s="570">
        <f>Exec!AX7</f>
        <v>2</v>
      </c>
      <c r="AY12" s="570">
        <f>Exec!AY7</f>
        <v>2</v>
      </c>
      <c r="AZ12" s="570">
        <f>Exec!AZ7</f>
        <v>2</v>
      </c>
      <c r="BA12" s="570">
        <f>Exec!BA7</f>
        <v>2</v>
      </c>
      <c r="BB12" s="570">
        <f>Exec!BB7</f>
        <v>2</v>
      </c>
      <c r="BC12" s="570">
        <f>Exec!BC7</f>
        <v>2</v>
      </c>
      <c r="BD12" s="570">
        <f>Exec!BD7</f>
        <v>2</v>
      </c>
      <c r="BE12" s="570">
        <f>Exec!BE7</f>
        <v>2</v>
      </c>
      <c r="BF12" s="570">
        <f>Exec!BF7</f>
        <v>2</v>
      </c>
      <c r="BG12" s="570">
        <f>Exec!BG7</f>
        <v>2</v>
      </c>
      <c r="BH12" s="570">
        <f>Exec!BH7</f>
        <v>2</v>
      </c>
      <c r="BI12" s="570">
        <f>Exec!BI7</f>
        <v>2</v>
      </c>
      <c r="BJ12" s="570">
        <f>Exec!BJ7</f>
        <v>2</v>
      </c>
      <c r="BK12" s="570">
        <f>Exec!BK7</f>
        <v>2</v>
      </c>
      <c r="BL12" s="570">
        <f>Exec!BL7</f>
        <v>2</v>
      </c>
      <c r="BM12" s="570">
        <f>Exec!BM7</f>
        <v>2</v>
      </c>
      <c r="BN12" s="570">
        <f>Exec!BN7</f>
        <v>2</v>
      </c>
      <c r="BO12" s="570">
        <f>Exec!BO7</f>
        <v>2</v>
      </c>
      <c r="BP12" s="570">
        <f>Exec!BP7</f>
        <v>2</v>
      </c>
      <c r="BQ12" s="570">
        <f>Exec!BQ7</f>
        <v>2</v>
      </c>
      <c r="BR12" s="570">
        <f>Exec!BR7</f>
        <v>2</v>
      </c>
      <c r="BS12" s="570">
        <f>Exec!BS7</f>
        <v>2</v>
      </c>
      <c r="BT12" s="570">
        <f>Exec!BT7</f>
        <v>2</v>
      </c>
      <c r="BU12" s="570">
        <f>Exec!BU7</f>
        <v>2</v>
      </c>
      <c r="BV12" s="570">
        <f>Exec!BV7</f>
        <v>2</v>
      </c>
    </row>
    <row r="13" spans="1:74" x14ac:dyDescent="0.25">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T13" s="570"/>
      <c r="BU13" s="570"/>
      <c r="BV13" s="570"/>
    </row>
    <row r="14" spans="1:74" x14ac:dyDescent="0.25">
      <c r="B14" s="16" t="s">
        <v>49</v>
      </c>
      <c r="C14" s="16">
        <f t="shared" ref="C14:AH14" si="0">SUM(C7:C12)</f>
        <v>34</v>
      </c>
      <c r="D14" s="570">
        <f t="shared" si="0"/>
        <v>40</v>
      </c>
      <c r="E14" s="570">
        <f t="shared" si="0"/>
        <v>40</v>
      </c>
      <c r="F14" s="570">
        <f t="shared" si="0"/>
        <v>40</v>
      </c>
      <c r="G14" s="570">
        <f t="shared" si="0"/>
        <v>41</v>
      </c>
      <c r="H14" s="570">
        <f t="shared" si="0"/>
        <v>42</v>
      </c>
      <c r="I14" s="570">
        <f t="shared" si="0"/>
        <v>42</v>
      </c>
      <c r="J14" s="570">
        <f t="shared" si="0"/>
        <v>46</v>
      </c>
      <c r="K14" s="570">
        <f t="shared" si="0"/>
        <v>46</v>
      </c>
      <c r="L14" s="570">
        <f t="shared" si="0"/>
        <v>46</v>
      </c>
      <c r="M14" s="570">
        <f t="shared" si="0"/>
        <v>46</v>
      </c>
      <c r="N14" s="570">
        <f t="shared" si="0"/>
        <v>48</v>
      </c>
      <c r="O14" s="570">
        <f t="shared" si="0"/>
        <v>49</v>
      </c>
      <c r="P14" s="570">
        <f t="shared" si="0"/>
        <v>49</v>
      </c>
      <c r="Q14" s="570">
        <f t="shared" si="0"/>
        <v>55</v>
      </c>
      <c r="R14" s="570">
        <f t="shared" si="0"/>
        <v>60</v>
      </c>
      <c r="S14" s="570">
        <f t="shared" si="0"/>
        <v>60</v>
      </c>
      <c r="T14" s="570">
        <f t="shared" si="0"/>
        <v>60</v>
      </c>
      <c r="U14" s="570">
        <f t="shared" si="0"/>
        <v>61</v>
      </c>
      <c r="V14" s="570">
        <f t="shared" si="0"/>
        <v>61</v>
      </c>
      <c r="W14" s="570">
        <f t="shared" si="0"/>
        <v>62</v>
      </c>
      <c r="X14" s="570">
        <f t="shared" si="0"/>
        <v>61</v>
      </c>
      <c r="Y14" s="570">
        <f t="shared" si="0"/>
        <v>62</v>
      </c>
      <c r="Z14" s="570">
        <f t="shared" si="0"/>
        <v>64</v>
      </c>
      <c r="AA14" s="570">
        <f t="shared" si="0"/>
        <v>65</v>
      </c>
      <c r="AB14" s="570">
        <f t="shared" si="0"/>
        <v>72</v>
      </c>
      <c r="AC14" s="570">
        <f t="shared" si="0"/>
        <v>71</v>
      </c>
      <c r="AD14" s="570">
        <f t="shared" si="0"/>
        <v>80</v>
      </c>
      <c r="AE14" s="570">
        <f t="shared" si="0"/>
        <v>83</v>
      </c>
      <c r="AF14" s="570">
        <f t="shared" si="0"/>
        <v>86</v>
      </c>
      <c r="AG14" s="570">
        <f t="shared" si="0"/>
        <v>89</v>
      </c>
      <c r="AH14" s="570">
        <f t="shared" si="0"/>
        <v>89</v>
      </c>
      <c r="AI14" s="570">
        <f t="shared" ref="AI14:BJ14" si="1">SUM(AI7:AI12)</f>
        <v>89</v>
      </c>
      <c r="AJ14" s="570">
        <f t="shared" si="1"/>
        <v>89</v>
      </c>
      <c r="AK14" s="570">
        <f t="shared" si="1"/>
        <v>89</v>
      </c>
      <c r="AL14" s="570">
        <f t="shared" si="1"/>
        <v>89</v>
      </c>
      <c r="AM14" s="570">
        <f t="shared" si="1"/>
        <v>86</v>
      </c>
      <c r="AN14" s="570">
        <f t="shared" si="1"/>
        <v>86</v>
      </c>
      <c r="AO14" s="570">
        <f t="shared" si="1"/>
        <v>86</v>
      </c>
      <c r="AP14" s="570">
        <f t="shared" si="1"/>
        <v>86</v>
      </c>
      <c r="AQ14" s="570">
        <f t="shared" si="1"/>
        <v>86</v>
      </c>
      <c r="AR14" s="570">
        <f t="shared" si="1"/>
        <v>86</v>
      </c>
      <c r="AS14" s="570">
        <f t="shared" si="1"/>
        <v>86</v>
      </c>
      <c r="AT14" s="570">
        <f t="shared" si="1"/>
        <v>86</v>
      </c>
      <c r="AU14" s="570">
        <f t="shared" si="1"/>
        <v>86</v>
      </c>
      <c r="AV14" s="570">
        <f t="shared" si="1"/>
        <v>86</v>
      </c>
      <c r="AW14" s="570">
        <f t="shared" si="1"/>
        <v>86</v>
      </c>
      <c r="AX14" s="570">
        <f t="shared" si="1"/>
        <v>86</v>
      </c>
      <c r="AY14" s="570">
        <f t="shared" si="1"/>
        <v>86</v>
      </c>
      <c r="AZ14" s="570">
        <f t="shared" si="1"/>
        <v>86</v>
      </c>
      <c r="BA14" s="570">
        <f t="shared" si="1"/>
        <v>86</v>
      </c>
      <c r="BB14" s="570">
        <f t="shared" si="1"/>
        <v>86</v>
      </c>
      <c r="BC14" s="570">
        <f t="shared" si="1"/>
        <v>86</v>
      </c>
      <c r="BD14" s="570">
        <f t="shared" si="1"/>
        <v>86</v>
      </c>
      <c r="BE14" s="570">
        <f t="shared" si="1"/>
        <v>86</v>
      </c>
      <c r="BF14" s="570">
        <f t="shared" si="1"/>
        <v>86</v>
      </c>
      <c r="BG14" s="570">
        <f t="shared" si="1"/>
        <v>86</v>
      </c>
      <c r="BH14" s="570">
        <f t="shared" si="1"/>
        <v>86</v>
      </c>
      <c r="BI14" s="570">
        <f t="shared" si="1"/>
        <v>86</v>
      </c>
      <c r="BJ14" s="570">
        <f t="shared" si="1"/>
        <v>86</v>
      </c>
      <c r="BK14" s="570">
        <f t="shared" ref="BK14:BS14" si="2">SUM(BK7:BK12)</f>
        <v>86</v>
      </c>
      <c r="BL14" s="570">
        <f t="shared" si="2"/>
        <v>86</v>
      </c>
      <c r="BM14" s="570">
        <f t="shared" si="2"/>
        <v>86</v>
      </c>
      <c r="BN14" s="570">
        <f t="shared" si="2"/>
        <v>86</v>
      </c>
      <c r="BO14" s="570">
        <f t="shared" si="2"/>
        <v>86</v>
      </c>
      <c r="BP14" s="570">
        <f t="shared" si="2"/>
        <v>86</v>
      </c>
      <c r="BQ14" s="570">
        <f t="shared" si="2"/>
        <v>86</v>
      </c>
      <c r="BR14" s="570">
        <f t="shared" si="2"/>
        <v>86</v>
      </c>
      <c r="BS14" s="570">
        <f t="shared" si="2"/>
        <v>86</v>
      </c>
      <c r="BT14" s="570">
        <f t="shared" ref="BT14:BV14" si="3">SUM(BT7:BT12)</f>
        <v>86</v>
      </c>
      <c r="BU14" s="570">
        <f t="shared" si="3"/>
        <v>86</v>
      </c>
      <c r="BV14" s="570">
        <f t="shared" si="3"/>
        <v>86</v>
      </c>
    </row>
    <row r="15" spans="1:74" hidden="1" x14ac:dyDescent="0.25">
      <c r="B15" s="58" t="s">
        <v>77</v>
      </c>
      <c r="C15" s="57" t="e">
        <f>'Cost Summary'!#REF!</f>
        <v>#REF!</v>
      </c>
      <c r="D15" s="57" t="e">
        <f>'Cost Summary'!#REF!</f>
        <v>#REF!</v>
      </c>
      <c r="E15" s="57" t="e">
        <f>'Cost Summary'!#REF!</f>
        <v>#REF!</v>
      </c>
      <c r="F15" s="57" t="e">
        <f>'Cost Summary'!#REF!</f>
        <v>#REF!</v>
      </c>
      <c r="G15" s="57" t="e">
        <f>'Cost Summary'!#REF!</f>
        <v>#REF!</v>
      </c>
      <c r="H15" s="57" t="e">
        <f>'Cost Summary'!#REF!</f>
        <v>#REF!</v>
      </c>
      <c r="I15" s="57" t="e">
        <f>'Cost Summary'!#REF!</f>
        <v>#REF!</v>
      </c>
      <c r="J15" s="57" t="e">
        <f>'Cost Summary'!#REF!</f>
        <v>#REF!</v>
      </c>
      <c r="K15" s="57" t="e">
        <f>'Cost Summary'!#REF!</f>
        <v>#REF!</v>
      </c>
      <c r="L15" s="57" t="e">
        <f>'Cost Summary'!#REF!</f>
        <v>#REF!</v>
      </c>
      <c r="M15" s="57" t="e">
        <f>'Cost Summary'!#REF!</f>
        <v>#REF!</v>
      </c>
      <c r="N15" s="57" t="e">
        <f>'Cost Summary'!#REF!</f>
        <v>#REF!</v>
      </c>
      <c r="O15" s="57" t="e">
        <f>'Cost Summary'!#REF!</f>
        <v>#REF!</v>
      </c>
      <c r="P15" s="57" t="e">
        <f>'Cost Summary'!#REF!</f>
        <v>#REF!</v>
      </c>
      <c r="Q15" s="57" t="e">
        <f>'Cost Summary'!#REF!</f>
        <v>#REF!</v>
      </c>
      <c r="R15" s="57" t="e">
        <f>'Cost Summary'!#REF!</f>
        <v>#REF!</v>
      </c>
      <c r="S15" s="57" t="e">
        <f>'Cost Summary'!#REF!</f>
        <v>#REF!</v>
      </c>
      <c r="T15" s="57" t="e">
        <f>'Cost Summary'!#REF!</f>
        <v>#REF!</v>
      </c>
      <c r="U15" s="57" t="e">
        <f>'Cost Summary'!#REF!</f>
        <v>#REF!</v>
      </c>
      <c r="V15" s="57" t="e">
        <f>'Cost Summary'!#REF!</f>
        <v>#REF!</v>
      </c>
      <c r="W15" s="57" t="e">
        <f>'Cost Summary'!#REF!</f>
        <v>#REF!</v>
      </c>
      <c r="X15" s="57" t="e">
        <f>'Cost Summary'!#REF!</f>
        <v>#REF!</v>
      </c>
      <c r="Y15" s="57" t="e">
        <f>'Cost Summary'!#REF!</f>
        <v>#REF!</v>
      </c>
      <c r="Z15" s="57" t="e">
        <f>'Cost Summary'!#REF!</f>
        <v>#REF!</v>
      </c>
      <c r="AA15" s="57" t="e">
        <f>'Cost Summary'!#REF!</f>
        <v>#REF!</v>
      </c>
      <c r="AB15" s="57" t="e">
        <f>'Cost Summary'!#REF!</f>
        <v>#REF!</v>
      </c>
      <c r="AC15" s="57" t="e">
        <f>'Cost Summary'!#REF!</f>
        <v>#REF!</v>
      </c>
      <c r="AD15" s="57" t="e">
        <f>'Cost Summary'!#REF!</f>
        <v>#REF!</v>
      </c>
      <c r="AE15" s="57" t="e">
        <f>'Cost Summary'!#REF!</f>
        <v>#REF!</v>
      </c>
      <c r="AF15" s="57" t="e">
        <f>'Cost Summary'!#REF!</f>
        <v>#REF!</v>
      </c>
      <c r="AG15" s="57" t="e">
        <f>'Cost Summary'!#REF!</f>
        <v>#REF!</v>
      </c>
      <c r="AH15" s="57" t="e">
        <f>'Cost Summary'!#REF!</f>
        <v>#REF!</v>
      </c>
      <c r="AI15" s="57" t="e">
        <f>'Cost Summary'!#REF!</f>
        <v>#REF!</v>
      </c>
      <c r="AJ15" s="57" t="e">
        <f>'Cost Summary'!#REF!</f>
        <v>#REF!</v>
      </c>
      <c r="AK15" s="57" t="e">
        <f>'Cost Summary'!#REF!</f>
        <v>#REF!</v>
      </c>
      <c r="AL15" s="57" t="e">
        <f>'Cost Summary'!#REF!</f>
        <v>#REF!</v>
      </c>
      <c r="AM15" s="57" t="e">
        <f>'Cost Summary'!#REF!</f>
        <v>#REF!</v>
      </c>
      <c r="AN15" s="57" t="e">
        <f>'Cost Summary'!#REF!</f>
        <v>#REF!</v>
      </c>
      <c r="AO15" s="57" t="e">
        <f>'Cost Summary'!#REF!</f>
        <v>#REF!</v>
      </c>
      <c r="AP15" s="57" t="e">
        <f>'Cost Summary'!#REF!</f>
        <v>#REF!</v>
      </c>
      <c r="AQ15" s="57" t="e">
        <f>'Cost Summary'!#REF!</f>
        <v>#REF!</v>
      </c>
      <c r="AR15" s="57" t="e">
        <f>'Cost Summary'!#REF!</f>
        <v>#REF!</v>
      </c>
      <c r="AS15" s="57" t="e">
        <f>'Cost Summary'!#REF!</f>
        <v>#REF!</v>
      </c>
      <c r="AT15" s="57" t="e">
        <f>'Cost Summary'!#REF!</f>
        <v>#REF!</v>
      </c>
      <c r="AU15" s="57" t="e">
        <f>'Cost Summary'!#REF!</f>
        <v>#REF!</v>
      </c>
      <c r="AV15" s="57" t="e">
        <f>'Cost Summary'!#REF!</f>
        <v>#REF!</v>
      </c>
      <c r="AW15" s="57" t="e">
        <f>'Cost Summary'!#REF!</f>
        <v>#REF!</v>
      </c>
      <c r="AX15" s="57" t="e">
        <f>'Cost Summary'!#REF!</f>
        <v>#REF!</v>
      </c>
      <c r="AY15" s="57" t="e">
        <f>'Cost Summary'!#REF!</f>
        <v>#REF!</v>
      </c>
      <c r="AZ15" s="57" t="e">
        <f>'Cost Summary'!#REF!</f>
        <v>#REF!</v>
      </c>
      <c r="BA15" s="57" t="e">
        <f>'Cost Summary'!#REF!</f>
        <v>#REF!</v>
      </c>
      <c r="BB15" s="57" t="e">
        <f>'Cost Summary'!#REF!</f>
        <v>#REF!</v>
      </c>
      <c r="BC15" s="57" t="e">
        <f>'Cost Summary'!#REF!</f>
        <v>#REF!</v>
      </c>
      <c r="BD15" s="57" t="e">
        <f>'Cost Summary'!#REF!</f>
        <v>#REF!</v>
      </c>
      <c r="BE15" s="57" t="e">
        <f>'Cost Summary'!#REF!</f>
        <v>#REF!</v>
      </c>
      <c r="BF15" s="57" t="e">
        <f>'Cost Summary'!#REF!</f>
        <v>#REF!</v>
      </c>
      <c r="BG15" s="57" t="e">
        <f>'Cost Summary'!#REF!</f>
        <v>#REF!</v>
      </c>
      <c r="BH15" s="57" t="e">
        <f>'Cost Summary'!#REF!</f>
        <v>#REF!</v>
      </c>
      <c r="BI15" s="57" t="e">
        <f>'Cost Summary'!#REF!</f>
        <v>#REF!</v>
      </c>
      <c r="BJ15" s="57" t="e">
        <f>'Cost Summary'!#REF!</f>
        <v>#REF!</v>
      </c>
      <c r="BK15" s="57" t="e">
        <f>'Cost Summary'!#REF!</f>
        <v>#REF!</v>
      </c>
      <c r="BL15" s="57" t="e">
        <f>'Cost Summary'!#REF!</f>
        <v>#REF!</v>
      </c>
      <c r="BM15" s="57" t="e">
        <f>'Cost Summary'!#REF!</f>
        <v>#REF!</v>
      </c>
      <c r="BN15" s="57" t="e">
        <f>'Cost Summary'!#REF!</f>
        <v>#REF!</v>
      </c>
      <c r="BO15" s="57" t="e">
        <f>'Cost Summary'!#REF!</f>
        <v>#REF!</v>
      </c>
      <c r="BP15" s="57" t="e">
        <f>'Cost Summary'!#REF!</f>
        <v>#REF!</v>
      </c>
      <c r="BQ15" s="57" t="e">
        <f>'Cost Summary'!#REF!</f>
        <v>#REF!</v>
      </c>
      <c r="BR15" s="57" t="e">
        <f>'Cost Summary'!#REF!</f>
        <v>#REF!</v>
      </c>
      <c r="BS15" s="57" t="e">
        <f>'Cost Summary'!#REF!</f>
        <v>#REF!</v>
      </c>
    </row>
    <row r="16" spans="1:74" s="235" customFormat="1" x14ac:dyDescent="0.25">
      <c r="BK16" s="570"/>
      <c r="BL16" s="570"/>
      <c r="BM16" s="570"/>
      <c r="BN16" s="570"/>
      <c r="BO16" s="570"/>
      <c r="BP16" s="570"/>
      <c r="BQ16" s="570"/>
      <c r="BR16" s="570"/>
      <c r="BS16" s="570"/>
    </row>
    <row r="18" spans="2:14" x14ac:dyDescent="0.25">
      <c r="C18" s="169"/>
      <c r="D18" s="169"/>
      <c r="E18" s="169"/>
      <c r="F18" s="169"/>
      <c r="G18" s="169"/>
      <c r="H18" s="169"/>
      <c r="I18" s="169"/>
      <c r="J18" s="169"/>
      <c r="K18" s="169"/>
      <c r="L18" s="169"/>
      <c r="M18" s="169"/>
      <c r="N18" s="169"/>
    </row>
    <row r="19" spans="2:14" x14ac:dyDescent="0.25">
      <c r="C19" s="170"/>
      <c r="D19" s="170"/>
      <c r="E19" s="170"/>
      <c r="F19" s="170"/>
      <c r="G19" s="170"/>
      <c r="H19" s="170"/>
      <c r="I19" s="170"/>
      <c r="J19" s="170"/>
      <c r="K19" s="170"/>
      <c r="L19" s="170"/>
      <c r="M19" s="170"/>
      <c r="N19" s="170"/>
    </row>
    <row r="20" spans="2:14" ht="15.75" thickBot="1" x14ac:dyDescent="0.3">
      <c r="C20" s="170"/>
      <c r="D20" s="170"/>
      <c r="E20" s="170"/>
      <c r="F20" s="170"/>
      <c r="G20" s="170"/>
      <c r="H20" s="170"/>
      <c r="I20" s="170"/>
      <c r="J20" s="170"/>
      <c r="K20" s="170"/>
      <c r="L20" s="170"/>
      <c r="M20" s="170"/>
      <c r="N20" s="170"/>
    </row>
    <row r="21" spans="2:14" ht="60.75" thickBot="1" x14ac:dyDescent="0.3">
      <c r="B21" s="426" t="s">
        <v>469</v>
      </c>
      <c r="C21" s="427" t="s">
        <v>470</v>
      </c>
      <c r="D21" s="427" t="s">
        <v>471</v>
      </c>
      <c r="G21" s="174"/>
      <c r="H21" s="174"/>
      <c r="I21" s="174"/>
      <c r="J21" s="174"/>
      <c r="K21" s="174"/>
      <c r="L21" s="174"/>
      <c r="M21" s="174"/>
      <c r="N21" s="174"/>
    </row>
    <row r="22" spans="2:14" ht="15.75" thickBot="1" x14ac:dyDescent="0.3">
      <c r="B22" s="428" t="s">
        <v>472</v>
      </c>
      <c r="C22" s="429">
        <v>5</v>
      </c>
      <c r="D22" s="430">
        <v>370000</v>
      </c>
    </row>
    <row r="23" spans="2:14" ht="15.75" thickBot="1" x14ac:dyDescent="0.3">
      <c r="B23" s="428" t="s">
        <v>66</v>
      </c>
      <c r="C23" s="429">
        <v>6</v>
      </c>
      <c r="D23" s="430">
        <v>900000</v>
      </c>
    </row>
    <row r="24" spans="2:14" ht="15.75" thickBot="1" x14ac:dyDescent="0.3">
      <c r="B24" s="428" t="s">
        <v>223</v>
      </c>
      <c r="C24" s="429">
        <v>5</v>
      </c>
      <c r="D24" s="430">
        <v>350000</v>
      </c>
    </row>
    <row r="25" spans="2:14" ht="15.75" thickBot="1" x14ac:dyDescent="0.3">
      <c r="B25" s="428" t="s">
        <v>473</v>
      </c>
      <c r="C25" s="429">
        <v>2</v>
      </c>
      <c r="D25" s="430">
        <v>450000</v>
      </c>
    </row>
    <row r="26" spans="2:14" ht="15.75" thickBot="1" x14ac:dyDescent="0.3">
      <c r="B26" s="428" t="s">
        <v>4</v>
      </c>
      <c r="C26" s="429">
        <v>2</v>
      </c>
      <c r="D26" s="430">
        <v>200000</v>
      </c>
    </row>
    <row r="27" spans="2:14" x14ac:dyDescent="0.25">
      <c r="B27" s="406"/>
      <c r="C27" s="406"/>
      <c r="D27" s="431">
        <f>SUM(D22:D26)</f>
        <v>2270000</v>
      </c>
    </row>
    <row r="29" spans="2:14" x14ac:dyDescent="0.25">
      <c r="H29" s="229"/>
    </row>
    <row r="30" spans="2:14" x14ac:dyDescent="0.25">
      <c r="H30" s="229"/>
    </row>
    <row r="31" spans="2:14" x14ac:dyDescent="0.25">
      <c r="H31" s="229"/>
    </row>
    <row r="32" spans="2:14" x14ac:dyDescent="0.25">
      <c r="H32" s="229"/>
    </row>
    <row r="33" spans="8:8" x14ac:dyDescent="0.25">
      <c r="H33" s="229"/>
    </row>
    <row r="34" spans="8:8" x14ac:dyDescent="0.25">
      <c r="H34" s="229"/>
    </row>
    <row r="35" spans="8:8" x14ac:dyDescent="0.25">
      <c r="H35" s="229"/>
    </row>
  </sheetData>
  <conditionalFormatting sqref="A5:XFD5">
    <cfRule type="expression" dxfId="278" priority="2">
      <formula>A$5="actual"</formula>
    </cfRule>
  </conditionalFormatting>
  <conditionalFormatting sqref="C7:BV12">
    <cfRule type="expression" dxfId="277" priority="1">
      <formula>C$5="actual"</formula>
    </cfRule>
  </conditionalFormatting>
  <pageMargins left="0.7" right="0.7" top="0.75" bottom="0.75" header="0.3" footer="0.3"/>
  <pageSetup scale="44" fitToHeight="0" orientation="landscap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K79"/>
  <sheetViews>
    <sheetView workbookViewId="0">
      <selection activeCell="B16" sqref="B16"/>
    </sheetView>
  </sheetViews>
  <sheetFormatPr defaultColWidth="9.140625" defaultRowHeight="12" x14ac:dyDescent="0.2"/>
  <cols>
    <col min="1" max="1" width="58.42578125" style="357" customWidth="1"/>
    <col min="2" max="2" width="13.28515625" style="357" customWidth="1"/>
    <col min="3" max="3" width="3.85546875" style="357" customWidth="1"/>
    <col min="4" max="4" width="7.5703125" style="357" bestFit="1" customWidth="1"/>
    <col min="5" max="5" width="9.28515625" style="357" bestFit="1" customWidth="1"/>
    <col min="6" max="6" width="15.28515625" style="357" bestFit="1" customWidth="1"/>
    <col min="7" max="7" width="12" style="357" customWidth="1"/>
    <col min="8" max="8" width="11" style="357" customWidth="1"/>
    <col min="9" max="9" width="13.42578125" style="357" customWidth="1"/>
    <col min="10" max="10" width="12.5703125" style="357" bestFit="1" customWidth="1"/>
    <col min="11" max="11" width="11.5703125" style="357" bestFit="1" customWidth="1"/>
    <col min="12" max="12" width="14.28515625" style="357" customWidth="1"/>
    <col min="13" max="14" width="9.140625" style="357"/>
    <col min="15" max="15" width="10.7109375" style="357" bestFit="1" customWidth="1"/>
    <col min="16" max="17" width="9.140625" style="357"/>
    <col min="18" max="18" width="10.7109375" style="357" bestFit="1" customWidth="1"/>
    <col min="19" max="16384" width="9.140625" style="357"/>
  </cols>
  <sheetData>
    <row r="1" spans="1:37" ht="19.5" customHeight="1" x14ac:dyDescent="0.2">
      <c r="A1" s="374"/>
      <c r="B1" s="374"/>
      <c r="C1" s="375"/>
      <c r="D1" s="1349" t="s">
        <v>411</v>
      </c>
      <c r="E1" s="1349"/>
      <c r="F1" s="1349"/>
      <c r="G1" s="1349"/>
      <c r="H1" s="1349"/>
      <c r="I1" s="1349"/>
      <c r="J1" s="1349"/>
      <c r="K1" s="1349"/>
      <c r="L1" s="1349"/>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row>
    <row r="2" spans="1:37" ht="27.75" customHeight="1" x14ac:dyDescent="0.2">
      <c r="A2" s="374"/>
      <c r="B2" s="374"/>
      <c r="C2" s="376"/>
      <c r="D2" s="394" t="s">
        <v>412</v>
      </c>
      <c r="E2" s="394" t="s">
        <v>413</v>
      </c>
      <c r="F2" s="394" t="s">
        <v>63</v>
      </c>
      <c r="G2" s="395" t="s">
        <v>414</v>
      </c>
      <c r="H2" s="395" t="s">
        <v>415</v>
      </c>
      <c r="I2" s="395" t="s">
        <v>416</v>
      </c>
      <c r="J2" s="395" t="s">
        <v>399</v>
      </c>
      <c r="K2" s="395" t="s">
        <v>395</v>
      </c>
      <c r="L2" s="395" t="s">
        <v>65</v>
      </c>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row>
    <row r="3" spans="1:37" x14ac:dyDescent="0.2">
      <c r="A3" s="374" t="s">
        <v>186</v>
      </c>
      <c r="B3" s="377">
        <v>41228</v>
      </c>
      <c r="D3" s="357">
        <f>IF($B$5&lt;&gt;0,1,"")</f>
        <v>1</v>
      </c>
      <c r="E3" s="378">
        <f>IF($B$5&lt;&gt;0,DATE(YEAR($B$3),MONTH($B$3)+($D3)*12/$B$11,DAY($B$3)),"")</f>
        <v>41258</v>
      </c>
      <c r="F3" s="379">
        <f>IF($B$7&lt;&gt;0,$B$7,"")</f>
        <v>10250000</v>
      </c>
      <c r="G3" s="379">
        <f>IF($B$7&lt;&gt;0,IF(E3&gt;DATE(YEAR($B$3)+$B$10,MONTH($B$3),DAY($B$3)),$B$16,$B$15),"")</f>
        <v>93958.333333333328</v>
      </c>
      <c r="H3" s="380">
        <f>IF($B$7&lt;&gt;0,$B$12,"")</f>
        <v>0</v>
      </c>
      <c r="I3" s="379">
        <f>IF($B$7&lt;&gt;0,$G3+$H3,"")</f>
        <v>93958.333333333328</v>
      </c>
      <c r="J3" s="379">
        <f>IF($B$7&lt;&gt;0,I3-K3,"")</f>
        <v>0</v>
      </c>
      <c r="K3" s="379">
        <f>IF($B$7&lt;&gt;0,$F3*($B$8/$B$11),"")</f>
        <v>93958.333333333328</v>
      </c>
      <c r="L3" s="379">
        <f>IF($B$7&lt;&gt;0,F3-J3,"")</f>
        <v>10250000</v>
      </c>
      <c r="O3" s="414"/>
    </row>
    <row r="4" spans="1:37" x14ac:dyDescent="0.2">
      <c r="A4" s="381" t="s">
        <v>391</v>
      </c>
      <c r="B4" s="382"/>
      <c r="D4" s="357">
        <f t="shared" ref="D4:D35" si="0">IF($L3&lt;=0.01,"",IF(L3="","",IF(L3&gt;0,(D3+1),"")))</f>
        <v>2</v>
      </c>
      <c r="E4" s="378">
        <f t="shared" ref="E4:E50" si="1">IF(D4="","",DATE(YEAR($B$3),MONTH($B$3)+($D4)*12/$B$11,DAY($B$3)))</f>
        <v>41289</v>
      </c>
      <c r="F4" s="379">
        <f>IF(D4="","",L3)</f>
        <v>10250000</v>
      </c>
      <c r="G4" s="379">
        <f>IF(D4="","",IF(E4&gt;DATE(YEAR($B$3)+$B$10,MONTH($B$3),DAY($B$3)),IF(F4&lt;$B$16,F4,$B$16),IF(F4&lt;$B$15,F4,$B$15)))</f>
        <v>93958.333333333328</v>
      </c>
      <c r="H4" s="379">
        <f>IF(D4="","",IF(F4&lt;G4,0,$B$12))</f>
        <v>0</v>
      </c>
      <c r="I4" s="379">
        <f>IF(D4="","",IF(E4&gt;DATE(YEAR($B$3)+$B$10,MONTH($B$3),DAY($B$3)),IF(F4&lt;$B$16,F4,G4+H4),IF(F4&lt;$B$15,F4,G4+H4)))</f>
        <v>93958.333333333328</v>
      </c>
      <c r="J4" s="379">
        <f>IF(D4="","",I4-K4)</f>
        <v>0</v>
      </c>
      <c r="K4" s="379">
        <f t="shared" ref="K4:K50" si="2">IF(D4="","",$F4*($B$8/$B$11))</f>
        <v>93958.333333333328</v>
      </c>
      <c r="L4" s="379">
        <f>IF(D4="","",IF(J4+K4&gt;G4,F4-J4,IF(J4+K4=F4,F4-J4-K4,F4-J4)))</f>
        <v>10250000</v>
      </c>
    </row>
    <row r="5" spans="1:37" x14ac:dyDescent="0.2">
      <c r="A5" s="383" t="s">
        <v>397</v>
      </c>
      <c r="B5" s="384">
        <v>10250000</v>
      </c>
      <c r="D5" s="357">
        <f t="shared" si="0"/>
        <v>3</v>
      </c>
      <c r="E5" s="378">
        <f t="shared" si="1"/>
        <v>41320</v>
      </c>
      <c r="F5" s="379">
        <f t="shared" ref="F5:F40" si="3">IF(D5="","",L4)</f>
        <v>10250000</v>
      </c>
      <c r="G5" s="379">
        <f t="shared" ref="G5:G40" si="4">IF(D5="","",IF(E5&gt;DATE(YEAR($B$3)+$B$10,MONTH($B$3),DAY($B$3)),IF(F5&lt;$B$16,F5,$B$16),IF(F5&lt;$B$15,F5,$B$15)))</f>
        <v>93958.333333333328</v>
      </c>
      <c r="H5" s="379">
        <f t="shared" ref="H5:H40" si="5">IF(D5="","",IF(F5&lt;G5,0,$B$12))</f>
        <v>0</v>
      </c>
      <c r="I5" s="379">
        <f t="shared" ref="I5:I40" si="6">IF(D5="","",IF(E5&gt;DATE(YEAR($B$3)+$B$10,MONTH($B$3),DAY($B$3)),IF(F5&lt;$B$16,F5,G5+H5),IF(F5&lt;$B$15,F5,G5+H5)))</f>
        <v>93958.333333333328</v>
      </c>
      <c r="J5" s="379">
        <f t="shared" ref="J5:J40" si="7">IF(D5="","",I5-K5)</f>
        <v>0</v>
      </c>
      <c r="K5" s="379">
        <f t="shared" si="2"/>
        <v>93958.333333333328</v>
      </c>
      <c r="L5" s="379">
        <f t="shared" ref="L5:L40" si="8">IF(D5="","",IF(J5+K5&gt;G5,F5-J5,IF(J5+K5=F5,F5-J5-K5,F5-J5)))</f>
        <v>10250000</v>
      </c>
    </row>
    <row r="6" spans="1:37" x14ac:dyDescent="0.2">
      <c r="A6" s="383" t="s">
        <v>396</v>
      </c>
      <c r="B6" s="384">
        <v>0</v>
      </c>
      <c r="D6" s="357">
        <f t="shared" si="0"/>
        <v>4</v>
      </c>
      <c r="E6" s="378">
        <f t="shared" si="1"/>
        <v>41348</v>
      </c>
      <c r="F6" s="379">
        <f t="shared" si="3"/>
        <v>10250000</v>
      </c>
      <c r="G6" s="379">
        <f t="shared" si="4"/>
        <v>93958.333333333328</v>
      </c>
      <c r="H6" s="379">
        <f t="shared" si="5"/>
        <v>0</v>
      </c>
      <c r="I6" s="379">
        <f t="shared" si="6"/>
        <v>93958.333333333328</v>
      </c>
      <c r="J6" s="379">
        <f t="shared" si="7"/>
        <v>0</v>
      </c>
      <c r="K6" s="379">
        <f t="shared" si="2"/>
        <v>93958.333333333328</v>
      </c>
      <c r="L6" s="379">
        <f t="shared" si="8"/>
        <v>10250000</v>
      </c>
    </row>
    <row r="7" spans="1:37" ht="12.75" thickBot="1" x14ac:dyDescent="0.25">
      <c r="A7" s="383" t="s">
        <v>417</v>
      </c>
      <c r="B7" s="385">
        <f>B5</f>
        <v>10250000</v>
      </c>
      <c r="D7" s="357">
        <f t="shared" si="0"/>
        <v>5</v>
      </c>
      <c r="E7" s="378">
        <f t="shared" si="1"/>
        <v>41379</v>
      </c>
      <c r="F7" s="379">
        <f t="shared" si="3"/>
        <v>10250000</v>
      </c>
      <c r="G7" s="379">
        <f t="shared" si="4"/>
        <v>93958.333333333328</v>
      </c>
      <c r="H7" s="379">
        <f t="shared" si="5"/>
        <v>0</v>
      </c>
      <c r="I7" s="379">
        <f t="shared" si="6"/>
        <v>93958.333333333328</v>
      </c>
      <c r="J7" s="379">
        <f t="shared" si="7"/>
        <v>0</v>
      </c>
      <c r="K7" s="379">
        <f t="shared" si="2"/>
        <v>93958.333333333328</v>
      </c>
      <c r="L7" s="379">
        <f t="shared" si="8"/>
        <v>10250000</v>
      </c>
    </row>
    <row r="8" spans="1:37" x14ac:dyDescent="0.2">
      <c r="A8" s="383" t="s">
        <v>395</v>
      </c>
      <c r="B8" s="386">
        <v>0.11</v>
      </c>
      <c r="D8" s="357">
        <f t="shared" si="0"/>
        <v>6</v>
      </c>
      <c r="E8" s="378">
        <f t="shared" si="1"/>
        <v>41409</v>
      </c>
      <c r="F8" s="379">
        <f t="shared" si="3"/>
        <v>10250000</v>
      </c>
      <c r="G8" s="379">
        <f t="shared" si="4"/>
        <v>93958.333333333328</v>
      </c>
      <c r="H8" s="379">
        <f t="shared" si="5"/>
        <v>0</v>
      </c>
      <c r="I8" s="379">
        <f t="shared" si="6"/>
        <v>93958.333333333328</v>
      </c>
      <c r="J8" s="379">
        <f t="shared" si="7"/>
        <v>0</v>
      </c>
      <c r="K8" s="379">
        <f t="shared" si="2"/>
        <v>93958.333333333328</v>
      </c>
      <c r="L8" s="379">
        <f t="shared" si="8"/>
        <v>10250000</v>
      </c>
    </row>
    <row r="9" spans="1:37" x14ac:dyDescent="0.2">
      <c r="A9" s="383" t="s">
        <v>401</v>
      </c>
      <c r="B9" s="387">
        <v>5</v>
      </c>
      <c r="D9" s="357">
        <f t="shared" si="0"/>
        <v>7</v>
      </c>
      <c r="E9" s="378">
        <f t="shared" si="1"/>
        <v>41440</v>
      </c>
      <c r="F9" s="379">
        <f t="shared" si="3"/>
        <v>10250000</v>
      </c>
      <c r="G9" s="379">
        <f t="shared" si="4"/>
        <v>93958.333333333328</v>
      </c>
      <c r="H9" s="379">
        <f t="shared" si="5"/>
        <v>0</v>
      </c>
      <c r="I9" s="379">
        <f t="shared" si="6"/>
        <v>93958.333333333328</v>
      </c>
      <c r="J9" s="379">
        <f t="shared" si="7"/>
        <v>0</v>
      </c>
      <c r="K9" s="379">
        <f t="shared" si="2"/>
        <v>93958.333333333328</v>
      </c>
      <c r="L9" s="379">
        <f t="shared" si="8"/>
        <v>10250000</v>
      </c>
    </row>
    <row r="10" spans="1:37" x14ac:dyDescent="0.2">
      <c r="A10" s="383" t="s">
        <v>400</v>
      </c>
      <c r="B10" s="387">
        <v>2</v>
      </c>
      <c r="D10" s="357">
        <f t="shared" si="0"/>
        <v>8</v>
      </c>
      <c r="E10" s="378">
        <f t="shared" si="1"/>
        <v>41470</v>
      </c>
      <c r="F10" s="379">
        <f t="shared" si="3"/>
        <v>10250000</v>
      </c>
      <c r="G10" s="379">
        <f t="shared" si="4"/>
        <v>93958.333333333328</v>
      </c>
      <c r="H10" s="379">
        <f t="shared" si="5"/>
        <v>0</v>
      </c>
      <c r="I10" s="379">
        <f t="shared" si="6"/>
        <v>93958.333333333328</v>
      </c>
      <c r="J10" s="379">
        <f t="shared" si="7"/>
        <v>0</v>
      </c>
      <c r="K10" s="379">
        <f t="shared" si="2"/>
        <v>93958.333333333328</v>
      </c>
      <c r="L10" s="379">
        <f t="shared" si="8"/>
        <v>10250000</v>
      </c>
    </row>
    <row r="11" spans="1:37" x14ac:dyDescent="0.2">
      <c r="A11" s="383" t="s">
        <v>402</v>
      </c>
      <c r="B11" s="387">
        <v>12</v>
      </c>
      <c r="D11" s="357">
        <f t="shared" si="0"/>
        <v>9</v>
      </c>
      <c r="E11" s="378">
        <f t="shared" si="1"/>
        <v>41501</v>
      </c>
      <c r="F11" s="379">
        <f t="shared" si="3"/>
        <v>10250000</v>
      </c>
      <c r="G11" s="379">
        <f t="shared" si="4"/>
        <v>93958.333333333328</v>
      </c>
      <c r="H11" s="379">
        <f t="shared" si="5"/>
        <v>0</v>
      </c>
      <c r="I11" s="379">
        <f t="shared" si="6"/>
        <v>93958.333333333328</v>
      </c>
      <c r="J11" s="379">
        <f t="shared" si="7"/>
        <v>0</v>
      </c>
      <c r="K11" s="379">
        <f t="shared" si="2"/>
        <v>93958.333333333328</v>
      </c>
      <c r="L11" s="379">
        <f t="shared" si="8"/>
        <v>10250000</v>
      </c>
    </row>
    <row r="12" spans="1:37" x14ac:dyDescent="0.2">
      <c r="A12" s="383" t="s">
        <v>418</v>
      </c>
      <c r="B12" s="387">
        <v>0</v>
      </c>
      <c r="D12" s="357">
        <f t="shared" si="0"/>
        <v>10</v>
      </c>
      <c r="E12" s="378">
        <f t="shared" si="1"/>
        <v>41532</v>
      </c>
      <c r="F12" s="379">
        <f t="shared" si="3"/>
        <v>10250000</v>
      </c>
      <c r="G12" s="379">
        <f t="shared" si="4"/>
        <v>93958.333333333328</v>
      </c>
      <c r="H12" s="379">
        <f t="shared" si="5"/>
        <v>0</v>
      </c>
      <c r="I12" s="379">
        <f t="shared" si="6"/>
        <v>93958.333333333328</v>
      </c>
      <c r="J12" s="379">
        <f t="shared" si="7"/>
        <v>0</v>
      </c>
      <c r="K12" s="379">
        <f t="shared" si="2"/>
        <v>93958.333333333328</v>
      </c>
      <c r="L12" s="379">
        <f t="shared" si="8"/>
        <v>10250000</v>
      </c>
    </row>
    <row r="13" spans="1:37" x14ac:dyDescent="0.2">
      <c r="A13" s="383" t="s">
        <v>398</v>
      </c>
      <c r="B13" s="384"/>
      <c r="D13" s="357">
        <f t="shared" si="0"/>
        <v>11</v>
      </c>
      <c r="E13" s="378">
        <f t="shared" si="1"/>
        <v>41562</v>
      </c>
      <c r="F13" s="379">
        <f t="shared" si="3"/>
        <v>10250000</v>
      </c>
      <c r="G13" s="379">
        <f t="shared" si="4"/>
        <v>93958.333333333328</v>
      </c>
      <c r="H13" s="379">
        <f t="shared" si="5"/>
        <v>0</v>
      </c>
      <c r="I13" s="379">
        <f t="shared" si="6"/>
        <v>93958.333333333328</v>
      </c>
      <c r="J13" s="379">
        <f t="shared" si="7"/>
        <v>0</v>
      </c>
      <c r="K13" s="379">
        <f t="shared" si="2"/>
        <v>93958.333333333328</v>
      </c>
      <c r="L13" s="379">
        <f t="shared" si="8"/>
        <v>10250000</v>
      </c>
    </row>
    <row r="14" spans="1:37" x14ac:dyDescent="0.2">
      <c r="A14" s="388" t="s">
        <v>403</v>
      </c>
      <c r="B14" s="389"/>
      <c r="D14" s="357">
        <f t="shared" si="0"/>
        <v>12</v>
      </c>
      <c r="E14" s="378">
        <f t="shared" si="1"/>
        <v>41593</v>
      </c>
      <c r="F14" s="379">
        <f t="shared" si="3"/>
        <v>10250000</v>
      </c>
      <c r="G14" s="379">
        <f t="shared" si="4"/>
        <v>93958.333333333328</v>
      </c>
      <c r="H14" s="379">
        <f t="shared" si="5"/>
        <v>0</v>
      </c>
      <c r="I14" s="379">
        <f t="shared" si="6"/>
        <v>93958.333333333328</v>
      </c>
      <c r="J14" s="379">
        <f t="shared" si="7"/>
        <v>0</v>
      </c>
      <c r="K14" s="379">
        <f t="shared" si="2"/>
        <v>93958.333333333328</v>
      </c>
      <c r="L14" s="379">
        <f t="shared" si="8"/>
        <v>10250000</v>
      </c>
    </row>
    <row r="15" spans="1:37" x14ac:dyDescent="0.2">
      <c r="A15" s="390" t="s">
        <v>404</v>
      </c>
      <c r="B15" s="391">
        <f>($B$5+$B$6)*($B$8/$B$11)</f>
        <v>93958.333333333328</v>
      </c>
      <c r="D15" s="357">
        <f t="shared" si="0"/>
        <v>13</v>
      </c>
      <c r="E15" s="378">
        <f t="shared" si="1"/>
        <v>41623</v>
      </c>
      <c r="F15" s="379">
        <f t="shared" si="3"/>
        <v>10250000</v>
      </c>
      <c r="G15" s="379">
        <f t="shared" si="4"/>
        <v>93958.333333333328</v>
      </c>
      <c r="H15" s="379">
        <f t="shared" si="5"/>
        <v>0</v>
      </c>
      <c r="I15" s="379">
        <f t="shared" si="6"/>
        <v>93958.333333333328</v>
      </c>
      <c r="J15" s="379">
        <f t="shared" si="7"/>
        <v>0</v>
      </c>
      <c r="K15" s="379">
        <f t="shared" si="2"/>
        <v>93958.333333333328</v>
      </c>
      <c r="L15" s="379">
        <f t="shared" si="8"/>
        <v>10250000</v>
      </c>
    </row>
    <row r="16" spans="1:37" x14ac:dyDescent="0.2">
      <c r="A16" s="390" t="s">
        <v>405</v>
      </c>
      <c r="B16" s="391">
        <f>-PMT(B8/B11,((B9-B10)*B11),(B5+B6))</f>
        <v>335571.85044927092</v>
      </c>
      <c r="D16" s="357">
        <f t="shared" si="0"/>
        <v>14</v>
      </c>
      <c r="E16" s="378">
        <f t="shared" si="1"/>
        <v>41654</v>
      </c>
      <c r="F16" s="379">
        <f t="shared" si="3"/>
        <v>10250000</v>
      </c>
      <c r="G16" s="379">
        <f t="shared" si="4"/>
        <v>93958.333333333328</v>
      </c>
      <c r="H16" s="379">
        <f t="shared" si="5"/>
        <v>0</v>
      </c>
      <c r="I16" s="379">
        <f t="shared" si="6"/>
        <v>93958.333333333328</v>
      </c>
      <c r="J16" s="379">
        <f t="shared" si="7"/>
        <v>0</v>
      </c>
      <c r="K16" s="379">
        <f t="shared" si="2"/>
        <v>93958.333333333328</v>
      </c>
      <c r="L16" s="379">
        <f t="shared" si="8"/>
        <v>10250000</v>
      </c>
    </row>
    <row r="17" spans="1:18" x14ac:dyDescent="0.2">
      <c r="A17" s="390" t="s">
        <v>406</v>
      </c>
      <c r="B17" s="389">
        <f>B9*B11</f>
        <v>60</v>
      </c>
      <c r="D17" s="357">
        <f t="shared" si="0"/>
        <v>15</v>
      </c>
      <c r="E17" s="378">
        <f t="shared" si="1"/>
        <v>41685</v>
      </c>
      <c r="F17" s="379">
        <f t="shared" si="3"/>
        <v>10250000</v>
      </c>
      <c r="G17" s="379">
        <f t="shared" si="4"/>
        <v>93958.333333333328</v>
      </c>
      <c r="H17" s="379">
        <f t="shared" si="5"/>
        <v>0</v>
      </c>
      <c r="I17" s="379">
        <f t="shared" si="6"/>
        <v>93958.333333333328</v>
      </c>
      <c r="J17" s="379">
        <f t="shared" si="7"/>
        <v>0</v>
      </c>
      <c r="K17" s="379">
        <f t="shared" si="2"/>
        <v>93958.333333333328</v>
      </c>
      <c r="L17" s="379">
        <f t="shared" si="8"/>
        <v>10250000</v>
      </c>
    </row>
    <row r="18" spans="1:18" x14ac:dyDescent="0.2">
      <c r="A18" s="390" t="s">
        <v>407</v>
      </c>
      <c r="B18" s="389">
        <f>MAX(D3:D1030)</f>
        <v>60</v>
      </c>
      <c r="D18" s="357">
        <f t="shared" si="0"/>
        <v>16</v>
      </c>
      <c r="E18" s="378">
        <f t="shared" si="1"/>
        <v>41713</v>
      </c>
      <c r="F18" s="379">
        <f t="shared" si="3"/>
        <v>10250000</v>
      </c>
      <c r="G18" s="379">
        <f t="shared" si="4"/>
        <v>93958.333333333328</v>
      </c>
      <c r="H18" s="379">
        <f t="shared" si="5"/>
        <v>0</v>
      </c>
      <c r="I18" s="379">
        <f t="shared" si="6"/>
        <v>93958.333333333328</v>
      </c>
      <c r="J18" s="379">
        <f t="shared" si="7"/>
        <v>0</v>
      </c>
      <c r="K18" s="379">
        <f t="shared" si="2"/>
        <v>93958.333333333328</v>
      </c>
      <c r="L18" s="379">
        <f t="shared" si="8"/>
        <v>10250000</v>
      </c>
    </row>
    <row r="19" spans="1:18" x14ac:dyDescent="0.2">
      <c r="A19" s="390" t="s">
        <v>408</v>
      </c>
      <c r="B19" s="392">
        <f>MAX(E3:E100)</f>
        <v>43054</v>
      </c>
      <c r="D19" s="357">
        <f t="shared" si="0"/>
        <v>17</v>
      </c>
      <c r="E19" s="378">
        <f t="shared" si="1"/>
        <v>41744</v>
      </c>
      <c r="F19" s="379">
        <f t="shared" si="3"/>
        <v>10250000</v>
      </c>
      <c r="G19" s="379">
        <f t="shared" si="4"/>
        <v>93958.333333333328</v>
      </c>
      <c r="H19" s="379">
        <f t="shared" si="5"/>
        <v>0</v>
      </c>
      <c r="I19" s="379">
        <f t="shared" si="6"/>
        <v>93958.333333333328</v>
      </c>
      <c r="J19" s="379">
        <f t="shared" si="7"/>
        <v>0</v>
      </c>
      <c r="K19" s="379">
        <f t="shared" si="2"/>
        <v>93958.333333333328</v>
      </c>
      <c r="L19" s="379">
        <f t="shared" si="8"/>
        <v>10250000</v>
      </c>
    </row>
    <row r="20" spans="1:18" x14ac:dyDescent="0.2">
      <c r="A20" s="390" t="s">
        <v>409</v>
      </c>
      <c r="B20" s="393">
        <f>SUM(H3:H1030)</f>
        <v>0</v>
      </c>
      <c r="D20" s="357">
        <f t="shared" si="0"/>
        <v>18</v>
      </c>
      <c r="E20" s="378">
        <f t="shared" si="1"/>
        <v>41774</v>
      </c>
      <c r="F20" s="379">
        <f t="shared" si="3"/>
        <v>10250000</v>
      </c>
      <c r="G20" s="379">
        <f t="shared" si="4"/>
        <v>93958.333333333328</v>
      </c>
      <c r="H20" s="379">
        <f t="shared" si="5"/>
        <v>0</v>
      </c>
      <c r="I20" s="379">
        <f t="shared" si="6"/>
        <v>93958.333333333328</v>
      </c>
      <c r="J20" s="379">
        <f t="shared" si="7"/>
        <v>0</v>
      </c>
      <c r="K20" s="379">
        <f t="shared" si="2"/>
        <v>93958.333333333328</v>
      </c>
      <c r="L20" s="379">
        <f t="shared" si="8"/>
        <v>10250000</v>
      </c>
    </row>
    <row r="21" spans="1:18" x14ac:dyDescent="0.2">
      <c r="A21" s="390" t="s">
        <v>410</v>
      </c>
      <c r="B21" s="393">
        <f>SUM(K3:K1030)</f>
        <v>4085586.6161737526</v>
      </c>
      <c r="D21" s="357">
        <f t="shared" si="0"/>
        <v>19</v>
      </c>
      <c r="E21" s="378">
        <f t="shared" si="1"/>
        <v>41805</v>
      </c>
      <c r="F21" s="379">
        <f t="shared" si="3"/>
        <v>10250000</v>
      </c>
      <c r="G21" s="379">
        <f t="shared" si="4"/>
        <v>93958.333333333328</v>
      </c>
      <c r="H21" s="379">
        <f t="shared" si="5"/>
        <v>0</v>
      </c>
      <c r="I21" s="379">
        <f t="shared" si="6"/>
        <v>93958.333333333328</v>
      </c>
      <c r="J21" s="379">
        <f t="shared" si="7"/>
        <v>0</v>
      </c>
      <c r="K21" s="379">
        <f t="shared" si="2"/>
        <v>93958.333333333328</v>
      </c>
      <c r="L21" s="379">
        <f t="shared" si="8"/>
        <v>10250000</v>
      </c>
    </row>
    <row r="22" spans="1:18" x14ac:dyDescent="0.2">
      <c r="D22" s="357">
        <f t="shared" si="0"/>
        <v>20</v>
      </c>
      <c r="E22" s="378">
        <f t="shared" si="1"/>
        <v>41835</v>
      </c>
      <c r="F22" s="379">
        <f t="shared" si="3"/>
        <v>10250000</v>
      </c>
      <c r="G22" s="379">
        <f t="shared" si="4"/>
        <v>93958.333333333328</v>
      </c>
      <c r="H22" s="379">
        <f t="shared" si="5"/>
        <v>0</v>
      </c>
      <c r="I22" s="379">
        <f t="shared" si="6"/>
        <v>93958.333333333328</v>
      </c>
      <c r="J22" s="379">
        <f t="shared" si="7"/>
        <v>0</v>
      </c>
      <c r="K22" s="379">
        <f t="shared" si="2"/>
        <v>93958.333333333328</v>
      </c>
      <c r="L22" s="379">
        <f t="shared" si="8"/>
        <v>10250000</v>
      </c>
    </row>
    <row r="23" spans="1:18" x14ac:dyDescent="0.2">
      <c r="D23" s="357">
        <f t="shared" si="0"/>
        <v>21</v>
      </c>
      <c r="E23" s="378">
        <f t="shared" si="1"/>
        <v>41866</v>
      </c>
      <c r="F23" s="379">
        <f t="shared" si="3"/>
        <v>10250000</v>
      </c>
      <c r="G23" s="379">
        <f t="shared" si="4"/>
        <v>93958.333333333328</v>
      </c>
      <c r="H23" s="379">
        <f t="shared" si="5"/>
        <v>0</v>
      </c>
      <c r="I23" s="379">
        <f t="shared" si="6"/>
        <v>93958.333333333328</v>
      </c>
      <c r="J23" s="379">
        <f t="shared" si="7"/>
        <v>0</v>
      </c>
      <c r="K23" s="379">
        <f t="shared" si="2"/>
        <v>93958.333333333328</v>
      </c>
      <c r="L23" s="379">
        <f t="shared" si="8"/>
        <v>10250000</v>
      </c>
    </row>
    <row r="24" spans="1:18" x14ac:dyDescent="0.2">
      <c r="D24" s="357">
        <f t="shared" si="0"/>
        <v>22</v>
      </c>
      <c r="E24" s="378">
        <f t="shared" si="1"/>
        <v>41897</v>
      </c>
      <c r="F24" s="379">
        <f t="shared" si="3"/>
        <v>10250000</v>
      </c>
      <c r="G24" s="379">
        <f t="shared" si="4"/>
        <v>93958.333333333328</v>
      </c>
      <c r="H24" s="379">
        <f t="shared" si="5"/>
        <v>0</v>
      </c>
      <c r="I24" s="379">
        <f t="shared" si="6"/>
        <v>93958.333333333328</v>
      </c>
      <c r="J24" s="379">
        <f t="shared" si="7"/>
        <v>0</v>
      </c>
      <c r="K24" s="379">
        <f t="shared" si="2"/>
        <v>93958.333333333328</v>
      </c>
      <c r="L24" s="379">
        <f t="shared" si="8"/>
        <v>10250000</v>
      </c>
    </row>
    <row r="25" spans="1:18" x14ac:dyDescent="0.2">
      <c r="D25" s="357">
        <f t="shared" si="0"/>
        <v>23</v>
      </c>
      <c r="E25" s="378">
        <f t="shared" si="1"/>
        <v>41927</v>
      </c>
      <c r="F25" s="379">
        <f t="shared" si="3"/>
        <v>10250000</v>
      </c>
      <c r="G25" s="379">
        <f t="shared" si="4"/>
        <v>93958.333333333328</v>
      </c>
      <c r="H25" s="379">
        <f t="shared" si="5"/>
        <v>0</v>
      </c>
      <c r="I25" s="379">
        <f t="shared" si="6"/>
        <v>93958.333333333328</v>
      </c>
      <c r="J25" s="379">
        <f t="shared" si="7"/>
        <v>0</v>
      </c>
      <c r="K25" s="379">
        <f t="shared" si="2"/>
        <v>93958.333333333328</v>
      </c>
      <c r="L25" s="379">
        <f t="shared" si="8"/>
        <v>10250000</v>
      </c>
    </row>
    <row r="26" spans="1:18" x14ac:dyDescent="0.2">
      <c r="D26" s="357">
        <f t="shared" si="0"/>
        <v>24</v>
      </c>
      <c r="E26" s="378">
        <f t="shared" si="1"/>
        <v>41958</v>
      </c>
      <c r="F26" s="379">
        <f t="shared" si="3"/>
        <v>10250000</v>
      </c>
      <c r="G26" s="379">
        <f t="shared" si="4"/>
        <v>93958.333333333328</v>
      </c>
      <c r="H26" s="379">
        <f t="shared" si="5"/>
        <v>0</v>
      </c>
      <c r="I26" s="379">
        <f t="shared" si="6"/>
        <v>93958.333333333328</v>
      </c>
      <c r="J26" s="379">
        <f t="shared" si="7"/>
        <v>0</v>
      </c>
      <c r="K26" s="379">
        <f t="shared" si="2"/>
        <v>93958.333333333328</v>
      </c>
      <c r="L26" s="379">
        <f t="shared" si="8"/>
        <v>10250000</v>
      </c>
    </row>
    <row r="27" spans="1:18" x14ac:dyDescent="0.2">
      <c r="D27" s="357">
        <f t="shared" si="0"/>
        <v>25</v>
      </c>
      <c r="E27" s="378">
        <f t="shared" si="1"/>
        <v>41988</v>
      </c>
      <c r="F27" s="379">
        <f t="shared" si="3"/>
        <v>10250000</v>
      </c>
      <c r="G27" s="379">
        <f t="shared" si="4"/>
        <v>335571.85044927092</v>
      </c>
      <c r="H27" s="379">
        <f t="shared" si="5"/>
        <v>0</v>
      </c>
      <c r="I27" s="379">
        <f t="shared" si="6"/>
        <v>335571.85044927092</v>
      </c>
      <c r="J27" s="379">
        <f t="shared" si="7"/>
        <v>241613.5171159376</v>
      </c>
      <c r="K27" s="379">
        <f t="shared" si="2"/>
        <v>93958.333333333328</v>
      </c>
      <c r="L27" s="379">
        <f t="shared" si="8"/>
        <v>10008386.482884062</v>
      </c>
    </row>
    <row r="28" spans="1:18" x14ac:dyDescent="0.2">
      <c r="D28" s="357">
        <f t="shared" si="0"/>
        <v>26</v>
      </c>
      <c r="E28" s="378">
        <f t="shared" si="1"/>
        <v>42019</v>
      </c>
      <c r="F28" s="379">
        <f t="shared" si="3"/>
        <v>10008386.482884062</v>
      </c>
      <c r="G28" s="379">
        <f t="shared" si="4"/>
        <v>335571.85044927092</v>
      </c>
      <c r="H28" s="379">
        <f t="shared" si="5"/>
        <v>0</v>
      </c>
      <c r="I28" s="379">
        <f t="shared" si="6"/>
        <v>335571.85044927092</v>
      </c>
      <c r="J28" s="379">
        <f t="shared" si="7"/>
        <v>243828.30768950033</v>
      </c>
      <c r="K28" s="379">
        <f t="shared" si="2"/>
        <v>91743.542759770571</v>
      </c>
      <c r="L28" s="379">
        <f t="shared" si="8"/>
        <v>9764558.1751945615</v>
      </c>
    </row>
    <row r="29" spans="1:18" x14ac:dyDescent="0.2">
      <c r="D29" s="357">
        <f t="shared" si="0"/>
        <v>27</v>
      </c>
      <c r="E29" s="378">
        <f t="shared" si="1"/>
        <v>42050</v>
      </c>
      <c r="F29" s="379">
        <f t="shared" si="3"/>
        <v>9764558.1751945615</v>
      </c>
      <c r="G29" s="379">
        <f t="shared" si="4"/>
        <v>335571.85044927092</v>
      </c>
      <c r="H29" s="379">
        <f t="shared" si="5"/>
        <v>0</v>
      </c>
      <c r="I29" s="379">
        <f t="shared" si="6"/>
        <v>335571.85044927092</v>
      </c>
      <c r="J29" s="379">
        <f t="shared" si="7"/>
        <v>246063.40050998743</v>
      </c>
      <c r="K29" s="379">
        <f t="shared" si="2"/>
        <v>89508.449939283484</v>
      </c>
      <c r="L29" s="379">
        <f t="shared" si="8"/>
        <v>9518494.7746845745</v>
      </c>
    </row>
    <row r="30" spans="1:18" x14ac:dyDescent="0.2">
      <c r="D30" s="357">
        <f t="shared" si="0"/>
        <v>28</v>
      </c>
      <c r="E30" s="378">
        <f t="shared" si="1"/>
        <v>42078</v>
      </c>
      <c r="F30" s="379">
        <f t="shared" si="3"/>
        <v>9518494.7746845745</v>
      </c>
      <c r="G30" s="379">
        <f t="shared" si="4"/>
        <v>335571.85044927092</v>
      </c>
      <c r="H30" s="379">
        <f t="shared" si="5"/>
        <v>0</v>
      </c>
      <c r="I30" s="379">
        <f t="shared" si="6"/>
        <v>335571.85044927092</v>
      </c>
      <c r="J30" s="379">
        <f t="shared" si="7"/>
        <v>248318.98168132897</v>
      </c>
      <c r="K30" s="379">
        <f t="shared" si="2"/>
        <v>87252.868767941938</v>
      </c>
      <c r="L30" s="379">
        <f t="shared" si="8"/>
        <v>9270175.7930032462</v>
      </c>
      <c r="R30" s="414"/>
    </row>
    <row r="31" spans="1:18" x14ac:dyDescent="0.2">
      <c r="D31" s="357">
        <f t="shared" si="0"/>
        <v>29</v>
      </c>
      <c r="E31" s="378">
        <f t="shared" si="1"/>
        <v>42109</v>
      </c>
      <c r="F31" s="379">
        <f t="shared" si="3"/>
        <v>9270175.7930032462</v>
      </c>
      <c r="G31" s="379">
        <f t="shared" si="4"/>
        <v>335571.85044927092</v>
      </c>
      <c r="H31" s="379">
        <f t="shared" si="5"/>
        <v>0</v>
      </c>
      <c r="I31" s="379">
        <f t="shared" si="6"/>
        <v>335571.85044927092</v>
      </c>
      <c r="J31" s="379">
        <f t="shared" si="7"/>
        <v>250595.23901340785</v>
      </c>
      <c r="K31" s="379">
        <f t="shared" si="2"/>
        <v>84976.611435863088</v>
      </c>
      <c r="L31" s="379">
        <f t="shared" si="8"/>
        <v>9019580.5539898388</v>
      </c>
    </row>
    <row r="32" spans="1:18" x14ac:dyDescent="0.2">
      <c r="D32" s="357">
        <f t="shared" si="0"/>
        <v>30</v>
      </c>
      <c r="E32" s="378">
        <f t="shared" si="1"/>
        <v>42139</v>
      </c>
      <c r="F32" s="379">
        <f t="shared" si="3"/>
        <v>9019580.5539898388</v>
      </c>
      <c r="G32" s="379">
        <f t="shared" si="4"/>
        <v>335571.85044927092</v>
      </c>
      <c r="H32" s="379">
        <f t="shared" si="5"/>
        <v>0</v>
      </c>
      <c r="I32" s="379">
        <f t="shared" si="6"/>
        <v>335571.85044927092</v>
      </c>
      <c r="J32" s="379">
        <f t="shared" si="7"/>
        <v>252892.3620376974</v>
      </c>
      <c r="K32" s="379">
        <f t="shared" si="2"/>
        <v>82679.488411573519</v>
      </c>
      <c r="L32" s="379">
        <f t="shared" si="8"/>
        <v>8766688.191952141</v>
      </c>
    </row>
    <row r="33" spans="4:12" x14ac:dyDescent="0.2">
      <c r="D33" s="357">
        <f t="shared" si="0"/>
        <v>31</v>
      </c>
      <c r="E33" s="378">
        <f t="shared" si="1"/>
        <v>42170</v>
      </c>
      <c r="F33" s="379">
        <f t="shared" si="3"/>
        <v>8766688.191952141</v>
      </c>
      <c r="G33" s="379">
        <f t="shared" si="4"/>
        <v>335571.85044927092</v>
      </c>
      <c r="H33" s="379">
        <f t="shared" si="5"/>
        <v>0</v>
      </c>
      <c r="I33" s="379">
        <f t="shared" si="6"/>
        <v>335571.85044927092</v>
      </c>
      <c r="J33" s="379">
        <f t="shared" si="7"/>
        <v>255210.54202304297</v>
      </c>
      <c r="K33" s="379">
        <f t="shared" si="2"/>
        <v>80361.308426227959</v>
      </c>
      <c r="L33" s="379">
        <f t="shared" si="8"/>
        <v>8511477.6499290988</v>
      </c>
    </row>
    <row r="34" spans="4:12" x14ac:dyDescent="0.2">
      <c r="D34" s="357">
        <f t="shared" si="0"/>
        <v>32</v>
      </c>
      <c r="E34" s="378">
        <f t="shared" si="1"/>
        <v>42200</v>
      </c>
      <c r="F34" s="379">
        <f t="shared" si="3"/>
        <v>8511477.6499290988</v>
      </c>
      <c r="G34" s="379">
        <f t="shared" si="4"/>
        <v>335571.85044927092</v>
      </c>
      <c r="H34" s="379">
        <f t="shared" si="5"/>
        <v>0</v>
      </c>
      <c r="I34" s="379">
        <f t="shared" si="6"/>
        <v>335571.85044927092</v>
      </c>
      <c r="J34" s="379">
        <f t="shared" si="7"/>
        <v>257549.97199158752</v>
      </c>
      <c r="K34" s="379">
        <f t="shared" si="2"/>
        <v>78021.8784576834</v>
      </c>
      <c r="L34" s="379">
        <f t="shared" si="8"/>
        <v>8253927.6779375114</v>
      </c>
    </row>
    <row r="35" spans="4:12" x14ac:dyDescent="0.2">
      <c r="D35" s="357">
        <f t="shared" si="0"/>
        <v>33</v>
      </c>
      <c r="E35" s="378">
        <f t="shared" si="1"/>
        <v>42231</v>
      </c>
      <c r="F35" s="379">
        <f t="shared" si="3"/>
        <v>8253927.6779375114</v>
      </c>
      <c r="G35" s="379">
        <f t="shared" si="4"/>
        <v>335571.85044927092</v>
      </c>
      <c r="H35" s="379">
        <f t="shared" si="5"/>
        <v>0</v>
      </c>
      <c r="I35" s="379">
        <f t="shared" si="6"/>
        <v>335571.85044927092</v>
      </c>
      <c r="J35" s="379">
        <f t="shared" si="7"/>
        <v>259910.84673484374</v>
      </c>
      <c r="K35" s="379">
        <f t="shared" si="2"/>
        <v>75661.003714427192</v>
      </c>
      <c r="L35" s="379">
        <f t="shared" si="8"/>
        <v>7994016.8312026672</v>
      </c>
    </row>
    <row r="36" spans="4:12" x14ac:dyDescent="0.2">
      <c r="D36" s="357">
        <f t="shared" ref="D36:D72" si="9">IF($L35&lt;=0.01,"",IF(L35="","",IF(L35&gt;0,(D35+1),"")))</f>
        <v>34</v>
      </c>
      <c r="E36" s="378">
        <f t="shared" si="1"/>
        <v>42262</v>
      </c>
      <c r="F36" s="379">
        <f t="shared" si="3"/>
        <v>7994016.8312026672</v>
      </c>
      <c r="G36" s="379">
        <f t="shared" si="4"/>
        <v>335571.85044927092</v>
      </c>
      <c r="H36" s="379">
        <f t="shared" si="5"/>
        <v>0</v>
      </c>
      <c r="I36" s="379">
        <f t="shared" si="6"/>
        <v>335571.85044927092</v>
      </c>
      <c r="J36" s="379">
        <f t="shared" si="7"/>
        <v>262293.36282991315</v>
      </c>
      <c r="K36" s="379">
        <f t="shared" si="2"/>
        <v>73278.48761935778</v>
      </c>
      <c r="L36" s="379">
        <f t="shared" si="8"/>
        <v>7731723.4683727538</v>
      </c>
    </row>
    <row r="37" spans="4:12" x14ac:dyDescent="0.2">
      <c r="D37" s="357">
        <f t="shared" si="9"/>
        <v>35</v>
      </c>
      <c r="E37" s="378">
        <f t="shared" si="1"/>
        <v>42292</v>
      </c>
      <c r="F37" s="379">
        <f t="shared" si="3"/>
        <v>7731723.4683727538</v>
      </c>
      <c r="G37" s="379">
        <f t="shared" si="4"/>
        <v>335571.85044927092</v>
      </c>
      <c r="H37" s="379">
        <f t="shared" si="5"/>
        <v>0</v>
      </c>
      <c r="I37" s="379">
        <f t="shared" si="6"/>
        <v>335571.85044927092</v>
      </c>
      <c r="J37" s="379">
        <f t="shared" si="7"/>
        <v>264697.718655854</v>
      </c>
      <c r="K37" s="379">
        <f t="shared" si="2"/>
        <v>70874.131793416906</v>
      </c>
      <c r="L37" s="379">
        <f t="shared" si="8"/>
        <v>7467025.7497169003</v>
      </c>
    </row>
    <row r="38" spans="4:12" x14ac:dyDescent="0.2">
      <c r="D38" s="357">
        <f t="shared" si="9"/>
        <v>36</v>
      </c>
      <c r="E38" s="378">
        <f t="shared" si="1"/>
        <v>42323</v>
      </c>
      <c r="F38" s="379">
        <f t="shared" si="3"/>
        <v>7467025.7497169003</v>
      </c>
      <c r="G38" s="379">
        <f t="shared" si="4"/>
        <v>335571.85044927092</v>
      </c>
      <c r="H38" s="379">
        <f t="shared" si="5"/>
        <v>0</v>
      </c>
      <c r="I38" s="379">
        <f t="shared" si="6"/>
        <v>335571.85044927092</v>
      </c>
      <c r="J38" s="379">
        <f t="shared" si="7"/>
        <v>267124.11441019934</v>
      </c>
      <c r="K38" s="379">
        <f t="shared" si="2"/>
        <v>68447.736039071591</v>
      </c>
      <c r="L38" s="379">
        <f t="shared" si="8"/>
        <v>7199901.6353067011</v>
      </c>
    </row>
    <row r="39" spans="4:12" x14ac:dyDescent="0.2">
      <c r="D39" s="357">
        <f t="shared" si="9"/>
        <v>37</v>
      </c>
      <c r="E39" s="378">
        <f t="shared" si="1"/>
        <v>42353</v>
      </c>
      <c r="F39" s="379">
        <f t="shared" si="3"/>
        <v>7199901.6353067011</v>
      </c>
      <c r="G39" s="379">
        <f t="shared" si="4"/>
        <v>335571.85044927092</v>
      </c>
      <c r="H39" s="379">
        <f t="shared" si="5"/>
        <v>0</v>
      </c>
      <c r="I39" s="379">
        <f t="shared" si="6"/>
        <v>335571.85044927092</v>
      </c>
      <c r="J39" s="379">
        <f t="shared" si="7"/>
        <v>269572.75212562614</v>
      </c>
      <c r="K39" s="379">
        <f t="shared" si="2"/>
        <v>65999.098323644765</v>
      </c>
      <c r="L39" s="379">
        <f t="shared" si="8"/>
        <v>6930328.8831810746</v>
      </c>
    </row>
    <row r="40" spans="4:12" x14ac:dyDescent="0.2">
      <c r="D40" s="357">
        <f t="shared" si="9"/>
        <v>38</v>
      </c>
      <c r="E40" s="378">
        <f t="shared" si="1"/>
        <v>42384</v>
      </c>
      <c r="F40" s="379">
        <f t="shared" si="3"/>
        <v>6930328.8831810746</v>
      </c>
      <c r="G40" s="379">
        <f t="shared" si="4"/>
        <v>335571.85044927092</v>
      </c>
      <c r="H40" s="379">
        <f t="shared" si="5"/>
        <v>0</v>
      </c>
      <c r="I40" s="379">
        <f t="shared" si="6"/>
        <v>335571.85044927092</v>
      </c>
      <c r="J40" s="379">
        <f t="shared" si="7"/>
        <v>272043.83568677772</v>
      </c>
      <c r="K40" s="379">
        <f t="shared" si="2"/>
        <v>63528.014762493185</v>
      </c>
      <c r="L40" s="379">
        <f t="shared" si="8"/>
        <v>6658285.0474942969</v>
      </c>
    </row>
    <row r="41" spans="4:12" x14ac:dyDescent="0.2">
      <c r="D41" s="357">
        <f t="shared" si="9"/>
        <v>39</v>
      </c>
      <c r="E41" s="378">
        <f t="shared" si="1"/>
        <v>42415</v>
      </c>
      <c r="F41" s="379">
        <f t="shared" ref="F41:F50" si="10">IF(D41="","",L40)</f>
        <v>6658285.0474942969</v>
      </c>
      <c r="G41" s="379">
        <f t="shared" ref="G41:G50" si="11">IF(D41="","",IF(E41&gt;DATE(YEAR($B$3)+$B$10,MONTH($B$3),DAY($B$3)),IF(F41&lt;$B$16,F41,$B$16),IF(F41&lt;$B$15,F41,$B$15)))</f>
        <v>335571.85044927092</v>
      </c>
      <c r="H41" s="379">
        <f t="shared" ref="H41:H50" si="12">IF(D41="","",IF(F41&lt;G41,0,$B$12))</f>
        <v>0</v>
      </c>
      <c r="I41" s="379">
        <f t="shared" ref="I41:I50" si="13">IF(D41="","",IF(E41&gt;DATE(YEAR($B$3)+$B$10,MONTH($B$3),DAY($B$3)),IF(F41&lt;$B$16,F41,G41+H41),IF(F41&lt;$B$15,F41,G41+H41)))</f>
        <v>335571.85044927092</v>
      </c>
      <c r="J41" s="379">
        <f t="shared" ref="J41:J50" si="14">IF(D41="","",I41-K41)</f>
        <v>274537.57084723987</v>
      </c>
      <c r="K41" s="379">
        <f t="shared" si="2"/>
        <v>61034.279602031056</v>
      </c>
      <c r="L41" s="379">
        <f t="shared" ref="L41:L50" si="15">IF(D41="","",IF(J41+K41&gt;G41,F41-J41,IF(J41+K41=F41,F41-J41-K41,F41-J41)))</f>
        <v>6383747.4766470566</v>
      </c>
    </row>
    <row r="42" spans="4:12" x14ac:dyDescent="0.2">
      <c r="D42" s="357">
        <f t="shared" si="9"/>
        <v>40</v>
      </c>
      <c r="E42" s="378">
        <f t="shared" si="1"/>
        <v>42444</v>
      </c>
      <c r="F42" s="379">
        <f t="shared" si="10"/>
        <v>6383747.4766470566</v>
      </c>
      <c r="G42" s="379">
        <f t="shared" si="11"/>
        <v>335571.85044927092</v>
      </c>
      <c r="H42" s="379">
        <f t="shared" si="12"/>
        <v>0</v>
      </c>
      <c r="I42" s="379">
        <f t="shared" si="13"/>
        <v>335571.85044927092</v>
      </c>
      <c r="J42" s="379">
        <f t="shared" si="14"/>
        <v>277054.16524667293</v>
      </c>
      <c r="K42" s="379">
        <f t="shared" si="2"/>
        <v>58517.685202598019</v>
      </c>
      <c r="L42" s="379">
        <f t="shared" si="15"/>
        <v>6106693.3114003837</v>
      </c>
    </row>
    <row r="43" spans="4:12" x14ac:dyDescent="0.2">
      <c r="D43" s="357">
        <f t="shared" si="9"/>
        <v>41</v>
      </c>
      <c r="E43" s="378">
        <f t="shared" si="1"/>
        <v>42475</v>
      </c>
      <c r="F43" s="379">
        <f t="shared" si="10"/>
        <v>6106693.3114003837</v>
      </c>
      <c r="G43" s="379">
        <f t="shared" si="11"/>
        <v>335571.85044927092</v>
      </c>
      <c r="H43" s="379">
        <f t="shared" si="12"/>
        <v>0</v>
      </c>
      <c r="I43" s="379">
        <f t="shared" si="13"/>
        <v>335571.85044927092</v>
      </c>
      <c r="J43" s="379">
        <f t="shared" si="14"/>
        <v>279593.82842810074</v>
      </c>
      <c r="K43" s="379">
        <f t="shared" si="2"/>
        <v>55978.022021170182</v>
      </c>
      <c r="L43" s="379">
        <f t="shared" si="15"/>
        <v>5827099.4829722829</v>
      </c>
    </row>
    <row r="44" spans="4:12" x14ac:dyDescent="0.2">
      <c r="D44" s="357">
        <f t="shared" si="9"/>
        <v>42</v>
      </c>
      <c r="E44" s="378">
        <f t="shared" si="1"/>
        <v>42505</v>
      </c>
      <c r="F44" s="379">
        <f t="shared" si="10"/>
        <v>5827099.4829722829</v>
      </c>
      <c r="G44" s="379">
        <f t="shared" si="11"/>
        <v>335571.85044927092</v>
      </c>
      <c r="H44" s="379">
        <f t="shared" si="12"/>
        <v>0</v>
      </c>
      <c r="I44" s="379">
        <f t="shared" si="13"/>
        <v>335571.85044927092</v>
      </c>
      <c r="J44" s="379">
        <f t="shared" si="14"/>
        <v>282156.77185535833</v>
      </c>
      <c r="K44" s="379">
        <f t="shared" si="2"/>
        <v>53415.078593912593</v>
      </c>
      <c r="L44" s="379">
        <f t="shared" si="15"/>
        <v>5544942.7111169249</v>
      </c>
    </row>
    <row r="45" spans="4:12" x14ac:dyDescent="0.2">
      <c r="D45" s="357">
        <f t="shared" si="9"/>
        <v>43</v>
      </c>
      <c r="E45" s="378">
        <f t="shared" si="1"/>
        <v>42536</v>
      </c>
      <c r="F45" s="379">
        <f t="shared" si="10"/>
        <v>5544942.7111169249</v>
      </c>
      <c r="G45" s="379">
        <f t="shared" si="11"/>
        <v>335571.85044927092</v>
      </c>
      <c r="H45" s="379">
        <f t="shared" si="12"/>
        <v>0</v>
      </c>
      <c r="I45" s="379">
        <f t="shared" si="13"/>
        <v>335571.85044927092</v>
      </c>
      <c r="J45" s="379">
        <f t="shared" si="14"/>
        <v>284743.2089306991</v>
      </c>
      <c r="K45" s="379">
        <f t="shared" si="2"/>
        <v>50828.641518571814</v>
      </c>
      <c r="L45" s="379">
        <f t="shared" si="15"/>
        <v>5260199.5021862257</v>
      </c>
    </row>
    <row r="46" spans="4:12" x14ac:dyDescent="0.2">
      <c r="D46" s="357">
        <f t="shared" si="9"/>
        <v>44</v>
      </c>
      <c r="E46" s="378">
        <f t="shared" si="1"/>
        <v>42566</v>
      </c>
      <c r="F46" s="379">
        <f t="shared" si="10"/>
        <v>5260199.5021862257</v>
      </c>
      <c r="G46" s="379">
        <f t="shared" si="11"/>
        <v>335571.85044927092</v>
      </c>
      <c r="H46" s="379">
        <f t="shared" si="12"/>
        <v>0</v>
      </c>
      <c r="I46" s="379">
        <f t="shared" si="13"/>
        <v>335571.85044927092</v>
      </c>
      <c r="J46" s="379">
        <f t="shared" si="14"/>
        <v>287353.35501256387</v>
      </c>
      <c r="K46" s="379">
        <f t="shared" si="2"/>
        <v>48218.495436707068</v>
      </c>
      <c r="L46" s="379">
        <f t="shared" si="15"/>
        <v>4972846.1471736617</v>
      </c>
    </row>
    <row r="47" spans="4:12" x14ac:dyDescent="0.2">
      <c r="D47" s="357">
        <f t="shared" si="9"/>
        <v>45</v>
      </c>
      <c r="E47" s="378">
        <f t="shared" si="1"/>
        <v>42597</v>
      </c>
      <c r="F47" s="379">
        <f t="shared" si="10"/>
        <v>4972846.1471736617</v>
      </c>
      <c r="G47" s="379">
        <f t="shared" si="11"/>
        <v>335571.85044927092</v>
      </c>
      <c r="H47" s="379">
        <f t="shared" si="12"/>
        <v>0</v>
      </c>
      <c r="I47" s="379">
        <f t="shared" si="13"/>
        <v>335571.85044927092</v>
      </c>
      <c r="J47" s="379">
        <f t="shared" si="14"/>
        <v>289987.42743351235</v>
      </c>
      <c r="K47" s="379">
        <f t="shared" si="2"/>
        <v>45584.423015758563</v>
      </c>
      <c r="L47" s="379">
        <f t="shared" si="15"/>
        <v>4682858.7197401496</v>
      </c>
    </row>
    <row r="48" spans="4:12" x14ac:dyDescent="0.2">
      <c r="D48" s="357">
        <f t="shared" si="9"/>
        <v>46</v>
      </c>
      <c r="E48" s="378">
        <f t="shared" si="1"/>
        <v>42628</v>
      </c>
      <c r="F48" s="379">
        <f t="shared" si="10"/>
        <v>4682858.7197401496</v>
      </c>
      <c r="G48" s="379">
        <f t="shared" si="11"/>
        <v>335571.85044927092</v>
      </c>
      <c r="H48" s="379">
        <f t="shared" si="12"/>
        <v>0</v>
      </c>
      <c r="I48" s="379">
        <f t="shared" si="13"/>
        <v>335571.85044927092</v>
      </c>
      <c r="J48" s="379">
        <f t="shared" si="14"/>
        <v>292645.64551831956</v>
      </c>
      <c r="K48" s="379">
        <f t="shared" si="2"/>
        <v>42926.204930951368</v>
      </c>
      <c r="L48" s="379">
        <f t="shared" si="15"/>
        <v>4390213.0742218299</v>
      </c>
    </row>
    <row r="49" spans="4:12" x14ac:dyDescent="0.2">
      <c r="D49" s="357">
        <f t="shared" si="9"/>
        <v>47</v>
      </c>
      <c r="E49" s="378">
        <f t="shared" si="1"/>
        <v>42658</v>
      </c>
      <c r="F49" s="379">
        <f t="shared" si="10"/>
        <v>4390213.0742218299</v>
      </c>
      <c r="G49" s="379">
        <f t="shared" si="11"/>
        <v>335571.85044927092</v>
      </c>
      <c r="H49" s="379">
        <f t="shared" si="12"/>
        <v>0</v>
      </c>
      <c r="I49" s="379">
        <f t="shared" si="13"/>
        <v>335571.85044927092</v>
      </c>
      <c r="J49" s="379">
        <f t="shared" si="14"/>
        <v>295328.23060223745</v>
      </c>
      <c r="K49" s="379">
        <f t="shared" si="2"/>
        <v>40243.619847033442</v>
      </c>
      <c r="L49" s="379">
        <f t="shared" si="15"/>
        <v>4094884.8436195925</v>
      </c>
    </row>
    <row r="50" spans="4:12" x14ac:dyDescent="0.2">
      <c r="D50" s="357">
        <f t="shared" si="9"/>
        <v>48</v>
      </c>
      <c r="E50" s="378">
        <f t="shared" si="1"/>
        <v>42689</v>
      </c>
      <c r="F50" s="379">
        <f t="shared" si="10"/>
        <v>4094884.8436195925</v>
      </c>
      <c r="G50" s="379">
        <f t="shared" si="11"/>
        <v>335571.85044927092</v>
      </c>
      <c r="H50" s="379">
        <f t="shared" si="12"/>
        <v>0</v>
      </c>
      <c r="I50" s="379">
        <f t="shared" si="13"/>
        <v>335571.85044927092</v>
      </c>
      <c r="J50" s="379">
        <f t="shared" si="14"/>
        <v>298035.40604942467</v>
      </c>
      <c r="K50" s="379">
        <f t="shared" si="2"/>
        <v>37536.444399846267</v>
      </c>
      <c r="L50" s="379">
        <f t="shared" si="15"/>
        <v>3796849.4375701677</v>
      </c>
    </row>
    <row r="51" spans="4:12" x14ac:dyDescent="0.2">
      <c r="D51" s="357">
        <f t="shared" ref="D51:D57" si="16">IF($L50&lt;=0.01,"",IF(L50="","",IF(L50&gt;0,(D50+1),"")))</f>
        <v>49</v>
      </c>
      <c r="E51" s="378">
        <f t="shared" ref="E51:E57" si="17">IF(D51="","",DATE(YEAR($B$3),MONTH($B$3)+($D51)*12/$B$11,DAY($B$3)))</f>
        <v>42719</v>
      </c>
      <c r="F51" s="379">
        <f t="shared" ref="F51:F56" si="18">IF(D51="","",L50)</f>
        <v>3796849.4375701677</v>
      </c>
      <c r="G51" s="379">
        <f t="shared" ref="G51:G56" si="19">IF(D51="","",IF(E51&gt;DATE(YEAR($B$3)+$B$10,MONTH($B$3),DAY($B$3)),IF(F51&lt;$B$16,F51,$B$16),IF(F51&lt;$B$15,F51,$B$15)))</f>
        <v>335571.85044927092</v>
      </c>
      <c r="H51" s="379">
        <f t="shared" ref="H51:H56" si="20">IF(D51="","",IF(F51&lt;G51,0,$B$12))</f>
        <v>0</v>
      </c>
      <c r="I51" s="379">
        <f t="shared" ref="I51:I56" si="21">IF(D51="","",IF(E51&gt;DATE(YEAR($B$3)+$B$10,MONTH($B$3),DAY($B$3)),IF(F51&lt;$B$16,F51,G51+H51),IF(F51&lt;$B$15,F51,G51+H51)))</f>
        <v>335571.85044927092</v>
      </c>
      <c r="J51" s="379">
        <f t="shared" ref="J51:J56" si="22">IF(D51="","",I51-K51)</f>
        <v>300767.39727154438</v>
      </c>
      <c r="K51" s="379">
        <f t="shared" ref="K51:K57" si="23">IF(D51="","",$F51*($B$8/$B$11))</f>
        <v>34804.453177726537</v>
      </c>
      <c r="L51" s="379">
        <f t="shared" ref="L51:L56" si="24">IF(D51="","",IF(J51+K51&gt;G51,F51-J51,IF(J51+K51=F51,F51-J51-K51,F51-J51)))</f>
        <v>3496082.0402986235</v>
      </c>
    </row>
    <row r="52" spans="4:12" x14ac:dyDescent="0.2">
      <c r="D52" s="357">
        <f t="shared" si="16"/>
        <v>50</v>
      </c>
      <c r="E52" s="378">
        <f t="shared" si="17"/>
        <v>42750</v>
      </c>
      <c r="F52" s="379">
        <f t="shared" si="18"/>
        <v>3496082.0402986235</v>
      </c>
      <c r="G52" s="379">
        <f t="shared" si="19"/>
        <v>335571.85044927092</v>
      </c>
      <c r="H52" s="379">
        <f t="shared" si="20"/>
        <v>0</v>
      </c>
      <c r="I52" s="379">
        <f t="shared" si="21"/>
        <v>335571.85044927092</v>
      </c>
      <c r="J52" s="379">
        <f t="shared" si="22"/>
        <v>303524.43174653355</v>
      </c>
      <c r="K52" s="379">
        <f t="shared" si="23"/>
        <v>32047.418702737381</v>
      </c>
      <c r="L52" s="379">
        <f t="shared" si="24"/>
        <v>3192557.6085520899</v>
      </c>
    </row>
    <row r="53" spans="4:12" x14ac:dyDescent="0.2">
      <c r="D53" s="357">
        <f t="shared" si="16"/>
        <v>51</v>
      </c>
      <c r="E53" s="378">
        <f t="shared" si="17"/>
        <v>42781</v>
      </c>
      <c r="F53" s="379">
        <f t="shared" si="18"/>
        <v>3192557.6085520899</v>
      </c>
      <c r="G53" s="379">
        <f t="shared" si="19"/>
        <v>335571.85044927092</v>
      </c>
      <c r="H53" s="379">
        <f t="shared" si="20"/>
        <v>0</v>
      </c>
      <c r="I53" s="379">
        <f t="shared" si="21"/>
        <v>335571.85044927092</v>
      </c>
      <c r="J53" s="379">
        <f t="shared" si="22"/>
        <v>306306.73903754342</v>
      </c>
      <c r="K53" s="379">
        <f t="shared" si="23"/>
        <v>29265.111411727492</v>
      </c>
      <c r="L53" s="379">
        <f t="shared" si="24"/>
        <v>2886250.8695145464</v>
      </c>
    </row>
    <row r="54" spans="4:12" x14ac:dyDescent="0.2">
      <c r="D54" s="357">
        <f t="shared" si="16"/>
        <v>52</v>
      </c>
      <c r="E54" s="378">
        <f t="shared" si="17"/>
        <v>42809</v>
      </c>
      <c r="F54" s="379">
        <f t="shared" si="18"/>
        <v>2886250.8695145464</v>
      </c>
      <c r="G54" s="379">
        <f t="shared" si="19"/>
        <v>335571.85044927092</v>
      </c>
      <c r="H54" s="379">
        <f t="shared" si="20"/>
        <v>0</v>
      </c>
      <c r="I54" s="379">
        <f t="shared" si="21"/>
        <v>335571.85044927092</v>
      </c>
      <c r="J54" s="379">
        <f t="shared" si="22"/>
        <v>309114.55081205425</v>
      </c>
      <c r="K54" s="379">
        <f t="shared" si="23"/>
        <v>26457.299637216674</v>
      </c>
      <c r="L54" s="379">
        <f t="shared" si="24"/>
        <v>2577136.3187024919</v>
      </c>
    </row>
    <row r="55" spans="4:12" x14ac:dyDescent="0.2">
      <c r="D55" s="357">
        <f t="shared" si="16"/>
        <v>53</v>
      </c>
      <c r="E55" s="378">
        <f t="shared" si="17"/>
        <v>42840</v>
      </c>
      <c r="F55" s="379">
        <f t="shared" si="18"/>
        <v>2577136.3187024919</v>
      </c>
      <c r="G55" s="379">
        <f t="shared" si="19"/>
        <v>335571.85044927092</v>
      </c>
      <c r="H55" s="379">
        <f t="shared" si="20"/>
        <v>0</v>
      </c>
      <c r="I55" s="379">
        <f t="shared" si="21"/>
        <v>335571.85044927092</v>
      </c>
      <c r="J55" s="379">
        <f t="shared" si="22"/>
        <v>311948.10086116474</v>
      </c>
      <c r="K55" s="379">
        <f t="shared" si="23"/>
        <v>23623.749588106177</v>
      </c>
      <c r="L55" s="379">
        <f t="shared" si="24"/>
        <v>2265188.2178413272</v>
      </c>
    </row>
    <row r="56" spans="4:12" x14ac:dyDescent="0.2">
      <c r="D56" s="357">
        <f t="shared" si="16"/>
        <v>54</v>
      </c>
      <c r="E56" s="378">
        <f t="shared" si="17"/>
        <v>42870</v>
      </c>
      <c r="F56" s="379">
        <f t="shared" si="18"/>
        <v>2265188.2178413272</v>
      </c>
      <c r="G56" s="379">
        <f t="shared" si="19"/>
        <v>335571.85044927092</v>
      </c>
      <c r="H56" s="379">
        <f t="shared" si="20"/>
        <v>0</v>
      </c>
      <c r="I56" s="379">
        <f t="shared" si="21"/>
        <v>335571.85044927092</v>
      </c>
      <c r="J56" s="379">
        <f t="shared" si="22"/>
        <v>314807.62511905876</v>
      </c>
      <c r="K56" s="379">
        <f t="shared" si="23"/>
        <v>20764.225330212164</v>
      </c>
      <c r="L56" s="379">
        <f t="shared" si="24"/>
        <v>1950380.5927222683</v>
      </c>
    </row>
    <row r="57" spans="4:12" x14ac:dyDescent="0.2">
      <c r="D57" s="357">
        <f t="shared" si="16"/>
        <v>55</v>
      </c>
      <c r="E57" s="378">
        <f t="shared" si="17"/>
        <v>42901</v>
      </c>
      <c r="F57" s="379">
        <f t="shared" ref="F57:F65" si="25">IF(D57="","",L56)</f>
        <v>1950380.5927222683</v>
      </c>
      <c r="G57" s="379">
        <f t="shared" ref="G57:G65" si="26">IF(D57="","",IF(E57&gt;DATE(YEAR($B$3)+$B$10,MONTH($B$3),DAY($B$3)),IF(F57&lt;$B$16,F57,$B$16),IF(F57&lt;$B$15,F57,$B$15)))</f>
        <v>335571.85044927092</v>
      </c>
      <c r="H57" s="379">
        <f t="shared" ref="H57:H65" si="27">IF(D57="","",IF(F57&lt;G57,0,$B$12))</f>
        <v>0</v>
      </c>
      <c r="I57" s="379">
        <f t="shared" ref="I57:I65" si="28">IF(D57="","",IF(E57&gt;DATE(YEAR($B$3)+$B$10,MONTH($B$3),DAY($B$3)),IF(F57&lt;$B$16,F57,G57+H57),IF(F57&lt;$B$15,F57,G57+H57)))</f>
        <v>335571.85044927092</v>
      </c>
      <c r="J57" s="379">
        <f t="shared" ref="J57:J65" si="29">IF(D57="","",I57-K57)</f>
        <v>317693.36168265011</v>
      </c>
      <c r="K57" s="379">
        <f t="shared" si="23"/>
        <v>17878.488766620794</v>
      </c>
      <c r="L57" s="379">
        <f t="shared" ref="L57:L65" si="30">IF(D57="","",IF(J57+K57&gt;G57,F57-J57,IF(J57+K57=F57,F57-J57-K57,F57-J57)))</f>
        <v>1632687.2310396181</v>
      </c>
    </row>
    <row r="58" spans="4:12" x14ac:dyDescent="0.2">
      <c r="D58" s="357">
        <f t="shared" si="9"/>
        <v>56</v>
      </c>
      <c r="E58" s="378">
        <f t="shared" ref="E58:E72" si="31">IF(D58="","",DATE(YEAR($B$3),MONTH($B$3)+($D58)*12/$B$11,DAY($B$3)))</f>
        <v>42931</v>
      </c>
      <c r="F58" s="379">
        <f t="shared" si="25"/>
        <v>1632687.2310396181</v>
      </c>
      <c r="G58" s="379">
        <f t="shared" si="26"/>
        <v>335571.85044927092</v>
      </c>
      <c r="H58" s="379">
        <f t="shared" si="27"/>
        <v>0</v>
      </c>
      <c r="I58" s="379">
        <f t="shared" si="28"/>
        <v>335571.85044927092</v>
      </c>
      <c r="J58" s="379">
        <f t="shared" si="29"/>
        <v>320605.55083140777</v>
      </c>
      <c r="K58" s="379">
        <f t="shared" ref="K58:K72" si="32">IF(D58="","",$F58*($B$8/$B$11))</f>
        <v>14966.299617863166</v>
      </c>
      <c r="L58" s="379">
        <f t="shared" si="30"/>
        <v>1312081.6802082104</v>
      </c>
    </row>
    <row r="59" spans="4:12" x14ac:dyDescent="0.2">
      <c r="D59" s="357">
        <f t="shared" si="9"/>
        <v>57</v>
      </c>
      <c r="E59" s="378">
        <f t="shared" si="31"/>
        <v>42962</v>
      </c>
      <c r="F59" s="379">
        <f t="shared" si="25"/>
        <v>1312081.6802082104</v>
      </c>
      <c r="G59" s="379">
        <f t="shared" si="26"/>
        <v>335571.85044927092</v>
      </c>
      <c r="H59" s="379">
        <f t="shared" si="27"/>
        <v>0</v>
      </c>
      <c r="I59" s="379">
        <f t="shared" si="28"/>
        <v>335571.85044927092</v>
      </c>
      <c r="J59" s="379">
        <f t="shared" si="29"/>
        <v>323544.43504736235</v>
      </c>
      <c r="K59" s="379">
        <f t="shared" si="32"/>
        <v>12027.415401908595</v>
      </c>
      <c r="L59" s="379">
        <f t="shared" si="30"/>
        <v>988537.24516084802</v>
      </c>
    </row>
    <row r="60" spans="4:12" x14ac:dyDescent="0.2">
      <c r="D60" s="357">
        <f t="shared" si="9"/>
        <v>58</v>
      </c>
      <c r="E60" s="378">
        <f t="shared" si="31"/>
        <v>42993</v>
      </c>
      <c r="F60" s="379">
        <f t="shared" si="25"/>
        <v>988537.24516084802</v>
      </c>
      <c r="G60" s="379">
        <f t="shared" si="26"/>
        <v>335571.85044927092</v>
      </c>
      <c r="H60" s="379">
        <f t="shared" si="27"/>
        <v>0</v>
      </c>
      <c r="I60" s="379">
        <f t="shared" si="28"/>
        <v>335571.85044927092</v>
      </c>
      <c r="J60" s="379">
        <f t="shared" si="29"/>
        <v>326510.25903529651</v>
      </c>
      <c r="K60" s="379">
        <f t="shared" si="32"/>
        <v>9061.59141397444</v>
      </c>
      <c r="L60" s="379">
        <f t="shared" si="30"/>
        <v>662026.98612555151</v>
      </c>
    </row>
    <row r="61" spans="4:12" x14ac:dyDescent="0.2">
      <c r="D61" s="357">
        <f t="shared" si="9"/>
        <v>59</v>
      </c>
      <c r="E61" s="378">
        <f t="shared" si="31"/>
        <v>43023</v>
      </c>
      <c r="F61" s="379">
        <f t="shared" si="25"/>
        <v>662026.98612555151</v>
      </c>
      <c r="G61" s="379">
        <f t="shared" si="26"/>
        <v>335571.85044927092</v>
      </c>
      <c r="H61" s="379">
        <f t="shared" si="27"/>
        <v>0</v>
      </c>
      <c r="I61" s="379">
        <f t="shared" si="28"/>
        <v>335571.85044927092</v>
      </c>
      <c r="J61" s="379">
        <f t="shared" si="29"/>
        <v>329503.26974312001</v>
      </c>
      <c r="K61" s="379">
        <f t="shared" si="32"/>
        <v>6068.5807061508885</v>
      </c>
      <c r="L61" s="379">
        <f t="shared" si="30"/>
        <v>332523.71638243151</v>
      </c>
    </row>
    <row r="62" spans="4:12" x14ac:dyDescent="0.2">
      <c r="D62" s="357">
        <f t="shared" si="9"/>
        <v>60</v>
      </c>
      <c r="E62" s="378">
        <f t="shared" si="31"/>
        <v>43054</v>
      </c>
      <c r="F62" s="379">
        <f t="shared" si="25"/>
        <v>332523.71638243151</v>
      </c>
      <c r="G62" s="379">
        <f t="shared" si="26"/>
        <v>332523.71638243151</v>
      </c>
      <c r="H62" s="379">
        <f t="shared" si="27"/>
        <v>0</v>
      </c>
      <c r="I62" s="379">
        <f t="shared" si="28"/>
        <v>332523.71638243151</v>
      </c>
      <c r="J62" s="379">
        <f t="shared" si="29"/>
        <v>329475.58231559256</v>
      </c>
      <c r="K62" s="379">
        <f t="shared" si="32"/>
        <v>3048.1340668389553</v>
      </c>
      <c r="L62" s="379">
        <f t="shared" si="30"/>
        <v>-9.5496943686157465E-12</v>
      </c>
    </row>
    <row r="63" spans="4:12" x14ac:dyDescent="0.2">
      <c r="D63" s="357" t="str">
        <f t="shared" si="9"/>
        <v/>
      </c>
      <c r="E63" s="378" t="str">
        <f t="shared" si="31"/>
        <v/>
      </c>
      <c r="F63" s="379" t="str">
        <f t="shared" si="25"/>
        <v/>
      </c>
      <c r="G63" s="379" t="str">
        <f t="shared" si="26"/>
        <v/>
      </c>
      <c r="H63" s="379" t="str">
        <f t="shared" si="27"/>
        <v/>
      </c>
      <c r="I63" s="379" t="str">
        <f t="shared" si="28"/>
        <v/>
      </c>
      <c r="J63" s="379" t="str">
        <f t="shared" si="29"/>
        <v/>
      </c>
      <c r="K63" s="379" t="str">
        <f t="shared" si="32"/>
        <v/>
      </c>
      <c r="L63" s="379" t="str">
        <f t="shared" si="30"/>
        <v/>
      </c>
    </row>
    <row r="64" spans="4:12" x14ac:dyDescent="0.2">
      <c r="D64" s="357" t="str">
        <f t="shared" si="9"/>
        <v/>
      </c>
      <c r="E64" s="378" t="str">
        <f t="shared" si="31"/>
        <v/>
      </c>
      <c r="F64" s="379" t="str">
        <f t="shared" si="25"/>
        <v/>
      </c>
      <c r="G64" s="379" t="str">
        <f t="shared" si="26"/>
        <v/>
      </c>
      <c r="H64" s="379" t="str">
        <f t="shared" si="27"/>
        <v/>
      </c>
      <c r="I64" s="379" t="str">
        <f t="shared" si="28"/>
        <v/>
      </c>
      <c r="J64" s="379" t="str">
        <f t="shared" si="29"/>
        <v/>
      </c>
      <c r="K64" s="379" t="str">
        <f t="shared" si="32"/>
        <v/>
      </c>
      <c r="L64" s="379" t="str">
        <f t="shared" si="30"/>
        <v/>
      </c>
    </row>
    <row r="65" spans="4:12" x14ac:dyDescent="0.2">
      <c r="D65" s="357" t="str">
        <f t="shared" si="9"/>
        <v/>
      </c>
      <c r="E65" s="378" t="str">
        <f t="shared" si="31"/>
        <v/>
      </c>
      <c r="F65" s="379" t="str">
        <f t="shared" si="25"/>
        <v/>
      </c>
      <c r="G65" s="379" t="str">
        <f t="shared" si="26"/>
        <v/>
      </c>
      <c r="H65" s="379" t="str">
        <f t="shared" si="27"/>
        <v/>
      </c>
      <c r="I65" s="379" t="str">
        <f t="shared" si="28"/>
        <v/>
      </c>
      <c r="J65" s="379" t="str">
        <f t="shared" si="29"/>
        <v/>
      </c>
      <c r="K65" s="379" t="str">
        <f t="shared" si="32"/>
        <v/>
      </c>
      <c r="L65" s="379" t="str">
        <f t="shared" si="30"/>
        <v/>
      </c>
    </row>
    <row r="66" spans="4:12" x14ac:dyDescent="0.2">
      <c r="D66" s="357" t="str">
        <f t="shared" si="9"/>
        <v/>
      </c>
      <c r="E66" s="378" t="str">
        <f t="shared" si="31"/>
        <v/>
      </c>
      <c r="F66" s="379" t="str">
        <f t="shared" ref="F66:F71" si="33">IF(D66="","",L65)</f>
        <v/>
      </c>
      <c r="G66" s="379" t="str">
        <f t="shared" ref="G66:G71" si="34">IF(D66="","",IF(E66&gt;DATE(YEAR($B$3)+$B$10,MONTH($B$3),DAY($B$3)),IF(F66&lt;$B$16,F66,$B$16),IF(F66&lt;$B$15,F66,$B$15)))</f>
        <v/>
      </c>
      <c r="H66" s="379" t="str">
        <f t="shared" ref="H66:H71" si="35">IF(D66="","",IF(F66&lt;G66,0,$B$12))</f>
        <v/>
      </c>
      <c r="I66" s="379" t="str">
        <f t="shared" ref="I66:I71" si="36">IF(D66="","",IF(E66&gt;DATE(YEAR($B$3)+$B$10,MONTH($B$3),DAY($B$3)),IF(F66&lt;$B$16,F66,G66+H66),IF(F66&lt;$B$15,F66,G66+H66)))</f>
        <v/>
      </c>
      <c r="J66" s="379" t="str">
        <f t="shared" ref="J66:J71" si="37">IF(D66="","",I66-K66)</f>
        <v/>
      </c>
      <c r="K66" s="379" t="str">
        <f t="shared" si="32"/>
        <v/>
      </c>
      <c r="L66" s="379" t="str">
        <f t="shared" ref="L66:L71" si="38">IF(D66="","",IF(J66+K66&gt;G66,F66-J66,IF(J66+K66=F66,F66-J66-K66,F66-J66)))</f>
        <v/>
      </c>
    </row>
    <row r="67" spans="4:12" x14ac:dyDescent="0.2">
      <c r="D67" s="357" t="str">
        <f t="shared" si="9"/>
        <v/>
      </c>
      <c r="E67" s="378" t="str">
        <f t="shared" si="31"/>
        <v/>
      </c>
      <c r="F67" s="379" t="str">
        <f t="shared" si="33"/>
        <v/>
      </c>
      <c r="G67" s="379" t="str">
        <f t="shared" si="34"/>
        <v/>
      </c>
      <c r="H67" s="379" t="str">
        <f t="shared" si="35"/>
        <v/>
      </c>
      <c r="I67" s="379" t="str">
        <f t="shared" si="36"/>
        <v/>
      </c>
      <c r="J67" s="379" t="str">
        <f t="shared" si="37"/>
        <v/>
      </c>
      <c r="K67" s="379" t="str">
        <f t="shared" si="32"/>
        <v/>
      </c>
      <c r="L67" s="379" t="str">
        <f t="shared" si="38"/>
        <v/>
      </c>
    </row>
    <row r="68" spans="4:12" x14ac:dyDescent="0.2">
      <c r="D68" s="357" t="str">
        <f t="shared" si="9"/>
        <v/>
      </c>
      <c r="E68" s="378" t="str">
        <f t="shared" si="31"/>
        <v/>
      </c>
      <c r="F68" s="379" t="str">
        <f t="shared" si="33"/>
        <v/>
      </c>
      <c r="G68" s="379" t="str">
        <f t="shared" si="34"/>
        <v/>
      </c>
      <c r="H68" s="379" t="str">
        <f t="shared" si="35"/>
        <v/>
      </c>
      <c r="I68" s="379" t="str">
        <f t="shared" si="36"/>
        <v/>
      </c>
      <c r="J68" s="379" t="str">
        <f t="shared" si="37"/>
        <v/>
      </c>
      <c r="K68" s="379" t="str">
        <f t="shared" si="32"/>
        <v/>
      </c>
      <c r="L68" s="379" t="str">
        <f t="shared" si="38"/>
        <v/>
      </c>
    </row>
    <row r="69" spans="4:12" x14ac:dyDescent="0.2">
      <c r="D69" s="357" t="str">
        <f t="shared" si="9"/>
        <v/>
      </c>
      <c r="E69" s="378" t="str">
        <f t="shared" si="31"/>
        <v/>
      </c>
      <c r="F69" s="379" t="str">
        <f t="shared" si="33"/>
        <v/>
      </c>
      <c r="G69" s="379" t="str">
        <f t="shared" si="34"/>
        <v/>
      </c>
      <c r="H69" s="379" t="str">
        <f t="shared" si="35"/>
        <v/>
      </c>
      <c r="I69" s="379" t="str">
        <f t="shared" si="36"/>
        <v/>
      </c>
      <c r="J69" s="379" t="str">
        <f t="shared" si="37"/>
        <v/>
      </c>
      <c r="K69" s="379" t="str">
        <f t="shared" si="32"/>
        <v/>
      </c>
      <c r="L69" s="379" t="str">
        <f t="shared" si="38"/>
        <v/>
      </c>
    </row>
    <row r="70" spans="4:12" x14ac:dyDescent="0.2">
      <c r="D70" s="357" t="str">
        <f t="shared" si="9"/>
        <v/>
      </c>
      <c r="E70" s="378" t="str">
        <f t="shared" si="31"/>
        <v/>
      </c>
      <c r="F70" s="379" t="str">
        <f t="shared" si="33"/>
        <v/>
      </c>
      <c r="G70" s="379" t="str">
        <f t="shared" si="34"/>
        <v/>
      </c>
      <c r="H70" s="379" t="str">
        <f t="shared" si="35"/>
        <v/>
      </c>
      <c r="I70" s="379" t="str">
        <f t="shared" si="36"/>
        <v/>
      </c>
      <c r="J70" s="379" t="str">
        <f t="shared" si="37"/>
        <v/>
      </c>
      <c r="K70" s="379" t="str">
        <f t="shared" si="32"/>
        <v/>
      </c>
      <c r="L70" s="379" t="str">
        <f t="shared" si="38"/>
        <v/>
      </c>
    </row>
    <row r="71" spans="4:12" x14ac:dyDescent="0.2">
      <c r="D71" s="357" t="str">
        <f t="shared" si="9"/>
        <v/>
      </c>
      <c r="E71" s="378" t="str">
        <f t="shared" si="31"/>
        <v/>
      </c>
      <c r="F71" s="379" t="str">
        <f t="shared" si="33"/>
        <v/>
      </c>
      <c r="G71" s="379" t="str">
        <f t="shared" si="34"/>
        <v/>
      </c>
      <c r="H71" s="379" t="str">
        <f t="shared" si="35"/>
        <v/>
      </c>
      <c r="I71" s="379" t="str">
        <f t="shared" si="36"/>
        <v/>
      </c>
      <c r="J71" s="379" t="str">
        <f t="shared" si="37"/>
        <v/>
      </c>
      <c r="K71" s="379" t="str">
        <f t="shared" si="32"/>
        <v/>
      </c>
      <c r="L71" s="379" t="str">
        <f t="shared" si="38"/>
        <v/>
      </c>
    </row>
    <row r="72" spans="4:12" x14ac:dyDescent="0.2">
      <c r="D72" s="357" t="str">
        <f t="shared" si="9"/>
        <v/>
      </c>
      <c r="E72" s="378" t="str">
        <f t="shared" si="31"/>
        <v/>
      </c>
      <c r="F72" s="379" t="str">
        <f t="shared" ref="F72:F79" si="39">IF(D72="","",L71)</f>
        <v/>
      </c>
      <c r="G72" s="379" t="str">
        <f t="shared" ref="G72:G79" si="40">IF(D72="","",IF(E72&gt;DATE(YEAR($B$3)+$B$10,MONTH($B$3),DAY($B$3)),IF(F72&lt;$B$16,F72,$B$16),IF(F72&lt;$B$15,F72,$B$15)))</f>
        <v/>
      </c>
      <c r="H72" s="379" t="str">
        <f t="shared" ref="H72:H79" si="41">IF(D72="","",IF(F72&lt;G72,0,$B$12))</f>
        <v/>
      </c>
      <c r="I72" s="379" t="str">
        <f t="shared" ref="I72:I79" si="42">IF(D72="","",IF(E72&gt;DATE(YEAR($B$3)+$B$10,MONTH($B$3),DAY($B$3)),IF(F72&lt;$B$16,F72,G72+H72),IF(F72&lt;$B$15,F72,G72+H72)))</f>
        <v/>
      </c>
      <c r="J72" s="379" t="str">
        <f t="shared" ref="J72:J79" si="43">IF(D72="","",I72-K72)</f>
        <v/>
      </c>
      <c r="K72" s="379" t="str">
        <f t="shared" si="32"/>
        <v/>
      </c>
      <c r="L72" s="379" t="str">
        <f t="shared" ref="L72:L79" si="44">IF(D72="","",IF(J72+K72&gt;G72,F72-J72,IF(J72+K72=F72,F72-J72-K72,F72-J72)))</f>
        <v/>
      </c>
    </row>
    <row r="73" spans="4:12" x14ac:dyDescent="0.2">
      <c r="E73" s="378" t="str">
        <f t="shared" ref="E73:E79" si="45">IF(D73="","",DATE(YEAR($B$3),MONTH($B$3)+($D73)*12/$B$11,DAY($B$3)))</f>
        <v/>
      </c>
      <c r="F73" s="379" t="str">
        <f t="shared" si="39"/>
        <v/>
      </c>
      <c r="G73" s="379" t="str">
        <f t="shared" si="40"/>
        <v/>
      </c>
      <c r="H73" s="379" t="str">
        <f t="shared" si="41"/>
        <v/>
      </c>
      <c r="I73" s="379" t="str">
        <f t="shared" si="42"/>
        <v/>
      </c>
      <c r="J73" s="379" t="str">
        <f t="shared" si="43"/>
        <v/>
      </c>
      <c r="K73" s="379" t="str">
        <f t="shared" ref="K73:K79" si="46">IF(D73="","",$F73*($B$8/$B$11))</f>
        <v/>
      </c>
      <c r="L73" s="379" t="str">
        <f t="shared" si="44"/>
        <v/>
      </c>
    </row>
    <row r="74" spans="4:12" x14ac:dyDescent="0.2">
      <c r="E74" s="378" t="str">
        <f t="shared" si="45"/>
        <v/>
      </c>
      <c r="F74" s="379" t="str">
        <f t="shared" si="39"/>
        <v/>
      </c>
      <c r="G74" s="379" t="str">
        <f t="shared" si="40"/>
        <v/>
      </c>
      <c r="H74" s="379" t="str">
        <f t="shared" si="41"/>
        <v/>
      </c>
      <c r="I74" s="379" t="str">
        <f t="shared" si="42"/>
        <v/>
      </c>
      <c r="J74" s="379" t="str">
        <f t="shared" si="43"/>
        <v/>
      </c>
      <c r="K74" s="379" t="str">
        <f t="shared" si="46"/>
        <v/>
      </c>
      <c r="L74" s="379" t="str">
        <f t="shared" si="44"/>
        <v/>
      </c>
    </row>
    <row r="75" spans="4:12" x14ac:dyDescent="0.2">
      <c r="E75" s="378" t="str">
        <f t="shared" si="45"/>
        <v/>
      </c>
      <c r="F75" s="379" t="str">
        <f t="shared" si="39"/>
        <v/>
      </c>
      <c r="G75" s="379" t="str">
        <f t="shared" si="40"/>
        <v/>
      </c>
      <c r="H75" s="379" t="str">
        <f t="shared" si="41"/>
        <v/>
      </c>
      <c r="I75" s="379" t="str">
        <f t="shared" si="42"/>
        <v/>
      </c>
      <c r="J75" s="379" t="str">
        <f t="shared" si="43"/>
        <v/>
      </c>
      <c r="K75" s="379" t="str">
        <f t="shared" si="46"/>
        <v/>
      </c>
      <c r="L75" s="379" t="str">
        <f t="shared" si="44"/>
        <v/>
      </c>
    </row>
    <row r="76" spans="4:12" x14ac:dyDescent="0.2">
      <c r="E76" s="378" t="str">
        <f t="shared" si="45"/>
        <v/>
      </c>
      <c r="F76" s="379" t="str">
        <f t="shared" si="39"/>
        <v/>
      </c>
      <c r="G76" s="379" t="str">
        <f t="shared" si="40"/>
        <v/>
      </c>
      <c r="H76" s="379" t="str">
        <f t="shared" si="41"/>
        <v/>
      </c>
      <c r="I76" s="379" t="str">
        <f t="shared" si="42"/>
        <v/>
      </c>
      <c r="J76" s="379" t="str">
        <f t="shared" si="43"/>
        <v/>
      </c>
      <c r="K76" s="379" t="str">
        <f t="shared" si="46"/>
        <v/>
      </c>
      <c r="L76" s="379" t="str">
        <f t="shared" si="44"/>
        <v/>
      </c>
    </row>
    <row r="77" spans="4:12" x14ac:dyDescent="0.2">
      <c r="E77" s="378" t="str">
        <f t="shared" si="45"/>
        <v/>
      </c>
      <c r="F77" s="379" t="str">
        <f t="shared" si="39"/>
        <v/>
      </c>
      <c r="G77" s="379" t="str">
        <f t="shared" si="40"/>
        <v/>
      </c>
      <c r="H77" s="379" t="str">
        <f t="shared" si="41"/>
        <v/>
      </c>
      <c r="I77" s="379" t="str">
        <f t="shared" si="42"/>
        <v/>
      </c>
      <c r="J77" s="379" t="str">
        <f t="shared" si="43"/>
        <v/>
      </c>
      <c r="K77" s="379" t="str">
        <f t="shared" si="46"/>
        <v/>
      </c>
      <c r="L77" s="379" t="str">
        <f t="shared" si="44"/>
        <v/>
      </c>
    </row>
    <row r="78" spans="4:12" x14ac:dyDescent="0.2">
      <c r="E78" s="378" t="str">
        <f t="shared" si="45"/>
        <v/>
      </c>
      <c r="F78" s="379" t="str">
        <f t="shared" si="39"/>
        <v/>
      </c>
      <c r="G78" s="379" t="str">
        <f t="shared" si="40"/>
        <v/>
      </c>
      <c r="H78" s="379" t="str">
        <f t="shared" si="41"/>
        <v/>
      </c>
      <c r="I78" s="379" t="str">
        <f t="shared" si="42"/>
        <v/>
      </c>
      <c r="J78" s="379" t="str">
        <f t="shared" si="43"/>
        <v/>
      </c>
      <c r="K78" s="379" t="str">
        <f t="shared" si="46"/>
        <v/>
      </c>
      <c r="L78" s="379" t="str">
        <f t="shared" si="44"/>
        <v/>
      </c>
    </row>
    <row r="79" spans="4:12" x14ac:dyDescent="0.2">
      <c r="E79" s="378" t="str">
        <f t="shared" si="45"/>
        <v/>
      </c>
      <c r="F79" s="379" t="str">
        <f t="shared" si="39"/>
        <v/>
      </c>
      <c r="G79" s="379" t="str">
        <f t="shared" si="40"/>
        <v/>
      </c>
      <c r="H79" s="379" t="str">
        <f t="shared" si="41"/>
        <v/>
      </c>
      <c r="I79" s="379" t="str">
        <f t="shared" si="42"/>
        <v/>
      </c>
      <c r="J79" s="379" t="str">
        <f t="shared" si="43"/>
        <v/>
      </c>
      <c r="K79" s="379" t="str">
        <f t="shared" si="46"/>
        <v/>
      </c>
      <c r="L79" s="379" t="str">
        <f t="shared" si="44"/>
        <v/>
      </c>
    </row>
  </sheetData>
  <protectedRanges>
    <protectedRange password="C269" sqref="B2" name="Inputs_2"/>
  </protectedRanges>
  <mergeCells count="1">
    <mergeCell ref="D1:L1"/>
  </mergeCells>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K72"/>
  <sheetViews>
    <sheetView zoomScale="90" zoomScaleNormal="90" workbookViewId="0">
      <selection activeCell="I37" sqref="I37"/>
    </sheetView>
  </sheetViews>
  <sheetFormatPr defaultColWidth="9.140625" defaultRowHeight="12" x14ac:dyDescent="0.2"/>
  <cols>
    <col min="1" max="1" width="56.42578125" style="357" customWidth="1"/>
    <col min="2" max="2" width="12.85546875" style="357" customWidth="1"/>
    <col min="3" max="3" width="3.42578125" style="357" customWidth="1"/>
    <col min="4" max="4" width="7.5703125" style="357" bestFit="1" customWidth="1"/>
    <col min="5" max="5" width="11.7109375" style="357" customWidth="1"/>
    <col min="6" max="6" width="14.140625" style="357" customWidth="1"/>
    <col min="7" max="7" width="13.140625" style="357" customWidth="1"/>
    <col min="8" max="8" width="9.85546875" style="357" customWidth="1"/>
    <col min="9" max="9" width="12.7109375" style="357" customWidth="1"/>
    <col min="10" max="10" width="12.5703125" style="357" bestFit="1" customWidth="1"/>
    <col min="11" max="11" width="11.5703125" style="357" bestFit="1" customWidth="1"/>
    <col min="12" max="12" width="13.42578125" style="357" customWidth="1"/>
    <col min="13" max="16" width="9.140625" style="357"/>
    <col min="17" max="17" width="13.5703125" style="357" customWidth="1"/>
    <col min="18" max="18" width="10.7109375" style="357" bestFit="1" customWidth="1"/>
    <col min="19" max="16384" width="9.140625" style="357"/>
  </cols>
  <sheetData>
    <row r="1" spans="1:37" ht="20.25" customHeight="1" x14ac:dyDescent="0.2">
      <c r="A1" s="374"/>
      <c r="B1" s="374"/>
      <c r="C1" s="375"/>
      <c r="D1" s="1349" t="s">
        <v>411</v>
      </c>
      <c r="E1" s="1349"/>
      <c r="F1" s="1349"/>
      <c r="G1" s="1349"/>
      <c r="H1" s="1349"/>
      <c r="I1" s="1349"/>
      <c r="J1" s="1349"/>
      <c r="K1" s="1349"/>
      <c r="L1" s="1349"/>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row>
    <row r="2" spans="1:37" ht="24" x14ac:dyDescent="0.2">
      <c r="A2" s="374"/>
      <c r="B2" s="374"/>
      <c r="C2" s="376"/>
      <c r="D2" s="394" t="s">
        <v>412</v>
      </c>
      <c r="E2" s="394" t="s">
        <v>413</v>
      </c>
      <c r="F2" s="394" t="s">
        <v>63</v>
      </c>
      <c r="G2" s="394" t="s">
        <v>414</v>
      </c>
      <c r="H2" s="394" t="s">
        <v>415</v>
      </c>
      <c r="I2" s="394" t="s">
        <v>416</v>
      </c>
      <c r="J2" s="394" t="s">
        <v>399</v>
      </c>
      <c r="K2" s="394" t="s">
        <v>395</v>
      </c>
      <c r="L2" s="394" t="s">
        <v>65</v>
      </c>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row>
    <row r="3" spans="1:37" x14ac:dyDescent="0.2">
      <c r="A3" s="374" t="s">
        <v>186</v>
      </c>
      <c r="B3" s="377">
        <v>41228</v>
      </c>
      <c r="D3" s="357">
        <f>IF($B$5&lt;&gt;0,1,"")</f>
        <v>1</v>
      </c>
      <c r="E3" s="378">
        <f>IF($B$5&lt;&gt;0,DATE(YEAR($B$3),MONTH($B$3)+($D3)*12/$B$11,DAY($B$3)),"")</f>
        <v>41258</v>
      </c>
      <c r="F3" s="379">
        <f>IF($B$7&lt;&gt;0,$B$7,"")</f>
        <v>2500000</v>
      </c>
      <c r="G3" s="379">
        <f>IF($B$7&lt;&gt;0,IF(E3&gt;DATE(YEAR($B$3)+$B$10,MONTH($B$3),DAY($B$3)),$B$16,$B$15),"")</f>
        <v>110801.52563189223</v>
      </c>
      <c r="H3" s="380">
        <f>IF($B$7&lt;&gt;0,$B$12,"")</f>
        <v>0</v>
      </c>
      <c r="I3" s="379">
        <f>IF($B$7&lt;&gt;0,$G3+$H3,"")</f>
        <v>110801.52563189223</v>
      </c>
      <c r="J3" s="379">
        <f>IF($B$7&lt;&gt;0,I3-K3,"")</f>
        <v>98301.525631892233</v>
      </c>
      <c r="K3" s="379">
        <f>IF($B$7&lt;&gt;0,$F3*($B$8/$B$11),"")</f>
        <v>12500</v>
      </c>
      <c r="L3" s="379">
        <f>IF($B$7&lt;&gt;0,F3-J3,"")</f>
        <v>2401698.474368108</v>
      </c>
      <c r="Q3" s="414">
        <f>K3+Debt!K3</f>
        <v>106458.33333333333</v>
      </c>
    </row>
    <row r="4" spans="1:37" x14ac:dyDescent="0.2">
      <c r="A4" s="381" t="s">
        <v>391</v>
      </c>
      <c r="B4" s="382" t="s">
        <v>392</v>
      </c>
      <c r="D4" s="357">
        <f t="shared" ref="D4:D35" si="0">IF($L3&lt;=0.01,"",IF(L3="","",IF(L3&gt;0,(D3+1),"")))</f>
        <v>2</v>
      </c>
      <c r="E4" s="378">
        <f t="shared" ref="E4:E50" si="1">IF(D4="","",DATE(YEAR($B$3),MONTH($B$3)+($D4)*12/$B$11,DAY($B$3)))</f>
        <v>41289</v>
      </c>
      <c r="F4" s="379">
        <f>IF(D4="","",L3)</f>
        <v>2401698.474368108</v>
      </c>
      <c r="G4" s="379">
        <f>IF(D4="","",IF(E4&gt;DATE(YEAR($B$3)+$B$10,MONTH($B$3),DAY($B$3)),IF(F4&lt;$B$16,F4,$B$16),IF(F4&lt;$B$15,F4,$B$15)))</f>
        <v>110801.52563189223</v>
      </c>
      <c r="H4" s="379">
        <f>IF(D4="","",IF(F4&lt;G4,0,$B$12))</f>
        <v>0</v>
      </c>
      <c r="I4" s="379">
        <f>IF(D4="","",IF(E4&gt;DATE(YEAR($B$3)+$B$10,MONTH($B$3),DAY($B$3)),IF(F4&lt;$B$16,F4,G4+H4),IF(F4&lt;$B$15,F4,G4+H4)))</f>
        <v>110801.52563189223</v>
      </c>
      <c r="J4" s="379">
        <f>IF(D4="","",I4-K4)</f>
        <v>98793.033260051685</v>
      </c>
      <c r="K4" s="379">
        <f t="shared" ref="K4:K50" si="2">IF(D4="","",$F4*($B$8/$B$11))</f>
        <v>12008.492371840541</v>
      </c>
      <c r="L4" s="379">
        <f>IF(D4="","",IF(J4+K4&gt;G4,F4-J4,IF(J4+K4=F4,F4-J4-K4,F4-J4)))</f>
        <v>2302905.4411080563</v>
      </c>
    </row>
    <row r="5" spans="1:37" x14ac:dyDescent="0.2">
      <c r="A5" s="383" t="s">
        <v>397</v>
      </c>
      <c r="B5" s="384">
        <v>2500000</v>
      </c>
      <c r="D5" s="357">
        <f t="shared" si="0"/>
        <v>3</v>
      </c>
      <c r="E5" s="378">
        <f t="shared" si="1"/>
        <v>41320</v>
      </c>
      <c r="F5" s="379">
        <f t="shared" ref="F5:F40" si="3">IF(D5="","",L4)</f>
        <v>2302905.4411080563</v>
      </c>
      <c r="G5" s="379">
        <f t="shared" ref="G5:G40" si="4">IF(D5="","",IF(E5&gt;DATE(YEAR($B$3)+$B$10,MONTH($B$3),DAY($B$3)),IF(F5&lt;$B$16,F5,$B$16),IF(F5&lt;$B$15,F5,$B$15)))</f>
        <v>110801.52563189223</v>
      </c>
      <c r="H5" s="379">
        <f t="shared" ref="H5:H40" si="5">IF(D5="","",IF(F5&lt;G5,0,$B$12))</f>
        <v>0</v>
      </c>
      <c r="I5" s="379">
        <f t="shared" ref="I5:I40" si="6">IF(D5="","",IF(E5&gt;DATE(YEAR($B$3)+$B$10,MONTH($B$3),DAY($B$3)),IF(F5&lt;$B$16,F5,G5+H5),IF(F5&lt;$B$15,F5,G5+H5)))</f>
        <v>110801.52563189223</v>
      </c>
      <c r="J5" s="379">
        <f t="shared" ref="J5:J40" si="7">IF(D5="","",I5-K5)</f>
        <v>99286.998426351958</v>
      </c>
      <c r="K5" s="379">
        <f t="shared" si="2"/>
        <v>11514.527205540282</v>
      </c>
      <c r="L5" s="379">
        <f t="shared" ref="L5:L40" si="8">IF(D5="","",IF(J5+K5&gt;G5,F5-J5,IF(J5+K5=F5,F5-J5-K5,F5-J5)))</f>
        <v>2203618.4426817042</v>
      </c>
    </row>
    <row r="6" spans="1:37" x14ac:dyDescent="0.2">
      <c r="A6" s="383" t="s">
        <v>396</v>
      </c>
      <c r="B6" s="384">
        <v>0</v>
      </c>
      <c r="D6" s="357">
        <f t="shared" si="0"/>
        <v>4</v>
      </c>
      <c r="E6" s="378">
        <f t="shared" si="1"/>
        <v>41348</v>
      </c>
      <c r="F6" s="379">
        <f t="shared" si="3"/>
        <v>2203618.4426817042</v>
      </c>
      <c r="G6" s="379">
        <f t="shared" si="4"/>
        <v>110801.52563189223</v>
      </c>
      <c r="H6" s="379">
        <f t="shared" si="5"/>
        <v>0</v>
      </c>
      <c r="I6" s="379">
        <f t="shared" si="6"/>
        <v>110801.52563189223</v>
      </c>
      <c r="J6" s="379">
        <f t="shared" si="7"/>
        <v>99783.433418483706</v>
      </c>
      <c r="K6" s="379">
        <f t="shared" si="2"/>
        <v>11018.092213408521</v>
      </c>
      <c r="L6" s="379">
        <f t="shared" si="8"/>
        <v>2103835.0092632202</v>
      </c>
    </row>
    <row r="7" spans="1:37" ht="12.75" thickBot="1" x14ac:dyDescent="0.25">
      <c r="A7" s="383" t="s">
        <v>417</v>
      </c>
      <c r="B7" s="385">
        <f>SUM(B5:B6)</f>
        <v>2500000</v>
      </c>
      <c r="D7" s="357">
        <f t="shared" si="0"/>
        <v>5</v>
      </c>
      <c r="E7" s="378">
        <f t="shared" si="1"/>
        <v>41379</v>
      </c>
      <c r="F7" s="379">
        <f t="shared" si="3"/>
        <v>2103835.0092632202</v>
      </c>
      <c r="G7" s="379">
        <f t="shared" si="4"/>
        <v>110801.52563189223</v>
      </c>
      <c r="H7" s="379">
        <f t="shared" si="5"/>
        <v>0</v>
      </c>
      <c r="I7" s="379">
        <f t="shared" si="6"/>
        <v>110801.52563189223</v>
      </c>
      <c r="J7" s="379">
        <f t="shared" si="7"/>
        <v>100282.35058557613</v>
      </c>
      <c r="K7" s="379">
        <f t="shared" si="2"/>
        <v>10519.175046316101</v>
      </c>
      <c r="L7" s="379">
        <f t="shared" si="8"/>
        <v>2003552.6586776441</v>
      </c>
    </row>
    <row r="8" spans="1:37" x14ac:dyDescent="0.2">
      <c r="A8" s="383" t="s">
        <v>395</v>
      </c>
      <c r="B8" s="386">
        <v>0.06</v>
      </c>
      <c r="D8" s="357">
        <f t="shared" si="0"/>
        <v>6</v>
      </c>
      <c r="E8" s="378">
        <f t="shared" si="1"/>
        <v>41409</v>
      </c>
      <c r="F8" s="379">
        <f t="shared" si="3"/>
        <v>2003552.6586776441</v>
      </c>
      <c r="G8" s="379">
        <f t="shared" si="4"/>
        <v>110801.52563189223</v>
      </c>
      <c r="H8" s="379">
        <f t="shared" si="5"/>
        <v>0</v>
      </c>
      <c r="I8" s="379">
        <f t="shared" si="6"/>
        <v>110801.52563189223</v>
      </c>
      <c r="J8" s="379">
        <f t="shared" si="7"/>
        <v>100783.76233850401</v>
      </c>
      <c r="K8" s="379">
        <f t="shared" si="2"/>
        <v>10017.763293388221</v>
      </c>
      <c r="L8" s="379">
        <f t="shared" si="8"/>
        <v>1902768.8963391401</v>
      </c>
    </row>
    <row r="9" spans="1:37" x14ac:dyDescent="0.2">
      <c r="A9" s="383" t="s">
        <v>401</v>
      </c>
      <c r="B9" s="387">
        <v>2</v>
      </c>
      <c r="D9" s="357">
        <f t="shared" si="0"/>
        <v>7</v>
      </c>
      <c r="E9" s="378">
        <f t="shared" si="1"/>
        <v>41440</v>
      </c>
      <c r="F9" s="379">
        <f t="shared" si="3"/>
        <v>1902768.8963391401</v>
      </c>
      <c r="G9" s="379">
        <f t="shared" si="4"/>
        <v>110801.52563189223</v>
      </c>
      <c r="H9" s="379">
        <f t="shared" si="5"/>
        <v>0</v>
      </c>
      <c r="I9" s="379">
        <f t="shared" si="6"/>
        <v>110801.52563189223</v>
      </c>
      <c r="J9" s="379">
        <f t="shared" si="7"/>
        <v>101287.68115019653</v>
      </c>
      <c r="K9" s="379">
        <f t="shared" si="2"/>
        <v>9513.8444816957017</v>
      </c>
      <c r="L9" s="379">
        <f t="shared" si="8"/>
        <v>1801481.2151889435</v>
      </c>
    </row>
    <row r="10" spans="1:37" x14ac:dyDescent="0.2">
      <c r="A10" s="383" t="s">
        <v>400</v>
      </c>
      <c r="B10" s="387">
        <v>0</v>
      </c>
      <c r="D10" s="357">
        <f t="shared" si="0"/>
        <v>8</v>
      </c>
      <c r="E10" s="378">
        <f t="shared" si="1"/>
        <v>41470</v>
      </c>
      <c r="F10" s="379">
        <f t="shared" si="3"/>
        <v>1801481.2151889435</v>
      </c>
      <c r="G10" s="379">
        <f t="shared" si="4"/>
        <v>110801.52563189223</v>
      </c>
      <c r="H10" s="379">
        <f t="shared" si="5"/>
        <v>0</v>
      </c>
      <c r="I10" s="379">
        <f t="shared" si="6"/>
        <v>110801.52563189223</v>
      </c>
      <c r="J10" s="379">
        <f t="shared" si="7"/>
        <v>101794.11955594752</v>
      </c>
      <c r="K10" s="379">
        <f t="shared" si="2"/>
        <v>9007.4060759447184</v>
      </c>
      <c r="L10" s="379">
        <f t="shared" si="8"/>
        <v>1699687.0956329959</v>
      </c>
    </row>
    <row r="11" spans="1:37" x14ac:dyDescent="0.2">
      <c r="A11" s="383" t="s">
        <v>402</v>
      </c>
      <c r="B11" s="387">
        <v>12</v>
      </c>
      <c r="D11" s="357">
        <f t="shared" si="0"/>
        <v>9</v>
      </c>
      <c r="E11" s="378">
        <f t="shared" si="1"/>
        <v>41501</v>
      </c>
      <c r="F11" s="379">
        <f t="shared" si="3"/>
        <v>1699687.0956329959</v>
      </c>
      <c r="G11" s="379">
        <f t="shared" si="4"/>
        <v>110801.52563189223</v>
      </c>
      <c r="H11" s="379">
        <f t="shared" si="5"/>
        <v>0</v>
      </c>
      <c r="I11" s="379">
        <f t="shared" si="6"/>
        <v>110801.52563189223</v>
      </c>
      <c r="J11" s="379">
        <f t="shared" si="7"/>
        <v>102303.09015372726</v>
      </c>
      <c r="K11" s="379">
        <f t="shared" si="2"/>
        <v>8498.4354781649799</v>
      </c>
      <c r="L11" s="379">
        <f t="shared" si="8"/>
        <v>1597384.0054792687</v>
      </c>
    </row>
    <row r="12" spans="1:37" x14ac:dyDescent="0.2">
      <c r="A12" s="383" t="s">
        <v>418</v>
      </c>
      <c r="B12" s="387">
        <v>0</v>
      </c>
      <c r="D12" s="357">
        <f t="shared" si="0"/>
        <v>10</v>
      </c>
      <c r="E12" s="378">
        <f t="shared" si="1"/>
        <v>41532</v>
      </c>
      <c r="F12" s="379">
        <f t="shared" si="3"/>
        <v>1597384.0054792687</v>
      </c>
      <c r="G12" s="379">
        <f t="shared" si="4"/>
        <v>110801.52563189223</v>
      </c>
      <c r="H12" s="379">
        <f t="shared" si="5"/>
        <v>0</v>
      </c>
      <c r="I12" s="379">
        <f t="shared" si="6"/>
        <v>110801.52563189223</v>
      </c>
      <c r="J12" s="379">
        <f t="shared" si="7"/>
        <v>102814.60560449588</v>
      </c>
      <c r="K12" s="379">
        <f t="shared" si="2"/>
        <v>7986.9200273963443</v>
      </c>
      <c r="L12" s="379">
        <f t="shared" si="8"/>
        <v>1494569.3998747729</v>
      </c>
    </row>
    <row r="13" spans="1:37" x14ac:dyDescent="0.2">
      <c r="A13" s="383" t="s">
        <v>398</v>
      </c>
      <c r="B13" s="384">
        <v>500000</v>
      </c>
      <c r="D13" s="357">
        <f t="shared" si="0"/>
        <v>11</v>
      </c>
      <c r="E13" s="378">
        <f t="shared" si="1"/>
        <v>41562</v>
      </c>
      <c r="F13" s="379">
        <f t="shared" si="3"/>
        <v>1494569.3998747729</v>
      </c>
      <c r="G13" s="379">
        <f t="shared" si="4"/>
        <v>110801.52563189223</v>
      </c>
      <c r="H13" s="379">
        <f t="shared" si="5"/>
        <v>0</v>
      </c>
      <c r="I13" s="379">
        <f t="shared" si="6"/>
        <v>110801.52563189223</v>
      </c>
      <c r="J13" s="379">
        <f t="shared" si="7"/>
        <v>103328.67863251836</v>
      </c>
      <c r="K13" s="379">
        <f t="shared" si="2"/>
        <v>7472.8469993738645</v>
      </c>
      <c r="L13" s="379">
        <f t="shared" si="8"/>
        <v>1391240.7212422546</v>
      </c>
    </row>
    <row r="14" spans="1:37" x14ac:dyDescent="0.2">
      <c r="A14" s="388" t="s">
        <v>403</v>
      </c>
      <c r="B14" s="389"/>
      <c r="D14" s="357">
        <f t="shared" si="0"/>
        <v>12</v>
      </c>
      <c r="E14" s="378">
        <f t="shared" si="1"/>
        <v>41593</v>
      </c>
      <c r="F14" s="379">
        <f t="shared" si="3"/>
        <v>1391240.7212422546</v>
      </c>
      <c r="G14" s="379">
        <f t="shared" si="4"/>
        <v>110801.52563189223</v>
      </c>
      <c r="H14" s="379">
        <f t="shared" si="5"/>
        <v>0</v>
      </c>
      <c r="I14" s="379">
        <f t="shared" si="6"/>
        <v>110801.52563189223</v>
      </c>
      <c r="J14" s="379">
        <f t="shared" si="7"/>
        <v>103845.32202568096</v>
      </c>
      <c r="K14" s="379">
        <f t="shared" si="2"/>
        <v>6956.2036062112729</v>
      </c>
      <c r="L14" s="379">
        <f t="shared" si="8"/>
        <v>1287395.3992165737</v>
      </c>
    </row>
    <row r="15" spans="1:37" x14ac:dyDescent="0.2">
      <c r="A15" s="383" t="s">
        <v>404</v>
      </c>
      <c r="B15" s="391">
        <f>($B$5+$B$6)*($B$8/$B$11)</f>
        <v>12500</v>
      </c>
      <c r="D15" s="357">
        <f t="shared" si="0"/>
        <v>13</v>
      </c>
      <c r="E15" s="378">
        <f t="shared" si="1"/>
        <v>41623</v>
      </c>
      <c r="F15" s="379">
        <f t="shared" si="3"/>
        <v>1287395.3992165737</v>
      </c>
      <c r="G15" s="379">
        <f t="shared" si="4"/>
        <v>110801.52563189223</v>
      </c>
      <c r="H15" s="379">
        <f t="shared" si="5"/>
        <v>0</v>
      </c>
      <c r="I15" s="379">
        <f t="shared" si="6"/>
        <v>110801.52563189223</v>
      </c>
      <c r="J15" s="379">
        <f t="shared" si="7"/>
        <v>104364.54863580936</v>
      </c>
      <c r="K15" s="379">
        <f t="shared" si="2"/>
        <v>6436.9769960828689</v>
      </c>
      <c r="L15" s="379">
        <f t="shared" si="8"/>
        <v>1183030.8505807642</v>
      </c>
    </row>
    <row r="16" spans="1:37" x14ac:dyDescent="0.2">
      <c r="A16" s="383" t="s">
        <v>405</v>
      </c>
      <c r="B16" s="391">
        <f>-PMT(B8/B11,((B9-B10)*B11),(B5+B6))</f>
        <v>110801.52563189223</v>
      </c>
      <c r="D16" s="357">
        <f t="shared" si="0"/>
        <v>14</v>
      </c>
      <c r="E16" s="378">
        <f t="shared" si="1"/>
        <v>41654</v>
      </c>
      <c r="F16" s="379">
        <f t="shared" si="3"/>
        <v>1183030.8505807642</v>
      </c>
      <c r="G16" s="379">
        <f t="shared" si="4"/>
        <v>110801.52563189223</v>
      </c>
      <c r="H16" s="379">
        <f t="shared" si="5"/>
        <v>0</v>
      </c>
      <c r="I16" s="379">
        <f t="shared" si="6"/>
        <v>110801.52563189223</v>
      </c>
      <c r="J16" s="379">
        <f t="shared" si="7"/>
        <v>104886.37137898841</v>
      </c>
      <c r="K16" s="379">
        <f t="shared" si="2"/>
        <v>5915.1542529038215</v>
      </c>
      <c r="L16" s="379">
        <f t="shared" si="8"/>
        <v>1078144.4792017757</v>
      </c>
    </row>
    <row r="17" spans="1:18" x14ac:dyDescent="0.2">
      <c r="A17" s="383" t="s">
        <v>406</v>
      </c>
      <c r="B17" s="389">
        <f>B9*B11</f>
        <v>24</v>
      </c>
      <c r="D17" s="357">
        <f t="shared" si="0"/>
        <v>15</v>
      </c>
      <c r="E17" s="378">
        <f t="shared" si="1"/>
        <v>41685</v>
      </c>
      <c r="F17" s="379">
        <f t="shared" si="3"/>
        <v>1078144.4792017757</v>
      </c>
      <c r="G17" s="379">
        <f t="shared" si="4"/>
        <v>110801.52563189223</v>
      </c>
      <c r="H17" s="379">
        <f t="shared" si="5"/>
        <v>0</v>
      </c>
      <c r="I17" s="379">
        <f t="shared" si="6"/>
        <v>110801.52563189223</v>
      </c>
      <c r="J17" s="379">
        <f t="shared" si="7"/>
        <v>105410.80323588336</v>
      </c>
      <c r="K17" s="379">
        <f t="shared" si="2"/>
        <v>5390.7223960088786</v>
      </c>
      <c r="L17" s="379">
        <f t="shared" si="8"/>
        <v>972733.67596589238</v>
      </c>
    </row>
    <row r="18" spans="1:18" x14ac:dyDescent="0.2">
      <c r="A18" s="383" t="s">
        <v>407</v>
      </c>
      <c r="B18" s="389">
        <f>MAX(D3:D1030)</f>
        <v>24</v>
      </c>
      <c r="D18" s="357">
        <f t="shared" si="0"/>
        <v>16</v>
      </c>
      <c r="E18" s="378">
        <f t="shared" si="1"/>
        <v>41713</v>
      </c>
      <c r="F18" s="379">
        <f t="shared" si="3"/>
        <v>972733.67596589238</v>
      </c>
      <c r="G18" s="379">
        <f t="shared" si="4"/>
        <v>110801.52563189223</v>
      </c>
      <c r="H18" s="379">
        <f t="shared" si="5"/>
        <v>0</v>
      </c>
      <c r="I18" s="379">
        <f t="shared" si="6"/>
        <v>110801.52563189223</v>
      </c>
      <c r="J18" s="379">
        <f t="shared" si="7"/>
        <v>105937.85725206276</v>
      </c>
      <c r="K18" s="379">
        <f t="shared" si="2"/>
        <v>4863.6683798294616</v>
      </c>
      <c r="L18" s="379">
        <f t="shared" si="8"/>
        <v>866795.81871382962</v>
      </c>
    </row>
    <row r="19" spans="1:18" x14ac:dyDescent="0.2">
      <c r="A19" s="383" t="s">
        <v>408</v>
      </c>
      <c r="B19" s="392">
        <f>MAX(E3:E1030)</f>
        <v>41958</v>
      </c>
      <c r="D19" s="357">
        <f t="shared" si="0"/>
        <v>17</v>
      </c>
      <c r="E19" s="378">
        <f t="shared" si="1"/>
        <v>41744</v>
      </c>
      <c r="F19" s="379">
        <f t="shared" si="3"/>
        <v>866795.81871382962</v>
      </c>
      <c r="G19" s="379">
        <f t="shared" si="4"/>
        <v>110801.52563189223</v>
      </c>
      <c r="H19" s="379">
        <f t="shared" si="5"/>
        <v>0</v>
      </c>
      <c r="I19" s="379">
        <f t="shared" si="6"/>
        <v>110801.52563189223</v>
      </c>
      <c r="J19" s="379">
        <f t="shared" si="7"/>
        <v>106467.54653832309</v>
      </c>
      <c r="K19" s="379">
        <f t="shared" si="2"/>
        <v>4333.9790935691481</v>
      </c>
      <c r="L19" s="379">
        <f t="shared" si="8"/>
        <v>760328.27217550657</v>
      </c>
    </row>
    <row r="20" spans="1:18" x14ac:dyDescent="0.2">
      <c r="A20" s="383" t="s">
        <v>409</v>
      </c>
      <c r="B20" s="396">
        <f>SUM(H3:H1030)</f>
        <v>0</v>
      </c>
      <c r="D20" s="357">
        <f t="shared" si="0"/>
        <v>18</v>
      </c>
      <c r="E20" s="378">
        <f t="shared" si="1"/>
        <v>41774</v>
      </c>
      <c r="F20" s="379">
        <f t="shared" si="3"/>
        <v>760328.27217550657</v>
      </c>
      <c r="G20" s="379">
        <f t="shared" si="4"/>
        <v>110801.52563189223</v>
      </c>
      <c r="H20" s="379">
        <f t="shared" si="5"/>
        <v>0</v>
      </c>
      <c r="I20" s="379">
        <f t="shared" si="6"/>
        <v>110801.52563189223</v>
      </c>
      <c r="J20" s="379">
        <f t="shared" si="7"/>
        <v>106999.8842710147</v>
      </c>
      <c r="K20" s="379">
        <f t="shared" si="2"/>
        <v>3801.6413608775329</v>
      </c>
      <c r="L20" s="379">
        <f t="shared" si="8"/>
        <v>653328.38790449186</v>
      </c>
    </row>
    <row r="21" spans="1:18" x14ac:dyDescent="0.2">
      <c r="A21" s="383" t="s">
        <v>410</v>
      </c>
      <c r="B21" s="393">
        <f>SUM(K3:K1030)</f>
        <v>159236.61516541435</v>
      </c>
      <c r="D21" s="357">
        <f t="shared" si="0"/>
        <v>19</v>
      </c>
      <c r="E21" s="378">
        <f t="shared" si="1"/>
        <v>41805</v>
      </c>
      <c r="F21" s="379">
        <f t="shared" si="3"/>
        <v>653328.38790449186</v>
      </c>
      <c r="G21" s="379">
        <f t="shared" si="4"/>
        <v>110801.52563189223</v>
      </c>
      <c r="H21" s="379">
        <f t="shared" si="5"/>
        <v>0</v>
      </c>
      <c r="I21" s="379">
        <f t="shared" si="6"/>
        <v>110801.52563189223</v>
      </c>
      <c r="J21" s="379">
        <f t="shared" si="7"/>
        <v>107534.88369236977</v>
      </c>
      <c r="K21" s="379">
        <f t="shared" si="2"/>
        <v>3266.6419395224593</v>
      </c>
      <c r="L21" s="379">
        <f t="shared" si="8"/>
        <v>545793.50421212206</v>
      </c>
    </row>
    <row r="22" spans="1:18" x14ac:dyDescent="0.2">
      <c r="D22" s="357">
        <f t="shared" si="0"/>
        <v>20</v>
      </c>
      <c r="E22" s="378">
        <f t="shared" si="1"/>
        <v>41835</v>
      </c>
      <c r="F22" s="379">
        <f t="shared" si="3"/>
        <v>545793.50421212206</v>
      </c>
      <c r="G22" s="379">
        <f t="shared" si="4"/>
        <v>110801.52563189223</v>
      </c>
      <c r="H22" s="379">
        <f t="shared" si="5"/>
        <v>0</v>
      </c>
      <c r="I22" s="379">
        <f t="shared" si="6"/>
        <v>110801.52563189223</v>
      </c>
      <c r="J22" s="379">
        <f t="shared" si="7"/>
        <v>108072.55811083163</v>
      </c>
      <c r="K22" s="379">
        <f t="shared" si="2"/>
        <v>2728.9675210606106</v>
      </c>
      <c r="L22" s="379">
        <f t="shared" si="8"/>
        <v>437720.94610129041</v>
      </c>
    </row>
    <row r="23" spans="1:18" x14ac:dyDescent="0.2">
      <c r="D23" s="357">
        <f t="shared" si="0"/>
        <v>21</v>
      </c>
      <c r="E23" s="378">
        <f t="shared" si="1"/>
        <v>41866</v>
      </c>
      <c r="F23" s="379">
        <f t="shared" si="3"/>
        <v>437720.94610129041</v>
      </c>
      <c r="G23" s="379">
        <f t="shared" si="4"/>
        <v>110801.52563189223</v>
      </c>
      <c r="H23" s="379">
        <f t="shared" si="5"/>
        <v>0</v>
      </c>
      <c r="I23" s="379">
        <f t="shared" si="6"/>
        <v>110801.52563189223</v>
      </c>
      <c r="J23" s="379">
        <f t="shared" si="7"/>
        <v>108612.92090138578</v>
      </c>
      <c r="K23" s="379">
        <f t="shared" si="2"/>
        <v>2188.6047305064521</v>
      </c>
      <c r="L23" s="379">
        <f t="shared" si="8"/>
        <v>329108.02519990463</v>
      </c>
    </row>
    <row r="24" spans="1:18" x14ac:dyDescent="0.2">
      <c r="D24" s="357">
        <f t="shared" si="0"/>
        <v>22</v>
      </c>
      <c r="E24" s="378">
        <f t="shared" si="1"/>
        <v>41897</v>
      </c>
      <c r="F24" s="379">
        <f t="shared" si="3"/>
        <v>329108.02519990463</v>
      </c>
      <c r="G24" s="379">
        <f t="shared" si="4"/>
        <v>110801.52563189223</v>
      </c>
      <c r="H24" s="379">
        <f t="shared" si="5"/>
        <v>0</v>
      </c>
      <c r="I24" s="379">
        <f t="shared" si="6"/>
        <v>110801.52563189223</v>
      </c>
      <c r="J24" s="379">
        <f t="shared" si="7"/>
        <v>109155.98550589271</v>
      </c>
      <c r="K24" s="379">
        <f t="shared" si="2"/>
        <v>1645.5401259995233</v>
      </c>
      <c r="L24" s="379">
        <f t="shared" si="8"/>
        <v>219952.03969401191</v>
      </c>
    </row>
    <row r="25" spans="1:18" x14ac:dyDescent="0.2">
      <c r="D25" s="357">
        <f t="shared" si="0"/>
        <v>23</v>
      </c>
      <c r="E25" s="378">
        <f t="shared" si="1"/>
        <v>41927</v>
      </c>
      <c r="F25" s="379">
        <f t="shared" si="3"/>
        <v>219952.03969401191</v>
      </c>
      <c r="G25" s="379">
        <f t="shared" si="4"/>
        <v>110801.52563189223</v>
      </c>
      <c r="H25" s="379">
        <f t="shared" si="5"/>
        <v>0</v>
      </c>
      <c r="I25" s="379">
        <f t="shared" si="6"/>
        <v>110801.52563189223</v>
      </c>
      <c r="J25" s="379">
        <f t="shared" si="7"/>
        <v>109701.76543342217</v>
      </c>
      <c r="K25" s="379">
        <f t="shared" si="2"/>
        <v>1099.7601984700595</v>
      </c>
      <c r="L25" s="379">
        <f t="shared" si="8"/>
        <v>110250.27426058974</v>
      </c>
    </row>
    <row r="26" spans="1:18" x14ac:dyDescent="0.2">
      <c r="D26" s="357">
        <f t="shared" si="0"/>
        <v>24</v>
      </c>
      <c r="E26" s="378">
        <f t="shared" si="1"/>
        <v>41958</v>
      </c>
      <c r="F26" s="379">
        <f t="shared" si="3"/>
        <v>110250.27426058974</v>
      </c>
      <c r="G26" s="379">
        <f t="shared" si="4"/>
        <v>110250.27426058974</v>
      </c>
      <c r="H26" s="379">
        <f t="shared" si="5"/>
        <v>0</v>
      </c>
      <c r="I26" s="379">
        <f t="shared" si="6"/>
        <v>110250.27426058974</v>
      </c>
      <c r="J26" s="379">
        <f t="shared" si="7"/>
        <v>109699.02288928679</v>
      </c>
      <c r="K26" s="379">
        <f t="shared" si="2"/>
        <v>551.25137130294866</v>
      </c>
      <c r="L26" s="379">
        <f t="shared" si="8"/>
        <v>-1.1368683772161603E-12</v>
      </c>
    </row>
    <row r="27" spans="1:18" x14ac:dyDescent="0.2">
      <c r="D27" s="357" t="str">
        <f t="shared" si="0"/>
        <v/>
      </c>
      <c r="E27" s="378" t="str">
        <f t="shared" si="1"/>
        <v/>
      </c>
      <c r="F27" s="379" t="str">
        <f t="shared" si="3"/>
        <v/>
      </c>
      <c r="G27" s="379" t="str">
        <f t="shared" si="4"/>
        <v/>
      </c>
      <c r="H27" s="379" t="str">
        <f t="shared" si="5"/>
        <v/>
      </c>
      <c r="I27" s="379" t="str">
        <f t="shared" si="6"/>
        <v/>
      </c>
      <c r="J27" s="379" t="str">
        <f t="shared" si="7"/>
        <v/>
      </c>
      <c r="K27" s="379" t="str">
        <f t="shared" si="2"/>
        <v/>
      </c>
      <c r="L27" s="379">
        <v>0</v>
      </c>
    </row>
    <row r="28" spans="1:18" x14ac:dyDescent="0.2">
      <c r="D28" s="357" t="str">
        <f t="shared" si="0"/>
        <v/>
      </c>
      <c r="E28" s="378" t="str">
        <f t="shared" si="1"/>
        <v/>
      </c>
      <c r="F28" s="379" t="str">
        <f t="shared" si="3"/>
        <v/>
      </c>
      <c r="G28" s="379" t="str">
        <f t="shared" si="4"/>
        <v/>
      </c>
      <c r="H28" s="379" t="str">
        <f t="shared" si="5"/>
        <v/>
      </c>
      <c r="I28" s="379" t="str">
        <f t="shared" si="6"/>
        <v/>
      </c>
      <c r="J28" s="379" t="str">
        <f t="shared" si="7"/>
        <v/>
      </c>
      <c r="K28" s="379" t="str">
        <f t="shared" si="2"/>
        <v/>
      </c>
      <c r="L28" s="379">
        <v>0</v>
      </c>
    </row>
    <row r="29" spans="1:18" x14ac:dyDescent="0.2">
      <c r="D29" s="357" t="str">
        <f t="shared" si="0"/>
        <v/>
      </c>
      <c r="E29" s="378" t="str">
        <f t="shared" si="1"/>
        <v/>
      </c>
      <c r="F29" s="379" t="str">
        <f t="shared" si="3"/>
        <v/>
      </c>
      <c r="G29" s="379" t="str">
        <f t="shared" si="4"/>
        <v/>
      </c>
      <c r="H29" s="379" t="str">
        <f t="shared" si="5"/>
        <v/>
      </c>
      <c r="I29" s="379" t="str">
        <f t="shared" si="6"/>
        <v/>
      </c>
      <c r="J29" s="379" t="str">
        <f t="shared" si="7"/>
        <v/>
      </c>
      <c r="K29" s="379" t="str">
        <f t="shared" si="2"/>
        <v/>
      </c>
      <c r="L29" s="379">
        <v>0</v>
      </c>
    </row>
    <row r="30" spans="1:18" x14ac:dyDescent="0.2">
      <c r="D30" s="357" t="str">
        <f t="shared" si="0"/>
        <v/>
      </c>
      <c r="E30" s="378" t="str">
        <f t="shared" si="1"/>
        <v/>
      </c>
      <c r="F30" s="379" t="str">
        <f t="shared" si="3"/>
        <v/>
      </c>
      <c r="G30" s="379" t="str">
        <f t="shared" si="4"/>
        <v/>
      </c>
      <c r="H30" s="379" t="str">
        <f t="shared" si="5"/>
        <v/>
      </c>
      <c r="I30" s="379" t="str">
        <f t="shared" si="6"/>
        <v/>
      </c>
      <c r="J30" s="379" t="str">
        <f t="shared" si="7"/>
        <v/>
      </c>
      <c r="K30" s="379" t="str">
        <f t="shared" si="2"/>
        <v/>
      </c>
      <c r="L30" s="379">
        <v>0</v>
      </c>
      <c r="R30" s="414"/>
    </row>
    <row r="31" spans="1:18" x14ac:dyDescent="0.2">
      <c r="D31" s="357" t="str">
        <f t="shared" si="0"/>
        <v/>
      </c>
      <c r="E31" s="378" t="str">
        <f t="shared" si="1"/>
        <v/>
      </c>
      <c r="F31" s="379" t="str">
        <f t="shared" si="3"/>
        <v/>
      </c>
      <c r="G31" s="379" t="str">
        <f t="shared" si="4"/>
        <v/>
      </c>
      <c r="H31" s="379" t="str">
        <f t="shared" si="5"/>
        <v/>
      </c>
      <c r="I31" s="379" t="str">
        <f t="shared" si="6"/>
        <v/>
      </c>
      <c r="J31" s="379" t="str">
        <f t="shared" si="7"/>
        <v/>
      </c>
      <c r="K31" s="379" t="str">
        <f t="shared" si="2"/>
        <v/>
      </c>
      <c r="L31" s="379">
        <v>0</v>
      </c>
    </row>
    <row r="32" spans="1:18" x14ac:dyDescent="0.2">
      <c r="D32" s="357" t="str">
        <f t="shared" si="0"/>
        <v/>
      </c>
      <c r="E32" s="378" t="str">
        <f t="shared" si="1"/>
        <v/>
      </c>
      <c r="F32" s="379" t="str">
        <f t="shared" si="3"/>
        <v/>
      </c>
      <c r="G32" s="379" t="str">
        <f t="shared" si="4"/>
        <v/>
      </c>
      <c r="H32" s="379" t="str">
        <f t="shared" si="5"/>
        <v/>
      </c>
      <c r="I32" s="379" t="str">
        <f t="shared" si="6"/>
        <v/>
      </c>
      <c r="J32" s="379" t="str">
        <f t="shared" si="7"/>
        <v/>
      </c>
      <c r="K32" s="379" t="str">
        <f t="shared" si="2"/>
        <v/>
      </c>
      <c r="L32" s="379">
        <v>0</v>
      </c>
    </row>
    <row r="33" spans="4:12" x14ac:dyDescent="0.2">
      <c r="D33" s="357" t="str">
        <f t="shared" si="0"/>
        <v/>
      </c>
      <c r="E33" s="378" t="str">
        <f t="shared" si="1"/>
        <v/>
      </c>
      <c r="F33" s="379" t="str">
        <f t="shared" si="3"/>
        <v/>
      </c>
      <c r="G33" s="379" t="str">
        <f t="shared" si="4"/>
        <v/>
      </c>
      <c r="H33" s="379" t="str">
        <f t="shared" si="5"/>
        <v/>
      </c>
      <c r="I33" s="379" t="str">
        <f t="shared" si="6"/>
        <v/>
      </c>
      <c r="J33" s="379" t="str">
        <f t="shared" si="7"/>
        <v/>
      </c>
      <c r="K33" s="379" t="str">
        <f t="shared" si="2"/>
        <v/>
      </c>
      <c r="L33" s="379">
        <v>0</v>
      </c>
    </row>
    <row r="34" spans="4:12" x14ac:dyDescent="0.2">
      <c r="D34" s="357" t="str">
        <f t="shared" si="0"/>
        <v/>
      </c>
      <c r="E34" s="378" t="str">
        <f t="shared" si="1"/>
        <v/>
      </c>
      <c r="F34" s="379" t="str">
        <f t="shared" si="3"/>
        <v/>
      </c>
      <c r="G34" s="379" t="str">
        <f t="shared" si="4"/>
        <v/>
      </c>
      <c r="H34" s="379" t="str">
        <f t="shared" si="5"/>
        <v/>
      </c>
      <c r="I34" s="379" t="str">
        <f t="shared" si="6"/>
        <v/>
      </c>
      <c r="J34" s="379" t="str">
        <f t="shared" si="7"/>
        <v/>
      </c>
      <c r="K34" s="379" t="str">
        <f t="shared" si="2"/>
        <v/>
      </c>
      <c r="L34" s="379">
        <v>0</v>
      </c>
    </row>
    <row r="35" spans="4:12" x14ac:dyDescent="0.2">
      <c r="D35" s="357" t="str">
        <f t="shared" si="0"/>
        <v/>
      </c>
      <c r="E35" s="378" t="str">
        <f t="shared" si="1"/>
        <v/>
      </c>
      <c r="F35" s="379" t="str">
        <f t="shared" si="3"/>
        <v/>
      </c>
      <c r="G35" s="379" t="str">
        <f t="shared" si="4"/>
        <v/>
      </c>
      <c r="H35" s="379" t="str">
        <f t="shared" si="5"/>
        <v/>
      </c>
      <c r="I35" s="379" t="str">
        <f t="shared" si="6"/>
        <v/>
      </c>
      <c r="J35" s="379" t="str">
        <f t="shared" si="7"/>
        <v/>
      </c>
      <c r="K35" s="379" t="str">
        <f t="shared" si="2"/>
        <v/>
      </c>
      <c r="L35" s="379">
        <v>0</v>
      </c>
    </row>
    <row r="36" spans="4:12" x14ac:dyDescent="0.2">
      <c r="D36" s="357" t="str">
        <f t="shared" ref="D36:D72" si="9">IF($L35&lt;=0.01,"",IF(L35="","",IF(L35&gt;0,(D35+1),"")))</f>
        <v/>
      </c>
      <c r="E36" s="378" t="str">
        <f t="shared" si="1"/>
        <v/>
      </c>
      <c r="F36" s="379" t="str">
        <f t="shared" si="3"/>
        <v/>
      </c>
      <c r="G36" s="379" t="str">
        <f t="shared" si="4"/>
        <v/>
      </c>
      <c r="H36" s="379" t="str">
        <f t="shared" si="5"/>
        <v/>
      </c>
      <c r="I36" s="379" t="str">
        <f t="shared" si="6"/>
        <v/>
      </c>
      <c r="J36" s="379" t="str">
        <f t="shared" si="7"/>
        <v/>
      </c>
      <c r="K36" s="379" t="str">
        <f t="shared" si="2"/>
        <v/>
      </c>
      <c r="L36" s="379" t="str">
        <f t="shared" si="8"/>
        <v/>
      </c>
    </row>
    <row r="37" spans="4:12" x14ac:dyDescent="0.2">
      <c r="D37" s="357" t="str">
        <f t="shared" si="9"/>
        <v/>
      </c>
      <c r="E37" s="378" t="str">
        <f t="shared" si="1"/>
        <v/>
      </c>
      <c r="F37" s="379" t="str">
        <f t="shared" si="3"/>
        <v/>
      </c>
      <c r="G37" s="379" t="str">
        <f t="shared" si="4"/>
        <v/>
      </c>
      <c r="H37" s="379" t="str">
        <f t="shared" si="5"/>
        <v/>
      </c>
      <c r="I37" s="379" t="str">
        <f t="shared" si="6"/>
        <v/>
      </c>
      <c r="J37" s="379" t="str">
        <f t="shared" si="7"/>
        <v/>
      </c>
      <c r="K37" s="379" t="str">
        <f t="shared" si="2"/>
        <v/>
      </c>
      <c r="L37" s="379" t="str">
        <f t="shared" si="8"/>
        <v/>
      </c>
    </row>
    <row r="38" spans="4:12" x14ac:dyDescent="0.2">
      <c r="D38" s="357" t="str">
        <f t="shared" si="9"/>
        <v/>
      </c>
      <c r="E38" s="378" t="str">
        <f t="shared" si="1"/>
        <v/>
      </c>
      <c r="F38" s="379" t="str">
        <f t="shared" si="3"/>
        <v/>
      </c>
      <c r="G38" s="379" t="str">
        <f t="shared" si="4"/>
        <v/>
      </c>
      <c r="H38" s="379" t="str">
        <f t="shared" si="5"/>
        <v/>
      </c>
      <c r="I38" s="379" t="str">
        <f t="shared" si="6"/>
        <v/>
      </c>
      <c r="J38" s="379" t="str">
        <f t="shared" si="7"/>
        <v/>
      </c>
      <c r="K38" s="379" t="str">
        <f t="shared" si="2"/>
        <v/>
      </c>
      <c r="L38" s="379" t="str">
        <f t="shared" si="8"/>
        <v/>
      </c>
    </row>
    <row r="39" spans="4:12" x14ac:dyDescent="0.2">
      <c r="D39" s="357" t="str">
        <f t="shared" si="9"/>
        <v/>
      </c>
      <c r="E39" s="378" t="str">
        <f t="shared" si="1"/>
        <v/>
      </c>
      <c r="F39" s="379" t="str">
        <f t="shared" si="3"/>
        <v/>
      </c>
      <c r="G39" s="379" t="str">
        <f t="shared" si="4"/>
        <v/>
      </c>
      <c r="H39" s="379" t="str">
        <f t="shared" si="5"/>
        <v/>
      </c>
      <c r="I39" s="379" t="str">
        <f t="shared" si="6"/>
        <v/>
      </c>
      <c r="J39" s="379" t="str">
        <f t="shared" si="7"/>
        <v/>
      </c>
      <c r="K39" s="379" t="str">
        <f t="shared" si="2"/>
        <v/>
      </c>
      <c r="L39" s="379" t="str">
        <f t="shared" si="8"/>
        <v/>
      </c>
    </row>
    <row r="40" spans="4:12" x14ac:dyDescent="0.2">
      <c r="D40" s="357" t="str">
        <f t="shared" si="9"/>
        <v/>
      </c>
      <c r="E40" s="378" t="str">
        <f t="shared" si="1"/>
        <v/>
      </c>
      <c r="F40" s="379" t="str">
        <f t="shared" si="3"/>
        <v/>
      </c>
      <c r="G40" s="379" t="str">
        <f t="shared" si="4"/>
        <v/>
      </c>
      <c r="H40" s="379" t="str">
        <f t="shared" si="5"/>
        <v/>
      </c>
      <c r="I40" s="379" t="str">
        <f t="shared" si="6"/>
        <v/>
      </c>
      <c r="J40" s="379" t="str">
        <f t="shared" si="7"/>
        <v/>
      </c>
      <c r="K40" s="379" t="str">
        <f t="shared" si="2"/>
        <v/>
      </c>
      <c r="L40" s="379" t="str">
        <f t="shared" si="8"/>
        <v/>
      </c>
    </row>
    <row r="41" spans="4:12" x14ac:dyDescent="0.2">
      <c r="D41" s="357" t="str">
        <f t="shared" si="9"/>
        <v/>
      </c>
      <c r="E41" s="378" t="str">
        <f t="shared" si="1"/>
        <v/>
      </c>
      <c r="F41" s="379" t="str">
        <f t="shared" ref="F41:F50" si="10">IF(D41="","",L40)</f>
        <v/>
      </c>
      <c r="G41" s="379" t="str">
        <f t="shared" ref="G41:G50" si="11">IF(D41="","",IF(E41&gt;DATE(YEAR($B$3)+$B$10,MONTH($B$3),DAY($B$3)),IF(F41&lt;$B$16,F41,$B$16),IF(F41&lt;$B$15,F41,$B$15)))</f>
        <v/>
      </c>
      <c r="H41" s="379" t="str">
        <f t="shared" ref="H41:H50" si="12">IF(D41="","",IF(F41&lt;G41,0,$B$12))</f>
        <v/>
      </c>
      <c r="I41" s="379" t="str">
        <f t="shared" ref="I41:I50" si="13">IF(D41="","",IF(E41&gt;DATE(YEAR($B$3)+$B$10,MONTH($B$3),DAY($B$3)),IF(F41&lt;$B$16,F41,G41+H41),IF(F41&lt;$B$15,F41,G41+H41)))</f>
        <v/>
      </c>
      <c r="J41" s="379" t="str">
        <f t="shared" ref="J41:J50" si="14">IF(D41="","",I41-K41)</f>
        <v/>
      </c>
      <c r="K41" s="379" t="str">
        <f t="shared" si="2"/>
        <v/>
      </c>
      <c r="L41" s="379" t="str">
        <f t="shared" ref="L41:L50" si="15">IF(D41="","",IF(J41+K41&gt;G41,F41-J41,IF(J41+K41=F41,F41-J41-K41,F41-J41)))</f>
        <v/>
      </c>
    </row>
    <row r="42" spans="4:12" x14ac:dyDescent="0.2">
      <c r="D42" s="357" t="str">
        <f t="shared" si="9"/>
        <v/>
      </c>
      <c r="E42" s="378" t="str">
        <f t="shared" si="1"/>
        <v/>
      </c>
      <c r="F42" s="379" t="str">
        <f t="shared" si="10"/>
        <v/>
      </c>
      <c r="G42" s="379" t="str">
        <f t="shared" si="11"/>
        <v/>
      </c>
      <c r="H42" s="379" t="str">
        <f t="shared" si="12"/>
        <v/>
      </c>
      <c r="I42" s="379" t="str">
        <f t="shared" si="13"/>
        <v/>
      </c>
      <c r="J42" s="379" t="str">
        <f t="shared" si="14"/>
        <v/>
      </c>
      <c r="K42" s="379" t="str">
        <f t="shared" si="2"/>
        <v/>
      </c>
      <c r="L42" s="379" t="str">
        <f t="shared" si="15"/>
        <v/>
      </c>
    </row>
    <row r="43" spans="4:12" x14ac:dyDescent="0.2">
      <c r="D43" s="357" t="str">
        <f t="shared" si="9"/>
        <v/>
      </c>
      <c r="E43" s="378" t="str">
        <f t="shared" si="1"/>
        <v/>
      </c>
      <c r="F43" s="379" t="str">
        <f t="shared" si="10"/>
        <v/>
      </c>
      <c r="G43" s="379" t="str">
        <f t="shared" si="11"/>
        <v/>
      </c>
      <c r="H43" s="379" t="str">
        <f t="shared" si="12"/>
        <v/>
      </c>
      <c r="I43" s="379" t="str">
        <f t="shared" si="13"/>
        <v/>
      </c>
      <c r="J43" s="379" t="str">
        <f t="shared" si="14"/>
        <v/>
      </c>
      <c r="K43" s="379" t="str">
        <f t="shared" si="2"/>
        <v/>
      </c>
      <c r="L43" s="379" t="str">
        <f t="shared" si="15"/>
        <v/>
      </c>
    </row>
    <row r="44" spans="4:12" x14ac:dyDescent="0.2">
      <c r="D44" s="357" t="str">
        <f t="shared" si="9"/>
        <v/>
      </c>
      <c r="E44" s="378" t="str">
        <f t="shared" si="1"/>
        <v/>
      </c>
      <c r="F44" s="379" t="str">
        <f t="shared" si="10"/>
        <v/>
      </c>
      <c r="G44" s="379" t="str">
        <f t="shared" si="11"/>
        <v/>
      </c>
      <c r="H44" s="379" t="str">
        <f t="shared" si="12"/>
        <v/>
      </c>
      <c r="I44" s="379" t="str">
        <f t="shared" si="13"/>
        <v/>
      </c>
      <c r="J44" s="379" t="str">
        <f t="shared" si="14"/>
        <v/>
      </c>
      <c r="K44" s="379" t="str">
        <f t="shared" si="2"/>
        <v/>
      </c>
      <c r="L44" s="379" t="str">
        <f t="shared" si="15"/>
        <v/>
      </c>
    </row>
    <row r="45" spans="4:12" x14ac:dyDescent="0.2">
      <c r="D45" s="357" t="str">
        <f t="shared" si="9"/>
        <v/>
      </c>
      <c r="E45" s="378" t="str">
        <f t="shared" si="1"/>
        <v/>
      </c>
      <c r="F45" s="379" t="str">
        <f t="shared" si="10"/>
        <v/>
      </c>
      <c r="G45" s="379" t="str">
        <f t="shared" si="11"/>
        <v/>
      </c>
      <c r="H45" s="379" t="str">
        <f t="shared" si="12"/>
        <v/>
      </c>
      <c r="I45" s="379" t="str">
        <f t="shared" si="13"/>
        <v/>
      </c>
      <c r="J45" s="379" t="str">
        <f t="shared" si="14"/>
        <v/>
      </c>
      <c r="K45" s="379" t="str">
        <f t="shared" si="2"/>
        <v/>
      </c>
      <c r="L45" s="379" t="str">
        <f t="shared" si="15"/>
        <v/>
      </c>
    </row>
    <row r="46" spans="4:12" x14ac:dyDescent="0.2">
      <c r="D46" s="357" t="str">
        <f t="shared" si="9"/>
        <v/>
      </c>
      <c r="E46" s="378" t="str">
        <f t="shared" si="1"/>
        <v/>
      </c>
      <c r="F46" s="379" t="str">
        <f t="shared" si="10"/>
        <v/>
      </c>
      <c r="G46" s="379" t="str">
        <f t="shared" si="11"/>
        <v/>
      </c>
      <c r="H46" s="379" t="str">
        <f t="shared" si="12"/>
        <v/>
      </c>
      <c r="I46" s="379" t="str">
        <f t="shared" si="13"/>
        <v/>
      </c>
      <c r="J46" s="379" t="str">
        <f t="shared" si="14"/>
        <v/>
      </c>
      <c r="K46" s="379" t="str">
        <f t="shared" si="2"/>
        <v/>
      </c>
      <c r="L46" s="379" t="str">
        <f t="shared" si="15"/>
        <v/>
      </c>
    </row>
    <row r="47" spans="4:12" x14ac:dyDescent="0.2">
      <c r="D47" s="357" t="str">
        <f t="shared" si="9"/>
        <v/>
      </c>
      <c r="E47" s="378" t="str">
        <f t="shared" si="1"/>
        <v/>
      </c>
      <c r="F47" s="379" t="str">
        <f t="shared" si="10"/>
        <v/>
      </c>
      <c r="G47" s="379" t="str">
        <f t="shared" si="11"/>
        <v/>
      </c>
      <c r="H47" s="379" t="str">
        <f t="shared" si="12"/>
        <v/>
      </c>
      <c r="I47" s="379" t="str">
        <f t="shared" si="13"/>
        <v/>
      </c>
      <c r="J47" s="379" t="str">
        <f t="shared" si="14"/>
        <v/>
      </c>
      <c r="K47" s="379" t="str">
        <f t="shared" si="2"/>
        <v/>
      </c>
      <c r="L47" s="379" t="str">
        <f t="shared" si="15"/>
        <v/>
      </c>
    </row>
    <row r="48" spans="4:12" x14ac:dyDescent="0.2">
      <c r="D48" s="357" t="str">
        <f t="shared" si="9"/>
        <v/>
      </c>
      <c r="E48" s="378" t="str">
        <f t="shared" si="1"/>
        <v/>
      </c>
      <c r="F48" s="379" t="str">
        <f t="shared" si="10"/>
        <v/>
      </c>
      <c r="G48" s="379" t="str">
        <f t="shared" si="11"/>
        <v/>
      </c>
      <c r="H48" s="379" t="str">
        <f t="shared" si="12"/>
        <v/>
      </c>
      <c r="I48" s="379" t="str">
        <f t="shared" si="13"/>
        <v/>
      </c>
      <c r="J48" s="379" t="str">
        <f t="shared" si="14"/>
        <v/>
      </c>
      <c r="K48" s="379" t="str">
        <f t="shared" si="2"/>
        <v/>
      </c>
      <c r="L48" s="379" t="str">
        <f t="shared" si="15"/>
        <v/>
      </c>
    </row>
    <row r="49" spans="4:12" x14ac:dyDescent="0.2">
      <c r="D49" s="357" t="str">
        <f t="shared" si="9"/>
        <v/>
      </c>
      <c r="E49" s="378" t="str">
        <f t="shared" si="1"/>
        <v/>
      </c>
      <c r="F49" s="379" t="str">
        <f t="shared" si="10"/>
        <v/>
      </c>
      <c r="G49" s="379" t="str">
        <f t="shared" si="11"/>
        <v/>
      </c>
      <c r="H49" s="379" t="str">
        <f t="shared" si="12"/>
        <v/>
      </c>
      <c r="I49" s="379" t="str">
        <f t="shared" si="13"/>
        <v/>
      </c>
      <c r="J49" s="379" t="str">
        <f t="shared" si="14"/>
        <v/>
      </c>
      <c r="K49" s="379" t="str">
        <f t="shared" si="2"/>
        <v/>
      </c>
      <c r="L49" s="379" t="str">
        <f t="shared" si="15"/>
        <v/>
      </c>
    </row>
    <row r="50" spans="4:12" x14ac:dyDescent="0.2">
      <c r="D50" s="357" t="str">
        <f t="shared" si="9"/>
        <v/>
      </c>
      <c r="E50" s="378" t="str">
        <f t="shared" si="1"/>
        <v/>
      </c>
      <c r="F50" s="379" t="str">
        <f t="shared" si="10"/>
        <v/>
      </c>
      <c r="G50" s="379" t="str">
        <f t="shared" si="11"/>
        <v/>
      </c>
      <c r="H50" s="379" t="str">
        <f t="shared" si="12"/>
        <v/>
      </c>
      <c r="I50" s="379" t="str">
        <f t="shared" si="13"/>
        <v/>
      </c>
      <c r="J50" s="379" t="str">
        <f t="shared" si="14"/>
        <v/>
      </c>
      <c r="K50" s="379" t="str">
        <f t="shared" si="2"/>
        <v/>
      </c>
      <c r="L50" s="379" t="str">
        <f t="shared" si="15"/>
        <v/>
      </c>
    </row>
    <row r="51" spans="4:12" x14ac:dyDescent="0.2">
      <c r="D51" s="357" t="str">
        <f t="shared" si="9"/>
        <v/>
      </c>
    </row>
    <row r="52" spans="4:12" x14ac:dyDescent="0.2">
      <c r="D52" s="357" t="str">
        <f t="shared" si="9"/>
        <v/>
      </c>
    </row>
    <row r="53" spans="4:12" x14ac:dyDescent="0.2">
      <c r="D53" s="357" t="str">
        <f t="shared" si="9"/>
        <v/>
      </c>
    </row>
    <row r="54" spans="4:12" x14ac:dyDescent="0.2">
      <c r="D54" s="357" t="str">
        <f t="shared" si="9"/>
        <v/>
      </c>
    </row>
    <row r="55" spans="4:12" x14ac:dyDescent="0.2">
      <c r="D55" s="357" t="str">
        <f t="shared" si="9"/>
        <v/>
      </c>
    </row>
    <row r="56" spans="4:12" x14ac:dyDescent="0.2">
      <c r="D56" s="357" t="str">
        <f t="shared" si="9"/>
        <v/>
      </c>
    </row>
    <row r="57" spans="4:12" x14ac:dyDescent="0.2">
      <c r="D57" s="357" t="str">
        <f t="shared" si="9"/>
        <v/>
      </c>
    </row>
    <row r="58" spans="4:12" x14ac:dyDescent="0.2">
      <c r="D58" s="357" t="str">
        <f t="shared" si="9"/>
        <v/>
      </c>
    </row>
    <row r="59" spans="4:12" x14ac:dyDescent="0.2">
      <c r="D59" s="357" t="str">
        <f t="shared" si="9"/>
        <v/>
      </c>
    </row>
    <row r="60" spans="4:12" x14ac:dyDescent="0.2">
      <c r="D60" s="357" t="str">
        <f t="shared" si="9"/>
        <v/>
      </c>
    </row>
    <row r="61" spans="4:12" x14ac:dyDescent="0.2">
      <c r="D61" s="357" t="str">
        <f t="shared" si="9"/>
        <v/>
      </c>
    </row>
    <row r="62" spans="4:12" x14ac:dyDescent="0.2">
      <c r="D62" s="357" t="str">
        <f t="shared" si="9"/>
        <v/>
      </c>
    </row>
    <row r="63" spans="4:12" x14ac:dyDescent="0.2">
      <c r="D63" s="357" t="str">
        <f t="shared" si="9"/>
        <v/>
      </c>
    </row>
    <row r="64" spans="4:12" x14ac:dyDescent="0.2">
      <c r="D64" s="357" t="str">
        <f t="shared" si="9"/>
        <v/>
      </c>
    </row>
    <row r="65" spans="4:4" x14ac:dyDescent="0.2">
      <c r="D65" s="357" t="str">
        <f t="shared" si="9"/>
        <v/>
      </c>
    </row>
    <row r="66" spans="4:4" x14ac:dyDescent="0.2">
      <c r="D66" s="357" t="str">
        <f t="shared" si="9"/>
        <v/>
      </c>
    </row>
    <row r="67" spans="4:4" x14ac:dyDescent="0.2">
      <c r="D67" s="357" t="str">
        <f t="shared" si="9"/>
        <v/>
      </c>
    </row>
    <row r="68" spans="4:4" x14ac:dyDescent="0.2">
      <c r="D68" s="357" t="str">
        <f t="shared" si="9"/>
        <v/>
      </c>
    </row>
    <row r="69" spans="4:4" x14ac:dyDescent="0.2">
      <c r="D69" s="357" t="str">
        <f t="shared" si="9"/>
        <v/>
      </c>
    </row>
    <row r="70" spans="4:4" x14ac:dyDescent="0.2">
      <c r="D70" s="357" t="str">
        <f t="shared" si="9"/>
        <v/>
      </c>
    </row>
    <row r="71" spans="4:4" x14ac:dyDescent="0.2">
      <c r="D71" s="357" t="str">
        <f t="shared" si="9"/>
        <v/>
      </c>
    </row>
    <row r="72" spans="4:4" x14ac:dyDescent="0.2">
      <c r="D72" s="357" t="str">
        <f t="shared" si="9"/>
        <v/>
      </c>
    </row>
  </sheetData>
  <protectedRanges>
    <protectedRange password="C269" sqref="B2" name="Inputs_2"/>
  </protectedRanges>
  <mergeCells count="1">
    <mergeCell ref="D1:L1"/>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rgb="FFFFFF00"/>
  </sheetPr>
  <dimension ref="A1:AW147"/>
  <sheetViews>
    <sheetView zoomScale="80" zoomScaleNormal="80" workbookViewId="0">
      <pane xSplit="1" ySplit="4" topLeftCell="Z35" activePane="bottomRight" state="frozenSplit"/>
      <selection activeCell="L38" sqref="L38"/>
      <selection pane="topRight" activeCell="L38" sqref="L38"/>
      <selection pane="bottomLeft" activeCell="L38" sqref="L38"/>
      <selection pane="bottomRight" activeCell="Z111" sqref="Z111"/>
    </sheetView>
  </sheetViews>
  <sheetFormatPr defaultColWidth="9.140625" defaultRowHeight="12.75" outlineLevelRow="1" x14ac:dyDescent="0.2"/>
  <cols>
    <col min="1" max="1" width="25" style="242" bestFit="1" customWidth="1"/>
    <col min="2" max="2" width="14.140625" style="242" customWidth="1"/>
    <col min="3" max="16" width="13.85546875" style="242" bestFit="1" customWidth="1"/>
    <col min="17" max="17" width="14.85546875" style="242" bestFit="1" customWidth="1"/>
    <col min="18" max="24" width="13.85546875" style="242" bestFit="1" customWidth="1"/>
    <col min="25" max="37" width="14.5703125" style="242" bestFit="1" customWidth="1"/>
    <col min="38" max="49" width="11" style="242" bestFit="1" customWidth="1"/>
    <col min="50" max="16384" width="9.140625" style="242"/>
  </cols>
  <sheetData>
    <row r="1" spans="1:49" ht="18.75" thickBot="1" x14ac:dyDescent="0.3">
      <c r="A1" s="87" t="str">
        <f>Sensativities!B4</f>
        <v>CallFire</v>
      </c>
    </row>
    <row r="2" spans="1:49" x14ac:dyDescent="0.2">
      <c r="A2" s="246"/>
      <c r="B2" s="244"/>
      <c r="C2" s="244"/>
      <c r="D2" s="244"/>
      <c r="E2" s="244"/>
      <c r="F2" s="244"/>
      <c r="G2" s="244"/>
    </row>
    <row r="3" spans="1:49" ht="15.75" x14ac:dyDescent="0.25">
      <c r="A3" s="92" t="s">
        <v>69</v>
      </c>
    </row>
    <row r="4" spans="1:49" x14ac:dyDescent="0.2">
      <c r="B4" s="243">
        <f>Sensativities!D2</f>
        <v>40909</v>
      </c>
      <c r="C4" s="243">
        <f>Sensativities!E2</f>
        <v>40940</v>
      </c>
      <c r="D4" s="243">
        <f>Sensativities!F2</f>
        <v>40969</v>
      </c>
      <c r="E4" s="243">
        <f>Sensativities!G2</f>
        <v>41000</v>
      </c>
      <c r="F4" s="243">
        <f>Sensativities!H2</f>
        <v>41030</v>
      </c>
      <c r="G4" s="243">
        <f>Sensativities!I2</f>
        <v>41061</v>
      </c>
      <c r="H4" s="243">
        <f>Sensativities!J2</f>
        <v>41091</v>
      </c>
      <c r="I4" s="243">
        <f>Sensativities!K2</f>
        <v>41122</v>
      </c>
      <c r="J4" s="243">
        <f>Sensativities!L2</f>
        <v>41153</v>
      </c>
      <c r="K4" s="243">
        <f>Sensativities!M2</f>
        <v>41183</v>
      </c>
      <c r="L4" s="243">
        <f>Sensativities!N2</f>
        <v>41214</v>
      </c>
      <c r="M4" s="243">
        <f>Sensativities!O2</f>
        <v>41244</v>
      </c>
      <c r="N4" s="243">
        <f>Sensativities!P2</f>
        <v>41275</v>
      </c>
      <c r="O4" s="243">
        <f>Sensativities!Q2</f>
        <v>41306</v>
      </c>
      <c r="P4" s="243">
        <f>Sensativities!R2</f>
        <v>41334</v>
      </c>
      <c r="Q4" s="243">
        <f>Sensativities!S2</f>
        <v>41365</v>
      </c>
      <c r="R4" s="243">
        <f>Sensativities!T2</f>
        <v>41395</v>
      </c>
      <c r="S4" s="243">
        <f>Sensativities!U2</f>
        <v>41426</v>
      </c>
      <c r="T4" s="243">
        <f>Sensativities!V2</f>
        <v>41456</v>
      </c>
      <c r="U4" s="243">
        <f>Sensativities!W2</f>
        <v>41487</v>
      </c>
      <c r="V4" s="243">
        <f>Sensativities!X2</f>
        <v>41518</v>
      </c>
      <c r="W4" s="243">
        <f>Sensativities!Y2</f>
        <v>41548</v>
      </c>
      <c r="X4" s="243">
        <f>Sensativities!Z2</f>
        <v>41579</v>
      </c>
      <c r="Y4" s="243">
        <f>Sensativities!AA2</f>
        <v>41609</v>
      </c>
      <c r="Z4" s="243">
        <f>Sensativities!AB2</f>
        <v>41640</v>
      </c>
      <c r="AA4" s="243">
        <f>Sensativities!AC2</f>
        <v>41671</v>
      </c>
      <c r="AB4" s="243">
        <f>Sensativities!AD2</f>
        <v>41699</v>
      </c>
      <c r="AC4" s="243">
        <f>Sensativities!AE2</f>
        <v>41730</v>
      </c>
      <c r="AD4" s="243">
        <f>Sensativities!AF2</f>
        <v>41760</v>
      </c>
      <c r="AE4" s="243">
        <f>Sensativities!AG2</f>
        <v>41791</v>
      </c>
      <c r="AF4" s="243">
        <f>Sensativities!AH2</f>
        <v>41821</v>
      </c>
      <c r="AG4" s="243">
        <f>Sensativities!AI2</f>
        <v>41852</v>
      </c>
      <c r="AH4" s="243">
        <f>Sensativities!AJ2</f>
        <v>41883</v>
      </c>
      <c r="AI4" s="243">
        <f>Sensativities!AK2</f>
        <v>41913</v>
      </c>
      <c r="AJ4" s="243">
        <f>Sensativities!AL2</f>
        <v>41944</v>
      </c>
      <c r="AK4" s="243">
        <f>Sensativities!AM2</f>
        <v>41974</v>
      </c>
      <c r="AL4" s="243">
        <f>Sensativities!AN2</f>
        <v>42005</v>
      </c>
      <c r="AM4" s="243">
        <f>Sensativities!AO2</f>
        <v>42036</v>
      </c>
      <c r="AN4" s="243">
        <f>Sensativities!AP2</f>
        <v>42064</v>
      </c>
      <c r="AO4" s="243">
        <f>Sensativities!AQ2</f>
        <v>42095</v>
      </c>
      <c r="AP4" s="243">
        <f>Sensativities!AR2</f>
        <v>42125</v>
      </c>
      <c r="AQ4" s="243">
        <f>Sensativities!AS2</f>
        <v>42156</v>
      </c>
      <c r="AR4" s="243">
        <f>Sensativities!AT2</f>
        <v>42186</v>
      </c>
      <c r="AS4" s="243">
        <f>Sensativities!AU2</f>
        <v>42217</v>
      </c>
      <c r="AT4" s="243">
        <f>Sensativities!AV2</f>
        <v>42248</v>
      </c>
      <c r="AU4" s="243">
        <f>Sensativities!AW2</f>
        <v>42278</v>
      </c>
      <c r="AV4" s="243">
        <f>Sensativities!AX2</f>
        <v>42309</v>
      </c>
      <c r="AW4" s="243">
        <f>Sensativities!AY2</f>
        <v>42339</v>
      </c>
    </row>
    <row r="5" spans="1:49" x14ac:dyDescent="0.2">
      <c r="B5" s="260" t="s">
        <v>243</v>
      </c>
      <c r="C5" s="260" t="s">
        <v>243</v>
      </c>
      <c r="D5" s="260" t="s">
        <v>243</v>
      </c>
      <c r="E5" s="260" t="s">
        <v>243</v>
      </c>
      <c r="F5" s="260" t="s">
        <v>243</v>
      </c>
      <c r="G5" s="260" t="s">
        <v>243</v>
      </c>
      <c r="H5" s="260" t="s">
        <v>243</v>
      </c>
      <c r="I5" s="260" t="s">
        <v>243</v>
      </c>
      <c r="J5" s="260" t="s">
        <v>243</v>
      </c>
      <c r="K5" s="260" t="s">
        <v>243</v>
      </c>
      <c r="L5" s="260" t="s">
        <v>243</v>
      </c>
      <c r="M5" s="260" t="s">
        <v>243</v>
      </c>
      <c r="N5" s="260" t="s">
        <v>243</v>
      </c>
      <c r="O5" s="260" t="s">
        <v>243</v>
      </c>
      <c r="P5" s="260" t="s">
        <v>243</v>
      </c>
      <c r="Q5" s="260" t="s">
        <v>243</v>
      </c>
      <c r="R5" s="260" t="s">
        <v>243</v>
      </c>
      <c r="S5" s="260" t="s">
        <v>243</v>
      </c>
      <c r="T5" s="260" t="s">
        <v>243</v>
      </c>
      <c r="U5" s="260" t="s">
        <v>243</v>
      </c>
      <c r="V5" s="260" t="s">
        <v>243</v>
      </c>
      <c r="W5" s="260" t="s">
        <v>243</v>
      </c>
      <c r="X5" s="260" t="s">
        <v>243</v>
      </c>
      <c r="Y5" s="260" t="s">
        <v>243</v>
      </c>
      <c r="Z5" s="260" t="s">
        <v>243</v>
      </c>
      <c r="AA5" s="260" t="s">
        <v>243</v>
      </c>
      <c r="AB5" s="260" t="s">
        <v>243</v>
      </c>
    </row>
    <row r="6" spans="1:49" ht="15" x14ac:dyDescent="0.25">
      <c r="A6" s="242" t="s">
        <v>70</v>
      </c>
      <c r="B6" s="570">
        <v>431</v>
      </c>
      <c r="C6" s="570">
        <v>613</v>
      </c>
      <c r="D6" s="570">
        <v>717</v>
      </c>
      <c r="E6" s="570">
        <v>716</v>
      </c>
      <c r="F6" s="570">
        <v>777</v>
      </c>
      <c r="G6" s="570">
        <v>605</v>
      </c>
      <c r="H6" s="570">
        <v>531</v>
      </c>
      <c r="I6" s="570">
        <v>598</v>
      </c>
      <c r="J6" s="570">
        <v>614</v>
      </c>
      <c r="K6" s="570">
        <v>763</v>
      </c>
      <c r="L6" s="570">
        <v>617</v>
      </c>
      <c r="M6" s="570">
        <v>541</v>
      </c>
      <c r="N6" s="570">
        <v>752</v>
      </c>
      <c r="O6" s="570">
        <v>631</v>
      </c>
      <c r="P6" s="570">
        <v>769</v>
      </c>
      <c r="Q6" s="570">
        <v>781</v>
      </c>
      <c r="R6" s="570">
        <v>975</v>
      </c>
      <c r="S6" s="570">
        <v>757</v>
      </c>
      <c r="T6" s="570">
        <v>820</v>
      </c>
      <c r="U6" s="570">
        <v>948</v>
      </c>
      <c r="V6" s="570">
        <v>867</v>
      </c>
      <c r="W6" s="570">
        <v>700</v>
      </c>
      <c r="X6" s="570">
        <v>687</v>
      </c>
      <c r="Y6" s="570">
        <v>539</v>
      </c>
      <c r="Z6" s="570">
        <v>702</v>
      </c>
      <c r="AA6" s="570">
        <v>748</v>
      </c>
      <c r="AB6" s="570">
        <v>781</v>
      </c>
      <c r="AC6" s="244">
        <f>('CAC Update'!AF50)*Sensativities!$B$53</f>
        <v>1377.5238095238094</v>
      </c>
      <c r="AD6" s="244">
        <f>('CAC Update'!AG50)*Sensativities!$B$53</f>
        <v>1389.7142857142856</v>
      </c>
      <c r="AE6" s="244">
        <f>('CAC Update'!AH50)*Sensativities!$B$53</f>
        <v>1219.047619047619</v>
      </c>
      <c r="AF6" s="244">
        <f>('CAC Update'!AI50)*Sensativities!$B$53</f>
        <v>1097.1428571428573</v>
      </c>
      <c r="AG6" s="244">
        <f>('CAC Update'!AJ50)*Sensativities!$B$53</f>
        <v>975.2380952380953</v>
      </c>
      <c r="AH6" s="244">
        <f>('CAC Update'!AK50)*Sensativities!$B$53</f>
        <v>975.2380952380953</v>
      </c>
      <c r="AI6" s="244">
        <f>('CAC Update'!AL50)*Sensativities!$B$53</f>
        <v>1440.1244137499996</v>
      </c>
      <c r="AJ6" s="244">
        <f>('CAC Update'!AM50)*Sensativities!$B$53</f>
        <v>1440.1244137499996</v>
      </c>
      <c r="AK6" s="244">
        <f>('CAC Update'!AN50)*Sensativities!$B$53</f>
        <v>1440.1244137499996</v>
      </c>
      <c r="AL6" s="244">
        <f>('CAC Update'!AO50)*Sensativities!$B$53</f>
        <v>1440</v>
      </c>
      <c r="AM6" s="244">
        <f>('CAC Update'!AP50)*Sensativities!$B$53</f>
        <v>1440</v>
      </c>
      <c r="AN6" s="244">
        <f>('CAC Update'!AQ50)*Sensativities!$B$53</f>
        <v>1440</v>
      </c>
      <c r="AO6" s="244">
        <f>('CAC Update'!AR50)*Sensativities!$B$53</f>
        <v>1440</v>
      </c>
      <c r="AP6" s="244">
        <f>('CAC Update'!AS50)*Sensativities!$B$53</f>
        <v>1440</v>
      </c>
      <c r="AQ6" s="244">
        <f>('CAC Update'!AT50)*Sensativities!$B$53</f>
        <v>1440</v>
      </c>
      <c r="AR6" s="244">
        <f>('CAC Update'!AU50)*Sensativities!$B$53</f>
        <v>1440</v>
      </c>
      <c r="AS6" s="244">
        <f>('CAC Update'!AV50)*Sensativities!$B$53</f>
        <v>1440</v>
      </c>
      <c r="AT6" s="244">
        <f>('CAC Update'!AW50)*Sensativities!$B$53</f>
        <v>1440</v>
      </c>
      <c r="AU6" s="244">
        <f>('CAC Update'!AX50)*Sensativities!$B$53</f>
        <v>1440</v>
      </c>
      <c r="AV6" s="244">
        <f>('CAC Update'!AY50)*Sensativities!$B$53</f>
        <v>1440</v>
      </c>
      <c r="AW6" s="244">
        <f>('CAC Update'!AZ50)*Sensativities!$B$53</f>
        <v>1440</v>
      </c>
    </row>
    <row r="7" spans="1:49" x14ac:dyDescent="0.2">
      <c r="B7" s="312"/>
      <c r="C7" s="312"/>
      <c r="D7" s="312"/>
      <c r="E7" s="312"/>
      <c r="F7" s="312"/>
      <c r="AL7" s="312"/>
      <c r="AM7" s="312"/>
      <c r="AN7" s="312"/>
      <c r="AO7" s="312"/>
      <c r="AP7" s="312"/>
      <c r="AQ7" s="312"/>
      <c r="AR7" s="312"/>
      <c r="AS7" s="312"/>
      <c r="AT7" s="312"/>
      <c r="AU7" s="312"/>
      <c r="AV7" s="312"/>
      <c r="AW7" s="312"/>
    </row>
    <row r="8" spans="1:49" x14ac:dyDescent="0.2">
      <c r="AL8" s="312"/>
      <c r="AM8" s="312"/>
      <c r="AN8" s="312"/>
      <c r="AO8" s="312"/>
      <c r="AP8" s="312"/>
      <c r="AQ8" s="312"/>
      <c r="AR8" s="312"/>
      <c r="AS8" s="312"/>
      <c r="AT8" s="312"/>
      <c r="AU8" s="312"/>
      <c r="AV8" s="312"/>
      <c r="AW8" s="312"/>
    </row>
    <row r="9" spans="1:49" x14ac:dyDescent="0.2">
      <c r="A9" s="242" t="s">
        <v>222</v>
      </c>
      <c r="B9" s="252">
        <f>(Sensativities!$B$52*B6)*Sensativities!D16</f>
        <v>0</v>
      </c>
      <c r="C9" s="252">
        <f>((Sensativities!$B$52*C6)*Sensativities!E16)+B9</f>
        <v>0</v>
      </c>
      <c r="D9" s="252">
        <f>((Sensativities!$B$52*D6)*Sensativities!F16)+C9</f>
        <v>0</v>
      </c>
      <c r="E9" s="252">
        <f>((Sensativities!$B$52*E6)*Sensativities!G16)+D9</f>
        <v>0</v>
      </c>
      <c r="F9" s="252">
        <f>((Sensativities!$B$52*F6)*Sensativities!H16)+E9</f>
        <v>0</v>
      </c>
      <c r="G9" s="252">
        <f>((Sensativities!$B$52*G6)*Sensativities!I16)+F9</f>
        <v>0</v>
      </c>
      <c r="H9" s="252">
        <f>((Sensativities!$B$52*H6)*Sensativities!J16)+G9</f>
        <v>0</v>
      </c>
      <c r="I9" s="252">
        <f>((Sensativities!$B$52*I6)*Sensativities!K16)+H9</f>
        <v>0</v>
      </c>
      <c r="J9" s="252">
        <f>((Sensativities!$B$52*J6)*Sensativities!L16)+I9</f>
        <v>0</v>
      </c>
      <c r="K9" s="252">
        <f>((Sensativities!$B$52*K6)*Sensativities!M16)+J9</f>
        <v>3357.2</v>
      </c>
      <c r="L9" s="252">
        <f>((Sensativities!$B$52*L6)*Sensativities!N16)+K9</f>
        <v>6072</v>
      </c>
      <c r="M9" s="252">
        <f>((Sensativities!$B$52*M6)*Sensativities!O16)+L9</f>
        <v>8452.4</v>
      </c>
      <c r="N9" s="252">
        <f>((Sensativities!$B$52*N6)*Sensativities!P16)+M9</f>
        <v>11761.2</v>
      </c>
      <c r="O9" s="252">
        <f>((Sensativities!$B$52*O6)*Sensativities!Q16)+N9</f>
        <v>14537.6</v>
      </c>
      <c r="P9" s="252">
        <f>((Sensativities!$B$52*P6)*Sensativities!R16)+O9</f>
        <v>17921.2</v>
      </c>
      <c r="Q9" s="252">
        <f>((Sensativities!$B$52*Q6)*Sensativities!S16)+P9</f>
        <v>21357.600000000002</v>
      </c>
      <c r="R9" s="252">
        <f>((Sensativities!$B$52*R6)*Sensativities!T16)+Q9</f>
        <v>25647.600000000002</v>
      </c>
      <c r="S9" s="252">
        <f>((Sensativities!$B$52*S6)*Sensativities!U16)+R9</f>
        <v>28978.400000000001</v>
      </c>
      <c r="T9" s="252">
        <f>((Sensativities!$B$52*T6)*Sensativities!V16)+S9</f>
        <v>32586.400000000001</v>
      </c>
      <c r="U9" s="252">
        <f>((Sensativities!$B$52*U6)*Sensativities!W16)+T9</f>
        <v>36757.600000000006</v>
      </c>
      <c r="V9" s="252">
        <f>((Sensativities!$B$52*V6)*Sensativities!X16)+U9</f>
        <v>40572.400000000009</v>
      </c>
      <c r="W9" s="252">
        <f>((Sensativities!$B$52*W6)*Sensativities!Y16)+V9</f>
        <v>43652.400000000009</v>
      </c>
      <c r="X9" s="252">
        <f>((Sensativities!$B$52*X6)*Sensativities!Z16)+W9</f>
        <v>46675.200000000012</v>
      </c>
      <c r="Y9" s="252">
        <f>((Sensativities!$B$52*Y6)*Sensativities!AA16)+X9</f>
        <v>49046.80000000001</v>
      </c>
      <c r="Z9" s="252">
        <f>((Sensativities!$B$52*Z6)*Sensativities!AB16)+Y9</f>
        <v>52135.600000000013</v>
      </c>
      <c r="AA9" s="252">
        <f>((Sensativities!$B$52*AA6)*Sensativities!AC16)+Z9</f>
        <v>55426.80000000001</v>
      </c>
      <c r="AB9" s="252">
        <f>((Sensativities!$B$52*AB6)*Sensativities!AD16)+AA9</f>
        <v>58863.200000000012</v>
      </c>
      <c r="AC9" s="252">
        <f>((Sensativities!$B$52*AC6)*Sensativities!AE16)+AB9</f>
        <v>64924.304761904772</v>
      </c>
      <c r="AD9" s="252">
        <f>((Sensativities!$B$52*AD6)*Sensativities!AF16)+AC9</f>
        <v>71039.047619047633</v>
      </c>
      <c r="AE9" s="252">
        <f>((Sensativities!$B$52*AE6)*Sensativities!AG16)+AD9</f>
        <v>76402.857142857159</v>
      </c>
      <c r="AF9" s="252">
        <f>((Sensativities!$B$52*AF6)*Sensativities!AH16)+AE9</f>
        <v>81230.285714285739</v>
      </c>
      <c r="AG9" s="252">
        <f>((Sensativities!$B$52*AG6)*Sensativities!AI16)+AF9</f>
        <v>85521.333333333358</v>
      </c>
      <c r="AH9" s="252">
        <f>((Sensativities!$B$52*AH6)*Sensativities!AJ16)+AG9</f>
        <v>89812.380952380976</v>
      </c>
      <c r="AI9" s="252">
        <f>((Sensativities!$B$52*AI6)*Sensativities!AK16)+AH9</f>
        <v>96148.928372880968</v>
      </c>
      <c r="AJ9" s="252">
        <f>((Sensativities!$B$52*AJ6)*Sensativities!AL16)+AI9</f>
        <v>102485.47579338096</v>
      </c>
      <c r="AK9" s="252">
        <f>((Sensativities!$B$52*AK6)*Sensativities!AM16)+AJ9</f>
        <v>108822.02321388095</v>
      </c>
      <c r="AL9" s="313">
        <f>((Sensativities!$B$52*AL6)*Sensativities!AN16)+AK9</f>
        <v>115158.02321388095</v>
      </c>
      <c r="AM9" s="313">
        <f>((Sensativities!$B$52*AM6)*Sensativities!AO16)+AL9</f>
        <v>121494.02321388095</v>
      </c>
      <c r="AN9" s="313">
        <f>((Sensativities!$B$52*AN6)*Sensativities!AP16)+AM9</f>
        <v>127830.02321388095</v>
      </c>
      <c r="AO9" s="313">
        <f>((Sensativities!$B$52*AO6)*Sensativities!AQ16)+AN9</f>
        <v>134166.02321388095</v>
      </c>
      <c r="AP9" s="313">
        <f>((Sensativities!$B$52*AP6)*Sensativities!AR16)+AO9</f>
        <v>140502.02321388095</v>
      </c>
      <c r="AQ9" s="313">
        <f>((Sensativities!$B$52*AQ6)*Sensativities!AS16)+AP9</f>
        <v>146838.02321388095</v>
      </c>
      <c r="AR9" s="313">
        <f>((Sensativities!$B$52*AR6)*Sensativities!AT16)+AQ9</f>
        <v>153174.02321388095</v>
      </c>
      <c r="AS9" s="313">
        <f>((Sensativities!$B$52*AS6)*Sensativities!AU16)+AR9</f>
        <v>159510.02321388095</v>
      </c>
      <c r="AT9" s="313">
        <f>((Sensativities!$B$52*AT6)*Sensativities!AV16)+AS9</f>
        <v>165846.02321388095</v>
      </c>
      <c r="AU9" s="313">
        <f>((Sensativities!$B$52*AU6)*Sensativities!AW16)+AT9</f>
        <v>172182.02321388095</v>
      </c>
      <c r="AV9" s="313">
        <f>((Sensativities!$B$52*AV6)*Sensativities!AX16)+AU9</f>
        <v>178518.02321388095</v>
      </c>
      <c r="AW9" s="313">
        <f>((Sensativities!$B$52*AW6)*Sensativities!AY16)+AV9</f>
        <v>184854.02321388095</v>
      </c>
    </row>
    <row r="10" spans="1:49" x14ac:dyDescent="0.2">
      <c r="B10" s="251"/>
      <c r="C10" s="251"/>
      <c r="D10" s="251"/>
      <c r="E10" s="251"/>
      <c r="F10" s="251"/>
      <c r="G10" s="251"/>
      <c r="H10" s="251"/>
      <c r="I10" s="251"/>
      <c r="J10" s="251"/>
      <c r="K10" s="251"/>
      <c r="L10" s="251"/>
      <c r="M10" s="251"/>
      <c r="N10" s="251"/>
      <c r="O10" s="251"/>
      <c r="P10" s="251"/>
      <c r="Q10" s="251"/>
      <c r="R10" s="251"/>
      <c r="S10" s="251"/>
      <c r="T10" s="251"/>
      <c r="U10" s="251"/>
      <c r="V10" s="251"/>
      <c r="W10" s="251"/>
      <c r="X10" s="251"/>
      <c r="Y10" s="251"/>
      <c r="Z10" s="252"/>
      <c r="AA10" s="252"/>
      <c r="AB10" s="252"/>
      <c r="AC10" s="252"/>
      <c r="AD10" s="252"/>
      <c r="AE10" s="252"/>
      <c r="AF10" s="252"/>
      <c r="AG10" s="252"/>
      <c r="AH10" s="252"/>
      <c r="AI10" s="252"/>
      <c r="AJ10" s="252"/>
      <c r="AK10" s="252"/>
    </row>
    <row r="11" spans="1:49" s="272" customFormat="1" x14ac:dyDescent="0.2">
      <c r="B11" s="273" t="s">
        <v>276</v>
      </c>
      <c r="C11" s="273"/>
      <c r="D11" s="273"/>
      <c r="E11" s="273"/>
      <c r="F11" s="273"/>
      <c r="G11" s="273"/>
      <c r="H11" s="273"/>
      <c r="I11" s="273"/>
      <c r="J11" s="273"/>
      <c r="K11" s="273"/>
      <c r="L11" s="273"/>
      <c r="M11" s="273"/>
      <c r="N11" s="273"/>
      <c r="O11" s="273"/>
      <c r="P11" s="273"/>
      <c r="Q11" s="273"/>
      <c r="R11" s="273"/>
      <c r="S11" s="273"/>
      <c r="T11" s="273"/>
      <c r="U11" s="273"/>
      <c r="V11" s="273"/>
      <c r="W11" s="273"/>
      <c r="X11" s="273"/>
      <c r="Y11" s="273"/>
      <c r="Z11" s="274"/>
      <c r="AA11" s="274"/>
      <c r="AB11" s="274"/>
      <c r="AC11" s="274"/>
      <c r="AD11" s="274"/>
      <c r="AE11" s="274"/>
      <c r="AF11" s="274"/>
      <c r="AG11" s="274"/>
      <c r="AH11" s="274"/>
      <c r="AI11" s="274"/>
      <c r="AJ11" s="274"/>
      <c r="AK11" s="274"/>
    </row>
    <row r="12" spans="1:49" x14ac:dyDescent="0.2">
      <c r="A12" s="242" t="s">
        <v>275</v>
      </c>
    </row>
    <row r="13" spans="1:49" x14ac:dyDescent="0.2">
      <c r="A13" s="269" t="s">
        <v>199</v>
      </c>
      <c r="B13" s="270">
        <f>((B$6*Sensativities!D19)*Sensativities!D32)*Sensativities!D$17</f>
        <v>11766.3</v>
      </c>
      <c r="C13" s="252">
        <f>((C$6*Sensativities!E$19)*Sensativities!E$32)*Sensativities!E$17</f>
        <v>16734.899999999998</v>
      </c>
      <c r="D13" s="252">
        <f>(($D$6*Sensativities!F19)*Sensativities!F32)*Sensativities!F$17</f>
        <v>19574.099999999999</v>
      </c>
      <c r="E13" s="252">
        <f>(($E$6*Sensativities!G19)*Sensativities!G32)*Sensativities!G$17</f>
        <v>19546.8</v>
      </c>
      <c r="F13" s="252">
        <f>(($F$6*Sensativities!H19)*Sensativities!H32)*Sensativities!H$17</f>
        <v>21212.1</v>
      </c>
      <c r="G13" s="252">
        <f>(($G$6*Sensativities!I19)*Sensativities!I32)*Sensativities!I$17</f>
        <v>16516.5</v>
      </c>
      <c r="H13" s="252">
        <f>(($H$6*Sensativities!J19)*Sensativities!J32)*Sensativities!J$17</f>
        <v>14496.3</v>
      </c>
      <c r="I13" s="252">
        <f>(($I$6*Sensativities!K19)*Sensativities!K32)*Sensativities!K$17</f>
        <v>16325.4</v>
      </c>
      <c r="J13" s="252">
        <f>(($J$6*Sensativities!L19)*Sensativities!L32)*Sensativities!L$17</f>
        <v>16762.2</v>
      </c>
      <c r="K13" s="252">
        <f>(($K$6*Sensativities!M19)*Sensativities!M32)*Sensativities!M$17</f>
        <v>20829.899999999998</v>
      </c>
      <c r="L13" s="252">
        <f>(($L$6*Sensativities!N19)*Sensativities!N32)*Sensativities!N$17</f>
        <v>16844.099999999999</v>
      </c>
      <c r="M13" s="252">
        <f>(($M$6*Sensativities!O19)*Sensativities!O32)*Sensativities!O$17</f>
        <v>14769.3</v>
      </c>
      <c r="N13" s="252">
        <f>(($N$6*Sensativities!P19)*Sensativities!P32)*Sensativities!P$17</f>
        <v>19740</v>
      </c>
      <c r="O13" s="252">
        <f>(($O$6*Sensativities!Q19)*Sensativities!Q32)*Sensativities!Q$17</f>
        <v>16563.75</v>
      </c>
      <c r="P13" s="252">
        <f>(($P$6*Sensativities!R19)*Sensativities!R32)*Sensativities!R$17</f>
        <v>20186.25</v>
      </c>
      <c r="Q13" s="252">
        <f>(($Q$6*Sensativities!S19)*Sensativities!S32)*Sensativities!S$17</f>
        <v>20501.25</v>
      </c>
      <c r="R13" s="252">
        <f>(($R$6*Sensativities!T19)*Sensativities!T32)*Sensativities!T$17</f>
        <v>25593.75</v>
      </c>
      <c r="S13" s="252">
        <f>(($S$6*Sensativities!U19)*Sensativities!U32)*Sensativities!U$17</f>
        <v>19871.25</v>
      </c>
      <c r="T13" s="252">
        <f>(($T$6*Sensativities!V19)*Sensativities!V32)*Sensativities!V$17</f>
        <v>21525</v>
      </c>
      <c r="U13" s="252">
        <f>(($U$6*Sensativities!W19)*Sensativities!W32)*Sensativities!W$17</f>
        <v>24885</v>
      </c>
      <c r="V13" s="252">
        <f>(($V$6*Sensativities!X19)*Sensativities!X32)*Sensativities!X$17</f>
        <v>22758.75</v>
      </c>
      <c r="W13" s="252">
        <f>(($W$6*Sensativities!Y19)*Sensativities!Y32)*Sensativities!Y$17</f>
        <v>18375</v>
      </c>
      <c r="X13" s="252">
        <f>(($X$6*Sensativities!Z19)*Sensativities!Z32)*Sensativities!Z$17</f>
        <v>18033.75</v>
      </c>
      <c r="Y13" s="252">
        <f>(($Y$6*Sensativities!AA19)*Sensativities!AA32)*Sensativities!AA$17</f>
        <v>14148.75</v>
      </c>
      <c r="Z13" s="278">
        <f>(($Z$6*Sensativities!AB19)*Sensativities!AB32)*Sensativities!AB$17</f>
        <v>18427.5</v>
      </c>
      <c r="AA13" s="252">
        <f>(($AA$6*Sensativities!AC19)*Sensativities!AC32)*Sensativities!AC$17</f>
        <v>19635</v>
      </c>
      <c r="AB13" s="252">
        <f>(($AB$6*Sensativities!AD19)*Sensativities!AD32)*Sensativities!AD$17</f>
        <v>20501.25</v>
      </c>
      <c r="AC13" s="252">
        <f>(($AC$6*Sensativities!AE19)*Sensativities!AE32)*Sensativities!AE$17</f>
        <v>36160</v>
      </c>
      <c r="AD13" s="252">
        <f>(($AD$6*Sensativities!AF19)*Sensativities!AF32)*Sensativities!AF$17</f>
        <v>36480</v>
      </c>
      <c r="AE13" s="252">
        <f>(($AE$6*Sensativities!AG19)*Sensativities!AG32)*Sensativities!AG$17</f>
        <v>32000</v>
      </c>
      <c r="AF13" s="252">
        <f>(($AF$6*Sensativities!AH19)*Sensativities!AH32)*Sensativities!AH$17</f>
        <v>20160.000000000007</v>
      </c>
      <c r="AG13" s="252">
        <f>(($AG$6*Sensativities!AI19)*Sensativities!AI32)*Sensativities!AI$17</f>
        <v>17920</v>
      </c>
      <c r="AH13" s="252">
        <f>(($AH$6*Sensativities!AJ19)*Sensativities!AJ32)*Sensativities!AJ$17</f>
        <v>30720</v>
      </c>
      <c r="AI13" s="252">
        <f>(($AI$6*Sensativities!AK19)*Sensativities!AK32)*Sensativities!AK$17</f>
        <v>45363.919033124985</v>
      </c>
      <c r="AJ13" s="252">
        <f>(($AJ$6*Sensativities!AL19)*Sensativities!AL32)*Sensativities!AL$17</f>
        <v>30242.612688749992</v>
      </c>
      <c r="AK13" s="252">
        <f>(($AK$6*Sensativities!AM19)*Sensativities!AM32)*Sensativities!AM$17</f>
        <v>22681.959516562492</v>
      </c>
      <c r="AL13" s="608">
        <f>(($AI$6*Sensativities!AN19)*Sensativities!AN32)*Sensativities!AN$17</f>
        <v>37803.265860937492</v>
      </c>
      <c r="AM13" s="608">
        <f>(($AJ$6*Sensativities!AO19)*Sensativities!AO32)*Sensativities!AO$17</f>
        <v>37803.265860937492</v>
      </c>
      <c r="AN13" s="608">
        <f>(($AK$6*Sensativities!AP19)*Sensativities!AP32)*Sensativities!AP$17</f>
        <v>37803.265860937492</v>
      </c>
      <c r="AO13" s="608">
        <f>(($AI$6*Sensativities!AQ19)*Sensativities!AQ32)*Sensativities!AQ$17</f>
        <v>37803.265860937492</v>
      </c>
      <c r="AP13" s="608">
        <f>(($AJ$6*Sensativities!AR19)*Sensativities!AR32)*Sensativities!AR$17</f>
        <v>37803.265860937492</v>
      </c>
      <c r="AQ13" s="608">
        <f>(($AK$6*Sensativities!AS19)*Sensativities!AS32)*Sensativities!AS$17</f>
        <v>37803.265860937492</v>
      </c>
      <c r="AR13" s="608">
        <f>(($AI$6*Sensativities!AT19)*Sensativities!AT32)*Sensativities!AT$17</f>
        <v>37803.265860937492</v>
      </c>
      <c r="AS13" s="608">
        <f>(($AJ$6*Sensativities!AU19)*Sensativities!AU32)*Sensativities!AU$17</f>
        <v>37803.265860937492</v>
      </c>
      <c r="AT13" s="608">
        <f>(($AK$6*Sensativities!AV19)*Sensativities!AV32)*Sensativities!AV$17</f>
        <v>37803.265860937492</v>
      </c>
      <c r="AU13" s="608">
        <f>(($AI$6*Sensativities!AW19)*Sensativities!AW32)*Sensativities!AW$17</f>
        <v>37803.265860937492</v>
      </c>
      <c r="AV13" s="608">
        <f>(($AJ$6*Sensativities!AX19)*Sensativities!AX32)*Sensativities!AX$17</f>
        <v>37803.265860937492</v>
      </c>
      <c r="AW13" s="608">
        <f>(($AK$6*Sensativities!AY19)*Sensativities!AY32)*Sensativities!AY$17</f>
        <v>37803.265860937492</v>
      </c>
    </row>
    <row r="14" spans="1:49" x14ac:dyDescent="0.2">
      <c r="A14" s="242" t="s">
        <v>200</v>
      </c>
      <c r="B14" s="252">
        <v>30614.3843952932</v>
      </c>
      <c r="C14" s="313">
        <f>((B$6*Sensativities!E20)*Sensativities!E33)*Sensativities!E$17</f>
        <v>19823.413999999997</v>
      </c>
      <c r="D14" s="252">
        <f>(($C$6*Sensativities!E20)*Sensativities!E33)*Sensativities!E$17</f>
        <v>28194.322</v>
      </c>
      <c r="E14" s="252">
        <f>(($D$6*Sensativities!G20)*Sensativities!G33)*Sensativities!G$17</f>
        <v>32977.697999999997</v>
      </c>
      <c r="F14" s="252">
        <f>(($E$6*Sensativities!H20)*Sensativities!H33)*Sensativities!H$17</f>
        <v>32931.703999999998</v>
      </c>
      <c r="G14" s="252">
        <f>(($F$6*Sensativities!I20)*Sensativities!I33)*Sensativities!I$17</f>
        <v>35737.337999999996</v>
      </c>
      <c r="H14" s="252">
        <f>(($G$6*Sensativities!J20)*Sensativities!J33)*Sensativities!J$17</f>
        <v>27826.37</v>
      </c>
      <c r="I14" s="252">
        <f>(($H$6*Sensativities!K20)*Sensativities!K33)*Sensativities!K$17</f>
        <v>24422.813999999995</v>
      </c>
      <c r="J14" s="252">
        <f>(($I$6*Sensativities!L20)*Sensativities!L33)*Sensativities!L$17</f>
        <v>27504.412</v>
      </c>
      <c r="K14" s="252">
        <f>(($J$6*Sensativities!M20)*Sensativities!M33)*Sensativities!M$17</f>
        <v>28240.315999999999</v>
      </c>
      <c r="L14" s="252">
        <f>(($K$6*Sensativities!N20)*Sensativities!N33)*Sensativities!N$17</f>
        <v>35093.421999999999</v>
      </c>
      <c r="M14" s="252">
        <f>(($L$6*Sensativities!O20)*Sensativities!O33)*Sensativities!O$17</f>
        <v>28378.297999999999</v>
      </c>
      <c r="N14" s="252">
        <f>(($M$6*Sensativities!P20)*Sensativities!P33)*Sensativities!P$17</f>
        <v>23925.725000000002</v>
      </c>
      <c r="O14" s="252">
        <f>(($N$6*Sensativities!Q20)*Sensativities!Q33)*Sensativities!Q$17</f>
        <v>33257.200000000004</v>
      </c>
      <c r="P14" s="252">
        <f>(($O$6*Sensativities!R20)*Sensativities!R33)*Sensativities!R$17</f>
        <v>27905.975000000002</v>
      </c>
      <c r="Q14" s="252">
        <f>(($P$6*Sensativities!S20)*Sensativities!S33)*Sensativities!S$17</f>
        <v>34009.025000000001</v>
      </c>
      <c r="R14" s="252">
        <f>(($Q$6*Sensativities!T20)*Sensativities!T33)*Sensativities!T$17</f>
        <v>34539.724999999999</v>
      </c>
      <c r="S14" s="252">
        <f>(($R$6*Sensativities!U20)*Sensativities!U33)*Sensativities!U$17</f>
        <v>43119.375</v>
      </c>
      <c r="T14" s="252">
        <f>(($S$6*Sensativities!V20)*Sensativities!V33)*Sensativities!V$17</f>
        <v>33478.325000000004</v>
      </c>
      <c r="U14" s="252">
        <f>(($T$6*Sensativities!W20)*Sensativities!W33)*Sensativities!W$17</f>
        <v>36264.5</v>
      </c>
      <c r="V14" s="252">
        <f>(($U$6*Sensativities!X20)*Sensativities!X33)*Sensativities!X$17</f>
        <v>41925.300000000003</v>
      </c>
      <c r="W14" s="252">
        <f>(($V$6*Sensativities!Y20)*Sensativities!Y33)*Sensativities!Y$17</f>
        <v>38343.075000000004</v>
      </c>
      <c r="X14" s="252">
        <f>(($W$6*Sensativities!Z20)*Sensativities!Z33)*Sensativities!Z$17</f>
        <v>30957.5</v>
      </c>
      <c r="Y14" s="252">
        <f>(($X$6*Sensativities!AA20)*Sensativities!AA33)*Sensativities!AA$17</f>
        <v>30382.575000000001</v>
      </c>
      <c r="Z14" s="252">
        <f>(($Y$6*Sensativities!AB20)*Sensativities!AB33)*Sensativities!AB$17</f>
        <v>23837.275000000005</v>
      </c>
      <c r="AA14" s="278">
        <f>(($Z$6*Sensativities!AC20)*Sensativities!AC33)*Sensativities!AC$17</f>
        <v>31045.95</v>
      </c>
      <c r="AB14" s="252">
        <f>(($AA$6*Sensativities!AD20)*Sensativities!AD33)*Sensativities!AD$17</f>
        <v>33080.300000000003</v>
      </c>
      <c r="AC14" s="252">
        <f>(($AB$6*Sensativities!AE20)*Sensativities!AE33)*Sensativities!AE$17</f>
        <v>34539.724999999999</v>
      </c>
      <c r="AD14" s="252">
        <f>(($AC$6*Sensativities!AF20)*Sensativities!AF33)*Sensativities!AF$17</f>
        <v>60920.990476190476</v>
      </c>
      <c r="AE14" s="252">
        <f>(($AD$6*Sensativities!AG20)*Sensativities!AG33)*Sensativities!AG$17</f>
        <v>61460.114285714277</v>
      </c>
      <c r="AF14" s="252">
        <f>(($AE$6*Sensativities!AH20)*Sensativities!AH33)*Sensativities!AH$17</f>
        <v>37738.666666666664</v>
      </c>
      <c r="AG14" s="252">
        <f>(($AF$6*Sensativities!AI20)*Sensativities!AI33)*Sensativities!AI$17</f>
        <v>33964.80000000001</v>
      </c>
      <c r="AH14" s="252">
        <f>(($AG$6*Sensativities!AJ20)*Sensativities!AJ33)*Sensativities!AJ$17</f>
        <v>51755.885714285716</v>
      </c>
      <c r="AI14" s="252">
        <f>(($AH$6*Sensativities!AK20)*Sensativities!AK33)*Sensativities!AK$17</f>
        <v>51755.885714285716</v>
      </c>
      <c r="AJ14" s="252">
        <f>(($AI$6*Sensativities!AL20)*Sensativities!AL33)*Sensativities!AL$17</f>
        <v>50951.601758474986</v>
      </c>
      <c r="AK14" s="252">
        <f>(($AJ$6*Sensativities!AM20)*Sensativities!AM33)*Sensativities!AM$17</f>
        <v>38213.701318856241</v>
      </c>
      <c r="AL14" s="608">
        <f>(($AK$6*Sensativities!AN20)*Sensativities!AN33)*Sensativities!AN$17</f>
        <v>63689.502198093738</v>
      </c>
      <c r="AM14" s="608">
        <f>(($AK$6*Sensativities!AO20)*Sensativities!AO33)*Sensativities!AO$17</f>
        <v>63689.502198093738</v>
      </c>
      <c r="AN14" s="608">
        <f>(($AK$6*Sensativities!AP20)*Sensativities!AP33)*Sensativities!AP$17</f>
        <v>63689.502198093738</v>
      </c>
      <c r="AO14" s="608">
        <f>(($AK$6*Sensativities!AQ20)*Sensativities!AQ33)*Sensativities!AQ$17</f>
        <v>63689.502198093738</v>
      </c>
      <c r="AP14" s="608">
        <f>(($AK$6*Sensativities!AR20)*Sensativities!AR33)*Sensativities!AR$17</f>
        <v>63689.502198093738</v>
      </c>
      <c r="AQ14" s="608">
        <f>(($AK$6*Sensativities!AS20)*Sensativities!AS33)*Sensativities!AS$17</f>
        <v>63689.502198093738</v>
      </c>
      <c r="AR14" s="608">
        <f>(($AK$6*Sensativities!AT20)*Sensativities!AT33)*Sensativities!AT$17</f>
        <v>63689.502198093738</v>
      </c>
      <c r="AS14" s="608">
        <f>(($AK$6*Sensativities!AU20)*Sensativities!AU33)*Sensativities!AU$17</f>
        <v>63689.502198093738</v>
      </c>
      <c r="AT14" s="608">
        <f>(($AK$6*Sensativities!AV20)*Sensativities!AV33)*Sensativities!AV$17</f>
        <v>63689.502198093738</v>
      </c>
      <c r="AU14" s="608">
        <f>(($AK$6*Sensativities!AW20)*Sensativities!AW33)*Sensativities!AW$17</f>
        <v>63689.502198093738</v>
      </c>
      <c r="AV14" s="608">
        <f>(($AK$6*Sensativities!AX20)*Sensativities!AX33)*Sensativities!AX$17</f>
        <v>63689.502198093738</v>
      </c>
      <c r="AW14" s="608">
        <f>(($AK$6*Sensativities!AY20)*Sensativities!AY33)*Sensativities!AY$17</f>
        <v>63689.502198093738</v>
      </c>
    </row>
    <row r="15" spans="1:49" x14ac:dyDescent="0.2">
      <c r="A15" s="242" t="s">
        <v>201</v>
      </c>
      <c r="B15" s="252">
        <v>23875.290226304398</v>
      </c>
      <c r="C15" s="271">
        <v>23875.290226304398</v>
      </c>
      <c r="D15" s="270">
        <f>(($B$6*Sensativities!F21)*Sensativities!F34)*Sensativities!F$17</f>
        <v>18203.026399999995</v>
      </c>
      <c r="E15" s="252">
        <f>(($C$6*Sensativities!F21)*Sensativities!F34)*Sensativities!F$17</f>
        <v>25889.687199999997</v>
      </c>
      <c r="F15" s="252">
        <f>(($D$6*Sensativities!H21)*Sensativities!H34)*Sensativities!H$17</f>
        <v>30282.0648</v>
      </c>
      <c r="G15" s="252">
        <f>(($E$6*Sensativities!I21)*Sensativities!I34)*Sensativities!I$17</f>
        <v>30239.830400000003</v>
      </c>
      <c r="H15" s="252">
        <f>(($F$6*Sensativities!J21)*Sensativities!J34)*Sensativities!J$17</f>
        <v>32816.128799999999</v>
      </c>
      <c r="I15" s="252">
        <f>(($G$6*Sensativities!K21)*Sensativities!K34)*Sensativities!K$17</f>
        <v>25551.812000000002</v>
      </c>
      <c r="J15" s="252">
        <f>(($H$6*Sensativities!L21)*Sensativities!L34)*Sensativities!L$17</f>
        <v>22426.466399999998</v>
      </c>
      <c r="K15" s="252">
        <f>(($I$6*Sensativities!M21)*Sensativities!M34)*Sensativities!M$17</f>
        <v>25256.171199999997</v>
      </c>
      <c r="L15" s="252">
        <f>(($J$6*Sensativities!N21)*Sensativities!N34)*Sensativities!N$17</f>
        <v>25931.921599999998</v>
      </c>
      <c r="M15" s="252">
        <f>(($K$6*Sensativities!O21)*Sensativities!O34)*Sensativities!O$17</f>
        <v>32224.847199999997</v>
      </c>
      <c r="N15" s="252">
        <f>(($L$6*Sensativities!P21)*Sensativities!P34)*Sensativities!P$17</f>
        <v>25056.370000000003</v>
      </c>
      <c r="O15" s="252">
        <f>(($M$6*Sensativities!Q21)*Sensativities!Q34)*Sensativities!Q$17</f>
        <v>21970.010000000002</v>
      </c>
      <c r="P15" s="252">
        <f>(($N$6*Sensativities!R21)*Sensativities!R34)*Sensativities!R$17</f>
        <v>30538.720000000001</v>
      </c>
      <c r="Q15" s="252">
        <f>(($O$6*Sensativities!S21)*Sensativities!S34)*Sensativities!S$17</f>
        <v>25624.91</v>
      </c>
      <c r="R15" s="252">
        <f>(($P$6*Sensativities!T21)*Sensativities!T34)*Sensativities!T$17</f>
        <v>31229.089999999997</v>
      </c>
      <c r="S15" s="252">
        <f>(($Q$6*Sensativities!U21)*Sensativities!U34)*Sensativities!U$17</f>
        <v>31716.41</v>
      </c>
      <c r="T15" s="252">
        <f>(($R$6*Sensativities!V21)*Sensativities!V34)*Sensativities!V$17</f>
        <v>39594.75</v>
      </c>
      <c r="U15" s="252">
        <f>(($S$6*Sensativities!W21)*Sensativities!W34)*Sensativities!W$17</f>
        <v>30741.770000000004</v>
      </c>
      <c r="V15" s="252">
        <f>(($T$6*Sensativities!X21)*Sensativities!X34)*Sensativities!X$17</f>
        <v>33300.200000000004</v>
      </c>
      <c r="W15" s="252">
        <f>(($U$6*Sensativities!Y21)*Sensativities!Y34)*Sensativities!Y$17</f>
        <v>38498.28</v>
      </c>
      <c r="X15" s="252">
        <f>(($V$6*Sensativities!Z21)*Sensativities!Z34)*Sensativities!Z$17</f>
        <v>35208.869999999995</v>
      </c>
      <c r="Y15" s="252">
        <f>(($W$6*Sensativities!AA21)*Sensativities!AA34)*Sensativities!AA$17</f>
        <v>28427</v>
      </c>
      <c r="Z15" s="252">
        <f>(($X$6*Sensativities!AB21)*Sensativities!AB34)*Sensativities!AB$17</f>
        <v>27899.070000000003</v>
      </c>
      <c r="AA15" s="252">
        <f>(($Y$6*Sensativities!AC21)*Sensativities!AC34)*Sensativities!AC$17</f>
        <v>21888.79</v>
      </c>
      <c r="AB15" s="278">
        <f>(($Z$6*Sensativities!AD21)*Sensativities!AD34)*Sensativities!AD$17</f>
        <v>28508.22</v>
      </c>
      <c r="AC15" s="252">
        <f>(($AA$6*Sensativities!AE21)*Sensativities!AE34)*Sensativities!AE$17</f>
        <v>30376.28</v>
      </c>
      <c r="AD15" s="252">
        <f>(($AB$6*Sensativities!AF21)*Sensativities!AF34)*Sensativities!AF$17</f>
        <v>31716.41</v>
      </c>
      <c r="AE15" s="252">
        <f>(($AC$6*Sensativities!AG21)*Sensativities!AG34)*Sensativities!AG$17</f>
        <v>55941.241904761904</v>
      </c>
      <c r="AF15" s="252">
        <f>(($AD$6*Sensativities!AH21)*Sensativities!AH34)*Sensativities!AH$17</f>
        <v>39505.408000000003</v>
      </c>
      <c r="AG15" s="252">
        <f>(($AE$6*Sensativities!AI21)*Sensativities!AI34)*Sensativities!AI$17</f>
        <v>34653.866666666669</v>
      </c>
      <c r="AH15" s="252">
        <f>(($AF$6*Sensativities!AJ21)*Sensativities!AJ34)*Sensativities!AJ$17</f>
        <v>53465.965714285718</v>
      </c>
      <c r="AI15" s="252">
        <f>(($AG$6*Sensativities!AK21)*Sensativities!AK34)*Sensativities!AK$17</f>
        <v>47525.302857142859</v>
      </c>
      <c r="AJ15" s="252">
        <f>(($AH$6*Sensativities!AL21)*Sensativities!AL34)*Sensativities!AL$17</f>
        <v>31683.535238095239</v>
      </c>
      <c r="AK15" s="252">
        <f>(($AI$6*Sensativities!AM21)*Sensativities!AM34)*Sensativities!AM$17</f>
        <v>35090.071465432484</v>
      </c>
      <c r="AL15" s="608">
        <f>(($AJ$6*Sensativities!AN21)*Sensativities!AN34)*Sensativities!AN$17</f>
        <v>58483.452442387483</v>
      </c>
      <c r="AM15" s="608">
        <f>(($AK$6*Sensativities!AO21)*Sensativities!AO34)*Sensativities!AO$17</f>
        <v>58483.452442387483</v>
      </c>
      <c r="AN15" s="608">
        <f>(($AK$6*Sensativities!AP21)*Sensativities!AP34)*Sensativities!AP$17</f>
        <v>58483.452442387483</v>
      </c>
      <c r="AO15" s="608">
        <f>(($AK$6*Sensativities!AQ21)*Sensativities!AQ34)*Sensativities!AQ$17</f>
        <v>58483.452442387483</v>
      </c>
      <c r="AP15" s="608">
        <f>(($AK$6*Sensativities!AR21)*Sensativities!AR34)*Sensativities!AR$17</f>
        <v>58483.452442387483</v>
      </c>
      <c r="AQ15" s="608">
        <f>(($AK$6*Sensativities!AS21)*Sensativities!AS34)*Sensativities!AS$17</f>
        <v>58483.452442387483</v>
      </c>
      <c r="AR15" s="608">
        <f>(($AK$6*Sensativities!AT21)*Sensativities!AT34)*Sensativities!AT$17</f>
        <v>58483.452442387483</v>
      </c>
      <c r="AS15" s="608">
        <f>(($AK$6*Sensativities!AU21)*Sensativities!AU34)*Sensativities!AU$17</f>
        <v>58483.452442387483</v>
      </c>
      <c r="AT15" s="608">
        <f>(($AK$6*Sensativities!AV21)*Sensativities!AV34)*Sensativities!AV$17</f>
        <v>58483.452442387483</v>
      </c>
      <c r="AU15" s="608">
        <f>(($AK$6*Sensativities!AW21)*Sensativities!AW34)*Sensativities!AW$17</f>
        <v>58483.452442387483</v>
      </c>
      <c r="AV15" s="608">
        <f>(($AK$6*Sensativities!AX21)*Sensativities!AX34)*Sensativities!AX$17</f>
        <v>58483.452442387483</v>
      </c>
      <c r="AW15" s="608">
        <f>(($AK$6*Sensativities!AY21)*Sensativities!AY34)*Sensativities!AY$17</f>
        <v>58483.452442387483</v>
      </c>
    </row>
    <row r="16" spans="1:49" x14ac:dyDescent="0.2">
      <c r="A16" s="242" t="s">
        <v>202</v>
      </c>
      <c r="B16" s="252">
        <v>25244.846827970985</v>
      </c>
      <c r="C16" s="271">
        <v>25244.846827970985</v>
      </c>
      <c r="D16" s="271">
        <v>25244.846827970985</v>
      </c>
      <c r="E16" s="270">
        <f>(($B$6*Sensativities!G22)*Sensativities!G35)*Sensativities!G$17</f>
        <v>22098.232</v>
      </c>
      <c r="F16" s="252">
        <f>(($C$6*Sensativities!G22)*Sensativities!G35)*Sensativities!G$17</f>
        <v>31429.735999999994</v>
      </c>
      <c r="G16" s="252">
        <f>(($D$6*Sensativities!I22)*Sensativities!I35)*Sensativities!I$17</f>
        <v>36762.02399999999</v>
      </c>
      <c r="H16" s="252">
        <f>(($E$6*Sensativities!J22)*Sensativities!J35)*Sensativities!J$17</f>
        <v>36710.752</v>
      </c>
      <c r="I16" s="252">
        <f>(($F$6*Sensativities!K22)*Sensativities!K35)*Sensativities!K$17</f>
        <v>39838.343999999997</v>
      </c>
      <c r="J16" s="252">
        <f>(($G$6*Sensativities!L22)*Sensativities!L35)*Sensativities!L$17</f>
        <v>31019.559999999998</v>
      </c>
      <c r="K16" s="252">
        <f>(($H$6*Sensativities!M22)*Sensativities!M35)*Sensativities!M$17</f>
        <v>27225.431999999997</v>
      </c>
      <c r="L16" s="252">
        <f>(($I$6*Sensativities!N22)*Sensativities!N35)*Sensativities!N$17</f>
        <v>30660.655999999999</v>
      </c>
      <c r="M16" s="252">
        <f>(($J$6*Sensativities!O22)*Sensativities!O35)*Sensativities!O$17</f>
        <v>31481.007999999991</v>
      </c>
      <c r="N16" s="252">
        <f>(($K$6*Sensativities!P22)*Sensativities!P35)*Sensativities!P$17</f>
        <v>37615.899999999994</v>
      </c>
      <c r="O16" s="252">
        <f>(($L$6*Sensativities!Q22)*Sensativities!Q35)*Sensativities!Q$17</f>
        <v>30418.099999999995</v>
      </c>
      <c r="P16" s="252">
        <f>(($M$6*Sensativities!R22)*Sensativities!R35)*Sensativities!R$17</f>
        <v>26671.300000000003</v>
      </c>
      <c r="Q16" s="252">
        <f>(($N$6*Sensativities!S22)*Sensativities!S35)*Sensativities!S$17</f>
        <v>37073.599999999999</v>
      </c>
      <c r="R16" s="252">
        <f>(($O$6*Sensativities!T22)*Sensativities!T35)*Sensativities!T$17</f>
        <v>31108.299999999996</v>
      </c>
      <c r="S16" s="252">
        <f>(($P$6*Sensativities!U22)*Sensativities!U35)*Sensativities!U$17</f>
        <v>37911.700000000004</v>
      </c>
      <c r="T16" s="252">
        <f>(($Q$6*Sensativities!V22)*Sensativities!V35)*Sensativities!V$17</f>
        <v>38503.299999999996</v>
      </c>
      <c r="U16" s="252">
        <f>(($R$6*Sensativities!W22)*Sensativities!W35)*Sensativities!W$17</f>
        <v>48067.5</v>
      </c>
      <c r="V16" s="252">
        <f>(($S$6*Sensativities!X22)*Sensativities!X35)*Sensativities!X$17</f>
        <v>37320.1</v>
      </c>
      <c r="W16" s="252">
        <f>(($T$6*Sensativities!Y22)*Sensativities!Y35)*Sensativities!Y$17</f>
        <v>40426</v>
      </c>
      <c r="X16" s="252">
        <f>(($U$6*Sensativities!Z22)*Sensativities!Z35)*Sensativities!Z$17</f>
        <v>46736.399999999994</v>
      </c>
      <c r="Y16" s="252">
        <f>(($V$6*Sensativities!AA22)*Sensativities!AA35)*Sensativities!AA$17</f>
        <v>42743.1</v>
      </c>
      <c r="Z16" s="252">
        <f>(($W$6*Sensativities!AB22)*Sensativities!AB35)*Sensativities!AB$17</f>
        <v>34510</v>
      </c>
      <c r="AA16" s="252">
        <f>(($X$6*Sensativities!AC22)*Sensativities!AC35)*Sensativities!AC$17</f>
        <v>33869.1</v>
      </c>
      <c r="AB16" s="252">
        <f>(($Y$6*Sensativities!AD22)*Sensativities!AD35)*Sensativities!AD$17</f>
        <v>26572.7</v>
      </c>
      <c r="AC16" s="278">
        <f>(($Z$6*Sensativities!AE22)*Sensativities!AE35)*Sensativities!AE$17</f>
        <v>34608.6</v>
      </c>
      <c r="AD16" s="252">
        <f>(($AA$6*Sensativities!AF22)*Sensativities!AF35)*Sensativities!AF$17</f>
        <v>36876.400000000001</v>
      </c>
      <c r="AE16" s="252">
        <f>(($AB$6*Sensativities!AG22)*Sensativities!AG35)*Sensativities!AG$17</f>
        <v>38503.299999999996</v>
      </c>
      <c r="AF16" s="252">
        <f>(($AC$6*Sensativities!AH22)*Sensativities!AH35)*Sensativities!AH$17</f>
        <v>47538.346666666665</v>
      </c>
      <c r="AG16" s="252">
        <f>(($AD$6*Sensativities!AI22)*Sensativities!AI35)*Sensativities!AI$17</f>
        <v>47959.039999999994</v>
      </c>
      <c r="AH16" s="252">
        <f>(($AE$6*Sensativities!AJ22)*Sensativities!AJ35)*Sensativities!AJ$17</f>
        <v>72118.857142857145</v>
      </c>
      <c r="AI16" s="252">
        <f>(($AF$6*Sensativities!AK22)*Sensativities!AK35)*Sensativities!AK$17</f>
        <v>64906.971428571436</v>
      </c>
      <c r="AJ16" s="252">
        <f>(($AG$6*Sensativities!AL22)*Sensativities!AL35)*Sensativities!AL$17</f>
        <v>38463.390476190478</v>
      </c>
      <c r="AK16" s="252">
        <f>(($AH$6*Sensativities!AM22)*Sensativities!AM35)*Sensativities!AM$17</f>
        <v>28847.54285714286</v>
      </c>
      <c r="AL16" s="608">
        <f>(($AI$6*Sensativities!AN22)*Sensativities!AN35)*Sensativities!AN$17</f>
        <v>70998.13359787497</v>
      </c>
      <c r="AM16" s="608">
        <f>(($AJ$6*Sensativities!AO22)*Sensativities!AO35)*Sensativities!AO$17</f>
        <v>70998.13359787497</v>
      </c>
      <c r="AN16" s="608">
        <f>(($AK$6*Sensativities!AP22)*Sensativities!AP35)*Sensativities!AP$17</f>
        <v>70998.13359787497</v>
      </c>
      <c r="AO16" s="608">
        <f>(($AK$6*Sensativities!AQ22)*Sensativities!AQ35)*Sensativities!AQ$17</f>
        <v>70998.13359787497</v>
      </c>
      <c r="AP16" s="608">
        <f>(($AK$6*Sensativities!AR22)*Sensativities!AR35)*Sensativities!AR$17</f>
        <v>70998.13359787497</v>
      </c>
      <c r="AQ16" s="608">
        <f>(($AK$6*Sensativities!AS22)*Sensativities!AS35)*Sensativities!AS$17</f>
        <v>70998.13359787497</v>
      </c>
      <c r="AR16" s="608">
        <f>(($AK$6*Sensativities!AT22)*Sensativities!AT35)*Sensativities!AT$17</f>
        <v>70998.13359787497</v>
      </c>
      <c r="AS16" s="608">
        <f>(($AK$6*Sensativities!AU22)*Sensativities!AU35)*Sensativities!AU$17</f>
        <v>70998.13359787497</v>
      </c>
      <c r="AT16" s="608">
        <f>(($AK$6*Sensativities!AV22)*Sensativities!AV35)*Sensativities!AV$17</f>
        <v>70998.13359787497</v>
      </c>
      <c r="AU16" s="608">
        <f>(($AK$6*Sensativities!AW22)*Sensativities!AW35)*Sensativities!AW$17</f>
        <v>70998.13359787497</v>
      </c>
      <c r="AV16" s="608">
        <f>(($AK$6*Sensativities!AX22)*Sensativities!AX35)*Sensativities!AX$17</f>
        <v>70998.13359787497</v>
      </c>
      <c r="AW16" s="608">
        <f>(($AK$6*Sensativities!AY22)*Sensativities!AY35)*Sensativities!AY$17</f>
        <v>70998.13359787497</v>
      </c>
    </row>
    <row r="17" spans="1:49" x14ac:dyDescent="0.2">
      <c r="A17" s="242" t="s">
        <v>203</v>
      </c>
      <c r="B17" s="252">
        <v>27123.691966428476</v>
      </c>
      <c r="C17" s="271">
        <v>27123.691966428476</v>
      </c>
      <c r="D17" s="271">
        <v>27123.691966428476</v>
      </c>
      <c r="E17" s="271">
        <v>27123.691966428476</v>
      </c>
      <c r="F17" s="270">
        <f>(($B$6*Sensativities!H23)*Sensativities!H36)*Sensativities!H$17</f>
        <v>23272.927679216529</v>
      </c>
      <c r="G17" s="252">
        <f>(($C$6*Sensativities!H23)*Sensativities!H36)*Sensativities!H$17</f>
        <v>33100.474866263874</v>
      </c>
      <c r="H17" s="252">
        <f>(($D$6*Sensativities!J23)*Sensativities!J36)*Sensativities!J$17</f>
        <v>38716.21611600522</v>
      </c>
      <c r="I17" s="252">
        <f>(($E$6*Sensativities!K23)*Sensativities!K36)*Sensativities!K$17</f>
        <v>38662.218603988484</v>
      </c>
      <c r="J17" s="252">
        <f>(($F$6*Sensativities!L23)*Sensativities!L36)*Sensativities!L$17</f>
        <v>41956.066837009843</v>
      </c>
      <c r="K17" s="252">
        <f>(($G$6*Sensativities!M23)*Sensativities!M36)*Sensativities!M$17</f>
        <v>32668.494770129932</v>
      </c>
      <c r="L17" s="252">
        <f>(($H$6*Sensativities!N23)*Sensativities!N36)*Sensativities!N$17</f>
        <v>28672.678880890897</v>
      </c>
      <c r="M17" s="252">
        <f>(($I$6*Sensativities!O23)*Sensativities!O36)*Sensativities!O$17</f>
        <v>32290.512186012729</v>
      </c>
      <c r="N17" s="252">
        <f>(($J$6*Sensativities!P23)*Sensativities!P36)*Sensativities!P$17</f>
        <v>31879.300363731374</v>
      </c>
      <c r="O17" s="252">
        <f>(($K$6*Sensativities!Q23)*Sensativities!Q36)*Sensativities!Q$17</f>
        <v>39615.482373822539</v>
      </c>
      <c r="P17" s="252">
        <f>(($L$6*Sensativities!R23)*Sensativities!R36)*Sensativities!R$17</f>
        <v>32035.062417625824</v>
      </c>
      <c r="Q17" s="252">
        <f>(($M$6*Sensativities!S23)*Sensativities!S36)*Sensativities!S$17</f>
        <v>28089.090385633015</v>
      </c>
      <c r="R17" s="252">
        <f>(($N$6*Sensativities!T23)*Sensativities!T36)*Sensativities!T$17</f>
        <v>39044.354842876208</v>
      </c>
      <c r="S17" s="252">
        <f>(($O$6*Sensativities!U23)*Sensativities!U36)*Sensativities!U$17</f>
        <v>32761.952002466605</v>
      </c>
      <c r="T17" s="252">
        <f>(($P$6*Sensativities!V23)*Sensativities!V36)*Sensativities!V$17</f>
        <v>39927.006481611439</v>
      </c>
      <c r="U17" s="252">
        <f>(($Q$6*Sensativities!W23)*Sensativities!W36)*Sensativities!W$17</f>
        <v>40550.054697189247</v>
      </c>
      <c r="V17" s="252">
        <f>(($R$6*Sensativities!X23)*Sensativities!X36)*Sensativities!X$17</f>
        <v>50622.667515697205</v>
      </c>
      <c r="W17" s="252">
        <f>(($S$6*Sensativities!Y23)*Sensativities!Y36)*Sensativities!Y$17</f>
        <v>39303.958266033631</v>
      </c>
      <c r="X17" s="252">
        <f>(($T$6*Sensativities!Z23)*Sensativities!Z36)*Sensativities!Z$17</f>
        <v>42574.961397817147</v>
      </c>
      <c r="Y17" s="252">
        <f>(($U$6*Sensativities!AA23)*Sensativities!AA36)*Sensativities!AA$17</f>
        <v>49220.809030647128</v>
      </c>
      <c r="Z17" s="252">
        <f>(($V$6*Sensativities!AB23)*Sensativities!AB36)*Sensativities!AB$17</f>
        <v>45015.23357549691</v>
      </c>
      <c r="AA17" s="252">
        <f>(($W$6*Sensativities!AC23)*Sensativities!AC36)*Sensativities!AC$17</f>
        <v>36344.479242039022</v>
      </c>
      <c r="AB17" s="252">
        <f>(($X$6*Sensativities!AD23)*Sensativities!AD36)*Sensativities!AD$17</f>
        <v>35669.510341829729</v>
      </c>
      <c r="AC17" s="252">
        <f>(($Y$6*Sensativities!AE23)*Sensativities!AE36)*Sensativities!AE$17</f>
        <v>27985.24901637005</v>
      </c>
      <c r="AD17" s="278">
        <f>(($Z$6*Sensativities!AF23)*Sensativities!AF36)*Sensativities!AF$17</f>
        <v>36448.320611301999</v>
      </c>
      <c r="AE17" s="252">
        <f>(($AA$6*Sensativities!AG23)*Sensativities!AG36)*Sensativities!AG$17</f>
        <v>38836.672104350269</v>
      </c>
      <c r="AF17" s="252">
        <f>(($AB$6*Sensativities!AH23)*Sensativities!AH36)*Sensativities!AH$17</f>
        <v>28385.038288032476</v>
      </c>
      <c r="AG17" s="252">
        <f>(($AC$6*Sensativities!AI23)*Sensativities!AI36)*Sensativities!AI$17</f>
        <v>50065.385500652606</v>
      </c>
      <c r="AH17" s="252">
        <f>(($AD$6*Sensativities!AJ23)*Sensativities!AJ36)*Sensativities!AJ$17</f>
        <v>86585.900587727898</v>
      </c>
      <c r="AI17" s="252">
        <f>(($AE$6*Sensativities!AK23)*Sensativities!AK36)*Sensativities!AK$17</f>
        <v>75952.544375199912</v>
      </c>
      <c r="AJ17" s="252">
        <f>(($AF$6*Sensativities!AL23)*Sensativities!AL36)*Sensativities!AL$17</f>
        <v>45571.526625119957</v>
      </c>
      <c r="AK17" s="252">
        <f>(($AG$6*Sensativities!AM23)*Sensativities!AM36)*Sensativities!AM$17</f>
        <v>30381.017750079969</v>
      </c>
      <c r="AL17" s="608">
        <f>(($AH$6*Sensativities!AN23)*Sensativities!AN36)*Sensativities!AN$17</f>
        <v>50635.029583466618</v>
      </c>
      <c r="AM17" s="608">
        <f>(($AI$6*Sensativities!AO23)*Sensativities!AO36)*Sensativities!AO$17</f>
        <v>74772.245516414972</v>
      </c>
      <c r="AN17" s="608">
        <f>(($AJ$6*Sensativities!AP23)*Sensativities!AP36)*Sensativities!AP$17</f>
        <v>74772.245516414972</v>
      </c>
      <c r="AO17" s="606">
        <f>(($AK$6*Sensativities!AQ23)*Sensativities!AQ36)*Sensativities!AQ$17</f>
        <v>74772.245516414972</v>
      </c>
      <c r="AP17" s="606">
        <f>(($AK$6*Sensativities!AR23)*Sensativities!AR36)*Sensativities!AR$17</f>
        <v>74772.245516414972</v>
      </c>
      <c r="AQ17" s="606">
        <f>(($AK$6*Sensativities!AS23)*Sensativities!AS36)*Sensativities!AS$17</f>
        <v>74772.245516414972</v>
      </c>
      <c r="AR17" s="606">
        <f>(($AK$6*Sensativities!AT23)*Sensativities!AT36)*Sensativities!AT$17</f>
        <v>74772.245516414972</v>
      </c>
      <c r="AS17" s="606">
        <f>(($AK$6*Sensativities!AU23)*Sensativities!AU36)*Sensativities!AU$17</f>
        <v>74772.245516414972</v>
      </c>
      <c r="AT17" s="606">
        <f>(($AK$6*Sensativities!AV23)*Sensativities!AV36)*Sensativities!AV$17</f>
        <v>74772.245516414972</v>
      </c>
      <c r="AU17" s="606">
        <f>(($AK$6*Sensativities!AW23)*Sensativities!AW36)*Sensativities!AW$17</f>
        <v>74772.245516414972</v>
      </c>
      <c r="AV17" s="606">
        <f>(($AK$6*Sensativities!AX23)*Sensativities!AX36)*Sensativities!AX$17</f>
        <v>74772.245516414972</v>
      </c>
      <c r="AW17" s="606">
        <f>(($AK$6*Sensativities!AY23)*Sensativities!AY36)*Sensativities!AY$17</f>
        <v>74772.245516414972</v>
      </c>
    </row>
    <row r="18" spans="1:49" x14ac:dyDescent="0.2">
      <c r="A18" s="242" t="s">
        <v>267</v>
      </c>
      <c r="B18" s="252">
        <v>29091.391997411323</v>
      </c>
      <c r="C18" s="271">
        <v>29091.391997411323</v>
      </c>
      <c r="D18" s="271">
        <v>29091.391997411323</v>
      </c>
      <c r="E18" s="271">
        <v>29091.391997411323</v>
      </c>
      <c r="F18" s="271">
        <v>29091.391997411323</v>
      </c>
      <c r="G18" s="270">
        <f>(($B$6*Sensativities!I24)*Sensativities!I37)*Sensativities!I$17</f>
        <v>25285.825076648023</v>
      </c>
      <c r="H18" s="252">
        <f>(($C$6*Sensativities!I24)*Sensativities!I37)*Sensativities!I$17</f>
        <v>35963.366060290573</v>
      </c>
      <c r="I18" s="252">
        <f>(($D$6*Sensativities!K24)*Sensativities!K37)*Sensativities!K$17</f>
        <v>42064.818050943461</v>
      </c>
      <c r="J18" s="252">
        <f>(($E$6*Sensativities!L24)*Sensativities!L37)*Sensativities!L$17</f>
        <v>42006.150243341028</v>
      </c>
      <c r="K18" s="252">
        <f>(($F$6*Sensativities!M24)*Sensativities!M37)*Sensativities!M$17</f>
        <v>45584.886507089359</v>
      </c>
      <c r="L18" s="252">
        <f>(($G$6*Sensativities!N24)*Sensativities!N37)*Sensativities!N$17</f>
        <v>35494.023599471126</v>
      </c>
      <c r="M18" s="252">
        <f>(($H$6*Sensativities!O24)*Sensativities!O37)*Sensativities!O$17</f>
        <v>31152.605836891184</v>
      </c>
      <c r="N18" s="252">
        <f>(($I$6*Sensativities!P24)*Sensativities!P37)*Sensativities!P$17</f>
        <v>33733.989371398173</v>
      </c>
      <c r="O18" s="252">
        <f>(($J$6*Sensativities!Q24)*Sensativities!Q37)*Sensativities!Q$17</f>
        <v>34636.571026820195</v>
      </c>
      <c r="P18" s="252">
        <f>(($K$6*Sensativities!R24)*Sensativities!R37)*Sensativities!R$17</f>
        <v>43041.862692937808</v>
      </c>
      <c r="Q18" s="252">
        <f>(($L$6*Sensativities!S24)*Sensativities!S37)*Sensativities!S$17</f>
        <v>34805.805087211826</v>
      </c>
      <c r="R18" s="252">
        <f>(($M$6*Sensativities!T24)*Sensativities!T37)*Sensativities!T$17</f>
        <v>30518.542223957218</v>
      </c>
      <c r="S18" s="252">
        <f>(($N$6*Sensativities!U24)*Sensativities!U37)*Sensativities!U$17</f>
        <v>42421.337804835166</v>
      </c>
      <c r="T18" s="252">
        <f>(($O$6*Sensativities!V24)*Sensativities!V37)*Sensativities!V$17</f>
        <v>35595.564035706098</v>
      </c>
      <c r="U18" s="252">
        <f>(($P$6*Sensativities!W24)*Sensativities!W37)*Sensativities!W$17</f>
        <v>43380.33081372107</v>
      </c>
      <c r="V18" s="252">
        <f>(($Q$6*Sensativities!X24)*Sensativities!X37)*Sensativities!X$17</f>
        <v>44057.267055287579</v>
      </c>
      <c r="W18" s="252">
        <f>(($R$6*Sensativities!Y24)*Sensativities!Y37)*Sensativities!Y$17</f>
        <v>55001.069627279627</v>
      </c>
      <c r="X18" s="252">
        <f>(($S$6*Sensativities!Z24)*Sensativities!Z37)*Sensativities!Z$17</f>
        <v>42703.394572154546</v>
      </c>
      <c r="Y18" s="252">
        <f>(($T$6*Sensativities!AA24)*Sensativities!AA37)*Sensativities!AA$17</f>
        <v>46257.309840378766</v>
      </c>
      <c r="Z18" s="252">
        <f>(($U$6*Sensativities!AB24)*Sensativities!AB37)*Sensativities!AB$17</f>
        <v>53477.96308375497</v>
      </c>
      <c r="AA18" s="252">
        <f>(($V$6*Sensativities!AC24)*Sensativities!AC37)*Sensativities!AC$17</f>
        <v>48908.643453180965</v>
      </c>
      <c r="AB18" s="252">
        <f>(($W$6*Sensativities!AD24)*Sensativities!AD37)*Sensativities!AD$17</f>
        <v>39487.94742471358</v>
      </c>
      <c r="AC18" s="252">
        <f>(($X$6*Sensativities!AE24)*Sensativities!AE37)*Sensativities!AE$17</f>
        <v>38754.599829683189</v>
      </c>
      <c r="AD18" s="252">
        <f>(($Y$6*Sensativities!AF24)*Sensativities!AF37)*Sensativities!AF$17</f>
        <v>30405.719517029458</v>
      </c>
      <c r="AE18" s="278">
        <f>(($Z$6*Sensativities!AG24)*Sensativities!AG37)*Sensativities!AG$17</f>
        <v>39600.770131641337</v>
      </c>
      <c r="AF18" s="252">
        <f>(($AA$6*Sensativities!AH24)*Sensativities!AH37)*Sensativities!AH$17</f>
        <v>29536.984673685762</v>
      </c>
      <c r="AG18" s="252">
        <f>(($AB$6*Sensativities!AI24)*Sensativities!AI37)*Sensativities!AI$17</f>
        <v>30840.086938701308</v>
      </c>
      <c r="AH18" s="252">
        <f>(($AC$6*Sensativities!AJ24)*Sensativities!AJ37)*Sensativities!AJ$17</f>
        <v>93249.579028744032</v>
      </c>
      <c r="AI18" s="252">
        <f>(($AD$6*Sensativities!AK24)*Sensativities!AK37)*Sensativities!AK$17</f>
        <v>94074.796542272743</v>
      </c>
      <c r="AJ18" s="252">
        <f>(($AE$6*Sensativities!AL24)*Sensativities!AL37)*Sensativities!AL$17</f>
        <v>55014.500901913889</v>
      </c>
      <c r="AK18" s="252">
        <f>(($AF$6*Sensativities!AM24)*Sensativities!AM37)*Sensativities!AM$17</f>
        <v>37134.788108791879</v>
      </c>
      <c r="AL18" s="608">
        <f>(($AG$6*Sensativities!AN24)*Sensativities!AN37)*Sensativities!AN$17</f>
        <v>55014.500901913889</v>
      </c>
      <c r="AM18" s="608">
        <f>(($AH$6*Sensativities!AO24)*Sensativities!AO37)*Sensativities!AO$17</f>
        <v>55014.500901913889</v>
      </c>
      <c r="AN18" s="608">
        <f>(($AI$6*Sensativities!AP24)*Sensativities!AP37)*Sensativities!AP$17</f>
        <v>81239.367336009222</v>
      </c>
      <c r="AO18" s="606">
        <f>(($AJ$6*Sensativities!AQ24)*Sensativities!AQ37)*Sensativities!AQ$17</f>
        <v>81239.367336009222</v>
      </c>
      <c r="AP18" s="606">
        <f>(($AK$6*Sensativities!AR24)*Sensativities!AR37)*Sensativities!AR$17</f>
        <v>81239.367336009222</v>
      </c>
      <c r="AQ18" s="606">
        <f>(($AK$6*Sensativities!AS24)*Sensativities!AS37)*Sensativities!AS$17</f>
        <v>81239.367336009222</v>
      </c>
      <c r="AR18" s="606">
        <f>(($AK$6*Sensativities!AT24)*Sensativities!AT37)*Sensativities!AT$17</f>
        <v>81239.367336009222</v>
      </c>
      <c r="AS18" s="606">
        <f>(($AK$6*Sensativities!AU24)*Sensativities!AU37)*Sensativities!AU$17</f>
        <v>81239.367336009222</v>
      </c>
      <c r="AT18" s="606">
        <f>(($AK$6*Sensativities!AV24)*Sensativities!AV37)*Sensativities!AV$17</f>
        <v>81239.367336009222</v>
      </c>
      <c r="AU18" s="606">
        <f>(($AK$6*Sensativities!AW24)*Sensativities!AW37)*Sensativities!AW$17</f>
        <v>81239.367336009222</v>
      </c>
      <c r="AV18" s="606">
        <f>(($AK$6*Sensativities!AX24)*Sensativities!AX37)*Sensativities!AX$17</f>
        <v>81239.367336009222</v>
      </c>
      <c r="AW18" s="606">
        <f>(($AK$6*Sensativities!AY24)*Sensativities!AY37)*Sensativities!AY$17</f>
        <v>81239.367336009222</v>
      </c>
    </row>
    <row r="19" spans="1:49" x14ac:dyDescent="0.2">
      <c r="A19" s="242" t="s">
        <v>268</v>
      </c>
      <c r="B19" s="252">
        <v>25427.923980053885</v>
      </c>
      <c r="C19" s="271">
        <v>25427.923980053885</v>
      </c>
      <c r="D19" s="271">
        <v>25427.923980053885</v>
      </c>
      <c r="E19" s="271">
        <v>25427.923980053885</v>
      </c>
      <c r="F19" s="271">
        <v>25427.923980053885</v>
      </c>
      <c r="G19" s="271">
        <v>25427.923980053885</v>
      </c>
      <c r="H19" s="270">
        <f>(($B$6*Sensativities!J25)*Sensativities!J38)*Sensativities!J$17</f>
        <v>21496.876867124269</v>
      </c>
      <c r="I19" s="252">
        <f>(($C$6*Sensativities!J25)*Sensativities!J38)*Sensativities!J$17</f>
        <v>30574.44436089832</v>
      </c>
      <c r="J19" s="252">
        <f>(($D$6*Sensativities!L25)*Sensativities!L38)*Sensativities!L$17</f>
        <v>35761.625785912067</v>
      </c>
      <c r="K19" s="252">
        <f>(($E$6*Sensativities!M25)*Sensativities!M38)*Sensativities!M$17</f>
        <v>35711.749041440773</v>
      </c>
      <c r="L19" s="252">
        <f>(($F$6*Sensativities!N25)*Sensativities!N38)*Sensativities!N$17</f>
        <v>38754.230454189223</v>
      </c>
      <c r="M19" s="252">
        <f>(($G$6*Sensativities!O25)*Sensativities!O38)*Sensativities!O$17</f>
        <v>30175.430405128031</v>
      </c>
      <c r="N19" s="252">
        <f>(($H$6*Sensativities!P25)*Sensativities!P38)*Sensativities!P$17</f>
        <v>25465.914725243143</v>
      </c>
      <c r="O19" s="252">
        <f>(($I$6*Sensativities!Q25)*Sensativities!Q38)*Sensativities!Q$17</f>
        <v>28679.128070989456</v>
      </c>
      <c r="P19" s="252">
        <f>(($J$6*Sensativities!R25)*Sensativities!R38)*Sensativities!R$17</f>
        <v>29446.462601316933</v>
      </c>
      <c r="Q19" s="252">
        <f>(($K$6*Sensativities!S25)*Sensativities!S38)*Sensativities!S$17</f>
        <v>36592.265414991554</v>
      </c>
      <c r="R19" s="252">
        <f>(($L$6*Sensativities!T25)*Sensativities!T38)*Sensativities!T$17</f>
        <v>29590.337825753337</v>
      </c>
      <c r="S19" s="252">
        <f>(($M$6*Sensativities!U25)*Sensativities!U38)*Sensativities!U$17</f>
        <v>25945.498806697815</v>
      </c>
      <c r="T19" s="252">
        <f>(($N$6*Sensativities!V25)*Sensativities!V38)*Sensativities!V$17</f>
        <v>36064.722925391419</v>
      </c>
      <c r="U19" s="252">
        <f>(($O$6*Sensativities!W25)*Sensativities!W38)*Sensativities!W$17</f>
        <v>30261.755539789872</v>
      </c>
      <c r="V19" s="252">
        <f>(($P$6*Sensativities!X25)*Sensativities!X38)*Sensativities!X$17</f>
        <v>36880.015863864362</v>
      </c>
      <c r="W19" s="252">
        <f>(($Q$6*Sensativities!Y25)*Sensativities!Y38)*Sensativities!Y$17</f>
        <v>37455.516761609972</v>
      </c>
      <c r="X19" s="252">
        <f>(($R$6*Sensativities!Z25)*Sensativities!Z38)*Sensativities!Z$17</f>
        <v>46759.447941830629</v>
      </c>
      <c r="Y19" s="252">
        <f>(($S$6*Sensativities!AA25)*Sensativities!AA38)*Sensativities!AA$17</f>
        <v>36304.514966118753</v>
      </c>
      <c r="Z19" s="252">
        <f>(($T$6*Sensativities!AB25)*Sensativities!AB38)*Sensativities!AB$17</f>
        <v>39325.894679283199</v>
      </c>
      <c r="AA19" s="252">
        <f>(($U$6*Sensativities!AC25)*Sensativities!AC38)*Sensativities!AC$17</f>
        <v>45464.57092190301</v>
      </c>
      <c r="AB19" s="252">
        <f>(($V$6*Sensativities!AD25)*Sensativities!AD38)*Sensativities!AD$17</f>
        <v>41579.939862120169</v>
      </c>
      <c r="AC19" s="252">
        <f>(($W$6*Sensativities!AE25)*Sensativities!AE38)*Sensativities!AE$17</f>
        <v>33570.885701827116</v>
      </c>
      <c r="AD19" s="252">
        <f>(($X$6*Sensativities!AF25)*Sensativities!AF38)*Sensativities!AF$17</f>
        <v>32947.426395936047</v>
      </c>
      <c r="AE19" s="252">
        <f>(($Y$6*Sensativities!AG25)*Sensativities!AG38)*Sensativities!AG$17</f>
        <v>25849.581990406885</v>
      </c>
      <c r="AF19" s="278">
        <f>(($Z$6*Sensativities!AH25)*Sensativities!AH38)*Sensativities!AH$17</f>
        <v>23566.761762682643</v>
      </c>
      <c r="AG19" s="252">
        <f>(($AA$6*Sensativities!AI25)*Sensativities!AI38)*Sensativities!AI$17</f>
        <v>25111.022504966691</v>
      </c>
      <c r="AH19" s="252">
        <f>(($AB$6*Sensativities!AJ25)*Sensativities!AJ38)*Sensativities!AJ$17</f>
        <v>44946.62011393196</v>
      </c>
      <c r="AI19" s="252">
        <f>(($AC$6*Sensativities!AK25)*Sensativities!AK38)*Sensativities!AK$17</f>
        <v>79276.618904690171</v>
      </c>
      <c r="AJ19" s="252">
        <f>(($AD$6*Sensativities!AL25)*Sensativities!AL38)*Sensativities!AL$17</f>
        <v>53318.787935897824</v>
      </c>
      <c r="AK19" s="252">
        <f>(($AE$6*Sensativities!AM25)*Sensativities!AM38)*Sensativities!AM$17</f>
        <v>35078.149957827518</v>
      </c>
      <c r="AL19" s="608">
        <f>(($AF$6*Sensativities!AN25)*Sensativities!AN38)*Sensativities!AN$17</f>
        <v>52617.224936741288</v>
      </c>
      <c r="AM19" s="608">
        <f>(($AG$6*Sensativities!AO25)*Sensativities!AO38)*Sensativities!AO$17</f>
        <v>46770.8666104367</v>
      </c>
      <c r="AN19" s="608">
        <f>(($AH$6*Sensativities!AP25)*Sensativities!AP38)*Sensativities!AP$17</f>
        <v>46770.8666104367</v>
      </c>
      <c r="AO19" s="606">
        <f>(($AI$6*Sensativities!AQ25)*Sensativities!AQ38)*Sensativities!AQ$17</f>
        <v>69066.074414874311</v>
      </c>
      <c r="AP19" s="606">
        <f>(($AJ$6*Sensativities!AR25)*Sensativities!AR38)*Sensativities!AR$17</f>
        <v>69066.074414874311</v>
      </c>
      <c r="AQ19" s="606">
        <f>(($AK$6*Sensativities!AS25)*Sensativities!AS38)*Sensativities!AS$17</f>
        <v>69066.074414874311</v>
      </c>
      <c r="AR19" s="606">
        <f>(($AK$6*Sensativities!AT25)*Sensativities!AT38)*Sensativities!AT$17</f>
        <v>69066.074414874311</v>
      </c>
      <c r="AS19" s="606">
        <f>(($AK$6*Sensativities!AU25)*Sensativities!AU38)*Sensativities!AU$17</f>
        <v>69066.074414874311</v>
      </c>
      <c r="AT19" s="606">
        <f>(($AK$6*Sensativities!AV25)*Sensativities!AV38)*Sensativities!AV$17</f>
        <v>69066.074414874311</v>
      </c>
      <c r="AU19" s="606">
        <f>(($AK$6*Sensativities!AW25)*Sensativities!AW38)*Sensativities!AW$17</f>
        <v>69066.074414874311</v>
      </c>
      <c r="AV19" s="606">
        <f>(($AK$6*Sensativities!AX25)*Sensativities!AX38)*Sensativities!AX$17</f>
        <v>69066.074414874311</v>
      </c>
      <c r="AW19" s="606">
        <f>(($AK$6*Sensativities!AY25)*Sensativities!AY38)*Sensativities!AY$17</f>
        <v>69066.074414874311</v>
      </c>
    </row>
    <row r="20" spans="1:49" x14ac:dyDescent="0.2">
      <c r="A20" s="242" t="s">
        <v>269</v>
      </c>
      <c r="B20" s="252">
        <v>17899.231472654494</v>
      </c>
      <c r="C20" s="271">
        <v>17899.231472654494</v>
      </c>
      <c r="D20" s="271">
        <v>17899.231472654494</v>
      </c>
      <c r="E20" s="271">
        <v>17899.231472654494</v>
      </c>
      <c r="F20" s="271">
        <v>17899.231472654494</v>
      </c>
      <c r="G20" s="271">
        <v>17899.231472654494</v>
      </c>
      <c r="H20" s="271">
        <v>17899.231472654494</v>
      </c>
      <c r="I20" s="270">
        <f>(($B$6*Sensativities!K26)*Sensativities!K39)*Sensativities!K$17</f>
        <v>16838.058826644818</v>
      </c>
      <c r="J20" s="252">
        <f>(($C$6*Sensativities!K26)*Sensativities!K39)*Sensativities!K$17</f>
        <v>23948.329607269774</v>
      </c>
      <c r="K20" s="252">
        <f>(($D$6*Sensativities!M26)*Sensativities!M39)*Sensativities!M$17</f>
        <v>28011.341481912608</v>
      </c>
      <c r="L20" s="252">
        <f>(($E$6*Sensativities!N26)*Sensativities!N39)*Sensativities!N$17</f>
        <v>27972.27406004104</v>
      </c>
      <c r="M20" s="252">
        <f>(($F$6*Sensativities!O26)*Sensativities!O39)*Sensativities!O$17</f>
        <v>30355.386794206552</v>
      </c>
      <c r="N20" s="252">
        <f>(($G$6*Sensativities!P26)*Sensativities!P39)*Sensativities!P$17</f>
        <v>22726.721377208898</v>
      </c>
      <c r="O20" s="252">
        <f>(($H$6*Sensativities!Q26)*Sensativities!Q39)*Sensativities!Q$17</f>
        <v>19946.924051732105</v>
      </c>
      <c r="P20" s="252">
        <f>(($I$6*Sensativities!R26)*Sensativities!R39)*Sensativities!R$17</f>
        <v>22463.767576150283</v>
      </c>
      <c r="Q20" s="252">
        <f>(($J$6*Sensativities!S26)*Sensativities!S39)*Sensativities!S$17</f>
        <v>23064.804835712832</v>
      </c>
      <c r="R20" s="252">
        <f>(($K$6*Sensativities!T26)*Sensativities!T39)*Sensativities!T$17</f>
        <v>28661.964315389068</v>
      </c>
      <c r="S20" s="252">
        <f>(($L$6*Sensativities!U26)*Sensativities!U39)*Sensativities!U$17</f>
        <v>23177.499321880809</v>
      </c>
      <c r="T20" s="252">
        <f>(($M$6*Sensativities!V26)*Sensativities!V39)*Sensativities!V$17</f>
        <v>20322.572338958696</v>
      </c>
      <c r="U20" s="252">
        <f>(($N$6*Sensativities!W26)*Sensativities!W39)*Sensativities!W$17</f>
        <v>28248.751199439816</v>
      </c>
      <c r="V20" s="252">
        <f>(($O$6*Sensativities!X26)*Sensativities!X39)*Sensativities!X$17</f>
        <v>23703.406923998038</v>
      </c>
      <c r="W20" s="252">
        <f>(($P$6*Sensativities!Y26)*Sensativities!Y39)*Sensativities!Y$17</f>
        <v>28887.353287725025</v>
      </c>
      <c r="X20" s="252">
        <f>(($Q$6*Sensativities!Z26)*Sensativities!Z39)*Sensativities!Z$17</f>
        <v>29338.13123239694</v>
      </c>
      <c r="Y20" s="252">
        <f>(($R$6*Sensativities!AA26)*Sensativities!AA39)*Sensativities!AA$17</f>
        <v>36625.708004592852</v>
      </c>
      <c r="Z20" s="252">
        <f>(($S$6*Sensativities!AB26)*Sensativities!AB39)*Sensativities!AB$17</f>
        <v>28436.575343053115</v>
      </c>
      <c r="AA20" s="252">
        <f>(($T$6*Sensativities!AC26)*Sensativities!AC39)*Sensativities!AC$17</f>
        <v>30803.159552580655</v>
      </c>
      <c r="AB20" s="252">
        <f>(($U$6*Sensativities!AD26)*Sensativities!AD39)*Sensativities!AD$17</f>
        <v>35611.457629081051</v>
      </c>
      <c r="AC20" s="252">
        <f>(($V$6*Sensativities!AE26)*Sensativities!AE39)*Sensativities!AE$17</f>
        <v>32568.706502545643</v>
      </c>
      <c r="AD20" s="252">
        <f>(($W$6*Sensativities!AF26)*Sensativities!AF39)*Sensativities!AF$17</f>
        <v>26295.380105861535</v>
      </c>
      <c r="AE20" s="252">
        <f>(($X$6*Sensativities!AG26)*Sensativities!AG39)*Sensativities!AG$17</f>
        <v>25807.037332466964</v>
      </c>
      <c r="AF20" s="252">
        <f>(($Y$6*Sensativities!AH26)*Sensativities!AH39)*Sensativities!AH$17</f>
        <v>14173.209877059367</v>
      </c>
      <c r="AG20" s="278">
        <f>(($Z$6*Sensativities!AI26)*Sensativities!AI39)*Sensativities!AI$17</f>
        <v>18459.356834314796</v>
      </c>
      <c r="AH20" s="252">
        <f>(($AA$6*Sensativities!AJ26)*Sensativities!AJ39)*Sensativities!AJ$17</f>
        <v>33718.190261459014</v>
      </c>
      <c r="AI20" s="252">
        <f>(($AB$6*Sensativities!AK26)*Sensativities!AK39)*Sensativities!AK$17</f>
        <v>35205.757478876323</v>
      </c>
      <c r="AJ20" s="252">
        <f>(($AC$6*Sensativities!AL26)*Sensativities!AL39)*Sensativities!AL$17</f>
        <v>41397.156772917675</v>
      </c>
      <c r="AK20" s="252">
        <f>(($AD$6*Sensativities!AM26)*Sensativities!AM39)*Sensativities!AM$17</f>
        <v>31322.62746977399</v>
      </c>
      <c r="AL20" s="608">
        <f>(($AE$6*Sensativities!AN26)*Sensativities!AN39)*Sensativities!AN$17</f>
        <v>45793.315014289474</v>
      </c>
      <c r="AM20" s="608">
        <f>(($AF$6*Sensativities!AO26)*Sensativities!AO39)*Sensativities!AO$17</f>
        <v>41213.983512860534</v>
      </c>
      <c r="AN20" s="608">
        <f>(($AG$6*Sensativities!AP26)*Sensativities!AP39)*Sensativities!AP$17</f>
        <v>36634.652011431579</v>
      </c>
      <c r="AO20" s="606">
        <f>(($AH$6*Sensativities!AQ26)*Sensativities!AQ39)*Sensativities!AQ$17</f>
        <v>36634.652011431579</v>
      </c>
      <c r="AP20" s="606">
        <f>(($AI$6*Sensativities!AR26)*Sensativities!AR39)*Sensativities!AR$17</f>
        <v>54098.026941838907</v>
      </c>
      <c r="AQ20" s="606">
        <f>(($AJ$6*Sensativities!AS26)*Sensativities!AS39)*Sensativities!AS$17</f>
        <v>54098.026941838907</v>
      </c>
      <c r="AR20" s="606">
        <f>(($AK$6*Sensativities!AT26)*Sensativities!AT39)*Sensativities!AT$17</f>
        <v>54098.026941838907</v>
      </c>
      <c r="AS20" s="606">
        <f>(($AK$6*Sensativities!AU26)*Sensativities!AU39)*Sensativities!AU$17</f>
        <v>54098.026941838907</v>
      </c>
      <c r="AT20" s="606">
        <f>(($AK$6*Sensativities!AV26)*Sensativities!AV39)*Sensativities!AV$17</f>
        <v>54098.026941838907</v>
      </c>
      <c r="AU20" s="606">
        <f>(($AK$6*Sensativities!AW26)*Sensativities!AW39)*Sensativities!AW$17</f>
        <v>54098.026941838907</v>
      </c>
      <c r="AV20" s="606">
        <f>(($AK$6*Sensativities!AX26)*Sensativities!AX39)*Sensativities!AX$17</f>
        <v>54098.026941838907</v>
      </c>
      <c r="AW20" s="606">
        <f>(($AK$6*Sensativities!AY26)*Sensativities!AY39)*Sensativities!AY$17</f>
        <v>54098.026941838907</v>
      </c>
    </row>
    <row r="21" spans="1:49" x14ac:dyDescent="0.2">
      <c r="A21" s="242" t="s">
        <v>270</v>
      </c>
      <c r="B21" s="252">
        <v>18064.688984504584</v>
      </c>
      <c r="C21" s="271">
        <v>18064.688984504584</v>
      </c>
      <c r="D21" s="271">
        <v>18064.688984504584</v>
      </c>
      <c r="E21" s="271">
        <v>18064.688984504584</v>
      </c>
      <c r="F21" s="271">
        <v>18064.688984504584</v>
      </c>
      <c r="G21" s="271">
        <v>18064.688984504584</v>
      </c>
      <c r="H21" s="271">
        <v>18064.688984504584</v>
      </c>
      <c r="I21" s="271">
        <v>18064.688984504584</v>
      </c>
      <c r="J21" s="270">
        <f>(($B$6*Sensativities!L27)*Sensativities!L40)*Sensativities!L$17</f>
        <v>14958.702769047501</v>
      </c>
      <c r="K21" s="252">
        <f>(($C$6*Sensativities!L27)*Sensativities!L40)*Sensativities!L$17</f>
        <v>21275.370759689369</v>
      </c>
      <c r="L21" s="252">
        <f>(($D$6*Sensativities!N27)*Sensativities!N40)*Sensativities!N$17</f>
        <v>24884.895325770438</v>
      </c>
      <c r="M21" s="252">
        <f>(($E$6*Sensativities!O27)*Sensativities!O40)*Sensativities!O$17</f>
        <v>24850.188358788891</v>
      </c>
      <c r="N21" s="252">
        <f>(($F$6*Sensativities!P27)*Sensativities!P40)*Sensativities!P$17</f>
        <v>25930.108985253231</v>
      </c>
      <c r="O21" s="252">
        <f>(($G$6*Sensativities!Q27)*Sensativities!Q40)*Sensativities!Q$17</f>
        <v>20190.110599843254</v>
      </c>
      <c r="P21" s="252">
        <f>(($H$6*Sensativities!R27)*Sensativities!R40)*Sensativities!R$17</f>
        <v>17720.576410771515</v>
      </c>
      <c r="Q21" s="252">
        <f>(($I$6*Sensativities!S27)*Sensativities!S40)*Sensativities!S$17</f>
        <v>19956.506014390521</v>
      </c>
      <c r="R21" s="252">
        <f>(($J$6*Sensativities!T27)*Sensativities!T40)*Sensativities!T$17</f>
        <v>20490.459352568192</v>
      </c>
      <c r="S21" s="252">
        <f>(($K$6*Sensativities!U27)*Sensativities!U40)*Sensativities!U$17</f>
        <v>25462.899814347769</v>
      </c>
      <c r="T21" s="252">
        <f>(($L$6*Sensativities!V27)*Sensativities!V40)*Sensativities!V$17</f>
        <v>20590.575603476507</v>
      </c>
      <c r="U21" s="252">
        <f>(($M$6*Sensativities!W27)*Sensativities!W40)*Sensativities!W$17</f>
        <v>18054.297247132559</v>
      </c>
      <c r="V21" s="252">
        <f>(($N$6*Sensativities!X27)*Sensativities!X40)*Sensativities!X$17</f>
        <v>25095.806894350619</v>
      </c>
      <c r="W21" s="252">
        <f>(($O$6*Sensativities!Y27)*Sensativities!Y40)*Sensativities!Y$17</f>
        <v>21057.784774381973</v>
      </c>
      <c r="X21" s="252">
        <f>(($P$6*Sensativities!Z27)*Sensativities!Z40)*Sensativities!Z$17</f>
        <v>25663.132316164396</v>
      </c>
      <c r="Y21" s="252">
        <f>(($Q$6*Sensativities!AA27)*Sensativities!AA40)*Sensativities!AA$17</f>
        <v>26063.597319797653</v>
      </c>
      <c r="Z21" s="252">
        <f>(($R$6*Sensativities!AB27)*Sensativities!AB40)*Sensativities!AB$17</f>
        <v>32537.781545201935</v>
      </c>
      <c r="AA21" s="252">
        <f>(($S$6*Sensativities!AC27)*Sensativities!AC40)*Sensativities!AC$17</f>
        <v>25262.667312531143</v>
      </c>
      <c r="AB21" s="252">
        <f>(($T$6*Sensativities!AD27)*Sensativities!AD40)*Sensativities!AD$17</f>
        <v>27365.108581605731</v>
      </c>
      <c r="AC21" s="252">
        <f>(($U$6*Sensativities!AE27)*Sensativities!AE40)*Sensativities!AE$17</f>
        <v>31636.735287027113</v>
      </c>
      <c r="AD21" s="252">
        <f>(($V$6*Sensativities!AF27)*Sensativities!AF40)*Sensativities!AF$17</f>
        <v>28933.596512502641</v>
      </c>
      <c r="AE21" s="252">
        <f>(($W$6*Sensativities!AG27)*Sensativities!AG40)*Sensativities!AG$17</f>
        <v>23360.458545273184</v>
      </c>
      <c r="AF21" s="252">
        <f>(($X$6*Sensativities!AH27)*Sensativities!AH40)*Sensativities!AH$17</f>
        <v>16048.635020602678</v>
      </c>
      <c r="AG21" s="252">
        <f>(($Y$6*Sensativities!AI27)*Sensativities!AI40)*Sensativities!AI$17</f>
        <v>12591.287155902246</v>
      </c>
      <c r="AH21" s="278">
        <f>(($Z$6*Sensativities!AJ27)*Sensativities!AJ40)*Sensativities!AJ$17</f>
        <v>28112.643255054467</v>
      </c>
      <c r="AI21" s="252">
        <f>(($AA$6*Sensativities!AK27)*Sensativities!AK40)*Sensativities!AK$17</f>
        <v>29954.782271767443</v>
      </c>
      <c r="AJ21" s="252">
        <f>(($AB$6*Sensativities!AL27)*Sensativities!AL40)*Sensativities!AL$17</f>
        <v>20850.87785583812</v>
      </c>
      <c r="AK21" s="252">
        <f>(($AC$6*Sensativities!AM27)*Sensativities!AM40)*Sensativities!AM$17</f>
        <v>27582.503869292352</v>
      </c>
      <c r="AL21" s="608">
        <f>(($AD$6*Sensativities!AN27)*Sensativities!AN40)*Sensativities!AN$17</f>
        <v>46377.661373146431</v>
      </c>
      <c r="AM21" s="608">
        <f>(($AE$6*Sensativities!AO27)*Sensativities!AO40)*Sensativities!AO$17</f>
        <v>40682.159099251257</v>
      </c>
      <c r="AN21" s="608">
        <f>(($AF$6*Sensativities!AP27)*Sensativities!AP40)*Sensativities!AP$17</f>
        <v>36613.943189326135</v>
      </c>
      <c r="AO21" s="606">
        <f>(($AG$6*Sensativities!AQ27)*Sensativities!AQ40)*Sensativities!AQ$17</f>
        <v>32545.727279401006</v>
      </c>
      <c r="AP21" s="606">
        <f>(($AH$6*Sensativities!AR27)*Sensativities!AR40)*Sensativities!AR$17</f>
        <v>32545.727279401006</v>
      </c>
      <c r="AQ21" s="606">
        <f>(($AI$6*Sensativities!AS27)*Sensativities!AS40)*Sensativities!AS$17</f>
        <v>48059.952382061019</v>
      </c>
      <c r="AR21" s="606">
        <f>(($AJ$6*Sensativities!AT27)*Sensativities!AT40)*Sensativities!AT$17</f>
        <v>48059.952382061019</v>
      </c>
      <c r="AS21" s="606">
        <f>(($AK$6*Sensativities!AU27)*Sensativities!AU40)*Sensativities!AU$17</f>
        <v>48059.952382061019</v>
      </c>
      <c r="AT21" s="606">
        <f>(($AK$6*Sensativities!AV27)*Sensativities!AV40)*Sensativities!AV$17</f>
        <v>48059.952382061019</v>
      </c>
      <c r="AU21" s="606">
        <f>(($AK$6*Sensativities!AW27)*Sensativities!AW40)*Sensativities!AW$17</f>
        <v>48059.952382061019</v>
      </c>
      <c r="AV21" s="606">
        <f>(($AK$6*Sensativities!AX27)*Sensativities!AX40)*Sensativities!AX$17</f>
        <v>48059.952382061019</v>
      </c>
      <c r="AW21" s="606">
        <f>(($AK$6*Sensativities!AY27)*Sensativities!AY40)*Sensativities!AY$17</f>
        <v>48059.952382061019</v>
      </c>
    </row>
    <row r="22" spans="1:49" x14ac:dyDescent="0.2">
      <c r="A22" s="242" t="s">
        <v>271</v>
      </c>
      <c r="B22" s="252">
        <v>17269.144602504981</v>
      </c>
      <c r="C22" s="271">
        <v>17269.144602504981</v>
      </c>
      <c r="D22" s="271">
        <v>17269.144602504981</v>
      </c>
      <c r="E22" s="271">
        <v>17269.144602504981</v>
      </c>
      <c r="F22" s="271">
        <v>17269.144602504981</v>
      </c>
      <c r="G22" s="271">
        <v>17269.144602504981</v>
      </c>
      <c r="H22" s="271">
        <v>17269.144602504981</v>
      </c>
      <c r="I22" s="271">
        <v>17269.144602504981</v>
      </c>
      <c r="J22" s="271">
        <v>17269.144602504981</v>
      </c>
      <c r="K22" s="270">
        <f>(($B$6*Sensativities!M28)*Sensativities!M41)*Sensativities!M$17</f>
        <v>14642.344298451295</v>
      </c>
      <c r="L22" s="252">
        <f>(($C$6*Sensativities!M28)*Sensativities!M41)*Sensativities!M$17</f>
        <v>20825.422401277596</v>
      </c>
      <c r="M22" s="252">
        <f>(($D$6*Sensativities!O28)*Sensativities!O41)*Sensativities!O$17</f>
        <v>24358.609888606912</v>
      </c>
      <c r="N22" s="252">
        <f>(($E$6*Sensativities!P28)*Sensativities!P41)*Sensativities!P$17</f>
        <v>23389.073973074981</v>
      </c>
      <c r="O22" s="252">
        <f>(($F$6*Sensativities!Q28)*Sensativities!Q41)*Sensativities!Q$17</f>
        <v>25381.718543406787</v>
      </c>
      <c r="P22" s="252">
        <f>(($G$6*Sensativities!R28)*Sensativities!R41)*Sensativities!R$17</f>
        <v>19763.114181159726</v>
      </c>
      <c r="Q22" s="252">
        <f>(($H$6*Sensativities!S28)*Sensativities!S41)*Sensativities!S$17</f>
        <v>17345.807653216219</v>
      </c>
      <c r="R22" s="252">
        <f>(($I$6*Sensativities!T28)*Sensativities!T41)*Sensativities!T$17</f>
        <v>19534.450050138043</v>
      </c>
      <c r="S22" s="252">
        <f>(($J$6*Sensativities!U28)*Sensativities!U41)*Sensativities!U$17</f>
        <v>20057.110921044747</v>
      </c>
      <c r="T22" s="252">
        <f>(($K$6*Sensativities!V28)*Sensativities!V41)*Sensativities!V$17</f>
        <v>24924.390281363419</v>
      </c>
      <c r="U22" s="252">
        <f>(($L$6*Sensativities!W28)*Sensativities!W41)*Sensativities!W$17</f>
        <v>20155.109834339753</v>
      </c>
      <c r="V22" s="252">
        <f>(($M$6*Sensativities!X28)*Sensativities!X41)*Sensativities!X$17</f>
        <v>17672.470697532914</v>
      </c>
      <c r="W22" s="252">
        <f>(($N$6*Sensativities!Y28)*Sensativities!Y41)*Sensativities!Y$17</f>
        <v>24565.060932615062</v>
      </c>
      <c r="X22" s="252">
        <f>(($O$6*Sensativities!Z28)*Sensativities!Z41)*Sensativities!Z$17</f>
        <v>20612.438096383121</v>
      </c>
      <c r="Y22" s="252">
        <f>(($P$6*Sensativities!AA28)*Sensativities!AA41)*Sensativities!AA$17</f>
        <v>25120.388107953433</v>
      </c>
      <c r="Z22" s="252">
        <f>(($Q$6*Sensativities!AB28)*Sensativities!AB41)*Sensativities!AB$17</f>
        <v>25512.38376113346</v>
      </c>
      <c r="AA22" s="252">
        <f>(($R$6*Sensativities!AC28)*Sensativities!AC41)*Sensativities!AC$17</f>
        <v>31849.646820877242</v>
      </c>
      <c r="AB22" s="252">
        <f>(($S$6*Sensativities!AD28)*Sensativities!AD41)*Sensativities!AD$17</f>
        <v>24728.392454773406</v>
      </c>
      <c r="AC22" s="252">
        <f>(($T$6*Sensativities!AE28)*Sensativities!AE41)*Sensativities!AE$17</f>
        <v>26786.369633968556</v>
      </c>
      <c r="AD22" s="252">
        <f>(($U$6*Sensativities!AF28)*Sensativities!AF41)*Sensativities!AF$17</f>
        <v>30967.656601222181</v>
      </c>
      <c r="AE22" s="252">
        <f>(($V$6*Sensativities!AG28)*Sensativities!AG41)*Sensativities!AG$17</f>
        <v>28321.685942256994</v>
      </c>
      <c r="AF22" s="252">
        <f>(($W$6*Sensativities!AH28)*Sensativities!AH41)*Sensativities!AH$17</f>
        <v>16006.489171517795</v>
      </c>
      <c r="AG22" s="252">
        <f>(($X$6*Sensativities!AI28)*Sensativities!AI41)*Sensativities!AI$17</f>
        <v>15709.225801189606</v>
      </c>
      <c r="AH22" s="252">
        <f>(($Y$6*Sensativities!AJ28)*Sensativities!AJ41)*Sensativities!AJ$17</f>
        <v>21128.565706403486</v>
      </c>
      <c r="AI22" s="278">
        <f>(($Z$6*Sensativities!AK28)*Sensativities!AK41)*Sensativities!AK$17</f>
        <v>27518.094853237937</v>
      </c>
      <c r="AJ22" s="252">
        <f>(($AA$6*Sensativities!AL28)*Sensativities!AL41)*Sensativities!AL$17</f>
        <v>19547.51657191071</v>
      </c>
      <c r="AK22" s="252">
        <f>(($AB$6*Sensativities!AM28)*Sensativities!AM41)*Sensativities!AM$17</f>
        <v>15307.430256680076</v>
      </c>
      <c r="AL22" s="608">
        <f>(($AC$6*Sensativities!AN28)*Sensativities!AN41)*Sensativities!AN$17</f>
        <v>44998.612123777129</v>
      </c>
      <c r="AM22" s="608">
        <f>(($AD$6*Sensativities!AO28)*Sensativities!AO41)*Sensativities!AO$17</f>
        <v>45396.829930182241</v>
      </c>
      <c r="AN22" s="608">
        <f>(($AE$6*Sensativities!AP28)*Sensativities!AP41)*Sensativities!AP$17</f>
        <v>39821.78064051074</v>
      </c>
      <c r="AO22" s="606">
        <f>(($AF$6*Sensativities!AQ28)*Sensativities!AQ41)*Sensativities!AQ$17</f>
        <v>35839.602576459671</v>
      </c>
      <c r="AP22" s="606">
        <f>(($AG$6*Sensativities!AR28)*Sensativities!AR41)*Sensativities!AR$17</f>
        <v>31857.424512408594</v>
      </c>
      <c r="AQ22" s="606">
        <f>(($AH$6*Sensativities!AS28)*Sensativities!AS41)*Sensativities!AS$17</f>
        <v>31857.424512408594</v>
      </c>
      <c r="AR22" s="606">
        <f>(($AI$6*Sensativities!AT28)*Sensativities!AT41)*Sensativities!AT$17</f>
        <v>47043.54251903628</v>
      </c>
      <c r="AS22" s="606">
        <f>(($AJ$6*Sensativities!AU28)*Sensativities!AU41)*Sensativities!AU$17</f>
        <v>47043.54251903628</v>
      </c>
      <c r="AT22" s="606">
        <f>(($AK$6*Sensativities!AV28)*Sensativities!AV41)*Sensativities!AV$17</f>
        <v>47043.54251903628</v>
      </c>
      <c r="AU22" s="606">
        <f>(($AK$6*Sensativities!AW28)*Sensativities!AW41)*Sensativities!AW$17</f>
        <v>47043.54251903628</v>
      </c>
      <c r="AV22" s="606">
        <f>(($AK$6*Sensativities!AX28)*Sensativities!AX41)*Sensativities!AX$17</f>
        <v>47043.54251903628</v>
      </c>
      <c r="AW22" s="606">
        <f>(($AK$6*Sensativities!AY28)*Sensativities!AY41)*Sensativities!AY$17</f>
        <v>47043.54251903628</v>
      </c>
    </row>
    <row r="23" spans="1:49" x14ac:dyDescent="0.2">
      <c r="A23" s="242" t="s">
        <v>272</v>
      </c>
      <c r="B23" s="252">
        <v>17720.406423068613</v>
      </c>
      <c r="C23" s="271">
        <v>17720.406423068613</v>
      </c>
      <c r="D23" s="271">
        <v>17720.406423068613</v>
      </c>
      <c r="E23" s="271">
        <v>17720.406423068613</v>
      </c>
      <c r="F23" s="271">
        <v>17720.406423068613</v>
      </c>
      <c r="G23" s="271">
        <v>17720.406423068613</v>
      </c>
      <c r="H23" s="271">
        <v>17720.406423068613</v>
      </c>
      <c r="I23" s="271">
        <v>17720.406423068613</v>
      </c>
      <c r="J23" s="271">
        <v>17720.406423068613</v>
      </c>
      <c r="K23" s="271">
        <v>17720.406423068613</v>
      </c>
      <c r="L23" s="270">
        <f>(($B$6*Sensativities!N29)*Sensativities!N42)*Sensativities!N$17</f>
        <v>15573.854051160459</v>
      </c>
      <c r="M23" s="252">
        <f>(($C$6*Sensativities!N29)*Sensativities!N42)*Sensativities!N$17</f>
        <v>22150.284300142372</v>
      </c>
      <c r="N23" s="252">
        <f>(($D$6*Sensativities!P29)*Sensativities!P42)*Sensativities!P$17</f>
        <v>24911.773502324762</v>
      </c>
      <c r="O23" s="252">
        <f>(($E$6*Sensativities!Q29)*Sensativities!Q42)*Sensativities!Q$17</f>
        <v>24877.029048346623</v>
      </c>
      <c r="P23" s="252">
        <f>(($F$6*Sensativities!R29)*Sensativities!R42)*Sensativities!R$17</f>
        <v>26996.440741013022</v>
      </c>
      <c r="Q23" s="252">
        <f>(($G$6*Sensativities!S29)*Sensativities!S42)*Sensativities!S$17</f>
        <v>21020.394656773336</v>
      </c>
      <c r="R23" s="252">
        <f>(($H$6*Sensativities!T29)*Sensativities!T42)*Sensativities!T$17</f>
        <v>18449.30506239114</v>
      </c>
      <c r="S23" s="252">
        <f>(($I$6*Sensativities!U29)*Sensativities!U42)*Sensativities!U$17</f>
        <v>20777.18347892637</v>
      </c>
      <c r="T23" s="252">
        <f>(($J$6*Sensativities!V29)*Sensativities!V42)*Sensativities!V$17</f>
        <v>21333.094742576573</v>
      </c>
      <c r="U23" s="252">
        <f>(($K$6*Sensativities!W29)*Sensativities!W42)*Sensativities!W$17</f>
        <v>26510.018385319094</v>
      </c>
      <c r="V23" s="252">
        <f>(($L$6*Sensativities!X29)*Sensativities!X42)*Sensativities!X$17</f>
        <v>21437.328104510987</v>
      </c>
      <c r="W23" s="252">
        <f>(($M$6*Sensativities!Y29)*Sensativities!Y42)*Sensativities!Y$17</f>
        <v>18796.74960217252</v>
      </c>
      <c r="X23" s="252">
        <f>(($N$6*Sensativities!Z29)*Sensativities!Z42)*Sensativities!Z$17</f>
        <v>26127.829391559579</v>
      </c>
      <c r="Y23" s="252">
        <f>(($O$6*Sensativities!AA29)*Sensativities!AA42)*Sensativities!AA$17</f>
        <v>21923.750460204916</v>
      </c>
      <c r="Z23" s="252">
        <f>(($P$6*Sensativities!AB29)*Sensativities!AB42)*Sensativities!AB$17</f>
        <v>26718.485109187921</v>
      </c>
      <c r="AA23" s="252">
        <f>(($Q$6*Sensativities!AC29)*Sensativities!AC42)*Sensativities!AC$17</f>
        <v>27135.418556925575</v>
      </c>
      <c r="AB23" s="252">
        <f>(($R$6*Sensativities!AD29)*Sensativities!AD42)*Sensativities!AD$17</f>
        <v>33875.842628684295</v>
      </c>
      <c r="AC23" s="252">
        <f>(($S$6*Sensativities!AE29)*Sensativities!AE42)*Sensativities!AE$17</f>
        <v>26301.55166145027</v>
      </c>
      <c r="AD23" s="252">
        <f>(($T$6*Sensativities!AF29)*Sensativities!AF42)*Sensativities!AF$17</f>
        <v>28490.452262072948</v>
      </c>
      <c r="AE23" s="252">
        <f>(($U$6*Sensativities!AG29)*Sensativities!AG42)*Sensativities!AG$17</f>
        <v>32937.74237127458</v>
      </c>
      <c r="AF23" s="252">
        <f>(($V$6*Sensativities!AH29)*Sensativities!AH42)*Sensativities!AH$17</f>
        <v>21086.409119331794</v>
      </c>
      <c r="AG23" s="252">
        <f>(($W$6*Sensativities!AI29)*Sensativities!AI42)*Sensativities!AI$17</f>
        <v>17024.782449287493</v>
      </c>
      <c r="AH23" s="252">
        <f>(($X$6*Sensativities!AJ29)*Sensativities!AJ42)*Sensativities!AJ$17</f>
        <v>28643.327859576752</v>
      </c>
      <c r="AI23" s="252">
        <f>(($Y$6*Sensativities!AK29)*Sensativities!AK42)*Sensativities!AK$17</f>
        <v>22472.71283305949</v>
      </c>
      <c r="AJ23" s="278">
        <f>(($Z$6*Sensativities!AL29)*Sensativities!AL42)*Sensativities!AL$17</f>
        <v>19512.485354122153</v>
      </c>
      <c r="AK23" s="252">
        <f>(($AA$6*Sensativities!AM29)*Sensativities!AM42)*Sensativities!AM$17</f>
        <v>15593.310945388217</v>
      </c>
      <c r="AL23" s="608">
        <f>(($AB$6*Sensativities!AN29)*Sensativities!AN42)*Sensativities!AN$17</f>
        <v>27135.418556925575</v>
      </c>
      <c r="AM23" s="608">
        <f>(($AC$6*Sensativities!AO29)*Sensativities!AO42)*Sensativities!AO$17</f>
        <v>47861.312603788974</v>
      </c>
      <c r="AN23" s="608">
        <f>(($AD$6*Sensativities!AP29)*Sensativities!AP42)*Sensativities!AP$17</f>
        <v>48284.864042760557</v>
      </c>
      <c r="AO23" s="606">
        <f>(($AE$6*Sensativities!AQ29)*Sensativities!AQ42)*Sensativities!AQ$17</f>
        <v>42355.143897158385</v>
      </c>
      <c r="AP23" s="606">
        <f>(($AF$6*Sensativities!AR29)*Sensativities!AR42)*Sensativities!AR$17</f>
        <v>38119.629507442551</v>
      </c>
      <c r="AQ23" s="606">
        <f>(($AG$6*Sensativities!AS29)*Sensativities!AS42)*Sensativities!AS$17</f>
        <v>33884.115117726717</v>
      </c>
      <c r="AR23" s="606">
        <f>(($AH$6*Sensativities!AT29)*Sensativities!AT42)*Sensativities!AT$17</f>
        <v>33884.115117726717</v>
      </c>
      <c r="AS23" s="606">
        <f>(($AI$6*Sensativities!AU29)*Sensativities!AU42)*Sensativities!AU$17</f>
        <v>50036.336416329461</v>
      </c>
      <c r="AT23" s="606">
        <f>(($AJ$6*Sensativities!AV29)*Sensativities!AV42)*Sensativities!AV$17</f>
        <v>50036.336416329461</v>
      </c>
      <c r="AU23" s="606">
        <f>(($AK$6*Sensativities!AW29)*Sensativities!AW42)*Sensativities!AW$17</f>
        <v>50036.336416329461</v>
      </c>
      <c r="AV23" s="606">
        <f>(($AK$6*Sensativities!AX29)*Sensativities!AX42)*Sensativities!AX$17</f>
        <v>50036.336416329461</v>
      </c>
      <c r="AW23" s="606">
        <f>(($AK$6*Sensativities!AY29)*Sensativities!AY42)*Sensativities!AY$17</f>
        <v>50036.336416329461</v>
      </c>
    </row>
    <row r="24" spans="1:49" x14ac:dyDescent="0.2">
      <c r="A24" s="242" t="s">
        <v>273</v>
      </c>
      <c r="B24" s="252">
        <v>19887.501150713964</v>
      </c>
      <c r="C24" s="271">
        <v>19887.501150713964</v>
      </c>
      <c r="D24" s="271">
        <v>19887.501150713964</v>
      </c>
      <c r="E24" s="271">
        <v>19887.501150713964</v>
      </c>
      <c r="F24" s="271">
        <v>19887.501150713964</v>
      </c>
      <c r="G24" s="271">
        <v>19887.501150713964</v>
      </c>
      <c r="H24" s="271">
        <v>19887.501150713964</v>
      </c>
      <c r="I24" s="271">
        <v>19887.501150713964</v>
      </c>
      <c r="J24" s="271">
        <v>19887.501150713964</v>
      </c>
      <c r="K24" s="271">
        <v>19887.501150713964</v>
      </c>
      <c r="L24" s="271">
        <v>19888</v>
      </c>
      <c r="M24" s="270">
        <f>(($B$6*Sensativities!O30)*Sensativities!O43)*Sensativities!O$17</f>
        <v>17086.980350645194</v>
      </c>
      <c r="N24" s="252">
        <f>(($C$6*Sensativities!O30)*Sensativities!O43)*Sensativities!O$17</f>
        <v>24302.364164606737</v>
      </c>
      <c r="O24" s="252">
        <f>(($D$6*Sensativities!Q30)*Sensativities!Q43)*Sensativities!Q$17</f>
        <v>27332.154451661176</v>
      </c>
      <c r="P24" s="252">
        <f>(($E$6*Sensativities!R30)*Sensativities!R43)*Sensativities!R$17</f>
        <v>27294.034292035431</v>
      </c>
      <c r="Q24" s="252">
        <f>(($F$6*Sensativities!S30)*Sensativities!S43)*Sensativities!S$17</f>
        <v>29619.364029206041</v>
      </c>
      <c r="R24" s="252">
        <f>(($G$6*Sensativities!T30)*Sensativities!T43)*Sensativities!T$17</f>
        <v>23062.696573577421</v>
      </c>
      <c r="S24" s="252">
        <f>(($H$6*Sensativities!U30)*Sensativities!U43)*Sensativities!U$17</f>
        <v>20241.804761272084</v>
      </c>
      <c r="T24" s="252">
        <f>(($I$6*Sensativities!V30)*Sensativities!V43)*Sensativities!V$17</f>
        <v>22795.855456197187</v>
      </c>
      <c r="U24" s="252">
        <f>(($J$6*Sensativities!W30)*Sensativities!W43)*Sensativities!W$17</f>
        <v>23405.778010209149</v>
      </c>
      <c r="V24" s="252">
        <f>(($K$6*Sensativities!X30)*Sensativities!X43)*Sensativities!X$17</f>
        <v>29085.681794445572</v>
      </c>
      <c r="W24" s="252">
        <f>(($L$6*Sensativities!Y30)*Sensativities!Y43)*Sensativities!Y$17</f>
        <v>23520.138489086396</v>
      </c>
      <c r="X24" s="252">
        <f>(($M$6*Sensativities!Z30)*Sensativities!Z43)*Sensativities!Z$17</f>
        <v>20623.006357529564</v>
      </c>
      <c r="Y24" s="252">
        <f>(($N$6*Sensativities!AA30)*Sensativities!AA43)*Sensativities!AA$17</f>
        <v>28666.360038562347</v>
      </c>
      <c r="Z24" s="252">
        <f>(($O$6*Sensativities!AB30)*Sensativities!AB43)*Sensativities!AB$17</f>
        <v>24053.820723846864</v>
      </c>
      <c r="AA24" s="252">
        <f>(($P$6*Sensativities!AC30)*Sensativities!AC43)*Sensativities!AC$17</f>
        <v>29314.402752200062</v>
      </c>
      <c r="AB24" s="252">
        <f>(($Q$6*Sensativities!AD30)*Sensativities!AD43)*Sensativities!AD$17</f>
        <v>29771.844667709032</v>
      </c>
      <c r="AC24" s="252">
        <f>(($R$6*Sensativities!AE30)*Sensativities!AE43)*Sensativities!AE$17</f>
        <v>37167.155635104107</v>
      </c>
      <c r="AD24" s="252">
        <f>(($S$6*Sensativities!AF30)*Sensativities!AF43)*Sensativities!AF$17</f>
        <v>28856.960836691083</v>
      </c>
      <c r="AE24" s="252">
        <f>(($T$6*Sensativities!AG30)*Sensativities!AG43)*Sensativities!AG$17</f>
        <v>31258.530893113199</v>
      </c>
      <c r="AF24" s="252">
        <f>(($U$6*Sensativities!AH30)*Sensativities!AH43)*Sensativities!AH$17</f>
        <v>25296.537927646244</v>
      </c>
      <c r="AG24" s="252">
        <f>(($V$6*Sensativities!AI30)*Sensativities!AI43)*Sensativities!AI$17</f>
        <v>23135.124876866346</v>
      </c>
      <c r="AH24" s="252">
        <f>(($W$6*Sensativities!AJ30)*Sensativities!AJ43)*Sensativities!AJ$17</f>
        <v>32020.934085628149</v>
      </c>
      <c r="AI24" s="252">
        <f>(($X$6*Sensativities!AK30)*Sensativities!AK43)*Sensativities!AK$17</f>
        <v>31426.259595466487</v>
      </c>
      <c r="AJ24" s="252">
        <f>(($Y$6*Sensativities!AL30)*Sensativities!AL43)*Sensativities!AL$17</f>
        <v>16437.412830622452</v>
      </c>
      <c r="AK24" s="278">
        <f>(($Z$6*Sensativities!AM30)*Sensativities!AM43)*Sensativities!AM$17</f>
        <v>16056.211234364971</v>
      </c>
      <c r="AL24" s="606">
        <f>(($AA$6*Sensativities!AN30)*Sensativities!AN43)*Sensativities!AN$17</f>
        <v>28513.879400059355</v>
      </c>
      <c r="AM24" s="608">
        <f>(($AB$6*Sensativities!AO30)*Sensativities!AO43)*Sensativities!AO$17</f>
        <v>29771.844667709032</v>
      </c>
      <c r="AN24" s="608">
        <f>(($AC$6*Sensativities!AP30)*Sensativities!AP43)*Sensativities!AP$17</f>
        <v>52511.427507315821</v>
      </c>
      <c r="AO24" s="606">
        <f>(($AD$6*Sensativities!AQ30)*Sensativities!AQ43)*Sensativities!AQ$17</f>
        <v>52976.130405610653</v>
      </c>
      <c r="AP24" s="606">
        <f>(($AE$6*Sensativities!AR30)*Sensativities!AR43)*Sensativities!AR$17</f>
        <v>46470.28982948303</v>
      </c>
      <c r="AQ24" s="606">
        <f>(($AF$6*Sensativities!AS30)*Sensativities!AS43)*Sensativities!AS$17</f>
        <v>41823.260846534737</v>
      </c>
      <c r="AR24" s="606">
        <f>(($AG$6*Sensativities!AT30)*Sensativities!AT43)*Sensativities!AT$17</f>
        <v>37176.231863586429</v>
      </c>
      <c r="AS24" s="606">
        <f>(($AH$6*Sensativities!AU30)*Sensativities!AU43)*Sensativities!AU$17</f>
        <v>37176.231863586429</v>
      </c>
      <c r="AT24" s="606">
        <f>(($AI$6*Sensativities!AV30)*Sensativities!AV43)*Sensativities!AV$17</f>
        <v>54897.772533086456</v>
      </c>
      <c r="AU24" s="606">
        <f>(($AJ$6*Sensativities!AW30)*Sensativities!AW43)*Sensativities!AW$17</f>
        <v>54897.772533086456</v>
      </c>
      <c r="AV24" s="606">
        <f>(($AK$6*Sensativities!AX30)*Sensativities!AX43)*Sensativities!AX$17</f>
        <v>54897.772533086456</v>
      </c>
      <c r="AW24" s="606">
        <f>(($AK$6*Sensativities!AY30)*Sensativities!AY43)*Sensativities!AY$17</f>
        <v>54897.772533086456</v>
      </c>
    </row>
    <row r="25" spans="1:49" x14ac:dyDescent="0.2">
      <c r="A25" s="242" t="s">
        <v>288</v>
      </c>
      <c r="N25" s="270">
        <f>(($B$6*Sensativities!P31)*Sensativities!P44)*Sensativities!P$17</f>
        <v>13576.5</v>
      </c>
      <c r="O25" s="252">
        <f>(($C$6*Sensativities!P31)*Sensativities!P44)*Sensativities!P$17</f>
        <v>19309.499999999996</v>
      </c>
      <c r="P25" s="252">
        <f>(($D$6*Sensativities!R31)*Sensativities!R44)*Sensativities!R$17</f>
        <v>22585.5</v>
      </c>
      <c r="Q25" s="252">
        <f>(($E$6*Sensativities!S31)*Sensativities!S44)*Sensativities!S$17</f>
        <v>22554</v>
      </c>
      <c r="R25" s="252">
        <f>(($F$6*Sensativities!T31)*Sensativities!T44)*Sensativities!T$17</f>
        <v>24475.5</v>
      </c>
      <c r="S25" s="252">
        <f>(($G$6*Sensativities!U31)*Sensativities!U44)*Sensativities!U$17</f>
        <v>19057.5</v>
      </c>
      <c r="T25" s="252">
        <f>(($H$6*Sensativities!V31)*Sensativities!V44)*Sensativities!V$17</f>
        <v>16726.5</v>
      </c>
      <c r="U25" s="252">
        <f>(($I$6*Sensativities!W31)*Sensativities!W44)*Sensativities!W$17</f>
        <v>18837</v>
      </c>
      <c r="V25" s="252">
        <f>(($J$6*Sensativities!X31)*Sensativities!X44)*Sensativities!X$17</f>
        <v>19341</v>
      </c>
      <c r="W25" s="252">
        <f>(($K$6*Sensativities!Y31)*Sensativities!Y44)*Sensativities!Y$17</f>
        <v>24034.5</v>
      </c>
      <c r="X25" s="252">
        <f>(($L$6*Sensativities!Z31)*Sensativities!Z44)*Sensativities!Z$17</f>
        <v>19435.5</v>
      </c>
      <c r="Y25" s="252">
        <f>(($M$6*Sensativities!AA31)*Sensativities!AA44)*Sensativities!AA$17</f>
        <v>17041.5</v>
      </c>
      <c r="Z25" s="252">
        <f>(($N$6*Sensativities!AB31)*Sensativities!AB44)*Sensativities!AB$17</f>
        <v>23688</v>
      </c>
      <c r="AA25" s="252">
        <f>(($O$6*Sensativities!AC31)*Sensativities!AC44)*Sensativities!AC$17</f>
        <v>19876.5</v>
      </c>
      <c r="AB25" s="252">
        <f>(($P$6*Sensativities!AD31)*Sensativities!AD44)*Sensativities!AD$17</f>
        <v>24223.5</v>
      </c>
      <c r="AC25" s="252">
        <f>(($Q$6*Sensativities!AE31)*Sensativities!AE44)*Sensativities!AE$17</f>
        <v>24601.5</v>
      </c>
      <c r="AD25" s="252">
        <f>(($R$6*Sensativities!AF31)*Sensativities!AF44)*Sensativities!AF$17</f>
        <v>30712.5</v>
      </c>
      <c r="AE25" s="252">
        <f>(($S$6*Sensativities!AG31)*Sensativities!AG44)*Sensativities!AG$17</f>
        <v>23845.5</v>
      </c>
      <c r="AF25" s="252">
        <f>(($T$6*Sensativities!AH31)*Sensativities!AH44)*Sensativities!AH$17</f>
        <v>18081</v>
      </c>
      <c r="AG25" s="252">
        <f>(($U$6*Sensativities!AI31)*Sensativities!AI44)*Sensativities!AI$17</f>
        <v>20903.400000000001</v>
      </c>
      <c r="AH25" s="252">
        <f>(($V$6*Sensativities!AJ31)*Sensativities!AJ44)*Sensativities!AJ$17</f>
        <v>32772.6</v>
      </c>
      <c r="AI25" s="252">
        <f>(($W$6*Sensativities!AK31)*Sensativities!AK44)*Sensativities!AK$17</f>
        <v>26460</v>
      </c>
      <c r="AJ25" s="252">
        <f>(($X$6*Sensativities!AL31)*Sensativities!AL44)*Sensativities!AL$17</f>
        <v>17312.399999999998</v>
      </c>
      <c r="AK25" s="252">
        <f>(($Y$6*Sensativities!AM31)*Sensativities!AM44)*Sensativities!AM$17</f>
        <v>10187.1</v>
      </c>
      <c r="AL25" s="606">
        <f>(($Z$6*Sensativities!AN31)*Sensativities!AN44)*Sensativities!AN$17</f>
        <v>22113</v>
      </c>
      <c r="AM25" s="606">
        <f>(($AA$6*Sensativities!AO31)*Sensativities!AO44)*Sensativities!AO$17</f>
        <v>23562</v>
      </c>
      <c r="AN25" s="606">
        <f>(($AB$6*Sensativities!AP31)*Sensativities!AP44)*Sensativities!AP$17</f>
        <v>24601.5</v>
      </c>
      <c r="AO25" s="606">
        <f>(($AC$6*Sensativities!AQ31)*Sensativities!AQ44)*Sensativities!AQ$17</f>
        <v>43392</v>
      </c>
      <c r="AP25" s="606">
        <f>(($AD$6*Sensativities!AR31)*Sensativities!AR44)*Sensativities!AR$17</f>
        <v>43776</v>
      </c>
      <c r="AQ25" s="606">
        <f>(($AE$6*Sensativities!AS31)*Sensativities!AS44)*Sensativities!AS$17</f>
        <v>38400</v>
      </c>
      <c r="AR25" s="606">
        <f>(($AF$6*Sensativities!AT31)*Sensativities!AT44)*Sensativities!AT$17</f>
        <v>34560.000000000007</v>
      </c>
      <c r="AS25" s="606">
        <f>(($AG$6*Sensativities!AU31)*Sensativities!AU44)*Sensativities!AU$17</f>
        <v>30720</v>
      </c>
      <c r="AT25" s="606">
        <f>(($AH$6*Sensativities!AV31)*Sensativities!AV44)*Sensativities!AV$17</f>
        <v>30720</v>
      </c>
      <c r="AU25" s="606">
        <f>(($AI$6*Sensativities!AW31)*Sensativities!AW44)*Sensativities!AW$17</f>
        <v>45363.919033124985</v>
      </c>
      <c r="AV25" s="606">
        <f>(($AJ$6*Sensativities!AX31)*Sensativities!AX44)*Sensativities!AX$17</f>
        <v>45363.919033124985</v>
      </c>
      <c r="AW25" s="606">
        <f>(($AK$6*Sensativities!AY31)*Sensativities!AY44)*Sensativities!AY$17</f>
        <v>45363.919033124985</v>
      </c>
    </row>
    <row r="26" spans="1:49" x14ac:dyDescent="0.2">
      <c r="A26" s="242" t="s">
        <v>289</v>
      </c>
      <c r="B26" s="271"/>
      <c r="C26" s="271"/>
      <c r="D26" s="271"/>
      <c r="E26" s="271"/>
      <c r="F26" s="271"/>
      <c r="G26" s="271"/>
      <c r="H26" s="271"/>
      <c r="I26" s="271"/>
      <c r="J26" s="271"/>
      <c r="K26" s="271"/>
      <c r="L26" s="271"/>
      <c r="M26" s="271"/>
      <c r="N26" s="271"/>
      <c r="O26" s="270">
        <f>$N$25</f>
        <v>13576.5</v>
      </c>
      <c r="P26" s="252">
        <f>$N$25</f>
        <v>13576.5</v>
      </c>
      <c r="Q26" s="271">
        <f>$O$25</f>
        <v>19309.499999999996</v>
      </c>
      <c r="R26" s="271">
        <f>$P$25</f>
        <v>22585.5</v>
      </c>
      <c r="S26" s="271">
        <f>$Q$25</f>
        <v>22554</v>
      </c>
      <c r="T26" s="271">
        <f>$R$25</f>
        <v>24475.5</v>
      </c>
      <c r="U26" s="271">
        <f>$S$25</f>
        <v>19057.5</v>
      </c>
      <c r="V26" s="271">
        <f>$T$25</f>
        <v>16726.5</v>
      </c>
      <c r="W26" s="271">
        <f>$U$25</f>
        <v>18837</v>
      </c>
      <c r="X26" s="271">
        <f>$V$25</f>
        <v>19341</v>
      </c>
      <c r="Y26" s="271">
        <f>$W$25</f>
        <v>24034.5</v>
      </c>
      <c r="Z26" s="271">
        <f>$X$25</f>
        <v>19435.5</v>
      </c>
      <c r="AA26" s="271">
        <f>$Y$25</f>
        <v>17041.5</v>
      </c>
      <c r="AB26" s="271">
        <f>$Z$25</f>
        <v>23688</v>
      </c>
      <c r="AC26" s="271">
        <f>$AA$25</f>
        <v>19876.5</v>
      </c>
      <c r="AD26" s="271">
        <f>$AB$25</f>
        <v>24223.5</v>
      </c>
      <c r="AE26" s="271">
        <f>$AD$25</f>
        <v>30712.5</v>
      </c>
      <c r="AF26" s="271">
        <f>$AE$25</f>
        <v>23845.5</v>
      </c>
      <c r="AG26" s="271">
        <f>$AF$25</f>
        <v>18081</v>
      </c>
      <c r="AH26" s="271">
        <f>$AG$25</f>
        <v>20903.400000000001</v>
      </c>
      <c r="AI26" s="271">
        <f>$AH$25</f>
        <v>32772.6</v>
      </c>
      <c r="AJ26" s="271">
        <f>$AI$25</f>
        <v>26460</v>
      </c>
      <c r="AK26" s="271">
        <f>$AJ$25</f>
        <v>17312.399999999998</v>
      </c>
      <c r="AL26" s="608">
        <f>$AK$25</f>
        <v>10187.1</v>
      </c>
      <c r="AM26" s="606">
        <f>$AL$25</f>
        <v>22113</v>
      </c>
      <c r="AN26" s="606">
        <f>$AM$25</f>
        <v>23562</v>
      </c>
      <c r="AO26" s="606">
        <f>$AN$25</f>
        <v>24601.5</v>
      </c>
      <c r="AP26" s="606">
        <f>$AO$25</f>
        <v>43392</v>
      </c>
      <c r="AQ26" s="606">
        <f>$AP$25</f>
        <v>43776</v>
      </c>
      <c r="AR26" s="606">
        <f>$AQ$25</f>
        <v>38400</v>
      </c>
      <c r="AS26" s="606">
        <f>$AR$25</f>
        <v>34560.000000000007</v>
      </c>
      <c r="AT26" s="606">
        <f>$AS$25</f>
        <v>30720</v>
      </c>
      <c r="AU26" s="606">
        <f>$AT$25</f>
        <v>30720</v>
      </c>
      <c r="AV26" s="606">
        <f>$AU$25</f>
        <v>45363.919033124985</v>
      </c>
      <c r="AW26" s="606">
        <f>$AV$25</f>
        <v>45363.919033124985</v>
      </c>
    </row>
    <row r="27" spans="1:49" x14ac:dyDescent="0.2">
      <c r="A27" s="242" t="s">
        <v>290</v>
      </c>
      <c r="B27" s="271"/>
      <c r="C27" s="271"/>
      <c r="D27" s="271"/>
      <c r="E27" s="271"/>
      <c r="F27" s="271"/>
      <c r="G27" s="271"/>
      <c r="H27" s="271"/>
      <c r="I27" s="271"/>
      <c r="J27" s="271"/>
      <c r="K27" s="271"/>
      <c r="L27" s="271"/>
      <c r="M27" s="271"/>
      <c r="N27" s="271"/>
      <c r="O27" s="271"/>
      <c r="P27" s="285">
        <f>$N$25</f>
        <v>13576.5</v>
      </c>
      <c r="Q27" s="252">
        <f>$N$25</f>
        <v>13576.5</v>
      </c>
      <c r="R27" s="271">
        <f>$O$25</f>
        <v>19309.499999999996</v>
      </c>
      <c r="S27" s="271">
        <f>$P$25</f>
        <v>22585.5</v>
      </c>
      <c r="T27" s="271">
        <f>$Q$25</f>
        <v>22554</v>
      </c>
      <c r="U27" s="271">
        <f>$R$25</f>
        <v>24475.5</v>
      </c>
      <c r="V27" s="271">
        <f>$S$25</f>
        <v>19057.5</v>
      </c>
      <c r="W27" s="271">
        <f>$T$25</f>
        <v>16726.5</v>
      </c>
      <c r="X27" s="271">
        <f>$U$25</f>
        <v>18837</v>
      </c>
      <c r="Y27" s="271">
        <f>$V$25</f>
        <v>19341</v>
      </c>
      <c r="Z27" s="271">
        <f>$W$25</f>
        <v>24034.5</v>
      </c>
      <c r="AA27" s="271">
        <f>$X$25</f>
        <v>19435.5</v>
      </c>
      <c r="AB27" s="271">
        <f>$Y$25</f>
        <v>17041.5</v>
      </c>
      <c r="AC27" s="271">
        <f>$Z$25</f>
        <v>23688</v>
      </c>
      <c r="AD27" s="271">
        <f>$AA$25</f>
        <v>19876.5</v>
      </c>
      <c r="AE27" s="271">
        <f>$AB$25</f>
        <v>24223.5</v>
      </c>
      <c r="AF27" s="271">
        <f>$AD$25</f>
        <v>30712.5</v>
      </c>
      <c r="AG27" s="271">
        <f>$AE$25</f>
        <v>23845.5</v>
      </c>
      <c r="AH27" s="271">
        <f>$AF$25</f>
        <v>18081</v>
      </c>
      <c r="AI27" s="271">
        <f>$AG$25</f>
        <v>20903.400000000001</v>
      </c>
      <c r="AJ27" s="271">
        <f>$AH$25</f>
        <v>32772.6</v>
      </c>
      <c r="AK27" s="271">
        <f>$AI$25</f>
        <v>26460</v>
      </c>
      <c r="AL27" s="610">
        <f>$AJ$25</f>
        <v>17312.399999999998</v>
      </c>
      <c r="AM27" s="608">
        <f>$AK$25</f>
        <v>10187.1</v>
      </c>
      <c r="AN27" s="606">
        <f>$AL$25</f>
        <v>22113</v>
      </c>
      <c r="AO27" s="606">
        <f>$AM$25</f>
        <v>23562</v>
      </c>
      <c r="AP27" s="606">
        <f>$AN$25</f>
        <v>24601.5</v>
      </c>
      <c r="AQ27" s="606">
        <f>$AO$25</f>
        <v>43392</v>
      </c>
      <c r="AR27" s="606">
        <f>$AP$25</f>
        <v>43776</v>
      </c>
      <c r="AS27" s="606">
        <f>$AQ$25</f>
        <v>38400</v>
      </c>
      <c r="AT27" s="606">
        <f>$AS$26</f>
        <v>34560.000000000007</v>
      </c>
      <c r="AU27" s="606">
        <f>$AS$25</f>
        <v>30720</v>
      </c>
      <c r="AV27" s="606">
        <f>$AT$25</f>
        <v>30720</v>
      </c>
      <c r="AW27" s="606">
        <f>$AU$25</f>
        <v>45363.919033124985</v>
      </c>
    </row>
    <row r="28" spans="1:49" x14ac:dyDescent="0.2">
      <c r="A28" s="242" t="s">
        <v>291</v>
      </c>
      <c r="B28" s="271"/>
      <c r="C28" s="271"/>
      <c r="D28" s="271"/>
      <c r="E28" s="271"/>
      <c r="F28" s="271"/>
      <c r="G28" s="271"/>
      <c r="H28" s="271"/>
      <c r="I28" s="271"/>
      <c r="J28" s="271"/>
      <c r="K28" s="271"/>
      <c r="L28" s="271"/>
      <c r="M28" s="271"/>
      <c r="N28" s="271"/>
      <c r="O28" s="271"/>
      <c r="P28" s="271"/>
      <c r="Q28" s="285">
        <f>$N$25</f>
        <v>13576.5</v>
      </c>
      <c r="R28" s="252">
        <f>$N$25</f>
        <v>13576.5</v>
      </c>
      <c r="S28" s="271">
        <f>$O$25</f>
        <v>19309.499999999996</v>
      </c>
      <c r="T28" s="271">
        <f>$P$25</f>
        <v>22585.5</v>
      </c>
      <c r="U28" s="271">
        <f>$Q$25</f>
        <v>22554</v>
      </c>
      <c r="V28" s="271">
        <f>$R$25</f>
        <v>24475.5</v>
      </c>
      <c r="W28" s="271">
        <f>$S$25</f>
        <v>19057.5</v>
      </c>
      <c r="X28" s="271">
        <f>$T$25</f>
        <v>16726.5</v>
      </c>
      <c r="Y28" s="271">
        <f>$U$25</f>
        <v>18837</v>
      </c>
      <c r="Z28" s="271">
        <f>$V$25</f>
        <v>19341</v>
      </c>
      <c r="AA28" s="271">
        <f>$W$25</f>
        <v>24034.5</v>
      </c>
      <c r="AB28" s="271">
        <f>$X$25</f>
        <v>19435.5</v>
      </c>
      <c r="AC28" s="271">
        <f>$Y$25</f>
        <v>17041.5</v>
      </c>
      <c r="AD28" s="271">
        <f>$Z$25</f>
        <v>23688</v>
      </c>
      <c r="AE28" s="271">
        <f>$AA$25</f>
        <v>19876.5</v>
      </c>
      <c r="AF28" s="271">
        <f>$AB$25</f>
        <v>24223.5</v>
      </c>
      <c r="AG28" s="271">
        <f>$AD$25</f>
        <v>30712.5</v>
      </c>
      <c r="AH28" s="271">
        <f>$AE$25</f>
        <v>23845.5</v>
      </c>
      <c r="AI28" s="271">
        <f>$AF$25</f>
        <v>18081</v>
      </c>
      <c r="AJ28" s="271">
        <f>$AG$25</f>
        <v>20903.400000000001</v>
      </c>
      <c r="AK28" s="271">
        <f>$AH$25</f>
        <v>32772.6</v>
      </c>
      <c r="AL28" s="606">
        <f>$AI$25</f>
        <v>26460</v>
      </c>
      <c r="AM28" s="610">
        <f>$AJ$25</f>
        <v>17312.399999999998</v>
      </c>
      <c r="AN28" s="608">
        <f>$AK$25</f>
        <v>10187.1</v>
      </c>
      <c r="AO28" s="606">
        <f>$AL$25</f>
        <v>22113</v>
      </c>
      <c r="AP28" s="606">
        <f>$AM$25</f>
        <v>23562</v>
      </c>
      <c r="AQ28" s="606">
        <f>$AN$25</f>
        <v>24601.5</v>
      </c>
      <c r="AR28" s="606">
        <f>$AO$25</f>
        <v>43392</v>
      </c>
      <c r="AS28" s="606">
        <f>$AP$25</f>
        <v>43776</v>
      </c>
      <c r="AT28" s="606">
        <f>$AQ$25</f>
        <v>38400</v>
      </c>
      <c r="AU28" s="606">
        <f>$AS$26</f>
        <v>34560.000000000007</v>
      </c>
      <c r="AV28" s="606">
        <f>$AS$25</f>
        <v>30720</v>
      </c>
      <c r="AW28" s="606">
        <f>$AT$25</f>
        <v>30720</v>
      </c>
    </row>
    <row r="29" spans="1:49" x14ac:dyDescent="0.2">
      <c r="A29" s="242" t="s">
        <v>292</v>
      </c>
      <c r="B29" s="271"/>
      <c r="C29" s="271"/>
      <c r="D29" s="271"/>
      <c r="E29" s="271"/>
      <c r="F29" s="271"/>
      <c r="G29" s="271"/>
      <c r="H29" s="271"/>
      <c r="I29" s="271"/>
      <c r="J29" s="271"/>
      <c r="K29" s="271"/>
      <c r="L29" s="271"/>
      <c r="M29" s="271"/>
      <c r="N29" s="271"/>
      <c r="O29" s="271"/>
      <c r="P29" s="271"/>
      <c r="Q29" s="271"/>
      <c r="R29" s="285">
        <f>$N$25</f>
        <v>13576.5</v>
      </c>
      <c r="S29" s="252">
        <f>$N$25</f>
        <v>13576.5</v>
      </c>
      <c r="T29" s="271">
        <f>$O$25</f>
        <v>19309.499999999996</v>
      </c>
      <c r="U29" s="271">
        <f>$P$25</f>
        <v>22585.5</v>
      </c>
      <c r="V29" s="271">
        <f>$Q$25</f>
        <v>22554</v>
      </c>
      <c r="W29" s="271">
        <f>$R$25</f>
        <v>24475.5</v>
      </c>
      <c r="X29" s="271">
        <f>$S$25</f>
        <v>19057.5</v>
      </c>
      <c r="Y29" s="271">
        <f>$T$25</f>
        <v>16726.5</v>
      </c>
      <c r="Z29" s="271">
        <f>$U$25</f>
        <v>18837</v>
      </c>
      <c r="AA29" s="271">
        <f>$V$25</f>
        <v>19341</v>
      </c>
      <c r="AB29" s="271">
        <f>$W$25</f>
        <v>24034.5</v>
      </c>
      <c r="AC29" s="271">
        <f>$X$25</f>
        <v>19435.5</v>
      </c>
      <c r="AD29" s="271">
        <f>$Y$25</f>
        <v>17041.5</v>
      </c>
      <c r="AE29" s="271">
        <f>$Z$25</f>
        <v>23688</v>
      </c>
      <c r="AF29" s="271">
        <f>$AA$25</f>
        <v>19876.5</v>
      </c>
      <c r="AG29" s="271">
        <f>$AB$25</f>
        <v>24223.5</v>
      </c>
      <c r="AH29" s="271">
        <f>$AD$25</f>
        <v>30712.5</v>
      </c>
      <c r="AI29" s="271">
        <f>$AE$25</f>
        <v>23845.5</v>
      </c>
      <c r="AJ29" s="271">
        <f>$AF$25</f>
        <v>18081</v>
      </c>
      <c r="AK29" s="271">
        <f>$AG$25</f>
        <v>20903.400000000001</v>
      </c>
      <c r="AL29" s="606">
        <f>$AH$25</f>
        <v>32772.6</v>
      </c>
      <c r="AM29" s="606">
        <f>$AI$25</f>
        <v>26460</v>
      </c>
      <c r="AN29" s="610">
        <f>$AJ$25</f>
        <v>17312.399999999998</v>
      </c>
      <c r="AO29" s="608">
        <f>$AK$25</f>
        <v>10187.1</v>
      </c>
      <c r="AP29" s="606">
        <f>$AL$25</f>
        <v>22113</v>
      </c>
      <c r="AQ29" s="606">
        <f>$AM$25</f>
        <v>23562</v>
      </c>
      <c r="AR29" s="606">
        <f>$AN$25</f>
        <v>24601.5</v>
      </c>
      <c r="AS29" s="606">
        <f>$AO$25</f>
        <v>43392</v>
      </c>
      <c r="AT29" s="606">
        <f>$AP$25</f>
        <v>43776</v>
      </c>
      <c r="AU29" s="606">
        <f>$AQ$25</f>
        <v>38400</v>
      </c>
      <c r="AV29" s="606">
        <f>$AS$26</f>
        <v>34560.000000000007</v>
      </c>
      <c r="AW29" s="606">
        <f>$AS$25</f>
        <v>30720</v>
      </c>
    </row>
    <row r="30" spans="1:49" x14ac:dyDescent="0.2">
      <c r="A30" s="242" t="s">
        <v>293</v>
      </c>
      <c r="B30" s="271"/>
      <c r="C30" s="271"/>
      <c r="D30" s="271"/>
      <c r="E30" s="271"/>
      <c r="F30" s="271"/>
      <c r="G30" s="271"/>
      <c r="H30" s="271"/>
      <c r="I30" s="271"/>
      <c r="J30" s="271"/>
      <c r="K30" s="271"/>
      <c r="L30" s="271"/>
      <c r="M30" s="271"/>
      <c r="N30" s="271"/>
      <c r="O30" s="271"/>
      <c r="P30" s="271"/>
      <c r="Q30" s="271"/>
      <c r="R30" s="271"/>
      <c r="S30" s="285">
        <f>$N$25</f>
        <v>13576.5</v>
      </c>
      <c r="T30" s="252">
        <f>$N$25</f>
        <v>13576.5</v>
      </c>
      <c r="U30" s="271">
        <f>$O$25</f>
        <v>19309.499999999996</v>
      </c>
      <c r="V30" s="271">
        <f>$P$25</f>
        <v>22585.5</v>
      </c>
      <c r="W30" s="271">
        <f>$Q$25</f>
        <v>22554</v>
      </c>
      <c r="X30" s="271">
        <f>$R$25</f>
        <v>24475.5</v>
      </c>
      <c r="Y30" s="271">
        <f>$S$25</f>
        <v>19057.5</v>
      </c>
      <c r="Z30" s="271">
        <f>$T$25</f>
        <v>16726.5</v>
      </c>
      <c r="AA30" s="271">
        <f>$U$25</f>
        <v>18837</v>
      </c>
      <c r="AB30" s="271">
        <f>$V$25</f>
        <v>19341</v>
      </c>
      <c r="AC30" s="271">
        <f>$W$25</f>
        <v>24034.5</v>
      </c>
      <c r="AD30" s="271">
        <f>$X$25</f>
        <v>19435.5</v>
      </c>
      <c r="AE30" s="271">
        <f>$Y$25</f>
        <v>17041.5</v>
      </c>
      <c r="AF30" s="271">
        <f>$Z$25</f>
        <v>23688</v>
      </c>
      <c r="AG30" s="271">
        <f>$AA$25</f>
        <v>19876.5</v>
      </c>
      <c r="AH30" s="271">
        <f>$AB$25</f>
        <v>24223.5</v>
      </c>
      <c r="AI30" s="271">
        <f>$AD$25</f>
        <v>30712.5</v>
      </c>
      <c r="AJ30" s="271">
        <f>$AE$25</f>
        <v>23845.5</v>
      </c>
      <c r="AK30" s="271">
        <f>$AF$25</f>
        <v>18081</v>
      </c>
      <c r="AL30" s="606">
        <f>$AG$25</f>
        <v>20903.400000000001</v>
      </c>
      <c r="AM30" s="606">
        <f>$AH$25</f>
        <v>32772.6</v>
      </c>
      <c r="AN30" s="606">
        <f>$AI$25</f>
        <v>26460</v>
      </c>
      <c r="AO30" s="610">
        <f>$AJ$25</f>
        <v>17312.399999999998</v>
      </c>
      <c r="AP30" s="608">
        <f>$AK$25</f>
        <v>10187.1</v>
      </c>
      <c r="AQ30" s="606">
        <f>$AL$25</f>
        <v>22113</v>
      </c>
      <c r="AR30" s="606">
        <f>$AM$25</f>
        <v>23562</v>
      </c>
      <c r="AS30" s="606">
        <f>$AN$25</f>
        <v>24601.5</v>
      </c>
      <c r="AT30" s="606">
        <f>$AO$25</f>
        <v>43392</v>
      </c>
      <c r="AU30" s="606">
        <f>$AP$25</f>
        <v>43776</v>
      </c>
      <c r="AV30" s="606">
        <f>$AQ$25</f>
        <v>38400</v>
      </c>
      <c r="AW30" s="606">
        <f>$AS$26</f>
        <v>34560.000000000007</v>
      </c>
    </row>
    <row r="31" spans="1:49" x14ac:dyDescent="0.2">
      <c r="A31" s="242" t="s">
        <v>294</v>
      </c>
      <c r="B31" s="271"/>
      <c r="C31" s="271"/>
      <c r="D31" s="271"/>
      <c r="E31" s="271"/>
      <c r="F31" s="271"/>
      <c r="G31" s="271"/>
      <c r="H31" s="271"/>
      <c r="I31" s="271"/>
      <c r="J31" s="271"/>
      <c r="K31" s="271"/>
      <c r="L31" s="271"/>
      <c r="M31" s="271"/>
      <c r="N31" s="271"/>
      <c r="O31" s="271"/>
      <c r="P31" s="271"/>
      <c r="Q31" s="271"/>
      <c r="R31" s="271"/>
      <c r="S31" s="271"/>
      <c r="T31" s="285">
        <f>$N$25</f>
        <v>13576.5</v>
      </c>
      <c r="U31" s="252">
        <f>$N$25</f>
        <v>13576.5</v>
      </c>
      <c r="V31" s="271">
        <f>$O$25</f>
        <v>19309.499999999996</v>
      </c>
      <c r="W31" s="271">
        <f>$P$25</f>
        <v>22585.5</v>
      </c>
      <c r="X31" s="271">
        <f>$Q$25</f>
        <v>22554</v>
      </c>
      <c r="Y31" s="271">
        <f>$R$25</f>
        <v>24475.5</v>
      </c>
      <c r="Z31" s="271">
        <f>$S$25</f>
        <v>19057.5</v>
      </c>
      <c r="AA31" s="271">
        <f>$T$25</f>
        <v>16726.5</v>
      </c>
      <c r="AB31" s="271">
        <f>$U$25</f>
        <v>18837</v>
      </c>
      <c r="AC31" s="271">
        <f>$V$25</f>
        <v>19341</v>
      </c>
      <c r="AD31" s="271">
        <f>$W$25</f>
        <v>24034.5</v>
      </c>
      <c r="AE31" s="271">
        <f>$X$25</f>
        <v>19435.5</v>
      </c>
      <c r="AF31" s="271">
        <f>$Y$25</f>
        <v>17041.5</v>
      </c>
      <c r="AG31" s="271">
        <f>$Z$25</f>
        <v>23688</v>
      </c>
      <c r="AH31" s="271">
        <f>$AA$25</f>
        <v>19876.5</v>
      </c>
      <c r="AI31" s="271">
        <f>$AB$25</f>
        <v>24223.5</v>
      </c>
      <c r="AJ31" s="271">
        <f>$AD$25</f>
        <v>30712.5</v>
      </c>
      <c r="AK31" s="271">
        <f>$AE$25</f>
        <v>23845.5</v>
      </c>
      <c r="AL31" s="606">
        <f>$AF$25</f>
        <v>18081</v>
      </c>
      <c r="AM31" s="606">
        <f>$AG$25</f>
        <v>20903.400000000001</v>
      </c>
      <c r="AN31" s="606">
        <f>$AH$25</f>
        <v>32772.6</v>
      </c>
      <c r="AO31" s="606">
        <f>$AI$25</f>
        <v>26460</v>
      </c>
      <c r="AP31" s="610">
        <f>$AJ$25</f>
        <v>17312.399999999998</v>
      </c>
      <c r="AQ31" s="608">
        <f>$AK$25</f>
        <v>10187.1</v>
      </c>
      <c r="AR31" s="606">
        <f>$AL$25</f>
        <v>22113</v>
      </c>
      <c r="AS31" s="606">
        <f>$AM$25</f>
        <v>23562</v>
      </c>
      <c r="AT31" s="606">
        <f>$AN$25</f>
        <v>24601.5</v>
      </c>
      <c r="AU31" s="606">
        <f>$AO$25</f>
        <v>43392</v>
      </c>
      <c r="AV31" s="606">
        <f>$AP$25</f>
        <v>43776</v>
      </c>
      <c r="AW31" s="606">
        <f>$AQ$25</f>
        <v>38400</v>
      </c>
    </row>
    <row r="32" spans="1:49" x14ac:dyDescent="0.2">
      <c r="A32" s="242" t="s">
        <v>295</v>
      </c>
      <c r="B32" s="271"/>
      <c r="C32" s="271"/>
      <c r="D32" s="271"/>
      <c r="E32" s="271"/>
      <c r="F32" s="271"/>
      <c r="G32" s="271"/>
      <c r="H32" s="271"/>
      <c r="I32" s="271"/>
      <c r="J32" s="271"/>
      <c r="K32" s="271"/>
      <c r="L32" s="271"/>
      <c r="M32" s="271"/>
      <c r="N32" s="271"/>
      <c r="O32" s="271"/>
      <c r="P32" s="271"/>
      <c r="Q32" s="271"/>
      <c r="R32" s="271"/>
      <c r="S32" s="271"/>
      <c r="T32" s="271"/>
      <c r="U32" s="285">
        <f>$N$25</f>
        <v>13576.5</v>
      </c>
      <c r="V32" s="252">
        <f>$N$25</f>
        <v>13576.5</v>
      </c>
      <c r="W32" s="271">
        <f>$O$25</f>
        <v>19309.499999999996</v>
      </c>
      <c r="X32" s="271">
        <f>$P$25</f>
        <v>22585.5</v>
      </c>
      <c r="Y32" s="271">
        <f>$Q$25</f>
        <v>22554</v>
      </c>
      <c r="Z32" s="271">
        <f>$R$25</f>
        <v>24475.5</v>
      </c>
      <c r="AA32" s="271">
        <f>$S$25</f>
        <v>19057.5</v>
      </c>
      <c r="AB32" s="271">
        <f>$T$25</f>
        <v>16726.5</v>
      </c>
      <c r="AC32" s="271">
        <f>$U$25</f>
        <v>18837</v>
      </c>
      <c r="AD32" s="271">
        <f>$V$25</f>
        <v>19341</v>
      </c>
      <c r="AE32" s="271">
        <f>$W$25</f>
        <v>24034.5</v>
      </c>
      <c r="AF32" s="271">
        <f>$X$25</f>
        <v>19435.5</v>
      </c>
      <c r="AG32" s="271">
        <f>$Y$25</f>
        <v>17041.5</v>
      </c>
      <c r="AH32" s="271">
        <f>$Z$25</f>
        <v>23688</v>
      </c>
      <c r="AI32" s="271">
        <f>$AA$25</f>
        <v>19876.5</v>
      </c>
      <c r="AJ32" s="271">
        <f>$AB$25</f>
        <v>24223.5</v>
      </c>
      <c r="AK32" s="271">
        <f>$AD$25</f>
        <v>30712.5</v>
      </c>
      <c r="AL32" s="606">
        <f>$AE$25</f>
        <v>23845.5</v>
      </c>
      <c r="AM32" s="606">
        <f>$AF$25</f>
        <v>18081</v>
      </c>
      <c r="AN32" s="606">
        <f>$AG$25</f>
        <v>20903.400000000001</v>
      </c>
      <c r="AO32" s="606">
        <f>$AH$25</f>
        <v>32772.6</v>
      </c>
      <c r="AP32" s="606">
        <f>$AI$25</f>
        <v>26460</v>
      </c>
      <c r="AQ32" s="610">
        <f>$AJ$25</f>
        <v>17312.399999999998</v>
      </c>
      <c r="AR32" s="608">
        <f>$AK$25</f>
        <v>10187.1</v>
      </c>
      <c r="AS32" s="606">
        <f>$AL$25</f>
        <v>22113</v>
      </c>
      <c r="AT32" s="606">
        <f>$AM$25</f>
        <v>23562</v>
      </c>
      <c r="AU32" s="606">
        <f>$AN$25</f>
        <v>24601.5</v>
      </c>
      <c r="AV32" s="606">
        <f>$AO$25</f>
        <v>43392</v>
      </c>
      <c r="AW32" s="606">
        <f>$AP$25</f>
        <v>43776</v>
      </c>
    </row>
    <row r="33" spans="1:49" x14ac:dyDescent="0.2">
      <c r="A33" s="242" t="s">
        <v>296</v>
      </c>
      <c r="B33" s="271"/>
      <c r="C33" s="271"/>
      <c r="D33" s="271"/>
      <c r="E33" s="271"/>
      <c r="F33" s="271"/>
      <c r="G33" s="271"/>
      <c r="H33" s="271"/>
      <c r="I33" s="271"/>
      <c r="J33" s="271"/>
      <c r="K33" s="271"/>
      <c r="L33" s="271"/>
      <c r="M33" s="271"/>
      <c r="N33" s="271"/>
      <c r="O33" s="271"/>
      <c r="P33" s="271"/>
      <c r="Q33" s="271"/>
      <c r="R33" s="271"/>
      <c r="S33" s="271"/>
      <c r="T33" s="271"/>
      <c r="U33" s="271"/>
      <c r="V33" s="285">
        <f>$N$25</f>
        <v>13576.5</v>
      </c>
      <c r="W33" s="252">
        <f>$N$25</f>
        <v>13576.5</v>
      </c>
      <c r="X33" s="271">
        <f>$O$25</f>
        <v>19309.499999999996</v>
      </c>
      <c r="Y33" s="271">
        <f>$P$25</f>
        <v>22585.5</v>
      </c>
      <c r="Z33" s="271">
        <f>$Q$25</f>
        <v>22554</v>
      </c>
      <c r="AA33" s="271">
        <f>$R$25</f>
        <v>24475.5</v>
      </c>
      <c r="AB33" s="271">
        <f>$S$25</f>
        <v>19057.5</v>
      </c>
      <c r="AC33" s="271">
        <f>$T$25</f>
        <v>16726.5</v>
      </c>
      <c r="AD33" s="271">
        <f>$U$25</f>
        <v>18837</v>
      </c>
      <c r="AE33" s="271">
        <f>$V$25</f>
        <v>19341</v>
      </c>
      <c r="AF33" s="271">
        <f>$W$25</f>
        <v>24034.5</v>
      </c>
      <c r="AG33" s="271">
        <f>$X$25</f>
        <v>19435.5</v>
      </c>
      <c r="AH33" s="271">
        <f>$Y$25</f>
        <v>17041.5</v>
      </c>
      <c r="AI33" s="271">
        <f>$Z$25</f>
        <v>23688</v>
      </c>
      <c r="AJ33" s="271">
        <f>$AA$25</f>
        <v>19876.5</v>
      </c>
      <c r="AK33" s="271">
        <f>$AB$25</f>
        <v>24223.5</v>
      </c>
      <c r="AL33" s="606">
        <f>$AD$25</f>
        <v>30712.5</v>
      </c>
      <c r="AM33" s="606">
        <f>$AE$25</f>
        <v>23845.5</v>
      </c>
      <c r="AN33" s="606">
        <f>$AF$25</f>
        <v>18081</v>
      </c>
      <c r="AO33" s="606">
        <f>$AG$25</f>
        <v>20903.400000000001</v>
      </c>
      <c r="AP33" s="606">
        <f>$AH$25</f>
        <v>32772.6</v>
      </c>
      <c r="AQ33" s="606">
        <f>$AI$25</f>
        <v>26460</v>
      </c>
      <c r="AR33" s="610">
        <f>$AJ$25</f>
        <v>17312.399999999998</v>
      </c>
      <c r="AS33" s="608">
        <f>$AK$25</f>
        <v>10187.1</v>
      </c>
      <c r="AT33" s="606">
        <f>$AL$25</f>
        <v>22113</v>
      </c>
      <c r="AU33" s="606">
        <f>$AM$25</f>
        <v>23562</v>
      </c>
      <c r="AV33" s="606">
        <f>$AN$25</f>
        <v>24601.5</v>
      </c>
      <c r="AW33" s="606">
        <f>$AO$25</f>
        <v>43392</v>
      </c>
    </row>
    <row r="34" spans="1:49" x14ac:dyDescent="0.2">
      <c r="A34" s="242" t="s">
        <v>297</v>
      </c>
      <c r="B34" s="271"/>
      <c r="C34" s="271"/>
      <c r="D34" s="271"/>
      <c r="E34" s="271"/>
      <c r="F34" s="271"/>
      <c r="G34" s="271"/>
      <c r="H34" s="271"/>
      <c r="I34" s="271"/>
      <c r="J34" s="271"/>
      <c r="K34" s="271"/>
      <c r="L34" s="271"/>
      <c r="M34" s="271"/>
      <c r="N34" s="271"/>
      <c r="O34" s="271"/>
      <c r="P34" s="271"/>
      <c r="Q34" s="271"/>
      <c r="R34" s="271"/>
      <c r="S34" s="271"/>
      <c r="T34" s="271"/>
      <c r="U34" s="271"/>
      <c r="V34" s="271"/>
      <c r="W34" s="285">
        <f>$N$25</f>
        <v>13576.5</v>
      </c>
      <c r="X34" s="252">
        <f>$N$25</f>
        <v>13576.5</v>
      </c>
      <c r="Y34" s="271">
        <f>$O$25</f>
        <v>19309.499999999996</v>
      </c>
      <c r="Z34" s="271">
        <f>$P$25</f>
        <v>22585.5</v>
      </c>
      <c r="AA34" s="271">
        <f>$Q$25</f>
        <v>22554</v>
      </c>
      <c r="AB34" s="271">
        <f>$R$25</f>
        <v>24475.5</v>
      </c>
      <c r="AC34" s="271">
        <f>$S$25</f>
        <v>19057.5</v>
      </c>
      <c r="AD34" s="271">
        <f>$T$25</f>
        <v>16726.5</v>
      </c>
      <c r="AE34" s="271">
        <f>$U$25</f>
        <v>18837</v>
      </c>
      <c r="AF34" s="271">
        <f>$V$25</f>
        <v>19341</v>
      </c>
      <c r="AG34" s="271">
        <f>$W$25</f>
        <v>24034.5</v>
      </c>
      <c r="AH34" s="271">
        <f>$X$25</f>
        <v>19435.5</v>
      </c>
      <c r="AI34" s="271">
        <f>$Y$25</f>
        <v>17041.5</v>
      </c>
      <c r="AJ34" s="271">
        <f>$Z$25</f>
        <v>23688</v>
      </c>
      <c r="AK34" s="271">
        <f>$AA$25</f>
        <v>19876.5</v>
      </c>
      <c r="AL34" s="606">
        <f>$AB$25</f>
        <v>24223.5</v>
      </c>
      <c r="AM34" s="606">
        <f>$AD$25</f>
        <v>30712.5</v>
      </c>
      <c r="AN34" s="606">
        <f>$AE$25</f>
        <v>23845.5</v>
      </c>
      <c r="AO34" s="606">
        <f>$AF$25</f>
        <v>18081</v>
      </c>
      <c r="AP34" s="606">
        <f>$AG$25</f>
        <v>20903.400000000001</v>
      </c>
      <c r="AQ34" s="606">
        <f>$AH$25</f>
        <v>32772.6</v>
      </c>
      <c r="AR34" s="606">
        <f>$AI$25</f>
        <v>26460</v>
      </c>
      <c r="AS34" s="610">
        <f>$AJ$25</f>
        <v>17312.399999999998</v>
      </c>
      <c r="AT34" s="608">
        <f>$AK$25</f>
        <v>10187.1</v>
      </c>
      <c r="AU34" s="606">
        <f>$AL$25</f>
        <v>22113</v>
      </c>
      <c r="AV34" s="606">
        <f>$AM$25</f>
        <v>23562</v>
      </c>
      <c r="AW34" s="606">
        <f>$AN$25</f>
        <v>24601.5</v>
      </c>
    </row>
    <row r="35" spans="1:49" x14ac:dyDescent="0.2">
      <c r="A35" s="242" t="s">
        <v>298</v>
      </c>
      <c r="B35" s="271"/>
      <c r="C35" s="271"/>
      <c r="D35" s="271"/>
      <c r="E35" s="271"/>
      <c r="F35" s="271"/>
      <c r="G35" s="271"/>
      <c r="H35" s="271"/>
      <c r="I35" s="271"/>
      <c r="J35" s="271"/>
      <c r="K35" s="271"/>
      <c r="L35" s="271"/>
      <c r="M35" s="271"/>
      <c r="N35" s="271"/>
      <c r="O35" s="271"/>
      <c r="P35" s="271"/>
      <c r="Q35" s="271"/>
      <c r="R35" s="271"/>
      <c r="S35" s="271"/>
      <c r="T35" s="271"/>
      <c r="U35" s="271"/>
      <c r="V35" s="271"/>
      <c r="W35" s="271"/>
      <c r="X35" s="285">
        <f>$N$25</f>
        <v>13576.5</v>
      </c>
      <c r="Y35" s="252">
        <f>$N$25</f>
        <v>13576.5</v>
      </c>
      <c r="Z35" s="271">
        <f>$O$25</f>
        <v>19309.499999999996</v>
      </c>
      <c r="AA35" s="271">
        <f>$P$25</f>
        <v>22585.5</v>
      </c>
      <c r="AB35" s="271">
        <f>$Q$25</f>
        <v>22554</v>
      </c>
      <c r="AC35" s="271">
        <f>$R$25</f>
        <v>24475.5</v>
      </c>
      <c r="AD35" s="271">
        <f>$S$25</f>
        <v>19057.5</v>
      </c>
      <c r="AE35" s="271">
        <f>$T$25</f>
        <v>16726.5</v>
      </c>
      <c r="AF35" s="271">
        <f>$U$25</f>
        <v>18837</v>
      </c>
      <c r="AG35" s="271">
        <f>$V$25</f>
        <v>19341</v>
      </c>
      <c r="AH35" s="271">
        <f>$W$25</f>
        <v>24034.5</v>
      </c>
      <c r="AI35" s="271">
        <f>$X$25</f>
        <v>19435.5</v>
      </c>
      <c r="AJ35" s="271">
        <f>$Y$25</f>
        <v>17041.5</v>
      </c>
      <c r="AK35" s="271">
        <f>$Z$25</f>
        <v>23688</v>
      </c>
      <c r="AL35" s="606">
        <f>$AA$25</f>
        <v>19876.5</v>
      </c>
      <c r="AM35" s="606">
        <f>$AB$25</f>
        <v>24223.5</v>
      </c>
      <c r="AN35" s="606">
        <f>$AD$25</f>
        <v>30712.5</v>
      </c>
      <c r="AO35" s="606">
        <f>$AE$25</f>
        <v>23845.5</v>
      </c>
      <c r="AP35" s="606">
        <f>$AF$25</f>
        <v>18081</v>
      </c>
      <c r="AQ35" s="606">
        <f>$AG$25</f>
        <v>20903.400000000001</v>
      </c>
      <c r="AR35" s="606">
        <f>$AH$25</f>
        <v>32772.6</v>
      </c>
      <c r="AS35" s="606">
        <f>$AI$25</f>
        <v>26460</v>
      </c>
      <c r="AT35" s="610">
        <f>$AJ$25</f>
        <v>17312.399999999998</v>
      </c>
      <c r="AU35" s="608">
        <f>$AK$25</f>
        <v>10187.1</v>
      </c>
      <c r="AV35" s="606">
        <f>$AL$25</f>
        <v>22113</v>
      </c>
      <c r="AW35" s="606">
        <f>$AM$25</f>
        <v>23562</v>
      </c>
    </row>
    <row r="36" spans="1:49" x14ac:dyDescent="0.2">
      <c r="A36" s="242" t="s">
        <v>299</v>
      </c>
      <c r="B36" s="271"/>
      <c r="C36" s="271"/>
      <c r="D36" s="271"/>
      <c r="E36" s="271"/>
      <c r="F36" s="271"/>
      <c r="G36" s="271"/>
      <c r="H36" s="271"/>
      <c r="I36" s="271"/>
      <c r="J36" s="271"/>
      <c r="K36" s="271"/>
      <c r="L36" s="271"/>
      <c r="M36" s="271"/>
      <c r="N36" s="271"/>
      <c r="O36" s="271"/>
      <c r="P36" s="271"/>
      <c r="Q36" s="271"/>
      <c r="R36" s="271"/>
      <c r="S36" s="271"/>
      <c r="T36" s="271"/>
      <c r="U36" s="271"/>
      <c r="V36" s="271"/>
      <c r="W36" s="271"/>
      <c r="X36" s="271"/>
      <c r="Y36" s="285">
        <f>$N$25</f>
        <v>13576.5</v>
      </c>
      <c r="Z36" s="252">
        <f>$N$25</f>
        <v>13576.5</v>
      </c>
      <c r="AA36" s="271">
        <f>$O$25</f>
        <v>19309.499999999996</v>
      </c>
      <c r="AB36" s="271">
        <f>$P$25</f>
        <v>22585.5</v>
      </c>
      <c r="AC36" s="271">
        <f>$Q$25</f>
        <v>22554</v>
      </c>
      <c r="AD36" s="271">
        <f>$R$25</f>
        <v>24475.5</v>
      </c>
      <c r="AE36" s="271">
        <f>$S$25</f>
        <v>19057.5</v>
      </c>
      <c r="AF36" s="271">
        <f>$T$25</f>
        <v>16726.5</v>
      </c>
      <c r="AG36" s="271">
        <f>$U$25</f>
        <v>18837</v>
      </c>
      <c r="AH36" s="271">
        <f>$V$25</f>
        <v>19341</v>
      </c>
      <c r="AI36" s="271">
        <f>$W$25</f>
        <v>24034.5</v>
      </c>
      <c r="AJ36" s="271">
        <f>$X$25</f>
        <v>19435.5</v>
      </c>
      <c r="AK36" s="271">
        <f>$Y$25</f>
        <v>17041.5</v>
      </c>
      <c r="AL36" s="606">
        <f>$Z$25</f>
        <v>23688</v>
      </c>
      <c r="AM36" s="606">
        <f>$AA$25</f>
        <v>19876.5</v>
      </c>
      <c r="AN36" s="606">
        <f>$AB$25</f>
        <v>24223.5</v>
      </c>
      <c r="AO36" s="606">
        <f>$AD$25</f>
        <v>30712.5</v>
      </c>
      <c r="AP36" s="606">
        <f>$AE$25</f>
        <v>23845.5</v>
      </c>
      <c r="AQ36" s="606">
        <f>$AF$25</f>
        <v>18081</v>
      </c>
      <c r="AR36" s="606">
        <f>$AG$25</f>
        <v>20903.400000000001</v>
      </c>
      <c r="AS36" s="606">
        <f>$AH$25</f>
        <v>32772.6</v>
      </c>
      <c r="AT36" s="606">
        <f>$AI$25</f>
        <v>26460</v>
      </c>
      <c r="AU36" s="610">
        <f>$AJ$25</f>
        <v>17312.399999999998</v>
      </c>
      <c r="AV36" s="608">
        <f>$AK$25</f>
        <v>10187.1</v>
      </c>
      <c r="AW36" s="606">
        <f>$AL$25</f>
        <v>22113</v>
      </c>
    </row>
    <row r="37" spans="1:49" x14ac:dyDescent="0.2">
      <c r="A37" s="242" t="s">
        <v>300</v>
      </c>
      <c r="B37" s="271"/>
      <c r="C37" s="271"/>
      <c r="D37" s="271"/>
      <c r="E37" s="271"/>
      <c r="F37" s="271"/>
      <c r="G37" s="271"/>
      <c r="H37" s="271"/>
      <c r="I37" s="271"/>
      <c r="J37" s="271"/>
      <c r="K37" s="271"/>
      <c r="L37" s="271"/>
      <c r="M37" s="271"/>
      <c r="N37" s="271"/>
      <c r="O37" s="271"/>
      <c r="P37" s="271"/>
      <c r="Q37" s="271"/>
      <c r="R37" s="271"/>
      <c r="S37" s="271"/>
      <c r="T37" s="271"/>
      <c r="U37" s="271"/>
      <c r="V37" s="271"/>
      <c r="W37" s="271"/>
      <c r="X37" s="271"/>
      <c r="Y37" s="271"/>
      <c r="Z37" s="285">
        <f>$N$25</f>
        <v>13576.5</v>
      </c>
      <c r="AA37" s="252">
        <f>$N$25</f>
        <v>13576.5</v>
      </c>
      <c r="AB37" s="271">
        <f>$O$25</f>
        <v>19309.499999999996</v>
      </c>
      <c r="AC37" s="271">
        <f>$P$25</f>
        <v>22585.5</v>
      </c>
      <c r="AD37" s="271">
        <f>$Q$25</f>
        <v>22554</v>
      </c>
      <c r="AE37" s="271">
        <f>$R$25</f>
        <v>24475.5</v>
      </c>
      <c r="AF37" s="271">
        <f>$S$25</f>
        <v>19057.5</v>
      </c>
      <c r="AG37" s="271">
        <f>$T$25</f>
        <v>16726.5</v>
      </c>
      <c r="AH37" s="271">
        <f>$U$25</f>
        <v>18837</v>
      </c>
      <c r="AI37" s="271">
        <f>$V$25</f>
        <v>19341</v>
      </c>
      <c r="AJ37" s="271">
        <f>$W$25</f>
        <v>24034.5</v>
      </c>
      <c r="AK37" s="271">
        <f>$X$25</f>
        <v>19435.5</v>
      </c>
      <c r="AL37" s="606">
        <f>$Y$25</f>
        <v>17041.5</v>
      </c>
      <c r="AM37" s="606">
        <f>$Z$25</f>
        <v>23688</v>
      </c>
      <c r="AN37" s="606">
        <f>$AA$25</f>
        <v>19876.5</v>
      </c>
      <c r="AO37" s="606">
        <f>$AB$25</f>
        <v>24223.5</v>
      </c>
      <c r="AP37" s="606">
        <f>$AD$25</f>
        <v>30712.5</v>
      </c>
      <c r="AQ37" s="606">
        <f>$AE$25</f>
        <v>23845.5</v>
      </c>
      <c r="AR37" s="606">
        <f>$AF$25</f>
        <v>18081</v>
      </c>
      <c r="AS37" s="606">
        <f>$AG$25</f>
        <v>20903.400000000001</v>
      </c>
      <c r="AT37" s="606">
        <f>$AH$25</f>
        <v>32772.6</v>
      </c>
      <c r="AU37" s="606">
        <f>$AI$25</f>
        <v>26460</v>
      </c>
      <c r="AV37" s="610">
        <f>$AJ$25</f>
        <v>17312.399999999998</v>
      </c>
      <c r="AW37" s="608">
        <f>$AK$25</f>
        <v>10187.1</v>
      </c>
    </row>
    <row r="38" spans="1:49" x14ac:dyDescent="0.2">
      <c r="A38" s="242" t="s">
        <v>301</v>
      </c>
      <c r="B38" s="271"/>
      <c r="C38" s="271"/>
      <c r="D38" s="271"/>
      <c r="E38" s="271"/>
      <c r="F38" s="271"/>
      <c r="G38" s="271"/>
      <c r="H38" s="271"/>
      <c r="I38" s="271"/>
      <c r="J38" s="271"/>
      <c r="K38" s="271"/>
      <c r="L38" s="271"/>
      <c r="M38" s="271"/>
      <c r="N38" s="271"/>
      <c r="O38" s="271"/>
      <c r="P38" s="271"/>
      <c r="Q38" s="271"/>
      <c r="R38" s="271"/>
      <c r="S38" s="271"/>
      <c r="T38" s="271"/>
      <c r="U38" s="271"/>
      <c r="V38" s="271"/>
      <c r="W38" s="271"/>
      <c r="X38" s="271"/>
      <c r="Y38" s="271"/>
      <c r="Z38" s="271"/>
      <c r="AA38" s="285">
        <f>$N$25</f>
        <v>13576.5</v>
      </c>
      <c r="AB38" s="252">
        <f>$N$25</f>
        <v>13576.5</v>
      </c>
      <c r="AC38" s="271">
        <f>$O$25</f>
        <v>19309.499999999996</v>
      </c>
      <c r="AD38" s="271">
        <f>$P$25</f>
        <v>22585.5</v>
      </c>
      <c r="AE38" s="271">
        <f>$Q$25</f>
        <v>22554</v>
      </c>
      <c r="AF38" s="271">
        <f>$R$25</f>
        <v>24475.5</v>
      </c>
      <c r="AG38" s="271">
        <f>$S$25</f>
        <v>19057.5</v>
      </c>
      <c r="AH38" s="271">
        <f>$T$25</f>
        <v>16726.5</v>
      </c>
      <c r="AI38" s="271">
        <f>$U$25</f>
        <v>18837</v>
      </c>
      <c r="AJ38" s="271">
        <f>$V$25</f>
        <v>19341</v>
      </c>
      <c r="AK38" s="271">
        <f>$W$25</f>
        <v>24034.5</v>
      </c>
      <c r="AL38" s="606">
        <f>$X$25</f>
        <v>19435.5</v>
      </c>
      <c r="AM38" s="606">
        <f>$Y$25</f>
        <v>17041.5</v>
      </c>
      <c r="AN38" s="606">
        <f>$Z$25</f>
        <v>23688</v>
      </c>
      <c r="AO38" s="606">
        <f>$AA$25</f>
        <v>19876.5</v>
      </c>
      <c r="AP38" s="606">
        <f>$AB$25</f>
        <v>24223.5</v>
      </c>
      <c r="AQ38" s="606">
        <f>$AD$25</f>
        <v>30712.5</v>
      </c>
      <c r="AR38" s="606">
        <f>$AE$25</f>
        <v>23845.5</v>
      </c>
      <c r="AS38" s="606">
        <f>$AF$25</f>
        <v>18081</v>
      </c>
      <c r="AT38" s="606">
        <f>$AG$25</f>
        <v>20903.400000000001</v>
      </c>
      <c r="AU38" s="606">
        <f>$AH$25</f>
        <v>32772.6</v>
      </c>
      <c r="AV38" s="606">
        <f>$AI$25</f>
        <v>26460</v>
      </c>
      <c r="AW38" s="610">
        <f>$AJ$25</f>
        <v>17312.399999999998</v>
      </c>
    </row>
    <row r="39" spans="1:49" x14ac:dyDescent="0.2">
      <c r="A39" s="242" t="s">
        <v>302</v>
      </c>
      <c r="B39" s="271"/>
      <c r="C39" s="271"/>
      <c r="D39" s="271"/>
      <c r="E39" s="271"/>
      <c r="F39" s="271"/>
      <c r="G39" s="271"/>
      <c r="H39" s="271"/>
      <c r="I39" s="271"/>
      <c r="J39" s="271"/>
      <c r="K39" s="271"/>
      <c r="L39" s="271"/>
      <c r="M39" s="271"/>
      <c r="N39" s="271"/>
      <c r="O39" s="271"/>
      <c r="P39" s="271"/>
      <c r="Q39" s="271"/>
      <c r="R39" s="271"/>
      <c r="S39" s="271"/>
      <c r="T39" s="271"/>
      <c r="U39" s="271"/>
      <c r="V39" s="271"/>
      <c r="W39" s="271"/>
      <c r="X39" s="271"/>
      <c r="Y39" s="271"/>
      <c r="Z39" s="271"/>
      <c r="AA39" s="271"/>
      <c r="AB39" s="285">
        <f>$N$25</f>
        <v>13576.5</v>
      </c>
      <c r="AC39" s="252">
        <f>$N$25</f>
        <v>13576.5</v>
      </c>
      <c r="AD39" s="271">
        <f>$O$25</f>
        <v>19309.499999999996</v>
      </c>
      <c r="AE39" s="271">
        <f>$P$25</f>
        <v>22585.5</v>
      </c>
      <c r="AF39" s="271">
        <f>$Q$25</f>
        <v>22554</v>
      </c>
      <c r="AG39" s="271">
        <f>$R$25</f>
        <v>24475.5</v>
      </c>
      <c r="AH39" s="271">
        <f>$S$25</f>
        <v>19057.5</v>
      </c>
      <c r="AI39" s="271">
        <f>$T$25</f>
        <v>16726.5</v>
      </c>
      <c r="AJ39" s="271">
        <f>$U$25</f>
        <v>18837</v>
      </c>
      <c r="AK39" s="271">
        <f>$V$25</f>
        <v>19341</v>
      </c>
      <c r="AL39" s="606">
        <f>$W$25</f>
        <v>24034.5</v>
      </c>
      <c r="AM39" s="606">
        <f>$X$25</f>
        <v>19435.5</v>
      </c>
      <c r="AN39" s="606">
        <f>$Y$25</f>
        <v>17041.5</v>
      </c>
      <c r="AO39" s="606">
        <f>$Z$25</f>
        <v>23688</v>
      </c>
      <c r="AP39" s="606">
        <f>$AA$25</f>
        <v>19876.5</v>
      </c>
      <c r="AQ39" s="606">
        <f>$AB$25</f>
        <v>24223.5</v>
      </c>
      <c r="AR39" s="606">
        <f>$AD$25</f>
        <v>30712.5</v>
      </c>
      <c r="AS39" s="606">
        <f>$AE$25</f>
        <v>23845.5</v>
      </c>
      <c r="AT39" s="606">
        <f>$AF$25</f>
        <v>18081</v>
      </c>
      <c r="AU39" s="606">
        <f>$AG$25</f>
        <v>20903.400000000001</v>
      </c>
      <c r="AV39" s="606">
        <f>$AH$25</f>
        <v>32772.6</v>
      </c>
      <c r="AW39" s="606">
        <f>$AI$25</f>
        <v>26460</v>
      </c>
    </row>
    <row r="40" spans="1:49" x14ac:dyDescent="0.2">
      <c r="A40" s="242" t="s">
        <v>303</v>
      </c>
      <c r="B40" s="271"/>
      <c r="C40" s="271"/>
      <c r="D40" s="271"/>
      <c r="E40" s="271"/>
      <c r="F40" s="271"/>
      <c r="G40" s="271"/>
      <c r="H40" s="271"/>
      <c r="I40" s="271"/>
      <c r="J40" s="271"/>
      <c r="K40" s="271"/>
      <c r="L40" s="271"/>
      <c r="M40" s="271"/>
      <c r="N40" s="271"/>
      <c r="O40" s="271"/>
      <c r="P40" s="271"/>
      <c r="Q40" s="271"/>
      <c r="R40" s="271"/>
      <c r="S40" s="271"/>
      <c r="T40" s="271"/>
      <c r="U40" s="271"/>
      <c r="V40" s="271"/>
      <c r="W40" s="271"/>
      <c r="X40" s="271"/>
      <c r="Y40" s="271"/>
      <c r="Z40" s="271"/>
      <c r="AA40" s="271"/>
      <c r="AB40" s="271"/>
      <c r="AC40" s="285">
        <f>$N$25</f>
        <v>13576.5</v>
      </c>
      <c r="AD40" s="252">
        <f>$N$25</f>
        <v>13576.5</v>
      </c>
      <c r="AE40" s="271">
        <f>$O$25</f>
        <v>19309.499999999996</v>
      </c>
      <c r="AF40" s="271">
        <f>$P$25</f>
        <v>22585.5</v>
      </c>
      <c r="AG40" s="271">
        <f>$Q$25</f>
        <v>22554</v>
      </c>
      <c r="AH40" s="271">
        <f>$R$25</f>
        <v>24475.5</v>
      </c>
      <c r="AI40" s="271">
        <f>$S$25</f>
        <v>19057.5</v>
      </c>
      <c r="AJ40" s="271">
        <f>$T$25</f>
        <v>16726.5</v>
      </c>
      <c r="AK40" s="271">
        <f>$U$25</f>
        <v>18837</v>
      </c>
      <c r="AL40" s="606">
        <f>$V$25</f>
        <v>19341</v>
      </c>
      <c r="AM40" s="606">
        <f>$W$25</f>
        <v>24034.5</v>
      </c>
      <c r="AN40" s="606">
        <f>$X$25</f>
        <v>19435.5</v>
      </c>
      <c r="AO40" s="606">
        <f>$Y$25</f>
        <v>17041.5</v>
      </c>
      <c r="AP40" s="606">
        <f>$Z$25</f>
        <v>23688</v>
      </c>
      <c r="AQ40" s="606">
        <f>$AA$25</f>
        <v>19876.5</v>
      </c>
      <c r="AR40" s="606">
        <f>$AB$25</f>
        <v>24223.5</v>
      </c>
      <c r="AS40" s="606">
        <f>$AD$25</f>
        <v>30712.5</v>
      </c>
      <c r="AT40" s="606">
        <f>$AE$25</f>
        <v>23845.5</v>
      </c>
      <c r="AU40" s="606">
        <f>$AF$25</f>
        <v>18081</v>
      </c>
      <c r="AV40" s="606">
        <f>$AG$25</f>
        <v>20903.400000000001</v>
      </c>
      <c r="AW40" s="606">
        <f>$AH$25</f>
        <v>32772.6</v>
      </c>
    </row>
    <row r="41" spans="1:49" x14ac:dyDescent="0.2">
      <c r="A41" s="242" t="s">
        <v>304</v>
      </c>
      <c r="B41" s="271"/>
      <c r="C41" s="271"/>
      <c r="D41" s="271"/>
      <c r="E41" s="271"/>
      <c r="F41" s="271"/>
      <c r="G41" s="271"/>
      <c r="H41" s="271"/>
      <c r="I41" s="271"/>
      <c r="J41" s="271"/>
      <c r="K41" s="271"/>
      <c r="L41" s="271"/>
      <c r="M41" s="271"/>
      <c r="N41" s="271"/>
      <c r="O41" s="271"/>
      <c r="P41" s="271"/>
      <c r="Q41" s="271"/>
      <c r="R41" s="271"/>
      <c r="S41" s="271"/>
      <c r="T41" s="271"/>
      <c r="U41" s="271"/>
      <c r="V41" s="271"/>
      <c r="W41" s="271"/>
      <c r="X41" s="271"/>
      <c r="Y41" s="271"/>
      <c r="Z41" s="271"/>
      <c r="AA41" s="271"/>
      <c r="AB41" s="271"/>
      <c r="AC41" s="271"/>
      <c r="AD41" s="285">
        <f>$N$25</f>
        <v>13576.5</v>
      </c>
      <c r="AE41" s="252">
        <f>$N$25</f>
        <v>13576.5</v>
      </c>
      <c r="AF41" s="271">
        <f>$O$25</f>
        <v>19309.499999999996</v>
      </c>
      <c r="AG41" s="271">
        <f>$P$25</f>
        <v>22585.5</v>
      </c>
      <c r="AH41" s="271">
        <f>$Q$25</f>
        <v>22554</v>
      </c>
      <c r="AI41" s="271">
        <f>$R$25</f>
        <v>24475.5</v>
      </c>
      <c r="AJ41" s="271">
        <f>$S$25</f>
        <v>19057.5</v>
      </c>
      <c r="AK41" s="271">
        <f>$T$25</f>
        <v>16726.5</v>
      </c>
      <c r="AL41" s="606">
        <f>$U$25</f>
        <v>18837</v>
      </c>
      <c r="AM41" s="606">
        <f>$V$25</f>
        <v>19341</v>
      </c>
      <c r="AN41" s="606">
        <f>$W$25</f>
        <v>24034.5</v>
      </c>
      <c r="AO41" s="606">
        <f>$X$25</f>
        <v>19435.5</v>
      </c>
      <c r="AP41" s="606">
        <f>$Y$25</f>
        <v>17041.5</v>
      </c>
      <c r="AQ41" s="606">
        <f>$Z$25</f>
        <v>23688</v>
      </c>
      <c r="AR41" s="606">
        <f>$AA$25</f>
        <v>19876.5</v>
      </c>
      <c r="AS41" s="606">
        <f>$AB$25</f>
        <v>24223.5</v>
      </c>
      <c r="AT41" s="606">
        <f>$AD$25</f>
        <v>30712.5</v>
      </c>
      <c r="AU41" s="606">
        <f>$AE$25</f>
        <v>23845.5</v>
      </c>
      <c r="AV41" s="606">
        <f>$AF$25</f>
        <v>18081</v>
      </c>
      <c r="AW41" s="606">
        <f>$AG$25</f>
        <v>20903.400000000001</v>
      </c>
    </row>
    <row r="42" spans="1:49" x14ac:dyDescent="0.2">
      <c r="A42" s="242" t="s">
        <v>305</v>
      </c>
      <c r="B42" s="271"/>
      <c r="C42" s="271"/>
      <c r="D42" s="271"/>
      <c r="E42" s="271"/>
      <c r="F42" s="271"/>
      <c r="G42" s="271"/>
      <c r="H42" s="271"/>
      <c r="I42" s="271"/>
      <c r="J42" s="271"/>
      <c r="K42" s="271"/>
      <c r="L42" s="271"/>
      <c r="M42" s="271"/>
      <c r="N42" s="271"/>
      <c r="O42" s="271"/>
      <c r="P42" s="271"/>
      <c r="Q42" s="271"/>
      <c r="R42" s="271"/>
      <c r="S42" s="271"/>
      <c r="T42" s="271"/>
      <c r="U42" s="271"/>
      <c r="V42" s="271"/>
      <c r="W42" s="271"/>
      <c r="X42" s="271"/>
      <c r="Y42" s="271"/>
      <c r="Z42" s="271"/>
      <c r="AA42" s="271"/>
      <c r="AB42" s="271"/>
      <c r="AC42" s="271"/>
      <c r="AD42" s="271"/>
      <c r="AE42" s="285">
        <f>$N$25</f>
        <v>13576.5</v>
      </c>
      <c r="AF42" s="252">
        <f>$N$25</f>
        <v>13576.5</v>
      </c>
      <c r="AG42" s="271">
        <f>$O$25</f>
        <v>19309.499999999996</v>
      </c>
      <c r="AH42" s="271">
        <f>$P$25</f>
        <v>22585.5</v>
      </c>
      <c r="AI42" s="271">
        <f>$Q$25</f>
        <v>22554</v>
      </c>
      <c r="AJ42" s="271">
        <f>$R$25</f>
        <v>24475.5</v>
      </c>
      <c r="AK42" s="271">
        <f>$S$25</f>
        <v>19057.5</v>
      </c>
      <c r="AL42" s="606">
        <f>$T$25</f>
        <v>16726.5</v>
      </c>
      <c r="AM42" s="606">
        <f>$U$25</f>
        <v>18837</v>
      </c>
      <c r="AN42" s="606">
        <f>$V$25</f>
        <v>19341</v>
      </c>
      <c r="AO42" s="606">
        <f>$W$25</f>
        <v>24034.5</v>
      </c>
      <c r="AP42" s="606">
        <f>$X$25</f>
        <v>19435.5</v>
      </c>
      <c r="AQ42" s="606">
        <f>$Y$25</f>
        <v>17041.5</v>
      </c>
      <c r="AR42" s="606">
        <f>$Z$25</f>
        <v>23688</v>
      </c>
      <c r="AS42" s="606">
        <f>$AA$25</f>
        <v>19876.5</v>
      </c>
      <c r="AT42" s="606">
        <f>$AB$25</f>
        <v>24223.5</v>
      </c>
      <c r="AU42" s="606">
        <f>$AD$25</f>
        <v>30712.5</v>
      </c>
      <c r="AV42" s="606">
        <f>$AE$25</f>
        <v>23845.5</v>
      </c>
      <c r="AW42" s="606">
        <f>$AF$25</f>
        <v>18081</v>
      </c>
    </row>
    <row r="43" spans="1:49" x14ac:dyDescent="0.2">
      <c r="A43" s="242" t="s">
        <v>306</v>
      </c>
      <c r="B43" s="271"/>
      <c r="C43" s="271"/>
      <c r="D43" s="271"/>
      <c r="E43" s="271"/>
      <c r="F43" s="271"/>
      <c r="G43" s="271"/>
      <c r="H43" s="271"/>
      <c r="I43" s="271"/>
      <c r="J43" s="271"/>
      <c r="K43" s="271"/>
      <c r="L43" s="271"/>
      <c r="M43" s="271"/>
      <c r="N43" s="271"/>
      <c r="O43" s="271"/>
      <c r="P43" s="271"/>
      <c r="Q43" s="271"/>
      <c r="R43" s="271"/>
      <c r="S43" s="271"/>
      <c r="T43" s="271"/>
      <c r="U43" s="271"/>
      <c r="V43" s="271"/>
      <c r="W43" s="271"/>
      <c r="X43" s="271"/>
      <c r="Y43" s="271"/>
      <c r="Z43" s="271"/>
      <c r="AA43" s="271"/>
      <c r="AB43" s="271"/>
      <c r="AC43" s="271"/>
      <c r="AD43" s="271"/>
      <c r="AE43" s="271"/>
      <c r="AF43" s="285">
        <f>$N$25</f>
        <v>13576.5</v>
      </c>
      <c r="AG43" s="252">
        <f>$N$25</f>
        <v>13576.5</v>
      </c>
      <c r="AH43" s="271">
        <f>$O$25</f>
        <v>19309.499999999996</v>
      </c>
      <c r="AI43" s="271">
        <f>$P$25</f>
        <v>22585.5</v>
      </c>
      <c r="AJ43" s="271">
        <f>$Q$25</f>
        <v>22554</v>
      </c>
      <c r="AK43" s="271">
        <f>$R$25</f>
        <v>24475.5</v>
      </c>
      <c r="AL43" s="606">
        <f>$S$25</f>
        <v>19057.5</v>
      </c>
      <c r="AM43" s="606">
        <f>$T$25</f>
        <v>16726.5</v>
      </c>
      <c r="AN43" s="606">
        <f>$U$25</f>
        <v>18837</v>
      </c>
      <c r="AO43" s="606">
        <f>$V$25</f>
        <v>19341</v>
      </c>
      <c r="AP43" s="606">
        <f>$W$25</f>
        <v>24034.5</v>
      </c>
      <c r="AQ43" s="606">
        <f>$X$25</f>
        <v>19435.5</v>
      </c>
      <c r="AR43" s="606">
        <f>$Y$25</f>
        <v>17041.5</v>
      </c>
      <c r="AS43" s="606">
        <f>$Z$25</f>
        <v>23688</v>
      </c>
      <c r="AT43" s="606">
        <f>$AA$25</f>
        <v>19876.5</v>
      </c>
      <c r="AU43" s="606">
        <f>$AB$25</f>
        <v>24223.5</v>
      </c>
      <c r="AV43" s="606">
        <f>$AD$25</f>
        <v>30712.5</v>
      </c>
      <c r="AW43" s="606">
        <f>$AE$25</f>
        <v>23845.5</v>
      </c>
    </row>
    <row r="44" spans="1:49" x14ac:dyDescent="0.2">
      <c r="A44" s="242" t="s">
        <v>307</v>
      </c>
      <c r="B44" s="271"/>
      <c r="C44" s="271"/>
      <c r="D44" s="271"/>
      <c r="E44" s="271"/>
      <c r="F44" s="271"/>
      <c r="G44" s="271"/>
      <c r="H44" s="271"/>
      <c r="I44" s="271"/>
      <c r="J44" s="271"/>
      <c r="K44" s="271"/>
      <c r="L44" s="271"/>
      <c r="M44" s="271"/>
      <c r="N44" s="271"/>
      <c r="O44" s="271"/>
      <c r="P44" s="271"/>
      <c r="Q44" s="271"/>
      <c r="R44" s="271"/>
      <c r="S44" s="271"/>
      <c r="T44" s="271"/>
      <c r="U44" s="271"/>
      <c r="V44" s="271"/>
      <c r="W44" s="271"/>
      <c r="X44" s="271"/>
      <c r="Y44" s="271"/>
      <c r="Z44" s="271"/>
      <c r="AA44" s="271"/>
      <c r="AB44" s="271"/>
      <c r="AC44" s="271"/>
      <c r="AD44" s="271"/>
      <c r="AE44" s="271"/>
      <c r="AF44" s="271"/>
      <c r="AG44" s="285">
        <f>$N$25</f>
        <v>13576.5</v>
      </c>
      <c r="AH44" s="252">
        <f>$N$25</f>
        <v>13576.5</v>
      </c>
      <c r="AI44" s="271">
        <f>$O$25</f>
        <v>19309.499999999996</v>
      </c>
      <c r="AJ44" s="271">
        <f>$P$25</f>
        <v>22585.5</v>
      </c>
      <c r="AK44" s="271">
        <f>$Q$25</f>
        <v>22554</v>
      </c>
      <c r="AL44" s="606">
        <f>$R$25</f>
        <v>24475.5</v>
      </c>
      <c r="AM44" s="606">
        <f>$S$25</f>
        <v>19057.5</v>
      </c>
      <c r="AN44" s="606">
        <f>$T$25</f>
        <v>16726.5</v>
      </c>
      <c r="AO44" s="606">
        <f>$U$25</f>
        <v>18837</v>
      </c>
      <c r="AP44" s="606">
        <f>$V$25</f>
        <v>19341</v>
      </c>
      <c r="AQ44" s="606">
        <f>$W$25</f>
        <v>24034.5</v>
      </c>
      <c r="AR44" s="606">
        <f>$X$25</f>
        <v>19435.5</v>
      </c>
      <c r="AS44" s="606">
        <f>$Y$25</f>
        <v>17041.5</v>
      </c>
      <c r="AT44" s="606">
        <f>$Z$25</f>
        <v>23688</v>
      </c>
      <c r="AU44" s="606">
        <f>$AA$25</f>
        <v>19876.5</v>
      </c>
      <c r="AV44" s="606">
        <f>$AB$25</f>
        <v>24223.5</v>
      </c>
      <c r="AW44" s="606">
        <f>$AD$25</f>
        <v>30712.5</v>
      </c>
    </row>
    <row r="45" spans="1:49" x14ac:dyDescent="0.2">
      <c r="A45" s="242" t="s">
        <v>308</v>
      </c>
      <c r="B45" s="271"/>
      <c r="C45" s="271"/>
      <c r="D45" s="271"/>
      <c r="E45" s="271"/>
      <c r="F45" s="271"/>
      <c r="G45" s="271"/>
      <c r="H45" s="271"/>
      <c r="I45" s="271"/>
      <c r="J45" s="271"/>
      <c r="K45" s="271"/>
      <c r="L45" s="271"/>
      <c r="M45" s="271"/>
      <c r="N45" s="271"/>
      <c r="O45" s="271"/>
      <c r="P45" s="271"/>
      <c r="Q45" s="271"/>
      <c r="R45" s="271"/>
      <c r="S45" s="271"/>
      <c r="T45" s="271"/>
      <c r="U45" s="271"/>
      <c r="V45" s="271"/>
      <c r="W45" s="271"/>
      <c r="X45" s="271"/>
      <c r="Y45" s="271"/>
      <c r="Z45" s="271"/>
      <c r="AA45" s="271"/>
      <c r="AB45" s="271"/>
      <c r="AC45" s="271"/>
      <c r="AD45" s="271"/>
      <c r="AE45" s="271"/>
      <c r="AF45" s="271"/>
      <c r="AG45" s="271"/>
      <c r="AH45" s="285">
        <f>$N$25</f>
        <v>13576.5</v>
      </c>
      <c r="AI45" s="252">
        <f>$N$25</f>
        <v>13576.5</v>
      </c>
      <c r="AJ45" s="271">
        <f>$O$25</f>
        <v>19309.499999999996</v>
      </c>
      <c r="AK45" s="271">
        <f>$P$25</f>
        <v>22585.5</v>
      </c>
      <c r="AL45" s="606">
        <f>$Q$25</f>
        <v>22554</v>
      </c>
      <c r="AM45" s="606">
        <f>$R$25</f>
        <v>24475.5</v>
      </c>
      <c r="AN45" s="606">
        <f>$S$25</f>
        <v>19057.5</v>
      </c>
      <c r="AO45" s="606">
        <f>$T$25</f>
        <v>16726.5</v>
      </c>
      <c r="AP45" s="606">
        <f>$U$25</f>
        <v>18837</v>
      </c>
      <c r="AQ45" s="606">
        <f>$V$25</f>
        <v>19341</v>
      </c>
      <c r="AR45" s="606">
        <f>$W$25</f>
        <v>24034.5</v>
      </c>
      <c r="AS45" s="606">
        <f>$X$25</f>
        <v>19435.5</v>
      </c>
      <c r="AT45" s="606">
        <f>$Y$25</f>
        <v>17041.5</v>
      </c>
      <c r="AU45" s="606">
        <f>$Z$25</f>
        <v>23688</v>
      </c>
      <c r="AV45" s="606">
        <f>$AA$25</f>
        <v>19876.5</v>
      </c>
      <c r="AW45" s="606">
        <f>$AB$25</f>
        <v>24223.5</v>
      </c>
    </row>
    <row r="46" spans="1:49" x14ac:dyDescent="0.2">
      <c r="A46" s="242" t="s">
        <v>309</v>
      </c>
      <c r="B46" s="271"/>
      <c r="C46" s="271"/>
      <c r="D46" s="271"/>
      <c r="E46" s="271"/>
      <c r="F46" s="271"/>
      <c r="G46" s="271"/>
      <c r="H46" s="271"/>
      <c r="I46" s="271"/>
      <c r="J46" s="271"/>
      <c r="K46" s="271"/>
      <c r="L46" s="271"/>
      <c r="M46" s="271"/>
      <c r="N46" s="271"/>
      <c r="O46" s="271"/>
      <c r="P46" s="271"/>
      <c r="Q46" s="271"/>
      <c r="R46" s="271"/>
      <c r="S46" s="271"/>
      <c r="T46" s="271"/>
      <c r="U46" s="271"/>
      <c r="V46" s="271"/>
      <c r="W46" s="271"/>
      <c r="X46" s="271"/>
      <c r="Y46" s="271"/>
      <c r="Z46" s="271"/>
      <c r="AA46" s="271"/>
      <c r="AB46" s="271"/>
      <c r="AC46" s="271"/>
      <c r="AD46" s="271"/>
      <c r="AE46" s="271"/>
      <c r="AF46" s="271"/>
      <c r="AG46" s="271"/>
      <c r="AH46" s="271"/>
      <c r="AI46" s="285">
        <f>$N$25</f>
        <v>13576.5</v>
      </c>
      <c r="AJ46" s="252">
        <f>$N$25</f>
        <v>13576.5</v>
      </c>
      <c r="AK46" s="271">
        <f>$O$25</f>
        <v>19309.499999999996</v>
      </c>
      <c r="AL46" s="606">
        <f>$P$25</f>
        <v>22585.5</v>
      </c>
      <c r="AM46" s="606">
        <f>$Q$25</f>
        <v>22554</v>
      </c>
      <c r="AN46" s="606">
        <f>$R$25</f>
        <v>24475.5</v>
      </c>
      <c r="AO46" s="606">
        <f>$S$25</f>
        <v>19057.5</v>
      </c>
      <c r="AP46" s="606">
        <f>$T$25</f>
        <v>16726.5</v>
      </c>
      <c r="AQ46" s="606">
        <f>$U$25</f>
        <v>18837</v>
      </c>
      <c r="AR46" s="606">
        <f>$V$25</f>
        <v>19341</v>
      </c>
      <c r="AS46" s="606">
        <f>$W$25</f>
        <v>24034.5</v>
      </c>
      <c r="AT46" s="606">
        <f>$X$25</f>
        <v>19435.5</v>
      </c>
      <c r="AU46" s="606">
        <f>$Y$25</f>
        <v>17041.5</v>
      </c>
      <c r="AV46" s="606">
        <f>$Z$25</f>
        <v>23688</v>
      </c>
      <c r="AW46" s="606">
        <f>$AA$25</f>
        <v>19876.5</v>
      </c>
    </row>
    <row r="47" spans="1:49" x14ac:dyDescent="0.2">
      <c r="A47" s="242" t="s">
        <v>310</v>
      </c>
      <c r="B47" s="271"/>
      <c r="C47" s="271"/>
      <c r="D47" s="271"/>
      <c r="E47" s="271"/>
      <c r="F47" s="271"/>
      <c r="G47" s="271"/>
      <c r="H47" s="271"/>
      <c r="I47" s="271"/>
      <c r="J47" s="271"/>
      <c r="K47" s="271"/>
      <c r="L47" s="271"/>
      <c r="M47" s="271"/>
      <c r="N47" s="271"/>
      <c r="O47" s="271"/>
      <c r="P47" s="271"/>
      <c r="Q47" s="271"/>
      <c r="R47" s="271"/>
      <c r="S47" s="271"/>
      <c r="T47" s="271"/>
      <c r="U47" s="271"/>
      <c r="V47" s="271"/>
      <c r="W47" s="271"/>
      <c r="X47" s="271"/>
      <c r="Y47" s="271"/>
      <c r="Z47" s="271"/>
      <c r="AA47" s="271"/>
      <c r="AB47" s="271"/>
      <c r="AC47" s="271"/>
      <c r="AD47" s="271"/>
      <c r="AE47" s="271"/>
      <c r="AF47" s="271"/>
      <c r="AG47" s="271"/>
      <c r="AH47" s="271"/>
      <c r="AI47" s="271"/>
      <c r="AJ47" s="285">
        <f>$N$25</f>
        <v>13576.5</v>
      </c>
      <c r="AK47" s="252">
        <f>$N$25</f>
        <v>13576.5</v>
      </c>
      <c r="AL47" s="606">
        <f>$O$25</f>
        <v>19309.499999999996</v>
      </c>
      <c r="AM47" s="606">
        <f>$P$25</f>
        <v>22585.5</v>
      </c>
      <c r="AN47" s="606">
        <f>$Q$25</f>
        <v>22554</v>
      </c>
      <c r="AO47" s="606">
        <f>$R$25</f>
        <v>24475.5</v>
      </c>
      <c r="AP47" s="606">
        <f>$S$25</f>
        <v>19057.5</v>
      </c>
      <c r="AQ47" s="606">
        <f>$T$25</f>
        <v>16726.5</v>
      </c>
      <c r="AR47" s="606">
        <f>$U$25</f>
        <v>18837</v>
      </c>
      <c r="AS47" s="606">
        <f>$V$25</f>
        <v>19341</v>
      </c>
      <c r="AT47" s="606">
        <f>$W$25</f>
        <v>24034.5</v>
      </c>
      <c r="AU47" s="606">
        <f>$X$25</f>
        <v>19435.5</v>
      </c>
      <c r="AV47" s="606">
        <f>$Y$25</f>
        <v>17041.5</v>
      </c>
      <c r="AW47" s="606">
        <f>$Z$25</f>
        <v>23688</v>
      </c>
    </row>
    <row r="48" spans="1:49" s="312" customFormat="1" x14ac:dyDescent="0.2">
      <c r="A48" s="312" t="s">
        <v>311</v>
      </c>
      <c r="B48" s="271"/>
      <c r="C48" s="271"/>
      <c r="D48" s="271"/>
      <c r="E48" s="271"/>
      <c r="F48" s="271"/>
      <c r="G48" s="271"/>
      <c r="H48" s="271"/>
      <c r="I48" s="271"/>
      <c r="J48" s="271"/>
      <c r="K48" s="271"/>
      <c r="L48" s="271"/>
      <c r="M48" s="271"/>
      <c r="N48" s="271"/>
      <c r="O48" s="271"/>
      <c r="P48" s="271"/>
      <c r="Q48" s="271"/>
      <c r="R48" s="271"/>
      <c r="S48" s="271"/>
      <c r="T48" s="271"/>
      <c r="U48" s="271"/>
      <c r="V48" s="271"/>
      <c r="W48" s="271"/>
      <c r="X48" s="271"/>
      <c r="Y48" s="271"/>
      <c r="Z48" s="271"/>
      <c r="AA48" s="271"/>
      <c r="AB48" s="271"/>
      <c r="AC48" s="271"/>
      <c r="AD48" s="271"/>
      <c r="AE48" s="271"/>
      <c r="AF48" s="271"/>
      <c r="AG48" s="271"/>
      <c r="AH48" s="271"/>
      <c r="AI48" s="271"/>
      <c r="AJ48" s="271"/>
      <c r="AK48" s="285">
        <f>$N$25</f>
        <v>13576.5</v>
      </c>
      <c r="AL48" s="608">
        <f>$N$25</f>
        <v>13576.5</v>
      </c>
      <c r="AM48" s="606">
        <f>$O$25</f>
        <v>19309.499999999996</v>
      </c>
      <c r="AN48" s="606">
        <f>$P$25</f>
        <v>22585.5</v>
      </c>
      <c r="AO48" s="606">
        <f>$Q$25</f>
        <v>22554</v>
      </c>
      <c r="AP48" s="606">
        <f>$R$25</f>
        <v>24475.5</v>
      </c>
      <c r="AQ48" s="606">
        <f>$S$25</f>
        <v>19057.5</v>
      </c>
      <c r="AR48" s="606">
        <f>$T$25</f>
        <v>16726.5</v>
      </c>
      <c r="AS48" s="606">
        <f>$U$25</f>
        <v>18837</v>
      </c>
      <c r="AT48" s="606">
        <f>$V$25</f>
        <v>19341</v>
      </c>
      <c r="AU48" s="606">
        <f>$W$25</f>
        <v>24034.5</v>
      </c>
      <c r="AV48" s="606">
        <f>$X$25</f>
        <v>19435.5</v>
      </c>
      <c r="AW48" s="606">
        <f>$Y$25</f>
        <v>17041.5</v>
      </c>
    </row>
    <row r="49" spans="1:49" s="605" customFormat="1" x14ac:dyDescent="0.2">
      <c r="A49" s="605" t="s">
        <v>767</v>
      </c>
      <c r="B49" s="606"/>
      <c r="C49" s="606"/>
      <c r="D49" s="606"/>
      <c r="E49" s="606"/>
      <c r="F49" s="606"/>
      <c r="G49" s="606"/>
      <c r="H49" s="606"/>
      <c r="I49" s="606"/>
      <c r="J49" s="606"/>
      <c r="K49" s="606"/>
      <c r="L49" s="606"/>
      <c r="M49" s="606"/>
      <c r="N49" s="606"/>
      <c r="O49" s="606"/>
      <c r="P49" s="606"/>
      <c r="Q49" s="606"/>
      <c r="R49" s="606"/>
      <c r="S49" s="606"/>
      <c r="T49" s="606"/>
      <c r="U49" s="606"/>
      <c r="V49" s="606"/>
      <c r="W49" s="606"/>
      <c r="X49" s="606"/>
      <c r="Y49" s="606"/>
      <c r="Z49" s="606"/>
      <c r="AA49" s="606"/>
      <c r="AB49" s="606"/>
      <c r="AC49" s="606"/>
      <c r="AD49" s="606"/>
      <c r="AE49" s="606"/>
      <c r="AF49" s="606"/>
      <c r="AG49" s="606"/>
      <c r="AH49" s="606"/>
      <c r="AI49" s="606"/>
      <c r="AJ49" s="606"/>
      <c r="AK49" s="606"/>
      <c r="AL49" s="607">
        <f>$N$25</f>
        <v>13576.5</v>
      </c>
      <c r="AM49" s="608">
        <f>$N$25</f>
        <v>13576.5</v>
      </c>
      <c r="AN49" s="606">
        <f>$O$25</f>
        <v>19309.499999999996</v>
      </c>
      <c r="AO49" s="606">
        <f>$P$25</f>
        <v>22585.5</v>
      </c>
      <c r="AP49" s="606">
        <f>$Q$25</f>
        <v>22554</v>
      </c>
      <c r="AQ49" s="606">
        <f>$R$25</f>
        <v>24475.5</v>
      </c>
      <c r="AR49" s="606">
        <f>$S$25</f>
        <v>19057.5</v>
      </c>
      <c r="AS49" s="606">
        <f>$T$25</f>
        <v>16726.5</v>
      </c>
      <c r="AT49" s="606">
        <f>$U$25</f>
        <v>18837</v>
      </c>
      <c r="AU49" s="606">
        <f>$V$25</f>
        <v>19341</v>
      </c>
      <c r="AV49" s="606">
        <f>$W$25</f>
        <v>24034.5</v>
      </c>
      <c r="AW49" s="606">
        <f>$X$25</f>
        <v>19435.5</v>
      </c>
    </row>
    <row r="50" spans="1:49" s="605" customFormat="1" x14ac:dyDescent="0.2">
      <c r="A50" s="605" t="s">
        <v>768</v>
      </c>
      <c r="B50" s="606"/>
      <c r="C50" s="606"/>
      <c r="D50" s="606"/>
      <c r="E50" s="606"/>
      <c r="F50" s="606"/>
      <c r="G50" s="606"/>
      <c r="H50" s="606"/>
      <c r="I50" s="606"/>
      <c r="J50" s="606"/>
      <c r="K50" s="606"/>
      <c r="L50" s="606"/>
      <c r="M50" s="606"/>
      <c r="N50" s="606"/>
      <c r="O50" s="606"/>
      <c r="P50" s="606"/>
      <c r="Q50" s="606"/>
      <c r="R50" s="606"/>
      <c r="S50" s="606"/>
      <c r="T50" s="606"/>
      <c r="U50" s="606"/>
      <c r="V50" s="606"/>
      <c r="W50" s="606"/>
      <c r="X50" s="606"/>
      <c r="Y50" s="606"/>
      <c r="Z50" s="606"/>
      <c r="AA50" s="606"/>
      <c r="AB50" s="606"/>
      <c r="AC50" s="606"/>
      <c r="AD50" s="606"/>
      <c r="AE50" s="606"/>
      <c r="AF50" s="606"/>
      <c r="AG50" s="606"/>
      <c r="AH50" s="606"/>
      <c r="AI50" s="606"/>
      <c r="AJ50" s="606"/>
      <c r="AK50" s="606"/>
      <c r="AM50" s="607">
        <f>$N$25</f>
        <v>13576.5</v>
      </c>
      <c r="AN50" s="608">
        <f>$N$25</f>
        <v>13576.5</v>
      </c>
      <c r="AO50" s="606">
        <f>$O$25</f>
        <v>19309.499999999996</v>
      </c>
      <c r="AP50" s="606">
        <f>$P$25</f>
        <v>22585.5</v>
      </c>
      <c r="AQ50" s="606">
        <f>$Q$25</f>
        <v>22554</v>
      </c>
      <c r="AR50" s="606">
        <f>$R$25</f>
        <v>24475.5</v>
      </c>
      <c r="AS50" s="606">
        <f>$S$25</f>
        <v>19057.5</v>
      </c>
      <c r="AT50" s="606">
        <f>$T$25</f>
        <v>16726.5</v>
      </c>
      <c r="AU50" s="606">
        <f>$U$25</f>
        <v>18837</v>
      </c>
      <c r="AV50" s="606">
        <f>$V$25</f>
        <v>19341</v>
      </c>
      <c r="AW50" s="606">
        <f>$W$25</f>
        <v>24034.5</v>
      </c>
    </row>
    <row r="51" spans="1:49" s="605" customFormat="1" x14ac:dyDescent="0.2">
      <c r="A51" s="605" t="s">
        <v>769</v>
      </c>
      <c r="B51" s="606"/>
      <c r="C51" s="606"/>
      <c r="D51" s="606"/>
      <c r="E51" s="606"/>
      <c r="F51" s="606"/>
      <c r="G51" s="606"/>
      <c r="H51" s="606"/>
      <c r="I51" s="606"/>
      <c r="J51" s="606"/>
      <c r="K51" s="606"/>
      <c r="L51" s="606"/>
      <c r="M51" s="606"/>
      <c r="N51" s="606"/>
      <c r="O51" s="606"/>
      <c r="P51" s="606"/>
      <c r="Q51" s="606"/>
      <c r="R51" s="606"/>
      <c r="S51" s="606"/>
      <c r="T51" s="606"/>
      <c r="U51" s="606"/>
      <c r="V51" s="606"/>
      <c r="W51" s="606"/>
      <c r="X51" s="606"/>
      <c r="Y51" s="606"/>
      <c r="Z51" s="606"/>
      <c r="AA51" s="606"/>
      <c r="AB51" s="606"/>
      <c r="AC51" s="606"/>
      <c r="AD51" s="606"/>
      <c r="AE51" s="606"/>
      <c r="AF51" s="606"/>
      <c r="AG51" s="606"/>
      <c r="AH51" s="606"/>
      <c r="AI51" s="606"/>
      <c r="AJ51" s="606"/>
      <c r="AK51" s="606"/>
      <c r="AN51" s="607">
        <f>$N$25</f>
        <v>13576.5</v>
      </c>
      <c r="AO51" s="608">
        <f>$N$25</f>
        <v>13576.5</v>
      </c>
      <c r="AP51" s="606">
        <f>$O$25</f>
        <v>19309.499999999996</v>
      </c>
      <c r="AQ51" s="606">
        <f>$P$25</f>
        <v>22585.5</v>
      </c>
      <c r="AR51" s="606">
        <f>$Q$25</f>
        <v>22554</v>
      </c>
      <c r="AS51" s="606">
        <f>$R$25</f>
        <v>24475.5</v>
      </c>
      <c r="AT51" s="606">
        <f>$S$25</f>
        <v>19057.5</v>
      </c>
      <c r="AU51" s="606">
        <f>$T$25</f>
        <v>16726.5</v>
      </c>
      <c r="AV51" s="606">
        <f>$U$25</f>
        <v>18837</v>
      </c>
      <c r="AW51" s="606">
        <f>$V$25</f>
        <v>19341</v>
      </c>
    </row>
    <row r="52" spans="1:49" s="605" customFormat="1" x14ac:dyDescent="0.2">
      <c r="A52" s="605" t="s">
        <v>770</v>
      </c>
      <c r="B52" s="606"/>
      <c r="C52" s="606"/>
      <c r="D52" s="606"/>
      <c r="E52" s="606"/>
      <c r="F52" s="606"/>
      <c r="G52" s="606"/>
      <c r="H52" s="606"/>
      <c r="I52" s="606"/>
      <c r="J52" s="606"/>
      <c r="K52" s="606"/>
      <c r="L52" s="606"/>
      <c r="M52" s="606"/>
      <c r="N52" s="606"/>
      <c r="O52" s="606"/>
      <c r="P52" s="606"/>
      <c r="Q52" s="606"/>
      <c r="R52" s="606"/>
      <c r="S52" s="606"/>
      <c r="T52" s="606"/>
      <c r="U52" s="606"/>
      <c r="V52" s="606"/>
      <c r="W52" s="606"/>
      <c r="X52" s="606"/>
      <c r="Y52" s="606"/>
      <c r="Z52" s="606"/>
      <c r="AA52" s="606"/>
      <c r="AB52" s="606"/>
      <c r="AC52" s="606"/>
      <c r="AD52" s="606"/>
      <c r="AE52" s="606"/>
      <c r="AF52" s="606"/>
      <c r="AG52" s="606"/>
      <c r="AH52" s="606"/>
      <c r="AI52" s="606"/>
      <c r="AJ52" s="606"/>
      <c r="AK52" s="606"/>
      <c r="AO52" s="607">
        <f>$N$25</f>
        <v>13576.5</v>
      </c>
      <c r="AP52" s="608">
        <f>$N$25</f>
        <v>13576.5</v>
      </c>
      <c r="AQ52" s="606">
        <f>$O$25</f>
        <v>19309.499999999996</v>
      </c>
      <c r="AR52" s="606">
        <f>$P$25</f>
        <v>22585.5</v>
      </c>
      <c r="AS52" s="606">
        <f>$Q$25</f>
        <v>22554</v>
      </c>
      <c r="AT52" s="606">
        <f>$R$25</f>
        <v>24475.5</v>
      </c>
      <c r="AU52" s="606">
        <f>$S$25</f>
        <v>19057.5</v>
      </c>
      <c r="AV52" s="606">
        <f>$T$25</f>
        <v>16726.5</v>
      </c>
      <c r="AW52" s="606">
        <f>$U$25</f>
        <v>18837</v>
      </c>
    </row>
    <row r="53" spans="1:49" s="605" customFormat="1" x14ac:dyDescent="0.2">
      <c r="A53" s="605" t="s">
        <v>771</v>
      </c>
      <c r="B53" s="606"/>
      <c r="C53" s="606"/>
      <c r="D53" s="606"/>
      <c r="E53" s="606"/>
      <c r="F53" s="606"/>
      <c r="G53" s="606"/>
      <c r="H53" s="606"/>
      <c r="I53" s="606"/>
      <c r="J53" s="606"/>
      <c r="K53" s="606"/>
      <c r="L53" s="606"/>
      <c r="M53" s="606"/>
      <c r="N53" s="606"/>
      <c r="O53" s="606"/>
      <c r="P53" s="606"/>
      <c r="Q53" s="606"/>
      <c r="R53" s="606"/>
      <c r="S53" s="606"/>
      <c r="T53" s="606"/>
      <c r="U53" s="606"/>
      <c r="V53" s="606"/>
      <c r="W53" s="606"/>
      <c r="X53" s="606"/>
      <c r="Y53" s="606"/>
      <c r="Z53" s="606"/>
      <c r="AA53" s="606"/>
      <c r="AB53" s="606"/>
      <c r="AC53" s="606"/>
      <c r="AD53" s="606"/>
      <c r="AE53" s="606"/>
      <c r="AF53" s="606"/>
      <c r="AG53" s="606"/>
      <c r="AH53" s="606"/>
      <c r="AI53" s="606"/>
      <c r="AJ53" s="606"/>
      <c r="AK53" s="606"/>
      <c r="AO53" s="609"/>
      <c r="AP53" s="607">
        <f>$N$25</f>
        <v>13576.5</v>
      </c>
      <c r="AQ53" s="608">
        <f>$N$25</f>
        <v>13576.5</v>
      </c>
      <c r="AR53" s="606">
        <f>$O$25</f>
        <v>19309.499999999996</v>
      </c>
      <c r="AS53" s="606">
        <f>$P$25</f>
        <v>22585.5</v>
      </c>
      <c r="AT53" s="606">
        <f>$Q$25</f>
        <v>22554</v>
      </c>
      <c r="AU53" s="606">
        <f>$R$25</f>
        <v>24475.5</v>
      </c>
      <c r="AV53" s="606">
        <f>$S$25</f>
        <v>19057.5</v>
      </c>
      <c r="AW53" s="606">
        <f>$T$25</f>
        <v>16726.5</v>
      </c>
    </row>
    <row r="54" spans="1:49" s="605" customFormat="1" x14ac:dyDescent="0.2">
      <c r="A54" s="605" t="s">
        <v>772</v>
      </c>
      <c r="B54" s="606"/>
      <c r="C54" s="606"/>
      <c r="D54" s="606"/>
      <c r="E54" s="606"/>
      <c r="F54" s="606"/>
      <c r="G54" s="606"/>
      <c r="H54" s="606"/>
      <c r="I54" s="606"/>
      <c r="J54" s="606"/>
      <c r="K54" s="606"/>
      <c r="L54" s="606"/>
      <c r="M54" s="606"/>
      <c r="N54" s="606"/>
      <c r="O54" s="606"/>
      <c r="P54" s="606"/>
      <c r="Q54" s="606"/>
      <c r="R54" s="606"/>
      <c r="S54" s="606"/>
      <c r="T54" s="606"/>
      <c r="U54" s="606"/>
      <c r="V54" s="606"/>
      <c r="W54" s="606"/>
      <c r="X54" s="606"/>
      <c r="Y54" s="606"/>
      <c r="Z54" s="606"/>
      <c r="AA54" s="606"/>
      <c r="AB54" s="606"/>
      <c r="AC54" s="606"/>
      <c r="AD54" s="606"/>
      <c r="AE54" s="606"/>
      <c r="AF54" s="606"/>
      <c r="AG54" s="606"/>
      <c r="AH54" s="606"/>
      <c r="AI54" s="606"/>
      <c r="AJ54" s="606"/>
      <c r="AK54" s="606"/>
      <c r="AO54" s="609"/>
      <c r="AP54" s="609"/>
      <c r="AQ54" s="607">
        <f>$N$25</f>
        <v>13576.5</v>
      </c>
      <c r="AR54" s="608">
        <f>$N$25</f>
        <v>13576.5</v>
      </c>
      <c r="AS54" s="606">
        <f>$O$25</f>
        <v>19309.499999999996</v>
      </c>
      <c r="AT54" s="606">
        <f>$P$25</f>
        <v>22585.5</v>
      </c>
      <c r="AU54" s="606">
        <f>$Q$25</f>
        <v>22554</v>
      </c>
      <c r="AV54" s="606">
        <f>$R$25</f>
        <v>24475.5</v>
      </c>
      <c r="AW54" s="606">
        <f>$S$25</f>
        <v>19057.5</v>
      </c>
    </row>
    <row r="55" spans="1:49" s="605" customFormat="1" x14ac:dyDescent="0.2">
      <c r="A55" s="605" t="s">
        <v>773</v>
      </c>
      <c r="B55" s="606"/>
      <c r="C55" s="606"/>
      <c r="D55" s="606"/>
      <c r="E55" s="606"/>
      <c r="F55" s="606"/>
      <c r="G55" s="606"/>
      <c r="H55" s="606"/>
      <c r="I55" s="606"/>
      <c r="J55" s="606"/>
      <c r="K55" s="606"/>
      <c r="L55" s="606"/>
      <c r="M55" s="606"/>
      <c r="N55" s="606"/>
      <c r="O55" s="606"/>
      <c r="P55" s="606"/>
      <c r="Q55" s="606"/>
      <c r="R55" s="606"/>
      <c r="S55" s="606"/>
      <c r="T55" s="606"/>
      <c r="U55" s="606"/>
      <c r="V55" s="606"/>
      <c r="W55" s="606"/>
      <c r="X55" s="606"/>
      <c r="Y55" s="606"/>
      <c r="Z55" s="606"/>
      <c r="AA55" s="606"/>
      <c r="AB55" s="606"/>
      <c r="AC55" s="606"/>
      <c r="AD55" s="606"/>
      <c r="AE55" s="606"/>
      <c r="AF55" s="606"/>
      <c r="AG55" s="606"/>
      <c r="AH55" s="606"/>
      <c r="AI55" s="606"/>
      <c r="AJ55" s="606"/>
      <c r="AK55" s="606"/>
      <c r="AO55" s="609"/>
      <c r="AP55" s="609"/>
      <c r="AQ55" s="609"/>
      <c r="AR55" s="607">
        <f>$N$25</f>
        <v>13576.5</v>
      </c>
      <c r="AS55" s="608">
        <f>$N$25</f>
        <v>13576.5</v>
      </c>
      <c r="AT55" s="606">
        <f>$O$25</f>
        <v>19309.499999999996</v>
      </c>
      <c r="AU55" s="606">
        <f>$P$25</f>
        <v>22585.5</v>
      </c>
      <c r="AV55" s="606">
        <f>$Q$25</f>
        <v>22554</v>
      </c>
      <c r="AW55" s="606">
        <f>$R$25</f>
        <v>24475.5</v>
      </c>
    </row>
    <row r="56" spans="1:49" s="605" customFormat="1" x14ac:dyDescent="0.2">
      <c r="A56" s="605" t="s">
        <v>774</v>
      </c>
      <c r="B56" s="606"/>
      <c r="C56" s="606"/>
      <c r="D56" s="606"/>
      <c r="E56" s="606"/>
      <c r="F56" s="606"/>
      <c r="G56" s="606"/>
      <c r="H56" s="606"/>
      <c r="I56" s="606"/>
      <c r="J56" s="606"/>
      <c r="K56" s="606"/>
      <c r="L56" s="606"/>
      <c r="M56" s="606"/>
      <c r="N56" s="606"/>
      <c r="O56" s="606"/>
      <c r="P56" s="606"/>
      <c r="Q56" s="606"/>
      <c r="R56" s="606"/>
      <c r="S56" s="606"/>
      <c r="T56" s="606"/>
      <c r="U56" s="606"/>
      <c r="V56" s="606"/>
      <c r="W56" s="606"/>
      <c r="X56" s="606"/>
      <c r="Y56" s="606"/>
      <c r="Z56" s="606"/>
      <c r="AA56" s="606"/>
      <c r="AB56" s="606"/>
      <c r="AC56" s="606"/>
      <c r="AD56" s="606"/>
      <c r="AE56" s="606"/>
      <c r="AF56" s="606"/>
      <c r="AG56" s="606"/>
      <c r="AH56" s="606"/>
      <c r="AI56" s="606"/>
      <c r="AJ56" s="606"/>
      <c r="AK56" s="606"/>
      <c r="AO56" s="609"/>
      <c r="AP56" s="609"/>
      <c r="AQ56" s="609"/>
      <c r="AR56" s="609"/>
      <c r="AS56" s="607">
        <f>$N$25</f>
        <v>13576.5</v>
      </c>
      <c r="AT56" s="608">
        <f>$N$25</f>
        <v>13576.5</v>
      </c>
      <c r="AU56" s="606">
        <f>$O$25</f>
        <v>19309.499999999996</v>
      </c>
      <c r="AV56" s="606">
        <f>$P$25</f>
        <v>22585.5</v>
      </c>
      <c r="AW56" s="606">
        <f>$Q$25</f>
        <v>22554</v>
      </c>
    </row>
    <row r="57" spans="1:49" s="605" customFormat="1" x14ac:dyDescent="0.2">
      <c r="A57" s="605" t="s">
        <v>775</v>
      </c>
      <c r="B57" s="606"/>
      <c r="C57" s="606"/>
      <c r="D57" s="606"/>
      <c r="E57" s="606"/>
      <c r="F57" s="606"/>
      <c r="G57" s="606"/>
      <c r="H57" s="606"/>
      <c r="I57" s="606"/>
      <c r="J57" s="606"/>
      <c r="K57" s="606"/>
      <c r="L57" s="606"/>
      <c r="M57" s="606"/>
      <c r="N57" s="606"/>
      <c r="O57" s="606"/>
      <c r="P57" s="606"/>
      <c r="Q57" s="606"/>
      <c r="R57" s="606"/>
      <c r="S57" s="606"/>
      <c r="T57" s="606"/>
      <c r="U57" s="606"/>
      <c r="V57" s="606"/>
      <c r="W57" s="606"/>
      <c r="X57" s="606"/>
      <c r="Y57" s="606"/>
      <c r="Z57" s="606"/>
      <c r="AA57" s="606"/>
      <c r="AB57" s="606"/>
      <c r="AC57" s="606"/>
      <c r="AD57" s="606"/>
      <c r="AE57" s="606"/>
      <c r="AF57" s="606"/>
      <c r="AG57" s="606"/>
      <c r="AH57" s="606"/>
      <c r="AI57" s="606"/>
      <c r="AJ57" s="606"/>
      <c r="AK57" s="606"/>
      <c r="AO57" s="609"/>
      <c r="AP57" s="609"/>
      <c r="AQ57" s="609"/>
      <c r="AR57" s="609"/>
      <c r="AS57" s="609"/>
      <c r="AT57" s="607">
        <f>$N$25</f>
        <v>13576.5</v>
      </c>
      <c r="AU57" s="608">
        <f>$N$25</f>
        <v>13576.5</v>
      </c>
      <c r="AV57" s="606">
        <f>$O$25</f>
        <v>19309.499999999996</v>
      </c>
      <c r="AW57" s="606">
        <f>$P$25</f>
        <v>22585.5</v>
      </c>
    </row>
    <row r="58" spans="1:49" s="605" customFormat="1" x14ac:dyDescent="0.2">
      <c r="A58" s="605" t="s">
        <v>776</v>
      </c>
      <c r="B58" s="606"/>
      <c r="C58" s="606"/>
      <c r="D58" s="606"/>
      <c r="E58" s="606"/>
      <c r="F58" s="606"/>
      <c r="G58" s="606"/>
      <c r="H58" s="606"/>
      <c r="I58" s="606"/>
      <c r="J58" s="606"/>
      <c r="K58" s="606"/>
      <c r="L58" s="606"/>
      <c r="M58" s="606"/>
      <c r="N58" s="606"/>
      <c r="O58" s="606"/>
      <c r="P58" s="606"/>
      <c r="Q58" s="606"/>
      <c r="R58" s="606"/>
      <c r="S58" s="606"/>
      <c r="T58" s="606"/>
      <c r="U58" s="606"/>
      <c r="V58" s="606"/>
      <c r="W58" s="606"/>
      <c r="X58" s="606"/>
      <c r="Y58" s="606"/>
      <c r="Z58" s="606"/>
      <c r="AA58" s="606"/>
      <c r="AB58" s="606"/>
      <c r="AC58" s="606"/>
      <c r="AD58" s="606"/>
      <c r="AE58" s="606"/>
      <c r="AF58" s="606"/>
      <c r="AG58" s="606"/>
      <c r="AH58" s="606"/>
      <c r="AI58" s="606"/>
      <c r="AJ58" s="606"/>
      <c r="AK58" s="606"/>
      <c r="AO58" s="609"/>
      <c r="AP58" s="609"/>
      <c r="AQ58" s="609"/>
      <c r="AR58" s="609"/>
      <c r="AS58" s="609"/>
      <c r="AT58" s="609"/>
      <c r="AU58" s="607">
        <f>$N$25</f>
        <v>13576.5</v>
      </c>
      <c r="AV58" s="608">
        <f>$N$25</f>
        <v>13576.5</v>
      </c>
      <c r="AW58" s="606">
        <f>$O$25</f>
        <v>19309.499999999996</v>
      </c>
    </row>
    <row r="59" spans="1:49" s="605" customFormat="1" x14ac:dyDescent="0.2">
      <c r="A59" s="605" t="s">
        <v>777</v>
      </c>
      <c r="B59" s="606"/>
      <c r="C59" s="606"/>
      <c r="D59" s="606"/>
      <c r="E59" s="606"/>
      <c r="F59" s="606"/>
      <c r="G59" s="606"/>
      <c r="H59" s="606"/>
      <c r="I59" s="606"/>
      <c r="J59" s="606"/>
      <c r="K59" s="606"/>
      <c r="L59" s="606"/>
      <c r="M59" s="606"/>
      <c r="N59" s="606"/>
      <c r="O59" s="606"/>
      <c r="P59" s="606"/>
      <c r="Q59" s="606"/>
      <c r="R59" s="606"/>
      <c r="S59" s="606"/>
      <c r="T59" s="606"/>
      <c r="U59" s="606"/>
      <c r="V59" s="606"/>
      <c r="W59" s="606"/>
      <c r="X59" s="606"/>
      <c r="Y59" s="606"/>
      <c r="Z59" s="606"/>
      <c r="AA59" s="606"/>
      <c r="AB59" s="606"/>
      <c r="AC59" s="606"/>
      <c r="AD59" s="606"/>
      <c r="AE59" s="606"/>
      <c r="AF59" s="606"/>
      <c r="AG59" s="606"/>
      <c r="AH59" s="606"/>
      <c r="AI59" s="606"/>
      <c r="AJ59" s="606"/>
      <c r="AK59" s="606"/>
      <c r="AO59" s="609"/>
      <c r="AP59" s="609"/>
      <c r="AQ59" s="609"/>
      <c r="AR59" s="609"/>
      <c r="AS59" s="609"/>
      <c r="AT59" s="609"/>
      <c r="AU59" s="609"/>
      <c r="AV59" s="607">
        <f>$N$25</f>
        <v>13576.5</v>
      </c>
      <c r="AW59" s="608">
        <f>$N$25</f>
        <v>13576.5</v>
      </c>
    </row>
    <row r="60" spans="1:49" s="605" customFormat="1" x14ac:dyDescent="0.2">
      <c r="A60" s="605" t="s">
        <v>778</v>
      </c>
      <c r="B60" s="606"/>
      <c r="C60" s="606"/>
      <c r="D60" s="606"/>
      <c r="E60" s="606"/>
      <c r="F60" s="606"/>
      <c r="G60" s="606"/>
      <c r="H60" s="606"/>
      <c r="I60" s="606"/>
      <c r="J60" s="606"/>
      <c r="K60" s="606"/>
      <c r="L60" s="606"/>
      <c r="M60" s="606"/>
      <c r="N60" s="606"/>
      <c r="O60" s="606"/>
      <c r="P60" s="606"/>
      <c r="Q60" s="606"/>
      <c r="R60" s="606"/>
      <c r="S60" s="606"/>
      <c r="T60" s="606"/>
      <c r="U60" s="606"/>
      <c r="V60" s="606"/>
      <c r="W60" s="606"/>
      <c r="X60" s="606"/>
      <c r="Y60" s="606"/>
      <c r="Z60" s="606"/>
      <c r="AA60" s="606"/>
      <c r="AB60" s="606"/>
      <c r="AC60" s="606"/>
      <c r="AD60" s="606"/>
      <c r="AE60" s="606"/>
      <c r="AF60" s="606"/>
      <c r="AG60" s="606"/>
      <c r="AH60" s="606"/>
      <c r="AI60" s="606"/>
      <c r="AJ60" s="606"/>
      <c r="AK60" s="606"/>
      <c r="AW60" s="607">
        <f>$N$25</f>
        <v>13576.5</v>
      </c>
    </row>
    <row r="61" spans="1:49" x14ac:dyDescent="0.2">
      <c r="B61" s="271"/>
      <c r="C61" s="271"/>
      <c r="D61" s="271"/>
      <c r="E61" s="271"/>
      <c r="F61" s="271"/>
      <c r="G61" s="271"/>
      <c r="H61" s="271"/>
      <c r="I61" s="271"/>
      <c r="J61" s="271"/>
      <c r="K61" s="271"/>
      <c r="L61" s="271"/>
      <c r="M61" s="271"/>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row>
    <row r="62" spans="1:49" x14ac:dyDescent="0.2">
      <c r="A62" s="242" t="s">
        <v>274</v>
      </c>
      <c r="B62" s="282">
        <f t="shared" ref="B62:AK62" si="0">SUM(B13:B60)</f>
        <v>263984.8020269089</v>
      </c>
      <c r="C62" s="282">
        <f t="shared" si="0"/>
        <v>258162.43163161571</v>
      </c>
      <c r="D62" s="282">
        <f t="shared" si="0"/>
        <v>263700.27580531128</v>
      </c>
      <c r="E62" s="282">
        <f t="shared" si="0"/>
        <v>272996.39777734032</v>
      </c>
      <c r="F62" s="282">
        <f t="shared" si="0"/>
        <v>284488.82109012833</v>
      </c>
      <c r="G62" s="282">
        <f t="shared" si="0"/>
        <v>293910.88895641238</v>
      </c>
      <c r="H62" s="282">
        <f t="shared" si="0"/>
        <v>298866.98247686669</v>
      </c>
      <c r="I62" s="282">
        <f t="shared" si="0"/>
        <v>307219.65100326715</v>
      </c>
      <c r="J62" s="282">
        <f t="shared" si="0"/>
        <v>311220.56581886776</v>
      </c>
      <c r="K62" s="282">
        <f t="shared" si="0"/>
        <v>317053.91363249597</v>
      </c>
      <c r="L62" s="282">
        <f t="shared" ref="L62:M62" si="1">SUM(L13:L60)</f>
        <v>320595.4783728008</v>
      </c>
      <c r="M62" s="282">
        <f t="shared" si="1"/>
        <v>319273.45132042188</v>
      </c>
      <c r="N62" s="282">
        <f t="shared" si="0"/>
        <v>332253.74146284128</v>
      </c>
      <c r="O62" s="282">
        <f t="shared" si="0"/>
        <v>355754.17816662212</v>
      </c>
      <c r="P62" s="282">
        <f t="shared" si="0"/>
        <v>373802.06591301056</v>
      </c>
      <c r="Q62" s="282">
        <f t="shared" si="0"/>
        <v>396719.32307713543</v>
      </c>
      <c r="R62" s="282">
        <f t="shared" si="0"/>
        <v>425346.47524665063</v>
      </c>
      <c r="S62" s="282">
        <f t="shared" si="0"/>
        <v>454123.52191147138</v>
      </c>
      <c r="T62" s="282">
        <f t="shared" si="0"/>
        <v>487459.15686528129</v>
      </c>
      <c r="U62" s="282">
        <f t="shared" si="0"/>
        <v>524496.86572714057</v>
      </c>
      <c r="V62" s="282">
        <f t="shared" si="0"/>
        <v>555061.49484968721</v>
      </c>
      <c r="W62" s="282">
        <f t="shared" si="0"/>
        <v>578962.98674090416</v>
      </c>
      <c r="X62" s="282">
        <f t="shared" si="0"/>
        <v>594813.86130583589</v>
      </c>
      <c r="Y62" s="282">
        <f t="shared" si="0"/>
        <v>616999.36276825587</v>
      </c>
      <c r="Z62" s="282">
        <f t="shared" si="0"/>
        <v>636949.48282095836</v>
      </c>
      <c r="AA62" s="282">
        <f t="shared" si="0"/>
        <v>651949.3286122377</v>
      </c>
      <c r="AB62" s="282">
        <f t="shared" si="0"/>
        <v>675215.01359051699</v>
      </c>
      <c r="AC62" s="282">
        <f t="shared" si="0"/>
        <v>709172.8582679762</v>
      </c>
      <c r="AD62" s="282">
        <f t="shared" si="0"/>
        <v>758390.81331880833</v>
      </c>
      <c r="AE62" s="282">
        <f t="shared" si="0"/>
        <v>806774.13550125959</v>
      </c>
      <c r="AF62" s="282">
        <f t="shared" si="0"/>
        <v>710020.48717389209</v>
      </c>
      <c r="AG62" s="282">
        <f t="shared" si="0"/>
        <v>739315.37872854783</v>
      </c>
      <c r="AH62" s="282">
        <f t="shared" si="0"/>
        <v>1021120.4694699544</v>
      </c>
      <c r="AI62" s="282">
        <f t="shared" si="0"/>
        <v>1076547.6458876955</v>
      </c>
      <c r="AJ62" s="282">
        <f t="shared" si="0"/>
        <v>911417.80500985356</v>
      </c>
      <c r="AK62" s="282">
        <f t="shared" si="0"/>
        <v>831902.81475019292</v>
      </c>
      <c r="AL62" s="282">
        <f t="shared" ref="AL62:AW62" si="2">SUM(AL13:AL60)</f>
        <v>1102786.4959896135</v>
      </c>
      <c r="AM62" s="282">
        <f t="shared" si="2"/>
        <v>1156746.5969418515</v>
      </c>
      <c r="AN62" s="282">
        <f t="shared" si="2"/>
        <v>1216513.5009534995</v>
      </c>
      <c r="AO62" s="282">
        <f t="shared" si="2"/>
        <v>1268685.2975366535</v>
      </c>
      <c r="AP62" s="282">
        <f t="shared" si="2"/>
        <v>1315201.1394371663</v>
      </c>
      <c r="AQ62" s="282">
        <f t="shared" si="2"/>
        <v>1360232.8211671622</v>
      </c>
      <c r="AR62" s="282">
        <f t="shared" si="2"/>
        <v>1405331.9101908416</v>
      </c>
      <c r="AS62" s="282">
        <f t="shared" si="2"/>
        <v>1452204.1314894443</v>
      </c>
      <c r="AT62" s="282">
        <f t="shared" si="2"/>
        <v>1500645.6721589444</v>
      </c>
      <c r="AU62" s="282">
        <f t="shared" si="2"/>
        <v>1546009.5911920695</v>
      </c>
      <c r="AV62" s="282">
        <f t="shared" si="2"/>
        <v>1591373.5102251945</v>
      </c>
      <c r="AW62" s="282">
        <f t="shared" si="2"/>
        <v>1636737.4292583195</v>
      </c>
    </row>
    <row r="63" spans="1:49" x14ac:dyDescent="0.2">
      <c r="L63" s="312"/>
      <c r="M63" s="312"/>
      <c r="Q63" s="253"/>
      <c r="AL63" s="312"/>
      <c r="AM63" s="312"/>
      <c r="AN63" s="312"/>
      <c r="AO63" s="312"/>
      <c r="AP63" s="312"/>
      <c r="AQ63" s="312"/>
      <c r="AR63" s="312"/>
      <c r="AS63" s="312"/>
      <c r="AT63" s="312"/>
      <c r="AU63" s="312"/>
      <c r="AV63" s="312"/>
      <c r="AW63" s="312"/>
    </row>
    <row r="64" spans="1:49" x14ac:dyDescent="0.2">
      <c r="A64" s="242" t="s">
        <v>277</v>
      </c>
      <c r="B64" s="283">
        <f>K80</f>
        <v>356053.77600000001</v>
      </c>
      <c r="C64" s="283">
        <f t="shared" ref="C64:J64" si="3">B64-$L$80</f>
        <v>341218.20199999999</v>
      </c>
      <c r="D64" s="283">
        <f t="shared" si="3"/>
        <v>326382.62799999997</v>
      </c>
      <c r="E64" s="283">
        <f t="shared" si="3"/>
        <v>311547.05399999995</v>
      </c>
      <c r="F64" s="283">
        <f t="shared" si="3"/>
        <v>296711.47999999992</v>
      </c>
      <c r="G64" s="283">
        <f t="shared" si="3"/>
        <v>281875.9059999999</v>
      </c>
      <c r="H64" s="283">
        <f t="shared" si="3"/>
        <v>267040.33199999988</v>
      </c>
      <c r="I64" s="283">
        <f t="shared" si="3"/>
        <v>252204.75799999989</v>
      </c>
      <c r="J64" s="283">
        <f t="shared" si="3"/>
        <v>237369.18399999989</v>
      </c>
      <c r="K64" s="283">
        <f t="shared" ref="K64:Y64" si="4">J64-$L$80</f>
        <v>222533.6099999999</v>
      </c>
      <c r="L64" s="283">
        <f t="shared" ref="L64" si="5">K64-$L$80</f>
        <v>207698.03599999991</v>
      </c>
      <c r="M64" s="283">
        <f t="shared" ref="M64" si="6">L64-$L$80</f>
        <v>192862.46199999991</v>
      </c>
      <c r="N64" s="283">
        <f t="shared" si="4"/>
        <v>178026.88799999992</v>
      </c>
      <c r="O64" s="283">
        <f t="shared" si="4"/>
        <v>163191.31399999993</v>
      </c>
      <c r="P64" s="283">
        <f t="shared" si="4"/>
        <v>148355.73999999993</v>
      </c>
      <c r="Q64" s="283">
        <f t="shared" si="4"/>
        <v>133520.16599999994</v>
      </c>
      <c r="R64" s="283">
        <f t="shared" si="4"/>
        <v>118684.59199999995</v>
      </c>
      <c r="S64" s="283">
        <f t="shared" si="4"/>
        <v>103849.01799999995</v>
      </c>
      <c r="T64" s="283">
        <f t="shared" si="4"/>
        <v>89013.443999999959</v>
      </c>
      <c r="U64" s="283">
        <f t="shared" si="4"/>
        <v>74177.869999999966</v>
      </c>
      <c r="V64" s="283">
        <f t="shared" si="4"/>
        <v>59342.295999999966</v>
      </c>
      <c r="W64" s="283">
        <f t="shared" si="4"/>
        <v>44506.721999999965</v>
      </c>
      <c r="X64" s="283">
        <f t="shared" si="4"/>
        <v>29671.147999999965</v>
      </c>
      <c r="Y64" s="283">
        <f t="shared" si="4"/>
        <v>14835.573999999964</v>
      </c>
      <c r="Z64" s="283">
        <f>IF((Y64-$Z$72)&lt;0,0,(Y64-$Z$72))</f>
        <v>0</v>
      </c>
      <c r="AA64" s="283">
        <f>IF((Z64-$Z$72)&lt;0,0,(Z64-$Z$72))</f>
        <v>0</v>
      </c>
      <c r="AB64" s="283">
        <f t="shared" ref="AB64:AW64" si="7">IF((AA64-$Z$72)&lt;0,0,(AA64-$Z$72))</f>
        <v>0</v>
      </c>
      <c r="AC64" s="283">
        <f t="shared" si="7"/>
        <v>0</v>
      </c>
      <c r="AD64" s="283">
        <f t="shared" si="7"/>
        <v>0</v>
      </c>
      <c r="AE64" s="283">
        <f t="shared" si="7"/>
        <v>0</v>
      </c>
      <c r="AF64" s="283">
        <f t="shared" si="7"/>
        <v>0</v>
      </c>
      <c r="AG64" s="283">
        <f t="shared" si="7"/>
        <v>0</v>
      </c>
      <c r="AH64" s="283">
        <f t="shared" si="7"/>
        <v>0</v>
      </c>
      <c r="AI64" s="283">
        <f t="shared" si="7"/>
        <v>0</v>
      </c>
      <c r="AJ64" s="283">
        <f t="shared" si="7"/>
        <v>0</v>
      </c>
      <c r="AK64" s="283">
        <f t="shared" si="7"/>
        <v>0</v>
      </c>
      <c r="AL64" s="283">
        <f t="shared" si="7"/>
        <v>0</v>
      </c>
      <c r="AM64" s="283">
        <f t="shared" si="7"/>
        <v>0</v>
      </c>
      <c r="AN64" s="283">
        <f t="shared" si="7"/>
        <v>0</v>
      </c>
      <c r="AO64" s="283">
        <f t="shared" si="7"/>
        <v>0</v>
      </c>
      <c r="AP64" s="283">
        <f t="shared" si="7"/>
        <v>0</v>
      </c>
      <c r="AQ64" s="283">
        <f t="shared" si="7"/>
        <v>0</v>
      </c>
      <c r="AR64" s="283">
        <f t="shared" si="7"/>
        <v>0</v>
      </c>
      <c r="AS64" s="283">
        <f t="shared" si="7"/>
        <v>0</v>
      </c>
      <c r="AT64" s="283">
        <f t="shared" si="7"/>
        <v>0</v>
      </c>
      <c r="AU64" s="283">
        <f t="shared" si="7"/>
        <v>0</v>
      </c>
      <c r="AV64" s="283">
        <f t="shared" si="7"/>
        <v>0</v>
      </c>
      <c r="AW64" s="283">
        <f t="shared" si="7"/>
        <v>0</v>
      </c>
    </row>
    <row r="65" spans="1:49" ht="13.5" thickBot="1" x14ac:dyDescent="0.25">
      <c r="A65" s="242" t="s">
        <v>284</v>
      </c>
      <c r="B65" s="284">
        <v>629660</v>
      </c>
      <c r="C65" s="284">
        <v>508987</v>
      </c>
      <c r="D65" s="284">
        <v>602383</v>
      </c>
      <c r="E65" s="284">
        <v>683861</v>
      </c>
      <c r="F65" s="284">
        <v>775378</v>
      </c>
      <c r="G65" s="284">
        <v>709961</v>
      </c>
      <c r="H65" s="284">
        <f t="shared" ref="H65:K65" si="8">H66</f>
        <v>752413</v>
      </c>
      <c r="I65" s="284">
        <f t="shared" si="8"/>
        <v>723961.84</v>
      </c>
      <c r="J65" s="284">
        <f t="shared" si="8"/>
        <v>704817</v>
      </c>
      <c r="K65" s="284">
        <f t="shared" si="8"/>
        <v>1212324.74</v>
      </c>
      <c r="L65" s="284">
        <f t="shared" ref="L65:M65" si="9">L64+L62+L79</f>
        <v>528293.51437280071</v>
      </c>
      <c r="M65" s="284">
        <f t="shared" si="9"/>
        <v>553410.91332042182</v>
      </c>
      <c r="N65" s="284">
        <f>N64+N62+N79</f>
        <v>608699.6294628412</v>
      </c>
      <c r="O65" s="284">
        <f>O64+O62+N80</f>
        <v>617364.49216662208</v>
      </c>
      <c r="P65" s="284">
        <f>P64+P62+N81</f>
        <v>620576.8059130105</v>
      </c>
      <c r="Q65" s="284">
        <f>Q64+Q62+N82</f>
        <v>554543.48907713534</v>
      </c>
      <c r="R65" s="284">
        <f>R64+R62+N83</f>
        <v>556183.06724665058</v>
      </c>
      <c r="S65" s="284">
        <f t="shared" ref="S65:AK65" si="10">S64+S62</f>
        <v>557972.53991147131</v>
      </c>
      <c r="T65" s="284">
        <f t="shared" si="10"/>
        <v>576472.60086528119</v>
      </c>
      <c r="U65" s="284">
        <f t="shared" si="10"/>
        <v>598674.73572714056</v>
      </c>
      <c r="V65" s="284">
        <f t="shared" si="10"/>
        <v>614403.79084968718</v>
      </c>
      <c r="W65" s="284">
        <f t="shared" si="10"/>
        <v>623469.70874090411</v>
      </c>
      <c r="X65" s="284">
        <f t="shared" si="10"/>
        <v>624485.00930583582</v>
      </c>
      <c r="Y65" s="284">
        <f t="shared" si="10"/>
        <v>631834.9367682559</v>
      </c>
      <c r="Z65" s="284">
        <f t="shared" si="10"/>
        <v>636949.48282095836</v>
      </c>
      <c r="AA65" s="284">
        <f t="shared" si="10"/>
        <v>651949.3286122377</v>
      </c>
      <c r="AB65" s="284">
        <f t="shared" si="10"/>
        <v>675215.01359051699</v>
      </c>
      <c r="AC65" s="284">
        <f t="shared" si="10"/>
        <v>709172.8582679762</v>
      </c>
      <c r="AD65" s="284">
        <f t="shared" si="10"/>
        <v>758390.81331880833</v>
      </c>
      <c r="AE65" s="284">
        <f t="shared" si="10"/>
        <v>806774.13550125959</v>
      </c>
      <c r="AF65" s="284">
        <f t="shared" si="10"/>
        <v>710020.48717389209</v>
      </c>
      <c r="AG65" s="284">
        <f t="shared" si="10"/>
        <v>739315.37872854783</v>
      </c>
      <c r="AH65" s="284">
        <f t="shared" si="10"/>
        <v>1021120.4694699544</v>
      </c>
      <c r="AI65" s="284">
        <f t="shared" si="10"/>
        <v>1076547.6458876955</v>
      </c>
      <c r="AJ65" s="284">
        <f t="shared" si="10"/>
        <v>911417.80500985356</v>
      </c>
      <c r="AK65" s="284">
        <f t="shared" si="10"/>
        <v>831902.81475019292</v>
      </c>
      <c r="AL65" s="284">
        <f t="shared" ref="AL65:AW65" si="11">AL64+AL62</f>
        <v>1102786.4959896135</v>
      </c>
      <c r="AM65" s="284">
        <f t="shared" si="11"/>
        <v>1156746.5969418515</v>
      </c>
      <c r="AN65" s="284">
        <f t="shared" si="11"/>
        <v>1216513.5009534995</v>
      </c>
      <c r="AO65" s="284">
        <f t="shared" si="11"/>
        <v>1268685.2975366535</v>
      </c>
      <c r="AP65" s="284">
        <f t="shared" si="11"/>
        <v>1315201.1394371663</v>
      </c>
      <c r="AQ65" s="284">
        <f t="shared" si="11"/>
        <v>1360232.8211671622</v>
      </c>
      <c r="AR65" s="284">
        <f t="shared" si="11"/>
        <v>1405331.9101908416</v>
      </c>
      <c r="AS65" s="284">
        <f t="shared" si="11"/>
        <v>1452204.1314894443</v>
      </c>
      <c r="AT65" s="284">
        <f t="shared" si="11"/>
        <v>1500645.6721589444</v>
      </c>
      <c r="AU65" s="284">
        <f t="shared" si="11"/>
        <v>1546009.5911920695</v>
      </c>
      <c r="AV65" s="284">
        <f t="shared" si="11"/>
        <v>1591373.5102251945</v>
      </c>
      <c r="AW65" s="284">
        <f t="shared" si="11"/>
        <v>1636737.4292583195</v>
      </c>
    </row>
    <row r="66" spans="1:49" ht="13.5" thickTop="1" x14ac:dyDescent="0.2">
      <c r="A66" s="242" t="s">
        <v>243</v>
      </c>
      <c r="B66" s="252">
        <v>629660</v>
      </c>
      <c r="C66" s="252">
        <v>508987</v>
      </c>
      <c r="D66" s="252">
        <v>602383</v>
      </c>
      <c r="E66" s="252">
        <v>683861</v>
      </c>
      <c r="F66" s="252">
        <v>775378</v>
      </c>
      <c r="G66" s="252">
        <f>611542+N72</f>
        <v>709961</v>
      </c>
      <c r="H66" s="313">
        <f>606025+N73+47969</f>
        <v>752413</v>
      </c>
      <c r="I66" s="313">
        <f>625542.84+N74</f>
        <v>723961.84</v>
      </c>
      <c r="J66" s="313">
        <f>606398+N75</f>
        <v>704817</v>
      </c>
      <c r="K66" s="271">
        <f>1113905.74+N76</f>
        <v>1212324.74</v>
      </c>
      <c r="L66" s="271">
        <f>700671.81+N77</f>
        <v>799090.81</v>
      </c>
      <c r="M66" s="271">
        <f>570100+N78</f>
        <v>668519</v>
      </c>
      <c r="N66" s="1136">
        <v>378852.61</v>
      </c>
      <c r="O66" s="1136">
        <v>573176.97</v>
      </c>
      <c r="P66" s="1136">
        <v>584227.77</v>
      </c>
      <c r="Q66" s="1136">
        <v>591240.21</v>
      </c>
      <c r="R66" s="1136">
        <v>618613.79</v>
      </c>
      <c r="S66" s="1136">
        <v>592260.09</v>
      </c>
      <c r="T66" s="1136">
        <v>645870.03</v>
      </c>
      <c r="U66" s="1136">
        <v>603169.39</v>
      </c>
      <c r="V66" s="1136">
        <v>677738.81</v>
      </c>
      <c r="W66" s="1136">
        <v>776904.11</v>
      </c>
      <c r="X66" s="1136">
        <v>669249.81000000006</v>
      </c>
      <c r="Y66" s="1136">
        <v>781138.79</v>
      </c>
    </row>
    <row r="67" spans="1:49" s="261" customFormat="1" ht="15.75" thickBot="1" x14ac:dyDescent="0.3">
      <c r="B67" s="261" t="s">
        <v>244</v>
      </c>
    </row>
    <row r="68" spans="1:49" x14ac:dyDescent="0.2">
      <c r="A68" s="242" t="s">
        <v>337</v>
      </c>
      <c r="B68" s="252">
        <f>B66/31</f>
        <v>20311.612903225807</v>
      </c>
      <c r="C68" s="252">
        <f>C66/29</f>
        <v>17551.275862068964</v>
      </c>
      <c r="D68" s="252">
        <f>D66/31</f>
        <v>19431.709677419356</v>
      </c>
      <c r="E68" s="252">
        <f>E66/30</f>
        <v>22795.366666666665</v>
      </c>
      <c r="F68" s="252">
        <f>F66/31</f>
        <v>25012.193548387098</v>
      </c>
      <c r="G68" s="252">
        <f>G66/30</f>
        <v>23665.366666666665</v>
      </c>
      <c r="H68" s="252">
        <f>H65/31</f>
        <v>24271.387096774193</v>
      </c>
      <c r="I68" s="252">
        <f>I65/31</f>
        <v>23353.607741935484</v>
      </c>
      <c r="J68" s="252">
        <f>J65/30</f>
        <v>23493.9</v>
      </c>
      <c r="K68" s="252">
        <f>K65/31</f>
        <v>39107.249677419357</v>
      </c>
      <c r="L68" s="252">
        <f>L65/30</f>
        <v>17609.783812426689</v>
      </c>
      <c r="M68" s="252">
        <f>M65/31</f>
        <v>17851.964945820058</v>
      </c>
      <c r="N68" s="252">
        <f>N65/31</f>
        <v>19635.471918156167</v>
      </c>
      <c r="O68" s="252">
        <f>O65/28</f>
        <v>22048.731863093646</v>
      </c>
      <c r="P68" s="252">
        <f>P65/31</f>
        <v>20018.606642355178</v>
      </c>
      <c r="Q68" s="252">
        <f>Q65/30</f>
        <v>18484.782969237844</v>
      </c>
      <c r="R68" s="252">
        <f>R65/31</f>
        <v>17941.389266020986</v>
      </c>
      <c r="S68" s="252">
        <f>S65/30</f>
        <v>18599.084663715712</v>
      </c>
      <c r="T68" s="252">
        <f>T65/31</f>
        <v>18595.89035049294</v>
      </c>
      <c r="U68" s="252">
        <f>U65/31</f>
        <v>19312.088249262601</v>
      </c>
      <c r="V68" s="252">
        <f>V65/30</f>
        <v>20480.126361656239</v>
      </c>
      <c r="W68" s="252">
        <f>W65/31</f>
        <v>20111.926088416261</v>
      </c>
      <c r="X68" s="252">
        <f>X65/30</f>
        <v>20816.166976861194</v>
      </c>
      <c r="Y68" s="252">
        <f>Y65/31</f>
        <v>20381.772153814705</v>
      </c>
      <c r="Z68" s="313">
        <f t="shared" ref="Z68:AB68" si="12">Z65/31</f>
        <v>20546.757510353495</v>
      </c>
      <c r="AA68" s="313">
        <f t="shared" si="12"/>
        <v>21030.623503620573</v>
      </c>
      <c r="AB68" s="313">
        <f t="shared" si="12"/>
        <v>21781.129470661839</v>
      </c>
    </row>
    <row r="69" spans="1:49" hidden="1" outlineLevel="1" x14ac:dyDescent="0.2">
      <c r="D69" s="244"/>
      <c r="N69" s="242" t="s">
        <v>286</v>
      </c>
    </row>
    <row r="70" spans="1:49" hidden="1" outlineLevel="1" x14ac:dyDescent="0.2">
      <c r="A70" s="252"/>
      <c r="B70" s="252"/>
      <c r="D70" s="244"/>
      <c r="F70" s="271"/>
      <c r="M70" s="277">
        <v>41000</v>
      </c>
      <c r="N70" s="271">
        <v>74115</v>
      </c>
    </row>
    <row r="71" spans="1:49" ht="15" hidden="1" outlineLevel="1" x14ac:dyDescent="0.25">
      <c r="B71" s="247"/>
      <c r="I71" s="275"/>
      <c r="L71" s="172"/>
      <c r="M71" s="277">
        <v>41030</v>
      </c>
      <c r="N71" s="271">
        <v>86267</v>
      </c>
    </row>
    <row r="72" spans="1:49" ht="15" hidden="1" outlineLevel="1" x14ac:dyDescent="0.25">
      <c r="I72" s="267"/>
      <c r="L72" s="172"/>
      <c r="M72" s="277">
        <v>41061</v>
      </c>
      <c r="N72" s="271">
        <v>98419</v>
      </c>
      <c r="O72" s="271"/>
      <c r="S72" s="242" t="s">
        <v>502</v>
      </c>
      <c r="Y72" s="626" t="s">
        <v>805</v>
      </c>
      <c r="Z72" s="632">
        <v>125000</v>
      </c>
    </row>
    <row r="73" spans="1:49" ht="15" hidden="1" outlineLevel="1" x14ac:dyDescent="0.25">
      <c r="L73" s="172"/>
      <c r="M73" s="277">
        <v>41091</v>
      </c>
      <c r="N73" s="271">
        <v>98419</v>
      </c>
      <c r="S73" s="312" t="s">
        <v>503</v>
      </c>
      <c r="T73" s="312" t="s">
        <v>504</v>
      </c>
      <c r="V73" s="417"/>
    </row>
    <row r="74" spans="1:49" ht="15" hidden="1" outlineLevel="1" x14ac:dyDescent="0.25">
      <c r="B74" s="247"/>
      <c r="C74" s="247"/>
      <c r="D74" s="247"/>
      <c r="E74" s="247"/>
      <c r="F74" s="247"/>
      <c r="L74" s="172"/>
      <c r="M74" s="277">
        <v>41122</v>
      </c>
      <c r="N74" s="271">
        <v>98419</v>
      </c>
      <c r="O74" s="312">
        <v>571710.53</v>
      </c>
      <c r="P74" s="242">
        <v>10905.85</v>
      </c>
      <c r="Q74" s="271">
        <f>SUM(N74:P74)</f>
        <v>681035.38</v>
      </c>
      <c r="S74" s="251">
        <v>916810.4</v>
      </c>
      <c r="T74" s="251">
        <f>S74/12</f>
        <v>76400.866666666669</v>
      </c>
    </row>
    <row r="75" spans="1:49" hidden="1" outlineLevel="1" x14ac:dyDescent="0.2">
      <c r="B75" s="244"/>
      <c r="C75" s="244"/>
      <c r="D75" s="244"/>
      <c r="E75" s="244"/>
      <c r="F75" s="244"/>
      <c r="H75" s="242" t="s">
        <v>287</v>
      </c>
      <c r="I75" s="242">
        <v>4641</v>
      </c>
      <c r="J75" s="242">
        <f>I75*I77*I76</f>
        <v>439948.23599999998</v>
      </c>
      <c r="M75" s="277">
        <v>41153</v>
      </c>
      <c r="N75" s="271">
        <v>98419</v>
      </c>
      <c r="O75" s="312">
        <v>566625.6</v>
      </c>
      <c r="P75" s="312">
        <v>67432.570000000007</v>
      </c>
      <c r="Q75" s="271">
        <f>SUM(N75:P75)</f>
        <v>732477.16999999993</v>
      </c>
      <c r="R75" s="242" t="s">
        <v>360</v>
      </c>
      <c r="S75" s="26"/>
      <c r="T75" s="26"/>
    </row>
    <row r="76" spans="1:49" hidden="1" outlineLevel="1" x14ac:dyDescent="0.2">
      <c r="H76" s="242" t="s">
        <v>283</v>
      </c>
      <c r="I76" s="242">
        <v>5.1999999999999998E-2</v>
      </c>
      <c r="M76" s="277">
        <v>41183</v>
      </c>
      <c r="N76" s="271">
        <v>98419</v>
      </c>
    </row>
    <row r="77" spans="1:49" hidden="1" outlineLevel="1" x14ac:dyDescent="0.2">
      <c r="H77" s="242" t="s">
        <v>282</v>
      </c>
      <c r="I77" s="242">
        <v>1823</v>
      </c>
      <c r="M77" s="277">
        <v>41214</v>
      </c>
      <c r="N77" s="271">
        <v>98419</v>
      </c>
    </row>
    <row r="78" spans="1:49" hidden="1" outlineLevel="1" x14ac:dyDescent="0.2">
      <c r="H78" s="242" t="s">
        <v>281</v>
      </c>
      <c r="I78" s="242">
        <v>5256</v>
      </c>
      <c r="M78" s="277">
        <v>41244</v>
      </c>
      <c r="N78" s="271">
        <v>98419</v>
      </c>
    </row>
    <row r="79" spans="1:49" hidden="1" outlineLevel="1" x14ac:dyDescent="0.2">
      <c r="H79" s="242" t="s">
        <v>280</v>
      </c>
      <c r="I79" s="242">
        <v>1500</v>
      </c>
      <c r="M79" s="277">
        <v>41275</v>
      </c>
      <c r="N79" s="271">
        <v>98419</v>
      </c>
    </row>
    <row r="80" spans="1:49" hidden="1" outlineLevel="1" x14ac:dyDescent="0.2">
      <c r="I80" s="242">
        <f>I78-I79</f>
        <v>3756</v>
      </c>
      <c r="J80" s="247">
        <f>I80*I77</f>
        <v>6847188</v>
      </c>
      <c r="K80" s="252">
        <f>J80*I76</f>
        <v>356053.77600000001</v>
      </c>
      <c r="L80" s="253">
        <f>K80/24</f>
        <v>14835.574000000001</v>
      </c>
      <c r="M80" s="277">
        <v>41306</v>
      </c>
      <c r="N80" s="271">
        <v>98419</v>
      </c>
    </row>
    <row r="81" spans="1:15" hidden="1" outlineLevel="1" x14ac:dyDescent="0.2">
      <c r="C81" s="242" t="s">
        <v>245</v>
      </c>
      <c r="J81" s="242">
        <v>14442781</v>
      </c>
      <c r="K81" s="242">
        <v>629660</v>
      </c>
      <c r="M81" s="277">
        <v>41334</v>
      </c>
      <c r="N81" s="271">
        <v>98419</v>
      </c>
    </row>
    <row r="82" spans="1:15" ht="15.75" hidden="1" outlineLevel="1" thickBot="1" x14ac:dyDescent="0.3">
      <c r="C82">
        <v>2009</v>
      </c>
      <c r="D82"/>
      <c r="E82">
        <v>2010</v>
      </c>
      <c r="F82"/>
      <c r="G82">
        <v>2011</v>
      </c>
      <c r="J82" s="242">
        <f>K81/J81</f>
        <v>4.3596866836103101E-2</v>
      </c>
      <c r="M82" s="277">
        <v>41365</v>
      </c>
      <c r="N82" s="271">
        <v>24304</v>
      </c>
    </row>
    <row r="83" spans="1:15" hidden="1" outlineLevel="1" x14ac:dyDescent="0.2">
      <c r="B83" s="242" t="s">
        <v>216</v>
      </c>
      <c r="C83" s="262">
        <v>816346.74</v>
      </c>
      <c r="D83" s="263"/>
      <c r="E83" s="262">
        <v>1271809.18</v>
      </c>
      <c r="F83" s="263"/>
      <c r="G83" s="262">
        <v>1607307.55</v>
      </c>
      <c r="J83" s="242">
        <f>J81/I77</f>
        <v>7922.5348326933627</v>
      </c>
      <c r="M83" s="277">
        <v>41395</v>
      </c>
      <c r="N83" s="271">
        <v>12152</v>
      </c>
    </row>
    <row r="84" spans="1:15" hidden="1" outlineLevel="1" x14ac:dyDescent="0.2">
      <c r="B84" s="242" t="s">
        <v>247</v>
      </c>
      <c r="C84" s="247">
        <v>84442638</v>
      </c>
      <c r="E84" s="242">
        <v>152590837</v>
      </c>
      <c r="G84" s="242">
        <v>179158494</v>
      </c>
      <c r="M84" s="277" t="s">
        <v>49</v>
      </c>
      <c r="N84" s="271">
        <f>SUM(N70:N83)</f>
        <v>1181028</v>
      </c>
      <c r="O84" s="271">
        <f>N84-N71</f>
        <v>1094761</v>
      </c>
    </row>
    <row r="85" spans="1:15" hidden="1" outlineLevel="1" x14ac:dyDescent="0.2">
      <c r="B85" s="242" t="s">
        <v>246</v>
      </c>
      <c r="C85" s="264">
        <f>C83/C84</f>
        <v>9.6674708338694952E-3</v>
      </c>
      <c r="E85" s="264">
        <f>E83/E84</f>
        <v>8.3347677029912345E-3</v>
      </c>
      <c r="G85" s="264">
        <f>G83/G84</f>
        <v>8.9714281143711775E-3</v>
      </c>
      <c r="N85" s="271">
        <f>N84-292000</f>
        <v>889028</v>
      </c>
    </row>
    <row r="86" spans="1:15" hidden="1" outlineLevel="1" x14ac:dyDescent="0.2">
      <c r="N86" s="271">
        <f>N85-N71+N70</f>
        <v>876876</v>
      </c>
    </row>
    <row r="87" spans="1:15" hidden="1" outlineLevel="1" x14ac:dyDescent="0.2">
      <c r="C87" s="242">
        <v>3.85E-2</v>
      </c>
      <c r="E87" s="242">
        <v>3.85E-2</v>
      </c>
      <c r="G87" s="242">
        <v>3.85E-2</v>
      </c>
    </row>
    <row r="88" spans="1:15" hidden="1" outlineLevel="1" x14ac:dyDescent="0.2">
      <c r="C88" s="265">
        <f>C85/C87</f>
        <v>0.25110313854206484</v>
      </c>
      <c r="D88" s="266"/>
      <c r="E88" s="265">
        <f>E85/E87</f>
        <v>0.21648747280496713</v>
      </c>
      <c r="F88" s="266"/>
      <c r="G88" s="265">
        <f>G85/G87</f>
        <v>0.23302410686678385</v>
      </c>
      <c r="J88" s="242">
        <v>544058</v>
      </c>
    </row>
    <row r="89" spans="1:15" hidden="1" outlineLevel="1" x14ac:dyDescent="0.2">
      <c r="J89" s="242">
        <v>5998726</v>
      </c>
    </row>
    <row r="90" spans="1:15" hidden="1" outlineLevel="1" x14ac:dyDescent="0.2">
      <c r="J90" s="242">
        <f>SUM(J88:J89)</f>
        <v>6542784</v>
      </c>
    </row>
    <row r="91" spans="1:15" hidden="1" outlineLevel="1" x14ac:dyDescent="0.2"/>
    <row r="92" spans="1:15" collapsed="1" x14ac:dyDescent="0.2"/>
    <row r="95" spans="1:15" x14ac:dyDescent="0.2">
      <c r="F95" s="252"/>
    </row>
    <row r="96" spans="1:15" ht="15.75" x14ac:dyDescent="0.25">
      <c r="A96" s="92" t="s">
        <v>1318</v>
      </c>
      <c r="F96" s="252"/>
    </row>
    <row r="97" spans="1:49" x14ac:dyDescent="0.2">
      <c r="A97" s="312" t="s">
        <v>275</v>
      </c>
      <c r="F97" s="252"/>
    </row>
    <row r="98" spans="1:49" x14ac:dyDescent="0.2">
      <c r="A98" s="269" t="s">
        <v>199</v>
      </c>
      <c r="B98" s="242">
        <f>(B$6*Sensativities!D19)</f>
        <v>323.25</v>
      </c>
      <c r="F98" s="252"/>
      <c r="M98" s="247">
        <f>M13/(Sensativities!O32*Sensativities!O17)</f>
        <v>405.75</v>
      </c>
      <c r="N98" s="247">
        <f>N13/(Sensativities!P32*Sensativities!P17)</f>
        <v>564</v>
      </c>
      <c r="O98" s="247">
        <f>O13/(Sensativities!Q32*Sensativities!Q17)</f>
        <v>473.25</v>
      </c>
      <c r="P98" s="247">
        <f>P13/(Sensativities!R32*Sensativities!R17)</f>
        <v>576.75</v>
      </c>
      <c r="Q98" s="247">
        <f>Q13/(Sensativities!S32*Sensativities!S17)</f>
        <v>585.75</v>
      </c>
      <c r="R98" s="247">
        <f>R13/(Sensativities!T32*Sensativities!T17)</f>
        <v>731.25</v>
      </c>
      <c r="S98" s="247">
        <f>S13/(Sensativities!U32*Sensativities!U17)</f>
        <v>567.75</v>
      </c>
      <c r="T98" s="247">
        <f>T13/(Sensativities!V32*Sensativities!V17)</f>
        <v>615</v>
      </c>
      <c r="U98" s="247">
        <f>U13/(Sensativities!W32*Sensativities!W17)</f>
        <v>711</v>
      </c>
      <c r="V98" s="247">
        <f>V13/(Sensativities!X32*Sensativities!X17)</f>
        <v>650.25</v>
      </c>
      <c r="W98" s="247">
        <f>W13/(Sensativities!Y32*Sensativities!Y17)</f>
        <v>525</v>
      </c>
      <c r="X98" s="247">
        <f>X13/(Sensativities!Z32*Sensativities!Z17)</f>
        <v>515.25</v>
      </c>
      <c r="Y98" s="247">
        <f>Y13/(Sensativities!AA32*Sensativities!AA17)</f>
        <v>404.25</v>
      </c>
      <c r="Z98" s="247">
        <f>Z13/(Sensativities!AB32*Sensativities!AB17)</f>
        <v>526.5</v>
      </c>
      <c r="AA98" s="247">
        <f>AA13/(Sensativities!AC32*Sensativities!AC17)</f>
        <v>561</v>
      </c>
      <c r="AB98" s="247">
        <f>AB13/(Sensativities!AD32*Sensativities!AD17)</f>
        <v>585.75</v>
      </c>
      <c r="AC98" s="247">
        <f>AC13/(Sensativities!AE32*Sensativities!AE17)</f>
        <v>1033.1428571428571</v>
      </c>
      <c r="AD98" s="247">
        <f>AD13/(Sensativities!AF32*Sensativities!AF17)</f>
        <v>1042.2857142857142</v>
      </c>
      <c r="AE98" s="247">
        <f>AE13/(Sensativities!AG32*Sensativities!AG17)</f>
        <v>914.28571428571433</v>
      </c>
      <c r="AF98" s="247">
        <f>AF13/(Sensativities!AH32*Sensativities!AH17)</f>
        <v>822.857142857143</v>
      </c>
      <c r="AG98" s="247">
        <f>AG13/(Sensativities!AI32*Sensativities!AI17)</f>
        <v>731.42857142857133</v>
      </c>
      <c r="AH98" s="247">
        <f>AH13/(Sensativities!AJ32*Sensativities!AJ17)</f>
        <v>731.42857142857144</v>
      </c>
      <c r="AI98" s="247">
        <f>AI13/(Sensativities!AK32*Sensativities!AK17)</f>
        <v>1080.0933103124996</v>
      </c>
      <c r="AJ98" s="247">
        <f>AJ13/(Sensativities!AL32*Sensativities!AL17)</f>
        <v>1080.0933103124996</v>
      </c>
      <c r="AK98" s="247">
        <f>AK13/(Sensativities!AM32*Sensativities!AM17)</f>
        <v>1080.0933103124996</v>
      </c>
      <c r="AL98" s="247">
        <f>AL13/(Sensativities!AN32*Sensativities!AN17)</f>
        <v>1080.0933103124999</v>
      </c>
      <c r="AM98" s="247">
        <f>AM13/(Sensativities!AO32*Sensativities!AO17)</f>
        <v>1080.0933103124999</v>
      </c>
      <c r="AN98" s="247">
        <f>AN13/(Sensativities!AP32*Sensativities!AP17)</f>
        <v>1080.0933103124999</v>
      </c>
      <c r="AO98" s="247">
        <f>AO13/(Sensativities!AQ32*Sensativities!AQ17)</f>
        <v>1080.0933103124999</v>
      </c>
      <c r="AP98" s="247">
        <f>AP13/(Sensativities!AR32*Sensativities!AR17)</f>
        <v>1080.0933103124999</v>
      </c>
      <c r="AQ98" s="247">
        <f>AQ13/(Sensativities!AS32*Sensativities!AS17)</f>
        <v>1080.0933103124999</v>
      </c>
      <c r="AR98" s="247">
        <f>AR13/(Sensativities!AT32*Sensativities!AT17)</f>
        <v>1080.0933103124999</v>
      </c>
      <c r="AS98" s="247">
        <f>AS13/(Sensativities!AU32*Sensativities!AU17)</f>
        <v>1080.0933103124999</v>
      </c>
      <c r="AT98" s="247">
        <f>AT13/(Sensativities!AV32*Sensativities!AV17)</f>
        <v>1080.0933103124999</v>
      </c>
      <c r="AU98" s="247">
        <f>AU13/(Sensativities!AW32*Sensativities!AW17)</f>
        <v>1080.0933103124999</v>
      </c>
      <c r="AV98" s="247">
        <f>AV13/(Sensativities!AX32*Sensativities!AX17)</f>
        <v>1080.0933103124999</v>
      </c>
      <c r="AW98" s="247">
        <f>AW13/(Sensativities!AY32*Sensativities!AY17)</f>
        <v>1080.0933103124999</v>
      </c>
    </row>
    <row r="99" spans="1:49" x14ac:dyDescent="0.2">
      <c r="A99" s="312" t="s">
        <v>200</v>
      </c>
      <c r="F99" s="252"/>
      <c r="M99" s="247">
        <f>M14/(Sensativities!O33*Sensativities!$O$17)</f>
        <v>376.37</v>
      </c>
      <c r="N99" s="247">
        <f>N14/(Sensativities!P33*Sensativities!P17)</f>
        <v>330.01000000000005</v>
      </c>
      <c r="O99" s="247">
        <f>O14/(Sensativities!Q33*Sensativities!Q17)</f>
        <v>458.72000000000008</v>
      </c>
      <c r="P99" s="247">
        <f>P14/(Sensativities!R33*Sensativities!R17)</f>
        <v>384.91</v>
      </c>
      <c r="Q99" s="247">
        <f>Q14/(Sensativities!S33*Sensativities!S17)</f>
        <v>469.09000000000003</v>
      </c>
      <c r="R99" s="247">
        <f>R14/(Sensativities!T33*Sensativities!T17)</f>
        <v>476.40999999999997</v>
      </c>
      <c r="S99" s="247">
        <f>S14/(Sensativities!U33*Sensativities!U17)</f>
        <v>594.75</v>
      </c>
      <c r="T99" s="247">
        <f>T14/(Sensativities!V33*Sensativities!V17)</f>
        <v>461.77000000000004</v>
      </c>
      <c r="U99" s="247">
        <f>U14/(Sensativities!W33*Sensativities!W17)</f>
        <v>500.2</v>
      </c>
      <c r="V99" s="247">
        <f>V14/(Sensativities!X33*Sensativities!X17)</f>
        <v>578.28000000000009</v>
      </c>
      <c r="W99" s="247">
        <f>W14/(Sensativities!Y33*Sensativities!Y17)</f>
        <v>528.87</v>
      </c>
      <c r="X99" s="247">
        <f>X14/(Sensativities!Z33*Sensativities!Z17)</f>
        <v>427</v>
      </c>
      <c r="Y99" s="247">
        <f>Y14/(Sensativities!AA33*Sensativities!AA17)</f>
        <v>419.07</v>
      </c>
      <c r="Z99" s="247">
        <f>Z14/(Sensativities!AB33*Sensativities!AB17)</f>
        <v>328.79000000000008</v>
      </c>
      <c r="AA99" s="247">
        <f>AA14/(Sensativities!AC33*Sensativities!AC17)</f>
        <v>428.22</v>
      </c>
      <c r="AB99" s="247">
        <f>AB14/(Sensativities!AD33*Sensativities!AD17)</f>
        <v>456.28000000000003</v>
      </c>
      <c r="AC99" s="247">
        <f>AC14/(Sensativities!AE33*Sensativities!AE17)</f>
        <v>476.40999999999997</v>
      </c>
      <c r="AD99" s="247">
        <f>AD14/(Sensativities!AF33*Sensativities!AF17)</f>
        <v>840.28952380952376</v>
      </c>
      <c r="AE99" s="247">
        <f>AE14/(Sensativities!AG33*Sensativities!AG17)</f>
        <v>847.72571428571416</v>
      </c>
      <c r="AF99" s="247">
        <f>AF14/(Sensativities!AH33*Sensativities!AH17)</f>
        <v>743.61904761904748</v>
      </c>
      <c r="AG99" s="247">
        <f>AG14/(Sensativities!AI33*Sensativities!AI17)</f>
        <v>669.25714285714298</v>
      </c>
      <c r="AH99" s="247">
        <f>AH14/(Sensativities!AJ33*Sensativities!AJ17)</f>
        <v>594.89523809523814</v>
      </c>
      <c r="AI99" s="247">
        <f>AI14/(Sensativities!AK33*Sensativities!AK17)</f>
        <v>594.89523809523814</v>
      </c>
      <c r="AJ99" s="247">
        <f>AJ14/(Sensativities!AL33*Sensativities!AL17)</f>
        <v>878.47589238749981</v>
      </c>
      <c r="AK99" s="247">
        <f>AK14/(Sensativities!AM33*Sensativities!AM17)</f>
        <v>878.47589238749981</v>
      </c>
      <c r="AL99" s="247">
        <f>AL14/(Sensativities!AN33*Sensativities!AN17)</f>
        <v>878.47589238749981</v>
      </c>
      <c r="AM99" s="247">
        <f>AM14/(Sensativities!AO33*Sensativities!AO17)</f>
        <v>878.47589238749981</v>
      </c>
      <c r="AN99" s="247">
        <f>AN14/(Sensativities!AP33*Sensativities!AP17)</f>
        <v>878.47589238749981</v>
      </c>
      <c r="AO99" s="247">
        <f>AO14/(Sensativities!AQ33*Sensativities!AQ17)</f>
        <v>878.47589238749981</v>
      </c>
      <c r="AP99" s="247">
        <f>AP14/(Sensativities!AR33*Sensativities!AR17)</f>
        <v>878.47589238749981</v>
      </c>
      <c r="AQ99" s="247">
        <f>AQ14/(Sensativities!AS33*Sensativities!AS17)</f>
        <v>878.47589238749981</v>
      </c>
      <c r="AR99" s="247">
        <f>AR14/(Sensativities!AT33*Sensativities!AT17)</f>
        <v>878.47589238749981</v>
      </c>
      <c r="AS99" s="247">
        <f>AS14/(Sensativities!AU33*Sensativities!AU17)</f>
        <v>878.47589238749981</v>
      </c>
      <c r="AT99" s="247">
        <f>AT14/(Sensativities!AV33*Sensativities!AV17)</f>
        <v>878.47589238749981</v>
      </c>
      <c r="AU99" s="247">
        <f>AU14/(Sensativities!AW33*Sensativities!AW17)</f>
        <v>878.47589238749981</v>
      </c>
      <c r="AV99" s="247">
        <f>AV14/(Sensativities!AX33*Sensativities!AX17)</f>
        <v>878.47589238749981</v>
      </c>
      <c r="AW99" s="247">
        <f>AW14/(Sensativities!AY33*Sensativities!AY17)</f>
        <v>878.47589238749981</v>
      </c>
    </row>
    <row r="100" spans="1:49" x14ac:dyDescent="0.2">
      <c r="A100" s="312" t="s">
        <v>201</v>
      </c>
      <c r="F100" s="252"/>
      <c r="M100" s="247">
        <f>M15/(Sensativities!O34*Sensativities!O17)</f>
        <v>473.06</v>
      </c>
      <c r="N100" s="247">
        <f>N15/(Sensativities!P34*Sensativities!P17)</f>
        <v>382.54</v>
      </c>
      <c r="O100" s="247">
        <f>O15/(Sensativities!Q34*Sensativities!Q17)</f>
        <v>335.42</v>
      </c>
      <c r="P100" s="247">
        <f>P15/(Sensativities!R34*Sensativities!R17)</f>
        <v>466.24</v>
      </c>
      <c r="Q100" s="247">
        <f>Q15/(Sensativities!S34*Sensativities!S17)</f>
        <v>391.21999999999997</v>
      </c>
      <c r="R100" s="247">
        <f>R15/(Sensativities!T34*Sensativities!T17)</f>
        <v>476.78</v>
      </c>
      <c r="S100" s="247">
        <f>S15/(Sensativities!U34*Sensativities!U17)</f>
        <v>484.21999999999997</v>
      </c>
      <c r="T100" s="247">
        <f>T15/(Sensativities!V34*Sensativities!V17)</f>
        <v>604.5</v>
      </c>
      <c r="U100" s="247">
        <f>U15/(Sensativities!W34*Sensativities!W17)</f>
        <v>469.34000000000009</v>
      </c>
      <c r="V100" s="247">
        <f>V15/(Sensativities!X34*Sensativities!X17)</f>
        <v>508.40000000000009</v>
      </c>
      <c r="W100" s="247">
        <f>W15/(Sensativities!Y34*Sensativities!Y17)</f>
        <v>587.76</v>
      </c>
      <c r="X100" s="247">
        <f>X15/(Sensativities!Z34*Sensativities!Z17)</f>
        <v>537.54</v>
      </c>
      <c r="Y100" s="247">
        <f>Y15/(Sensativities!AA34*Sensativities!AA17)</f>
        <v>434</v>
      </c>
      <c r="Z100" s="247">
        <f>Z15/(Sensativities!AB34*Sensativities!AB17)</f>
        <v>425.94000000000005</v>
      </c>
      <c r="AA100" s="247">
        <f>AA15/(Sensativities!AC34*Sensativities!AC17)</f>
        <v>334.18</v>
      </c>
      <c r="AB100" s="247">
        <f>AB15/(Sensativities!AD34*Sensativities!AD17)</f>
        <v>435.24</v>
      </c>
      <c r="AC100" s="247">
        <f>AC15/(Sensativities!AE34*Sensativities!AE17)</f>
        <v>463.76</v>
      </c>
      <c r="AD100" s="247">
        <f>AD15/(Sensativities!AF34*Sensativities!AF17)</f>
        <v>484.21999999999997</v>
      </c>
      <c r="AE100" s="247">
        <f>AE15/(Sensativities!AG34*Sensativities!AG17)</f>
        <v>854.06476190476189</v>
      </c>
      <c r="AF100" s="247">
        <f>AF15/(Sensativities!AH34*Sensativities!AH17)</f>
        <v>861.62285714285713</v>
      </c>
      <c r="AG100" s="247">
        <f>AG15/(Sensativities!AI34*Sensativities!AI17)</f>
        <v>755.80952380952385</v>
      </c>
      <c r="AH100" s="247">
        <f>AH15/(Sensativities!AJ34*Sensativities!AJ17)</f>
        <v>680.22857142857151</v>
      </c>
      <c r="AI100" s="247">
        <f>AI15/(Sensativities!AK34*Sensativities!AK17)</f>
        <v>604.64761904761906</v>
      </c>
      <c r="AJ100" s="247">
        <f>AJ15/(Sensativities!AL34*Sensativities!AL17)</f>
        <v>604.64761904761906</v>
      </c>
      <c r="AK100" s="247">
        <f>AK15/(Sensativities!AM34*Sensativities!AM17)</f>
        <v>892.87713652499963</v>
      </c>
      <c r="AL100" s="247">
        <f>AL15/(Sensativities!AN34*Sensativities!AN17)</f>
        <v>892.87713652499974</v>
      </c>
      <c r="AM100" s="247">
        <f>AM15/(Sensativities!AO34*Sensativities!AO17)</f>
        <v>892.87713652499974</v>
      </c>
      <c r="AN100" s="247">
        <f>AN15/(Sensativities!AP34*Sensativities!AP17)</f>
        <v>892.87713652499974</v>
      </c>
      <c r="AO100" s="247">
        <f>AO15/(Sensativities!AQ34*Sensativities!AQ17)</f>
        <v>892.87713652499974</v>
      </c>
      <c r="AP100" s="247">
        <f>AP15/(Sensativities!AR34*Sensativities!AR17)</f>
        <v>892.87713652499974</v>
      </c>
      <c r="AQ100" s="247">
        <f>AQ15/(Sensativities!AS34*Sensativities!AS17)</f>
        <v>892.87713652499974</v>
      </c>
      <c r="AR100" s="247">
        <f>AR15/(Sensativities!AT34*Sensativities!AT17)</f>
        <v>892.87713652499974</v>
      </c>
      <c r="AS100" s="247">
        <f>AS15/(Sensativities!AU34*Sensativities!AU17)</f>
        <v>892.87713652499974</v>
      </c>
      <c r="AT100" s="247">
        <f>AT15/(Sensativities!AV34*Sensativities!AV17)</f>
        <v>892.87713652499974</v>
      </c>
      <c r="AU100" s="247">
        <f>AU15/(Sensativities!AW34*Sensativities!AW17)</f>
        <v>892.87713652499974</v>
      </c>
      <c r="AV100" s="247">
        <f>AV15/(Sensativities!AX34*Sensativities!AX17)</f>
        <v>892.87713652499974</v>
      </c>
      <c r="AW100" s="247">
        <f>AW15/(Sensativities!AY34*Sensativities!AY17)</f>
        <v>892.87713652499974</v>
      </c>
    </row>
    <row r="101" spans="1:49" x14ac:dyDescent="0.2">
      <c r="A101" s="312" t="s">
        <v>202</v>
      </c>
      <c r="F101" s="252"/>
      <c r="M101" s="247">
        <f>M16/(Sensativities!O35*Sensativities!O17)</f>
        <v>356.11999999999995</v>
      </c>
      <c r="N101" s="247">
        <f>N16/(Sensativities!P35*Sensativities!P17)</f>
        <v>442.53999999999991</v>
      </c>
      <c r="O101" s="247">
        <f>O16/(Sensativities!Q35*Sensativities!Q17)</f>
        <v>357.85999999999996</v>
      </c>
      <c r="P101" s="247">
        <f>P16/(Sensativities!R35*Sensativities!R17)</f>
        <v>313.78000000000003</v>
      </c>
      <c r="Q101" s="247">
        <f>Q16/(Sensativities!S35*Sensativities!S17)</f>
        <v>436.15999999999997</v>
      </c>
      <c r="R101" s="247">
        <f>R16/(Sensativities!T35*Sensativities!T17)</f>
        <v>365.97999999999996</v>
      </c>
      <c r="S101" s="247">
        <f>S16/(Sensativities!U35*Sensativities!U17)</f>
        <v>446.02000000000004</v>
      </c>
      <c r="T101" s="247">
        <f>T16/(Sensativities!V35*Sensativities!V17)</f>
        <v>452.97999999999996</v>
      </c>
      <c r="U101" s="247">
        <f>U16/(Sensativities!W35*Sensativities!W17)</f>
        <v>565.5</v>
      </c>
      <c r="V101" s="247">
        <f>V16/(Sensativities!X35*Sensativities!X17)</f>
        <v>439.06</v>
      </c>
      <c r="W101" s="247">
        <f>W16/(Sensativities!Y35*Sensativities!Y17)</f>
        <v>475.6</v>
      </c>
      <c r="X101" s="247">
        <f>X16/(Sensativities!Z35*Sensativities!Z17)</f>
        <v>549.83999999999992</v>
      </c>
      <c r="Y101" s="247">
        <f>Y16/(Sensativities!AA35*Sensativities!AA17)</f>
        <v>502.85999999999996</v>
      </c>
      <c r="Z101" s="247">
        <f>Z16/(Sensativities!AB35*Sensativities!AB17)</f>
        <v>406</v>
      </c>
      <c r="AA101" s="247">
        <f>AA16/(Sensativities!AC35*Sensativities!AC17)</f>
        <v>398.46</v>
      </c>
      <c r="AB101" s="247">
        <f>AB16/(Sensativities!AD35*Sensativities!AD17)</f>
        <v>312.62</v>
      </c>
      <c r="AC101" s="247">
        <f>AC16/(Sensativities!AE35*Sensativities!AE17)</f>
        <v>407.15999999999997</v>
      </c>
      <c r="AD101" s="247">
        <f>AD16/(Sensativities!AF35*Sensativities!AF17)</f>
        <v>433.84000000000003</v>
      </c>
      <c r="AE101" s="247">
        <f>AE16/(Sensativities!AG35*Sensativities!AG17)</f>
        <v>452.97999999999996</v>
      </c>
      <c r="AF101" s="247">
        <f>AF16/(Sensativities!AH35*Sensativities!AH17)</f>
        <v>798.96380952380935</v>
      </c>
      <c r="AG101" s="247">
        <f>AG16/(Sensativities!AI35*Sensativities!AI17)</f>
        <v>806.03428571428549</v>
      </c>
      <c r="AH101" s="247">
        <f>AH16/(Sensativities!AJ35*Sensativities!AJ17)</f>
        <v>707.04761904761904</v>
      </c>
      <c r="AI101" s="247">
        <f>AI16/(Sensativities!AK35*Sensativities!AK17)</f>
        <v>636.34285714285727</v>
      </c>
      <c r="AJ101" s="247">
        <f>AJ16/(Sensativities!AL35*Sensativities!AL17)</f>
        <v>565.63809523809527</v>
      </c>
      <c r="AK101" s="247">
        <f>AK16/(Sensativities!AM35*Sensativities!AM17)</f>
        <v>565.63809523809527</v>
      </c>
      <c r="AL101" s="247">
        <f>AL16/(Sensativities!AN35*Sensativities!AN17)</f>
        <v>835.27215997499968</v>
      </c>
      <c r="AM101" s="247">
        <f>AM16/(Sensativities!AO35*Sensativities!AO17)</f>
        <v>835.27215997499968</v>
      </c>
      <c r="AN101" s="247">
        <f>AN16/(Sensativities!AP35*Sensativities!AP17)</f>
        <v>835.27215997499968</v>
      </c>
      <c r="AO101" s="247">
        <f>AO16/(Sensativities!AQ35*Sensativities!AQ17)</f>
        <v>835.27215997499968</v>
      </c>
      <c r="AP101" s="247">
        <f>AP16/(Sensativities!AR35*Sensativities!AR17)</f>
        <v>835.27215997499968</v>
      </c>
      <c r="AQ101" s="247">
        <f>AQ16/(Sensativities!AS35*Sensativities!AS17)</f>
        <v>835.27215997499968</v>
      </c>
      <c r="AR101" s="247">
        <f>AR16/(Sensativities!AT35*Sensativities!AT17)</f>
        <v>835.27215997499968</v>
      </c>
      <c r="AS101" s="247">
        <f>AS16/(Sensativities!AU35*Sensativities!AU17)</f>
        <v>835.27215997499968</v>
      </c>
      <c r="AT101" s="247">
        <f>AT16/(Sensativities!AV35*Sensativities!AV17)</f>
        <v>835.27215997499968</v>
      </c>
      <c r="AU101" s="247">
        <f>AU16/(Sensativities!AW35*Sensativities!AW17)</f>
        <v>835.27215997499968</v>
      </c>
      <c r="AV101" s="247">
        <f>AV16/(Sensativities!AX35*Sensativities!AX17)</f>
        <v>835.27215997499968</v>
      </c>
      <c r="AW101" s="247">
        <f>AW16/(Sensativities!AY35*Sensativities!AY17)</f>
        <v>835.27215997499968</v>
      </c>
    </row>
    <row r="102" spans="1:49" x14ac:dyDescent="0.2">
      <c r="A102" s="312" t="s">
        <v>203</v>
      </c>
      <c r="F102" s="252"/>
      <c r="M102" s="247">
        <f>M17/(Sensativities!O36*Sensativities!O17)</f>
        <v>334.88000000000005</v>
      </c>
      <c r="N102" s="247">
        <f>N17/(Sensativities!P36*Sensativities!P17)</f>
        <v>343.84000000000003</v>
      </c>
      <c r="O102" s="247">
        <f>O17/(Sensativities!Q36*Sensativities!Q17)</f>
        <v>427.28000000000003</v>
      </c>
      <c r="P102" s="247">
        <f>P17/(Sensativities!R36*Sensativities!R17)</f>
        <v>345.52</v>
      </c>
      <c r="Q102" s="247">
        <f>Q17/(Sensativities!S36*Sensativities!S17)</f>
        <v>302.95999999999998</v>
      </c>
      <c r="R102" s="247">
        <f>R17/(Sensativities!T36*Sensativities!T17)</f>
        <v>421.12</v>
      </c>
      <c r="S102" s="247">
        <f>S17/(Sensativities!U36*Sensativities!U17)</f>
        <v>353.36</v>
      </c>
      <c r="T102" s="247">
        <f>T17/(Sensativities!V36*Sensativities!V17)</f>
        <v>430.64</v>
      </c>
      <c r="U102" s="247">
        <f>U17/(Sensativities!W36*Sensativities!W17)</f>
        <v>437.35999999999996</v>
      </c>
      <c r="V102" s="247">
        <f>V17/(Sensativities!X36*Sensativities!X17)</f>
        <v>545.99999999999989</v>
      </c>
      <c r="W102" s="247">
        <f>W17/(Sensativities!Y36*Sensativities!Y17)</f>
        <v>423.92</v>
      </c>
      <c r="X102" s="247">
        <f>X17/(Sensativities!Z36*Sensativities!Z17)</f>
        <v>459.20000000000005</v>
      </c>
      <c r="Y102" s="247">
        <f>Y17/(Sensativities!AA36*Sensativities!AA17)</f>
        <v>530.87999999999988</v>
      </c>
      <c r="Z102" s="247">
        <f>Z17/(Sensativities!AB36*Sensativities!AB17)</f>
        <v>485.52000000000004</v>
      </c>
      <c r="AA102" s="247">
        <f>AA17/(Sensativities!AC36*Sensativities!AC17)</f>
        <v>392</v>
      </c>
      <c r="AB102" s="247">
        <f>AB17/(Sensativities!AD36*Sensativities!AD17)</f>
        <v>384.72</v>
      </c>
      <c r="AC102" s="247">
        <f>AC17/(Sensativities!AE36*Sensativities!AE17)</f>
        <v>301.84000000000003</v>
      </c>
      <c r="AD102" s="247">
        <f>AD17/(Sensativities!AF36*Sensativities!AF17)</f>
        <v>393.12000000000006</v>
      </c>
      <c r="AE102" s="247">
        <f>AE17/(Sensativities!AG36*Sensativities!AG17)</f>
        <v>418.88</v>
      </c>
      <c r="AF102" s="247">
        <f>AF17/(Sensativities!AH36*Sensativities!AH17)</f>
        <v>437.36</v>
      </c>
      <c r="AG102" s="247">
        <f>AG17/(Sensativities!AI36*Sensativities!AI17)</f>
        <v>771.4133333333333</v>
      </c>
      <c r="AH102" s="247">
        <f>AH17/(Sensativities!AJ36*Sensativities!AJ17)</f>
        <v>778.24000000000012</v>
      </c>
      <c r="AI102" s="247">
        <f>AI17/(Sensativities!AK36*Sensativities!AK17)</f>
        <v>682.66666666666674</v>
      </c>
      <c r="AJ102" s="247">
        <f>AJ17/(Sensativities!AL36*Sensativities!AL17)</f>
        <v>614.40000000000009</v>
      </c>
      <c r="AK102" s="247">
        <f>AK17/(Sensativities!AM36*Sensativities!AM17)</f>
        <v>546.13333333333344</v>
      </c>
      <c r="AL102" s="247">
        <f>AL17/(Sensativities!AN36*Sensativities!AN17)</f>
        <v>546.13333333333344</v>
      </c>
      <c r="AM102" s="247">
        <f>AM17/(Sensativities!AO36*Sensativities!AO17)</f>
        <v>806.46967169999982</v>
      </c>
      <c r="AN102" s="247">
        <f>AN17/(Sensativities!AP36*Sensativities!AP17)</f>
        <v>806.46967169999982</v>
      </c>
      <c r="AO102" s="247">
        <f>AO17/(Sensativities!AQ36*Sensativities!AQ17)</f>
        <v>806.46967169999982</v>
      </c>
      <c r="AP102" s="247">
        <f>AP17/(Sensativities!AR36*Sensativities!AR17)</f>
        <v>806.46967169999982</v>
      </c>
      <c r="AQ102" s="247">
        <f>AQ17/(Sensativities!AS36*Sensativities!AS17)</f>
        <v>806.46967169999982</v>
      </c>
      <c r="AR102" s="247">
        <f>AR17/(Sensativities!AT36*Sensativities!AT17)</f>
        <v>806.46967169999982</v>
      </c>
      <c r="AS102" s="247">
        <f>AS17/(Sensativities!AU36*Sensativities!AU17)</f>
        <v>806.46967169999982</v>
      </c>
      <c r="AT102" s="247">
        <f>AT17/(Sensativities!AV36*Sensativities!AV17)</f>
        <v>806.46967169999982</v>
      </c>
      <c r="AU102" s="247">
        <f>AU17/(Sensativities!AW36*Sensativities!AW17)</f>
        <v>806.46967169999982</v>
      </c>
      <c r="AV102" s="247">
        <f>AV17/(Sensativities!AX36*Sensativities!AX17)</f>
        <v>806.46967169999982</v>
      </c>
      <c r="AW102" s="247">
        <f>AW17/(Sensativities!AY36*Sensativities!AY17)</f>
        <v>806.46967169999982</v>
      </c>
    </row>
    <row r="103" spans="1:49" x14ac:dyDescent="0.2">
      <c r="A103" s="312" t="s">
        <v>267</v>
      </c>
      <c r="F103" s="252"/>
      <c r="M103" s="247">
        <f>M18/(Sensativities!O37*Sensativities!O17)</f>
        <v>286.74000000000007</v>
      </c>
      <c r="N103" s="247">
        <f>N18/(Sensativities!P37*Sensativities!P17)</f>
        <v>322.92</v>
      </c>
      <c r="O103" s="247">
        <f>O18/(Sensativities!Q37*Sensativities!Q17)</f>
        <v>331.55999999999995</v>
      </c>
      <c r="P103" s="247">
        <f>P18/(Sensativities!R37*Sensativities!R17)</f>
        <v>412.02000000000004</v>
      </c>
      <c r="Q103" s="247">
        <f>Q18/(Sensativities!S37*Sensativities!S17)</f>
        <v>333.18</v>
      </c>
      <c r="R103" s="247">
        <f>R18/(Sensativities!T37*Sensativities!T17)</f>
        <v>292.1400000000001</v>
      </c>
      <c r="S103" s="247">
        <f>S18/(Sensativities!U37*Sensativities!U17)</f>
        <v>406.08000000000004</v>
      </c>
      <c r="T103" s="247">
        <f>T18/(Sensativities!V37*Sensativities!V17)</f>
        <v>340.74</v>
      </c>
      <c r="U103" s="247">
        <f>U18/(Sensativities!W37*Sensativities!W17)</f>
        <v>415.26000000000005</v>
      </c>
      <c r="V103" s="247">
        <f>V18/(Sensativities!X37*Sensativities!X17)</f>
        <v>421.74</v>
      </c>
      <c r="W103" s="247">
        <f>W18/(Sensativities!Y37*Sensativities!Y17)</f>
        <v>526.5</v>
      </c>
      <c r="X103" s="247">
        <f>X18/(Sensativities!Z37*Sensativities!Z17)</f>
        <v>408.78000000000003</v>
      </c>
      <c r="Y103" s="247">
        <f>Y18/(Sensativities!AA37*Sensativities!AA17)</f>
        <v>442.8</v>
      </c>
      <c r="Z103" s="247">
        <f>Z18/(Sensativities!AB37*Sensativities!AB17)</f>
        <v>511.92000000000007</v>
      </c>
      <c r="AA103" s="247">
        <f>AA18/(Sensativities!AC37*Sensativities!AC17)</f>
        <v>468.18</v>
      </c>
      <c r="AB103" s="247">
        <f>AB18/(Sensativities!AD37*Sensativities!AD17)</f>
        <v>378</v>
      </c>
      <c r="AC103" s="247">
        <f>AC18/(Sensativities!AE37*Sensativities!AE17)</f>
        <v>370.98</v>
      </c>
      <c r="AD103" s="247">
        <f>AD18/(Sensativities!AF37*Sensativities!AF17)</f>
        <v>291.06</v>
      </c>
      <c r="AE103" s="247">
        <f>AE18/(Sensativities!AG37*Sensativities!AG17)</f>
        <v>379.08000000000004</v>
      </c>
      <c r="AF103" s="247">
        <f>AF18/(Sensativities!AH37*Sensativities!AH17)</f>
        <v>403.92</v>
      </c>
      <c r="AG103" s="247">
        <f>AG18/(Sensativities!AI37*Sensativities!AI17)</f>
        <v>421.73999999999995</v>
      </c>
      <c r="AH103" s="247">
        <f>AH18/(Sensativities!AJ37*Sensativities!AJ17)</f>
        <v>743.86285714285714</v>
      </c>
      <c r="AI103" s="247">
        <f>AI18/(Sensativities!AK37*Sensativities!AK17)</f>
        <v>750.4457142857143</v>
      </c>
      <c r="AJ103" s="247">
        <f>AJ18/(Sensativities!AL37*Sensativities!AL17)</f>
        <v>658.28571428571433</v>
      </c>
      <c r="AK103" s="247">
        <f>AK18/(Sensativities!AM37*Sensativities!AM17)</f>
        <v>592.45714285714303</v>
      </c>
      <c r="AL103" s="247">
        <f>AL18/(Sensativities!AN37*Sensativities!AN17)</f>
        <v>526.62857142857149</v>
      </c>
      <c r="AM103" s="247">
        <f>AM18/(Sensativities!AO37*Sensativities!AO17)</f>
        <v>526.62857142857149</v>
      </c>
      <c r="AN103" s="247">
        <f>AN18/(Sensativities!AP37*Sensativities!AP17)</f>
        <v>777.66718342499985</v>
      </c>
      <c r="AO103" s="247">
        <f>AO18/(Sensativities!AQ37*Sensativities!AQ17)</f>
        <v>777.66718342499985</v>
      </c>
      <c r="AP103" s="247">
        <f>AP18/(Sensativities!AR37*Sensativities!AR17)</f>
        <v>777.66718342499985</v>
      </c>
      <c r="AQ103" s="247">
        <f>AQ18/(Sensativities!AS37*Sensativities!AS17)</f>
        <v>777.66718342499985</v>
      </c>
      <c r="AR103" s="247">
        <f>AR18/(Sensativities!AT37*Sensativities!AT17)</f>
        <v>777.66718342499985</v>
      </c>
      <c r="AS103" s="247">
        <f>AS18/(Sensativities!AU37*Sensativities!AU17)</f>
        <v>777.66718342499985</v>
      </c>
      <c r="AT103" s="247">
        <f>AT18/(Sensativities!AV37*Sensativities!AV17)</f>
        <v>777.66718342499985</v>
      </c>
      <c r="AU103" s="247">
        <f>AU18/(Sensativities!AW37*Sensativities!AW17)</f>
        <v>777.66718342499985</v>
      </c>
      <c r="AV103" s="247">
        <f>AV18/(Sensativities!AX37*Sensativities!AX17)</f>
        <v>777.66718342499985</v>
      </c>
      <c r="AW103" s="247">
        <f>AW18/(Sensativities!AY37*Sensativities!AY17)</f>
        <v>777.66718342499985</v>
      </c>
    </row>
    <row r="104" spans="1:49" x14ac:dyDescent="0.2">
      <c r="A104" s="312" t="s">
        <v>268</v>
      </c>
      <c r="F104" s="252"/>
      <c r="M104" s="247">
        <f>M19/(Sensativities!O38*Sensativities!O17)</f>
        <v>314.59999999999997</v>
      </c>
      <c r="N104" s="247">
        <f>N19/(Sensativities!P38*Sensativities!P17)</f>
        <v>276.12</v>
      </c>
      <c r="O104" s="247">
        <f>O19/(Sensativities!Q38*Sensativities!Q17)</f>
        <v>310.96000000000004</v>
      </c>
      <c r="P104" s="247">
        <f>P19/(Sensativities!R38*Sensativities!R17)</f>
        <v>319.28000000000003</v>
      </c>
      <c r="Q104" s="247">
        <f>Q19/(Sensativities!S38*Sensativities!S17)</f>
        <v>396.75999999999993</v>
      </c>
      <c r="R104" s="247">
        <f>R19/(Sensativities!T38*Sensativities!T17)</f>
        <v>320.84000000000003</v>
      </c>
      <c r="S104" s="247">
        <f>S19/(Sensativities!U38*Sensativities!U17)</f>
        <v>281.32</v>
      </c>
      <c r="T104" s="247">
        <f>T19/(Sensativities!V38*Sensativities!V17)</f>
        <v>391.03999999999996</v>
      </c>
      <c r="U104" s="247">
        <f>U19/(Sensativities!W38*Sensativities!W17)</f>
        <v>328.11999999999995</v>
      </c>
      <c r="V104" s="247">
        <f>V19/(Sensativities!X38*Sensativities!X17)</f>
        <v>399.88</v>
      </c>
      <c r="W104" s="247">
        <f>W19/(Sensativities!Y38*Sensativities!Y17)</f>
        <v>406.12</v>
      </c>
      <c r="X104" s="247">
        <f>X19/(Sensativities!Z38*Sensativities!Z17)</f>
        <v>507</v>
      </c>
      <c r="Y104" s="247">
        <f>Y19/(Sensativities!AA38*Sensativities!AA17)</f>
        <v>393.64</v>
      </c>
      <c r="Z104" s="247">
        <f>Z19/(Sensativities!AB38*Sensativities!AB17)</f>
        <v>426.40000000000003</v>
      </c>
      <c r="AA104" s="247">
        <f>AA19/(Sensativities!AC38*Sensativities!AC17)</f>
        <v>492.96</v>
      </c>
      <c r="AB104" s="247">
        <f>AB19/(Sensativities!AD38*Sensativities!AD17)</f>
        <v>450.84000000000009</v>
      </c>
      <c r="AC104" s="247">
        <f>AC19/(Sensativities!AE38*Sensativities!AE17)</f>
        <v>363.99999999999994</v>
      </c>
      <c r="AD104" s="247">
        <f>AD19/(Sensativities!AF38*Sensativities!AF17)</f>
        <v>357.24</v>
      </c>
      <c r="AE104" s="247">
        <f>AE19/(Sensativities!AG38*Sensativities!AG17)</f>
        <v>280.28000000000003</v>
      </c>
      <c r="AF104" s="247">
        <f>AF19/(Sensativities!AH38*Sensativities!AH17)</f>
        <v>365.04000000000008</v>
      </c>
      <c r="AG104" s="247">
        <f>AG19/(Sensativities!AI38*Sensativities!AI17)</f>
        <v>388.96000000000009</v>
      </c>
      <c r="AH104" s="247">
        <f>AH19/(Sensativities!AJ38*Sensativities!AJ17)</f>
        <v>406.12</v>
      </c>
      <c r="AI104" s="247">
        <f>AI19/(Sensativities!AK38*Sensativities!AK17)</f>
        <v>716.31238095238086</v>
      </c>
      <c r="AJ104" s="247">
        <f>AJ19/(Sensativities!AL38*Sensativities!AL17)</f>
        <v>722.6514285714286</v>
      </c>
      <c r="AK104" s="247">
        <f>AK19/(Sensativities!AM38*Sensativities!AM17)</f>
        <v>633.90476190476193</v>
      </c>
      <c r="AL104" s="247">
        <f>AL19/(Sensativities!AN38*Sensativities!AN17)</f>
        <v>570.51428571428573</v>
      </c>
      <c r="AM104" s="247">
        <f>AM19/(Sensativities!AO38*Sensativities!AO17)</f>
        <v>507.1238095238096</v>
      </c>
      <c r="AN104" s="247">
        <f>AN19/(Sensativities!AP38*Sensativities!AP17)</f>
        <v>507.1238095238096</v>
      </c>
      <c r="AO104" s="247">
        <f>AO19/(Sensativities!AQ38*Sensativities!AQ17)</f>
        <v>748.86469514999965</v>
      </c>
      <c r="AP104" s="247">
        <f>AP19/(Sensativities!AR38*Sensativities!AR17)</f>
        <v>748.86469514999965</v>
      </c>
      <c r="AQ104" s="247">
        <f>AQ19/(Sensativities!AS38*Sensativities!AS17)</f>
        <v>748.86469514999965</v>
      </c>
      <c r="AR104" s="247">
        <f>AR19/(Sensativities!AT38*Sensativities!AT17)</f>
        <v>748.86469514999965</v>
      </c>
      <c r="AS104" s="247">
        <f>AS19/(Sensativities!AU38*Sensativities!AU17)</f>
        <v>748.86469514999965</v>
      </c>
      <c r="AT104" s="247">
        <f>AT19/(Sensativities!AV38*Sensativities!AV17)</f>
        <v>748.86469514999965</v>
      </c>
      <c r="AU104" s="247">
        <f>AU19/(Sensativities!AW38*Sensativities!AW17)</f>
        <v>748.86469514999965</v>
      </c>
      <c r="AV104" s="247">
        <f>AV19/(Sensativities!AX38*Sensativities!AX17)</f>
        <v>748.86469514999965</v>
      </c>
      <c r="AW104" s="247">
        <f>AW19/(Sensativities!AY38*Sensativities!AY17)</f>
        <v>748.86469514999965</v>
      </c>
    </row>
    <row r="105" spans="1:49" x14ac:dyDescent="0.2">
      <c r="A105" s="312" t="s">
        <v>269</v>
      </c>
      <c r="F105" s="252"/>
      <c r="M105" s="247">
        <f>M20/(Sensativities!O39*Sensativities!O17)</f>
        <v>404.04</v>
      </c>
      <c r="N105" s="247">
        <f>N20/(Sensativities!P39*Sensativities!P17)</f>
        <v>314.60000000000002</v>
      </c>
      <c r="O105" s="247">
        <f>O20/(Sensativities!Q39*Sensativities!Q17)</f>
        <v>276.12</v>
      </c>
      <c r="P105" s="247">
        <f>P20/(Sensativities!R39*Sensativities!R17)</f>
        <v>310.96000000000004</v>
      </c>
      <c r="Q105" s="247">
        <f>Q20/(Sensativities!S39*Sensativities!S17)</f>
        <v>319.28000000000003</v>
      </c>
      <c r="R105" s="247">
        <f>R20/(Sensativities!T39*Sensativities!T17)</f>
        <v>396.76</v>
      </c>
      <c r="S105" s="247">
        <f>S20/(Sensativities!U39*Sensativities!U17)</f>
        <v>320.83999999999997</v>
      </c>
      <c r="T105" s="247">
        <f>T20/(Sensativities!V39*Sensativities!V17)</f>
        <v>281.31999999999994</v>
      </c>
      <c r="U105" s="247">
        <f>U20/(Sensativities!W39*Sensativities!W17)</f>
        <v>391.03999999999996</v>
      </c>
      <c r="V105" s="247">
        <f>V20/(Sensativities!X39*Sensativities!X17)</f>
        <v>328.12</v>
      </c>
      <c r="W105" s="247">
        <f>W20/(Sensativities!Y39*Sensativities!Y17)</f>
        <v>399.88</v>
      </c>
      <c r="X105" s="247">
        <f>X20/(Sensativities!Z39*Sensativities!Z17)</f>
        <v>406.12</v>
      </c>
      <c r="Y105" s="247">
        <f>Y20/(Sensativities!AA39*Sensativities!AA17)</f>
        <v>507.00000000000006</v>
      </c>
      <c r="Z105" s="247">
        <f>Z20/(Sensativities!AB39*Sensativities!AB17)</f>
        <v>393.64</v>
      </c>
      <c r="AA105" s="247">
        <f>AA20/(Sensativities!AC39*Sensativities!AC17)</f>
        <v>426.40000000000003</v>
      </c>
      <c r="AB105" s="247">
        <f>AB20/(Sensativities!AD39*Sensativities!AD17)</f>
        <v>492.96000000000004</v>
      </c>
      <c r="AC105" s="247">
        <f>AC20/(Sensativities!AE39*Sensativities!AE17)</f>
        <v>450.84000000000003</v>
      </c>
      <c r="AD105" s="247">
        <f>AD20/(Sensativities!AF39*Sensativities!AF17)</f>
        <v>364.00000000000006</v>
      </c>
      <c r="AE105" s="247">
        <f>AE20/(Sensativities!AG39*Sensativities!AG17)</f>
        <v>357.24</v>
      </c>
      <c r="AF105" s="247">
        <f>AF20/(Sensativities!AH39*Sensativities!AH17)</f>
        <v>280.28000000000003</v>
      </c>
      <c r="AG105" s="247">
        <f>AG20/(Sensativities!AI39*Sensativities!AI17)</f>
        <v>365.04</v>
      </c>
      <c r="AH105" s="247">
        <f>AH20/(Sensativities!AJ39*Sensativities!AJ17)</f>
        <v>388.96000000000004</v>
      </c>
      <c r="AI105" s="247">
        <f>AI20/(Sensativities!AK39*Sensativities!AK17)</f>
        <v>406.12000000000006</v>
      </c>
      <c r="AJ105" s="247">
        <f>AJ20/(Sensativities!AL39*Sensativities!AL17)</f>
        <v>716.31238095238086</v>
      </c>
      <c r="AK105" s="247">
        <f>AK20/(Sensativities!AM39*Sensativities!AM17)</f>
        <v>722.65142857142848</v>
      </c>
      <c r="AL105" s="247">
        <f>AL20/(Sensativities!AN39*Sensativities!AN17)</f>
        <v>633.90476190476193</v>
      </c>
      <c r="AM105" s="247">
        <f>AM20/(Sensativities!AO39*Sensativities!AO17)</f>
        <v>570.51428571428585</v>
      </c>
      <c r="AN105" s="247">
        <f>AN20/(Sensativities!AP39*Sensativities!AP17)</f>
        <v>507.12380952380954</v>
      </c>
      <c r="AO105" s="247">
        <f>AO20/(Sensativities!AQ39*Sensativities!AQ17)</f>
        <v>507.12380952380954</v>
      </c>
      <c r="AP105" s="247">
        <f>AP20/(Sensativities!AR39*Sensativities!AR17)</f>
        <v>748.86469514999965</v>
      </c>
      <c r="AQ105" s="247">
        <f>AQ20/(Sensativities!AS39*Sensativities!AS17)</f>
        <v>748.86469514999965</v>
      </c>
      <c r="AR105" s="247">
        <f>AR20/(Sensativities!AT39*Sensativities!AT17)</f>
        <v>748.86469514999965</v>
      </c>
      <c r="AS105" s="247">
        <f>AS20/(Sensativities!AU39*Sensativities!AU17)</f>
        <v>748.86469514999965</v>
      </c>
      <c r="AT105" s="247">
        <f>AT20/(Sensativities!AV39*Sensativities!AV17)</f>
        <v>748.86469514999965</v>
      </c>
      <c r="AU105" s="247">
        <f>AU20/(Sensativities!AW39*Sensativities!AW17)</f>
        <v>748.86469514999965</v>
      </c>
      <c r="AV105" s="247">
        <f>AV20/(Sensativities!AX39*Sensativities!AX17)</f>
        <v>748.86469514999965</v>
      </c>
      <c r="AW105" s="247">
        <f>AW20/(Sensativities!AY39*Sensativities!AY17)</f>
        <v>748.86469514999965</v>
      </c>
    </row>
    <row r="106" spans="1:49" x14ac:dyDescent="0.2">
      <c r="A106" s="312" t="s">
        <v>270</v>
      </c>
      <c r="F106" s="252"/>
      <c r="M106" s="247">
        <f>M21/(Sensativities!O40*Sensativities!O17)</f>
        <v>365.16</v>
      </c>
      <c r="N106" s="247">
        <f>N21/(Sensativities!P40*Sensativities!P17)</f>
        <v>396.26999999999992</v>
      </c>
      <c r="O106" s="247">
        <f>O21/(Sensativities!Q40*Sensativities!Q17)</f>
        <v>308.55</v>
      </c>
      <c r="P106" s="247">
        <f>P21/(Sensativities!R40*Sensativities!R17)</f>
        <v>270.81</v>
      </c>
      <c r="Q106" s="247">
        <f>Q21/(Sensativities!S40*Sensativities!S17)</f>
        <v>304.98</v>
      </c>
      <c r="R106" s="247">
        <f>R21/(Sensativities!T40*Sensativities!T17)</f>
        <v>313.14</v>
      </c>
      <c r="S106" s="247">
        <f>S21/(Sensativities!U40*Sensativities!U17)</f>
        <v>389.12999999999994</v>
      </c>
      <c r="T106" s="247">
        <f>T21/(Sensativities!V40*Sensativities!V17)</f>
        <v>314.67</v>
      </c>
      <c r="U106" s="247">
        <f>U21/(Sensativities!W40*Sensativities!W17)</f>
        <v>275.90999999999997</v>
      </c>
      <c r="V106" s="247">
        <f>V21/(Sensativities!X40*Sensativities!X17)</f>
        <v>383.51999999999992</v>
      </c>
      <c r="W106" s="247">
        <f>W21/(Sensativities!Y40*Sensativities!Y17)</f>
        <v>321.81</v>
      </c>
      <c r="X106" s="247">
        <f>X21/(Sensativities!Z40*Sensativities!Z17)</f>
        <v>392.18999999999994</v>
      </c>
      <c r="Y106" s="247">
        <f>Y21/(Sensativities!AA40*Sensativities!AA17)</f>
        <v>398.31</v>
      </c>
      <c r="Z106" s="247">
        <f>Z21/(Sensativities!AB40*Sensativities!AB17)</f>
        <v>497.24999999999994</v>
      </c>
      <c r="AA106" s="247">
        <f>AA21/(Sensativities!AC40*Sensativities!AC17)</f>
        <v>386.06999999999994</v>
      </c>
      <c r="AB106" s="247">
        <f>AB21/(Sensativities!AD40*Sensativities!AD17)</f>
        <v>418.2</v>
      </c>
      <c r="AC106" s="247">
        <f>AC21/(Sensativities!AE40*Sensativities!AE17)</f>
        <v>483.47999999999996</v>
      </c>
      <c r="AD106" s="247">
        <f>AD21/(Sensativities!AF40*Sensativities!AF17)</f>
        <v>442.16999999999996</v>
      </c>
      <c r="AE106" s="247">
        <f>AE21/(Sensativities!AG40*Sensativities!AG17)</f>
        <v>357</v>
      </c>
      <c r="AF106" s="247">
        <f>AF21/(Sensativities!AH40*Sensativities!AH17)</f>
        <v>350.37</v>
      </c>
      <c r="AG106" s="247">
        <f>AG21/(Sensativities!AI40*Sensativities!AI17)</f>
        <v>274.89</v>
      </c>
      <c r="AH106" s="247">
        <f>AH21/(Sensativities!AJ40*Sensativities!AJ17)</f>
        <v>358.02</v>
      </c>
      <c r="AI106" s="247">
        <f>AI21/(Sensativities!AK40*Sensativities!AK17)</f>
        <v>381.48000000000008</v>
      </c>
      <c r="AJ106" s="247">
        <f>AJ21/(Sensativities!AL40*Sensativities!AL17)</f>
        <v>398.31</v>
      </c>
      <c r="AK106" s="247">
        <f>AK21/(Sensativities!AM40*Sensativities!AM17)</f>
        <v>702.53714285714295</v>
      </c>
      <c r="AL106" s="247">
        <f>AL21/(Sensativities!AN40*Sensativities!AN17)</f>
        <v>708.75428571428563</v>
      </c>
      <c r="AM106" s="247">
        <f>AM21/(Sensativities!AO40*Sensativities!AO17)</f>
        <v>621.71428571428567</v>
      </c>
      <c r="AN106" s="247">
        <f>AN21/(Sensativities!AP40*Sensativities!AP17)</f>
        <v>559.54285714285709</v>
      </c>
      <c r="AO106" s="247">
        <f>AO21/(Sensativities!AQ40*Sensativities!AQ17)</f>
        <v>497.37142857142851</v>
      </c>
      <c r="AP106" s="247">
        <f>AP21/(Sensativities!AR40*Sensativities!AR17)</f>
        <v>497.37142857142851</v>
      </c>
      <c r="AQ106" s="247">
        <f>AQ21/(Sensativities!AS40*Sensativities!AS17)</f>
        <v>734.46345101249972</v>
      </c>
      <c r="AR106" s="247">
        <f>AR21/(Sensativities!AT40*Sensativities!AT17)</f>
        <v>734.46345101249972</v>
      </c>
      <c r="AS106" s="247">
        <f>AS21/(Sensativities!AU40*Sensativities!AU17)</f>
        <v>734.46345101249972</v>
      </c>
      <c r="AT106" s="247">
        <f>AT21/(Sensativities!AV40*Sensativities!AV17)</f>
        <v>734.46345101249972</v>
      </c>
      <c r="AU106" s="247">
        <f>AU21/(Sensativities!AW40*Sensativities!AW17)</f>
        <v>734.46345101249972</v>
      </c>
      <c r="AV106" s="247">
        <f>AV21/(Sensativities!AX40*Sensativities!AX17)</f>
        <v>734.46345101249972</v>
      </c>
      <c r="AW106" s="247">
        <f>AW21/(Sensativities!AY40*Sensativities!AY17)</f>
        <v>734.46345101249972</v>
      </c>
    </row>
    <row r="107" spans="1:49" x14ac:dyDescent="0.2">
      <c r="A107" s="312" t="s">
        <v>271</v>
      </c>
      <c r="M107" s="247">
        <f>M22/(Sensativities!O41*Sensativities!O17)</f>
        <v>358.49999999999994</v>
      </c>
      <c r="N107" s="247">
        <f>N22/(Sensativities!P41*Sensativities!P17)</f>
        <v>358</v>
      </c>
      <c r="O107" s="247">
        <f>O22/(Sensativities!Q41*Sensativities!Q17)</f>
        <v>388.49999999999994</v>
      </c>
      <c r="P107" s="247">
        <f>P22/(Sensativities!R41*Sensativities!R17)</f>
        <v>302.5</v>
      </c>
      <c r="Q107" s="247">
        <f>Q22/(Sensativities!S41*Sensativities!S17)</f>
        <v>265.49999999999994</v>
      </c>
      <c r="R107" s="247">
        <f>R22/(Sensativities!T41*Sensativities!T17)</f>
        <v>299</v>
      </c>
      <c r="S107" s="247">
        <f>S22/(Sensativities!U41*Sensativities!U17)</f>
        <v>307</v>
      </c>
      <c r="T107" s="247">
        <f>T22/(Sensativities!V41*Sensativities!V17)</f>
        <v>381.49999999999994</v>
      </c>
      <c r="U107" s="247">
        <f>U22/(Sensativities!W41*Sensativities!W17)</f>
        <v>308.5</v>
      </c>
      <c r="V107" s="247">
        <f>V22/(Sensativities!X41*Sensativities!X17)</f>
        <v>270.5</v>
      </c>
      <c r="W107" s="247">
        <f>W22/(Sensativities!Y41*Sensativities!Y17)</f>
        <v>375.99999999999994</v>
      </c>
      <c r="X107" s="247">
        <f>X22/(Sensativities!Z41*Sensativities!Z17)</f>
        <v>315.5</v>
      </c>
      <c r="Y107" s="247">
        <f>Y22/(Sensativities!AA41*Sensativities!AA17)</f>
        <v>384.49999999999994</v>
      </c>
      <c r="Z107" s="247">
        <f>Z22/(Sensativities!AB41*Sensativities!AB17)</f>
        <v>390.49999999999994</v>
      </c>
      <c r="AA107" s="247">
        <f>AA22/(Sensativities!AC41*Sensativities!AC17)</f>
        <v>487.49999999999994</v>
      </c>
      <c r="AB107" s="247">
        <f>AB22/(Sensativities!AD41*Sensativities!AD17)</f>
        <v>378.49999999999994</v>
      </c>
      <c r="AC107" s="247">
        <f>AC22/(Sensativities!AE41*Sensativities!AE17)</f>
        <v>410</v>
      </c>
      <c r="AD107" s="247">
        <f>AD22/(Sensativities!AF41*Sensativities!AF17)</f>
        <v>474</v>
      </c>
      <c r="AE107" s="247">
        <f>AE22/(Sensativities!AG41*Sensativities!AG17)</f>
        <v>433.49999999999994</v>
      </c>
      <c r="AF107" s="247">
        <f>AF22/(Sensativities!AH41*Sensativities!AH17)</f>
        <v>350</v>
      </c>
      <c r="AG107" s="247">
        <f>AG22/(Sensativities!AI41*Sensativities!AI17)</f>
        <v>343.5</v>
      </c>
      <c r="AH107" s="247">
        <f>AH22/(Sensativities!AJ41*Sensativities!AJ17)</f>
        <v>269.5</v>
      </c>
      <c r="AI107" s="247">
        <f>AI22/(Sensativities!AK41*Sensativities!AK17)</f>
        <v>351.00000000000006</v>
      </c>
      <c r="AJ107" s="247">
        <f>AJ22/(Sensativities!AL41*Sensativities!AL17)</f>
        <v>374</v>
      </c>
      <c r="AK107" s="247">
        <f>AK22/(Sensativities!AM41*Sensativities!AM17)</f>
        <v>390.5</v>
      </c>
      <c r="AL107" s="247">
        <f>AL22/(Sensativities!AN41*Sensativities!AN17)</f>
        <v>688.76190476190459</v>
      </c>
      <c r="AM107" s="247">
        <f>AM22/(Sensativities!AO41*Sensativities!AO17)</f>
        <v>694.85714285714278</v>
      </c>
      <c r="AN107" s="247">
        <f>AN22/(Sensativities!AP41*Sensativities!AP17)</f>
        <v>609.52380952380952</v>
      </c>
      <c r="AO107" s="247">
        <f>AO22/(Sensativities!AQ41*Sensativities!AQ17)</f>
        <v>548.57142857142856</v>
      </c>
      <c r="AP107" s="247">
        <f>AP22/(Sensativities!AR41*Sensativities!AR17)</f>
        <v>487.61904761904759</v>
      </c>
      <c r="AQ107" s="247">
        <f>AQ22/(Sensativities!AS41*Sensativities!AS17)</f>
        <v>487.61904761904759</v>
      </c>
      <c r="AR107" s="247">
        <f>AR22/(Sensativities!AT41*Sensativities!AT17)</f>
        <v>720.06220687499967</v>
      </c>
      <c r="AS107" s="247">
        <f>AS22/(Sensativities!AU41*Sensativities!AU17)</f>
        <v>720.06220687499967</v>
      </c>
      <c r="AT107" s="247">
        <f>AT22/(Sensativities!AV41*Sensativities!AV17)</f>
        <v>720.06220687499967</v>
      </c>
      <c r="AU107" s="247">
        <f>AU22/(Sensativities!AW41*Sensativities!AW17)</f>
        <v>720.06220687499967</v>
      </c>
      <c r="AV107" s="247">
        <f>AV22/(Sensativities!AX41*Sensativities!AX17)</f>
        <v>720.06220687499967</v>
      </c>
      <c r="AW107" s="247">
        <f>AW22/(Sensativities!AY41*Sensativities!AY17)</f>
        <v>720.06220687499967</v>
      </c>
    </row>
    <row r="108" spans="1:49" x14ac:dyDescent="0.2">
      <c r="A108" s="312" t="s">
        <v>272</v>
      </c>
      <c r="M108" s="247">
        <f>M23/(Sensativities!O42*Sensativities!O17)</f>
        <v>312.63000000000005</v>
      </c>
      <c r="N108" s="247">
        <f>N23/(Sensativities!P42*Sensativities!P17)</f>
        <v>365.67</v>
      </c>
      <c r="O108" s="247">
        <f>O23/(Sensativities!Q42*Sensativities!Q17)</f>
        <v>365.16</v>
      </c>
      <c r="P108" s="247">
        <f>P23/(Sensativities!R42*Sensativities!R17)</f>
        <v>396.27</v>
      </c>
      <c r="Q108" s="247">
        <f>Q23/(Sensativities!S42*Sensativities!S17)</f>
        <v>308.55</v>
      </c>
      <c r="R108" s="247">
        <f>R23/(Sensativities!T42*Sensativities!T17)</f>
        <v>270.81</v>
      </c>
      <c r="S108" s="247">
        <f>S23/(Sensativities!U42*Sensativities!U17)</f>
        <v>304.98</v>
      </c>
      <c r="T108" s="247">
        <f>T23/(Sensativities!V42*Sensativities!V17)</f>
        <v>313.14</v>
      </c>
      <c r="U108" s="247">
        <f>U23/(Sensativities!W42*Sensativities!W17)</f>
        <v>389.12999999999994</v>
      </c>
      <c r="V108" s="247">
        <f>V23/(Sensativities!X42*Sensativities!X17)</f>
        <v>314.67</v>
      </c>
      <c r="W108" s="247">
        <f>W23/(Sensativities!Y42*Sensativities!Y17)</f>
        <v>275.91000000000003</v>
      </c>
      <c r="X108" s="247">
        <f>X23/(Sensativities!Z42*Sensativities!Z17)</f>
        <v>383.52</v>
      </c>
      <c r="Y108" s="247">
        <f>Y23/(Sensativities!AA42*Sensativities!AA17)</f>
        <v>321.81</v>
      </c>
      <c r="Z108" s="247">
        <f>Z23/(Sensativities!AB42*Sensativities!AB17)</f>
        <v>392.18999999999994</v>
      </c>
      <c r="AA108" s="247">
        <f>AA23/(Sensativities!AC42*Sensativities!AC17)</f>
        <v>398.31</v>
      </c>
      <c r="AB108" s="247">
        <f>AB23/(Sensativities!AD42*Sensativities!AD17)</f>
        <v>497.24999999999994</v>
      </c>
      <c r="AC108" s="247">
        <f>AC23/(Sensativities!AE42*Sensativities!AE17)</f>
        <v>386.07</v>
      </c>
      <c r="AD108" s="247">
        <f>AD23/(Sensativities!AF42*Sensativities!AF17)</f>
        <v>418.2</v>
      </c>
      <c r="AE108" s="247">
        <f>AE23/(Sensativities!AG42*Sensativities!AG17)</f>
        <v>483.48</v>
      </c>
      <c r="AF108" s="247">
        <f>AF23/(Sensativities!AH42*Sensativities!AH17)</f>
        <v>442.16999999999996</v>
      </c>
      <c r="AG108" s="247">
        <f>AG23/(Sensativities!AI42*Sensativities!AI17)</f>
        <v>357</v>
      </c>
      <c r="AH108" s="247">
        <f>AH23/(Sensativities!AJ42*Sensativities!AJ17)</f>
        <v>350.37</v>
      </c>
      <c r="AI108" s="247">
        <f>AI23/(Sensativities!AK42*Sensativities!AK17)</f>
        <v>274.89</v>
      </c>
      <c r="AJ108" s="247">
        <f>AJ23/(Sensativities!AL42*Sensativities!AL17)</f>
        <v>358.02</v>
      </c>
      <c r="AK108" s="247">
        <f>AK23/(Sensativities!AM42*Sensativities!AM17)</f>
        <v>381.48</v>
      </c>
      <c r="AL108" s="247">
        <f>AL23/(Sensativities!AN42*Sensativities!AN17)</f>
        <v>398.31</v>
      </c>
      <c r="AM108" s="247">
        <f>AM23/(Sensativities!AO42*Sensativities!AO17)</f>
        <v>702.53714285714273</v>
      </c>
      <c r="AN108" s="247">
        <f>AN23/(Sensativities!AP42*Sensativities!AP17)</f>
        <v>708.75428571428563</v>
      </c>
      <c r="AO108" s="247">
        <f>AO23/(Sensativities!AQ42*Sensativities!AQ17)</f>
        <v>621.71428571428567</v>
      </c>
      <c r="AP108" s="247">
        <f>AP23/(Sensativities!AR42*Sensativities!AR17)</f>
        <v>559.54285714285709</v>
      </c>
      <c r="AQ108" s="247">
        <f>AQ23/(Sensativities!AS42*Sensativities!AS17)</f>
        <v>497.37142857142862</v>
      </c>
      <c r="AR108" s="247">
        <f>AR23/(Sensativities!AT42*Sensativities!AT17)</f>
        <v>497.37142857142862</v>
      </c>
      <c r="AS108" s="247">
        <f>AS23/(Sensativities!AU42*Sensativities!AU17)</f>
        <v>734.46345101249983</v>
      </c>
      <c r="AT108" s="247">
        <f>AT23/(Sensativities!AV42*Sensativities!AV17)</f>
        <v>734.46345101249983</v>
      </c>
      <c r="AU108" s="247">
        <f>AU23/(Sensativities!AW42*Sensativities!AW17)</f>
        <v>734.46345101249983</v>
      </c>
      <c r="AV108" s="247">
        <f>AV23/(Sensativities!AX42*Sensativities!AX17)</f>
        <v>734.46345101249983</v>
      </c>
      <c r="AW108" s="247">
        <f>AW23/(Sensativities!AY42*Sensativities!AY17)</f>
        <v>734.46345101249983</v>
      </c>
    </row>
    <row r="109" spans="1:49" x14ac:dyDescent="0.2">
      <c r="A109" s="312" t="s">
        <v>273</v>
      </c>
      <c r="M109" s="247">
        <f>M24/(Sensativities!O43*Sensativities!O17)</f>
        <v>219.81000000000003</v>
      </c>
      <c r="N109" s="247">
        <f>N24/(Sensativities!P43*Sensativities!$P$17)</f>
        <v>325.13519999999994</v>
      </c>
      <c r="O109" s="247">
        <f>O24/(Sensativities!Q43*Sensativities!Q17)</f>
        <v>365.67</v>
      </c>
      <c r="P109" s="247">
        <f>P24/(Sensativities!R43*Sensativities!R17)</f>
        <v>365.16</v>
      </c>
      <c r="Q109" s="247">
        <f>Q24/(Sensativities!S43*Sensativities!S17)</f>
        <v>396.27</v>
      </c>
      <c r="R109" s="247">
        <f>R24/(Sensativities!T43*Sensativities!T17)</f>
        <v>308.55</v>
      </c>
      <c r="S109" s="247">
        <f>S24/(Sensativities!U43*Sensativities!U17)</f>
        <v>270.81</v>
      </c>
      <c r="T109" s="247">
        <f>T24/(Sensativities!V43*Sensativities!V17)</f>
        <v>304.98</v>
      </c>
      <c r="U109" s="247">
        <f>U24/(Sensativities!W43*Sensativities!W17)</f>
        <v>313.14</v>
      </c>
      <c r="V109" s="247">
        <f>V24/(Sensativities!X43*Sensativities!X17)</f>
        <v>389.13</v>
      </c>
      <c r="W109" s="247">
        <f>W24/(Sensativities!Y43*Sensativities!Y17)</f>
        <v>314.67</v>
      </c>
      <c r="X109" s="247">
        <f>X24/(Sensativities!Z43*Sensativities!Z17)</f>
        <v>275.91000000000003</v>
      </c>
      <c r="Y109" s="247">
        <f>Y24/(Sensativities!AA43*Sensativities!AA17)</f>
        <v>383.52</v>
      </c>
      <c r="Z109" s="247">
        <f>Z24/(Sensativities!AB43*Sensativities!AB17)</f>
        <v>321.81</v>
      </c>
      <c r="AA109" s="247">
        <f>AA24/(Sensativities!AC43*Sensativities!AC17)</f>
        <v>392.19</v>
      </c>
      <c r="AB109" s="247">
        <f>AB24/(Sensativities!AD43*Sensativities!AD17)</f>
        <v>398.30999999999995</v>
      </c>
      <c r="AC109" s="247">
        <f>AC24/(Sensativities!AE43*Sensativities!AE17)</f>
        <v>497.25</v>
      </c>
      <c r="AD109" s="247">
        <f>AD24/(Sensativities!AF43*Sensativities!AF17)</f>
        <v>386.06999999999994</v>
      </c>
      <c r="AE109" s="247">
        <f>AE24/(Sensativities!AG43*Sensativities!AG17)</f>
        <v>418.2</v>
      </c>
      <c r="AF109" s="247">
        <f>AF24/(Sensativities!AH43*Sensativities!AH17)</f>
        <v>483.48</v>
      </c>
      <c r="AG109" s="247">
        <f>AG24/(Sensativities!AI43*Sensativities!AI17)</f>
        <v>442.17000000000007</v>
      </c>
      <c r="AH109" s="247">
        <f>AH24/(Sensativities!AJ43*Sensativities!AJ17)</f>
        <v>356.99999999999994</v>
      </c>
      <c r="AI109" s="247">
        <f>AI24/(Sensativities!AK43*Sensativities!AK17)</f>
        <v>350.37</v>
      </c>
      <c r="AJ109" s="247">
        <f>AJ24/(Sensativities!AL43*Sensativities!AL17)</f>
        <v>274.89</v>
      </c>
      <c r="AK109" s="247">
        <f>AK24/(Sensativities!AM43*Sensativities!AM17)</f>
        <v>358.01999999999992</v>
      </c>
      <c r="AL109" s="247">
        <f>AL24/(Sensativities!AN43*Sensativities!AN17)</f>
        <v>381.47999999999996</v>
      </c>
      <c r="AM109" s="247">
        <f>AM24/(Sensativities!AO43*Sensativities!AO17)</f>
        <v>398.30999999999995</v>
      </c>
      <c r="AN109" s="247">
        <f>AN24/(Sensativities!AP43*Sensativities!AP17)</f>
        <v>702.53714285714273</v>
      </c>
      <c r="AO109" s="247">
        <f>AO24/(Sensativities!AQ43*Sensativities!AQ17)</f>
        <v>708.75428571428563</v>
      </c>
      <c r="AP109" s="247">
        <f>AP24/(Sensativities!AR43*Sensativities!AR17)</f>
        <v>621.71428571428567</v>
      </c>
      <c r="AQ109" s="247">
        <f>AQ24/(Sensativities!AS43*Sensativities!AS17)</f>
        <v>559.5428571428572</v>
      </c>
      <c r="AR109" s="247">
        <f>AR24/(Sensativities!AT43*Sensativities!AT17)</f>
        <v>497.37142857142857</v>
      </c>
      <c r="AS109" s="247">
        <f>AS24/(Sensativities!AU43*Sensativities!AU17)</f>
        <v>497.37142857142857</v>
      </c>
      <c r="AT109" s="247">
        <f>AT24/(Sensativities!AV43*Sensativities!AV17)</f>
        <v>734.46345101249972</v>
      </c>
      <c r="AU109" s="247">
        <f>AU24/(Sensativities!AW43*Sensativities!AW17)</f>
        <v>734.46345101249972</v>
      </c>
      <c r="AV109" s="247">
        <f>AV24/(Sensativities!AX43*Sensativities!AX17)</f>
        <v>734.46345101249972</v>
      </c>
      <c r="AW109" s="247">
        <f>AW24/(Sensativities!AY43*Sensativities!AY17)</f>
        <v>734.46345101249972</v>
      </c>
    </row>
    <row r="110" spans="1:49" x14ac:dyDescent="0.2">
      <c r="A110" s="312" t="s">
        <v>288</v>
      </c>
      <c r="M110" s="247"/>
      <c r="N110" s="1205">
        <f>N25/(Sensativities!P44*Sensativities!P17)</f>
        <v>90.51</v>
      </c>
      <c r="O110" s="1205">
        <f>O25/(Sensativities!Q44*Sensativities!Q17)</f>
        <v>128.72999999999999</v>
      </c>
      <c r="P110" s="1205">
        <f>P25/(Sensativities!R44*Sensativities!R17)</f>
        <v>150.57</v>
      </c>
      <c r="Q110" s="1205">
        <f>Q25/(Sensativities!S44*Sensativities!S17)</f>
        <v>150.36000000000001</v>
      </c>
      <c r="R110" s="1205">
        <f>R25/(Sensativities!T44*Sensativities!T17)</f>
        <v>163.16999999999999</v>
      </c>
      <c r="S110" s="1205">
        <f>S25/(Sensativities!U44*Sensativities!U17)</f>
        <v>127.05</v>
      </c>
      <c r="T110" s="1205">
        <f>T25/(Sensativities!V44*Sensativities!V17)</f>
        <v>111.51</v>
      </c>
      <c r="U110" s="1205">
        <f>U25/(Sensativities!W44*Sensativities!W17)</f>
        <v>125.58</v>
      </c>
      <c r="V110" s="1205">
        <f>V25/(Sensativities!X44*Sensativities!X17)</f>
        <v>128.94</v>
      </c>
      <c r="W110" s="1205">
        <f>W25/(Sensativities!Y44*Sensativities!Y17)</f>
        <v>160.22999999999999</v>
      </c>
      <c r="X110" s="1205">
        <f>X25/(Sensativities!Z44*Sensativities!Z17)</f>
        <v>129.57</v>
      </c>
      <c r="Y110" s="1205">
        <f>Y25/(Sensativities!AA44*Sensativities!AA17)</f>
        <v>113.61</v>
      </c>
      <c r="Z110" s="1205">
        <f>Z25/(Sensativities!AB44*Sensativities!AB17)</f>
        <v>157.91999999999999</v>
      </c>
      <c r="AA110" s="1205">
        <f>AA25/(Sensativities!AC44*Sensativities!AC17)</f>
        <v>132.51</v>
      </c>
      <c r="AB110" s="1205">
        <f>AB25/(Sensativities!AD44*Sensativities!AD17)</f>
        <v>161.49</v>
      </c>
      <c r="AC110" s="1205">
        <f>AC25/(Sensativities!AE44*Sensativities!AE17)</f>
        <v>164.01</v>
      </c>
      <c r="AD110" s="1205">
        <f>AD25/(Sensativities!AF44*Sensativities!AF17)</f>
        <v>204.75</v>
      </c>
      <c r="AE110" s="1205">
        <f>AE25/(Sensativities!AG44*Sensativities!AG17)</f>
        <v>158.97</v>
      </c>
      <c r="AF110" s="1205">
        <f>AF25/(Sensativities!AH44*Sensativities!AH17)</f>
        <v>172.2</v>
      </c>
      <c r="AG110" s="1205">
        <f>AG25/(Sensativities!AI44*Sensativities!AI17)</f>
        <v>199.07999999999998</v>
      </c>
      <c r="AH110" s="1205">
        <f>AH25/(Sensativities!AJ44*Sensativities!AJ17)</f>
        <v>182.07</v>
      </c>
      <c r="AI110" s="1205">
        <f>AI25/(Sensativities!AK44*Sensativities!AK17)</f>
        <v>147</v>
      </c>
      <c r="AJ110" s="1205">
        <f>AJ25/(Sensativities!AL44*Sensativities!AL17)</f>
        <v>144.26999999999998</v>
      </c>
      <c r="AK110" s="1205">
        <f>AK25/(Sensativities!AM44*Sensativities!AM17)</f>
        <v>113.19</v>
      </c>
      <c r="AL110" s="1205">
        <f>AL25/(Sensativities!AN44*Sensativities!AN17)</f>
        <v>147.41999999999999</v>
      </c>
      <c r="AM110" s="1205">
        <f>AM25/(Sensativities!AO44*Sensativities!AO17)</f>
        <v>157.08000000000001</v>
      </c>
      <c r="AN110" s="1205">
        <f>AN25/(Sensativities!AP44*Sensativities!AP17)</f>
        <v>164.01</v>
      </c>
      <c r="AO110" s="1205">
        <f>AO25/(Sensativities!AQ44*Sensativities!AQ17)</f>
        <v>289.27999999999997</v>
      </c>
      <c r="AP110" s="1205">
        <f>AP25/(Sensativities!AR44*Sensativities!AR17)</f>
        <v>291.83999999999997</v>
      </c>
      <c r="AQ110" s="1205">
        <f>AQ25/(Sensativities!AS44*Sensativities!AS17)</f>
        <v>256</v>
      </c>
      <c r="AR110" s="1205">
        <f>AR25/(Sensativities!AT44*Sensativities!AT17)</f>
        <v>230.40000000000006</v>
      </c>
      <c r="AS110" s="1205">
        <f>AS25/(Sensativities!AU44*Sensativities!AU17)</f>
        <v>204.8</v>
      </c>
      <c r="AT110" s="1205">
        <f>AT25/(Sensativities!AV44*Sensativities!AV17)</f>
        <v>204.8</v>
      </c>
      <c r="AU110" s="1205">
        <f>AU25/(Sensativities!AW44*Sensativities!AW17)</f>
        <v>302.42612688749989</v>
      </c>
      <c r="AV110" s="1205">
        <f>AV25/(Sensativities!AX44*Sensativities!AX17)</f>
        <v>302.42612688749989</v>
      </c>
      <c r="AW110" s="1205">
        <f>AW25/(Sensativities!AY44*Sensativities!AY17)</f>
        <v>302.42612688749989</v>
      </c>
    </row>
    <row r="111" spans="1:49" x14ac:dyDescent="0.2">
      <c r="A111" s="312" t="s">
        <v>289</v>
      </c>
      <c r="M111" s="247"/>
      <c r="N111" s="1206"/>
      <c r="O111" s="1205">
        <f>O26/(Sensativities!Q45*Sensativities!Q17)</f>
        <v>998.4339294234718</v>
      </c>
      <c r="P111" s="1205">
        <f>P26/(Sensativities!R45*Sensativities!R17)</f>
        <v>871.89102621581299</v>
      </c>
      <c r="Q111" s="1205">
        <f>Q26/(Sensativities!S45*Sensativities!S17)</f>
        <v>1633.4399358096537</v>
      </c>
      <c r="R111" s="1205">
        <f>R26/(Sensativities!T45*Sensativities!T17)</f>
        <v>2413.8569010243787</v>
      </c>
      <c r="S111" s="1205">
        <f>S26/(Sensativities!U45*Sensativities!U17)</f>
        <v>1213.5796255752095</v>
      </c>
      <c r="T111" s="1205">
        <f>T26/(Sensativities!V45*Sensativities!V17)</f>
        <v>936.47024484047836</v>
      </c>
      <c r="U111" s="1205">
        <f>U26/(Sensativities!W45*Sensativities!W17)</f>
        <v>926.71879609933706</v>
      </c>
      <c r="V111" s="1205">
        <f>V26/(Sensativities!X45*Sensativities!X17)</f>
        <v>1233.9637268753227</v>
      </c>
      <c r="W111" s="1205">
        <f>W26/(Sensativities!Y45*Sensativities!Y17)</f>
        <v>684.91515401493825</v>
      </c>
      <c r="X111" s="1205">
        <f>X26/(Sensativities!Z45*Sensativities!Z17)</f>
        <v>895.78613161817589</v>
      </c>
      <c r="Y111" s="1205">
        <f>Y26/(Sensativities!AA45*Sensativities!AA17)</f>
        <v>1283.6776886650491</v>
      </c>
      <c r="Z111" s="1205">
        <f>Z26/(Sensativities!AB45*Sensativities!AB17)</f>
        <v>901.39097780920599</v>
      </c>
      <c r="AA111" s="1205">
        <f>AA26/(Sensativities!AC45*Sensativities!AC17)</f>
        <v>749.69626320928342</v>
      </c>
      <c r="AB111" s="1205">
        <f>AB26/(Sensativities!AD45*Sensativities!AD17)</f>
        <v>1125.5534992252972</v>
      </c>
      <c r="AC111" s="1205">
        <f>AC26/(Sensativities!AE45*Sensativities!AE17)</f>
        <v>725.94029215289174</v>
      </c>
      <c r="AD111" s="1205">
        <f>AD26/(Sensativities!AF45*Sensativities!AF17)</f>
        <v>894.04095026989478</v>
      </c>
      <c r="AE111" s="1205">
        <f>AE26/(Sensativities!AG45*Sensativities!AG17)</f>
        <v>999.36974987771578</v>
      </c>
      <c r="AF111" s="1205">
        <f>AF26/(Sensativities!AH45*Sensativities!AH17)</f>
        <v>1021.7373899563936</v>
      </c>
      <c r="AG111" s="1205">
        <f>AG26/(Sensativities!AI45*Sensativities!AI17)</f>
        <v>736.06643950860689</v>
      </c>
      <c r="AH111" s="1205">
        <f>AH26/(Sensativities!AJ45*Sensativities!AJ17)</f>
        <v>494.49896204700804</v>
      </c>
      <c r="AI111" s="1205">
        <f>AI26/(Sensativities!AK45*Sensativities!AK17)</f>
        <v>1174.6731017169079</v>
      </c>
      <c r="AJ111" s="1205">
        <f>AJ26/(Sensativities!AL45*Sensativities!AL17)</f>
        <v>1417.9531041410319</v>
      </c>
      <c r="AK111" s="1205">
        <f>AK26/(Sensativities!AM45*Sensativities!AM17)</f>
        <v>1233.3813234460142</v>
      </c>
      <c r="AL111" s="1205">
        <f>AL26/(Sensativities!AN45*Sensativities!AN17)</f>
        <v>387.90668492818304</v>
      </c>
      <c r="AM111" s="1205">
        <f>AM26/(Sensativities!AO45*Sensativities!AO17)</f>
        <v>905.22796240247567</v>
      </c>
      <c r="AN111" s="1205">
        <f>AN26/(Sensativities!AP45*Sensativities!AP17)</f>
        <v>967.3139614774044</v>
      </c>
      <c r="AO111" s="1205">
        <f>AO26/(Sensativities!AQ45*Sensativities!AQ17)</f>
        <v>1005.9027900848272</v>
      </c>
      <c r="AP111" s="1205">
        <f>AP26/(Sensativities!AR45*Sensativities!AR17)</f>
        <v>1767.8028721071069</v>
      </c>
      <c r="AQ111" s="1205">
        <f>AQ26/(Sensativities!AS45*Sensativities!AS17)</f>
        <v>1777.2133231154419</v>
      </c>
      <c r="AR111" s="1205">
        <f>AR26/(Sensativities!AT45*Sensativities!AT17)</f>
        <v>1553.4850755247628</v>
      </c>
      <c r="AS111" s="1205">
        <f>AS26/(Sensativities!AU45*Sensativities!AU17)</f>
        <v>1393.1882710345292</v>
      </c>
      <c r="AT111" s="1205">
        <f>AT26/(Sensativities!AV45*Sensativities!AV17)</f>
        <v>1234.0224645690598</v>
      </c>
      <c r="AU111" s="1205">
        <f>AU26/(Sensativities!AW45*Sensativities!AW17)</f>
        <v>1229.6993616157752</v>
      </c>
      <c r="AV111" s="1205">
        <f>AV26/(Sensativities!AX45*Sensativities!AX17)</f>
        <v>1809.4258833332574</v>
      </c>
      <c r="AW111" s="1205">
        <f>AW26/(Sensativities!AY45*Sensativities!AY17)</f>
        <v>1802.9330444963696</v>
      </c>
    </row>
    <row r="112" spans="1:49" x14ac:dyDescent="0.2">
      <c r="A112" s="312" t="s">
        <v>290</v>
      </c>
      <c r="M112" s="247"/>
      <c r="N112" s="1206"/>
      <c r="O112" s="1206"/>
      <c r="P112" s="1205">
        <f>P27/(Sensativities!R46*Sensativities!R17)</f>
        <v>1.1073171055963251</v>
      </c>
      <c r="Q112" s="1205">
        <f>Q27/(Sensativities!S46*Sensativities!S17)</f>
        <v>1.1539220600931908</v>
      </c>
      <c r="R112" s="1205">
        <f>R27/(Sensativities!T46*Sensativities!T17)</f>
        <v>1.42547810212202</v>
      </c>
      <c r="S112" s="1205">
        <f>S27/(Sensativities!U46*Sensativities!U17)</f>
        <v>1.0229061363204097</v>
      </c>
      <c r="T112" s="1205">
        <f>T27/(Sensativities!V46*Sensativities!V17)</f>
        <v>0.6534600367060619</v>
      </c>
      <c r="U112" s="1205">
        <f>U27/(Sensativities!W46*Sensativities!W17)</f>
        <v>0.75479825626198749</v>
      </c>
      <c r="V112" s="1205">
        <f>V27/(Sensativities!X46*Sensativities!X17)</f>
        <v>0.89695663777681078</v>
      </c>
      <c r="W112" s="1205">
        <f>W27/(Sensativities!Y46*Sensativities!Y17)</f>
        <v>0.87875668944434393</v>
      </c>
      <c r="X112" s="1205">
        <f>X27/(Sensativities!Z46*Sensativities!Z17)</f>
        <v>0.9090303676078848</v>
      </c>
      <c r="Y112" s="1205">
        <f>Y27/(Sensativities!AA46*Sensativities!AA17)</f>
        <v>1.1501471252907813</v>
      </c>
      <c r="Z112" s="1205">
        <f>Z27/(Sensativities!AB46*Sensativities!AB17)</f>
        <v>1.5240083388166434</v>
      </c>
      <c r="AA112" s="1205">
        <f>AA27/(Sensativities!AC46*Sensativities!AC17)</f>
        <v>1.240044884195165</v>
      </c>
      <c r="AB112" s="1205">
        <f>AB27/(Sensativities!AD46*Sensativities!AD17)</f>
        <v>0.66640286631246404</v>
      </c>
      <c r="AC112" s="1205">
        <f>AC27/(Sensativities!AE46*Sensativities!AE17)</f>
        <v>0.8385132743362832</v>
      </c>
      <c r="AD112" s="1205">
        <f>AD27/(Sensativities!AF46*Sensativities!AF17)</f>
        <v>0.69742105263157894</v>
      </c>
      <c r="AE112" s="1205">
        <f>AE27/(Sensativities!AG46*Sensativities!AG17)</f>
        <v>0.96894000000000002</v>
      </c>
      <c r="AF112" s="1205">
        <f>AF27/(Sensativities!AH46*Sensativities!AH17)</f>
        <v>1.9499999999999997</v>
      </c>
      <c r="AG112" s="1205">
        <f>AG27/(Sensativities!AI46*Sensativities!AI17)</f>
        <v>1.7032499999999997</v>
      </c>
      <c r="AH112" s="1205">
        <f>AH27/(Sensativities!AJ46*Sensativities!AJ17)</f>
        <v>0.75337500000000002</v>
      </c>
      <c r="AI112" s="1205">
        <f>AI27/(Sensativities!AK46*Sensativities!AK17)</f>
        <v>0.94242239805234329</v>
      </c>
      <c r="AJ112" s="1205">
        <f>AJ27/(Sensativities!AL46*Sensativities!AL17)</f>
        <v>2.2163116250760804</v>
      </c>
      <c r="AK112" s="1205">
        <f>AK27/(Sensativities!AM46*Sensativities!AM17)</f>
        <v>2.3858794887401094</v>
      </c>
      <c r="AL112" s="1205">
        <f>AL27/(Sensativities!AN46*Sensativities!AN17)</f>
        <v>0.86561999999999995</v>
      </c>
      <c r="AM112" s="1205">
        <f>AM27/(Sensativities!AO46*Sensativities!AO17)</f>
        <v>0.509355</v>
      </c>
      <c r="AN112" s="1205">
        <f>AN27/(Sensativities!AP46*Sensativities!AP17)</f>
        <v>1.10565</v>
      </c>
      <c r="AO112" s="1205">
        <f>AO27/(Sensativities!AQ46*Sensativities!AQ17)</f>
        <v>1.1780999999999999</v>
      </c>
      <c r="AP112" s="1205">
        <f>AP27/(Sensativities!AR46*Sensativities!AR17)</f>
        <v>1.230075</v>
      </c>
      <c r="AQ112" s="1205">
        <f>AQ27/(Sensativities!AS46*Sensativities!AS17)</f>
        <v>2.1696</v>
      </c>
      <c r="AR112" s="1205">
        <f>AR27/(Sensativities!AT46*Sensativities!AT17)</f>
        <v>2.1888000000000001</v>
      </c>
      <c r="AS112" s="1205">
        <f>AS27/(Sensativities!AU46*Sensativities!AU17)</f>
        <v>1.92</v>
      </c>
      <c r="AT112" s="1205">
        <f>AT27/(Sensativities!AV46*Sensativities!AV17)</f>
        <v>1.7280000000000004</v>
      </c>
      <c r="AU112" s="1205">
        <f>AU27/(Sensativities!AW46*Sensativities!AW17)</f>
        <v>1.536</v>
      </c>
      <c r="AV112" s="1205">
        <f>AV27/(Sensativities!AX46*Sensativities!AX17)</f>
        <v>1.536</v>
      </c>
      <c r="AW112" s="1205">
        <f>AW27/(Sensativities!AY46*Sensativities!AY17)</f>
        <v>2.2681959516562493</v>
      </c>
    </row>
    <row r="113" spans="1:49" x14ac:dyDescent="0.2">
      <c r="A113" s="312" t="s">
        <v>291</v>
      </c>
      <c r="M113" s="247"/>
      <c r="N113" s="1205"/>
      <c r="O113" s="1205"/>
      <c r="P113" s="1205"/>
      <c r="Q113" s="1205" t="e">
        <f>Q28/(Sensativities!S47*Sensativities!S17)</f>
        <v>#DIV/0!</v>
      </c>
      <c r="R113" s="247">
        <f>$N$25</f>
        <v>13576.5</v>
      </c>
      <c r="S113" s="247">
        <f>$O$25</f>
        <v>19309.499999999996</v>
      </c>
      <c r="T113" s="247">
        <f>$P$25</f>
        <v>22585.5</v>
      </c>
      <c r="U113" s="247">
        <f>$Q$25</f>
        <v>22554</v>
      </c>
      <c r="V113" s="247">
        <f>$R$25</f>
        <v>24475.5</v>
      </c>
      <c r="W113" s="247">
        <f>$S$25</f>
        <v>19057.5</v>
      </c>
      <c r="X113" s="247">
        <f>$T$25</f>
        <v>16726.5</v>
      </c>
      <c r="Y113" s="247">
        <f>$U$25</f>
        <v>18837</v>
      </c>
      <c r="Z113" s="247">
        <f>$V$25</f>
        <v>19341</v>
      </c>
      <c r="AA113" s="247">
        <f>$W$25</f>
        <v>24034.5</v>
      </c>
      <c r="AB113" s="247">
        <f>$X$25</f>
        <v>19435.5</v>
      </c>
      <c r="AC113" s="247">
        <f>$Y$25</f>
        <v>17041.5</v>
      </c>
      <c r="AD113" s="247">
        <f>$Z$25</f>
        <v>23688</v>
      </c>
      <c r="AE113" s="247">
        <f>$AA$25</f>
        <v>19876.5</v>
      </c>
      <c r="AF113" s="247">
        <f>$AB$25</f>
        <v>24223.5</v>
      </c>
      <c r="AG113" s="247">
        <f>$AD$25</f>
        <v>30712.5</v>
      </c>
      <c r="AH113" s="247">
        <f>$AE$25</f>
        <v>23845.5</v>
      </c>
      <c r="AI113" s="247">
        <f>$AF$25</f>
        <v>18081</v>
      </c>
      <c r="AJ113" s="247">
        <f>$AG$25</f>
        <v>20903.400000000001</v>
      </c>
      <c r="AK113" s="247">
        <f>$AH$25</f>
        <v>32772.6</v>
      </c>
      <c r="AL113" s="247">
        <f>$AI$25</f>
        <v>26460</v>
      </c>
      <c r="AM113" s="247">
        <f>$AJ$25</f>
        <v>17312.399999999998</v>
      </c>
      <c r="AN113" s="247">
        <f>$AK$25</f>
        <v>10187.1</v>
      </c>
      <c r="AO113" s="247">
        <f>$AL$25</f>
        <v>22113</v>
      </c>
      <c r="AP113" s="247">
        <f>$AM$25</f>
        <v>23562</v>
      </c>
      <c r="AQ113" s="247">
        <f>$AN$25</f>
        <v>24601.5</v>
      </c>
      <c r="AR113" s="247">
        <f>$AO$25</f>
        <v>43392</v>
      </c>
      <c r="AS113" s="247">
        <f>$AP$25</f>
        <v>43776</v>
      </c>
      <c r="AT113" s="247">
        <f>$AQ$25</f>
        <v>38400</v>
      </c>
      <c r="AU113" s="247">
        <f>$AS$26</f>
        <v>34560.000000000007</v>
      </c>
      <c r="AV113" s="247">
        <f>$AS$25</f>
        <v>30720</v>
      </c>
      <c r="AW113" s="247">
        <f>$AT$25</f>
        <v>30720</v>
      </c>
    </row>
    <row r="114" spans="1:49" x14ac:dyDescent="0.2">
      <c r="A114" s="312" t="s">
        <v>292</v>
      </c>
      <c r="M114" s="247"/>
      <c r="N114" s="1205" t="e">
        <f>N29/(Sensativities!P48*Sensativities!P17)</f>
        <v>#DIV/0!</v>
      </c>
      <c r="O114" s="247"/>
      <c r="P114" s="247"/>
      <c r="Q114" s="247"/>
      <c r="R114" s="247">
        <f>$N$25</f>
        <v>13576.5</v>
      </c>
      <c r="S114" s="247">
        <f>$N$25</f>
        <v>13576.5</v>
      </c>
      <c r="T114" s="247">
        <f>$O$25</f>
        <v>19309.499999999996</v>
      </c>
      <c r="U114" s="247">
        <f>$P$25</f>
        <v>22585.5</v>
      </c>
      <c r="V114" s="247">
        <f>$Q$25</f>
        <v>22554</v>
      </c>
      <c r="W114" s="247">
        <f>$R$25</f>
        <v>24475.5</v>
      </c>
      <c r="X114" s="247">
        <f>$S$25</f>
        <v>19057.5</v>
      </c>
      <c r="Y114" s="247">
        <f>$T$25</f>
        <v>16726.5</v>
      </c>
      <c r="Z114" s="247">
        <f>$U$25</f>
        <v>18837</v>
      </c>
      <c r="AA114" s="247">
        <f>$V$25</f>
        <v>19341</v>
      </c>
      <c r="AB114" s="247">
        <f>$W$25</f>
        <v>24034.5</v>
      </c>
      <c r="AC114" s="247">
        <f>$X$25</f>
        <v>19435.5</v>
      </c>
      <c r="AD114" s="247">
        <f>$Y$25</f>
        <v>17041.5</v>
      </c>
      <c r="AE114" s="247">
        <f>$Z$25</f>
        <v>23688</v>
      </c>
      <c r="AF114" s="247">
        <f>$AA$25</f>
        <v>19876.5</v>
      </c>
      <c r="AG114" s="247">
        <f>$AB$25</f>
        <v>24223.5</v>
      </c>
      <c r="AH114" s="247">
        <f>$AD$25</f>
        <v>30712.5</v>
      </c>
      <c r="AI114" s="247">
        <f>$AE$25</f>
        <v>23845.5</v>
      </c>
      <c r="AJ114" s="247">
        <f>$AF$25</f>
        <v>18081</v>
      </c>
      <c r="AK114" s="247">
        <f>$AG$25</f>
        <v>20903.400000000001</v>
      </c>
      <c r="AL114" s="247">
        <f>$AH$25</f>
        <v>32772.6</v>
      </c>
      <c r="AM114" s="247">
        <f>$AI$25</f>
        <v>26460</v>
      </c>
      <c r="AN114" s="247">
        <f>$AJ$25</f>
        <v>17312.399999999998</v>
      </c>
      <c r="AO114" s="247">
        <f>$AK$25</f>
        <v>10187.1</v>
      </c>
      <c r="AP114" s="247">
        <f>$AL$25</f>
        <v>22113</v>
      </c>
      <c r="AQ114" s="247">
        <f>$AM$25</f>
        <v>23562</v>
      </c>
      <c r="AR114" s="247">
        <f>$AN$25</f>
        <v>24601.5</v>
      </c>
      <c r="AS114" s="247">
        <f>$AO$25</f>
        <v>43392</v>
      </c>
      <c r="AT114" s="247">
        <f>$AP$25</f>
        <v>43776</v>
      </c>
      <c r="AU114" s="247">
        <f>$AQ$25</f>
        <v>38400</v>
      </c>
      <c r="AV114" s="247">
        <f>$AS$26</f>
        <v>34560.000000000007</v>
      </c>
      <c r="AW114" s="247">
        <f>$AS$25</f>
        <v>30720</v>
      </c>
    </row>
    <row r="115" spans="1:49" x14ac:dyDescent="0.2">
      <c r="A115" s="312" t="s">
        <v>293</v>
      </c>
      <c r="M115" s="247"/>
      <c r="N115" s="1205" t="e">
        <f>N30/(Sensativities!P49*Sensativities!P17)</f>
        <v>#DIV/0!</v>
      </c>
      <c r="O115" s="247"/>
      <c r="P115" s="247"/>
      <c r="Q115" s="247"/>
      <c r="R115" s="247"/>
      <c r="S115" s="247">
        <f>$N$25</f>
        <v>13576.5</v>
      </c>
      <c r="T115" s="247">
        <f>$N$25</f>
        <v>13576.5</v>
      </c>
      <c r="U115" s="247">
        <f>$O$25</f>
        <v>19309.499999999996</v>
      </c>
      <c r="V115" s="247">
        <f>$P$25</f>
        <v>22585.5</v>
      </c>
      <c r="W115" s="247">
        <f>$Q$25</f>
        <v>22554</v>
      </c>
      <c r="X115" s="247">
        <f>$R$25</f>
        <v>24475.5</v>
      </c>
      <c r="Y115" s="247">
        <f>$S$25</f>
        <v>19057.5</v>
      </c>
      <c r="Z115" s="247">
        <f>$T$25</f>
        <v>16726.5</v>
      </c>
      <c r="AA115" s="247">
        <f>$U$25</f>
        <v>18837</v>
      </c>
      <c r="AB115" s="247">
        <f>$V$25</f>
        <v>19341</v>
      </c>
      <c r="AC115" s="247">
        <f>$W$25</f>
        <v>24034.5</v>
      </c>
      <c r="AD115" s="247">
        <f>$X$25</f>
        <v>19435.5</v>
      </c>
      <c r="AE115" s="247">
        <f>$Y$25</f>
        <v>17041.5</v>
      </c>
      <c r="AF115" s="247">
        <f>$Z$25</f>
        <v>23688</v>
      </c>
      <c r="AG115" s="247">
        <f>$AA$25</f>
        <v>19876.5</v>
      </c>
      <c r="AH115" s="247">
        <f>$AB$25</f>
        <v>24223.5</v>
      </c>
      <c r="AI115" s="247">
        <f>$AD$25</f>
        <v>30712.5</v>
      </c>
      <c r="AJ115" s="247">
        <f>$AE$25</f>
        <v>23845.5</v>
      </c>
      <c r="AK115" s="247">
        <f>$AF$25</f>
        <v>18081</v>
      </c>
      <c r="AL115" s="247">
        <f>$AG$25</f>
        <v>20903.400000000001</v>
      </c>
      <c r="AM115" s="247">
        <f>$AH$25</f>
        <v>32772.6</v>
      </c>
      <c r="AN115" s="247">
        <f>$AI$25</f>
        <v>26460</v>
      </c>
      <c r="AO115" s="247">
        <f>$AJ$25</f>
        <v>17312.399999999998</v>
      </c>
      <c r="AP115" s="247">
        <f>$AK$25</f>
        <v>10187.1</v>
      </c>
      <c r="AQ115" s="247">
        <f>$AL$25</f>
        <v>22113</v>
      </c>
      <c r="AR115" s="247">
        <f>$AM$25</f>
        <v>23562</v>
      </c>
      <c r="AS115" s="247">
        <f>$AN$25</f>
        <v>24601.5</v>
      </c>
      <c r="AT115" s="247">
        <f>$AO$25</f>
        <v>43392</v>
      </c>
      <c r="AU115" s="247">
        <f>$AP$25</f>
        <v>43776</v>
      </c>
      <c r="AV115" s="247">
        <f>$AQ$25</f>
        <v>38400</v>
      </c>
      <c r="AW115" s="247">
        <f>$AS$26</f>
        <v>34560.000000000007</v>
      </c>
    </row>
    <row r="116" spans="1:49" x14ac:dyDescent="0.2">
      <c r="A116" s="312" t="s">
        <v>294</v>
      </c>
      <c r="M116" s="247"/>
      <c r="N116" s="1205" t="e">
        <f>N31/(Sensativities!P50*Sensativities!P17)</f>
        <v>#DIV/0!</v>
      </c>
      <c r="O116" s="247"/>
      <c r="P116" s="247"/>
      <c r="Q116" s="247"/>
      <c r="R116" s="247"/>
      <c r="S116" s="247"/>
      <c r="T116" s="247">
        <f>$N$25</f>
        <v>13576.5</v>
      </c>
      <c r="U116" s="247">
        <f>$N$25</f>
        <v>13576.5</v>
      </c>
      <c r="V116" s="247">
        <f>$O$25</f>
        <v>19309.499999999996</v>
      </c>
      <c r="W116" s="247">
        <f>$P$25</f>
        <v>22585.5</v>
      </c>
      <c r="X116" s="247">
        <f>$Q$25</f>
        <v>22554</v>
      </c>
      <c r="Y116" s="247">
        <f>$R$25</f>
        <v>24475.5</v>
      </c>
      <c r="Z116" s="247">
        <f>$S$25</f>
        <v>19057.5</v>
      </c>
      <c r="AA116" s="247">
        <f>$T$25</f>
        <v>16726.5</v>
      </c>
      <c r="AB116" s="247">
        <f>$U$25</f>
        <v>18837</v>
      </c>
      <c r="AC116" s="247">
        <f>$V$25</f>
        <v>19341</v>
      </c>
      <c r="AD116" s="247">
        <f>$W$25</f>
        <v>24034.5</v>
      </c>
      <c r="AE116" s="247">
        <f>$X$25</f>
        <v>19435.5</v>
      </c>
      <c r="AF116" s="247">
        <f>$Y$25</f>
        <v>17041.5</v>
      </c>
      <c r="AG116" s="247">
        <f>$Z$25</f>
        <v>23688</v>
      </c>
      <c r="AH116" s="247">
        <f>$AA$25</f>
        <v>19876.5</v>
      </c>
      <c r="AI116" s="247">
        <f>$AB$25</f>
        <v>24223.5</v>
      </c>
      <c r="AJ116" s="247">
        <f>$AD$25</f>
        <v>30712.5</v>
      </c>
      <c r="AK116" s="247">
        <f>$AE$25</f>
        <v>23845.5</v>
      </c>
      <c r="AL116" s="247">
        <f>$AF$25</f>
        <v>18081</v>
      </c>
      <c r="AM116" s="247">
        <f>$AG$25</f>
        <v>20903.400000000001</v>
      </c>
      <c r="AN116" s="247">
        <f>$AH$25</f>
        <v>32772.6</v>
      </c>
      <c r="AO116" s="247">
        <f>$AI$25</f>
        <v>26460</v>
      </c>
      <c r="AP116" s="247">
        <f>$AJ$25</f>
        <v>17312.399999999998</v>
      </c>
      <c r="AQ116" s="247">
        <f>$AK$25</f>
        <v>10187.1</v>
      </c>
      <c r="AR116" s="247">
        <f>$AL$25</f>
        <v>22113</v>
      </c>
      <c r="AS116" s="247">
        <f>$AM$25</f>
        <v>23562</v>
      </c>
      <c r="AT116" s="247">
        <f>$AN$25</f>
        <v>24601.5</v>
      </c>
      <c r="AU116" s="247">
        <f>$AO$25</f>
        <v>43392</v>
      </c>
      <c r="AV116" s="247">
        <f>$AP$25</f>
        <v>43776</v>
      </c>
      <c r="AW116" s="247">
        <f>$AQ$25</f>
        <v>38400</v>
      </c>
    </row>
    <row r="117" spans="1:49" x14ac:dyDescent="0.2">
      <c r="A117" s="312" t="s">
        <v>295</v>
      </c>
      <c r="M117" s="247"/>
      <c r="N117" s="1205" t="e">
        <f>N32/(Sensativities!P51*Sensativities!P17)</f>
        <v>#DIV/0!</v>
      </c>
      <c r="O117" s="247"/>
      <c r="P117" s="247"/>
      <c r="Q117" s="247"/>
      <c r="R117" s="247"/>
      <c r="S117" s="247"/>
      <c r="T117" s="247"/>
      <c r="U117" s="247">
        <f>$N$25</f>
        <v>13576.5</v>
      </c>
      <c r="V117" s="247">
        <f>$N$25</f>
        <v>13576.5</v>
      </c>
      <c r="W117" s="247">
        <f>$O$25</f>
        <v>19309.499999999996</v>
      </c>
      <c r="X117" s="247">
        <f>$P$25</f>
        <v>22585.5</v>
      </c>
      <c r="Y117" s="247">
        <f>$Q$25</f>
        <v>22554</v>
      </c>
      <c r="Z117" s="247">
        <f>$R$25</f>
        <v>24475.5</v>
      </c>
      <c r="AA117" s="247">
        <f>$S$25</f>
        <v>19057.5</v>
      </c>
      <c r="AB117" s="247">
        <f>$T$25</f>
        <v>16726.5</v>
      </c>
      <c r="AC117" s="247">
        <f>$U$25</f>
        <v>18837</v>
      </c>
      <c r="AD117" s="247">
        <f>$V$25</f>
        <v>19341</v>
      </c>
      <c r="AE117" s="247">
        <f>$W$25</f>
        <v>24034.5</v>
      </c>
      <c r="AF117" s="247">
        <f>$X$25</f>
        <v>19435.5</v>
      </c>
      <c r="AG117" s="247">
        <f>$Y$25</f>
        <v>17041.5</v>
      </c>
      <c r="AH117" s="247">
        <f>$Z$25</f>
        <v>23688</v>
      </c>
      <c r="AI117" s="247">
        <f>$AA$25</f>
        <v>19876.5</v>
      </c>
      <c r="AJ117" s="247">
        <f>$AB$25</f>
        <v>24223.5</v>
      </c>
      <c r="AK117" s="247">
        <f>$AD$25</f>
        <v>30712.5</v>
      </c>
      <c r="AL117" s="247">
        <f>$AE$25</f>
        <v>23845.5</v>
      </c>
      <c r="AM117" s="247">
        <f>$AF$25</f>
        <v>18081</v>
      </c>
      <c r="AN117" s="247">
        <f>$AG$25</f>
        <v>20903.400000000001</v>
      </c>
      <c r="AO117" s="247">
        <f>$AH$25</f>
        <v>32772.6</v>
      </c>
      <c r="AP117" s="247">
        <f>$AI$25</f>
        <v>26460</v>
      </c>
      <c r="AQ117" s="247">
        <f>$AJ$25</f>
        <v>17312.399999999998</v>
      </c>
      <c r="AR117" s="247">
        <f>$AK$25</f>
        <v>10187.1</v>
      </c>
      <c r="AS117" s="247">
        <f>$AL$25</f>
        <v>22113</v>
      </c>
      <c r="AT117" s="247">
        <f>$AM$25</f>
        <v>23562</v>
      </c>
      <c r="AU117" s="247">
        <f>$AN$25</f>
        <v>24601.5</v>
      </c>
      <c r="AV117" s="247">
        <f>$AO$25</f>
        <v>43392</v>
      </c>
      <c r="AW117" s="247">
        <f>$AP$25</f>
        <v>43776</v>
      </c>
    </row>
    <row r="118" spans="1:49" x14ac:dyDescent="0.2">
      <c r="A118" s="312" t="s">
        <v>296</v>
      </c>
      <c r="M118" s="247"/>
      <c r="N118" s="1205" t="e">
        <f>N33/(Sensativities!P52*Sensativities!P17)</f>
        <v>#DIV/0!</v>
      </c>
      <c r="O118" s="247"/>
      <c r="P118" s="247"/>
      <c r="Q118" s="247"/>
      <c r="R118" s="247"/>
      <c r="S118" s="247"/>
      <c r="T118" s="247"/>
      <c r="U118" s="247"/>
      <c r="V118" s="247">
        <f>$N$25</f>
        <v>13576.5</v>
      </c>
      <c r="W118" s="247">
        <f>$N$25</f>
        <v>13576.5</v>
      </c>
      <c r="X118" s="247">
        <f>$O$25</f>
        <v>19309.499999999996</v>
      </c>
      <c r="Y118" s="247">
        <f>$P$25</f>
        <v>22585.5</v>
      </c>
      <c r="Z118" s="247">
        <f>$Q$25</f>
        <v>22554</v>
      </c>
      <c r="AA118" s="247">
        <f>$R$25</f>
        <v>24475.5</v>
      </c>
      <c r="AB118" s="247">
        <f>$S$25</f>
        <v>19057.5</v>
      </c>
      <c r="AC118" s="247">
        <f>$T$25</f>
        <v>16726.5</v>
      </c>
      <c r="AD118" s="247">
        <f>$U$25</f>
        <v>18837</v>
      </c>
      <c r="AE118" s="247">
        <f>$V$25</f>
        <v>19341</v>
      </c>
      <c r="AF118" s="247">
        <f>$W$25</f>
        <v>24034.5</v>
      </c>
      <c r="AG118" s="247">
        <f>$X$25</f>
        <v>19435.5</v>
      </c>
      <c r="AH118" s="247">
        <f>$Y$25</f>
        <v>17041.5</v>
      </c>
      <c r="AI118" s="247">
        <f>$Z$25</f>
        <v>23688</v>
      </c>
      <c r="AJ118" s="247">
        <f>$AA$25</f>
        <v>19876.5</v>
      </c>
      <c r="AK118" s="247">
        <f>$AB$25</f>
        <v>24223.5</v>
      </c>
      <c r="AL118" s="247">
        <f>$AD$25</f>
        <v>30712.5</v>
      </c>
      <c r="AM118" s="247">
        <f>$AE$25</f>
        <v>23845.5</v>
      </c>
      <c r="AN118" s="247">
        <f>$AF$25</f>
        <v>18081</v>
      </c>
      <c r="AO118" s="247">
        <f>$AG$25</f>
        <v>20903.400000000001</v>
      </c>
      <c r="AP118" s="247">
        <f>$AH$25</f>
        <v>32772.6</v>
      </c>
      <c r="AQ118" s="247">
        <f>$AI$25</f>
        <v>26460</v>
      </c>
      <c r="AR118" s="247">
        <f>$AJ$25</f>
        <v>17312.399999999998</v>
      </c>
      <c r="AS118" s="247">
        <f>$AK$25</f>
        <v>10187.1</v>
      </c>
      <c r="AT118" s="247">
        <f>$AL$25</f>
        <v>22113</v>
      </c>
      <c r="AU118" s="247">
        <f>$AM$25</f>
        <v>23562</v>
      </c>
      <c r="AV118" s="247">
        <f>$AN$25</f>
        <v>24601.5</v>
      </c>
      <c r="AW118" s="247">
        <f>$AO$25</f>
        <v>43392</v>
      </c>
    </row>
    <row r="119" spans="1:49" x14ac:dyDescent="0.2">
      <c r="A119" s="312" t="s">
        <v>297</v>
      </c>
      <c r="M119" s="247"/>
      <c r="N119" s="1205" t="e">
        <f>N34/(Sensativities!P53*Sensativities!P17)</f>
        <v>#DIV/0!</v>
      </c>
      <c r="O119" s="247"/>
      <c r="P119" s="247"/>
      <c r="Q119" s="247"/>
      <c r="R119" s="247"/>
      <c r="S119" s="247"/>
      <c r="T119" s="247"/>
      <c r="U119" s="247"/>
      <c r="V119" s="247"/>
      <c r="W119" s="247">
        <f>$N$25</f>
        <v>13576.5</v>
      </c>
      <c r="X119" s="247">
        <f>$N$25</f>
        <v>13576.5</v>
      </c>
      <c r="Y119" s="247">
        <f>$O$25</f>
        <v>19309.499999999996</v>
      </c>
      <c r="Z119" s="247">
        <f>$P$25</f>
        <v>22585.5</v>
      </c>
      <c r="AA119" s="247">
        <f>$Q$25</f>
        <v>22554</v>
      </c>
      <c r="AB119" s="247">
        <f>$R$25</f>
        <v>24475.5</v>
      </c>
      <c r="AC119" s="247">
        <f>$S$25</f>
        <v>19057.5</v>
      </c>
      <c r="AD119" s="247">
        <f>$T$25</f>
        <v>16726.5</v>
      </c>
      <c r="AE119" s="247">
        <f>$U$25</f>
        <v>18837</v>
      </c>
      <c r="AF119" s="247">
        <f>$V$25</f>
        <v>19341</v>
      </c>
      <c r="AG119" s="247">
        <f>$W$25</f>
        <v>24034.5</v>
      </c>
      <c r="AH119" s="247">
        <f>$X$25</f>
        <v>19435.5</v>
      </c>
      <c r="AI119" s="247">
        <f>$Y$25</f>
        <v>17041.5</v>
      </c>
      <c r="AJ119" s="247">
        <f>$Z$25</f>
        <v>23688</v>
      </c>
      <c r="AK119" s="247">
        <f>$AA$25</f>
        <v>19876.5</v>
      </c>
      <c r="AL119" s="247">
        <f>$AB$25</f>
        <v>24223.5</v>
      </c>
      <c r="AM119" s="247">
        <f>$AD$25</f>
        <v>30712.5</v>
      </c>
      <c r="AN119" s="247">
        <f>$AE$25</f>
        <v>23845.5</v>
      </c>
      <c r="AO119" s="247">
        <f>$AF$25</f>
        <v>18081</v>
      </c>
      <c r="AP119" s="247">
        <f>$AG$25</f>
        <v>20903.400000000001</v>
      </c>
      <c r="AQ119" s="247">
        <f>$AH$25</f>
        <v>32772.6</v>
      </c>
      <c r="AR119" s="247">
        <f>$AI$25</f>
        <v>26460</v>
      </c>
      <c r="AS119" s="247">
        <f>$AJ$25</f>
        <v>17312.399999999998</v>
      </c>
      <c r="AT119" s="247">
        <f>$AK$25</f>
        <v>10187.1</v>
      </c>
      <c r="AU119" s="247">
        <f>$AL$25</f>
        <v>22113</v>
      </c>
      <c r="AV119" s="247">
        <f>$AM$25</f>
        <v>23562</v>
      </c>
      <c r="AW119" s="247">
        <f>$AN$25</f>
        <v>24601.5</v>
      </c>
    </row>
    <row r="120" spans="1:49" x14ac:dyDescent="0.2">
      <c r="A120" s="312" t="s">
        <v>298</v>
      </c>
      <c r="M120" s="247"/>
      <c r="N120" s="1205" t="e">
        <f>N35/(Sensativities!P54*Sensativities!P17)</f>
        <v>#DIV/0!</v>
      </c>
      <c r="O120" s="247"/>
      <c r="P120" s="247"/>
      <c r="Q120" s="247"/>
      <c r="R120" s="247"/>
      <c r="S120" s="247"/>
      <c r="T120" s="247"/>
      <c r="U120" s="247"/>
      <c r="V120" s="247"/>
      <c r="W120" s="247"/>
      <c r="X120" s="247">
        <f>$N$25</f>
        <v>13576.5</v>
      </c>
      <c r="Y120" s="247">
        <f>$N$25</f>
        <v>13576.5</v>
      </c>
      <c r="Z120" s="247">
        <f>$O$25</f>
        <v>19309.499999999996</v>
      </c>
      <c r="AA120" s="247">
        <f>$P$25</f>
        <v>22585.5</v>
      </c>
      <c r="AB120" s="247">
        <f>$Q$25</f>
        <v>22554</v>
      </c>
      <c r="AC120" s="247">
        <f>$R$25</f>
        <v>24475.5</v>
      </c>
      <c r="AD120" s="247">
        <f>$S$25</f>
        <v>19057.5</v>
      </c>
      <c r="AE120" s="247">
        <f>$T$25</f>
        <v>16726.5</v>
      </c>
      <c r="AF120" s="247">
        <f>$U$25</f>
        <v>18837</v>
      </c>
      <c r="AG120" s="247">
        <f>$V$25</f>
        <v>19341</v>
      </c>
      <c r="AH120" s="247">
        <f>$W$25</f>
        <v>24034.5</v>
      </c>
      <c r="AI120" s="247">
        <f>$X$25</f>
        <v>19435.5</v>
      </c>
      <c r="AJ120" s="247">
        <f>$Y$25</f>
        <v>17041.5</v>
      </c>
      <c r="AK120" s="247">
        <f>$Z$25</f>
        <v>23688</v>
      </c>
      <c r="AL120" s="247">
        <f>$AA$25</f>
        <v>19876.5</v>
      </c>
      <c r="AM120" s="247">
        <f>$AB$25</f>
        <v>24223.5</v>
      </c>
      <c r="AN120" s="247">
        <f>$AD$25</f>
        <v>30712.5</v>
      </c>
      <c r="AO120" s="247">
        <f>$AE$25</f>
        <v>23845.5</v>
      </c>
      <c r="AP120" s="247">
        <f>$AF$25</f>
        <v>18081</v>
      </c>
      <c r="AQ120" s="247">
        <f>$AG$25</f>
        <v>20903.400000000001</v>
      </c>
      <c r="AR120" s="247">
        <f>$AH$25</f>
        <v>32772.6</v>
      </c>
      <c r="AS120" s="247">
        <f>$AI$25</f>
        <v>26460</v>
      </c>
      <c r="AT120" s="247">
        <f>$AJ$25</f>
        <v>17312.399999999998</v>
      </c>
      <c r="AU120" s="247">
        <f>$AK$25</f>
        <v>10187.1</v>
      </c>
      <c r="AV120" s="247">
        <f>$AL$25</f>
        <v>22113</v>
      </c>
      <c r="AW120" s="247">
        <f>$AM$25</f>
        <v>23562</v>
      </c>
    </row>
    <row r="121" spans="1:49" x14ac:dyDescent="0.2">
      <c r="A121" s="312" t="s">
        <v>299</v>
      </c>
      <c r="M121" s="247"/>
      <c r="N121" s="1205">
        <f>N36/(Sensativities!P55*Sensativities!P17)</f>
        <v>0</v>
      </c>
      <c r="O121" s="247"/>
      <c r="P121" s="247"/>
      <c r="Q121" s="247"/>
      <c r="R121" s="247"/>
      <c r="S121" s="247"/>
      <c r="T121" s="247"/>
      <c r="U121" s="247"/>
      <c r="V121" s="247"/>
      <c r="W121" s="247"/>
      <c r="X121" s="247"/>
      <c r="Y121" s="247">
        <f>$N$25</f>
        <v>13576.5</v>
      </c>
      <c r="Z121" s="247">
        <f>$N$25</f>
        <v>13576.5</v>
      </c>
      <c r="AA121" s="247">
        <f>$O$25</f>
        <v>19309.499999999996</v>
      </c>
      <c r="AB121" s="247">
        <f>$P$25</f>
        <v>22585.5</v>
      </c>
      <c r="AC121" s="247">
        <f>$Q$25</f>
        <v>22554</v>
      </c>
      <c r="AD121" s="247">
        <f>$R$25</f>
        <v>24475.5</v>
      </c>
      <c r="AE121" s="247">
        <f>$S$25</f>
        <v>19057.5</v>
      </c>
      <c r="AF121" s="247">
        <f>$T$25</f>
        <v>16726.5</v>
      </c>
      <c r="AG121" s="247">
        <f>$U$25</f>
        <v>18837</v>
      </c>
      <c r="AH121" s="247">
        <f>$V$25</f>
        <v>19341</v>
      </c>
      <c r="AI121" s="247">
        <f>$W$25</f>
        <v>24034.5</v>
      </c>
      <c r="AJ121" s="247">
        <f>$X$25</f>
        <v>19435.5</v>
      </c>
      <c r="AK121" s="247">
        <f>$Y$25</f>
        <v>17041.5</v>
      </c>
      <c r="AL121" s="247">
        <f>$Z$25</f>
        <v>23688</v>
      </c>
      <c r="AM121" s="247">
        <f>$AA$25</f>
        <v>19876.5</v>
      </c>
      <c r="AN121" s="247">
        <f>$AB$25</f>
        <v>24223.5</v>
      </c>
      <c r="AO121" s="247">
        <f>$AD$25</f>
        <v>30712.5</v>
      </c>
      <c r="AP121" s="247">
        <f>$AE$25</f>
        <v>23845.5</v>
      </c>
      <c r="AQ121" s="247">
        <f>$AF$25</f>
        <v>18081</v>
      </c>
      <c r="AR121" s="247">
        <f>$AG$25</f>
        <v>20903.400000000001</v>
      </c>
      <c r="AS121" s="247">
        <f>$AH$25</f>
        <v>32772.6</v>
      </c>
      <c r="AT121" s="247">
        <f>$AI$25</f>
        <v>26460</v>
      </c>
      <c r="AU121" s="247">
        <f>$AJ$25</f>
        <v>17312.399999999998</v>
      </c>
      <c r="AV121" s="247">
        <f>$AK$25</f>
        <v>10187.1</v>
      </c>
      <c r="AW121" s="247">
        <f>$AL$25</f>
        <v>22113</v>
      </c>
    </row>
    <row r="122" spans="1:49" x14ac:dyDescent="0.2">
      <c r="A122" s="312" t="s">
        <v>300</v>
      </c>
      <c r="M122" s="247"/>
      <c r="N122" s="1205" t="e">
        <f>N37/(Sensativities!P56*Sensativities!P17)</f>
        <v>#DIV/0!</v>
      </c>
      <c r="O122" s="247"/>
      <c r="P122" s="247"/>
      <c r="Q122" s="247"/>
      <c r="R122" s="247"/>
      <c r="S122" s="247"/>
      <c r="T122" s="247"/>
      <c r="U122" s="247"/>
      <c r="V122" s="247"/>
      <c r="W122" s="247"/>
      <c r="X122" s="247"/>
      <c r="Y122" s="247"/>
      <c r="Z122" s="247">
        <f>$N$25</f>
        <v>13576.5</v>
      </c>
      <c r="AA122" s="247">
        <f>$N$25</f>
        <v>13576.5</v>
      </c>
      <c r="AB122" s="247">
        <f>$O$25</f>
        <v>19309.499999999996</v>
      </c>
      <c r="AC122" s="247">
        <f>$P$25</f>
        <v>22585.5</v>
      </c>
      <c r="AD122" s="247">
        <f>$Q$25</f>
        <v>22554</v>
      </c>
      <c r="AE122" s="247">
        <f>$R$25</f>
        <v>24475.5</v>
      </c>
      <c r="AF122" s="247">
        <f>$S$25</f>
        <v>19057.5</v>
      </c>
      <c r="AG122" s="247">
        <f>$T$25</f>
        <v>16726.5</v>
      </c>
      <c r="AH122" s="247">
        <f>$U$25</f>
        <v>18837</v>
      </c>
      <c r="AI122" s="247">
        <f>$V$25</f>
        <v>19341</v>
      </c>
      <c r="AJ122" s="247">
        <f>$W$25</f>
        <v>24034.5</v>
      </c>
      <c r="AK122" s="247">
        <f>$X$25</f>
        <v>19435.5</v>
      </c>
      <c r="AL122" s="247">
        <f>$Y$25</f>
        <v>17041.5</v>
      </c>
      <c r="AM122" s="247">
        <f>$Z$25</f>
        <v>23688</v>
      </c>
      <c r="AN122" s="247">
        <f>$AA$25</f>
        <v>19876.5</v>
      </c>
      <c r="AO122" s="247">
        <f>$AB$25</f>
        <v>24223.5</v>
      </c>
      <c r="AP122" s="247">
        <f>$AD$25</f>
        <v>30712.5</v>
      </c>
      <c r="AQ122" s="247">
        <f>$AE$25</f>
        <v>23845.5</v>
      </c>
      <c r="AR122" s="247">
        <f>$AF$25</f>
        <v>18081</v>
      </c>
      <c r="AS122" s="247">
        <f>$AG$25</f>
        <v>20903.400000000001</v>
      </c>
      <c r="AT122" s="247">
        <f>$AH$25</f>
        <v>32772.6</v>
      </c>
      <c r="AU122" s="247">
        <f>$AI$25</f>
        <v>26460</v>
      </c>
      <c r="AV122" s="247">
        <f>$AJ$25</f>
        <v>17312.399999999998</v>
      </c>
      <c r="AW122" s="247">
        <f>$AK$25</f>
        <v>10187.1</v>
      </c>
    </row>
    <row r="123" spans="1:49" x14ac:dyDescent="0.2">
      <c r="A123" s="312" t="s">
        <v>301</v>
      </c>
      <c r="M123" s="247"/>
      <c r="N123" s="1205">
        <f>N38/(Sensativities!P57*Sensativities!P17)</f>
        <v>0</v>
      </c>
      <c r="O123" s="247"/>
      <c r="P123" s="247"/>
      <c r="Q123" s="247"/>
      <c r="R123" s="247"/>
      <c r="S123" s="247"/>
      <c r="T123" s="247"/>
      <c r="U123" s="247"/>
      <c r="V123" s="247"/>
      <c r="W123" s="247"/>
      <c r="X123" s="247"/>
      <c r="Y123" s="247"/>
      <c r="Z123" s="247"/>
      <c r="AA123" s="247">
        <f>$N$25</f>
        <v>13576.5</v>
      </c>
      <c r="AB123" s="247">
        <f>$N$25</f>
        <v>13576.5</v>
      </c>
      <c r="AC123" s="247">
        <f>$O$25</f>
        <v>19309.499999999996</v>
      </c>
      <c r="AD123" s="247">
        <f>$P$25</f>
        <v>22585.5</v>
      </c>
      <c r="AE123" s="247">
        <f>$Q$25</f>
        <v>22554</v>
      </c>
      <c r="AF123" s="247">
        <f>$R$25</f>
        <v>24475.5</v>
      </c>
      <c r="AG123" s="247">
        <f>$S$25</f>
        <v>19057.5</v>
      </c>
      <c r="AH123" s="247">
        <f>$T$25</f>
        <v>16726.5</v>
      </c>
      <c r="AI123" s="247">
        <f>$U$25</f>
        <v>18837</v>
      </c>
      <c r="AJ123" s="247">
        <f>$V$25</f>
        <v>19341</v>
      </c>
      <c r="AK123" s="247">
        <f>$W$25</f>
        <v>24034.5</v>
      </c>
      <c r="AL123" s="247">
        <f>$X$25</f>
        <v>19435.5</v>
      </c>
      <c r="AM123" s="247">
        <f>$Y$25</f>
        <v>17041.5</v>
      </c>
      <c r="AN123" s="247">
        <f>$Z$25</f>
        <v>23688</v>
      </c>
      <c r="AO123" s="247">
        <f>$AA$25</f>
        <v>19876.5</v>
      </c>
      <c r="AP123" s="247">
        <f>$AB$25</f>
        <v>24223.5</v>
      </c>
      <c r="AQ123" s="247">
        <f>$AD$25</f>
        <v>30712.5</v>
      </c>
      <c r="AR123" s="247">
        <f>$AE$25</f>
        <v>23845.5</v>
      </c>
      <c r="AS123" s="247">
        <f>$AF$25</f>
        <v>18081</v>
      </c>
      <c r="AT123" s="247">
        <f>$AG$25</f>
        <v>20903.400000000001</v>
      </c>
      <c r="AU123" s="247">
        <f>$AH$25</f>
        <v>32772.6</v>
      </c>
      <c r="AV123" s="247">
        <f>$AI$25</f>
        <v>26460</v>
      </c>
      <c r="AW123" s="247">
        <f>$AJ$25</f>
        <v>17312.399999999998</v>
      </c>
    </row>
    <row r="124" spans="1:49" x14ac:dyDescent="0.2">
      <c r="A124" s="312" t="s">
        <v>302</v>
      </c>
      <c r="M124" s="247"/>
      <c r="N124" s="1205" t="e">
        <f>N39/(Sensativities!P58*Sensativities!P17)</f>
        <v>#DIV/0!</v>
      </c>
      <c r="O124" s="247"/>
      <c r="P124" s="247"/>
      <c r="Q124" s="247"/>
      <c r="R124" s="247"/>
      <c r="S124" s="247"/>
      <c r="T124" s="247"/>
      <c r="U124" s="247"/>
      <c r="V124" s="247"/>
      <c r="W124" s="247"/>
      <c r="X124" s="247"/>
      <c r="Y124" s="247"/>
      <c r="Z124" s="247"/>
      <c r="AA124" s="247"/>
      <c r="AB124" s="247">
        <f>$N$25</f>
        <v>13576.5</v>
      </c>
      <c r="AC124" s="247">
        <f>$N$25</f>
        <v>13576.5</v>
      </c>
      <c r="AD124" s="247">
        <f>$O$25</f>
        <v>19309.499999999996</v>
      </c>
      <c r="AE124" s="247">
        <f>$P$25</f>
        <v>22585.5</v>
      </c>
      <c r="AF124" s="247">
        <f>$Q$25</f>
        <v>22554</v>
      </c>
      <c r="AG124" s="247">
        <f>$R$25</f>
        <v>24475.5</v>
      </c>
      <c r="AH124" s="247">
        <f>$S$25</f>
        <v>19057.5</v>
      </c>
      <c r="AI124" s="247">
        <f>$T$25</f>
        <v>16726.5</v>
      </c>
      <c r="AJ124" s="247">
        <f>$U$25</f>
        <v>18837</v>
      </c>
      <c r="AK124" s="247">
        <f>$V$25</f>
        <v>19341</v>
      </c>
      <c r="AL124" s="247">
        <f>$W$25</f>
        <v>24034.5</v>
      </c>
      <c r="AM124" s="247">
        <f>$X$25</f>
        <v>19435.5</v>
      </c>
      <c r="AN124" s="247">
        <f>$Y$25</f>
        <v>17041.5</v>
      </c>
      <c r="AO124" s="247">
        <f>$Z$25</f>
        <v>23688</v>
      </c>
      <c r="AP124" s="247">
        <f>$AA$25</f>
        <v>19876.5</v>
      </c>
      <c r="AQ124" s="247">
        <f>$AB$25</f>
        <v>24223.5</v>
      </c>
      <c r="AR124" s="247">
        <f>$AD$25</f>
        <v>30712.5</v>
      </c>
      <c r="AS124" s="247">
        <f>$AE$25</f>
        <v>23845.5</v>
      </c>
      <c r="AT124" s="247">
        <f>$AF$25</f>
        <v>18081</v>
      </c>
      <c r="AU124" s="247">
        <f>$AG$25</f>
        <v>20903.400000000001</v>
      </c>
      <c r="AV124" s="247">
        <f>$AH$25</f>
        <v>32772.6</v>
      </c>
      <c r="AW124" s="247">
        <f>$AI$25</f>
        <v>26460</v>
      </c>
    </row>
    <row r="125" spans="1:49" x14ac:dyDescent="0.2">
      <c r="A125" s="312" t="s">
        <v>303</v>
      </c>
      <c r="M125" s="247"/>
      <c r="N125" s="1205" t="e">
        <f>N40/(Sensativities!P59*Sensativities!P17)</f>
        <v>#DIV/0!</v>
      </c>
      <c r="O125" s="247"/>
      <c r="P125" s="247"/>
      <c r="Q125" s="247"/>
      <c r="R125" s="247"/>
      <c r="S125" s="247"/>
      <c r="T125" s="247"/>
      <c r="U125" s="247"/>
      <c r="V125" s="247"/>
      <c r="W125" s="247"/>
      <c r="X125" s="247"/>
      <c r="Y125" s="247"/>
      <c r="Z125" s="247"/>
      <c r="AA125" s="247"/>
      <c r="AB125" s="247"/>
      <c r="AC125" s="247">
        <f>$N$25</f>
        <v>13576.5</v>
      </c>
      <c r="AD125" s="247">
        <f>$N$25</f>
        <v>13576.5</v>
      </c>
      <c r="AE125" s="247">
        <f>$O$25</f>
        <v>19309.499999999996</v>
      </c>
      <c r="AF125" s="247">
        <f>$P$25</f>
        <v>22585.5</v>
      </c>
      <c r="AG125" s="247">
        <f>$Q$25</f>
        <v>22554</v>
      </c>
      <c r="AH125" s="247">
        <f>$R$25</f>
        <v>24475.5</v>
      </c>
      <c r="AI125" s="247">
        <f>$S$25</f>
        <v>19057.5</v>
      </c>
      <c r="AJ125" s="247">
        <f>$T$25</f>
        <v>16726.5</v>
      </c>
      <c r="AK125" s="247">
        <f>$U$25</f>
        <v>18837</v>
      </c>
      <c r="AL125" s="247">
        <f>$V$25</f>
        <v>19341</v>
      </c>
      <c r="AM125" s="247">
        <f>$W$25</f>
        <v>24034.5</v>
      </c>
      <c r="AN125" s="247">
        <f>$X$25</f>
        <v>19435.5</v>
      </c>
      <c r="AO125" s="247">
        <f>$Y$25</f>
        <v>17041.5</v>
      </c>
      <c r="AP125" s="247">
        <f>$Z$25</f>
        <v>23688</v>
      </c>
      <c r="AQ125" s="247">
        <f>$AA$25</f>
        <v>19876.5</v>
      </c>
      <c r="AR125" s="247">
        <f>$AB$25</f>
        <v>24223.5</v>
      </c>
      <c r="AS125" s="247">
        <f>$AD$25</f>
        <v>30712.5</v>
      </c>
      <c r="AT125" s="247">
        <f>$AE$25</f>
        <v>23845.5</v>
      </c>
      <c r="AU125" s="247">
        <f>$AF$25</f>
        <v>18081</v>
      </c>
      <c r="AV125" s="247">
        <f>$AG$25</f>
        <v>20903.400000000001</v>
      </c>
      <c r="AW125" s="247">
        <f>$AH$25</f>
        <v>32772.6</v>
      </c>
    </row>
    <row r="126" spans="1:49" x14ac:dyDescent="0.2">
      <c r="A126" s="312" t="s">
        <v>304</v>
      </c>
      <c r="M126" s="247"/>
      <c r="N126" s="1205" t="e">
        <f>N41/(Sensativities!P60*Sensativities!P17)</f>
        <v>#DIV/0!</v>
      </c>
      <c r="O126" s="247"/>
      <c r="P126" s="247"/>
      <c r="Q126" s="247"/>
      <c r="R126" s="247"/>
      <c r="S126" s="247"/>
      <c r="T126" s="247"/>
      <c r="U126" s="247"/>
      <c r="V126" s="247"/>
      <c r="W126" s="247"/>
      <c r="X126" s="247"/>
      <c r="Y126" s="247"/>
      <c r="Z126" s="247"/>
      <c r="AA126" s="247"/>
      <c r="AB126" s="247"/>
      <c r="AC126" s="247"/>
      <c r="AD126" s="247">
        <f>$N$25</f>
        <v>13576.5</v>
      </c>
      <c r="AE126" s="247">
        <f>$N$25</f>
        <v>13576.5</v>
      </c>
      <c r="AF126" s="247">
        <f>$O$25</f>
        <v>19309.499999999996</v>
      </c>
      <c r="AG126" s="247">
        <f>$P$25</f>
        <v>22585.5</v>
      </c>
      <c r="AH126" s="247">
        <f>$Q$25</f>
        <v>22554</v>
      </c>
      <c r="AI126" s="247">
        <f>$R$25</f>
        <v>24475.5</v>
      </c>
      <c r="AJ126" s="247">
        <f>$S$25</f>
        <v>19057.5</v>
      </c>
      <c r="AK126" s="247">
        <f>$T$25</f>
        <v>16726.5</v>
      </c>
      <c r="AL126" s="247">
        <f>$U$25</f>
        <v>18837</v>
      </c>
      <c r="AM126" s="247">
        <f>$V$25</f>
        <v>19341</v>
      </c>
      <c r="AN126" s="247">
        <f>$W$25</f>
        <v>24034.5</v>
      </c>
      <c r="AO126" s="247">
        <f>$X$25</f>
        <v>19435.5</v>
      </c>
      <c r="AP126" s="247">
        <f>$Y$25</f>
        <v>17041.5</v>
      </c>
      <c r="AQ126" s="247">
        <f>$Z$25</f>
        <v>23688</v>
      </c>
      <c r="AR126" s="247">
        <f>$AA$25</f>
        <v>19876.5</v>
      </c>
      <c r="AS126" s="247">
        <f>$AB$25</f>
        <v>24223.5</v>
      </c>
      <c r="AT126" s="247">
        <f>$AD$25</f>
        <v>30712.5</v>
      </c>
      <c r="AU126" s="247">
        <f>$AE$25</f>
        <v>23845.5</v>
      </c>
      <c r="AV126" s="247">
        <f>$AF$25</f>
        <v>18081</v>
      </c>
      <c r="AW126" s="247">
        <f>$AG$25</f>
        <v>20903.400000000001</v>
      </c>
    </row>
    <row r="127" spans="1:49" x14ac:dyDescent="0.2">
      <c r="A127" s="312" t="s">
        <v>305</v>
      </c>
      <c r="M127" s="247"/>
      <c r="N127" s="1205" t="e">
        <f>N42/(Sensativities!P61*Sensativities!P17)</f>
        <v>#DIV/0!</v>
      </c>
      <c r="O127" s="247"/>
      <c r="P127" s="247"/>
      <c r="Q127" s="247"/>
      <c r="R127" s="247"/>
      <c r="S127" s="247"/>
      <c r="T127" s="247"/>
      <c r="U127" s="247"/>
      <c r="V127" s="247"/>
      <c r="W127" s="247"/>
      <c r="X127" s="247"/>
      <c r="Y127" s="247"/>
      <c r="Z127" s="247"/>
      <c r="AA127" s="247"/>
      <c r="AB127" s="247"/>
      <c r="AC127" s="247"/>
      <c r="AD127" s="247"/>
      <c r="AE127" s="247">
        <f>$N$25</f>
        <v>13576.5</v>
      </c>
      <c r="AF127" s="247">
        <f>$N$25</f>
        <v>13576.5</v>
      </c>
      <c r="AG127" s="247">
        <f>$O$25</f>
        <v>19309.499999999996</v>
      </c>
      <c r="AH127" s="247">
        <f>$P$25</f>
        <v>22585.5</v>
      </c>
      <c r="AI127" s="247">
        <f>$Q$25</f>
        <v>22554</v>
      </c>
      <c r="AJ127" s="247">
        <f>$R$25</f>
        <v>24475.5</v>
      </c>
      <c r="AK127" s="247">
        <f>$S$25</f>
        <v>19057.5</v>
      </c>
      <c r="AL127" s="247">
        <f>$T$25</f>
        <v>16726.5</v>
      </c>
      <c r="AM127" s="247">
        <f>$U$25</f>
        <v>18837</v>
      </c>
      <c r="AN127" s="247">
        <f>$V$25</f>
        <v>19341</v>
      </c>
      <c r="AO127" s="247">
        <f>$W$25</f>
        <v>24034.5</v>
      </c>
      <c r="AP127" s="247">
        <f>$X$25</f>
        <v>19435.5</v>
      </c>
      <c r="AQ127" s="247">
        <f>$Y$25</f>
        <v>17041.5</v>
      </c>
      <c r="AR127" s="247">
        <f>$Z$25</f>
        <v>23688</v>
      </c>
      <c r="AS127" s="247">
        <f>$AA$25</f>
        <v>19876.5</v>
      </c>
      <c r="AT127" s="247">
        <f>$AB$25</f>
        <v>24223.5</v>
      </c>
      <c r="AU127" s="247">
        <f>$AD$25</f>
        <v>30712.5</v>
      </c>
      <c r="AV127" s="247">
        <f>$AE$25</f>
        <v>23845.5</v>
      </c>
      <c r="AW127" s="247">
        <f>$AF$25</f>
        <v>18081</v>
      </c>
    </row>
    <row r="128" spans="1:49" x14ac:dyDescent="0.2">
      <c r="A128" s="312" t="s">
        <v>306</v>
      </c>
      <c r="M128" s="247"/>
      <c r="N128" s="1205" t="e">
        <f>N43/(Sensativities!P62*Sensativities!P17)</f>
        <v>#DIV/0!</v>
      </c>
      <c r="O128" s="247"/>
      <c r="P128" s="247"/>
      <c r="Q128" s="247"/>
      <c r="R128" s="247"/>
      <c r="S128" s="247"/>
      <c r="T128" s="247"/>
      <c r="U128" s="247"/>
      <c r="V128" s="247"/>
      <c r="W128" s="247"/>
      <c r="X128" s="247"/>
      <c r="Y128" s="247"/>
      <c r="Z128" s="247"/>
      <c r="AA128" s="247"/>
      <c r="AB128" s="247"/>
      <c r="AC128" s="247"/>
      <c r="AD128" s="247"/>
      <c r="AE128" s="247"/>
      <c r="AF128" s="247">
        <f>$N$25</f>
        <v>13576.5</v>
      </c>
      <c r="AG128" s="247">
        <f>$N$25</f>
        <v>13576.5</v>
      </c>
      <c r="AH128" s="247">
        <f>$O$25</f>
        <v>19309.499999999996</v>
      </c>
      <c r="AI128" s="247">
        <f>$P$25</f>
        <v>22585.5</v>
      </c>
      <c r="AJ128" s="247">
        <f>$Q$25</f>
        <v>22554</v>
      </c>
      <c r="AK128" s="247">
        <f>$R$25</f>
        <v>24475.5</v>
      </c>
      <c r="AL128" s="247">
        <f>$S$25</f>
        <v>19057.5</v>
      </c>
      <c r="AM128" s="247">
        <f>$T$25</f>
        <v>16726.5</v>
      </c>
      <c r="AN128" s="247">
        <f>$U$25</f>
        <v>18837</v>
      </c>
      <c r="AO128" s="247">
        <f>$V$25</f>
        <v>19341</v>
      </c>
      <c r="AP128" s="247">
        <f>$W$25</f>
        <v>24034.5</v>
      </c>
      <c r="AQ128" s="247">
        <f>$X$25</f>
        <v>19435.5</v>
      </c>
      <c r="AR128" s="247">
        <f>$Y$25</f>
        <v>17041.5</v>
      </c>
      <c r="AS128" s="247">
        <f>$Z$25</f>
        <v>23688</v>
      </c>
      <c r="AT128" s="247">
        <f>$AA$25</f>
        <v>19876.5</v>
      </c>
      <c r="AU128" s="247">
        <f>$AB$25</f>
        <v>24223.5</v>
      </c>
      <c r="AV128" s="247">
        <f>$AD$25</f>
        <v>30712.5</v>
      </c>
      <c r="AW128" s="247">
        <f>$AE$25</f>
        <v>23845.5</v>
      </c>
    </row>
    <row r="129" spans="1:49" x14ac:dyDescent="0.2">
      <c r="A129" s="312" t="s">
        <v>307</v>
      </c>
      <c r="M129" s="247"/>
      <c r="N129" s="1205" t="e">
        <f>N44/(Sensativities!P63*Sensativities!P17)</f>
        <v>#DIV/0!</v>
      </c>
      <c r="O129" s="247"/>
      <c r="P129" s="247"/>
      <c r="Q129" s="247"/>
      <c r="R129" s="247"/>
      <c r="S129" s="247"/>
      <c r="T129" s="247"/>
      <c r="U129" s="247"/>
      <c r="V129" s="247"/>
      <c r="W129" s="247"/>
      <c r="X129" s="247"/>
      <c r="Y129" s="247"/>
      <c r="Z129" s="247"/>
      <c r="AA129" s="247"/>
      <c r="AB129" s="247"/>
      <c r="AC129" s="247"/>
      <c r="AD129" s="247"/>
      <c r="AE129" s="247"/>
      <c r="AF129" s="247"/>
      <c r="AG129" s="247">
        <f>$N$25</f>
        <v>13576.5</v>
      </c>
      <c r="AH129" s="247">
        <f>$N$25</f>
        <v>13576.5</v>
      </c>
      <c r="AI129" s="247">
        <f>$O$25</f>
        <v>19309.499999999996</v>
      </c>
      <c r="AJ129" s="247">
        <f>$P$25</f>
        <v>22585.5</v>
      </c>
      <c r="AK129" s="247">
        <f>$Q$25</f>
        <v>22554</v>
      </c>
      <c r="AL129" s="247">
        <f>$R$25</f>
        <v>24475.5</v>
      </c>
      <c r="AM129" s="247">
        <f>$S$25</f>
        <v>19057.5</v>
      </c>
      <c r="AN129" s="247">
        <f>$T$25</f>
        <v>16726.5</v>
      </c>
      <c r="AO129" s="247">
        <f>$U$25</f>
        <v>18837</v>
      </c>
      <c r="AP129" s="247">
        <f>$V$25</f>
        <v>19341</v>
      </c>
      <c r="AQ129" s="247">
        <f>$W$25</f>
        <v>24034.5</v>
      </c>
      <c r="AR129" s="247">
        <f>$X$25</f>
        <v>19435.5</v>
      </c>
      <c r="AS129" s="247">
        <f>$Y$25</f>
        <v>17041.5</v>
      </c>
      <c r="AT129" s="247">
        <f>$Z$25</f>
        <v>23688</v>
      </c>
      <c r="AU129" s="247">
        <f>$AA$25</f>
        <v>19876.5</v>
      </c>
      <c r="AV129" s="247">
        <f>$AB$25</f>
        <v>24223.5</v>
      </c>
      <c r="AW129" s="247">
        <f>$AD$25</f>
        <v>30712.5</v>
      </c>
    </row>
    <row r="130" spans="1:49" x14ac:dyDescent="0.2">
      <c r="A130" s="312" t="s">
        <v>308</v>
      </c>
      <c r="M130" s="247"/>
      <c r="N130" s="1205" t="e">
        <f>N45/(Sensativities!P64*Sensativities!P17)</f>
        <v>#DIV/0!</v>
      </c>
      <c r="O130" s="247"/>
      <c r="P130" s="247"/>
      <c r="Q130" s="247"/>
      <c r="R130" s="247"/>
      <c r="S130" s="247"/>
      <c r="T130" s="247"/>
      <c r="U130" s="247"/>
      <c r="V130" s="247"/>
      <c r="W130" s="247"/>
      <c r="X130" s="247"/>
      <c r="Y130" s="247"/>
      <c r="Z130" s="247"/>
      <c r="AA130" s="247"/>
      <c r="AB130" s="247"/>
      <c r="AC130" s="247"/>
      <c r="AD130" s="247"/>
      <c r="AE130" s="247"/>
      <c r="AF130" s="247"/>
      <c r="AG130" s="247"/>
      <c r="AH130" s="247">
        <f>$N$25</f>
        <v>13576.5</v>
      </c>
      <c r="AI130" s="247">
        <f>$N$25</f>
        <v>13576.5</v>
      </c>
      <c r="AJ130" s="247">
        <f>$O$25</f>
        <v>19309.499999999996</v>
      </c>
      <c r="AK130" s="247">
        <f>$P$25</f>
        <v>22585.5</v>
      </c>
      <c r="AL130" s="247">
        <f>$Q$25</f>
        <v>22554</v>
      </c>
      <c r="AM130" s="247">
        <f>$R$25</f>
        <v>24475.5</v>
      </c>
      <c r="AN130" s="247">
        <f>$S$25</f>
        <v>19057.5</v>
      </c>
      <c r="AO130" s="247">
        <f>$T$25</f>
        <v>16726.5</v>
      </c>
      <c r="AP130" s="247">
        <f>$U$25</f>
        <v>18837</v>
      </c>
      <c r="AQ130" s="247">
        <f>$V$25</f>
        <v>19341</v>
      </c>
      <c r="AR130" s="247">
        <f>$W$25</f>
        <v>24034.5</v>
      </c>
      <c r="AS130" s="247">
        <f>$X$25</f>
        <v>19435.5</v>
      </c>
      <c r="AT130" s="247">
        <f>$Y$25</f>
        <v>17041.5</v>
      </c>
      <c r="AU130" s="247">
        <f>$Z$25</f>
        <v>23688</v>
      </c>
      <c r="AV130" s="247">
        <f>$AA$25</f>
        <v>19876.5</v>
      </c>
      <c r="AW130" s="247">
        <f>$AB$25</f>
        <v>24223.5</v>
      </c>
    </row>
    <row r="131" spans="1:49" x14ac:dyDescent="0.2">
      <c r="A131" s="312" t="s">
        <v>309</v>
      </c>
      <c r="M131" s="247"/>
      <c r="N131" s="1205" t="e">
        <f>N46/(Sensativities!P65*Sensativities!P17)</f>
        <v>#DIV/0!</v>
      </c>
      <c r="O131" s="247"/>
      <c r="P131" s="247"/>
      <c r="Q131" s="247"/>
      <c r="R131" s="247"/>
      <c r="S131" s="247"/>
      <c r="T131" s="247"/>
      <c r="U131" s="247"/>
      <c r="V131" s="247"/>
      <c r="W131" s="247"/>
      <c r="X131" s="247"/>
      <c r="Y131" s="247"/>
      <c r="Z131" s="247"/>
      <c r="AA131" s="247"/>
      <c r="AB131" s="247"/>
      <c r="AC131" s="247"/>
      <c r="AD131" s="247"/>
      <c r="AE131" s="247"/>
      <c r="AF131" s="247"/>
      <c r="AG131" s="247"/>
      <c r="AH131" s="247"/>
      <c r="AI131" s="247">
        <f>$N$25</f>
        <v>13576.5</v>
      </c>
      <c r="AJ131" s="247">
        <f>$N$25</f>
        <v>13576.5</v>
      </c>
      <c r="AK131" s="247">
        <f>$O$25</f>
        <v>19309.499999999996</v>
      </c>
      <c r="AL131" s="247">
        <f>$P$25</f>
        <v>22585.5</v>
      </c>
      <c r="AM131" s="247">
        <f>$Q$25</f>
        <v>22554</v>
      </c>
      <c r="AN131" s="247">
        <f>$R$25</f>
        <v>24475.5</v>
      </c>
      <c r="AO131" s="247">
        <f>$S$25</f>
        <v>19057.5</v>
      </c>
      <c r="AP131" s="247">
        <f>$T$25</f>
        <v>16726.5</v>
      </c>
      <c r="AQ131" s="247">
        <f>$U$25</f>
        <v>18837</v>
      </c>
      <c r="AR131" s="247">
        <f>$V$25</f>
        <v>19341</v>
      </c>
      <c r="AS131" s="247">
        <f>$W$25</f>
        <v>24034.5</v>
      </c>
      <c r="AT131" s="247">
        <f>$X$25</f>
        <v>19435.5</v>
      </c>
      <c r="AU131" s="247">
        <f>$Y$25</f>
        <v>17041.5</v>
      </c>
      <c r="AV131" s="247">
        <f>$Z$25</f>
        <v>23688</v>
      </c>
      <c r="AW131" s="247">
        <f>$AA$25</f>
        <v>19876.5</v>
      </c>
    </row>
    <row r="132" spans="1:49" x14ac:dyDescent="0.2">
      <c r="A132" s="312" t="s">
        <v>310</v>
      </c>
      <c r="M132" s="247"/>
      <c r="N132" s="1205" t="e">
        <f>N47/(Sensativities!P66*Sensativities!P17)</f>
        <v>#DIV/0!</v>
      </c>
      <c r="O132" s="247"/>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f>$N$25</f>
        <v>13576.5</v>
      </c>
      <c r="AK132" s="247">
        <f>$N$25</f>
        <v>13576.5</v>
      </c>
      <c r="AL132" s="247">
        <f>$O$25</f>
        <v>19309.499999999996</v>
      </c>
      <c r="AM132" s="247">
        <f>$P$25</f>
        <v>22585.5</v>
      </c>
      <c r="AN132" s="247">
        <f>$Q$25</f>
        <v>22554</v>
      </c>
      <c r="AO132" s="247">
        <f>$R$25</f>
        <v>24475.5</v>
      </c>
      <c r="AP132" s="247">
        <f>$S$25</f>
        <v>19057.5</v>
      </c>
      <c r="AQ132" s="247">
        <f>$T$25</f>
        <v>16726.5</v>
      </c>
      <c r="AR132" s="247">
        <f>$U$25</f>
        <v>18837</v>
      </c>
      <c r="AS132" s="247">
        <f>$V$25</f>
        <v>19341</v>
      </c>
      <c r="AT132" s="247">
        <f>$W$25</f>
        <v>24034.5</v>
      </c>
      <c r="AU132" s="247">
        <f>$X$25</f>
        <v>19435.5</v>
      </c>
      <c r="AV132" s="247">
        <f>$Y$25</f>
        <v>17041.5</v>
      </c>
      <c r="AW132" s="247">
        <f>$Z$25</f>
        <v>23688</v>
      </c>
    </row>
    <row r="133" spans="1:49" x14ac:dyDescent="0.2">
      <c r="A133" s="312" t="s">
        <v>311</v>
      </c>
      <c r="M133" s="247"/>
      <c r="N133" s="1205" t="e">
        <f>N48/(Sensativities!P67*Sensativities!P17)</f>
        <v>#DIV/0!</v>
      </c>
      <c r="O133" s="247"/>
      <c r="P133" s="247"/>
      <c r="Q133" s="247"/>
      <c r="R133" s="247"/>
      <c r="S133" s="247"/>
      <c r="T133" s="247"/>
      <c r="U133" s="247"/>
      <c r="V133" s="247"/>
      <c r="W133" s="247"/>
      <c r="X133" s="247"/>
      <c r="Y133" s="247"/>
      <c r="Z133" s="247"/>
      <c r="AA133" s="247"/>
      <c r="AB133" s="247"/>
      <c r="AC133" s="247"/>
      <c r="AD133" s="247"/>
      <c r="AE133" s="247"/>
      <c r="AF133" s="247"/>
      <c r="AG133" s="247"/>
      <c r="AH133" s="247"/>
      <c r="AI133" s="247"/>
      <c r="AJ133" s="247"/>
      <c r="AK133" s="247">
        <f>$N$25</f>
        <v>13576.5</v>
      </c>
      <c r="AL133" s="247">
        <f>$N$25</f>
        <v>13576.5</v>
      </c>
      <c r="AM133" s="247">
        <f>$O$25</f>
        <v>19309.499999999996</v>
      </c>
      <c r="AN133" s="247">
        <f>$P$25</f>
        <v>22585.5</v>
      </c>
      <c r="AO133" s="247">
        <f>$Q$25</f>
        <v>22554</v>
      </c>
      <c r="AP133" s="247">
        <f>$R$25</f>
        <v>24475.5</v>
      </c>
      <c r="AQ133" s="247">
        <f>$S$25</f>
        <v>19057.5</v>
      </c>
      <c r="AR133" s="247">
        <f>$T$25</f>
        <v>16726.5</v>
      </c>
      <c r="AS133" s="247">
        <f>$U$25</f>
        <v>18837</v>
      </c>
      <c r="AT133" s="247">
        <f>$V$25</f>
        <v>19341</v>
      </c>
      <c r="AU133" s="247">
        <f>$W$25</f>
        <v>24034.5</v>
      </c>
      <c r="AV133" s="247">
        <f>$X$25</f>
        <v>19435.5</v>
      </c>
      <c r="AW133" s="247">
        <f>$Y$25</f>
        <v>17041.5</v>
      </c>
    </row>
    <row r="134" spans="1:49" x14ac:dyDescent="0.2">
      <c r="A134" s="605" t="s">
        <v>767</v>
      </c>
      <c r="M134" s="247"/>
      <c r="N134" s="1205" t="e">
        <f>N49/(Sensativities!P68*Sensativities!P17)</f>
        <v>#DIV/0!</v>
      </c>
      <c r="O134" s="247"/>
      <c r="P134" s="247"/>
      <c r="Q134" s="247"/>
      <c r="R134" s="247"/>
      <c r="S134" s="247"/>
      <c r="T134" s="247"/>
      <c r="U134" s="247"/>
      <c r="V134" s="247"/>
      <c r="W134" s="247"/>
      <c r="X134" s="247"/>
      <c r="Y134" s="247"/>
      <c r="Z134" s="247"/>
      <c r="AA134" s="247"/>
      <c r="AB134" s="247"/>
      <c r="AC134" s="247"/>
      <c r="AD134" s="247"/>
      <c r="AE134" s="247"/>
      <c r="AF134" s="247"/>
      <c r="AG134" s="247"/>
      <c r="AH134" s="247"/>
      <c r="AI134" s="247"/>
      <c r="AJ134" s="247"/>
      <c r="AK134" s="247"/>
      <c r="AL134" s="247">
        <f>$N$25</f>
        <v>13576.5</v>
      </c>
      <c r="AM134" s="247">
        <f>$N$25</f>
        <v>13576.5</v>
      </c>
      <c r="AN134" s="247">
        <f>$O$25</f>
        <v>19309.499999999996</v>
      </c>
      <c r="AO134" s="247">
        <f>$P$25</f>
        <v>22585.5</v>
      </c>
      <c r="AP134" s="247">
        <f>$Q$25</f>
        <v>22554</v>
      </c>
      <c r="AQ134" s="247">
        <f>$R$25</f>
        <v>24475.5</v>
      </c>
      <c r="AR134" s="247">
        <f>$S$25</f>
        <v>19057.5</v>
      </c>
      <c r="AS134" s="247">
        <f>$T$25</f>
        <v>16726.5</v>
      </c>
      <c r="AT134" s="247">
        <f>$U$25</f>
        <v>18837</v>
      </c>
      <c r="AU134" s="247">
        <f>$V$25</f>
        <v>19341</v>
      </c>
      <c r="AV134" s="247">
        <f>$W$25</f>
        <v>24034.5</v>
      </c>
      <c r="AW134" s="247">
        <f>$X$25</f>
        <v>19435.5</v>
      </c>
    </row>
    <row r="135" spans="1:49" x14ac:dyDescent="0.2">
      <c r="A135" s="605" t="s">
        <v>768</v>
      </c>
      <c r="M135" s="247"/>
      <c r="N135" s="1205" t="e">
        <f>N50/(Sensativities!P69*Sensativities!P17)</f>
        <v>#DIV/0!</v>
      </c>
      <c r="O135" s="247"/>
      <c r="P135" s="247"/>
      <c r="Q135" s="247"/>
      <c r="R135" s="247"/>
      <c r="S135" s="247"/>
      <c r="T135" s="247"/>
      <c r="U135" s="247"/>
      <c r="V135" s="247"/>
      <c r="W135" s="247"/>
      <c r="X135" s="247"/>
      <c r="Y135" s="247"/>
      <c r="Z135" s="247"/>
      <c r="AA135" s="247"/>
      <c r="AB135" s="247"/>
      <c r="AC135" s="247"/>
      <c r="AD135" s="247"/>
      <c r="AE135" s="247"/>
      <c r="AF135" s="247"/>
      <c r="AG135" s="247"/>
      <c r="AH135" s="247"/>
      <c r="AI135" s="247"/>
      <c r="AJ135" s="247"/>
      <c r="AK135" s="247"/>
      <c r="AL135" s="247"/>
      <c r="AM135" s="247">
        <f>$N$25</f>
        <v>13576.5</v>
      </c>
      <c r="AN135" s="247">
        <f>$N$25</f>
        <v>13576.5</v>
      </c>
      <c r="AO135" s="247">
        <f>$O$25</f>
        <v>19309.499999999996</v>
      </c>
      <c r="AP135" s="247">
        <f>$P$25</f>
        <v>22585.5</v>
      </c>
      <c r="AQ135" s="247">
        <f>$Q$25</f>
        <v>22554</v>
      </c>
      <c r="AR135" s="247">
        <f>$R$25</f>
        <v>24475.5</v>
      </c>
      <c r="AS135" s="247">
        <f>$S$25</f>
        <v>19057.5</v>
      </c>
      <c r="AT135" s="247">
        <f>$T$25</f>
        <v>16726.5</v>
      </c>
      <c r="AU135" s="247">
        <f>$U$25</f>
        <v>18837</v>
      </c>
      <c r="AV135" s="247">
        <f>$V$25</f>
        <v>19341</v>
      </c>
      <c r="AW135" s="247">
        <f>$W$25</f>
        <v>24034.5</v>
      </c>
    </row>
    <row r="136" spans="1:49" x14ac:dyDescent="0.2">
      <c r="A136" s="605" t="s">
        <v>769</v>
      </c>
      <c r="M136" s="247"/>
      <c r="N136" s="1205" t="e">
        <f>N51/(Sensativities!P70*Sensativities!P17)</f>
        <v>#DIV/0!</v>
      </c>
      <c r="O136" s="247"/>
      <c r="P136" s="247"/>
      <c r="Q136" s="247"/>
      <c r="R136" s="247"/>
      <c r="S136" s="247"/>
      <c r="T136" s="247"/>
      <c r="U136" s="247"/>
      <c r="V136" s="247"/>
      <c r="W136" s="247"/>
      <c r="X136" s="247"/>
      <c r="Y136" s="247"/>
      <c r="Z136" s="247"/>
      <c r="AA136" s="247"/>
      <c r="AB136" s="247"/>
      <c r="AC136" s="247"/>
      <c r="AD136" s="247"/>
      <c r="AE136" s="247"/>
      <c r="AF136" s="247"/>
      <c r="AG136" s="247"/>
      <c r="AH136" s="247"/>
      <c r="AI136" s="247"/>
      <c r="AJ136" s="247"/>
      <c r="AK136" s="247"/>
      <c r="AL136" s="247"/>
      <c r="AM136" s="247"/>
      <c r="AN136" s="247">
        <f>$N$25</f>
        <v>13576.5</v>
      </c>
      <c r="AO136" s="247">
        <f>$N$25</f>
        <v>13576.5</v>
      </c>
      <c r="AP136" s="247">
        <f>$O$25</f>
        <v>19309.499999999996</v>
      </c>
      <c r="AQ136" s="247">
        <f>$P$25</f>
        <v>22585.5</v>
      </c>
      <c r="AR136" s="247">
        <f>$Q$25</f>
        <v>22554</v>
      </c>
      <c r="AS136" s="247">
        <f>$R$25</f>
        <v>24475.5</v>
      </c>
      <c r="AT136" s="247">
        <f>$S$25</f>
        <v>19057.5</v>
      </c>
      <c r="AU136" s="247">
        <f>$T$25</f>
        <v>16726.5</v>
      </c>
      <c r="AV136" s="247">
        <f>$U$25</f>
        <v>18837</v>
      </c>
      <c r="AW136" s="247">
        <f>$V$25</f>
        <v>19341</v>
      </c>
    </row>
    <row r="137" spans="1:49" x14ac:dyDescent="0.2">
      <c r="A137" s="605" t="s">
        <v>770</v>
      </c>
      <c r="M137" s="247"/>
      <c r="N137" s="1205" t="e">
        <f>N52/(Sensativities!P71*Sensativities!P17)</f>
        <v>#DIV/0!</v>
      </c>
      <c r="O137" s="247"/>
      <c r="P137" s="247"/>
      <c r="Q137" s="247"/>
      <c r="R137" s="247"/>
      <c r="S137" s="247"/>
      <c r="T137" s="247"/>
      <c r="U137" s="247"/>
      <c r="V137" s="247"/>
      <c r="W137" s="247"/>
      <c r="X137" s="247"/>
      <c r="Y137" s="247"/>
      <c r="Z137" s="247"/>
      <c r="AA137" s="247"/>
      <c r="AB137" s="247"/>
      <c r="AC137" s="247"/>
      <c r="AD137" s="247"/>
      <c r="AE137" s="247"/>
      <c r="AF137" s="247"/>
      <c r="AG137" s="247"/>
      <c r="AH137" s="247"/>
      <c r="AI137" s="247"/>
      <c r="AJ137" s="247"/>
      <c r="AK137" s="247"/>
      <c r="AL137" s="247"/>
      <c r="AM137" s="247"/>
      <c r="AN137" s="247"/>
      <c r="AO137" s="247">
        <f>$N$25</f>
        <v>13576.5</v>
      </c>
      <c r="AP137" s="247">
        <f>$N$25</f>
        <v>13576.5</v>
      </c>
      <c r="AQ137" s="247">
        <f>$O$25</f>
        <v>19309.499999999996</v>
      </c>
      <c r="AR137" s="247">
        <f>$P$25</f>
        <v>22585.5</v>
      </c>
      <c r="AS137" s="247">
        <f>$Q$25</f>
        <v>22554</v>
      </c>
      <c r="AT137" s="247">
        <f>$R$25</f>
        <v>24475.5</v>
      </c>
      <c r="AU137" s="247">
        <f>$S$25</f>
        <v>19057.5</v>
      </c>
      <c r="AV137" s="247">
        <f>$T$25</f>
        <v>16726.5</v>
      </c>
      <c r="AW137" s="247">
        <f>$U$25</f>
        <v>18837</v>
      </c>
    </row>
    <row r="138" spans="1:49" x14ac:dyDescent="0.2">
      <c r="A138" s="605" t="s">
        <v>771</v>
      </c>
      <c r="M138" s="247"/>
      <c r="N138" s="1205" t="e">
        <f>N53/(Sensativities!P72*Sensativities!P17)</f>
        <v>#DIV/0!</v>
      </c>
      <c r="O138" s="247"/>
      <c r="P138" s="247"/>
      <c r="Q138" s="247"/>
      <c r="R138" s="247"/>
      <c r="S138" s="247"/>
      <c r="T138" s="247"/>
      <c r="U138" s="247"/>
      <c r="V138" s="247"/>
      <c r="W138" s="247"/>
      <c r="X138" s="247"/>
      <c r="Y138" s="247"/>
      <c r="Z138" s="247"/>
      <c r="AA138" s="247"/>
      <c r="AB138" s="247"/>
      <c r="AC138" s="247"/>
      <c r="AD138" s="247"/>
      <c r="AE138" s="247"/>
      <c r="AF138" s="247"/>
      <c r="AG138" s="247"/>
      <c r="AH138" s="247"/>
      <c r="AI138" s="247"/>
      <c r="AJ138" s="247"/>
      <c r="AK138" s="247"/>
      <c r="AL138" s="247"/>
      <c r="AM138" s="247"/>
      <c r="AN138" s="247"/>
      <c r="AO138" s="247"/>
      <c r="AP138" s="247">
        <f>$N$25</f>
        <v>13576.5</v>
      </c>
      <c r="AQ138" s="247">
        <f>$N$25</f>
        <v>13576.5</v>
      </c>
      <c r="AR138" s="247">
        <f>$O$25</f>
        <v>19309.499999999996</v>
      </c>
      <c r="AS138" s="247">
        <f>$P$25</f>
        <v>22585.5</v>
      </c>
      <c r="AT138" s="247">
        <f>$Q$25</f>
        <v>22554</v>
      </c>
      <c r="AU138" s="247">
        <f>$R$25</f>
        <v>24475.5</v>
      </c>
      <c r="AV138" s="247">
        <f>$S$25</f>
        <v>19057.5</v>
      </c>
      <c r="AW138" s="247">
        <f>$T$25</f>
        <v>16726.5</v>
      </c>
    </row>
    <row r="139" spans="1:49" x14ac:dyDescent="0.2">
      <c r="A139" s="605" t="s">
        <v>772</v>
      </c>
      <c r="M139" s="247"/>
      <c r="N139" s="1205" t="e">
        <f>N54/(Sensativities!P73*Sensativities!P17)</f>
        <v>#DIV/0!</v>
      </c>
      <c r="O139" s="247"/>
      <c r="P139" s="247"/>
      <c r="Q139" s="247"/>
      <c r="R139" s="247"/>
      <c r="S139" s="247"/>
      <c r="T139" s="247"/>
      <c r="U139" s="247"/>
      <c r="V139" s="247"/>
      <c r="W139" s="247"/>
      <c r="X139" s="247"/>
      <c r="Y139" s="247"/>
      <c r="Z139" s="247"/>
      <c r="AA139" s="247"/>
      <c r="AB139" s="247"/>
      <c r="AC139" s="247"/>
      <c r="AD139" s="247"/>
      <c r="AE139" s="247"/>
      <c r="AF139" s="247"/>
      <c r="AG139" s="247"/>
      <c r="AH139" s="247"/>
      <c r="AI139" s="247"/>
      <c r="AJ139" s="247"/>
      <c r="AK139" s="247"/>
      <c r="AL139" s="247"/>
      <c r="AM139" s="247"/>
      <c r="AN139" s="247"/>
      <c r="AO139" s="247"/>
      <c r="AP139" s="247"/>
      <c r="AQ139" s="247">
        <f>$N$25</f>
        <v>13576.5</v>
      </c>
      <c r="AR139" s="247">
        <f>$N$25</f>
        <v>13576.5</v>
      </c>
      <c r="AS139" s="247">
        <f>$O$25</f>
        <v>19309.499999999996</v>
      </c>
      <c r="AT139" s="247">
        <f>$P$25</f>
        <v>22585.5</v>
      </c>
      <c r="AU139" s="247">
        <f>$Q$25</f>
        <v>22554</v>
      </c>
      <c r="AV139" s="247">
        <f>$R$25</f>
        <v>24475.5</v>
      </c>
      <c r="AW139" s="247">
        <f>$S$25</f>
        <v>19057.5</v>
      </c>
    </row>
    <row r="140" spans="1:49" x14ac:dyDescent="0.2">
      <c r="A140" s="605" t="s">
        <v>773</v>
      </c>
      <c r="M140" s="247"/>
      <c r="N140" s="1205" t="e">
        <f>N55/(Sensativities!P74*Sensativities!P17)</f>
        <v>#DIV/0!</v>
      </c>
      <c r="O140" s="247"/>
      <c r="P140" s="247"/>
      <c r="Q140" s="247"/>
      <c r="R140" s="247"/>
      <c r="S140" s="247"/>
      <c r="T140" s="247"/>
      <c r="U140" s="247"/>
      <c r="V140" s="247"/>
      <c r="W140" s="247"/>
      <c r="X140" s="247"/>
      <c r="Y140" s="247"/>
      <c r="Z140" s="247"/>
      <c r="AA140" s="247"/>
      <c r="AB140" s="247"/>
      <c r="AC140" s="247"/>
      <c r="AD140" s="247"/>
      <c r="AE140" s="247"/>
      <c r="AF140" s="247"/>
      <c r="AG140" s="247"/>
      <c r="AH140" s="247"/>
      <c r="AI140" s="247"/>
      <c r="AJ140" s="247"/>
      <c r="AK140" s="247"/>
      <c r="AL140" s="247"/>
      <c r="AM140" s="247"/>
      <c r="AN140" s="247"/>
      <c r="AO140" s="247"/>
      <c r="AP140" s="247"/>
      <c r="AQ140" s="247"/>
      <c r="AR140" s="247">
        <f>$N$25</f>
        <v>13576.5</v>
      </c>
      <c r="AS140" s="247">
        <f>$N$25</f>
        <v>13576.5</v>
      </c>
      <c r="AT140" s="247">
        <f>$O$25</f>
        <v>19309.499999999996</v>
      </c>
      <c r="AU140" s="247">
        <f>$P$25</f>
        <v>22585.5</v>
      </c>
      <c r="AV140" s="247">
        <f>$Q$25</f>
        <v>22554</v>
      </c>
      <c r="AW140" s="247">
        <f>$R$25</f>
        <v>24475.5</v>
      </c>
    </row>
    <row r="141" spans="1:49" x14ac:dyDescent="0.2">
      <c r="A141" s="605" t="s">
        <v>774</v>
      </c>
      <c r="M141" s="247"/>
      <c r="N141" s="1205" t="e">
        <f>N56/(Sensativities!P75*Sensativities!P17)</f>
        <v>#DIV/0!</v>
      </c>
      <c r="O141" s="247"/>
      <c r="P141" s="247"/>
      <c r="Q141" s="247"/>
      <c r="R141" s="247"/>
      <c r="S141" s="247"/>
      <c r="T141" s="247"/>
      <c r="U141" s="247"/>
      <c r="V141" s="247"/>
      <c r="W141" s="247"/>
      <c r="X141" s="247"/>
      <c r="Y141" s="247"/>
      <c r="Z141" s="247"/>
      <c r="AA141" s="247"/>
      <c r="AB141" s="247"/>
      <c r="AC141" s="247"/>
      <c r="AD141" s="247"/>
      <c r="AE141" s="247"/>
      <c r="AF141" s="247"/>
      <c r="AG141" s="247"/>
      <c r="AH141" s="247"/>
      <c r="AI141" s="247"/>
      <c r="AJ141" s="247"/>
      <c r="AK141" s="247"/>
      <c r="AL141" s="247"/>
      <c r="AM141" s="247"/>
      <c r="AN141" s="247"/>
      <c r="AO141" s="247"/>
      <c r="AP141" s="247"/>
      <c r="AQ141" s="247"/>
      <c r="AR141" s="247"/>
      <c r="AS141" s="247">
        <f>$N$25</f>
        <v>13576.5</v>
      </c>
      <c r="AT141" s="247">
        <f>$N$25</f>
        <v>13576.5</v>
      </c>
      <c r="AU141" s="247">
        <f>$O$25</f>
        <v>19309.499999999996</v>
      </c>
      <c r="AV141" s="247">
        <f>$P$25</f>
        <v>22585.5</v>
      </c>
      <c r="AW141" s="247">
        <f>$Q$25</f>
        <v>22554</v>
      </c>
    </row>
    <row r="142" spans="1:49" x14ac:dyDescent="0.2">
      <c r="A142" s="605" t="s">
        <v>775</v>
      </c>
      <c r="M142" s="247"/>
      <c r="N142" s="1205" t="e">
        <f>N57/(Sensativities!P76*Sensativities!P17)</f>
        <v>#DIV/0!</v>
      </c>
      <c r="O142" s="247"/>
      <c r="P142" s="247"/>
      <c r="Q142" s="247"/>
      <c r="R142" s="247"/>
      <c r="S142" s="247"/>
      <c r="T142" s="247"/>
      <c r="U142" s="247"/>
      <c r="V142" s="247"/>
      <c r="W142" s="247"/>
      <c r="X142" s="247"/>
      <c r="Y142" s="247"/>
      <c r="Z142" s="247"/>
      <c r="AA142" s="247"/>
      <c r="AB142" s="247"/>
      <c r="AC142" s="247"/>
      <c r="AD142" s="247"/>
      <c r="AE142" s="247"/>
      <c r="AF142" s="247"/>
      <c r="AG142" s="247"/>
      <c r="AH142" s="247"/>
      <c r="AI142" s="247"/>
      <c r="AJ142" s="247"/>
      <c r="AK142" s="247"/>
      <c r="AL142" s="247"/>
      <c r="AM142" s="247"/>
      <c r="AN142" s="247"/>
      <c r="AO142" s="247"/>
      <c r="AP142" s="247"/>
      <c r="AQ142" s="247"/>
      <c r="AR142" s="247"/>
      <c r="AS142" s="247"/>
      <c r="AT142" s="247">
        <f>$N$25</f>
        <v>13576.5</v>
      </c>
      <c r="AU142" s="247">
        <f>$N$25</f>
        <v>13576.5</v>
      </c>
      <c r="AV142" s="247">
        <f>$O$25</f>
        <v>19309.499999999996</v>
      </c>
      <c r="AW142" s="247">
        <f>$P$25</f>
        <v>22585.5</v>
      </c>
    </row>
    <row r="143" spans="1:49" x14ac:dyDescent="0.2">
      <c r="A143" s="605" t="s">
        <v>776</v>
      </c>
      <c r="M143" s="247"/>
      <c r="N143" s="1205" t="e">
        <f>N58/(Sensativities!P77*Sensativities!P17)</f>
        <v>#DIV/0!</v>
      </c>
      <c r="O143" s="247"/>
      <c r="P143" s="247"/>
      <c r="Q143" s="247"/>
      <c r="R143" s="247"/>
      <c r="S143" s="247"/>
      <c r="T143" s="247"/>
      <c r="U143" s="247"/>
      <c r="V143" s="247"/>
      <c r="W143" s="247"/>
      <c r="X143" s="247"/>
      <c r="Y143" s="247"/>
      <c r="Z143" s="247"/>
      <c r="AA143" s="247"/>
      <c r="AB143" s="247"/>
      <c r="AC143" s="247"/>
      <c r="AD143" s="247"/>
      <c r="AE143" s="247"/>
      <c r="AF143" s="247"/>
      <c r="AG143" s="247"/>
      <c r="AH143" s="247"/>
      <c r="AI143" s="247"/>
      <c r="AJ143" s="247"/>
      <c r="AK143" s="247"/>
      <c r="AL143" s="247"/>
      <c r="AM143" s="247"/>
      <c r="AN143" s="247"/>
      <c r="AO143" s="247"/>
      <c r="AP143" s="247"/>
      <c r="AQ143" s="247"/>
      <c r="AR143" s="247"/>
      <c r="AS143" s="247"/>
      <c r="AT143" s="247"/>
      <c r="AU143" s="247">
        <f>$N$25</f>
        <v>13576.5</v>
      </c>
      <c r="AV143" s="247">
        <f>$N$25</f>
        <v>13576.5</v>
      </c>
      <c r="AW143" s="247">
        <f>$O$25</f>
        <v>19309.499999999996</v>
      </c>
    </row>
    <row r="144" spans="1:49" x14ac:dyDescent="0.2">
      <c r="A144" s="605" t="s">
        <v>777</v>
      </c>
      <c r="M144" s="247"/>
      <c r="N144" s="1205" t="e">
        <f>N59/(Sensativities!P78*Sensativities!P17)</f>
        <v>#DIV/0!</v>
      </c>
      <c r="O144" s="247"/>
      <c r="P144" s="247"/>
      <c r="Q144" s="247"/>
      <c r="R144" s="247"/>
      <c r="S144" s="247"/>
      <c r="T144" s="247"/>
      <c r="U144" s="247"/>
      <c r="V144" s="247"/>
      <c r="W144" s="247"/>
      <c r="X144" s="247"/>
      <c r="Y144" s="247"/>
      <c r="Z144" s="247"/>
      <c r="AA144" s="247"/>
      <c r="AB144" s="247"/>
      <c r="AC144" s="247"/>
      <c r="AD144" s="247"/>
      <c r="AE144" s="247"/>
      <c r="AF144" s="247"/>
      <c r="AG144" s="247"/>
      <c r="AH144" s="247"/>
      <c r="AI144" s="247"/>
      <c r="AJ144" s="247"/>
      <c r="AK144" s="247"/>
      <c r="AL144" s="247"/>
      <c r="AM144" s="247"/>
      <c r="AN144" s="247"/>
      <c r="AO144" s="247"/>
      <c r="AP144" s="247"/>
      <c r="AQ144" s="247"/>
      <c r="AR144" s="247"/>
      <c r="AS144" s="247"/>
      <c r="AT144" s="247"/>
      <c r="AU144" s="247"/>
      <c r="AV144" s="247">
        <f>$N$25</f>
        <v>13576.5</v>
      </c>
      <c r="AW144" s="247">
        <f>$N$25</f>
        <v>13576.5</v>
      </c>
    </row>
    <row r="145" spans="1:49" x14ac:dyDescent="0.2">
      <c r="A145" s="605" t="s">
        <v>778</v>
      </c>
      <c r="M145" s="247"/>
      <c r="N145" s="1205" t="e">
        <f>N60/(Sensativities!P79*Sensativities!P17)</f>
        <v>#DIV/0!</v>
      </c>
      <c r="O145" s="247"/>
      <c r="P145" s="247"/>
      <c r="Q145" s="247"/>
      <c r="R145" s="247"/>
      <c r="S145" s="247"/>
      <c r="T145" s="247"/>
      <c r="U145" s="247"/>
      <c r="V145" s="247"/>
      <c r="W145" s="247"/>
      <c r="X145" s="247"/>
      <c r="Y145" s="247"/>
      <c r="Z145" s="247"/>
      <c r="AA145" s="247"/>
      <c r="AB145" s="247"/>
      <c r="AC145" s="247"/>
      <c r="AD145" s="247"/>
      <c r="AE145" s="247"/>
      <c r="AF145" s="247"/>
      <c r="AG145" s="247"/>
      <c r="AH145" s="247"/>
      <c r="AI145" s="247"/>
      <c r="AJ145" s="247"/>
      <c r="AK145" s="247"/>
      <c r="AL145" s="247"/>
      <c r="AM145" s="247"/>
      <c r="AN145" s="247"/>
      <c r="AO145" s="247"/>
      <c r="AP145" s="247"/>
      <c r="AQ145" s="247"/>
      <c r="AR145" s="247"/>
      <c r="AS145" s="247"/>
      <c r="AT145" s="247"/>
      <c r="AU145" s="247"/>
      <c r="AV145" s="247"/>
      <c r="AW145" s="247">
        <f>$N$25</f>
        <v>13576.5</v>
      </c>
    </row>
    <row r="147" spans="1:49" x14ac:dyDescent="0.2">
      <c r="A147" s="1202" t="s">
        <v>49</v>
      </c>
      <c r="B147" s="1203"/>
      <c r="C147" s="1203"/>
      <c r="D147" s="1203"/>
      <c r="E147" s="1203"/>
      <c r="F147" s="1203"/>
      <c r="G147" s="1203"/>
      <c r="H147" s="1203"/>
      <c r="I147" s="1203"/>
      <c r="J147" s="1203"/>
      <c r="K147" s="1203"/>
      <c r="L147" s="1203"/>
      <c r="M147" s="1204">
        <f>SUM(M98:M145)</f>
        <v>4207.66</v>
      </c>
      <c r="N147" s="1204" t="e">
        <f t="shared" ref="N147:AW147" si="13">SUM(N98:N145)</f>
        <v>#DIV/0!</v>
      </c>
      <c r="O147" s="1204">
        <f t="shared" si="13"/>
        <v>5526.2139294234712</v>
      </c>
      <c r="P147" s="1204">
        <f t="shared" si="13"/>
        <v>5487.7683433214088</v>
      </c>
      <c r="Q147" s="1204" t="e">
        <f t="shared" si="13"/>
        <v>#DIV/0!</v>
      </c>
      <c r="R147" s="1204">
        <f t="shared" si="13"/>
        <v>34404.232379126501</v>
      </c>
      <c r="S147" s="1204">
        <f t="shared" si="13"/>
        <v>52530.412531711525</v>
      </c>
      <c r="T147" s="1204">
        <f t="shared" si="13"/>
        <v>74988.913704877181</v>
      </c>
      <c r="U147" s="1204">
        <f t="shared" si="13"/>
        <v>97759.553594355602</v>
      </c>
      <c r="V147" s="1204">
        <f t="shared" si="13"/>
        <v>122670.8506835131</v>
      </c>
      <c r="W147" s="1204">
        <f t="shared" si="13"/>
        <v>141143.0639107044</v>
      </c>
      <c r="X147" s="1204">
        <f t="shared" si="13"/>
        <v>158065.6151619858</v>
      </c>
      <c r="Y147" s="1204">
        <f t="shared" si="13"/>
        <v>177219.57783579035</v>
      </c>
      <c r="Z147" s="1204">
        <f t="shared" si="13"/>
        <v>196206.79498614802</v>
      </c>
      <c r="AA147" s="1204">
        <f t="shared" si="13"/>
        <v>220122.91630809347</v>
      </c>
      <c r="AB147" s="1204">
        <f t="shared" si="13"/>
        <v>239985.8799020916</v>
      </c>
      <c r="AC147" s="1204">
        <f t="shared" si="13"/>
        <v>257086.72166257008</v>
      </c>
      <c r="AD147" s="1204">
        <f t="shared" si="13"/>
        <v>281264.98360941774</v>
      </c>
      <c r="AE147" s="1204">
        <f t="shared" si="13"/>
        <v>301471.52488035389</v>
      </c>
      <c r="AF147" s="1204">
        <f t="shared" si="13"/>
        <v>325874.57024709927</v>
      </c>
      <c r="AG147" s="1204">
        <f t="shared" si="13"/>
        <v>356315.59254665149</v>
      </c>
      <c r="AH147" s="1204">
        <f t="shared" si="13"/>
        <v>379939.99519418983</v>
      </c>
      <c r="AI147" s="1204">
        <f t="shared" si="13"/>
        <v>399129.87931061792</v>
      </c>
      <c r="AJ147" s="1204">
        <f t="shared" si="13"/>
        <v>420691.56385656132</v>
      </c>
      <c r="AK147" s="1204">
        <f t="shared" si="13"/>
        <v>453747.72544692166</v>
      </c>
      <c r="AL147" s="1204">
        <f t="shared" si="13"/>
        <v>479791.39794698532</v>
      </c>
      <c r="AM147" s="1204">
        <f t="shared" si="13"/>
        <v>498004.0907263977</v>
      </c>
      <c r="AN147" s="1204">
        <f t="shared" si="13"/>
        <v>508611.39068008808</v>
      </c>
      <c r="AO147" s="1204">
        <f t="shared" si="13"/>
        <v>530926.11617765506</v>
      </c>
      <c r="AP147" s="1204">
        <f t="shared" si="13"/>
        <v>555284.20531077974</v>
      </c>
      <c r="AQ147" s="1204">
        <f t="shared" si="13"/>
        <v>579972.96445208625</v>
      </c>
      <c r="AR147" s="1204">
        <f t="shared" si="13"/>
        <v>623285.9271351801</v>
      </c>
      <c r="AS147" s="1204">
        <f t="shared" si="13"/>
        <v>667112.85355313099</v>
      </c>
      <c r="AT147" s="1204">
        <f t="shared" si="13"/>
        <v>705590.5877691065</v>
      </c>
      <c r="AU147" s="1204">
        <f t="shared" si="13"/>
        <v>740243.69879304082</v>
      </c>
      <c r="AV147" s="1204">
        <f t="shared" si="13"/>
        <v>771543.42531475821</v>
      </c>
      <c r="AW147" s="1204">
        <f t="shared" si="13"/>
        <v>802257.66467187298</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rgb="FFFFFF00"/>
  </sheetPr>
  <dimension ref="A1:AW103"/>
  <sheetViews>
    <sheetView zoomScaleNormal="100" workbookViewId="0">
      <pane xSplit="1" ySplit="4" topLeftCell="S44" activePane="bottomRight" state="frozenSplit"/>
      <selection pane="topRight" activeCell="B1" sqref="B1"/>
      <selection pane="bottomLeft" activeCell="A2" sqref="A2"/>
      <selection pane="bottomRight" activeCell="AC26" sqref="AC26"/>
    </sheetView>
  </sheetViews>
  <sheetFormatPr defaultColWidth="9.140625" defaultRowHeight="12.75" x14ac:dyDescent="0.2"/>
  <cols>
    <col min="1" max="1" width="25" style="312" bestFit="1" customWidth="1"/>
    <col min="2" max="2" width="23.7109375" style="312" bestFit="1" customWidth="1"/>
    <col min="3" max="16" width="13.85546875" style="312" bestFit="1" customWidth="1"/>
    <col min="17" max="17" width="14.85546875" style="312" bestFit="1" customWidth="1"/>
    <col min="18" max="24" width="13.85546875" style="312" bestFit="1" customWidth="1"/>
    <col min="25" max="37" width="14.5703125" style="312" bestFit="1" customWidth="1"/>
    <col min="38" max="49" width="9.5703125" style="312" bestFit="1" customWidth="1"/>
    <col min="50" max="16384" width="9.140625" style="312"/>
  </cols>
  <sheetData>
    <row r="1" spans="1:49" ht="18.75" thickBot="1" x14ac:dyDescent="0.3">
      <c r="A1" s="87" t="str">
        <f>Sensativities!B4</f>
        <v>CallFire</v>
      </c>
    </row>
    <row r="2" spans="1:49" x14ac:dyDescent="0.2">
      <c r="A2" s="246"/>
      <c r="B2" s="244"/>
      <c r="C2" s="244"/>
      <c r="D2" s="244"/>
      <c r="E2" s="244"/>
      <c r="F2" s="244"/>
      <c r="G2" s="244"/>
    </row>
    <row r="3" spans="1:49" ht="15.75" x14ac:dyDescent="0.25">
      <c r="A3" s="92" t="s">
        <v>69</v>
      </c>
    </row>
    <row r="4" spans="1:49" x14ac:dyDescent="0.2">
      <c r="B4" s="243">
        <f>Sensativities!D2</f>
        <v>40909</v>
      </c>
      <c r="C4" s="243">
        <f>Sensativities!E2</f>
        <v>40940</v>
      </c>
      <c r="D4" s="243">
        <f>Sensativities!F2</f>
        <v>40969</v>
      </c>
      <c r="E4" s="243">
        <f>Sensativities!G2</f>
        <v>41000</v>
      </c>
      <c r="F4" s="243">
        <f>Sensativities!H2</f>
        <v>41030</v>
      </c>
      <c r="G4" s="243">
        <f>Sensativities!I2</f>
        <v>41061</v>
      </c>
      <c r="H4" s="243">
        <f>Sensativities!J2</f>
        <v>41091</v>
      </c>
      <c r="I4" s="243">
        <f>Sensativities!K2</f>
        <v>41122</v>
      </c>
      <c r="J4" s="243">
        <f>Sensativities!L2</f>
        <v>41153</v>
      </c>
      <c r="K4" s="243">
        <f>Sensativities!M2</f>
        <v>41183</v>
      </c>
      <c r="L4" s="243">
        <f>Sensativities!N2</f>
        <v>41214</v>
      </c>
      <c r="M4" s="243">
        <f>Sensativities!O2</f>
        <v>41244</v>
      </c>
      <c r="N4" s="243">
        <f>Sensativities!P2</f>
        <v>41275</v>
      </c>
      <c r="O4" s="243">
        <f>Sensativities!Q2</f>
        <v>41306</v>
      </c>
      <c r="P4" s="243">
        <f>Sensativities!R2</f>
        <v>41334</v>
      </c>
      <c r="Q4" s="243">
        <f>Sensativities!S2</f>
        <v>41365</v>
      </c>
      <c r="R4" s="243">
        <f>Sensativities!T2</f>
        <v>41395</v>
      </c>
      <c r="S4" s="243">
        <f>Sensativities!U2</f>
        <v>41426</v>
      </c>
      <c r="T4" s="243">
        <f>Sensativities!V2</f>
        <v>41456</v>
      </c>
      <c r="U4" s="243">
        <f>Sensativities!W2</f>
        <v>41487</v>
      </c>
      <c r="V4" s="243">
        <f>Sensativities!X2</f>
        <v>41518</v>
      </c>
      <c r="W4" s="243">
        <f>Sensativities!Y2</f>
        <v>41548</v>
      </c>
      <c r="X4" s="243">
        <f>Sensativities!Z2</f>
        <v>41579</v>
      </c>
      <c r="Y4" s="243">
        <f>Sensativities!AA2</f>
        <v>41609</v>
      </c>
      <c r="Z4" s="243">
        <f>Sensativities!AB2</f>
        <v>41640</v>
      </c>
      <c r="AA4" s="243">
        <f>Sensativities!AC2</f>
        <v>41671</v>
      </c>
      <c r="AB4" s="243">
        <f>Sensativities!AD2</f>
        <v>41699</v>
      </c>
      <c r="AC4" s="243">
        <f>Sensativities!AE2</f>
        <v>41730</v>
      </c>
      <c r="AD4" s="243">
        <f>Sensativities!AF2</f>
        <v>41760</v>
      </c>
      <c r="AE4" s="243">
        <f>Sensativities!AG2</f>
        <v>41791</v>
      </c>
      <c r="AF4" s="243">
        <f>Sensativities!AH2</f>
        <v>41821</v>
      </c>
      <c r="AG4" s="243">
        <f>Sensativities!AI2</f>
        <v>41852</v>
      </c>
      <c r="AH4" s="243">
        <f>Sensativities!AJ2</f>
        <v>41883</v>
      </c>
      <c r="AI4" s="243">
        <f>Sensativities!AK2</f>
        <v>41913</v>
      </c>
      <c r="AJ4" s="243">
        <f>Sensativities!AL2</f>
        <v>41944</v>
      </c>
      <c r="AK4" s="243">
        <f>Sensativities!AM2</f>
        <v>41974</v>
      </c>
      <c r="AL4" s="243">
        <f>Sensativities!AN2</f>
        <v>42005</v>
      </c>
      <c r="AM4" s="243">
        <f>Sensativities!AO2</f>
        <v>42036</v>
      </c>
      <c r="AN4" s="243">
        <f>Sensativities!AP2</f>
        <v>42064</v>
      </c>
      <c r="AO4" s="243">
        <f>Sensativities!AQ2</f>
        <v>42095</v>
      </c>
      <c r="AP4" s="243">
        <f>Sensativities!AR2</f>
        <v>42125</v>
      </c>
      <c r="AQ4" s="243">
        <f>Sensativities!AS2</f>
        <v>42156</v>
      </c>
      <c r="AR4" s="243">
        <f>Sensativities!AT2</f>
        <v>42186</v>
      </c>
      <c r="AS4" s="243">
        <f>Sensativities!AU2</f>
        <v>42217</v>
      </c>
      <c r="AT4" s="243">
        <f>Sensativities!AV2</f>
        <v>42248</v>
      </c>
      <c r="AU4" s="243">
        <f>Sensativities!AW2</f>
        <v>42278</v>
      </c>
      <c r="AV4" s="243">
        <f>Sensativities!AX2</f>
        <v>42309</v>
      </c>
      <c r="AW4" s="243">
        <f>Sensativities!AY2</f>
        <v>42339</v>
      </c>
    </row>
    <row r="5" spans="1:49" x14ac:dyDescent="0.2">
      <c r="B5" s="260" t="s">
        <v>243</v>
      </c>
      <c r="C5" s="260" t="s">
        <v>243</v>
      </c>
      <c r="D5" s="260" t="s">
        <v>243</v>
      </c>
      <c r="E5" s="260" t="s">
        <v>243</v>
      </c>
      <c r="F5" s="260" t="s">
        <v>243</v>
      </c>
      <c r="G5" s="260" t="s">
        <v>243</v>
      </c>
      <c r="H5" s="260" t="s">
        <v>243</v>
      </c>
      <c r="I5" s="260" t="s">
        <v>243</v>
      </c>
      <c r="J5" s="260" t="s">
        <v>243</v>
      </c>
      <c r="K5" s="260" t="s">
        <v>243</v>
      </c>
      <c r="L5" s="260" t="s">
        <v>243</v>
      </c>
      <c r="M5" s="260" t="s">
        <v>243</v>
      </c>
      <c r="N5" s="260" t="s">
        <v>243</v>
      </c>
      <c r="O5" s="260" t="s">
        <v>243</v>
      </c>
      <c r="P5" s="260" t="s">
        <v>243</v>
      </c>
      <c r="Q5" s="260" t="s">
        <v>243</v>
      </c>
      <c r="R5" s="260" t="s">
        <v>243</v>
      </c>
      <c r="S5" s="260" t="s">
        <v>243</v>
      </c>
      <c r="T5" s="260" t="s">
        <v>243</v>
      </c>
      <c r="U5" s="260" t="s">
        <v>243</v>
      </c>
      <c r="V5" s="260" t="s">
        <v>243</v>
      </c>
      <c r="W5" s="260" t="s">
        <v>243</v>
      </c>
      <c r="X5" s="260" t="s">
        <v>243</v>
      </c>
      <c r="Y5" s="260" t="s">
        <v>243</v>
      </c>
      <c r="Z5" s="260" t="s">
        <v>243</v>
      </c>
      <c r="AA5" s="260" t="s">
        <v>243</v>
      </c>
      <c r="AB5" s="260" t="s">
        <v>243</v>
      </c>
    </row>
    <row r="6" spans="1:49" ht="15" x14ac:dyDescent="0.25">
      <c r="A6" s="312" t="s">
        <v>70</v>
      </c>
      <c r="B6" s="570">
        <v>289</v>
      </c>
      <c r="C6" s="570">
        <v>261</v>
      </c>
      <c r="D6" s="570">
        <v>284</v>
      </c>
      <c r="E6" s="570">
        <v>274</v>
      </c>
      <c r="F6" s="570">
        <v>266</v>
      </c>
      <c r="G6" s="570">
        <v>253</v>
      </c>
      <c r="H6" s="570">
        <v>237</v>
      </c>
      <c r="I6" s="570">
        <v>258</v>
      </c>
      <c r="J6" s="570">
        <v>290</v>
      </c>
      <c r="K6" s="570">
        <v>329</v>
      </c>
      <c r="L6" s="570">
        <v>281</v>
      </c>
      <c r="M6" s="570">
        <v>234</v>
      </c>
      <c r="N6" s="570">
        <v>319</v>
      </c>
      <c r="O6" s="570">
        <v>315</v>
      </c>
      <c r="P6" s="570">
        <v>315</v>
      </c>
      <c r="Q6" s="570">
        <v>325</v>
      </c>
      <c r="R6" s="570">
        <v>311</v>
      </c>
      <c r="S6" s="570">
        <v>343</v>
      </c>
      <c r="T6" s="570">
        <v>276</v>
      </c>
      <c r="U6" s="570">
        <v>367</v>
      </c>
      <c r="V6" s="570">
        <v>426</v>
      </c>
      <c r="W6" s="570">
        <v>467</v>
      </c>
      <c r="X6" s="570">
        <v>406</v>
      </c>
      <c r="Y6" s="570">
        <v>428</v>
      </c>
      <c r="Z6" s="570">
        <v>472</v>
      </c>
      <c r="AA6" s="244">
        <v>463</v>
      </c>
      <c r="AB6" s="244">
        <v>397</v>
      </c>
      <c r="AC6" s="244">
        <f>('CAC Update'!AF50)*(1-Sensativities!$B$53)*(Sensativities!$B$59)</f>
        <v>519.15428571428561</v>
      </c>
      <c r="AD6" s="244">
        <f>('CAC Update'!AG50)*(1-Sensativities!$B$53)*(Sensativities!$B$59)</f>
        <v>523.74857142857127</v>
      </c>
      <c r="AE6" s="244">
        <f>('CAC Update'!AH50)*(1-Sensativities!$B$53)*(Sensativities!$B$59)</f>
        <v>459.42857142857133</v>
      </c>
      <c r="AF6" s="244">
        <f>('CAC Update'!AI50)*(1-Sensativities!$B$53)*(Sensativities!$B$59)</f>
        <v>413.48571428571432</v>
      </c>
      <c r="AG6" s="244">
        <f>('CAC Update'!AJ50)*(1-Sensativities!$B$53)*(Sensativities!$B$59)</f>
        <v>367.54285714285709</v>
      </c>
      <c r="AH6" s="244">
        <f>('CAC Update'!AK50)*(1-Sensativities!$B$53)*(Sensativities!$B$59)</f>
        <v>367.54285714285709</v>
      </c>
      <c r="AI6" s="244">
        <f>('CAC Update'!AL50)*(1-Sensativities!$B$53)*(Sensativities!$B$59)</f>
        <v>542.74688843203103</v>
      </c>
      <c r="AJ6" s="244">
        <f>('CAC Update'!AM50)*(1-Sensativities!$B$53)*(Sensativities!$B$59)</f>
        <v>542.74688843203103</v>
      </c>
      <c r="AK6" s="244">
        <f>('CAC Update'!AN50)*(1-Sensativities!$B$53)*(Sensativities!$B$59)</f>
        <v>542.74688843203103</v>
      </c>
      <c r="AL6" s="244">
        <f>('CAC Update'!AO50)*(1-Sensativities!$B$53)*(Sensativities!$B$59)</f>
        <v>542.69999999999993</v>
      </c>
      <c r="AM6" s="244">
        <f>('CAC Update'!AP50)*(1-Sensativities!$B$53)*(Sensativities!$B$59)</f>
        <v>542.69999999999993</v>
      </c>
      <c r="AN6" s="244">
        <f>('CAC Update'!AQ50)*(1-Sensativities!$B$53)*(Sensativities!$B$59)</f>
        <v>542.69999999999993</v>
      </c>
      <c r="AO6" s="244">
        <f>('CAC Update'!AR50)*(1-Sensativities!$B$53)*(Sensativities!$B$59)</f>
        <v>542.69999999999993</v>
      </c>
      <c r="AP6" s="244">
        <f>('CAC Update'!AS50)*(1-Sensativities!$B$53)*(Sensativities!$B$59)</f>
        <v>542.69999999999993</v>
      </c>
      <c r="AQ6" s="244">
        <f>('CAC Update'!AT50)*(1-Sensativities!$B$53)*(Sensativities!$B$59)</f>
        <v>542.69999999999993</v>
      </c>
      <c r="AR6" s="244">
        <f>('CAC Update'!AU50)*(1-Sensativities!$B$53)*(Sensativities!$B$59)</f>
        <v>542.69999999999993</v>
      </c>
      <c r="AS6" s="244">
        <f>('CAC Update'!AV50)*(1-Sensativities!$B$53)*(Sensativities!$B$59)</f>
        <v>542.69999999999993</v>
      </c>
      <c r="AT6" s="244">
        <f>('CAC Update'!AW50)*(1-Sensativities!$B$53)*(Sensativities!$B$59)</f>
        <v>542.69999999999993</v>
      </c>
      <c r="AU6" s="244">
        <f>('CAC Update'!AX50)*(1-Sensativities!$B$53)*(Sensativities!$B$59)</f>
        <v>542.69999999999993</v>
      </c>
      <c r="AV6" s="244">
        <f>('CAC Update'!AY50)*(1-Sensativities!$B$53)*(Sensativities!$B$59)</f>
        <v>542.69999999999993</v>
      </c>
      <c r="AW6" s="244">
        <f>('CAC Update'!AZ50)*(1-Sensativities!$B$53)*(Sensativities!$B$59)</f>
        <v>542.69999999999993</v>
      </c>
    </row>
    <row r="7" spans="1:49" x14ac:dyDescent="0.2">
      <c r="B7" s="247"/>
      <c r="C7" s="247"/>
      <c r="D7" s="247"/>
      <c r="E7" s="247"/>
      <c r="F7" s="247"/>
      <c r="G7" s="247"/>
      <c r="H7" s="247"/>
      <c r="I7" s="247"/>
      <c r="J7" s="247"/>
      <c r="K7" s="247"/>
      <c r="L7" s="247"/>
      <c r="M7" s="247"/>
      <c r="N7" s="247"/>
      <c r="O7" s="247"/>
      <c r="P7" s="247"/>
      <c r="Q7" s="247"/>
      <c r="R7" s="247"/>
      <c r="S7" s="247"/>
      <c r="T7" s="247"/>
      <c r="U7" s="247"/>
      <c r="V7" s="247"/>
      <c r="W7" s="247"/>
      <c r="X7" s="247"/>
      <c r="Y7" s="247"/>
      <c r="Z7" s="247"/>
      <c r="AA7" s="247"/>
      <c r="AB7" s="247"/>
      <c r="AC7" s="247"/>
      <c r="AD7" s="247"/>
      <c r="AE7" s="247"/>
      <c r="AF7" s="247"/>
      <c r="AG7" s="247"/>
      <c r="AH7" s="247"/>
      <c r="AI7" s="247"/>
      <c r="AJ7" s="247"/>
      <c r="AK7" s="247"/>
    </row>
    <row r="9" spans="1:49" ht="15" x14ac:dyDescent="0.25">
      <c r="A9" s="626"/>
      <c r="B9" s="570"/>
      <c r="C9" s="570"/>
      <c r="D9" s="570"/>
      <c r="E9" s="570"/>
      <c r="F9" s="570"/>
      <c r="G9" s="570"/>
      <c r="H9" s="570"/>
      <c r="I9" s="570"/>
      <c r="J9" s="570"/>
      <c r="K9" s="570"/>
      <c r="L9" s="570"/>
      <c r="M9" s="570"/>
      <c r="N9" s="570"/>
      <c r="O9" s="570"/>
      <c r="P9" s="570"/>
      <c r="Q9" s="570"/>
      <c r="R9" s="570"/>
      <c r="S9" s="570"/>
      <c r="T9" s="570"/>
      <c r="U9" s="570"/>
      <c r="V9" s="570"/>
      <c r="W9" s="570"/>
    </row>
    <row r="10" spans="1:49" x14ac:dyDescent="0.2">
      <c r="B10" s="313"/>
      <c r="C10" s="313"/>
      <c r="D10" s="313"/>
      <c r="E10" s="313"/>
      <c r="F10" s="313"/>
      <c r="G10" s="313"/>
      <c r="H10" s="313"/>
      <c r="I10" s="313"/>
      <c r="J10" s="313"/>
      <c r="K10" s="313"/>
      <c r="L10" s="313"/>
      <c r="M10" s="313"/>
      <c r="N10" s="313"/>
      <c r="O10" s="313"/>
      <c r="P10" s="313"/>
      <c r="Q10" s="313"/>
      <c r="R10" s="313"/>
      <c r="S10" s="313"/>
      <c r="T10" s="313"/>
      <c r="U10" s="313"/>
      <c r="V10" s="313"/>
      <c r="W10" s="313"/>
      <c r="X10" s="313"/>
      <c r="Y10" s="313"/>
      <c r="Z10" s="313"/>
      <c r="AA10" s="313"/>
      <c r="AB10" s="313"/>
      <c r="AC10" s="313"/>
      <c r="AD10" s="313"/>
      <c r="AE10" s="313"/>
      <c r="AF10" s="313"/>
      <c r="AG10" s="313"/>
      <c r="AH10" s="313"/>
      <c r="AI10" s="313"/>
      <c r="AJ10" s="313"/>
      <c r="AK10" s="313"/>
    </row>
    <row r="11" spans="1:49" x14ac:dyDescent="0.2">
      <c r="B11" s="251"/>
      <c r="C11" s="251"/>
      <c r="D11" s="251"/>
      <c r="E11" s="251"/>
      <c r="F11" s="251"/>
      <c r="G11" s="251"/>
      <c r="H11" s="251"/>
      <c r="I11" s="251"/>
      <c r="J11" s="251"/>
      <c r="K11" s="251"/>
      <c r="L11" s="251"/>
      <c r="M11" s="251"/>
      <c r="N11" s="251"/>
      <c r="O11" s="251"/>
      <c r="P11" s="251"/>
      <c r="Q11" s="251"/>
      <c r="R11" s="251"/>
      <c r="S11" s="251"/>
      <c r="T11" s="251"/>
      <c r="U11" s="251"/>
      <c r="V11" s="251"/>
      <c r="W11" s="251"/>
      <c r="X11" s="251"/>
      <c r="Y11" s="251"/>
      <c r="Z11" s="313"/>
      <c r="AA11" s="313"/>
      <c r="AB11" s="313"/>
      <c r="AC11" s="313"/>
      <c r="AD11" s="313"/>
      <c r="AE11" s="313"/>
      <c r="AF11" s="313"/>
      <c r="AG11" s="313"/>
      <c r="AH11" s="313"/>
      <c r="AI11" s="313"/>
      <c r="AJ11" s="313"/>
      <c r="AK11" s="313"/>
    </row>
    <row r="12" spans="1:49" s="272" customFormat="1" x14ac:dyDescent="0.2">
      <c r="B12" s="273" t="s">
        <v>276</v>
      </c>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4"/>
      <c r="AA12" s="274"/>
      <c r="AB12" s="274"/>
      <c r="AC12" s="274"/>
      <c r="AD12" s="274"/>
      <c r="AE12" s="274"/>
      <c r="AF12" s="274"/>
      <c r="AG12" s="274"/>
      <c r="AH12" s="274"/>
      <c r="AI12" s="274"/>
      <c r="AJ12" s="274"/>
      <c r="AK12" s="274"/>
    </row>
    <row r="13" spans="1:49" x14ac:dyDescent="0.2">
      <c r="A13" s="312" t="s">
        <v>275</v>
      </c>
    </row>
    <row r="14" spans="1:49" x14ac:dyDescent="0.2">
      <c r="A14" s="269" t="s">
        <v>199</v>
      </c>
      <c r="B14" s="270"/>
      <c r="C14" s="313"/>
      <c r="D14" s="313"/>
      <c r="E14" s="313"/>
      <c r="F14" s="313"/>
      <c r="G14" s="313"/>
      <c r="H14" s="313"/>
      <c r="I14" s="313"/>
      <c r="J14" s="313"/>
      <c r="K14" s="313"/>
      <c r="L14" s="313"/>
      <c r="M14" s="313"/>
      <c r="N14" s="313">
        <f>((N$6*(Sensativities!P55*Sensativities!$B$54)))</f>
        <v>35571.689999999995</v>
      </c>
      <c r="O14" s="313">
        <f>((O$6*(Sensativities!Q55*Sensativities!$B$54)))</f>
        <v>42269.85</v>
      </c>
      <c r="P14" s="313">
        <f>((P$6*(Sensativities!R55*Sensativities!$B$54)))</f>
        <v>35125.649999999994</v>
      </c>
      <c r="Q14" s="313">
        <f>((Q$6*(Sensativities!S55*Sensativities!$B$54)))</f>
        <v>36240.75</v>
      </c>
      <c r="R14" s="313">
        <f>((R$6*(Sensativities!T55*Sensativities!$B$54)))</f>
        <v>34679.61</v>
      </c>
      <c r="S14" s="313">
        <f>((S$6*(Sensativities!U55*Sensativities!$B$54)))</f>
        <v>38247.93</v>
      </c>
      <c r="T14" s="313">
        <f>((T$6*(Sensativities!V55*Sensativities!$B$54)))</f>
        <v>30776.76</v>
      </c>
      <c r="U14" s="313">
        <f>((U$6*(Sensativities!W55*Sensativities!$B$54)))</f>
        <v>40924.17</v>
      </c>
      <c r="V14" s="313">
        <f>((V$6*(Sensativities!X55*Sensativities!$B$54)))</f>
        <v>47503.259999999995</v>
      </c>
      <c r="W14" s="313">
        <f>((W$6*(Sensativities!Y55*Sensativities!$B$54)))</f>
        <v>52075.17</v>
      </c>
      <c r="X14" s="313">
        <f>((X$6*(Sensativities!Z55*Sensativities!$B$54)))</f>
        <v>45273.06</v>
      </c>
      <c r="Y14" s="313">
        <f>((Y$6*(Sensativities!AA55*Sensativities!$B$54)))</f>
        <v>47726.28</v>
      </c>
      <c r="Z14" s="313">
        <f>((Z$6*(Sensativities!AB55*Sensativities!$B$54)))</f>
        <v>52632.719999999994</v>
      </c>
      <c r="AA14" s="313">
        <f>((AA$6*(Sensativities!AC55*Sensativities!$B$54)))</f>
        <v>51629.13</v>
      </c>
      <c r="AB14" s="313">
        <f>((AB$6*(Sensativities!AD55*Sensativities!$B$54)))</f>
        <v>44269.469999999994</v>
      </c>
      <c r="AC14" s="313">
        <f>((AC$6*(Sensativities!AE55*Sensativities!$B$54)))</f>
        <v>57890.894399999983</v>
      </c>
      <c r="AD14" s="313">
        <f>((AD$6*(Sensativities!AF55*Sensativities!$B$54)))</f>
        <v>58403.203199999974</v>
      </c>
      <c r="AE14" s="313">
        <f>((AE$6*(Sensativities!AG55*Sensativities!$B$54)))</f>
        <v>51230.879999999983</v>
      </c>
      <c r="AF14" s="313">
        <f>((AF$6*(Sensativities!AH55*Sensativities!$B$54)))</f>
        <v>46107.792000000001</v>
      </c>
      <c r="AG14" s="313">
        <f>((AG$6*(Sensativities!AI55*Sensativities!$B$54)))</f>
        <v>40984.703999999991</v>
      </c>
      <c r="AH14" s="313">
        <f>((AH$6*(Sensativities!AJ55*Sensativities!$B$54)))</f>
        <v>40984.703999999991</v>
      </c>
      <c r="AI14" s="313">
        <f>((AI$6*(Sensativities!AK55*Sensativities!$B$54)))</f>
        <v>60521.705529055776</v>
      </c>
      <c r="AJ14" s="313">
        <f>((AJ$6*(Sensativities!AL55*Sensativities!$B$54)))</f>
        <v>60521.705529055776</v>
      </c>
      <c r="AK14" s="313">
        <f>((AK$6*(Sensativities!AM55*Sensativities!$B$54)))</f>
        <v>60521.705529055776</v>
      </c>
      <c r="AL14" s="608">
        <f>((AL$6*(Sensativities!AN55*Sensativities!$B$54)))</f>
        <v>60516.476999999984</v>
      </c>
      <c r="AM14" s="608">
        <f>((AM$6*(Sensativities!AO55*Sensativities!$B$54)))</f>
        <v>60516.476999999984</v>
      </c>
      <c r="AN14" s="608">
        <f>((AN$6*(Sensativities!AP55*Sensativities!$B$54)))</f>
        <v>60516.476999999984</v>
      </c>
      <c r="AO14" s="608">
        <f>((AO$6*(Sensativities!AQ55*Sensativities!$B$54)))</f>
        <v>60516.476999999984</v>
      </c>
      <c r="AP14" s="608">
        <f>((AP$6*(Sensativities!AR55*Sensativities!$B$54)))</f>
        <v>60516.476999999984</v>
      </c>
      <c r="AQ14" s="608">
        <f>((AQ$6*(Sensativities!AS55*Sensativities!$B$54)))</f>
        <v>60516.476999999984</v>
      </c>
      <c r="AR14" s="608">
        <f>((AR$6*(Sensativities!AT55*Sensativities!$B$54)))</f>
        <v>60516.476999999984</v>
      </c>
      <c r="AS14" s="608">
        <f>((AS$6*(Sensativities!AU55*Sensativities!$B$54)))</f>
        <v>60516.476999999984</v>
      </c>
      <c r="AT14" s="608">
        <f>((AT$6*(Sensativities!AV55*Sensativities!$B$54)))</f>
        <v>60516.476999999984</v>
      </c>
      <c r="AU14" s="608">
        <f>((AU$6*(Sensativities!AW55*Sensativities!$B$54)))</f>
        <v>60516.476999999984</v>
      </c>
      <c r="AV14" s="608">
        <f>((AV$6*(Sensativities!AX55*Sensativities!$B$54)))</f>
        <v>60516.476999999984</v>
      </c>
      <c r="AW14" s="608">
        <f>((AW$6*(Sensativities!AY55*Sensativities!$B$54)))</f>
        <v>60516.476999999984</v>
      </c>
    </row>
    <row r="15" spans="1:49" x14ac:dyDescent="0.2">
      <c r="A15" s="312" t="s">
        <v>200</v>
      </c>
      <c r="B15" s="313"/>
      <c r="C15" s="270"/>
      <c r="D15" s="313"/>
      <c r="E15" s="313"/>
      <c r="F15" s="313"/>
      <c r="G15" s="313"/>
      <c r="H15" s="313"/>
      <c r="I15" s="313"/>
      <c r="J15" s="313"/>
      <c r="K15" s="313"/>
      <c r="L15" s="313"/>
      <c r="M15" s="313"/>
      <c r="N15" s="313"/>
      <c r="O15" s="313">
        <f>N14</f>
        <v>35571.689999999995</v>
      </c>
      <c r="P15" s="313">
        <f>O14</f>
        <v>42269.85</v>
      </c>
      <c r="Q15" s="313">
        <f>P14</f>
        <v>35125.649999999994</v>
      </c>
      <c r="R15" s="313">
        <f>Q14</f>
        <v>36240.75</v>
      </c>
      <c r="S15" s="313">
        <f>R14</f>
        <v>34679.61</v>
      </c>
      <c r="T15" s="313">
        <f t="shared" ref="T15:AK25" si="0">S14</f>
        <v>38247.93</v>
      </c>
      <c r="U15" s="313">
        <f t="shared" si="0"/>
        <v>30776.76</v>
      </c>
      <c r="V15" s="313">
        <f t="shared" si="0"/>
        <v>40924.17</v>
      </c>
      <c r="W15" s="313">
        <f t="shared" si="0"/>
        <v>47503.259999999995</v>
      </c>
      <c r="X15" s="313">
        <f t="shared" si="0"/>
        <v>52075.17</v>
      </c>
      <c r="Y15" s="313">
        <f t="shared" si="0"/>
        <v>45273.06</v>
      </c>
      <c r="Z15" s="313">
        <f t="shared" si="0"/>
        <v>47726.28</v>
      </c>
      <c r="AA15" s="313">
        <f t="shared" si="0"/>
        <v>52632.719999999994</v>
      </c>
      <c r="AB15" s="313">
        <f t="shared" si="0"/>
        <v>51629.13</v>
      </c>
      <c r="AC15" s="313">
        <f t="shared" si="0"/>
        <v>44269.469999999994</v>
      </c>
      <c r="AD15" s="313">
        <f t="shared" si="0"/>
        <v>57890.894399999983</v>
      </c>
      <c r="AE15" s="313">
        <f t="shared" si="0"/>
        <v>58403.203199999974</v>
      </c>
      <c r="AF15" s="313">
        <f t="shared" si="0"/>
        <v>51230.879999999983</v>
      </c>
      <c r="AG15" s="313">
        <f t="shared" si="0"/>
        <v>46107.792000000001</v>
      </c>
      <c r="AH15" s="313">
        <f t="shared" si="0"/>
        <v>40984.703999999991</v>
      </c>
      <c r="AI15" s="313">
        <f t="shared" si="0"/>
        <v>40984.703999999991</v>
      </c>
      <c r="AJ15" s="313">
        <f t="shared" si="0"/>
        <v>60521.705529055776</v>
      </c>
      <c r="AK15" s="313">
        <f t="shared" si="0"/>
        <v>60521.705529055776</v>
      </c>
      <c r="AL15" s="608">
        <f t="shared" ref="AL15:AW30" si="1">AK14</f>
        <v>60521.705529055776</v>
      </c>
      <c r="AM15" s="608">
        <f t="shared" si="1"/>
        <v>60516.476999999984</v>
      </c>
      <c r="AN15" s="608">
        <f t="shared" si="1"/>
        <v>60516.476999999984</v>
      </c>
      <c r="AO15" s="608">
        <f t="shared" si="1"/>
        <v>60516.476999999984</v>
      </c>
      <c r="AP15" s="608">
        <f t="shared" si="1"/>
        <v>60516.476999999984</v>
      </c>
      <c r="AQ15" s="608">
        <f t="shared" si="1"/>
        <v>60516.476999999984</v>
      </c>
      <c r="AR15" s="608">
        <f t="shared" si="1"/>
        <v>60516.476999999984</v>
      </c>
      <c r="AS15" s="608">
        <f t="shared" si="1"/>
        <v>60516.476999999984</v>
      </c>
      <c r="AT15" s="608">
        <f t="shared" si="1"/>
        <v>60516.476999999984</v>
      </c>
      <c r="AU15" s="608">
        <f t="shared" si="1"/>
        <v>60516.476999999984</v>
      </c>
      <c r="AV15" s="608">
        <f t="shared" si="1"/>
        <v>60516.476999999984</v>
      </c>
      <c r="AW15" s="608">
        <f t="shared" si="1"/>
        <v>60516.476999999984</v>
      </c>
    </row>
    <row r="16" spans="1:49" x14ac:dyDescent="0.2">
      <c r="A16" s="312" t="s">
        <v>201</v>
      </c>
      <c r="B16" s="313"/>
      <c r="C16" s="271"/>
      <c r="D16" s="270"/>
      <c r="E16" s="313"/>
      <c r="F16" s="313"/>
      <c r="G16" s="313"/>
      <c r="H16" s="313"/>
      <c r="I16" s="313"/>
      <c r="J16" s="313"/>
      <c r="K16" s="313"/>
      <c r="L16" s="313"/>
      <c r="M16" s="313"/>
      <c r="N16" s="313"/>
      <c r="O16" s="313"/>
      <c r="P16" s="313">
        <f>O15</f>
        <v>35571.689999999995</v>
      </c>
      <c r="Q16" s="313">
        <f>P15</f>
        <v>42269.85</v>
      </c>
      <c r="R16" s="313">
        <f t="shared" ref="R16:S18" si="2">Q15</f>
        <v>35125.649999999994</v>
      </c>
      <c r="S16" s="313">
        <f t="shared" si="2"/>
        <v>36240.75</v>
      </c>
      <c r="T16" s="313">
        <f t="shared" si="0"/>
        <v>34679.61</v>
      </c>
      <c r="U16" s="313">
        <f t="shared" si="0"/>
        <v>38247.93</v>
      </c>
      <c r="V16" s="313">
        <f t="shared" si="0"/>
        <v>30776.76</v>
      </c>
      <c r="W16" s="313">
        <f t="shared" si="0"/>
        <v>40924.17</v>
      </c>
      <c r="X16" s="313">
        <f t="shared" si="0"/>
        <v>47503.259999999995</v>
      </c>
      <c r="Y16" s="313">
        <f t="shared" si="0"/>
        <v>52075.17</v>
      </c>
      <c r="Z16" s="313">
        <f t="shared" si="0"/>
        <v>45273.06</v>
      </c>
      <c r="AA16" s="313">
        <f t="shared" si="0"/>
        <v>47726.28</v>
      </c>
      <c r="AB16" s="313">
        <f t="shared" si="0"/>
        <v>52632.719999999994</v>
      </c>
      <c r="AC16" s="313">
        <f t="shared" si="0"/>
        <v>51629.13</v>
      </c>
      <c r="AD16" s="313">
        <f t="shared" si="0"/>
        <v>44269.469999999994</v>
      </c>
      <c r="AE16" s="313">
        <f t="shared" si="0"/>
        <v>57890.894399999983</v>
      </c>
      <c r="AF16" s="313">
        <f t="shared" si="0"/>
        <v>58403.203199999974</v>
      </c>
      <c r="AG16" s="313">
        <f t="shared" si="0"/>
        <v>51230.879999999983</v>
      </c>
      <c r="AH16" s="313">
        <f t="shared" si="0"/>
        <v>46107.792000000001</v>
      </c>
      <c r="AI16" s="313">
        <f t="shared" si="0"/>
        <v>40984.703999999991</v>
      </c>
      <c r="AJ16" s="313">
        <f t="shared" si="0"/>
        <v>40984.703999999991</v>
      </c>
      <c r="AK16" s="313">
        <f t="shared" si="0"/>
        <v>60521.705529055776</v>
      </c>
      <c r="AL16" s="608">
        <f t="shared" si="1"/>
        <v>60521.705529055776</v>
      </c>
      <c r="AM16" s="608">
        <f t="shared" si="1"/>
        <v>60521.705529055776</v>
      </c>
      <c r="AN16" s="608">
        <f t="shared" si="1"/>
        <v>60516.476999999984</v>
      </c>
      <c r="AO16" s="608">
        <f t="shared" si="1"/>
        <v>60516.476999999984</v>
      </c>
      <c r="AP16" s="608">
        <f t="shared" si="1"/>
        <v>60516.476999999984</v>
      </c>
      <c r="AQ16" s="608">
        <f t="shared" si="1"/>
        <v>60516.476999999984</v>
      </c>
      <c r="AR16" s="608">
        <f t="shared" si="1"/>
        <v>60516.476999999984</v>
      </c>
      <c r="AS16" s="608">
        <f t="shared" si="1"/>
        <v>60516.476999999984</v>
      </c>
      <c r="AT16" s="608">
        <f t="shared" si="1"/>
        <v>60516.476999999984</v>
      </c>
      <c r="AU16" s="608">
        <f t="shared" si="1"/>
        <v>60516.476999999984</v>
      </c>
      <c r="AV16" s="608">
        <f t="shared" si="1"/>
        <v>60516.476999999984</v>
      </c>
      <c r="AW16" s="608">
        <f t="shared" si="1"/>
        <v>60516.476999999984</v>
      </c>
    </row>
    <row r="17" spans="1:49" x14ac:dyDescent="0.2">
      <c r="A17" s="312" t="s">
        <v>202</v>
      </c>
      <c r="B17" s="313"/>
      <c r="C17" s="271"/>
      <c r="D17" s="271"/>
      <c r="E17" s="270"/>
      <c r="F17" s="313"/>
      <c r="G17" s="313"/>
      <c r="H17" s="313"/>
      <c r="I17" s="313"/>
      <c r="J17" s="313"/>
      <c r="K17" s="313"/>
      <c r="L17" s="313"/>
      <c r="M17" s="313"/>
      <c r="N17" s="313"/>
      <c r="O17" s="313"/>
      <c r="P17" s="313"/>
      <c r="Q17" s="313">
        <f>P16</f>
        <v>35571.689999999995</v>
      </c>
      <c r="R17" s="313">
        <f>Q16</f>
        <v>42269.85</v>
      </c>
      <c r="S17" s="313">
        <f t="shared" si="2"/>
        <v>35125.649999999994</v>
      </c>
      <c r="T17" s="313">
        <f t="shared" si="0"/>
        <v>36240.75</v>
      </c>
      <c r="U17" s="313">
        <f t="shared" si="0"/>
        <v>34679.61</v>
      </c>
      <c r="V17" s="313">
        <f t="shared" si="0"/>
        <v>38247.93</v>
      </c>
      <c r="W17" s="313">
        <f t="shared" si="0"/>
        <v>30776.76</v>
      </c>
      <c r="X17" s="313">
        <f t="shared" si="0"/>
        <v>40924.17</v>
      </c>
      <c r="Y17" s="313">
        <f t="shared" si="0"/>
        <v>47503.259999999995</v>
      </c>
      <c r="Z17" s="313">
        <f t="shared" si="0"/>
        <v>52075.17</v>
      </c>
      <c r="AA17" s="313">
        <f t="shared" si="0"/>
        <v>45273.06</v>
      </c>
      <c r="AB17" s="313">
        <f t="shared" si="0"/>
        <v>47726.28</v>
      </c>
      <c r="AC17" s="313">
        <f t="shared" si="0"/>
        <v>52632.719999999994</v>
      </c>
      <c r="AD17" s="313">
        <f t="shared" si="0"/>
        <v>51629.13</v>
      </c>
      <c r="AE17" s="313">
        <f t="shared" si="0"/>
        <v>44269.469999999994</v>
      </c>
      <c r="AF17" s="313">
        <f t="shared" si="0"/>
        <v>57890.894399999983</v>
      </c>
      <c r="AG17" s="313">
        <f t="shared" si="0"/>
        <v>58403.203199999974</v>
      </c>
      <c r="AH17" s="313">
        <f t="shared" si="0"/>
        <v>51230.879999999983</v>
      </c>
      <c r="AI17" s="313">
        <f t="shared" si="0"/>
        <v>46107.792000000001</v>
      </c>
      <c r="AJ17" s="313">
        <f t="shared" si="0"/>
        <v>40984.703999999991</v>
      </c>
      <c r="AK17" s="313">
        <f t="shared" si="0"/>
        <v>40984.703999999991</v>
      </c>
      <c r="AL17" s="608">
        <f t="shared" si="1"/>
        <v>60521.705529055776</v>
      </c>
      <c r="AM17" s="608">
        <f t="shared" si="1"/>
        <v>60521.705529055776</v>
      </c>
      <c r="AN17" s="608">
        <f t="shared" si="1"/>
        <v>60521.705529055776</v>
      </c>
      <c r="AO17" s="608">
        <f t="shared" si="1"/>
        <v>60516.476999999984</v>
      </c>
      <c r="AP17" s="608">
        <f t="shared" si="1"/>
        <v>60516.476999999984</v>
      </c>
      <c r="AQ17" s="608">
        <f t="shared" si="1"/>
        <v>60516.476999999984</v>
      </c>
      <c r="AR17" s="608">
        <f t="shared" si="1"/>
        <v>60516.476999999984</v>
      </c>
      <c r="AS17" s="608">
        <f t="shared" si="1"/>
        <v>60516.476999999984</v>
      </c>
      <c r="AT17" s="608">
        <f t="shared" si="1"/>
        <v>60516.476999999984</v>
      </c>
      <c r="AU17" s="608">
        <f t="shared" si="1"/>
        <v>60516.476999999984</v>
      </c>
      <c r="AV17" s="608">
        <f t="shared" si="1"/>
        <v>60516.476999999984</v>
      </c>
      <c r="AW17" s="608">
        <f t="shared" si="1"/>
        <v>60516.476999999984</v>
      </c>
    </row>
    <row r="18" spans="1:49" x14ac:dyDescent="0.2">
      <c r="A18" s="312" t="s">
        <v>203</v>
      </c>
      <c r="B18" s="313"/>
      <c r="C18" s="271"/>
      <c r="D18" s="271"/>
      <c r="E18" s="271"/>
      <c r="F18" s="270"/>
      <c r="G18" s="313"/>
      <c r="H18" s="313"/>
      <c r="I18" s="313"/>
      <c r="J18" s="313"/>
      <c r="K18" s="313"/>
      <c r="L18" s="313"/>
      <c r="M18" s="313"/>
      <c r="N18" s="313"/>
      <c r="O18" s="313"/>
      <c r="P18" s="313"/>
      <c r="Q18" s="313"/>
      <c r="R18" s="313">
        <f>Q17</f>
        <v>35571.689999999995</v>
      </c>
      <c r="S18" s="313">
        <f t="shared" si="2"/>
        <v>42269.85</v>
      </c>
      <c r="T18" s="313">
        <f t="shared" si="0"/>
        <v>35125.649999999994</v>
      </c>
      <c r="U18" s="313">
        <f t="shared" si="0"/>
        <v>36240.75</v>
      </c>
      <c r="V18" s="313">
        <f t="shared" si="0"/>
        <v>34679.61</v>
      </c>
      <c r="W18" s="313">
        <f t="shared" si="0"/>
        <v>38247.93</v>
      </c>
      <c r="X18" s="313">
        <f t="shared" si="0"/>
        <v>30776.76</v>
      </c>
      <c r="Y18" s="313">
        <f t="shared" si="0"/>
        <v>40924.17</v>
      </c>
      <c r="Z18" s="313">
        <f t="shared" si="0"/>
        <v>47503.259999999995</v>
      </c>
      <c r="AA18" s="313">
        <f t="shared" si="0"/>
        <v>52075.17</v>
      </c>
      <c r="AB18" s="313">
        <f t="shared" si="0"/>
        <v>45273.06</v>
      </c>
      <c r="AC18" s="313">
        <f t="shared" si="0"/>
        <v>47726.28</v>
      </c>
      <c r="AD18" s="313">
        <f t="shared" si="0"/>
        <v>52632.719999999994</v>
      </c>
      <c r="AE18" s="313">
        <f t="shared" si="0"/>
        <v>51629.13</v>
      </c>
      <c r="AF18" s="313">
        <f t="shared" si="0"/>
        <v>44269.469999999994</v>
      </c>
      <c r="AG18" s="313">
        <f t="shared" si="0"/>
        <v>57890.894399999983</v>
      </c>
      <c r="AH18" s="313">
        <f t="shared" si="0"/>
        <v>58403.203199999974</v>
      </c>
      <c r="AI18" s="313">
        <f t="shared" si="0"/>
        <v>51230.879999999983</v>
      </c>
      <c r="AJ18" s="313">
        <f t="shared" si="0"/>
        <v>46107.792000000001</v>
      </c>
      <c r="AK18" s="313">
        <f t="shared" si="0"/>
        <v>40984.703999999991</v>
      </c>
      <c r="AL18" s="608">
        <f t="shared" si="1"/>
        <v>40984.703999999991</v>
      </c>
      <c r="AM18" s="608">
        <f t="shared" si="1"/>
        <v>60521.705529055776</v>
      </c>
      <c r="AN18" s="608">
        <f t="shared" si="1"/>
        <v>60521.705529055776</v>
      </c>
      <c r="AO18" s="608">
        <f t="shared" si="1"/>
        <v>60521.705529055776</v>
      </c>
      <c r="AP18" s="608">
        <f t="shared" si="1"/>
        <v>60516.476999999984</v>
      </c>
      <c r="AQ18" s="608">
        <f t="shared" si="1"/>
        <v>60516.476999999984</v>
      </c>
      <c r="AR18" s="608">
        <f t="shared" si="1"/>
        <v>60516.476999999984</v>
      </c>
      <c r="AS18" s="608">
        <f t="shared" si="1"/>
        <v>60516.476999999984</v>
      </c>
      <c r="AT18" s="608">
        <f t="shared" si="1"/>
        <v>60516.476999999984</v>
      </c>
      <c r="AU18" s="608">
        <f t="shared" si="1"/>
        <v>60516.476999999984</v>
      </c>
      <c r="AV18" s="608">
        <f t="shared" si="1"/>
        <v>60516.476999999984</v>
      </c>
      <c r="AW18" s="608">
        <f t="shared" si="1"/>
        <v>60516.476999999984</v>
      </c>
    </row>
    <row r="19" spans="1:49" x14ac:dyDescent="0.2">
      <c r="A19" s="312" t="s">
        <v>267</v>
      </c>
      <c r="B19" s="313"/>
      <c r="C19" s="271"/>
      <c r="D19" s="271"/>
      <c r="E19" s="271"/>
      <c r="F19" s="271"/>
      <c r="G19" s="270"/>
      <c r="H19" s="313"/>
      <c r="I19" s="313"/>
      <c r="J19" s="313"/>
      <c r="K19" s="313"/>
      <c r="L19" s="313"/>
      <c r="M19" s="313"/>
      <c r="N19" s="313"/>
      <c r="O19" s="313"/>
      <c r="P19" s="313"/>
      <c r="Q19" s="313"/>
      <c r="R19" s="313"/>
      <c r="S19" s="313">
        <f>R18</f>
        <v>35571.689999999995</v>
      </c>
      <c r="T19" s="313">
        <f t="shared" si="0"/>
        <v>42269.85</v>
      </c>
      <c r="U19" s="313">
        <f t="shared" si="0"/>
        <v>35125.649999999994</v>
      </c>
      <c r="V19" s="313">
        <f t="shared" si="0"/>
        <v>36240.75</v>
      </c>
      <c r="W19" s="313">
        <f t="shared" si="0"/>
        <v>34679.61</v>
      </c>
      <c r="X19" s="313">
        <f t="shared" si="0"/>
        <v>38247.93</v>
      </c>
      <c r="Y19" s="313">
        <f t="shared" si="0"/>
        <v>30776.76</v>
      </c>
      <c r="Z19" s="313">
        <f t="shared" si="0"/>
        <v>40924.17</v>
      </c>
      <c r="AA19" s="313">
        <f t="shared" si="0"/>
        <v>47503.259999999995</v>
      </c>
      <c r="AB19" s="313">
        <f t="shared" si="0"/>
        <v>52075.17</v>
      </c>
      <c r="AC19" s="313">
        <f t="shared" si="0"/>
        <v>45273.06</v>
      </c>
      <c r="AD19" s="313">
        <f t="shared" si="0"/>
        <v>47726.28</v>
      </c>
      <c r="AE19" s="313">
        <f t="shared" si="0"/>
        <v>52632.719999999994</v>
      </c>
      <c r="AF19" s="313">
        <f t="shared" si="0"/>
        <v>51629.13</v>
      </c>
      <c r="AG19" s="313">
        <f t="shared" si="0"/>
        <v>44269.469999999994</v>
      </c>
      <c r="AH19" s="313">
        <f t="shared" si="0"/>
        <v>57890.894399999983</v>
      </c>
      <c r="AI19" s="313">
        <f t="shared" si="0"/>
        <v>58403.203199999974</v>
      </c>
      <c r="AJ19" s="313">
        <f t="shared" si="0"/>
        <v>51230.879999999983</v>
      </c>
      <c r="AK19" s="313">
        <f t="shared" si="0"/>
        <v>46107.792000000001</v>
      </c>
      <c r="AL19" s="608">
        <f t="shared" si="1"/>
        <v>40984.703999999991</v>
      </c>
      <c r="AM19" s="608">
        <f t="shared" si="1"/>
        <v>40984.703999999991</v>
      </c>
      <c r="AN19" s="608">
        <f t="shared" si="1"/>
        <v>60521.705529055776</v>
      </c>
      <c r="AO19" s="608">
        <f t="shared" si="1"/>
        <v>60521.705529055776</v>
      </c>
      <c r="AP19" s="608">
        <f t="shared" si="1"/>
        <v>60521.705529055776</v>
      </c>
      <c r="AQ19" s="608">
        <f t="shared" si="1"/>
        <v>60516.476999999984</v>
      </c>
      <c r="AR19" s="608">
        <f t="shared" si="1"/>
        <v>60516.476999999984</v>
      </c>
      <c r="AS19" s="608">
        <f t="shared" si="1"/>
        <v>60516.476999999984</v>
      </c>
      <c r="AT19" s="608">
        <f t="shared" si="1"/>
        <v>60516.476999999984</v>
      </c>
      <c r="AU19" s="608">
        <f t="shared" si="1"/>
        <v>60516.476999999984</v>
      </c>
      <c r="AV19" s="608">
        <f t="shared" si="1"/>
        <v>60516.476999999984</v>
      </c>
      <c r="AW19" s="608">
        <f t="shared" si="1"/>
        <v>60516.476999999984</v>
      </c>
    </row>
    <row r="20" spans="1:49" x14ac:dyDescent="0.2">
      <c r="A20" s="312" t="s">
        <v>268</v>
      </c>
      <c r="B20" s="313"/>
      <c r="C20" s="271"/>
      <c r="D20" s="271"/>
      <c r="E20" s="271"/>
      <c r="F20" s="271"/>
      <c r="G20" s="271"/>
      <c r="H20" s="270"/>
      <c r="I20" s="313"/>
      <c r="J20" s="313"/>
      <c r="K20" s="313"/>
      <c r="L20" s="313"/>
      <c r="M20" s="313"/>
      <c r="N20" s="313"/>
      <c r="O20" s="313"/>
      <c r="P20" s="313"/>
      <c r="Q20" s="313"/>
      <c r="R20" s="313"/>
      <c r="S20" s="313"/>
      <c r="T20" s="313">
        <f>S19</f>
        <v>35571.689999999995</v>
      </c>
      <c r="U20" s="313">
        <f t="shared" si="0"/>
        <v>42269.85</v>
      </c>
      <c r="V20" s="313">
        <f t="shared" si="0"/>
        <v>35125.649999999994</v>
      </c>
      <c r="W20" s="313">
        <f t="shared" si="0"/>
        <v>36240.75</v>
      </c>
      <c r="X20" s="313">
        <f t="shared" si="0"/>
        <v>34679.61</v>
      </c>
      <c r="Y20" s="313">
        <f t="shared" si="0"/>
        <v>38247.93</v>
      </c>
      <c r="Z20" s="313">
        <f t="shared" si="0"/>
        <v>30776.76</v>
      </c>
      <c r="AA20" s="313">
        <f t="shared" si="0"/>
        <v>40924.17</v>
      </c>
      <c r="AB20" s="313">
        <f t="shared" si="0"/>
        <v>47503.259999999995</v>
      </c>
      <c r="AC20" s="313">
        <f t="shared" si="0"/>
        <v>52075.17</v>
      </c>
      <c r="AD20" s="313">
        <f t="shared" si="0"/>
        <v>45273.06</v>
      </c>
      <c r="AE20" s="313">
        <f t="shared" si="0"/>
        <v>47726.28</v>
      </c>
      <c r="AF20" s="313">
        <f t="shared" si="0"/>
        <v>52632.719999999994</v>
      </c>
      <c r="AG20" s="313">
        <f t="shared" si="0"/>
        <v>51629.13</v>
      </c>
      <c r="AH20" s="313">
        <f t="shared" si="0"/>
        <v>44269.469999999994</v>
      </c>
      <c r="AI20" s="313">
        <f t="shared" si="0"/>
        <v>57890.894399999983</v>
      </c>
      <c r="AJ20" s="313">
        <f t="shared" si="0"/>
        <v>58403.203199999974</v>
      </c>
      <c r="AK20" s="313">
        <f t="shared" si="0"/>
        <v>51230.879999999983</v>
      </c>
      <c r="AL20" s="608">
        <f t="shared" si="1"/>
        <v>46107.792000000001</v>
      </c>
      <c r="AM20" s="608">
        <f t="shared" si="1"/>
        <v>40984.703999999991</v>
      </c>
      <c r="AN20" s="608">
        <f t="shared" si="1"/>
        <v>40984.703999999991</v>
      </c>
      <c r="AO20" s="608">
        <f t="shared" si="1"/>
        <v>60521.705529055776</v>
      </c>
      <c r="AP20" s="608">
        <f t="shared" si="1"/>
        <v>60521.705529055776</v>
      </c>
      <c r="AQ20" s="608">
        <f t="shared" si="1"/>
        <v>60521.705529055776</v>
      </c>
      <c r="AR20" s="608">
        <f t="shared" si="1"/>
        <v>60516.476999999984</v>
      </c>
      <c r="AS20" s="608">
        <f t="shared" si="1"/>
        <v>60516.476999999984</v>
      </c>
      <c r="AT20" s="608">
        <f t="shared" si="1"/>
        <v>60516.476999999984</v>
      </c>
      <c r="AU20" s="608">
        <f t="shared" si="1"/>
        <v>60516.476999999984</v>
      </c>
      <c r="AV20" s="608">
        <f t="shared" si="1"/>
        <v>60516.476999999984</v>
      </c>
      <c r="AW20" s="608">
        <f t="shared" si="1"/>
        <v>60516.476999999984</v>
      </c>
    </row>
    <row r="21" spans="1:49" x14ac:dyDescent="0.2">
      <c r="A21" s="312" t="s">
        <v>269</v>
      </c>
      <c r="B21" s="313"/>
      <c r="C21" s="271"/>
      <c r="D21" s="271"/>
      <c r="E21" s="271"/>
      <c r="F21" s="271"/>
      <c r="G21" s="271"/>
      <c r="H21" s="271"/>
      <c r="I21" s="270"/>
      <c r="J21" s="313"/>
      <c r="K21" s="313"/>
      <c r="L21" s="313"/>
      <c r="M21" s="313"/>
      <c r="N21" s="313"/>
      <c r="O21" s="313"/>
      <c r="P21" s="313"/>
      <c r="Q21" s="313"/>
      <c r="R21" s="313"/>
      <c r="S21" s="313"/>
      <c r="T21" s="313"/>
      <c r="U21" s="313">
        <f>T20</f>
        <v>35571.689999999995</v>
      </c>
      <c r="V21" s="313">
        <f t="shared" si="0"/>
        <v>42269.85</v>
      </c>
      <c r="W21" s="313">
        <f t="shared" si="0"/>
        <v>35125.649999999994</v>
      </c>
      <c r="X21" s="313">
        <f t="shared" si="0"/>
        <v>36240.75</v>
      </c>
      <c r="Y21" s="313">
        <f t="shared" si="0"/>
        <v>34679.61</v>
      </c>
      <c r="Z21" s="313">
        <f t="shared" si="0"/>
        <v>38247.93</v>
      </c>
      <c r="AA21" s="313">
        <f t="shared" si="0"/>
        <v>30776.76</v>
      </c>
      <c r="AB21" s="313">
        <f t="shared" si="0"/>
        <v>40924.17</v>
      </c>
      <c r="AC21" s="313">
        <f t="shared" si="0"/>
        <v>47503.259999999995</v>
      </c>
      <c r="AD21" s="313">
        <f t="shared" si="0"/>
        <v>52075.17</v>
      </c>
      <c r="AE21" s="313">
        <f t="shared" si="0"/>
        <v>45273.06</v>
      </c>
      <c r="AF21" s="313">
        <f t="shared" si="0"/>
        <v>47726.28</v>
      </c>
      <c r="AG21" s="313">
        <f t="shared" si="0"/>
        <v>52632.719999999994</v>
      </c>
      <c r="AH21" s="313">
        <f t="shared" si="0"/>
        <v>51629.13</v>
      </c>
      <c r="AI21" s="313">
        <f t="shared" si="0"/>
        <v>44269.469999999994</v>
      </c>
      <c r="AJ21" s="313">
        <f t="shared" si="0"/>
        <v>57890.894399999983</v>
      </c>
      <c r="AK21" s="313">
        <f t="shared" si="0"/>
        <v>58403.203199999974</v>
      </c>
      <c r="AL21" s="608">
        <f t="shared" si="1"/>
        <v>51230.879999999983</v>
      </c>
      <c r="AM21" s="608">
        <f t="shared" si="1"/>
        <v>46107.792000000001</v>
      </c>
      <c r="AN21" s="608">
        <f t="shared" si="1"/>
        <v>40984.703999999991</v>
      </c>
      <c r="AO21" s="608">
        <f t="shared" si="1"/>
        <v>40984.703999999991</v>
      </c>
      <c r="AP21" s="608">
        <f t="shared" si="1"/>
        <v>60521.705529055776</v>
      </c>
      <c r="AQ21" s="608">
        <f t="shared" si="1"/>
        <v>60521.705529055776</v>
      </c>
      <c r="AR21" s="608">
        <f t="shared" si="1"/>
        <v>60521.705529055776</v>
      </c>
      <c r="AS21" s="608">
        <f t="shared" si="1"/>
        <v>60516.476999999984</v>
      </c>
      <c r="AT21" s="608">
        <f t="shared" si="1"/>
        <v>60516.476999999984</v>
      </c>
      <c r="AU21" s="608">
        <f t="shared" si="1"/>
        <v>60516.476999999984</v>
      </c>
      <c r="AV21" s="608">
        <f t="shared" si="1"/>
        <v>60516.476999999984</v>
      </c>
      <c r="AW21" s="608">
        <f t="shared" si="1"/>
        <v>60516.476999999984</v>
      </c>
    </row>
    <row r="22" spans="1:49" x14ac:dyDescent="0.2">
      <c r="A22" s="312" t="s">
        <v>270</v>
      </c>
      <c r="B22" s="313"/>
      <c r="C22" s="271"/>
      <c r="D22" s="271"/>
      <c r="E22" s="271"/>
      <c r="F22" s="271"/>
      <c r="G22" s="271"/>
      <c r="H22" s="271"/>
      <c r="I22" s="271"/>
      <c r="J22" s="270"/>
      <c r="K22" s="313"/>
      <c r="L22" s="313"/>
      <c r="M22" s="313"/>
      <c r="N22" s="313"/>
      <c r="O22" s="313"/>
      <c r="P22" s="313"/>
      <c r="Q22" s="313"/>
      <c r="R22" s="313"/>
      <c r="S22" s="313"/>
      <c r="T22" s="313"/>
      <c r="U22" s="313"/>
      <c r="V22" s="313">
        <f>U21</f>
        <v>35571.689999999995</v>
      </c>
      <c r="W22" s="313">
        <f t="shared" si="0"/>
        <v>42269.85</v>
      </c>
      <c r="X22" s="313">
        <f t="shared" si="0"/>
        <v>35125.649999999994</v>
      </c>
      <c r="Y22" s="313">
        <f t="shared" si="0"/>
        <v>36240.75</v>
      </c>
      <c r="Z22" s="313">
        <f t="shared" si="0"/>
        <v>34679.61</v>
      </c>
      <c r="AA22" s="313">
        <f t="shared" si="0"/>
        <v>38247.93</v>
      </c>
      <c r="AB22" s="313">
        <f t="shared" si="0"/>
        <v>30776.76</v>
      </c>
      <c r="AC22" s="313">
        <f t="shared" si="0"/>
        <v>40924.17</v>
      </c>
      <c r="AD22" s="313">
        <f t="shared" si="0"/>
        <v>47503.259999999995</v>
      </c>
      <c r="AE22" s="313">
        <f t="shared" si="0"/>
        <v>52075.17</v>
      </c>
      <c r="AF22" s="313">
        <f t="shared" si="0"/>
        <v>45273.06</v>
      </c>
      <c r="AG22" s="313">
        <f t="shared" si="0"/>
        <v>47726.28</v>
      </c>
      <c r="AH22" s="313">
        <f t="shared" si="0"/>
        <v>52632.719999999994</v>
      </c>
      <c r="AI22" s="313">
        <f t="shared" si="0"/>
        <v>51629.13</v>
      </c>
      <c r="AJ22" s="313">
        <f t="shared" si="0"/>
        <v>44269.469999999994</v>
      </c>
      <c r="AK22" s="313">
        <f t="shared" si="0"/>
        <v>57890.894399999983</v>
      </c>
      <c r="AL22" s="608">
        <f t="shared" si="1"/>
        <v>58403.203199999974</v>
      </c>
      <c r="AM22" s="608">
        <f t="shared" si="1"/>
        <v>51230.879999999983</v>
      </c>
      <c r="AN22" s="608">
        <f t="shared" si="1"/>
        <v>46107.792000000001</v>
      </c>
      <c r="AO22" s="608">
        <f t="shared" si="1"/>
        <v>40984.703999999991</v>
      </c>
      <c r="AP22" s="608">
        <f t="shared" si="1"/>
        <v>40984.703999999991</v>
      </c>
      <c r="AQ22" s="608">
        <f t="shared" si="1"/>
        <v>60521.705529055776</v>
      </c>
      <c r="AR22" s="608">
        <f t="shared" si="1"/>
        <v>60521.705529055776</v>
      </c>
      <c r="AS22" s="608">
        <f t="shared" si="1"/>
        <v>60521.705529055776</v>
      </c>
      <c r="AT22" s="608">
        <f t="shared" si="1"/>
        <v>60516.476999999984</v>
      </c>
      <c r="AU22" s="608">
        <f t="shared" si="1"/>
        <v>60516.476999999984</v>
      </c>
      <c r="AV22" s="608">
        <f t="shared" si="1"/>
        <v>60516.476999999984</v>
      </c>
      <c r="AW22" s="608">
        <f t="shared" si="1"/>
        <v>60516.476999999984</v>
      </c>
    </row>
    <row r="23" spans="1:49" x14ac:dyDescent="0.2">
      <c r="A23" s="312" t="s">
        <v>271</v>
      </c>
      <c r="B23" s="313"/>
      <c r="C23" s="271"/>
      <c r="D23" s="271"/>
      <c r="E23" s="271"/>
      <c r="F23" s="271"/>
      <c r="G23" s="271"/>
      <c r="H23" s="271"/>
      <c r="I23" s="271"/>
      <c r="J23" s="271"/>
      <c r="K23" s="270"/>
      <c r="L23" s="313"/>
      <c r="M23" s="313"/>
      <c r="N23" s="313"/>
      <c r="O23" s="313"/>
      <c r="P23" s="313"/>
      <c r="Q23" s="313"/>
      <c r="R23" s="313"/>
      <c r="S23" s="313"/>
      <c r="T23" s="313"/>
      <c r="U23" s="313"/>
      <c r="V23" s="313"/>
      <c r="W23" s="313">
        <f>V22</f>
        <v>35571.689999999995</v>
      </c>
      <c r="X23" s="313">
        <f t="shared" si="0"/>
        <v>42269.85</v>
      </c>
      <c r="Y23" s="313">
        <f t="shared" si="0"/>
        <v>35125.649999999994</v>
      </c>
      <c r="Z23" s="313">
        <f t="shared" si="0"/>
        <v>36240.75</v>
      </c>
      <c r="AA23" s="313">
        <f t="shared" si="0"/>
        <v>34679.61</v>
      </c>
      <c r="AB23" s="313">
        <f t="shared" si="0"/>
        <v>38247.93</v>
      </c>
      <c r="AC23" s="313">
        <f t="shared" si="0"/>
        <v>30776.76</v>
      </c>
      <c r="AD23" s="313">
        <f t="shared" si="0"/>
        <v>40924.17</v>
      </c>
      <c r="AE23" s="313">
        <f t="shared" si="0"/>
        <v>47503.259999999995</v>
      </c>
      <c r="AF23" s="313">
        <f t="shared" si="0"/>
        <v>52075.17</v>
      </c>
      <c r="AG23" s="313">
        <f t="shared" si="0"/>
        <v>45273.06</v>
      </c>
      <c r="AH23" s="313">
        <f t="shared" si="0"/>
        <v>47726.28</v>
      </c>
      <c r="AI23" s="313">
        <f t="shared" si="0"/>
        <v>52632.719999999994</v>
      </c>
      <c r="AJ23" s="313">
        <f t="shared" si="0"/>
        <v>51629.13</v>
      </c>
      <c r="AK23" s="313">
        <f t="shared" si="0"/>
        <v>44269.469999999994</v>
      </c>
      <c r="AL23" s="608">
        <f t="shared" si="1"/>
        <v>57890.894399999983</v>
      </c>
      <c r="AM23" s="608">
        <f t="shared" si="1"/>
        <v>58403.203199999974</v>
      </c>
      <c r="AN23" s="608">
        <f t="shared" si="1"/>
        <v>51230.879999999983</v>
      </c>
      <c r="AO23" s="608">
        <f t="shared" si="1"/>
        <v>46107.792000000001</v>
      </c>
      <c r="AP23" s="608">
        <f t="shared" si="1"/>
        <v>40984.703999999991</v>
      </c>
      <c r="AQ23" s="608">
        <f t="shared" si="1"/>
        <v>40984.703999999991</v>
      </c>
      <c r="AR23" s="608">
        <f t="shared" si="1"/>
        <v>60521.705529055776</v>
      </c>
      <c r="AS23" s="608">
        <f t="shared" si="1"/>
        <v>60521.705529055776</v>
      </c>
      <c r="AT23" s="608">
        <f t="shared" si="1"/>
        <v>60521.705529055776</v>
      </c>
      <c r="AU23" s="608">
        <f t="shared" si="1"/>
        <v>60516.476999999984</v>
      </c>
      <c r="AV23" s="608">
        <f t="shared" si="1"/>
        <v>60516.476999999984</v>
      </c>
      <c r="AW23" s="608">
        <f t="shared" si="1"/>
        <v>60516.476999999984</v>
      </c>
    </row>
    <row r="24" spans="1:49" x14ac:dyDescent="0.2">
      <c r="A24" s="312" t="s">
        <v>272</v>
      </c>
      <c r="B24" s="313"/>
      <c r="C24" s="271"/>
      <c r="D24" s="271"/>
      <c r="E24" s="271"/>
      <c r="F24" s="271"/>
      <c r="G24" s="271"/>
      <c r="H24" s="271"/>
      <c r="I24" s="271"/>
      <c r="J24" s="271"/>
      <c r="K24" s="271"/>
      <c r="L24" s="270"/>
      <c r="M24" s="313"/>
      <c r="N24" s="313"/>
      <c r="O24" s="313"/>
      <c r="P24" s="313"/>
      <c r="Q24" s="313"/>
      <c r="R24" s="313"/>
      <c r="S24" s="313"/>
      <c r="T24" s="313"/>
      <c r="U24" s="313"/>
      <c r="V24" s="313"/>
      <c r="W24" s="313"/>
      <c r="X24" s="313">
        <f>W23</f>
        <v>35571.689999999995</v>
      </c>
      <c r="Y24" s="313">
        <f t="shared" si="0"/>
        <v>42269.85</v>
      </c>
      <c r="Z24" s="313">
        <f t="shared" si="0"/>
        <v>35125.649999999994</v>
      </c>
      <c r="AA24" s="313">
        <f t="shared" si="0"/>
        <v>36240.75</v>
      </c>
      <c r="AB24" s="313">
        <f t="shared" si="0"/>
        <v>34679.61</v>
      </c>
      <c r="AC24" s="313">
        <f t="shared" si="0"/>
        <v>38247.93</v>
      </c>
      <c r="AD24" s="313">
        <f t="shared" si="0"/>
        <v>30776.76</v>
      </c>
      <c r="AE24" s="313">
        <f t="shared" si="0"/>
        <v>40924.17</v>
      </c>
      <c r="AF24" s="313">
        <f t="shared" si="0"/>
        <v>47503.259999999995</v>
      </c>
      <c r="AG24" s="313">
        <f t="shared" si="0"/>
        <v>52075.17</v>
      </c>
      <c r="AH24" s="313">
        <f t="shared" si="0"/>
        <v>45273.06</v>
      </c>
      <c r="AI24" s="313">
        <f t="shared" si="0"/>
        <v>47726.28</v>
      </c>
      <c r="AJ24" s="313">
        <f t="shared" si="0"/>
        <v>52632.719999999994</v>
      </c>
      <c r="AK24" s="313">
        <f t="shared" si="0"/>
        <v>51629.13</v>
      </c>
      <c r="AL24" s="608">
        <f t="shared" si="1"/>
        <v>44269.469999999994</v>
      </c>
      <c r="AM24" s="608">
        <f t="shared" si="1"/>
        <v>57890.894399999983</v>
      </c>
      <c r="AN24" s="608">
        <f t="shared" si="1"/>
        <v>58403.203199999974</v>
      </c>
      <c r="AO24" s="608">
        <f t="shared" si="1"/>
        <v>51230.879999999983</v>
      </c>
      <c r="AP24" s="608">
        <f t="shared" si="1"/>
        <v>46107.792000000001</v>
      </c>
      <c r="AQ24" s="608">
        <f t="shared" si="1"/>
        <v>40984.703999999991</v>
      </c>
      <c r="AR24" s="608">
        <f t="shared" si="1"/>
        <v>40984.703999999991</v>
      </c>
      <c r="AS24" s="608">
        <f t="shared" si="1"/>
        <v>60521.705529055776</v>
      </c>
      <c r="AT24" s="608">
        <f t="shared" si="1"/>
        <v>60521.705529055776</v>
      </c>
      <c r="AU24" s="608">
        <f t="shared" si="1"/>
        <v>60521.705529055776</v>
      </c>
      <c r="AV24" s="608">
        <f t="shared" si="1"/>
        <v>60516.476999999984</v>
      </c>
      <c r="AW24" s="608">
        <f t="shared" si="1"/>
        <v>60516.476999999984</v>
      </c>
    </row>
    <row r="25" spans="1:49" x14ac:dyDescent="0.2">
      <c r="A25" s="312" t="s">
        <v>273</v>
      </c>
      <c r="B25" s="313"/>
      <c r="C25" s="271"/>
      <c r="D25" s="271"/>
      <c r="E25" s="271"/>
      <c r="F25" s="271"/>
      <c r="G25" s="271"/>
      <c r="H25" s="271"/>
      <c r="I25" s="271"/>
      <c r="J25" s="271"/>
      <c r="K25" s="271"/>
      <c r="L25" s="271"/>
      <c r="M25" s="270"/>
      <c r="N25" s="313"/>
      <c r="O25" s="313"/>
      <c r="P25" s="313"/>
      <c r="Q25" s="313"/>
      <c r="R25" s="313"/>
      <c r="S25" s="313"/>
      <c r="T25" s="313"/>
      <c r="U25" s="313"/>
      <c r="V25" s="313"/>
      <c r="W25" s="313"/>
      <c r="X25" s="313"/>
      <c r="Y25" s="313">
        <f>X24</f>
        <v>35571.689999999995</v>
      </c>
      <c r="Z25" s="313">
        <f t="shared" si="0"/>
        <v>42269.85</v>
      </c>
      <c r="AA25" s="313">
        <f t="shared" si="0"/>
        <v>35125.649999999994</v>
      </c>
      <c r="AB25" s="313">
        <f t="shared" si="0"/>
        <v>36240.75</v>
      </c>
      <c r="AC25" s="313">
        <f t="shared" si="0"/>
        <v>34679.61</v>
      </c>
      <c r="AD25" s="313">
        <f t="shared" si="0"/>
        <v>38247.93</v>
      </c>
      <c r="AE25" s="313">
        <f t="shared" si="0"/>
        <v>30776.76</v>
      </c>
      <c r="AF25" s="313">
        <f t="shared" si="0"/>
        <v>40924.17</v>
      </c>
      <c r="AG25" s="313">
        <f t="shared" si="0"/>
        <v>47503.259999999995</v>
      </c>
      <c r="AH25" s="313">
        <f t="shared" si="0"/>
        <v>52075.17</v>
      </c>
      <c r="AI25" s="313">
        <f t="shared" si="0"/>
        <v>45273.06</v>
      </c>
      <c r="AJ25" s="313">
        <f t="shared" si="0"/>
        <v>47726.28</v>
      </c>
      <c r="AK25" s="313">
        <f t="shared" si="0"/>
        <v>52632.719999999994</v>
      </c>
      <c r="AL25" s="608">
        <f t="shared" si="1"/>
        <v>51629.13</v>
      </c>
      <c r="AM25" s="608">
        <f t="shared" si="1"/>
        <v>44269.469999999994</v>
      </c>
      <c r="AN25" s="608">
        <f t="shared" si="1"/>
        <v>57890.894399999983</v>
      </c>
      <c r="AO25" s="608">
        <f t="shared" si="1"/>
        <v>58403.203199999974</v>
      </c>
      <c r="AP25" s="608">
        <f t="shared" si="1"/>
        <v>51230.879999999983</v>
      </c>
      <c r="AQ25" s="608">
        <f t="shared" si="1"/>
        <v>46107.792000000001</v>
      </c>
      <c r="AR25" s="608">
        <f t="shared" si="1"/>
        <v>40984.703999999991</v>
      </c>
      <c r="AS25" s="608">
        <f t="shared" si="1"/>
        <v>40984.703999999991</v>
      </c>
      <c r="AT25" s="608">
        <f t="shared" si="1"/>
        <v>60521.705529055776</v>
      </c>
      <c r="AU25" s="608">
        <f t="shared" si="1"/>
        <v>60521.705529055776</v>
      </c>
      <c r="AV25" s="608">
        <f t="shared" si="1"/>
        <v>60521.705529055776</v>
      </c>
      <c r="AW25" s="608">
        <f t="shared" si="1"/>
        <v>60516.476999999984</v>
      </c>
    </row>
    <row r="26" spans="1:49" x14ac:dyDescent="0.2">
      <c r="A26" s="312" t="s">
        <v>288</v>
      </c>
      <c r="N26" s="270"/>
      <c r="O26" s="313"/>
      <c r="P26" s="313"/>
      <c r="Q26" s="313"/>
      <c r="R26" s="313"/>
      <c r="S26" s="313"/>
      <c r="T26" s="313"/>
      <c r="U26" s="313"/>
      <c r="V26" s="313"/>
      <c r="W26" s="313"/>
      <c r="X26" s="313"/>
      <c r="Y26" s="313"/>
      <c r="Z26" s="313">
        <f t="shared" ref="Z26:AK26" si="3">Y25</f>
        <v>35571.689999999995</v>
      </c>
      <c r="AA26" s="313">
        <f t="shared" si="3"/>
        <v>42269.85</v>
      </c>
      <c r="AB26" s="313">
        <f t="shared" si="3"/>
        <v>35125.649999999994</v>
      </c>
      <c r="AC26" s="313">
        <f t="shared" si="3"/>
        <v>36240.75</v>
      </c>
      <c r="AD26" s="313">
        <f t="shared" si="3"/>
        <v>34679.61</v>
      </c>
      <c r="AE26" s="313">
        <f t="shared" si="3"/>
        <v>38247.93</v>
      </c>
      <c r="AF26" s="313">
        <f t="shared" si="3"/>
        <v>30776.76</v>
      </c>
      <c r="AG26" s="313">
        <f t="shared" si="3"/>
        <v>40924.17</v>
      </c>
      <c r="AH26" s="313">
        <f t="shared" si="3"/>
        <v>47503.259999999995</v>
      </c>
      <c r="AI26" s="313">
        <f t="shared" si="3"/>
        <v>52075.17</v>
      </c>
      <c r="AJ26" s="313">
        <f t="shared" si="3"/>
        <v>45273.06</v>
      </c>
      <c r="AK26" s="313">
        <f t="shared" si="3"/>
        <v>47726.28</v>
      </c>
      <c r="AL26" s="608">
        <f t="shared" si="1"/>
        <v>52632.719999999994</v>
      </c>
      <c r="AM26" s="608">
        <f t="shared" si="1"/>
        <v>51629.13</v>
      </c>
      <c r="AN26" s="608">
        <f t="shared" si="1"/>
        <v>44269.469999999994</v>
      </c>
      <c r="AO26" s="608">
        <f t="shared" si="1"/>
        <v>57890.894399999983</v>
      </c>
      <c r="AP26" s="608">
        <f t="shared" si="1"/>
        <v>58403.203199999974</v>
      </c>
      <c r="AQ26" s="608">
        <f t="shared" si="1"/>
        <v>51230.879999999983</v>
      </c>
      <c r="AR26" s="608">
        <f t="shared" si="1"/>
        <v>46107.792000000001</v>
      </c>
      <c r="AS26" s="608">
        <f t="shared" si="1"/>
        <v>40984.703999999991</v>
      </c>
      <c r="AT26" s="608">
        <f t="shared" si="1"/>
        <v>40984.703999999991</v>
      </c>
      <c r="AU26" s="608">
        <f t="shared" si="1"/>
        <v>60521.705529055776</v>
      </c>
      <c r="AV26" s="608">
        <f t="shared" si="1"/>
        <v>60521.705529055776</v>
      </c>
      <c r="AW26" s="608">
        <f t="shared" si="1"/>
        <v>60521.705529055776</v>
      </c>
    </row>
    <row r="27" spans="1:49" x14ac:dyDescent="0.2">
      <c r="A27" s="312" t="s">
        <v>289</v>
      </c>
      <c r="B27" s="271"/>
      <c r="C27" s="271"/>
      <c r="D27" s="271"/>
      <c r="E27" s="271"/>
      <c r="F27" s="271"/>
      <c r="G27" s="271"/>
      <c r="H27" s="271"/>
      <c r="I27" s="271"/>
      <c r="J27" s="271"/>
      <c r="K27" s="271"/>
      <c r="L27" s="271"/>
      <c r="M27" s="271"/>
      <c r="N27" s="271"/>
      <c r="O27" s="270"/>
      <c r="P27" s="313"/>
      <c r="Q27" s="271"/>
      <c r="R27" s="271"/>
      <c r="S27" s="271"/>
      <c r="T27" s="271"/>
      <c r="U27" s="271"/>
      <c r="V27" s="271"/>
      <c r="W27" s="271"/>
      <c r="X27" s="271"/>
      <c r="Y27" s="271"/>
      <c r="Z27" s="271"/>
      <c r="AA27" s="271">
        <f>Z26</f>
        <v>35571.689999999995</v>
      </c>
      <c r="AB27" s="271">
        <f>$Z$26</f>
        <v>35571.689999999995</v>
      </c>
      <c r="AC27" s="271">
        <f>$AA$26</f>
        <v>42269.85</v>
      </c>
      <c r="AD27" s="271">
        <f>$AB$26</f>
        <v>35125.649999999994</v>
      </c>
      <c r="AE27" s="271">
        <f>$AD$26</f>
        <v>34679.61</v>
      </c>
      <c r="AF27" s="271">
        <f>$AE$26</f>
        <v>38247.93</v>
      </c>
      <c r="AG27" s="271">
        <f>$AF$26</f>
        <v>30776.76</v>
      </c>
      <c r="AH27" s="271">
        <f>$AG$26</f>
        <v>40924.17</v>
      </c>
      <c r="AI27" s="271">
        <f>$AH$26</f>
        <v>47503.259999999995</v>
      </c>
      <c r="AJ27" s="271">
        <f>$AI$26</f>
        <v>52075.17</v>
      </c>
      <c r="AK27" s="271">
        <f>$AJ$26</f>
        <v>45273.06</v>
      </c>
      <c r="AL27" s="608">
        <f t="shared" si="1"/>
        <v>47726.28</v>
      </c>
      <c r="AM27" s="608">
        <f t="shared" si="1"/>
        <v>52632.719999999994</v>
      </c>
      <c r="AN27" s="608">
        <f t="shared" si="1"/>
        <v>51629.13</v>
      </c>
      <c r="AO27" s="608">
        <f t="shared" si="1"/>
        <v>44269.469999999994</v>
      </c>
      <c r="AP27" s="608">
        <f t="shared" si="1"/>
        <v>57890.894399999983</v>
      </c>
      <c r="AQ27" s="608">
        <f t="shared" si="1"/>
        <v>58403.203199999974</v>
      </c>
      <c r="AR27" s="608">
        <f t="shared" si="1"/>
        <v>51230.879999999983</v>
      </c>
      <c r="AS27" s="608">
        <f t="shared" si="1"/>
        <v>46107.792000000001</v>
      </c>
      <c r="AT27" s="608">
        <f t="shared" si="1"/>
        <v>40984.703999999991</v>
      </c>
      <c r="AU27" s="608">
        <f t="shared" si="1"/>
        <v>40984.703999999991</v>
      </c>
      <c r="AV27" s="608">
        <f t="shared" si="1"/>
        <v>60521.705529055776</v>
      </c>
      <c r="AW27" s="608">
        <f t="shared" si="1"/>
        <v>60521.705529055776</v>
      </c>
    </row>
    <row r="28" spans="1:49" x14ac:dyDescent="0.2">
      <c r="A28" s="312" t="s">
        <v>290</v>
      </c>
      <c r="B28" s="271"/>
      <c r="C28" s="271"/>
      <c r="D28" s="271"/>
      <c r="E28" s="271"/>
      <c r="F28" s="271"/>
      <c r="G28" s="271"/>
      <c r="H28" s="271"/>
      <c r="I28" s="271"/>
      <c r="J28" s="271"/>
      <c r="K28" s="271"/>
      <c r="L28" s="271"/>
      <c r="M28" s="271"/>
      <c r="N28" s="271"/>
      <c r="O28" s="271"/>
      <c r="P28" s="285"/>
      <c r="Q28" s="313"/>
      <c r="R28" s="271"/>
      <c r="S28" s="271"/>
      <c r="T28" s="271"/>
      <c r="U28" s="271"/>
      <c r="V28" s="271"/>
      <c r="W28" s="271"/>
      <c r="X28" s="271"/>
      <c r="Y28" s="271"/>
      <c r="Z28" s="271"/>
      <c r="AA28" s="271">
        <f>$X$26</f>
        <v>0</v>
      </c>
      <c r="AB28" s="271">
        <f>$Y$26</f>
        <v>0</v>
      </c>
      <c r="AC28" s="271">
        <f>$Z$26</f>
        <v>35571.689999999995</v>
      </c>
      <c r="AD28" s="271">
        <f>$AA$26</f>
        <v>42269.85</v>
      </c>
      <c r="AE28" s="271">
        <f>$AB$26</f>
        <v>35125.649999999994</v>
      </c>
      <c r="AF28" s="271">
        <f>$AD$26</f>
        <v>34679.61</v>
      </c>
      <c r="AG28" s="271">
        <f>$AE$26</f>
        <v>38247.93</v>
      </c>
      <c r="AH28" s="271">
        <f>$AF$26</f>
        <v>30776.76</v>
      </c>
      <c r="AI28" s="271">
        <f>$AG$26</f>
        <v>40924.17</v>
      </c>
      <c r="AJ28" s="271">
        <f>$AH$26</f>
        <v>47503.259999999995</v>
      </c>
      <c r="AK28" s="271">
        <f>$AI$26</f>
        <v>52075.17</v>
      </c>
      <c r="AL28" s="606">
        <f>$AJ$26</f>
        <v>45273.06</v>
      </c>
      <c r="AM28" s="608">
        <f t="shared" si="1"/>
        <v>47726.28</v>
      </c>
      <c r="AN28" s="608">
        <f t="shared" si="1"/>
        <v>52632.719999999994</v>
      </c>
      <c r="AO28" s="608">
        <f t="shared" si="1"/>
        <v>51629.13</v>
      </c>
      <c r="AP28" s="608">
        <f t="shared" si="1"/>
        <v>44269.469999999994</v>
      </c>
      <c r="AQ28" s="608">
        <f t="shared" si="1"/>
        <v>57890.894399999983</v>
      </c>
      <c r="AR28" s="608">
        <f t="shared" si="1"/>
        <v>58403.203199999974</v>
      </c>
      <c r="AS28" s="608">
        <f t="shared" si="1"/>
        <v>51230.879999999983</v>
      </c>
      <c r="AT28" s="608">
        <f t="shared" si="1"/>
        <v>46107.792000000001</v>
      </c>
      <c r="AU28" s="608">
        <f t="shared" si="1"/>
        <v>40984.703999999991</v>
      </c>
      <c r="AV28" s="608">
        <f t="shared" si="1"/>
        <v>40984.703999999991</v>
      </c>
      <c r="AW28" s="608">
        <f t="shared" si="1"/>
        <v>60521.705529055776</v>
      </c>
    </row>
    <row r="29" spans="1:49" x14ac:dyDescent="0.2">
      <c r="A29" s="312" t="s">
        <v>291</v>
      </c>
      <c r="B29" s="271"/>
      <c r="C29" s="271"/>
      <c r="D29" s="271"/>
      <c r="E29" s="271"/>
      <c r="F29" s="271"/>
      <c r="G29" s="271"/>
      <c r="H29" s="271"/>
      <c r="I29" s="271"/>
      <c r="J29" s="271"/>
      <c r="K29" s="271"/>
      <c r="L29" s="271"/>
      <c r="M29" s="271"/>
      <c r="N29" s="271"/>
      <c r="O29" s="271"/>
      <c r="P29" s="271"/>
      <c r="Q29" s="285"/>
      <c r="R29" s="313"/>
      <c r="S29" s="271"/>
      <c r="T29" s="271"/>
      <c r="U29" s="271"/>
      <c r="V29" s="271"/>
      <c r="W29" s="271"/>
      <c r="X29" s="271"/>
      <c r="Y29" s="271"/>
      <c r="Z29" s="271"/>
      <c r="AA29" s="271">
        <f>$W$26</f>
        <v>0</v>
      </c>
      <c r="AB29" s="271">
        <f>$X$26</f>
        <v>0</v>
      </c>
      <c r="AC29" s="271">
        <f>$Y$26</f>
        <v>0</v>
      </c>
      <c r="AD29" s="271">
        <f>$Z$26</f>
        <v>35571.689999999995</v>
      </c>
      <c r="AE29" s="271">
        <f>$AA$26</f>
        <v>42269.85</v>
      </c>
      <c r="AF29" s="271">
        <f>$AB$26</f>
        <v>35125.649999999994</v>
      </c>
      <c r="AG29" s="271">
        <f>$AD$26</f>
        <v>34679.61</v>
      </c>
      <c r="AH29" s="271">
        <f>$AE$26</f>
        <v>38247.93</v>
      </c>
      <c r="AI29" s="271">
        <f>$AF$26</f>
        <v>30776.76</v>
      </c>
      <c r="AJ29" s="271">
        <f>$AG$26</f>
        <v>40924.17</v>
      </c>
      <c r="AK29" s="271">
        <f>$AH$26</f>
        <v>47503.259999999995</v>
      </c>
      <c r="AL29" s="606">
        <f>$AI$26</f>
        <v>52075.17</v>
      </c>
      <c r="AM29" s="606">
        <f>$AJ$26</f>
        <v>45273.06</v>
      </c>
      <c r="AN29" s="608">
        <f t="shared" si="1"/>
        <v>47726.28</v>
      </c>
      <c r="AO29" s="608">
        <f t="shared" si="1"/>
        <v>52632.719999999994</v>
      </c>
      <c r="AP29" s="608">
        <f t="shared" si="1"/>
        <v>51629.13</v>
      </c>
      <c r="AQ29" s="608">
        <f t="shared" si="1"/>
        <v>44269.469999999994</v>
      </c>
      <c r="AR29" s="608">
        <f t="shared" si="1"/>
        <v>57890.894399999983</v>
      </c>
      <c r="AS29" s="608">
        <f t="shared" si="1"/>
        <v>58403.203199999974</v>
      </c>
      <c r="AT29" s="608">
        <f t="shared" si="1"/>
        <v>51230.879999999983</v>
      </c>
      <c r="AU29" s="608">
        <f t="shared" si="1"/>
        <v>46107.792000000001</v>
      </c>
      <c r="AV29" s="608">
        <f t="shared" si="1"/>
        <v>40984.703999999991</v>
      </c>
      <c r="AW29" s="608">
        <f t="shared" si="1"/>
        <v>40984.703999999991</v>
      </c>
    </row>
    <row r="30" spans="1:49" x14ac:dyDescent="0.2">
      <c r="A30" s="312" t="s">
        <v>292</v>
      </c>
      <c r="B30" s="271"/>
      <c r="C30" s="271"/>
      <c r="D30" s="271"/>
      <c r="E30" s="271"/>
      <c r="F30" s="271"/>
      <c r="G30" s="271"/>
      <c r="H30" s="271"/>
      <c r="I30" s="271"/>
      <c r="J30" s="271"/>
      <c r="K30" s="271"/>
      <c r="L30" s="271"/>
      <c r="M30" s="271"/>
      <c r="N30" s="271"/>
      <c r="O30" s="271"/>
      <c r="P30" s="271"/>
      <c r="Q30" s="271"/>
      <c r="R30" s="285"/>
      <c r="S30" s="313"/>
      <c r="T30" s="271"/>
      <c r="U30" s="271"/>
      <c r="V30" s="271"/>
      <c r="W30" s="271"/>
      <c r="X30" s="271"/>
      <c r="Y30" s="271"/>
      <c r="Z30" s="271"/>
      <c r="AA30" s="271">
        <f>$V$26</f>
        <v>0</v>
      </c>
      <c r="AB30" s="271">
        <f>$W$26</f>
        <v>0</v>
      </c>
      <c r="AC30" s="271">
        <f>$X$26</f>
        <v>0</v>
      </c>
      <c r="AD30" s="271">
        <f>$Y$26</f>
        <v>0</v>
      </c>
      <c r="AE30" s="271">
        <f>$Z$26</f>
        <v>35571.689999999995</v>
      </c>
      <c r="AF30" s="271">
        <f>$AA$26</f>
        <v>42269.85</v>
      </c>
      <c r="AG30" s="271">
        <f>$AB$26</f>
        <v>35125.649999999994</v>
      </c>
      <c r="AH30" s="271">
        <f>$AD$26</f>
        <v>34679.61</v>
      </c>
      <c r="AI30" s="271">
        <f>$AE$26</f>
        <v>38247.93</v>
      </c>
      <c r="AJ30" s="271">
        <f>$AF$26</f>
        <v>30776.76</v>
      </c>
      <c r="AK30" s="271">
        <f>$AG$26</f>
        <v>40924.17</v>
      </c>
      <c r="AL30" s="606">
        <f>$AH$26</f>
        <v>47503.259999999995</v>
      </c>
      <c r="AM30" s="606">
        <f>$AI$26</f>
        <v>52075.17</v>
      </c>
      <c r="AN30" s="606">
        <f>$AJ$26</f>
        <v>45273.06</v>
      </c>
      <c r="AO30" s="608">
        <f t="shared" si="1"/>
        <v>47726.28</v>
      </c>
      <c r="AP30" s="608">
        <f t="shared" si="1"/>
        <v>52632.719999999994</v>
      </c>
      <c r="AQ30" s="608">
        <f t="shared" si="1"/>
        <v>51629.13</v>
      </c>
      <c r="AR30" s="608">
        <f t="shared" si="1"/>
        <v>44269.469999999994</v>
      </c>
      <c r="AS30" s="608">
        <f t="shared" si="1"/>
        <v>57890.894399999983</v>
      </c>
      <c r="AT30" s="608">
        <f t="shared" si="1"/>
        <v>58403.203199999974</v>
      </c>
      <c r="AU30" s="608">
        <f t="shared" si="1"/>
        <v>51230.879999999983</v>
      </c>
      <c r="AV30" s="608">
        <f t="shared" si="1"/>
        <v>46107.792000000001</v>
      </c>
      <c r="AW30" s="608">
        <f t="shared" si="1"/>
        <v>40984.703999999991</v>
      </c>
    </row>
    <row r="31" spans="1:49" x14ac:dyDescent="0.2">
      <c r="A31" s="312" t="s">
        <v>293</v>
      </c>
      <c r="B31" s="271"/>
      <c r="C31" s="271"/>
      <c r="D31" s="271"/>
      <c r="E31" s="271"/>
      <c r="F31" s="271"/>
      <c r="G31" s="271"/>
      <c r="H31" s="271"/>
      <c r="I31" s="271"/>
      <c r="J31" s="271"/>
      <c r="K31" s="271"/>
      <c r="L31" s="271"/>
      <c r="M31" s="271"/>
      <c r="N31" s="271"/>
      <c r="O31" s="271"/>
      <c r="P31" s="271"/>
      <c r="Q31" s="271"/>
      <c r="R31" s="271"/>
      <c r="S31" s="285"/>
      <c r="T31" s="313"/>
      <c r="U31" s="271"/>
      <c r="V31" s="271"/>
      <c r="W31" s="271"/>
      <c r="X31" s="271"/>
      <c r="Y31" s="271"/>
      <c r="Z31" s="271"/>
      <c r="AA31" s="271">
        <f>$U$26</f>
        <v>0</v>
      </c>
      <c r="AB31" s="271">
        <f>$V$26</f>
        <v>0</v>
      </c>
      <c r="AC31" s="271">
        <f>$W$26</f>
        <v>0</v>
      </c>
      <c r="AD31" s="271">
        <f>$X$26</f>
        <v>0</v>
      </c>
      <c r="AE31" s="271">
        <f>$Y$26</f>
        <v>0</v>
      </c>
      <c r="AF31" s="271">
        <f>$Z$26</f>
        <v>35571.689999999995</v>
      </c>
      <c r="AG31" s="271">
        <f>$AA$26</f>
        <v>42269.85</v>
      </c>
      <c r="AH31" s="271">
        <f>$AB$26</f>
        <v>35125.649999999994</v>
      </c>
      <c r="AI31" s="271">
        <f>$AD$26</f>
        <v>34679.61</v>
      </c>
      <c r="AJ31" s="271">
        <f>$AE$26</f>
        <v>38247.93</v>
      </c>
      <c r="AK31" s="271">
        <f>$AF$26</f>
        <v>30776.76</v>
      </c>
      <c r="AL31" s="606">
        <f>$AG$26</f>
        <v>40924.17</v>
      </c>
      <c r="AM31" s="606">
        <f>$AH$26</f>
        <v>47503.259999999995</v>
      </c>
      <c r="AN31" s="606">
        <f>$AI$26</f>
        <v>52075.17</v>
      </c>
      <c r="AO31" s="606">
        <f>$AJ$26</f>
        <v>45273.06</v>
      </c>
      <c r="AP31" s="608">
        <f t="shared" ref="AP31:AW38" si="4">AO30</f>
        <v>47726.28</v>
      </c>
      <c r="AQ31" s="608">
        <f t="shared" si="4"/>
        <v>52632.719999999994</v>
      </c>
      <c r="AR31" s="608">
        <f t="shared" si="4"/>
        <v>51629.13</v>
      </c>
      <c r="AS31" s="608">
        <f t="shared" si="4"/>
        <v>44269.469999999994</v>
      </c>
      <c r="AT31" s="608">
        <f t="shared" si="4"/>
        <v>57890.894399999983</v>
      </c>
      <c r="AU31" s="608">
        <f t="shared" si="4"/>
        <v>58403.203199999974</v>
      </c>
      <c r="AV31" s="608">
        <f t="shared" si="4"/>
        <v>51230.879999999983</v>
      </c>
      <c r="AW31" s="608">
        <f t="shared" si="4"/>
        <v>46107.792000000001</v>
      </c>
    </row>
    <row r="32" spans="1:49" x14ac:dyDescent="0.2">
      <c r="A32" s="312" t="s">
        <v>294</v>
      </c>
      <c r="B32" s="271"/>
      <c r="C32" s="271"/>
      <c r="D32" s="271"/>
      <c r="E32" s="271"/>
      <c r="F32" s="271"/>
      <c r="G32" s="271"/>
      <c r="H32" s="271"/>
      <c r="I32" s="271"/>
      <c r="J32" s="271"/>
      <c r="K32" s="271"/>
      <c r="L32" s="271"/>
      <c r="M32" s="271"/>
      <c r="N32" s="271"/>
      <c r="O32" s="271"/>
      <c r="P32" s="271"/>
      <c r="Q32" s="271"/>
      <c r="R32" s="271"/>
      <c r="S32" s="271"/>
      <c r="T32" s="285"/>
      <c r="U32" s="313"/>
      <c r="V32" s="271"/>
      <c r="W32" s="271"/>
      <c r="X32" s="271"/>
      <c r="Y32" s="271"/>
      <c r="Z32" s="271"/>
      <c r="AA32" s="271">
        <f>$T$26</f>
        <v>0</v>
      </c>
      <c r="AB32" s="271">
        <f>$U$26</f>
        <v>0</v>
      </c>
      <c r="AC32" s="271">
        <f>$V$26</f>
        <v>0</v>
      </c>
      <c r="AD32" s="271">
        <f>$W$26</f>
        <v>0</v>
      </c>
      <c r="AE32" s="271">
        <f>$X$26</f>
        <v>0</v>
      </c>
      <c r="AF32" s="271">
        <f>$Y$26</f>
        <v>0</v>
      </c>
      <c r="AG32" s="271">
        <f>$Z$26</f>
        <v>35571.689999999995</v>
      </c>
      <c r="AH32" s="271">
        <f>$AA$26</f>
        <v>42269.85</v>
      </c>
      <c r="AI32" s="271">
        <f>$AB$26</f>
        <v>35125.649999999994</v>
      </c>
      <c r="AJ32" s="271">
        <f>$AD$26</f>
        <v>34679.61</v>
      </c>
      <c r="AK32" s="271">
        <f>$AE$26</f>
        <v>38247.93</v>
      </c>
      <c r="AL32" s="606">
        <f>$AF$26</f>
        <v>30776.76</v>
      </c>
      <c r="AM32" s="606">
        <f>$AG$26</f>
        <v>40924.17</v>
      </c>
      <c r="AN32" s="606">
        <f>$AH$26</f>
        <v>47503.259999999995</v>
      </c>
      <c r="AO32" s="606">
        <f>$AI$26</f>
        <v>52075.17</v>
      </c>
      <c r="AP32" s="606">
        <f>$AJ$26</f>
        <v>45273.06</v>
      </c>
      <c r="AQ32" s="608">
        <f t="shared" si="4"/>
        <v>47726.28</v>
      </c>
      <c r="AR32" s="608">
        <f t="shared" si="4"/>
        <v>52632.719999999994</v>
      </c>
      <c r="AS32" s="608">
        <f t="shared" si="4"/>
        <v>51629.13</v>
      </c>
      <c r="AT32" s="608">
        <f t="shared" si="4"/>
        <v>44269.469999999994</v>
      </c>
      <c r="AU32" s="608">
        <f t="shared" si="4"/>
        <v>57890.894399999983</v>
      </c>
      <c r="AV32" s="608">
        <f t="shared" si="4"/>
        <v>58403.203199999974</v>
      </c>
      <c r="AW32" s="608">
        <f t="shared" si="4"/>
        <v>51230.879999999983</v>
      </c>
    </row>
    <row r="33" spans="1:49" x14ac:dyDescent="0.2">
      <c r="A33" s="312" t="s">
        <v>295</v>
      </c>
      <c r="B33" s="271"/>
      <c r="C33" s="271"/>
      <c r="D33" s="271"/>
      <c r="E33" s="271"/>
      <c r="F33" s="271"/>
      <c r="G33" s="271"/>
      <c r="H33" s="271"/>
      <c r="I33" s="271"/>
      <c r="J33" s="271"/>
      <c r="K33" s="271"/>
      <c r="L33" s="271"/>
      <c r="M33" s="271"/>
      <c r="N33" s="271"/>
      <c r="O33" s="271"/>
      <c r="P33" s="271"/>
      <c r="Q33" s="271"/>
      <c r="R33" s="271"/>
      <c r="S33" s="271"/>
      <c r="T33" s="271"/>
      <c r="U33" s="285"/>
      <c r="V33" s="313"/>
      <c r="W33" s="271"/>
      <c r="X33" s="271"/>
      <c r="Y33" s="271"/>
      <c r="Z33" s="271"/>
      <c r="AA33" s="271">
        <f>$S$26</f>
        <v>0</v>
      </c>
      <c r="AB33" s="271">
        <f>$T$26</f>
        <v>0</v>
      </c>
      <c r="AC33" s="271">
        <f>$U$26</f>
        <v>0</v>
      </c>
      <c r="AD33" s="271">
        <f>$V$26</f>
        <v>0</v>
      </c>
      <c r="AE33" s="271">
        <f>$W$26</f>
        <v>0</v>
      </c>
      <c r="AF33" s="271">
        <f>$X$26</f>
        <v>0</v>
      </c>
      <c r="AG33" s="271">
        <f>$Y$26</f>
        <v>0</v>
      </c>
      <c r="AH33" s="271">
        <f>$Z$26</f>
        <v>35571.689999999995</v>
      </c>
      <c r="AI33" s="271">
        <f>$AA$26</f>
        <v>42269.85</v>
      </c>
      <c r="AJ33" s="271">
        <f>$AB$26</f>
        <v>35125.649999999994</v>
      </c>
      <c r="AK33" s="271">
        <f>$AD$26</f>
        <v>34679.61</v>
      </c>
      <c r="AL33" s="606">
        <f>$AE$26</f>
        <v>38247.93</v>
      </c>
      <c r="AM33" s="606">
        <f>$AF$26</f>
        <v>30776.76</v>
      </c>
      <c r="AN33" s="606">
        <f>$AG$26</f>
        <v>40924.17</v>
      </c>
      <c r="AO33" s="606">
        <f>$AH$26</f>
        <v>47503.259999999995</v>
      </c>
      <c r="AP33" s="606">
        <f>$AI$26</f>
        <v>52075.17</v>
      </c>
      <c r="AQ33" s="606">
        <f>$AJ$26</f>
        <v>45273.06</v>
      </c>
      <c r="AR33" s="608">
        <f t="shared" si="4"/>
        <v>47726.28</v>
      </c>
      <c r="AS33" s="608">
        <f t="shared" si="4"/>
        <v>52632.719999999994</v>
      </c>
      <c r="AT33" s="608">
        <f t="shared" si="4"/>
        <v>51629.13</v>
      </c>
      <c r="AU33" s="608">
        <f t="shared" si="4"/>
        <v>44269.469999999994</v>
      </c>
      <c r="AV33" s="608">
        <f t="shared" si="4"/>
        <v>57890.894399999983</v>
      </c>
      <c r="AW33" s="608">
        <f t="shared" si="4"/>
        <v>58403.203199999974</v>
      </c>
    </row>
    <row r="34" spans="1:49" x14ac:dyDescent="0.2">
      <c r="A34" s="312" t="s">
        <v>296</v>
      </c>
      <c r="B34" s="271"/>
      <c r="C34" s="271"/>
      <c r="D34" s="271"/>
      <c r="E34" s="271"/>
      <c r="F34" s="271"/>
      <c r="G34" s="271"/>
      <c r="H34" s="271"/>
      <c r="I34" s="271"/>
      <c r="J34" s="271"/>
      <c r="K34" s="271"/>
      <c r="L34" s="271"/>
      <c r="M34" s="271"/>
      <c r="N34" s="271"/>
      <c r="O34" s="271"/>
      <c r="P34" s="271"/>
      <c r="Q34" s="271"/>
      <c r="R34" s="271"/>
      <c r="S34" s="271"/>
      <c r="T34" s="271"/>
      <c r="U34" s="271"/>
      <c r="V34" s="285"/>
      <c r="W34" s="313"/>
      <c r="X34" s="271"/>
      <c r="Y34" s="271"/>
      <c r="Z34" s="271"/>
      <c r="AA34" s="271">
        <f>$R$26</f>
        <v>0</v>
      </c>
      <c r="AB34" s="271">
        <f>$S$26</f>
        <v>0</v>
      </c>
      <c r="AC34" s="271">
        <f>$T$26</f>
        <v>0</v>
      </c>
      <c r="AD34" s="271">
        <f>$U$26</f>
        <v>0</v>
      </c>
      <c r="AE34" s="271">
        <f>$V$26</f>
        <v>0</v>
      </c>
      <c r="AF34" s="271">
        <f>$W$26</f>
        <v>0</v>
      </c>
      <c r="AG34" s="271">
        <f>$X$26</f>
        <v>0</v>
      </c>
      <c r="AH34" s="271">
        <f>$Y$26</f>
        <v>0</v>
      </c>
      <c r="AI34" s="271">
        <f>$Z$26</f>
        <v>35571.689999999995</v>
      </c>
      <c r="AJ34" s="271">
        <f>$AA$26</f>
        <v>42269.85</v>
      </c>
      <c r="AK34" s="271">
        <f>$AB$26</f>
        <v>35125.649999999994</v>
      </c>
      <c r="AL34" s="606">
        <f>$AD$26</f>
        <v>34679.61</v>
      </c>
      <c r="AM34" s="606">
        <f>$AE$26</f>
        <v>38247.93</v>
      </c>
      <c r="AN34" s="606">
        <f>$AF$26</f>
        <v>30776.76</v>
      </c>
      <c r="AO34" s="606">
        <f>$AG$26</f>
        <v>40924.17</v>
      </c>
      <c r="AP34" s="606">
        <f>$AH$26</f>
        <v>47503.259999999995</v>
      </c>
      <c r="AQ34" s="606">
        <f>$AI$26</f>
        <v>52075.17</v>
      </c>
      <c r="AR34" s="606">
        <f>$AJ$26</f>
        <v>45273.06</v>
      </c>
      <c r="AS34" s="608">
        <f t="shared" si="4"/>
        <v>47726.28</v>
      </c>
      <c r="AT34" s="608">
        <f t="shared" si="4"/>
        <v>52632.719999999994</v>
      </c>
      <c r="AU34" s="608">
        <f t="shared" si="4"/>
        <v>51629.13</v>
      </c>
      <c r="AV34" s="608">
        <f t="shared" si="4"/>
        <v>44269.469999999994</v>
      </c>
      <c r="AW34" s="608">
        <f t="shared" si="4"/>
        <v>57890.894399999983</v>
      </c>
    </row>
    <row r="35" spans="1:49" x14ac:dyDescent="0.2">
      <c r="A35" s="312" t="s">
        <v>297</v>
      </c>
      <c r="B35" s="271"/>
      <c r="C35" s="271"/>
      <c r="D35" s="271"/>
      <c r="E35" s="271"/>
      <c r="F35" s="271"/>
      <c r="G35" s="271"/>
      <c r="H35" s="271"/>
      <c r="I35" s="271"/>
      <c r="J35" s="271"/>
      <c r="K35" s="271"/>
      <c r="L35" s="271"/>
      <c r="M35" s="271"/>
      <c r="N35" s="271"/>
      <c r="O35" s="271"/>
      <c r="P35" s="271"/>
      <c r="Q35" s="271"/>
      <c r="R35" s="271"/>
      <c r="S35" s="271"/>
      <c r="T35" s="271"/>
      <c r="U35" s="271"/>
      <c r="V35" s="271"/>
      <c r="W35" s="285"/>
      <c r="X35" s="313"/>
      <c r="Y35" s="271"/>
      <c r="Z35" s="271"/>
      <c r="AA35" s="271">
        <f>$Q$26</f>
        <v>0</v>
      </c>
      <c r="AB35" s="271">
        <f>$R$26</f>
        <v>0</v>
      </c>
      <c r="AC35" s="271">
        <f>$S$26</f>
        <v>0</v>
      </c>
      <c r="AD35" s="271">
        <f>$T$26</f>
        <v>0</v>
      </c>
      <c r="AE35" s="271">
        <f>$U$26</f>
        <v>0</v>
      </c>
      <c r="AF35" s="271">
        <f>$V$26</f>
        <v>0</v>
      </c>
      <c r="AG35" s="271">
        <f>$W$26</f>
        <v>0</v>
      </c>
      <c r="AH35" s="271">
        <f>$X$26</f>
        <v>0</v>
      </c>
      <c r="AI35" s="271">
        <f>$Y$26</f>
        <v>0</v>
      </c>
      <c r="AJ35" s="271">
        <f>$Z$26</f>
        <v>35571.689999999995</v>
      </c>
      <c r="AK35" s="271">
        <f>$AA$26</f>
        <v>42269.85</v>
      </c>
      <c r="AL35" s="606">
        <f>$AB$26</f>
        <v>35125.649999999994</v>
      </c>
      <c r="AM35" s="606">
        <f>$AD$26</f>
        <v>34679.61</v>
      </c>
      <c r="AN35" s="606">
        <f>$AE$26</f>
        <v>38247.93</v>
      </c>
      <c r="AO35" s="606">
        <f>$AF$26</f>
        <v>30776.76</v>
      </c>
      <c r="AP35" s="606">
        <f>$AG$26</f>
        <v>40924.17</v>
      </c>
      <c r="AQ35" s="606">
        <f>$AH$26</f>
        <v>47503.259999999995</v>
      </c>
      <c r="AR35" s="606">
        <f>$AI$26</f>
        <v>52075.17</v>
      </c>
      <c r="AS35" s="606">
        <f>$AJ$26</f>
        <v>45273.06</v>
      </c>
      <c r="AT35" s="608">
        <f t="shared" si="4"/>
        <v>47726.28</v>
      </c>
      <c r="AU35" s="608">
        <f t="shared" si="4"/>
        <v>52632.719999999994</v>
      </c>
      <c r="AV35" s="608">
        <f t="shared" si="4"/>
        <v>51629.13</v>
      </c>
      <c r="AW35" s="608">
        <f t="shared" si="4"/>
        <v>44269.469999999994</v>
      </c>
    </row>
    <row r="36" spans="1:49" x14ac:dyDescent="0.2">
      <c r="A36" s="312" t="s">
        <v>298</v>
      </c>
      <c r="B36" s="271"/>
      <c r="C36" s="271"/>
      <c r="D36" s="271"/>
      <c r="E36" s="271"/>
      <c r="F36" s="271"/>
      <c r="G36" s="271"/>
      <c r="H36" s="271"/>
      <c r="I36" s="271"/>
      <c r="J36" s="271"/>
      <c r="K36" s="271"/>
      <c r="L36" s="271"/>
      <c r="M36" s="271"/>
      <c r="N36" s="271"/>
      <c r="O36" s="271"/>
      <c r="P36" s="271"/>
      <c r="Q36" s="271"/>
      <c r="R36" s="271"/>
      <c r="S36" s="271"/>
      <c r="T36" s="271"/>
      <c r="U36" s="271"/>
      <c r="V36" s="271"/>
      <c r="W36" s="271"/>
      <c r="X36" s="285"/>
      <c r="Y36" s="313"/>
      <c r="Z36" s="271"/>
      <c r="AA36" s="271">
        <f>$P$26</f>
        <v>0</v>
      </c>
      <c r="AB36" s="271">
        <f>$Q$26</f>
        <v>0</v>
      </c>
      <c r="AC36" s="271">
        <f>$R$26</f>
        <v>0</v>
      </c>
      <c r="AD36" s="271">
        <f>$S$26</f>
        <v>0</v>
      </c>
      <c r="AE36" s="271">
        <f>$T$26</f>
        <v>0</v>
      </c>
      <c r="AF36" s="271">
        <f>$U$26</f>
        <v>0</v>
      </c>
      <c r="AG36" s="271">
        <f>$V$26</f>
        <v>0</v>
      </c>
      <c r="AH36" s="271">
        <f>$W$26</f>
        <v>0</v>
      </c>
      <c r="AI36" s="271">
        <f>$X$26</f>
        <v>0</v>
      </c>
      <c r="AJ36" s="271">
        <f>$Y$26</f>
        <v>0</v>
      </c>
      <c r="AK36" s="271">
        <f>$Z$26</f>
        <v>35571.689999999995</v>
      </c>
      <c r="AL36" s="606">
        <f>$AA$26</f>
        <v>42269.85</v>
      </c>
      <c r="AM36" s="606">
        <f>$AB$26</f>
        <v>35125.649999999994</v>
      </c>
      <c r="AN36" s="606">
        <f>$AD$26</f>
        <v>34679.61</v>
      </c>
      <c r="AO36" s="606">
        <f>$AE$26</f>
        <v>38247.93</v>
      </c>
      <c r="AP36" s="606">
        <f>$AF$26</f>
        <v>30776.76</v>
      </c>
      <c r="AQ36" s="606">
        <f>$AG$26</f>
        <v>40924.17</v>
      </c>
      <c r="AR36" s="606">
        <f>$AH$26</f>
        <v>47503.259999999995</v>
      </c>
      <c r="AS36" s="606">
        <f>$AI$26</f>
        <v>52075.17</v>
      </c>
      <c r="AT36" s="606">
        <f>$AJ$26</f>
        <v>45273.06</v>
      </c>
      <c r="AU36" s="608">
        <f t="shared" si="4"/>
        <v>47726.28</v>
      </c>
      <c r="AV36" s="608">
        <f t="shared" si="4"/>
        <v>52632.719999999994</v>
      </c>
      <c r="AW36" s="608">
        <f t="shared" si="4"/>
        <v>51629.13</v>
      </c>
    </row>
    <row r="37" spans="1:49" x14ac:dyDescent="0.2">
      <c r="A37" s="312" t="s">
        <v>299</v>
      </c>
      <c r="B37" s="271"/>
      <c r="C37" s="271"/>
      <c r="D37" s="271"/>
      <c r="E37" s="271"/>
      <c r="F37" s="271"/>
      <c r="G37" s="271"/>
      <c r="H37" s="271"/>
      <c r="I37" s="271"/>
      <c r="J37" s="271"/>
      <c r="K37" s="271"/>
      <c r="L37" s="271"/>
      <c r="M37" s="271"/>
      <c r="N37" s="271"/>
      <c r="O37" s="271"/>
      <c r="P37" s="271"/>
      <c r="Q37" s="271"/>
      <c r="R37" s="271"/>
      <c r="S37" s="271"/>
      <c r="T37" s="271"/>
      <c r="U37" s="271"/>
      <c r="V37" s="271"/>
      <c r="W37" s="271"/>
      <c r="X37" s="271"/>
      <c r="Y37" s="285"/>
      <c r="Z37" s="313"/>
      <c r="AA37" s="271">
        <f>$O$26</f>
        <v>0</v>
      </c>
      <c r="AB37" s="271">
        <f>$P$26</f>
        <v>0</v>
      </c>
      <c r="AC37" s="271">
        <f>$Q$26</f>
        <v>0</v>
      </c>
      <c r="AD37" s="271">
        <f>$R$26</f>
        <v>0</v>
      </c>
      <c r="AE37" s="271">
        <f>$S$26</f>
        <v>0</v>
      </c>
      <c r="AF37" s="271">
        <f>$T$26</f>
        <v>0</v>
      </c>
      <c r="AG37" s="271">
        <f>$U$26</f>
        <v>0</v>
      </c>
      <c r="AH37" s="271">
        <f>$V$26</f>
        <v>0</v>
      </c>
      <c r="AI37" s="271">
        <f>$W$26</f>
        <v>0</v>
      </c>
      <c r="AJ37" s="271">
        <f>$X$26</f>
        <v>0</v>
      </c>
      <c r="AK37" s="271">
        <f>$Y$26</f>
        <v>0</v>
      </c>
      <c r="AL37" s="606">
        <f>$Z$26</f>
        <v>35571.689999999995</v>
      </c>
      <c r="AM37" s="606">
        <f>$AA$26</f>
        <v>42269.85</v>
      </c>
      <c r="AN37" s="606">
        <f>$AB$26</f>
        <v>35125.649999999994</v>
      </c>
      <c r="AO37" s="606">
        <f>$AD$26</f>
        <v>34679.61</v>
      </c>
      <c r="AP37" s="606">
        <f>$AE$26</f>
        <v>38247.93</v>
      </c>
      <c r="AQ37" s="606">
        <f>$AF$26</f>
        <v>30776.76</v>
      </c>
      <c r="AR37" s="606">
        <f>$AG$26</f>
        <v>40924.17</v>
      </c>
      <c r="AS37" s="606">
        <f>$AH$26</f>
        <v>47503.259999999995</v>
      </c>
      <c r="AT37" s="606">
        <f>$AI$26</f>
        <v>52075.17</v>
      </c>
      <c r="AU37" s="606">
        <f>$AJ$26</f>
        <v>45273.06</v>
      </c>
      <c r="AV37" s="608">
        <f t="shared" si="4"/>
        <v>47726.28</v>
      </c>
      <c r="AW37" s="608">
        <f t="shared" si="4"/>
        <v>52632.719999999994</v>
      </c>
    </row>
    <row r="38" spans="1:49" x14ac:dyDescent="0.2">
      <c r="A38" s="312" t="s">
        <v>300</v>
      </c>
      <c r="B38" s="271"/>
      <c r="C38" s="271"/>
      <c r="D38" s="271"/>
      <c r="E38" s="271"/>
      <c r="F38" s="271"/>
      <c r="G38" s="271"/>
      <c r="H38" s="271"/>
      <c r="I38" s="271"/>
      <c r="J38" s="271"/>
      <c r="K38" s="271"/>
      <c r="L38" s="271"/>
      <c r="M38" s="271"/>
      <c r="N38" s="271"/>
      <c r="O38" s="271"/>
      <c r="P38" s="271"/>
      <c r="Q38" s="271"/>
      <c r="R38" s="271"/>
      <c r="S38" s="271"/>
      <c r="T38" s="271"/>
      <c r="U38" s="271"/>
      <c r="V38" s="271"/>
      <c r="W38" s="271"/>
      <c r="X38" s="271"/>
      <c r="Y38" s="271"/>
      <c r="Z38" s="285"/>
      <c r="AA38" s="313">
        <f>$N$26</f>
        <v>0</v>
      </c>
      <c r="AB38" s="271">
        <f>$O$26</f>
        <v>0</v>
      </c>
      <c r="AC38" s="271">
        <f>$P$26</f>
        <v>0</v>
      </c>
      <c r="AD38" s="271">
        <f>$Q$26</f>
        <v>0</v>
      </c>
      <c r="AE38" s="271">
        <f>$R$26</f>
        <v>0</v>
      </c>
      <c r="AF38" s="271">
        <f>$S$26</f>
        <v>0</v>
      </c>
      <c r="AG38" s="271">
        <f>$T$26</f>
        <v>0</v>
      </c>
      <c r="AH38" s="271">
        <f>$U$26</f>
        <v>0</v>
      </c>
      <c r="AI38" s="271">
        <f>$V$26</f>
        <v>0</v>
      </c>
      <c r="AJ38" s="271">
        <f>$W$26</f>
        <v>0</v>
      </c>
      <c r="AK38" s="271">
        <f>$X$26</f>
        <v>0</v>
      </c>
      <c r="AL38" s="606">
        <f t="shared" ref="AL38" si="5">$X$26</f>
        <v>0</v>
      </c>
      <c r="AM38" s="606">
        <f>$Z$26</f>
        <v>35571.689999999995</v>
      </c>
      <c r="AN38" s="606">
        <f>$AA$26</f>
        <v>42269.85</v>
      </c>
      <c r="AO38" s="606">
        <f>$AB$26</f>
        <v>35125.649999999994</v>
      </c>
      <c r="AP38" s="606">
        <f>$AD$26</f>
        <v>34679.61</v>
      </c>
      <c r="AQ38" s="606">
        <f>$AE$26</f>
        <v>38247.93</v>
      </c>
      <c r="AR38" s="606">
        <f>$AF$26</f>
        <v>30776.76</v>
      </c>
      <c r="AS38" s="606">
        <f>$AG$26</f>
        <v>40924.17</v>
      </c>
      <c r="AT38" s="606">
        <f>$AH$26</f>
        <v>47503.259999999995</v>
      </c>
      <c r="AU38" s="606">
        <f>$AI$26</f>
        <v>52075.17</v>
      </c>
      <c r="AV38" s="606">
        <f>$AJ$26</f>
        <v>45273.06</v>
      </c>
      <c r="AW38" s="608">
        <f t="shared" si="4"/>
        <v>47726.28</v>
      </c>
    </row>
    <row r="39" spans="1:49" x14ac:dyDescent="0.2">
      <c r="A39" s="312" t="s">
        <v>301</v>
      </c>
      <c r="B39" s="271"/>
      <c r="C39" s="271"/>
      <c r="D39" s="271"/>
      <c r="E39" s="271"/>
      <c r="F39" s="271"/>
      <c r="G39" s="271"/>
      <c r="H39" s="271"/>
      <c r="I39" s="271"/>
      <c r="J39" s="271"/>
      <c r="K39" s="271"/>
      <c r="L39" s="271"/>
      <c r="M39" s="271"/>
      <c r="N39" s="271"/>
      <c r="O39" s="271"/>
      <c r="P39" s="271"/>
      <c r="Q39" s="271"/>
      <c r="R39" s="271"/>
      <c r="S39" s="271"/>
      <c r="T39" s="271"/>
      <c r="U39" s="271"/>
      <c r="V39" s="271"/>
      <c r="W39" s="271"/>
      <c r="X39" s="271"/>
      <c r="Y39" s="271"/>
      <c r="Z39" s="271"/>
      <c r="AA39" s="285">
        <f>$N$26</f>
        <v>0</v>
      </c>
      <c r="AB39" s="313">
        <f>$N$26</f>
        <v>0</v>
      </c>
      <c r="AC39" s="271">
        <f>$O$26</f>
        <v>0</v>
      </c>
      <c r="AD39" s="271">
        <f>$P$26</f>
        <v>0</v>
      </c>
      <c r="AE39" s="271">
        <f>$Q$26</f>
        <v>0</v>
      </c>
      <c r="AF39" s="271">
        <f>$R$26</f>
        <v>0</v>
      </c>
      <c r="AG39" s="271">
        <f>$S$26</f>
        <v>0</v>
      </c>
      <c r="AH39" s="271">
        <f>$T$26</f>
        <v>0</v>
      </c>
      <c r="AI39" s="271">
        <f>$U$26</f>
        <v>0</v>
      </c>
      <c r="AJ39" s="271">
        <f>$V$26</f>
        <v>0</v>
      </c>
      <c r="AK39" s="271">
        <f>$W$26</f>
        <v>0</v>
      </c>
      <c r="AL39" s="606">
        <f t="shared" ref="AL39:AM39" si="6">$W$26</f>
        <v>0</v>
      </c>
      <c r="AM39" s="606">
        <f t="shared" si="6"/>
        <v>0</v>
      </c>
      <c r="AN39" s="606">
        <f>$Z$26</f>
        <v>35571.689999999995</v>
      </c>
      <c r="AO39" s="606">
        <f>$AA$26</f>
        <v>42269.85</v>
      </c>
      <c r="AP39" s="606">
        <f>$AB$26</f>
        <v>35125.649999999994</v>
      </c>
      <c r="AQ39" s="606">
        <f>$AD$26</f>
        <v>34679.61</v>
      </c>
      <c r="AR39" s="606">
        <f>$AE$26</f>
        <v>38247.93</v>
      </c>
      <c r="AS39" s="606">
        <f>$AF$26</f>
        <v>30776.76</v>
      </c>
      <c r="AT39" s="606">
        <f>$AG$26</f>
        <v>40924.17</v>
      </c>
      <c r="AU39" s="606">
        <f>$AH$26</f>
        <v>47503.259999999995</v>
      </c>
      <c r="AV39" s="606">
        <f>$AI$26</f>
        <v>52075.17</v>
      </c>
      <c r="AW39" s="606">
        <f>$AJ$26</f>
        <v>45273.06</v>
      </c>
    </row>
    <row r="40" spans="1:49" x14ac:dyDescent="0.2">
      <c r="A40" s="312" t="s">
        <v>302</v>
      </c>
      <c r="B40" s="271"/>
      <c r="C40" s="271"/>
      <c r="D40" s="271"/>
      <c r="E40" s="271"/>
      <c r="F40" s="271"/>
      <c r="G40" s="271"/>
      <c r="H40" s="271"/>
      <c r="I40" s="271"/>
      <c r="J40" s="271"/>
      <c r="K40" s="271"/>
      <c r="L40" s="271"/>
      <c r="M40" s="271"/>
      <c r="N40" s="271"/>
      <c r="O40" s="271"/>
      <c r="P40" s="271"/>
      <c r="Q40" s="271"/>
      <c r="R40" s="271"/>
      <c r="S40" s="271"/>
      <c r="T40" s="271"/>
      <c r="U40" s="271"/>
      <c r="V40" s="271"/>
      <c r="W40" s="271"/>
      <c r="X40" s="271"/>
      <c r="Y40" s="271"/>
      <c r="Z40" s="271"/>
      <c r="AA40" s="271"/>
      <c r="AB40" s="285">
        <f>$N$26</f>
        <v>0</v>
      </c>
      <c r="AC40" s="313">
        <f>$N$26</f>
        <v>0</v>
      </c>
      <c r="AD40" s="271">
        <f>$O$26</f>
        <v>0</v>
      </c>
      <c r="AE40" s="271">
        <f>$P$26</f>
        <v>0</v>
      </c>
      <c r="AF40" s="271">
        <f>$Q$26</f>
        <v>0</v>
      </c>
      <c r="AG40" s="271">
        <f>$R$26</f>
        <v>0</v>
      </c>
      <c r="AH40" s="271">
        <f>$S$26</f>
        <v>0</v>
      </c>
      <c r="AI40" s="271">
        <f>$T$26</f>
        <v>0</v>
      </c>
      <c r="AJ40" s="271">
        <f>$U$26</f>
        <v>0</v>
      </c>
      <c r="AK40" s="271">
        <f>$V$26</f>
        <v>0</v>
      </c>
      <c r="AL40" s="606">
        <f t="shared" ref="AL40:AN40" si="7">$V$26</f>
        <v>0</v>
      </c>
      <c r="AM40" s="606">
        <f t="shared" si="7"/>
        <v>0</v>
      </c>
      <c r="AN40" s="606">
        <f t="shared" si="7"/>
        <v>0</v>
      </c>
      <c r="AO40" s="606">
        <f>$Z$26</f>
        <v>35571.689999999995</v>
      </c>
      <c r="AP40" s="606">
        <f>$AA$26</f>
        <v>42269.85</v>
      </c>
      <c r="AQ40" s="606">
        <f>$AB$26</f>
        <v>35125.649999999994</v>
      </c>
      <c r="AR40" s="606">
        <f>$AD$26</f>
        <v>34679.61</v>
      </c>
      <c r="AS40" s="606">
        <f>$AE$26</f>
        <v>38247.93</v>
      </c>
      <c r="AT40" s="606">
        <f>$AF$26</f>
        <v>30776.76</v>
      </c>
      <c r="AU40" s="606">
        <f>$AG$26</f>
        <v>40924.17</v>
      </c>
      <c r="AV40" s="606">
        <f>$AH$26</f>
        <v>47503.259999999995</v>
      </c>
      <c r="AW40" s="606">
        <f>$AI$26</f>
        <v>52075.17</v>
      </c>
    </row>
    <row r="41" spans="1:49" x14ac:dyDescent="0.2">
      <c r="A41" s="312" t="s">
        <v>303</v>
      </c>
      <c r="B41" s="271"/>
      <c r="C41" s="271"/>
      <c r="D41" s="271"/>
      <c r="E41" s="271"/>
      <c r="F41" s="271"/>
      <c r="G41" s="271"/>
      <c r="H41" s="271"/>
      <c r="I41" s="271"/>
      <c r="J41" s="271"/>
      <c r="K41" s="271"/>
      <c r="L41" s="271"/>
      <c r="M41" s="271"/>
      <c r="N41" s="271"/>
      <c r="O41" s="271"/>
      <c r="P41" s="271"/>
      <c r="Q41" s="271"/>
      <c r="R41" s="271"/>
      <c r="S41" s="271"/>
      <c r="T41" s="271"/>
      <c r="U41" s="271"/>
      <c r="V41" s="271"/>
      <c r="W41" s="271"/>
      <c r="X41" s="271"/>
      <c r="Y41" s="271"/>
      <c r="Z41" s="271"/>
      <c r="AA41" s="271"/>
      <c r="AB41" s="271"/>
      <c r="AC41" s="285">
        <f>$N$26</f>
        <v>0</v>
      </c>
      <c r="AD41" s="313">
        <f>$N$26</f>
        <v>0</v>
      </c>
      <c r="AE41" s="271">
        <f>$O$26</f>
        <v>0</v>
      </c>
      <c r="AF41" s="271">
        <f>$P$26</f>
        <v>0</v>
      </c>
      <c r="AG41" s="271">
        <f>$Q$26</f>
        <v>0</v>
      </c>
      <c r="AH41" s="271">
        <f>$R$26</f>
        <v>0</v>
      </c>
      <c r="AI41" s="271">
        <f>$S$26</f>
        <v>0</v>
      </c>
      <c r="AJ41" s="271">
        <f>$T$26</f>
        <v>0</v>
      </c>
      <c r="AK41" s="271">
        <f>$U$26</f>
        <v>0</v>
      </c>
      <c r="AL41" s="606">
        <f t="shared" ref="AL41:AO41" si="8">$U$26</f>
        <v>0</v>
      </c>
      <c r="AM41" s="606">
        <f t="shared" si="8"/>
        <v>0</v>
      </c>
      <c r="AN41" s="606">
        <f t="shared" si="8"/>
        <v>0</v>
      </c>
      <c r="AO41" s="606">
        <f t="shared" si="8"/>
        <v>0</v>
      </c>
      <c r="AP41" s="606">
        <f>$Z$26</f>
        <v>35571.689999999995</v>
      </c>
      <c r="AQ41" s="606">
        <f>$AA$26</f>
        <v>42269.85</v>
      </c>
      <c r="AR41" s="606">
        <f>$AB$26</f>
        <v>35125.649999999994</v>
      </c>
      <c r="AS41" s="606">
        <f>$AD$26</f>
        <v>34679.61</v>
      </c>
      <c r="AT41" s="606">
        <f>$AE$26</f>
        <v>38247.93</v>
      </c>
      <c r="AU41" s="606">
        <f>$AF$26</f>
        <v>30776.76</v>
      </c>
      <c r="AV41" s="606">
        <f>$AG$26</f>
        <v>40924.17</v>
      </c>
      <c r="AW41" s="606">
        <f>$AH$26</f>
        <v>47503.259999999995</v>
      </c>
    </row>
    <row r="42" spans="1:49" x14ac:dyDescent="0.2">
      <c r="A42" s="312" t="s">
        <v>304</v>
      </c>
      <c r="B42" s="271"/>
      <c r="C42" s="271"/>
      <c r="D42" s="271"/>
      <c r="E42" s="271"/>
      <c r="F42" s="271"/>
      <c r="G42" s="271"/>
      <c r="H42" s="271"/>
      <c r="I42" s="271"/>
      <c r="J42" s="271"/>
      <c r="K42" s="271"/>
      <c r="L42" s="271"/>
      <c r="M42" s="271"/>
      <c r="N42" s="271"/>
      <c r="O42" s="271"/>
      <c r="P42" s="271"/>
      <c r="Q42" s="271"/>
      <c r="R42" s="271"/>
      <c r="S42" s="271"/>
      <c r="T42" s="271"/>
      <c r="U42" s="271"/>
      <c r="V42" s="271"/>
      <c r="W42" s="271"/>
      <c r="X42" s="271"/>
      <c r="Y42" s="271"/>
      <c r="Z42" s="271"/>
      <c r="AA42" s="271"/>
      <c r="AB42" s="271"/>
      <c r="AC42" s="271"/>
      <c r="AD42" s="285">
        <f>$N$26</f>
        <v>0</v>
      </c>
      <c r="AE42" s="313">
        <f>$N$26</f>
        <v>0</v>
      </c>
      <c r="AF42" s="271">
        <f>$O$26</f>
        <v>0</v>
      </c>
      <c r="AG42" s="271">
        <f>$P$26</f>
        <v>0</v>
      </c>
      <c r="AH42" s="271">
        <f>$Q$26</f>
        <v>0</v>
      </c>
      <c r="AI42" s="271">
        <f>$R$26</f>
        <v>0</v>
      </c>
      <c r="AJ42" s="271">
        <f>$S$26</f>
        <v>0</v>
      </c>
      <c r="AK42" s="271">
        <f>$T$26</f>
        <v>0</v>
      </c>
      <c r="AL42" s="606">
        <f t="shared" ref="AL42:AP42" si="9">$T$26</f>
        <v>0</v>
      </c>
      <c r="AM42" s="606">
        <f t="shared" si="9"/>
        <v>0</v>
      </c>
      <c r="AN42" s="606">
        <f t="shared" si="9"/>
        <v>0</v>
      </c>
      <c r="AO42" s="606">
        <f t="shared" si="9"/>
        <v>0</v>
      </c>
      <c r="AP42" s="606">
        <f t="shared" si="9"/>
        <v>0</v>
      </c>
      <c r="AQ42" s="606">
        <f>$Z$26</f>
        <v>35571.689999999995</v>
      </c>
      <c r="AR42" s="606">
        <f>$AA$26</f>
        <v>42269.85</v>
      </c>
      <c r="AS42" s="606">
        <f>$AB$26</f>
        <v>35125.649999999994</v>
      </c>
      <c r="AT42" s="606">
        <f>$AD$26</f>
        <v>34679.61</v>
      </c>
      <c r="AU42" s="606">
        <f>$AE$26</f>
        <v>38247.93</v>
      </c>
      <c r="AV42" s="606">
        <f>$AF$26</f>
        <v>30776.76</v>
      </c>
      <c r="AW42" s="606">
        <f>$AG$26</f>
        <v>40924.17</v>
      </c>
    </row>
    <row r="43" spans="1:49" x14ac:dyDescent="0.2">
      <c r="A43" s="312" t="s">
        <v>305</v>
      </c>
      <c r="B43" s="271"/>
      <c r="C43" s="271"/>
      <c r="D43" s="271"/>
      <c r="E43" s="271"/>
      <c r="F43" s="271"/>
      <c r="G43" s="271"/>
      <c r="H43" s="271"/>
      <c r="I43" s="271"/>
      <c r="J43" s="271"/>
      <c r="K43" s="271"/>
      <c r="L43" s="271"/>
      <c r="M43" s="271"/>
      <c r="N43" s="271"/>
      <c r="O43" s="271"/>
      <c r="P43" s="271"/>
      <c r="Q43" s="271"/>
      <c r="R43" s="271"/>
      <c r="S43" s="271"/>
      <c r="T43" s="271"/>
      <c r="U43" s="271"/>
      <c r="V43" s="271"/>
      <c r="W43" s="271"/>
      <c r="X43" s="271"/>
      <c r="Y43" s="271"/>
      <c r="Z43" s="271"/>
      <c r="AA43" s="271"/>
      <c r="AB43" s="271"/>
      <c r="AC43" s="271"/>
      <c r="AD43" s="271"/>
      <c r="AE43" s="285">
        <f>$N$26</f>
        <v>0</v>
      </c>
      <c r="AF43" s="313">
        <f>$N$26</f>
        <v>0</v>
      </c>
      <c r="AG43" s="271">
        <f>$O$26</f>
        <v>0</v>
      </c>
      <c r="AH43" s="271">
        <f>$P$26</f>
        <v>0</v>
      </c>
      <c r="AI43" s="271">
        <f>$Q$26</f>
        <v>0</v>
      </c>
      <c r="AJ43" s="271">
        <f>$R$26</f>
        <v>0</v>
      </c>
      <c r="AK43" s="271">
        <f>$S$26</f>
        <v>0</v>
      </c>
      <c r="AL43" s="606">
        <f t="shared" ref="AL43:AQ43" si="10">$S$26</f>
        <v>0</v>
      </c>
      <c r="AM43" s="606">
        <f t="shared" si="10"/>
        <v>0</v>
      </c>
      <c r="AN43" s="606">
        <f t="shared" si="10"/>
        <v>0</v>
      </c>
      <c r="AO43" s="606">
        <f t="shared" si="10"/>
        <v>0</v>
      </c>
      <c r="AP43" s="606">
        <f t="shared" si="10"/>
        <v>0</v>
      </c>
      <c r="AQ43" s="606">
        <f t="shared" si="10"/>
        <v>0</v>
      </c>
      <c r="AR43" s="606">
        <f>$Z$26</f>
        <v>35571.689999999995</v>
      </c>
      <c r="AS43" s="606">
        <f>$AA$26</f>
        <v>42269.85</v>
      </c>
      <c r="AT43" s="606">
        <f>$AB$26</f>
        <v>35125.649999999994</v>
      </c>
      <c r="AU43" s="606">
        <f>$AD$26</f>
        <v>34679.61</v>
      </c>
      <c r="AV43" s="606">
        <f>$AE$26</f>
        <v>38247.93</v>
      </c>
      <c r="AW43" s="606">
        <f>$AF$26</f>
        <v>30776.76</v>
      </c>
    </row>
    <row r="44" spans="1:49" x14ac:dyDescent="0.2">
      <c r="A44" s="312" t="s">
        <v>306</v>
      </c>
      <c r="B44" s="271"/>
      <c r="C44" s="271"/>
      <c r="D44" s="271"/>
      <c r="E44" s="271"/>
      <c r="F44" s="271"/>
      <c r="G44" s="271"/>
      <c r="H44" s="271"/>
      <c r="I44" s="271"/>
      <c r="J44" s="271"/>
      <c r="K44" s="271"/>
      <c r="L44" s="271"/>
      <c r="M44" s="271"/>
      <c r="N44" s="271"/>
      <c r="O44" s="271"/>
      <c r="P44" s="271"/>
      <c r="Q44" s="271"/>
      <c r="R44" s="271"/>
      <c r="S44" s="271"/>
      <c r="T44" s="271"/>
      <c r="U44" s="271"/>
      <c r="V44" s="271"/>
      <c r="W44" s="271"/>
      <c r="X44" s="271"/>
      <c r="Y44" s="271"/>
      <c r="Z44" s="271"/>
      <c r="AA44" s="271"/>
      <c r="AB44" s="271"/>
      <c r="AC44" s="271"/>
      <c r="AD44" s="271"/>
      <c r="AE44" s="271"/>
      <c r="AF44" s="285">
        <f>$N$26</f>
        <v>0</v>
      </c>
      <c r="AG44" s="313">
        <f>$N$26</f>
        <v>0</v>
      </c>
      <c r="AH44" s="271">
        <f>$O$26</f>
        <v>0</v>
      </c>
      <c r="AI44" s="271">
        <f>$P$26</f>
        <v>0</v>
      </c>
      <c r="AJ44" s="271">
        <f>$Q$26</f>
        <v>0</v>
      </c>
      <c r="AK44" s="271">
        <f>$R$26</f>
        <v>0</v>
      </c>
      <c r="AL44" s="606">
        <f t="shared" ref="AL44:AR44" si="11">$R$26</f>
        <v>0</v>
      </c>
      <c r="AM44" s="606">
        <f t="shared" si="11"/>
        <v>0</v>
      </c>
      <c r="AN44" s="606">
        <f t="shared" si="11"/>
        <v>0</v>
      </c>
      <c r="AO44" s="606">
        <f t="shared" si="11"/>
        <v>0</v>
      </c>
      <c r="AP44" s="606">
        <f t="shared" si="11"/>
        <v>0</v>
      </c>
      <c r="AQ44" s="606">
        <f t="shared" si="11"/>
        <v>0</v>
      </c>
      <c r="AR44" s="606">
        <f t="shared" si="11"/>
        <v>0</v>
      </c>
      <c r="AS44" s="606">
        <f>$Z$26</f>
        <v>35571.689999999995</v>
      </c>
      <c r="AT44" s="606">
        <f>$AA$26</f>
        <v>42269.85</v>
      </c>
      <c r="AU44" s="606">
        <f>$AB$26</f>
        <v>35125.649999999994</v>
      </c>
      <c r="AV44" s="606">
        <f>$AD$26</f>
        <v>34679.61</v>
      </c>
      <c r="AW44" s="606">
        <f>$AE$26</f>
        <v>38247.93</v>
      </c>
    </row>
    <row r="45" spans="1:49" x14ac:dyDescent="0.2">
      <c r="A45" s="312" t="s">
        <v>307</v>
      </c>
      <c r="B45" s="271"/>
      <c r="C45" s="271"/>
      <c r="D45" s="271"/>
      <c r="E45" s="271"/>
      <c r="F45" s="271"/>
      <c r="G45" s="271"/>
      <c r="H45" s="271"/>
      <c r="I45" s="271"/>
      <c r="J45" s="271"/>
      <c r="K45" s="271"/>
      <c r="L45" s="271"/>
      <c r="M45" s="271"/>
      <c r="N45" s="271"/>
      <c r="O45" s="271"/>
      <c r="P45" s="271"/>
      <c r="Q45" s="271"/>
      <c r="R45" s="271"/>
      <c r="S45" s="271"/>
      <c r="T45" s="271"/>
      <c r="U45" s="271"/>
      <c r="V45" s="271"/>
      <c r="W45" s="271"/>
      <c r="X45" s="271"/>
      <c r="Y45" s="271"/>
      <c r="Z45" s="271"/>
      <c r="AA45" s="271"/>
      <c r="AB45" s="271"/>
      <c r="AC45" s="271"/>
      <c r="AD45" s="271"/>
      <c r="AE45" s="271"/>
      <c r="AF45" s="271"/>
      <c r="AG45" s="285">
        <f>$N$26</f>
        <v>0</v>
      </c>
      <c r="AH45" s="313">
        <f>$N$26</f>
        <v>0</v>
      </c>
      <c r="AI45" s="271">
        <f>$O$26</f>
        <v>0</v>
      </c>
      <c r="AJ45" s="271">
        <f>$P$26</f>
        <v>0</v>
      </c>
      <c r="AK45" s="271">
        <f>$Q$26</f>
        <v>0</v>
      </c>
      <c r="AL45" s="606">
        <f t="shared" ref="AL45:AS45" si="12">$Q$26</f>
        <v>0</v>
      </c>
      <c r="AM45" s="606">
        <f t="shared" si="12"/>
        <v>0</v>
      </c>
      <c r="AN45" s="606">
        <f t="shared" si="12"/>
        <v>0</v>
      </c>
      <c r="AO45" s="606">
        <f t="shared" si="12"/>
        <v>0</v>
      </c>
      <c r="AP45" s="606">
        <f t="shared" si="12"/>
        <v>0</v>
      </c>
      <c r="AQ45" s="606">
        <f t="shared" si="12"/>
        <v>0</v>
      </c>
      <c r="AR45" s="606">
        <f t="shared" si="12"/>
        <v>0</v>
      </c>
      <c r="AS45" s="606">
        <f t="shared" si="12"/>
        <v>0</v>
      </c>
      <c r="AT45" s="606">
        <f>$Z$26</f>
        <v>35571.689999999995</v>
      </c>
      <c r="AU45" s="606">
        <f>$AA$26</f>
        <v>42269.85</v>
      </c>
      <c r="AV45" s="606">
        <f>$AB$26</f>
        <v>35125.649999999994</v>
      </c>
      <c r="AW45" s="606">
        <f>$AD$26</f>
        <v>34679.61</v>
      </c>
    </row>
    <row r="46" spans="1:49" x14ac:dyDescent="0.2">
      <c r="A46" s="312" t="s">
        <v>308</v>
      </c>
      <c r="B46" s="271"/>
      <c r="C46" s="271"/>
      <c r="D46" s="271"/>
      <c r="E46" s="271"/>
      <c r="F46" s="271"/>
      <c r="G46" s="271"/>
      <c r="H46" s="271"/>
      <c r="I46" s="271"/>
      <c r="J46" s="271"/>
      <c r="K46" s="271"/>
      <c r="L46" s="271"/>
      <c r="M46" s="271"/>
      <c r="N46" s="271"/>
      <c r="O46" s="271"/>
      <c r="P46" s="271"/>
      <c r="Q46" s="271"/>
      <c r="R46" s="271"/>
      <c r="S46" s="271"/>
      <c r="T46" s="271"/>
      <c r="U46" s="271"/>
      <c r="V46" s="271"/>
      <c r="W46" s="271"/>
      <c r="X46" s="271"/>
      <c r="Y46" s="271"/>
      <c r="Z46" s="271"/>
      <c r="AA46" s="271"/>
      <c r="AB46" s="271"/>
      <c r="AC46" s="271"/>
      <c r="AD46" s="271"/>
      <c r="AE46" s="271"/>
      <c r="AF46" s="271"/>
      <c r="AG46" s="271"/>
      <c r="AH46" s="285">
        <f>$N$26</f>
        <v>0</v>
      </c>
      <c r="AI46" s="313">
        <f>$N$26</f>
        <v>0</v>
      </c>
      <c r="AJ46" s="271">
        <f>$O$26</f>
        <v>0</v>
      </c>
      <c r="AK46" s="271">
        <f>$P$26</f>
        <v>0</v>
      </c>
      <c r="AL46" s="606">
        <f t="shared" ref="AL46:AT46" si="13">$P$26</f>
        <v>0</v>
      </c>
      <c r="AM46" s="606">
        <f t="shared" si="13"/>
        <v>0</v>
      </c>
      <c r="AN46" s="606">
        <f t="shared" si="13"/>
        <v>0</v>
      </c>
      <c r="AO46" s="606">
        <f t="shared" si="13"/>
        <v>0</v>
      </c>
      <c r="AP46" s="606">
        <f t="shared" si="13"/>
        <v>0</v>
      </c>
      <c r="AQ46" s="606">
        <f t="shared" si="13"/>
        <v>0</v>
      </c>
      <c r="AR46" s="606">
        <f t="shared" si="13"/>
        <v>0</v>
      </c>
      <c r="AS46" s="606">
        <f t="shared" si="13"/>
        <v>0</v>
      </c>
      <c r="AT46" s="606">
        <f t="shared" si="13"/>
        <v>0</v>
      </c>
      <c r="AU46" s="606">
        <f>$Z$26</f>
        <v>35571.689999999995</v>
      </c>
      <c r="AV46" s="606">
        <f>$AA$26</f>
        <v>42269.85</v>
      </c>
      <c r="AW46" s="606">
        <f>$AB$26</f>
        <v>35125.649999999994</v>
      </c>
    </row>
    <row r="47" spans="1:49" x14ac:dyDescent="0.2">
      <c r="A47" s="312" t="s">
        <v>309</v>
      </c>
      <c r="B47" s="271"/>
      <c r="C47" s="271"/>
      <c r="D47" s="271"/>
      <c r="E47" s="271"/>
      <c r="F47" s="271"/>
      <c r="G47" s="271"/>
      <c r="H47" s="271"/>
      <c r="I47" s="271"/>
      <c r="J47" s="271"/>
      <c r="K47" s="271"/>
      <c r="L47" s="271"/>
      <c r="M47" s="271"/>
      <c r="N47" s="271"/>
      <c r="O47" s="271"/>
      <c r="P47" s="271"/>
      <c r="Q47" s="271"/>
      <c r="R47" s="271"/>
      <c r="S47" s="271"/>
      <c r="T47" s="271"/>
      <c r="U47" s="271"/>
      <c r="V47" s="271"/>
      <c r="W47" s="271"/>
      <c r="X47" s="271"/>
      <c r="Y47" s="271"/>
      <c r="Z47" s="271"/>
      <c r="AA47" s="271"/>
      <c r="AB47" s="271"/>
      <c r="AC47" s="271"/>
      <c r="AD47" s="271"/>
      <c r="AE47" s="271"/>
      <c r="AF47" s="271"/>
      <c r="AG47" s="271"/>
      <c r="AH47" s="271"/>
      <c r="AI47" s="285">
        <f>$N$26</f>
        <v>0</v>
      </c>
      <c r="AJ47" s="313">
        <f>$N$26</f>
        <v>0</v>
      </c>
      <c r="AK47" s="271">
        <f>$O$26</f>
        <v>0</v>
      </c>
      <c r="AL47" s="606">
        <f t="shared" ref="AL47:AU47" si="14">$O$26</f>
        <v>0</v>
      </c>
      <c r="AM47" s="606">
        <f t="shared" si="14"/>
        <v>0</v>
      </c>
      <c r="AN47" s="606">
        <f t="shared" si="14"/>
        <v>0</v>
      </c>
      <c r="AO47" s="606">
        <f t="shared" si="14"/>
        <v>0</v>
      </c>
      <c r="AP47" s="606">
        <f t="shared" si="14"/>
        <v>0</v>
      </c>
      <c r="AQ47" s="606">
        <f t="shared" si="14"/>
        <v>0</v>
      </c>
      <c r="AR47" s="606">
        <f t="shared" si="14"/>
        <v>0</v>
      </c>
      <c r="AS47" s="606">
        <f t="shared" si="14"/>
        <v>0</v>
      </c>
      <c r="AT47" s="606">
        <f t="shared" si="14"/>
        <v>0</v>
      </c>
      <c r="AU47" s="606">
        <f t="shared" si="14"/>
        <v>0</v>
      </c>
      <c r="AV47" s="606">
        <f>$Z$26</f>
        <v>35571.689999999995</v>
      </c>
      <c r="AW47" s="606">
        <f>$AA$26</f>
        <v>42269.85</v>
      </c>
    </row>
    <row r="48" spans="1:49" x14ac:dyDescent="0.2">
      <c r="A48" s="312" t="s">
        <v>310</v>
      </c>
      <c r="B48" s="271"/>
      <c r="C48" s="271"/>
      <c r="D48" s="271"/>
      <c r="E48" s="271"/>
      <c r="F48" s="271"/>
      <c r="G48" s="271"/>
      <c r="H48" s="271"/>
      <c r="I48" s="271"/>
      <c r="J48" s="271"/>
      <c r="K48" s="271"/>
      <c r="L48" s="271"/>
      <c r="M48" s="271"/>
      <c r="N48" s="271"/>
      <c r="O48" s="271"/>
      <c r="P48" s="271"/>
      <c r="Q48" s="271"/>
      <c r="R48" s="271"/>
      <c r="S48" s="271"/>
      <c r="T48" s="271"/>
      <c r="U48" s="271"/>
      <c r="V48" s="271"/>
      <c r="W48" s="271"/>
      <c r="X48" s="271"/>
      <c r="Y48" s="271"/>
      <c r="Z48" s="271"/>
      <c r="AA48" s="271"/>
      <c r="AB48" s="271"/>
      <c r="AC48" s="271"/>
      <c r="AD48" s="271"/>
      <c r="AE48" s="271"/>
      <c r="AF48" s="271"/>
      <c r="AG48" s="271"/>
      <c r="AH48" s="271"/>
      <c r="AI48" s="271"/>
      <c r="AJ48" s="285">
        <f>$N$26</f>
        <v>0</v>
      </c>
      <c r="AK48" s="313">
        <f>$N$26</f>
        <v>0</v>
      </c>
      <c r="AL48" s="608">
        <f t="shared" ref="AL48:AW61" si="15">$N$26</f>
        <v>0</v>
      </c>
      <c r="AM48" s="608">
        <f t="shared" si="15"/>
        <v>0</v>
      </c>
      <c r="AN48" s="608">
        <f t="shared" si="15"/>
        <v>0</v>
      </c>
      <c r="AO48" s="608">
        <f t="shared" si="15"/>
        <v>0</v>
      </c>
      <c r="AP48" s="608">
        <f t="shared" si="15"/>
        <v>0</v>
      </c>
      <c r="AQ48" s="608">
        <f t="shared" si="15"/>
        <v>0</v>
      </c>
      <c r="AR48" s="608">
        <f t="shared" si="15"/>
        <v>0</v>
      </c>
      <c r="AS48" s="608">
        <f t="shared" si="15"/>
        <v>0</v>
      </c>
      <c r="AT48" s="608">
        <f t="shared" si="15"/>
        <v>0</v>
      </c>
      <c r="AU48" s="608">
        <f t="shared" si="15"/>
        <v>0</v>
      </c>
      <c r="AV48" s="608">
        <f t="shared" si="15"/>
        <v>0</v>
      </c>
      <c r="AW48" s="606">
        <f>$Z$26</f>
        <v>35571.689999999995</v>
      </c>
    </row>
    <row r="49" spans="1:49" x14ac:dyDescent="0.2">
      <c r="A49" s="312" t="s">
        <v>311</v>
      </c>
      <c r="B49" s="271"/>
      <c r="C49" s="271"/>
      <c r="D49" s="271"/>
      <c r="E49" s="271"/>
      <c r="F49" s="271"/>
      <c r="G49" s="271"/>
      <c r="H49" s="271"/>
      <c r="I49" s="271"/>
      <c r="J49" s="271"/>
      <c r="K49" s="271"/>
      <c r="L49" s="271"/>
      <c r="M49" s="271"/>
      <c r="N49" s="271"/>
      <c r="O49" s="271"/>
      <c r="P49" s="271"/>
      <c r="Q49" s="271"/>
      <c r="R49" s="271"/>
      <c r="S49" s="271"/>
      <c r="T49" s="271"/>
      <c r="U49" s="271"/>
      <c r="V49" s="271"/>
      <c r="W49" s="271"/>
      <c r="X49" s="271"/>
      <c r="Y49" s="271"/>
      <c r="Z49" s="271"/>
      <c r="AA49" s="271"/>
      <c r="AB49" s="271"/>
      <c r="AC49" s="271"/>
      <c r="AD49" s="271"/>
      <c r="AE49" s="271"/>
      <c r="AF49" s="271"/>
      <c r="AG49" s="271"/>
      <c r="AH49" s="271"/>
      <c r="AI49" s="271"/>
      <c r="AJ49" s="271"/>
      <c r="AK49" s="285">
        <f>$N$26</f>
        <v>0</v>
      </c>
      <c r="AL49" s="606">
        <f t="shared" si="15"/>
        <v>0</v>
      </c>
      <c r="AM49" s="606">
        <f t="shared" si="15"/>
        <v>0</v>
      </c>
      <c r="AN49" s="606">
        <f t="shared" si="15"/>
        <v>0</v>
      </c>
      <c r="AO49" s="606">
        <f t="shared" si="15"/>
        <v>0</v>
      </c>
      <c r="AP49" s="606">
        <f t="shared" si="15"/>
        <v>0</v>
      </c>
      <c r="AQ49" s="606">
        <f t="shared" si="15"/>
        <v>0</v>
      </c>
      <c r="AR49" s="606">
        <f t="shared" si="15"/>
        <v>0</v>
      </c>
      <c r="AS49" s="606">
        <f t="shared" si="15"/>
        <v>0</v>
      </c>
      <c r="AT49" s="606">
        <f t="shared" si="15"/>
        <v>0</v>
      </c>
      <c r="AU49" s="606">
        <f t="shared" si="15"/>
        <v>0</v>
      </c>
      <c r="AV49" s="606">
        <f t="shared" si="15"/>
        <v>0</v>
      </c>
      <c r="AW49" s="606">
        <f t="shared" si="15"/>
        <v>0</v>
      </c>
    </row>
    <row r="50" spans="1:49" x14ac:dyDescent="0.2">
      <c r="A50" s="605" t="s">
        <v>767</v>
      </c>
      <c r="B50" s="271"/>
      <c r="C50" s="271"/>
      <c r="D50" s="271"/>
      <c r="E50" s="271"/>
      <c r="F50" s="271"/>
      <c r="G50" s="271"/>
      <c r="H50" s="271"/>
      <c r="I50" s="271"/>
      <c r="J50" s="271"/>
      <c r="K50" s="271"/>
      <c r="L50" s="271"/>
      <c r="M50" s="271"/>
      <c r="N50" s="271"/>
      <c r="O50" s="271"/>
      <c r="P50" s="271"/>
      <c r="Q50" s="271"/>
      <c r="R50" s="271"/>
      <c r="S50" s="271"/>
      <c r="T50" s="271"/>
      <c r="U50" s="271"/>
      <c r="V50" s="271"/>
      <c r="W50" s="271"/>
      <c r="X50" s="271"/>
      <c r="Y50" s="271"/>
      <c r="Z50" s="271"/>
      <c r="AA50" s="271"/>
      <c r="AB50" s="271"/>
      <c r="AC50" s="271"/>
      <c r="AD50" s="271"/>
      <c r="AE50" s="271"/>
      <c r="AF50" s="271"/>
      <c r="AG50" s="271"/>
      <c r="AH50" s="271"/>
      <c r="AI50" s="271"/>
      <c r="AJ50" s="285"/>
      <c r="AK50" s="313"/>
      <c r="AL50" s="607">
        <f t="shared" si="15"/>
        <v>0</v>
      </c>
      <c r="AM50" s="611">
        <f t="shared" si="15"/>
        <v>0</v>
      </c>
      <c r="AN50" s="611">
        <f t="shared" si="15"/>
        <v>0</v>
      </c>
      <c r="AO50" s="611">
        <f t="shared" si="15"/>
        <v>0</v>
      </c>
      <c r="AP50" s="611">
        <f t="shared" si="15"/>
        <v>0</v>
      </c>
      <c r="AQ50" s="611">
        <f t="shared" si="15"/>
        <v>0</v>
      </c>
      <c r="AR50" s="611">
        <f t="shared" si="15"/>
        <v>0</v>
      </c>
      <c r="AS50" s="611">
        <f t="shared" si="15"/>
        <v>0</v>
      </c>
      <c r="AT50" s="611">
        <f t="shared" si="15"/>
        <v>0</v>
      </c>
      <c r="AU50" s="611">
        <f t="shared" si="15"/>
        <v>0</v>
      </c>
      <c r="AV50" s="611">
        <f t="shared" si="15"/>
        <v>0</v>
      </c>
      <c r="AW50" s="611">
        <f t="shared" si="15"/>
        <v>0</v>
      </c>
    </row>
    <row r="51" spans="1:49" x14ac:dyDescent="0.2">
      <c r="A51" s="605" t="s">
        <v>768</v>
      </c>
      <c r="B51" s="271"/>
      <c r="C51" s="271"/>
      <c r="D51" s="271"/>
      <c r="E51" s="271"/>
      <c r="F51" s="271"/>
      <c r="G51" s="271"/>
      <c r="H51" s="271"/>
      <c r="I51" s="271"/>
      <c r="J51" s="271"/>
      <c r="K51" s="271"/>
      <c r="L51" s="271"/>
      <c r="M51" s="271"/>
      <c r="N51" s="271"/>
      <c r="O51" s="271"/>
      <c r="P51" s="271"/>
      <c r="Q51" s="271"/>
      <c r="R51" s="271"/>
      <c r="S51" s="271"/>
      <c r="T51" s="271"/>
      <c r="U51" s="271"/>
      <c r="V51" s="271"/>
      <c r="W51" s="271"/>
      <c r="X51" s="271"/>
      <c r="Y51" s="271"/>
      <c r="Z51" s="271"/>
      <c r="AA51" s="271"/>
      <c r="AB51" s="271"/>
      <c r="AC51" s="271"/>
      <c r="AD51" s="271"/>
      <c r="AE51" s="271"/>
      <c r="AF51" s="271"/>
      <c r="AG51" s="271"/>
      <c r="AH51" s="271"/>
      <c r="AI51" s="271"/>
      <c r="AJ51" s="285"/>
      <c r="AK51" s="313"/>
      <c r="AL51" s="605"/>
      <c r="AM51" s="607">
        <f t="shared" si="15"/>
        <v>0</v>
      </c>
      <c r="AN51" s="611">
        <f t="shared" si="15"/>
        <v>0</v>
      </c>
      <c r="AO51" s="611">
        <f t="shared" si="15"/>
        <v>0</v>
      </c>
      <c r="AP51" s="611">
        <f t="shared" si="15"/>
        <v>0</v>
      </c>
      <c r="AQ51" s="611">
        <f t="shared" si="15"/>
        <v>0</v>
      </c>
      <c r="AR51" s="611">
        <f t="shared" si="15"/>
        <v>0</v>
      </c>
      <c r="AS51" s="611">
        <f t="shared" si="15"/>
        <v>0</v>
      </c>
      <c r="AT51" s="611">
        <f t="shared" si="15"/>
        <v>0</v>
      </c>
      <c r="AU51" s="611">
        <f t="shared" si="15"/>
        <v>0</v>
      </c>
      <c r="AV51" s="611">
        <f t="shared" si="15"/>
        <v>0</v>
      </c>
      <c r="AW51" s="611">
        <f t="shared" si="15"/>
        <v>0</v>
      </c>
    </row>
    <row r="52" spans="1:49" x14ac:dyDescent="0.2">
      <c r="A52" s="605" t="s">
        <v>769</v>
      </c>
      <c r="B52" s="271"/>
      <c r="C52" s="271"/>
      <c r="D52" s="271"/>
      <c r="E52" s="271"/>
      <c r="F52" s="271"/>
      <c r="G52" s="271"/>
      <c r="H52" s="271"/>
      <c r="I52" s="271"/>
      <c r="J52" s="271"/>
      <c r="K52" s="271"/>
      <c r="L52" s="271"/>
      <c r="M52" s="271"/>
      <c r="N52" s="271"/>
      <c r="O52" s="271"/>
      <c r="P52" s="271"/>
      <c r="Q52" s="271"/>
      <c r="R52" s="271"/>
      <c r="S52" s="271"/>
      <c r="T52" s="271"/>
      <c r="U52" s="271"/>
      <c r="V52" s="271"/>
      <c r="W52" s="271"/>
      <c r="X52" s="271"/>
      <c r="Y52" s="271"/>
      <c r="Z52" s="271"/>
      <c r="AA52" s="271"/>
      <c r="AB52" s="271"/>
      <c r="AC52" s="271"/>
      <c r="AD52" s="271"/>
      <c r="AE52" s="271"/>
      <c r="AF52" s="271"/>
      <c r="AG52" s="271"/>
      <c r="AH52" s="271"/>
      <c r="AI52" s="271"/>
      <c r="AJ52" s="285"/>
      <c r="AK52" s="313"/>
      <c r="AL52" s="605"/>
      <c r="AM52" s="605"/>
      <c r="AN52" s="607">
        <f t="shared" si="15"/>
        <v>0</v>
      </c>
      <c r="AO52" s="611">
        <f t="shared" si="15"/>
        <v>0</v>
      </c>
      <c r="AP52" s="611">
        <f t="shared" si="15"/>
        <v>0</v>
      </c>
      <c r="AQ52" s="611">
        <f t="shared" si="15"/>
        <v>0</v>
      </c>
      <c r="AR52" s="611">
        <f t="shared" si="15"/>
        <v>0</v>
      </c>
      <c r="AS52" s="611">
        <f t="shared" si="15"/>
        <v>0</v>
      </c>
      <c r="AT52" s="611">
        <f t="shared" si="15"/>
        <v>0</v>
      </c>
      <c r="AU52" s="611">
        <f t="shared" si="15"/>
        <v>0</v>
      </c>
      <c r="AV52" s="611">
        <f t="shared" si="15"/>
        <v>0</v>
      </c>
      <c r="AW52" s="611">
        <f t="shared" si="15"/>
        <v>0</v>
      </c>
    </row>
    <row r="53" spans="1:49" x14ac:dyDescent="0.2">
      <c r="A53" s="605" t="s">
        <v>770</v>
      </c>
      <c r="B53" s="271"/>
      <c r="C53" s="271"/>
      <c r="D53" s="271"/>
      <c r="E53" s="271"/>
      <c r="F53" s="271"/>
      <c r="G53" s="271"/>
      <c r="H53" s="271"/>
      <c r="I53" s="271"/>
      <c r="J53" s="271"/>
      <c r="K53" s="271"/>
      <c r="L53" s="271"/>
      <c r="M53" s="271"/>
      <c r="N53" s="271"/>
      <c r="O53" s="271"/>
      <c r="P53" s="271"/>
      <c r="Q53" s="271"/>
      <c r="R53" s="271"/>
      <c r="S53" s="271"/>
      <c r="T53" s="271"/>
      <c r="U53" s="271"/>
      <c r="V53" s="271"/>
      <c r="W53" s="271"/>
      <c r="X53" s="271"/>
      <c r="Y53" s="271"/>
      <c r="Z53" s="271"/>
      <c r="AA53" s="271"/>
      <c r="AB53" s="271"/>
      <c r="AC53" s="271"/>
      <c r="AD53" s="271"/>
      <c r="AE53" s="271"/>
      <c r="AF53" s="271"/>
      <c r="AG53" s="271"/>
      <c r="AH53" s="271"/>
      <c r="AI53" s="271"/>
      <c r="AJ53" s="285"/>
      <c r="AK53" s="313"/>
      <c r="AL53" s="605"/>
      <c r="AM53" s="605"/>
      <c r="AN53" s="605"/>
      <c r="AO53" s="607">
        <f t="shared" si="15"/>
        <v>0</v>
      </c>
      <c r="AP53" s="611">
        <f t="shared" si="15"/>
        <v>0</v>
      </c>
      <c r="AQ53" s="611">
        <f t="shared" si="15"/>
        <v>0</v>
      </c>
      <c r="AR53" s="611">
        <f t="shared" si="15"/>
        <v>0</v>
      </c>
      <c r="AS53" s="611">
        <f t="shared" si="15"/>
        <v>0</v>
      </c>
      <c r="AT53" s="611">
        <f t="shared" si="15"/>
        <v>0</v>
      </c>
      <c r="AU53" s="611">
        <f t="shared" si="15"/>
        <v>0</v>
      </c>
      <c r="AV53" s="611">
        <f t="shared" si="15"/>
        <v>0</v>
      </c>
      <c r="AW53" s="611">
        <f t="shared" si="15"/>
        <v>0</v>
      </c>
    </row>
    <row r="54" spans="1:49" x14ac:dyDescent="0.2">
      <c r="A54" s="605" t="s">
        <v>771</v>
      </c>
      <c r="B54" s="271"/>
      <c r="C54" s="271"/>
      <c r="D54" s="271"/>
      <c r="E54" s="271"/>
      <c r="F54" s="271"/>
      <c r="G54" s="271"/>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85"/>
      <c r="AK54" s="313"/>
      <c r="AL54" s="605"/>
      <c r="AM54" s="605"/>
      <c r="AN54" s="605"/>
      <c r="AO54" s="605"/>
      <c r="AP54" s="607">
        <f t="shared" si="15"/>
        <v>0</v>
      </c>
      <c r="AQ54" s="611">
        <f t="shared" si="15"/>
        <v>0</v>
      </c>
      <c r="AR54" s="611">
        <f t="shared" si="15"/>
        <v>0</v>
      </c>
      <c r="AS54" s="611">
        <f t="shared" si="15"/>
        <v>0</v>
      </c>
      <c r="AT54" s="611">
        <f t="shared" si="15"/>
        <v>0</v>
      </c>
      <c r="AU54" s="611">
        <f t="shared" si="15"/>
        <v>0</v>
      </c>
      <c r="AV54" s="611">
        <f t="shared" si="15"/>
        <v>0</v>
      </c>
      <c r="AW54" s="611">
        <f t="shared" si="15"/>
        <v>0</v>
      </c>
    </row>
    <row r="55" spans="1:49" x14ac:dyDescent="0.2">
      <c r="A55" s="605" t="s">
        <v>772</v>
      </c>
      <c r="B55" s="271"/>
      <c r="C55" s="271"/>
      <c r="D55" s="271"/>
      <c r="E55" s="271"/>
      <c r="F55" s="271"/>
      <c r="G55" s="271"/>
      <c r="H55" s="271"/>
      <c r="I55" s="271"/>
      <c r="J55" s="271"/>
      <c r="K55" s="271"/>
      <c r="L55" s="271"/>
      <c r="M55" s="271"/>
      <c r="N55" s="271"/>
      <c r="O55" s="271"/>
      <c r="P55" s="271"/>
      <c r="Q55" s="271"/>
      <c r="R55" s="271"/>
      <c r="S55" s="271"/>
      <c r="T55" s="271"/>
      <c r="U55" s="271"/>
      <c r="V55" s="271"/>
      <c r="W55" s="271"/>
      <c r="X55" s="271"/>
      <c r="Y55" s="271"/>
      <c r="Z55" s="271"/>
      <c r="AA55" s="271"/>
      <c r="AB55" s="271"/>
      <c r="AC55" s="271"/>
      <c r="AD55" s="271"/>
      <c r="AE55" s="271"/>
      <c r="AF55" s="271"/>
      <c r="AG55" s="271"/>
      <c r="AH55" s="271"/>
      <c r="AI55" s="271"/>
      <c r="AJ55" s="285"/>
      <c r="AK55" s="313"/>
      <c r="AL55" s="605"/>
      <c r="AM55" s="605"/>
      <c r="AN55" s="605"/>
      <c r="AO55" s="605"/>
      <c r="AP55" s="605"/>
      <c r="AQ55" s="607">
        <f t="shared" si="15"/>
        <v>0</v>
      </c>
      <c r="AR55" s="611">
        <f t="shared" si="15"/>
        <v>0</v>
      </c>
      <c r="AS55" s="611">
        <f t="shared" si="15"/>
        <v>0</v>
      </c>
      <c r="AT55" s="611">
        <f t="shared" si="15"/>
        <v>0</v>
      </c>
      <c r="AU55" s="611">
        <f t="shared" si="15"/>
        <v>0</v>
      </c>
      <c r="AV55" s="611">
        <f t="shared" si="15"/>
        <v>0</v>
      </c>
      <c r="AW55" s="611">
        <f t="shared" si="15"/>
        <v>0</v>
      </c>
    </row>
    <row r="56" spans="1:49" x14ac:dyDescent="0.2">
      <c r="A56" s="605" t="s">
        <v>773</v>
      </c>
      <c r="B56" s="271"/>
      <c r="C56" s="271"/>
      <c r="D56" s="271"/>
      <c r="E56" s="271"/>
      <c r="F56" s="271"/>
      <c r="G56" s="271"/>
      <c r="H56" s="271"/>
      <c r="I56" s="271"/>
      <c r="J56" s="271"/>
      <c r="K56" s="271"/>
      <c r="L56" s="271"/>
      <c r="M56" s="271"/>
      <c r="N56" s="271"/>
      <c r="O56" s="271"/>
      <c r="P56" s="271"/>
      <c r="Q56" s="271"/>
      <c r="R56" s="271"/>
      <c r="S56" s="271"/>
      <c r="T56" s="271"/>
      <c r="U56" s="271"/>
      <c r="V56" s="271"/>
      <c r="W56" s="271"/>
      <c r="X56" s="271"/>
      <c r="Y56" s="271"/>
      <c r="Z56" s="271"/>
      <c r="AA56" s="271"/>
      <c r="AB56" s="271"/>
      <c r="AC56" s="271"/>
      <c r="AD56" s="271"/>
      <c r="AE56" s="271"/>
      <c r="AF56" s="271"/>
      <c r="AG56" s="271"/>
      <c r="AH56" s="271"/>
      <c r="AI56" s="271"/>
      <c r="AJ56" s="285"/>
      <c r="AK56" s="313"/>
      <c r="AL56" s="605"/>
      <c r="AM56" s="605"/>
      <c r="AN56" s="605"/>
      <c r="AO56" s="605"/>
      <c r="AP56" s="605"/>
      <c r="AQ56" s="605"/>
      <c r="AR56" s="607">
        <f t="shared" si="15"/>
        <v>0</v>
      </c>
      <c r="AS56" s="611">
        <f t="shared" si="15"/>
        <v>0</v>
      </c>
      <c r="AT56" s="611">
        <f t="shared" si="15"/>
        <v>0</v>
      </c>
      <c r="AU56" s="611">
        <f t="shared" si="15"/>
        <v>0</v>
      </c>
      <c r="AV56" s="611">
        <f t="shared" si="15"/>
        <v>0</v>
      </c>
      <c r="AW56" s="611">
        <f t="shared" si="15"/>
        <v>0</v>
      </c>
    </row>
    <row r="57" spans="1:49" x14ac:dyDescent="0.2">
      <c r="A57" s="605" t="s">
        <v>774</v>
      </c>
      <c r="B57" s="271"/>
      <c r="C57" s="271"/>
      <c r="D57" s="271"/>
      <c r="E57" s="271"/>
      <c r="F57" s="271"/>
      <c r="G57" s="271"/>
      <c r="H57" s="271"/>
      <c r="I57" s="271"/>
      <c r="J57" s="271"/>
      <c r="K57" s="271"/>
      <c r="L57" s="271"/>
      <c r="M57" s="271"/>
      <c r="N57" s="271"/>
      <c r="O57" s="271"/>
      <c r="P57" s="271"/>
      <c r="Q57" s="271"/>
      <c r="R57" s="271"/>
      <c r="S57" s="271"/>
      <c r="T57" s="271"/>
      <c r="U57" s="271"/>
      <c r="V57" s="271"/>
      <c r="W57" s="271"/>
      <c r="X57" s="271"/>
      <c r="Y57" s="271"/>
      <c r="Z57" s="271"/>
      <c r="AA57" s="271"/>
      <c r="AB57" s="271"/>
      <c r="AC57" s="271"/>
      <c r="AD57" s="271"/>
      <c r="AE57" s="271"/>
      <c r="AF57" s="271"/>
      <c r="AG57" s="271"/>
      <c r="AH57" s="271"/>
      <c r="AI57" s="271"/>
      <c r="AJ57" s="285"/>
      <c r="AK57" s="313"/>
      <c r="AL57" s="605"/>
      <c r="AM57" s="605"/>
      <c r="AN57" s="605"/>
      <c r="AO57" s="605"/>
      <c r="AP57" s="605"/>
      <c r="AQ57" s="605"/>
      <c r="AR57" s="605"/>
      <c r="AS57" s="607">
        <f t="shared" si="15"/>
        <v>0</v>
      </c>
      <c r="AT57" s="611">
        <f t="shared" si="15"/>
        <v>0</v>
      </c>
      <c r="AU57" s="611">
        <f t="shared" si="15"/>
        <v>0</v>
      </c>
      <c r="AV57" s="611">
        <f t="shared" si="15"/>
        <v>0</v>
      </c>
      <c r="AW57" s="611">
        <f t="shared" si="15"/>
        <v>0</v>
      </c>
    </row>
    <row r="58" spans="1:49" x14ac:dyDescent="0.2">
      <c r="A58" s="605" t="s">
        <v>775</v>
      </c>
      <c r="B58" s="271"/>
      <c r="C58" s="271"/>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85"/>
      <c r="AK58" s="313"/>
      <c r="AL58" s="605"/>
      <c r="AM58" s="605"/>
      <c r="AN58" s="605"/>
      <c r="AO58" s="605"/>
      <c r="AP58" s="605"/>
      <c r="AQ58" s="605"/>
      <c r="AR58" s="605"/>
      <c r="AS58" s="605"/>
      <c r="AT58" s="607">
        <f t="shared" si="15"/>
        <v>0</v>
      </c>
      <c r="AU58" s="611">
        <f t="shared" si="15"/>
        <v>0</v>
      </c>
      <c r="AV58" s="611">
        <f t="shared" si="15"/>
        <v>0</v>
      </c>
      <c r="AW58" s="611">
        <f t="shared" si="15"/>
        <v>0</v>
      </c>
    </row>
    <row r="59" spans="1:49" x14ac:dyDescent="0.2">
      <c r="A59" s="605" t="s">
        <v>776</v>
      </c>
      <c r="B59" s="271"/>
      <c r="C59" s="271"/>
      <c r="D59" s="271"/>
      <c r="E59" s="271"/>
      <c r="F59" s="271"/>
      <c r="G59" s="271"/>
      <c r="H59" s="271"/>
      <c r="I59" s="271"/>
      <c r="J59" s="271"/>
      <c r="K59" s="271"/>
      <c r="L59" s="271"/>
      <c r="M59" s="271"/>
      <c r="N59" s="271"/>
      <c r="O59" s="271"/>
      <c r="P59" s="271"/>
      <c r="Q59" s="271"/>
      <c r="R59" s="271"/>
      <c r="S59" s="271"/>
      <c r="T59" s="271"/>
      <c r="U59" s="271"/>
      <c r="V59" s="271"/>
      <c r="W59" s="271"/>
      <c r="X59" s="271"/>
      <c r="Y59" s="271"/>
      <c r="Z59" s="271"/>
      <c r="AA59" s="271"/>
      <c r="AB59" s="271"/>
      <c r="AC59" s="271"/>
      <c r="AD59" s="271"/>
      <c r="AE59" s="271"/>
      <c r="AF59" s="271"/>
      <c r="AG59" s="271"/>
      <c r="AH59" s="271"/>
      <c r="AI59" s="271"/>
      <c r="AJ59" s="285"/>
      <c r="AK59" s="313"/>
      <c r="AL59" s="605"/>
      <c r="AM59" s="605"/>
      <c r="AN59" s="605"/>
      <c r="AO59" s="605"/>
      <c r="AP59" s="605"/>
      <c r="AQ59" s="605"/>
      <c r="AR59" s="605"/>
      <c r="AS59" s="605"/>
      <c r="AT59" s="605"/>
      <c r="AU59" s="607">
        <f t="shared" si="15"/>
        <v>0</v>
      </c>
      <c r="AV59" s="611">
        <f t="shared" si="15"/>
        <v>0</v>
      </c>
      <c r="AW59" s="611">
        <f t="shared" si="15"/>
        <v>0</v>
      </c>
    </row>
    <row r="60" spans="1:49" x14ac:dyDescent="0.2">
      <c r="A60" s="605" t="s">
        <v>777</v>
      </c>
      <c r="B60" s="271"/>
      <c r="C60" s="271"/>
      <c r="D60" s="271"/>
      <c r="E60" s="271"/>
      <c r="F60" s="271"/>
      <c r="G60" s="271"/>
      <c r="H60" s="271"/>
      <c r="I60" s="271"/>
      <c r="J60" s="271"/>
      <c r="K60" s="271"/>
      <c r="L60" s="271"/>
      <c r="M60" s="271"/>
      <c r="N60" s="271"/>
      <c r="O60" s="271"/>
      <c r="P60" s="271"/>
      <c r="Q60" s="271"/>
      <c r="R60" s="271"/>
      <c r="S60" s="271"/>
      <c r="T60" s="271"/>
      <c r="U60" s="271"/>
      <c r="V60" s="271"/>
      <c r="W60" s="271"/>
      <c r="X60" s="271"/>
      <c r="Y60" s="271"/>
      <c r="Z60" s="271"/>
      <c r="AA60" s="271"/>
      <c r="AB60" s="271"/>
      <c r="AC60" s="271"/>
      <c r="AD60" s="271"/>
      <c r="AE60" s="271"/>
      <c r="AF60" s="271"/>
      <c r="AG60" s="271"/>
      <c r="AH60" s="271"/>
      <c r="AI60" s="271"/>
      <c r="AJ60" s="285"/>
      <c r="AK60" s="313"/>
      <c r="AL60" s="605"/>
      <c r="AM60" s="605"/>
      <c r="AN60" s="605"/>
      <c r="AO60" s="605"/>
      <c r="AP60" s="605"/>
      <c r="AQ60" s="605"/>
      <c r="AR60" s="605"/>
      <c r="AS60" s="605"/>
      <c r="AT60" s="605"/>
      <c r="AU60" s="605"/>
      <c r="AV60" s="607">
        <f t="shared" si="15"/>
        <v>0</v>
      </c>
      <c r="AW60" s="611">
        <f t="shared" si="15"/>
        <v>0</v>
      </c>
    </row>
    <row r="61" spans="1:49" x14ac:dyDescent="0.2">
      <c r="A61" s="605" t="s">
        <v>778</v>
      </c>
      <c r="B61" s="271"/>
      <c r="C61" s="271"/>
      <c r="D61" s="271"/>
      <c r="E61" s="271"/>
      <c r="F61" s="271"/>
      <c r="G61" s="271"/>
      <c r="H61" s="271"/>
      <c r="I61" s="271"/>
      <c r="J61" s="271"/>
      <c r="K61" s="271"/>
      <c r="L61" s="271"/>
      <c r="M61" s="271"/>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85">
        <f>$N$26</f>
        <v>0</v>
      </c>
      <c r="AL61" s="605"/>
      <c r="AM61" s="605"/>
      <c r="AN61" s="605"/>
      <c r="AO61" s="605"/>
      <c r="AP61" s="605"/>
      <c r="AQ61" s="605"/>
      <c r="AR61" s="605"/>
      <c r="AS61" s="605"/>
      <c r="AT61" s="605"/>
      <c r="AU61" s="605"/>
      <c r="AV61" s="605"/>
      <c r="AW61" s="607">
        <f t="shared" si="15"/>
        <v>0</v>
      </c>
    </row>
    <row r="62" spans="1:49" x14ac:dyDescent="0.2">
      <c r="B62" s="271"/>
      <c r="C62" s="271"/>
      <c r="D62" s="271"/>
      <c r="E62" s="271"/>
      <c r="F62" s="271"/>
      <c r="G62" s="271"/>
      <c r="H62" s="271"/>
      <c r="I62" s="271"/>
      <c r="J62" s="271"/>
      <c r="K62" s="271"/>
      <c r="L62" s="271"/>
      <c r="M62" s="271"/>
      <c r="N62" s="271"/>
      <c r="O62" s="271"/>
      <c r="P62" s="271"/>
      <c r="Q62" s="271"/>
      <c r="R62" s="271"/>
      <c r="S62" s="271"/>
      <c r="T62" s="271"/>
      <c r="U62" s="271"/>
      <c r="V62" s="271"/>
      <c r="W62" s="271"/>
      <c r="X62" s="271"/>
      <c r="Y62" s="271"/>
      <c r="Z62" s="271"/>
      <c r="AA62" s="271"/>
      <c r="AB62" s="271"/>
      <c r="AC62" s="271"/>
      <c r="AD62" s="271"/>
      <c r="AE62" s="271"/>
      <c r="AF62" s="271"/>
      <c r="AG62" s="271"/>
      <c r="AH62" s="271"/>
      <c r="AI62" s="271"/>
      <c r="AJ62" s="271"/>
      <c r="AK62" s="271"/>
    </row>
    <row r="63" spans="1:49" x14ac:dyDescent="0.2">
      <c r="A63" s="312" t="s">
        <v>274</v>
      </c>
      <c r="B63" s="282">
        <f t="shared" ref="B63:AA63" si="16">SUM(B14:B61)</f>
        <v>0</v>
      </c>
      <c r="C63" s="282">
        <f t="shared" si="16"/>
        <v>0</v>
      </c>
      <c r="D63" s="282">
        <f t="shared" si="16"/>
        <v>0</v>
      </c>
      <c r="E63" s="282">
        <f t="shared" si="16"/>
        <v>0</v>
      </c>
      <c r="F63" s="282">
        <f t="shared" si="16"/>
        <v>0</v>
      </c>
      <c r="G63" s="282">
        <f t="shared" si="16"/>
        <v>0</v>
      </c>
      <c r="H63" s="282">
        <f t="shared" si="16"/>
        <v>0</v>
      </c>
      <c r="I63" s="282">
        <f t="shared" si="16"/>
        <v>0</v>
      </c>
      <c r="J63" s="282">
        <f t="shared" si="16"/>
        <v>0</v>
      </c>
      <c r="K63" s="282">
        <f t="shared" si="16"/>
        <v>0</v>
      </c>
      <c r="L63" s="282">
        <f t="shared" si="16"/>
        <v>0</v>
      </c>
      <c r="M63" s="282">
        <f t="shared" si="16"/>
        <v>0</v>
      </c>
      <c r="N63" s="282">
        <f t="shared" si="16"/>
        <v>35571.689999999995</v>
      </c>
      <c r="O63" s="282">
        <f t="shared" si="16"/>
        <v>77841.539999999994</v>
      </c>
      <c r="P63" s="282">
        <f t="shared" si="16"/>
        <v>112967.19</v>
      </c>
      <c r="Q63" s="282">
        <f t="shared" si="16"/>
        <v>149207.94</v>
      </c>
      <c r="R63" s="282">
        <f t="shared" si="16"/>
        <v>183887.55</v>
      </c>
      <c r="S63" s="282">
        <f t="shared" si="16"/>
        <v>222135.48</v>
      </c>
      <c r="T63" s="282">
        <f t="shared" si="16"/>
        <v>252912.24</v>
      </c>
      <c r="U63" s="282">
        <f t="shared" si="16"/>
        <v>293836.40999999997</v>
      </c>
      <c r="V63" s="282">
        <f t="shared" si="16"/>
        <v>341339.67</v>
      </c>
      <c r="W63" s="282">
        <f t="shared" si="16"/>
        <v>393414.83999999991</v>
      </c>
      <c r="X63" s="282">
        <f t="shared" si="16"/>
        <v>438687.89999999997</v>
      </c>
      <c r="Y63" s="282">
        <f t="shared" si="16"/>
        <v>486414.18</v>
      </c>
      <c r="Z63" s="282">
        <f t="shared" si="16"/>
        <v>539046.89999999991</v>
      </c>
      <c r="AA63" s="282">
        <f t="shared" si="16"/>
        <v>590676.02999999991</v>
      </c>
      <c r="AB63" s="282">
        <f>SUM(AB14:AB61)</f>
        <v>592675.64999999991</v>
      </c>
      <c r="AC63" s="282">
        <f>SUM(AC14:AC61)</f>
        <v>657710.74439999985</v>
      </c>
      <c r="AD63" s="282">
        <f t="shared" ref="AD63:AK63" si="17">SUM(AD14:AD61)</f>
        <v>714998.84759999986</v>
      </c>
      <c r="AE63" s="282">
        <f t="shared" si="17"/>
        <v>766229.72759999998</v>
      </c>
      <c r="AF63" s="282">
        <f t="shared" si="17"/>
        <v>812337.51959999988</v>
      </c>
      <c r="AG63" s="282">
        <f t="shared" si="17"/>
        <v>853322.22359999991</v>
      </c>
      <c r="AH63" s="282">
        <f t="shared" si="17"/>
        <v>894306.92760000005</v>
      </c>
      <c r="AI63" s="282">
        <f t="shared" si="17"/>
        <v>954828.63312905561</v>
      </c>
      <c r="AJ63" s="282">
        <f t="shared" si="17"/>
        <v>1015350.3386581116</v>
      </c>
      <c r="AK63" s="282">
        <f t="shared" si="17"/>
        <v>1075872.0441871674</v>
      </c>
      <c r="AL63" s="282">
        <f t="shared" ref="AL63:AW63" si="18">SUM(AL14:AL61)</f>
        <v>1136388.5211871674</v>
      </c>
      <c r="AM63" s="282">
        <f t="shared" si="18"/>
        <v>1196904.9981871673</v>
      </c>
      <c r="AN63" s="282">
        <f t="shared" si="18"/>
        <v>1257421.4751871673</v>
      </c>
      <c r="AO63" s="282">
        <f t="shared" si="18"/>
        <v>1317937.952187167</v>
      </c>
      <c r="AP63" s="282">
        <f t="shared" si="18"/>
        <v>1378454.4291871672</v>
      </c>
      <c r="AQ63" s="282">
        <f t="shared" si="18"/>
        <v>1438970.9061871672</v>
      </c>
      <c r="AR63" s="282">
        <f t="shared" si="18"/>
        <v>1499487.3831871671</v>
      </c>
      <c r="AS63" s="282">
        <f t="shared" si="18"/>
        <v>1560003.8601871671</v>
      </c>
      <c r="AT63" s="282">
        <f t="shared" si="18"/>
        <v>1620520.337187167</v>
      </c>
      <c r="AU63" s="282">
        <f t="shared" si="18"/>
        <v>1681036.8141871667</v>
      </c>
      <c r="AV63" s="282">
        <f t="shared" si="18"/>
        <v>1741553.2911871667</v>
      </c>
      <c r="AW63" s="282">
        <f t="shared" si="18"/>
        <v>1802069.7681871664</v>
      </c>
    </row>
    <row r="64" spans="1:49" x14ac:dyDescent="0.2">
      <c r="Q64" s="253"/>
    </row>
    <row r="65" spans="1:49" x14ac:dyDescent="0.2">
      <c r="A65" s="312" t="s">
        <v>277</v>
      </c>
      <c r="B65" s="283">
        <f>K76</f>
        <v>0</v>
      </c>
      <c r="C65" s="283">
        <f t="shared" ref="C65:M65" si="19">B65-$L$76</f>
        <v>0</v>
      </c>
      <c r="D65" s="283">
        <f t="shared" si="19"/>
        <v>0</v>
      </c>
      <c r="E65" s="283">
        <f t="shared" si="19"/>
        <v>0</v>
      </c>
      <c r="F65" s="283">
        <f t="shared" si="19"/>
        <v>0</v>
      </c>
      <c r="G65" s="283">
        <f t="shared" si="19"/>
        <v>0</v>
      </c>
      <c r="H65" s="283">
        <f t="shared" si="19"/>
        <v>0</v>
      </c>
      <c r="I65" s="283">
        <f t="shared" si="19"/>
        <v>0</v>
      </c>
      <c r="J65" s="283">
        <f t="shared" si="19"/>
        <v>0</v>
      </c>
      <c r="K65" s="283">
        <f t="shared" si="19"/>
        <v>0</v>
      </c>
      <c r="L65" s="283">
        <f t="shared" si="19"/>
        <v>0</v>
      </c>
      <c r="M65" s="283">
        <f t="shared" si="19"/>
        <v>0</v>
      </c>
      <c r="N65" s="635">
        <v>312968.19537275063</v>
      </c>
      <c r="O65" s="283">
        <f>N65-$C$81-C80</f>
        <v>219763.4304017268</v>
      </c>
      <c r="P65" s="283">
        <f t="shared" ref="P65:S65" si="20">O65-$C$81</f>
        <v>170268.66543070297</v>
      </c>
      <c r="Q65" s="283">
        <f t="shared" si="20"/>
        <v>120773.90045967913</v>
      </c>
      <c r="R65" s="283">
        <f t="shared" si="20"/>
        <v>71279.135488655302</v>
      </c>
      <c r="S65" s="283">
        <f t="shared" si="20"/>
        <v>21784.370517631476</v>
      </c>
      <c r="T65" s="283">
        <f>MAX(S65-$C$81,0)</f>
        <v>0</v>
      </c>
      <c r="U65" s="283">
        <f t="shared" ref="U65:AK65" si="21">MAX(T65-$C$81,0)</f>
        <v>0</v>
      </c>
      <c r="V65" s="283">
        <f t="shared" si="21"/>
        <v>0</v>
      </c>
      <c r="W65" s="283">
        <f t="shared" si="21"/>
        <v>0</v>
      </c>
      <c r="X65" s="283">
        <f t="shared" si="21"/>
        <v>0</v>
      </c>
      <c r="Y65" s="283">
        <f t="shared" si="21"/>
        <v>0</v>
      </c>
      <c r="Z65" s="283">
        <f t="shared" si="21"/>
        <v>0</v>
      </c>
      <c r="AA65" s="283">
        <f t="shared" si="21"/>
        <v>0</v>
      </c>
      <c r="AB65" s="283">
        <f t="shared" si="21"/>
        <v>0</v>
      </c>
      <c r="AC65" s="283">
        <f t="shared" si="21"/>
        <v>0</v>
      </c>
      <c r="AD65" s="283">
        <f t="shared" si="21"/>
        <v>0</v>
      </c>
      <c r="AE65" s="283">
        <f t="shared" si="21"/>
        <v>0</v>
      </c>
      <c r="AF65" s="283">
        <f t="shared" si="21"/>
        <v>0</v>
      </c>
      <c r="AG65" s="283">
        <f t="shared" si="21"/>
        <v>0</v>
      </c>
      <c r="AH65" s="283">
        <f t="shared" si="21"/>
        <v>0</v>
      </c>
      <c r="AI65" s="283">
        <f t="shared" si="21"/>
        <v>0</v>
      </c>
      <c r="AJ65" s="283">
        <f t="shared" si="21"/>
        <v>0</v>
      </c>
      <c r="AK65" s="283">
        <f t="shared" si="21"/>
        <v>0</v>
      </c>
      <c r="AL65" s="283"/>
      <c r="AM65" s="283"/>
      <c r="AN65" s="283"/>
      <c r="AO65" s="283"/>
      <c r="AP65" s="283"/>
      <c r="AQ65" s="283"/>
      <c r="AR65" s="283"/>
      <c r="AS65" s="283"/>
      <c r="AT65" s="283"/>
      <c r="AU65" s="283"/>
      <c r="AV65" s="283"/>
      <c r="AW65" s="283"/>
    </row>
    <row r="66" spans="1:49" ht="13.5" thickBot="1" x14ac:dyDescent="0.25">
      <c r="A66" s="312" t="s">
        <v>373</v>
      </c>
      <c r="B66" s="284">
        <f t="shared" ref="B66:M66" si="22">B67</f>
        <v>305890.42202205886</v>
      </c>
      <c r="C66" s="284">
        <f t="shared" si="22"/>
        <v>277597.57884380349</v>
      </c>
      <c r="D66" s="284">
        <f t="shared" si="22"/>
        <v>284907.97150851012</v>
      </c>
      <c r="E66" s="284">
        <f t="shared" si="22"/>
        <v>314422.94619303575</v>
      </c>
      <c r="F66" s="284">
        <f t="shared" si="22"/>
        <v>324152.09843205573</v>
      </c>
      <c r="G66" s="284">
        <f t="shared" si="22"/>
        <v>302095.62995495496</v>
      </c>
      <c r="H66" s="284">
        <f t="shared" si="22"/>
        <v>288977.30978680204</v>
      </c>
      <c r="I66" s="284">
        <f t="shared" si="22"/>
        <v>334060.51386183471</v>
      </c>
      <c r="J66" s="284">
        <f t="shared" si="22"/>
        <v>345320.54077627556</v>
      </c>
      <c r="K66" s="284">
        <f t="shared" si="22"/>
        <v>369317.3411034235</v>
      </c>
      <c r="L66" s="284">
        <f t="shared" si="22"/>
        <v>368411.4361489655</v>
      </c>
      <c r="M66" s="284">
        <f t="shared" si="22"/>
        <v>499757.76</v>
      </c>
      <c r="N66" s="284">
        <f>N65</f>
        <v>312968.19537275063</v>
      </c>
      <c r="O66" s="284">
        <f>O65+O63</f>
        <v>297604.97040172678</v>
      </c>
      <c r="P66" s="284">
        <f t="shared" ref="P66:AK66" si="23">P65+P63</f>
        <v>283235.85543070297</v>
      </c>
      <c r="Q66" s="284">
        <f t="shared" si="23"/>
        <v>269981.84045967914</v>
      </c>
      <c r="R66" s="284">
        <f t="shared" si="23"/>
        <v>255166.68548865529</v>
      </c>
      <c r="S66" s="284">
        <f t="shared" si="23"/>
        <v>243919.85051763148</v>
      </c>
      <c r="T66" s="284">
        <f t="shared" si="23"/>
        <v>252912.24</v>
      </c>
      <c r="U66" s="284">
        <f t="shared" si="23"/>
        <v>293836.40999999997</v>
      </c>
      <c r="V66" s="284">
        <f t="shared" si="23"/>
        <v>341339.67</v>
      </c>
      <c r="W66" s="284">
        <f t="shared" si="23"/>
        <v>393414.83999999991</v>
      </c>
      <c r="X66" s="284">
        <f t="shared" si="23"/>
        <v>438687.89999999997</v>
      </c>
      <c r="Y66" s="284">
        <f t="shared" si="23"/>
        <v>486414.18</v>
      </c>
      <c r="Z66" s="284">
        <f t="shared" si="23"/>
        <v>539046.89999999991</v>
      </c>
      <c r="AA66" s="284">
        <f t="shared" si="23"/>
        <v>590676.02999999991</v>
      </c>
      <c r="AB66" s="284">
        <f t="shared" si="23"/>
        <v>592675.64999999991</v>
      </c>
      <c r="AC66" s="284">
        <f t="shared" si="23"/>
        <v>657710.74439999985</v>
      </c>
      <c r="AD66" s="284">
        <f t="shared" si="23"/>
        <v>714998.84759999986</v>
      </c>
      <c r="AE66" s="284">
        <f t="shared" si="23"/>
        <v>766229.72759999998</v>
      </c>
      <c r="AF66" s="284">
        <f t="shared" si="23"/>
        <v>812337.51959999988</v>
      </c>
      <c r="AG66" s="284">
        <f t="shared" si="23"/>
        <v>853322.22359999991</v>
      </c>
      <c r="AH66" s="284">
        <f t="shared" si="23"/>
        <v>894306.92760000005</v>
      </c>
      <c r="AI66" s="284">
        <f t="shared" si="23"/>
        <v>954828.63312905561</v>
      </c>
      <c r="AJ66" s="284">
        <f t="shared" si="23"/>
        <v>1015350.3386581116</v>
      </c>
      <c r="AK66" s="284">
        <f t="shared" si="23"/>
        <v>1075872.0441871674</v>
      </c>
      <c r="AL66" s="284">
        <f t="shared" ref="AL66:AW66" si="24">AL65+AL63</f>
        <v>1136388.5211871674</v>
      </c>
      <c r="AM66" s="284">
        <f t="shared" si="24"/>
        <v>1196904.9981871673</v>
      </c>
      <c r="AN66" s="284">
        <f t="shared" si="24"/>
        <v>1257421.4751871673</v>
      </c>
      <c r="AO66" s="284">
        <f t="shared" si="24"/>
        <v>1317937.952187167</v>
      </c>
      <c r="AP66" s="284">
        <f t="shared" si="24"/>
        <v>1378454.4291871672</v>
      </c>
      <c r="AQ66" s="284">
        <f t="shared" si="24"/>
        <v>1438970.9061871672</v>
      </c>
      <c r="AR66" s="284">
        <f t="shared" si="24"/>
        <v>1499487.3831871671</v>
      </c>
      <c r="AS66" s="284">
        <f t="shared" si="24"/>
        <v>1560003.8601871671</v>
      </c>
      <c r="AT66" s="284">
        <f t="shared" si="24"/>
        <v>1620520.337187167</v>
      </c>
      <c r="AU66" s="284">
        <f t="shared" si="24"/>
        <v>1681036.8141871667</v>
      </c>
      <c r="AV66" s="284">
        <f t="shared" si="24"/>
        <v>1741553.2911871667</v>
      </c>
      <c r="AW66" s="284">
        <f t="shared" si="24"/>
        <v>1802069.7681871664</v>
      </c>
    </row>
    <row r="67" spans="1:49" ht="13.5" thickTop="1" x14ac:dyDescent="0.2">
      <c r="A67" s="312" t="s">
        <v>243</v>
      </c>
      <c r="B67" s="313">
        <v>305890.42202205886</v>
      </c>
      <c r="C67" s="313">
        <v>277597.57884380349</v>
      </c>
      <c r="D67" s="313">
        <v>284907.97150851012</v>
      </c>
      <c r="E67" s="313">
        <v>314422.94619303575</v>
      </c>
      <c r="F67" s="313">
        <v>324152.09843205573</v>
      </c>
      <c r="G67" s="634">
        <v>302095.62995495496</v>
      </c>
      <c r="H67" s="634">
        <v>288977.30978680204</v>
      </c>
      <c r="I67" s="634">
        <v>334060.51386183471</v>
      </c>
      <c r="J67" s="634">
        <v>345320.54077627556</v>
      </c>
      <c r="K67" s="634">
        <v>369317.3411034235</v>
      </c>
      <c r="L67" s="634">
        <v>368411.4361489655</v>
      </c>
      <c r="M67" s="634">
        <v>499757.76</v>
      </c>
      <c r="N67" s="634">
        <v>640681.41</v>
      </c>
      <c r="O67" s="634">
        <v>667837.99</v>
      </c>
      <c r="P67" s="634">
        <v>778085.72</v>
      </c>
      <c r="Q67" s="634">
        <v>801253.1</v>
      </c>
      <c r="R67" s="634">
        <v>730121.52</v>
      </c>
      <c r="S67" s="634">
        <v>554371.15</v>
      </c>
      <c r="T67" s="634">
        <v>533038.06000000006</v>
      </c>
      <c r="U67" s="634">
        <v>591687.92000000004</v>
      </c>
      <c r="V67" s="634">
        <v>668977.99</v>
      </c>
      <c r="W67" s="634">
        <v>768533.24</v>
      </c>
      <c r="X67" s="634">
        <v>570118.77</v>
      </c>
      <c r="Y67" s="634">
        <v>231474.58</v>
      </c>
      <c r="Z67" s="313"/>
      <c r="AA67" s="313">
        <f t="shared" ref="AA67:AK67" si="25">S67*110%</f>
        <v>609808.26500000013</v>
      </c>
      <c r="AB67" s="313">
        <f t="shared" si="25"/>
        <v>586341.86600000015</v>
      </c>
      <c r="AC67" s="313">
        <f t="shared" si="25"/>
        <v>650856.71200000006</v>
      </c>
      <c r="AD67" s="313">
        <f t="shared" si="25"/>
        <v>735875.78900000011</v>
      </c>
      <c r="AE67" s="313">
        <f t="shared" si="25"/>
        <v>845386.56400000001</v>
      </c>
      <c r="AF67" s="313">
        <f t="shared" si="25"/>
        <v>627130.64700000011</v>
      </c>
      <c r="AG67" s="313">
        <f t="shared" si="25"/>
        <v>254622.038</v>
      </c>
      <c r="AH67" s="313">
        <f t="shared" si="25"/>
        <v>0</v>
      </c>
      <c r="AI67" s="313">
        <f t="shared" si="25"/>
        <v>670789.09150000021</v>
      </c>
      <c r="AJ67" s="313">
        <f t="shared" si="25"/>
        <v>644976.05260000017</v>
      </c>
      <c r="AK67" s="313">
        <f t="shared" si="25"/>
        <v>715942.38320000016</v>
      </c>
      <c r="AL67" s="313">
        <f t="shared" ref="AL67" si="26">AD67*110%</f>
        <v>809463.36790000019</v>
      </c>
      <c r="AM67" s="313">
        <f t="shared" ref="AM67" si="27">AE67*110%</f>
        <v>929925.22040000011</v>
      </c>
      <c r="AN67" s="313">
        <f t="shared" ref="AN67" si="28">AF67*110%</f>
        <v>689843.71170000022</v>
      </c>
      <c r="AO67" s="313">
        <f t="shared" ref="AO67" si="29">AG67*110%</f>
        <v>280084.24180000002</v>
      </c>
      <c r="AP67" s="313">
        <f t="shared" ref="AP67" si="30">AH67*110%</f>
        <v>0</v>
      </c>
      <c r="AQ67" s="313">
        <f t="shared" ref="AQ67" si="31">AI67*110%</f>
        <v>737868.00065000029</v>
      </c>
      <c r="AR67" s="313">
        <f t="shared" ref="AR67" si="32">AJ67*110%</f>
        <v>709473.65786000027</v>
      </c>
      <c r="AS67" s="313">
        <f t="shared" ref="AS67" si="33">AK67*110%</f>
        <v>787536.62152000028</v>
      </c>
      <c r="AT67" s="313">
        <f t="shared" ref="AT67" si="34">AL67*110%</f>
        <v>890409.70469000028</v>
      </c>
      <c r="AU67" s="313">
        <f t="shared" ref="AU67" si="35">AM67*110%</f>
        <v>1022917.7424400002</v>
      </c>
      <c r="AV67" s="313">
        <f t="shared" ref="AV67" si="36">AN67*110%</f>
        <v>758828.08287000027</v>
      </c>
      <c r="AW67" s="313">
        <f t="shared" ref="AW67" si="37">AO67*110%</f>
        <v>308092.66598000005</v>
      </c>
    </row>
    <row r="68" spans="1:49" s="261" customFormat="1" ht="15.75" thickBot="1" x14ac:dyDescent="0.3">
      <c r="B68" s="261" t="s">
        <v>244</v>
      </c>
    </row>
    <row r="69" spans="1:49" x14ac:dyDescent="0.2">
      <c r="A69" s="312" t="s">
        <v>337</v>
      </c>
      <c r="B69" s="313">
        <f>B67/31</f>
        <v>9867.4329684535114</v>
      </c>
      <c r="C69" s="313">
        <f>C67/29</f>
        <v>9572.3303049587412</v>
      </c>
      <c r="D69" s="313">
        <f>D67/31</f>
        <v>9190.5797260809723</v>
      </c>
      <c r="E69" s="313">
        <f>E67/30</f>
        <v>10480.764873101192</v>
      </c>
      <c r="F69" s="313">
        <f>F67/31</f>
        <v>10456.519304259862</v>
      </c>
      <c r="G69" s="313">
        <f>G67/30</f>
        <v>10069.854331831832</v>
      </c>
      <c r="H69" s="313">
        <f>H66/31</f>
        <v>9321.8487028000654</v>
      </c>
      <c r="I69" s="313">
        <f>I66/31</f>
        <v>10776.145608446281</v>
      </c>
      <c r="J69" s="313">
        <f>J66/30</f>
        <v>11510.684692542518</v>
      </c>
      <c r="K69" s="313">
        <f>K66/31</f>
        <v>11913.462616239467</v>
      </c>
      <c r="L69" s="313">
        <f>L66/30</f>
        <v>12280.381204965517</v>
      </c>
      <c r="M69" s="313">
        <f>M66/31</f>
        <v>16121.21806451613</v>
      </c>
      <c r="N69" s="313">
        <f>N66/31</f>
        <v>10095.748237830665</v>
      </c>
      <c r="O69" s="313">
        <f>O66/28</f>
        <v>10628.748942918814</v>
      </c>
      <c r="P69" s="313">
        <f>P66/31</f>
        <v>9136.6404977646125</v>
      </c>
      <c r="Q69" s="313">
        <f>Q66/30</f>
        <v>8999.3946819893044</v>
      </c>
      <c r="R69" s="313">
        <f>R66/31</f>
        <v>8231.1834028598478</v>
      </c>
      <c r="S69" s="313">
        <f>S66/30</f>
        <v>8130.6616839210492</v>
      </c>
      <c r="T69" s="313">
        <f>T66/31</f>
        <v>8158.4593548387093</v>
      </c>
      <c r="U69" s="313">
        <f>U66/31</f>
        <v>9478.5938709677412</v>
      </c>
      <c r="V69" s="313">
        <f>V66/30</f>
        <v>11377.989</v>
      </c>
      <c r="W69" s="313">
        <f>W66/31</f>
        <v>12690.801290322577</v>
      </c>
      <c r="X69" s="313">
        <f>X66/30</f>
        <v>14622.929999999998</v>
      </c>
      <c r="Y69" s="313">
        <f>Y66/31</f>
        <v>15690.78</v>
      </c>
      <c r="Z69" s="313">
        <f t="shared" ref="Z69:AB69" si="38">Z66/31</f>
        <v>17388.60967741935</v>
      </c>
      <c r="AA69" s="313">
        <f t="shared" si="38"/>
        <v>19054.065483870963</v>
      </c>
      <c r="AB69" s="313">
        <f t="shared" si="38"/>
        <v>19118.569354838706</v>
      </c>
    </row>
    <row r="70" spans="1:49" x14ac:dyDescent="0.2">
      <c r="D70" s="244"/>
    </row>
    <row r="71" spans="1:49" x14ac:dyDescent="0.2">
      <c r="A71" s="313"/>
      <c r="B71" s="313"/>
      <c r="D71" s="244"/>
      <c r="F71" s="271"/>
      <c r="M71" s="277"/>
      <c r="N71" s="271"/>
    </row>
    <row r="72" spans="1:49" x14ac:dyDescent="0.2">
      <c r="M72" s="277" t="s">
        <v>489</v>
      </c>
      <c r="N72" s="271" t="s">
        <v>490</v>
      </c>
      <c r="O72" s="312" t="s">
        <v>491</v>
      </c>
      <c r="V72" s="271">
        <f>V66+'SMS Sub'!V66</f>
        <v>521356.5</v>
      </c>
    </row>
    <row r="73" spans="1:49" x14ac:dyDescent="0.2">
      <c r="M73" s="251">
        <v>80</v>
      </c>
      <c r="N73" s="271">
        <v>24</v>
      </c>
      <c r="O73" s="253">
        <f>M73/N73</f>
        <v>3.3333333333333335</v>
      </c>
      <c r="P73" s="253">
        <f>O73*30.5</f>
        <v>101.66666666666667</v>
      </c>
    </row>
    <row r="74" spans="1:49" x14ac:dyDescent="0.2">
      <c r="M74" s="277"/>
      <c r="N74" s="271"/>
    </row>
    <row r="75" spans="1:49" x14ac:dyDescent="0.2">
      <c r="B75" s="312" t="s">
        <v>493</v>
      </c>
      <c r="C75" s="313">
        <v>1553</v>
      </c>
      <c r="M75" s="277"/>
      <c r="N75" s="271"/>
    </row>
    <row r="76" spans="1:49" x14ac:dyDescent="0.2">
      <c r="B76" s="312" t="s">
        <v>494</v>
      </c>
      <c r="C76" s="317">
        <v>145</v>
      </c>
      <c r="D76" s="300"/>
      <c r="E76" s="300"/>
      <c r="F76" s="300"/>
      <c r="G76" s="300"/>
      <c r="H76" s="300"/>
      <c r="I76" s="300"/>
      <c r="J76" s="302"/>
      <c r="K76" s="317"/>
      <c r="L76" s="318"/>
      <c r="M76" s="319"/>
      <c r="N76" s="271"/>
    </row>
    <row r="77" spans="1:49" x14ac:dyDescent="0.2">
      <c r="B77" s="312" t="s">
        <v>495</v>
      </c>
      <c r="C77" s="435">
        <f>C75/C76</f>
        <v>10.710344827586207</v>
      </c>
      <c r="D77" s="300"/>
      <c r="E77" s="300"/>
      <c r="F77" s="300"/>
      <c r="G77" s="300"/>
      <c r="H77" s="300"/>
      <c r="I77" s="300"/>
      <c r="J77" s="300"/>
      <c r="K77" s="300"/>
      <c r="L77" s="300"/>
      <c r="M77" s="319"/>
      <c r="N77" s="271"/>
    </row>
    <row r="78" spans="1:49" ht="15" x14ac:dyDescent="0.25">
      <c r="B78" s="312" t="s">
        <v>498</v>
      </c>
      <c r="C78" s="156"/>
      <c r="D78" s="156"/>
      <c r="E78" s="156"/>
      <c r="F78" s="156"/>
      <c r="G78" s="156"/>
      <c r="H78" s="300"/>
      <c r="I78" s="300"/>
      <c r="J78" s="300"/>
      <c r="K78" s="300"/>
      <c r="L78" s="300"/>
      <c r="M78" s="319"/>
      <c r="N78" s="271"/>
    </row>
    <row r="79" spans="1:49" x14ac:dyDescent="0.2">
      <c r="B79" s="312" t="s">
        <v>496</v>
      </c>
      <c r="C79" s="301">
        <f>573816</f>
        <v>573816</v>
      </c>
      <c r="D79" s="263"/>
      <c r="E79" s="301"/>
      <c r="F79" s="263"/>
      <c r="G79" s="301"/>
      <c r="H79" s="300"/>
      <c r="I79" s="300"/>
      <c r="J79" s="300"/>
      <c r="K79" s="300"/>
      <c r="L79" s="300"/>
      <c r="M79" s="319"/>
      <c r="N79" s="271"/>
    </row>
    <row r="80" spans="1:49" x14ac:dyDescent="0.2">
      <c r="B80" s="312" t="s">
        <v>501</v>
      </c>
      <c r="C80" s="301">
        <v>43710</v>
      </c>
      <c r="D80" s="263"/>
      <c r="E80" s="301"/>
      <c r="F80" s="263"/>
      <c r="G80" s="301"/>
      <c r="H80" s="300"/>
      <c r="I80" s="300"/>
      <c r="J80" s="300"/>
      <c r="K80" s="300"/>
      <c r="L80" s="300"/>
      <c r="M80" s="319"/>
      <c r="N80" s="271"/>
    </row>
    <row r="81" spans="2:15" x14ac:dyDescent="0.2">
      <c r="B81" s="312" t="s">
        <v>497</v>
      </c>
      <c r="C81" s="302">
        <f>(C79-C80)/C77</f>
        <v>49494.764971023826</v>
      </c>
      <c r="D81" s="300"/>
      <c r="E81" s="300"/>
      <c r="F81" s="300"/>
      <c r="G81" s="300"/>
      <c r="H81" s="300"/>
      <c r="I81" s="300"/>
      <c r="J81" s="300"/>
      <c r="K81" s="300"/>
      <c r="L81" s="300"/>
      <c r="M81" s="319"/>
      <c r="N81" s="271"/>
      <c r="O81" s="271"/>
    </row>
    <row r="82" spans="2:15" x14ac:dyDescent="0.2">
      <c r="C82" s="303"/>
      <c r="D82" s="300"/>
      <c r="E82" s="303"/>
      <c r="F82" s="300"/>
      <c r="G82" s="303"/>
      <c r="H82" s="300"/>
      <c r="I82" s="300"/>
      <c r="J82" s="300"/>
      <c r="K82" s="300"/>
      <c r="L82" s="300"/>
      <c r="M82" s="300"/>
      <c r="N82" s="271"/>
    </row>
    <row r="83" spans="2:15" x14ac:dyDescent="0.2">
      <c r="N83" s="271"/>
    </row>
    <row r="85" spans="2:15" x14ac:dyDescent="0.2">
      <c r="C85" s="265"/>
      <c r="D85" s="266"/>
      <c r="E85" s="265"/>
      <c r="F85" s="266"/>
      <c r="G85" s="265"/>
    </row>
    <row r="92" spans="2:15" x14ac:dyDescent="0.2">
      <c r="F92" s="313"/>
    </row>
    <row r="93" spans="2:15" x14ac:dyDescent="0.2">
      <c r="F93" s="313"/>
    </row>
    <row r="94" spans="2:15" x14ac:dyDescent="0.2">
      <c r="F94" s="313"/>
    </row>
    <row r="95" spans="2:15" x14ac:dyDescent="0.2">
      <c r="F95" s="313"/>
    </row>
    <row r="96" spans="2:15" x14ac:dyDescent="0.2">
      <c r="F96" s="313"/>
    </row>
    <row r="97" spans="6:6" x14ac:dyDescent="0.2">
      <c r="F97" s="313"/>
    </row>
    <row r="98" spans="6:6" x14ac:dyDescent="0.2">
      <c r="F98" s="313"/>
    </row>
    <row r="99" spans="6:6" x14ac:dyDescent="0.2">
      <c r="F99" s="313"/>
    </row>
    <row r="100" spans="6:6" x14ac:dyDescent="0.2">
      <c r="F100" s="313"/>
    </row>
    <row r="101" spans="6:6" x14ac:dyDescent="0.2">
      <c r="F101" s="313"/>
    </row>
    <row r="102" spans="6:6" x14ac:dyDescent="0.2">
      <c r="F102" s="313"/>
    </row>
    <row r="103" spans="6:6" x14ac:dyDescent="0.2">
      <c r="F103" s="313"/>
    </row>
  </sheetData>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W105"/>
  <sheetViews>
    <sheetView workbookViewId="0">
      <pane xSplit="1" ySplit="5" topLeftCell="S6" activePane="bottomRight" state="frozen"/>
      <selection pane="topRight" activeCell="B1" sqref="B1"/>
      <selection pane="bottomLeft" activeCell="A6" sqref="A6"/>
      <selection pane="bottomRight" activeCell="AD74" sqref="AD74"/>
    </sheetView>
  </sheetViews>
  <sheetFormatPr defaultColWidth="9.140625" defaultRowHeight="12.75" x14ac:dyDescent="0.2"/>
  <cols>
    <col min="1" max="1" width="25" style="312" bestFit="1" customWidth="1"/>
    <col min="2" max="2" width="14.140625" style="312" customWidth="1"/>
    <col min="3" max="16" width="13.85546875" style="312" bestFit="1" customWidth="1"/>
    <col min="17" max="17" width="14.85546875" style="312" bestFit="1" customWidth="1"/>
    <col min="18" max="24" width="13.85546875" style="312" bestFit="1" customWidth="1"/>
    <col min="25" max="37" width="14.5703125" style="312" bestFit="1" customWidth="1"/>
    <col min="38" max="16384" width="9.140625" style="312"/>
  </cols>
  <sheetData>
    <row r="1" spans="1:49" ht="18.75" thickBot="1" x14ac:dyDescent="0.3">
      <c r="A1" s="87" t="str">
        <f>Sensativities!B4</f>
        <v>CallFire</v>
      </c>
    </row>
    <row r="2" spans="1:49" x14ac:dyDescent="0.2">
      <c r="A2" s="246"/>
      <c r="B2" s="244"/>
      <c r="C2" s="244"/>
      <c r="D2" s="244"/>
      <c r="E2" s="244"/>
      <c r="F2" s="244"/>
      <c r="G2" s="244"/>
    </row>
    <row r="3" spans="1:49" ht="15.75" x14ac:dyDescent="0.25">
      <c r="A3" s="92" t="s">
        <v>69</v>
      </c>
    </row>
    <row r="4" spans="1:49" x14ac:dyDescent="0.2">
      <c r="B4" s="243">
        <f>Sensativities!D2</f>
        <v>40909</v>
      </c>
      <c r="C4" s="243">
        <f>Sensativities!E2</f>
        <v>40940</v>
      </c>
      <c r="D4" s="243">
        <f>Sensativities!F2</f>
        <v>40969</v>
      </c>
      <c r="E4" s="243">
        <f>Sensativities!G2</f>
        <v>41000</v>
      </c>
      <c r="F4" s="243">
        <f>Sensativities!H2</f>
        <v>41030</v>
      </c>
      <c r="G4" s="243">
        <f>Sensativities!I2</f>
        <v>41061</v>
      </c>
      <c r="H4" s="243">
        <f>Sensativities!J2</f>
        <v>41091</v>
      </c>
      <c r="I4" s="243">
        <f>Sensativities!K2</f>
        <v>41122</v>
      </c>
      <c r="J4" s="243">
        <f>Sensativities!L2</f>
        <v>41153</v>
      </c>
      <c r="K4" s="243">
        <f>Sensativities!M2</f>
        <v>41183</v>
      </c>
      <c r="L4" s="243">
        <f>Sensativities!N2</f>
        <v>41214</v>
      </c>
      <c r="M4" s="243">
        <f>Sensativities!O2</f>
        <v>41244</v>
      </c>
      <c r="N4" s="243">
        <f>Sensativities!P2</f>
        <v>41275</v>
      </c>
      <c r="O4" s="243">
        <f>Sensativities!Q2</f>
        <v>41306</v>
      </c>
      <c r="P4" s="243">
        <f>Sensativities!R2</f>
        <v>41334</v>
      </c>
      <c r="Q4" s="243">
        <f>Sensativities!S2</f>
        <v>41365</v>
      </c>
      <c r="R4" s="243">
        <f>Sensativities!T2</f>
        <v>41395</v>
      </c>
      <c r="S4" s="243">
        <f>Sensativities!U2</f>
        <v>41426</v>
      </c>
      <c r="T4" s="243">
        <f>Sensativities!V2</f>
        <v>41456</v>
      </c>
      <c r="U4" s="243">
        <f>Sensativities!W2</f>
        <v>41487</v>
      </c>
      <c r="V4" s="243">
        <f>Sensativities!X2</f>
        <v>41518</v>
      </c>
      <c r="W4" s="243">
        <f>Sensativities!Y2</f>
        <v>41548</v>
      </c>
      <c r="X4" s="243">
        <f>Sensativities!Z2</f>
        <v>41579</v>
      </c>
      <c r="Y4" s="243">
        <f>Sensativities!AA2</f>
        <v>41609</v>
      </c>
      <c r="Z4" s="243">
        <f>Sensativities!AB2</f>
        <v>41640</v>
      </c>
      <c r="AA4" s="243">
        <f>Sensativities!AC2</f>
        <v>41671</v>
      </c>
      <c r="AB4" s="243">
        <f>Sensativities!AD2</f>
        <v>41699</v>
      </c>
      <c r="AC4" s="243">
        <f>Sensativities!AE2</f>
        <v>41730</v>
      </c>
      <c r="AD4" s="243">
        <f>Sensativities!AF2</f>
        <v>41760</v>
      </c>
      <c r="AE4" s="243">
        <f>Sensativities!AG2</f>
        <v>41791</v>
      </c>
      <c r="AF4" s="243">
        <f>Sensativities!AH2</f>
        <v>41821</v>
      </c>
      <c r="AG4" s="243">
        <f>Sensativities!AI2</f>
        <v>41852</v>
      </c>
      <c r="AH4" s="243">
        <f>Sensativities!AJ2</f>
        <v>41883</v>
      </c>
      <c r="AI4" s="243">
        <f>Sensativities!AK2</f>
        <v>41913</v>
      </c>
      <c r="AJ4" s="243">
        <f>Sensativities!AL2</f>
        <v>41944</v>
      </c>
      <c r="AK4" s="243">
        <f>Sensativities!AM2</f>
        <v>41974</v>
      </c>
      <c r="AL4" s="243">
        <f>Sensativities!AN2</f>
        <v>42005</v>
      </c>
      <c r="AM4" s="243">
        <f>Sensativities!AO2</f>
        <v>42036</v>
      </c>
      <c r="AN4" s="243">
        <f>Sensativities!AP2</f>
        <v>42064</v>
      </c>
      <c r="AO4" s="243">
        <f>Sensativities!AQ2</f>
        <v>42095</v>
      </c>
      <c r="AP4" s="243">
        <f>Sensativities!AR2</f>
        <v>42125</v>
      </c>
      <c r="AQ4" s="243">
        <f>Sensativities!AS2</f>
        <v>42156</v>
      </c>
      <c r="AR4" s="243">
        <f>Sensativities!AT2</f>
        <v>42186</v>
      </c>
      <c r="AS4" s="243">
        <f>Sensativities!AU2</f>
        <v>42217</v>
      </c>
      <c r="AT4" s="243">
        <f>Sensativities!AV2</f>
        <v>42248</v>
      </c>
      <c r="AU4" s="243">
        <f>Sensativities!AW2</f>
        <v>42278</v>
      </c>
      <c r="AV4" s="243">
        <f>Sensativities!AX2</f>
        <v>42309</v>
      </c>
      <c r="AW4" s="243">
        <f>Sensativities!AY2</f>
        <v>42339</v>
      </c>
    </row>
    <row r="5" spans="1:49" x14ac:dyDescent="0.2">
      <c r="B5" s="260" t="s">
        <v>243</v>
      </c>
      <c r="C5" s="260" t="s">
        <v>243</v>
      </c>
      <c r="D5" s="260" t="s">
        <v>243</v>
      </c>
      <c r="E5" s="260" t="s">
        <v>243</v>
      </c>
      <c r="F5" s="260" t="s">
        <v>243</v>
      </c>
      <c r="G5" s="260" t="s">
        <v>243</v>
      </c>
      <c r="H5" s="260" t="s">
        <v>243</v>
      </c>
      <c r="I5" s="260" t="s">
        <v>243</v>
      </c>
      <c r="J5" s="260" t="s">
        <v>243</v>
      </c>
      <c r="K5" s="260" t="s">
        <v>243</v>
      </c>
      <c r="L5" s="260" t="s">
        <v>243</v>
      </c>
      <c r="M5" s="260" t="s">
        <v>243</v>
      </c>
      <c r="N5" s="260" t="s">
        <v>243</v>
      </c>
      <c r="O5" s="260" t="s">
        <v>243</v>
      </c>
      <c r="P5" s="260" t="s">
        <v>243</v>
      </c>
      <c r="Q5" s="260" t="s">
        <v>243</v>
      </c>
      <c r="R5" s="260" t="s">
        <v>243</v>
      </c>
      <c r="S5" s="260" t="s">
        <v>243</v>
      </c>
      <c r="T5" s="260" t="s">
        <v>243</v>
      </c>
      <c r="U5" s="260" t="s">
        <v>243</v>
      </c>
      <c r="V5" s="260" t="s">
        <v>243</v>
      </c>
      <c r="W5" s="260" t="s">
        <v>243</v>
      </c>
      <c r="X5" s="260" t="s">
        <v>243</v>
      </c>
      <c r="Y5" s="260" t="s">
        <v>243</v>
      </c>
      <c r="Z5" s="260" t="s">
        <v>243</v>
      </c>
      <c r="AA5" s="260" t="s">
        <v>243</v>
      </c>
      <c r="AB5" s="260" t="s">
        <v>243</v>
      </c>
    </row>
    <row r="6" spans="1:49" ht="15" x14ac:dyDescent="0.25">
      <c r="A6" s="626" t="s">
        <v>810</v>
      </c>
      <c r="B6" s="570">
        <v>136</v>
      </c>
      <c r="C6" s="570">
        <v>146</v>
      </c>
      <c r="D6" s="570">
        <v>138</v>
      </c>
      <c r="E6" s="570">
        <v>119</v>
      </c>
      <c r="F6" s="570">
        <v>134</v>
      </c>
      <c r="G6" s="570">
        <v>115</v>
      </c>
      <c r="H6" s="570">
        <v>108</v>
      </c>
      <c r="I6" s="570">
        <v>166</v>
      </c>
      <c r="J6" s="570">
        <v>175</v>
      </c>
      <c r="K6" s="570">
        <v>154</v>
      </c>
      <c r="L6" s="570">
        <v>132</v>
      </c>
      <c r="M6" s="570">
        <v>118</v>
      </c>
      <c r="N6" s="570">
        <v>144</v>
      </c>
      <c r="O6" s="570">
        <v>164</v>
      </c>
      <c r="P6" s="570">
        <v>145</v>
      </c>
      <c r="Q6" s="570">
        <v>156</v>
      </c>
      <c r="R6" s="570">
        <v>170</v>
      </c>
      <c r="S6" s="570">
        <v>175</v>
      </c>
      <c r="T6" s="570">
        <v>192</v>
      </c>
      <c r="U6" s="570">
        <v>221</v>
      </c>
      <c r="V6" s="570">
        <v>214</v>
      </c>
      <c r="W6" s="570">
        <v>209</v>
      </c>
      <c r="X6" s="570">
        <v>212</v>
      </c>
      <c r="Y6" s="570">
        <v>145</v>
      </c>
      <c r="Z6" s="570">
        <v>264</v>
      </c>
      <c r="AA6" s="244">
        <v>261</v>
      </c>
      <c r="AB6" s="244">
        <v>348</v>
      </c>
      <c r="AC6" s="244">
        <f>('CAC Update'!AF50)*(1-Sensativities!$B$53)*(Sensativities!$B$58)</f>
        <v>255.70285714285714</v>
      </c>
      <c r="AD6" s="244">
        <f>('CAC Update'!AG50)*(1-Sensativities!$B$53)*(Sensativities!$B$58)</f>
        <v>257.96571428571423</v>
      </c>
      <c r="AE6" s="244">
        <f>('CAC Update'!AH50)*(1-Sensativities!$B$53)*(Sensativities!$B$58)</f>
        <v>226.28571428571428</v>
      </c>
      <c r="AF6" s="244">
        <f>('CAC Update'!AI50)*(1-Sensativities!$B$53)*(Sensativities!$B$58)</f>
        <v>203.6571428571429</v>
      </c>
      <c r="AG6" s="244">
        <f>('CAC Update'!AJ50)*(1-Sensativities!$B$53)*(Sensativities!$B$58)</f>
        <v>181.02857142857144</v>
      </c>
      <c r="AH6" s="244">
        <f>('CAC Update'!AK50)*(1-Sensativities!$B$53)*(Sensativities!$B$58)</f>
        <v>181.02857142857144</v>
      </c>
      <c r="AI6" s="244">
        <f>('CAC Update'!AL50)*(1-Sensativities!$B$53)*(Sensativities!$B$58)</f>
        <v>267.32309430234369</v>
      </c>
      <c r="AJ6" s="244">
        <f>('CAC Update'!AM50)*(1-Sensativities!$B$53)*(Sensativities!$B$58)</f>
        <v>267.32309430234369</v>
      </c>
      <c r="AK6" s="244">
        <f>('CAC Update'!AN50)*(1-Sensativities!$B$53)*(Sensativities!$B$58)</f>
        <v>267.32309430234369</v>
      </c>
      <c r="AL6" s="244">
        <f>('CAC Update'!AO50)*(1-Sensativities!$B$53)*(Sensativities!$B$58)</f>
        <v>267.3</v>
      </c>
      <c r="AM6" s="244">
        <f>('CAC Update'!AP50)*(1-Sensativities!$B$53)*(Sensativities!$B$58)</f>
        <v>267.3</v>
      </c>
      <c r="AN6" s="244">
        <f>('CAC Update'!AQ50)*(1-Sensativities!$B$53)*(Sensativities!$B$58)</f>
        <v>267.3</v>
      </c>
      <c r="AO6" s="244">
        <f>('CAC Update'!AR50)*(1-Sensativities!$B$53)*(Sensativities!$B$58)</f>
        <v>267.3</v>
      </c>
      <c r="AP6" s="244">
        <f>('CAC Update'!AS50)*(1-Sensativities!$B$53)*(Sensativities!$B$58)</f>
        <v>267.3</v>
      </c>
      <c r="AQ6" s="244">
        <f>('CAC Update'!AT50)*(1-Sensativities!$B$53)*(Sensativities!$B$58)</f>
        <v>267.3</v>
      </c>
      <c r="AR6" s="244">
        <f>('CAC Update'!AU50)*(1-Sensativities!$B$53)*(Sensativities!$B$58)</f>
        <v>267.3</v>
      </c>
      <c r="AS6" s="244">
        <f>('CAC Update'!AV50)*(1-Sensativities!$B$53)*(Sensativities!$B$58)</f>
        <v>267.3</v>
      </c>
      <c r="AT6" s="244">
        <f>('CAC Update'!AW50)*(1-Sensativities!$B$53)*(Sensativities!$B$58)</f>
        <v>267.3</v>
      </c>
      <c r="AU6" s="244">
        <f>('CAC Update'!AX50)*(1-Sensativities!$B$53)*(Sensativities!$B$58)</f>
        <v>267.3</v>
      </c>
      <c r="AV6" s="244">
        <f>('CAC Update'!AY50)*(1-Sensativities!$B$53)*(Sensativities!$B$58)</f>
        <v>267.3</v>
      </c>
      <c r="AW6" s="244">
        <f>('CAC Update'!AZ50)*(1-Sensativities!$B$53)*(Sensativities!$B$58)</f>
        <v>267.3</v>
      </c>
    </row>
    <row r="7" spans="1:49" x14ac:dyDescent="0.2">
      <c r="B7" s="247"/>
      <c r="C7" s="247"/>
      <c r="D7" s="247"/>
      <c r="E7" s="247"/>
      <c r="F7" s="247"/>
      <c r="G7" s="247"/>
      <c r="H7" s="247"/>
      <c r="I7" s="247"/>
      <c r="J7" s="247"/>
      <c r="K7" s="247"/>
      <c r="L7" s="247"/>
      <c r="M7" s="247"/>
      <c r="N7" s="247"/>
      <c r="O7" s="247"/>
      <c r="P7" s="247"/>
      <c r="Q7" s="247"/>
      <c r="R7" s="247"/>
      <c r="S7" s="247"/>
      <c r="T7" s="247"/>
      <c r="U7" s="247"/>
      <c r="V7" s="247"/>
      <c r="W7" s="247"/>
      <c r="X7" s="247"/>
      <c r="Y7" s="247"/>
      <c r="Z7" s="247"/>
      <c r="AA7" s="247"/>
      <c r="AB7" s="247"/>
      <c r="AC7" s="247"/>
      <c r="AD7" s="247"/>
      <c r="AE7" s="247"/>
      <c r="AF7" s="247"/>
      <c r="AG7" s="247"/>
      <c r="AH7" s="247"/>
      <c r="AI7" s="247"/>
      <c r="AJ7" s="247"/>
      <c r="AK7" s="247"/>
    </row>
    <row r="8" spans="1:49" ht="15" x14ac:dyDescent="0.25">
      <c r="A8" s="626" t="s">
        <v>243</v>
      </c>
      <c r="B8" s="570"/>
      <c r="C8" s="570"/>
      <c r="D8" s="570"/>
      <c r="E8" s="570"/>
      <c r="F8" s="570"/>
      <c r="G8" s="570"/>
      <c r="H8" s="570"/>
      <c r="I8" s="570"/>
      <c r="J8" s="570"/>
      <c r="K8" s="570"/>
      <c r="L8" s="570"/>
      <c r="M8" s="570"/>
      <c r="N8" s="570"/>
      <c r="O8" s="570"/>
      <c r="P8" s="570"/>
      <c r="Q8" s="570"/>
      <c r="R8" s="570"/>
      <c r="S8" s="570"/>
      <c r="T8" s="570"/>
      <c r="U8" s="570"/>
      <c r="V8" s="570"/>
      <c r="W8" s="570"/>
    </row>
    <row r="9" spans="1:49" x14ac:dyDescent="0.2">
      <c r="N9" s="244"/>
    </row>
    <row r="10" spans="1:49" x14ac:dyDescent="0.2">
      <c r="B10" s="313"/>
      <c r="C10" s="313"/>
      <c r="D10" s="313"/>
      <c r="E10" s="313"/>
      <c r="F10" s="313"/>
      <c r="G10" s="313"/>
      <c r="H10" s="313"/>
      <c r="I10" s="313"/>
      <c r="J10" s="313"/>
      <c r="K10" s="313"/>
      <c r="L10" s="313"/>
      <c r="M10" s="313"/>
      <c r="N10" s="313"/>
      <c r="O10" s="313"/>
      <c r="P10" s="313"/>
      <c r="Q10" s="313"/>
      <c r="R10" s="313"/>
      <c r="S10" s="313"/>
      <c r="T10" s="313"/>
      <c r="U10" s="313"/>
      <c r="V10" s="313"/>
      <c r="W10" s="313"/>
      <c r="X10" s="313"/>
      <c r="Y10" s="313"/>
      <c r="Z10" s="313"/>
      <c r="AA10" s="313"/>
      <c r="AB10" s="313"/>
      <c r="AC10" s="313"/>
      <c r="AD10" s="313"/>
      <c r="AE10" s="313"/>
      <c r="AF10" s="313"/>
      <c r="AG10" s="313"/>
      <c r="AH10" s="313"/>
      <c r="AI10" s="313"/>
      <c r="AJ10" s="313"/>
      <c r="AK10" s="313"/>
    </row>
    <row r="11" spans="1:49" x14ac:dyDescent="0.2">
      <c r="B11" s="251"/>
      <c r="C11" s="251"/>
      <c r="D11" s="251"/>
      <c r="E11" s="251"/>
      <c r="F11" s="251"/>
      <c r="G11" s="251"/>
      <c r="H11" s="251"/>
      <c r="I11" s="251"/>
      <c r="J11" s="251"/>
      <c r="K11" s="251"/>
      <c r="L11" s="251"/>
      <c r="M11" s="251"/>
      <c r="N11" s="251"/>
      <c r="O11" s="251"/>
      <c r="P11" s="251"/>
      <c r="Q11" s="251"/>
      <c r="R11" s="251"/>
      <c r="S11" s="251"/>
      <c r="T11" s="251"/>
      <c r="U11" s="251"/>
      <c r="V11" s="251"/>
      <c r="W11" s="251"/>
      <c r="X11" s="251"/>
      <c r="Y11" s="251"/>
      <c r="Z11" s="313"/>
      <c r="AA11" s="313"/>
      <c r="AB11" s="313"/>
      <c r="AC11" s="313"/>
      <c r="AD11" s="313"/>
      <c r="AE11" s="313"/>
      <c r="AF11" s="313"/>
      <c r="AG11" s="313"/>
      <c r="AH11" s="313"/>
      <c r="AI11" s="313"/>
      <c r="AJ11" s="313"/>
      <c r="AK11" s="313"/>
    </row>
    <row r="12" spans="1:49" s="272" customFormat="1" x14ac:dyDescent="0.2">
      <c r="B12" s="273" t="s">
        <v>276</v>
      </c>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4"/>
      <c r="AA12" s="274"/>
      <c r="AB12" s="274"/>
      <c r="AC12" s="274"/>
      <c r="AD12" s="274"/>
      <c r="AE12" s="274"/>
      <c r="AF12" s="274"/>
      <c r="AG12" s="274"/>
      <c r="AH12" s="274"/>
      <c r="AI12" s="274"/>
      <c r="AJ12" s="274"/>
      <c r="AK12" s="274"/>
    </row>
    <row r="13" spans="1:49" x14ac:dyDescent="0.2">
      <c r="A13" s="312" t="s">
        <v>275</v>
      </c>
    </row>
    <row r="14" spans="1:49" x14ac:dyDescent="0.2">
      <c r="A14" s="269" t="s">
        <v>199</v>
      </c>
      <c r="B14" s="270"/>
      <c r="C14" s="313"/>
      <c r="D14" s="313"/>
      <c r="E14" s="313"/>
      <c r="F14" s="313"/>
      <c r="G14" s="313"/>
      <c r="H14" s="313"/>
      <c r="I14" s="313"/>
      <c r="J14" s="313"/>
      <c r="K14" s="313"/>
      <c r="L14" s="313"/>
      <c r="M14" s="313"/>
      <c r="N14" s="313">
        <f>((N$6*(Sensativities!P55*Sensativities!$B$54)))</f>
        <v>16057.439999999999</v>
      </c>
      <c r="O14" s="313">
        <f>((O$6*(Sensativities!Q55*Sensativities!$B$54)))</f>
        <v>22007.16</v>
      </c>
      <c r="P14" s="313">
        <f>((P$6*(Sensativities!R55*Sensativities!$B$54)))</f>
        <v>16168.949999999999</v>
      </c>
      <c r="Q14" s="313">
        <f>((Q$6*(Sensativities!S55*Sensativities!$B$54)))</f>
        <v>17395.559999999998</v>
      </c>
      <c r="R14" s="313">
        <f>((R$6*(Sensativities!T55*Sensativities!$B$54)))</f>
        <v>18956.699999999997</v>
      </c>
      <c r="S14" s="313">
        <f>((S$6*(Sensativities!U55*Sensativities!$B$54)))</f>
        <v>19514.25</v>
      </c>
      <c r="T14" s="313">
        <f>((T$6*(Sensativities!V55*Sensativities!$B$54)))</f>
        <v>21409.919999999998</v>
      </c>
      <c r="U14" s="313">
        <f>((U$6*(Sensativities!W55*Sensativities!$B$54)))</f>
        <v>24643.71</v>
      </c>
      <c r="V14" s="313">
        <f>((V$6*(Sensativities!X55*Sensativities!$B$54)))</f>
        <v>23863.14</v>
      </c>
      <c r="W14" s="313">
        <f>((W$6*(Sensativities!Y55*Sensativities!$B$54)))</f>
        <v>23305.589999999997</v>
      </c>
      <c r="X14" s="313">
        <f>((X$6*(Sensativities!Z55*Sensativities!$B$54)))</f>
        <v>23640.12</v>
      </c>
      <c r="Y14" s="313">
        <f>((Y$6*(Sensativities!AA55*Sensativities!$B$54)))</f>
        <v>16168.949999999999</v>
      </c>
      <c r="Z14" s="313">
        <f>((Z$6*(Sensativities!AB55*Sensativities!$B$54)))</f>
        <v>29438.639999999999</v>
      </c>
      <c r="AA14" s="313">
        <f>((AA$6*(Sensativities!AC55*Sensativities!$B$54)))</f>
        <v>29104.109999999997</v>
      </c>
      <c r="AB14" s="313">
        <f>((AB$6*(Sensativities!AD55*Sensativities!$B$54)))</f>
        <v>38805.479999999996</v>
      </c>
      <c r="AC14" s="313">
        <f>((AC$6*(Sensativities!AE55*Sensativities!$B$54)))</f>
        <v>28513.425599999999</v>
      </c>
      <c r="AD14" s="313">
        <f>((AD$6*(Sensativities!AF55*Sensativities!$B$54)))</f>
        <v>28765.756799999992</v>
      </c>
      <c r="AE14" s="313">
        <f>((AE$6*(Sensativities!AG55*Sensativities!$B$54)))</f>
        <v>25233.119999999995</v>
      </c>
      <c r="AF14" s="313">
        <f>((AF$6*(Sensativities!AH55*Sensativities!$B$54)))</f>
        <v>22709.808000000005</v>
      </c>
      <c r="AG14" s="313">
        <f>((AG$6*(Sensativities!AI55*Sensativities!$B$54)))</f>
        <v>20186.495999999999</v>
      </c>
      <c r="AH14" s="313">
        <f>((AH$6*(Sensativities!AJ55*Sensativities!$B$54)))</f>
        <v>20186.495999999999</v>
      </c>
      <c r="AI14" s="313">
        <f>((AI$6*(Sensativities!AK55*Sensativities!$B$54)))</f>
        <v>29809.198245654341</v>
      </c>
      <c r="AJ14" s="313">
        <f>((AJ$6*(Sensativities!AL55*Sensativities!$B$54)))</f>
        <v>29809.198245654341</v>
      </c>
      <c r="AK14" s="313">
        <f>((AK$6*(Sensativities!AM55*Sensativities!$B$54)))</f>
        <v>29809.198245654341</v>
      </c>
      <c r="AL14" s="608">
        <f>((AL$6*(Sensativities!AN55*Sensativities!$B$54)))</f>
        <v>29806.623</v>
      </c>
      <c r="AM14" s="608">
        <f>((AM$6*(Sensativities!AO55*Sensativities!$B$54)))</f>
        <v>29806.623</v>
      </c>
      <c r="AN14" s="608">
        <f>((AN$6*(Sensativities!AP55*Sensativities!$B$54)))</f>
        <v>29806.623</v>
      </c>
      <c r="AO14" s="608">
        <f>((AO$6*(Sensativities!AQ55*Sensativities!$B$54)))</f>
        <v>29806.623</v>
      </c>
      <c r="AP14" s="608">
        <f>((AP$6*(Sensativities!AR55*Sensativities!$B$54)))</f>
        <v>29806.623</v>
      </c>
      <c r="AQ14" s="608">
        <f>((AQ$6*(Sensativities!AS55*Sensativities!$B$54)))</f>
        <v>29806.623</v>
      </c>
      <c r="AR14" s="608">
        <f>((AR$6*(Sensativities!AT55*Sensativities!$B$54)))</f>
        <v>29806.623</v>
      </c>
      <c r="AS14" s="608">
        <f>((AS$6*(Sensativities!AU55*Sensativities!$B$54)))</f>
        <v>29806.623</v>
      </c>
      <c r="AT14" s="608">
        <f>((AT$6*(Sensativities!AV55*Sensativities!$B$54)))</f>
        <v>29806.623</v>
      </c>
      <c r="AU14" s="608">
        <f>((AU$6*(Sensativities!AW55*Sensativities!$B$54)))</f>
        <v>29806.623</v>
      </c>
      <c r="AV14" s="608">
        <f>((AV$6*(Sensativities!AX55*Sensativities!$B$54)))</f>
        <v>29806.623</v>
      </c>
      <c r="AW14" s="608">
        <f>((AW$6*(Sensativities!AY55*Sensativities!$B$54)))</f>
        <v>29806.623</v>
      </c>
    </row>
    <row r="15" spans="1:49" x14ac:dyDescent="0.2">
      <c r="A15" s="312" t="s">
        <v>200</v>
      </c>
      <c r="B15" s="313"/>
      <c r="C15" s="270"/>
      <c r="D15" s="313"/>
      <c r="E15" s="313"/>
      <c r="F15" s="313"/>
      <c r="G15" s="313"/>
      <c r="H15" s="313"/>
      <c r="I15" s="313"/>
      <c r="J15" s="313"/>
      <c r="K15" s="313"/>
      <c r="L15" s="313"/>
      <c r="M15" s="313"/>
      <c r="N15" s="313"/>
      <c r="O15" s="313">
        <f>N14</f>
        <v>16057.439999999999</v>
      </c>
      <c r="P15" s="313">
        <f>O14</f>
        <v>22007.16</v>
      </c>
      <c r="Q15" s="313">
        <f>P14</f>
        <v>16168.949999999999</v>
      </c>
      <c r="R15" s="313">
        <f>Q14</f>
        <v>17395.559999999998</v>
      </c>
      <c r="S15" s="313">
        <f>R14</f>
        <v>18956.699999999997</v>
      </c>
      <c r="T15" s="313">
        <f t="shared" ref="T15:AI26" si="0">S14</f>
        <v>19514.25</v>
      </c>
      <c r="U15" s="313">
        <f t="shared" si="0"/>
        <v>21409.919999999998</v>
      </c>
      <c r="V15" s="313">
        <f t="shared" si="0"/>
        <v>24643.71</v>
      </c>
      <c r="W15" s="313">
        <f t="shared" si="0"/>
        <v>23863.14</v>
      </c>
      <c r="X15" s="313">
        <f t="shared" si="0"/>
        <v>23305.589999999997</v>
      </c>
      <c r="Y15" s="313">
        <f t="shared" si="0"/>
        <v>23640.12</v>
      </c>
      <c r="Z15" s="313">
        <f t="shared" si="0"/>
        <v>16168.949999999999</v>
      </c>
      <c r="AA15" s="313">
        <f t="shared" si="0"/>
        <v>29438.639999999999</v>
      </c>
      <c r="AB15" s="313">
        <f t="shared" si="0"/>
        <v>29104.109999999997</v>
      </c>
      <c r="AC15" s="313">
        <f t="shared" si="0"/>
        <v>38805.479999999996</v>
      </c>
      <c r="AD15" s="313">
        <f t="shared" si="0"/>
        <v>28513.425599999999</v>
      </c>
      <c r="AE15" s="313">
        <f t="shared" si="0"/>
        <v>28765.756799999992</v>
      </c>
      <c r="AF15" s="313">
        <f t="shared" si="0"/>
        <v>25233.119999999995</v>
      </c>
      <c r="AG15" s="313">
        <f t="shared" si="0"/>
        <v>22709.808000000005</v>
      </c>
      <c r="AH15" s="313">
        <f t="shared" si="0"/>
        <v>20186.495999999999</v>
      </c>
      <c r="AI15" s="313">
        <f t="shared" si="0"/>
        <v>20186.495999999999</v>
      </c>
      <c r="AJ15" s="313">
        <f t="shared" ref="AJ15:AW30" si="1">AI14</f>
        <v>29809.198245654341</v>
      </c>
      <c r="AK15" s="313">
        <f t="shared" si="1"/>
        <v>29809.198245654341</v>
      </c>
      <c r="AL15" s="608">
        <f t="shared" si="1"/>
        <v>29809.198245654341</v>
      </c>
      <c r="AM15" s="608">
        <f t="shared" si="1"/>
        <v>29806.623</v>
      </c>
      <c r="AN15" s="608">
        <f t="shared" si="1"/>
        <v>29806.623</v>
      </c>
      <c r="AO15" s="608">
        <f t="shared" si="1"/>
        <v>29806.623</v>
      </c>
      <c r="AP15" s="608">
        <f t="shared" si="1"/>
        <v>29806.623</v>
      </c>
      <c r="AQ15" s="608">
        <f t="shared" si="1"/>
        <v>29806.623</v>
      </c>
      <c r="AR15" s="608">
        <f t="shared" si="1"/>
        <v>29806.623</v>
      </c>
      <c r="AS15" s="608">
        <f t="shared" si="1"/>
        <v>29806.623</v>
      </c>
      <c r="AT15" s="608">
        <f t="shared" si="1"/>
        <v>29806.623</v>
      </c>
      <c r="AU15" s="608">
        <f t="shared" si="1"/>
        <v>29806.623</v>
      </c>
      <c r="AV15" s="608">
        <f t="shared" si="1"/>
        <v>29806.623</v>
      </c>
      <c r="AW15" s="608">
        <f t="shared" si="1"/>
        <v>29806.623</v>
      </c>
    </row>
    <row r="16" spans="1:49" x14ac:dyDescent="0.2">
      <c r="A16" s="312" t="s">
        <v>201</v>
      </c>
      <c r="B16" s="313"/>
      <c r="C16" s="271"/>
      <c r="D16" s="270"/>
      <c r="E16" s="313"/>
      <c r="F16" s="313"/>
      <c r="G16" s="313"/>
      <c r="H16" s="313"/>
      <c r="I16" s="313"/>
      <c r="J16" s="313"/>
      <c r="K16" s="313"/>
      <c r="L16" s="313"/>
      <c r="M16" s="313"/>
      <c r="N16" s="313"/>
      <c r="O16" s="313"/>
      <c r="P16" s="313">
        <f>O15</f>
        <v>16057.439999999999</v>
      </c>
      <c r="Q16" s="313">
        <f>P15</f>
        <v>22007.16</v>
      </c>
      <c r="R16" s="313">
        <f t="shared" ref="R16:S18" si="2">Q15</f>
        <v>16168.949999999999</v>
      </c>
      <c r="S16" s="313">
        <f t="shared" si="2"/>
        <v>17395.559999999998</v>
      </c>
      <c r="T16" s="313">
        <f t="shared" si="0"/>
        <v>18956.699999999997</v>
      </c>
      <c r="U16" s="313">
        <f t="shared" si="0"/>
        <v>19514.25</v>
      </c>
      <c r="V16" s="313">
        <f t="shared" si="0"/>
        <v>21409.919999999998</v>
      </c>
      <c r="W16" s="313">
        <f t="shared" si="0"/>
        <v>24643.71</v>
      </c>
      <c r="X16" s="313">
        <f t="shared" si="0"/>
        <v>23863.14</v>
      </c>
      <c r="Y16" s="313">
        <f t="shared" si="0"/>
        <v>23305.589999999997</v>
      </c>
      <c r="Z16" s="313">
        <f t="shared" si="0"/>
        <v>23640.12</v>
      </c>
      <c r="AA16" s="313">
        <f t="shared" si="0"/>
        <v>16168.949999999999</v>
      </c>
      <c r="AB16" s="313">
        <f t="shared" si="0"/>
        <v>29438.639999999999</v>
      </c>
      <c r="AC16" s="313">
        <f t="shared" si="0"/>
        <v>29104.109999999997</v>
      </c>
      <c r="AD16" s="313">
        <f t="shared" si="0"/>
        <v>38805.479999999996</v>
      </c>
      <c r="AE16" s="313">
        <f t="shared" si="0"/>
        <v>28513.425599999999</v>
      </c>
      <c r="AF16" s="313">
        <f t="shared" si="0"/>
        <v>28765.756799999992</v>
      </c>
      <c r="AG16" s="313">
        <f t="shared" si="0"/>
        <v>25233.119999999995</v>
      </c>
      <c r="AH16" s="313">
        <f t="shared" si="0"/>
        <v>22709.808000000005</v>
      </c>
      <c r="AI16" s="313">
        <f t="shared" si="0"/>
        <v>20186.495999999999</v>
      </c>
      <c r="AJ16" s="313">
        <f t="shared" si="1"/>
        <v>20186.495999999999</v>
      </c>
      <c r="AK16" s="313">
        <f t="shared" si="1"/>
        <v>29809.198245654341</v>
      </c>
      <c r="AL16" s="608">
        <f t="shared" si="1"/>
        <v>29809.198245654341</v>
      </c>
      <c r="AM16" s="608">
        <f t="shared" si="1"/>
        <v>29809.198245654341</v>
      </c>
      <c r="AN16" s="608">
        <f t="shared" si="1"/>
        <v>29806.623</v>
      </c>
      <c r="AO16" s="608">
        <f t="shared" si="1"/>
        <v>29806.623</v>
      </c>
      <c r="AP16" s="608">
        <f t="shared" si="1"/>
        <v>29806.623</v>
      </c>
      <c r="AQ16" s="608">
        <f t="shared" si="1"/>
        <v>29806.623</v>
      </c>
      <c r="AR16" s="608">
        <f t="shared" si="1"/>
        <v>29806.623</v>
      </c>
      <c r="AS16" s="608">
        <f t="shared" si="1"/>
        <v>29806.623</v>
      </c>
      <c r="AT16" s="608">
        <f t="shared" si="1"/>
        <v>29806.623</v>
      </c>
      <c r="AU16" s="608">
        <f t="shared" si="1"/>
        <v>29806.623</v>
      </c>
      <c r="AV16" s="608">
        <f t="shared" si="1"/>
        <v>29806.623</v>
      </c>
      <c r="AW16" s="608">
        <f t="shared" si="1"/>
        <v>29806.623</v>
      </c>
    </row>
    <row r="17" spans="1:49" x14ac:dyDescent="0.2">
      <c r="A17" s="312" t="s">
        <v>202</v>
      </c>
      <c r="B17" s="313"/>
      <c r="C17" s="271"/>
      <c r="D17" s="271"/>
      <c r="E17" s="270"/>
      <c r="F17" s="313"/>
      <c r="G17" s="313"/>
      <c r="H17" s="313"/>
      <c r="I17" s="313"/>
      <c r="J17" s="313"/>
      <c r="K17" s="313"/>
      <c r="L17" s="313"/>
      <c r="M17" s="313"/>
      <c r="N17" s="313"/>
      <c r="O17" s="313"/>
      <c r="P17" s="313"/>
      <c r="Q17" s="313">
        <f>P16</f>
        <v>16057.439999999999</v>
      </c>
      <c r="R17" s="313">
        <f>Q16</f>
        <v>22007.16</v>
      </c>
      <c r="S17" s="313">
        <f t="shared" si="2"/>
        <v>16168.949999999999</v>
      </c>
      <c r="T17" s="313">
        <f t="shared" si="0"/>
        <v>17395.559999999998</v>
      </c>
      <c r="U17" s="313">
        <f t="shared" si="0"/>
        <v>18956.699999999997</v>
      </c>
      <c r="V17" s="313">
        <f t="shared" si="0"/>
        <v>19514.25</v>
      </c>
      <c r="W17" s="313">
        <f t="shared" si="0"/>
        <v>21409.919999999998</v>
      </c>
      <c r="X17" s="313">
        <f t="shared" si="0"/>
        <v>24643.71</v>
      </c>
      <c r="Y17" s="313">
        <f t="shared" si="0"/>
        <v>23863.14</v>
      </c>
      <c r="Z17" s="313">
        <f t="shared" si="0"/>
        <v>23305.589999999997</v>
      </c>
      <c r="AA17" s="313">
        <f t="shared" si="0"/>
        <v>23640.12</v>
      </c>
      <c r="AB17" s="313">
        <f t="shared" si="0"/>
        <v>16168.949999999999</v>
      </c>
      <c r="AC17" s="313">
        <f t="shared" si="0"/>
        <v>29438.639999999999</v>
      </c>
      <c r="AD17" s="313">
        <f t="shared" si="0"/>
        <v>29104.109999999997</v>
      </c>
      <c r="AE17" s="313">
        <f t="shared" si="0"/>
        <v>38805.479999999996</v>
      </c>
      <c r="AF17" s="313">
        <f t="shared" si="0"/>
        <v>28513.425599999999</v>
      </c>
      <c r="AG17" s="313">
        <f t="shared" si="0"/>
        <v>28765.756799999992</v>
      </c>
      <c r="AH17" s="313">
        <f t="shared" si="0"/>
        <v>25233.119999999995</v>
      </c>
      <c r="AI17" s="313">
        <f t="shared" si="0"/>
        <v>22709.808000000005</v>
      </c>
      <c r="AJ17" s="313">
        <f t="shared" si="1"/>
        <v>20186.495999999999</v>
      </c>
      <c r="AK17" s="313">
        <f t="shared" si="1"/>
        <v>20186.495999999999</v>
      </c>
      <c r="AL17" s="608">
        <f t="shared" si="1"/>
        <v>29809.198245654341</v>
      </c>
      <c r="AM17" s="608">
        <f t="shared" si="1"/>
        <v>29809.198245654341</v>
      </c>
      <c r="AN17" s="608">
        <f t="shared" si="1"/>
        <v>29809.198245654341</v>
      </c>
      <c r="AO17" s="608">
        <f t="shared" si="1"/>
        <v>29806.623</v>
      </c>
      <c r="AP17" s="608">
        <f t="shared" si="1"/>
        <v>29806.623</v>
      </c>
      <c r="AQ17" s="608">
        <f t="shared" si="1"/>
        <v>29806.623</v>
      </c>
      <c r="AR17" s="608">
        <f t="shared" si="1"/>
        <v>29806.623</v>
      </c>
      <c r="AS17" s="608">
        <f t="shared" si="1"/>
        <v>29806.623</v>
      </c>
      <c r="AT17" s="608">
        <f t="shared" si="1"/>
        <v>29806.623</v>
      </c>
      <c r="AU17" s="608">
        <f t="shared" si="1"/>
        <v>29806.623</v>
      </c>
      <c r="AV17" s="608">
        <f t="shared" si="1"/>
        <v>29806.623</v>
      </c>
      <c r="AW17" s="608">
        <f t="shared" si="1"/>
        <v>29806.623</v>
      </c>
    </row>
    <row r="18" spans="1:49" x14ac:dyDescent="0.2">
      <c r="A18" s="312" t="s">
        <v>203</v>
      </c>
      <c r="B18" s="313"/>
      <c r="C18" s="271"/>
      <c r="D18" s="271"/>
      <c r="E18" s="271"/>
      <c r="F18" s="270"/>
      <c r="G18" s="313"/>
      <c r="H18" s="313"/>
      <c r="I18" s="313"/>
      <c r="J18" s="313"/>
      <c r="K18" s="313"/>
      <c r="L18" s="313"/>
      <c r="M18" s="313"/>
      <c r="N18" s="313"/>
      <c r="O18" s="313"/>
      <c r="P18" s="313"/>
      <c r="Q18" s="313"/>
      <c r="R18" s="313">
        <f>Q17</f>
        <v>16057.439999999999</v>
      </c>
      <c r="S18" s="313">
        <f t="shared" si="2"/>
        <v>22007.16</v>
      </c>
      <c r="T18" s="313">
        <f t="shared" si="0"/>
        <v>16168.949999999999</v>
      </c>
      <c r="U18" s="313">
        <f t="shared" si="0"/>
        <v>17395.559999999998</v>
      </c>
      <c r="V18" s="313">
        <f t="shared" si="0"/>
        <v>18956.699999999997</v>
      </c>
      <c r="W18" s="313">
        <f t="shared" si="0"/>
        <v>19514.25</v>
      </c>
      <c r="X18" s="313">
        <f t="shared" si="0"/>
        <v>21409.919999999998</v>
      </c>
      <c r="Y18" s="313">
        <f t="shared" si="0"/>
        <v>24643.71</v>
      </c>
      <c r="Z18" s="313">
        <f t="shared" si="0"/>
        <v>23863.14</v>
      </c>
      <c r="AA18" s="313">
        <f t="shared" si="0"/>
        <v>23305.589999999997</v>
      </c>
      <c r="AB18" s="313">
        <f t="shared" si="0"/>
        <v>23640.12</v>
      </c>
      <c r="AC18" s="313">
        <f t="shared" si="0"/>
        <v>16168.949999999999</v>
      </c>
      <c r="AD18" s="313">
        <f t="shared" si="0"/>
        <v>29438.639999999999</v>
      </c>
      <c r="AE18" s="313">
        <f t="shared" si="0"/>
        <v>29104.109999999997</v>
      </c>
      <c r="AF18" s="313">
        <f t="shared" si="0"/>
        <v>38805.479999999996</v>
      </c>
      <c r="AG18" s="313">
        <f t="shared" si="0"/>
        <v>28513.425599999999</v>
      </c>
      <c r="AH18" s="313">
        <f t="shared" si="0"/>
        <v>28765.756799999992</v>
      </c>
      <c r="AI18" s="313">
        <f t="shared" si="0"/>
        <v>25233.119999999995</v>
      </c>
      <c r="AJ18" s="313">
        <f t="shared" si="1"/>
        <v>22709.808000000005</v>
      </c>
      <c r="AK18" s="313">
        <f t="shared" si="1"/>
        <v>20186.495999999999</v>
      </c>
      <c r="AL18" s="608">
        <f t="shared" si="1"/>
        <v>20186.495999999999</v>
      </c>
      <c r="AM18" s="608">
        <f t="shared" si="1"/>
        <v>29809.198245654341</v>
      </c>
      <c r="AN18" s="608">
        <f t="shared" si="1"/>
        <v>29809.198245654341</v>
      </c>
      <c r="AO18" s="608">
        <f t="shared" si="1"/>
        <v>29809.198245654341</v>
      </c>
      <c r="AP18" s="608">
        <f t="shared" si="1"/>
        <v>29806.623</v>
      </c>
      <c r="AQ18" s="608">
        <f t="shared" si="1"/>
        <v>29806.623</v>
      </c>
      <c r="AR18" s="608">
        <f t="shared" si="1"/>
        <v>29806.623</v>
      </c>
      <c r="AS18" s="608">
        <f t="shared" si="1"/>
        <v>29806.623</v>
      </c>
      <c r="AT18" s="608">
        <f t="shared" si="1"/>
        <v>29806.623</v>
      </c>
      <c r="AU18" s="608">
        <f t="shared" si="1"/>
        <v>29806.623</v>
      </c>
      <c r="AV18" s="608">
        <f t="shared" si="1"/>
        <v>29806.623</v>
      </c>
      <c r="AW18" s="608">
        <f t="shared" si="1"/>
        <v>29806.623</v>
      </c>
    </row>
    <row r="19" spans="1:49" x14ac:dyDescent="0.2">
      <c r="A19" s="312" t="s">
        <v>267</v>
      </c>
      <c r="B19" s="313"/>
      <c r="C19" s="271"/>
      <c r="D19" s="271"/>
      <c r="E19" s="271"/>
      <c r="F19" s="271"/>
      <c r="G19" s="270"/>
      <c r="H19" s="313"/>
      <c r="I19" s="313"/>
      <c r="J19" s="313"/>
      <c r="K19" s="313"/>
      <c r="L19" s="313"/>
      <c r="M19" s="313"/>
      <c r="N19" s="313"/>
      <c r="O19" s="313"/>
      <c r="P19" s="313"/>
      <c r="Q19" s="313"/>
      <c r="R19" s="313"/>
      <c r="S19" s="313">
        <f>R18</f>
        <v>16057.439999999999</v>
      </c>
      <c r="T19" s="313">
        <f t="shared" si="0"/>
        <v>22007.16</v>
      </c>
      <c r="U19" s="313">
        <f t="shared" si="0"/>
        <v>16168.949999999999</v>
      </c>
      <c r="V19" s="313">
        <f t="shared" si="0"/>
        <v>17395.559999999998</v>
      </c>
      <c r="W19" s="313">
        <f t="shared" si="0"/>
        <v>18956.699999999997</v>
      </c>
      <c r="X19" s="313">
        <f t="shared" si="0"/>
        <v>19514.25</v>
      </c>
      <c r="Y19" s="313">
        <f t="shared" si="0"/>
        <v>21409.919999999998</v>
      </c>
      <c r="Z19" s="313">
        <f t="shared" si="0"/>
        <v>24643.71</v>
      </c>
      <c r="AA19" s="313">
        <f t="shared" si="0"/>
        <v>23863.14</v>
      </c>
      <c r="AB19" s="313">
        <f t="shared" si="0"/>
        <v>23305.589999999997</v>
      </c>
      <c r="AC19" s="313">
        <f t="shared" si="0"/>
        <v>23640.12</v>
      </c>
      <c r="AD19" s="313">
        <f t="shared" si="0"/>
        <v>16168.949999999999</v>
      </c>
      <c r="AE19" s="313">
        <f t="shared" si="0"/>
        <v>29438.639999999999</v>
      </c>
      <c r="AF19" s="313">
        <f t="shared" si="0"/>
        <v>29104.109999999997</v>
      </c>
      <c r="AG19" s="313">
        <f t="shared" si="0"/>
        <v>38805.479999999996</v>
      </c>
      <c r="AH19" s="313">
        <f t="shared" si="0"/>
        <v>28513.425599999999</v>
      </c>
      <c r="AI19" s="313">
        <f t="shared" si="0"/>
        <v>28765.756799999992</v>
      </c>
      <c r="AJ19" s="313">
        <f t="shared" si="1"/>
        <v>25233.119999999995</v>
      </c>
      <c r="AK19" s="313">
        <f t="shared" si="1"/>
        <v>22709.808000000005</v>
      </c>
      <c r="AL19" s="608">
        <f t="shared" si="1"/>
        <v>20186.495999999999</v>
      </c>
      <c r="AM19" s="608">
        <f t="shared" si="1"/>
        <v>20186.495999999999</v>
      </c>
      <c r="AN19" s="608">
        <f t="shared" si="1"/>
        <v>29809.198245654341</v>
      </c>
      <c r="AO19" s="608">
        <f t="shared" si="1"/>
        <v>29809.198245654341</v>
      </c>
      <c r="AP19" s="608">
        <f t="shared" si="1"/>
        <v>29809.198245654341</v>
      </c>
      <c r="AQ19" s="608">
        <f t="shared" si="1"/>
        <v>29806.623</v>
      </c>
      <c r="AR19" s="608">
        <f t="shared" si="1"/>
        <v>29806.623</v>
      </c>
      <c r="AS19" s="608">
        <f t="shared" si="1"/>
        <v>29806.623</v>
      </c>
      <c r="AT19" s="608">
        <f t="shared" si="1"/>
        <v>29806.623</v>
      </c>
      <c r="AU19" s="608">
        <f t="shared" si="1"/>
        <v>29806.623</v>
      </c>
      <c r="AV19" s="608">
        <f t="shared" si="1"/>
        <v>29806.623</v>
      </c>
      <c r="AW19" s="608">
        <f t="shared" si="1"/>
        <v>29806.623</v>
      </c>
    </row>
    <row r="20" spans="1:49" x14ac:dyDescent="0.2">
      <c r="A20" s="312" t="s">
        <v>268</v>
      </c>
      <c r="B20" s="313"/>
      <c r="C20" s="271"/>
      <c r="D20" s="271"/>
      <c r="E20" s="271"/>
      <c r="F20" s="271"/>
      <c r="G20" s="271"/>
      <c r="H20" s="270"/>
      <c r="I20" s="313"/>
      <c r="J20" s="313"/>
      <c r="K20" s="313"/>
      <c r="L20" s="313"/>
      <c r="M20" s="313"/>
      <c r="N20" s="313"/>
      <c r="O20" s="313"/>
      <c r="P20" s="313"/>
      <c r="Q20" s="313"/>
      <c r="R20" s="313"/>
      <c r="S20" s="313"/>
      <c r="T20" s="313">
        <f>S19</f>
        <v>16057.439999999999</v>
      </c>
      <c r="U20" s="313">
        <f t="shared" si="0"/>
        <v>22007.16</v>
      </c>
      <c r="V20" s="313">
        <f t="shared" si="0"/>
        <v>16168.949999999999</v>
      </c>
      <c r="W20" s="313">
        <f t="shared" si="0"/>
        <v>17395.559999999998</v>
      </c>
      <c r="X20" s="313">
        <f t="shared" si="0"/>
        <v>18956.699999999997</v>
      </c>
      <c r="Y20" s="313">
        <f t="shared" si="0"/>
        <v>19514.25</v>
      </c>
      <c r="Z20" s="313">
        <f t="shared" si="0"/>
        <v>21409.919999999998</v>
      </c>
      <c r="AA20" s="313">
        <f t="shared" si="0"/>
        <v>24643.71</v>
      </c>
      <c r="AB20" s="313">
        <f t="shared" si="0"/>
        <v>23863.14</v>
      </c>
      <c r="AC20" s="313">
        <f t="shared" si="0"/>
        <v>23305.589999999997</v>
      </c>
      <c r="AD20" s="313">
        <f t="shared" si="0"/>
        <v>23640.12</v>
      </c>
      <c r="AE20" s="313">
        <f t="shared" si="0"/>
        <v>16168.949999999999</v>
      </c>
      <c r="AF20" s="313">
        <f t="shared" si="0"/>
        <v>29438.639999999999</v>
      </c>
      <c r="AG20" s="313">
        <f t="shared" si="0"/>
        <v>29104.109999999997</v>
      </c>
      <c r="AH20" s="313">
        <f t="shared" si="0"/>
        <v>38805.479999999996</v>
      </c>
      <c r="AI20" s="313">
        <f t="shared" si="0"/>
        <v>28513.425599999999</v>
      </c>
      <c r="AJ20" s="313">
        <f t="shared" si="1"/>
        <v>28765.756799999992</v>
      </c>
      <c r="AK20" s="313">
        <f t="shared" si="1"/>
        <v>25233.119999999995</v>
      </c>
      <c r="AL20" s="608">
        <f t="shared" si="1"/>
        <v>22709.808000000005</v>
      </c>
      <c r="AM20" s="608">
        <f t="shared" si="1"/>
        <v>20186.495999999999</v>
      </c>
      <c r="AN20" s="608">
        <f t="shared" si="1"/>
        <v>20186.495999999999</v>
      </c>
      <c r="AO20" s="608">
        <f t="shared" si="1"/>
        <v>29809.198245654341</v>
      </c>
      <c r="AP20" s="608">
        <f t="shared" si="1"/>
        <v>29809.198245654341</v>
      </c>
      <c r="AQ20" s="608">
        <f t="shared" si="1"/>
        <v>29809.198245654341</v>
      </c>
      <c r="AR20" s="608">
        <f t="shared" si="1"/>
        <v>29806.623</v>
      </c>
      <c r="AS20" s="608">
        <f t="shared" si="1"/>
        <v>29806.623</v>
      </c>
      <c r="AT20" s="608">
        <f t="shared" si="1"/>
        <v>29806.623</v>
      </c>
      <c r="AU20" s="608">
        <f t="shared" si="1"/>
        <v>29806.623</v>
      </c>
      <c r="AV20" s="608">
        <f t="shared" si="1"/>
        <v>29806.623</v>
      </c>
      <c r="AW20" s="608">
        <f t="shared" si="1"/>
        <v>29806.623</v>
      </c>
    </row>
    <row r="21" spans="1:49" x14ac:dyDescent="0.2">
      <c r="A21" s="312" t="s">
        <v>269</v>
      </c>
      <c r="B21" s="313"/>
      <c r="C21" s="271"/>
      <c r="D21" s="271"/>
      <c r="E21" s="271"/>
      <c r="F21" s="271"/>
      <c r="G21" s="271"/>
      <c r="H21" s="271"/>
      <c r="I21" s="270"/>
      <c r="J21" s="313"/>
      <c r="K21" s="313"/>
      <c r="L21" s="313"/>
      <c r="M21" s="313"/>
      <c r="N21" s="313"/>
      <c r="O21" s="313"/>
      <c r="P21" s="313"/>
      <c r="Q21" s="313"/>
      <c r="R21" s="313"/>
      <c r="S21" s="313"/>
      <c r="T21" s="313"/>
      <c r="U21" s="313">
        <f>T20</f>
        <v>16057.439999999999</v>
      </c>
      <c r="V21" s="313">
        <f t="shared" si="0"/>
        <v>22007.16</v>
      </c>
      <c r="W21" s="313">
        <f t="shared" si="0"/>
        <v>16168.949999999999</v>
      </c>
      <c r="X21" s="313">
        <f t="shared" si="0"/>
        <v>17395.559999999998</v>
      </c>
      <c r="Y21" s="313">
        <f t="shared" si="0"/>
        <v>18956.699999999997</v>
      </c>
      <c r="Z21" s="313">
        <f t="shared" si="0"/>
        <v>19514.25</v>
      </c>
      <c r="AA21" s="313">
        <f t="shared" si="0"/>
        <v>21409.919999999998</v>
      </c>
      <c r="AB21" s="313">
        <f t="shared" si="0"/>
        <v>24643.71</v>
      </c>
      <c r="AC21" s="313">
        <f t="shared" si="0"/>
        <v>23863.14</v>
      </c>
      <c r="AD21" s="313">
        <f t="shared" si="0"/>
        <v>23305.589999999997</v>
      </c>
      <c r="AE21" s="313">
        <f t="shared" si="0"/>
        <v>23640.12</v>
      </c>
      <c r="AF21" s="313">
        <f t="shared" si="0"/>
        <v>16168.949999999999</v>
      </c>
      <c r="AG21" s="313">
        <f t="shared" si="0"/>
        <v>29438.639999999999</v>
      </c>
      <c r="AH21" s="313">
        <f t="shared" si="0"/>
        <v>29104.109999999997</v>
      </c>
      <c r="AI21" s="313">
        <f t="shared" si="0"/>
        <v>38805.479999999996</v>
      </c>
      <c r="AJ21" s="313">
        <f t="shared" si="1"/>
        <v>28513.425599999999</v>
      </c>
      <c r="AK21" s="313">
        <f t="shared" si="1"/>
        <v>28765.756799999992</v>
      </c>
      <c r="AL21" s="608">
        <f t="shared" si="1"/>
        <v>25233.119999999995</v>
      </c>
      <c r="AM21" s="608">
        <f t="shared" si="1"/>
        <v>22709.808000000005</v>
      </c>
      <c r="AN21" s="608">
        <f t="shared" si="1"/>
        <v>20186.495999999999</v>
      </c>
      <c r="AO21" s="608">
        <f t="shared" si="1"/>
        <v>20186.495999999999</v>
      </c>
      <c r="AP21" s="608">
        <f t="shared" si="1"/>
        <v>29809.198245654341</v>
      </c>
      <c r="AQ21" s="608">
        <f t="shared" si="1"/>
        <v>29809.198245654341</v>
      </c>
      <c r="AR21" s="608">
        <f t="shared" si="1"/>
        <v>29809.198245654341</v>
      </c>
      <c r="AS21" s="608">
        <f t="shared" si="1"/>
        <v>29806.623</v>
      </c>
      <c r="AT21" s="608">
        <f t="shared" si="1"/>
        <v>29806.623</v>
      </c>
      <c r="AU21" s="608">
        <f t="shared" si="1"/>
        <v>29806.623</v>
      </c>
      <c r="AV21" s="608">
        <f t="shared" si="1"/>
        <v>29806.623</v>
      </c>
      <c r="AW21" s="608">
        <f t="shared" si="1"/>
        <v>29806.623</v>
      </c>
    </row>
    <row r="22" spans="1:49" x14ac:dyDescent="0.2">
      <c r="A22" s="312" t="s">
        <v>270</v>
      </c>
      <c r="B22" s="313"/>
      <c r="C22" s="271"/>
      <c r="D22" s="271"/>
      <c r="E22" s="271"/>
      <c r="F22" s="271"/>
      <c r="G22" s="271"/>
      <c r="H22" s="271"/>
      <c r="I22" s="271"/>
      <c r="J22" s="270"/>
      <c r="K22" s="313"/>
      <c r="L22" s="313"/>
      <c r="M22" s="313"/>
      <c r="N22" s="313"/>
      <c r="O22" s="313"/>
      <c r="P22" s="313"/>
      <c r="Q22" s="313"/>
      <c r="R22" s="313"/>
      <c r="S22" s="313"/>
      <c r="T22" s="313"/>
      <c r="U22" s="313"/>
      <c r="V22" s="313">
        <f>U21</f>
        <v>16057.439999999999</v>
      </c>
      <c r="W22" s="313">
        <f t="shared" si="0"/>
        <v>22007.16</v>
      </c>
      <c r="X22" s="313">
        <f t="shared" si="0"/>
        <v>16168.949999999999</v>
      </c>
      <c r="Y22" s="313">
        <f t="shared" si="0"/>
        <v>17395.559999999998</v>
      </c>
      <c r="Z22" s="313">
        <f t="shared" si="0"/>
        <v>18956.699999999997</v>
      </c>
      <c r="AA22" s="313">
        <f t="shared" si="0"/>
        <v>19514.25</v>
      </c>
      <c r="AB22" s="313">
        <f t="shared" si="0"/>
        <v>21409.919999999998</v>
      </c>
      <c r="AC22" s="313">
        <f t="shared" si="0"/>
        <v>24643.71</v>
      </c>
      <c r="AD22" s="313">
        <f t="shared" si="0"/>
        <v>23863.14</v>
      </c>
      <c r="AE22" s="313">
        <f t="shared" si="0"/>
        <v>23305.589999999997</v>
      </c>
      <c r="AF22" s="313">
        <f t="shared" si="0"/>
        <v>23640.12</v>
      </c>
      <c r="AG22" s="313">
        <f t="shared" si="0"/>
        <v>16168.949999999999</v>
      </c>
      <c r="AH22" s="313">
        <f t="shared" si="0"/>
        <v>29438.639999999999</v>
      </c>
      <c r="AI22" s="313">
        <f t="shared" si="0"/>
        <v>29104.109999999997</v>
      </c>
      <c r="AJ22" s="313">
        <f t="shared" si="1"/>
        <v>38805.479999999996</v>
      </c>
      <c r="AK22" s="313">
        <f t="shared" si="1"/>
        <v>28513.425599999999</v>
      </c>
      <c r="AL22" s="608">
        <f t="shared" si="1"/>
        <v>28765.756799999992</v>
      </c>
      <c r="AM22" s="608">
        <f t="shared" si="1"/>
        <v>25233.119999999995</v>
      </c>
      <c r="AN22" s="608">
        <f t="shared" si="1"/>
        <v>22709.808000000005</v>
      </c>
      <c r="AO22" s="608">
        <f t="shared" si="1"/>
        <v>20186.495999999999</v>
      </c>
      <c r="AP22" s="608">
        <f t="shared" si="1"/>
        <v>20186.495999999999</v>
      </c>
      <c r="AQ22" s="608">
        <f t="shared" si="1"/>
        <v>29809.198245654341</v>
      </c>
      <c r="AR22" s="608">
        <f t="shared" si="1"/>
        <v>29809.198245654341</v>
      </c>
      <c r="AS22" s="608">
        <f t="shared" si="1"/>
        <v>29809.198245654341</v>
      </c>
      <c r="AT22" s="608">
        <f t="shared" si="1"/>
        <v>29806.623</v>
      </c>
      <c r="AU22" s="608">
        <f t="shared" si="1"/>
        <v>29806.623</v>
      </c>
      <c r="AV22" s="608">
        <f t="shared" si="1"/>
        <v>29806.623</v>
      </c>
      <c r="AW22" s="608">
        <f t="shared" si="1"/>
        <v>29806.623</v>
      </c>
    </row>
    <row r="23" spans="1:49" x14ac:dyDescent="0.2">
      <c r="A23" s="312" t="s">
        <v>271</v>
      </c>
      <c r="B23" s="313"/>
      <c r="C23" s="271"/>
      <c r="D23" s="271"/>
      <c r="E23" s="271"/>
      <c r="F23" s="271"/>
      <c r="G23" s="271"/>
      <c r="H23" s="271"/>
      <c r="I23" s="271"/>
      <c r="J23" s="271"/>
      <c r="K23" s="270"/>
      <c r="L23" s="313"/>
      <c r="M23" s="313"/>
      <c r="N23" s="313"/>
      <c r="O23" s="313"/>
      <c r="P23" s="313"/>
      <c r="Q23" s="313"/>
      <c r="R23" s="313"/>
      <c r="S23" s="313"/>
      <c r="T23" s="313"/>
      <c r="U23" s="313"/>
      <c r="V23" s="313"/>
      <c r="W23" s="313">
        <f>V22</f>
        <v>16057.439999999999</v>
      </c>
      <c r="X23" s="313">
        <f t="shared" si="0"/>
        <v>22007.16</v>
      </c>
      <c r="Y23" s="313">
        <f t="shared" si="0"/>
        <v>16168.949999999999</v>
      </c>
      <c r="Z23" s="313">
        <f t="shared" si="0"/>
        <v>17395.559999999998</v>
      </c>
      <c r="AA23" s="313">
        <f t="shared" si="0"/>
        <v>18956.699999999997</v>
      </c>
      <c r="AB23" s="313">
        <f t="shared" si="0"/>
        <v>19514.25</v>
      </c>
      <c r="AC23" s="313">
        <f t="shared" si="0"/>
        <v>21409.919999999998</v>
      </c>
      <c r="AD23" s="313">
        <f t="shared" si="0"/>
        <v>24643.71</v>
      </c>
      <c r="AE23" s="313">
        <f t="shared" si="0"/>
        <v>23863.14</v>
      </c>
      <c r="AF23" s="313">
        <f t="shared" si="0"/>
        <v>23305.589999999997</v>
      </c>
      <c r="AG23" s="313">
        <f t="shared" si="0"/>
        <v>23640.12</v>
      </c>
      <c r="AH23" s="313">
        <f t="shared" si="0"/>
        <v>16168.949999999999</v>
      </c>
      <c r="AI23" s="313">
        <f t="shared" si="0"/>
        <v>29438.639999999999</v>
      </c>
      <c r="AJ23" s="313">
        <f t="shared" si="1"/>
        <v>29104.109999999997</v>
      </c>
      <c r="AK23" s="313">
        <f t="shared" si="1"/>
        <v>38805.479999999996</v>
      </c>
      <c r="AL23" s="608">
        <f t="shared" si="1"/>
        <v>28513.425599999999</v>
      </c>
      <c r="AM23" s="608">
        <f t="shared" si="1"/>
        <v>28765.756799999992</v>
      </c>
      <c r="AN23" s="608">
        <f t="shared" si="1"/>
        <v>25233.119999999995</v>
      </c>
      <c r="AO23" s="608">
        <f t="shared" si="1"/>
        <v>22709.808000000005</v>
      </c>
      <c r="AP23" s="608">
        <f t="shared" si="1"/>
        <v>20186.495999999999</v>
      </c>
      <c r="AQ23" s="608">
        <f t="shared" si="1"/>
        <v>20186.495999999999</v>
      </c>
      <c r="AR23" s="608">
        <f t="shared" si="1"/>
        <v>29809.198245654341</v>
      </c>
      <c r="AS23" s="608">
        <f t="shared" si="1"/>
        <v>29809.198245654341</v>
      </c>
      <c r="AT23" s="608">
        <f t="shared" si="1"/>
        <v>29809.198245654341</v>
      </c>
      <c r="AU23" s="608">
        <f t="shared" si="1"/>
        <v>29806.623</v>
      </c>
      <c r="AV23" s="608">
        <f t="shared" si="1"/>
        <v>29806.623</v>
      </c>
      <c r="AW23" s="608">
        <f t="shared" si="1"/>
        <v>29806.623</v>
      </c>
    </row>
    <row r="24" spans="1:49" x14ac:dyDescent="0.2">
      <c r="A24" s="312" t="s">
        <v>272</v>
      </c>
      <c r="B24" s="313"/>
      <c r="C24" s="271"/>
      <c r="D24" s="271"/>
      <c r="E24" s="271"/>
      <c r="F24" s="271"/>
      <c r="G24" s="271"/>
      <c r="H24" s="271"/>
      <c r="I24" s="271"/>
      <c r="J24" s="271"/>
      <c r="K24" s="271"/>
      <c r="L24" s="270"/>
      <c r="M24" s="313"/>
      <c r="N24" s="313"/>
      <c r="O24" s="313"/>
      <c r="P24" s="313"/>
      <c r="Q24" s="313"/>
      <c r="R24" s="313"/>
      <c r="S24" s="313"/>
      <c r="T24" s="313"/>
      <c r="U24" s="313"/>
      <c r="V24" s="313"/>
      <c r="W24" s="313"/>
      <c r="X24" s="313">
        <f>W23</f>
        <v>16057.439999999999</v>
      </c>
      <c r="Y24" s="313">
        <f t="shared" si="0"/>
        <v>22007.16</v>
      </c>
      <c r="Z24" s="313">
        <f t="shared" si="0"/>
        <v>16168.949999999999</v>
      </c>
      <c r="AA24" s="313">
        <f t="shared" si="0"/>
        <v>17395.559999999998</v>
      </c>
      <c r="AB24" s="313">
        <f t="shared" si="0"/>
        <v>18956.699999999997</v>
      </c>
      <c r="AC24" s="313">
        <f t="shared" si="0"/>
        <v>19514.25</v>
      </c>
      <c r="AD24" s="313">
        <f t="shared" si="0"/>
        <v>21409.919999999998</v>
      </c>
      <c r="AE24" s="313">
        <f t="shared" si="0"/>
        <v>24643.71</v>
      </c>
      <c r="AF24" s="313">
        <f t="shared" si="0"/>
        <v>23863.14</v>
      </c>
      <c r="AG24" s="313">
        <f t="shared" si="0"/>
        <v>23305.589999999997</v>
      </c>
      <c r="AH24" s="313">
        <f t="shared" si="0"/>
        <v>23640.12</v>
      </c>
      <c r="AI24" s="313">
        <f t="shared" si="0"/>
        <v>16168.949999999999</v>
      </c>
      <c r="AJ24" s="313">
        <f t="shared" si="1"/>
        <v>29438.639999999999</v>
      </c>
      <c r="AK24" s="313">
        <f t="shared" si="1"/>
        <v>29104.109999999997</v>
      </c>
      <c r="AL24" s="608">
        <f t="shared" si="1"/>
        <v>38805.479999999996</v>
      </c>
      <c r="AM24" s="608">
        <f t="shared" si="1"/>
        <v>28513.425599999999</v>
      </c>
      <c r="AN24" s="608">
        <f t="shared" si="1"/>
        <v>28765.756799999992</v>
      </c>
      <c r="AO24" s="608">
        <f t="shared" si="1"/>
        <v>25233.119999999995</v>
      </c>
      <c r="AP24" s="608">
        <f t="shared" si="1"/>
        <v>22709.808000000005</v>
      </c>
      <c r="AQ24" s="608">
        <f t="shared" si="1"/>
        <v>20186.495999999999</v>
      </c>
      <c r="AR24" s="608">
        <f t="shared" si="1"/>
        <v>20186.495999999999</v>
      </c>
      <c r="AS24" s="608">
        <f t="shared" si="1"/>
        <v>29809.198245654341</v>
      </c>
      <c r="AT24" s="608">
        <f t="shared" si="1"/>
        <v>29809.198245654341</v>
      </c>
      <c r="AU24" s="608">
        <f t="shared" si="1"/>
        <v>29809.198245654341</v>
      </c>
      <c r="AV24" s="608">
        <f t="shared" si="1"/>
        <v>29806.623</v>
      </c>
      <c r="AW24" s="608">
        <f t="shared" si="1"/>
        <v>29806.623</v>
      </c>
    </row>
    <row r="25" spans="1:49" x14ac:dyDescent="0.2">
      <c r="A25" s="312" t="s">
        <v>273</v>
      </c>
      <c r="B25" s="313"/>
      <c r="C25" s="271"/>
      <c r="D25" s="271"/>
      <c r="E25" s="271"/>
      <c r="F25" s="271"/>
      <c r="G25" s="271"/>
      <c r="H25" s="271"/>
      <c r="I25" s="271"/>
      <c r="J25" s="271"/>
      <c r="K25" s="271"/>
      <c r="L25" s="271"/>
      <c r="M25" s="270"/>
      <c r="N25" s="313"/>
      <c r="O25" s="313"/>
      <c r="P25" s="313"/>
      <c r="Q25" s="313"/>
      <c r="R25" s="313"/>
      <c r="S25" s="313"/>
      <c r="T25" s="313"/>
      <c r="U25" s="313"/>
      <c r="V25" s="313"/>
      <c r="W25" s="313"/>
      <c r="X25" s="313"/>
      <c r="Y25" s="313">
        <f>X24</f>
        <v>16057.439999999999</v>
      </c>
      <c r="Z25" s="313">
        <f t="shared" si="0"/>
        <v>22007.16</v>
      </c>
      <c r="AA25" s="313">
        <f t="shared" si="0"/>
        <v>16168.949999999999</v>
      </c>
      <c r="AB25" s="313">
        <f t="shared" si="0"/>
        <v>17395.559999999998</v>
      </c>
      <c r="AC25" s="313">
        <f t="shared" si="0"/>
        <v>18956.699999999997</v>
      </c>
      <c r="AD25" s="313">
        <f t="shared" si="0"/>
        <v>19514.25</v>
      </c>
      <c r="AE25" s="313">
        <f t="shared" si="0"/>
        <v>21409.919999999998</v>
      </c>
      <c r="AF25" s="313">
        <f t="shared" si="0"/>
        <v>24643.71</v>
      </c>
      <c r="AG25" s="313">
        <f t="shared" si="0"/>
        <v>23863.14</v>
      </c>
      <c r="AH25" s="313">
        <f t="shared" si="0"/>
        <v>23305.589999999997</v>
      </c>
      <c r="AI25" s="313">
        <f t="shared" si="0"/>
        <v>23640.12</v>
      </c>
      <c r="AJ25" s="313">
        <f t="shared" si="1"/>
        <v>16168.949999999999</v>
      </c>
      <c r="AK25" s="313">
        <f t="shared" si="1"/>
        <v>29438.639999999999</v>
      </c>
      <c r="AL25" s="608">
        <f t="shared" si="1"/>
        <v>29104.109999999997</v>
      </c>
      <c r="AM25" s="608">
        <f t="shared" si="1"/>
        <v>38805.479999999996</v>
      </c>
      <c r="AN25" s="608">
        <f t="shared" si="1"/>
        <v>28513.425599999999</v>
      </c>
      <c r="AO25" s="608">
        <f t="shared" si="1"/>
        <v>28765.756799999992</v>
      </c>
      <c r="AP25" s="608">
        <f t="shared" si="1"/>
        <v>25233.119999999995</v>
      </c>
      <c r="AQ25" s="608">
        <f t="shared" si="1"/>
        <v>22709.808000000005</v>
      </c>
      <c r="AR25" s="608">
        <f t="shared" si="1"/>
        <v>20186.495999999999</v>
      </c>
      <c r="AS25" s="608">
        <f t="shared" si="1"/>
        <v>20186.495999999999</v>
      </c>
      <c r="AT25" s="608">
        <f t="shared" si="1"/>
        <v>29809.198245654341</v>
      </c>
      <c r="AU25" s="608">
        <f t="shared" si="1"/>
        <v>29809.198245654341</v>
      </c>
      <c r="AV25" s="608">
        <f t="shared" si="1"/>
        <v>29809.198245654341</v>
      </c>
      <c r="AW25" s="608">
        <f t="shared" si="1"/>
        <v>29806.623</v>
      </c>
    </row>
    <row r="26" spans="1:49" x14ac:dyDescent="0.2">
      <c r="A26" s="312" t="s">
        <v>288</v>
      </c>
      <c r="N26" s="270"/>
      <c r="O26" s="313"/>
      <c r="P26" s="313"/>
      <c r="Q26" s="313"/>
      <c r="R26" s="313"/>
      <c r="S26" s="313"/>
      <c r="T26" s="313"/>
      <c r="U26" s="313"/>
      <c r="V26" s="313"/>
      <c r="W26" s="313"/>
      <c r="X26" s="313"/>
      <c r="Y26" s="313"/>
      <c r="Z26" s="313">
        <f t="shared" si="0"/>
        <v>16057.439999999999</v>
      </c>
      <c r="AA26" s="313">
        <f t="shared" si="0"/>
        <v>22007.16</v>
      </c>
      <c r="AB26" s="313">
        <f t="shared" si="0"/>
        <v>16168.949999999999</v>
      </c>
      <c r="AC26" s="313">
        <f t="shared" si="0"/>
        <v>17395.559999999998</v>
      </c>
      <c r="AD26" s="313">
        <f t="shared" si="0"/>
        <v>18956.699999999997</v>
      </c>
      <c r="AE26" s="313">
        <f t="shared" si="0"/>
        <v>19514.25</v>
      </c>
      <c r="AF26" s="313">
        <f t="shared" si="0"/>
        <v>21409.919999999998</v>
      </c>
      <c r="AG26" s="313">
        <f t="shared" si="0"/>
        <v>24643.71</v>
      </c>
      <c r="AH26" s="313">
        <f t="shared" si="0"/>
        <v>23863.14</v>
      </c>
      <c r="AI26" s="313">
        <f t="shared" si="0"/>
        <v>23305.589999999997</v>
      </c>
      <c r="AJ26" s="313">
        <f t="shared" si="1"/>
        <v>23640.12</v>
      </c>
      <c r="AK26" s="313">
        <f t="shared" si="1"/>
        <v>16168.949999999999</v>
      </c>
      <c r="AL26" s="608">
        <f t="shared" si="1"/>
        <v>29438.639999999999</v>
      </c>
      <c r="AM26" s="608">
        <f t="shared" si="1"/>
        <v>29104.109999999997</v>
      </c>
      <c r="AN26" s="608">
        <f t="shared" si="1"/>
        <v>38805.479999999996</v>
      </c>
      <c r="AO26" s="608">
        <f t="shared" si="1"/>
        <v>28513.425599999999</v>
      </c>
      <c r="AP26" s="608">
        <f t="shared" si="1"/>
        <v>28765.756799999992</v>
      </c>
      <c r="AQ26" s="608">
        <f t="shared" si="1"/>
        <v>25233.119999999995</v>
      </c>
      <c r="AR26" s="608">
        <f t="shared" si="1"/>
        <v>22709.808000000005</v>
      </c>
      <c r="AS26" s="608">
        <f t="shared" si="1"/>
        <v>20186.495999999999</v>
      </c>
      <c r="AT26" s="608">
        <f t="shared" si="1"/>
        <v>20186.495999999999</v>
      </c>
      <c r="AU26" s="608">
        <f t="shared" si="1"/>
        <v>29809.198245654341</v>
      </c>
      <c r="AV26" s="608">
        <f t="shared" si="1"/>
        <v>29809.198245654341</v>
      </c>
      <c r="AW26" s="608">
        <f t="shared" si="1"/>
        <v>29809.198245654341</v>
      </c>
    </row>
    <row r="27" spans="1:49" x14ac:dyDescent="0.2">
      <c r="A27" s="312" t="s">
        <v>289</v>
      </c>
      <c r="B27" s="271"/>
      <c r="C27" s="271"/>
      <c r="D27" s="271"/>
      <c r="E27" s="271"/>
      <c r="F27" s="271"/>
      <c r="G27" s="271"/>
      <c r="H27" s="271"/>
      <c r="I27" s="271"/>
      <c r="J27" s="271"/>
      <c r="K27" s="271"/>
      <c r="L27" s="271"/>
      <c r="M27" s="271"/>
      <c r="N27" s="271"/>
      <c r="O27" s="270"/>
      <c r="P27" s="313"/>
      <c r="Q27" s="271"/>
      <c r="R27" s="271"/>
      <c r="S27" s="271"/>
      <c r="T27" s="271"/>
      <c r="U27" s="271"/>
      <c r="V27" s="271"/>
      <c r="W27" s="271"/>
      <c r="X27" s="271"/>
      <c r="Y27" s="271"/>
      <c r="Z27" s="271"/>
      <c r="AA27" s="271">
        <f>Z26</f>
        <v>16057.439999999999</v>
      </c>
      <c r="AB27" s="271">
        <f>$Z$26</f>
        <v>16057.439999999999</v>
      </c>
      <c r="AC27" s="271">
        <f>$AA$26</f>
        <v>22007.16</v>
      </c>
      <c r="AD27" s="271">
        <f>$AB$26</f>
        <v>16168.949999999999</v>
      </c>
      <c r="AE27" s="271">
        <f>$AD$26</f>
        <v>18956.699999999997</v>
      </c>
      <c r="AF27" s="271">
        <f>$AE$26</f>
        <v>19514.25</v>
      </c>
      <c r="AG27" s="271">
        <f>$AF$26</f>
        <v>21409.919999999998</v>
      </c>
      <c r="AH27" s="271">
        <f>$AG$26</f>
        <v>24643.71</v>
      </c>
      <c r="AI27" s="271">
        <f>$AH$26</f>
        <v>23863.14</v>
      </c>
      <c r="AJ27" s="271">
        <f>$AI$26</f>
        <v>23305.589999999997</v>
      </c>
      <c r="AK27" s="271">
        <f>$AJ$26</f>
        <v>23640.12</v>
      </c>
      <c r="AL27" s="608">
        <f t="shared" si="1"/>
        <v>16168.949999999999</v>
      </c>
      <c r="AM27" s="608">
        <f t="shared" si="1"/>
        <v>29438.639999999999</v>
      </c>
      <c r="AN27" s="608">
        <f t="shared" si="1"/>
        <v>29104.109999999997</v>
      </c>
      <c r="AO27" s="608">
        <f t="shared" si="1"/>
        <v>38805.479999999996</v>
      </c>
      <c r="AP27" s="608">
        <f t="shared" si="1"/>
        <v>28513.425599999999</v>
      </c>
      <c r="AQ27" s="608">
        <f t="shared" si="1"/>
        <v>28765.756799999992</v>
      </c>
      <c r="AR27" s="608">
        <f t="shared" si="1"/>
        <v>25233.119999999995</v>
      </c>
      <c r="AS27" s="608">
        <f t="shared" si="1"/>
        <v>22709.808000000005</v>
      </c>
      <c r="AT27" s="608">
        <f t="shared" si="1"/>
        <v>20186.495999999999</v>
      </c>
      <c r="AU27" s="608">
        <f t="shared" si="1"/>
        <v>20186.495999999999</v>
      </c>
      <c r="AV27" s="608">
        <f t="shared" si="1"/>
        <v>29809.198245654341</v>
      </c>
      <c r="AW27" s="608">
        <f t="shared" si="1"/>
        <v>29809.198245654341</v>
      </c>
    </row>
    <row r="28" spans="1:49" x14ac:dyDescent="0.2">
      <c r="A28" s="312" t="s">
        <v>290</v>
      </c>
      <c r="B28" s="271"/>
      <c r="C28" s="271"/>
      <c r="D28" s="271"/>
      <c r="E28" s="271"/>
      <c r="F28" s="271"/>
      <c r="G28" s="271"/>
      <c r="H28" s="271"/>
      <c r="I28" s="271"/>
      <c r="J28" s="271"/>
      <c r="K28" s="271"/>
      <c r="L28" s="271"/>
      <c r="M28" s="271"/>
      <c r="N28" s="271"/>
      <c r="O28" s="271"/>
      <c r="P28" s="285"/>
      <c r="Q28" s="313"/>
      <c r="R28" s="271"/>
      <c r="S28" s="271"/>
      <c r="T28" s="271"/>
      <c r="U28" s="271"/>
      <c r="V28" s="271"/>
      <c r="W28" s="271"/>
      <c r="X28" s="271"/>
      <c r="Y28" s="271"/>
      <c r="Z28" s="271"/>
      <c r="AA28" s="271">
        <f>$X$26</f>
        <v>0</v>
      </c>
      <c r="AB28" s="271">
        <f>$Y$26</f>
        <v>0</v>
      </c>
      <c r="AC28" s="271">
        <f>$Z$26</f>
        <v>16057.439999999999</v>
      </c>
      <c r="AD28" s="271">
        <f>$AA$26</f>
        <v>22007.16</v>
      </c>
      <c r="AE28" s="271">
        <f>$AB$26</f>
        <v>16168.949999999999</v>
      </c>
      <c r="AF28" s="271">
        <f>$AD$26</f>
        <v>18956.699999999997</v>
      </c>
      <c r="AG28" s="271">
        <f>$AE$26</f>
        <v>19514.25</v>
      </c>
      <c r="AH28" s="271">
        <f>$AF$26</f>
        <v>21409.919999999998</v>
      </c>
      <c r="AI28" s="271">
        <f>$AG$26</f>
        <v>24643.71</v>
      </c>
      <c r="AJ28" s="271">
        <f>$AH$26</f>
        <v>23863.14</v>
      </c>
      <c r="AK28" s="271">
        <f>$AI$26</f>
        <v>23305.589999999997</v>
      </c>
      <c r="AL28" s="606">
        <f>$AJ$26</f>
        <v>23640.12</v>
      </c>
      <c r="AM28" s="608">
        <f t="shared" si="1"/>
        <v>16168.949999999999</v>
      </c>
      <c r="AN28" s="608">
        <f t="shared" si="1"/>
        <v>29438.639999999999</v>
      </c>
      <c r="AO28" s="608">
        <f t="shared" si="1"/>
        <v>29104.109999999997</v>
      </c>
      <c r="AP28" s="608">
        <f t="shared" si="1"/>
        <v>38805.479999999996</v>
      </c>
      <c r="AQ28" s="608">
        <f t="shared" si="1"/>
        <v>28513.425599999999</v>
      </c>
      <c r="AR28" s="608">
        <f t="shared" si="1"/>
        <v>28765.756799999992</v>
      </c>
      <c r="AS28" s="608">
        <f t="shared" si="1"/>
        <v>25233.119999999995</v>
      </c>
      <c r="AT28" s="608">
        <f t="shared" si="1"/>
        <v>22709.808000000005</v>
      </c>
      <c r="AU28" s="608">
        <f t="shared" si="1"/>
        <v>20186.495999999999</v>
      </c>
      <c r="AV28" s="608">
        <f t="shared" si="1"/>
        <v>20186.495999999999</v>
      </c>
      <c r="AW28" s="608">
        <f t="shared" si="1"/>
        <v>29809.198245654341</v>
      </c>
    </row>
    <row r="29" spans="1:49" x14ac:dyDescent="0.2">
      <c r="A29" s="312" t="s">
        <v>291</v>
      </c>
      <c r="B29" s="271"/>
      <c r="C29" s="271"/>
      <c r="D29" s="271"/>
      <c r="E29" s="271"/>
      <c r="F29" s="271"/>
      <c r="G29" s="271"/>
      <c r="H29" s="271"/>
      <c r="I29" s="271"/>
      <c r="J29" s="271"/>
      <c r="K29" s="271"/>
      <c r="L29" s="271"/>
      <c r="M29" s="271"/>
      <c r="N29" s="271"/>
      <c r="O29" s="271"/>
      <c r="P29" s="271"/>
      <c r="Q29" s="285"/>
      <c r="R29" s="313"/>
      <c r="S29" s="271"/>
      <c r="T29" s="271"/>
      <c r="U29" s="271"/>
      <c r="V29" s="271"/>
      <c r="W29" s="271"/>
      <c r="X29" s="271"/>
      <c r="Y29" s="271"/>
      <c r="Z29" s="271"/>
      <c r="AA29" s="271">
        <f>$W$26</f>
        <v>0</v>
      </c>
      <c r="AB29" s="271">
        <f>$X$26</f>
        <v>0</v>
      </c>
      <c r="AC29" s="271">
        <f>$Y$26</f>
        <v>0</v>
      </c>
      <c r="AD29" s="271">
        <f>$Z$26</f>
        <v>16057.439999999999</v>
      </c>
      <c r="AE29" s="271">
        <f>$AA$26</f>
        <v>22007.16</v>
      </c>
      <c r="AF29" s="271">
        <f>$AB$26</f>
        <v>16168.949999999999</v>
      </c>
      <c r="AG29" s="271">
        <f>$AD$26</f>
        <v>18956.699999999997</v>
      </c>
      <c r="AH29" s="271">
        <f>$AE$26</f>
        <v>19514.25</v>
      </c>
      <c r="AI29" s="271">
        <f>$AF$26</f>
        <v>21409.919999999998</v>
      </c>
      <c r="AJ29" s="271">
        <f>$AG$26</f>
        <v>24643.71</v>
      </c>
      <c r="AK29" s="271">
        <f>$AH$26</f>
        <v>23863.14</v>
      </c>
      <c r="AL29" s="606">
        <f>$AI$26</f>
        <v>23305.589999999997</v>
      </c>
      <c r="AM29" s="606">
        <f>$AJ$26</f>
        <v>23640.12</v>
      </c>
      <c r="AN29" s="608">
        <f t="shared" si="1"/>
        <v>16168.949999999999</v>
      </c>
      <c r="AO29" s="608">
        <f t="shared" si="1"/>
        <v>29438.639999999999</v>
      </c>
      <c r="AP29" s="608">
        <f t="shared" si="1"/>
        <v>29104.109999999997</v>
      </c>
      <c r="AQ29" s="608">
        <f t="shared" si="1"/>
        <v>38805.479999999996</v>
      </c>
      <c r="AR29" s="608">
        <f t="shared" si="1"/>
        <v>28513.425599999999</v>
      </c>
      <c r="AS29" s="608">
        <f t="shared" si="1"/>
        <v>28765.756799999992</v>
      </c>
      <c r="AT29" s="608">
        <f t="shared" si="1"/>
        <v>25233.119999999995</v>
      </c>
      <c r="AU29" s="608">
        <f t="shared" si="1"/>
        <v>22709.808000000005</v>
      </c>
      <c r="AV29" s="608">
        <f t="shared" si="1"/>
        <v>20186.495999999999</v>
      </c>
      <c r="AW29" s="608">
        <f t="shared" si="1"/>
        <v>20186.495999999999</v>
      </c>
    </row>
    <row r="30" spans="1:49" x14ac:dyDescent="0.2">
      <c r="A30" s="312" t="s">
        <v>292</v>
      </c>
      <c r="B30" s="271"/>
      <c r="C30" s="271"/>
      <c r="D30" s="271"/>
      <c r="E30" s="271"/>
      <c r="F30" s="271"/>
      <c r="G30" s="271"/>
      <c r="H30" s="271"/>
      <c r="I30" s="271"/>
      <c r="J30" s="271"/>
      <c r="K30" s="271"/>
      <c r="L30" s="271"/>
      <c r="M30" s="271"/>
      <c r="N30" s="271"/>
      <c r="O30" s="271"/>
      <c r="P30" s="271"/>
      <c r="Q30" s="271"/>
      <c r="R30" s="285"/>
      <c r="S30" s="313"/>
      <c r="T30" s="271"/>
      <c r="U30" s="271"/>
      <c r="V30" s="271"/>
      <c r="W30" s="271"/>
      <c r="X30" s="271"/>
      <c r="Y30" s="271"/>
      <c r="Z30" s="271"/>
      <c r="AA30" s="271">
        <f>$V$26</f>
        <v>0</v>
      </c>
      <c r="AB30" s="271">
        <f>$W$26</f>
        <v>0</v>
      </c>
      <c r="AC30" s="271">
        <f>$X$26</f>
        <v>0</v>
      </c>
      <c r="AD30" s="271">
        <f>$Y$26</f>
        <v>0</v>
      </c>
      <c r="AE30" s="271">
        <f>$Z$26</f>
        <v>16057.439999999999</v>
      </c>
      <c r="AF30" s="271">
        <f>$AA$26</f>
        <v>22007.16</v>
      </c>
      <c r="AG30" s="271">
        <f>$AB$26</f>
        <v>16168.949999999999</v>
      </c>
      <c r="AH30" s="271">
        <f>$AD$26</f>
        <v>18956.699999999997</v>
      </c>
      <c r="AI30" s="271">
        <f>$AE$26</f>
        <v>19514.25</v>
      </c>
      <c r="AJ30" s="271">
        <f>$AF$26</f>
        <v>21409.919999999998</v>
      </c>
      <c r="AK30" s="271">
        <f>$AG$26</f>
        <v>24643.71</v>
      </c>
      <c r="AL30" s="606">
        <f>$AH$26</f>
        <v>23863.14</v>
      </c>
      <c r="AM30" s="606">
        <f>$AI$26</f>
        <v>23305.589999999997</v>
      </c>
      <c r="AN30" s="606">
        <f>$AJ$26</f>
        <v>23640.12</v>
      </c>
      <c r="AO30" s="608">
        <f t="shared" si="1"/>
        <v>16168.949999999999</v>
      </c>
      <c r="AP30" s="608">
        <f t="shared" si="1"/>
        <v>29438.639999999999</v>
      </c>
      <c r="AQ30" s="608">
        <f t="shared" si="1"/>
        <v>29104.109999999997</v>
      </c>
      <c r="AR30" s="608">
        <f t="shared" si="1"/>
        <v>38805.479999999996</v>
      </c>
      <c r="AS30" s="608">
        <f t="shared" si="1"/>
        <v>28513.425599999999</v>
      </c>
      <c r="AT30" s="608">
        <f t="shared" si="1"/>
        <v>28765.756799999992</v>
      </c>
      <c r="AU30" s="608">
        <f t="shared" si="1"/>
        <v>25233.119999999995</v>
      </c>
      <c r="AV30" s="608">
        <f t="shared" si="1"/>
        <v>22709.808000000005</v>
      </c>
      <c r="AW30" s="608">
        <f t="shared" si="1"/>
        <v>20186.495999999999</v>
      </c>
    </row>
    <row r="31" spans="1:49" x14ac:dyDescent="0.2">
      <c r="A31" s="312" t="s">
        <v>293</v>
      </c>
      <c r="B31" s="271"/>
      <c r="C31" s="271"/>
      <c r="D31" s="271"/>
      <c r="E31" s="271"/>
      <c r="F31" s="271"/>
      <c r="G31" s="271"/>
      <c r="H31" s="271"/>
      <c r="I31" s="271"/>
      <c r="J31" s="271"/>
      <c r="K31" s="271"/>
      <c r="L31" s="271"/>
      <c r="M31" s="271"/>
      <c r="N31" s="271"/>
      <c r="O31" s="271"/>
      <c r="P31" s="271"/>
      <c r="Q31" s="271"/>
      <c r="R31" s="271"/>
      <c r="S31" s="285"/>
      <c r="T31" s="313"/>
      <c r="U31" s="271"/>
      <c r="V31" s="271"/>
      <c r="W31" s="271"/>
      <c r="X31" s="271"/>
      <c r="Y31" s="271"/>
      <c r="Z31" s="271"/>
      <c r="AA31" s="271">
        <f>$U$26</f>
        <v>0</v>
      </c>
      <c r="AB31" s="271">
        <f>$V$26</f>
        <v>0</v>
      </c>
      <c r="AC31" s="271">
        <f>$W$26</f>
        <v>0</v>
      </c>
      <c r="AD31" s="271">
        <f>$X$26</f>
        <v>0</v>
      </c>
      <c r="AE31" s="271">
        <f>$Y$26</f>
        <v>0</v>
      </c>
      <c r="AF31" s="271">
        <f>$Z$26</f>
        <v>16057.439999999999</v>
      </c>
      <c r="AG31" s="271">
        <f>$AA$26</f>
        <v>22007.16</v>
      </c>
      <c r="AH31" s="271">
        <f>$AB$26</f>
        <v>16168.949999999999</v>
      </c>
      <c r="AI31" s="271">
        <f>$AD$26</f>
        <v>18956.699999999997</v>
      </c>
      <c r="AJ31" s="271">
        <f>$AE$26</f>
        <v>19514.25</v>
      </c>
      <c r="AK31" s="271">
        <f>$AF$26</f>
        <v>21409.919999999998</v>
      </c>
      <c r="AL31" s="606">
        <f>$AG$26</f>
        <v>24643.71</v>
      </c>
      <c r="AM31" s="606">
        <f>$AH$26</f>
        <v>23863.14</v>
      </c>
      <c r="AN31" s="606">
        <f>$AI$26</f>
        <v>23305.589999999997</v>
      </c>
      <c r="AO31" s="606">
        <f>$AJ$26</f>
        <v>23640.12</v>
      </c>
      <c r="AP31" s="608">
        <f t="shared" ref="AP31:AW38" si="3">AO30</f>
        <v>16168.949999999999</v>
      </c>
      <c r="AQ31" s="608">
        <f t="shared" si="3"/>
        <v>29438.639999999999</v>
      </c>
      <c r="AR31" s="608">
        <f t="shared" si="3"/>
        <v>29104.109999999997</v>
      </c>
      <c r="AS31" s="608">
        <f t="shared" si="3"/>
        <v>38805.479999999996</v>
      </c>
      <c r="AT31" s="608">
        <f t="shared" si="3"/>
        <v>28513.425599999999</v>
      </c>
      <c r="AU31" s="608">
        <f t="shared" si="3"/>
        <v>28765.756799999992</v>
      </c>
      <c r="AV31" s="608">
        <f t="shared" si="3"/>
        <v>25233.119999999995</v>
      </c>
      <c r="AW31" s="608">
        <f t="shared" si="3"/>
        <v>22709.808000000005</v>
      </c>
    </row>
    <row r="32" spans="1:49" x14ac:dyDescent="0.2">
      <c r="A32" s="312" t="s">
        <v>294</v>
      </c>
      <c r="B32" s="271"/>
      <c r="C32" s="271"/>
      <c r="D32" s="271"/>
      <c r="E32" s="271"/>
      <c r="F32" s="271"/>
      <c r="G32" s="271"/>
      <c r="H32" s="271"/>
      <c r="I32" s="271"/>
      <c r="J32" s="271"/>
      <c r="K32" s="271"/>
      <c r="L32" s="271"/>
      <c r="M32" s="271"/>
      <c r="N32" s="271"/>
      <c r="O32" s="271"/>
      <c r="P32" s="271"/>
      <c r="Q32" s="271"/>
      <c r="R32" s="271"/>
      <c r="S32" s="271"/>
      <c r="T32" s="285"/>
      <c r="U32" s="313"/>
      <c r="V32" s="271"/>
      <c r="W32" s="271"/>
      <c r="X32" s="271"/>
      <c r="Y32" s="271"/>
      <c r="Z32" s="271"/>
      <c r="AA32" s="271">
        <f>$T$26</f>
        <v>0</v>
      </c>
      <c r="AB32" s="271">
        <f>$U$26</f>
        <v>0</v>
      </c>
      <c r="AC32" s="271">
        <f>$V$26</f>
        <v>0</v>
      </c>
      <c r="AD32" s="271">
        <f>$W$26</f>
        <v>0</v>
      </c>
      <c r="AE32" s="271">
        <f>$X$26</f>
        <v>0</v>
      </c>
      <c r="AF32" s="271">
        <f>$Y$26</f>
        <v>0</v>
      </c>
      <c r="AG32" s="271">
        <f>$Z$26</f>
        <v>16057.439999999999</v>
      </c>
      <c r="AH32" s="271">
        <f>$AA$26</f>
        <v>22007.16</v>
      </c>
      <c r="AI32" s="271">
        <f>$AB$26</f>
        <v>16168.949999999999</v>
      </c>
      <c r="AJ32" s="271">
        <f>$AD$26</f>
        <v>18956.699999999997</v>
      </c>
      <c r="AK32" s="271">
        <f>$AE$26</f>
        <v>19514.25</v>
      </c>
      <c r="AL32" s="606">
        <f>$AF$26</f>
        <v>21409.919999999998</v>
      </c>
      <c r="AM32" s="606">
        <f>$AG$26</f>
        <v>24643.71</v>
      </c>
      <c r="AN32" s="606">
        <f>$AH$26</f>
        <v>23863.14</v>
      </c>
      <c r="AO32" s="606">
        <f>$AI$26</f>
        <v>23305.589999999997</v>
      </c>
      <c r="AP32" s="606">
        <f>$AJ$26</f>
        <v>23640.12</v>
      </c>
      <c r="AQ32" s="608">
        <f t="shared" si="3"/>
        <v>16168.949999999999</v>
      </c>
      <c r="AR32" s="608">
        <f t="shared" si="3"/>
        <v>29438.639999999999</v>
      </c>
      <c r="AS32" s="608">
        <f t="shared" si="3"/>
        <v>29104.109999999997</v>
      </c>
      <c r="AT32" s="608">
        <f t="shared" si="3"/>
        <v>38805.479999999996</v>
      </c>
      <c r="AU32" s="608">
        <f t="shared" si="3"/>
        <v>28513.425599999999</v>
      </c>
      <c r="AV32" s="608">
        <f t="shared" si="3"/>
        <v>28765.756799999992</v>
      </c>
      <c r="AW32" s="608">
        <f t="shared" si="3"/>
        <v>25233.119999999995</v>
      </c>
    </row>
    <row r="33" spans="1:49" x14ac:dyDescent="0.2">
      <c r="A33" s="312" t="s">
        <v>295</v>
      </c>
      <c r="B33" s="271"/>
      <c r="C33" s="271"/>
      <c r="D33" s="271"/>
      <c r="E33" s="271"/>
      <c r="F33" s="271"/>
      <c r="G33" s="271"/>
      <c r="H33" s="271"/>
      <c r="I33" s="271"/>
      <c r="J33" s="271"/>
      <c r="K33" s="271"/>
      <c r="L33" s="271"/>
      <c r="M33" s="271"/>
      <c r="N33" s="271"/>
      <c r="O33" s="271"/>
      <c r="P33" s="271"/>
      <c r="Q33" s="271"/>
      <c r="R33" s="271"/>
      <c r="S33" s="271"/>
      <c r="T33" s="271"/>
      <c r="U33" s="285"/>
      <c r="V33" s="313"/>
      <c r="W33" s="271"/>
      <c r="X33" s="271"/>
      <c r="Y33" s="271"/>
      <c r="Z33" s="271"/>
      <c r="AA33" s="271">
        <f>$S$26</f>
        <v>0</v>
      </c>
      <c r="AB33" s="271">
        <f>$T$26</f>
        <v>0</v>
      </c>
      <c r="AC33" s="271">
        <f>$U$26</f>
        <v>0</v>
      </c>
      <c r="AD33" s="271">
        <f>$V$26</f>
        <v>0</v>
      </c>
      <c r="AE33" s="271">
        <f>$W$26</f>
        <v>0</v>
      </c>
      <c r="AF33" s="271">
        <f>$X$26</f>
        <v>0</v>
      </c>
      <c r="AG33" s="271">
        <f>$Y$26</f>
        <v>0</v>
      </c>
      <c r="AH33" s="271">
        <f>$Z$26</f>
        <v>16057.439999999999</v>
      </c>
      <c r="AI33" s="271">
        <f>$AA$26</f>
        <v>22007.16</v>
      </c>
      <c r="AJ33" s="271">
        <f>$AB$26</f>
        <v>16168.949999999999</v>
      </c>
      <c r="AK33" s="271">
        <f>$AD$26</f>
        <v>18956.699999999997</v>
      </c>
      <c r="AL33" s="606">
        <f>$AE$26</f>
        <v>19514.25</v>
      </c>
      <c r="AM33" s="606">
        <f>$AF$26</f>
        <v>21409.919999999998</v>
      </c>
      <c r="AN33" s="606">
        <f>$AG$26</f>
        <v>24643.71</v>
      </c>
      <c r="AO33" s="606">
        <f>$AH$26</f>
        <v>23863.14</v>
      </c>
      <c r="AP33" s="606">
        <f>$AI$26</f>
        <v>23305.589999999997</v>
      </c>
      <c r="AQ33" s="606">
        <f>$AJ$26</f>
        <v>23640.12</v>
      </c>
      <c r="AR33" s="608">
        <f t="shared" si="3"/>
        <v>16168.949999999999</v>
      </c>
      <c r="AS33" s="608">
        <f t="shared" si="3"/>
        <v>29438.639999999999</v>
      </c>
      <c r="AT33" s="608">
        <f t="shared" si="3"/>
        <v>29104.109999999997</v>
      </c>
      <c r="AU33" s="608">
        <f t="shared" si="3"/>
        <v>38805.479999999996</v>
      </c>
      <c r="AV33" s="608">
        <f t="shared" si="3"/>
        <v>28513.425599999999</v>
      </c>
      <c r="AW33" s="608">
        <f t="shared" si="3"/>
        <v>28765.756799999992</v>
      </c>
    </row>
    <row r="34" spans="1:49" x14ac:dyDescent="0.2">
      <c r="A34" s="312" t="s">
        <v>296</v>
      </c>
      <c r="B34" s="271"/>
      <c r="C34" s="271"/>
      <c r="D34" s="271"/>
      <c r="E34" s="271"/>
      <c r="F34" s="271"/>
      <c r="G34" s="271"/>
      <c r="H34" s="271"/>
      <c r="I34" s="271"/>
      <c r="J34" s="271"/>
      <c r="K34" s="271"/>
      <c r="L34" s="271"/>
      <c r="M34" s="271"/>
      <c r="N34" s="271"/>
      <c r="O34" s="271"/>
      <c r="P34" s="271"/>
      <c r="Q34" s="271"/>
      <c r="R34" s="271"/>
      <c r="S34" s="271"/>
      <c r="T34" s="271"/>
      <c r="U34" s="271"/>
      <c r="V34" s="285"/>
      <c r="W34" s="313"/>
      <c r="X34" s="271"/>
      <c r="Y34" s="271"/>
      <c r="Z34" s="271"/>
      <c r="AA34" s="271">
        <f>$R$26</f>
        <v>0</v>
      </c>
      <c r="AB34" s="271">
        <f>$S$26</f>
        <v>0</v>
      </c>
      <c r="AC34" s="271">
        <f>$T$26</f>
        <v>0</v>
      </c>
      <c r="AD34" s="271">
        <f>$U$26</f>
        <v>0</v>
      </c>
      <c r="AE34" s="271">
        <f>$V$26</f>
        <v>0</v>
      </c>
      <c r="AF34" s="271">
        <f>$W$26</f>
        <v>0</v>
      </c>
      <c r="AG34" s="271">
        <f>$X$26</f>
        <v>0</v>
      </c>
      <c r="AH34" s="271">
        <f>$Y$26</f>
        <v>0</v>
      </c>
      <c r="AI34" s="271">
        <f>$Z$26</f>
        <v>16057.439999999999</v>
      </c>
      <c r="AJ34" s="271">
        <f>$AA$26</f>
        <v>22007.16</v>
      </c>
      <c r="AK34" s="271">
        <f>$AB$26</f>
        <v>16168.949999999999</v>
      </c>
      <c r="AL34" s="606">
        <f>$AD$26</f>
        <v>18956.699999999997</v>
      </c>
      <c r="AM34" s="606">
        <f>$AE$26</f>
        <v>19514.25</v>
      </c>
      <c r="AN34" s="606">
        <f>$AF$26</f>
        <v>21409.919999999998</v>
      </c>
      <c r="AO34" s="606">
        <f>$AG$26</f>
        <v>24643.71</v>
      </c>
      <c r="AP34" s="606">
        <f>$AH$26</f>
        <v>23863.14</v>
      </c>
      <c r="AQ34" s="606">
        <f>$AI$26</f>
        <v>23305.589999999997</v>
      </c>
      <c r="AR34" s="606">
        <f>$AJ$26</f>
        <v>23640.12</v>
      </c>
      <c r="AS34" s="608">
        <f t="shared" si="3"/>
        <v>16168.949999999999</v>
      </c>
      <c r="AT34" s="608">
        <f t="shared" si="3"/>
        <v>29438.639999999999</v>
      </c>
      <c r="AU34" s="608">
        <f t="shared" si="3"/>
        <v>29104.109999999997</v>
      </c>
      <c r="AV34" s="608">
        <f t="shared" si="3"/>
        <v>38805.479999999996</v>
      </c>
      <c r="AW34" s="608">
        <f t="shared" si="3"/>
        <v>28513.425599999999</v>
      </c>
    </row>
    <row r="35" spans="1:49" x14ac:dyDescent="0.2">
      <c r="A35" s="312" t="s">
        <v>297</v>
      </c>
      <c r="B35" s="271"/>
      <c r="C35" s="271"/>
      <c r="D35" s="271"/>
      <c r="E35" s="271"/>
      <c r="F35" s="271"/>
      <c r="G35" s="271"/>
      <c r="H35" s="271"/>
      <c r="I35" s="271"/>
      <c r="J35" s="271"/>
      <c r="K35" s="271"/>
      <c r="L35" s="271"/>
      <c r="M35" s="271"/>
      <c r="N35" s="271"/>
      <c r="O35" s="271"/>
      <c r="P35" s="271"/>
      <c r="Q35" s="271"/>
      <c r="R35" s="271"/>
      <c r="S35" s="271"/>
      <c r="T35" s="271"/>
      <c r="U35" s="271"/>
      <c r="V35" s="271"/>
      <c r="W35" s="285"/>
      <c r="X35" s="313"/>
      <c r="Y35" s="271"/>
      <c r="Z35" s="271"/>
      <c r="AA35" s="271">
        <f>$Q$26</f>
        <v>0</v>
      </c>
      <c r="AB35" s="271">
        <f>$R$26</f>
        <v>0</v>
      </c>
      <c r="AC35" s="271">
        <f>$S$26</f>
        <v>0</v>
      </c>
      <c r="AD35" s="271">
        <f>$T$26</f>
        <v>0</v>
      </c>
      <c r="AE35" s="271">
        <f>$U$26</f>
        <v>0</v>
      </c>
      <c r="AF35" s="271">
        <f>$V$26</f>
        <v>0</v>
      </c>
      <c r="AG35" s="271">
        <f>$W$26</f>
        <v>0</v>
      </c>
      <c r="AH35" s="271">
        <f>$X$26</f>
        <v>0</v>
      </c>
      <c r="AI35" s="271">
        <f>$Y$26</f>
        <v>0</v>
      </c>
      <c r="AJ35" s="271">
        <f>$Z$26</f>
        <v>16057.439999999999</v>
      </c>
      <c r="AK35" s="271">
        <f>$AA$26</f>
        <v>22007.16</v>
      </c>
      <c r="AL35" s="606">
        <f>$AB$26</f>
        <v>16168.949999999999</v>
      </c>
      <c r="AM35" s="606">
        <f>$AD$26</f>
        <v>18956.699999999997</v>
      </c>
      <c r="AN35" s="606">
        <f>$AE$26</f>
        <v>19514.25</v>
      </c>
      <c r="AO35" s="606">
        <f>$AF$26</f>
        <v>21409.919999999998</v>
      </c>
      <c r="AP35" s="606">
        <f>$AG$26</f>
        <v>24643.71</v>
      </c>
      <c r="AQ35" s="606">
        <f>$AH$26</f>
        <v>23863.14</v>
      </c>
      <c r="AR35" s="606">
        <f>$AI$26</f>
        <v>23305.589999999997</v>
      </c>
      <c r="AS35" s="606">
        <f>$AJ$26</f>
        <v>23640.12</v>
      </c>
      <c r="AT35" s="608">
        <f t="shared" si="3"/>
        <v>16168.949999999999</v>
      </c>
      <c r="AU35" s="608">
        <f t="shared" si="3"/>
        <v>29438.639999999999</v>
      </c>
      <c r="AV35" s="608">
        <f t="shared" si="3"/>
        <v>29104.109999999997</v>
      </c>
      <c r="AW35" s="608">
        <f t="shared" si="3"/>
        <v>38805.479999999996</v>
      </c>
    </row>
    <row r="36" spans="1:49" x14ac:dyDescent="0.2">
      <c r="A36" s="312" t="s">
        <v>298</v>
      </c>
      <c r="B36" s="271"/>
      <c r="C36" s="271"/>
      <c r="D36" s="271"/>
      <c r="E36" s="271"/>
      <c r="F36" s="271"/>
      <c r="G36" s="271"/>
      <c r="H36" s="271"/>
      <c r="I36" s="271"/>
      <c r="J36" s="271"/>
      <c r="K36" s="271"/>
      <c r="L36" s="271"/>
      <c r="M36" s="271"/>
      <c r="N36" s="271"/>
      <c r="O36" s="271"/>
      <c r="P36" s="271"/>
      <c r="Q36" s="271"/>
      <c r="R36" s="271"/>
      <c r="S36" s="271"/>
      <c r="T36" s="271"/>
      <c r="U36" s="271"/>
      <c r="V36" s="271"/>
      <c r="W36" s="271"/>
      <c r="X36" s="285"/>
      <c r="Y36" s="313"/>
      <c r="Z36" s="271"/>
      <c r="AA36" s="271">
        <f>$P$26</f>
        <v>0</v>
      </c>
      <c r="AB36" s="271">
        <f>$Q$26</f>
        <v>0</v>
      </c>
      <c r="AC36" s="271">
        <f>$R$26</f>
        <v>0</v>
      </c>
      <c r="AD36" s="271">
        <f>$S$26</f>
        <v>0</v>
      </c>
      <c r="AE36" s="271">
        <f>$T$26</f>
        <v>0</v>
      </c>
      <c r="AF36" s="271">
        <f>$U$26</f>
        <v>0</v>
      </c>
      <c r="AG36" s="271">
        <f>$V$26</f>
        <v>0</v>
      </c>
      <c r="AH36" s="271">
        <f>$W$26</f>
        <v>0</v>
      </c>
      <c r="AI36" s="271">
        <f>$X$26</f>
        <v>0</v>
      </c>
      <c r="AJ36" s="271">
        <f>$Y$26</f>
        <v>0</v>
      </c>
      <c r="AK36" s="271">
        <f>$Z$26</f>
        <v>16057.439999999999</v>
      </c>
      <c r="AL36" s="606">
        <f>$AA$26</f>
        <v>22007.16</v>
      </c>
      <c r="AM36" s="606">
        <f>$AB$26</f>
        <v>16168.949999999999</v>
      </c>
      <c r="AN36" s="606">
        <f>$AD$26</f>
        <v>18956.699999999997</v>
      </c>
      <c r="AO36" s="606">
        <f>$AE$26</f>
        <v>19514.25</v>
      </c>
      <c r="AP36" s="606">
        <f>$AF$26</f>
        <v>21409.919999999998</v>
      </c>
      <c r="AQ36" s="606">
        <f>$AG$26</f>
        <v>24643.71</v>
      </c>
      <c r="AR36" s="606">
        <f>$AH$26</f>
        <v>23863.14</v>
      </c>
      <c r="AS36" s="606">
        <f>$AI$26</f>
        <v>23305.589999999997</v>
      </c>
      <c r="AT36" s="606">
        <f>$AJ$26</f>
        <v>23640.12</v>
      </c>
      <c r="AU36" s="608">
        <f t="shared" si="3"/>
        <v>16168.949999999999</v>
      </c>
      <c r="AV36" s="608">
        <f t="shared" si="3"/>
        <v>29438.639999999999</v>
      </c>
      <c r="AW36" s="608">
        <f t="shared" si="3"/>
        <v>29104.109999999997</v>
      </c>
    </row>
    <row r="37" spans="1:49" x14ac:dyDescent="0.2">
      <c r="A37" s="312" t="s">
        <v>299</v>
      </c>
      <c r="B37" s="271"/>
      <c r="C37" s="271"/>
      <c r="D37" s="271"/>
      <c r="E37" s="271"/>
      <c r="F37" s="271"/>
      <c r="G37" s="271"/>
      <c r="H37" s="271"/>
      <c r="I37" s="271"/>
      <c r="J37" s="271"/>
      <c r="K37" s="271"/>
      <c r="L37" s="271"/>
      <c r="M37" s="271"/>
      <c r="N37" s="271"/>
      <c r="O37" s="271"/>
      <c r="P37" s="271"/>
      <c r="Q37" s="271"/>
      <c r="R37" s="271"/>
      <c r="S37" s="271"/>
      <c r="T37" s="271"/>
      <c r="U37" s="271"/>
      <c r="V37" s="271"/>
      <c r="W37" s="271"/>
      <c r="X37" s="271"/>
      <c r="Y37" s="285"/>
      <c r="Z37" s="313"/>
      <c r="AA37" s="271">
        <f>$O$26</f>
        <v>0</v>
      </c>
      <c r="AB37" s="271">
        <f>$P$26</f>
        <v>0</v>
      </c>
      <c r="AC37" s="271">
        <f>$Q$26</f>
        <v>0</v>
      </c>
      <c r="AD37" s="271">
        <f>$R$26</f>
        <v>0</v>
      </c>
      <c r="AE37" s="271">
        <f>$S$26</f>
        <v>0</v>
      </c>
      <c r="AF37" s="271">
        <f>$T$26</f>
        <v>0</v>
      </c>
      <c r="AG37" s="271">
        <f>$U$26</f>
        <v>0</v>
      </c>
      <c r="AH37" s="271">
        <f>$V$26</f>
        <v>0</v>
      </c>
      <c r="AI37" s="271">
        <f>$W$26</f>
        <v>0</v>
      </c>
      <c r="AJ37" s="271">
        <f>$X$26</f>
        <v>0</v>
      </c>
      <c r="AK37" s="271">
        <f>$Y$26</f>
        <v>0</v>
      </c>
      <c r="AL37" s="606">
        <f>$Z$26</f>
        <v>16057.439999999999</v>
      </c>
      <c r="AM37" s="606">
        <f>$AA$26</f>
        <v>22007.16</v>
      </c>
      <c r="AN37" s="606">
        <f>$AB$26</f>
        <v>16168.949999999999</v>
      </c>
      <c r="AO37" s="606">
        <f>$AD$26</f>
        <v>18956.699999999997</v>
      </c>
      <c r="AP37" s="606">
        <f>$AE$26</f>
        <v>19514.25</v>
      </c>
      <c r="AQ37" s="606">
        <f>$AF$26</f>
        <v>21409.919999999998</v>
      </c>
      <c r="AR37" s="606">
        <f>$AG$26</f>
        <v>24643.71</v>
      </c>
      <c r="AS37" s="606">
        <f>$AH$26</f>
        <v>23863.14</v>
      </c>
      <c r="AT37" s="606">
        <f>$AI$26</f>
        <v>23305.589999999997</v>
      </c>
      <c r="AU37" s="606">
        <f>$AJ$26</f>
        <v>23640.12</v>
      </c>
      <c r="AV37" s="608">
        <f t="shared" si="3"/>
        <v>16168.949999999999</v>
      </c>
      <c r="AW37" s="608">
        <f t="shared" si="3"/>
        <v>29438.639999999999</v>
      </c>
    </row>
    <row r="38" spans="1:49" x14ac:dyDescent="0.2">
      <c r="A38" s="312" t="s">
        <v>300</v>
      </c>
      <c r="B38" s="271"/>
      <c r="C38" s="271"/>
      <c r="D38" s="271"/>
      <c r="E38" s="271"/>
      <c r="F38" s="271"/>
      <c r="G38" s="271"/>
      <c r="H38" s="271"/>
      <c r="I38" s="271"/>
      <c r="J38" s="271"/>
      <c r="K38" s="271"/>
      <c r="L38" s="271"/>
      <c r="M38" s="271"/>
      <c r="N38" s="271"/>
      <c r="O38" s="271"/>
      <c r="P38" s="271"/>
      <c r="Q38" s="271"/>
      <c r="R38" s="271"/>
      <c r="S38" s="271"/>
      <c r="T38" s="271"/>
      <c r="U38" s="271"/>
      <c r="V38" s="271"/>
      <c r="W38" s="271"/>
      <c r="X38" s="271"/>
      <c r="Y38" s="271"/>
      <c r="Z38" s="285"/>
      <c r="AA38" s="313">
        <f>$N$26</f>
        <v>0</v>
      </c>
      <c r="AB38" s="271">
        <f>$O$26</f>
        <v>0</v>
      </c>
      <c r="AC38" s="271">
        <f>$P$26</f>
        <v>0</v>
      </c>
      <c r="AD38" s="271">
        <f>$Q$26</f>
        <v>0</v>
      </c>
      <c r="AE38" s="271">
        <f>$R$26</f>
        <v>0</v>
      </c>
      <c r="AF38" s="271">
        <f>$S$26</f>
        <v>0</v>
      </c>
      <c r="AG38" s="271">
        <f>$T$26</f>
        <v>0</v>
      </c>
      <c r="AH38" s="271">
        <f>$U$26</f>
        <v>0</v>
      </c>
      <c r="AI38" s="271">
        <f>$V$26</f>
        <v>0</v>
      </c>
      <c r="AJ38" s="271">
        <f>$W$26</f>
        <v>0</v>
      </c>
      <c r="AK38" s="271">
        <f>$X$26</f>
        <v>0</v>
      </c>
      <c r="AL38" s="606">
        <f t="shared" ref="AL38" si="4">$X$26</f>
        <v>0</v>
      </c>
      <c r="AM38" s="606">
        <f>$Z$26</f>
        <v>16057.439999999999</v>
      </c>
      <c r="AN38" s="606">
        <f>$AA$26</f>
        <v>22007.16</v>
      </c>
      <c r="AO38" s="606">
        <f>$AB$26</f>
        <v>16168.949999999999</v>
      </c>
      <c r="AP38" s="606">
        <f>$AD$26</f>
        <v>18956.699999999997</v>
      </c>
      <c r="AQ38" s="606">
        <f>$AE$26</f>
        <v>19514.25</v>
      </c>
      <c r="AR38" s="606">
        <f>$AF$26</f>
        <v>21409.919999999998</v>
      </c>
      <c r="AS38" s="606">
        <f>$AG$26</f>
        <v>24643.71</v>
      </c>
      <c r="AT38" s="606">
        <f>$AH$26</f>
        <v>23863.14</v>
      </c>
      <c r="AU38" s="606">
        <f>$AI$26</f>
        <v>23305.589999999997</v>
      </c>
      <c r="AV38" s="606">
        <f>$AJ$26</f>
        <v>23640.12</v>
      </c>
      <c r="AW38" s="608">
        <f t="shared" si="3"/>
        <v>16168.949999999999</v>
      </c>
    </row>
    <row r="39" spans="1:49" x14ac:dyDescent="0.2">
      <c r="A39" s="312" t="s">
        <v>301</v>
      </c>
      <c r="B39" s="271"/>
      <c r="C39" s="271"/>
      <c r="D39" s="271"/>
      <c r="E39" s="271"/>
      <c r="F39" s="271"/>
      <c r="G39" s="271"/>
      <c r="H39" s="271"/>
      <c r="I39" s="271"/>
      <c r="J39" s="271"/>
      <c r="K39" s="271"/>
      <c r="L39" s="271"/>
      <c r="M39" s="271"/>
      <c r="N39" s="271"/>
      <c r="O39" s="271"/>
      <c r="P39" s="271"/>
      <c r="Q39" s="271"/>
      <c r="R39" s="271"/>
      <c r="S39" s="271"/>
      <c r="T39" s="271"/>
      <c r="U39" s="271"/>
      <c r="V39" s="271"/>
      <c r="W39" s="271"/>
      <c r="X39" s="271"/>
      <c r="Y39" s="271"/>
      <c r="Z39" s="271"/>
      <c r="AA39" s="285">
        <f>$N$26</f>
        <v>0</v>
      </c>
      <c r="AB39" s="313">
        <f>$N$26</f>
        <v>0</v>
      </c>
      <c r="AC39" s="271">
        <f>$O$26</f>
        <v>0</v>
      </c>
      <c r="AD39" s="271">
        <f>$P$26</f>
        <v>0</v>
      </c>
      <c r="AE39" s="271">
        <f>$Q$26</f>
        <v>0</v>
      </c>
      <c r="AF39" s="271">
        <f>$R$26</f>
        <v>0</v>
      </c>
      <c r="AG39" s="271">
        <f>$S$26</f>
        <v>0</v>
      </c>
      <c r="AH39" s="271">
        <f>$T$26</f>
        <v>0</v>
      </c>
      <c r="AI39" s="271">
        <f>$U$26</f>
        <v>0</v>
      </c>
      <c r="AJ39" s="271">
        <f>$V$26</f>
        <v>0</v>
      </c>
      <c r="AK39" s="271">
        <f>$W$26</f>
        <v>0</v>
      </c>
      <c r="AL39" s="606">
        <f t="shared" ref="AL39:AM39" si="5">$W$26</f>
        <v>0</v>
      </c>
      <c r="AM39" s="606">
        <f t="shared" si="5"/>
        <v>0</v>
      </c>
      <c r="AN39" s="606">
        <f>$Z$26</f>
        <v>16057.439999999999</v>
      </c>
      <c r="AO39" s="606">
        <f>$AA$26</f>
        <v>22007.16</v>
      </c>
      <c r="AP39" s="606">
        <f>$AB$26</f>
        <v>16168.949999999999</v>
      </c>
      <c r="AQ39" s="606">
        <f>$AD$26</f>
        <v>18956.699999999997</v>
      </c>
      <c r="AR39" s="606">
        <f>$AE$26</f>
        <v>19514.25</v>
      </c>
      <c r="AS39" s="606">
        <f>$AF$26</f>
        <v>21409.919999999998</v>
      </c>
      <c r="AT39" s="606">
        <f>$AG$26</f>
        <v>24643.71</v>
      </c>
      <c r="AU39" s="606">
        <f>$AH$26</f>
        <v>23863.14</v>
      </c>
      <c r="AV39" s="606">
        <f>$AI$26</f>
        <v>23305.589999999997</v>
      </c>
      <c r="AW39" s="606">
        <f>$AJ$26</f>
        <v>23640.12</v>
      </c>
    </row>
    <row r="40" spans="1:49" x14ac:dyDescent="0.2">
      <c r="A40" s="312" t="s">
        <v>302</v>
      </c>
      <c r="B40" s="271"/>
      <c r="C40" s="271"/>
      <c r="D40" s="271"/>
      <c r="E40" s="271"/>
      <c r="F40" s="271"/>
      <c r="G40" s="271"/>
      <c r="H40" s="271"/>
      <c r="I40" s="271"/>
      <c r="J40" s="271"/>
      <c r="K40" s="271"/>
      <c r="L40" s="271"/>
      <c r="M40" s="271"/>
      <c r="N40" s="271"/>
      <c r="O40" s="271"/>
      <c r="P40" s="271"/>
      <c r="Q40" s="271"/>
      <c r="R40" s="271"/>
      <c r="S40" s="271"/>
      <c r="T40" s="271"/>
      <c r="U40" s="271"/>
      <c r="V40" s="271"/>
      <c r="W40" s="271"/>
      <c r="X40" s="271"/>
      <c r="Y40" s="271"/>
      <c r="Z40" s="271"/>
      <c r="AA40" s="271"/>
      <c r="AB40" s="285">
        <f>$N$26</f>
        <v>0</v>
      </c>
      <c r="AC40" s="313">
        <f>$N$26</f>
        <v>0</v>
      </c>
      <c r="AD40" s="271">
        <f>$O$26</f>
        <v>0</v>
      </c>
      <c r="AE40" s="271">
        <f>$P$26</f>
        <v>0</v>
      </c>
      <c r="AF40" s="271">
        <f>$Q$26</f>
        <v>0</v>
      </c>
      <c r="AG40" s="271">
        <f>$R$26</f>
        <v>0</v>
      </c>
      <c r="AH40" s="271">
        <f>$S$26</f>
        <v>0</v>
      </c>
      <c r="AI40" s="271">
        <f>$T$26</f>
        <v>0</v>
      </c>
      <c r="AJ40" s="271">
        <f>$U$26</f>
        <v>0</v>
      </c>
      <c r="AK40" s="271">
        <f>$V$26</f>
        <v>0</v>
      </c>
      <c r="AL40" s="606">
        <f t="shared" ref="AL40:AN40" si="6">$V$26</f>
        <v>0</v>
      </c>
      <c r="AM40" s="606">
        <f t="shared" si="6"/>
        <v>0</v>
      </c>
      <c r="AN40" s="606">
        <f t="shared" si="6"/>
        <v>0</v>
      </c>
      <c r="AO40" s="606">
        <f>$Z$26</f>
        <v>16057.439999999999</v>
      </c>
      <c r="AP40" s="606">
        <f>$AA$26</f>
        <v>22007.16</v>
      </c>
      <c r="AQ40" s="606">
        <f>$AB$26</f>
        <v>16168.949999999999</v>
      </c>
      <c r="AR40" s="606">
        <f>$AD$26</f>
        <v>18956.699999999997</v>
      </c>
      <c r="AS40" s="606">
        <f>$AE$26</f>
        <v>19514.25</v>
      </c>
      <c r="AT40" s="606">
        <f>$AF$26</f>
        <v>21409.919999999998</v>
      </c>
      <c r="AU40" s="606">
        <f>$AG$26</f>
        <v>24643.71</v>
      </c>
      <c r="AV40" s="606">
        <f>$AH$26</f>
        <v>23863.14</v>
      </c>
      <c r="AW40" s="606">
        <f>$AI$26</f>
        <v>23305.589999999997</v>
      </c>
    </row>
    <row r="41" spans="1:49" x14ac:dyDescent="0.2">
      <c r="A41" s="312" t="s">
        <v>303</v>
      </c>
      <c r="B41" s="271"/>
      <c r="C41" s="271"/>
      <c r="D41" s="271"/>
      <c r="E41" s="271"/>
      <c r="F41" s="271"/>
      <c r="G41" s="271"/>
      <c r="H41" s="271"/>
      <c r="I41" s="271"/>
      <c r="J41" s="271"/>
      <c r="K41" s="271"/>
      <c r="L41" s="271"/>
      <c r="M41" s="271"/>
      <c r="N41" s="271"/>
      <c r="O41" s="271"/>
      <c r="P41" s="271"/>
      <c r="Q41" s="271"/>
      <c r="R41" s="271"/>
      <c r="S41" s="271"/>
      <c r="T41" s="271"/>
      <c r="U41" s="271"/>
      <c r="V41" s="271"/>
      <c r="W41" s="271"/>
      <c r="X41" s="271"/>
      <c r="Y41" s="271"/>
      <c r="Z41" s="271"/>
      <c r="AA41" s="271"/>
      <c r="AB41" s="271"/>
      <c r="AC41" s="285">
        <f>$N$26</f>
        <v>0</v>
      </c>
      <c r="AD41" s="313">
        <f>$N$26</f>
        <v>0</v>
      </c>
      <c r="AE41" s="271">
        <f>$O$26</f>
        <v>0</v>
      </c>
      <c r="AF41" s="271">
        <f>$P$26</f>
        <v>0</v>
      </c>
      <c r="AG41" s="271">
        <f>$Q$26</f>
        <v>0</v>
      </c>
      <c r="AH41" s="271">
        <f>$R$26</f>
        <v>0</v>
      </c>
      <c r="AI41" s="271">
        <f>$S$26</f>
        <v>0</v>
      </c>
      <c r="AJ41" s="271">
        <f>$T$26</f>
        <v>0</v>
      </c>
      <c r="AK41" s="271">
        <f>$U$26</f>
        <v>0</v>
      </c>
      <c r="AL41" s="606">
        <f t="shared" ref="AL41:AO41" si="7">$U$26</f>
        <v>0</v>
      </c>
      <c r="AM41" s="606">
        <f t="shared" si="7"/>
        <v>0</v>
      </c>
      <c r="AN41" s="606">
        <f t="shared" si="7"/>
        <v>0</v>
      </c>
      <c r="AO41" s="606">
        <f t="shared" si="7"/>
        <v>0</v>
      </c>
      <c r="AP41" s="606">
        <f>$Z$26</f>
        <v>16057.439999999999</v>
      </c>
      <c r="AQ41" s="606">
        <f>$AA$26</f>
        <v>22007.16</v>
      </c>
      <c r="AR41" s="606">
        <f>$AB$26</f>
        <v>16168.949999999999</v>
      </c>
      <c r="AS41" s="606">
        <f>$AD$26</f>
        <v>18956.699999999997</v>
      </c>
      <c r="AT41" s="606">
        <f>$AE$26</f>
        <v>19514.25</v>
      </c>
      <c r="AU41" s="606">
        <f>$AF$26</f>
        <v>21409.919999999998</v>
      </c>
      <c r="AV41" s="606">
        <f>$AG$26</f>
        <v>24643.71</v>
      </c>
      <c r="AW41" s="606">
        <f>$AH$26</f>
        <v>23863.14</v>
      </c>
    </row>
    <row r="42" spans="1:49" x14ac:dyDescent="0.2">
      <c r="A42" s="312" t="s">
        <v>304</v>
      </c>
      <c r="B42" s="271"/>
      <c r="C42" s="271"/>
      <c r="D42" s="271"/>
      <c r="E42" s="271"/>
      <c r="F42" s="271"/>
      <c r="G42" s="271"/>
      <c r="H42" s="271"/>
      <c r="I42" s="271"/>
      <c r="J42" s="271"/>
      <c r="K42" s="271"/>
      <c r="L42" s="271"/>
      <c r="M42" s="271"/>
      <c r="N42" s="271"/>
      <c r="O42" s="271"/>
      <c r="P42" s="271"/>
      <c r="Q42" s="271"/>
      <c r="R42" s="271"/>
      <c r="S42" s="271"/>
      <c r="T42" s="271"/>
      <c r="U42" s="271"/>
      <c r="V42" s="271"/>
      <c r="W42" s="271"/>
      <c r="X42" s="271"/>
      <c r="Y42" s="271"/>
      <c r="Z42" s="271"/>
      <c r="AA42" s="271"/>
      <c r="AB42" s="271"/>
      <c r="AC42" s="271"/>
      <c r="AD42" s="285">
        <f>$N$26</f>
        <v>0</v>
      </c>
      <c r="AE42" s="313">
        <f>$N$26</f>
        <v>0</v>
      </c>
      <c r="AF42" s="271">
        <f>$O$26</f>
        <v>0</v>
      </c>
      <c r="AG42" s="271">
        <f>$P$26</f>
        <v>0</v>
      </c>
      <c r="AH42" s="271">
        <f>$Q$26</f>
        <v>0</v>
      </c>
      <c r="AI42" s="271">
        <f>$R$26</f>
        <v>0</v>
      </c>
      <c r="AJ42" s="271">
        <f>$S$26</f>
        <v>0</v>
      </c>
      <c r="AK42" s="271">
        <f>$T$26</f>
        <v>0</v>
      </c>
      <c r="AL42" s="606">
        <f t="shared" ref="AL42:AP42" si="8">$T$26</f>
        <v>0</v>
      </c>
      <c r="AM42" s="606">
        <f t="shared" si="8"/>
        <v>0</v>
      </c>
      <c r="AN42" s="606">
        <f t="shared" si="8"/>
        <v>0</v>
      </c>
      <c r="AO42" s="606">
        <f t="shared" si="8"/>
        <v>0</v>
      </c>
      <c r="AP42" s="606">
        <f t="shared" si="8"/>
        <v>0</v>
      </c>
      <c r="AQ42" s="606">
        <f>$Z$26</f>
        <v>16057.439999999999</v>
      </c>
      <c r="AR42" s="606">
        <f>$AA$26</f>
        <v>22007.16</v>
      </c>
      <c r="AS42" s="606">
        <f>$AB$26</f>
        <v>16168.949999999999</v>
      </c>
      <c r="AT42" s="606">
        <f>$AD$26</f>
        <v>18956.699999999997</v>
      </c>
      <c r="AU42" s="606">
        <f>$AE$26</f>
        <v>19514.25</v>
      </c>
      <c r="AV42" s="606">
        <f>$AF$26</f>
        <v>21409.919999999998</v>
      </c>
      <c r="AW42" s="606">
        <f>$AG$26</f>
        <v>24643.71</v>
      </c>
    </row>
    <row r="43" spans="1:49" x14ac:dyDescent="0.2">
      <c r="A43" s="312" t="s">
        <v>305</v>
      </c>
      <c r="B43" s="271"/>
      <c r="C43" s="271"/>
      <c r="D43" s="271"/>
      <c r="E43" s="271"/>
      <c r="F43" s="271"/>
      <c r="G43" s="271"/>
      <c r="H43" s="271"/>
      <c r="I43" s="271"/>
      <c r="J43" s="271"/>
      <c r="K43" s="271"/>
      <c r="L43" s="271"/>
      <c r="M43" s="271"/>
      <c r="N43" s="271"/>
      <c r="O43" s="271"/>
      <c r="P43" s="271"/>
      <c r="Q43" s="271"/>
      <c r="R43" s="271"/>
      <c r="S43" s="271"/>
      <c r="T43" s="271"/>
      <c r="U43" s="271"/>
      <c r="V43" s="271"/>
      <c r="W43" s="271"/>
      <c r="X43" s="271"/>
      <c r="Y43" s="271"/>
      <c r="Z43" s="271"/>
      <c r="AA43" s="271"/>
      <c r="AB43" s="271"/>
      <c r="AC43" s="271"/>
      <c r="AD43" s="271"/>
      <c r="AE43" s="285">
        <f>$N$26</f>
        <v>0</v>
      </c>
      <c r="AF43" s="313">
        <f>$N$26</f>
        <v>0</v>
      </c>
      <c r="AG43" s="271">
        <f>$O$26</f>
        <v>0</v>
      </c>
      <c r="AH43" s="271">
        <f>$P$26</f>
        <v>0</v>
      </c>
      <c r="AI43" s="271">
        <f>$Q$26</f>
        <v>0</v>
      </c>
      <c r="AJ43" s="271">
        <f>$R$26</f>
        <v>0</v>
      </c>
      <c r="AK43" s="271">
        <f>$S$26</f>
        <v>0</v>
      </c>
      <c r="AL43" s="606">
        <f t="shared" ref="AL43:AQ43" si="9">$S$26</f>
        <v>0</v>
      </c>
      <c r="AM43" s="606">
        <f t="shared" si="9"/>
        <v>0</v>
      </c>
      <c r="AN43" s="606">
        <f t="shared" si="9"/>
        <v>0</v>
      </c>
      <c r="AO43" s="606">
        <f t="shared" si="9"/>
        <v>0</v>
      </c>
      <c r="AP43" s="606">
        <f t="shared" si="9"/>
        <v>0</v>
      </c>
      <c r="AQ43" s="606">
        <f t="shared" si="9"/>
        <v>0</v>
      </c>
      <c r="AR43" s="606">
        <f>$Z$26</f>
        <v>16057.439999999999</v>
      </c>
      <c r="AS43" s="606">
        <f>$AA$26</f>
        <v>22007.16</v>
      </c>
      <c r="AT43" s="606">
        <f>$AB$26</f>
        <v>16168.949999999999</v>
      </c>
      <c r="AU43" s="606">
        <f>$AD$26</f>
        <v>18956.699999999997</v>
      </c>
      <c r="AV43" s="606">
        <f>$AE$26</f>
        <v>19514.25</v>
      </c>
      <c r="AW43" s="606">
        <f>$AF$26</f>
        <v>21409.919999999998</v>
      </c>
    </row>
    <row r="44" spans="1:49" x14ac:dyDescent="0.2">
      <c r="A44" s="312" t="s">
        <v>306</v>
      </c>
      <c r="B44" s="271"/>
      <c r="C44" s="271"/>
      <c r="D44" s="271"/>
      <c r="E44" s="271"/>
      <c r="F44" s="271"/>
      <c r="G44" s="271"/>
      <c r="H44" s="271"/>
      <c r="I44" s="271"/>
      <c r="J44" s="271"/>
      <c r="K44" s="271"/>
      <c r="L44" s="271"/>
      <c r="M44" s="271"/>
      <c r="N44" s="271"/>
      <c r="O44" s="271"/>
      <c r="P44" s="271"/>
      <c r="Q44" s="271"/>
      <c r="R44" s="271"/>
      <c r="S44" s="271"/>
      <c r="T44" s="271"/>
      <c r="U44" s="271"/>
      <c r="V44" s="271"/>
      <c r="W44" s="271"/>
      <c r="X44" s="271"/>
      <c r="Y44" s="271"/>
      <c r="Z44" s="271"/>
      <c r="AA44" s="271"/>
      <c r="AB44" s="271"/>
      <c r="AC44" s="271"/>
      <c r="AD44" s="271"/>
      <c r="AE44" s="271"/>
      <c r="AF44" s="285">
        <f>$N$26</f>
        <v>0</v>
      </c>
      <c r="AG44" s="313">
        <f>$N$26</f>
        <v>0</v>
      </c>
      <c r="AH44" s="271">
        <f>$O$26</f>
        <v>0</v>
      </c>
      <c r="AI44" s="271">
        <f>$P$26</f>
        <v>0</v>
      </c>
      <c r="AJ44" s="271">
        <f>$Q$26</f>
        <v>0</v>
      </c>
      <c r="AK44" s="271">
        <f>$R$26</f>
        <v>0</v>
      </c>
      <c r="AL44" s="606">
        <f t="shared" ref="AL44:AR44" si="10">$R$26</f>
        <v>0</v>
      </c>
      <c r="AM44" s="606">
        <f t="shared" si="10"/>
        <v>0</v>
      </c>
      <c r="AN44" s="606">
        <f t="shared" si="10"/>
        <v>0</v>
      </c>
      <c r="AO44" s="606">
        <f t="shared" si="10"/>
        <v>0</v>
      </c>
      <c r="AP44" s="606">
        <f t="shared" si="10"/>
        <v>0</v>
      </c>
      <c r="AQ44" s="606">
        <f t="shared" si="10"/>
        <v>0</v>
      </c>
      <c r="AR44" s="606">
        <f t="shared" si="10"/>
        <v>0</v>
      </c>
      <c r="AS44" s="606">
        <f>$Z$26</f>
        <v>16057.439999999999</v>
      </c>
      <c r="AT44" s="606">
        <f>$AA$26</f>
        <v>22007.16</v>
      </c>
      <c r="AU44" s="606">
        <f>$AB$26</f>
        <v>16168.949999999999</v>
      </c>
      <c r="AV44" s="606">
        <f>$AD$26</f>
        <v>18956.699999999997</v>
      </c>
      <c r="AW44" s="606">
        <f>$AE$26</f>
        <v>19514.25</v>
      </c>
    </row>
    <row r="45" spans="1:49" x14ac:dyDescent="0.2">
      <c r="A45" s="312" t="s">
        <v>307</v>
      </c>
      <c r="B45" s="271"/>
      <c r="C45" s="271"/>
      <c r="D45" s="271"/>
      <c r="E45" s="271"/>
      <c r="F45" s="271"/>
      <c r="G45" s="271"/>
      <c r="H45" s="271"/>
      <c r="I45" s="271"/>
      <c r="J45" s="271"/>
      <c r="K45" s="271"/>
      <c r="L45" s="271"/>
      <c r="M45" s="271"/>
      <c r="N45" s="271"/>
      <c r="O45" s="271"/>
      <c r="P45" s="271"/>
      <c r="Q45" s="271"/>
      <c r="R45" s="271"/>
      <c r="S45" s="271"/>
      <c r="T45" s="271"/>
      <c r="U45" s="271"/>
      <c r="V45" s="271"/>
      <c r="W45" s="271"/>
      <c r="X45" s="271"/>
      <c r="Y45" s="271"/>
      <c r="Z45" s="271"/>
      <c r="AA45" s="271"/>
      <c r="AB45" s="271"/>
      <c r="AC45" s="271"/>
      <c r="AD45" s="271"/>
      <c r="AE45" s="271"/>
      <c r="AF45" s="271"/>
      <c r="AG45" s="285">
        <f>$N$26</f>
        <v>0</v>
      </c>
      <c r="AH45" s="313">
        <f>$N$26</f>
        <v>0</v>
      </c>
      <c r="AI45" s="271">
        <f>$O$26</f>
        <v>0</v>
      </c>
      <c r="AJ45" s="271">
        <f>$P$26</f>
        <v>0</v>
      </c>
      <c r="AK45" s="271">
        <f>$Q$26</f>
        <v>0</v>
      </c>
      <c r="AL45" s="606">
        <f t="shared" ref="AL45:AS45" si="11">$Q$26</f>
        <v>0</v>
      </c>
      <c r="AM45" s="606">
        <f t="shared" si="11"/>
        <v>0</v>
      </c>
      <c r="AN45" s="606">
        <f t="shared" si="11"/>
        <v>0</v>
      </c>
      <c r="AO45" s="606">
        <f t="shared" si="11"/>
        <v>0</v>
      </c>
      <c r="AP45" s="606">
        <f t="shared" si="11"/>
        <v>0</v>
      </c>
      <c r="AQ45" s="606">
        <f t="shared" si="11"/>
        <v>0</v>
      </c>
      <c r="AR45" s="606">
        <f t="shared" si="11"/>
        <v>0</v>
      </c>
      <c r="AS45" s="606">
        <f t="shared" si="11"/>
        <v>0</v>
      </c>
      <c r="AT45" s="606">
        <f>$Z$26</f>
        <v>16057.439999999999</v>
      </c>
      <c r="AU45" s="606">
        <f>$AA$26</f>
        <v>22007.16</v>
      </c>
      <c r="AV45" s="606">
        <f>$AB$26</f>
        <v>16168.949999999999</v>
      </c>
      <c r="AW45" s="606">
        <f>$AD$26</f>
        <v>18956.699999999997</v>
      </c>
    </row>
    <row r="46" spans="1:49" x14ac:dyDescent="0.2">
      <c r="A46" s="312" t="s">
        <v>308</v>
      </c>
      <c r="B46" s="271"/>
      <c r="C46" s="271"/>
      <c r="D46" s="271"/>
      <c r="E46" s="271"/>
      <c r="F46" s="271"/>
      <c r="G46" s="271"/>
      <c r="H46" s="271"/>
      <c r="I46" s="271"/>
      <c r="J46" s="271"/>
      <c r="K46" s="271"/>
      <c r="L46" s="271"/>
      <c r="M46" s="271"/>
      <c r="N46" s="271"/>
      <c r="O46" s="271"/>
      <c r="P46" s="271"/>
      <c r="Q46" s="271"/>
      <c r="R46" s="271"/>
      <c r="S46" s="271"/>
      <c r="T46" s="271"/>
      <c r="U46" s="271"/>
      <c r="V46" s="271"/>
      <c r="W46" s="271"/>
      <c r="X46" s="271"/>
      <c r="Y46" s="271"/>
      <c r="Z46" s="271"/>
      <c r="AA46" s="271"/>
      <c r="AB46" s="271"/>
      <c r="AC46" s="271"/>
      <c r="AD46" s="271"/>
      <c r="AE46" s="271"/>
      <c r="AF46" s="271"/>
      <c r="AG46" s="271"/>
      <c r="AH46" s="285">
        <f>$N$26</f>
        <v>0</v>
      </c>
      <c r="AI46" s="313">
        <f>$N$26</f>
        <v>0</v>
      </c>
      <c r="AJ46" s="271">
        <f>$O$26</f>
        <v>0</v>
      </c>
      <c r="AK46" s="271">
        <f>$P$26</f>
        <v>0</v>
      </c>
      <c r="AL46" s="606">
        <f t="shared" ref="AL46:AT46" si="12">$P$26</f>
        <v>0</v>
      </c>
      <c r="AM46" s="606">
        <f t="shared" si="12"/>
        <v>0</v>
      </c>
      <c r="AN46" s="606">
        <f t="shared" si="12"/>
        <v>0</v>
      </c>
      <c r="AO46" s="606">
        <f t="shared" si="12"/>
        <v>0</v>
      </c>
      <c r="AP46" s="606">
        <f t="shared" si="12"/>
        <v>0</v>
      </c>
      <c r="AQ46" s="606">
        <f t="shared" si="12"/>
        <v>0</v>
      </c>
      <c r="AR46" s="606">
        <f t="shared" si="12"/>
        <v>0</v>
      </c>
      <c r="AS46" s="606">
        <f t="shared" si="12"/>
        <v>0</v>
      </c>
      <c r="AT46" s="606">
        <f t="shared" si="12"/>
        <v>0</v>
      </c>
      <c r="AU46" s="606">
        <f>$Z$26</f>
        <v>16057.439999999999</v>
      </c>
      <c r="AV46" s="606">
        <f>$AA$26</f>
        <v>22007.16</v>
      </c>
      <c r="AW46" s="606">
        <f>$AB$26</f>
        <v>16168.949999999999</v>
      </c>
    </row>
    <row r="47" spans="1:49" x14ac:dyDescent="0.2">
      <c r="A47" s="312" t="s">
        <v>309</v>
      </c>
      <c r="B47" s="271"/>
      <c r="C47" s="271"/>
      <c r="D47" s="271"/>
      <c r="E47" s="271"/>
      <c r="F47" s="271"/>
      <c r="G47" s="271"/>
      <c r="H47" s="271"/>
      <c r="I47" s="271"/>
      <c r="J47" s="271"/>
      <c r="K47" s="271"/>
      <c r="L47" s="271"/>
      <c r="M47" s="271"/>
      <c r="N47" s="271"/>
      <c r="O47" s="271"/>
      <c r="P47" s="271"/>
      <c r="Q47" s="271"/>
      <c r="R47" s="271"/>
      <c r="S47" s="271"/>
      <c r="T47" s="271"/>
      <c r="U47" s="271"/>
      <c r="V47" s="271"/>
      <c r="W47" s="271"/>
      <c r="X47" s="271"/>
      <c r="Y47" s="271"/>
      <c r="Z47" s="271"/>
      <c r="AA47" s="271"/>
      <c r="AB47" s="271"/>
      <c r="AC47" s="271"/>
      <c r="AD47" s="271"/>
      <c r="AE47" s="271"/>
      <c r="AF47" s="271"/>
      <c r="AG47" s="271"/>
      <c r="AH47" s="271"/>
      <c r="AI47" s="285">
        <f>$N$26</f>
        <v>0</v>
      </c>
      <c r="AJ47" s="313">
        <f>$N$26</f>
        <v>0</v>
      </c>
      <c r="AK47" s="271">
        <f>$O$26</f>
        <v>0</v>
      </c>
      <c r="AL47" s="606">
        <f t="shared" ref="AL47:AU47" si="13">$O$26</f>
        <v>0</v>
      </c>
      <c r="AM47" s="606">
        <f t="shared" si="13"/>
        <v>0</v>
      </c>
      <c r="AN47" s="606">
        <f t="shared" si="13"/>
        <v>0</v>
      </c>
      <c r="AO47" s="606">
        <f t="shared" si="13"/>
        <v>0</v>
      </c>
      <c r="AP47" s="606">
        <f t="shared" si="13"/>
        <v>0</v>
      </c>
      <c r="AQ47" s="606">
        <f t="shared" si="13"/>
        <v>0</v>
      </c>
      <c r="AR47" s="606">
        <f t="shared" si="13"/>
        <v>0</v>
      </c>
      <c r="AS47" s="606">
        <f t="shared" si="13"/>
        <v>0</v>
      </c>
      <c r="AT47" s="606">
        <f t="shared" si="13"/>
        <v>0</v>
      </c>
      <c r="AU47" s="606">
        <f t="shared" si="13"/>
        <v>0</v>
      </c>
      <c r="AV47" s="606">
        <f>$Z$26</f>
        <v>16057.439999999999</v>
      </c>
      <c r="AW47" s="606">
        <f>$AA$26</f>
        <v>22007.16</v>
      </c>
    </row>
    <row r="48" spans="1:49" x14ac:dyDescent="0.2">
      <c r="A48" s="312" t="s">
        <v>310</v>
      </c>
      <c r="B48" s="271"/>
      <c r="C48" s="271"/>
      <c r="D48" s="271"/>
      <c r="E48" s="271"/>
      <c r="F48" s="271"/>
      <c r="G48" s="271"/>
      <c r="H48" s="271"/>
      <c r="I48" s="271"/>
      <c r="J48" s="271"/>
      <c r="K48" s="271"/>
      <c r="L48" s="271"/>
      <c r="M48" s="271"/>
      <c r="N48" s="271"/>
      <c r="O48" s="271"/>
      <c r="P48" s="271"/>
      <c r="Q48" s="271"/>
      <c r="R48" s="271"/>
      <c r="S48" s="271"/>
      <c r="T48" s="271"/>
      <c r="U48" s="271"/>
      <c r="V48" s="271"/>
      <c r="W48" s="271"/>
      <c r="X48" s="271"/>
      <c r="Y48" s="271"/>
      <c r="Z48" s="271"/>
      <c r="AA48" s="271"/>
      <c r="AB48" s="271"/>
      <c r="AC48" s="271"/>
      <c r="AD48" s="271"/>
      <c r="AE48" s="271"/>
      <c r="AF48" s="271"/>
      <c r="AG48" s="271"/>
      <c r="AH48" s="271"/>
      <c r="AI48" s="271"/>
      <c r="AJ48" s="285">
        <f>$N$26</f>
        <v>0</v>
      </c>
      <c r="AK48" s="313">
        <f>$N$26</f>
        <v>0</v>
      </c>
      <c r="AL48" s="608">
        <f t="shared" ref="AL48:AW61" si="14">$N$26</f>
        <v>0</v>
      </c>
      <c r="AM48" s="608">
        <f t="shared" si="14"/>
        <v>0</v>
      </c>
      <c r="AN48" s="608">
        <f t="shared" si="14"/>
        <v>0</v>
      </c>
      <c r="AO48" s="608">
        <f t="shared" si="14"/>
        <v>0</v>
      </c>
      <c r="AP48" s="608">
        <f t="shared" si="14"/>
        <v>0</v>
      </c>
      <c r="AQ48" s="608">
        <f t="shared" si="14"/>
        <v>0</v>
      </c>
      <c r="AR48" s="608">
        <f t="shared" si="14"/>
        <v>0</v>
      </c>
      <c r="AS48" s="608">
        <f t="shared" si="14"/>
        <v>0</v>
      </c>
      <c r="AT48" s="608">
        <f t="shared" si="14"/>
        <v>0</v>
      </c>
      <c r="AU48" s="608">
        <f t="shared" si="14"/>
        <v>0</v>
      </c>
      <c r="AV48" s="608">
        <f t="shared" si="14"/>
        <v>0</v>
      </c>
      <c r="AW48" s="606">
        <f>$Z$26</f>
        <v>16057.439999999999</v>
      </c>
    </row>
    <row r="49" spans="1:49" x14ac:dyDescent="0.2">
      <c r="A49" s="312" t="s">
        <v>311</v>
      </c>
      <c r="B49" s="271"/>
      <c r="C49" s="271"/>
      <c r="D49" s="271"/>
      <c r="E49" s="271"/>
      <c r="F49" s="271"/>
      <c r="G49" s="271"/>
      <c r="H49" s="271"/>
      <c r="I49" s="271"/>
      <c r="J49" s="271"/>
      <c r="K49" s="271"/>
      <c r="L49" s="271"/>
      <c r="M49" s="271"/>
      <c r="N49" s="271"/>
      <c r="O49" s="271"/>
      <c r="P49" s="271"/>
      <c r="Q49" s="271"/>
      <c r="R49" s="271"/>
      <c r="S49" s="271"/>
      <c r="T49" s="271"/>
      <c r="U49" s="271"/>
      <c r="V49" s="271"/>
      <c r="W49" s="271"/>
      <c r="X49" s="271"/>
      <c r="Y49" s="271"/>
      <c r="Z49" s="271"/>
      <c r="AA49" s="271"/>
      <c r="AB49" s="271"/>
      <c r="AC49" s="271"/>
      <c r="AD49" s="271"/>
      <c r="AE49" s="271"/>
      <c r="AF49" s="271"/>
      <c r="AG49" s="271"/>
      <c r="AH49" s="271"/>
      <c r="AI49" s="271"/>
      <c r="AJ49" s="271"/>
      <c r="AK49" s="285">
        <f>$N$26</f>
        <v>0</v>
      </c>
      <c r="AL49" s="606">
        <f t="shared" si="14"/>
        <v>0</v>
      </c>
      <c r="AM49" s="606">
        <f t="shared" si="14"/>
        <v>0</v>
      </c>
      <c r="AN49" s="606">
        <f t="shared" si="14"/>
        <v>0</v>
      </c>
      <c r="AO49" s="606">
        <f t="shared" si="14"/>
        <v>0</v>
      </c>
      <c r="AP49" s="606">
        <f t="shared" si="14"/>
        <v>0</v>
      </c>
      <c r="AQ49" s="606">
        <f t="shared" si="14"/>
        <v>0</v>
      </c>
      <c r="AR49" s="606">
        <f t="shared" si="14"/>
        <v>0</v>
      </c>
      <c r="AS49" s="606">
        <f t="shared" si="14"/>
        <v>0</v>
      </c>
      <c r="AT49" s="606">
        <f t="shared" si="14"/>
        <v>0</v>
      </c>
      <c r="AU49" s="606">
        <f t="shared" si="14"/>
        <v>0</v>
      </c>
      <c r="AV49" s="606">
        <f t="shared" si="14"/>
        <v>0</v>
      </c>
      <c r="AW49" s="606">
        <f t="shared" si="14"/>
        <v>0</v>
      </c>
    </row>
    <row r="50" spans="1:49" x14ac:dyDescent="0.2">
      <c r="A50" s="605" t="s">
        <v>767</v>
      </c>
      <c r="B50" s="271"/>
      <c r="C50" s="271"/>
      <c r="D50" s="271"/>
      <c r="E50" s="271"/>
      <c r="F50" s="271"/>
      <c r="G50" s="271"/>
      <c r="H50" s="271"/>
      <c r="I50" s="271"/>
      <c r="J50" s="271"/>
      <c r="K50" s="271"/>
      <c r="L50" s="271"/>
      <c r="M50" s="271"/>
      <c r="N50" s="271"/>
      <c r="O50" s="271"/>
      <c r="P50" s="271"/>
      <c r="Q50" s="271"/>
      <c r="R50" s="271"/>
      <c r="S50" s="271"/>
      <c r="T50" s="271"/>
      <c r="U50" s="271"/>
      <c r="V50" s="271"/>
      <c r="W50" s="271"/>
      <c r="X50" s="271"/>
      <c r="Y50" s="271"/>
      <c r="Z50" s="271"/>
      <c r="AA50" s="271"/>
      <c r="AB50" s="271"/>
      <c r="AC50" s="271"/>
      <c r="AD50" s="271"/>
      <c r="AE50" s="271"/>
      <c r="AF50" s="271"/>
      <c r="AG50" s="271"/>
      <c r="AH50" s="271"/>
      <c r="AI50" s="271"/>
      <c r="AJ50" s="285"/>
      <c r="AK50" s="313"/>
      <c r="AL50" s="607">
        <f t="shared" si="14"/>
        <v>0</v>
      </c>
      <c r="AM50" s="611">
        <f t="shared" si="14"/>
        <v>0</v>
      </c>
      <c r="AN50" s="611">
        <f t="shared" si="14"/>
        <v>0</v>
      </c>
      <c r="AO50" s="611">
        <f t="shared" si="14"/>
        <v>0</v>
      </c>
      <c r="AP50" s="611">
        <f t="shared" si="14"/>
        <v>0</v>
      </c>
      <c r="AQ50" s="611">
        <f t="shared" si="14"/>
        <v>0</v>
      </c>
      <c r="AR50" s="611">
        <f t="shared" si="14"/>
        <v>0</v>
      </c>
      <c r="AS50" s="611">
        <f t="shared" si="14"/>
        <v>0</v>
      </c>
      <c r="AT50" s="611">
        <f t="shared" si="14"/>
        <v>0</v>
      </c>
      <c r="AU50" s="611">
        <f t="shared" si="14"/>
        <v>0</v>
      </c>
      <c r="AV50" s="611">
        <f t="shared" si="14"/>
        <v>0</v>
      </c>
      <c r="AW50" s="611">
        <f t="shared" si="14"/>
        <v>0</v>
      </c>
    </row>
    <row r="51" spans="1:49" x14ac:dyDescent="0.2">
      <c r="A51" s="605" t="s">
        <v>768</v>
      </c>
      <c r="B51" s="271"/>
      <c r="C51" s="271"/>
      <c r="D51" s="271"/>
      <c r="E51" s="271"/>
      <c r="F51" s="271"/>
      <c r="G51" s="271"/>
      <c r="H51" s="271"/>
      <c r="I51" s="271"/>
      <c r="J51" s="271"/>
      <c r="K51" s="271"/>
      <c r="L51" s="271"/>
      <c r="M51" s="271"/>
      <c r="N51" s="271"/>
      <c r="O51" s="271"/>
      <c r="P51" s="271"/>
      <c r="Q51" s="271"/>
      <c r="R51" s="271"/>
      <c r="S51" s="271"/>
      <c r="T51" s="271"/>
      <c r="U51" s="271"/>
      <c r="V51" s="271"/>
      <c r="W51" s="271"/>
      <c r="X51" s="271"/>
      <c r="Y51" s="271"/>
      <c r="Z51" s="271"/>
      <c r="AA51" s="271"/>
      <c r="AB51" s="271"/>
      <c r="AC51" s="271"/>
      <c r="AD51" s="271"/>
      <c r="AE51" s="271"/>
      <c r="AF51" s="271"/>
      <c r="AG51" s="271"/>
      <c r="AH51" s="271"/>
      <c r="AI51" s="271"/>
      <c r="AJ51" s="285"/>
      <c r="AK51" s="313"/>
      <c r="AL51" s="605"/>
      <c r="AM51" s="607">
        <f t="shared" si="14"/>
        <v>0</v>
      </c>
      <c r="AN51" s="611">
        <f t="shared" si="14"/>
        <v>0</v>
      </c>
      <c r="AO51" s="611">
        <f t="shared" si="14"/>
        <v>0</v>
      </c>
      <c r="AP51" s="611">
        <f t="shared" si="14"/>
        <v>0</v>
      </c>
      <c r="AQ51" s="611">
        <f t="shared" si="14"/>
        <v>0</v>
      </c>
      <c r="AR51" s="611">
        <f t="shared" si="14"/>
        <v>0</v>
      </c>
      <c r="AS51" s="611">
        <f t="shared" si="14"/>
        <v>0</v>
      </c>
      <c r="AT51" s="611">
        <f t="shared" si="14"/>
        <v>0</v>
      </c>
      <c r="AU51" s="611">
        <f t="shared" si="14"/>
        <v>0</v>
      </c>
      <c r="AV51" s="611">
        <f t="shared" si="14"/>
        <v>0</v>
      </c>
      <c r="AW51" s="611">
        <f t="shared" si="14"/>
        <v>0</v>
      </c>
    </row>
    <row r="52" spans="1:49" x14ac:dyDescent="0.2">
      <c r="A52" s="605" t="s">
        <v>769</v>
      </c>
      <c r="B52" s="271"/>
      <c r="C52" s="271"/>
      <c r="D52" s="271"/>
      <c r="E52" s="271"/>
      <c r="F52" s="271"/>
      <c r="G52" s="271"/>
      <c r="H52" s="271"/>
      <c r="I52" s="271"/>
      <c r="J52" s="271"/>
      <c r="K52" s="271"/>
      <c r="L52" s="271"/>
      <c r="M52" s="271"/>
      <c r="N52" s="271"/>
      <c r="O52" s="271"/>
      <c r="P52" s="271"/>
      <c r="Q52" s="271"/>
      <c r="R52" s="271"/>
      <c r="S52" s="271"/>
      <c r="T52" s="271"/>
      <c r="U52" s="271"/>
      <c r="V52" s="271"/>
      <c r="W52" s="271"/>
      <c r="X52" s="271"/>
      <c r="Y52" s="271"/>
      <c r="Z52" s="271"/>
      <c r="AA52" s="271"/>
      <c r="AB52" s="271"/>
      <c r="AC52" s="271"/>
      <c r="AD52" s="271"/>
      <c r="AE52" s="271"/>
      <c r="AF52" s="271"/>
      <c r="AG52" s="271"/>
      <c r="AH52" s="271"/>
      <c r="AI52" s="271"/>
      <c r="AJ52" s="285"/>
      <c r="AK52" s="313"/>
      <c r="AL52" s="605"/>
      <c r="AM52" s="605"/>
      <c r="AN52" s="607">
        <f t="shared" si="14"/>
        <v>0</v>
      </c>
      <c r="AO52" s="611">
        <f t="shared" si="14"/>
        <v>0</v>
      </c>
      <c r="AP52" s="611">
        <f t="shared" si="14"/>
        <v>0</v>
      </c>
      <c r="AQ52" s="611">
        <f t="shared" si="14"/>
        <v>0</v>
      </c>
      <c r="AR52" s="611">
        <f t="shared" si="14"/>
        <v>0</v>
      </c>
      <c r="AS52" s="611">
        <f t="shared" si="14"/>
        <v>0</v>
      </c>
      <c r="AT52" s="611">
        <f t="shared" si="14"/>
        <v>0</v>
      </c>
      <c r="AU52" s="611">
        <f t="shared" si="14"/>
        <v>0</v>
      </c>
      <c r="AV52" s="611">
        <f t="shared" si="14"/>
        <v>0</v>
      </c>
      <c r="AW52" s="611">
        <f t="shared" si="14"/>
        <v>0</v>
      </c>
    </row>
    <row r="53" spans="1:49" x14ac:dyDescent="0.2">
      <c r="A53" s="605" t="s">
        <v>770</v>
      </c>
      <c r="B53" s="271"/>
      <c r="C53" s="271"/>
      <c r="D53" s="271"/>
      <c r="E53" s="271"/>
      <c r="F53" s="271"/>
      <c r="G53" s="271"/>
      <c r="H53" s="271"/>
      <c r="I53" s="271"/>
      <c r="J53" s="271"/>
      <c r="K53" s="271"/>
      <c r="L53" s="271"/>
      <c r="M53" s="271"/>
      <c r="N53" s="271"/>
      <c r="O53" s="271"/>
      <c r="P53" s="271"/>
      <c r="Q53" s="271"/>
      <c r="R53" s="271"/>
      <c r="S53" s="271"/>
      <c r="T53" s="271"/>
      <c r="U53" s="271"/>
      <c r="V53" s="271"/>
      <c r="W53" s="271"/>
      <c r="X53" s="271"/>
      <c r="Y53" s="271"/>
      <c r="Z53" s="271"/>
      <c r="AA53" s="271"/>
      <c r="AB53" s="271"/>
      <c r="AC53" s="271"/>
      <c r="AD53" s="271"/>
      <c r="AE53" s="271"/>
      <c r="AF53" s="271"/>
      <c r="AG53" s="271"/>
      <c r="AH53" s="271"/>
      <c r="AI53" s="271"/>
      <c r="AJ53" s="285"/>
      <c r="AK53" s="313"/>
      <c r="AL53" s="605"/>
      <c r="AM53" s="605"/>
      <c r="AN53" s="605"/>
      <c r="AO53" s="607">
        <f t="shared" si="14"/>
        <v>0</v>
      </c>
      <c r="AP53" s="611">
        <f t="shared" si="14"/>
        <v>0</v>
      </c>
      <c r="AQ53" s="611">
        <f t="shared" si="14"/>
        <v>0</v>
      </c>
      <c r="AR53" s="611">
        <f t="shared" si="14"/>
        <v>0</v>
      </c>
      <c r="AS53" s="611">
        <f t="shared" si="14"/>
        <v>0</v>
      </c>
      <c r="AT53" s="611">
        <f t="shared" si="14"/>
        <v>0</v>
      </c>
      <c r="AU53" s="611">
        <f t="shared" si="14"/>
        <v>0</v>
      </c>
      <c r="AV53" s="611">
        <f t="shared" si="14"/>
        <v>0</v>
      </c>
      <c r="AW53" s="611">
        <f t="shared" si="14"/>
        <v>0</v>
      </c>
    </row>
    <row r="54" spans="1:49" x14ac:dyDescent="0.2">
      <c r="A54" s="605" t="s">
        <v>771</v>
      </c>
      <c r="B54" s="271"/>
      <c r="C54" s="271"/>
      <c r="D54" s="271"/>
      <c r="E54" s="271"/>
      <c r="F54" s="271"/>
      <c r="G54" s="271"/>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85"/>
      <c r="AK54" s="313"/>
      <c r="AL54" s="605"/>
      <c r="AM54" s="605"/>
      <c r="AN54" s="605"/>
      <c r="AO54" s="605"/>
      <c r="AP54" s="607">
        <f t="shared" si="14"/>
        <v>0</v>
      </c>
      <c r="AQ54" s="611">
        <f t="shared" si="14"/>
        <v>0</v>
      </c>
      <c r="AR54" s="611">
        <f t="shared" si="14"/>
        <v>0</v>
      </c>
      <c r="AS54" s="611">
        <f t="shared" si="14"/>
        <v>0</v>
      </c>
      <c r="AT54" s="611">
        <f t="shared" si="14"/>
        <v>0</v>
      </c>
      <c r="AU54" s="611">
        <f t="shared" si="14"/>
        <v>0</v>
      </c>
      <c r="AV54" s="611">
        <f t="shared" si="14"/>
        <v>0</v>
      </c>
      <c r="AW54" s="611">
        <f t="shared" si="14"/>
        <v>0</v>
      </c>
    </row>
    <row r="55" spans="1:49" x14ac:dyDescent="0.2">
      <c r="A55" s="605" t="s">
        <v>772</v>
      </c>
      <c r="B55" s="271"/>
      <c r="C55" s="271"/>
      <c r="D55" s="271"/>
      <c r="E55" s="271"/>
      <c r="F55" s="271"/>
      <c r="G55" s="271"/>
      <c r="H55" s="271"/>
      <c r="I55" s="271"/>
      <c r="J55" s="271"/>
      <c r="K55" s="271"/>
      <c r="L55" s="271"/>
      <c r="M55" s="271"/>
      <c r="N55" s="271"/>
      <c r="O55" s="271"/>
      <c r="P55" s="271"/>
      <c r="Q55" s="271"/>
      <c r="R55" s="271"/>
      <c r="S55" s="271"/>
      <c r="T55" s="271"/>
      <c r="U55" s="271"/>
      <c r="V55" s="271"/>
      <c r="W55" s="271"/>
      <c r="X55" s="271"/>
      <c r="Y55" s="271"/>
      <c r="Z55" s="271"/>
      <c r="AA55" s="271"/>
      <c r="AB55" s="271"/>
      <c r="AC55" s="271"/>
      <c r="AD55" s="271"/>
      <c r="AE55" s="271"/>
      <c r="AF55" s="271"/>
      <c r="AG55" s="271"/>
      <c r="AH55" s="271"/>
      <c r="AI55" s="271"/>
      <c r="AJ55" s="285"/>
      <c r="AK55" s="313"/>
      <c r="AL55" s="605"/>
      <c r="AM55" s="605"/>
      <c r="AN55" s="605"/>
      <c r="AO55" s="605"/>
      <c r="AP55" s="605"/>
      <c r="AQ55" s="607">
        <f t="shared" si="14"/>
        <v>0</v>
      </c>
      <c r="AR55" s="611">
        <f t="shared" si="14"/>
        <v>0</v>
      </c>
      <c r="AS55" s="611">
        <f t="shared" si="14"/>
        <v>0</v>
      </c>
      <c r="AT55" s="611">
        <f t="shared" si="14"/>
        <v>0</v>
      </c>
      <c r="AU55" s="611">
        <f t="shared" si="14"/>
        <v>0</v>
      </c>
      <c r="AV55" s="611">
        <f t="shared" si="14"/>
        <v>0</v>
      </c>
      <c r="AW55" s="611">
        <f t="shared" si="14"/>
        <v>0</v>
      </c>
    </row>
    <row r="56" spans="1:49" x14ac:dyDescent="0.2">
      <c r="A56" s="605" t="s">
        <v>773</v>
      </c>
      <c r="B56" s="271"/>
      <c r="C56" s="271"/>
      <c r="D56" s="271"/>
      <c r="E56" s="271"/>
      <c r="F56" s="271"/>
      <c r="G56" s="271"/>
      <c r="H56" s="271"/>
      <c r="I56" s="271"/>
      <c r="J56" s="271"/>
      <c r="K56" s="271"/>
      <c r="L56" s="271"/>
      <c r="M56" s="271"/>
      <c r="N56" s="271"/>
      <c r="O56" s="271"/>
      <c r="P56" s="271"/>
      <c r="Q56" s="271"/>
      <c r="R56" s="271"/>
      <c r="S56" s="271"/>
      <c r="T56" s="271"/>
      <c r="U56" s="271"/>
      <c r="V56" s="271"/>
      <c r="W56" s="271"/>
      <c r="X56" s="271"/>
      <c r="Y56" s="271"/>
      <c r="Z56" s="271"/>
      <c r="AA56" s="271"/>
      <c r="AB56" s="271"/>
      <c r="AC56" s="271"/>
      <c r="AD56" s="271"/>
      <c r="AE56" s="271"/>
      <c r="AF56" s="271"/>
      <c r="AG56" s="271"/>
      <c r="AH56" s="271"/>
      <c r="AI56" s="271"/>
      <c r="AJ56" s="285"/>
      <c r="AK56" s="313"/>
      <c r="AL56" s="605"/>
      <c r="AM56" s="605"/>
      <c r="AN56" s="605"/>
      <c r="AO56" s="605"/>
      <c r="AP56" s="605"/>
      <c r="AQ56" s="605"/>
      <c r="AR56" s="607">
        <f t="shared" si="14"/>
        <v>0</v>
      </c>
      <c r="AS56" s="611">
        <f t="shared" si="14"/>
        <v>0</v>
      </c>
      <c r="AT56" s="611">
        <f t="shared" si="14"/>
        <v>0</v>
      </c>
      <c r="AU56" s="611">
        <f t="shared" si="14"/>
        <v>0</v>
      </c>
      <c r="AV56" s="611">
        <f t="shared" si="14"/>
        <v>0</v>
      </c>
      <c r="AW56" s="611">
        <f t="shared" si="14"/>
        <v>0</v>
      </c>
    </row>
    <row r="57" spans="1:49" x14ac:dyDescent="0.2">
      <c r="A57" s="605" t="s">
        <v>774</v>
      </c>
      <c r="B57" s="271"/>
      <c r="C57" s="271"/>
      <c r="D57" s="271"/>
      <c r="E57" s="271"/>
      <c r="F57" s="271"/>
      <c r="G57" s="271"/>
      <c r="H57" s="271"/>
      <c r="I57" s="271"/>
      <c r="J57" s="271"/>
      <c r="K57" s="271"/>
      <c r="L57" s="271"/>
      <c r="M57" s="271"/>
      <c r="N57" s="271"/>
      <c r="O57" s="271"/>
      <c r="P57" s="271"/>
      <c r="Q57" s="271"/>
      <c r="R57" s="271"/>
      <c r="S57" s="271"/>
      <c r="T57" s="271"/>
      <c r="U57" s="271"/>
      <c r="V57" s="271"/>
      <c r="W57" s="271"/>
      <c r="X57" s="271"/>
      <c r="Y57" s="271"/>
      <c r="Z57" s="271"/>
      <c r="AA57" s="271"/>
      <c r="AB57" s="271"/>
      <c r="AC57" s="271"/>
      <c r="AD57" s="271"/>
      <c r="AE57" s="271"/>
      <c r="AF57" s="271"/>
      <c r="AG57" s="271"/>
      <c r="AH57" s="271"/>
      <c r="AI57" s="271"/>
      <c r="AJ57" s="285"/>
      <c r="AK57" s="313"/>
      <c r="AL57" s="605"/>
      <c r="AM57" s="605"/>
      <c r="AN57" s="605"/>
      <c r="AO57" s="605"/>
      <c r="AP57" s="605"/>
      <c r="AQ57" s="605"/>
      <c r="AR57" s="605"/>
      <c r="AS57" s="607">
        <f t="shared" si="14"/>
        <v>0</v>
      </c>
      <c r="AT57" s="611">
        <f t="shared" si="14"/>
        <v>0</v>
      </c>
      <c r="AU57" s="611">
        <f t="shared" si="14"/>
        <v>0</v>
      </c>
      <c r="AV57" s="611">
        <f t="shared" si="14"/>
        <v>0</v>
      </c>
      <c r="AW57" s="611">
        <f t="shared" si="14"/>
        <v>0</v>
      </c>
    </row>
    <row r="58" spans="1:49" x14ac:dyDescent="0.2">
      <c r="A58" s="605" t="s">
        <v>775</v>
      </c>
      <c r="B58" s="271"/>
      <c r="C58" s="271"/>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85"/>
      <c r="AK58" s="313"/>
      <c r="AL58" s="605"/>
      <c r="AM58" s="605"/>
      <c r="AN58" s="605"/>
      <c r="AO58" s="605"/>
      <c r="AP58" s="605"/>
      <c r="AQ58" s="605"/>
      <c r="AR58" s="605"/>
      <c r="AS58" s="605"/>
      <c r="AT58" s="607">
        <f t="shared" si="14"/>
        <v>0</v>
      </c>
      <c r="AU58" s="611">
        <f t="shared" si="14"/>
        <v>0</v>
      </c>
      <c r="AV58" s="611">
        <f t="shared" si="14"/>
        <v>0</v>
      </c>
      <c r="AW58" s="611">
        <f t="shared" si="14"/>
        <v>0</v>
      </c>
    </row>
    <row r="59" spans="1:49" x14ac:dyDescent="0.2">
      <c r="A59" s="605" t="s">
        <v>776</v>
      </c>
      <c r="B59" s="271"/>
      <c r="C59" s="271"/>
      <c r="D59" s="271"/>
      <c r="E59" s="271"/>
      <c r="F59" s="271"/>
      <c r="G59" s="271"/>
      <c r="H59" s="271"/>
      <c r="I59" s="271"/>
      <c r="J59" s="271"/>
      <c r="K59" s="271"/>
      <c r="L59" s="271"/>
      <c r="M59" s="271"/>
      <c r="N59" s="271"/>
      <c r="O59" s="271"/>
      <c r="P59" s="271"/>
      <c r="Q59" s="271"/>
      <c r="R59" s="271"/>
      <c r="S59" s="271"/>
      <c r="T59" s="271"/>
      <c r="U59" s="271"/>
      <c r="V59" s="271"/>
      <c r="W59" s="271"/>
      <c r="X59" s="271"/>
      <c r="Y59" s="271"/>
      <c r="Z59" s="271"/>
      <c r="AA59" s="271"/>
      <c r="AB59" s="271"/>
      <c r="AC59" s="271"/>
      <c r="AD59" s="271"/>
      <c r="AE59" s="271"/>
      <c r="AF59" s="271"/>
      <c r="AG59" s="271"/>
      <c r="AH59" s="271"/>
      <c r="AI59" s="271"/>
      <c r="AJ59" s="285"/>
      <c r="AK59" s="313"/>
      <c r="AL59" s="605"/>
      <c r="AM59" s="605"/>
      <c r="AN59" s="605"/>
      <c r="AO59" s="605"/>
      <c r="AP59" s="605"/>
      <c r="AQ59" s="605"/>
      <c r="AR59" s="605"/>
      <c r="AS59" s="605"/>
      <c r="AT59" s="605"/>
      <c r="AU59" s="607">
        <f t="shared" si="14"/>
        <v>0</v>
      </c>
      <c r="AV59" s="611">
        <f t="shared" si="14"/>
        <v>0</v>
      </c>
      <c r="AW59" s="611">
        <f t="shared" si="14"/>
        <v>0</v>
      </c>
    </row>
    <row r="60" spans="1:49" x14ac:dyDescent="0.2">
      <c r="A60" s="605" t="s">
        <v>777</v>
      </c>
      <c r="B60" s="271"/>
      <c r="C60" s="271"/>
      <c r="D60" s="271"/>
      <c r="E60" s="271"/>
      <c r="F60" s="271"/>
      <c r="G60" s="271"/>
      <c r="H60" s="271"/>
      <c r="I60" s="271"/>
      <c r="J60" s="271"/>
      <c r="K60" s="271"/>
      <c r="L60" s="271"/>
      <c r="M60" s="271"/>
      <c r="N60" s="271"/>
      <c r="O60" s="271"/>
      <c r="P60" s="271"/>
      <c r="Q60" s="271"/>
      <c r="R60" s="271"/>
      <c r="S60" s="271"/>
      <c r="T60" s="271"/>
      <c r="U60" s="271"/>
      <c r="V60" s="271"/>
      <c r="W60" s="271"/>
      <c r="X60" s="271"/>
      <c r="Y60" s="271"/>
      <c r="Z60" s="271"/>
      <c r="AA60" s="271"/>
      <c r="AB60" s="271"/>
      <c r="AC60" s="271"/>
      <c r="AD60" s="271"/>
      <c r="AE60" s="271"/>
      <c r="AF60" s="271"/>
      <c r="AG60" s="271"/>
      <c r="AH60" s="271"/>
      <c r="AI60" s="271"/>
      <c r="AJ60" s="285"/>
      <c r="AK60" s="313"/>
      <c r="AL60" s="605"/>
      <c r="AM60" s="605"/>
      <c r="AN60" s="605"/>
      <c r="AO60" s="605"/>
      <c r="AP60" s="605"/>
      <c r="AQ60" s="605"/>
      <c r="AR60" s="605"/>
      <c r="AS60" s="605"/>
      <c r="AT60" s="605"/>
      <c r="AU60" s="605"/>
      <c r="AV60" s="607">
        <f t="shared" si="14"/>
        <v>0</v>
      </c>
      <c r="AW60" s="611">
        <f t="shared" si="14"/>
        <v>0</v>
      </c>
    </row>
    <row r="61" spans="1:49" x14ac:dyDescent="0.2">
      <c r="A61" s="605" t="s">
        <v>778</v>
      </c>
      <c r="B61" s="271"/>
      <c r="C61" s="271"/>
      <c r="D61" s="271"/>
      <c r="E61" s="271"/>
      <c r="F61" s="271"/>
      <c r="G61" s="271"/>
      <c r="H61" s="271"/>
      <c r="I61" s="271"/>
      <c r="J61" s="271"/>
      <c r="K61" s="271"/>
      <c r="L61" s="271"/>
      <c r="M61" s="271"/>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85">
        <f>$N$26</f>
        <v>0</v>
      </c>
      <c r="AL61" s="605"/>
      <c r="AM61" s="605"/>
      <c r="AN61" s="605"/>
      <c r="AO61" s="605"/>
      <c r="AP61" s="605"/>
      <c r="AQ61" s="605"/>
      <c r="AR61" s="605"/>
      <c r="AS61" s="605"/>
      <c r="AT61" s="605"/>
      <c r="AU61" s="605"/>
      <c r="AV61" s="605"/>
      <c r="AW61" s="607">
        <f t="shared" si="14"/>
        <v>0</v>
      </c>
    </row>
    <row r="62" spans="1:49" x14ac:dyDescent="0.2">
      <c r="B62" s="271"/>
      <c r="C62" s="271"/>
      <c r="D62" s="271"/>
      <c r="E62" s="271"/>
      <c r="F62" s="271"/>
      <c r="G62" s="271"/>
      <c r="H62" s="271"/>
      <c r="I62" s="271"/>
      <c r="J62" s="271"/>
      <c r="K62" s="271"/>
      <c r="L62" s="271"/>
      <c r="M62" s="271"/>
      <c r="N62" s="271"/>
      <c r="O62" s="271"/>
      <c r="P62" s="271"/>
      <c r="Q62" s="271"/>
      <c r="R62" s="271"/>
      <c r="S62" s="271"/>
      <c r="T62" s="271"/>
      <c r="U62" s="271"/>
      <c r="V62" s="271"/>
      <c r="W62" s="271"/>
      <c r="X62" s="271"/>
      <c r="Y62" s="271"/>
      <c r="Z62" s="271"/>
      <c r="AA62" s="271"/>
      <c r="AB62" s="271"/>
      <c r="AC62" s="271"/>
      <c r="AD62" s="271"/>
      <c r="AE62" s="271"/>
      <c r="AF62" s="271"/>
      <c r="AG62" s="271"/>
      <c r="AH62" s="271"/>
      <c r="AI62" s="271"/>
      <c r="AJ62" s="271"/>
      <c r="AK62" s="271"/>
    </row>
    <row r="63" spans="1:49" x14ac:dyDescent="0.2">
      <c r="A63" s="312" t="s">
        <v>274</v>
      </c>
      <c r="B63" s="282">
        <f t="shared" ref="B63:AA63" si="15">SUM(B14:B61)</f>
        <v>0</v>
      </c>
      <c r="C63" s="282">
        <f t="shared" si="15"/>
        <v>0</v>
      </c>
      <c r="D63" s="282">
        <f t="shared" si="15"/>
        <v>0</v>
      </c>
      <c r="E63" s="282">
        <f t="shared" si="15"/>
        <v>0</v>
      </c>
      <c r="F63" s="282">
        <f t="shared" si="15"/>
        <v>0</v>
      </c>
      <c r="G63" s="282">
        <f t="shared" si="15"/>
        <v>0</v>
      </c>
      <c r="H63" s="282">
        <f t="shared" si="15"/>
        <v>0</v>
      </c>
      <c r="I63" s="282">
        <f t="shared" si="15"/>
        <v>0</v>
      </c>
      <c r="J63" s="282">
        <f t="shared" si="15"/>
        <v>0</v>
      </c>
      <c r="K63" s="282">
        <f t="shared" si="15"/>
        <v>0</v>
      </c>
      <c r="L63" s="282">
        <f t="shared" si="15"/>
        <v>0</v>
      </c>
      <c r="M63" s="282">
        <f t="shared" si="15"/>
        <v>0</v>
      </c>
      <c r="N63" s="282">
        <f t="shared" si="15"/>
        <v>16057.439999999999</v>
      </c>
      <c r="O63" s="282">
        <f t="shared" si="15"/>
        <v>38064.6</v>
      </c>
      <c r="P63" s="282">
        <f t="shared" si="15"/>
        <v>54233.55</v>
      </c>
      <c r="Q63" s="282">
        <f t="shared" si="15"/>
        <v>71629.11</v>
      </c>
      <c r="R63" s="282">
        <f t="shared" si="15"/>
        <v>90585.81</v>
      </c>
      <c r="S63" s="282">
        <f t="shared" si="15"/>
        <v>110100.06</v>
      </c>
      <c r="T63" s="282">
        <f t="shared" si="15"/>
        <v>131509.97999999998</v>
      </c>
      <c r="U63" s="282">
        <f t="shared" si="15"/>
        <v>156153.69</v>
      </c>
      <c r="V63" s="282">
        <f t="shared" si="15"/>
        <v>180016.83</v>
      </c>
      <c r="W63" s="282">
        <f t="shared" si="15"/>
        <v>203322.42</v>
      </c>
      <c r="X63" s="282">
        <f t="shared" si="15"/>
        <v>226962.54</v>
      </c>
      <c r="Y63" s="282">
        <f t="shared" si="15"/>
        <v>243131.49000000002</v>
      </c>
      <c r="Z63" s="282">
        <f t="shared" si="15"/>
        <v>272570.13</v>
      </c>
      <c r="AA63" s="282">
        <f t="shared" si="15"/>
        <v>301674.23999999999</v>
      </c>
      <c r="AB63" s="282">
        <f>SUM(AB14:AB61)</f>
        <v>318472.56</v>
      </c>
      <c r="AC63" s="282">
        <f>SUM(AC14:AC61)</f>
        <v>352824.19559999998</v>
      </c>
      <c r="AD63" s="282">
        <f t="shared" ref="AD63:AW63" si="16">SUM(AD14:AD61)</f>
        <v>380363.34239999996</v>
      </c>
      <c r="AE63" s="282">
        <f t="shared" si="16"/>
        <v>405596.46239999996</v>
      </c>
      <c r="AF63" s="282">
        <f t="shared" si="16"/>
        <v>428306.27040000004</v>
      </c>
      <c r="AG63" s="282">
        <f t="shared" si="16"/>
        <v>448492.76639999996</v>
      </c>
      <c r="AH63" s="282">
        <f t="shared" si="16"/>
        <v>468679.26240000001</v>
      </c>
      <c r="AI63" s="282">
        <f t="shared" si="16"/>
        <v>498488.46064565436</v>
      </c>
      <c r="AJ63" s="282">
        <f t="shared" si="16"/>
        <v>528297.6588913087</v>
      </c>
      <c r="AK63" s="282">
        <f t="shared" si="16"/>
        <v>558106.85713696305</v>
      </c>
      <c r="AL63" s="282">
        <f t="shared" si="16"/>
        <v>587913.48013696296</v>
      </c>
      <c r="AM63" s="282">
        <f t="shared" si="16"/>
        <v>617720.10313696286</v>
      </c>
      <c r="AN63" s="282">
        <f t="shared" si="16"/>
        <v>647526.72613696288</v>
      </c>
      <c r="AO63" s="282">
        <f t="shared" si="16"/>
        <v>677333.3491369629</v>
      </c>
      <c r="AP63" s="282">
        <f t="shared" si="16"/>
        <v>707139.97213696293</v>
      </c>
      <c r="AQ63" s="282">
        <f t="shared" si="16"/>
        <v>736946.59513696283</v>
      </c>
      <c r="AR63" s="282">
        <f t="shared" si="16"/>
        <v>766753.21813696274</v>
      </c>
      <c r="AS63" s="282">
        <f t="shared" si="16"/>
        <v>796559.84113696276</v>
      </c>
      <c r="AT63" s="282">
        <f t="shared" si="16"/>
        <v>826366.46413696278</v>
      </c>
      <c r="AU63" s="282">
        <f t="shared" si="16"/>
        <v>856173.0871369628</v>
      </c>
      <c r="AV63" s="282">
        <f t="shared" si="16"/>
        <v>885979.71013696282</v>
      </c>
      <c r="AW63" s="282">
        <f t="shared" si="16"/>
        <v>915786.33313696273</v>
      </c>
    </row>
    <row r="64" spans="1:49" x14ac:dyDescent="0.2">
      <c r="Q64" s="253"/>
    </row>
    <row r="65" spans="1:49" x14ac:dyDescent="0.2">
      <c r="A65" s="312" t="s">
        <v>277</v>
      </c>
      <c r="B65" s="283">
        <f>K78</f>
        <v>0</v>
      </c>
      <c r="C65" s="283">
        <f t="shared" ref="C65:M65" si="17">B65-$L$78</f>
        <v>0</v>
      </c>
      <c r="D65" s="283">
        <f t="shared" si="17"/>
        <v>0</v>
      </c>
      <c r="E65" s="283">
        <f t="shared" si="17"/>
        <v>0</v>
      </c>
      <c r="F65" s="283">
        <f t="shared" si="17"/>
        <v>0</v>
      </c>
      <c r="G65" s="283">
        <f t="shared" si="17"/>
        <v>0</v>
      </c>
      <c r="H65" s="283">
        <f t="shared" si="17"/>
        <v>0</v>
      </c>
      <c r="I65" s="283">
        <f t="shared" si="17"/>
        <v>0</v>
      </c>
      <c r="J65" s="283">
        <f t="shared" si="17"/>
        <v>0</v>
      </c>
      <c r="K65" s="283">
        <f t="shared" si="17"/>
        <v>0</v>
      </c>
      <c r="L65" s="283">
        <f t="shared" si="17"/>
        <v>0</v>
      </c>
      <c r="M65" s="283">
        <f t="shared" si="17"/>
        <v>0</v>
      </c>
      <c r="N65" s="635">
        <v>260847.80462724934</v>
      </c>
      <c r="O65" s="283">
        <f t="shared" ref="O65:AW65" si="18">MAX(N65-$C$83-C82,0)</f>
        <v>167643.0396562255</v>
      </c>
      <c r="P65" s="283">
        <f t="shared" si="18"/>
        <v>118148.27468520167</v>
      </c>
      <c r="Q65" s="283">
        <f t="shared" si="18"/>
        <v>68653.509714177839</v>
      </c>
      <c r="R65" s="283">
        <f t="shared" si="18"/>
        <v>19158.744743154013</v>
      </c>
      <c r="S65" s="283">
        <f t="shared" si="18"/>
        <v>0</v>
      </c>
      <c r="T65" s="283">
        <f t="shared" si="18"/>
        <v>0</v>
      </c>
      <c r="U65" s="283">
        <f t="shared" si="18"/>
        <v>0</v>
      </c>
      <c r="V65" s="283">
        <f t="shared" si="18"/>
        <v>0</v>
      </c>
      <c r="W65" s="283">
        <f t="shared" si="18"/>
        <v>0</v>
      </c>
      <c r="X65" s="283">
        <f t="shared" si="18"/>
        <v>0</v>
      </c>
      <c r="Y65" s="283">
        <f t="shared" si="18"/>
        <v>0</v>
      </c>
      <c r="Z65" s="283">
        <f t="shared" si="18"/>
        <v>0</v>
      </c>
      <c r="AA65" s="283">
        <f t="shared" si="18"/>
        <v>0</v>
      </c>
      <c r="AB65" s="283">
        <f t="shared" si="18"/>
        <v>0</v>
      </c>
      <c r="AC65" s="283">
        <f t="shared" si="18"/>
        <v>0</v>
      </c>
      <c r="AD65" s="283">
        <f t="shared" si="18"/>
        <v>0</v>
      </c>
      <c r="AE65" s="283">
        <f t="shared" si="18"/>
        <v>0</v>
      </c>
      <c r="AF65" s="283">
        <f t="shared" si="18"/>
        <v>0</v>
      </c>
      <c r="AG65" s="283">
        <f t="shared" si="18"/>
        <v>0</v>
      </c>
      <c r="AH65" s="283">
        <f t="shared" si="18"/>
        <v>0</v>
      </c>
      <c r="AI65" s="283">
        <f t="shared" si="18"/>
        <v>0</v>
      </c>
      <c r="AJ65" s="283">
        <f t="shared" si="18"/>
        <v>0</v>
      </c>
      <c r="AK65" s="283">
        <f t="shared" si="18"/>
        <v>0</v>
      </c>
      <c r="AL65" s="283">
        <f t="shared" si="18"/>
        <v>0</v>
      </c>
      <c r="AM65" s="283">
        <f t="shared" si="18"/>
        <v>0</v>
      </c>
      <c r="AN65" s="283">
        <f t="shared" si="18"/>
        <v>0</v>
      </c>
      <c r="AO65" s="283">
        <f t="shared" si="18"/>
        <v>0</v>
      </c>
      <c r="AP65" s="283">
        <f t="shared" si="18"/>
        <v>0</v>
      </c>
      <c r="AQ65" s="283">
        <f t="shared" si="18"/>
        <v>0</v>
      </c>
      <c r="AR65" s="283">
        <f t="shared" si="18"/>
        <v>0</v>
      </c>
      <c r="AS65" s="283">
        <f t="shared" si="18"/>
        <v>0</v>
      </c>
      <c r="AT65" s="283">
        <f t="shared" si="18"/>
        <v>0</v>
      </c>
      <c r="AU65" s="283">
        <f t="shared" si="18"/>
        <v>0</v>
      </c>
      <c r="AV65" s="283">
        <f t="shared" si="18"/>
        <v>0</v>
      </c>
      <c r="AW65" s="283">
        <f t="shared" si="18"/>
        <v>0</v>
      </c>
    </row>
    <row r="66" spans="1:49" ht="13.5" thickBot="1" x14ac:dyDescent="0.25">
      <c r="A66" s="312" t="s">
        <v>373</v>
      </c>
      <c r="B66" s="284">
        <f t="shared" ref="B66:M66" si="19">B67</f>
        <v>242213.62797794119</v>
      </c>
      <c r="C66" s="284">
        <f t="shared" si="19"/>
        <v>219405.35115619653</v>
      </c>
      <c r="D66" s="284">
        <f t="shared" si="19"/>
        <v>225309.26849148984</v>
      </c>
      <c r="E66" s="284">
        <f t="shared" si="19"/>
        <v>252784.38380696421</v>
      </c>
      <c r="F66" s="284">
        <f t="shared" si="19"/>
        <v>263416.23156794423</v>
      </c>
      <c r="G66" s="284">
        <f t="shared" si="19"/>
        <v>255558.36004504506</v>
      </c>
      <c r="H66" s="284">
        <f t="shared" si="19"/>
        <v>254678.50221319796</v>
      </c>
      <c r="I66" s="284">
        <f t="shared" si="19"/>
        <v>279194.02613816533</v>
      </c>
      <c r="J66" s="284">
        <f t="shared" si="19"/>
        <v>290679.45922372438</v>
      </c>
      <c r="K66" s="284">
        <f t="shared" si="19"/>
        <v>291794.5817965765</v>
      </c>
      <c r="L66" s="284">
        <f t="shared" si="19"/>
        <v>302128.20705103443</v>
      </c>
      <c r="M66" s="284">
        <f t="shared" si="19"/>
        <v>259641.98895027622</v>
      </c>
      <c r="N66" s="284">
        <f>N65</f>
        <v>260847.80462724934</v>
      </c>
      <c r="O66" s="284">
        <f>O65+O63</f>
        <v>205707.63965622551</v>
      </c>
      <c r="P66" s="284">
        <f t="shared" ref="P66:AW66" si="20">P65+P63</f>
        <v>172381.82468520169</v>
      </c>
      <c r="Q66" s="284">
        <f t="shared" si="20"/>
        <v>140282.61971417785</v>
      </c>
      <c r="R66" s="284">
        <f t="shared" si="20"/>
        <v>109744.554743154</v>
      </c>
      <c r="S66" s="284">
        <f t="shared" si="20"/>
        <v>110100.06</v>
      </c>
      <c r="T66" s="284">
        <f t="shared" si="20"/>
        <v>131509.97999999998</v>
      </c>
      <c r="U66" s="284">
        <f t="shared" si="20"/>
        <v>156153.69</v>
      </c>
      <c r="V66" s="284">
        <f t="shared" si="20"/>
        <v>180016.83</v>
      </c>
      <c r="W66" s="284">
        <f t="shared" si="20"/>
        <v>203322.42</v>
      </c>
      <c r="X66" s="284">
        <f t="shared" si="20"/>
        <v>226962.54</v>
      </c>
      <c r="Y66" s="284">
        <f t="shared" si="20"/>
        <v>243131.49000000002</v>
      </c>
      <c r="Z66" s="284">
        <f t="shared" si="20"/>
        <v>272570.13</v>
      </c>
      <c r="AA66" s="284">
        <f t="shared" si="20"/>
        <v>301674.23999999999</v>
      </c>
      <c r="AB66" s="284">
        <f t="shared" si="20"/>
        <v>318472.56</v>
      </c>
      <c r="AC66" s="284">
        <f t="shared" si="20"/>
        <v>352824.19559999998</v>
      </c>
      <c r="AD66" s="284">
        <f t="shared" si="20"/>
        <v>380363.34239999996</v>
      </c>
      <c r="AE66" s="284">
        <f t="shared" si="20"/>
        <v>405596.46239999996</v>
      </c>
      <c r="AF66" s="284">
        <f t="shared" si="20"/>
        <v>428306.27040000004</v>
      </c>
      <c r="AG66" s="284">
        <f t="shared" si="20"/>
        <v>448492.76639999996</v>
      </c>
      <c r="AH66" s="284">
        <f t="shared" si="20"/>
        <v>468679.26240000001</v>
      </c>
      <c r="AI66" s="284">
        <f t="shared" si="20"/>
        <v>498488.46064565436</v>
      </c>
      <c r="AJ66" s="284">
        <f t="shared" si="20"/>
        <v>528297.6588913087</v>
      </c>
      <c r="AK66" s="284">
        <f t="shared" si="20"/>
        <v>558106.85713696305</v>
      </c>
      <c r="AL66" s="284">
        <f t="shared" si="20"/>
        <v>587913.48013696296</v>
      </c>
      <c r="AM66" s="284">
        <f t="shared" si="20"/>
        <v>617720.10313696286</v>
      </c>
      <c r="AN66" s="284">
        <f t="shared" si="20"/>
        <v>647526.72613696288</v>
      </c>
      <c r="AO66" s="284">
        <f t="shared" si="20"/>
        <v>677333.3491369629</v>
      </c>
      <c r="AP66" s="284">
        <f t="shared" si="20"/>
        <v>707139.97213696293</v>
      </c>
      <c r="AQ66" s="284">
        <f t="shared" si="20"/>
        <v>736946.59513696283</v>
      </c>
      <c r="AR66" s="284">
        <f t="shared" si="20"/>
        <v>766753.21813696274</v>
      </c>
      <c r="AS66" s="284">
        <f t="shared" si="20"/>
        <v>796559.84113696276</v>
      </c>
      <c r="AT66" s="284">
        <f t="shared" si="20"/>
        <v>826366.46413696278</v>
      </c>
      <c r="AU66" s="284">
        <f t="shared" si="20"/>
        <v>856173.0871369628</v>
      </c>
      <c r="AV66" s="284">
        <f t="shared" si="20"/>
        <v>885979.71013696282</v>
      </c>
      <c r="AW66" s="284">
        <f t="shared" si="20"/>
        <v>915786.33313696273</v>
      </c>
    </row>
    <row r="67" spans="1:49" ht="13.5" thickTop="1" x14ac:dyDescent="0.2">
      <c r="A67" s="312" t="s">
        <v>243</v>
      </c>
      <c r="B67" s="634">
        <v>242213.62797794119</v>
      </c>
      <c r="C67" s="634">
        <v>219405.35115619653</v>
      </c>
      <c r="D67" s="634">
        <v>225309.26849148984</v>
      </c>
      <c r="E67" s="634">
        <v>252784.38380696421</v>
      </c>
      <c r="F67" s="634">
        <v>263416.23156794423</v>
      </c>
      <c r="G67" s="634">
        <v>255558.36004504506</v>
      </c>
      <c r="H67" s="634">
        <v>254678.50221319796</v>
      </c>
      <c r="I67" s="634">
        <v>279194.02613816533</v>
      </c>
      <c r="J67" s="634">
        <v>290679.45922372438</v>
      </c>
      <c r="K67" s="634">
        <v>291794.5817965765</v>
      </c>
      <c r="L67" s="634">
        <v>302128.20705103443</v>
      </c>
      <c r="M67" s="634">
        <v>259641.98895027622</v>
      </c>
      <c r="N67" s="634">
        <v>260847.80462724934</v>
      </c>
      <c r="O67" s="313"/>
      <c r="P67" s="313"/>
      <c r="Q67" s="313"/>
      <c r="R67" s="313"/>
      <c r="S67" s="313"/>
      <c r="T67" s="313"/>
      <c r="U67" s="313"/>
      <c r="V67" s="313"/>
      <c r="W67" s="313">
        <f t="shared" ref="W67:AW67" si="21">O67*110%</f>
        <v>0</v>
      </c>
      <c r="X67" s="313">
        <f t="shared" si="21"/>
        <v>0</v>
      </c>
      <c r="Y67" s="313">
        <f t="shared" si="21"/>
        <v>0</v>
      </c>
      <c r="Z67" s="313">
        <f t="shared" si="21"/>
        <v>0</v>
      </c>
      <c r="AA67" s="313">
        <f t="shared" si="21"/>
        <v>0</v>
      </c>
      <c r="AB67" s="313">
        <f t="shared" si="21"/>
        <v>0</v>
      </c>
      <c r="AC67" s="313">
        <f t="shared" si="21"/>
        <v>0</v>
      </c>
      <c r="AD67" s="313">
        <f t="shared" si="21"/>
        <v>0</v>
      </c>
      <c r="AE67" s="313">
        <f t="shared" si="21"/>
        <v>0</v>
      </c>
      <c r="AF67" s="313">
        <f t="shared" si="21"/>
        <v>0</v>
      </c>
      <c r="AG67" s="313">
        <f t="shared" si="21"/>
        <v>0</v>
      </c>
      <c r="AH67" s="313">
        <f t="shared" si="21"/>
        <v>0</v>
      </c>
      <c r="AI67" s="313">
        <f t="shared" si="21"/>
        <v>0</v>
      </c>
      <c r="AJ67" s="313">
        <f t="shared" si="21"/>
        <v>0</v>
      </c>
      <c r="AK67" s="313">
        <f t="shared" si="21"/>
        <v>0</v>
      </c>
      <c r="AL67" s="313">
        <f t="shared" si="21"/>
        <v>0</v>
      </c>
      <c r="AM67" s="313">
        <f t="shared" si="21"/>
        <v>0</v>
      </c>
      <c r="AN67" s="313">
        <f t="shared" si="21"/>
        <v>0</v>
      </c>
      <c r="AO67" s="313">
        <f t="shared" si="21"/>
        <v>0</v>
      </c>
      <c r="AP67" s="313">
        <f t="shared" si="21"/>
        <v>0</v>
      </c>
      <c r="AQ67" s="313">
        <f t="shared" si="21"/>
        <v>0</v>
      </c>
      <c r="AR67" s="313">
        <f t="shared" si="21"/>
        <v>0</v>
      </c>
      <c r="AS67" s="313">
        <f t="shared" si="21"/>
        <v>0</v>
      </c>
      <c r="AT67" s="313">
        <f t="shared" si="21"/>
        <v>0</v>
      </c>
      <c r="AU67" s="313">
        <f t="shared" si="21"/>
        <v>0</v>
      </c>
      <c r="AV67" s="313">
        <f t="shared" si="21"/>
        <v>0</v>
      </c>
      <c r="AW67" s="313">
        <f t="shared" si="21"/>
        <v>0</v>
      </c>
    </row>
    <row r="68" spans="1:49" s="261" customFormat="1" ht="15.75" thickBot="1" x14ac:dyDescent="0.3">
      <c r="B68" s="261" t="s">
        <v>244</v>
      </c>
    </row>
    <row r="69" spans="1:49" x14ac:dyDescent="0.2">
      <c r="A69" s="312" t="s">
        <v>337</v>
      </c>
      <c r="B69" s="313">
        <f>B67/31</f>
        <v>7813.3428379981024</v>
      </c>
      <c r="C69" s="313">
        <f>C67/29</f>
        <v>7565.701764006777</v>
      </c>
      <c r="D69" s="313">
        <f>D67/31</f>
        <v>7268.0409190803175</v>
      </c>
      <c r="E69" s="313">
        <f>E67/30</f>
        <v>8426.1461268988078</v>
      </c>
      <c r="F69" s="313">
        <f>F67/31</f>
        <v>8497.2977925143296</v>
      </c>
      <c r="G69" s="313">
        <f>G67/30</f>
        <v>8518.6120015015022</v>
      </c>
      <c r="H69" s="313">
        <f>H66/31</f>
        <v>8215.4355552644502</v>
      </c>
      <c r="I69" s="313">
        <f>I66/31</f>
        <v>9006.2589076827517</v>
      </c>
      <c r="J69" s="313">
        <f>J66/30</f>
        <v>9689.3153074574784</v>
      </c>
      <c r="K69" s="313">
        <f>K66/31</f>
        <v>9412.7284450508541</v>
      </c>
      <c r="L69" s="313">
        <f>L66/30</f>
        <v>10070.940235034481</v>
      </c>
      <c r="M69" s="313">
        <f>M66/31</f>
        <v>8375.5480306540721</v>
      </c>
      <c r="N69" s="313">
        <f>N66/31</f>
        <v>8414.4453105564298</v>
      </c>
      <c r="O69" s="313">
        <f>O66/28</f>
        <v>7346.7014162937685</v>
      </c>
      <c r="P69" s="313">
        <f>P66/31</f>
        <v>5560.7040221032803</v>
      </c>
      <c r="Q69" s="313">
        <f>Q66/30</f>
        <v>4676.0873238059285</v>
      </c>
      <c r="R69" s="313">
        <f>R66/31</f>
        <v>3540.1469271985161</v>
      </c>
      <c r="S69" s="313">
        <f>S66/30</f>
        <v>3670.002</v>
      </c>
      <c r="T69" s="313">
        <f>T66/31</f>
        <v>4242.257419354838</v>
      </c>
      <c r="U69" s="313">
        <f>U66/31</f>
        <v>5037.2158064516134</v>
      </c>
      <c r="V69" s="313">
        <f>V66/30</f>
        <v>6000.5609999999997</v>
      </c>
      <c r="W69" s="313">
        <f>W66/31</f>
        <v>6558.7877419354845</v>
      </c>
      <c r="X69" s="313">
        <f>X66/30</f>
        <v>7565.4180000000006</v>
      </c>
      <c r="Y69" s="313">
        <f>Y66/31</f>
        <v>7842.9512903225814</v>
      </c>
      <c r="Z69" s="313">
        <f t="shared" ref="Z69:AB69" si="22">Z66/31</f>
        <v>8792.5848387096776</v>
      </c>
      <c r="AA69" s="313">
        <f t="shared" si="22"/>
        <v>9731.4270967741941</v>
      </c>
      <c r="AB69" s="313">
        <f t="shared" si="22"/>
        <v>10273.308387096775</v>
      </c>
    </row>
    <row r="70" spans="1:49" x14ac:dyDescent="0.2">
      <c r="D70" s="244"/>
    </row>
    <row r="71" spans="1:49" x14ac:dyDescent="0.2">
      <c r="A71" s="313"/>
      <c r="B71" s="313"/>
      <c r="D71" s="244"/>
      <c r="F71" s="271"/>
      <c r="M71" s="277"/>
      <c r="N71" s="271"/>
    </row>
    <row r="72" spans="1:49" ht="15" x14ac:dyDescent="0.25">
      <c r="B72" s="363"/>
      <c r="C72" s="363"/>
      <c r="D72" s="363"/>
      <c r="E72" s="363"/>
      <c r="F72" s="363"/>
      <c r="G72" s="363"/>
      <c r="H72" s="363"/>
      <c r="I72" s="363"/>
      <c r="J72" s="363"/>
      <c r="K72" s="363"/>
      <c r="L72" s="363"/>
      <c r="M72" s="363"/>
      <c r="N72" s="363"/>
      <c r="O72" s="363"/>
      <c r="P72" s="363"/>
      <c r="Q72" s="363"/>
      <c r="R72" s="363"/>
      <c r="S72" s="363"/>
      <c r="Y72" s="626" t="s">
        <v>805</v>
      </c>
      <c r="Z72" s="633">
        <v>0.2</v>
      </c>
    </row>
    <row r="73" spans="1:49" ht="15" x14ac:dyDescent="0.25">
      <c r="A73" s="626" t="s">
        <v>846</v>
      </c>
      <c r="B73" s="653">
        <v>0.44191176470588234</v>
      </c>
      <c r="C73" s="653">
        <v>0.44145685651429967</v>
      </c>
      <c r="D73" s="653">
        <v>0.44159477733737468</v>
      </c>
      <c r="E73" s="653">
        <v>0.44566487497078755</v>
      </c>
      <c r="F73" s="653">
        <v>0.44831591173054586</v>
      </c>
      <c r="G73" s="653">
        <v>0.45827406353722144</v>
      </c>
      <c r="H73" s="653">
        <v>0.46845540246555473</v>
      </c>
      <c r="I73" s="653">
        <v>0.45526613816534539</v>
      </c>
      <c r="J73" s="653">
        <v>0.45704317488006979</v>
      </c>
      <c r="K73" s="653">
        <v>0.44136941369413696</v>
      </c>
      <c r="L73" s="653">
        <v>0.45057471264367815</v>
      </c>
      <c r="M73" s="653">
        <v>0.46364640883977898</v>
      </c>
      <c r="N73" s="653">
        <v>0.45458440445586973</v>
      </c>
      <c r="O73" s="653">
        <v>0.44691519511663397</v>
      </c>
      <c r="P73" s="653">
        <v>0.4575015435274748</v>
      </c>
      <c r="Q73" s="653">
        <v>0.46320081549439346</v>
      </c>
      <c r="R73" s="653">
        <v>0.46366366366366368</v>
      </c>
      <c r="S73" s="653">
        <v>0.46337672430542065</v>
      </c>
      <c r="T73" s="653">
        <v>0.50728803120509136</v>
      </c>
      <c r="U73" s="653">
        <v>0.48679678530424797</v>
      </c>
      <c r="V73" s="653">
        <v>0.47145421903052065</v>
      </c>
      <c r="W73" s="653">
        <v>0.47461565963532354</v>
      </c>
      <c r="X73" s="653">
        <v>0.44878048780487806</v>
      </c>
      <c r="Y73" s="653">
        <v>0.44878048780487806</v>
      </c>
      <c r="Z73" s="653">
        <v>0.44878048780487806</v>
      </c>
      <c r="AA73" s="653">
        <v>0.44878048780487806</v>
      </c>
      <c r="AB73" s="653">
        <v>0.44878048780487806</v>
      </c>
    </row>
    <row r="74" spans="1:49" ht="13.5" thickBot="1" x14ac:dyDescent="0.25">
      <c r="A74" s="626" t="s">
        <v>847</v>
      </c>
      <c r="B74" s="284">
        <v>548104.05000000005</v>
      </c>
      <c r="C74" s="284">
        <v>497002.93</v>
      </c>
      <c r="D74" s="284">
        <v>510217.24</v>
      </c>
      <c r="E74" s="284">
        <v>567207.32999999996</v>
      </c>
      <c r="F74" s="284">
        <v>587568.32999999996</v>
      </c>
      <c r="G74" s="284">
        <v>557653.99</v>
      </c>
      <c r="H74" s="284">
        <v>543655.81200000003</v>
      </c>
      <c r="I74" s="284">
        <v>613254.54</v>
      </c>
      <c r="J74" s="284">
        <v>636000</v>
      </c>
      <c r="K74" s="284">
        <v>661111.92290000001</v>
      </c>
      <c r="L74" s="284">
        <v>670539.64319999993</v>
      </c>
      <c r="M74" s="284">
        <v>560000</v>
      </c>
      <c r="N74" s="284">
        <v>573816</v>
      </c>
    </row>
    <row r="75" spans="1:49" ht="13.5" thickTop="1" x14ac:dyDescent="0.2">
      <c r="A75" s="626" t="s">
        <v>848</v>
      </c>
      <c r="B75" s="634">
        <f>B73*B74</f>
        <v>242213.62797794119</v>
      </c>
      <c r="C75" s="634">
        <f t="shared" ref="C75:N75" si="23">C73*C74</f>
        <v>219405.35115619653</v>
      </c>
      <c r="D75" s="634">
        <f t="shared" si="23"/>
        <v>225309.26849148984</v>
      </c>
      <c r="E75" s="634">
        <f t="shared" si="23"/>
        <v>252784.38380696421</v>
      </c>
      <c r="F75" s="634">
        <f t="shared" si="23"/>
        <v>263416.23156794423</v>
      </c>
      <c r="G75" s="634">
        <f t="shared" si="23"/>
        <v>255558.36004504506</v>
      </c>
      <c r="H75" s="634">
        <f t="shared" si="23"/>
        <v>254678.50221319796</v>
      </c>
      <c r="I75" s="634">
        <f t="shared" si="23"/>
        <v>279194.02613816533</v>
      </c>
      <c r="J75" s="634">
        <f t="shared" si="23"/>
        <v>290679.45922372438</v>
      </c>
      <c r="K75" s="634">
        <f t="shared" si="23"/>
        <v>291794.5817965765</v>
      </c>
      <c r="L75" s="634">
        <f t="shared" si="23"/>
        <v>302128.20705103443</v>
      </c>
      <c r="M75" s="634">
        <f t="shared" si="23"/>
        <v>259641.98895027622</v>
      </c>
      <c r="N75" s="634">
        <f t="shared" si="23"/>
        <v>260847.80462724934</v>
      </c>
      <c r="Q75" s="271"/>
    </row>
    <row r="76" spans="1:49" x14ac:dyDescent="0.2">
      <c r="M76" s="277"/>
      <c r="N76" s="271"/>
    </row>
    <row r="77" spans="1:49" x14ac:dyDescent="0.2">
      <c r="B77" s="312" t="s">
        <v>493</v>
      </c>
      <c r="C77" s="313">
        <v>1553</v>
      </c>
      <c r="M77" s="277"/>
      <c r="N77" s="271"/>
    </row>
    <row r="78" spans="1:49" x14ac:dyDescent="0.2">
      <c r="B78" s="312" t="s">
        <v>494</v>
      </c>
      <c r="C78" s="317">
        <v>145</v>
      </c>
      <c r="D78" s="300"/>
      <c r="E78" s="300"/>
      <c r="F78" s="300"/>
      <c r="G78" s="300"/>
      <c r="H78" s="300"/>
      <c r="I78" s="300"/>
      <c r="J78" s="302"/>
      <c r="K78" s="317"/>
      <c r="L78" s="318"/>
      <c r="M78" s="319"/>
      <c r="N78" s="271"/>
    </row>
    <row r="79" spans="1:49" x14ac:dyDescent="0.2">
      <c r="B79" s="312" t="s">
        <v>495</v>
      </c>
      <c r="C79" s="435">
        <f>C77/C78</f>
        <v>10.710344827586207</v>
      </c>
      <c r="D79" s="300"/>
      <c r="E79" s="300"/>
      <c r="F79" s="300"/>
      <c r="G79" s="300"/>
      <c r="H79" s="300"/>
      <c r="I79" s="300"/>
      <c r="J79" s="300"/>
      <c r="K79" s="300"/>
      <c r="L79" s="300"/>
      <c r="M79" s="319"/>
      <c r="N79" s="271"/>
    </row>
    <row r="80" spans="1:49" ht="15" x14ac:dyDescent="0.25">
      <c r="B80" s="312" t="s">
        <v>498</v>
      </c>
      <c r="C80" s="156"/>
      <c r="D80" s="156"/>
      <c r="E80" s="156"/>
      <c r="F80" s="156"/>
      <c r="G80" s="156"/>
      <c r="H80" s="300"/>
      <c r="I80" s="300"/>
      <c r="J80" s="300"/>
      <c r="K80" s="300"/>
      <c r="L80" s="300"/>
      <c r="M80" s="319"/>
      <c r="N80" s="271"/>
    </row>
    <row r="81" spans="2:15" x14ac:dyDescent="0.2">
      <c r="B81" s="312" t="s">
        <v>496</v>
      </c>
      <c r="C81" s="301">
        <f>573816</f>
        <v>573816</v>
      </c>
      <c r="D81" s="263"/>
      <c r="E81" s="301"/>
      <c r="F81" s="263"/>
      <c r="G81" s="301"/>
      <c r="H81" s="300"/>
      <c r="I81" s="300"/>
      <c r="J81" s="300"/>
      <c r="K81" s="300"/>
      <c r="L81" s="300"/>
      <c r="M81" s="319"/>
      <c r="N81" s="271"/>
    </row>
    <row r="82" spans="2:15" x14ac:dyDescent="0.2">
      <c r="B82" s="312" t="s">
        <v>501</v>
      </c>
      <c r="C82" s="301">
        <v>43710</v>
      </c>
      <c r="D82" s="263"/>
      <c r="E82" s="301"/>
      <c r="F82" s="263"/>
      <c r="G82" s="301"/>
      <c r="H82" s="300"/>
      <c r="I82" s="300"/>
      <c r="J82" s="300"/>
      <c r="K82" s="300"/>
      <c r="L82" s="300"/>
      <c r="M82" s="319"/>
      <c r="N82" s="271"/>
    </row>
    <row r="83" spans="2:15" x14ac:dyDescent="0.2">
      <c r="B83" s="312" t="s">
        <v>497</v>
      </c>
      <c r="C83" s="302">
        <f>(C81-C82)/C79</f>
        <v>49494.764971023826</v>
      </c>
      <c r="D83" s="300"/>
      <c r="E83" s="300"/>
      <c r="F83" s="300"/>
      <c r="G83" s="300"/>
      <c r="H83" s="300"/>
      <c r="I83" s="300"/>
      <c r="J83" s="300"/>
      <c r="K83" s="300"/>
      <c r="L83" s="300"/>
      <c r="M83" s="319"/>
      <c r="N83" s="271"/>
      <c r="O83" s="271"/>
    </row>
    <row r="84" spans="2:15" x14ac:dyDescent="0.2">
      <c r="C84" s="303"/>
      <c r="D84" s="300"/>
      <c r="E84" s="303"/>
      <c r="F84" s="300"/>
      <c r="G84" s="303"/>
      <c r="H84" s="300"/>
      <c r="I84" s="300"/>
      <c r="J84" s="300"/>
      <c r="K84" s="300"/>
      <c r="L84" s="300"/>
      <c r="M84" s="300"/>
      <c r="N84" s="271"/>
    </row>
    <row r="85" spans="2:15" x14ac:dyDescent="0.2">
      <c r="N85" s="271"/>
    </row>
    <row r="87" spans="2:15" x14ac:dyDescent="0.2">
      <c r="C87" s="265"/>
      <c r="D87" s="266"/>
      <c r="E87" s="265"/>
      <c r="F87" s="266"/>
      <c r="G87" s="265"/>
    </row>
    <row r="94" spans="2:15" x14ac:dyDescent="0.2">
      <c r="F94" s="313"/>
    </row>
    <row r="95" spans="2:15" x14ac:dyDescent="0.2">
      <c r="F95" s="313"/>
    </row>
    <row r="96" spans="2:15" x14ac:dyDescent="0.2">
      <c r="F96" s="313"/>
    </row>
    <row r="97" spans="6:6" x14ac:dyDescent="0.2">
      <c r="F97" s="313"/>
    </row>
    <row r="98" spans="6:6" x14ac:dyDescent="0.2">
      <c r="F98" s="313"/>
    </row>
    <row r="99" spans="6:6" x14ac:dyDescent="0.2">
      <c r="F99" s="313"/>
    </row>
    <row r="100" spans="6:6" x14ac:dyDescent="0.2">
      <c r="F100" s="313"/>
    </row>
    <row r="101" spans="6:6" x14ac:dyDescent="0.2">
      <c r="F101" s="313"/>
    </row>
    <row r="102" spans="6:6" x14ac:dyDescent="0.2">
      <c r="F102" s="313"/>
    </row>
    <row r="103" spans="6:6" x14ac:dyDescent="0.2">
      <c r="F103" s="313"/>
    </row>
    <row r="104" spans="6:6" x14ac:dyDescent="0.2">
      <c r="F104" s="313"/>
    </row>
    <row r="105" spans="6:6" x14ac:dyDescent="0.2">
      <c r="F105" s="313"/>
    </row>
  </sheetData>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FF00"/>
  </sheetPr>
  <dimension ref="A1:BC25"/>
  <sheetViews>
    <sheetView showGridLines="0" zoomScale="75" zoomScaleNormal="75" zoomScalePageLayoutView="90" workbookViewId="0">
      <pane xSplit="4" ySplit="3" topLeftCell="U4" activePane="bottomRight" state="frozen"/>
      <selection activeCell="C20" sqref="C20"/>
      <selection pane="topRight" activeCell="C20" sqref="C20"/>
      <selection pane="bottomLeft" activeCell="C20" sqref="C20"/>
      <selection pane="bottomRight" activeCell="AC7" sqref="AC7"/>
    </sheetView>
  </sheetViews>
  <sheetFormatPr defaultColWidth="10" defaultRowHeight="15" outlineLevelRow="1" x14ac:dyDescent="0.25"/>
  <cols>
    <col min="1" max="1" width="7.7109375" style="16" customWidth="1"/>
    <col min="2" max="2" width="27.85546875" style="16" customWidth="1"/>
    <col min="3" max="3" width="16" style="16" customWidth="1"/>
    <col min="4" max="4" width="15.42578125" style="16" customWidth="1"/>
    <col min="5" max="5" width="12.7109375" style="16" customWidth="1"/>
    <col min="6" max="6" width="12.7109375" style="1" customWidth="1"/>
    <col min="7" max="28" width="12.7109375" style="16" customWidth="1"/>
    <col min="29" max="29" width="10" style="16"/>
    <col min="30" max="30" width="17.85546875" style="16" customWidth="1"/>
    <col min="31" max="16384" width="10" style="16"/>
  </cols>
  <sheetData>
    <row r="1" spans="1:55" s="40" customFormat="1" x14ac:dyDescent="0.25">
      <c r="A1" s="215"/>
      <c r="B1" s="214"/>
      <c r="C1" s="218"/>
      <c r="D1" s="217"/>
    </row>
    <row r="2" spans="1:55" s="155" customFormat="1" x14ac:dyDescent="0.25">
      <c r="A2" s="216"/>
      <c r="B2" s="216"/>
      <c r="C2" s="196"/>
      <c r="D2" s="196"/>
      <c r="E2" s="155">
        <v>1</v>
      </c>
      <c r="F2" s="155">
        <v>2</v>
      </c>
      <c r="G2" s="155">
        <v>3</v>
      </c>
      <c r="H2" s="155">
        <v>4</v>
      </c>
      <c r="I2" s="155">
        <v>5</v>
      </c>
      <c r="J2" s="155">
        <v>6</v>
      </c>
      <c r="K2" s="155">
        <v>7</v>
      </c>
      <c r="L2" s="155">
        <v>8</v>
      </c>
      <c r="M2" s="155">
        <v>9</v>
      </c>
      <c r="N2" s="155">
        <v>10</v>
      </c>
      <c r="O2" s="155">
        <v>11</v>
      </c>
      <c r="P2" s="155">
        <v>12</v>
      </c>
      <c r="Q2" s="155">
        <v>13</v>
      </c>
      <c r="R2" s="155">
        <v>14</v>
      </c>
      <c r="S2" s="155">
        <v>15</v>
      </c>
      <c r="T2" s="155">
        <v>16</v>
      </c>
      <c r="U2" s="155">
        <v>17</v>
      </c>
      <c r="V2" s="155">
        <v>18</v>
      </c>
      <c r="W2" s="155">
        <v>19</v>
      </c>
      <c r="X2" s="155">
        <v>20</v>
      </c>
      <c r="Y2" s="155">
        <v>21</v>
      </c>
      <c r="Z2" s="155">
        <v>22</v>
      </c>
      <c r="AA2" s="155">
        <v>23</v>
      </c>
      <c r="AB2" s="155">
        <v>24</v>
      </c>
      <c r="AC2" s="289">
        <v>25</v>
      </c>
      <c r="AD2" s="289">
        <v>26</v>
      </c>
      <c r="AE2" s="289">
        <v>27</v>
      </c>
      <c r="AF2" s="289">
        <v>28</v>
      </c>
      <c r="AG2" s="289">
        <v>29</v>
      </c>
      <c r="AH2" s="289">
        <v>30</v>
      </c>
      <c r="AI2" s="289">
        <v>31</v>
      </c>
      <c r="AJ2" s="289">
        <v>32</v>
      </c>
      <c r="AK2" s="289">
        <v>33</v>
      </c>
      <c r="AL2" s="289">
        <v>34</v>
      </c>
      <c r="AM2" s="289">
        <v>35</v>
      </c>
      <c r="AN2" s="289">
        <v>36</v>
      </c>
      <c r="AO2" s="155">
        <f>AN2+1</f>
        <v>37</v>
      </c>
      <c r="AP2" s="289">
        <f t="shared" ref="AP2:BC2" si="0">AO2+1</f>
        <v>38</v>
      </c>
      <c r="AQ2" s="289">
        <f t="shared" si="0"/>
        <v>39</v>
      </c>
      <c r="AR2" s="289">
        <f t="shared" si="0"/>
        <v>40</v>
      </c>
      <c r="AS2" s="289">
        <f t="shared" si="0"/>
        <v>41</v>
      </c>
      <c r="AT2" s="289">
        <f t="shared" si="0"/>
        <v>42</v>
      </c>
      <c r="AU2" s="289">
        <f t="shared" si="0"/>
        <v>43</v>
      </c>
      <c r="AV2" s="289">
        <f t="shared" si="0"/>
        <v>44</v>
      </c>
      <c r="AW2" s="289">
        <f t="shared" si="0"/>
        <v>45</v>
      </c>
      <c r="AX2" s="289">
        <f t="shared" si="0"/>
        <v>46</v>
      </c>
      <c r="AY2" s="289">
        <f t="shared" si="0"/>
        <v>47</v>
      </c>
      <c r="AZ2" s="289">
        <f t="shared" si="0"/>
        <v>48</v>
      </c>
      <c r="BA2" s="289">
        <f t="shared" si="0"/>
        <v>49</v>
      </c>
      <c r="BB2" s="289">
        <f t="shared" si="0"/>
        <v>50</v>
      </c>
      <c r="BC2" s="289">
        <f t="shared" si="0"/>
        <v>51</v>
      </c>
    </row>
    <row r="3" spans="1:55" s="155" customFormat="1" x14ac:dyDescent="0.25">
      <c r="A3" s="30"/>
      <c r="B3" s="193" t="s">
        <v>67</v>
      </c>
      <c r="C3" s="193"/>
      <c r="D3" s="194"/>
      <c r="E3" s="195">
        <f>'Cost Summary'!C3</f>
        <v>40909</v>
      </c>
      <c r="F3" s="195">
        <f>'Cost Summary'!D3</f>
        <v>40942</v>
      </c>
      <c r="G3" s="195">
        <f>'Cost Summary'!E3</f>
        <v>40975</v>
      </c>
      <c r="H3" s="195">
        <f>'Cost Summary'!F3</f>
        <v>41008</v>
      </c>
      <c r="I3" s="195">
        <f>'Cost Summary'!G3</f>
        <v>41041</v>
      </c>
      <c r="J3" s="195">
        <f>'Cost Summary'!H3</f>
        <v>41074</v>
      </c>
      <c r="K3" s="195">
        <f>'Cost Summary'!I3</f>
        <v>41107</v>
      </c>
      <c r="L3" s="195">
        <f>'Cost Summary'!J3</f>
        <v>41140</v>
      </c>
      <c r="M3" s="195">
        <f>'Cost Summary'!K3</f>
        <v>41173</v>
      </c>
      <c r="N3" s="195">
        <f>'Cost Summary'!L3</f>
        <v>41206</v>
      </c>
      <c r="O3" s="195">
        <f>'Cost Summary'!M3</f>
        <v>41239</v>
      </c>
      <c r="P3" s="195">
        <f>'Cost Summary'!N3</f>
        <v>41272</v>
      </c>
      <c r="Q3" s="195">
        <f>'Cost Summary'!O3</f>
        <v>41282</v>
      </c>
      <c r="R3" s="195">
        <f>'Cost Summary'!P3</f>
        <v>41312</v>
      </c>
      <c r="S3" s="195">
        <f>'Cost Summary'!Q3</f>
        <v>41342</v>
      </c>
      <c r="T3" s="195">
        <f>'Cost Summary'!R3</f>
        <v>41372</v>
      </c>
      <c r="U3" s="195">
        <f>'Cost Summary'!S3</f>
        <v>41402</v>
      </c>
      <c r="V3" s="195">
        <f>'Cost Summary'!T3</f>
        <v>41432</v>
      </c>
      <c r="W3" s="195">
        <f>'Cost Summary'!U3</f>
        <v>41462</v>
      </c>
      <c r="X3" s="195">
        <f>'Cost Summary'!V3</f>
        <v>41492</v>
      </c>
      <c r="Y3" s="195">
        <f>'Cost Summary'!W3</f>
        <v>41522</v>
      </c>
      <c r="Z3" s="195">
        <f>'Cost Summary'!X3</f>
        <v>41552</v>
      </c>
      <c r="AA3" s="195">
        <f>'Cost Summary'!Y3</f>
        <v>41582</v>
      </c>
      <c r="AB3" s="195">
        <f>'Cost Summary'!Z3</f>
        <v>41612</v>
      </c>
      <c r="AC3" s="195">
        <f>'Cost Summary'!AA3</f>
        <v>41642</v>
      </c>
      <c r="AD3" s="195">
        <f>'Cost Summary'!AB3</f>
        <v>41675</v>
      </c>
      <c r="AE3" s="195">
        <f>'Cost Summary'!AC3</f>
        <v>41708</v>
      </c>
      <c r="AF3" s="195">
        <f>'Cost Summary'!AD3</f>
        <v>41741</v>
      </c>
      <c r="AG3" s="195">
        <f>'Cost Summary'!AE3</f>
        <v>41774</v>
      </c>
      <c r="AH3" s="195">
        <f>'Cost Summary'!AF3</f>
        <v>41807</v>
      </c>
      <c r="AI3" s="195">
        <f>'Cost Summary'!AG3</f>
        <v>41840</v>
      </c>
      <c r="AJ3" s="195">
        <f>'Cost Summary'!AH3</f>
        <v>41873</v>
      </c>
      <c r="AK3" s="195">
        <f>'Cost Summary'!AI3</f>
        <v>41906</v>
      </c>
      <c r="AL3" s="195">
        <f>'Cost Summary'!AJ3</f>
        <v>41939</v>
      </c>
      <c r="AM3" s="195">
        <f>'Cost Summary'!AK3</f>
        <v>41972</v>
      </c>
      <c r="AN3" s="195">
        <f>'Cost Summary'!AL3</f>
        <v>41982</v>
      </c>
      <c r="AO3" s="195">
        <f>'Cost Summary'!AM3</f>
        <v>42012</v>
      </c>
      <c r="AP3" s="195">
        <f>'Cost Summary'!AN3</f>
        <v>42042</v>
      </c>
      <c r="AQ3" s="195">
        <f>'Cost Summary'!AO3</f>
        <v>42072</v>
      </c>
      <c r="AR3" s="195">
        <f>'Cost Summary'!AP3</f>
        <v>42102</v>
      </c>
      <c r="AS3" s="195">
        <f>'Cost Summary'!AQ3</f>
        <v>42132</v>
      </c>
      <c r="AT3" s="195">
        <f>'Cost Summary'!AR3</f>
        <v>42162</v>
      </c>
      <c r="AU3" s="195">
        <f>'Cost Summary'!AS3</f>
        <v>42192</v>
      </c>
      <c r="AV3" s="195">
        <f>'Cost Summary'!AT3</f>
        <v>42222</v>
      </c>
      <c r="AW3" s="195">
        <f>'Cost Summary'!AU3</f>
        <v>42252</v>
      </c>
      <c r="AX3" s="195">
        <f>'Cost Summary'!AV3</f>
        <v>42282</v>
      </c>
      <c r="AY3" s="195">
        <f>'Cost Summary'!AW3</f>
        <v>42312</v>
      </c>
      <c r="AZ3" s="195">
        <f>'Cost Summary'!AX3</f>
        <v>42342</v>
      </c>
      <c r="BA3" s="195">
        <f>'Cost Summary'!AY3</f>
        <v>42372</v>
      </c>
      <c r="BB3" s="195">
        <f>'Cost Summary'!AZ3</f>
        <v>42402</v>
      </c>
      <c r="BC3" s="195">
        <f>'Cost Summary'!BA3</f>
        <v>42432</v>
      </c>
    </row>
    <row r="4" spans="1:55" s="2" customFormat="1" ht="9" customHeight="1" x14ac:dyDescent="0.25">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row>
    <row r="5" spans="1:55" s="2" customFormat="1" x14ac:dyDescent="0.25">
      <c r="B5" s="33"/>
      <c r="C5" s="6"/>
      <c r="D5" s="6"/>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row>
    <row r="6" spans="1:55" s="2" customFormat="1" x14ac:dyDescent="0.25">
      <c r="A6" s="16"/>
      <c r="B6" s="82" t="s">
        <v>379</v>
      </c>
      <c r="C6" s="82"/>
      <c r="D6" s="82"/>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83"/>
      <c r="AL6" s="83"/>
      <c r="AM6" s="83"/>
      <c r="AN6" s="83"/>
      <c r="AO6" s="83"/>
      <c r="AP6" s="83"/>
      <c r="AQ6" s="83"/>
      <c r="AR6" s="83"/>
      <c r="AS6" s="83"/>
      <c r="AT6" s="83"/>
      <c r="AU6" s="83"/>
      <c r="AV6" s="83"/>
      <c r="AW6" s="83"/>
      <c r="AX6" s="83"/>
      <c r="AY6" s="83"/>
      <c r="AZ6" s="83"/>
      <c r="BA6" s="83"/>
      <c r="BB6" s="83"/>
      <c r="BC6" s="83"/>
    </row>
    <row r="7" spans="1:55" ht="15.75" outlineLevel="1" x14ac:dyDescent="0.25">
      <c r="B7" s="330" t="s">
        <v>374</v>
      </c>
      <c r="C7" s="320"/>
      <c r="D7" s="321"/>
      <c r="E7" s="328">
        <f>('SMS Revenue'!B66+'SMS Sub'!B66)*7%</f>
        <v>38367.283500000005</v>
      </c>
      <c r="F7" s="328">
        <f>('SMS Revenue'!C66+'SMS Sub'!C66)*7%</f>
        <v>34790.205100000006</v>
      </c>
      <c r="G7" s="328">
        <f>('SMS Revenue'!D66+'SMS Sub'!D66)*7%</f>
        <v>35715.2068</v>
      </c>
      <c r="H7" s="328">
        <f>('SMS Revenue'!E66+'SMS Sub'!E66)*7%</f>
        <v>39704.513100000004</v>
      </c>
      <c r="I7" s="328">
        <f>('SMS Revenue'!F66+'SMS Sub'!F66)*7%</f>
        <v>41129.783100000001</v>
      </c>
      <c r="J7" s="328">
        <f>('SMS Revenue'!G66+'SMS Sub'!G66)*7%</f>
        <v>39035.779300000002</v>
      </c>
      <c r="K7" s="328">
        <f>('SMS Revenue'!H66+'SMS Sub'!H66)*7%</f>
        <v>38055.906840000003</v>
      </c>
      <c r="L7" s="328">
        <f>('SMS Revenue'!I66+'SMS Sub'!I66)*7%</f>
        <v>42927.817800000004</v>
      </c>
      <c r="M7" s="328">
        <f>('SMS Revenue'!J66+'SMS Sub'!J66)*7%</f>
        <v>44520.000000000007</v>
      </c>
      <c r="N7" s="328">
        <f>('SMS Revenue'!K66+'SMS Sub'!K66)*7%</f>
        <v>46277.834603000003</v>
      </c>
      <c r="O7" s="328">
        <f>('SMS Revenue'!L66+'SMS Sub'!L66)*7%</f>
        <v>46937.775024000002</v>
      </c>
      <c r="P7" s="328">
        <f>('SMS Revenue'!M66+'SMS Sub'!M66)*7%</f>
        <v>53157.982426519346</v>
      </c>
      <c r="Q7" s="328">
        <f>('SMS Revenue'!N66+'SMS Sub'!N66)*7%</f>
        <v>40167.120000000003</v>
      </c>
      <c r="R7" s="328">
        <f>('SMS Revenue'!O66+'SMS Sub'!O66)*7%</f>
        <v>35231.882704056661</v>
      </c>
      <c r="S7" s="328">
        <f>('SMS Revenue'!P66+'SMS Sub'!P66)*7%</f>
        <v>31893.23760811333</v>
      </c>
      <c r="T7" s="328">
        <f>('SMS Revenue'!Q66+'SMS Sub'!Q66)*7%</f>
        <v>28718.512212169993</v>
      </c>
      <c r="U7" s="328">
        <f>('SMS Revenue'!R66+'SMS Sub'!R66)*7%</f>
        <v>25543.786816226657</v>
      </c>
      <c r="V7" s="328">
        <f>('SMS Revenue'!S66+'SMS Sub'!S66)*7%</f>
        <v>24781.393736234204</v>
      </c>
      <c r="W7" s="328">
        <f>('SMS Revenue'!T66+'SMS Sub'!T66)*7%</f>
        <v>26909.555400000001</v>
      </c>
      <c r="X7" s="328">
        <f>('SMS Revenue'!U66+'SMS Sub'!U66)*7%</f>
        <v>31499.307000000001</v>
      </c>
      <c r="Y7" s="328">
        <f>('SMS Revenue'!V66+'SMS Sub'!V66)*7%</f>
        <v>36494.955000000002</v>
      </c>
      <c r="Z7" s="328">
        <f>('SMS Revenue'!W66+'SMS Sub'!W66)*7%</f>
        <v>41771.608199999995</v>
      </c>
      <c r="AA7" s="328">
        <f>('SMS Revenue'!X66+'SMS Sub'!X66)*7%</f>
        <v>46595.5308</v>
      </c>
      <c r="AB7" s="328">
        <f>('SMS Revenue'!Y66+'SMS Sub'!Y66)*7%</f>
        <v>51068.19690000001</v>
      </c>
      <c r="AC7" s="328">
        <f>('SMS Revenue'!Z66+'SMS Sub'!Z66)*7%</f>
        <v>56813.1921</v>
      </c>
      <c r="AD7" s="328">
        <f>('SMS Revenue'!AA66+'SMS Sub'!AA66)*7%</f>
        <v>62464.518899999995</v>
      </c>
      <c r="AE7" s="328">
        <f>('SMS Revenue'!AB66+'SMS Sub'!AB66)*7%</f>
        <v>63780.3747</v>
      </c>
      <c r="AF7" s="328">
        <f>('SMS Revenue'!AC66+'SMS Sub'!AC66)*7%</f>
        <v>70737.445800000001</v>
      </c>
      <c r="AG7" s="328">
        <f>('SMS Revenue'!AD66+'SMS Sub'!AD66)*7%</f>
        <v>76675.353300000002</v>
      </c>
      <c r="AH7" s="328">
        <f>('SMS Revenue'!AE66+'SMS Sub'!AE66)*7%</f>
        <v>82027.833299999998</v>
      </c>
      <c r="AI7" s="328">
        <f>('SMS Revenue'!AF66+'SMS Sub'!AF66)*7%</f>
        <v>86845.065300000017</v>
      </c>
      <c r="AJ7" s="328">
        <f>('SMS Revenue'!AG66+'SMS Sub'!AG66)*7%</f>
        <v>91127.049299999999</v>
      </c>
      <c r="AK7" s="328">
        <f>('SMS Revenue'!AH66+'SMS Sub'!AH66)*7%</f>
        <v>95409.03330000001</v>
      </c>
      <c r="AL7" s="328">
        <f>('SMS Revenue'!AI66+'SMS Sub'!AI66)*7%</f>
        <v>101732.1965642297</v>
      </c>
      <c r="AM7" s="328">
        <f>('SMS Revenue'!AJ66+'SMS Sub'!AJ66)*7%</f>
        <v>108055.35982845942</v>
      </c>
      <c r="AN7" s="328">
        <f>('SMS Revenue'!AK66+'SMS Sub'!AK66)*7%</f>
        <v>114378.52309268915</v>
      </c>
      <c r="AO7" s="328">
        <f>('SMS Revenue'!AL66+'SMS Sub'!AL66)*7%</f>
        <v>120701.14009268912</v>
      </c>
      <c r="AP7" s="328">
        <f>('SMS Revenue'!AM66+'SMS Sub'!AM66)*7%</f>
        <v>127023.75709268913</v>
      </c>
      <c r="AQ7" s="328">
        <f>('SMS Revenue'!AN66+'SMS Sub'!AN66)*7%</f>
        <v>133346.37409268913</v>
      </c>
      <c r="AR7" s="328">
        <f>('SMS Revenue'!AO66+'SMS Sub'!AO66)*7%</f>
        <v>139668.9910926891</v>
      </c>
      <c r="AS7" s="328">
        <f>('SMS Revenue'!AP66+'SMS Sub'!AP66)*7%</f>
        <v>145991.60809268913</v>
      </c>
      <c r="AT7" s="328">
        <f>('SMS Revenue'!AQ66+'SMS Sub'!AQ66)*7%</f>
        <v>152314.22509268913</v>
      </c>
      <c r="AU7" s="328">
        <f>('SMS Revenue'!AR66+'SMS Sub'!AR66)*7%</f>
        <v>158636.8420926891</v>
      </c>
      <c r="AV7" s="328">
        <f>('SMS Revenue'!AS66+'SMS Sub'!AS66)*7%</f>
        <v>164959.45909268913</v>
      </c>
      <c r="AW7" s="328">
        <f>('SMS Revenue'!AT66+'SMS Sub'!AT66)*7%</f>
        <v>171282.07609268912</v>
      </c>
      <c r="AX7" s="328">
        <f>('SMS Revenue'!AU66+'SMS Sub'!AU66)*7%</f>
        <v>177604.69309268909</v>
      </c>
      <c r="AY7" s="328">
        <f>('SMS Revenue'!AV66+'SMS Sub'!AV66)*7%</f>
        <v>183927.31009268906</v>
      </c>
      <c r="AZ7" s="328">
        <f>('SMS Revenue'!AW66+'SMS Sub'!AW66)*7%</f>
        <v>190249.92709268903</v>
      </c>
      <c r="BA7" s="328">
        <f>('SMS Revenue'!AX66+'SMS Sub'!AX66)*7%</f>
        <v>0</v>
      </c>
      <c r="BB7" s="328">
        <f>('SMS Revenue'!AY66+'SMS Sub'!AY66)*7%</f>
        <v>0</v>
      </c>
      <c r="BC7" s="328">
        <f>('SMS Revenue'!AZ66+'SMS Sub'!AZ66)*7%</f>
        <v>0</v>
      </c>
    </row>
    <row r="8" spans="1:55" outlineLevel="1" x14ac:dyDescent="0.25">
      <c r="B8" s="330" t="s">
        <v>375</v>
      </c>
      <c r="E8" s="328">
        <f>4*1000+2+450+4*550</f>
        <v>6652</v>
      </c>
      <c r="F8" s="328">
        <f t="shared" ref="F8:P8" si="1">4*1000+2+450+4*550</f>
        <v>6652</v>
      </c>
      <c r="G8" s="328">
        <f t="shared" si="1"/>
        <v>6652</v>
      </c>
      <c r="H8" s="328">
        <f t="shared" si="1"/>
        <v>6652</v>
      </c>
      <c r="I8" s="328">
        <f t="shared" si="1"/>
        <v>6652</v>
      </c>
      <c r="J8" s="328">
        <f t="shared" si="1"/>
        <v>6652</v>
      </c>
      <c r="K8" s="328">
        <f t="shared" si="1"/>
        <v>6652</v>
      </c>
      <c r="L8" s="328">
        <f t="shared" si="1"/>
        <v>6652</v>
      </c>
      <c r="M8" s="328">
        <f t="shared" si="1"/>
        <v>6652</v>
      </c>
      <c r="N8" s="328">
        <f t="shared" si="1"/>
        <v>6652</v>
      </c>
      <c r="O8" s="328">
        <f t="shared" si="1"/>
        <v>6652</v>
      </c>
      <c r="P8" s="328">
        <f t="shared" si="1"/>
        <v>6652</v>
      </c>
      <c r="Q8" s="328">
        <f>10*1000+2+450+4*550</f>
        <v>12652</v>
      </c>
      <c r="R8" s="328">
        <f t="shared" ref="R8:AB8" si="2">10*1000+2+450+4*550</f>
        <v>12652</v>
      </c>
      <c r="S8" s="328">
        <f t="shared" si="2"/>
        <v>12652</v>
      </c>
      <c r="T8" s="328">
        <f t="shared" si="2"/>
        <v>12652</v>
      </c>
      <c r="U8" s="328">
        <f t="shared" si="2"/>
        <v>12652</v>
      </c>
      <c r="V8" s="328">
        <f t="shared" si="2"/>
        <v>12652</v>
      </c>
      <c r="W8" s="328">
        <f t="shared" si="2"/>
        <v>12652</v>
      </c>
      <c r="X8" s="328">
        <f t="shared" si="2"/>
        <v>12652</v>
      </c>
      <c r="Y8" s="328">
        <f t="shared" si="2"/>
        <v>12652</v>
      </c>
      <c r="Z8" s="328">
        <f t="shared" si="2"/>
        <v>12652</v>
      </c>
      <c r="AA8" s="328">
        <f t="shared" si="2"/>
        <v>12652</v>
      </c>
      <c r="AB8" s="328">
        <f t="shared" si="2"/>
        <v>12652</v>
      </c>
      <c r="AC8" s="328">
        <f>20*1000+2+450+4*550</f>
        <v>22652</v>
      </c>
      <c r="AD8" s="328">
        <f t="shared" ref="AD8:BC8" si="3">20*1000+2+450+4*550</f>
        <v>22652</v>
      </c>
      <c r="AE8" s="328">
        <f t="shared" si="3"/>
        <v>22652</v>
      </c>
      <c r="AF8" s="328">
        <f t="shared" si="3"/>
        <v>22652</v>
      </c>
      <c r="AG8" s="328">
        <f t="shared" si="3"/>
        <v>22652</v>
      </c>
      <c r="AH8" s="328">
        <f t="shared" si="3"/>
        <v>22652</v>
      </c>
      <c r="AI8" s="328">
        <f t="shared" si="3"/>
        <v>22652</v>
      </c>
      <c r="AJ8" s="328">
        <f t="shared" si="3"/>
        <v>22652</v>
      </c>
      <c r="AK8" s="328">
        <f t="shared" si="3"/>
        <v>22652</v>
      </c>
      <c r="AL8" s="328">
        <f t="shared" si="3"/>
        <v>22652</v>
      </c>
      <c r="AM8" s="328">
        <f t="shared" si="3"/>
        <v>22652</v>
      </c>
      <c r="AN8" s="328">
        <f t="shared" si="3"/>
        <v>22652</v>
      </c>
      <c r="AO8" s="328">
        <f t="shared" si="3"/>
        <v>22652</v>
      </c>
      <c r="AP8" s="328">
        <f t="shared" si="3"/>
        <v>22652</v>
      </c>
      <c r="AQ8" s="328">
        <f t="shared" si="3"/>
        <v>22652</v>
      </c>
      <c r="AR8" s="328">
        <f t="shared" si="3"/>
        <v>22652</v>
      </c>
      <c r="AS8" s="328">
        <f t="shared" si="3"/>
        <v>22652</v>
      </c>
      <c r="AT8" s="328">
        <f t="shared" si="3"/>
        <v>22652</v>
      </c>
      <c r="AU8" s="328">
        <f t="shared" si="3"/>
        <v>22652</v>
      </c>
      <c r="AV8" s="328">
        <f t="shared" si="3"/>
        <v>22652</v>
      </c>
      <c r="AW8" s="328">
        <f t="shared" si="3"/>
        <v>22652</v>
      </c>
      <c r="AX8" s="328">
        <f t="shared" si="3"/>
        <v>22652</v>
      </c>
      <c r="AY8" s="328">
        <f t="shared" si="3"/>
        <v>22652</v>
      </c>
      <c r="AZ8" s="328">
        <f t="shared" si="3"/>
        <v>22652</v>
      </c>
      <c r="BA8" s="328">
        <f t="shared" si="3"/>
        <v>22652</v>
      </c>
      <c r="BB8" s="328">
        <f t="shared" si="3"/>
        <v>22652</v>
      </c>
      <c r="BC8" s="328">
        <f t="shared" si="3"/>
        <v>22652</v>
      </c>
    </row>
    <row r="9" spans="1:55" x14ac:dyDescent="0.25">
      <c r="B9" s="40"/>
      <c r="AC9" s="304"/>
      <c r="AD9" s="304"/>
      <c r="AE9" s="304"/>
      <c r="AF9" s="304"/>
      <c r="AG9" s="304"/>
      <c r="AH9" s="304"/>
      <c r="AI9" s="304"/>
      <c r="AJ9" s="304"/>
      <c r="AK9" s="304"/>
      <c r="AL9" s="304"/>
      <c r="AM9" s="304"/>
      <c r="AN9" s="304"/>
      <c r="AO9" s="570"/>
      <c r="AP9" s="570"/>
      <c r="AQ9" s="570"/>
      <c r="AR9" s="570"/>
      <c r="AS9" s="570"/>
      <c r="AT9" s="570"/>
      <c r="AU9" s="570"/>
      <c r="AV9" s="570"/>
      <c r="AW9" s="570"/>
      <c r="AX9" s="570"/>
      <c r="AY9" s="570"/>
      <c r="AZ9" s="570"/>
      <c r="BA9" s="570"/>
      <c r="BB9" s="570"/>
      <c r="BC9" s="570"/>
    </row>
    <row r="10" spans="1:55" s="168" customFormat="1" x14ac:dyDescent="0.25">
      <c r="B10" s="33"/>
      <c r="E10" s="325"/>
      <c r="F10" s="325"/>
      <c r="G10" s="325"/>
      <c r="H10" s="325"/>
      <c r="I10" s="325"/>
      <c r="J10" s="325"/>
      <c r="K10" s="325"/>
      <c r="L10" s="325"/>
      <c r="M10" s="325"/>
      <c r="N10" s="325"/>
      <c r="O10" s="325"/>
      <c r="P10" s="325"/>
      <c r="Q10" s="325"/>
      <c r="R10" s="325"/>
      <c r="S10" s="325"/>
      <c r="T10" s="325"/>
      <c r="U10" s="325"/>
      <c r="V10" s="325"/>
      <c r="W10" s="325"/>
      <c r="X10" s="325"/>
      <c r="Y10" s="325"/>
      <c r="Z10" s="325"/>
      <c r="AA10" s="325"/>
      <c r="AB10" s="325"/>
      <c r="AC10" s="325"/>
      <c r="AD10" s="325"/>
      <c r="AE10" s="325"/>
      <c r="AF10" s="325"/>
      <c r="AG10" s="325"/>
      <c r="AH10" s="325"/>
      <c r="AI10" s="325"/>
      <c r="AJ10" s="325"/>
      <c r="AK10" s="325"/>
      <c r="AL10" s="325"/>
      <c r="AM10" s="325"/>
      <c r="AN10" s="325"/>
      <c r="AO10" s="325"/>
      <c r="AP10" s="325"/>
      <c r="AQ10" s="325"/>
      <c r="AR10" s="325"/>
      <c r="AS10" s="325"/>
      <c r="AT10" s="325"/>
      <c r="AU10" s="325"/>
      <c r="AV10" s="325"/>
      <c r="AW10" s="325"/>
      <c r="AX10" s="325"/>
      <c r="AY10" s="325"/>
      <c r="AZ10" s="325"/>
      <c r="BA10" s="325"/>
      <c r="BB10" s="325"/>
      <c r="BC10" s="325"/>
    </row>
    <row r="11" spans="1:55" s="168" customFormat="1" ht="15.75" thickBot="1" x14ac:dyDescent="0.3">
      <c r="B11" s="331" t="s">
        <v>49</v>
      </c>
      <c r="C11" s="332"/>
      <c r="D11" s="332"/>
      <c r="E11" s="333">
        <f>SUM(E7:E10)</f>
        <v>45019.283500000005</v>
      </c>
      <c r="F11" s="333">
        <f t="shared" ref="F11:AB11" si="4">SUM(F7:F10)</f>
        <v>41442.205100000006</v>
      </c>
      <c r="G11" s="333">
        <f t="shared" si="4"/>
        <v>42367.2068</v>
      </c>
      <c r="H11" s="333">
        <f t="shared" si="4"/>
        <v>46356.513100000004</v>
      </c>
      <c r="I11" s="333">
        <f t="shared" si="4"/>
        <v>47781.783100000001</v>
      </c>
      <c r="J11" s="333">
        <f t="shared" si="4"/>
        <v>45687.779300000002</v>
      </c>
      <c r="K11" s="333">
        <f t="shared" si="4"/>
        <v>44707.906840000003</v>
      </c>
      <c r="L11" s="333">
        <f t="shared" si="4"/>
        <v>49579.817800000004</v>
      </c>
      <c r="M11" s="333">
        <f t="shared" si="4"/>
        <v>51172.000000000007</v>
      </c>
      <c r="N11" s="333">
        <f t="shared" si="4"/>
        <v>52929.834603000003</v>
      </c>
      <c r="O11" s="333">
        <f t="shared" si="4"/>
        <v>53589.775024000002</v>
      </c>
      <c r="P11" s="333">
        <f t="shared" si="4"/>
        <v>59809.982426519346</v>
      </c>
      <c r="Q11" s="333">
        <f t="shared" si="4"/>
        <v>52819.12</v>
      </c>
      <c r="R11" s="333">
        <f t="shared" si="4"/>
        <v>47883.882704056661</v>
      </c>
      <c r="S11" s="333">
        <f t="shared" si="4"/>
        <v>44545.237608113326</v>
      </c>
      <c r="T11" s="333">
        <f t="shared" si="4"/>
        <v>41370.512212169997</v>
      </c>
      <c r="U11" s="333">
        <f t="shared" si="4"/>
        <v>38195.786816226653</v>
      </c>
      <c r="V11" s="333">
        <f t="shared" si="4"/>
        <v>37433.393736234204</v>
      </c>
      <c r="W11" s="333">
        <f t="shared" si="4"/>
        <v>39561.555399999997</v>
      </c>
      <c r="X11" s="333">
        <f t="shared" si="4"/>
        <v>44151.307000000001</v>
      </c>
      <c r="Y11" s="333">
        <f t="shared" si="4"/>
        <v>49146.955000000002</v>
      </c>
      <c r="Z11" s="333">
        <f t="shared" si="4"/>
        <v>54423.608199999995</v>
      </c>
      <c r="AA11" s="333">
        <f t="shared" si="4"/>
        <v>59247.5308</v>
      </c>
      <c r="AB11" s="333">
        <f t="shared" si="4"/>
        <v>63720.19690000001</v>
      </c>
      <c r="AC11" s="333">
        <f t="shared" ref="AC11:AN11" si="5">SUM(AC7:AC10)</f>
        <v>79465.1921</v>
      </c>
      <c r="AD11" s="333">
        <f t="shared" si="5"/>
        <v>85116.518899999995</v>
      </c>
      <c r="AE11" s="333">
        <f t="shared" si="5"/>
        <v>86432.3747</v>
      </c>
      <c r="AF11" s="333">
        <f t="shared" si="5"/>
        <v>93389.445800000001</v>
      </c>
      <c r="AG11" s="333">
        <f t="shared" si="5"/>
        <v>99327.353300000002</v>
      </c>
      <c r="AH11" s="333">
        <f t="shared" si="5"/>
        <v>104679.8333</v>
      </c>
      <c r="AI11" s="333">
        <f t="shared" si="5"/>
        <v>109497.06530000002</v>
      </c>
      <c r="AJ11" s="333">
        <f t="shared" si="5"/>
        <v>113779.0493</v>
      </c>
      <c r="AK11" s="333">
        <f t="shared" si="5"/>
        <v>118061.03330000001</v>
      </c>
      <c r="AL11" s="333">
        <f t="shared" si="5"/>
        <v>124384.1965642297</v>
      </c>
      <c r="AM11" s="333">
        <f t="shared" si="5"/>
        <v>130707.35982845942</v>
      </c>
      <c r="AN11" s="333">
        <f t="shared" si="5"/>
        <v>137030.52309268917</v>
      </c>
      <c r="AO11" s="333">
        <f t="shared" ref="AO11:BC11" si="6">SUM(AO7:AO10)</f>
        <v>143353.14009268914</v>
      </c>
      <c r="AP11" s="333">
        <f t="shared" si="6"/>
        <v>149675.75709268913</v>
      </c>
      <c r="AQ11" s="333">
        <f t="shared" si="6"/>
        <v>155998.37409268913</v>
      </c>
      <c r="AR11" s="333">
        <f t="shared" si="6"/>
        <v>162320.9910926891</v>
      </c>
      <c r="AS11" s="333">
        <f t="shared" si="6"/>
        <v>168643.60809268913</v>
      </c>
      <c r="AT11" s="333">
        <f t="shared" si="6"/>
        <v>174966.22509268913</v>
      </c>
      <c r="AU11" s="333">
        <f t="shared" si="6"/>
        <v>181288.8420926891</v>
      </c>
      <c r="AV11" s="333">
        <f t="shared" si="6"/>
        <v>187611.45909268913</v>
      </c>
      <c r="AW11" s="333">
        <f t="shared" si="6"/>
        <v>193934.07609268912</v>
      </c>
      <c r="AX11" s="333">
        <f t="shared" si="6"/>
        <v>200256.69309268909</v>
      </c>
      <c r="AY11" s="333">
        <f t="shared" si="6"/>
        <v>206579.31009268906</v>
      </c>
      <c r="AZ11" s="333">
        <f t="shared" si="6"/>
        <v>212901.92709268903</v>
      </c>
      <c r="BA11" s="333">
        <f t="shared" si="6"/>
        <v>22652</v>
      </c>
      <c r="BB11" s="333">
        <f t="shared" si="6"/>
        <v>22652</v>
      </c>
      <c r="BC11" s="333">
        <f t="shared" si="6"/>
        <v>22652</v>
      </c>
    </row>
    <row r="12" spans="1:55" s="33" customFormat="1" x14ac:dyDescent="0.25">
      <c r="A12" s="168"/>
      <c r="E12" s="201"/>
      <c r="F12" s="201"/>
      <c r="G12" s="201"/>
      <c r="H12" s="201"/>
      <c r="I12" s="201"/>
      <c r="J12" s="201"/>
      <c r="K12" s="201"/>
      <c r="L12" s="201"/>
      <c r="M12" s="201"/>
      <c r="N12" s="201"/>
      <c r="O12" s="201"/>
      <c r="P12" s="201"/>
      <c r="Q12" s="201"/>
      <c r="R12" s="201"/>
      <c r="S12" s="201"/>
      <c r="T12" s="201"/>
      <c r="U12" s="201"/>
      <c r="V12" s="201"/>
      <c r="W12" s="201"/>
      <c r="X12" s="201"/>
      <c r="Y12" s="201"/>
      <c r="Z12" s="201"/>
      <c r="AA12" s="201"/>
      <c r="AB12" s="201"/>
    </row>
    <row r="13" spans="1:55" s="168" customFormat="1" x14ac:dyDescent="0.25">
      <c r="B13" s="215"/>
      <c r="E13" s="37"/>
      <c r="F13" s="37"/>
      <c r="G13" s="37"/>
      <c r="H13" s="37"/>
      <c r="I13" s="37"/>
      <c r="J13" s="37"/>
      <c r="K13" s="37"/>
      <c r="L13" s="37"/>
      <c r="M13" s="37"/>
      <c r="N13" s="37"/>
      <c r="O13" s="37"/>
      <c r="P13" s="37"/>
      <c r="Q13" s="37"/>
      <c r="R13" s="37"/>
      <c r="S13" s="37"/>
      <c r="T13" s="37"/>
      <c r="U13" s="37"/>
      <c r="V13" s="37"/>
      <c r="W13" s="37"/>
      <c r="X13" s="37"/>
      <c r="Y13" s="37"/>
      <c r="Z13" s="37"/>
      <c r="AA13" s="37"/>
      <c r="AB13" s="37"/>
    </row>
    <row r="14" spans="1:55" s="168" customFormat="1" x14ac:dyDescent="0.25">
      <c r="B14" s="33"/>
      <c r="C14" s="33"/>
      <c r="D14" s="33"/>
      <c r="E14" s="201"/>
      <c r="F14" s="201"/>
      <c r="G14" s="201"/>
      <c r="H14" s="201"/>
      <c r="I14" s="201"/>
      <c r="J14" s="201"/>
      <c r="K14" s="201"/>
      <c r="L14" s="201"/>
      <c r="M14" s="201"/>
      <c r="N14" s="201"/>
      <c r="O14" s="201"/>
      <c r="P14" s="201"/>
      <c r="Q14" s="201"/>
      <c r="R14" s="201"/>
      <c r="S14" s="201"/>
      <c r="T14" s="201"/>
      <c r="U14" s="201"/>
      <c r="V14" s="201"/>
      <c r="W14" s="201"/>
      <c r="X14" s="201"/>
      <c r="Y14" s="201"/>
      <c r="Z14" s="201"/>
      <c r="AA14" s="201"/>
      <c r="AB14" s="201"/>
    </row>
    <row r="15" spans="1:55" s="168" customFormat="1" x14ac:dyDescent="0.25">
      <c r="B15" s="85"/>
      <c r="C15" s="85"/>
      <c r="D15" s="85"/>
      <c r="F15" s="216"/>
    </row>
    <row r="16" spans="1:55" s="168" customFormat="1" x14ac:dyDescent="0.25">
      <c r="B16" s="85"/>
      <c r="C16" s="86"/>
      <c r="E16" s="326"/>
      <c r="F16" s="326"/>
      <c r="G16" s="326"/>
      <c r="H16" s="326"/>
      <c r="I16" s="326"/>
      <c r="J16" s="326"/>
      <c r="K16" s="326"/>
      <c r="L16" s="326"/>
      <c r="M16" s="326"/>
      <c r="N16" s="326"/>
      <c r="O16" s="326"/>
      <c r="P16" s="326"/>
      <c r="Q16" s="326"/>
      <c r="R16" s="326"/>
      <c r="S16" s="326"/>
      <c r="T16" s="326"/>
      <c r="U16" s="326"/>
      <c r="V16" s="326"/>
      <c r="W16" s="326"/>
      <c r="X16" s="326"/>
      <c r="Y16" s="326"/>
      <c r="Z16" s="326"/>
      <c r="AA16" s="326"/>
      <c r="AB16" s="326"/>
    </row>
    <row r="17" spans="2:30" s="168" customFormat="1" x14ac:dyDescent="0.25">
      <c r="B17" s="215"/>
      <c r="F17" s="216"/>
    </row>
    <row r="18" spans="2:30" s="168" customFormat="1" x14ac:dyDescent="0.25">
      <c r="B18" s="215"/>
      <c r="F18" s="216"/>
    </row>
    <row r="19" spans="2:30" s="168" customFormat="1" x14ac:dyDescent="0.25">
      <c r="B19" s="327"/>
      <c r="F19" s="216"/>
    </row>
    <row r="20" spans="2:30" s="168" customFormat="1" x14ac:dyDescent="0.25">
      <c r="B20" s="329"/>
      <c r="F20" s="216"/>
    </row>
    <row r="21" spans="2:30" s="168" customFormat="1" x14ac:dyDescent="0.25">
      <c r="B21" s="329"/>
      <c r="F21" s="216"/>
    </row>
    <row r="22" spans="2:30" s="168" customFormat="1" x14ac:dyDescent="0.25">
      <c r="B22" s="68"/>
      <c r="F22" s="216"/>
    </row>
    <row r="23" spans="2:30" s="168" customFormat="1" x14ac:dyDescent="0.25">
      <c r="B23" s="68"/>
      <c r="F23" s="216"/>
      <c r="AD23" s="165"/>
    </row>
    <row r="24" spans="2:30" s="168" customFormat="1" x14ac:dyDescent="0.25">
      <c r="F24" s="216"/>
      <c r="AD24" s="328"/>
    </row>
    <row r="25" spans="2:30" x14ac:dyDescent="0.25">
      <c r="AD25" s="166"/>
    </row>
  </sheetData>
  <protectedRanges>
    <protectedRange password="C269" sqref="B1 C3 C1:D2" name="Inputs"/>
  </protectedRange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FFFF00"/>
  </sheetPr>
  <dimension ref="A1:DE84"/>
  <sheetViews>
    <sheetView showGridLines="0" zoomScale="80" zoomScaleNormal="80" workbookViewId="0">
      <pane xSplit="4" ySplit="1" topLeftCell="V2" activePane="bottomRight" state="frozen"/>
      <selection activeCell="C20" sqref="C20"/>
      <selection pane="topRight" activeCell="C20" sqref="C20"/>
      <selection pane="bottomLeft" activeCell="C20" sqref="C20"/>
      <selection pane="bottomRight" activeCell="AC10" sqref="AC10"/>
    </sheetView>
  </sheetViews>
  <sheetFormatPr defaultColWidth="9.140625" defaultRowHeight="15" outlineLevelRow="1" outlineLevelCol="1" x14ac:dyDescent="0.25"/>
  <cols>
    <col min="1" max="1" width="33.42578125" style="40" customWidth="1"/>
    <col min="2" max="2" width="14" style="40" customWidth="1"/>
    <col min="3" max="3" width="20.85546875" style="40" customWidth="1"/>
    <col min="4" max="4" width="26" style="16" customWidth="1"/>
    <col min="5" max="5" width="13.5703125" style="16" hidden="1" customWidth="1" outlineLevel="1"/>
    <col min="6" max="16" width="14.7109375" style="16" hidden="1" customWidth="1" outlineLevel="1"/>
    <col min="17" max="17" width="14.7109375" style="16" customWidth="1" collapsed="1"/>
    <col min="18" max="22" width="14.7109375" style="16" customWidth="1"/>
    <col min="23" max="28" width="14.7109375" style="182" customWidth="1"/>
    <col min="29" max="40" width="14.7109375" style="16" customWidth="1"/>
    <col min="41" max="41" width="14.85546875" customWidth="1"/>
    <col min="42" max="42" width="17.85546875" customWidth="1"/>
    <col min="43" max="45" width="11" bestFit="1" customWidth="1"/>
    <col min="46" max="46" width="12" bestFit="1" customWidth="1"/>
    <col min="47" max="47" width="7.5703125" bestFit="1" customWidth="1"/>
    <col min="48" max="48" width="11.140625" bestFit="1" customWidth="1"/>
    <col min="49" max="49" width="13.7109375" bestFit="1" customWidth="1"/>
    <col min="50" max="50" width="12" bestFit="1" customWidth="1"/>
    <col min="51" max="51" width="13.42578125" bestFit="1" customWidth="1"/>
    <col min="52" max="52" width="13.140625" bestFit="1" customWidth="1"/>
    <col min="53" max="53" width="8.140625" bestFit="1" customWidth="1"/>
    <col min="54" max="57" width="12" bestFit="1" customWidth="1"/>
    <col min="58" max="58" width="13" bestFit="1" customWidth="1"/>
    <col min="59" max="109" width="8.85546875" customWidth="1"/>
    <col min="110" max="16384" width="9.140625" style="16"/>
  </cols>
  <sheetData>
    <row r="1" spans="1:52" s="1" customFormat="1" x14ac:dyDescent="0.25">
      <c r="A1" s="179"/>
      <c r="B1" s="180"/>
      <c r="C1" s="180"/>
      <c r="D1" s="153"/>
      <c r="E1" s="152">
        <f>'Cost Summary'!C3</f>
        <v>40909</v>
      </c>
      <c r="F1" s="152">
        <f>'Cost Summary'!D3</f>
        <v>40942</v>
      </c>
      <c r="G1" s="152">
        <f>'Cost Summary'!E3</f>
        <v>40975</v>
      </c>
      <c r="H1" s="152">
        <f>'Cost Summary'!F3</f>
        <v>41008</v>
      </c>
      <c r="I1" s="152">
        <f>'Cost Summary'!G3</f>
        <v>41041</v>
      </c>
      <c r="J1" s="152">
        <f>'Cost Summary'!H3</f>
        <v>41074</v>
      </c>
      <c r="K1" s="152">
        <f>'Cost Summary'!I3</f>
        <v>41107</v>
      </c>
      <c r="L1" s="152">
        <f>'Cost Summary'!J3</f>
        <v>41140</v>
      </c>
      <c r="M1" s="152">
        <f>'Cost Summary'!K3</f>
        <v>41173</v>
      </c>
      <c r="N1" s="152">
        <f>'Cost Summary'!L3</f>
        <v>41206</v>
      </c>
      <c r="O1" s="152">
        <f>'Cost Summary'!M3</f>
        <v>41239</v>
      </c>
      <c r="P1" s="152">
        <f>'Cost Summary'!N3</f>
        <v>41272</v>
      </c>
      <c r="Q1" s="152">
        <f>'Cost Summary'!O3</f>
        <v>41282</v>
      </c>
      <c r="R1" s="152">
        <f>'Cost Summary'!P3</f>
        <v>41312</v>
      </c>
      <c r="S1" s="152">
        <f>'Cost Summary'!Q3</f>
        <v>41342</v>
      </c>
      <c r="T1" s="152">
        <f>'Cost Summary'!R3</f>
        <v>41372</v>
      </c>
      <c r="U1" s="152">
        <f>'Cost Summary'!S3</f>
        <v>41402</v>
      </c>
      <c r="V1" s="152">
        <f>'Cost Summary'!T3</f>
        <v>41432</v>
      </c>
      <c r="W1" s="152">
        <f>'Cost Summary'!U3</f>
        <v>41462</v>
      </c>
      <c r="X1" s="152">
        <f>'Cost Summary'!V3</f>
        <v>41492</v>
      </c>
      <c r="Y1" s="152">
        <f>'Cost Summary'!W3</f>
        <v>41522</v>
      </c>
      <c r="Z1" s="152">
        <f>'Cost Summary'!X3</f>
        <v>41552</v>
      </c>
      <c r="AA1" s="152">
        <f>'Cost Summary'!Y3</f>
        <v>41582</v>
      </c>
      <c r="AB1" s="152">
        <f>'Cost Summary'!Z3</f>
        <v>41612</v>
      </c>
      <c r="AC1" s="152">
        <f>'Cost Summary'!AA3</f>
        <v>41642</v>
      </c>
      <c r="AD1" s="152">
        <f>'Cost Summary'!AB3</f>
        <v>41675</v>
      </c>
      <c r="AE1" s="152">
        <f>'Cost Summary'!AC3</f>
        <v>41708</v>
      </c>
      <c r="AF1" s="152">
        <f>'Cost Summary'!AD3</f>
        <v>41741</v>
      </c>
      <c r="AG1" s="152">
        <f>'Cost Summary'!AE3</f>
        <v>41774</v>
      </c>
      <c r="AH1" s="152">
        <f>'Cost Summary'!AF3</f>
        <v>41807</v>
      </c>
      <c r="AI1" s="152">
        <f>'Cost Summary'!AG3</f>
        <v>41840</v>
      </c>
      <c r="AJ1" s="152">
        <f>'Cost Summary'!AH3</f>
        <v>41873</v>
      </c>
      <c r="AK1" s="152">
        <f>'Cost Summary'!AI3</f>
        <v>41906</v>
      </c>
      <c r="AL1" s="152">
        <f>'Cost Summary'!AJ3</f>
        <v>41939</v>
      </c>
      <c r="AM1" s="152">
        <f>'Cost Summary'!AK3</f>
        <v>41972</v>
      </c>
      <c r="AN1" s="152">
        <f>'Cost Summary'!AL3</f>
        <v>41982</v>
      </c>
      <c r="AO1" s="152">
        <f>'Cost Summary'!AM3</f>
        <v>42012</v>
      </c>
      <c r="AP1" s="152">
        <f>'Cost Summary'!AN3</f>
        <v>42042</v>
      </c>
      <c r="AQ1" s="152">
        <f>'Cost Summary'!AO3</f>
        <v>42072</v>
      </c>
      <c r="AR1" s="152">
        <f>'Cost Summary'!AP3</f>
        <v>42102</v>
      </c>
      <c r="AS1" s="152">
        <f>'Cost Summary'!AQ3</f>
        <v>42132</v>
      </c>
      <c r="AT1" s="152">
        <f>'Cost Summary'!AR3</f>
        <v>42162</v>
      </c>
      <c r="AU1" s="152">
        <f>'Cost Summary'!AS3</f>
        <v>42192</v>
      </c>
      <c r="AV1" s="152">
        <f>'Cost Summary'!AT3</f>
        <v>42222</v>
      </c>
      <c r="AW1" s="152">
        <f>'Cost Summary'!AU3</f>
        <v>42252</v>
      </c>
      <c r="AX1" s="152">
        <f>'Cost Summary'!AV3</f>
        <v>42282</v>
      </c>
      <c r="AY1" s="152">
        <f>'Cost Summary'!AW3</f>
        <v>42312</v>
      </c>
      <c r="AZ1" s="152">
        <f>'Cost Summary'!AX3</f>
        <v>42342</v>
      </c>
    </row>
    <row r="2" spans="1:52" x14ac:dyDescent="0.25">
      <c r="B2" s="42"/>
      <c r="C2" s="42"/>
      <c r="D2" s="67" t="s">
        <v>229</v>
      </c>
    </row>
    <row r="3" spans="1:52" outlineLevel="1" x14ac:dyDescent="0.25">
      <c r="B3" s="42"/>
      <c r="C3" s="42"/>
      <c r="D3" s="68" t="s">
        <v>227</v>
      </c>
      <c r="E3" s="69">
        <f>'Voice Revenue'!B65</f>
        <v>629660</v>
      </c>
      <c r="F3" s="69">
        <f>'Voice Revenue'!C65</f>
        <v>508987</v>
      </c>
      <c r="G3" s="69">
        <f>'Voice Revenue'!D65</f>
        <v>602383</v>
      </c>
      <c r="H3" s="69">
        <f>'Voice Revenue'!E65</f>
        <v>683861</v>
      </c>
      <c r="I3" s="69">
        <f>'Voice Revenue'!F65</f>
        <v>775378</v>
      </c>
      <c r="J3" s="69">
        <f>'Voice Revenue'!G65</f>
        <v>709961</v>
      </c>
      <c r="K3" s="69">
        <f>'Voice Revenue'!H65</f>
        <v>752413</v>
      </c>
      <c r="L3" s="69">
        <f>'Voice Revenue'!I65</f>
        <v>723961.84</v>
      </c>
      <c r="M3" s="69">
        <f>'Voice Revenue'!J65</f>
        <v>704817</v>
      </c>
      <c r="N3" s="69">
        <f>'Voice Revenue'!K65</f>
        <v>1212324.74</v>
      </c>
      <c r="O3" s="69">
        <f>'Voice Revenue'!L65</f>
        <v>528293.51437280071</v>
      </c>
      <c r="P3" s="69">
        <f>'Voice Revenue'!M65</f>
        <v>553410.91332042182</v>
      </c>
      <c r="Q3" s="69">
        <f>'Voice Revenue'!N65</f>
        <v>608699.6294628412</v>
      </c>
      <c r="R3" s="69">
        <f>'Voice Revenue'!O65</f>
        <v>617364.49216662208</v>
      </c>
      <c r="S3" s="69">
        <f>'Voice Revenue'!P65</f>
        <v>620576.8059130105</v>
      </c>
      <c r="T3" s="69">
        <f>'Voice Revenue'!Q65</f>
        <v>554543.48907713534</v>
      </c>
      <c r="U3" s="69">
        <f>'Voice Revenue'!R65</f>
        <v>556183.06724665058</v>
      </c>
      <c r="V3" s="69">
        <f>'Voice Revenue'!S65</f>
        <v>557972.53991147131</v>
      </c>
      <c r="W3" s="69">
        <f>'Voice Revenue'!T65</f>
        <v>576472.60086528119</v>
      </c>
      <c r="X3" s="69">
        <f>'Voice Revenue'!U65</f>
        <v>598674.73572714056</v>
      </c>
      <c r="Y3" s="69">
        <f>'Voice Revenue'!V65</f>
        <v>614403.79084968718</v>
      </c>
      <c r="Z3" s="69">
        <f>'Voice Revenue'!W65</f>
        <v>623469.70874090411</v>
      </c>
      <c r="AA3" s="69">
        <f>'Voice Revenue'!X65</f>
        <v>624485.00930583582</v>
      </c>
      <c r="AB3" s="69">
        <f>'Voice Revenue'!Y65</f>
        <v>631834.9367682559</v>
      </c>
      <c r="AC3" s="69">
        <f>'Voice Revenue'!Z65</f>
        <v>636949.48282095836</v>
      </c>
      <c r="AD3" s="69">
        <f>'Voice Revenue'!AA65</f>
        <v>651949.3286122377</v>
      </c>
      <c r="AE3" s="69">
        <f>'Voice Revenue'!AB65</f>
        <v>675215.01359051699</v>
      </c>
      <c r="AF3" s="69">
        <f>'Voice Revenue'!AC65</f>
        <v>709172.8582679762</v>
      </c>
      <c r="AG3" s="69">
        <f>'Voice Revenue'!AD65</f>
        <v>758390.81331880833</v>
      </c>
      <c r="AH3" s="69">
        <f>'Voice Revenue'!AE65</f>
        <v>806774.13550125959</v>
      </c>
      <c r="AI3" s="69">
        <f>'Voice Revenue'!AF65</f>
        <v>710020.48717389209</v>
      </c>
      <c r="AJ3" s="69">
        <f>'Voice Revenue'!AG65</f>
        <v>739315.37872854783</v>
      </c>
      <c r="AK3" s="69">
        <f>'Voice Revenue'!AH65</f>
        <v>1021120.4694699544</v>
      </c>
      <c r="AL3" s="69">
        <f>'Voice Revenue'!AI65</f>
        <v>1076547.6458876955</v>
      </c>
      <c r="AM3" s="69">
        <f>'Voice Revenue'!AJ65</f>
        <v>911417.80500985356</v>
      </c>
      <c r="AN3" s="69">
        <f>'Voice Revenue'!AK65</f>
        <v>831902.81475019292</v>
      </c>
      <c r="AO3" s="69">
        <f>'Voice Revenue'!AL65</f>
        <v>1102786.4959896135</v>
      </c>
      <c r="AP3" s="69">
        <f>'Voice Revenue'!AM65</f>
        <v>1156746.5969418515</v>
      </c>
      <c r="AQ3" s="69">
        <f>'Voice Revenue'!AN65</f>
        <v>1216513.5009534995</v>
      </c>
      <c r="AR3" s="69">
        <f>'Voice Revenue'!AO65</f>
        <v>1268685.2975366535</v>
      </c>
      <c r="AS3" s="69">
        <f>'Voice Revenue'!AP65</f>
        <v>1315201.1394371663</v>
      </c>
      <c r="AT3" s="69">
        <f>'Voice Revenue'!AQ65</f>
        <v>1360232.8211671622</v>
      </c>
      <c r="AU3" s="69">
        <f>'Voice Revenue'!AR65</f>
        <v>1405331.9101908416</v>
      </c>
      <c r="AV3" s="69">
        <f>'Voice Revenue'!AS65</f>
        <v>1452204.1314894443</v>
      </c>
      <c r="AW3" s="69">
        <f>'Voice Revenue'!AT65</f>
        <v>1500645.6721589444</v>
      </c>
      <c r="AX3" s="69">
        <f>'Voice Revenue'!AU65</f>
        <v>1546009.5911920695</v>
      </c>
      <c r="AY3" s="69">
        <f>'Voice Revenue'!AV65</f>
        <v>1591373.5102251945</v>
      </c>
      <c r="AZ3" s="69">
        <f>'Voice Revenue'!AW65</f>
        <v>1636737.4292583195</v>
      </c>
    </row>
    <row r="4" spans="1:52" s="235" customFormat="1" outlineLevel="1" x14ac:dyDescent="0.25">
      <c r="A4" s="40"/>
      <c r="B4" s="42"/>
      <c r="C4" s="42"/>
      <c r="D4" s="68" t="s">
        <v>228</v>
      </c>
      <c r="E4" s="69">
        <v>0</v>
      </c>
      <c r="F4" s="69">
        <v>0</v>
      </c>
      <c r="G4" s="69">
        <v>0</v>
      </c>
      <c r="H4" s="69">
        <v>0</v>
      </c>
      <c r="I4" s="69">
        <v>0</v>
      </c>
      <c r="J4" s="69">
        <v>0</v>
      </c>
      <c r="K4" s="69">
        <v>0</v>
      </c>
      <c r="L4" s="69">
        <v>0</v>
      </c>
      <c r="M4" s="69">
        <v>0</v>
      </c>
      <c r="N4" s="69">
        <v>0</v>
      </c>
      <c r="O4" s="69">
        <v>0</v>
      </c>
      <c r="P4" s="69">
        <v>0</v>
      </c>
      <c r="Q4" s="69">
        <v>0</v>
      </c>
      <c r="R4" s="69">
        <v>0</v>
      </c>
      <c r="S4" s="69">
        <v>0</v>
      </c>
      <c r="T4" s="69">
        <v>0</v>
      </c>
      <c r="U4" s="69">
        <v>0</v>
      </c>
      <c r="V4" s="69">
        <v>0</v>
      </c>
      <c r="W4" s="69">
        <v>0</v>
      </c>
      <c r="X4" s="69">
        <v>0</v>
      </c>
      <c r="Y4" s="69">
        <v>0</v>
      </c>
      <c r="Z4" s="69">
        <v>0</v>
      </c>
      <c r="AA4" s="69">
        <v>0</v>
      </c>
      <c r="AB4" s="69">
        <v>0</v>
      </c>
      <c r="AC4" s="69">
        <v>0</v>
      </c>
      <c r="AD4" s="69">
        <v>0</v>
      </c>
      <c r="AE4" s="69">
        <v>0</v>
      </c>
      <c r="AF4" s="69">
        <v>0</v>
      </c>
      <c r="AG4" s="69">
        <v>0</v>
      </c>
      <c r="AH4" s="69">
        <v>0</v>
      </c>
      <c r="AI4" s="69">
        <v>0</v>
      </c>
      <c r="AJ4" s="69">
        <v>0</v>
      </c>
      <c r="AK4" s="69">
        <v>0</v>
      </c>
      <c r="AL4" s="69">
        <v>0</v>
      </c>
      <c r="AM4" s="69">
        <v>0</v>
      </c>
      <c r="AN4" s="69">
        <v>0</v>
      </c>
      <c r="AO4" s="69">
        <v>0</v>
      </c>
      <c r="AP4" s="69">
        <v>0</v>
      </c>
      <c r="AQ4" s="69">
        <v>0</v>
      </c>
      <c r="AR4" s="69">
        <v>0</v>
      </c>
      <c r="AS4" s="69">
        <v>0</v>
      </c>
      <c r="AT4" s="69">
        <v>0</v>
      </c>
      <c r="AU4" s="69">
        <v>0</v>
      </c>
      <c r="AV4" s="69">
        <v>0</v>
      </c>
      <c r="AW4" s="69">
        <v>0</v>
      </c>
      <c r="AX4" s="69">
        <v>0</v>
      </c>
      <c r="AY4" s="69">
        <v>0</v>
      </c>
      <c r="AZ4" s="69">
        <v>0</v>
      </c>
    </row>
    <row r="5" spans="1:52" ht="15.75" thickBot="1" x14ac:dyDescent="0.3">
      <c r="B5" s="42"/>
      <c r="C5" s="42"/>
      <c r="D5" s="67" t="s">
        <v>78</v>
      </c>
      <c r="E5" s="71">
        <f t="shared" ref="E5:AN5" si="0">SUM(E3:E4)</f>
        <v>629660</v>
      </c>
      <c r="F5" s="71">
        <f t="shared" si="0"/>
        <v>508987</v>
      </c>
      <c r="G5" s="71">
        <f t="shared" si="0"/>
        <v>602383</v>
      </c>
      <c r="H5" s="71">
        <f t="shared" si="0"/>
        <v>683861</v>
      </c>
      <c r="I5" s="71">
        <f t="shared" si="0"/>
        <v>775378</v>
      </c>
      <c r="J5" s="71">
        <f t="shared" si="0"/>
        <v>709961</v>
      </c>
      <c r="K5" s="71">
        <f t="shared" si="0"/>
        <v>752413</v>
      </c>
      <c r="L5" s="71">
        <f t="shared" si="0"/>
        <v>723961.84</v>
      </c>
      <c r="M5" s="71">
        <f t="shared" si="0"/>
        <v>704817</v>
      </c>
      <c r="N5" s="71">
        <f t="shared" si="0"/>
        <v>1212324.74</v>
      </c>
      <c r="O5" s="71">
        <f t="shared" si="0"/>
        <v>528293.51437280071</v>
      </c>
      <c r="P5" s="71">
        <f t="shared" si="0"/>
        <v>553410.91332042182</v>
      </c>
      <c r="Q5" s="71">
        <f t="shared" si="0"/>
        <v>608699.6294628412</v>
      </c>
      <c r="R5" s="71">
        <f t="shared" si="0"/>
        <v>617364.49216662208</v>
      </c>
      <c r="S5" s="71">
        <f t="shared" si="0"/>
        <v>620576.8059130105</v>
      </c>
      <c r="T5" s="71">
        <f t="shared" si="0"/>
        <v>554543.48907713534</v>
      </c>
      <c r="U5" s="71">
        <f t="shared" si="0"/>
        <v>556183.06724665058</v>
      </c>
      <c r="V5" s="71">
        <f t="shared" si="0"/>
        <v>557972.53991147131</v>
      </c>
      <c r="W5" s="71">
        <f t="shared" si="0"/>
        <v>576472.60086528119</v>
      </c>
      <c r="X5" s="71">
        <f t="shared" si="0"/>
        <v>598674.73572714056</v>
      </c>
      <c r="Y5" s="71">
        <f t="shared" si="0"/>
        <v>614403.79084968718</v>
      </c>
      <c r="Z5" s="71">
        <f t="shared" si="0"/>
        <v>623469.70874090411</v>
      </c>
      <c r="AA5" s="71">
        <f t="shared" si="0"/>
        <v>624485.00930583582</v>
      </c>
      <c r="AB5" s="71">
        <f t="shared" si="0"/>
        <v>631834.9367682559</v>
      </c>
      <c r="AC5" s="71">
        <f t="shared" si="0"/>
        <v>636949.48282095836</v>
      </c>
      <c r="AD5" s="71">
        <f t="shared" si="0"/>
        <v>651949.3286122377</v>
      </c>
      <c r="AE5" s="71">
        <f t="shared" si="0"/>
        <v>675215.01359051699</v>
      </c>
      <c r="AF5" s="71">
        <f t="shared" si="0"/>
        <v>709172.8582679762</v>
      </c>
      <c r="AG5" s="71">
        <f t="shared" si="0"/>
        <v>758390.81331880833</v>
      </c>
      <c r="AH5" s="71">
        <f t="shared" si="0"/>
        <v>806774.13550125959</v>
      </c>
      <c r="AI5" s="71">
        <f t="shared" si="0"/>
        <v>710020.48717389209</v>
      </c>
      <c r="AJ5" s="71">
        <f t="shared" si="0"/>
        <v>739315.37872854783</v>
      </c>
      <c r="AK5" s="71">
        <f t="shared" si="0"/>
        <v>1021120.4694699544</v>
      </c>
      <c r="AL5" s="71">
        <f t="shared" si="0"/>
        <v>1076547.6458876955</v>
      </c>
      <c r="AM5" s="71">
        <f t="shared" si="0"/>
        <v>911417.80500985356</v>
      </c>
      <c r="AN5" s="71">
        <f t="shared" si="0"/>
        <v>831902.81475019292</v>
      </c>
      <c r="AO5" s="71">
        <f t="shared" ref="AO5:AZ5" si="1">SUM(AO3:AO4)</f>
        <v>1102786.4959896135</v>
      </c>
      <c r="AP5" s="71">
        <f t="shared" si="1"/>
        <v>1156746.5969418515</v>
      </c>
      <c r="AQ5" s="71">
        <f t="shared" si="1"/>
        <v>1216513.5009534995</v>
      </c>
      <c r="AR5" s="71">
        <f t="shared" si="1"/>
        <v>1268685.2975366535</v>
      </c>
      <c r="AS5" s="71">
        <f t="shared" si="1"/>
        <v>1315201.1394371663</v>
      </c>
      <c r="AT5" s="71">
        <f t="shared" si="1"/>
        <v>1360232.8211671622</v>
      </c>
      <c r="AU5" s="71">
        <f t="shared" si="1"/>
        <v>1405331.9101908416</v>
      </c>
      <c r="AV5" s="71">
        <f t="shared" si="1"/>
        <v>1452204.1314894443</v>
      </c>
      <c r="AW5" s="71">
        <f t="shared" si="1"/>
        <v>1500645.6721589444</v>
      </c>
      <c r="AX5" s="71">
        <f t="shared" si="1"/>
        <v>1546009.5911920695</v>
      </c>
      <c r="AY5" s="71">
        <f t="shared" si="1"/>
        <v>1591373.5102251945</v>
      </c>
      <c r="AZ5" s="71">
        <f t="shared" si="1"/>
        <v>1636737.4292583195</v>
      </c>
    </row>
    <row r="6" spans="1:52" ht="15.75" thickTop="1" x14ac:dyDescent="0.25">
      <c r="W6" s="186"/>
      <c r="X6" s="186"/>
      <c r="Y6" s="186"/>
      <c r="Z6" s="186"/>
      <c r="AA6" s="186"/>
      <c r="AB6" s="186"/>
      <c r="AO6" s="570"/>
      <c r="AP6" s="570"/>
      <c r="AQ6" s="570"/>
      <c r="AR6" s="570"/>
      <c r="AS6" s="570"/>
      <c r="AT6" s="570"/>
      <c r="AU6" s="570"/>
      <c r="AV6" s="570"/>
      <c r="AW6" s="570"/>
      <c r="AX6" s="570"/>
      <c r="AY6" s="570"/>
      <c r="AZ6" s="570"/>
    </row>
    <row r="7" spans="1:52" x14ac:dyDescent="0.25">
      <c r="AO7" s="570"/>
      <c r="AP7" s="570"/>
      <c r="AQ7" s="570"/>
      <c r="AR7" s="570"/>
      <c r="AS7" s="570"/>
      <c r="AT7" s="570"/>
      <c r="AU7" s="570"/>
      <c r="AV7" s="570"/>
      <c r="AW7" s="570"/>
      <c r="AX7" s="570"/>
      <c r="AY7" s="570"/>
      <c r="AZ7" s="570"/>
    </row>
    <row r="8" spans="1:52" x14ac:dyDescent="0.25">
      <c r="B8" s="42"/>
      <c r="C8" s="42"/>
      <c r="D8" s="29" t="s">
        <v>226</v>
      </c>
      <c r="E8" s="66"/>
      <c r="F8" s="66"/>
      <c r="G8" s="66"/>
      <c r="H8" s="66"/>
      <c r="I8" s="66"/>
      <c r="J8" s="66"/>
      <c r="K8" s="66"/>
      <c r="L8" s="66"/>
      <c r="M8" s="66"/>
      <c r="N8" s="66"/>
      <c r="O8" s="66"/>
      <c r="P8" s="66"/>
      <c r="Q8" s="66"/>
      <c r="R8" s="66"/>
      <c r="S8" s="66"/>
      <c r="T8" s="66"/>
      <c r="U8" s="66"/>
      <c r="V8" s="66"/>
      <c r="W8" s="183"/>
      <c r="X8" s="183"/>
      <c r="Y8" s="183"/>
      <c r="Z8" s="183"/>
      <c r="AA8" s="183"/>
      <c r="AB8" s="183"/>
      <c r="AC8" s="66"/>
      <c r="AD8" s="66"/>
      <c r="AE8" s="66"/>
      <c r="AF8" s="66"/>
      <c r="AG8" s="66"/>
      <c r="AH8" s="66"/>
      <c r="AI8" s="66"/>
      <c r="AJ8" s="66"/>
      <c r="AK8" s="66"/>
      <c r="AL8" s="66"/>
      <c r="AM8" s="66"/>
      <c r="AN8" s="66"/>
      <c r="AO8" s="66"/>
      <c r="AP8" s="66"/>
      <c r="AQ8" s="66"/>
      <c r="AR8" s="66"/>
      <c r="AS8" s="66"/>
      <c r="AT8" s="66"/>
      <c r="AU8" s="66"/>
      <c r="AV8" s="66"/>
      <c r="AW8" s="66"/>
      <c r="AX8" s="66"/>
      <c r="AY8" s="66"/>
      <c r="AZ8" s="66"/>
    </row>
    <row r="9" spans="1:52" outlineLevel="1" x14ac:dyDescent="0.25">
      <c r="B9" s="42"/>
      <c r="C9" s="42"/>
      <c r="D9" s="16" t="s">
        <v>228</v>
      </c>
      <c r="E9" s="69">
        <v>0</v>
      </c>
      <c r="F9" s="69">
        <v>0</v>
      </c>
      <c r="G9" s="69">
        <v>0</v>
      </c>
      <c r="H9" s="69">
        <v>0</v>
      </c>
      <c r="I9" s="69">
        <v>0</v>
      </c>
      <c r="J9" s="69">
        <v>0</v>
      </c>
      <c r="K9" s="69">
        <v>0</v>
      </c>
      <c r="L9" s="69">
        <v>0</v>
      </c>
      <c r="M9" s="69">
        <v>0</v>
      </c>
      <c r="N9" s="69">
        <v>0</v>
      </c>
      <c r="O9" s="69">
        <v>0</v>
      </c>
      <c r="P9" s="69">
        <v>0</v>
      </c>
      <c r="Q9" s="69">
        <v>0</v>
      </c>
      <c r="R9" s="69">
        <v>0</v>
      </c>
      <c r="S9" s="69">
        <v>0</v>
      </c>
      <c r="T9" s="69">
        <v>0</v>
      </c>
      <c r="U9" s="69">
        <v>0</v>
      </c>
      <c r="V9" s="69">
        <v>0</v>
      </c>
      <c r="W9" s="69">
        <v>0</v>
      </c>
      <c r="X9" s="69">
        <v>0</v>
      </c>
      <c r="Y9" s="69">
        <v>0</v>
      </c>
      <c r="Z9" s="69">
        <v>0</v>
      </c>
      <c r="AA9" s="69">
        <v>0</v>
      </c>
      <c r="AB9" s="69">
        <v>0</v>
      </c>
      <c r="AC9" s="69">
        <v>0</v>
      </c>
      <c r="AD9" s="69">
        <v>0</v>
      </c>
      <c r="AE9" s="69">
        <v>0</v>
      </c>
      <c r="AF9" s="69">
        <v>0</v>
      </c>
      <c r="AG9" s="69">
        <v>0</v>
      </c>
      <c r="AH9" s="69">
        <v>0</v>
      </c>
      <c r="AI9" s="69">
        <v>0</v>
      </c>
      <c r="AJ9" s="69">
        <v>0</v>
      </c>
      <c r="AK9" s="69">
        <v>0</v>
      </c>
      <c r="AL9" s="69">
        <v>0</v>
      </c>
      <c r="AM9" s="69">
        <v>0</v>
      </c>
      <c r="AN9" s="69">
        <v>0</v>
      </c>
      <c r="AO9" s="69">
        <v>0</v>
      </c>
      <c r="AP9" s="69">
        <v>0</v>
      </c>
      <c r="AQ9" s="69">
        <v>0</v>
      </c>
      <c r="AR9" s="69">
        <v>0</v>
      </c>
      <c r="AS9" s="69">
        <v>0</v>
      </c>
      <c r="AT9" s="69">
        <v>0</v>
      </c>
      <c r="AU9" s="69">
        <v>0</v>
      </c>
      <c r="AV9" s="69">
        <v>0</v>
      </c>
      <c r="AW9" s="69">
        <v>0</v>
      </c>
      <c r="AX9" s="69">
        <v>0</v>
      </c>
      <c r="AY9" s="69">
        <v>0</v>
      </c>
      <c r="AZ9" s="69">
        <v>0</v>
      </c>
    </row>
    <row r="10" spans="1:52" outlineLevel="1" x14ac:dyDescent="0.25">
      <c r="B10" s="42"/>
      <c r="C10" s="42"/>
      <c r="D10" s="16" t="s">
        <v>227</v>
      </c>
      <c r="E10" s="60">
        <f>'Voice Revenue'!B65*0.22</f>
        <v>138525.20000000001</v>
      </c>
      <c r="F10" s="232">
        <f>'Voice Revenue'!C65*0.22</f>
        <v>111977.14</v>
      </c>
      <c r="G10" s="232">
        <f>'Voice Revenue'!D65*0.22</f>
        <v>132524.26</v>
      </c>
      <c r="H10" s="232">
        <f>'Voice Revenue'!E65*0.22</f>
        <v>150449.42000000001</v>
      </c>
      <c r="I10" s="232">
        <f>'Voice Revenue'!F65*0.22</f>
        <v>170583.16</v>
      </c>
      <c r="J10" s="232">
        <f>'Voice Revenue'!G65*0.22</f>
        <v>156191.42000000001</v>
      </c>
      <c r="K10" s="232">
        <f>'Voice Revenue'!H65*0.22</f>
        <v>165530.86000000002</v>
      </c>
      <c r="L10" s="232">
        <f>'Voice Revenue'!I65*0.22</f>
        <v>159271.6048</v>
      </c>
      <c r="M10" s="232">
        <f>'Voice Revenue'!J65*0.22</f>
        <v>155059.74</v>
      </c>
      <c r="N10" s="232">
        <f>'Voice Revenue'!K65*0.22</f>
        <v>266711.44280000002</v>
      </c>
      <c r="O10" s="232">
        <f>'Voice Revenue'!L65*0.22</f>
        <v>116224.57316201615</v>
      </c>
      <c r="P10" s="232">
        <f>'Voice Revenue'!M65*0.22</f>
        <v>121750.4009304928</v>
      </c>
      <c r="Q10" s="232">
        <f>'Voice Revenue'!N65*0.22</f>
        <v>133913.91848182507</v>
      </c>
      <c r="R10" s="232">
        <f>'Voice Revenue'!O65*0.22</f>
        <v>135820.18827665685</v>
      </c>
      <c r="S10" s="232">
        <f>'Voice Revenue'!P65*0.22</f>
        <v>136526.8973008623</v>
      </c>
      <c r="T10" s="232">
        <f>'Voice Revenue'!Q65*0.22</f>
        <v>121999.56759696978</v>
      </c>
      <c r="U10" s="232">
        <f>'Voice Revenue'!R65*0.22</f>
        <v>122360.27479426312</v>
      </c>
      <c r="V10" s="232">
        <f>'Voice Revenue'!S65*0.22</f>
        <v>122753.9587805237</v>
      </c>
      <c r="W10" s="232">
        <f>'Voice Revenue'!T65*0.15</f>
        <v>86470.890129792169</v>
      </c>
      <c r="X10" s="232">
        <f>'Voice Revenue'!U65*0.15</f>
        <v>89801.210359071076</v>
      </c>
      <c r="Y10" s="232">
        <f>'Voice Revenue'!V65*0.15</f>
        <v>92160.568627453074</v>
      </c>
      <c r="Z10" s="232">
        <f>'Voice Revenue'!W65*0.15</f>
        <v>93520.456311135611</v>
      </c>
      <c r="AA10" s="232">
        <f>'Voice Revenue'!X65*0.15</f>
        <v>93672.75139587537</v>
      </c>
      <c r="AB10" s="232">
        <f>'Voice Revenue'!Y65*0.15</f>
        <v>94775.240515238387</v>
      </c>
      <c r="AC10" s="232">
        <f>'Voice Revenue'!Z65*0.15</f>
        <v>95542.422423143755</v>
      </c>
      <c r="AD10" s="232">
        <f>'Voice Revenue'!AA65*0.15</f>
        <v>97792.399291835653</v>
      </c>
      <c r="AE10" s="232">
        <f>'Voice Revenue'!AB65*0.15</f>
        <v>101282.25203857754</v>
      </c>
      <c r="AF10" s="232">
        <f>'Voice Revenue'!AC65*0.15</f>
        <v>106375.92874019642</v>
      </c>
      <c r="AG10" s="232">
        <f>'Voice Revenue'!AD65*0.15</f>
        <v>113758.62199782125</v>
      </c>
      <c r="AH10" s="232">
        <f>'Voice Revenue'!AE65*0.15</f>
        <v>121016.12032518894</v>
      </c>
      <c r="AI10" s="232">
        <f>'Voice Revenue'!AF65*0.15</f>
        <v>106503.07307608381</v>
      </c>
      <c r="AJ10" s="232">
        <f>'Voice Revenue'!AG65*0.15</f>
        <v>110897.30680928218</v>
      </c>
      <c r="AK10" s="232">
        <f>'Voice Revenue'!AH65*0.15</f>
        <v>153168.07042049314</v>
      </c>
      <c r="AL10" s="232">
        <f>'Voice Revenue'!AI65*0.15</f>
        <v>161482.14688315432</v>
      </c>
      <c r="AM10" s="232">
        <f>'Voice Revenue'!AJ65*0.15</f>
        <v>136712.67075147803</v>
      </c>
      <c r="AN10" s="232">
        <f>'Voice Revenue'!AK65*0.15</f>
        <v>124785.42221252894</v>
      </c>
      <c r="AO10" s="232">
        <f>'Voice Revenue'!AL65*0.15</f>
        <v>165417.97439844202</v>
      </c>
      <c r="AP10" s="232">
        <f>'Voice Revenue'!AM65*0.15</f>
        <v>173511.98954127773</v>
      </c>
      <c r="AQ10" s="232">
        <f>'Voice Revenue'!AN65*0.15</f>
        <v>182477.02514302492</v>
      </c>
      <c r="AR10" s="232">
        <f>'Voice Revenue'!AO65*0.15</f>
        <v>190302.79463049801</v>
      </c>
      <c r="AS10" s="232">
        <f>'Voice Revenue'!AP65*0.15</f>
        <v>197280.17091557494</v>
      </c>
      <c r="AT10" s="232">
        <f>'Voice Revenue'!AQ65*0.15</f>
        <v>204034.92317507431</v>
      </c>
      <c r="AU10" s="232">
        <f>'Voice Revenue'!AR65*0.15</f>
        <v>210799.78652862625</v>
      </c>
      <c r="AV10" s="232">
        <f>'Voice Revenue'!AS65*0.15</f>
        <v>217830.61972341663</v>
      </c>
      <c r="AW10" s="232">
        <f>'Voice Revenue'!AT65*0.15</f>
        <v>225096.85082384167</v>
      </c>
      <c r="AX10" s="232">
        <f>'Voice Revenue'!AU65*0.15</f>
        <v>231901.4386788104</v>
      </c>
      <c r="AY10" s="232">
        <f>'Voice Revenue'!AV65*0.15</f>
        <v>238706.02653377916</v>
      </c>
      <c r="AZ10" s="232">
        <f>'Voice Revenue'!AW65*0.15</f>
        <v>245510.61438874793</v>
      </c>
    </row>
    <row r="11" spans="1:52" ht="15.75" thickBot="1" x14ac:dyDescent="0.3">
      <c r="B11" s="42"/>
      <c r="C11" s="42"/>
      <c r="D11" s="29" t="s">
        <v>378</v>
      </c>
      <c r="E11" s="72">
        <f t="shared" ref="E11:AN11" si="2">SUM(E9:E10)</f>
        <v>138525.20000000001</v>
      </c>
      <c r="F11" s="72">
        <f t="shared" si="2"/>
        <v>111977.14</v>
      </c>
      <c r="G11" s="72">
        <f t="shared" si="2"/>
        <v>132524.26</v>
      </c>
      <c r="H11" s="72">
        <f t="shared" si="2"/>
        <v>150449.42000000001</v>
      </c>
      <c r="I11" s="72">
        <f t="shared" si="2"/>
        <v>170583.16</v>
      </c>
      <c r="J11" s="72">
        <f t="shared" si="2"/>
        <v>156191.42000000001</v>
      </c>
      <c r="K11" s="72">
        <f t="shared" si="2"/>
        <v>165530.86000000002</v>
      </c>
      <c r="L11" s="72">
        <f t="shared" si="2"/>
        <v>159271.6048</v>
      </c>
      <c r="M11" s="72">
        <f t="shared" si="2"/>
        <v>155059.74</v>
      </c>
      <c r="N11" s="72">
        <f t="shared" si="2"/>
        <v>266711.44280000002</v>
      </c>
      <c r="O11" s="72">
        <f t="shared" si="2"/>
        <v>116224.57316201615</v>
      </c>
      <c r="P11" s="72">
        <f t="shared" si="2"/>
        <v>121750.4009304928</v>
      </c>
      <c r="Q11" s="72">
        <f t="shared" si="2"/>
        <v>133913.91848182507</v>
      </c>
      <c r="R11" s="72">
        <f t="shared" si="2"/>
        <v>135820.18827665685</v>
      </c>
      <c r="S11" s="72">
        <f t="shared" si="2"/>
        <v>136526.8973008623</v>
      </c>
      <c r="T11" s="72">
        <f t="shared" si="2"/>
        <v>121999.56759696978</v>
      </c>
      <c r="U11" s="72">
        <f t="shared" si="2"/>
        <v>122360.27479426312</v>
      </c>
      <c r="V11" s="72">
        <f t="shared" si="2"/>
        <v>122753.9587805237</v>
      </c>
      <c r="W11" s="184">
        <f t="shared" si="2"/>
        <v>86470.890129792169</v>
      </c>
      <c r="X11" s="184">
        <f t="shared" si="2"/>
        <v>89801.210359071076</v>
      </c>
      <c r="Y11" s="184">
        <f t="shared" si="2"/>
        <v>92160.568627453074</v>
      </c>
      <c r="Z11" s="184">
        <f t="shared" si="2"/>
        <v>93520.456311135611</v>
      </c>
      <c r="AA11" s="184">
        <f t="shared" si="2"/>
        <v>93672.75139587537</v>
      </c>
      <c r="AB11" s="184">
        <f t="shared" si="2"/>
        <v>94775.240515238387</v>
      </c>
      <c r="AC11" s="72">
        <f t="shared" si="2"/>
        <v>95542.422423143755</v>
      </c>
      <c r="AD11" s="72">
        <f t="shared" si="2"/>
        <v>97792.399291835653</v>
      </c>
      <c r="AE11" s="72">
        <f t="shared" si="2"/>
        <v>101282.25203857754</v>
      </c>
      <c r="AF11" s="72">
        <f t="shared" si="2"/>
        <v>106375.92874019642</v>
      </c>
      <c r="AG11" s="72">
        <f t="shared" si="2"/>
        <v>113758.62199782125</v>
      </c>
      <c r="AH11" s="72">
        <f t="shared" si="2"/>
        <v>121016.12032518894</v>
      </c>
      <c r="AI11" s="72">
        <f t="shared" si="2"/>
        <v>106503.07307608381</v>
      </c>
      <c r="AJ11" s="72">
        <f t="shared" si="2"/>
        <v>110897.30680928218</v>
      </c>
      <c r="AK11" s="72">
        <f t="shared" si="2"/>
        <v>153168.07042049314</v>
      </c>
      <c r="AL11" s="72">
        <f t="shared" si="2"/>
        <v>161482.14688315432</v>
      </c>
      <c r="AM11" s="72">
        <f t="shared" si="2"/>
        <v>136712.67075147803</v>
      </c>
      <c r="AN11" s="72">
        <f t="shared" si="2"/>
        <v>124785.42221252894</v>
      </c>
      <c r="AO11" s="72">
        <f t="shared" ref="AO11:AZ11" si="3">SUM(AO9:AO10)</f>
        <v>165417.97439844202</v>
      </c>
      <c r="AP11" s="72">
        <f t="shared" si="3"/>
        <v>173511.98954127773</v>
      </c>
      <c r="AQ11" s="72">
        <f t="shared" si="3"/>
        <v>182477.02514302492</v>
      </c>
      <c r="AR11" s="72">
        <f t="shared" si="3"/>
        <v>190302.79463049801</v>
      </c>
      <c r="AS11" s="72">
        <f t="shared" si="3"/>
        <v>197280.17091557494</v>
      </c>
      <c r="AT11" s="72">
        <f t="shared" si="3"/>
        <v>204034.92317507431</v>
      </c>
      <c r="AU11" s="72">
        <f t="shared" si="3"/>
        <v>210799.78652862625</v>
      </c>
      <c r="AV11" s="72">
        <f t="shared" si="3"/>
        <v>217830.61972341663</v>
      </c>
      <c r="AW11" s="72">
        <f t="shared" si="3"/>
        <v>225096.85082384167</v>
      </c>
      <c r="AX11" s="72">
        <f t="shared" si="3"/>
        <v>231901.4386788104</v>
      </c>
      <c r="AY11" s="72">
        <f t="shared" si="3"/>
        <v>238706.02653377916</v>
      </c>
      <c r="AZ11" s="72">
        <f t="shared" si="3"/>
        <v>245510.61438874793</v>
      </c>
    </row>
    <row r="12" spans="1:52" ht="15.75" thickTop="1" x14ac:dyDescent="0.25">
      <c r="B12" s="42"/>
      <c r="C12" s="42"/>
      <c r="D12" s="29"/>
      <c r="E12" s="70"/>
      <c r="F12" s="70"/>
      <c r="G12" s="70"/>
      <c r="H12" s="70"/>
      <c r="I12" s="70"/>
      <c r="J12" s="70"/>
      <c r="K12" s="70"/>
      <c r="L12" s="70"/>
      <c r="M12" s="70"/>
      <c r="N12" s="70"/>
      <c r="O12" s="70"/>
      <c r="P12" s="70"/>
      <c r="Q12" s="70"/>
      <c r="R12" s="70"/>
      <c r="S12" s="70"/>
      <c r="T12" s="70"/>
      <c r="U12" s="70"/>
      <c r="V12" s="70"/>
      <c r="W12" s="185"/>
      <c r="X12" s="185"/>
      <c r="Y12" s="185"/>
      <c r="Z12" s="185"/>
      <c r="AA12" s="185"/>
      <c r="AB12" s="185"/>
      <c r="AC12" s="70"/>
      <c r="AD12" s="70"/>
      <c r="AE12" s="70"/>
      <c r="AF12" s="70"/>
      <c r="AG12" s="70"/>
      <c r="AH12" s="70"/>
      <c r="AI12" s="70"/>
      <c r="AJ12" s="70"/>
      <c r="AK12" s="70"/>
      <c r="AL12" s="70"/>
      <c r="AM12" s="70"/>
      <c r="AN12" s="70"/>
      <c r="AO12" s="70"/>
      <c r="AP12" s="70"/>
      <c r="AQ12" s="70"/>
      <c r="AR12" s="70"/>
      <c r="AS12" s="70"/>
      <c r="AT12" s="70"/>
      <c r="AU12" s="70"/>
      <c r="AV12" s="70"/>
      <c r="AW12" s="70"/>
      <c r="AX12" s="70"/>
      <c r="AY12" s="70"/>
      <c r="AZ12" s="70"/>
    </row>
    <row r="13" spans="1:52" x14ac:dyDescent="0.25">
      <c r="B13" s="241"/>
      <c r="C13" s="42"/>
      <c r="D13" s="77" t="str">
        <f>Sensativities!B4</f>
        <v>CallFire</v>
      </c>
      <c r="E13" s="65"/>
      <c r="F13" s="65"/>
      <c r="G13" s="65"/>
      <c r="H13" s="65"/>
      <c r="I13" s="65"/>
      <c r="J13" s="65"/>
      <c r="K13" s="65"/>
      <c r="L13" s="65"/>
      <c r="M13" s="65"/>
      <c r="N13" s="65"/>
      <c r="O13" s="65"/>
      <c r="P13" s="65"/>
      <c r="Q13" s="65"/>
      <c r="R13" s="65"/>
      <c r="S13" s="65"/>
      <c r="T13" s="65"/>
      <c r="U13" s="65"/>
      <c r="V13" s="65"/>
      <c r="W13" s="187"/>
      <c r="X13" s="187"/>
      <c r="Y13" s="187"/>
      <c r="Z13" s="187"/>
      <c r="AA13" s="187"/>
      <c r="AB13" s="187"/>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row>
    <row r="14" spans="1:52" ht="15" customHeight="1" outlineLevel="1" x14ac:dyDescent="0.25">
      <c r="B14" s="42"/>
      <c r="C14" s="42"/>
      <c r="D14" s="16" t="s">
        <v>191</v>
      </c>
      <c r="E14" s="73">
        <v>7500</v>
      </c>
      <c r="F14" s="73">
        <f t="shared" ref="F14:AN14" si="4">E14+(E14*E20)</f>
        <v>7537.5</v>
      </c>
      <c r="G14" s="73">
        <f t="shared" si="4"/>
        <v>7575.1875</v>
      </c>
      <c r="H14" s="73">
        <f t="shared" si="4"/>
        <v>7613.0634375</v>
      </c>
      <c r="I14" s="73">
        <f t="shared" si="4"/>
        <v>7651.1287546875001</v>
      </c>
      <c r="J14" s="73">
        <f t="shared" si="4"/>
        <v>7689.3843984609375</v>
      </c>
      <c r="K14" s="73">
        <f t="shared" si="4"/>
        <v>7727.8313204532424</v>
      </c>
      <c r="L14" s="73">
        <f t="shared" si="4"/>
        <v>7766.470477055509</v>
      </c>
      <c r="M14" s="73">
        <f t="shared" si="4"/>
        <v>7805.3028294407868</v>
      </c>
      <c r="N14" s="73">
        <f t="shared" si="4"/>
        <v>7844.3293435879905</v>
      </c>
      <c r="O14" s="73">
        <f t="shared" si="4"/>
        <v>7883.5509903059301</v>
      </c>
      <c r="P14" s="73">
        <f t="shared" si="4"/>
        <v>7922.9687452574599</v>
      </c>
      <c r="Q14" s="73">
        <f t="shared" si="4"/>
        <v>7962.5835889837472</v>
      </c>
      <c r="R14" s="73">
        <f t="shared" si="4"/>
        <v>8002.396506928666</v>
      </c>
      <c r="S14" s="73">
        <f t="shared" si="4"/>
        <v>8042.4084894633097</v>
      </c>
      <c r="T14" s="73">
        <f t="shared" si="4"/>
        <v>8082.6205319106266</v>
      </c>
      <c r="U14" s="73">
        <f t="shared" si="4"/>
        <v>8123.0336345701799</v>
      </c>
      <c r="V14" s="73">
        <f t="shared" si="4"/>
        <v>8163.6488027430305</v>
      </c>
      <c r="W14" s="73">
        <f t="shared" si="4"/>
        <v>8204.4670467567448</v>
      </c>
      <c r="X14" s="73">
        <f t="shared" si="4"/>
        <v>8245.4893819905283</v>
      </c>
      <c r="Y14" s="73">
        <f t="shared" si="4"/>
        <v>8286.7168289004803</v>
      </c>
      <c r="Z14" s="73">
        <f t="shared" si="4"/>
        <v>8328.150413044983</v>
      </c>
      <c r="AA14" s="73">
        <f t="shared" si="4"/>
        <v>8369.7911651102077</v>
      </c>
      <c r="AB14" s="73">
        <f t="shared" si="4"/>
        <v>8411.6401209357591</v>
      </c>
      <c r="AC14" s="73">
        <f t="shared" si="4"/>
        <v>8453.698321540438</v>
      </c>
      <c r="AD14" s="73">
        <f t="shared" si="4"/>
        <v>8495.9668131481394</v>
      </c>
      <c r="AE14" s="73">
        <f t="shared" si="4"/>
        <v>8538.4466472138793</v>
      </c>
      <c r="AF14" s="73">
        <f t="shared" si="4"/>
        <v>8581.1388804499493</v>
      </c>
      <c r="AG14" s="73">
        <f t="shared" si="4"/>
        <v>8624.0445748521997</v>
      </c>
      <c r="AH14" s="73">
        <f t="shared" si="4"/>
        <v>8667.1647977264602</v>
      </c>
      <c r="AI14" s="73">
        <f t="shared" si="4"/>
        <v>8710.5006217150931</v>
      </c>
      <c r="AJ14" s="73">
        <f t="shared" si="4"/>
        <v>8754.0531248236694</v>
      </c>
      <c r="AK14" s="73">
        <f t="shared" si="4"/>
        <v>8797.8233904477875</v>
      </c>
      <c r="AL14" s="73">
        <f t="shared" si="4"/>
        <v>8841.8125074000272</v>
      </c>
      <c r="AM14" s="73">
        <f t="shared" si="4"/>
        <v>8886.0215699370274</v>
      </c>
      <c r="AN14" s="73">
        <f t="shared" si="4"/>
        <v>8930.451677786712</v>
      </c>
      <c r="AO14" s="73">
        <f t="shared" ref="AO14" si="5">AN14+(AN14*AN20)</f>
        <v>8975.1039361756448</v>
      </c>
      <c r="AP14" s="73">
        <f t="shared" ref="AP14" si="6">AO14+(AO14*AO20)</f>
        <v>9019.9794558565227</v>
      </c>
      <c r="AQ14" s="73">
        <f t="shared" ref="AQ14" si="7">AP14+(AP14*AP20)</f>
        <v>9065.0793531358049</v>
      </c>
      <c r="AR14" s="73">
        <f t="shared" ref="AR14" si="8">AQ14+(AQ14*AQ20)</f>
        <v>9110.4047499014832</v>
      </c>
      <c r="AS14" s="73">
        <f t="shared" ref="AS14" si="9">AR14+(AR14*AR20)</f>
        <v>9155.9567736509907</v>
      </c>
      <c r="AT14" s="73">
        <f t="shared" ref="AT14" si="10">AS14+(AS14*AS20)</f>
        <v>9201.7365575192453</v>
      </c>
      <c r="AU14" s="73">
        <f t="shared" ref="AU14" si="11">AT14+(AT14*AT20)</f>
        <v>9247.7452403068419</v>
      </c>
      <c r="AV14" s="73">
        <f t="shared" ref="AV14" si="12">AU14+(AU14*AU20)</f>
        <v>9293.9839665083764</v>
      </c>
      <c r="AW14" s="73">
        <f t="shared" ref="AW14" si="13">AV14+(AV14*AV20)</f>
        <v>9340.453886340918</v>
      </c>
      <c r="AX14" s="73">
        <f t="shared" ref="AX14" si="14">AW14+(AW14*AW20)</f>
        <v>9387.1561557726218</v>
      </c>
      <c r="AY14" s="73">
        <f t="shared" ref="AY14" si="15">AX14+(AX14*AX20)</f>
        <v>9434.0919365514856</v>
      </c>
      <c r="AZ14" s="73">
        <f t="shared" ref="AZ14" si="16">AY14+(AY14*AY20)</f>
        <v>9481.2623962342423</v>
      </c>
    </row>
    <row r="15" spans="1:52" ht="15" customHeight="1" outlineLevel="1" x14ac:dyDescent="0.25">
      <c r="B15" s="42"/>
      <c r="C15" s="42"/>
      <c r="D15" s="16" t="s">
        <v>148</v>
      </c>
      <c r="E15" s="316">
        <v>235000</v>
      </c>
      <c r="F15" s="316">
        <v>235000</v>
      </c>
      <c r="G15" s="316">
        <v>235000</v>
      </c>
      <c r="H15" s="316">
        <v>235000</v>
      </c>
      <c r="I15" s="316">
        <v>235000</v>
      </c>
      <c r="J15" s="316">
        <v>235000</v>
      </c>
      <c r="K15" s="316">
        <v>235000</v>
      </c>
      <c r="L15" s="316">
        <v>235000</v>
      </c>
      <c r="M15" s="316">
        <v>235000</v>
      </c>
      <c r="N15" s="316">
        <v>235000</v>
      </c>
      <c r="O15" s="316">
        <v>235000</v>
      </c>
      <c r="P15" s="316">
        <v>235000</v>
      </c>
      <c r="Q15" s="316">
        <v>235000</v>
      </c>
      <c r="R15" s="316">
        <v>235000</v>
      </c>
      <c r="S15" s="316">
        <v>235000</v>
      </c>
      <c r="T15" s="316">
        <v>235000</v>
      </c>
      <c r="U15" s="316">
        <v>235000</v>
      </c>
      <c r="V15" s="316">
        <v>235000</v>
      </c>
      <c r="W15" s="316">
        <v>235000</v>
      </c>
      <c r="X15" s="316">
        <v>235000</v>
      </c>
      <c r="Y15" s="316">
        <v>235000</v>
      </c>
      <c r="Z15" s="316">
        <v>235000</v>
      </c>
      <c r="AA15" s="316">
        <v>235000</v>
      </c>
      <c r="AB15" s="316">
        <v>235000</v>
      </c>
      <c r="AC15" s="316">
        <v>235000</v>
      </c>
      <c r="AD15" s="316">
        <v>235000</v>
      </c>
      <c r="AE15" s="316">
        <v>235000</v>
      </c>
      <c r="AF15" s="316">
        <v>235000</v>
      </c>
      <c r="AG15" s="316">
        <v>235000</v>
      </c>
      <c r="AH15" s="316">
        <v>235000</v>
      </c>
      <c r="AI15" s="316">
        <v>235000</v>
      </c>
      <c r="AJ15" s="316">
        <v>235000</v>
      </c>
      <c r="AK15" s="316">
        <v>235000</v>
      </c>
      <c r="AL15" s="316">
        <v>235000</v>
      </c>
      <c r="AM15" s="316">
        <v>235000</v>
      </c>
      <c r="AN15" s="316">
        <v>235000</v>
      </c>
      <c r="AO15" s="316">
        <v>235000</v>
      </c>
      <c r="AP15" s="316">
        <v>235000</v>
      </c>
      <c r="AQ15" s="316">
        <v>235000</v>
      </c>
      <c r="AR15" s="316">
        <v>235000</v>
      </c>
      <c r="AS15" s="316">
        <v>235000</v>
      </c>
      <c r="AT15" s="316">
        <v>235000</v>
      </c>
      <c r="AU15" s="316">
        <v>235000</v>
      </c>
      <c r="AV15" s="316">
        <v>235000</v>
      </c>
      <c r="AW15" s="316">
        <v>235000</v>
      </c>
      <c r="AX15" s="316">
        <v>235000</v>
      </c>
      <c r="AY15" s="316">
        <v>235000</v>
      </c>
      <c r="AZ15" s="316">
        <v>235000</v>
      </c>
    </row>
    <row r="16" spans="1:52" ht="15" customHeight="1" outlineLevel="1" x14ac:dyDescent="0.25">
      <c r="B16" s="42"/>
      <c r="C16" s="42"/>
      <c r="AO16" s="570"/>
      <c r="AP16" s="570"/>
      <c r="AQ16" s="570"/>
      <c r="AR16" s="570"/>
      <c r="AS16" s="570"/>
      <c r="AT16" s="570"/>
      <c r="AU16" s="570"/>
      <c r="AV16" s="570"/>
      <c r="AW16" s="570"/>
      <c r="AX16" s="570"/>
      <c r="AY16" s="570"/>
      <c r="AZ16" s="570"/>
    </row>
    <row r="17" spans="1:55" ht="15" customHeight="1" outlineLevel="1" x14ac:dyDescent="0.25">
      <c r="B17" s="42"/>
      <c r="C17" s="42"/>
      <c r="D17" s="16" t="s">
        <v>79</v>
      </c>
      <c r="T17" s="22"/>
      <c r="AO17" s="570"/>
      <c r="AP17" s="570"/>
      <c r="AQ17" s="570"/>
      <c r="AR17" s="570"/>
      <c r="AS17" s="570"/>
      <c r="AT17" s="570"/>
      <c r="AU17" s="570"/>
      <c r="AV17" s="570"/>
      <c r="AW17" s="570"/>
      <c r="AX17" s="570"/>
      <c r="AY17" s="570"/>
      <c r="AZ17" s="570"/>
    </row>
    <row r="18" spans="1:55" s="235" customFormat="1" ht="15" customHeight="1" outlineLevel="1" x14ac:dyDescent="0.25">
      <c r="A18" s="40"/>
      <c r="B18" s="42"/>
      <c r="C18" s="42"/>
      <c r="D18" s="163" t="s">
        <v>194</v>
      </c>
      <c r="E18" s="240">
        <v>2</v>
      </c>
      <c r="F18" s="240">
        <v>2</v>
      </c>
      <c r="G18" s="240">
        <v>2</v>
      </c>
      <c r="H18" s="240">
        <v>2</v>
      </c>
      <c r="I18" s="240">
        <v>2</v>
      </c>
      <c r="J18" s="240">
        <v>2</v>
      </c>
      <c r="K18" s="240">
        <v>2</v>
      </c>
      <c r="L18" s="240">
        <v>2</v>
      </c>
      <c r="M18" s="240">
        <v>2</v>
      </c>
      <c r="N18" s="240">
        <v>2</v>
      </c>
      <c r="O18" s="240">
        <v>2</v>
      </c>
      <c r="P18" s="240">
        <v>2</v>
      </c>
      <c r="Q18" s="240">
        <v>2</v>
      </c>
      <c r="R18" s="240">
        <v>2</v>
      </c>
      <c r="S18" s="240">
        <v>2</v>
      </c>
      <c r="T18" s="240">
        <v>2</v>
      </c>
      <c r="U18" s="240">
        <v>2</v>
      </c>
      <c r="V18" s="240">
        <v>2</v>
      </c>
      <c r="W18" s="240">
        <v>2</v>
      </c>
      <c r="X18" s="240">
        <v>2</v>
      </c>
      <c r="Y18" s="240">
        <v>2</v>
      </c>
      <c r="Z18" s="240">
        <v>2</v>
      </c>
      <c r="AA18" s="240">
        <v>2</v>
      </c>
      <c r="AB18" s="240">
        <v>2</v>
      </c>
      <c r="AC18" s="240">
        <v>2</v>
      </c>
      <c r="AD18" s="240">
        <v>2</v>
      </c>
      <c r="AE18" s="240">
        <v>2</v>
      </c>
      <c r="AF18" s="240">
        <v>2</v>
      </c>
      <c r="AG18" s="240">
        <v>2</v>
      </c>
      <c r="AH18" s="240">
        <v>2</v>
      </c>
      <c r="AI18" s="240">
        <v>2</v>
      </c>
      <c r="AJ18" s="240">
        <v>2</v>
      </c>
      <c r="AK18" s="240">
        <v>2</v>
      </c>
      <c r="AL18" s="240">
        <v>2</v>
      </c>
      <c r="AM18" s="240">
        <v>2</v>
      </c>
      <c r="AN18" s="240">
        <v>2</v>
      </c>
      <c r="AO18" s="240">
        <v>2</v>
      </c>
      <c r="AP18" s="240">
        <v>2</v>
      </c>
      <c r="AQ18" s="240">
        <v>2</v>
      </c>
      <c r="AR18" s="240">
        <v>2</v>
      </c>
      <c r="AS18" s="240">
        <v>2</v>
      </c>
      <c r="AT18" s="240">
        <v>2</v>
      </c>
      <c r="AU18" s="240">
        <v>2</v>
      </c>
      <c r="AV18" s="240">
        <v>2</v>
      </c>
      <c r="AW18" s="240">
        <v>2</v>
      </c>
      <c r="AX18" s="240">
        <v>2</v>
      </c>
      <c r="AY18" s="240">
        <v>2</v>
      </c>
      <c r="AZ18" s="240">
        <v>2</v>
      </c>
    </row>
    <row r="19" spans="1:55" ht="15" customHeight="1" outlineLevel="1" x14ac:dyDescent="0.25">
      <c r="B19" s="42"/>
      <c r="C19" s="42"/>
      <c r="D19" s="62" t="s">
        <v>192</v>
      </c>
      <c r="E19" s="240">
        <v>20</v>
      </c>
      <c r="F19" s="240">
        <v>20</v>
      </c>
      <c r="G19" s="240">
        <v>20</v>
      </c>
      <c r="H19" s="240">
        <v>20</v>
      </c>
      <c r="I19" s="240">
        <v>20</v>
      </c>
      <c r="J19" s="240">
        <v>20</v>
      </c>
      <c r="K19" s="240">
        <v>20</v>
      </c>
      <c r="L19" s="240">
        <v>20</v>
      </c>
      <c r="M19" s="240">
        <v>20</v>
      </c>
      <c r="N19" s="240">
        <v>20</v>
      </c>
      <c r="O19" s="240">
        <v>20</v>
      </c>
      <c r="P19" s="240">
        <v>20</v>
      </c>
      <c r="Q19" s="240">
        <v>20</v>
      </c>
      <c r="R19" s="240">
        <v>20</v>
      </c>
      <c r="S19" s="240">
        <v>20</v>
      </c>
      <c r="T19" s="240">
        <v>20</v>
      </c>
      <c r="U19" s="240">
        <v>20</v>
      </c>
      <c r="V19" s="240">
        <v>20</v>
      </c>
      <c r="W19" s="240">
        <v>20</v>
      </c>
      <c r="X19" s="240">
        <v>20</v>
      </c>
      <c r="Y19" s="240">
        <v>20</v>
      </c>
      <c r="Z19" s="240">
        <v>20</v>
      </c>
      <c r="AA19" s="240">
        <v>20</v>
      </c>
      <c r="AB19" s="240">
        <v>20</v>
      </c>
      <c r="AC19" s="240">
        <v>20</v>
      </c>
      <c r="AD19" s="240">
        <v>20</v>
      </c>
      <c r="AE19" s="240">
        <v>20</v>
      </c>
      <c r="AF19" s="240">
        <v>20</v>
      </c>
      <c r="AG19" s="240">
        <v>20</v>
      </c>
      <c r="AH19" s="240">
        <v>20</v>
      </c>
      <c r="AI19" s="240">
        <v>20</v>
      </c>
      <c r="AJ19" s="240">
        <v>20</v>
      </c>
      <c r="AK19" s="240">
        <v>20</v>
      </c>
      <c r="AL19" s="240">
        <v>20</v>
      </c>
      <c r="AM19" s="240">
        <v>20</v>
      </c>
      <c r="AN19" s="240">
        <v>20</v>
      </c>
      <c r="AO19" s="240">
        <v>20</v>
      </c>
      <c r="AP19" s="240">
        <v>20</v>
      </c>
      <c r="AQ19" s="240">
        <v>20</v>
      </c>
      <c r="AR19" s="240">
        <v>20</v>
      </c>
      <c r="AS19" s="240">
        <v>20</v>
      </c>
      <c r="AT19" s="240">
        <v>20</v>
      </c>
      <c r="AU19" s="240">
        <v>20</v>
      </c>
      <c r="AV19" s="240">
        <v>20</v>
      </c>
      <c r="AW19" s="240">
        <v>20</v>
      </c>
      <c r="AX19" s="240">
        <v>20</v>
      </c>
      <c r="AY19" s="240">
        <v>20</v>
      </c>
      <c r="AZ19" s="240">
        <v>20</v>
      </c>
    </row>
    <row r="20" spans="1:55" ht="15" customHeight="1" outlineLevel="1" x14ac:dyDescent="0.25">
      <c r="B20" s="42"/>
      <c r="C20" s="42"/>
      <c r="D20" s="62" t="s">
        <v>80</v>
      </c>
      <c r="E20" s="74">
        <v>5.0000000000000001E-3</v>
      </c>
      <c r="F20" s="171">
        <v>5.0000000000000001E-3</v>
      </c>
      <c r="G20" s="171">
        <v>5.0000000000000001E-3</v>
      </c>
      <c r="H20" s="171">
        <v>5.0000000000000001E-3</v>
      </c>
      <c r="I20" s="171">
        <v>5.0000000000000001E-3</v>
      </c>
      <c r="J20" s="171">
        <v>5.0000000000000001E-3</v>
      </c>
      <c r="K20" s="171">
        <v>5.0000000000000001E-3</v>
      </c>
      <c r="L20" s="171">
        <v>5.0000000000000001E-3</v>
      </c>
      <c r="M20" s="171">
        <v>5.0000000000000001E-3</v>
      </c>
      <c r="N20" s="171">
        <v>5.0000000000000001E-3</v>
      </c>
      <c r="O20" s="171">
        <v>5.0000000000000001E-3</v>
      </c>
      <c r="P20" s="171">
        <v>5.0000000000000001E-3</v>
      </c>
      <c r="Q20" s="171">
        <v>5.0000000000000001E-3</v>
      </c>
      <c r="R20" s="171">
        <v>5.0000000000000001E-3</v>
      </c>
      <c r="S20" s="171">
        <v>5.0000000000000001E-3</v>
      </c>
      <c r="T20" s="171">
        <v>5.0000000000000001E-3</v>
      </c>
      <c r="U20" s="171">
        <v>5.0000000000000001E-3</v>
      </c>
      <c r="V20" s="171">
        <v>5.0000000000000001E-3</v>
      </c>
      <c r="W20" s="171">
        <v>5.0000000000000001E-3</v>
      </c>
      <c r="X20" s="171">
        <v>5.0000000000000001E-3</v>
      </c>
      <c r="Y20" s="171">
        <v>5.0000000000000001E-3</v>
      </c>
      <c r="Z20" s="171">
        <v>5.0000000000000001E-3</v>
      </c>
      <c r="AA20" s="171">
        <v>5.0000000000000001E-3</v>
      </c>
      <c r="AB20" s="171">
        <v>5.0000000000000001E-3</v>
      </c>
      <c r="AC20" s="171">
        <v>5.0000000000000001E-3</v>
      </c>
      <c r="AD20" s="171">
        <v>5.0000000000000001E-3</v>
      </c>
      <c r="AE20" s="171">
        <v>5.0000000000000001E-3</v>
      </c>
      <c r="AF20" s="171">
        <v>5.0000000000000001E-3</v>
      </c>
      <c r="AG20" s="171">
        <v>5.0000000000000001E-3</v>
      </c>
      <c r="AH20" s="171">
        <v>5.0000000000000001E-3</v>
      </c>
      <c r="AI20" s="171">
        <v>5.0000000000000001E-3</v>
      </c>
      <c r="AJ20" s="171">
        <v>5.0000000000000001E-3</v>
      </c>
      <c r="AK20" s="171">
        <v>5.0000000000000001E-3</v>
      </c>
      <c r="AL20" s="171">
        <v>5.0000000000000001E-3</v>
      </c>
      <c r="AM20" s="171">
        <v>5.0000000000000001E-3</v>
      </c>
      <c r="AN20" s="171">
        <v>5.0000000000000001E-3</v>
      </c>
      <c r="AO20" s="171">
        <v>5.0000000000000001E-3</v>
      </c>
      <c r="AP20" s="171">
        <v>5.0000000000000001E-3</v>
      </c>
      <c r="AQ20" s="171">
        <v>5.0000000000000001E-3</v>
      </c>
      <c r="AR20" s="171">
        <v>5.0000000000000001E-3</v>
      </c>
      <c r="AS20" s="171">
        <v>5.0000000000000001E-3</v>
      </c>
      <c r="AT20" s="171">
        <v>5.0000000000000001E-3</v>
      </c>
      <c r="AU20" s="171">
        <v>5.0000000000000001E-3</v>
      </c>
      <c r="AV20" s="171">
        <v>5.0000000000000001E-3</v>
      </c>
      <c r="AW20" s="171">
        <v>5.0000000000000001E-3</v>
      </c>
      <c r="AX20" s="171">
        <v>5.0000000000000001E-3</v>
      </c>
      <c r="AY20" s="171">
        <v>5.0000000000000001E-3</v>
      </c>
      <c r="AZ20" s="171">
        <v>5.0000000000000001E-3</v>
      </c>
    </row>
    <row r="21" spans="1:55" ht="15" customHeight="1" outlineLevel="1" x14ac:dyDescent="0.25">
      <c r="B21" s="42"/>
      <c r="C21" s="42"/>
      <c r="D21" s="62" t="s">
        <v>81</v>
      </c>
      <c r="E21" s="75">
        <v>0.25</v>
      </c>
      <c r="F21" s="75">
        <v>1</v>
      </c>
      <c r="G21" s="75">
        <v>1</v>
      </c>
      <c r="H21" s="75">
        <v>1</v>
      </c>
      <c r="I21" s="75">
        <v>1</v>
      </c>
      <c r="J21" s="75">
        <v>1</v>
      </c>
      <c r="K21" s="75">
        <v>1</v>
      </c>
      <c r="L21" s="75">
        <v>1</v>
      </c>
      <c r="M21" s="75">
        <v>1</v>
      </c>
      <c r="N21" s="75">
        <v>1</v>
      </c>
      <c r="O21" s="75">
        <v>1</v>
      </c>
      <c r="P21" s="75">
        <v>1</v>
      </c>
      <c r="Q21" s="75">
        <v>1</v>
      </c>
      <c r="R21" s="75">
        <v>1</v>
      </c>
      <c r="S21" s="75">
        <v>1</v>
      </c>
      <c r="T21" s="75">
        <v>1</v>
      </c>
      <c r="U21" s="75">
        <v>1</v>
      </c>
      <c r="V21" s="75">
        <v>1</v>
      </c>
      <c r="W21" s="189">
        <v>1</v>
      </c>
      <c r="X21" s="189">
        <v>1</v>
      </c>
      <c r="Y21" s="189">
        <v>1</v>
      </c>
      <c r="Z21" s="189">
        <v>1</v>
      </c>
      <c r="AA21" s="189">
        <v>1</v>
      </c>
      <c r="AB21" s="189">
        <v>1</v>
      </c>
      <c r="AC21" s="75">
        <v>1</v>
      </c>
      <c r="AD21" s="75">
        <v>1</v>
      </c>
      <c r="AE21" s="75">
        <v>1</v>
      </c>
      <c r="AF21" s="75">
        <v>1</v>
      </c>
      <c r="AG21" s="75">
        <v>1</v>
      </c>
      <c r="AH21" s="75">
        <v>1</v>
      </c>
      <c r="AI21" s="75">
        <v>1</v>
      </c>
      <c r="AJ21" s="75">
        <v>1</v>
      </c>
      <c r="AK21" s="75">
        <v>1</v>
      </c>
      <c r="AL21" s="75">
        <v>1</v>
      </c>
      <c r="AM21" s="75">
        <v>1</v>
      </c>
      <c r="AN21" s="75">
        <v>1</v>
      </c>
      <c r="AO21" s="75">
        <v>1</v>
      </c>
      <c r="AP21" s="75">
        <v>1</v>
      </c>
      <c r="AQ21" s="75">
        <v>1</v>
      </c>
      <c r="AR21" s="75">
        <v>1</v>
      </c>
      <c r="AS21" s="75">
        <v>1</v>
      </c>
      <c r="AT21" s="75">
        <v>1</v>
      </c>
      <c r="AU21" s="75">
        <v>1</v>
      </c>
      <c r="AV21" s="75">
        <v>1</v>
      </c>
      <c r="AW21" s="75">
        <v>1</v>
      </c>
      <c r="AX21" s="75">
        <v>1</v>
      </c>
      <c r="AY21" s="75">
        <v>1</v>
      </c>
      <c r="AZ21" s="75">
        <v>1</v>
      </c>
    </row>
    <row r="22" spans="1:55" ht="15" customHeight="1" outlineLevel="1" x14ac:dyDescent="0.25">
      <c r="B22" s="42"/>
      <c r="C22" s="42"/>
      <c r="D22" s="62"/>
      <c r="W22" s="190"/>
      <c r="AO22" s="570"/>
      <c r="AP22" s="570"/>
      <c r="AQ22" s="570"/>
      <c r="AR22" s="570"/>
      <c r="AS22" s="570"/>
      <c r="AT22" s="570"/>
      <c r="AU22" s="570"/>
      <c r="AV22" s="570"/>
      <c r="AW22" s="570"/>
      <c r="AX22" s="570"/>
      <c r="AY22" s="570"/>
      <c r="AZ22" s="570"/>
    </row>
    <row r="23" spans="1:55" s="235" customFormat="1" ht="15" customHeight="1" outlineLevel="1" x14ac:dyDescent="0.25">
      <c r="A23" s="40"/>
      <c r="B23" s="42"/>
      <c r="C23" s="235" t="s">
        <v>196</v>
      </c>
      <c r="D23" s="163" t="s">
        <v>195</v>
      </c>
      <c r="E23" s="232">
        <f>E18*E14</f>
        <v>15000</v>
      </c>
      <c r="F23" s="232">
        <f t="shared" ref="F23:AN23" si="17">F18*F14</f>
        <v>15075</v>
      </c>
      <c r="G23" s="232">
        <f t="shared" si="17"/>
        <v>15150.375</v>
      </c>
      <c r="H23" s="232">
        <f t="shared" si="17"/>
        <v>15226.126875</v>
      </c>
      <c r="I23" s="232">
        <f t="shared" si="17"/>
        <v>15302.257509375</v>
      </c>
      <c r="J23" s="232">
        <f t="shared" si="17"/>
        <v>15378.768796921875</v>
      </c>
      <c r="K23" s="232">
        <f t="shared" si="17"/>
        <v>15455.662640906485</v>
      </c>
      <c r="L23" s="232">
        <f t="shared" si="17"/>
        <v>15532.940954111018</v>
      </c>
      <c r="M23" s="232">
        <f t="shared" si="17"/>
        <v>15610.605658881574</v>
      </c>
      <c r="N23" s="232">
        <f t="shared" si="17"/>
        <v>15688.658687175981</v>
      </c>
      <c r="O23" s="232">
        <f t="shared" si="17"/>
        <v>15767.10198061186</v>
      </c>
      <c r="P23" s="232">
        <f t="shared" si="17"/>
        <v>15845.93749051492</v>
      </c>
      <c r="Q23" s="232">
        <f t="shared" si="17"/>
        <v>15925.167177967494</v>
      </c>
      <c r="R23" s="232">
        <f t="shared" si="17"/>
        <v>16004.793013857332</v>
      </c>
      <c r="S23" s="232">
        <f t="shared" si="17"/>
        <v>16084.816978926619</v>
      </c>
      <c r="T23" s="232">
        <f t="shared" si="17"/>
        <v>16165.241063821253</v>
      </c>
      <c r="U23" s="232">
        <f t="shared" si="17"/>
        <v>16246.06726914036</v>
      </c>
      <c r="V23" s="232">
        <f t="shared" si="17"/>
        <v>16327.297605486061</v>
      </c>
      <c r="W23" s="232">
        <f t="shared" si="17"/>
        <v>16408.93409351349</v>
      </c>
      <c r="X23" s="232">
        <f t="shared" si="17"/>
        <v>16490.978763981057</v>
      </c>
      <c r="Y23" s="232">
        <f t="shared" si="17"/>
        <v>16573.433657800961</v>
      </c>
      <c r="Z23" s="232">
        <f t="shared" si="17"/>
        <v>16656.300826089966</v>
      </c>
      <c r="AA23" s="232">
        <f t="shared" si="17"/>
        <v>16739.582330220415</v>
      </c>
      <c r="AB23" s="232">
        <f t="shared" si="17"/>
        <v>16823.280241871518</v>
      </c>
      <c r="AC23" s="232">
        <f t="shared" si="17"/>
        <v>16907.396643080876</v>
      </c>
      <c r="AD23" s="232">
        <f t="shared" si="17"/>
        <v>16991.933626296279</v>
      </c>
      <c r="AE23" s="232">
        <f t="shared" si="17"/>
        <v>17076.893294427759</v>
      </c>
      <c r="AF23" s="232">
        <f t="shared" si="17"/>
        <v>17162.277760899899</v>
      </c>
      <c r="AG23" s="232">
        <f t="shared" si="17"/>
        <v>17248.089149704399</v>
      </c>
      <c r="AH23" s="232">
        <f t="shared" si="17"/>
        <v>17334.32959545292</v>
      </c>
      <c r="AI23" s="232">
        <f t="shared" si="17"/>
        <v>17421.001243430186</v>
      </c>
      <c r="AJ23" s="232">
        <f t="shared" si="17"/>
        <v>17508.106249647339</v>
      </c>
      <c r="AK23" s="232">
        <f t="shared" si="17"/>
        <v>17595.646780895575</v>
      </c>
      <c r="AL23" s="232">
        <f t="shared" si="17"/>
        <v>17683.625014800054</v>
      </c>
      <c r="AM23" s="232">
        <f t="shared" si="17"/>
        <v>17772.043139874055</v>
      </c>
      <c r="AN23" s="232">
        <f t="shared" si="17"/>
        <v>17860.903355573424</v>
      </c>
      <c r="AO23" s="232">
        <f t="shared" ref="AO23:AZ23" si="18">AO18*AO14</f>
        <v>17950.20787235129</v>
      </c>
      <c r="AP23" s="232">
        <f t="shared" si="18"/>
        <v>18039.958911713045</v>
      </c>
      <c r="AQ23" s="232">
        <f t="shared" si="18"/>
        <v>18130.15870627161</v>
      </c>
      <c r="AR23" s="232">
        <f t="shared" si="18"/>
        <v>18220.809499802966</v>
      </c>
      <c r="AS23" s="232">
        <f t="shared" si="18"/>
        <v>18311.913547301981</v>
      </c>
      <c r="AT23" s="232">
        <f t="shared" si="18"/>
        <v>18403.473115038491</v>
      </c>
      <c r="AU23" s="232">
        <f t="shared" si="18"/>
        <v>18495.490480613684</v>
      </c>
      <c r="AV23" s="232">
        <f t="shared" si="18"/>
        <v>18587.967933016753</v>
      </c>
      <c r="AW23" s="232">
        <f t="shared" si="18"/>
        <v>18680.907772681836</v>
      </c>
      <c r="AX23" s="232">
        <f t="shared" si="18"/>
        <v>18774.312311545244</v>
      </c>
      <c r="AY23" s="232">
        <f t="shared" si="18"/>
        <v>18868.183873102971</v>
      </c>
      <c r="AZ23" s="232">
        <f t="shared" si="18"/>
        <v>18962.524792468485</v>
      </c>
    </row>
    <row r="24" spans="1:55" x14ac:dyDescent="0.25">
      <c r="B24" s="42"/>
      <c r="C24" s="42"/>
      <c r="D24" s="64" t="s">
        <v>193</v>
      </c>
      <c r="E24" s="287">
        <f>E14*E19</f>
        <v>150000</v>
      </c>
      <c r="F24" s="287">
        <f t="shared" ref="F24:AN24" si="19">F14*F19</f>
        <v>150750</v>
      </c>
      <c r="G24" s="287">
        <f t="shared" si="19"/>
        <v>151503.75</v>
      </c>
      <c r="H24" s="287">
        <f t="shared" si="19"/>
        <v>152261.26874999999</v>
      </c>
      <c r="I24" s="287">
        <f t="shared" si="19"/>
        <v>153022.57509375</v>
      </c>
      <c r="J24" s="287">
        <f t="shared" si="19"/>
        <v>153787.68796921876</v>
      </c>
      <c r="K24" s="287">
        <f t="shared" si="19"/>
        <v>154556.62640906486</v>
      </c>
      <c r="L24" s="287">
        <f t="shared" si="19"/>
        <v>155329.40954111019</v>
      </c>
      <c r="M24" s="287">
        <f t="shared" si="19"/>
        <v>156106.05658881573</v>
      </c>
      <c r="N24" s="287">
        <f t="shared" si="19"/>
        <v>156886.58687175982</v>
      </c>
      <c r="O24" s="287">
        <f t="shared" si="19"/>
        <v>157671.01980611859</v>
      </c>
      <c r="P24" s="287">
        <f t="shared" si="19"/>
        <v>158459.37490514919</v>
      </c>
      <c r="Q24" s="287">
        <f t="shared" si="19"/>
        <v>159251.67177967494</v>
      </c>
      <c r="R24" s="287">
        <f t="shared" si="19"/>
        <v>160047.93013857331</v>
      </c>
      <c r="S24" s="287">
        <f t="shared" si="19"/>
        <v>160848.16978926619</v>
      </c>
      <c r="T24" s="287">
        <f t="shared" si="19"/>
        <v>161652.41063821252</v>
      </c>
      <c r="U24" s="287">
        <f t="shared" si="19"/>
        <v>162460.6726914036</v>
      </c>
      <c r="V24" s="287">
        <f t="shared" si="19"/>
        <v>163272.9760548606</v>
      </c>
      <c r="W24" s="287">
        <f t="shared" si="19"/>
        <v>164089.34093513491</v>
      </c>
      <c r="X24" s="287">
        <f t="shared" si="19"/>
        <v>164909.78763981056</v>
      </c>
      <c r="Y24" s="287">
        <f t="shared" si="19"/>
        <v>165734.33657800959</v>
      </c>
      <c r="Z24" s="287">
        <f t="shared" si="19"/>
        <v>166563.00826089966</v>
      </c>
      <c r="AA24" s="287">
        <f t="shared" si="19"/>
        <v>167395.82330220414</v>
      </c>
      <c r="AB24" s="287">
        <f t="shared" si="19"/>
        <v>168232.80241871518</v>
      </c>
      <c r="AC24" s="287">
        <f t="shared" si="19"/>
        <v>169073.96643080877</v>
      </c>
      <c r="AD24" s="287">
        <f t="shared" si="19"/>
        <v>169919.33626296278</v>
      </c>
      <c r="AE24" s="287">
        <f t="shared" si="19"/>
        <v>170768.93294427759</v>
      </c>
      <c r="AF24" s="287">
        <f t="shared" si="19"/>
        <v>171622.77760899899</v>
      </c>
      <c r="AG24" s="287">
        <f t="shared" si="19"/>
        <v>172480.89149704401</v>
      </c>
      <c r="AH24" s="287">
        <f t="shared" si="19"/>
        <v>173343.2959545292</v>
      </c>
      <c r="AI24" s="287">
        <f t="shared" si="19"/>
        <v>174210.01243430187</v>
      </c>
      <c r="AJ24" s="287">
        <f t="shared" si="19"/>
        <v>175081.06249647337</v>
      </c>
      <c r="AK24" s="287">
        <f t="shared" si="19"/>
        <v>175956.46780895576</v>
      </c>
      <c r="AL24" s="287">
        <f t="shared" si="19"/>
        <v>176836.25014800054</v>
      </c>
      <c r="AM24" s="287">
        <f t="shared" si="19"/>
        <v>177720.43139874056</v>
      </c>
      <c r="AN24" s="287">
        <f t="shared" si="19"/>
        <v>178609.03355573423</v>
      </c>
      <c r="AO24" s="287">
        <f t="shared" ref="AO24:AZ24" si="20">AO14*AO19</f>
        <v>179502.07872351288</v>
      </c>
      <c r="AP24" s="287">
        <f t="shared" si="20"/>
        <v>180399.58911713044</v>
      </c>
      <c r="AQ24" s="287">
        <f t="shared" si="20"/>
        <v>181301.58706271611</v>
      </c>
      <c r="AR24" s="287">
        <f t="shared" si="20"/>
        <v>182208.09499802967</v>
      </c>
      <c r="AS24" s="287">
        <f t="shared" si="20"/>
        <v>183119.13547301982</v>
      </c>
      <c r="AT24" s="287">
        <f t="shared" si="20"/>
        <v>184034.73115038491</v>
      </c>
      <c r="AU24" s="287">
        <f t="shared" si="20"/>
        <v>184954.90480613685</v>
      </c>
      <c r="AV24" s="287">
        <f t="shared" si="20"/>
        <v>185879.67933016754</v>
      </c>
      <c r="AW24" s="287">
        <f t="shared" si="20"/>
        <v>186809.07772681836</v>
      </c>
      <c r="AX24" s="287">
        <f t="shared" si="20"/>
        <v>187743.12311545244</v>
      </c>
      <c r="AY24" s="287">
        <f t="shared" si="20"/>
        <v>188681.83873102971</v>
      </c>
      <c r="AZ24" s="287">
        <f t="shared" si="20"/>
        <v>189625.24792468484</v>
      </c>
    </row>
    <row r="25" spans="1:55" x14ac:dyDescent="0.25">
      <c r="B25" s="42" t="s">
        <v>82</v>
      </c>
      <c r="C25" s="42" t="s">
        <v>190</v>
      </c>
      <c r="D25" s="63" t="s">
        <v>83</v>
      </c>
      <c r="E25" s="76">
        <f>E24+E15</f>
        <v>385000</v>
      </c>
      <c r="F25" s="164">
        <f t="shared" ref="F25:AN25" si="21">F24+F15</f>
        <v>385750</v>
      </c>
      <c r="G25" s="164">
        <f t="shared" si="21"/>
        <v>386503.75</v>
      </c>
      <c r="H25" s="164">
        <f t="shared" si="21"/>
        <v>387261.26874999999</v>
      </c>
      <c r="I25" s="164">
        <f t="shared" si="21"/>
        <v>388022.57509375003</v>
      </c>
      <c r="J25" s="164">
        <f t="shared" si="21"/>
        <v>388787.68796921876</v>
      </c>
      <c r="K25" s="164">
        <f t="shared" si="21"/>
        <v>389556.62640906486</v>
      </c>
      <c r="L25" s="164">
        <f t="shared" si="21"/>
        <v>390329.40954111016</v>
      </c>
      <c r="M25" s="164">
        <f t="shared" si="21"/>
        <v>391106.05658881576</v>
      </c>
      <c r="N25" s="164">
        <f t="shared" si="21"/>
        <v>391886.58687175985</v>
      </c>
      <c r="O25" s="164">
        <f t="shared" si="21"/>
        <v>392671.01980611857</v>
      </c>
      <c r="P25" s="164">
        <f t="shared" si="21"/>
        <v>393459.37490514922</v>
      </c>
      <c r="Q25" s="164">
        <f t="shared" si="21"/>
        <v>394251.67177967494</v>
      </c>
      <c r="R25" s="164">
        <f t="shared" si="21"/>
        <v>395047.93013857328</v>
      </c>
      <c r="S25" s="164">
        <f t="shared" si="21"/>
        <v>395848.16978926619</v>
      </c>
      <c r="T25" s="164">
        <f t="shared" si="21"/>
        <v>396652.41063821252</v>
      </c>
      <c r="U25" s="164">
        <f t="shared" si="21"/>
        <v>397460.6726914036</v>
      </c>
      <c r="V25" s="164">
        <f t="shared" si="21"/>
        <v>398272.97605486063</v>
      </c>
      <c r="W25" s="164">
        <f t="shared" si="21"/>
        <v>399089.34093513491</v>
      </c>
      <c r="X25" s="164">
        <f t="shared" si="21"/>
        <v>399909.78763981059</v>
      </c>
      <c r="Y25" s="164">
        <f t="shared" si="21"/>
        <v>400734.33657800959</v>
      </c>
      <c r="Z25" s="164">
        <f t="shared" si="21"/>
        <v>401563.00826089969</v>
      </c>
      <c r="AA25" s="164">
        <f t="shared" si="21"/>
        <v>402395.82330220414</v>
      </c>
      <c r="AB25" s="164">
        <f t="shared" si="21"/>
        <v>403232.8024187152</v>
      </c>
      <c r="AC25" s="164">
        <f t="shared" si="21"/>
        <v>404073.96643080877</v>
      </c>
      <c r="AD25" s="164">
        <f t="shared" si="21"/>
        <v>404919.33626296278</v>
      </c>
      <c r="AE25" s="164">
        <f t="shared" si="21"/>
        <v>405768.93294427759</v>
      </c>
      <c r="AF25" s="164">
        <f t="shared" si="21"/>
        <v>406622.77760899899</v>
      </c>
      <c r="AG25" s="164">
        <f t="shared" si="21"/>
        <v>407480.89149704401</v>
      </c>
      <c r="AH25" s="164">
        <f t="shared" si="21"/>
        <v>408343.2959545292</v>
      </c>
      <c r="AI25" s="164">
        <f t="shared" si="21"/>
        <v>409210.0124343019</v>
      </c>
      <c r="AJ25" s="164">
        <f t="shared" si="21"/>
        <v>410081.06249647337</v>
      </c>
      <c r="AK25" s="164">
        <f t="shared" si="21"/>
        <v>410956.46780895576</v>
      </c>
      <c r="AL25" s="164">
        <f t="shared" si="21"/>
        <v>411836.25014800054</v>
      </c>
      <c r="AM25" s="164">
        <f t="shared" si="21"/>
        <v>412720.43139874056</v>
      </c>
      <c r="AN25" s="164">
        <f t="shared" si="21"/>
        <v>413609.0335557342</v>
      </c>
      <c r="AO25" s="164">
        <f t="shared" ref="AO25:AZ25" si="22">AO24+AO15</f>
        <v>414502.07872351288</v>
      </c>
      <c r="AP25" s="164">
        <f t="shared" si="22"/>
        <v>415399.58911713044</v>
      </c>
      <c r="AQ25" s="164">
        <f t="shared" si="22"/>
        <v>416301.58706271613</v>
      </c>
      <c r="AR25" s="164">
        <f t="shared" si="22"/>
        <v>417208.09499802964</v>
      </c>
      <c r="AS25" s="164">
        <f t="shared" si="22"/>
        <v>418119.13547301979</v>
      </c>
      <c r="AT25" s="164">
        <f t="shared" si="22"/>
        <v>419034.73115038488</v>
      </c>
      <c r="AU25" s="164">
        <f t="shared" si="22"/>
        <v>419954.90480613685</v>
      </c>
      <c r="AV25" s="164">
        <f t="shared" si="22"/>
        <v>420879.67933016754</v>
      </c>
      <c r="AW25" s="164">
        <f t="shared" si="22"/>
        <v>421809.07772681839</v>
      </c>
      <c r="AX25" s="164">
        <f t="shared" si="22"/>
        <v>422743.12311545247</v>
      </c>
      <c r="AY25" s="164">
        <f t="shared" si="22"/>
        <v>423681.83873102971</v>
      </c>
      <c r="AZ25" s="164">
        <f t="shared" si="22"/>
        <v>424625.24792468484</v>
      </c>
    </row>
    <row r="26" spans="1:55" x14ac:dyDescent="0.25">
      <c r="B26" s="42"/>
      <c r="C26" s="42"/>
      <c r="D26" s="62"/>
      <c r="E26" s="22"/>
      <c r="F26" s="22"/>
      <c r="G26" s="22"/>
      <c r="H26" s="22"/>
      <c r="I26" s="22"/>
      <c r="J26" s="22"/>
      <c r="K26" s="22"/>
      <c r="L26" s="22"/>
      <c r="M26" s="22"/>
      <c r="N26" s="22"/>
      <c r="O26" s="22"/>
      <c r="P26" s="22"/>
      <c r="Q26" s="22"/>
      <c r="R26" s="69"/>
      <c r="S26" s="22"/>
      <c r="T26" s="22"/>
      <c r="U26" s="22"/>
      <c r="V26" s="222"/>
      <c r="W26" s="222"/>
      <c r="X26" s="222"/>
      <c r="Y26" s="222"/>
      <c r="Z26" s="222"/>
      <c r="AA26" s="222"/>
      <c r="AB26" s="222"/>
      <c r="AC26" s="22"/>
      <c r="AD26" s="22"/>
      <c r="AE26" s="22"/>
      <c r="AF26" s="22"/>
      <c r="AG26" s="22"/>
      <c r="AH26" s="22"/>
      <c r="AI26" s="22"/>
      <c r="AJ26" s="22"/>
      <c r="AK26" s="22"/>
      <c r="AL26" s="22"/>
      <c r="AM26" s="22"/>
      <c r="AN26" s="22"/>
    </row>
    <row r="29" spans="1:55" x14ac:dyDescent="0.25">
      <c r="B29" s="42"/>
      <c r="C29" s="42"/>
      <c r="D29" s="29"/>
      <c r="E29" s="322"/>
      <c r="F29" s="322"/>
      <c r="G29" s="322"/>
      <c r="H29" s="322"/>
      <c r="I29" s="322"/>
      <c r="J29" s="322"/>
      <c r="K29" s="322"/>
      <c r="L29" s="322"/>
      <c r="M29" s="322"/>
      <c r="N29" s="322"/>
      <c r="O29" s="322"/>
      <c r="P29" s="322"/>
      <c r="Q29" s="322"/>
      <c r="R29" s="322"/>
      <c r="S29" s="322"/>
      <c r="T29" s="322"/>
      <c r="U29" s="322"/>
      <c r="V29" s="322"/>
      <c r="W29" s="323"/>
      <c r="X29" s="323"/>
      <c r="Y29" s="323"/>
      <c r="Z29" s="323"/>
      <c r="AA29" s="323"/>
      <c r="AB29" s="323"/>
      <c r="AC29" s="322"/>
      <c r="AD29" s="322"/>
      <c r="AE29" s="322"/>
      <c r="AF29" s="322"/>
      <c r="AG29" s="322"/>
      <c r="AH29" s="322"/>
      <c r="AI29" s="322"/>
      <c r="AJ29" s="322"/>
      <c r="AK29" s="322"/>
      <c r="AL29" s="322"/>
      <c r="AM29" s="322"/>
      <c r="AN29" s="322"/>
      <c r="AO29" s="156"/>
      <c r="AP29" s="156"/>
      <c r="AQ29" s="156"/>
      <c r="AR29" s="156"/>
      <c r="AS29" s="156"/>
      <c r="AT29" s="156"/>
      <c r="AU29" s="156"/>
      <c r="AV29" s="156"/>
      <c r="AW29" s="156"/>
      <c r="AX29" s="156"/>
      <c r="AY29" s="156"/>
      <c r="AZ29" s="156"/>
      <c r="BA29" s="156"/>
      <c r="BB29" s="156"/>
      <c r="BC29" s="156"/>
    </row>
    <row r="30" spans="1:55" x14ac:dyDescent="0.25">
      <c r="B30" s="42"/>
      <c r="C30" s="42"/>
      <c r="D30" s="79"/>
      <c r="E30" s="156"/>
      <c r="F30" s="156"/>
      <c r="G30" s="156"/>
      <c r="H30" s="156"/>
      <c r="I30" s="156"/>
      <c r="J30" s="156"/>
      <c r="K30" s="156"/>
      <c r="L30" s="156"/>
      <c r="M30" s="156"/>
      <c r="N30" s="156"/>
      <c r="O30" s="156"/>
      <c r="P30" s="156"/>
      <c r="Q30" s="156"/>
      <c r="R30" s="156"/>
      <c r="S30" s="156"/>
      <c r="T30" s="156"/>
      <c r="U30" s="156"/>
      <c r="V30" s="156"/>
      <c r="W30" s="324"/>
      <c r="X30" s="324"/>
      <c r="Y30" s="324"/>
      <c r="Z30" s="324"/>
      <c r="AA30" s="324"/>
      <c r="AB30" s="324"/>
      <c r="AC30" s="156"/>
      <c r="AD30" s="156"/>
      <c r="AE30" s="156"/>
      <c r="AF30" s="156"/>
      <c r="AG30" s="156"/>
      <c r="AH30" s="156"/>
      <c r="AI30" s="156"/>
      <c r="AJ30" s="156"/>
      <c r="AK30" s="156"/>
      <c r="AL30" s="156"/>
      <c r="AM30" s="156"/>
      <c r="AN30" s="156"/>
      <c r="AO30" s="156"/>
      <c r="AP30" s="156"/>
      <c r="AQ30" s="156"/>
      <c r="AR30" s="156"/>
      <c r="AS30" s="156"/>
      <c r="AT30" s="156"/>
      <c r="AU30" s="156"/>
      <c r="AV30" s="156"/>
      <c r="AW30" s="156"/>
      <c r="AX30" s="156"/>
      <c r="AY30" s="156"/>
      <c r="AZ30" s="156"/>
      <c r="BA30" s="156"/>
      <c r="BB30" s="156"/>
      <c r="BC30" s="156"/>
    </row>
    <row r="31" spans="1:55" x14ac:dyDescent="0.25">
      <c r="B31" s="42"/>
      <c r="C31" s="42"/>
      <c r="E31" s="80"/>
      <c r="F31" s="80"/>
      <c r="G31" s="80"/>
      <c r="H31" s="80"/>
      <c r="I31" s="80"/>
      <c r="J31" s="80"/>
      <c r="K31" s="80"/>
      <c r="L31" s="80"/>
      <c r="M31" s="80"/>
      <c r="N31" s="80"/>
      <c r="O31" s="80"/>
      <c r="P31" s="80"/>
      <c r="Q31" s="80"/>
      <c r="R31" s="80"/>
      <c r="S31" s="80"/>
      <c r="T31" s="80"/>
      <c r="U31" s="80"/>
      <c r="V31" s="80"/>
      <c r="W31" s="191"/>
      <c r="X31" s="191"/>
      <c r="Y31" s="191"/>
      <c r="Z31" s="191"/>
      <c r="AA31" s="191"/>
      <c r="AB31" s="191"/>
      <c r="AC31" s="80"/>
      <c r="AD31" s="80"/>
      <c r="AE31" s="80"/>
      <c r="AF31" s="80"/>
      <c r="AG31" s="80"/>
      <c r="AH31" s="80"/>
      <c r="AI31" s="80"/>
      <c r="AJ31" s="80"/>
      <c r="AK31" s="80"/>
      <c r="AL31" s="80"/>
      <c r="AM31" s="80"/>
      <c r="AN31" s="80"/>
    </row>
    <row r="32" spans="1:55" x14ac:dyDescent="0.25">
      <c r="B32" s="42"/>
      <c r="C32" s="42"/>
      <c r="E32" s="80"/>
      <c r="F32" s="80"/>
      <c r="G32" s="80"/>
      <c r="H32" s="80"/>
      <c r="I32" s="80"/>
      <c r="J32" s="80"/>
      <c r="K32" s="80"/>
      <c r="L32" s="80"/>
      <c r="M32" s="80"/>
      <c r="N32" s="80"/>
      <c r="O32" s="80"/>
      <c r="P32" s="80"/>
      <c r="Q32" s="80"/>
      <c r="R32" s="80"/>
      <c r="S32" s="80"/>
      <c r="T32" s="80"/>
      <c r="U32" s="80"/>
      <c r="V32" s="80"/>
      <c r="W32" s="191"/>
      <c r="X32" s="191"/>
      <c r="Y32" s="191"/>
      <c r="Z32" s="191"/>
      <c r="AA32" s="191"/>
      <c r="AB32" s="191"/>
      <c r="AC32" s="80"/>
      <c r="AD32" s="80"/>
      <c r="AE32" s="80"/>
      <c r="AF32" s="80"/>
      <c r="AG32" s="80"/>
      <c r="AH32" s="80"/>
      <c r="AI32" s="80"/>
      <c r="AJ32" s="80"/>
      <c r="AK32" s="80"/>
      <c r="AL32" s="80"/>
      <c r="AM32" s="80"/>
      <c r="AN32" s="80"/>
    </row>
    <row r="33" spans="2:40" x14ac:dyDescent="0.25">
      <c r="B33" s="42"/>
      <c r="C33" s="42"/>
      <c r="E33" s="80"/>
      <c r="F33" s="80"/>
      <c r="G33" s="80"/>
      <c r="H33" s="80"/>
      <c r="I33" s="80"/>
      <c r="J33" s="80"/>
      <c r="K33" s="80"/>
      <c r="L33" s="80"/>
      <c r="M33" s="80"/>
      <c r="N33" s="80"/>
      <c r="O33" s="80"/>
      <c r="P33" s="80"/>
      <c r="Q33" s="80"/>
      <c r="R33" s="80"/>
      <c r="S33" s="80"/>
      <c r="T33" s="80"/>
      <c r="U33" s="80"/>
      <c r="V33" s="80"/>
      <c r="W33" s="191"/>
      <c r="X33" s="191"/>
      <c r="Y33" s="191"/>
      <c r="Z33" s="191"/>
      <c r="AA33" s="191"/>
      <c r="AB33" s="191"/>
      <c r="AC33" s="80"/>
      <c r="AD33" s="80"/>
      <c r="AE33" s="80"/>
      <c r="AF33" s="80"/>
      <c r="AG33" s="80"/>
      <c r="AH33" s="80"/>
      <c r="AI33" s="80"/>
      <c r="AJ33" s="80"/>
      <c r="AK33" s="80"/>
      <c r="AL33" s="80"/>
      <c r="AM33" s="80"/>
      <c r="AN33" s="80"/>
    </row>
    <row r="34" spans="2:40" x14ac:dyDescent="0.25">
      <c r="B34" s="42"/>
      <c r="C34" s="42"/>
      <c r="E34" s="80"/>
      <c r="F34" s="80"/>
      <c r="G34" s="80"/>
      <c r="H34" s="80"/>
      <c r="I34" s="80"/>
      <c r="J34" s="80"/>
      <c r="K34" s="80"/>
      <c r="L34" s="80"/>
      <c r="M34" s="80"/>
      <c r="N34" s="80"/>
      <c r="O34" s="80"/>
      <c r="P34" s="80"/>
      <c r="Q34" s="80"/>
      <c r="R34" s="80"/>
      <c r="S34" s="80"/>
      <c r="T34" s="80"/>
      <c r="U34" s="80"/>
      <c r="V34" s="80"/>
      <c r="W34" s="191"/>
      <c r="X34" s="191"/>
      <c r="Y34" s="191"/>
      <c r="Z34" s="191"/>
      <c r="AA34" s="191"/>
      <c r="AB34" s="191"/>
      <c r="AC34" s="80"/>
      <c r="AD34" s="80"/>
      <c r="AE34" s="80"/>
      <c r="AF34" s="80"/>
      <c r="AG34" s="80"/>
      <c r="AH34" s="80"/>
      <c r="AI34" s="80"/>
      <c r="AJ34" s="80"/>
      <c r="AK34" s="80"/>
      <c r="AL34" s="80"/>
      <c r="AM34" s="80"/>
      <c r="AN34" s="80"/>
    </row>
    <row r="35" spans="2:40" x14ac:dyDescent="0.25">
      <c r="B35" s="42"/>
      <c r="C35" s="42"/>
      <c r="E35" s="81"/>
      <c r="F35" s="81"/>
      <c r="G35" s="81"/>
      <c r="H35" s="81"/>
      <c r="I35" s="81"/>
      <c r="J35" s="81"/>
      <c r="K35" s="81"/>
      <c r="L35" s="81"/>
      <c r="M35" s="81"/>
      <c r="N35" s="81"/>
      <c r="O35" s="81"/>
      <c r="P35" s="81"/>
      <c r="Q35" s="80"/>
      <c r="R35" s="80"/>
      <c r="S35" s="80"/>
      <c r="T35" s="80"/>
      <c r="U35" s="80"/>
      <c r="V35" s="80"/>
      <c r="W35" s="191"/>
      <c r="X35" s="191"/>
      <c r="Y35" s="191"/>
      <c r="Z35" s="191"/>
      <c r="AA35" s="191"/>
      <c r="AB35" s="191"/>
      <c r="AC35" s="80"/>
      <c r="AD35" s="80"/>
      <c r="AE35" s="80"/>
      <c r="AF35" s="80"/>
      <c r="AG35" s="80"/>
      <c r="AH35" s="80"/>
      <c r="AI35" s="80"/>
      <c r="AJ35" s="80"/>
      <c r="AK35" s="80"/>
      <c r="AL35" s="80"/>
      <c r="AM35" s="80"/>
      <c r="AN35" s="80"/>
    </row>
    <row r="36" spans="2:40" x14ac:dyDescent="0.25">
      <c r="B36" s="42"/>
      <c r="C36" s="42"/>
      <c r="E36" s="81"/>
      <c r="F36" s="81"/>
      <c r="G36" s="81"/>
      <c r="H36" s="81"/>
      <c r="I36" s="81"/>
      <c r="J36" s="81"/>
      <c r="K36" s="81"/>
      <c r="L36" s="81"/>
      <c r="M36" s="81"/>
      <c r="N36" s="81"/>
      <c r="O36" s="81"/>
      <c r="P36" s="81"/>
      <c r="Q36" s="80"/>
      <c r="R36" s="80"/>
      <c r="S36" s="80"/>
      <c r="T36" s="80"/>
      <c r="U36" s="80"/>
      <c r="V36" s="80"/>
      <c r="W36" s="191"/>
      <c r="X36" s="191"/>
      <c r="Y36" s="191"/>
      <c r="Z36" s="191"/>
      <c r="AA36" s="191"/>
      <c r="AB36" s="191"/>
      <c r="AC36" s="80"/>
      <c r="AD36" s="80"/>
      <c r="AE36" s="80"/>
      <c r="AF36" s="80"/>
      <c r="AG36" s="80"/>
      <c r="AH36" s="80"/>
      <c r="AI36" s="80"/>
      <c r="AJ36" s="80"/>
      <c r="AK36" s="80"/>
      <c r="AL36" s="80"/>
      <c r="AM36" s="80"/>
      <c r="AN36" s="80"/>
    </row>
    <row r="37" spans="2:40" x14ac:dyDescent="0.25">
      <c r="B37" s="42"/>
      <c r="C37" s="42"/>
      <c r="E37" s="59"/>
      <c r="F37" s="59"/>
      <c r="G37" s="59"/>
      <c r="H37" s="59"/>
      <c r="I37" s="59"/>
      <c r="J37" s="59"/>
      <c r="K37" s="59"/>
      <c r="L37" s="59"/>
      <c r="M37" s="59"/>
      <c r="N37" s="59"/>
      <c r="O37" s="59"/>
      <c r="P37" s="59"/>
      <c r="Q37" s="59"/>
      <c r="R37" s="59"/>
      <c r="S37" s="59"/>
      <c r="T37" s="59"/>
      <c r="U37" s="59"/>
      <c r="V37" s="59"/>
      <c r="W37" s="188"/>
      <c r="X37" s="188"/>
      <c r="Y37" s="188"/>
      <c r="Z37" s="188"/>
      <c r="AA37" s="188"/>
      <c r="AB37" s="188"/>
      <c r="AC37" s="59"/>
      <c r="AD37" s="59"/>
      <c r="AE37" s="59"/>
      <c r="AF37" s="59"/>
      <c r="AG37" s="59"/>
      <c r="AH37" s="59"/>
      <c r="AI37" s="59"/>
      <c r="AJ37" s="59"/>
      <c r="AK37" s="59"/>
      <c r="AL37" s="59"/>
      <c r="AM37" s="59"/>
      <c r="AN37" s="59"/>
    </row>
    <row r="38" spans="2:40" x14ac:dyDescent="0.25">
      <c r="B38" s="42"/>
      <c r="C38" s="42"/>
      <c r="D38" s="79"/>
      <c r="E38" s="59"/>
      <c r="F38" s="59"/>
      <c r="G38" s="59"/>
      <c r="H38" s="59"/>
      <c r="I38" s="59"/>
      <c r="J38" s="59"/>
      <c r="K38" s="59"/>
      <c r="L38" s="59"/>
      <c r="M38" s="59"/>
      <c r="N38" s="59"/>
      <c r="O38" s="59"/>
      <c r="P38" s="59"/>
      <c r="Q38" s="59"/>
      <c r="R38" s="59"/>
      <c r="S38" s="59"/>
      <c r="T38" s="59"/>
      <c r="U38" s="59"/>
      <c r="V38" s="59"/>
      <c r="W38" s="188"/>
      <c r="X38" s="188"/>
      <c r="Y38" s="188"/>
      <c r="Z38" s="188"/>
      <c r="AA38" s="188"/>
      <c r="AB38" s="188"/>
      <c r="AC38" s="59"/>
      <c r="AD38" s="59"/>
      <c r="AE38" s="59"/>
      <c r="AF38" s="59"/>
      <c r="AG38" s="59"/>
      <c r="AH38" s="59"/>
      <c r="AI38" s="59"/>
      <c r="AJ38" s="59"/>
      <c r="AK38" s="59"/>
      <c r="AL38" s="59"/>
      <c r="AM38" s="59"/>
      <c r="AN38" s="59"/>
    </row>
    <row r="39" spans="2:40" x14ac:dyDescent="0.25">
      <c r="B39" s="42"/>
      <c r="C39" s="42"/>
      <c r="E39" s="80"/>
      <c r="F39" s="80"/>
      <c r="G39" s="80"/>
      <c r="H39" s="80"/>
      <c r="I39" s="80"/>
      <c r="J39" s="80"/>
      <c r="K39" s="80"/>
      <c r="L39" s="80"/>
      <c r="M39" s="80"/>
      <c r="N39" s="80"/>
      <c r="O39" s="80"/>
      <c r="P39" s="80"/>
      <c r="Q39" s="80"/>
      <c r="R39" s="80"/>
      <c r="S39" s="80"/>
      <c r="T39" s="80"/>
      <c r="U39" s="80"/>
      <c r="V39" s="80"/>
      <c r="W39" s="191"/>
      <c r="X39" s="191"/>
      <c r="Y39" s="191"/>
      <c r="Z39" s="191"/>
      <c r="AA39" s="191"/>
      <c r="AB39" s="191"/>
      <c r="AC39" s="80"/>
      <c r="AD39" s="80"/>
      <c r="AE39" s="80"/>
      <c r="AF39" s="80"/>
      <c r="AG39" s="80"/>
      <c r="AH39" s="80"/>
      <c r="AI39" s="80"/>
      <c r="AJ39" s="80"/>
      <c r="AK39" s="80"/>
      <c r="AL39" s="80"/>
      <c r="AM39" s="80"/>
      <c r="AN39" s="80"/>
    </row>
    <row r="40" spans="2:40" x14ac:dyDescent="0.25">
      <c r="B40" s="42"/>
      <c r="C40" s="42"/>
      <c r="E40" s="80"/>
      <c r="F40" s="80"/>
      <c r="G40" s="80"/>
      <c r="H40" s="80"/>
      <c r="I40" s="80"/>
      <c r="J40" s="80"/>
      <c r="K40" s="80"/>
      <c r="L40" s="80"/>
      <c r="M40" s="80"/>
      <c r="N40" s="80"/>
      <c r="O40" s="80"/>
      <c r="P40" s="80"/>
      <c r="Q40" s="80"/>
      <c r="R40" s="80"/>
      <c r="S40" s="80"/>
      <c r="T40" s="80"/>
      <c r="U40" s="80"/>
      <c r="V40" s="80"/>
      <c r="W40" s="191"/>
      <c r="X40" s="191"/>
      <c r="Y40" s="191"/>
      <c r="Z40" s="191"/>
      <c r="AA40" s="191"/>
      <c r="AB40" s="191"/>
      <c r="AC40" s="80"/>
      <c r="AD40" s="80"/>
      <c r="AE40" s="80"/>
      <c r="AF40" s="80"/>
      <c r="AG40" s="80"/>
      <c r="AH40" s="80"/>
      <c r="AI40" s="80"/>
      <c r="AJ40" s="80"/>
      <c r="AK40" s="80"/>
      <c r="AL40" s="80"/>
      <c r="AM40" s="80"/>
      <c r="AN40" s="80"/>
    </row>
    <row r="41" spans="2:40" x14ac:dyDescent="0.25">
      <c r="B41" s="42"/>
      <c r="C41" s="42"/>
      <c r="E41" s="80"/>
      <c r="F41" s="80"/>
      <c r="G41" s="80"/>
      <c r="H41" s="80"/>
      <c r="I41" s="80"/>
      <c r="J41" s="80"/>
      <c r="K41" s="80"/>
      <c r="L41" s="80"/>
      <c r="M41" s="80"/>
      <c r="N41" s="80"/>
      <c r="O41" s="80"/>
      <c r="P41" s="80"/>
      <c r="Q41" s="80"/>
      <c r="R41" s="80"/>
      <c r="S41" s="80"/>
      <c r="T41" s="80"/>
      <c r="U41" s="80"/>
      <c r="V41" s="80"/>
      <c r="W41" s="191"/>
      <c r="X41" s="191"/>
      <c r="Y41" s="191"/>
      <c r="Z41" s="191"/>
      <c r="AA41" s="191"/>
      <c r="AB41" s="191"/>
      <c r="AC41" s="80"/>
      <c r="AD41" s="80"/>
      <c r="AE41" s="80"/>
      <c r="AF41" s="80"/>
      <c r="AG41" s="80"/>
      <c r="AH41" s="80"/>
      <c r="AI41" s="80"/>
      <c r="AJ41" s="80"/>
      <c r="AK41" s="80"/>
      <c r="AL41" s="80"/>
      <c r="AM41" s="80"/>
      <c r="AN41" s="80"/>
    </row>
    <row r="42" spans="2:40" x14ac:dyDescent="0.25">
      <c r="B42" s="42"/>
      <c r="C42" s="42"/>
      <c r="E42" s="80"/>
      <c r="F42" s="80"/>
      <c r="G42" s="80"/>
      <c r="H42" s="80"/>
      <c r="I42" s="80"/>
      <c r="J42" s="80"/>
      <c r="K42" s="80"/>
      <c r="L42" s="80"/>
      <c r="M42" s="80"/>
      <c r="N42" s="80"/>
      <c r="O42" s="80"/>
      <c r="P42" s="80"/>
      <c r="Q42" s="80"/>
      <c r="R42" s="80"/>
      <c r="S42" s="80"/>
      <c r="T42" s="80"/>
      <c r="U42" s="80"/>
      <c r="V42" s="80"/>
      <c r="W42" s="191"/>
      <c r="X42" s="191"/>
      <c r="Y42" s="191"/>
      <c r="Z42" s="191"/>
      <c r="AA42" s="191"/>
      <c r="AB42" s="191"/>
      <c r="AC42" s="80"/>
      <c r="AD42" s="80"/>
      <c r="AE42" s="80"/>
      <c r="AF42" s="80"/>
      <c r="AG42" s="80"/>
      <c r="AH42" s="80"/>
      <c r="AI42" s="80"/>
      <c r="AJ42" s="80"/>
      <c r="AK42" s="80"/>
      <c r="AL42" s="80"/>
      <c r="AM42" s="80"/>
      <c r="AN42" s="80"/>
    </row>
    <row r="43" spans="2:40" x14ac:dyDescent="0.25">
      <c r="B43" s="42"/>
      <c r="C43" s="42"/>
      <c r="E43" s="81"/>
      <c r="F43" s="81"/>
      <c r="G43" s="81"/>
      <c r="H43" s="81"/>
      <c r="I43" s="81"/>
      <c r="J43" s="81"/>
      <c r="K43" s="81"/>
      <c r="L43" s="81"/>
      <c r="M43" s="81"/>
      <c r="N43" s="81"/>
      <c r="O43" s="81"/>
      <c r="P43" s="81"/>
      <c r="Q43" s="80"/>
      <c r="R43" s="80"/>
      <c r="S43" s="80"/>
      <c r="T43" s="80"/>
      <c r="U43" s="80"/>
      <c r="V43" s="80"/>
      <c r="W43" s="191"/>
      <c r="X43" s="191"/>
      <c r="Y43" s="191"/>
      <c r="Z43" s="191"/>
      <c r="AA43" s="191"/>
      <c r="AB43" s="191"/>
      <c r="AC43" s="80"/>
      <c r="AD43" s="80"/>
      <c r="AE43" s="80"/>
      <c r="AF43" s="80"/>
      <c r="AG43" s="80"/>
      <c r="AH43" s="80"/>
      <c r="AI43" s="80"/>
      <c r="AJ43" s="80"/>
      <c r="AK43" s="80"/>
      <c r="AL43" s="80"/>
      <c r="AM43" s="80"/>
      <c r="AN43" s="80"/>
    </row>
    <row r="44" spans="2:40" x14ac:dyDescent="0.25">
      <c r="B44" s="42"/>
      <c r="C44" s="42"/>
      <c r="E44" s="81"/>
      <c r="F44" s="81"/>
      <c r="G44" s="81"/>
      <c r="H44" s="81"/>
      <c r="I44" s="81"/>
      <c r="J44" s="81"/>
      <c r="K44" s="81"/>
      <c r="L44" s="81"/>
      <c r="M44" s="81"/>
      <c r="N44" s="81"/>
      <c r="O44" s="81"/>
      <c r="P44" s="81"/>
      <c r="Q44" s="80"/>
      <c r="R44" s="80"/>
      <c r="S44" s="80"/>
      <c r="T44" s="80"/>
      <c r="U44" s="80"/>
      <c r="V44" s="80"/>
      <c r="W44" s="191"/>
      <c r="X44" s="191"/>
      <c r="Y44" s="191"/>
      <c r="Z44" s="191"/>
      <c r="AA44" s="191"/>
      <c r="AB44" s="191"/>
      <c r="AC44" s="80"/>
      <c r="AD44" s="80"/>
      <c r="AE44" s="80"/>
      <c r="AF44" s="80"/>
      <c r="AG44" s="80"/>
      <c r="AH44" s="80"/>
      <c r="AI44" s="80"/>
      <c r="AJ44" s="80"/>
      <c r="AK44" s="80"/>
      <c r="AL44" s="80"/>
      <c r="AM44" s="80"/>
      <c r="AN44" s="80"/>
    </row>
    <row r="45" spans="2:40" x14ac:dyDescent="0.25">
      <c r="B45" s="42"/>
      <c r="C45" s="42"/>
      <c r="E45" s="59"/>
      <c r="F45" s="59"/>
      <c r="G45" s="59"/>
      <c r="H45" s="59"/>
      <c r="I45" s="59"/>
      <c r="J45" s="59"/>
      <c r="K45" s="59"/>
      <c r="L45" s="59"/>
      <c r="M45" s="59"/>
      <c r="N45" s="59"/>
      <c r="O45" s="59"/>
      <c r="P45" s="59"/>
      <c r="Q45" s="59"/>
      <c r="R45" s="59"/>
      <c r="S45" s="59"/>
      <c r="T45" s="59"/>
      <c r="U45" s="59"/>
      <c r="V45" s="59"/>
      <c r="W45" s="188"/>
      <c r="X45" s="188"/>
      <c r="Y45" s="188"/>
      <c r="Z45" s="188"/>
      <c r="AA45" s="188"/>
      <c r="AB45" s="188"/>
      <c r="AC45" s="59"/>
      <c r="AD45" s="59"/>
      <c r="AE45" s="59"/>
      <c r="AF45" s="59"/>
      <c r="AG45" s="59"/>
      <c r="AH45" s="59"/>
      <c r="AI45" s="59"/>
      <c r="AJ45" s="59"/>
      <c r="AK45" s="59"/>
      <c r="AL45" s="59"/>
      <c r="AM45" s="59"/>
      <c r="AN45" s="59"/>
    </row>
    <row r="46" spans="2:40" x14ac:dyDescent="0.25">
      <c r="B46" s="42"/>
      <c r="C46" s="42"/>
      <c r="D46" s="79"/>
      <c r="E46" s="59"/>
      <c r="F46" s="59"/>
      <c r="G46" s="59"/>
      <c r="H46" s="59"/>
      <c r="I46" s="59"/>
      <c r="J46" s="59"/>
      <c r="K46" s="59"/>
      <c r="L46" s="59"/>
      <c r="M46" s="59"/>
      <c r="N46" s="59"/>
      <c r="O46" s="59"/>
      <c r="P46" s="59"/>
      <c r="Q46" s="59"/>
      <c r="R46" s="59"/>
      <c r="S46" s="59"/>
      <c r="T46" s="59"/>
      <c r="U46" s="59"/>
      <c r="V46" s="59"/>
      <c r="W46" s="188"/>
      <c r="X46" s="188"/>
      <c r="Y46" s="188"/>
      <c r="Z46" s="188"/>
      <c r="AA46" s="188"/>
      <c r="AB46" s="188"/>
      <c r="AC46" s="59"/>
      <c r="AD46" s="59"/>
      <c r="AE46" s="59"/>
      <c r="AF46" s="59"/>
      <c r="AG46" s="59"/>
      <c r="AH46" s="59"/>
      <c r="AI46" s="59"/>
      <c r="AJ46" s="59"/>
      <c r="AK46" s="59"/>
      <c r="AL46" s="59"/>
      <c r="AM46" s="59"/>
      <c r="AN46" s="59"/>
    </row>
    <row r="47" spans="2:40" x14ac:dyDescent="0.25">
      <c r="B47" s="42"/>
      <c r="C47" s="42"/>
      <c r="E47" s="80"/>
      <c r="F47" s="80"/>
      <c r="G47" s="80"/>
      <c r="H47" s="80"/>
      <c r="I47" s="80"/>
      <c r="J47" s="80"/>
      <c r="K47" s="80"/>
      <c r="L47" s="80"/>
      <c r="M47" s="80"/>
      <c r="N47" s="80"/>
      <c r="O47" s="80"/>
      <c r="P47" s="80"/>
      <c r="Q47" s="80"/>
      <c r="R47" s="80"/>
      <c r="S47" s="80"/>
      <c r="T47" s="80"/>
      <c r="U47" s="80"/>
      <c r="V47" s="80"/>
      <c r="W47" s="191"/>
      <c r="X47" s="191"/>
      <c r="Y47" s="191"/>
      <c r="Z47" s="191"/>
      <c r="AA47" s="191"/>
      <c r="AB47" s="191"/>
      <c r="AC47" s="80"/>
      <c r="AD47" s="80"/>
      <c r="AE47" s="80"/>
      <c r="AF47" s="80"/>
      <c r="AG47" s="80"/>
      <c r="AH47" s="80"/>
      <c r="AI47" s="80"/>
      <c r="AJ47" s="80"/>
      <c r="AK47" s="80"/>
      <c r="AL47" s="80"/>
      <c r="AM47" s="80"/>
      <c r="AN47" s="80"/>
    </row>
    <row r="48" spans="2:40" x14ac:dyDescent="0.25">
      <c r="B48" s="42"/>
      <c r="C48" s="42"/>
      <c r="E48" s="80"/>
      <c r="F48" s="80"/>
      <c r="G48" s="80"/>
      <c r="H48" s="80"/>
      <c r="I48" s="80"/>
      <c r="J48" s="80"/>
      <c r="K48" s="80"/>
      <c r="L48" s="80"/>
      <c r="M48" s="80"/>
      <c r="N48" s="80"/>
      <c r="O48" s="80"/>
      <c r="P48" s="80"/>
      <c r="Q48" s="80"/>
      <c r="R48" s="80"/>
      <c r="S48" s="80"/>
      <c r="T48" s="80"/>
      <c r="U48" s="80"/>
      <c r="V48" s="80"/>
      <c r="W48" s="191"/>
      <c r="X48" s="191"/>
      <c r="Y48" s="191"/>
      <c r="Z48" s="191"/>
      <c r="AA48" s="191"/>
      <c r="AB48" s="191"/>
      <c r="AC48" s="80"/>
      <c r="AD48" s="80"/>
      <c r="AE48" s="80"/>
      <c r="AF48" s="80"/>
      <c r="AG48" s="80"/>
      <c r="AH48" s="80"/>
      <c r="AI48" s="80"/>
      <c r="AJ48" s="80"/>
      <c r="AK48" s="80"/>
      <c r="AL48" s="80"/>
      <c r="AM48" s="80"/>
      <c r="AN48" s="80"/>
    </row>
    <row r="49" spans="2:40" x14ac:dyDescent="0.25">
      <c r="B49" s="42"/>
      <c r="C49" s="42"/>
      <c r="E49" s="80"/>
      <c r="F49" s="80"/>
      <c r="G49" s="80"/>
      <c r="H49" s="80"/>
      <c r="I49" s="80"/>
      <c r="J49" s="80"/>
      <c r="K49" s="80"/>
      <c r="L49" s="80"/>
      <c r="M49" s="80"/>
      <c r="N49" s="80"/>
      <c r="O49" s="80"/>
      <c r="P49" s="80"/>
      <c r="Q49" s="80"/>
      <c r="R49" s="80"/>
      <c r="S49" s="80"/>
      <c r="T49" s="80"/>
      <c r="U49" s="80"/>
      <c r="V49" s="80"/>
      <c r="W49" s="191"/>
      <c r="X49" s="191"/>
      <c r="Y49" s="191"/>
      <c r="Z49" s="191"/>
      <c r="AA49" s="191"/>
      <c r="AB49" s="191"/>
      <c r="AC49" s="80"/>
      <c r="AD49" s="80"/>
      <c r="AE49" s="80"/>
      <c r="AF49" s="80"/>
      <c r="AG49" s="80"/>
      <c r="AH49" s="80"/>
      <c r="AI49" s="80"/>
      <c r="AJ49" s="80"/>
      <c r="AK49" s="80"/>
      <c r="AL49" s="80"/>
      <c r="AM49" s="80"/>
      <c r="AN49" s="80"/>
    </row>
    <row r="50" spans="2:40" x14ac:dyDescent="0.25">
      <c r="B50" s="42"/>
      <c r="C50" s="42"/>
      <c r="E50" s="80"/>
      <c r="F50" s="80"/>
      <c r="G50" s="80"/>
      <c r="H50" s="80"/>
      <c r="I50" s="80"/>
      <c r="J50" s="80"/>
      <c r="K50" s="80"/>
      <c r="L50" s="80"/>
      <c r="M50" s="80"/>
      <c r="N50" s="80"/>
      <c r="O50" s="80"/>
      <c r="P50" s="80"/>
      <c r="Q50" s="80"/>
      <c r="R50" s="80"/>
      <c r="S50" s="80"/>
      <c r="T50" s="80"/>
      <c r="U50" s="80"/>
      <c r="V50" s="80"/>
      <c r="W50" s="191"/>
      <c r="X50" s="191"/>
      <c r="Y50" s="191"/>
      <c r="Z50" s="191"/>
      <c r="AA50" s="191"/>
      <c r="AB50" s="191"/>
      <c r="AC50" s="80"/>
      <c r="AD50" s="80"/>
      <c r="AE50" s="80"/>
      <c r="AF50" s="80"/>
      <c r="AG50" s="80"/>
      <c r="AH50" s="80"/>
      <c r="AI50" s="80"/>
      <c r="AJ50" s="80"/>
      <c r="AK50" s="80"/>
      <c r="AL50" s="80"/>
      <c r="AM50" s="80"/>
      <c r="AN50" s="80"/>
    </row>
    <row r="51" spans="2:40" x14ac:dyDescent="0.25">
      <c r="B51" s="42"/>
      <c r="C51" s="42"/>
      <c r="E51" s="81"/>
      <c r="F51" s="81"/>
      <c r="G51" s="81"/>
      <c r="H51" s="81"/>
      <c r="I51" s="81"/>
      <c r="J51" s="81"/>
      <c r="K51" s="81"/>
      <c r="L51" s="81"/>
      <c r="M51" s="81"/>
      <c r="N51" s="81"/>
      <c r="O51" s="81"/>
      <c r="P51" s="81"/>
      <c r="Q51" s="80"/>
      <c r="R51" s="80"/>
      <c r="S51" s="80"/>
      <c r="T51" s="80"/>
      <c r="U51" s="80"/>
      <c r="V51" s="80"/>
      <c r="W51" s="191"/>
      <c r="X51" s="191"/>
      <c r="Y51" s="191"/>
      <c r="Z51" s="191"/>
      <c r="AA51" s="191"/>
      <c r="AB51" s="191"/>
      <c r="AC51" s="80"/>
      <c r="AD51" s="80"/>
      <c r="AE51" s="80"/>
      <c r="AF51" s="80"/>
      <c r="AG51" s="80"/>
      <c r="AH51" s="80"/>
      <c r="AI51" s="80"/>
      <c r="AJ51" s="80"/>
      <c r="AK51" s="80"/>
      <c r="AL51" s="80"/>
      <c r="AM51" s="80"/>
      <c r="AN51" s="80"/>
    </row>
    <row r="52" spans="2:40" x14ac:dyDescent="0.25">
      <c r="B52" s="42"/>
      <c r="C52" s="42"/>
      <c r="E52" s="81"/>
      <c r="F52" s="81"/>
      <c r="G52" s="81"/>
      <c r="H52" s="81"/>
      <c r="I52" s="81"/>
      <c r="J52" s="81"/>
      <c r="K52" s="81"/>
      <c r="L52" s="81"/>
      <c r="M52" s="81"/>
      <c r="N52" s="81"/>
      <c r="O52" s="81"/>
      <c r="P52" s="81"/>
      <c r="Q52" s="80"/>
      <c r="R52" s="80"/>
      <c r="S52" s="80"/>
      <c r="T52" s="80"/>
      <c r="U52" s="80"/>
      <c r="V52" s="80"/>
      <c r="W52" s="191"/>
      <c r="X52" s="191"/>
      <c r="Y52" s="191"/>
      <c r="Z52" s="191"/>
      <c r="AA52" s="191"/>
      <c r="AB52" s="191"/>
      <c r="AC52" s="80"/>
      <c r="AD52" s="80"/>
      <c r="AE52" s="80"/>
      <c r="AF52" s="80"/>
      <c r="AG52" s="80"/>
      <c r="AH52" s="80"/>
      <c r="AI52" s="80"/>
      <c r="AJ52" s="80"/>
      <c r="AK52" s="80"/>
      <c r="AL52" s="80"/>
      <c r="AM52" s="80"/>
      <c r="AN52" s="80"/>
    </row>
    <row r="53" spans="2:40" x14ac:dyDescent="0.25">
      <c r="B53" s="42"/>
      <c r="C53" s="42"/>
      <c r="E53" s="59"/>
      <c r="F53" s="59"/>
      <c r="G53" s="59"/>
      <c r="H53" s="59"/>
      <c r="I53" s="59"/>
      <c r="J53" s="59"/>
      <c r="K53" s="59"/>
      <c r="L53" s="59"/>
      <c r="M53" s="59"/>
      <c r="N53" s="59"/>
      <c r="O53" s="59"/>
      <c r="P53" s="59"/>
      <c r="Q53" s="59"/>
      <c r="R53" s="59"/>
      <c r="S53" s="59"/>
      <c r="T53" s="59"/>
      <c r="U53" s="59"/>
      <c r="V53" s="59"/>
      <c r="W53" s="188"/>
      <c r="X53" s="188"/>
      <c r="Y53" s="188"/>
      <c r="Z53" s="188"/>
      <c r="AA53" s="188"/>
      <c r="AB53" s="188"/>
      <c r="AC53" s="59"/>
      <c r="AD53" s="59"/>
      <c r="AE53" s="59"/>
      <c r="AF53" s="59"/>
      <c r="AG53" s="59"/>
      <c r="AH53" s="59"/>
      <c r="AI53" s="59"/>
      <c r="AJ53" s="59"/>
      <c r="AK53" s="59"/>
      <c r="AL53" s="59"/>
      <c r="AM53" s="59"/>
      <c r="AN53" s="59"/>
    </row>
    <row r="54" spans="2:40" x14ac:dyDescent="0.25">
      <c r="B54" s="42"/>
      <c r="C54" s="42"/>
      <c r="D54" s="79"/>
      <c r="E54" s="59"/>
      <c r="F54" s="59"/>
      <c r="G54" s="59"/>
      <c r="H54" s="59"/>
      <c r="I54" s="59"/>
      <c r="J54" s="59"/>
      <c r="K54" s="59"/>
      <c r="L54" s="59"/>
      <c r="M54" s="59"/>
      <c r="N54" s="59"/>
      <c r="O54" s="59"/>
      <c r="P54" s="59"/>
      <c r="Q54" s="59"/>
      <c r="R54" s="59"/>
      <c r="S54" s="59"/>
      <c r="T54" s="59"/>
      <c r="U54" s="59"/>
      <c r="V54" s="59"/>
      <c r="W54" s="188"/>
      <c r="X54" s="188"/>
      <c r="Y54" s="188"/>
      <c r="Z54" s="188"/>
      <c r="AA54" s="188"/>
      <c r="AB54" s="188"/>
      <c r="AC54" s="59"/>
      <c r="AD54" s="59"/>
      <c r="AE54" s="59"/>
      <c r="AF54" s="59"/>
      <c r="AG54" s="59"/>
      <c r="AH54" s="59"/>
      <c r="AI54" s="59"/>
      <c r="AJ54" s="59"/>
      <c r="AK54" s="59"/>
      <c r="AL54" s="59"/>
      <c r="AM54" s="59"/>
      <c r="AN54" s="59"/>
    </row>
    <row r="55" spans="2:40" x14ac:dyDescent="0.25">
      <c r="B55" s="42"/>
      <c r="C55" s="42"/>
      <c r="E55" s="80"/>
      <c r="F55" s="80"/>
      <c r="G55" s="80"/>
      <c r="H55" s="80"/>
      <c r="I55" s="80"/>
      <c r="J55" s="80"/>
      <c r="K55" s="80"/>
      <c r="L55" s="80"/>
      <c r="M55" s="80"/>
      <c r="N55" s="80"/>
      <c r="O55" s="80"/>
      <c r="P55" s="80"/>
      <c r="Q55" s="80"/>
      <c r="R55" s="80"/>
      <c r="S55" s="80"/>
      <c r="T55" s="80"/>
      <c r="U55" s="80"/>
      <c r="V55" s="80"/>
      <c r="W55" s="191"/>
      <c r="X55" s="191"/>
      <c r="Y55" s="191"/>
      <c r="Z55" s="191"/>
      <c r="AA55" s="191"/>
      <c r="AB55" s="191"/>
      <c r="AC55" s="80"/>
      <c r="AD55" s="80"/>
      <c r="AE55" s="80"/>
      <c r="AF55" s="80"/>
      <c r="AG55" s="80"/>
      <c r="AH55" s="80"/>
      <c r="AI55" s="80"/>
      <c r="AJ55" s="80"/>
      <c r="AK55" s="80"/>
      <c r="AL55" s="80"/>
      <c r="AM55" s="80"/>
      <c r="AN55" s="80"/>
    </row>
    <row r="56" spans="2:40" x14ac:dyDescent="0.25">
      <c r="B56" s="42"/>
      <c r="C56" s="42"/>
      <c r="E56" s="80"/>
      <c r="F56" s="80"/>
      <c r="G56" s="80"/>
      <c r="H56" s="80"/>
      <c r="I56" s="80"/>
      <c r="J56" s="80"/>
      <c r="K56" s="80"/>
      <c r="L56" s="80"/>
      <c r="M56" s="80"/>
      <c r="N56" s="80"/>
      <c r="O56" s="80"/>
      <c r="P56" s="80"/>
      <c r="Q56" s="80"/>
      <c r="R56" s="80"/>
      <c r="S56" s="80"/>
      <c r="T56" s="80"/>
      <c r="U56" s="80"/>
      <c r="V56" s="80"/>
      <c r="W56" s="191"/>
      <c r="X56" s="191"/>
      <c r="Y56" s="191"/>
      <c r="Z56" s="191"/>
      <c r="AA56" s="191"/>
      <c r="AB56" s="191"/>
      <c r="AC56" s="80"/>
      <c r="AD56" s="80"/>
      <c r="AE56" s="80"/>
      <c r="AF56" s="80"/>
      <c r="AG56" s="80"/>
      <c r="AH56" s="80"/>
      <c r="AI56" s="80"/>
      <c r="AJ56" s="80"/>
      <c r="AK56" s="80"/>
      <c r="AL56" s="80"/>
      <c r="AM56" s="80"/>
      <c r="AN56" s="80"/>
    </row>
    <row r="57" spans="2:40" x14ac:dyDescent="0.25">
      <c r="B57" s="42"/>
      <c r="C57" s="42"/>
      <c r="E57" s="80"/>
      <c r="F57" s="80"/>
      <c r="G57" s="80"/>
      <c r="H57" s="80"/>
      <c r="I57" s="80"/>
      <c r="J57" s="80"/>
      <c r="K57" s="80"/>
      <c r="L57" s="80"/>
      <c r="M57" s="80"/>
      <c r="N57" s="80"/>
      <c r="O57" s="80"/>
      <c r="P57" s="80"/>
      <c r="Q57" s="80"/>
      <c r="R57" s="80"/>
      <c r="S57" s="80"/>
      <c r="T57" s="80"/>
      <c r="U57" s="80"/>
      <c r="V57" s="80"/>
      <c r="W57" s="191"/>
      <c r="X57" s="191"/>
      <c r="Y57" s="191"/>
      <c r="Z57" s="191"/>
      <c r="AA57" s="191"/>
      <c r="AB57" s="191"/>
      <c r="AC57" s="80"/>
      <c r="AD57" s="80"/>
      <c r="AE57" s="80"/>
      <c r="AF57" s="80"/>
      <c r="AG57" s="80"/>
      <c r="AH57" s="80"/>
      <c r="AI57" s="80"/>
      <c r="AJ57" s="80"/>
      <c r="AK57" s="80"/>
      <c r="AL57" s="80"/>
      <c r="AM57" s="80"/>
      <c r="AN57" s="80"/>
    </row>
    <row r="58" spans="2:40" x14ac:dyDescent="0.25">
      <c r="B58" s="42"/>
      <c r="C58" s="42"/>
      <c r="E58" s="80"/>
      <c r="F58" s="80"/>
      <c r="G58" s="80"/>
      <c r="H58" s="80"/>
      <c r="I58" s="80"/>
      <c r="J58" s="80"/>
      <c r="K58" s="80"/>
      <c r="L58" s="80"/>
      <c r="M58" s="80"/>
      <c r="N58" s="80"/>
      <c r="O58" s="80"/>
      <c r="P58" s="80"/>
      <c r="Q58" s="80"/>
      <c r="R58" s="80"/>
      <c r="S58" s="80"/>
      <c r="T58" s="80"/>
      <c r="U58" s="80"/>
      <c r="V58" s="80"/>
      <c r="W58" s="191"/>
      <c r="X58" s="191"/>
      <c r="Y58" s="191"/>
      <c r="Z58" s="191"/>
      <c r="AA58" s="191"/>
      <c r="AB58" s="191"/>
      <c r="AC58" s="80"/>
      <c r="AD58" s="80"/>
      <c r="AE58" s="80"/>
      <c r="AF58" s="80"/>
      <c r="AG58" s="80"/>
      <c r="AH58" s="80"/>
      <c r="AI58" s="80"/>
      <c r="AJ58" s="80"/>
      <c r="AK58" s="80"/>
      <c r="AL58" s="80"/>
      <c r="AM58" s="80"/>
      <c r="AN58" s="80"/>
    </row>
    <row r="59" spans="2:40" x14ac:dyDescent="0.25">
      <c r="B59" s="42"/>
      <c r="C59" s="42"/>
      <c r="E59" s="81"/>
      <c r="F59" s="81"/>
      <c r="G59" s="81"/>
      <c r="H59" s="81"/>
      <c r="I59" s="81"/>
      <c r="J59" s="81"/>
      <c r="K59" s="81"/>
      <c r="L59" s="81"/>
      <c r="M59" s="81"/>
      <c r="N59" s="81"/>
      <c r="O59" s="81"/>
      <c r="P59" s="81"/>
      <c r="Q59" s="80"/>
      <c r="R59" s="80"/>
      <c r="S59" s="80"/>
      <c r="T59" s="80"/>
      <c r="U59" s="80"/>
      <c r="V59" s="80"/>
      <c r="W59" s="191"/>
      <c r="X59" s="191"/>
      <c r="Y59" s="191"/>
      <c r="Z59" s="191"/>
      <c r="AA59" s="191"/>
      <c r="AB59" s="191"/>
      <c r="AC59" s="80"/>
      <c r="AD59" s="80"/>
      <c r="AE59" s="80"/>
      <c r="AF59" s="80"/>
      <c r="AG59" s="80"/>
      <c r="AH59" s="80"/>
      <c r="AI59" s="80"/>
      <c r="AJ59" s="80"/>
      <c r="AK59" s="80"/>
      <c r="AL59" s="80"/>
      <c r="AM59" s="80"/>
      <c r="AN59" s="80"/>
    </row>
    <row r="60" spans="2:40" x14ac:dyDescent="0.25">
      <c r="B60" s="42"/>
      <c r="C60" s="42"/>
      <c r="E60" s="81"/>
      <c r="F60" s="81"/>
      <c r="G60" s="81"/>
      <c r="H60" s="81"/>
      <c r="I60" s="81"/>
      <c r="J60" s="81"/>
      <c r="K60" s="81"/>
      <c r="L60" s="81"/>
      <c r="M60" s="81"/>
      <c r="N60" s="81"/>
      <c r="O60" s="81"/>
      <c r="P60" s="81"/>
      <c r="Q60" s="80"/>
      <c r="R60" s="80"/>
      <c r="S60" s="80"/>
      <c r="T60" s="80"/>
      <c r="U60" s="80"/>
      <c r="V60" s="80"/>
      <c r="W60" s="191"/>
      <c r="X60" s="191"/>
      <c r="Y60" s="191"/>
      <c r="Z60" s="191"/>
      <c r="AA60" s="191"/>
      <c r="AB60" s="191"/>
      <c r="AC60" s="80"/>
      <c r="AD60" s="80"/>
      <c r="AE60" s="80"/>
      <c r="AF60" s="80"/>
      <c r="AG60" s="80"/>
      <c r="AH60" s="80"/>
      <c r="AI60" s="80"/>
      <c r="AJ60" s="80"/>
      <c r="AK60" s="80"/>
      <c r="AL60" s="80"/>
      <c r="AM60" s="80"/>
      <c r="AN60" s="80"/>
    </row>
    <row r="61" spans="2:40" x14ac:dyDescent="0.25">
      <c r="B61" s="42"/>
      <c r="C61" s="42"/>
    </row>
    <row r="62" spans="2:40" x14ac:dyDescent="0.25">
      <c r="B62" s="42"/>
      <c r="C62" s="42"/>
      <c r="D62" s="79"/>
      <c r="E62" s="59"/>
      <c r="F62" s="59"/>
      <c r="G62" s="59"/>
      <c r="H62" s="59"/>
      <c r="I62" s="59"/>
      <c r="J62" s="59"/>
      <c r="K62" s="59"/>
      <c r="L62" s="59"/>
      <c r="M62" s="59"/>
      <c r="N62" s="59"/>
      <c r="O62" s="59"/>
      <c r="P62" s="59"/>
      <c r="Q62" s="59"/>
      <c r="R62" s="59"/>
      <c r="S62" s="59"/>
      <c r="T62" s="59"/>
      <c r="U62" s="59"/>
      <c r="V62" s="59"/>
      <c r="W62" s="188"/>
      <c r="X62" s="188"/>
      <c r="Y62" s="188"/>
      <c r="Z62" s="188"/>
      <c r="AA62" s="188"/>
      <c r="AB62" s="188"/>
      <c r="AC62" s="59"/>
      <c r="AD62" s="59"/>
      <c r="AE62" s="59"/>
      <c r="AF62" s="59"/>
      <c r="AG62" s="59"/>
      <c r="AH62" s="59"/>
      <c r="AI62" s="59"/>
      <c r="AJ62" s="59"/>
      <c r="AK62" s="59"/>
      <c r="AL62" s="59"/>
      <c r="AM62" s="59"/>
      <c r="AN62" s="59"/>
    </row>
    <row r="63" spans="2:40" x14ac:dyDescent="0.25">
      <c r="B63" s="42"/>
      <c r="C63" s="42"/>
      <c r="E63" s="80"/>
      <c r="F63" s="80"/>
      <c r="G63" s="80"/>
      <c r="H63" s="80"/>
      <c r="I63" s="80"/>
      <c r="J63" s="80"/>
      <c r="K63" s="80"/>
      <c r="L63" s="80"/>
      <c r="M63" s="80"/>
      <c r="N63" s="80"/>
      <c r="O63" s="80"/>
      <c r="P63" s="80"/>
      <c r="Q63" s="80"/>
      <c r="R63" s="80"/>
      <c r="S63" s="80"/>
      <c r="T63" s="80"/>
      <c r="U63" s="80"/>
      <c r="V63" s="80"/>
      <c r="W63" s="191"/>
      <c r="X63" s="191"/>
      <c r="Y63" s="191"/>
      <c r="Z63" s="191"/>
      <c r="AA63" s="191"/>
      <c r="AB63" s="191"/>
      <c r="AC63" s="80"/>
      <c r="AD63" s="80"/>
      <c r="AE63" s="80"/>
      <c r="AF63" s="80"/>
      <c r="AG63" s="80"/>
      <c r="AH63" s="80"/>
      <c r="AI63" s="80"/>
      <c r="AJ63" s="80"/>
      <c r="AK63" s="80"/>
      <c r="AL63" s="80"/>
      <c r="AM63" s="80"/>
      <c r="AN63" s="80"/>
    </row>
    <row r="64" spans="2:40" x14ac:dyDescent="0.25">
      <c r="B64" s="42"/>
      <c r="C64" s="42"/>
      <c r="E64" s="80"/>
      <c r="F64" s="80"/>
      <c r="G64" s="80"/>
      <c r="H64" s="80"/>
      <c r="I64" s="80"/>
      <c r="J64" s="80"/>
      <c r="K64" s="80"/>
      <c r="L64" s="80"/>
      <c r="M64" s="80"/>
      <c r="N64" s="80"/>
      <c r="O64" s="80"/>
      <c r="P64" s="80"/>
      <c r="Q64" s="80"/>
      <c r="R64" s="80"/>
      <c r="S64" s="80"/>
      <c r="T64" s="80"/>
      <c r="U64" s="80"/>
      <c r="V64" s="80"/>
      <c r="W64" s="191"/>
      <c r="X64" s="191"/>
      <c r="Y64" s="191"/>
      <c r="Z64" s="191"/>
      <c r="AA64" s="191"/>
      <c r="AB64" s="191"/>
      <c r="AC64" s="80"/>
      <c r="AD64" s="80"/>
      <c r="AE64" s="80"/>
      <c r="AF64" s="80"/>
      <c r="AG64" s="80"/>
      <c r="AH64" s="80"/>
      <c r="AI64" s="80"/>
      <c r="AJ64" s="80"/>
      <c r="AK64" s="80"/>
      <c r="AL64" s="80"/>
      <c r="AM64" s="80"/>
      <c r="AN64" s="80"/>
    </row>
    <row r="65" spans="2:40" x14ac:dyDescent="0.25">
      <c r="B65" s="42"/>
      <c r="C65" s="42"/>
      <c r="E65" s="80"/>
      <c r="F65" s="80"/>
      <c r="G65" s="80"/>
      <c r="H65" s="80"/>
      <c r="I65" s="80"/>
      <c r="J65" s="80"/>
      <c r="K65" s="80"/>
      <c r="L65" s="80"/>
      <c r="M65" s="80"/>
      <c r="N65" s="80"/>
      <c r="O65" s="80"/>
      <c r="P65" s="80"/>
      <c r="Q65" s="80"/>
      <c r="R65" s="80"/>
      <c r="S65" s="80"/>
      <c r="T65" s="80"/>
      <c r="U65" s="80"/>
      <c r="V65" s="80"/>
      <c r="W65" s="191"/>
      <c r="X65" s="191"/>
      <c r="Y65" s="191"/>
      <c r="Z65" s="191"/>
      <c r="AA65" s="191"/>
      <c r="AB65" s="191"/>
      <c r="AC65" s="80"/>
      <c r="AD65" s="80"/>
      <c r="AE65" s="80"/>
      <c r="AF65" s="80"/>
      <c r="AG65" s="80"/>
      <c r="AH65" s="80"/>
      <c r="AI65" s="80"/>
      <c r="AJ65" s="80"/>
      <c r="AK65" s="80"/>
      <c r="AL65" s="80"/>
      <c r="AM65" s="80"/>
      <c r="AN65" s="80"/>
    </row>
    <row r="66" spans="2:40" x14ac:dyDescent="0.25">
      <c r="B66" s="42"/>
      <c r="C66" s="42"/>
      <c r="E66" s="80"/>
      <c r="F66" s="80"/>
      <c r="G66" s="80"/>
      <c r="H66" s="80"/>
      <c r="I66" s="80"/>
      <c r="J66" s="80"/>
      <c r="K66" s="80"/>
      <c r="L66" s="80"/>
      <c r="M66" s="80"/>
      <c r="N66" s="80"/>
      <c r="O66" s="80"/>
      <c r="P66" s="80"/>
      <c r="Q66" s="80"/>
      <c r="R66" s="80"/>
      <c r="S66" s="80"/>
      <c r="T66" s="80"/>
      <c r="U66" s="80"/>
      <c r="V66" s="80"/>
      <c r="W66" s="191"/>
      <c r="X66" s="191"/>
      <c r="Y66" s="191"/>
      <c r="Z66" s="191"/>
      <c r="AA66" s="191"/>
      <c r="AB66" s="191"/>
      <c r="AC66" s="80"/>
      <c r="AD66" s="80"/>
      <c r="AE66" s="80"/>
      <c r="AF66" s="80"/>
      <c r="AG66" s="80"/>
      <c r="AH66" s="80"/>
      <c r="AI66" s="80"/>
      <c r="AJ66" s="80"/>
      <c r="AK66" s="80"/>
      <c r="AL66" s="80"/>
      <c r="AM66" s="80"/>
      <c r="AN66" s="80"/>
    </row>
    <row r="67" spans="2:40" x14ac:dyDescent="0.25">
      <c r="B67" s="42"/>
      <c r="C67" s="42"/>
      <c r="E67" s="81"/>
      <c r="F67" s="81"/>
      <c r="G67" s="81"/>
      <c r="H67" s="81"/>
      <c r="I67" s="81"/>
      <c r="J67" s="81"/>
      <c r="K67" s="81"/>
      <c r="L67" s="81"/>
      <c r="M67" s="81"/>
      <c r="N67" s="81"/>
      <c r="O67" s="81"/>
      <c r="P67" s="81"/>
      <c r="Q67" s="80"/>
      <c r="R67" s="80"/>
      <c r="S67" s="80"/>
      <c r="T67" s="80"/>
      <c r="U67" s="80"/>
      <c r="V67" s="80"/>
      <c r="W67" s="191"/>
      <c r="X67" s="191"/>
      <c r="Y67" s="191"/>
      <c r="Z67" s="191"/>
      <c r="AA67" s="191"/>
      <c r="AB67" s="191"/>
      <c r="AC67" s="80"/>
      <c r="AD67" s="80"/>
      <c r="AE67" s="80"/>
      <c r="AF67" s="80"/>
      <c r="AG67" s="80"/>
      <c r="AH67" s="80"/>
      <c r="AI67" s="80"/>
      <c r="AJ67" s="80"/>
      <c r="AK67" s="80"/>
      <c r="AL67" s="80"/>
      <c r="AM67" s="80"/>
      <c r="AN67" s="80"/>
    </row>
    <row r="68" spans="2:40" x14ac:dyDescent="0.25">
      <c r="B68" s="42"/>
      <c r="C68" s="42"/>
      <c r="E68" s="81"/>
      <c r="F68" s="81"/>
      <c r="G68" s="81"/>
      <c r="H68" s="81"/>
      <c r="I68" s="81"/>
      <c r="J68" s="81"/>
      <c r="K68" s="81"/>
      <c r="L68" s="81"/>
      <c r="M68" s="81"/>
      <c r="N68" s="81"/>
      <c r="O68" s="81"/>
      <c r="P68" s="81"/>
      <c r="Q68" s="80"/>
      <c r="R68" s="80"/>
      <c r="S68" s="80"/>
      <c r="T68" s="80"/>
      <c r="U68" s="80"/>
      <c r="V68" s="80"/>
      <c r="W68" s="191"/>
      <c r="X68" s="191"/>
      <c r="Y68" s="191"/>
      <c r="Z68" s="191"/>
      <c r="AA68" s="191"/>
      <c r="AB68" s="191"/>
      <c r="AC68" s="80"/>
      <c r="AD68" s="80"/>
      <c r="AE68" s="80"/>
      <c r="AF68" s="80"/>
      <c r="AG68" s="80"/>
      <c r="AH68" s="80"/>
      <c r="AI68" s="80"/>
      <c r="AJ68" s="80"/>
      <c r="AK68" s="80"/>
      <c r="AL68" s="80"/>
      <c r="AM68" s="80"/>
      <c r="AN68" s="80"/>
    </row>
    <row r="70" spans="2:40" x14ac:dyDescent="0.25">
      <c r="B70" s="42"/>
      <c r="C70" s="42"/>
      <c r="D70" s="79"/>
      <c r="E70" s="59"/>
      <c r="F70" s="59"/>
      <c r="G70" s="59"/>
      <c r="H70" s="59"/>
      <c r="I70" s="59"/>
      <c r="J70" s="59"/>
      <c r="K70" s="59"/>
      <c r="L70" s="59"/>
      <c r="M70" s="59"/>
      <c r="N70" s="59"/>
      <c r="O70" s="59"/>
      <c r="P70" s="59"/>
      <c r="Q70" s="59"/>
      <c r="R70" s="59"/>
      <c r="S70" s="59"/>
      <c r="T70" s="59"/>
      <c r="U70" s="59"/>
      <c r="V70" s="59"/>
      <c r="W70" s="188"/>
      <c r="X70" s="188"/>
      <c r="Y70" s="188"/>
      <c r="Z70" s="188"/>
      <c r="AA70" s="188"/>
      <c r="AB70" s="188"/>
      <c r="AC70" s="59"/>
      <c r="AD70" s="59"/>
      <c r="AE70" s="59"/>
      <c r="AF70" s="59"/>
      <c r="AG70" s="59"/>
      <c r="AH70" s="59"/>
      <c r="AI70" s="59"/>
      <c r="AJ70" s="59"/>
      <c r="AK70" s="59"/>
      <c r="AL70" s="59"/>
      <c r="AM70" s="59"/>
      <c r="AN70" s="59"/>
    </row>
    <row r="71" spans="2:40" x14ac:dyDescent="0.25">
      <c r="B71" s="42"/>
      <c r="C71" s="42"/>
      <c r="E71" s="80"/>
      <c r="F71" s="80"/>
      <c r="G71" s="80"/>
      <c r="H71" s="80"/>
      <c r="I71" s="80"/>
      <c r="J71" s="80"/>
      <c r="K71" s="80"/>
      <c r="L71" s="80"/>
      <c r="M71" s="80"/>
      <c r="N71" s="80"/>
      <c r="O71" s="80"/>
      <c r="P71" s="80"/>
      <c r="Q71" s="80"/>
      <c r="R71" s="80"/>
      <c r="S71" s="80"/>
      <c r="T71" s="80"/>
      <c r="U71" s="80"/>
      <c r="V71" s="80"/>
      <c r="W71" s="191"/>
      <c r="X71" s="191"/>
      <c r="Y71" s="191"/>
      <c r="Z71" s="191"/>
      <c r="AA71" s="191"/>
      <c r="AB71" s="191"/>
      <c r="AC71" s="80"/>
      <c r="AD71" s="80"/>
      <c r="AE71" s="80"/>
      <c r="AF71" s="80"/>
      <c r="AG71" s="80"/>
      <c r="AH71" s="80"/>
      <c r="AI71" s="80"/>
      <c r="AJ71" s="80"/>
      <c r="AK71" s="80"/>
      <c r="AL71" s="80"/>
      <c r="AM71" s="80"/>
      <c r="AN71" s="80"/>
    </row>
    <row r="72" spans="2:40" x14ac:dyDescent="0.25">
      <c r="B72" s="42"/>
      <c r="C72" s="42"/>
      <c r="E72" s="80"/>
      <c r="F72" s="80"/>
      <c r="G72" s="80"/>
      <c r="H72" s="80"/>
      <c r="I72" s="80"/>
      <c r="J72" s="80"/>
      <c r="K72" s="80"/>
      <c r="L72" s="80"/>
      <c r="M72" s="80"/>
      <c r="N72" s="80"/>
      <c r="O72" s="80"/>
      <c r="P72" s="80"/>
      <c r="Q72" s="80"/>
      <c r="R72" s="80"/>
      <c r="S72" s="80"/>
      <c r="T72" s="80"/>
      <c r="U72" s="80"/>
      <c r="V72" s="80"/>
      <c r="W72" s="191"/>
      <c r="X72" s="191"/>
      <c r="Y72" s="191"/>
      <c r="Z72" s="191"/>
      <c r="AA72" s="191"/>
      <c r="AB72" s="191"/>
      <c r="AC72" s="80"/>
      <c r="AD72" s="80"/>
      <c r="AE72" s="80"/>
      <c r="AF72" s="80"/>
      <c r="AG72" s="80"/>
      <c r="AH72" s="80"/>
      <c r="AI72" s="80"/>
      <c r="AJ72" s="80"/>
      <c r="AK72" s="80"/>
      <c r="AL72" s="80"/>
      <c r="AM72" s="80"/>
      <c r="AN72" s="80"/>
    </row>
    <row r="73" spans="2:40" x14ac:dyDescent="0.25">
      <c r="B73" s="42"/>
      <c r="C73" s="42"/>
      <c r="E73" s="80"/>
      <c r="F73" s="80"/>
      <c r="G73" s="80"/>
      <c r="H73" s="80"/>
      <c r="I73" s="80"/>
      <c r="J73" s="80"/>
      <c r="K73" s="80"/>
      <c r="L73" s="80"/>
      <c r="M73" s="80"/>
      <c r="N73" s="80"/>
      <c r="O73" s="80"/>
      <c r="P73" s="80"/>
      <c r="Q73" s="80"/>
      <c r="R73" s="80"/>
      <c r="S73" s="80"/>
      <c r="T73" s="80"/>
      <c r="U73" s="80"/>
      <c r="V73" s="80"/>
      <c r="W73" s="191"/>
      <c r="X73" s="191"/>
      <c r="Y73" s="191"/>
      <c r="Z73" s="191"/>
      <c r="AA73" s="191"/>
      <c r="AB73" s="191"/>
      <c r="AC73" s="80"/>
      <c r="AD73" s="80"/>
      <c r="AE73" s="80"/>
      <c r="AF73" s="80"/>
      <c r="AG73" s="80"/>
      <c r="AH73" s="80"/>
      <c r="AI73" s="80"/>
      <c r="AJ73" s="80"/>
      <c r="AK73" s="80"/>
      <c r="AL73" s="80"/>
      <c r="AM73" s="80"/>
      <c r="AN73" s="80"/>
    </row>
    <row r="74" spans="2:40" x14ac:dyDescent="0.25">
      <c r="B74" s="42"/>
      <c r="C74" s="42"/>
      <c r="E74" s="80"/>
      <c r="F74" s="80"/>
      <c r="G74" s="80"/>
      <c r="H74" s="80"/>
      <c r="I74" s="80"/>
      <c r="J74" s="80"/>
      <c r="K74" s="80"/>
      <c r="L74" s="80"/>
      <c r="M74" s="80"/>
      <c r="N74" s="80"/>
      <c r="O74" s="80"/>
      <c r="P74" s="80"/>
      <c r="Q74" s="80"/>
      <c r="R74" s="80"/>
      <c r="S74" s="80"/>
      <c r="T74" s="80"/>
      <c r="U74" s="80"/>
      <c r="V74" s="80"/>
      <c r="W74" s="191"/>
      <c r="X74" s="191"/>
      <c r="Y74" s="191"/>
      <c r="Z74" s="191"/>
      <c r="AA74" s="191"/>
      <c r="AB74" s="191"/>
      <c r="AC74" s="80"/>
      <c r="AD74" s="80"/>
      <c r="AE74" s="80"/>
      <c r="AF74" s="80"/>
      <c r="AG74" s="80"/>
      <c r="AH74" s="80"/>
      <c r="AI74" s="80"/>
      <c r="AJ74" s="80"/>
      <c r="AK74" s="80"/>
      <c r="AL74" s="80"/>
      <c r="AM74" s="80"/>
      <c r="AN74" s="80"/>
    </row>
    <row r="75" spans="2:40" x14ac:dyDescent="0.25">
      <c r="B75" s="42"/>
      <c r="C75" s="42"/>
      <c r="E75" s="81"/>
      <c r="F75" s="81"/>
      <c r="G75" s="81"/>
      <c r="H75" s="81"/>
      <c r="I75" s="81"/>
      <c r="J75" s="81"/>
      <c r="K75" s="81"/>
      <c r="L75" s="81"/>
      <c r="M75" s="81"/>
      <c r="N75" s="81"/>
      <c r="O75" s="81"/>
      <c r="P75" s="81"/>
      <c r="Q75" s="80"/>
      <c r="R75" s="80"/>
      <c r="S75" s="80"/>
      <c r="T75" s="80"/>
      <c r="U75" s="80"/>
      <c r="V75" s="80"/>
      <c r="W75" s="191"/>
      <c r="X75" s="191"/>
      <c r="Y75" s="191"/>
      <c r="Z75" s="191"/>
      <c r="AA75" s="191"/>
      <c r="AB75" s="191"/>
      <c r="AC75" s="80"/>
      <c r="AD75" s="80"/>
      <c r="AE75" s="80"/>
      <c r="AF75" s="80"/>
      <c r="AG75" s="80"/>
      <c r="AH75" s="80"/>
      <c r="AI75" s="80"/>
      <c r="AJ75" s="80"/>
      <c r="AK75" s="80"/>
      <c r="AL75" s="80"/>
      <c r="AM75" s="80"/>
      <c r="AN75" s="80"/>
    </row>
    <row r="76" spans="2:40" x14ac:dyDescent="0.25">
      <c r="B76" s="42"/>
      <c r="C76" s="42"/>
      <c r="E76" s="81"/>
      <c r="F76" s="81"/>
      <c r="G76" s="81"/>
      <c r="H76" s="81"/>
      <c r="I76" s="81"/>
      <c r="J76" s="81"/>
      <c r="K76" s="81"/>
      <c r="L76" s="81"/>
      <c r="M76" s="81"/>
      <c r="N76" s="81"/>
      <c r="O76" s="81"/>
      <c r="P76" s="81"/>
      <c r="Q76" s="80"/>
      <c r="R76" s="80"/>
      <c r="S76" s="80"/>
      <c r="T76" s="80"/>
      <c r="U76" s="80"/>
      <c r="V76" s="80"/>
      <c r="W76" s="191"/>
      <c r="X76" s="191"/>
      <c r="Y76" s="191"/>
      <c r="Z76" s="191"/>
      <c r="AA76" s="191"/>
      <c r="AB76" s="191"/>
      <c r="AC76" s="80"/>
      <c r="AD76" s="80"/>
      <c r="AE76" s="80"/>
      <c r="AF76" s="80"/>
      <c r="AG76" s="80"/>
      <c r="AH76" s="80"/>
      <c r="AI76" s="80"/>
      <c r="AJ76" s="80"/>
      <c r="AK76" s="80"/>
      <c r="AL76" s="80"/>
      <c r="AM76" s="80"/>
      <c r="AN76" s="80"/>
    </row>
    <row r="78" spans="2:40" x14ac:dyDescent="0.25">
      <c r="B78" s="42"/>
      <c r="C78" s="42"/>
      <c r="D78" s="79"/>
      <c r="E78" s="59"/>
      <c r="F78" s="59"/>
      <c r="G78" s="59"/>
      <c r="H78" s="59"/>
      <c r="I78" s="59"/>
      <c r="J78" s="59"/>
      <c r="K78" s="59"/>
      <c r="L78" s="59"/>
      <c r="M78" s="59"/>
      <c r="N78" s="59"/>
      <c r="O78" s="59"/>
      <c r="P78" s="59"/>
      <c r="Q78" s="59"/>
      <c r="R78" s="59"/>
      <c r="S78" s="59"/>
      <c r="T78" s="59"/>
      <c r="U78" s="59"/>
      <c r="V78" s="59"/>
      <c r="W78" s="188"/>
      <c r="X78" s="188"/>
      <c r="Y78" s="188"/>
      <c r="Z78" s="188"/>
      <c r="AA78" s="188"/>
      <c r="AB78" s="188"/>
      <c r="AC78" s="59"/>
      <c r="AD78" s="59"/>
      <c r="AE78" s="59"/>
      <c r="AF78" s="59"/>
      <c r="AG78" s="59"/>
      <c r="AH78" s="59"/>
      <c r="AI78" s="59"/>
      <c r="AJ78" s="59"/>
      <c r="AK78" s="59"/>
      <c r="AL78" s="59"/>
      <c r="AM78" s="59"/>
      <c r="AN78" s="59"/>
    </row>
    <row r="79" spans="2:40" x14ac:dyDescent="0.25">
      <c r="B79" s="42"/>
      <c r="C79" s="42"/>
      <c r="E79" s="80"/>
      <c r="F79" s="80"/>
      <c r="G79" s="80"/>
      <c r="H79" s="80"/>
      <c r="I79" s="80"/>
      <c r="J79" s="80"/>
      <c r="K79" s="80"/>
      <c r="L79" s="80"/>
      <c r="M79" s="80"/>
      <c r="N79" s="80"/>
      <c r="O79" s="80"/>
      <c r="P79" s="80"/>
      <c r="Q79" s="80"/>
      <c r="R79" s="80"/>
      <c r="S79" s="80"/>
      <c r="T79" s="80"/>
      <c r="U79" s="80"/>
      <c r="V79" s="80"/>
      <c r="W79" s="191"/>
      <c r="X79" s="191"/>
      <c r="Y79" s="191"/>
      <c r="Z79" s="191"/>
      <c r="AA79" s="191"/>
      <c r="AB79" s="191"/>
      <c r="AC79" s="80"/>
      <c r="AD79" s="80"/>
      <c r="AE79" s="80"/>
      <c r="AF79" s="80"/>
      <c r="AG79" s="80"/>
      <c r="AH79" s="80"/>
      <c r="AI79" s="80"/>
      <c r="AJ79" s="80"/>
      <c r="AK79" s="80"/>
      <c r="AL79" s="80"/>
      <c r="AM79" s="80"/>
      <c r="AN79" s="80"/>
    </row>
    <row r="80" spans="2:40" x14ac:dyDescent="0.25">
      <c r="B80" s="42"/>
      <c r="C80" s="42"/>
      <c r="E80" s="80"/>
      <c r="F80" s="80"/>
      <c r="G80" s="80"/>
      <c r="H80" s="80"/>
      <c r="I80" s="80"/>
      <c r="J80" s="80"/>
      <c r="K80" s="80"/>
      <c r="L80" s="80"/>
      <c r="M80" s="80"/>
      <c r="N80" s="80"/>
      <c r="O80" s="80"/>
      <c r="P80" s="80"/>
      <c r="Q80" s="80"/>
      <c r="R80" s="80"/>
      <c r="S80" s="80"/>
      <c r="T80" s="80"/>
      <c r="U80" s="80"/>
      <c r="V80" s="80"/>
      <c r="W80" s="191"/>
      <c r="X80" s="191"/>
      <c r="Y80" s="191"/>
      <c r="Z80" s="191"/>
      <c r="AA80" s="191"/>
      <c r="AB80" s="191"/>
      <c r="AC80" s="80"/>
      <c r="AD80" s="80"/>
      <c r="AE80" s="80"/>
      <c r="AF80" s="80"/>
      <c r="AG80" s="80"/>
      <c r="AH80" s="80"/>
      <c r="AI80" s="80"/>
      <c r="AJ80" s="80"/>
      <c r="AK80" s="80"/>
      <c r="AL80" s="80"/>
      <c r="AM80" s="80"/>
      <c r="AN80" s="80"/>
    </row>
    <row r="81" spans="2:40" x14ac:dyDescent="0.25">
      <c r="B81" s="42"/>
      <c r="C81" s="42"/>
      <c r="E81" s="80"/>
      <c r="F81" s="80"/>
      <c r="G81" s="80"/>
      <c r="H81" s="80"/>
      <c r="I81" s="80"/>
      <c r="J81" s="80"/>
      <c r="K81" s="80"/>
      <c r="L81" s="80"/>
      <c r="M81" s="80"/>
      <c r="N81" s="80"/>
      <c r="O81" s="80"/>
      <c r="P81" s="80"/>
      <c r="Q81" s="80"/>
      <c r="R81" s="80"/>
      <c r="S81" s="80"/>
      <c r="T81" s="80"/>
      <c r="U81" s="80"/>
      <c r="V81" s="80"/>
      <c r="W81" s="191"/>
      <c r="X81" s="191"/>
      <c r="Y81" s="191"/>
      <c r="Z81" s="191"/>
      <c r="AA81" s="191"/>
      <c r="AB81" s="191"/>
      <c r="AC81" s="80"/>
      <c r="AD81" s="80"/>
      <c r="AE81" s="80"/>
      <c r="AF81" s="80"/>
      <c r="AG81" s="80"/>
      <c r="AH81" s="80"/>
      <c r="AI81" s="80"/>
      <c r="AJ81" s="80"/>
      <c r="AK81" s="80"/>
      <c r="AL81" s="80"/>
      <c r="AM81" s="80"/>
      <c r="AN81" s="80"/>
    </row>
    <row r="82" spans="2:40" x14ac:dyDescent="0.25">
      <c r="B82" s="42"/>
      <c r="C82" s="42"/>
      <c r="E82" s="80"/>
      <c r="F82" s="80"/>
      <c r="G82" s="80"/>
      <c r="H82" s="80"/>
      <c r="I82" s="80"/>
      <c r="J82" s="80"/>
      <c r="K82" s="80"/>
      <c r="L82" s="80"/>
      <c r="M82" s="80"/>
      <c r="N82" s="80"/>
      <c r="O82" s="80"/>
      <c r="P82" s="80"/>
      <c r="Q82" s="80"/>
      <c r="R82" s="80"/>
      <c r="S82" s="80"/>
      <c r="T82" s="80"/>
      <c r="U82" s="80"/>
      <c r="V82" s="80"/>
      <c r="W82" s="191"/>
      <c r="X82" s="191"/>
      <c r="Y82" s="191"/>
      <c r="Z82" s="191"/>
      <c r="AA82" s="191"/>
      <c r="AB82" s="191"/>
      <c r="AC82" s="80"/>
      <c r="AD82" s="80"/>
      <c r="AE82" s="80"/>
      <c r="AF82" s="80"/>
      <c r="AG82" s="80"/>
      <c r="AH82" s="80"/>
      <c r="AI82" s="80"/>
      <c r="AJ82" s="80"/>
      <c r="AK82" s="80"/>
      <c r="AL82" s="80"/>
      <c r="AM82" s="80"/>
      <c r="AN82" s="80"/>
    </row>
    <row r="83" spans="2:40" x14ac:dyDescent="0.25">
      <c r="B83" s="42"/>
      <c r="C83" s="42"/>
      <c r="E83" s="81"/>
      <c r="F83" s="81"/>
      <c r="G83" s="81"/>
      <c r="H83" s="81"/>
      <c r="I83" s="81"/>
      <c r="J83" s="81"/>
      <c r="K83" s="81"/>
      <c r="L83" s="81"/>
      <c r="M83" s="81"/>
      <c r="N83" s="81"/>
      <c r="O83" s="81"/>
      <c r="P83" s="81"/>
      <c r="Q83" s="81"/>
      <c r="R83" s="81"/>
      <c r="S83" s="81"/>
      <c r="T83" s="81"/>
      <c r="U83" s="81"/>
      <c r="V83" s="81"/>
      <c r="W83" s="192"/>
      <c r="X83" s="192"/>
      <c r="Y83" s="192"/>
      <c r="Z83" s="192"/>
      <c r="AA83" s="192"/>
      <c r="AB83" s="192"/>
      <c r="AC83" s="81"/>
      <c r="AD83" s="81"/>
      <c r="AE83" s="81"/>
      <c r="AF83" s="81"/>
      <c r="AG83" s="81"/>
      <c r="AH83" s="81"/>
      <c r="AI83" s="81"/>
      <c r="AJ83" s="81"/>
      <c r="AK83" s="81"/>
      <c r="AL83" s="81"/>
      <c r="AM83" s="81"/>
      <c r="AN83" s="81"/>
    </row>
    <row r="84" spans="2:40" x14ac:dyDescent="0.25">
      <c r="B84" s="42"/>
      <c r="C84" s="42"/>
      <c r="E84" s="81"/>
      <c r="F84" s="81"/>
      <c r="G84" s="81"/>
      <c r="H84" s="81"/>
      <c r="I84" s="81"/>
      <c r="J84" s="81"/>
      <c r="K84" s="81"/>
      <c r="L84" s="81"/>
      <c r="M84" s="81"/>
      <c r="N84" s="81"/>
      <c r="O84" s="81"/>
      <c r="P84" s="81"/>
      <c r="Q84" s="81"/>
      <c r="R84" s="81"/>
      <c r="S84" s="81"/>
      <c r="T84" s="81"/>
      <c r="U84" s="81"/>
      <c r="V84" s="81"/>
      <c r="W84" s="192"/>
      <c r="X84" s="192"/>
      <c r="Y84" s="192"/>
      <c r="Z84" s="192"/>
      <c r="AA84" s="192"/>
      <c r="AB84" s="192"/>
      <c r="AC84" s="81"/>
      <c r="AD84" s="81"/>
      <c r="AE84" s="81"/>
      <c r="AF84" s="81"/>
      <c r="AG84" s="81"/>
      <c r="AH84" s="81"/>
      <c r="AI84" s="81"/>
      <c r="AJ84" s="81"/>
      <c r="AK84" s="81"/>
      <c r="AL84" s="81"/>
      <c r="AM84" s="81"/>
      <c r="AN84" s="81"/>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1048562"/>
  <sheetViews>
    <sheetView showGridLines="0" zoomScale="70" zoomScaleNormal="70" workbookViewId="0">
      <pane xSplit="1" ySplit="5" topLeftCell="B60" activePane="bottomRight" state="frozen"/>
      <selection pane="topRight" activeCell="B1" sqref="B1"/>
      <selection pane="bottomLeft" activeCell="A6" sqref="A6"/>
      <selection pane="bottomRight" activeCell="N31" sqref="N31"/>
    </sheetView>
  </sheetViews>
  <sheetFormatPr defaultColWidth="9.140625" defaultRowHeight="15" x14ac:dyDescent="0.25"/>
  <cols>
    <col min="1" max="2" width="2.42578125" style="570" customWidth="1"/>
    <col min="3" max="3" width="26.28515625" style="570" bestFit="1" customWidth="1"/>
    <col min="4" max="4" width="10.7109375" style="570" bestFit="1" customWidth="1"/>
    <col min="5" max="5" width="11.85546875" style="570" bestFit="1" customWidth="1"/>
    <col min="6" max="6" width="23.85546875" style="570" bestFit="1" customWidth="1"/>
    <col min="7" max="7" width="10.7109375" style="570" bestFit="1" customWidth="1"/>
    <col min="8" max="8" width="16.5703125" style="570" bestFit="1" customWidth="1"/>
    <col min="9" max="9" width="15.85546875" style="570" bestFit="1" customWidth="1"/>
    <col min="10" max="10" width="13.7109375" style="570" bestFit="1" customWidth="1"/>
    <col min="11" max="11" width="10.85546875" style="570" bestFit="1" customWidth="1"/>
    <col min="12" max="12" width="18.28515625" style="570" bestFit="1" customWidth="1"/>
    <col min="13" max="13" width="14.5703125" style="570" bestFit="1" customWidth="1"/>
    <col min="14" max="14" width="13.140625" style="570" bestFit="1" customWidth="1"/>
    <col min="15" max="16" width="13" style="570" bestFit="1" customWidth="1"/>
    <col min="17" max="18" width="10.7109375" style="570" bestFit="1" customWidth="1"/>
    <col min="19" max="19" width="9.140625" style="570"/>
    <col min="20" max="21" width="25" style="570" customWidth="1"/>
    <col min="22" max="16384" width="9.140625" style="570"/>
  </cols>
  <sheetData>
    <row r="1" spans="2:21" x14ac:dyDescent="0.25">
      <c r="N1" s="570" t="s">
        <v>993</v>
      </c>
    </row>
    <row r="3" spans="2:21" x14ac:dyDescent="0.25">
      <c r="B3" s="636" t="s">
        <v>994</v>
      </c>
      <c r="C3" s="636" t="s">
        <v>995</v>
      </c>
      <c r="T3" s="838" t="s">
        <v>996</v>
      </c>
      <c r="U3" s="839">
        <v>41730</v>
      </c>
    </row>
    <row r="4" spans="2:21" x14ac:dyDescent="0.25">
      <c r="B4" s="840" t="s">
        <v>782</v>
      </c>
      <c r="C4" s="840" t="s">
        <v>917</v>
      </c>
      <c r="D4" s="840" t="s">
        <v>998</v>
      </c>
      <c r="E4" s="840" t="s">
        <v>997</v>
      </c>
      <c r="F4" s="840" t="s">
        <v>949</v>
      </c>
      <c r="G4" s="840" t="s">
        <v>0</v>
      </c>
      <c r="H4" s="840" t="s">
        <v>999</v>
      </c>
      <c r="I4" s="840" t="s">
        <v>1000</v>
      </c>
      <c r="J4" s="840" t="s">
        <v>1001</v>
      </c>
      <c r="K4" s="840" t="s">
        <v>1002</v>
      </c>
      <c r="L4" s="840" t="s">
        <v>1003</v>
      </c>
      <c r="M4" s="840" t="s">
        <v>1004</v>
      </c>
      <c r="N4" s="841">
        <v>41333</v>
      </c>
      <c r="O4" s="841">
        <v>41698</v>
      </c>
      <c r="P4" s="841">
        <v>42063</v>
      </c>
      <c r="Q4" s="841">
        <v>42428</v>
      </c>
      <c r="R4" s="841">
        <v>42794</v>
      </c>
      <c r="T4" s="570" t="s">
        <v>1005</v>
      </c>
    </row>
    <row r="5" spans="2:21" x14ac:dyDescent="0.25">
      <c r="B5" s="842"/>
      <c r="C5" s="842"/>
      <c r="D5" s="842"/>
      <c r="E5" s="842"/>
      <c r="F5" s="842"/>
      <c r="G5" s="842"/>
      <c r="H5" s="842"/>
      <c r="I5" s="842"/>
      <c r="J5" s="842"/>
      <c r="K5" s="842"/>
      <c r="L5" s="842"/>
      <c r="M5" s="843"/>
      <c r="N5" s="843" t="s">
        <v>1006</v>
      </c>
      <c r="O5" s="843"/>
      <c r="P5" s="843"/>
      <c r="Q5" s="843"/>
      <c r="R5" s="843"/>
      <c r="T5" s="570" t="s">
        <v>1007</v>
      </c>
    </row>
    <row r="6" spans="2:21" x14ac:dyDescent="0.25">
      <c r="B6" s="570">
        <v>1</v>
      </c>
      <c r="C6" s="844" t="s">
        <v>702</v>
      </c>
      <c r="D6" s="844" t="str">
        <f>LEFT(C6,FIND(" ",C6,1))</f>
        <v xml:space="preserve">Charles </v>
      </c>
      <c r="E6" s="844" t="s">
        <v>1009</v>
      </c>
      <c r="F6" s="844" t="s">
        <v>340</v>
      </c>
      <c r="G6" s="845">
        <v>41411</v>
      </c>
      <c r="H6" s="845">
        <v>41705</v>
      </c>
      <c r="I6" s="844" t="str">
        <f>IF(H6&gt;$U$3,"active","terminated")</f>
        <v>terminated</v>
      </c>
      <c r="J6" s="844"/>
      <c r="K6" s="844" t="s">
        <v>183</v>
      </c>
      <c r="L6" s="846">
        <v>0.1</v>
      </c>
      <c r="M6" s="61">
        <v>0.03</v>
      </c>
      <c r="N6" s="847">
        <v>58000</v>
      </c>
      <c r="O6" s="847">
        <v>58000</v>
      </c>
      <c r="P6" s="314">
        <f t="shared" ref="P6:R22" si="0">IF($P$4&gt;$G6,(O6*(1+$M6)),0)</f>
        <v>59740</v>
      </c>
      <c r="Q6" s="314">
        <f t="shared" si="0"/>
        <v>61532.200000000004</v>
      </c>
      <c r="R6" s="314">
        <f t="shared" si="0"/>
        <v>63378.166000000005</v>
      </c>
    </row>
    <row r="7" spans="2:21" x14ac:dyDescent="0.25">
      <c r="B7" s="570">
        <v>1</v>
      </c>
      <c r="C7" s="844" t="s">
        <v>314</v>
      </c>
      <c r="D7" s="844" t="s">
        <v>314</v>
      </c>
      <c r="E7" s="844"/>
      <c r="F7" s="844" t="s">
        <v>340</v>
      </c>
      <c r="G7" s="845">
        <v>41030</v>
      </c>
      <c r="H7" s="845">
        <v>55153</v>
      </c>
      <c r="I7" s="844" t="str">
        <f t="shared" ref="I7:I70" si="1">IF(H7&gt;$U$3,"active","terminated")</f>
        <v>active</v>
      </c>
      <c r="J7" s="844"/>
      <c r="K7" s="844" t="s">
        <v>183</v>
      </c>
      <c r="L7" s="846">
        <v>0</v>
      </c>
      <c r="M7" s="61">
        <v>0.1</v>
      </c>
      <c r="N7" s="847">
        <v>50000</v>
      </c>
      <c r="O7" s="847">
        <v>55000.000000000007</v>
      </c>
      <c r="P7" s="314">
        <f t="shared" si="0"/>
        <v>60500.000000000015</v>
      </c>
      <c r="Q7" s="314">
        <f t="shared" si="0"/>
        <v>66550.000000000015</v>
      </c>
      <c r="R7" s="314">
        <f t="shared" si="0"/>
        <v>73205.000000000029</v>
      </c>
    </row>
    <row r="8" spans="2:21" x14ac:dyDescent="0.25">
      <c r="B8" s="570">
        <v>1</v>
      </c>
      <c r="C8" s="844" t="s">
        <v>466</v>
      </c>
      <c r="D8" s="844" t="str">
        <f t="shared" ref="D8:D71" si="2">LEFT(C8,FIND(" ",C8,1))</f>
        <v xml:space="preserve">Adam </v>
      </c>
      <c r="E8" s="844" t="s">
        <v>1182</v>
      </c>
      <c r="F8" s="844" t="s">
        <v>340</v>
      </c>
      <c r="G8" s="845">
        <v>40544</v>
      </c>
      <c r="H8" s="845">
        <v>55153</v>
      </c>
      <c r="I8" s="844" t="str">
        <f t="shared" si="1"/>
        <v>active</v>
      </c>
      <c r="J8" s="844"/>
      <c r="K8" s="844" t="s">
        <v>183</v>
      </c>
      <c r="L8" s="846">
        <v>0.1</v>
      </c>
      <c r="M8" s="61">
        <v>0.03</v>
      </c>
      <c r="N8" s="847">
        <v>70000</v>
      </c>
      <c r="O8" s="847">
        <v>73500</v>
      </c>
      <c r="P8" s="314">
        <f t="shared" si="0"/>
        <v>75705</v>
      </c>
      <c r="Q8" s="314">
        <f t="shared" si="0"/>
        <v>77976.150000000009</v>
      </c>
      <c r="R8" s="314">
        <f t="shared" si="0"/>
        <v>80315.434500000018</v>
      </c>
    </row>
    <row r="9" spans="2:21" x14ac:dyDescent="0.25">
      <c r="B9" s="570">
        <v>1</v>
      </c>
      <c r="C9" s="844" t="s">
        <v>370</v>
      </c>
      <c r="D9" s="844" t="str">
        <f t="shared" si="2"/>
        <v xml:space="preserve">Vadim </v>
      </c>
      <c r="E9" s="844" t="s">
        <v>1010</v>
      </c>
      <c r="F9" s="844" t="s">
        <v>340</v>
      </c>
      <c r="G9" s="845">
        <v>40179</v>
      </c>
      <c r="H9" s="845">
        <v>55153</v>
      </c>
      <c r="I9" s="844" t="str">
        <f t="shared" si="1"/>
        <v>active</v>
      </c>
      <c r="J9" s="844"/>
      <c r="K9" s="844" t="s">
        <v>365</v>
      </c>
      <c r="L9" s="846">
        <v>0.1</v>
      </c>
      <c r="M9" s="61">
        <v>0.03</v>
      </c>
      <c r="N9" s="847">
        <v>50000</v>
      </c>
      <c r="O9" s="847">
        <v>60000</v>
      </c>
      <c r="P9" s="314">
        <f t="shared" si="0"/>
        <v>61800</v>
      </c>
      <c r="Q9" s="314">
        <f t="shared" si="0"/>
        <v>63654</v>
      </c>
      <c r="R9" s="314">
        <f t="shared" si="0"/>
        <v>65563.62</v>
      </c>
    </row>
    <row r="10" spans="2:21" x14ac:dyDescent="0.25">
      <c r="B10" s="570">
        <v>1</v>
      </c>
      <c r="C10" s="844" t="s">
        <v>467</v>
      </c>
      <c r="D10" s="844" t="str">
        <f t="shared" si="2"/>
        <v xml:space="preserve">James </v>
      </c>
      <c r="E10" s="844" t="s">
        <v>1011</v>
      </c>
      <c r="F10" s="844" t="s">
        <v>340</v>
      </c>
      <c r="G10" s="845">
        <v>40544</v>
      </c>
      <c r="H10" s="845">
        <v>55153</v>
      </c>
      <c r="I10" s="844" t="str">
        <f t="shared" si="1"/>
        <v>active</v>
      </c>
      <c r="J10" s="844"/>
      <c r="K10" s="844" t="s">
        <v>183</v>
      </c>
      <c r="L10" s="846">
        <v>0.1</v>
      </c>
      <c r="M10" s="61">
        <v>0.03</v>
      </c>
      <c r="N10" s="847">
        <v>115000</v>
      </c>
      <c r="O10" s="847">
        <v>150000</v>
      </c>
      <c r="P10" s="314">
        <f t="shared" si="0"/>
        <v>154500</v>
      </c>
      <c r="Q10" s="314">
        <f t="shared" si="0"/>
        <v>159135</v>
      </c>
      <c r="R10" s="314">
        <f t="shared" si="0"/>
        <v>163909.05000000002</v>
      </c>
    </row>
    <row r="11" spans="2:21" x14ac:dyDescent="0.25">
      <c r="B11" s="570">
        <v>1</v>
      </c>
      <c r="C11" s="844" t="s">
        <v>462</v>
      </c>
      <c r="D11" s="844" t="str">
        <f t="shared" si="2"/>
        <v xml:space="preserve">John </v>
      </c>
      <c r="E11" s="844" t="s">
        <v>1012</v>
      </c>
      <c r="F11" s="844" t="s">
        <v>340</v>
      </c>
      <c r="G11" s="845">
        <v>41106</v>
      </c>
      <c r="H11" s="845">
        <v>41442</v>
      </c>
      <c r="I11" s="844" t="str">
        <f t="shared" si="1"/>
        <v>terminated</v>
      </c>
      <c r="J11" s="844"/>
      <c r="K11" s="844" t="s">
        <v>183</v>
      </c>
      <c r="L11" s="846">
        <v>0.1</v>
      </c>
      <c r="M11" s="61">
        <v>0.03</v>
      </c>
      <c r="N11" s="847">
        <v>110000</v>
      </c>
      <c r="O11" s="847">
        <v>110000</v>
      </c>
      <c r="P11" s="314">
        <f t="shared" si="0"/>
        <v>113300</v>
      </c>
      <c r="Q11" s="314">
        <f t="shared" si="0"/>
        <v>116699</v>
      </c>
      <c r="R11" s="314">
        <f t="shared" si="0"/>
        <v>120199.97</v>
      </c>
    </row>
    <row r="12" spans="2:21" x14ac:dyDescent="0.25">
      <c r="B12" s="570">
        <v>1</v>
      </c>
      <c r="C12" s="844" t="s">
        <v>484</v>
      </c>
      <c r="D12" s="844" t="str">
        <f t="shared" si="2"/>
        <v xml:space="preserve">TJ </v>
      </c>
      <c r="E12" s="844" t="s">
        <v>1013</v>
      </c>
      <c r="F12" s="844" t="s">
        <v>340</v>
      </c>
      <c r="G12" s="845">
        <v>40544</v>
      </c>
      <c r="H12" s="845">
        <v>55153</v>
      </c>
      <c r="I12" s="844" t="str">
        <f t="shared" si="1"/>
        <v>active</v>
      </c>
      <c r="J12" s="844"/>
      <c r="K12" s="844" t="s">
        <v>183</v>
      </c>
      <c r="L12" s="846">
        <v>0.45</v>
      </c>
      <c r="M12" s="61">
        <v>0.03</v>
      </c>
      <c r="N12" s="847">
        <v>275000</v>
      </c>
      <c r="O12" s="847">
        <v>275000</v>
      </c>
      <c r="P12" s="314">
        <f t="shared" si="0"/>
        <v>283250</v>
      </c>
      <c r="Q12" s="314">
        <f t="shared" si="0"/>
        <v>291747.5</v>
      </c>
      <c r="R12" s="314">
        <f t="shared" si="0"/>
        <v>300499.92499999999</v>
      </c>
    </row>
    <row r="13" spans="2:21" x14ac:dyDescent="0.25">
      <c r="B13" s="570">
        <v>1</v>
      </c>
      <c r="C13" s="844" t="s">
        <v>477</v>
      </c>
      <c r="D13" s="844" t="str">
        <f t="shared" si="2"/>
        <v xml:space="preserve">Dinesh </v>
      </c>
      <c r="E13" s="844" t="s">
        <v>1014</v>
      </c>
      <c r="F13" s="844" t="s">
        <v>2</v>
      </c>
      <c r="G13" s="845">
        <v>40544</v>
      </c>
      <c r="H13" s="845">
        <v>41943</v>
      </c>
      <c r="I13" s="844" t="str">
        <f t="shared" si="1"/>
        <v>active</v>
      </c>
      <c r="J13" s="844"/>
      <c r="K13" s="844" t="s">
        <v>183</v>
      </c>
      <c r="L13" s="846">
        <v>0.45</v>
      </c>
      <c r="M13" s="61">
        <v>0</v>
      </c>
      <c r="N13" s="847">
        <v>275000</v>
      </c>
      <c r="O13" s="847">
        <v>275000</v>
      </c>
      <c r="P13" s="314">
        <f t="shared" ref="P13" si="3">IF($P$4&gt;$G13,(O13*(1+$M13)),0)</f>
        <v>275000</v>
      </c>
      <c r="Q13" s="314">
        <f t="shared" ref="Q13" si="4">IF($P$4&gt;$G13,(P13*(1+$M13)),0)</f>
        <v>275000</v>
      </c>
      <c r="R13" s="314">
        <f t="shared" ref="R13" si="5">IF($P$4&gt;$G13,(Q13*(1+$M13)),0)</f>
        <v>275000</v>
      </c>
    </row>
    <row r="14" spans="2:21" x14ac:dyDescent="0.25">
      <c r="B14" s="570">
        <v>1</v>
      </c>
      <c r="C14" s="844" t="s">
        <v>479</v>
      </c>
      <c r="D14" s="844" t="str">
        <f t="shared" si="2"/>
        <v xml:space="preserve">Komnieve </v>
      </c>
      <c r="E14" s="844" t="s">
        <v>1015</v>
      </c>
      <c r="F14" s="844" t="s">
        <v>223</v>
      </c>
      <c r="G14" s="845">
        <v>40544</v>
      </c>
      <c r="H14" s="845">
        <v>55153</v>
      </c>
      <c r="I14" s="844" t="str">
        <f t="shared" si="1"/>
        <v>active</v>
      </c>
      <c r="J14" s="844"/>
      <c r="K14" s="844" t="s">
        <v>183</v>
      </c>
      <c r="L14" s="846">
        <v>0.45</v>
      </c>
      <c r="M14" s="61">
        <v>0.03</v>
      </c>
      <c r="N14" s="847">
        <v>275000</v>
      </c>
      <c r="O14" s="847">
        <v>275000</v>
      </c>
      <c r="P14" s="314">
        <f t="shared" si="0"/>
        <v>283250</v>
      </c>
      <c r="Q14" s="314">
        <f t="shared" si="0"/>
        <v>291747.5</v>
      </c>
      <c r="R14" s="314">
        <f t="shared" si="0"/>
        <v>300499.92499999999</v>
      </c>
    </row>
    <row r="15" spans="2:21" x14ac:dyDescent="0.25">
      <c r="B15" s="570">
        <v>1</v>
      </c>
      <c r="C15" s="844" t="s">
        <v>486</v>
      </c>
      <c r="D15" s="844" t="str">
        <f t="shared" si="2"/>
        <v xml:space="preserve">Ronald </v>
      </c>
      <c r="E15" s="844" t="s">
        <v>1016</v>
      </c>
      <c r="F15" s="844" t="s">
        <v>2</v>
      </c>
      <c r="G15" s="845">
        <v>41000</v>
      </c>
      <c r="H15" s="845">
        <v>55153</v>
      </c>
      <c r="I15" s="844" t="str">
        <f t="shared" si="1"/>
        <v>active</v>
      </c>
      <c r="J15" s="844"/>
      <c r="K15" s="844" t="s">
        <v>183</v>
      </c>
      <c r="L15" s="846">
        <v>0.45</v>
      </c>
      <c r="M15" s="61">
        <v>0</v>
      </c>
      <c r="N15" s="847">
        <v>275000</v>
      </c>
      <c r="O15" s="847">
        <v>295000</v>
      </c>
      <c r="P15" s="314">
        <f t="shared" si="0"/>
        <v>295000</v>
      </c>
      <c r="Q15" s="314">
        <f t="shared" si="0"/>
        <v>295000</v>
      </c>
      <c r="R15" s="314">
        <f t="shared" si="0"/>
        <v>295000</v>
      </c>
    </row>
    <row r="16" spans="2:21" x14ac:dyDescent="0.25">
      <c r="B16" s="570">
        <v>1</v>
      </c>
      <c r="C16" s="844" t="s">
        <v>364</v>
      </c>
      <c r="D16" s="844" t="str">
        <f t="shared" si="2"/>
        <v xml:space="preserve">Shane </v>
      </c>
      <c r="E16" s="844" t="s">
        <v>1017</v>
      </c>
      <c r="F16" s="844" t="s">
        <v>2</v>
      </c>
      <c r="G16" s="845">
        <v>40179</v>
      </c>
      <c r="H16" s="845">
        <v>55153</v>
      </c>
      <c r="I16" s="844" t="str">
        <f t="shared" si="1"/>
        <v>active</v>
      </c>
      <c r="J16" s="844"/>
      <c r="K16" s="844" t="s">
        <v>365</v>
      </c>
      <c r="L16" s="846">
        <v>0.45</v>
      </c>
      <c r="M16" s="61">
        <v>0</v>
      </c>
      <c r="N16" s="847">
        <v>275000</v>
      </c>
      <c r="O16" s="847">
        <v>275000</v>
      </c>
      <c r="P16" s="314">
        <f t="shared" si="0"/>
        <v>275000</v>
      </c>
      <c r="Q16" s="314">
        <f t="shared" si="0"/>
        <v>275000</v>
      </c>
      <c r="R16" s="314">
        <f t="shared" si="0"/>
        <v>275000</v>
      </c>
    </row>
    <row r="17" spans="2:18" x14ac:dyDescent="0.25">
      <c r="B17" s="570">
        <v>1</v>
      </c>
      <c r="C17" s="844" t="s">
        <v>366</v>
      </c>
      <c r="D17" s="844" t="str">
        <f t="shared" si="2"/>
        <v xml:space="preserve">Allison </v>
      </c>
      <c r="E17" s="844" t="s">
        <v>1018</v>
      </c>
      <c r="F17" s="844" t="s">
        <v>3</v>
      </c>
      <c r="G17" s="845">
        <v>40179</v>
      </c>
      <c r="H17" s="845">
        <v>55153</v>
      </c>
      <c r="I17" s="844" t="str">
        <f t="shared" si="1"/>
        <v>active</v>
      </c>
      <c r="J17" s="844"/>
      <c r="K17" s="844" t="s">
        <v>365</v>
      </c>
      <c r="L17" s="846">
        <v>0.1</v>
      </c>
      <c r="M17" s="61">
        <v>0.03</v>
      </c>
      <c r="N17" s="847">
        <v>75000</v>
      </c>
      <c r="O17" s="847">
        <v>75000</v>
      </c>
      <c r="P17" s="314">
        <f t="shared" si="0"/>
        <v>77250</v>
      </c>
      <c r="Q17" s="314">
        <f t="shared" si="0"/>
        <v>79567.5</v>
      </c>
      <c r="R17" s="314">
        <f t="shared" si="0"/>
        <v>81954.525000000009</v>
      </c>
    </row>
    <row r="18" spans="2:18" x14ac:dyDescent="0.25">
      <c r="B18" s="570">
        <v>1</v>
      </c>
      <c r="C18" s="844" t="s">
        <v>465</v>
      </c>
      <c r="D18" s="844" t="str">
        <f t="shared" si="2"/>
        <v xml:space="preserve">Lezlie </v>
      </c>
      <c r="E18" s="844" t="s">
        <v>1019</v>
      </c>
      <c r="F18" s="844" t="s">
        <v>3</v>
      </c>
      <c r="G18" s="845">
        <v>40544</v>
      </c>
      <c r="H18" s="845">
        <v>55153</v>
      </c>
      <c r="I18" s="844" t="str">
        <f t="shared" si="1"/>
        <v>active</v>
      </c>
      <c r="J18" s="844"/>
      <c r="K18" s="844" t="s">
        <v>183</v>
      </c>
      <c r="L18" s="846">
        <v>0.1</v>
      </c>
      <c r="M18" s="61">
        <v>0.03</v>
      </c>
      <c r="N18" s="847">
        <v>115000</v>
      </c>
      <c r="O18" s="847">
        <v>115000</v>
      </c>
      <c r="P18" s="314">
        <f t="shared" si="0"/>
        <v>118450</v>
      </c>
      <c r="Q18" s="314">
        <f t="shared" si="0"/>
        <v>122003.5</v>
      </c>
      <c r="R18" s="314">
        <f t="shared" si="0"/>
        <v>125663.60500000001</v>
      </c>
    </row>
    <row r="19" spans="2:18" x14ac:dyDescent="0.25">
      <c r="B19" s="570">
        <v>1</v>
      </c>
      <c r="C19" s="844" t="s">
        <v>698</v>
      </c>
      <c r="D19" s="844" t="str">
        <f t="shared" si="2"/>
        <v xml:space="preserve">Erin </v>
      </c>
      <c r="E19" s="844" t="s">
        <v>1020</v>
      </c>
      <c r="F19" s="844" t="s">
        <v>3</v>
      </c>
      <c r="G19" s="845">
        <v>41307</v>
      </c>
      <c r="H19" s="845">
        <v>55153</v>
      </c>
      <c r="I19" s="844" t="str">
        <f t="shared" si="1"/>
        <v>active</v>
      </c>
      <c r="J19" s="844"/>
      <c r="K19" s="844" t="s">
        <v>183</v>
      </c>
      <c r="L19" s="846">
        <v>0.1</v>
      </c>
      <c r="M19" s="61">
        <v>0.03</v>
      </c>
      <c r="N19" s="847">
        <v>50000</v>
      </c>
      <c r="O19" s="847">
        <v>50000</v>
      </c>
      <c r="P19" s="314">
        <f t="shared" si="0"/>
        <v>51500</v>
      </c>
      <c r="Q19" s="314">
        <f t="shared" si="0"/>
        <v>53045</v>
      </c>
      <c r="R19" s="314">
        <f t="shared" si="0"/>
        <v>54636.35</v>
      </c>
    </row>
    <row r="20" spans="2:18" x14ac:dyDescent="0.25">
      <c r="B20" s="570">
        <v>1</v>
      </c>
      <c r="C20" s="844" t="s">
        <v>701</v>
      </c>
      <c r="D20" s="844" t="str">
        <f t="shared" si="2"/>
        <v xml:space="preserve">Sean </v>
      </c>
      <c r="E20" s="844" t="s">
        <v>1021</v>
      </c>
      <c r="F20" s="844" t="s">
        <v>4</v>
      </c>
      <c r="G20" s="845">
        <v>40544</v>
      </c>
      <c r="H20" s="845">
        <v>55153</v>
      </c>
      <c r="I20" s="844" t="str">
        <f t="shared" si="1"/>
        <v>active</v>
      </c>
      <c r="J20" s="844"/>
      <c r="K20" s="844" t="s">
        <v>183</v>
      </c>
      <c r="L20" s="846">
        <v>0.1</v>
      </c>
      <c r="M20" s="61">
        <v>0.03</v>
      </c>
      <c r="N20" s="847">
        <v>82500</v>
      </c>
      <c r="O20" s="847">
        <v>82500</v>
      </c>
      <c r="P20" s="314">
        <f t="shared" si="0"/>
        <v>84975</v>
      </c>
      <c r="Q20" s="314">
        <f t="shared" si="0"/>
        <v>87524.25</v>
      </c>
      <c r="R20" s="314">
        <f t="shared" si="0"/>
        <v>90149.977500000008</v>
      </c>
    </row>
    <row r="21" spans="2:18" x14ac:dyDescent="0.25">
      <c r="B21" s="570">
        <v>1</v>
      </c>
      <c r="C21" s="844" t="s">
        <v>456</v>
      </c>
      <c r="D21" s="844" t="str">
        <f t="shared" si="2"/>
        <v xml:space="preserve">Ryann </v>
      </c>
      <c r="E21" s="844" t="s">
        <v>1022</v>
      </c>
      <c r="F21" s="844" t="s">
        <v>4</v>
      </c>
      <c r="G21" s="845">
        <v>40544</v>
      </c>
      <c r="H21" s="845">
        <v>55153</v>
      </c>
      <c r="I21" s="844" t="str">
        <f t="shared" si="1"/>
        <v>active</v>
      </c>
      <c r="J21" s="844"/>
      <c r="K21" s="844" t="s">
        <v>183</v>
      </c>
      <c r="L21" s="846">
        <v>0.1</v>
      </c>
      <c r="M21" s="61">
        <v>0.03</v>
      </c>
      <c r="N21" s="847">
        <v>55000</v>
      </c>
      <c r="O21" s="847">
        <v>55000</v>
      </c>
      <c r="P21" s="314">
        <f t="shared" si="0"/>
        <v>56650</v>
      </c>
      <c r="Q21" s="314">
        <f t="shared" si="0"/>
        <v>58349.5</v>
      </c>
      <c r="R21" s="314">
        <f t="shared" si="0"/>
        <v>60099.985000000001</v>
      </c>
    </row>
    <row r="22" spans="2:18" x14ac:dyDescent="0.25">
      <c r="B22" s="570">
        <v>1</v>
      </c>
      <c r="C22" s="844" t="s">
        <v>463</v>
      </c>
      <c r="D22" s="844" t="str">
        <f t="shared" si="2"/>
        <v xml:space="preserve">Mark </v>
      </c>
      <c r="E22" s="844" t="s">
        <v>1023</v>
      </c>
      <c r="F22" s="844" t="s">
        <v>4</v>
      </c>
      <c r="G22" s="845">
        <v>40544</v>
      </c>
      <c r="H22" s="845">
        <v>41379</v>
      </c>
      <c r="I22" s="844" t="str">
        <f t="shared" si="1"/>
        <v>terminated</v>
      </c>
      <c r="J22" s="844"/>
      <c r="K22" s="844" t="s">
        <v>183</v>
      </c>
      <c r="L22" s="846">
        <v>0.1</v>
      </c>
      <c r="M22" s="61">
        <v>0.03</v>
      </c>
      <c r="N22" s="847">
        <v>60000</v>
      </c>
      <c r="O22" s="847">
        <v>61800</v>
      </c>
      <c r="P22" s="314">
        <f t="shared" si="0"/>
        <v>63654</v>
      </c>
      <c r="Q22" s="314">
        <f t="shared" si="0"/>
        <v>65563.62</v>
      </c>
      <c r="R22" s="314">
        <f t="shared" si="0"/>
        <v>67530.528599999991</v>
      </c>
    </row>
    <row r="23" spans="2:18" x14ac:dyDescent="0.25">
      <c r="B23" s="570">
        <v>1</v>
      </c>
      <c r="C23" s="844" t="s">
        <v>368</v>
      </c>
      <c r="D23" s="844" t="str">
        <f t="shared" si="2"/>
        <v xml:space="preserve">Josh </v>
      </c>
      <c r="E23" s="844" t="s">
        <v>1024</v>
      </c>
      <c r="F23" s="844" t="s">
        <v>4</v>
      </c>
      <c r="G23" s="845">
        <v>40179</v>
      </c>
      <c r="H23" s="845">
        <v>41547</v>
      </c>
      <c r="I23" s="844" t="str">
        <f t="shared" si="1"/>
        <v>terminated</v>
      </c>
      <c r="J23" s="844"/>
      <c r="K23" s="844" t="s">
        <v>365</v>
      </c>
      <c r="L23" s="846">
        <v>0.1</v>
      </c>
      <c r="M23" s="61">
        <v>0.03</v>
      </c>
      <c r="N23" s="847">
        <v>100000</v>
      </c>
      <c r="O23" s="847">
        <v>103000</v>
      </c>
      <c r="P23" s="314">
        <f t="shared" ref="P23:R40" si="6">IF($P$4&gt;$G23,(O23*(1+$M23)),0)</f>
        <v>106090</v>
      </c>
      <c r="Q23" s="314">
        <f t="shared" si="6"/>
        <v>109272.7</v>
      </c>
      <c r="R23" s="314">
        <f t="shared" si="6"/>
        <v>112550.88099999999</v>
      </c>
    </row>
    <row r="24" spans="2:18" x14ac:dyDescent="0.25">
      <c r="B24" s="570">
        <v>1</v>
      </c>
      <c r="C24" s="844" t="s">
        <v>482</v>
      </c>
      <c r="D24" s="844" t="str">
        <f t="shared" si="2"/>
        <v xml:space="preserve">Thomas </v>
      </c>
      <c r="E24" s="844" t="s">
        <v>1188</v>
      </c>
      <c r="F24" s="844" t="s">
        <v>223</v>
      </c>
      <c r="G24" s="845">
        <v>41244</v>
      </c>
      <c r="H24" s="845">
        <v>55153</v>
      </c>
      <c r="I24" s="844" t="str">
        <f t="shared" si="1"/>
        <v>active</v>
      </c>
      <c r="J24" s="844"/>
      <c r="K24" s="844" t="s">
        <v>183</v>
      </c>
      <c r="L24" s="846">
        <v>0.1</v>
      </c>
      <c r="M24" s="61">
        <v>0.03</v>
      </c>
      <c r="N24" s="847">
        <v>40000</v>
      </c>
      <c r="O24" s="847">
        <v>45000.02</v>
      </c>
      <c r="P24" s="314">
        <f t="shared" si="6"/>
        <v>46350.020599999996</v>
      </c>
      <c r="Q24" s="314">
        <f t="shared" si="6"/>
        <v>47740.521217999994</v>
      </c>
      <c r="R24" s="314">
        <f t="shared" si="6"/>
        <v>49172.736854539995</v>
      </c>
    </row>
    <row r="25" spans="2:18" x14ac:dyDescent="0.25">
      <c r="B25" s="570">
        <v>1</v>
      </c>
      <c r="C25" s="844" t="s">
        <v>703</v>
      </c>
      <c r="D25" s="844" t="str">
        <f t="shared" si="2"/>
        <v xml:space="preserve">Timothy </v>
      </c>
      <c r="E25" s="844" t="s">
        <v>1025</v>
      </c>
      <c r="F25" s="844" t="s">
        <v>223</v>
      </c>
      <c r="G25" s="845">
        <v>40544</v>
      </c>
      <c r="H25" s="845">
        <v>55153</v>
      </c>
      <c r="I25" s="844" t="str">
        <f t="shared" si="1"/>
        <v>active</v>
      </c>
      <c r="J25" s="844"/>
      <c r="K25" s="844" t="s">
        <v>183</v>
      </c>
      <c r="L25" s="846">
        <v>0.1</v>
      </c>
      <c r="M25" s="61">
        <v>0.03</v>
      </c>
      <c r="N25" s="847">
        <v>40000</v>
      </c>
      <c r="O25" s="847">
        <v>45000</v>
      </c>
      <c r="P25" s="314">
        <f t="shared" ref="P25" si="7">IF($P$4&gt;$G25,(O25*(1+$M25)),0)</f>
        <v>46350</v>
      </c>
      <c r="Q25" s="314">
        <f t="shared" ref="Q25" si="8">IF($P$4&gt;$G25,(P25*(1+$M25)),0)</f>
        <v>47740.5</v>
      </c>
      <c r="R25" s="314">
        <f t="shared" ref="R25" si="9">IF($P$4&gt;$G25,(Q25*(1+$M25)),0)</f>
        <v>49172.715000000004</v>
      </c>
    </row>
    <row r="26" spans="2:18" x14ac:dyDescent="0.25">
      <c r="B26" s="570">
        <v>1</v>
      </c>
      <c r="C26" s="844" t="s">
        <v>453</v>
      </c>
      <c r="D26" s="844" t="str">
        <f t="shared" si="2"/>
        <v xml:space="preserve">Julie </v>
      </c>
      <c r="E26" s="844" t="s">
        <v>1026</v>
      </c>
      <c r="F26" s="844" t="s">
        <v>223</v>
      </c>
      <c r="G26" s="845">
        <v>40544</v>
      </c>
      <c r="H26" s="845">
        <v>55153</v>
      </c>
      <c r="I26" s="844" t="str">
        <f t="shared" si="1"/>
        <v>active</v>
      </c>
      <c r="J26" s="844"/>
      <c r="K26" s="844" t="s">
        <v>183</v>
      </c>
      <c r="L26" s="846">
        <v>0.1</v>
      </c>
      <c r="M26" s="61">
        <v>0.03</v>
      </c>
      <c r="N26" s="847">
        <v>46000</v>
      </c>
      <c r="O26" s="847">
        <v>45000</v>
      </c>
      <c r="P26" s="314">
        <f t="shared" si="6"/>
        <v>46350</v>
      </c>
      <c r="Q26" s="314">
        <f t="shared" si="6"/>
        <v>47740.5</v>
      </c>
      <c r="R26" s="314">
        <f t="shared" si="6"/>
        <v>49172.715000000004</v>
      </c>
    </row>
    <row r="27" spans="2:18" x14ac:dyDescent="0.25">
      <c r="B27" s="570">
        <v>1</v>
      </c>
      <c r="C27" s="844" t="s">
        <v>455</v>
      </c>
      <c r="D27" s="844" t="str">
        <f t="shared" si="2"/>
        <v xml:space="preserve">Wendell </v>
      </c>
      <c r="E27" s="844" t="s">
        <v>1027</v>
      </c>
      <c r="F27" s="844" t="s">
        <v>223</v>
      </c>
      <c r="G27" s="845">
        <v>40544</v>
      </c>
      <c r="H27" s="845">
        <v>55153</v>
      </c>
      <c r="I27" s="844" t="str">
        <f t="shared" si="1"/>
        <v>active</v>
      </c>
      <c r="J27" s="844"/>
      <c r="K27" s="844" t="s">
        <v>183</v>
      </c>
      <c r="L27" s="846">
        <v>0.1</v>
      </c>
      <c r="M27" s="61">
        <v>0.03</v>
      </c>
      <c r="N27" s="847">
        <v>45000</v>
      </c>
      <c r="O27" s="847">
        <v>45000</v>
      </c>
      <c r="P27" s="314">
        <f t="shared" si="6"/>
        <v>46350</v>
      </c>
      <c r="Q27" s="314">
        <f t="shared" si="6"/>
        <v>47740.5</v>
      </c>
      <c r="R27" s="314">
        <f t="shared" si="6"/>
        <v>49172.715000000004</v>
      </c>
    </row>
    <row r="28" spans="2:18" x14ac:dyDescent="0.25">
      <c r="B28" s="570">
        <v>1</v>
      </c>
      <c r="C28" s="844" t="s">
        <v>454</v>
      </c>
      <c r="D28" s="844" t="str">
        <f t="shared" si="2"/>
        <v xml:space="preserve">Max </v>
      </c>
      <c r="E28" s="844" t="s">
        <v>1028</v>
      </c>
      <c r="F28" s="844" t="s">
        <v>223</v>
      </c>
      <c r="G28" s="845">
        <v>40544</v>
      </c>
      <c r="H28" s="845">
        <v>55153</v>
      </c>
      <c r="I28" s="844" t="str">
        <f t="shared" si="1"/>
        <v>active</v>
      </c>
      <c r="J28" s="844"/>
      <c r="K28" s="844" t="s">
        <v>183</v>
      </c>
      <c r="L28" s="846">
        <v>0.1</v>
      </c>
      <c r="M28" s="61">
        <v>0.03</v>
      </c>
      <c r="N28" s="847">
        <v>40000</v>
      </c>
      <c r="O28" s="847">
        <v>56000</v>
      </c>
      <c r="P28" s="314">
        <f t="shared" si="6"/>
        <v>57680</v>
      </c>
      <c r="Q28" s="314">
        <f t="shared" si="6"/>
        <v>59410.400000000001</v>
      </c>
      <c r="R28" s="314">
        <f t="shared" si="6"/>
        <v>61192.712</v>
      </c>
    </row>
    <row r="29" spans="2:18" x14ac:dyDescent="0.25">
      <c r="B29" s="570">
        <v>1</v>
      </c>
      <c r="C29" s="844" t="s">
        <v>480</v>
      </c>
      <c r="D29" s="844" t="str">
        <f t="shared" si="2"/>
        <v xml:space="preserve">Michelle </v>
      </c>
      <c r="E29" s="844" t="s">
        <v>1029</v>
      </c>
      <c r="F29" s="844" t="s">
        <v>223</v>
      </c>
      <c r="G29" s="845">
        <v>41316</v>
      </c>
      <c r="H29" s="845">
        <v>55153</v>
      </c>
      <c r="I29" s="844" t="str">
        <f t="shared" si="1"/>
        <v>active</v>
      </c>
      <c r="J29" s="844"/>
      <c r="K29" s="844" t="s">
        <v>183</v>
      </c>
      <c r="L29" s="846">
        <v>0.1</v>
      </c>
      <c r="M29" s="61">
        <v>0.03</v>
      </c>
      <c r="N29" s="847">
        <v>50000</v>
      </c>
      <c r="O29" s="847">
        <v>75000</v>
      </c>
      <c r="P29" s="314">
        <f t="shared" ref="P29" si="10">IF($P$4&gt;$G29,(O29*(1+$M29)),0)</f>
        <v>77250</v>
      </c>
      <c r="Q29" s="314">
        <f t="shared" ref="Q29" si="11">IF($P$4&gt;$G29,(P29*(1+$M29)),0)</f>
        <v>79567.5</v>
      </c>
      <c r="R29" s="314">
        <f t="shared" ref="R29" si="12">IF($P$4&gt;$G29,(Q29*(1+$M29)),0)</f>
        <v>81954.525000000009</v>
      </c>
    </row>
    <row r="30" spans="2:18" x14ac:dyDescent="0.25">
      <c r="B30" s="570">
        <v>1</v>
      </c>
      <c r="C30" s="844" t="s">
        <v>459</v>
      </c>
      <c r="D30" s="844" t="str">
        <f t="shared" si="2"/>
        <v xml:space="preserve">Shannon </v>
      </c>
      <c r="E30" s="844" t="s">
        <v>1030</v>
      </c>
      <c r="F30" s="844" t="s">
        <v>340</v>
      </c>
      <c r="G30" s="845">
        <v>40544</v>
      </c>
      <c r="H30" s="845">
        <v>55153</v>
      </c>
      <c r="I30" s="844" t="str">
        <f t="shared" si="1"/>
        <v>active</v>
      </c>
      <c r="J30" s="844"/>
      <c r="K30" s="844" t="s">
        <v>183</v>
      </c>
      <c r="L30" s="846">
        <v>0.1</v>
      </c>
      <c r="M30" s="61">
        <v>0.03</v>
      </c>
      <c r="N30" s="847">
        <v>55000</v>
      </c>
      <c r="O30" s="847">
        <v>60000</v>
      </c>
      <c r="P30" s="314">
        <f t="shared" si="6"/>
        <v>61800</v>
      </c>
      <c r="Q30" s="314">
        <f t="shared" si="6"/>
        <v>63654</v>
      </c>
      <c r="R30" s="314">
        <f t="shared" si="6"/>
        <v>65563.62</v>
      </c>
    </row>
    <row r="31" spans="2:18" x14ac:dyDescent="0.25">
      <c r="B31" s="570">
        <v>1</v>
      </c>
      <c r="C31" s="844" t="s">
        <v>460</v>
      </c>
      <c r="D31" s="844" t="str">
        <f t="shared" si="2"/>
        <v xml:space="preserve">Aaron </v>
      </c>
      <c r="E31" s="844" t="s">
        <v>1031</v>
      </c>
      <c r="F31" s="844" t="s">
        <v>223</v>
      </c>
      <c r="G31" s="845">
        <v>40544</v>
      </c>
      <c r="H31" s="845">
        <v>55153</v>
      </c>
      <c r="I31" s="844" t="str">
        <f t="shared" si="1"/>
        <v>active</v>
      </c>
      <c r="J31" s="844"/>
      <c r="K31" s="844" t="s">
        <v>183</v>
      </c>
      <c r="L31" s="846">
        <v>0.1</v>
      </c>
      <c r="M31" s="61">
        <v>0.03</v>
      </c>
      <c r="N31" s="847">
        <v>45000</v>
      </c>
      <c r="O31" s="847">
        <v>60000</v>
      </c>
      <c r="P31" s="314">
        <f t="shared" si="6"/>
        <v>61800</v>
      </c>
      <c r="Q31" s="314">
        <f t="shared" si="6"/>
        <v>63654</v>
      </c>
      <c r="R31" s="314">
        <f t="shared" si="6"/>
        <v>65563.62</v>
      </c>
    </row>
    <row r="32" spans="2:18" x14ac:dyDescent="0.25">
      <c r="B32" s="570">
        <v>1</v>
      </c>
      <c r="C32" s="844" t="s">
        <v>452</v>
      </c>
      <c r="D32" s="844" t="str">
        <f t="shared" si="2"/>
        <v xml:space="preserve">Jeff </v>
      </c>
      <c r="E32" s="844" t="s">
        <v>1032</v>
      </c>
      <c r="F32" s="844" t="s">
        <v>340</v>
      </c>
      <c r="G32" s="845">
        <v>40544</v>
      </c>
      <c r="H32" s="845">
        <v>55153</v>
      </c>
      <c r="I32" s="844" t="str">
        <f t="shared" si="1"/>
        <v>active</v>
      </c>
      <c r="J32" s="844"/>
      <c r="K32" s="844" t="s">
        <v>183</v>
      </c>
      <c r="L32" s="846">
        <v>0.1</v>
      </c>
      <c r="M32" s="61">
        <v>0.03</v>
      </c>
      <c r="N32" s="847">
        <v>58000</v>
      </c>
      <c r="O32" s="847">
        <v>58000</v>
      </c>
      <c r="P32" s="314">
        <f t="shared" si="6"/>
        <v>59740</v>
      </c>
      <c r="Q32" s="314">
        <f t="shared" si="6"/>
        <v>61532.200000000004</v>
      </c>
      <c r="R32" s="314">
        <f t="shared" si="6"/>
        <v>63378.166000000005</v>
      </c>
    </row>
    <row r="33" spans="2:18" x14ac:dyDescent="0.25">
      <c r="B33" s="570">
        <v>1</v>
      </c>
      <c r="C33" s="844" t="s">
        <v>369</v>
      </c>
      <c r="D33" s="844" t="str">
        <f t="shared" si="2"/>
        <v xml:space="preserve">Nick </v>
      </c>
      <c r="E33" s="844" t="s">
        <v>1033</v>
      </c>
      <c r="F33" s="844" t="s">
        <v>223</v>
      </c>
      <c r="G33" s="845">
        <v>41228</v>
      </c>
      <c r="H33" s="845">
        <v>41563</v>
      </c>
      <c r="I33" s="844" t="str">
        <f t="shared" si="1"/>
        <v>terminated</v>
      </c>
      <c r="J33" s="844"/>
      <c r="K33" s="844" t="s">
        <v>365</v>
      </c>
      <c r="L33" s="846">
        <v>0.1</v>
      </c>
      <c r="M33" s="61">
        <v>0.03</v>
      </c>
      <c r="N33" s="847">
        <v>45000</v>
      </c>
      <c r="O33" s="847">
        <v>47250</v>
      </c>
      <c r="P33" s="314">
        <f t="shared" si="6"/>
        <v>48667.5</v>
      </c>
      <c r="Q33" s="314">
        <f t="shared" si="6"/>
        <v>50127.525000000001</v>
      </c>
      <c r="R33" s="314">
        <f t="shared" si="6"/>
        <v>51631.350750000005</v>
      </c>
    </row>
    <row r="34" spans="2:18" x14ac:dyDescent="0.25">
      <c r="B34" s="570">
        <v>1</v>
      </c>
      <c r="C34" s="844" t="s">
        <v>457</v>
      </c>
      <c r="D34" s="844" t="str">
        <f t="shared" si="2"/>
        <v xml:space="preserve">Jacob </v>
      </c>
      <c r="E34" s="844" t="s">
        <v>1034</v>
      </c>
      <c r="F34" s="844" t="s">
        <v>223</v>
      </c>
      <c r="G34" s="845">
        <v>40544</v>
      </c>
      <c r="H34" s="845">
        <v>55153</v>
      </c>
      <c r="I34" s="844" t="str">
        <f t="shared" si="1"/>
        <v>active</v>
      </c>
      <c r="J34" s="844"/>
      <c r="K34" s="844" t="s">
        <v>183</v>
      </c>
      <c r="L34" s="846">
        <v>0.1</v>
      </c>
      <c r="M34" s="61">
        <v>0.03</v>
      </c>
      <c r="N34" s="847">
        <v>58000</v>
      </c>
      <c r="O34" s="847">
        <v>58000</v>
      </c>
      <c r="P34" s="314">
        <f t="shared" si="6"/>
        <v>59740</v>
      </c>
      <c r="Q34" s="314">
        <f t="shared" si="6"/>
        <v>61532.200000000004</v>
      </c>
      <c r="R34" s="314">
        <f t="shared" si="6"/>
        <v>63378.166000000005</v>
      </c>
    </row>
    <row r="35" spans="2:18" x14ac:dyDescent="0.25">
      <c r="B35" s="570">
        <v>1</v>
      </c>
      <c r="C35" s="844" t="s">
        <v>458</v>
      </c>
      <c r="D35" s="844" t="str">
        <f t="shared" si="2"/>
        <v xml:space="preserve">Bill </v>
      </c>
      <c r="E35" s="844" t="s">
        <v>1035</v>
      </c>
      <c r="F35" s="844" t="s">
        <v>223</v>
      </c>
      <c r="G35" s="845">
        <v>40544</v>
      </c>
      <c r="H35" s="845">
        <v>55153</v>
      </c>
      <c r="I35" s="844" t="str">
        <f t="shared" si="1"/>
        <v>active</v>
      </c>
      <c r="J35" s="844"/>
      <c r="K35" s="844" t="s">
        <v>183</v>
      </c>
      <c r="L35" s="846">
        <v>0.1</v>
      </c>
      <c r="M35" s="61">
        <v>0.03</v>
      </c>
      <c r="N35" s="847">
        <v>57000</v>
      </c>
      <c r="O35" s="847">
        <v>57000</v>
      </c>
      <c r="P35" s="314">
        <f t="shared" si="6"/>
        <v>58710</v>
      </c>
      <c r="Q35" s="314">
        <f t="shared" si="6"/>
        <v>60471.3</v>
      </c>
      <c r="R35" s="314">
        <f t="shared" si="6"/>
        <v>62285.439000000006</v>
      </c>
    </row>
    <row r="36" spans="2:18" x14ac:dyDescent="0.25">
      <c r="B36" s="570">
        <v>1</v>
      </c>
      <c r="C36" s="844" t="s">
        <v>367</v>
      </c>
      <c r="D36" s="844" t="str">
        <f t="shared" si="2"/>
        <v xml:space="preserve">Albert </v>
      </c>
      <c r="E36" s="844" t="s">
        <v>1036</v>
      </c>
      <c r="F36" s="844" t="s">
        <v>223</v>
      </c>
      <c r="G36" s="845">
        <v>40179</v>
      </c>
      <c r="H36" s="845">
        <v>55153</v>
      </c>
      <c r="I36" s="844" t="str">
        <f t="shared" si="1"/>
        <v>active</v>
      </c>
      <c r="J36" s="844"/>
      <c r="K36" s="844" t="s">
        <v>365</v>
      </c>
      <c r="L36" s="846">
        <v>0.1</v>
      </c>
      <c r="M36" s="61">
        <v>0.03</v>
      </c>
      <c r="N36" s="847">
        <v>72000</v>
      </c>
      <c r="O36" s="847">
        <v>90000</v>
      </c>
      <c r="P36" s="314">
        <f t="shared" si="6"/>
        <v>92700</v>
      </c>
      <c r="Q36" s="314">
        <f t="shared" si="6"/>
        <v>95481</v>
      </c>
      <c r="R36" s="314">
        <f t="shared" si="6"/>
        <v>98345.430000000008</v>
      </c>
    </row>
    <row r="37" spans="2:18" x14ac:dyDescent="0.25">
      <c r="B37" s="570">
        <v>1</v>
      </c>
      <c r="C37" s="844" t="s">
        <v>699</v>
      </c>
      <c r="D37" s="844" t="str">
        <f t="shared" si="2"/>
        <v xml:space="preserve">Elias </v>
      </c>
      <c r="E37" s="844" t="s">
        <v>1037</v>
      </c>
      <c r="F37" s="844" t="s">
        <v>223</v>
      </c>
      <c r="G37" s="845">
        <v>41324</v>
      </c>
      <c r="H37" s="845">
        <v>55153</v>
      </c>
      <c r="I37" s="844" t="str">
        <f t="shared" si="1"/>
        <v>active</v>
      </c>
      <c r="J37" s="844"/>
      <c r="K37" s="844" t="s">
        <v>183</v>
      </c>
      <c r="L37" s="846">
        <v>0.1</v>
      </c>
      <c r="M37" s="61">
        <v>0.03</v>
      </c>
      <c r="N37" s="847">
        <v>45000</v>
      </c>
      <c r="O37" s="847">
        <v>45000</v>
      </c>
      <c r="P37" s="314">
        <f t="shared" si="6"/>
        <v>46350</v>
      </c>
      <c r="Q37" s="314">
        <f t="shared" si="6"/>
        <v>47740.5</v>
      </c>
      <c r="R37" s="314">
        <f t="shared" si="6"/>
        <v>49172.715000000004</v>
      </c>
    </row>
    <row r="38" spans="2:18" x14ac:dyDescent="0.25">
      <c r="B38" s="570">
        <v>1</v>
      </c>
      <c r="C38" s="844" t="s">
        <v>700</v>
      </c>
      <c r="D38" s="844" t="str">
        <f t="shared" si="2"/>
        <v xml:space="preserve">Joshua </v>
      </c>
      <c r="E38" s="844" t="s">
        <v>1038</v>
      </c>
      <c r="F38" s="844" t="s">
        <v>223</v>
      </c>
      <c r="G38" s="845">
        <v>41317</v>
      </c>
      <c r="H38" s="845">
        <v>55153</v>
      </c>
      <c r="I38" s="844" t="str">
        <f t="shared" si="1"/>
        <v>active</v>
      </c>
      <c r="J38" s="844"/>
      <c r="K38" s="844" t="s">
        <v>183</v>
      </c>
      <c r="L38" s="846">
        <v>0.1</v>
      </c>
      <c r="M38" s="61">
        <v>0.03</v>
      </c>
      <c r="N38" s="847">
        <v>55000</v>
      </c>
      <c r="O38" s="847">
        <v>60000</v>
      </c>
      <c r="P38" s="314">
        <f t="shared" si="6"/>
        <v>61800</v>
      </c>
      <c r="Q38" s="314">
        <f t="shared" si="6"/>
        <v>63654</v>
      </c>
      <c r="R38" s="314">
        <f t="shared" si="6"/>
        <v>65563.62</v>
      </c>
    </row>
    <row r="39" spans="2:18" x14ac:dyDescent="0.25">
      <c r="B39" s="570">
        <v>1</v>
      </c>
      <c r="C39" s="844" t="s">
        <v>1185</v>
      </c>
      <c r="D39" s="844" t="str">
        <f t="shared" si="2"/>
        <v xml:space="preserve">Michael </v>
      </c>
      <c r="E39" s="570" t="s">
        <v>1184</v>
      </c>
      <c r="F39" s="844" t="s">
        <v>223</v>
      </c>
      <c r="G39" s="845">
        <v>41324</v>
      </c>
      <c r="H39" s="845">
        <v>55153</v>
      </c>
      <c r="I39" s="844" t="str">
        <f t="shared" si="1"/>
        <v>active</v>
      </c>
      <c r="J39" s="844"/>
      <c r="K39" s="844" t="s">
        <v>365</v>
      </c>
      <c r="L39" s="846">
        <v>0.1</v>
      </c>
      <c r="M39" s="61">
        <v>0.03</v>
      </c>
      <c r="N39" s="847">
        <v>60000</v>
      </c>
      <c r="O39" s="847">
        <v>60000</v>
      </c>
      <c r="P39" s="314">
        <f t="shared" si="6"/>
        <v>61800</v>
      </c>
      <c r="Q39" s="314">
        <f t="shared" si="6"/>
        <v>63654</v>
      </c>
      <c r="R39" s="314">
        <f t="shared" si="6"/>
        <v>65563.62</v>
      </c>
    </row>
    <row r="40" spans="2:18" x14ac:dyDescent="0.25">
      <c r="B40" s="570">
        <v>1</v>
      </c>
      <c r="C40" s="844" t="s">
        <v>704</v>
      </c>
      <c r="D40" s="844" t="str">
        <f t="shared" si="2"/>
        <v xml:space="preserve">Ryan </v>
      </c>
      <c r="E40" s="844" t="s">
        <v>1039</v>
      </c>
      <c r="F40" s="844" t="s">
        <v>223</v>
      </c>
      <c r="G40" s="845">
        <v>41324</v>
      </c>
      <c r="H40" s="845">
        <v>41582</v>
      </c>
      <c r="I40" s="844" t="str">
        <f t="shared" si="1"/>
        <v>terminated</v>
      </c>
      <c r="J40" s="844"/>
      <c r="K40" s="844" t="s">
        <v>365</v>
      </c>
      <c r="L40" s="846">
        <v>0.1</v>
      </c>
      <c r="M40" s="61">
        <v>0.03</v>
      </c>
      <c r="N40" s="847">
        <v>45000</v>
      </c>
      <c r="O40" s="847">
        <v>45000</v>
      </c>
      <c r="P40" s="314">
        <f t="shared" si="6"/>
        <v>46350</v>
      </c>
      <c r="Q40" s="314">
        <f t="shared" si="6"/>
        <v>47740.5</v>
      </c>
      <c r="R40" s="314">
        <f t="shared" si="6"/>
        <v>49172.715000000004</v>
      </c>
    </row>
    <row r="41" spans="2:18" x14ac:dyDescent="0.25">
      <c r="B41" s="570">
        <v>1</v>
      </c>
      <c r="C41" s="844" t="s">
        <v>476</v>
      </c>
      <c r="D41" s="844" t="str">
        <f t="shared" si="2"/>
        <v xml:space="preserve">Catherine </v>
      </c>
      <c r="E41" s="844" t="s">
        <v>1043</v>
      </c>
      <c r="F41" s="844" t="s">
        <v>66</v>
      </c>
      <c r="G41" s="845">
        <v>40544</v>
      </c>
      <c r="H41" s="845">
        <v>55153</v>
      </c>
      <c r="I41" s="844" t="str">
        <f t="shared" si="1"/>
        <v>active</v>
      </c>
      <c r="J41" s="844"/>
      <c r="K41" s="844" t="s">
        <v>183</v>
      </c>
      <c r="L41" s="846">
        <v>0.1</v>
      </c>
      <c r="M41" s="61">
        <v>0.03</v>
      </c>
      <c r="N41" s="847">
        <v>60000</v>
      </c>
      <c r="O41" s="847">
        <v>80000</v>
      </c>
      <c r="P41" s="314">
        <f t="shared" ref="P41:R56" si="13">IF($P$4&gt;$G41,(O41*(1+$M41)),0)</f>
        <v>82400</v>
      </c>
      <c r="Q41" s="314">
        <f t="shared" si="13"/>
        <v>84872</v>
      </c>
      <c r="R41" s="314">
        <f t="shared" si="13"/>
        <v>87418.16</v>
      </c>
    </row>
    <row r="42" spans="2:18" x14ac:dyDescent="0.25">
      <c r="B42" s="570">
        <v>1</v>
      </c>
      <c r="C42" s="844" t="s">
        <v>478</v>
      </c>
      <c r="D42" s="844" t="str">
        <f t="shared" si="2"/>
        <v xml:space="preserve">Dmitrii </v>
      </c>
      <c r="E42" s="570" t="s">
        <v>1186</v>
      </c>
      <c r="F42" s="844" t="s">
        <v>66</v>
      </c>
      <c r="G42" s="845">
        <v>40179</v>
      </c>
      <c r="H42" s="845">
        <v>55153</v>
      </c>
      <c r="I42" s="844" t="str">
        <f t="shared" si="1"/>
        <v>active</v>
      </c>
      <c r="J42" s="844"/>
      <c r="K42" s="844" t="s">
        <v>365</v>
      </c>
      <c r="L42" s="846">
        <v>0.1</v>
      </c>
      <c r="M42" s="61">
        <v>0.03</v>
      </c>
      <c r="N42" s="847">
        <v>60000</v>
      </c>
      <c r="O42" s="847">
        <v>60000</v>
      </c>
      <c r="P42" s="314">
        <f t="shared" si="13"/>
        <v>61800</v>
      </c>
      <c r="Q42" s="314">
        <f t="shared" si="13"/>
        <v>63654</v>
      </c>
      <c r="R42" s="314">
        <f t="shared" si="13"/>
        <v>65563.62</v>
      </c>
    </row>
    <row r="43" spans="2:18" x14ac:dyDescent="0.25">
      <c r="B43" s="570">
        <v>1</v>
      </c>
      <c r="C43" s="844" t="s">
        <v>526</v>
      </c>
      <c r="D43" s="844" t="str">
        <f t="shared" si="2"/>
        <v xml:space="preserve">Jeffrey </v>
      </c>
      <c r="E43" s="844" t="s">
        <v>1044</v>
      </c>
      <c r="F43" s="844" t="s">
        <v>66</v>
      </c>
      <c r="G43" s="845">
        <v>41350</v>
      </c>
      <c r="H43" s="845">
        <v>55153</v>
      </c>
      <c r="I43" s="844" t="str">
        <f t="shared" si="1"/>
        <v>active</v>
      </c>
      <c r="J43" s="844"/>
      <c r="K43" s="844" t="s">
        <v>183</v>
      </c>
      <c r="L43" s="846">
        <v>0.1</v>
      </c>
      <c r="M43" s="61">
        <v>0.03</v>
      </c>
      <c r="N43" s="847">
        <v>80000</v>
      </c>
      <c r="O43" s="847">
        <v>80000</v>
      </c>
      <c r="P43" s="314">
        <f t="shared" si="13"/>
        <v>82400</v>
      </c>
      <c r="Q43" s="314">
        <f t="shared" si="13"/>
        <v>84872</v>
      </c>
      <c r="R43" s="314">
        <f t="shared" si="13"/>
        <v>87418.16</v>
      </c>
    </row>
    <row r="44" spans="2:18" x14ac:dyDescent="0.25">
      <c r="B44" s="570">
        <v>1</v>
      </c>
      <c r="C44" s="844" t="s">
        <v>487</v>
      </c>
      <c r="D44" s="844" t="str">
        <f t="shared" si="2"/>
        <v xml:space="preserve">Jeffrey </v>
      </c>
      <c r="E44" s="844" t="s">
        <v>1045</v>
      </c>
      <c r="F44" s="844" t="s">
        <v>66</v>
      </c>
      <c r="G44" s="845">
        <v>41091</v>
      </c>
      <c r="H44" s="845">
        <v>55153</v>
      </c>
      <c r="I44" s="844" t="str">
        <f t="shared" si="1"/>
        <v>active</v>
      </c>
      <c r="J44" s="844"/>
      <c r="K44" s="844" t="s">
        <v>183</v>
      </c>
      <c r="L44" s="846">
        <v>0.1</v>
      </c>
      <c r="M44" s="61">
        <v>0.03</v>
      </c>
      <c r="N44" s="847">
        <v>95000</v>
      </c>
      <c r="O44" s="847">
        <v>95000</v>
      </c>
      <c r="P44" s="314">
        <f t="shared" si="13"/>
        <v>97850</v>
      </c>
      <c r="Q44" s="314">
        <f t="shared" si="13"/>
        <v>100785.5</v>
      </c>
      <c r="R44" s="314">
        <f t="shared" si="13"/>
        <v>103809.065</v>
      </c>
    </row>
    <row r="45" spans="2:18" x14ac:dyDescent="0.25">
      <c r="B45" s="570">
        <v>1</v>
      </c>
      <c r="C45" s="844" t="s">
        <v>485</v>
      </c>
      <c r="D45" s="844" t="str">
        <f t="shared" si="2"/>
        <v xml:space="preserve">Thomas </v>
      </c>
      <c r="E45" s="570" t="s">
        <v>1187</v>
      </c>
      <c r="F45" s="844" t="s">
        <v>66</v>
      </c>
      <c r="G45" s="845">
        <v>40544</v>
      </c>
      <c r="H45" s="845">
        <v>55153</v>
      </c>
      <c r="I45" s="844" t="str">
        <f t="shared" si="1"/>
        <v>active</v>
      </c>
      <c r="J45" s="844"/>
      <c r="K45" s="844" t="s">
        <v>183</v>
      </c>
      <c r="L45" s="846">
        <v>0.1</v>
      </c>
      <c r="M45" s="61">
        <v>0.03</v>
      </c>
      <c r="N45" s="847">
        <v>105000</v>
      </c>
      <c r="O45" s="847">
        <v>115000</v>
      </c>
      <c r="P45" s="314">
        <f t="shared" si="13"/>
        <v>118450</v>
      </c>
      <c r="Q45" s="314">
        <f t="shared" si="13"/>
        <v>122003.5</v>
      </c>
      <c r="R45" s="314">
        <f t="shared" si="13"/>
        <v>125663.60500000001</v>
      </c>
    </row>
    <row r="46" spans="2:18" x14ac:dyDescent="0.25">
      <c r="B46" s="570">
        <v>1</v>
      </c>
      <c r="C46" s="844" t="s">
        <v>468</v>
      </c>
      <c r="D46" s="844" t="str">
        <f t="shared" si="2"/>
        <v xml:space="preserve">Charles </v>
      </c>
      <c r="E46" s="844" t="s">
        <v>1025</v>
      </c>
      <c r="F46" s="844" t="s">
        <v>66</v>
      </c>
      <c r="G46" s="845">
        <v>41106</v>
      </c>
      <c r="H46" s="845">
        <v>55153</v>
      </c>
      <c r="I46" s="844" t="str">
        <f t="shared" si="1"/>
        <v>active</v>
      </c>
      <c r="J46" s="844"/>
      <c r="K46" s="844" t="s">
        <v>183</v>
      </c>
      <c r="L46" s="846">
        <v>0.1</v>
      </c>
      <c r="M46" s="61">
        <v>0.03</v>
      </c>
      <c r="N46" s="847">
        <v>145000</v>
      </c>
      <c r="O46" s="847">
        <v>45000</v>
      </c>
      <c r="P46" s="314">
        <f t="shared" si="13"/>
        <v>46350</v>
      </c>
      <c r="Q46" s="314">
        <f t="shared" si="13"/>
        <v>47740.5</v>
      </c>
      <c r="R46" s="314">
        <f t="shared" si="13"/>
        <v>49172.715000000004</v>
      </c>
    </row>
    <row r="47" spans="2:18" x14ac:dyDescent="0.25">
      <c r="B47" s="570">
        <v>1</v>
      </c>
      <c r="C47" s="844" t="s">
        <v>371</v>
      </c>
      <c r="D47" s="844" t="str">
        <f t="shared" si="2"/>
        <v xml:space="preserve">Evan </v>
      </c>
      <c r="E47" s="844" t="s">
        <v>1046</v>
      </c>
      <c r="F47" s="844" t="s">
        <v>66</v>
      </c>
      <c r="G47" s="845">
        <v>41214</v>
      </c>
      <c r="H47" s="845">
        <v>55153</v>
      </c>
      <c r="I47" s="844" t="str">
        <f t="shared" si="1"/>
        <v>active</v>
      </c>
      <c r="J47" s="844"/>
      <c r="K47" s="844" t="s">
        <v>372</v>
      </c>
      <c r="L47" s="846">
        <v>0.1</v>
      </c>
      <c r="M47" s="61">
        <v>0.03</v>
      </c>
      <c r="N47" s="847">
        <v>140000</v>
      </c>
      <c r="O47" s="847">
        <v>144200</v>
      </c>
      <c r="P47" s="314">
        <f t="shared" si="13"/>
        <v>148526</v>
      </c>
      <c r="Q47" s="314">
        <f t="shared" si="13"/>
        <v>152981.78</v>
      </c>
      <c r="R47" s="314">
        <f t="shared" si="13"/>
        <v>157571.2334</v>
      </c>
    </row>
    <row r="48" spans="2:18" x14ac:dyDescent="0.25">
      <c r="B48" s="570">
        <v>1</v>
      </c>
      <c r="C48" s="844" t="s">
        <v>461</v>
      </c>
      <c r="D48" s="844" t="str">
        <f t="shared" si="2"/>
        <v xml:space="preserve">John </v>
      </c>
      <c r="E48" s="844" t="s">
        <v>1047</v>
      </c>
      <c r="F48" s="844" t="s">
        <v>66</v>
      </c>
      <c r="G48" s="845">
        <v>41106</v>
      </c>
      <c r="H48" s="845">
        <v>55153</v>
      </c>
      <c r="I48" s="844" t="str">
        <f t="shared" si="1"/>
        <v>active</v>
      </c>
      <c r="J48" s="844"/>
      <c r="K48" s="844" t="s">
        <v>183</v>
      </c>
      <c r="L48" s="846">
        <v>0.1</v>
      </c>
      <c r="M48" s="61">
        <v>0.03</v>
      </c>
      <c r="N48" s="847">
        <v>150000</v>
      </c>
      <c r="O48" s="847">
        <v>150000</v>
      </c>
      <c r="P48" s="314">
        <f t="shared" si="13"/>
        <v>154500</v>
      </c>
      <c r="Q48" s="314">
        <f t="shared" si="13"/>
        <v>159135</v>
      </c>
      <c r="R48" s="314">
        <f t="shared" si="13"/>
        <v>163909.05000000002</v>
      </c>
    </row>
    <row r="49" spans="2:18" x14ac:dyDescent="0.25">
      <c r="B49" s="570">
        <v>1</v>
      </c>
      <c r="C49" s="844" t="s">
        <v>527</v>
      </c>
      <c r="D49" s="844" t="str">
        <f t="shared" si="2"/>
        <v xml:space="preserve">Lubya </v>
      </c>
      <c r="E49" s="844" t="s">
        <v>1040</v>
      </c>
      <c r="F49" s="844" t="s">
        <v>66</v>
      </c>
      <c r="G49" s="845">
        <v>41334</v>
      </c>
      <c r="H49" s="845">
        <v>55153</v>
      </c>
      <c r="I49" s="844" t="str">
        <f t="shared" si="1"/>
        <v>active</v>
      </c>
      <c r="J49" s="844"/>
      <c r="K49" s="844" t="s">
        <v>365</v>
      </c>
      <c r="L49" s="846">
        <v>0.1</v>
      </c>
      <c r="M49" s="61">
        <v>0.03</v>
      </c>
      <c r="N49" s="847">
        <v>150000</v>
      </c>
      <c r="O49" s="847">
        <v>150000</v>
      </c>
      <c r="P49" s="314">
        <f t="shared" si="13"/>
        <v>154500</v>
      </c>
      <c r="Q49" s="314">
        <f t="shared" si="13"/>
        <v>159135</v>
      </c>
      <c r="R49" s="314">
        <f t="shared" si="13"/>
        <v>163909.05000000002</v>
      </c>
    </row>
    <row r="50" spans="2:18" x14ac:dyDescent="0.25">
      <c r="B50" s="570">
        <v>1</v>
      </c>
      <c r="C50" s="844" t="s">
        <v>464</v>
      </c>
      <c r="D50" s="844" t="str">
        <f t="shared" si="2"/>
        <v xml:space="preserve">Dan </v>
      </c>
      <c r="E50" s="844" t="s">
        <v>1048</v>
      </c>
      <c r="F50" s="844" t="s">
        <v>66</v>
      </c>
      <c r="G50" s="845">
        <v>40544</v>
      </c>
      <c r="H50" s="845">
        <v>41544</v>
      </c>
      <c r="I50" s="844" t="str">
        <f t="shared" si="1"/>
        <v>terminated</v>
      </c>
      <c r="J50" s="844"/>
      <c r="K50" s="844" t="s">
        <v>183</v>
      </c>
      <c r="L50" s="846">
        <v>0.1</v>
      </c>
      <c r="M50" s="61">
        <v>0.03</v>
      </c>
      <c r="N50" s="847">
        <v>190000</v>
      </c>
      <c r="O50" s="847">
        <v>190000</v>
      </c>
      <c r="P50" s="314">
        <f t="shared" si="13"/>
        <v>195700</v>
      </c>
      <c r="Q50" s="314">
        <f t="shared" si="13"/>
        <v>201571</v>
      </c>
      <c r="R50" s="314">
        <f t="shared" si="13"/>
        <v>207618.13</v>
      </c>
    </row>
    <row r="51" spans="2:18" x14ac:dyDescent="0.25">
      <c r="B51" s="570">
        <v>1</v>
      </c>
      <c r="C51" s="844" t="s">
        <v>481</v>
      </c>
      <c r="D51" s="844" t="str">
        <f t="shared" si="2"/>
        <v xml:space="preserve">Punit </v>
      </c>
      <c r="E51" s="844" t="s">
        <v>1049</v>
      </c>
      <c r="F51" s="844" t="s">
        <v>66</v>
      </c>
      <c r="G51" s="845">
        <v>40544</v>
      </c>
      <c r="H51" s="845">
        <v>55153</v>
      </c>
      <c r="I51" s="844" t="str">
        <f t="shared" si="1"/>
        <v>active</v>
      </c>
      <c r="J51" s="844"/>
      <c r="K51" s="844" t="s">
        <v>183</v>
      </c>
      <c r="L51" s="846">
        <v>0.45</v>
      </c>
      <c r="M51" s="61">
        <v>0.03</v>
      </c>
      <c r="N51" s="847">
        <v>275000</v>
      </c>
      <c r="O51" s="847">
        <v>275000</v>
      </c>
      <c r="P51" s="314">
        <f t="shared" si="13"/>
        <v>283250</v>
      </c>
      <c r="Q51" s="314">
        <f t="shared" si="13"/>
        <v>291747.5</v>
      </c>
      <c r="R51" s="314">
        <f t="shared" si="13"/>
        <v>300499.92499999999</v>
      </c>
    </row>
    <row r="52" spans="2:18" x14ac:dyDescent="0.25">
      <c r="B52" s="570">
        <v>1</v>
      </c>
      <c r="C52" s="844" t="s">
        <v>483</v>
      </c>
      <c r="D52" s="844" t="str">
        <f t="shared" si="2"/>
        <v xml:space="preserve">Vijesh </v>
      </c>
      <c r="E52" s="844" t="s">
        <v>1050</v>
      </c>
      <c r="F52" s="844" t="s">
        <v>66</v>
      </c>
      <c r="G52" s="845">
        <v>40544</v>
      </c>
      <c r="H52" s="845">
        <v>55153</v>
      </c>
      <c r="I52" s="844" t="str">
        <f t="shared" si="1"/>
        <v>active</v>
      </c>
      <c r="J52" s="844"/>
      <c r="K52" s="844" t="s">
        <v>183</v>
      </c>
      <c r="L52" s="846">
        <v>0.45</v>
      </c>
      <c r="M52" s="61">
        <v>0.03</v>
      </c>
      <c r="N52" s="847">
        <v>275000</v>
      </c>
      <c r="O52" s="847">
        <v>275000</v>
      </c>
      <c r="P52" s="314">
        <f t="shared" si="13"/>
        <v>283250</v>
      </c>
      <c r="Q52" s="314">
        <f t="shared" si="13"/>
        <v>291747.5</v>
      </c>
      <c r="R52" s="314">
        <f t="shared" si="13"/>
        <v>300499.92499999999</v>
      </c>
    </row>
    <row r="53" spans="2:18" x14ac:dyDescent="0.25">
      <c r="B53" s="570">
        <v>1</v>
      </c>
      <c r="C53" s="844" t="s">
        <v>705</v>
      </c>
      <c r="D53" s="844" t="str">
        <f t="shared" si="2"/>
        <v xml:space="preserve">Shane </v>
      </c>
      <c r="E53" s="844" t="s">
        <v>1051</v>
      </c>
      <c r="F53" s="844" t="s">
        <v>340</v>
      </c>
      <c r="G53" s="845">
        <v>41334</v>
      </c>
      <c r="H53" s="845">
        <v>55153</v>
      </c>
      <c r="I53" s="844" t="str">
        <f t="shared" si="1"/>
        <v>active</v>
      </c>
      <c r="J53" s="844"/>
      <c r="K53" s="844" t="s">
        <v>183</v>
      </c>
      <c r="L53" s="846">
        <v>0.1</v>
      </c>
      <c r="M53" s="61">
        <v>0.03</v>
      </c>
      <c r="N53" s="847">
        <v>150000</v>
      </c>
      <c r="O53" s="847">
        <v>160000</v>
      </c>
      <c r="P53" s="314">
        <f t="shared" si="13"/>
        <v>164800</v>
      </c>
      <c r="Q53" s="314">
        <f t="shared" si="13"/>
        <v>169744</v>
      </c>
      <c r="R53" s="314">
        <f t="shared" si="13"/>
        <v>174836.32</v>
      </c>
    </row>
    <row r="54" spans="2:18" x14ac:dyDescent="0.25">
      <c r="B54" s="570">
        <v>1</v>
      </c>
      <c r="C54" s="844" t="s">
        <v>783</v>
      </c>
      <c r="D54" s="844" t="str">
        <f t="shared" si="2"/>
        <v xml:space="preserve">Jennifer </v>
      </c>
      <c r="E54" s="844" t="s">
        <v>1052</v>
      </c>
      <c r="F54" s="844" t="s">
        <v>3</v>
      </c>
      <c r="G54" s="845">
        <v>41498</v>
      </c>
      <c r="H54" s="845">
        <v>55153</v>
      </c>
      <c r="I54" s="844" t="str">
        <f t="shared" si="1"/>
        <v>active</v>
      </c>
      <c r="J54" s="844"/>
      <c r="K54" s="844" t="s">
        <v>365</v>
      </c>
      <c r="L54" s="846">
        <v>0.1</v>
      </c>
      <c r="M54" s="61">
        <v>0.03</v>
      </c>
      <c r="N54" s="847">
        <v>115000</v>
      </c>
      <c r="O54" s="847">
        <v>115000</v>
      </c>
      <c r="P54" s="314">
        <f t="shared" si="13"/>
        <v>118450</v>
      </c>
      <c r="Q54" s="314">
        <f t="shared" si="13"/>
        <v>122003.5</v>
      </c>
      <c r="R54" s="314">
        <f t="shared" si="13"/>
        <v>125663.60500000001</v>
      </c>
    </row>
    <row r="55" spans="2:18" x14ac:dyDescent="0.25">
      <c r="B55" s="570">
        <v>1</v>
      </c>
      <c r="C55" s="844" t="s">
        <v>786</v>
      </c>
      <c r="D55" s="844" t="str">
        <f t="shared" si="2"/>
        <v xml:space="preserve">Shawn </v>
      </c>
      <c r="E55" s="844" t="s">
        <v>1053</v>
      </c>
      <c r="F55" s="844" t="s">
        <v>223</v>
      </c>
      <c r="G55" s="845">
        <v>41505</v>
      </c>
      <c r="H55" s="845">
        <v>55153</v>
      </c>
      <c r="I55" s="844" t="str">
        <f t="shared" si="1"/>
        <v>active</v>
      </c>
      <c r="J55" s="844"/>
      <c r="K55" s="844" t="s">
        <v>183</v>
      </c>
      <c r="L55" s="846">
        <v>0.1</v>
      </c>
      <c r="M55" s="61">
        <v>0.03</v>
      </c>
      <c r="N55" s="847">
        <v>85000</v>
      </c>
      <c r="O55" s="847">
        <v>85000</v>
      </c>
      <c r="P55" s="314">
        <f t="shared" si="13"/>
        <v>87550</v>
      </c>
      <c r="Q55" s="314">
        <f t="shared" si="13"/>
        <v>90176.5</v>
      </c>
      <c r="R55" s="314">
        <f t="shared" si="13"/>
        <v>92881.794999999998</v>
      </c>
    </row>
    <row r="56" spans="2:18" x14ac:dyDescent="0.25">
      <c r="B56" s="570">
        <v>1</v>
      </c>
      <c r="C56" s="844" t="s">
        <v>787</v>
      </c>
      <c r="D56" s="844" t="str">
        <f t="shared" si="2"/>
        <v xml:space="preserve">Sean </v>
      </c>
      <c r="E56" s="844" t="s">
        <v>1054</v>
      </c>
      <c r="F56" s="844" t="s">
        <v>223</v>
      </c>
      <c r="G56" s="845">
        <v>41435</v>
      </c>
      <c r="H56" s="845">
        <v>55153</v>
      </c>
      <c r="I56" s="844" t="str">
        <f t="shared" si="1"/>
        <v>active</v>
      </c>
      <c r="J56" s="844"/>
      <c r="K56" s="844" t="s">
        <v>183</v>
      </c>
      <c r="L56" s="846">
        <v>0.1</v>
      </c>
      <c r="M56" s="61">
        <v>0.03</v>
      </c>
      <c r="N56" s="847">
        <v>40000</v>
      </c>
      <c r="O56" s="847">
        <v>45000</v>
      </c>
      <c r="P56" s="314">
        <f t="shared" si="13"/>
        <v>46350</v>
      </c>
      <c r="Q56" s="314">
        <f t="shared" si="13"/>
        <v>47740.5</v>
      </c>
      <c r="R56" s="314">
        <f t="shared" si="13"/>
        <v>49172.715000000004</v>
      </c>
    </row>
    <row r="57" spans="2:18" x14ac:dyDescent="0.25">
      <c r="B57" s="570">
        <v>1</v>
      </c>
      <c r="C57" s="848" t="s">
        <v>1055</v>
      </c>
      <c r="D57" s="848" t="str">
        <f t="shared" si="2"/>
        <v xml:space="preserve">Jeff </v>
      </c>
      <c r="E57" s="848" t="s">
        <v>1056</v>
      </c>
      <c r="F57" s="848" t="s">
        <v>4</v>
      </c>
      <c r="G57" s="305">
        <v>41548</v>
      </c>
      <c r="H57" s="845">
        <v>55153</v>
      </c>
      <c r="I57" s="844" t="str">
        <f t="shared" si="1"/>
        <v>active</v>
      </c>
      <c r="J57" s="844"/>
      <c r="K57" s="848" t="s">
        <v>183</v>
      </c>
      <c r="L57" s="846">
        <v>0.1</v>
      </c>
      <c r="M57" s="61">
        <v>0.03</v>
      </c>
      <c r="N57" s="314">
        <v>155000</v>
      </c>
      <c r="O57" s="314">
        <v>155000.04</v>
      </c>
      <c r="P57" s="314">
        <f t="shared" ref="P57:R57" si="14">IF($P$4&gt;$G57,(O57*(1+$M57)),0)</f>
        <v>159650.04120000001</v>
      </c>
      <c r="Q57" s="314">
        <f t="shared" si="14"/>
        <v>164439.54243600002</v>
      </c>
      <c r="R57" s="314">
        <f t="shared" si="14"/>
        <v>169372.72870908002</v>
      </c>
    </row>
    <row r="58" spans="2:18" x14ac:dyDescent="0.25">
      <c r="B58" s="570">
        <v>1</v>
      </c>
      <c r="C58" s="848" t="s">
        <v>1144</v>
      </c>
      <c r="D58" s="848" t="str">
        <f t="shared" si="2"/>
        <v xml:space="preserve">Ian </v>
      </c>
      <c r="E58" s="848" t="s">
        <v>1145</v>
      </c>
      <c r="F58" s="848" t="s">
        <v>66</v>
      </c>
      <c r="G58" s="305">
        <v>41666</v>
      </c>
      <c r="H58" s="845">
        <v>55153</v>
      </c>
      <c r="I58" s="844" t="str">
        <f t="shared" si="1"/>
        <v>active</v>
      </c>
      <c r="K58" s="848" t="s">
        <v>183</v>
      </c>
      <c r="L58" s="1027">
        <v>0.05</v>
      </c>
      <c r="M58" s="61">
        <v>0.03</v>
      </c>
      <c r="N58" s="314">
        <v>120000</v>
      </c>
      <c r="O58" s="314">
        <v>120000</v>
      </c>
      <c r="P58" s="314">
        <f t="shared" ref="P58:P59" si="15">IF($P$4&gt;$G58,(O58*(1+$M58)),0)</f>
        <v>123600</v>
      </c>
      <c r="Q58" s="314">
        <f t="shared" ref="Q58:Q59" si="16">IF($P$4&gt;$G58,(P58*(1+$M58)),0)</f>
        <v>127308</v>
      </c>
      <c r="R58" s="314">
        <f t="shared" ref="R58:R59" si="17">IF($P$4&gt;$G58,(Q58*(1+$M58)),0)</f>
        <v>131127.24</v>
      </c>
    </row>
    <row r="59" spans="2:18" x14ac:dyDescent="0.25">
      <c r="B59" s="570">
        <v>1</v>
      </c>
      <c r="C59" s="848" t="s">
        <v>1142</v>
      </c>
      <c r="D59" s="848" t="str">
        <f t="shared" si="2"/>
        <v xml:space="preserve">Mark </v>
      </c>
      <c r="E59" s="570" t="s">
        <v>1183</v>
      </c>
      <c r="F59" s="848" t="s">
        <v>4</v>
      </c>
      <c r="G59" s="305">
        <v>41666</v>
      </c>
      <c r="H59" s="845">
        <v>55153</v>
      </c>
      <c r="I59" s="844" t="str">
        <f t="shared" si="1"/>
        <v>active</v>
      </c>
      <c r="K59" s="848" t="s">
        <v>183</v>
      </c>
      <c r="L59" s="1027">
        <v>0.1</v>
      </c>
      <c r="M59" s="61">
        <v>0.03</v>
      </c>
      <c r="N59" s="314">
        <v>130000</v>
      </c>
      <c r="O59" s="314">
        <v>130000</v>
      </c>
      <c r="P59" s="314">
        <f t="shared" si="15"/>
        <v>133900</v>
      </c>
      <c r="Q59" s="314">
        <f t="shared" si="16"/>
        <v>137917</v>
      </c>
      <c r="R59" s="314">
        <f t="shared" si="17"/>
        <v>142054.51</v>
      </c>
    </row>
    <row r="60" spans="2:18" x14ac:dyDescent="0.25">
      <c r="B60" s="168">
        <v>1</v>
      </c>
      <c r="C60" s="848" t="s">
        <v>1141</v>
      </c>
      <c r="D60" s="848" t="str">
        <f t="shared" si="2"/>
        <v xml:space="preserve">Barbara </v>
      </c>
      <c r="E60" s="168" t="s">
        <v>1143</v>
      </c>
      <c r="F60" s="848" t="s">
        <v>4</v>
      </c>
      <c r="G60" s="305">
        <v>41666</v>
      </c>
      <c r="H60" s="845">
        <v>55153</v>
      </c>
      <c r="I60" s="844" t="str">
        <f t="shared" si="1"/>
        <v>active</v>
      </c>
      <c r="K60" s="848" t="s">
        <v>183</v>
      </c>
      <c r="L60" s="1027">
        <v>0.45</v>
      </c>
      <c r="M60" s="61">
        <v>0.03</v>
      </c>
      <c r="N60" s="314">
        <v>275000</v>
      </c>
      <c r="O60" s="314">
        <v>275000</v>
      </c>
      <c r="P60" s="314">
        <f t="shared" ref="P60:R62" si="18">IF($P$4&gt;$G60,(O60*(1+$M60)),0)</f>
        <v>283250</v>
      </c>
      <c r="Q60" s="314">
        <f t="shared" si="18"/>
        <v>291747.5</v>
      </c>
      <c r="R60" s="314">
        <f t="shared" si="18"/>
        <v>300499.92499999999</v>
      </c>
    </row>
    <row r="61" spans="2:18" x14ac:dyDescent="0.25">
      <c r="B61" s="168">
        <v>1</v>
      </c>
      <c r="C61" s="848" t="s">
        <v>1174</v>
      </c>
      <c r="D61" s="848" t="str">
        <f t="shared" si="2"/>
        <v xml:space="preserve">Amit </v>
      </c>
      <c r="E61" s="168" t="s">
        <v>1175</v>
      </c>
      <c r="F61" s="848" t="s">
        <v>66</v>
      </c>
      <c r="G61" s="305">
        <v>41652</v>
      </c>
      <c r="H61" s="845">
        <v>55153</v>
      </c>
      <c r="I61" s="844" t="str">
        <f t="shared" si="1"/>
        <v>active</v>
      </c>
      <c r="K61" s="848" t="s">
        <v>183</v>
      </c>
      <c r="L61" s="1027">
        <v>0.1</v>
      </c>
      <c r="M61" s="61">
        <v>0.03</v>
      </c>
      <c r="N61" s="1137">
        <v>150000</v>
      </c>
      <c r="O61" s="1137">
        <v>145000</v>
      </c>
      <c r="P61" s="314">
        <f t="shared" si="18"/>
        <v>149350</v>
      </c>
      <c r="Q61" s="314">
        <f t="shared" si="18"/>
        <v>153830.5</v>
      </c>
      <c r="R61" s="314">
        <f t="shared" si="18"/>
        <v>158445.41500000001</v>
      </c>
    </row>
    <row r="62" spans="2:18" x14ac:dyDescent="0.25">
      <c r="B62" s="168">
        <v>1</v>
      </c>
      <c r="C62" s="848" t="s">
        <v>1172</v>
      </c>
      <c r="D62" s="848" t="str">
        <f t="shared" si="2"/>
        <v xml:space="preserve">Mike </v>
      </c>
      <c r="E62" s="168" t="s">
        <v>1173</v>
      </c>
      <c r="F62" s="848" t="s">
        <v>66</v>
      </c>
      <c r="G62" s="305">
        <v>41652</v>
      </c>
      <c r="H62" s="845">
        <v>55153</v>
      </c>
      <c r="I62" s="844" t="str">
        <f t="shared" si="1"/>
        <v>active</v>
      </c>
      <c r="K62" s="848" t="s">
        <v>183</v>
      </c>
      <c r="L62" s="1027">
        <v>0.1</v>
      </c>
      <c r="M62" s="61">
        <v>0.03</v>
      </c>
      <c r="N62" s="1137">
        <v>160000</v>
      </c>
      <c r="O62" s="1137">
        <v>160000</v>
      </c>
      <c r="P62" s="314">
        <f t="shared" si="18"/>
        <v>164800</v>
      </c>
      <c r="Q62" s="314">
        <f t="shared" si="18"/>
        <v>169744</v>
      </c>
      <c r="R62" s="314">
        <f t="shared" si="18"/>
        <v>174836.32</v>
      </c>
    </row>
    <row r="63" spans="2:18" x14ac:dyDescent="0.25">
      <c r="B63" s="168">
        <v>1</v>
      </c>
      <c r="C63" s="848" t="s">
        <v>1189</v>
      </c>
      <c r="D63" s="848" t="str">
        <f t="shared" si="2"/>
        <v xml:space="preserve">Marlon </v>
      </c>
      <c r="E63" s="168" t="s">
        <v>1195</v>
      </c>
      <c r="F63" s="848" t="s">
        <v>223</v>
      </c>
      <c r="G63" s="305">
        <v>41498</v>
      </c>
      <c r="H63" s="845">
        <v>55153</v>
      </c>
      <c r="I63" s="844" t="str">
        <f t="shared" si="1"/>
        <v>active</v>
      </c>
      <c r="K63" s="848" t="s">
        <v>365</v>
      </c>
      <c r="L63" s="1027">
        <v>0.1</v>
      </c>
      <c r="M63" s="61">
        <v>0.03</v>
      </c>
      <c r="N63" s="1138">
        <v>45000</v>
      </c>
      <c r="O63" s="1138">
        <v>45000</v>
      </c>
      <c r="P63" s="314">
        <f t="shared" ref="P63:P68" si="19">IF($P$4&gt;$G63,(O63*(1+$M63)),0)</f>
        <v>46350</v>
      </c>
      <c r="Q63" s="314">
        <f t="shared" ref="Q63:Q68" si="20">IF($P$4&gt;$G63,(P63*(1+$M63)),0)</f>
        <v>47740.5</v>
      </c>
      <c r="R63" s="314">
        <f t="shared" ref="R63:R68" si="21">IF($P$4&gt;$G63,(Q63*(1+$M63)),0)</f>
        <v>49172.715000000004</v>
      </c>
    </row>
    <row r="64" spans="2:18" x14ac:dyDescent="0.25">
      <c r="B64" s="168">
        <v>1</v>
      </c>
      <c r="C64" s="848" t="s">
        <v>1190</v>
      </c>
      <c r="D64" s="848" t="str">
        <f t="shared" si="2"/>
        <v xml:space="preserve">Michael </v>
      </c>
      <c r="E64" s="168" t="s">
        <v>1196</v>
      </c>
      <c r="F64" s="848" t="s">
        <v>66</v>
      </c>
      <c r="G64" s="305">
        <v>41568</v>
      </c>
      <c r="H64" s="845">
        <v>55153</v>
      </c>
      <c r="I64" s="844" t="str">
        <f t="shared" si="1"/>
        <v>active</v>
      </c>
      <c r="K64" s="848" t="s">
        <v>183</v>
      </c>
      <c r="L64" s="1027">
        <v>0.1</v>
      </c>
      <c r="M64" s="61">
        <v>0.03</v>
      </c>
      <c r="N64" s="1138">
        <v>175000</v>
      </c>
      <c r="O64" s="1138">
        <v>175000.02000000002</v>
      </c>
      <c r="P64" s="314">
        <f t="shared" si="19"/>
        <v>180250.02060000002</v>
      </c>
      <c r="Q64" s="314">
        <f t="shared" si="20"/>
        <v>185657.52121800001</v>
      </c>
      <c r="R64" s="314">
        <f t="shared" si="21"/>
        <v>191227.24685454002</v>
      </c>
    </row>
    <row r="65" spans="2:18" x14ac:dyDescent="0.25">
      <c r="B65" s="168">
        <v>1</v>
      </c>
      <c r="C65" s="848" t="s">
        <v>1191</v>
      </c>
      <c r="D65" s="848" t="str">
        <f t="shared" si="2"/>
        <v xml:space="preserve">David </v>
      </c>
      <c r="E65" s="168" t="s">
        <v>1197</v>
      </c>
      <c r="F65" s="848" t="s">
        <v>223</v>
      </c>
      <c r="G65" s="305">
        <v>41599</v>
      </c>
      <c r="H65" s="845">
        <v>55153</v>
      </c>
      <c r="I65" s="844" t="str">
        <f t="shared" si="1"/>
        <v>active</v>
      </c>
      <c r="K65" s="848" t="s">
        <v>365</v>
      </c>
      <c r="L65" s="1027">
        <v>0.1</v>
      </c>
      <c r="M65" s="61">
        <v>0.03</v>
      </c>
      <c r="N65" s="1138">
        <v>45000</v>
      </c>
      <c r="O65" s="1138">
        <v>45000</v>
      </c>
      <c r="P65" s="314">
        <f t="shared" si="19"/>
        <v>46350</v>
      </c>
      <c r="Q65" s="314">
        <f t="shared" si="20"/>
        <v>47740.5</v>
      </c>
      <c r="R65" s="314">
        <f t="shared" si="21"/>
        <v>49172.715000000004</v>
      </c>
    </row>
    <row r="66" spans="2:18" x14ac:dyDescent="0.25">
      <c r="B66" s="168">
        <v>1</v>
      </c>
      <c r="C66" s="848" t="s">
        <v>1192</v>
      </c>
      <c r="D66" s="848" t="str">
        <f t="shared" si="2"/>
        <v xml:space="preserve">Dane </v>
      </c>
      <c r="E66" s="168" t="s">
        <v>1198</v>
      </c>
      <c r="F66" s="848" t="s">
        <v>223</v>
      </c>
      <c r="G66" s="305">
        <v>41603</v>
      </c>
      <c r="H66" s="845">
        <v>55153</v>
      </c>
      <c r="I66" s="844" t="str">
        <f t="shared" si="1"/>
        <v>active</v>
      </c>
      <c r="K66" s="848" t="s">
        <v>183</v>
      </c>
      <c r="L66" s="1027">
        <v>0.1</v>
      </c>
      <c r="M66" s="61">
        <v>0.03</v>
      </c>
      <c r="N66" s="1138">
        <v>45000</v>
      </c>
      <c r="O66" s="1138">
        <v>45000</v>
      </c>
      <c r="P66" s="314">
        <f t="shared" si="19"/>
        <v>46350</v>
      </c>
      <c r="Q66" s="314">
        <f t="shared" si="20"/>
        <v>47740.5</v>
      </c>
      <c r="R66" s="314">
        <f t="shared" si="21"/>
        <v>49172.715000000004</v>
      </c>
    </row>
    <row r="67" spans="2:18" x14ac:dyDescent="0.25">
      <c r="B67" s="168">
        <v>1</v>
      </c>
      <c r="C67" s="848" t="s">
        <v>1193</v>
      </c>
      <c r="D67" s="848" t="str">
        <f t="shared" si="2"/>
        <v xml:space="preserve">Andres </v>
      </c>
      <c r="E67" s="168" t="s">
        <v>1199</v>
      </c>
      <c r="F67" s="848" t="s">
        <v>223</v>
      </c>
      <c r="G67" s="305">
        <v>41654</v>
      </c>
      <c r="H67" s="845">
        <v>55153</v>
      </c>
      <c r="I67" s="844" t="str">
        <f t="shared" si="1"/>
        <v>active</v>
      </c>
      <c r="K67" s="848" t="s">
        <v>183</v>
      </c>
      <c r="L67" s="1027">
        <v>0.1</v>
      </c>
      <c r="M67" s="61">
        <v>0.03</v>
      </c>
      <c r="N67" s="1138">
        <v>45000</v>
      </c>
      <c r="O67" s="1138">
        <v>45000</v>
      </c>
      <c r="P67" s="314">
        <f t="shared" si="19"/>
        <v>46350</v>
      </c>
      <c r="Q67" s="314">
        <f t="shared" si="20"/>
        <v>47740.5</v>
      </c>
      <c r="R67" s="314">
        <f t="shared" si="21"/>
        <v>49172.715000000004</v>
      </c>
    </row>
    <row r="68" spans="2:18" x14ac:dyDescent="0.25">
      <c r="B68" s="168">
        <v>1</v>
      </c>
      <c r="C68" s="848" t="s">
        <v>1194</v>
      </c>
      <c r="D68" s="848" t="str">
        <f t="shared" si="2"/>
        <v xml:space="preserve">Shahriar </v>
      </c>
      <c r="E68" s="168" t="s">
        <v>1200</v>
      </c>
      <c r="F68" s="848" t="s">
        <v>340</v>
      </c>
      <c r="G68" s="305">
        <v>41624</v>
      </c>
      <c r="H68" s="845">
        <v>55153</v>
      </c>
      <c r="I68" s="844" t="str">
        <f t="shared" si="1"/>
        <v>active</v>
      </c>
      <c r="K68" s="848" t="s">
        <v>183</v>
      </c>
      <c r="L68" s="1027">
        <v>0.1</v>
      </c>
      <c r="M68" s="61">
        <v>0.03</v>
      </c>
      <c r="N68" s="1138">
        <v>145000</v>
      </c>
      <c r="O68" s="1138">
        <v>145000</v>
      </c>
      <c r="P68" s="314">
        <f t="shared" si="19"/>
        <v>149350</v>
      </c>
      <c r="Q68" s="314">
        <f t="shared" si="20"/>
        <v>153830.5</v>
      </c>
      <c r="R68" s="314">
        <f t="shared" si="21"/>
        <v>158445.41500000001</v>
      </c>
    </row>
    <row r="69" spans="2:18" x14ac:dyDescent="0.25">
      <c r="B69" s="168">
        <v>1</v>
      </c>
      <c r="C69" s="570" t="s">
        <v>1202</v>
      </c>
      <c r="D69" s="848" t="str">
        <f t="shared" si="2"/>
        <v xml:space="preserve">Ann </v>
      </c>
      <c r="E69" s="168" t="s">
        <v>1205</v>
      </c>
      <c r="F69" s="570" t="s">
        <v>66</v>
      </c>
      <c r="G69" s="305">
        <v>40179</v>
      </c>
      <c r="H69" s="845">
        <v>55153</v>
      </c>
      <c r="I69" s="844" t="str">
        <f t="shared" si="1"/>
        <v>active</v>
      </c>
      <c r="K69" s="848" t="s">
        <v>362</v>
      </c>
      <c r="L69" s="1027">
        <v>0.1</v>
      </c>
      <c r="M69" s="61">
        <v>0.03</v>
      </c>
      <c r="N69" s="314">
        <v>24486.84</v>
      </c>
      <c r="O69" s="314">
        <v>24486.84</v>
      </c>
      <c r="P69" s="314">
        <v>24486.84</v>
      </c>
      <c r="Q69" s="314">
        <f t="shared" ref="Q69" si="22">IF($P$4&gt;$G69,(P69*(1+$M69)),0)</f>
        <v>25221.445200000002</v>
      </c>
      <c r="R69" s="314">
        <f t="shared" ref="R69" si="23">IF($P$4&gt;$G69,(Q69*(1+$M69)),0)</f>
        <v>25978.088556000002</v>
      </c>
    </row>
    <row r="70" spans="2:18" x14ac:dyDescent="0.25">
      <c r="B70" s="168">
        <v>1</v>
      </c>
      <c r="C70" s="570" t="s">
        <v>1209</v>
      </c>
      <c r="D70" s="848" t="str">
        <f t="shared" si="2"/>
        <v xml:space="preserve">Pasha </v>
      </c>
      <c r="E70" s="168" t="s">
        <v>1042</v>
      </c>
      <c r="F70" s="570" t="s">
        <v>66</v>
      </c>
      <c r="G70" s="305">
        <v>40179</v>
      </c>
      <c r="H70" s="845">
        <v>55153</v>
      </c>
      <c r="I70" s="844" t="str">
        <f t="shared" si="1"/>
        <v>active</v>
      </c>
      <c r="K70" s="848" t="s">
        <v>362</v>
      </c>
      <c r="L70" s="1027">
        <v>0.1</v>
      </c>
      <c r="M70" s="61">
        <v>0.03</v>
      </c>
      <c r="N70" s="314">
        <v>48248.520000000004</v>
      </c>
      <c r="O70" s="314">
        <v>48248.520000000004</v>
      </c>
      <c r="P70" s="314">
        <v>48248.520000000004</v>
      </c>
      <c r="Q70" s="314">
        <f t="shared" ref="P70:Q86" si="24">IF($P$4&gt;$G70,(P70*(1+$M70)),0)</f>
        <v>49695.975600000005</v>
      </c>
      <c r="R70" s="314">
        <f t="shared" ref="R70:R86" si="25">IF($P$4&gt;$G70,(Q70*(1+$M70)),0)</f>
        <v>51186.854868000009</v>
      </c>
    </row>
    <row r="71" spans="2:18" x14ac:dyDescent="0.25">
      <c r="B71" s="168">
        <v>1</v>
      </c>
      <c r="C71" s="570" t="s">
        <v>1210</v>
      </c>
      <c r="D71" s="848" t="str">
        <f t="shared" si="2"/>
        <v xml:space="preserve">Artur </v>
      </c>
      <c r="E71" s="168" t="s">
        <v>1222</v>
      </c>
      <c r="F71" s="570" t="s">
        <v>66</v>
      </c>
      <c r="G71" s="305">
        <v>40179</v>
      </c>
      <c r="H71" s="845">
        <v>55153</v>
      </c>
      <c r="I71" s="844" t="str">
        <f t="shared" ref="I71:I86" si="26">IF(H71&gt;$U$3,"active","terminated")</f>
        <v>active</v>
      </c>
      <c r="K71" s="848" t="s">
        <v>362</v>
      </c>
      <c r="L71" s="1027">
        <v>0.1</v>
      </c>
      <c r="M71" s="61">
        <v>0.03</v>
      </c>
      <c r="N71" s="314">
        <v>72896.759999999995</v>
      </c>
      <c r="O71" s="314">
        <v>72896.759999999995</v>
      </c>
      <c r="P71" s="314">
        <v>72896.759999999995</v>
      </c>
      <c r="Q71" s="314">
        <f t="shared" si="24"/>
        <v>75083.662799999991</v>
      </c>
      <c r="R71" s="314">
        <f t="shared" si="25"/>
        <v>77336.17268399999</v>
      </c>
    </row>
    <row r="72" spans="2:18" x14ac:dyDescent="0.25">
      <c r="B72" s="168">
        <v>1</v>
      </c>
      <c r="C72" s="570" t="s">
        <v>1203</v>
      </c>
      <c r="D72" s="848" t="str">
        <f t="shared" ref="D72:D86" si="27">LEFT(C72,FIND(" ",C72,1))</f>
        <v xml:space="preserve">Denis </v>
      </c>
      <c r="E72" s="570" t="s">
        <v>1204</v>
      </c>
      <c r="F72" s="570" t="s">
        <v>340</v>
      </c>
      <c r="G72" s="305">
        <v>40179</v>
      </c>
      <c r="H72" s="845">
        <v>55153</v>
      </c>
      <c r="I72" s="844" t="str">
        <f t="shared" si="26"/>
        <v>active</v>
      </c>
      <c r="K72" s="848" t="s">
        <v>362</v>
      </c>
      <c r="L72" s="1027">
        <v>0.1</v>
      </c>
      <c r="M72" s="61">
        <v>0.03</v>
      </c>
      <c r="N72" s="314">
        <v>59092.680000000008</v>
      </c>
      <c r="O72" s="314">
        <v>59092.680000000008</v>
      </c>
      <c r="P72" s="314">
        <v>59092.680000000008</v>
      </c>
      <c r="Q72" s="314">
        <f t="shared" si="24"/>
        <v>60865.460400000011</v>
      </c>
      <c r="R72" s="314">
        <f t="shared" si="25"/>
        <v>62691.424212000013</v>
      </c>
    </row>
    <row r="73" spans="2:18" x14ac:dyDescent="0.25">
      <c r="B73" s="168">
        <v>1</v>
      </c>
      <c r="C73" s="570" t="s">
        <v>1211</v>
      </c>
      <c r="D73" s="848" t="str">
        <f t="shared" si="27"/>
        <v xml:space="preserve">Gleb </v>
      </c>
      <c r="E73" s="168" t="s">
        <v>1317</v>
      </c>
      <c r="F73" s="570" t="s">
        <v>66</v>
      </c>
      <c r="G73" s="305">
        <v>40179</v>
      </c>
      <c r="H73" s="845">
        <v>55153</v>
      </c>
      <c r="I73" s="844" t="str">
        <f t="shared" si="26"/>
        <v>active</v>
      </c>
      <c r="K73" s="848" t="s">
        <v>362</v>
      </c>
      <c r="L73" s="1027">
        <v>0.1</v>
      </c>
      <c r="M73" s="61">
        <v>0.03</v>
      </c>
      <c r="N73" s="314">
        <v>45059.040000000001</v>
      </c>
      <c r="O73" s="314">
        <v>45059.040000000001</v>
      </c>
      <c r="P73" s="314">
        <v>45059.040000000001</v>
      </c>
      <c r="Q73" s="314">
        <f t="shared" si="24"/>
        <v>46410.811200000004</v>
      </c>
      <c r="R73" s="314">
        <f t="shared" si="25"/>
        <v>47803.135536000002</v>
      </c>
    </row>
    <row r="74" spans="2:18" x14ac:dyDescent="0.25">
      <c r="B74" s="168">
        <v>1</v>
      </c>
      <c r="C74" s="570" t="s">
        <v>1212</v>
      </c>
      <c r="D74" s="848" t="str">
        <f t="shared" si="27"/>
        <v xml:space="preserve">Igor </v>
      </c>
      <c r="F74" s="570" t="s">
        <v>66</v>
      </c>
      <c r="G74" s="305">
        <v>40179</v>
      </c>
      <c r="H74" s="845">
        <v>55153</v>
      </c>
      <c r="I74" s="844" t="str">
        <f t="shared" si="26"/>
        <v>active</v>
      </c>
      <c r="K74" s="848" t="s">
        <v>362</v>
      </c>
      <c r="L74" s="1027">
        <v>0.1</v>
      </c>
      <c r="M74" s="61">
        <v>0.03</v>
      </c>
      <c r="N74" s="314">
        <v>78229.56</v>
      </c>
      <c r="O74" s="314">
        <v>78229.56</v>
      </c>
      <c r="P74" s="314">
        <v>78229.56</v>
      </c>
      <c r="Q74" s="314">
        <f t="shared" si="24"/>
        <v>80576.446800000005</v>
      </c>
      <c r="R74" s="314">
        <f t="shared" si="25"/>
        <v>82993.740204000002</v>
      </c>
    </row>
    <row r="75" spans="2:18" x14ac:dyDescent="0.25">
      <c r="B75" s="168">
        <v>1</v>
      </c>
      <c r="C75" s="570" t="s">
        <v>363</v>
      </c>
      <c r="D75" s="848" t="str">
        <f t="shared" si="27"/>
        <v xml:space="preserve">Igor </v>
      </c>
      <c r="E75" s="570" t="s">
        <v>1008</v>
      </c>
      <c r="F75" s="570" t="s">
        <v>340</v>
      </c>
      <c r="G75" s="305">
        <v>40179</v>
      </c>
      <c r="H75" s="845">
        <v>55153</v>
      </c>
      <c r="I75" s="844" t="str">
        <f t="shared" si="26"/>
        <v>active</v>
      </c>
      <c r="K75" s="848" t="s">
        <v>362</v>
      </c>
      <c r="L75" s="1027">
        <v>0.1</v>
      </c>
      <c r="M75" s="61">
        <v>0.03</v>
      </c>
      <c r="N75" s="314">
        <v>43783.199999999997</v>
      </c>
      <c r="O75" s="314">
        <v>43783.199999999997</v>
      </c>
      <c r="P75" s="314">
        <v>43783.199999999997</v>
      </c>
      <c r="Q75" s="314">
        <f t="shared" si="24"/>
        <v>45096.695999999996</v>
      </c>
      <c r="R75" s="314">
        <f t="shared" si="25"/>
        <v>46449.596879999997</v>
      </c>
    </row>
    <row r="76" spans="2:18" x14ac:dyDescent="0.25">
      <c r="B76" s="168">
        <v>1</v>
      </c>
      <c r="C76" s="570" t="s">
        <v>1213</v>
      </c>
      <c r="D76" s="848" t="str">
        <f t="shared" si="27"/>
        <v xml:space="preserve">Ilya </v>
      </c>
      <c r="F76" s="570" t="s">
        <v>66</v>
      </c>
      <c r="G76" s="305">
        <v>40179</v>
      </c>
      <c r="H76" s="845">
        <v>55153</v>
      </c>
      <c r="I76" s="844" t="str">
        <f t="shared" si="26"/>
        <v>active</v>
      </c>
      <c r="K76" s="848" t="s">
        <v>362</v>
      </c>
      <c r="L76" s="1027">
        <v>0.1</v>
      </c>
      <c r="M76" s="61">
        <v>0.03</v>
      </c>
      <c r="N76" s="314">
        <v>56541.120000000003</v>
      </c>
      <c r="O76" s="314">
        <v>56541.120000000003</v>
      </c>
      <c r="P76" s="314">
        <v>56541.120000000003</v>
      </c>
      <c r="Q76" s="314">
        <f t="shared" si="24"/>
        <v>58237.353600000002</v>
      </c>
      <c r="R76" s="314">
        <f t="shared" si="25"/>
        <v>59984.474208000007</v>
      </c>
    </row>
    <row r="77" spans="2:18" x14ac:dyDescent="0.25">
      <c r="B77" s="168">
        <v>1</v>
      </c>
      <c r="C77" s="223" t="s">
        <v>1214</v>
      </c>
      <c r="D77" s="848" t="str">
        <f t="shared" si="27"/>
        <v xml:space="preserve">Olesxander </v>
      </c>
      <c r="E77" s="570" t="s">
        <v>1041</v>
      </c>
      <c r="F77" s="223" t="s">
        <v>340</v>
      </c>
      <c r="G77" s="305">
        <v>40179</v>
      </c>
      <c r="H77" s="845">
        <v>55153</v>
      </c>
      <c r="I77" s="844" t="str">
        <f t="shared" si="26"/>
        <v>active</v>
      </c>
      <c r="K77" s="848" t="s">
        <v>362</v>
      </c>
      <c r="L77" s="1027">
        <v>0.1</v>
      </c>
      <c r="M77" s="61">
        <v>0.03</v>
      </c>
      <c r="N77" s="314">
        <v>37404.239999999998</v>
      </c>
      <c r="O77" s="314">
        <v>37404.239999999998</v>
      </c>
      <c r="P77" s="314">
        <v>37404.239999999998</v>
      </c>
      <c r="Q77" s="314">
        <f t="shared" si="24"/>
        <v>38526.367200000001</v>
      </c>
      <c r="R77" s="314">
        <f t="shared" si="25"/>
        <v>39682.158216000003</v>
      </c>
    </row>
    <row r="78" spans="2:18" x14ac:dyDescent="0.25">
      <c r="B78" s="168">
        <v>1</v>
      </c>
      <c r="C78" s="570" t="s">
        <v>1215</v>
      </c>
      <c r="D78" s="848" t="str">
        <f t="shared" si="27"/>
        <v xml:space="preserve">Olexsadr </v>
      </c>
      <c r="F78" s="570" t="s">
        <v>340</v>
      </c>
      <c r="G78" s="305">
        <v>40179</v>
      </c>
      <c r="H78" s="845">
        <v>55153</v>
      </c>
      <c r="I78" s="844" t="str">
        <f t="shared" si="26"/>
        <v>active</v>
      </c>
      <c r="K78" s="848" t="s">
        <v>362</v>
      </c>
      <c r="L78" s="1027">
        <v>0.1</v>
      </c>
      <c r="M78" s="61">
        <v>0.03</v>
      </c>
      <c r="N78" s="314">
        <v>43783.199999999997</v>
      </c>
      <c r="O78" s="314">
        <v>43783.199999999997</v>
      </c>
      <c r="P78" s="314">
        <v>43783.199999999997</v>
      </c>
      <c r="Q78" s="314">
        <f t="shared" si="24"/>
        <v>45096.695999999996</v>
      </c>
      <c r="R78" s="314">
        <f t="shared" si="25"/>
        <v>46449.596879999997</v>
      </c>
    </row>
    <row r="79" spans="2:18" x14ac:dyDescent="0.25">
      <c r="B79" s="168">
        <v>1</v>
      </c>
      <c r="C79" s="570" t="s">
        <v>361</v>
      </c>
      <c r="D79" s="848" t="str">
        <f t="shared" si="27"/>
        <v xml:space="preserve">Vasyl </v>
      </c>
      <c r="F79" s="570" t="s">
        <v>340</v>
      </c>
      <c r="G79" s="305">
        <v>40179</v>
      </c>
      <c r="H79" s="845">
        <v>55153</v>
      </c>
      <c r="I79" s="844" t="str">
        <f t="shared" si="26"/>
        <v>active</v>
      </c>
      <c r="K79" s="848" t="s">
        <v>362</v>
      </c>
      <c r="L79" s="1027">
        <v>0.1</v>
      </c>
      <c r="M79" s="61">
        <v>0.03</v>
      </c>
      <c r="N79" s="314">
        <v>48886.32</v>
      </c>
      <c r="O79" s="314">
        <v>48886.32</v>
      </c>
      <c r="P79" s="314">
        <v>48886.32</v>
      </c>
      <c r="Q79" s="314">
        <f t="shared" si="24"/>
        <v>50352.909599999999</v>
      </c>
      <c r="R79" s="314">
        <f t="shared" si="25"/>
        <v>51863.496888000001</v>
      </c>
    </row>
    <row r="80" spans="2:18" x14ac:dyDescent="0.25">
      <c r="B80" s="168">
        <v>1</v>
      </c>
      <c r="C80" s="570" t="s">
        <v>1208</v>
      </c>
      <c r="D80" s="848" t="str">
        <f t="shared" si="27"/>
        <v xml:space="preserve">Volodymyr </v>
      </c>
      <c r="F80" s="570" t="s">
        <v>340</v>
      </c>
      <c r="G80" s="305">
        <v>41334</v>
      </c>
      <c r="H80" s="845">
        <v>55153</v>
      </c>
      <c r="I80" s="844" t="str">
        <f t="shared" si="26"/>
        <v>active</v>
      </c>
      <c r="K80" s="848" t="s">
        <v>362</v>
      </c>
      <c r="L80" s="1027">
        <v>0.1</v>
      </c>
      <c r="M80" s="61">
        <v>0.03</v>
      </c>
      <c r="N80" s="314">
        <v>46334.76</v>
      </c>
      <c r="O80" s="314">
        <v>46334.76</v>
      </c>
      <c r="P80" s="314">
        <v>46334.76</v>
      </c>
      <c r="Q80" s="314">
        <f t="shared" si="24"/>
        <v>47724.802800000005</v>
      </c>
      <c r="R80" s="314">
        <f t="shared" si="25"/>
        <v>49156.546884000003</v>
      </c>
    </row>
    <row r="81" spans="2:18" x14ac:dyDescent="0.25">
      <c r="B81" s="168">
        <v>1</v>
      </c>
      <c r="C81" s="570" t="s">
        <v>1216</v>
      </c>
      <c r="D81" s="848" t="str">
        <f t="shared" si="27"/>
        <v xml:space="preserve">Yuri </v>
      </c>
      <c r="F81" s="570" t="s">
        <v>66</v>
      </c>
      <c r="G81" s="305">
        <v>41334</v>
      </c>
      <c r="H81" s="845">
        <v>55153</v>
      </c>
      <c r="I81" s="844" t="str">
        <f t="shared" si="26"/>
        <v>active</v>
      </c>
      <c r="K81" s="848" t="s">
        <v>362</v>
      </c>
      <c r="L81" s="1027">
        <v>0.1</v>
      </c>
      <c r="M81" s="61">
        <v>0.03</v>
      </c>
      <c r="N81" s="314">
        <v>74402.16</v>
      </c>
      <c r="O81" s="314">
        <v>74402.16</v>
      </c>
      <c r="P81" s="314">
        <v>74402.16</v>
      </c>
      <c r="Q81" s="314">
        <f t="shared" si="24"/>
        <v>76634.224800000011</v>
      </c>
      <c r="R81" s="314">
        <f t="shared" si="25"/>
        <v>78933.251544000013</v>
      </c>
    </row>
    <row r="82" spans="2:18" x14ac:dyDescent="0.25">
      <c r="B82" s="168">
        <v>1</v>
      </c>
      <c r="C82" s="570" t="s">
        <v>1207</v>
      </c>
      <c r="D82" s="848" t="str">
        <f t="shared" si="27"/>
        <v xml:space="preserve">Yuriy </v>
      </c>
      <c r="E82" s="570" t="s">
        <v>1206</v>
      </c>
      <c r="F82" s="570" t="s">
        <v>66</v>
      </c>
      <c r="G82" s="305">
        <v>41334</v>
      </c>
      <c r="H82" s="845">
        <v>55153</v>
      </c>
      <c r="I82" s="844" t="str">
        <f t="shared" si="26"/>
        <v>active</v>
      </c>
      <c r="K82" s="848" t="s">
        <v>362</v>
      </c>
      <c r="L82" s="1027">
        <v>0.1</v>
      </c>
      <c r="M82" s="61">
        <v>0.03</v>
      </c>
      <c r="N82" s="314">
        <v>75677.88</v>
      </c>
      <c r="O82" s="314">
        <v>75677.88</v>
      </c>
      <c r="P82" s="314">
        <v>75677.88</v>
      </c>
      <c r="Q82" s="314">
        <f t="shared" si="24"/>
        <v>77948.216400000005</v>
      </c>
      <c r="R82" s="314">
        <f t="shared" si="25"/>
        <v>80286.662892000008</v>
      </c>
    </row>
    <row r="83" spans="2:18" x14ac:dyDescent="0.25">
      <c r="B83" s="168">
        <v>1</v>
      </c>
      <c r="C83" s="570" t="s">
        <v>1217</v>
      </c>
      <c r="D83" s="848" t="str">
        <f t="shared" si="27"/>
        <v xml:space="preserve">Ronnie </v>
      </c>
      <c r="E83" s="570" t="s">
        <v>1221</v>
      </c>
      <c r="F83" s="570" t="s">
        <v>340</v>
      </c>
      <c r="G83" s="305">
        <v>41699</v>
      </c>
      <c r="H83" s="305">
        <v>42005</v>
      </c>
      <c r="I83" s="844" t="str">
        <f t="shared" si="26"/>
        <v>active</v>
      </c>
      <c r="K83" s="848" t="s">
        <v>183</v>
      </c>
      <c r="L83" s="1027">
        <v>0.1</v>
      </c>
      <c r="M83" s="61">
        <v>0.03</v>
      </c>
      <c r="N83" s="314">
        <f t="shared" ref="N83:P85" si="28">12800*12</f>
        <v>153600</v>
      </c>
      <c r="O83" s="314">
        <v>153600</v>
      </c>
      <c r="P83" s="314">
        <f t="shared" si="28"/>
        <v>153600</v>
      </c>
      <c r="Q83" s="314">
        <f t="shared" si="24"/>
        <v>158208</v>
      </c>
      <c r="R83" s="314">
        <f t="shared" si="25"/>
        <v>162954.23999999999</v>
      </c>
    </row>
    <row r="84" spans="2:18" x14ac:dyDescent="0.25">
      <c r="B84" s="168">
        <v>1</v>
      </c>
      <c r="C84" s="570" t="s">
        <v>1218</v>
      </c>
      <c r="D84" s="848" t="str">
        <f t="shared" si="27"/>
        <v xml:space="preserve">Hans </v>
      </c>
      <c r="E84" s="570" t="s">
        <v>1220</v>
      </c>
      <c r="F84" s="570" t="s">
        <v>340</v>
      </c>
      <c r="G84" s="305">
        <v>41699</v>
      </c>
      <c r="H84" s="305">
        <v>42005</v>
      </c>
      <c r="I84" s="844" t="str">
        <f t="shared" si="26"/>
        <v>active</v>
      </c>
      <c r="K84" s="848" t="s">
        <v>183</v>
      </c>
      <c r="L84" s="1027">
        <v>0.1</v>
      </c>
      <c r="M84" s="61">
        <v>0.03</v>
      </c>
      <c r="N84" s="314">
        <f t="shared" si="28"/>
        <v>153600</v>
      </c>
      <c r="O84" s="314">
        <v>153600</v>
      </c>
      <c r="P84" s="314">
        <f t="shared" si="28"/>
        <v>153600</v>
      </c>
      <c r="Q84" s="314">
        <f t="shared" si="24"/>
        <v>158208</v>
      </c>
      <c r="R84" s="314">
        <f t="shared" si="25"/>
        <v>162954.23999999999</v>
      </c>
    </row>
    <row r="85" spans="2:18" x14ac:dyDescent="0.25">
      <c r="B85" s="168">
        <v>1</v>
      </c>
      <c r="C85" s="570" t="s">
        <v>1219</v>
      </c>
      <c r="D85" s="848" t="str">
        <f t="shared" si="27"/>
        <v xml:space="preserve">Justin </v>
      </c>
      <c r="E85" s="570" t="s">
        <v>1039</v>
      </c>
      <c r="F85" s="570" t="s">
        <v>340</v>
      </c>
      <c r="G85" s="305">
        <v>41640</v>
      </c>
      <c r="H85" s="305">
        <v>42005</v>
      </c>
      <c r="I85" s="844" t="str">
        <f t="shared" si="26"/>
        <v>active</v>
      </c>
      <c r="K85" s="848" t="s">
        <v>183</v>
      </c>
      <c r="L85" s="1027">
        <v>0.1</v>
      </c>
      <c r="M85" s="61">
        <v>0.03</v>
      </c>
      <c r="N85" s="314">
        <f t="shared" si="28"/>
        <v>153600</v>
      </c>
      <c r="O85" s="314">
        <v>153600</v>
      </c>
      <c r="P85" s="314">
        <f t="shared" si="24"/>
        <v>158208</v>
      </c>
      <c r="Q85" s="314">
        <f t="shared" si="24"/>
        <v>162954.23999999999</v>
      </c>
      <c r="R85" s="314">
        <f t="shared" si="25"/>
        <v>167842.86720000001</v>
      </c>
    </row>
    <row r="86" spans="2:18" x14ac:dyDescent="0.25">
      <c r="B86" s="168">
        <v>1</v>
      </c>
      <c r="C86" s="570" t="s">
        <v>1377</v>
      </c>
      <c r="D86" s="848" t="str">
        <f t="shared" si="27"/>
        <v xml:space="preserve">Sharon </v>
      </c>
      <c r="E86" s="570" t="s">
        <v>1376</v>
      </c>
      <c r="F86" s="570" t="s">
        <v>4</v>
      </c>
      <c r="G86" s="305">
        <v>41730</v>
      </c>
      <c r="H86" s="845">
        <v>55153</v>
      </c>
      <c r="I86" s="844" t="str">
        <f t="shared" si="26"/>
        <v>active</v>
      </c>
      <c r="K86" s="848" t="s">
        <v>183</v>
      </c>
      <c r="L86" s="1027">
        <v>0.1</v>
      </c>
      <c r="M86" s="61">
        <v>0.03</v>
      </c>
      <c r="N86" s="309">
        <v>40000</v>
      </c>
      <c r="O86" s="309">
        <v>40000</v>
      </c>
      <c r="P86" s="314">
        <f t="shared" si="24"/>
        <v>41200</v>
      </c>
      <c r="Q86" s="314">
        <f t="shared" si="24"/>
        <v>42436</v>
      </c>
      <c r="R86" s="314">
        <f t="shared" si="25"/>
        <v>43709.08</v>
      </c>
    </row>
    <row r="87" spans="2:18" x14ac:dyDescent="0.25">
      <c r="B87" s="168"/>
      <c r="D87" s="848"/>
      <c r="G87" s="305"/>
      <c r="H87" s="845"/>
      <c r="K87" s="848"/>
      <c r="L87" s="1027"/>
      <c r="M87" s="61"/>
      <c r="N87" s="309"/>
      <c r="O87" s="309"/>
      <c r="P87" s="314"/>
      <c r="Q87" s="314"/>
      <c r="R87" s="314"/>
    </row>
    <row r="91" spans="2:18" x14ac:dyDescent="0.25">
      <c r="F91" s="849"/>
      <c r="N91" s="849"/>
    </row>
    <row r="1048562" spans="7:16" x14ac:dyDescent="0.25">
      <c r="G1048562" s="305">
        <v>41214</v>
      </c>
      <c r="H1048562" s="845">
        <v>55153</v>
      </c>
      <c r="K1048562" s="848" t="s">
        <v>362</v>
      </c>
      <c r="L1048562" s="1027">
        <v>0.1</v>
      </c>
      <c r="M1048562" s="61">
        <v>0.05</v>
      </c>
      <c r="P1048562" s="314">
        <v>75677.88</v>
      </c>
    </row>
  </sheetData>
  <pageMargins left="0.7" right="0.7" top="0.75" bottom="0.75" header="0.3" footer="0.3"/>
  <pageSetup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02"/>
  <sheetViews>
    <sheetView topLeftCell="A22" zoomScale="90" zoomScaleNormal="90" workbookViewId="0">
      <selection activeCell="F11" sqref="F11"/>
    </sheetView>
  </sheetViews>
  <sheetFormatPr defaultColWidth="9.140625" defaultRowHeight="15" outlineLevelRow="1" x14ac:dyDescent="0.25"/>
  <cols>
    <col min="1" max="1" width="2.85546875" style="570" customWidth="1"/>
    <col min="2" max="2" width="30" style="570" bestFit="1" customWidth="1"/>
    <col min="3" max="3" width="21.85546875" style="570" bestFit="1" customWidth="1"/>
    <col min="4" max="4" width="27.5703125" style="570" bestFit="1" customWidth="1"/>
    <col min="5" max="5" width="16.5703125" style="570" bestFit="1" customWidth="1"/>
    <col min="6" max="6" width="26.5703125" style="570" bestFit="1" customWidth="1"/>
    <col min="7" max="7" width="101.7109375" style="570" bestFit="1" customWidth="1"/>
    <col min="8" max="8" width="18.7109375" style="570" bestFit="1" customWidth="1"/>
    <col min="9" max="16384" width="9.140625" style="570"/>
  </cols>
  <sheetData>
    <row r="1" spans="2:12" x14ac:dyDescent="0.25">
      <c r="G1" s="570" t="s">
        <v>947</v>
      </c>
    </row>
    <row r="2" spans="2:12" x14ac:dyDescent="0.25">
      <c r="B2" s="636" t="s">
        <v>948</v>
      </c>
    </row>
    <row r="3" spans="2:12" x14ac:dyDescent="0.25">
      <c r="B3" s="802" t="s">
        <v>949</v>
      </c>
      <c r="C3" s="803" t="s">
        <v>950</v>
      </c>
      <c r="D3" s="803" t="s">
        <v>951</v>
      </c>
      <c r="E3" s="803" t="s">
        <v>1179</v>
      </c>
      <c r="F3" s="803" t="s">
        <v>1180</v>
      </c>
      <c r="G3" s="803" t="s">
        <v>953</v>
      </c>
      <c r="H3" s="804" t="s">
        <v>954</v>
      </c>
      <c r="I3" s="570" t="s">
        <v>955</v>
      </c>
    </row>
    <row r="4" spans="2:12" x14ac:dyDescent="0.25">
      <c r="B4" s="805" t="s">
        <v>223</v>
      </c>
      <c r="C4" s="806"/>
      <c r="D4" s="806"/>
      <c r="E4" s="807"/>
      <c r="F4" s="807"/>
      <c r="G4" s="806"/>
      <c r="H4" s="808"/>
      <c r="I4" s="570" t="s">
        <v>956</v>
      </c>
    </row>
    <row r="5" spans="2:12" ht="39" customHeight="1" outlineLevel="1" x14ac:dyDescent="0.25">
      <c r="B5" s="783"/>
      <c r="C5" s="809" t="s">
        <v>957</v>
      </c>
      <c r="D5" s="809" t="s">
        <v>958</v>
      </c>
      <c r="E5" s="810" t="s">
        <v>959</v>
      </c>
      <c r="F5" s="810"/>
      <c r="G5" s="811" t="s">
        <v>960</v>
      </c>
      <c r="H5" s="812" t="s">
        <v>961</v>
      </c>
      <c r="I5" s="570" t="s">
        <v>962</v>
      </c>
    </row>
    <row r="6" spans="2:12" outlineLevel="1" x14ac:dyDescent="0.25">
      <c r="B6" s="783"/>
      <c r="C6" s="813" t="s">
        <v>8</v>
      </c>
      <c r="D6" s="813" t="s">
        <v>8</v>
      </c>
      <c r="E6" s="810">
        <v>146</v>
      </c>
      <c r="F6" s="810"/>
      <c r="G6" s="156" t="s">
        <v>963</v>
      </c>
      <c r="H6" s="812" t="s">
        <v>961</v>
      </c>
    </row>
    <row r="7" spans="2:12" outlineLevel="1" x14ac:dyDescent="0.25">
      <c r="B7" s="814" t="s">
        <v>1176</v>
      </c>
      <c r="C7" s="815" t="s">
        <v>964</v>
      </c>
      <c r="D7" s="815" t="s">
        <v>933</v>
      </c>
      <c r="E7" s="810">
        <v>162</v>
      </c>
      <c r="F7" s="810"/>
      <c r="G7" s="156" t="s">
        <v>965</v>
      </c>
      <c r="H7" s="816">
        <v>575</v>
      </c>
      <c r="I7" s="168" t="s">
        <v>1181</v>
      </c>
      <c r="L7" s="570">
        <f>400/12</f>
        <v>33.333333333333336</v>
      </c>
    </row>
    <row r="8" spans="2:12" outlineLevel="1" x14ac:dyDescent="0.25">
      <c r="B8" s="783"/>
      <c r="C8" s="817">
        <v>6137</v>
      </c>
      <c r="D8" s="818" t="s">
        <v>934</v>
      </c>
      <c r="E8" s="810" t="s">
        <v>966</v>
      </c>
      <c r="F8" s="810"/>
      <c r="G8" s="819" t="s">
        <v>967</v>
      </c>
      <c r="H8" s="784">
        <v>3600</v>
      </c>
    </row>
    <row r="9" spans="2:12" outlineLevel="1" x14ac:dyDescent="0.25">
      <c r="B9" s="783"/>
      <c r="C9" s="813">
        <v>6680</v>
      </c>
      <c r="D9" s="818" t="s">
        <v>918</v>
      </c>
      <c r="E9" s="810">
        <v>164</v>
      </c>
      <c r="F9" s="810"/>
      <c r="G9" s="819" t="s">
        <v>967</v>
      </c>
      <c r="H9" s="784">
        <v>1000</v>
      </c>
    </row>
    <row r="10" spans="2:12" outlineLevel="1" x14ac:dyDescent="0.25">
      <c r="B10" s="783"/>
      <c r="C10" s="813" t="s">
        <v>599</v>
      </c>
      <c r="D10" s="818" t="s">
        <v>431</v>
      </c>
      <c r="E10" s="820">
        <v>119</v>
      </c>
      <c r="F10" s="820"/>
      <c r="G10" s="156" t="s">
        <v>968</v>
      </c>
      <c r="H10" s="784" t="s">
        <v>969</v>
      </c>
    </row>
    <row r="11" spans="2:12" outlineLevel="1" x14ac:dyDescent="0.25">
      <c r="B11" s="783"/>
      <c r="C11" s="817">
        <v>6243</v>
      </c>
      <c r="D11" s="818" t="s">
        <v>935</v>
      </c>
      <c r="E11" s="810">
        <v>88</v>
      </c>
      <c r="F11" s="810"/>
      <c r="G11" s="156" t="s">
        <v>968</v>
      </c>
      <c r="H11" s="784" t="s">
        <v>969</v>
      </c>
    </row>
    <row r="12" spans="2:12" outlineLevel="1" x14ac:dyDescent="0.25">
      <c r="B12" s="814"/>
      <c r="C12" s="817">
        <v>6340</v>
      </c>
      <c r="D12" s="818" t="s">
        <v>1076</v>
      </c>
      <c r="E12" s="810">
        <v>118</v>
      </c>
      <c r="F12" s="810"/>
      <c r="G12" s="156" t="s">
        <v>968</v>
      </c>
      <c r="H12" s="784" t="s">
        <v>969</v>
      </c>
    </row>
    <row r="13" spans="2:12" outlineLevel="1" x14ac:dyDescent="0.25">
      <c r="B13" s="814" t="s">
        <v>970</v>
      </c>
      <c r="C13" s="817">
        <v>6138</v>
      </c>
      <c r="D13" s="818" t="s">
        <v>936</v>
      </c>
      <c r="E13" s="810">
        <v>47</v>
      </c>
      <c r="F13" s="810"/>
      <c r="G13" s="156" t="s">
        <v>971</v>
      </c>
      <c r="H13" s="784">
        <v>79</v>
      </c>
    </row>
    <row r="14" spans="2:12" outlineLevel="1" x14ac:dyDescent="0.25">
      <c r="B14" s="814"/>
      <c r="C14" s="817">
        <v>6293</v>
      </c>
      <c r="D14" s="576" t="s">
        <v>338</v>
      </c>
      <c r="E14" s="810">
        <v>108</v>
      </c>
      <c r="F14" s="810"/>
      <c r="G14" s="156" t="s">
        <v>968</v>
      </c>
      <c r="H14" s="784" t="s">
        <v>969</v>
      </c>
    </row>
    <row r="15" spans="2:12" x14ac:dyDescent="0.25">
      <c r="B15" s="805" t="s">
        <v>4</v>
      </c>
      <c r="C15" s="806"/>
      <c r="D15" s="806"/>
      <c r="E15" s="807"/>
      <c r="F15" s="807"/>
      <c r="G15" s="806"/>
      <c r="H15" s="821"/>
    </row>
    <row r="16" spans="2:12" outlineLevel="1" x14ac:dyDescent="0.25">
      <c r="B16" s="783"/>
      <c r="C16" s="809" t="s">
        <v>957</v>
      </c>
      <c r="D16" s="809" t="s">
        <v>958</v>
      </c>
      <c r="E16" s="810" t="s">
        <v>1077</v>
      </c>
      <c r="F16" s="810"/>
      <c r="G16" s="156"/>
      <c r="H16" s="812" t="s">
        <v>961</v>
      </c>
    </row>
    <row r="17" spans="2:8" outlineLevel="1" x14ac:dyDescent="0.25">
      <c r="B17" s="783"/>
      <c r="C17" s="813" t="s">
        <v>8</v>
      </c>
      <c r="D17" s="813" t="s">
        <v>8</v>
      </c>
      <c r="E17" s="810">
        <v>314</v>
      </c>
      <c r="F17" s="810"/>
      <c r="G17" s="156"/>
      <c r="H17" s="812" t="s">
        <v>961</v>
      </c>
    </row>
    <row r="18" spans="2:8" outlineLevel="1" x14ac:dyDescent="0.25">
      <c r="B18" s="783"/>
      <c r="C18" s="815" t="s">
        <v>964</v>
      </c>
      <c r="D18" s="815" t="s">
        <v>933</v>
      </c>
      <c r="E18" s="810">
        <v>330</v>
      </c>
      <c r="F18" s="810"/>
      <c r="G18" s="156" t="s">
        <v>965</v>
      </c>
      <c r="H18" s="816">
        <v>1</v>
      </c>
    </row>
    <row r="19" spans="2:8" outlineLevel="1" x14ac:dyDescent="0.25">
      <c r="B19" s="783"/>
      <c r="C19" s="817">
        <v>6137</v>
      </c>
      <c r="D19" s="818" t="s">
        <v>934</v>
      </c>
      <c r="E19" s="810">
        <v>214</v>
      </c>
      <c r="F19" s="810"/>
      <c r="G19" s="819" t="s">
        <v>967</v>
      </c>
      <c r="H19" s="784">
        <v>3000</v>
      </c>
    </row>
    <row r="20" spans="2:8" outlineLevel="1" x14ac:dyDescent="0.25">
      <c r="B20" s="783"/>
      <c r="C20" s="813">
        <v>6680</v>
      </c>
      <c r="D20" s="818" t="s">
        <v>918</v>
      </c>
      <c r="E20" s="810">
        <v>332</v>
      </c>
      <c r="F20" s="810"/>
      <c r="G20" s="819" t="s">
        <v>967</v>
      </c>
      <c r="H20" s="784">
        <v>1000</v>
      </c>
    </row>
    <row r="21" spans="2:8" outlineLevel="1" x14ac:dyDescent="0.25">
      <c r="B21" s="783"/>
      <c r="C21" s="813" t="s">
        <v>599</v>
      </c>
      <c r="D21" s="818" t="s">
        <v>431</v>
      </c>
      <c r="E21" s="810">
        <v>287</v>
      </c>
      <c r="F21" s="810"/>
      <c r="G21" s="156" t="s">
        <v>968</v>
      </c>
      <c r="H21" s="784" t="s">
        <v>969</v>
      </c>
    </row>
    <row r="22" spans="2:8" outlineLevel="1" x14ac:dyDescent="0.25">
      <c r="B22" s="783"/>
      <c r="C22" s="817">
        <v>6243</v>
      </c>
      <c r="D22" s="818" t="s">
        <v>935</v>
      </c>
      <c r="E22" s="810">
        <v>256</v>
      </c>
      <c r="F22" s="810"/>
      <c r="G22" s="156" t="s">
        <v>968</v>
      </c>
      <c r="H22" s="784" t="s">
        <v>969</v>
      </c>
    </row>
    <row r="23" spans="2:8" outlineLevel="1" x14ac:dyDescent="0.25">
      <c r="B23" s="783"/>
      <c r="C23" s="817">
        <v>6340</v>
      </c>
      <c r="D23" s="818" t="s">
        <v>1076</v>
      </c>
      <c r="E23" s="976">
        <v>286</v>
      </c>
      <c r="F23" s="976"/>
      <c r="G23" s="156"/>
      <c r="H23" s="784" t="s">
        <v>969</v>
      </c>
    </row>
    <row r="24" spans="2:8" outlineLevel="1" x14ac:dyDescent="0.25">
      <c r="B24" s="783"/>
      <c r="C24" s="817">
        <v>6138</v>
      </c>
      <c r="D24" s="818" t="s">
        <v>936</v>
      </c>
      <c r="E24" s="810">
        <v>215</v>
      </c>
      <c r="F24" s="810"/>
      <c r="G24" s="156" t="s">
        <v>971</v>
      </c>
      <c r="H24" s="784">
        <v>79</v>
      </c>
    </row>
    <row r="25" spans="2:8" outlineLevel="1" x14ac:dyDescent="0.25">
      <c r="B25" s="783"/>
      <c r="C25" s="817">
        <v>6293</v>
      </c>
      <c r="D25" s="576" t="s">
        <v>338</v>
      </c>
      <c r="E25" s="434">
        <v>276</v>
      </c>
      <c r="F25" s="434"/>
      <c r="G25" s="156" t="s">
        <v>971</v>
      </c>
      <c r="H25" s="784" t="s">
        <v>969</v>
      </c>
    </row>
    <row r="26" spans="2:8" x14ac:dyDescent="0.25">
      <c r="B26" s="805" t="s">
        <v>66</v>
      </c>
      <c r="C26" s="806"/>
      <c r="D26" s="806"/>
      <c r="E26" s="807"/>
      <c r="F26" s="807"/>
      <c r="G26" s="806"/>
      <c r="H26" s="821"/>
    </row>
    <row r="27" spans="2:8" outlineLevel="1" x14ac:dyDescent="0.25">
      <c r="B27" s="783"/>
      <c r="C27" s="809" t="s">
        <v>957</v>
      </c>
      <c r="D27" s="809" t="s">
        <v>958</v>
      </c>
      <c r="E27" s="810" t="s">
        <v>1078</v>
      </c>
      <c r="F27" s="810"/>
      <c r="G27" s="156"/>
      <c r="H27" s="812" t="s">
        <v>961</v>
      </c>
    </row>
    <row r="28" spans="2:8" outlineLevel="1" x14ac:dyDescent="0.25">
      <c r="B28" s="783"/>
      <c r="C28" s="813" t="s">
        <v>8</v>
      </c>
      <c r="D28" s="813" t="s">
        <v>8</v>
      </c>
      <c r="E28" s="810">
        <v>482</v>
      </c>
      <c r="F28" s="810"/>
      <c r="G28" s="156"/>
      <c r="H28" s="812" t="s">
        <v>961</v>
      </c>
    </row>
    <row r="29" spans="2:8" outlineLevel="1" x14ac:dyDescent="0.25">
      <c r="B29" s="783"/>
      <c r="C29" s="815" t="s">
        <v>964</v>
      </c>
      <c r="D29" s="815" t="s">
        <v>933</v>
      </c>
      <c r="E29" s="810">
        <v>498</v>
      </c>
      <c r="F29" s="810"/>
      <c r="G29" s="156" t="s">
        <v>965</v>
      </c>
      <c r="H29" s="816">
        <v>1</v>
      </c>
    </row>
    <row r="30" spans="2:8" outlineLevel="1" x14ac:dyDescent="0.25">
      <c r="B30" s="783"/>
      <c r="C30" s="817">
        <v>6137</v>
      </c>
      <c r="D30" s="818" t="s">
        <v>934</v>
      </c>
      <c r="E30" s="810">
        <v>382</v>
      </c>
      <c r="F30" s="810"/>
      <c r="G30" s="819" t="s">
        <v>967</v>
      </c>
      <c r="H30" s="784">
        <v>3000</v>
      </c>
    </row>
    <row r="31" spans="2:8" outlineLevel="1" x14ac:dyDescent="0.25">
      <c r="B31" s="783"/>
      <c r="C31" s="813">
        <v>6680</v>
      </c>
      <c r="D31" s="818" t="s">
        <v>918</v>
      </c>
      <c r="E31" s="810">
        <v>500</v>
      </c>
      <c r="F31" s="810"/>
      <c r="G31" s="819" t="s">
        <v>967</v>
      </c>
      <c r="H31" s="784">
        <v>20000</v>
      </c>
    </row>
    <row r="32" spans="2:8" outlineLevel="1" x14ac:dyDescent="0.25">
      <c r="B32" s="783"/>
      <c r="C32" s="813" t="s">
        <v>599</v>
      </c>
      <c r="D32" s="818" t="s">
        <v>431</v>
      </c>
      <c r="E32" s="810">
        <v>455</v>
      </c>
      <c r="F32" s="810"/>
      <c r="G32" s="156" t="s">
        <v>968</v>
      </c>
      <c r="H32" s="784" t="s">
        <v>969</v>
      </c>
    </row>
    <row r="33" spans="2:8" outlineLevel="1" x14ac:dyDescent="0.25">
      <c r="B33" s="783"/>
      <c r="C33" s="817">
        <v>6243</v>
      </c>
      <c r="D33" s="818" t="s">
        <v>935</v>
      </c>
      <c r="E33" s="810">
        <v>424</v>
      </c>
      <c r="F33" s="810"/>
      <c r="G33" s="156" t="s">
        <v>968</v>
      </c>
      <c r="H33" s="784" t="s">
        <v>969</v>
      </c>
    </row>
    <row r="34" spans="2:8" outlineLevel="1" x14ac:dyDescent="0.25">
      <c r="B34" s="783"/>
      <c r="C34" s="817">
        <v>6340</v>
      </c>
      <c r="D34" s="818" t="s">
        <v>1076</v>
      </c>
      <c r="E34" s="976">
        <v>454</v>
      </c>
      <c r="F34" s="976"/>
      <c r="G34" s="156"/>
      <c r="H34" s="784" t="s">
        <v>969</v>
      </c>
    </row>
    <row r="35" spans="2:8" outlineLevel="1" x14ac:dyDescent="0.25">
      <c r="B35" s="783"/>
      <c r="C35" s="817">
        <v>6138</v>
      </c>
      <c r="D35" s="818" t="s">
        <v>936</v>
      </c>
      <c r="E35" s="810">
        <v>383</v>
      </c>
      <c r="F35" s="810"/>
      <c r="G35" s="156" t="s">
        <v>971</v>
      </c>
      <c r="H35" s="784">
        <v>79</v>
      </c>
    </row>
    <row r="36" spans="2:8" outlineLevel="1" x14ac:dyDescent="0.25">
      <c r="B36" s="783"/>
      <c r="C36" s="817">
        <v>6293</v>
      </c>
      <c r="D36" s="576" t="s">
        <v>338</v>
      </c>
      <c r="E36" s="434">
        <v>444</v>
      </c>
      <c r="F36" s="434"/>
      <c r="G36" s="156" t="s">
        <v>971</v>
      </c>
      <c r="H36" s="784" t="s">
        <v>969</v>
      </c>
    </row>
    <row r="37" spans="2:8" x14ac:dyDescent="0.25">
      <c r="B37" s="805" t="s">
        <v>3</v>
      </c>
      <c r="C37" s="806"/>
      <c r="D37" s="806"/>
      <c r="E37" s="807"/>
      <c r="F37" s="807"/>
      <c r="G37" s="806"/>
      <c r="H37" s="821"/>
    </row>
    <row r="38" spans="2:8" outlineLevel="1" x14ac:dyDescent="0.25">
      <c r="B38" s="814"/>
      <c r="C38" s="809" t="s">
        <v>957</v>
      </c>
      <c r="D38" s="809" t="s">
        <v>958</v>
      </c>
      <c r="E38" s="810" t="s">
        <v>1079</v>
      </c>
      <c r="F38" s="810"/>
      <c r="G38" s="156"/>
      <c r="H38" s="812" t="s">
        <v>961</v>
      </c>
    </row>
    <row r="39" spans="2:8" outlineLevel="1" x14ac:dyDescent="0.25">
      <c r="B39" s="783"/>
      <c r="C39" s="813" t="s">
        <v>8</v>
      </c>
      <c r="D39" s="813" t="s">
        <v>8</v>
      </c>
      <c r="E39" s="810">
        <v>650</v>
      </c>
      <c r="F39" s="810"/>
      <c r="G39" s="156"/>
      <c r="H39" s="812" t="s">
        <v>961</v>
      </c>
    </row>
    <row r="40" spans="2:8" outlineLevel="1" x14ac:dyDescent="0.25">
      <c r="B40" s="783"/>
      <c r="C40" s="815" t="s">
        <v>964</v>
      </c>
      <c r="D40" s="815" t="s">
        <v>933</v>
      </c>
      <c r="E40" s="810">
        <v>666</v>
      </c>
      <c r="F40" s="810"/>
      <c r="G40" s="156" t="s">
        <v>965</v>
      </c>
      <c r="H40" s="816">
        <v>1</v>
      </c>
    </row>
    <row r="41" spans="2:8" outlineLevel="1" x14ac:dyDescent="0.25">
      <c r="B41" s="783"/>
      <c r="C41" s="817">
        <v>6137</v>
      </c>
      <c r="D41" s="818" t="s">
        <v>934</v>
      </c>
      <c r="E41" s="810">
        <v>550</v>
      </c>
      <c r="F41" s="810"/>
      <c r="G41" s="819" t="s">
        <v>967</v>
      </c>
      <c r="H41" s="784">
        <v>3000</v>
      </c>
    </row>
    <row r="42" spans="2:8" outlineLevel="1" x14ac:dyDescent="0.25">
      <c r="B42" s="783"/>
      <c r="C42" s="813">
        <v>6680</v>
      </c>
      <c r="D42" s="818" t="s">
        <v>918</v>
      </c>
      <c r="E42" s="810">
        <v>668</v>
      </c>
      <c r="F42" s="810"/>
      <c r="G42" s="819" t="s">
        <v>967</v>
      </c>
      <c r="H42" s="784">
        <v>1000</v>
      </c>
    </row>
    <row r="43" spans="2:8" outlineLevel="1" x14ac:dyDescent="0.25">
      <c r="B43" s="783"/>
      <c r="C43" s="813" t="s">
        <v>599</v>
      </c>
      <c r="D43" s="818" t="s">
        <v>431</v>
      </c>
      <c r="E43" s="810">
        <v>623</v>
      </c>
      <c r="F43" s="810"/>
      <c r="G43" s="156" t="s">
        <v>968</v>
      </c>
      <c r="H43" s="784" t="s">
        <v>969</v>
      </c>
    </row>
    <row r="44" spans="2:8" outlineLevel="1" x14ac:dyDescent="0.25">
      <c r="B44" s="783"/>
      <c r="C44" s="817">
        <v>6243</v>
      </c>
      <c r="D44" s="818" t="s">
        <v>935</v>
      </c>
      <c r="E44" s="810">
        <v>592</v>
      </c>
      <c r="F44" s="810"/>
      <c r="G44" s="156" t="s">
        <v>968</v>
      </c>
      <c r="H44" s="784" t="s">
        <v>969</v>
      </c>
    </row>
    <row r="45" spans="2:8" outlineLevel="1" x14ac:dyDescent="0.25">
      <c r="B45" s="783"/>
      <c r="C45" s="817">
        <v>6340</v>
      </c>
      <c r="D45" s="818" t="s">
        <v>1076</v>
      </c>
      <c r="E45" s="976">
        <v>622</v>
      </c>
      <c r="F45" s="976"/>
      <c r="G45" s="156"/>
      <c r="H45" s="784" t="s">
        <v>969</v>
      </c>
    </row>
    <row r="46" spans="2:8" outlineLevel="1" x14ac:dyDescent="0.25">
      <c r="B46" s="783"/>
      <c r="C46" s="817">
        <v>6138</v>
      </c>
      <c r="D46" s="818" t="s">
        <v>936</v>
      </c>
      <c r="E46" s="810">
        <v>551</v>
      </c>
      <c r="F46" s="810"/>
      <c r="G46" s="156" t="s">
        <v>971</v>
      </c>
      <c r="H46" s="784">
        <v>79</v>
      </c>
    </row>
    <row r="47" spans="2:8" outlineLevel="1" x14ac:dyDescent="0.25">
      <c r="B47" s="783"/>
      <c r="C47" s="817">
        <v>6293</v>
      </c>
      <c r="D47" s="576" t="s">
        <v>338</v>
      </c>
      <c r="E47" s="434">
        <v>612</v>
      </c>
      <c r="F47" s="434"/>
      <c r="G47" s="156" t="s">
        <v>971</v>
      </c>
      <c r="H47" s="784" t="s">
        <v>969</v>
      </c>
    </row>
    <row r="48" spans="2:8" x14ac:dyDescent="0.25">
      <c r="B48" s="805" t="s">
        <v>472</v>
      </c>
      <c r="C48" s="806"/>
      <c r="D48" s="806"/>
      <c r="E48" s="807"/>
      <c r="F48" s="807"/>
      <c r="G48" s="806"/>
      <c r="H48" s="821"/>
    </row>
    <row r="49" spans="2:8" outlineLevel="1" x14ac:dyDescent="0.25">
      <c r="B49" s="783"/>
      <c r="C49" s="809" t="s">
        <v>957</v>
      </c>
      <c r="D49" s="809" t="s">
        <v>958</v>
      </c>
      <c r="E49" s="810" t="s">
        <v>1080</v>
      </c>
      <c r="F49" s="810"/>
      <c r="G49" s="156"/>
      <c r="H49" s="812" t="s">
        <v>961</v>
      </c>
    </row>
    <row r="50" spans="2:8" outlineLevel="1" x14ac:dyDescent="0.25">
      <c r="B50" s="783"/>
      <c r="C50" s="813" t="s">
        <v>8</v>
      </c>
      <c r="D50" s="813" t="s">
        <v>8</v>
      </c>
      <c r="E50" s="810">
        <v>818</v>
      </c>
      <c r="F50" s="810"/>
      <c r="G50" s="156"/>
      <c r="H50" s="812" t="s">
        <v>961</v>
      </c>
    </row>
    <row r="51" spans="2:8" outlineLevel="1" x14ac:dyDescent="0.25">
      <c r="B51" s="783"/>
      <c r="C51" s="815" t="s">
        <v>964</v>
      </c>
      <c r="D51" s="815" t="s">
        <v>933</v>
      </c>
      <c r="E51" s="810">
        <v>834</v>
      </c>
      <c r="F51" s="810"/>
      <c r="G51" s="156" t="s">
        <v>965</v>
      </c>
      <c r="H51" s="816">
        <v>1</v>
      </c>
    </row>
    <row r="52" spans="2:8" outlineLevel="1" x14ac:dyDescent="0.25">
      <c r="B52" s="783"/>
      <c r="C52" s="817">
        <v>6137</v>
      </c>
      <c r="D52" s="818" t="s">
        <v>934</v>
      </c>
      <c r="E52" s="810">
        <v>718</v>
      </c>
      <c r="F52" s="810"/>
      <c r="G52" s="819" t="s">
        <v>967</v>
      </c>
      <c r="H52" s="784">
        <v>3000</v>
      </c>
    </row>
    <row r="53" spans="2:8" outlineLevel="1" x14ac:dyDescent="0.25">
      <c r="B53" s="783"/>
      <c r="C53" s="813">
        <v>6680</v>
      </c>
      <c r="D53" s="818" t="s">
        <v>918</v>
      </c>
      <c r="E53" s="810">
        <v>836</v>
      </c>
      <c r="F53" s="810"/>
      <c r="G53" s="819" t="s">
        <v>967</v>
      </c>
      <c r="H53" s="784">
        <v>1000</v>
      </c>
    </row>
    <row r="54" spans="2:8" outlineLevel="1" x14ac:dyDescent="0.25">
      <c r="B54" s="783"/>
      <c r="C54" s="813" t="s">
        <v>599</v>
      </c>
      <c r="D54" s="818" t="s">
        <v>431</v>
      </c>
      <c r="E54" s="810">
        <v>791</v>
      </c>
      <c r="F54" s="810"/>
      <c r="G54" s="156" t="s">
        <v>968</v>
      </c>
      <c r="H54" s="784" t="s">
        <v>969</v>
      </c>
    </row>
    <row r="55" spans="2:8" outlineLevel="1" x14ac:dyDescent="0.25">
      <c r="B55" s="783"/>
      <c r="C55" s="817">
        <v>6243</v>
      </c>
      <c r="D55" s="818" t="s">
        <v>935</v>
      </c>
      <c r="E55" s="810">
        <v>760</v>
      </c>
      <c r="F55" s="810"/>
      <c r="G55" s="156" t="s">
        <v>968</v>
      </c>
      <c r="H55" s="784" t="s">
        <v>969</v>
      </c>
    </row>
    <row r="56" spans="2:8" outlineLevel="1" x14ac:dyDescent="0.25">
      <c r="B56" s="783"/>
      <c r="C56" s="817">
        <v>6340</v>
      </c>
      <c r="D56" s="818" t="s">
        <v>1076</v>
      </c>
      <c r="E56" s="976">
        <v>790</v>
      </c>
      <c r="F56" s="976"/>
      <c r="G56" s="156"/>
      <c r="H56" s="784" t="s">
        <v>969</v>
      </c>
    </row>
    <row r="57" spans="2:8" outlineLevel="1" x14ac:dyDescent="0.25">
      <c r="B57" s="783"/>
      <c r="C57" s="817">
        <v>6138</v>
      </c>
      <c r="D57" s="818" t="s">
        <v>936</v>
      </c>
      <c r="E57" s="810">
        <v>719</v>
      </c>
      <c r="F57" s="810"/>
      <c r="G57" s="156" t="s">
        <v>971</v>
      </c>
      <c r="H57" s="784">
        <v>79</v>
      </c>
    </row>
    <row r="58" spans="2:8" outlineLevel="1" x14ac:dyDescent="0.25">
      <c r="B58" s="783"/>
      <c r="C58" s="817">
        <v>6293</v>
      </c>
      <c r="D58" s="576" t="s">
        <v>338</v>
      </c>
      <c r="E58" s="434">
        <v>780</v>
      </c>
      <c r="F58" s="434"/>
      <c r="G58" s="156" t="s">
        <v>971</v>
      </c>
      <c r="H58" s="784" t="s">
        <v>969</v>
      </c>
    </row>
    <row r="59" spans="2:8" x14ac:dyDescent="0.25">
      <c r="B59" s="805" t="s">
        <v>2</v>
      </c>
      <c r="C59" s="806"/>
      <c r="D59" s="806"/>
      <c r="E59" s="807"/>
      <c r="F59" s="807"/>
      <c r="G59" s="806"/>
      <c r="H59" s="821"/>
    </row>
    <row r="60" spans="2:8" outlineLevel="1" x14ac:dyDescent="0.25">
      <c r="B60" s="783"/>
      <c r="C60" s="809" t="s">
        <v>957</v>
      </c>
      <c r="D60" s="809" t="s">
        <v>958</v>
      </c>
      <c r="E60" s="810" t="s">
        <v>1081</v>
      </c>
      <c r="F60" s="810"/>
      <c r="G60" s="156"/>
      <c r="H60" s="812" t="s">
        <v>961</v>
      </c>
    </row>
    <row r="61" spans="2:8" outlineLevel="1" x14ac:dyDescent="0.25">
      <c r="B61" s="783"/>
      <c r="C61" s="813" t="s">
        <v>8</v>
      </c>
      <c r="D61" s="813" t="s">
        <v>8</v>
      </c>
      <c r="E61" s="810">
        <v>986</v>
      </c>
      <c r="F61" s="810"/>
      <c r="G61" s="156"/>
      <c r="H61" s="812" t="s">
        <v>961</v>
      </c>
    </row>
    <row r="62" spans="2:8" outlineLevel="1" x14ac:dyDescent="0.25">
      <c r="B62" s="783"/>
      <c r="C62" s="815" t="s">
        <v>964</v>
      </c>
      <c r="D62" s="815" t="s">
        <v>933</v>
      </c>
      <c r="E62" s="810">
        <v>1002</v>
      </c>
      <c r="F62" s="810"/>
      <c r="G62" s="156" t="s">
        <v>965</v>
      </c>
      <c r="H62" s="816">
        <v>1</v>
      </c>
    </row>
    <row r="63" spans="2:8" outlineLevel="1" x14ac:dyDescent="0.25">
      <c r="B63" s="783"/>
      <c r="C63" s="817">
        <v>6137</v>
      </c>
      <c r="D63" s="818" t="s">
        <v>934</v>
      </c>
      <c r="E63" s="810">
        <v>886</v>
      </c>
      <c r="F63" s="810"/>
      <c r="G63" s="819" t="s">
        <v>967</v>
      </c>
      <c r="H63" s="784">
        <v>3000</v>
      </c>
    </row>
    <row r="64" spans="2:8" outlineLevel="1" x14ac:dyDescent="0.25">
      <c r="B64" s="783"/>
      <c r="C64" s="813">
        <v>6680</v>
      </c>
      <c r="D64" s="818" t="s">
        <v>918</v>
      </c>
      <c r="E64" s="810">
        <v>1004</v>
      </c>
      <c r="F64" s="810"/>
      <c r="G64" s="819" t="s">
        <v>967</v>
      </c>
      <c r="H64" s="784">
        <v>1000</v>
      </c>
    </row>
    <row r="65" spans="2:8" outlineLevel="1" x14ac:dyDescent="0.25">
      <c r="B65" s="783"/>
      <c r="C65" s="813" t="s">
        <v>599</v>
      </c>
      <c r="D65" s="818" t="s">
        <v>431</v>
      </c>
      <c r="E65" s="810">
        <v>959</v>
      </c>
      <c r="F65" s="810"/>
      <c r="G65" s="156" t="s">
        <v>968</v>
      </c>
      <c r="H65" s="784" t="s">
        <v>969</v>
      </c>
    </row>
    <row r="66" spans="2:8" outlineLevel="1" x14ac:dyDescent="0.25">
      <c r="B66" s="783"/>
      <c r="C66" s="817">
        <v>6243</v>
      </c>
      <c r="D66" s="818" t="s">
        <v>935</v>
      </c>
      <c r="E66" s="810">
        <v>928</v>
      </c>
      <c r="F66" s="810"/>
      <c r="G66" s="156" t="s">
        <v>968</v>
      </c>
      <c r="H66" s="784" t="s">
        <v>969</v>
      </c>
    </row>
    <row r="67" spans="2:8" outlineLevel="1" x14ac:dyDescent="0.25">
      <c r="B67" s="783"/>
      <c r="C67" s="817">
        <v>6340</v>
      </c>
      <c r="D67" s="818" t="s">
        <v>1076</v>
      </c>
      <c r="E67" s="976">
        <v>958</v>
      </c>
      <c r="F67" s="976"/>
      <c r="G67" s="156"/>
      <c r="H67" s="784" t="s">
        <v>969</v>
      </c>
    </row>
    <row r="68" spans="2:8" outlineLevel="1" x14ac:dyDescent="0.25">
      <c r="B68" s="783"/>
      <c r="C68" s="817">
        <v>6138</v>
      </c>
      <c r="D68" s="818" t="s">
        <v>936</v>
      </c>
      <c r="E68" s="810">
        <v>887</v>
      </c>
      <c r="F68" s="810"/>
      <c r="G68" s="156" t="s">
        <v>971</v>
      </c>
      <c r="H68" s="784">
        <v>79</v>
      </c>
    </row>
    <row r="69" spans="2:8" outlineLevel="1" x14ac:dyDescent="0.25">
      <c r="B69" s="783"/>
      <c r="C69" s="817">
        <v>6293</v>
      </c>
      <c r="D69" s="576" t="s">
        <v>338</v>
      </c>
      <c r="E69" s="434">
        <v>948</v>
      </c>
      <c r="F69" s="434"/>
      <c r="G69" s="156" t="s">
        <v>971</v>
      </c>
      <c r="H69" s="784" t="s">
        <v>969</v>
      </c>
    </row>
    <row r="70" spans="2:8" x14ac:dyDescent="0.25">
      <c r="B70" s="805" t="s">
        <v>706</v>
      </c>
      <c r="C70" s="806"/>
      <c r="D70" s="806"/>
      <c r="E70" s="807"/>
      <c r="F70" s="807"/>
      <c r="G70" s="806"/>
      <c r="H70" s="821"/>
    </row>
    <row r="71" spans="2:8" outlineLevel="1" x14ac:dyDescent="0.25">
      <c r="B71" s="783"/>
      <c r="C71" s="809" t="s">
        <v>957</v>
      </c>
      <c r="D71" s="809" t="s">
        <v>958</v>
      </c>
      <c r="E71" s="810" t="s">
        <v>1082</v>
      </c>
      <c r="F71" s="810"/>
      <c r="G71" s="156"/>
      <c r="H71" s="812" t="s">
        <v>961</v>
      </c>
    </row>
    <row r="72" spans="2:8" outlineLevel="1" x14ac:dyDescent="0.25">
      <c r="B72" s="783"/>
      <c r="C72" s="813" t="s">
        <v>8</v>
      </c>
      <c r="D72" s="813" t="s">
        <v>8</v>
      </c>
      <c r="E72" s="810">
        <v>1154</v>
      </c>
      <c r="F72" s="810"/>
      <c r="G72" s="156"/>
      <c r="H72" s="812" t="s">
        <v>961</v>
      </c>
    </row>
    <row r="73" spans="2:8" outlineLevel="1" x14ac:dyDescent="0.25">
      <c r="B73" s="783"/>
      <c r="C73" s="815" t="s">
        <v>964</v>
      </c>
      <c r="D73" s="815" t="s">
        <v>933</v>
      </c>
      <c r="E73" s="810">
        <v>1170</v>
      </c>
      <c r="F73" s="810"/>
      <c r="G73" s="156" t="s">
        <v>965</v>
      </c>
      <c r="H73" s="816">
        <v>1</v>
      </c>
    </row>
    <row r="74" spans="2:8" outlineLevel="1" x14ac:dyDescent="0.25">
      <c r="B74" s="783"/>
      <c r="C74" s="817">
        <v>6137</v>
      </c>
      <c r="D74" s="818" t="s">
        <v>934</v>
      </c>
      <c r="E74" s="810">
        <v>1054</v>
      </c>
      <c r="F74" s="810"/>
      <c r="G74" s="819" t="s">
        <v>967</v>
      </c>
      <c r="H74" s="784">
        <v>3000</v>
      </c>
    </row>
    <row r="75" spans="2:8" outlineLevel="1" x14ac:dyDescent="0.25">
      <c r="B75" s="783"/>
      <c r="C75" s="813">
        <v>6680</v>
      </c>
      <c r="D75" s="818" t="s">
        <v>918</v>
      </c>
      <c r="E75" s="810">
        <v>1172</v>
      </c>
      <c r="F75" s="810"/>
      <c r="G75" s="819" t="s">
        <v>967</v>
      </c>
      <c r="H75" s="784">
        <v>1000</v>
      </c>
    </row>
    <row r="76" spans="2:8" outlineLevel="1" x14ac:dyDescent="0.25">
      <c r="B76" s="783"/>
      <c r="C76" s="813" t="s">
        <v>599</v>
      </c>
      <c r="D76" s="818" t="s">
        <v>431</v>
      </c>
      <c r="E76" s="810">
        <v>1127</v>
      </c>
      <c r="F76" s="810"/>
      <c r="G76" s="156" t="s">
        <v>968</v>
      </c>
      <c r="H76" s="784" t="s">
        <v>969</v>
      </c>
    </row>
    <row r="77" spans="2:8" outlineLevel="1" x14ac:dyDescent="0.25">
      <c r="B77" s="783"/>
      <c r="C77" s="817">
        <v>6243</v>
      </c>
      <c r="D77" s="818" t="s">
        <v>935</v>
      </c>
      <c r="E77" s="810">
        <v>1096</v>
      </c>
      <c r="F77" s="810"/>
      <c r="G77" s="156" t="s">
        <v>968</v>
      </c>
      <c r="H77" s="784" t="s">
        <v>969</v>
      </c>
    </row>
    <row r="78" spans="2:8" outlineLevel="1" x14ac:dyDescent="0.25">
      <c r="B78" s="783"/>
      <c r="C78" s="817">
        <v>6340</v>
      </c>
      <c r="D78" s="818" t="s">
        <v>1076</v>
      </c>
      <c r="E78" s="976">
        <v>1126</v>
      </c>
      <c r="F78" s="976"/>
      <c r="G78" s="156"/>
      <c r="H78" s="784" t="s">
        <v>969</v>
      </c>
    </row>
    <row r="79" spans="2:8" outlineLevel="1" x14ac:dyDescent="0.25">
      <c r="B79" s="783"/>
      <c r="C79" s="817">
        <v>6138</v>
      </c>
      <c r="D79" s="818" t="s">
        <v>936</v>
      </c>
      <c r="E79" s="810">
        <v>1055</v>
      </c>
      <c r="F79" s="810"/>
      <c r="G79" s="156" t="s">
        <v>971</v>
      </c>
      <c r="H79" s="784">
        <v>79</v>
      </c>
    </row>
    <row r="80" spans="2:8" outlineLevel="1" x14ac:dyDescent="0.25">
      <c r="B80" s="783"/>
      <c r="C80" s="817">
        <v>6293</v>
      </c>
      <c r="D80" s="576" t="s">
        <v>338</v>
      </c>
      <c r="E80" s="810">
        <v>1116</v>
      </c>
      <c r="F80" s="810"/>
      <c r="G80" s="156" t="s">
        <v>971</v>
      </c>
      <c r="H80" s="784" t="s">
        <v>969</v>
      </c>
    </row>
    <row r="81" spans="2:8" x14ac:dyDescent="0.25">
      <c r="B81" s="805" t="s">
        <v>972</v>
      </c>
      <c r="C81" s="806"/>
      <c r="D81" s="806"/>
      <c r="E81" s="807"/>
      <c r="F81" s="807"/>
      <c r="G81" s="806"/>
      <c r="H81" s="821"/>
    </row>
    <row r="82" spans="2:8" outlineLevel="1" x14ac:dyDescent="0.25">
      <c r="B82" s="783"/>
      <c r="C82" s="809" t="s">
        <v>957</v>
      </c>
      <c r="D82" s="809" t="s">
        <v>958</v>
      </c>
      <c r="E82" s="810"/>
      <c r="F82" s="810"/>
      <c r="G82" s="156"/>
      <c r="H82" s="812" t="s">
        <v>961</v>
      </c>
    </row>
    <row r="83" spans="2:8" outlineLevel="1" x14ac:dyDescent="0.25">
      <c r="B83" s="783"/>
      <c r="C83" s="813" t="s">
        <v>8</v>
      </c>
      <c r="D83" s="813" t="s">
        <v>8</v>
      </c>
      <c r="E83" s="810">
        <v>1322</v>
      </c>
      <c r="F83" s="810"/>
      <c r="G83" s="156"/>
      <c r="H83" s="812" t="s">
        <v>961</v>
      </c>
    </row>
    <row r="84" spans="2:8" outlineLevel="1" x14ac:dyDescent="0.25">
      <c r="B84" s="783"/>
      <c r="C84" s="815" t="s">
        <v>964</v>
      </c>
      <c r="D84" s="815" t="s">
        <v>933</v>
      </c>
      <c r="E84" s="810">
        <v>1338</v>
      </c>
      <c r="F84" s="810"/>
      <c r="G84" s="156" t="s">
        <v>965</v>
      </c>
      <c r="H84" s="816">
        <v>1</v>
      </c>
    </row>
    <row r="85" spans="2:8" outlineLevel="1" x14ac:dyDescent="0.25">
      <c r="B85" s="783"/>
      <c r="C85" s="817">
        <v>6137</v>
      </c>
      <c r="D85" s="818" t="s">
        <v>934</v>
      </c>
      <c r="E85" s="810">
        <v>1222</v>
      </c>
      <c r="F85" s="810"/>
      <c r="G85" s="819" t="s">
        <v>967</v>
      </c>
      <c r="H85" s="784">
        <v>3000</v>
      </c>
    </row>
    <row r="86" spans="2:8" outlineLevel="1" x14ac:dyDescent="0.25">
      <c r="B86" s="783"/>
      <c r="C86" s="813">
        <v>6680</v>
      </c>
      <c r="D86" s="818" t="s">
        <v>918</v>
      </c>
      <c r="E86" s="810">
        <v>1340</v>
      </c>
      <c r="F86" s="810"/>
      <c r="G86" s="819" t="s">
        <v>967</v>
      </c>
      <c r="H86" s="784">
        <v>1000</v>
      </c>
    </row>
    <row r="87" spans="2:8" outlineLevel="1" x14ac:dyDescent="0.25">
      <c r="B87" s="783"/>
      <c r="C87" s="813" t="s">
        <v>599</v>
      </c>
      <c r="D87" s="818" t="s">
        <v>431</v>
      </c>
      <c r="E87" s="810">
        <v>1295</v>
      </c>
      <c r="F87" s="810"/>
      <c r="G87" s="156" t="s">
        <v>968</v>
      </c>
      <c r="H87" s="784" t="s">
        <v>969</v>
      </c>
    </row>
    <row r="88" spans="2:8" outlineLevel="1" x14ac:dyDescent="0.25">
      <c r="B88" s="783"/>
      <c r="C88" s="817">
        <v>6243</v>
      </c>
      <c r="D88" s="818" t="s">
        <v>935</v>
      </c>
      <c r="E88" s="810">
        <v>1264</v>
      </c>
      <c r="F88" s="810"/>
      <c r="G88" s="156" t="s">
        <v>968</v>
      </c>
      <c r="H88" s="784" t="s">
        <v>969</v>
      </c>
    </row>
    <row r="89" spans="2:8" outlineLevel="1" x14ac:dyDescent="0.25">
      <c r="B89" s="783"/>
      <c r="C89" s="817">
        <v>6340</v>
      </c>
      <c r="D89" s="818" t="s">
        <v>1076</v>
      </c>
      <c r="E89" s="810">
        <v>1294</v>
      </c>
      <c r="F89" s="810"/>
      <c r="G89" s="156"/>
      <c r="H89" s="784" t="s">
        <v>969</v>
      </c>
    </row>
    <row r="90" spans="2:8" outlineLevel="1" x14ac:dyDescent="0.25">
      <c r="B90" s="783"/>
      <c r="C90" s="817">
        <v>6138</v>
      </c>
      <c r="D90" s="818" t="s">
        <v>936</v>
      </c>
      <c r="E90" s="810">
        <v>1223</v>
      </c>
      <c r="F90" s="810"/>
      <c r="G90" s="156" t="s">
        <v>971</v>
      </c>
      <c r="H90" s="784">
        <v>79</v>
      </c>
    </row>
    <row r="91" spans="2:8" outlineLevel="1" x14ac:dyDescent="0.25">
      <c r="B91" s="783"/>
      <c r="C91" s="817">
        <v>6293</v>
      </c>
      <c r="D91" s="125" t="s">
        <v>338</v>
      </c>
      <c r="E91" s="25">
        <v>1294</v>
      </c>
      <c r="F91" s="25"/>
      <c r="G91" s="156" t="s">
        <v>971</v>
      </c>
      <c r="H91" s="784" t="s">
        <v>969</v>
      </c>
    </row>
    <row r="92" spans="2:8" x14ac:dyDescent="0.25">
      <c r="B92" s="805" t="s">
        <v>1177</v>
      </c>
      <c r="C92" s="806"/>
      <c r="D92" s="806"/>
      <c r="E92" s="807"/>
      <c r="F92" s="807"/>
      <c r="G92" s="806"/>
      <c r="H92" s="821"/>
    </row>
    <row r="93" spans="2:8" outlineLevel="1" x14ac:dyDescent="0.25">
      <c r="B93" s="783"/>
      <c r="C93" s="809" t="s">
        <v>957</v>
      </c>
      <c r="D93" s="809" t="s">
        <v>958</v>
      </c>
      <c r="E93" s="810"/>
      <c r="F93" s="810"/>
      <c r="G93" s="156"/>
      <c r="H93" s="812" t="s">
        <v>961</v>
      </c>
    </row>
    <row r="94" spans="2:8" outlineLevel="1" x14ac:dyDescent="0.25">
      <c r="B94" s="783"/>
      <c r="C94" s="813" t="s">
        <v>8</v>
      </c>
      <c r="D94" s="813" t="s">
        <v>8</v>
      </c>
      <c r="E94" s="810">
        <v>1322</v>
      </c>
      <c r="F94" s="810"/>
      <c r="G94" s="156"/>
      <c r="H94" s="812" t="s">
        <v>961</v>
      </c>
    </row>
    <row r="95" spans="2:8" outlineLevel="1" x14ac:dyDescent="0.25">
      <c r="B95" s="783"/>
      <c r="C95" s="815" t="s">
        <v>964</v>
      </c>
      <c r="D95" s="815" t="s">
        <v>933</v>
      </c>
      <c r="E95" s="810">
        <v>1338</v>
      </c>
      <c r="F95" s="810"/>
      <c r="G95" s="156" t="s">
        <v>965</v>
      </c>
      <c r="H95" s="816">
        <v>1</v>
      </c>
    </row>
    <row r="96" spans="2:8" outlineLevel="1" x14ac:dyDescent="0.25">
      <c r="B96" s="783"/>
      <c r="C96" s="817">
        <v>6137</v>
      </c>
      <c r="D96" s="818" t="s">
        <v>934</v>
      </c>
      <c r="E96" s="810">
        <v>1222</v>
      </c>
      <c r="F96" s="810"/>
      <c r="G96" s="819" t="s">
        <v>967</v>
      </c>
      <c r="H96" s="784">
        <v>3000</v>
      </c>
    </row>
    <row r="97" spans="2:8" outlineLevel="1" x14ac:dyDescent="0.25">
      <c r="B97" s="783"/>
      <c r="C97" s="813">
        <v>6680</v>
      </c>
      <c r="D97" s="818" t="s">
        <v>918</v>
      </c>
      <c r="E97" s="810">
        <v>1340</v>
      </c>
      <c r="F97" s="810"/>
      <c r="G97" s="819" t="s">
        <v>967</v>
      </c>
      <c r="H97" s="784">
        <v>1000</v>
      </c>
    </row>
    <row r="98" spans="2:8" outlineLevel="1" x14ac:dyDescent="0.25">
      <c r="B98" s="783"/>
      <c r="C98" s="813" t="s">
        <v>599</v>
      </c>
      <c r="D98" s="818" t="s">
        <v>431</v>
      </c>
      <c r="E98" s="810">
        <v>1295</v>
      </c>
      <c r="F98" s="810"/>
      <c r="G98" s="156" t="s">
        <v>968</v>
      </c>
      <c r="H98" s="784" t="s">
        <v>969</v>
      </c>
    </row>
    <row r="99" spans="2:8" outlineLevel="1" x14ac:dyDescent="0.25">
      <c r="B99" s="783"/>
      <c r="C99" s="817">
        <v>6243</v>
      </c>
      <c r="D99" s="818" t="s">
        <v>935</v>
      </c>
      <c r="E99" s="810">
        <v>1264</v>
      </c>
      <c r="F99" s="810"/>
      <c r="G99" s="156" t="s">
        <v>968</v>
      </c>
      <c r="H99" s="784" t="s">
        <v>969</v>
      </c>
    </row>
    <row r="100" spans="2:8" outlineLevel="1" x14ac:dyDescent="0.25">
      <c r="B100" s="783"/>
      <c r="C100" s="817">
        <v>6340</v>
      </c>
      <c r="D100" s="818" t="s">
        <v>1076</v>
      </c>
      <c r="E100" s="810">
        <v>1294</v>
      </c>
      <c r="F100" s="810"/>
      <c r="G100" s="156"/>
      <c r="H100" s="784" t="s">
        <v>969</v>
      </c>
    </row>
    <row r="101" spans="2:8" outlineLevel="1" x14ac:dyDescent="0.25">
      <c r="B101" s="783"/>
      <c r="C101" s="817">
        <v>6138</v>
      </c>
      <c r="D101" s="818" t="s">
        <v>936</v>
      </c>
      <c r="E101" s="810">
        <v>1223</v>
      </c>
      <c r="F101" s="810"/>
      <c r="G101" s="156" t="s">
        <v>971</v>
      </c>
      <c r="H101" s="784">
        <v>79</v>
      </c>
    </row>
    <row r="102" spans="2:8" outlineLevel="1" x14ac:dyDescent="0.25">
      <c r="B102" s="822"/>
      <c r="C102" s="835">
        <v>6293</v>
      </c>
      <c r="D102" s="977" t="s">
        <v>338</v>
      </c>
      <c r="E102" s="837">
        <v>1294</v>
      </c>
      <c r="F102" s="837"/>
      <c r="G102" s="823" t="s">
        <v>971</v>
      </c>
      <c r="H102" s="824" t="s">
        <v>969</v>
      </c>
    </row>
  </sheetData>
  <pageMargins left="0.7" right="0.7" top="0.75" bottom="0.75" header="0.3" footer="0.3"/>
  <pageSetup orientation="portrait" horizontalDpi="0"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25"/>
  <sheetViews>
    <sheetView showGridLines="0" workbookViewId="0">
      <selection activeCell="G8" sqref="G8"/>
    </sheetView>
  </sheetViews>
  <sheetFormatPr defaultColWidth="9.140625" defaultRowHeight="15" x14ac:dyDescent="0.25"/>
  <cols>
    <col min="1" max="1" width="2" style="570" customWidth="1"/>
    <col min="2" max="2" width="2.140625" style="570" bestFit="1" customWidth="1"/>
    <col min="3" max="3" width="24.28515625" style="570" bestFit="1" customWidth="1"/>
    <col min="4" max="4" width="10.140625" style="570" bestFit="1" customWidth="1"/>
    <col min="5" max="5" width="10.5703125" style="570" bestFit="1" customWidth="1"/>
    <col min="6" max="6" width="13.42578125" style="570" customWidth="1"/>
    <col min="7" max="7" width="10.7109375" style="570" bestFit="1" customWidth="1"/>
    <col min="8" max="8" width="16.5703125" style="570" bestFit="1" customWidth="1"/>
    <col min="9" max="9" width="15.85546875" style="570" bestFit="1" customWidth="1"/>
    <col min="10" max="10" width="15.85546875" style="570" customWidth="1"/>
    <col min="11" max="11" width="10.85546875" style="570" bestFit="1" customWidth="1"/>
    <col min="12" max="12" width="18.28515625" style="570" bestFit="1" customWidth="1"/>
    <col min="13" max="13" width="14.5703125" style="570" bestFit="1" customWidth="1"/>
    <col min="14" max="14" width="12.7109375" style="570" customWidth="1"/>
    <col min="15" max="15" width="10.7109375" style="570" bestFit="1" customWidth="1"/>
    <col min="16" max="16" width="15.42578125" style="570" bestFit="1" customWidth="1"/>
    <col min="17" max="18" width="10.7109375" style="570" bestFit="1" customWidth="1"/>
    <col min="19" max="16384" width="9.140625" style="570"/>
  </cols>
  <sheetData>
    <row r="2" spans="2:19" x14ac:dyDescent="0.25">
      <c r="B2" s="636" t="s">
        <v>994</v>
      </c>
      <c r="C2" s="636" t="s">
        <v>1057</v>
      </c>
      <c r="N2" s="570" t="s">
        <v>993</v>
      </c>
    </row>
    <row r="3" spans="2:19" x14ac:dyDescent="0.25">
      <c r="B3" s="840" t="s">
        <v>782</v>
      </c>
      <c r="C3" s="840" t="s">
        <v>917</v>
      </c>
      <c r="D3" s="840" t="s">
        <v>997</v>
      </c>
      <c r="E3" s="840" t="s">
        <v>998</v>
      </c>
      <c r="F3" s="840" t="s">
        <v>949</v>
      </c>
      <c r="G3" s="840" t="s">
        <v>0</v>
      </c>
      <c r="H3" s="840" t="s">
        <v>999</v>
      </c>
      <c r="I3" s="840" t="s">
        <v>1000</v>
      </c>
      <c r="J3" s="840"/>
      <c r="K3" s="840" t="s">
        <v>1002</v>
      </c>
      <c r="L3" s="840" t="s">
        <v>1003</v>
      </c>
      <c r="M3" s="840" t="s">
        <v>1004</v>
      </c>
      <c r="N3" s="841">
        <v>41333</v>
      </c>
      <c r="O3" s="841">
        <v>41698</v>
      </c>
      <c r="P3" s="841">
        <v>42063</v>
      </c>
      <c r="Q3" s="841">
        <v>42428</v>
      </c>
      <c r="R3" s="841">
        <v>42794</v>
      </c>
    </row>
    <row r="4" spans="2:19" x14ac:dyDescent="0.25">
      <c r="B4" s="842"/>
      <c r="C4" s="842"/>
      <c r="D4" s="842"/>
      <c r="E4" s="842"/>
      <c r="F4" s="842"/>
      <c r="G4" s="842"/>
      <c r="H4" s="842"/>
      <c r="I4" s="842"/>
      <c r="J4" s="842"/>
      <c r="K4" s="842"/>
      <c r="L4" s="842"/>
      <c r="M4" s="842"/>
      <c r="N4" s="843" t="s">
        <v>1006</v>
      </c>
      <c r="O4" s="843"/>
      <c r="P4" s="843"/>
      <c r="Q4" s="843"/>
      <c r="R4" s="843"/>
      <c r="S4" s="570" t="s">
        <v>1058</v>
      </c>
    </row>
    <row r="5" spans="2:19" x14ac:dyDescent="0.25">
      <c r="F5" s="848"/>
      <c r="G5" s="305"/>
      <c r="H5" s="845"/>
      <c r="L5" s="850"/>
      <c r="M5" s="61"/>
      <c r="N5" s="575"/>
      <c r="O5" s="575"/>
      <c r="P5" s="314"/>
      <c r="Q5" s="314"/>
      <c r="R5" s="314"/>
    </row>
    <row r="6" spans="2:19" x14ac:dyDescent="0.25">
      <c r="B6" s="570">
        <v>1</v>
      </c>
      <c r="F6" s="848" t="s">
        <v>66</v>
      </c>
      <c r="G6" s="305">
        <v>41851</v>
      </c>
      <c r="H6" s="845">
        <v>55153</v>
      </c>
      <c r="L6" s="850">
        <v>0.1</v>
      </c>
      <c r="M6" s="61">
        <v>0.03</v>
      </c>
      <c r="N6" s="575">
        <v>120000</v>
      </c>
      <c r="O6" s="575">
        <v>120000</v>
      </c>
      <c r="P6" s="314">
        <f t="shared" ref="P6:P18" si="0">IF($P$3&gt;$G6,(O6*(1+$M6)),0)</f>
        <v>123600</v>
      </c>
      <c r="Q6" s="314">
        <f t="shared" ref="Q6:Q8" si="1">IF($Q$3&gt;$G6,(P6*(1+$M6)),0)</f>
        <v>127308</v>
      </c>
      <c r="R6" s="314">
        <f t="shared" ref="R6:R8" si="2">IF($R$3&gt;$G6,(Q6*(1+$M6)),0)</f>
        <v>131127.24</v>
      </c>
    </row>
    <row r="7" spans="2:19" x14ac:dyDescent="0.25">
      <c r="B7" s="570">
        <v>1</v>
      </c>
      <c r="F7" s="848" t="s">
        <v>66</v>
      </c>
      <c r="G7" s="305">
        <v>41943</v>
      </c>
      <c r="H7" s="845">
        <v>55153</v>
      </c>
      <c r="L7" s="850">
        <v>0.1</v>
      </c>
      <c r="M7" s="61">
        <v>0.03</v>
      </c>
      <c r="N7" s="575">
        <v>120000</v>
      </c>
      <c r="O7" s="575">
        <v>120000</v>
      </c>
      <c r="P7" s="314">
        <v>123600</v>
      </c>
      <c r="Q7" s="314">
        <v>127308</v>
      </c>
      <c r="R7" s="314">
        <v>131127.24</v>
      </c>
    </row>
    <row r="8" spans="2:19" x14ac:dyDescent="0.25">
      <c r="B8" s="570">
        <v>1</v>
      </c>
      <c r="F8" s="848" t="s">
        <v>66</v>
      </c>
      <c r="G8" s="305">
        <v>41730</v>
      </c>
      <c r="H8" s="845">
        <v>55153</v>
      </c>
      <c r="L8" s="850">
        <v>0.1</v>
      </c>
      <c r="M8" s="61">
        <v>0.03</v>
      </c>
      <c r="N8" s="575">
        <v>120000</v>
      </c>
      <c r="O8" s="575">
        <v>120000</v>
      </c>
      <c r="P8" s="314">
        <f t="shared" si="0"/>
        <v>123600</v>
      </c>
      <c r="Q8" s="314">
        <f t="shared" si="1"/>
        <v>127308</v>
      </c>
      <c r="R8" s="314">
        <f t="shared" si="2"/>
        <v>131127.24</v>
      </c>
    </row>
    <row r="9" spans="2:19" x14ac:dyDescent="0.25">
      <c r="B9" s="570">
        <v>1</v>
      </c>
      <c r="F9" s="848" t="s">
        <v>223</v>
      </c>
      <c r="G9" s="305">
        <v>41730</v>
      </c>
      <c r="H9" s="845">
        <v>55153</v>
      </c>
      <c r="L9" s="850">
        <v>0.1</v>
      </c>
      <c r="M9" s="61">
        <v>0.03</v>
      </c>
      <c r="N9" s="314">
        <v>50000</v>
      </c>
      <c r="O9" s="314">
        <v>50000</v>
      </c>
      <c r="P9" s="314">
        <f t="shared" si="0"/>
        <v>51500</v>
      </c>
      <c r="Q9" s="314">
        <f t="shared" ref="Q9:Q18" si="3">IF($Q$3&gt;$G9,(P9*(1+$M9)),0)</f>
        <v>53045</v>
      </c>
      <c r="R9" s="314">
        <f t="shared" ref="R9:R18" si="4">IF($R$3&gt;$G9,(Q9*(1+$M9)),0)</f>
        <v>54636.35</v>
      </c>
    </row>
    <row r="10" spans="2:19" x14ac:dyDescent="0.25">
      <c r="B10" s="570">
        <v>1</v>
      </c>
      <c r="F10" s="848" t="s">
        <v>223</v>
      </c>
      <c r="G10" s="305">
        <v>41821</v>
      </c>
      <c r="H10" s="845">
        <v>55153</v>
      </c>
      <c r="L10" s="850">
        <v>0.1</v>
      </c>
      <c r="M10" s="61">
        <v>0.03</v>
      </c>
      <c r="N10" s="314">
        <v>50000</v>
      </c>
      <c r="O10" s="314">
        <v>50000</v>
      </c>
      <c r="P10" s="314">
        <f t="shared" ref="P10:P11" si="5">IF($P$3&gt;$G10,(O10*(1+$M10)),0)</f>
        <v>51500</v>
      </c>
      <c r="Q10" s="314">
        <f t="shared" ref="Q10:Q11" si="6">IF($Q$3&gt;$G10,(P10*(1+$M10)),0)</f>
        <v>53045</v>
      </c>
      <c r="R10" s="314">
        <f t="shared" ref="R10:R11" si="7">IF($R$3&gt;$G10,(Q10*(1+$M10)),0)</f>
        <v>54636.35</v>
      </c>
    </row>
    <row r="11" spans="2:19" x14ac:dyDescent="0.25">
      <c r="B11" s="570">
        <v>1</v>
      </c>
      <c r="F11" s="848" t="s">
        <v>223</v>
      </c>
      <c r="G11" s="305">
        <v>41671</v>
      </c>
      <c r="H11" s="845">
        <v>55153</v>
      </c>
      <c r="L11" s="850">
        <v>0.1</v>
      </c>
      <c r="M11" s="61">
        <v>0.03</v>
      </c>
      <c r="N11" s="314">
        <v>50000</v>
      </c>
      <c r="O11" s="314">
        <v>50000</v>
      </c>
      <c r="P11" s="314">
        <f t="shared" si="5"/>
        <v>51500</v>
      </c>
      <c r="Q11" s="314">
        <f t="shared" si="6"/>
        <v>53045</v>
      </c>
      <c r="R11" s="314">
        <f t="shared" si="7"/>
        <v>54636.35</v>
      </c>
    </row>
    <row r="12" spans="2:19" x14ac:dyDescent="0.25">
      <c r="B12" s="570">
        <v>1</v>
      </c>
      <c r="F12" s="848" t="s">
        <v>223</v>
      </c>
      <c r="G12" s="305">
        <v>41730</v>
      </c>
      <c r="H12" s="845">
        <v>55153</v>
      </c>
      <c r="L12" s="850">
        <v>0.1</v>
      </c>
      <c r="M12" s="61">
        <v>0.03</v>
      </c>
      <c r="N12" s="314">
        <v>50000</v>
      </c>
      <c r="O12" s="314">
        <v>50000</v>
      </c>
      <c r="P12" s="314">
        <f t="shared" si="0"/>
        <v>51500</v>
      </c>
      <c r="Q12" s="314">
        <f t="shared" si="3"/>
        <v>53045</v>
      </c>
      <c r="R12" s="314">
        <f t="shared" si="4"/>
        <v>54636.35</v>
      </c>
    </row>
    <row r="13" spans="2:19" x14ac:dyDescent="0.25">
      <c r="B13" s="570">
        <v>1</v>
      </c>
      <c r="F13" s="848" t="s">
        <v>223</v>
      </c>
      <c r="G13" s="305">
        <v>41821</v>
      </c>
      <c r="H13" s="845">
        <v>55153</v>
      </c>
      <c r="L13" s="850">
        <v>0.1</v>
      </c>
      <c r="M13" s="61">
        <v>0.03</v>
      </c>
      <c r="N13" s="314">
        <v>50000</v>
      </c>
      <c r="O13" s="314">
        <v>50000</v>
      </c>
      <c r="P13" s="314">
        <f t="shared" si="0"/>
        <v>51500</v>
      </c>
      <c r="Q13" s="314">
        <f t="shared" si="3"/>
        <v>53045</v>
      </c>
      <c r="R13" s="314">
        <f t="shared" si="4"/>
        <v>54636.35</v>
      </c>
    </row>
    <row r="14" spans="2:19" x14ac:dyDescent="0.25">
      <c r="B14" s="570">
        <v>1</v>
      </c>
      <c r="C14" s="848" t="s">
        <v>1201</v>
      </c>
      <c r="F14" s="848" t="s">
        <v>3</v>
      </c>
      <c r="G14" s="305">
        <v>41760</v>
      </c>
      <c r="H14" s="845">
        <v>55153</v>
      </c>
      <c r="L14" s="298">
        <v>0.45</v>
      </c>
      <c r="M14" s="61">
        <v>0.03</v>
      </c>
      <c r="N14" s="314">
        <v>275000</v>
      </c>
      <c r="O14" s="314">
        <v>275000</v>
      </c>
      <c r="P14" s="314">
        <f t="shared" si="0"/>
        <v>283250</v>
      </c>
      <c r="Q14" s="314">
        <f t="shared" si="3"/>
        <v>291747.5</v>
      </c>
      <c r="R14" s="314">
        <f t="shared" si="4"/>
        <v>300499.92499999999</v>
      </c>
    </row>
    <row r="15" spans="2:19" x14ac:dyDescent="0.25">
      <c r="B15" s="570">
        <v>1</v>
      </c>
      <c r="C15" s="570" t="s">
        <v>1223</v>
      </c>
      <c r="F15" s="848" t="s">
        <v>472</v>
      </c>
      <c r="G15" s="305">
        <v>41730</v>
      </c>
      <c r="H15" s="845">
        <v>55153</v>
      </c>
      <c r="L15" s="850">
        <v>0.1</v>
      </c>
      <c r="M15" s="61">
        <v>0.03</v>
      </c>
      <c r="N15" s="314">
        <v>120000</v>
      </c>
      <c r="O15" s="314">
        <v>120000</v>
      </c>
      <c r="P15" s="314">
        <f t="shared" si="0"/>
        <v>123600</v>
      </c>
      <c r="Q15" s="314">
        <f t="shared" si="3"/>
        <v>127308</v>
      </c>
      <c r="R15" s="314">
        <f t="shared" si="4"/>
        <v>131127.24</v>
      </c>
    </row>
    <row r="16" spans="2:19" x14ac:dyDescent="0.25">
      <c r="B16" s="168">
        <v>1</v>
      </c>
      <c r="C16" s="570" t="s">
        <v>1224</v>
      </c>
      <c r="F16" s="848" t="s">
        <v>4</v>
      </c>
      <c r="G16" s="305">
        <v>41791</v>
      </c>
      <c r="H16" s="845">
        <v>55153</v>
      </c>
      <c r="L16" s="850">
        <v>0.1</v>
      </c>
      <c r="M16" s="61">
        <v>0.03</v>
      </c>
      <c r="N16" s="314">
        <v>65000</v>
      </c>
      <c r="O16" s="314">
        <v>65000</v>
      </c>
      <c r="P16" s="314">
        <f t="shared" si="0"/>
        <v>66950</v>
      </c>
      <c r="Q16" s="314">
        <f t="shared" si="3"/>
        <v>68958.5</v>
      </c>
      <c r="R16" s="314">
        <f t="shared" si="4"/>
        <v>71027.255000000005</v>
      </c>
    </row>
    <row r="17" spans="2:18" x14ac:dyDescent="0.25">
      <c r="B17" s="168">
        <v>1</v>
      </c>
      <c r="C17" s="168" t="s">
        <v>1225</v>
      </c>
      <c r="F17" s="848" t="s">
        <v>4</v>
      </c>
      <c r="G17" s="305">
        <v>41730</v>
      </c>
      <c r="H17" s="845">
        <v>55153</v>
      </c>
      <c r="L17" s="850">
        <v>0.1</v>
      </c>
      <c r="M17" s="61">
        <v>0.03</v>
      </c>
      <c r="N17" s="314">
        <v>80000</v>
      </c>
      <c r="O17" s="314">
        <v>80000</v>
      </c>
      <c r="P17" s="314">
        <f t="shared" si="0"/>
        <v>82400</v>
      </c>
      <c r="Q17" s="314">
        <f t="shared" si="3"/>
        <v>84872</v>
      </c>
      <c r="R17" s="314">
        <f t="shared" si="4"/>
        <v>87418.16</v>
      </c>
    </row>
    <row r="18" spans="2:18" x14ac:dyDescent="0.25">
      <c r="B18" s="168">
        <v>1</v>
      </c>
      <c r="C18" s="168" t="s">
        <v>1316</v>
      </c>
      <c r="F18" s="848" t="s">
        <v>3</v>
      </c>
      <c r="G18" s="305">
        <v>41730</v>
      </c>
      <c r="H18" s="845">
        <v>55153</v>
      </c>
      <c r="L18" s="850">
        <v>0.1</v>
      </c>
      <c r="M18" s="61">
        <v>0.03</v>
      </c>
      <c r="N18" s="314">
        <v>65000</v>
      </c>
      <c r="O18" s="314">
        <v>65000</v>
      </c>
      <c r="P18" s="314">
        <f t="shared" si="0"/>
        <v>66950</v>
      </c>
      <c r="Q18" s="314">
        <f t="shared" si="3"/>
        <v>68958.5</v>
      </c>
      <c r="R18" s="314">
        <f t="shared" si="4"/>
        <v>71027.255000000005</v>
      </c>
    </row>
    <row r="19" spans="2:18" x14ac:dyDescent="0.25">
      <c r="B19" s="168">
        <v>1</v>
      </c>
      <c r="C19" s="168" t="s">
        <v>1356</v>
      </c>
      <c r="F19" s="848" t="s">
        <v>472</v>
      </c>
      <c r="G19" s="305">
        <v>41791</v>
      </c>
      <c r="H19" s="305">
        <v>41883</v>
      </c>
      <c r="L19" s="1211">
        <v>0.01</v>
      </c>
      <c r="M19" s="61">
        <v>0.03</v>
      </c>
      <c r="N19" s="309">
        <v>36000</v>
      </c>
      <c r="O19" s="309">
        <v>36000</v>
      </c>
      <c r="P19" s="314">
        <f t="shared" ref="P19:P21" si="8">IF($P$3&gt;$G19,(O19*(1+$M19)),0)</f>
        <v>37080</v>
      </c>
      <c r="Q19" s="314">
        <f t="shared" ref="Q19:Q21" si="9">IF($Q$3&gt;$G19,(P19*(1+$M19)),0)</f>
        <v>38192.400000000001</v>
      </c>
      <c r="R19" s="314">
        <f t="shared" ref="R19:R21" si="10">IF($R$3&gt;$G19,(Q19*(1+$M19)),0)</f>
        <v>39338.172000000006</v>
      </c>
    </row>
    <row r="20" spans="2:18" x14ac:dyDescent="0.25">
      <c r="B20" s="168">
        <v>1</v>
      </c>
      <c r="C20" s="168" t="s">
        <v>1373</v>
      </c>
      <c r="F20" s="848" t="s">
        <v>472</v>
      </c>
      <c r="G20" s="305">
        <v>41760</v>
      </c>
      <c r="H20" s="845">
        <v>55153</v>
      </c>
      <c r="L20" s="850">
        <v>0.1</v>
      </c>
      <c r="M20" s="61">
        <v>0.03</v>
      </c>
      <c r="N20" s="314">
        <v>130000</v>
      </c>
      <c r="O20" s="314">
        <v>130000</v>
      </c>
      <c r="P20" s="314">
        <f t="shared" si="8"/>
        <v>133900</v>
      </c>
      <c r="Q20" s="314">
        <f t="shared" si="9"/>
        <v>137917</v>
      </c>
      <c r="R20" s="314">
        <f t="shared" si="10"/>
        <v>142054.51</v>
      </c>
    </row>
    <row r="21" spans="2:18" x14ac:dyDescent="0.25">
      <c r="B21" s="168">
        <v>1</v>
      </c>
      <c r="C21" s="168" t="s">
        <v>1374</v>
      </c>
      <c r="F21" s="848" t="s">
        <v>223</v>
      </c>
      <c r="G21" s="305">
        <v>41760</v>
      </c>
      <c r="H21" s="305">
        <v>41852</v>
      </c>
      <c r="L21" s="850">
        <v>0.1</v>
      </c>
      <c r="M21" s="61">
        <v>0.03</v>
      </c>
      <c r="N21" s="314">
        <v>45000</v>
      </c>
      <c r="O21" s="314">
        <v>45000</v>
      </c>
      <c r="P21" s="314">
        <f t="shared" si="8"/>
        <v>46350</v>
      </c>
      <c r="Q21" s="314">
        <f t="shared" si="9"/>
        <v>47740.5</v>
      </c>
      <c r="R21" s="314">
        <f t="shared" si="10"/>
        <v>49172.715000000004</v>
      </c>
    </row>
    <row r="22" spans="2:18" x14ac:dyDescent="0.25">
      <c r="B22" s="168">
        <v>1</v>
      </c>
      <c r="C22" s="570" t="s">
        <v>1384</v>
      </c>
      <c r="D22" s="848" t="str">
        <f t="shared" ref="D22" si="11">LEFT(C22,FIND(" ",C22,1))</f>
        <v xml:space="preserve">Charles </v>
      </c>
      <c r="E22" s="570" t="s">
        <v>1383</v>
      </c>
      <c r="F22" s="570" t="s">
        <v>4</v>
      </c>
      <c r="G22" s="305">
        <v>41791</v>
      </c>
      <c r="H22" s="845">
        <v>55153</v>
      </c>
      <c r="K22" s="848" t="s">
        <v>183</v>
      </c>
      <c r="L22" s="1027">
        <v>0.3</v>
      </c>
      <c r="M22" s="61">
        <v>0.03</v>
      </c>
      <c r="N22" s="309">
        <v>210000</v>
      </c>
      <c r="O22" s="309">
        <v>210000</v>
      </c>
      <c r="P22" s="314">
        <f t="shared" ref="P22" si="12">IF($P$3&gt;$G22,(O22*(1+$M22)),0)</f>
        <v>216300</v>
      </c>
      <c r="Q22" s="314">
        <f t="shared" ref="Q22" si="13">IF($Q$3&gt;$G22,(P22*(1+$M22)),0)</f>
        <v>222789</v>
      </c>
      <c r="R22" s="314">
        <f t="shared" ref="R22" si="14">IF($R$3&gt;$G22,(Q22*(1+$M22)),0)</f>
        <v>229472.67</v>
      </c>
    </row>
    <row r="25" spans="2:18" x14ac:dyDescent="0.25">
      <c r="F25" s="78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U195"/>
  <sheetViews>
    <sheetView topLeftCell="A94" zoomScale="90" zoomScaleNormal="90" workbookViewId="0">
      <selection activeCell="J16" sqref="J16"/>
    </sheetView>
  </sheetViews>
  <sheetFormatPr defaultColWidth="9.140625" defaultRowHeight="15" outlineLevelRow="1" x14ac:dyDescent="0.25"/>
  <cols>
    <col min="1" max="1" width="2.28515625" style="570" customWidth="1"/>
    <col min="2" max="2" width="31.42578125" style="570" bestFit="1" customWidth="1"/>
    <col min="3" max="3" width="33.28515625" style="570" bestFit="1" customWidth="1"/>
    <col min="4" max="4" width="33.28515625" style="570" customWidth="1"/>
    <col min="5" max="5" width="16.5703125" style="570" bestFit="1" customWidth="1"/>
    <col min="6" max="6" width="26.7109375" style="570" bestFit="1" customWidth="1"/>
    <col min="7" max="7" width="20.140625" style="570" bestFit="1" customWidth="1"/>
    <col min="8" max="9" width="9.140625" style="570"/>
    <col min="10" max="10" width="10.42578125" style="570" bestFit="1" customWidth="1"/>
    <col min="11" max="20" width="9.140625" style="570"/>
    <col min="21" max="21" width="10.42578125" style="570" bestFit="1" customWidth="1"/>
    <col min="22" max="16384" width="9.140625" style="570"/>
  </cols>
  <sheetData>
    <row r="2" spans="2:21" x14ac:dyDescent="0.25">
      <c r="B2" s="636" t="s">
        <v>973</v>
      </c>
    </row>
    <row r="3" spans="2:21" x14ac:dyDescent="0.25">
      <c r="B3" s="802" t="s">
        <v>949</v>
      </c>
      <c r="C3" s="803" t="s">
        <v>974</v>
      </c>
      <c r="D3" s="803" t="s">
        <v>975</v>
      </c>
      <c r="E3" s="803" t="s">
        <v>952</v>
      </c>
      <c r="F3" s="803" t="s">
        <v>953</v>
      </c>
      <c r="G3" s="804" t="s">
        <v>976</v>
      </c>
      <c r="H3" s="570" t="s">
        <v>955</v>
      </c>
      <c r="I3" s="656"/>
      <c r="J3" s="656"/>
      <c r="K3" s="656"/>
      <c r="Q3" s="656"/>
      <c r="U3" s="671"/>
    </row>
    <row r="4" spans="2:21" x14ac:dyDescent="0.25">
      <c r="B4" s="805" t="s">
        <v>223</v>
      </c>
      <c r="C4" s="825"/>
      <c r="D4" s="825"/>
      <c r="E4" s="826"/>
      <c r="F4" s="806"/>
      <c r="G4" s="821"/>
      <c r="H4" s="570" t="s">
        <v>956</v>
      </c>
      <c r="J4" s="656"/>
      <c r="K4" s="656"/>
      <c r="Q4" s="656"/>
      <c r="U4" s="676"/>
    </row>
    <row r="5" spans="2:21" outlineLevel="1" x14ac:dyDescent="0.25">
      <c r="B5" s="814"/>
      <c r="C5" s="809" t="s">
        <v>977</v>
      </c>
      <c r="D5" s="818" t="s">
        <v>939</v>
      </c>
      <c r="E5" s="810" t="s">
        <v>978</v>
      </c>
      <c r="F5" s="156" t="s">
        <v>968</v>
      </c>
      <c r="G5" s="784" t="s">
        <v>969</v>
      </c>
      <c r="H5" s="570" t="s">
        <v>979</v>
      </c>
      <c r="J5" s="656"/>
      <c r="K5" s="656"/>
      <c r="Q5" s="656"/>
      <c r="U5" s="676"/>
    </row>
    <row r="6" spans="2:21" outlineLevel="1" x14ac:dyDescent="0.25">
      <c r="B6" s="814" t="s">
        <v>970</v>
      </c>
      <c r="C6" s="827"/>
      <c r="D6" s="828" t="s">
        <v>919</v>
      </c>
      <c r="E6" s="829" t="s">
        <v>980</v>
      </c>
      <c r="F6" s="156" t="s">
        <v>968</v>
      </c>
      <c r="G6" s="784" t="s">
        <v>969</v>
      </c>
      <c r="H6" s="656"/>
      <c r="J6" s="656"/>
      <c r="K6" s="656"/>
      <c r="Q6" s="656"/>
      <c r="U6" s="676"/>
    </row>
    <row r="7" spans="2:21" outlineLevel="1" x14ac:dyDescent="0.25">
      <c r="B7" s="814"/>
      <c r="C7" s="830">
        <v>6125</v>
      </c>
      <c r="D7" s="828" t="s">
        <v>940</v>
      </c>
      <c r="E7" s="810">
        <v>40</v>
      </c>
      <c r="F7" s="156" t="s">
        <v>968</v>
      </c>
      <c r="G7" s="784" t="s">
        <v>969</v>
      </c>
      <c r="H7" s="656"/>
      <c r="J7" s="656"/>
      <c r="K7" s="656"/>
      <c r="Q7" s="656"/>
      <c r="U7" s="676"/>
    </row>
    <row r="8" spans="2:21" outlineLevel="1" x14ac:dyDescent="0.25">
      <c r="B8" s="814"/>
      <c r="C8" s="830">
        <v>6250</v>
      </c>
      <c r="D8" s="828" t="s">
        <v>941</v>
      </c>
      <c r="E8" s="810">
        <v>91</v>
      </c>
      <c r="F8" s="156" t="s">
        <v>968</v>
      </c>
      <c r="G8" s="784" t="s">
        <v>969</v>
      </c>
      <c r="K8" s="656"/>
      <c r="Q8" s="656"/>
      <c r="U8" s="676"/>
    </row>
    <row r="9" spans="2:21" outlineLevel="1" x14ac:dyDescent="0.25">
      <c r="B9" s="814" t="s">
        <v>970</v>
      </c>
      <c r="C9" s="813" t="s">
        <v>981</v>
      </c>
      <c r="D9" s="818" t="s">
        <v>942</v>
      </c>
      <c r="E9" s="810" t="s">
        <v>982</v>
      </c>
      <c r="F9" s="156" t="s">
        <v>968</v>
      </c>
      <c r="G9" s="784" t="s">
        <v>969</v>
      </c>
      <c r="K9" s="656"/>
      <c r="Q9" s="656"/>
      <c r="U9" s="676"/>
    </row>
    <row r="10" spans="2:21" outlineLevel="1" x14ac:dyDescent="0.25">
      <c r="B10" s="831"/>
      <c r="C10" s="830">
        <v>6260</v>
      </c>
      <c r="D10" s="828" t="s">
        <v>943</v>
      </c>
      <c r="E10" s="810">
        <v>92</v>
      </c>
      <c r="F10" s="156" t="s">
        <v>968</v>
      </c>
      <c r="G10" s="784" t="s">
        <v>969</v>
      </c>
      <c r="K10" s="656"/>
      <c r="Q10" s="656"/>
      <c r="U10" s="676"/>
    </row>
    <row r="11" spans="2:21" outlineLevel="1" x14ac:dyDescent="0.25">
      <c r="B11" s="831"/>
      <c r="C11" s="817">
        <v>6279</v>
      </c>
      <c r="D11" s="818" t="s">
        <v>920</v>
      </c>
      <c r="E11" s="810">
        <v>101</v>
      </c>
      <c r="F11" s="156" t="s">
        <v>968</v>
      </c>
      <c r="G11" s="784" t="s">
        <v>969</v>
      </c>
      <c r="K11" s="656"/>
      <c r="Q11" s="656"/>
      <c r="U11" s="676"/>
    </row>
    <row r="12" spans="2:21" outlineLevel="1" x14ac:dyDescent="0.25">
      <c r="B12" s="831"/>
      <c r="C12" s="830">
        <v>6550</v>
      </c>
      <c r="D12" s="828" t="s">
        <v>921</v>
      </c>
      <c r="E12" s="810">
        <v>126</v>
      </c>
      <c r="F12" s="156" t="s">
        <v>968</v>
      </c>
      <c r="G12" s="784" t="s">
        <v>969</v>
      </c>
      <c r="K12" s="656"/>
      <c r="Q12" s="656"/>
      <c r="U12" s="676"/>
    </row>
    <row r="13" spans="2:21" outlineLevel="1" x14ac:dyDescent="0.25">
      <c r="B13" s="831"/>
      <c r="C13" s="830">
        <v>6630</v>
      </c>
      <c r="D13" s="828" t="s">
        <v>922</v>
      </c>
      <c r="E13" s="810">
        <v>163</v>
      </c>
      <c r="F13" s="156" t="s">
        <v>968</v>
      </c>
      <c r="G13" s="784" t="s">
        <v>969</v>
      </c>
      <c r="K13" s="656"/>
      <c r="Q13" s="656"/>
      <c r="U13" s="676"/>
    </row>
    <row r="14" spans="2:21" outlineLevel="1" x14ac:dyDescent="0.25">
      <c r="B14" s="831"/>
      <c r="C14" s="832">
        <v>6160</v>
      </c>
      <c r="D14" s="828" t="s">
        <v>944</v>
      </c>
      <c r="E14" s="810">
        <v>53</v>
      </c>
      <c r="F14" s="156" t="s">
        <v>968</v>
      </c>
      <c r="G14" s="784" t="s">
        <v>969</v>
      </c>
      <c r="K14" s="656"/>
      <c r="Q14" s="656"/>
      <c r="U14" s="676"/>
    </row>
    <row r="15" spans="2:21" outlineLevel="1" x14ac:dyDescent="0.25">
      <c r="B15" s="831"/>
      <c r="C15" s="830">
        <v>6247</v>
      </c>
      <c r="D15" s="828" t="s">
        <v>945</v>
      </c>
      <c r="E15" s="810">
        <v>90</v>
      </c>
      <c r="F15" s="156" t="s">
        <v>968</v>
      </c>
      <c r="G15" s="784" t="s">
        <v>969</v>
      </c>
      <c r="K15" s="656"/>
    </row>
    <row r="16" spans="2:21" outlineLevel="1" x14ac:dyDescent="0.25">
      <c r="B16" s="814" t="s">
        <v>983</v>
      </c>
      <c r="C16" s="833" t="s">
        <v>4</v>
      </c>
      <c r="D16" s="833" t="s">
        <v>4</v>
      </c>
      <c r="E16" s="810"/>
      <c r="F16" s="156"/>
      <c r="G16" s="784"/>
      <c r="K16" s="656"/>
    </row>
    <row r="17" spans="2:11" outlineLevel="1" x14ac:dyDescent="0.25">
      <c r="B17" s="831"/>
      <c r="C17" s="817">
        <v>6231</v>
      </c>
      <c r="D17" s="818" t="s">
        <v>984</v>
      </c>
      <c r="E17" s="820">
        <v>73</v>
      </c>
      <c r="F17" s="156" t="s">
        <v>968</v>
      </c>
      <c r="G17" s="784" t="s">
        <v>969</v>
      </c>
      <c r="K17" s="656"/>
    </row>
    <row r="18" spans="2:11" outlineLevel="1" x14ac:dyDescent="0.25">
      <c r="B18" s="831"/>
      <c r="C18" s="817">
        <v>6232</v>
      </c>
      <c r="D18" s="818" t="s">
        <v>708</v>
      </c>
      <c r="E18" s="820">
        <v>74</v>
      </c>
      <c r="F18" s="156" t="s">
        <v>968</v>
      </c>
      <c r="G18" s="784" t="s">
        <v>969</v>
      </c>
      <c r="K18" s="656"/>
    </row>
    <row r="19" spans="2:11" outlineLevel="1" x14ac:dyDescent="0.25">
      <c r="B19" s="783"/>
      <c r="C19" s="817">
        <v>6233</v>
      </c>
      <c r="D19" s="818" t="s">
        <v>985</v>
      </c>
      <c r="E19" s="820">
        <v>75</v>
      </c>
      <c r="F19" s="156" t="s">
        <v>968</v>
      </c>
      <c r="G19" s="784" t="s">
        <v>969</v>
      </c>
      <c r="K19" s="656"/>
    </row>
    <row r="20" spans="2:11" outlineLevel="1" x14ac:dyDescent="0.25">
      <c r="B20" s="783"/>
      <c r="C20" s="817">
        <v>6234</v>
      </c>
      <c r="D20" s="818" t="s">
        <v>11</v>
      </c>
      <c r="E20" s="820">
        <v>76</v>
      </c>
      <c r="F20" s="156" t="s">
        <v>968</v>
      </c>
      <c r="G20" s="784" t="s">
        <v>969</v>
      </c>
      <c r="K20" s="656"/>
    </row>
    <row r="21" spans="2:11" outlineLevel="1" x14ac:dyDescent="0.25">
      <c r="B21" s="783"/>
      <c r="C21" s="817">
        <v>6236</v>
      </c>
      <c r="D21" s="818" t="s">
        <v>986</v>
      </c>
      <c r="E21" s="820">
        <v>78</v>
      </c>
      <c r="F21" s="156" t="s">
        <v>968</v>
      </c>
      <c r="G21" s="784" t="s">
        <v>969</v>
      </c>
      <c r="K21" s="656"/>
    </row>
    <row r="22" spans="2:11" outlineLevel="1" x14ac:dyDescent="0.25">
      <c r="B22" s="783"/>
      <c r="C22" s="817">
        <v>6237</v>
      </c>
      <c r="D22" s="818" t="s">
        <v>987</v>
      </c>
      <c r="E22" s="820">
        <v>79</v>
      </c>
      <c r="F22" s="156" t="s">
        <v>968</v>
      </c>
      <c r="G22" s="784" t="s">
        <v>969</v>
      </c>
      <c r="K22" s="656"/>
    </row>
    <row r="23" spans="2:11" outlineLevel="1" x14ac:dyDescent="0.25">
      <c r="B23" s="783"/>
      <c r="C23" s="817">
        <v>6238</v>
      </c>
      <c r="D23" s="818" t="s">
        <v>988</v>
      </c>
      <c r="E23" s="820">
        <v>80</v>
      </c>
      <c r="F23" s="156" t="s">
        <v>989</v>
      </c>
      <c r="G23" s="784" t="s">
        <v>989</v>
      </c>
      <c r="K23" s="656"/>
    </row>
    <row r="24" spans="2:11" outlineLevel="1" x14ac:dyDescent="0.25">
      <c r="B24" s="783"/>
      <c r="C24" s="817">
        <v>6239</v>
      </c>
      <c r="D24" s="818" t="s">
        <v>990</v>
      </c>
      <c r="E24" s="820">
        <v>81</v>
      </c>
      <c r="F24" s="156" t="s">
        <v>968</v>
      </c>
      <c r="G24" s="784" t="s">
        <v>969</v>
      </c>
      <c r="K24" s="656"/>
    </row>
    <row r="25" spans="2:11" outlineLevel="1" x14ac:dyDescent="0.25">
      <c r="B25" s="783"/>
      <c r="C25" s="817">
        <v>6240</v>
      </c>
      <c r="D25" s="818" t="s">
        <v>10</v>
      </c>
      <c r="E25" s="820">
        <v>82</v>
      </c>
      <c r="F25" s="156" t="s">
        <v>968</v>
      </c>
      <c r="G25" s="784" t="s">
        <v>969</v>
      </c>
      <c r="K25" s="656"/>
    </row>
    <row r="26" spans="2:11" outlineLevel="1" x14ac:dyDescent="0.25">
      <c r="B26" s="783"/>
      <c r="C26" s="817">
        <v>6241</v>
      </c>
      <c r="D26" s="818" t="s">
        <v>12</v>
      </c>
      <c r="E26" s="820">
        <v>83</v>
      </c>
      <c r="F26" s="156" t="s">
        <v>968</v>
      </c>
      <c r="G26" s="784" t="s">
        <v>969</v>
      </c>
      <c r="K26" s="656"/>
    </row>
    <row r="27" spans="2:11" outlineLevel="1" x14ac:dyDescent="0.25">
      <c r="B27" s="783"/>
      <c r="C27" s="817">
        <v>6230</v>
      </c>
      <c r="D27" s="818" t="s">
        <v>991</v>
      </c>
      <c r="E27" s="820">
        <v>84</v>
      </c>
      <c r="F27" s="156" t="s">
        <v>968</v>
      </c>
      <c r="G27" s="784" t="s">
        <v>969</v>
      </c>
    </row>
    <row r="28" spans="2:11" x14ac:dyDescent="0.25">
      <c r="B28" s="805" t="s">
        <v>4</v>
      </c>
      <c r="C28" s="825"/>
      <c r="D28" s="825"/>
      <c r="E28" s="834"/>
      <c r="F28" s="806"/>
      <c r="G28" s="821"/>
    </row>
    <row r="29" spans="2:11" outlineLevel="1" x14ac:dyDescent="0.25">
      <c r="B29" s="814"/>
      <c r="C29" s="809" t="s">
        <v>977</v>
      </c>
      <c r="D29" s="813" t="s">
        <v>939</v>
      </c>
      <c r="E29" s="25" t="s">
        <v>1083</v>
      </c>
      <c r="F29" s="156"/>
      <c r="G29" s="784"/>
    </row>
    <row r="30" spans="2:11" outlineLevel="1" x14ac:dyDescent="0.25">
      <c r="B30" s="814"/>
      <c r="C30" s="827"/>
      <c r="D30" s="827" t="s">
        <v>919</v>
      </c>
      <c r="E30" s="25" t="s">
        <v>1084</v>
      </c>
      <c r="F30" s="156"/>
      <c r="G30" s="784"/>
    </row>
    <row r="31" spans="2:11" outlineLevel="1" x14ac:dyDescent="0.25">
      <c r="B31" s="814"/>
      <c r="C31" s="830">
        <v>6125</v>
      </c>
      <c r="D31" s="827" t="s">
        <v>940</v>
      </c>
      <c r="E31" s="25">
        <v>208</v>
      </c>
      <c r="F31" s="156"/>
      <c r="G31" s="784"/>
    </row>
    <row r="32" spans="2:11" outlineLevel="1" x14ac:dyDescent="0.25">
      <c r="B32" s="814"/>
      <c r="C32" s="830">
        <v>6250</v>
      </c>
      <c r="D32" s="827" t="s">
        <v>941</v>
      </c>
      <c r="E32" s="25">
        <v>259</v>
      </c>
      <c r="F32" s="156"/>
      <c r="G32" s="784"/>
    </row>
    <row r="33" spans="2:7" outlineLevel="1" x14ac:dyDescent="0.25">
      <c r="B33" s="783"/>
      <c r="C33" s="813" t="s">
        <v>981</v>
      </c>
      <c r="D33" s="813" t="s">
        <v>942</v>
      </c>
      <c r="E33" s="25" t="s">
        <v>1085</v>
      </c>
      <c r="F33" s="156"/>
      <c r="G33" s="784"/>
    </row>
    <row r="34" spans="2:7" outlineLevel="1" x14ac:dyDescent="0.25">
      <c r="B34" s="783"/>
      <c r="C34" s="830">
        <v>6260</v>
      </c>
      <c r="D34" s="827" t="s">
        <v>992</v>
      </c>
      <c r="E34" s="25">
        <v>260</v>
      </c>
      <c r="F34" s="156"/>
      <c r="G34" s="784"/>
    </row>
    <row r="35" spans="2:7" outlineLevel="1" x14ac:dyDescent="0.25">
      <c r="B35" s="783"/>
      <c r="C35" s="817">
        <v>6279</v>
      </c>
      <c r="D35" s="813" t="s">
        <v>920</v>
      </c>
      <c r="E35" s="25">
        <v>269</v>
      </c>
      <c r="F35" s="156"/>
      <c r="G35" s="784"/>
    </row>
    <row r="36" spans="2:7" outlineLevel="1" x14ac:dyDescent="0.25">
      <c r="B36" s="783"/>
      <c r="C36" s="830">
        <v>6550</v>
      </c>
      <c r="D36" s="827" t="s">
        <v>921</v>
      </c>
      <c r="E36" s="25">
        <v>294</v>
      </c>
      <c r="F36" s="156"/>
      <c r="G36" s="784"/>
    </row>
    <row r="37" spans="2:7" outlineLevel="1" x14ac:dyDescent="0.25">
      <c r="B37" s="783"/>
      <c r="C37" s="830">
        <v>6630</v>
      </c>
      <c r="D37" s="827" t="s">
        <v>922</v>
      </c>
      <c r="E37" s="25">
        <v>331</v>
      </c>
      <c r="F37" s="156"/>
      <c r="G37" s="784"/>
    </row>
    <row r="38" spans="2:7" outlineLevel="1" x14ac:dyDescent="0.25">
      <c r="B38" s="783"/>
      <c r="C38" s="832">
        <v>6160</v>
      </c>
      <c r="D38" s="827" t="s">
        <v>944</v>
      </c>
      <c r="E38" s="25">
        <v>221</v>
      </c>
      <c r="F38" s="156"/>
      <c r="G38" s="784"/>
    </row>
    <row r="39" spans="2:7" outlineLevel="1" x14ac:dyDescent="0.25">
      <c r="B39" s="783"/>
      <c r="C39" s="830">
        <v>6247</v>
      </c>
      <c r="D39" s="827" t="s">
        <v>945</v>
      </c>
      <c r="E39" s="25">
        <v>258</v>
      </c>
      <c r="F39" s="156"/>
      <c r="G39" s="784"/>
    </row>
    <row r="40" spans="2:7" outlineLevel="1" x14ac:dyDescent="0.25">
      <c r="B40" s="783"/>
      <c r="C40" s="833" t="s">
        <v>4</v>
      </c>
      <c r="D40" s="827"/>
      <c r="E40" s="25"/>
      <c r="F40" s="156"/>
      <c r="G40" s="784"/>
    </row>
    <row r="41" spans="2:7" outlineLevel="1" x14ac:dyDescent="0.25">
      <c r="B41" s="783"/>
      <c r="C41" s="817">
        <v>6231</v>
      </c>
      <c r="D41" s="818" t="s">
        <v>984</v>
      </c>
      <c r="E41" s="25">
        <v>241</v>
      </c>
      <c r="F41" s="156"/>
      <c r="G41" s="784"/>
    </row>
    <row r="42" spans="2:7" outlineLevel="1" x14ac:dyDescent="0.25">
      <c r="B42" s="783"/>
      <c r="C42" s="817">
        <v>6232</v>
      </c>
      <c r="D42" s="818" t="s">
        <v>708</v>
      </c>
      <c r="E42" s="25">
        <v>242</v>
      </c>
      <c r="F42" s="156"/>
      <c r="G42" s="784"/>
    </row>
    <row r="43" spans="2:7" outlineLevel="1" x14ac:dyDescent="0.25">
      <c r="B43" s="783"/>
      <c r="C43" s="817">
        <v>6233</v>
      </c>
      <c r="D43" s="818" t="s">
        <v>985</v>
      </c>
      <c r="E43" s="25">
        <v>243</v>
      </c>
      <c r="F43" s="156"/>
      <c r="G43" s="784"/>
    </row>
    <row r="44" spans="2:7" outlineLevel="1" x14ac:dyDescent="0.25">
      <c r="B44" s="783"/>
      <c r="C44" s="817">
        <v>6234</v>
      </c>
      <c r="D44" s="818" t="s">
        <v>11</v>
      </c>
      <c r="E44" s="25">
        <v>244</v>
      </c>
      <c r="F44" s="156"/>
      <c r="G44" s="784"/>
    </row>
    <row r="45" spans="2:7" outlineLevel="1" x14ac:dyDescent="0.25">
      <c r="B45" s="783"/>
      <c r="C45" s="817">
        <v>6236</v>
      </c>
      <c r="D45" s="818" t="s">
        <v>986</v>
      </c>
      <c r="E45" s="25">
        <v>246</v>
      </c>
      <c r="F45" s="156"/>
      <c r="G45" s="784"/>
    </row>
    <row r="46" spans="2:7" outlineLevel="1" x14ac:dyDescent="0.25">
      <c r="B46" s="783"/>
      <c r="C46" s="817">
        <v>6237</v>
      </c>
      <c r="D46" s="818" t="s">
        <v>987</v>
      </c>
      <c r="E46" s="25">
        <v>247</v>
      </c>
      <c r="F46" s="156"/>
      <c r="G46" s="784"/>
    </row>
    <row r="47" spans="2:7" outlineLevel="1" x14ac:dyDescent="0.25">
      <c r="B47" s="783"/>
      <c r="C47" s="817">
        <v>6238</v>
      </c>
      <c r="D47" s="818" t="s">
        <v>988</v>
      </c>
      <c r="E47" s="25">
        <v>248</v>
      </c>
      <c r="F47" s="156"/>
      <c r="G47" s="784"/>
    </row>
    <row r="48" spans="2:7" outlineLevel="1" x14ac:dyDescent="0.25">
      <c r="B48" s="783"/>
      <c r="C48" s="817">
        <v>6239</v>
      </c>
      <c r="D48" s="818" t="s">
        <v>990</v>
      </c>
      <c r="E48" s="25">
        <v>249</v>
      </c>
      <c r="F48" s="156"/>
      <c r="G48" s="784"/>
    </row>
    <row r="49" spans="2:7" outlineLevel="1" x14ac:dyDescent="0.25">
      <c r="B49" s="783"/>
      <c r="C49" s="817">
        <v>6240</v>
      </c>
      <c r="D49" s="818" t="s">
        <v>10</v>
      </c>
      <c r="E49" s="25">
        <v>250</v>
      </c>
      <c r="F49" s="156"/>
      <c r="G49" s="784"/>
    </row>
    <row r="50" spans="2:7" outlineLevel="1" x14ac:dyDescent="0.25">
      <c r="B50" s="783"/>
      <c r="C50" s="817">
        <v>6241</v>
      </c>
      <c r="D50" s="818" t="s">
        <v>12</v>
      </c>
      <c r="E50" s="25">
        <v>251</v>
      </c>
      <c r="F50" s="156"/>
      <c r="G50" s="784"/>
    </row>
    <row r="51" spans="2:7" outlineLevel="1" x14ac:dyDescent="0.25">
      <c r="B51" s="783"/>
      <c r="C51" s="817">
        <v>6230</v>
      </c>
      <c r="D51" s="818" t="s">
        <v>991</v>
      </c>
      <c r="E51" s="25">
        <v>252</v>
      </c>
      <c r="F51" s="156"/>
      <c r="G51" s="784"/>
    </row>
    <row r="52" spans="2:7" x14ac:dyDescent="0.25">
      <c r="B52" s="805" t="s">
        <v>66</v>
      </c>
      <c r="C52" s="825"/>
      <c r="D52" s="825"/>
      <c r="E52" s="834"/>
      <c r="F52" s="806"/>
      <c r="G52" s="821"/>
    </row>
    <row r="53" spans="2:7" outlineLevel="1" x14ac:dyDescent="0.25">
      <c r="B53" s="814"/>
      <c r="C53" s="809" t="s">
        <v>977</v>
      </c>
      <c r="D53" s="813" t="s">
        <v>939</v>
      </c>
      <c r="E53" s="25" t="s">
        <v>1086</v>
      </c>
      <c r="F53" s="156"/>
      <c r="G53" s="784"/>
    </row>
    <row r="54" spans="2:7" outlineLevel="1" x14ac:dyDescent="0.25">
      <c r="B54" s="814"/>
      <c r="C54" s="827"/>
      <c r="D54" s="827" t="s">
        <v>919</v>
      </c>
      <c r="E54" s="25" t="s">
        <v>1087</v>
      </c>
      <c r="F54" s="156"/>
      <c r="G54" s="784"/>
    </row>
    <row r="55" spans="2:7" outlineLevel="1" x14ac:dyDescent="0.25">
      <c r="B55" s="814"/>
      <c r="C55" s="830">
        <v>6125</v>
      </c>
      <c r="D55" s="827" t="s">
        <v>940</v>
      </c>
      <c r="E55" s="25">
        <v>376</v>
      </c>
      <c r="F55" s="156"/>
      <c r="G55" s="784"/>
    </row>
    <row r="56" spans="2:7" outlineLevel="1" x14ac:dyDescent="0.25">
      <c r="B56" s="783"/>
      <c r="C56" s="830">
        <v>6250</v>
      </c>
      <c r="D56" s="827" t="s">
        <v>941</v>
      </c>
      <c r="E56" s="25">
        <v>427</v>
      </c>
      <c r="F56" s="156"/>
      <c r="G56" s="784"/>
    </row>
    <row r="57" spans="2:7" outlineLevel="1" x14ac:dyDescent="0.25">
      <c r="B57" s="783"/>
      <c r="C57" s="813" t="s">
        <v>981</v>
      </c>
      <c r="D57" s="813" t="s">
        <v>942</v>
      </c>
      <c r="E57" s="25" t="s">
        <v>1088</v>
      </c>
      <c r="F57" s="156"/>
      <c r="G57" s="784"/>
    </row>
    <row r="58" spans="2:7" outlineLevel="1" x14ac:dyDescent="0.25">
      <c r="B58" s="783"/>
      <c r="C58" s="830">
        <v>6260</v>
      </c>
      <c r="D58" s="827" t="s">
        <v>992</v>
      </c>
      <c r="E58" s="25">
        <v>428</v>
      </c>
      <c r="F58" s="156"/>
      <c r="G58" s="784"/>
    </row>
    <row r="59" spans="2:7" outlineLevel="1" x14ac:dyDescent="0.25">
      <c r="B59" s="783"/>
      <c r="C59" s="817">
        <v>6279</v>
      </c>
      <c r="D59" s="813" t="s">
        <v>920</v>
      </c>
      <c r="E59" s="25">
        <v>437</v>
      </c>
      <c r="F59" s="156"/>
      <c r="G59" s="784"/>
    </row>
    <row r="60" spans="2:7" outlineLevel="1" x14ac:dyDescent="0.25">
      <c r="B60" s="783"/>
      <c r="C60" s="830">
        <v>6550</v>
      </c>
      <c r="D60" s="827" t="s">
        <v>921</v>
      </c>
      <c r="E60" s="25">
        <v>462</v>
      </c>
      <c r="F60" s="156"/>
      <c r="G60" s="784"/>
    </row>
    <row r="61" spans="2:7" outlineLevel="1" x14ac:dyDescent="0.25">
      <c r="B61" s="783"/>
      <c r="C61" s="830">
        <v>6630</v>
      </c>
      <c r="D61" s="827" t="s">
        <v>922</v>
      </c>
      <c r="E61" s="25">
        <v>499</v>
      </c>
      <c r="F61" s="156"/>
      <c r="G61" s="784"/>
    </row>
    <row r="62" spans="2:7" outlineLevel="1" x14ac:dyDescent="0.25">
      <c r="B62" s="783"/>
      <c r="C62" s="832">
        <v>6160</v>
      </c>
      <c r="D62" s="827" t="s">
        <v>944</v>
      </c>
      <c r="E62" s="25">
        <v>389</v>
      </c>
      <c r="F62" s="156"/>
      <c r="G62" s="784"/>
    </row>
    <row r="63" spans="2:7" outlineLevel="1" x14ac:dyDescent="0.25">
      <c r="B63" s="783"/>
      <c r="C63" s="830">
        <v>6247</v>
      </c>
      <c r="D63" s="827" t="s">
        <v>945</v>
      </c>
      <c r="E63" s="25">
        <v>426</v>
      </c>
      <c r="F63" s="156"/>
      <c r="G63" s="784"/>
    </row>
    <row r="64" spans="2:7" outlineLevel="1" x14ac:dyDescent="0.25">
      <c r="B64" s="783"/>
      <c r="C64" s="833" t="s">
        <v>4</v>
      </c>
      <c r="D64" s="827"/>
      <c r="E64" s="25"/>
      <c r="F64" s="156"/>
      <c r="G64" s="784"/>
    </row>
    <row r="65" spans="2:7" outlineLevel="1" x14ac:dyDescent="0.25">
      <c r="B65" s="783"/>
      <c r="C65" s="817">
        <v>6231</v>
      </c>
      <c r="D65" s="818" t="s">
        <v>984</v>
      </c>
      <c r="E65" s="25">
        <v>409</v>
      </c>
      <c r="F65" s="156"/>
      <c r="G65" s="784"/>
    </row>
    <row r="66" spans="2:7" outlineLevel="1" x14ac:dyDescent="0.25">
      <c r="B66" s="783"/>
      <c r="C66" s="817">
        <v>6232</v>
      </c>
      <c r="D66" s="818" t="s">
        <v>708</v>
      </c>
      <c r="E66" s="25">
        <v>410</v>
      </c>
      <c r="F66" s="156"/>
      <c r="G66" s="784"/>
    </row>
    <row r="67" spans="2:7" outlineLevel="1" x14ac:dyDescent="0.25">
      <c r="B67" s="783"/>
      <c r="C67" s="817">
        <v>6233</v>
      </c>
      <c r="D67" s="818" t="s">
        <v>985</v>
      </c>
      <c r="E67" s="25">
        <v>411</v>
      </c>
      <c r="F67" s="156"/>
      <c r="G67" s="784"/>
    </row>
    <row r="68" spans="2:7" outlineLevel="1" x14ac:dyDescent="0.25">
      <c r="B68" s="783"/>
      <c r="C68" s="817">
        <v>6234</v>
      </c>
      <c r="D68" s="818" t="s">
        <v>11</v>
      </c>
      <c r="E68" s="25">
        <v>412</v>
      </c>
      <c r="F68" s="156"/>
      <c r="G68" s="784"/>
    </row>
    <row r="69" spans="2:7" outlineLevel="1" x14ac:dyDescent="0.25">
      <c r="B69" s="783"/>
      <c r="C69" s="817">
        <v>6236</v>
      </c>
      <c r="D69" s="818" t="s">
        <v>986</v>
      </c>
      <c r="E69" s="25">
        <v>414</v>
      </c>
      <c r="F69" s="156"/>
      <c r="G69" s="784"/>
    </row>
    <row r="70" spans="2:7" outlineLevel="1" x14ac:dyDescent="0.25">
      <c r="B70" s="783"/>
      <c r="C70" s="817">
        <v>6237</v>
      </c>
      <c r="D70" s="818" t="s">
        <v>987</v>
      </c>
      <c r="E70" s="25">
        <v>415</v>
      </c>
      <c r="F70" s="156"/>
      <c r="G70" s="784"/>
    </row>
    <row r="71" spans="2:7" outlineLevel="1" x14ac:dyDescent="0.25">
      <c r="B71" s="783"/>
      <c r="C71" s="817">
        <v>6238</v>
      </c>
      <c r="D71" s="818" t="s">
        <v>988</v>
      </c>
      <c r="E71" s="25">
        <v>416</v>
      </c>
      <c r="F71" s="156"/>
      <c r="G71" s="784"/>
    </row>
    <row r="72" spans="2:7" outlineLevel="1" x14ac:dyDescent="0.25">
      <c r="B72" s="783"/>
      <c r="C72" s="817">
        <v>6239</v>
      </c>
      <c r="D72" s="818" t="s">
        <v>990</v>
      </c>
      <c r="E72" s="25">
        <v>417</v>
      </c>
      <c r="F72" s="156"/>
      <c r="G72" s="784"/>
    </row>
    <row r="73" spans="2:7" outlineLevel="1" x14ac:dyDescent="0.25">
      <c r="B73" s="783"/>
      <c r="C73" s="817">
        <v>6240</v>
      </c>
      <c r="D73" s="818" t="s">
        <v>10</v>
      </c>
      <c r="E73" s="25">
        <v>418</v>
      </c>
      <c r="F73" s="156"/>
      <c r="G73" s="784"/>
    </row>
    <row r="74" spans="2:7" outlineLevel="1" x14ac:dyDescent="0.25">
      <c r="B74" s="783"/>
      <c r="C74" s="817">
        <v>6241</v>
      </c>
      <c r="D74" s="818" t="s">
        <v>12</v>
      </c>
      <c r="E74" s="25">
        <v>419</v>
      </c>
      <c r="F74" s="156"/>
      <c r="G74" s="784"/>
    </row>
    <row r="75" spans="2:7" outlineLevel="1" x14ac:dyDescent="0.25">
      <c r="B75" s="783"/>
      <c r="C75" s="817">
        <v>6230</v>
      </c>
      <c r="D75" s="818" t="s">
        <v>991</v>
      </c>
      <c r="E75" s="25">
        <v>420</v>
      </c>
      <c r="F75" s="156"/>
      <c r="G75" s="784"/>
    </row>
    <row r="76" spans="2:7" x14ac:dyDescent="0.25">
      <c r="B76" s="805" t="s">
        <v>3</v>
      </c>
      <c r="C76" s="825"/>
      <c r="D76" s="825"/>
      <c r="E76" s="834"/>
      <c r="F76" s="806"/>
      <c r="G76" s="821"/>
    </row>
    <row r="77" spans="2:7" outlineLevel="1" x14ac:dyDescent="0.25">
      <c r="B77" s="814"/>
      <c r="C77" s="809" t="s">
        <v>977</v>
      </c>
      <c r="D77" s="813" t="s">
        <v>939</v>
      </c>
      <c r="E77" s="25" t="s">
        <v>1089</v>
      </c>
      <c r="F77" s="156"/>
      <c r="G77" s="784"/>
    </row>
    <row r="78" spans="2:7" outlineLevel="1" x14ac:dyDescent="0.25">
      <c r="B78" s="814"/>
      <c r="C78" s="827"/>
      <c r="D78" s="827" t="s">
        <v>919</v>
      </c>
      <c r="E78" s="25" t="s">
        <v>1090</v>
      </c>
      <c r="F78" s="156"/>
      <c r="G78" s="784"/>
    </row>
    <row r="79" spans="2:7" outlineLevel="1" x14ac:dyDescent="0.25">
      <c r="B79" s="783"/>
      <c r="C79" s="830">
        <v>6125</v>
      </c>
      <c r="D79" s="827" t="s">
        <v>940</v>
      </c>
      <c r="E79" s="25">
        <v>544</v>
      </c>
      <c r="F79" s="156"/>
      <c r="G79" s="784"/>
    </row>
    <row r="80" spans="2:7" outlineLevel="1" x14ac:dyDescent="0.25">
      <c r="B80" s="783"/>
      <c r="C80" s="830">
        <v>6250</v>
      </c>
      <c r="D80" s="827" t="s">
        <v>941</v>
      </c>
      <c r="E80" s="25">
        <v>595</v>
      </c>
      <c r="F80" s="156"/>
      <c r="G80" s="784"/>
    </row>
    <row r="81" spans="2:7" outlineLevel="1" x14ac:dyDescent="0.25">
      <c r="B81" s="783"/>
      <c r="C81" s="813" t="s">
        <v>981</v>
      </c>
      <c r="D81" s="813" t="s">
        <v>942</v>
      </c>
      <c r="E81" s="25" t="s">
        <v>1091</v>
      </c>
      <c r="F81" s="156"/>
      <c r="G81" s="784"/>
    </row>
    <row r="82" spans="2:7" outlineLevel="1" x14ac:dyDescent="0.25">
      <c r="B82" s="783"/>
      <c r="C82" s="830">
        <v>6260</v>
      </c>
      <c r="D82" s="827" t="s">
        <v>992</v>
      </c>
      <c r="E82" s="25">
        <v>596</v>
      </c>
      <c r="F82" s="156"/>
      <c r="G82" s="784"/>
    </row>
    <row r="83" spans="2:7" outlineLevel="1" x14ac:dyDescent="0.25">
      <c r="B83" s="783"/>
      <c r="C83" s="817">
        <v>6279</v>
      </c>
      <c r="D83" s="813" t="s">
        <v>920</v>
      </c>
      <c r="E83" s="25">
        <v>605</v>
      </c>
      <c r="F83" s="156"/>
      <c r="G83" s="784"/>
    </row>
    <row r="84" spans="2:7" outlineLevel="1" x14ac:dyDescent="0.25">
      <c r="B84" s="783"/>
      <c r="C84" s="830">
        <v>6550</v>
      </c>
      <c r="D84" s="827" t="s">
        <v>921</v>
      </c>
      <c r="E84" s="25">
        <v>630</v>
      </c>
      <c r="F84" s="156"/>
      <c r="G84" s="784"/>
    </row>
    <row r="85" spans="2:7" outlineLevel="1" x14ac:dyDescent="0.25">
      <c r="B85" s="783"/>
      <c r="C85" s="830">
        <v>6630</v>
      </c>
      <c r="D85" s="827" t="s">
        <v>922</v>
      </c>
      <c r="E85" s="25">
        <v>667</v>
      </c>
      <c r="F85" s="156"/>
      <c r="G85" s="784"/>
    </row>
    <row r="86" spans="2:7" outlineLevel="1" x14ac:dyDescent="0.25">
      <c r="B86" s="783"/>
      <c r="C86" s="832">
        <v>6160</v>
      </c>
      <c r="D86" s="827" t="s">
        <v>944</v>
      </c>
      <c r="E86" s="25">
        <v>557</v>
      </c>
      <c r="F86" s="156"/>
      <c r="G86" s="784"/>
    </row>
    <row r="87" spans="2:7" outlineLevel="1" x14ac:dyDescent="0.25">
      <c r="B87" s="783"/>
      <c r="C87" s="830">
        <v>6247</v>
      </c>
      <c r="D87" s="827" t="s">
        <v>945</v>
      </c>
      <c r="E87" s="25">
        <v>594</v>
      </c>
      <c r="F87" s="156"/>
      <c r="G87" s="784"/>
    </row>
    <row r="88" spans="2:7" outlineLevel="1" x14ac:dyDescent="0.25">
      <c r="B88" s="783"/>
      <c r="C88" s="833" t="s">
        <v>4</v>
      </c>
      <c r="D88" s="827"/>
      <c r="E88" s="25"/>
      <c r="F88" s="156"/>
      <c r="G88" s="784"/>
    </row>
    <row r="89" spans="2:7" outlineLevel="1" x14ac:dyDescent="0.25">
      <c r="B89" s="783"/>
      <c r="C89" s="817">
        <v>6231</v>
      </c>
      <c r="D89" s="818" t="s">
        <v>984</v>
      </c>
      <c r="E89" s="25">
        <v>577</v>
      </c>
      <c r="F89" s="156"/>
      <c r="G89" s="784"/>
    </row>
    <row r="90" spans="2:7" outlineLevel="1" x14ac:dyDescent="0.25">
      <c r="B90" s="783"/>
      <c r="C90" s="817">
        <v>6232</v>
      </c>
      <c r="D90" s="818" t="s">
        <v>708</v>
      </c>
      <c r="E90" s="25">
        <v>578</v>
      </c>
      <c r="F90" s="156"/>
      <c r="G90" s="784"/>
    </row>
    <row r="91" spans="2:7" outlineLevel="1" x14ac:dyDescent="0.25">
      <c r="B91" s="783"/>
      <c r="C91" s="817">
        <v>6233</v>
      </c>
      <c r="D91" s="818" t="s">
        <v>985</v>
      </c>
      <c r="E91" s="25">
        <v>579</v>
      </c>
      <c r="F91" s="156"/>
      <c r="G91" s="784"/>
    </row>
    <row r="92" spans="2:7" outlineLevel="1" x14ac:dyDescent="0.25">
      <c r="B92" s="783"/>
      <c r="C92" s="817">
        <v>6234</v>
      </c>
      <c r="D92" s="818" t="s">
        <v>11</v>
      </c>
      <c r="E92" s="25">
        <v>580</v>
      </c>
      <c r="F92" s="156"/>
      <c r="G92" s="784"/>
    </row>
    <row r="93" spans="2:7" outlineLevel="1" x14ac:dyDescent="0.25">
      <c r="B93" s="783"/>
      <c r="C93" s="817">
        <v>6236</v>
      </c>
      <c r="D93" s="818" t="s">
        <v>986</v>
      </c>
      <c r="E93" s="25">
        <v>582</v>
      </c>
      <c r="F93" s="156"/>
      <c r="G93" s="784"/>
    </row>
    <row r="94" spans="2:7" outlineLevel="1" x14ac:dyDescent="0.25">
      <c r="B94" s="783"/>
      <c r="C94" s="817">
        <v>6237</v>
      </c>
      <c r="D94" s="818" t="s">
        <v>987</v>
      </c>
      <c r="E94" s="25">
        <v>583</v>
      </c>
      <c r="F94" s="156"/>
      <c r="G94" s="784"/>
    </row>
    <row r="95" spans="2:7" outlineLevel="1" x14ac:dyDescent="0.25">
      <c r="B95" s="783"/>
      <c r="C95" s="817">
        <v>6238</v>
      </c>
      <c r="D95" s="818" t="s">
        <v>988</v>
      </c>
      <c r="E95" s="25">
        <v>584</v>
      </c>
      <c r="F95" s="156"/>
      <c r="G95" s="784"/>
    </row>
    <row r="96" spans="2:7" outlineLevel="1" x14ac:dyDescent="0.25">
      <c r="B96" s="783"/>
      <c r="C96" s="817">
        <v>6239</v>
      </c>
      <c r="D96" s="818" t="s">
        <v>990</v>
      </c>
      <c r="E96" s="25">
        <v>585</v>
      </c>
      <c r="F96" s="156"/>
      <c r="G96" s="784"/>
    </row>
    <row r="97" spans="2:7" outlineLevel="1" x14ac:dyDescent="0.25">
      <c r="B97" s="783"/>
      <c r="C97" s="817">
        <v>6240</v>
      </c>
      <c r="D97" s="818" t="s">
        <v>10</v>
      </c>
      <c r="E97" s="25">
        <v>586</v>
      </c>
      <c r="F97" s="156"/>
      <c r="G97" s="784"/>
    </row>
    <row r="98" spans="2:7" outlineLevel="1" x14ac:dyDescent="0.25">
      <c r="B98" s="783"/>
      <c r="C98" s="817">
        <v>6241</v>
      </c>
      <c r="D98" s="818" t="s">
        <v>12</v>
      </c>
      <c r="E98" s="25">
        <v>587</v>
      </c>
      <c r="F98" s="156"/>
      <c r="G98" s="784"/>
    </row>
    <row r="99" spans="2:7" outlineLevel="1" x14ac:dyDescent="0.25">
      <c r="B99" s="783"/>
      <c r="C99" s="817">
        <v>6230</v>
      </c>
      <c r="D99" s="818" t="s">
        <v>991</v>
      </c>
      <c r="E99" s="25">
        <v>588</v>
      </c>
      <c r="F99" s="156"/>
      <c r="G99" s="784"/>
    </row>
    <row r="100" spans="2:7" x14ac:dyDescent="0.25">
      <c r="B100" s="805" t="s">
        <v>472</v>
      </c>
      <c r="C100" s="825"/>
      <c r="D100" s="825"/>
      <c r="E100" s="834"/>
      <c r="F100" s="806"/>
      <c r="G100" s="821"/>
    </row>
    <row r="101" spans="2:7" outlineLevel="1" x14ac:dyDescent="0.25">
      <c r="B101" s="814"/>
      <c r="C101" s="809" t="s">
        <v>977</v>
      </c>
      <c r="D101" s="813" t="s">
        <v>939</v>
      </c>
      <c r="E101" s="25" t="s">
        <v>1092</v>
      </c>
      <c r="F101" s="156"/>
      <c r="G101" s="784"/>
    </row>
    <row r="102" spans="2:7" outlineLevel="1" x14ac:dyDescent="0.25">
      <c r="B102" s="783"/>
      <c r="C102" s="827"/>
      <c r="D102" s="827" t="s">
        <v>919</v>
      </c>
      <c r="E102" s="25" t="s">
        <v>1093</v>
      </c>
      <c r="F102" s="156"/>
      <c r="G102" s="784"/>
    </row>
    <row r="103" spans="2:7" outlineLevel="1" x14ac:dyDescent="0.25">
      <c r="B103" s="783"/>
      <c r="C103" s="830">
        <v>6125</v>
      </c>
      <c r="D103" s="827" t="s">
        <v>940</v>
      </c>
      <c r="E103" s="25">
        <v>712</v>
      </c>
      <c r="F103" s="156"/>
      <c r="G103" s="784"/>
    </row>
    <row r="104" spans="2:7" outlineLevel="1" x14ac:dyDescent="0.25">
      <c r="B104" s="783"/>
      <c r="C104" s="830">
        <v>6250</v>
      </c>
      <c r="D104" s="827" t="s">
        <v>941</v>
      </c>
      <c r="E104" s="25">
        <v>763</v>
      </c>
      <c r="F104" s="156"/>
      <c r="G104" s="784"/>
    </row>
    <row r="105" spans="2:7" outlineLevel="1" x14ac:dyDescent="0.25">
      <c r="B105" s="783"/>
      <c r="C105" s="813" t="s">
        <v>981</v>
      </c>
      <c r="D105" s="813" t="s">
        <v>942</v>
      </c>
      <c r="E105" s="25" t="s">
        <v>1094</v>
      </c>
      <c r="F105" s="156"/>
      <c r="G105" s="784"/>
    </row>
    <row r="106" spans="2:7" outlineLevel="1" x14ac:dyDescent="0.25">
      <c r="B106" s="783"/>
      <c r="C106" s="830">
        <v>6260</v>
      </c>
      <c r="D106" s="827" t="s">
        <v>992</v>
      </c>
      <c r="E106" s="25">
        <v>764</v>
      </c>
      <c r="F106" s="156"/>
      <c r="G106" s="784"/>
    </row>
    <row r="107" spans="2:7" outlineLevel="1" x14ac:dyDescent="0.25">
      <c r="B107" s="783"/>
      <c r="C107" s="817">
        <v>6279</v>
      </c>
      <c r="D107" s="813" t="s">
        <v>920</v>
      </c>
      <c r="E107" s="25">
        <v>773</v>
      </c>
      <c r="F107" s="156"/>
      <c r="G107" s="784"/>
    </row>
    <row r="108" spans="2:7" outlineLevel="1" x14ac:dyDescent="0.25">
      <c r="B108" s="783"/>
      <c r="C108" s="830">
        <v>6550</v>
      </c>
      <c r="D108" s="827" t="s">
        <v>921</v>
      </c>
      <c r="E108" s="25">
        <v>798</v>
      </c>
      <c r="F108" s="156"/>
      <c r="G108" s="784"/>
    </row>
    <row r="109" spans="2:7" outlineLevel="1" x14ac:dyDescent="0.25">
      <c r="B109" s="783"/>
      <c r="C109" s="830">
        <v>6630</v>
      </c>
      <c r="D109" s="827" t="s">
        <v>922</v>
      </c>
      <c r="E109" s="25">
        <v>835</v>
      </c>
      <c r="F109" s="156"/>
      <c r="G109" s="784"/>
    </row>
    <row r="110" spans="2:7" outlineLevel="1" x14ac:dyDescent="0.25">
      <c r="B110" s="783"/>
      <c r="C110" s="832">
        <v>6160</v>
      </c>
      <c r="D110" s="827" t="s">
        <v>944</v>
      </c>
      <c r="E110" s="25">
        <v>725</v>
      </c>
      <c r="F110" s="156"/>
      <c r="G110" s="784"/>
    </row>
    <row r="111" spans="2:7" outlineLevel="1" x14ac:dyDescent="0.25">
      <c r="B111" s="783"/>
      <c r="C111" s="830">
        <v>6247</v>
      </c>
      <c r="D111" s="827" t="s">
        <v>945</v>
      </c>
      <c r="E111" s="25">
        <v>762</v>
      </c>
      <c r="F111" s="156"/>
      <c r="G111" s="784"/>
    </row>
    <row r="112" spans="2:7" outlineLevel="1" x14ac:dyDescent="0.25">
      <c r="B112" s="783"/>
      <c r="C112" s="833" t="s">
        <v>4</v>
      </c>
      <c r="D112" s="827"/>
      <c r="E112" s="25"/>
      <c r="F112" s="156"/>
      <c r="G112" s="784"/>
    </row>
    <row r="113" spans="2:7" outlineLevel="1" x14ac:dyDescent="0.25">
      <c r="B113" s="783"/>
      <c r="C113" s="817">
        <v>6231</v>
      </c>
      <c r="D113" s="818" t="s">
        <v>984</v>
      </c>
      <c r="E113" s="25">
        <v>745</v>
      </c>
      <c r="F113" s="156"/>
      <c r="G113" s="784"/>
    </row>
    <row r="114" spans="2:7" outlineLevel="1" x14ac:dyDescent="0.25">
      <c r="B114" s="783"/>
      <c r="C114" s="817">
        <v>6232</v>
      </c>
      <c r="D114" s="818" t="s">
        <v>708</v>
      </c>
      <c r="E114" s="25">
        <v>746</v>
      </c>
      <c r="F114" s="156"/>
      <c r="G114" s="784"/>
    </row>
    <row r="115" spans="2:7" outlineLevel="1" x14ac:dyDescent="0.25">
      <c r="B115" s="783"/>
      <c r="C115" s="817">
        <v>6233</v>
      </c>
      <c r="D115" s="818" t="s">
        <v>985</v>
      </c>
      <c r="E115" s="25">
        <v>747</v>
      </c>
      <c r="F115" s="156"/>
      <c r="G115" s="784"/>
    </row>
    <row r="116" spans="2:7" outlineLevel="1" x14ac:dyDescent="0.25">
      <c r="B116" s="783"/>
      <c r="C116" s="817">
        <v>6234</v>
      </c>
      <c r="D116" s="818" t="s">
        <v>11</v>
      </c>
      <c r="E116" s="25">
        <v>748</v>
      </c>
      <c r="F116" s="156"/>
      <c r="G116" s="784"/>
    </row>
    <row r="117" spans="2:7" outlineLevel="1" x14ac:dyDescent="0.25">
      <c r="B117" s="783"/>
      <c r="C117" s="817">
        <v>6236</v>
      </c>
      <c r="D117" s="818" t="s">
        <v>986</v>
      </c>
      <c r="E117" s="25">
        <v>750</v>
      </c>
      <c r="F117" s="156"/>
      <c r="G117" s="784"/>
    </row>
    <row r="118" spans="2:7" outlineLevel="1" x14ac:dyDescent="0.25">
      <c r="B118" s="783"/>
      <c r="C118" s="817">
        <v>6237</v>
      </c>
      <c r="D118" s="818" t="s">
        <v>987</v>
      </c>
      <c r="E118" s="25">
        <v>751</v>
      </c>
      <c r="F118" s="156"/>
      <c r="G118" s="784"/>
    </row>
    <row r="119" spans="2:7" outlineLevel="1" x14ac:dyDescent="0.25">
      <c r="B119" s="783"/>
      <c r="C119" s="817">
        <v>6238</v>
      </c>
      <c r="D119" s="818" t="s">
        <v>988</v>
      </c>
      <c r="E119" s="25">
        <v>752</v>
      </c>
      <c r="F119" s="156"/>
      <c r="G119" s="784"/>
    </row>
    <row r="120" spans="2:7" outlineLevel="1" x14ac:dyDescent="0.25">
      <c r="B120" s="783"/>
      <c r="C120" s="817">
        <v>6239</v>
      </c>
      <c r="D120" s="818" t="s">
        <v>990</v>
      </c>
      <c r="E120" s="25">
        <v>753</v>
      </c>
      <c r="F120" s="156"/>
      <c r="G120" s="784"/>
    </row>
    <row r="121" spans="2:7" outlineLevel="1" x14ac:dyDescent="0.25">
      <c r="B121" s="783"/>
      <c r="C121" s="817">
        <v>6240</v>
      </c>
      <c r="D121" s="818" t="s">
        <v>10</v>
      </c>
      <c r="E121" s="25">
        <v>754</v>
      </c>
      <c r="F121" s="156"/>
      <c r="G121" s="784"/>
    </row>
    <row r="122" spans="2:7" outlineLevel="1" x14ac:dyDescent="0.25">
      <c r="B122" s="783"/>
      <c r="C122" s="817">
        <v>6241</v>
      </c>
      <c r="D122" s="818" t="s">
        <v>12</v>
      </c>
      <c r="E122" s="25">
        <v>755</v>
      </c>
      <c r="F122" s="156"/>
      <c r="G122" s="784"/>
    </row>
    <row r="123" spans="2:7" outlineLevel="1" x14ac:dyDescent="0.25">
      <c r="B123" s="783"/>
      <c r="C123" s="817">
        <v>6230</v>
      </c>
      <c r="D123" s="818" t="s">
        <v>991</v>
      </c>
      <c r="E123" s="25">
        <v>756</v>
      </c>
      <c r="F123" s="156"/>
      <c r="G123" s="784"/>
    </row>
    <row r="124" spans="2:7" x14ac:dyDescent="0.25">
      <c r="B124" s="805" t="s">
        <v>2</v>
      </c>
      <c r="C124" s="825"/>
      <c r="D124" s="825"/>
      <c r="E124" s="834"/>
      <c r="F124" s="806"/>
      <c r="G124" s="821"/>
    </row>
    <row r="125" spans="2:7" outlineLevel="1" x14ac:dyDescent="0.25">
      <c r="B125" s="783"/>
      <c r="C125" s="809" t="s">
        <v>977</v>
      </c>
      <c r="D125" s="813" t="s">
        <v>939</v>
      </c>
      <c r="E125" s="25" t="s">
        <v>1095</v>
      </c>
      <c r="F125" s="156"/>
      <c r="G125" s="784"/>
    </row>
    <row r="126" spans="2:7" outlineLevel="1" x14ac:dyDescent="0.25">
      <c r="B126" s="783"/>
      <c r="C126" s="827"/>
      <c r="D126" s="827" t="s">
        <v>919</v>
      </c>
      <c r="E126" s="25" t="s">
        <v>1096</v>
      </c>
      <c r="F126" s="156"/>
      <c r="G126" s="784"/>
    </row>
    <row r="127" spans="2:7" outlineLevel="1" x14ac:dyDescent="0.25">
      <c r="B127" s="783"/>
      <c r="C127" s="830">
        <v>6125</v>
      </c>
      <c r="D127" s="827" t="s">
        <v>940</v>
      </c>
      <c r="E127" s="25">
        <v>880</v>
      </c>
      <c r="F127" s="156"/>
      <c r="G127" s="784"/>
    </row>
    <row r="128" spans="2:7" outlineLevel="1" x14ac:dyDescent="0.25">
      <c r="B128" s="783"/>
      <c r="C128" s="830">
        <v>6250</v>
      </c>
      <c r="D128" s="827" t="s">
        <v>941</v>
      </c>
      <c r="E128" s="25">
        <v>931</v>
      </c>
      <c r="F128" s="156"/>
      <c r="G128" s="784"/>
    </row>
    <row r="129" spans="2:7" outlineLevel="1" x14ac:dyDescent="0.25">
      <c r="B129" s="783"/>
      <c r="C129" s="813" t="s">
        <v>981</v>
      </c>
      <c r="D129" s="813" t="s">
        <v>942</v>
      </c>
      <c r="E129" s="25" t="s">
        <v>1097</v>
      </c>
      <c r="F129" s="156"/>
      <c r="G129" s="784"/>
    </row>
    <row r="130" spans="2:7" outlineLevel="1" x14ac:dyDescent="0.25">
      <c r="B130" s="783"/>
      <c r="C130" s="830">
        <v>6260</v>
      </c>
      <c r="D130" s="827" t="s">
        <v>992</v>
      </c>
      <c r="E130" s="25">
        <v>932</v>
      </c>
      <c r="F130" s="156"/>
      <c r="G130" s="784"/>
    </row>
    <row r="131" spans="2:7" outlineLevel="1" x14ac:dyDescent="0.25">
      <c r="B131" s="783"/>
      <c r="C131" s="817">
        <v>6279</v>
      </c>
      <c r="D131" s="813" t="s">
        <v>920</v>
      </c>
      <c r="E131" s="25">
        <v>941</v>
      </c>
      <c r="F131" s="156"/>
      <c r="G131" s="784"/>
    </row>
    <row r="132" spans="2:7" outlineLevel="1" x14ac:dyDescent="0.25">
      <c r="B132" s="783"/>
      <c r="C132" s="830">
        <v>6550</v>
      </c>
      <c r="D132" s="827" t="s">
        <v>921</v>
      </c>
      <c r="E132" s="25">
        <v>966</v>
      </c>
      <c r="F132" s="156"/>
      <c r="G132" s="784"/>
    </row>
    <row r="133" spans="2:7" outlineLevel="1" x14ac:dyDescent="0.25">
      <c r="B133" s="783"/>
      <c r="C133" s="830">
        <v>6630</v>
      </c>
      <c r="D133" s="827" t="s">
        <v>922</v>
      </c>
      <c r="E133" s="25">
        <v>1003</v>
      </c>
      <c r="F133" s="156"/>
      <c r="G133" s="784"/>
    </row>
    <row r="134" spans="2:7" outlineLevel="1" x14ac:dyDescent="0.25">
      <c r="B134" s="783"/>
      <c r="C134" s="832">
        <v>6160</v>
      </c>
      <c r="D134" s="827" t="s">
        <v>944</v>
      </c>
      <c r="E134" s="25">
        <v>893</v>
      </c>
      <c r="F134" s="156"/>
      <c r="G134" s="784"/>
    </row>
    <row r="135" spans="2:7" outlineLevel="1" x14ac:dyDescent="0.25">
      <c r="B135" s="783"/>
      <c r="C135" s="830">
        <v>6247</v>
      </c>
      <c r="D135" s="827" t="s">
        <v>945</v>
      </c>
      <c r="E135" s="25">
        <v>930</v>
      </c>
      <c r="F135" s="156"/>
      <c r="G135" s="784"/>
    </row>
    <row r="136" spans="2:7" outlineLevel="1" x14ac:dyDescent="0.25">
      <c r="B136" s="783"/>
      <c r="C136" s="833" t="s">
        <v>4</v>
      </c>
      <c r="D136" s="827"/>
      <c r="E136" s="25" t="s">
        <v>782</v>
      </c>
      <c r="F136" s="156"/>
      <c r="G136" s="784"/>
    </row>
    <row r="137" spans="2:7" outlineLevel="1" x14ac:dyDescent="0.25">
      <c r="B137" s="783"/>
      <c r="C137" s="817">
        <v>6231</v>
      </c>
      <c r="D137" s="818" t="s">
        <v>984</v>
      </c>
      <c r="E137" s="25">
        <v>913</v>
      </c>
      <c r="F137" s="156"/>
      <c r="G137" s="784"/>
    </row>
    <row r="138" spans="2:7" outlineLevel="1" x14ac:dyDescent="0.25">
      <c r="B138" s="783"/>
      <c r="C138" s="817">
        <v>6232</v>
      </c>
      <c r="D138" s="818" t="s">
        <v>708</v>
      </c>
      <c r="E138" s="25">
        <v>914</v>
      </c>
      <c r="F138" s="156"/>
      <c r="G138" s="784"/>
    </row>
    <row r="139" spans="2:7" outlineLevel="1" x14ac:dyDescent="0.25">
      <c r="B139" s="783"/>
      <c r="C139" s="817">
        <v>6233</v>
      </c>
      <c r="D139" s="818" t="s">
        <v>985</v>
      </c>
      <c r="E139" s="25">
        <v>915</v>
      </c>
      <c r="F139" s="156"/>
      <c r="G139" s="784"/>
    </row>
    <row r="140" spans="2:7" outlineLevel="1" x14ac:dyDescent="0.25">
      <c r="B140" s="783"/>
      <c r="C140" s="817">
        <v>6234</v>
      </c>
      <c r="D140" s="818" t="s">
        <v>11</v>
      </c>
      <c r="E140" s="25">
        <v>916</v>
      </c>
      <c r="F140" s="156"/>
      <c r="G140" s="784"/>
    </row>
    <row r="141" spans="2:7" outlineLevel="1" x14ac:dyDescent="0.25">
      <c r="B141" s="783"/>
      <c r="C141" s="817">
        <v>6236</v>
      </c>
      <c r="D141" s="818" t="s">
        <v>986</v>
      </c>
      <c r="E141" s="25">
        <v>918</v>
      </c>
      <c r="F141" s="156"/>
      <c r="G141" s="784"/>
    </row>
    <row r="142" spans="2:7" outlineLevel="1" x14ac:dyDescent="0.25">
      <c r="B142" s="783"/>
      <c r="C142" s="817">
        <v>6237</v>
      </c>
      <c r="D142" s="818" t="s">
        <v>987</v>
      </c>
      <c r="E142" s="25">
        <v>919</v>
      </c>
      <c r="F142" s="156"/>
      <c r="G142" s="784"/>
    </row>
    <row r="143" spans="2:7" outlineLevel="1" x14ac:dyDescent="0.25">
      <c r="B143" s="783"/>
      <c r="C143" s="817">
        <v>6238</v>
      </c>
      <c r="D143" s="818" t="s">
        <v>988</v>
      </c>
      <c r="E143" s="25">
        <v>920</v>
      </c>
      <c r="F143" s="156"/>
      <c r="G143" s="784"/>
    </row>
    <row r="144" spans="2:7" outlineLevel="1" x14ac:dyDescent="0.25">
      <c r="B144" s="783"/>
      <c r="C144" s="817">
        <v>6239</v>
      </c>
      <c r="D144" s="818" t="s">
        <v>990</v>
      </c>
      <c r="E144" s="25">
        <v>921</v>
      </c>
      <c r="F144" s="156"/>
      <c r="G144" s="784"/>
    </row>
    <row r="145" spans="2:7" outlineLevel="1" x14ac:dyDescent="0.25">
      <c r="B145" s="783"/>
      <c r="C145" s="817">
        <v>6240</v>
      </c>
      <c r="D145" s="818" t="s">
        <v>10</v>
      </c>
      <c r="E145" s="25">
        <v>922</v>
      </c>
      <c r="F145" s="156"/>
      <c r="G145" s="784"/>
    </row>
    <row r="146" spans="2:7" outlineLevel="1" x14ac:dyDescent="0.25">
      <c r="B146" s="783"/>
      <c r="C146" s="817">
        <v>6241</v>
      </c>
      <c r="D146" s="818" t="s">
        <v>12</v>
      </c>
      <c r="E146" s="25">
        <v>923</v>
      </c>
      <c r="F146" s="156"/>
      <c r="G146" s="784"/>
    </row>
    <row r="147" spans="2:7" outlineLevel="1" x14ac:dyDescent="0.25">
      <c r="B147" s="783"/>
      <c r="C147" s="817">
        <v>6230</v>
      </c>
      <c r="D147" s="818" t="s">
        <v>991</v>
      </c>
      <c r="E147" s="25">
        <v>924</v>
      </c>
      <c r="F147" s="156"/>
      <c r="G147" s="784"/>
    </row>
    <row r="148" spans="2:7" x14ac:dyDescent="0.25">
      <c r="B148" s="805" t="s">
        <v>706</v>
      </c>
      <c r="C148" s="825"/>
      <c r="D148" s="825"/>
      <c r="E148" s="834"/>
      <c r="F148" s="806"/>
      <c r="G148" s="821"/>
    </row>
    <row r="149" spans="2:7" outlineLevel="1" x14ac:dyDescent="0.25">
      <c r="B149" s="783"/>
      <c r="C149" s="809" t="s">
        <v>977</v>
      </c>
      <c r="D149" s="813" t="s">
        <v>939</v>
      </c>
      <c r="E149" s="25" t="s">
        <v>782</v>
      </c>
      <c r="F149" s="156"/>
      <c r="G149" s="784"/>
    </row>
    <row r="150" spans="2:7" outlineLevel="1" x14ac:dyDescent="0.25">
      <c r="B150" s="783"/>
      <c r="C150" s="827"/>
      <c r="D150" s="827" t="s">
        <v>919</v>
      </c>
      <c r="E150" s="25" t="s">
        <v>782</v>
      </c>
      <c r="F150" s="156"/>
      <c r="G150" s="784"/>
    </row>
    <row r="151" spans="2:7" outlineLevel="1" x14ac:dyDescent="0.25">
      <c r="B151" s="783"/>
      <c r="C151" s="830">
        <v>6125</v>
      </c>
      <c r="D151" s="827" t="s">
        <v>940</v>
      </c>
      <c r="E151" s="25">
        <v>1048</v>
      </c>
      <c r="F151" s="156"/>
      <c r="G151" s="784"/>
    </row>
    <row r="152" spans="2:7" outlineLevel="1" x14ac:dyDescent="0.25">
      <c r="B152" s="783"/>
      <c r="C152" s="830">
        <v>6250</v>
      </c>
      <c r="D152" s="827" t="s">
        <v>941</v>
      </c>
      <c r="E152" s="25">
        <v>1099</v>
      </c>
      <c r="F152" s="156"/>
      <c r="G152" s="784"/>
    </row>
    <row r="153" spans="2:7" outlineLevel="1" x14ac:dyDescent="0.25">
      <c r="B153" s="783"/>
      <c r="C153" s="813" t="s">
        <v>981</v>
      </c>
      <c r="D153" s="813" t="s">
        <v>942</v>
      </c>
      <c r="E153" s="25" t="s">
        <v>782</v>
      </c>
      <c r="F153" s="156"/>
      <c r="G153" s="784"/>
    </row>
    <row r="154" spans="2:7" outlineLevel="1" x14ac:dyDescent="0.25">
      <c r="B154" s="783"/>
      <c r="C154" s="830">
        <v>6260</v>
      </c>
      <c r="D154" s="827" t="s">
        <v>992</v>
      </c>
      <c r="E154" s="25">
        <v>1100</v>
      </c>
      <c r="F154" s="156"/>
      <c r="G154" s="784"/>
    </row>
    <row r="155" spans="2:7" outlineLevel="1" x14ac:dyDescent="0.25">
      <c r="B155" s="783"/>
      <c r="C155" s="817">
        <v>6279</v>
      </c>
      <c r="D155" s="813" t="s">
        <v>920</v>
      </c>
      <c r="E155" s="25">
        <v>1109</v>
      </c>
      <c r="F155" s="156"/>
      <c r="G155" s="784"/>
    </row>
    <row r="156" spans="2:7" outlineLevel="1" x14ac:dyDescent="0.25">
      <c r="B156" s="783"/>
      <c r="C156" s="830">
        <v>6550</v>
      </c>
      <c r="D156" s="827" t="s">
        <v>921</v>
      </c>
      <c r="E156" s="25">
        <v>1134</v>
      </c>
      <c r="F156" s="156"/>
      <c r="G156" s="784"/>
    </row>
    <row r="157" spans="2:7" outlineLevel="1" x14ac:dyDescent="0.25">
      <c r="B157" s="783"/>
      <c r="C157" s="830">
        <v>6630</v>
      </c>
      <c r="D157" s="827" t="s">
        <v>922</v>
      </c>
      <c r="E157" s="25">
        <v>1171</v>
      </c>
      <c r="F157" s="156"/>
      <c r="G157" s="784"/>
    </row>
    <row r="158" spans="2:7" outlineLevel="1" x14ac:dyDescent="0.25">
      <c r="B158" s="783"/>
      <c r="C158" s="832">
        <v>6160</v>
      </c>
      <c r="D158" s="827" t="s">
        <v>944</v>
      </c>
      <c r="E158" s="25">
        <v>1061</v>
      </c>
      <c r="F158" s="156"/>
      <c r="G158" s="784"/>
    </row>
    <row r="159" spans="2:7" outlineLevel="1" x14ac:dyDescent="0.25">
      <c r="B159" s="783"/>
      <c r="C159" s="830">
        <v>6247</v>
      </c>
      <c r="D159" s="827" t="s">
        <v>945</v>
      </c>
      <c r="E159" s="25">
        <v>1098</v>
      </c>
      <c r="F159" s="156"/>
      <c r="G159" s="784"/>
    </row>
    <row r="160" spans="2:7" outlineLevel="1" x14ac:dyDescent="0.25">
      <c r="B160" s="783"/>
      <c r="C160" s="833" t="s">
        <v>4</v>
      </c>
      <c r="D160" s="827"/>
      <c r="E160" s="25" t="s">
        <v>782</v>
      </c>
      <c r="F160" s="156"/>
      <c r="G160" s="784"/>
    </row>
    <row r="161" spans="2:7" outlineLevel="1" x14ac:dyDescent="0.25">
      <c r="B161" s="783"/>
      <c r="C161" s="817">
        <v>6231</v>
      </c>
      <c r="D161" s="818" t="s">
        <v>984</v>
      </c>
      <c r="E161" s="25">
        <v>1081</v>
      </c>
      <c r="F161" s="156"/>
      <c r="G161" s="784"/>
    </row>
    <row r="162" spans="2:7" outlineLevel="1" x14ac:dyDescent="0.25">
      <c r="B162" s="783"/>
      <c r="C162" s="817">
        <v>6232</v>
      </c>
      <c r="D162" s="818" t="s">
        <v>708</v>
      </c>
      <c r="E162" s="25">
        <v>1082</v>
      </c>
      <c r="F162" s="156"/>
      <c r="G162" s="784"/>
    </row>
    <row r="163" spans="2:7" outlineLevel="1" x14ac:dyDescent="0.25">
      <c r="B163" s="783"/>
      <c r="C163" s="817">
        <v>6233</v>
      </c>
      <c r="D163" s="818" t="s">
        <v>985</v>
      </c>
      <c r="E163" s="25">
        <v>1083</v>
      </c>
      <c r="F163" s="156"/>
      <c r="G163" s="784"/>
    </row>
    <row r="164" spans="2:7" outlineLevel="1" x14ac:dyDescent="0.25">
      <c r="B164" s="783"/>
      <c r="C164" s="817">
        <v>6234</v>
      </c>
      <c r="D164" s="818" t="s">
        <v>11</v>
      </c>
      <c r="E164" s="25">
        <v>1084</v>
      </c>
      <c r="F164" s="156"/>
      <c r="G164" s="784"/>
    </row>
    <row r="165" spans="2:7" outlineLevel="1" x14ac:dyDescent="0.25">
      <c r="B165" s="783"/>
      <c r="C165" s="817">
        <v>6236</v>
      </c>
      <c r="D165" s="818" t="s">
        <v>986</v>
      </c>
      <c r="E165" s="25">
        <v>1086</v>
      </c>
      <c r="F165" s="156"/>
      <c r="G165" s="784"/>
    </row>
    <row r="166" spans="2:7" outlineLevel="1" x14ac:dyDescent="0.25">
      <c r="B166" s="783"/>
      <c r="C166" s="817">
        <v>6237</v>
      </c>
      <c r="D166" s="818" t="s">
        <v>987</v>
      </c>
      <c r="E166" s="25">
        <v>1087</v>
      </c>
      <c r="F166" s="156"/>
      <c r="G166" s="784"/>
    </row>
    <row r="167" spans="2:7" outlineLevel="1" x14ac:dyDescent="0.25">
      <c r="B167" s="783"/>
      <c r="C167" s="817">
        <v>6238</v>
      </c>
      <c r="D167" s="818" t="s">
        <v>988</v>
      </c>
      <c r="E167" s="25">
        <v>1088</v>
      </c>
      <c r="F167" s="156"/>
      <c r="G167" s="784"/>
    </row>
    <row r="168" spans="2:7" outlineLevel="1" x14ac:dyDescent="0.25">
      <c r="B168" s="783"/>
      <c r="C168" s="817">
        <v>6239</v>
      </c>
      <c r="D168" s="818" t="s">
        <v>990</v>
      </c>
      <c r="E168" s="25">
        <v>1089</v>
      </c>
      <c r="F168" s="156"/>
      <c r="G168" s="784"/>
    </row>
    <row r="169" spans="2:7" outlineLevel="1" x14ac:dyDescent="0.25">
      <c r="B169" s="783"/>
      <c r="C169" s="817">
        <v>6240</v>
      </c>
      <c r="D169" s="818" t="s">
        <v>10</v>
      </c>
      <c r="E169" s="25">
        <v>1090</v>
      </c>
      <c r="F169" s="156"/>
      <c r="G169" s="784"/>
    </row>
    <row r="170" spans="2:7" outlineLevel="1" x14ac:dyDescent="0.25">
      <c r="B170" s="783"/>
      <c r="C170" s="817">
        <v>6241</v>
      </c>
      <c r="D170" s="818" t="s">
        <v>12</v>
      </c>
      <c r="E170" s="25">
        <v>1091</v>
      </c>
      <c r="F170" s="156"/>
      <c r="G170" s="784"/>
    </row>
    <row r="171" spans="2:7" outlineLevel="1" x14ac:dyDescent="0.25">
      <c r="B171" s="783"/>
      <c r="C171" s="817">
        <v>6230</v>
      </c>
      <c r="D171" s="818" t="s">
        <v>991</v>
      </c>
      <c r="E171" s="25">
        <v>1092</v>
      </c>
      <c r="F171" s="156"/>
      <c r="G171" s="784"/>
    </row>
    <row r="172" spans="2:7" x14ac:dyDescent="0.25">
      <c r="B172" s="805" t="s">
        <v>972</v>
      </c>
      <c r="C172" s="806"/>
      <c r="D172" s="806"/>
      <c r="E172" s="834"/>
      <c r="F172" s="806"/>
      <c r="G172" s="821"/>
    </row>
    <row r="173" spans="2:7" outlineLevel="1" x14ac:dyDescent="0.25">
      <c r="B173" s="783"/>
      <c r="C173" s="809" t="s">
        <v>977</v>
      </c>
      <c r="D173" s="813" t="s">
        <v>939</v>
      </c>
      <c r="E173" s="25" t="s">
        <v>782</v>
      </c>
      <c r="F173" s="156"/>
      <c r="G173" s="784"/>
    </row>
    <row r="174" spans="2:7" outlineLevel="1" x14ac:dyDescent="0.25">
      <c r="B174" s="783"/>
      <c r="C174" s="827"/>
      <c r="D174" s="827" t="s">
        <v>919</v>
      </c>
      <c r="E174" s="25" t="s">
        <v>782</v>
      </c>
      <c r="F174" s="156"/>
      <c r="G174" s="784"/>
    </row>
    <row r="175" spans="2:7" outlineLevel="1" x14ac:dyDescent="0.25">
      <c r="B175" s="783"/>
      <c r="C175" s="830">
        <v>6125</v>
      </c>
      <c r="D175" s="827" t="s">
        <v>940</v>
      </c>
      <c r="E175" s="25">
        <v>1216</v>
      </c>
      <c r="F175" s="156"/>
      <c r="G175" s="784"/>
    </row>
    <row r="176" spans="2:7" outlineLevel="1" x14ac:dyDescent="0.25">
      <c r="B176" s="783"/>
      <c r="C176" s="830">
        <v>6250</v>
      </c>
      <c r="D176" s="827" t="s">
        <v>941</v>
      </c>
      <c r="E176" s="25">
        <v>1267</v>
      </c>
      <c r="F176" s="156"/>
      <c r="G176" s="784"/>
    </row>
    <row r="177" spans="2:7" outlineLevel="1" x14ac:dyDescent="0.25">
      <c r="B177" s="783"/>
      <c r="C177" s="813" t="s">
        <v>981</v>
      </c>
      <c r="D177" s="813" t="s">
        <v>942</v>
      </c>
      <c r="E177" s="25" t="s">
        <v>782</v>
      </c>
      <c r="F177" s="156"/>
      <c r="G177" s="784"/>
    </row>
    <row r="178" spans="2:7" outlineLevel="1" x14ac:dyDescent="0.25">
      <c r="B178" s="783"/>
      <c r="C178" s="830">
        <v>6260</v>
      </c>
      <c r="D178" s="827" t="s">
        <v>992</v>
      </c>
      <c r="E178" s="25">
        <v>1268</v>
      </c>
      <c r="F178" s="156"/>
      <c r="G178" s="784"/>
    </row>
    <row r="179" spans="2:7" outlineLevel="1" x14ac:dyDescent="0.25">
      <c r="B179" s="783"/>
      <c r="C179" s="817">
        <v>6279</v>
      </c>
      <c r="D179" s="813" t="s">
        <v>920</v>
      </c>
      <c r="E179" s="25">
        <v>1277</v>
      </c>
      <c r="F179" s="156"/>
      <c r="G179" s="784"/>
    </row>
    <row r="180" spans="2:7" outlineLevel="1" x14ac:dyDescent="0.25">
      <c r="B180" s="783"/>
      <c r="C180" s="830">
        <v>6550</v>
      </c>
      <c r="D180" s="827" t="s">
        <v>921</v>
      </c>
      <c r="E180" s="25">
        <v>1302</v>
      </c>
      <c r="F180" s="156"/>
      <c r="G180" s="784"/>
    </row>
    <row r="181" spans="2:7" outlineLevel="1" x14ac:dyDescent="0.25">
      <c r="B181" s="783"/>
      <c r="C181" s="830">
        <v>6630</v>
      </c>
      <c r="D181" s="827" t="s">
        <v>922</v>
      </c>
      <c r="E181" s="25">
        <v>1339</v>
      </c>
      <c r="F181" s="156"/>
      <c r="G181" s="784"/>
    </row>
    <row r="182" spans="2:7" outlineLevel="1" x14ac:dyDescent="0.25">
      <c r="B182" s="783"/>
      <c r="C182" s="832">
        <v>6160</v>
      </c>
      <c r="D182" s="827" t="s">
        <v>944</v>
      </c>
      <c r="E182" s="25">
        <v>1229</v>
      </c>
      <c r="F182" s="156"/>
      <c r="G182" s="784"/>
    </row>
    <row r="183" spans="2:7" outlineLevel="1" x14ac:dyDescent="0.25">
      <c r="B183" s="783"/>
      <c r="C183" s="830">
        <v>6247</v>
      </c>
      <c r="D183" s="827" t="s">
        <v>945</v>
      </c>
      <c r="E183" s="25">
        <v>1266</v>
      </c>
      <c r="F183" s="156"/>
      <c r="G183" s="784"/>
    </row>
    <row r="184" spans="2:7" outlineLevel="1" x14ac:dyDescent="0.25">
      <c r="B184" s="783"/>
      <c r="C184" s="833" t="s">
        <v>4</v>
      </c>
      <c r="D184" s="827"/>
      <c r="E184" s="25" t="s">
        <v>782</v>
      </c>
      <c r="F184" s="156"/>
      <c r="G184" s="784"/>
    </row>
    <row r="185" spans="2:7" outlineLevel="1" x14ac:dyDescent="0.25">
      <c r="B185" s="783"/>
      <c r="C185" s="817">
        <v>6231</v>
      </c>
      <c r="D185" s="818" t="s">
        <v>984</v>
      </c>
      <c r="E185" s="25">
        <v>1249</v>
      </c>
      <c r="F185" s="156"/>
      <c r="G185" s="784"/>
    </row>
    <row r="186" spans="2:7" outlineLevel="1" x14ac:dyDescent="0.25">
      <c r="B186" s="783"/>
      <c r="C186" s="817">
        <v>6232</v>
      </c>
      <c r="D186" s="818" t="s">
        <v>708</v>
      </c>
      <c r="E186" s="25">
        <v>1250</v>
      </c>
      <c r="F186" s="156"/>
      <c r="G186" s="784"/>
    </row>
    <row r="187" spans="2:7" outlineLevel="1" x14ac:dyDescent="0.25">
      <c r="B187" s="783"/>
      <c r="C187" s="817">
        <v>6233</v>
      </c>
      <c r="D187" s="818" t="s">
        <v>985</v>
      </c>
      <c r="E187" s="25">
        <v>1251</v>
      </c>
      <c r="F187" s="156"/>
      <c r="G187" s="784"/>
    </row>
    <row r="188" spans="2:7" outlineLevel="1" x14ac:dyDescent="0.25">
      <c r="B188" s="783"/>
      <c r="C188" s="817">
        <v>6234</v>
      </c>
      <c r="D188" s="818" t="s">
        <v>11</v>
      </c>
      <c r="E188" s="25">
        <v>1252</v>
      </c>
      <c r="F188" s="156"/>
      <c r="G188" s="784"/>
    </row>
    <row r="189" spans="2:7" outlineLevel="1" x14ac:dyDescent="0.25">
      <c r="B189" s="783"/>
      <c r="C189" s="817">
        <v>6236</v>
      </c>
      <c r="D189" s="818" t="s">
        <v>986</v>
      </c>
      <c r="E189" s="25">
        <v>1254</v>
      </c>
      <c r="F189" s="156"/>
      <c r="G189" s="784"/>
    </row>
    <row r="190" spans="2:7" outlineLevel="1" x14ac:dyDescent="0.25">
      <c r="B190" s="783"/>
      <c r="C190" s="817">
        <v>6237</v>
      </c>
      <c r="D190" s="818" t="s">
        <v>987</v>
      </c>
      <c r="E190" s="25">
        <v>1255</v>
      </c>
      <c r="F190" s="156"/>
      <c r="G190" s="784"/>
    </row>
    <row r="191" spans="2:7" outlineLevel="1" x14ac:dyDescent="0.25">
      <c r="B191" s="783"/>
      <c r="C191" s="817">
        <v>6238</v>
      </c>
      <c r="D191" s="818" t="s">
        <v>988</v>
      </c>
      <c r="E191" s="25">
        <v>1256</v>
      </c>
      <c r="F191" s="156"/>
      <c r="G191" s="784"/>
    </row>
    <row r="192" spans="2:7" outlineLevel="1" x14ac:dyDescent="0.25">
      <c r="B192" s="783"/>
      <c r="C192" s="817">
        <v>6239</v>
      </c>
      <c r="D192" s="818" t="s">
        <v>990</v>
      </c>
      <c r="E192" s="25">
        <v>1257</v>
      </c>
      <c r="F192" s="156"/>
      <c r="G192" s="784"/>
    </row>
    <row r="193" spans="2:7" outlineLevel="1" x14ac:dyDescent="0.25">
      <c r="B193" s="783"/>
      <c r="C193" s="817">
        <v>6240</v>
      </c>
      <c r="D193" s="818" t="s">
        <v>10</v>
      </c>
      <c r="E193" s="25">
        <v>1258</v>
      </c>
      <c r="F193" s="156"/>
      <c r="G193" s="784"/>
    </row>
    <row r="194" spans="2:7" outlineLevel="1" x14ac:dyDescent="0.25">
      <c r="B194" s="783"/>
      <c r="C194" s="817">
        <v>6241</v>
      </c>
      <c r="D194" s="818" t="s">
        <v>12</v>
      </c>
      <c r="E194" s="25">
        <v>1259</v>
      </c>
      <c r="F194" s="156"/>
      <c r="G194" s="784"/>
    </row>
    <row r="195" spans="2:7" outlineLevel="1" x14ac:dyDescent="0.25">
      <c r="B195" s="822"/>
      <c r="C195" s="835">
        <v>6230</v>
      </c>
      <c r="D195" s="836" t="s">
        <v>991</v>
      </c>
      <c r="E195" s="837">
        <v>1260</v>
      </c>
      <c r="F195" s="823"/>
      <c r="G195" s="82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BX49"/>
  <sheetViews>
    <sheetView zoomScale="70" zoomScaleNormal="70" workbookViewId="0">
      <pane xSplit="2" ySplit="4" topLeftCell="O5" activePane="bottomRight" state="frozen"/>
      <selection activeCell="F46" sqref="F46"/>
      <selection pane="topRight" activeCell="F46" sqref="F46"/>
      <selection pane="bottomLeft" activeCell="F46" sqref="F46"/>
      <selection pane="bottomRight" activeCell="AL13" sqref="AL13"/>
    </sheetView>
  </sheetViews>
  <sheetFormatPr defaultColWidth="9.140625" defaultRowHeight="15" outlineLevelCol="1" x14ac:dyDescent="0.25"/>
  <cols>
    <col min="1" max="1" width="2" style="570" customWidth="1"/>
    <col min="2" max="2" width="27.42578125" style="570" bestFit="1" customWidth="1"/>
    <col min="3" max="3" width="13" style="570" bestFit="1" customWidth="1"/>
    <col min="4" max="9" width="13.42578125" style="570" hidden="1" customWidth="1" outlineLevel="1"/>
    <col min="10" max="10" width="13" style="570" hidden="1" customWidth="1" outlineLevel="1"/>
    <col min="11" max="11" width="13.42578125" style="570" hidden="1" customWidth="1" outlineLevel="1"/>
    <col min="12" max="13" width="13.5703125" style="570" hidden="1" customWidth="1" outlineLevel="1"/>
    <col min="14" max="14" width="13.5703125" style="570" bestFit="1" customWidth="1" collapsed="1"/>
    <col min="15" max="15" width="13.5703125" style="570" bestFit="1" customWidth="1"/>
    <col min="16" max="16" width="13.42578125" style="570" hidden="1" customWidth="1" outlineLevel="1"/>
    <col min="17" max="18" width="14" style="570" hidden="1" customWidth="1" outlineLevel="1"/>
    <col min="19" max="20" width="14.42578125" style="570" hidden="1" customWidth="1" outlineLevel="1"/>
    <col min="21" max="22" width="14" style="570" hidden="1" customWidth="1" outlineLevel="1"/>
    <col min="23" max="23" width="13.5703125" style="570" hidden="1" customWidth="1" outlineLevel="1"/>
    <col min="24" max="25" width="14" style="570" hidden="1" customWidth="1" outlineLevel="1"/>
    <col min="26" max="26" width="14.42578125" style="570" bestFit="1" customWidth="1" collapsed="1"/>
    <col min="27" max="27" width="14" style="570" bestFit="1" customWidth="1"/>
    <col min="28" max="29" width="14.42578125" style="570" bestFit="1" customWidth="1" outlineLevel="1"/>
    <col min="30" max="30" width="14" style="570" bestFit="1" customWidth="1" outlineLevel="1"/>
    <col min="31" max="32" width="14.42578125" style="570" bestFit="1" customWidth="1" outlineLevel="1"/>
    <col min="33" max="33" width="14" style="570" bestFit="1" customWidth="1" outlineLevel="1"/>
    <col min="34" max="36" width="14.42578125" style="570" bestFit="1" customWidth="1" outlineLevel="1"/>
    <col min="37" max="37" width="14" style="570" bestFit="1" customWidth="1" outlineLevel="1"/>
    <col min="38" max="38" width="14.85546875" style="570" bestFit="1" customWidth="1"/>
    <col min="39" max="39" width="13.28515625" style="570" customWidth="1"/>
    <col min="40" max="40" width="14.42578125" style="570" hidden="1" customWidth="1" outlineLevel="1"/>
    <col min="41" max="41" width="12.5703125" style="570" hidden="1" customWidth="1" outlineLevel="1"/>
    <col min="42" max="47" width="10.7109375" style="570" hidden="1" customWidth="1" outlineLevel="1"/>
    <col min="48" max="48" width="11.85546875" style="570" hidden="1" customWidth="1" outlineLevel="1"/>
    <col min="49" max="49" width="14.42578125" style="570" hidden="1" customWidth="1" outlineLevel="1"/>
    <col min="50" max="50" width="14.85546875" style="570" bestFit="1" customWidth="1" collapsed="1"/>
    <col min="51" max="51" width="14.42578125" style="570" bestFit="1" customWidth="1"/>
    <col min="52" max="57" width="10.7109375" style="570" hidden="1" customWidth="1" outlineLevel="1"/>
    <col min="58" max="61" width="13.28515625" style="570" hidden="1" customWidth="1" outlineLevel="1"/>
    <col min="62" max="62" width="13.28515625" style="570" bestFit="1" customWidth="1" collapsed="1"/>
    <col min="63" max="63" width="13" style="570" bestFit="1" customWidth="1"/>
    <col min="64" max="73" width="13" style="570" hidden="1" customWidth="1" outlineLevel="1"/>
    <col min="74" max="74" width="13" style="570" bestFit="1" customWidth="1" collapsed="1"/>
    <col min="75" max="75" width="9.140625" style="570"/>
    <col min="76" max="76" width="15.7109375" style="570" bestFit="1" customWidth="1"/>
    <col min="77" max="16384" width="9.140625" style="570"/>
  </cols>
  <sheetData>
    <row r="1" spans="2:76" x14ac:dyDescent="0.25">
      <c r="Y1" s="991"/>
    </row>
    <row r="2" spans="2:76" x14ac:dyDescent="0.25">
      <c r="B2" s="636" t="s">
        <v>923</v>
      </c>
      <c r="C2" s="636"/>
      <c r="D2" s="636"/>
      <c r="E2" s="636"/>
      <c r="F2" s="636"/>
      <c r="G2" s="636"/>
      <c r="H2" s="636"/>
      <c r="I2" s="636"/>
      <c r="J2" s="636"/>
      <c r="K2" s="636"/>
      <c r="L2" s="636"/>
      <c r="M2" s="636"/>
      <c r="N2" s="636"/>
      <c r="AL2" s="792"/>
    </row>
    <row r="3" spans="2:76" x14ac:dyDescent="0.25">
      <c r="B3" s="771" t="s">
        <v>924</v>
      </c>
      <c r="C3" s="1140">
        <v>40939</v>
      </c>
      <c r="D3" s="1140">
        <v>40968</v>
      </c>
      <c r="E3" s="1140">
        <v>40999</v>
      </c>
      <c r="F3" s="1140">
        <v>41029</v>
      </c>
      <c r="G3" s="1140">
        <v>41060</v>
      </c>
      <c r="H3" s="1140">
        <v>41090</v>
      </c>
      <c r="I3" s="1140">
        <v>41121</v>
      </c>
      <c r="J3" s="1140">
        <v>41152</v>
      </c>
      <c r="K3" s="1140">
        <v>41182</v>
      </c>
      <c r="L3" s="1140">
        <v>41213</v>
      </c>
      <c r="M3" s="1140">
        <v>41243</v>
      </c>
      <c r="N3" s="1140">
        <v>41274</v>
      </c>
      <c r="O3" s="1140">
        <v>41305</v>
      </c>
      <c r="P3" s="1140">
        <v>41333</v>
      </c>
      <c r="Q3" s="1140">
        <v>41364</v>
      </c>
      <c r="R3" s="1140">
        <v>41394</v>
      </c>
      <c r="S3" s="1140">
        <v>41425</v>
      </c>
      <c r="T3" s="1140">
        <v>41455</v>
      </c>
      <c r="U3" s="1140">
        <v>41486</v>
      </c>
      <c r="V3" s="1140">
        <v>41517</v>
      </c>
      <c r="W3" s="1140">
        <v>41547</v>
      </c>
      <c r="X3" s="1140">
        <v>41578</v>
      </c>
      <c r="Y3" s="1140">
        <v>41608</v>
      </c>
      <c r="Z3" s="1140">
        <v>41639</v>
      </c>
      <c r="AA3" s="1140">
        <v>41670</v>
      </c>
      <c r="AB3" s="1140">
        <v>41698</v>
      </c>
      <c r="AC3" s="1140">
        <v>41729</v>
      </c>
      <c r="AD3" s="1140">
        <v>41759</v>
      </c>
      <c r="AE3" s="1140">
        <v>41790</v>
      </c>
      <c r="AF3" s="1140">
        <v>41820</v>
      </c>
      <c r="AG3" s="1140">
        <v>41851</v>
      </c>
      <c r="AH3" s="1140">
        <v>41882</v>
      </c>
      <c r="AI3" s="1140">
        <v>41912</v>
      </c>
      <c r="AJ3" s="1140">
        <v>41943</v>
      </c>
      <c r="AK3" s="1140">
        <v>41973</v>
      </c>
      <c r="AL3" s="1140">
        <v>42004</v>
      </c>
      <c r="AM3" s="1140">
        <v>42035</v>
      </c>
      <c r="AN3" s="1140">
        <v>42063</v>
      </c>
      <c r="AO3" s="1140">
        <v>42094</v>
      </c>
      <c r="AP3" s="1140">
        <v>42124</v>
      </c>
      <c r="AQ3" s="1140">
        <v>42155</v>
      </c>
      <c r="AR3" s="1140">
        <v>42185</v>
      </c>
      <c r="AS3" s="1140">
        <v>42216</v>
      </c>
      <c r="AT3" s="1140">
        <v>42247</v>
      </c>
      <c r="AU3" s="1140">
        <v>42277</v>
      </c>
      <c r="AV3" s="1140">
        <v>42308</v>
      </c>
      <c r="AW3" s="1140">
        <v>42338</v>
      </c>
      <c r="AX3" s="1140">
        <v>42369</v>
      </c>
      <c r="AY3" s="1140">
        <v>42400</v>
      </c>
      <c r="AZ3" s="1140">
        <v>42429</v>
      </c>
      <c r="BA3" s="1140">
        <v>42460</v>
      </c>
      <c r="BB3" s="1140">
        <v>42490</v>
      </c>
      <c r="BC3" s="1140">
        <v>42521</v>
      </c>
      <c r="BD3" s="1140">
        <v>42551</v>
      </c>
      <c r="BE3" s="1140">
        <v>42582</v>
      </c>
      <c r="BF3" s="1140">
        <v>42613</v>
      </c>
      <c r="BG3" s="1140">
        <v>42643</v>
      </c>
      <c r="BH3" s="1140">
        <v>42674</v>
      </c>
      <c r="BI3" s="1140">
        <v>42704</v>
      </c>
      <c r="BJ3" s="1140">
        <v>42735</v>
      </c>
      <c r="BK3" s="1140">
        <v>42766</v>
      </c>
      <c r="BL3" s="1140">
        <v>42794</v>
      </c>
      <c r="BM3" s="1140">
        <v>42825</v>
      </c>
      <c r="BN3" s="1140">
        <v>42855</v>
      </c>
      <c r="BO3" s="1140">
        <v>42886</v>
      </c>
      <c r="BP3" s="1140">
        <v>42916</v>
      </c>
      <c r="BQ3" s="1140">
        <v>42947</v>
      </c>
      <c r="BR3" s="1140">
        <v>42978</v>
      </c>
      <c r="BS3" s="1140">
        <v>43008</v>
      </c>
      <c r="BT3" s="1140">
        <v>43039</v>
      </c>
      <c r="BU3" s="1140">
        <v>43069</v>
      </c>
      <c r="BV3" s="773">
        <v>43100</v>
      </c>
    </row>
    <row r="4" spans="2:76" x14ac:dyDescent="0.25">
      <c r="B4" s="774" t="s">
        <v>925</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4" t="str">
        <f>IF(AA3&lt;=Headcount!$U$3,"Actual","Forecast")</f>
        <v>Actual</v>
      </c>
      <c r="AB4" s="4" t="str">
        <f>IF(AB3&lt;=Headcount!$U$3,"Actual","Forecast")</f>
        <v>Actual</v>
      </c>
      <c r="AC4" s="4" t="str">
        <f>IF(AC3&lt;=Headcount!$U$3,"Actual","Forecast")</f>
        <v>Actual</v>
      </c>
      <c r="AD4" s="4" t="str">
        <f>IF(AD3&lt;=Headcount!$U$3,"Actual","Forecast")</f>
        <v>Forecast</v>
      </c>
      <c r="AE4" s="4" t="str">
        <f>IF(AE3&lt;=Headcount!$U$3,"Actual","Forecast")</f>
        <v>Forecast</v>
      </c>
      <c r="AF4" s="4" t="str">
        <f>IF(AF3&lt;=Headcount!$U$3,"Actual","Forecast")</f>
        <v>Forecast</v>
      </c>
      <c r="AG4" s="4" t="str">
        <f>IF(AG3&lt;=Headcount!$U$3,"Actual","Forecast")</f>
        <v>Forecast</v>
      </c>
      <c r="AH4" s="4" t="str">
        <f>IF(AH3&lt;=Headcount!$U$3,"Actual","Forecast")</f>
        <v>Forecast</v>
      </c>
      <c r="AI4" s="4" t="str">
        <f>IF(AI3&lt;=Headcount!$U$3,"Actual","Forecast")</f>
        <v>Forecast</v>
      </c>
      <c r="AJ4" s="4" t="str">
        <f>IF(AJ3&lt;=Headcount!$U$3,"Actual","Forecast")</f>
        <v>Forecast</v>
      </c>
      <c r="AK4" s="4" t="str">
        <f>IF(AK3&lt;=Headcount!$U$3,"Actual","Forecast")</f>
        <v>Forecast</v>
      </c>
      <c r="AL4" s="4" t="str">
        <f>IF(AL3&lt;=Headcount!$U$3,"Actual","Forecast")</f>
        <v>Forecast</v>
      </c>
      <c r="AM4" s="4" t="str">
        <f>IF(AM3&lt;=Headcount!$U$3,"Actual","Forecast")</f>
        <v>Forecast</v>
      </c>
      <c r="AN4" s="4" t="str">
        <f>IF(AN3&lt;=Headcount!$U$3,"Actual","Forecast")</f>
        <v>Forecast</v>
      </c>
      <c r="AO4" s="4" t="str">
        <f>IF(AO3&lt;=Headcount!$U$3,"Actual","Forecast")</f>
        <v>Forecast</v>
      </c>
      <c r="AP4" s="4" t="str">
        <f>IF(AP3&lt;=Headcount!$U$3,"Actual","Forecast")</f>
        <v>Forecast</v>
      </c>
      <c r="AQ4" s="4" t="str">
        <f>IF(AQ3&lt;=Headcount!$U$3,"Actual","Forecast")</f>
        <v>Forecast</v>
      </c>
      <c r="AR4" s="4" t="str">
        <f>IF(AR3&lt;=Headcount!$U$3,"Actual","Forecast")</f>
        <v>Forecast</v>
      </c>
      <c r="AS4" s="4" t="str">
        <f>IF(AS3&lt;=Headcount!$U$3,"Actual","Forecast")</f>
        <v>Forecast</v>
      </c>
      <c r="AT4" s="4" t="str">
        <f>IF(AT3&lt;=Headcount!$U$3,"Actual","Forecast")</f>
        <v>Forecast</v>
      </c>
      <c r="AU4" s="4" t="str">
        <f>IF(AU3&lt;=Headcount!$U$3,"Actual","Forecast")</f>
        <v>Forecast</v>
      </c>
      <c r="AV4" s="4" t="str">
        <f>IF(AV3&lt;=Headcount!$U$3,"Actual","Forecast")</f>
        <v>Forecast</v>
      </c>
      <c r="AW4" s="4" t="str">
        <f>IF(AW3&lt;=Headcount!$U$3,"Actual","Forecast")</f>
        <v>Forecast</v>
      </c>
      <c r="AX4" s="4" t="str">
        <f>IF(AX3&lt;=Headcount!$U$3,"Actual","Forecast")</f>
        <v>Forecast</v>
      </c>
      <c r="AY4" s="4" t="str">
        <f>IF(AY3&lt;=Headcount!$U$3,"Actual","Forecast")</f>
        <v>Forecast</v>
      </c>
      <c r="AZ4" s="4" t="str">
        <f>IF(AZ3&lt;=Headcount!$U$3,"Actual","Forecast")</f>
        <v>Forecast</v>
      </c>
      <c r="BA4" s="4" t="str">
        <f>IF(BA3&lt;=Headcount!$U$3,"Actual","Forecast")</f>
        <v>Forecast</v>
      </c>
      <c r="BB4" s="4" t="str">
        <f>IF(BB3&lt;=Headcount!$U$3,"Actual","Forecast")</f>
        <v>Forecast</v>
      </c>
      <c r="BC4" s="4" t="str">
        <f>IF(BC3&lt;=Headcount!$U$3,"Actual","Forecast")</f>
        <v>Forecast</v>
      </c>
      <c r="BD4" s="4" t="str">
        <f>IF(BD3&lt;=Headcount!$U$3,"Actual","Forecast")</f>
        <v>Forecast</v>
      </c>
      <c r="BE4" s="4" t="str">
        <f>IF(BE3&lt;=Headcount!$U$3,"Actual","Forecast")</f>
        <v>Forecast</v>
      </c>
      <c r="BF4" s="4" t="str">
        <f>IF(BF3&lt;=Headcount!$U$3,"Actual","Forecast")</f>
        <v>Forecast</v>
      </c>
      <c r="BG4" s="4" t="str">
        <f>IF(BG3&lt;=Headcount!$U$3,"Actual","Forecast")</f>
        <v>Forecast</v>
      </c>
      <c r="BH4" s="4" t="str">
        <f>IF(BH3&lt;=Headcount!$U$3,"Actual","Forecast")</f>
        <v>Forecast</v>
      </c>
      <c r="BI4" s="4" t="str">
        <f>IF(BI3&lt;=Headcount!$U$3,"Actual","Forecast")</f>
        <v>Forecast</v>
      </c>
      <c r="BJ4" s="4" t="str">
        <f>IF(BJ3&lt;=Headcount!$U$3,"Actual","Forecast")</f>
        <v>Forecast</v>
      </c>
      <c r="BK4" s="4" t="str">
        <f>IF(BK3&lt;=Headcount!$U$3,"Actual","Forecast")</f>
        <v>Forecast</v>
      </c>
      <c r="BL4" s="4" t="str">
        <f>IF(BL3&lt;=Headcount!$U$3,"Actual","Forecast")</f>
        <v>Forecast</v>
      </c>
      <c r="BM4" s="4" t="str">
        <f>IF(BM3&lt;=Headcount!$U$3,"Actual","Forecast")</f>
        <v>Forecast</v>
      </c>
      <c r="BN4" s="4" t="str">
        <f>IF(BN3&lt;=Headcount!$U$3,"Actual","Forecast")</f>
        <v>Forecast</v>
      </c>
      <c r="BO4" s="4" t="str">
        <f>IF(BO3&lt;=Headcount!$U$3,"Actual","Forecast")</f>
        <v>Forecast</v>
      </c>
      <c r="BP4" s="4" t="str">
        <f>IF(BP3&lt;=Headcount!$U$3,"Actual","Forecast")</f>
        <v>Forecast</v>
      </c>
      <c r="BQ4" s="4" t="str">
        <f>IF(BQ3&lt;=Headcount!$U$3,"Actual","Forecast")</f>
        <v>Forecast</v>
      </c>
      <c r="BR4" s="4" t="str">
        <f>IF(BR3&lt;=Headcount!$U$3,"Actual","Forecast")</f>
        <v>Forecast</v>
      </c>
      <c r="BS4" s="4" t="str">
        <f>IF(BS3&lt;=Headcount!$U$3,"Actual","Forecast")</f>
        <v>Forecast</v>
      </c>
      <c r="BT4" s="4" t="str">
        <f>IF(BT3&lt;=Headcount!$U$3,"Actual","Forecast")</f>
        <v>Forecast</v>
      </c>
      <c r="BU4" s="4" t="str">
        <f>IF(BU3&lt;=Headcount!$U$3,"Actual","Forecast")</f>
        <v>Forecast</v>
      </c>
      <c r="BV4" s="1209" t="str">
        <f>IF(BV3&lt;=Headcount!$U$3,"Actual","Forecast")</f>
        <v>Forecast</v>
      </c>
    </row>
    <row r="5" spans="2:76" x14ac:dyDescent="0.25">
      <c r="B5" s="777" t="s">
        <v>67</v>
      </c>
      <c r="C5" s="778">
        <f t="shared" ref="C5:N5" si="0">MONTH(C3)</f>
        <v>1</v>
      </c>
      <c r="D5" s="778">
        <f t="shared" si="0"/>
        <v>2</v>
      </c>
      <c r="E5" s="778">
        <f t="shared" si="0"/>
        <v>3</v>
      </c>
      <c r="F5" s="778">
        <f t="shared" si="0"/>
        <v>4</v>
      </c>
      <c r="G5" s="778">
        <f t="shared" si="0"/>
        <v>5</v>
      </c>
      <c r="H5" s="778">
        <f t="shared" si="0"/>
        <v>6</v>
      </c>
      <c r="I5" s="778">
        <f t="shared" si="0"/>
        <v>7</v>
      </c>
      <c r="J5" s="778">
        <f t="shared" si="0"/>
        <v>8</v>
      </c>
      <c r="K5" s="778">
        <f t="shared" si="0"/>
        <v>9</v>
      </c>
      <c r="L5" s="778">
        <f t="shared" si="0"/>
        <v>10</v>
      </c>
      <c r="M5" s="778">
        <f t="shared" si="0"/>
        <v>11</v>
      </c>
      <c r="N5" s="778">
        <f t="shared" si="0"/>
        <v>12</v>
      </c>
      <c r="O5" s="778">
        <f>MONTH(O3)</f>
        <v>1</v>
      </c>
      <c r="P5" s="778">
        <f t="shared" ref="P5:BV5" si="1">MONTH(P3)</f>
        <v>2</v>
      </c>
      <c r="Q5" s="778">
        <f t="shared" si="1"/>
        <v>3</v>
      </c>
      <c r="R5" s="778">
        <f t="shared" si="1"/>
        <v>4</v>
      </c>
      <c r="S5" s="778">
        <f t="shared" si="1"/>
        <v>5</v>
      </c>
      <c r="T5" s="778">
        <f t="shared" si="1"/>
        <v>6</v>
      </c>
      <c r="U5" s="778">
        <f t="shared" si="1"/>
        <v>7</v>
      </c>
      <c r="V5" s="778">
        <f t="shared" si="1"/>
        <v>8</v>
      </c>
      <c r="W5" s="778">
        <f t="shared" si="1"/>
        <v>9</v>
      </c>
      <c r="X5" s="778">
        <f t="shared" si="1"/>
        <v>10</v>
      </c>
      <c r="Y5" s="778">
        <f t="shared" si="1"/>
        <v>11</v>
      </c>
      <c r="Z5" s="778">
        <f t="shared" si="1"/>
        <v>12</v>
      </c>
      <c r="AA5" s="778">
        <f t="shared" si="1"/>
        <v>1</v>
      </c>
      <c r="AB5" s="778">
        <f t="shared" si="1"/>
        <v>2</v>
      </c>
      <c r="AC5" s="778">
        <f t="shared" si="1"/>
        <v>3</v>
      </c>
      <c r="AD5" s="778">
        <f t="shared" si="1"/>
        <v>4</v>
      </c>
      <c r="AE5" s="778">
        <f t="shared" si="1"/>
        <v>5</v>
      </c>
      <c r="AF5" s="778">
        <f t="shared" si="1"/>
        <v>6</v>
      </c>
      <c r="AG5" s="778">
        <f t="shared" si="1"/>
        <v>7</v>
      </c>
      <c r="AH5" s="778">
        <f t="shared" si="1"/>
        <v>8</v>
      </c>
      <c r="AI5" s="778">
        <f t="shared" si="1"/>
        <v>9</v>
      </c>
      <c r="AJ5" s="778">
        <f t="shared" si="1"/>
        <v>10</v>
      </c>
      <c r="AK5" s="778">
        <f t="shared" si="1"/>
        <v>11</v>
      </c>
      <c r="AL5" s="778">
        <f t="shared" si="1"/>
        <v>12</v>
      </c>
      <c r="AM5" s="778">
        <f t="shared" si="1"/>
        <v>1</v>
      </c>
      <c r="AN5" s="778">
        <f t="shared" si="1"/>
        <v>2</v>
      </c>
      <c r="AO5" s="778">
        <f t="shared" si="1"/>
        <v>3</v>
      </c>
      <c r="AP5" s="778">
        <f t="shared" si="1"/>
        <v>4</v>
      </c>
      <c r="AQ5" s="778">
        <f t="shared" si="1"/>
        <v>5</v>
      </c>
      <c r="AR5" s="778">
        <f t="shared" si="1"/>
        <v>6</v>
      </c>
      <c r="AS5" s="778">
        <f t="shared" si="1"/>
        <v>7</v>
      </c>
      <c r="AT5" s="778">
        <f t="shared" si="1"/>
        <v>8</v>
      </c>
      <c r="AU5" s="778">
        <f t="shared" si="1"/>
        <v>9</v>
      </c>
      <c r="AV5" s="778">
        <f t="shared" si="1"/>
        <v>10</v>
      </c>
      <c r="AW5" s="778">
        <f t="shared" si="1"/>
        <v>11</v>
      </c>
      <c r="AX5" s="778">
        <f t="shared" si="1"/>
        <v>12</v>
      </c>
      <c r="AY5" s="778">
        <f t="shared" si="1"/>
        <v>1</v>
      </c>
      <c r="AZ5" s="778">
        <f t="shared" si="1"/>
        <v>2</v>
      </c>
      <c r="BA5" s="778">
        <f t="shared" si="1"/>
        <v>3</v>
      </c>
      <c r="BB5" s="778">
        <f t="shared" si="1"/>
        <v>4</v>
      </c>
      <c r="BC5" s="778">
        <f t="shared" si="1"/>
        <v>5</v>
      </c>
      <c r="BD5" s="778">
        <f t="shared" si="1"/>
        <v>6</v>
      </c>
      <c r="BE5" s="778">
        <f t="shared" si="1"/>
        <v>7</v>
      </c>
      <c r="BF5" s="778">
        <f t="shared" si="1"/>
        <v>8</v>
      </c>
      <c r="BG5" s="778">
        <f t="shared" si="1"/>
        <v>9</v>
      </c>
      <c r="BH5" s="778">
        <f t="shared" si="1"/>
        <v>10</v>
      </c>
      <c r="BI5" s="778">
        <f t="shared" si="1"/>
        <v>11</v>
      </c>
      <c r="BJ5" s="778">
        <f t="shared" si="1"/>
        <v>12</v>
      </c>
      <c r="BK5" s="778">
        <f t="shared" si="1"/>
        <v>1</v>
      </c>
      <c r="BL5" s="778">
        <f t="shared" si="1"/>
        <v>2</v>
      </c>
      <c r="BM5" s="778">
        <f t="shared" si="1"/>
        <v>3</v>
      </c>
      <c r="BN5" s="778">
        <f t="shared" si="1"/>
        <v>4</v>
      </c>
      <c r="BO5" s="778">
        <f t="shared" si="1"/>
        <v>5</v>
      </c>
      <c r="BP5" s="778">
        <f t="shared" si="1"/>
        <v>6</v>
      </c>
      <c r="BQ5" s="778">
        <f t="shared" si="1"/>
        <v>7</v>
      </c>
      <c r="BR5" s="778">
        <f t="shared" si="1"/>
        <v>8</v>
      </c>
      <c r="BS5" s="778">
        <f t="shared" si="1"/>
        <v>9</v>
      </c>
      <c r="BT5" s="778">
        <f t="shared" si="1"/>
        <v>10</v>
      </c>
      <c r="BU5" s="778">
        <f t="shared" si="1"/>
        <v>11</v>
      </c>
      <c r="BV5" s="779">
        <f t="shared" si="1"/>
        <v>12</v>
      </c>
    </row>
    <row r="6" spans="2:76" ht="15.75" x14ac:dyDescent="0.25">
      <c r="B6" s="780"/>
      <c r="C6" s="781"/>
      <c r="D6" s="781"/>
      <c r="E6" s="781"/>
      <c r="F6" s="781"/>
      <c r="G6" s="781"/>
      <c r="H6" s="781"/>
      <c r="I6" s="781"/>
      <c r="J6" s="781"/>
      <c r="K6" s="781"/>
      <c r="L6" s="781"/>
      <c r="M6" s="781"/>
      <c r="N6" s="781"/>
      <c r="O6" s="781"/>
      <c r="P6" s="781"/>
      <c r="Q6" s="781"/>
      <c r="R6" s="781"/>
      <c r="S6" s="781"/>
      <c r="T6" s="781"/>
      <c r="U6" s="781"/>
      <c r="V6" s="781"/>
      <c r="W6" s="781"/>
      <c r="X6" s="781"/>
      <c r="Y6" s="781"/>
      <c r="Z6" s="781"/>
      <c r="AA6" s="781"/>
      <c r="AB6" s="781"/>
      <c r="AC6" s="781"/>
      <c r="AD6" s="781"/>
      <c r="AE6" s="781"/>
      <c r="AF6" s="781"/>
      <c r="AG6" s="781"/>
      <c r="AH6" s="781"/>
      <c r="AI6" s="781"/>
      <c r="AJ6" s="781"/>
      <c r="AK6" s="781"/>
      <c r="AL6" s="781"/>
      <c r="AM6" s="781"/>
      <c r="AN6" s="781"/>
      <c r="AO6" s="781"/>
      <c r="AP6" s="781"/>
      <c r="AQ6" s="781"/>
      <c r="AR6" s="781"/>
      <c r="AS6" s="781"/>
      <c r="AT6" s="781"/>
      <c r="AU6" s="781"/>
      <c r="AV6" s="781"/>
      <c r="AW6" s="781"/>
      <c r="AX6" s="781"/>
      <c r="AY6" s="781"/>
      <c r="AZ6" s="781"/>
      <c r="BA6" s="781"/>
      <c r="BB6" s="781"/>
      <c r="BC6" s="781"/>
      <c r="BD6" s="781"/>
      <c r="BE6" s="781"/>
      <c r="BF6" s="781"/>
      <c r="BG6" s="781"/>
      <c r="BH6" s="781"/>
      <c r="BI6" s="781"/>
      <c r="BJ6" s="781"/>
      <c r="BK6" s="781"/>
      <c r="BL6" s="781"/>
      <c r="BM6" s="781"/>
      <c r="BN6" s="781"/>
      <c r="BO6" s="781"/>
      <c r="BP6" s="781"/>
      <c r="BQ6" s="781"/>
      <c r="BR6" s="781"/>
      <c r="BS6" s="781"/>
      <c r="BT6" s="781"/>
      <c r="BU6" s="781"/>
      <c r="BV6" s="782"/>
      <c r="BX6" s="1012"/>
    </row>
    <row r="7" spans="2:76" x14ac:dyDescent="0.25">
      <c r="B7" s="777" t="s">
        <v>13</v>
      </c>
      <c r="C7" s="781">
        <f>SUMIFS(Headcount!$B$6:$B$89,Headcount!$F$6:$F$89,"Sales",Headcount!$H$6:$H$89,"&gt;"&amp;C3,Headcount!$G$6:$G$89,"&lt;"&amp;C3)</f>
        <v>9</v>
      </c>
      <c r="D7" s="782">
        <f>IF(D4="forecast",IF(C4="actual",(SUMIFS(Headcount!$B$6:$B$89,Headcount!$F$6:$F$89,"Sales",Headcount!$H$6:$H$89,"&gt;"&amp;D3,Headcount!$G$6:$G$89,"&lt;"&amp;D3)+D8-D9),(C7+D8-D9)),SUMIFS(Headcount!$B$6:$B$89,Headcount!$F$6:$F$89,"Sales",Headcount!$H$6:$H$89,"&gt;"&amp;D3,Headcount!$G$6:$G$89,"&lt;"&amp;C3))</f>
        <v>9</v>
      </c>
      <c r="E7" s="781">
        <f>IF(E4="forecast",IF(D4="actual",(SUMIFS(Headcount!$B$6:$B$89,Headcount!$F$6:$F$89,"Sales",Headcount!$H$6:$H$89,"&gt;"&amp;E3,Headcount!$G$6:$G$89,"&lt;"&amp;E3)+E8-E9),(D7+E8-E9)),SUMIFS(Headcount!$B$6:$B$89,Headcount!$F$6:$F$89,"Sales",Headcount!$H$6:$H$89,"&gt;"&amp;E3,Headcount!$G$6:$G$89,"&lt;"&amp;D3))</f>
        <v>9</v>
      </c>
      <c r="F7" s="781">
        <f>IF(F4="forecast",IF(E4="actual",(SUMIFS(Headcount!$B$6:$B$89,Headcount!$F$6:$F$89,"Sales",Headcount!$H$6:$H$89,"&gt;"&amp;F3,Headcount!$G$6:$G$89,"&lt;"&amp;F3)+F8-F9),(E7+F8-F9)),SUMIFS(Headcount!$B$6:$B$89,Headcount!$F$6:$F$89,"Sales",Headcount!$H$6:$H$89,"&gt;"&amp;F3,Headcount!$G$6:$G$89,"&lt;"&amp;E3))</f>
        <v>9</v>
      </c>
      <c r="G7" s="781">
        <f>IF(G4="forecast",IF(F4="actual",(SUMIFS(Headcount!$B$6:$B$89,Headcount!$F$6:$F$89,"Sales",Headcount!$H$6:$H$89,"&gt;"&amp;G3,Headcount!$G$6:$G$89,"&lt;"&amp;G3)+G8-G9),(F7+G8-G9)),SUMIFS(Headcount!$B$6:$B$89,Headcount!$F$6:$F$89,"Sales",Headcount!$H$6:$H$89,"&gt;"&amp;G3,Headcount!$G$6:$G$89,"&lt;"&amp;F3))</f>
        <v>9</v>
      </c>
      <c r="H7" s="781">
        <f>IF(H4="forecast",IF(G4="actual",(SUMIFS(Headcount!$B$6:$B$89,Headcount!$F$6:$F$89,"Sales",Headcount!$H$6:$H$89,"&gt;"&amp;H3,Headcount!$G$6:$G$89,"&lt;"&amp;H3)+H8-H9),(G7+H8-H9)),SUMIFS(Headcount!$B$6:$B$89,Headcount!$F$6:$F$89,"Sales",Headcount!$H$6:$H$89,"&gt;"&amp;H3,Headcount!$G$6:$G$89,"&lt;"&amp;G3))</f>
        <v>9</v>
      </c>
      <c r="I7" s="781">
        <f>IF(I4="forecast",IF(H4="actual",(SUMIFS(Headcount!$B$6:$B$89,Headcount!$F$6:$F$89,"Sales",Headcount!$H$6:$H$89,"&gt;"&amp;I3,Headcount!$G$6:$G$89,"&lt;"&amp;I3)+I8-I9),(H7+I8-I9)),SUMIFS(Headcount!$B$6:$B$89,Headcount!$F$6:$F$89,"Sales",Headcount!$H$6:$H$89,"&gt;"&amp;I3,Headcount!$G$6:$G$89,"&lt;"&amp;H3))</f>
        <v>9</v>
      </c>
      <c r="J7" s="781">
        <f>IF(J4="forecast",IF(I4="actual",(SUMIFS(Headcount!$B$6:$B$89,Headcount!$F$6:$F$89,"Sales",Headcount!$H$6:$H$89,"&gt;"&amp;J3,Headcount!$G$6:$G$89,"&lt;"&amp;J3)+J8-J9),(I7+J8-J9)),SUMIFS(Headcount!$B$6:$B$89,Headcount!$F$6:$F$89,"Sales",Headcount!$H$6:$H$89,"&gt;"&amp;J3,Headcount!$G$6:$G$89,"&lt;"&amp;I3))</f>
        <v>9</v>
      </c>
      <c r="K7" s="781">
        <f>IF(K4="forecast",IF(J4="actual",(SUMIFS(Headcount!$B$6:$B$89,Headcount!$F$6:$F$89,"Sales",Headcount!$H$6:$H$89,"&gt;"&amp;K3,Headcount!$G$6:$G$89,"&lt;"&amp;K3)+K8-K9),(J7+K8-K9)),SUMIFS(Headcount!$B$6:$B$89,Headcount!$F$6:$F$89,"Sales",Headcount!$H$6:$H$89,"&gt;"&amp;K3,Headcount!$G$6:$G$89,"&lt;"&amp;J3))</f>
        <v>9</v>
      </c>
      <c r="L7" s="781">
        <f>IF(L4="forecast",IF(K4="actual",(SUMIFS(Headcount!$B$6:$B$89,Headcount!$F$6:$F$89,"Sales",Headcount!$H$6:$H$89,"&gt;"&amp;L3,Headcount!$G$6:$G$89,"&lt;"&amp;L3)+L8-L9),(K7+L8-L9)),SUMIFS(Headcount!$B$6:$B$89,Headcount!$F$6:$F$89,"Sales",Headcount!$H$6:$H$89,"&gt;"&amp;L3,Headcount!$G$6:$G$89,"&lt;"&amp;K3))</f>
        <v>9</v>
      </c>
      <c r="M7" s="781">
        <f>IF(M4="forecast",IF(L4="actual",(SUMIFS(Headcount!$B$6:$B$89,Headcount!$F$6:$F$89,"Sales",Headcount!$H$6:$H$89,"&gt;"&amp;M3,Headcount!$G$6:$G$89,"&lt;"&amp;M3)+M8-M9),(L7+M8-M9)),SUMIFS(Headcount!$B$6:$B$89,Headcount!$F$6:$F$89,"Sales",Headcount!$H$6:$H$89,"&gt;"&amp;M3,Headcount!$G$6:$G$89,"&lt;"&amp;L3))</f>
        <v>9</v>
      </c>
      <c r="N7" s="781">
        <f>IF(N4="forecast",IF(M4="actual",(SUMIFS(Headcount!$B$6:$B$89,Headcount!$F$6:$F$89,"Sales",Headcount!$H$6:$H$89,"&gt;"&amp;N3,Headcount!$G$6:$G$89,"&lt;"&amp;N3)+N8-N9),(M7+N8-N9)),SUMIFS(Headcount!$B$6:$B$89,Headcount!$F$6:$F$89,"Sales",Headcount!$H$6:$H$89,"&gt;"&amp;N3,Headcount!$G$6:$G$89,"&lt;"&amp;M3))</f>
        <v>10</v>
      </c>
      <c r="O7" s="781">
        <f>IF(O4="forecast",IF(N4="actual",(SUMIFS(Headcount!$B$6:$B$89,Headcount!$F$6:$F$89,"Sales",Headcount!$H$6:$H$89,"&gt;"&amp;O3,Headcount!$G$6:$G$89,"&lt;"&amp;O3)+O8-O9),(N7+O8-O9)),SUMIFS(Headcount!$B$6:$B$89,Headcount!$F$6:$F$89,"Sales",Headcount!$H$6:$H$89,"&gt;"&amp;O3,Headcount!$G$6:$G$89,"&lt;"&amp;N3))</f>
        <v>11</v>
      </c>
      <c r="P7" s="781">
        <f>IF(P4="forecast",IF(O4="actual",(SUMIFS(Headcount!$B$6:$B$89,Headcount!$F$6:$F$89,"Sales",Headcount!$H$6:$H$89,"&gt;"&amp;P3,Headcount!$G$6:$G$89,"&lt;"&amp;P3)+P8-P9),(O7+P8-P9)),SUMIFS(Headcount!$B$6:$B$89,Headcount!$F$6:$F$89,"Sales",Headcount!$H$6:$H$89,"&gt;"&amp;P3,Headcount!$G$6:$G$89,"&lt;"&amp;O3))</f>
        <v>11</v>
      </c>
      <c r="Q7" s="781">
        <f>IF(Q4="forecast",IF(P4="actual",(SUMIFS(Headcount!$B$6:$B$89,Headcount!$F$6:$F$89,"Sales",Headcount!$H$6:$H$89,"&gt;"&amp;Q3,Headcount!$G$6:$G$89,"&lt;"&amp;Q3)+Q8-Q9),(P7+Q8-Q9)),SUMIFS(Headcount!$B$6:$B$89,Headcount!$F$6:$F$89,"Sales",Headcount!$H$6:$H$89,"&gt;"&amp;Q3,Headcount!$G$6:$G$89,"&lt;"&amp;P3))</f>
        <v>16</v>
      </c>
      <c r="R7" s="781">
        <f>IF(R4="forecast",IF(Q4="actual",(SUMIFS(Headcount!$B$6:$B$89,Headcount!$F$6:$F$89,"Sales",Headcount!$H$6:$H$89,"&gt;"&amp;R3,Headcount!$G$6:$G$89,"&lt;"&amp;R3)+R8-R9),(Q7+R8-R9)),SUMIFS(Headcount!$B$6:$B$89,Headcount!$F$6:$F$89,"Sales",Headcount!$H$6:$H$89,"&gt;"&amp;R3,Headcount!$G$6:$G$89,"&lt;"&amp;Q3))</f>
        <v>16</v>
      </c>
      <c r="S7" s="781">
        <f>IF(S4="forecast",IF(R4="actual",(SUMIFS(Headcount!$B$6:$B$89,Headcount!$F$6:$F$89,"Sales",Headcount!$H$6:$H$89,"&gt;"&amp;S3,Headcount!$G$6:$G$89,"&lt;"&amp;S3)+S8-S9),(R7+S8-S9)),SUMIFS(Headcount!$B$6:$B$89,Headcount!$F$6:$F$89,"Sales",Headcount!$H$6:$H$89,"&gt;"&amp;S3,Headcount!$G$6:$G$89,"&lt;"&amp;R3))</f>
        <v>16</v>
      </c>
      <c r="T7" s="781">
        <f>IF(T4="forecast",IF(S4="actual",(SUMIFS(Headcount!$B$6:$B$89,Headcount!$F$6:$F$89,"Sales",Headcount!$H$6:$H$89,"&gt;"&amp;T3,Headcount!$G$6:$G$89,"&lt;"&amp;T3)+T8-T9),(S7+T8-T9)),SUMIFS(Headcount!$B$6:$B$89,Headcount!$F$6:$F$89,"Sales",Headcount!$H$6:$H$89,"&gt;"&amp;T3,Headcount!$G$6:$G$89,"&lt;"&amp;S3))</f>
        <v>16</v>
      </c>
      <c r="U7" s="781">
        <f>IF(U4="forecast",IF(T4="actual",(SUMIFS(Headcount!$B$6:$B$89,Headcount!$F$6:$F$89,"Sales",Headcount!$H$6:$H$89,"&gt;"&amp;U3,Headcount!$G$6:$G$89,"&lt;"&amp;U3)+U8-U9),(T7+U8-U9)),SUMIFS(Headcount!$B$6:$B$89,Headcount!$F$6:$F$89,"Sales",Headcount!$H$6:$H$89,"&gt;"&amp;U3,Headcount!$G$6:$G$89,"&lt;"&amp;T3))</f>
        <v>17</v>
      </c>
      <c r="V7" s="781">
        <f>IF(V4="forecast",IF(U4="actual",(SUMIFS(Headcount!$B$6:$B$89,Headcount!$F$6:$F$89,"Sales",Headcount!$H$6:$H$89,"&gt;"&amp;V3,Headcount!$G$6:$G$89,"&lt;"&amp;V3)+V8-V9),(U7+V8-V9)),SUMIFS(Headcount!$B$6:$B$89,Headcount!$F$6:$F$89,"Sales",Headcount!$H$6:$H$89,"&gt;"&amp;V3,Headcount!$G$6:$G$89,"&lt;"&amp;U3))</f>
        <v>17</v>
      </c>
      <c r="W7" s="781">
        <f>IF(W4="forecast",IF(V4="actual",(SUMIFS(Headcount!$B$6:$B$89,Headcount!$F$6:$F$89,"Sales",Headcount!$H$6:$H$89,"&gt;"&amp;W3,Headcount!$G$6:$G$89,"&lt;"&amp;W3)+W8-W9),(V7+W8-W9)),SUMIFS(Headcount!$B$6:$B$89,Headcount!$F$6:$F$89,"Sales",Headcount!$H$6:$H$89,"&gt;"&amp;W3,Headcount!$G$6:$G$89,"&lt;"&amp;V3))</f>
        <v>19</v>
      </c>
      <c r="X7" s="781">
        <f>IF(X4="forecast",IF(W4="actual",(SUMIFS(Headcount!$B$6:$B$89,Headcount!$F$6:$F$89,"Sales",Headcount!$H$6:$H$89,"&gt;"&amp;X3,Headcount!$G$6:$G$89,"&lt;"&amp;X3)+X8-X9),(W7+X8-X9)),SUMIFS(Headcount!$B$6:$B$89,Headcount!$F$6:$F$89,"Sales",Headcount!$H$6:$H$89,"&gt;"&amp;X3,Headcount!$G$6:$G$89,"&lt;"&amp;W3))</f>
        <v>18</v>
      </c>
      <c r="Y7" s="781">
        <f>IF(Y4="forecast",IF(X4="actual",(SUMIFS(Headcount!$B$6:$B$89,Headcount!$F$6:$F$89,"Sales",Headcount!$H$6:$H$89,"&gt;"&amp;Y3,Headcount!$G$6:$G$89,"&lt;"&amp;Y3)+Y8-Y9),(X7+Y8-Y9)),SUMIFS(Headcount!$B$6:$B$89,Headcount!$F$6:$F$89,"Sales",Headcount!$H$6:$H$89,"&gt;"&amp;Y3,Headcount!$G$6:$G$89,"&lt;"&amp;X3))</f>
        <v>17</v>
      </c>
      <c r="Z7" s="781">
        <f>IF(Z4="forecast",IF(Y4="actual",(SUMIFS(Headcount!$B$6:$B$89,Headcount!$F$6:$F$89,"Sales",Headcount!$H$6:$H$89,"&gt;"&amp;Z3,Headcount!$G$6:$G$89,"&lt;"&amp;Z3)+Z8-Z9),(Y7+Z8-Z9)),SUMIFS(Headcount!$B$6:$B$89,Headcount!$F$6:$F$89,"Sales",Headcount!$H$6:$H$89,"&gt;"&amp;Z3,Headcount!$G$6:$G$89,"&lt;"&amp;Y3))</f>
        <v>19</v>
      </c>
      <c r="AA7" s="781">
        <f>IF(AA4="forecast",IF(Z4="actual",(SUMIFS(Headcount!$B$6:$B$89,Headcount!$F$6:$F$89,"Sales",Headcount!$H$6:$H$89,"&gt;"&amp;AA3,Headcount!$G$6:$G$89,"&lt;"&amp;AA3)+AA8-AA9),(Z7+AA8-AA9)),SUMIFS(Headcount!$B$6:$B$89,Headcount!$F$6:$F$89,"Sales",Headcount!$H$6:$H$89,"&gt;"&amp;AA3,Headcount!$G$6:$G$89,"&lt;"&amp;Z3))</f>
        <v>19</v>
      </c>
      <c r="AB7" s="781">
        <f>IF(AB4="forecast",IF(AA4="actual",(SUMIFS(Headcount!$B$6:$B$89,Headcount!$F$6:$F$89,"Sales",Headcount!$H$6:$H$89,"&gt;"&amp;AB3,Headcount!$G$6:$G$89,"&lt;"&amp;AB3)+AB8-AB9),(AA7+AB8-AB9)),SUMIFS(Headcount!$B$6:$B$89,Headcount!$F$6:$F$89,"Sales",Headcount!$H$6:$H$89,"&gt;"&amp;AB3,Headcount!$G$6:$G$89,"&lt;"&amp;AA3))</f>
        <v>20</v>
      </c>
      <c r="AC7" s="781">
        <f>IF(AC4="forecast",IF(AB4="actual",(SUMIFS(Headcount!$B$6:$B$89,Headcount!$F$6:$F$89,"Sales",Headcount!$H$6:$H$89,"&gt;"&amp;AC3,Headcount!$G$6:$G$89,"&lt;"&amp;AC3)+AC8-AC9),(AB7+AC8-AC9)),SUMIFS(Headcount!$B$6:$B$89,Headcount!$F$6:$F$89,"Sales",Headcount!$H$6:$H$89,"&gt;"&amp;AC3,Headcount!$G$6:$G$89,"&lt;"&amp;AB3))</f>
        <v>20</v>
      </c>
      <c r="AD7" s="781">
        <f>IF(AD4="forecast",IF(AC4="actual",(SUMIFS(Headcount!$B$6:$B$89,Headcount!$F$6:$F$89,"Sales",Headcount!$H$6:$H$89,"&gt;"&amp;AD3,Headcount!$G$6:$G$89,"&lt;"&amp;AD3)+AD8-AD9),(AC7+AD8-AD9)),SUMIFS(Headcount!$B$6:$B$89,Headcount!$F$6:$F$89,"Sales",Headcount!$H$6:$H$89,"&gt;"&amp;AD3,Headcount!$G$6:$G$89,"&lt;"&amp;AC3))</f>
        <v>22</v>
      </c>
      <c r="AE7" s="781">
        <f>IF(AE4="forecast",IF(AD4="actual",(SUMIFS(Headcount!$B$6:$B$89,Headcount!$F$6:$F$89,"Sales",Headcount!$H$6:$H$89,"&gt;"&amp;AE3,Headcount!$G$6:$G$89,"&lt;"&amp;AE3)+AE8-AE9),(AD7+AE8-AE9)),SUMIFS(Headcount!$B$6:$B$89,Headcount!$F$6:$F$89,"Sales",Headcount!$H$6:$H$89,"&gt;"&amp;AE3,Headcount!$G$6:$G$89,"&lt;"&amp;AD3))</f>
        <v>23</v>
      </c>
      <c r="AF7" s="781">
        <f>IF(AF4="forecast",IF(AE4="actual",(SUMIFS(Headcount!$B$6:$B$89,Headcount!$F$6:$F$89,"Sales",Headcount!$H$6:$H$89,"&gt;"&amp;AF3,Headcount!$G$6:$G$89,"&lt;"&amp;AF3)+AF8-AF9),(AE7+AF8-AF9)),SUMIFS(Headcount!$B$6:$B$89,Headcount!$F$6:$F$89,"Sales",Headcount!$H$6:$H$89,"&gt;"&amp;AF3,Headcount!$G$6:$G$89,"&lt;"&amp;AE3))</f>
        <v>23</v>
      </c>
      <c r="AG7" s="781">
        <f>IF(AG4="forecast",IF(AF4="actual",(SUMIFS(Headcount!$B$6:$B$89,Headcount!$F$6:$F$89,"Sales",Headcount!$H$6:$H$89,"&gt;"&amp;AG3,Headcount!$G$6:$G$89,"&lt;"&amp;AG3)+AG8-AG9),(AF7+AG8-AG9)),SUMIFS(Headcount!$B$6:$B$89,Headcount!$F$6:$F$89,"Sales",Headcount!$H$6:$H$89,"&gt;"&amp;AG3,Headcount!$G$6:$G$89,"&lt;"&amp;AF3))</f>
        <v>25</v>
      </c>
      <c r="AH7" s="781">
        <f>IF(AH4="forecast",IF(AG4="actual",(SUMIFS(Headcount!$B$6:$B$89,Headcount!$F$6:$F$89,"Sales",Headcount!$H$6:$H$89,"&gt;"&amp;AH3,Headcount!$G$6:$G$89,"&lt;"&amp;AH3)+AH8-AH9),(AG7+AH8-AH9)),SUMIFS(Headcount!$B$6:$B$89,Headcount!$F$6:$F$89,"Sales",Headcount!$H$6:$H$89,"&gt;"&amp;AH3,Headcount!$G$6:$G$89,"&lt;"&amp;AG3))</f>
        <v>25</v>
      </c>
      <c r="AI7" s="781">
        <f>IF(AI4="forecast",IF(AH4="actual",(SUMIFS(Headcount!$B$6:$B$89,Headcount!$F$6:$F$89,"Sales",Headcount!$H$6:$H$89,"&gt;"&amp;AI3,Headcount!$G$6:$G$89,"&lt;"&amp;AI3)+AI8-AI9),(AH7+AI8-AI9)),SUMIFS(Headcount!$B$6:$B$89,Headcount!$F$6:$F$89,"Sales",Headcount!$H$6:$H$89,"&gt;"&amp;AI3,Headcount!$G$6:$G$89,"&lt;"&amp;AH3))</f>
        <v>25</v>
      </c>
      <c r="AJ7" s="781">
        <f>IF(AJ4="forecast",IF(AI4="actual",(SUMIFS(Headcount!$B$6:$B$89,Headcount!$F$6:$F$89,"Sales",Headcount!$H$6:$H$89,"&gt;"&amp;AJ3,Headcount!$G$6:$G$89,"&lt;"&amp;AJ3)+AJ8-AJ9),(AI7+AJ8-AJ9)),SUMIFS(Headcount!$B$6:$B$89,Headcount!$F$6:$F$89,"Sales",Headcount!$H$6:$H$89,"&gt;"&amp;AJ3,Headcount!$G$6:$G$89,"&lt;"&amp;AI3))</f>
        <v>25</v>
      </c>
      <c r="AK7" s="781">
        <f>IF(AK4="forecast",IF(AJ4="actual",(SUMIFS(Headcount!$B$6:$B$89,Headcount!$F$6:$F$89,"Sales",Headcount!$H$6:$H$89,"&gt;"&amp;AK3,Headcount!$G$6:$G$89,"&lt;"&amp;AK3)+AK8-AK9),(AJ7+AK8-AK9)),SUMIFS(Headcount!$B$6:$B$89,Headcount!$F$6:$F$89,"Sales",Headcount!$H$6:$H$89,"&gt;"&amp;AK3,Headcount!$G$6:$G$89,"&lt;"&amp;AJ3))</f>
        <v>25</v>
      </c>
      <c r="AL7" s="781">
        <f>IF(AL4="forecast",IF(AK4="actual",(SUMIFS(Headcount!$B$6:$B$89,Headcount!$F$6:$F$89,"Sales",Headcount!$H$6:$H$89,"&gt;"&amp;AL3,Headcount!$G$6:$G$89,"&lt;"&amp;AL3)+AL8-AL9),(AK7+AL8-AL9)),SUMIFS(Headcount!$B$6:$B$89,Headcount!$F$6:$F$89,"Sales",Headcount!$H$6:$H$89,"&gt;"&amp;AL3,Headcount!$G$6:$G$89,"&lt;"&amp;AK3))</f>
        <v>25</v>
      </c>
      <c r="AM7" s="781">
        <f>IF(AM4="forecast",IF(AL4="actual",(SUMIFS(Headcount!$B$6:$B$89,Headcount!$F$6:$F$89,"Sales",Headcount!$H$6:$H$89,"&gt;"&amp;AM3,Headcount!$G$6:$G$89,"&lt;"&amp;AM3)+AM8-AM9),(AL7+AM8-AM9)),SUMIFS(Headcount!$B$6:$B$89,Headcount!$F$6:$F$89,"Sales",Headcount!$H$6:$H$89,"&gt;"&amp;AM3,Headcount!$G$6:$G$89,"&lt;"&amp;AL3))</f>
        <v>25</v>
      </c>
      <c r="AN7" s="781">
        <f>IF(AN4="forecast",IF(AM4="actual",(SUMIFS(Headcount!$B$6:$B$89,Headcount!$F$6:$F$89,"Sales",Headcount!$H$6:$H$89,"&gt;"&amp;AN3,Headcount!$G$6:$G$89,"&lt;"&amp;AN3)+AN8-AN9),(AM7+AN8-AN9)),SUMIFS(Headcount!$B$6:$B$89,Headcount!$F$6:$F$89,"Sales",Headcount!$H$6:$H$89,"&gt;"&amp;AN3,Headcount!$G$6:$G$89,"&lt;"&amp;AM3))</f>
        <v>25</v>
      </c>
      <c r="AO7" s="781">
        <f>IF(AO4="forecast",IF(AN4="actual",(SUMIFS(Headcount!$B$6:$B$89,Headcount!$F$6:$F$89,"Sales",Headcount!$H$6:$H$89,"&gt;"&amp;AO3,Headcount!$G$6:$G$89,"&lt;"&amp;AO3)+AO8-AO9),(AN7+AO8-AO9)),SUMIFS(Headcount!$B$6:$B$89,Headcount!$F$6:$F$89,"Sales",Headcount!$H$6:$H$89,"&gt;"&amp;AO3,Headcount!$G$6:$G$89,"&lt;"&amp;AN3))</f>
        <v>25</v>
      </c>
      <c r="AP7" s="781">
        <f>IF(AP4="forecast",IF(AO4="actual",(SUMIFS(Headcount!$B$6:$B$89,Headcount!$F$6:$F$89,"Sales",Headcount!$H$6:$H$89,"&gt;"&amp;AP3,Headcount!$G$6:$G$89,"&lt;"&amp;AP3)+AP8-AP9),(AO7+AP8-AP9)),SUMIFS(Headcount!$B$6:$B$89,Headcount!$F$6:$F$89,"Sales",Headcount!$H$6:$H$89,"&gt;"&amp;AP3,Headcount!$G$6:$G$89,"&lt;"&amp;AO3))</f>
        <v>25</v>
      </c>
      <c r="AQ7" s="781">
        <f>IF(AQ4="forecast",IF(AP4="actual",(SUMIFS(Headcount!$B$6:$B$89,Headcount!$F$6:$F$89,"Sales",Headcount!$H$6:$H$89,"&gt;"&amp;AQ3,Headcount!$G$6:$G$89,"&lt;"&amp;AQ3)+AQ8-AQ9),(AP7+AQ8-AQ9)),SUMIFS(Headcount!$B$6:$B$89,Headcount!$F$6:$F$89,"Sales",Headcount!$H$6:$H$89,"&gt;"&amp;AQ3,Headcount!$G$6:$G$89,"&lt;"&amp;AP3))</f>
        <v>25</v>
      </c>
      <c r="AR7" s="781">
        <f>IF(AR4="forecast",IF(AQ4="actual",(SUMIFS(Headcount!$B$6:$B$89,Headcount!$F$6:$F$89,"Sales",Headcount!$H$6:$H$89,"&gt;"&amp;AR3,Headcount!$G$6:$G$89,"&lt;"&amp;AR3)+AR8-AR9),(AQ7+AR8-AR9)),SUMIFS(Headcount!$B$6:$B$89,Headcount!$F$6:$F$89,"Sales",Headcount!$H$6:$H$89,"&gt;"&amp;AR3,Headcount!$G$6:$G$89,"&lt;"&amp;AQ3))</f>
        <v>25</v>
      </c>
      <c r="AS7" s="781">
        <f>IF(AS4="forecast",IF(AR4="actual",(SUMIFS(Headcount!$B$6:$B$89,Headcount!$F$6:$F$89,"Sales",Headcount!$H$6:$H$89,"&gt;"&amp;AS3,Headcount!$G$6:$G$89,"&lt;"&amp;AS3)+AS8-AS9),(AR7+AS8-AS9)),SUMIFS(Headcount!$B$6:$B$89,Headcount!$F$6:$F$89,"Sales",Headcount!$H$6:$H$89,"&gt;"&amp;AS3,Headcount!$G$6:$G$89,"&lt;"&amp;AR3))</f>
        <v>25</v>
      </c>
      <c r="AT7" s="781">
        <f>IF(AT4="forecast",IF(AS4="actual",(SUMIFS(Headcount!$B$6:$B$89,Headcount!$F$6:$F$89,"Sales",Headcount!$H$6:$H$89,"&gt;"&amp;AT3,Headcount!$G$6:$G$89,"&lt;"&amp;AT3)+AT8-AT9),(AS7+AT8-AT9)),SUMIFS(Headcount!$B$6:$B$89,Headcount!$F$6:$F$89,"Sales",Headcount!$H$6:$H$89,"&gt;"&amp;AT3,Headcount!$G$6:$G$89,"&lt;"&amp;AS3))</f>
        <v>25</v>
      </c>
      <c r="AU7" s="781">
        <f>IF(AU4="forecast",IF(AT4="actual",(SUMIFS(Headcount!$B$6:$B$89,Headcount!$F$6:$F$89,"Sales",Headcount!$H$6:$H$89,"&gt;"&amp;AU3,Headcount!$G$6:$G$89,"&lt;"&amp;AU3)+AU8-AU9),(AT7+AU8-AU9)),SUMIFS(Headcount!$B$6:$B$89,Headcount!$F$6:$F$89,"Sales",Headcount!$H$6:$H$89,"&gt;"&amp;AU3,Headcount!$G$6:$G$89,"&lt;"&amp;AT3))</f>
        <v>25</v>
      </c>
      <c r="AV7" s="781">
        <f>IF(AV4="forecast",IF(AU4="actual",(SUMIFS(Headcount!$B$6:$B$89,Headcount!$F$6:$F$89,"Sales",Headcount!$H$6:$H$89,"&gt;"&amp;AV3,Headcount!$G$6:$G$89,"&lt;"&amp;AV3)+AV8-AV9),(AU7+AV8-AV9)),SUMIFS(Headcount!$B$6:$B$89,Headcount!$F$6:$F$89,"Sales",Headcount!$H$6:$H$89,"&gt;"&amp;AV3,Headcount!$G$6:$G$89,"&lt;"&amp;AU3))</f>
        <v>25</v>
      </c>
      <c r="AW7" s="781">
        <f>IF(AW4="forecast",IF(AV4="actual",(SUMIFS(Headcount!$B$6:$B$89,Headcount!$F$6:$F$89,"Sales",Headcount!$H$6:$H$89,"&gt;"&amp;AW3,Headcount!$G$6:$G$89,"&lt;"&amp;AW3)+AW8-AW9),(AV7+AW8-AW9)),SUMIFS(Headcount!$B$6:$B$89,Headcount!$F$6:$F$89,"Sales",Headcount!$H$6:$H$89,"&gt;"&amp;AW3,Headcount!$G$6:$G$89,"&lt;"&amp;AV3))</f>
        <v>25</v>
      </c>
      <c r="AX7" s="781">
        <f>IF(AX4="forecast",IF(AW4="actual",(SUMIFS(Headcount!$B$6:$B$89,Headcount!$F$6:$F$89,"Sales",Headcount!$H$6:$H$89,"&gt;"&amp;AX3,Headcount!$G$6:$G$89,"&lt;"&amp;AX3)+AX8-AX9),(AW7+AX8-AX9)),SUMIFS(Headcount!$B$6:$B$89,Headcount!$F$6:$F$89,"Sales",Headcount!$H$6:$H$89,"&gt;"&amp;AX3,Headcount!$G$6:$G$89,"&lt;"&amp;AW3))</f>
        <v>25</v>
      </c>
      <c r="AY7" s="781">
        <f>IF(AY4="forecast",IF(AX4="actual",(SUMIFS(Headcount!$B$6:$B$89,Headcount!$F$6:$F$89,"Sales",Headcount!$H$6:$H$89,"&gt;"&amp;AY3,Headcount!$G$6:$G$89,"&lt;"&amp;AY3)+AY8-AY9),(AX7+AY8-AY9)),SUMIFS(Headcount!$B$6:$B$89,Headcount!$F$6:$F$89,"Sales",Headcount!$H$6:$H$89,"&gt;"&amp;AY3,Headcount!$G$6:$G$89,"&lt;"&amp;AX3))</f>
        <v>25</v>
      </c>
      <c r="AZ7" s="781">
        <f>IF(AZ4="forecast",IF(AY4="actual",(SUMIFS(Headcount!$B$6:$B$89,Headcount!$F$6:$F$89,"Sales",Headcount!$H$6:$H$89,"&gt;"&amp;AZ3,Headcount!$G$6:$G$89,"&lt;"&amp;AZ3)+AZ8-AZ9),(AY7+AZ8-AZ9)),SUMIFS(Headcount!$B$6:$B$89,Headcount!$F$6:$F$89,"Sales",Headcount!$H$6:$H$89,"&gt;"&amp;AZ3,Headcount!$G$6:$G$89,"&lt;"&amp;AY3))</f>
        <v>25</v>
      </c>
      <c r="BA7" s="781">
        <f>IF(BA4="forecast",IF(AZ4="actual",(SUMIFS(Headcount!$B$6:$B$89,Headcount!$F$6:$F$89,"Sales",Headcount!$H$6:$H$89,"&gt;"&amp;BA3,Headcount!$G$6:$G$89,"&lt;"&amp;BA3)+BA8-BA9),(AZ7+BA8-BA9)),SUMIFS(Headcount!$B$6:$B$89,Headcount!$F$6:$F$89,"Sales",Headcount!$H$6:$H$89,"&gt;"&amp;BA3,Headcount!$G$6:$G$89,"&lt;"&amp;AZ3))</f>
        <v>25</v>
      </c>
      <c r="BB7" s="781">
        <f>IF(BB4="forecast",IF(BA4="actual",(SUMIFS(Headcount!$B$6:$B$89,Headcount!$F$6:$F$89,"Sales",Headcount!$H$6:$H$89,"&gt;"&amp;BB3,Headcount!$G$6:$G$89,"&lt;"&amp;BB3)+BB8-BB9),(BA7+BB8-BB9)),SUMIFS(Headcount!$B$6:$B$89,Headcount!$F$6:$F$89,"Sales",Headcount!$H$6:$H$89,"&gt;"&amp;BB3,Headcount!$G$6:$G$89,"&lt;"&amp;BA3))</f>
        <v>25</v>
      </c>
      <c r="BC7" s="781">
        <f>IF(BC4="forecast",IF(BB4="actual",(SUMIFS(Headcount!$B$6:$B$89,Headcount!$F$6:$F$89,"Sales",Headcount!$H$6:$H$89,"&gt;"&amp;BC3,Headcount!$G$6:$G$89,"&lt;"&amp;BC3)+BC8-BC9),(BB7+BC8-BC9)),SUMIFS(Headcount!$B$6:$B$89,Headcount!$F$6:$F$89,"Sales",Headcount!$H$6:$H$89,"&gt;"&amp;BC3,Headcount!$G$6:$G$89,"&lt;"&amp;BB3))</f>
        <v>25</v>
      </c>
      <c r="BD7" s="781">
        <f>IF(BD4="forecast",IF(BC4="actual",(SUMIFS(Headcount!$B$6:$B$89,Headcount!$F$6:$F$89,"Sales",Headcount!$H$6:$H$89,"&gt;"&amp;BD3,Headcount!$G$6:$G$89,"&lt;"&amp;BD3)+BD8-BD9),(BC7+BD8-BD9)),SUMIFS(Headcount!$B$6:$B$89,Headcount!$F$6:$F$89,"Sales",Headcount!$H$6:$H$89,"&gt;"&amp;BD3,Headcount!$G$6:$G$89,"&lt;"&amp;BC3))</f>
        <v>25</v>
      </c>
      <c r="BE7" s="781">
        <f>IF(BE4="forecast",IF(BD4="actual",(SUMIFS(Headcount!$B$6:$B$89,Headcount!$F$6:$F$89,"Sales",Headcount!$H$6:$H$89,"&gt;"&amp;BE3,Headcount!$G$6:$G$89,"&lt;"&amp;BE3)+BE8-BE9),(BD7+BE8-BE9)),SUMIFS(Headcount!$B$6:$B$89,Headcount!$F$6:$F$89,"Sales",Headcount!$H$6:$H$89,"&gt;"&amp;BE3,Headcount!$G$6:$G$89,"&lt;"&amp;BD3))</f>
        <v>25</v>
      </c>
      <c r="BF7" s="781">
        <f>IF(BF4="forecast",IF(BE4="actual",(SUMIFS(Headcount!$B$6:$B$89,Headcount!$F$6:$F$89,"Sales",Headcount!$H$6:$H$89,"&gt;"&amp;BF3,Headcount!$G$6:$G$89,"&lt;"&amp;BF3)+BF8-BF9),(BE7+BF8-BF9)),SUMIFS(Headcount!$B$6:$B$89,Headcount!$F$6:$F$89,"Sales",Headcount!$H$6:$H$89,"&gt;"&amp;BF3,Headcount!$G$6:$G$89,"&lt;"&amp;BE3))</f>
        <v>25</v>
      </c>
      <c r="BG7" s="781">
        <f>IF(BG4="forecast",IF(BF4="actual",(SUMIFS(Headcount!$B$6:$B$89,Headcount!$F$6:$F$89,"Sales",Headcount!$H$6:$H$89,"&gt;"&amp;BG3,Headcount!$G$6:$G$89,"&lt;"&amp;BG3)+BG8-BG9),(BF7+BG8-BG9)),SUMIFS(Headcount!$B$6:$B$89,Headcount!$F$6:$F$89,"Sales",Headcount!$H$6:$H$89,"&gt;"&amp;BG3,Headcount!$G$6:$G$89,"&lt;"&amp;BF3))</f>
        <v>25</v>
      </c>
      <c r="BH7" s="781">
        <f>IF(BH4="forecast",IF(BG4="actual",(SUMIFS(Headcount!$B$6:$B$89,Headcount!$F$6:$F$89,"Sales",Headcount!$H$6:$H$89,"&gt;"&amp;BH3,Headcount!$G$6:$G$89,"&lt;"&amp;BH3)+BH8-BH9),(BG7+BH8-BH9)),SUMIFS(Headcount!$B$6:$B$89,Headcount!$F$6:$F$89,"Sales",Headcount!$H$6:$H$89,"&gt;"&amp;BH3,Headcount!$G$6:$G$89,"&lt;"&amp;BG3))</f>
        <v>25</v>
      </c>
      <c r="BI7" s="781">
        <f>IF(BI4="forecast",IF(BH4="actual",(SUMIFS(Headcount!$B$6:$B$89,Headcount!$F$6:$F$89,"Sales",Headcount!$H$6:$H$89,"&gt;"&amp;BI3,Headcount!$G$6:$G$89,"&lt;"&amp;BI3)+BI8-BI9),(BH7+BI8-BI9)),SUMIFS(Headcount!$B$6:$B$89,Headcount!$F$6:$F$89,"Sales",Headcount!$H$6:$H$89,"&gt;"&amp;BI3,Headcount!$G$6:$G$89,"&lt;"&amp;BH3))</f>
        <v>25</v>
      </c>
      <c r="BJ7" s="781">
        <f>IF(BJ4="forecast",IF(BI4="actual",(SUMIFS(Headcount!$B$6:$B$89,Headcount!$F$6:$F$89,"Sales",Headcount!$H$6:$H$89,"&gt;"&amp;BJ3,Headcount!$G$6:$G$89,"&lt;"&amp;BJ3)+BJ8-BJ9),(BI7+BJ8-BJ9)),SUMIFS(Headcount!$B$6:$B$89,Headcount!$F$6:$F$89,"Sales",Headcount!$H$6:$H$89,"&gt;"&amp;BJ3,Headcount!$G$6:$G$89,"&lt;"&amp;BI3))</f>
        <v>25</v>
      </c>
      <c r="BK7" s="781">
        <f>IF(BK4="forecast",IF(BJ4="actual",(SUMIFS(Headcount!$B$6:$B$89,Headcount!$F$6:$F$89,"Sales",Headcount!$H$6:$H$89,"&gt;"&amp;BK3,Headcount!$G$6:$G$89,"&lt;"&amp;BK3)+BK8-BK9),(BJ7+BK8-BK9)),SUMIFS(Headcount!$B$6:$B$89,Headcount!$F$6:$F$89,"Sales",Headcount!$H$6:$H$89,"&gt;"&amp;BK3,Headcount!$G$6:$G$89,"&lt;"&amp;BJ3))</f>
        <v>25</v>
      </c>
      <c r="BL7" s="781">
        <f>IF(BL4="forecast",IF(BK4="actual",(SUMIFS(Headcount!$B$6:$B$89,Headcount!$F$6:$F$89,"Sales",Headcount!$H$6:$H$89,"&gt;"&amp;BL3,Headcount!$G$6:$G$89,"&lt;"&amp;BL3)+BL8-BL9),(BK7+BL8-BL9)),SUMIFS(Headcount!$B$6:$B$89,Headcount!$F$6:$F$89,"Sales",Headcount!$H$6:$H$89,"&gt;"&amp;BL3,Headcount!$G$6:$G$89,"&lt;"&amp;BK3))</f>
        <v>25</v>
      </c>
      <c r="BM7" s="781">
        <f>IF(BM4="forecast",IF(BL4="actual",(SUMIFS(Headcount!$B$6:$B$89,Headcount!$F$6:$F$89,"Sales",Headcount!$H$6:$H$89,"&gt;"&amp;BM3,Headcount!$G$6:$G$89,"&lt;"&amp;BM3)+BM8-BM9),(BL7+BM8-BM9)),SUMIFS(Headcount!$B$6:$B$89,Headcount!$F$6:$F$89,"Sales",Headcount!$H$6:$H$89,"&gt;"&amp;BM3,Headcount!$G$6:$G$89,"&lt;"&amp;BL3))</f>
        <v>25</v>
      </c>
      <c r="BN7" s="781">
        <f>IF(BN4="forecast",IF(BM4="actual",(SUMIFS(Headcount!$B$6:$B$89,Headcount!$F$6:$F$89,"Sales",Headcount!$H$6:$H$89,"&gt;"&amp;BN3,Headcount!$G$6:$G$89,"&lt;"&amp;BN3)+BN8-BN9),(BM7+BN8-BN9)),SUMIFS(Headcount!$B$6:$B$89,Headcount!$F$6:$F$89,"Sales",Headcount!$H$6:$H$89,"&gt;"&amp;BN3,Headcount!$G$6:$G$89,"&lt;"&amp;BM3))</f>
        <v>25</v>
      </c>
      <c r="BO7" s="781">
        <f>IF(BO4="forecast",IF(BN4="actual",(SUMIFS(Headcount!$B$6:$B$89,Headcount!$F$6:$F$89,"Sales",Headcount!$H$6:$H$89,"&gt;"&amp;BO3,Headcount!$G$6:$G$89,"&lt;"&amp;BO3)+BO8-BO9),(BN7+BO8-BO9)),SUMIFS(Headcount!$B$6:$B$89,Headcount!$F$6:$F$89,"Sales",Headcount!$H$6:$H$89,"&gt;"&amp;BO3,Headcount!$G$6:$G$89,"&lt;"&amp;BN3))</f>
        <v>25</v>
      </c>
      <c r="BP7" s="781">
        <f>IF(BP4="forecast",IF(BO4="actual",(SUMIFS(Headcount!$B$6:$B$89,Headcount!$F$6:$F$89,"Sales",Headcount!$H$6:$H$89,"&gt;"&amp;BP3,Headcount!$G$6:$G$89,"&lt;"&amp;BP3)+BP8-BP9),(BO7+BP8-BP9)),SUMIFS(Headcount!$B$6:$B$89,Headcount!$F$6:$F$89,"Sales",Headcount!$H$6:$H$89,"&gt;"&amp;BP3,Headcount!$G$6:$G$89,"&lt;"&amp;BO3))</f>
        <v>25</v>
      </c>
      <c r="BQ7" s="781">
        <f>IF(BQ4="forecast",IF(BP4="actual",(SUMIFS(Headcount!$B$6:$B$89,Headcount!$F$6:$F$89,"Sales",Headcount!$H$6:$H$89,"&gt;"&amp;BQ3,Headcount!$G$6:$G$89,"&lt;"&amp;BQ3)+BQ8-BQ9),(BP7+BQ8-BQ9)),SUMIFS(Headcount!$B$6:$B$89,Headcount!$F$6:$F$89,"Sales",Headcount!$H$6:$H$89,"&gt;"&amp;BQ3,Headcount!$G$6:$G$89,"&lt;"&amp;BP3))</f>
        <v>25</v>
      </c>
      <c r="BR7" s="781">
        <f>IF(BR4="forecast",IF(BQ4="actual",(SUMIFS(Headcount!$B$6:$B$89,Headcount!$F$6:$F$89,"Sales",Headcount!$H$6:$H$89,"&gt;"&amp;BR3,Headcount!$G$6:$G$89,"&lt;"&amp;BR3)+BR8-BR9),(BQ7+BR8-BR9)),SUMIFS(Headcount!$B$6:$B$89,Headcount!$F$6:$F$89,"Sales",Headcount!$H$6:$H$89,"&gt;"&amp;BR3,Headcount!$G$6:$G$89,"&lt;"&amp;BQ3))</f>
        <v>25</v>
      </c>
      <c r="BS7" s="781">
        <f>IF(BS4="forecast",IF(BR4="actual",(SUMIFS(Headcount!$B$6:$B$89,Headcount!$F$6:$F$89,"Sales",Headcount!$H$6:$H$89,"&gt;"&amp;BS3,Headcount!$G$6:$G$89,"&lt;"&amp;BS3)+BS8-BS9),(BR7+BS8-BS9)),SUMIFS(Headcount!$B$6:$B$89,Headcount!$F$6:$F$89,"Sales",Headcount!$H$6:$H$89,"&gt;"&amp;BS3,Headcount!$G$6:$G$89,"&lt;"&amp;BR3))</f>
        <v>25</v>
      </c>
      <c r="BT7" s="781">
        <f>IF(BT4="forecast",IF(BS4="actual",(SUMIFS(Headcount!$B$6:$B$89,Headcount!$F$6:$F$89,"Sales",Headcount!$H$6:$H$89,"&gt;"&amp;BT3,Headcount!$G$6:$G$89,"&lt;"&amp;BT3)+BT8-BT9),(BS7+BT8-BT9)),SUMIFS(Headcount!$B$6:$B$89,Headcount!$F$6:$F$89,"Sales",Headcount!$H$6:$H$89,"&gt;"&amp;BT3,Headcount!$G$6:$G$89,"&lt;"&amp;BS3))</f>
        <v>25</v>
      </c>
      <c r="BU7" s="781">
        <f>IF(BU4="forecast",IF(BT4="actual",(SUMIFS(Headcount!$B$6:$B$89,Headcount!$F$6:$F$89,"Sales",Headcount!$H$6:$H$89,"&gt;"&amp;BU3,Headcount!$G$6:$G$89,"&lt;"&amp;BU3)+BU8-BU9),(BT7+BU8-BU9)),SUMIFS(Headcount!$B$6:$B$89,Headcount!$F$6:$F$89,"Sales",Headcount!$H$6:$H$89,"&gt;"&amp;BU3,Headcount!$G$6:$G$89,"&lt;"&amp;BT3))</f>
        <v>25</v>
      </c>
      <c r="BV7" s="782">
        <f>IF(BV4="forecast",IF(BU4="actual",(SUMIFS(Headcount!$B$6:$B$89,Headcount!$F$6:$F$89,"Sales",Headcount!$H$6:$H$89,"&gt;"&amp;BV3,Headcount!$G$6:$G$89,"&lt;"&amp;BV3)+BV8-BV9),(BU7+BV8-BV9)),SUMIFS(Headcount!$B$6:$B$89,Headcount!$F$6:$F$89,"Sales",Headcount!$H$6:$H$89,"&gt;"&amp;BV3,Headcount!$G$6:$G$89,"&lt;"&amp;BU3))</f>
        <v>25</v>
      </c>
    </row>
    <row r="8" spans="2:76" x14ac:dyDescent="0.25">
      <c r="B8" s="777" t="s">
        <v>14</v>
      </c>
      <c r="C8" s="781">
        <f>SUMIFS('New Hires Forecast'!$B$5:$B$84,'New Hires Forecast'!$G$5:$G$84,"&gt;"&amp;Sales!B3,'New Hires Forecast'!$G$5:$G$84,"&lt;="&amp;Sales!C3,'New Hires Forecast'!$F$5:$F$84,"Sales")</f>
        <v>0</v>
      </c>
      <c r="D8" s="781">
        <f>SUMIFS('New Hires Forecast'!$B$5:$B$84,'New Hires Forecast'!$G$5:$G$84,"&gt;"&amp;Sales!C3,'New Hires Forecast'!$G$5:$G$84,"&lt;="&amp;Sales!D3,'New Hires Forecast'!$F$5:$F$84,"Sales")</f>
        <v>0</v>
      </c>
      <c r="E8" s="781">
        <f>SUMIFS('New Hires Forecast'!$B$5:$B$84,'New Hires Forecast'!$G$5:$G$84,"&gt;"&amp;Sales!D3,'New Hires Forecast'!$G$5:$G$84,"&lt;="&amp;Sales!E3,'New Hires Forecast'!$F$5:$F$84,"Sales")</f>
        <v>0</v>
      </c>
      <c r="F8" s="781">
        <f>SUMIFS('New Hires Forecast'!$B$5:$B$84,'New Hires Forecast'!$G$5:$G$84,"&gt;"&amp;Sales!E3,'New Hires Forecast'!$G$5:$G$84,"&lt;="&amp;Sales!F3,'New Hires Forecast'!$F$5:$F$84,"Sales")</f>
        <v>0</v>
      </c>
      <c r="G8" s="781">
        <f>SUMIFS('New Hires Forecast'!$B$5:$B$84,'New Hires Forecast'!$G$5:$G$84,"&gt;"&amp;Sales!F3,'New Hires Forecast'!$G$5:$G$84,"&lt;="&amp;Sales!G3,'New Hires Forecast'!$F$5:$F$84,"Sales")</f>
        <v>0</v>
      </c>
      <c r="H8" s="781">
        <f>SUMIFS('New Hires Forecast'!$B$5:$B$84,'New Hires Forecast'!$G$5:$G$84,"&gt;"&amp;Sales!G3,'New Hires Forecast'!$G$5:$G$84,"&lt;="&amp;Sales!H3,'New Hires Forecast'!$F$5:$F$84,"Sales")</f>
        <v>0</v>
      </c>
      <c r="I8" s="781">
        <f>SUMIFS('New Hires Forecast'!$B$5:$B$84,'New Hires Forecast'!$G$5:$G$84,"&gt;"&amp;Sales!H3,'New Hires Forecast'!$G$5:$G$84,"&lt;="&amp;Sales!I3,'New Hires Forecast'!$F$5:$F$84,"Sales")</f>
        <v>0</v>
      </c>
      <c r="J8" s="781">
        <f>SUMIFS('New Hires Forecast'!$B$5:$B$84,'New Hires Forecast'!$G$5:$G$84,"&gt;"&amp;Sales!I3,'New Hires Forecast'!$G$5:$G$84,"&lt;="&amp;Sales!J3,'New Hires Forecast'!$F$5:$F$84,"Sales")</f>
        <v>0</v>
      </c>
      <c r="K8" s="781">
        <f>SUMIFS('New Hires Forecast'!$B$5:$B$84,'New Hires Forecast'!$G$5:$G$84,"&gt;"&amp;Sales!J3,'New Hires Forecast'!$G$5:$G$84,"&lt;="&amp;Sales!K3,'New Hires Forecast'!$F$5:$F$84,"Sales")</f>
        <v>0</v>
      </c>
      <c r="L8" s="781">
        <f>SUMIFS('New Hires Forecast'!$B$5:$B$84,'New Hires Forecast'!$G$5:$G$84,"&gt;"&amp;Sales!K3,'New Hires Forecast'!$G$5:$G$84,"&lt;="&amp;Sales!L3,'New Hires Forecast'!$F$5:$F$84,"Sales")</f>
        <v>0</v>
      </c>
      <c r="M8" s="781">
        <f>SUMIFS('New Hires Forecast'!$B$5:$B$84,'New Hires Forecast'!$G$5:$G$84,"&gt;"&amp;Sales!L3,'New Hires Forecast'!$G$5:$G$84,"&lt;="&amp;Sales!M3,'New Hires Forecast'!$F$5:$F$84,"Sales")</f>
        <v>0</v>
      </c>
      <c r="N8" s="781">
        <f>SUMIFS('New Hires Forecast'!$B$5:$B$84,'New Hires Forecast'!$G$5:$G$84,"&gt;"&amp;Sales!M3,'New Hires Forecast'!$G$5:$G$84,"&lt;="&amp;Sales!N3,'New Hires Forecast'!$F$5:$F$84,"Sales")</f>
        <v>0</v>
      </c>
      <c r="O8" s="781">
        <f>SUMIFS('New Hires Forecast'!$B$5:$B$84,'New Hires Forecast'!$G$5:$G$84,"&gt;"&amp;Sales!N3,'New Hires Forecast'!$G$5:$G$84,"&lt;="&amp;Sales!O3,'New Hires Forecast'!$F$5:$F$84,"Sales")</f>
        <v>0</v>
      </c>
      <c r="P8" s="781">
        <f>SUMIFS('New Hires Forecast'!$B$5:$B$84,'New Hires Forecast'!$G$5:$G$84,"&gt;"&amp;Sales!O3,'New Hires Forecast'!$G$5:$G$84,"&lt;="&amp;Sales!P3,'New Hires Forecast'!$F$5:$F$84,"Sales")</f>
        <v>0</v>
      </c>
      <c r="Q8" s="781">
        <f>SUMIFS('New Hires Forecast'!$B$5:$B$84,'New Hires Forecast'!$G$5:$G$84,"&gt;"&amp;Sales!P3,'New Hires Forecast'!$G$5:$G$84,"&lt;="&amp;Sales!Q3,'New Hires Forecast'!$F$5:$F$84,"Sales")</f>
        <v>0</v>
      </c>
      <c r="R8" s="781">
        <f>SUMIFS('New Hires Forecast'!$B$5:$B$84,'New Hires Forecast'!$G$5:$G$84,"&gt;"&amp;Sales!Q3,'New Hires Forecast'!$G$5:$G$84,"&lt;="&amp;Sales!R3,'New Hires Forecast'!$F$5:$F$84,"Sales")</f>
        <v>0</v>
      </c>
      <c r="S8" s="781">
        <f>SUMIFS('New Hires Forecast'!$B$5:$B$84,'New Hires Forecast'!$G$5:$G$84,"&gt;"&amp;Sales!R3,'New Hires Forecast'!$G$5:$G$84,"&lt;="&amp;Sales!S3,'New Hires Forecast'!$F$5:$F$84,"Sales")</f>
        <v>0</v>
      </c>
      <c r="T8" s="781">
        <f>SUMIFS('New Hires Forecast'!$B$5:$B$84,'New Hires Forecast'!$G$5:$G$84,"&gt;"&amp;Sales!S3,'New Hires Forecast'!$G$5:$G$84,"&lt;="&amp;Sales!T3,'New Hires Forecast'!$F$5:$F$84,"Sales")</f>
        <v>0</v>
      </c>
      <c r="U8" s="781">
        <f>SUMIFS('New Hires Forecast'!$B$5:$B$84,'New Hires Forecast'!$G$5:$G$84,"&gt;"&amp;Sales!T3,'New Hires Forecast'!$G$5:$G$84,"&lt;="&amp;Sales!U3,'New Hires Forecast'!$F$5:$F$84,"Sales")</f>
        <v>0</v>
      </c>
      <c r="V8" s="781">
        <f>SUMIFS('New Hires Forecast'!$B$5:$B$84,'New Hires Forecast'!$G$5:$G$84,"&gt;"&amp;Sales!U3,'New Hires Forecast'!$G$5:$G$84,"&lt;="&amp;Sales!V3,'New Hires Forecast'!$F$5:$F$84,"Sales")</f>
        <v>0</v>
      </c>
      <c r="W8" s="781">
        <f>SUMIFS('New Hires Forecast'!$B$5:$B$84,'New Hires Forecast'!$G$5:$G$84,"&gt;"&amp;Sales!V3,'New Hires Forecast'!$G$5:$G$84,"&lt;="&amp;Sales!W3,'New Hires Forecast'!$F$5:$F$84,"Sales")</f>
        <v>0</v>
      </c>
      <c r="X8" s="781">
        <f>SUMIFS('New Hires Forecast'!$B$5:$B$84,'New Hires Forecast'!$G$5:$G$84,"&gt;"&amp;Sales!W3,'New Hires Forecast'!$G$5:$G$84,"&lt;="&amp;Sales!X3,'New Hires Forecast'!$F$5:$F$84,"Sales")</f>
        <v>0</v>
      </c>
      <c r="Y8" s="781">
        <f>SUMIFS('New Hires Forecast'!$B$5:$B$84,'New Hires Forecast'!$G$5:$G$84,"&gt;"&amp;Sales!X3,'New Hires Forecast'!$G$5:$G$84,"&lt;="&amp;Sales!Y3,'New Hires Forecast'!$F$5:$F$84,"Sales")</f>
        <v>0</v>
      </c>
      <c r="Z8" s="781">
        <f>SUMIFS('New Hires Forecast'!$B$5:$B$84,'New Hires Forecast'!$G$5:$G$84,"&gt;"&amp;Sales!Y3,'New Hires Forecast'!$G$5:$G$84,"&lt;="&amp;Sales!Z3,'New Hires Forecast'!$F$5:$F$84,"Sales")</f>
        <v>0</v>
      </c>
      <c r="AA8" s="781">
        <f>SUMIFS('New Hires Forecast'!$B$5:$B$84,'New Hires Forecast'!$G$5:$G$84,"&gt;"&amp;Sales!Z3,'New Hires Forecast'!$G$5:$G$84,"&lt;="&amp;Sales!AA3,'New Hires Forecast'!$F$5:$F$84,"Sales")</f>
        <v>0</v>
      </c>
      <c r="AB8" s="781">
        <f>SUMIFS('New Hires Forecast'!$B$5:$B$84,'New Hires Forecast'!$G$5:$G$84,"&gt;"&amp;Sales!AA3,'New Hires Forecast'!$G$5:$G$84,"&lt;="&amp;Sales!AB3,'New Hires Forecast'!$F$5:$F$84,"Sales")</f>
        <v>1</v>
      </c>
      <c r="AC8" s="781">
        <f>SUMIFS('New Hires Forecast'!$B$5:$B$84,'New Hires Forecast'!$G$5:$G$84,"&gt;"&amp;Sales!AB3,'New Hires Forecast'!$G$5:$G$84,"&lt;="&amp;Sales!AC3,'New Hires Forecast'!$F$5:$F$84,"Sales")</f>
        <v>0</v>
      </c>
      <c r="AD8" s="781">
        <f>SUMIFS('New Hires Forecast'!$B$5:$B$84,'New Hires Forecast'!$G$5:$G$84,"&gt;"&amp;Sales!AC3,'New Hires Forecast'!$G$5:$G$84,"&lt;="&amp;Sales!AD3,'New Hires Forecast'!$F$5:$F$84,"Sales")</f>
        <v>2</v>
      </c>
      <c r="AE8" s="781">
        <f>SUMIFS('New Hires Forecast'!$B$5:$B$84,'New Hires Forecast'!$G$5:$G$84,"&gt;"&amp;Sales!AD3,'New Hires Forecast'!$G$5:$G$84,"&lt;="&amp;Sales!AE3,'New Hires Forecast'!$F$5:$F$84,"Sales")</f>
        <v>1</v>
      </c>
      <c r="AF8" s="781">
        <f>SUMIFS('New Hires Forecast'!$B$5:$B$84,'New Hires Forecast'!$G$5:$G$84,"&gt;"&amp;Sales!AE3,'New Hires Forecast'!$G$5:$G$84,"&lt;="&amp;Sales!AF3,'New Hires Forecast'!$F$5:$F$84,"Sales")</f>
        <v>0</v>
      </c>
      <c r="AG8" s="781">
        <f>SUMIFS('New Hires Forecast'!$B$5:$B$84,'New Hires Forecast'!$G$5:$G$84,"&gt;"&amp;Sales!AF3,'New Hires Forecast'!$G$5:$G$84,"&lt;="&amp;Sales!AG3,'New Hires Forecast'!$F$5:$F$84,"Sales")</f>
        <v>2</v>
      </c>
      <c r="AH8" s="781">
        <f>SUMIFS('New Hires Forecast'!$B$5:$B$84,'New Hires Forecast'!$G$5:$G$84,"&gt;"&amp;Sales!AG3,'New Hires Forecast'!$G$5:$G$84,"&lt;="&amp;Sales!AH3,'New Hires Forecast'!$F$5:$F$84,"Sales")</f>
        <v>0</v>
      </c>
      <c r="AI8" s="781">
        <f>SUMIFS('New Hires Forecast'!$B$5:$B$84,'New Hires Forecast'!$G$5:$G$84,"&gt;"&amp;Sales!AH3,'New Hires Forecast'!$G$5:$G$84,"&lt;="&amp;Sales!AI3,'New Hires Forecast'!$F$5:$F$84,"Sales")</f>
        <v>0</v>
      </c>
      <c r="AJ8" s="781">
        <f>SUMIFS('New Hires Forecast'!$B$5:$B$84,'New Hires Forecast'!$G$5:$G$84,"&gt;"&amp;Sales!AI3,'New Hires Forecast'!$G$5:$G$84,"&lt;="&amp;Sales!AJ3,'New Hires Forecast'!$F$5:$F$84,"Sales")</f>
        <v>0</v>
      </c>
      <c r="AK8" s="781">
        <f>SUMIFS('New Hires Forecast'!$B$5:$B$84,'New Hires Forecast'!$G$5:$G$84,"&gt;"&amp;Sales!AJ3,'New Hires Forecast'!$G$5:$G$84,"&lt;="&amp;Sales!AK3,'New Hires Forecast'!$F$5:$F$84,"Sales")</f>
        <v>0</v>
      </c>
      <c r="AL8" s="781">
        <f>SUMIFS('New Hires Forecast'!$B$5:$B$84,'New Hires Forecast'!$G$5:$G$84,"&gt;"&amp;Sales!AK3,'New Hires Forecast'!$G$5:$G$84,"&lt;="&amp;Sales!AL3,'New Hires Forecast'!$F$5:$F$84,"Sales")</f>
        <v>0</v>
      </c>
      <c r="AM8" s="781">
        <f>SUMIFS('New Hires Forecast'!$B$5:$B$84,'New Hires Forecast'!$G$5:$G$84,"&gt;"&amp;Sales!AL3,'New Hires Forecast'!$G$5:$G$84,"&lt;="&amp;Sales!AM3,'New Hires Forecast'!$F$5:$F$84,"Sales")</f>
        <v>0</v>
      </c>
      <c r="AN8" s="781">
        <f>SUMIFS('New Hires Forecast'!$B$5:$B$84,'New Hires Forecast'!$G$5:$G$84,"&gt;"&amp;Sales!AM3,'New Hires Forecast'!$G$5:$G$84,"&lt;="&amp;Sales!AN3,'New Hires Forecast'!$F$5:$F$84,"Sales")</f>
        <v>0</v>
      </c>
      <c r="AO8" s="781">
        <f>SUMIFS('New Hires Forecast'!$B$5:$B$84,'New Hires Forecast'!$G$5:$G$84,"&gt;"&amp;Sales!AN3,'New Hires Forecast'!$G$5:$G$84,"&lt;="&amp;Sales!AO3,'New Hires Forecast'!$F$5:$F$84,"Sales")</f>
        <v>0</v>
      </c>
      <c r="AP8" s="781">
        <f>SUMIFS('New Hires Forecast'!$B$5:$B$84,'New Hires Forecast'!$G$5:$G$84,"&gt;"&amp;Sales!AO3,'New Hires Forecast'!$G$5:$G$84,"&lt;="&amp;Sales!AP3,'New Hires Forecast'!$F$5:$F$84,"Sales")</f>
        <v>0</v>
      </c>
      <c r="AQ8" s="781">
        <f>SUMIFS('New Hires Forecast'!$B$5:$B$84,'New Hires Forecast'!$G$5:$G$84,"&gt;"&amp;Sales!AP3,'New Hires Forecast'!$G$5:$G$84,"&lt;="&amp;Sales!AQ3,'New Hires Forecast'!$F$5:$F$84,"Sales")</f>
        <v>0</v>
      </c>
      <c r="AR8" s="781">
        <f>SUMIFS('New Hires Forecast'!$B$5:$B$84,'New Hires Forecast'!$G$5:$G$84,"&gt;"&amp;Sales!AQ3,'New Hires Forecast'!$G$5:$G$84,"&lt;="&amp;Sales!AR3,'New Hires Forecast'!$F$5:$F$84,"Sales")</f>
        <v>0</v>
      </c>
      <c r="AS8" s="781">
        <f>SUMIFS('New Hires Forecast'!$B$5:$B$84,'New Hires Forecast'!$G$5:$G$84,"&gt;"&amp;Sales!AR3,'New Hires Forecast'!$G$5:$G$84,"&lt;="&amp;Sales!AS3,'New Hires Forecast'!$F$5:$F$84,"Sales")</f>
        <v>0</v>
      </c>
      <c r="AT8" s="781">
        <f>SUMIFS('New Hires Forecast'!$B$5:$B$84,'New Hires Forecast'!$G$5:$G$84,"&gt;"&amp;Sales!AS3,'New Hires Forecast'!$G$5:$G$84,"&lt;="&amp;Sales!AT3,'New Hires Forecast'!$F$5:$F$84,"Sales")</f>
        <v>0</v>
      </c>
      <c r="AU8" s="781">
        <f>SUMIFS('New Hires Forecast'!$B$5:$B$84,'New Hires Forecast'!$G$5:$G$84,"&gt;"&amp;Sales!AT3,'New Hires Forecast'!$G$5:$G$84,"&lt;="&amp;Sales!AU3,'New Hires Forecast'!$F$5:$F$84,"Sales")</f>
        <v>0</v>
      </c>
      <c r="AV8" s="781">
        <f>SUMIFS('New Hires Forecast'!$B$5:$B$84,'New Hires Forecast'!$G$5:$G$84,"&gt;"&amp;Sales!AU3,'New Hires Forecast'!$G$5:$G$84,"&lt;="&amp;Sales!AV3,'New Hires Forecast'!$F$5:$F$84,"Sales")</f>
        <v>0</v>
      </c>
      <c r="AW8" s="781">
        <f>SUMIFS('New Hires Forecast'!$B$5:$B$84,'New Hires Forecast'!$G$5:$G$84,"&gt;"&amp;Sales!AV3,'New Hires Forecast'!$G$5:$G$84,"&lt;="&amp;Sales!AW3,'New Hires Forecast'!$F$5:$F$84,"Sales")</f>
        <v>0</v>
      </c>
      <c r="AX8" s="781">
        <f>SUMIFS('New Hires Forecast'!$B$5:$B$84,'New Hires Forecast'!$G$5:$G$84,"&gt;"&amp;Sales!AW3,'New Hires Forecast'!$G$5:$G$84,"&lt;="&amp;Sales!AX3,'New Hires Forecast'!$F$5:$F$84,"Sales")</f>
        <v>0</v>
      </c>
      <c r="AY8" s="781">
        <f>SUMIFS('New Hires Forecast'!$B$5:$B$84,'New Hires Forecast'!$G$5:$G$84,"&gt;"&amp;Sales!AX3,'New Hires Forecast'!$G$5:$G$84,"&lt;="&amp;Sales!AY3,'New Hires Forecast'!$F$5:$F$84,"Sales")</f>
        <v>0</v>
      </c>
      <c r="AZ8" s="781">
        <f>SUMIFS('New Hires Forecast'!$B$5:$B$84,'New Hires Forecast'!$G$5:$G$84,"&gt;"&amp;Sales!AY3,'New Hires Forecast'!$G$5:$G$84,"&lt;="&amp;Sales!AZ3,'New Hires Forecast'!$F$5:$F$84,"Sales")</f>
        <v>0</v>
      </c>
      <c r="BA8" s="781">
        <f>SUMIFS('New Hires Forecast'!$B$5:$B$84,'New Hires Forecast'!$G$5:$G$84,"&gt;"&amp;Sales!AZ3,'New Hires Forecast'!$G$5:$G$84,"&lt;="&amp;Sales!BA3,'New Hires Forecast'!$F$5:$F$84,"Sales")</f>
        <v>0</v>
      </c>
      <c r="BB8" s="781">
        <f>SUMIFS('New Hires Forecast'!$B$5:$B$84,'New Hires Forecast'!$G$5:$G$84,"&gt;"&amp;Sales!BA3,'New Hires Forecast'!$G$5:$G$84,"&lt;="&amp;Sales!BB3,'New Hires Forecast'!$F$5:$F$84,"Sales")</f>
        <v>0</v>
      </c>
      <c r="BC8" s="781">
        <f>SUMIFS('New Hires Forecast'!$B$5:$B$84,'New Hires Forecast'!$G$5:$G$84,"&gt;"&amp;Sales!BB3,'New Hires Forecast'!$G$5:$G$84,"&lt;="&amp;Sales!BC3,'New Hires Forecast'!$F$5:$F$84,"Sales")</f>
        <v>0</v>
      </c>
      <c r="BD8" s="781">
        <f>SUMIFS('New Hires Forecast'!$B$5:$B$84,'New Hires Forecast'!$G$5:$G$84,"&gt;"&amp;Sales!BC3,'New Hires Forecast'!$G$5:$G$84,"&lt;="&amp;Sales!BD3,'New Hires Forecast'!$F$5:$F$84,"Sales")</f>
        <v>0</v>
      </c>
      <c r="BE8" s="781">
        <f>SUMIFS('New Hires Forecast'!$B$5:$B$84,'New Hires Forecast'!$G$5:$G$84,"&gt;"&amp;Sales!BD3,'New Hires Forecast'!$G$5:$G$84,"&lt;="&amp;Sales!BE3,'New Hires Forecast'!$F$5:$F$84,"Sales")</f>
        <v>0</v>
      </c>
      <c r="BF8" s="781">
        <f>SUMIFS('New Hires Forecast'!$B$5:$B$84,'New Hires Forecast'!$G$5:$G$84,"&gt;"&amp;Sales!BE3,'New Hires Forecast'!$G$5:$G$84,"&lt;="&amp;Sales!BF3,'New Hires Forecast'!$F$5:$F$84,"Sales")</f>
        <v>0</v>
      </c>
      <c r="BG8" s="781">
        <f>SUMIFS('New Hires Forecast'!$B$5:$B$84,'New Hires Forecast'!$G$5:$G$84,"&gt;"&amp;Sales!BF3,'New Hires Forecast'!$G$5:$G$84,"&lt;="&amp;Sales!BG3,'New Hires Forecast'!$F$5:$F$84,"Sales")</f>
        <v>0</v>
      </c>
      <c r="BH8" s="781">
        <f>SUMIFS('New Hires Forecast'!$B$5:$B$84,'New Hires Forecast'!$G$5:$G$84,"&gt;"&amp;Sales!BG3,'New Hires Forecast'!$G$5:$G$84,"&lt;="&amp;Sales!BH3,'New Hires Forecast'!$F$5:$F$84,"Sales")</f>
        <v>0</v>
      </c>
      <c r="BI8" s="781">
        <f>SUMIFS('New Hires Forecast'!$B$5:$B$84,'New Hires Forecast'!$G$5:$G$84,"&gt;"&amp;Sales!BH3,'New Hires Forecast'!$G$5:$G$84,"&lt;="&amp;Sales!BI3,'New Hires Forecast'!$F$5:$F$84,"Sales")</f>
        <v>0</v>
      </c>
      <c r="BJ8" s="781">
        <f>SUMIFS('New Hires Forecast'!$B$5:$B$84,'New Hires Forecast'!$G$5:$G$84,"&gt;"&amp;Sales!BI3,'New Hires Forecast'!$G$5:$G$84,"&lt;="&amp;Sales!BJ3,'New Hires Forecast'!$F$5:$F$84,"Sales")</f>
        <v>0</v>
      </c>
      <c r="BK8" s="781">
        <f>SUMIFS('New Hires Forecast'!$B$5:$B$84,'New Hires Forecast'!$G$5:$G$84,"&gt;"&amp;Sales!BJ3,'New Hires Forecast'!$G$5:$G$84,"&lt;="&amp;Sales!BK3,'New Hires Forecast'!$F$5:$F$84,"Sales")</f>
        <v>0</v>
      </c>
      <c r="BL8" s="781">
        <f>SUMIFS('New Hires Forecast'!$B$5:$B$84,'New Hires Forecast'!$G$5:$G$84,"&gt;"&amp;Sales!BK3,'New Hires Forecast'!$G$5:$G$84,"&lt;="&amp;Sales!BL3,'New Hires Forecast'!$F$5:$F$84,"Sales")</f>
        <v>0</v>
      </c>
      <c r="BM8" s="781">
        <f>SUMIFS('New Hires Forecast'!$B$5:$B$84,'New Hires Forecast'!$G$5:$G$84,"&gt;"&amp;Sales!BL3,'New Hires Forecast'!$G$5:$G$84,"&lt;="&amp;Sales!BM3,'New Hires Forecast'!$F$5:$F$84,"Sales")</f>
        <v>0</v>
      </c>
      <c r="BN8" s="781">
        <f>SUMIFS('New Hires Forecast'!$B$5:$B$84,'New Hires Forecast'!$G$5:$G$84,"&gt;"&amp;Sales!BM3,'New Hires Forecast'!$G$5:$G$84,"&lt;="&amp;Sales!BN3,'New Hires Forecast'!$F$5:$F$84,"Sales")</f>
        <v>0</v>
      </c>
      <c r="BO8" s="781">
        <f>SUMIFS('New Hires Forecast'!$B$5:$B$84,'New Hires Forecast'!$G$5:$G$84,"&gt;"&amp;Sales!BN3,'New Hires Forecast'!$G$5:$G$84,"&lt;="&amp;Sales!BO3,'New Hires Forecast'!$F$5:$F$84,"Sales")</f>
        <v>0</v>
      </c>
      <c r="BP8" s="781">
        <f>SUMIFS('New Hires Forecast'!$B$5:$B$84,'New Hires Forecast'!$G$5:$G$84,"&gt;"&amp;Sales!BO3,'New Hires Forecast'!$G$5:$G$84,"&lt;="&amp;Sales!BP3,'New Hires Forecast'!$F$5:$F$84,"Sales")</f>
        <v>0</v>
      </c>
      <c r="BQ8" s="781">
        <f>SUMIFS('New Hires Forecast'!$B$5:$B$84,'New Hires Forecast'!$G$5:$G$84,"&gt;"&amp;Sales!BP3,'New Hires Forecast'!$G$5:$G$84,"&lt;="&amp;Sales!BQ3,'New Hires Forecast'!$F$5:$F$84,"Sales")</f>
        <v>0</v>
      </c>
      <c r="BR8" s="781">
        <f>SUMIFS('New Hires Forecast'!$B$5:$B$84,'New Hires Forecast'!$G$5:$G$84,"&gt;"&amp;Sales!BQ3,'New Hires Forecast'!$G$5:$G$84,"&lt;="&amp;Sales!BR3,'New Hires Forecast'!$F$5:$F$84,"Sales")</f>
        <v>0</v>
      </c>
      <c r="BS8" s="781">
        <f>SUMIFS('New Hires Forecast'!$B$5:$B$84,'New Hires Forecast'!$G$5:$G$84,"&gt;"&amp;Sales!BR3,'New Hires Forecast'!$G$5:$G$84,"&lt;="&amp;Sales!BS3,'New Hires Forecast'!$F$5:$F$84,"Sales")</f>
        <v>0</v>
      </c>
      <c r="BT8" s="781">
        <f>SUMIFS('New Hires Forecast'!$B$5:$B$84,'New Hires Forecast'!$G$5:$G$84,"&gt;"&amp;Sales!BS3,'New Hires Forecast'!$G$5:$G$84,"&lt;="&amp;Sales!BT3,'New Hires Forecast'!$F$5:$F$84,"Sales")</f>
        <v>0</v>
      </c>
      <c r="BU8" s="781">
        <f>SUMIFS('New Hires Forecast'!$B$5:$B$84,'New Hires Forecast'!$G$5:$G$84,"&gt;"&amp;Sales!BT3,'New Hires Forecast'!$G$5:$G$84,"&lt;="&amp;Sales!BU3,'New Hires Forecast'!$F$5:$F$84,"Sales")</f>
        <v>0</v>
      </c>
      <c r="BV8" s="782">
        <f>SUMIFS('New Hires Forecast'!$B$5:$B$84,'New Hires Forecast'!$G$5:$G$84,"&gt;"&amp;Sales!BU3,'New Hires Forecast'!$G$5:$G$84,"&lt;="&amp;Sales!BV3,'New Hires Forecast'!$F$5:$F$84,"Sales")</f>
        <v>0</v>
      </c>
    </row>
    <row r="9" spans="2:76" x14ac:dyDescent="0.25">
      <c r="B9" s="777" t="s">
        <v>149</v>
      </c>
      <c r="C9" s="781">
        <f>SUMIFS(Headcount!$B$6:$B$88,Headcount!$H$6:$H$88,"&gt;"&amp;B3,Headcount!$H$6:$H$88,"&lt;="&amp;C3,Headcount!$F$6:$F$88,"Sales")</f>
        <v>0</v>
      </c>
      <c r="D9" s="781">
        <f>SUMIFS(Headcount!$B$6:$B$88,Headcount!$H$6:$H$88,"&gt;"&amp;C3,Headcount!$H$6:$H$88,"&lt;="&amp;D3,Headcount!$F$6:$F$88,"Sales")</f>
        <v>0</v>
      </c>
      <c r="E9" s="781">
        <f>SUMIFS(Headcount!$B$6:$B$88,Headcount!$H$6:$H$88,"&gt;"&amp;D3,Headcount!$H$6:$H$88,"&lt;="&amp;E3,Headcount!$F$6:$F$88,"Sales")</f>
        <v>0</v>
      </c>
      <c r="F9" s="781">
        <f>SUMIFS(Headcount!$B$6:$B$88,Headcount!$H$6:$H$88,"&gt;"&amp;E3,Headcount!$H$6:$H$88,"&lt;="&amp;F3,Headcount!$F$6:$F$88,"Sales")</f>
        <v>0</v>
      </c>
      <c r="G9" s="781">
        <f>SUMIFS(Headcount!$B$6:$B$88,Headcount!$H$6:$H$88,"&gt;"&amp;F3,Headcount!$H$6:$H$88,"&lt;="&amp;G3,Headcount!$F$6:$F$88,"Sales")</f>
        <v>0</v>
      </c>
      <c r="H9" s="781">
        <f>SUMIFS(Headcount!$B$6:$B$88,Headcount!$H$6:$H$88,"&gt;"&amp;G3,Headcount!$H$6:$H$88,"&lt;="&amp;H3,Headcount!$F$6:$F$88,"Sales")</f>
        <v>0</v>
      </c>
      <c r="I9" s="781">
        <f>SUMIFS(Headcount!$B$6:$B$88,Headcount!$H$6:$H$88,"&gt;"&amp;H3,Headcount!$H$6:$H$88,"&lt;="&amp;I3,Headcount!$F$6:$F$88,"Sales")</f>
        <v>0</v>
      </c>
      <c r="J9" s="781">
        <f>SUMIFS(Headcount!$B$6:$B$88,Headcount!$H$6:$H$88,"&gt;"&amp;I3,Headcount!$H$6:$H$88,"&lt;="&amp;J3,Headcount!$F$6:$F$88,"Sales")</f>
        <v>0</v>
      </c>
      <c r="K9" s="781">
        <f>SUMIFS(Headcount!$B$6:$B$88,Headcount!$H$6:$H$88,"&gt;"&amp;J3,Headcount!$H$6:$H$88,"&lt;="&amp;K3,Headcount!$F$6:$F$88,"Sales")</f>
        <v>0</v>
      </c>
      <c r="L9" s="781">
        <f>SUMIFS(Headcount!$B$6:$B$88,Headcount!$H$6:$H$88,"&gt;"&amp;K3,Headcount!$H$6:$H$88,"&lt;="&amp;L3,Headcount!$F$6:$F$88,"Sales")</f>
        <v>0</v>
      </c>
      <c r="M9" s="781">
        <f>SUMIFS(Headcount!$B$6:$B$88,Headcount!$H$6:$H$88,"&gt;"&amp;L3,Headcount!$H$6:$H$88,"&lt;="&amp;M3,Headcount!$F$6:$F$88,"Sales")</f>
        <v>0</v>
      </c>
      <c r="N9" s="781">
        <f>SUMIFS(Headcount!$B$6:$B$88,Headcount!$H$6:$H$88,"&gt;"&amp;M3,Headcount!$H$6:$H$88,"&lt;="&amp;N3,Headcount!$F$6:$F$88,"Sales")</f>
        <v>0</v>
      </c>
      <c r="O9" s="781">
        <f>SUMIFS(Headcount!$B$6:$B$88,Headcount!$H$6:$H$88,"&gt;"&amp;N3,Headcount!$H$6:$H$88,"&lt;="&amp;O3,Headcount!$F$6:$F$88,"Sales")</f>
        <v>0</v>
      </c>
      <c r="P9" s="781">
        <f>SUMIFS(Headcount!$B$6:$B$88,Headcount!$H$6:$H$88,"&gt;"&amp;O3,Headcount!$H$6:$H$88,"&lt;="&amp;P3,Headcount!$F$6:$F$88,"Sales")</f>
        <v>0</v>
      </c>
      <c r="Q9" s="781">
        <f>SUMIFS(Headcount!$B$6:$B$88,Headcount!$H$6:$H$88,"&gt;"&amp;P3,Headcount!$H$6:$H$88,"&lt;="&amp;Q3,Headcount!$F$6:$F$88,"Sales")</f>
        <v>0</v>
      </c>
      <c r="R9" s="781">
        <f>SUMIFS(Headcount!$B$6:$B$88,Headcount!$H$6:$H$88,"&gt;"&amp;Q3,Headcount!$H$6:$H$88,"&lt;="&amp;R3,Headcount!$F$6:$F$88,"Sales")</f>
        <v>0</v>
      </c>
      <c r="S9" s="781">
        <f>SUMIFS(Headcount!$B$6:$B$88,Headcount!$H$6:$H$88,"&gt;"&amp;R3,Headcount!$H$6:$H$88,"&lt;="&amp;S3,Headcount!$F$6:$F$88,"Sales")</f>
        <v>0</v>
      </c>
      <c r="T9" s="781">
        <f>SUMIFS(Headcount!$B$6:$B$88,Headcount!$H$6:$H$88,"&gt;"&amp;S3,Headcount!$H$6:$H$88,"&lt;="&amp;T3,Headcount!$F$6:$F$88,"Sales")</f>
        <v>0</v>
      </c>
      <c r="U9" s="781">
        <f>SUMIFS(Headcount!$B$6:$B$88,Headcount!$H$6:$H$88,"&gt;"&amp;T3,Headcount!$H$6:$H$88,"&lt;="&amp;U3,Headcount!$F$6:$F$88,"Sales")</f>
        <v>0</v>
      </c>
      <c r="V9" s="781">
        <f>SUMIFS(Headcount!$B$6:$B$88,Headcount!$H$6:$H$88,"&gt;"&amp;U3,Headcount!$H$6:$H$88,"&lt;="&amp;V3,Headcount!$F$6:$F$88,"Sales")</f>
        <v>0</v>
      </c>
      <c r="W9" s="781">
        <f>SUMIFS(Headcount!$B$6:$B$88,Headcount!$H$6:$H$88,"&gt;"&amp;V3,Headcount!$H$6:$H$88,"&lt;="&amp;W3,Headcount!$F$6:$F$88,"Sales")</f>
        <v>0</v>
      </c>
      <c r="X9" s="781">
        <f>SUMIFS(Headcount!$B$6:$B$88,Headcount!$H$6:$H$88,"&gt;"&amp;W3,Headcount!$H$6:$H$88,"&lt;="&amp;X3,Headcount!$F$6:$F$88,"Sales")</f>
        <v>1</v>
      </c>
      <c r="Y9" s="781">
        <f>SUMIFS(Headcount!$B$6:$B$88,Headcount!$H$6:$H$88,"&gt;"&amp;X3,Headcount!$H$6:$H$88,"&lt;="&amp;Y3,Headcount!$F$6:$F$88,"Sales")</f>
        <v>1</v>
      </c>
      <c r="Z9" s="781">
        <f>SUMIFS(Headcount!$B$6:$B$88,Headcount!$H$6:$H$88,"&gt;"&amp;Y3,Headcount!$H$6:$H$88,"&lt;="&amp;Z3,Headcount!$F$6:$F$88,"Sales")</f>
        <v>0</v>
      </c>
      <c r="AA9" s="781">
        <f>SUMIFS(Headcount!$B$6:$B$88,Headcount!$H$6:$H$88,"&gt;"&amp;Z3,Headcount!$H$6:$H$88,"&lt;="&amp;AA3,Headcount!$F$6:$F$88,"Sales")</f>
        <v>0</v>
      </c>
      <c r="AB9" s="781">
        <f>SUMIFS(Headcount!$B$6:$B$88,Headcount!$H$6:$H$88,"&gt;"&amp;AA3,Headcount!$H$6:$H$88,"&lt;="&amp;AB3,Headcount!$F$6:$F$88,"Sales")</f>
        <v>0</v>
      </c>
      <c r="AC9" s="781">
        <f>SUMIFS(Headcount!$B$6:$B$88,Headcount!$H$6:$H$88,"&gt;"&amp;AB3,Headcount!$H$6:$H$88,"&lt;="&amp;AC3,Headcount!$F$6:$F$88,"Sales")</f>
        <v>0</v>
      </c>
      <c r="AD9" s="781">
        <f>SUMIFS(Headcount!$B$6:$B$88,Headcount!$H$6:$H$88,"&gt;"&amp;AC3,Headcount!$H$6:$H$88,"&lt;="&amp;AD3,Headcount!$F$6:$F$88,"Sales")</f>
        <v>0</v>
      </c>
      <c r="AE9" s="781">
        <f>SUMIFS(Headcount!$B$6:$B$88,Headcount!$H$6:$H$88,"&gt;"&amp;AD3,Headcount!$H$6:$H$88,"&lt;="&amp;AE3,Headcount!$F$6:$F$88,"Sales")</f>
        <v>0</v>
      </c>
      <c r="AF9" s="781">
        <f>SUMIFS(Headcount!$B$6:$B$88,Headcount!$H$6:$H$88,"&gt;"&amp;AE3,Headcount!$H$6:$H$88,"&lt;="&amp;AF3,Headcount!$F$6:$F$88,"Sales")</f>
        <v>0</v>
      </c>
      <c r="AG9" s="781">
        <f>SUMIFS(Headcount!$B$6:$B$88,Headcount!$H$6:$H$88,"&gt;"&amp;AF3,Headcount!$H$6:$H$88,"&lt;="&amp;AG3,Headcount!$F$6:$F$88,"Sales")</f>
        <v>0</v>
      </c>
      <c r="AH9" s="781">
        <f>SUMIFS(Headcount!$B$6:$B$88,Headcount!$H$6:$H$88,"&gt;"&amp;AG3,Headcount!$H$6:$H$88,"&lt;="&amp;AH3,Headcount!$F$6:$F$88,"Sales")</f>
        <v>0</v>
      </c>
      <c r="AI9" s="781">
        <f>SUMIFS(Headcount!$B$6:$B$88,Headcount!$H$6:$H$88,"&gt;"&amp;AH3,Headcount!$H$6:$H$88,"&lt;="&amp;AI3,Headcount!$F$6:$F$88,"Sales")</f>
        <v>0</v>
      </c>
      <c r="AJ9" s="781">
        <f>SUMIFS(Headcount!$B$6:$B$88,Headcount!$H$6:$H$88,"&gt;"&amp;AI3,Headcount!$H$6:$H$88,"&lt;="&amp;AJ3,Headcount!$F$6:$F$88,"Sales")</f>
        <v>0</v>
      </c>
      <c r="AK9" s="781">
        <f>SUMIFS(Headcount!$B$6:$B$88,Headcount!$H$6:$H$88,"&gt;"&amp;AJ3,Headcount!$H$6:$H$88,"&lt;="&amp;AK3,Headcount!$F$6:$F$88,"Sales")</f>
        <v>0</v>
      </c>
      <c r="AL9" s="781">
        <f>SUMIFS(Headcount!$B$6:$B$88,Headcount!$H$6:$H$88,"&gt;"&amp;AK3,Headcount!$H$6:$H$88,"&lt;="&amp;AL3,Headcount!$F$6:$F$88,"Sales")</f>
        <v>0</v>
      </c>
      <c r="AM9" s="781">
        <f>SUMIFS(Headcount!$B$6:$B$88,Headcount!$H$6:$H$88,"&gt;"&amp;AL3,Headcount!$H$6:$H$88,"&lt;="&amp;AM3,Headcount!$F$6:$F$88,"Sales")</f>
        <v>0</v>
      </c>
      <c r="AN9" s="781">
        <f>SUMIFS(Headcount!$B$6:$B$88,Headcount!$H$6:$H$88,"&gt;"&amp;AM3,Headcount!$H$6:$H$88,"&lt;="&amp;AN3,Headcount!$F$6:$F$88,"Sales")</f>
        <v>0</v>
      </c>
      <c r="AO9" s="781">
        <f>SUMIFS(Headcount!$B$6:$B$88,Headcount!$H$6:$H$88,"&gt;"&amp;AN3,Headcount!$H$6:$H$88,"&lt;="&amp;AO3,Headcount!$F$6:$F$88,"Sales")</f>
        <v>0</v>
      </c>
      <c r="AP9" s="781">
        <f>SUMIFS(Headcount!$B$6:$B$88,Headcount!$H$6:$H$88,"&gt;"&amp;AO3,Headcount!$H$6:$H$88,"&lt;="&amp;AP3,Headcount!$F$6:$F$88,"Sales")</f>
        <v>0</v>
      </c>
      <c r="AQ9" s="781">
        <f>SUMIFS(Headcount!$B$6:$B$88,Headcount!$H$6:$H$88,"&gt;"&amp;AP3,Headcount!$H$6:$H$88,"&lt;="&amp;AQ3,Headcount!$F$6:$F$88,"Sales")</f>
        <v>0</v>
      </c>
      <c r="AR9" s="781">
        <f>SUMIFS(Headcount!$B$6:$B$88,Headcount!$H$6:$H$88,"&gt;"&amp;AQ3,Headcount!$H$6:$H$88,"&lt;="&amp;AR3,Headcount!$F$6:$F$88,"Sales")</f>
        <v>0</v>
      </c>
      <c r="AS9" s="781">
        <f>SUMIFS(Headcount!$B$6:$B$88,Headcount!$H$6:$H$88,"&gt;"&amp;AR3,Headcount!$H$6:$H$88,"&lt;="&amp;AS3,Headcount!$F$6:$F$88,"Sales")</f>
        <v>0</v>
      </c>
      <c r="AT9" s="781">
        <f>SUMIFS(Headcount!$B$6:$B$88,Headcount!$H$6:$H$88,"&gt;"&amp;AS3,Headcount!$H$6:$H$88,"&lt;="&amp;AT3,Headcount!$F$6:$F$88,"Sales")</f>
        <v>0</v>
      </c>
      <c r="AU9" s="781">
        <f>SUMIFS(Headcount!$B$6:$B$88,Headcount!$H$6:$H$88,"&gt;"&amp;AT3,Headcount!$H$6:$H$88,"&lt;="&amp;AU3,Headcount!$F$6:$F$88,"Sales")</f>
        <v>0</v>
      </c>
      <c r="AV9" s="781">
        <f>SUMIFS(Headcount!$B$6:$B$88,Headcount!$H$6:$H$88,"&gt;"&amp;AU3,Headcount!$H$6:$H$88,"&lt;="&amp;AV3,Headcount!$F$6:$F$88,"Sales")</f>
        <v>0</v>
      </c>
      <c r="AW9" s="781">
        <f>SUMIFS(Headcount!$B$6:$B$88,Headcount!$H$6:$H$88,"&gt;"&amp;AV3,Headcount!$H$6:$H$88,"&lt;="&amp;AW3,Headcount!$F$6:$F$88,"Sales")</f>
        <v>0</v>
      </c>
      <c r="AX9" s="781">
        <f>SUMIFS(Headcount!$B$6:$B$88,Headcount!$H$6:$H$88,"&gt;"&amp;AW3,Headcount!$H$6:$H$88,"&lt;="&amp;AX3,Headcount!$F$6:$F$88,"Sales")</f>
        <v>0</v>
      </c>
      <c r="AY9" s="781">
        <f>SUMIFS(Headcount!$B$6:$B$88,Headcount!$H$6:$H$88,"&gt;"&amp;AX3,Headcount!$H$6:$H$88,"&lt;="&amp;AY3,Headcount!$F$6:$F$88,"Sales")</f>
        <v>0</v>
      </c>
      <c r="AZ9" s="781">
        <f>SUMIFS(Headcount!$B$6:$B$88,Headcount!$H$6:$H$88,"&gt;"&amp;AY3,Headcount!$H$6:$H$88,"&lt;="&amp;AZ3,Headcount!$F$6:$F$88,"Sales")</f>
        <v>0</v>
      </c>
      <c r="BA9" s="781">
        <f>SUMIFS(Headcount!$B$6:$B$88,Headcount!$H$6:$H$88,"&gt;"&amp;AZ3,Headcount!$H$6:$H$88,"&lt;="&amp;BA3,Headcount!$F$6:$F$88,"Sales")</f>
        <v>0</v>
      </c>
      <c r="BB9" s="781">
        <f>SUMIFS(Headcount!$B$6:$B$88,Headcount!$H$6:$H$88,"&gt;"&amp;BA3,Headcount!$H$6:$H$88,"&lt;="&amp;BB3,Headcount!$F$6:$F$88,"Sales")</f>
        <v>0</v>
      </c>
      <c r="BC9" s="781">
        <f>SUMIFS(Headcount!$B$6:$B$88,Headcount!$H$6:$H$88,"&gt;"&amp;BB3,Headcount!$H$6:$H$88,"&lt;="&amp;BC3,Headcount!$F$6:$F$88,"Sales")</f>
        <v>0</v>
      </c>
      <c r="BD9" s="781">
        <f>SUMIFS(Headcount!$B$6:$B$88,Headcount!$H$6:$H$88,"&gt;"&amp;BC3,Headcount!$H$6:$H$88,"&lt;="&amp;BD3,Headcount!$F$6:$F$88,"Sales")</f>
        <v>0</v>
      </c>
      <c r="BE9" s="781">
        <f>SUMIFS(Headcount!$B$6:$B$88,Headcount!$H$6:$H$88,"&gt;"&amp;BD3,Headcount!$H$6:$H$88,"&lt;="&amp;BE3,Headcount!$F$6:$F$88,"Sales")</f>
        <v>0</v>
      </c>
      <c r="BF9" s="781">
        <f>SUMIFS(Headcount!$B$6:$B$88,Headcount!$H$6:$H$88,"&gt;"&amp;BE3,Headcount!$H$6:$H$88,"&lt;="&amp;BF3,Headcount!$F$6:$F$88,"Sales")</f>
        <v>0</v>
      </c>
      <c r="BG9" s="781">
        <f>SUMIFS(Headcount!$B$6:$B$88,Headcount!$H$6:$H$88,"&gt;"&amp;BF3,Headcount!$H$6:$H$88,"&lt;="&amp;BG3,Headcount!$F$6:$F$88,"Sales")</f>
        <v>0</v>
      </c>
      <c r="BH9" s="781">
        <f>SUMIFS(Headcount!$B$6:$B$88,Headcount!$H$6:$H$88,"&gt;"&amp;BG3,Headcount!$H$6:$H$88,"&lt;="&amp;BH3,Headcount!$F$6:$F$88,"Sales")</f>
        <v>0</v>
      </c>
      <c r="BI9" s="781">
        <f>SUMIFS(Headcount!$B$6:$B$88,Headcount!$H$6:$H$88,"&gt;"&amp;BH3,Headcount!$H$6:$H$88,"&lt;="&amp;BI3,Headcount!$F$6:$F$88,"Sales")</f>
        <v>0</v>
      </c>
      <c r="BJ9" s="781">
        <f>SUMIFS(Headcount!$B$6:$B$88,Headcount!$H$6:$H$88,"&gt;"&amp;BI3,Headcount!$H$6:$H$88,"&lt;="&amp;BJ3,Headcount!$F$6:$F$88,"Sales")</f>
        <v>0</v>
      </c>
      <c r="BK9" s="781">
        <f>SUMIFS(Headcount!$B$6:$B$88,Headcount!$H$6:$H$88,"&gt;"&amp;BJ3,Headcount!$H$6:$H$88,"&lt;="&amp;BK3,Headcount!$F$6:$F$88,"Sales")</f>
        <v>0</v>
      </c>
      <c r="BL9" s="781">
        <f>SUMIFS(Headcount!$B$6:$B$88,Headcount!$H$6:$H$88,"&gt;"&amp;BK3,Headcount!$H$6:$H$88,"&lt;="&amp;BL3,Headcount!$F$6:$F$88,"Sales")</f>
        <v>0</v>
      </c>
      <c r="BM9" s="781">
        <f>SUMIFS(Headcount!$B$6:$B$88,Headcount!$H$6:$H$88,"&gt;"&amp;BL3,Headcount!$H$6:$H$88,"&lt;="&amp;BM3,Headcount!$F$6:$F$88,"Sales")</f>
        <v>0</v>
      </c>
      <c r="BN9" s="781">
        <f>SUMIFS(Headcount!$B$6:$B$88,Headcount!$H$6:$H$88,"&gt;"&amp;BM3,Headcount!$H$6:$H$88,"&lt;="&amp;BN3,Headcount!$F$6:$F$88,"Sales")</f>
        <v>0</v>
      </c>
      <c r="BO9" s="781">
        <f>SUMIFS(Headcount!$B$6:$B$88,Headcount!$H$6:$H$88,"&gt;"&amp;BN3,Headcount!$H$6:$H$88,"&lt;="&amp;BO3,Headcount!$F$6:$F$88,"Sales")</f>
        <v>0</v>
      </c>
      <c r="BP9" s="781">
        <f>SUMIFS(Headcount!$B$6:$B$88,Headcount!$H$6:$H$88,"&gt;"&amp;BO3,Headcount!$H$6:$H$88,"&lt;="&amp;BP3,Headcount!$F$6:$F$88,"Sales")</f>
        <v>0</v>
      </c>
      <c r="BQ9" s="781">
        <f>SUMIFS(Headcount!$B$6:$B$88,Headcount!$H$6:$H$88,"&gt;"&amp;BP3,Headcount!$H$6:$H$88,"&lt;="&amp;BQ3,Headcount!$F$6:$F$88,"Sales")</f>
        <v>0</v>
      </c>
      <c r="BR9" s="781">
        <f>SUMIFS(Headcount!$B$6:$B$88,Headcount!$H$6:$H$88,"&gt;"&amp;BQ3,Headcount!$H$6:$H$88,"&lt;="&amp;BR3,Headcount!$F$6:$F$88,"Sales")</f>
        <v>0</v>
      </c>
      <c r="BS9" s="781">
        <f>SUMIFS(Headcount!$B$6:$B$88,Headcount!$H$6:$H$88,"&gt;"&amp;BR3,Headcount!$H$6:$H$88,"&lt;="&amp;BS3,Headcount!$F$6:$F$88,"Sales")</f>
        <v>0</v>
      </c>
      <c r="BT9" s="781">
        <f>SUMIFS(Headcount!$B$6:$B$88,Headcount!$H$6:$H$88,"&gt;"&amp;BS3,Headcount!$H$6:$H$88,"&lt;="&amp;BT3,Headcount!$F$6:$F$88,"Sales")</f>
        <v>0</v>
      </c>
      <c r="BU9" s="781">
        <f>SUMIFS(Headcount!$B$6:$B$88,Headcount!$H$6:$H$88,"&gt;"&amp;BT3,Headcount!$H$6:$H$88,"&lt;="&amp;BU3,Headcount!$F$6:$F$88,"Sales")</f>
        <v>0</v>
      </c>
      <c r="BV9" s="782">
        <f>SUMIFS(Headcount!$B$6:$B$88,Headcount!$H$6:$H$88,"&gt;"&amp;BU3,Headcount!$H$6:$H$88,"&lt;="&amp;BV3,Headcount!$F$6:$F$88,"Sales")</f>
        <v>0</v>
      </c>
    </row>
    <row r="10" spans="2:76" x14ac:dyDescent="0.25">
      <c r="B10" s="783"/>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784"/>
    </row>
    <row r="11" spans="2:76" x14ac:dyDescent="0.25">
      <c r="B11" s="785" t="s">
        <v>926</v>
      </c>
      <c r="C11" s="786"/>
      <c r="D11" s="786"/>
      <c r="E11" s="786"/>
      <c r="F11" s="786"/>
      <c r="G11" s="786"/>
      <c r="H11" s="786"/>
      <c r="I11" s="786"/>
      <c r="J11" s="786"/>
      <c r="K11" s="786"/>
      <c r="L11" s="786"/>
      <c r="M11" s="786"/>
      <c r="N11" s="786"/>
      <c r="O11" s="787"/>
      <c r="P11" s="787"/>
      <c r="Q11" s="787"/>
      <c r="R11" s="787"/>
      <c r="S11" s="787"/>
      <c r="T11" s="787"/>
      <c r="U11" s="787"/>
      <c r="V11" s="787"/>
      <c r="W11" s="787"/>
      <c r="X11" s="787"/>
      <c r="Y11" s="787"/>
      <c r="Z11" s="787"/>
      <c r="AA11" s="787"/>
      <c r="AB11" s="787"/>
      <c r="AC11" s="787"/>
      <c r="AD11" s="787"/>
      <c r="AE11" s="787"/>
      <c r="AF11" s="787"/>
      <c r="AG11" s="787"/>
      <c r="AH11" s="787"/>
      <c r="AI11" s="787"/>
      <c r="AJ11" s="787"/>
      <c r="AK11" s="787"/>
      <c r="AL11" s="787"/>
      <c r="AM11" s="787"/>
      <c r="AN11" s="787"/>
      <c r="AO11" s="787"/>
      <c r="AP11" s="787"/>
      <c r="AQ11" s="787"/>
      <c r="AR11" s="787"/>
      <c r="AS11" s="787"/>
      <c r="AT11" s="787"/>
      <c r="AU11" s="787"/>
      <c r="AV11" s="787"/>
      <c r="AW11" s="787"/>
      <c r="AX11" s="787"/>
      <c r="AY11" s="787"/>
      <c r="AZ11" s="787"/>
      <c r="BA11" s="787"/>
      <c r="BB11" s="787"/>
      <c r="BC11" s="787"/>
      <c r="BD11" s="787"/>
      <c r="BE11" s="787"/>
      <c r="BF11" s="787"/>
      <c r="BG11" s="787"/>
      <c r="BH11" s="787"/>
      <c r="BI11" s="787"/>
      <c r="BJ11" s="787"/>
      <c r="BK11" s="787"/>
      <c r="BL11" s="787"/>
      <c r="BM11" s="787"/>
      <c r="BN11" s="787"/>
      <c r="BO11" s="787"/>
      <c r="BP11" s="787"/>
      <c r="BQ11" s="787"/>
      <c r="BR11" s="787"/>
      <c r="BS11" s="787"/>
      <c r="BT11" s="787"/>
      <c r="BU11" s="787"/>
      <c r="BV11" s="788"/>
    </row>
    <row r="12" spans="2:76" x14ac:dyDescent="0.25">
      <c r="B12" s="780" t="s">
        <v>927</v>
      </c>
      <c r="C12" s="1139">
        <f>IF(C$4="forecast",IF(YEAR(C$3)=YEAR(Headcount!$N$4),((SUMIFS(Headcount!$N$6:$N$89,Headcount!$F$6:$F$89,"Sales",Headcount!$H$6:$H$89,"&gt;="&amp;Sales!C$3)/12)),IF(YEAR(C$3)=YEAR(Headcount!$O$4),IF((C$5=2),((SUMIFS(Headcount!$O$6:$O$89,Headcount!$F$6:$F$89,"Sales",Headcount!$H$6:$H$89,"&gt;="&amp;Sales!C$3)/12)),B12),IF(YEAR(C$3)=YEAR(Headcount!$P$4),IF((C$5=2),((SUMIFS(Headcount!$P$6:$P$89,Headcount!$F$6:$F$89,"Sales",Headcount!$H$6:$H$89,"&gt;="&amp;Sales!C$3)/12)),B12),IF(YEAR(C$3)=YEAR(Headcount!$Q$4),IF((C$5=2),((SUMIFS(Headcount!$Q$6:$Q$89,Headcount!$F$6:$F$89,"Sales",Headcount!$H$6:$H$89,"&gt;="&amp;Sales!C$3)/12)),B12),IF(YEAR(C$3)=YEAR(Headcount!$R$4),IF((C$5=2),((SUMIFS(Headcount!$R$6:$R$89,Headcount!$F$6:$F$89,"Sales",Headcount!$H$6:$H$89,"&gt;="&amp;Sales!C$3)/12)),B12),"New Year"))))),SUMIF('Dept. Cost Actuals'!$E$7:$E$176,"*salary*",'Dept. Cost Actuals'!G$7:G$176))</f>
        <v>27320.83</v>
      </c>
      <c r="D12" s="1139">
        <f>IF(D$4="forecast",IF(YEAR(D$3)=YEAR(Headcount!$N$4),((SUMIFS(Headcount!$N$6:$N$89,Headcount!$F$6:$F$89,"Sales",Headcount!$H$6:$H$89,"&gt;="&amp;Sales!D$3)/12)),IF(YEAR(D$3)=YEAR(Headcount!$O$4),IF((D$5=2),((SUMIFS(Headcount!$O$6:$O$89,Headcount!$F$6:$F$89,"Sales",Headcount!$H$6:$H$89,"&gt;="&amp;Sales!D$3)/12)),C12),IF(YEAR(D$3)=YEAR(Headcount!$P$4),IF((D$5=2),((SUMIFS(Headcount!$P$6:$P$89,Headcount!$F$6:$F$89,"Sales",Headcount!$H$6:$H$89,"&gt;="&amp;Sales!D$3)/12)),C12),IF(YEAR(D$3)=YEAR(Headcount!$Q$4),IF((D$5=2),((SUMIFS(Headcount!$Q$6:$Q$89,Headcount!$F$6:$F$89,"Sales",Headcount!$H$6:$H$89,"&gt;="&amp;Sales!D$3)/12)),C12),IF(YEAR(D$3)=YEAR(Headcount!$R$4),IF((D$5=2),((SUMIFS(Headcount!$R$6:$R$89,Headcount!$F$6:$F$89,"Sales",Headcount!$H$6:$H$89,"&gt;="&amp;Sales!D$3)/12)),C12),"New Year"))))),SUMIF('Dept. Cost Actuals'!$E$7:$E$176,"*salary*",'Dept. Cost Actuals'!H$7:H$176))</f>
        <v>28012.760000000002</v>
      </c>
      <c r="E12" s="1139">
        <f>IF(E$4="forecast",IF(YEAR(E$3)=YEAR(Headcount!$N$4),((SUMIFS(Headcount!$N$6:$N$89,Headcount!$F$6:$F$89,"Sales",Headcount!$H$6:$H$89,"&gt;="&amp;Sales!E$3)/12)),IF(YEAR(E$3)=YEAR(Headcount!$O$4),IF((E$5=2),((SUMIFS(Headcount!$O$6:$O$89,Headcount!$F$6:$F$89,"Sales",Headcount!$H$6:$H$89,"&gt;="&amp;Sales!E$3)/12)),D12),IF(YEAR(E$3)=YEAR(Headcount!$P$4),IF((E$5=2),((SUMIFS(Headcount!$P$6:$P$89,Headcount!$F$6:$F$89,"Sales",Headcount!$H$6:$H$89,"&gt;="&amp;Sales!E$3)/12)),D12),IF(YEAR(E$3)=YEAR(Headcount!$Q$4),IF((E$5=2),((SUMIFS(Headcount!$Q$6:$Q$89,Headcount!$F$6:$F$89,"Sales",Headcount!$H$6:$H$89,"&gt;="&amp;Sales!E$3)/12)),D12),IF(YEAR(E$3)=YEAR(Headcount!$R$4),IF((E$5=2),((SUMIFS(Headcount!$R$6:$R$89,Headcount!$F$6:$F$89,"Sales",Headcount!$H$6:$H$89,"&gt;="&amp;Sales!E$3)/12)),D12),"New Year"))))),SUMIF('Dept. Cost Actuals'!$E$7:$E$176,"*salary*",'Dept. Cost Actuals'!I$7:I$176))</f>
        <v>24023.920000000002</v>
      </c>
      <c r="F12" s="1139">
        <f>IF(F$4="forecast",IF(YEAR(F$3)=YEAR(Headcount!$N$4),((SUMIFS(Headcount!$N$6:$N$89,Headcount!$F$6:$F$89,"Sales",Headcount!$H$6:$H$89,"&gt;="&amp;Sales!F$3)/12)),IF(YEAR(F$3)=YEAR(Headcount!$O$4),IF((F$5=2),((SUMIFS(Headcount!$O$6:$O$89,Headcount!$F$6:$F$89,"Sales",Headcount!$H$6:$H$89,"&gt;="&amp;Sales!F$3)/12)),E12),IF(YEAR(F$3)=YEAR(Headcount!$P$4),IF((F$5=2),((SUMIFS(Headcount!$P$6:$P$89,Headcount!$F$6:$F$89,"Sales",Headcount!$H$6:$H$89,"&gt;="&amp;Sales!F$3)/12)),E12),IF(YEAR(F$3)=YEAR(Headcount!$Q$4),IF((F$5=2),((SUMIFS(Headcount!$Q$6:$Q$89,Headcount!$F$6:$F$89,"Sales",Headcount!$H$6:$H$89,"&gt;="&amp;Sales!F$3)/12)),E12),IF(YEAR(F$3)=YEAR(Headcount!$R$4),IF((F$5=2),((SUMIFS(Headcount!$R$6:$R$89,Headcount!$F$6:$F$89,"Sales",Headcount!$H$6:$H$89,"&gt;="&amp;Sales!F$3)/12)),E12),"New Year"))))),SUMIF('Dept. Cost Actuals'!$E$7:$E$176,"*salary*",'Dept. Cost Actuals'!J$7:J$176))</f>
        <v>26202.38</v>
      </c>
      <c r="G12" s="1139">
        <f>IF(G$4="forecast",IF(YEAR(G$3)=YEAR(Headcount!$N$4),((SUMIFS(Headcount!$N$6:$N$89,Headcount!$F$6:$F$89,"Sales",Headcount!$H$6:$H$89,"&gt;="&amp;Sales!G$3)/12)),IF(YEAR(G$3)=YEAR(Headcount!$O$4),IF((G$5=2),((SUMIFS(Headcount!$O$6:$O$89,Headcount!$F$6:$F$89,"Sales",Headcount!$H$6:$H$89,"&gt;="&amp;Sales!G$3)/12)),F12),IF(YEAR(G$3)=YEAR(Headcount!$P$4),IF((G$5=2),((SUMIFS(Headcount!$P$6:$P$89,Headcount!$F$6:$F$89,"Sales",Headcount!$H$6:$H$89,"&gt;="&amp;Sales!G$3)/12)),F12),IF(YEAR(G$3)=YEAR(Headcount!$Q$4),IF((G$5=2),((SUMIFS(Headcount!$Q$6:$Q$89,Headcount!$F$6:$F$89,"Sales",Headcount!$H$6:$H$89,"&gt;="&amp;Sales!G$3)/12)),F12),IF(YEAR(G$3)=YEAR(Headcount!$R$4),IF((G$5=2),((SUMIFS(Headcount!$R$6:$R$89,Headcount!$F$6:$F$89,"Sales",Headcount!$H$6:$H$89,"&gt;="&amp;Sales!G$3)/12)),F12),"New Year"))))),SUMIF('Dept. Cost Actuals'!$E$7:$E$176,"*salary*",'Dept. Cost Actuals'!K$7:K$176))</f>
        <v>26960.26</v>
      </c>
      <c r="H12" s="1139">
        <f>IF(H$4="forecast",IF(YEAR(H$3)=YEAR(Headcount!$N$4),((SUMIFS(Headcount!$N$6:$N$89,Headcount!$F$6:$F$89,"Sales",Headcount!$H$6:$H$89,"&gt;="&amp;Sales!H$3)/12)),IF(YEAR(H$3)=YEAR(Headcount!$O$4),IF((H$5=2),((SUMIFS(Headcount!$O$6:$O$89,Headcount!$F$6:$F$89,"Sales",Headcount!$H$6:$H$89,"&gt;="&amp;Sales!H$3)/12)),G12),IF(YEAR(H$3)=YEAR(Headcount!$P$4),IF((H$5=2),((SUMIFS(Headcount!$P$6:$P$89,Headcount!$F$6:$F$89,"Sales",Headcount!$H$6:$H$89,"&gt;="&amp;Sales!H$3)/12)),G12),IF(YEAR(H$3)=YEAR(Headcount!$Q$4),IF((H$5=2),((SUMIFS(Headcount!$Q$6:$Q$89,Headcount!$F$6:$F$89,"Sales",Headcount!$H$6:$H$89,"&gt;="&amp;Sales!H$3)/12)),G12),IF(YEAR(H$3)=YEAR(Headcount!$R$4),IF((H$5=2),((SUMIFS(Headcount!$R$6:$R$89,Headcount!$F$6:$F$89,"Sales",Headcount!$H$6:$H$89,"&gt;="&amp;Sales!H$3)/12)),G12),"New Year"))))),SUMIF('Dept. Cost Actuals'!$E$7:$E$176,"*salary*",'Dept. Cost Actuals'!L$7:L$176))</f>
        <v>43600.350000000006</v>
      </c>
      <c r="I12" s="1139">
        <f>IF(I$4="forecast",IF(YEAR(I$3)=YEAR(Headcount!$N$4),((SUMIFS(Headcount!$N$6:$N$89,Headcount!$F$6:$F$89,"Sales",Headcount!$H$6:$H$89,"&gt;="&amp;Sales!I$3)/12)),IF(YEAR(I$3)=YEAR(Headcount!$O$4),IF((I$5=2),((SUMIFS(Headcount!$O$6:$O$89,Headcount!$F$6:$F$89,"Sales",Headcount!$H$6:$H$89,"&gt;="&amp;Sales!I$3)/12)),H12),IF(YEAR(I$3)=YEAR(Headcount!$P$4),IF((I$5=2),((SUMIFS(Headcount!$P$6:$P$89,Headcount!$F$6:$F$89,"Sales",Headcount!$H$6:$H$89,"&gt;="&amp;Sales!I$3)/12)),H12),IF(YEAR(I$3)=YEAR(Headcount!$Q$4),IF((I$5=2),((SUMIFS(Headcount!$Q$6:$Q$89,Headcount!$F$6:$F$89,"Sales",Headcount!$H$6:$H$89,"&gt;="&amp;Sales!I$3)/12)),H12),IF(YEAR(I$3)=YEAR(Headcount!$R$4),IF((I$5=2),((SUMIFS(Headcount!$R$6:$R$89,Headcount!$F$6:$F$89,"Sales",Headcount!$H$6:$H$89,"&gt;="&amp;Sales!I$3)/12)),H12),"New Year"))))),SUMIF('Dept. Cost Actuals'!$E$7:$E$176,"*salary*",'Dept. Cost Actuals'!M$7:M$176))</f>
        <v>37044.880000000005</v>
      </c>
      <c r="J12" s="1139">
        <f>IF(J$4="forecast",IF(YEAR(J$3)=YEAR(Headcount!$N$4),((SUMIFS(Headcount!$N$6:$N$89,Headcount!$F$6:$F$89,"Sales",Headcount!$H$6:$H$89,"&gt;="&amp;Sales!J$3)/12)),IF(YEAR(J$3)=YEAR(Headcount!$O$4),IF((J$5=2),((SUMIFS(Headcount!$O$6:$O$89,Headcount!$F$6:$F$89,"Sales",Headcount!$H$6:$H$89,"&gt;="&amp;Sales!J$3)/12)),I12),IF(YEAR(J$3)=YEAR(Headcount!$P$4),IF((J$5=2),((SUMIFS(Headcount!$P$6:$P$89,Headcount!$F$6:$F$89,"Sales",Headcount!$H$6:$H$89,"&gt;="&amp;Sales!J$3)/12)),I12),IF(YEAR(J$3)=YEAR(Headcount!$Q$4),IF((J$5=2),((SUMIFS(Headcount!$Q$6:$Q$89,Headcount!$F$6:$F$89,"Sales",Headcount!$H$6:$H$89,"&gt;="&amp;Sales!J$3)/12)),I12),IF(YEAR(J$3)=YEAR(Headcount!$R$4),IF((J$5=2),((SUMIFS(Headcount!$R$6:$R$89,Headcount!$F$6:$F$89,"Sales",Headcount!$H$6:$H$89,"&gt;="&amp;Sales!J$3)/12)),I12),"New Year"))))),SUMIF('Dept. Cost Actuals'!$E$7:$E$176,"*salary*",'Dept. Cost Actuals'!N$7:N$176))</f>
        <v>38510.259999999995</v>
      </c>
      <c r="K12" s="1139">
        <f>IF(K$4="forecast",IF(YEAR(K$3)=YEAR(Headcount!$N$4),((SUMIFS(Headcount!$N$6:$N$89,Headcount!$F$6:$F$89,"Sales",Headcount!$H$6:$H$89,"&gt;="&amp;Sales!K$3)/12)),IF(YEAR(K$3)=YEAR(Headcount!$O$4),IF((K$5=2),((SUMIFS(Headcount!$O$6:$O$89,Headcount!$F$6:$F$89,"Sales",Headcount!$H$6:$H$89,"&gt;="&amp;Sales!K$3)/12)),J12),IF(YEAR(K$3)=YEAR(Headcount!$P$4),IF((K$5=2),((SUMIFS(Headcount!$P$6:$P$89,Headcount!$F$6:$F$89,"Sales",Headcount!$H$6:$H$89,"&gt;="&amp;Sales!K$3)/12)),J12),IF(YEAR(K$3)=YEAR(Headcount!$Q$4),IF((K$5=2),((SUMIFS(Headcount!$Q$6:$Q$89,Headcount!$F$6:$F$89,"Sales",Headcount!$H$6:$H$89,"&gt;="&amp;Sales!K$3)/12)),J12),IF(YEAR(K$3)=YEAR(Headcount!$R$4),IF((K$5=2),((SUMIFS(Headcount!$R$6:$R$89,Headcount!$F$6:$F$89,"Sales",Headcount!$H$6:$H$89,"&gt;="&amp;Sales!K$3)/12)),J12),"New Year"))))),SUMIF('Dept. Cost Actuals'!$E$7:$E$176,"*salary*",'Dept. Cost Actuals'!O$7:O$176))</f>
        <v>38294.880000000005</v>
      </c>
      <c r="L12" s="1139">
        <f>IF(L$4="forecast",IF(YEAR(L$3)=YEAR(Headcount!$N$4),((SUMIFS(Headcount!$N$6:$N$89,Headcount!$F$6:$F$89,"Sales",Headcount!$H$6:$H$89,"&gt;="&amp;Sales!L$3)/12)),IF(YEAR(L$3)=YEAR(Headcount!$O$4),IF((L$5=2),((SUMIFS(Headcount!$O$6:$O$89,Headcount!$F$6:$F$89,"Sales",Headcount!$H$6:$H$89,"&gt;="&amp;Sales!L$3)/12)),K12),IF(YEAR(L$3)=YEAR(Headcount!$P$4),IF((L$5=2),((SUMIFS(Headcount!$P$6:$P$89,Headcount!$F$6:$F$89,"Sales",Headcount!$H$6:$H$89,"&gt;="&amp;Sales!L$3)/12)),K12),IF(YEAR(L$3)=YEAR(Headcount!$Q$4),IF((L$5=2),((SUMIFS(Headcount!$Q$6:$Q$89,Headcount!$F$6:$F$89,"Sales",Headcount!$H$6:$H$89,"&gt;="&amp;Sales!L$3)/12)),K12),IF(YEAR(L$3)=YEAR(Headcount!$R$4),IF((L$5=2),((SUMIFS(Headcount!$R$6:$R$89,Headcount!$F$6:$F$89,"Sales",Headcount!$H$6:$H$89,"&gt;="&amp;Sales!L$3)/12)),K12),"New Year"))))),SUMIF('Dept. Cost Actuals'!$E$7:$E$176,"*salary*",'Dept. Cost Actuals'!P$7:P$176))</f>
        <v>34544.880000000005</v>
      </c>
      <c r="M12" s="1139">
        <f>IF(M$4="forecast",IF(YEAR(M$3)=YEAR(Headcount!$N$4),((SUMIFS(Headcount!$N$6:$N$89,Headcount!$F$6:$F$89,"Sales",Headcount!$H$6:$H$89,"&gt;="&amp;Sales!M$3)/12)),IF(YEAR(M$3)=YEAR(Headcount!$O$4),IF((M$5=2),((SUMIFS(Headcount!$O$6:$O$89,Headcount!$F$6:$F$89,"Sales",Headcount!$H$6:$H$89,"&gt;="&amp;Sales!M$3)/12)),L12),IF(YEAR(M$3)=YEAR(Headcount!$P$4),IF((M$5=2),((SUMIFS(Headcount!$P$6:$P$89,Headcount!$F$6:$F$89,"Sales",Headcount!$H$6:$H$89,"&gt;="&amp;Sales!M$3)/12)),L12),IF(YEAR(M$3)=YEAR(Headcount!$Q$4),IF((M$5=2),((SUMIFS(Headcount!$Q$6:$Q$89,Headcount!$F$6:$F$89,"Sales",Headcount!$H$6:$H$89,"&gt;="&amp;Sales!M$3)/12)),L12),IF(YEAR(M$3)=YEAR(Headcount!$R$4),IF((M$5=2),((SUMIFS(Headcount!$R$6:$R$89,Headcount!$F$6:$F$89,"Sales",Headcount!$H$6:$H$89,"&gt;="&amp;Sales!M$3)/12)),L12),"New Year"))))),SUMIF('Dept. Cost Actuals'!$E$7:$E$176,"*salary*",'Dept. Cost Actuals'!Q$7:Q$176))</f>
        <v>50661.619999999995</v>
      </c>
      <c r="N12" s="1139">
        <f>IF(N$4="forecast",IF(YEAR(N$3)=YEAR(Headcount!$N$4),((SUMIFS(Headcount!$N$6:$N$89,Headcount!$F$6:$F$89,"Sales",Headcount!$H$6:$H$89,"&gt;="&amp;Sales!N$3)/12)),IF(YEAR(N$3)=YEAR(Headcount!$O$4),IF((N$5=2),((SUMIFS(Headcount!$O$6:$O$89,Headcount!$F$6:$F$89,"Sales",Headcount!$H$6:$H$89,"&gt;="&amp;Sales!N$3)/12)),M12),IF(YEAR(N$3)=YEAR(Headcount!$P$4),IF((N$5=2),((SUMIFS(Headcount!$P$6:$P$89,Headcount!$F$6:$F$89,"Sales",Headcount!$H$6:$H$89,"&gt;="&amp;Sales!N$3)/12)),M12),IF(YEAR(N$3)=YEAR(Headcount!$Q$4),IF((N$5=2),((SUMIFS(Headcount!$Q$6:$Q$89,Headcount!$F$6:$F$89,"Sales",Headcount!$H$6:$H$89,"&gt;="&amp;Sales!N$3)/12)),M12),IF(YEAR(N$3)=YEAR(Headcount!$R$4),IF((N$5=2),((SUMIFS(Headcount!$R$6:$R$89,Headcount!$F$6:$F$89,"Sales",Headcount!$H$6:$H$89,"&gt;="&amp;Sales!N$3)/12)),M12),"New Year"))))),SUMIF('Dept. Cost Actuals'!$E$7:$E$176,"*salary*",'Dept. Cost Actuals'!R$7:R$176))</f>
        <v>35147.46</v>
      </c>
      <c r="O12" s="1139">
        <f>IF(O$4="forecast",IF(YEAR(O$3)=YEAR(Headcount!$N$4),((SUMIFS(Headcount!$N$6:$N$89,Headcount!$F$6:$F$89,"Sales",Headcount!$H$6:$H$89,"&gt;="&amp;Sales!O$3)/12)),IF(YEAR(O$3)=YEAR(Headcount!$O$4),IF((O$5=2),((SUMIFS(Headcount!$O$6:$O$89,Headcount!$F$6:$F$89,"Sales",Headcount!$H$6:$H$89,"&gt;="&amp;Sales!O$3)/12)),N12),IF(YEAR(O$3)=YEAR(Headcount!$P$4),IF((O$5=2),((SUMIFS(Headcount!$P$6:$P$89,Headcount!$F$6:$F$89,"Sales",Headcount!$H$6:$H$89,"&gt;="&amp;Sales!O$3)/12)),N12),IF(YEAR(O$3)=YEAR(Headcount!$Q$4),IF((O$5=2),((SUMIFS(Headcount!$Q$6:$Q$89,Headcount!$F$6:$F$89,"Sales",Headcount!$H$6:$H$89,"&gt;="&amp;Sales!O$3)/12)),N12),IF(YEAR(O$3)=YEAR(Headcount!$R$4),IF((O$5=2),((SUMIFS(Headcount!$R$6:$R$89,Headcount!$F$6:$F$89,"Sales",Headcount!$H$6:$H$89,"&gt;="&amp;Sales!O$3)/12)),N12),"New Year"))))),SUMIF('Dept. Cost Actuals'!$E$7:$E$176,"*salary*",'Dept. Cost Actuals'!S$7:S$176))</f>
        <v>64341.75</v>
      </c>
      <c r="P12" s="1139">
        <f>IF(P$4="forecast",IF(YEAR(P$3)=YEAR(Headcount!$N$4),((SUMIFS(Headcount!$N$6:$N$89,Headcount!$F$6:$F$89,"Sales",Headcount!$H$6:$H$89,"&gt;="&amp;Sales!P$3)/12)),IF(YEAR(P$3)=YEAR(Headcount!$O$4),IF((P$5=2),((SUMIFS(Headcount!$O$6:$O$89,Headcount!$F$6:$F$89,"Sales",Headcount!$H$6:$H$89,"&gt;="&amp;Sales!P$3)/12)),O12),IF(YEAR(P$3)=YEAR(Headcount!$P$4),IF((P$5=2),((SUMIFS(Headcount!$P$6:$P$89,Headcount!$F$6:$F$89,"Sales",Headcount!$H$6:$H$89,"&gt;="&amp;Sales!P$3)/12)),O12),IF(YEAR(P$3)=YEAR(Headcount!$Q$4),IF((P$5=2),((SUMIFS(Headcount!$Q$6:$Q$89,Headcount!$F$6:$F$89,"Sales",Headcount!$H$6:$H$89,"&gt;="&amp;Sales!P$3)/12)),O12),IF(YEAR(P$3)=YEAR(Headcount!$R$4),IF((P$5=2),((SUMIFS(Headcount!$R$6:$R$89,Headcount!$F$6:$F$89,"Sales",Headcount!$H$6:$H$89,"&gt;="&amp;Sales!P$3)/12)),O12),"New Year"))))),SUMIF('Dept. Cost Actuals'!$E$7:$E$176,"*salary*",'Dept. Cost Actuals'!T$7:T$176))</f>
        <v>63094.32</v>
      </c>
      <c r="Q12" s="1139">
        <f>IF(Q$4="forecast",IF(YEAR(Q$3)=YEAR(Headcount!$N$4),((SUMIFS(Headcount!$N$6:$N$89,Headcount!$F$6:$F$89,"Sales",Headcount!$H$6:$H$89,"&gt;="&amp;Sales!Q$3)/12)),IF(YEAR(Q$3)=YEAR(Headcount!$O$4),IF((Q$5=2),((SUMIFS(Headcount!$O$6:$O$89,Headcount!$F$6:$F$89,"Sales",Headcount!$H$6:$H$89,"&gt;="&amp;Sales!Q$3)/12)),P12),IF(YEAR(Q$3)=YEAR(Headcount!$P$4),IF((Q$5=2),((SUMIFS(Headcount!$P$6:$P$89,Headcount!$F$6:$F$89,"Sales",Headcount!$H$6:$H$89,"&gt;="&amp;Sales!Q$3)/12)),P12),IF(YEAR(Q$3)=YEAR(Headcount!$Q$4),IF((Q$5=2),((SUMIFS(Headcount!$Q$6:$Q$89,Headcount!$F$6:$F$89,"Sales",Headcount!$H$6:$H$89,"&gt;="&amp;Sales!Q$3)/12)),P12),IF(YEAR(Q$3)=YEAR(Headcount!$R$4),IF((Q$5=2),((SUMIFS(Headcount!$R$6:$R$89,Headcount!$F$6:$F$89,"Sales",Headcount!$H$6:$H$89,"&gt;="&amp;Sales!Q$3)/12)),P12),"New Year"))))),SUMIF('Dept. Cost Actuals'!$E$7:$E$176,"*salary*",'Dept. Cost Actuals'!U$7:U$176))</f>
        <v>114884.03</v>
      </c>
      <c r="R12" s="1139">
        <f>IF(R$4="forecast",IF(YEAR(R$3)=YEAR(Headcount!$N$4),((SUMIFS(Headcount!$N$6:$N$89,Headcount!$F$6:$F$89,"Sales",Headcount!$H$6:$H$89,"&gt;="&amp;Sales!R$3)/12)),IF(YEAR(R$3)=YEAR(Headcount!$O$4),IF((R$5=2),((SUMIFS(Headcount!$O$6:$O$89,Headcount!$F$6:$F$89,"Sales",Headcount!$H$6:$H$89,"&gt;="&amp;Sales!R$3)/12)),Q12),IF(YEAR(R$3)=YEAR(Headcount!$P$4),IF((R$5=2),((SUMIFS(Headcount!$P$6:$P$89,Headcount!$F$6:$F$89,"Sales",Headcount!$H$6:$H$89,"&gt;="&amp;Sales!R$3)/12)),Q12),IF(YEAR(R$3)=YEAR(Headcount!$Q$4),IF((R$5=2),((SUMIFS(Headcount!$Q$6:$Q$89,Headcount!$F$6:$F$89,"Sales",Headcount!$H$6:$H$89,"&gt;="&amp;Sales!R$3)/12)),Q12),IF(YEAR(R$3)=YEAR(Headcount!$R$4),IF((R$5=2),((SUMIFS(Headcount!$R$6:$R$89,Headcount!$F$6:$F$89,"Sales",Headcount!$H$6:$H$89,"&gt;="&amp;Sales!R$3)/12)),Q12),"New Year"))))),SUMIF('Dept. Cost Actuals'!$E$7:$E$176,"*salary*",'Dept. Cost Actuals'!V$7:V$176))</f>
        <v>77858.209999999992</v>
      </c>
      <c r="S12" s="1139">
        <f>IF(S$4="forecast",IF(YEAR(S$3)=YEAR(Headcount!$N$4),((SUMIFS(Headcount!$N$6:$N$89,Headcount!$F$6:$F$89,"Sales",Headcount!$H$6:$H$89,"&gt;="&amp;Sales!S$3)/12)),IF(YEAR(S$3)=YEAR(Headcount!$O$4),IF((S$5=2),((SUMIFS(Headcount!$O$6:$O$89,Headcount!$F$6:$F$89,"Sales",Headcount!$H$6:$H$89,"&gt;="&amp;Sales!S$3)/12)),R12),IF(YEAR(S$3)=YEAR(Headcount!$P$4),IF((S$5=2),((SUMIFS(Headcount!$P$6:$P$89,Headcount!$F$6:$F$89,"Sales",Headcount!$H$6:$H$89,"&gt;="&amp;Sales!S$3)/12)),R12),IF(YEAR(S$3)=YEAR(Headcount!$Q$4),IF((S$5=2),((SUMIFS(Headcount!$Q$6:$Q$89,Headcount!$F$6:$F$89,"Sales",Headcount!$H$6:$H$89,"&gt;="&amp;Sales!S$3)/12)),R12),IF(YEAR(S$3)=YEAR(Headcount!$R$4),IF((S$5=2),((SUMIFS(Headcount!$R$6:$R$89,Headcount!$F$6:$F$89,"Sales",Headcount!$H$6:$H$89,"&gt;="&amp;Sales!S$3)/12)),R12),"New Year"))))),SUMIF('Dept. Cost Actuals'!$E$7:$E$176,"*salary*",'Dept. Cost Actuals'!W$7:W$176))</f>
        <v>94060.75</v>
      </c>
      <c r="T12" s="1139">
        <f>IF(T$4="forecast",IF(YEAR(T$3)=YEAR(Headcount!$N$4),((SUMIFS(Headcount!$N$6:$N$89,Headcount!$F$6:$F$89,"Sales",Headcount!$H$6:$H$89,"&gt;="&amp;Sales!T$3)/12)),IF(YEAR(T$3)=YEAR(Headcount!$O$4),IF((T$5=2),((SUMIFS(Headcount!$O$6:$O$89,Headcount!$F$6:$F$89,"Sales",Headcount!$H$6:$H$89,"&gt;="&amp;Sales!T$3)/12)),S12),IF(YEAR(T$3)=YEAR(Headcount!$P$4),IF((T$5=2),((SUMIFS(Headcount!$P$6:$P$89,Headcount!$F$6:$F$89,"Sales",Headcount!$H$6:$H$89,"&gt;="&amp;Sales!T$3)/12)),S12),IF(YEAR(T$3)=YEAR(Headcount!$Q$4),IF((T$5=2),((SUMIFS(Headcount!$Q$6:$Q$89,Headcount!$F$6:$F$89,"Sales",Headcount!$H$6:$H$89,"&gt;="&amp;Sales!T$3)/12)),S12),IF(YEAR(T$3)=YEAR(Headcount!$R$4),IF((T$5=2),((SUMIFS(Headcount!$R$6:$R$89,Headcount!$F$6:$F$89,"Sales",Headcount!$H$6:$H$89,"&gt;="&amp;Sales!T$3)/12)),S12),"New Year"))))),SUMIF('Dept. Cost Actuals'!$E$7:$E$176,"*salary*",'Dept. Cost Actuals'!X$7:X$176))</f>
        <v>81073.509999999995</v>
      </c>
      <c r="U12" s="1139">
        <f>IF(U$4="forecast",IF(YEAR(U$3)=YEAR(Headcount!$N$4),((SUMIFS(Headcount!$N$6:$N$89,Headcount!$F$6:$F$89,"Sales",Headcount!$H$6:$H$89,"&gt;="&amp;Sales!U$3)/12)),IF(YEAR(U$3)=YEAR(Headcount!$O$4),IF((U$5=2),((SUMIFS(Headcount!$O$6:$O$89,Headcount!$F$6:$F$89,"Sales",Headcount!$H$6:$H$89,"&gt;="&amp;Sales!U$3)/12)),T12),IF(YEAR(U$3)=YEAR(Headcount!$P$4),IF((U$5=2),((SUMIFS(Headcount!$P$6:$P$89,Headcount!$F$6:$F$89,"Sales",Headcount!$H$6:$H$89,"&gt;="&amp;Sales!U$3)/12)),T12),IF(YEAR(U$3)=YEAR(Headcount!$Q$4),IF((U$5=2),((SUMIFS(Headcount!$Q$6:$Q$89,Headcount!$F$6:$F$89,"Sales",Headcount!$H$6:$H$89,"&gt;="&amp;Sales!U$3)/12)),T12),IF(YEAR(U$3)=YEAR(Headcount!$R$4),IF((U$5=2),((SUMIFS(Headcount!$R$6:$R$89,Headcount!$F$6:$F$89,"Sales",Headcount!$H$6:$H$89,"&gt;="&amp;Sales!U$3)/12)),T12),"New Year"))))),SUMIF('Dept. Cost Actuals'!$E$7:$E$176,"*salary*",'Dept. Cost Actuals'!Y$7:Y$176))</f>
        <v>89658.880000000005</v>
      </c>
      <c r="V12" s="1139">
        <f>IF(V$4="forecast",IF(YEAR(V$3)=YEAR(Headcount!$N$4),((SUMIFS(Headcount!$N$6:$N$89,Headcount!$F$6:$F$89,"Sales",Headcount!$H$6:$H$89,"&gt;="&amp;Sales!V$3)/12)),IF(YEAR(V$3)=YEAR(Headcount!$O$4),IF((V$5=2),((SUMIFS(Headcount!$O$6:$O$89,Headcount!$F$6:$F$89,"Sales",Headcount!$H$6:$H$89,"&gt;="&amp;Sales!V$3)/12)),U12),IF(YEAR(V$3)=YEAR(Headcount!$P$4),IF((V$5=2),((SUMIFS(Headcount!$P$6:$P$89,Headcount!$F$6:$F$89,"Sales",Headcount!$H$6:$H$89,"&gt;="&amp;Sales!V$3)/12)),U12),IF(YEAR(V$3)=YEAR(Headcount!$Q$4),IF((V$5=2),((SUMIFS(Headcount!$Q$6:$Q$89,Headcount!$F$6:$F$89,"Sales",Headcount!$H$6:$H$89,"&gt;="&amp;Sales!V$3)/12)),U12),IF(YEAR(V$3)=YEAR(Headcount!$R$4),IF((V$5=2),((SUMIFS(Headcount!$R$6:$R$89,Headcount!$F$6:$F$89,"Sales",Headcount!$H$6:$H$89,"&gt;="&amp;Sales!V$3)/12)),U12),"New Year"))))),SUMIF('Dept. Cost Actuals'!$E$7:$E$176,"*salary*",'Dept. Cost Actuals'!Z$7:Z$176))</f>
        <v>93530.06</v>
      </c>
      <c r="W12" s="1139">
        <f>IF(W$4="forecast",IF(YEAR(W$3)=YEAR(Headcount!$N$4),((SUMIFS(Headcount!$N$6:$N$89,Headcount!$F$6:$F$89,"Sales",Headcount!$H$6:$H$89,"&gt;="&amp;Sales!W$3)/12)),IF(YEAR(W$3)=YEAR(Headcount!$O$4),IF((W$5=2),((SUMIFS(Headcount!$O$6:$O$89,Headcount!$F$6:$F$89,"Sales",Headcount!$H$6:$H$89,"&gt;="&amp;Sales!W$3)/12)),V12),IF(YEAR(W$3)=YEAR(Headcount!$P$4),IF((W$5=2),((SUMIFS(Headcount!$P$6:$P$89,Headcount!$F$6:$F$89,"Sales",Headcount!$H$6:$H$89,"&gt;="&amp;Sales!W$3)/12)),V12),IF(YEAR(W$3)=YEAR(Headcount!$Q$4),IF((W$5=2),((SUMIFS(Headcount!$Q$6:$Q$89,Headcount!$F$6:$F$89,"Sales",Headcount!$H$6:$H$89,"&gt;="&amp;Sales!W$3)/12)),V12),IF(YEAR(W$3)=YEAR(Headcount!$R$4),IF((W$5=2),((SUMIFS(Headcount!$R$6:$R$89,Headcount!$F$6:$F$89,"Sales",Headcount!$H$6:$H$89,"&gt;="&amp;Sales!W$3)/12)),V12),"New Year"))))),SUMIF('Dept. Cost Actuals'!$E$7:$E$176,"*salary*",'Dept. Cost Actuals'!AA$7:AA$176))</f>
        <v>94900.92</v>
      </c>
      <c r="X12" s="1139">
        <f>IF(X$4="forecast",IF(YEAR(X$3)=YEAR(Headcount!$N$4),((SUMIFS(Headcount!$N$6:$N$89,Headcount!$F$6:$F$89,"Sales",Headcount!$H$6:$H$89,"&gt;="&amp;Sales!X$3)/12)),IF(YEAR(X$3)=YEAR(Headcount!$O$4),IF((X$5=2),((SUMIFS(Headcount!$O$6:$O$89,Headcount!$F$6:$F$89,"Sales",Headcount!$H$6:$H$89,"&gt;="&amp;Sales!X$3)/12)),W12),IF(YEAR(X$3)=YEAR(Headcount!$P$4),IF((X$5=2),((SUMIFS(Headcount!$P$6:$P$89,Headcount!$F$6:$F$89,"Sales",Headcount!$H$6:$H$89,"&gt;="&amp;Sales!X$3)/12)),W12),IF(YEAR(X$3)=YEAR(Headcount!$Q$4),IF((X$5=2),((SUMIFS(Headcount!$Q$6:$Q$89,Headcount!$F$6:$F$89,"Sales",Headcount!$H$6:$H$89,"&gt;="&amp;Sales!X$3)/12)),W12),IF(YEAR(X$3)=YEAR(Headcount!$R$4),IF((X$5=2),((SUMIFS(Headcount!$R$6:$R$89,Headcount!$F$6:$F$89,"Sales",Headcount!$H$6:$H$89,"&gt;="&amp;Sales!X$3)/12)),W12),"New Year"))))),SUMIF('Dept. Cost Actuals'!$E$7:$E$176,"*salary*",'Dept. Cost Actuals'!AB$7:AB$176))</f>
        <v>106791.16</v>
      </c>
      <c r="Y12" s="1139">
        <f>IF(Y$4="forecast",IF(YEAR(Y$3)=YEAR(Headcount!$N$4),((SUMIFS(Headcount!$N$6:$N$89,Headcount!$F$6:$F$89,"Sales",Headcount!$H$6:$H$89,"&gt;="&amp;Sales!Y$3)/12)),IF(YEAR(Y$3)=YEAR(Headcount!$O$4),IF((Y$5=2),((SUMIFS(Headcount!$O$6:$O$89,Headcount!$F$6:$F$89,"Sales",Headcount!$H$6:$H$89,"&gt;="&amp;Sales!Y$3)/12)),X12),IF(YEAR(Y$3)=YEAR(Headcount!$P$4),IF((Y$5=2),((SUMIFS(Headcount!$P$6:$P$89,Headcount!$F$6:$F$89,"Sales",Headcount!$H$6:$H$89,"&gt;="&amp;Sales!Y$3)/12)),X12),IF(YEAR(Y$3)=YEAR(Headcount!$Q$4),IF((Y$5=2),((SUMIFS(Headcount!$Q$6:$Q$89,Headcount!$F$6:$F$89,"Sales",Headcount!$H$6:$H$89,"&gt;="&amp;Sales!Y$3)/12)),X12),IF(YEAR(Y$3)=YEAR(Headcount!$R$4),IF((Y$5=2),((SUMIFS(Headcount!$R$6:$R$89,Headcount!$F$6:$F$89,"Sales",Headcount!$H$6:$H$89,"&gt;="&amp;Sales!Y$3)/12)),X12),"New Year"))))),SUMIF('Dept. Cost Actuals'!$E$7:$E$176,"*salary*",'Dept. Cost Actuals'!AC$7:AC$176))</f>
        <v>94957.35</v>
      </c>
      <c r="Z12" s="1139">
        <f>IF(Z$4="forecast",IF(YEAR(Z$3)=YEAR(Headcount!$N$4),((SUMIFS(Headcount!$N$6:$N$89,Headcount!$F$6:$F$89,"Sales",Headcount!$H$6:$H$89,"&gt;="&amp;Sales!Z$3)/12)),IF(YEAR(Z$3)=YEAR(Headcount!$O$4),IF((Z$5=2),((SUMIFS(Headcount!$O$6:$O$89,Headcount!$F$6:$F$89,"Sales",Headcount!$H$6:$H$89,"&gt;="&amp;Sales!Z$3)/12)),Y12),IF(YEAR(Z$3)=YEAR(Headcount!$P$4),IF((Z$5=2),((SUMIFS(Headcount!$P$6:$P$89,Headcount!$F$6:$F$89,"Sales",Headcount!$H$6:$H$89,"&gt;="&amp;Sales!Z$3)/12)),Y12),IF(YEAR(Z$3)=YEAR(Headcount!$Q$4),IF((Z$5=2),((SUMIFS(Headcount!$Q$6:$Q$89,Headcount!$F$6:$F$89,"Sales",Headcount!$H$6:$H$89,"&gt;="&amp;Sales!Z$3)/12)),Y12),IF(YEAR(Z$3)=YEAR(Headcount!$R$4),IF((Z$5=2),((SUMIFS(Headcount!$R$6:$R$89,Headcount!$F$6:$F$89,"Sales",Headcount!$H$6:$H$89,"&gt;="&amp;Sales!Z$3)/12)),Y12),"New Year"))))),SUMIF('Dept. Cost Actuals'!$E$7:$E$176,"*salary*",'Dept. Cost Actuals'!AD$7:AD$176))</f>
        <v>6341.0800000000017</v>
      </c>
      <c r="AA12" s="1139">
        <f>IF(AA$4="forecast",IF(YEAR(AA$3)=YEAR(Headcount!$N$4),((SUMIFS(Headcount!$N$6:$N$89,Headcount!$F$6:$F$89,"Sales",Headcount!$H$6:$H$89,"&gt;="&amp;Sales!AA$3)/12)),IF(YEAR(AA$3)=YEAR(Headcount!$O$4),IF((AA$5=2),((SUMIFS(Headcount!$O$6:$O$89,Headcount!$F$6:$F$89,"Sales",Headcount!$H$6:$H$89,"&gt;="&amp;Sales!AA$3)/12)),Z12),IF(YEAR(AA$3)=YEAR(Headcount!$P$4),IF((AA$5=2),((SUMIFS(Headcount!$P$6:$P$89,Headcount!$F$6:$F$89,"Sales",Headcount!$H$6:$H$89,"&gt;="&amp;Sales!AA$3)/12)),Z12),IF(YEAR(AA$3)=YEAR(Headcount!$Q$4),IF((AA$5=2),((SUMIFS(Headcount!$Q$6:$Q$89,Headcount!$F$6:$F$89,"Sales",Headcount!$H$6:$H$89,"&gt;="&amp;Sales!AA$3)/12)),Z12),IF(YEAR(AA$3)=YEAR(Headcount!$R$4),IF((AA$5=2),((SUMIFS(Headcount!$R$6:$R$89,Headcount!$F$6:$F$89,"Sales",Headcount!$H$6:$H$89,"&gt;="&amp;Sales!AA$3)/12)),Z12),"New Year"))))),SUMIF('Dept. Cost Actuals'!$E$7:$E$176,"*salary*",'Dept. Cost Actuals'!AE$7:AE$176))</f>
        <v>96923.11</v>
      </c>
      <c r="AB12" s="1139">
        <f>IF(AB$4="forecast",IF(YEAR(AB$3)=YEAR(Headcount!$N$4),((SUMIFS(Headcount!$N$6:$N$89,Headcount!$F$6:$F$89,"Sales",Headcount!$H$6:$H$89,"&gt;="&amp;Sales!AB$3)/12)),IF(YEAR(AB$3)=YEAR(Headcount!$O$4),IF((AB$5=2),((SUMIFS(Headcount!$O$6:$O$89,Headcount!$F$6:$F$89,"Sales",Headcount!$H$6:$H$89,"&gt;="&amp;Sales!AB$3)/12)),AA12),IF(YEAR(AB$3)=YEAR(Headcount!$P$4),IF((AB$5=2),((SUMIFS(Headcount!$P$6:$P$89,Headcount!$F$6:$F$89,"Sales",Headcount!$H$6:$H$89,"&gt;="&amp;Sales!AB$3)/12)),AA12),IF(YEAR(AB$3)=YEAR(Headcount!$Q$4),IF((AB$5=2),((SUMIFS(Headcount!$Q$6:$Q$89,Headcount!$F$6:$F$89,"Sales",Headcount!$H$6:$H$89,"&gt;="&amp;Sales!AB$3)/12)),AA12),IF(YEAR(AB$3)=YEAR(Headcount!$R$4),IF((AB$5=2),((SUMIFS(Headcount!$R$6:$R$89,Headcount!$F$6:$F$89,"Sales",Headcount!$H$6:$H$89,"&gt;="&amp;Sales!AB$3)/12)),AA12),"New Year"))))),SUMIF('Dept. Cost Actuals'!$E$7:$E$176,"*salary*",'Dept. Cost Actuals'!AF$7:AF$176))</f>
        <v>86267.42</v>
      </c>
      <c r="AC12" s="1139">
        <f>IF(AC$4="forecast",IF(YEAR(AC$3)=YEAR(Headcount!$N$4),((SUMIFS(Headcount!$N$6:$N$89,Headcount!$F$6:$F$89,"Sales",Headcount!$H$6:$H$89,"&gt;="&amp;Sales!AC$3)/12)),IF(YEAR(AC$3)=YEAR(Headcount!$O$4),IF((AC$5=2),((SUMIFS(Headcount!$O$6:$O$89,Headcount!$F$6:$F$89,"Sales",Headcount!$H$6:$H$89,"&gt;="&amp;Sales!AC$3)/12)),AB12),IF(YEAR(AC$3)=YEAR(Headcount!$P$4),IF((AC$5=2),((SUMIFS(Headcount!$P$6:$P$89,Headcount!$F$6:$F$89,"Sales",Headcount!$H$6:$H$89,"&gt;="&amp;Sales!AC$3)/12)),AB12),IF(YEAR(AC$3)=YEAR(Headcount!$Q$4),IF((AC$5=2),((SUMIFS(Headcount!$Q$6:$Q$89,Headcount!$F$6:$F$89,"Sales",Headcount!$H$6:$H$89,"&gt;="&amp;Sales!AC$3)/12)),AB12),IF(YEAR(AC$3)=YEAR(Headcount!$R$4),IF((AC$5=2),((SUMIFS(Headcount!$R$6:$R$89,Headcount!$F$6:$F$89,"Sales",Headcount!$H$6:$H$89,"&gt;="&amp;Sales!AC$3)/12)),AB12),"New Year"))))),SUMIF('Dept. Cost Actuals'!$E$7:$E$176,"*salary*",'Dept. Cost Actuals'!AG$7:AG$176))</f>
        <v>91584.09</v>
      </c>
      <c r="AD12" s="1139">
        <f>((SUMIFS(Headcount!$O$6:$O$89,Headcount!$F$6:$F$89,"Sales",Headcount!$H$6:$H$89,"&gt;="&amp;Sales!AC$3)/12))</f>
        <v>110500.00166666666</v>
      </c>
      <c r="AE12" s="1139">
        <f>((SUMIFS(Headcount!$O$6:$O$89,Headcount!$F$6:$F$89,"Sales",Headcount!$H$6:$H$89,"&gt;="&amp;Sales!AD$3)/12))</f>
        <v>110500.00166666666</v>
      </c>
      <c r="AF12" s="1139">
        <f>((SUMIFS(Headcount!$O$6:$O$89,Headcount!$F$6:$F$89,"Sales",Headcount!$H$6:$H$89,"&gt;="&amp;Sales!AE$3)/12))</f>
        <v>110500.00166666666</v>
      </c>
      <c r="AG12" s="1139">
        <f>((SUMIFS(Headcount!$O$6:$O$89,Headcount!$F$6:$F$89,"Sales",Headcount!$H$6:$H$89,"&gt;="&amp;Sales!AF$3)/12))</f>
        <v>110500.00166666666</v>
      </c>
      <c r="AH12" s="1139">
        <f>((SUMIFS(Headcount!$O$6:$O$89,Headcount!$F$6:$F$89,"Sales",Headcount!$H$6:$H$89,"&gt;="&amp;Sales!AG$3)/12))</f>
        <v>110500.00166666666</v>
      </c>
      <c r="AI12" s="1139">
        <f>((SUMIFS(Headcount!$O$6:$O$89,Headcount!$F$6:$F$89,"Sales",Headcount!$H$6:$H$89,"&gt;="&amp;Sales!AH$3)/12))</f>
        <v>110500.00166666666</v>
      </c>
      <c r="AJ12" s="1139">
        <f>((SUMIFS(Headcount!$O$6:$O$89,Headcount!$F$6:$F$89,"Sales",Headcount!$H$6:$H$89,"&gt;="&amp;Sales!AI$3)/12))</f>
        <v>110500.00166666666</v>
      </c>
      <c r="AK12" s="1139">
        <f>((SUMIFS(Headcount!$O$6:$O$89,Headcount!$F$6:$F$89,"Sales",Headcount!$H$6:$H$89,"&gt;="&amp;Sales!AJ$3)/12))</f>
        <v>110500.00166666666</v>
      </c>
      <c r="AL12" s="1139">
        <f>((SUMIFS(Headcount!$O$6:$O$89,Headcount!$F$6:$F$89,"Sales",Headcount!$H$6:$H$89,"&gt;="&amp;Sales!AK$3)/12))</f>
        <v>110500.00166666666</v>
      </c>
      <c r="AM12" s="1284">
        <f>IF(AM$4="forecast",IF(YEAR(AM$3)=YEAR(Headcount!$N$4),((SUMIFS(Headcount!$N$6:$N$89,Headcount!$F$6:$F$89,"Sales",Headcount!$H$6:$H$89,"&gt;="&amp;Sales!AM$3)/12)),IF(YEAR(AM$3)=YEAR(Headcount!$O$4),IF((AM$5=2),((SUMIFS(Headcount!$O$6:$O$89,Headcount!$F$6:$F$89,"Sales",Headcount!$H$6:$H$89,"&gt;="&amp;Sales!AM$3)/12)), ((SUMIFS(Headcount!$N$6:$N$89,Headcount!$F$6:$F$89,"Sales",Headcount!$H$6:$H$89,"&gt;="&amp;Sales!AM$3)/12))),IF(YEAR(AM$3)=YEAR(Headcount!$P$4),IF((AM$5=2),((SUMIFS(Headcount!$P$6:$P$89,Headcount!$F$6:$F$89,"Sales",Headcount!$H$6:$H$89,"&gt;="&amp;Sales!AM$3)/12)), ((SUMIFS(Headcount!$O$6:$O$89,Headcount!$F$6:$F$89,"Sales",Headcount!$H$6:$H$89,"&gt;="&amp;Sales!AM$3)/12))
),IF(YEAR(AM$3)=YEAR(Headcount!$Q$4),IF((AM$5=2),((SUMIFS(Headcount!$Q$6:$Q$89,Headcount!$F$6:$F$89,"Sales",Headcount!$H$6:$H$89,"&gt;="&amp;Sales!AM$3)/12)), ((SUMIFS(Headcount!$P$6:$P$89,Headcount!$F$6:$F$89,"Sales",Headcount!$H$6:$H$89,"&gt;="&amp;Sales!AM$3)/12))
),IF(YEAR(AM$3)=YEAR(Headcount!$R$4),IF((AM$5=2),((SUMIFS(Headcount!$R$6:$R$89,Headcount!$F$6:$F$89,"Sales",Headcount!$H$6:$H$89,"&gt;="&amp;Sales!AM$3)/12)), ((SUMIFS(Headcount!$Q$6:$Q$89,Headcount!$F$6:$F$89,"Sales",Headcount!$H$6:$H$89,"&gt;="&amp;Sales!AM$3)/12))
),"New Year"))))),SUMIF('Dept. Cost Actuals'!$E$7:$E$176,"*salary*",'Dept. Cost Actuals'!AQ$7:AQ$176))</f>
        <v>110500.00166666666</v>
      </c>
      <c r="AN12" s="1284">
        <f>IF(AN$4="forecast",IF(YEAR(AN$3)=YEAR(Headcount!$N$4),((SUMIFS(Headcount!$N$6:$N$89,Headcount!$F$6:$F$89,"Sales",Headcount!$H$6:$H$89,"&gt;="&amp;Sales!AN$3)/12)),IF(YEAR(AN$3)=YEAR(Headcount!$O$4),IF((AN$5=2),((SUMIFS(Headcount!$O$6:$O$89,Headcount!$F$6:$F$89,"Sales",Headcount!$H$6:$H$89,"&gt;="&amp;Sales!AN$3)/12)), ((SUMIFS(Headcount!$N$6:$N$89,Headcount!$F$6:$F$89,"Sales",Headcount!$H$6:$H$89,"&gt;="&amp;Sales!AN$3)/12))),IF(YEAR(AN$3)=YEAR(Headcount!$P$4),IF((AN$5=2),((SUMIFS(Headcount!$P$6:$P$89,Headcount!$F$6:$F$89,"Sales",Headcount!$H$6:$H$89,"&gt;="&amp;Sales!AN$3)/12)), ((SUMIFS(Headcount!$O$6:$O$89,Headcount!$F$6:$F$89,"Sales",Headcount!$H$6:$H$89,"&gt;="&amp;Sales!AN$3)/12))
),IF(YEAR(AN$3)=YEAR(Headcount!$Q$4),IF((AN$5=2),((SUMIFS(Headcount!$Q$6:$Q$89,Headcount!$F$6:$F$89,"Sales",Headcount!$H$6:$H$89,"&gt;="&amp;Sales!AN$3)/12)), ((SUMIFS(Headcount!$P$6:$P$89,Headcount!$F$6:$F$89,"Sales",Headcount!$H$6:$H$89,"&gt;="&amp;Sales!AN$3)/12))
),IF(YEAR(AN$3)=YEAR(Headcount!$R$4),IF((AN$5=2),((SUMIFS(Headcount!$R$6:$R$89,Headcount!$F$6:$F$89,"Sales",Headcount!$H$6:$H$89,"&gt;="&amp;Sales!AN$3)/12)), ((SUMIFS(Headcount!$Q$6:$Q$89,Headcount!$F$6:$F$89,"Sales",Headcount!$H$6:$H$89,"&gt;="&amp;Sales!AN$3)/12))
),"New Year"))))),SUMIF('Dept. Cost Actuals'!$E$7:$E$176,"*salary*",'Dept. Cost Actuals'!AR$7:AR$176))</f>
        <v>113815.00171666667</v>
      </c>
      <c r="AO12" s="1284">
        <f>IF(AO$4="forecast",IF(YEAR(AO$3)=YEAR(Headcount!$N$4),((SUMIFS(Headcount!$N$6:$N$89,Headcount!$F$6:$F$89,"Sales",Headcount!$H$6:$H$89,"&gt;="&amp;Sales!AO$3)/12)),IF(YEAR(AO$3)=YEAR(Headcount!$O$4),IF((AO$5=2),((SUMIFS(Headcount!$O$6:$O$89,Headcount!$F$6:$F$89,"Sales",Headcount!$H$6:$H$89,"&gt;="&amp;Sales!AO$3)/12)), ((SUMIFS(Headcount!$N$6:$N$89,Headcount!$F$6:$F$89,"Sales",Headcount!$H$6:$H$89,"&gt;="&amp;Sales!AO$3)/12))),IF(YEAR(AO$3)=YEAR(Headcount!$P$4),IF((AO$5=2),((SUMIFS(Headcount!$P$6:$P$89,Headcount!$F$6:$F$89,"Sales",Headcount!$H$6:$H$89,"&gt;="&amp;Sales!AO$3)/12)), ((SUMIFS(Headcount!$O$6:$O$89,Headcount!$F$6:$F$89,"Sales",Headcount!$H$6:$H$89,"&gt;="&amp;Sales!AO$3)/12))
),IF(YEAR(AO$3)=YEAR(Headcount!$Q$4),IF((AO$5=2),((SUMIFS(Headcount!$Q$6:$Q$89,Headcount!$F$6:$F$89,"Sales",Headcount!$H$6:$H$89,"&gt;="&amp;Sales!AO$3)/12)), ((SUMIFS(Headcount!$P$6:$P$89,Headcount!$F$6:$F$89,"Sales",Headcount!$H$6:$H$89,"&gt;="&amp;Sales!AO$3)/12))
),IF(YEAR(AO$3)=YEAR(Headcount!$R$4),IF((AO$5=2),((SUMIFS(Headcount!$R$6:$R$89,Headcount!$F$6:$F$89,"Sales",Headcount!$H$6:$H$89,"&gt;="&amp;Sales!AO$3)/12)), ((SUMIFS(Headcount!$Q$6:$Q$89,Headcount!$F$6:$F$89,"Sales",Headcount!$H$6:$H$89,"&gt;="&amp;Sales!AO$3)/12))
),"New Year"))))),SUMIF('Dept. Cost Actuals'!$E$7:$E$176,"*salary*",'Dept. Cost Actuals'!AS$7:AS$176))</f>
        <v>110500.00166666666</v>
      </c>
      <c r="AP12" s="1284">
        <f>IF(AP$4="forecast",IF(YEAR(AP$3)=YEAR(Headcount!$N$4),((SUMIFS(Headcount!$N$6:$N$89,Headcount!$F$6:$F$89,"Sales",Headcount!$H$6:$H$89,"&gt;="&amp;Sales!AP$3)/12)),IF(YEAR(AP$3)=YEAR(Headcount!$O$4),IF((AP$5=2),((SUMIFS(Headcount!$O$6:$O$89,Headcount!$F$6:$F$89,"Sales",Headcount!$H$6:$H$89,"&gt;="&amp;Sales!AP$3)/12)), ((SUMIFS(Headcount!$N$6:$N$89,Headcount!$F$6:$F$89,"Sales",Headcount!$H$6:$H$89,"&gt;="&amp;Sales!AP$3)/12))),IF(YEAR(AP$3)=YEAR(Headcount!$P$4),IF((AP$5=2),((SUMIFS(Headcount!$P$6:$P$89,Headcount!$F$6:$F$89,"Sales",Headcount!$H$6:$H$89,"&gt;="&amp;Sales!AP$3)/12)), ((SUMIFS(Headcount!$O$6:$O$89,Headcount!$F$6:$F$89,"Sales",Headcount!$H$6:$H$89,"&gt;="&amp;Sales!AP$3)/12))
),IF(YEAR(AP$3)=YEAR(Headcount!$Q$4),IF((AP$5=2),((SUMIFS(Headcount!$Q$6:$Q$89,Headcount!$F$6:$F$89,"Sales",Headcount!$H$6:$H$89,"&gt;="&amp;Sales!AP$3)/12)), ((SUMIFS(Headcount!$P$6:$P$89,Headcount!$F$6:$F$89,"Sales",Headcount!$H$6:$H$89,"&gt;="&amp;Sales!AP$3)/12))
),IF(YEAR(AP$3)=YEAR(Headcount!$R$4),IF((AP$5=2),((SUMIFS(Headcount!$R$6:$R$89,Headcount!$F$6:$F$89,"Sales",Headcount!$H$6:$H$89,"&gt;="&amp;Sales!AP$3)/12)), ((SUMIFS(Headcount!$Q$6:$Q$89,Headcount!$F$6:$F$89,"Sales",Headcount!$H$6:$H$89,"&gt;="&amp;Sales!AP$3)/12))
),"New Year"))))),SUMIF('Dept. Cost Actuals'!$E$7:$E$176,"*salary*",'Dept. Cost Actuals'!AT$7:AT$176))</f>
        <v>110500.00166666666</v>
      </c>
      <c r="AQ12" s="1284">
        <f>IF(AQ$4="forecast",IF(YEAR(AQ$3)=YEAR(Headcount!$N$4),((SUMIFS(Headcount!$N$6:$N$89,Headcount!$F$6:$F$89,"Sales",Headcount!$H$6:$H$89,"&gt;="&amp;Sales!AQ$3)/12)),IF(YEAR(AQ$3)=YEAR(Headcount!$O$4),IF((AQ$5=2),((SUMIFS(Headcount!$O$6:$O$89,Headcount!$F$6:$F$89,"Sales",Headcount!$H$6:$H$89,"&gt;="&amp;Sales!AQ$3)/12)), ((SUMIFS(Headcount!$N$6:$N$89,Headcount!$F$6:$F$89,"Sales",Headcount!$H$6:$H$89,"&gt;="&amp;Sales!AQ$3)/12))),IF(YEAR(AQ$3)=YEAR(Headcount!$P$4),IF((AQ$5=2),((SUMIFS(Headcount!$P$6:$P$89,Headcount!$F$6:$F$89,"Sales",Headcount!$H$6:$H$89,"&gt;="&amp;Sales!AQ$3)/12)), ((SUMIFS(Headcount!$O$6:$O$89,Headcount!$F$6:$F$89,"Sales",Headcount!$H$6:$H$89,"&gt;="&amp;Sales!AQ$3)/12))
),IF(YEAR(AQ$3)=YEAR(Headcount!$Q$4),IF((AQ$5=2),((SUMIFS(Headcount!$Q$6:$Q$89,Headcount!$F$6:$F$89,"Sales",Headcount!$H$6:$H$89,"&gt;="&amp;Sales!AQ$3)/12)), ((SUMIFS(Headcount!$P$6:$P$89,Headcount!$F$6:$F$89,"Sales",Headcount!$H$6:$H$89,"&gt;="&amp;Sales!AQ$3)/12))
),IF(YEAR(AQ$3)=YEAR(Headcount!$R$4),IF((AQ$5=2),((SUMIFS(Headcount!$R$6:$R$89,Headcount!$F$6:$F$89,"Sales",Headcount!$H$6:$H$89,"&gt;="&amp;Sales!AQ$3)/12)), ((SUMIFS(Headcount!$Q$6:$Q$89,Headcount!$F$6:$F$89,"Sales",Headcount!$H$6:$H$89,"&gt;="&amp;Sales!AQ$3)/12))
),"New Year"))))),SUMIF('Dept. Cost Actuals'!$E$7:$E$176,"*salary*",'Dept. Cost Actuals'!AU$7:AU$176))</f>
        <v>110500.00166666666</v>
      </c>
      <c r="AR12" s="1284">
        <f>IF(AR$4="forecast",IF(YEAR(AR$3)=YEAR(Headcount!$N$4),((SUMIFS(Headcount!$N$6:$N$89,Headcount!$F$6:$F$89,"Sales",Headcount!$H$6:$H$89,"&gt;="&amp;Sales!AR$3)/12)),IF(YEAR(AR$3)=YEAR(Headcount!$O$4),IF((AR$5=2),((SUMIFS(Headcount!$O$6:$O$89,Headcount!$F$6:$F$89,"Sales",Headcount!$H$6:$H$89,"&gt;="&amp;Sales!AR$3)/12)), ((SUMIFS(Headcount!$N$6:$N$89,Headcount!$F$6:$F$89,"Sales",Headcount!$H$6:$H$89,"&gt;="&amp;Sales!AR$3)/12))),IF(YEAR(AR$3)=YEAR(Headcount!$P$4),IF((AR$5=2),((SUMIFS(Headcount!$P$6:$P$89,Headcount!$F$6:$F$89,"Sales",Headcount!$H$6:$H$89,"&gt;="&amp;Sales!AR$3)/12)), ((SUMIFS(Headcount!$O$6:$O$89,Headcount!$F$6:$F$89,"Sales",Headcount!$H$6:$H$89,"&gt;="&amp;Sales!AR$3)/12))
),IF(YEAR(AR$3)=YEAR(Headcount!$Q$4),IF((AR$5=2),((SUMIFS(Headcount!$Q$6:$Q$89,Headcount!$F$6:$F$89,"Sales",Headcount!$H$6:$H$89,"&gt;="&amp;Sales!AR$3)/12)), ((SUMIFS(Headcount!$P$6:$P$89,Headcount!$F$6:$F$89,"Sales",Headcount!$H$6:$H$89,"&gt;="&amp;Sales!AR$3)/12))
),IF(YEAR(AR$3)=YEAR(Headcount!$R$4),IF((AR$5=2),((SUMIFS(Headcount!$R$6:$R$89,Headcount!$F$6:$F$89,"Sales",Headcount!$H$6:$H$89,"&gt;="&amp;Sales!AR$3)/12)), ((SUMIFS(Headcount!$Q$6:$Q$89,Headcount!$F$6:$F$89,"Sales",Headcount!$H$6:$H$89,"&gt;="&amp;Sales!AR$3)/12))
),"New Year"))))),SUMIF('Dept. Cost Actuals'!$E$7:$E$176,"*salary*",'Dept. Cost Actuals'!AV$7:AV$176))</f>
        <v>110500.00166666666</v>
      </c>
      <c r="AS12" s="1284">
        <f>IF(AS$4="forecast",IF(YEAR(AS$3)=YEAR(Headcount!$N$4),((SUMIFS(Headcount!$N$6:$N$89,Headcount!$F$6:$F$89,"Sales",Headcount!$H$6:$H$89,"&gt;="&amp;Sales!AS$3)/12)),IF(YEAR(AS$3)=YEAR(Headcount!$O$4),IF((AS$5=2),((SUMIFS(Headcount!$O$6:$O$89,Headcount!$F$6:$F$89,"Sales",Headcount!$H$6:$H$89,"&gt;="&amp;Sales!AS$3)/12)), ((SUMIFS(Headcount!$N$6:$N$89,Headcount!$F$6:$F$89,"Sales",Headcount!$H$6:$H$89,"&gt;="&amp;Sales!AS$3)/12))),IF(YEAR(AS$3)=YEAR(Headcount!$P$4),IF((AS$5=2),((SUMIFS(Headcount!$P$6:$P$89,Headcount!$F$6:$F$89,"Sales",Headcount!$H$6:$H$89,"&gt;="&amp;Sales!AS$3)/12)), ((SUMIFS(Headcount!$O$6:$O$89,Headcount!$F$6:$F$89,"Sales",Headcount!$H$6:$H$89,"&gt;="&amp;Sales!AS$3)/12))
),IF(YEAR(AS$3)=YEAR(Headcount!$Q$4),IF((AS$5=2),((SUMIFS(Headcount!$Q$6:$Q$89,Headcount!$F$6:$F$89,"Sales",Headcount!$H$6:$H$89,"&gt;="&amp;Sales!AS$3)/12)), ((SUMIFS(Headcount!$P$6:$P$89,Headcount!$F$6:$F$89,"Sales",Headcount!$H$6:$H$89,"&gt;="&amp;Sales!AS$3)/12))
),IF(YEAR(AS$3)=YEAR(Headcount!$R$4),IF((AS$5=2),((SUMIFS(Headcount!$R$6:$R$89,Headcount!$F$6:$F$89,"Sales",Headcount!$H$6:$H$89,"&gt;="&amp;Sales!AS$3)/12)), ((SUMIFS(Headcount!$Q$6:$Q$89,Headcount!$F$6:$F$89,"Sales",Headcount!$H$6:$H$89,"&gt;="&amp;Sales!AS$3)/12))
),"New Year"))))),SUMIF('Dept. Cost Actuals'!$E$7:$E$176,"*salary*",'Dept. Cost Actuals'!AW$7:AW$176))</f>
        <v>110500.00166666666</v>
      </c>
      <c r="AT12" s="1284">
        <f>IF(AT$4="forecast",IF(YEAR(AT$3)=YEAR(Headcount!$N$4),((SUMIFS(Headcount!$N$6:$N$89,Headcount!$F$6:$F$89,"Sales",Headcount!$H$6:$H$89,"&gt;="&amp;Sales!AT$3)/12)),IF(YEAR(AT$3)=YEAR(Headcount!$O$4),IF((AT$5=2),((SUMIFS(Headcount!$O$6:$O$89,Headcount!$F$6:$F$89,"Sales",Headcount!$H$6:$H$89,"&gt;="&amp;Sales!AT$3)/12)), ((SUMIFS(Headcount!$N$6:$N$89,Headcount!$F$6:$F$89,"Sales",Headcount!$H$6:$H$89,"&gt;="&amp;Sales!AT$3)/12))),IF(YEAR(AT$3)=YEAR(Headcount!$P$4),IF((AT$5=2),((SUMIFS(Headcount!$P$6:$P$89,Headcount!$F$6:$F$89,"Sales",Headcount!$H$6:$H$89,"&gt;="&amp;Sales!AT$3)/12)), ((SUMIFS(Headcount!$O$6:$O$89,Headcount!$F$6:$F$89,"Sales",Headcount!$H$6:$H$89,"&gt;="&amp;Sales!AT$3)/12))
),IF(YEAR(AT$3)=YEAR(Headcount!$Q$4),IF((AT$5=2),((SUMIFS(Headcount!$Q$6:$Q$89,Headcount!$F$6:$F$89,"Sales",Headcount!$H$6:$H$89,"&gt;="&amp;Sales!AT$3)/12)), ((SUMIFS(Headcount!$P$6:$P$89,Headcount!$F$6:$F$89,"Sales",Headcount!$H$6:$H$89,"&gt;="&amp;Sales!AT$3)/12))
),IF(YEAR(AT$3)=YEAR(Headcount!$R$4),IF((AT$5=2),((SUMIFS(Headcount!$R$6:$R$89,Headcount!$F$6:$F$89,"Sales",Headcount!$H$6:$H$89,"&gt;="&amp;Sales!AT$3)/12)), ((SUMIFS(Headcount!$Q$6:$Q$89,Headcount!$F$6:$F$89,"Sales",Headcount!$H$6:$H$89,"&gt;="&amp;Sales!AT$3)/12))
),"New Year"))))),SUMIF('Dept. Cost Actuals'!$E$7:$E$176,"*salary*",'Dept. Cost Actuals'!AX$7:AX$176))</f>
        <v>110500.00166666666</v>
      </c>
      <c r="AU12" s="1284">
        <f>IF(AU$4="forecast",IF(YEAR(AU$3)=YEAR(Headcount!$N$4),((SUMIFS(Headcount!$N$6:$N$89,Headcount!$F$6:$F$89,"Sales",Headcount!$H$6:$H$89,"&gt;="&amp;Sales!AU$3)/12)),IF(YEAR(AU$3)=YEAR(Headcount!$O$4),IF((AU$5=2),((SUMIFS(Headcount!$O$6:$O$89,Headcount!$F$6:$F$89,"Sales",Headcount!$H$6:$H$89,"&gt;="&amp;Sales!AU$3)/12)), ((SUMIFS(Headcount!$N$6:$N$89,Headcount!$F$6:$F$89,"Sales",Headcount!$H$6:$H$89,"&gt;="&amp;Sales!AU$3)/12))),IF(YEAR(AU$3)=YEAR(Headcount!$P$4),IF((AU$5=2),((SUMIFS(Headcount!$P$6:$P$89,Headcount!$F$6:$F$89,"Sales",Headcount!$H$6:$H$89,"&gt;="&amp;Sales!AU$3)/12)), ((SUMIFS(Headcount!$O$6:$O$89,Headcount!$F$6:$F$89,"Sales",Headcount!$H$6:$H$89,"&gt;="&amp;Sales!AU$3)/12))
),IF(YEAR(AU$3)=YEAR(Headcount!$Q$4),IF((AU$5=2),((SUMIFS(Headcount!$Q$6:$Q$89,Headcount!$F$6:$F$89,"Sales",Headcount!$H$6:$H$89,"&gt;="&amp;Sales!AU$3)/12)), ((SUMIFS(Headcount!$P$6:$P$89,Headcount!$F$6:$F$89,"Sales",Headcount!$H$6:$H$89,"&gt;="&amp;Sales!AU$3)/12))
),IF(YEAR(AU$3)=YEAR(Headcount!$R$4),IF((AU$5=2),((SUMIFS(Headcount!$R$6:$R$89,Headcount!$F$6:$F$89,"Sales",Headcount!$H$6:$H$89,"&gt;="&amp;Sales!AU$3)/12)), ((SUMIFS(Headcount!$Q$6:$Q$89,Headcount!$F$6:$F$89,"Sales",Headcount!$H$6:$H$89,"&gt;="&amp;Sales!AU$3)/12))
),"New Year"))))),SUMIF('Dept. Cost Actuals'!$E$7:$E$176,"*salary*",'Dept. Cost Actuals'!AY$7:AY$176))</f>
        <v>110500.00166666666</v>
      </c>
      <c r="AV12" s="1284">
        <f>IF(AV$4="forecast",IF(YEAR(AV$3)=YEAR(Headcount!$N$4),((SUMIFS(Headcount!$N$6:$N$89,Headcount!$F$6:$F$89,"Sales",Headcount!$H$6:$H$89,"&gt;="&amp;Sales!AV$3)/12)),IF(YEAR(AV$3)=YEAR(Headcount!$O$4),IF((AV$5=2),((SUMIFS(Headcount!$O$6:$O$89,Headcount!$F$6:$F$89,"Sales",Headcount!$H$6:$H$89,"&gt;="&amp;Sales!AV$3)/12)), ((SUMIFS(Headcount!$N$6:$N$89,Headcount!$F$6:$F$89,"Sales",Headcount!$H$6:$H$89,"&gt;="&amp;Sales!AV$3)/12))),IF(YEAR(AV$3)=YEAR(Headcount!$P$4),IF((AV$5=2),((SUMIFS(Headcount!$P$6:$P$89,Headcount!$F$6:$F$89,"Sales",Headcount!$H$6:$H$89,"&gt;="&amp;Sales!AV$3)/12)), ((SUMIFS(Headcount!$O$6:$O$89,Headcount!$F$6:$F$89,"Sales",Headcount!$H$6:$H$89,"&gt;="&amp;Sales!AV$3)/12))
),IF(YEAR(AV$3)=YEAR(Headcount!$Q$4),IF((AV$5=2),((SUMIFS(Headcount!$Q$6:$Q$89,Headcount!$F$6:$F$89,"Sales",Headcount!$H$6:$H$89,"&gt;="&amp;Sales!AV$3)/12)), ((SUMIFS(Headcount!$P$6:$P$89,Headcount!$F$6:$F$89,"Sales",Headcount!$H$6:$H$89,"&gt;="&amp;Sales!AV$3)/12))
),IF(YEAR(AV$3)=YEAR(Headcount!$R$4),IF((AV$5=2),((SUMIFS(Headcount!$R$6:$R$89,Headcount!$F$6:$F$89,"Sales",Headcount!$H$6:$H$89,"&gt;="&amp;Sales!AV$3)/12)), ((SUMIFS(Headcount!$Q$6:$Q$89,Headcount!$F$6:$F$89,"Sales",Headcount!$H$6:$H$89,"&gt;="&amp;Sales!AV$3)/12))
),"New Year"))))),SUMIF('Dept. Cost Actuals'!$E$7:$E$176,"*salary*",'Dept. Cost Actuals'!AZ$7:AZ$176))</f>
        <v>110500.00166666666</v>
      </c>
      <c r="AW12" s="1284">
        <f>IF(AW$4="forecast",IF(YEAR(AW$3)=YEAR(Headcount!$N$4),((SUMIFS(Headcount!$N$6:$N$89,Headcount!$F$6:$F$89,"Sales",Headcount!$H$6:$H$89,"&gt;="&amp;Sales!AW$3)/12)),IF(YEAR(AW$3)=YEAR(Headcount!$O$4),IF((AW$5=2),((SUMIFS(Headcount!$O$6:$O$89,Headcount!$F$6:$F$89,"Sales",Headcount!$H$6:$H$89,"&gt;="&amp;Sales!AW$3)/12)), ((SUMIFS(Headcount!$N$6:$N$89,Headcount!$F$6:$F$89,"Sales",Headcount!$H$6:$H$89,"&gt;="&amp;Sales!AW$3)/12))),IF(YEAR(AW$3)=YEAR(Headcount!$P$4),IF((AW$5=2),((SUMIFS(Headcount!$P$6:$P$89,Headcount!$F$6:$F$89,"Sales",Headcount!$H$6:$H$89,"&gt;="&amp;Sales!AW$3)/12)), ((SUMIFS(Headcount!$O$6:$O$89,Headcount!$F$6:$F$89,"Sales",Headcount!$H$6:$H$89,"&gt;="&amp;Sales!AW$3)/12))
),IF(YEAR(AW$3)=YEAR(Headcount!$Q$4),IF((AW$5=2),((SUMIFS(Headcount!$Q$6:$Q$89,Headcount!$F$6:$F$89,"Sales",Headcount!$H$6:$H$89,"&gt;="&amp;Sales!AW$3)/12)), ((SUMIFS(Headcount!$P$6:$P$89,Headcount!$F$6:$F$89,"Sales",Headcount!$H$6:$H$89,"&gt;="&amp;Sales!AW$3)/12))
),IF(YEAR(AW$3)=YEAR(Headcount!$R$4),IF((AW$5=2),((SUMIFS(Headcount!$R$6:$R$89,Headcount!$F$6:$F$89,"Sales",Headcount!$H$6:$H$89,"&gt;="&amp;Sales!AW$3)/12)), ((SUMIFS(Headcount!$Q$6:$Q$89,Headcount!$F$6:$F$89,"Sales",Headcount!$H$6:$H$89,"&gt;="&amp;Sales!AW$3)/12))
),"New Year"))))),SUMIF('Dept. Cost Actuals'!$E$7:$E$176,"*salary*",'Dept. Cost Actuals'!BA$7:BA$176))</f>
        <v>110500.00166666666</v>
      </c>
      <c r="AX12" s="1284">
        <f>IF(AX$4="forecast",IF(YEAR(AX$3)=YEAR(Headcount!$N$4),((SUMIFS(Headcount!$N$6:$N$89,Headcount!$F$6:$F$89,"Sales",Headcount!$H$6:$H$89,"&gt;="&amp;Sales!AX$3)/12)),IF(YEAR(AX$3)=YEAR(Headcount!$O$4),IF((AX$5=2),((SUMIFS(Headcount!$O$6:$O$89,Headcount!$F$6:$F$89,"Sales",Headcount!$H$6:$H$89,"&gt;="&amp;Sales!AX$3)/12)), ((SUMIFS(Headcount!$N$6:$N$89,Headcount!$F$6:$F$89,"Sales",Headcount!$H$6:$H$89,"&gt;="&amp;Sales!AX$3)/12))),IF(YEAR(AX$3)=YEAR(Headcount!$P$4),IF((AX$5=2),((SUMIFS(Headcount!$P$6:$P$89,Headcount!$F$6:$F$89,"Sales",Headcount!$H$6:$H$89,"&gt;="&amp;Sales!AX$3)/12)), ((SUMIFS(Headcount!$O$6:$O$89,Headcount!$F$6:$F$89,"Sales",Headcount!$H$6:$H$89,"&gt;="&amp;Sales!AX$3)/12))
),IF(YEAR(AX$3)=YEAR(Headcount!$Q$4),IF((AX$5=2),((SUMIFS(Headcount!$Q$6:$Q$89,Headcount!$F$6:$F$89,"Sales",Headcount!$H$6:$H$89,"&gt;="&amp;Sales!AX$3)/12)), ((SUMIFS(Headcount!$P$6:$P$89,Headcount!$F$6:$F$89,"Sales",Headcount!$H$6:$H$89,"&gt;="&amp;Sales!AX$3)/12))
),IF(YEAR(AX$3)=YEAR(Headcount!$R$4),IF((AX$5=2),((SUMIFS(Headcount!$R$6:$R$89,Headcount!$F$6:$F$89,"Sales",Headcount!$H$6:$H$89,"&gt;="&amp;Sales!AX$3)/12)), ((SUMIFS(Headcount!$Q$6:$Q$89,Headcount!$F$6:$F$89,"Sales",Headcount!$H$6:$H$89,"&gt;="&amp;Sales!AX$3)/12))
),"New Year"))))),SUMIF('Dept. Cost Actuals'!$E$7:$E$176,"*salary*",'Dept. Cost Actuals'!BB$7:BB$176))</f>
        <v>110500.00166666666</v>
      </c>
      <c r="AY12" s="1284">
        <f>IF(AY$4="forecast",IF(YEAR(AY$3)=YEAR(Headcount!$N$4),((SUMIFS(Headcount!$N$6:$N$89,Headcount!$F$6:$F$89,"Sales",Headcount!$H$6:$H$89,"&gt;="&amp;Sales!AY$3)/12)),IF(YEAR(AY$3)=YEAR(Headcount!$O$4),IF((AY$5=2),((SUMIFS(Headcount!$O$6:$O$89,Headcount!$F$6:$F$89,"Sales",Headcount!$H$6:$H$89,"&gt;="&amp;Sales!AY$3)/12)), ((SUMIFS(Headcount!$N$6:$N$89,Headcount!$F$6:$F$89,"Sales",Headcount!$H$6:$H$89,"&gt;="&amp;Sales!AY$3)/12))),IF(YEAR(AY$3)=YEAR(Headcount!$P$4),IF((AY$5=2),((SUMIFS(Headcount!$P$6:$P$89,Headcount!$F$6:$F$89,"Sales",Headcount!$H$6:$H$89,"&gt;="&amp;Sales!AY$3)/12)), ((SUMIFS(Headcount!$O$6:$O$89,Headcount!$F$6:$F$89,"Sales",Headcount!$H$6:$H$89,"&gt;="&amp;Sales!AY$3)/12))
),IF(YEAR(AY$3)=YEAR(Headcount!$Q$4),IF((AY$5=2),((SUMIFS(Headcount!$Q$6:$Q$89,Headcount!$F$6:$F$89,"Sales",Headcount!$H$6:$H$89,"&gt;="&amp;Sales!AY$3)/12)), ((SUMIFS(Headcount!$P$6:$P$89,Headcount!$F$6:$F$89,"Sales",Headcount!$H$6:$H$89,"&gt;="&amp;Sales!AY$3)/12))
),IF(YEAR(AY$3)=YEAR(Headcount!$R$4),IF((AY$5=2),((SUMIFS(Headcount!$R$6:$R$89,Headcount!$F$6:$F$89,"Sales",Headcount!$H$6:$H$89,"&gt;="&amp;Sales!AY$3)/12)), ((SUMIFS(Headcount!$Q$6:$Q$89,Headcount!$F$6:$F$89,"Sales",Headcount!$H$6:$H$89,"&gt;="&amp;Sales!AY$3)/12))
),"New Year"))))),SUMIF('Dept. Cost Actuals'!$E$7:$E$176,"*salary*",'Dept. Cost Actuals'!BC$7:BC$176))</f>
        <v>113815.00171666667</v>
      </c>
      <c r="AZ12" s="1284">
        <f>IF(AZ$4="forecast",IF(YEAR(AZ$3)=YEAR(Headcount!$N$4),((SUMIFS(Headcount!$N$6:$N$89,Headcount!$F$6:$F$89,"Sales",Headcount!$H$6:$H$89,"&gt;="&amp;Sales!AZ$3)/12)),IF(YEAR(AZ$3)=YEAR(Headcount!$O$4),IF((AZ$5=2),((SUMIFS(Headcount!$O$6:$O$89,Headcount!$F$6:$F$89,"Sales",Headcount!$H$6:$H$89,"&gt;="&amp;Sales!AZ$3)/12)), ((SUMIFS(Headcount!$N$6:$N$89,Headcount!$F$6:$F$89,"Sales",Headcount!$H$6:$H$89,"&gt;="&amp;Sales!AZ$3)/12))),IF(YEAR(AZ$3)=YEAR(Headcount!$P$4),IF((AZ$5=2),((SUMIFS(Headcount!$P$6:$P$89,Headcount!$F$6:$F$89,"Sales",Headcount!$H$6:$H$89,"&gt;="&amp;Sales!AZ$3)/12)), ((SUMIFS(Headcount!$O$6:$O$89,Headcount!$F$6:$F$89,"Sales",Headcount!$H$6:$H$89,"&gt;="&amp;Sales!AZ$3)/12))
),IF(YEAR(AZ$3)=YEAR(Headcount!$Q$4),IF((AZ$5=2),((SUMIFS(Headcount!$Q$6:$Q$89,Headcount!$F$6:$F$89,"Sales",Headcount!$H$6:$H$89,"&gt;="&amp;Sales!AZ$3)/12)), ((SUMIFS(Headcount!$P$6:$P$89,Headcount!$F$6:$F$89,"Sales",Headcount!$H$6:$H$89,"&gt;="&amp;Sales!AZ$3)/12))
),IF(YEAR(AZ$3)=YEAR(Headcount!$R$4),IF((AZ$5=2),((SUMIFS(Headcount!$R$6:$R$89,Headcount!$F$6:$F$89,"Sales",Headcount!$H$6:$H$89,"&gt;="&amp;Sales!AZ$3)/12)), ((SUMIFS(Headcount!$Q$6:$Q$89,Headcount!$F$6:$F$89,"Sales",Headcount!$H$6:$H$89,"&gt;="&amp;Sales!AZ$3)/12))
),"New Year"))))),SUMIF('Dept. Cost Actuals'!$E$7:$E$176,"*salary*",'Dept. Cost Actuals'!BD$7:BD$176))</f>
        <v>117229.45176816666</v>
      </c>
      <c r="BA12" s="1284">
        <f>IF(BA$4="forecast",IF(YEAR(BA$3)=YEAR(Headcount!$N$4),((SUMIFS(Headcount!$N$6:$N$89,Headcount!$F$6:$F$89,"Sales",Headcount!$H$6:$H$89,"&gt;="&amp;Sales!BA$3)/12)),IF(YEAR(BA$3)=YEAR(Headcount!$O$4),IF((BA$5=2),((SUMIFS(Headcount!$O$6:$O$89,Headcount!$F$6:$F$89,"Sales",Headcount!$H$6:$H$89,"&gt;="&amp;Sales!BA$3)/12)), ((SUMIFS(Headcount!$N$6:$N$89,Headcount!$F$6:$F$89,"Sales",Headcount!$H$6:$H$89,"&gt;="&amp;Sales!BA$3)/12))),IF(YEAR(BA$3)=YEAR(Headcount!$P$4),IF((BA$5=2),((SUMIFS(Headcount!$P$6:$P$89,Headcount!$F$6:$F$89,"Sales",Headcount!$H$6:$H$89,"&gt;="&amp;Sales!BA$3)/12)), ((SUMIFS(Headcount!$O$6:$O$89,Headcount!$F$6:$F$89,"Sales",Headcount!$H$6:$H$89,"&gt;="&amp;Sales!BA$3)/12))
),IF(YEAR(BA$3)=YEAR(Headcount!$Q$4),IF((BA$5=2),((SUMIFS(Headcount!$Q$6:$Q$89,Headcount!$F$6:$F$89,"Sales",Headcount!$H$6:$H$89,"&gt;="&amp;Sales!BA$3)/12)), ((SUMIFS(Headcount!$P$6:$P$89,Headcount!$F$6:$F$89,"Sales",Headcount!$H$6:$H$89,"&gt;="&amp;Sales!BA$3)/12))
),IF(YEAR(BA$3)=YEAR(Headcount!$R$4),IF((BA$5=2),((SUMIFS(Headcount!$R$6:$R$89,Headcount!$F$6:$F$89,"Sales",Headcount!$H$6:$H$89,"&gt;="&amp;Sales!BA$3)/12)), ((SUMIFS(Headcount!$Q$6:$Q$89,Headcount!$F$6:$F$89,"Sales",Headcount!$H$6:$H$89,"&gt;="&amp;Sales!BA$3)/12))
),"New Year"))))),SUMIF('Dept. Cost Actuals'!$E$7:$E$176,"*salary*",'Dept. Cost Actuals'!BE$7:BE$176))</f>
        <v>113815.00171666667</v>
      </c>
      <c r="BB12" s="1284">
        <f>IF(BB$4="forecast",IF(YEAR(BB$3)=YEAR(Headcount!$N$4),((SUMIFS(Headcount!$N$6:$N$89,Headcount!$F$6:$F$89,"Sales",Headcount!$H$6:$H$89,"&gt;="&amp;Sales!BB$3)/12)),IF(YEAR(BB$3)=YEAR(Headcount!$O$4),IF((BB$5=2),((SUMIFS(Headcount!$O$6:$O$89,Headcount!$F$6:$F$89,"Sales",Headcount!$H$6:$H$89,"&gt;="&amp;Sales!BB$3)/12)), ((SUMIFS(Headcount!$N$6:$N$89,Headcount!$F$6:$F$89,"Sales",Headcount!$H$6:$H$89,"&gt;="&amp;Sales!BB$3)/12))),IF(YEAR(BB$3)=YEAR(Headcount!$P$4),IF((BB$5=2),((SUMIFS(Headcount!$P$6:$P$89,Headcount!$F$6:$F$89,"Sales",Headcount!$H$6:$H$89,"&gt;="&amp;Sales!BB$3)/12)), ((SUMIFS(Headcount!$O$6:$O$89,Headcount!$F$6:$F$89,"Sales",Headcount!$H$6:$H$89,"&gt;="&amp;Sales!BB$3)/12))
),IF(YEAR(BB$3)=YEAR(Headcount!$Q$4),IF((BB$5=2),((SUMIFS(Headcount!$Q$6:$Q$89,Headcount!$F$6:$F$89,"Sales",Headcount!$H$6:$H$89,"&gt;="&amp;Sales!BB$3)/12)), ((SUMIFS(Headcount!$P$6:$P$89,Headcount!$F$6:$F$89,"Sales",Headcount!$H$6:$H$89,"&gt;="&amp;Sales!BB$3)/12))
),IF(YEAR(BB$3)=YEAR(Headcount!$R$4),IF((BB$5=2),((SUMIFS(Headcount!$R$6:$R$89,Headcount!$F$6:$F$89,"Sales",Headcount!$H$6:$H$89,"&gt;="&amp;Sales!BB$3)/12)), ((SUMIFS(Headcount!$Q$6:$Q$89,Headcount!$F$6:$F$89,"Sales",Headcount!$H$6:$H$89,"&gt;="&amp;Sales!BB$3)/12))
),"New Year"))))),SUMIF('Dept. Cost Actuals'!$E$7:$E$176,"*salary*",'Dept. Cost Actuals'!BF$7:BF$176))</f>
        <v>113815.00171666667</v>
      </c>
      <c r="BC12" s="1284">
        <f>IF(BC$4="forecast",IF(YEAR(BC$3)=YEAR(Headcount!$N$4),((SUMIFS(Headcount!$N$6:$N$89,Headcount!$F$6:$F$89,"Sales",Headcount!$H$6:$H$89,"&gt;="&amp;Sales!BC$3)/12)),IF(YEAR(BC$3)=YEAR(Headcount!$O$4),IF((BC$5=2),((SUMIFS(Headcount!$O$6:$O$89,Headcount!$F$6:$F$89,"Sales",Headcount!$H$6:$H$89,"&gt;="&amp;Sales!BC$3)/12)), ((SUMIFS(Headcount!$N$6:$N$89,Headcount!$F$6:$F$89,"Sales",Headcount!$H$6:$H$89,"&gt;="&amp;Sales!BC$3)/12))),IF(YEAR(BC$3)=YEAR(Headcount!$P$4),IF((BC$5=2),((SUMIFS(Headcount!$P$6:$P$89,Headcount!$F$6:$F$89,"Sales",Headcount!$H$6:$H$89,"&gt;="&amp;Sales!BC$3)/12)), ((SUMIFS(Headcount!$O$6:$O$89,Headcount!$F$6:$F$89,"Sales",Headcount!$H$6:$H$89,"&gt;="&amp;Sales!BC$3)/12))
),IF(YEAR(BC$3)=YEAR(Headcount!$Q$4),IF((BC$5=2),((SUMIFS(Headcount!$Q$6:$Q$89,Headcount!$F$6:$F$89,"Sales",Headcount!$H$6:$H$89,"&gt;="&amp;Sales!BC$3)/12)), ((SUMIFS(Headcount!$P$6:$P$89,Headcount!$F$6:$F$89,"Sales",Headcount!$H$6:$H$89,"&gt;="&amp;Sales!BC$3)/12))
),IF(YEAR(BC$3)=YEAR(Headcount!$R$4),IF((BC$5=2),((SUMIFS(Headcount!$R$6:$R$89,Headcount!$F$6:$F$89,"Sales",Headcount!$H$6:$H$89,"&gt;="&amp;Sales!BC$3)/12)), ((SUMIFS(Headcount!$Q$6:$Q$89,Headcount!$F$6:$F$89,"Sales",Headcount!$H$6:$H$89,"&gt;="&amp;Sales!BC$3)/12))
),"New Year"))))),SUMIF('Dept. Cost Actuals'!$E$7:$E$176,"*salary*",'Dept. Cost Actuals'!BG$7:BG$176))</f>
        <v>113815.00171666667</v>
      </c>
      <c r="BD12" s="1284">
        <f>IF(BD$4="forecast",IF(YEAR(BD$3)=YEAR(Headcount!$N$4),((SUMIFS(Headcount!$N$6:$N$89,Headcount!$F$6:$F$89,"Sales",Headcount!$H$6:$H$89,"&gt;="&amp;Sales!BD$3)/12)),IF(YEAR(BD$3)=YEAR(Headcount!$O$4),IF((BD$5=2),((SUMIFS(Headcount!$O$6:$O$89,Headcount!$F$6:$F$89,"Sales",Headcount!$H$6:$H$89,"&gt;="&amp;Sales!BD$3)/12)), ((SUMIFS(Headcount!$N$6:$N$89,Headcount!$F$6:$F$89,"Sales",Headcount!$H$6:$H$89,"&gt;="&amp;Sales!BD$3)/12))),IF(YEAR(BD$3)=YEAR(Headcount!$P$4),IF((BD$5=2),((SUMIFS(Headcount!$P$6:$P$89,Headcount!$F$6:$F$89,"Sales",Headcount!$H$6:$H$89,"&gt;="&amp;Sales!BD$3)/12)), ((SUMIFS(Headcount!$O$6:$O$89,Headcount!$F$6:$F$89,"Sales",Headcount!$H$6:$H$89,"&gt;="&amp;Sales!BD$3)/12))
),IF(YEAR(BD$3)=YEAR(Headcount!$Q$4),IF((BD$5=2),((SUMIFS(Headcount!$Q$6:$Q$89,Headcount!$F$6:$F$89,"Sales",Headcount!$H$6:$H$89,"&gt;="&amp;Sales!BD$3)/12)), ((SUMIFS(Headcount!$P$6:$P$89,Headcount!$F$6:$F$89,"Sales",Headcount!$H$6:$H$89,"&gt;="&amp;Sales!BD$3)/12))
),IF(YEAR(BD$3)=YEAR(Headcount!$R$4),IF((BD$5=2),((SUMIFS(Headcount!$R$6:$R$89,Headcount!$F$6:$F$89,"Sales",Headcount!$H$6:$H$89,"&gt;="&amp;Sales!BD$3)/12)), ((SUMIFS(Headcount!$Q$6:$Q$89,Headcount!$F$6:$F$89,"Sales",Headcount!$H$6:$H$89,"&gt;="&amp;Sales!BD$3)/12))
),"New Year"))))),SUMIF('Dept. Cost Actuals'!$E$7:$E$176,"*salary*",'Dept. Cost Actuals'!BH$7:BH$176))</f>
        <v>113815.00171666667</v>
      </c>
      <c r="BE12" s="1284">
        <f>IF(BE$4="forecast",IF(YEAR(BE$3)=YEAR(Headcount!$N$4),((SUMIFS(Headcount!$N$6:$N$89,Headcount!$F$6:$F$89,"Sales",Headcount!$H$6:$H$89,"&gt;="&amp;Sales!BE$3)/12)),IF(YEAR(BE$3)=YEAR(Headcount!$O$4),IF((BE$5=2),((SUMIFS(Headcount!$O$6:$O$89,Headcount!$F$6:$F$89,"Sales",Headcount!$H$6:$H$89,"&gt;="&amp;Sales!BE$3)/12)), ((SUMIFS(Headcount!$N$6:$N$89,Headcount!$F$6:$F$89,"Sales",Headcount!$H$6:$H$89,"&gt;="&amp;Sales!BE$3)/12))),IF(YEAR(BE$3)=YEAR(Headcount!$P$4),IF((BE$5=2),((SUMIFS(Headcount!$P$6:$P$89,Headcount!$F$6:$F$89,"Sales",Headcount!$H$6:$H$89,"&gt;="&amp;Sales!BE$3)/12)), ((SUMIFS(Headcount!$O$6:$O$89,Headcount!$F$6:$F$89,"Sales",Headcount!$H$6:$H$89,"&gt;="&amp;Sales!BE$3)/12))
),IF(YEAR(BE$3)=YEAR(Headcount!$Q$4),IF((BE$5=2),((SUMIFS(Headcount!$Q$6:$Q$89,Headcount!$F$6:$F$89,"Sales",Headcount!$H$6:$H$89,"&gt;="&amp;Sales!BE$3)/12)), ((SUMIFS(Headcount!$P$6:$P$89,Headcount!$F$6:$F$89,"Sales",Headcount!$H$6:$H$89,"&gt;="&amp;Sales!BE$3)/12))
),IF(YEAR(BE$3)=YEAR(Headcount!$R$4),IF((BE$5=2),((SUMIFS(Headcount!$R$6:$R$89,Headcount!$F$6:$F$89,"Sales",Headcount!$H$6:$H$89,"&gt;="&amp;Sales!BE$3)/12)), ((SUMIFS(Headcount!$Q$6:$Q$89,Headcount!$F$6:$F$89,"Sales",Headcount!$H$6:$H$89,"&gt;="&amp;Sales!BE$3)/12))
),"New Year"))))),SUMIF('Dept. Cost Actuals'!$E$7:$E$176,"*salary*",'Dept. Cost Actuals'!BI$7:BI$176))</f>
        <v>113815.00171666667</v>
      </c>
      <c r="BF12" s="1284">
        <f>IF(BF$4="forecast",IF(YEAR(BF$3)=YEAR(Headcount!$N$4),((SUMIFS(Headcount!$N$6:$N$89,Headcount!$F$6:$F$89,"Sales",Headcount!$H$6:$H$89,"&gt;="&amp;Sales!BF$3)/12)),IF(YEAR(BF$3)=YEAR(Headcount!$O$4),IF((BF$5=2),((SUMIFS(Headcount!$O$6:$O$89,Headcount!$F$6:$F$89,"Sales",Headcount!$H$6:$H$89,"&gt;="&amp;Sales!BF$3)/12)), ((SUMIFS(Headcount!$N$6:$N$89,Headcount!$F$6:$F$89,"Sales",Headcount!$H$6:$H$89,"&gt;="&amp;Sales!BF$3)/12))),IF(YEAR(BF$3)=YEAR(Headcount!$P$4),IF((BF$5=2),((SUMIFS(Headcount!$P$6:$P$89,Headcount!$F$6:$F$89,"Sales",Headcount!$H$6:$H$89,"&gt;="&amp;Sales!BF$3)/12)), ((SUMIFS(Headcount!$O$6:$O$89,Headcount!$F$6:$F$89,"Sales",Headcount!$H$6:$H$89,"&gt;="&amp;Sales!BF$3)/12))
),IF(YEAR(BF$3)=YEAR(Headcount!$Q$4),IF((BF$5=2),((SUMIFS(Headcount!$Q$6:$Q$89,Headcount!$F$6:$F$89,"Sales",Headcount!$H$6:$H$89,"&gt;="&amp;Sales!BF$3)/12)), ((SUMIFS(Headcount!$P$6:$P$89,Headcount!$F$6:$F$89,"Sales",Headcount!$H$6:$H$89,"&gt;="&amp;Sales!BF$3)/12))
),IF(YEAR(BF$3)=YEAR(Headcount!$R$4),IF((BF$5=2),((SUMIFS(Headcount!$R$6:$R$89,Headcount!$F$6:$F$89,"Sales",Headcount!$H$6:$H$89,"&gt;="&amp;Sales!BF$3)/12)), ((SUMIFS(Headcount!$Q$6:$Q$89,Headcount!$F$6:$F$89,"Sales",Headcount!$H$6:$H$89,"&gt;="&amp;Sales!BF$3)/12))
),"New Year"))))),SUMIF('Dept. Cost Actuals'!$E$7:$E$176,"*salary*",'Dept. Cost Actuals'!BJ$7:BJ$176))</f>
        <v>113815.00171666667</v>
      </c>
      <c r="BG12" s="1284">
        <f>IF(BG$4="forecast",IF(YEAR(BG$3)=YEAR(Headcount!$N$4),((SUMIFS(Headcount!$N$6:$N$89,Headcount!$F$6:$F$89,"Sales",Headcount!$H$6:$H$89,"&gt;="&amp;Sales!BG$3)/12)),IF(YEAR(BG$3)=YEAR(Headcount!$O$4),IF((BG$5=2),((SUMIFS(Headcount!$O$6:$O$89,Headcount!$F$6:$F$89,"Sales",Headcount!$H$6:$H$89,"&gt;="&amp;Sales!BG$3)/12)), ((SUMIFS(Headcount!$N$6:$N$89,Headcount!$F$6:$F$89,"Sales",Headcount!$H$6:$H$89,"&gt;="&amp;Sales!BG$3)/12))),IF(YEAR(BG$3)=YEAR(Headcount!$P$4),IF((BG$5=2),((SUMIFS(Headcount!$P$6:$P$89,Headcount!$F$6:$F$89,"Sales",Headcount!$H$6:$H$89,"&gt;="&amp;Sales!BG$3)/12)), ((SUMIFS(Headcount!$O$6:$O$89,Headcount!$F$6:$F$89,"Sales",Headcount!$H$6:$H$89,"&gt;="&amp;Sales!BG$3)/12))
),IF(YEAR(BG$3)=YEAR(Headcount!$Q$4),IF((BG$5=2),((SUMIFS(Headcount!$Q$6:$Q$89,Headcount!$F$6:$F$89,"Sales",Headcount!$H$6:$H$89,"&gt;="&amp;Sales!BG$3)/12)), ((SUMIFS(Headcount!$P$6:$P$89,Headcount!$F$6:$F$89,"Sales",Headcount!$H$6:$H$89,"&gt;="&amp;Sales!BG$3)/12))
),IF(YEAR(BG$3)=YEAR(Headcount!$R$4),IF((BG$5=2),((SUMIFS(Headcount!$R$6:$R$89,Headcount!$F$6:$F$89,"Sales",Headcount!$H$6:$H$89,"&gt;="&amp;Sales!BG$3)/12)), ((SUMIFS(Headcount!$Q$6:$Q$89,Headcount!$F$6:$F$89,"Sales",Headcount!$H$6:$H$89,"&gt;="&amp;Sales!BG$3)/12))
),"New Year"))))),SUMIF('Dept. Cost Actuals'!$E$7:$E$176,"*salary*",'Dept. Cost Actuals'!BK$7:BK$176))</f>
        <v>113815.00171666667</v>
      </c>
      <c r="BH12" s="1284">
        <f>IF(BH$4="forecast",IF(YEAR(BH$3)=YEAR(Headcount!$N$4),((SUMIFS(Headcount!$N$6:$N$89,Headcount!$F$6:$F$89,"Sales",Headcount!$H$6:$H$89,"&gt;="&amp;Sales!BH$3)/12)),IF(YEAR(BH$3)=YEAR(Headcount!$O$4),IF((BH$5=2),((SUMIFS(Headcount!$O$6:$O$89,Headcount!$F$6:$F$89,"Sales",Headcount!$H$6:$H$89,"&gt;="&amp;Sales!BH$3)/12)), ((SUMIFS(Headcount!$N$6:$N$89,Headcount!$F$6:$F$89,"Sales",Headcount!$H$6:$H$89,"&gt;="&amp;Sales!BH$3)/12))),IF(YEAR(BH$3)=YEAR(Headcount!$P$4),IF((BH$5=2),((SUMIFS(Headcount!$P$6:$P$89,Headcount!$F$6:$F$89,"Sales",Headcount!$H$6:$H$89,"&gt;="&amp;Sales!BH$3)/12)), ((SUMIFS(Headcount!$O$6:$O$89,Headcount!$F$6:$F$89,"Sales",Headcount!$H$6:$H$89,"&gt;="&amp;Sales!BH$3)/12))
),IF(YEAR(BH$3)=YEAR(Headcount!$Q$4),IF((BH$5=2),((SUMIFS(Headcount!$Q$6:$Q$89,Headcount!$F$6:$F$89,"Sales",Headcount!$H$6:$H$89,"&gt;="&amp;Sales!BH$3)/12)), ((SUMIFS(Headcount!$P$6:$P$89,Headcount!$F$6:$F$89,"Sales",Headcount!$H$6:$H$89,"&gt;="&amp;Sales!BH$3)/12))
),IF(YEAR(BH$3)=YEAR(Headcount!$R$4),IF((BH$5=2),((SUMIFS(Headcount!$R$6:$R$89,Headcount!$F$6:$F$89,"Sales",Headcount!$H$6:$H$89,"&gt;="&amp;Sales!BH$3)/12)), ((SUMIFS(Headcount!$Q$6:$Q$89,Headcount!$F$6:$F$89,"Sales",Headcount!$H$6:$H$89,"&gt;="&amp;Sales!BH$3)/12))
),"New Year"))))),SUMIF('Dept. Cost Actuals'!$E$7:$E$176,"*salary*",'Dept. Cost Actuals'!BL$7:BL$176))</f>
        <v>113815.00171666667</v>
      </c>
      <c r="BI12" s="1284">
        <f>IF(BI$4="forecast",IF(YEAR(BI$3)=YEAR(Headcount!$N$4),((SUMIFS(Headcount!$N$6:$N$89,Headcount!$F$6:$F$89,"Sales",Headcount!$H$6:$H$89,"&gt;="&amp;Sales!BI$3)/12)),IF(YEAR(BI$3)=YEAR(Headcount!$O$4),IF((BI$5=2),((SUMIFS(Headcount!$O$6:$O$89,Headcount!$F$6:$F$89,"Sales",Headcount!$H$6:$H$89,"&gt;="&amp;Sales!BI$3)/12)), ((SUMIFS(Headcount!$N$6:$N$89,Headcount!$F$6:$F$89,"Sales",Headcount!$H$6:$H$89,"&gt;="&amp;Sales!BI$3)/12))),IF(YEAR(BI$3)=YEAR(Headcount!$P$4),IF((BI$5=2),((SUMIFS(Headcount!$P$6:$P$89,Headcount!$F$6:$F$89,"Sales",Headcount!$H$6:$H$89,"&gt;="&amp;Sales!BI$3)/12)), ((SUMIFS(Headcount!$O$6:$O$89,Headcount!$F$6:$F$89,"Sales",Headcount!$H$6:$H$89,"&gt;="&amp;Sales!BI$3)/12))
),IF(YEAR(BI$3)=YEAR(Headcount!$Q$4),IF((BI$5=2),((SUMIFS(Headcount!$Q$6:$Q$89,Headcount!$F$6:$F$89,"Sales",Headcount!$H$6:$H$89,"&gt;="&amp;Sales!BI$3)/12)), ((SUMIFS(Headcount!$P$6:$P$89,Headcount!$F$6:$F$89,"Sales",Headcount!$H$6:$H$89,"&gt;="&amp;Sales!BI$3)/12))
),IF(YEAR(BI$3)=YEAR(Headcount!$R$4),IF((BI$5=2),((SUMIFS(Headcount!$R$6:$R$89,Headcount!$F$6:$F$89,"Sales",Headcount!$H$6:$H$89,"&gt;="&amp;Sales!BI$3)/12)), ((SUMIFS(Headcount!$Q$6:$Q$89,Headcount!$F$6:$F$89,"Sales",Headcount!$H$6:$H$89,"&gt;="&amp;Sales!BI$3)/12))
),"New Year"))))),SUMIF('Dept. Cost Actuals'!$E$7:$E$176,"*salary*",'Dept. Cost Actuals'!BM$7:BM$176))</f>
        <v>113815.00171666667</v>
      </c>
      <c r="BJ12" s="1284">
        <f>IF(BJ$4="forecast",IF(YEAR(BJ$3)=YEAR(Headcount!$N$4),((SUMIFS(Headcount!$N$6:$N$89,Headcount!$F$6:$F$89,"Sales",Headcount!$H$6:$H$89,"&gt;="&amp;Sales!BJ$3)/12)),IF(YEAR(BJ$3)=YEAR(Headcount!$O$4),IF((BJ$5=2),((SUMIFS(Headcount!$O$6:$O$89,Headcount!$F$6:$F$89,"Sales",Headcount!$H$6:$H$89,"&gt;="&amp;Sales!BJ$3)/12)), ((SUMIFS(Headcount!$N$6:$N$89,Headcount!$F$6:$F$89,"Sales",Headcount!$H$6:$H$89,"&gt;="&amp;Sales!BJ$3)/12))),IF(YEAR(BJ$3)=YEAR(Headcount!$P$4),IF((BJ$5=2),((SUMIFS(Headcount!$P$6:$P$89,Headcount!$F$6:$F$89,"Sales",Headcount!$H$6:$H$89,"&gt;="&amp;Sales!BJ$3)/12)), ((SUMIFS(Headcount!$O$6:$O$89,Headcount!$F$6:$F$89,"Sales",Headcount!$H$6:$H$89,"&gt;="&amp;Sales!BJ$3)/12))
),IF(YEAR(BJ$3)=YEAR(Headcount!$Q$4),IF((BJ$5=2),((SUMIFS(Headcount!$Q$6:$Q$89,Headcount!$F$6:$F$89,"Sales",Headcount!$H$6:$H$89,"&gt;="&amp;Sales!BJ$3)/12)), ((SUMIFS(Headcount!$P$6:$P$89,Headcount!$F$6:$F$89,"Sales",Headcount!$H$6:$H$89,"&gt;="&amp;Sales!BJ$3)/12))
),IF(YEAR(BJ$3)=YEAR(Headcount!$R$4),IF((BJ$5=2),((SUMIFS(Headcount!$R$6:$R$89,Headcount!$F$6:$F$89,"Sales",Headcount!$H$6:$H$89,"&gt;="&amp;Sales!BJ$3)/12)), ((SUMIFS(Headcount!$Q$6:$Q$89,Headcount!$F$6:$F$89,"Sales",Headcount!$H$6:$H$89,"&gt;="&amp;Sales!BJ$3)/12))
),"New Year"))))),SUMIF('Dept. Cost Actuals'!$E$7:$E$176,"*salary*",'Dept. Cost Actuals'!BN$7:BN$176))</f>
        <v>113815.00171666667</v>
      </c>
      <c r="BK12" s="1284">
        <f>IF(BK$4="forecast",IF(YEAR(BK$3)=YEAR(Headcount!$N$4),((SUMIFS(Headcount!$N$6:$N$89,Headcount!$F$6:$F$89,"Sales",Headcount!$H$6:$H$89,"&gt;="&amp;Sales!BK$3)/12)),IF(YEAR(BK$3)=YEAR(Headcount!$O$4),IF((BK$5=2),((SUMIFS(Headcount!$O$6:$O$89,Headcount!$F$6:$F$89,"Sales",Headcount!$H$6:$H$89,"&gt;="&amp;Sales!BK$3)/12)), ((SUMIFS(Headcount!$N$6:$N$89,Headcount!$F$6:$F$89,"Sales",Headcount!$H$6:$H$89,"&gt;="&amp;Sales!BK$3)/12))),IF(YEAR(BK$3)=YEAR(Headcount!$P$4),IF((BK$5=2),((SUMIFS(Headcount!$P$6:$P$89,Headcount!$F$6:$F$89,"Sales",Headcount!$H$6:$H$89,"&gt;="&amp;Sales!BK$3)/12)), ((SUMIFS(Headcount!$O$6:$O$89,Headcount!$F$6:$F$89,"Sales",Headcount!$H$6:$H$89,"&gt;="&amp;Sales!BK$3)/12))
),IF(YEAR(BK$3)=YEAR(Headcount!$Q$4),IF((BK$5=2),((SUMIFS(Headcount!$Q$6:$Q$89,Headcount!$F$6:$F$89,"Sales",Headcount!$H$6:$H$89,"&gt;="&amp;Sales!BK$3)/12)), ((SUMIFS(Headcount!$P$6:$P$89,Headcount!$F$6:$F$89,"Sales",Headcount!$H$6:$H$89,"&gt;="&amp;Sales!BK$3)/12))
),IF(YEAR(BK$3)=YEAR(Headcount!$R$4),IF((BK$5=2),((SUMIFS(Headcount!$R$6:$R$89,Headcount!$F$6:$F$89,"Sales",Headcount!$H$6:$H$89,"&gt;="&amp;Sales!BK$3)/12)), ((SUMIFS(Headcount!$Q$6:$Q$89,Headcount!$F$6:$F$89,"Sales",Headcount!$H$6:$H$89,"&gt;="&amp;Sales!BK$3)/12))
),"New Year"))))),SUMIF('Dept. Cost Actuals'!$E$7:$E$176,"*salary*",'Dept. Cost Actuals'!BO$7:BO$176))</f>
        <v>117229.45176816666</v>
      </c>
      <c r="BL12" s="1284">
        <f>IF(BL$4="forecast",IF(YEAR(BL$3)=YEAR(Headcount!$N$4),((SUMIFS(Headcount!$N$6:$N$89,Headcount!$F$6:$F$89,"Sales",Headcount!$H$6:$H$89,"&gt;="&amp;Sales!BL$3)/12)),IF(YEAR(BL$3)=YEAR(Headcount!$O$4),IF((BL$5=2),((SUMIFS(Headcount!$O$6:$O$89,Headcount!$F$6:$F$89,"Sales",Headcount!$H$6:$H$89,"&gt;="&amp;Sales!BL$3)/12)), ((SUMIFS(Headcount!$N$6:$N$89,Headcount!$F$6:$F$89,"Sales",Headcount!$H$6:$H$89,"&gt;="&amp;Sales!BL$3)/12))),IF(YEAR(BL$3)=YEAR(Headcount!$P$4),IF((BL$5=2),((SUMIFS(Headcount!$P$6:$P$89,Headcount!$F$6:$F$89,"Sales",Headcount!$H$6:$H$89,"&gt;="&amp;Sales!BL$3)/12)), ((SUMIFS(Headcount!$O$6:$O$89,Headcount!$F$6:$F$89,"Sales",Headcount!$H$6:$H$89,"&gt;="&amp;Sales!BL$3)/12))
),IF(YEAR(BL$3)=YEAR(Headcount!$Q$4),IF((BL$5=2),((SUMIFS(Headcount!$Q$6:$Q$89,Headcount!$F$6:$F$89,"Sales",Headcount!$H$6:$H$89,"&gt;="&amp;Sales!BL$3)/12)), ((SUMIFS(Headcount!$P$6:$P$89,Headcount!$F$6:$F$89,"Sales",Headcount!$H$6:$H$89,"&gt;="&amp;Sales!BL$3)/12))
),IF(YEAR(BL$3)=YEAR(Headcount!$R$4),IF((BL$5=2),((SUMIFS(Headcount!$R$6:$R$89,Headcount!$F$6:$F$89,"Sales",Headcount!$H$6:$H$89,"&gt;="&amp;Sales!BL$3)/12)), ((SUMIFS(Headcount!$Q$6:$Q$89,Headcount!$F$6:$F$89,"Sales",Headcount!$H$6:$H$89,"&gt;="&amp;Sales!BL$3)/12))
),"New Year"))))),SUMIF('Dept. Cost Actuals'!$E$7:$E$176,"*salary*",'Dept. Cost Actuals'!BP$7:BP$176))</f>
        <v>120746.33532121171</v>
      </c>
      <c r="BM12" s="1284">
        <f>IF(BM$4="forecast",IF(YEAR(BM$3)=YEAR(Headcount!$N$4),((SUMIFS(Headcount!$N$6:$N$89,Headcount!$F$6:$F$89,"Sales",Headcount!$H$6:$H$89,"&gt;="&amp;Sales!BM$3)/12)),IF(YEAR(BM$3)=YEAR(Headcount!$O$4),IF((BM$5=2),((SUMIFS(Headcount!$O$6:$O$89,Headcount!$F$6:$F$89,"Sales",Headcount!$H$6:$H$89,"&gt;="&amp;Sales!BM$3)/12)), ((SUMIFS(Headcount!$N$6:$N$89,Headcount!$F$6:$F$89,"Sales",Headcount!$H$6:$H$89,"&gt;="&amp;Sales!BM$3)/12))),IF(YEAR(BM$3)=YEAR(Headcount!$P$4),IF((BM$5=2),((SUMIFS(Headcount!$P$6:$P$89,Headcount!$F$6:$F$89,"Sales",Headcount!$H$6:$H$89,"&gt;="&amp;Sales!BM$3)/12)), ((SUMIFS(Headcount!$O$6:$O$89,Headcount!$F$6:$F$89,"Sales",Headcount!$H$6:$H$89,"&gt;="&amp;Sales!BM$3)/12))
),IF(YEAR(BM$3)=YEAR(Headcount!$Q$4),IF((BM$5=2),((SUMIFS(Headcount!$Q$6:$Q$89,Headcount!$F$6:$F$89,"Sales",Headcount!$H$6:$H$89,"&gt;="&amp;Sales!BM$3)/12)), ((SUMIFS(Headcount!$P$6:$P$89,Headcount!$F$6:$F$89,"Sales",Headcount!$H$6:$H$89,"&gt;="&amp;Sales!BM$3)/12))
),IF(YEAR(BM$3)=YEAR(Headcount!$R$4),IF((BM$5=2),((SUMIFS(Headcount!$R$6:$R$89,Headcount!$F$6:$F$89,"Sales",Headcount!$H$6:$H$89,"&gt;="&amp;Sales!BM$3)/12)), ((SUMIFS(Headcount!$Q$6:$Q$89,Headcount!$F$6:$F$89,"Sales",Headcount!$H$6:$H$89,"&gt;="&amp;Sales!BM$3)/12))
),"New Year"))))),SUMIF('Dept. Cost Actuals'!$E$7:$E$176,"*salary*",'Dept. Cost Actuals'!BQ$7:BQ$176))</f>
        <v>117229.45176816666</v>
      </c>
      <c r="BN12" s="1284">
        <f>IF(BN$4="forecast",IF(YEAR(BN$3)=YEAR(Headcount!$N$4),((SUMIFS(Headcount!$N$6:$N$89,Headcount!$F$6:$F$89,"Sales",Headcount!$H$6:$H$89,"&gt;="&amp;Sales!BN$3)/12)),IF(YEAR(BN$3)=YEAR(Headcount!$O$4),IF((BN$5=2),((SUMIFS(Headcount!$O$6:$O$89,Headcount!$F$6:$F$89,"Sales",Headcount!$H$6:$H$89,"&gt;="&amp;Sales!BN$3)/12)), ((SUMIFS(Headcount!$N$6:$N$89,Headcount!$F$6:$F$89,"Sales",Headcount!$H$6:$H$89,"&gt;="&amp;Sales!BN$3)/12))),IF(YEAR(BN$3)=YEAR(Headcount!$P$4),IF((BN$5=2),((SUMIFS(Headcount!$P$6:$P$89,Headcount!$F$6:$F$89,"Sales",Headcount!$H$6:$H$89,"&gt;="&amp;Sales!BN$3)/12)), ((SUMIFS(Headcount!$O$6:$O$89,Headcount!$F$6:$F$89,"Sales",Headcount!$H$6:$H$89,"&gt;="&amp;Sales!BN$3)/12))
),IF(YEAR(BN$3)=YEAR(Headcount!$Q$4),IF((BN$5=2),((SUMIFS(Headcount!$Q$6:$Q$89,Headcount!$F$6:$F$89,"Sales",Headcount!$H$6:$H$89,"&gt;="&amp;Sales!BN$3)/12)), ((SUMIFS(Headcount!$P$6:$P$89,Headcount!$F$6:$F$89,"Sales",Headcount!$H$6:$H$89,"&gt;="&amp;Sales!BN$3)/12))
),IF(YEAR(BN$3)=YEAR(Headcount!$R$4),IF((BN$5=2),((SUMIFS(Headcount!$R$6:$R$89,Headcount!$F$6:$F$89,"Sales",Headcount!$H$6:$H$89,"&gt;="&amp;Sales!BN$3)/12)), ((SUMIFS(Headcount!$Q$6:$Q$89,Headcount!$F$6:$F$89,"Sales",Headcount!$H$6:$H$89,"&gt;="&amp;Sales!BN$3)/12))
),"New Year"))))),SUMIF('Dept. Cost Actuals'!$E$7:$E$176,"*salary*",'Dept. Cost Actuals'!BR$7:BR$176))</f>
        <v>117229.45176816666</v>
      </c>
      <c r="BO12" s="1284">
        <f>IF(BO$4="forecast",IF(YEAR(BO$3)=YEAR(Headcount!$N$4),((SUMIFS(Headcount!$N$6:$N$89,Headcount!$F$6:$F$89,"Sales",Headcount!$H$6:$H$89,"&gt;="&amp;Sales!BO$3)/12)),IF(YEAR(BO$3)=YEAR(Headcount!$O$4),IF((BO$5=2),((SUMIFS(Headcount!$O$6:$O$89,Headcount!$F$6:$F$89,"Sales",Headcount!$H$6:$H$89,"&gt;="&amp;Sales!BO$3)/12)), ((SUMIFS(Headcount!$N$6:$N$89,Headcount!$F$6:$F$89,"Sales",Headcount!$H$6:$H$89,"&gt;="&amp;Sales!BO$3)/12))),IF(YEAR(BO$3)=YEAR(Headcount!$P$4),IF((BO$5=2),((SUMIFS(Headcount!$P$6:$P$89,Headcount!$F$6:$F$89,"Sales",Headcount!$H$6:$H$89,"&gt;="&amp;Sales!BO$3)/12)), ((SUMIFS(Headcount!$O$6:$O$89,Headcount!$F$6:$F$89,"Sales",Headcount!$H$6:$H$89,"&gt;="&amp;Sales!BO$3)/12))
),IF(YEAR(BO$3)=YEAR(Headcount!$Q$4),IF((BO$5=2),((SUMIFS(Headcount!$Q$6:$Q$89,Headcount!$F$6:$F$89,"Sales",Headcount!$H$6:$H$89,"&gt;="&amp;Sales!BO$3)/12)), ((SUMIFS(Headcount!$P$6:$P$89,Headcount!$F$6:$F$89,"Sales",Headcount!$H$6:$H$89,"&gt;="&amp;Sales!BO$3)/12))
),IF(YEAR(BO$3)=YEAR(Headcount!$R$4),IF((BO$5=2),((SUMIFS(Headcount!$R$6:$R$89,Headcount!$F$6:$F$89,"Sales",Headcount!$H$6:$H$89,"&gt;="&amp;Sales!BO$3)/12)), ((SUMIFS(Headcount!$Q$6:$Q$89,Headcount!$F$6:$F$89,"Sales",Headcount!$H$6:$H$89,"&gt;="&amp;Sales!BO$3)/12))
),"New Year"))))),SUMIF('Dept. Cost Actuals'!$E$7:$E$176,"*salary*",'Dept. Cost Actuals'!BS$7:BS$176))</f>
        <v>117229.45176816666</v>
      </c>
      <c r="BP12" s="1284">
        <f>IF(BP$4="forecast",IF(YEAR(BP$3)=YEAR(Headcount!$N$4),((SUMIFS(Headcount!$N$6:$N$89,Headcount!$F$6:$F$89,"Sales",Headcount!$H$6:$H$89,"&gt;="&amp;Sales!BP$3)/12)),IF(YEAR(BP$3)=YEAR(Headcount!$O$4),IF((BP$5=2),((SUMIFS(Headcount!$O$6:$O$89,Headcount!$F$6:$F$89,"Sales",Headcount!$H$6:$H$89,"&gt;="&amp;Sales!BP$3)/12)), ((SUMIFS(Headcount!$N$6:$N$89,Headcount!$F$6:$F$89,"Sales",Headcount!$H$6:$H$89,"&gt;="&amp;Sales!BP$3)/12))),IF(YEAR(BP$3)=YEAR(Headcount!$P$4),IF((BP$5=2),((SUMIFS(Headcount!$P$6:$P$89,Headcount!$F$6:$F$89,"Sales",Headcount!$H$6:$H$89,"&gt;="&amp;Sales!BP$3)/12)), ((SUMIFS(Headcount!$O$6:$O$89,Headcount!$F$6:$F$89,"Sales",Headcount!$H$6:$H$89,"&gt;="&amp;Sales!BP$3)/12))
),IF(YEAR(BP$3)=YEAR(Headcount!$Q$4),IF((BP$5=2),((SUMIFS(Headcount!$Q$6:$Q$89,Headcount!$F$6:$F$89,"Sales",Headcount!$H$6:$H$89,"&gt;="&amp;Sales!BP$3)/12)), ((SUMIFS(Headcount!$P$6:$P$89,Headcount!$F$6:$F$89,"Sales",Headcount!$H$6:$H$89,"&gt;="&amp;Sales!BP$3)/12))
),IF(YEAR(BP$3)=YEAR(Headcount!$R$4),IF((BP$5=2),((SUMIFS(Headcount!$R$6:$R$89,Headcount!$F$6:$F$89,"Sales",Headcount!$H$6:$H$89,"&gt;="&amp;Sales!BP$3)/12)), ((SUMIFS(Headcount!$Q$6:$Q$89,Headcount!$F$6:$F$89,"Sales",Headcount!$H$6:$H$89,"&gt;="&amp;Sales!BP$3)/12))
),"New Year"))))),SUMIF('Dept. Cost Actuals'!$E$7:$E$176,"*salary*",'Dept. Cost Actuals'!BT$7:BT$176))</f>
        <v>117229.45176816666</v>
      </c>
      <c r="BQ12" s="1284">
        <f>IF(BQ$4="forecast",IF(YEAR(BQ$3)=YEAR(Headcount!$N$4),((SUMIFS(Headcount!$N$6:$N$89,Headcount!$F$6:$F$89,"Sales",Headcount!$H$6:$H$89,"&gt;="&amp;Sales!BQ$3)/12)),IF(YEAR(BQ$3)=YEAR(Headcount!$O$4),IF((BQ$5=2),((SUMIFS(Headcount!$O$6:$O$89,Headcount!$F$6:$F$89,"Sales",Headcount!$H$6:$H$89,"&gt;="&amp;Sales!BQ$3)/12)), ((SUMIFS(Headcount!$N$6:$N$89,Headcount!$F$6:$F$89,"Sales",Headcount!$H$6:$H$89,"&gt;="&amp;Sales!BQ$3)/12))),IF(YEAR(BQ$3)=YEAR(Headcount!$P$4),IF((BQ$5=2),((SUMIFS(Headcount!$P$6:$P$89,Headcount!$F$6:$F$89,"Sales",Headcount!$H$6:$H$89,"&gt;="&amp;Sales!BQ$3)/12)), ((SUMIFS(Headcount!$O$6:$O$89,Headcount!$F$6:$F$89,"Sales",Headcount!$H$6:$H$89,"&gt;="&amp;Sales!BQ$3)/12))
),IF(YEAR(BQ$3)=YEAR(Headcount!$Q$4),IF((BQ$5=2),((SUMIFS(Headcount!$Q$6:$Q$89,Headcount!$F$6:$F$89,"Sales",Headcount!$H$6:$H$89,"&gt;="&amp;Sales!BQ$3)/12)), ((SUMIFS(Headcount!$P$6:$P$89,Headcount!$F$6:$F$89,"Sales",Headcount!$H$6:$H$89,"&gt;="&amp;Sales!BQ$3)/12))
),IF(YEAR(BQ$3)=YEAR(Headcount!$R$4),IF((BQ$5=2),((SUMIFS(Headcount!$R$6:$R$89,Headcount!$F$6:$F$89,"Sales",Headcount!$H$6:$H$89,"&gt;="&amp;Sales!BQ$3)/12)), ((SUMIFS(Headcount!$Q$6:$Q$89,Headcount!$F$6:$F$89,"Sales",Headcount!$H$6:$H$89,"&gt;="&amp;Sales!BQ$3)/12))
),"New Year"))))),SUMIF('Dept. Cost Actuals'!$E$7:$E$176,"*salary*",'Dept. Cost Actuals'!BU$7:BU$176))</f>
        <v>117229.45176816666</v>
      </c>
      <c r="BR12" s="1284">
        <f>IF(BR$4="forecast",IF(YEAR(BR$3)=YEAR(Headcount!$N$4),((SUMIFS(Headcount!$N$6:$N$89,Headcount!$F$6:$F$89,"Sales",Headcount!$H$6:$H$89,"&gt;="&amp;Sales!BR$3)/12)),IF(YEAR(BR$3)=YEAR(Headcount!$O$4),IF((BR$5=2),((SUMIFS(Headcount!$O$6:$O$89,Headcount!$F$6:$F$89,"Sales",Headcount!$H$6:$H$89,"&gt;="&amp;Sales!BR$3)/12)), ((SUMIFS(Headcount!$N$6:$N$89,Headcount!$F$6:$F$89,"Sales",Headcount!$H$6:$H$89,"&gt;="&amp;Sales!BR$3)/12))),IF(YEAR(BR$3)=YEAR(Headcount!$P$4),IF((BR$5=2),((SUMIFS(Headcount!$P$6:$P$89,Headcount!$F$6:$F$89,"Sales",Headcount!$H$6:$H$89,"&gt;="&amp;Sales!BR$3)/12)), ((SUMIFS(Headcount!$O$6:$O$89,Headcount!$F$6:$F$89,"Sales",Headcount!$H$6:$H$89,"&gt;="&amp;Sales!BR$3)/12))
),IF(YEAR(BR$3)=YEAR(Headcount!$Q$4),IF((BR$5=2),((SUMIFS(Headcount!$Q$6:$Q$89,Headcount!$F$6:$F$89,"Sales",Headcount!$H$6:$H$89,"&gt;="&amp;Sales!BR$3)/12)), ((SUMIFS(Headcount!$P$6:$P$89,Headcount!$F$6:$F$89,"Sales",Headcount!$H$6:$H$89,"&gt;="&amp;Sales!BR$3)/12))
),IF(YEAR(BR$3)=YEAR(Headcount!$R$4),IF((BR$5=2),((SUMIFS(Headcount!$R$6:$R$89,Headcount!$F$6:$F$89,"Sales",Headcount!$H$6:$H$89,"&gt;="&amp;Sales!BR$3)/12)), ((SUMIFS(Headcount!$Q$6:$Q$89,Headcount!$F$6:$F$89,"Sales",Headcount!$H$6:$H$89,"&gt;="&amp;Sales!BR$3)/12))
),"New Year"))))),SUMIF('Dept. Cost Actuals'!$E$7:$E$176,"*salary*",'Dept. Cost Actuals'!BV$7:BV$176))</f>
        <v>117229.45176816666</v>
      </c>
      <c r="BS12" s="1284">
        <f>IF(BS$4="forecast",IF(YEAR(BS$3)=YEAR(Headcount!$N$4),((SUMIFS(Headcount!$N$6:$N$89,Headcount!$F$6:$F$89,"Sales",Headcount!$H$6:$H$89,"&gt;="&amp;Sales!BS$3)/12)),IF(YEAR(BS$3)=YEAR(Headcount!$O$4),IF((BS$5=2),((SUMIFS(Headcount!$O$6:$O$89,Headcount!$F$6:$F$89,"Sales",Headcount!$H$6:$H$89,"&gt;="&amp;Sales!BS$3)/12)), ((SUMIFS(Headcount!$N$6:$N$89,Headcount!$F$6:$F$89,"Sales",Headcount!$H$6:$H$89,"&gt;="&amp;Sales!BS$3)/12))),IF(YEAR(BS$3)=YEAR(Headcount!$P$4),IF((BS$5=2),((SUMIFS(Headcount!$P$6:$P$89,Headcount!$F$6:$F$89,"Sales",Headcount!$H$6:$H$89,"&gt;="&amp;Sales!BS$3)/12)), ((SUMIFS(Headcount!$O$6:$O$89,Headcount!$F$6:$F$89,"Sales",Headcount!$H$6:$H$89,"&gt;="&amp;Sales!BS$3)/12))
),IF(YEAR(BS$3)=YEAR(Headcount!$Q$4),IF((BS$5=2),((SUMIFS(Headcount!$Q$6:$Q$89,Headcount!$F$6:$F$89,"Sales",Headcount!$H$6:$H$89,"&gt;="&amp;Sales!BS$3)/12)), ((SUMIFS(Headcount!$P$6:$P$89,Headcount!$F$6:$F$89,"Sales",Headcount!$H$6:$H$89,"&gt;="&amp;Sales!BS$3)/12))
),IF(YEAR(BS$3)=YEAR(Headcount!$R$4),IF((BS$5=2),((SUMIFS(Headcount!$R$6:$R$89,Headcount!$F$6:$F$89,"Sales",Headcount!$H$6:$H$89,"&gt;="&amp;Sales!BS$3)/12)), ((SUMIFS(Headcount!$Q$6:$Q$89,Headcount!$F$6:$F$89,"Sales",Headcount!$H$6:$H$89,"&gt;="&amp;Sales!BS$3)/12))
),"New Year"))))),SUMIF('Dept. Cost Actuals'!$E$7:$E$176,"*salary*",'Dept. Cost Actuals'!BW$7:BW$176))</f>
        <v>117229.45176816666</v>
      </c>
      <c r="BT12" s="1284">
        <f>IF(BT$4="forecast",IF(YEAR(BT$3)=YEAR(Headcount!$N$4),((SUMIFS(Headcount!$N$6:$N$89,Headcount!$F$6:$F$89,"Sales",Headcount!$H$6:$H$89,"&gt;="&amp;Sales!BT$3)/12)),IF(YEAR(BT$3)=YEAR(Headcount!$O$4),IF((BT$5=2),((SUMIFS(Headcount!$O$6:$O$89,Headcount!$F$6:$F$89,"Sales",Headcount!$H$6:$H$89,"&gt;="&amp;Sales!BT$3)/12)), ((SUMIFS(Headcount!$N$6:$N$89,Headcount!$F$6:$F$89,"Sales",Headcount!$H$6:$H$89,"&gt;="&amp;Sales!BT$3)/12))),IF(YEAR(BT$3)=YEAR(Headcount!$P$4),IF((BT$5=2),((SUMIFS(Headcount!$P$6:$P$89,Headcount!$F$6:$F$89,"Sales",Headcount!$H$6:$H$89,"&gt;="&amp;Sales!BT$3)/12)), ((SUMIFS(Headcount!$O$6:$O$89,Headcount!$F$6:$F$89,"Sales",Headcount!$H$6:$H$89,"&gt;="&amp;Sales!BT$3)/12))
),IF(YEAR(BT$3)=YEAR(Headcount!$Q$4),IF((BT$5=2),((SUMIFS(Headcount!$Q$6:$Q$89,Headcount!$F$6:$F$89,"Sales",Headcount!$H$6:$H$89,"&gt;="&amp;Sales!BT$3)/12)), ((SUMIFS(Headcount!$P$6:$P$89,Headcount!$F$6:$F$89,"Sales",Headcount!$H$6:$H$89,"&gt;="&amp;Sales!BT$3)/12))
),IF(YEAR(BT$3)=YEAR(Headcount!$R$4),IF((BT$5=2),((SUMIFS(Headcount!$R$6:$R$89,Headcount!$F$6:$F$89,"Sales",Headcount!$H$6:$H$89,"&gt;="&amp;Sales!BT$3)/12)), ((SUMIFS(Headcount!$Q$6:$Q$89,Headcount!$F$6:$F$89,"Sales",Headcount!$H$6:$H$89,"&gt;="&amp;Sales!BT$3)/12))
),"New Year"))))),SUMIF('Dept. Cost Actuals'!$E$7:$E$176,"*salary*",'Dept. Cost Actuals'!BX$7:BX$176))</f>
        <v>117229.45176816666</v>
      </c>
      <c r="BU12" s="1284">
        <f>IF(BU$4="forecast",IF(YEAR(BU$3)=YEAR(Headcount!$N$4),((SUMIFS(Headcount!$N$6:$N$89,Headcount!$F$6:$F$89,"Sales",Headcount!$H$6:$H$89,"&gt;="&amp;Sales!BU$3)/12)),IF(YEAR(BU$3)=YEAR(Headcount!$O$4),IF((BU$5=2),((SUMIFS(Headcount!$O$6:$O$89,Headcount!$F$6:$F$89,"Sales",Headcount!$H$6:$H$89,"&gt;="&amp;Sales!BU$3)/12)), ((SUMIFS(Headcount!$N$6:$N$89,Headcount!$F$6:$F$89,"Sales",Headcount!$H$6:$H$89,"&gt;="&amp;Sales!BU$3)/12))),IF(YEAR(BU$3)=YEAR(Headcount!$P$4),IF((BU$5=2),((SUMIFS(Headcount!$P$6:$P$89,Headcount!$F$6:$F$89,"Sales",Headcount!$H$6:$H$89,"&gt;="&amp;Sales!BU$3)/12)), ((SUMIFS(Headcount!$O$6:$O$89,Headcount!$F$6:$F$89,"Sales",Headcount!$H$6:$H$89,"&gt;="&amp;Sales!BU$3)/12))
),IF(YEAR(BU$3)=YEAR(Headcount!$Q$4),IF((BU$5=2),((SUMIFS(Headcount!$Q$6:$Q$89,Headcount!$F$6:$F$89,"Sales",Headcount!$H$6:$H$89,"&gt;="&amp;Sales!BU$3)/12)), ((SUMIFS(Headcount!$P$6:$P$89,Headcount!$F$6:$F$89,"Sales",Headcount!$H$6:$H$89,"&gt;="&amp;Sales!BU$3)/12))
),IF(YEAR(BU$3)=YEAR(Headcount!$R$4),IF((BU$5=2),((SUMIFS(Headcount!$R$6:$R$89,Headcount!$F$6:$F$89,"Sales",Headcount!$H$6:$H$89,"&gt;="&amp;Sales!BU$3)/12)), ((SUMIFS(Headcount!$Q$6:$Q$89,Headcount!$F$6:$F$89,"Sales",Headcount!$H$6:$H$89,"&gt;="&amp;Sales!BU$3)/12))
),"New Year"))))),SUMIF('Dept. Cost Actuals'!$E$7:$E$176,"*salary*",'Dept. Cost Actuals'!BY$7:BY$176))</f>
        <v>117229.45176816666</v>
      </c>
      <c r="BV12" s="1284">
        <f>IF(BV$4="forecast",IF(YEAR(BV$3)=YEAR(Headcount!$N$4),((SUMIFS(Headcount!$N$6:$N$89,Headcount!$F$6:$F$89,"Sales",Headcount!$H$6:$H$89,"&gt;="&amp;Sales!BV$3)/12)),IF(YEAR(BV$3)=YEAR(Headcount!$O$4),IF((BV$5=2),((SUMIFS(Headcount!$O$6:$O$89,Headcount!$F$6:$F$89,"Sales",Headcount!$H$6:$H$89,"&gt;="&amp;Sales!BV$3)/12)), ((SUMIFS(Headcount!$N$6:$N$89,Headcount!$F$6:$F$89,"Sales",Headcount!$H$6:$H$89,"&gt;="&amp;Sales!BV$3)/12))),IF(YEAR(BV$3)=YEAR(Headcount!$P$4),IF((BV$5=2),((SUMIFS(Headcount!$P$6:$P$89,Headcount!$F$6:$F$89,"Sales",Headcount!$H$6:$H$89,"&gt;="&amp;Sales!BV$3)/12)), ((SUMIFS(Headcount!$O$6:$O$89,Headcount!$F$6:$F$89,"Sales",Headcount!$H$6:$H$89,"&gt;="&amp;Sales!BV$3)/12))
),IF(YEAR(BV$3)=YEAR(Headcount!$Q$4),IF((BV$5=2),((SUMIFS(Headcount!$Q$6:$Q$89,Headcount!$F$6:$F$89,"Sales",Headcount!$H$6:$H$89,"&gt;="&amp;Sales!BV$3)/12)), ((SUMIFS(Headcount!$P$6:$P$89,Headcount!$F$6:$F$89,"Sales",Headcount!$H$6:$H$89,"&gt;="&amp;Sales!BV$3)/12))
),IF(YEAR(BV$3)=YEAR(Headcount!$R$4),IF((BV$5=2),((SUMIFS(Headcount!$R$6:$R$89,Headcount!$F$6:$F$89,"Sales",Headcount!$H$6:$H$89,"&gt;="&amp;Sales!BV$3)/12)), ((SUMIFS(Headcount!$Q$6:$Q$89,Headcount!$F$6:$F$89,"Sales",Headcount!$H$6:$H$89,"&gt;="&amp;Sales!BV$3)/12))
),"New Year"))))),SUMIF('Dept. Cost Actuals'!$E$7:$E$176,"*salary*",'Dept. Cost Actuals'!BZ$7:BZ$176))</f>
        <v>117229.45176816666</v>
      </c>
    </row>
    <row r="13" spans="2:76" x14ac:dyDescent="0.25">
      <c r="B13" s="780" t="s">
        <v>928</v>
      </c>
      <c r="C13" s="792">
        <f>IF(C$4="forecast",IF(YEAR(C$3)=YEAR('New Hires Forecast'!$N$3),((SUMIFS('New Hires Forecast'!$N$5:$N$82,'New Hires Forecast'!$F$5:$F$82,"Sales",'New Hires Forecast'!$H$5:$H$82,"&gt;="&amp;Sales!C$3,'New Hires Forecast'!$G$5:$G$82,"&lt;="&amp;Sales!C$3)/12)),IF(YEAR(C$3)=YEAR('New Hires Forecast'!$O$3),((SUMIFS('New Hires Forecast'!$O$5:$O$82,'New Hires Forecast'!$F$5:$F$82,"Sales",'New Hires Forecast'!$H$5:$H$82,"&gt;="&amp;Sales!C$3,'New Hires Forecast'!$G$5:$G$82,"&lt;="&amp;Sales!C$3)/12)),IF(YEAR(C$3)=YEAR('New Hires Forecast'!$P$3),((SUMIFS('New Hires Forecast'!$P$5:$P$82,'New Hires Forecast'!$F$5:$F$82,"Sales",'New Hires Forecast'!$H$5:$H$82,"&gt;="&amp;Sales!C$3,'New Hires Forecast'!$G$5:$G$82,"&lt;="&amp;Sales!C$3)/12)),IF(YEAR(C$3)=YEAR('New Hires Forecast'!$Q$3),((SUMIFS('New Hires Forecast'!$Q$5:$Q$82,'New Hires Forecast'!$F$5:$F$82,"Sales",'New Hires Forecast'!$H$5:$H$82,"&gt;="&amp;Sales!C$3,'New Hires Forecast'!$G$5:$G$82,"&lt;="&amp;Sales!C$3)/12)),IF(YEAR(C$3)=YEAR('New Hires Forecast'!$R$3),((SUMIFS('New Hires Forecast'!$R$5:$R$82,'New Hires Forecast'!$F$5:$F$82,"Sales",'New Hires Forecast'!$H$5:$H$82,"&gt;="&amp;Sales!C$3,'New Hires Forecast'!$G$5:$G$82,"&lt;="&amp;Sales!C$3)/12))))))),0)</f>
        <v>0</v>
      </c>
      <c r="D13" s="792">
        <f>IF(D$4="forecast",IF(YEAR(D$3)=YEAR('New Hires Forecast'!$N$3),((SUMIFS('New Hires Forecast'!$N$5:$N$82,'New Hires Forecast'!$F$5:$F$82,"Sales",'New Hires Forecast'!$H$5:$H$82,"&gt;="&amp;Sales!D$3,'New Hires Forecast'!$G$5:$G$82,"&lt;="&amp;Sales!D$3)/12)),IF(YEAR(D$3)=YEAR('New Hires Forecast'!$O$3),((SUMIFS('New Hires Forecast'!$O$5:$O$82,'New Hires Forecast'!$F$5:$F$82,"Sales",'New Hires Forecast'!$H$5:$H$82,"&gt;="&amp;Sales!D$3,'New Hires Forecast'!$G$5:$G$82,"&lt;="&amp;Sales!D$3)/12)),IF(YEAR(D$3)=YEAR('New Hires Forecast'!$P$3),((SUMIFS('New Hires Forecast'!$P$5:$P$82,'New Hires Forecast'!$F$5:$F$82,"Sales",'New Hires Forecast'!$H$5:$H$82,"&gt;="&amp;Sales!D$3,'New Hires Forecast'!$G$5:$G$82,"&lt;="&amp;Sales!D$3)/12)),IF(YEAR(D$3)=YEAR('New Hires Forecast'!$Q$3),((SUMIFS('New Hires Forecast'!$Q$5:$Q$82,'New Hires Forecast'!$F$5:$F$82,"Sales",'New Hires Forecast'!$H$5:$H$82,"&gt;="&amp;Sales!D$3,'New Hires Forecast'!$G$5:$G$82,"&lt;="&amp;Sales!D$3)/12)),IF(YEAR(D$3)=YEAR('New Hires Forecast'!$R$3),((SUMIFS('New Hires Forecast'!$R$5:$R$82,'New Hires Forecast'!$F$5:$F$82,"Sales",'New Hires Forecast'!$H$5:$H$82,"&gt;="&amp;Sales!D$3,'New Hires Forecast'!$G$5:$G$82,"&lt;="&amp;Sales!D$3)/12))))))),0)</f>
        <v>0</v>
      </c>
      <c r="E13" s="792">
        <f>IF(E$4="forecast",IF(YEAR(E$3)=YEAR('New Hires Forecast'!$N$3),((SUMIFS('New Hires Forecast'!$N$5:$N$82,'New Hires Forecast'!$F$5:$F$82,"Sales",'New Hires Forecast'!$H$5:$H$82,"&gt;="&amp;Sales!E$3,'New Hires Forecast'!$G$5:$G$82,"&lt;="&amp;Sales!E$3)/12)),IF(YEAR(E$3)=YEAR('New Hires Forecast'!$O$3),((SUMIFS('New Hires Forecast'!$O$5:$O$82,'New Hires Forecast'!$F$5:$F$82,"Sales",'New Hires Forecast'!$H$5:$H$82,"&gt;="&amp;Sales!E$3,'New Hires Forecast'!$G$5:$G$82,"&lt;="&amp;Sales!E$3)/12)),IF(YEAR(E$3)=YEAR('New Hires Forecast'!$P$3),((SUMIFS('New Hires Forecast'!$P$5:$P$82,'New Hires Forecast'!$F$5:$F$82,"Sales",'New Hires Forecast'!$H$5:$H$82,"&gt;="&amp;Sales!E$3,'New Hires Forecast'!$G$5:$G$82,"&lt;="&amp;Sales!E$3)/12)),IF(YEAR(E$3)=YEAR('New Hires Forecast'!$Q$3),((SUMIFS('New Hires Forecast'!$Q$5:$Q$82,'New Hires Forecast'!$F$5:$F$82,"Sales",'New Hires Forecast'!$H$5:$H$82,"&gt;="&amp;Sales!E$3,'New Hires Forecast'!$G$5:$G$82,"&lt;="&amp;Sales!E$3)/12)),IF(YEAR(E$3)=YEAR('New Hires Forecast'!$R$3),((SUMIFS('New Hires Forecast'!$R$5:$R$82,'New Hires Forecast'!$F$5:$F$82,"Sales",'New Hires Forecast'!$H$5:$H$82,"&gt;="&amp;Sales!E$3,'New Hires Forecast'!$G$5:$G$82,"&lt;="&amp;Sales!E$3)/12))))))),0)</f>
        <v>0</v>
      </c>
      <c r="F13" s="792">
        <f>IF(F$4="forecast",IF(YEAR(F$3)=YEAR('New Hires Forecast'!$N$3),((SUMIFS('New Hires Forecast'!$N$5:$N$82,'New Hires Forecast'!$F$5:$F$82,"Sales",'New Hires Forecast'!$H$5:$H$82,"&gt;="&amp;Sales!F$3,'New Hires Forecast'!$G$5:$G$82,"&lt;="&amp;Sales!F$3)/12)),IF(YEAR(F$3)=YEAR('New Hires Forecast'!$O$3),((SUMIFS('New Hires Forecast'!$O$5:$O$82,'New Hires Forecast'!$F$5:$F$82,"Sales",'New Hires Forecast'!$H$5:$H$82,"&gt;="&amp;Sales!F$3,'New Hires Forecast'!$G$5:$G$82,"&lt;="&amp;Sales!F$3)/12)),IF(YEAR(F$3)=YEAR('New Hires Forecast'!$P$3),((SUMIFS('New Hires Forecast'!$P$5:$P$82,'New Hires Forecast'!$F$5:$F$82,"Sales",'New Hires Forecast'!$H$5:$H$82,"&gt;="&amp;Sales!F$3,'New Hires Forecast'!$G$5:$G$82,"&lt;="&amp;Sales!F$3)/12)),IF(YEAR(F$3)=YEAR('New Hires Forecast'!$Q$3),((SUMIFS('New Hires Forecast'!$Q$5:$Q$82,'New Hires Forecast'!$F$5:$F$82,"Sales",'New Hires Forecast'!$H$5:$H$82,"&gt;="&amp;Sales!F$3,'New Hires Forecast'!$G$5:$G$82,"&lt;="&amp;Sales!F$3)/12)),IF(YEAR(F$3)=YEAR('New Hires Forecast'!$R$3),((SUMIFS('New Hires Forecast'!$R$5:$R$82,'New Hires Forecast'!$F$5:$F$82,"Sales",'New Hires Forecast'!$H$5:$H$82,"&gt;="&amp;Sales!F$3,'New Hires Forecast'!$G$5:$G$82,"&lt;="&amp;Sales!F$3)/12))))))),0)</f>
        <v>0</v>
      </c>
      <c r="G13" s="792">
        <f>IF(G$4="forecast",IF(YEAR(G$3)=YEAR('New Hires Forecast'!$N$3),((SUMIFS('New Hires Forecast'!$N$5:$N$82,'New Hires Forecast'!$F$5:$F$82,"Sales",'New Hires Forecast'!$H$5:$H$82,"&gt;="&amp;Sales!G$3,'New Hires Forecast'!$G$5:$G$82,"&lt;="&amp;Sales!G$3)/12)),IF(YEAR(G$3)=YEAR('New Hires Forecast'!$O$3),((SUMIFS('New Hires Forecast'!$O$5:$O$82,'New Hires Forecast'!$F$5:$F$82,"Sales",'New Hires Forecast'!$H$5:$H$82,"&gt;="&amp;Sales!G$3,'New Hires Forecast'!$G$5:$G$82,"&lt;="&amp;Sales!G$3)/12)),IF(YEAR(G$3)=YEAR('New Hires Forecast'!$P$3),((SUMIFS('New Hires Forecast'!$P$5:$P$82,'New Hires Forecast'!$F$5:$F$82,"Sales",'New Hires Forecast'!$H$5:$H$82,"&gt;="&amp;Sales!G$3,'New Hires Forecast'!$G$5:$G$82,"&lt;="&amp;Sales!G$3)/12)),IF(YEAR(G$3)=YEAR('New Hires Forecast'!$Q$3),((SUMIFS('New Hires Forecast'!$Q$5:$Q$82,'New Hires Forecast'!$F$5:$F$82,"Sales",'New Hires Forecast'!$H$5:$H$82,"&gt;="&amp;Sales!G$3,'New Hires Forecast'!$G$5:$G$82,"&lt;="&amp;Sales!G$3)/12)),IF(YEAR(G$3)=YEAR('New Hires Forecast'!$R$3),((SUMIFS('New Hires Forecast'!$R$5:$R$82,'New Hires Forecast'!$F$5:$F$82,"Sales",'New Hires Forecast'!$H$5:$H$82,"&gt;="&amp;Sales!G$3,'New Hires Forecast'!$G$5:$G$82,"&lt;="&amp;Sales!G$3)/12))))))),0)</f>
        <v>0</v>
      </c>
      <c r="H13" s="792">
        <f>IF(H$4="forecast",IF(YEAR(H$3)=YEAR('New Hires Forecast'!$N$3),((SUMIFS('New Hires Forecast'!$N$5:$N$82,'New Hires Forecast'!$F$5:$F$82,"Sales",'New Hires Forecast'!$H$5:$H$82,"&gt;="&amp;Sales!H$3,'New Hires Forecast'!$G$5:$G$82,"&lt;="&amp;Sales!H$3)/12)),IF(YEAR(H$3)=YEAR('New Hires Forecast'!$O$3),((SUMIFS('New Hires Forecast'!$O$5:$O$82,'New Hires Forecast'!$F$5:$F$82,"Sales",'New Hires Forecast'!$H$5:$H$82,"&gt;="&amp;Sales!H$3,'New Hires Forecast'!$G$5:$G$82,"&lt;="&amp;Sales!H$3)/12)),IF(YEAR(H$3)=YEAR('New Hires Forecast'!$P$3),((SUMIFS('New Hires Forecast'!$P$5:$P$82,'New Hires Forecast'!$F$5:$F$82,"Sales",'New Hires Forecast'!$H$5:$H$82,"&gt;="&amp;Sales!H$3,'New Hires Forecast'!$G$5:$G$82,"&lt;="&amp;Sales!H$3)/12)),IF(YEAR(H$3)=YEAR('New Hires Forecast'!$Q$3),((SUMIFS('New Hires Forecast'!$Q$5:$Q$82,'New Hires Forecast'!$F$5:$F$82,"Sales",'New Hires Forecast'!$H$5:$H$82,"&gt;="&amp;Sales!H$3,'New Hires Forecast'!$G$5:$G$82,"&lt;="&amp;Sales!H$3)/12)),IF(YEAR(H$3)=YEAR('New Hires Forecast'!$R$3),((SUMIFS('New Hires Forecast'!$R$5:$R$82,'New Hires Forecast'!$F$5:$F$82,"Sales",'New Hires Forecast'!$H$5:$H$82,"&gt;="&amp;Sales!H$3,'New Hires Forecast'!$G$5:$G$82,"&lt;="&amp;Sales!H$3)/12))))))),0)</f>
        <v>0</v>
      </c>
      <c r="I13" s="792">
        <f>IF(I$4="forecast",IF(YEAR(I$3)=YEAR('New Hires Forecast'!$N$3),((SUMIFS('New Hires Forecast'!$N$5:$N$82,'New Hires Forecast'!$F$5:$F$82,"Sales",'New Hires Forecast'!$H$5:$H$82,"&gt;="&amp;Sales!I$3,'New Hires Forecast'!$G$5:$G$82,"&lt;="&amp;Sales!I$3)/12)),IF(YEAR(I$3)=YEAR('New Hires Forecast'!$O$3),((SUMIFS('New Hires Forecast'!$O$5:$O$82,'New Hires Forecast'!$F$5:$F$82,"Sales",'New Hires Forecast'!$H$5:$H$82,"&gt;="&amp;Sales!I$3,'New Hires Forecast'!$G$5:$G$82,"&lt;="&amp;Sales!I$3)/12)),IF(YEAR(I$3)=YEAR('New Hires Forecast'!$P$3),((SUMIFS('New Hires Forecast'!$P$5:$P$82,'New Hires Forecast'!$F$5:$F$82,"Sales",'New Hires Forecast'!$H$5:$H$82,"&gt;="&amp;Sales!I$3,'New Hires Forecast'!$G$5:$G$82,"&lt;="&amp;Sales!I$3)/12)),IF(YEAR(I$3)=YEAR('New Hires Forecast'!$Q$3),((SUMIFS('New Hires Forecast'!$Q$5:$Q$82,'New Hires Forecast'!$F$5:$F$82,"Sales",'New Hires Forecast'!$H$5:$H$82,"&gt;="&amp;Sales!I$3,'New Hires Forecast'!$G$5:$G$82,"&lt;="&amp;Sales!I$3)/12)),IF(YEAR(I$3)=YEAR('New Hires Forecast'!$R$3),((SUMIFS('New Hires Forecast'!$R$5:$R$82,'New Hires Forecast'!$F$5:$F$82,"Sales",'New Hires Forecast'!$H$5:$H$82,"&gt;="&amp;Sales!I$3,'New Hires Forecast'!$G$5:$G$82,"&lt;="&amp;Sales!I$3)/12))))))),0)</f>
        <v>0</v>
      </c>
      <c r="J13" s="792">
        <f>IF(J$4="forecast",IF(YEAR(J$3)=YEAR('New Hires Forecast'!$N$3),((SUMIFS('New Hires Forecast'!$N$5:$N$82,'New Hires Forecast'!$F$5:$F$82,"Sales",'New Hires Forecast'!$H$5:$H$82,"&gt;="&amp;Sales!J$3,'New Hires Forecast'!$G$5:$G$82,"&lt;="&amp;Sales!J$3)/12)),IF(YEAR(J$3)=YEAR('New Hires Forecast'!$O$3),((SUMIFS('New Hires Forecast'!$O$5:$O$82,'New Hires Forecast'!$F$5:$F$82,"Sales",'New Hires Forecast'!$H$5:$H$82,"&gt;="&amp;Sales!J$3,'New Hires Forecast'!$G$5:$G$82,"&lt;="&amp;Sales!J$3)/12)),IF(YEAR(J$3)=YEAR('New Hires Forecast'!$P$3),((SUMIFS('New Hires Forecast'!$P$5:$P$82,'New Hires Forecast'!$F$5:$F$82,"Sales",'New Hires Forecast'!$H$5:$H$82,"&gt;="&amp;Sales!J$3,'New Hires Forecast'!$G$5:$G$82,"&lt;="&amp;Sales!J$3)/12)),IF(YEAR(J$3)=YEAR('New Hires Forecast'!$Q$3),((SUMIFS('New Hires Forecast'!$Q$5:$Q$82,'New Hires Forecast'!$F$5:$F$82,"Sales",'New Hires Forecast'!$H$5:$H$82,"&gt;="&amp;Sales!J$3,'New Hires Forecast'!$G$5:$G$82,"&lt;="&amp;Sales!J$3)/12)),IF(YEAR(J$3)=YEAR('New Hires Forecast'!$R$3),((SUMIFS('New Hires Forecast'!$R$5:$R$82,'New Hires Forecast'!$F$5:$F$82,"Sales",'New Hires Forecast'!$H$5:$H$82,"&gt;="&amp;Sales!J$3,'New Hires Forecast'!$G$5:$G$82,"&lt;="&amp;Sales!J$3)/12))))))),0)</f>
        <v>0</v>
      </c>
      <c r="K13" s="792">
        <f>IF(K$4="forecast",IF(YEAR(K$3)=YEAR('New Hires Forecast'!$N$3),((SUMIFS('New Hires Forecast'!$N$5:$N$82,'New Hires Forecast'!$F$5:$F$82,"Sales",'New Hires Forecast'!$H$5:$H$82,"&gt;="&amp;Sales!K$3,'New Hires Forecast'!$G$5:$G$82,"&lt;="&amp;Sales!K$3)/12)),IF(YEAR(K$3)=YEAR('New Hires Forecast'!$O$3),((SUMIFS('New Hires Forecast'!$O$5:$O$82,'New Hires Forecast'!$F$5:$F$82,"Sales",'New Hires Forecast'!$H$5:$H$82,"&gt;="&amp;Sales!K$3,'New Hires Forecast'!$G$5:$G$82,"&lt;="&amp;Sales!K$3)/12)),IF(YEAR(K$3)=YEAR('New Hires Forecast'!$P$3),((SUMIFS('New Hires Forecast'!$P$5:$P$82,'New Hires Forecast'!$F$5:$F$82,"Sales",'New Hires Forecast'!$H$5:$H$82,"&gt;="&amp;Sales!K$3,'New Hires Forecast'!$G$5:$G$82,"&lt;="&amp;Sales!K$3)/12)),IF(YEAR(K$3)=YEAR('New Hires Forecast'!$Q$3),((SUMIFS('New Hires Forecast'!$Q$5:$Q$82,'New Hires Forecast'!$F$5:$F$82,"Sales",'New Hires Forecast'!$H$5:$H$82,"&gt;="&amp;Sales!K$3,'New Hires Forecast'!$G$5:$G$82,"&lt;="&amp;Sales!K$3)/12)),IF(YEAR(K$3)=YEAR('New Hires Forecast'!$R$3),((SUMIFS('New Hires Forecast'!$R$5:$R$82,'New Hires Forecast'!$F$5:$F$82,"Sales",'New Hires Forecast'!$H$5:$H$82,"&gt;="&amp;Sales!K$3,'New Hires Forecast'!$G$5:$G$82,"&lt;="&amp;Sales!K$3)/12))))))),0)</f>
        <v>0</v>
      </c>
      <c r="L13" s="792">
        <f>IF(L$4="forecast",IF(YEAR(L$3)=YEAR('New Hires Forecast'!$N$3),((SUMIFS('New Hires Forecast'!$N$5:$N$82,'New Hires Forecast'!$F$5:$F$82,"Sales",'New Hires Forecast'!$H$5:$H$82,"&gt;="&amp;Sales!L$3,'New Hires Forecast'!$G$5:$G$82,"&lt;="&amp;Sales!L$3)/12)),IF(YEAR(L$3)=YEAR('New Hires Forecast'!$O$3),((SUMIFS('New Hires Forecast'!$O$5:$O$82,'New Hires Forecast'!$F$5:$F$82,"Sales",'New Hires Forecast'!$H$5:$H$82,"&gt;="&amp;Sales!L$3,'New Hires Forecast'!$G$5:$G$82,"&lt;="&amp;Sales!L$3)/12)),IF(YEAR(L$3)=YEAR('New Hires Forecast'!$P$3),((SUMIFS('New Hires Forecast'!$P$5:$P$82,'New Hires Forecast'!$F$5:$F$82,"Sales",'New Hires Forecast'!$H$5:$H$82,"&gt;="&amp;Sales!L$3,'New Hires Forecast'!$G$5:$G$82,"&lt;="&amp;Sales!L$3)/12)),IF(YEAR(L$3)=YEAR('New Hires Forecast'!$Q$3),((SUMIFS('New Hires Forecast'!$Q$5:$Q$82,'New Hires Forecast'!$F$5:$F$82,"Sales",'New Hires Forecast'!$H$5:$H$82,"&gt;="&amp;Sales!L$3,'New Hires Forecast'!$G$5:$G$82,"&lt;="&amp;Sales!L$3)/12)),IF(YEAR(L$3)=YEAR('New Hires Forecast'!$R$3),((SUMIFS('New Hires Forecast'!$R$5:$R$82,'New Hires Forecast'!$F$5:$F$82,"Sales",'New Hires Forecast'!$H$5:$H$82,"&gt;="&amp;Sales!L$3,'New Hires Forecast'!$G$5:$G$82,"&lt;="&amp;Sales!L$3)/12))))))),0)</f>
        <v>0</v>
      </c>
      <c r="M13" s="792">
        <f>IF(M$4="forecast",IF(YEAR(M$3)=YEAR('New Hires Forecast'!$N$3),((SUMIFS('New Hires Forecast'!$N$5:$N$82,'New Hires Forecast'!$F$5:$F$82,"Sales",'New Hires Forecast'!$H$5:$H$82,"&gt;="&amp;Sales!M$3,'New Hires Forecast'!$G$5:$G$82,"&lt;="&amp;Sales!M$3)/12)),IF(YEAR(M$3)=YEAR('New Hires Forecast'!$O$3),((SUMIFS('New Hires Forecast'!$O$5:$O$82,'New Hires Forecast'!$F$5:$F$82,"Sales",'New Hires Forecast'!$H$5:$H$82,"&gt;="&amp;Sales!M$3,'New Hires Forecast'!$G$5:$G$82,"&lt;="&amp;Sales!M$3)/12)),IF(YEAR(M$3)=YEAR('New Hires Forecast'!$P$3),((SUMIFS('New Hires Forecast'!$P$5:$P$82,'New Hires Forecast'!$F$5:$F$82,"Sales",'New Hires Forecast'!$H$5:$H$82,"&gt;="&amp;Sales!M$3,'New Hires Forecast'!$G$5:$G$82,"&lt;="&amp;Sales!M$3)/12)),IF(YEAR(M$3)=YEAR('New Hires Forecast'!$Q$3),((SUMIFS('New Hires Forecast'!$Q$5:$Q$82,'New Hires Forecast'!$F$5:$F$82,"Sales",'New Hires Forecast'!$H$5:$H$82,"&gt;="&amp;Sales!M$3,'New Hires Forecast'!$G$5:$G$82,"&lt;="&amp;Sales!M$3)/12)),IF(YEAR(M$3)=YEAR('New Hires Forecast'!$R$3),((SUMIFS('New Hires Forecast'!$R$5:$R$82,'New Hires Forecast'!$F$5:$F$82,"Sales",'New Hires Forecast'!$H$5:$H$82,"&gt;="&amp;Sales!M$3,'New Hires Forecast'!$G$5:$G$82,"&lt;="&amp;Sales!M$3)/12))))))),0)</f>
        <v>0</v>
      </c>
      <c r="N13" s="792">
        <f>IF(N$4="forecast",IF(YEAR(N$3)=YEAR('New Hires Forecast'!$N$3),((SUMIFS('New Hires Forecast'!$N$5:$N$82,'New Hires Forecast'!$F$5:$F$82,"Sales",'New Hires Forecast'!$H$5:$H$82,"&gt;="&amp;Sales!N$3,'New Hires Forecast'!$G$5:$G$82,"&lt;="&amp;Sales!N$3)/12)),IF(YEAR(N$3)=YEAR('New Hires Forecast'!$O$3),((SUMIFS('New Hires Forecast'!$O$5:$O$82,'New Hires Forecast'!$F$5:$F$82,"Sales",'New Hires Forecast'!$H$5:$H$82,"&gt;="&amp;Sales!N$3,'New Hires Forecast'!$G$5:$G$82,"&lt;="&amp;Sales!N$3)/12)),IF(YEAR(N$3)=YEAR('New Hires Forecast'!$P$3),((SUMIFS('New Hires Forecast'!$P$5:$P$82,'New Hires Forecast'!$F$5:$F$82,"Sales",'New Hires Forecast'!$H$5:$H$82,"&gt;="&amp;Sales!N$3,'New Hires Forecast'!$G$5:$G$82,"&lt;="&amp;Sales!N$3)/12)),IF(YEAR(N$3)=YEAR('New Hires Forecast'!$Q$3),((SUMIFS('New Hires Forecast'!$Q$5:$Q$82,'New Hires Forecast'!$F$5:$F$82,"Sales",'New Hires Forecast'!$H$5:$H$82,"&gt;="&amp;Sales!N$3,'New Hires Forecast'!$G$5:$G$82,"&lt;="&amp;Sales!N$3)/12)),IF(YEAR(N$3)=YEAR('New Hires Forecast'!$R$3),((SUMIFS('New Hires Forecast'!$R$5:$R$82,'New Hires Forecast'!$F$5:$F$82,"Sales",'New Hires Forecast'!$H$5:$H$82,"&gt;="&amp;Sales!N$3,'New Hires Forecast'!$G$5:$G$82,"&lt;="&amp;Sales!N$3)/12))))))),0)</f>
        <v>0</v>
      </c>
      <c r="O13" s="792">
        <f>IF(O$4="forecast",IF(YEAR(O$3)=YEAR('New Hires Forecast'!$N$3),((SUMIFS('New Hires Forecast'!$N$5:$N$82,'New Hires Forecast'!$F$5:$F$82,"Sales",'New Hires Forecast'!$H$5:$H$82,"&gt;="&amp;Sales!O$3,'New Hires Forecast'!$G$5:$G$82,"&lt;="&amp;Sales!O$3)/12)),IF(YEAR(O$3)=YEAR('New Hires Forecast'!$O$3),((SUMIFS('New Hires Forecast'!$O$5:$O$82,'New Hires Forecast'!$F$5:$F$82,"Sales",'New Hires Forecast'!$H$5:$H$82,"&gt;="&amp;Sales!O$3,'New Hires Forecast'!$G$5:$G$82,"&lt;="&amp;Sales!O$3)/12)),IF(YEAR(O$3)=YEAR('New Hires Forecast'!$P$3),((SUMIFS('New Hires Forecast'!$P$5:$P$82,'New Hires Forecast'!$F$5:$F$82,"Sales",'New Hires Forecast'!$H$5:$H$82,"&gt;="&amp;Sales!O$3,'New Hires Forecast'!$G$5:$G$82,"&lt;="&amp;Sales!O$3)/12)),IF(YEAR(O$3)=YEAR('New Hires Forecast'!$Q$3),((SUMIFS('New Hires Forecast'!$Q$5:$Q$82,'New Hires Forecast'!$F$5:$F$82,"Sales",'New Hires Forecast'!$H$5:$H$82,"&gt;="&amp;Sales!O$3,'New Hires Forecast'!$G$5:$G$82,"&lt;="&amp;Sales!O$3)/12)),IF(YEAR(O$3)=YEAR('New Hires Forecast'!$R$3),((SUMIFS('New Hires Forecast'!$R$5:$R$82,'New Hires Forecast'!$F$5:$F$82,"Sales",'New Hires Forecast'!$H$5:$H$82,"&gt;="&amp;Sales!O$3,'New Hires Forecast'!$G$5:$G$82,"&lt;="&amp;Sales!O$3)/12))))))),0)</f>
        <v>0</v>
      </c>
      <c r="P13" s="792">
        <f>IF(P$4="forecast",IF(YEAR(P$3)=YEAR('New Hires Forecast'!$N$3),((SUMIFS('New Hires Forecast'!$N$5:$N$82,'New Hires Forecast'!$F$5:$F$82,"Sales",'New Hires Forecast'!$H$5:$H$82,"&gt;="&amp;Sales!P$3,'New Hires Forecast'!$G$5:$G$82,"&lt;="&amp;Sales!P$3)/12)),IF(YEAR(P$3)=YEAR('New Hires Forecast'!$O$3),((SUMIFS('New Hires Forecast'!$O$5:$O$82,'New Hires Forecast'!$F$5:$F$82,"Sales",'New Hires Forecast'!$H$5:$H$82,"&gt;="&amp;Sales!P$3,'New Hires Forecast'!$G$5:$G$82,"&lt;="&amp;Sales!P$3)/12)),IF(YEAR(P$3)=YEAR('New Hires Forecast'!$P$3),((SUMIFS('New Hires Forecast'!$P$5:$P$82,'New Hires Forecast'!$F$5:$F$82,"Sales",'New Hires Forecast'!$H$5:$H$82,"&gt;="&amp;Sales!P$3,'New Hires Forecast'!$G$5:$G$82,"&lt;="&amp;Sales!P$3)/12)),IF(YEAR(P$3)=YEAR('New Hires Forecast'!$Q$3),((SUMIFS('New Hires Forecast'!$Q$5:$Q$82,'New Hires Forecast'!$F$5:$F$82,"Sales",'New Hires Forecast'!$H$5:$H$82,"&gt;="&amp;Sales!P$3,'New Hires Forecast'!$G$5:$G$82,"&lt;="&amp;Sales!P$3)/12)),IF(YEAR(P$3)=YEAR('New Hires Forecast'!$R$3),((SUMIFS('New Hires Forecast'!$R$5:$R$82,'New Hires Forecast'!$F$5:$F$82,"Sales",'New Hires Forecast'!$H$5:$H$82,"&gt;="&amp;Sales!P$3,'New Hires Forecast'!$G$5:$G$82,"&lt;="&amp;Sales!P$3)/12))))))),0)</f>
        <v>0</v>
      </c>
      <c r="Q13" s="792">
        <f>IF(Q$4="forecast",IF(YEAR(Q$3)=YEAR('New Hires Forecast'!$N$3),((SUMIFS('New Hires Forecast'!$N$5:$N$82,'New Hires Forecast'!$F$5:$F$82,"Sales",'New Hires Forecast'!$H$5:$H$82,"&gt;="&amp;Sales!Q$3,'New Hires Forecast'!$G$5:$G$82,"&lt;="&amp;Sales!Q$3)/12)),IF(YEAR(Q$3)=YEAR('New Hires Forecast'!$O$3),((SUMIFS('New Hires Forecast'!$O$5:$O$82,'New Hires Forecast'!$F$5:$F$82,"Sales",'New Hires Forecast'!$H$5:$H$82,"&gt;="&amp;Sales!Q$3,'New Hires Forecast'!$G$5:$G$82,"&lt;="&amp;Sales!Q$3)/12)),IF(YEAR(Q$3)=YEAR('New Hires Forecast'!$P$3),((SUMIFS('New Hires Forecast'!$P$5:$P$82,'New Hires Forecast'!$F$5:$F$82,"Sales",'New Hires Forecast'!$H$5:$H$82,"&gt;="&amp;Sales!Q$3,'New Hires Forecast'!$G$5:$G$82,"&lt;="&amp;Sales!Q$3)/12)),IF(YEAR(Q$3)=YEAR('New Hires Forecast'!$Q$3),((SUMIFS('New Hires Forecast'!$Q$5:$Q$82,'New Hires Forecast'!$F$5:$F$82,"Sales",'New Hires Forecast'!$H$5:$H$82,"&gt;="&amp;Sales!Q$3,'New Hires Forecast'!$G$5:$G$82,"&lt;="&amp;Sales!Q$3)/12)),IF(YEAR(Q$3)=YEAR('New Hires Forecast'!$R$3),((SUMIFS('New Hires Forecast'!$R$5:$R$82,'New Hires Forecast'!$F$5:$F$82,"Sales",'New Hires Forecast'!$H$5:$H$82,"&gt;="&amp;Sales!Q$3,'New Hires Forecast'!$G$5:$G$82,"&lt;="&amp;Sales!Q$3)/12))))))),0)</f>
        <v>0</v>
      </c>
      <c r="R13" s="792">
        <f>IF(R$4="forecast",IF(YEAR(R$3)=YEAR('New Hires Forecast'!$N$3),((SUMIFS('New Hires Forecast'!$N$5:$N$82,'New Hires Forecast'!$F$5:$F$82,"Sales",'New Hires Forecast'!$H$5:$H$82,"&gt;="&amp;Sales!R$3,'New Hires Forecast'!$G$5:$G$82,"&lt;="&amp;Sales!R$3)/12)),IF(YEAR(R$3)=YEAR('New Hires Forecast'!$O$3),((SUMIFS('New Hires Forecast'!$O$5:$O$82,'New Hires Forecast'!$F$5:$F$82,"Sales",'New Hires Forecast'!$H$5:$H$82,"&gt;="&amp;Sales!R$3,'New Hires Forecast'!$G$5:$G$82,"&lt;="&amp;Sales!R$3)/12)),IF(YEAR(R$3)=YEAR('New Hires Forecast'!$P$3),((SUMIFS('New Hires Forecast'!$P$5:$P$82,'New Hires Forecast'!$F$5:$F$82,"Sales",'New Hires Forecast'!$H$5:$H$82,"&gt;="&amp;Sales!R$3,'New Hires Forecast'!$G$5:$G$82,"&lt;="&amp;Sales!R$3)/12)),IF(YEAR(R$3)=YEAR('New Hires Forecast'!$Q$3),((SUMIFS('New Hires Forecast'!$Q$5:$Q$82,'New Hires Forecast'!$F$5:$F$82,"Sales",'New Hires Forecast'!$H$5:$H$82,"&gt;="&amp;Sales!R$3,'New Hires Forecast'!$G$5:$G$82,"&lt;="&amp;Sales!R$3)/12)),IF(YEAR(R$3)=YEAR('New Hires Forecast'!$R$3),((SUMIFS('New Hires Forecast'!$R$5:$R$82,'New Hires Forecast'!$F$5:$F$82,"Sales",'New Hires Forecast'!$H$5:$H$82,"&gt;="&amp;Sales!R$3,'New Hires Forecast'!$G$5:$G$82,"&lt;="&amp;Sales!R$3)/12))))))),0)</f>
        <v>0</v>
      </c>
      <c r="S13" s="792">
        <f>IF(S$4="forecast",IF(YEAR(S$3)=YEAR('New Hires Forecast'!$N$3),((SUMIFS('New Hires Forecast'!$N$5:$N$82,'New Hires Forecast'!$F$5:$F$82,"Sales",'New Hires Forecast'!$H$5:$H$82,"&gt;="&amp;Sales!S$3,'New Hires Forecast'!$G$5:$G$82,"&lt;="&amp;Sales!S$3)/12)),IF(YEAR(S$3)=YEAR('New Hires Forecast'!$O$3),((SUMIFS('New Hires Forecast'!$O$5:$O$82,'New Hires Forecast'!$F$5:$F$82,"Sales",'New Hires Forecast'!$H$5:$H$82,"&gt;="&amp;Sales!S$3,'New Hires Forecast'!$G$5:$G$82,"&lt;="&amp;Sales!S$3)/12)),IF(YEAR(S$3)=YEAR('New Hires Forecast'!$P$3),((SUMIFS('New Hires Forecast'!$P$5:$P$82,'New Hires Forecast'!$F$5:$F$82,"Sales",'New Hires Forecast'!$H$5:$H$82,"&gt;="&amp;Sales!S$3,'New Hires Forecast'!$G$5:$G$82,"&lt;="&amp;Sales!S$3)/12)),IF(YEAR(S$3)=YEAR('New Hires Forecast'!$Q$3),((SUMIFS('New Hires Forecast'!$Q$5:$Q$82,'New Hires Forecast'!$F$5:$F$82,"Sales",'New Hires Forecast'!$H$5:$H$82,"&gt;="&amp;Sales!S$3,'New Hires Forecast'!$G$5:$G$82,"&lt;="&amp;Sales!S$3)/12)),IF(YEAR(S$3)=YEAR('New Hires Forecast'!$R$3),((SUMIFS('New Hires Forecast'!$R$5:$R$82,'New Hires Forecast'!$F$5:$F$82,"Sales",'New Hires Forecast'!$H$5:$H$82,"&gt;="&amp;Sales!S$3,'New Hires Forecast'!$G$5:$G$82,"&lt;="&amp;Sales!S$3)/12))))))),0)</f>
        <v>0</v>
      </c>
      <c r="T13" s="792">
        <f>IF(T$4="forecast",IF(YEAR(T$3)=YEAR('New Hires Forecast'!$N$3),((SUMIFS('New Hires Forecast'!$N$5:$N$82,'New Hires Forecast'!$F$5:$F$82,"Sales",'New Hires Forecast'!$H$5:$H$82,"&gt;="&amp;Sales!T$3,'New Hires Forecast'!$G$5:$G$82,"&lt;="&amp;Sales!T$3)/12)),IF(YEAR(T$3)=YEAR('New Hires Forecast'!$O$3),((SUMIFS('New Hires Forecast'!$O$5:$O$82,'New Hires Forecast'!$F$5:$F$82,"Sales",'New Hires Forecast'!$H$5:$H$82,"&gt;="&amp;Sales!T$3,'New Hires Forecast'!$G$5:$G$82,"&lt;="&amp;Sales!T$3)/12)),IF(YEAR(T$3)=YEAR('New Hires Forecast'!$P$3),((SUMIFS('New Hires Forecast'!$P$5:$P$82,'New Hires Forecast'!$F$5:$F$82,"Sales",'New Hires Forecast'!$H$5:$H$82,"&gt;="&amp;Sales!T$3,'New Hires Forecast'!$G$5:$G$82,"&lt;="&amp;Sales!T$3)/12)),IF(YEAR(T$3)=YEAR('New Hires Forecast'!$Q$3),((SUMIFS('New Hires Forecast'!$Q$5:$Q$82,'New Hires Forecast'!$F$5:$F$82,"Sales",'New Hires Forecast'!$H$5:$H$82,"&gt;="&amp;Sales!T$3,'New Hires Forecast'!$G$5:$G$82,"&lt;="&amp;Sales!T$3)/12)),IF(YEAR(T$3)=YEAR('New Hires Forecast'!$R$3),((SUMIFS('New Hires Forecast'!$R$5:$R$82,'New Hires Forecast'!$F$5:$F$82,"Sales",'New Hires Forecast'!$H$5:$H$82,"&gt;="&amp;Sales!T$3,'New Hires Forecast'!$G$5:$G$82,"&lt;="&amp;Sales!T$3)/12))))))),0)</f>
        <v>0</v>
      </c>
      <c r="U13" s="792">
        <f>IF(U$4="forecast",IF(YEAR(U$3)=YEAR('New Hires Forecast'!$N$3),((SUMIFS('New Hires Forecast'!$N$5:$N$82,'New Hires Forecast'!$F$5:$F$82,"Sales",'New Hires Forecast'!$H$5:$H$82,"&gt;="&amp;Sales!U$3,'New Hires Forecast'!$G$5:$G$82,"&lt;="&amp;Sales!U$3)/12)),IF(YEAR(U$3)=YEAR('New Hires Forecast'!$O$3),((SUMIFS('New Hires Forecast'!$O$5:$O$82,'New Hires Forecast'!$F$5:$F$82,"Sales",'New Hires Forecast'!$H$5:$H$82,"&gt;="&amp;Sales!U$3,'New Hires Forecast'!$G$5:$G$82,"&lt;="&amp;Sales!U$3)/12)),IF(YEAR(U$3)=YEAR('New Hires Forecast'!$P$3),((SUMIFS('New Hires Forecast'!$P$5:$P$82,'New Hires Forecast'!$F$5:$F$82,"Sales",'New Hires Forecast'!$H$5:$H$82,"&gt;="&amp;Sales!U$3,'New Hires Forecast'!$G$5:$G$82,"&lt;="&amp;Sales!U$3)/12)),IF(YEAR(U$3)=YEAR('New Hires Forecast'!$Q$3),((SUMIFS('New Hires Forecast'!$Q$5:$Q$82,'New Hires Forecast'!$F$5:$F$82,"Sales",'New Hires Forecast'!$H$5:$H$82,"&gt;="&amp;Sales!U$3,'New Hires Forecast'!$G$5:$G$82,"&lt;="&amp;Sales!U$3)/12)),IF(YEAR(U$3)=YEAR('New Hires Forecast'!$R$3),((SUMIFS('New Hires Forecast'!$R$5:$R$82,'New Hires Forecast'!$F$5:$F$82,"Sales",'New Hires Forecast'!$H$5:$H$82,"&gt;="&amp;Sales!U$3,'New Hires Forecast'!$G$5:$G$82,"&lt;="&amp;Sales!U$3)/12))))))),0)</f>
        <v>0</v>
      </c>
      <c r="V13" s="792">
        <f>IF(V$4="forecast",IF(YEAR(V$3)=YEAR('New Hires Forecast'!$N$3),((SUMIFS('New Hires Forecast'!$N$5:$N$82,'New Hires Forecast'!$F$5:$F$82,"Sales",'New Hires Forecast'!$H$5:$H$82,"&gt;="&amp;Sales!V$3,'New Hires Forecast'!$G$5:$G$82,"&lt;="&amp;Sales!V$3)/12)),IF(YEAR(V$3)=YEAR('New Hires Forecast'!$O$3),((SUMIFS('New Hires Forecast'!$O$5:$O$82,'New Hires Forecast'!$F$5:$F$82,"Sales",'New Hires Forecast'!$H$5:$H$82,"&gt;="&amp;Sales!V$3,'New Hires Forecast'!$G$5:$G$82,"&lt;="&amp;Sales!V$3)/12)),IF(YEAR(V$3)=YEAR('New Hires Forecast'!$P$3),((SUMIFS('New Hires Forecast'!$P$5:$P$82,'New Hires Forecast'!$F$5:$F$82,"Sales",'New Hires Forecast'!$H$5:$H$82,"&gt;="&amp;Sales!V$3,'New Hires Forecast'!$G$5:$G$82,"&lt;="&amp;Sales!V$3)/12)),IF(YEAR(V$3)=YEAR('New Hires Forecast'!$Q$3),((SUMIFS('New Hires Forecast'!$Q$5:$Q$82,'New Hires Forecast'!$F$5:$F$82,"Sales",'New Hires Forecast'!$H$5:$H$82,"&gt;="&amp;Sales!V$3,'New Hires Forecast'!$G$5:$G$82,"&lt;="&amp;Sales!V$3)/12)),IF(YEAR(V$3)=YEAR('New Hires Forecast'!$R$3),((SUMIFS('New Hires Forecast'!$R$5:$R$82,'New Hires Forecast'!$F$5:$F$82,"Sales",'New Hires Forecast'!$H$5:$H$82,"&gt;="&amp;Sales!V$3,'New Hires Forecast'!$G$5:$G$82,"&lt;="&amp;Sales!V$3)/12))))))),0)</f>
        <v>0</v>
      </c>
      <c r="W13" s="792">
        <f>IF(W$4="forecast",IF(YEAR(W$3)=YEAR('New Hires Forecast'!$N$3),((SUMIFS('New Hires Forecast'!$N$5:$N$82,'New Hires Forecast'!$F$5:$F$82,"Sales",'New Hires Forecast'!$H$5:$H$82,"&gt;="&amp;Sales!W$3,'New Hires Forecast'!$G$5:$G$82,"&lt;="&amp;Sales!W$3)/12)),IF(YEAR(W$3)=YEAR('New Hires Forecast'!$O$3),((SUMIFS('New Hires Forecast'!$O$5:$O$82,'New Hires Forecast'!$F$5:$F$82,"Sales",'New Hires Forecast'!$H$5:$H$82,"&gt;="&amp;Sales!W$3,'New Hires Forecast'!$G$5:$G$82,"&lt;="&amp;Sales!W$3)/12)),IF(YEAR(W$3)=YEAR('New Hires Forecast'!$P$3),((SUMIFS('New Hires Forecast'!$P$5:$P$82,'New Hires Forecast'!$F$5:$F$82,"Sales",'New Hires Forecast'!$H$5:$H$82,"&gt;="&amp;Sales!W$3,'New Hires Forecast'!$G$5:$G$82,"&lt;="&amp;Sales!W$3)/12)),IF(YEAR(W$3)=YEAR('New Hires Forecast'!$Q$3),((SUMIFS('New Hires Forecast'!$Q$5:$Q$82,'New Hires Forecast'!$F$5:$F$82,"Sales",'New Hires Forecast'!$H$5:$H$82,"&gt;="&amp;Sales!W$3,'New Hires Forecast'!$G$5:$G$82,"&lt;="&amp;Sales!W$3)/12)),IF(YEAR(W$3)=YEAR('New Hires Forecast'!$R$3),((SUMIFS('New Hires Forecast'!$R$5:$R$82,'New Hires Forecast'!$F$5:$F$82,"Sales",'New Hires Forecast'!$H$5:$H$82,"&gt;="&amp;Sales!W$3,'New Hires Forecast'!$G$5:$G$82,"&lt;="&amp;Sales!W$3)/12))))))),0)</f>
        <v>0</v>
      </c>
      <c r="X13" s="792">
        <f>IF(X$4="forecast",IF(YEAR(X$3)=YEAR('New Hires Forecast'!$N$3),((SUMIFS('New Hires Forecast'!$N$5:$N$82,'New Hires Forecast'!$F$5:$F$82,"Sales",'New Hires Forecast'!$H$5:$H$82,"&gt;="&amp;Sales!X$3,'New Hires Forecast'!$G$5:$G$82,"&lt;="&amp;Sales!X$3)/12)),IF(YEAR(X$3)=YEAR('New Hires Forecast'!$O$3),((SUMIFS('New Hires Forecast'!$O$5:$O$82,'New Hires Forecast'!$F$5:$F$82,"Sales",'New Hires Forecast'!$H$5:$H$82,"&gt;="&amp;Sales!X$3,'New Hires Forecast'!$G$5:$G$82,"&lt;="&amp;Sales!X$3)/12)),IF(YEAR(X$3)=YEAR('New Hires Forecast'!$P$3),((SUMIFS('New Hires Forecast'!$P$5:$P$82,'New Hires Forecast'!$F$5:$F$82,"Sales",'New Hires Forecast'!$H$5:$H$82,"&gt;="&amp;Sales!X$3,'New Hires Forecast'!$G$5:$G$82,"&lt;="&amp;Sales!X$3)/12)),IF(YEAR(X$3)=YEAR('New Hires Forecast'!$Q$3),((SUMIFS('New Hires Forecast'!$Q$5:$Q$82,'New Hires Forecast'!$F$5:$F$82,"Sales",'New Hires Forecast'!$H$5:$H$82,"&gt;="&amp;Sales!X$3,'New Hires Forecast'!$G$5:$G$82,"&lt;="&amp;Sales!X$3)/12)),IF(YEAR(X$3)=YEAR('New Hires Forecast'!$R$3),((SUMIFS('New Hires Forecast'!$R$5:$R$82,'New Hires Forecast'!$F$5:$F$82,"Sales",'New Hires Forecast'!$H$5:$H$82,"&gt;="&amp;Sales!X$3,'New Hires Forecast'!$G$5:$G$82,"&lt;="&amp;Sales!X$3)/12))))))),0)</f>
        <v>0</v>
      </c>
      <c r="Y13" s="792">
        <f>IF(Y$4="forecast",IF(YEAR(Y$3)=YEAR('New Hires Forecast'!$N$3),((SUMIFS('New Hires Forecast'!$N$5:$N$82,'New Hires Forecast'!$F$5:$F$82,"Sales",'New Hires Forecast'!$H$5:$H$82,"&gt;="&amp;Sales!Y$3,'New Hires Forecast'!$G$5:$G$82,"&lt;="&amp;Sales!Y$3)/12)),IF(YEAR(Y$3)=YEAR('New Hires Forecast'!$O$3),((SUMIFS('New Hires Forecast'!$O$5:$O$82,'New Hires Forecast'!$F$5:$F$82,"Sales",'New Hires Forecast'!$H$5:$H$82,"&gt;="&amp;Sales!Y$3,'New Hires Forecast'!$G$5:$G$82,"&lt;="&amp;Sales!Y$3)/12)),IF(YEAR(Y$3)=YEAR('New Hires Forecast'!$P$3),((SUMIFS('New Hires Forecast'!$P$5:$P$82,'New Hires Forecast'!$F$5:$F$82,"Sales",'New Hires Forecast'!$H$5:$H$82,"&gt;="&amp;Sales!Y$3,'New Hires Forecast'!$G$5:$G$82,"&lt;="&amp;Sales!Y$3)/12)),IF(YEAR(Y$3)=YEAR('New Hires Forecast'!$Q$3),((SUMIFS('New Hires Forecast'!$Q$5:$Q$82,'New Hires Forecast'!$F$5:$F$82,"Sales",'New Hires Forecast'!$H$5:$H$82,"&gt;="&amp;Sales!Y$3,'New Hires Forecast'!$G$5:$G$82,"&lt;="&amp;Sales!Y$3)/12)),IF(YEAR(Y$3)=YEAR('New Hires Forecast'!$R$3),((SUMIFS('New Hires Forecast'!$R$5:$R$82,'New Hires Forecast'!$F$5:$F$82,"Sales",'New Hires Forecast'!$H$5:$H$82,"&gt;="&amp;Sales!Y$3,'New Hires Forecast'!$G$5:$G$82,"&lt;="&amp;Sales!Y$3)/12))))))),0)</f>
        <v>0</v>
      </c>
      <c r="Z13" s="792">
        <f>IF(Z$4="forecast",IF(YEAR(Z$3)=YEAR('New Hires Forecast'!$N$3),((SUMIFS('New Hires Forecast'!$N$5:$N$82,'New Hires Forecast'!$F$5:$F$82,"Sales",'New Hires Forecast'!$H$5:$H$82,"&gt;="&amp;Sales!Z$3,'New Hires Forecast'!$G$5:$G$82,"&lt;="&amp;Sales!Z$3)/12)),IF(YEAR(Z$3)=YEAR('New Hires Forecast'!$O$3),((SUMIFS('New Hires Forecast'!$O$5:$O$82,'New Hires Forecast'!$F$5:$F$82,"Sales",'New Hires Forecast'!$H$5:$H$82,"&gt;="&amp;Sales!Z$3,'New Hires Forecast'!$G$5:$G$82,"&lt;="&amp;Sales!Z$3)/12)),IF(YEAR(Z$3)=YEAR('New Hires Forecast'!$P$3),((SUMIFS('New Hires Forecast'!$P$5:$P$82,'New Hires Forecast'!$F$5:$F$82,"Sales",'New Hires Forecast'!$H$5:$H$82,"&gt;="&amp;Sales!Z$3,'New Hires Forecast'!$G$5:$G$82,"&lt;="&amp;Sales!Z$3)/12)),IF(YEAR(Z$3)=YEAR('New Hires Forecast'!$Q$3),((SUMIFS('New Hires Forecast'!$Q$5:$Q$82,'New Hires Forecast'!$F$5:$F$82,"Sales",'New Hires Forecast'!$H$5:$H$82,"&gt;="&amp;Sales!Z$3,'New Hires Forecast'!$G$5:$G$82,"&lt;="&amp;Sales!Z$3)/12)),IF(YEAR(Z$3)=YEAR('New Hires Forecast'!$R$3),((SUMIFS('New Hires Forecast'!$R$5:$R$82,'New Hires Forecast'!$F$5:$F$82,"Sales",'New Hires Forecast'!$H$5:$H$82,"&gt;="&amp;Sales!Z$3,'New Hires Forecast'!$G$5:$G$82,"&lt;="&amp;Sales!Z$3)/12))))))),0)</f>
        <v>0</v>
      </c>
      <c r="AA13" s="792">
        <f>IF(AA$4="forecast",IF(YEAR(AA$3)=YEAR('New Hires Forecast'!$N$3),((SUMIFS('New Hires Forecast'!$N$5:$N$82,'New Hires Forecast'!$F$5:$F$82,"Sales",'New Hires Forecast'!$H$5:$H$82,"&gt;="&amp;Sales!AA$3,'New Hires Forecast'!$G$5:$G$82,"&lt;="&amp;Sales!AA$3)/12)),IF(YEAR(AA$3)=YEAR('New Hires Forecast'!$O$3),((SUMIFS('New Hires Forecast'!$O$5:$O$82,'New Hires Forecast'!$F$5:$F$82,"Sales",'New Hires Forecast'!$H$5:$H$82,"&gt;="&amp;Sales!AA$3,'New Hires Forecast'!$G$5:$G$82,"&lt;="&amp;Sales!AA$3)/12)),IF(YEAR(AA$3)=YEAR('New Hires Forecast'!$P$3),((SUMIFS('New Hires Forecast'!$P$5:$P$82,'New Hires Forecast'!$F$5:$F$82,"Sales",'New Hires Forecast'!$H$5:$H$82,"&gt;="&amp;Sales!AA$3,'New Hires Forecast'!$G$5:$G$82,"&lt;="&amp;Sales!AA$3)/12)),IF(YEAR(AA$3)=YEAR('New Hires Forecast'!$Q$3),((SUMIFS('New Hires Forecast'!$Q$5:$Q$82,'New Hires Forecast'!$F$5:$F$82,"Sales",'New Hires Forecast'!$H$5:$H$82,"&gt;="&amp;Sales!AA$3,'New Hires Forecast'!$G$5:$G$82,"&lt;="&amp;Sales!AA$3)/12)),IF(YEAR(AA$3)=YEAR('New Hires Forecast'!$R$3),((SUMIFS('New Hires Forecast'!$R$5:$R$82,'New Hires Forecast'!$F$5:$F$82,"Sales",'New Hires Forecast'!$H$5:$H$82,"&gt;="&amp;Sales!AA$3,'New Hires Forecast'!$G$5:$G$82,"&lt;="&amp;Sales!AA$3)/12))))))),0)</f>
        <v>0</v>
      </c>
      <c r="AB13" s="792">
        <f>IF(AB$4="forecast",IF(YEAR(AB$3)=YEAR('New Hires Forecast'!$N$3),((SUMIFS('New Hires Forecast'!$N$5:$N$82,'New Hires Forecast'!$F$5:$F$82,"Sales",'New Hires Forecast'!$H$5:$H$82,"&gt;="&amp;Sales!AB$3,'New Hires Forecast'!$G$5:$G$82,"&lt;="&amp;Sales!AB$3)/12)),IF(YEAR(AB$3)=YEAR('New Hires Forecast'!$O$3),((SUMIFS('New Hires Forecast'!$O$5:$O$82,'New Hires Forecast'!$F$5:$F$82,"Sales",'New Hires Forecast'!$H$5:$H$82,"&gt;="&amp;Sales!AB$3,'New Hires Forecast'!$G$5:$G$82,"&lt;="&amp;Sales!AB$3)/12)),IF(YEAR(AB$3)=YEAR('New Hires Forecast'!$P$3),((SUMIFS('New Hires Forecast'!$P$5:$P$82,'New Hires Forecast'!$F$5:$F$82,"Sales",'New Hires Forecast'!$H$5:$H$82,"&gt;="&amp;Sales!AB$3,'New Hires Forecast'!$G$5:$G$82,"&lt;="&amp;Sales!AB$3)/12)),IF(YEAR(AB$3)=YEAR('New Hires Forecast'!$Q$3),((SUMIFS('New Hires Forecast'!$Q$5:$Q$82,'New Hires Forecast'!$F$5:$F$82,"Sales",'New Hires Forecast'!$H$5:$H$82,"&gt;="&amp;Sales!AB$3,'New Hires Forecast'!$G$5:$G$82,"&lt;="&amp;Sales!AB$3)/12)),IF(YEAR(AB$3)=YEAR('New Hires Forecast'!$R$3),((SUMIFS('New Hires Forecast'!$R$5:$R$82,'New Hires Forecast'!$F$5:$F$82,"Sales",'New Hires Forecast'!$H$5:$H$82,"&gt;="&amp;Sales!AB$3,'New Hires Forecast'!$G$5:$G$82,"&lt;="&amp;Sales!AB$3)/12))))))),0)</f>
        <v>0</v>
      </c>
      <c r="AC13" s="792">
        <f>IF(AC$4="forecast",IF(YEAR(AC$3)=YEAR('New Hires Forecast'!$N$3),((SUMIFS('New Hires Forecast'!$N$5:$N$82,'New Hires Forecast'!$F$5:$F$82,"Sales",'New Hires Forecast'!$H$5:$H$82,"&gt;="&amp;Sales!AC$3,'New Hires Forecast'!$G$5:$G$82,"&lt;="&amp;Sales!AC$3)/12)),IF(YEAR(AC$3)=YEAR('New Hires Forecast'!$O$3),((SUMIFS('New Hires Forecast'!$O$5:$O$82,'New Hires Forecast'!$F$5:$F$82,"Sales",'New Hires Forecast'!$H$5:$H$82,"&gt;="&amp;Sales!AC$3,'New Hires Forecast'!$G$5:$G$82,"&lt;="&amp;Sales!AC$3)/12)),IF(YEAR(AC$3)=YEAR('New Hires Forecast'!$P$3),((SUMIFS('New Hires Forecast'!$P$5:$P$82,'New Hires Forecast'!$F$5:$F$82,"Sales",'New Hires Forecast'!$H$5:$H$82,"&gt;="&amp;Sales!AC$3,'New Hires Forecast'!$G$5:$G$82,"&lt;="&amp;Sales!AC$3)/12)),IF(YEAR(AC$3)=YEAR('New Hires Forecast'!$Q$3),((SUMIFS('New Hires Forecast'!$Q$5:$Q$82,'New Hires Forecast'!$F$5:$F$82,"Sales",'New Hires Forecast'!$H$5:$H$82,"&gt;="&amp;Sales!AC$3,'New Hires Forecast'!$G$5:$G$82,"&lt;="&amp;Sales!AC$3)/12)),IF(YEAR(AC$3)=YEAR('New Hires Forecast'!$R$3),((SUMIFS('New Hires Forecast'!$R$5:$R$82,'New Hires Forecast'!$F$5:$F$82,"Sales",'New Hires Forecast'!$H$5:$H$82,"&gt;="&amp;Sales!AC$3,'New Hires Forecast'!$G$5:$G$82,"&lt;="&amp;Sales!AC$3)/12))))))),0)</f>
        <v>0</v>
      </c>
      <c r="AD13" s="792">
        <f>IF(AD$4="forecast",IF(YEAR(AD$3)=YEAR('New Hires Forecast'!$N$3),((SUMIFS('New Hires Forecast'!$N$5:$N$82,'New Hires Forecast'!$F$5:$F$82,"Sales",'New Hires Forecast'!$H$5:$H$82,"&gt;="&amp;Sales!AD$3,'New Hires Forecast'!$G$5:$G$82,"&lt;="&amp;Sales!AD$3)/12)),IF(YEAR(AD$3)=YEAR('New Hires Forecast'!$O$3),((SUMIFS('New Hires Forecast'!$O$5:$O$82,'New Hires Forecast'!$F$5:$F$82,"Sales",'New Hires Forecast'!$H$5:$H$82,"&gt;="&amp;Sales!AD$3,'New Hires Forecast'!$G$5:$G$82,"&lt;="&amp;Sales!AD$3)/12)),IF(YEAR(AD$3)=YEAR('New Hires Forecast'!$P$3),((SUMIFS('New Hires Forecast'!$P$5:$P$82,'New Hires Forecast'!$F$5:$F$82,"Sales",'New Hires Forecast'!$H$5:$H$82,"&gt;="&amp;Sales!AD$3,'New Hires Forecast'!$G$5:$G$82,"&lt;="&amp;Sales!AD$3)/12)),IF(YEAR(AD$3)=YEAR('New Hires Forecast'!$Q$3),((SUMIFS('New Hires Forecast'!$Q$5:$Q$82,'New Hires Forecast'!$F$5:$F$82,"Sales",'New Hires Forecast'!$H$5:$H$82,"&gt;="&amp;Sales!AD$3,'New Hires Forecast'!$G$5:$G$82,"&lt;="&amp;Sales!AD$3)/12)),IF(YEAR(AD$3)=YEAR('New Hires Forecast'!$R$3),((SUMIFS('New Hires Forecast'!$R$5:$R$82,'New Hires Forecast'!$F$5:$F$82,"Sales",'New Hires Forecast'!$H$5:$H$82,"&gt;="&amp;Sales!AD$3,'New Hires Forecast'!$G$5:$G$82,"&lt;="&amp;Sales!AD$3)/12))))))),0)</f>
        <v>12500</v>
      </c>
      <c r="AE13" s="792">
        <f>IF(AE$4="forecast",IF(YEAR(AE$3)=YEAR('New Hires Forecast'!$N$3),((SUMIFS('New Hires Forecast'!$N$5:$N$82,'New Hires Forecast'!$F$5:$F$82,"Sales",'New Hires Forecast'!$H$5:$H$82,"&gt;="&amp;Sales!AE$3,'New Hires Forecast'!$G$5:$G$82,"&lt;="&amp;Sales!AE$3)/12)),IF(YEAR(AE$3)=YEAR('New Hires Forecast'!$O$3),((SUMIFS('New Hires Forecast'!$O$5:$O$82,'New Hires Forecast'!$F$5:$F$82,"Sales",'New Hires Forecast'!$H$5:$H$82,"&gt;="&amp;Sales!AE$3,'New Hires Forecast'!$G$5:$G$82,"&lt;="&amp;Sales!AE$3)/12)),IF(YEAR(AE$3)=YEAR('New Hires Forecast'!$P$3),((SUMIFS('New Hires Forecast'!$P$5:$P$82,'New Hires Forecast'!$F$5:$F$82,"Sales",'New Hires Forecast'!$H$5:$H$82,"&gt;="&amp;Sales!AE$3,'New Hires Forecast'!$G$5:$G$82,"&lt;="&amp;Sales!AE$3)/12)),IF(YEAR(AE$3)=YEAR('New Hires Forecast'!$Q$3),((SUMIFS('New Hires Forecast'!$Q$5:$Q$82,'New Hires Forecast'!$F$5:$F$82,"Sales",'New Hires Forecast'!$H$5:$H$82,"&gt;="&amp;Sales!AE$3,'New Hires Forecast'!$G$5:$G$82,"&lt;="&amp;Sales!AE$3)/12)),IF(YEAR(AE$3)=YEAR('New Hires Forecast'!$R$3),((SUMIFS('New Hires Forecast'!$R$5:$R$82,'New Hires Forecast'!$F$5:$F$82,"Sales",'New Hires Forecast'!$H$5:$H$82,"&gt;="&amp;Sales!AE$3,'New Hires Forecast'!$G$5:$G$82,"&lt;="&amp;Sales!AE$3)/12))))))),0)</f>
        <v>16250</v>
      </c>
      <c r="AF13" s="792">
        <f>IF(AF$4="forecast",IF(YEAR(AF$3)=YEAR('New Hires Forecast'!$N$3),((SUMIFS('New Hires Forecast'!$N$5:$N$82,'New Hires Forecast'!$F$5:$F$82,"Sales",'New Hires Forecast'!$H$5:$H$82,"&gt;="&amp;Sales!AF$3,'New Hires Forecast'!$G$5:$G$82,"&lt;="&amp;Sales!AF$3)/12)),IF(YEAR(AF$3)=YEAR('New Hires Forecast'!$O$3),((SUMIFS('New Hires Forecast'!$O$5:$O$82,'New Hires Forecast'!$F$5:$F$82,"Sales",'New Hires Forecast'!$H$5:$H$82,"&gt;="&amp;Sales!AF$3,'New Hires Forecast'!$G$5:$G$82,"&lt;="&amp;Sales!AF$3)/12)),IF(YEAR(AF$3)=YEAR('New Hires Forecast'!$P$3),((SUMIFS('New Hires Forecast'!$P$5:$P$82,'New Hires Forecast'!$F$5:$F$82,"Sales",'New Hires Forecast'!$H$5:$H$82,"&gt;="&amp;Sales!AF$3,'New Hires Forecast'!$G$5:$G$82,"&lt;="&amp;Sales!AF$3)/12)),IF(YEAR(AF$3)=YEAR('New Hires Forecast'!$Q$3),((SUMIFS('New Hires Forecast'!$Q$5:$Q$82,'New Hires Forecast'!$F$5:$F$82,"Sales",'New Hires Forecast'!$H$5:$H$82,"&gt;="&amp;Sales!AF$3,'New Hires Forecast'!$G$5:$G$82,"&lt;="&amp;Sales!AF$3)/12)),IF(YEAR(AF$3)=YEAR('New Hires Forecast'!$R$3),((SUMIFS('New Hires Forecast'!$R$5:$R$82,'New Hires Forecast'!$F$5:$F$82,"Sales",'New Hires Forecast'!$H$5:$H$82,"&gt;="&amp;Sales!AF$3,'New Hires Forecast'!$G$5:$G$82,"&lt;="&amp;Sales!AF$3)/12))))))),0)</f>
        <v>16250</v>
      </c>
      <c r="AG13" s="792">
        <f>IF(AG$4="forecast",IF(YEAR(AG$3)=YEAR('New Hires Forecast'!$N$3),((SUMIFS('New Hires Forecast'!$N$5:$N$82,'New Hires Forecast'!$F$5:$F$82,"Sales",'New Hires Forecast'!$H$5:$H$82,"&gt;="&amp;Sales!AG$3,'New Hires Forecast'!$G$5:$G$82,"&lt;="&amp;Sales!AG$3)/12)),IF(YEAR(AG$3)=YEAR('New Hires Forecast'!$O$3),((SUMIFS('New Hires Forecast'!$O$5:$O$82,'New Hires Forecast'!$F$5:$F$82,"Sales",'New Hires Forecast'!$H$5:$H$82,"&gt;="&amp;Sales!AG$3,'New Hires Forecast'!$G$5:$G$82,"&lt;="&amp;Sales!AG$3)/12)),IF(YEAR(AG$3)=YEAR('New Hires Forecast'!$P$3),((SUMIFS('New Hires Forecast'!$P$5:$P$82,'New Hires Forecast'!$F$5:$F$82,"Sales",'New Hires Forecast'!$H$5:$H$82,"&gt;="&amp;Sales!AG$3,'New Hires Forecast'!$G$5:$G$82,"&lt;="&amp;Sales!AG$3)/12)),IF(YEAR(AG$3)=YEAR('New Hires Forecast'!$Q$3),((SUMIFS('New Hires Forecast'!$Q$5:$Q$82,'New Hires Forecast'!$F$5:$F$82,"Sales",'New Hires Forecast'!$H$5:$H$82,"&gt;="&amp;Sales!AG$3,'New Hires Forecast'!$G$5:$G$82,"&lt;="&amp;Sales!AG$3)/12)),IF(YEAR(AG$3)=YEAR('New Hires Forecast'!$R$3),((SUMIFS('New Hires Forecast'!$R$5:$R$82,'New Hires Forecast'!$F$5:$F$82,"Sales",'New Hires Forecast'!$H$5:$H$82,"&gt;="&amp;Sales!AG$3,'New Hires Forecast'!$G$5:$G$82,"&lt;="&amp;Sales!AG$3)/12))))))),0)</f>
        <v>24583.333333333332</v>
      </c>
      <c r="AH13" s="792">
        <f>IF(AH$4="forecast",IF(YEAR(AH$3)=YEAR('New Hires Forecast'!$N$3),((SUMIFS('New Hires Forecast'!$N$5:$N$82,'New Hires Forecast'!$F$5:$F$82,"Sales",'New Hires Forecast'!$H$5:$H$82,"&gt;="&amp;Sales!AH$3,'New Hires Forecast'!$G$5:$G$82,"&lt;="&amp;Sales!AH$3)/12)),IF(YEAR(AH$3)=YEAR('New Hires Forecast'!$O$3),((SUMIFS('New Hires Forecast'!$O$5:$O$82,'New Hires Forecast'!$F$5:$F$82,"Sales",'New Hires Forecast'!$H$5:$H$82,"&gt;="&amp;Sales!AH$3,'New Hires Forecast'!$G$5:$G$82,"&lt;="&amp;Sales!AH$3)/12)),IF(YEAR(AH$3)=YEAR('New Hires Forecast'!$P$3),((SUMIFS('New Hires Forecast'!$P$5:$P$82,'New Hires Forecast'!$F$5:$F$82,"Sales",'New Hires Forecast'!$H$5:$H$82,"&gt;="&amp;Sales!AH$3,'New Hires Forecast'!$G$5:$G$82,"&lt;="&amp;Sales!AH$3)/12)),IF(YEAR(AH$3)=YEAR('New Hires Forecast'!$Q$3),((SUMIFS('New Hires Forecast'!$Q$5:$Q$82,'New Hires Forecast'!$F$5:$F$82,"Sales",'New Hires Forecast'!$H$5:$H$82,"&gt;="&amp;Sales!AH$3,'New Hires Forecast'!$G$5:$G$82,"&lt;="&amp;Sales!AH$3)/12)),IF(YEAR(AH$3)=YEAR('New Hires Forecast'!$R$3),((SUMIFS('New Hires Forecast'!$R$5:$R$82,'New Hires Forecast'!$F$5:$F$82,"Sales",'New Hires Forecast'!$H$5:$H$82,"&gt;="&amp;Sales!AH$3,'New Hires Forecast'!$G$5:$G$82,"&lt;="&amp;Sales!AH$3)/12))))))),0)</f>
        <v>20833.333333333332</v>
      </c>
      <c r="AI13" s="792">
        <f>IF(AI$4="forecast",IF(YEAR(AI$3)=YEAR('New Hires Forecast'!$N$3),((SUMIFS('New Hires Forecast'!$N$5:$N$82,'New Hires Forecast'!$F$5:$F$82,"Sales",'New Hires Forecast'!$H$5:$H$82,"&gt;="&amp;Sales!AI$3,'New Hires Forecast'!$G$5:$G$82,"&lt;="&amp;Sales!AI$3)/12)),IF(YEAR(AI$3)=YEAR('New Hires Forecast'!$O$3),((SUMIFS('New Hires Forecast'!$O$5:$O$82,'New Hires Forecast'!$F$5:$F$82,"Sales",'New Hires Forecast'!$H$5:$H$82,"&gt;="&amp;Sales!AI$3,'New Hires Forecast'!$G$5:$G$82,"&lt;="&amp;Sales!AI$3)/12)),IF(YEAR(AI$3)=YEAR('New Hires Forecast'!$P$3),((SUMIFS('New Hires Forecast'!$P$5:$P$82,'New Hires Forecast'!$F$5:$F$82,"Sales",'New Hires Forecast'!$H$5:$H$82,"&gt;="&amp;Sales!AI$3,'New Hires Forecast'!$G$5:$G$82,"&lt;="&amp;Sales!AI$3)/12)),IF(YEAR(AI$3)=YEAR('New Hires Forecast'!$Q$3),((SUMIFS('New Hires Forecast'!$Q$5:$Q$82,'New Hires Forecast'!$F$5:$F$82,"Sales",'New Hires Forecast'!$H$5:$H$82,"&gt;="&amp;Sales!AI$3,'New Hires Forecast'!$G$5:$G$82,"&lt;="&amp;Sales!AI$3)/12)),IF(YEAR(AI$3)=YEAR('New Hires Forecast'!$R$3),((SUMIFS('New Hires Forecast'!$R$5:$R$82,'New Hires Forecast'!$F$5:$F$82,"Sales",'New Hires Forecast'!$H$5:$H$82,"&gt;="&amp;Sales!AI$3,'New Hires Forecast'!$G$5:$G$82,"&lt;="&amp;Sales!AI$3)/12))))))),0)</f>
        <v>20833.333333333332</v>
      </c>
      <c r="AJ13" s="792">
        <f>IF(AJ$4="forecast",IF(YEAR(AJ$3)=YEAR('New Hires Forecast'!$N$3),((SUMIFS('New Hires Forecast'!$N$5:$N$82,'New Hires Forecast'!$F$5:$F$82,"Sales",'New Hires Forecast'!$H$5:$H$82,"&gt;="&amp;Sales!AJ$3,'New Hires Forecast'!$G$5:$G$82,"&lt;="&amp;Sales!AJ$3)/12)),IF(YEAR(AJ$3)=YEAR('New Hires Forecast'!$O$3),((SUMIFS('New Hires Forecast'!$O$5:$O$82,'New Hires Forecast'!$F$5:$F$82,"Sales",'New Hires Forecast'!$H$5:$H$82,"&gt;="&amp;Sales!AJ$3,'New Hires Forecast'!$G$5:$G$82,"&lt;="&amp;Sales!AJ$3)/12)),IF(YEAR(AJ$3)=YEAR('New Hires Forecast'!$P$3),((SUMIFS('New Hires Forecast'!$P$5:$P$82,'New Hires Forecast'!$F$5:$F$82,"Sales",'New Hires Forecast'!$H$5:$H$82,"&gt;="&amp;Sales!AJ$3,'New Hires Forecast'!$G$5:$G$82,"&lt;="&amp;Sales!AJ$3)/12)),IF(YEAR(AJ$3)=YEAR('New Hires Forecast'!$Q$3),((SUMIFS('New Hires Forecast'!$Q$5:$Q$82,'New Hires Forecast'!$F$5:$F$82,"Sales",'New Hires Forecast'!$H$5:$H$82,"&gt;="&amp;Sales!AJ$3,'New Hires Forecast'!$G$5:$G$82,"&lt;="&amp;Sales!AJ$3)/12)),IF(YEAR(AJ$3)=YEAR('New Hires Forecast'!$R$3),((SUMIFS('New Hires Forecast'!$R$5:$R$82,'New Hires Forecast'!$F$5:$F$82,"Sales",'New Hires Forecast'!$H$5:$H$82,"&gt;="&amp;Sales!AJ$3,'New Hires Forecast'!$G$5:$G$82,"&lt;="&amp;Sales!AJ$3)/12))))))),0)</f>
        <v>20833.333333333332</v>
      </c>
      <c r="AK13" s="792">
        <f>IF(AK$4="forecast",IF(YEAR(AK$3)=YEAR('New Hires Forecast'!$N$3),((SUMIFS('New Hires Forecast'!$N$5:$N$82,'New Hires Forecast'!$F$5:$F$82,"Sales",'New Hires Forecast'!$H$5:$H$82,"&gt;="&amp;Sales!AK$3,'New Hires Forecast'!$G$5:$G$82,"&lt;="&amp;Sales!AK$3)/12)),IF(YEAR(AK$3)=YEAR('New Hires Forecast'!$O$3),((SUMIFS('New Hires Forecast'!$O$5:$O$82,'New Hires Forecast'!$F$5:$F$82,"Sales",'New Hires Forecast'!$H$5:$H$82,"&gt;="&amp;Sales!AK$3,'New Hires Forecast'!$G$5:$G$82,"&lt;="&amp;Sales!AK$3)/12)),IF(YEAR(AK$3)=YEAR('New Hires Forecast'!$P$3),((SUMIFS('New Hires Forecast'!$P$5:$P$82,'New Hires Forecast'!$F$5:$F$82,"Sales",'New Hires Forecast'!$H$5:$H$82,"&gt;="&amp;Sales!AK$3,'New Hires Forecast'!$G$5:$G$82,"&lt;="&amp;Sales!AK$3)/12)),IF(YEAR(AK$3)=YEAR('New Hires Forecast'!$Q$3),((SUMIFS('New Hires Forecast'!$Q$5:$Q$82,'New Hires Forecast'!$F$5:$F$82,"Sales",'New Hires Forecast'!$H$5:$H$82,"&gt;="&amp;Sales!AK$3,'New Hires Forecast'!$G$5:$G$82,"&lt;="&amp;Sales!AK$3)/12)),IF(YEAR(AK$3)=YEAR('New Hires Forecast'!$R$3),((SUMIFS('New Hires Forecast'!$R$5:$R$82,'New Hires Forecast'!$F$5:$F$82,"Sales",'New Hires Forecast'!$H$5:$H$82,"&gt;="&amp;Sales!AK$3,'New Hires Forecast'!$G$5:$G$82,"&lt;="&amp;Sales!AK$3)/12))))))),0)</f>
        <v>20833.333333333332</v>
      </c>
      <c r="AL13" s="792">
        <f>IF(AL$4="forecast",IF(YEAR(AL$3)=YEAR('New Hires Forecast'!$N$3),((SUMIFS('New Hires Forecast'!$N$5:$N$82,'New Hires Forecast'!$F$5:$F$82,"Sales",'New Hires Forecast'!$H$5:$H$82,"&gt;="&amp;Sales!AL$3,'New Hires Forecast'!$G$5:$G$82,"&lt;="&amp;Sales!AL$3)/12)),IF(YEAR(AL$3)=YEAR('New Hires Forecast'!$O$3),((SUMIFS('New Hires Forecast'!$O$5:$O$82,'New Hires Forecast'!$F$5:$F$82,"Sales",'New Hires Forecast'!$H$5:$H$82,"&gt;="&amp;Sales!AL$3,'New Hires Forecast'!$G$5:$G$82,"&lt;="&amp;Sales!AL$3)/12)),IF(YEAR(AL$3)=YEAR('New Hires Forecast'!$P$3),((SUMIFS('New Hires Forecast'!$P$5:$P$82,'New Hires Forecast'!$F$5:$F$82,"Sales",'New Hires Forecast'!$H$5:$H$82,"&gt;="&amp;Sales!AL$3,'New Hires Forecast'!$G$5:$G$82,"&lt;="&amp;Sales!AL$3)/12)),IF(YEAR(AL$3)=YEAR('New Hires Forecast'!$Q$3),((SUMIFS('New Hires Forecast'!$Q$5:$Q$82,'New Hires Forecast'!$F$5:$F$82,"Sales",'New Hires Forecast'!$H$5:$H$82,"&gt;="&amp;Sales!AL$3,'New Hires Forecast'!$G$5:$G$82,"&lt;="&amp;Sales!AL$3)/12)),IF(YEAR(AL$3)=YEAR('New Hires Forecast'!$R$3),((SUMIFS('New Hires Forecast'!$R$5:$R$82,'New Hires Forecast'!$F$5:$F$82,"Sales",'New Hires Forecast'!$H$5:$H$82,"&gt;="&amp;Sales!AL$3,'New Hires Forecast'!$G$5:$G$82,"&lt;="&amp;Sales!AL$3)/12))))))),0)</f>
        <v>20833.333333333332</v>
      </c>
      <c r="AM13" s="792">
        <f>IF(AM$4="forecast",IF(YEAR(AM$3)=YEAR('New Hires Forecast'!$N$3),((SUMIFS('New Hires Forecast'!$N$5:$N$82,'New Hires Forecast'!$F$5:$F$82,"Sales",'New Hires Forecast'!$H$5:$H$82,"&gt;="&amp;Sales!AM$3,'New Hires Forecast'!$G$5:$G$82,"&lt;="&amp;Sales!AM$3)/12)),IF(YEAR(AM$3)=YEAR('New Hires Forecast'!$O$3),((SUMIFS('New Hires Forecast'!$O$5:$O$82,'New Hires Forecast'!$F$5:$F$82,"Sales",'New Hires Forecast'!$H$5:$H$82,"&gt;="&amp;Sales!AM$3,'New Hires Forecast'!$G$5:$G$82,"&lt;="&amp;Sales!AM$3)/12)),IF(YEAR(AM$3)=YEAR('New Hires Forecast'!$P$3),((SUMIFS('New Hires Forecast'!$P$5:$P$82,'New Hires Forecast'!$F$5:$F$82,"Sales",'New Hires Forecast'!$H$5:$H$82,"&gt;="&amp;Sales!AM$3,'New Hires Forecast'!$G$5:$G$82,"&lt;="&amp;Sales!AM$3)/12)),IF(YEAR(AM$3)=YEAR('New Hires Forecast'!$Q$3),((SUMIFS('New Hires Forecast'!$Q$5:$Q$82,'New Hires Forecast'!$F$5:$F$82,"Sales",'New Hires Forecast'!$H$5:$H$82,"&gt;="&amp;Sales!AM$3,'New Hires Forecast'!$G$5:$G$82,"&lt;="&amp;Sales!AM$3)/12)),IF(YEAR(AM$3)=YEAR('New Hires Forecast'!$R$3),((SUMIFS('New Hires Forecast'!$R$5:$R$82,'New Hires Forecast'!$F$5:$F$82,"Sales",'New Hires Forecast'!$H$5:$H$82,"&gt;="&amp;Sales!AM$3,'New Hires Forecast'!$G$5:$G$82,"&lt;="&amp;Sales!AM$3)/12))))))),0)</f>
        <v>21458.333333333332</v>
      </c>
      <c r="AN13" s="792">
        <f>IF(AN$4="forecast",IF(YEAR(AN$3)=YEAR('New Hires Forecast'!$N$3),((SUMIFS('New Hires Forecast'!$N$5:$N$82,'New Hires Forecast'!$F$5:$F$82,"Sales",'New Hires Forecast'!$H$5:$H$82,"&gt;="&amp;Sales!AN$3,'New Hires Forecast'!$G$5:$G$82,"&lt;="&amp;Sales!AN$3)/12)),IF(YEAR(AN$3)=YEAR('New Hires Forecast'!$O$3),((SUMIFS('New Hires Forecast'!$O$5:$O$82,'New Hires Forecast'!$F$5:$F$82,"Sales",'New Hires Forecast'!$H$5:$H$82,"&gt;="&amp;Sales!AN$3,'New Hires Forecast'!$G$5:$G$82,"&lt;="&amp;Sales!AN$3)/12)),IF(YEAR(AN$3)=YEAR('New Hires Forecast'!$P$3),((SUMIFS('New Hires Forecast'!$P$5:$P$82,'New Hires Forecast'!$F$5:$F$82,"Sales",'New Hires Forecast'!$H$5:$H$82,"&gt;="&amp;Sales!AN$3,'New Hires Forecast'!$G$5:$G$82,"&lt;="&amp;Sales!AN$3)/12)),IF(YEAR(AN$3)=YEAR('New Hires Forecast'!$Q$3),((SUMIFS('New Hires Forecast'!$Q$5:$Q$82,'New Hires Forecast'!$F$5:$F$82,"Sales",'New Hires Forecast'!$H$5:$H$82,"&gt;="&amp;Sales!AN$3,'New Hires Forecast'!$G$5:$G$82,"&lt;="&amp;Sales!AN$3)/12)),IF(YEAR(AN$3)=YEAR('New Hires Forecast'!$R$3),((SUMIFS('New Hires Forecast'!$R$5:$R$82,'New Hires Forecast'!$F$5:$F$82,"Sales",'New Hires Forecast'!$H$5:$H$82,"&gt;="&amp;Sales!AN$3,'New Hires Forecast'!$G$5:$G$82,"&lt;="&amp;Sales!AN$3)/12))))))),0)</f>
        <v>21458.333333333332</v>
      </c>
      <c r="AO13" s="792">
        <f>IF(AO$4="forecast",IF(YEAR(AO$3)=YEAR('New Hires Forecast'!$N$3),((SUMIFS('New Hires Forecast'!$N$5:$N$82,'New Hires Forecast'!$F$5:$F$82,"Sales",'New Hires Forecast'!$H$5:$H$82,"&gt;="&amp;Sales!AO$3,'New Hires Forecast'!$G$5:$G$82,"&lt;="&amp;Sales!AO$3)/12)),IF(YEAR(AO$3)=YEAR('New Hires Forecast'!$O$3),((SUMIFS('New Hires Forecast'!$O$5:$O$82,'New Hires Forecast'!$F$5:$F$82,"Sales",'New Hires Forecast'!$H$5:$H$82,"&gt;="&amp;Sales!AO$3,'New Hires Forecast'!$G$5:$G$82,"&lt;="&amp;Sales!AO$3)/12)),IF(YEAR(AO$3)=YEAR('New Hires Forecast'!$P$3),((SUMIFS('New Hires Forecast'!$P$5:$P$82,'New Hires Forecast'!$F$5:$F$82,"Sales",'New Hires Forecast'!$H$5:$H$82,"&gt;="&amp;Sales!AO$3,'New Hires Forecast'!$G$5:$G$82,"&lt;="&amp;Sales!AO$3)/12)),IF(YEAR(AO$3)=YEAR('New Hires Forecast'!$Q$3),((SUMIFS('New Hires Forecast'!$Q$5:$Q$82,'New Hires Forecast'!$F$5:$F$82,"Sales",'New Hires Forecast'!$H$5:$H$82,"&gt;="&amp;Sales!AO$3,'New Hires Forecast'!$G$5:$G$82,"&lt;="&amp;Sales!AO$3)/12)),IF(YEAR(AO$3)=YEAR('New Hires Forecast'!$R$3),((SUMIFS('New Hires Forecast'!$R$5:$R$82,'New Hires Forecast'!$F$5:$F$82,"Sales",'New Hires Forecast'!$H$5:$H$82,"&gt;="&amp;Sales!AO$3,'New Hires Forecast'!$G$5:$G$82,"&lt;="&amp;Sales!AO$3)/12))))))),0)</f>
        <v>21458.333333333332</v>
      </c>
      <c r="AP13" s="792">
        <f>IF(AP$4="forecast",IF(YEAR(AP$3)=YEAR('New Hires Forecast'!$N$3),((SUMIFS('New Hires Forecast'!$N$5:$N$82,'New Hires Forecast'!$F$5:$F$82,"Sales",'New Hires Forecast'!$H$5:$H$82,"&gt;="&amp;Sales!AP$3,'New Hires Forecast'!$G$5:$G$82,"&lt;="&amp;Sales!AP$3)/12)),IF(YEAR(AP$3)=YEAR('New Hires Forecast'!$O$3),((SUMIFS('New Hires Forecast'!$O$5:$O$82,'New Hires Forecast'!$F$5:$F$82,"Sales",'New Hires Forecast'!$H$5:$H$82,"&gt;="&amp;Sales!AP$3,'New Hires Forecast'!$G$5:$G$82,"&lt;="&amp;Sales!AP$3)/12)),IF(YEAR(AP$3)=YEAR('New Hires Forecast'!$P$3),((SUMIFS('New Hires Forecast'!$P$5:$P$82,'New Hires Forecast'!$F$5:$F$82,"Sales",'New Hires Forecast'!$H$5:$H$82,"&gt;="&amp;Sales!AP$3,'New Hires Forecast'!$G$5:$G$82,"&lt;="&amp;Sales!AP$3)/12)),IF(YEAR(AP$3)=YEAR('New Hires Forecast'!$Q$3),((SUMIFS('New Hires Forecast'!$Q$5:$Q$82,'New Hires Forecast'!$F$5:$F$82,"Sales",'New Hires Forecast'!$H$5:$H$82,"&gt;="&amp;Sales!AP$3,'New Hires Forecast'!$G$5:$G$82,"&lt;="&amp;Sales!AP$3)/12)),IF(YEAR(AP$3)=YEAR('New Hires Forecast'!$R$3),((SUMIFS('New Hires Forecast'!$R$5:$R$82,'New Hires Forecast'!$F$5:$F$82,"Sales",'New Hires Forecast'!$H$5:$H$82,"&gt;="&amp;Sales!AP$3,'New Hires Forecast'!$G$5:$G$82,"&lt;="&amp;Sales!AP$3)/12))))))),0)</f>
        <v>21458.333333333332</v>
      </c>
      <c r="AQ13" s="792">
        <f>IF(AQ$4="forecast",IF(YEAR(AQ$3)=YEAR('New Hires Forecast'!$N$3),((SUMIFS('New Hires Forecast'!$N$5:$N$82,'New Hires Forecast'!$F$5:$F$82,"Sales",'New Hires Forecast'!$H$5:$H$82,"&gt;="&amp;Sales!AQ$3,'New Hires Forecast'!$G$5:$G$82,"&lt;="&amp;Sales!AQ$3)/12)),IF(YEAR(AQ$3)=YEAR('New Hires Forecast'!$O$3),((SUMIFS('New Hires Forecast'!$O$5:$O$82,'New Hires Forecast'!$F$5:$F$82,"Sales",'New Hires Forecast'!$H$5:$H$82,"&gt;="&amp;Sales!AQ$3,'New Hires Forecast'!$G$5:$G$82,"&lt;="&amp;Sales!AQ$3)/12)),IF(YEAR(AQ$3)=YEAR('New Hires Forecast'!$P$3),((SUMIFS('New Hires Forecast'!$P$5:$P$82,'New Hires Forecast'!$F$5:$F$82,"Sales",'New Hires Forecast'!$H$5:$H$82,"&gt;="&amp;Sales!AQ$3,'New Hires Forecast'!$G$5:$G$82,"&lt;="&amp;Sales!AQ$3)/12)),IF(YEAR(AQ$3)=YEAR('New Hires Forecast'!$Q$3),((SUMIFS('New Hires Forecast'!$Q$5:$Q$82,'New Hires Forecast'!$F$5:$F$82,"Sales",'New Hires Forecast'!$H$5:$H$82,"&gt;="&amp;Sales!AQ$3,'New Hires Forecast'!$G$5:$G$82,"&lt;="&amp;Sales!AQ$3)/12)),IF(YEAR(AQ$3)=YEAR('New Hires Forecast'!$R$3),((SUMIFS('New Hires Forecast'!$R$5:$R$82,'New Hires Forecast'!$F$5:$F$82,"Sales",'New Hires Forecast'!$H$5:$H$82,"&gt;="&amp;Sales!AQ$3,'New Hires Forecast'!$G$5:$G$82,"&lt;="&amp;Sales!AQ$3)/12))))))),0)</f>
        <v>21458.333333333332</v>
      </c>
      <c r="AR13" s="792">
        <f>IF(AR$4="forecast",IF(YEAR(AR$3)=YEAR('New Hires Forecast'!$N$3),((SUMIFS('New Hires Forecast'!$N$5:$N$82,'New Hires Forecast'!$F$5:$F$82,"Sales",'New Hires Forecast'!$H$5:$H$82,"&gt;="&amp;Sales!AR$3,'New Hires Forecast'!$G$5:$G$82,"&lt;="&amp;Sales!AR$3)/12)),IF(YEAR(AR$3)=YEAR('New Hires Forecast'!$O$3),((SUMIFS('New Hires Forecast'!$O$5:$O$82,'New Hires Forecast'!$F$5:$F$82,"Sales",'New Hires Forecast'!$H$5:$H$82,"&gt;="&amp;Sales!AR$3,'New Hires Forecast'!$G$5:$G$82,"&lt;="&amp;Sales!AR$3)/12)),IF(YEAR(AR$3)=YEAR('New Hires Forecast'!$P$3),((SUMIFS('New Hires Forecast'!$P$5:$P$82,'New Hires Forecast'!$F$5:$F$82,"Sales",'New Hires Forecast'!$H$5:$H$82,"&gt;="&amp;Sales!AR$3,'New Hires Forecast'!$G$5:$G$82,"&lt;="&amp;Sales!AR$3)/12)),IF(YEAR(AR$3)=YEAR('New Hires Forecast'!$Q$3),((SUMIFS('New Hires Forecast'!$Q$5:$Q$82,'New Hires Forecast'!$F$5:$F$82,"Sales",'New Hires Forecast'!$H$5:$H$82,"&gt;="&amp;Sales!AR$3,'New Hires Forecast'!$G$5:$G$82,"&lt;="&amp;Sales!AR$3)/12)),IF(YEAR(AR$3)=YEAR('New Hires Forecast'!$R$3),((SUMIFS('New Hires Forecast'!$R$5:$R$82,'New Hires Forecast'!$F$5:$F$82,"Sales",'New Hires Forecast'!$H$5:$H$82,"&gt;="&amp;Sales!AR$3,'New Hires Forecast'!$G$5:$G$82,"&lt;="&amp;Sales!AR$3)/12))))))),0)</f>
        <v>21458.333333333332</v>
      </c>
      <c r="AS13" s="792">
        <f>IF(AS$4="forecast",IF(YEAR(AS$3)=YEAR('New Hires Forecast'!$N$3),((SUMIFS('New Hires Forecast'!$N$5:$N$82,'New Hires Forecast'!$F$5:$F$82,"Sales",'New Hires Forecast'!$H$5:$H$82,"&gt;="&amp;Sales!AS$3,'New Hires Forecast'!$G$5:$G$82,"&lt;="&amp;Sales!AS$3)/12)),IF(YEAR(AS$3)=YEAR('New Hires Forecast'!$O$3),((SUMIFS('New Hires Forecast'!$O$5:$O$82,'New Hires Forecast'!$F$5:$F$82,"Sales",'New Hires Forecast'!$H$5:$H$82,"&gt;="&amp;Sales!AS$3,'New Hires Forecast'!$G$5:$G$82,"&lt;="&amp;Sales!AS$3)/12)),IF(YEAR(AS$3)=YEAR('New Hires Forecast'!$P$3),((SUMIFS('New Hires Forecast'!$P$5:$P$82,'New Hires Forecast'!$F$5:$F$82,"Sales",'New Hires Forecast'!$H$5:$H$82,"&gt;="&amp;Sales!AS$3,'New Hires Forecast'!$G$5:$G$82,"&lt;="&amp;Sales!AS$3)/12)),IF(YEAR(AS$3)=YEAR('New Hires Forecast'!$Q$3),((SUMIFS('New Hires Forecast'!$Q$5:$Q$82,'New Hires Forecast'!$F$5:$F$82,"Sales",'New Hires Forecast'!$H$5:$H$82,"&gt;="&amp;Sales!AS$3,'New Hires Forecast'!$G$5:$G$82,"&lt;="&amp;Sales!AS$3)/12)),IF(YEAR(AS$3)=YEAR('New Hires Forecast'!$R$3),((SUMIFS('New Hires Forecast'!$R$5:$R$82,'New Hires Forecast'!$F$5:$F$82,"Sales",'New Hires Forecast'!$H$5:$H$82,"&gt;="&amp;Sales!AS$3,'New Hires Forecast'!$G$5:$G$82,"&lt;="&amp;Sales!AS$3)/12))))))),0)</f>
        <v>21458.333333333332</v>
      </c>
      <c r="AT13" s="792">
        <f>IF(AT$4="forecast",IF(YEAR(AT$3)=YEAR('New Hires Forecast'!$N$3),((SUMIFS('New Hires Forecast'!$N$5:$N$82,'New Hires Forecast'!$F$5:$F$82,"Sales",'New Hires Forecast'!$H$5:$H$82,"&gt;="&amp;Sales!AT$3,'New Hires Forecast'!$G$5:$G$82,"&lt;="&amp;Sales!AT$3)/12)),IF(YEAR(AT$3)=YEAR('New Hires Forecast'!$O$3),((SUMIFS('New Hires Forecast'!$O$5:$O$82,'New Hires Forecast'!$F$5:$F$82,"Sales",'New Hires Forecast'!$H$5:$H$82,"&gt;="&amp;Sales!AT$3,'New Hires Forecast'!$G$5:$G$82,"&lt;="&amp;Sales!AT$3)/12)),IF(YEAR(AT$3)=YEAR('New Hires Forecast'!$P$3),((SUMIFS('New Hires Forecast'!$P$5:$P$82,'New Hires Forecast'!$F$5:$F$82,"Sales",'New Hires Forecast'!$H$5:$H$82,"&gt;="&amp;Sales!AT$3,'New Hires Forecast'!$G$5:$G$82,"&lt;="&amp;Sales!AT$3)/12)),IF(YEAR(AT$3)=YEAR('New Hires Forecast'!$Q$3),((SUMIFS('New Hires Forecast'!$Q$5:$Q$82,'New Hires Forecast'!$F$5:$F$82,"Sales",'New Hires Forecast'!$H$5:$H$82,"&gt;="&amp;Sales!AT$3,'New Hires Forecast'!$G$5:$G$82,"&lt;="&amp;Sales!AT$3)/12)),IF(YEAR(AT$3)=YEAR('New Hires Forecast'!$R$3),((SUMIFS('New Hires Forecast'!$R$5:$R$82,'New Hires Forecast'!$F$5:$F$82,"Sales",'New Hires Forecast'!$H$5:$H$82,"&gt;="&amp;Sales!AT$3,'New Hires Forecast'!$G$5:$G$82,"&lt;="&amp;Sales!AT$3)/12))))))),0)</f>
        <v>21458.333333333332</v>
      </c>
      <c r="AU13" s="792">
        <f>IF(AU$4="forecast",IF(YEAR(AU$3)=YEAR('New Hires Forecast'!$N$3),((SUMIFS('New Hires Forecast'!$N$5:$N$82,'New Hires Forecast'!$F$5:$F$82,"Sales",'New Hires Forecast'!$H$5:$H$82,"&gt;="&amp;Sales!AU$3,'New Hires Forecast'!$G$5:$G$82,"&lt;="&amp;Sales!AU$3)/12)),IF(YEAR(AU$3)=YEAR('New Hires Forecast'!$O$3),((SUMIFS('New Hires Forecast'!$O$5:$O$82,'New Hires Forecast'!$F$5:$F$82,"Sales",'New Hires Forecast'!$H$5:$H$82,"&gt;="&amp;Sales!AU$3,'New Hires Forecast'!$G$5:$G$82,"&lt;="&amp;Sales!AU$3)/12)),IF(YEAR(AU$3)=YEAR('New Hires Forecast'!$P$3),((SUMIFS('New Hires Forecast'!$P$5:$P$82,'New Hires Forecast'!$F$5:$F$82,"Sales",'New Hires Forecast'!$H$5:$H$82,"&gt;="&amp;Sales!AU$3,'New Hires Forecast'!$G$5:$G$82,"&lt;="&amp;Sales!AU$3)/12)),IF(YEAR(AU$3)=YEAR('New Hires Forecast'!$Q$3),((SUMIFS('New Hires Forecast'!$Q$5:$Q$82,'New Hires Forecast'!$F$5:$F$82,"Sales",'New Hires Forecast'!$H$5:$H$82,"&gt;="&amp;Sales!AU$3,'New Hires Forecast'!$G$5:$G$82,"&lt;="&amp;Sales!AU$3)/12)),IF(YEAR(AU$3)=YEAR('New Hires Forecast'!$R$3),((SUMIFS('New Hires Forecast'!$R$5:$R$82,'New Hires Forecast'!$F$5:$F$82,"Sales",'New Hires Forecast'!$H$5:$H$82,"&gt;="&amp;Sales!AU$3,'New Hires Forecast'!$G$5:$G$82,"&lt;="&amp;Sales!AU$3)/12))))))),0)</f>
        <v>21458.333333333332</v>
      </c>
      <c r="AV13" s="792">
        <f>IF(AV$4="forecast",IF(YEAR(AV$3)=YEAR('New Hires Forecast'!$N$3),((SUMIFS('New Hires Forecast'!$N$5:$N$82,'New Hires Forecast'!$F$5:$F$82,"Sales",'New Hires Forecast'!$H$5:$H$82,"&gt;="&amp;Sales!AV$3,'New Hires Forecast'!$G$5:$G$82,"&lt;="&amp;Sales!AV$3)/12)),IF(YEAR(AV$3)=YEAR('New Hires Forecast'!$O$3),((SUMIFS('New Hires Forecast'!$O$5:$O$82,'New Hires Forecast'!$F$5:$F$82,"Sales",'New Hires Forecast'!$H$5:$H$82,"&gt;="&amp;Sales!AV$3,'New Hires Forecast'!$G$5:$G$82,"&lt;="&amp;Sales!AV$3)/12)),IF(YEAR(AV$3)=YEAR('New Hires Forecast'!$P$3),((SUMIFS('New Hires Forecast'!$P$5:$P$82,'New Hires Forecast'!$F$5:$F$82,"Sales",'New Hires Forecast'!$H$5:$H$82,"&gt;="&amp;Sales!AV$3,'New Hires Forecast'!$G$5:$G$82,"&lt;="&amp;Sales!AV$3)/12)),IF(YEAR(AV$3)=YEAR('New Hires Forecast'!$Q$3),((SUMIFS('New Hires Forecast'!$Q$5:$Q$82,'New Hires Forecast'!$F$5:$F$82,"Sales",'New Hires Forecast'!$H$5:$H$82,"&gt;="&amp;Sales!AV$3,'New Hires Forecast'!$G$5:$G$82,"&lt;="&amp;Sales!AV$3)/12)),IF(YEAR(AV$3)=YEAR('New Hires Forecast'!$R$3),((SUMIFS('New Hires Forecast'!$R$5:$R$82,'New Hires Forecast'!$F$5:$F$82,"Sales",'New Hires Forecast'!$H$5:$H$82,"&gt;="&amp;Sales!AV$3,'New Hires Forecast'!$G$5:$G$82,"&lt;="&amp;Sales!AV$3)/12))))))),0)</f>
        <v>21458.333333333332</v>
      </c>
      <c r="AW13" s="792">
        <f>IF(AW$4="forecast",IF(YEAR(AW$3)=YEAR('New Hires Forecast'!$N$3),((SUMIFS('New Hires Forecast'!$N$5:$N$82,'New Hires Forecast'!$F$5:$F$82,"Sales",'New Hires Forecast'!$H$5:$H$82,"&gt;="&amp;Sales!AW$3,'New Hires Forecast'!$G$5:$G$82,"&lt;="&amp;Sales!AW$3)/12)),IF(YEAR(AW$3)=YEAR('New Hires Forecast'!$O$3),((SUMIFS('New Hires Forecast'!$O$5:$O$82,'New Hires Forecast'!$F$5:$F$82,"Sales",'New Hires Forecast'!$H$5:$H$82,"&gt;="&amp;Sales!AW$3,'New Hires Forecast'!$G$5:$G$82,"&lt;="&amp;Sales!AW$3)/12)),IF(YEAR(AW$3)=YEAR('New Hires Forecast'!$P$3),((SUMIFS('New Hires Forecast'!$P$5:$P$82,'New Hires Forecast'!$F$5:$F$82,"Sales",'New Hires Forecast'!$H$5:$H$82,"&gt;="&amp;Sales!AW$3,'New Hires Forecast'!$G$5:$G$82,"&lt;="&amp;Sales!AW$3)/12)),IF(YEAR(AW$3)=YEAR('New Hires Forecast'!$Q$3),((SUMIFS('New Hires Forecast'!$Q$5:$Q$82,'New Hires Forecast'!$F$5:$F$82,"Sales",'New Hires Forecast'!$H$5:$H$82,"&gt;="&amp;Sales!AW$3,'New Hires Forecast'!$G$5:$G$82,"&lt;="&amp;Sales!AW$3)/12)),IF(YEAR(AW$3)=YEAR('New Hires Forecast'!$R$3),((SUMIFS('New Hires Forecast'!$R$5:$R$82,'New Hires Forecast'!$F$5:$F$82,"Sales",'New Hires Forecast'!$H$5:$H$82,"&gt;="&amp;Sales!AW$3,'New Hires Forecast'!$G$5:$G$82,"&lt;="&amp;Sales!AW$3)/12))))))),0)</f>
        <v>21458.333333333332</v>
      </c>
      <c r="AX13" s="792">
        <f>IF(AX$4="forecast",IF(YEAR(AX$3)=YEAR('New Hires Forecast'!$N$3),((SUMIFS('New Hires Forecast'!$N$5:$N$82,'New Hires Forecast'!$F$5:$F$82,"Sales",'New Hires Forecast'!$H$5:$H$82,"&gt;="&amp;Sales!AX$3,'New Hires Forecast'!$G$5:$G$82,"&lt;="&amp;Sales!AX$3)/12)),IF(YEAR(AX$3)=YEAR('New Hires Forecast'!$O$3),((SUMIFS('New Hires Forecast'!$O$5:$O$82,'New Hires Forecast'!$F$5:$F$82,"Sales",'New Hires Forecast'!$H$5:$H$82,"&gt;="&amp;Sales!AX$3,'New Hires Forecast'!$G$5:$G$82,"&lt;="&amp;Sales!AX$3)/12)),IF(YEAR(AX$3)=YEAR('New Hires Forecast'!$P$3),((SUMIFS('New Hires Forecast'!$P$5:$P$82,'New Hires Forecast'!$F$5:$F$82,"Sales",'New Hires Forecast'!$H$5:$H$82,"&gt;="&amp;Sales!AX$3,'New Hires Forecast'!$G$5:$G$82,"&lt;="&amp;Sales!AX$3)/12)),IF(YEAR(AX$3)=YEAR('New Hires Forecast'!$Q$3),((SUMIFS('New Hires Forecast'!$Q$5:$Q$82,'New Hires Forecast'!$F$5:$F$82,"Sales",'New Hires Forecast'!$H$5:$H$82,"&gt;="&amp;Sales!AX$3,'New Hires Forecast'!$G$5:$G$82,"&lt;="&amp;Sales!AX$3)/12)),IF(YEAR(AX$3)=YEAR('New Hires Forecast'!$R$3),((SUMIFS('New Hires Forecast'!$R$5:$R$82,'New Hires Forecast'!$F$5:$F$82,"Sales",'New Hires Forecast'!$H$5:$H$82,"&gt;="&amp;Sales!AX$3,'New Hires Forecast'!$G$5:$G$82,"&lt;="&amp;Sales!AX$3)/12))))))),0)</f>
        <v>21458.333333333332</v>
      </c>
      <c r="AY13" s="792">
        <f>IF(AY$4="forecast",IF(YEAR(AY$3)=YEAR('New Hires Forecast'!$N$3),((SUMIFS('New Hires Forecast'!$N$5:$N$82,'New Hires Forecast'!$F$5:$F$82,"Sales",'New Hires Forecast'!$H$5:$H$82,"&gt;="&amp;Sales!AY$3,'New Hires Forecast'!$G$5:$G$82,"&lt;="&amp;Sales!AY$3)/12)),IF(YEAR(AY$3)=YEAR('New Hires Forecast'!$O$3),((SUMIFS('New Hires Forecast'!$O$5:$O$82,'New Hires Forecast'!$F$5:$F$82,"Sales",'New Hires Forecast'!$H$5:$H$82,"&gt;="&amp;Sales!AY$3,'New Hires Forecast'!$G$5:$G$82,"&lt;="&amp;Sales!AY$3)/12)),IF(YEAR(AY$3)=YEAR('New Hires Forecast'!$P$3),((SUMIFS('New Hires Forecast'!$P$5:$P$82,'New Hires Forecast'!$F$5:$F$82,"Sales",'New Hires Forecast'!$H$5:$H$82,"&gt;="&amp;Sales!AY$3,'New Hires Forecast'!$G$5:$G$82,"&lt;="&amp;Sales!AY$3)/12)),IF(YEAR(AY$3)=YEAR('New Hires Forecast'!$Q$3),((SUMIFS('New Hires Forecast'!$Q$5:$Q$82,'New Hires Forecast'!$F$5:$F$82,"Sales",'New Hires Forecast'!$H$5:$H$82,"&gt;="&amp;Sales!AY$3,'New Hires Forecast'!$G$5:$G$82,"&lt;="&amp;Sales!AY$3)/12)),IF(YEAR(AY$3)=YEAR('New Hires Forecast'!$R$3),((SUMIFS('New Hires Forecast'!$R$5:$R$82,'New Hires Forecast'!$F$5:$F$82,"Sales",'New Hires Forecast'!$H$5:$H$82,"&gt;="&amp;Sales!AY$3,'New Hires Forecast'!$G$5:$G$82,"&lt;="&amp;Sales!AY$3)/12))))))),0)</f>
        <v>22102.083333333332</v>
      </c>
      <c r="AZ13" s="792">
        <f>IF(AZ$4="forecast",IF(YEAR(AZ$3)=YEAR('New Hires Forecast'!$N$3),((SUMIFS('New Hires Forecast'!$N$5:$N$82,'New Hires Forecast'!$F$5:$F$82,"Sales",'New Hires Forecast'!$H$5:$H$82,"&gt;="&amp;Sales!AZ$3,'New Hires Forecast'!$G$5:$G$82,"&lt;="&amp;Sales!AZ$3)/12)),IF(YEAR(AZ$3)=YEAR('New Hires Forecast'!$O$3),((SUMIFS('New Hires Forecast'!$O$5:$O$82,'New Hires Forecast'!$F$5:$F$82,"Sales",'New Hires Forecast'!$H$5:$H$82,"&gt;="&amp;Sales!AZ$3,'New Hires Forecast'!$G$5:$G$82,"&lt;="&amp;Sales!AZ$3)/12)),IF(YEAR(AZ$3)=YEAR('New Hires Forecast'!$P$3),((SUMIFS('New Hires Forecast'!$P$5:$P$82,'New Hires Forecast'!$F$5:$F$82,"Sales",'New Hires Forecast'!$H$5:$H$82,"&gt;="&amp;Sales!AZ$3,'New Hires Forecast'!$G$5:$G$82,"&lt;="&amp;Sales!AZ$3)/12)),IF(YEAR(AZ$3)=YEAR('New Hires Forecast'!$Q$3),((SUMIFS('New Hires Forecast'!$Q$5:$Q$82,'New Hires Forecast'!$F$5:$F$82,"Sales",'New Hires Forecast'!$H$5:$H$82,"&gt;="&amp;Sales!AZ$3,'New Hires Forecast'!$G$5:$G$82,"&lt;="&amp;Sales!AZ$3)/12)),IF(YEAR(AZ$3)=YEAR('New Hires Forecast'!$R$3),((SUMIFS('New Hires Forecast'!$R$5:$R$82,'New Hires Forecast'!$F$5:$F$82,"Sales",'New Hires Forecast'!$H$5:$H$82,"&gt;="&amp;Sales!AZ$3,'New Hires Forecast'!$G$5:$G$82,"&lt;="&amp;Sales!AZ$3)/12))))))),0)</f>
        <v>22102.083333333332</v>
      </c>
      <c r="BA13" s="792">
        <f>IF(BA$4="forecast",IF(YEAR(BA$3)=YEAR('New Hires Forecast'!$N$3),((SUMIFS('New Hires Forecast'!$N$5:$N$82,'New Hires Forecast'!$F$5:$F$82,"Sales",'New Hires Forecast'!$H$5:$H$82,"&gt;="&amp;Sales!BA$3,'New Hires Forecast'!$G$5:$G$82,"&lt;="&amp;Sales!BA$3)/12)),IF(YEAR(BA$3)=YEAR('New Hires Forecast'!$O$3),((SUMIFS('New Hires Forecast'!$O$5:$O$82,'New Hires Forecast'!$F$5:$F$82,"Sales",'New Hires Forecast'!$H$5:$H$82,"&gt;="&amp;Sales!BA$3,'New Hires Forecast'!$G$5:$G$82,"&lt;="&amp;Sales!BA$3)/12)),IF(YEAR(BA$3)=YEAR('New Hires Forecast'!$P$3),((SUMIFS('New Hires Forecast'!$P$5:$P$82,'New Hires Forecast'!$F$5:$F$82,"Sales",'New Hires Forecast'!$H$5:$H$82,"&gt;="&amp;Sales!BA$3,'New Hires Forecast'!$G$5:$G$82,"&lt;="&amp;Sales!BA$3)/12)),IF(YEAR(BA$3)=YEAR('New Hires Forecast'!$Q$3),((SUMIFS('New Hires Forecast'!$Q$5:$Q$82,'New Hires Forecast'!$F$5:$F$82,"Sales",'New Hires Forecast'!$H$5:$H$82,"&gt;="&amp;Sales!BA$3,'New Hires Forecast'!$G$5:$G$82,"&lt;="&amp;Sales!BA$3)/12)),IF(YEAR(BA$3)=YEAR('New Hires Forecast'!$R$3),((SUMIFS('New Hires Forecast'!$R$5:$R$82,'New Hires Forecast'!$F$5:$F$82,"Sales",'New Hires Forecast'!$H$5:$H$82,"&gt;="&amp;Sales!BA$3,'New Hires Forecast'!$G$5:$G$82,"&lt;="&amp;Sales!BA$3)/12))))))),0)</f>
        <v>22102.083333333332</v>
      </c>
      <c r="BB13" s="792">
        <f>IF(BB$4="forecast",IF(YEAR(BB$3)=YEAR('New Hires Forecast'!$N$3),((SUMIFS('New Hires Forecast'!$N$5:$N$82,'New Hires Forecast'!$F$5:$F$82,"Sales",'New Hires Forecast'!$H$5:$H$82,"&gt;="&amp;Sales!BB$3,'New Hires Forecast'!$G$5:$G$82,"&lt;="&amp;Sales!BB$3)/12)),IF(YEAR(BB$3)=YEAR('New Hires Forecast'!$O$3),((SUMIFS('New Hires Forecast'!$O$5:$O$82,'New Hires Forecast'!$F$5:$F$82,"Sales",'New Hires Forecast'!$H$5:$H$82,"&gt;="&amp;Sales!BB$3,'New Hires Forecast'!$G$5:$G$82,"&lt;="&amp;Sales!BB$3)/12)),IF(YEAR(BB$3)=YEAR('New Hires Forecast'!$P$3),((SUMIFS('New Hires Forecast'!$P$5:$P$82,'New Hires Forecast'!$F$5:$F$82,"Sales",'New Hires Forecast'!$H$5:$H$82,"&gt;="&amp;Sales!BB$3,'New Hires Forecast'!$G$5:$G$82,"&lt;="&amp;Sales!BB$3)/12)),IF(YEAR(BB$3)=YEAR('New Hires Forecast'!$Q$3),((SUMIFS('New Hires Forecast'!$Q$5:$Q$82,'New Hires Forecast'!$F$5:$F$82,"Sales",'New Hires Forecast'!$H$5:$H$82,"&gt;="&amp;Sales!BB$3,'New Hires Forecast'!$G$5:$G$82,"&lt;="&amp;Sales!BB$3)/12)),IF(YEAR(BB$3)=YEAR('New Hires Forecast'!$R$3),((SUMIFS('New Hires Forecast'!$R$5:$R$82,'New Hires Forecast'!$F$5:$F$82,"Sales",'New Hires Forecast'!$H$5:$H$82,"&gt;="&amp;Sales!BB$3,'New Hires Forecast'!$G$5:$G$82,"&lt;="&amp;Sales!BB$3)/12))))))),0)</f>
        <v>22102.083333333332</v>
      </c>
      <c r="BC13" s="792">
        <f>IF(BC$4="forecast",IF(YEAR(BC$3)=YEAR('New Hires Forecast'!$N$3),((SUMIFS('New Hires Forecast'!$N$5:$N$82,'New Hires Forecast'!$F$5:$F$82,"Sales",'New Hires Forecast'!$H$5:$H$82,"&gt;="&amp;Sales!BC$3,'New Hires Forecast'!$G$5:$G$82,"&lt;="&amp;Sales!BC$3)/12)),IF(YEAR(BC$3)=YEAR('New Hires Forecast'!$O$3),((SUMIFS('New Hires Forecast'!$O$5:$O$82,'New Hires Forecast'!$F$5:$F$82,"Sales",'New Hires Forecast'!$H$5:$H$82,"&gt;="&amp;Sales!BC$3,'New Hires Forecast'!$G$5:$G$82,"&lt;="&amp;Sales!BC$3)/12)),IF(YEAR(BC$3)=YEAR('New Hires Forecast'!$P$3),((SUMIFS('New Hires Forecast'!$P$5:$P$82,'New Hires Forecast'!$F$5:$F$82,"Sales",'New Hires Forecast'!$H$5:$H$82,"&gt;="&amp;Sales!BC$3,'New Hires Forecast'!$G$5:$G$82,"&lt;="&amp;Sales!BC$3)/12)),IF(YEAR(BC$3)=YEAR('New Hires Forecast'!$Q$3),((SUMIFS('New Hires Forecast'!$Q$5:$Q$82,'New Hires Forecast'!$F$5:$F$82,"Sales",'New Hires Forecast'!$H$5:$H$82,"&gt;="&amp;Sales!BC$3,'New Hires Forecast'!$G$5:$G$82,"&lt;="&amp;Sales!BC$3)/12)),IF(YEAR(BC$3)=YEAR('New Hires Forecast'!$R$3),((SUMIFS('New Hires Forecast'!$R$5:$R$82,'New Hires Forecast'!$F$5:$F$82,"Sales",'New Hires Forecast'!$H$5:$H$82,"&gt;="&amp;Sales!BC$3,'New Hires Forecast'!$G$5:$G$82,"&lt;="&amp;Sales!BC$3)/12))))))),0)</f>
        <v>22102.083333333332</v>
      </c>
      <c r="BD13" s="792">
        <f>IF(BD$4="forecast",IF(YEAR(BD$3)=YEAR('New Hires Forecast'!$N$3),((SUMIFS('New Hires Forecast'!$N$5:$N$82,'New Hires Forecast'!$F$5:$F$82,"Sales",'New Hires Forecast'!$H$5:$H$82,"&gt;="&amp;Sales!BD$3,'New Hires Forecast'!$G$5:$G$82,"&lt;="&amp;Sales!BD$3)/12)),IF(YEAR(BD$3)=YEAR('New Hires Forecast'!$O$3),((SUMIFS('New Hires Forecast'!$O$5:$O$82,'New Hires Forecast'!$F$5:$F$82,"Sales",'New Hires Forecast'!$H$5:$H$82,"&gt;="&amp;Sales!BD$3,'New Hires Forecast'!$G$5:$G$82,"&lt;="&amp;Sales!BD$3)/12)),IF(YEAR(BD$3)=YEAR('New Hires Forecast'!$P$3),((SUMIFS('New Hires Forecast'!$P$5:$P$82,'New Hires Forecast'!$F$5:$F$82,"Sales",'New Hires Forecast'!$H$5:$H$82,"&gt;="&amp;Sales!BD$3,'New Hires Forecast'!$G$5:$G$82,"&lt;="&amp;Sales!BD$3)/12)),IF(YEAR(BD$3)=YEAR('New Hires Forecast'!$Q$3),((SUMIFS('New Hires Forecast'!$Q$5:$Q$82,'New Hires Forecast'!$F$5:$F$82,"Sales",'New Hires Forecast'!$H$5:$H$82,"&gt;="&amp;Sales!BD$3,'New Hires Forecast'!$G$5:$G$82,"&lt;="&amp;Sales!BD$3)/12)),IF(YEAR(BD$3)=YEAR('New Hires Forecast'!$R$3),((SUMIFS('New Hires Forecast'!$R$5:$R$82,'New Hires Forecast'!$F$5:$F$82,"Sales",'New Hires Forecast'!$H$5:$H$82,"&gt;="&amp;Sales!BD$3,'New Hires Forecast'!$G$5:$G$82,"&lt;="&amp;Sales!BD$3)/12))))))),0)</f>
        <v>22102.083333333332</v>
      </c>
      <c r="BE13" s="792">
        <f>IF(BE$4="forecast",IF(YEAR(BE$3)=YEAR('New Hires Forecast'!$N$3),((SUMIFS('New Hires Forecast'!$N$5:$N$82,'New Hires Forecast'!$F$5:$F$82,"Sales",'New Hires Forecast'!$H$5:$H$82,"&gt;="&amp;Sales!BE$3,'New Hires Forecast'!$G$5:$G$82,"&lt;="&amp;Sales!BE$3)/12)),IF(YEAR(BE$3)=YEAR('New Hires Forecast'!$O$3),((SUMIFS('New Hires Forecast'!$O$5:$O$82,'New Hires Forecast'!$F$5:$F$82,"Sales",'New Hires Forecast'!$H$5:$H$82,"&gt;="&amp;Sales!BE$3,'New Hires Forecast'!$G$5:$G$82,"&lt;="&amp;Sales!BE$3)/12)),IF(YEAR(BE$3)=YEAR('New Hires Forecast'!$P$3),((SUMIFS('New Hires Forecast'!$P$5:$P$82,'New Hires Forecast'!$F$5:$F$82,"Sales",'New Hires Forecast'!$H$5:$H$82,"&gt;="&amp;Sales!BE$3,'New Hires Forecast'!$G$5:$G$82,"&lt;="&amp;Sales!BE$3)/12)),IF(YEAR(BE$3)=YEAR('New Hires Forecast'!$Q$3),((SUMIFS('New Hires Forecast'!$Q$5:$Q$82,'New Hires Forecast'!$F$5:$F$82,"Sales",'New Hires Forecast'!$H$5:$H$82,"&gt;="&amp;Sales!BE$3,'New Hires Forecast'!$G$5:$G$82,"&lt;="&amp;Sales!BE$3)/12)),IF(YEAR(BE$3)=YEAR('New Hires Forecast'!$R$3),((SUMIFS('New Hires Forecast'!$R$5:$R$82,'New Hires Forecast'!$F$5:$F$82,"Sales",'New Hires Forecast'!$H$5:$H$82,"&gt;="&amp;Sales!BE$3,'New Hires Forecast'!$G$5:$G$82,"&lt;="&amp;Sales!BE$3)/12))))))),0)</f>
        <v>22102.083333333332</v>
      </c>
      <c r="BF13" s="792">
        <f>IF(BF$4="forecast",IF(YEAR(BF$3)=YEAR('New Hires Forecast'!$N$3),((SUMIFS('New Hires Forecast'!$N$5:$N$82,'New Hires Forecast'!$F$5:$F$82,"Sales",'New Hires Forecast'!$H$5:$H$82,"&gt;="&amp;Sales!BF$3,'New Hires Forecast'!$G$5:$G$82,"&lt;="&amp;Sales!BF$3)/12)),IF(YEAR(BF$3)=YEAR('New Hires Forecast'!$O$3),((SUMIFS('New Hires Forecast'!$O$5:$O$82,'New Hires Forecast'!$F$5:$F$82,"Sales",'New Hires Forecast'!$H$5:$H$82,"&gt;="&amp;Sales!BF$3,'New Hires Forecast'!$G$5:$G$82,"&lt;="&amp;Sales!BF$3)/12)),IF(YEAR(BF$3)=YEAR('New Hires Forecast'!$P$3),((SUMIFS('New Hires Forecast'!$P$5:$P$82,'New Hires Forecast'!$F$5:$F$82,"Sales",'New Hires Forecast'!$H$5:$H$82,"&gt;="&amp;Sales!BF$3,'New Hires Forecast'!$G$5:$G$82,"&lt;="&amp;Sales!BF$3)/12)),IF(YEAR(BF$3)=YEAR('New Hires Forecast'!$Q$3),((SUMIFS('New Hires Forecast'!$Q$5:$Q$82,'New Hires Forecast'!$F$5:$F$82,"Sales",'New Hires Forecast'!$H$5:$H$82,"&gt;="&amp;Sales!BF$3,'New Hires Forecast'!$G$5:$G$82,"&lt;="&amp;Sales!BF$3)/12)),IF(YEAR(BF$3)=YEAR('New Hires Forecast'!$R$3),((SUMIFS('New Hires Forecast'!$R$5:$R$82,'New Hires Forecast'!$F$5:$F$82,"Sales",'New Hires Forecast'!$H$5:$H$82,"&gt;="&amp;Sales!BF$3,'New Hires Forecast'!$G$5:$G$82,"&lt;="&amp;Sales!BF$3)/12))))))),0)</f>
        <v>22102.083333333332</v>
      </c>
      <c r="BG13" s="792">
        <f>IF(BG$4="forecast",IF(YEAR(BG$3)=YEAR('New Hires Forecast'!$N$3),((SUMIFS('New Hires Forecast'!$N$5:$N$82,'New Hires Forecast'!$F$5:$F$82,"Sales",'New Hires Forecast'!$H$5:$H$82,"&gt;="&amp;Sales!BG$3,'New Hires Forecast'!$G$5:$G$82,"&lt;="&amp;Sales!BG$3)/12)),IF(YEAR(BG$3)=YEAR('New Hires Forecast'!$O$3),((SUMIFS('New Hires Forecast'!$O$5:$O$82,'New Hires Forecast'!$F$5:$F$82,"Sales",'New Hires Forecast'!$H$5:$H$82,"&gt;="&amp;Sales!BG$3,'New Hires Forecast'!$G$5:$G$82,"&lt;="&amp;Sales!BG$3)/12)),IF(YEAR(BG$3)=YEAR('New Hires Forecast'!$P$3),((SUMIFS('New Hires Forecast'!$P$5:$P$82,'New Hires Forecast'!$F$5:$F$82,"Sales",'New Hires Forecast'!$H$5:$H$82,"&gt;="&amp;Sales!BG$3,'New Hires Forecast'!$G$5:$G$82,"&lt;="&amp;Sales!BG$3)/12)),IF(YEAR(BG$3)=YEAR('New Hires Forecast'!$Q$3),((SUMIFS('New Hires Forecast'!$Q$5:$Q$82,'New Hires Forecast'!$F$5:$F$82,"Sales",'New Hires Forecast'!$H$5:$H$82,"&gt;="&amp;Sales!BG$3,'New Hires Forecast'!$G$5:$G$82,"&lt;="&amp;Sales!BG$3)/12)),IF(YEAR(BG$3)=YEAR('New Hires Forecast'!$R$3),((SUMIFS('New Hires Forecast'!$R$5:$R$82,'New Hires Forecast'!$F$5:$F$82,"Sales",'New Hires Forecast'!$H$5:$H$82,"&gt;="&amp;Sales!BG$3,'New Hires Forecast'!$G$5:$G$82,"&lt;="&amp;Sales!BG$3)/12))))))),0)</f>
        <v>22102.083333333332</v>
      </c>
      <c r="BH13" s="792">
        <f>IF(BH$4="forecast",IF(YEAR(BH$3)=YEAR('New Hires Forecast'!$N$3),((SUMIFS('New Hires Forecast'!$N$5:$N$82,'New Hires Forecast'!$F$5:$F$82,"Sales",'New Hires Forecast'!$H$5:$H$82,"&gt;="&amp;Sales!BH$3,'New Hires Forecast'!$G$5:$G$82,"&lt;="&amp;Sales!BH$3)/12)),IF(YEAR(BH$3)=YEAR('New Hires Forecast'!$O$3),((SUMIFS('New Hires Forecast'!$O$5:$O$82,'New Hires Forecast'!$F$5:$F$82,"Sales",'New Hires Forecast'!$H$5:$H$82,"&gt;="&amp;Sales!BH$3,'New Hires Forecast'!$G$5:$G$82,"&lt;="&amp;Sales!BH$3)/12)),IF(YEAR(BH$3)=YEAR('New Hires Forecast'!$P$3),((SUMIFS('New Hires Forecast'!$P$5:$P$82,'New Hires Forecast'!$F$5:$F$82,"Sales",'New Hires Forecast'!$H$5:$H$82,"&gt;="&amp;Sales!BH$3,'New Hires Forecast'!$G$5:$G$82,"&lt;="&amp;Sales!BH$3)/12)),IF(YEAR(BH$3)=YEAR('New Hires Forecast'!$Q$3),((SUMIFS('New Hires Forecast'!$Q$5:$Q$82,'New Hires Forecast'!$F$5:$F$82,"Sales",'New Hires Forecast'!$H$5:$H$82,"&gt;="&amp;Sales!BH$3,'New Hires Forecast'!$G$5:$G$82,"&lt;="&amp;Sales!BH$3)/12)),IF(YEAR(BH$3)=YEAR('New Hires Forecast'!$R$3),((SUMIFS('New Hires Forecast'!$R$5:$R$82,'New Hires Forecast'!$F$5:$F$82,"Sales",'New Hires Forecast'!$H$5:$H$82,"&gt;="&amp;Sales!BH$3,'New Hires Forecast'!$G$5:$G$82,"&lt;="&amp;Sales!BH$3)/12))))))),0)</f>
        <v>22102.083333333332</v>
      </c>
      <c r="BI13" s="792">
        <f>IF(BI$4="forecast",IF(YEAR(BI$3)=YEAR('New Hires Forecast'!$N$3),((SUMIFS('New Hires Forecast'!$N$5:$N$82,'New Hires Forecast'!$F$5:$F$82,"Sales",'New Hires Forecast'!$H$5:$H$82,"&gt;="&amp;Sales!BI$3,'New Hires Forecast'!$G$5:$G$82,"&lt;="&amp;Sales!BI$3)/12)),IF(YEAR(BI$3)=YEAR('New Hires Forecast'!$O$3),((SUMIFS('New Hires Forecast'!$O$5:$O$82,'New Hires Forecast'!$F$5:$F$82,"Sales",'New Hires Forecast'!$H$5:$H$82,"&gt;="&amp;Sales!BI$3,'New Hires Forecast'!$G$5:$G$82,"&lt;="&amp;Sales!BI$3)/12)),IF(YEAR(BI$3)=YEAR('New Hires Forecast'!$P$3),((SUMIFS('New Hires Forecast'!$P$5:$P$82,'New Hires Forecast'!$F$5:$F$82,"Sales",'New Hires Forecast'!$H$5:$H$82,"&gt;="&amp;Sales!BI$3,'New Hires Forecast'!$G$5:$G$82,"&lt;="&amp;Sales!BI$3)/12)),IF(YEAR(BI$3)=YEAR('New Hires Forecast'!$Q$3),((SUMIFS('New Hires Forecast'!$Q$5:$Q$82,'New Hires Forecast'!$F$5:$F$82,"Sales",'New Hires Forecast'!$H$5:$H$82,"&gt;="&amp;Sales!BI$3,'New Hires Forecast'!$G$5:$G$82,"&lt;="&amp;Sales!BI$3)/12)),IF(YEAR(BI$3)=YEAR('New Hires Forecast'!$R$3),((SUMIFS('New Hires Forecast'!$R$5:$R$82,'New Hires Forecast'!$F$5:$F$82,"Sales",'New Hires Forecast'!$H$5:$H$82,"&gt;="&amp;Sales!BI$3,'New Hires Forecast'!$G$5:$G$82,"&lt;="&amp;Sales!BI$3)/12))))))),0)</f>
        <v>22102.083333333332</v>
      </c>
      <c r="BJ13" s="792">
        <f>IF(BJ$4="forecast",IF(YEAR(BJ$3)=YEAR('New Hires Forecast'!$N$3),((SUMIFS('New Hires Forecast'!$N$5:$N$82,'New Hires Forecast'!$F$5:$F$82,"Sales",'New Hires Forecast'!$H$5:$H$82,"&gt;="&amp;Sales!BJ$3,'New Hires Forecast'!$G$5:$G$82,"&lt;="&amp;Sales!BJ$3)/12)),IF(YEAR(BJ$3)=YEAR('New Hires Forecast'!$O$3),((SUMIFS('New Hires Forecast'!$O$5:$O$82,'New Hires Forecast'!$F$5:$F$82,"Sales",'New Hires Forecast'!$H$5:$H$82,"&gt;="&amp;Sales!BJ$3,'New Hires Forecast'!$G$5:$G$82,"&lt;="&amp;Sales!BJ$3)/12)),IF(YEAR(BJ$3)=YEAR('New Hires Forecast'!$P$3),((SUMIFS('New Hires Forecast'!$P$5:$P$82,'New Hires Forecast'!$F$5:$F$82,"Sales",'New Hires Forecast'!$H$5:$H$82,"&gt;="&amp;Sales!BJ$3,'New Hires Forecast'!$G$5:$G$82,"&lt;="&amp;Sales!BJ$3)/12)),IF(YEAR(BJ$3)=YEAR('New Hires Forecast'!$Q$3),((SUMIFS('New Hires Forecast'!$Q$5:$Q$82,'New Hires Forecast'!$F$5:$F$82,"Sales",'New Hires Forecast'!$H$5:$H$82,"&gt;="&amp;Sales!BJ$3,'New Hires Forecast'!$G$5:$G$82,"&lt;="&amp;Sales!BJ$3)/12)),IF(YEAR(BJ$3)=YEAR('New Hires Forecast'!$R$3),((SUMIFS('New Hires Forecast'!$R$5:$R$82,'New Hires Forecast'!$F$5:$F$82,"Sales",'New Hires Forecast'!$H$5:$H$82,"&gt;="&amp;Sales!BJ$3,'New Hires Forecast'!$G$5:$G$82,"&lt;="&amp;Sales!BJ$3)/12))))))),0)</f>
        <v>22102.083333333332</v>
      </c>
      <c r="BK13" s="792">
        <f>IF(BK$4="forecast",IF(YEAR(BK$3)=YEAR('New Hires Forecast'!$N$3),((SUMIFS('New Hires Forecast'!$N$5:$N$82,'New Hires Forecast'!$F$5:$F$82,"Sales",'New Hires Forecast'!$H$5:$H$82,"&gt;="&amp;Sales!BK$3,'New Hires Forecast'!$G$5:$G$82,"&lt;="&amp;Sales!BK$3)/12)),IF(YEAR(BK$3)=YEAR('New Hires Forecast'!$O$3),((SUMIFS('New Hires Forecast'!$O$5:$O$82,'New Hires Forecast'!$F$5:$F$82,"Sales",'New Hires Forecast'!$H$5:$H$82,"&gt;="&amp;Sales!BK$3,'New Hires Forecast'!$G$5:$G$82,"&lt;="&amp;Sales!BK$3)/12)),IF(YEAR(BK$3)=YEAR('New Hires Forecast'!$P$3),((SUMIFS('New Hires Forecast'!$P$5:$P$82,'New Hires Forecast'!$F$5:$F$82,"Sales",'New Hires Forecast'!$H$5:$H$82,"&gt;="&amp;Sales!BK$3,'New Hires Forecast'!$G$5:$G$82,"&lt;="&amp;Sales!BK$3)/12)),IF(YEAR(BK$3)=YEAR('New Hires Forecast'!$Q$3),((SUMIFS('New Hires Forecast'!$Q$5:$Q$82,'New Hires Forecast'!$F$5:$F$82,"Sales",'New Hires Forecast'!$H$5:$H$82,"&gt;="&amp;Sales!BK$3,'New Hires Forecast'!$G$5:$G$82,"&lt;="&amp;Sales!BK$3)/12)),IF(YEAR(BK$3)=YEAR('New Hires Forecast'!$R$3),((SUMIFS('New Hires Forecast'!$R$5:$R$82,'New Hires Forecast'!$F$5:$F$82,"Sales",'New Hires Forecast'!$H$5:$H$82,"&gt;="&amp;Sales!BK$3,'New Hires Forecast'!$G$5:$G$82,"&lt;="&amp;Sales!BK$3)/12))))))),0)</f>
        <v>22765.145833333332</v>
      </c>
      <c r="BL13" s="668">
        <f>IF(BL$4="forecast",IF(YEAR(BL$3)=YEAR('New Hires Forecast'!$N$3),((SUMIFS('New Hires Forecast'!$N$5:$N$82,'New Hires Forecast'!$F$5:$F$82,"Sales",'New Hires Forecast'!$H$5:$H$82,"&gt;="&amp;Sales!BL$3)/12)),IF(YEAR(BL$3)=YEAR('New Hires Forecast'!$O$3),IF((BL$5=2),((SUMIFS('New Hires Forecast'!$O$5:$O$82,'New Hires Forecast'!$F$5:$F$82,"Sales",'New Hires Forecast'!$H$5:$H$82,"&gt;="&amp;Sales!BL$3)/12)),BK13),IF(YEAR(BL$3)=YEAR('New Hires Forecast'!$P$3),IF((BL$5=2),((SUMIFS('New Hires Forecast'!$P$5:$P$82,'New Hires Forecast'!$F$5:$F$82,"Sales",'New Hires Forecast'!$H$5:$H$82,"&gt;="&amp;Sales!BL$3)/12)),BK13),IF(YEAR(BL$3)=YEAR('New Hires Forecast'!$Q$3),IF((BL$5=2),((SUMIFS('New Hires Forecast'!$Q$5:$Q$82,'New Hires Forecast'!$F$5:$F$82,"Sales",'New Hires Forecast'!$H$5:$H$82,"&gt;="&amp;Sales!BL$3)/12)),BK13),IF(YEAR(BL$3)=YEAR('New Hires Forecast'!$R$3),IF((BL$5=2),((SUMIFS('New Hires Forecast'!$R$5:$R$82,'New Hires Forecast'!$F$5:$F$82,"Sales",'New Hires Forecast'!$H$5:$H$82,"&gt;="&amp;Sales!BL$3)/12)),BK13),"New Year"))))),0)</f>
        <v>22765.145833333332</v>
      </c>
      <c r="BM13" s="668">
        <f>IF(BM$4="forecast",IF(YEAR(BM$3)=YEAR('New Hires Forecast'!$N$3),((SUMIFS('New Hires Forecast'!$N$5:$N$82,'New Hires Forecast'!$F$5:$F$82,"Sales",'New Hires Forecast'!$H$5:$H$82,"&gt;="&amp;Sales!BM$3)/12)),IF(YEAR(BM$3)=YEAR('New Hires Forecast'!$O$3),IF((BM$5=2),((SUMIFS('New Hires Forecast'!$O$5:$O$82,'New Hires Forecast'!$F$5:$F$82,"Sales",'New Hires Forecast'!$H$5:$H$82,"&gt;="&amp;Sales!BM$3)/12)),BL13),IF(YEAR(BM$3)=YEAR('New Hires Forecast'!$P$3),IF((BM$5=2),((SUMIFS('New Hires Forecast'!$P$5:$P$82,'New Hires Forecast'!$F$5:$F$82,"Sales",'New Hires Forecast'!$H$5:$H$82,"&gt;="&amp;Sales!BM$3)/12)),BL13),IF(YEAR(BM$3)=YEAR('New Hires Forecast'!$Q$3),IF((BM$5=2),((SUMIFS('New Hires Forecast'!$Q$5:$Q$82,'New Hires Forecast'!$F$5:$F$82,"Sales",'New Hires Forecast'!$H$5:$H$82,"&gt;="&amp;Sales!BM$3)/12)),BL13),IF(YEAR(BM$3)=YEAR('New Hires Forecast'!$R$3),IF((BM$5=2),((SUMIFS('New Hires Forecast'!$R$5:$R$82,'New Hires Forecast'!$F$5:$F$82,"Sales",'New Hires Forecast'!$H$5:$H$82,"&gt;="&amp;Sales!BM$3)/12)),BL13),"New Year"))))),0)</f>
        <v>22765.145833333332</v>
      </c>
      <c r="BN13" s="668">
        <f>IF(BN$4="forecast",IF(YEAR(BN$3)=YEAR('New Hires Forecast'!$N$3),((SUMIFS('New Hires Forecast'!$N$5:$N$82,'New Hires Forecast'!$F$5:$F$82,"Sales",'New Hires Forecast'!$H$5:$H$82,"&gt;="&amp;Sales!BN$3)/12)),IF(YEAR(BN$3)=YEAR('New Hires Forecast'!$O$3),IF((BN$5=2),((SUMIFS('New Hires Forecast'!$O$5:$O$82,'New Hires Forecast'!$F$5:$F$82,"Sales",'New Hires Forecast'!$H$5:$H$82,"&gt;="&amp;Sales!BN$3)/12)),BM13),IF(YEAR(BN$3)=YEAR('New Hires Forecast'!$P$3),IF((BN$5=2),((SUMIFS('New Hires Forecast'!$P$5:$P$82,'New Hires Forecast'!$F$5:$F$82,"Sales",'New Hires Forecast'!$H$5:$H$82,"&gt;="&amp;Sales!BN$3)/12)),BM13),IF(YEAR(BN$3)=YEAR('New Hires Forecast'!$Q$3),IF((BN$5=2),((SUMIFS('New Hires Forecast'!$Q$5:$Q$82,'New Hires Forecast'!$F$5:$F$82,"Sales",'New Hires Forecast'!$H$5:$H$82,"&gt;="&amp;Sales!BN$3)/12)),BM13),IF(YEAR(BN$3)=YEAR('New Hires Forecast'!$R$3),IF((BN$5=2),((SUMIFS('New Hires Forecast'!$R$5:$R$82,'New Hires Forecast'!$F$5:$F$82,"Sales",'New Hires Forecast'!$H$5:$H$82,"&gt;="&amp;Sales!BN$3)/12)),BM13),"New Year"))))),0)</f>
        <v>22765.145833333332</v>
      </c>
      <c r="BO13" s="668">
        <f>IF(BO$4="forecast",IF(YEAR(BO$3)=YEAR('New Hires Forecast'!$N$3),((SUMIFS('New Hires Forecast'!$N$5:$N$82,'New Hires Forecast'!$F$5:$F$82,"Sales",'New Hires Forecast'!$H$5:$H$82,"&gt;="&amp;Sales!BO$3)/12)),IF(YEAR(BO$3)=YEAR('New Hires Forecast'!$O$3),IF((BO$5=2),((SUMIFS('New Hires Forecast'!$O$5:$O$82,'New Hires Forecast'!$F$5:$F$82,"Sales",'New Hires Forecast'!$H$5:$H$82,"&gt;="&amp;Sales!BO$3)/12)),BN13),IF(YEAR(BO$3)=YEAR('New Hires Forecast'!$P$3),IF((BO$5=2),((SUMIFS('New Hires Forecast'!$P$5:$P$82,'New Hires Forecast'!$F$5:$F$82,"Sales",'New Hires Forecast'!$H$5:$H$82,"&gt;="&amp;Sales!BO$3)/12)),BN13),IF(YEAR(BO$3)=YEAR('New Hires Forecast'!$Q$3),IF((BO$5=2),((SUMIFS('New Hires Forecast'!$Q$5:$Q$82,'New Hires Forecast'!$F$5:$F$82,"Sales",'New Hires Forecast'!$H$5:$H$82,"&gt;="&amp;Sales!BO$3)/12)),BN13),IF(YEAR(BO$3)=YEAR('New Hires Forecast'!$R$3),IF((BO$5=2),((SUMIFS('New Hires Forecast'!$R$5:$R$82,'New Hires Forecast'!$F$5:$F$82,"Sales",'New Hires Forecast'!$H$5:$H$82,"&gt;="&amp;Sales!BO$3)/12)),BN13),"New Year"))))),0)</f>
        <v>22765.145833333332</v>
      </c>
      <c r="BP13" s="668">
        <f>IF(BP$4="forecast",IF(YEAR(BP$3)=YEAR('New Hires Forecast'!$N$3),((SUMIFS('New Hires Forecast'!$N$5:$N$82,'New Hires Forecast'!$F$5:$F$82,"Sales",'New Hires Forecast'!$H$5:$H$82,"&gt;="&amp;Sales!BP$3)/12)),IF(YEAR(BP$3)=YEAR('New Hires Forecast'!$O$3),IF((BP$5=2),((SUMIFS('New Hires Forecast'!$O$5:$O$82,'New Hires Forecast'!$F$5:$F$82,"Sales",'New Hires Forecast'!$H$5:$H$82,"&gt;="&amp;Sales!BP$3)/12)),BO13),IF(YEAR(BP$3)=YEAR('New Hires Forecast'!$P$3),IF((BP$5=2),((SUMIFS('New Hires Forecast'!$P$5:$P$82,'New Hires Forecast'!$F$5:$F$82,"Sales",'New Hires Forecast'!$H$5:$H$82,"&gt;="&amp;Sales!BP$3)/12)),BO13),IF(YEAR(BP$3)=YEAR('New Hires Forecast'!$Q$3),IF((BP$5=2),((SUMIFS('New Hires Forecast'!$Q$5:$Q$82,'New Hires Forecast'!$F$5:$F$82,"Sales",'New Hires Forecast'!$H$5:$H$82,"&gt;="&amp;Sales!BP$3)/12)),BO13),IF(YEAR(BP$3)=YEAR('New Hires Forecast'!$R$3),IF((BP$5=2),((SUMIFS('New Hires Forecast'!$R$5:$R$82,'New Hires Forecast'!$F$5:$F$82,"Sales",'New Hires Forecast'!$H$5:$H$82,"&gt;="&amp;Sales!BP$3)/12)),BO13),"New Year"))))),0)</f>
        <v>22765.145833333332</v>
      </c>
      <c r="BQ13" s="668">
        <f>IF(BQ$4="forecast",IF(YEAR(BQ$3)=YEAR('New Hires Forecast'!$N$3),((SUMIFS('New Hires Forecast'!$N$5:$N$82,'New Hires Forecast'!$F$5:$F$82,"Sales",'New Hires Forecast'!$H$5:$H$82,"&gt;="&amp;Sales!BQ$3)/12)),IF(YEAR(BQ$3)=YEAR('New Hires Forecast'!$O$3),IF((BQ$5=2),((SUMIFS('New Hires Forecast'!$O$5:$O$82,'New Hires Forecast'!$F$5:$F$82,"Sales",'New Hires Forecast'!$H$5:$H$82,"&gt;="&amp;Sales!BQ$3)/12)),BP13),IF(YEAR(BQ$3)=YEAR('New Hires Forecast'!$P$3),IF((BQ$5=2),((SUMIFS('New Hires Forecast'!$P$5:$P$82,'New Hires Forecast'!$F$5:$F$82,"Sales",'New Hires Forecast'!$H$5:$H$82,"&gt;="&amp;Sales!BQ$3)/12)),BP13),IF(YEAR(BQ$3)=YEAR('New Hires Forecast'!$Q$3),IF((BQ$5=2),((SUMIFS('New Hires Forecast'!$Q$5:$Q$82,'New Hires Forecast'!$F$5:$F$82,"Sales",'New Hires Forecast'!$H$5:$H$82,"&gt;="&amp;Sales!BQ$3)/12)),BP13),IF(YEAR(BQ$3)=YEAR('New Hires Forecast'!$R$3),IF((BQ$5=2),((SUMIFS('New Hires Forecast'!$R$5:$R$82,'New Hires Forecast'!$F$5:$F$82,"Sales",'New Hires Forecast'!$H$5:$H$82,"&gt;="&amp;Sales!BQ$3)/12)),BP13),"New Year"))))),0)</f>
        <v>22765.145833333332</v>
      </c>
      <c r="BR13" s="668">
        <f>IF(BR$4="forecast",IF(YEAR(BR$3)=YEAR('New Hires Forecast'!$N$3),((SUMIFS('New Hires Forecast'!$N$5:$N$82,'New Hires Forecast'!$F$5:$F$82,"Sales",'New Hires Forecast'!$H$5:$H$82,"&gt;="&amp;Sales!BR$3)/12)),IF(YEAR(BR$3)=YEAR('New Hires Forecast'!$O$3),IF((BR$5=2),((SUMIFS('New Hires Forecast'!$O$5:$O$82,'New Hires Forecast'!$F$5:$F$82,"Sales",'New Hires Forecast'!$H$5:$H$82,"&gt;="&amp;Sales!BR$3)/12)),BQ13),IF(YEAR(BR$3)=YEAR('New Hires Forecast'!$P$3),IF((BR$5=2),((SUMIFS('New Hires Forecast'!$P$5:$P$82,'New Hires Forecast'!$F$5:$F$82,"Sales",'New Hires Forecast'!$H$5:$H$82,"&gt;="&amp;Sales!BR$3)/12)),BQ13),IF(YEAR(BR$3)=YEAR('New Hires Forecast'!$Q$3),IF((BR$5=2),((SUMIFS('New Hires Forecast'!$Q$5:$Q$82,'New Hires Forecast'!$F$5:$F$82,"Sales",'New Hires Forecast'!$H$5:$H$82,"&gt;="&amp;Sales!BR$3)/12)),BQ13),IF(YEAR(BR$3)=YEAR('New Hires Forecast'!$R$3),IF((BR$5=2),((SUMIFS('New Hires Forecast'!$R$5:$R$82,'New Hires Forecast'!$F$5:$F$82,"Sales",'New Hires Forecast'!$H$5:$H$82,"&gt;="&amp;Sales!BR$3)/12)),BQ13),"New Year"))))),0)</f>
        <v>22765.145833333332</v>
      </c>
      <c r="BS13" s="668">
        <f>IF(BS$4="forecast",IF(YEAR(BS$3)=YEAR('New Hires Forecast'!$N$3),((SUMIFS('New Hires Forecast'!$N$5:$N$82,'New Hires Forecast'!$F$5:$F$82,"Sales",'New Hires Forecast'!$H$5:$H$82,"&gt;="&amp;Sales!BS$3)/12)),IF(YEAR(BS$3)=YEAR('New Hires Forecast'!$O$3),IF((BS$5=2),((SUMIFS('New Hires Forecast'!$O$5:$O$82,'New Hires Forecast'!$F$5:$F$82,"Sales",'New Hires Forecast'!$H$5:$H$82,"&gt;="&amp;Sales!BS$3)/12)),BR13),IF(YEAR(BS$3)=YEAR('New Hires Forecast'!$P$3),IF((BS$5=2),((SUMIFS('New Hires Forecast'!$P$5:$P$82,'New Hires Forecast'!$F$5:$F$82,"Sales",'New Hires Forecast'!$H$5:$H$82,"&gt;="&amp;Sales!BS$3)/12)),BR13),IF(YEAR(BS$3)=YEAR('New Hires Forecast'!$Q$3),IF((BS$5=2),((SUMIFS('New Hires Forecast'!$Q$5:$Q$82,'New Hires Forecast'!$F$5:$F$82,"Sales",'New Hires Forecast'!$H$5:$H$82,"&gt;="&amp;Sales!BS$3)/12)),BR13),IF(YEAR(BS$3)=YEAR('New Hires Forecast'!$R$3),IF((BS$5=2),((SUMIFS('New Hires Forecast'!$R$5:$R$82,'New Hires Forecast'!$F$5:$F$82,"Sales",'New Hires Forecast'!$H$5:$H$82,"&gt;="&amp;Sales!BS$3)/12)),BR13),"New Year"))))),0)</f>
        <v>22765.145833333332</v>
      </c>
      <c r="BT13" s="668">
        <f>IF(BT$4="forecast",IF(YEAR(BT$3)=YEAR('New Hires Forecast'!$N$3),((SUMIFS('New Hires Forecast'!$N$5:$N$82,'New Hires Forecast'!$F$5:$F$82,"Sales",'New Hires Forecast'!$H$5:$H$82,"&gt;="&amp;Sales!BT$3)/12)),IF(YEAR(BT$3)=YEAR('New Hires Forecast'!$O$3),IF((BT$5=2),((SUMIFS('New Hires Forecast'!$O$5:$O$82,'New Hires Forecast'!$F$5:$F$82,"Sales",'New Hires Forecast'!$H$5:$H$82,"&gt;="&amp;Sales!BT$3)/12)),BS13),IF(YEAR(BT$3)=YEAR('New Hires Forecast'!$P$3),IF((BT$5=2),((SUMIFS('New Hires Forecast'!$P$5:$P$82,'New Hires Forecast'!$F$5:$F$82,"Sales",'New Hires Forecast'!$H$5:$H$82,"&gt;="&amp;Sales!BT$3)/12)),BS13),IF(YEAR(BT$3)=YEAR('New Hires Forecast'!$Q$3),IF((BT$5=2),((SUMIFS('New Hires Forecast'!$Q$5:$Q$82,'New Hires Forecast'!$F$5:$F$82,"Sales",'New Hires Forecast'!$H$5:$H$82,"&gt;="&amp;Sales!BT$3)/12)),BS13),IF(YEAR(BT$3)=YEAR('New Hires Forecast'!$R$3),IF((BT$5=2),((SUMIFS('New Hires Forecast'!$R$5:$R$82,'New Hires Forecast'!$F$5:$F$82,"Sales",'New Hires Forecast'!$H$5:$H$82,"&gt;="&amp;Sales!BT$3)/12)),BS13),"New Year"))))),0)</f>
        <v>22765.145833333332</v>
      </c>
      <c r="BU13" s="668">
        <f>IF(BU$4="forecast",IF(YEAR(BU$3)=YEAR('New Hires Forecast'!$N$3),((SUMIFS('New Hires Forecast'!$N$5:$N$82,'New Hires Forecast'!$F$5:$F$82,"Sales",'New Hires Forecast'!$H$5:$H$82,"&gt;="&amp;Sales!BU$3)/12)),IF(YEAR(BU$3)=YEAR('New Hires Forecast'!$O$3),IF((BU$5=2),((SUMIFS('New Hires Forecast'!$O$5:$O$82,'New Hires Forecast'!$F$5:$F$82,"Sales",'New Hires Forecast'!$H$5:$H$82,"&gt;="&amp;Sales!BU$3)/12)),BT13),IF(YEAR(BU$3)=YEAR('New Hires Forecast'!$P$3),IF((BU$5=2),((SUMIFS('New Hires Forecast'!$P$5:$P$82,'New Hires Forecast'!$F$5:$F$82,"Sales",'New Hires Forecast'!$H$5:$H$82,"&gt;="&amp;Sales!BU$3)/12)),BT13),IF(YEAR(BU$3)=YEAR('New Hires Forecast'!$Q$3),IF((BU$5=2),((SUMIFS('New Hires Forecast'!$Q$5:$Q$82,'New Hires Forecast'!$F$5:$F$82,"Sales",'New Hires Forecast'!$H$5:$H$82,"&gt;="&amp;Sales!BU$3)/12)),BT13),IF(YEAR(BU$3)=YEAR('New Hires Forecast'!$R$3),IF((BU$5=2),((SUMIFS('New Hires Forecast'!$R$5:$R$82,'New Hires Forecast'!$F$5:$F$82,"Sales",'New Hires Forecast'!$H$5:$H$82,"&gt;="&amp;Sales!BU$3)/12)),BT13),"New Year"))))),0)</f>
        <v>22765.145833333332</v>
      </c>
      <c r="BV13" s="790">
        <f>IF(BV$4="forecast",IF(YEAR(BV$3)=YEAR('New Hires Forecast'!$N$3),((SUMIFS('New Hires Forecast'!$N$5:$N$82,'New Hires Forecast'!$F$5:$F$82,"Sales",'New Hires Forecast'!$H$5:$H$82,"&gt;="&amp;Sales!BV$3,'New Hires Forecast'!$G$5:$G$82,"&lt;="&amp;Sales!BV$3)/12)),IF(YEAR(BV$3)=YEAR('New Hires Forecast'!$O$3),((SUMIFS('New Hires Forecast'!$O$5:$O$82,'New Hires Forecast'!$F$5:$F$82,"Sales",'New Hires Forecast'!$H$5:$H$82,"&gt;="&amp;Sales!BV$3,'New Hires Forecast'!$G$5:$G$82,"&lt;="&amp;Sales!BV$3)/12)),IF(YEAR(BV$3)=YEAR('New Hires Forecast'!$P$3),((SUMIFS('New Hires Forecast'!$P$5:$P$82,'New Hires Forecast'!$F$5:$F$82,"Sales",'New Hires Forecast'!$H$5:$H$82,"&gt;="&amp;Sales!BV$3,'New Hires Forecast'!$G$5:$G$82,"&lt;="&amp;Sales!BV$3)/12)),IF(YEAR(BV$3)=YEAR('New Hires Forecast'!$Q$3),((SUMIFS('New Hires Forecast'!$Q$5:$Q$82,'New Hires Forecast'!$F$5:$F$82,"Sales",'New Hires Forecast'!$H$5:$H$82,"&gt;="&amp;Sales!BV$3,'New Hires Forecast'!$G$5:$G$82,"&lt;="&amp;Sales!BV$3)/12)),IF(YEAR(BV$3)=YEAR('New Hires Forecast'!$R$3),((SUMIFS('New Hires Forecast'!$R$5:$R$82,'New Hires Forecast'!$F$5:$F$82,"Sales",'New Hires Forecast'!$H$5:$H$82,"&gt;="&amp;Sales!BV$3,'New Hires Forecast'!$G$5:$G$82,"&lt;="&amp;Sales!BV$3)/12))))))),0)</f>
        <v>22765.145833333332</v>
      </c>
    </row>
    <row r="14" spans="2:76" s="781" customFormat="1" ht="12.75" x14ac:dyDescent="0.2">
      <c r="B14" s="791" t="s">
        <v>929</v>
      </c>
      <c r="C14" s="1210">
        <f t="shared" ref="C14" si="2">SUM(C12:C13)</f>
        <v>27320.83</v>
      </c>
      <c r="D14" s="1210">
        <f t="shared" ref="D14:BO14" si="3">SUM(D12:D13)</f>
        <v>28012.760000000002</v>
      </c>
      <c r="E14" s="1210">
        <f t="shared" si="3"/>
        <v>24023.920000000002</v>
      </c>
      <c r="F14" s="1210">
        <f t="shared" si="3"/>
        <v>26202.38</v>
      </c>
      <c r="G14" s="1210">
        <f t="shared" si="3"/>
        <v>26960.26</v>
      </c>
      <c r="H14" s="1210">
        <f t="shared" si="3"/>
        <v>43600.350000000006</v>
      </c>
      <c r="I14" s="1210">
        <f t="shared" si="3"/>
        <v>37044.880000000005</v>
      </c>
      <c r="J14" s="1210">
        <f t="shared" si="3"/>
        <v>38510.259999999995</v>
      </c>
      <c r="K14" s="1210">
        <f t="shared" si="3"/>
        <v>38294.880000000005</v>
      </c>
      <c r="L14" s="1210">
        <f t="shared" si="3"/>
        <v>34544.880000000005</v>
      </c>
      <c r="M14" s="1210">
        <f t="shared" si="3"/>
        <v>50661.619999999995</v>
      </c>
      <c r="N14" s="1210">
        <f t="shared" si="3"/>
        <v>35147.46</v>
      </c>
      <c r="O14" s="1210">
        <f t="shared" si="3"/>
        <v>64341.75</v>
      </c>
      <c r="P14" s="1210">
        <f t="shared" si="3"/>
        <v>63094.32</v>
      </c>
      <c r="Q14" s="1210">
        <f t="shared" si="3"/>
        <v>114884.03</v>
      </c>
      <c r="R14" s="1210">
        <f t="shared" si="3"/>
        <v>77858.209999999992</v>
      </c>
      <c r="S14" s="1210">
        <f t="shared" si="3"/>
        <v>94060.75</v>
      </c>
      <c r="T14" s="1210">
        <f t="shared" si="3"/>
        <v>81073.509999999995</v>
      </c>
      <c r="U14" s="1210">
        <f t="shared" si="3"/>
        <v>89658.880000000005</v>
      </c>
      <c r="V14" s="1210">
        <f t="shared" si="3"/>
        <v>93530.06</v>
      </c>
      <c r="W14" s="1210">
        <f t="shared" si="3"/>
        <v>94900.92</v>
      </c>
      <c r="X14" s="1210">
        <f t="shared" si="3"/>
        <v>106791.16</v>
      </c>
      <c r="Y14" s="1210">
        <f t="shared" si="3"/>
        <v>94957.35</v>
      </c>
      <c r="Z14" s="1210">
        <f t="shared" si="3"/>
        <v>6341.0800000000017</v>
      </c>
      <c r="AA14" s="1210">
        <f t="shared" si="3"/>
        <v>96923.11</v>
      </c>
      <c r="AB14" s="1210">
        <f t="shared" si="3"/>
        <v>86267.42</v>
      </c>
      <c r="AC14" s="1210">
        <f t="shared" si="3"/>
        <v>91584.09</v>
      </c>
      <c r="AD14" s="1210">
        <f t="shared" si="3"/>
        <v>123000.00166666666</v>
      </c>
      <c r="AE14" s="1210">
        <f t="shared" si="3"/>
        <v>126750.00166666666</v>
      </c>
      <c r="AF14" s="1210">
        <f t="shared" si="3"/>
        <v>126750.00166666666</v>
      </c>
      <c r="AG14" s="1210">
        <f t="shared" si="3"/>
        <v>135083.33499999999</v>
      </c>
      <c r="AH14" s="1210">
        <f t="shared" si="3"/>
        <v>131333.33499999999</v>
      </c>
      <c r="AI14" s="1210">
        <f t="shared" si="3"/>
        <v>131333.33499999999</v>
      </c>
      <c r="AJ14" s="1210">
        <f t="shared" si="3"/>
        <v>131333.33499999999</v>
      </c>
      <c r="AK14" s="1210">
        <f t="shared" si="3"/>
        <v>131333.33499999999</v>
      </c>
      <c r="AL14" s="1210">
        <f t="shared" si="3"/>
        <v>131333.33499999999</v>
      </c>
      <c r="AM14" s="1210">
        <f t="shared" si="3"/>
        <v>131958.33499999999</v>
      </c>
      <c r="AN14" s="1210">
        <f t="shared" si="3"/>
        <v>135273.33504999999</v>
      </c>
      <c r="AO14" s="1210">
        <f t="shared" si="3"/>
        <v>131958.33499999999</v>
      </c>
      <c r="AP14" s="1210">
        <f t="shared" si="3"/>
        <v>131958.33499999999</v>
      </c>
      <c r="AQ14" s="1210">
        <f t="shared" si="3"/>
        <v>131958.33499999999</v>
      </c>
      <c r="AR14" s="1210">
        <f t="shared" si="3"/>
        <v>131958.33499999999</v>
      </c>
      <c r="AS14" s="1210">
        <f t="shared" si="3"/>
        <v>131958.33499999999</v>
      </c>
      <c r="AT14" s="1210">
        <f t="shared" si="3"/>
        <v>131958.33499999999</v>
      </c>
      <c r="AU14" s="1210">
        <f t="shared" si="3"/>
        <v>131958.33499999999</v>
      </c>
      <c r="AV14" s="1210">
        <f t="shared" si="3"/>
        <v>131958.33499999999</v>
      </c>
      <c r="AW14" s="1210">
        <f t="shared" si="3"/>
        <v>131958.33499999999</v>
      </c>
      <c r="AX14" s="1210">
        <f t="shared" si="3"/>
        <v>131958.33499999999</v>
      </c>
      <c r="AY14" s="1210">
        <f t="shared" si="3"/>
        <v>135917.08504999999</v>
      </c>
      <c r="AZ14" s="1210">
        <f t="shared" si="3"/>
        <v>139331.53510149999</v>
      </c>
      <c r="BA14" s="1210">
        <f t="shared" si="3"/>
        <v>135917.08504999999</v>
      </c>
      <c r="BB14" s="1210">
        <f t="shared" si="3"/>
        <v>135917.08504999999</v>
      </c>
      <c r="BC14" s="1210">
        <f t="shared" si="3"/>
        <v>135917.08504999999</v>
      </c>
      <c r="BD14" s="1210">
        <f t="shared" si="3"/>
        <v>135917.08504999999</v>
      </c>
      <c r="BE14" s="1210">
        <f t="shared" si="3"/>
        <v>135917.08504999999</v>
      </c>
      <c r="BF14" s="1210">
        <f t="shared" si="3"/>
        <v>135917.08504999999</v>
      </c>
      <c r="BG14" s="1210">
        <f t="shared" si="3"/>
        <v>135917.08504999999</v>
      </c>
      <c r="BH14" s="1210">
        <f t="shared" si="3"/>
        <v>135917.08504999999</v>
      </c>
      <c r="BI14" s="1210">
        <f t="shared" si="3"/>
        <v>135917.08504999999</v>
      </c>
      <c r="BJ14" s="1210">
        <f t="shared" si="3"/>
        <v>135917.08504999999</v>
      </c>
      <c r="BK14" s="1210">
        <f t="shared" si="3"/>
        <v>139994.59760149999</v>
      </c>
      <c r="BL14" s="1210">
        <f t="shared" si="3"/>
        <v>143511.48115454504</v>
      </c>
      <c r="BM14" s="1210">
        <f t="shared" si="3"/>
        <v>139994.59760149999</v>
      </c>
      <c r="BN14" s="1210">
        <f t="shared" si="3"/>
        <v>139994.59760149999</v>
      </c>
      <c r="BO14" s="1210">
        <f t="shared" si="3"/>
        <v>139994.59760149999</v>
      </c>
      <c r="BP14" s="1210">
        <f t="shared" ref="BP14:BV14" si="4">SUM(BP12:BP13)</f>
        <v>139994.59760149999</v>
      </c>
      <c r="BQ14" s="1210">
        <f t="shared" si="4"/>
        <v>139994.59760149999</v>
      </c>
      <c r="BR14" s="1210">
        <f t="shared" si="4"/>
        <v>139994.59760149999</v>
      </c>
      <c r="BS14" s="1210">
        <f t="shared" si="4"/>
        <v>139994.59760149999</v>
      </c>
      <c r="BT14" s="1210">
        <f t="shared" si="4"/>
        <v>139994.59760149999</v>
      </c>
      <c r="BU14" s="1210">
        <f t="shared" si="4"/>
        <v>139994.59760149999</v>
      </c>
      <c r="BV14" s="974">
        <f t="shared" si="4"/>
        <v>139994.59760149999</v>
      </c>
    </row>
    <row r="15" spans="2:76" x14ac:dyDescent="0.25">
      <c r="B15" s="780" t="s">
        <v>931</v>
      </c>
      <c r="C15" s="668">
        <f>IF(C$4="forecast",IF(YEAR(C$3)=YEAR('New Hires Forecast'!$N$3),IF((C$5&lt;12),(SUMPRODUCT(--('New Hires Forecast'!$F$5:$F$85="Sales"),--('New Hires Forecast'!$H$5:$H$85&gt;=Sales!C$3),'New Hires Forecast'!$N$5:$N$85,'New Hires Forecast'!$L$5:$L$85)/12),0),IF(YEAR(C$3)=YEAR('New Hires Forecast'!$O$3),IF((C$5&lt;12),(SUMPRODUCT(--('New Hires Forecast'!$F$5:$F$85="Sales"),--('New Hires Forecast'!$H$5:$H$85&gt;=Sales!C$3),'New Hires Forecast'!$O$5:$O$85,'New Hires Forecast'!$L$5:$L$85)/12),0),IF(YEAR(C$3)=YEAR('New Hires Forecast'!$P$3),IF((C$5&lt;12),(SUMPRODUCT(--('New Hires Forecast'!$F$5:$F$85="Sales"),--('New Hires Forecast'!$H$5:$H$85&gt;=Sales!C$3),'New Hires Forecast'!$P$5:$P$85,'New Hires Forecast'!$L$5:$L$85)/12),0),IF(YEAR(C$3)=YEAR('New Hires Forecast'!$Q$3),IF((C$5&lt;12),(SUMPRODUCT(--('New Hires Forecast'!$F$5:$F$85="Sales"),--('New Hires Forecast'!$H$5:$H$85&gt;=Sales!C$3),'New Hires Forecast'!$Q$5:$Q$85,'New Hires Forecast'!$L$5:$L$85)/12),0),IF(YEAR(C$3)=YEAR('New Hires Forecast'!$R$3),IF((C$5&lt;12),(SUMPRODUCT(--('New Hires Forecast'!$F$5:$F$85="Sales"),--('New Hires Forecast'!$H$5:$H$85&gt;=Sales!C$3),'New Hires Forecast'!$R$5:$R$85,'New Hires Forecast'!$L$5:$L$85)/12),0),"New Year"))))),0)</f>
        <v>0</v>
      </c>
      <c r="D15" s="668">
        <f>IF(D$4="forecast",IF(YEAR(D$3)=YEAR('New Hires Forecast'!$N$3),IF((D$5&lt;12),(SUMPRODUCT(--('New Hires Forecast'!$F$5:$F$85="Sales"),--('New Hires Forecast'!$H$5:$H$85&gt;=Sales!D$3),'New Hires Forecast'!$N$5:$N$85,'New Hires Forecast'!$L$5:$L$85)/12),0),IF(YEAR(D$3)=YEAR('New Hires Forecast'!$O$3),IF((D$5&lt;12),(SUMPRODUCT(--('New Hires Forecast'!$F$5:$F$85="Sales"),--('New Hires Forecast'!$H$5:$H$85&gt;=Sales!D$3),'New Hires Forecast'!$O$5:$O$85,'New Hires Forecast'!$L$5:$L$85)/12),0),IF(YEAR(D$3)=YEAR('New Hires Forecast'!$P$3),IF((D$5&lt;12),(SUMPRODUCT(--('New Hires Forecast'!$F$5:$F$85="Sales"),--('New Hires Forecast'!$H$5:$H$85&gt;=Sales!D$3),'New Hires Forecast'!$P$5:$P$85,'New Hires Forecast'!$L$5:$L$85)/12),0),IF(YEAR(D$3)=YEAR('New Hires Forecast'!$Q$3),IF((D$5&lt;12),(SUMPRODUCT(--('New Hires Forecast'!$F$5:$F$85="Sales"),--('New Hires Forecast'!$H$5:$H$85&gt;=Sales!D$3),'New Hires Forecast'!$Q$5:$Q$85,'New Hires Forecast'!$L$5:$L$85)/12),0),IF(YEAR(D$3)=YEAR('New Hires Forecast'!$R$3),IF((D$5&lt;12),(SUMPRODUCT(--('New Hires Forecast'!$F$5:$F$85="Sales"),--('New Hires Forecast'!$H$5:$H$85&gt;=Sales!D$3),'New Hires Forecast'!$R$5:$R$85,'New Hires Forecast'!$L$5:$L$85)/12),0),"New Year"))))),0)</f>
        <v>0</v>
      </c>
      <c r="E15" s="668">
        <f>IF(E$4="forecast",IF(YEAR(E$3)=YEAR('New Hires Forecast'!$N$3),IF((E$5&lt;12),(SUMPRODUCT(--('New Hires Forecast'!$F$5:$F$85="Sales"),--('New Hires Forecast'!$H$5:$H$85&gt;=Sales!E$3),'New Hires Forecast'!$N$5:$N$85,'New Hires Forecast'!$L$5:$L$85)/12),0),IF(YEAR(E$3)=YEAR('New Hires Forecast'!$O$3),IF((E$5&lt;12),(SUMPRODUCT(--('New Hires Forecast'!$F$5:$F$85="Sales"),--('New Hires Forecast'!$H$5:$H$85&gt;=Sales!E$3),'New Hires Forecast'!$O$5:$O$85,'New Hires Forecast'!$L$5:$L$85)/12),0),IF(YEAR(E$3)=YEAR('New Hires Forecast'!$P$3),IF((E$5&lt;12),(SUMPRODUCT(--('New Hires Forecast'!$F$5:$F$85="Sales"),--('New Hires Forecast'!$H$5:$H$85&gt;=Sales!E$3),'New Hires Forecast'!$P$5:$P$85,'New Hires Forecast'!$L$5:$L$85)/12),0),IF(YEAR(E$3)=YEAR('New Hires Forecast'!$Q$3),IF((E$5&lt;12),(SUMPRODUCT(--('New Hires Forecast'!$F$5:$F$85="Sales"),--('New Hires Forecast'!$H$5:$H$85&gt;=Sales!E$3),'New Hires Forecast'!$Q$5:$Q$85,'New Hires Forecast'!$L$5:$L$85)/12),0),IF(YEAR(E$3)=YEAR('New Hires Forecast'!$R$3),IF((E$5&lt;12),(SUMPRODUCT(--('New Hires Forecast'!$F$5:$F$85="Sales"),--('New Hires Forecast'!$H$5:$H$85&gt;=Sales!E$3),'New Hires Forecast'!$R$5:$R$85,'New Hires Forecast'!$L$5:$L$85)/12),0),"New Year"))))),0)</f>
        <v>0</v>
      </c>
      <c r="F15" s="668">
        <f>IF(F$4="forecast",IF(YEAR(F$3)=YEAR('New Hires Forecast'!$N$3),IF((F$5&lt;12),(SUMPRODUCT(--('New Hires Forecast'!$F$5:$F$85="Sales"),--('New Hires Forecast'!$H$5:$H$85&gt;=Sales!F$3),'New Hires Forecast'!$N$5:$N$85,'New Hires Forecast'!$L$5:$L$85)/12),0),IF(YEAR(F$3)=YEAR('New Hires Forecast'!$O$3),IF((F$5&lt;12),(SUMPRODUCT(--('New Hires Forecast'!$F$5:$F$85="Sales"),--('New Hires Forecast'!$H$5:$H$85&gt;=Sales!F$3),'New Hires Forecast'!$O$5:$O$85,'New Hires Forecast'!$L$5:$L$85)/12),0),IF(YEAR(F$3)=YEAR('New Hires Forecast'!$P$3),IF((F$5&lt;12),(SUMPRODUCT(--('New Hires Forecast'!$F$5:$F$85="Sales"),--('New Hires Forecast'!$H$5:$H$85&gt;=Sales!F$3),'New Hires Forecast'!$P$5:$P$85,'New Hires Forecast'!$L$5:$L$85)/12),0),IF(YEAR(F$3)=YEAR('New Hires Forecast'!$Q$3),IF((F$5&lt;12),(SUMPRODUCT(--('New Hires Forecast'!$F$5:$F$85="Sales"),--('New Hires Forecast'!$H$5:$H$85&gt;=Sales!F$3),'New Hires Forecast'!$Q$5:$Q$85,'New Hires Forecast'!$L$5:$L$85)/12),0),IF(YEAR(F$3)=YEAR('New Hires Forecast'!$R$3),IF((F$5&lt;12),(SUMPRODUCT(--('New Hires Forecast'!$F$5:$F$85="Sales"),--('New Hires Forecast'!$H$5:$H$85&gt;=Sales!F$3),'New Hires Forecast'!$R$5:$R$85,'New Hires Forecast'!$L$5:$L$85)/12),0),"New Year"))))),0)</f>
        <v>0</v>
      </c>
      <c r="G15" s="668">
        <f>IF(G$4="forecast",IF(YEAR(G$3)=YEAR('New Hires Forecast'!$N$3),IF((G$5&lt;12),(SUMPRODUCT(--('New Hires Forecast'!$F$5:$F$85="Sales"),--('New Hires Forecast'!$H$5:$H$85&gt;=Sales!G$3),'New Hires Forecast'!$N$5:$N$85,'New Hires Forecast'!$L$5:$L$85)/12),0),IF(YEAR(G$3)=YEAR('New Hires Forecast'!$O$3),IF((G$5&lt;12),(SUMPRODUCT(--('New Hires Forecast'!$F$5:$F$85="Sales"),--('New Hires Forecast'!$H$5:$H$85&gt;=Sales!G$3),'New Hires Forecast'!$O$5:$O$85,'New Hires Forecast'!$L$5:$L$85)/12),0),IF(YEAR(G$3)=YEAR('New Hires Forecast'!$P$3),IF((G$5&lt;12),(SUMPRODUCT(--('New Hires Forecast'!$F$5:$F$85="Sales"),--('New Hires Forecast'!$H$5:$H$85&gt;=Sales!G$3),'New Hires Forecast'!$P$5:$P$85,'New Hires Forecast'!$L$5:$L$85)/12),0),IF(YEAR(G$3)=YEAR('New Hires Forecast'!$Q$3),IF((G$5&lt;12),(SUMPRODUCT(--('New Hires Forecast'!$F$5:$F$85="Sales"),--('New Hires Forecast'!$H$5:$H$85&gt;=Sales!G$3),'New Hires Forecast'!$Q$5:$Q$85,'New Hires Forecast'!$L$5:$L$85)/12),0),IF(YEAR(G$3)=YEAR('New Hires Forecast'!$R$3),IF((G$5&lt;12),(SUMPRODUCT(--('New Hires Forecast'!$F$5:$F$85="Sales"),--('New Hires Forecast'!$H$5:$H$85&gt;=Sales!G$3),'New Hires Forecast'!$R$5:$R$85,'New Hires Forecast'!$L$5:$L$85)/12),0),"New Year"))))),0)</f>
        <v>0</v>
      </c>
      <c r="H15" s="668">
        <f>IF(H$4="forecast",IF(YEAR(H$3)=YEAR('New Hires Forecast'!$N$3),IF((H$5&lt;12),(SUMPRODUCT(--('New Hires Forecast'!$F$5:$F$85="Sales"),--('New Hires Forecast'!$H$5:$H$85&gt;=Sales!H$3),'New Hires Forecast'!$N$5:$N$85,'New Hires Forecast'!$L$5:$L$85)/12),0),IF(YEAR(H$3)=YEAR('New Hires Forecast'!$O$3),IF((H$5&lt;12),(SUMPRODUCT(--('New Hires Forecast'!$F$5:$F$85="Sales"),--('New Hires Forecast'!$H$5:$H$85&gt;=Sales!H$3),'New Hires Forecast'!$O$5:$O$85,'New Hires Forecast'!$L$5:$L$85)/12),0),IF(YEAR(H$3)=YEAR('New Hires Forecast'!$P$3),IF((H$5&lt;12),(SUMPRODUCT(--('New Hires Forecast'!$F$5:$F$85="Sales"),--('New Hires Forecast'!$H$5:$H$85&gt;=Sales!H$3),'New Hires Forecast'!$P$5:$P$85,'New Hires Forecast'!$L$5:$L$85)/12),0),IF(YEAR(H$3)=YEAR('New Hires Forecast'!$Q$3),IF((H$5&lt;12),(SUMPRODUCT(--('New Hires Forecast'!$F$5:$F$85="Sales"),--('New Hires Forecast'!$H$5:$H$85&gt;=Sales!H$3),'New Hires Forecast'!$Q$5:$Q$85,'New Hires Forecast'!$L$5:$L$85)/12),0),IF(YEAR(H$3)=YEAR('New Hires Forecast'!$R$3),IF((H$5&lt;12),(SUMPRODUCT(--('New Hires Forecast'!$F$5:$F$85="Sales"),--('New Hires Forecast'!$H$5:$H$85&gt;=Sales!H$3),'New Hires Forecast'!$R$5:$R$85,'New Hires Forecast'!$L$5:$L$85)/12),0),"New Year"))))),0)</f>
        <v>0</v>
      </c>
      <c r="I15" s="668">
        <f>IF(I$4="forecast",IF(YEAR(I$3)=YEAR('New Hires Forecast'!$N$3),IF((I$5&lt;12),(SUMPRODUCT(--('New Hires Forecast'!$F$5:$F$85="Sales"),--('New Hires Forecast'!$H$5:$H$85&gt;=Sales!I$3),'New Hires Forecast'!$N$5:$N$85,'New Hires Forecast'!$L$5:$L$85)/12),0),IF(YEAR(I$3)=YEAR('New Hires Forecast'!$O$3),IF((I$5&lt;12),(SUMPRODUCT(--('New Hires Forecast'!$F$5:$F$85="Sales"),--('New Hires Forecast'!$H$5:$H$85&gt;=Sales!I$3),'New Hires Forecast'!$O$5:$O$85,'New Hires Forecast'!$L$5:$L$85)/12),0),IF(YEAR(I$3)=YEAR('New Hires Forecast'!$P$3),IF((I$5&lt;12),(SUMPRODUCT(--('New Hires Forecast'!$F$5:$F$85="Sales"),--('New Hires Forecast'!$H$5:$H$85&gt;=Sales!I$3),'New Hires Forecast'!$P$5:$P$85,'New Hires Forecast'!$L$5:$L$85)/12),0),IF(YEAR(I$3)=YEAR('New Hires Forecast'!$Q$3),IF((I$5&lt;12),(SUMPRODUCT(--('New Hires Forecast'!$F$5:$F$85="Sales"),--('New Hires Forecast'!$H$5:$H$85&gt;=Sales!I$3),'New Hires Forecast'!$Q$5:$Q$85,'New Hires Forecast'!$L$5:$L$85)/12),0),IF(YEAR(I$3)=YEAR('New Hires Forecast'!$R$3),IF((I$5&lt;12),(SUMPRODUCT(--('New Hires Forecast'!$F$5:$F$85="Sales"),--('New Hires Forecast'!$H$5:$H$85&gt;=Sales!I$3),'New Hires Forecast'!$R$5:$R$85,'New Hires Forecast'!$L$5:$L$85)/12),0),"New Year"))))),0)</f>
        <v>0</v>
      </c>
      <c r="J15" s="668">
        <f>IF(J$4="forecast",IF(YEAR(J$3)=YEAR('New Hires Forecast'!$N$3),IF((J$5&lt;12),(SUMPRODUCT(--('New Hires Forecast'!$F$5:$F$85="Sales"),--('New Hires Forecast'!$H$5:$H$85&gt;=Sales!J$3),'New Hires Forecast'!$N$5:$N$85,'New Hires Forecast'!$L$5:$L$85)/12),0),IF(YEAR(J$3)=YEAR('New Hires Forecast'!$O$3),IF((J$5&lt;12),(SUMPRODUCT(--('New Hires Forecast'!$F$5:$F$85="Sales"),--('New Hires Forecast'!$H$5:$H$85&gt;=Sales!J$3),'New Hires Forecast'!$O$5:$O$85,'New Hires Forecast'!$L$5:$L$85)/12),0),IF(YEAR(J$3)=YEAR('New Hires Forecast'!$P$3),IF((J$5&lt;12),(SUMPRODUCT(--('New Hires Forecast'!$F$5:$F$85="Sales"),--('New Hires Forecast'!$H$5:$H$85&gt;=Sales!J$3),'New Hires Forecast'!$P$5:$P$85,'New Hires Forecast'!$L$5:$L$85)/12),0),IF(YEAR(J$3)=YEAR('New Hires Forecast'!$Q$3),IF((J$5&lt;12),(SUMPRODUCT(--('New Hires Forecast'!$F$5:$F$85="Sales"),--('New Hires Forecast'!$H$5:$H$85&gt;=Sales!J$3),'New Hires Forecast'!$Q$5:$Q$85,'New Hires Forecast'!$L$5:$L$85)/12),0),IF(YEAR(J$3)=YEAR('New Hires Forecast'!$R$3),IF((J$5&lt;12),(SUMPRODUCT(--('New Hires Forecast'!$F$5:$F$85="Sales"),--('New Hires Forecast'!$H$5:$H$85&gt;=Sales!J$3),'New Hires Forecast'!$R$5:$R$85,'New Hires Forecast'!$L$5:$L$85)/12),0),"New Year"))))),0)</f>
        <v>0</v>
      </c>
      <c r="K15" s="668">
        <f>IF(K$4="forecast",IF(YEAR(K$3)=YEAR('New Hires Forecast'!$N$3),IF((K$5&lt;12),(SUMPRODUCT(--('New Hires Forecast'!$F$5:$F$85="Sales"),--('New Hires Forecast'!$H$5:$H$85&gt;=Sales!K$3),'New Hires Forecast'!$N$5:$N$85,'New Hires Forecast'!$L$5:$L$85)/12),0),IF(YEAR(K$3)=YEAR('New Hires Forecast'!$O$3),IF((K$5&lt;12),(SUMPRODUCT(--('New Hires Forecast'!$F$5:$F$85="Sales"),--('New Hires Forecast'!$H$5:$H$85&gt;=Sales!K$3),'New Hires Forecast'!$O$5:$O$85,'New Hires Forecast'!$L$5:$L$85)/12),0),IF(YEAR(K$3)=YEAR('New Hires Forecast'!$P$3),IF((K$5&lt;12),(SUMPRODUCT(--('New Hires Forecast'!$F$5:$F$85="Sales"),--('New Hires Forecast'!$H$5:$H$85&gt;=Sales!K$3),'New Hires Forecast'!$P$5:$P$85,'New Hires Forecast'!$L$5:$L$85)/12),0),IF(YEAR(K$3)=YEAR('New Hires Forecast'!$Q$3),IF((K$5&lt;12),(SUMPRODUCT(--('New Hires Forecast'!$F$5:$F$85="Sales"),--('New Hires Forecast'!$H$5:$H$85&gt;=Sales!K$3),'New Hires Forecast'!$Q$5:$Q$85,'New Hires Forecast'!$L$5:$L$85)/12),0),IF(YEAR(K$3)=YEAR('New Hires Forecast'!$R$3),IF((K$5&lt;12),(SUMPRODUCT(--('New Hires Forecast'!$F$5:$F$85="Sales"),--('New Hires Forecast'!$H$5:$H$85&gt;=Sales!K$3),'New Hires Forecast'!$R$5:$R$85,'New Hires Forecast'!$L$5:$L$85)/12),0),"New Year"))))),0)</f>
        <v>0</v>
      </c>
      <c r="L15" s="668">
        <f>IF(L$4="forecast",IF(YEAR(L$3)=YEAR('New Hires Forecast'!$N$3),IF((L$5&lt;12),(SUMPRODUCT(--('New Hires Forecast'!$F$5:$F$85="Sales"),--('New Hires Forecast'!$H$5:$H$85&gt;=Sales!L$3),'New Hires Forecast'!$N$5:$N$85,'New Hires Forecast'!$L$5:$L$85)/12),0),IF(YEAR(L$3)=YEAR('New Hires Forecast'!$O$3),IF((L$5&lt;12),(SUMPRODUCT(--('New Hires Forecast'!$F$5:$F$85="Sales"),--('New Hires Forecast'!$H$5:$H$85&gt;=Sales!L$3),'New Hires Forecast'!$O$5:$O$85,'New Hires Forecast'!$L$5:$L$85)/12),0),IF(YEAR(L$3)=YEAR('New Hires Forecast'!$P$3),IF((L$5&lt;12),(SUMPRODUCT(--('New Hires Forecast'!$F$5:$F$85="Sales"),--('New Hires Forecast'!$H$5:$H$85&gt;=Sales!L$3),'New Hires Forecast'!$P$5:$P$85,'New Hires Forecast'!$L$5:$L$85)/12),0),IF(YEAR(L$3)=YEAR('New Hires Forecast'!$Q$3),IF((L$5&lt;12),(SUMPRODUCT(--('New Hires Forecast'!$F$5:$F$85="Sales"),--('New Hires Forecast'!$H$5:$H$85&gt;=Sales!L$3),'New Hires Forecast'!$Q$5:$Q$85,'New Hires Forecast'!$L$5:$L$85)/12),0),IF(YEAR(L$3)=YEAR('New Hires Forecast'!$R$3),IF((L$5&lt;12),(SUMPRODUCT(--('New Hires Forecast'!$F$5:$F$85="Sales"),--('New Hires Forecast'!$H$5:$H$85&gt;=Sales!L$3),'New Hires Forecast'!$R$5:$R$85,'New Hires Forecast'!$L$5:$L$85)/12),0),"New Year"))))),0)</f>
        <v>0</v>
      </c>
      <c r="M15" s="668">
        <f>IF(M$4="forecast",IF(YEAR(M$3)=YEAR('New Hires Forecast'!$N$3),IF((M$5&lt;12),(SUMPRODUCT(--('New Hires Forecast'!$F$5:$F$85="Sales"),--('New Hires Forecast'!$H$5:$H$85&gt;=Sales!M$3),'New Hires Forecast'!$N$5:$N$85,'New Hires Forecast'!$L$5:$L$85)/12),0),IF(YEAR(M$3)=YEAR('New Hires Forecast'!$O$3),IF((M$5&lt;12),(SUMPRODUCT(--('New Hires Forecast'!$F$5:$F$85="Sales"),--('New Hires Forecast'!$H$5:$H$85&gt;=Sales!M$3),'New Hires Forecast'!$O$5:$O$85,'New Hires Forecast'!$L$5:$L$85)/12),0),IF(YEAR(M$3)=YEAR('New Hires Forecast'!$P$3),IF((M$5&lt;12),(SUMPRODUCT(--('New Hires Forecast'!$F$5:$F$85="Sales"),--('New Hires Forecast'!$H$5:$H$85&gt;=Sales!M$3),'New Hires Forecast'!$P$5:$P$85,'New Hires Forecast'!$L$5:$L$85)/12),0),IF(YEAR(M$3)=YEAR('New Hires Forecast'!$Q$3),IF((M$5&lt;12),(SUMPRODUCT(--('New Hires Forecast'!$F$5:$F$85="Sales"),--('New Hires Forecast'!$H$5:$H$85&gt;=Sales!M$3),'New Hires Forecast'!$Q$5:$Q$85,'New Hires Forecast'!$L$5:$L$85)/12),0),IF(YEAR(M$3)=YEAR('New Hires Forecast'!$R$3),IF((M$5&lt;12),(SUMPRODUCT(--('New Hires Forecast'!$F$5:$F$85="Sales"),--('New Hires Forecast'!$H$5:$H$85&gt;=Sales!M$3),'New Hires Forecast'!$R$5:$R$85,'New Hires Forecast'!$L$5:$L$85)/12),0),"New Year"))))),0)</f>
        <v>0</v>
      </c>
      <c r="N15" s="668">
        <f>IF(N$4="forecast",IF(YEAR(N$3)=YEAR('New Hires Forecast'!$N$3),IF((N$5&lt;12),(SUMPRODUCT(--('New Hires Forecast'!$F$5:$F$85="Sales"),--('New Hires Forecast'!$H$5:$H$85&gt;=Sales!N$3),'New Hires Forecast'!$N$5:$N$85,'New Hires Forecast'!$L$5:$L$85)/12),0),IF(YEAR(N$3)=YEAR('New Hires Forecast'!$O$3),IF((N$5&lt;12),(SUMPRODUCT(--('New Hires Forecast'!$F$5:$F$85="Sales"),--('New Hires Forecast'!$H$5:$H$85&gt;=Sales!N$3),'New Hires Forecast'!$O$5:$O$85,'New Hires Forecast'!$L$5:$L$85)/12),0),IF(YEAR(N$3)=YEAR('New Hires Forecast'!$P$3),IF((N$5&lt;12),(SUMPRODUCT(--('New Hires Forecast'!$F$5:$F$85="Sales"),--('New Hires Forecast'!$H$5:$H$85&gt;=Sales!N$3),'New Hires Forecast'!$P$5:$P$85,'New Hires Forecast'!$L$5:$L$85)/12),0),IF(YEAR(N$3)=YEAR('New Hires Forecast'!$Q$3),IF((N$5&lt;12),(SUMPRODUCT(--('New Hires Forecast'!$F$5:$F$85="Sales"),--('New Hires Forecast'!$H$5:$H$85&gt;=Sales!N$3),'New Hires Forecast'!$Q$5:$Q$85,'New Hires Forecast'!$L$5:$L$85)/12),0),IF(YEAR(N$3)=YEAR('New Hires Forecast'!$R$3),IF((N$5&lt;12),(SUMPRODUCT(--('New Hires Forecast'!$F$5:$F$85="Sales"),--('New Hires Forecast'!$H$5:$H$85&gt;=Sales!N$3),'New Hires Forecast'!$R$5:$R$85,'New Hires Forecast'!$L$5:$L$85)/12),0),"New Year"))))),0)</f>
        <v>0</v>
      </c>
      <c r="O15" s="668">
        <f>IF(O$4="forecast",IF(YEAR(O$3)=YEAR('New Hires Forecast'!$N$3),IF((O$5&lt;12),(SUMPRODUCT(--('New Hires Forecast'!$F$5:$F$85="Sales"),--('New Hires Forecast'!$H$5:$H$85&gt;=Sales!O$3),'New Hires Forecast'!$N$5:$N$85,'New Hires Forecast'!$L$5:$L$85)/12),0),IF(YEAR(O$3)=YEAR('New Hires Forecast'!$O$3),IF((O$5&lt;12),(SUMPRODUCT(--('New Hires Forecast'!$F$5:$F$85="Sales"),--('New Hires Forecast'!$H$5:$H$85&gt;=Sales!O$3),'New Hires Forecast'!$O$5:$O$85,'New Hires Forecast'!$L$5:$L$85)/12),0),IF(YEAR(O$3)=YEAR('New Hires Forecast'!$P$3),IF((O$5&lt;12),(SUMPRODUCT(--('New Hires Forecast'!$F$5:$F$85="Sales"),--('New Hires Forecast'!$H$5:$H$85&gt;=Sales!O$3),'New Hires Forecast'!$P$5:$P$85,'New Hires Forecast'!$L$5:$L$85)/12),0),IF(YEAR(O$3)=YEAR('New Hires Forecast'!$Q$3),IF((O$5&lt;12),(SUMPRODUCT(--('New Hires Forecast'!$F$5:$F$85="Sales"),--('New Hires Forecast'!$H$5:$H$85&gt;=Sales!O$3),'New Hires Forecast'!$Q$5:$Q$85,'New Hires Forecast'!$L$5:$L$85)/12),0),IF(YEAR(O$3)=YEAR('New Hires Forecast'!$R$3),IF((O$5&lt;12),(SUMPRODUCT(--('New Hires Forecast'!$F$5:$F$85="Sales"),--('New Hires Forecast'!$H$5:$H$85&gt;=Sales!O$3),'New Hires Forecast'!$R$5:$R$85,'New Hires Forecast'!$L$5:$L$85)/12),0),"New Year"))))),0)</f>
        <v>0</v>
      </c>
      <c r="P15" s="668">
        <f>IF(P$4="forecast",IF(YEAR(P$3)=YEAR('New Hires Forecast'!$N$3),IF((P$5&lt;12),(SUMPRODUCT(--('New Hires Forecast'!$F$5:$F$85="Sales"),--('New Hires Forecast'!$H$5:$H$85&gt;=Sales!P$3),'New Hires Forecast'!$N$5:$N$85,'New Hires Forecast'!$L$5:$L$85)/12),0),IF(YEAR(P$3)=YEAR('New Hires Forecast'!$O$3),IF((P$5&lt;12),(SUMPRODUCT(--('New Hires Forecast'!$F$5:$F$85="Sales"),--('New Hires Forecast'!$H$5:$H$85&gt;=Sales!P$3),'New Hires Forecast'!$O$5:$O$85,'New Hires Forecast'!$L$5:$L$85)/12),0),IF(YEAR(P$3)=YEAR('New Hires Forecast'!$P$3),IF((P$5&lt;12),(SUMPRODUCT(--('New Hires Forecast'!$F$5:$F$85="Sales"),--('New Hires Forecast'!$H$5:$H$85&gt;=Sales!P$3),'New Hires Forecast'!$P$5:$P$85,'New Hires Forecast'!$L$5:$L$85)/12),0),IF(YEAR(P$3)=YEAR('New Hires Forecast'!$Q$3),IF((P$5&lt;12),(SUMPRODUCT(--('New Hires Forecast'!$F$5:$F$85="Sales"),--('New Hires Forecast'!$H$5:$H$85&gt;=Sales!P$3),'New Hires Forecast'!$Q$5:$Q$85,'New Hires Forecast'!$L$5:$L$85)/12),0),IF(YEAR(P$3)=YEAR('New Hires Forecast'!$R$3),IF((P$5&lt;12),(SUMPRODUCT(--('New Hires Forecast'!$F$5:$F$85="Sales"),--('New Hires Forecast'!$H$5:$H$85&gt;=Sales!P$3),'New Hires Forecast'!$R$5:$R$85,'New Hires Forecast'!$L$5:$L$85)/12),0),"New Year"))))),0)</f>
        <v>0</v>
      </c>
      <c r="Q15" s="668">
        <f>IF(Q$4="forecast",IF(YEAR(Q$3)=YEAR('New Hires Forecast'!$N$3),IF((Q$5&lt;12),(SUMPRODUCT(--('New Hires Forecast'!$F$5:$F$85="Sales"),--('New Hires Forecast'!$H$5:$H$85&gt;=Sales!Q$3),'New Hires Forecast'!$N$5:$N$85,'New Hires Forecast'!$L$5:$L$85)/12),0),IF(YEAR(Q$3)=YEAR('New Hires Forecast'!$O$3),IF((Q$5&lt;12),(SUMPRODUCT(--('New Hires Forecast'!$F$5:$F$85="Sales"),--('New Hires Forecast'!$H$5:$H$85&gt;=Sales!Q$3),'New Hires Forecast'!$O$5:$O$85,'New Hires Forecast'!$L$5:$L$85)/12),0),IF(YEAR(Q$3)=YEAR('New Hires Forecast'!$P$3),IF((Q$5&lt;12),(SUMPRODUCT(--('New Hires Forecast'!$F$5:$F$85="Sales"),--('New Hires Forecast'!$H$5:$H$85&gt;=Sales!Q$3),'New Hires Forecast'!$P$5:$P$85,'New Hires Forecast'!$L$5:$L$85)/12),0),IF(YEAR(Q$3)=YEAR('New Hires Forecast'!$Q$3),IF((Q$5&lt;12),(SUMPRODUCT(--('New Hires Forecast'!$F$5:$F$85="Sales"),--('New Hires Forecast'!$H$5:$H$85&gt;=Sales!Q$3),'New Hires Forecast'!$Q$5:$Q$85,'New Hires Forecast'!$L$5:$L$85)/12),0),IF(YEAR(Q$3)=YEAR('New Hires Forecast'!$R$3),IF((Q$5&lt;12),(SUMPRODUCT(--('New Hires Forecast'!$F$5:$F$85="Sales"),--('New Hires Forecast'!$H$5:$H$85&gt;=Sales!Q$3),'New Hires Forecast'!$R$5:$R$85,'New Hires Forecast'!$L$5:$L$85)/12),0),"New Year"))))),0)</f>
        <v>0</v>
      </c>
      <c r="R15" s="668">
        <f>IF(R$4="forecast",IF(YEAR(R$3)=YEAR('New Hires Forecast'!$N$3),IF((R$5&lt;12),(SUMPRODUCT(--('New Hires Forecast'!$F$5:$F$85="Sales"),--('New Hires Forecast'!$H$5:$H$85&gt;=Sales!R$3),'New Hires Forecast'!$N$5:$N$85,'New Hires Forecast'!$L$5:$L$85)/12),0),IF(YEAR(R$3)=YEAR('New Hires Forecast'!$O$3),IF((R$5&lt;12),(SUMPRODUCT(--('New Hires Forecast'!$F$5:$F$85="Sales"),--('New Hires Forecast'!$H$5:$H$85&gt;=Sales!R$3),'New Hires Forecast'!$O$5:$O$85,'New Hires Forecast'!$L$5:$L$85)/12),0),IF(YEAR(R$3)=YEAR('New Hires Forecast'!$P$3),IF((R$5&lt;12),(SUMPRODUCT(--('New Hires Forecast'!$F$5:$F$85="Sales"),--('New Hires Forecast'!$H$5:$H$85&gt;=Sales!R$3),'New Hires Forecast'!$P$5:$P$85,'New Hires Forecast'!$L$5:$L$85)/12),0),IF(YEAR(R$3)=YEAR('New Hires Forecast'!$Q$3),IF((R$5&lt;12),(SUMPRODUCT(--('New Hires Forecast'!$F$5:$F$85="Sales"),--('New Hires Forecast'!$H$5:$H$85&gt;=Sales!R$3),'New Hires Forecast'!$Q$5:$Q$85,'New Hires Forecast'!$L$5:$L$85)/12),0),IF(YEAR(R$3)=YEAR('New Hires Forecast'!$R$3),IF((R$5&lt;12),(SUMPRODUCT(--('New Hires Forecast'!$F$5:$F$85="Sales"),--('New Hires Forecast'!$H$5:$H$85&gt;=Sales!R$3),'New Hires Forecast'!$R$5:$R$85,'New Hires Forecast'!$L$5:$L$85)/12),0),"New Year"))))),0)</f>
        <v>0</v>
      </c>
      <c r="S15" s="668">
        <f>IF(S$4="forecast",IF(YEAR(S$3)=YEAR('New Hires Forecast'!$N$3),IF((S$5&lt;12),(SUMPRODUCT(--('New Hires Forecast'!$F$5:$F$85="Sales"),--('New Hires Forecast'!$H$5:$H$85&gt;=Sales!S$3),'New Hires Forecast'!$N$5:$N$85,'New Hires Forecast'!$L$5:$L$85)/12),0),IF(YEAR(S$3)=YEAR('New Hires Forecast'!$O$3),IF((S$5&lt;12),(SUMPRODUCT(--('New Hires Forecast'!$F$5:$F$85="Sales"),--('New Hires Forecast'!$H$5:$H$85&gt;=Sales!S$3),'New Hires Forecast'!$O$5:$O$85,'New Hires Forecast'!$L$5:$L$85)/12),0),IF(YEAR(S$3)=YEAR('New Hires Forecast'!$P$3),IF((S$5&lt;12),(SUMPRODUCT(--('New Hires Forecast'!$F$5:$F$85="Sales"),--('New Hires Forecast'!$H$5:$H$85&gt;=Sales!S$3),'New Hires Forecast'!$P$5:$P$85,'New Hires Forecast'!$L$5:$L$85)/12),0),IF(YEAR(S$3)=YEAR('New Hires Forecast'!$Q$3),IF((S$5&lt;12),(SUMPRODUCT(--('New Hires Forecast'!$F$5:$F$85="Sales"),--('New Hires Forecast'!$H$5:$H$85&gt;=Sales!S$3),'New Hires Forecast'!$Q$5:$Q$85,'New Hires Forecast'!$L$5:$L$85)/12),0),IF(YEAR(S$3)=YEAR('New Hires Forecast'!$R$3),IF((S$5&lt;12),(SUMPRODUCT(--('New Hires Forecast'!$F$5:$F$85="Sales"),--('New Hires Forecast'!$H$5:$H$85&gt;=Sales!S$3),'New Hires Forecast'!$R$5:$R$85,'New Hires Forecast'!$L$5:$L$85)/12),0),"New Year"))))),0)</f>
        <v>0</v>
      </c>
      <c r="T15" s="668">
        <f>IF(T$4="forecast",IF(YEAR(T$3)=YEAR('New Hires Forecast'!$N$3),IF((T$5&lt;12),(SUMPRODUCT(--('New Hires Forecast'!$F$5:$F$85="Sales"),--('New Hires Forecast'!$H$5:$H$85&gt;=Sales!T$3),'New Hires Forecast'!$N$5:$N$85,'New Hires Forecast'!$L$5:$L$85)/12),0),IF(YEAR(T$3)=YEAR('New Hires Forecast'!$O$3),IF((T$5&lt;12),(SUMPRODUCT(--('New Hires Forecast'!$F$5:$F$85="Sales"),--('New Hires Forecast'!$H$5:$H$85&gt;=Sales!T$3),'New Hires Forecast'!$O$5:$O$85,'New Hires Forecast'!$L$5:$L$85)/12),0),IF(YEAR(T$3)=YEAR('New Hires Forecast'!$P$3),IF((T$5&lt;12),(SUMPRODUCT(--('New Hires Forecast'!$F$5:$F$85="Sales"),--('New Hires Forecast'!$H$5:$H$85&gt;=Sales!T$3),'New Hires Forecast'!$P$5:$P$85,'New Hires Forecast'!$L$5:$L$85)/12),0),IF(YEAR(T$3)=YEAR('New Hires Forecast'!$Q$3),IF((T$5&lt;12),(SUMPRODUCT(--('New Hires Forecast'!$F$5:$F$85="Sales"),--('New Hires Forecast'!$H$5:$H$85&gt;=Sales!T$3),'New Hires Forecast'!$Q$5:$Q$85,'New Hires Forecast'!$L$5:$L$85)/12),0),IF(YEAR(T$3)=YEAR('New Hires Forecast'!$R$3),IF((T$5&lt;12),(SUMPRODUCT(--('New Hires Forecast'!$F$5:$F$85="Sales"),--('New Hires Forecast'!$H$5:$H$85&gt;=Sales!T$3),'New Hires Forecast'!$R$5:$R$85,'New Hires Forecast'!$L$5:$L$85)/12),0),"New Year"))))),0)</f>
        <v>0</v>
      </c>
      <c r="U15" s="668">
        <f>IF(U$4="forecast",IF(YEAR(U$3)=YEAR('New Hires Forecast'!$N$3),IF((U$5&lt;12),(SUMPRODUCT(--('New Hires Forecast'!$F$5:$F$85="Sales"),--('New Hires Forecast'!$H$5:$H$85&gt;=Sales!U$3),'New Hires Forecast'!$N$5:$N$85,'New Hires Forecast'!$L$5:$L$85)/12),0),IF(YEAR(U$3)=YEAR('New Hires Forecast'!$O$3),IF((U$5&lt;12),(SUMPRODUCT(--('New Hires Forecast'!$F$5:$F$85="Sales"),--('New Hires Forecast'!$H$5:$H$85&gt;=Sales!U$3),'New Hires Forecast'!$O$5:$O$85,'New Hires Forecast'!$L$5:$L$85)/12),0),IF(YEAR(U$3)=YEAR('New Hires Forecast'!$P$3),IF((U$5&lt;12),(SUMPRODUCT(--('New Hires Forecast'!$F$5:$F$85="Sales"),--('New Hires Forecast'!$H$5:$H$85&gt;=Sales!U$3),'New Hires Forecast'!$P$5:$P$85,'New Hires Forecast'!$L$5:$L$85)/12),0),IF(YEAR(U$3)=YEAR('New Hires Forecast'!$Q$3),IF((U$5&lt;12),(SUMPRODUCT(--('New Hires Forecast'!$F$5:$F$85="Sales"),--('New Hires Forecast'!$H$5:$H$85&gt;=Sales!U$3),'New Hires Forecast'!$Q$5:$Q$85,'New Hires Forecast'!$L$5:$L$85)/12),0),IF(YEAR(U$3)=YEAR('New Hires Forecast'!$R$3),IF((U$5&lt;12),(SUMPRODUCT(--('New Hires Forecast'!$F$5:$F$85="Sales"),--('New Hires Forecast'!$H$5:$H$85&gt;=Sales!U$3),'New Hires Forecast'!$R$5:$R$85,'New Hires Forecast'!$L$5:$L$85)/12),0),"New Year"))))),0)</f>
        <v>0</v>
      </c>
      <c r="V15" s="668">
        <f>IF(V$4="forecast",IF(YEAR(V$3)=YEAR('New Hires Forecast'!$N$3),IF((V$5&lt;12),(SUMPRODUCT(--('New Hires Forecast'!$F$5:$F$85="Sales"),--('New Hires Forecast'!$H$5:$H$85&gt;=Sales!V$3),'New Hires Forecast'!$N$5:$N$85,'New Hires Forecast'!$L$5:$L$85)/12),0),IF(YEAR(V$3)=YEAR('New Hires Forecast'!$O$3),IF((V$5&lt;12),(SUMPRODUCT(--('New Hires Forecast'!$F$5:$F$85="Sales"),--('New Hires Forecast'!$H$5:$H$85&gt;=Sales!V$3),'New Hires Forecast'!$O$5:$O$85,'New Hires Forecast'!$L$5:$L$85)/12),0),IF(YEAR(V$3)=YEAR('New Hires Forecast'!$P$3),IF((V$5&lt;12),(SUMPRODUCT(--('New Hires Forecast'!$F$5:$F$85="Sales"),--('New Hires Forecast'!$H$5:$H$85&gt;=Sales!V$3),'New Hires Forecast'!$P$5:$P$85,'New Hires Forecast'!$L$5:$L$85)/12),0),IF(YEAR(V$3)=YEAR('New Hires Forecast'!$Q$3),IF((V$5&lt;12),(SUMPRODUCT(--('New Hires Forecast'!$F$5:$F$85="Sales"),--('New Hires Forecast'!$H$5:$H$85&gt;=Sales!V$3),'New Hires Forecast'!$Q$5:$Q$85,'New Hires Forecast'!$L$5:$L$85)/12),0),IF(YEAR(V$3)=YEAR('New Hires Forecast'!$R$3),IF((V$5&lt;12),(SUMPRODUCT(--('New Hires Forecast'!$F$5:$F$85="Sales"),--('New Hires Forecast'!$H$5:$H$85&gt;=Sales!V$3),'New Hires Forecast'!$R$5:$R$85,'New Hires Forecast'!$L$5:$L$85)/12),0),"New Year"))))),0)</f>
        <v>0</v>
      </c>
      <c r="W15" s="668">
        <f>IF(W$4="forecast",IF(YEAR(W$3)=YEAR('New Hires Forecast'!$N$3),IF((W$5&lt;12),(SUMPRODUCT(--('New Hires Forecast'!$F$5:$F$85="Sales"),--('New Hires Forecast'!$H$5:$H$85&gt;=Sales!W$3),'New Hires Forecast'!$N$5:$N$85,'New Hires Forecast'!$L$5:$L$85)/12),0),IF(YEAR(W$3)=YEAR('New Hires Forecast'!$O$3),IF((W$5&lt;12),(SUMPRODUCT(--('New Hires Forecast'!$F$5:$F$85="Sales"),--('New Hires Forecast'!$H$5:$H$85&gt;=Sales!W$3),'New Hires Forecast'!$O$5:$O$85,'New Hires Forecast'!$L$5:$L$85)/12),0),IF(YEAR(W$3)=YEAR('New Hires Forecast'!$P$3),IF((W$5&lt;12),(SUMPRODUCT(--('New Hires Forecast'!$F$5:$F$85="Sales"),--('New Hires Forecast'!$H$5:$H$85&gt;=Sales!W$3),'New Hires Forecast'!$P$5:$P$85,'New Hires Forecast'!$L$5:$L$85)/12),0),IF(YEAR(W$3)=YEAR('New Hires Forecast'!$Q$3),IF((W$5&lt;12),(SUMPRODUCT(--('New Hires Forecast'!$F$5:$F$85="Sales"),--('New Hires Forecast'!$H$5:$H$85&gt;=Sales!W$3),'New Hires Forecast'!$Q$5:$Q$85,'New Hires Forecast'!$L$5:$L$85)/12),0),IF(YEAR(W$3)=YEAR('New Hires Forecast'!$R$3),IF((W$5&lt;12),(SUMPRODUCT(--('New Hires Forecast'!$F$5:$F$85="Sales"),--('New Hires Forecast'!$H$5:$H$85&gt;=Sales!W$3),'New Hires Forecast'!$R$5:$R$85,'New Hires Forecast'!$L$5:$L$85)/12),0),"New Year"))))),0)</f>
        <v>0</v>
      </c>
      <c r="X15" s="668">
        <f>IF(X$4="forecast",IF(YEAR(X$3)=YEAR('New Hires Forecast'!$N$3),IF((X$5&lt;12),(SUMPRODUCT(--('New Hires Forecast'!$F$5:$F$85="Sales"),--('New Hires Forecast'!$H$5:$H$85&gt;=Sales!X$3),'New Hires Forecast'!$N$5:$N$85,'New Hires Forecast'!$L$5:$L$85)/12),0),IF(YEAR(X$3)=YEAR('New Hires Forecast'!$O$3),IF((X$5&lt;12),(SUMPRODUCT(--('New Hires Forecast'!$F$5:$F$85="Sales"),--('New Hires Forecast'!$H$5:$H$85&gt;=Sales!X$3),'New Hires Forecast'!$O$5:$O$85,'New Hires Forecast'!$L$5:$L$85)/12),0),IF(YEAR(X$3)=YEAR('New Hires Forecast'!$P$3),IF((X$5&lt;12),(SUMPRODUCT(--('New Hires Forecast'!$F$5:$F$85="Sales"),--('New Hires Forecast'!$H$5:$H$85&gt;=Sales!X$3),'New Hires Forecast'!$P$5:$P$85,'New Hires Forecast'!$L$5:$L$85)/12),0),IF(YEAR(X$3)=YEAR('New Hires Forecast'!$Q$3),IF((X$5&lt;12),(SUMPRODUCT(--('New Hires Forecast'!$F$5:$F$85="Sales"),--('New Hires Forecast'!$H$5:$H$85&gt;=Sales!X$3),'New Hires Forecast'!$Q$5:$Q$85,'New Hires Forecast'!$L$5:$L$85)/12),0),IF(YEAR(X$3)=YEAR('New Hires Forecast'!$R$3),IF((X$5&lt;12),(SUMPRODUCT(--('New Hires Forecast'!$F$5:$F$85="Sales"),--('New Hires Forecast'!$H$5:$H$85&gt;=Sales!X$3),'New Hires Forecast'!$R$5:$R$85,'New Hires Forecast'!$L$5:$L$85)/12),0),"New Year"))))),0)</f>
        <v>0</v>
      </c>
      <c r="Y15" s="668">
        <f>IF(Y$4="forecast",IF(YEAR(Y$3)=YEAR('New Hires Forecast'!$N$3),IF((Y$5&lt;12),(SUMPRODUCT(--('New Hires Forecast'!$F$5:$F$85="Sales"),--('New Hires Forecast'!$H$5:$H$85&gt;=Sales!Y$3),'New Hires Forecast'!$N$5:$N$85,'New Hires Forecast'!$L$5:$L$85)/12),0),IF(YEAR(Y$3)=YEAR('New Hires Forecast'!$O$3),IF((Y$5&lt;12),(SUMPRODUCT(--('New Hires Forecast'!$F$5:$F$85="Sales"),--('New Hires Forecast'!$H$5:$H$85&gt;=Sales!Y$3),'New Hires Forecast'!$O$5:$O$85,'New Hires Forecast'!$L$5:$L$85)/12),0),IF(YEAR(Y$3)=YEAR('New Hires Forecast'!$P$3),IF((Y$5&lt;12),(SUMPRODUCT(--('New Hires Forecast'!$F$5:$F$85="Sales"),--('New Hires Forecast'!$H$5:$H$85&gt;=Sales!Y$3),'New Hires Forecast'!$P$5:$P$85,'New Hires Forecast'!$L$5:$L$85)/12),0),IF(YEAR(Y$3)=YEAR('New Hires Forecast'!$Q$3),IF((Y$5&lt;12),(SUMPRODUCT(--('New Hires Forecast'!$F$5:$F$85="Sales"),--('New Hires Forecast'!$H$5:$H$85&gt;=Sales!Y$3),'New Hires Forecast'!$Q$5:$Q$85,'New Hires Forecast'!$L$5:$L$85)/12),0),IF(YEAR(Y$3)=YEAR('New Hires Forecast'!$R$3),IF((Y$5&lt;12),(SUMPRODUCT(--('New Hires Forecast'!$F$5:$F$85="Sales"),--('New Hires Forecast'!$H$5:$H$85&gt;=Sales!Y$3),'New Hires Forecast'!$R$5:$R$85,'New Hires Forecast'!$L$5:$L$85)/12),0),"New Year"))))),0)</f>
        <v>0</v>
      </c>
      <c r="Z15" s="668">
        <f>IF(Z$4="forecast",IF(YEAR(Z$3)=YEAR('New Hires Forecast'!$N$3),IF((Z$5&lt;=12),(SUMPRODUCT(--('New Hires Forecast'!$F$5:$F$85="Sales"),--('New Hires Forecast'!$H$5:$H$85&gt;=Sales!Z$3),'New Hires Forecast'!$N$5:$N$85,'New Hires Forecast'!$L$5:$L$85)/12),0),IF(YEAR(Z$3)=YEAR('New Hires Forecast'!$O$3),IF((Z$5&lt;=12),(SUMPRODUCT(--('New Hires Forecast'!$F$5:$F$85="Sales"),--('New Hires Forecast'!$H$5:$H$85&gt;=Sales!Z$3),'New Hires Forecast'!$O$5:$O$85,'New Hires Forecast'!$L$5:$L$85)/12),0),IF(YEAR(Z$3)=YEAR('New Hires Forecast'!$P$3),IF((Z$5&lt;=12),(SUMPRODUCT(--('New Hires Forecast'!$F$5:$F$85="Sales"),--('New Hires Forecast'!$H$5:$H$85&gt;=Sales!Z$3),'New Hires Forecast'!$P$5:$P$85,'New Hires Forecast'!$L$5:$L$85)/12),0),IF(YEAR(Z$3)=YEAR('New Hires Forecast'!$Q$3),IF((Z$5&lt;=12),(SUMPRODUCT(--('New Hires Forecast'!$F$5:$F$85="Sales"),--('New Hires Forecast'!$H$5:$H$85&gt;=Sales!Z$3),'New Hires Forecast'!$Q$5:$Q$85,'New Hires Forecast'!$L$5:$L$85)/12),0),IF(YEAR(Z$3)=YEAR('New Hires Forecast'!$R$3),IF((Z$5&lt;=12),(SUMPRODUCT(--('New Hires Forecast'!$F$5:$F$85="Sales"),--('New Hires Forecast'!$H$5:$H$85&gt;=Sales!Z$3),'New Hires Forecast'!$R$5:$R$85,'New Hires Forecast'!$L$5:$L$85)/12),0),"New Year"))))),0)</f>
        <v>0</v>
      </c>
      <c r="AA15" s="668">
        <f>IF(AA$4="forecast",IF(YEAR(AA$3)=YEAR('New Hires Forecast'!$N$3),IF((AA$5&lt;=12),(SUMPRODUCT(--('New Hires Forecast'!$F$5:$F$85="Sales"),--('New Hires Forecast'!$H$5:$H$85&gt;=Sales!AA$3),'New Hires Forecast'!$N$5:$N$85,'New Hires Forecast'!$L$5:$L$85)/12),0),IF(YEAR(AA$3)=YEAR('New Hires Forecast'!$O$3),IF((AA$5&lt;=12),(SUMPRODUCT(--('New Hires Forecast'!$F$5:$F$85="Sales"),--('New Hires Forecast'!$H$5:$H$85&gt;=Sales!AA$3),'New Hires Forecast'!$O$5:$O$85,'New Hires Forecast'!$L$5:$L$85)/12),0),IF(YEAR(AA$3)=YEAR('New Hires Forecast'!$P$3),IF((AA$5&lt;=12),(SUMPRODUCT(--('New Hires Forecast'!$F$5:$F$85="Sales"),--('New Hires Forecast'!$H$5:$H$85&gt;=Sales!AA$3),'New Hires Forecast'!$P$5:$P$85,'New Hires Forecast'!$L$5:$L$85)/12),0),IF(YEAR(AA$3)=YEAR('New Hires Forecast'!$Q$3),IF((AA$5&lt;=12),(SUMPRODUCT(--('New Hires Forecast'!$F$5:$F$85="Sales"),--('New Hires Forecast'!$H$5:$H$85&gt;=Sales!AA$3),'New Hires Forecast'!$Q$5:$Q$85,'New Hires Forecast'!$L$5:$L$85)/12),0),IF(YEAR(AA$3)=YEAR('New Hires Forecast'!$R$3),IF((AA$5&lt;=12),(SUMPRODUCT(--('New Hires Forecast'!$F$5:$F$85="Sales"),--('New Hires Forecast'!$H$5:$H$85&gt;=Sales!AA$3),'New Hires Forecast'!$R$5:$R$85,'New Hires Forecast'!$L$5:$L$85)/12),0),"New Year"))))),0)</f>
        <v>0</v>
      </c>
      <c r="AB15" s="668">
        <f>IF(AB$4="forecast",IF(YEAR(AB$3)=YEAR('New Hires Forecast'!$N$3),IF((AB$5&lt;=12),(SUMPRODUCT(--('New Hires Forecast'!$F$5:$F$85="Sales"),--('New Hires Forecast'!$H$5:$H$85&gt;=Sales!AB$3),'New Hires Forecast'!$N$5:$N$85,'New Hires Forecast'!$L$5:$L$85)/12),0),IF(YEAR(AB$3)=YEAR('New Hires Forecast'!$O$3),IF((AB$5&lt;=12),(SUMPRODUCT(--('New Hires Forecast'!$F$5:$F$85="Sales"),--('New Hires Forecast'!$H$5:$H$85&gt;=Sales!AB$3),'New Hires Forecast'!$O$5:$O$85,'New Hires Forecast'!$L$5:$L$85)/12),0),IF(YEAR(AB$3)=YEAR('New Hires Forecast'!$P$3),IF((AB$5&lt;=12),(SUMPRODUCT(--('New Hires Forecast'!$F$5:$F$85="Sales"),--('New Hires Forecast'!$H$5:$H$85&gt;=Sales!AB$3),'New Hires Forecast'!$P$5:$P$85,'New Hires Forecast'!$L$5:$L$85)/12),0),IF(YEAR(AB$3)=YEAR('New Hires Forecast'!$Q$3),IF((AB$5&lt;=12),(SUMPRODUCT(--('New Hires Forecast'!$F$5:$F$85="Sales"),--('New Hires Forecast'!$H$5:$H$85&gt;=Sales!AB$3),'New Hires Forecast'!$Q$5:$Q$85,'New Hires Forecast'!$L$5:$L$85)/12),0),IF(YEAR(AB$3)=YEAR('New Hires Forecast'!$R$3),IF((AB$5&lt;=12),(SUMPRODUCT(--('New Hires Forecast'!$F$5:$F$85="Sales"),--('New Hires Forecast'!$H$5:$H$85&gt;=Sales!AB$3),'New Hires Forecast'!$R$5:$R$85,'New Hires Forecast'!$L$5:$L$85)/12),0),"New Year"))))),0)</f>
        <v>0</v>
      </c>
      <c r="AC15" s="668">
        <f>IF(AC$4="forecast",IF(YEAR(AC$3)=YEAR('New Hires Forecast'!$N$3),IF((AC$5&lt;=12),(SUMPRODUCT(--('New Hires Forecast'!$F$5:$F$85="Sales"),--('New Hires Forecast'!$H$5:$H$85&gt;=Sales!AC$3),'New Hires Forecast'!$N$5:$N$85,'New Hires Forecast'!$L$5:$L$85)/12),0),IF(YEAR(AC$3)=YEAR('New Hires Forecast'!$O$3),IF((AC$5&lt;=12),(SUMPRODUCT(--('New Hires Forecast'!$F$5:$F$85="Sales"),--('New Hires Forecast'!$H$5:$H$85&gt;=Sales!AC$3),'New Hires Forecast'!$O$5:$O$85,'New Hires Forecast'!$L$5:$L$85)/12),0),IF(YEAR(AC$3)=YEAR('New Hires Forecast'!$P$3),IF((AC$5&lt;=12),(SUMPRODUCT(--('New Hires Forecast'!$F$5:$F$85="Sales"),--('New Hires Forecast'!$H$5:$H$85&gt;=Sales!AC$3),'New Hires Forecast'!$P$5:$P$85,'New Hires Forecast'!$L$5:$L$85)/12),0),IF(YEAR(AC$3)=YEAR('New Hires Forecast'!$Q$3),IF((AC$5&lt;=12),(SUMPRODUCT(--('New Hires Forecast'!$F$5:$F$85="Sales"),--('New Hires Forecast'!$H$5:$H$85&gt;=Sales!AC$3),'New Hires Forecast'!$Q$5:$Q$85,'New Hires Forecast'!$L$5:$L$85)/12),0),IF(YEAR(AC$3)=YEAR('New Hires Forecast'!$R$3),IF((AC$5&lt;=12),(SUMPRODUCT(--('New Hires Forecast'!$F$5:$F$85="Sales"),--('New Hires Forecast'!$H$5:$H$85&gt;=Sales!AC$3),'New Hires Forecast'!$R$5:$R$85,'New Hires Forecast'!$L$5:$L$85)/12),0),"New Year"))))),0)</f>
        <v>0</v>
      </c>
      <c r="AD15" s="668">
        <f>IF(AD$4="forecast",IF(YEAR(AD$3)=YEAR('New Hires Forecast'!$N$3),IF((AD$5&lt;=12),(SUMPRODUCT(--('New Hires Forecast'!$F$5:$F$85="Sales"),--('New Hires Forecast'!$H$5:$H$85&gt;=Sales!AD$3),'New Hires Forecast'!$N$5:$N$85,'New Hires Forecast'!$L$5:$L$85)/12),0),IF(YEAR(AD$3)=YEAR('New Hires Forecast'!$O$3),IF((AD$5&lt;=12),(SUMPRODUCT(--('New Hires Forecast'!$F$5:$F$85="Sales"),--('New Hires Forecast'!$H$5:$H$85&gt;=Sales!AD$3),'New Hires Forecast'!$O$5:$O$85,'New Hires Forecast'!$L$5:$L$85)/12),0),IF(YEAR(AD$3)=YEAR('New Hires Forecast'!$P$3),IF((AD$5&lt;=12),(SUMPRODUCT(--('New Hires Forecast'!$F$5:$F$85="Sales"),--('New Hires Forecast'!$H$5:$H$85&gt;=Sales!AD$3),'New Hires Forecast'!$P$5:$P$85,'New Hires Forecast'!$L$5:$L$85)/12),0),IF(YEAR(AD$3)=YEAR('New Hires Forecast'!$Q$3),IF((AD$5&lt;=12),(SUMPRODUCT(--('New Hires Forecast'!$F$5:$F$85="Sales"),--('New Hires Forecast'!$H$5:$H$85&gt;=Sales!AD$3),'New Hires Forecast'!$Q$5:$Q$85,'New Hires Forecast'!$L$5:$L$85)/12),0),IF(YEAR(AD$3)=YEAR('New Hires Forecast'!$R$3),IF((AD$5&lt;=12),(SUMPRODUCT(--('New Hires Forecast'!$F$5:$F$85="Sales"),--('New Hires Forecast'!$H$5:$H$85&gt;=Sales!AD$3),'New Hires Forecast'!$R$5:$R$85,'New Hires Forecast'!$L$5:$L$85)/12),0),"New Year"))))),0)</f>
        <v>2458.3333333333335</v>
      </c>
      <c r="AE15" s="668">
        <f>IF(AE$4="forecast",IF(YEAR(AE$3)=YEAR('New Hires Forecast'!$N$3),IF((AE$5&lt;=12),(SUMPRODUCT(--('New Hires Forecast'!$F$5:$F$85="Sales"),--('New Hires Forecast'!$H$5:$H$85&gt;=Sales!AE$3),'New Hires Forecast'!$N$5:$N$85,'New Hires Forecast'!$L$5:$L$85)/12),0),IF(YEAR(AE$3)=YEAR('New Hires Forecast'!$O$3),IF((AE$5&lt;=12),(SUMPRODUCT(--('New Hires Forecast'!$F$5:$F$85="Sales"),--('New Hires Forecast'!$H$5:$H$85&gt;=Sales!AE$3),'New Hires Forecast'!$O$5:$O$85,'New Hires Forecast'!$L$5:$L$85)/12),0),IF(YEAR(AE$3)=YEAR('New Hires Forecast'!$P$3),IF((AE$5&lt;=12),(SUMPRODUCT(--('New Hires Forecast'!$F$5:$F$85="Sales"),--('New Hires Forecast'!$H$5:$H$85&gt;=Sales!AE$3),'New Hires Forecast'!$P$5:$P$85,'New Hires Forecast'!$L$5:$L$85)/12),0),IF(YEAR(AE$3)=YEAR('New Hires Forecast'!$Q$3),IF((AE$5&lt;=12),(SUMPRODUCT(--('New Hires Forecast'!$F$5:$F$85="Sales"),--('New Hires Forecast'!$H$5:$H$85&gt;=Sales!AE$3),'New Hires Forecast'!$Q$5:$Q$85,'New Hires Forecast'!$L$5:$L$85)/12),0),IF(YEAR(AE$3)=YEAR('New Hires Forecast'!$R$3),IF((AE$5&lt;=12),(SUMPRODUCT(--('New Hires Forecast'!$F$5:$F$85="Sales"),--('New Hires Forecast'!$H$5:$H$85&gt;=Sales!AE$3),'New Hires Forecast'!$R$5:$R$85,'New Hires Forecast'!$L$5:$L$85)/12),0),"New Year"))))),0)</f>
        <v>2458.3333333333335</v>
      </c>
      <c r="AF15" s="668">
        <f>IF(AF$4="forecast",IF(YEAR(AF$3)=YEAR('New Hires Forecast'!$N$3),IF((AF$5&lt;=12),(SUMPRODUCT(--('New Hires Forecast'!$F$5:$F$85="Sales"),--('New Hires Forecast'!$H$5:$H$85&gt;=Sales!AF$3),'New Hires Forecast'!$N$5:$N$85,'New Hires Forecast'!$L$5:$L$85)/12),0),IF(YEAR(AF$3)=YEAR('New Hires Forecast'!$O$3),IF((AF$5&lt;=12),(SUMPRODUCT(--('New Hires Forecast'!$F$5:$F$85="Sales"),--('New Hires Forecast'!$H$5:$H$85&gt;=Sales!AF$3),'New Hires Forecast'!$O$5:$O$85,'New Hires Forecast'!$L$5:$L$85)/12),0),IF(YEAR(AF$3)=YEAR('New Hires Forecast'!$P$3),IF((AF$5&lt;=12),(SUMPRODUCT(--('New Hires Forecast'!$F$5:$F$85="Sales"),--('New Hires Forecast'!$H$5:$H$85&gt;=Sales!AF$3),'New Hires Forecast'!$P$5:$P$85,'New Hires Forecast'!$L$5:$L$85)/12),0),IF(YEAR(AF$3)=YEAR('New Hires Forecast'!$Q$3),IF((AF$5&lt;=12),(SUMPRODUCT(--('New Hires Forecast'!$F$5:$F$85="Sales"),--('New Hires Forecast'!$H$5:$H$85&gt;=Sales!AF$3),'New Hires Forecast'!$Q$5:$Q$85,'New Hires Forecast'!$L$5:$L$85)/12),0),IF(YEAR(AF$3)=YEAR('New Hires Forecast'!$R$3),IF((AF$5&lt;=12),(SUMPRODUCT(--('New Hires Forecast'!$F$5:$F$85="Sales"),--('New Hires Forecast'!$H$5:$H$85&gt;=Sales!AF$3),'New Hires Forecast'!$R$5:$R$85,'New Hires Forecast'!$L$5:$L$85)/12),0),"New Year"))))),0)</f>
        <v>2458.3333333333335</v>
      </c>
      <c r="AG15" s="668">
        <f>IF(AG$4="forecast",IF(YEAR(AG$3)=YEAR('New Hires Forecast'!$N$3),IF((AG$5&lt;=12),(SUMPRODUCT(--('New Hires Forecast'!$F$5:$F$85="Sales"),--('New Hires Forecast'!$H$5:$H$85&gt;=Sales!AG$3),'New Hires Forecast'!$N$5:$N$85,'New Hires Forecast'!$L$5:$L$85)/12),0),IF(YEAR(AG$3)=YEAR('New Hires Forecast'!$O$3),IF((AG$5&lt;=12),(SUMPRODUCT(--('New Hires Forecast'!$F$5:$F$85="Sales"),--('New Hires Forecast'!$H$5:$H$85&gt;=Sales!AG$3),'New Hires Forecast'!$O$5:$O$85,'New Hires Forecast'!$L$5:$L$85)/12),0),IF(YEAR(AG$3)=YEAR('New Hires Forecast'!$P$3),IF((AG$5&lt;=12),(SUMPRODUCT(--('New Hires Forecast'!$F$5:$F$85="Sales"),--('New Hires Forecast'!$H$5:$H$85&gt;=Sales!AG$3),'New Hires Forecast'!$P$5:$P$85,'New Hires Forecast'!$L$5:$L$85)/12),0),IF(YEAR(AG$3)=YEAR('New Hires Forecast'!$Q$3),IF((AG$5&lt;=12),(SUMPRODUCT(--('New Hires Forecast'!$F$5:$F$85="Sales"),--('New Hires Forecast'!$H$5:$H$85&gt;=Sales!AG$3),'New Hires Forecast'!$Q$5:$Q$85,'New Hires Forecast'!$L$5:$L$85)/12),0),IF(YEAR(AG$3)=YEAR('New Hires Forecast'!$R$3),IF((AG$5&lt;=12),(SUMPRODUCT(--('New Hires Forecast'!$F$5:$F$85="Sales"),--('New Hires Forecast'!$H$5:$H$85&gt;=Sales!AG$3),'New Hires Forecast'!$R$5:$R$85,'New Hires Forecast'!$L$5:$L$85)/12),0),"New Year"))))),0)</f>
        <v>2458.3333333333335</v>
      </c>
      <c r="AH15" s="668">
        <f>IF(AH$4="forecast",IF(YEAR(AH$3)=YEAR('New Hires Forecast'!$N$3),IF((AH$5&lt;=12),(SUMPRODUCT(--('New Hires Forecast'!$F$5:$F$85="Sales"),--('New Hires Forecast'!$H$5:$H$85&gt;=Sales!AH$3),'New Hires Forecast'!$N$5:$N$85,'New Hires Forecast'!$L$5:$L$85)/12),0),IF(YEAR(AH$3)=YEAR('New Hires Forecast'!$O$3),IF((AH$5&lt;=12),(SUMPRODUCT(--('New Hires Forecast'!$F$5:$F$85="Sales"),--('New Hires Forecast'!$H$5:$H$85&gt;=Sales!AH$3),'New Hires Forecast'!$O$5:$O$85,'New Hires Forecast'!$L$5:$L$85)/12),0),IF(YEAR(AH$3)=YEAR('New Hires Forecast'!$P$3),IF((AH$5&lt;=12),(SUMPRODUCT(--('New Hires Forecast'!$F$5:$F$85="Sales"),--('New Hires Forecast'!$H$5:$H$85&gt;=Sales!AH$3),'New Hires Forecast'!$P$5:$P$85,'New Hires Forecast'!$L$5:$L$85)/12),0),IF(YEAR(AH$3)=YEAR('New Hires Forecast'!$Q$3),IF((AH$5&lt;=12),(SUMPRODUCT(--('New Hires Forecast'!$F$5:$F$85="Sales"),--('New Hires Forecast'!$H$5:$H$85&gt;=Sales!AH$3),'New Hires Forecast'!$Q$5:$Q$85,'New Hires Forecast'!$L$5:$L$85)/12),0),IF(YEAR(AH$3)=YEAR('New Hires Forecast'!$R$3),IF((AH$5&lt;=12),(SUMPRODUCT(--('New Hires Forecast'!$F$5:$F$85="Sales"),--('New Hires Forecast'!$H$5:$H$85&gt;=Sales!AH$3),'New Hires Forecast'!$R$5:$R$85,'New Hires Forecast'!$L$5:$L$85)/12),0),"New Year"))))),0)</f>
        <v>2083.3333333333335</v>
      </c>
      <c r="AI15" s="668">
        <f>IF(AI$4="forecast",IF(YEAR(AI$3)=YEAR('New Hires Forecast'!$N$3),IF((AI$5&lt;=12),(SUMPRODUCT(--('New Hires Forecast'!$F$5:$F$85="Sales"),--('New Hires Forecast'!$H$5:$H$85&gt;=Sales!AI$3),'New Hires Forecast'!$N$5:$N$85,'New Hires Forecast'!$L$5:$L$85)/12),0),IF(YEAR(AI$3)=YEAR('New Hires Forecast'!$O$3),IF((AI$5&lt;=12),(SUMPRODUCT(--('New Hires Forecast'!$F$5:$F$85="Sales"),--('New Hires Forecast'!$H$5:$H$85&gt;=Sales!AI$3),'New Hires Forecast'!$O$5:$O$85,'New Hires Forecast'!$L$5:$L$85)/12),0),IF(YEAR(AI$3)=YEAR('New Hires Forecast'!$P$3),IF((AI$5&lt;=12),(SUMPRODUCT(--('New Hires Forecast'!$F$5:$F$85="Sales"),--('New Hires Forecast'!$H$5:$H$85&gt;=Sales!AI$3),'New Hires Forecast'!$P$5:$P$85,'New Hires Forecast'!$L$5:$L$85)/12),0),IF(YEAR(AI$3)=YEAR('New Hires Forecast'!$Q$3),IF((AI$5&lt;=12),(SUMPRODUCT(--('New Hires Forecast'!$F$5:$F$85="Sales"),--('New Hires Forecast'!$H$5:$H$85&gt;=Sales!AI$3),'New Hires Forecast'!$Q$5:$Q$85,'New Hires Forecast'!$L$5:$L$85)/12),0),IF(YEAR(AI$3)=YEAR('New Hires Forecast'!$R$3),IF((AI$5&lt;=12),(SUMPRODUCT(--('New Hires Forecast'!$F$5:$F$85="Sales"),--('New Hires Forecast'!$H$5:$H$85&gt;=Sales!AI$3),'New Hires Forecast'!$R$5:$R$85,'New Hires Forecast'!$L$5:$L$85)/12),0),"New Year"))))),0)</f>
        <v>2083.3333333333335</v>
      </c>
      <c r="AJ15" s="668">
        <f>IF(AJ$4="forecast",IF(YEAR(AJ$3)=YEAR('New Hires Forecast'!$N$3),IF((AJ$5&lt;=12),(SUMPRODUCT(--('New Hires Forecast'!$F$5:$F$85="Sales"),--('New Hires Forecast'!$H$5:$H$85&gt;=Sales!AJ$3),'New Hires Forecast'!$N$5:$N$85,'New Hires Forecast'!$L$5:$L$85)/12),0),IF(YEAR(AJ$3)=YEAR('New Hires Forecast'!$O$3),IF((AJ$5&lt;=12),(SUMPRODUCT(--('New Hires Forecast'!$F$5:$F$85="Sales"),--('New Hires Forecast'!$H$5:$H$85&gt;=Sales!AJ$3),'New Hires Forecast'!$O$5:$O$85,'New Hires Forecast'!$L$5:$L$85)/12),0),IF(YEAR(AJ$3)=YEAR('New Hires Forecast'!$P$3),IF((AJ$5&lt;=12),(SUMPRODUCT(--('New Hires Forecast'!$F$5:$F$85="Sales"),--('New Hires Forecast'!$H$5:$H$85&gt;=Sales!AJ$3),'New Hires Forecast'!$P$5:$P$85,'New Hires Forecast'!$L$5:$L$85)/12),0),IF(YEAR(AJ$3)=YEAR('New Hires Forecast'!$Q$3),IF((AJ$5&lt;=12),(SUMPRODUCT(--('New Hires Forecast'!$F$5:$F$85="Sales"),--('New Hires Forecast'!$H$5:$H$85&gt;=Sales!AJ$3),'New Hires Forecast'!$Q$5:$Q$85,'New Hires Forecast'!$L$5:$L$85)/12),0),IF(YEAR(AJ$3)=YEAR('New Hires Forecast'!$R$3),IF((AJ$5&lt;=12),(SUMPRODUCT(--('New Hires Forecast'!$F$5:$F$85="Sales"),--('New Hires Forecast'!$H$5:$H$85&gt;=Sales!AJ$3),'New Hires Forecast'!$R$5:$R$85,'New Hires Forecast'!$L$5:$L$85)/12),0),"New Year"))))),0)</f>
        <v>2083.3333333333335</v>
      </c>
      <c r="AK15" s="668">
        <f>IF(AK$4="forecast",IF(YEAR(AK$3)=YEAR('New Hires Forecast'!$N$3),IF((AK$5&lt;=12),(SUMPRODUCT(--('New Hires Forecast'!$F$5:$F$85="Sales"),--('New Hires Forecast'!$H$5:$H$85&gt;=Sales!AK$3),'New Hires Forecast'!$N$5:$N$85,'New Hires Forecast'!$L$5:$L$85)/12),0),IF(YEAR(AK$3)=YEAR('New Hires Forecast'!$O$3),IF((AK$5&lt;=12),(SUMPRODUCT(--('New Hires Forecast'!$F$5:$F$85="Sales"),--('New Hires Forecast'!$H$5:$H$85&gt;=Sales!AK$3),'New Hires Forecast'!$O$5:$O$85,'New Hires Forecast'!$L$5:$L$85)/12),0),IF(YEAR(AK$3)=YEAR('New Hires Forecast'!$P$3),IF((AK$5&lt;=12),(SUMPRODUCT(--('New Hires Forecast'!$F$5:$F$85="Sales"),--('New Hires Forecast'!$H$5:$H$85&gt;=Sales!AK$3),'New Hires Forecast'!$P$5:$P$85,'New Hires Forecast'!$L$5:$L$85)/12),0),IF(YEAR(AK$3)=YEAR('New Hires Forecast'!$Q$3),IF((AK$5&lt;=12),(SUMPRODUCT(--('New Hires Forecast'!$F$5:$F$85="Sales"),--('New Hires Forecast'!$H$5:$H$85&gt;=Sales!AK$3),'New Hires Forecast'!$Q$5:$Q$85,'New Hires Forecast'!$L$5:$L$85)/12),0),IF(YEAR(AK$3)=YEAR('New Hires Forecast'!$R$3),IF((AK$5&lt;=12),(SUMPRODUCT(--('New Hires Forecast'!$F$5:$F$85="Sales"),--('New Hires Forecast'!$H$5:$H$85&gt;=Sales!AK$3),'New Hires Forecast'!$R$5:$R$85,'New Hires Forecast'!$L$5:$L$85)/12),0),"New Year"))))),0)</f>
        <v>2083.3333333333335</v>
      </c>
      <c r="AL15" s="668">
        <f>IF(AL$4="forecast",IF(YEAR(AL$3)=YEAR('New Hires Forecast'!$N$3),IF((AL$5&lt;=12),(SUMPRODUCT(--('New Hires Forecast'!$F$5:$F$85="Sales"),--('New Hires Forecast'!$H$5:$H$85&gt;=Sales!AL$3),'New Hires Forecast'!$N$5:$N$85,'New Hires Forecast'!$L$5:$L$85)/12),0),IF(YEAR(AL$3)=YEAR('New Hires Forecast'!$O$3),IF((AL$5&lt;=12),(SUMPRODUCT(--('New Hires Forecast'!$F$5:$F$85="Sales"),--('New Hires Forecast'!$H$5:$H$85&gt;=Sales!AL$3),'New Hires Forecast'!$O$5:$O$85,'New Hires Forecast'!$L$5:$L$85)/12),0),IF(YEAR(AL$3)=YEAR('New Hires Forecast'!$P$3),IF((AL$5&lt;=12),(SUMPRODUCT(--('New Hires Forecast'!$F$5:$F$85="Sales"),--('New Hires Forecast'!$H$5:$H$85&gt;=Sales!AL$3),'New Hires Forecast'!$P$5:$P$85,'New Hires Forecast'!$L$5:$L$85)/12),0),IF(YEAR(AL$3)=YEAR('New Hires Forecast'!$Q$3),IF((AL$5&lt;=12),(SUMPRODUCT(--('New Hires Forecast'!$F$5:$F$85="Sales"),--('New Hires Forecast'!$H$5:$H$85&gt;=Sales!AL$3),'New Hires Forecast'!$Q$5:$Q$85,'New Hires Forecast'!$L$5:$L$85)/12),0),IF(YEAR(AL$3)=YEAR('New Hires Forecast'!$R$3),IF((AL$5&lt;=12),(SUMPRODUCT(--('New Hires Forecast'!$F$5:$F$85="Sales"),--('New Hires Forecast'!$H$5:$H$85&gt;=Sales!AL$3),'New Hires Forecast'!$R$5:$R$85,'New Hires Forecast'!$L$5:$L$85)/12),0),"New Year"))))),0)</f>
        <v>2083.3333333333335</v>
      </c>
      <c r="AM15" s="668">
        <f>IF(AM$4="forecast",IF(YEAR(AM$3)=YEAR('New Hires Forecast'!$N$3),IF((AM$5&lt;=12),(SUMPRODUCT(--('New Hires Forecast'!$F$5:$F$85="Sales"),--('New Hires Forecast'!$H$5:$H$85&gt;=Sales!AM$3),'New Hires Forecast'!$N$5:$N$85,'New Hires Forecast'!$L$5:$L$85)/12),0),IF(YEAR(AM$3)=YEAR('New Hires Forecast'!$O$3),IF((AM$5&lt;=12),(SUMPRODUCT(--('New Hires Forecast'!$F$5:$F$85="Sales"),--('New Hires Forecast'!$H$5:$H$85&gt;=Sales!AM$3),'New Hires Forecast'!$O$5:$O$85,'New Hires Forecast'!$L$5:$L$85)/12),0),IF(YEAR(AM$3)=YEAR('New Hires Forecast'!$P$3),IF((AM$5&lt;=12),(SUMPRODUCT(--('New Hires Forecast'!$F$5:$F$85="Sales"),--('New Hires Forecast'!$H$5:$H$85&gt;=Sales!AM$3),'New Hires Forecast'!$P$5:$P$85,'New Hires Forecast'!$L$5:$L$85)/12),0),IF(YEAR(AM$3)=YEAR('New Hires Forecast'!$Q$3),IF((AM$5&lt;=12),(SUMPRODUCT(--('New Hires Forecast'!$F$5:$F$85="Sales"),--('New Hires Forecast'!$H$5:$H$85&gt;=Sales!AM$3),'New Hires Forecast'!$Q$5:$Q$85,'New Hires Forecast'!$L$5:$L$85)/12),0),IF(YEAR(AM$3)=YEAR('New Hires Forecast'!$R$3),IF((AM$5&lt;=12),(SUMPRODUCT(--('New Hires Forecast'!$F$5:$F$85="Sales"),--('New Hires Forecast'!$H$5:$H$85&gt;=Sales!AM$3),'New Hires Forecast'!$R$5:$R$85,'New Hires Forecast'!$L$5:$L$85)/12),0),"New Year"))))),0)</f>
        <v>2145.8333333333335</v>
      </c>
      <c r="AN15" s="668">
        <f>IF(AN$4="forecast",IF(YEAR(AN$3)=YEAR('New Hires Forecast'!$N$3),IF((AN$5&lt;=12),(SUMPRODUCT(--('New Hires Forecast'!$F$5:$F$85="Sales"),--('New Hires Forecast'!$H$5:$H$85&gt;=Sales!AN$3),'New Hires Forecast'!$N$5:$N$85,'New Hires Forecast'!$L$5:$L$85)/12),0),IF(YEAR(AN$3)=YEAR('New Hires Forecast'!$O$3),IF((AN$5&lt;=12),(SUMPRODUCT(--('New Hires Forecast'!$F$5:$F$85="Sales"),--('New Hires Forecast'!$H$5:$H$85&gt;=Sales!AN$3),'New Hires Forecast'!$O$5:$O$85,'New Hires Forecast'!$L$5:$L$85)/12),0),IF(YEAR(AN$3)=YEAR('New Hires Forecast'!$P$3),IF((AN$5&lt;=12),(SUMPRODUCT(--('New Hires Forecast'!$F$5:$F$85="Sales"),--('New Hires Forecast'!$H$5:$H$85&gt;=Sales!AN$3),'New Hires Forecast'!$P$5:$P$85,'New Hires Forecast'!$L$5:$L$85)/12),0),IF(YEAR(AN$3)=YEAR('New Hires Forecast'!$Q$3),IF((AN$5&lt;=12),(SUMPRODUCT(--('New Hires Forecast'!$F$5:$F$85="Sales"),--('New Hires Forecast'!$H$5:$H$85&gt;=Sales!AN$3),'New Hires Forecast'!$Q$5:$Q$85,'New Hires Forecast'!$L$5:$L$85)/12),0),IF(YEAR(AN$3)=YEAR('New Hires Forecast'!$R$3),IF((AN$5&lt;=12),(SUMPRODUCT(--('New Hires Forecast'!$F$5:$F$85="Sales"),--('New Hires Forecast'!$H$5:$H$85&gt;=Sales!AN$3),'New Hires Forecast'!$R$5:$R$85,'New Hires Forecast'!$L$5:$L$85)/12),0),"New Year"))))),0)</f>
        <v>2145.8333333333335</v>
      </c>
      <c r="AO15" s="668">
        <f>IF(AO$4="forecast",IF(YEAR(AO$3)=YEAR('New Hires Forecast'!$N$3),IF((AO$5&lt;=12),(SUMPRODUCT(--('New Hires Forecast'!$F$5:$F$85="Sales"),--('New Hires Forecast'!$H$5:$H$85&gt;=Sales!AO$3),'New Hires Forecast'!$N$5:$N$85,'New Hires Forecast'!$L$5:$L$85)/12),0),IF(YEAR(AO$3)=YEAR('New Hires Forecast'!$O$3),IF((AO$5&lt;=12),(SUMPRODUCT(--('New Hires Forecast'!$F$5:$F$85="Sales"),--('New Hires Forecast'!$H$5:$H$85&gt;=Sales!AO$3),'New Hires Forecast'!$O$5:$O$85,'New Hires Forecast'!$L$5:$L$85)/12),0),IF(YEAR(AO$3)=YEAR('New Hires Forecast'!$P$3),IF((AO$5&lt;=12),(SUMPRODUCT(--('New Hires Forecast'!$F$5:$F$85="Sales"),--('New Hires Forecast'!$H$5:$H$85&gt;=Sales!AO$3),'New Hires Forecast'!$P$5:$P$85,'New Hires Forecast'!$L$5:$L$85)/12),0),IF(YEAR(AO$3)=YEAR('New Hires Forecast'!$Q$3),IF((AO$5&lt;=12),(SUMPRODUCT(--('New Hires Forecast'!$F$5:$F$85="Sales"),--('New Hires Forecast'!$H$5:$H$85&gt;=Sales!AO$3),'New Hires Forecast'!$Q$5:$Q$85,'New Hires Forecast'!$L$5:$L$85)/12),0),IF(YEAR(AO$3)=YEAR('New Hires Forecast'!$R$3),IF((AO$5&lt;=12),(SUMPRODUCT(--('New Hires Forecast'!$F$5:$F$85="Sales"),--('New Hires Forecast'!$H$5:$H$85&gt;=Sales!AO$3),'New Hires Forecast'!$R$5:$R$85,'New Hires Forecast'!$L$5:$L$85)/12),0),"New Year"))))),0)</f>
        <v>2145.8333333333335</v>
      </c>
      <c r="AP15" s="668">
        <f>IF(AP$4="forecast",IF(YEAR(AP$3)=YEAR('New Hires Forecast'!$N$3),IF((AP$5&lt;=12),(SUMPRODUCT(--('New Hires Forecast'!$F$5:$F$85="Sales"),--('New Hires Forecast'!$H$5:$H$85&gt;=Sales!AP$3),'New Hires Forecast'!$N$5:$N$85,'New Hires Forecast'!$L$5:$L$85)/12),0),IF(YEAR(AP$3)=YEAR('New Hires Forecast'!$O$3),IF((AP$5&lt;=12),(SUMPRODUCT(--('New Hires Forecast'!$F$5:$F$85="Sales"),--('New Hires Forecast'!$H$5:$H$85&gt;=Sales!AP$3),'New Hires Forecast'!$O$5:$O$85,'New Hires Forecast'!$L$5:$L$85)/12),0),IF(YEAR(AP$3)=YEAR('New Hires Forecast'!$P$3),IF((AP$5&lt;=12),(SUMPRODUCT(--('New Hires Forecast'!$F$5:$F$85="Sales"),--('New Hires Forecast'!$H$5:$H$85&gt;=Sales!AP$3),'New Hires Forecast'!$P$5:$P$85,'New Hires Forecast'!$L$5:$L$85)/12),0),IF(YEAR(AP$3)=YEAR('New Hires Forecast'!$Q$3),IF((AP$5&lt;=12),(SUMPRODUCT(--('New Hires Forecast'!$F$5:$F$85="Sales"),--('New Hires Forecast'!$H$5:$H$85&gt;=Sales!AP$3),'New Hires Forecast'!$Q$5:$Q$85,'New Hires Forecast'!$L$5:$L$85)/12),0),IF(YEAR(AP$3)=YEAR('New Hires Forecast'!$R$3),IF((AP$5&lt;=12),(SUMPRODUCT(--('New Hires Forecast'!$F$5:$F$85="Sales"),--('New Hires Forecast'!$H$5:$H$85&gt;=Sales!AP$3),'New Hires Forecast'!$R$5:$R$85,'New Hires Forecast'!$L$5:$L$85)/12),0),"New Year"))))),0)</f>
        <v>2145.8333333333335</v>
      </c>
      <c r="AQ15" s="668">
        <f>IF(AQ$4="forecast",IF(YEAR(AQ$3)=YEAR('New Hires Forecast'!$N$3),IF((AQ$5&lt;=12),(SUMPRODUCT(--('New Hires Forecast'!$F$5:$F$85="Sales"),--('New Hires Forecast'!$H$5:$H$85&gt;=Sales!AQ$3),'New Hires Forecast'!$N$5:$N$85,'New Hires Forecast'!$L$5:$L$85)/12),0),IF(YEAR(AQ$3)=YEAR('New Hires Forecast'!$O$3),IF((AQ$5&lt;=12),(SUMPRODUCT(--('New Hires Forecast'!$F$5:$F$85="Sales"),--('New Hires Forecast'!$H$5:$H$85&gt;=Sales!AQ$3),'New Hires Forecast'!$O$5:$O$85,'New Hires Forecast'!$L$5:$L$85)/12),0),IF(YEAR(AQ$3)=YEAR('New Hires Forecast'!$P$3),IF((AQ$5&lt;=12),(SUMPRODUCT(--('New Hires Forecast'!$F$5:$F$85="Sales"),--('New Hires Forecast'!$H$5:$H$85&gt;=Sales!AQ$3),'New Hires Forecast'!$P$5:$P$85,'New Hires Forecast'!$L$5:$L$85)/12),0),IF(YEAR(AQ$3)=YEAR('New Hires Forecast'!$Q$3),IF((AQ$5&lt;=12),(SUMPRODUCT(--('New Hires Forecast'!$F$5:$F$85="Sales"),--('New Hires Forecast'!$H$5:$H$85&gt;=Sales!AQ$3),'New Hires Forecast'!$Q$5:$Q$85,'New Hires Forecast'!$L$5:$L$85)/12),0),IF(YEAR(AQ$3)=YEAR('New Hires Forecast'!$R$3),IF((AQ$5&lt;=12),(SUMPRODUCT(--('New Hires Forecast'!$F$5:$F$85="Sales"),--('New Hires Forecast'!$H$5:$H$85&gt;=Sales!AQ$3),'New Hires Forecast'!$R$5:$R$85,'New Hires Forecast'!$L$5:$L$85)/12),0),"New Year"))))),0)</f>
        <v>2145.8333333333335</v>
      </c>
      <c r="AR15" s="668">
        <f>IF(AR$4="forecast",IF(YEAR(AR$3)=YEAR('New Hires Forecast'!$N$3),IF((AR$5&lt;=12),(SUMPRODUCT(--('New Hires Forecast'!$F$5:$F$85="Sales"),--('New Hires Forecast'!$H$5:$H$85&gt;=Sales!AR$3),'New Hires Forecast'!$N$5:$N$85,'New Hires Forecast'!$L$5:$L$85)/12),0),IF(YEAR(AR$3)=YEAR('New Hires Forecast'!$O$3),IF((AR$5&lt;=12),(SUMPRODUCT(--('New Hires Forecast'!$F$5:$F$85="Sales"),--('New Hires Forecast'!$H$5:$H$85&gt;=Sales!AR$3),'New Hires Forecast'!$O$5:$O$85,'New Hires Forecast'!$L$5:$L$85)/12),0),IF(YEAR(AR$3)=YEAR('New Hires Forecast'!$P$3),IF((AR$5&lt;=12),(SUMPRODUCT(--('New Hires Forecast'!$F$5:$F$85="Sales"),--('New Hires Forecast'!$H$5:$H$85&gt;=Sales!AR$3),'New Hires Forecast'!$P$5:$P$85,'New Hires Forecast'!$L$5:$L$85)/12),0),IF(YEAR(AR$3)=YEAR('New Hires Forecast'!$Q$3),IF((AR$5&lt;=12),(SUMPRODUCT(--('New Hires Forecast'!$F$5:$F$85="Sales"),--('New Hires Forecast'!$H$5:$H$85&gt;=Sales!AR$3),'New Hires Forecast'!$Q$5:$Q$85,'New Hires Forecast'!$L$5:$L$85)/12),0),IF(YEAR(AR$3)=YEAR('New Hires Forecast'!$R$3),IF((AR$5&lt;=12),(SUMPRODUCT(--('New Hires Forecast'!$F$5:$F$85="Sales"),--('New Hires Forecast'!$H$5:$H$85&gt;=Sales!AR$3),'New Hires Forecast'!$R$5:$R$85,'New Hires Forecast'!$L$5:$L$85)/12),0),"New Year"))))),0)</f>
        <v>2145.8333333333335</v>
      </c>
      <c r="AS15" s="668">
        <f>IF(AS$4="forecast",IF(YEAR(AS$3)=YEAR('New Hires Forecast'!$N$3),IF((AS$5&lt;=12),(SUMPRODUCT(--('New Hires Forecast'!$F$5:$F$85="Sales"),--('New Hires Forecast'!$H$5:$H$85&gt;=Sales!AS$3),'New Hires Forecast'!$N$5:$N$85,'New Hires Forecast'!$L$5:$L$85)/12),0),IF(YEAR(AS$3)=YEAR('New Hires Forecast'!$O$3),IF((AS$5&lt;=12),(SUMPRODUCT(--('New Hires Forecast'!$F$5:$F$85="Sales"),--('New Hires Forecast'!$H$5:$H$85&gt;=Sales!AS$3),'New Hires Forecast'!$O$5:$O$85,'New Hires Forecast'!$L$5:$L$85)/12),0),IF(YEAR(AS$3)=YEAR('New Hires Forecast'!$P$3),IF((AS$5&lt;=12),(SUMPRODUCT(--('New Hires Forecast'!$F$5:$F$85="Sales"),--('New Hires Forecast'!$H$5:$H$85&gt;=Sales!AS$3),'New Hires Forecast'!$P$5:$P$85,'New Hires Forecast'!$L$5:$L$85)/12),0),IF(YEAR(AS$3)=YEAR('New Hires Forecast'!$Q$3),IF((AS$5&lt;=12),(SUMPRODUCT(--('New Hires Forecast'!$F$5:$F$85="Sales"),--('New Hires Forecast'!$H$5:$H$85&gt;=Sales!AS$3),'New Hires Forecast'!$Q$5:$Q$85,'New Hires Forecast'!$L$5:$L$85)/12),0),IF(YEAR(AS$3)=YEAR('New Hires Forecast'!$R$3),IF((AS$5&lt;=12),(SUMPRODUCT(--('New Hires Forecast'!$F$5:$F$85="Sales"),--('New Hires Forecast'!$H$5:$H$85&gt;=Sales!AS$3),'New Hires Forecast'!$R$5:$R$85,'New Hires Forecast'!$L$5:$L$85)/12),0),"New Year"))))),0)</f>
        <v>2145.8333333333335</v>
      </c>
      <c r="AT15" s="668">
        <f>IF(AT$4="forecast",IF(YEAR(AT$3)=YEAR('New Hires Forecast'!$N$3),IF((AT$5&lt;=12),(SUMPRODUCT(--('New Hires Forecast'!$F$5:$F$85="Sales"),--('New Hires Forecast'!$H$5:$H$85&gt;=Sales!AT$3),'New Hires Forecast'!$N$5:$N$85,'New Hires Forecast'!$L$5:$L$85)/12),0),IF(YEAR(AT$3)=YEAR('New Hires Forecast'!$O$3),IF((AT$5&lt;=12),(SUMPRODUCT(--('New Hires Forecast'!$F$5:$F$85="Sales"),--('New Hires Forecast'!$H$5:$H$85&gt;=Sales!AT$3),'New Hires Forecast'!$O$5:$O$85,'New Hires Forecast'!$L$5:$L$85)/12),0),IF(YEAR(AT$3)=YEAR('New Hires Forecast'!$P$3),IF((AT$5&lt;=12),(SUMPRODUCT(--('New Hires Forecast'!$F$5:$F$85="Sales"),--('New Hires Forecast'!$H$5:$H$85&gt;=Sales!AT$3),'New Hires Forecast'!$P$5:$P$85,'New Hires Forecast'!$L$5:$L$85)/12),0),IF(YEAR(AT$3)=YEAR('New Hires Forecast'!$Q$3),IF((AT$5&lt;=12),(SUMPRODUCT(--('New Hires Forecast'!$F$5:$F$85="Sales"),--('New Hires Forecast'!$H$5:$H$85&gt;=Sales!AT$3),'New Hires Forecast'!$Q$5:$Q$85,'New Hires Forecast'!$L$5:$L$85)/12),0),IF(YEAR(AT$3)=YEAR('New Hires Forecast'!$R$3),IF((AT$5&lt;=12),(SUMPRODUCT(--('New Hires Forecast'!$F$5:$F$85="Sales"),--('New Hires Forecast'!$H$5:$H$85&gt;=Sales!AT$3),'New Hires Forecast'!$R$5:$R$85,'New Hires Forecast'!$L$5:$L$85)/12),0),"New Year"))))),0)</f>
        <v>2145.8333333333335</v>
      </c>
      <c r="AU15" s="668">
        <f>IF(AU$4="forecast",IF(YEAR(AU$3)=YEAR('New Hires Forecast'!$N$3),IF((AU$5&lt;=12),(SUMPRODUCT(--('New Hires Forecast'!$F$5:$F$85="Sales"),--('New Hires Forecast'!$H$5:$H$85&gt;=Sales!AU$3),'New Hires Forecast'!$N$5:$N$85,'New Hires Forecast'!$L$5:$L$85)/12),0),IF(YEAR(AU$3)=YEAR('New Hires Forecast'!$O$3),IF((AU$5&lt;=12),(SUMPRODUCT(--('New Hires Forecast'!$F$5:$F$85="Sales"),--('New Hires Forecast'!$H$5:$H$85&gt;=Sales!AU$3),'New Hires Forecast'!$O$5:$O$85,'New Hires Forecast'!$L$5:$L$85)/12),0),IF(YEAR(AU$3)=YEAR('New Hires Forecast'!$P$3),IF((AU$5&lt;=12),(SUMPRODUCT(--('New Hires Forecast'!$F$5:$F$85="Sales"),--('New Hires Forecast'!$H$5:$H$85&gt;=Sales!AU$3),'New Hires Forecast'!$P$5:$P$85,'New Hires Forecast'!$L$5:$L$85)/12),0),IF(YEAR(AU$3)=YEAR('New Hires Forecast'!$Q$3),IF((AU$5&lt;=12),(SUMPRODUCT(--('New Hires Forecast'!$F$5:$F$85="Sales"),--('New Hires Forecast'!$H$5:$H$85&gt;=Sales!AU$3),'New Hires Forecast'!$Q$5:$Q$85,'New Hires Forecast'!$L$5:$L$85)/12),0),IF(YEAR(AU$3)=YEAR('New Hires Forecast'!$R$3),IF((AU$5&lt;=12),(SUMPRODUCT(--('New Hires Forecast'!$F$5:$F$85="Sales"),--('New Hires Forecast'!$H$5:$H$85&gt;=Sales!AU$3),'New Hires Forecast'!$R$5:$R$85,'New Hires Forecast'!$L$5:$L$85)/12),0),"New Year"))))),0)</f>
        <v>2145.8333333333335</v>
      </c>
      <c r="AV15" s="668">
        <f>IF(AV$4="forecast",IF(YEAR(AV$3)=YEAR('New Hires Forecast'!$N$3),IF((AV$5&lt;=12),(SUMPRODUCT(--('New Hires Forecast'!$F$5:$F$85="Sales"),--('New Hires Forecast'!$H$5:$H$85&gt;=Sales!AV$3),'New Hires Forecast'!$N$5:$N$85,'New Hires Forecast'!$L$5:$L$85)/12),0),IF(YEAR(AV$3)=YEAR('New Hires Forecast'!$O$3),IF((AV$5&lt;=12),(SUMPRODUCT(--('New Hires Forecast'!$F$5:$F$85="Sales"),--('New Hires Forecast'!$H$5:$H$85&gt;=Sales!AV$3),'New Hires Forecast'!$O$5:$O$85,'New Hires Forecast'!$L$5:$L$85)/12),0),IF(YEAR(AV$3)=YEAR('New Hires Forecast'!$P$3),IF((AV$5&lt;=12),(SUMPRODUCT(--('New Hires Forecast'!$F$5:$F$85="Sales"),--('New Hires Forecast'!$H$5:$H$85&gt;=Sales!AV$3),'New Hires Forecast'!$P$5:$P$85,'New Hires Forecast'!$L$5:$L$85)/12),0),IF(YEAR(AV$3)=YEAR('New Hires Forecast'!$Q$3),IF((AV$5&lt;=12),(SUMPRODUCT(--('New Hires Forecast'!$F$5:$F$85="Sales"),--('New Hires Forecast'!$H$5:$H$85&gt;=Sales!AV$3),'New Hires Forecast'!$Q$5:$Q$85,'New Hires Forecast'!$L$5:$L$85)/12),0),IF(YEAR(AV$3)=YEAR('New Hires Forecast'!$R$3),IF((AV$5&lt;=12),(SUMPRODUCT(--('New Hires Forecast'!$F$5:$F$85="Sales"),--('New Hires Forecast'!$H$5:$H$85&gt;=Sales!AV$3),'New Hires Forecast'!$R$5:$R$85,'New Hires Forecast'!$L$5:$L$85)/12),0),"New Year"))))),0)</f>
        <v>2145.8333333333335</v>
      </c>
      <c r="AW15" s="668">
        <f>IF(AW$4="forecast",IF(YEAR(AW$3)=YEAR('New Hires Forecast'!$N$3),IF((AW$5&lt;=12),(SUMPRODUCT(--('New Hires Forecast'!$F$5:$F$85="Sales"),--('New Hires Forecast'!$H$5:$H$85&gt;=Sales!AW$3),'New Hires Forecast'!$N$5:$N$85,'New Hires Forecast'!$L$5:$L$85)/12),0),IF(YEAR(AW$3)=YEAR('New Hires Forecast'!$O$3),IF((AW$5&lt;=12),(SUMPRODUCT(--('New Hires Forecast'!$F$5:$F$85="Sales"),--('New Hires Forecast'!$H$5:$H$85&gt;=Sales!AW$3),'New Hires Forecast'!$O$5:$O$85,'New Hires Forecast'!$L$5:$L$85)/12),0),IF(YEAR(AW$3)=YEAR('New Hires Forecast'!$P$3),IF((AW$5&lt;=12),(SUMPRODUCT(--('New Hires Forecast'!$F$5:$F$85="Sales"),--('New Hires Forecast'!$H$5:$H$85&gt;=Sales!AW$3),'New Hires Forecast'!$P$5:$P$85,'New Hires Forecast'!$L$5:$L$85)/12),0),IF(YEAR(AW$3)=YEAR('New Hires Forecast'!$Q$3),IF((AW$5&lt;=12),(SUMPRODUCT(--('New Hires Forecast'!$F$5:$F$85="Sales"),--('New Hires Forecast'!$H$5:$H$85&gt;=Sales!AW$3),'New Hires Forecast'!$Q$5:$Q$85,'New Hires Forecast'!$L$5:$L$85)/12),0),IF(YEAR(AW$3)=YEAR('New Hires Forecast'!$R$3),IF((AW$5&lt;=12),(SUMPRODUCT(--('New Hires Forecast'!$F$5:$F$85="Sales"),--('New Hires Forecast'!$H$5:$H$85&gt;=Sales!AW$3),'New Hires Forecast'!$R$5:$R$85,'New Hires Forecast'!$L$5:$L$85)/12),0),"New Year"))))),0)</f>
        <v>2145.8333333333335</v>
      </c>
      <c r="AX15" s="668">
        <f>IF(AX$4="forecast",IF(YEAR(AX$3)=YEAR('New Hires Forecast'!$N$3),IF((AX$5&lt;=12),(SUMPRODUCT(--('New Hires Forecast'!$F$5:$F$85="Sales"),--('New Hires Forecast'!$H$5:$H$85&gt;=Sales!AX$3),'New Hires Forecast'!$N$5:$N$85,'New Hires Forecast'!$L$5:$L$85)/12),0),IF(YEAR(AX$3)=YEAR('New Hires Forecast'!$O$3),IF((AX$5&lt;=12),(SUMPRODUCT(--('New Hires Forecast'!$F$5:$F$85="Sales"),--('New Hires Forecast'!$H$5:$H$85&gt;=Sales!AX$3),'New Hires Forecast'!$O$5:$O$85,'New Hires Forecast'!$L$5:$L$85)/12),0),IF(YEAR(AX$3)=YEAR('New Hires Forecast'!$P$3),IF((AX$5&lt;=12),(SUMPRODUCT(--('New Hires Forecast'!$F$5:$F$85="Sales"),--('New Hires Forecast'!$H$5:$H$85&gt;=Sales!AX$3),'New Hires Forecast'!$P$5:$P$85,'New Hires Forecast'!$L$5:$L$85)/12),0),IF(YEAR(AX$3)=YEAR('New Hires Forecast'!$Q$3),IF((AX$5&lt;=12),(SUMPRODUCT(--('New Hires Forecast'!$F$5:$F$85="Sales"),--('New Hires Forecast'!$H$5:$H$85&gt;=Sales!AX$3),'New Hires Forecast'!$Q$5:$Q$85,'New Hires Forecast'!$L$5:$L$85)/12),0),IF(YEAR(AX$3)=YEAR('New Hires Forecast'!$R$3),IF((AX$5&lt;=12),(SUMPRODUCT(--('New Hires Forecast'!$F$5:$F$85="Sales"),--('New Hires Forecast'!$H$5:$H$85&gt;=Sales!AX$3),'New Hires Forecast'!$R$5:$R$85,'New Hires Forecast'!$L$5:$L$85)/12),0),"New Year"))))),0)</f>
        <v>2145.8333333333335</v>
      </c>
      <c r="AY15" s="668">
        <f>IF(AY$4="forecast",IF(YEAR(AY$3)=YEAR('New Hires Forecast'!$N$3),IF((AY$5&lt;=12),(SUMPRODUCT(--('New Hires Forecast'!$F$5:$F$85="Sales"),--('New Hires Forecast'!$H$5:$H$85&gt;=Sales!AY$3),'New Hires Forecast'!$N$5:$N$85,'New Hires Forecast'!$L$5:$L$85)/12),0),IF(YEAR(AY$3)=YEAR('New Hires Forecast'!$O$3),IF((AY$5&lt;=12),(SUMPRODUCT(--('New Hires Forecast'!$F$5:$F$85="Sales"),--('New Hires Forecast'!$H$5:$H$85&gt;=Sales!AY$3),'New Hires Forecast'!$O$5:$O$85,'New Hires Forecast'!$L$5:$L$85)/12),0),IF(YEAR(AY$3)=YEAR('New Hires Forecast'!$P$3),IF((AY$5&lt;=12),(SUMPRODUCT(--('New Hires Forecast'!$F$5:$F$85="Sales"),--('New Hires Forecast'!$H$5:$H$85&gt;=Sales!AY$3),'New Hires Forecast'!$P$5:$P$85,'New Hires Forecast'!$L$5:$L$85)/12),0),IF(YEAR(AY$3)=YEAR('New Hires Forecast'!$Q$3),IF((AY$5&lt;=12),(SUMPRODUCT(--('New Hires Forecast'!$F$5:$F$85="Sales"),--('New Hires Forecast'!$H$5:$H$85&gt;=Sales!AY$3),'New Hires Forecast'!$Q$5:$Q$85,'New Hires Forecast'!$L$5:$L$85)/12),0),IF(YEAR(AY$3)=YEAR('New Hires Forecast'!$R$3),IF((AY$5&lt;=12),(SUMPRODUCT(--('New Hires Forecast'!$F$5:$F$85="Sales"),--('New Hires Forecast'!$H$5:$H$85&gt;=Sales!AY$3),'New Hires Forecast'!$R$5:$R$85,'New Hires Forecast'!$L$5:$L$85)/12),0),"New Year"))))),0)</f>
        <v>2210.2083333333335</v>
      </c>
      <c r="AZ15" s="668">
        <f>IF(AZ$4="forecast",IF(YEAR(AZ$3)=YEAR('New Hires Forecast'!$N$3),IF((AZ$5&lt;=12),(SUMPRODUCT(--('New Hires Forecast'!$F$5:$F$85="Sales"),--('New Hires Forecast'!$H$5:$H$85&gt;=Sales!AZ$3),'New Hires Forecast'!$N$5:$N$85,'New Hires Forecast'!$L$5:$L$85)/12),0),IF(YEAR(AZ$3)=YEAR('New Hires Forecast'!$O$3),IF((AZ$5&lt;=12),(SUMPRODUCT(--('New Hires Forecast'!$F$5:$F$85="Sales"),--('New Hires Forecast'!$H$5:$H$85&gt;=Sales!AZ$3),'New Hires Forecast'!$O$5:$O$85,'New Hires Forecast'!$L$5:$L$85)/12),0),IF(YEAR(AZ$3)=YEAR('New Hires Forecast'!$P$3),IF((AZ$5&lt;=12),(SUMPRODUCT(--('New Hires Forecast'!$F$5:$F$85="Sales"),--('New Hires Forecast'!$H$5:$H$85&gt;=Sales!AZ$3),'New Hires Forecast'!$P$5:$P$85,'New Hires Forecast'!$L$5:$L$85)/12),0),IF(YEAR(AZ$3)=YEAR('New Hires Forecast'!$Q$3),IF((AZ$5&lt;=12),(SUMPRODUCT(--('New Hires Forecast'!$F$5:$F$85="Sales"),--('New Hires Forecast'!$H$5:$H$85&gt;=Sales!AZ$3),'New Hires Forecast'!$Q$5:$Q$85,'New Hires Forecast'!$L$5:$L$85)/12),0),IF(YEAR(AZ$3)=YEAR('New Hires Forecast'!$R$3),IF((AZ$5&lt;=12),(SUMPRODUCT(--('New Hires Forecast'!$F$5:$F$85="Sales"),--('New Hires Forecast'!$H$5:$H$85&gt;=Sales!AZ$3),'New Hires Forecast'!$R$5:$R$85,'New Hires Forecast'!$L$5:$L$85)/12),0),"New Year"))))),0)</f>
        <v>2210.2083333333335</v>
      </c>
      <c r="BA15" s="668">
        <f>IF(BA$4="forecast",IF(YEAR(BA$3)=YEAR('New Hires Forecast'!$N$3),IF((BA$5&lt;=12),(SUMPRODUCT(--('New Hires Forecast'!$F$5:$F$85="Sales"),--('New Hires Forecast'!$H$5:$H$85&gt;=Sales!BA$3),'New Hires Forecast'!$N$5:$N$85,'New Hires Forecast'!$L$5:$L$85)/12),0),IF(YEAR(BA$3)=YEAR('New Hires Forecast'!$O$3),IF((BA$5&lt;=12),(SUMPRODUCT(--('New Hires Forecast'!$F$5:$F$85="Sales"),--('New Hires Forecast'!$H$5:$H$85&gt;=Sales!BA$3),'New Hires Forecast'!$O$5:$O$85,'New Hires Forecast'!$L$5:$L$85)/12),0),IF(YEAR(BA$3)=YEAR('New Hires Forecast'!$P$3),IF((BA$5&lt;=12),(SUMPRODUCT(--('New Hires Forecast'!$F$5:$F$85="Sales"),--('New Hires Forecast'!$H$5:$H$85&gt;=Sales!BA$3),'New Hires Forecast'!$P$5:$P$85,'New Hires Forecast'!$L$5:$L$85)/12),0),IF(YEAR(BA$3)=YEAR('New Hires Forecast'!$Q$3),IF((BA$5&lt;=12),(SUMPRODUCT(--('New Hires Forecast'!$F$5:$F$85="Sales"),--('New Hires Forecast'!$H$5:$H$85&gt;=Sales!BA$3),'New Hires Forecast'!$Q$5:$Q$85,'New Hires Forecast'!$L$5:$L$85)/12),0),IF(YEAR(BA$3)=YEAR('New Hires Forecast'!$R$3),IF((BA$5&lt;=12),(SUMPRODUCT(--('New Hires Forecast'!$F$5:$F$85="Sales"),--('New Hires Forecast'!$H$5:$H$85&gt;=Sales!BA$3),'New Hires Forecast'!$R$5:$R$85,'New Hires Forecast'!$L$5:$L$85)/12),0),"New Year"))))),0)</f>
        <v>2210.2083333333335</v>
      </c>
      <c r="BB15" s="668">
        <f>IF(BB$4="forecast",IF(YEAR(BB$3)=YEAR('New Hires Forecast'!$N$3),IF((BB$5&lt;=12),(SUMPRODUCT(--('New Hires Forecast'!$F$5:$F$85="Sales"),--('New Hires Forecast'!$H$5:$H$85&gt;=Sales!BB$3),'New Hires Forecast'!$N$5:$N$85,'New Hires Forecast'!$L$5:$L$85)/12),0),IF(YEAR(BB$3)=YEAR('New Hires Forecast'!$O$3),IF((BB$5&lt;=12),(SUMPRODUCT(--('New Hires Forecast'!$F$5:$F$85="Sales"),--('New Hires Forecast'!$H$5:$H$85&gt;=Sales!BB$3),'New Hires Forecast'!$O$5:$O$85,'New Hires Forecast'!$L$5:$L$85)/12),0),IF(YEAR(BB$3)=YEAR('New Hires Forecast'!$P$3),IF((BB$5&lt;=12),(SUMPRODUCT(--('New Hires Forecast'!$F$5:$F$85="Sales"),--('New Hires Forecast'!$H$5:$H$85&gt;=Sales!BB$3),'New Hires Forecast'!$P$5:$P$85,'New Hires Forecast'!$L$5:$L$85)/12),0),IF(YEAR(BB$3)=YEAR('New Hires Forecast'!$Q$3),IF((BB$5&lt;=12),(SUMPRODUCT(--('New Hires Forecast'!$F$5:$F$85="Sales"),--('New Hires Forecast'!$H$5:$H$85&gt;=Sales!BB$3),'New Hires Forecast'!$Q$5:$Q$85,'New Hires Forecast'!$L$5:$L$85)/12),0),IF(YEAR(BB$3)=YEAR('New Hires Forecast'!$R$3),IF((BB$5&lt;=12),(SUMPRODUCT(--('New Hires Forecast'!$F$5:$F$85="Sales"),--('New Hires Forecast'!$H$5:$H$85&gt;=Sales!BB$3),'New Hires Forecast'!$R$5:$R$85,'New Hires Forecast'!$L$5:$L$85)/12),0),"New Year"))))),0)</f>
        <v>2210.2083333333335</v>
      </c>
      <c r="BC15" s="668">
        <f>IF(BC$4="forecast",IF(YEAR(BC$3)=YEAR('New Hires Forecast'!$N$3),IF((BC$5&lt;=12),(SUMPRODUCT(--('New Hires Forecast'!$F$5:$F$85="Sales"),--('New Hires Forecast'!$H$5:$H$85&gt;=Sales!BC$3),'New Hires Forecast'!$N$5:$N$85,'New Hires Forecast'!$L$5:$L$85)/12),0),IF(YEAR(BC$3)=YEAR('New Hires Forecast'!$O$3),IF((BC$5&lt;=12),(SUMPRODUCT(--('New Hires Forecast'!$F$5:$F$85="Sales"),--('New Hires Forecast'!$H$5:$H$85&gt;=Sales!BC$3),'New Hires Forecast'!$O$5:$O$85,'New Hires Forecast'!$L$5:$L$85)/12),0),IF(YEAR(BC$3)=YEAR('New Hires Forecast'!$P$3),IF((BC$5&lt;=12),(SUMPRODUCT(--('New Hires Forecast'!$F$5:$F$85="Sales"),--('New Hires Forecast'!$H$5:$H$85&gt;=Sales!BC$3),'New Hires Forecast'!$P$5:$P$85,'New Hires Forecast'!$L$5:$L$85)/12),0),IF(YEAR(BC$3)=YEAR('New Hires Forecast'!$Q$3),IF((BC$5&lt;=12),(SUMPRODUCT(--('New Hires Forecast'!$F$5:$F$85="Sales"),--('New Hires Forecast'!$H$5:$H$85&gt;=Sales!BC$3),'New Hires Forecast'!$Q$5:$Q$85,'New Hires Forecast'!$L$5:$L$85)/12),0),IF(YEAR(BC$3)=YEAR('New Hires Forecast'!$R$3),IF((BC$5&lt;=12),(SUMPRODUCT(--('New Hires Forecast'!$F$5:$F$85="Sales"),--('New Hires Forecast'!$H$5:$H$85&gt;=Sales!BC$3),'New Hires Forecast'!$R$5:$R$85,'New Hires Forecast'!$L$5:$L$85)/12),0),"New Year"))))),0)</f>
        <v>2210.2083333333335</v>
      </c>
      <c r="BD15" s="668">
        <f>IF(BD$4="forecast",IF(YEAR(BD$3)=YEAR('New Hires Forecast'!$N$3),IF((BD$5&lt;=12),(SUMPRODUCT(--('New Hires Forecast'!$F$5:$F$85="Sales"),--('New Hires Forecast'!$H$5:$H$85&gt;=Sales!BD$3),'New Hires Forecast'!$N$5:$N$85,'New Hires Forecast'!$L$5:$L$85)/12),0),IF(YEAR(BD$3)=YEAR('New Hires Forecast'!$O$3),IF((BD$5&lt;=12),(SUMPRODUCT(--('New Hires Forecast'!$F$5:$F$85="Sales"),--('New Hires Forecast'!$H$5:$H$85&gt;=Sales!BD$3),'New Hires Forecast'!$O$5:$O$85,'New Hires Forecast'!$L$5:$L$85)/12),0),IF(YEAR(BD$3)=YEAR('New Hires Forecast'!$P$3),IF((BD$5&lt;=12),(SUMPRODUCT(--('New Hires Forecast'!$F$5:$F$85="Sales"),--('New Hires Forecast'!$H$5:$H$85&gt;=Sales!BD$3),'New Hires Forecast'!$P$5:$P$85,'New Hires Forecast'!$L$5:$L$85)/12),0),IF(YEAR(BD$3)=YEAR('New Hires Forecast'!$Q$3),IF((BD$5&lt;=12),(SUMPRODUCT(--('New Hires Forecast'!$F$5:$F$85="Sales"),--('New Hires Forecast'!$H$5:$H$85&gt;=Sales!BD$3),'New Hires Forecast'!$Q$5:$Q$85,'New Hires Forecast'!$L$5:$L$85)/12),0),IF(YEAR(BD$3)=YEAR('New Hires Forecast'!$R$3),IF((BD$5&lt;=12),(SUMPRODUCT(--('New Hires Forecast'!$F$5:$F$85="Sales"),--('New Hires Forecast'!$H$5:$H$85&gt;=Sales!BD$3),'New Hires Forecast'!$R$5:$R$85,'New Hires Forecast'!$L$5:$L$85)/12),0),"New Year"))))),0)</f>
        <v>2210.2083333333335</v>
      </c>
      <c r="BE15" s="668">
        <f>IF(BE$4="forecast",IF(YEAR(BE$3)=YEAR('New Hires Forecast'!$N$3),IF((BE$5&lt;=12),(SUMPRODUCT(--('New Hires Forecast'!$F$5:$F$85="Sales"),--('New Hires Forecast'!$H$5:$H$85&gt;=Sales!BE$3),'New Hires Forecast'!$N$5:$N$85,'New Hires Forecast'!$L$5:$L$85)/12),0),IF(YEAR(BE$3)=YEAR('New Hires Forecast'!$O$3),IF((BE$5&lt;=12),(SUMPRODUCT(--('New Hires Forecast'!$F$5:$F$85="Sales"),--('New Hires Forecast'!$H$5:$H$85&gt;=Sales!BE$3),'New Hires Forecast'!$O$5:$O$85,'New Hires Forecast'!$L$5:$L$85)/12),0),IF(YEAR(BE$3)=YEAR('New Hires Forecast'!$P$3),IF((BE$5&lt;=12),(SUMPRODUCT(--('New Hires Forecast'!$F$5:$F$85="Sales"),--('New Hires Forecast'!$H$5:$H$85&gt;=Sales!BE$3),'New Hires Forecast'!$P$5:$P$85,'New Hires Forecast'!$L$5:$L$85)/12),0),IF(YEAR(BE$3)=YEAR('New Hires Forecast'!$Q$3),IF((BE$5&lt;=12),(SUMPRODUCT(--('New Hires Forecast'!$F$5:$F$85="Sales"),--('New Hires Forecast'!$H$5:$H$85&gt;=Sales!BE$3),'New Hires Forecast'!$Q$5:$Q$85,'New Hires Forecast'!$L$5:$L$85)/12),0),IF(YEAR(BE$3)=YEAR('New Hires Forecast'!$R$3),IF((BE$5&lt;=12),(SUMPRODUCT(--('New Hires Forecast'!$F$5:$F$85="Sales"),--('New Hires Forecast'!$H$5:$H$85&gt;=Sales!BE$3),'New Hires Forecast'!$R$5:$R$85,'New Hires Forecast'!$L$5:$L$85)/12),0),"New Year"))))),0)</f>
        <v>2210.2083333333335</v>
      </c>
      <c r="BF15" s="668">
        <f>IF(BF$4="forecast",IF(YEAR(BF$3)=YEAR('New Hires Forecast'!$N$3),IF((BF$5&lt;=12),(SUMPRODUCT(--('New Hires Forecast'!$F$5:$F$85="Sales"),--('New Hires Forecast'!$H$5:$H$85&gt;=Sales!BF$3),'New Hires Forecast'!$N$5:$N$85,'New Hires Forecast'!$L$5:$L$85)/12),0),IF(YEAR(BF$3)=YEAR('New Hires Forecast'!$O$3),IF((BF$5&lt;=12),(SUMPRODUCT(--('New Hires Forecast'!$F$5:$F$85="Sales"),--('New Hires Forecast'!$H$5:$H$85&gt;=Sales!BF$3),'New Hires Forecast'!$O$5:$O$85,'New Hires Forecast'!$L$5:$L$85)/12),0),IF(YEAR(BF$3)=YEAR('New Hires Forecast'!$P$3),IF((BF$5&lt;=12),(SUMPRODUCT(--('New Hires Forecast'!$F$5:$F$85="Sales"),--('New Hires Forecast'!$H$5:$H$85&gt;=Sales!BF$3),'New Hires Forecast'!$P$5:$P$85,'New Hires Forecast'!$L$5:$L$85)/12),0),IF(YEAR(BF$3)=YEAR('New Hires Forecast'!$Q$3),IF((BF$5&lt;=12),(SUMPRODUCT(--('New Hires Forecast'!$F$5:$F$85="Sales"),--('New Hires Forecast'!$H$5:$H$85&gt;=Sales!BF$3),'New Hires Forecast'!$Q$5:$Q$85,'New Hires Forecast'!$L$5:$L$85)/12),0),IF(YEAR(BF$3)=YEAR('New Hires Forecast'!$R$3),IF((BF$5&lt;=12),(SUMPRODUCT(--('New Hires Forecast'!$F$5:$F$85="Sales"),--('New Hires Forecast'!$H$5:$H$85&gt;=Sales!BF$3),'New Hires Forecast'!$R$5:$R$85,'New Hires Forecast'!$L$5:$L$85)/12),0),"New Year"))))),0)</f>
        <v>2210.2083333333335</v>
      </c>
      <c r="BG15" s="668">
        <f>IF(BG$4="forecast",IF(YEAR(BG$3)=YEAR('New Hires Forecast'!$N$3),IF((BG$5&lt;=12),(SUMPRODUCT(--('New Hires Forecast'!$F$5:$F$85="Sales"),--('New Hires Forecast'!$H$5:$H$85&gt;=Sales!BG$3),'New Hires Forecast'!$N$5:$N$85,'New Hires Forecast'!$L$5:$L$85)/12),0),IF(YEAR(BG$3)=YEAR('New Hires Forecast'!$O$3),IF((BG$5&lt;=12),(SUMPRODUCT(--('New Hires Forecast'!$F$5:$F$85="Sales"),--('New Hires Forecast'!$H$5:$H$85&gt;=Sales!BG$3),'New Hires Forecast'!$O$5:$O$85,'New Hires Forecast'!$L$5:$L$85)/12),0),IF(YEAR(BG$3)=YEAR('New Hires Forecast'!$P$3),IF((BG$5&lt;=12),(SUMPRODUCT(--('New Hires Forecast'!$F$5:$F$85="Sales"),--('New Hires Forecast'!$H$5:$H$85&gt;=Sales!BG$3),'New Hires Forecast'!$P$5:$P$85,'New Hires Forecast'!$L$5:$L$85)/12),0),IF(YEAR(BG$3)=YEAR('New Hires Forecast'!$Q$3),IF((BG$5&lt;=12),(SUMPRODUCT(--('New Hires Forecast'!$F$5:$F$85="Sales"),--('New Hires Forecast'!$H$5:$H$85&gt;=Sales!BG$3),'New Hires Forecast'!$Q$5:$Q$85,'New Hires Forecast'!$L$5:$L$85)/12),0),IF(YEAR(BG$3)=YEAR('New Hires Forecast'!$R$3),IF((BG$5&lt;=12),(SUMPRODUCT(--('New Hires Forecast'!$F$5:$F$85="Sales"),--('New Hires Forecast'!$H$5:$H$85&gt;=Sales!BG$3),'New Hires Forecast'!$R$5:$R$85,'New Hires Forecast'!$L$5:$L$85)/12),0),"New Year"))))),0)</f>
        <v>2210.2083333333335</v>
      </c>
      <c r="BH15" s="668">
        <f>IF(BH$4="forecast",IF(YEAR(BH$3)=YEAR('New Hires Forecast'!$N$3),IF((BH$5&lt;=12),(SUMPRODUCT(--('New Hires Forecast'!$F$5:$F$85="Sales"),--('New Hires Forecast'!$H$5:$H$85&gt;=Sales!BH$3),'New Hires Forecast'!$N$5:$N$85,'New Hires Forecast'!$L$5:$L$85)/12),0),IF(YEAR(BH$3)=YEAR('New Hires Forecast'!$O$3),IF((BH$5&lt;=12),(SUMPRODUCT(--('New Hires Forecast'!$F$5:$F$85="Sales"),--('New Hires Forecast'!$H$5:$H$85&gt;=Sales!BH$3),'New Hires Forecast'!$O$5:$O$85,'New Hires Forecast'!$L$5:$L$85)/12),0),IF(YEAR(BH$3)=YEAR('New Hires Forecast'!$P$3),IF((BH$5&lt;=12),(SUMPRODUCT(--('New Hires Forecast'!$F$5:$F$85="Sales"),--('New Hires Forecast'!$H$5:$H$85&gt;=Sales!BH$3),'New Hires Forecast'!$P$5:$P$85,'New Hires Forecast'!$L$5:$L$85)/12),0),IF(YEAR(BH$3)=YEAR('New Hires Forecast'!$Q$3),IF((BH$5&lt;=12),(SUMPRODUCT(--('New Hires Forecast'!$F$5:$F$85="Sales"),--('New Hires Forecast'!$H$5:$H$85&gt;=Sales!BH$3),'New Hires Forecast'!$Q$5:$Q$85,'New Hires Forecast'!$L$5:$L$85)/12),0),IF(YEAR(BH$3)=YEAR('New Hires Forecast'!$R$3),IF((BH$5&lt;=12),(SUMPRODUCT(--('New Hires Forecast'!$F$5:$F$85="Sales"),--('New Hires Forecast'!$H$5:$H$85&gt;=Sales!BH$3),'New Hires Forecast'!$R$5:$R$85,'New Hires Forecast'!$L$5:$L$85)/12),0),"New Year"))))),0)</f>
        <v>2210.2083333333335</v>
      </c>
      <c r="BI15" s="668">
        <f>IF(BI$4="forecast",IF(YEAR(BI$3)=YEAR('New Hires Forecast'!$N$3),IF((BI$5&lt;=12),(SUMPRODUCT(--('New Hires Forecast'!$F$5:$F$85="Sales"),--('New Hires Forecast'!$H$5:$H$85&gt;=Sales!BI$3),'New Hires Forecast'!$N$5:$N$85,'New Hires Forecast'!$L$5:$L$85)/12),0),IF(YEAR(BI$3)=YEAR('New Hires Forecast'!$O$3),IF((BI$5&lt;=12),(SUMPRODUCT(--('New Hires Forecast'!$F$5:$F$85="Sales"),--('New Hires Forecast'!$H$5:$H$85&gt;=Sales!BI$3),'New Hires Forecast'!$O$5:$O$85,'New Hires Forecast'!$L$5:$L$85)/12),0),IF(YEAR(BI$3)=YEAR('New Hires Forecast'!$P$3),IF((BI$5&lt;=12),(SUMPRODUCT(--('New Hires Forecast'!$F$5:$F$85="Sales"),--('New Hires Forecast'!$H$5:$H$85&gt;=Sales!BI$3),'New Hires Forecast'!$P$5:$P$85,'New Hires Forecast'!$L$5:$L$85)/12),0),IF(YEAR(BI$3)=YEAR('New Hires Forecast'!$Q$3),IF((BI$5&lt;=12),(SUMPRODUCT(--('New Hires Forecast'!$F$5:$F$85="Sales"),--('New Hires Forecast'!$H$5:$H$85&gt;=Sales!BI$3),'New Hires Forecast'!$Q$5:$Q$85,'New Hires Forecast'!$L$5:$L$85)/12),0),IF(YEAR(BI$3)=YEAR('New Hires Forecast'!$R$3),IF((BI$5&lt;=12),(SUMPRODUCT(--('New Hires Forecast'!$F$5:$F$85="Sales"),--('New Hires Forecast'!$H$5:$H$85&gt;=Sales!BI$3),'New Hires Forecast'!$R$5:$R$85,'New Hires Forecast'!$L$5:$L$85)/12),0),"New Year"))))),0)</f>
        <v>2210.2083333333335</v>
      </c>
      <c r="BJ15" s="668">
        <f>IF(BJ$4="forecast",IF(YEAR(BJ$3)=YEAR('New Hires Forecast'!$N$3),IF((BJ$5&lt;=12),(SUMPRODUCT(--('New Hires Forecast'!$F$5:$F$85="Sales"),--('New Hires Forecast'!$H$5:$H$85&gt;=Sales!BJ$3),'New Hires Forecast'!$N$5:$N$85,'New Hires Forecast'!$L$5:$L$85)/12),0),IF(YEAR(BJ$3)=YEAR('New Hires Forecast'!$O$3),IF((BJ$5&lt;=12),(SUMPRODUCT(--('New Hires Forecast'!$F$5:$F$85="Sales"),--('New Hires Forecast'!$H$5:$H$85&gt;=Sales!BJ$3),'New Hires Forecast'!$O$5:$O$85,'New Hires Forecast'!$L$5:$L$85)/12),0),IF(YEAR(BJ$3)=YEAR('New Hires Forecast'!$P$3),IF((BJ$5&lt;=12),(SUMPRODUCT(--('New Hires Forecast'!$F$5:$F$85="Sales"),--('New Hires Forecast'!$H$5:$H$85&gt;=Sales!BJ$3),'New Hires Forecast'!$P$5:$P$85,'New Hires Forecast'!$L$5:$L$85)/12),0),IF(YEAR(BJ$3)=YEAR('New Hires Forecast'!$Q$3),IF((BJ$5&lt;=12),(SUMPRODUCT(--('New Hires Forecast'!$F$5:$F$85="Sales"),--('New Hires Forecast'!$H$5:$H$85&gt;=Sales!BJ$3),'New Hires Forecast'!$Q$5:$Q$85,'New Hires Forecast'!$L$5:$L$85)/12),0),IF(YEAR(BJ$3)=YEAR('New Hires Forecast'!$R$3),IF((BJ$5&lt;=12),(SUMPRODUCT(--('New Hires Forecast'!$F$5:$F$85="Sales"),--('New Hires Forecast'!$H$5:$H$85&gt;=Sales!BJ$3),'New Hires Forecast'!$R$5:$R$85,'New Hires Forecast'!$L$5:$L$85)/12),0),"New Year"))))),0)</f>
        <v>2210.2083333333335</v>
      </c>
      <c r="BK15" s="668">
        <f>IF(BK$4="forecast",IF(YEAR(BK$3)=YEAR('New Hires Forecast'!$N$3),IF((BK$5&lt;=12),(SUMPRODUCT(--('New Hires Forecast'!$F$5:$F$85="Sales"),--('New Hires Forecast'!$H$5:$H$85&gt;=Sales!BK$3),'New Hires Forecast'!$N$5:$N$85,'New Hires Forecast'!$L$5:$L$85)/12),0),IF(YEAR(BK$3)=YEAR('New Hires Forecast'!$O$3),IF((BK$5&lt;=12),(SUMPRODUCT(--('New Hires Forecast'!$F$5:$F$85="Sales"),--('New Hires Forecast'!$H$5:$H$85&gt;=Sales!BK$3),'New Hires Forecast'!$O$5:$O$85,'New Hires Forecast'!$L$5:$L$85)/12),0),IF(YEAR(BK$3)=YEAR('New Hires Forecast'!$P$3),IF((BK$5&lt;=12),(SUMPRODUCT(--('New Hires Forecast'!$F$5:$F$85="Sales"),--('New Hires Forecast'!$H$5:$H$85&gt;=Sales!BK$3),'New Hires Forecast'!$P$5:$P$85,'New Hires Forecast'!$L$5:$L$85)/12),0),IF(YEAR(BK$3)=YEAR('New Hires Forecast'!$Q$3),IF((BK$5&lt;=12),(SUMPRODUCT(--('New Hires Forecast'!$F$5:$F$85="Sales"),--('New Hires Forecast'!$H$5:$H$85&gt;=Sales!BK$3),'New Hires Forecast'!$Q$5:$Q$85,'New Hires Forecast'!$L$5:$L$85)/12),0),IF(YEAR(BK$3)=YEAR('New Hires Forecast'!$R$3),IF((BK$5&lt;=12),(SUMPRODUCT(--('New Hires Forecast'!$F$5:$F$85="Sales"),--('New Hires Forecast'!$H$5:$H$85&gt;=Sales!BK$3),'New Hires Forecast'!$R$5:$R$85,'New Hires Forecast'!$L$5:$L$85)/12),0),"New Year"))))),0)</f>
        <v>2276.5145833333336</v>
      </c>
      <c r="BL15" s="668">
        <f>IF(BL$4="forecast",IF(YEAR(BL$3)=YEAR('New Hires Forecast'!$N$3),IF((BL$5&lt;=12),(SUMPRODUCT(--('New Hires Forecast'!$F$5:$F$85="Sales"),--('New Hires Forecast'!$H$5:$H$85&gt;=Sales!BL$3),'New Hires Forecast'!$N$5:$N$85,'New Hires Forecast'!$L$5:$L$85)/12),0),IF(YEAR(BL$3)=YEAR('New Hires Forecast'!$O$3),IF((BL$5&lt;=12),(SUMPRODUCT(--('New Hires Forecast'!$F$5:$F$85="Sales"),--('New Hires Forecast'!$H$5:$H$85&gt;=Sales!BL$3),'New Hires Forecast'!$O$5:$O$85,'New Hires Forecast'!$L$5:$L$85)/12),0),IF(YEAR(BL$3)=YEAR('New Hires Forecast'!$P$3),IF((BL$5&lt;=12),(SUMPRODUCT(--('New Hires Forecast'!$F$5:$F$85="Sales"),--('New Hires Forecast'!$H$5:$H$85&gt;=Sales!BL$3),'New Hires Forecast'!$P$5:$P$85,'New Hires Forecast'!$L$5:$L$85)/12),0),IF(YEAR(BL$3)=YEAR('New Hires Forecast'!$Q$3),IF((BL$5&lt;=12),(SUMPRODUCT(--('New Hires Forecast'!$F$5:$F$85="Sales"),--('New Hires Forecast'!$H$5:$H$85&gt;=Sales!BL$3),'New Hires Forecast'!$Q$5:$Q$85,'New Hires Forecast'!$L$5:$L$85)/12),0),IF(YEAR(BL$3)=YEAR('New Hires Forecast'!$R$3),IF((BL$5&lt;=12),(SUMPRODUCT(--('New Hires Forecast'!$F$5:$F$85="Sales"),--('New Hires Forecast'!$H$5:$H$85&gt;=Sales!BL$3),'New Hires Forecast'!$R$5:$R$85,'New Hires Forecast'!$L$5:$L$85)/12),0),"New Year"))))),0)</f>
        <v>2276.5145833333336</v>
      </c>
      <c r="BM15" s="668">
        <f>IF(BM$4="forecast",IF(YEAR(BM$3)=YEAR('New Hires Forecast'!$N$3),IF((BM$5&lt;=12),(SUMPRODUCT(--('New Hires Forecast'!$F$5:$F$85="Sales"),--('New Hires Forecast'!$H$5:$H$85&gt;=Sales!BM$3),'New Hires Forecast'!$N$5:$N$85,'New Hires Forecast'!$L$5:$L$85)/12),0),IF(YEAR(BM$3)=YEAR('New Hires Forecast'!$O$3),IF((BM$5&lt;=12),(SUMPRODUCT(--('New Hires Forecast'!$F$5:$F$85="Sales"),--('New Hires Forecast'!$H$5:$H$85&gt;=Sales!BM$3),'New Hires Forecast'!$O$5:$O$85,'New Hires Forecast'!$L$5:$L$85)/12),0),IF(YEAR(BM$3)=YEAR('New Hires Forecast'!$P$3),IF((BM$5&lt;=12),(SUMPRODUCT(--('New Hires Forecast'!$F$5:$F$85="Sales"),--('New Hires Forecast'!$H$5:$H$85&gt;=Sales!BM$3),'New Hires Forecast'!$P$5:$P$85,'New Hires Forecast'!$L$5:$L$85)/12),0),IF(YEAR(BM$3)=YEAR('New Hires Forecast'!$Q$3),IF((BM$5&lt;=12),(SUMPRODUCT(--('New Hires Forecast'!$F$5:$F$85="Sales"),--('New Hires Forecast'!$H$5:$H$85&gt;=Sales!BM$3),'New Hires Forecast'!$Q$5:$Q$85,'New Hires Forecast'!$L$5:$L$85)/12),0),IF(YEAR(BM$3)=YEAR('New Hires Forecast'!$R$3),IF((BM$5&lt;=12),(SUMPRODUCT(--('New Hires Forecast'!$F$5:$F$85="Sales"),--('New Hires Forecast'!$H$5:$H$85&gt;=Sales!BM$3),'New Hires Forecast'!$R$5:$R$85,'New Hires Forecast'!$L$5:$L$85)/12),0),"New Year"))))),0)</f>
        <v>2276.5145833333336</v>
      </c>
      <c r="BN15" s="668">
        <f>IF(BN$4="forecast",IF(YEAR(BN$3)=YEAR('New Hires Forecast'!$N$3),IF((BN$5&lt;=12),(SUMPRODUCT(--('New Hires Forecast'!$F$5:$F$85="Sales"),--('New Hires Forecast'!$H$5:$H$85&gt;=Sales!BN$3),'New Hires Forecast'!$N$5:$N$85,'New Hires Forecast'!$L$5:$L$85)/12),0),IF(YEAR(BN$3)=YEAR('New Hires Forecast'!$O$3),IF((BN$5&lt;=12),(SUMPRODUCT(--('New Hires Forecast'!$F$5:$F$85="Sales"),--('New Hires Forecast'!$H$5:$H$85&gt;=Sales!BN$3),'New Hires Forecast'!$O$5:$O$85,'New Hires Forecast'!$L$5:$L$85)/12),0),IF(YEAR(BN$3)=YEAR('New Hires Forecast'!$P$3),IF((BN$5&lt;=12),(SUMPRODUCT(--('New Hires Forecast'!$F$5:$F$85="Sales"),--('New Hires Forecast'!$H$5:$H$85&gt;=Sales!BN$3),'New Hires Forecast'!$P$5:$P$85,'New Hires Forecast'!$L$5:$L$85)/12),0),IF(YEAR(BN$3)=YEAR('New Hires Forecast'!$Q$3),IF((BN$5&lt;=12),(SUMPRODUCT(--('New Hires Forecast'!$F$5:$F$85="Sales"),--('New Hires Forecast'!$H$5:$H$85&gt;=Sales!BN$3),'New Hires Forecast'!$Q$5:$Q$85,'New Hires Forecast'!$L$5:$L$85)/12),0),IF(YEAR(BN$3)=YEAR('New Hires Forecast'!$R$3),IF((BN$5&lt;=12),(SUMPRODUCT(--('New Hires Forecast'!$F$5:$F$85="Sales"),--('New Hires Forecast'!$H$5:$H$85&gt;=Sales!BN$3),'New Hires Forecast'!$R$5:$R$85,'New Hires Forecast'!$L$5:$L$85)/12),0),"New Year"))))),0)</f>
        <v>2276.5145833333336</v>
      </c>
      <c r="BO15" s="668">
        <f>IF(BO$4="forecast",IF(YEAR(BO$3)=YEAR('New Hires Forecast'!$N$3),IF((BO$5&lt;=12),(SUMPRODUCT(--('New Hires Forecast'!$F$5:$F$85="Sales"),--('New Hires Forecast'!$H$5:$H$85&gt;=Sales!BO$3),'New Hires Forecast'!$N$5:$N$85,'New Hires Forecast'!$L$5:$L$85)/12),0),IF(YEAR(BO$3)=YEAR('New Hires Forecast'!$O$3),IF((BO$5&lt;=12),(SUMPRODUCT(--('New Hires Forecast'!$F$5:$F$85="Sales"),--('New Hires Forecast'!$H$5:$H$85&gt;=Sales!BO$3),'New Hires Forecast'!$O$5:$O$85,'New Hires Forecast'!$L$5:$L$85)/12),0),IF(YEAR(BO$3)=YEAR('New Hires Forecast'!$P$3),IF((BO$5&lt;=12),(SUMPRODUCT(--('New Hires Forecast'!$F$5:$F$85="Sales"),--('New Hires Forecast'!$H$5:$H$85&gt;=Sales!BO$3),'New Hires Forecast'!$P$5:$P$85,'New Hires Forecast'!$L$5:$L$85)/12),0),IF(YEAR(BO$3)=YEAR('New Hires Forecast'!$Q$3),IF((BO$5&lt;=12),(SUMPRODUCT(--('New Hires Forecast'!$F$5:$F$85="Sales"),--('New Hires Forecast'!$H$5:$H$85&gt;=Sales!BO$3),'New Hires Forecast'!$Q$5:$Q$85,'New Hires Forecast'!$L$5:$L$85)/12),0),IF(YEAR(BO$3)=YEAR('New Hires Forecast'!$R$3),IF((BO$5&lt;=12),(SUMPRODUCT(--('New Hires Forecast'!$F$5:$F$85="Sales"),--('New Hires Forecast'!$H$5:$H$85&gt;=Sales!BO$3),'New Hires Forecast'!$R$5:$R$85,'New Hires Forecast'!$L$5:$L$85)/12),0),"New Year"))))),0)</f>
        <v>2276.5145833333336</v>
      </c>
      <c r="BP15" s="668">
        <f>IF(BP$4="forecast",IF(YEAR(BP$3)=YEAR('New Hires Forecast'!$N$3),IF((BP$5&lt;=12),(SUMPRODUCT(--('New Hires Forecast'!$F$5:$F$85="Sales"),--('New Hires Forecast'!$H$5:$H$85&gt;=Sales!BP$3),'New Hires Forecast'!$N$5:$N$85,'New Hires Forecast'!$L$5:$L$85)/12),0),IF(YEAR(BP$3)=YEAR('New Hires Forecast'!$O$3),IF((BP$5&lt;=12),(SUMPRODUCT(--('New Hires Forecast'!$F$5:$F$85="Sales"),--('New Hires Forecast'!$H$5:$H$85&gt;=Sales!BP$3),'New Hires Forecast'!$O$5:$O$85,'New Hires Forecast'!$L$5:$L$85)/12),0),IF(YEAR(BP$3)=YEAR('New Hires Forecast'!$P$3),IF((BP$5&lt;=12),(SUMPRODUCT(--('New Hires Forecast'!$F$5:$F$85="Sales"),--('New Hires Forecast'!$H$5:$H$85&gt;=Sales!BP$3),'New Hires Forecast'!$P$5:$P$85,'New Hires Forecast'!$L$5:$L$85)/12),0),IF(YEAR(BP$3)=YEAR('New Hires Forecast'!$Q$3),IF((BP$5&lt;=12),(SUMPRODUCT(--('New Hires Forecast'!$F$5:$F$85="Sales"),--('New Hires Forecast'!$H$5:$H$85&gt;=Sales!BP$3),'New Hires Forecast'!$Q$5:$Q$85,'New Hires Forecast'!$L$5:$L$85)/12),0),IF(YEAR(BP$3)=YEAR('New Hires Forecast'!$R$3),IF((BP$5&lt;=12),(SUMPRODUCT(--('New Hires Forecast'!$F$5:$F$85="Sales"),--('New Hires Forecast'!$H$5:$H$85&gt;=Sales!BP$3),'New Hires Forecast'!$R$5:$R$85,'New Hires Forecast'!$L$5:$L$85)/12),0),"New Year"))))),0)</f>
        <v>2276.5145833333336</v>
      </c>
      <c r="BQ15" s="668">
        <f>IF(BQ$4="forecast",IF(YEAR(BQ$3)=YEAR('New Hires Forecast'!$N$3),IF((BQ$5&lt;=12),(SUMPRODUCT(--('New Hires Forecast'!$F$5:$F$85="Sales"),--('New Hires Forecast'!$H$5:$H$85&gt;=Sales!BQ$3),'New Hires Forecast'!$N$5:$N$85,'New Hires Forecast'!$L$5:$L$85)/12),0),IF(YEAR(BQ$3)=YEAR('New Hires Forecast'!$O$3),IF((BQ$5&lt;=12),(SUMPRODUCT(--('New Hires Forecast'!$F$5:$F$85="Sales"),--('New Hires Forecast'!$H$5:$H$85&gt;=Sales!BQ$3),'New Hires Forecast'!$O$5:$O$85,'New Hires Forecast'!$L$5:$L$85)/12),0),IF(YEAR(BQ$3)=YEAR('New Hires Forecast'!$P$3),IF((BQ$5&lt;=12),(SUMPRODUCT(--('New Hires Forecast'!$F$5:$F$85="Sales"),--('New Hires Forecast'!$H$5:$H$85&gt;=Sales!BQ$3),'New Hires Forecast'!$P$5:$P$85,'New Hires Forecast'!$L$5:$L$85)/12),0),IF(YEAR(BQ$3)=YEAR('New Hires Forecast'!$Q$3),IF((BQ$5&lt;=12),(SUMPRODUCT(--('New Hires Forecast'!$F$5:$F$85="Sales"),--('New Hires Forecast'!$H$5:$H$85&gt;=Sales!BQ$3),'New Hires Forecast'!$Q$5:$Q$85,'New Hires Forecast'!$L$5:$L$85)/12),0),IF(YEAR(BQ$3)=YEAR('New Hires Forecast'!$R$3),IF((BQ$5&lt;=12),(SUMPRODUCT(--('New Hires Forecast'!$F$5:$F$85="Sales"),--('New Hires Forecast'!$H$5:$H$85&gt;=Sales!BQ$3),'New Hires Forecast'!$R$5:$R$85,'New Hires Forecast'!$L$5:$L$85)/12),0),"New Year"))))),0)</f>
        <v>2276.5145833333336</v>
      </c>
      <c r="BR15" s="668">
        <f>IF(BR$4="forecast",IF(YEAR(BR$3)=YEAR('New Hires Forecast'!$N$3),IF((BR$5&lt;=12),(SUMPRODUCT(--('New Hires Forecast'!$F$5:$F$85="Sales"),--('New Hires Forecast'!$H$5:$H$85&gt;=Sales!BR$3),'New Hires Forecast'!$N$5:$N$85,'New Hires Forecast'!$L$5:$L$85)/12),0),IF(YEAR(BR$3)=YEAR('New Hires Forecast'!$O$3),IF((BR$5&lt;=12),(SUMPRODUCT(--('New Hires Forecast'!$F$5:$F$85="Sales"),--('New Hires Forecast'!$H$5:$H$85&gt;=Sales!BR$3),'New Hires Forecast'!$O$5:$O$85,'New Hires Forecast'!$L$5:$L$85)/12),0),IF(YEAR(BR$3)=YEAR('New Hires Forecast'!$P$3),IF((BR$5&lt;=12),(SUMPRODUCT(--('New Hires Forecast'!$F$5:$F$85="Sales"),--('New Hires Forecast'!$H$5:$H$85&gt;=Sales!BR$3),'New Hires Forecast'!$P$5:$P$85,'New Hires Forecast'!$L$5:$L$85)/12),0),IF(YEAR(BR$3)=YEAR('New Hires Forecast'!$Q$3),IF((BR$5&lt;=12),(SUMPRODUCT(--('New Hires Forecast'!$F$5:$F$85="Sales"),--('New Hires Forecast'!$H$5:$H$85&gt;=Sales!BR$3),'New Hires Forecast'!$Q$5:$Q$85,'New Hires Forecast'!$L$5:$L$85)/12),0),IF(YEAR(BR$3)=YEAR('New Hires Forecast'!$R$3),IF((BR$5&lt;=12),(SUMPRODUCT(--('New Hires Forecast'!$F$5:$F$85="Sales"),--('New Hires Forecast'!$H$5:$H$85&gt;=Sales!BR$3),'New Hires Forecast'!$R$5:$R$85,'New Hires Forecast'!$L$5:$L$85)/12),0),"New Year"))))),0)</f>
        <v>2276.5145833333336</v>
      </c>
      <c r="BS15" s="668">
        <f>IF(BS$4="forecast",IF(YEAR(BS$3)=YEAR('New Hires Forecast'!$N$3),IF((BS$5&lt;=12),(SUMPRODUCT(--('New Hires Forecast'!$F$5:$F$85="Sales"),--('New Hires Forecast'!$H$5:$H$85&gt;=Sales!BS$3),'New Hires Forecast'!$N$5:$N$85,'New Hires Forecast'!$L$5:$L$85)/12),0),IF(YEAR(BS$3)=YEAR('New Hires Forecast'!$O$3),IF((BS$5&lt;=12),(SUMPRODUCT(--('New Hires Forecast'!$F$5:$F$85="Sales"),--('New Hires Forecast'!$H$5:$H$85&gt;=Sales!BS$3),'New Hires Forecast'!$O$5:$O$85,'New Hires Forecast'!$L$5:$L$85)/12),0),IF(YEAR(BS$3)=YEAR('New Hires Forecast'!$P$3),IF((BS$5&lt;=12),(SUMPRODUCT(--('New Hires Forecast'!$F$5:$F$85="Sales"),--('New Hires Forecast'!$H$5:$H$85&gt;=Sales!BS$3),'New Hires Forecast'!$P$5:$P$85,'New Hires Forecast'!$L$5:$L$85)/12),0),IF(YEAR(BS$3)=YEAR('New Hires Forecast'!$Q$3),IF((BS$5&lt;=12),(SUMPRODUCT(--('New Hires Forecast'!$F$5:$F$85="Sales"),--('New Hires Forecast'!$H$5:$H$85&gt;=Sales!BS$3),'New Hires Forecast'!$Q$5:$Q$85,'New Hires Forecast'!$L$5:$L$85)/12),0),IF(YEAR(BS$3)=YEAR('New Hires Forecast'!$R$3),IF((BS$5&lt;=12),(SUMPRODUCT(--('New Hires Forecast'!$F$5:$F$85="Sales"),--('New Hires Forecast'!$H$5:$H$85&gt;=Sales!BS$3),'New Hires Forecast'!$R$5:$R$85,'New Hires Forecast'!$L$5:$L$85)/12),0),"New Year"))))),0)</f>
        <v>2276.5145833333336</v>
      </c>
      <c r="BT15" s="668">
        <f>IF(BT$4="forecast",IF(YEAR(BT$3)=YEAR('New Hires Forecast'!$N$3),IF((BT$5&lt;=12),(SUMPRODUCT(--('New Hires Forecast'!$F$5:$F$85="Sales"),--('New Hires Forecast'!$H$5:$H$85&gt;=Sales!BT$3),'New Hires Forecast'!$N$5:$N$85,'New Hires Forecast'!$L$5:$L$85)/12),0),IF(YEAR(BT$3)=YEAR('New Hires Forecast'!$O$3),IF((BT$5&lt;=12),(SUMPRODUCT(--('New Hires Forecast'!$F$5:$F$85="Sales"),--('New Hires Forecast'!$H$5:$H$85&gt;=Sales!BT$3),'New Hires Forecast'!$O$5:$O$85,'New Hires Forecast'!$L$5:$L$85)/12),0),IF(YEAR(BT$3)=YEAR('New Hires Forecast'!$P$3),IF((BT$5&lt;=12),(SUMPRODUCT(--('New Hires Forecast'!$F$5:$F$85="Sales"),--('New Hires Forecast'!$H$5:$H$85&gt;=Sales!BT$3),'New Hires Forecast'!$P$5:$P$85,'New Hires Forecast'!$L$5:$L$85)/12),0),IF(YEAR(BT$3)=YEAR('New Hires Forecast'!$Q$3),IF((BT$5&lt;=12),(SUMPRODUCT(--('New Hires Forecast'!$F$5:$F$85="Sales"),--('New Hires Forecast'!$H$5:$H$85&gt;=Sales!BT$3),'New Hires Forecast'!$Q$5:$Q$85,'New Hires Forecast'!$L$5:$L$85)/12),0),IF(YEAR(BT$3)=YEAR('New Hires Forecast'!$R$3),IF((BT$5&lt;=12),(SUMPRODUCT(--('New Hires Forecast'!$F$5:$F$85="Sales"),--('New Hires Forecast'!$H$5:$H$85&gt;=Sales!BT$3),'New Hires Forecast'!$R$5:$R$85,'New Hires Forecast'!$L$5:$L$85)/12),0),"New Year"))))),0)</f>
        <v>2276.5145833333336</v>
      </c>
      <c r="BU15" s="668">
        <f>IF(BU$4="forecast",IF(YEAR(BU$3)=YEAR('New Hires Forecast'!$N$3),IF((BU$5&lt;=12),(SUMPRODUCT(--('New Hires Forecast'!$F$5:$F$85="Sales"),--('New Hires Forecast'!$H$5:$H$85&gt;=Sales!BU$3),'New Hires Forecast'!$N$5:$N$85,'New Hires Forecast'!$L$5:$L$85)/12),0),IF(YEAR(BU$3)=YEAR('New Hires Forecast'!$O$3),IF((BU$5&lt;=12),(SUMPRODUCT(--('New Hires Forecast'!$F$5:$F$85="Sales"),--('New Hires Forecast'!$H$5:$H$85&gt;=Sales!BU$3),'New Hires Forecast'!$O$5:$O$85,'New Hires Forecast'!$L$5:$L$85)/12),0),IF(YEAR(BU$3)=YEAR('New Hires Forecast'!$P$3),IF((BU$5&lt;=12),(SUMPRODUCT(--('New Hires Forecast'!$F$5:$F$85="Sales"),--('New Hires Forecast'!$H$5:$H$85&gt;=Sales!BU$3),'New Hires Forecast'!$P$5:$P$85,'New Hires Forecast'!$L$5:$L$85)/12),0),IF(YEAR(BU$3)=YEAR('New Hires Forecast'!$Q$3),IF((BU$5&lt;=12),(SUMPRODUCT(--('New Hires Forecast'!$F$5:$F$85="Sales"),--('New Hires Forecast'!$H$5:$H$85&gt;=Sales!BU$3),'New Hires Forecast'!$Q$5:$Q$85,'New Hires Forecast'!$L$5:$L$85)/12),0),IF(YEAR(BU$3)=YEAR('New Hires Forecast'!$R$3),IF((BU$5&lt;=12),(SUMPRODUCT(--('New Hires Forecast'!$F$5:$F$85="Sales"),--('New Hires Forecast'!$H$5:$H$85&gt;=Sales!BU$3),'New Hires Forecast'!$R$5:$R$85,'New Hires Forecast'!$L$5:$L$85)/12),0),"New Year"))))),0)</f>
        <v>2276.5145833333336</v>
      </c>
      <c r="BV15" s="790">
        <f>IF(BV$4="forecast",IF(YEAR(BV$3)=YEAR('New Hires Forecast'!$N$3),IF((BV$5&lt;=12),(SUMPRODUCT(--('New Hires Forecast'!$F$5:$F$85="Sales"),--('New Hires Forecast'!$H$5:$H$85&gt;=Sales!BV$3),'New Hires Forecast'!$N$5:$N$85,'New Hires Forecast'!$L$5:$L$85)/12),0),IF(YEAR(BV$3)=YEAR('New Hires Forecast'!$O$3),IF((BV$5&lt;=12),(SUMPRODUCT(--('New Hires Forecast'!$F$5:$F$85="Sales"),--('New Hires Forecast'!$H$5:$H$85&gt;=Sales!BV$3),'New Hires Forecast'!$O$5:$O$85,'New Hires Forecast'!$L$5:$L$85)/12),0),IF(YEAR(BV$3)=YEAR('New Hires Forecast'!$P$3),IF((BV$5&lt;=12),(SUMPRODUCT(--('New Hires Forecast'!$F$5:$F$85="Sales"),--('New Hires Forecast'!$H$5:$H$85&gt;=Sales!BV$3),'New Hires Forecast'!$P$5:$P$85,'New Hires Forecast'!$L$5:$L$85)/12),0),IF(YEAR(BV$3)=YEAR('New Hires Forecast'!$Q$3),IF((BV$5&lt;=12),(SUMPRODUCT(--('New Hires Forecast'!$F$5:$F$85="Sales"),--('New Hires Forecast'!$H$5:$H$85&gt;=Sales!BV$3),'New Hires Forecast'!$Q$5:$Q$85,'New Hires Forecast'!$L$5:$L$85)/12),0),IF(YEAR(BV$3)=YEAR('New Hires Forecast'!$R$3),IF((BV$5&lt;=12),(SUMPRODUCT(--('New Hires Forecast'!$F$5:$F$85="Sales"),--('New Hires Forecast'!$H$5:$H$85&gt;=Sales!BV$3),'New Hires Forecast'!$R$5:$R$85,'New Hires Forecast'!$L$5:$L$85)/12),0),"New Year"))))),0)</f>
        <v>2276.5145833333336</v>
      </c>
    </row>
    <row r="16" spans="2:76" x14ac:dyDescent="0.25">
      <c r="B16" s="780" t="s">
        <v>930</v>
      </c>
      <c r="C16" s="792">
        <f>IF(C$4="forecast",IF(YEAR(C$3)=YEAR(Headcount!$N$4),IF((C$5&lt;12),(SUMPRODUCT(--(Headcount!$F$6:$F$92="Sales"),--(Headcount!$H$6:$H$92&gt;=Sales!C$3),Headcount!$N$6:$N$92,Headcount!$L$6:$L$92)/12),0),IF(YEAR(C$3)=YEAR(Headcount!$O$4),IF((C$5&lt;=12),(SUMPRODUCT(--(Headcount!$F$6:$F$92="Sales"),--(Headcount!$H$6:$H$92&gt;=Sales!C$3),Headcount!$O$6:$O$92,Headcount!$L$6:$L$92)/12),0),IF(YEAR(C$3)=YEAR(Headcount!$P$4),IF((C$5&lt;=12),(SUMPRODUCT(--(Headcount!$F$6:$F$92="Sales"),--(Headcount!$H$6:$H$92&gt;=Sales!C$3),Headcount!$P$6:$P$92,Headcount!$L$6:$L$92)/12),0),IF(YEAR(C$3)=YEAR(Headcount!$Q$4),IF((C$5&lt;=12),(SUMPRODUCT(--(Headcount!$F$6:$F$92="Sales"),--(Headcount!$H$6:$H$92&gt;=Sales!C$3),Headcount!$Q$6:$Q$92,Headcount!$L$6:$L$92)/12),0),IF(YEAR(C$3)=YEAR(Headcount!$R$4),IF((C$5&lt;=12),(SUMPRODUCT(--(Headcount!$F$6:$F$92="Sales"),--(Headcount!$H$6:$H$92&gt;=Sales!C$3),Headcount!$R$6:$R$92,Headcount!$L$6:$L$92)/12),0),"New Year"))))),SUMIF('Dept. Cost Actuals'!$E$7:$E$176,"*bonus*",'Dept. Cost Actuals'!G$7:G$176))</f>
        <v>240</v>
      </c>
      <c r="D16" s="792">
        <f>IF(D$4="forecast",IF(YEAR(D$3)=YEAR(Headcount!$N$4),IF((D$5&lt;12),(SUMPRODUCT(--(Headcount!$F$6:$F$92="Sales"),--(Headcount!$H$6:$H$92&gt;=Sales!D$3),Headcount!$N$6:$N$92,Headcount!$L$6:$L$92)/12),0),IF(YEAR(D$3)=YEAR(Headcount!$O$4),IF((D$5&lt;=12),(SUMPRODUCT(--(Headcount!$F$6:$F$92="Sales"),--(Headcount!$H$6:$H$92&gt;=Sales!D$3),Headcount!$O$6:$O$92,Headcount!$L$6:$L$92)/12),0),IF(YEAR(D$3)=YEAR(Headcount!$P$4),IF((D$5&lt;=12),(SUMPRODUCT(--(Headcount!$F$6:$F$92="Sales"),--(Headcount!$H$6:$H$92&gt;=Sales!D$3),Headcount!$P$6:$P$92,Headcount!$L$6:$L$92)/12),0),IF(YEAR(D$3)=YEAR(Headcount!$Q$4),IF((D$5&lt;=12),(SUMPRODUCT(--(Headcount!$F$6:$F$92="Sales"),--(Headcount!$H$6:$H$92&gt;=Sales!D$3),Headcount!$Q$6:$Q$92,Headcount!$L$6:$L$92)/12),0),IF(YEAR(D$3)=YEAR(Headcount!$R$4),IF((D$5&lt;=12),(SUMPRODUCT(--(Headcount!$F$6:$F$92="Sales"),--(Headcount!$H$6:$H$92&gt;=Sales!D$3),Headcount!$R$6:$R$92,Headcount!$L$6:$L$92)/12),0),"New Year"))))),SUMIF('Dept. Cost Actuals'!$E$7:$E$176,"*bonus*",'Dept. Cost Actuals'!H$7:H$176))</f>
        <v>240</v>
      </c>
      <c r="E16" s="792">
        <f>IF(E$4="forecast",IF(YEAR(E$3)=YEAR(Headcount!$N$4),IF((E$5&lt;12),(SUMPRODUCT(--(Headcount!$F$6:$F$92="Sales"),--(Headcount!$H$6:$H$92&gt;=Sales!E$3),Headcount!$N$6:$N$92,Headcount!$L$6:$L$92)/12),0),IF(YEAR(E$3)=YEAR(Headcount!$O$4),IF((E$5&lt;=12),(SUMPRODUCT(--(Headcount!$F$6:$F$92="Sales"),--(Headcount!$H$6:$H$92&gt;=Sales!E$3),Headcount!$O$6:$O$92,Headcount!$L$6:$L$92)/12),0),IF(YEAR(E$3)=YEAR(Headcount!$P$4),IF((E$5&lt;=12),(SUMPRODUCT(--(Headcount!$F$6:$F$92="Sales"),--(Headcount!$H$6:$H$92&gt;=Sales!E$3),Headcount!$P$6:$P$92,Headcount!$L$6:$L$92)/12),0),IF(YEAR(E$3)=YEAR(Headcount!$Q$4),IF((E$5&lt;=12),(SUMPRODUCT(--(Headcount!$F$6:$F$92="Sales"),--(Headcount!$H$6:$H$92&gt;=Sales!E$3),Headcount!$Q$6:$Q$92,Headcount!$L$6:$L$92)/12),0),IF(YEAR(E$3)=YEAR(Headcount!$R$4),IF((E$5&lt;=12),(SUMPRODUCT(--(Headcount!$F$6:$F$92="Sales"),--(Headcount!$H$6:$H$92&gt;=Sales!E$3),Headcount!$R$6:$R$92,Headcount!$L$6:$L$92)/12),0),"New Year"))))),SUMIF('Dept. Cost Actuals'!$E$7:$E$176,"*bonus*",'Dept. Cost Actuals'!I$7:I$176))</f>
        <v>240</v>
      </c>
      <c r="F16" s="792">
        <f>IF(F$4="forecast",IF(YEAR(F$3)=YEAR(Headcount!$N$4),IF((F$5&lt;12),(SUMPRODUCT(--(Headcount!$F$6:$F$92="Sales"),--(Headcount!$H$6:$H$92&gt;=Sales!F$3),Headcount!$N$6:$N$92,Headcount!$L$6:$L$92)/12),0),IF(YEAR(F$3)=YEAR(Headcount!$O$4),IF((F$5&lt;=12),(SUMPRODUCT(--(Headcount!$F$6:$F$92="Sales"),--(Headcount!$H$6:$H$92&gt;=Sales!F$3),Headcount!$O$6:$O$92,Headcount!$L$6:$L$92)/12),0),IF(YEAR(F$3)=YEAR(Headcount!$P$4),IF((F$5&lt;=12),(SUMPRODUCT(--(Headcount!$F$6:$F$92="Sales"),--(Headcount!$H$6:$H$92&gt;=Sales!F$3),Headcount!$P$6:$P$92,Headcount!$L$6:$L$92)/12),0),IF(YEAR(F$3)=YEAR(Headcount!$Q$4),IF((F$5&lt;=12),(SUMPRODUCT(--(Headcount!$F$6:$F$92="Sales"),--(Headcount!$H$6:$H$92&gt;=Sales!F$3),Headcount!$Q$6:$Q$92,Headcount!$L$6:$L$92)/12),0),IF(YEAR(F$3)=YEAR(Headcount!$R$4),IF((F$5&lt;=12),(SUMPRODUCT(--(Headcount!$F$6:$F$92="Sales"),--(Headcount!$H$6:$H$92&gt;=Sales!F$3),Headcount!$R$6:$R$92,Headcount!$L$6:$L$92)/12),0),"New Year"))))),SUMIF('Dept. Cost Actuals'!$E$7:$E$176,"*bonus*",'Dept. Cost Actuals'!J$7:J$176))</f>
        <v>240</v>
      </c>
      <c r="G16" s="792">
        <f>IF(G$4="forecast",IF(YEAR(G$3)=YEAR(Headcount!$N$4),IF((G$5&lt;12),(SUMPRODUCT(--(Headcount!$F$6:$F$92="Sales"),--(Headcount!$H$6:$H$92&gt;=Sales!G$3),Headcount!$N$6:$N$92,Headcount!$L$6:$L$92)/12),0),IF(YEAR(G$3)=YEAR(Headcount!$O$4),IF((G$5&lt;=12),(SUMPRODUCT(--(Headcount!$F$6:$F$92="Sales"),--(Headcount!$H$6:$H$92&gt;=Sales!G$3),Headcount!$O$6:$O$92,Headcount!$L$6:$L$92)/12),0),IF(YEAR(G$3)=YEAR(Headcount!$P$4),IF((G$5&lt;=12),(SUMPRODUCT(--(Headcount!$F$6:$F$92="Sales"),--(Headcount!$H$6:$H$92&gt;=Sales!G$3),Headcount!$P$6:$P$92,Headcount!$L$6:$L$92)/12),0),IF(YEAR(G$3)=YEAR(Headcount!$Q$4),IF((G$5&lt;=12),(SUMPRODUCT(--(Headcount!$F$6:$F$92="Sales"),--(Headcount!$H$6:$H$92&gt;=Sales!G$3),Headcount!$Q$6:$Q$92,Headcount!$L$6:$L$92)/12),0),IF(YEAR(G$3)=YEAR(Headcount!$R$4),IF((G$5&lt;=12),(SUMPRODUCT(--(Headcount!$F$6:$F$92="Sales"),--(Headcount!$H$6:$H$92&gt;=Sales!G$3),Headcount!$R$6:$R$92,Headcount!$L$6:$L$92)/12),0),"New Year"))))),SUMIF('Dept. Cost Actuals'!$E$7:$E$176,"*bonus*",'Dept. Cost Actuals'!K$7:K$176))</f>
        <v>4827.37</v>
      </c>
      <c r="H16" s="792">
        <f>IF(H$4="forecast",IF(YEAR(H$3)=YEAR(Headcount!$N$4),IF((H$5&lt;12),(SUMPRODUCT(--(Headcount!$F$6:$F$92="Sales"),--(Headcount!$H$6:$H$92&gt;=Sales!H$3),Headcount!$N$6:$N$92,Headcount!$L$6:$L$92)/12),0),IF(YEAR(H$3)=YEAR(Headcount!$O$4),IF((H$5&lt;=12),(SUMPRODUCT(--(Headcount!$F$6:$F$92="Sales"),--(Headcount!$H$6:$H$92&gt;=Sales!H$3),Headcount!$O$6:$O$92,Headcount!$L$6:$L$92)/12),0),IF(YEAR(H$3)=YEAR(Headcount!$P$4),IF((H$5&lt;=12),(SUMPRODUCT(--(Headcount!$F$6:$F$92="Sales"),--(Headcount!$H$6:$H$92&gt;=Sales!H$3),Headcount!$P$6:$P$92,Headcount!$L$6:$L$92)/12),0),IF(YEAR(H$3)=YEAR(Headcount!$Q$4),IF((H$5&lt;=12),(SUMPRODUCT(--(Headcount!$F$6:$F$92="Sales"),--(Headcount!$H$6:$H$92&gt;=Sales!H$3),Headcount!$Q$6:$Q$92,Headcount!$L$6:$L$92)/12),0),IF(YEAR(H$3)=YEAR(Headcount!$R$4),IF((H$5&lt;=12),(SUMPRODUCT(--(Headcount!$F$6:$F$92="Sales"),--(Headcount!$H$6:$H$92&gt;=Sales!H$3),Headcount!$R$6:$R$92,Headcount!$L$6:$L$92)/12),0),"New Year"))))),SUMIF('Dept. Cost Actuals'!$E$7:$E$176,"*bonus*",'Dept. Cost Actuals'!L$7:L$176))</f>
        <v>275</v>
      </c>
      <c r="I16" s="792">
        <f>IF(I$4="forecast",IF(YEAR(I$3)=YEAR(Headcount!$N$4),IF((I$5&lt;12),(SUMPRODUCT(--(Headcount!$F$6:$F$92="Sales"),--(Headcount!$H$6:$H$92&gt;=Sales!I$3),Headcount!$N$6:$N$92,Headcount!$L$6:$L$92)/12),0),IF(YEAR(I$3)=YEAR(Headcount!$O$4),IF((I$5&lt;=12),(SUMPRODUCT(--(Headcount!$F$6:$F$92="Sales"),--(Headcount!$H$6:$H$92&gt;=Sales!I$3),Headcount!$O$6:$O$92,Headcount!$L$6:$L$92)/12),0),IF(YEAR(I$3)=YEAR(Headcount!$P$4),IF((I$5&lt;=12),(SUMPRODUCT(--(Headcount!$F$6:$F$92="Sales"),--(Headcount!$H$6:$H$92&gt;=Sales!I$3),Headcount!$P$6:$P$92,Headcount!$L$6:$L$92)/12),0),IF(YEAR(I$3)=YEAR(Headcount!$Q$4),IF((I$5&lt;=12),(SUMPRODUCT(--(Headcount!$F$6:$F$92="Sales"),--(Headcount!$H$6:$H$92&gt;=Sales!I$3),Headcount!$Q$6:$Q$92,Headcount!$L$6:$L$92)/12),0),IF(YEAR(I$3)=YEAR(Headcount!$R$4),IF((I$5&lt;=12),(SUMPRODUCT(--(Headcount!$F$6:$F$92="Sales"),--(Headcount!$H$6:$H$92&gt;=Sales!I$3),Headcount!$R$6:$R$92,Headcount!$L$6:$L$92)/12),0),"New Year"))))),SUMIF('Dept. Cost Actuals'!$E$7:$E$176,"*bonus*",'Dept. Cost Actuals'!M$7:M$176))</f>
        <v>222.5</v>
      </c>
      <c r="J16" s="792">
        <f>IF(J$4="forecast",IF(YEAR(J$3)=YEAR(Headcount!$N$4),IF((J$5&lt;12),(SUMPRODUCT(--(Headcount!$F$6:$F$92="Sales"),--(Headcount!$H$6:$H$92&gt;=Sales!J$3),Headcount!$N$6:$N$92,Headcount!$L$6:$L$92)/12),0),IF(YEAR(J$3)=YEAR(Headcount!$O$4),IF((J$5&lt;=12),(SUMPRODUCT(--(Headcount!$F$6:$F$92="Sales"),--(Headcount!$H$6:$H$92&gt;=Sales!J$3),Headcount!$O$6:$O$92,Headcount!$L$6:$L$92)/12),0),IF(YEAR(J$3)=YEAR(Headcount!$P$4),IF((J$5&lt;=12),(SUMPRODUCT(--(Headcount!$F$6:$F$92="Sales"),--(Headcount!$H$6:$H$92&gt;=Sales!J$3),Headcount!$P$6:$P$92,Headcount!$L$6:$L$92)/12),0),IF(YEAR(J$3)=YEAR(Headcount!$Q$4),IF((J$5&lt;=12),(SUMPRODUCT(--(Headcount!$F$6:$F$92="Sales"),--(Headcount!$H$6:$H$92&gt;=Sales!J$3),Headcount!$Q$6:$Q$92,Headcount!$L$6:$L$92)/12),0),IF(YEAR(J$3)=YEAR(Headcount!$R$4),IF((J$5&lt;=12),(SUMPRODUCT(--(Headcount!$F$6:$F$92="Sales"),--(Headcount!$H$6:$H$92&gt;=Sales!J$3),Headcount!$R$6:$R$92,Headcount!$L$6:$L$92)/12),0),"New Year"))))),SUMIF('Dept. Cost Actuals'!$E$7:$E$176,"*bonus*",'Dept. Cost Actuals'!N$7:N$176))</f>
        <v>10683.18</v>
      </c>
      <c r="K16" s="792">
        <f>IF(K$4="forecast",IF(YEAR(K$3)=YEAR(Headcount!$N$4),IF((K$5&lt;12),(SUMPRODUCT(--(Headcount!$F$6:$F$92="Sales"),--(Headcount!$H$6:$H$92&gt;=Sales!K$3),Headcount!$N$6:$N$92,Headcount!$L$6:$L$92)/12),0),IF(YEAR(K$3)=YEAR(Headcount!$O$4),IF((K$5&lt;=12),(SUMPRODUCT(--(Headcount!$F$6:$F$92="Sales"),--(Headcount!$H$6:$H$92&gt;=Sales!K$3),Headcount!$O$6:$O$92,Headcount!$L$6:$L$92)/12),0),IF(YEAR(K$3)=YEAR(Headcount!$P$4),IF((K$5&lt;=12),(SUMPRODUCT(--(Headcount!$F$6:$F$92="Sales"),--(Headcount!$H$6:$H$92&gt;=Sales!K$3),Headcount!$P$6:$P$92,Headcount!$L$6:$L$92)/12),0),IF(YEAR(K$3)=YEAR(Headcount!$Q$4),IF((K$5&lt;=12),(SUMPRODUCT(--(Headcount!$F$6:$F$92="Sales"),--(Headcount!$H$6:$H$92&gt;=Sales!K$3),Headcount!$Q$6:$Q$92,Headcount!$L$6:$L$92)/12),0),IF(YEAR(K$3)=YEAR(Headcount!$R$4),IF((K$5&lt;=12),(SUMPRODUCT(--(Headcount!$F$6:$F$92="Sales"),--(Headcount!$H$6:$H$92&gt;=Sales!K$3),Headcount!$R$6:$R$92,Headcount!$L$6:$L$92)/12),0),"New Year"))))),SUMIF('Dept. Cost Actuals'!$E$7:$E$176,"*bonus*",'Dept. Cost Actuals'!O$7:O$176))</f>
        <v>240</v>
      </c>
      <c r="L16" s="792">
        <f>IF(L$4="forecast",IF(YEAR(L$3)=YEAR(Headcount!$N$4),IF((L$5&lt;12),(SUMPRODUCT(--(Headcount!$F$6:$F$92="Sales"),--(Headcount!$H$6:$H$92&gt;=Sales!L$3),Headcount!$N$6:$N$92,Headcount!$L$6:$L$92)/12),0),IF(YEAR(L$3)=YEAR(Headcount!$O$4),IF((L$5&lt;=12),(SUMPRODUCT(--(Headcount!$F$6:$F$92="Sales"),--(Headcount!$H$6:$H$92&gt;=Sales!L$3),Headcount!$O$6:$O$92,Headcount!$L$6:$L$92)/12),0),IF(YEAR(L$3)=YEAR(Headcount!$P$4),IF((L$5&lt;=12),(SUMPRODUCT(--(Headcount!$F$6:$F$92="Sales"),--(Headcount!$H$6:$H$92&gt;=Sales!L$3),Headcount!$P$6:$P$92,Headcount!$L$6:$L$92)/12),0),IF(YEAR(L$3)=YEAR(Headcount!$Q$4),IF((L$5&lt;=12),(SUMPRODUCT(--(Headcount!$F$6:$F$92="Sales"),--(Headcount!$H$6:$H$92&gt;=Sales!L$3),Headcount!$Q$6:$Q$92,Headcount!$L$6:$L$92)/12),0),IF(YEAR(L$3)=YEAR(Headcount!$R$4),IF((L$5&lt;=12),(SUMPRODUCT(--(Headcount!$F$6:$F$92="Sales"),--(Headcount!$H$6:$H$92&gt;=Sales!L$3),Headcount!$R$6:$R$92,Headcount!$L$6:$L$92)/12),0),"New Year"))))),SUMIF('Dept. Cost Actuals'!$E$7:$E$176,"*bonus*",'Dept. Cost Actuals'!P$7:P$176))</f>
        <v>240</v>
      </c>
      <c r="M16" s="792">
        <f>IF(M$4="forecast",IF(YEAR(M$3)=YEAR(Headcount!$N$4),IF((M$5&lt;12),(SUMPRODUCT(--(Headcount!$F$6:$F$92="Sales"),--(Headcount!$H$6:$H$92&gt;=Sales!M$3),Headcount!$N$6:$N$92,Headcount!$L$6:$L$92)/12),0),IF(YEAR(M$3)=YEAR(Headcount!$O$4),IF((M$5&lt;=12),(SUMPRODUCT(--(Headcount!$F$6:$F$92="Sales"),--(Headcount!$H$6:$H$92&gt;=Sales!M$3),Headcount!$O$6:$O$92,Headcount!$L$6:$L$92)/12),0),IF(YEAR(M$3)=YEAR(Headcount!$P$4),IF((M$5&lt;=12),(SUMPRODUCT(--(Headcount!$F$6:$F$92="Sales"),--(Headcount!$H$6:$H$92&gt;=Sales!M$3),Headcount!$P$6:$P$92,Headcount!$L$6:$L$92)/12),0),IF(YEAR(M$3)=YEAR(Headcount!$Q$4),IF((M$5&lt;=12),(SUMPRODUCT(--(Headcount!$F$6:$F$92="Sales"),--(Headcount!$H$6:$H$92&gt;=Sales!M$3),Headcount!$Q$6:$Q$92,Headcount!$L$6:$L$92)/12),0),IF(YEAR(M$3)=YEAR(Headcount!$R$4),IF((M$5&lt;=12),(SUMPRODUCT(--(Headcount!$F$6:$F$92="Sales"),--(Headcount!$H$6:$H$92&gt;=Sales!M$3),Headcount!$R$6:$R$92,Headcount!$L$6:$L$92)/12),0),"New Year"))))),SUMIF('Dept. Cost Actuals'!$E$7:$E$176,"*bonus*",'Dept. Cost Actuals'!Q$7:Q$176))</f>
        <v>4792.87</v>
      </c>
      <c r="N16" s="792">
        <f>IF(N$4="forecast",IF(YEAR(N$3)=YEAR(Headcount!$N$4),IF((N$5&lt;12),(SUMPRODUCT(--(Headcount!$F$6:$F$92="Sales"),--(Headcount!$H$6:$H$92&gt;=Sales!N$3),Headcount!$N$6:$N$92,Headcount!$L$6:$L$92)/12),0),IF(YEAR(N$3)=YEAR(Headcount!$O$4),IF((N$5&lt;=12),(SUMPRODUCT(--(Headcount!$F$6:$F$92="Sales"),--(Headcount!$H$6:$H$92&gt;=Sales!N$3),Headcount!$O$6:$O$92,Headcount!$L$6:$L$92)/12),0),IF(YEAR(N$3)=YEAR(Headcount!$P$4),IF((N$5&lt;=12),(SUMPRODUCT(--(Headcount!$F$6:$F$92="Sales"),--(Headcount!$H$6:$H$92&gt;=Sales!N$3),Headcount!$P$6:$P$92,Headcount!$L$6:$L$92)/12),0),IF(YEAR(N$3)=YEAR(Headcount!$Q$4),IF((N$5&lt;=12),(SUMPRODUCT(--(Headcount!$F$6:$F$92="Sales"),--(Headcount!$H$6:$H$92&gt;=Sales!N$3),Headcount!$Q$6:$Q$92,Headcount!$L$6:$L$92)/12),0),IF(YEAR(N$3)=YEAR(Headcount!$R$4),IF((N$5&lt;=12),(SUMPRODUCT(--(Headcount!$F$6:$F$92="Sales"),--(Headcount!$H$6:$H$92&gt;=Sales!N$3),Headcount!$R$6:$R$92,Headcount!$L$6:$L$92)/12),0),"New Year"))))),SUMIF('Dept. Cost Actuals'!$E$7:$E$176,"*bonus*",'Dept. Cost Actuals'!R$7:R$176))</f>
        <v>22249.41</v>
      </c>
      <c r="O16" s="792">
        <f>IF(O$4="forecast",IF(YEAR(O$3)=YEAR(Headcount!$N$4),IF((O$5&lt;12),(SUMPRODUCT(--(Headcount!$F$6:$F$92="Sales"),--(Headcount!$H$6:$H$92&gt;=Sales!O$3),Headcount!$N$6:$N$92,Headcount!$L$6:$L$92)/12),0),IF(YEAR(O$3)=YEAR(Headcount!$O$4),IF((O$5&lt;=12),(SUMPRODUCT(--(Headcount!$F$6:$F$92="Sales"),--(Headcount!$H$6:$H$92&gt;=Sales!O$3),Headcount!$O$6:$O$92,Headcount!$L$6:$L$92)/12),0),IF(YEAR(O$3)=YEAR(Headcount!$P$4),IF((O$5&lt;=12),(SUMPRODUCT(--(Headcount!$F$6:$F$92="Sales"),--(Headcount!$H$6:$H$92&gt;=Sales!O$3),Headcount!$P$6:$P$92,Headcount!$L$6:$L$92)/12),0),IF(YEAR(O$3)=YEAR(Headcount!$Q$4),IF((O$5&lt;=12),(SUMPRODUCT(--(Headcount!$F$6:$F$92="Sales"),--(Headcount!$H$6:$H$92&gt;=Sales!O$3),Headcount!$Q$6:$Q$92,Headcount!$L$6:$L$92)/12),0),IF(YEAR(O$3)=YEAR(Headcount!$R$4),IF((O$5&lt;=12),(SUMPRODUCT(--(Headcount!$F$6:$F$92="Sales"),--(Headcount!$H$6:$H$92&gt;=Sales!O$3),Headcount!$R$6:$R$92,Headcount!$L$6:$L$92)/12),0),"New Year"))))),SUMIF('Dept. Cost Actuals'!$E$7:$E$176,"*bonus*",'Dept. Cost Actuals'!S$7:S$176))</f>
        <v>16338.01</v>
      </c>
      <c r="P16" s="792">
        <f>IF(P$4="forecast",IF(YEAR(P$3)=YEAR(Headcount!$N$4),IF((P$5&lt;12),(SUMPRODUCT(--(Headcount!$F$6:$F$92="Sales"),--(Headcount!$H$6:$H$92&gt;=Sales!P$3),Headcount!$N$6:$N$92,Headcount!$L$6:$L$92)/12),0),IF(YEAR(P$3)=YEAR(Headcount!$O$4),IF((P$5&lt;=12),(SUMPRODUCT(--(Headcount!$F$6:$F$92="Sales"),--(Headcount!$H$6:$H$92&gt;=Sales!P$3),Headcount!$O$6:$O$92,Headcount!$L$6:$L$92)/12),0),IF(YEAR(P$3)=YEAR(Headcount!$P$4),IF((P$5&lt;=12),(SUMPRODUCT(--(Headcount!$F$6:$F$92="Sales"),--(Headcount!$H$6:$H$92&gt;=Sales!P$3),Headcount!$P$6:$P$92,Headcount!$L$6:$L$92)/12),0),IF(YEAR(P$3)=YEAR(Headcount!$Q$4),IF((P$5&lt;=12),(SUMPRODUCT(--(Headcount!$F$6:$F$92="Sales"),--(Headcount!$H$6:$H$92&gt;=Sales!P$3),Headcount!$Q$6:$Q$92,Headcount!$L$6:$L$92)/12),0),IF(YEAR(P$3)=YEAR(Headcount!$R$4),IF((P$5&lt;=12),(SUMPRODUCT(--(Headcount!$F$6:$F$92="Sales"),--(Headcount!$H$6:$H$92&gt;=Sales!P$3),Headcount!$R$6:$R$92,Headcount!$L$6:$L$92)/12),0),"New Year"))))),SUMIF('Dept. Cost Actuals'!$E$7:$E$176,"*bonus*",'Dept. Cost Actuals'!T$7:T$176))</f>
        <v>310</v>
      </c>
      <c r="Q16" s="792">
        <f>IF(Q$4="forecast",IF(YEAR(Q$3)=YEAR(Headcount!$N$4),IF((Q$5&lt;12),(SUMPRODUCT(--(Headcount!$F$6:$F$92="Sales"),--(Headcount!$H$6:$H$92&gt;=Sales!Q$3),Headcount!$N$6:$N$92,Headcount!$L$6:$L$92)/12),0),IF(YEAR(Q$3)=YEAR(Headcount!$O$4),IF((Q$5&lt;=12),(SUMPRODUCT(--(Headcount!$F$6:$F$92="Sales"),--(Headcount!$H$6:$H$92&gt;=Sales!Q$3),Headcount!$O$6:$O$92,Headcount!$L$6:$L$92)/12),0),IF(YEAR(Q$3)=YEAR(Headcount!$P$4),IF((Q$5&lt;=12),(SUMPRODUCT(--(Headcount!$F$6:$F$92="Sales"),--(Headcount!$H$6:$H$92&gt;=Sales!Q$3),Headcount!$P$6:$P$92,Headcount!$L$6:$L$92)/12),0),IF(YEAR(Q$3)=YEAR(Headcount!$Q$4),IF((Q$5&lt;=12),(SUMPRODUCT(--(Headcount!$F$6:$F$92="Sales"),--(Headcount!$H$6:$H$92&gt;=Sales!Q$3),Headcount!$Q$6:$Q$92,Headcount!$L$6:$L$92)/12),0),IF(YEAR(Q$3)=YEAR(Headcount!$R$4),IF((Q$5&lt;=12),(SUMPRODUCT(--(Headcount!$F$6:$F$92="Sales"),--(Headcount!$H$6:$H$92&gt;=Sales!Q$3),Headcount!$R$6:$R$92,Headcount!$L$6:$L$92)/12),0),"New Year"))))),SUMIF('Dept. Cost Actuals'!$E$7:$E$176,"*bonus*",'Dept. Cost Actuals'!U$7:U$176))</f>
        <v>2963.9</v>
      </c>
      <c r="R16" s="792">
        <f>IF(R$4="forecast",IF(YEAR(R$3)=YEAR(Headcount!$N$4),IF((R$5&lt;12),(SUMPRODUCT(--(Headcount!$F$6:$F$92="Sales"),--(Headcount!$H$6:$H$92&gt;=Sales!R$3),Headcount!$N$6:$N$92,Headcount!$L$6:$L$92)/12),0),IF(YEAR(R$3)=YEAR(Headcount!$O$4),IF((R$5&lt;=12),(SUMPRODUCT(--(Headcount!$F$6:$F$92="Sales"),--(Headcount!$H$6:$H$92&gt;=Sales!R$3),Headcount!$O$6:$O$92,Headcount!$L$6:$L$92)/12),0),IF(YEAR(R$3)=YEAR(Headcount!$P$4),IF((R$5&lt;=12),(SUMPRODUCT(--(Headcount!$F$6:$F$92="Sales"),--(Headcount!$H$6:$H$92&gt;=Sales!R$3),Headcount!$P$6:$P$92,Headcount!$L$6:$L$92)/12),0),IF(YEAR(R$3)=YEAR(Headcount!$Q$4),IF((R$5&lt;=12),(SUMPRODUCT(--(Headcount!$F$6:$F$92="Sales"),--(Headcount!$H$6:$H$92&gt;=Sales!R$3),Headcount!$Q$6:$Q$92,Headcount!$L$6:$L$92)/12),0),IF(YEAR(R$3)=YEAR(Headcount!$R$4),IF((R$5&lt;=12),(SUMPRODUCT(--(Headcount!$F$6:$F$92="Sales"),--(Headcount!$H$6:$H$92&gt;=Sales!R$3),Headcount!$R$6:$R$92,Headcount!$L$6:$L$92)/12),0),"New Year"))))),SUMIF('Dept. Cost Actuals'!$E$7:$E$176,"*bonus*",'Dept. Cost Actuals'!V$7:V$176))</f>
        <v>12928.68</v>
      </c>
      <c r="S16" s="792">
        <f>IF(S$4="forecast",IF(YEAR(S$3)=YEAR(Headcount!$N$4),IF((S$5&lt;12),(SUMPRODUCT(--(Headcount!$F$6:$F$92="Sales"),--(Headcount!$H$6:$H$92&gt;=Sales!S$3),Headcount!$N$6:$N$92,Headcount!$L$6:$L$92)/12),0),IF(YEAR(S$3)=YEAR(Headcount!$O$4),IF((S$5&lt;=12),(SUMPRODUCT(--(Headcount!$F$6:$F$92="Sales"),--(Headcount!$H$6:$H$92&gt;=Sales!S$3),Headcount!$O$6:$O$92,Headcount!$L$6:$L$92)/12),0),IF(YEAR(S$3)=YEAR(Headcount!$P$4),IF((S$5&lt;=12),(SUMPRODUCT(--(Headcount!$F$6:$F$92="Sales"),--(Headcount!$H$6:$H$92&gt;=Sales!S$3),Headcount!$P$6:$P$92,Headcount!$L$6:$L$92)/12),0),IF(YEAR(S$3)=YEAR(Headcount!$Q$4),IF((S$5&lt;=12),(SUMPRODUCT(--(Headcount!$F$6:$F$92="Sales"),--(Headcount!$H$6:$H$92&gt;=Sales!S$3),Headcount!$Q$6:$Q$92,Headcount!$L$6:$L$92)/12),0),IF(YEAR(S$3)=YEAR(Headcount!$R$4),IF((S$5&lt;=12),(SUMPRODUCT(--(Headcount!$F$6:$F$92="Sales"),--(Headcount!$H$6:$H$92&gt;=Sales!S$3),Headcount!$R$6:$R$92,Headcount!$L$6:$L$92)/12),0),"New Year"))))),SUMIF('Dept. Cost Actuals'!$E$7:$E$176,"*bonus*",'Dept. Cost Actuals'!W$7:W$176))</f>
        <v>210</v>
      </c>
      <c r="T16" s="792">
        <f>IF(T$4="forecast",IF(YEAR(T$3)=YEAR(Headcount!$N$4),IF((T$5&lt;12),(SUMPRODUCT(--(Headcount!$F$6:$F$92="Sales"),--(Headcount!$H$6:$H$92&gt;=Sales!T$3),Headcount!$N$6:$N$92,Headcount!$L$6:$L$92)/12),0),IF(YEAR(T$3)=YEAR(Headcount!$O$4),IF((T$5&lt;=12),(SUMPRODUCT(--(Headcount!$F$6:$F$92="Sales"),--(Headcount!$H$6:$H$92&gt;=Sales!T$3),Headcount!$O$6:$O$92,Headcount!$L$6:$L$92)/12),0),IF(YEAR(T$3)=YEAR(Headcount!$P$4),IF((T$5&lt;=12),(SUMPRODUCT(--(Headcount!$F$6:$F$92="Sales"),--(Headcount!$H$6:$H$92&gt;=Sales!T$3),Headcount!$P$6:$P$92,Headcount!$L$6:$L$92)/12),0),IF(YEAR(T$3)=YEAR(Headcount!$Q$4),IF((T$5&lt;=12),(SUMPRODUCT(--(Headcount!$F$6:$F$92="Sales"),--(Headcount!$H$6:$H$92&gt;=Sales!T$3),Headcount!$Q$6:$Q$92,Headcount!$L$6:$L$92)/12),0),IF(YEAR(T$3)=YEAR(Headcount!$R$4),IF((T$5&lt;=12),(SUMPRODUCT(--(Headcount!$F$6:$F$92="Sales"),--(Headcount!$H$6:$H$92&gt;=Sales!T$3),Headcount!$R$6:$R$92,Headcount!$L$6:$L$92)/12),0),"New Year"))))),SUMIF('Dept. Cost Actuals'!$E$7:$E$176,"*bonus*",'Dept. Cost Actuals'!X$7:X$176))</f>
        <v>410</v>
      </c>
      <c r="U16" s="792">
        <f>IF(U$4="forecast",IF(YEAR(U$3)=YEAR(Headcount!$N$4),IF((U$5&lt;12),(SUMPRODUCT(--(Headcount!$F$6:$F$92="Sales"),--(Headcount!$H$6:$H$92&gt;=Sales!U$3),Headcount!$N$6:$N$92,Headcount!$L$6:$L$92)/12),0),IF(YEAR(U$3)=YEAR(Headcount!$O$4),IF((U$5&lt;=12),(SUMPRODUCT(--(Headcount!$F$6:$F$92="Sales"),--(Headcount!$H$6:$H$92&gt;=Sales!U$3),Headcount!$O$6:$O$92,Headcount!$L$6:$L$92)/12),0),IF(YEAR(U$3)=YEAR(Headcount!$P$4),IF((U$5&lt;=12),(SUMPRODUCT(--(Headcount!$F$6:$F$92="Sales"),--(Headcount!$H$6:$H$92&gt;=Sales!U$3),Headcount!$P$6:$P$92,Headcount!$L$6:$L$92)/12),0),IF(YEAR(U$3)=YEAR(Headcount!$Q$4),IF((U$5&lt;=12),(SUMPRODUCT(--(Headcount!$F$6:$F$92="Sales"),--(Headcount!$H$6:$H$92&gt;=Sales!U$3),Headcount!$Q$6:$Q$92,Headcount!$L$6:$L$92)/12),0),IF(YEAR(U$3)=YEAR(Headcount!$R$4),IF((U$5&lt;=12),(SUMPRODUCT(--(Headcount!$F$6:$F$92="Sales"),--(Headcount!$H$6:$H$92&gt;=Sales!U$3),Headcount!$R$6:$R$92,Headcount!$L$6:$L$92)/12),0),"New Year"))))),SUMIF('Dept. Cost Actuals'!$E$7:$E$176,"*bonus*",'Dept. Cost Actuals'!Y$7:Y$176))</f>
        <v>17270.03</v>
      </c>
      <c r="V16" s="792">
        <f>IF(V$4="forecast",IF(YEAR(V$3)=YEAR(Headcount!$N$4),IF((V$5&lt;12),(SUMPRODUCT(--(Headcount!$F$6:$F$92="Sales"),--(Headcount!$H$6:$H$92&gt;=Sales!V$3),Headcount!$N$6:$N$92,Headcount!$L$6:$L$92)/12),0),IF(YEAR(V$3)=YEAR(Headcount!$O$4),IF((V$5&lt;=12),(SUMPRODUCT(--(Headcount!$F$6:$F$92="Sales"),--(Headcount!$H$6:$H$92&gt;=Sales!V$3),Headcount!$O$6:$O$92,Headcount!$L$6:$L$92)/12),0),IF(YEAR(V$3)=YEAR(Headcount!$P$4),IF((V$5&lt;=12),(SUMPRODUCT(--(Headcount!$F$6:$F$92="Sales"),--(Headcount!$H$6:$H$92&gt;=Sales!V$3),Headcount!$P$6:$P$92,Headcount!$L$6:$L$92)/12),0),IF(YEAR(V$3)=YEAR(Headcount!$Q$4),IF((V$5&lt;=12),(SUMPRODUCT(--(Headcount!$F$6:$F$92="Sales"),--(Headcount!$H$6:$H$92&gt;=Sales!V$3),Headcount!$Q$6:$Q$92,Headcount!$L$6:$L$92)/12),0),IF(YEAR(V$3)=YEAR(Headcount!$R$4),IF((V$5&lt;=12),(SUMPRODUCT(--(Headcount!$F$6:$F$92="Sales"),--(Headcount!$H$6:$H$92&gt;=Sales!V$3),Headcount!$R$6:$R$92,Headcount!$L$6:$L$92)/12),0),"New Year"))))),SUMIF('Dept. Cost Actuals'!$E$7:$E$176,"*bonus*",'Dept. Cost Actuals'!Z$7:Z$176))</f>
        <v>-1613.68</v>
      </c>
      <c r="W16" s="792">
        <f>IF(W$4="forecast",IF(YEAR(W$3)=YEAR(Headcount!$N$4),IF((W$5&lt;12),(SUMPRODUCT(--(Headcount!$F$6:$F$92="Sales"),--(Headcount!$H$6:$H$92&gt;=Sales!W$3),Headcount!$N$6:$N$92,Headcount!$L$6:$L$92)/12),0),IF(YEAR(W$3)=YEAR(Headcount!$O$4),IF((W$5&lt;=12),(SUMPRODUCT(--(Headcount!$F$6:$F$92="Sales"),--(Headcount!$H$6:$H$92&gt;=Sales!W$3),Headcount!$O$6:$O$92,Headcount!$L$6:$L$92)/12),0),IF(YEAR(W$3)=YEAR(Headcount!$P$4),IF((W$5&lt;=12),(SUMPRODUCT(--(Headcount!$F$6:$F$92="Sales"),--(Headcount!$H$6:$H$92&gt;=Sales!W$3),Headcount!$P$6:$P$92,Headcount!$L$6:$L$92)/12),0),IF(YEAR(W$3)=YEAR(Headcount!$Q$4),IF((W$5&lt;=12),(SUMPRODUCT(--(Headcount!$F$6:$F$92="Sales"),--(Headcount!$H$6:$H$92&gt;=Sales!W$3),Headcount!$Q$6:$Q$92,Headcount!$L$6:$L$92)/12),0),IF(YEAR(W$3)=YEAR(Headcount!$R$4),IF((W$5&lt;=12),(SUMPRODUCT(--(Headcount!$F$6:$F$92="Sales"),--(Headcount!$H$6:$H$92&gt;=Sales!W$3),Headcount!$R$6:$R$92,Headcount!$L$6:$L$92)/12),0),"New Year"))))),SUMIF('Dept. Cost Actuals'!$E$7:$E$176,"*bonus*",'Dept. Cost Actuals'!AA$7:AA$176))</f>
        <v>2319.4699999999998</v>
      </c>
      <c r="X16" s="792">
        <f>IF(X$4="forecast",IF(YEAR(X$3)=YEAR(Headcount!$N$4),IF((X$5&lt;12),(SUMPRODUCT(--(Headcount!$F$6:$F$92="Sales"),--(Headcount!$H$6:$H$92&gt;=Sales!X$3),Headcount!$N$6:$N$92,Headcount!$L$6:$L$92)/12),0),IF(YEAR(X$3)=YEAR(Headcount!$O$4),IF((X$5&lt;=12),(SUMPRODUCT(--(Headcount!$F$6:$F$92="Sales"),--(Headcount!$H$6:$H$92&gt;=Sales!X$3),Headcount!$O$6:$O$92,Headcount!$L$6:$L$92)/12),0),IF(YEAR(X$3)=YEAR(Headcount!$P$4),IF((X$5&lt;=12),(SUMPRODUCT(--(Headcount!$F$6:$F$92="Sales"),--(Headcount!$H$6:$H$92&gt;=Sales!X$3),Headcount!$P$6:$P$92,Headcount!$L$6:$L$92)/12),0),IF(YEAR(X$3)=YEAR(Headcount!$Q$4),IF((X$5&lt;=12),(SUMPRODUCT(--(Headcount!$F$6:$F$92="Sales"),--(Headcount!$H$6:$H$92&gt;=Sales!X$3),Headcount!$Q$6:$Q$92,Headcount!$L$6:$L$92)/12),0),IF(YEAR(X$3)=YEAR(Headcount!$R$4),IF((X$5&lt;=12),(SUMPRODUCT(--(Headcount!$F$6:$F$92="Sales"),--(Headcount!$H$6:$H$92&gt;=Sales!X$3),Headcount!$R$6:$R$92,Headcount!$L$6:$L$92)/12),0),"New Year"))))),SUMIF('Dept. Cost Actuals'!$E$7:$E$176,"*bonus*",'Dept. Cost Actuals'!AB$7:AB$176))</f>
        <v>21234.01</v>
      </c>
      <c r="Y16" s="792">
        <f>IF(Y$4="forecast",IF(YEAR(Y$3)=YEAR(Headcount!$N$4),IF((Y$5&lt;12),(SUMPRODUCT(--(Headcount!$F$6:$F$92="Sales"),--(Headcount!$H$6:$H$92&gt;=Sales!Y$3),Headcount!$N$6:$N$92,Headcount!$L$6:$L$92)/12),0),IF(YEAR(Y$3)=YEAR(Headcount!$O$4),IF((Y$5&lt;=12),(SUMPRODUCT(--(Headcount!$F$6:$F$92="Sales"),--(Headcount!$H$6:$H$92&gt;=Sales!Y$3),Headcount!$O$6:$O$92,Headcount!$L$6:$L$92)/12),0),IF(YEAR(Y$3)=YEAR(Headcount!$P$4),IF((Y$5&lt;=12),(SUMPRODUCT(--(Headcount!$F$6:$F$92="Sales"),--(Headcount!$H$6:$H$92&gt;=Sales!Y$3),Headcount!$P$6:$P$92,Headcount!$L$6:$L$92)/12),0),IF(YEAR(Y$3)=YEAR(Headcount!$Q$4),IF((Y$5&lt;=12),(SUMPRODUCT(--(Headcount!$F$6:$F$92="Sales"),--(Headcount!$H$6:$H$92&gt;=Sales!Y$3),Headcount!$Q$6:$Q$92,Headcount!$L$6:$L$92)/12),0),IF(YEAR(Y$3)=YEAR(Headcount!$R$4),IF((Y$5&lt;=12),(SUMPRODUCT(--(Headcount!$F$6:$F$92="Sales"),--(Headcount!$H$6:$H$92&gt;=Sales!Y$3),Headcount!$R$6:$R$92,Headcount!$L$6:$L$92)/12),0),"New Year"))))),SUMIF('Dept. Cost Actuals'!$E$7:$E$176,"*bonus*",'Dept. Cost Actuals'!AC$7:AC$176))</f>
        <v>682.02</v>
      </c>
      <c r="Z16" s="792">
        <f>IF(Z$4="forecast",IF(YEAR(Z$3)=YEAR(Headcount!$N$4),IF((Z$5&lt;12),(SUMPRODUCT(--(Headcount!$F$6:$F$92="Sales"),--(Headcount!$H$6:$H$92&gt;=Sales!Z$3),Headcount!$N$6:$N$92,Headcount!$L$6:$L$92)/12),0),IF(YEAR(Z$3)=YEAR(Headcount!$O$4),IF((Z$5&lt;=12),(SUMPRODUCT(--(Headcount!$F$6:$F$92="Sales"),--(Headcount!$H$6:$H$92&gt;=Sales!Z$3),Headcount!$O$6:$O$92,Headcount!$L$6:$L$92)/12),0),IF(YEAR(Z$3)=YEAR(Headcount!$P$4),IF((Z$5&lt;=12),(SUMPRODUCT(--(Headcount!$F$6:$F$92="Sales"),--(Headcount!$H$6:$H$92&gt;=Sales!Z$3),Headcount!$P$6:$P$92,Headcount!$L$6:$L$92)/12),0),IF(YEAR(Z$3)=YEAR(Headcount!$Q$4),IF((Z$5&lt;=12),(SUMPRODUCT(--(Headcount!$F$6:$F$92="Sales"),--(Headcount!$H$6:$H$92&gt;=Sales!Z$3),Headcount!$Q$6:$Q$92,Headcount!$L$6:$L$92)/12),0),IF(YEAR(Z$3)=YEAR(Headcount!$R$4),IF((Z$5&lt;=12),(SUMPRODUCT(--(Headcount!$F$6:$F$92="Sales"),--(Headcount!$H$6:$H$92&gt;=Sales!Z$3),Headcount!$R$6:$R$92,Headcount!$L$6:$L$92)/12),0),"New Year"))))),SUMIF('Dept. Cost Actuals'!$E$7:$E$176,"*bonus*",'Dept. Cost Actuals'!AD$7:AD$176))</f>
        <v>87880.639999999999</v>
      </c>
      <c r="AA16" s="792">
        <f>IF(AA$4="forecast",IF(YEAR(AA$3)=YEAR(Headcount!$N$4),IF((AA$5&lt;12),(SUMPRODUCT(--(Headcount!$F$6:$F$92="Sales"),--(Headcount!$H$6:$H$92&gt;=Sales!AA$3),Headcount!$N$6:$N$92,Headcount!$L$6:$L$92)/12),0),IF(YEAR(AA$3)=YEAR(Headcount!$O$4),IF((AA$5&lt;=12),(SUMPRODUCT(--(Headcount!$F$6:$F$92="Sales"),--(Headcount!$H$6:$H$92&gt;=Sales!AA$3),Headcount!$O$6:$O$92,Headcount!$L$6:$L$92)/12),0),IF(YEAR(AA$3)=YEAR(Headcount!$P$4),IF((AA$5&lt;=12),(SUMPRODUCT(--(Headcount!$F$6:$F$92="Sales"),--(Headcount!$H$6:$H$92&gt;=Sales!AA$3),Headcount!$P$6:$P$92,Headcount!$L$6:$L$92)/12),0),IF(YEAR(AA$3)=YEAR(Headcount!$Q$4),IF((AA$5&lt;=12),(SUMPRODUCT(--(Headcount!$F$6:$F$92="Sales"),--(Headcount!$H$6:$H$92&gt;=Sales!AA$3),Headcount!$Q$6:$Q$92,Headcount!$L$6:$L$92)/12),0),IF(YEAR(AA$3)=YEAR(Headcount!$R$4),IF((AA$5&lt;=12),(SUMPRODUCT(--(Headcount!$F$6:$F$92="Sales"),--(Headcount!$H$6:$H$92&gt;=Sales!AA$3),Headcount!$R$6:$R$92,Headcount!$L$6:$L$92)/12),0),"New Year"))))),SUMIF('Dept. Cost Actuals'!$E$7:$E$176,"*bonus*",'Dept. Cost Actuals'!AE$7:AE$176))</f>
        <v>9961.77</v>
      </c>
      <c r="AB16" s="792">
        <f>IF(AB$4="forecast",IF(YEAR(AB$3)=YEAR(Headcount!$N$4),IF((AB$5&lt;12),(SUMPRODUCT(--(Headcount!$F$6:$F$92="Sales"),--(Headcount!$H$6:$H$92&gt;=Sales!AB$3),Headcount!$N$6:$N$92,Headcount!$L$6:$L$92)/12),0),IF(YEAR(AB$3)=YEAR(Headcount!$O$4),IF((AB$5&lt;=12),(SUMPRODUCT(--(Headcount!$F$6:$F$92="Sales"),--(Headcount!$H$6:$H$92&gt;=Sales!AB$3),Headcount!$O$6:$O$92,Headcount!$L$6:$L$92)/12),0),IF(YEAR(AB$3)=YEAR(Headcount!$P$4),IF((AB$5&lt;=12),(SUMPRODUCT(--(Headcount!$F$6:$F$92="Sales"),--(Headcount!$H$6:$H$92&gt;=Sales!AB$3),Headcount!$P$6:$P$92,Headcount!$L$6:$L$92)/12),0),IF(YEAR(AB$3)=YEAR(Headcount!$Q$4),IF((AB$5&lt;=12),(SUMPRODUCT(--(Headcount!$F$6:$F$92="Sales"),--(Headcount!$H$6:$H$92&gt;=Sales!AB$3),Headcount!$Q$6:$Q$92,Headcount!$L$6:$L$92)/12),0),IF(YEAR(AB$3)=YEAR(Headcount!$R$4),IF((AB$5&lt;=12),(SUMPRODUCT(--(Headcount!$F$6:$F$92="Sales"),--(Headcount!$H$6:$H$92&gt;=Sales!AB$3),Headcount!$R$6:$R$92,Headcount!$L$6:$L$92)/12),0),"New Year"))))),SUMIF('Dept. Cost Actuals'!$E$7:$E$176,"*bonus*",'Dept. Cost Actuals'!AF$7:AF$176))</f>
        <v>9780.27</v>
      </c>
      <c r="AC16" s="792">
        <f>IF(AC$4="forecast",IF(YEAR(AC$3)=YEAR(Headcount!$N$4),IF((AC$5&lt;12),(SUMPRODUCT(--(Headcount!$F$6:$F$92="Sales"),--(Headcount!$H$6:$H$92&gt;=Sales!AC$3),Headcount!$N$6:$N$92,Headcount!$L$6:$L$92)/12),0),IF(YEAR(AC$3)=YEAR(Headcount!$O$4),IF((AC$5&lt;=12),(SUMPRODUCT(--(Headcount!$F$6:$F$92="Sales"),--(Headcount!$H$6:$H$92&gt;=Sales!AC$3),Headcount!$O$6:$O$92,Headcount!$L$6:$L$92)/12),0),IF(YEAR(AC$3)=YEAR(Headcount!$P$4),IF((AC$5&lt;=12),(SUMPRODUCT(--(Headcount!$F$6:$F$92="Sales"),--(Headcount!$H$6:$H$92&gt;=Sales!AC$3),Headcount!$P$6:$P$92,Headcount!$L$6:$L$92)/12),0),IF(YEAR(AC$3)=YEAR(Headcount!$Q$4),IF((AC$5&lt;=12),(SUMPRODUCT(--(Headcount!$F$6:$F$92="Sales"),--(Headcount!$H$6:$H$92&gt;=Sales!AC$3),Headcount!$Q$6:$Q$92,Headcount!$L$6:$L$92)/12),0),IF(YEAR(AC$3)=YEAR(Headcount!$R$4),IF((AC$5&lt;=12),(SUMPRODUCT(--(Headcount!$F$6:$F$92="Sales"),--(Headcount!$H$6:$H$92&gt;=Sales!AC$3),Headcount!$R$6:$R$92,Headcount!$L$6:$L$92)/12),0),"New Year"))))),SUMIF('Dept. Cost Actuals'!$E$7:$E$176,"*bonus*",'Dept. Cost Actuals'!AG$7:AG$176))</f>
        <v>10900.77</v>
      </c>
      <c r="AD16" s="792">
        <f>IF(AD$4="forecast",IF(YEAR(AD$3)=YEAR(Headcount!$N$4),IF((AD$5&lt;12),(SUMPRODUCT(--(Headcount!$F$6:$F$92="Sales"),--(Headcount!$H$6:$H$92&gt;=Sales!AD$3),Headcount!$N$6:$N$92,Headcount!$L$6:$L$92)/12),0),IF(YEAR(AD$3)=YEAR(Headcount!$O$4),IF((AD$5&lt;=12),(SUMPRODUCT(--(Headcount!$F$6:$F$92="Sales"),--(Headcount!$H$6:$H$92&gt;=Sales!AD$3),Headcount!$O$6:$O$92,Headcount!$L$6:$L$92)/12),0),IF(YEAR(AD$3)=YEAR(Headcount!$P$4),IF((AD$5&lt;=12),(SUMPRODUCT(--(Headcount!$F$6:$F$92="Sales"),--(Headcount!$H$6:$H$92&gt;=Sales!AD$3),Headcount!$P$6:$P$92,Headcount!$L$6:$L$92)/12),0),IF(YEAR(AD$3)=YEAR(Headcount!$Q$4),IF((AD$5&lt;=12),(SUMPRODUCT(--(Headcount!$F$6:$F$92="Sales"),--(Headcount!$H$6:$H$92&gt;=Sales!AD$3),Headcount!$Q$6:$Q$92,Headcount!$L$6:$L$92)/12),0),IF(YEAR(AD$3)=YEAR(Headcount!$R$4),IF((AD$5&lt;=12),(SUMPRODUCT(--(Headcount!$F$6:$F$92="Sales"),--(Headcount!$H$6:$H$92&gt;=Sales!AD$3),Headcount!$R$6:$R$92,Headcount!$L$6:$L$92)/12),0),"New Year"))))),SUMIF('Dept. Cost Actuals'!$E$7:$E$176,"*bonus*",'Dept. Cost Actuals'!AH$7:AH$176))</f>
        <v>19070.833499999997</v>
      </c>
      <c r="AE16" s="792">
        <f>IF(AE$4="forecast",IF(YEAR(AE$3)=YEAR(Headcount!$N$4),IF((AE$5&lt;12),(SUMPRODUCT(--(Headcount!$F$6:$F$92="Sales"),--(Headcount!$H$6:$H$92&gt;=Sales!AE$3),Headcount!$N$6:$N$92,Headcount!$L$6:$L$92)/12),0),IF(YEAR(AE$3)=YEAR(Headcount!$O$4),IF((AE$5&lt;=12),(SUMPRODUCT(--(Headcount!$F$6:$F$92="Sales"),--(Headcount!$H$6:$H$92&gt;=Sales!AE$3),Headcount!$O$6:$O$92,Headcount!$L$6:$L$92)/12),0),IF(YEAR(AE$3)=YEAR(Headcount!$P$4),IF((AE$5&lt;=12),(SUMPRODUCT(--(Headcount!$F$6:$F$92="Sales"),--(Headcount!$H$6:$H$92&gt;=Sales!AE$3),Headcount!$P$6:$P$92,Headcount!$L$6:$L$92)/12),0),IF(YEAR(AE$3)=YEAR(Headcount!$Q$4),IF((AE$5&lt;=12),(SUMPRODUCT(--(Headcount!$F$6:$F$92="Sales"),--(Headcount!$H$6:$H$92&gt;=Sales!AE$3),Headcount!$Q$6:$Q$92,Headcount!$L$6:$L$92)/12),0),IF(YEAR(AE$3)=YEAR(Headcount!$R$4),IF((AE$5&lt;=12),(SUMPRODUCT(--(Headcount!$F$6:$F$92="Sales"),--(Headcount!$H$6:$H$92&gt;=Sales!AE$3),Headcount!$R$6:$R$92,Headcount!$L$6:$L$92)/12),0),"New Year"))))),SUMIF('Dept. Cost Actuals'!$E$7:$E$176,"*bonus*",'Dept. Cost Actuals'!AI$7:AI$176))</f>
        <v>19070.833499999997</v>
      </c>
      <c r="AF16" s="792">
        <f>IF(AF$4="forecast",IF(YEAR(AF$3)=YEAR(Headcount!$N$4),IF((AF$5&lt;12),(SUMPRODUCT(--(Headcount!$F$6:$F$92="Sales"),--(Headcount!$H$6:$H$92&gt;=Sales!AF$3),Headcount!$N$6:$N$92,Headcount!$L$6:$L$92)/12),0),IF(YEAR(AF$3)=YEAR(Headcount!$O$4),IF((AF$5&lt;=12),(SUMPRODUCT(--(Headcount!$F$6:$F$92="Sales"),--(Headcount!$H$6:$H$92&gt;=Sales!AF$3),Headcount!$O$6:$O$92,Headcount!$L$6:$L$92)/12),0),IF(YEAR(AF$3)=YEAR(Headcount!$P$4),IF((AF$5&lt;=12),(SUMPRODUCT(--(Headcount!$F$6:$F$92="Sales"),--(Headcount!$H$6:$H$92&gt;=Sales!AF$3),Headcount!$P$6:$P$92,Headcount!$L$6:$L$92)/12),0),IF(YEAR(AF$3)=YEAR(Headcount!$Q$4),IF((AF$5&lt;=12),(SUMPRODUCT(--(Headcount!$F$6:$F$92="Sales"),--(Headcount!$H$6:$H$92&gt;=Sales!AF$3),Headcount!$Q$6:$Q$92,Headcount!$L$6:$L$92)/12),0),IF(YEAR(AF$3)=YEAR(Headcount!$R$4),IF((AF$5&lt;=12),(SUMPRODUCT(--(Headcount!$F$6:$F$92="Sales"),--(Headcount!$H$6:$H$92&gt;=Sales!AF$3),Headcount!$R$6:$R$92,Headcount!$L$6:$L$92)/12),0),"New Year"))))),SUMIF('Dept. Cost Actuals'!$E$7:$E$176,"*bonus*",'Dept. Cost Actuals'!AJ$7:AJ$176))</f>
        <v>19070.833499999997</v>
      </c>
      <c r="AG16" s="792">
        <f>IF(AG$4="forecast",IF(YEAR(AG$3)=YEAR(Headcount!$N$4),IF((AG$5&lt;12),(SUMPRODUCT(--(Headcount!$F$6:$F$92="Sales"),--(Headcount!$H$6:$H$92&gt;=Sales!AG$3),Headcount!$N$6:$N$92,Headcount!$L$6:$L$92)/12),0),IF(YEAR(AG$3)=YEAR(Headcount!$O$4),IF((AG$5&lt;=12),(SUMPRODUCT(--(Headcount!$F$6:$F$92="Sales"),--(Headcount!$H$6:$H$92&gt;=Sales!AG$3),Headcount!$O$6:$O$92,Headcount!$L$6:$L$92)/12),0),IF(YEAR(AG$3)=YEAR(Headcount!$P$4),IF((AG$5&lt;=12),(SUMPRODUCT(--(Headcount!$F$6:$F$92="Sales"),--(Headcount!$H$6:$H$92&gt;=Sales!AG$3),Headcount!$P$6:$P$92,Headcount!$L$6:$L$92)/12),0),IF(YEAR(AG$3)=YEAR(Headcount!$Q$4),IF((AG$5&lt;=12),(SUMPRODUCT(--(Headcount!$F$6:$F$92="Sales"),--(Headcount!$H$6:$H$92&gt;=Sales!AG$3),Headcount!$Q$6:$Q$92,Headcount!$L$6:$L$92)/12),0),IF(YEAR(AG$3)=YEAR(Headcount!$R$4),IF((AG$5&lt;=12),(SUMPRODUCT(--(Headcount!$F$6:$F$92="Sales"),--(Headcount!$H$6:$H$92&gt;=Sales!AG$3),Headcount!$R$6:$R$92,Headcount!$L$6:$L$92)/12),0),"New Year"))))),SUMIF('Dept. Cost Actuals'!$E$7:$E$176,"*bonus*",'Dept. Cost Actuals'!AK$7:AK$176))</f>
        <v>19070.833499999997</v>
      </c>
      <c r="AH16" s="792">
        <f>IF(AH$4="forecast",IF(YEAR(AH$3)=YEAR(Headcount!$N$4),IF((AH$5&lt;12),(SUMPRODUCT(--(Headcount!$F$6:$F$92="Sales"),--(Headcount!$H$6:$H$92&gt;=Sales!AH$3),Headcount!$N$6:$N$92,Headcount!$L$6:$L$92)/12),0),IF(YEAR(AH$3)=YEAR(Headcount!$O$4),IF((AH$5&lt;=12),(SUMPRODUCT(--(Headcount!$F$6:$F$92="Sales"),--(Headcount!$H$6:$H$92&gt;=Sales!AH$3),Headcount!$O$6:$O$92,Headcount!$L$6:$L$92)/12),0),IF(YEAR(AH$3)=YEAR(Headcount!$P$4),IF((AH$5&lt;=12),(SUMPRODUCT(--(Headcount!$F$6:$F$92="Sales"),--(Headcount!$H$6:$H$92&gt;=Sales!AH$3),Headcount!$P$6:$P$92,Headcount!$L$6:$L$92)/12),0),IF(YEAR(AH$3)=YEAR(Headcount!$Q$4),IF((AH$5&lt;=12),(SUMPRODUCT(--(Headcount!$F$6:$F$92="Sales"),--(Headcount!$H$6:$H$92&gt;=Sales!AH$3),Headcount!$Q$6:$Q$92,Headcount!$L$6:$L$92)/12),0),IF(YEAR(AH$3)=YEAR(Headcount!$R$4),IF((AH$5&lt;=12),(SUMPRODUCT(--(Headcount!$F$6:$F$92="Sales"),--(Headcount!$H$6:$H$92&gt;=Sales!AH$3),Headcount!$R$6:$R$92,Headcount!$L$6:$L$92)/12),0),"New Year"))))),SUMIF('Dept. Cost Actuals'!$E$7:$E$176,"*bonus*",'Dept. Cost Actuals'!AL$7:AL$176))</f>
        <v>19070.833499999997</v>
      </c>
      <c r="AI16" s="792">
        <f>IF(AI$4="forecast",IF(YEAR(AI$3)=YEAR(Headcount!$N$4),IF((AI$5&lt;12),(SUMPRODUCT(--(Headcount!$F$6:$F$92="Sales"),--(Headcount!$H$6:$H$92&gt;=Sales!AI$3),Headcount!$N$6:$N$92,Headcount!$L$6:$L$92)/12),0),IF(YEAR(AI$3)=YEAR(Headcount!$O$4),IF((AI$5&lt;=12),(SUMPRODUCT(--(Headcount!$F$6:$F$92="Sales"),--(Headcount!$H$6:$H$92&gt;=Sales!AI$3),Headcount!$O$6:$O$92,Headcount!$L$6:$L$92)/12),0),IF(YEAR(AI$3)=YEAR(Headcount!$P$4),IF((AI$5&lt;=12),(SUMPRODUCT(--(Headcount!$F$6:$F$92="Sales"),--(Headcount!$H$6:$H$92&gt;=Sales!AI$3),Headcount!$P$6:$P$92,Headcount!$L$6:$L$92)/12),0),IF(YEAR(AI$3)=YEAR(Headcount!$Q$4),IF((AI$5&lt;=12),(SUMPRODUCT(--(Headcount!$F$6:$F$92="Sales"),--(Headcount!$H$6:$H$92&gt;=Sales!AI$3),Headcount!$Q$6:$Q$92,Headcount!$L$6:$L$92)/12),0),IF(YEAR(AI$3)=YEAR(Headcount!$R$4),IF((AI$5&lt;=12),(SUMPRODUCT(--(Headcount!$F$6:$F$92="Sales"),--(Headcount!$H$6:$H$92&gt;=Sales!AI$3),Headcount!$R$6:$R$92,Headcount!$L$6:$L$92)/12),0),"New Year"))))),SUMIF('Dept. Cost Actuals'!$E$7:$E$176,"*bonus*",'Dept. Cost Actuals'!AM$7:AM$176))</f>
        <v>19070.833499999997</v>
      </c>
      <c r="AJ16" s="792">
        <f>IF(AJ$4="forecast",IF(YEAR(AJ$3)=YEAR(Headcount!$N$4),IF((AJ$5&lt;12),(SUMPRODUCT(--(Headcount!$F$6:$F$92="Sales"),--(Headcount!$H$6:$H$92&gt;=Sales!AJ$3),Headcount!$N$6:$N$92,Headcount!$L$6:$L$92)/12),0),IF(YEAR(AJ$3)=YEAR(Headcount!$O$4),IF((AJ$5&lt;=12),(SUMPRODUCT(--(Headcount!$F$6:$F$92="Sales"),--(Headcount!$H$6:$H$92&gt;=Sales!AJ$3),Headcount!$O$6:$O$92,Headcount!$L$6:$L$92)/12),0),IF(YEAR(AJ$3)=YEAR(Headcount!$P$4),IF((AJ$5&lt;=12),(SUMPRODUCT(--(Headcount!$F$6:$F$92="Sales"),--(Headcount!$H$6:$H$92&gt;=Sales!AJ$3),Headcount!$P$6:$P$92,Headcount!$L$6:$L$92)/12),0),IF(YEAR(AJ$3)=YEAR(Headcount!$Q$4),IF((AJ$5&lt;=12),(SUMPRODUCT(--(Headcount!$F$6:$F$92="Sales"),--(Headcount!$H$6:$H$92&gt;=Sales!AJ$3),Headcount!$Q$6:$Q$92,Headcount!$L$6:$L$92)/12),0),IF(YEAR(AJ$3)=YEAR(Headcount!$R$4),IF((AJ$5&lt;=12),(SUMPRODUCT(--(Headcount!$F$6:$F$92="Sales"),--(Headcount!$H$6:$H$92&gt;=Sales!AJ$3),Headcount!$R$6:$R$92,Headcount!$L$6:$L$92)/12),0),"New Year"))))),SUMIF('Dept. Cost Actuals'!$E$7:$E$176,"*bonus*",'Dept. Cost Actuals'!AN$7:AN$176))</f>
        <v>19070.833499999997</v>
      </c>
      <c r="AK16" s="792">
        <f>IF(AK$4="forecast",IF(YEAR(AK$3)=YEAR(Headcount!$N$4),IF((AK$5&lt;12),(SUMPRODUCT(--(Headcount!$F$6:$F$92="Sales"),--(Headcount!$H$6:$H$92&gt;=Sales!AK$3),Headcount!$N$6:$N$92,Headcount!$L$6:$L$92)/12),0),IF(YEAR(AK$3)=YEAR(Headcount!$O$4),IF((AK$5&lt;=12),(SUMPRODUCT(--(Headcount!$F$6:$F$92="Sales"),--(Headcount!$H$6:$H$92&gt;=Sales!AK$3),Headcount!$O$6:$O$92,Headcount!$L$6:$L$92)/12),0),IF(YEAR(AK$3)=YEAR(Headcount!$P$4),IF((AK$5&lt;=12),(SUMPRODUCT(--(Headcount!$F$6:$F$92="Sales"),--(Headcount!$H$6:$H$92&gt;=Sales!AK$3),Headcount!$P$6:$P$92,Headcount!$L$6:$L$92)/12),0),IF(YEAR(AK$3)=YEAR(Headcount!$Q$4),IF((AK$5&lt;=12),(SUMPRODUCT(--(Headcount!$F$6:$F$92="Sales"),--(Headcount!$H$6:$H$92&gt;=Sales!AK$3),Headcount!$Q$6:$Q$92,Headcount!$L$6:$L$92)/12),0),IF(YEAR(AK$3)=YEAR(Headcount!$R$4),IF((AK$5&lt;=12),(SUMPRODUCT(--(Headcount!$F$6:$F$92="Sales"),--(Headcount!$H$6:$H$92&gt;=Sales!AK$3),Headcount!$R$6:$R$92,Headcount!$L$6:$L$92)/12),0),"New Year"))))),SUMIF('Dept. Cost Actuals'!$E$7:$E$176,"*bonus*",'Dept. Cost Actuals'!AO$7:AO$176))</f>
        <v>19070.833499999997</v>
      </c>
      <c r="AL16" s="792">
        <f>IF(AL$4="forecast",IF(YEAR(AL$3)=YEAR(Headcount!$N$4),IF((AL$5&lt;12),(SUMPRODUCT(--(Headcount!$F$6:$F$92="Sales"),--(Headcount!$H$6:$H$92&gt;=Sales!AL$3),Headcount!$N$6:$N$92,Headcount!$L$6:$L$92)/12),0),IF(YEAR(AL$3)=YEAR(Headcount!$O$4),IF((AL$5&lt;=12),(SUMPRODUCT(--(Headcount!$F$6:$F$92="Sales"),--(Headcount!$H$6:$H$92&gt;=Sales!AL$3),Headcount!$O$6:$O$92,Headcount!$L$6:$L$92)/12),0),IF(YEAR(AL$3)=YEAR(Headcount!$P$4),IF((AL$5&lt;=12),(SUMPRODUCT(--(Headcount!$F$6:$F$92="Sales"),--(Headcount!$H$6:$H$92&gt;=Sales!AL$3),Headcount!$P$6:$P$92,Headcount!$L$6:$L$92)/12),0),IF(YEAR(AL$3)=YEAR(Headcount!$Q$4),IF((AL$5&lt;=12),(SUMPRODUCT(--(Headcount!$F$6:$F$92="Sales"),--(Headcount!$H$6:$H$92&gt;=Sales!AL$3),Headcount!$Q$6:$Q$92,Headcount!$L$6:$L$92)/12),0),IF(YEAR(AL$3)=YEAR(Headcount!$R$4),IF((AL$5&lt;=12),(SUMPRODUCT(--(Headcount!$F$6:$F$92="Sales"),--(Headcount!$H$6:$H$92&gt;=Sales!AL$3),Headcount!$R$6:$R$92,Headcount!$L$6:$L$92)/12),0),"New Year"))))),SUMIF('Dept. Cost Actuals'!$E$7:$E$176,"*bonus*",'Dept. Cost Actuals'!AP$7:AP$176))</f>
        <v>19070.833499999997</v>
      </c>
      <c r="AM16" s="792">
        <f>IF(AM$4="forecast",IF(YEAR(AM$3)=YEAR(Headcount!$N$4),IF((AM$5&lt;12),(SUMPRODUCT(--(Headcount!$F$6:$F$92="Sales"),--(Headcount!$H$6:$H$92&gt;=Sales!AM$3),Headcount!$N$6:$N$92,Headcount!$L$6:$L$92)/12),0),IF(YEAR(AM$3)=YEAR(Headcount!$O$4),IF((AM$5&lt;=12),(SUMPRODUCT(--(Headcount!$F$6:$F$92="Sales"),--(Headcount!$H$6:$H$92&gt;=Sales!AM$3),Headcount!$O$6:$O$92,Headcount!$L$6:$L$92)/12),0),IF(YEAR(AM$3)=YEAR(Headcount!$P$4),IF((AM$5&lt;=12),(SUMPRODUCT(--(Headcount!$F$6:$F$92="Sales"),--(Headcount!$H$6:$H$92&gt;=Sales!AM$3),Headcount!$P$6:$P$92,Headcount!$L$6:$L$92)/12),0),IF(YEAR(AM$3)=YEAR(Headcount!$Q$4),IF((AM$5&lt;=12),(SUMPRODUCT(--(Headcount!$F$6:$F$92="Sales"),--(Headcount!$H$6:$H$92&gt;=Sales!AM$3),Headcount!$Q$6:$Q$92,Headcount!$L$6:$L$92)/12),0),IF(YEAR(AM$3)=YEAR(Headcount!$R$4),IF((AM$5&lt;=12),(SUMPRODUCT(--(Headcount!$F$6:$F$92="Sales"),--(Headcount!$H$6:$H$92&gt;=Sales!AM$3),Headcount!$R$6:$R$92,Headcount!$L$6:$L$92)/12),0),"New Year"))))),SUMIF('Dept. Cost Actuals'!$E$7:$E$176,"*bonus*",'Dept. Cost Actuals'!AQ$7:AQ$176))</f>
        <v>19642.958504999999</v>
      </c>
      <c r="AN16" s="792">
        <f>IF(AN$4="forecast",IF(YEAR(AN$3)=YEAR(Headcount!$N$4),IF((AN$5&lt;12),(SUMPRODUCT(--(Headcount!$F$6:$F$92="Sales"),--(Headcount!$H$6:$H$92&gt;=Sales!AN$3),Headcount!$N$6:$N$92,Headcount!$L$6:$L$92)/12),0),IF(YEAR(AN$3)=YEAR(Headcount!$O$4),IF((AN$5&lt;=12),(SUMPRODUCT(--(Headcount!$F$6:$F$92="Sales"),--(Headcount!$H$6:$H$92&gt;=Sales!AN$3),Headcount!$O$6:$O$92,Headcount!$L$6:$L$92)/12),0),IF(YEAR(AN$3)=YEAR(Headcount!$P$4),IF((AN$5&lt;=12),(SUMPRODUCT(--(Headcount!$F$6:$F$92="Sales"),--(Headcount!$H$6:$H$92&gt;=Sales!AN$3),Headcount!$P$6:$P$92,Headcount!$L$6:$L$92)/12),0),IF(YEAR(AN$3)=YEAR(Headcount!$Q$4),IF((AN$5&lt;=12),(SUMPRODUCT(--(Headcount!$F$6:$F$92="Sales"),--(Headcount!$H$6:$H$92&gt;=Sales!AN$3),Headcount!$Q$6:$Q$92,Headcount!$L$6:$L$92)/12),0),IF(YEAR(AN$3)=YEAR(Headcount!$R$4),IF((AN$5&lt;=12),(SUMPRODUCT(--(Headcount!$F$6:$F$92="Sales"),--(Headcount!$H$6:$H$92&gt;=Sales!AN$3),Headcount!$R$6:$R$92,Headcount!$L$6:$L$92)/12),0),"New Year"))))),SUMIF('Dept. Cost Actuals'!$E$7:$E$176,"*bonus*",'Dept. Cost Actuals'!AR$7:AR$176))</f>
        <v>19642.958504999999</v>
      </c>
      <c r="AO16" s="792">
        <f>IF(AO$4="forecast",IF(YEAR(AO$3)=YEAR(Headcount!$N$4),IF((AO$5&lt;12),(SUMPRODUCT(--(Headcount!$F$6:$F$92="Sales"),--(Headcount!$H$6:$H$92&gt;=Sales!AO$3),Headcount!$N$6:$N$92,Headcount!$L$6:$L$92)/12),0),IF(YEAR(AO$3)=YEAR(Headcount!$O$4),IF((AO$5&lt;=12),(SUMPRODUCT(--(Headcount!$F$6:$F$92="Sales"),--(Headcount!$H$6:$H$92&gt;=Sales!AO$3),Headcount!$O$6:$O$92,Headcount!$L$6:$L$92)/12),0),IF(YEAR(AO$3)=YEAR(Headcount!$P$4),IF((AO$5&lt;=12),(SUMPRODUCT(--(Headcount!$F$6:$F$92="Sales"),--(Headcount!$H$6:$H$92&gt;=Sales!AO$3),Headcount!$P$6:$P$92,Headcount!$L$6:$L$92)/12),0),IF(YEAR(AO$3)=YEAR(Headcount!$Q$4),IF((AO$5&lt;=12),(SUMPRODUCT(--(Headcount!$F$6:$F$92="Sales"),--(Headcount!$H$6:$H$92&gt;=Sales!AO$3),Headcount!$Q$6:$Q$92,Headcount!$L$6:$L$92)/12),0),IF(YEAR(AO$3)=YEAR(Headcount!$R$4),IF((AO$5&lt;=12),(SUMPRODUCT(--(Headcount!$F$6:$F$92="Sales"),--(Headcount!$H$6:$H$92&gt;=Sales!AO$3),Headcount!$R$6:$R$92,Headcount!$L$6:$L$92)/12),0),"New Year"))))),SUMIF('Dept. Cost Actuals'!$E$7:$E$176,"*bonus*",'Dept. Cost Actuals'!AS$7:AS$176))</f>
        <v>19642.958504999999</v>
      </c>
      <c r="AP16" s="792">
        <f>IF(AP$4="forecast",IF(YEAR(AP$3)=YEAR(Headcount!$N$4),IF((AP$5&lt;12),(SUMPRODUCT(--(Headcount!$F$6:$F$92="Sales"),--(Headcount!$H$6:$H$92&gt;=Sales!AP$3),Headcount!$N$6:$N$92,Headcount!$L$6:$L$92)/12),0),IF(YEAR(AP$3)=YEAR(Headcount!$O$4),IF((AP$5&lt;=12),(SUMPRODUCT(--(Headcount!$F$6:$F$92="Sales"),--(Headcount!$H$6:$H$92&gt;=Sales!AP$3),Headcount!$O$6:$O$92,Headcount!$L$6:$L$92)/12),0),IF(YEAR(AP$3)=YEAR(Headcount!$P$4),IF((AP$5&lt;=12),(SUMPRODUCT(--(Headcount!$F$6:$F$92="Sales"),--(Headcount!$H$6:$H$92&gt;=Sales!AP$3),Headcount!$P$6:$P$92,Headcount!$L$6:$L$92)/12),0),IF(YEAR(AP$3)=YEAR(Headcount!$Q$4),IF((AP$5&lt;=12),(SUMPRODUCT(--(Headcount!$F$6:$F$92="Sales"),--(Headcount!$H$6:$H$92&gt;=Sales!AP$3),Headcount!$Q$6:$Q$92,Headcount!$L$6:$L$92)/12),0),IF(YEAR(AP$3)=YEAR(Headcount!$R$4),IF((AP$5&lt;=12),(SUMPRODUCT(--(Headcount!$F$6:$F$92="Sales"),--(Headcount!$H$6:$H$92&gt;=Sales!AP$3),Headcount!$R$6:$R$92,Headcount!$L$6:$L$92)/12),0),"New Year"))))),SUMIF('Dept. Cost Actuals'!$E$7:$E$176,"*bonus*",'Dept. Cost Actuals'!AT$7:AT$176))</f>
        <v>19642.958504999999</v>
      </c>
      <c r="AQ16" s="792">
        <f>IF(AQ$4="forecast",IF(YEAR(AQ$3)=YEAR(Headcount!$N$4),IF((AQ$5&lt;12),(SUMPRODUCT(--(Headcount!$F$6:$F$92="Sales"),--(Headcount!$H$6:$H$92&gt;=Sales!AQ$3),Headcount!$N$6:$N$92,Headcount!$L$6:$L$92)/12),0),IF(YEAR(AQ$3)=YEAR(Headcount!$O$4),IF((AQ$5&lt;=12),(SUMPRODUCT(--(Headcount!$F$6:$F$92="Sales"),--(Headcount!$H$6:$H$92&gt;=Sales!AQ$3),Headcount!$O$6:$O$92,Headcount!$L$6:$L$92)/12),0),IF(YEAR(AQ$3)=YEAR(Headcount!$P$4),IF((AQ$5&lt;=12),(SUMPRODUCT(--(Headcount!$F$6:$F$92="Sales"),--(Headcount!$H$6:$H$92&gt;=Sales!AQ$3),Headcount!$P$6:$P$92,Headcount!$L$6:$L$92)/12),0),IF(YEAR(AQ$3)=YEAR(Headcount!$Q$4),IF((AQ$5&lt;=12),(SUMPRODUCT(--(Headcount!$F$6:$F$92="Sales"),--(Headcount!$H$6:$H$92&gt;=Sales!AQ$3),Headcount!$Q$6:$Q$92,Headcount!$L$6:$L$92)/12),0),IF(YEAR(AQ$3)=YEAR(Headcount!$R$4),IF((AQ$5&lt;=12),(SUMPRODUCT(--(Headcount!$F$6:$F$92="Sales"),--(Headcount!$H$6:$H$92&gt;=Sales!AQ$3),Headcount!$R$6:$R$92,Headcount!$L$6:$L$92)/12),0),"New Year"))))),SUMIF('Dept. Cost Actuals'!$E$7:$E$176,"*bonus*",'Dept. Cost Actuals'!AU$7:AU$176))</f>
        <v>19642.958504999999</v>
      </c>
      <c r="AR16" s="792">
        <f>IF(AR$4="forecast",IF(YEAR(AR$3)=YEAR(Headcount!$N$4),IF((AR$5&lt;12),(SUMPRODUCT(--(Headcount!$F$6:$F$92="Sales"),--(Headcount!$H$6:$H$92&gt;=Sales!AR$3),Headcount!$N$6:$N$92,Headcount!$L$6:$L$92)/12),0),IF(YEAR(AR$3)=YEAR(Headcount!$O$4),IF((AR$5&lt;=12),(SUMPRODUCT(--(Headcount!$F$6:$F$92="Sales"),--(Headcount!$H$6:$H$92&gt;=Sales!AR$3),Headcount!$O$6:$O$92,Headcount!$L$6:$L$92)/12),0),IF(YEAR(AR$3)=YEAR(Headcount!$P$4),IF((AR$5&lt;=12),(SUMPRODUCT(--(Headcount!$F$6:$F$92="Sales"),--(Headcount!$H$6:$H$92&gt;=Sales!AR$3),Headcount!$P$6:$P$92,Headcount!$L$6:$L$92)/12),0),IF(YEAR(AR$3)=YEAR(Headcount!$Q$4),IF((AR$5&lt;=12),(SUMPRODUCT(--(Headcount!$F$6:$F$92="Sales"),--(Headcount!$H$6:$H$92&gt;=Sales!AR$3),Headcount!$Q$6:$Q$92,Headcount!$L$6:$L$92)/12),0),IF(YEAR(AR$3)=YEAR(Headcount!$R$4),IF((AR$5&lt;=12),(SUMPRODUCT(--(Headcount!$F$6:$F$92="Sales"),--(Headcount!$H$6:$H$92&gt;=Sales!AR$3),Headcount!$R$6:$R$92,Headcount!$L$6:$L$92)/12),0),"New Year"))))),SUMIF('Dept. Cost Actuals'!$E$7:$E$176,"*bonus*",'Dept. Cost Actuals'!AV$7:AV$176))</f>
        <v>19642.958504999999</v>
      </c>
      <c r="AS16" s="792">
        <f>IF(AS$4="forecast",IF(YEAR(AS$3)=YEAR(Headcount!$N$4),IF((AS$5&lt;12),(SUMPRODUCT(--(Headcount!$F$6:$F$92="Sales"),--(Headcount!$H$6:$H$92&gt;=Sales!AS$3),Headcount!$N$6:$N$92,Headcount!$L$6:$L$92)/12),0),IF(YEAR(AS$3)=YEAR(Headcount!$O$4),IF((AS$5&lt;=12),(SUMPRODUCT(--(Headcount!$F$6:$F$92="Sales"),--(Headcount!$H$6:$H$92&gt;=Sales!AS$3),Headcount!$O$6:$O$92,Headcount!$L$6:$L$92)/12),0),IF(YEAR(AS$3)=YEAR(Headcount!$P$4),IF((AS$5&lt;=12),(SUMPRODUCT(--(Headcount!$F$6:$F$92="Sales"),--(Headcount!$H$6:$H$92&gt;=Sales!AS$3),Headcount!$P$6:$P$92,Headcount!$L$6:$L$92)/12),0),IF(YEAR(AS$3)=YEAR(Headcount!$Q$4),IF((AS$5&lt;=12),(SUMPRODUCT(--(Headcount!$F$6:$F$92="Sales"),--(Headcount!$H$6:$H$92&gt;=Sales!AS$3),Headcount!$Q$6:$Q$92,Headcount!$L$6:$L$92)/12),0),IF(YEAR(AS$3)=YEAR(Headcount!$R$4),IF((AS$5&lt;=12),(SUMPRODUCT(--(Headcount!$F$6:$F$92="Sales"),--(Headcount!$H$6:$H$92&gt;=Sales!AS$3),Headcount!$R$6:$R$92,Headcount!$L$6:$L$92)/12),0),"New Year"))))),SUMIF('Dept. Cost Actuals'!$E$7:$E$176,"*bonus*",'Dept. Cost Actuals'!AW$7:AW$176))</f>
        <v>19642.958504999999</v>
      </c>
      <c r="AT16" s="792">
        <f>IF(AT$4="forecast",IF(YEAR(AT$3)=YEAR(Headcount!$N$4),IF((AT$5&lt;12),(SUMPRODUCT(--(Headcount!$F$6:$F$92="Sales"),--(Headcount!$H$6:$H$92&gt;=Sales!AT$3),Headcount!$N$6:$N$92,Headcount!$L$6:$L$92)/12),0),IF(YEAR(AT$3)=YEAR(Headcount!$O$4),IF((AT$5&lt;=12),(SUMPRODUCT(--(Headcount!$F$6:$F$92="Sales"),--(Headcount!$H$6:$H$92&gt;=Sales!AT$3),Headcount!$O$6:$O$92,Headcount!$L$6:$L$92)/12),0),IF(YEAR(AT$3)=YEAR(Headcount!$P$4),IF((AT$5&lt;=12),(SUMPRODUCT(--(Headcount!$F$6:$F$92="Sales"),--(Headcount!$H$6:$H$92&gt;=Sales!AT$3),Headcount!$P$6:$P$92,Headcount!$L$6:$L$92)/12),0),IF(YEAR(AT$3)=YEAR(Headcount!$Q$4),IF((AT$5&lt;=12),(SUMPRODUCT(--(Headcount!$F$6:$F$92="Sales"),--(Headcount!$H$6:$H$92&gt;=Sales!AT$3),Headcount!$Q$6:$Q$92,Headcount!$L$6:$L$92)/12),0),IF(YEAR(AT$3)=YEAR(Headcount!$R$4),IF((AT$5&lt;=12),(SUMPRODUCT(--(Headcount!$F$6:$F$92="Sales"),--(Headcount!$H$6:$H$92&gt;=Sales!AT$3),Headcount!$R$6:$R$92,Headcount!$L$6:$L$92)/12),0),"New Year"))))),SUMIF('Dept. Cost Actuals'!$E$7:$E$176,"*bonus*",'Dept. Cost Actuals'!AX$7:AX$176))</f>
        <v>19642.958504999999</v>
      </c>
      <c r="AU16" s="792">
        <f>IF(AU$4="forecast",IF(YEAR(AU$3)=YEAR(Headcount!$N$4),IF((AU$5&lt;12),(SUMPRODUCT(--(Headcount!$F$6:$F$92="Sales"),--(Headcount!$H$6:$H$92&gt;=Sales!AU$3),Headcount!$N$6:$N$92,Headcount!$L$6:$L$92)/12),0),IF(YEAR(AU$3)=YEAR(Headcount!$O$4),IF((AU$5&lt;=12),(SUMPRODUCT(--(Headcount!$F$6:$F$92="Sales"),--(Headcount!$H$6:$H$92&gt;=Sales!AU$3),Headcount!$O$6:$O$92,Headcount!$L$6:$L$92)/12),0),IF(YEAR(AU$3)=YEAR(Headcount!$P$4),IF((AU$5&lt;=12),(SUMPRODUCT(--(Headcount!$F$6:$F$92="Sales"),--(Headcount!$H$6:$H$92&gt;=Sales!AU$3),Headcount!$P$6:$P$92,Headcount!$L$6:$L$92)/12),0),IF(YEAR(AU$3)=YEAR(Headcount!$Q$4),IF((AU$5&lt;=12),(SUMPRODUCT(--(Headcount!$F$6:$F$92="Sales"),--(Headcount!$H$6:$H$92&gt;=Sales!AU$3),Headcount!$Q$6:$Q$92,Headcount!$L$6:$L$92)/12),0),IF(YEAR(AU$3)=YEAR(Headcount!$R$4),IF((AU$5&lt;=12),(SUMPRODUCT(--(Headcount!$F$6:$F$92="Sales"),--(Headcount!$H$6:$H$92&gt;=Sales!AU$3),Headcount!$R$6:$R$92,Headcount!$L$6:$L$92)/12),0),"New Year"))))),SUMIF('Dept. Cost Actuals'!$E$7:$E$176,"*bonus*",'Dept. Cost Actuals'!AY$7:AY$176))</f>
        <v>19642.958504999999</v>
      </c>
      <c r="AV16" s="792">
        <f>IF(AV$4="forecast",IF(YEAR(AV$3)=YEAR(Headcount!$N$4),IF((AV$5&lt;12),(SUMPRODUCT(--(Headcount!$F$6:$F$92="Sales"),--(Headcount!$H$6:$H$92&gt;=Sales!AV$3),Headcount!$N$6:$N$92,Headcount!$L$6:$L$92)/12),0),IF(YEAR(AV$3)=YEAR(Headcount!$O$4),IF((AV$5&lt;=12),(SUMPRODUCT(--(Headcount!$F$6:$F$92="Sales"),--(Headcount!$H$6:$H$92&gt;=Sales!AV$3),Headcount!$O$6:$O$92,Headcount!$L$6:$L$92)/12),0),IF(YEAR(AV$3)=YEAR(Headcount!$P$4),IF((AV$5&lt;=12),(SUMPRODUCT(--(Headcount!$F$6:$F$92="Sales"),--(Headcount!$H$6:$H$92&gt;=Sales!AV$3),Headcount!$P$6:$P$92,Headcount!$L$6:$L$92)/12),0),IF(YEAR(AV$3)=YEAR(Headcount!$Q$4),IF((AV$5&lt;=12),(SUMPRODUCT(--(Headcount!$F$6:$F$92="Sales"),--(Headcount!$H$6:$H$92&gt;=Sales!AV$3),Headcount!$Q$6:$Q$92,Headcount!$L$6:$L$92)/12),0),IF(YEAR(AV$3)=YEAR(Headcount!$R$4),IF((AV$5&lt;=12),(SUMPRODUCT(--(Headcount!$F$6:$F$92="Sales"),--(Headcount!$H$6:$H$92&gt;=Sales!AV$3),Headcount!$R$6:$R$92,Headcount!$L$6:$L$92)/12),0),"New Year"))))),SUMIF('Dept. Cost Actuals'!$E$7:$E$176,"*bonus*",'Dept. Cost Actuals'!AZ$7:AZ$176))</f>
        <v>19642.958504999999</v>
      </c>
      <c r="AW16" s="792">
        <f>IF(AW$4="forecast",IF(YEAR(AW$3)=YEAR(Headcount!$N$4),IF((AW$5&lt;12),(SUMPRODUCT(--(Headcount!$F$6:$F$92="Sales"),--(Headcount!$H$6:$H$92&gt;=Sales!AW$3),Headcount!$N$6:$N$92,Headcount!$L$6:$L$92)/12),0),IF(YEAR(AW$3)=YEAR(Headcount!$O$4),IF((AW$5&lt;=12),(SUMPRODUCT(--(Headcount!$F$6:$F$92="Sales"),--(Headcount!$H$6:$H$92&gt;=Sales!AW$3),Headcount!$O$6:$O$92,Headcount!$L$6:$L$92)/12),0),IF(YEAR(AW$3)=YEAR(Headcount!$P$4),IF((AW$5&lt;=12),(SUMPRODUCT(--(Headcount!$F$6:$F$92="Sales"),--(Headcount!$H$6:$H$92&gt;=Sales!AW$3),Headcount!$P$6:$P$92,Headcount!$L$6:$L$92)/12),0),IF(YEAR(AW$3)=YEAR(Headcount!$Q$4),IF((AW$5&lt;=12),(SUMPRODUCT(--(Headcount!$F$6:$F$92="Sales"),--(Headcount!$H$6:$H$92&gt;=Sales!AW$3),Headcount!$Q$6:$Q$92,Headcount!$L$6:$L$92)/12),0),IF(YEAR(AW$3)=YEAR(Headcount!$R$4),IF((AW$5&lt;=12),(SUMPRODUCT(--(Headcount!$F$6:$F$92="Sales"),--(Headcount!$H$6:$H$92&gt;=Sales!AW$3),Headcount!$R$6:$R$92,Headcount!$L$6:$L$92)/12),0),"New Year"))))),SUMIF('Dept. Cost Actuals'!$E$7:$E$176,"*bonus*",'Dept. Cost Actuals'!BA$7:BA$176))</f>
        <v>19642.958504999999</v>
      </c>
      <c r="AX16" s="792">
        <f>IF(AX$4="forecast",IF(YEAR(AX$3)=YEAR(Headcount!$N$4),IF((AX$5&lt;12),(SUMPRODUCT(--(Headcount!$F$6:$F$92="Sales"),--(Headcount!$H$6:$H$92&gt;=Sales!AX$3),Headcount!$N$6:$N$92,Headcount!$L$6:$L$92)/12),0),IF(YEAR(AX$3)=YEAR(Headcount!$O$4),IF((AX$5&lt;=12),(SUMPRODUCT(--(Headcount!$F$6:$F$92="Sales"),--(Headcount!$H$6:$H$92&gt;=Sales!AX$3),Headcount!$O$6:$O$92,Headcount!$L$6:$L$92)/12),0),IF(YEAR(AX$3)=YEAR(Headcount!$P$4),IF((AX$5&lt;=12),(SUMPRODUCT(--(Headcount!$F$6:$F$92="Sales"),--(Headcount!$H$6:$H$92&gt;=Sales!AX$3),Headcount!$P$6:$P$92,Headcount!$L$6:$L$92)/12),0),IF(YEAR(AX$3)=YEAR(Headcount!$Q$4),IF((AX$5&lt;=12),(SUMPRODUCT(--(Headcount!$F$6:$F$92="Sales"),--(Headcount!$H$6:$H$92&gt;=Sales!AX$3),Headcount!$Q$6:$Q$92,Headcount!$L$6:$L$92)/12),0),IF(YEAR(AX$3)=YEAR(Headcount!$R$4),IF((AX$5&lt;=12),(SUMPRODUCT(--(Headcount!$F$6:$F$92="Sales"),--(Headcount!$H$6:$H$92&gt;=Sales!AX$3),Headcount!$R$6:$R$92,Headcount!$L$6:$L$92)/12),0),"New Year"))))),SUMIF('Dept. Cost Actuals'!$E$7:$E$176,"*bonus*",'Dept. Cost Actuals'!BB$7:BB$176))</f>
        <v>19642.958504999999</v>
      </c>
      <c r="AY16" s="792">
        <f>IF(AY$4="forecast",IF(YEAR(AY$3)=YEAR(Headcount!$N$4),IF((AY$5&lt;12),(SUMPRODUCT(--(Headcount!$F$6:$F$92="Sales"),--(Headcount!$H$6:$H$92&gt;=Sales!AY$3),Headcount!$N$6:$N$92,Headcount!$L$6:$L$92)/12),0),IF(YEAR(AY$3)=YEAR(Headcount!$O$4),IF((AY$5&lt;=12),(SUMPRODUCT(--(Headcount!$F$6:$F$92="Sales"),--(Headcount!$H$6:$H$92&gt;=Sales!AY$3),Headcount!$O$6:$O$92,Headcount!$L$6:$L$92)/12),0),IF(YEAR(AY$3)=YEAR(Headcount!$P$4),IF((AY$5&lt;=12),(SUMPRODUCT(--(Headcount!$F$6:$F$92="Sales"),--(Headcount!$H$6:$H$92&gt;=Sales!AY$3),Headcount!$P$6:$P$92,Headcount!$L$6:$L$92)/12),0),IF(YEAR(AY$3)=YEAR(Headcount!$Q$4),IF((AY$5&lt;=12),(SUMPRODUCT(--(Headcount!$F$6:$F$92="Sales"),--(Headcount!$H$6:$H$92&gt;=Sales!AY$3),Headcount!$Q$6:$Q$92,Headcount!$L$6:$L$92)/12),0),IF(YEAR(AY$3)=YEAR(Headcount!$R$4),IF((AY$5&lt;=12),(SUMPRODUCT(--(Headcount!$F$6:$F$92="Sales"),--(Headcount!$H$6:$H$92&gt;=Sales!AY$3),Headcount!$R$6:$R$92,Headcount!$L$6:$L$92)/12),0),"New Year"))))),SUMIF('Dept. Cost Actuals'!$E$7:$E$176,"*bonus*",'Dept. Cost Actuals'!BC$7:BC$176))</f>
        <v>20232.24726014999</v>
      </c>
      <c r="AZ16" s="792">
        <f>IF(AZ$4="forecast",IF(YEAR(AZ$3)=YEAR(Headcount!$N$4),IF((AZ$5&lt;12),(SUMPRODUCT(--(Headcount!$F$6:$F$92="Sales"),--(Headcount!$H$6:$H$92&gt;=Sales!AZ$3),Headcount!$N$6:$N$92,Headcount!$L$6:$L$92)/12),0),IF(YEAR(AZ$3)=YEAR(Headcount!$O$4),IF((AZ$5&lt;=12),(SUMPRODUCT(--(Headcount!$F$6:$F$92="Sales"),--(Headcount!$H$6:$H$92&gt;=Sales!AZ$3),Headcount!$O$6:$O$92,Headcount!$L$6:$L$92)/12),0),IF(YEAR(AZ$3)=YEAR(Headcount!$P$4),IF((AZ$5&lt;=12),(SUMPRODUCT(--(Headcount!$F$6:$F$92="Sales"),--(Headcount!$H$6:$H$92&gt;=Sales!AZ$3),Headcount!$P$6:$P$92,Headcount!$L$6:$L$92)/12),0),IF(YEAR(AZ$3)=YEAR(Headcount!$Q$4),IF((AZ$5&lt;=12),(SUMPRODUCT(--(Headcount!$F$6:$F$92="Sales"),--(Headcount!$H$6:$H$92&gt;=Sales!AZ$3),Headcount!$Q$6:$Q$92,Headcount!$L$6:$L$92)/12),0),IF(YEAR(AZ$3)=YEAR(Headcount!$R$4),IF((AZ$5&lt;=12),(SUMPRODUCT(--(Headcount!$F$6:$F$92="Sales"),--(Headcount!$H$6:$H$92&gt;=Sales!AZ$3),Headcount!$R$6:$R$92,Headcount!$L$6:$L$92)/12),0),"New Year"))))),SUMIF('Dept. Cost Actuals'!$E$7:$E$176,"*bonus*",'Dept. Cost Actuals'!BD$7:BD$176))</f>
        <v>20232.24726014999</v>
      </c>
      <c r="BA16" s="792">
        <f>IF(BA$4="forecast",IF(YEAR(BA$3)=YEAR(Headcount!$N$4),IF((BA$5&lt;12),(SUMPRODUCT(--(Headcount!$F$6:$F$92="Sales"),--(Headcount!$H$6:$H$92&gt;=Sales!BA$3),Headcount!$N$6:$N$92,Headcount!$L$6:$L$92)/12),0),IF(YEAR(BA$3)=YEAR(Headcount!$O$4),IF((BA$5&lt;=12),(SUMPRODUCT(--(Headcount!$F$6:$F$92="Sales"),--(Headcount!$H$6:$H$92&gt;=Sales!BA$3),Headcount!$O$6:$O$92,Headcount!$L$6:$L$92)/12),0),IF(YEAR(BA$3)=YEAR(Headcount!$P$4),IF((BA$5&lt;=12),(SUMPRODUCT(--(Headcount!$F$6:$F$92="Sales"),--(Headcount!$H$6:$H$92&gt;=Sales!BA$3),Headcount!$P$6:$P$92,Headcount!$L$6:$L$92)/12),0),IF(YEAR(BA$3)=YEAR(Headcount!$Q$4),IF((BA$5&lt;=12),(SUMPRODUCT(--(Headcount!$F$6:$F$92="Sales"),--(Headcount!$H$6:$H$92&gt;=Sales!BA$3),Headcount!$Q$6:$Q$92,Headcount!$L$6:$L$92)/12),0),IF(YEAR(BA$3)=YEAR(Headcount!$R$4),IF((BA$5&lt;=12),(SUMPRODUCT(--(Headcount!$F$6:$F$92="Sales"),--(Headcount!$H$6:$H$92&gt;=Sales!BA$3),Headcount!$R$6:$R$92,Headcount!$L$6:$L$92)/12),0),"New Year"))))),SUMIF('Dept. Cost Actuals'!$E$7:$E$176,"*bonus*",'Dept. Cost Actuals'!BE$7:BE$176))</f>
        <v>20232.24726014999</v>
      </c>
      <c r="BB16" s="792">
        <f>IF(BB$4="forecast",IF(YEAR(BB$3)=YEAR(Headcount!$N$4),IF((BB$5&lt;12),(SUMPRODUCT(--(Headcount!$F$6:$F$92="Sales"),--(Headcount!$H$6:$H$92&gt;=Sales!BB$3),Headcount!$N$6:$N$92,Headcount!$L$6:$L$92)/12),0),IF(YEAR(BB$3)=YEAR(Headcount!$O$4),IF((BB$5&lt;=12),(SUMPRODUCT(--(Headcount!$F$6:$F$92="Sales"),--(Headcount!$H$6:$H$92&gt;=Sales!BB$3),Headcount!$O$6:$O$92,Headcount!$L$6:$L$92)/12),0),IF(YEAR(BB$3)=YEAR(Headcount!$P$4),IF((BB$5&lt;=12),(SUMPRODUCT(--(Headcount!$F$6:$F$92="Sales"),--(Headcount!$H$6:$H$92&gt;=Sales!BB$3),Headcount!$P$6:$P$92,Headcount!$L$6:$L$92)/12),0),IF(YEAR(BB$3)=YEAR(Headcount!$Q$4),IF((BB$5&lt;=12),(SUMPRODUCT(--(Headcount!$F$6:$F$92="Sales"),--(Headcount!$H$6:$H$92&gt;=Sales!BB$3),Headcount!$Q$6:$Q$92,Headcount!$L$6:$L$92)/12),0),IF(YEAR(BB$3)=YEAR(Headcount!$R$4),IF((BB$5&lt;=12),(SUMPRODUCT(--(Headcount!$F$6:$F$92="Sales"),--(Headcount!$H$6:$H$92&gt;=Sales!BB$3),Headcount!$R$6:$R$92,Headcount!$L$6:$L$92)/12),0),"New Year"))))),SUMIF('Dept. Cost Actuals'!$E$7:$E$176,"*bonus*",'Dept. Cost Actuals'!BF$7:BF$176))</f>
        <v>20232.24726014999</v>
      </c>
      <c r="BC16" s="792">
        <f>IF(BC$4="forecast",IF(YEAR(BC$3)=YEAR(Headcount!$N$4),IF((BC$5&lt;12),(SUMPRODUCT(--(Headcount!$F$6:$F$92="Sales"),--(Headcount!$H$6:$H$92&gt;=Sales!BC$3),Headcount!$N$6:$N$92,Headcount!$L$6:$L$92)/12),0),IF(YEAR(BC$3)=YEAR(Headcount!$O$4),IF((BC$5&lt;=12),(SUMPRODUCT(--(Headcount!$F$6:$F$92="Sales"),--(Headcount!$H$6:$H$92&gt;=Sales!BC$3),Headcount!$O$6:$O$92,Headcount!$L$6:$L$92)/12),0),IF(YEAR(BC$3)=YEAR(Headcount!$P$4),IF((BC$5&lt;=12),(SUMPRODUCT(--(Headcount!$F$6:$F$92="Sales"),--(Headcount!$H$6:$H$92&gt;=Sales!BC$3),Headcount!$P$6:$P$92,Headcount!$L$6:$L$92)/12),0),IF(YEAR(BC$3)=YEAR(Headcount!$Q$4),IF((BC$5&lt;=12),(SUMPRODUCT(--(Headcount!$F$6:$F$92="Sales"),--(Headcount!$H$6:$H$92&gt;=Sales!BC$3),Headcount!$Q$6:$Q$92,Headcount!$L$6:$L$92)/12),0),IF(YEAR(BC$3)=YEAR(Headcount!$R$4),IF((BC$5&lt;=12),(SUMPRODUCT(--(Headcount!$F$6:$F$92="Sales"),--(Headcount!$H$6:$H$92&gt;=Sales!BC$3),Headcount!$R$6:$R$92,Headcount!$L$6:$L$92)/12),0),"New Year"))))),SUMIF('Dept. Cost Actuals'!$E$7:$E$176,"*bonus*",'Dept. Cost Actuals'!BG$7:BG$176))</f>
        <v>20232.24726014999</v>
      </c>
      <c r="BD16" s="792">
        <f>IF(BD$4="forecast",IF(YEAR(BD$3)=YEAR(Headcount!$N$4),IF((BD$5&lt;12),(SUMPRODUCT(--(Headcount!$F$6:$F$92="Sales"),--(Headcount!$H$6:$H$92&gt;=Sales!BD$3),Headcount!$N$6:$N$92,Headcount!$L$6:$L$92)/12),0),IF(YEAR(BD$3)=YEAR(Headcount!$O$4),IF((BD$5&lt;=12),(SUMPRODUCT(--(Headcount!$F$6:$F$92="Sales"),--(Headcount!$H$6:$H$92&gt;=Sales!BD$3),Headcount!$O$6:$O$92,Headcount!$L$6:$L$92)/12),0),IF(YEAR(BD$3)=YEAR(Headcount!$P$4),IF((BD$5&lt;=12),(SUMPRODUCT(--(Headcount!$F$6:$F$92="Sales"),--(Headcount!$H$6:$H$92&gt;=Sales!BD$3),Headcount!$P$6:$P$92,Headcount!$L$6:$L$92)/12),0),IF(YEAR(BD$3)=YEAR(Headcount!$Q$4),IF((BD$5&lt;=12),(SUMPRODUCT(--(Headcount!$F$6:$F$92="Sales"),--(Headcount!$H$6:$H$92&gt;=Sales!BD$3),Headcount!$Q$6:$Q$92,Headcount!$L$6:$L$92)/12),0),IF(YEAR(BD$3)=YEAR(Headcount!$R$4),IF((BD$5&lt;=12),(SUMPRODUCT(--(Headcount!$F$6:$F$92="Sales"),--(Headcount!$H$6:$H$92&gt;=Sales!BD$3),Headcount!$R$6:$R$92,Headcount!$L$6:$L$92)/12),0),"New Year"))))),SUMIF('Dept. Cost Actuals'!$E$7:$E$176,"*bonus*",'Dept. Cost Actuals'!BH$7:BH$176))</f>
        <v>20232.24726014999</v>
      </c>
      <c r="BE16" s="792">
        <f>IF(BE$4="forecast",IF(YEAR(BE$3)=YEAR(Headcount!$N$4),IF((BE$5&lt;12),(SUMPRODUCT(--(Headcount!$F$6:$F$92="Sales"),--(Headcount!$H$6:$H$92&gt;=Sales!BE$3),Headcount!$N$6:$N$92,Headcount!$L$6:$L$92)/12),0),IF(YEAR(BE$3)=YEAR(Headcount!$O$4),IF((BE$5&lt;=12),(SUMPRODUCT(--(Headcount!$F$6:$F$92="Sales"),--(Headcount!$H$6:$H$92&gt;=Sales!BE$3),Headcount!$O$6:$O$92,Headcount!$L$6:$L$92)/12),0),IF(YEAR(BE$3)=YEAR(Headcount!$P$4),IF((BE$5&lt;=12),(SUMPRODUCT(--(Headcount!$F$6:$F$92="Sales"),--(Headcount!$H$6:$H$92&gt;=Sales!BE$3),Headcount!$P$6:$P$92,Headcount!$L$6:$L$92)/12),0),IF(YEAR(BE$3)=YEAR(Headcount!$Q$4),IF((BE$5&lt;=12),(SUMPRODUCT(--(Headcount!$F$6:$F$92="Sales"),--(Headcount!$H$6:$H$92&gt;=Sales!BE$3),Headcount!$Q$6:$Q$92,Headcount!$L$6:$L$92)/12),0),IF(YEAR(BE$3)=YEAR(Headcount!$R$4),IF((BE$5&lt;=12),(SUMPRODUCT(--(Headcount!$F$6:$F$92="Sales"),--(Headcount!$H$6:$H$92&gt;=Sales!BE$3),Headcount!$R$6:$R$92,Headcount!$L$6:$L$92)/12),0),"New Year"))))),SUMIF('Dept. Cost Actuals'!$E$7:$E$176,"*bonus*",'Dept. Cost Actuals'!BI$7:BI$176))</f>
        <v>20232.24726014999</v>
      </c>
      <c r="BF16" s="792">
        <f>IF(BF$4="forecast",IF(YEAR(BF$3)=YEAR(Headcount!$N$4),IF((BF$5&lt;12),(SUMPRODUCT(--(Headcount!$F$6:$F$92="Sales"),--(Headcount!$H$6:$H$92&gt;=Sales!BF$3),Headcount!$N$6:$N$92,Headcount!$L$6:$L$92)/12),0),IF(YEAR(BF$3)=YEAR(Headcount!$O$4),IF((BF$5&lt;=12),(SUMPRODUCT(--(Headcount!$F$6:$F$92="Sales"),--(Headcount!$H$6:$H$92&gt;=Sales!BF$3),Headcount!$O$6:$O$92,Headcount!$L$6:$L$92)/12),0),IF(YEAR(BF$3)=YEAR(Headcount!$P$4),IF((BF$5&lt;=12),(SUMPRODUCT(--(Headcount!$F$6:$F$92="Sales"),--(Headcount!$H$6:$H$92&gt;=Sales!BF$3),Headcount!$P$6:$P$92,Headcount!$L$6:$L$92)/12),0),IF(YEAR(BF$3)=YEAR(Headcount!$Q$4),IF((BF$5&lt;=12),(SUMPRODUCT(--(Headcount!$F$6:$F$92="Sales"),--(Headcount!$H$6:$H$92&gt;=Sales!BF$3),Headcount!$Q$6:$Q$92,Headcount!$L$6:$L$92)/12),0),IF(YEAR(BF$3)=YEAR(Headcount!$R$4),IF((BF$5&lt;=12),(SUMPRODUCT(--(Headcount!$F$6:$F$92="Sales"),--(Headcount!$H$6:$H$92&gt;=Sales!BF$3),Headcount!$R$6:$R$92,Headcount!$L$6:$L$92)/12),0),"New Year"))))),SUMIF('Dept. Cost Actuals'!$E$7:$E$176,"*bonus*",'Dept. Cost Actuals'!BJ$7:BJ$176))</f>
        <v>20232.24726014999</v>
      </c>
      <c r="BG16" s="792">
        <f>IF(BG$4="forecast",IF(YEAR(BG$3)=YEAR(Headcount!$N$4),IF((BG$5&lt;12),(SUMPRODUCT(--(Headcount!$F$6:$F$92="Sales"),--(Headcount!$H$6:$H$92&gt;=Sales!BG$3),Headcount!$N$6:$N$92,Headcount!$L$6:$L$92)/12),0),IF(YEAR(BG$3)=YEAR(Headcount!$O$4),IF((BG$5&lt;=12),(SUMPRODUCT(--(Headcount!$F$6:$F$92="Sales"),--(Headcount!$H$6:$H$92&gt;=Sales!BG$3),Headcount!$O$6:$O$92,Headcount!$L$6:$L$92)/12),0),IF(YEAR(BG$3)=YEAR(Headcount!$P$4),IF((BG$5&lt;=12),(SUMPRODUCT(--(Headcount!$F$6:$F$92="Sales"),--(Headcount!$H$6:$H$92&gt;=Sales!BG$3),Headcount!$P$6:$P$92,Headcount!$L$6:$L$92)/12),0),IF(YEAR(BG$3)=YEAR(Headcount!$Q$4),IF((BG$5&lt;=12),(SUMPRODUCT(--(Headcount!$F$6:$F$92="Sales"),--(Headcount!$H$6:$H$92&gt;=Sales!BG$3),Headcount!$Q$6:$Q$92,Headcount!$L$6:$L$92)/12),0),IF(YEAR(BG$3)=YEAR(Headcount!$R$4),IF((BG$5&lt;=12),(SUMPRODUCT(--(Headcount!$F$6:$F$92="Sales"),--(Headcount!$H$6:$H$92&gt;=Sales!BG$3),Headcount!$R$6:$R$92,Headcount!$L$6:$L$92)/12),0),"New Year"))))),SUMIF('Dept. Cost Actuals'!$E$7:$E$176,"*bonus*",'Dept. Cost Actuals'!BK$7:BK$176))</f>
        <v>20232.24726014999</v>
      </c>
      <c r="BH16" s="792">
        <f>IF(BH$4="forecast",IF(YEAR(BH$3)=YEAR(Headcount!$N$4),IF((BH$5&lt;12),(SUMPRODUCT(--(Headcount!$F$6:$F$92="Sales"),--(Headcount!$H$6:$H$92&gt;=Sales!BH$3),Headcount!$N$6:$N$92,Headcount!$L$6:$L$92)/12),0),IF(YEAR(BH$3)=YEAR(Headcount!$O$4),IF((BH$5&lt;=12),(SUMPRODUCT(--(Headcount!$F$6:$F$92="Sales"),--(Headcount!$H$6:$H$92&gt;=Sales!BH$3),Headcount!$O$6:$O$92,Headcount!$L$6:$L$92)/12),0),IF(YEAR(BH$3)=YEAR(Headcount!$P$4),IF((BH$5&lt;=12),(SUMPRODUCT(--(Headcount!$F$6:$F$92="Sales"),--(Headcount!$H$6:$H$92&gt;=Sales!BH$3),Headcount!$P$6:$P$92,Headcount!$L$6:$L$92)/12),0),IF(YEAR(BH$3)=YEAR(Headcount!$Q$4),IF((BH$5&lt;=12),(SUMPRODUCT(--(Headcount!$F$6:$F$92="Sales"),--(Headcount!$H$6:$H$92&gt;=Sales!BH$3),Headcount!$Q$6:$Q$92,Headcount!$L$6:$L$92)/12),0),IF(YEAR(BH$3)=YEAR(Headcount!$R$4),IF((BH$5&lt;=12),(SUMPRODUCT(--(Headcount!$F$6:$F$92="Sales"),--(Headcount!$H$6:$H$92&gt;=Sales!BH$3),Headcount!$R$6:$R$92,Headcount!$L$6:$L$92)/12),0),"New Year"))))),SUMIF('Dept. Cost Actuals'!$E$7:$E$176,"*bonus*",'Dept. Cost Actuals'!BL$7:BL$176))</f>
        <v>20232.24726014999</v>
      </c>
      <c r="BI16" s="792">
        <f>IF(BI$4="forecast",IF(YEAR(BI$3)=YEAR(Headcount!$N$4),IF((BI$5&lt;12),(SUMPRODUCT(--(Headcount!$F$6:$F$92="Sales"),--(Headcount!$H$6:$H$92&gt;=Sales!BI$3),Headcount!$N$6:$N$92,Headcount!$L$6:$L$92)/12),0),IF(YEAR(BI$3)=YEAR(Headcount!$O$4),IF((BI$5&lt;=12),(SUMPRODUCT(--(Headcount!$F$6:$F$92="Sales"),--(Headcount!$H$6:$H$92&gt;=Sales!BI$3),Headcount!$O$6:$O$92,Headcount!$L$6:$L$92)/12),0),IF(YEAR(BI$3)=YEAR(Headcount!$P$4),IF((BI$5&lt;=12),(SUMPRODUCT(--(Headcount!$F$6:$F$92="Sales"),--(Headcount!$H$6:$H$92&gt;=Sales!BI$3),Headcount!$P$6:$P$92,Headcount!$L$6:$L$92)/12),0),IF(YEAR(BI$3)=YEAR(Headcount!$Q$4),IF((BI$5&lt;=12),(SUMPRODUCT(--(Headcount!$F$6:$F$92="Sales"),--(Headcount!$H$6:$H$92&gt;=Sales!BI$3),Headcount!$Q$6:$Q$92,Headcount!$L$6:$L$92)/12),0),IF(YEAR(BI$3)=YEAR(Headcount!$R$4),IF((BI$5&lt;=12),(SUMPRODUCT(--(Headcount!$F$6:$F$92="Sales"),--(Headcount!$H$6:$H$92&gt;=Sales!BI$3),Headcount!$R$6:$R$92,Headcount!$L$6:$L$92)/12),0),"New Year"))))),SUMIF('Dept. Cost Actuals'!$E$7:$E$176,"*bonus*",'Dept. Cost Actuals'!BM$7:BM$176))</f>
        <v>20232.24726014999</v>
      </c>
      <c r="BJ16" s="792">
        <f>IF(BJ$4="forecast",IF(YEAR(BJ$3)=YEAR(Headcount!$N$4),IF((BJ$5&lt;12),(SUMPRODUCT(--(Headcount!$F$6:$F$92="Sales"),--(Headcount!$H$6:$H$92&gt;=Sales!BJ$3),Headcount!$N$6:$N$92,Headcount!$L$6:$L$92)/12),0),IF(YEAR(BJ$3)=YEAR(Headcount!$O$4),IF((BJ$5&lt;=12),(SUMPRODUCT(--(Headcount!$F$6:$F$92="Sales"),--(Headcount!$H$6:$H$92&gt;=Sales!BJ$3),Headcount!$O$6:$O$92,Headcount!$L$6:$L$92)/12),0),IF(YEAR(BJ$3)=YEAR(Headcount!$P$4),IF((BJ$5&lt;=12),(SUMPRODUCT(--(Headcount!$F$6:$F$92="Sales"),--(Headcount!$H$6:$H$92&gt;=Sales!BJ$3),Headcount!$P$6:$P$92,Headcount!$L$6:$L$92)/12),0),IF(YEAR(BJ$3)=YEAR(Headcount!$Q$4),IF((BJ$5&lt;=12),(SUMPRODUCT(--(Headcount!$F$6:$F$92="Sales"),--(Headcount!$H$6:$H$92&gt;=Sales!BJ$3),Headcount!$Q$6:$Q$92,Headcount!$L$6:$L$92)/12),0),IF(YEAR(BJ$3)=YEAR(Headcount!$R$4),IF((BJ$5&lt;=12),(SUMPRODUCT(--(Headcount!$F$6:$F$92="Sales"),--(Headcount!$H$6:$H$92&gt;=Sales!BJ$3),Headcount!$R$6:$R$92,Headcount!$L$6:$L$92)/12),0),"New Year"))))),SUMIF('Dept. Cost Actuals'!$E$7:$E$176,"*bonus*",'Dept. Cost Actuals'!BN$7:BN$176))</f>
        <v>20232.24726014999</v>
      </c>
      <c r="BK16" s="792">
        <f>IF(BK$4="forecast",IF(YEAR(BK$3)=YEAR(Headcount!$N$4),IF((BK$5&lt;12),(SUMPRODUCT(--(Headcount!$F$6:$F$92="Sales"),--(Headcount!$H$6:$H$92&gt;=Sales!BK$3),Headcount!$N$6:$N$92,Headcount!$L$6:$L$92)/12),0),IF(YEAR(BK$3)=YEAR(Headcount!$O$4),IF((BK$5&lt;=12),(SUMPRODUCT(--(Headcount!$F$6:$F$92="Sales"),--(Headcount!$H$6:$H$92&gt;=Sales!BK$3),Headcount!$O$6:$O$92,Headcount!$L$6:$L$92)/12),0),IF(YEAR(BK$3)=YEAR(Headcount!$P$4),IF((BK$5&lt;=12),(SUMPRODUCT(--(Headcount!$F$6:$F$92="Sales"),--(Headcount!$H$6:$H$92&gt;=Sales!BK$3),Headcount!$P$6:$P$92,Headcount!$L$6:$L$92)/12),0),IF(YEAR(BK$3)=YEAR(Headcount!$Q$4),IF((BK$5&lt;=12),(SUMPRODUCT(--(Headcount!$F$6:$F$92="Sales"),--(Headcount!$H$6:$H$92&gt;=Sales!BK$3),Headcount!$Q$6:$Q$92,Headcount!$L$6:$L$92)/12),0),IF(YEAR(BK$3)=YEAR(Headcount!$R$4),IF((BK$5&lt;=12),(SUMPRODUCT(--(Headcount!$F$6:$F$92="Sales"),--(Headcount!$H$6:$H$92&gt;=Sales!BK$3),Headcount!$R$6:$R$92,Headcount!$L$6:$L$92)/12),0),"New Year"))))),SUMIF('Dept. Cost Actuals'!$E$7:$E$176,"*bonus*",'Dept. Cost Actuals'!BO$7:BO$176))</f>
        <v>20839.2146779545</v>
      </c>
      <c r="BL16" s="792">
        <f>IF(BL$4="forecast",IF(YEAR(BL$3)=YEAR(Headcount!$N$4),IF((BL$5&lt;12),(SUMPRODUCT(--(Headcount!$F$6:$F$92="Sales"),--(Headcount!$H$6:$H$92&gt;=Sales!BL$3),Headcount!$N$6:$N$92,Headcount!$L$6:$L$92)/12),0),IF(YEAR(BL$3)=YEAR(Headcount!$O$4),IF((BL$5&lt;=12),(SUMPRODUCT(--(Headcount!$F$6:$F$92="Sales"),--(Headcount!$H$6:$H$92&gt;=Sales!BL$3),Headcount!$O$6:$O$92,Headcount!$L$6:$L$92)/12),0),IF(YEAR(BL$3)=YEAR(Headcount!$P$4),IF((BL$5&lt;=12),(SUMPRODUCT(--(Headcount!$F$6:$F$92="Sales"),--(Headcount!$H$6:$H$92&gt;=Sales!BL$3),Headcount!$P$6:$P$92,Headcount!$L$6:$L$92)/12),0),IF(YEAR(BL$3)=YEAR(Headcount!$Q$4),IF((BL$5&lt;=12),(SUMPRODUCT(--(Headcount!$F$6:$F$92="Sales"),--(Headcount!$H$6:$H$92&gt;=Sales!BL$3),Headcount!$Q$6:$Q$92,Headcount!$L$6:$L$92)/12),0),IF(YEAR(BL$3)=YEAR(Headcount!$R$4),IF((BL$5&lt;=12),(SUMPRODUCT(--(Headcount!$F$6:$F$92="Sales"),--(Headcount!$H$6:$H$92&gt;=Sales!BL$3),Headcount!$R$6:$R$92,Headcount!$L$6:$L$92)/12),0),"New Year"))))),SUMIF('Dept. Cost Actuals'!$E$7:$E$176,"*bonus*",'Dept. Cost Actuals'!BP$7:BP$176))</f>
        <v>20839.2146779545</v>
      </c>
      <c r="BM16" s="792">
        <f>IF(BM$4="forecast",IF(YEAR(BM$3)=YEAR(Headcount!$N$4),IF((BM$5&lt;12),(SUMPRODUCT(--(Headcount!$F$6:$F$92="Sales"),--(Headcount!$H$6:$H$92&gt;=Sales!BM$3),Headcount!$N$6:$N$92,Headcount!$L$6:$L$92)/12),0),IF(YEAR(BM$3)=YEAR(Headcount!$O$4),IF((BM$5&lt;=12),(SUMPRODUCT(--(Headcount!$F$6:$F$92="Sales"),--(Headcount!$H$6:$H$92&gt;=Sales!BM$3),Headcount!$O$6:$O$92,Headcount!$L$6:$L$92)/12),0),IF(YEAR(BM$3)=YEAR(Headcount!$P$4),IF((BM$5&lt;=12),(SUMPRODUCT(--(Headcount!$F$6:$F$92="Sales"),--(Headcount!$H$6:$H$92&gt;=Sales!BM$3),Headcount!$P$6:$P$92,Headcount!$L$6:$L$92)/12),0),IF(YEAR(BM$3)=YEAR(Headcount!$Q$4),IF((BM$5&lt;=12),(SUMPRODUCT(--(Headcount!$F$6:$F$92="Sales"),--(Headcount!$H$6:$H$92&gt;=Sales!BM$3),Headcount!$Q$6:$Q$92,Headcount!$L$6:$L$92)/12),0),IF(YEAR(BM$3)=YEAR(Headcount!$R$4),IF((BM$5&lt;=12),(SUMPRODUCT(--(Headcount!$F$6:$F$92="Sales"),--(Headcount!$H$6:$H$92&gt;=Sales!BM$3),Headcount!$R$6:$R$92,Headcount!$L$6:$L$92)/12),0),"New Year"))))),SUMIF('Dept. Cost Actuals'!$E$7:$E$176,"*bonus*",'Dept. Cost Actuals'!BQ$7:BQ$176))</f>
        <v>20839.2146779545</v>
      </c>
      <c r="BN16" s="792">
        <f>IF(BN$4="forecast",IF(YEAR(BN$3)=YEAR(Headcount!$N$4),IF((BN$5&lt;12),(SUMPRODUCT(--(Headcount!$F$6:$F$92="Sales"),--(Headcount!$H$6:$H$92&gt;=Sales!BN$3),Headcount!$N$6:$N$92,Headcount!$L$6:$L$92)/12),0),IF(YEAR(BN$3)=YEAR(Headcount!$O$4),IF((BN$5&lt;=12),(SUMPRODUCT(--(Headcount!$F$6:$F$92="Sales"),--(Headcount!$H$6:$H$92&gt;=Sales!BN$3),Headcount!$O$6:$O$92,Headcount!$L$6:$L$92)/12),0),IF(YEAR(BN$3)=YEAR(Headcount!$P$4),IF((BN$5&lt;=12),(SUMPRODUCT(--(Headcount!$F$6:$F$92="Sales"),--(Headcount!$H$6:$H$92&gt;=Sales!BN$3),Headcount!$P$6:$P$92,Headcount!$L$6:$L$92)/12),0),IF(YEAR(BN$3)=YEAR(Headcount!$Q$4),IF((BN$5&lt;=12),(SUMPRODUCT(--(Headcount!$F$6:$F$92="Sales"),--(Headcount!$H$6:$H$92&gt;=Sales!BN$3),Headcount!$Q$6:$Q$92,Headcount!$L$6:$L$92)/12),0),IF(YEAR(BN$3)=YEAR(Headcount!$R$4),IF((BN$5&lt;=12),(SUMPRODUCT(--(Headcount!$F$6:$F$92="Sales"),--(Headcount!$H$6:$H$92&gt;=Sales!BN$3),Headcount!$R$6:$R$92,Headcount!$L$6:$L$92)/12),0),"New Year"))))),SUMIF('Dept. Cost Actuals'!$E$7:$E$176,"*bonus*",'Dept. Cost Actuals'!BR$7:BR$176))</f>
        <v>20839.2146779545</v>
      </c>
      <c r="BO16" s="792">
        <f>IF(BO$4="forecast",IF(YEAR(BO$3)=YEAR(Headcount!$N$4),IF((BO$5&lt;12),(SUMPRODUCT(--(Headcount!$F$6:$F$92="Sales"),--(Headcount!$H$6:$H$92&gt;=Sales!BO$3),Headcount!$N$6:$N$92,Headcount!$L$6:$L$92)/12),0),IF(YEAR(BO$3)=YEAR(Headcount!$O$4),IF((BO$5&lt;=12),(SUMPRODUCT(--(Headcount!$F$6:$F$92="Sales"),--(Headcount!$H$6:$H$92&gt;=Sales!BO$3),Headcount!$O$6:$O$92,Headcount!$L$6:$L$92)/12),0),IF(YEAR(BO$3)=YEAR(Headcount!$P$4),IF((BO$5&lt;=12),(SUMPRODUCT(--(Headcount!$F$6:$F$92="Sales"),--(Headcount!$H$6:$H$92&gt;=Sales!BO$3),Headcount!$P$6:$P$92,Headcount!$L$6:$L$92)/12),0),IF(YEAR(BO$3)=YEAR(Headcount!$Q$4),IF((BO$5&lt;=12),(SUMPRODUCT(--(Headcount!$F$6:$F$92="Sales"),--(Headcount!$H$6:$H$92&gt;=Sales!BO$3),Headcount!$Q$6:$Q$92,Headcount!$L$6:$L$92)/12),0),IF(YEAR(BO$3)=YEAR(Headcount!$R$4),IF((BO$5&lt;=12),(SUMPRODUCT(--(Headcount!$F$6:$F$92="Sales"),--(Headcount!$H$6:$H$92&gt;=Sales!BO$3),Headcount!$R$6:$R$92,Headcount!$L$6:$L$92)/12),0),"New Year"))))),SUMIF('Dept. Cost Actuals'!$E$7:$E$176,"*bonus*",'Dept. Cost Actuals'!BS$7:BS$176))</f>
        <v>20839.2146779545</v>
      </c>
      <c r="BP16" s="792">
        <f>IF(BP$4="forecast",IF(YEAR(BP$3)=YEAR(Headcount!$N$4),IF((BP$5&lt;12),(SUMPRODUCT(--(Headcount!$F$6:$F$92="Sales"),--(Headcount!$H$6:$H$92&gt;=Sales!BP$3),Headcount!$N$6:$N$92,Headcount!$L$6:$L$92)/12),0),IF(YEAR(BP$3)=YEAR(Headcount!$O$4),IF((BP$5&lt;=12),(SUMPRODUCT(--(Headcount!$F$6:$F$92="Sales"),--(Headcount!$H$6:$H$92&gt;=Sales!BP$3),Headcount!$O$6:$O$92,Headcount!$L$6:$L$92)/12),0),IF(YEAR(BP$3)=YEAR(Headcount!$P$4),IF((BP$5&lt;=12),(SUMPRODUCT(--(Headcount!$F$6:$F$92="Sales"),--(Headcount!$H$6:$H$92&gt;=Sales!BP$3),Headcount!$P$6:$P$92,Headcount!$L$6:$L$92)/12),0),IF(YEAR(BP$3)=YEAR(Headcount!$Q$4),IF((BP$5&lt;=12),(SUMPRODUCT(--(Headcount!$F$6:$F$92="Sales"),--(Headcount!$H$6:$H$92&gt;=Sales!BP$3),Headcount!$Q$6:$Q$92,Headcount!$L$6:$L$92)/12),0),IF(YEAR(BP$3)=YEAR(Headcount!$R$4),IF((BP$5&lt;=12),(SUMPRODUCT(--(Headcount!$F$6:$F$92="Sales"),--(Headcount!$H$6:$H$92&gt;=Sales!BP$3),Headcount!$R$6:$R$92,Headcount!$L$6:$L$92)/12),0),"New Year"))))),SUMIF('Dept. Cost Actuals'!$E$7:$E$176,"*bonus*",'Dept. Cost Actuals'!BT$7:BT$176))</f>
        <v>20839.2146779545</v>
      </c>
      <c r="BQ16" s="792">
        <f>IF(BQ$4="forecast",IF(YEAR(BQ$3)=YEAR(Headcount!$N$4),IF((BQ$5&lt;12),(SUMPRODUCT(--(Headcount!$F$6:$F$92="Sales"),--(Headcount!$H$6:$H$92&gt;=Sales!BQ$3),Headcount!$N$6:$N$92,Headcount!$L$6:$L$92)/12),0),IF(YEAR(BQ$3)=YEAR(Headcount!$O$4),IF((BQ$5&lt;=12),(SUMPRODUCT(--(Headcount!$F$6:$F$92="Sales"),--(Headcount!$H$6:$H$92&gt;=Sales!BQ$3),Headcount!$O$6:$O$92,Headcount!$L$6:$L$92)/12),0),IF(YEAR(BQ$3)=YEAR(Headcount!$P$4),IF((BQ$5&lt;=12),(SUMPRODUCT(--(Headcount!$F$6:$F$92="Sales"),--(Headcount!$H$6:$H$92&gt;=Sales!BQ$3),Headcount!$P$6:$P$92,Headcount!$L$6:$L$92)/12),0),IF(YEAR(BQ$3)=YEAR(Headcount!$Q$4),IF((BQ$5&lt;=12),(SUMPRODUCT(--(Headcount!$F$6:$F$92="Sales"),--(Headcount!$H$6:$H$92&gt;=Sales!BQ$3),Headcount!$Q$6:$Q$92,Headcount!$L$6:$L$92)/12),0),IF(YEAR(BQ$3)=YEAR(Headcount!$R$4),IF((BQ$5&lt;=12),(SUMPRODUCT(--(Headcount!$F$6:$F$92="Sales"),--(Headcount!$H$6:$H$92&gt;=Sales!BQ$3),Headcount!$R$6:$R$92,Headcount!$L$6:$L$92)/12),0),"New Year"))))),SUMIF('Dept. Cost Actuals'!$E$7:$E$176,"*bonus*",'Dept. Cost Actuals'!BU$7:BU$176))</f>
        <v>20839.2146779545</v>
      </c>
      <c r="BR16" s="792">
        <f>IF(BR$4="forecast",IF(YEAR(BR$3)=YEAR(Headcount!$N$4),IF((BR$5&lt;12),(SUMPRODUCT(--(Headcount!$F$6:$F$92="Sales"),--(Headcount!$H$6:$H$92&gt;=Sales!BR$3),Headcount!$N$6:$N$92,Headcount!$L$6:$L$92)/12),0),IF(YEAR(BR$3)=YEAR(Headcount!$O$4),IF((BR$5&lt;=12),(SUMPRODUCT(--(Headcount!$F$6:$F$92="Sales"),--(Headcount!$H$6:$H$92&gt;=Sales!BR$3),Headcount!$O$6:$O$92,Headcount!$L$6:$L$92)/12),0),IF(YEAR(BR$3)=YEAR(Headcount!$P$4),IF((BR$5&lt;=12),(SUMPRODUCT(--(Headcount!$F$6:$F$92="Sales"),--(Headcount!$H$6:$H$92&gt;=Sales!BR$3),Headcount!$P$6:$P$92,Headcount!$L$6:$L$92)/12),0),IF(YEAR(BR$3)=YEAR(Headcount!$Q$4),IF((BR$5&lt;=12),(SUMPRODUCT(--(Headcount!$F$6:$F$92="Sales"),--(Headcount!$H$6:$H$92&gt;=Sales!BR$3),Headcount!$Q$6:$Q$92,Headcount!$L$6:$L$92)/12),0),IF(YEAR(BR$3)=YEAR(Headcount!$R$4),IF((BR$5&lt;=12),(SUMPRODUCT(--(Headcount!$F$6:$F$92="Sales"),--(Headcount!$H$6:$H$92&gt;=Sales!BR$3),Headcount!$R$6:$R$92,Headcount!$L$6:$L$92)/12),0),"New Year"))))),SUMIF('Dept. Cost Actuals'!$E$7:$E$176,"*bonus*",'Dept. Cost Actuals'!BV$7:BV$176))</f>
        <v>20839.2146779545</v>
      </c>
      <c r="BS16" s="792">
        <f>IF(BS$4="forecast",IF(YEAR(BS$3)=YEAR(Headcount!$N$4),IF((BS$5&lt;12),(SUMPRODUCT(--(Headcount!$F$6:$F$92="Sales"),--(Headcount!$H$6:$H$92&gt;=Sales!BS$3),Headcount!$N$6:$N$92,Headcount!$L$6:$L$92)/12),0),IF(YEAR(BS$3)=YEAR(Headcount!$O$4),IF((BS$5&lt;=12),(SUMPRODUCT(--(Headcount!$F$6:$F$92="Sales"),--(Headcount!$H$6:$H$92&gt;=Sales!BS$3),Headcount!$O$6:$O$92,Headcount!$L$6:$L$92)/12),0),IF(YEAR(BS$3)=YEAR(Headcount!$P$4),IF((BS$5&lt;=12),(SUMPRODUCT(--(Headcount!$F$6:$F$92="Sales"),--(Headcount!$H$6:$H$92&gt;=Sales!BS$3),Headcount!$P$6:$P$92,Headcount!$L$6:$L$92)/12),0),IF(YEAR(BS$3)=YEAR(Headcount!$Q$4),IF((BS$5&lt;=12),(SUMPRODUCT(--(Headcount!$F$6:$F$92="Sales"),--(Headcount!$H$6:$H$92&gt;=Sales!BS$3),Headcount!$Q$6:$Q$92,Headcount!$L$6:$L$92)/12),0),IF(YEAR(BS$3)=YEAR(Headcount!$R$4),IF((BS$5&lt;=12),(SUMPRODUCT(--(Headcount!$F$6:$F$92="Sales"),--(Headcount!$H$6:$H$92&gt;=Sales!BS$3),Headcount!$R$6:$R$92,Headcount!$L$6:$L$92)/12),0),"New Year"))))),SUMIF('Dept. Cost Actuals'!$E$7:$E$176,"*bonus*",'Dept. Cost Actuals'!BW$7:BW$176))</f>
        <v>20839.2146779545</v>
      </c>
      <c r="BT16" s="792">
        <f>IF(BT$4="forecast",IF(YEAR(BT$3)=YEAR(Headcount!$N$4),IF((BT$5&lt;12),(SUMPRODUCT(--(Headcount!$F$6:$F$92="Sales"),--(Headcount!$H$6:$H$92&gt;=Sales!BT$3),Headcount!$N$6:$N$92,Headcount!$L$6:$L$92)/12),0),IF(YEAR(BT$3)=YEAR(Headcount!$O$4),IF((BT$5&lt;=12),(SUMPRODUCT(--(Headcount!$F$6:$F$92="Sales"),--(Headcount!$H$6:$H$92&gt;=Sales!BT$3),Headcount!$O$6:$O$92,Headcount!$L$6:$L$92)/12),0),IF(YEAR(BT$3)=YEAR(Headcount!$P$4),IF((BT$5&lt;=12),(SUMPRODUCT(--(Headcount!$F$6:$F$92="Sales"),--(Headcount!$H$6:$H$92&gt;=Sales!BT$3),Headcount!$P$6:$P$92,Headcount!$L$6:$L$92)/12),0),IF(YEAR(BT$3)=YEAR(Headcount!$Q$4),IF((BT$5&lt;=12),(SUMPRODUCT(--(Headcount!$F$6:$F$92="Sales"),--(Headcount!$H$6:$H$92&gt;=Sales!BT$3),Headcount!$Q$6:$Q$92,Headcount!$L$6:$L$92)/12),0),IF(YEAR(BT$3)=YEAR(Headcount!$R$4),IF((BT$5&lt;=12),(SUMPRODUCT(--(Headcount!$F$6:$F$92="Sales"),--(Headcount!$H$6:$H$92&gt;=Sales!BT$3),Headcount!$R$6:$R$92,Headcount!$L$6:$L$92)/12),0),"New Year"))))),SUMIF('Dept. Cost Actuals'!$E$7:$E$176,"*bonus*",'Dept. Cost Actuals'!BX$7:BX$176))</f>
        <v>20839.2146779545</v>
      </c>
      <c r="BU16" s="792">
        <f>IF(BU$4="forecast",IF(YEAR(BU$3)=YEAR(Headcount!$N$4),IF((BU$5&lt;12),(SUMPRODUCT(--(Headcount!$F$6:$F$92="Sales"),--(Headcount!$H$6:$H$92&gt;=Sales!BU$3),Headcount!$N$6:$N$92,Headcount!$L$6:$L$92)/12),0),IF(YEAR(BU$3)=YEAR(Headcount!$O$4),IF((BU$5&lt;=12),(SUMPRODUCT(--(Headcount!$F$6:$F$92="Sales"),--(Headcount!$H$6:$H$92&gt;=Sales!BU$3),Headcount!$O$6:$O$92,Headcount!$L$6:$L$92)/12),0),IF(YEAR(BU$3)=YEAR(Headcount!$P$4),IF((BU$5&lt;=12),(SUMPRODUCT(--(Headcount!$F$6:$F$92="Sales"),--(Headcount!$H$6:$H$92&gt;=Sales!BU$3),Headcount!$P$6:$P$92,Headcount!$L$6:$L$92)/12),0),IF(YEAR(BU$3)=YEAR(Headcount!$Q$4),IF((BU$5&lt;=12),(SUMPRODUCT(--(Headcount!$F$6:$F$92="Sales"),--(Headcount!$H$6:$H$92&gt;=Sales!BU$3),Headcount!$Q$6:$Q$92,Headcount!$L$6:$L$92)/12),0),IF(YEAR(BU$3)=YEAR(Headcount!$R$4),IF((BU$5&lt;=12),(SUMPRODUCT(--(Headcount!$F$6:$F$92="Sales"),--(Headcount!$H$6:$H$92&gt;=Sales!BU$3),Headcount!$R$6:$R$92,Headcount!$L$6:$L$92)/12),0),"New Year"))))),SUMIF('Dept. Cost Actuals'!$E$7:$E$176,"*bonus*",'Dept. Cost Actuals'!BY$7:BY$176))</f>
        <v>20839.2146779545</v>
      </c>
      <c r="BV16" s="798">
        <f>IF(BV$4="forecast",IF(YEAR(BV$3)=YEAR(Headcount!$N$4),IF((BV$5&lt;12),(SUMPRODUCT(--(Headcount!$F$6:$F$92="Sales"),--(Headcount!$H$6:$H$92&gt;=Sales!BV$3),Headcount!$N$6:$N$92,Headcount!$L$6:$L$92)/12),0),IF(YEAR(BV$3)=YEAR(Headcount!$O$4),IF((BV$5&lt;=12),(SUMPRODUCT(--(Headcount!$F$6:$F$92="Sales"),--(Headcount!$H$6:$H$92&gt;=Sales!BV$3),Headcount!$O$6:$O$92,Headcount!$L$6:$L$92)/12),0),IF(YEAR(BV$3)=YEAR(Headcount!$P$4),IF((BV$5&lt;=12),(SUMPRODUCT(--(Headcount!$F$6:$F$92="Sales"),--(Headcount!$H$6:$H$92&gt;=Sales!BV$3),Headcount!$P$6:$P$92,Headcount!$L$6:$L$92)/12),0),IF(YEAR(BV$3)=YEAR(Headcount!$Q$4),IF((BV$5&lt;=12),(SUMPRODUCT(--(Headcount!$F$6:$F$92="Sales"),--(Headcount!$H$6:$H$92&gt;=Sales!BV$3),Headcount!$Q$6:$Q$92,Headcount!$L$6:$L$92)/12),0),IF(YEAR(BV$3)=YEAR(Headcount!$R$4),IF((BV$5&lt;=12),(SUMPRODUCT(--(Headcount!$F$6:$F$92="Sales"),--(Headcount!$H$6:$H$92&gt;=Sales!BV$3),Headcount!$R$6:$R$92,Headcount!$L$6:$L$92)/12),0),"New Year"))))),SUMIF('Dept. Cost Actuals'!$E$7:$E$176,"*bonus*",'Dept. Cost Actuals'!BZ$7:BZ$176))</f>
        <v>20839.2146779545</v>
      </c>
    </row>
    <row r="17" spans="2:74" s="626" customFormat="1" ht="12.75" x14ac:dyDescent="0.2">
      <c r="B17" s="791" t="s">
        <v>932</v>
      </c>
      <c r="C17" s="1210">
        <f t="shared" ref="C17:N17" si="5">SUM(C15:C16)</f>
        <v>240</v>
      </c>
      <c r="D17" s="1210">
        <f t="shared" si="5"/>
        <v>240</v>
      </c>
      <c r="E17" s="1210">
        <f t="shared" si="5"/>
        <v>240</v>
      </c>
      <c r="F17" s="1210">
        <f t="shared" si="5"/>
        <v>240</v>
      </c>
      <c r="G17" s="1210">
        <f t="shared" si="5"/>
        <v>4827.37</v>
      </c>
      <c r="H17" s="1210">
        <f t="shared" si="5"/>
        <v>275</v>
      </c>
      <c r="I17" s="1210">
        <f t="shared" si="5"/>
        <v>222.5</v>
      </c>
      <c r="J17" s="1210">
        <f t="shared" si="5"/>
        <v>10683.18</v>
      </c>
      <c r="K17" s="1210">
        <f t="shared" si="5"/>
        <v>240</v>
      </c>
      <c r="L17" s="1210">
        <f t="shared" si="5"/>
        <v>240</v>
      </c>
      <c r="M17" s="1210">
        <f t="shared" si="5"/>
        <v>4792.87</v>
      </c>
      <c r="N17" s="1210">
        <f t="shared" si="5"/>
        <v>22249.41</v>
      </c>
      <c r="O17" s="1210">
        <f t="shared" ref="O17:BV17" si="6">SUM(O15:O16)</f>
        <v>16338.01</v>
      </c>
      <c r="P17" s="1210">
        <f t="shared" si="6"/>
        <v>310</v>
      </c>
      <c r="Q17" s="1210">
        <f t="shared" si="6"/>
        <v>2963.9</v>
      </c>
      <c r="R17" s="1210">
        <f t="shared" si="6"/>
        <v>12928.68</v>
      </c>
      <c r="S17" s="1210">
        <f t="shared" si="6"/>
        <v>210</v>
      </c>
      <c r="T17" s="1210">
        <f t="shared" si="6"/>
        <v>410</v>
      </c>
      <c r="U17" s="1210">
        <f t="shared" si="6"/>
        <v>17270.03</v>
      </c>
      <c r="V17" s="1210">
        <f t="shared" si="6"/>
        <v>-1613.68</v>
      </c>
      <c r="W17" s="1210">
        <f t="shared" si="6"/>
        <v>2319.4699999999998</v>
      </c>
      <c r="X17" s="1210">
        <f t="shared" si="6"/>
        <v>21234.01</v>
      </c>
      <c r="Y17" s="1210">
        <f t="shared" si="6"/>
        <v>682.02</v>
      </c>
      <c r="Z17" s="1210">
        <f t="shared" si="6"/>
        <v>87880.639999999999</v>
      </c>
      <c r="AA17" s="1210">
        <f t="shared" si="6"/>
        <v>9961.77</v>
      </c>
      <c r="AB17" s="1210">
        <f t="shared" si="6"/>
        <v>9780.27</v>
      </c>
      <c r="AC17" s="1210">
        <f t="shared" si="6"/>
        <v>10900.77</v>
      </c>
      <c r="AD17" s="1210">
        <f t="shared" si="6"/>
        <v>21529.166833333329</v>
      </c>
      <c r="AE17" s="1210">
        <f t="shared" si="6"/>
        <v>21529.166833333329</v>
      </c>
      <c r="AF17" s="1210">
        <f t="shared" si="6"/>
        <v>21529.166833333329</v>
      </c>
      <c r="AG17" s="1210">
        <f t="shared" si="6"/>
        <v>21529.166833333329</v>
      </c>
      <c r="AH17" s="1210">
        <f t="shared" si="6"/>
        <v>21154.166833333329</v>
      </c>
      <c r="AI17" s="1210">
        <f t="shared" si="6"/>
        <v>21154.166833333329</v>
      </c>
      <c r="AJ17" s="1210">
        <f t="shared" si="6"/>
        <v>21154.166833333329</v>
      </c>
      <c r="AK17" s="1210">
        <f t="shared" si="6"/>
        <v>21154.166833333329</v>
      </c>
      <c r="AL17" s="1210">
        <f t="shared" si="6"/>
        <v>21154.166833333329</v>
      </c>
      <c r="AM17" s="1210">
        <f t="shared" si="6"/>
        <v>21788.791838333331</v>
      </c>
      <c r="AN17" s="1210">
        <f t="shared" si="6"/>
        <v>21788.791838333331</v>
      </c>
      <c r="AO17" s="1210">
        <f t="shared" si="6"/>
        <v>21788.791838333331</v>
      </c>
      <c r="AP17" s="1210">
        <f t="shared" si="6"/>
        <v>21788.791838333331</v>
      </c>
      <c r="AQ17" s="1210">
        <f t="shared" si="6"/>
        <v>21788.791838333331</v>
      </c>
      <c r="AR17" s="1210">
        <f t="shared" si="6"/>
        <v>21788.791838333331</v>
      </c>
      <c r="AS17" s="1210">
        <f t="shared" si="6"/>
        <v>21788.791838333331</v>
      </c>
      <c r="AT17" s="1210">
        <f t="shared" si="6"/>
        <v>21788.791838333331</v>
      </c>
      <c r="AU17" s="1210">
        <f t="shared" si="6"/>
        <v>21788.791838333331</v>
      </c>
      <c r="AV17" s="1210">
        <f t="shared" si="6"/>
        <v>21788.791838333331</v>
      </c>
      <c r="AW17" s="1210">
        <f t="shared" si="6"/>
        <v>21788.791838333331</v>
      </c>
      <c r="AX17" s="1210">
        <f t="shared" si="6"/>
        <v>21788.791838333331</v>
      </c>
      <c r="AY17" s="1210">
        <f t="shared" si="6"/>
        <v>22442.455593483322</v>
      </c>
      <c r="AZ17" s="1210">
        <f t="shared" si="6"/>
        <v>22442.455593483322</v>
      </c>
      <c r="BA17" s="1210">
        <f t="shared" si="6"/>
        <v>22442.455593483322</v>
      </c>
      <c r="BB17" s="1210">
        <f t="shared" si="6"/>
        <v>22442.455593483322</v>
      </c>
      <c r="BC17" s="1210">
        <f t="shared" si="6"/>
        <v>22442.455593483322</v>
      </c>
      <c r="BD17" s="1210">
        <f t="shared" si="6"/>
        <v>22442.455593483322</v>
      </c>
      <c r="BE17" s="1210">
        <f t="shared" si="6"/>
        <v>22442.455593483322</v>
      </c>
      <c r="BF17" s="1210">
        <f t="shared" si="6"/>
        <v>22442.455593483322</v>
      </c>
      <c r="BG17" s="1210">
        <f t="shared" si="6"/>
        <v>22442.455593483322</v>
      </c>
      <c r="BH17" s="1210">
        <f t="shared" si="6"/>
        <v>22442.455593483322</v>
      </c>
      <c r="BI17" s="1210">
        <f t="shared" si="6"/>
        <v>22442.455593483322</v>
      </c>
      <c r="BJ17" s="1210">
        <f t="shared" si="6"/>
        <v>22442.455593483322</v>
      </c>
      <c r="BK17" s="1210">
        <f t="shared" si="6"/>
        <v>23115.729261287834</v>
      </c>
      <c r="BL17" s="1210">
        <f t="shared" si="6"/>
        <v>23115.729261287834</v>
      </c>
      <c r="BM17" s="1210">
        <f t="shared" si="6"/>
        <v>23115.729261287834</v>
      </c>
      <c r="BN17" s="1210">
        <f t="shared" si="6"/>
        <v>23115.729261287834</v>
      </c>
      <c r="BO17" s="1210">
        <f t="shared" si="6"/>
        <v>23115.729261287834</v>
      </c>
      <c r="BP17" s="1210">
        <f t="shared" si="6"/>
        <v>23115.729261287834</v>
      </c>
      <c r="BQ17" s="1210">
        <f t="shared" si="6"/>
        <v>23115.729261287834</v>
      </c>
      <c r="BR17" s="1210">
        <f t="shared" si="6"/>
        <v>23115.729261287834</v>
      </c>
      <c r="BS17" s="1210">
        <f t="shared" si="6"/>
        <v>23115.729261287834</v>
      </c>
      <c r="BT17" s="1210">
        <f t="shared" si="6"/>
        <v>23115.729261287834</v>
      </c>
      <c r="BU17" s="1210">
        <f t="shared" si="6"/>
        <v>23115.729261287834</v>
      </c>
      <c r="BV17" s="974">
        <f t="shared" si="6"/>
        <v>23115.729261287834</v>
      </c>
    </row>
    <row r="18" spans="2:74" s="626" customFormat="1" ht="12.75" x14ac:dyDescent="0.2">
      <c r="B18" s="794" t="s">
        <v>1344</v>
      </c>
      <c r="C18" s="991">
        <f>IF(C$4="forecast",C14*0.12,SUMIF('Dept. Cost Actuals'!$E$7:$E$176,"*payroll taxes*",'Dept. Cost Actuals'!G$7:G$176))</f>
        <v>3023.9646745780483</v>
      </c>
      <c r="D18" s="991">
        <f>IF(D$4="forecast",D14*0.12,SUMIF('Dept. Cost Actuals'!$E$7:$E$176,"*payroll taxes*",'Dept. Cost Actuals'!H$7:H$176))</f>
        <v>2994.1602695822176</v>
      </c>
      <c r="E18" s="991">
        <f>IF(E$4="forecast",E14*0.12,SUMIF('Dept. Cost Actuals'!$E$7:$E$176,"*payroll taxes*",'Dept. Cost Actuals'!I$7:I$176))</f>
        <v>2053.5175843622096</v>
      </c>
      <c r="F18" s="991">
        <f>IF(F$4="forecast",F14*0.12,SUMIF('Dept. Cost Actuals'!$E$7:$E$176,"*payroll taxes*",'Dept. Cost Actuals'!J$7:J$176))</f>
        <v>1940.4422740631671</v>
      </c>
      <c r="G18" s="991">
        <f>IF(G$4="forecast",G14*0.12,SUMIF('Dept. Cost Actuals'!$E$7:$E$176,"*payroll taxes*",'Dept. Cost Actuals'!K$7:K$176))</f>
        <v>2193.8784578935356</v>
      </c>
      <c r="H18" s="991">
        <f>IF(H$4="forecast",H14*0.12,SUMIF('Dept. Cost Actuals'!$E$7:$E$176,"*taxes*",'Dept. Cost Actuals'!L$7:L$176))</f>
        <v>3763.5614799410309</v>
      </c>
      <c r="I18" s="991">
        <f>IF(I$4="forecast",I14*0.12,SUMIF('Dept. Cost Actuals'!$E$7:$E$176,"*payroll taxes*",'Dept. Cost Actuals'!M$7:M$176))</f>
        <v>2737.764808278735</v>
      </c>
      <c r="J18" s="991">
        <f>IF(J$4="forecast",J14*0.12,SUMIF('Dept. Cost Actuals'!$E$7:$E$176,"*payroll taxes*",'Dept. Cost Actuals'!N$7:N$176))</f>
        <v>3663.245917676466</v>
      </c>
      <c r="K18" s="991">
        <f>IF(K$4="forecast",K14*0.12,SUMIF('Dept. Cost Actuals'!$E$7:$E$176,"*payroll taxes*",'Dept. Cost Actuals'!O$7:O$176))</f>
        <v>2422.4540444907425</v>
      </c>
      <c r="L18" s="991">
        <f>IF(L$4="forecast",L14*0.12,SUMIF('Dept. Cost Actuals'!$E$7:$E$176,"*payroll taxes*",'Dept. Cost Actuals'!P$7:P$176))</f>
        <v>2323.187513448278</v>
      </c>
      <c r="M18" s="991">
        <f>IF(M$4="forecast",M14*0.12,SUMIF('Dept. Cost Actuals'!$E$7:$E$176,"*payroll taxes*",'Dept. Cost Actuals'!Q$7:Q$176))</f>
        <v>3881.8057765359194</v>
      </c>
      <c r="N18" s="991">
        <f>IF(N$4="forecast",N14*0.12,SUMIF('Dept. Cost Actuals'!$E$7:$E$176,"*taxes*",'Dept. Cost Actuals'!R$7:R$176))</f>
        <v>4539.8655834778237</v>
      </c>
      <c r="O18" s="991">
        <f>IF(O$4="forecast",O14*0.12,SUMIF('Dept. Cost Actuals'!$E$7:$E$176,"*payroll taxes*",'Dept. Cost Actuals'!S$7:S$176))</f>
        <v>9462.18</v>
      </c>
      <c r="P18" s="991">
        <f>IF(P$4="forecast",P14*0.12,SUMIF('Dept. Cost Actuals'!$E$7:$E$176,"*payroll taxes*",'Dept. Cost Actuals'!T$7:T$176))</f>
        <v>7241.7599999999993</v>
      </c>
      <c r="Q18" s="991">
        <f>IF(Q$4="forecast",Q14*0.12,SUMIF('Dept. Cost Actuals'!$E$7:$E$176,"*payroll taxes*",'Dept. Cost Actuals'!U$7:U$176))</f>
        <v>11146.279999999999</v>
      </c>
      <c r="R18" s="991">
        <f>IF(R$4="forecast",R14*0.12,SUMIF('Dept. Cost Actuals'!$E$7:$E$176,"*payroll taxes*",'Dept. Cost Actuals'!V$7:V$176))</f>
        <v>7669.4099999999989</v>
      </c>
      <c r="S18" s="991">
        <f>IF(S$4="forecast",S14*0.12,SUMIF('Dept. Cost Actuals'!$E$7:$E$176,"*payroll taxes*",'Dept. Cost Actuals'!W$7:W$176))</f>
        <v>8139.3</v>
      </c>
      <c r="T18" s="991">
        <f>IF(T$4="forecast",T14*0.12,SUMIF('Dept. Cost Actuals'!$E$7:$E$176,"*payroll taxes*",'Dept. Cost Actuals'!X$7:X$176))</f>
        <v>7039.7699999999995</v>
      </c>
      <c r="U18" s="991">
        <f>IF(U$4="forecast",U14*0.12,SUMIF('Dept. Cost Actuals'!$E$7:$E$176,"*payroll taxes*",'Dept. Cost Actuals'!Y$7:Y$176))</f>
        <v>8012.3600000000006</v>
      </c>
      <c r="V18" s="991">
        <f>IF(V$4="forecast",V14*0.12,SUMIF('Dept. Cost Actuals'!$E$7:$E$176,"*payroll taxes*",'Dept. Cost Actuals'!Z$7:Z$176))</f>
        <v>8819.66</v>
      </c>
      <c r="W18" s="991">
        <f>IF(W$4="forecast",W14*0.12,SUMIF('Dept. Cost Actuals'!$E$7:$E$176,"*payroll taxes*",'Dept. Cost Actuals'!AA$7:AA$176))</f>
        <v>8042.5600000000013</v>
      </c>
      <c r="X18" s="991">
        <f>IF(X$4="forecast",X14*0.12,SUMIF('Dept. Cost Actuals'!$E$7:$E$176,"*payroll taxes*",'Dept. Cost Actuals'!AB$7:AB$176))</f>
        <v>10195.26</v>
      </c>
      <c r="Y18" s="991">
        <f>IF(Y$4="forecast",Y14*0.12,SUMIF('Dept. Cost Actuals'!$E$7:$E$176,"*payroll taxes*",'Dept. Cost Actuals'!AC$7:AC$176))</f>
        <v>7742.09</v>
      </c>
      <c r="Z18" s="991">
        <f>IF(Z$4="forecast",Z14*0.12,SUMIF('Dept. Cost Actuals'!$E$7:$E$176,"*payroll taxes*",'Dept. Cost Actuals'!AD$7:AD$176))</f>
        <v>7833.7299999999987</v>
      </c>
      <c r="AA18" s="991">
        <f>IF(AA$4="forecast",AA14*0.12,SUMIF('Dept. Cost Actuals'!$E$7:$E$176,"*payroll taxes*",'Dept. Cost Actuals'!AE$7:AE$176))</f>
        <v>12790.52</v>
      </c>
      <c r="AB18" s="991">
        <f>IF(AB$4="forecast",AB14*0.12,SUMIF('Dept. Cost Actuals'!$E$7:$E$176,"*payroll taxes*",'Dept. Cost Actuals'!AF$7:AF$176))</f>
        <v>9561.74</v>
      </c>
      <c r="AC18" s="991">
        <f>IF(AC$4="forecast",AC14*0.12,SUMIF('Dept. Cost Actuals'!$E$7:$E$176,"*payroll taxes*",'Dept. Cost Actuals'!AG$7:AG$176))</f>
        <v>8926.9399999999987</v>
      </c>
      <c r="AD18" s="991">
        <f>IF(AD$4="forecast",AD14*0.12,SUMIF('Dept. Cost Actuals'!$E$7:$E$176,"*payroll taxes*",'Dept. Cost Actuals'!AH$7:AH$176))</f>
        <v>14760.000199999999</v>
      </c>
      <c r="AE18" s="991">
        <f>IF(AE$4="forecast",AE14*0.12,SUMIF('Dept. Cost Actuals'!$E$7:$E$176,"*payroll taxes*",'Dept. Cost Actuals'!AI$7:AI$176))</f>
        <v>15210.000199999999</v>
      </c>
      <c r="AF18" s="991">
        <f>IF(AF$4="forecast",AF14*0.12,SUMIF('Dept. Cost Actuals'!$E$7:$E$176,"*payroll taxes*",'Dept. Cost Actuals'!AJ$7:AJ$176))</f>
        <v>15210.000199999999</v>
      </c>
      <c r="AG18" s="991">
        <f>IF(AG$4="forecast",AG14*0.12,SUMIF('Dept. Cost Actuals'!$E$7:$E$176,"*payroll taxes*",'Dept. Cost Actuals'!AK$7:AK$176))</f>
        <v>16210.000199999999</v>
      </c>
      <c r="AH18" s="991">
        <f>IF(AH$4="forecast",AH14*0.12,SUMIF('Dept. Cost Actuals'!$E$7:$E$176,"*payroll taxes*",'Dept. Cost Actuals'!AL$7:AL$176))</f>
        <v>15760.000199999999</v>
      </c>
      <c r="AI18" s="991">
        <f>IF(AI$4="forecast",AI14*0.12,SUMIF('Dept. Cost Actuals'!$E$7:$E$176,"*payroll taxes*",'Dept. Cost Actuals'!AM$7:AM$176))</f>
        <v>15760.000199999999</v>
      </c>
      <c r="AJ18" s="991">
        <f>IF(AJ$4="forecast",AJ14*0.12,SUMIF('Dept. Cost Actuals'!$E$7:$E$176,"*payroll taxes*",'Dept. Cost Actuals'!AN$7:AN$176))</f>
        <v>15760.000199999999</v>
      </c>
      <c r="AK18" s="991">
        <f>IF(AK$4="forecast",AK14*0.12,SUMIF('Dept. Cost Actuals'!$E$7:$E$176,"*payroll taxes*",'Dept. Cost Actuals'!AO$7:AO$176))</f>
        <v>15760.000199999999</v>
      </c>
      <c r="AL18" s="991">
        <f>IF(AL$4="forecast",AL14*0.12,SUMIF('Dept. Cost Actuals'!$E$7:$E$176,"*payroll taxes*",'Dept. Cost Actuals'!AP$7:AP$176))</f>
        <v>15760.000199999999</v>
      </c>
      <c r="AM18" s="991">
        <f>IF(AM$4="forecast",AM14*0.12,SUMIF('Dept. Cost Actuals'!$E$7:$E$176,"*payroll taxes*",'Dept. Cost Actuals'!AQ$7:AQ$176))</f>
        <v>15835.000199999999</v>
      </c>
      <c r="AN18" s="991">
        <f>IF(AN$4="forecast",AN14*0.12,SUMIF('Dept. Cost Actuals'!$E$7:$E$176,"*payroll taxes*",'Dept. Cost Actuals'!AR$7:AR$176))</f>
        <v>16232.800205999998</v>
      </c>
      <c r="AO18" s="991">
        <f>IF(AO$4="forecast",AO14*0.12,SUMIF('Dept. Cost Actuals'!$E$7:$E$176,"*payroll taxes*",'Dept. Cost Actuals'!AS$7:AS$176))</f>
        <v>15835.000199999999</v>
      </c>
      <c r="AP18" s="991">
        <f>IF(AP$4="forecast",AP14*0.12,SUMIF('Dept. Cost Actuals'!$E$7:$E$176,"*payroll taxes*",'Dept. Cost Actuals'!AT$7:AT$176))</f>
        <v>15835.000199999999</v>
      </c>
      <c r="AQ18" s="991">
        <f>IF(AQ$4="forecast",AQ14*0.12,SUMIF('Dept. Cost Actuals'!$E$7:$E$176,"*payroll taxes*",'Dept. Cost Actuals'!AU$7:AU$176))</f>
        <v>15835.000199999999</v>
      </c>
      <c r="AR18" s="991">
        <f>IF(AR$4="forecast",AR14*0.12,SUMIF('Dept. Cost Actuals'!$E$7:$E$176,"*payroll taxes*",'Dept. Cost Actuals'!AV$7:AV$176))</f>
        <v>15835.000199999999</v>
      </c>
      <c r="AS18" s="991">
        <f>IF(AS$4="forecast",AS14*0.12,SUMIF('Dept. Cost Actuals'!$E$7:$E$176,"*payroll taxes*",'Dept. Cost Actuals'!AW$7:AW$176))</f>
        <v>15835.000199999999</v>
      </c>
      <c r="AT18" s="991">
        <f>IF(AT$4="forecast",AT14*0.12,SUMIF('Dept. Cost Actuals'!$E$7:$E$176,"*payroll taxes*",'Dept. Cost Actuals'!AX$7:AX$176))</f>
        <v>15835.000199999999</v>
      </c>
      <c r="AU18" s="991">
        <f>IF(AU$4="forecast",AU14*0.12,SUMIF('Dept. Cost Actuals'!$E$7:$E$176,"*payroll taxes*",'Dept. Cost Actuals'!AY$7:AY$176))</f>
        <v>15835.000199999999</v>
      </c>
      <c r="AV18" s="991">
        <f>IF(AV$4="forecast",AV14*0.12,SUMIF('Dept. Cost Actuals'!$E$7:$E$176,"*payroll taxes*",'Dept. Cost Actuals'!AZ$7:AZ$176))</f>
        <v>15835.000199999999</v>
      </c>
      <c r="AW18" s="991">
        <f>IF(AW$4="forecast",AW14*0.12,SUMIF('Dept. Cost Actuals'!$E$7:$E$176,"*payroll taxes*",'Dept. Cost Actuals'!BA$7:BA$176))</f>
        <v>15835.000199999999</v>
      </c>
      <c r="AX18" s="991">
        <f>IF(AX$4="forecast",AX14*0.12,SUMIF('Dept. Cost Actuals'!$E$7:$E$176,"*payroll taxes*",'Dept. Cost Actuals'!BB$7:BB$176))</f>
        <v>15835.000199999999</v>
      </c>
      <c r="AY18" s="991">
        <f>IF(AY$4="forecast",AY14*0.12,SUMIF('Dept. Cost Actuals'!$E$7:$E$176,"*payroll taxes*",'Dept. Cost Actuals'!BC$7:BC$176))</f>
        <v>16310.050205999998</v>
      </c>
      <c r="AZ18" s="991">
        <f>IF(AZ$4="forecast",AZ14*0.12,SUMIF('Dept. Cost Actuals'!$E$7:$E$176,"*payroll taxes*",'Dept. Cost Actuals'!BD$7:BD$176))</f>
        <v>16719.784212179999</v>
      </c>
      <c r="BA18" s="991">
        <f>IF(BA$4="forecast",BA14*0.12,SUMIF('Dept. Cost Actuals'!$E$7:$E$176,"*payroll taxes*",'Dept. Cost Actuals'!BE$7:BE$176))</f>
        <v>16310.050205999998</v>
      </c>
      <c r="BB18" s="991">
        <f>IF(BB$4="forecast",BB14*0.12,SUMIF('Dept. Cost Actuals'!$E$7:$E$176,"*payroll taxes*",'Dept. Cost Actuals'!BF$7:BF$176))</f>
        <v>16310.050205999998</v>
      </c>
      <c r="BC18" s="991">
        <f>IF(BC$4="forecast",BC14*0.12,SUMIF('Dept. Cost Actuals'!$E$7:$E$176,"*payroll taxes*",'Dept. Cost Actuals'!BG$7:BG$176))</f>
        <v>16310.050205999998</v>
      </c>
      <c r="BD18" s="991">
        <f>IF(BD$4="forecast",BD14*0.12,SUMIF('Dept. Cost Actuals'!$E$7:$E$176,"*payroll taxes*",'Dept. Cost Actuals'!BH$7:BH$176))</f>
        <v>16310.050205999998</v>
      </c>
      <c r="BE18" s="991">
        <f>IF(BE$4="forecast",BE14*0.12,SUMIF('Dept. Cost Actuals'!$E$7:$E$176,"*payroll taxes*",'Dept. Cost Actuals'!BI$7:BI$176))</f>
        <v>16310.050205999998</v>
      </c>
      <c r="BF18" s="991">
        <f>IF(BF$4="forecast",BF14*0.12,SUMIF('Dept. Cost Actuals'!$E$7:$E$176,"*payroll taxes*",'Dept. Cost Actuals'!BJ$7:BJ$176))</f>
        <v>16310.050205999998</v>
      </c>
      <c r="BG18" s="991">
        <f>IF(BG$4="forecast",BG14*0.12,SUMIF('Dept. Cost Actuals'!$E$7:$E$176,"*payroll taxes*",'Dept. Cost Actuals'!BK$7:BK$176))</f>
        <v>16310.050205999998</v>
      </c>
      <c r="BH18" s="991">
        <f>IF(BH$4="forecast",BH14*0.12,SUMIF('Dept. Cost Actuals'!$E$7:$E$176,"*payroll taxes*",'Dept. Cost Actuals'!BL$7:BL$176))</f>
        <v>16310.050205999998</v>
      </c>
      <c r="BI18" s="991">
        <f>IF(BI$4="forecast",BI14*0.12,SUMIF('Dept. Cost Actuals'!$E$7:$E$176,"*payroll taxes*",'Dept. Cost Actuals'!BM$7:BM$176))</f>
        <v>16310.050205999998</v>
      </c>
      <c r="BJ18" s="991">
        <f>IF(BJ$4="forecast",BJ14*0.12,SUMIF('Dept. Cost Actuals'!$E$7:$E$176,"*payroll taxes*",'Dept. Cost Actuals'!BN$7:BN$176))</f>
        <v>16310.050205999998</v>
      </c>
      <c r="BK18" s="991">
        <f>IF(BK$4="forecast",BK14*0.12,SUMIF('Dept. Cost Actuals'!$E$7:$E$176,"*payroll taxes*",'Dept. Cost Actuals'!BO$7:BO$176))</f>
        <v>16799.35171218</v>
      </c>
      <c r="BL18" s="991">
        <f>IF(BL$4="forecast",BL14*0.12,SUMIF('Dept. Cost Actuals'!$E$7:$E$176,"*payroll taxes*",'Dept. Cost Actuals'!BP$7:BP$176))</f>
        <v>17221.377738545405</v>
      </c>
      <c r="BM18" s="991">
        <f>IF(BM$4="forecast",BM14*0.12,SUMIF('Dept. Cost Actuals'!$E$7:$E$176,"*payroll taxes*",'Dept. Cost Actuals'!BQ$7:BQ$176))</f>
        <v>16799.35171218</v>
      </c>
      <c r="BN18" s="991">
        <f>IF(BN$4="forecast",BN14*0.12,SUMIF('Dept. Cost Actuals'!$E$7:$E$176,"*payroll taxes*",'Dept. Cost Actuals'!BR$7:BR$176))</f>
        <v>16799.35171218</v>
      </c>
      <c r="BO18" s="991">
        <f>IF(BO$4="forecast",BO14*0.12,SUMIF('Dept. Cost Actuals'!$E$7:$E$176,"*payroll taxes*",'Dept. Cost Actuals'!BS$7:BS$176))</f>
        <v>16799.35171218</v>
      </c>
      <c r="BP18" s="991">
        <f>IF(BP$4="forecast",BP14*0.12,SUMIF('Dept. Cost Actuals'!$E$7:$E$176,"*payroll taxes*",'Dept. Cost Actuals'!BT$7:BT$176))</f>
        <v>16799.35171218</v>
      </c>
      <c r="BQ18" s="991">
        <f>IF(BQ$4="forecast",BQ14*0.12,SUMIF('Dept. Cost Actuals'!$E$7:$E$176,"*payroll taxes*",'Dept. Cost Actuals'!BU$7:BU$176))</f>
        <v>16799.35171218</v>
      </c>
      <c r="BR18" s="991">
        <f>IF(BR$4="forecast",BR14*0.12,SUMIF('Dept. Cost Actuals'!$E$7:$E$176,"*payroll taxes*",'Dept. Cost Actuals'!BV$7:BV$176))</f>
        <v>16799.35171218</v>
      </c>
      <c r="BS18" s="991">
        <f>IF(BS$4="forecast",BS14*0.12,SUMIF('Dept. Cost Actuals'!$E$7:$E$176,"*payroll taxes*",'Dept. Cost Actuals'!BW$7:BW$176))</f>
        <v>16799.35171218</v>
      </c>
      <c r="BT18" s="991">
        <f>IF(BT$4="forecast",BT14*0.12,SUMIF('Dept. Cost Actuals'!$E$7:$E$176,"*payroll taxes*",'Dept. Cost Actuals'!BX$7:BX$176))</f>
        <v>16799.35171218</v>
      </c>
      <c r="BU18" s="991">
        <f>IF(BU$4="forecast",BU14*0.12,SUMIF('Dept. Cost Actuals'!$E$7:$E$176,"*payroll taxes*",'Dept. Cost Actuals'!BY$7:BY$176))</f>
        <v>16799.35171218</v>
      </c>
      <c r="BV18" s="992">
        <f>IF(BV$4="forecast",BV14*0.12,SUMIF('Dept. Cost Actuals'!$E$7:$E$176,"*payroll taxes*",'Dept. Cost Actuals'!BZ$7:BZ$176))</f>
        <v>16799.35171218</v>
      </c>
    </row>
    <row r="19" spans="2:74" s="626" customFormat="1" ht="12.75" x14ac:dyDescent="0.2">
      <c r="B19" s="1207" t="s">
        <v>1349</v>
      </c>
      <c r="C19" s="991">
        <f>IF(C$4="forecast",((C14/251)*12+B$19),SUMIF('Dept. Cost Actuals'!$E$7:$E$176,"*vacation*",'Dept. Cost Actuals'!G$7:G$176))</f>
        <v>0</v>
      </c>
      <c r="D19" s="991">
        <f>IF(D$4="forecast",((D14/251)*12+C$19),SUMIF('Dept. Cost Actuals'!$E$7:$E$176,"*vacation*",'Dept. Cost Actuals'!H$7:H$176))</f>
        <v>0</v>
      </c>
      <c r="E19" s="991">
        <f>IF(E$4="forecast",((E14/251)*12+D$19),SUMIF('Dept. Cost Actuals'!$E$7:$E$176,"*vacation*",'Dept. Cost Actuals'!I$7:I$176))</f>
        <v>0</v>
      </c>
      <c r="F19" s="991">
        <f>IF(F$4="forecast",((F14/251)*12+E$19),SUMIF('Dept. Cost Actuals'!$E$7:$E$176,"*vacation*",'Dept. Cost Actuals'!J$7:J$176))</f>
        <v>0</v>
      </c>
      <c r="G19" s="991">
        <f>IF(G$4="forecast",((G14/251)*12+F$19),SUMIF('Dept. Cost Actuals'!$E$7:$E$176,"*vacation*",'Dept. Cost Actuals'!K$7:K$176))</f>
        <v>0</v>
      </c>
      <c r="H19" s="991">
        <f>IF(H$4="forecast",((H14/251)*12+G$19),SUMIF('Dept. Cost Actuals'!$E$7:$E$176,"*vacation*",'Dept. Cost Actuals'!L$7:L$176))</f>
        <v>769.23</v>
      </c>
      <c r="I19" s="991">
        <f>IF(I$4="forecast",((I14/251)*12+H$19),SUMIF('Dept. Cost Actuals'!$E$7:$E$176,"*vacation*",'Dept. Cost Actuals'!M$7:M$176))</f>
        <v>0</v>
      </c>
      <c r="J19" s="991">
        <f>IF(J$4="forecast",((J14/251)*12+I$19),SUMIF('Dept. Cost Actuals'!$E$7:$E$176,"*vacation*",'Dept. Cost Actuals'!N$7:N$176))</f>
        <v>0</v>
      </c>
      <c r="K19" s="991">
        <f>IF(K$4="forecast",((K14/251)*12+J$19),SUMIF('Dept. Cost Actuals'!$E$7:$E$176,"*vacation*",'Dept. Cost Actuals'!O$7:O$176))</f>
        <v>0</v>
      </c>
      <c r="L19" s="991">
        <f>IF(L$4="forecast",((L14/251)*12+K$19),SUMIF('Dept. Cost Actuals'!$E$7:$E$176,"*vacation*",'Dept. Cost Actuals'!P$7:P$176))</f>
        <v>0</v>
      </c>
      <c r="M19" s="991">
        <f>IF(M$4="forecast",((M14/251)*12+L$19),SUMIF('Dept. Cost Actuals'!$E$7:$E$176,"*vacation*",'Dept. Cost Actuals'!Q$7:Q$176))</f>
        <v>0</v>
      </c>
      <c r="N19" s="991">
        <f>IF(N$4="forecast",((N14/251)*12+M$19),SUMIF('Dept. Cost Actuals'!$E$7:$E$176,"*vacation*",'Dept. Cost Actuals'!R$7:R$176))</f>
        <v>0</v>
      </c>
      <c r="O19" s="991">
        <f>IF(O$4="forecast",((O14/251)*12+N$19),SUMIF('Dept. Cost Actuals'!$E$7:$E$176,"*vacation*",'Dept. Cost Actuals'!S$7:S$176))</f>
        <v>2303.08</v>
      </c>
      <c r="P19" s="991">
        <f>IF(P$4="forecast",((P14/251)*12+O$19),SUMIF('Dept. Cost Actuals'!$E$7:$E$176,"*vacation*",'Dept. Cost Actuals'!T$7:T$176))</f>
        <v>2271.92</v>
      </c>
      <c r="Q19" s="991">
        <f>IF(Q$4="forecast",((Q14/251)*12+P$19),SUMIF('Dept. Cost Actuals'!$E$7:$E$176,"*vacation*",'Dept. Cost Actuals'!U$7:U$176))</f>
        <v>517.15</v>
      </c>
      <c r="R19" s="991">
        <f>IF(R$4="forecast",((R14/251)*12+Q$19),SUMIF('Dept. Cost Actuals'!$E$7:$E$176,"*vacation*",'Dept. Cost Actuals'!V$7:V$176))</f>
        <v>-53.14</v>
      </c>
      <c r="S19" s="991">
        <f>IF(S$4="forecast",((S14/251)*12+R$19),SUMIF('Dept. Cost Actuals'!$E$7:$E$176,"*vacation*",'Dept. Cost Actuals'!W$7:W$176))</f>
        <v>3220.65</v>
      </c>
      <c r="T19" s="991">
        <f>IF(T$4="forecast",((T14/251)*12+S$19),SUMIF('Dept. Cost Actuals'!$E$7:$E$176,"*vacation*",'Dept. Cost Actuals'!X$7:X$176))</f>
        <v>-1994.12</v>
      </c>
      <c r="U19" s="991">
        <f>IF(U$4="forecast",((U14/251)*12+T$19),SUMIF('Dept. Cost Actuals'!$E$7:$E$176,"*vacation*",'Dept. Cost Actuals'!Y$7:Y$176))</f>
        <v>433.59</v>
      </c>
      <c r="V19" s="991">
        <f>IF(V$4="forecast",((V14/251)*12+U$19),SUMIF('Dept. Cost Actuals'!$E$7:$E$176,"*vacation*",'Dept. Cost Actuals'!Z$7:Z$176))</f>
        <v>-224.29</v>
      </c>
      <c r="W19" s="991">
        <f>IF(W$4="forecast",((W14/251)*12+V$19),SUMIF('Dept. Cost Actuals'!$E$7:$E$176,"*vacation*",'Dept. Cost Actuals'!AA$7:AA$176))</f>
        <v>-570.12</v>
      </c>
      <c r="X19" s="991">
        <f>IF(X$4="forecast",((X14/251)*12+W$19),SUMIF('Dept. Cost Actuals'!$E$7:$E$176,"*vacation*",'Dept. Cost Actuals'!AB$7:AB$176))</f>
        <v>2131.46</v>
      </c>
      <c r="Y19" s="991">
        <f>IF(Y$4="forecast",((Y14/251)*12+X$19),SUMIF('Dept. Cost Actuals'!$E$7:$E$176,"*vacation*",'Dept. Cost Actuals'!AC$7:AC$176))</f>
        <v>-465.65</v>
      </c>
      <c r="Z19" s="991">
        <f>IF(Z$4="forecast",((Z14/251)*12+Y$19),SUMIF('Dept. Cost Actuals'!$E$7:$E$176,"*vacation*",'Dept. Cost Actuals'!AD$7:AD$176))</f>
        <v>479.14</v>
      </c>
      <c r="AA19" s="991">
        <f>IF(AA$4="forecast",((AA14/251)*12+Z$19),SUMIF('Dept. Cost Actuals'!$E$7:$E$176,"*vacation*",'Dept. Cost Actuals'!AE$7:AE$176))</f>
        <v>898.48</v>
      </c>
      <c r="AB19" s="991">
        <f>IF(AB$4="forecast",((AB14/251)+AA$19),SUMIF('Dept. Cost Actuals'!$E$7:$E$176,"*vacation*",'Dept. Cost Actuals'!AF$7:AF$176))</f>
        <v>307.74</v>
      </c>
      <c r="AC19" s="991">
        <f>IF(AC$4="forecast",((AC14/251)+AB$19),SUMIF('Dept. Cost Actuals'!$E$7:$E$176,"*vacation*",'Dept. Cost Actuals'!AG$7:AG$176))</f>
        <v>1515.55</v>
      </c>
      <c r="AD19" s="991">
        <f>IF(AD$4="forecast",((AD14/251)+AC$19),SUMIF('Dept. Cost Actuals'!$E$7:$E$176,"*vacation*",'Dept. Cost Actuals'!AH$7:AH$176))</f>
        <v>2005.5898472775564</v>
      </c>
      <c r="AE19" s="991">
        <f>IF(AE$4="forecast",((AE14/251)+AD$19),SUMIF('Dept. Cost Actuals'!$E$7:$E$176,"*vacation*",'Dept. Cost Actuals'!AI$7:AI$176))</f>
        <v>2510.5699335989375</v>
      </c>
      <c r="AF19" s="991">
        <f>IF(AF$4="forecast",((AF14/251)+AE$19),SUMIF('Dept. Cost Actuals'!$E$7:$E$176,"*vacation*",'Dept. Cost Actuals'!AJ$7:AJ$176))</f>
        <v>3015.5500199203188</v>
      </c>
      <c r="AG19" s="991">
        <f>IF(AG$4="forecast",((AG14/251)+AF$19),SUMIF('Dept. Cost Actuals'!$E$7:$E$176,"*vacation*",'Dept. Cost Actuals'!AK$7:AK$176))</f>
        <v>3553.7306374501995</v>
      </c>
      <c r="AH19" s="991">
        <f>IF(AH$4="forecast",((AH14/251)+AG$19),SUMIF('Dept. Cost Actuals'!$E$7:$E$176,"*vacation*",'Dept. Cost Actuals'!AL$7:AL$176))</f>
        <v>4076.9710159362553</v>
      </c>
      <c r="AI19" s="991">
        <f>IF(AI$4="forecast",((AI14/251)+AH$19),SUMIF('Dept. Cost Actuals'!$E$7:$E$176,"*vacation*",'Dept. Cost Actuals'!AM$7:AM$176))</f>
        <v>4600.2113944223111</v>
      </c>
      <c r="AJ19" s="991">
        <f>IF(AJ$4="forecast",((AJ14/251)+AI$19),SUMIF('Dept. Cost Actuals'!$E$7:$E$176,"*vacation*",'Dept. Cost Actuals'!AN$7:AN$176))</f>
        <v>5123.4517729083673</v>
      </c>
      <c r="AK19" s="991">
        <f>IF(AK$4="forecast",((AK14/251)+AJ$19),SUMIF('Dept. Cost Actuals'!$E$7:$E$176,"*vacation*",'Dept. Cost Actuals'!AO$7:AO$176))</f>
        <v>5646.6921513944235</v>
      </c>
      <c r="AL19" s="991">
        <f>IF(AL$4="forecast",((AL14/251)+AK$19),SUMIF('Dept. Cost Actuals'!$E$7:$E$176,"*vacation*",'Dept. Cost Actuals'!AP$7:AP$176))</f>
        <v>6169.9325298804797</v>
      </c>
      <c r="AM19" s="991">
        <f>IF(AM$4="forecast",((AM14/251)+AL$19),SUMIF('Dept. Cost Actuals'!$E$7:$E$176,"*vacation*",'Dept. Cost Actuals'!AQ$7:AQ$176))</f>
        <v>6695.662948207173</v>
      </c>
      <c r="AN19" s="991">
        <f>IF(AN$4="forecast",((AN14/251)+AM$19),SUMIF('Dept. Cost Actuals'!$E$7:$E$176,"*vacation*",'Dept. Cost Actuals'!AR$7:AR$176))</f>
        <v>7234.6005380478109</v>
      </c>
      <c r="AO19" s="991">
        <f>IF(AO$4="forecast",((AO14/251)+AN$19),SUMIF('Dept. Cost Actuals'!$E$7:$E$176,"*vacation*",'Dept. Cost Actuals'!AS$7:AS$176))</f>
        <v>7760.3309563745042</v>
      </c>
      <c r="AP19" s="991">
        <f>IF(AP$4="forecast",((AP14/251)+AO$19),SUMIF('Dept. Cost Actuals'!$E$7:$E$176,"*vacation*",'Dept. Cost Actuals'!AT$7:AT$176))</f>
        <v>8286.0613747011976</v>
      </c>
      <c r="AQ19" s="991">
        <f>IF(AQ$4="forecast",((AQ14/251)+AP$19),SUMIF('Dept. Cost Actuals'!$E$7:$E$176,"*vacation*",'Dept. Cost Actuals'!AU$7:AU$176))</f>
        <v>8811.7917930278909</v>
      </c>
      <c r="AR19" s="991">
        <f>IF(AR$4="forecast",((AR14/251)+AQ$19),SUMIF('Dept. Cost Actuals'!$E$7:$E$176,"*vacation*",'Dept. Cost Actuals'!AV$7:AV$176))</f>
        <v>9337.5222113545842</v>
      </c>
      <c r="AS19" s="991">
        <f>IF(AS$4="forecast",((AS14/251)+AR$19),SUMIF('Dept. Cost Actuals'!$E$7:$E$176,"*vacation*",'Dept. Cost Actuals'!AW$7:AW$176))</f>
        <v>9863.2526296812775</v>
      </c>
      <c r="AT19" s="991">
        <f>IF(AT$4="forecast",((AT14/251)+AS$19),SUMIF('Dept. Cost Actuals'!$E$7:$E$176,"*vacation*",'Dept. Cost Actuals'!AX$7:AX$176))</f>
        <v>10388.983048007971</v>
      </c>
      <c r="AU19" s="991">
        <f>IF(AU$4="forecast",((AU14/251)+AT$19),SUMIF('Dept. Cost Actuals'!$E$7:$E$176,"*vacation*",'Dept. Cost Actuals'!AY$7:AY$176))</f>
        <v>10914.713466334664</v>
      </c>
      <c r="AV19" s="991">
        <f>IF(AV$4="forecast",((AV14/251)+AU$19),SUMIF('Dept. Cost Actuals'!$E$7:$E$176,"*vacation*",'Dept. Cost Actuals'!AZ$7:AZ$176))</f>
        <v>11440.443884661358</v>
      </c>
      <c r="AW19" s="991">
        <f>IF(AW$4="forecast",((AW14/251)+AV$19),SUMIF('Dept. Cost Actuals'!$E$7:$E$176,"*vacation*",'Dept. Cost Actuals'!BA$7:BA$176))</f>
        <v>11966.174302988051</v>
      </c>
      <c r="AX19" s="991">
        <f>IF(AX$4="forecast",((AX14/251)+AW$19),SUMIF('Dept. Cost Actuals'!$E$7:$E$176,"*vacation*",'Dept. Cost Actuals'!BB$7:BB$176))</f>
        <v>12491.904721314744</v>
      </c>
      <c r="AY19" s="991">
        <f>IF(AY$4="forecast",((AY14/251)+AX$19),SUMIF('Dept. Cost Actuals'!$E$7:$E$176,"*vacation*",'Dept. Cost Actuals'!BC$7:BC$176))</f>
        <v>13033.407052191238</v>
      </c>
      <c r="AZ19" s="991">
        <f>IF(AZ$4="forecast",((AZ14/251)+AY$19),SUMIF('Dept. Cost Actuals'!$E$7:$E$176,"*vacation*",'Dept. Cost Actuals'!BD$7:BD$176))</f>
        <v>13588.512769727095</v>
      </c>
      <c r="BA19" s="991">
        <f>IF(BA$4="forecast",((BA14/251)+AZ$19),SUMIF('Dept. Cost Actuals'!$E$7:$E$176,"*vacation*",'Dept. Cost Actuals'!BE$7:BE$176))</f>
        <v>14130.015100603589</v>
      </c>
      <c r="BB19" s="991">
        <f>IF(BB$4="forecast",((BB14/251)+BA$19),SUMIF('Dept. Cost Actuals'!$E$7:$E$176,"*vacation*",'Dept. Cost Actuals'!BF$7:BF$176))</f>
        <v>14671.517431480082</v>
      </c>
      <c r="BC19" s="991">
        <f>IF(BC$4="forecast",((BC14/251)+BB$19),SUMIF('Dept. Cost Actuals'!$E$7:$E$176,"*vacation*",'Dept. Cost Actuals'!BG$7:BG$176))</f>
        <v>15213.019762356576</v>
      </c>
      <c r="BD19" s="991">
        <f>IF(BD$4="forecast",((BD14/251)+BC$19),SUMIF('Dept. Cost Actuals'!$E$7:$E$176,"*vacation*",'Dept. Cost Actuals'!BH$7:BH$176))</f>
        <v>15754.52209323307</v>
      </c>
      <c r="BE19" s="991">
        <f>IF(BE$4="forecast",((BE14/251)+BD$19),SUMIF('Dept. Cost Actuals'!$E$7:$E$176,"*vacation*",'Dept. Cost Actuals'!BI$7:BI$176))</f>
        <v>16296.024424109564</v>
      </c>
      <c r="BF19" s="991">
        <f>IF(BF$4="forecast",((BF14/251)+BE$19),SUMIF('Dept. Cost Actuals'!$E$7:$E$176,"*vacation*",'Dept. Cost Actuals'!BJ$7:BJ$176))</f>
        <v>16837.526754986058</v>
      </c>
      <c r="BG19" s="991">
        <f>IF(BG$4="forecast",((BG14/251)+BF$19),SUMIF('Dept. Cost Actuals'!$E$7:$E$176,"*vacation*",'Dept. Cost Actuals'!BK$7:BK$176))</f>
        <v>17379.029085862552</v>
      </c>
      <c r="BH19" s="991">
        <f>IF(BH$4="forecast",((BH14/251)+BG$19),SUMIF('Dept. Cost Actuals'!$E$7:$E$176,"*vacation*",'Dept. Cost Actuals'!BL$7:BL$176))</f>
        <v>17920.531416739046</v>
      </c>
      <c r="BI19" s="991">
        <f>IF(BI$4="forecast",((BI14/251)+BH$19),SUMIF('Dept. Cost Actuals'!$E$7:$E$176,"*vacation*",'Dept. Cost Actuals'!BM$7:BM$176))</f>
        <v>18462.03374761554</v>
      </c>
      <c r="BJ19" s="991">
        <f>IF(BJ$4="forecast",((BJ14/251)+BI$19),SUMIF('Dept. Cost Actuals'!$E$7:$E$176,"*vacation*",'Dept. Cost Actuals'!BN$7:BN$176))</f>
        <v>19003.536078492034</v>
      </c>
      <c r="BK19" s="991">
        <f>IF(BK$4="forecast",((BK14/251)+BJ$19),SUMIF('Dept. Cost Actuals'!$E$7:$E$176,"*vacation*",'Dept. Cost Actuals'!BO$7:BO$176))</f>
        <v>19561.283479294823</v>
      </c>
      <c r="BL19" s="991">
        <f>IF(BL$4="forecast",((BL14/251)+BK$19),SUMIF('Dept. Cost Actuals'!$E$7:$E$176,"*vacation*",'Dept. Cost Actuals'!BP$7:BP$176))</f>
        <v>20133.042368356757</v>
      </c>
      <c r="BM19" s="991">
        <f>IF(BM$4="forecast",((BM14/251)+BL$19),SUMIF('Dept. Cost Actuals'!$E$7:$E$176,"*vacation*",'Dept. Cost Actuals'!BQ$7:BQ$176))</f>
        <v>20690.789769159546</v>
      </c>
      <c r="BN19" s="991">
        <f>IF(BN$4="forecast",((BN14/251)+BM$19),SUMIF('Dept. Cost Actuals'!$E$7:$E$176,"*vacation*",'Dept. Cost Actuals'!BR$7:BR$176))</f>
        <v>21248.537169962336</v>
      </c>
      <c r="BO19" s="991">
        <f>IF(BO$4="forecast",((BO14/251)+BN$19),SUMIF('Dept. Cost Actuals'!$E$7:$E$176,"*vacation*",'Dept. Cost Actuals'!BS$7:BS$176))</f>
        <v>21806.284570765125</v>
      </c>
      <c r="BP19" s="991">
        <f>IF(BP$4="forecast",((BP14/251)+BO$19),SUMIF('Dept. Cost Actuals'!$E$7:$E$176,"*vacation*",'Dept. Cost Actuals'!BT$7:BT$176))</f>
        <v>22364.031971567914</v>
      </c>
      <c r="BQ19" s="991">
        <f>IF(BQ$4="forecast",((BQ14/251)+BP$19),SUMIF('Dept. Cost Actuals'!$E$7:$E$176,"*vacation*",'Dept. Cost Actuals'!BU$7:BU$176))</f>
        <v>22921.779372370704</v>
      </c>
      <c r="BR19" s="991">
        <f>IF(BR$4="forecast",((BR14/251)+BQ$19),SUMIF('Dept. Cost Actuals'!$E$7:$E$176,"*vacation*",'Dept. Cost Actuals'!BV$7:BV$176))</f>
        <v>23479.526773173493</v>
      </c>
      <c r="BS19" s="991">
        <f>IF(BS$4="forecast",((BS14/251)+BR$19),SUMIF('Dept. Cost Actuals'!$E$7:$E$176,"*vacation*",'Dept. Cost Actuals'!BW$7:BW$176))</f>
        <v>24037.274173976282</v>
      </c>
      <c r="BT19" s="991">
        <f>IF(BT$4="forecast",((BT14/251)+BS$19),SUMIF('Dept. Cost Actuals'!$E$7:$E$176,"*vacation*",'Dept. Cost Actuals'!BX$7:BX$176))</f>
        <v>24595.021574779072</v>
      </c>
      <c r="BU19" s="991">
        <f>IF(BU$4="forecast",((BU14/251)+BT$19),SUMIF('Dept. Cost Actuals'!$E$7:$E$176,"*vacation*",'Dept. Cost Actuals'!BY$7:BY$176))</f>
        <v>25152.768975581861</v>
      </c>
      <c r="BV19" s="992">
        <f>IF(BV$4="forecast",((BV14/251)+BU$19),SUMIF('Dept. Cost Actuals'!$E$7:$E$176,"*vacation*",'Dept. Cost Actuals'!BZ$7:BZ$176))</f>
        <v>25710.51637638465</v>
      </c>
    </row>
    <row r="20" spans="2:74" s="626" customFormat="1" ht="12.75" x14ac:dyDescent="0.2">
      <c r="B20" s="1207" t="s">
        <v>657</v>
      </c>
      <c r="C20" s="991">
        <f>IF(C$4="forecast",((SUM($O$20:$Z$20)/12)*1.03),SUMIF('Dept. Cost Actuals'!$E$7:$E$176,"*Health*",'Dept. Cost Actuals'!G$7:G$176))</f>
        <v>583.08911240402745</v>
      </c>
      <c r="D20" s="991">
        <f>IF(D$4="forecast",((SUM($O$20:$Z$20)/12)*1.03),SUMIF('Dept. Cost Actuals'!$E$7:$E$176,"*Health*",'Dept. Cost Actuals'!H$7:H$176))</f>
        <v>361.09496888920626</v>
      </c>
      <c r="E20" s="991">
        <f>IF(E$4="forecast",((SUM($O$20:$Z$20)/12)*1.03),SUMIF('Dept. Cost Actuals'!$E$7:$E$176,"*Health*",'Dept. Cost Actuals'!I$7:I$176))</f>
        <v>475.67596733913291</v>
      </c>
      <c r="F20" s="991">
        <f>IF(F$4="forecast",((SUM($O$20:$Z$20)/12)*1.03),SUMIF('Dept. Cost Actuals'!$E$7:$E$176,"*Health*",'Dept. Cost Actuals'!J$7:J$176))</f>
        <v>218.28432268638224</v>
      </c>
      <c r="G20" s="991">
        <f>IF(G$4="forecast",((SUM($O$20:$Z$20)/12)*1.03),SUMIF('Dept. Cost Actuals'!$E$7:$E$176,"*Health*",'Dept. Cost Actuals'!K$7:K$176))</f>
        <v>710.878506328507</v>
      </c>
      <c r="H20" s="991">
        <f>IF(H$4="forecast",((SUM($O$20:$Z$20)/12)*1.03),SUMIF('Dept. Cost Actuals'!$E$7:$E$176,"*Health*",'Dept. Cost Actuals'!L$7:L$176))</f>
        <v>784.92668265095392</v>
      </c>
      <c r="I20" s="991">
        <f>IF(I$4="forecast",((SUM($O$20:$Z$20)/12)*1.03),SUMIF('Dept. Cost Actuals'!$E$7:$E$176,"*Health*",'Dept. Cost Actuals'!M$7:M$176))</f>
        <v>515.88605290083558</v>
      </c>
      <c r="J20" s="991">
        <f>IF(J$4="forecast",((SUM($O$20:$Z$20)/12)*1.03),SUMIF('Dept. Cost Actuals'!$E$7:$E$176,"*Health*",'Dept. Cost Actuals'!N$7:N$176))</f>
        <v>815.06891379593048</v>
      </c>
      <c r="K20" s="991">
        <f>IF(K$4="forecast",((SUM($O$20:$Z$20)/12)*1.03),SUMIF('Dept. Cost Actuals'!$E$7:$E$176,"*Health*",'Dept. Cost Actuals'!O$7:O$176))</f>
        <v>1046.826793758353</v>
      </c>
      <c r="L20" s="991">
        <f>IF(L$4="forecast",((SUM($O$20:$Z$20)/12)*1.03),SUMIF('Dept. Cost Actuals'!$E$7:$E$176,"*Health*",'Dept. Cost Actuals'!P$7:P$176))</f>
        <v>473.90424780788931</v>
      </c>
      <c r="M20" s="991">
        <f>IF(M$4="forecast",((SUM($O$20:$Z$20)/12)*1.03),SUMIF('Dept. Cost Actuals'!$E$7:$E$176,"*Health*",'Dept. Cost Actuals'!Q$7:Q$176))</f>
        <v>725.2887367522369</v>
      </c>
      <c r="N20" s="991">
        <f>IF(N$4="forecast",((SUM($O$20:$Z$20)/12)*1.03),SUMIF('Dept. Cost Actuals'!$E$7:$E$176,"*Health*",'Dept. Cost Actuals'!R$7:R$176))</f>
        <v>4536.4033619463344</v>
      </c>
      <c r="O20" s="991">
        <f>IF(O$4="forecast",((SUM($O$20:$Z$20)/12)*1.03),SUMIF('Dept. Cost Actuals'!$E$7:$E$176,"*Health*",'Dept. Cost Actuals'!S$7:S$176))</f>
        <v>8232.8799999999992</v>
      </c>
      <c r="P20" s="991">
        <f>IF(P$4="forecast",((SUM($O$20:$Z$20)/12)*1.03),SUMIF('Dept. Cost Actuals'!$E$7:$E$176,"*Health*",'Dept. Cost Actuals'!T$7:T$176))</f>
        <v>7559.81</v>
      </c>
      <c r="Q20" s="991">
        <f>IF(Q$4="forecast",((SUM($O$20:$Z$20)/12)*1.03),SUMIF('Dept. Cost Actuals'!$E$7:$E$176,"*Health*",'Dept. Cost Actuals'!U$7:U$176))</f>
        <v>7833.84</v>
      </c>
      <c r="R20" s="991">
        <f>IF(R$4="forecast",((SUM($O$20:$Z$20)/12)*1.03),SUMIF('Dept. Cost Actuals'!$E$7:$E$176,"*Health*",'Dept. Cost Actuals'!V$7:V$176))</f>
        <v>7998.63</v>
      </c>
      <c r="S20" s="991">
        <f>IF(S$4="forecast",((SUM($O$20:$Z$20)/12)*1.03),SUMIF('Dept. Cost Actuals'!$E$7:$E$176,"*Health*",'Dept. Cost Actuals'!W$7:W$176))</f>
        <v>7148.38</v>
      </c>
      <c r="T20" s="991">
        <f>IF(T$4="forecast",((SUM($O$20:$Z$20)/12)*1.03),SUMIF('Dept. Cost Actuals'!$E$7:$E$176,"*Health*",'Dept. Cost Actuals'!X$7:X$176))</f>
        <v>7322.98</v>
      </c>
      <c r="U20" s="991">
        <f>IF(U$4="forecast",((SUM($O$20:$Z$20)/12)*1.03),SUMIF('Dept. Cost Actuals'!$E$7:$E$176,"*Health*",'Dept. Cost Actuals'!Y$7:Y$176))</f>
        <v>7824.35</v>
      </c>
      <c r="V20" s="991">
        <f>IF(V$4="forecast",((SUM($O$20:$Z$20)/12)*1.03),SUMIF('Dept. Cost Actuals'!$E$7:$E$176,"*Health*",'Dept. Cost Actuals'!Z$7:Z$176))</f>
        <v>6813.22</v>
      </c>
      <c r="W20" s="991">
        <f>IF(W$4="forecast",((SUM($O$20:$Z$20)/12)*1.03),SUMIF('Dept. Cost Actuals'!$E$7:$E$176,"*Health*",'Dept. Cost Actuals'!AA$7:AA$176))</f>
        <v>7826.58</v>
      </c>
      <c r="X20" s="991">
        <f>IF(X$4="forecast",((SUM($O$20:$Z$20)/12)*1.03),SUMIF('Dept. Cost Actuals'!$E$7:$E$176,"*Health*",'Dept. Cost Actuals'!AB$7:AB$176))</f>
        <v>8605.8799999999992</v>
      </c>
      <c r="Y20" s="991">
        <f>IF(Y$4="forecast",((SUM($O$20:$Z$20)/12)*1.03),SUMIF('Dept. Cost Actuals'!$E$7:$E$176,"*Health*",'Dept. Cost Actuals'!AC$7:AC$176))</f>
        <v>8513.98</v>
      </c>
      <c r="Z20" s="991">
        <f>IF(Z$4="forecast",((SUM($O$20:$Z$20)/12)*1.03),SUMIF('Dept. Cost Actuals'!$E$7:$E$176,"*Health*",'Dept. Cost Actuals'!AD$7:AD$176))</f>
        <v>9720.32</v>
      </c>
      <c r="AA20" s="991">
        <f>IF(AA$4="forecast",((SUM($O$20:$Z$20)/12)*1.03),SUMIF('Dept. Cost Actuals'!$E$7:$E$176,"*Health*",'Dept. Cost Actuals'!AE$7:AE$176))</f>
        <v>8757.9</v>
      </c>
      <c r="AB20" s="991">
        <f>IF(AB$4="forecast",((SUM($O$20:$Z$20)/12)*1.03),SUMIF('Dept. Cost Actuals'!$E$7:$E$176,"*Health*",'Dept. Cost Actuals'!AF$7:AF$176))</f>
        <v>9290.99</v>
      </c>
      <c r="AC20" s="991">
        <f>IF(AC$4="forecast",((SUM($O$20:$Z$20)/12)*1.03),SUMIF('Dept. Cost Actuals'!$E$7:$E$176,"*Health*",'Dept. Cost Actuals'!AG$7:AG$176))</f>
        <v>8758.26</v>
      </c>
      <c r="AD20" s="991">
        <f>IF(AD$4="forecast",((SUM($O$20:$Z$20)/12)*1.03),SUMIF('Dept. Cost Actuals'!$E$7:$E$176,"*Health*",'Dept. Cost Actuals'!AH$7:AH$176))</f>
        <v>8188.5729583333341</v>
      </c>
      <c r="AE20" s="991">
        <f>IF(AE$4="forecast",((SUM($O$20:$Z$20)/12)*1.03),SUMIF('Dept. Cost Actuals'!$E$7:$E$176,"*Health*",'Dept. Cost Actuals'!AI$7:AI$176))</f>
        <v>8188.5729583333341</v>
      </c>
      <c r="AF20" s="991">
        <f>IF(AF$4="forecast",((SUM($O$20:$Z$20)/12)*1.03),SUMIF('Dept. Cost Actuals'!$E$7:$E$176,"*Health*",'Dept. Cost Actuals'!AJ$7:AJ$176))</f>
        <v>8188.5729583333341</v>
      </c>
      <c r="AG20" s="991">
        <f>IF(AG$4="forecast",((SUM($O$20:$Z$20)/12)*1.03),SUMIF('Dept. Cost Actuals'!$E$7:$E$176,"*Health*",'Dept. Cost Actuals'!AK$7:AK$176))</f>
        <v>8188.5729583333341</v>
      </c>
      <c r="AH20" s="991">
        <f>IF(AH$4="forecast",((SUM($O$20:$Z$20)/12)*1.03),SUMIF('Dept. Cost Actuals'!$E$7:$E$176,"*Health*",'Dept. Cost Actuals'!AL$7:AL$176))</f>
        <v>8188.5729583333341</v>
      </c>
      <c r="AI20" s="991">
        <f>IF(AI$4="forecast",((SUM($O$20:$Z$20)/12)*1.03),SUMIF('Dept. Cost Actuals'!$E$7:$E$176,"*Health*",'Dept. Cost Actuals'!AM$7:AM$176))</f>
        <v>8188.5729583333341</v>
      </c>
      <c r="AJ20" s="991">
        <f>IF(AJ$4="forecast",((SUM($O$20:$Z$20)/12)*1.03),SUMIF('Dept. Cost Actuals'!$E$7:$E$176,"*Health*",'Dept. Cost Actuals'!AN$7:AN$176))</f>
        <v>8188.5729583333341</v>
      </c>
      <c r="AK20" s="991">
        <f>IF(AK$4="forecast",((SUM($O$20:$Z$20)/12)*1.03),SUMIF('Dept. Cost Actuals'!$E$7:$E$176,"*Health*",'Dept. Cost Actuals'!AO$7:AO$176))</f>
        <v>8188.5729583333341</v>
      </c>
      <c r="AL20" s="991">
        <f>IF(AL$4="forecast",((SUM($O$20:$Z$20)/12)*1.03),SUMIF('Dept. Cost Actuals'!$E$7:$E$176,"*Health*",'Dept. Cost Actuals'!AP$7:AP$176))</f>
        <v>8188.5729583333341</v>
      </c>
      <c r="AM20" s="991">
        <f>IF(AM$4="forecast",((SUM($O$20:$Z$20)/12)*1.03),SUMIF('Dept. Cost Actuals'!$E$7:$E$176,"*Health*",'Dept. Cost Actuals'!AQ$7:AQ$176))</f>
        <v>8188.5729583333341</v>
      </c>
      <c r="AN20" s="991">
        <f>IF(AN$4="forecast",((SUM($O$20:$Z$20)/12)*1.03),SUMIF('Dept. Cost Actuals'!$E$7:$E$176,"*Health*",'Dept. Cost Actuals'!AR$7:AR$176))</f>
        <v>8188.5729583333341</v>
      </c>
      <c r="AO20" s="991">
        <f>IF(AO$4="forecast",((SUM($O$20:$Z$20)/12)*1.03),SUMIF('Dept. Cost Actuals'!$E$7:$E$176,"*Health*",'Dept. Cost Actuals'!AS$7:AS$176))</f>
        <v>8188.5729583333341</v>
      </c>
      <c r="AP20" s="991">
        <f>IF(AP$4="forecast",((SUM($O$20:$Z$20)/12)*1.03),SUMIF('Dept. Cost Actuals'!$E$7:$E$176,"*Health*",'Dept. Cost Actuals'!AT$7:AT$176))</f>
        <v>8188.5729583333341</v>
      </c>
      <c r="AQ20" s="991">
        <f>IF(AQ$4="forecast",((SUM($O$20:$Z$20)/12)*1.03),SUMIF('Dept. Cost Actuals'!$E$7:$E$176,"*Health*",'Dept. Cost Actuals'!AU$7:AU$176))</f>
        <v>8188.5729583333341</v>
      </c>
      <c r="AR20" s="991">
        <f>IF(AR$4="forecast",((SUM($O$20:$Z$20)/12)*1.03),SUMIF('Dept. Cost Actuals'!$E$7:$E$176,"*Health*",'Dept. Cost Actuals'!AV$7:AV$176))</f>
        <v>8188.5729583333341</v>
      </c>
      <c r="AS20" s="991">
        <f>IF(AS$4="forecast",((SUM($O$20:$Z$20)/12)*1.03),SUMIF('Dept. Cost Actuals'!$E$7:$E$176,"*Health*",'Dept. Cost Actuals'!AW$7:AW$176))</f>
        <v>8188.5729583333341</v>
      </c>
      <c r="AT20" s="991">
        <f>IF(AT$4="forecast",((SUM($O$20:$Z$20)/12)*1.03),SUMIF('Dept. Cost Actuals'!$E$7:$E$176,"*Health*",'Dept. Cost Actuals'!AX$7:AX$176))</f>
        <v>8188.5729583333341</v>
      </c>
      <c r="AU20" s="991">
        <f>IF(AU$4="forecast",((SUM($O$20:$Z$20)/12)*1.03),SUMIF('Dept. Cost Actuals'!$E$7:$E$176,"*Health*",'Dept. Cost Actuals'!AY$7:AY$176))</f>
        <v>8188.5729583333341</v>
      </c>
      <c r="AV20" s="991">
        <f>IF(AV$4="forecast",((SUM($O$20:$Z$20)/12)*1.03),SUMIF('Dept. Cost Actuals'!$E$7:$E$176,"*Health*",'Dept. Cost Actuals'!AZ$7:AZ$176))</f>
        <v>8188.5729583333341</v>
      </c>
      <c r="AW20" s="991">
        <f>IF(AW$4="forecast",((SUM($O$20:$Z$20)/12)*1.03),SUMIF('Dept. Cost Actuals'!$E$7:$E$176,"*Health*",'Dept. Cost Actuals'!BA$7:BA$176))</f>
        <v>8188.5729583333341</v>
      </c>
      <c r="AX20" s="991">
        <f>IF(AX$4="forecast",((SUM($O$20:$Z$20)/12)*1.03),SUMIF('Dept. Cost Actuals'!$E$7:$E$176,"*Health*",'Dept. Cost Actuals'!BB$7:BB$176))</f>
        <v>8188.5729583333341</v>
      </c>
      <c r="AY20" s="991">
        <f>IF(AY$4="forecast",((SUM($O$20:$Z$20)/12)*1.03),SUMIF('Dept. Cost Actuals'!$E$7:$E$176,"*Health*",'Dept. Cost Actuals'!BC$7:BC$176))</f>
        <v>8188.5729583333341</v>
      </c>
      <c r="AZ20" s="991">
        <f>IF(AZ$4="forecast",((SUM($O$20:$Z$20)/12)*1.03),SUMIF('Dept. Cost Actuals'!$E$7:$E$176,"*Health*",'Dept. Cost Actuals'!BD$7:BD$176))</f>
        <v>8188.5729583333341</v>
      </c>
      <c r="BA20" s="991">
        <f>IF(BA$4="forecast",((SUM($O$20:$Z$20)/12)*1.03),SUMIF('Dept. Cost Actuals'!$E$7:$E$176,"*Health*",'Dept. Cost Actuals'!BE$7:BE$176))</f>
        <v>8188.5729583333341</v>
      </c>
      <c r="BB20" s="991">
        <f>IF(BB$4="forecast",((SUM($O$20:$Z$20)/12)*1.03),SUMIF('Dept. Cost Actuals'!$E$7:$E$176,"*Health*",'Dept. Cost Actuals'!BF$7:BF$176))</f>
        <v>8188.5729583333341</v>
      </c>
      <c r="BC20" s="991">
        <f>IF(BC$4="forecast",((SUM($O$20:$Z$20)/12)*1.03),SUMIF('Dept. Cost Actuals'!$E$7:$E$176,"*Health*",'Dept. Cost Actuals'!BG$7:BG$176))</f>
        <v>8188.5729583333341</v>
      </c>
      <c r="BD20" s="991">
        <f>IF(BD$4="forecast",((SUM($O$20:$Z$20)/12)*1.03),SUMIF('Dept. Cost Actuals'!$E$7:$E$176,"*Health*",'Dept. Cost Actuals'!BH$7:BH$176))</f>
        <v>8188.5729583333341</v>
      </c>
      <c r="BE20" s="991">
        <f>IF(BE$4="forecast",((SUM($O$20:$Z$20)/12)*1.03),SUMIF('Dept. Cost Actuals'!$E$7:$E$176,"*Health*",'Dept. Cost Actuals'!BI$7:BI$176))</f>
        <v>8188.5729583333341</v>
      </c>
      <c r="BF20" s="991">
        <f>IF(BF$4="forecast",((SUM($O$20:$Z$20)/12)*1.03),SUMIF('Dept. Cost Actuals'!$E$7:$E$176,"*Health*",'Dept. Cost Actuals'!BJ$7:BJ$176))</f>
        <v>8188.5729583333341</v>
      </c>
      <c r="BG20" s="991">
        <f>IF(BG$4="forecast",((SUM($O$20:$Z$20)/12)*1.03),SUMIF('Dept. Cost Actuals'!$E$7:$E$176,"*Health*",'Dept. Cost Actuals'!BK$7:BK$176))</f>
        <v>8188.5729583333341</v>
      </c>
      <c r="BH20" s="991">
        <f>IF(BH$4="forecast",((SUM($O$20:$Z$20)/12)*1.03),SUMIF('Dept. Cost Actuals'!$E$7:$E$176,"*Health*",'Dept. Cost Actuals'!BL$7:BL$176))</f>
        <v>8188.5729583333341</v>
      </c>
      <c r="BI20" s="991">
        <f>IF(BI$4="forecast",((SUM($O$20:$Z$20)/12)*1.03),SUMIF('Dept. Cost Actuals'!$E$7:$E$176,"*Health*",'Dept. Cost Actuals'!BM$7:BM$176))</f>
        <v>8188.5729583333341</v>
      </c>
      <c r="BJ20" s="991">
        <f>IF(BJ$4="forecast",((SUM($O$20:$Z$20)/12)*1.03),SUMIF('Dept. Cost Actuals'!$E$7:$E$176,"*Health*",'Dept. Cost Actuals'!BN$7:BN$176))</f>
        <v>8188.5729583333341</v>
      </c>
      <c r="BK20" s="991">
        <f>IF(BK$4="forecast",((SUM($O$20:$Z$20)/12)*1.03),SUMIF('Dept. Cost Actuals'!$E$7:$E$176,"*Health*",'Dept. Cost Actuals'!BO$7:BO$176))</f>
        <v>8188.5729583333341</v>
      </c>
      <c r="BL20" s="991">
        <f>IF(BL$4="forecast",((SUM($O$20:$Z$20)/12)*1.03),SUMIF('Dept. Cost Actuals'!$E$7:$E$176,"*Health*",'Dept. Cost Actuals'!BP$7:BP$176))</f>
        <v>8188.5729583333341</v>
      </c>
      <c r="BM20" s="991">
        <f>IF(BM$4="forecast",((SUM($O$20:$Z$20)/12)*1.03),SUMIF('Dept. Cost Actuals'!$E$7:$E$176,"*Health*",'Dept. Cost Actuals'!BQ$7:BQ$176))</f>
        <v>8188.5729583333341</v>
      </c>
      <c r="BN20" s="991">
        <f>IF(BN$4="forecast",((SUM($O$20:$Z$20)/12)*1.03),SUMIF('Dept. Cost Actuals'!$E$7:$E$176,"*Health*",'Dept. Cost Actuals'!BR$7:BR$176))</f>
        <v>8188.5729583333341</v>
      </c>
      <c r="BO20" s="991">
        <f>IF(BO$4="forecast",((SUM($O$20:$Z$20)/12)*1.03),SUMIF('Dept. Cost Actuals'!$E$7:$E$176,"*Health*",'Dept. Cost Actuals'!BS$7:BS$176))</f>
        <v>8188.5729583333341</v>
      </c>
      <c r="BP20" s="991">
        <f>IF(BP$4="forecast",((SUM($O$20:$Z$20)/12)*1.03),SUMIF('Dept. Cost Actuals'!$E$7:$E$176,"*Health*",'Dept. Cost Actuals'!BT$7:BT$176))</f>
        <v>8188.5729583333341</v>
      </c>
      <c r="BQ20" s="991">
        <f>IF(BQ$4="forecast",((SUM($O$20:$Z$20)/12)*1.03),SUMIF('Dept. Cost Actuals'!$E$7:$E$176,"*Health*",'Dept. Cost Actuals'!BU$7:BU$176))</f>
        <v>8188.5729583333341</v>
      </c>
      <c r="BR20" s="991">
        <f>IF(BR$4="forecast",((SUM($O$20:$Z$20)/12)*1.03),SUMIF('Dept. Cost Actuals'!$E$7:$E$176,"*Health*",'Dept. Cost Actuals'!BV$7:BV$176))</f>
        <v>8188.5729583333341</v>
      </c>
      <c r="BS20" s="991">
        <f>IF(BS$4="forecast",((SUM($O$20:$Z$20)/12)*1.03),SUMIF('Dept. Cost Actuals'!$E$7:$E$176,"*Health*",'Dept. Cost Actuals'!BW$7:BW$176))</f>
        <v>8188.5729583333341</v>
      </c>
      <c r="BT20" s="991">
        <f>IF(BT$4="forecast",((SUM($O$20:$Z$20)/12)*1.03),SUMIF('Dept. Cost Actuals'!$E$7:$E$176,"*Health*",'Dept. Cost Actuals'!BX$7:BX$176))</f>
        <v>8188.5729583333341</v>
      </c>
      <c r="BU20" s="991">
        <f>IF(BU$4="forecast",((SUM($O$20:$Z$20)/12)*1.03),SUMIF('Dept. Cost Actuals'!$E$7:$E$176,"*Health*",'Dept. Cost Actuals'!BY$7:BY$176))</f>
        <v>8188.5729583333341</v>
      </c>
      <c r="BV20" s="992">
        <f>IF(BV$4="forecast",((SUM($O$20:$Z$20)/12)*1.03),SUMIF('Dept. Cost Actuals'!$E$7:$E$176,"*Health*",'Dept. Cost Actuals'!BZ$7:BZ$176))</f>
        <v>8188.5729583333341</v>
      </c>
    </row>
    <row r="21" spans="2:74" s="626" customFormat="1" ht="12.75" x14ac:dyDescent="0.2">
      <c r="B21" s="1207" t="s">
        <v>1348</v>
      </c>
      <c r="C21" s="991">
        <f>IF(C$4="forecast",((400/12)*C$7),((SUMIF('Dept. Cost Actuals'!$E$7:$E$176,"*Employee*",'Dept. Cost Actuals'!G$7:G$176))))</f>
        <v>0</v>
      </c>
      <c r="D21" s="991">
        <f>IF(D$4="forecast",((400/12)*D$7),((SUMIF('Dept. Cost Actuals'!$E$7:$E$176,"*Employee*",'Dept. Cost Actuals'!H$7:H$176))))</f>
        <v>0</v>
      </c>
      <c r="E21" s="991">
        <f>IF(E$4="forecast",((400/12)*E$7),((SUMIF('Dept. Cost Actuals'!$E$7:$E$176,"*Employee*",'Dept. Cost Actuals'!I$7:I$176))))</f>
        <v>0</v>
      </c>
      <c r="F21" s="991">
        <f>IF(F$4="forecast",((400/12)*F$7),((SUMIF('Dept. Cost Actuals'!$E$7:$E$176,"*Employee*",'Dept. Cost Actuals'!J$7:J$176))))</f>
        <v>0</v>
      </c>
      <c r="G21" s="991">
        <f>IF(G$4="forecast",((400/12)*G$7),((SUMIF('Dept. Cost Actuals'!$E$7:$E$176,"*Employee*",'Dept. Cost Actuals'!K$7:K$176))))</f>
        <v>0</v>
      </c>
      <c r="H21" s="991">
        <f>IF(H$4="forecast",((400/12)*H$7),((SUMIF('Dept. Cost Actuals'!$E$7:$E$176,"*Employee*",'Dept. Cost Actuals'!L$7:L$176))))</f>
        <v>0</v>
      </c>
      <c r="I21" s="991">
        <f>IF(I$4="forecast",((400/12)*I$7),((SUMIF('Dept. Cost Actuals'!$E$7:$E$176,"*Employee*",'Dept. Cost Actuals'!M$7:M$176))))</f>
        <v>0</v>
      </c>
      <c r="J21" s="991">
        <f>IF(J$4="forecast",((400/12)*J$7),((SUMIF('Dept. Cost Actuals'!$E$7:$E$176,"*Employee*",'Dept. Cost Actuals'!N$7:N$176))))</f>
        <v>0</v>
      </c>
      <c r="K21" s="991">
        <f>IF(K$4="forecast",((400/12)*K$7),((SUMIF('Dept. Cost Actuals'!$E$7:$E$176,"*Employee*",'Dept. Cost Actuals'!O$7:O$176))))</f>
        <v>0</v>
      </c>
      <c r="L21" s="991">
        <f>IF(L$4="forecast",((400/12)*L$7),((SUMIF('Dept. Cost Actuals'!$E$7:$E$176,"*Employee*",'Dept. Cost Actuals'!P$7:P$176))))</f>
        <v>0</v>
      </c>
      <c r="M21" s="991">
        <f>IF(M$4="forecast",((400/12)*M$7),((SUMIF('Dept. Cost Actuals'!$E$7:$E$176,"*Employee*",'Dept. Cost Actuals'!Q$7:Q$176))))</f>
        <v>0</v>
      </c>
      <c r="N21" s="991">
        <f>IF(N$4="forecast",((400/12)*N$7),((SUMIF('Dept. Cost Actuals'!$E$7:$E$176,"*Employee*",'Dept. Cost Actuals'!R$7:R$176))))</f>
        <v>0</v>
      </c>
      <c r="O21" s="991">
        <f>IF(O$4="forecast",((400/12)*O$7),((SUMIF('Dept. Cost Actuals'!$E$7:$E$176,"*Employee*",'Dept. Cost Actuals'!S$7:S$176))))</f>
        <v>0</v>
      </c>
      <c r="P21" s="991">
        <f>IF(P$4="forecast",((400/12)*P$7),((SUMIF('Dept. Cost Actuals'!$E$7:$E$176,"*Employee*",'Dept. Cost Actuals'!T$7:T$176))))</f>
        <v>0</v>
      </c>
      <c r="Q21" s="991">
        <f>IF(Q$4="forecast",((400/12)*Q$7),((SUMIF('Dept. Cost Actuals'!$E$7:$E$176,"*Employee*",'Dept. Cost Actuals'!U$7:U$176))))</f>
        <v>0</v>
      </c>
      <c r="R21" s="991">
        <f>IF(R$4="forecast",((400/12)*R$7),((SUMIF('Dept. Cost Actuals'!$E$7:$E$176,"*Employee*",'Dept. Cost Actuals'!V$7:V$176))))</f>
        <v>0</v>
      </c>
      <c r="S21" s="991">
        <f>IF(S$4="forecast",((400/12)*S$7),((SUMIF('Dept. Cost Actuals'!$E$7:$E$176,"*Employee*",'Dept. Cost Actuals'!W$7:W$176))))</f>
        <v>0</v>
      </c>
      <c r="T21" s="991">
        <f>IF(T$4="forecast",((400/12)*T$7),((SUMIF('Dept. Cost Actuals'!$E$7:$E$176,"*Employee*",'Dept. Cost Actuals'!X$7:X$176))))</f>
        <v>0</v>
      </c>
      <c r="U21" s="991">
        <f>IF(U$4="forecast",((400/12)*U$7),((SUMIF('Dept. Cost Actuals'!$E$7:$E$176,"*Employee*",'Dept. Cost Actuals'!Y$7:Y$176))))</f>
        <v>0</v>
      </c>
      <c r="V21" s="991">
        <f>IF(V$4="forecast",((400/12)*V$7),((SUMIF('Dept. Cost Actuals'!$E$7:$E$176,"*Employee*",'Dept. Cost Actuals'!Z$7:Z$176))))</f>
        <v>244.9</v>
      </c>
      <c r="W21" s="991">
        <f>IF(W$4="forecast",((400/12)*W$7),((SUMIF('Dept. Cost Actuals'!$E$7:$E$176,"*Employee*",'Dept. Cost Actuals'!AA$7:AA$176))))</f>
        <v>293.95</v>
      </c>
      <c r="X21" s="991">
        <f>IF(X$4="forecast",((400/12)*X$7),((SUMIF('Dept. Cost Actuals'!$E$7:$E$176,"*Employee*",'Dept. Cost Actuals'!AB$7:AB$176))))</f>
        <v>324.12</v>
      </c>
      <c r="Y21" s="991">
        <f>IF(Y$4="forecast",((400/12)*Y$7),((SUMIF('Dept. Cost Actuals'!$E$7:$E$176,"*Employee*",'Dept. Cost Actuals'!AC$7:AC$176))))</f>
        <v>484.35</v>
      </c>
      <c r="Z21" s="991">
        <f>IF(Z$4="forecast",((400/12)*Z$7),((SUMIF('Dept. Cost Actuals'!$E$7:$E$176,"*Employee*",'Dept. Cost Actuals'!AD$7:AD$176))))</f>
        <v>0</v>
      </c>
      <c r="AA21" s="991">
        <f>IF(AA$4="forecast",((400/12)*AA$7),((SUMIF('Dept. Cost Actuals'!$E$7:$E$176,"*Employee*",'Dept. Cost Actuals'!AE$7:AE$176))))</f>
        <v>233.89</v>
      </c>
      <c r="AB21" s="991">
        <f>IF(AB$4="forecast",((400/12)*AB$7),((SUMIF('Dept. Cost Actuals'!$E$7:$E$176,"*Employee*",'Dept. Cost Actuals'!AF$7:AF$176))))</f>
        <v>239.19</v>
      </c>
      <c r="AC21" s="991">
        <f>IF(AC$4="forecast",((400/12)*AC$7),((SUMIF('Dept. Cost Actuals'!$E$7:$E$176,"*Employee*",'Dept. Cost Actuals'!AG$7:AG$176))))</f>
        <v>414.38</v>
      </c>
      <c r="AD21" s="991">
        <f>IF(AD$4="forecast",((400/12)*AD$7),((SUMIF('Dept. Cost Actuals'!$E$7:$E$176,"*Employee*",'Dept. Cost Actuals'!AH$7:AH$176))))</f>
        <v>733.33333333333337</v>
      </c>
      <c r="AE21" s="991">
        <f>IF(AE$4="forecast",((400/12)*AE$7),((SUMIF('Dept. Cost Actuals'!$E$7:$E$176,"*Employee*",'Dept. Cost Actuals'!AI$7:AI$176))))</f>
        <v>766.66666666666674</v>
      </c>
      <c r="AF21" s="991">
        <f>IF(AF$4="forecast",((400/12)*AF$7),((SUMIF('Dept. Cost Actuals'!$E$7:$E$176,"*Employee*",'Dept. Cost Actuals'!AJ$7:AJ$176))))</f>
        <v>766.66666666666674</v>
      </c>
      <c r="AG21" s="991">
        <f>IF(AG$4="forecast",((400/12)*AG$7),((SUMIF('Dept. Cost Actuals'!$E$7:$E$176,"*Employee*",'Dept. Cost Actuals'!AK$7:AK$176))))</f>
        <v>833.33333333333337</v>
      </c>
      <c r="AH21" s="991">
        <f>IF(AH$4="forecast",((400/12)*AH$7),((SUMIF('Dept. Cost Actuals'!$E$7:$E$176,"*Employee*",'Dept. Cost Actuals'!AL$7:AL$176))))</f>
        <v>833.33333333333337</v>
      </c>
      <c r="AI21" s="991">
        <f>IF(AI$4="forecast",((400/12)*AI$7),((SUMIF('Dept. Cost Actuals'!$E$7:$E$176,"*Employee*",'Dept. Cost Actuals'!AM$7:AM$176))))</f>
        <v>833.33333333333337</v>
      </c>
      <c r="AJ21" s="991">
        <f>IF(AJ$4="forecast",((400/12)*AJ$7),((SUMIF('Dept. Cost Actuals'!$E$7:$E$176,"*Employee*",'Dept. Cost Actuals'!AN$7:AN$176))))</f>
        <v>833.33333333333337</v>
      </c>
      <c r="AK21" s="991">
        <f>IF(AK$4="forecast",((400/12)*AK$7),((SUMIF('Dept. Cost Actuals'!$E$7:$E$176,"*Employee*",'Dept. Cost Actuals'!AO$7:AO$176))))</f>
        <v>833.33333333333337</v>
      </c>
      <c r="AL21" s="991">
        <f>IF(AL$4="forecast",((400/12)*AL$7),((SUMIF('Dept. Cost Actuals'!$E$7:$E$176,"*Employee*",'Dept. Cost Actuals'!AP$7:AP$176))))</f>
        <v>833.33333333333337</v>
      </c>
      <c r="AM21" s="991">
        <f>IF(AM$4="forecast",((400/12)*AM$7),((SUMIF('Dept. Cost Actuals'!$E$7:$E$176,"*Employee*",'Dept. Cost Actuals'!AQ$7:AQ$176))))</f>
        <v>833.33333333333337</v>
      </c>
      <c r="AN21" s="991">
        <f>IF(AN$4="forecast",((400/12)*AN$7),((SUMIF('Dept. Cost Actuals'!$E$7:$E$176,"*Employee*",'Dept. Cost Actuals'!AR$7:AR$176))))</f>
        <v>833.33333333333337</v>
      </c>
      <c r="AO21" s="991">
        <f>IF(AO$4="forecast",((400/12)*AO$7),((SUMIF('Dept. Cost Actuals'!$E$7:$E$176,"*Employee*",'Dept. Cost Actuals'!AS$7:AS$176))))</f>
        <v>833.33333333333337</v>
      </c>
      <c r="AP21" s="991">
        <f>IF(AP$4="forecast",((400/12)*AP$7),((SUMIF('Dept. Cost Actuals'!$E$7:$E$176,"*Employee*",'Dept. Cost Actuals'!AT$7:AT$176))))</f>
        <v>833.33333333333337</v>
      </c>
      <c r="AQ21" s="991">
        <f>IF(AQ$4="forecast",((400/12)*AQ$7),((SUMIF('Dept. Cost Actuals'!$E$7:$E$176,"*Employee*",'Dept. Cost Actuals'!AU$7:AU$176))))</f>
        <v>833.33333333333337</v>
      </c>
      <c r="AR21" s="991">
        <f>IF(AR$4="forecast",((400/12)*AR$7),((SUMIF('Dept. Cost Actuals'!$E$7:$E$176,"*Employee*",'Dept. Cost Actuals'!AV$7:AV$176))))</f>
        <v>833.33333333333337</v>
      </c>
      <c r="AS21" s="991">
        <f>IF(AS$4="forecast",((400/12)*AS$7),((SUMIF('Dept. Cost Actuals'!$E$7:$E$176,"*Employee*",'Dept. Cost Actuals'!AW$7:AW$176))))</f>
        <v>833.33333333333337</v>
      </c>
      <c r="AT21" s="991">
        <f>IF(AT$4="forecast",((400/12)*AT$7),((SUMIF('Dept. Cost Actuals'!$E$7:$E$176,"*Employee*",'Dept. Cost Actuals'!AX$7:AX$176))))</f>
        <v>833.33333333333337</v>
      </c>
      <c r="AU21" s="991">
        <f>IF(AU$4="forecast",((400/12)*AU$7),((SUMIF('Dept. Cost Actuals'!$E$7:$E$176,"*Employee*",'Dept. Cost Actuals'!AY$7:AY$176))))</f>
        <v>833.33333333333337</v>
      </c>
      <c r="AV21" s="991">
        <f>IF(AV$4="forecast",((400/12)*AV$7),((SUMIF('Dept. Cost Actuals'!$E$7:$E$176,"*Employee*",'Dept. Cost Actuals'!AZ$7:AZ$176))))</f>
        <v>833.33333333333337</v>
      </c>
      <c r="AW21" s="991">
        <f>IF(AW$4="forecast",((400/12)*AW$7),((SUMIF('Dept. Cost Actuals'!$E$7:$E$176,"*Employee*",'Dept. Cost Actuals'!BA$7:BA$176))))</f>
        <v>833.33333333333337</v>
      </c>
      <c r="AX21" s="991">
        <f>IF(AX$4="forecast",((400/12)*AX$7),((SUMIF('Dept. Cost Actuals'!$E$7:$E$176,"*Employee*",'Dept. Cost Actuals'!BB$7:BB$176))))</f>
        <v>833.33333333333337</v>
      </c>
      <c r="AY21" s="991">
        <f>IF(AY$4="forecast",((400/12)*AY$7),((SUMIF('Dept. Cost Actuals'!$E$7:$E$176,"*Employee*",'Dept. Cost Actuals'!BC$7:BC$176))))</f>
        <v>833.33333333333337</v>
      </c>
      <c r="AZ21" s="991">
        <f>IF(AZ$4="forecast",((400/12)*AZ$7),((SUMIF('Dept. Cost Actuals'!$E$7:$E$176,"*Employee*",'Dept. Cost Actuals'!BD$7:BD$176))))</f>
        <v>833.33333333333337</v>
      </c>
      <c r="BA21" s="991">
        <f>IF(BA$4="forecast",((400/12)*BA$7),((SUMIF('Dept. Cost Actuals'!$E$7:$E$176,"*Employee*",'Dept. Cost Actuals'!BE$7:BE$176))))</f>
        <v>833.33333333333337</v>
      </c>
      <c r="BB21" s="991">
        <f>IF(BB$4="forecast",((400/12)*BB$7),((SUMIF('Dept. Cost Actuals'!$E$7:$E$176,"*Employee*",'Dept. Cost Actuals'!BF$7:BF$176))))</f>
        <v>833.33333333333337</v>
      </c>
      <c r="BC21" s="991">
        <f>IF(BC$4="forecast",((400/12)*BC$7),((SUMIF('Dept. Cost Actuals'!$E$7:$E$176,"*Employee*",'Dept. Cost Actuals'!BG$7:BG$176))))</f>
        <v>833.33333333333337</v>
      </c>
      <c r="BD21" s="991">
        <f>IF(BD$4="forecast",((400/12)*BD$7),((SUMIF('Dept. Cost Actuals'!$E$7:$E$176,"*Employee*",'Dept. Cost Actuals'!BH$7:BH$176))))</f>
        <v>833.33333333333337</v>
      </c>
      <c r="BE21" s="991">
        <f>IF(BE$4="forecast",((400/12)*BE$7),((SUMIF('Dept. Cost Actuals'!$E$7:$E$176,"*Employee*",'Dept. Cost Actuals'!BI$7:BI$176))))</f>
        <v>833.33333333333337</v>
      </c>
      <c r="BF21" s="991">
        <f>IF(BF$4="forecast",((400/12)*BF$7),((SUMIF('Dept. Cost Actuals'!$E$7:$E$176,"*Employee*",'Dept. Cost Actuals'!BJ$7:BJ$176))))</f>
        <v>833.33333333333337</v>
      </c>
      <c r="BG21" s="991">
        <f>IF(BG$4="forecast",((400/12)*BG$7),((SUMIF('Dept. Cost Actuals'!$E$7:$E$176,"*Employee*",'Dept. Cost Actuals'!BK$7:BK$176))))</f>
        <v>833.33333333333337</v>
      </c>
      <c r="BH21" s="991">
        <f>IF(BH$4="forecast",((400/12)*BH$7),((SUMIF('Dept. Cost Actuals'!$E$7:$E$176,"*Employee*",'Dept. Cost Actuals'!BL$7:BL$176))))</f>
        <v>833.33333333333337</v>
      </c>
      <c r="BI21" s="991">
        <f>IF(BI$4="forecast",((400/12)*BI$7),((SUMIF('Dept. Cost Actuals'!$E$7:$E$176,"*Employee*",'Dept. Cost Actuals'!BM$7:BM$176))))</f>
        <v>833.33333333333337</v>
      </c>
      <c r="BJ21" s="991">
        <f>IF(BJ$4="forecast",((400/12)*BJ$7),((SUMIF('Dept. Cost Actuals'!$E$7:$E$176,"*Employee*",'Dept. Cost Actuals'!BN$7:BN$176))))</f>
        <v>833.33333333333337</v>
      </c>
      <c r="BK21" s="991">
        <f>IF(BK$4="forecast",((400/12)*BK$7),((SUMIF('Dept. Cost Actuals'!$E$7:$E$176,"*Employee*",'Dept. Cost Actuals'!BO$7:BO$176))))</f>
        <v>833.33333333333337</v>
      </c>
      <c r="BL21" s="991">
        <f>IF(BL$4="forecast",((400/12)*BL$7),((SUMIF('Dept. Cost Actuals'!$E$7:$E$176,"*Employee*",'Dept. Cost Actuals'!BP$7:BP$176))))</f>
        <v>833.33333333333337</v>
      </c>
      <c r="BM21" s="991">
        <f>IF(BM$4="forecast",((400/12)*BM$7),((SUMIF('Dept. Cost Actuals'!$E$7:$E$176,"*Employee*",'Dept. Cost Actuals'!BQ$7:BQ$176))))</f>
        <v>833.33333333333337</v>
      </c>
      <c r="BN21" s="991">
        <f>IF(BN$4="forecast",((400/12)*BN$7),((SUMIF('Dept. Cost Actuals'!$E$7:$E$176,"*Employee*",'Dept. Cost Actuals'!BR$7:BR$176))))</f>
        <v>833.33333333333337</v>
      </c>
      <c r="BO21" s="991">
        <f>IF(BO$4="forecast",((400/12)*BO$7),((SUMIF('Dept. Cost Actuals'!$E$7:$E$176,"*Employee*",'Dept. Cost Actuals'!BS$7:BS$176))))</f>
        <v>833.33333333333337</v>
      </c>
      <c r="BP21" s="991">
        <f>IF(BP$4="forecast",((400/12)*BP$7),((SUMIF('Dept. Cost Actuals'!$E$7:$E$176,"*Employee*",'Dept. Cost Actuals'!BT$7:BT$176))))</f>
        <v>833.33333333333337</v>
      </c>
      <c r="BQ21" s="991">
        <f>IF(BQ$4="forecast",((400/12)*BQ$7),((SUMIF('Dept. Cost Actuals'!$E$7:$E$176,"*Employee*",'Dept. Cost Actuals'!BU$7:BU$176))))</f>
        <v>833.33333333333337</v>
      </c>
      <c r="BR21" s="991">
        <f>IF(BR$4="forecast",((400/12)*BR$7),((SUMIF('Dept. Cost Actuals'!$E$7:$E$176,"*Employee*",'Dept. Cost Actuals'!BV$7:BV$176))))</f>
        <v>833.33333333333337</v>
      </c>
      <c r="BS21" s="991">
        <f>IF(BS$4="forecast",((400/12)*BS$7),((SUMIF('Dept. Cost Actuals'!$E$7:$E$176,"*Employee*",'Dept. Cost Actuals'!BW$7:BW$176))))</f>
        <v>833.33333333333337</v>
      </c>
      <c r="BT21" s="991">
        <f>IF(BT$4="forecast",((400/12)*BT$7),((SUMIF('Dept. Cost Actuals'!$E$7:$E$176,"*Employee*",'Dept. Cost Actuals'!BX$7:BX$176))))</f>
        <v>833.33333333333337</v>
      </c>
      <c r="BU21" s="991">
        <f>IF(BU$4="forecast",((400/12)*BU$7),((SUMIF('Dept. Cost Actuals'!$E$7:$E$176,"*Employee*",'Dept. Cost Actuals'!BY$7:BY$176))))</f>
        <v>833.33333333333337</v>
      </c>
      <c r="BV21" s="992">
        <f>IF(BV$4="forecast",((400/12)*BV$7),((SUMIF('Dept. Cost Actuals'!$E$7:$E$176,"*Employee*",'Dept. Cost Actuals'!BZ$7:BZ$176))))</f>
        <v>833.33333333333337</v>
      </c>
    </row>
    <row r="22" spans="2:74" x14ac:dyDescent="0.25">
      <c r="B22" s="794" t="s">
        <v>934</v>
      </c>
      <c r="C22" s="668">
        <f>IF(C$4="forecast",C$8*'Direct People Department Costs'!$H$8,SUMIF('Dept. Cost Actuals'!$E$7:$E$176,"*Board*",'Dept. Cost Actuals'!G$7:G$176))</f>
        <v>0</v>
      </c>
      <c r="D22" s="668">
        <f>IF(D$4="forecast",D$8*'Direct People Department Costs'!$H$8,SUMIF('Dept. Cost Actuals'!$E$7:$E$176,"*Board*",'Dept. Cost Actuals'!H$7:H$176))</f>
        <v>0</v>
      </c>
      <c r="E22" s="668">
        <f>IF(E$4="forecast",E$8*'Direct People Department Costs'!$H$8,SUMIF('Dept. Cost Actuals'!$E$7:$E$176,"*Board*",'Dept. Cost Actuals'!I$7:I$176))</f>
        <v>0</v>
      </c>
      <c r="F22" s="668">
        <f>IF(F$4="forecast",F$8*'Direct People Department Costs'!$H$8,SUMIF('Dept. Cost Actuals'!$E$7:$E$176,"*Board*",'Dept. Cost Actuals'!J$7:J$176))</f>
        <v>0</v>
      </c>
      <c r="G22" s="668">
        <f>IF(G$4="forecast",G$8*'Direct People Department Costs'!$H$8,SUMIF('Dept. Cost Actuals'!$E$7:$E$176,"*Board*",'Dept. Cost Actuals'!K$7:K$176))</f>
        <v>0</v>
      </c>
      <c r="H22" s="668">
        <f>IF(H$4="forecast",H$8*'Direct People Department Costs'!$H$8,SUMIF('Dept. Cost Actuals'!$E$7:$E$176,"*Board*",'Dept. Cost Actuals'!L$7:L$176))</f>
        <v>0</v>
      </c>
      <c r="I22" s="668">
        <f>IF(I$4="forecast",I$8*'Direct People Department Costs'!$H$8,SUMIF('Dept. Cost Actuals'!$E$7:$E$176,"*Board*",'Dept. Cost Actuals'!M$7:M$176))</f>
        <v>0</v>
      </c>
      <c r="J22" s="668">
        <f>IF(J$4="forecast",J$8*'Direct People Department Costs'!$H$8,SUMIF('Dept. Cost Actuals'!$E$7:$E$176,"*Board*",'Dept. Cost Actuals'!N$7:N$176))</f>
        <v>0</v>
      </c>
      <c r="K22" s="668">
        <f>IF(K$4="forecast",K$8*'Direct People Department Costs'!$H$8,SUMIF('Dept. Cost Actuals'!$E$7:$E$176,"*Board*",'Dept. Cost Actuals'!O$7:O$176))</f>
        <v>0</v>
      </c>
      <c r="L22" s="668">
        <f>IF(L$4="forecast",L$8*'Direct People Department Costs'!$H$8,SUMIF('Dept. Cost Actuals'!$E$7:$E$176,"*Board*",'Dept. Cost Actuals'!P$7:P$176))</f>
        <v>0</v>
      </c>
      <c r="M22" s="668">
        <f>IF(M$4="forecast",M$8*'Direct People Department Costs'!$H$8,SUMIF('Dept. Cost Actuals'!$E$7:$E$176,"*Board*",'Dept. Cost Actuals'!Q$7:Q$176))</f>
        <v>0</v>
      </c>
      <c r="N22" s="668">
        <f>IF(N$4="forecast",N$8*'Direct People Department Costs'!$H$8,SUMIF('Dept. Cost Actuals'!$E$7:$E$176,"*Board*",'Dept. Cost Actuals'!R$7:R$176))</f>
        <v>0</v>
      </c>
      <c r="O22" s="668">
        <f>IF(O$4="forecast",O$8*'Direct People Department Costs'!$H$8,SUMIF('Dept. Cost Actuals'!$E$7:$E$176,"*Board*",'Dept. Cost Actuals'!S$7:S$176))</f>
        <v>0</v>
      </c>
      <c r="P22" s="668">
        <f>IF(P$4="forecast",P$8*'Direct People Department Costs'!$H$8,SUMIF('Dept. Cost Actuals'!$E$7:$E$176,"*Board*",'Dept. Cost Actuals'!T$7:T$176))</f>
        <v>0</v>
      </c>
      <c r="Q22" s="668">
        <f>IF(Q$4="forecast",Q$8*'Direct People Department Costs'!$H$8,SUMIF('Dept. Cost Actuals'!$E$7:$E$176,"*Board*",'Dept. Cost Actuals'!U$7:U$176))</f>
        <v>446.96</v>
      </c>
      <c r="R22" s="668">
        <f>IF(R$4="forecast",R$8*'Direct People Department Costs'!$H$8,SUMIF('Dept. Cost Actuals'!$E$7:$E$176,"*Board*",'Dept. Cost Actuals'!V$7:V$176))</f>
        <v>383.23</v>
      </c>
      <c r="S22" s="668">
        <f>IF(S$4="forecast",S$8*'Direct People Department Costs'!$H$8,SUMIF('Dept. Cost Actuals'!$E$7:$E$176,"*Board*",'Dept. Cost Actuals'!W$7:W$176))</f>
        <v>0</v>
      </c>
      <c r="T22" s="668">
        <f>IF(T$4="forecast",T$8*'Direct People Department Costs'!$H$8,SUMIF('Dept. Cost Actuals'!$E$7:$E$176,"*Board*",'Dept. Cost Actuals'!X$7:X$176))</f>
        <v>549.6</v>
      </c>
      <c r="U22" s="668">
        <f>IF(U$4="forecast",U$8*'Direct People Department Costs'!$H$8,SUMIF('Dept. Cost Actuals'!$E$7:$E$176,"*Board*",'Dept. Cost Actuals'!Y$7:Y$176))</f>
        <v>0</v>
      </c>
      <c r="V22" s="668">
        <f>IF(V$4="forecast",V$8*'Direct People Department Costs'!$H$8,SUMIF('Dept. Cost Actuals'!$E$7:$E$176,"*Board*",'Dept. Cost Actuals'!Z$7:Z$176))</f>
        <v>225.68</v>
      </c>
      <c r="W22" s="668">
        <f>IF(W$4="forecast",W$8*'Direct People Department Costs'!$H$8,SUMIF('Dept. Cost Actuals'!$E$7:$E$176,"*Board*",'Dept. Cost Actuals'!AA$7:AA$176))</f>
        <v>428.15</v>
      </c>
      <c r="X22" s="668">
        <f>IF(X$4="forecast",X$8*'Direct People Department Costs'!$H$8,SUMIF('Dept. Cost Actuals'!$E$7:$E$176,"*Board*",'Dept. Cost Actuals'!AB$7:AB$176))</f>
        <v>44.99</v>
      </c>
      <c r="Y22" s="668">
        <f>IF(Y$4="forecast",Y$8*'Direct People Department Costs'!$H$8,SUMIF('Dept. Cost Actuals'!$E$7:$E$176,"*Board*",'Dept. Cost Actuals'!AC$7:AC$176))</f>
        <v>334.86</v>
      </c>
      <c r="Z22" s="668">
        <f>IF(Z$4="forecast",Z$8*'Direct People Department Costs'!$H$8,SUMIF('Dept. Cost Actuals'!$E$7:$E$176,"*Board*",'Dept. Cost Actuals'!AD$7:AD$176))</f>
        <v>875.88</v>
      </c>
      <c r="AA22" s="668">
        <f>IF(AA$4="forecast",AA$8*'Direct People Department Costs'!$H$8,SUMIF('Dept. Cost Actuals'!$E$7:$E$176,"*Board*",'Dept. Cost Actuals'!AE$7:AE$176))</f>
        <v>463.36</v>
      </c>
      <c r="AB22" s="668">
        <f>IF(AB$4="forecast",AB$8*'Direct People Department Costs'!$H$8,SUMIF('Dept. Cost Actuals'!$E$7:$E$176,"*Board*",'Dept. Cost Actuals'!AF$7:AF$176))</f>
        <v>0</v>
      </c>
      <c r="AC22" s="668">
        <f>IF(AC$4="forecast",AC$8*'Direct People Department Costs'!$H$8,SUMIF('Dept. Cost Actuals'!$E$7:$E$176,"*Board*",'Dept. Cost Actuals'!AG$7:AG$176))</f>
        <v>0</v>
      </c>
      <c r="AD22" s="668">
        <f>IF(AD$4="forecast",AD$8*'Direct People Department Costs'!$H$8,SUMIF('Dept. Cost Actuals'!$E$7:$E$176,"*Board*",'Dept. Cost Actuals'!AH$7:AH$176))</f>
        <v>7200</v>
      </c>
      <c r="AE22" s="668">
        <f>IF(AE$4="forecast",AE$8*'Direct People Department Costs'!$H$8,SUMIF('Dept. Cost Actuals'!$E$7:$E$176,"*Board*",'Dept. Cost Actuals'!AI$7:AI$176))</f>
        <v>3600</v>
      </c>
      <c r="AF22" s="668">
        <f>IF(AF$4="forecast",AF$8*'Direct People Department Costs'!$H$8,SUMIF('Dept. Cost Actuals'!$E$7:$E$176,"*Board*",'Dept. Cost Actuals'!AJ$7:AJ$176))</f>
        <v>0</v>
      </c>
      <c r="AG22" s="668">
        <f>IF(AG$4="forecast",AG$8*'Direct People Department Costs'!$H$8,SUMIF('Dept. Cost Actuals'!$E$7:$E$176,"*Board*",'Dept. Cost Actuals'!AK$7:AK$176))</f>
        <v>7200</v>
      </c>
      <c r="AH22" s="668">
        <f>IF(AH$4="forecast",AH$8*'Direct People Department Costs'!$H$8,SUMIF('Dept. Cost Actuals'!$E$7:$E$176,"*Board*",'Dept. Cost Actuals'!AL$7:AL$176))</f>
        <v>0</v>
      </c>
      <c r="AI22" s="668">
        <f>IF(AI$4="forecast",AI$8*'Direct People Department Costs'!$H$8,SUMIF('Dept. Cost Actuals'!$E$7:$E$176,"*Board*",'Dept. Cost Actuals'!AM$7:AM$176))</f>
        <v>0</v>
      </c>
      <c r="AJ22" s="668">
        <f>IF(AJ$4="forecast",AJ$8*'Direct People Department Costs'!$H$8,SUMIF('Dept. Cost Actuals'!$E$7:$E$176,"*Board*",'Dept. Cost Actuals'!AN$7:AN$176))</f>
        <v>0</v>
      </c>
      <c r="AK22" s="668">
        <f>IF(AK$4="forecast",AK$8*'Direct People Department Costs'!$H$8,SUMIF('Dept. Cost Actuals'!$E$7:$E$176,"*Board*",'Dept. Cost Actuals'!AO$7:AO$176))</f>
        <v>0</v>
      </c>
      <c r="AL22" s="668">
        <f>IF(AL$4="forecast",AL$8*'Direct People Department Costs'!$H$8,SUMIF('Dept. Cost Actuals'!$E$7:$E$176,"*Board*",'Dept. Cost Actuals'!AP$7:AP$176))</f>
        <v>0</v>
      </c>
      <c r="AM22" s="668">
        <f>IF(AM$4="forecast",AM$8*'Direct People Department Costs'!$H$8,SUMIF('Dept. Cost Actuals'!$E$7:$E$176,"*Board*",'Dept. Cost Actuals'!AQ$7:AQ$176))</f>
        <v>0</v>
      </c>
      <c r="AN22" s="668">
        <f>IF(AN$4="forecast",AN$8*'Direct People Department Costs'!$H$8,SUMIF('Dept. Cost Actuals'!$E$7:$E$176,"*Board*",'Dept. Cost Actuals'!AR$7:AR$176))</f>
        <v>0</v>
      </c>
      <c r="AO22" s="668">
        <f>IF(AO$4="forecast",AO$8*'Direct People Department Costs'!$H$8,SUMIF('Dept. Cost Actuals'!$E$7:$E$176,"*Board*",'Dept. Cost Actuals'!AS$7:AS$176))</f>
        <v>0</v>
      </c>
      <c r="AP22" s="668">
        <f>IF(AP$4="forecast",AP$8*'Direct People Department Costs'!$H$8,SUMIF('Dept. Cost Actuals'!$E$7:$E$176,"*Board*",'Dept. Cost Actuals'!AT$7:AT$176))</f>
        <v>0</v>
      </c>
      <c r="AQ22" s="668">
        <f>IF(AQ$4="forecast",AQ$8*'Direct People Department Costs'!$H$8,SUMIF('Dept. Cost Actuals'!$E$7:$E$176,"*Board*",'Dept. Cost Actuals'!AU$7:AU$176))</f>
        <v>0</v>
      </c>
      <c r="AR22" s="668">
        <f>IF(AR$4="forecast",AR$8*'Direct People Department Costs'!$H$8,SUMIF('Dept. Cost Actuals'!$E$7:$E$176,"*Board*",'Dept. Cost Actuals'!AV$7:AV$176))</f>
        <v>0</v>
      </c>
      <c r="AS22" s="668">
        <f>IF(AS$4="forecast",AS$8*'Direct People Department Costs'!$H$8,SUMIF('Dept. Cost Actuals'!$E$7:$E$176,"*Board*",'Dept. Cost Actuals'!AW$7:AW$176))</f>
        <v>0</v>
      </c>
      <c r="AT22" s="668">
        <f>IF(AT$4="forecast",AT$8*'Direct People Department Costs'!$H$8,SUMIF('Dept. Cost Actuals'!$E$7:$E$176,"*Board*",'Dept. Cost Actuals'!AX$7:AX$176))</f>
        <v>0</v>
      </c>
      <c r="AU22" s="668">
        <f>IF(AU$4="forecast",AU$8*'Direct People Department Costs'!$H$8,SUMIF('Dept. Cost Actuals'!$E$7:$E$176,"*Board*",'Dept. Cost Actuals'!AY$7:AY$176))</f>
        <v>0</v>
      </c>
      <c r="AV22" s="668">
        <f>IF(AV$4="forecast",AV$8*'Direct People Department Costs'!$H$8,SUMIF('Dept. Cost Actuals'!$E$7:$E$176,"*Board*",'Dept. Cost Actuals'!AZ$7:AZ$176))</f>
        <v>0</v>
      </c>
      <c r="AW22" s="668">
        <f>IF(AW$4="forecast",AW$8*'Direct People Department Costs'!$H$8,SUMIF('Dept. Cost Actuals'!$E$7:$E$176,"*Board*",'Dept. Cost Actuals'!BA$7:BA$176))</f>
        <v>0</v>
      </c>
      <c r="AX22" s="668">
        <f>IF(AX$4="forecast",AX$8*'Direct People Department Costs'!$H$8,SUMIF('Dept. Cost Actuals'!$E$7:$E$176,"*Board*",'Dept. Cost Actuals'!BB$7:BB$176))</f>
        <v>0</v>
      </c>
      <c r="AY22" s="668">
        <f>IF(AY$4="forecast",AY$8*'Direct People Department Costs'!$H$8,SUMIF('Dept. Cost Actuals'!$E$7:$E$176,"*Board*",'Dept. Cost Actuals'!BC$7:BC$176))</f>
        <v>0</v>
      </c>
      <c r="AZ22" s="668">
        <f>IF(AZ$4="forecast",AZ$8*'Direct People Department Costs'!$H$8,SUMIF('Dept. Cost Actuals'!$E$7:$E$176,"*Board*",'Dept. Cost Actuals'!BD$7:BD$176))</f>
        <v>0</v>
      </c>
      <c r="BA22" s="668">
        <f>IF(BA$4="forecast",BA$8*'Direct People Department Costs'!$H$8,SUMIF('Dept. Cost Actuals'!$E$7:$E$176,"*Board*",'Dept. Cost Actuals'!BE$7:BE$176))</f>
        <v>0</v>
      </c>
      <c r="BB22" s="668">
        <f>IF(BB$4="forecast",BB$8*'Direct People Department Costs'!$H$8,SUMIF('Dept. Cost Actuals'!$E$7:$E$176,"*Board*",'Dept. Cost Actuals'!BF$7:BF$176))</f>
        <v>0</v>
      </c>
      <c r="BC22" s="668">
        <f>IF(BC$4="forecast",BC$8*'Direct People Department Costs'!$H$8,SUMIF('Dept. Cost Actuals'!$E$7:$E$176,"*Board*",'Dept. Cost Actuals'!BG$7:BG$176))</f>
        <v>0</v>
      </c>
      <c r="BD22" s="668">
        <f>IF(BD$4="forecast",BD$8*'Direct People Department Costs'!$H$8,SUMIF('Dept. Cost Actuals'!$E$7:$E$176,"*Board*",'Dept. Cost Actuals'!BH$7:BH$176))</f>
        <v>0</v>
      </c>
      <c r="BE22" s="668">
        <f>IF(BE$4="forecast",BE$8*'Direct People Department Costs'!$H$8,SUMIF('Dept. Cost Actuals'!$E$7:$E$176,"*Board*",'Dept. Cost Actuals'!BI$7:BI$176))</f>
        <v>0</v>
      </c>
      <c r="BF22" s="668">
        <f>IF(BF$4="forecast",BF$8*'Direct People Department Costs'!$H$8,SUMIF('Dept. Cost Actuals'!$E$7:$E$176,"*Board*",'Dept. Cost Actuals'!BJ$7:BJ$176))</f>
        <v>0</v>
      </c>
      <c r="BG22" s="668">
        <f>IF(BG$4="forecast",BG$8*'Direct People Department Costs'!$H$8,SUMIF('Dept. Cost Actuals'!$E$7:$E$176,"*Board*",'Dept. Cost Actuals'!BK$7:BK$176))</f>
        <v>0</v>
      </c>
      <c r="BH22" s="668">
        <f>IF(BH$4="forecast",BH$8*'Direct People Department Costs'!$H$8,SUMIF('Dept. Cost Actuals'!$E$7:$E$176,"*Board*",'Dept. Cost Actuals'!BL$7:BL$176))</f>
        <v>0</v>
      </c>
      <c r="BI22" s="668">
        <f>IF(BI$4="forecast",BI$8*'Direct People Department Costs'!$H$8,SUMIF('Dept. Cost Actuals'!$E$7:$E$176,"*Board*",'Dept. Cost Actuals'!BM$7:BM$176))</f>
        <v>0</v>
      </c>
      <c r="BJ22" s="668">
        <f>IF(BJ$4="forecast",BJ$8*'Direct People Department Costs'!$H$8,SUMIF('Dept. Cost Actuals'!$E$7:$E$176,"*Board*",'Dept. Cost Actuals'!BN$7:BN$176))</f>
        <v>0</v>
      </c>
      <c r="BK22" s="668">
        <f>IF(BK$4="forecast",BK$8*'Direct People Department Costs'!$H$8,SUMIF('Dept. Cost Actuals'!$E$7:$E$176,"*Board*",'Dept. Cost Actuals'!BO$7:BO$176))</f>
        <v>0</v>
      </c>
      <c r="BL22" s="668">
        <f>IF(BL$4="forecast",BL$8*'Direct People Department Costs'!$H$8,SUMIF('Dept. Cost Actuals'!$E$7:$E$176,"*Board*",'Dept. Cost Actuals'!BP$7:BP$176))</f>
        <v>0</v>
      </c>
      <c r="BM22" s="668">
        <f>IF(BM$4="forecast",BM$8*'Direct People Department Costs'!$H$8,SUMIF('Dept. Cost Actuals'!$E$7:$E$176,"*Board*",'Dept. Cost Actuals'!BQ$7:BQ$176))</f>
        <v>0</v>
      </c>
      <c r="BN22" s="668">
        <f>IF(BN$4="forecast",BN$8*'Direct People Department Costs'!$H$8,SUMIF('Dept. Cost Actuals'!$E$7:$E$176,"*Board*",'Dept. Cost Actuals'!BR$7:BR$176))</f>
        <v>0</v>
      </c>
      <c r="BO22" s="668">
        <f>IF(BO$4="forecast",BO$8*'Direct People Department Costs'!$H$8,SUMIF('Dept. Cost Actuals'!$E$7:$E$176,"*Board*",'Dept. Cost Actuals'!BS$7:BS$176))</f>
        <v>0</v>
      </c>
      <c r="BP22" s="668">
        <f>IF(BP$4="forecast",BP$8*'Direct People Department Costs'!$H$8,SUMIF('Dept. Cost Actuals'!$E$7:$E$176,"*Board*",'Dept. Cost Actuals'!BT$7:BT$176))</f>
        <v>0</v>
      </c>
      <c r="BQ22" s="668">
        <f>IF(BQ$4="forecast",BQ$8*'Direct People Department Costs'!$H$8,SUMIF('Dept. Cost Actuals'!$E$7:$E$176,"*Board*",'Dept. Cost Actuals'!BU$7:BU$176))</f>
        <v>0</v>
      </c>
      <c r="BR22" s="668">
        <f>IF(BR$4="forecast",BR$8*'Direct People Department Costs'!$H$8,SUMIF('Dept. Cost Actuals'!$E$7:$E$176,"*Board*",'Dept. Cost Actuals'!BV$7:BV$176))</f>
        <v>0</v>
      </c>
      <c r="BS22" s="668">
        <f>IF(BS$4="forecast",BS$8*'Direct People Department Costs'!$H$8,SUMIF('Dept. Cost Actuals'!$E$7:$E$176,"*Board*",'Dept. Cost Actuals'!BW$7:BW$176))</f>
        <v>0</v>
      </c>
      <c r="BT22" s="668">
        <f>IF(BT$4="forecast",BT$8*'Direct People Department Costs'!$H$8,SUMIF('Dept. Cost Actuals'!$E$7:$E$176,"*Board*",'Dept. Cost Actuals'!BX$7:BX$176))</f>
        <v>0</v>
      </c>
      <c r="BU22" s="668">
        <f>IF(BU$4="forecast",BU$8*'Direct People Department Costs'!$H$8,SUMIF('Dept. Cost Actuals'!$E$7:$E$176,"*Board*",'Dept. Cost Actuals'!BY$7:BY$176))</f>
        <v>0</v>
      </c>
      <c r="BV22" s="668">
        <f>IF(BV$4="forecast",BV$8*'Direct People Department Costs'!$H$8,SUMIF('Dept. Cost Actuals'!$E$7:$E$176,"*Board*",'Dept. Cost Actuals'!BZ$7:BZ$176))</f>
        <v>0</v>
      </c>
    </row>
    <row r="23" spans="2:74" x14ac:dyDescent="0.25">
      <c r="B23" s="794" t="s">
        <v>918</v>
      </c>
      <c r="C23" s="668">
        <f>IF(C$4="forecast",C$8*'Direct People Department Costs'!$H$9,SUMIF('Dept. Cost Actuals'!$E$7:$E$176,"*Recruiting*",'Dept. Cost Actuals'!G$7:G$176))</f>
        <v>194.81837767622494</v>
      </c>
      <c r="D23" s="668">
        <f>IF(D$4="forecast",D$8*'Direct People Department Costs'!$H$9,SUMIF('Dept. Cost Actuals'!$E$7:$E$176,"*Recruiting*",'Dept. Cost Actuals'!H$7:H$176))</f>
        <v>33.710183452770586</v>
      </c>
      <c r="E23" s="668">
        <f>IF(E$4="forecast",E$8*'Direct People Department Costs'!$H$9,SUMIF('Dept. Cost Actuals'!$E$7:$E$176,"*Recruiting*",'Dept. Cost Actuals'!I$7:I$176))</f>
        <v>20.296402785650265</v>
      </c>
      <c r="F23" s="668">
        <f>IF(F$4="forecast",F$8*'Direct People Department Costs'!$H$9,SUMIF('Dept. Cost Actuals'!$E$7:$E$176,"*Recruiting*",'Dept. Cost Actuals'!J$7:J$176))</f>
        <v>2236.014620553608</v>
      </c>
      <c r="G23" s="668">
        <f>IF(G$4="forecast",G$8*'Direct People Department Costs'!$H$9,SUMIF('Dept. Cost Actuals'!$E$7:$E$176,"*Recruiting*",'Dept. Cost Actuals'!K$7:K$176))</f>
        <v>129.53824352184637</v>
      </c>
      <c r="H23" s="668">
        <f>IF(H$4="forecast",H$8*'Direct People Department Costs'!$H$9,SUMIF('Dept. Cost Actuals'!$E$7:$E$176,"*Recruiting*",'Dept. Cost Actuals'!L$7:L$176))</f>
        <v>2012.7717452546296</v>
      </c>
      <c r="I23" s="668">
        <f>IF(I$4="forecast",I$8*'Direct People Department Costs'!$H$9,SUMIF('Dept. Cost Actuals'!$E$7:$E$176,"*Recruiting*",'Dept. Cost Actuals'!M$7:M$176))</f>
        <v>1853.2194614683319</v>
      </c>
      <c r="J23" s="668">
        <f>IF(J$4="forecast",J$8*'Direct People Department Costs'!$H$9,SUMIF('Dept. Cost Actuals'!$E$7:$E$176,"*Recruiting*",'Dept. Cost Actuals'!N$7:N$176))</f>
        <v>2754.9999481303234</v>
      </c>
      <c r="K23" s="668">
        <f>IF(K$4="forecast",K$8*'Direct People Department Costs'!$H$9,SUMIF('Dept. Cost Actuals'!$E$7:$E$176,"*Recruiting*",'Dept. Cost Actuals'!O$7:O$176))</f>
        <v>13.53815056037079</v>
      </c>
      <c r="L23" s="668">
        <f>IF(L$4="forecast",L$8*'Direct People Department Costs'!$H$9,SUMIF('Dept. Cost Actuals'!$E$7:$E$176,"*Recruiting*",'Dept. Cost Actuals'!P$7:P$176))</f>
        <v>1188.4648830619644</v>
      </c>
      <c r="M23" s="668">
        <f>IF(M$4="forecast",M$8*'Direct People Department Costs'!$H$9,SUMIF('Dept. Cost Actuals'!$E$7:$E$176,"*Recruiting*",'Dept. Cost Actuals'!Q$7:Q$176))</f>
        <v>0</v>
      </c>
      <c r="N23" s="668">
        <f>IF(N$4="forecast",N$8*'Direct People Department Costs'!$H$9,SUMIF('Dept. Cost Actuals'!$E$7:$E$176,"*Recruiting*",'Dept. Cost Actuals'!R$7:R$176))</f>
        <v>0</v>
      </c>
      <c r="O23" s="668">
        <f>IF(O$4="forecast",O$8*'Direct People Department Costs'!$H$9,SUMIF('Dept. Cost Actuals'!$E$7:$E$176,"*Recruiting*",'Dept. Cost Actuals'!S$7:S$176))</f>
        <v>200</v>
      </c>
      <c r="P23" s="668">
        <f>IF(P$4="forecast",P$8*'Direct People Department Costs'!$H$9,SUMIF('Dept. Cost Actuals'!$E$7:$E$176,"*Recruiting*",'Dept. Cost Actuals'!T$7:T$176))</f>
        <v>125</v>
      </c>
      <c r="Q23" s="668">
        <f>IF(Q$4="forecast",Q$8*'Direct People Department Costs'!$H$9,SUMIF('Dept. Cost Actuals'!$E$7:$E$176,"*Recruiting*",'Dept. Cost Actuals'!U$7:U$176))</f>
        <v>263.16000000000003</v>
      </c>
      <c r="R23" s="668">
        <f>IF(R$4="forecast",R$8*'Direct People Department Costs'!$H$9,SUMIF('Dept. Cost Actuals'!$E$7:$E$176,"*Recruiting*",'Dept. Cost Actuals'!V$7:V$176))</f>
        <v>25</v>
      </c>
      <c r="S23" s="668">
        <f>IF(S$4="forecast",S$8*'Direct People Department Costs'!$H$9,SUMIF('Dept. Cost Actuals'!$E$7:$E$176,"*Recruiting*",'Dept. Cost Actuals'!W$7:W$176))</f>
        <v>150</v>
      </c>
      <c r="T23" s="668">
        <f>IF(T$4="forecast",T$8*'Direct People Department Costs'!$H$9,SUMIF('Dept. Cost Actuals'!$E$7:$E$176,"*Recruiting*",'Dept. Cost Actuals'!X$7:X$176))</f>
        <v>135</v>
      </c>
      <c r="U23" s="668">
        <f>IF(U$4="forecast",U$8*'Direct People Department Costs'!$H$9,SUMIF('Dept. Cost Actuals'!$E$7:$E$176,"*Recruiting*",'Dept. Cost Actuals'!Y$7:Y$176))</f>
        <v>60</v>
      </c>
      <c r="V23" s="668">
        <f>IF(V$4="forecast",V$8*'Direct People Department Costs'!$H$9,SUMIF('Dept. Cost Actuals'!$E$7:$E$176,"*Recruiting*",'Dept. Cost Actuals'!Z$7:Z$176))</f>
        <v>60</v>
      </c>
      <c r="W23" s="668">
        <f>IF(W$4="forecast",W$8*'Direct People Department Costs'!$H$9,SUMIF('Dept. Cost Actuals'!$E$7:$E$176,"*Recruiting*",'Dept. Cost Actuals'!AA$7:AA$176))</f>
        <v>60</v>
      </c>
      <c r="X23" s="668">
        <f>IF(X$4="forecast",X$8*'Direct People Department Costs'!$H$9,SUMIF('Dept. Cost Actuals'!$E$7:$E$176,"*Recruiting*",'Dept. Cost Actuals'!AB$7:AB$176))</f>
        <v>135</v>
      </c>
      <c r="Y23" s="668">
        <f>IF(Y$4="forecast",Y$8*'Direct People Department Costs'!$H$9,SUMIF('Dept. Cost Actuals'!$E$7:$E$176,"*Recruiting*",'Dept. Cost Actuals'!AC$7:AC$176))</f>
        <v>185</v>
      </c>
      <c r="Z23" s="668">
        <f>IF(Z$4="forecast",Z$8*'Direct People Department Costs'!$H$9,SUMIF('Dept. Cost Actuals'!$E$7:$E$176,"*Recruiting*",'Dept. Cost Actuals'!AD$7:AD$176))</f>
        <v>0</v>
      </c>
      <c r="AA23" s="668">
        <f>IF(AA$4="forecast",AA$8*'Direct People Department Costs'!$H$9,SUMIF('Dept. Cost Actuals'!$E$7:$E$176,"*Recruiting*",'Dept. Cost Actuals'!AE$7:AE$176))</f>
        <v>135</v>
      </c>
      <c r="AB23" s="668">
        <f>IF(AB$4="forecast",AB$8*'Direct People Department Costs'!$H$9,SUMIF('Dept. Cost Actuals'!$E$7:$E$176,"*Recruiting*",'Dept. Cost Actuals'!AF$7:AF$176))</f>
        <v>60</v>
      </c>
      <c r="AC23" s="668">
        <f>IF(AC$4="forecast",AC$8*'Direct People Department Costs'!$H$9,SUMIF('Dept. Cost Actuals'!$E$7:$E$176,"*Recruiting*",'Dept. Cost Actuals'!AG$7:AG$176))</f>
        <v>60</v>
      </c>
      <c r="AD23" s="668">
        <f>IF(AD$4="forecast",AD$8*'Direct People Department Costs'!$H$9,SUMIF('Dept. Cost Actuals'!$E$7:$E$176,"*Recruiting*",'Dept. Cost Actuals'!AH$7:AH$176))</f>
        <v>2000</v>
      </c>
      <c r="AE23" s="668">
        <f>IF(AE$4="forecast",AE$8*'Direct People Department Costs'!$H$9,SUMIF('Dept. Cost Actuals'!$E$7:$E$176,"*Recruiting*",'Dept. Cost Actuals'!AI$7:AI$176))</f>
        <v>1000</v>
      </c>
      <c r="AF23" s="668">
        <f>IF(AF$4="forecast",AF$8*'Direct People Department Costs'!$H$9,SUMIF('Dept. Cost Actuals'!$E$7:$E$176,"*Recruiting*",'Dept. Cost Actuals'!AJ$7:AJ$176))</f>
        <v>0</v>
      </c>
      <c r="AG23" s="668">
        <f>IF(AG$4="forecast",AG$8*'Direct People Department Costs'!$H$9,SUMIF('Dept. Cost Actuals'!$E$7:$E$176,"*Recruiting*",'Dept. Cost Actuals'!AK$7:AK$176))</f>
        <v>2000</v>
      </c>
      <c r="AH23" s="668">
        <f>IF(AH$4="forecast",AH$8*'Direct People Department Costs'!$H$9,SUMIF('Dept. Cost Actuals'!$E$7:$E$176,"*Recruiting*",'Dept. Cost Actuals'!AL$7:AL$176))</f>
        <v>0</v>
      </c>
      <c r="AI23" s="668">
        <f>IF(AI$4="forecast",AI$8*'Direct People Department Costs'!$H$9,SUMIF('Dept. Cost Actuals'!$E$7:$E$176,"*Recruiting*",'Dept. Cost Actuals'!AM$7:AM$176))</f>
        <v>0</v>
      </c>
      <c r="AJ23" s="668">
        <f>IF(AJ$4="forecast",AJ$8*'Direct People Department Costs'!$H$9,SUMIF('Dept. Cost Actuals'!$E$7:$E$176,"*Recruiting*",'Dept. Cost Actuals'!AN$7:AN$176))</f>
        <v>0</v>
      </c>
      <c r="AK23" s="668">
        <f>IF(AK$4="forecast",AK$8*'Direct People Department Costs'!$H$9,SUMIF('Dept. Cost Actuals'!$E$7:$E$176,"*Recruiting*",'Dept. Cost Actuals'!AO$7:AO$176))</f>
        <v>0</v>
      </c>
      <c r="AL23" s="668">
        <f>IF(AL$4="forecast",AL$8*'Direct People Department Costs'!$H$9,SUMIF('Dept. Cost Actuals'!$E$7:$E$176,"*Recruiting*",'Dept. Cost Actuals'!AP$7:AP$176))</f>
        <v>0</v>
      </c>
      <c r="AM23" s="668">
        <f>IF(AM$4="forecast",AM$8*'Direct People Department Costs'!$H$9,SUMIF('Dept. Cost Actuals'!$E$7:$E$176,"*Recruiting*",'Dept. Cost Actuals'!AQ$7:AQ$176))</f>
        <v>0</v>
      </c>
      <c r="AN23" s="668">
        <f>IF(AN$4="forecast",AN$8*'Direct People Department Costs'!$H$9,SUMIF('Dept. Cost Actuals'!$E$7:$E$176,"*Recruiting*",'Dept. Cost Actuals'!AR$7:AR$176))</f>
        <v>0</v>
      </c>
      <c r="AO23" s="668">
        <f>IF(AO$4="forecast",AO$8*'Direct People Department Costs'!$H$9,SUMIF('Dept. Cost Actuals'!$E$7:$E$176,"*Recruiting*",'Dept. Cost Actuals'!AS$7:AS$176))</f>
        <v>0</v>
      </c>
      <c r="AP23" s="668">
        <f>IF(AP$4="forecast",AP$8*'Direct People Department Costs'!$H$9,SUMIF('Dept. Cost Actuals'!$E$7:$E$176,"*Recruiting*",'Dept. Cost Actuals'!AT$7:AT$176))</f>
        <v>0</v>
      </c>
      <c r="AQ23" s="668">
        <f>IF(AQ$4="forecast",AQ$8*'Direct People Department Costs'!$H$9,SUMIF('Dept. Cost Actuals'!$E$7:$E$176,"*Recruiting*",'Dept. Cost Actuals'!AU$7:AU$176))</f>
        <v>0</v>
      </c>
      <c r="AR23" s="668">
        <f>IF(AR$4="forecast",AR$8*'Direct People Department Costs'!$H$9,SUMIF('Dept. Cost Actuals'!$E$7:$E$176,"*Recruiting*",'Dept. Cost Actuals'!AV$7:AV$176))</f>
        <v>0</v>
      </c>
      <c r="AS23" s="668">
        <f>IF(AS$4="forecast",AS$8*'Direct People Department Costs'!$H$9,SUMIF('Dept. Cost Actuals'!$E$7:$E$176,"*Recruiting*",'Dept. Cost Actuals'!AW$7:AW$176))</f>
        <v>0</v>
      </c>
      <c r="AT23" s="668">
        <f>IF(AT$4="forecast",AT$8*'Direct People Department Costs'!$H$9,SUMIF('Dept. Cost Actuals'!$E$7:$E$176,"*Recruiting*",'Dept. Cost Actuals'!AX$7:AX$176))</f>
        <v>0</v>
      </c>
      <c r="AU23" s="668">
        <f>IF(AU$4="forecast",AU$8*'Direct People Department Costs'!$H$9,SUMIF('Dept. Cost Actuals'!$E$7:$E$176,"*Recruiting*",'Dept. Cost Actuals'!AY$7:AY$176))</f>
        <v>0</v>
      </c>
      <c r="AV23" s="668">
        <f>IF(AV$4="forecast",AV$8*'Direct People Department Costs'!$H$9,SUMIF('Dept. Cost Actuals'!$E$7:$E$176,"*Recruiting*",'Dept. Cost Actuals'!AZ$7:AZ$176))</f>
        <v>0</v>
      </c>
      <c r="AW23" s="668">
        <f>IF(AW$4="forecast",AW$8*'Direct People Department Costs'!$H$9,SUMIF('Dept. Cost Actuals'!$E$7:$E$176,"*Recruiting*",'Dept. Cost Actuals'!BA$7:BA$176))</f>
        <v>0</v>
      </c>
      <c r="AX23" s="668">
        <f>IF(AX$4="forecast",AX$8*'Direct People Department Costs'!$H$9,SUMIF('Dept. Cost Actuals'!$E$7:$E$176,"*Recruiting*",'Dept. Cost Actuals'!BB$7:BB$176))</f>
        <v>0</v>
      </c>
      <c r="AY23" s="668">
        <f>IF(AY$4="forecast",AY$8*'Direct People Department Costs'!$H$9,SUMIF('Dept. Cost Actuals'!$E$7:$E$176,"*Recruiting*",'Dept. Cost Actuals'!BC$7:BC$176))</f>
        <v>0</v>
      </c>
      <c r="AZ23" s="668">
        <f>IF(AZ$4="forecast",AZ$8*'Direct People Department Costs'!$H$9,SUMIF('Dept. Cost Actuals'!$E$7:$E$176,"*Recruiting*",'Dept. Cost Actuals'!BD$7:BD$176))</f>
        <v>0</v>
      </c>
      <c r="BA23" s="668">
        <f>IF(BA$4="forecast",BA$8*'Direct People Department Costs'!$H$9,SUMIF('Dept. Cost Actuals'!$E$7:$E$176,"*Recruiting*",'Dept. Cost Actuals'!BE$7:BE$176))</f>
        <v>0</v>
      </c>
      <c r="BB23" s="668">
        <f>IF(BB$4="forecast",BB$8*'Direct People Department Costs'!$H$9,SUMIF('Dept. Cost Actuals'!$E$7:$E$176,"*Recruiting*",'Dept. Cost Actuals'!BF$7:BF$176))</f>
        <v>0</v>
      </c>
      <c r="BC23" s="668">
        <f>IF(BC$4="forecast",BC$8*'Direct People Department Costs'!$H$9,SUMIF('Dept. Cost Actuals'!$E$7:$E$176,"*Recruiting*",'Dept. Cost Actuals'!BG$7:BG$176))</f>
        <v>0</v>
      </c>
      <c r="BD23" s="668">
        <f>IF(BD$4="forecast",BD$8*'Direct People Department Costs'!$H$9,SUMIF('Dept. Cost Actuals'!$E$7:$E$176,"*Recruiting*",'Dept. Cost Actuals'!BH$7:BH$176))</f>
        <v>0</v>
      </c>
      <c r="BE23" s="668">
        <f>IF(BE$4="forecast",BE$8*'Direct People Department Costs'!$H$9,SUMIF('Dept. Cost Actuals'!$E$7:$E$176,"*Recruiting*",'Dept. Cost Actuals'!BI$7:BI$176))</f>
        <v>0</v>
      </c>
      <c r="BF23" s="668">
        <f>IF(BF$4="forecast",BF$8*'Direct People Department Costs'!$H$9,SUMIF('Dept. Cost Actuals'!$E$7:$E$176,"*Recruiting*",'Dept. Cost Actuals'!BJ$7:BJ$176))</f>
        <v>0</v>
      </c>
      <c r="BG23" s="668">
        <f>IF(BG$4="forecast",BG$8*'Direct People Department Costs'!$H$9,SUMIF('Dept. Cost Actuals'!$E$7:$E$176,"*Recruiting*",'Dept. Cost Actuals'!BK$7:BK$176))</f>
        <v>0</v>
      </c>
      <c r="BH23" s="668">
        <f>IF(BH$4="forecast",BH$8*'Direct People Department Costs'!$H$9,SUMIF('Dept. Cost Actuals'!$E$7:$E$176,"*Recruiting*",'Dept. Cost Actuals'!BL$7:BL$176))</f>
        <v>0</v>
      </c>
      <c r="BI23" s="668">
        <f>IF(BI$4="forecast",BI$8*'Direct People Department Costs'!$H$9,SUMIF('Dept. Cost Actuals'!$E$7:$E$176,"*Recruiting*",'Dept. Cost Actuals'!BM$7:BM$176))</f>
        <v>0</v>
      </c>
      <c r="BJ23" s="668">
        <f>IF(BJ$4="forecast",BJ$8*'Direct People Department Costs'!$H$9,SUMIF('Dept. Cost Actuals'!$E$7:$E$176,"*Recruiting*",'Dept. Cost Actuals'!BN$7:BN$176))</f>
        <v>0</v>
      </c>
      <c r="BK23" s="668">
        <f>IF(BK$4="forecast",BK$8*'Direct People Department Costs'!$H$9,SUMIF('Dept. Cost Actuals'!$E$7:$E$176,"*Recruiting*",'Dept. Cost Actuals'!BO$7:BO$176))</f>
        <v>0</v>
      </c>
      <c r="BL23" s="668">
        <f>IF(BL$4="forecast",BL$8*'Direct People Department Costs'!$H$9,SUMIF('Dept. Cost Actuals'!$E$7:$E$176,"*Recruiting*",'Dept. Cost Actuals'!BP$7:BP$176))</f>
        <v>0</v>
      </c>
      <c r="BM23" s="668">
        <f>IF(BM$4="forecast",BM$8*'Direct People Department Costs'!$H$9,SUMIF('Dept. Cost Actuals'!$E$7:$E$176,"*Recruiting*",'Dept. Cost Actuals'!BQ$7:BQ$176))</f>
        <v>0</v>
      </c>
      <c r="BN23" s="668">
        <f>IF(BN$4="forecast",BN$8*'Direct People Department Costs'!$H$9,SUMIF('Dept. Cost Actuals'!$E$7:$E$176,"*Recruiting*",'Dept. Cost Actuals'!BR$7:BR$176))</f>
        <v>0</v>
      </c>
      <c r="BO23" s="668">
        <f>IF(BO$4="forecast",BO$8*'Direct People Department Costs'!$H$9,SUMIF('Dept. Cost Actuals'!$E$7:$E$176,"*Recruiting*",'Dept. Cost Actuals'!BS$7:BS$176))</f>
        <v>0</v>
      </c>
      <c r="BP23" s="668">
        <f>IF(BP$4="forecast",BP$8*'Direct People Department Costs'!$H$9,SUMIF('Dept. Cost Actuals'!$E$7:$E$176,"*Recruiting*",'Dept. Cost Actuals'!BT$7:BT$176))</f>
        <v>0</v>
      </c>
      <c r="BQ23" s="668">
        <f>IF(BQ$4="forecast",BQ$8*'Direct People Department Costs'!$H$9,SUMIF('Dept. Cost Actuals'!$E$7:$E$176,"*Recruiting*",'Dept. Cost Actuals'!BU$7:BU$176))</f>
        <v>0</v>
      </c>
      <c r="BR23" s="668">
        <f>IF(BR$4="forecast",BR$8*'Direct People Department Costs'!$H$9,SUMIF('Dept. Cost Actuals'!$E$7:$E$176,"*Recruiting*",'Dept. Cost Actuals'!BV$7:BV$176))</f>
        <v>0</v>
      </c>
      <c r="BS23" s="668">
        <f>IF(BS$4="forecast",BS$8*'Direct People Department Costs'!$H$9,SUMIF('Dept. Cost Actuals'!$E$7:$E$176,"*Recruiting*",'Dept. Cost Actuals'!BW$7:BW$176))</f>
        <v>0</v>
      </c>
      <c r="BT23" s="668">
        <f>IF(BT$4="forecast",BT$8*'Direct People Department Costs'!$H$9,SUMIF('Dept. Cost Actuals'!$E$7:$E$176,"*Recruiting*",'Dept. Cost Actuals'!BX$7:BX$176))</f>
        <v>0</v>
      </c>
      <c r="BU23" s="668">
        <f>IF(BU$4="forecast",BU$8*'Direct People Department Costs'!$H$9,SUMIF('Dept. Cost Actuals'!$E$7:$E$176,"*Recruiting*",'Dept. Cost Actuals'!BY$7:BY$176))</f>
        <v>0</v>
      </c>
      <c r="BV23" s="790">
        <f>IF(BV$4="forecast",BV$8*'Direct People Department Costs'!$H$9,SUMIF('Dept. Cost Actuals'!$E$7:$E$176,"*Recruiting*",'Dept. Cost Actuals'!BZ$7:BZ$176))</f>
        <v>0</v>
      </c>
    </row>
    <row r="24" spans="2:74" x14ac:dyDescent="0.25">
      <c r="B24" s="794" t="s">
        <v>431</v>
      </c>
      <c r="C24" s="668">
        <f>IF(C$4="forecast",(AVERAGE(#REF!)+750),SUMIF('Dept. Cost Actuals'!$E$7:$E$176,"*Travel*",'Dept. Cost Actuals'!G$7:G$176))</f>
        <v>76.10408025353189</v>
      </c>
      <c r="D24" s="668">
        <f>IF(D$4="forecast",(AVERAGE(#REF!)+750),SUMIF('Dept. Cost Actuals'!$E$7:$E$176,"*Travel*",'Dept. Cost Actuals'!H$7:H$176))</f>
        <v>359.04208953366464</v>
      </c>
      <c r="E24" s="668">
        <f>IF(E$4="forecast",(AVERAGE(#REF!)+750),SUMIF('Dept. Cost Actuals'!$E$7:$E$176,"*Travel*",'Dept. Cost Actuals'!I$7:I$176))</f>
        <v>155.35002001488616</v>
      </c>
      <c r="F24" s="668">
        <f>IF(F$4="forecast",(AVERAGE(#REF!)+750),SUMIF('Dept. Cost Actuals'!$E$7:$E$176,"*Travel*",'Dept. Cost Actuals'!J$7:J$176))</f>
        <v>413.71678270438792</v>
      </c>
      <c r="G24" s="668">
        <f>IF(G$4="forecast",(AVERAGE(#REF!)+750),SUMIF('Dept. Cost Actuals'!$E$7:$E$176,"*Travel*",'Dept. Cost Actuals'!K$7:K$176))</f>
        <v>383.15750433656586</v>
      </c>
      <c r="H24" s="668">
        <f>IF(H$4="forecast",(AVERAGE(#REF!)+750),SUMIF('Dept. Cost Actuals'!$E$7:$E$176,"*Travel*",'Dept. Cost Actuals'!L$7:L$176))</f>
        <v>601.53494512110819</v>
      </c>
      <c r="I24" s="668">
        <f>IF(I$4="forecast",(AVERAGE(#REF!)+750),SUMIF('Dept. Cost Actuals'!$E$7:$E$176,"*Travel*",'Dept. Cost Actuals'!M$7:M$176))</f>
        <v>212.97044725885405</v>
      </c>
      <c r="J24" s="668">
        <f>IF(J$4="forecast",(AVERAGE(#REF!)+750),SUMIF('Dept. Cost Actuals'!$E$7:$E$176,"*Travel*",'Dept. Cost Actuals'!N$7:N$176))</f>
        <v>651.17982263950375</v>
      </c>
      <c r="K24" s="668">
        <f>IF(K$4="forecast",(AVERAGE(#REF!)+750),SUMIF('Dept. Cost Actuals'!$E$7:$E$176,"*Travel*",'Dept. Cost Actuals'!O$7:O$176))</f>
        <v>903.98185861062029</v>
      </c>
      <c r="L24" s="668">
        <f>IF(L$4="forecast",(AVERAGE(#REF!)+750),SUMIF('Dept. Cost Actuals'!$E$7:$E$176,"*Travel*",'Dept. Cost Actuals'!P$7:P$176))</f>
        <v>867.75552201679079</v>
      </c>
      <c r="M24" s="668">
        <f>IF(M$4="forecast",(AVERAGE(A24:L24)+750),SUMIF('Dept. Cost Actuals'!$E$7:$E$176,"*Travel*",'Dept. Cost Actuals'!Q$7:Q$176))</f>
        <v>809.25710009974568</v>
      </c>
      <c r="N24" s="668">
        <f>IF(N$4="forecast",(AVERAGE(B24:M24)+750),SUMIF('Dept. Cost Actuals'!$E$7:$E$176,"*Travel*",'Dept. Cost Actuals'!R$7:R$176))</f>
        <v>233.53098003406208</v>
      </c>
      <c r="O24" s="668">
        <f>IF(O$4="forecast",(AVERAGE(C24:N24)+750),SUMIF('Dept. Cost Actuals'!$E$7:$E$176,"*Travel*",'Dept. Cost Actuals'!S$7:S$176))</f>
        <v>1696.18</v>
      </c>
      <c r="P24" s="668">
        <f>IF(P$4="forecast",(AVERAGE(D24:O24)+750),SUMIF('Dept. Cost Actuals'!$E$7:$E$176,"*Travel*",'Dept. Cost Actuals'!T$7:T$176))</f>
        <v>723.4</v>
      </c>
      <c r="Q24" s="668">
        <f>IF(Q$4="forecast",(AVERAGE(E24:P24)+750),SUMIF('Dept. Cost Actuals'!$E$7:$E$176,"*Travel*",'Dept. Cost Actuals'!U$7:U$176))</f>
        <v>3314.42</v>
      </c>
      <c r="R24" s="668">
        <f>IF(R$4="forecast",(AVERAGE(F24:Q24)+750),SUMIF('Dept. Cost Actuals'!$E$7:$E$176,"*Travel*",'Dept. Cost Actuals'!V$7:V$176))</f>
        <v>4193.91</v>
      </c>
      <c r="S24" s="668">
        <f>IF(S$4="forecast",(AVERAGE(G24:R24)+750),SUMIF('Dept. Cost Actuals'!$E$7:$E$176,"*Travel*",'Dept. Cost Actuals'!W$7:W$176))</f>
        <v>597.27</v>
      </c>
      <c r="T24" s="668">
        <f>IF(T$4="forecast",(AVERAGE(H24:S24)+750),SUMIF('Dept. Cost Actuals'!$E$7:$E$176,"*Travel*",'Dept. Cost Actuals'!X$7:X$176))</f>
        <v>1189.78</v>
      </c>
      <c r="U24" s="668">
        <f>IF(U$4="forecast",(AVERAGE(I24:T24)+750),SUMIF('Dept. Cost Actuals'!$E$7:$E$176,"*Travel*",'Dept. Cost Actuals'!Y$7:Y$176))</f>
        <v>75</v>
      </c>
      <c r="V24" s="668">
        <f>IF(V$4="forecast",(AVERAGE(J24:U24)+750),SUMIF('Dept. Cost Actuals'!$E$7:$E$176,"*Travel*",'Dept. Cost Actuals'!Z$7:Z$176))</f>
        <v>0</v>
      </c>
      <c r="W24" s="668">
        <f>IF(W$4="forecast",(AVERAGE(K24:V24)+750),SUMIF('Dept. Cost Actuals'!$E$7:$E$176,"*Travel*",'Dept. Cost Actuals'!AA$7:AA$176))</f>
        <v>5748.9</v>
      </c>
      <c r="X24" s="668">
        <f>IF(X$4="forecast",(AVERAGE(L24:W24)+750),SUMIF('Dept. Cost Actuals'!$E$7:$E$176,"*Travel*",'Dept. Cost Actuals'!AB$7:AB$176))</f>
        <v>3208.4</v>
      </c>
      <c r="Y24" s="668">
        <f>IF(Y$4="forecast",(AVERAGE(M24:X24)+750),SUMIF('Dept. Cost Actuals'!$E$7:$E$176,"*Travel*",'Dept. Cost Actuals'!AC$7:AC$176))</f>
        <v>6896.56</v>
      </c>
      <c r="Z24" s="668">
        <f>IF(Z$4="forecast",(AVERAGE(N24:Y24)+750),SUMIF('Dept. Cost Actuals'!$E$7:$E$176,"*Travel*",'Dept. Cost Actuals'!AD$7:AD$176))</f>
        <v>11899.34</v>
      </c>
      <c r="AA24" s="668">
        <f>IF(AA$4="forecast",(AVERAGE(O24:Z24)+750),SUMIF('Dept. Cost Actuals'!$E$7:$E$176,"*Travel*",'Dept. Cost Actuals'!AE$7:AE$176))</f>
        <v>1453.75</v>
      </c>
      <c r="AB24" s="668">
        <f>IF(AB$4="forecast",(AVERAGE(P24:AA24)+750),SUMIF('Dept. Cost Actuals'!$E$7:$E$176,"*Travel*",'Dept. Cost Actuals'!AF$7:AF$176))</f>
        <v>3374.88</v>
      </c>
      <c r="AC24" s="668">
        <f>IF(AC$4="forecast",(AVERAGE(Q24:AB24)+750),SUMIF('Dept. Cost Actuals'!$E$7:$E$176,"*Travel*",'Dept. Cost Actuals'!AG$7:AG$176))</f>
        <v>3173.36</v>
      </c>
      <c r="AD24" s="668">
        <f>IF(AD$4="forecast",(AVERAGE(R24:AC24)+750),SUMIF('Dept. Cost Actuals'!$E$7:$E$176,"*Travel*",'Dept. Cost Actuals'!AH$7:AH$176))</f>
        <v>4234.2625000000007</v>
      </c>
      <c r="AE24" s="668">
        <f>IF(AE$4="forecast",(AVERAGE(S24:AD24)+750),SUMIF('Dept. Cost Actuals'!$E$7:$E$176,"*Travel*",'Dept. Cost Actuals'!AI$7:AI$176))</f>
        <v>4237.6252083333329</v>
      </c>
      <c r="AF24" s="668">
        <f>IF(AF$4="forecast",(AVERAGE(T24:AE24)+750),SUMIF('Dept. Cost Actuals'!$E$7:$E$176,"*Travel*",'Dept. Cost Actuals'!AJ$7:AJ$176))</f>
        <v>4540.9881423611114</v>
      </c>
      <c r="AG24" s="668">
        <f>IF(AG$4="forecast",(AVERAGE(U24:AF24)+750),SUMIF('Dept. Cost Actuals'!$E$7:$E$176,"*Travel*",'Dept. Cost Actuals'!AK$7:AK$176))</f>
        <v>4820.2554875578699</v>
      </c>
      <c r="AH24" s="668">
        <f>IF(AH$4="forecast",(AVERAGE(V24:AG24)+750),SUMIF('Dept. Cost Actuals'!$E$7:$E$176,"*Travel*",'Dept. Cost Actuals'!AL$7:AL$176))</f>
        <v>5215.6934448543598</v>
      </c>
      <c r="AI24" s="668">
        <f>IF(AI$4="forecast",(AVERAGE(W24:AH24)+750),SUMIF('Dept. Cost Actuals'!$E$7:$E$176,"*Travel*",'Dept. Cost Actuals'!AM$7:AM$176))</f>
        <v>5650.3345652588896</v>
      </c>
      <c r="AJ24" s="668">
        <f>IF(AJ$4="forecast",(AVERAGE(X24:AI24)+750),SUMIF('Dept. Cost Actuals'!$E$7:$E$176,"*Travel*",'Dept. Cost Actuals'!AN$7:AN$176))</f>
        <v>5642.1207790304643</v>
      </c>
      <c r="AK24" s="668">
        <f>IF(AK$4="forecast",(AVERAGE(Y24:AJ24)+750),SUMIF('Dept. Cost Actuals'!$E$7:$E$176,"*Travel*",'Dept. Cost Actuals'!AO$7:AO$176))</f>
        <v>5844.930843949669</v>
      </c>
      <c r="AL24" s="668">
        <f>IF(AL$4="forecast",(AVERAGE(Z24:AK24)+750),SUMIF('Dept. Cost Actuals'!$E$7:$E$176,"*Travel*",'Dept. Cost Actuals'!AP$7:AP$176))</f>
        <v>5757.2950809454751</v>
      </c>
      <c r="AM24" s="668">
        <f>IF(AM$4="forecast",(AVERAGE(AA24:AL24)+750),SUMIF('Dept. Cost Actuals'!$E$7:$E$176,"*Travel*",'Dept. Cost Actuals'!AQ$7:AQ$176))</f>
        <v>5245.4580043575979</v>
      </c>
      <c r="AN24" s="668">
        <f>IF(AN$4="forecast",(AVERAGE(AB24:AM24)+750),SUMIF('Dept. Cost Actuals'!$E$7:$E$176,"*Travel*",'Dept. Cost Actuals'!AR$7:AR$176))</f>
        <v>5561.4336713873972</v>
      </c>
      <c r="AO24" s="668">
        <f>IF(AO$4="forecast",(AVERAGE(AC24:AN24)+750),SUMIF('Dept. Cost Actuals'!$E$7:$E$176,"*Travel*",'Dept. Cost Actuals'!AS$7:AS$176))</f>
        <v>5743.6464773363477</v>
      </c>
      <c r="AP24" s="668">
        <f>IF(AP$4="forecast",(AVERAGE(AD24:AO24)+750),SUMIF('Dept. Cost Actuals'!$E$7:$E$176,"*Travel*",'Dept. Cost Actuals'!AT$7:AT$176))</f>
        <v>5957.837017114377</v>
      </c>
      <c r="AQ24" s="668">
        <f>IF(AQ$4="forecast",(AVERAGE(AE24:AP24)+750),SUMIF('Dept. Cost Actuals'!$E$7:$E$176,"*Travel*",'Dept. Cost Actuals'!AU$7:AU$176))</f>
        <v>6101.468226873908</v>
      </c>
      <c r="AR24" s="668">
        <f>IF(AR$4="forecast",(AVERAGE(AF24:AQ24)+750),SUMIF('Dept. Cost Actuals'!$E$7:$E$176,"*Travel*",'Dept. Cost Actuals'!AV$7:AV$176))</f>
        <v>6256.7884784189564</v>
      </c>
      <c r="AS24" s="668">
        <f>IF(AS$4="forecast",(AVERAGE(AG24:AR24)+750),SUMIF('Dept. Cost Actuals'!$E$7:$E$176,"*Travel*",'Dept. Cost Actuals'!AW$7:AW$176))</f>
        <v>6399.7718397571089</v>
      </c>
      <c r="AT24" s="668">
        <f>IF(AT$4="forecast",(AVERAGE(AH24:AS24)+750),SUMIF('Dept. Cost Actuals'!$E$7:$E$176,"*Travel*",'Dept. Cost Actuals'!AX$7:AX$176))</f>
        <v>6531.3982024403786</v>
      </c>
      <c r="AU24" s="668">
        <f>IF(AU$4="forecast",(AVERAGE(AI24:AT24)+750),SUMIF('Dept. Cost Actuals'!$E$7:$E$176,"*Travel*",'Dept. Cost Actuals'!AY$7:AY$176))</f>
        <v>6641.0402655725475</v>
      </c>
      <c r="AV24" s="668">
        <f>IF(AV$4="forecast",(AVERAGE(AJ24:AU24)+750),SUMIF('Dept. Cost Actuals'!$E$7:$E$176,"*Travel*",'Dept. Cost Actuals'!AZ$7:AZ$176))</f>
        <v>6723.5990739320187</v>
      </c>
      <c r="AW24" s="668">
        <f>IF(AW$4="forecast",(AVERAGE(AK24:AV24)+750),SUMIF('Dept. Cost Actuals'!$E$7:$E$176,"*Travel*",'Dept. Cost Actuals'!BA$7:BA$176))</f>
        <v>6813.7222651738148</v>
      </c>
      <c r="AX24" s="668">
        <f>IF(AX$4="forecast",(AVERAGE(AL24:AW24)+750),SUMIF('Dept. Cost Actuals'!$E$7:$E$176,"*Travel*",'Dept. Cost Actuals'!BB$7:BB$176))</f>
        <v>6894.4548836091599</v>
      </c>
      <c r="AY24" s="668">
        <f>IF(AY$4="forecast",(AVERAGE(AM24:AX24)+750),SUMIF('Dept. Cost Actuals'!$E$7:$E$176,"*Travel*",'Dept. Cost Actuals'!BC$7:BC$176))</f>
        <v>6989.2182004978013</v>
      </c>
      <c r="AZ24" s="668">
        <f>IF(AZ$4="forecast",(AVERAGE(AN24:AY24)+750),SUMIF('Dept. Cost Actuals'!$E$7:$E$176,"*Travel*",'Dept. Cost Actuals'!BD$7:BD$176))</f>
        <v>7134.5315501761506</v>
      </c>
      <c r="BA24" s="668">
        <f>IF(BA$4="forecast",(AVERAGE(AO24:AZ24)+750),SUMIF('Dept. Cost Actuals'!$E$7:$E$176,"*Travel*",'Dept. Cost Actuals'!BE$7:BE$176))</f>
        <v>7265.6230400752138</v>
      </c>
      <c r="BB24" s="668">
        <f>IF(BB$4="forecast",(AVERAGE(AP24:BA24)+750),SUMIF('Dept. Cost Actuals'!$E$7:$E$176,"*Travel*",'Dept. Cost Actuals'!BF$7:BF$176))</f>
        <v>7392.4544203034529</v>
      </c>
      <c r="BC24" s="668">
        <f>IF(BC$4="forecast",(AVERAGE(AQ24:BB24)+750),SUMIF('Dept. Cost Actuals'!$E$7:$E$176,"*Travel*",'Dept. Cost Actuals'!BG$7:BG$176))</f>
        <v>7512.005870569209</v>
      </c>
      <c r="BD24" s="668">
        <f>IF(BD$4="forecast",(AVERAGE(AR24:BC24)+750),SUMIF('Dept. Cost Actuals'!$E$7:$E$176,"*Travel*",'Dept. Cost Actuals'!BH$7:BH$176))</f>
        <v>7629.5506742104844</v>
      </c>
      <c r="BE24" s="668">
        <f>IF(BE$4="forecast",(AVERAGE(AS24:BD24)+750),SUMIF('Dept. Cost Actuals'!$E$7:$E$176,"*Travel*",'Dept. Cost Actuals'!BI$7:BI$176))</f>
        <v>7743.9475238597779</v>
      </c>
      <c r="BF24" s="668">
        <f>IF(BF$4="forecast",(AVERAGE(AT24:BE24)+750),SUMIF('Dept. Cost Actuals'!$E$7:$E$176,"*Travel*",'Dept. Cost Actuals'!BJ$7:BJ$176))</f>
        <v>7855.9621642016682</v>
      </c>
      <c r="BG24" s="668">
        <f>IF(BG$4="forecast",(AVERAGE(AU24:BF24)+750),SUMIF('Dept. Cost Actuals'!$E$7:$E$176,"*Travel*",'Dept. Cost Actuals'!BK$7:BK$176))</f>
        <v>7966.3424943484424</v>
      </c>
      <c r="BH24" s="668">
        <f>IF(BH$4="forecast",(AVERAGE(AV24:BG24)+750),SUMIF('Dept. Cost Actuals'!$E$7:$E$176,"*Travel*",'Dept. Cost Actuals'!BL$7:BL$176))</f>
        <v>8076.7843467464336</v>
      </c>
      <c r="BI24" s="668">
        <f>IF(BI$4="forecast",(AVERAGE(AW24:BH24)+750),SUMIF('Dept. Cost Actuals'!$E$7:$E$176,"*Travel*",'Dept. Cost Actuals'!BM$7:BM$176))</f>
        <v>8189.5497861476351</v>
      </c>
      <c r="BJ24" s="668">
        <f>IF(BJ$4="forecast",(AVERAGE(AX24:BI24)+750),SUMIF('Dept. Cost Actuals'!$E$7:$E$176,"*Travel*",'Dept. Cost Actuals'!BN$7:BN$176))</f>
        <v>8304.2020795621174</v>
      </c>
      <c r="BK24" s="668">
        <f>IF(BK$4="forecast",(AVERAGE(AY24:BJ24)+750),SUMIF('Dept. Cost Actuals'!$E$7:$E$176,"*Travel*",'Dept. Cost Actuals'!BO$7:BO$176))</f>
        <v>8421.6810125582015</v>
      </c>
      <c r="BL24" s="668">
        <f>IF(BL$4="forecast",(AVERAGE(AZ24:BK24)+750),SUMIF('Dept. Cost Actuals'!$E$7:$E$176,"*Travel*",'Dept. Cost Actuals'!BP$7:BP$176))</f>
        <v>8541.0529135632314</v>
      </c>
      <c r="BM24" s="668">
        <f>IF(BM$4="forecast",(AVERAGE(BA24:BL24)+750),SUMIF('Dept. Cost Actuals'!$E$7:$E$176,"*Travel*",'Dept. Cost Actuals'!BQ$7:BQ$176))</f>
        <v>8658.2630271788221</v>
      </c>
      <c r="BN24" s="668">
        <f>IF(BN$4="forecast",(AVERAGE(BB24:BM24)+750),SUMIF('Dept. Cost Actuals'!$E$7:$E$176,"*Travel*",'Dept. Cost Actuals'!BR$7:BR$176))</f>
        <v>8774.3163594374564</v>
      </c>
      <c r="BO24" s="668">
        <f>IF(BO$4="forecast",(AVERAGE(BC24:BN24)+750),SUMIF('Dept. Cost Actuals'!$E$7:$E$176,"*Travel*",'Dept. Cost Actuals'!BS$7:BS$176))</f>
        <v>8889.4715210319555</v>
      </c>
      <c r="BP24" s="668">
        <f>IF(BP$4="forecast",(AVERAGE(BD24:BO24)+750),SUMIF('Dept. Cost Actuals'!$E$7:$E$176,"*Travel*",'Dept. Cost Actuals'!BT$7:BT$176))</f>
        <v>9004.2603252371846</v>
      </c>
      <c r="BQ24" s="668">
        <f>IF(BQ$4="forecast",(AVERAGE(BE24:BP24)+750),SUMIF('Dept. Cost Actuals'!$E$7:$E$176,"*Travel*",'Dept. Cost Actuals'!BU$7:BU$176))</f>
        <v>9118.8194628227429</v>
      </c>
      <c r="BR24" s="668">
        <f>IF(BR$4="forecast",(AVERAGE(BF24:BQ24)+750),SUMIF('Dept. Cost Actuals'!$E$7:$E$176,"*Travel*",'Dept. Cost Actuals'!BV$7:BV$176))</f>
        <v>9233.3921244029898</v>
      </c>
      <c r="BS24" s="668">
        <f>IF(BS$4="forecast",(AVERAGE(BG24:BR24)+750),SUMIF('Dept. Cost Actuals'!$E$7:$E$176,"*Travel*",'Dept. Cost Actuals'!BW$7:BW$176))</f>
        <v>9348.1779544197689</v>
      </c>
      <c r="BT24" s="668">
        <f>IF(BT$4="forecast",(AVERAGE(BH24:BS24)+750),SUMIF('Dept. Cost Actuals'!$E$7:$E$176,"*Travel*",'Dept. Cost Actuals'!BX$7:BX$176))</f>
        <v>9463.3309094257129</v>
      </c>
      <c r="BU24" s="668">
        <f>IF(BU$4="forecast",(AVERAGE(BI24:BT24)+750),SUMIF('Dept. Cost Actuals'!$E$7:$E$176,"*Travel*",'Dept. Cost Actuals'!BY$7:BY$176))</f>
        <v>9578.876456315651</v>
      </c>
      <c r="BV24" s="790">
        <f>IF(BV$4="forecast",(AVERAGE(BJ24:BU24)+750),SUMIF('Dept. Cost Actuals'!$E$7:$E$176,"*Travel*",'Dept. Cost Actuals'!BZ$7:BZ$176))</f>
        <v>9694.6536788296526</v>
      </c>
    </row>
    <row r="25" spans="2:74" x14ac:dyDescent="0.25">
      <c r="B25" s="794" t="s">
        <v>1338</v>
      </c>
      <c r="C25" s="668">
        <f>IF(C$4="forecast",(AVERAGE(#REF!)),SUMIF('Dept. Cost Actuals'!$E$7:$E$176,"*Meals and Entertainment*",'Dept. Cost Actuals'!G$7:G$176))</f>
        <v>208.27001365953981</v>
      </c>
      <c r="D25" s="668">
        <f>IF(D$4="forecast",(AVERAGE(#REF!)),SUMIF('Dept. Cost Actuals'!$E$7:$E$176,"*Meals and Entertainment*",'Dept. Cost Actuals'!H$7:H$176))</f>
        <v>298.61487958851058</v>
      </c>
      <c r="E25" s="668">
        <f>IF(E$4="forecast",(AVERAGE(#REF!)),SUMIF('Dept. Cost Actuals'!$E$7:$E$176,"*Meals and Entertainment*",'Dept. Cost Actuals'!I$7:I$176))</f>
        <v>123.93</v>
      </c>
      <c r="F25" s="668">
        <f>IF(F$4="forecast",(AVERAGE(#REF!)),SUMIF('Dept. Cost Actuals'!$E$7:$E$176,"*Meals and Entertainment*",'Dept. Cost Actuals'!J$7:J$176))</f>
        <v>194.84</v>
      </c>
      <c r="G25" s="668">
        <f>IF(G$4="forecast",(AVERAGE(#REF!)),SUMIF('Dept. Cost Actuals'!$E$7:$E$176,"*Meals and Entertainment*",'Dept. Cost Actuals'!K$7:K$176))</f>
        <v>338.67064974624066</v>
      </c>
      <c r="H25" s="668">
        <f>IF(H$4="forecast",(AVERAGE(#REF!)),SUMIF('Dept. Cost Actuals'!$E$7:$E$176,"*Meals and Entertainment*",'Dept. Cost Actuals'!L$7:L$176))</f>
        <v>715.09827107786532</v>
      </c>
      <c r="I25" s="668">
        <f>IF(I$4="forecast",(AVERAGE(#REF!)),SUMIF('Dept. Cost Actuals'!$E$7:$E$176,"*Meals and Entertainment*",'Dept. Cost Actuals'!M$7:M$176))</f>
        <v>350.52402250753443</v>
      </c>
      <c r="J25" s="668">
        <f>IF(J$4="forecast",(AVERAGE(#REF!)),SUMIF('Dept. Cost Actuals'!$E$7:$E$176,"*Meals and Entertainment*",'Dept. Cost Actuals'!N$7:N$176))</f>
        <v>349.80652871319876</v>
      </c>
      <c r="K25" s="668">
        <f>IF(K$4="forecast",(AVERAGE(#REF!)),SUMIF('Dept. Cost Actuals'!$E$7:$E$176,"*Meals and Entertainment*",'Dept. Cost Actuals'!O$7:O$176))</f>
        <v>427.72389017756359</v>
      </c>
      <c r="L25" s="668">
        <f>IF(L$4="forecast",(AVERAGE(#REF!)),SUMIF('Dept. Cost Actuals'!$E$7:$E$176,"*Meals and Entertainment*",'Dept. Cost Actuals'!P$7:P$176))</f>
        <v>504.63313260739989</v>
      </c>
      <c r="M25" s="668">
        <f>IF(M$4="forecast",(AVERAGE(A25:L25)),SUMIF('Dept. Cost Actuals'!$E$7:$E$176,"*Meals and Entertainment*",'Dept. Cost Actuals'!Q$7:Q$176))</f>
        <v>211.51175454842254</v>
      </c>
      <c r="N25" s="668">
        <f>IF(N$4="forecast",(AVERAGE(B25:M25)),SUMIF('Dept. Cost Actuals'!$E$7:$E$176,"*Meals and Entertainment*",'Dept. Cost Actuals'!R$7:R$176))</f>
        <v>121.78729632244772</v>
      </c>
      <c r="O25" s="668">
        <f>IF(O$4="forecast",(AVERAGE(C25:N25)),SUMIF('Dept. Cost Actuals'!$E$7:$E$176,"*Meals and Entertainment*",'Dept. Cost Actuals'!S$7:S$176))</f>
        <v>1277.8499999999999</v>
      </c>
      <c r="P25" s="668">
        <f>IF(P$4="forecast",(AVERAGE(D25:O25)),SUMIF('Dept. Cost Actuals'!$E$7:$E$176,"*Meals and Entertainment*",'Dept. Cost Actuals'!T$7:T$176))</f>
        <v>14.98</v>
      </c>
      <c r="Q25" s="668">
        <f>IF(Q$4="forecast",(AVERAGE(E25:P25)),SUMIF('Dept. Cost Actuals'!$E$7:$E$176,"*Meals and Entertainment*",'Dept. Cost Actuals'!U$7:U$176))</f>
        <v>410.88</v>
      </c>
      <c r="R25" s="668">
        <f>IF(R$4="forecast",(AVERAGE(F25:Q25)),SUMIF('Dept. Cost Actuals'!$E$7:$E$176,"*Meals and Entertainment*",'Dept. Cost Actuals'!V$7:V$176))</f>
        <v>1032.72</v>
      </c>
      <c r="S25" s="668">
        <f>IF(S$4="forecast",(AVERAGE(G25:R25)),SUMIF('Dept. Cost Actuals'!$E$7:$E$176,"*Meals and Entertainment*",'Dept. Cost Actuals'!W$7:W$176))</f>
        <v>913.72</v>
      </c>
      <c r="T25" s="668">
        <f>IF(T$4="forecast",(AVERAGE(H25:S25)),SUMIF('Dept. Cost Actuals'!$E$7:$E$176,"*Meals and Entertainment*",'Dept. Cost Actuals'!X$7:X$176))</f>
        <v>58.09</v>
      </c>
      <c r="U25" s="668">
        <f>IF(U$4="forecast",(AVERAGE(I25:T25)),SUMIF('Dept. Cost Actuals'!$E$7:$E$176,"*Meals and Entertainment*",'Dept. Cost Actuals'!Y$7:Y$176))</f>
        <v>954.43</v>
      </c>
      <c r="V25" s="668">
        <f>IF(V$4="forecast",(AVERAGE(J25:U25)),SUMIF('Dept. Cost Actuals'!$E$7:$E$176,"*Meals and Entertainment*",'Dept. Cost Actuals'!Z$7:Z$176))</f>
        <v>167.31</v>
      </c>
      <c r="W25" s="668">
        <f>IF(W$4="forecast",(AVERAGE(K25:V25)),SUMIF('Dept. Cost Actuals'!$E$7:$E$176,"*Meals and Entertainment*",'Dept. Cost Actuals'!AA$7:AA$176))</f>
        <v>665.17</v>
      </c>
      <c r="X25" s="668">
        <f>IF(X$4="forecast",(AVERAGE(L25:W25)),SUMIF('Dept. Cost Actuals'!$E$7:$E$176,"*Meals and Entertainment*",'Dept. Cost Actuals'!AB$7:AB$176))</f>
        <v>1968.62</v>
      </c>
      <c r="Y25" s="668">
        <f>IF(Y$4="forecast",(AVERAGE(M25:X25)),SUMIF('Dept. Cost Actuals'!$E$7:$E$176,"*Meals and Entertainment*",'Dept. Cost Actuals'!AC$7:AC$176))</f>
        <v>1224.3399999999999</v>
      </c>
      <c r="Z25" s="668">
        <f>IF(Z$4="forecast",(AVERAGE(N25:Y25)),SUMIF('Dept. Cost Actuals'!$E$7:$E$176,"*Meals and Entertainment*",'Dept. Cost Actuals'!AD$7:AD$176))</f>
        <v>861.11</v>
      </c>
      <c r="AA25" s="668">
        <f>IF(AA$4="forecast",(AVERAGE(O25:Z25)+35000/12),SUMIF('Dept. Cost Actuals'!$E$7:$E$176,"*Meals and Entertainment*",'Dept. Cost Actuals'!AE$7:AE$176))</f>
        <v>4835.1000000000004</v>
      </c>
      <c r="AB25" s="668">
        <f>IF(AB$4="forecast",(AVERAGE(P25:AA25)+35000/12),SUMIF('Dept. Cost Actuals'!$E$7:$E$176,"*Meals and Entertainment*",'Dept. Cost Actuals'!AF$7:AF$176))</f>
        <v>208.83</v>
      </c>
      <c r="AC25" s="668">
        <f>IF(AC$4="forecast",(AVERAGE(Q25:AB25)+35000/12),SUMIF('Dept. Cost Actuals'!$E$7:$E$176,"*Meals and Entertainment*",'Dept. Cost Actuals'!AG$7:AG$176))</f>
        <v>1319.2</v>
      </c>
      <c r="AD25" s="668">
        <f>IF(AD$4="forecast",(AVERAGE(R25:AC25)+35000/12),SUMIF('Dept. Cost Actuals'!$E$7:$E$176,"*Meals and Entertainment*",'Dept. Cost Actuals'!AH$7:AH$176))</f>
        <v>4100.72</v>
      </c>
      <c r="AE25" s="668">
        <f>IF(AE$4="forecast",(AVERAGE(S25:AD25)+35000/12),SUMIF('Dept. Cost Actuals'!$E$7:$E$176,"*Meals and Entertainment*",'Dept. Cost Actuals'!AI$7:AI$176))</f>
        <v>4356.3866666666663</v>
      </c>
      <c r="AF25" s="668">
        <f>IF(AF$4="forecast",(AVERAGE(T25:AE25)+35000/12),SUMIF('Dept. Cost Actuals'!$E$7:$E$176,"*Meals and Entertainment*",'Dept. Cost Actuals'!AJ$7:AJ$176))</f>
        <v>4643.2755555555559</v>
      </c>
      <c r="AG25" s="668">
        <f>IF(AG$4="forecast",(AVERAGE(U25:AF25)+35000/12),SUMIF('Dept. Cost Actuals'!$E$7:$E$176,"*Meals and Entertainment*",'Dept. Cost Actuals'!AK$7:AK$176))</f>
        <v>5025.3743518518513</v>
      </c>
      <c r="AH25" s="668">
        <f>IF(AH$4="forecast",(AVERAGE(V25:AG25)+35000/12),SUMIF('Dept. Cost Actuals'!$E$7:$E$176,"*Meals and Entertainment*",'Dept. Cost Actuals'!AL$7:AL$176))</f>
        <v>5364.6197145061724</v>
      </c>
      <c r="AI25" s="668">
        <f>IF(AI$4="forecast",(AVERAGE(W25:AH25)+35000/12),SUMIF('Dept. Cost Actuals'!$E$7:$E$176,"*Meals and Entertainment*",'Dept. Cost Actuals'!AM$7:AM$176))</f>
        <v>5797.7288573816868</v>
      </c>
      <c r="AJ25" s="668">
        <f>IF(AJ$4="forecast",(AVERAGE(X25:AI25)+35000/12),SUMIF('Dept. Cost Actuals'!$E$7:$E$176,"*Meals and Entertainment*",'Dept. Cost Actuals'!AN$7:AN$176))</f>
        <v>6225.4420954968273</v>
      </c>
      <c r="AK25" s="668">
        <f>IF(AK$4="forecast",(AVERAGE(Y25:AJ25)+35000/12),SUMIF('Dept. Cost Actuals'!$E$7:$E$176,"*Meals and Entertainment*",'Dept. Cost Actuals'!AO$7:AO$176))</f>
        <v>6580.1772701215632</v>
      </c>
      <c r="AL25" s="668">
        <f>IF(AL$4="forecast",(AVERAGE(Z25:AK25)+35000/12),SUMIF('Dept. Cost Actuals'!$E$7:$E$176,"*Meals and Entertainment*",'Dept. Cost Actuals'!AP$7:AP$176))</f>
        <v>7026.4970426316941</v>
      </c>
      <c r="AM25" s="668">
        <f>IF(AM$4="forecast",(AVERAGE(AA25:AL25)+35000/12),SUMIF('Dept. Cost Actuals'!$E$7:$E$176,"*Meals and Entertainment*",'Dept. Cost Actuals'!AQ$7:AQ$176))</f>
        <v>7540.2792961843352</v>
      </c>
      <c r="AN25" s="668">
        <f>IF(AN$4="forecast",(AVERAGE(AB25:AM25)+35000/12),SUMIF('Dept. Cost Actuals'!$E$7:$E$176,"*Meals and Entertainment*",'Dept. Cost Actuals'!AR$7:AR$176))</f>
        <v>7765.7109041996955</v>
      </c>
      <c r="AO25" s="668">
        <f>IF(AO$4="forecast",(AVERAGE(AC25:AN25)+35000/12),SUMIF('Dept. Cost Actuals'!$E$7:$E$176,"*Meals and Entertainment*",'Dept. Cost Actuals'!AS$7:AS$176))</f>
        <v>8395.4509795496706</v>
      </c>
      <c r="AP25" s="668">
        <f>IF(AP$4="forecast",(AVERAGE(AD25:AO25)+35000/12),SUMIF('Dept. Cost Actuals'!$E$7:$E$176,"*Meals and Entertainment*",'Dept. Cost Actuals'!AT$7:AT$176))</f>
        <v>8985.1385611788101</v>
      </c>
      <c r="AQ25" s="668">
        <f>IF(AQ$4="forecast",(AVERAGE(AE25:AP25)+35000/12),SUMIF('Dept. Cost Actuals'!$E$7:$E$176,"*Meals and Entertainment*",'Dept. Cost Actuals'!AU$7:AU$176))</f>
        <v>9392.1734412770438</v>
      </c>
      <c r="AR25" s="668">
        <f>IF(AR$4="forecast",(AVERAGE(AF25:AQ25)+35000/12),SUMIF('Dept. Cost Actuals'!$E$7:$E$176,"*Meals and Entertainment*",'Dept. Cost Actuals'!AV$7:AV$176))</f>
        <v>9811.8223391612428</v>
      </c>
      <c r="AS25" s="668">
        <f>IF(AS$4="forecast",(AVERAGE(AG25:AR25)+35000/12),SUMIF('Dept. Cost Actuals'!$E$7:$E$176,"*Meals and Entertainment*",'Dept. Cost Actuals'!AW$7:AW$176))</f>
        <v>10242.534571128383</v>
      </c>
      <c r="AT25" s="668">
        <f>IF(AT$4="forecast",(AVERAGE(AH25:AS25)+35000/12),SUMIF('Dept. Cost Actuals'!$E$7:$E$176,"*Meals and Entertainment*",'Dept. Cost Actuals'!AX$7:AX$176))</f>
        <v>10677.297922734761</v>
      </c>
      <c r="AU25" s="668">
        <f>IF(AU$4="forecast",(AVERAGE(AI25:AT25)+35000/12),SUMIF('Dept. Cost Actuals'!$E$7:$E$176,"*Meals and Entertainment*",'Dept. Cost Actuals'!AY$7:AY$176))</f>
        <v>11120.021106753808</v>
      </c>
      <c r="AV25" s="668">
        <f>IF(AV$4="forecast",(AVERAGE(AJ25:AU25)+35000/12),SUMIF('Dept. Cost Actuals'!$E$7:$E$176,"*Meals and Entertainment*",'Dept. Cost Actuals'!AZ$7:AZ$176))</f>
        <v>11563.545460868152</v>
      </c>
      <c r="AW25" s="668">
        <f>IF(AW$4="forecast",(AVERAGE(AK25:AV25)+35000/12),SUMIF('Dept. Cost Actuals'!$E$7:$E$176,"*Meals and Entertainment*",'Dept. Cost Actuals'!BA$7:BA$176))</f>
        <v>12008.387407982427</v>
      </c>
      <c r="AX25" s="668">
        <f>IF(AX$4="forecast",(AVERAGE(AL25:AW25)+35000/12),SUMIF('Dept. Cost Actuals'!$E$7:$E$176,"*Meals and Entertainment*",'Dept. Cost Actuals'!BB$7:BB$176))</f>
        <v>12460.738252804167</v>
      </c>
      <c r="AY25" s="668">
        <f>IF(AY$4="forecast",(AVERAGE(AM25:AX25)+35000/12),SUMIF('Dept. Cost Actuals'!$E$7:$E$176,"*Meals and Entertainment*",'Dept. Cost Actuals'!BC$7:BC$176))</f>
        <v>12913.591686985206</v>
      </c>
      <c r="AZ25" s="668">
        <f>IF(AZ$4="forecast",(AVERAGE(AN25:AY25)+35000/12),SUMIF('Dept. Cost Actuals'!$E$7:$E$176,"*Meals and Entertainment*",'Dept. Cost Actuals'!BD$7:BD$176))</f>
        <v>13361.367719551945</v>
      </c>
      <c r="BA25" s="668">
        <f>IF(BA$4="forecast",(AVERAGE(AO25:AZ25)+35000/12),SUMIF('Dept. Cost Actuals'!$E$7:$E$176,"*Meals and Entertainment*",'Dept. Cost Actuals'!BE$7:BE$176))</f>
        <v>13827.672454164633</v>
      </c>
      <c r="BB25" s="668">
        <f>IF(BB$4="forecast",(AVERAGE(AP25:BA25)+35000/12),SUMIF('Dept. Cost Actuals'!$E$7:$E$176,"*Meals and Entertainment*",'Dept. Cost Actuals'!BF$7:BF$176))</f>
        <v>14280.357577049213</v>
      </c>
      <c r="BC25" s="668">
        <f>IF(BC$4="forecast",(AVERAGE(AQ25:BB25)+35000/12),SUMIF('Dept. Cost Actuals'!$E$7:$E$176,"*Meals and Entertainment*",'Dept. Cost Actuals'!BG$7:BG$176))</f>
        <v>14721.625828371747</v>
      </c>
      <c r="BD25" s="668">
        <f>IF(BD$4="forecast",(AVERAGE(AR25:BC25)+35000/12),SUMIF('Dept. Cost Actuals'!$E$7:$E$176,"*Meals and Entertainment*",'Dept. Cost Actuals'!BH$7:BH$176))</f>
        <v>15165.746860629641</v>
      </c>
      <c r="BE25" s="668">
        <f>IF(BE$4="forecast",(AVERAGE(AS25:BD25)+35000/12),SUMIF('Dept. Cost Actuals'!$E$7:$E$176,"*Meals and Entertainment*",'Dept. Cost Actuals'!BI$7:BI$176))</f>
        <v>15611.907237418673</v>
      </c>
      <c r="BF25" s="668">
        <f>IF(BF$4="forecast",(AVERAGE(AT25:BE25)+35000/12),SUMIF('Dept. Cost Actuals'!$E$7:$E$176,"*Meals and Entertainment*",'Dept. Cost Actuals'!BJ$7:BJ$176))</f>
        <v>16059.354959609529</v>
      </c>
      <c r="BG25" s="668">
        <f>IF(BG$4="forecast",(AVERAGE(AU25:BF25)+35000/12),SUMIF('Dept. Cost Actuals'!$E$7:$E$176,"*Meals and Entertainment*",'Dept. Cost Actuals'!BK$7:BK$176))</f>
        <v>16507.859712682428</v>
      </c>
      <c r="BH25" s="668">
        <f>IF(BH$4="forecast",(AVERAGE(AV25:BG25)+35000/12),SUMIF('Dept. Cost Actuals'!$E$7:$E$176,"*Meals and Entertainment*",'Dept. Cost Actuals'!BL$7:BL$176))</f>
        <v>16956.846263176481</v>
      </c>
      <c r="BI25" s="668">
        <f>IF(BI$4="forecast",(AVERAGE(AW25:BH25)+35000/12),SUMIF('Dept. Cost Actuals'!$E$7:$E$176,"*Meals and Entertainment*",'Dept. Cost Actuals'!BM$7:BM$176))</f>
        <v>17406.287996702176</v>
      </c>
      <c r="BJ25" s="668">
        <f>IF(BJ$4="forecast",(AVERAGE(AX25:BI25)+35000/12),SUMIF('Dept. Cost Actuals'!$E$7:$E$176,"*Meals and Entertainment*",'Dept. Cost Actuals'!BN$7:BN$176))</f>
        <v>17856.113045762151</v>
      </c>
      <c r="BK25" s="668">
        <f>IF(BK$4="forecast",(AVERAGE(AY25:BJ25)+35000/12),SUMIF('Dept. Cost Actuals'!$E$7:$E$176,"*Meals and Entertainment*",'Dept. Cost Actuals'!BO$7:BO$176))</f>
        <v>18305.727611841983</v>
      </c>
      <c r="BL25" s="668">
        <f>IF(BL$4="forecast",(AVERAGE(AZ25:BK25)+35000/12),SUMIF('Dept. Cost Actuals'!$E$7:$E$176,"*Meals and Entertainment*",'Dept. Cost Actuals'!BP$7:BP$176))</f>
        <v>18755.072272246718</v>
      </c>
      <c r="BM25" s="668">
        <f>IF(BM$4="forecast",(AVERAGE(BA25:BL25)+35000/12),SUMIF('Dept. Cost Actuals'!$E$7:$E$176,"*Meals and Entertainment*",'Dept. Cost Actuals'!BQ$7:BQ$176))</f>
        <v>19204.547651637946</v>
      </c>
      <c r="BN25" s="668">
        <f>IF(BN$4="forecast",(AVERAGE(BB25:BM25)+35000/12),SUMIF('Dept. Cost Actuals'!$E$7:$E$176,"*Meals and Entertainment*",'Dept. Cost Actuals'!BR$7:BR$176))</f>
        <v>19652.620584760727</v>
      </c>
      <c r="BO25" s="668">
        <f>IF(BO$4="forecast",(AVERAGE(BC25:BN25)+35000/12),SUMIF('Dept. Cost Actuals'!$E$7:$E$176,"*Meals and Entertainment*",'Dept. Cost Actuals'!BS$7:BS$176))</f>
        <v>20100.309168736687</v>
      </c>
      <c r="BP25" s="668">
        <f>IF(BP$4="forecast",(AVERAGE(BD25:BO25)+35000/12),SUMIF('Dept. Cost Actuals'!$E$7:$E$176,"*Meals and Entertainment*",'Dept. Cost Actuals'!BT$7:BT$176))</f>
        <v>20548.532780433761</v>
      </c>
      <c r="BQ25" s="668">
        <f>IF(BQ$4="forecast",(AVERAGE(BE25:BP25)+35000/12),SUMIF('Dept. Cost Actuals'!$E$7:$E$176,"*Meals and Entertainment*",'Dept. Cost Actuals'!BU$7:BU$176))</f>
        <v>20997.098273750773</v>
      </c>
      <c r="BR25" s="668">
        <f>IF(BR$4="forecast",(AVERAGE(BF25:BQ25)+35000/12),SUMIF('Dept. Cost Actuals'!$E$7:$E$176,"*Meals and Entertainment*",'Dept. Cost Actuals'!BV$7:BV$176))</f>
        <v>21445.864193445115</v>
      </c>
      <c r="BS25" s="668">
        <f>IF(BS$4="forecast",(AVERAGE(BG25:BR25)+35000/12),SUMIF('Dept. Cost Actuals'!$E$7:$E$176,"*Meals and Entertainment*",'Dept. Cost Actuals'!BW$7:BW$176))</f>
        <v>21894.739962931413</v>
      </c>
      <c r="BT25" s="668">
        <f>IF(BT$4="forecast",(AVERAGE(BH25:BS25)+35000/12),SUMIF('Dept. Cost Actuals'!$E$7:$E$176,"*Meals and Entertainment*",'Dept. Cost Actuals'!BX$7:BX$176))</f>
        <v>22343.64665045216</v>
      </c>
      <c r="BU25" s="668">
        <f>IF(BU$4="forecast",(AVERAGE(BI25:BT25)+35000/12),SUMIF('Dept. Cost Actuals'!$E$7:$E$176,"*Meals and Entertainment*",'Dept. Cost Actuals'!BY$7:BY$176))</f>
        <v>22792.546682725137</v>
      </c>
      <c r="BV25" s="790">
        <f>IF(BV$4="forecast",(AVERAGE(BJ25:BU25)+35000/12),SUMIF('Dept. Cost Actuals'!$E$7:$E$176,"*Meals and Entertainment*",'Dept. Cost Actuals'!BZ$7:BZ$176))</f>
        <v>23241.401573227049</v>
      </c>
    </row>
    <row r="26" spans="2:74" x14ac:dyDescent="0.25">
      <c r="B26" s="794" t="s">
        <v>1076</v>
      </c>
      <c r="C26" s="668">
        <f>IF(C$4="forecast",(AVERAGE(#REF!)),SUMIF('Dept. Cost Actuals'!$E$7:$E$176,"*Telephone*",'Dept. Cost Actuals'!G$7:G$176))</f>
        <v>119.07986837845019</v>
      </c>
      <c r="D26" s="668">
        <f>IF(D$4="forecast",(AVERAGE(#REF!)),SUMIF('Dept. Cost Actuals'!$E$7:$E$176,"*Telephone*",'Dept. Cost Actuals'!H$7:H$176))</f>
        <v>70.538736296940627</v>
      </c>
      <c r="E26" s="668">
        <f>IF(E$4="forecast",(AVERAGE(#REF!)),SUMIF('Dept. Cost Actuals'!$E$7:$E$176,"*Telephone*",'Dept. Cost Actuals'!I$7:I$176))</f>
        <v>36.959072925909609</v>
      </c>
      <c r="F26" s="668">
        <f>IF(F$4="forecast",(AVERAGE(#REF!)),SUMIF('Dept. Cost Actuals'!$E$7:$E$176,"*Telephone*",'Dept. Cost Actuals'!J$7:J$176))</f>
        <v>15.340555097981246</v>
      </c>
      <c r="G26" s="668">
        <f>IF(G$4="forecast",(AVERAGE(#REF!)),SUMIF('Dept. Cost Actuals'!$E$7:$E$176,"*Telephone*",'Dept. Cost Actuals'!K$7:K$176))</f>
        <v>21.640219021555236</v>
      </c>
      <c r="H26" s="668">
        <f>IF(H$4="forecast",(AVERAGE(#REF!)),SUMIF('Dept. Cost Actuals'!$E$7:$E$176,"*Telephone*",'Dept. Cost Actuals'!L$7:L$176))</f>
        <v>22.153151534195825</v>
      </c>
      <c r="I26" s="668">
        <f>IF(I$4="forecast",(AVERAGE(#REF!)),SUMIF('Dept. Cost Actuals'!$E$7:$E$176,"*Telephone*",'Dept. Cost Actuals'!M$7:M$176))</f>
        <v>95.770147762312064</v>
      </c>
      <c r="J26" s="668">
        <f>IF(J$4="forecast",(AVERAGE(#REF!)),SUMIF('Dept. Cost Actuals'!$E$7:$E$176,"*Telephone*",'Dept. Cost Actuals'!N$7:N$176))</f>
        <v>20.967562972486402</v>
      </c>
      <c r="K26" s="668">
        <f>IF(K$4="forecast",(AVERAGE(#REF!)),SUMIF('Dept. Cost Actuals'!$E$7:$E$176,"*Telephone*",'Dept. Cost Actuals'!O$7:O$176))</f>
        <v>17.441421656100907</v>
      </c>
      <c r="L26" s="668">
        <f>IF(L$4="forecast",(AVERAGE(#REF!)),SUMIF('Dept. Cost Actuals'!$E$7:$E$176,"*Telephone*",'Dept. Cost Actuals'!P$7:P$176))</f>
        <v>10.574376106809547</v>
      </c>
      <c r="M26" s="668">
        <f>IF(M$4="forecast",(AVERAGE(A26:L26)),SUMIF('Dept. Cost Actuals'!$E$7:$E$176,"*Telephone*",'Dept. Cost Actuals'!Q$7:Q$176))</f>
        <v>19.441663736486372</v>
      </c>
      <c r="N26" s="668">
        <f>IF(N$4="forecast",(AVERAGE(B26:M26)),SUMIF('Dept. Cost Actuals'!$E$7:$E$176,"*Telephone*",'Dept. Cost Actuals'!R$7:R$176))</f>
        <v>18.926313247463614</v>
      </c>
      <c r="O26" s="668">
        <f>IF(O$4="forecast",(AVERAGE(C26:N26)),SUMIF('Dept. Cost Actuals'!$E$7:$E$176,"*Telephone*",'Dept. Cost Actuals'!S$7:S$176))</f>
        <v>0</v>
      </c>
      <c r="P26" s="668">
        <f>IF(P$4="forecast",(AVERAGE(D26:O26)),SUMIF('Dept. Cost Actuals'!$E$7:$E$176,"*Telephone*",'Dept. Cost Actuals'!T$7:T$176))</f>
        <v>0</v>
      </c>
      <c r="Q26" s="668">
        <f>IF(Q$4="forecast",(AVERAGE(E26:P26)),SUMIF('Dept. Cost Actuals'!$E$7:$E$176,"*Telephone*",'Dept. Cost Actuals'!U$7:U$176))</f>
        <v>0</v>
      </c>
      <c r="R26" s="668">
        <f>IF(R$4="forecast",(AVERAGE(F26:Q26)),SUMIF('Dept. Cost Actuals'!$E$7:$E$176,"*Telephone*",'Dept. Cost Actuals'!V$7:V$176))</f>
        <v>0</v>
      </c>
      <c r="S26" s="668">
        <f>IF(S$4="forecast",(AVERAGE(G26:R26)),SUMIF('Dept. Cost Actuals'!$E$7:$E$176,"*Telephone*",'Dept. Cost Actuals'!W$7:W$176))</f>
        <v>0</v>
      </c>
      <c r="T26" s="668">
        <f>IF(T$4="forecast",(AVERAGE(H26:S26)),SUMIF('Dept. Cost Actuals'!$E$7:$E$176,"*Telephone*",'Dept. Cost Actuals'!X$7:X$176))</f>
        <v>0</v>
      </c>
      <c r="U26" s="668">
        <f>IF(U$4="forecast",(AVERAGE(I26:T26)),SUMIF('Dept. Cost Actuals'!$E$7:$E$176,"*Telephone*",'Dept. Cost Actuals'!Y$7:Y$176))</f>
        <v>0</v>
      </c>
      <c r="V26" s="668">
        <f>IF(V$4="forecast",(AVERAGE(J26:U26)),SUMIF('Dept. Cost Actuals'!$E$7:$E$176,"*Telephone*",'Dept. Cost Actuals'!Z$7:Z$176))</f>
        <v>0</v>
      </c>
      <c r="W26" s="668">
        <f>IF(W$4="forecast",(AVERAGE(K26:V26)),SUMIF('Dept. Cost Actuals'!$E$7:$E$176,"*Telephone*",'Dept. Cost Actuals'!AA$7:AA$176))</f>
        <v>0</v>
      </c>
      <c r="X26" s="668">
        <f>IF(X$4="forecast",(AVERAGE(L26:W26)),SUMIF('Dept. Cost Actuals'!$E$7:$E$176,"*Telephone*",'Dept. Cost Actuals'!AB$7:AB$176))</f>
        <v>0</v>
      </c>
      <c r="Y26" s="668">
        <f>IF(Y$4="forecast",(AVERAGE(M26:X26)),SUMIF('Dept. Cost Actuals'!$E$7:$E$176,"*Telephone*",'Dept. Cost Actuals'!AC$7:AC$176))</f>
        <v>0</v>
      </c>
      <c r="Z26" s="668">
        <f>IF(Z$4="forecast",(AVERAGE(N26:Y26)),SUMIF('Dept. Cost Actuals'!$E$7:$E$176,"*Telephone*",'Dept. Cost Actuals'!AD$7:AD$176))</f>
        <v>0</v>
      </c>
      <c r="AA26" s="668">
        <f>IF(AA$4="forecast",(AVERAGE(O26:Z26)),SUMIF('Dept. Cost Actuals'!$E$7:$E$176,"*Telephone*",'Dept. Cost Actuals'!AE$7:AE$176))</f>
        <v>0</v>
      </c>
      <c r="AB26" s="668">
        <f>IF(AB$4="forecast",(AVERAGE(P26:AA26)),SUMIF('Dept. Cost Actuals'!$E$7:$E$176,"*Telephone*",'Dept. Cost Actuals'!AF$7:AF$176))</f>
        <v>0</v>
      </c>
      <c r="AC26" s="668">
        <f>IF(AC$4="forecast",(AVERAGE(Q26:AB26)),SUMIF('Dept. Cost Actuals'!$E$7:$E$176,"*Telephone*",'Dept. Cost Actuals'!AG$7:AG$176))</f>
        <v>0</v>
      </c>
      <c r="AD26" s="668">
        <f>IF(AD$4="forecast",(AVERAGE(R26:AC26)),SUMIF('Dept. Cost Actuals'!$E$7:$E$176,"*Telephone*",'Dept. Cost Actuals'!AH$7:AH$176))</f>
        <v>0</v>
      </c>
      <c r="AE26" s="668">
        <f>IF(AE$4="forecast",(AVERAGE(S26:AD26)),SUMIF('Dept. Cost Actuals'!$E$7:$E$176,"*Telephone*",'Dept. Cost Actuals'!AI$7:AI$176))</f>
        <v>0</v>
      </c>
      <c r="AF26" s="668">
        <f>IF(AF$4="forecast",(AVERAGE(T26:AE26)),SUMIF('Dept. Cost Actuals'!$E$7:$E$176,"*Telephone*",'Dept. Cost Actuals'!AJ$7:AJ$176))</f>
        <v>0</v>
      </c>
      <c r="AG26" s="668">
        <f>IF(AG$4="forecast",(AVERAGE(U26:AF26)),SUMIF('Dept. Cost Actuals'!$E$7:$E$176,"*Telephone*",'Dept. Cost Actuals'!AK$7:AK$176))</f>
        <v>0</v>
      </c>
      <c r="AH26" s="668">
        <f>IF(AH$4="forecast",(AVERAGE(V26:AG26)),SUMIF('Dept. Cost Actuals'!$E$7:$E$176,"*Telephone*",'Dept. Cost Actuals'!AL$7:AL$176))</f>
        <v>0</v>
      </c>
      <c r="AI26" s="668">
        <f>IF(AI$4="forecast",(AVERAGE(W26:AH26)),SUMIF('Dept. Cost Actuals'!$E$7:$E$176,"*Telephone*",'Dept. Cost Actuals'!AM$7:AM$176))</f>
        <v>0</v>
      </c>
      <c r="AJ26" s="668">
        <f>IF(AJ$4="forecast",(AVERAGE(X26:AI26)),SUMIF('Dept. Cost Actuals'!$E$7:$E$176,"*Telephone*",'Dept. Cost Actuals'!AN$7:AN$176))</f>
        <v>0</v>
      </c>
      <c r="AK26" s="668">
        <f>IF(AK$4="forecast",(AVERAGE(Y26:AJ26)),SUMIF('Dept. Cost Actuals'!$E$7:$E$176,"*Telephone*",'Dept. Cost Actuals'!AO$7:AO$176))</f>
        <v>0</v>
      </c>
      <c r="AL26" s="668">
        <f>IF(AL$4="forecast",(AVERAGE(Z26:AK26)),SUMIF('Dept. Cost Actuals'!$E$7:$E$176,"*Telephone*",'Dept. Cost Actuals'!AP$7:AP$176))</f>
        <v>0</v>
      </c>
      <c r="AM26" s="668">
        <f>IF(AM$4="forecast",(AVERAGE(AA26:AL26)),SUMIF('Dept. Cost Actuals'!$E$7:$E$176,"*Telephone*",'Dept. Cost Actuals'!AQ$7:AQ$176))</f>
        <v>0</v>
      </c>
      <c r="AN26" s="668">
        <f>IF(AN$4="forecast",(AVERAGE(AB26:AM26)),SUMIF('Dept. Cost Actuals'!$E$7:$E$176,"*Telephone*",'Dept. Cost Actuals'!AR$7:AR$176))</f>
        <v>0</v>
      </c>
      <c r="AO26" s="668">
        <f>IF(AO$4="forecast",(AVERAGE(AC26:AN26)),SUMIF('Dept. Cost Actuals'!$E$7:$E$176,"*Telephone*",'Dept. Cost Actuals'!AS$7:AS$176))</f>
        <v>0</v>
      </c>
      <c r="AP26" s="668">
        <f>IF(AP$4="forecast",(AVERAGE(AD26:AO26)),SUMIF('Dept. Cost Actuals'!$E$7:$E$176,"*Telephone*",'Dept. Cost Actuals'!AT$7:AT$176))</f>
        <v>0</v>
      </c>
      <c r="AQ26" s="668">
        <f>IF(AQ$4="forecast",(AVERAGE(AE26:AP26)),SUMIF('Dept. Cost Actuals'!$E$7:$E$176,"*Telephone*",'Dept. Cost Actuals'!AU$7:AU$176))</f>
        <v>0</v>
      </c>
      <c r="AR26" s="668">
        <f>IF(AR$4="forecast",(AVERAGE(AF26:AQ26)),SUMIF('Dept. Cost Actuals'!$E$7:$E$176,"*Telephone*",'Dept. Cost Actuals'!AV$7:AV$176))</f>
        <v>0</v>
      </c>
      <c r="AS26" s="668">
        <f>IF(AS$4="forecast",(AVERAGE(AG26:AR26)),SUMIF('Dept. Cost Actuals'!$E$7:$E$176,"*Telephone*",'Dept. Cost Actuals'!AW$7:AW$176))</f>
        <v>0</v>
      </c>
      <c r="AT26" s="668">
        <f>IF(AT$4="forecast",(AVERAGE(AH26:AS26)),SUMIF('Dept. Cost Actuals'!$E$7:$E$176,"*Telephone*",'Dept. Cost Actuals'!AX$7:AX$176))</f>
        <v>0</v>
      </c>
      <c r="AU26" s="668">
        <f>IF(AU$4="forecast",(AVERAGE(AI26:AT26)),SUMIF('Dept. Cost Actuals'!$E$7:$E$176,"*Telephone*",'Dept. Cost Actuals'!AY$7:AY$176))</f>
        <v>0</v>
      </c>
      <c r="AV26" s="668">
        <f>IF(AV$4="forecast",(AVERAGE(AJ26:AU26)),SUMIF('Dept. Cost Actuals'!$E$7:$E$176,"*Telephone*",'Dept. Cost Actuals'!AZ$7:AZ$176))</f>
        <v>0</v>
      </c>
      <c r="AW26" s="668">
        <f>IF(AW$4="forecast",(AVERAGE(AK26:AV26)),SUMIF('Dept. Cost Actuals'!$E$7:$E$176,"*Telephone*",'Dept. Cost Actuals'!BA$7:BA$176))</f>
        <v>0</v>
      </c>
      <c r="AX26" s="668">
        <f>IF(AX$4="forecast",(AVERAGE(AL26:AW26)),SUMIF('Dept. Cost Actuals'!$E$7:$E$176,"*Telephone*",'Dept. Cost Actuals'!BB$7:BB$176))</f>
        <v>0</v>
      </c>
      <c r="AY26" s="668">
        <f>IF(AY$4="forecast",(AVERAGE(AM26:AX26)),SUMIF('Dept. Cost Actuals'!$E$7:$E$176,"*Telephone*",'Dept. Cost Actuals'!BC$7:BC$176))</f>
        <v>0</v>
      </c>
      <c r="AZ26" s="668">
        <f>IF(AZ$4="forecast",(AVERAGE(AN26:AY26)),SUMIF('Dept. Cost Actuals'!$E$7:$E$176,"*Telephone*",'Dept. Cost Actuals'!BD$7:BD$176))</f>
        <v>0</v>
      </c>
      <c r="BA26" s="668">
        <f>IF(BA$4="forecast",(AVERAGE(AO26:AZ26)),SUMIF('Dept. Cost Actuals'!$E$7:$E$176,"*Telephone*",'Dept. Cost Actuals'!BE$7:BE$176))</f>
        <v>0</v>
      </c>
      <c r="BB26" s="668">
        <f>IF(BB$4="forecast",(AVERAGE(AP26:BA26)),SUMIF('Dept. Cost Actuals'!$E$7:$E$176,"*Telephone*",'Dept. Cost Actuals'!BF$7:BF$176))</f>
        <v>0</v>
      </c>
      <c r="BC26" s="668">
        <f>IF(BC$4="forecast",(AVERAGE(AQ26:BB26)),SUMIF('Dept. Cost Actuals'!$E$7:$E$176,"*Telephone*",'Dept. Cost Actuals'!BG$7:BG$176))</f>
        <v>0</v>
      </c>
      <c r="BD26" s="668">
        <f>IF(BD$4="forecast",(AVERAGE(AR26:BC26)),SUMIF('Dept. Cost Actuals'!$E$7:$E$176,"*Telephone*",'Dept. Cost Actuals'!BH$7:BH$176))</f>
        <v>0</v>
      </c>
      <c r="BE26" s="668">
        <f>IF(BE$4="forecast",(AVERAGE(AS26:BD26)),SUMIF('Dept. Cost Actuals'!$E$7:$E$176,"*Telephone*",'Dept. Cost Actuals'!BI$7:BI$176))</f>
        <v>0</v>
      </c>
      <c r="BF26" s="668">
        <f>IF(BF$4="forecast",(AVERAGE(AT26:BE26)),SUMIF('Dept. Cost Actuals'!$E$7:$E$176,"*Telephone*",'Dept. Cost Actuals'!BJ$7:BJ$176))</f>
        <v>0</v>
      </c>
      <c r="BG26" s="668">
        <f>IF(BG$4="forecast",(AVERAGE(AU26:BF26)),SUMIF('Dept. Cost Actuals'!$E$7:$E$176,"*Telephone*",'Dept. Cost Actuals'!BK$7:BK$176))</f>
        <v>0</v>
      </c>
      <c r="BH26" s="668">
        <f>IF(BH$4="forecast",(AVERAGE(AV26:BG26)),SUMIF('Dept. Cost Actuals'!$E$7:$E$176,"*Telephone*",'Dept. Cost Actuals'!BL$7:BL$176))</f>
        <v>0</v>
      </c>
      <c r="BI26" s="668">
        <f>IF(BI$4="forecast",(AVERAGE(AW26:BH26)),SUMIF('Dept. Cost Actuals'!$E$7:$E$176,"*Telephone*",'Dept. Cost Actuals'!BM$7:BM$176))</f>
        <v>0</v>
      </c>
      <c r="BJ26" s="668">
        <f>IF(BJ$4="forecast",(AVERAGE(AX26:BI26)),SUMIF('Dept. Cost Actuals'!$E$7:$E$176,"*Telephone*",'Dept. Cost Actuals'!BN$7:BN$176))</f>
        <v>0</v>
      </c>
      <c r="BK26" s="668">
        <f>IF(BK$4="forecast",(AVERAGE(AY26:BJ26)),SUMIF('Dept. Cost Actuals'!$E$7:$E$176,"*Telephone*",'Dept. Cost Actuals'!BO$7:BO$176))</f>
        <v>0</v>
      </c>
      <c r="BL26" s="668">
        <f>IF(BL$4="forecast",(AVERAGE(AZ26:BK26)),SUMIF('Dept. Cost Actuals'!$E$7:$E$176,"*Telephone*",'Dept. Cost Actuals'!BP$7:BP$176))</f>
        <v>0</v>
      </c>
      <c r="BM26" s="668">
        <f>IF(BM$4="forecast",(AVERAGE(BA26:BL26)),SUMIF('Dept. Cost Actuals'!$E$7:$E$176,"*Telephone*",'Dept. Cost Actuals'!BQ$7:BQ$176))</f>
        <v>0</v>
      </c>
      <c r="BN26" s="668">
        <f>IF(BN$4="forecast",(AVERAGE(BB26:BM26)),SUMIF('Dept. Cost Actuals'!$E$7:$E$176,"*Telephone*",'Dept. Cost Actuals'!BR$7:BR$176))</f>
        <v>0</v>
      </c>
      <c r="BO26" s="668">
        <f>IF(BO$4="forecast",(AVERAGE(BC26:BN26)),SUMIF('Dept. Cost Actuals'!$E$7:$E$176,"*Telephone*",'Dept. Cost Actuals'!BS$7:BS$176))</f>
        <v>0</v>
      </c>
      <c r="BP26" s="668">
        <f>IF(BP$4="forecast",(AVERAGE(BD26:BO26)),SUMIF('Dept. Cost Actuals'!$E$7:$E$176,"*Telephone*",'Dept. Cost Actuals'!BT$7:BT$176))</f>
        <v>0</v>
      </c>
      <c r="BQ26" s="668">
        <f>IF(BQ$4="forecast",(AVERAGE(BE26:BP26)),SUMIF('Dept. Cost Actuals'!$E$7:$E$176,"*Telephone*",'Dept. Cost Actuals'!BU$7:BU$176))</f>
        <v>0</v>
      </c>
      <c r="BR26" s="668">
        <f>IF(BR$4="forecast",(AVERAGE(BF26:BQ26)),SUMIF('Dept. Cost Actuals'!$E$7:$E$176,"*Telephone*",'Dept. Cost Actuals'!BV$7:BV$176))</f>
        <v>0</v>
      </c>
      <c r="BS26" s="668">
        <f>IF(BS$4="forecast",(AVERAGE(BG26:BR26)),SUMIF('Dept. Cost Actuals'!$E$7:$E$176,"*Telephone*",'Dept. Cost Actuals'!BW$7:BW$176))</f>
        <v>0</v>
      </c>
      <c r="BT26" s="668">
        <f>IF(BT$4="forecast",(AVERAGE(BH26:BS26)),SUMIF('Dept. Cost Actuals'!$E$7:$E$176,"*Telephone*",'Dept. Cost Actuals'!BX$7:BX$176))</f>
        <v>0</v>
      </c>
      <c r="BU26" s="668">
        <f>IF(BU$4="forecast",(AVERAGE(BI26:BT26)),SUMIF('Dept. Cost Actuals'!$E$7:$E$176,"*Telephone*",'Dept. Cost Actuals'!BY$7:BY$176))</f>
        <v>0</v>
      </c>
      <c r="BV26" s="790">
        <f>IF(BV$4="forecast",(AVERAGE(BJ26:BU26)),SUMIF('Dept. Cost Actuals'!$E$7:$E$176,"*Telephone*",'Dept. Cost Actuals'!BZ$7:BZ$176))</f>
        <v>0</v>
      </c>
    </row>
    <row r="27" spans="2:74" x14ac:dyDescent="0.25">
      <c r="B27" s="1208" t="s">
        <v>936</v>
      </c>
      <c r="C27" s="668">
        <f>IF(C$4="forecast",C$7*'Direct People Department Costs'!$H$13,SUMIF('Dept. Cost Actuals'!$E$7:$E$176,"*Software*",'Dept. Cost Actuals'!G$7:G$176))</f>
        <v>0</v>
      </c>
      <c r="D27" s="668">
        <f>IF(D$4="forecast",D$7*'Direct People Department Costs'!$H$13,SUMIF('Dept. Cost Actuals'!$E$7:$E$176,"*Software*",'Dept. Cost Actuals'!H$7:H$176))</f>
        <v>0</v>
      </c>
      <c r="E27" s="668">
        <f>IF(E$4="forecast",E$7*'Direct People Department Costs'!$H$13,SUMIF('Dept. Cost Actuals'!$E$7:$E$176,"*Software*",'Dept. Cost Actuals'!I$7:I$176))</f>
        <v>0</v>
      </c>
      <c r="F27" s="668">
        <f>IF(F$4="forecast",F$7*'Direct People Department Costs'!$H$13,SUMIF('Dept. Cost Actuals'!$E$7:$E$176,"*Software*",'Dept. Cost Actuals'!J$7:J$176))</f>
        <v>0</v>
      </c>
      <c r="G27" s="668">
        <f>IF(G$4="forecast",G$7*'Direct People Department Costs'!$H$13,SUMIF('Dept. Cost Actuals'!$E$7:$E$176,"*Software*",'Dept. Cost Actuals'!K$7:K$176))</f>
        <v>0</v>
      </c>
      <c r="H27" s="668">
        <f>IF(H$4="forecast",H$7*'Direct People Department Costs'!$H$13,SUMIF('Dept. Cost Actuals'!$E$7:$E$176,"*Software*",'Dept. Cost Actuals'!L$7:L$176))</f>
        <v>0</v>
      </c>
      <c r="I27" s="668">
        <f>IF(I$4="forecast",I$7*'Direct People Department Costs'!$H$13,SUMIF('Dept. Cost Actuals'!$E$7:$E$176,"*Software*",'Dept. Cost Actuals'!M$7:M$176))</f>
        <v>0</v>
      </c>
      <c r="J27" s="668">
        <f>IF(J$4="forecast",J$7*'Direct People Department Costs'!$H$13,SUMIF('Dept. Cost Actuals'!$E$7:$E$176,"*Software*",'Dept. Cost Actuals'!N$7:N$176))</f>
        <v>0</v>
      </c>
      <c r="K27" s="668">
        <f>IF(K$4="forecast",K$7*'Direct People Department Costs'!$H$13,SUMIF('Dept. Cost Actuals'!$E$7:$E$176,"*Software*",'Dept. Cost Actuals'!O$7:O$176))</f>
        <v>0</v>
      </c>
      <c r="L27" s="668">
        <f>IF(L$4="forecast",L$7*'Direct People Department Costs'!$H$13,SUMIF('Dept. Cost Actuals'!$E$7:$E$176,"*Software*",'Dept. Cost Actuals'!P$7:P$176))</f>
        <v>0</v>
      </c>
      <c r="M27" s="668">
        <f>IF(M$4="forecast",M$7*'Direct People Department Costs'!$H$13,SUMIF('Dept. Cost Actuals'!$E$7:$E$176,"*Software*",'Dept. Cost Actuals'!Q$7:Q$176))</f>
        <v>0</v>
      </c>
      <c r="N27" s="668">
        <f>IF(N$4="forecast",N$7*'Direct People Department Costs'!$H$13,SUMIF('Dept. Cost Actuals'!$E$7:$E$176,"*Software*",'Dept. Cost Actuals'!R$7:R$176))</f>
        <v>0</v>
      </c>
      <c r="O27" s="668">
        <f>IF(O$4="forecast",O$7*'Direct People Department Costs'!$H$13,SUMIF('Dept. Cost Actuals'!$E$7:$E$176,"*Software*",'Dept. Cost Actuals'!S$7:S$176))</f>
        <v>602.86</v>
      </c>
      <c r="P27" s="668">
        <f>IF(P$4="forecast",P$7*'Direct People Department Costs'!$H$13,SUMIF('Dept. Cost Actuals'!$E$7:$E$176,"*Software*",'Dept. Cost Actuals'!T$7:T$176))</f>
        <v>948.07</v>
      </c>
      <c r="Q27" s="668">
        <f>IF(Q$4="forecast",Q$7*'Direct People Department Costs'!$H$13,SUMIF('Dept. Cost Actuals'!$E$7:$E$176,"*Software*",'Dept. Cost Actuals'!U$7:U$176))</f>
        <v>1569.88</v>
      </c>
      <c r="R27" s="668">
        <f>IF(R$4="forecast",R$7*'Direct People Department Costs'!$H$13,SUMIF('Dept. Cost Actuals'!$E$7:$E$176,"*Software*",'Dept. Cost Actuals'!V$7:V$176))</f>
        <v>3965.79</v>
      </c>
      <c r="S27" s="668">
        <f>IF(S$4="forecast",S$7*'Direct People Department Costs'!$H$13,SUMIF('Dept. Cost Actuals'!$E$7:$E$176,"*Software*",'Dept. Cost Actuals'!W$7:W$176))</f>
        <v>3477.79</v>
      </c>
      <c r="T27" s="668">
        <f>IF(T$4="forecast",T$7*'Direct People Department Costs'!$H$13,SUMIF('Dept. Cost Actuals'!$E$7:$E$176,"*Software*",'Dept. Cost Actuals'!X$7:X$176))</f>
        <v>4301.6499999999996</v>
      </c>
      <c r="U27" s="668">
        <f>IF(U$4="forecast",U$7*'Direct People Department Costs'!$H$13,SUMIF('Dept. Cost Actuals'!$E$7:$E$176,"*Software*",'Dept. Cost Actuals'!Y$7:Y$176))</f>
        <v>4874</v>
      </c>
      <c r="V27" s="668">
        <f>IF(V$4="forecast",V$7*'Direct People Department Costs'!$H$13,SUMIF('Dept. Cost Actuals'!$E$7:$E$176,"*Software*",'Dept. Cost Actuals'!Z$7:Z$176))</f>
        <v>5367.18</v>
      </c>
      <c r="W27" s="668">
        <f>IF(W$4="forecast",W$7*'Direct People Department Costs'!$H$13,SUMIF('Dept. Cost Actuals'!$E$7:$E$176,"*Software*",'Dept. Cost Actuals'!AA$7:AA$176))</f>
        <v>6001.4</v>
      </c>
      <c r="X27" s="668">
        <f>IF(X$4="forecast",X$7*'Direct People Department Costs'!$H$13,SUMIF('Dept. Cost Actuals'!$E$7:$E$176,"*Software*",'Dept. Cost Actuals'!AB$7:AB$176))</f>
        <v>5007.83</v>
      </c>
      <c r="Y27" s="668">
        <f>IF(Y$4="forecast",Y$7*'Direct People Department Costs'!$H$13,SUMIF('Dept. Cost Actuals'!$E$7:$E$176,"*Software*",'Dept. Cost Actuals'!AC$7:AC$176))</f>
        <v>4021.79</v>
      </c>
      <c r="Z27" s="668">
        <f>IF(Z$4="forecast",Z$7*'Direct People Department Costs'!$H$13,SUMIF('Dept. Cost Actuals'!$E$7:$E$176,"*Software*",'Dept. Cost Actuals'!AD$7:AD$176))</f>
        <v>5254.45</v>
      </c>
      <c r="AA27" s="668">
        <f>IF(AA$4="forecast",AA$7*'Direct People Department Costs'!$H$13,SUMIF('Dept. Cost Actuals'!$E$7:$E$176,"*Software*",'Dept. Cost Actuals'!AE$7:AE$176))</f>
        <v>4228.78</v>
      </c>
      <c r="AB27" s="668">
        <f>IF(AB$4="forecast",(SUM(O$27:Z$27)/12)*1.1,SUMIF('Dept. Cost Actuals'!$E$7:$E$176,"*Software*",'Dept. Cost Actuals'!AF$7:AF$176))</f>
        <v>3909.82</v>
      </c>
      <c r="AC27" s="668">
        <f>IF(AC$4="forecast",(SUM(P$27:AA$27)/12)*1.1,SUMIF('Dept. Cost Actuals'!$E$7:$E$176,"*Software*",'Dept. Cost Actuals'!AG$7:AG$176))</f>
        <v>3593.95</v>
      </c>
      <c r="AD27" s="668">
        <f>IF(AD$4="forecast",(SUM(Q$27:AB$27)/12)*1.3,SUMIF('Dept. Cost Actuals'!$E$7:$E$176,"*Software*",'Dept. Cost Actuals'!AH$7:AH$176))</f>
        <v>5631.2056666666667</v>
      </c>
      <c r="AE27" s="668">
        <f>IF(AE$4="forecast",(SUM(R$27:AC$27)/12)*1.3,SUMIF('Dept. Cost Actuals'!$E$7:$E$176,"*Software*",'Dept. Cost Actuals'!AI$7:AI$176))</f>
        <v>5850.4799166666662</v>
      </c>
      <c r="AF27" s="668">
        <f>IF(AF$4="forecast",(SUM(S$27:AD$27)/12)*1.3,SUMIF('Dept. Cost Actuals'!$E$7:$E$176,"*Software*",'Dept. Cost Actuals'!AJ$7:AJ$176))</f>
        <v>6030.8999472222213</v>
      </c>
      <c r="AG27" s="668">
        <f>IF(AG$4="forecast",(SUM(T$27:AE$27)/12)*1.3,SUMIF('Dept. Cost Actuals'!$E$7:$E$176,"*Software*",'Dept. Cost Actuals'!AK$7:AK$176))</f>
        <v>6287.9413548611101</v>
      </c>
      <c r="AH27" s="668">
        <f>IF(AH$4="forecast",(SUM(U$27:AF$27)/12)*1.3,SUMIF('Dept. Cost Actuals'!$E$7:$E$176,"*Software*",'Dept. Cost Actuals'!AL$7:AL$176))</f>
        <v>6475.2767658101848</v>
      </c>
      <c r="AI27" s="668">
        <f>IF(AI$4="forecast",(SUM(V$27:AG$27)/12)*1.3,SUMIF('Dept. Cost Actuals'!$E$7:$E$176,"*Software*",'Dept. Cost Actuals'!AM$7:AM$176))</f>
        <v>6628.4537459201383</v>
      </c>
      <c r="AJ27" s="668">
        <f>IF(AJ$4="forecast",(SUM(W$27:AH$27)/12)*1.3,SUMIF('Dept. Cost Actuals'!$E$7:$E$176,"*Software*",'Dept. Cost Actuals'!AN$7:AN$176))</f>
        <v>6748.4975622162419</v>
      </c>
      <c r="AK27" s="668">
        <f>IF(AK$4="forecast",(SUM(X$27:AI$27)/12)*1.3,SUMIF('Dept. Cost Actuals'!$E$7:$E$176,"*Software*",'Dept. Cost Actuals'!AO$7:AO$176))</f>
        <v>6816.4283846909229</v>
      </c>
      <c r="AL27" s="668">
        <f>IF(AL$4="forecast",(SUM(Y$27:AJ$27)/12)*1.3,SUMIF('Dept. Cost Actuals'!$E$7:$E$176,"*Software*",'Dept. Cost Actuals'!AP$7:AP$176))</f>
        <v>7005.0007039310176</v>
      </c>
      <c r="AM27" s="668">
        <f>IF(AM$4="forecast",(SUM(Z$27:AK$27)/12)*1.3,SUMIF('Dept. Cost Actuals'!$E$7:$E$176,"*Software*",'Dept. Cost Actuals'!AQ$7:AQ$176))</f>
        <v>7307.7531956058683</v>
      </c>
      <c r="AN27" s="668">
        <f>IF(AN$4="forecast",(SUM(AA$27:AL$27)/12)*1.3,SUMIF('Dept. Cost Actuals'!$E$7:$E$176,"*Software*",'Dept. Cost Actuals'!AR$7:AR$176))</f>
        <v>7497.3961885317276</v>
      </c>
      <c r="AO27" s="668">
        <f>IF(AO$4="forecast",(SUM(AB$27:AM$27)/12)*1.3,SUMIF('Dept. Cost Actuals'!$E$7:$E$176,"*Software*",'Dept. Cost Actuals'!AS$7:AS$176))</f>
        <v>7830.9516180556966</v>
      </c>
      <c r="AP27" s="668">
        <f>IF(AP$4="forecast",(SUM(AC$27:AN$27)/12)*1.3,SUMIF('Dept. Cost Actuals'!$E$7:$E$176,"*Software*",'Dept. Cost Actuals'!AT$7:AT$176))</f>
        <v>8219.6057051466323</v>
      </c>
      <c r="AQ27" s="668">
        <f>IF(AQ$4="forecast",(SUM(AD$27:AO$27)/12)*1.3,SUMIF('Dept. Cost Actuals'!$E$7:$E$176,"*Software*",'Dept. Cost Actuals'!AU$7:AU$176))</f>
        <v>8678.6142137693332</v>
      </c>
      <c r="AR27" s="668">
        <f>IF(AR$4="forecast",(SUM(AE$27:AP$27)/12)*1.3,SUMIF('Dept. Cost Actuals'!$E$7:$E$176,"*Software*",'Dept. Cost Actuals'!AV$7:AV$176))</f>
        <v>8959.0242179379966</v>
      </c>
      <c r="AS27" s="668">
        <f>IF(AS$4="forecast",(SUM(AF$27:AQ$27)/12)*1.3,SUMIF('Dept. Cost Actuals'!$E$7:$E$176,"*Software*",'Dept. Cost Actuals'!AW$7:AW$176))</f>
        <v>9265.4054334574521</v>
      </c>
      <c r="AT27" s="668">
        <f>IF(AT$4="forecast",(SUM(AG$27:AR$27)/12)*1.3,SUMIF('Dept. Cost Actuals'!$E$7:$E$176,"*Software*",'Dept. Cost Actuals'!AX$7:AX$176))</f>
        <v>9582.618896118327</v>
      </c>
      <c r="AU27" s="668">
        <f>IF(AU$4="forecast",(SUM(AH$27:AS$27)/12)*1.3,SUMIF('Dept. Cost Actuals'!$E$7:$E$176,"*Software*",'Dept. Cost Actuals'!AY$7:AY$176))</f>
        <v>9905.1775046329312</v>
      </c>
      <c r="AV27" s="668">
        <f>IF(AV$4="forecast",(SUM(AI$27:AT$27)/12)*1.3,SUMIF('Dept. Cost Actuals'!$E$7:$E$176,"*Software*",'Dept. Cost Actuals'!AZ$7:AZ$176))</f>
        <v>10241.806235416314</v>
      </c>
      <c r="AW27" s="668">
        <f>IF(AW$4="forecast",(SUM(AJ$27:AU$27)/12)*1.3,SUMIF('Dept. Cost Actuals'!$E$7:$E$176,"*Software*",'Dept. Cost Actuals'!BA$7:BA$176))</f>
        <v>10596.784642610199</v>
      </c>
      <c r="AX27" s="668">
        <f>IF(AX$4="forecast",(SUM(AK$27:AV$27)/12)*1.3,SUMIF('Dept. Cost Actuals'!$E$7:$E$176,"*Software*",'Dept. Cost Actuals'!BB$7:BB$176))</f>
        <v>10975.226415540206</v>
      </c>
      <c r="AY27" s="668">
        <f>IF(AY$4="forecast",(SUM(AL$27:AW$27)/12)*1.3,SUMIF('Dept. Cost Actuals'!$E$7:$E$176,"*Software*",'Dept. Cost Actuals'!BC$7:BC$176))</f>
        <v>11384.765010148129</v>
      </c>
      <c r="AZ27" s="668">
        <f>IF(AZ$4="forecast",(SUM(AM$27:AX$27)/12)*1.3,SUMIF('Dept. Cost Actuals'!$E$7:$E$176,"*Software*",'Dept. Cost Actuals'!BD$7:BD$176))</f>
        <v>11814.872795572459</v>
      </c>
      <c r="BA27" s="668">
        <f>IF(BA$4="forecast",(SUM(AN$27:AY$27)/12)*1.3,SUMIF('Dept. Cost Actuals'!$E$7:$E$176,"*Software*",'Dept. Cost Actuals'!BE$7:BE$176))</f>
        <v>12256.549075481202</v>
      </c>
      <c r="BB27" s="668">
        <f>IF(BB$4="forecast",(SUM(AO$27:AZ$27)/12)*1.3,SUMIF('Dept. Cost Actuals'!$E$7:$E$176,"*Software*",'Dept. Cost Actuals'!BF$7:BF$176))</f>
        <v>12724.275707910614</v>
      </c>
      <c r="BC27" s="668">
        <f>IF(BC$4="forecast",(SUM(AP$27:BA$27)/12)*1.3,SUMIF('Dept. Cost Actuals'!$E$7:$E$176,"*Software*",'Dept. Cost Actuals'!BG$7:BG$176))</f>
        <v>13203.715432465046</v>
      </c>
      <c r="BD27" s="668">
        <f>IF(BD$4="forecast",(SUM(AQ$27:BB$27)/12)*1.3,SUMIF('Dept. Cost Actuals'!$E$7:$E$176,"*Software*",'Dept. Cost Actuals'!BH$7:BH$176))</f>
        <v>13691.721349431144</v>
      </c>
      <c r="BE27" s="668">
        <f>IF(BE$4="forecast",(SUM(AR$27:BC$27)/12)*1.3,SUMIF('Dept. Cost Actuals'!$E$7:$E$176,"*Software*",'Dept. Cost Actuals'!BI$7:BI$176))</f>
        <v>14181.940648123178</v>
      </c>
      <c r="BF27" s="668">
        <f>IF(BF$4="forecast",(SUM(AS$27:BD$27)/12)*1.3,SUMIF('Dept. Cost Actuals'!$E$7:$E$176,"*Software*",'Dept. Cost Actuals'!BJ$7:BJ$176))</f>
        <v>14694.649504034936</v>
      </c>
      <c r="BG27" s="668">
        <f>IF(BG$4="forecast",(SUM(AT$27:BE$27)/12)*1.3,SUMIF('Dept. Cost Actuals'!$E$7:$E$176,"*Software*",'Dept. Cost Actuals'!BK$7:BK$176))</f>
        <v>15227.274152290389</v>
      </c>
      <c r="BH27" s="668">
        <f>IF(BH$4="forecast",(SUM(AU$27:BF$27)/12)*1.3,SUMIF('Dept. Cost Actuals'!$E$7:$E$176,"*Software*",'Dept. Cost Actuals'!BL$7:BL$176))</f>
        <v>15781.077468148022</v>
      </c>
      <c r="BI27" s="668">
        <f>IF(BI$4="forecast",(SUM(AV$27:BG$27)/12)*1.3,SUMIF('Dept. Cost Actuals'!$E$7:$E$176,"*Software*",'Dept. Cost Actuals'!BM$7:BM$176))</f>
        <v>16357.637938310912</v>
      </c>
      <c r="BJ27" s="668">
        <f>IF(BJ$4="forecast",(SUM(AW$27:BH$27)/12)*1.3,SUMIF('Dept. Cost Actuals'!$E$7:$E$176,"*Software*",'Dept. Cost Actuals'!BN$7:BN$176))</f>
        <v>16957.725655190181</v>
      </c>
      <c r="BK27" s="668">
        <f>IF(BK$4="forecast",(SUM(AX$27:BI$27)/12)*1.3,SUMIF('Dept. Cost Actuals'!$E$7:$E$176,"*Software*",'Dept. Cost Actuals'!BO$7:BO$176))</f>
        <v>17581.818095557763</v>
      </c>
      <c r="BL27" s="668">
        <f>IF(BL$4="forecast",(SUM(AY$27:BJ$27)/12)*1.3,SUMIF('Dept. Cost Actuals'!$E$7:$E$176,"*Software*",'Dept. Cost Actuals'!BP$7:BP$176))</f>
        <v>18229.922179853176</v>
      </c>
      <c r="BM27" s="668">
        <f>IF(BM$4="forecast",(SUM(AZ$27:BK$27)/12)*1.3,SUMIF('Dept. Cost Actuals'!$E$7:$E$176,"*Software*",'Dept. Cost Actuals'!BQ$7:BQ$176))</f>
        <v>18901.269597439215</v>
      </c>
      <c r="BN27" s="668">
        <f>IF(BN$4="forecast",(SUM(BA$27:BL$27)/12)*1.3,SUMIF('Dept. Cost Actuals'!$E$7:$E$176,"*Software*",'Dept. Cost Actuals'!BR$7:BR$176))</f>
        <v>19596.233280736298</v>
      </c>
      <c r="BO27" s="668">
        <f>IF(BO$4="forecast",(SUM(BB$27:BM$27)/12)*1.3,SUMIF('Dept. Cost Actuals'!$E$7:$E$176,"*Software*",'Dept. Cost Actuals'!BS$7:BS$176))</f>
        <v>20316.078003948413</v>
      </c>
      <c r="BP27" s="668">
        <f>IF(BP$4="forecast",(SUM(BC$27:BN$27)/12)*1.3,SUMIF('Dept. Cost Actuals'!$E$7:$E$176,"*Software*",'Dept. Cost Actuals'!BT$7:BT$176))</f>
        <v>21060.540074337867</v>
      </c>
      <c r="BQ27" s="668">
        <f>IF(BQ$4="forecast",(SUM(BD$27:BO$27)/12)*1.3,SUMIF('Dept. Cost Actuals'!$E$7:$E$176,"*Software*",'Dept. Cost Actuals'!BU$7:BU$176))</f>
        <v>21831.046019581892</v>
      </c>
      <c r="BR27" s="668">
        <f>IF(BR$4="forecast",(SUM(BE$27:BP$27)/12)*1.3,SUMIF('Dept. Cost Actuals'!$E$7:$E$176,"*Software*",'Dept. Cost Actuals'!BV$7:BV$176))</f>
        <v>22629.334714780125</v>
      </c>
      <c r="BS27" s="668">
        <f>IF(BS$4="forecast",(SUM(BF$27:BQ$27)/12)*1.3,SUMIF('Dept. Cost Actuals'!$E$7:$E$176,"*Software*",'Dept. Cost Actuals'!BW$7:BW$176))</f>
        <v>23457.98779668815</v>
      </c>
      <c r="BT27" s="668">
        <f>IF(BT$4="forecast",(SUM(BG$27:BR$27)/12)*1.3,SUMIF('Dept. Cost Actuals'!$E$7:$E$176,"*Software*",'Dept. Cost Actuals'!BX$7:BX$176))</f>
        <v>24317.578694518877</v>
      </c>
      <c r="BU27" s="668">
        <f>IF(BU$4="forecast",(SUM(BH$27:BS$27)/12)*1.3,SUMIF('Dept. Cost Actuals'!$E$7:$E$176,"*Software*",'Dept. Cost Actuals'!BY$7:BY$176))</f>
        <v>25209.239339328637</v>
      </c>
      <c r="BV27" s="790">
        <f>IF(BV$4="forecast",(SUM(BI$27:BT$27)/12)*1.3,SUMIF('Dept. Cost Actuals'!$E$7:$E$176,"*Software*",'Dept. Cost Actuals'!BZ$7:BZ$176))</f>
        <v>26134.026972185482</v>
      </c>
    </row>
    <row r="28" spans="2:74" x14ac:dyDescent="0.25">
      <c r="B28" s="794" t="s">
        <v>1075</v>
      </c>
      <c r="C28" s="668">
        <f>IF(C$4="forecast",(AVERAGE(#REF!)),SUMIF('Dept. Cost Actuals'!$E$7:$E$176,"*Parking*",'Dept. Cost Actuals'!G$7:G$176))</f>
        <v>75</v>
      </c>
      <c r="D28" s="668">
        <f>IF(D$4="forecast",(AVERAGE(#REF!)),SUMIF('Dept. Cost Actuals'!$E$7:$E$176,"*Parking*",'Dept. Cost Actuals'!H$7:H$176))</f>
        <v>0</v>
      </c>
      <c r="E28" s="668">
        <f>IF(E$4="forecast",(AVERAGE(#REF!)),SUMIF('Dept. Cost Actuals'!$E$7:$E$176,"*Parking*",'Dept. Cost Actuals'!I$7:I$176))</f>
        <v>75</v>
      </c>
      <c r="F28" s="668">
        <f>IF(F$4="forecast",(AVERAGE(#REF!)),SUMIF('Dept. Cost Actuals'!$E$7:$E$176,"*Parking*",'Dept. Cost Actuals'!J$7:J$176))</f>
        <v>0</v>
      </c>
      <c r="G28" s="668">
        <f>IF(G$4="forecast",(AVERAGE(#REF!)),SUMIF('Dept. Cost Actuals'!$E$7:$E$176,"*Parking*",'Dept. Cost Actuals'!K$7:K$176))</f>
        <v>0</v>
      </c>
      <c r="H28" s="668">
        <f>IF(H$4="forecast",(AVERAGE(#REF!)),SUMIF('Dept. Cost Actuals'!$E$7:$E$176,"*Parking*",'Dept. Cost Actuals'!L$7:L$176))</f>
        <v>0</v>
      </c>
      <c r="I28" s="668">
        <f>IF(I$4="forecast",(AVERAGE(#REF!)),SUMIF('Dept. Cost Actuals'!$E$7:$E$176,"*Parking*",'Dept. Cost Actuals'!M$7:M$176))</f>
        <v>16</v>
      </c>
      <c r="J28" s="668">
        <f>IF(J$4="forecast",(AVERAGE(#REF!)),SUMIF('Dept. Cost Actuals'!$E$7:$E$176,"*Parking*",'Dept. Cost Actuals'!N$7:N$176))</f>
        <v>9</v>
      </c>
      <c r="K28" s="668">
        <f>IF(K$4="forecast",(AVERAGE(#REF!)),SUMIF('Dept. Cost Actuals'!$E$7:$E$176,"*Parking*",'Dept. Cost Actuals'!O$7:O$176))</f>
        <v>9</v>
      </c>
      <c r="L28" s="668">
        <f>IF(L$4="forecast",(AVERAGE(#REF!)),SUMIF('Dept. Cost Actuals'!$E$7:$E$176,"*Parking*",'Dept. Cost Actuals'!P$7:P$176))</f>
        <v>0</v>
      </c>
      <c r="M28" s="668">
        <f>IF(M$4="forecast",(AVERAGE(A28:L28)),SUMIF('Dept. Cost Actuals'!$E$7:$E$176,"*Parking*",'Dept. Cost Actuals'!Q$7:Q$176))</f>
        <v>0</v>
      </c>
      <c r="N28" s="668">
        <f>IF(N$4="forecast",(AVERAGE(B28:M28)),SUMIF('Dept. Cost Actuals'!$E$7:$E$176,"*Parking*",'Dept. Cost Actuals'!R$7:R$176))</f>
        <v>0</v>
      </c>
      <c r="O28" s="668">
        <f>IF(O$4="forecast",(AVERAGE(C28:N28)),SUMIF('Dept. Cost Actuals'!$E$7:$E$176,"*Parking*",'Dept. Cost Actuals'!S$7:S$176))</f>
        <v>0</v>
      </c>
      <c r="P28" s="668">
        <f>IF(P$4="forecast",(AVERAGE(D28:O28)),SUMIF('Dept. Cost Actuals'!$E$7:$E$176,"*Parking*",'Dept. Cost Actuals'!T$7:T$176))</f>
        <v>0</v>
      </c>
      <c r="Q28" s="668">
        <f>IF(Q$4="forecast",(AVERAGE(E28:P28)),SUMIF('Dept. Cost Actuals'!$E$7:$E$176,"*Parking*",'Dept. Cost Actuals'!U$7:U$176))</f>
        <v>0</v>
      </c>
      <c r="R28" s="668">
        <f>IF(R$4="forecast",(AVERAGE(F28:Q28)),SUMIF('Dept. Cost Actuals'!$E$7:$E$176,"*Parking*",'Dept. Cost Actuals'!V$7:V$176))</f>
        <v>0</v>
      </c>
      <c r="S28" s="668">
        <f>IF(S$4="forecast",(AVERAGE(G28:R28)),SUMIF('Dept. Cost Actuals'!$E$7:$E$176,"*Parking*",'Dept. Cost Actuals'!W$7:W$176))</f>
        <v>0</v>
      </c>
      <c r="T28" s="668">
        <f>IF(T$4="forecast",(AVERAGE(H28:S28)),SUMIF('Dept. Cost Actuals'!$E$7:$E$176,"*Parking*",'Dept. Cost Actuals'!X$7:X$176))</f>
        <v>0</v>
      </c>
      <c r="U28" s="668">
        <f>IF(U$4="forecast",(AVERAGE(I28:T28)),SUMIF('Dept. Cost Actuals'!$E$7:$E$176,"*Parking*",'Dept. Cost Actuals'!Y$7:Y$176))</f>
        <v>0</v>
      </c>
      <c r="V28" s="668">
        <f>IF(V$4="forecast",(AVERAGE(J28:U28)),SUMIF('Dept. Cost Actuals'!$E$7:$E$176,"*Parking*",'Dept. Cost Actuals'!Z$7:Z$176))</f>
        <v>8</v>
      </c>
      <c r="W28" s="668">
        <f>IF(W$4="forecast",(AVERAGE(K28:V28)),SUMIF('Dept. Cost Actuals'!$E$7:$E$176,"*Parking*",'Dept. Cost Actuals'!AA$7:AA$176))</f>
        <v>0</v>
      </c>
      <c r="X28" s="668">
        <f>IF(X$4="forecast",(AVERAGE(L28:W28)),SUMIF('Dept. Cost Actuals'!$E$7:$E$176,"*Parking*",'Dept. Cost Actuals'!AB$7:AB$176))</f>
        <v>0</v>
      </c>
      <c r="Y28" s="668">
        <f>IF(Y$4="forecast",(AVERAGE(M28:X28)),SUMIF('Dept. Cost Actuals'!$E$7:$E$176,"*Parking*",'Dept. Cost Actuals'!AC$7:AC$176))</f>
        <v>0</v>
      </c>
      <c r="Z28" s="668">
        <f>IF(Z$4="forecast",(AVERAGE(N28:Y28)),SUMIF('Dept. Cost Actuals'!$E$7:$E$176,"*Parking*",'Dept. Cost Actuals'!AD$7:AD$176))</f>
        <v>56</v>
      </c>
      <c r="AA28" s="668">
        <f>IF(AA$4="forecast",(AVERAGE(O28:Z28)),SUMIF('Dept. Cost Actuals'!$E$7:$E$176,"*Parking*",'Dept. Cost Actuals'!AE$7:AE$176))</f>
        <v>24</v>
      </c>
      <c r="AB28" s="668">
        <f>IF(AB$4="forecast",(AVERAGE(P28:AA28)),SUMIF('Dept. Cost Actuals'!$E$7:$E$176,"*Parking*",'Dept. Cost Actuals'!AF$7:AF$176))</f>
        <v>0</v>
      </c>
      <c r="AC28" s="668">
        <f>IF(AC$4="forecast",(AVERAGE(Q28:AB28)),SUMIF('Dept. Cost Actuals'!$E$7:$E$176,"*Parking*",'Dept. Cost Actuals'!AG$7:AG$176))</f>
        <v>0</v>
      </c>
      <c r="AD28" s="668">
        <f>IF(AD$4="forecast",(AVERAGE(R28:AC28)),SUMIF('Dept. Cost Actuals'!$E$7:$E$176,"*Parking*",'Dept. Cost Actuals'!AH$7:AH$176))</f>
        <v>7.333333333333333</v>
      </c>
      <c r="AE28" s="668">
        <f>IF(AE$4="forecast",(AVERAGE(S28:AD28)),SUMIF('Dept. Cost Actuals'!$E$7:$E$176,"*Parking*",'Dept. Cost Actuals'!AI$7:AI$176))</f>
        <v>7.9444444444444438</v>
      </c>
      <c r="AF28" s="668">
        <f>IF(AF$4="forecast",(AVERAGE(T28:AE28)),SUMIF('Dept. Cost Actuals'!$E$7:$E$176,"*Parking*",'Dept. Cost Actuals'!AJ$7:AJ$176))</f>
        <v>8.606481481481481</v>
      </c>
      <c r="AG28" s="668">
        <f>IF(AG$4="forecast",(AVERAGE(U28:AF28)),SUMIF('Dept. Cost Actuals'!$E$7:$E$176,"*Parking*",'Dept. Cost Actuals'!AK$7:AK$176))</f>
        <v>9.3236882716049383</v>
      </c>
      <c r="AH28" s="668">
        <f>IF(AH$4="forecast",(AVERAGE(V28:AG28)),SUMIF('Dept. Cost Actuals'!$E$7:$E$176,"*Parking*",'Dept. Cost Actuals'!AL$7:AL$176))</f>
        <v>10.100662294238683</v>
      </c>
      <c r="AI28" s="668">
        <f>IF(AI$4="forecast",(AVERAGE(W28:AH28)),SUMIF('Dept. Cost Actuals'!$E$7:$E$176,"*Parking*",'Dept. Cost Actuals'!AM$7:AM$176))</f>
        <v>10.27571748542524</v>
      </c>
      <c r="AJ28" s="668">
        <f>IF(AJ$4="forecast",(AVERAGE(X28:AI28)),SUMIF('Dept. Cost Actuals'!$E$7:$E$176,"*Parking*",'Dept. Cost Actuals'!AN$7:AN$176))</f>
        <v>11.132027275877343</v>
      </c>
      <c r="AK28" s="668">
        <f>IF(AK$4="forecast",(AVERAGE(Y28:AJ28)),SUMIF('Dept. Cost Actuals'!$E$7:$E$176,"*Parking*",'Dept. Cost Actuals'!AO$7:AO$176))</f>
        <v>12.059696215533789</v>
      </c>
      <c r="AL28" s="668">
        <f>IF(AL$4="forecast",(AVERAGE(Z28:AK28)),SUMIF('Dept. Cost Actuals'!$E$7:$E$176,"*Parking*",'Dept. Cost Actuals'!AP$7:AP$176))</f>
        <v>13.064670900161603</v>
      </c>
      <c r="AM28" s="668">
        <f>IF(AM$4="forecast",(AVERAGE(AA28:AL28)),SUMIF('Dept. Cost Actuals'!$E$7:$E$176,"*Parking*",'Dept. Cost Actuals'!AQ$7:AQ$176))</f>
        <v>9.486726808508406</v>
      </c>
      <c r="AN28" s="668">
        <f>IF(AN$4="forecast",(AVERAGE(AB28:AM28)),SUMIF('Dept. Cost Actuals'!$E$7:$E$176,"*Parking*",'Dept. Cost Actuals'!AR$7:AR$176))</f>
        <v>8.2772873758841055</v>
      </c>
      <c r="AO28" s="668">
        <f>IF(AO$4="forecast",(AVERAGE(AC28:AN28)),SUMIF('Dept. Cost Actuals'!$E$7:$E$176,"*Parking*",'Dept. Cost Actuals'!AS$7:AS$176))</f>
        <v>8.9670613238744465</v>
      </c>
      <c r="AP28" s="668">
        <f>IF(AP$4="forecast",(AVERAGE(AD28:AO28)),SUMIF('Dept. Cost Actuals'!$E$7:$E$176,"*Parking*",'Dept. Cost Actuals'!AT$7:AT$176))</f>
        <v>9.7143164341973165</v>
      </c>
      <c r="AQ28" s="668">
        <f>IF(AQ$4="forecast",(AVERAGE(AE28:AP28)),SUMIF('Dept. Cost Actuals'!$E$7:$E$176,"*Parking*",'Dept. Cost Actuals'!AU$7:AU$176))</f>
        <v>9.9127316926026481</v>
      </c>
      <c r="AR28" s="668">
        <f>IF(AR$4="forecast",(AVERAGE(AF28:AQ28)),SUMIF('Dept. Cost Actuals'!$E$7:$E$176,"*Parking*",'Dept. Cost Actuals'!AV$7:AV$176))</f>
        <v>10.076755629949167</v>
      </c>
      <c r="AS28" s="668">
        <f>IF(AS$4="forecast",(AVERAGE(AG28:AR28)),SUMIF('Dept. Cost Actuals'!$E$7:$E$176,"*Parking*",'Dept. Cost Actuals'!AW$7:AW$176))</f>
        <v>10.199278475654806</v>
      </c>
      <c r="AT28" s="668">
        <f>IF(AT$4="forecast",(AVERAGE(AH28:AS28)),SUMIF('Dept. Cost Actuals'!$E$7:$E$176,"*Parking*",'Dept. Cost Actuals'!AX$7:AX$176))</f>
        <v>10.272244325992295</v>
      </c>
      <c r="AU28" s="668">
        <f>IF(AU$4="forecast",(AVERAGE(AI28:AT28)),SUMIF('Dept. Cost Actuals'!$E$7:$E$176,"*Parking*",'Dept. Cost Actuals'!AY$7:AY$176))</f>
        <v>10.28654282863843</v>
      </c>
      <c r="AV28" s="668">
        <f>IF(AV$4="forecast",(AVERAGE(AJ28:AU28)),SUMIF('Dept. Cost Actuals'!$E$7:$E$176,"*Parking*",'Dept. Cost Actuals'!AZ$7:AZ$176))</f>
        <v>10.287444940572863</v>
      </c>
      <c r="AW28" s="668">
        <f>IF(AW$4="forecast",(AVERAGE(AK28:AV28)),SUMIF('Dept. Cost Actuals'!$E$7:$E$176,"*Parking*",'Dept. Cost Actuals'!BA$7:BA$176))</f>
        <v>10.217063079297489</v>
      </c>
      <c r="AX28" s="668">
        <f>IF(AX$4="forecast",(AVERAGE(AL28:AW28)),SUMIF('Dept. Cost Actuals'!$E$7:$E$176,"*Parking*",'Dept. Cost Actuals'!BB$7:BB$176))</f>
        <v>10.063510317944464</v>
      </c>
      <c r="AY28" s="668">
        <f>IF(AY$4="forecast",(AVERAGE(AM28:AX28)),SUMIF('Dept. Cost Actuals'!$E$7:$E$176,"*Parking*",'Dept. Cost Actuals'!BC$7:BC$176))</f>
        <v>9.8134136027597041</v>
      </c>
      <c r="AZ28" s="668">
        <f>IF(AZ$4="forecast",(AVERAGE(AN28:AY28)),SUMIF('Dept. Cost Actuals'!$E$7:$E$176,"*Parking*",'Dept. Cost Actuals'!BD$7:BD$176))</f>
        <v>9.8406375022806447</v>
      </c>
      <c r="BA28" s="668">
        <f>IF(BA$4="forecast",(AVERAGE(AO28:AZ28)),SUMIF('Dept. Cost Actuals'!$E$7:$E$176,"*Parking*",'Dept. Cost Actuals'!BE$7:BE$176))</f>
        <v>9.9709166794803572</v>
      </c>
      <c r="BB28" s="668">
        <f>IF(BB$4="forecast",(AVERAGE(AP28:BA28)),SUMIF('Dept. Cost Actuals'!$E$7:$E$176,"*Parking*",'Dept. Cost Actuals'!BF$7:BF$176))</f>
        <v>10.054571292447516</v>
      </c>
      <c r="BC28" s="668">
        <f>IF(BC$4="forecast",(AVERAGE(AQ28:BB28)),SUMIF('Dept. Cost Actuals'!$E$7:$E$176,"*Parking*",'Dept. Cost Actuals'!BG$7:BG$176))</f>
        <v>10.082925863968367</v>
      </c>
      <c r="BD28" s="668">
        <f>IF(BD$4="forecast",(AVERAGE(AR28:BC28)),SUMIF('Dept. Cost Actuals'!$E$7:$E$176,"*Parking*",'Dept. Cost Actuals'!BH$7:BH$176))</f>
        <v>10.097108711582175</v>
      </c>
      <c r="BE28" s="668">
        <f>IF(BE$4="forecast",(AVERAGE(AS28:BD28)),SUMIF('Dept. Cost Actuals'!$E$7:$E$176,"*Parking*",'Dept. Cost Actuals'!BI$7:BI$176))</f>
        <v>10.098804801718259</v>
      </c>
      <c r="BF28" s="668">
        <f>IF(BF$4="forecast",(AVERAGE(AT28:BE28)),SUMIF('Dept. Cost Actuals'!$E$7:$E$176,"*Parking*",'Dept. Cost Actuals'!BJ$7:BJ$176))</f>
        <v>10.090431995556882</v>
      </c>
      <c r="BG28" s="668">
        <f>IF(BG$4="forecast",(AVERAGE(AU28:BF28)),SUMIF('Dept. Cost Actuals'!$E$7:$E$176,"*Parking*",'Dept. Cost Actuals'!BK$7:BK$176))</f>
        <v>10.075280968020596</v>
      </c>
      <c r="BH28" s="668">
        <f>IF(BH$4="forecast",(AVERAGE(AV28:BG28)),SUMIF('Dept. Cost Actuals'!$E$7:$E$176,"*Parking*",'Dept. Cost Actuals'!BL$7:BL$176))</f>
        <v>10.05767581296911</v>
      </c>
      <c r="BI28" s="668">
        <f>IF(BI$4="forecast",(AVERAGE(AW28:BH28)),SUMIF('Dept. Cost Actuals'!$E$7:$E$176,"*Parking*",'Dept. Cost Actuals'!BM$7:BM$176))</f>
        <v>10.038528385668798</v>
      </c>
      <c r="BJ28" s="668">
        <f>IF(BJ$4="forecast",(AVERAGE(AX28:BI28)),SUMIF('Dept. Cost Actuals'!$E$7:$E$176,"*Parking*",'Dept. Cost Actuals'!BN$7:BN$176))</f>
        <v>10.023650494533074</v>
      </c>
      <c r="BK28" s="668">
        <f>IF(BK$4="forecast",(AVERAGE(AY28:BJ28)),SUMIF('Dept. Cost Actuals'!$E$7:$E$176,"*Parking*",'Dept. Cost Actuals'!BO$7:BO$176))</f>
        <v>10.020328842582122</v>
      </c>
      <c r="BL28" s="668">
        <f>IF(BL$4="forecast",(AVERAGE(AZ28:BK28)),SUMIF('Dept. Cost Actuals'!$E$7:$E$176,"*Parking*",'Dept. Cost Actuals'!BP$7:BP$176))</f>
        <v>10.037571779233991</v>
      </c>
      <c r="BM28" s="668">
        <f>IF(BM$4="forecast",(AVERAGE(BA28:BL28)),SUMIF('Dept. Cost Actuals'!$E$7:$E$176,"*Parking*",'Dept. Cost Actuals'!BQ$7:BQ$176))</f>
        <v>10.053982968980103</v>
      </c>
      <c r="BN28" s="668">
        <f>IF(BN$4="forecast",(AVERAGE(BB28:BM28)),SUMIF('Dept. Cost Actuals'!$E$7:$E$176,"*Parking*",'Dept. Cost Actuals'!BR$7:BR$176))</f>
        <v>10.060905159771748</v>
      </c>
      <c r="BO28" s="668">
        <f>IF(BO$4="forecast",(AVERAGE(BC28:BN28)),SUMIF('Dept. Cost Actuals'!$E$7:$E$176,"*Parking*",'Dept. Cost Actuals'!BS$7:BS$176))</f>
        <v>10.061432982048769</v>
      </c>
      <c r="BP28" s="668">
        <f>IF(BP$4="forecast",(AVERAGE(BD28:BO28)),SUMIF('Dept. Cost Actuals'!$E$7:$E$176,"*Parking*",'Dept. Cost Actuals'!BT$7:BT$176))</f>
        <v>10.059641908555468</v>
      </c>
      <c r="BQ28" s="668">
        <f>IF(BQ$4="forecast",(AVERAGE(BE28:BP28)),SUMIF('Dept. Cost Actuals'!$E$7:$E$176,"*Parking*",'Dept. Cost Actuals'!BU$7:BU$176))</f>
        <v>10.056519674969911</v>
      </c>
      <c r="BR28" s="668">
        <f>IF(BR$4="forecast",(AVERAGE(BF28:BQ28)),SUMIF('Dept. Cost Actuals'!$E$7:$E$176,"*Parking*",'Dept. Cost Actuals'!BV$7:BV$176))</f>
        <v>10.052995914407548</v>
      </c>
      <c r="BS28" s="668">
        <f>IF(BS$4="forecast",(AVERAGE(BG28:BR28)),SUMIF('Dept. Cost Actuals'!$E$7:$E$176,"*Parking*",'Dept. Cost Actuals'!BW$7:BW$176))</f>
        <v>10.049876240978437</v>
      </c>
      <c r="BT28" s="668">
        <f>IF(BT$4="forecast",(AVERAGE(BH28:BS28)),SUMIF('Dept. Cost Actuals'!$E$7:$E$176,"*Parking*",'Dept. Cost Actuals'!BX$7:BX$176))</f>
        <v>10.047759180391589</v>
      </c>
      <c r="BU28" s="668">
        <f>IF(BU$4="forecast",(AVERAGE(BI28:BT28)),SUMIF('Dept. Cost Actuals'!$E$7:$E$176,"*Parking*",'Dept. Cost Actuals'!BY$7:BY$176))</f>
        <v>10.046932794343462</v>
      </c>
      <c r="BV28" s="790">
        <f>IF(BV$4="forecast",(AVERAGE(BJ28:BU28)),SUMIF('Dept. Cost Actuals'!$E$7:$E$176,"*Parking*",'Dept. Cost Actuals'!BZ$7:BZ$176))</f>
        <v>10.047633161733019</v>
      </c>
    </row>
    <row r="29" spans="2:74" x14ac:dyDescent="0.25">
      <c r="B29" s="795" t="s">
        <v>937</v>
      </c>
      <c r="C29" s="1156">
        <f>SUM(C17:C28,C14)</f>
        <v>31841.156126949823</v>
      </c>
      <c r="D29" s="1156">
        <f t="shared" ref="D29:BO29" si="7">SUM(D17:D28,D14)</f>
        <v>32369.92112734331</v>
      </c>
      <c r="E29" s="1156">
        <f t="shared" si="7"/>
        <v>27204.649047427789</v>
      </c>
      <c r="F29" s="1156">
        <f t="shared" si="7"/>
        <v>31461.018555105526</v>
      </c>
      <c r="G29" s="1156">
        <f t="shared" si="7"/>
        <v>35565.393580848249</v>
      </c>
      <c r="H29" s="1156">
        <f t="shared" si="7"/>
        <v>52544.626275579794</v>
      </c>
      <c r="I29" s="1156">
        <f t="shared" si="7"/>
        <v>43049.51494017661</v>
      </c>
      <c r="J29" s="1156">
        <f t="shared" si="7"/>
        <v>57457.708693927903</v>
      </c>
      <c r="K29" s="1156">
        <f t="shared" si="7"/>
        <v>43375.846159253757</v>
      </c>
      <c r="L29" s="1156">
        <f t="shared" si="7"/>
        <v>40153.399675049135</v>
      </c>
      <c r="M29" s="1156">
        <f t="shared" si="7"/>
        <v>61101.795031672809</v>
      </c>
      <c r="N29" s="1156">
        <f t="shared" si="7"/>
        <v>66847.38353502813</v>
      </c>
      <c r="O29" s="1156">
        <f t="shared" si="7"/>
        <v>104454.79000000001</v>
      </c>
      <c r="P29" s="1156">
        <f t="shared" si="7"/>
        <v>82289.260000000009</v>
      </c>
      <c r="Q29" s="1156">
        <f t="shared" si="7"/>
        <v>143350.5</v>
      </c>
      <c r="R29" s="1156">
        <f t="shared" si="7"/>
        <v>116002.44</v>
      </c>
      <c r="S29" s="1156">
        <f t="shared" si="7"/>
        <v>117917.86</v>
      </c>
      <c r="T29" s="1156">
        <f t="shared" si="7"/>
        <v>100086.26</v>
      </c>
      <c r="U29" s="1156">
        <f t="shared" si="7"/>
        <v>129162.64000000001</v>
      </c>
      <c r="V29" s="1156">
        <f t="shared" si="7"/>
        <v>113398.04</v>
      </c>
      <c r="W29" s="1156">
        <f t="shared" si="7"/>
        <v>125716.98</v>
      </c>
      <c r="X29" s="1156">
        <f t="shared" si="7"/>
        <v>159646.73000000001</v>
      </c>
      <c r="Y29" s="1156">
        <f t="shared" si="7"/>
        <v>124576.69</v>
      </c>
      <c r="Z29" s="1156">
        <f t="shared" si="7"/>
        <v>131201.69</v>
      </c>
      <c r="AA29" s="1156">
        <f t="shared" si="7"/>
        <v>140705.66</v>
      </c>
      <c r="AB29" s="1156">
        <f t="shared" si="7"/>
        <v>123000.88</v>
      </c>
      <c r="AC29" s="1156">
        <f t="shared" si="7"/>
        <v>130246.49999999999</v>
      </c>
      <c r="AD29" s="1156">
        <f t="shared" si="7"/>
        <v>193390.18633894422</v>
      </c>
      <c r="AE29" s="1156">
        <f t="shared" si="7"/>
        <v>194007.41449471004</v>
      </c>
      <c r="AF29" s="1156">
        <f t="shared" si="7"/>
        <v>190683.72847154067</v>
      </c>
      <c r="AG29" s="1156">
        <f t="shared" si="7"/>
        <v>210741.03384499263</v>
      </c>
      <c r="AH29" s="1156">
        <f t="shared" si="7"/>
        <v>198412.06992840121</v>
      </c>
      <c r="AI29" s="1156">
        <f t="shared" si="7"/>
        <v>199956.41260546842</v>
      </c>
      <c r="AJ29" s="1156">
        <f t="shared" si="7"/>
        <v>201020.05256192776</v>
      </c>
      <c r="AK29" s="1156">
        <f t="shared" si="7"/>
        <v>202169.6966713721</v>
      </c>
      <c r="AL29" s="1156">
        <f t="shared" si="7"/>
        <v>203241.19835328881</v>
      </c>
      <c r="AM29" s="1156">
        <f t="shared" si="7"/>
        <v>205402.67350116346</v>
      </c>
      <c r="AN29" s="1156">
        <f t="shared" si="7"/>
        <v>210384.25197554252</v>
      </c>
      <c r="AO29" s="1156">
        <f t="shared" si="7"/>
        <v>208343.38042264007</v>
      </c>
      <c r="AP29" s="1156">
        <f t="shared" si="7"/>
        <v>210062.39030457521</v>
      </c>
      <c r="AQ29" s="1156">
        <f t="shared" si="7"/>
        <v>211597.99373664078</v>
      </c>
      <c r="AR29" s="1156">
        <f t="shared" si="7"/>
        <v>212979.26733250273</v>
      </c>
      <c r="AS29" s="1156">
        <f t="shared" si="7"/>
        <v>214385.19708249986</v>
      </c>
      <c r="AT29" s="1156">
        <f t="shared" si="7"/>
        <v>215794.60364362743</v>
      </c>
      <c r="AU29" s="1156">
        <f t="shared" si="7"/>
        <v>217195.27221612257</v>
      </c>
      <c r="AV29" s="1156">
        <f t="shared" si="7"/>
        <v>218583.7154298184</v>
      </c>
      <c r="AW29" s="1156">
        <f t="shared" si="7"/>
        <v>219999.31901183378</v>
      </c>
      <c r="AX29" s="1156">
        <f t="shared" si="7"/>
        <v>221436.4211135862</v>
      </c>
      <c r="AY29" s="1156">
        <f t="shared" si="7"/>
        <v>228022.2925045751</v>
      </c>
      <c r="AZ29" s="1156">
        <f t="shared" si="7"/>
        <v>233424.80667135993</v>
      </c>
      <c r="BA29" s="1156">
        <f t="shared" si="7"/>
        <v>231181.32772815408</v>
      </c>
      <c r="BB29" s="1156">
        <f t="shared" si="7"/>
        <v>232770.15684918579</v>
      </c>
      <c r="BC29" s="1156">
        <f t="shared" si="7"/>
        <v>234351.94696077652</v>
      </c>
      <c r="BD29" s="1156">
        <f t="shared" si="7"/>
        <v>235943.13522736588</v>
      </c>
      <c r="BE29" s="1156">
        <f t="shared" si="7"/>
        <v>237535.4157794629</v>
      </c>
      <c r="BF29" s="1156">
        <f t="shared" si="7"/>
        <v>239149.08095597773</v>
      </c>
      <c r="BG29" s="1156">
        <f t="shared" si="7"/>
        <v>240782.07786730182</v>
      </c>
      <c r="BH29" s="1156">
        <f t="shared" si="7"/>
        <v>242436.79431177292</v>
      </c>
      <c r="BI29" s="1156">
        <f t="shared" si="7"/>
        <v>244117.04513831192</v>
      </c>
      <c r="BJ29" s="1156">
        <f t="shared" si="7"/>
        <v>245823.09765065101</v>
      </c>
      <c r="BK29" s="1156">
        <f t="shared" si="7"/>
        <v>252812.11539472983</v>
      </c>
      <c r="BL29" s="1156">
        <f t="shared" si="7"/>
        <v>258539.62175184407</v>
      </c>
      <c r="BM29" s="1156">
        <f t="shared" si="7"/>
        <v>256396.50889501898</v>
      </c>
      <c r="BN29" s="1156">
        <f t="shared" si="7"/>
        <v>258213.35316669109</v>
      </c>
      <c r="BO29" s="1156">
        <f t="shared" si="7"/>
        <v>260053.7895640987</v>
      </c>
      <c r="BP29" s="1156">
        <f t="shared" ref="BP29:BV29" si="8">SUM(BP17:BP28,BP14)</f>
        <v>261919.00966011977</v>
      </c>
      <c r="BQ29" s="1156">
        <f t="shared" si="8"/>
        <v>263810.38451483555</v>
      </c>
      <c r="BR29" s="1156">
        <f t="shared" si="8"/>
        <v>265729.75566835061</v>
      </c>
      <c r="BS29" s="1156">
        <f t="shared" si="8"/>
        <v>267679.81463089108</v>
      </c>
      <c r="BT29" s="1156">
        <f t="shared" si="8"/>
        <v>269661.21045499068</v>
      </c>
      <c r="BU29" s="1156">
        <f t="shared" si="8"/>
        <v>271675.06325338013</v>
      </c>
      <c r="BV29" s="1156">
        <f t="shared" si="8"/>
        <v>273722.23110042303</v>
      </c>
    </row>
    <row r="30" spans="2:74" x14ac:dyDescent="0.25">
      <c r="B30" s="783"/>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c r="AK30" s="156"/>
      <c r="AL30" s="156"/>
      <c r="AM30" s="156"/>
      <c r="AN30" s="156"/>
      <c r="AO30" s="156"/>
      <c r="AP30" s="156"/>
      <c r="AQ30" s="156"/>
      <c r="AR30" s="156"/>
      <c r="AS30" s="156"/>
      <c r="AT30" s="156"/>
      <c r="AU30" s="156"/>
      <c r="AV30" s="156"/>
      <c r="AW30" s="156"/>
      <c r="AX30" s="156"/>
      <c r="AY30" s="156"/>
      <c r="AZ30" s="156"/>
      <c r="BA30" s="156"/>
      <c r="BB30" s="156"/>
      <c r="BC30" s="156"/>
      <c r="BD30" s="156"/>
      <c r="BE30" s="156"/>
      <c r="BF30" s="156"/>
      <c r="BG30" s="156"/>
      <c r="BH30" s="156"/>
      <c r="BI30" s="156"/>
      <c r="BJ30" s="156"/>
      <c r="BK30" s="156"/>
      <c r="BL30" s="156"/>
      <c r="BM30" s="156"/>
      <c r="BN30" s="156"/>
      <c r="BO30" s="156"/>
      <c r="BP30" s="156"/>
      <c r="BQ30" s="156"/>
      <c r="BR30" s="156"/>
      <c r="BS30" s="156"/>
      <c r="BT30" s="156"/>
      <c r="BU30" s="156"/>
      <c r="BV30" s="784"/>
    </row>
    <row r="31" spans="2:74" x14ac:dyDescent="0.25">
      <c r="B31" s="855" t="s">
        <v>938</v>
      </c>
      <c r="C31" s="858"/>
      <c r="D31" s="858"/>
      <c r="E31" s="858"/>
      <c r="F31" s="858"/>
      <c r="G31" s="858"/>
      <c r="H31" s="858"/>
      <c r="I31" s="858"/>
      <c r="J31" s="858"/>
      <c r="K31" s="858"/>
      <c r="L31" s="858"/>
      <c r="M31" s="858"/>
      <c r="N31" s="858"/>
      <c r="O31" s="859"/>
      <c r="P31" s="859"/>
      <c r="Q31" s="859"/>
      <c r="R31" s="859"/>
      <c r="S31" s="859"/>
      <c r="T31" s="859"/>
      <c r="U31" s="859"/>
      <c r="V31" s="859"/>
      <c r="W31" s="859"/>
      <c r="X31" s="859"/>
      <c r="Y31" s="859"/>
      <c r="Z31" s="859"/>
      <c r="AA31" s="859"/>
      <c r="AB31" s="859"/>
      <c r="AC31" s="859"/>
      <c r="AD31" s="859"/>
      <c r="AE31" s="859"/>
      <c r="AF31" s="859"/>
      <c r="AG31" s="859"/>
      <c r="AH31" s="859"/>
      <c r="AI31" s="859"/>
      <c r="AJ31" s="859"/>
      <c r="AK31" s="859"/>
      <c r="AL31" s="859"/>
      <c r="AM31" s="859"/>
      <c r="AN31" s="859"/>
      <c r="AO31" s="859"/>
      <c r="AP31" s="859"/>
      <c r="AQ31" s="859"/>
      <c r="AR31" s="859"/>
      <c r="AS31" s="859"/>
      <c r="AT31" s="859"/>
      <c r="AU31" s="859"/>
      <c r="AV31" s="859"/>
      <c r="AW31" s="859"/>
      <c r="AX31" s="859"/>
      <c r="AY31" s="859"/>
      <c r="AZ31" s="859"/>
      <c r="BA31" s="859"/>
      <c r="BB31" s="859"/>
      <c r="BC31" s="859"/>
      <c r="BD31" s="859"/>
      <c r="BE31" s="859"/>
      <c r="BF31" s="859"/>
      <c r="BG31" s="859"/>
      <c r="BH31" s="859"/>
      <c r="BI31" s="859"/>
      <c r="BJ31" s="859"/>
      <c r="BK31" s="859"/>
      <c r="BL31" s="859"/>
      <c r="BM31" s="859"/>
      <c r="BN31" s="859"/>
      <c r="BO31" s="859"/>
      <c r="BP31" s="859"/>
      <c r="BQ31" s="859"/>
      <c r="BR31" s="859"/>
      <c r="BS31" s="859"/>
      <c r="BT31" s="859"/>
      <c r="BU31" s="859"/>
      <c r="BV31" s="860"/>
    </row>
    <row r="32" spans="2:74" x14ac:dyDescent="0.25">
      <c r="B32" s="793" t="s">
        <v>939</v>
      </c>
      <c r="C32" s="668">
        <f>IF(C$4="forecast",(AVERAGE(#REF!)),SUMIF('Dept. Cost Actuals'!$E$7:$E$176,"*Professional Fees*",'Dept. Cost Actuals'!G$7:G$176))</f>
        <v>899.58</v>
      </c>
      <c r="D32" s="668">
        <f>IF(D$4="forecast",(AVERAGE(#REF!)),SUMIF('Dept. Cost Actuals'!$E$7:$E$176,"*Professional Fees*",'Dept. Cost Actuals'!H$7:H$176))</f>
        <v>1387.1688072689908</v>
      </c>
      <c r="E32" s="668">
        <f>IF(E$4="forecast",(AVERAGE(#REF!)),SUMIF('Dept. Cost Actuals'!$E$7:$E$176,"*Professional Fees*",'Dept. Cost Actuals'!I$7:I$176))</f>
        <v>2505.38</v>
      </c>
      <c r="F32" s="668">
        <f>IF(F$4="forecast",(AVERAGE(#REF!)),SUMIF('Dept. Cost Actuals'!$E$7:$E$176,"*Professional Fees*",'Dept. Cost Actuals'!J$7:J$176))</f>
        <v>2902.3692860131337</v>
      </c>
      <c r="G32" s="668">
        <f>IF(G$4="forecast",(AVERAGE(#REF!)),SUMIF('Dept. Cost Actuals'!$E$7:$E$176,"*Professional Fees*",'Dept. Cost Actuals'!K$7:K$176))</f>
        <v>2782.0005942896605</v>
      </c>
      <c r="H32" s="668">
        <f>IF(H$4="forecast",(AVERAGE(#REF!)),SUMIF('Dept. Cost Actuals'!$E$7:$E$176,"*Professional Fees*",'Dept. Cost Actuals'!L$7:L$176))</f>
        <v>4393.0756843667659</v>
      </c>
      <c r="I32" s="668">
        <f>IF(I$4="forecast",(AVERAGE(#REF!)),SUMIF('Dept. Cost Actuals'!$E$7:$E$176,"*Professional Fees*",'Dept. Cost Actuals'!M$7:M$176))</f>
        <v>5216.1276198572668</v>
      </c>
      <c r="J32" s="668">
        <f>IF(J$4="forecast",(AVERAGE(#REF!)),SUMIF('Dept. Cost Actuals'!$E$7:$E$176,"*Professional Fees*",'Dept. Cost Actuals'!N$7:N$176))</f>
        <v>5724.5082528542052</v>
      </c>
      <c r="K32" s="668">
        <f>IF(K$4="forecast",(AVERAGE(#REF!)),SUMIF('Dept. Cost Actuals'!$E$7:$E$176,"*Professional Fees*",'Dept. Cost Actuals'!O$7:O$176))</f>
        <v>4782.2143309478834</v>
      </c>
      <c r="L32" s="668">
        <f>IF(L$4="forecast",(AVERAGE(#REF!)),SUMIF('Dept. Cost Actuals'!$E$7:$E$176,"*Professional Fees*",'Dept. Cost Actuals'!P$7:P$176))</f>
        <v>2268.7685775045634</v>
      </c>
      <c r="M32" s="668">
        <f>IF(M$4="forecast",(AVERAGE(A32:L32)),SUMIF('Dept. Cost Actuals'!$E$7:$E$176,"*Professional Fees*",'Dept. Cost Actuals'!Q$7:Q$176))</f>
        <v>6643.2212042241981</v>
      </c>
      <c r="N32" s="668">
        <f>IF(N$4="forecast",(AVERAGE(B32:M32)),SUMIF('Dept. Cost Actuals'!$E$7:$E$176,"*Professional Fees*",'Dept. Cost Actuals'!R$7:R$176))</f>
        <v>1262.2450895879695</v>
      </c>
      <c r="O32" s="668">
        <f>IF(O$4="forecast",(AVERAGE(C32:N32)),SUMIF('Dept. Cost Actuals'!$E$7:$E$176,"*Professional Fees*",'Dept. Cost Actuals'!S$7:S$176))</f>
        <v>1993.87</v>
      </c>
      <c r="P32" s="668">
        <f>IF(P$4="forecast",(AVERAGE(D32:O32)),SUMIF('Dept. Cost Actuals'!$E$7:$E$176,"*Professional Fees*",'Dept. Cost Actuals'!T$7:T$176))</f>
        <v>2812.18</v>
      </c>
      <c r="Q32" s="668">
        <f>IF(Q$4="forecast",(AVERAGE(E32:P32)),SUMIF('Dept. Cost Actuals'!$E$7:$E$176,"*Professional Fees*",'Dept. Cost Actuals'!U$7:U$176))</f>
        <v>3543.14</v>
      </c>
      <c r="R32" s="668">
        <f>IF(R$4="forecast",(AVERAGE(F32:Q32)),SUMIF('Dept. Cost Actuals'!$E$7:$E$176,"*Professional Fees*",'Dept. Cost Actuals'!V$7:V$176))</f>
        <v>1235.78</v>
      </c>
      <c r="S32" s="668">
        <f>IF(S$4="forecast",(AVERAGE(G32:R32)),SUMIF('Dept. Cost Actuals'!$E$7:$E$176,"*Professional Fees*",'Dept. Cost Actuals'!W$7:W$176))</f>
        <v>2219.9</v>
      </c>
      <c r="T32" s="668">
        <f>IF(T$4="forecast",(AVERAGE(H32:S32)),SUMIF('Dept. Cost Actuals'!$E$7:$E$176,"*Professional Fees*",'Dept. Cost Actuals'!X$7:X$176))</f>
        <v>2406.5500000000002</v>
      </c>
      <c r="U32" s="668">
        <f>IF(U$4="forecast",(AVERAGE(I32:T32)),SUMIF('Dept. Cost Actuals'!$E$7:$E$176,"*Professional Fees*",'Dept. Cost Actuals'!Y$7:Y$176))</f>
        <v>3133.55</v>
      </c>
      <c r="V32" s="668">
        <f>IF(V$4="forecast",(AVERAGE(J32:U32)),SUMIF('Dept. Cost Actuals'!$E$7:$E$176,"*Professional Fees*",'Dept. Cost Actuals'!Z$7:Z$176))</f>
        <v>2053.1799999999998</v>
      </c>
      <c r="W32" s="668">
        <f>IF(W$4="forecast",(AVERAGE(K32:V32)),SUMIF('Dept. Cost Actuals'!$E$7:$E$176,"*Professional Fees*",'Dept. Cost Actuals'!AA$7:AA$176))</f>
        <v>1830.49</v>
      </c>
      <c r="X32" s="668">
        <f>IF(X$4="forecast",(AVERAGE(L32:W32)),SUMIF('Dept. Cost Actuals'!$E$7:$E$176,"*Professional Fees*",'Dept. Cost Actuals'!AB$7:AB$176))</f>
        <v>2043.61</v>
      </c>
      <c r="Y32" s="668">
        <f>IF(Y$4="forecast",(AVERAGE(M32:X32)),SUMIF('Dept. Cost Actuals'!$E$7:$E$176,"*Professional Fees*",'Dept. Cost Actuals'!AC$7:AC$176))</f>
        <v>2068.92</v>
      </c>
      <c r="Z32" s="668">
        <f>IF(Z$4="forecast",(AVERAGE(N32:Y32)),SUMIF('Dept. Cost Actuals'!$E$7:$E$176,"*Professional Fees*",'Dept. Cost Actuals'!AD$7:AD$176))</f>
        <v>1916.87</v>
      </c>
      <c r="AA32" s="668">
        <f>IF(AA$4="forecast",(AVERAGE(O32:Z32)),SUMIF('Dept. Cost Actuals'!$E$7:$E$176,"*Professional Fees*",'Dept. Cost Actuals'!AE$7:AE$176))</f>
        <v>4731.84</v>
      </c>
      <c r="AB32" s="668">
        <f>IF(AB$4="forecast",(AVERAGE(P32:AA32)),SUMIF('Dept. Cost Actuals'!$E$7:$E$176,"*Professional Fees*",'Dept. Cost Actuals'!AF$7:AF$176))</f>
        <v>2359.6</v>
      </c>
      <c r="AC32" s="668">
        <f>IF(AC$4="forecast",(AVERAGE(Q32:AB32)),SUMIF('Dept. Cost Actuals'!$E$7:$E$176,"*Professional Fees*",'Dept. Cost Actuals'!AG$7:AG$176))</f>
        <v>2155.37</v>
      </c>
      <c r="AD32" s="668">
        <f>IF(AD$4="forecast",(AVERAGE(R32:AC32)),SUMIF('Dept. Cost Actuals'!$E$7:$E$176,"*Professional Fees*",'Dept. Cost Actuals'!AH$7:AH$176))</f>
        <v>2346.3049999999998</v>
      </c>
      <c r="AE32" s="668">
        <f>IF(AE$4="forecast",(AVERAGE(S32:AD32)),SUMIF('Dept. Cost Actuals'!$E$7:$E$176,"*Professional Fees*",'Dept. Cost Actuals'!AI$7:AI$176))</f>
        <v>2438.8487499999997</v>
      </c>
      <c r="AF32" s="668">
        <f>IF(AF$4="forecast",(AVERAGE(T32:AE32)),SUMIF('Dept. Cost Actuals'!$E$7:$E$176,"*Professional Fees*",'Dept. Cost Actuals'!AJ$7:AJ$176))</f>
        <v>2457.0944791666666</v>
      </c>
      <c r="AG32" s="668">
        <f>IF(AG$4="forecast",(AVERAGE(U32:AF32)),SUMIF('Dept. Cost Actuals'!$E$7:$E$176,"*Professional Fees*",'Dept. Cost Actuals'!AK$7:AK$176))</f>
        <v>2461.306519097222</v>
      </c>
      <c r="AH32" s="668">
        <f>IF(AH$4="forecast",(AVERAGE(V32:AG32)),SUMIF('Dept. Cost Actuals'!$E$7:$E$176,"*Professional Fees*",'Dept. Cost Actuals'!AL$7:AL$176))</f>
        <v>2405.2862290219905</v>
      </c>
      <c r="AI32" s="668">
        <f>IF(AI$4="forecast",(AVERAGE(W32:AH32)),SUMIF('Dept. Cost Actuals'!$E$7:$E$176,"*Professional Fees*",'Dept. Cost Actuals'!AM$7:AM$176))</f>
        <v>2434.6284147738234</v>
      </c>
      <c r="AJ32" s="668">
        <f>IF(AJ$4="forecast",(AVERAGE(X32:AI32)),SUMIF('Dept. Cost Actuals'!$E$7:$E$176,"*Professional Fees*",'Dept. Cost Actuals'!AN$7:AN$176))</f>
        <v>2484.9732826716418</v>
      </c>
      <c r="AK32" s="668">
        <f>IF(AK$4="forecast",(AVERAGE(Y32:AJ32)),SUMIF('Dept. Cost Actuals'!$E$7:$E$176,"*Professional Fees*",'Dept. Cost Actuals'!AO$7:AO$176))</f>
        <v>2521.7535562276121</v>
      </c>
      <c r="AL32" s="668">
        <f>IF(AL$4="forecast",(AVERAGE(Z32:AK32)),SUMIF('Dept. Cost Actuals'!$E$7:$E$176,"*Professional Fees*",'Dept. Cost Actuals'!AP$7:AP$176))</f>
        <v>2559.4896859132464</v>
      </c>
      <c r="AM32" s="668">
        <f>IF(AM$4="forecast",(AVERAGE(AA32:AL32)),SUMIF('Dept. Cost Actuals'!$E$7:$E$176,"*Professional Fees*",'Dept. Cost Actuals'!AQ$7:AQ$176))</f>
        <v>2613.0413264060171</v>
      </c>
      <c r="AN32" s="668">
        <f>IF(AN$4="forecast",(AVERAGE(AB32:AM32)),SUMIF('Dept. Cost Actuals'!$E$7:$E$176,"*Professional Fees*",'Dept. Cost Actuals'!AR$7:AR$176))</f>
        <v>2436.4747702731852</v>
      </c>
      <c r="AO32" s="668">
        <f>IF(AO$4="forecast",(AVERAGE(AC32:AN32)),SUMIF('Dept. Cost Actuals'!$E$7:$E$176,"*Professional Fees*",'Dept. Cost Actuals'!AS$7:AS$176))</f>
        <v>2442.881001129284</v>
      </c>
      <c r="AP32" s="668">
        <f>IF(AP$4="forecast",(AVERAGE(AD32:AO32)),SUMIF('Dept. Cost Actuals'!$E$7:$E$176,"*Professional Fees*",'Dept. Cost Actuals'!AT$7:AT$176))</f>
        <v>2466.8402512233906</v>
      </c>
      <c r="AQ32" s="668">
        <f>IF(AQ$4="forecast",(AVERAGE(AE32:AP32)),SUMIF('Dept. Cost Actuals'!$E$7:$E$176,"*Professional Fees*",'Dept. Cost Actuals'!AU$7:AU$176))</f>
        <v>2476.8848554920064</v>
      </c>
      <c r="AR32" s="668">
        <f>IF(AR$4="forecast",(AVERAGE(AF32:AQ32)),SUMIF('Dept. Cost Actuals'!$E$7:$E$176,"*Professional Fees*",'Dept. Cost Actuals'!AV$7:AV$176))</f>
        <v>2480.0545309496742</v>
      </c>
      <c r="AS32" s="668">
        <f>IF(AS$4="forecast",(AVERAGE(AG32:AR32)),SUMIF('Dept. Cost Actuals'!$E$7:$E$176,"*Professional Fees*",'Dept. Cost Actuals'!AW$7:AW$176))</f>
        <v>2481.9678685982576</v>
      </c>
      <c r="AT32" s="668">
        <f>IF(AT$4="forecast",(AVERAGE(AH32:AS32)),SUMIF('Dept. Cost Actuals'!$E$7:$E$176,"*Professional Fees*",'Dept. Cost Actuals'!AX$7:AX$176))</f>
        <v>2483.6896477233445</v>
      </c>
      <c r="AU32" s="668">
        <f>IF(AU$4="forecast",(AVERAGE(AI32:AT32)),SUMIF('Dept. Cost Actuals'!$E$7:$E$176,"*Professional Fees*",'Dept. Cost Actuals'!AY$7:AY$176))</f>
        <v>2490.2232659484571</v>
      </c>
      <c r="AV32" s="668">
        <f>IF(AV$4="forecast",(AVERAGE(AJ32:AU32)),SUMIF('Dept. Cost Actuals'!$E$7:$E$176,"*Professional Fees*",'Dept. Cost Actuals'!AZ$7:AZ$176))</f>
        <v>2494.85617021301</v>
      </c>
      <c r="AW32" s="668">
        <f>IF(AW$4="forecast",(AVERAGE(AK32:AV32)),SUMIF('Dept. Cost Actuals'!$E$7:$E$176,"*Professional Fees*",'Dept. Cost Actuals'!BA$7:BA$176))</f>
        <v>2495.6797441747908</v>
      </c>
      <c r="AX32" s="668">
        <f>IF(AX$4="forecast",(AVERAGE(AL32:AW32)),SUMIF('Dept. Cost Actuals'!$E$7:$E$176,"*Professional Fees*",'Dept. Cost Actuals'!BB$7:BB$176))</f>
        <v>2493.5069265037223</v>
      </c>
      <c r="AY32" s="668">
        <f>IF(AY$4="forecast",(AVERAGE(AM32:AX32)),SUMIF('Dept. Cost Actuals'!$E$7:$E$176,"*Professional Fees*",'Dept. Cost Actuals'!BC$7:BC$176))</f>
        <v>2488.0083632195951</v>
      </c>
      <c r="AZ32" s="668">
        <f>IF(AZ$4="forecast",(AVERAGE(AN32:AY32)),SUMIF('Dept. Cost Actuals'!$E$7:$E$176,"*Professional Fees*",'Dept. Cost Actuals'!BD$7:BD$176))</f>
        <v>2477.5889496207269</v>
      </c>
      <c r="BA32" s="668">
        <f>IF(BA$4="forecast",(AVERAGE(AO32:AZ32)),SUMIF('Dept. Cost Actuals'!$E$7:$E$176,"*Professional Fees*",'Dept. Cost Actuals'!BE$7:BE$176))</f>
        <v>2481.0151312330217</v>
      </c>
      <c r="BB32" s="668">
        <f>IF(BB$4="forecast",(AVERAGE(AP32:BA32)),SUMIF('Dept. Cost Actuals'!$E$7:$E$176,"*Professional Fees*",'Dept. Cost Actuals'!BF$7:BF$176))</f>
        <v>2484.1929754083335</v>
      </c>
      <c r="BC32" s="668">
        <f>IF(BC$4="forecast",(AVERAGE(AQ32:BB32)),SUMIF('Dept. Cost Actuals'!$E$7:$E$176,"*Professional Fees*",'Dept. Cost Actuals'!BG$7:BG$176))</f>
        <v>2485.6390357570785</v>
      </c>
      <c r="BD32" s="668">
        <f>IF(BD$4="forecast",(AVERAGE(AR32:BC32)),SUMIF('Dept. Cost Actuals'!$E$7:$E$176,"*Professional Fees*",'Dept. Cost Actuals'!BH$7:BH$176))</f>
        <v>2486.3685507791674</v>
      </c>
      <c r="BE32" s="668">
        <f>IF(BE$4="forecast",(AVERAGE(AS32:BD32)),SUMIF('Dept. Cost Actuals'!$E$7:$E$176,"*Professional Fees*",'Dept. Cost Actuals'!BI$7:BI$176))</f>
        <v>2486.8947190982922</v>
      </c>
      <c r="BF32" s="668">
        <f>IF(BF$4="forecast",(AVERAGE(AT32:BE32)),SUMIF('Dept. Cost Actuals'!$E$7:$E$176,"*Professional Fees*",'Dept. Cost Actuals'!BJ$7:BJ$176))</f>
        <v>2487.3052899732947</v>
      </c>
      <c r="BG32" s="668">
        <f>IF(BG$4="forecast",(AVERAGE(AU32:BF32)),SUMIF('Dept. Cost Actuals'!$E$7:$E$176,"*Professional Fees*",'Dept. Cost Actuals'!BK$7:BK$176))</f>
        <v>2487.6065934941239</v>
      </c>
      <c r="BH32" s="668">
        <f>IF(BH$4="forecast",(AVERAGE(AV32:BG32)),SUMIF('Dept. Cost Actuals'!$E$7:$E$176,"*Professional Fees*",'Dept. Cost Actuals'!BL$7:BL$176))</f>
        <v>2487.3885374562628</v>
      </c>
      <c r="BI32" s="668">
        <f>IF(BI$4="forecast",(AVERAGE(AW32:BH32)),SUMIF('Dept. Cost Actuals'!$E$7:$E$176,"*Professional Fees*",'Dept. Cost Actuals'!BM$7:BM$176))</f>
        <v>2486.7662347265341</v>
      </c>
      <c r="BJ32" s="668">
        <f>IF(BJ$4="forecast",(AVERAGE(AX32:BI32)),SUMIF('Dept. Cost Actuals'!$E$7:$E$176,"*Professional Fees*",'Dept. Cost Actuals'!BN$7:BN$176))</f>
        <v>2486.023442272513</v>
      </c>
      <c r="BK32" s="668">
        <f>IF(BK$4="forecast",(AVERAGE(AY32:BJ32)),SUMIF('Dept. Cost Actuals'!$E$7:$E$176,"*Professional Fees*",'Dept. Cost Actuals'!BO$7:BO$176))</f>
        <v>2485.3998185865785</v>
      </c>
      <c r="BL32" s="668">
        <f>IF(BL$4="forecast",(AVERAGE(AZ32:BK32)),SUMIF('Dept. Cost Actuals'!$E$7:$E$176,"*Professional Fees*",'Dept. Cost Actuals'!BP$7:BP$176))</f>
        <v>2485.1824398671611</v>
      </c>
      <c r="BM32" s="668">
        <f>IF(BM$4="forecast",(AVERAGE(BA32:BL32)),SUMIF('Dept. Cost Actuals'!$E$7:$E$176,"*Professional Fees*",'Dept. Cost Actuals'!BQ$7:BQ$176))</f>
        <v>2485.8152307210298</v>
      </c>
      <c r="BN32" s="668">
        <f>IF(BN$4="forecast",(AVERAGE(BB32:BM32)),SUMIF('Dept. Cost Actuals'!$E$7:$E$176,"*Professional Fees*",'Dept. Cost Actuals'!BR$7:BR$176))</f>
        <v>2486.2152390116967</v>
      </c>
      <c r="BO32" s="668">
        <f>IF(BO$4="forecast",(AVERAGE(BC32:BN32)),SUMIF('Dept. Cost Actuals'!$E$7:$E$176,"*Professional Fees*",'Dept. Cost Actuals'!BS$7:BS$176))</f>
        <v>2486.3837609786442</v>
      </c>
      <c r="BP32" s="668">
        <f>IF(BP$4="forecast",(AVERAGE(BD32:BO32)),SUMIF('Dept. Cost Actuals'!$E$7:$E$176,"*Professional Fees*",'Dept. Cost Actuals'!BT$7:BT$176))</f>
        <v>2486.4458214137744</v>
      </c>
      <c r="BQ32" s="668">
        <f>IF(BQ$4="forecast",(AVERAGE(BE32:BP32)),SUMIF('Dept. Cost Actuals'!$E$7:$E$176,"*Professional Fees*",'Dept. Cost Actuals'!BU$7:BU$176))</f>
        <v>2486.4522606333253</v>
      </c>
      <c r="BR32" s="668">
        <f>IF(BR$4="forecast",(AVERAGE(BF32:BQ32)),SUMIF('Dept. Cost Actuals'!$E$7:$E$176,"*Professional Fees*",'Dept. Cost Actuals'!BV$7:BV$176))</f>
        <v>2486.4153890945786</v>
      </c>
      <c r="BS32" s="668">
        <f>IF(BS$4="forecast",(AVERAGE(BG32:BR32)),SUMIF('Dept. Cost Actuals'!$E$7:$E$176,"*Professional Fees*",'Dept. Cost Actuals'!BW$7:BW$176))</f>
        <v>2486.3412306880186</v>
      </c>
      <c r="BT32" s="668">
        <f>IF(BT$4="forecast",(AVERAGE(BH32:BS32)),SUMIF('Dept. Cost Actuals'!$E$7:$E$176,"*Professional Fees*",'Dept. Cost Actuals'!BX$7:BX$176))</f>
        <v>2486.2357837875097</v>
      </c>
      <c r="BU32" s="668">
        <f>IF(BU$4="forecast",(AVERAGE(BI32:BT32)),SUMIF('Dept. Cost Actuals'!$E$7:$E$176,"*Professional Fees*",'Dept. Cost Actuals'!BY$7:BY$176))</f>
        <v>2486.1397209817806</v>
      </c>
      <c r="BV32" s="790">
        <f>IF(BV$4="forecast",(AVERAGE(BJ32:BU32)),SUMIF('Dept. Cost Actuals'!$E$7:$E$176,"*Professional Fees*",'Dept. Cost Actuals'!BZ$7:BZ$176))</f>
        <v>2486.0875115030512</v>
      </c>
    </row>
    <row r="33" spans="2:74" x14ac:dyDescent="0.25">
      <c r="B33" s="794" t="s">
        <v>919</v>
      </c>
      <c r="C33" s="668">
        <f>IF(C$4="forecast",AVERAGE(#REF!),SUMIF('Dept. Cost Actuals'!$E$7:$E$176,"*Conferences*",'Dept. Cost Actuals'!G$7:G$176))</f>
        <v>0</v>
      </c>
      <c r="D33" s="668">
        <f>IF(D$4="forecast",AVERAGE(#REF!),SUMIF('Dept. Cost Actuals'!$E$7:$E$176,"*Conferences*",'Dept. Cost Actuals'!H$7:H$176))</f>
        <v>0</v>
      </c>
      <c r="E33" s="668">
        <f>IF(E$4="forecast",AVERAGE(#REF!),SUMIF('Dept. Cost Actuals'!$E$7:$E$176,"*Conferences*",'Dept. Cost Actuals'!I$7:I$176))</f>
        <v>0</v>
      </c>
      <c r="F33" s="668">
        <f>IF(F$4="forecast",AVERAGE(#REF!),SUMIF('Dept. Cost Actuals'!$E$7:$E$176,"*Conferences*",'Dept. Cost Actuals'!J$7:J$176))</f>
        <v>0</v>
      </c>
      <c r="G33" s="668">
        <f>IF(G$4="forecast",AVERAGE(#REF!),SUMIF('Dept. Cost Actuals'!$E$7:$E$176,"*Conferences*",'Dept. Cost Actuals'!K$7:K$176))</f>
        <v>0</v>
      </c>
      <c r="H33" s="668">
        <f>IF(H$4="forecast",AVERAGE(#REF!),SUMIF('Dept. Cost Actuals'!$E$7:$E$176,"*Conferences*",'Dept. Cost Actuals'!L$7:L$176))</f>
        <v>0</v>
      </c>
      <c r="I33" s="668">
        <f>IF(I$4="forecast",AVERAGE(#REF!),SUMIF('Dept. Cost Actuals'!$E$7:$E$176,"*Conferences*",'Dept. Cost Actuals'!M$7:M$176))</f>
        <v>106.70804903344191</v>
      </c>
      <c r="J33" s="668">
        <f>IF(J$4="forecast",AVERAGE(#REF!),SUMIF('Dept. Cost Actuals'!$E$7:$E$176,"*Conferences*",'Dept. Cost Actuals'!N$7:N$176))</f>
        <v>0</v>
      </c>
      <c r="K33" s="668">
        <f>IF(K$4="forecast",AVERAGE(#REF!),SUMIF('Dept. Cost Actuals'!$E$7:$E$176,"*Conferences*",'Dept. Cost Actuals'!O$7:O$176))</f>
        <v>70.456156962637479</v>
      </c>
      <c r="L33" s="668">
        <f>IF(L$4="forecast",AVERAGE(#REF!),SUMIF('Dept. Cost Actuals'!$E$7:$E$176,"*Conferences*",'Dept. Cost Actuals'!P$7:P$176))</f>
        <v>66.857330092227372</v>
      </c>
      <c r="M33" s="668">
        <f>IF(M$4="forecast",AVERAGE(A33:L33),SUMIF('Dept. Cost Actuals'!$E$7:$E$176,"*Conferences*",'Dept. Cost Actuals'!Q$7:Q$176))</f>
        <v>0</v>
      </c>
      <c r="N33" s="668">
        <f>IF(N$4="forecast",AVERAGE(B33:M33),SUMIF('Dept. Cost Actuals'!$E$7:$E$176,"*Conferences*",'Dept. Cost Actuals'!R$7:R$176))</f>
        <v>0</v>
      </c>
      <c r="O33" s="668">
        <f>IF(O$4="forecast",AVERAGE(C33:N33),SUMIF('Dept. Cost Actuals'!$E$7:$E$176,"*Conferences*",'Dept. Cost Actuals'!S$7:S$176))</f>
        <v>6</v>
      </c>
      <c r="P33" s="668">
        <f>IF(P$4="forecast",AVERAGE(D33:O33),SUMIF('Dept. Cost Actuals'!$E$7:$E$176,"*Conferences*",'Dept. Cost Actuals'!T$7:T$176))</f>
        <v>1100</v>
      </c>
      <c r="Q33" s="668">
        <f>IF(Q$4="forecast",AVERAGE(E33:P33),SUMIF('Dept. Cost Actuals'!$E$7:$E$176,"*Conferences*",'Dept. Cost Actuals'!U$7:U$176))</f>
        <v>0</v>
      </c>
      <c r="R33" s="668">
        <f>IF(R$4="forecast",AVERAGE(F33:Q33),SUMIF('Dept. Cost Actuals'!$E$7:$E$176,"*Conferences*",'Dept. Cost Actuals'!V$7:V$176))</f>
        <v>0</v>
      </c>
      <c r="S33" s="668">
        <f>IF(S$4="forecast",AVERAGE(G33:R33),SUMIF('Dept. Cost Actuals'!$E$7:$E$176,"*Conferences*",'Dept. Cost Actuals'!W$7:W$176))</f>
        <v>0</v>
      </c>
      <c r="T33" s="668">
        <f>IF(T$4="forecast",AVERAGE(H33:S33),SUMIF('Dept. Cost Actuals'!$E$7:$E$176,"*Conferences*",'Dept. Cost Actuals'!X$7:X$176))</f>
        <v>0</v>
      </c>
      <c r="U33" s="668">
        <f>IF(U$4="forecast",AVERAGE(I33:T33),SUMIF('Dept. Cost Actuals'!$E$7:$E$176,"*Conferences*",'Dept. Cost Actuals'!Y$7:Y$176))</f>
        <v>0</v>
      </c>
      <c r="V33" s="668">
        <f>IF(V$4="forecast",AVERAGE(J33:U33),SUMIF('Dept. Cost Actuals'!$E$7:$E$176,"*Conferences*",'Dept. Cost Actuals'!Z$7:Z$176))</f>
        <v>0</v>
      </c>
      <c r="W33" s="668">
        <f>IF(W$4="forecast",AVERAGE(K33:V33),SUMIF('Dept. Cost Actuals'!$E$7:$E$176,"*Conferences*",'Dept. Cost Actuals'!AA$7:AA$176))</f>
        <v>483.21999999999997</v>
      </c>
      <c r="X33" s="668">
        <f>IF(X$4="forecast",AVERAGE(L33:W33),SUMIF('Dept. Cost Actuals'!$E$7:$E$176,"*Conferences*",'Dept. Cost Actuals'!AB$7:AB$176))</f>
        <v>350</v>
      </c>
      <c r="Y33" s="668">
        <f>IF(Y$4="forecast",AVERAGE(M33:X33),SUMIF('Dept. Cost Actuals'!$E$7:$E$176,"*Conferences*",'Dept. Cost Actuals'!AC$7:AC$176))</f>
        <v>1419.57</v>
      </c>
      <c r="Z33" s="668">
        <f>IF(Z$4="forecast",AVERAGE(N33:Y33),SUMIF('Dept. Cost Actuals'!$E$7:$E$176,"*Conferences*",'Dept. Cost Actuals'!AD$7:AD$176))</f>
        <v>0</v>
      </c>
      <c r="AA33" s="668">
        <f>IF(AA$4="forecast",AVERAGE(O33:Z33),SUMIF('Dept. Cost Actuals'!$E$7:$E$176,"*Conferences*",'Dept. Cost Actuals'!AE$7:AE$176))</f>
        <v>0</v>
      </c>
      <c r="AB33" s="668">
        <f>IF(AB$4="forecast",AVERAGE(P33:AA33),SUMIF('Dept. Cost Actuals'!$E$7:$E$176,"*Conferences*",'Dept. Cost Actuals'!AF$7:AF$176))</f>
        <v>0</v>
      </c>
      <c r="AC33" s="668">
        <f>IF(AC$4="forecast",AVERAGE(Q33:AB33),SUMIF('Dept. Cost Actuals'!$E$7:$E$176,"*Conferences*",'Dept. Cost Actuals'!AG$7:AG$176))</f>
        <v>4238.8900000000003</v>
      </c>
      <c r="AD33" s="668">
        <f>IF(AD$4="forecast",AVERAGE(R33:AC33),SUMIF('Dept. Cost Actuals'!$E$7:$E$176,"*Conferences*",'Dept. Cost Actuals'!AH$7:AH$176))</f>
        <v>540.97333333333336</v>
      </c>
      <c r="AE33" s="668">
        <f>IF(AE$4="forecast",AVERAGE(S33:AD33),SUMIF('Dept. Cost Actuals'!$E$7:$E$176,"*Conferences*",'Dept. Cost Actuals'!AI$7:AI$176))</f>
        <v>586.05444444444447</v>
      </c>
      <c r="AF33" s="668">
        <f>IF(AF$4="forecast",AVERAGE(T33:AE33),SUMIF('Dept. Cost Actuals'!$E$7:$E$176,"*Conferences*",'Dept. Cost Actuals'!AJ$7:AJ$176))</f>
        <v>634.89231481481477</v>
      </c>
      <c r="AG33" s="668">
        <f>IF(AG$4="forecast",AVERAGE(U33:AF33),SUMIF('Dept. Cost Actuals'!$E$7:$E$176,"*Conferences*",'Dept. Cost Actuals'!AK$7:AK$176))</f>
        <v>687.80000771604944</v>
      </c>
      <c r="AH33" s="668">
        <f>IF(AH$4="forecast",AVERAGE(V33:AG33),SUMIF('Dept. Cost Actuals'!$E$7:$E$176,"*Conferences*",'Dept. Cost Actuals'!AL$7:AL$176))</f>
        <v>745.11667502572016</v>
      </c>
      <c r="AI33" s="668">
        <f>IF(AI$4="forecast",AVERAGE(W33:AH33),SUMIF('Dept. Cost Actuals'!$E$7:$E$176,"*Conferences*",'Dept. Cost Actuals'!AM$7:AM$176))</f>
        <v>807.2097312778634</v>
      </c>
      <c r="AJ33" s="668">
        <f>IF(AJ$4="forecast",AVERAGE(X33:AI33),SUMIF('Dept. Cost Actuals'!$E$7:$E$176,"*Conferences*",'Dept. Cost Actuals'!AN$7:AN$176))</f>
        <v>834.20887555101888</v>
      </c>
      <c r="AK33" s="668">
        <f>IF(AK$4="forecast",AVERAGE(Y33:AJ33),SUMIF('Dept. Cost Actuals'!$E$7:$E$176,"*Conferences*",'Dept. Cost Actuals'!AO$7:AO$176))</f>
        <v>874.55961518027061</v>
      </c>
      <c r="AL33" s="668">
        <f>IF(AL$4="forecast",AVERAGE(Z33:AK33),SUMIF('Dept. Cost Actuals'!$E$7:$E$176,"*Conferences*",'Dept. Cost Actuals'!AP$7:AP$176))</f>
        <v>829.14208311195978</v>
      </c>
      <c r="AM33" s="668">
        <f>IF(AM$4="forecast",AVERAGE(AA33:AL33),SUMIF('Dept. Cost Actuals'!$E$7:$E$176,"*Conferences*",'Dept. Cost Actuals'!AQ$7:AQ$176))</f>
        <v>898.23725670462306</v>
      </c>
      <c r="AN33" s="668">
        <f>IF(AN$4="forecast",AVERAGE(AB33:AM33),SUMIF('Dept. Cost Actuals'!$E$7:$E$176,"*Conferences*",'Dept. Cost Actuals'!AR$7:AR$176))</f>
        <v>973.09036143000822</v>
      </c>
      <c r="AO33" s="668">
        <f>IF(AO$4="forecast",AVERAGE(AC33:AN33),SUMIF('Dept. Cost Actuals'!$E$7:$E$176,"*Conferences*",'Dept. Cost Actuals'!AS$7:AS$176))</f>
        <v>1054.1812248825088</v>
      </c>
      <c r="AP33" s="668">
        <f>IF(AP$4="forecast",AVERAGE(AD33:AO33),SUMIF('Dept. Cost Actuals'!$E$7:$E$176,"*Conferences*",'Dept. Cost Actuals'!AT$7:AT$176))</f>
        <v>788.78882695605125</v>
      </c>
      <c r="AQ33" s="668">
        <f>IF(AQ$4="forecast",AVERAGE(AE33:AP33),SUMIF('Dept. Cost Actuals'!$E$7:$E$176,"*Conferences*",'Dept. Cost Actuals'!AU$7:AU$176))</f>
        <v>809.44011809127778</v>
      </c>
      <c r="AR33" s="668">
        <f>IF(AR$4="forecast",AVERAGE(AF33:AQ33),SUMIF('Dept. Cost Actuals'!$E$7:$E$176,"*Conferences*",'Dept. Cost Actuals'!AV$7:AV$176))</f>
        <v>828.05559089518044</v>
      </c>
      <c r="AS33" s="668">
        <f>IF(AS$4="forecast",AVERAGE(AG33:AR33),SUMIF('Dept. Cost Actuals'!$E$7:$E$176,"*Conferences*",'Dept. Cost Actuals'!AW$7:AW$176))</f>
        <v>844.15253056854442</v>
      </c>
      <c r="AT33" s="668">
        <f>IF(AT$4="forecast",AVERAGE(AH33:AS33),SUMIF('Dept. Cost Actuals'!$E$7:$E$176,"*Conferences*",'Dept. Cost Actuals'!AX$7:AX$176))</f>
        <v>857.18190747291885</v>
      </c>
      <c r="AU33" s="668">
        <f>IF(AU$4="forecast",AVERAGE(AI33:AT33),SUMIF('Dept. Cost Actuals'!$E$7:$E$176,"*Conferences*",'Dept. Cost Actuals'!AY$7:AY$176))</f>
        <v>866.5206768435188</v>
      </c>
      <c r="AV33" s="668">
        <f>IF(AV$4="forecast",AVERAGE(AJ33:AU33),SUMIF('Dept. Cost Actuals'!$E$7:$E$176,"*Conferences*",'Dept. Cost Actuals'!AZ$7:AZ$176))</f>
        <v>871.46325564065671</v>
      </c>
      <c r="AW33" s="668">
        <f>IF(AW$4="forecast",AVERAGE(AK33:AV33),SUMIF('Dept. Cost Actuals'!$E$7:$E$176,"*Conferences*",'Dept. Cost Actuals'!BA$7:BA$176))</f>
        <v>874.56778731479301</v>
      </c>
      <c r="AX33" s="668">
        <f>IF(AX$4="forecast",AVERAGE(AL33:AW33),SUMIF('Dept. Cost Actuals'!$E$7:$E$176,"*Conferences*",'Dept. Cost Actuals'!BB$7:BB$176))</f>
        <v>874.56846832600331</v>
      </c>
      <c r="AY33" s="668">
        <f>IF(AY$4="forecast",AVERAGE(AM33:AX33),SUMIF('Dept. Cost Actuals'!$E$7:$E$176,"*Conferences*",'Dept. Cost Actuals'!BC$7:BC$176))</f>
        <v>878.35400042717356</v>
      </c>
      <c r="AZ33" s="668">
        <f>IF(AZ$4="forecast",AVERAGE(AN33:AY33),SUMIF('Dept. Cost Actuals'!$E$7:$E$176,"*Conferences*",'Dept. Cost Actuals'!BD$7:BD$176))</f>
        <v>876.69706240405321</v>
      </c>
      <c r="BA33" s="668">
        <f>IF(BA$4="forecast",AVERAGE(AO33:AZ33),SUMIF('Dept. Cost Actuals'!$E$7:$E$176,"*Conferences*",'Dept. Cost Actuals'!BE$7:BE$176))</f>
        <v>868.66428748522333</v>
      </c>
      <c r="BB33" s="668">
        <f>IF(BB$4="forecast",AVERAGE(AP33:BA33),SUMIF('Dept. Cost Actuals'!$E$7:$E$176,"*Conferences*",'Dept. Cost Actuals'!BF$7:BF$176))</f>
        <v>853.20454270211633</v>
      </c>
      <c r="BC33" s="668">
        <f>IF(BC$4="forecast",AVERAGE(AQ33:BB33),SUMIF('Dept. Cost Actuals'!$E$7:$E$176,"*Conferences*",'Dept. Cost Actuals'!BG$7:BG$176))</f>
        <v>858.57251901428845</v>
      </c>
      <c r="BD33" s="668">
        <f>IF(BD$4="forecast",AVERAGE(AR33:BC33),SUMIF('Dept. Cost Actuals'!$E$7:$E$176,"*Conferences*",'Dept. Cost Actuals'!BH$7:BH$176))</f>
        <v>862.66688575787248</v>
      </c>
      <c r="BE33" s="668">
        <f>IF(BE$4="forecast",AVERAGE(AS33:BD33),SUMIF('Dept. Cost Actuals'!$E$7:$E$176,"*Conferences*",'Dept. Cost Actuals'!BI$7:BI$176))</f>
        <v>865.55116032976366</v>
      </c>
      <c r="BF33" s="668">
        <f>IF(BF$4="forecast",AVERAGE(AT33:BE33),SUMIF('Dept. Cost Actuals'!$E$7:$E$176,"*Conferences*",'Dept. Cost Actuals'!BJ$7:BJ$176))</f>
        <v>867.33437947653181</v>
      </c>
      <c r="BG33" s="668">
        <f>IF(BG$4="forecast",AVERAGE(AU33:BF33),SUMIF('Dept. Cost Actuals'!$E$7:$E$176,"*Conferences*",'Dept. Cost Actuals'!BK$7:BK$176))</f>
        <v>868.18041881016632</v>
      </c>
      <c r="BH33" s="668">
        <f>IF(BH$4="forecast",AVERAGE(AV33:BG33),SUMIF('Dept. Cost Actuals'!$E$7:$E$176,"*Conferences*",'Dept. Cost Actuals'!BL$7:BL$176))</f>
        <v>868.31873064072022</v>
      </c>
      <c r="BI33" s="668">
        <f>IF(BI$4="forecast",AVERAGE(AW33:BH33),SUMIF('Dept. Cost Actuals'!$E$7:$E$176,"*Conferences*",'Dept. Cost Actuals'!BM$7:BM$176))</f>
        <v>868.05668689072547</v>
      </c>
      <c r="BJ33" s="668">
        <f>IF(BJ$4="forecast",AVERAGE(AX33:BI33),SUMIF('Dept. Cost Actuals'!$E$7:$E$176,"*Conferences*",'Dept. Cost Actuals'!BN$7:BN$176))</f>
        <v>867.51409518871981</v>
      </c>
      <c r="BK33" s="668">
        <f>IF(BK$4="forecast",AVERAGE(AY33:BJ33),SUMIF('Dept. Cost Actuals'!$E$7:$E$176,"*Conferences*",'Dept. Cost Actuals'!BO$7:BO$176))</f>
        <v>866.92623076061284</v>
      </c>
      <c r="BL33" s="668">
        <f>IF(BL$4="forecast",AVERAGE(AZ33:BK33),SUMIF('Dept. Cost Actuals'!$E$7:$E$176,"*Conferences*",'Dept. Cost Actuals'!BP$7:BP$176))</f>
        <v>865.97391662173277</v>
      </c>
      <c r="BM33" s="668">
        <f>IF(BM$4="forecast",AVERAGE(BA33:BL33),SUMIF('Dept. Cost Actuals'!$E$7:$E$176,"*Conferences*",'Dept. Cost Actuals'!BQ$7:BQ$176))</f>
        <v>865.08032113987281</v>
      </c>
      <c r="BN33" s="668">
        <f>IF(BN$4="forecast",AVERAGE(BB33:BM33),SUMIF('Dept. Cost Actuals'!$E$7:$E$176,"*Conferences*",'Dept. Cost Actuals'!BR$7:BR$176))</f>
        <v>864.78165727776013</v>
      </c>
      <c r="BO33" s="668">
        <f>IF(BO$4="forecast",AVERAGE(BC33:BN33),SUMIF('Dept. Cost Actuals'!$E$7:$E$176,"*Conferences*",'Dept. Cost Actuals'!BS$7:BS$176))</f>
        <v>865.74641682573053</v>
      </c>
      <c r="BP33" s="668">
        <f>IF(BP$4="forecast",AVERAGE(BD33:BO33),SUMIF('Dept. Cost Actuals'!$E$7:$E$176,"*Conferences*",'Dept. Cost Actuals'!BT$7:BT$176))</f>
        <v>866.34424164335076</v>
      </c>
      <c r="BQ33" s="668">
        <f>IF(BQ$4="forecast",AVERAGE(BE33:BP33),SUMIF('Dept. Cost Actuals'!$E$7:$E$176,"*Conferences*",'Dept. Cost Actuals'!BU$7:BU$176))</f>
        <v>866.65068796714047</v>
      </c>
      <c r="BR33" s="668">
        <f>IF(BR$4="forecast",AVERAGE(BF33:BQ33),SUMIF('Dept. Cost Actuals'!$E$7:$E$176,"*Conferences*",'Dept. Cost Actuals'!BV$7:BV$176))</f>
        <v>866.74231527025529</v>
      </c>
      <c r="BS33" s="668">
        <f>IF(BS$4="forecast",AVERAGE(BG33:BR33),SUMIF('Dept. Cost Actuals'!$E$7:$E$176,"*Conferences*",'Dept. Cost Actuals'!BW$7:BW$176))</f>
        <v>866.69297658639891</v>
      </c>
      <c r="BT33" s="668">
        <f>IF(BT$4="forecast",AVERAGE(BH33:BS33),SUMIF('Dept. Cost Actuals'!$E$7:$E$176,"*Conferences*",'Dept. Cost Actuals'!BX$7:BX$176))</f>
        <v>866.56902306775157</v>
      </c>
      <c r="BU33" s="668">
        <f>IF(BU$4="forecast",AVERAGE(BI33:BT33),SUMIF('Dept. Cost Actuals'!$E$7:$E$176,"*Conferences*",'Dept. Cost Actuals'!BY$7:BY$176))</f>
        <v>866.42321410333761</v>
      </c>
      <c r="BV33" s="790">
        <f>IF(BV$4="forecast",AVERAGE(BJ33:BU33),SUMIF('Dept. Cost Actuals'!$E$7:$E$176,"*Conferences*",'Dept. Cost Actuals'!BZ$7:BZ$176))</f>
        <v>866.28709137105534</v>
      </c>
    </row>
    <row r="34" spans="2:74" x14ac:dyDescent="0.25">
      <c r="B34" s="794" t="s">
        <v>940</v>
      </c>
      <c r="C34" s="668">
        <f>IF(C$4="forecast",AVERAGE(#REF!),SUMIF('Dept. Cost Actuals'!$E$7:$E$176,"*Books and periodicals*",'Dept. Cost Actuals'!G$7:G$176))</f>
        <v>0</v>
      </c>
      <c r="D34" s="668">
        <f>IF(D$4="forecast",AVERAGE(#REF!),SUMIF('Dept. Cost Actuals'!$E$7:$E$176,"*Books and periodicals*",'Dept. Cost Actuals'!H$7:H$176))</f>
        <v>9.7929857150480295</v>
      </c>
      <c r="E34" s="668">
        <f>IF(E$4="forecast",AVERAGE(#REF!),SUMIF('Dept. Cost Actuals'!$E$7:$E$176,"*Books and periodicals*",'Dept. Cost Actuals'!I$7:I$176))</f>
        <v>1.7454906395659229</v>
      </c>
      <c r="F34" s="668">
        <f>IF(F$4="forecast",AVERAGE(#REF!),SUMIF('Dept. Cost Actuals'!$E$7:$E$176,"*Books and periodicals*",'Dept. Cost Actuals'!J$7:J$176))</f>
        <v>18.295311561550317</v>
      </c>
      <c r="G34" s="668">
        <f>IF(G$4="forecast",AVERAGE(#REF!),SUMIF('Dept. Cost Actuals'!$E$7:$E$176,"*Books and periodicals*",'Dept. Cost Actuals'!K$7:K$176))</f>
        <v>4.3231555687064498</v>
      </c>
      <c r="H34" s="668">
        <f>IF(H$4="forecast",AVERAGE(#REF!),SUMIF('Dept. Cost Actuals'!$E$7:$E$176,"*Books and periodicals*",'Dept. Cost Actuals'!L$7:L$176))</f>
        <v>37.247563282693058</v>
      </c>
      <c r="I34" s="668">
        <f>IF(I$4="forecast",AVERAGE(#REF!),SUMIF('Dept. Cost Actuals'!$E$7:$E$176,"*Books and periodicals*",'Dept. Cost Actuals'!M$7:M$176))</f>
        <v>1.1544060995650631</v>
      </c>
      <c r="J34" s="668">
        <f>IF(J$4="forecast",AVERAGE(#REF!),SUMIF('Dept. Cost Actuals'!$E$7:$E$176,"*Books and periodicals*",'Dept. Cost Actuals'!N$7:N$176))</f>
        <v>11.483838821716224</v>
      </c>
      <c r="K34" s="668">
        <f>IF(K$4="forecast",AVERAGE(#REF!),SUMIF('Dept. Cost Actuals'!$E$7:$E$176,"*Books and periodicals*",'Dept. Cost Actuals'!O$7:O$176))</f>
        <v>10.214381355658368</v>
      </c>
      <c r="L34" s="668">
        <f>IF(L$4="forecast",AVERAGE(#REF!),SUMIF('Dept. Cost Actuals'!$E$7:$E$176,"*Books and periodicals*",'Dept. Cost Actuals'!P$7:P$176))</f>
        <v>49.243275761854989</v>
      </c>
      <c r="M34" s="668">
        <f>IF(M$4="forecast",AVERAGE(A34:L34),SUMIF('Dept. Cost Actuals'!$E$7:$E$176,"*Books and periodicals*",'Dept. Cost Actuals'!Q$7:Q$176))</f>
        <v>0</v>
      </c>
      <c r="N34" s="668">
        <f>IF(N$4="forecast",AVERAGE(B34:M34),SUMIF('Dept. Cost Actuals'!$E$7:$E$176,"*Books and periodicals*",'Dept. Cost Actuals'!R$7:R$176))</f>
        <v>0</v>
      </c>
      <c r="O34" s="668">
        <f>IF(O$4="forecast",AVERAGE(C34:N34),SUMIF('Dept. Cost Actuals'!$E$7:$E$176,"*Books and periodicals*",'Dept. Cost Actuals'!S$7:S$176))</f>
        <v>333.41</v>
      </c>
      <c r="P34" s="668">
        <f>IF(P$4="forecast",AVERAGE(D34:O34),SUMIF('Dept. Cost Actuals'!$E$7:$E$176,"*Books and periodicals*",'Dept. Cost Actuals'!T$7:T$176))</f>
        <v>0</v>
      </c>
      <c r="Q34" s="668">
        <f>IF(Q$4="forecast",AVERAGE(E34:P34),SUMIF('Dept. Cost Actuals'!$E$7:$E$176,"*Books and periodicals*",'Dept. Cost Actuals'!U$7:U$176))</f>
        <v>213.05</v>
      </c>
      <c r="R34" s="668">
        <f>IF(R$4="forecast",AVERAGE(F34:Q34),SUMIF('Dept. Cost Actuals'!$E$7:$E$176,"*Books and periodicals*",'Dept. Cost Actuals'!V$7:V$176))</f>
        <v>106.68</v>
      </c>
      <c r="S34" s="668">
        <f>IF(S$4="forecast",AVERAGE(G34:R34),SUMIF('Dept. Cost Actuals'!$E$7:$E$176,"*Books and periodicals*",'Dept. Cost Actuals'!W$7:W$176))</f>
        <v>219.83</v>
      </c>
      <c r="T34" s="668">
        <f>IF(T$4="forecast",AVERAGE(H34:S34),SUMIF('Dept. Cost Actuals'!$E$7:$E$176,"*Books and periodicals*",'Dept. Cost Actuals'!X$7:X$176))</f>
        <v>322.18</v>
      </c>
      <c r="U34" s="668">
        <f>IF(U$4="forecast",AVERAGE(I34:T34),SUMIF('Dept. Cost Actuals'!$E$7:$E$176,"*Books and periodicals*",'Dept. Cost Actuals'!Y$7:Y$176))</f>
        <v>45.9</v>
      </c>
      <c r="V34" s="668">
        <f>IF(V$4="forecast",AVERAGE(J34:U34),SUMIF('Dept. Cost Actuals'!$E$7:$E$176,"*Books and periodicals*",'Dept. Cost Actuals'!Z$7:Z$176))</f>
        <v>253.33</v>
      </c>
      <c r="W34" s="668">
        <f>IF(W$4="forecast",AVERAGE(K34:V34),SUMIF('Dept. Cost Actuals'!$E$7:$E$176,"*Books and periodicals*",'Dept. Cost Actuals'!AA$7:AA$176))</f>
        <v>13.51</v>
      </c>
      <c r="X34" s="668">
        <f>IF(X$4="forecast",AVERAGE(L34:W34),SUMIF('Dept. Cost Actuals'!$E$7:$E$176,"*Books and periodicals*",'Dept. Cost Actuals'!AB$7:AB$176))</f>
        <v>8</v>
      </c>
      <c r="Y34" s="668">
        <f>IF(Y$4="forecast",AVERAGE(M34:X34),SUMIF('Dept. Cost Actuals'!$E$7:$E$176,"*Books and periodicals*",'Dept. Cost Actuals'!AC$7:AC$176))</f>
        <v>417.03</v>
      </c>
      <c r="Z34" s="668">
        <f>IF(Z$4="forecast",AVERAGE(N34:Y34),SUMIF('Dept. Cost Actuals'!$E$7:$E$176,"*Books and periodicals*",'Dept. Cost Actuals'!AD$7:AD$176))</f>
        <v>88.81</v>
      </c>
      <c r="AA34" s="668">
        <f>IF(AA$4="forecast",AVERAGE(O34:Z34),SUMIF('Dept. Cost Actuals'!$E$7:$E$176,"*Books and periodicals*",'Dept. Cost Actuals'!AE$7:AE$176))</f>
        <v>40.229999999999997</v>
      </c>
      <c r="AB34" s="668">
        <f>IF(AB$4="forecast",AVERAGE(P34:AA34),SUMIF('Dept. Cost Actuals'!$E$7:$E$176,"*Books and periodicals*",'Dept. Cost Actuals'!AF$7:AF$176))</f>
        <v>0</v>
      </c>
      <c r="AC34" s="668">
        <f>IF(AC$4="forecast",AVERAGE(Q34:AB34),SUMIF('Dept. Cost Actuals'!$E$7:$E$176,"*Books and periodicals*",'Dept. Cost Actuals'!AG$7:AG$176))</f>
        <v>51.67</v>
      </c>
      <c r="AD34" s="668">
        <f>IF(AD$4="forecast",AVERAGE(R34:AC34),SUMIF('Dept. Cost Actuals'!$E$7:$E$176,"*Books and periodicals*",'Dept. Cost Actuals'!AH$7:AH$176))</f>
        <v>130.5975</v>
      </c>
      <c r="AE34" s="668">
        <f>IF(AE$4="forecast",AVERAGE(S34:AD34),SUMIF('Dept. Cost Actuals'!$E$7:$E$176,"*Books and periodicals*",'Dept. Cost Actuals'!AI$7:AI$176))</f>
        <v>132.59062500000002</v>
      </c>
      <c r="AF34" s="668">
        <f>IF(AF$4="forecast",AVERAGE(T34:AE34),SUMIF('Dept. Cost Actuals'!$E$7:$E$176,"*Books and periodicals*",'Dept. Cost Actuals'!AJ$7:AJ$176))</f>
        <v>125.32067708333334</v>
      </c>
      <c r="AG34" s="668">
        <f>IF(AG$4="forecast",AVERAGE(U34:AF34),SUMIF('Dept. Cost Actuals'!$E$7:$E$176,"*Books and periodicals*",'Dept. Cost Actuals'!AK$7:AK$176))</f>
        <v>108.91573350694443</v>
      </c>
      <c r="AH34" s="668">
        <f>IF(AH$4="forecast",AVERAGE(V34:AG34),SUMIF('Dept. Cost Actuals'!$E$7:$E$176,"*Books and periodicals*",'Dept. Cost Actuals'!AL$7:AL$176))</f>
        <v>114.16704463252314</v>
      </c>
      <c r="AI34" s="668">
        <f>IF(AI$4="forecast",AVERAGE(W34:AH34),SUMIF('Dept. Cost Actuals'!$E$7:$E$176,"*Books and periodicals*",'Dept. Cost Actuals'!AM$7:AM$176))</f>
        <v>102.57013168523339</v>
      </c>
      <c r="AJ34" s="668">
        <f>IF(AJ$4="forecast",AVERAGE(X34:AI34),SUMIF('Dept. Cost Actuals'!$E$7:$E$176,"*Books and periodicals*",'Dept. Cost Actuals'!AN$7:AN$176))</f>
        <v>109.99180932566952</v>
      </c>
      <c r="AK34" s="668">
        <f>IF(AK$4="forecast",AVERAGE(Y34:AJ34),SUMIF('Dept. Cost Actuals'!$E$7:$E$176,"*Books and periodicals*",'Dept. Cost Actuals'!AO$7:AO$176))</f>
        <v>118.49112676947531</v>
      </c>
      <c r="AL34" s="668">
        <f>IF(AL$4="forecast",AVERAGE(Z34:AK34),SUMIF('Dept. Cost Actuals'!$E$7:$E$176,"*Books and periodicals*",'Dept. Cost Actuals'!AP$7:AP$176))</f>
        <v>93.612887333598266</v>
      </c>
      <c r="AM34" s="668">
        <f>IF(AM$4="forecast",AVERAGE(AA34:AL34),SUMIF('Dept. Cost Actuals'!$E$7:$E$176,"*Books and periodicals*",'Dept. Cost Actuals'!AQ$7:AQ$176))</f>
        <v>94.013127944731465</v>
      </c>
      <c r="AN34" s="668">
        <f>IF(AN$4="forecast",AVERAGE(AB34:AM34),SUMIF('Dept. Cost Actuals'!$E$7:$E$176,"*Books and periodicals*",'Dept. Cost Actuals'!AR$7:AR$176))</f>
        <v>98.495055273459059</v>
      </c>
      <c r="AO34" s="668">
        <f>IF(AO$4="forecast",AVERAGE(AC34:AN34),SUMIF('Dept. Cost Actuals'!$E$7:$E$176,"*Books and periodicals*",'Dept. Cost Actuals'!AS$7:AS$176))</f>
        <v>106.70297654624731</v>
      </c>
      <c r="AP34" s="668">
        <f>IF(AP$4="forecast",AVERAGE(AD34:AO34),SUMIF('Dept. Cost Actuals'!$E$7:$E$176,"*Books and periodicals*",'Dept. Cost Actuals'!AT$7:AT$176))</f>
        <v>111.28905792510126</v>
      </c>
      <c r="AQ34" s="668">
        <f>IF(AQ$4="forecast",AVERAGE(AE34:AP34),SUMIF('Dept. Cost Actuals'!$E$7:$E$176,"*Books and periodicals*",'Dept. Cost Actuals'!AU$7:AU$176))</f>
        <v>109.68002108552638</v>
      </c>
      <c r="AR34" s="668">
        <f>IF(AR$4="forecast",AVERAGE(AF34:AQ34),SUMIF('Dept. Cost Actuals'!$E$7:$E$176,"*Books and periodicals*",'Dept. Cost Actuals'!AV$7:AV$176))</f>
        <v>107.77080409265356</v>
      </c>
      <c r="AS34" s="668">
        <f>IF(AS$4="forecast",AVERAGE(AG34:AR34),SUMIF('Dept. Cost Actuals'!$E$7:$E$176,"*Books and periodicals*",'Dept. Cost Actuals'!AW$7:AW$176))</f>
        <v>106.30831467676359</v>
      </c>
      <c r="AT34" s="668">
        <f>IF(AT$4="forecast",AVERAGE(AH34:AS34),SUMIF('Dept. Cost Actuals'!$E$7:$E$176,"*Books and periodicals*",'Dept. Cost Actuals'!AX$7:AX$176))</f>
        <v>106.09102977424853</v>
      </c>
      <c r="AU34" s="668">
        <f>IF(AU$4="forecast",AVERAGE(AI34:AT34),SUMIF('Dept. Cost Actuals'!$E$7:$E$176,"*Books and periodicals*",'Dept. Cost Actuals'!AY$7:AY$176))</f>
        <v>105.41802853605897</v>
      </c>
      <c r="AV34" s="668">
        <f>IF(AV$4="forecast",AVERAGE(AJ34:AU34),SUMIF('Dept. Cost Actuals'!$E$7:$E$176,"*Books and periodicals*",'Dept. Cost Actuals'!AZ$7:AZ$176))</f>
        <v>105.65535327362777</v>
      </c>
      <c r="AW34" s="668">
        <f>IF(AW$4="forecast",AVERAGE(AK34:AV34),SUMIF('Dept. Cost Actuals'!$E$7:$E$176,"*Books and periodicals*",'Dept. Cost Actuals'!BA$7:BA$176))</f>
        <v>105.29398193595762</v>
      </c>
      <c r="AX34" s="668">
        <f>IF(AX$4="forecast",AVERAGE(AL34:AW34),SUMIF('Dept. Cost Actuals'!$E$7:$E$176,"*Books and periodicals*",'Dept. Cost Actuals'!BB$7:BB$176))</f>
        <v>104.19421986649782</v>
      </c>
      <c r="AY34" s="668">
        <f>IF(AY$4="forecast",AVERAGE(AM34:AX34),SUMIF('Dept. Cost Actuals'!$E$7:$E$176,"*Books and periodicals*",'Dept. Cost Actuals'!BC$7:BC$176))</f>
        <v>105.07599757757278</v>
      </c>
      <c r="AZ34" s="668">
        <f>IF(AZ$4="forecast",AVERAGE(AN34:AY34),SUMIF('Dept. Cost Actuals'!$E$7:$E$176,"*Books and periodicals*",'Dept. Cost Actuals'!BD$7:BD$176))</f>
        <v>105.99790338030955</v>
      </c>
      <c r="BA34" s="668">
        <f>IF(BA$4="forecast",AVERAGE(AO34:AZ34),SUMIF('Dept. Cost Actuals'!$E$7:$E$176,"*Books and periodicals*",'Dept. Cost Actuals'!BE$7:BE$176))</f>
        <v>106.62314072254708</v>
      </c>
      <c r="BB34" s="668">
        <f>IF(BB$4="forecast",AVERAGE(AP34:BA34),SUMIF('Dept. Cost Actuals'!$E$7:$E$176,"*Books and periodicals*",'Dept. Cost Actuals'!BF$7:BF$176))</f>
        <v>106.61648773723874</v>
      </c>
      <c r="BC34" s="668">
        <f>IF(BC$4="forecast",AVERAGE(AQ34:BB34),SUMIF('Dept. Cost Actuals'!$E$7:$E$176,"*Books and periodicals*",'Dept. Cost Actuals'!BG$7:BG$176))</f>
        <v>106.2271068882502</v>
      </c>
      <c r="BD34" s="668">
        <f>IF(BD$4="forecast",AVERAGE(AR34:BC34),SUMIF('Dept. Cost Actuals'!$E$7:$E$176,"*Books and periodicals*",'Dept. Cost Actuals'!BH$7:BH$176))</f>
        <v>105.93936403847719</v>
      </c>
      <c r="BE34" s="668">
        <f>IF(BE$4="forecast",AVERAGE(AS34:BD34),SUMIF('Dept. Cost Actuals'!$E$7:$E$176,"*Books and periodicals*",'Dept. Cost Actuals'!BI$7:BI$176))</f>
        <v>105.78674403396248</v>
      </c>
      <c r="BF34" s="668">
        <f>IF(BF$4="forecast",AVERAGE(AT34:BE34),SUMIF('Dept. Cost Actuals'!$E$7:$E$176,"*Books and periodicals*",'Dept. Cost Actuals'!BJ$7:BJ$176))</f>
        <v>105.74327981372907</v>
      </c>
      <c r="BG34" s="668">
        <f>IF(BG$4="forecast",AVERAGE(AU34:BF34),SUMIF('Dept. Cost Actuals'!$E$7:$E$176,"*Books and periodicals*",'Dept. Cost Actuals'!BK$7:BK$176))</f>
        <v>105.71430065035246</v>
      </c>
      <c r="BH34" s="668">
        <f>IF(BH$4="forecast",AVERAGE(AV34:BG34),SUMIF('Dept. Cost Actuals'!$E$7:$E$176,"*Books and periodicals*",'Dept. Cost Actuals'!BL$7:BL$176))</f>
        <v>105.73898999321023</v>
      </c>
      <c r="BI34" s="668">
        <f>IF(BI$4="forecast",AVERAGE(AW34:BH34),SUMIF('Dept. Cost Actuals'!$E$7:$E$176,"*Books and periodicals*",'Dept. Cost Actuals'!BM$7:BM$176))</f>
        <v>105.74595971984208</v>
      </c>
      <c r="BJ34" s="668">
        <f>IF(BJ$4="forecast",AVERAGE(AX34:BI34),SUMIF('Dept. Cost Actuals'!$E$7:$E$176,"*Books and periodicals*",'Dept. Cost Actuals'!BN$7:BN$176))</f>
        <v>105.78362453516581</v>
      </c>
      <c r="BK34" s="668">
        <f>IF(BK$4="forecast",AVERAGE(AY34:BJ34),SUMIF('Dept. Cost Actuals'!$E$7:$E$176,"*Books and periodicals*",'Dept. Cost Actuals'!BO$7:BO$176))</f>
        <v>105.91607492422149</v>
      </c>
      <c r="BL34" s="668">
        <f>IF(BL$4="forecast",AVERAGE(AZ34:BK34),SUMIF('Dept. Cost Actuals'!$E$7:$E$176,"*Books and periodicals*",'Dept. Cost Actuals'!BP$7:BP$176))</f>
        <v>105.9860813697755</v>
      </c>
      <c r="BM34" s="668">
        <f>IF(BM$4="forecast",AVERAGE(BA34:BL34),SUMIF('Dept. Cost Actuals'!$E$7:$E$176,"*Books and periodicals*",'Dept. Cost Actuals'!BQ$7:BQ$176))</f>
        <v>105.98509620223103</v>
      </c>
      <c r="BN34" s="668">
        <f>IF(BN$4="forecast",AVERAGE(BB34:BM34),SUMIF('Dept. Cost Actuals'!$E$7:$E$176,"*Books and periodicals*",'Dept. Cost Actuals'!BR$7:BR$176))</f>
        <v>105.93192582553803</v>
      </c>
      <c r="BO34" s="668">
        <f>IF(BO$4="forecast",AVERAGE(BC34:BN34),SUMIF('Dept. Cost Actuals'!$E$7:$E$176,"*Books and periodicals*",'Dept. Cost Actuals'!BS$7:BS$176))</f>
        <v>105.87487899956295</v>
      </c>
      <c r="BP34" s="668">
        <f>IF(BP$4="forecast",AVERAGE(BD34:BO34),SUMIF('Dept. Cost Actuals'!$E$7:$E$176,"*Books and periodicals*",'Dept. Cost Actuals'!BT$7:BT$176))</f>
        <v>105.8455266755057</v>
      </c>
      <c r="BQ34" s="668">
        <f>IF(BQ$4="forecast",AVERAGE(BE34:BP34),SUMIF('Dept. Cost Actuals'!$E$7:$E$176,"*Books and periodicals*",'Dept. Cost Actuals'!BU$7:BU$176))</f>
        <v>105.83770689525807</v>
      </c>
      <c r="BR34" s="668">
        <f>IF(BR$4="forecast",AVERAGE(BF34:BQ34),SUMIF('Dept. Cost Actuals'!$E$7:$E$176,"*Books and periodicals*",'Dept. Cost Actuals'!BV$7:BV$176))</f>
        <v>105.84195380036601</v>
      </c>
      <c r="BS34" s="668">
        <f>IF(BS$4="forecast",AVERAGE(BG34:BR34),SUMIF('Dept. Cost Actuals'!$E$7:$E$176,"*Books and periodicals*",'Dept. Cost Actuals'!BW$7:BW$176))</f>
        <v>105.85017663258577</v>
      </c>
      <c r="BT34" s="668">
        <f>IF(BT$4="forecast",AVERAGE(BH34:BS34),SUMIF('Dept. Cost Actuals'!$E$7:$E$176,"*Books and periodicals*",'Dept. Cost Actuals'!BX$7:BX$176))</f>
        <v>105.86149963110522</v>
      </c>
      <c r="BU34" s="668">
        <f>IF(BU$4="forecast",AVERAGE(BI34:BT34),SUMIF('Dept. Cost Actuals'!$E$7:$E$176,"*Books and periodicals*",'Dept. Cost Actuals'!BY$7:BY$176))</f>
        <v>105.87170876759647</v>
      </c>
      <c r="BV34" s="790">
        <f>IF(BV$4="forecast",AVERAGE(BJ34:BU34),SUMIF('Dept. Cost Actuals'!$E$7:$E$176,"*Books and periodicals*",'Dept. Cost Actuals'!BZ$7:BZ$176))</f>
        <v>105.88218785490933</v>
      </c>
    </row>
    <row r="35" spans="2:74" x14ac:dyDescent="0.25">
      <c r="B35" s="794" t="s">
        <v>941</v>
      </c>
      <c r="C35" s="668">
        <f>IF(C$4="forecast",AVERAGE(#REF!),SUMIF('Dept. Cost Actuals'!$E$7:$E$176,"*Postage and Delivery*",'Dept. Cost Actuals'!G$7:G$176))</f>
        <v>5.8319454352606392</v>
      </c>
      <c r="D35" s="668">
        <f>IF(D$4="forecast",AVERAGE(#REF!),SUMIF('Dept. Cost Actuals'!$E$7:$E$176,"*Postage and Delivery*",'Dept. Cost Actuals'!H$7:H$176))</f>
        <v>14.71321177647747</v>
      </c>
      <c r="E35" s="668">
        <f>IF(E$4="forecast",AVERAGE(#REF!),SUMIF('Dept. Cost Actuals'!$E$7:$E$176,"*Postage and Delivery*",'Dept. Cost Actuals'!I$7:I$176))</f>
        <v>0</v>
      </c>
      <c r="F35" s="668">
        <f>IF(F$4="forecast",AVERAGE(#REF!),SUMIF('Dept. Cost Actuals'!$E$7:$E$176,"*Postage and Delivery*",'Dept. Cost Actuals'!J$7:J$176))</f>
        <v>4.6351630877360357</v>
      </c>
      <c r="G35" s="668">
        <f>IF(G$4="forecast",AVERAGE(#REF!),SUMIF('Dept. Cost Actuals'!$E$7:$E$176,"*Postage and Delivery*",'Dept. Cost Actuals'!K$7:K$176))</f>
        <v>55.009270552782858</v>
      </c>
      <c r="H35" s="668">
        <f>IF(H$4="forecast",AVERAGE(#REF!),SUMIF('Dept. Cost Actuals'!$E$7:$E$176,"*Postage and Delivery*",'Dept. Cost Actuals'!L$7:L$176))</f>
        <v>1.9527848711314806</v>
      </c>
      <c r="I35" s="668">
        <f>IF(I$4="forecast",AVERAGE(#REF!),SUMIF('Dept. Cost Actuals'!$E$7:$E$176,"*Postage and Delivery*",'Dept. Cost Actuals'!M$7:M$176))</f>
        <v>0</v>
      </c>
      <c r="J35" s="668">
        <f>IF(J$4="forecast",AVERAGE(#REF!),SUMIF('Dept. Cost Actuals'!$E$7:$E$176,"*Postage and Delivery*",'Dept. Cost Actuals'!N$7:N$176))</f>
        <v>3.5384291655727487</v>
      </c>
      <c r="K35" s="668">
        <f>IF(K$4="forecast",AVERAGE(#REF!),SUMIF('Dept. Cost Actuals'!$E$7:$E$176,"*Postage and Delivery*",'Dept. Cost Actuals'!O$7:O$176))</f>
        <v>0.7565229853863199</v>
      </c>
      <c r="L35" s="668">
        <f>IF(L$4="forecast",AVERAGE(#REF!),SUMIF('Dept. Cost Actuals'!$E$7:$E$176,"*Postage and Delivery*",'Dept. Cost Actuals'!P$7:P$176))</f>
        <v>11.852402335497652</v>
      </c>
      <c r="M35" s="668">
        <f>IF(M$4="forecast",AVERAGE(A35:L35),SUMIF('Dept. Cost Actuals'!$E$7:$E$176,"*Postage and Delivery*",'Dept. Cost Actuals'!Q$7:Q$176))</f>
        <v>53.951975792123626</v>
      </c>
      <c r="N35" s="668">
        <f>IF(N$4="forecast",AVERAGE(B35:M35),SUMIF('Dept. Cost Actuals'!$E$7:$E$176,"*Postage and Delivery*",'Dept. Cost Actuals'!R$7:R$176))</f>
        <v>35.064469799168634</v>
      </c>
      <c r="O35" s="668">
        <f>IF(O$4="forecast",AVERAGE(C35:N35),SUMIF('Dept. Cost Actuals'!$E$7:$E$176,"*Postage and Delivery*",'Dept. Cost Actuals'!S$7:S$176))</f>
        <v>11.25</v>
      </c>
      <c r="P35" s="668">
        <f>IF(P$4="forecast",AVERAGE(D35:O35),SUMIF('Dept. Cost Actuals'!$E$7:$E$176,"*Postage and Delivery*",'Dept. Cost Actuals'!T$7:T$176))</f>
        <v>0</v>
      </c>
      <c r="Q35" s="668">
        <f>IF(Q$4="forecast",AVERAGE(E35:P35),SUMIF('Dept. Cost Actuals'!$E$7:$E$176,"*Postage and Delivery*",'Dept. Cost Actuals'!U$7:U$176))</f>
        <v>0</v>
      </c>
      <c r="R35" s="668">
        <f>IF(R$4="forecast",AVERAGE(F35:Q35),SUMIF('Dept. Cost Actuals'!$E$7:$E$176,"*Postage and Delivery*",'Dept. Cost Actuals'!V$7:V$176))</f>
        <v>58.32</v>
      </c>
      <c r="S35" s="668">
        <f>IF(S$4="forecast",AVERAGE(G35:R35),SUMIF('Dept. Cost Actuals'!$E$7:$E$176,"*Postage and Delivery*",'Dept. Cost Actuals'!W$7:W$176))</f>
        <v>0</v>
      </c>
      <c r="T35" s="668">
        <f>IF(T$4="forecast",AVERAGE(H35:S35),SUMIF('Dept. Cost Actuals'!$E$7:$E$176,"*Postage and Delivery*",'Dept. Cost Actuals'!X$7:X$176))</f>
        <v>0</v>
      </c>
      <c r="U35" s="668">
        <f>IF(U$4="forecast",AVERAGE(I35:T35),SUMIF('Dept. Cost Actuals'!$E$7:$E$176,"*Postage and Delivery*",'Dept. Cost Actuals'!Y$7:Y$176))</f>
        <v>0</v>
      </c>
      <c r="V35" s="668">
        <f>IF(V$4="forecast",AVERAGE(J35:U35),SUMIF('Dept. Cost Actuals'!$E$7:$E$176,"*Postage and Delivery*",'Dept. Cost Actuals'!Z$7:Z$176))</f>
        <v>0</v>
      </c>
      <c r="W35" s="668">
        <f>IF(W$4="forecast",AVERAGE(K35:V35),SUMIF('Dept. Cost Actuals'!$E$7:$E$176,"*Postage and Delivery*",'Dept. Cost Actuals'!AA$7:AA$176))</f>
        <v>26.82</v>
      </c>
      <c r="X35" s="668">
        <f>IF(X$4="forecast",AVERAGE(L35:W35),SUMIF('Dept. Cost Actuals'!$E$7:$E$176,"*Postage and Delivery*",'Dept. Cost Actuals'!AB$7:AB$176))</f>
        <v>3202.47</v>
      </c>
      <c r="Y35" s="668">
        <f>IF(Y$4="forecast",AVERAGE(M35:X35),SUMIF('Dept. Cost Actuals'!$E$7:$E$176,"*Postage and Delivery*",'Dept. Cost Actuals'!AC$7:AC$176))</f>
        <v>47.71</v>
      </c>
      <c r="Z35" s="668">
        <f>IF(Z$4="forecast",AVERAGE(N35:Y35),SUMIF('Dept. Cost Actuals'!$E$7:$E$176,"*Postage and Delivery*",'Dept. Cost Actuals'!AD$7:AD$176))</f>
        <v>41.29</v>
      </c>
      <c r="AA35" s="668">
        <f>IF(AA$4="forecast",AVERAGE(O35:Z35),SUMIF('Dept. Cost Actuals'!$E$7:$E$176,"*Postage and Delivery*",'Dept. Cost Actuals'!AE$7:AE$176))</f>
        <v>0</v>
      </c>
      <c r="AB35" s="668">
        <f>IF(AB$4="forecast",AVERAGE(P35:AA35),SUMIF('Dept. Cost Actuals'!$E$7:$E$176,"*Postage and Delivery*",'Dept. Cost Actuals'!AF$7:AF$176))</f>
        <v>21.08</v>
      </c>
      <c r="AC35" s="668">
        <f>IF(AC$4="forecast",AVERAGE(Q35:AB35),SUMIF('Dept. Cost Actuals'!$E$7:$E$176,"*Postage and Delivery*",'Dept. Cost Actuals'!AG$7:AG$176))</f>
        <v>0</v>
      </c>
      <c r="AD35" s="668">
        <f>IF(AD$4="forecast",AVERAGE(R35:AC35),SUMIF('Dept. Cost Actuals'!$E$7:$E$176,"*Postage and Delivery*",'Dept. Cost Actuals'!AH$7:AH$176))</f>
        <v>283.14083333333332</v>
      </c>
      <c r="AE35" s="668">
        <f>IF(AE$4="forecast",AVERAGE(S35:AD35),SUMIF('Dept. Cost Actuals'!$E$7:$E$176,"*Postage and Delivery*",'Dept. Cost Actuals'!AI$7:AI$176))</f>
        <v>301.87590277777775</v>
      </c>
      <c r="AF35" s="668">
        <f>IF(AF$4="forecast",AVERAGE(T35:AE35),SUMIF('Dept. Cost Actuals'!$E$7:$E$176,"*Postage and Delivery*",'Dept. Cost Actuals'!AJ$7:AJ$176))</f>
        <v>327.03222800925926</v>
      </c>
      <c r="AG35" s="668">
        <f>IF(AG$4="forecast",AVERAGE(U35:AF35),SUMIF('Dept. Cost Actuals'!$E$7:$E$176,"*Postage and Delivery*",'Dept. Cost Actuals'!AK$7:AK$176))</f>
        <v>354.2849136766975</v>
      </c>
      <c r="AH35" s="668">
        <f>IF(AH$4="forecast",AVERAGE(V35:AG35),SUMIF('Dept. Cost Actuals'!$E$7:$E$176,"*Postage and Delivery*",'Dept. Cost Actuals'!AL$7:AL$176))</f>
        <v>383.80865648308895</v>
      </c>
      <c r="AI35" s="668">
        <f>IF(AI$4="forecast",AVERAGE(W35:AH35),SUMIF('Dept. Cost Actuals'!$E$7:$E$176,"*Postage and Delivery*",'Dept. Cost Actuals'!AM$7:AM$176))</f>
        <v>415.79271119001305</v>
      </c>
      <c r="AJ35" s="668">
        <f>IF(AJ$4="forecast",AVERAGE(X35:AI35),SUMIF('Dept. Cost Actuals'!$E$7:$E$176,"*Postage and Delivery*",'Dept. Cost Actuals'!AN$7:AN$176))</f>
        <v>448.20710378918085</v>
      </c>
      <c r="AK35" s="668">
        <f>IF(AK$4="forecast",AVERAGE(Y35:AJ35),SUMIF('Dept. Cost Actuals'!$E$7:$E$176,"*Postage and Delivery*",'Dept. Cost Actuals'!AO$7:AO$176))</f>
        <v>218.6851957716126</v>
      </c>
      <c r="AL35" s="668">
        <f>IF(AL$4="forecast",AVERAGE(Z35:AK35),SUMIF('Dept. Cost Actuals'!$E$7:$E$176,"*Postage and Delivery*",'Dept. Cost Actuals'!AP$7:AP$176))</f>
        <v>232.9331287525803</v>
      </c>
      <c r="AM35" s="668">
        <f>IF(AM$4="forecast",AVERAGE(AA35:AL35),SUMIF('Dept. Cost Actuals'!$E$7:$E$176,"*Postage and Delivery*",'Dept. Cost Actuals'!AQ$7:AQ$176))</f>
        <v>248.90338948196199</v>
      </c>
      <c r="AN35" s="668">
        <f>IF(AN$4="forecast",AVERAGE(AB35:AM35),SUMIF('Dept. Cost Actuals'!$E$7:$E$176,"*Postage and Delivery*",'Dept. Cost Actuals'!AR$7:AR$176))</f>
        <v>269.64533860545885</v>
      </c>
      <c r="AO35" s="668">
        <f>IF(AO$4="forecast",AVERAGE(AC35:AN35),SUMIF('Dept. Cost Actuals'!$E$7:$E$176,"*Postage and Delivery*",'Dept. Cost Actuals'!AS$7:AS$176))</f>
        <v>290.35911682258035</v>
      </c>
      <c r="AP35" s="668">
        <f>IF(AP$4="forecast",AVERAGE(AD35:AO35),SUMIF('Dept. Cost Actuals'!$E$7:$E$176,"*Postage and Delivery*",'Dept. Cost Actuals'!AT$7:AT$176))</f>
        <v>314.55570989112874</v>
      </c>
      <c r="AQ35" s="668">
        <f>IF(AQ$4="forecast",AVERAGE(AE35:AP35),SUMIF('Dept. Cost Actuals'!$E$7:$E$176,"*Postage and Delivery*",'Dept. Cost Actuals'!AU$7:AU$176))</f>
        <v>317.17361627094505</v>
      </c>
      <c r="AR35" s="668">
        <f>IF(AR$4="forecast",AVERAGE(AF35:AQ35),SUMIF('Dept. Cost Actuals'!$E$7:$E$176,"*Postage and Delivery*",'Dept. Cost Actuals'!AV$7:AV$176))</f>
        <v>318.44842572870897</v>
      </c>
      <c r="AS35" s="668">
        <f>IF(AS$4="forecast",AVERAGE(AG35:AR35),SUMIF('Dept. Cost Actuals'!$E$7:$E$176,"*Postage and Delivery*",'Dept. Cost Actuals'!AW$7:AW$176))</f>
        <v>317.73310887199642</v>
      </c>
      <c r="AT35" s="668">
        <f>IF(AT$4="forecast",AVERAGE(AH35:AS35),SUMIF('Dept. Cost Actuals'!$E$7:$E$176,"*Postage and Delivery*",'Dept. Cost Actuals'!AX$7:AX$176))</f>
        <v>314.68712513827137</v>
      </c>
      <c r="AU35" s="668">
        <f>IF(AU$4="forecast",AVERAGE(AI35:AT35),SUMIF('Dept. Cost Actuals'!$E$7:$E$176,"*Postage and Delivery*",'Dept. Cost Actuals'!AY$7:AY$176))</f>
        <v>308.92699752620319</v>
      </c>
      <c r="AV35" s="668">
        <f>IF(AV$4="forecast",AVERAGE(AJ35:AU35),SUMIF('Dept. Cost Actuals'!$E$7:$E$176,"*Postage and Delivery*",'Dept. Cost Actuals'!AZ$7:AZ$176))</f>
        <v>300.02152138755235</v>
      </c>
      <c r="AW35" s="668">
        <f>IF(AW$4="forecast",AVERAGE(AK35:AV35),SUMIF('Dept. Cost Actuals'!$E$7:$E$176,"*Postage and Delivery*",'Dept. Cost Actuals'!BA$7:BA$176))</f>
        <v>287.67272285408336</v>
      </c>
      <c r="AX35" s="668">
        <f>IF(AX$4="forecast",AVERAGE(AL35:AW35),SUMIF('Dept. Cost Actuals'!$E$7:$E$176,"*Postage and Delivery*",'Dept. Cost Actuals'!BB$7:BB$176))</f>
        <v>293.42168344428927</v>
      </c>
      <c r="AY35" s="668">
        <f>IF(AY$4="forecast",AVERAGE(AM35:AX35),SUMIF('Dept. Cost Actuals'!$E$7:$E$176,"*Postage and Delivery*",'Dept. Cost Actuals'!BC$7:BC$176))</f>
        <v>298.462396335265</v>
      </c>
      <c r="AZ35" s="668">
        <f>IF(AZ$4="forecast",AVERAGE(AN35:AY35),SUMIF('Dept. Cost Actuals'!$E$7:$E$176,"*Postage and Delivery*",'Dept. Cost Actuals'!BD$7:BD$176))</f>
        <v>302.59231357304026</v>
      </c>
      <c r="BA35" s="668">
        <f>IF(BA$4="forecast",AVERAGE(AO35:AZ35),SUMIF('Dept. Cost Actuals'!$E$7:$E$176,"*Postage and Delivery*",'Dept. Cost Actuals'!BE$7:BE$176))</f>
        <v>305.3378948203387</v>
      </c>
      <c r="BB35" s="668">
        <f>IF(BB$4="forecast",AVERAGE(AP35:BA35),SUMIF('Dept. Cost Actuals'!$E$7:$E$176,"*Postage and Delivery*",'Dept. Cost Actuals'!BF$7:BF$176))</f>
        <v>306.58612632015189</v>
      </c>
      <c r="BC35" s="668">
        <f>IF(BC$4="forecast",AVERAGE(AQ35:BB35),SUMIF('Dept. Cost Actuals'!$E$7:$E$176,"*Postage and Delivery*",'Dept. Cost Actuals'!BG$7:BG$176))</f>
        <v>305.92199435590379</v>
      </c>
      <c r="BD35" s="668">
        <f>IF(BD$4="forecast",AVERAGE(AR35:BC35),SUMIF('Dept. Cost Actuals'!$E$7:$E$176,"*Postage and Delivery*",'Dept. Cost Actuals'!BH$7:BH$176))</f>
        <v>304.98435919631703</v>
      </c>
      <c r="BE35" s="668">
        <f>IF(BE$4="forecast",AVERAGE(AS35:BD35),SUMIF('Dept. Cost Actuals'!$E$7:$E$176,"*Postage and Delivery*",'Dept. Cost Actuals'!BI$7:BI$176))</f>
        <v>303.86235365195108</v>
      </c>
      <c r="BF35" s="668">
        <f>IF(BF$4="forecast",AVERAGE(AT35:BE35),SUMIF('Dept. Cost Actuals'!$E$7:$E$176,"*Postage and Delivery*",'Dept. Cost Actuals'!BJ$7:BJ$176))</f>
        <v>302.70645738361395</v>
      </c>
      <c r="BG35" s="668">
        <f>IF(BG$4="forecast",AVERAGE(AU35:BF35),SUMIF('Dept. Cost Actuals'!$E$7:$E$176,"*Postage and Delivery*",'Dept. Cost Actuals'!BK$7:BK$176))</f>
        <v>301.70806840405913</v>
      </c>
      <c r="BH35" s="668">
        <f>IF(BH$4="forecast",AVERAGE(AV35:BG35),SUMIF('Dept. Cost Actuals'!$E$7:$E$176,"*Postage and Delivery*",'Dept. Cost Actuals'!BL$7:BL$176))</f>
        <v>301.10649097721381</v>
      </c>
      <c r="BI35" s="668">
        <f>IF(BI$4="forecast",AVERAGE(AW35:BH35),SUMIF('Dept. Cost Actuals'!$E$7:$E$176,"*Postage and Delivery*",'Dept. Cost Actuals'!BM$7:BM$176))</f>
        <v>301.1969051096857</v>
      </c>
      <c r="BJ35" s="668">
        <f>IF(BJ$4="forecast",AVERAGE(AX35:BI35),SUMIF('Dept. Cost Actuals'!$E$7:$E$176,"*Postage and Delivery*",'Dept. Cost Actuals'!BN$7:BN$176))</f>
        <v>302.32392029765248</v>
      </c>
      <c r="BK35" s="668">
        <f>IF(BK$4="forecast",AVERAGE(AY35:BJ35),SUMIF('Dept. Cost Actuals'!$E$7:$E$176,"*Postage and Delivery*",'Dept. Cost Actuals'!BO$7:BO$176))</f>
        <v>303.06577336876609</v>
      </c>
      <c r="BL35" s="668">
        <f>IF(BL$4="forecast",AVERAGE(AZ35:BK35),SUMIF('Dept. Cost Actuals'!$E$7:$E$176,"*Postage and Delivery*",'Dept. Cost Actuals'!BP$7:BP$176))</f>
        <v>303.44938812155783</v>
      </c>
      <c r="BM35" s="668">
        <f>IF(BM$4="forecast",AVERAGE(BA35:BL35),SUMIF('Dept. Cost Actuals'!$E$7:$E$176,"*Postage and Delivery*",'Dept. Cost Actuals'!BQ$7:BQ$176))</f>
        <v>303.52081100060099</v>
      </c>
      <c r="BN35" s="668">
        <f>IF(BN$4="forecast",AVERAGE(BB35:BM35),SUMIF('Dept. Cost Actuals'!$E$7:$E$176,"*Postage and Delivery*",'Dept. Cost Actuals'!BR$7:BR$176))</f>
        <v>303.36938734895614</v>
      </c>
      <c r="BO35" s="668">
        <f>IF(BO$4="forecast",AVERAGE(BC35:BN35),SUMIF('Dept. Cost Actuals'!$E$7:$E$176,"*Postage and Delivery*",'Dept. Cost Actuals'!BS$7:BS$176))</f>
        <v>303.10132576802317</v>
      </c>
      <c r="BP35" s="668">
        <f>IF(BP$4="forecast",AVERAGE(BD35:BO35),SUMIF('Dept. Cost Actuals'!$E$7:$E$176,"*Postage and Delivery*",'Dept. Cost Actuals'!BT$7:BT$176))</f>
        <v>302.86627005236647</v>
      </c>
      <c r="BQ35" s="668">
        <f>IF(BQ$4="forecast",AVERAGE(BE35:BP35),SUMIF('Dept. Cost Actuals'!$E$7:$E$176,"*Postage and Delivery*",'Dept. Cost Actuals'!BU$7:BU$176))</f>
        <v>302.68976262370393</v>
      </c>
      <c r="BR35" s="668">
        <f>IF(BR$4="forecast",AVERAGE(BF35:BQ35),SUMIF('Dept. Cost Actuals'!$E$7:$E$176,"*Postage and Delivery*",'Dept. Cost Actuals'!BV$7:BV$176))</f>
        <v>302.5920467046833</v>
      </c>
      <c r="BS35" s="668">
        <f>IF(BS$4="forecast",AVERAGE(BG35:BR35),SUMIF('Dept. Cost Actuals'!$E$7:$E$176,"*Postage and Delivery*",'Dept. Cost Actuals'!BW$7:BW$176))</f>
        <v>302.5825124814391</v>
      </c>
      <c r="BT35" s="668">
        <f>IF(BT$4="forecast",AVERAGE(BH35:BS35),SUMIF('Dept. Cost Actuals'!$E$7:$E$176,"*Postage and Delivery*",'Dept. Cost Actuals'!BX$7:BX$176))</f>
        <v>302.65538282122083</v>
      </c>
      <c r="BU35" s="668">
        <f>IF(BU$4="forecast",AVERAGE(BI35:BT35),SUMIF('Dept. Cost Actuals'!$E$7:$E$176,"*Postage and Delivery*",'Dept. Cost Actuals'!BY$7:BY$176))</f>
        <v>302.7844571415547</v>
      </c>
      <c r="BV35" s="790">
        <f>IF(BV$4="forecast",AVERAGE(BJ35:BU35),SUMIF('Dept. Cost Actuals'!$E$7:$E$176,"*Postage and Delivery*",'Dept. Cost Actuals'!BZ$7:BZ$176))</f>
        <v>302.91675314421047</v>
      </c>
    </row>
    <row r="36" spans="2:74" x14ac:dyDescent="0.25">
      <c r="B36" s="794" t="s">
        <v>942</v>
      </c>
      <c r="C36" s="668">
        <f>IF(C$4="forecast",AVERAGE(#REF!),SUMIF('Dept. Cost Actuals'!$E$7:$E$176,"*Computer Supplies*",'Dept. Cost Actuals'!G$7:G$176))</f>
        <v>584.71871083376618</v>
      </c>
      <c r="D36" s="668">
        <f>IF(D$4="forecast",AVERAGE(#REF!),SUMIF('Dept. Cost Actuals'!$E$7:$E$176,"*Computer Supplies*",'Dept. Cost Actuals'!H$7:H$176))</f>
        <v>199.95674354459939</v>
      </c>
      <c r="E36" s="668">
        <f>IF(E$4="forecast",AVERAGE(#REF!),SUMIF('Dept. Cost Actuals'!$E$7:$E$176,"*Computer Supplies*",'Dept. Cost Actuals'!I$7:I$176))</f>
        <v>681.46457791663852</v>
      </c>
      <c r="F36" s="668">
        <f>IF(F$4="forecast",AVERAGE(#REF!),SUMIF('Dept. Cost Actuals'!$E$7:$E$176,"*Computer Supplies*",'Dept. Cost Actuals'!J$7:J$176))</f>
        <v>202.80438557471638</v>
      </c>
      <c r="G36" s="668">
        <f>IF(G$4="forecast",AVERAGE(#REF!),SUMIF('Dept. Cost Actuals'!$E$7:$E$176,"*Computer Supplies*",'Dept. Cost Actuals'!K$7:K$176))</f>
        <v>409.86291309160555</v>
      </c>
      <c r="H36" s="668">
        <f>IF(H$4="forecast",AVERAGE(#REF!),SUMIF('Dept. Cost Actuals'!$E$7:$E$176,"*Computer Supplies*",'Dept. Cost Actuals'!L$7:L$176))</f>
        <v>760.49798080810967</v>
      </c>
      <c r="I36" s="668">
        <f>IF(I$4="forecast",AVERAGE(#REF!),SUMIF('Dept. Cost Actuals'!$E$7:$E$176,"*Computer Supplies*",'Dept. Cost Actuals'!M$7:M$176))</f>
        <v>742.83291275136605</v>
      </c>
      <c r="J36" s="668">
        <f>IF(J$4="forecast",AVERAGE(#REF!),SUMIF('Dept. Cost Actuals'!$E$7:$E$176,"*Computer Supplies*",'Dept. Cost Actuals'!N$7:N$176))</f>
        <v>400.76711548879712</v>
      </c>
      <c r="K36" s="668">
        <f>IF(K$4="forecast",AVERAGE(#REF!),SUMIF('Dept. Cost Actuals'!$E$7:$E$176,"*Computer Supplies*",'Dept. Cost Actuals'!O$7:O$176))</f>
        <v>328.843544199566</v>
      </c>
      <c r="L36" s="668">
        <f>IF(L$4="forecast",AVERAGE(#REF!),SUMIF('Dept. Cost Actuals'!$E$7:$E$176,"*Computer Supplies*",'Dept. Cost Actuals'!P$7:P$176))</f>
        <v>693.82086036507428</v>
      </c>
      <c r="M36" s="668">
        <f>IF(M$4="forecast",AVERAGE(A36:L36),SUMIF('Dept. Cost Actuals'!$E$7:$E$176,"*Computer Supplies*",'Dept. Cost Actuals'!Q$7:Q$176))</f>
        <v>403.8611553476602</v>
      </c>
      <c r="N36" s="668">
        <f>IF(N$4="forecast",AVERAGE(B36:M36),SUMIF('Dept. Cost Actuals'!$E$7:$E$176,"*Computer Supplies*",'Dept. Cost Actuals'!R$7:R$176))</f>
        <v>59.704192737510965</v>
      </c>
      <c r="O36" s="668">
        <f>IF(O$4="forecast",AVERAGE(C36:N36),SUMIF('Dept. Cost Actuals'!$E$7:$E$176,"*Computer Supplies*",'Dept. Cost Actuals'!S$7:S$176))</f>
        <v>12</v>
      </c>
      <c r="P36" s="668">
        <f>IF(P$4="forecast",AVERAGE(D36:O36),SUMIF('Dept. Cost Actuals'!$E$7:$E$176,"*Computer Supplies*",'Dept. Cost Actuals'!T$7:T$176))</f>
        <v>0</v>
      </c>
      <c r="Q36" s="668">
        <f>IF(Q$4="forecast",AVERAGE(E36:P36),SUMIF('Dept. Cost Actuals'!$E$7:$E$176,"*Computer Supplies*",'Dept. Cost Actuals'!U$7:U$176))</f>
        <v>0</v>
      </c>
      <c r="R36" s="668">
        <f>IF(R$4="forecast",AVERAGE(F36:Q36),SUMIF('Dept. Cost Actuals'!$E$7:$E$176,"*Computer Supplies*",'Dept. Cost Actuals'!V$7:V$176))</f>
        <v>0</v>
      </c>
      <c r="S36" s="668">
        <f>IF(S$4="forecast",AVERAGE(G36:R36),SUMIF('Dept. Cost Actuals'!$E$7:$E$176,"*Computer Supplies*",'Dept. Cost Actuals'!W$7:W$176))</f>
        <v>0</v>
      </c>
      <c r="T36" s="668">
        <f>IF(T$4="forecast",AVERAGE(H36:S36),SUMIF('Dept. Cost Actuals'!$E$7:$E$176,"*Computer Supplies*",'Dept. Cost Actuals'!X$7:X$176))</f>
        <v>0</v>
      </c>
      <c r="U36" s="668">
        <f>IF(U$4="forecast",AVERAGE(I36:T36),SUMIF('Dept. Cost Actuals'!$E$7:$E$176,"*Computer Supplies*",'Dept. Cost Actuals'!Y$7:Y$176))</f>
        <v>0</v>
      </c>
      <c r="V36" s="668">
        <f>IF(V$4="forecast",AVERAGE(J36:U36),SUMIF('Dept. Cost Actuals'!$E$7:$E$176,"*Computer Supplies*",'Dept. Cost Actuals'!Z$7:Z$176))</f>
        <v>6.95</v>
      </c>
      <c r="W36" s="668">
        <f>IF(W$4="forecast",AVERAGE(K36:V36),SUMIF('Dept. Cost Actuals'!$E$7:$E$176,"*Computer Supplies*",'Dept. Cost Actuals'!AA$7:AA$176))</f>
        <v>0</v>
      </c>
      <c r="X36" s="668">
        <f>IF(X$4="forecast",AVERAGE(L36:W36),SUMIF('Dept. Cost Actuals'!$E$7:$E$176,"*Computer Supplies*",'Dept. Cost Actuals'!AB$7:AB$176))</f>
        <v>49</v>
      </c>
      <c r="Y36" s="668">
        <f>IF(Y$4="forecast",AVERAGE(M36:X36),SUMIF('Dept. Cost Actuals'!$E$7:$E$176,"*Computer Supplies*",'Dept. Cost Actuals'!AC$7:AC$176))</f>
        <v>0</v>
      </c>
      <c r="Z36" s="668">
        <f>IF(Z$4="forecast",AVERAGE(N36:Y36),SUMIF('Dept. Cost Actuals'!$E$7:$E$176,"*Computer Supplies*",'Dept. Cost Actuals'!AD$7:AD$176))</f>
        <v>0</v>
      </c>
      <c r="AA36" s="668">
        <f>IF(AA$4="forecast",AVERAGE(O36:Z36),SUMIF('Dept. Cost Actuals'!$E$7:$E$176,"*Computer Supplies*",'Dept. Cost Actuals'!AE$7:AE$176))</f>
        <v>4.9800000000000004</v>
      </c>
      <c r="AB36" s="668">
        <f>IF(AB$4="forecast",AVERAGE(P36:AA36),SUMIF('Dept. Cost Actuals'!$E$7:$E$176,"*Computer Supplies*",'Dept. Cost Actuals'!AF$7:AF$176))</f>
        <v>4.9800000000000004</v>
      </c>
      <c r="AC36" s="668">
        <f>IF(AC$4="forecast",AVERAGE(Q36:AB36),SUMIF('Dept. Cost Actuals'!$E$7:$E$176,"*Computer Supplies*",'Dept. Cost Actuals'!AG$7:AG$176))</f>
        <v>20</v>
      </c>
      <c r="AD36" s="668">
        <f>IF(AD$4="forecast",AVERAGE(R36:AC36),SUMIF('Dept. Cost Actuals'!$E$7:$E$176,"*Computer Supplies*",'Dept. Cost Actuals'!AH$7:AH$176))</f>
        <v>7.1591666666666676</v>
      </c>
      <c r="AE36" s="668">
        <f>IF(AE$4="forecast",AVERAGE(S36:AD36),SUMIF('Dept. Cost Actuals'!$E$7:$E$176,"*Computer Supplies*",'Dept. Cost Actuals'!AI$7:AI$176))</f>
        <v>7.7557638888888896</v>
      </c>
      <c r="AF36" s="668">
        <f>IF(AF$4="forecast",AVERAGE(T36:AE36),SUMIF('Dept. Cost Actuals'!$E$7:$E$176,"*Computer Supplies*",'Dept. Cost Actuals'!AJ$7:AJ$176))</f>
        <v>8.4020775462962973</v>
      </c>
      <c r="AG36" s="668">
        <f>IF(AG$4="forecast",AVERAGE(U36:AF36),SUMIF('Dept. Cost Actuals'!$E$7:$E$176,"*Computer Supplies*",'Dept. Cost Actuals'!AK$7:AK$176))</f>
        <v>9.1022506751543215</v>
      </c>
      <c r="AH36" s="668">
        <f>IF(AH$4="forecast",AVERAGE(V36:AG36),SUMIF('Dept. Cost Actuals'!$E$7:$E$176,"*Computer Supplies*",'Dept. Cost Actuals'!AL$7:AL$176))</f>
        <v>9.8607715647505163</v>
      </c>
      <c r="AI36" s="668">
        <f>IF(AI$4="forecast",AVERAGE(W36:AH36),SUMIF('Dept. Cost Actuals'!$E$7:$E$176,"*Computer Supplies*",'Dept. Cost Actuals'!AM$7:AM$176))</f>
        <v>10.10333586181306</v>
      </c>
      <c r="AJ36" s="668">
        <f>IF(AJ$4="forecast",AVERAGE(X36:AI36),SUMIF('Dept. Cost Actuals'!$E$7:$E$176,"*Computer Supplies*",'Dept. Cost Actuals'!AN$7:AN$176))</f>
        <v>10.945280516964146</v>
      </c>
      <c r="AK36" s="668">
        <f>IF(AK$4="forecast",AVERAGE(Y36:AJ36),SUMIF('Dept. Cost Actuals'!$E$7:$E$176,"*Computer Supplies*",'Dept. Cost Actuals'!AO$7:AO$176))</f>
        <v>7.7740538933778263</v>
      </c>
      <c r="AL36" s="668">
        <f>IF(AL$4="forecast",AVERAGE(Z36:AK36),SUMIF('Dept. Cost Actuals'!$E$7:$E$176,"*Computer Supplies*",'Dept. Cost Actuals'!AP$7:AP$176))</f>
        <v>8.4218917178259787</v>
      </c>
      <c r="AM36" s="668">
        <f>IF(AM$4="forecast",AVERAGE(AA36:AL36),SUMIF('Dept. Cost Actuals'!$E$7:$E$176,"*Computer Supplies*",'Dept. Cost Actuals'!AQ$7:AQ$176))</f>
        <v>9.1237160276448108</v>
      </c>
      <c r="AN36" s="668">
        <f>IF(AN$4="forecast",AVERAGE(AB36:AM36),SUMIF('Dept. Cost Actuals'!$E$7:$E$176,"*Computer Supplies*",'Dept. Cost Actuals'!AR$7:AR$176))</f>
        <v>9.4690256966152102</v>
      </c>
      <c r="AO36" s="668">
        <f>IF(AO$4="forecast",AVERAGE(AC36:AN36),SUMIF('Dept. Cost Actuals'!$E$7:$E$176,"*Computer Supplies*",'Dept. Cost Actuals'!AS$7:AS$176))</f>
        <v>9.8431111713331418</v>
      </c>
      <c r="AP36" s="668">
        <f>IF(AP$4="forecast",AVERAGE(AD36:AO36),SUMIF('Dept. Cost Actuals'!$E$7:$E$176,"*Computer Supplies*",'Dept. Cost Actuals'!AT$7:AT$176))</f>
        <v>8.9967037689442364</v>
      </c>
      <c r="AQ36" s="668">
        <f>IF(AQ$4="forecast",AVERAGE(AE36:AP36),SUMIF('Dept. Cost Actuals'!$E$7:$E$176,"*Computer Supplies*",'Dept. Cost Actuals'!AU$7:AU$176))</f>
        <v>9.1498318608007008</v>
      </c>
      <c r="AR36" s="668">
        <f>IF(AR$4="forecast",AVERAGE(AF36:AQ36),SUMIF('Dept. Cost Actuals'!$E$7:$E$176,"*Computer Supplies*",'Dept. Cost Actuals'!AV$7:AV$176))</f>
        <v>9.2660041917933516</v>
      </c>
      <c r="AS36" s="668">
        <f>IF(AS$4="forecast",AVERAGE(AG36:AR36),SUMIF('Dept. Cost Actuals'!$E$7:$E$176,"*Computer Supplies*",'Dept. Cost Actuals'!AW$7:AW$176))</f>
        <v>9.3379980789181083</v>
      </c>
      <c r="AT36" s="668">
        <f>IF(AT$4="forecast",AVERAGE(AH36:AS36),SUMIF('Dept. Cost Actuals'!$E$7:$E$176,"*Computer Supplies*",'Dept. Cost Actuals'!AX$7:AX$176))</f>
        <v>9.3576436958984228</v>
      </c>
      <c r="AU36" s="668">
        <f>IF(AU$4="forecast",AVERAGE(AI36:AT36),SUMIF('Dept. Cost Actuals'!$E$7:$E$176,"*Computer Supplies*",'Dept. Cost Actuals'!AY$7:AY$176))</f>
        <v>9.315716373494082</v>
      </c>
      <c r="AV36" s="668">
        <f>IF(AV$4="forecast",AVERAGE(AJ36:AU36),SUMIF('Dept. Cost Actuals'!$E$7:$E$176,"*Computer Supplies*",'Dept. Cost Actuals'!AZ$7:AZ$176))</f>
        <v>9.2500814161341669</v>
      </c>
      <c r="AW36" s="668">
        <f>IF(AW$4="forecast",AVERAGE(AK36:AV36),SUMIF('Dept. Cost Actuals'!$E$7:$E$176,"*Computer Supplies*",'Dept. Cost Actuals'!BA$7:BA$176))</f>
        <v>9.1088148243983351</v>
      </c>
      <c r="AX36" s="668">
        <f>IF(AX$4="forecast",AVERAGE(AL36:AW36),SUMIF('Dept. Cost Actuals'!$E$7:$E$176,"*Computer Supplies*",'Dept. Cost Actuals'!BB$7:BB$176))</f>
        <v>9.2200449019833783</v>
      </c>
      <c r="AY36" s="668">
        <f>IF(AY$4="forecast",AVERAGE(AM36:AX36),SUMIF('Dept. Cost Actuals'!$E$7:$E$176,"*Computer Supplies*",'Dept. Cost Actuals'!BC$7:BC$176))</f>
        <v>9.2865576673298289</v>
      </c>
      <c r="AZ36" s="668">
        <f>IF(AZ$4="forecast",AVERAGE(AN36:AY36),SUMIF('Dept. Cost Actuals'!$E$7:$E$176,"*Computer Supplies*",'Dept. Cost Actuals'!BD$7:BD$176))</f>
        <v>9.3001278039702466</v>
      </c>
      <c r="BA36" s="668">
        <f>IF(BA$4="forecast",AVERAGE(AO36:AZ36),SUMIF('Dept. Cost Actuals'!$E$7:$E$176,"*Computer Supplies*",'Dept. Cost Actuals'!BE$7:BE$176))</f>
        <v>9.2860529795831663</v>
      </c>
      <c r="BB36" s="668">
        <f>IF(BB$4="forecast",AVERAGE(AP36:BA36),SUMIF('Dept. Cost Actuals'!$E$7:$E$176,"*Computer Supplies*",'Dept. Cost Actuals'!BF$7:BF$176))</f>
        <v>9.2396314636040024</v>
      </c>
      <c r="BC36" s="668">
        <f>IF(BC$4="forecast",AVERAGE(AQ36:BB36),SUMIF('Dept. Cost Actuals'!$E$7:$E$176,"*Computer Supplies*",'Dept. Cost Actuals'!BG$7:BG$176))</f>
        <v>9.2598754381589803</v>
      </c>
      <c r="BD36" s="668">
        <f>IF(BD$4="forecast",AVERAGE(AR36:BC36),SUMIF('Dept. Cost Actuals'!$E$7:$E$176,"*Computer Supplies*",'Dept. Cost Actuals'!BH$7:BH$176))</f>
        <v>9.2690457362721723</v>
      </c>
      <c r="BE36" s="668">
        <f>IF(BE$4="forecast",AVERAGE(AS36:BD36),SUMIF('Dept. Cost Actuals'!$E$7:$E$176,"*Computer Supplies*",'Dept. Cost Actuals'!BI$7:BI$176))</f>
        <v>9.2692991983120745</v>
      </c>
      <c r="BF36" s="668">
        <f>IF(BF$4="forecast",AVERAGE(AT36:BE36),SUMIF('Dept. Cost Actuals'!$E$7:$E$176,"*Computer Supplies*",'Dept. Cost Actuals'!BJ$7:BJ$176))</f>
        <v>9.2635742915949049</v>
      </c>
      <c r="BG36" s="668">
        <f>IF(BG$4="forecast",AVERAGE(AU36:BF36),SUMIF('Dept. Cost Actuals'!$E$7:$E$176,"*Computer Supplies*",'Dept. Cost Actuals'!BK$7:BK$176))</f>
        <v>9.2557351745696117</v>
      </c>
      <c r="BH36" s="668">
        <f>IF(BH$4="forecast",AVERAGE(AV36:BG36),SUMIF('Dept. Cost Actuals'!$E$7:$E$176,"*Computer Supplies*",'Dept. Cost Actuals'!BL$7:BL$176))</f>
        <v>9.2507367413259072</v>
      </c>
      <c r="BI36" s="668">
        <f>IF(BI$4="forecast",AVERAGE(AW36:BH36),SUMIF('Dept. Cost Actuals'!$E$7:$E$176,"*Computer Supplies*",'Dept. Cost Actuals'!BM$7:BM$176))</f>
        <v>9.2507913517585525</v>
      </c>
      <c r="BJ36" s="668">
        <f>IF(BJ$4="forecast",AVERAGE(AX36:BI36),SUMIF('Dept. Cost Actuals'!$E$7:$E$176,"*Computer Supplies*",'Dept. Cost Actuals'!BN$7:BN$176))</f>
        <v>9.2626227290385685</v>
      </c>
      <c r="BK36" s="668">
        <f>IF(BK$4="forecast",AVERAGE(AY36:BJ36),SUMIF('Dept. Cost Actuals'!$E$7:$E$176,"*Computer Supplies*",'Dept. Cost Actuals'!BO$7:BO$176))</f>
        <v>9.2661708812931671</v>
      </c>
      <c r="BL36" s="668">
        <f>IF(BL$4="forecast",AVERAGE(AZ36:BK36),SUMIF('Dept. Cost Actuals'!$E$7:$E$176,"*Computer Supplies*",'Dept. Cost Actuals'!BP$7:BP$176))</f>
        <v>9.2644719824567776</v>
      </c>
      <c r="BM36" s="668">
        <f>IF(BM$4="forecast",AVERAGE(BA36:BL36),SUMIF('Dept. Cost Actuals'!$E$7:$E$176,"*Computer Supplies*",'Dept. Cost Actuals'!BQ$7:BQ$176))</f>
        <v>9.2615006639973245</v>
      </c>
      <c r="BN36" s="668">
        <f>IF(BN$4="forecast",AVERAGE(BB36:BM36),SUMIF('Dept. Cost Actuals'!$E$7:$E$176,"*Computer Supplies*",'Dept. Cost Actuals'!BR$7:BR$176))</f>
        <v>9.2594546376985036</v>
      </c>
      <c r="BO36" s="668">
        <f>IF(BO$4="forecast",AVERAGE(BC36:BN36),SUMIF('Dept. Cost Actuals'!$E$7:$E$176,"*Computer Supplies*",'Dept. Cost Actuals'!BS$7:BS$176))</f>
        <v>9.2611065688730463</v>
      </c>
      <c r="BP36" s="668">
        <f>IF(BP$4="forecast",AVERAGE(BD36:BO36),SUMIF('Dept. Cost Actuals'!$E$7:$E$176,"*Computer Supplies*",'Dept. Cost Actuals'!BT$7:BT$176))</f>
        <v>9.2612091630992186</v>
      </c>
      <c r="BQ36" s="668">
        <f>IF(BQ$4="forecast",AVERAGE(BE36:BP36),SUMIF('Dept. Cost Actuals'!$E$7:$E$176,"*Computer Supplies*",'Dept. Cost Actuals'!BU$7:BU$176))</f>
        <v>9.2605561153348059</v>
      </c>
      <c r="BR36" s="668">
        <f>IF(BR$4="forecast",AVERAGE(BF36:BQ36),SUMIF('Dept. Cost Actuals'!$E$7:$E$176,"*Computer Supplies*",'Dept. Cost Actuals'!BV$7:BV$176))</f>
        <v>9.2598275250867008</v>
      </c>
      <c r="BS36" s="668">
        <f>IF(BS$4="forecast",AVERAGE(BG36:BR36),SUMIF('Dept. Cost Actuals'!$E$7:$E$176,"*Computer Supplies*",'Dept. Cost Actuals'!BW$7:BW$176))</f>
        <v>9.2595152945443484</v>
      </c>
      <c r="BT36" s="668">
        <f>IF(BT$4="forecast",AVERAGE(BH36:BS36),SUMIF('Dept. Cost Actuals'!$E$7:$E$176,"*Computer Supplies*",'Dept. Cost Actuals'!BX$7:BX$176))</f>
        <v>9.259830304542243</v>
      </c>
      <c r="BU36" s="668">
        <f>IF(BU$4="forecast",AVERAGE(BI36:BT36),SUMIF('Dept. Cost Actuals'!$E$7:$E$176,"*Computer Supplies*",'Dept. Cost Actuals'!BY$7:BY$176))</f>
        <v>9.2605881014769391</v>
      </c>
      <c r="BV36" s="790">
        <f>IF(BV$4="forecast",AVERAGE(BJ36:BU36),SUMIF('Dept. Cost Actuals'!$E$7:$E$176,"*Computer Supplies*",'Dept. Cost Actuals'!BZ$7:BZ$176))</f>
        <v>9.2614044972868044</v>
      </c>
    </row>
    <row r="37" spans="2:74" x14ac:dyDescent="0.25">
      <c r="B37" s="794" t="s">
        <v>943</v>
      </c>
      <c r="C37" s="668">
        <f>IF(C$4="forecast",AVERAGE(#REF!),SUMIF('Dept. Cost Actuals'!$E$7:$E$176,"*Printing*",'Dept. Cost Actuals'!G$7:G$176))</f>
        <v>0</v>
      </c>
      <c r="D37" s="668">
        <f>IF(D$4="forecast",AVERAGE(#REF!),SUMIF('Dept. Cost Actuals'!$E$7:$E$176,"*Printing*",'Dept. Cost Actuals'!H$7:H$176))</f>
        <v>0</v>
      </c>
      <c r="E37" s="668">
        <f>IF(E$4="forecast",AVERAGE(#REF!),SUMIF('Dept. Cost Actuals'!$E$7:$E$176,"*Printing*",'Dept. Cost Actuals'!I$7:I$176))</f>
        <v>0</v>
      </c>
      <c r="F37" s="668">
        <f>IF(F$4="forecast",AVERAGE(#REF!),SUMIF('Dept. Cost Actuals'!$E$7:$E$176,"*Printing*",'Dept. Cost Actuals'!J$7:J$176))</f>
        <v>110.64940714933664</v>
      </c>
      <c r="G37" s="668">
        <f>IF(G$4="forecast",AVERAGE(#REF!),SUMIF('Dept. Cost Actuals'!$E$7:$E$176,"*Printing*",'Dept. Cost Actuals'!K$7:K$176))</f>
        <v>11.731765451035141</v>
      </c>
      <c r="H37" s="668">
        <f>IF(H$4="forecast",AVERAGE(#REF!),SUMIF('Dept. Cost Actuals'!$E$7:$E$176,"*Printing*",'Dept. Cost Actuals'!L$7:L$176))</f>
        <v>0</v>
      </c>
      <c r="I37" s="668">
        <f>IF(I$4="forecast",AVERAGE(#REF!),SUMIF('Dept. Cost Actuals'!$E$7:$E$176,"*Printing*",'Dept. Cost Actuals'!M$7:M$176))</f>
        <v>0</v>
      </c>
      <c r="J37" s="668">
        <f>IF(J$4="forecast",AVERAGE(#REF!),SUMIF('Dept. Cost Actuals'!$E$7:$E$176,"*Printing*",'Dept. Cost Actuals'!N$7:N$176))</f>
        <v>0</v>
      </c>
      <c r="K37" s="668">
        <f>IF(K$4="forecast",AVERAGE(#REF!),SUMIF('Dept. Cost Actuals'!$E$7:$E$176,"*Printing*",'Dept. Cost Actuals'!O$7:O$176))</f>
        <v>11.29500266307282</v>
      </c>
      <c r="L37" s="668">
        <f>IF(L$4="forecast",AVERAGE(#REF!),SUMIF('Dept. Cost Actuals'!$E$7:$E$176,"*Printing*",'Dept. Cost Actuals'!P$7:P$176))</f>
        <v>0.22107271885135174</v>
      </c>
      <c r="M37" s="668">
        <f>IF(M$4="forecast",AVERAGE(A37:L37),SUMIF('Dept. Cost Actuals'!$E$7:$E$176,"*Printing*",'Dept. Cost Actuals'!Q$7:Q$176))</f>
        <v>19.224235996656144</v>
      </c>
      <c r="N37" s="668">
        <f>IF(N$4="forecast",AVERAGE(B37:M37),SUMIF('Dept. Cost Actuals'!$E$7:$E$176,"*Printing*",'Dept. Cost Actuals'!R$7:R$176))</f>
        <v>0</v>
      </c>
      <c r="O37" s="668">
        <f>IF(O$4="forecast",AVERAGE(C37:N37),SUMIF('Dept. Cost Actuals'!$E$7:$E$176,"*Printing*",'Dept. Cost Actuals'!S$7:S$176))</f>
        <v>299.72000000000003</v>
      </c>
      <c r="P37" s="668">
        <f>IF(P$4="forecast",AVERAGE(D37:O37),SUMIF('Dept. Cost Actuals'!$E$7:$E$176,"*Printing*",'Dept. Cost Actuals'!T$7:T$176))</f>
        <v>0</v>
      </c>
      <c r="Q37" s="668">
        <f>IF(Q$4="forecast",AVERAGE(E37:P37),SUMIF('Dept. Cost Actuals'!$E$7:$E$176,"*Printing*",'Dept. Cost Actuals'!U$7:U$176))</f>
        <v>0</v>
      </c>
      <c r="R37" s="668">
        <f>IF(R$4="forecast",AVERAGE(F37:Q37),SUMIF('Dept. Cost Actuals'!$E$7:$E$176,"*Printing*",'Dept. Cost Actuals'!V$7:V$176))</f>
        <v>0</v>
      </c>
      <c r="S37" s="668">
        <f>IF(S$4="forecast",AVERAGE(G37:R37),SUMIF('Dept. Cost Actuals'!$E$7:$E$176,"*Printing*",'Dept. Cost Actuals'!W$7:W$176))</f>
        <v>1363.59</v>
      </c>
      <c r="T37" s="668">
        <f>IF(T$4="forecast",AVERAGE(H37:S37),SUMIF('Dept. Cost Actuals'!$E$7:$E$176,"*Printing*",'Dept. Cost Actuals'!X$7:X$176))</f>
        <v>0</v>
      </c>
      <c r="U37" s="668">
        <f>IF(U$4="forecast",AVERAGE(I37:T37),SUMIF('Dept. Cost Actuals'!$E$7:$E$176,"*Printing*",'Dept. Cost Actuals'!Y$7:Y$176))</f>
        <v>0</v>
      </c>
      <c r="V37" s="668">
        <f>IF(V$4="forecast",AVERAGE(J37:U37),SUMIF('Dept. Cost Actuals'!$E$7:$E$176,"*Printing*",'Dept. Cost Actuals'!Z$7:Z$176))</f>
        <v>0</v>
      </c>
      <c r="W37" s="668">
        <f>IF(W$4="forecast",AVERAGE(K37:V37),SUMIF('Dept. Cost Actuals'!$E$7:$E$176,"*Printing*",'Dept. Cost Actuals'!AA$7:AA$176))</f>
        <v>246.16</v>
      </c>
      <c r="X37" s="668">
        <f>IF(X$4="forecast",AVERAGE(L37:W37),SUMIF('Dept. Cost Actuals'!$E$7:$E$176,"*Printing*",'Dept. Cost Actuals'!AB$7:AB$176))</f>
        <v>0</v>
      </c>
      <c r="Y37" s="668">
        <f>IF(Y$4="forecast",AVERAGE(M37:X37),SUMIF('Dept. Cost Actuals'!$E$7:$E$176,"*Printing*",'Dept. Cost Actuals'!AC$7:AC$176))</f>
        <v>784.12</v>
      </c>
      <c r="Z37" s="668">
        <f>IF(Z$4="forecast",AVERAGE(N37:Y37),SUMIF('Dept. Cost Actuals'!$E$7:$E$176,"*Printing*",'Dept. Cost Actuals'!AD$7:AD$176))</f>
        <v>0</v>
      </c>
      <c r="AA37" s="668">
        <f>IF(AA$4="forecast",AVERAGE(O37:Z37),SUMIF('Dept. Cost Actuals'!$E$7:$E$176,"*Printing*",'Dept. Cost Actuals'!AE$7:AE$176))</f>
        <v>102.59</v>
      </c>
      <c r="AB37" s="668">
        <f>IF(AB$4="forecast",AVERAGE(P37:AA37),SUMIF('Dept. Cost Actuals'!$E$7:$E$176,"*Printing*",'Dept. Cost Actuals'!AF$7:AF$176))</f>
        <v>0</v>
      </c>
      <c r="AC37" s="668">
        <f>IF(AC$4="forecast",AVERAGE(Q37:AB37),SUMIF('Dept. Cost Actuals'!$E$7:$E$176,"*Printing*",'Dept. Cost Actuals'!AG$7:AG$176))</f>
        <v>0</v>
      </c>
      <c r="AD37" s="668">
        <f>IF(AD$4="forecast",AVERAGE(R37:AC37),SUMIF('Dept. Cost Actuals'!$E$7:$E$176,"*Printing*",'Dept. Cost Actuals'!AH$7:AH$176))</f>
        <v>208.03833333333333</v>
      </c>
      <c r="AE37" s="668">
        <f>IF(AE$4="forecast",AVERAGE(S37:AD37),SUMIF('Dept. Cost Actuals'!$E$7:$E$176,"*Printing*",'Dept. Cost Actuals'!AI$7:AI$176))</f>
        <v>225.37486111111113</v>
      </c>
      <c r="AF37" s="668">
        <f>IF(AF$4="forecast",AVERAGE(T37:AE37),SUMIF('Dept. Cost Actuals'!$E$7:$E$176,"*Printing*",'Dept. Cost Actuals'!AJ$7:AJ$176))</f>
        <v>130.52359953703703</v>
      </c>
      <c r="AG37" s="668">
        <f>IF(AG$4="forecast",AVERAGE(U37:AF37),SUMIF('Dept. Cost Actuals'!$E$7:$E$176,"*Printing*",'Dept. Cost Actuals'!AK$7:AK$176))</f>
        <v>141.40056616512345</v>
      </c>
      <c r="AH37" s="668">
        <f>IF(AH$4="forecast",AVERAGE(V37:AG37),SUMIF('Dept. Cost Actuals'!$E$7:$E$176,"*Printing*",'Dept. Cost Actuals'!AL$7:AL$176))</f>
        <v>153.18394667888376</v>
      </c>
      <c r="AI37" s="668">
        <f>IF(AI$4="forecast",AVERAGE(W37:AH37),SUMIF('Dept. Cost Actuals'!$E$7:$E$176,"*Printing*",'Dept. Cost Actuals'!AM$7:AM$176))</f>
        <v>165.94927556879074</v>
      </c>
      <c r="AJ37" s="668">
        <f>IF(AJ$4="forecast",AVERAGE(X37:AI37),SUMIF('Dept. Cost Actuals'!$E$7:$E$176,"*Printing*",'Dept. Cost Actuals'!AN$7:AN$176))</f>
        <v>159.26504853285664</v>
      </c>
      <c r="AK37" s="668">
        <f>IF(AK$4="forecast",AVERAGE(Y37:AJ37),SUMIF('Dept. Cost Actuals'!$E$7:$E$176,"*Printing*",'Dept. Cost Actuals'!AO$7:AO$176))</f>
        <v>172.53713591059469</v>
      </c>
      <c r="AL37" s="668">
        <f>IF(AL$4="forecast",AVERAGE(Z37:AK37),SUMIF('Dept. Cost Actuals'!$E$7:$E$176,"*Printing*",'Dept. Cost Actuals'!AP$7:AP$176))</f>
        <v>121.57189723647757</v>
      </c>
      <c r="AM37" s="668">
        <f>IF(AM$4="forecast",AVERAGE(AA37:AL37),SUMIF('Dept. Cost Actuals'!$E$7:$E$176,"*Printing*",'Dept. Cost Actuals'!AQ$7:AQ$176))</f>
        <v>131.70288867285069</v>
      </c>
      <c r="AN37" s="668">
        <f>IF(AN$4="forecast",AVERAGE(AB37:AM37),SUMIF('Dept. Cost Actuals'!$E$7:$E$176,"*Printing*",'Dept. Cost Actuals'!AR$7:AR$176))</f>
        <v>134.12896272892158</v>
      </c>
      <c r="AO37" s="668">
        <f>IF(AO$4="forecast",AVERAGE(AC37:AN37),SUMIF('Dept. Cost Actuals'!$E$7:$E$176,"*Printing*",'Dept. Cost Actuals'!AS$7:AS$176))</f>
        <v>145.30637628966505</v>
      </c>
      <c r="AP37" s="668">
        <f>IF(AP$4="forecast",AVERAGE(AD37:AO37),SUMIF('Dept. Cost Actuals'!$E$7:$E$176,"*Printing*",'Dept. Cost Actuals'!AT$7:AT$176))</f>
        <v>157.41524098047046</v>
      </c>
      <c r="AQ37" s="668">
        <f>IF(AQ$4="forecast",AVERAGE(AE37:AP37),SUMIF('Dept. Cost Actuals'!$E$7:$E$176,"*Printing*",'Dept. Cost Actuals'!AU$7:AU$176))</f>
        <v>153.19664995106521</v>
      </c>
      <c r="AR37" s="668">
        <f>IF(AR$4="forecast",AVERAGE(AF37:AQ37),SUMIF('Dept. Cost Actuals'!$E$7:$E$176,"*Printing*",'Dept. Cost Actuals'!AV$7:AV$176))</f>
        <v>147.18179902106141</v>
      </c>
      <c r="AS37" s="668">
        <f>IF(AS$4="forecast",AVERAGE(AG37:AR37),SUMIF('Dept. Cost Actuals'!$E$7:$E$176,"*Printing*",'Dept. Cost Actuals'!AW$7:AW$176))</f>
        <v>148.56998231139676</v>
      </c>
      <c r="AT37" s="668">
        <f>IF(AT$4="forecast",AVERAGE(AH37:AS37),SUMIF('Dept. Cost Actuals'!$E$7:$E$176,"*Printing*",'Dept. Cost Actuals'!AX$7:AX$176))</f>
        <v>149.16743365691954</v>
      </c>
      <c r="AU37" s="668">
        <f>IF(AU$4="forecast",AVERAGE(AI37:AT37),SUMIF('Dept. Cost Actuals'!$E$7:$E$176,"*Printing*",'Dept. Cost Actuals'!AY$7:AY$176))</f>
        <v>148.83272423842251</v>
      </c>
      <c r="AV37" s="668">
        <f>IF(AV$4="forecast",AVERAGE(AJ37:AU37),SUMIF('Dept. Cost Actuals'!$E$7:$E$176,"*Printing*",'Dept. Cost Actuals'!AZ$7:AZ$176))</f>
        <v>147.40634496089183</v>
      </c>
      <c r="AW37" s="668">
        <f>IF(AW$4="forecast",AVERAGE(AK37:AV37),SUMIF('Dept. Cost Actuals'!$E$7:$E$176,"*Printing*",'Dept. Cost Actuals'!BA$7:BA$176))</f>
        <v>146.41811966322808</v>
      </c>
      <c r="AX37" s="668">
        <f>IF(AX$4="forecast",AVERAGE(AL37:AW37),SUMIF('Dept. Cost Actuals'!$E$7:$E$176,"*Printing*",'Dept. Cost Actuals'!BB$7:BB$176))</f>
        <v>144.24153497594756</v>
      </c>
      <c r="AY37" s="668">
        <f>IF(AY$4="forecast",AVERAGE(AM37:AX37),SUMIF('Dept. Cost Actuals'!$E$7:$E$176,"*Printing*",'Dept. Cost Actuals'!BC$7:BC$176))</f>
        <v>146.13067145423673</v>
      </c>
      <c r="AZ37" s="668">
        <f>IF(AZ$4="forecast",AVERAGE(AN37:AY37),SUMIF('Dept. Cost Actuals'!$E$7:$E$176,"*Printing*",'Dept. Cost Actuals'!BD$7:BD$176))</f>
        <v>147.3329866860189</v>
      </c>
      <c r="BA37" s="668">
        <f>IF(BA$4="forecast",AVERAGE(AO37:AZ37),SUMIF('Dept. Cost Actuals'!$E$7:$E$176,"*Printing*",'Dept. Cost Actuals'!BE$7:BE$176))</f>
        <v>148.43332201577701</v>
      </c>
      <c r="BB37" s="668">
        <f>IF(BB$4="forecast",AVERAGE(AP37:BA37),SUMIF('Dept. Cost Actuals'!$E$7:$E$176,"*Printing*",'Dept. Cost Actuals'!BF$7:BF$176))</f>
        <v>148.69390082628632</v>
      </c>
      <c r="BC37" s="668">
        <f>IF(BC$4="forecast",AVERAGE(AQ37:BB37),SUMIF('Dept. Cost Actuals'!$E$7:$E$176,"*Printing*",'Dept. Cost Actuals'!BG$7:BG$176))</f>
        <v>147.96712248010434</v>
      </c>
      <c r="BD37" s="668">
        <f>IF(BD$4="forecast",AVERAGE(AR37:BC37),SUMIF('Dept. Cost Actuals'!$E$7:$E$176,"*Printing*",'Dept. Cost Actuals'!BH$7:BH$176))</f>
        <v>147.53132852419091</v>
      </c>
      <c r="BE37" s="668">
        <f>IF(BE$4="forecast",AVERAGE(AS37:BD37),SUMIF('Dept. Cost Actuals'!$E$7:$E$176,"*Printing*",'Dept. Cost Actuals'!BI$7:BI$176))</f>
        <v>147.56045598278507</v>
      </c>
      <c r="BF37" s="668">
        <f>IF(BF$4="forecast",AVERAGE(AT37:BE37),SUMIF('Dept. Cost Actuals'!$E$7:$E$176,"*Printing*",'Dept. Cost Actuals'!BJ$7:BJ$176))</f>
        <v>147.47632878873409</v>
      </c>
      <c r="BG37" s="668">
        <f>IF(BG$4="forecast",AVERAGE(AU37:BF37),SUMIF('Dept. Cost Actuals'!$E$7:$E$176,"*Printing*",'Dept. Cost Actuals'!BK$7:BK$176))</f>
        <v>147.33540338305195</v>
      </c>
      <c r="BH37" s="668">
        <f>IF(BH$4="forecast",AVERAGE(AV37:BG37),SUMIF('Dept. Cost Actuals'!$E$7:$E$176,"*Printing*",'Dept. Cost Actuals'!BL$7:BL$176))</f>
        <v>147.21062664510438</v>
      </c>
      <c r="BI37" s="668">
        <f>IF(BI$4="forecast",AVERAGE(AW37:BH37),SUMIF('Dept. Cost Actuals'!$E$7:$E$176,"*Printing*",'Dept. Cost Actuals'!BM$7:BM$176))</f>
        <v>147.19431678545541</v>
      </c>
      <c r="BJ37" s="668">
        <f>IF(BJ$4="forecast",AVERAGE(AX37:BI37),SUMIF('Dept. Cost Actuals'!$E$7:$E$176,"*Printing*",'Dept. Cost Actuals'!BN$7:BN$176))</f>
        <v>147.25899987897438</v>
      </c>
      <c r="BK37" s="668">
        <f>IF(BK$4="forecast",AVERAGE(AY37:BJ37),SUMIF('Dept. Cost Actuals'!$E$7:$E$176,"*Printing*",'Dept. Cost Actuals'!BO$7:BO$176))</f>
        <v>147.51045528755995</v>
      </c>
      <c r="BL37" s="668">
        <f>IF(BL$4="forecast",AVERAGE(AZ37:BK37),SUMIF('Dept. Cost Actuals'!$E$7:$E$176,"*Printing*",'Dept. Cost Actuals'!BP$7:BP$176))</f>
        <v>147.62543727367023</v>
      </c>
      <c r="BM37" s="668">
        <f>IF(BM$4="forecast",AVERAGE(BA37:BL37),SUMIF('Dept. Cost Actuals'!$E$7:$E$176,"*Printing*",'Dept. Cost Actuals'!BQ$7:BQ$176))</f>
        <v>147.64980815597454</v>
      </c>
      <c r="BN37" s="668">
        <f>IF(BN$4="forecast",AVERAGE(BB37:BM37),SUMIF('Dept. Cost Actuals'!$E$7:$E$176,"*Printing*",'Dept. Cost Actuals'!BR$7:BR$176))</f>
        <v>147.58451533432432</v>
      </c>
      <c r="BO37" s="668">
        <f>IF(BO$4="forecast",AVERAGE(BC37:BN37),SUMIF('Dept. Cost Actuals'!$E$7:$E$176,"*Printing*",'Dept. Cost Actuals'!BS$7:BS$176))</f>
        <v>147.4920665433275</v>
      </c>
      <c r="BP37" s="668">
        <f>IF(BP$4="forecast",AVERAGE(BD37:BO37),SUMIF('Dept. Cost Actuals'!$E$7:$E$176,"*Printing*",'Dept. Cost Actuals'!BT$7:BT$176))</f>
        <v>147.45247854859608</v>
      </c>
      <c r="BQ37" s="668">
        <f>IF(BQ$4="forecast",AVERAGE(BE37:BP37),SUMIF('Dept. Cost Actuals'!$E$7:$E$176,"*Printing*",'Dept. Cost Actuals'!BU$7:BU$176))</f>
        <v>147.44590771729648</v>
      </c>
      <c r="BR37" s="668">
        <f>IF(BR$4="forecast",AVERAGE(BF37:BQ37),SUMIF('Dept. Cost Actuals'!$E$7:$E$176,"*Printing*",'Dept. Cost Actuals'!BV$7:BV$176))</f>
        <v>147.43636202850576</v>
      </c>
      <c r="BS37" s="668">
        <f>IF(BS$4="forecast",AVERAGE(BG37:BR37),SUMIF('Dept. Cost Actuals'!$E$7:$E$176,"*Printing*",'Dept. Cost Actuals'!BW$7:BW$176))</f>
        <v>147.43303146515339</v>
      </c>
      <c r="BT37" s="668">
        <f>IF(BT$4="forecast",AVERAGE(BH37:BS37),SUMIF('Dept. Cost Actuals'!$E$7:$E$176,"*Printing*",'Dept. Cost Actuals'!BX$7:BX$176))</f>
        <v>147.44116713866185</v>
      </c>
      <c r="BU37" s="668">
        <f>IF(BU$4="forecast",AVERAGE(BI37:BT37),SUMIF('Dept. Cost Actuals'!$E$7:$E$176,"*Printing*",'Dept. Cost Actuals'!BY$7:BY$176))</f>
        <v>147.46037884645833</v>
      </c>
      <c r="BV37" s="668">
        <f>IF(BV$4="forecast",AVERAGE(BJ37:BU37),SUMIF('Dept. Cost Actuals'!$E$7:$E$176,"*Printing*",'Dept. Cost Actuals'!BZ$7:BZ$176))</f>
        <v>147.48255068487524</v>
      </c>
    </row>
    <row r="38" spans="2:74" x14ac:dyDescent="0.25">
      <c r="B38" s="794" t="s">
        <v>921</v>
      </c>
      <c r="C38" s="668">
        <f>IF(C$4="forecast",AVERAGE(#REF!),SUMIF('Dept. Cost Actuals'!$E$7:$E$176,"*Office Supplies*",'Dept. Cost Actuals'!G$7:G$176))</f>
        <v>142.35149658710372</v>
      </c>
      <c r="D38" s="668">
        <f>IF(D$4="forecast",AVERAGE(#REF!),SUMIF('Dept. Cost Actuals'!$E$7:$E$176,"*Office Supplies*",'Dept. Cost Actuals'!H$7:H$176))</f>
        <v>216.27413023760329</v>
      </c>
      <c r="E38" s="668">
        <f>IF(E$4="forecast",AVERAGE(#REF!),SUMIF('Dept. Cost Actuals'!$E$7:$E$176,"*Office Supplies*",'Dept. Cost Actuals'!I$7:I$176))</f>
        <v>155.31878637063437</v>
      </c>
      <c r="F38" s="668">
        <f>IF(F$4="forecast",AVERAGE(#REF!),SUMIF('Dept. Cost Actuals'!$E$7:$E$176,"*Office Supplies*",'Dept. Cost Actuals'!J$7:J$176))</f>
        <v>193.55293937407626</v>
      </c>
      <c r="G38" s="668">
        <f>IF(G$4="forecast",AVERAGE(#REF!),SUMIF('Dept. Cost Actuals'!$E$7:$E$176,"*Office Supplies*",'Dept. Cost Actuals'!K$7:K$176))</f>
        <v>107.41115623407316</v>
      </c>
      <c r="H38" s="668">
        <f>IF(H$4="forecast",AVERAGE(#REF!),SUMIF('Dept. Cost Actuals'!$E$7:$E$176,"*Office Supplies*",'Dept. Cost Actuals'!L$7:L$176))</f>
        <v>345.98473222634544</v>
      </c>
      <c r="I38" s="668">
        <f>IF(I$4="forecast",AVERAGE(#REF!),SUMIF('Dept. Cost Actuals'!$E$7:$E$176,"*Office Supplies*",'Dept. Cost Actuals'!M$7:M$176))</f>
        <v>412.41417166350186</v>
      </c>
      <c r="J38" s="668">
        <f>IF(J$4="forecast",AVERAGE(#REF!),SUMIF('Dept. Cost Actuals'!$E$7:$E$176,"*Office Supplies*",'Dept. Cost Actuals'!N$7:N$176))</f>
        <v>246.22401395956166</v>
      </c>
      <c r="K38" s="668">
        <f>IF(K$4="forecast",AVERAGE(#REF!),SUMIF('Dept. Cost Actuals'!$E$7:$E$176,"*Office Supplies*",'Dept. Cost Actuals'!O$7:O$176))</f>
        <v>159.4158621475876</v>
      </c>
      <c r="L38" s="668">
        <f>IF(L$4="forecast",AVERAGE(#REF!),SUMIF('Dept. Cost Actuals'!$E$7:$E$176,"*Office Supplies*",'Dept. Cost Actuals'!P$7:P$176))</f>
        <v>201.75440571863567</v>
      </c>
      <c r="M38" s="668">
        <f>IF(M$4="forecast",AVERAGE(A38:L38),SUMIF('Dept. Cost Actuals'!$E$7:$E$176,"*Office Supplies*",'Dept. Cost Actuals'!Q$7:Q$176))</f>
        <v>202.89846958914978</v>
      </c>
      <c r="N38" s="668">
        <f>IF(N$4="forecast",AVERAGE(B38:M38),SUMIF('Dept. Cost Actuals'!$E$7:$E$176,"*Office Supplies*",'Dept. Cost Actuals'!R$7:R$176))</f>
        <v>87.374708843095235</v>
      </c>
      <c r="O38" s="668">
        <f>IF(O$4="forecast",AVERAGE(C38:N38),SUMIF('Dept. Cost Actuals'!$E$7:$E$176,"*Office Supplies*",'Dept. Cost Actuals'!S$7:S$176))</f>
        <v>1506.25</v>
      </c>
      <c r="P38" s="668">
        <f>IF(P$4="forecast",AVERAGE(D38:O38),SUMIF('Dept. Cost Actuals'!$E$7:$E$176,"*Office Supplies*",'Dept. Cost Actuals'!T$7:T$176))</f>
        <v>1948.96</v>
      </c>
      <c r="Q38" s="668">
        <f>IF(Q$4="forecast",AVERAGE(E38:P38),SUMIF('Dept. Cost Actuals'!$E$7:$E$176,"*Office Supplies*",'Dept. Cost Actuals'!U$7:U$176))</f>
        <v>304.5</v>
      </c>
      <c r="R38" s="668">
        <f>IF(R$4="forecast",AVERAGE(F38:Q38),SUMIF('Dept. Cost Actuals'!$E$7:$E$176,"*Office Supplies*",'Dept. Cost Actuals'!V$7:V$176))</f>
        <v>-173.78</v>
      </c>
      <c r="S38" s="668">
        <f>IF(S$4="forecast",AVERAGE(G38:R38),SUMIF('Dept. Cost Actuals'!$E$7:$E$176,"*Office Supplies*",'Dept. Cost Actuals'!W$7:W$176))</f>
        <v>89.56</v>
      </c>
      <c r="T38" s="668">
        <f>IF(T$4="forecast",AVERAGE(H38:S38),SUMIF('Dept. Cost Actuals'!$E$7:$E$176,"*Office Supplies*",'Dept. Cost Actuals'!X$7:X$176))</f>
        <v>0</v>
      </c>
      <c r="U38" s="668">
        <f>IF(U$4="forecast",AVERAGE(I38:T38),SUMIF('Dept. Cost Actuals'!$E$7:$E$176,"*Office Supplies*",'Dept. Cost Actuals'!Y$7:Y$176))</f>
        <v>96.51</v>
      </c>
      <c r="V38" s="668">
        <f>IF(V$4="forecast",AVERAGE(J38:U38),SUMIF('Dept. Cost Actuals'!$E$7:$E$176,"*Office Supplies*",'Dept. Cost Actuals'!Z$7:Z$176))</f>
        <v>151.97</v>
      </c>
      <c r="W38" s="668">
        <f>IF(W$4="forecast",AVERAGE(K38:V38),SUMIF('Dept. Cost Actuals'!$E$7:$E$176,"*Office Supplies*",'Dept. Cost Actuals'!AA$7:AA$176))</f>
        <v>966.98</v>
      </c>
      <c r="X38" s="668">
        <f>IF(X$4="forecast",AVERAGE(L38:W38),SUMIF('Dept. Cost Actuals'!$E$7:$E$176,"*Office Supplies*",'Dept. Cost Actuals'!AB$7:AB$176))</f>
        <v>335.82</v>
      </c>
      <c r="Y38" s="668">
        <f>IF(Y$4="forecast",AVERAGE(M38:X38),SUMIF('Dept. Cost Actuals'!$E$7:$E$176,"*Office Supplies*",'Dept. Cost Actuals'!AC$7:AC$176))</f>
        <v>231.75</v>
      </c>
      <c r="Z38" s="668">
        <f>IF(Z$4="forecast",AVERAGE(N38:Y38),SUMIF('Dept. Cost Actuals'!$E$7:$E$176,"*Office Supplies*",'Dept. Cost Actuals'!AD$7:AD$176))</f>
        <v>96.26</v>
      </c>
      <c r="AA38" s="668">
        <f>IF(AA$4="forecast",AVERAGE(O38:Z38),SUMIF('Dept. Cost Actuals'!$E$7:$E$176,"*Office Supplies*",'Dept. Cost Actuals'!AE$7:AE$176))</f>
        <v>527.16</v>
      </c>
      <c r="AB38" s="668">
        <f>IF(AB$4="forecast",AVERAGE(P38:AA38),SUMIF('Dept. Cost Actuals'!$E$7:$E$176,"*Office Supplies*",'Dept. Cost Actuals'!AF$7:AF$176))</f>
        <v>51.67</v>
      </c>
      <c r="AC38" s="668">
        <f>IF(AC$4="forecast",AVERAGE(Q38:AB38),SUMIF('Dept. Cost Actuals'!$E$7:$E$176,"*Office Supplies*",'Dept. Cost Actuals'!AG$7:AG$176))</f>
        <v>64.36</v>
      </c>
      <c r="AD38" s="668">
        <f>IF(AD$4="forecast",AVERAGE(R38:AC38),SUMIF('Dept. Cost Actuals'!$E$7:$E$176,"*Office Supplies*",'Dept. Cost Actuals'!AH$7:AH$176))</f>
        <v>203.18833333333336</v>
      </c>
      <c r="AE38" s="668">
        <f>IF(AE$4="forecast",AVERAGE(S38:AD38),SUMIF('Dept. Cost Actuals'!$E$7:$E$176,"*Office Supplies*",'Dept. Cost Actuals'!AI$7:AI$176))</f>
        <v>234.60236111111112</v>
      </c>
      <c r="AF38" s="668">
        <f>IF(AF$4="forecast",AVERAGE(T38:AE38),SUMIF('Dept. Cost Actuals'!$E$7:$E$176,"*Office Supplies*",'Dept. Cost Actuals'!AJ$7:AJ$176))</f>
        <v>246.68922453703703</v>
      </c>
      <c r="AG38" s="668">
        <f>IF(AG$4="forecast",AVERAGE(U38:AF38),SUMIF('Dept. Cost Actuals'!$E$7:$E$176,"*Office Supplies*",'Dept. Cost Actuals'!AK$7:AK$176))</f>
        <v>267.24665991512347</v>
      </c>
      <c r="AH38" s="668">
        <f>IF(AH$4="forecast",AVERAGE(V38:AG38),SUMIF('Dept. Cost Actuals'!$E$7:$E$176,"*Office Supplies*",'Dept. Cost Actuals'!AL$7:AL$176))</f>
        <v>281.47471490805049</v>
      </c>
      <c r="AI38" s="668">
        <f>IF(AI$4="forecast",AVERAGE(W38:AH38),SUMIF('Dept. Cost Actuals'!$E$7:$E$176,"*Office Supplies*",'Dept. Cost Actuals'!AM$7:AM$176))</f>
        <v>292.26677448372135</v>
      </c>
      <c r="AJ38" s="668">
        <f>IF(AJ$4="forecast",AVERAGE(X38:AI38),SUMIF('Dept. Cost Actuals'!$E$7:$E$176,"*Office Supplies*",'Dept. Cost Actuals'!AN$7:AN$176))</f>
        <v>236.04067235736468</v>
      </c>
      <c r="AK38" s="668">
        <f>IF(AK$4="forecast",AVERAGE(Y38:AJ38),SUMIF('Dept. Cost Actuals'!$E$7:$E$176,"*Office Supplies*",'Dept. Cost Actuals'!AO$7:AO$176))</f>
        <v>227.7257283871451</v>
      </c>
      <c r="AL38" s="668">
        <f>IF(AL$4="forecast",AVERAGE(Z38:AK38),SUMIF('Dept. Cost Actuals'!$E$7:$E$176,"*Office Supplies*",'Dept. Cost Actuals'!AP$7:AP$176))</f>
        <v>227.39037241940719</v>
      </c>
      <c r="AM38" s="668">
        <f>IF(AM$4="forecast",AVERAGE(AA38:AL38),SUMIF('Dept. Cost Actuals'!$E$7:$E$176,"*Office Supplies*",'Dept. Cost Actuals'!AQ$7:AQ$176))</f>
        <v>238.31790345435783</v>
      </c>
      <c r="AN38" s="668">
        <f>IF(AN$4="forecast",AVERAGE(AB38:AM38),SUMIF('Dept. Cost Actuals'!$E$7:$E$176,"*Office Supplies*",'Dept. Cost Actuals'!AR$7:AR$176))</f>
        <v>214.24772874222091</v>
      </c>
      <c r="AO38" s="668">
        <f>IF(AO$4="forecast",AVERAGE(AC38:AN38),SUMIF('Dept. Cost Actuals'!$E$7:$E$176,"*Office Supplies*",'Dept. Cost Actuals'!AS$7:AS$176))</f>
        <v>227.7958728040727</v>
      </c>
      <c r="AP38" s="668">
        <f>IF(AP$4="forecast",AVERAGE(AD38:AO38),SUMIF('Dept. Cost Actuals'!$E$7:$E$176,"*Office Supplies*",'Dept. Cost Actuals'!AT$7:AT$176))</f>
        <v>241.41552887107875</v>
      </c>
      <c r="AQ38" s="668">
        <f>IF(AQ$4="forecast",AVERAGE(AE38:AP38),SUMIF('Dept. Cost Actuals'!$E$7:$E$176,"*Office Supplies*",'Dept. Cost Actuals'!AU$7:AU$176))</f>
        <v>244.60112849922416</v>
      </c>
      <c r="AR38" s="668">
        <f>IF(AR$4="forecast",AVERAGE(AF38:AQ38),SUMIF('Dept. Cost Actuals'!$E$7:$E$176,"*Office Supplies*",'Dept. Cost Actuals'!AV$7:AV$176))</f>
        <v>245.43435911490027</v>
      </c>
      <c r="AS38" s="668">
        <f>IF(AS$4="forecast",AVERAGE(AG38:AR38),SUMIF('Dept. Cost Actuals'!$E$7:$E$176,"*Office Supplies*",'Dept. Cost Actuals'!AW$7:AW$176))</f>
        <v>245.32978699638889</v>
      </c>
      <c r="AT38" s="668">
        <f>IF(AT$4="forecast",AVERAGE(AH38:AS38),SUMIF('Dept. Cost Actuals'!$E$7:$E$176,"*Office Supplies*",'Dept. Cost Actuals'!AX$7:AX$176))</f>
        <v>243.50338091982769</v>
      </c>
      <c r="AU38" s="668">
        <f>IF(AU$4="forecast",AVERAGE(AI38:AT38),SUMIF('Dept. Cost Actuals'!$E$7:$E$176,"*Office Supplies*",'Dept. Cost Actuals'!AY$7:AY$176))</f>
        <v>240.33910308747579</v>
      </c>
      <c r="AV38" s="668">
        <f>IF(AV$4="forecast",AVERAGE(AJ38:AU38),SUMIF('Dept. Cost Actuals'!$E$7:$E$176,"*Office Supplies*",'Dept. Cost Actuals'!AZ$7:AZ$176))</f>
        <v>236.01179713778868</v>
      </c>
      <c r="AW38" s="668">
        <f>IF(AW$4="forecast",AVERAGE(AK38:AV38),SUMIF('Dept. Cost Actuals'!$E$7:$E$176,"*Office Supplies*",'Dept. Cost Actuals'!BA$7:BA$176))</f>
        <v>236.00939086949066</v>
      </c>
      <c r="AX38" s="668">
        <f>IF(AX$4="forecast",AVERAGE(AL38:AW38),SUMIF('Dept. Cost Actuals'!$E$7:$E$176,"*Office Supplies*",'Dept. Cost Actuals'!BB$7:BB$176))</f>
        <v>236.69969607635281</v>
      </c>
      <c r="AY38" s="668">
        <f>IF(AY$4="forecast",AVERAGE(AM38:AX38),SUMIF('Dept. Cost Actuals'!$E$7:$E$176,"*Office Supplies*",'Dept. Cost Actuals'!BC$7:BC$176))</f>
        <v>237.47547304776492</v>
      </c>
      <c r="AZ38" s="668">
        <f>IF(AZ$4="forecast",AVERAGE(AN38:AY38),SUMIF('Dept. Cost Actuals'!$E$7:$E$176,"*Office Supplies*",'Dept. Cost Actuals'!BD$7:BD$176))</f>
        <v>237.40527051388219</v>
      </c>
      <c r="BA38" s="668">
        <f>IF(BA$4="forecast",AVERAGE(AO38:AZ38),SUMIF('Dept. Cost Actuals'!$E$7:$E$176,"*Office Supplies*",'Dept. Cost Actuals'!BE$7:BE$176))</f>
        <v>239.33506566152062</v>
      </c>
      <c r="BB38" s="668">
        <f>IF(BB$4="forecast",AVERAGE(AP38:BA38),SUMIF('Dept. Cost Actuals'!$E$7:$E$176,"*Office Supplies*",'Dept. Cost Actuals'!BF$7:BF$176))</f>
        <v>240.29666506630792</v>
      </c>
      <c r="BC38" s="668">
        <f>IF(BC$4="forecast",AVERAGE(AQ38:BB38),SUMIF('Dept. Cost Actuals'!$E$7:$E$176,"*Office Supplies*",'Dept. Cost Actuals'!BG$7:BG$176))</f>
        <v>240.2034264159104</v>
      </c>
      <c r="BD38" s="668">
        <f>IF(BD$4="forecast",AVERAGE(AR38:BC38),SUMIF('Dept. Cost Actuals'!$E$7:$E$176,"*Office Supplies*",'Dept. Cost Actuals'!BH$7:BH$176))</f>
        <v>239.83695124230096</v>
      </c>
      <c r="BE38" s="668">
        <f>IF(BE$4="forecast",AVERAGE(AS38:BD38),SUMIF('Dept. Cost Actuals'!$E$7:$E$176,"*Office Supplies*",'Dept. Cost Actuals'!BI$7:BI$176))</f>
        <v>239.37050058625098</v>
      </c>
      <c r="BF38" s="668">
        <f>IF(BF$4="forecast",AVERAGE(AT38:BE38),SUMIF('Dept. Cost Actuals'!$E$7:$E$176,"*Office Supplies*",'Dept. Cost Actuals'!BJ$7:BJ$176))</f>
        <v>238.87389338540618</v>
      </c>
      <c r="BG38" s="668">
        <f>IF(BG$4="forecast",AVERAGE(AU38:BF38),SUMIF('Dept. Cost Actuals'!$E$7:$E$176,"*Office Supplies*",'Dept. Cost Actuals'!BK$7:BK$176))</f>
        <v>238.48810275753769</v>
      </c>
      <c r="BH38" s="668">
        <f>IF(BH$4="forecast",AVERAGE(AV38:BG38),SUMIF('Dept. Cost Actuals'!$E$7:$E$176,"*Office Supplies*",'Dept. Cost Actuals'!BL$7:BL$176))</f>
        <v>238.33385273004282</v>
      </c>
      <c r="BI38" s="668">
        <f>IF(BI$4="forecast",AVERAGE(AW38:BH38),SUMIF('Dept. Cost Actuals'!$E$7:$E$176,"*Office Supplies*",'Dept. Cost Actuals'!BM$7:BM$176))</f>
        <v>238.52735736273067</v>
      </c>
      <c r="BJ38" s="668">
        <f>IF(BJ$4="forecast",AVERAGE(AX38:BI38),SUMIF('Dept. Cost Actuals'!$E$7:$E$176,"*Office Supplies*",'Dept. Cost Actuals'!BN$7:BN$176))</f>
        <v>238.73718790383398</v>
      </c>
      <c r="BK38" s="668">
        <f>IF(BK$4="forecast",AVERAGE(AY38:BJ38),SUMIF('Dept. Cost Actuals'!$E$7:$E$176,"*Office Supplies*",'Dept. Cost Actuals'!BO$7:BO$176))</f>
        <v>238.90697888945746</v>
      </c>
      <c r="BL38" s="668">
        <f>IF(BL$4="forecast",AVERAGE(AZ38:BK38),SUMIF('Dept. Cost Actuals'!$E$7:$E$176,"*Office Supplies*",'Dept. Cost Actuals'!BP$7:BP$176))</f>
        <v>239.02627104293182</v>
      </c>
      <c r="BM38" s="668">
        <f>IF(BM$4="forecast",AVERAGE(BA38:BL38),SUMIF('Dept. Cost Actuals'!$E$7:$E$176,"*Office Supplies*",'Dept. Cost Actuals'!BQ$7:BQ$176))</f>
        <v>239.16135442035264</v>
      </c>
      <c r="BN38" s="668">
        <f>IF(BN$4="forecast",AVERAGE(BB38:BM38),SUMIF('Dept. Cost Actuals'!$E$7:$E$176,"*Office Supplies*",'Dept. Cost Actuals'!BR$7:BR$176))</f>
        <v>239.14687848358867</v>
      </c>
      <c r="BO38" s="668">
        <f>IF(BO$4="forecast",AVERAGE(BC38:BN38),SUMIF('Dept. Cost Actuals'!$E$7:$E$176,"*Office Supplies*",'Dept. Cost Actuals'!BS$7:BS$176))</f>
        <v>239.05106293502874</v>
      </c>
      <c r="BP38" s="668">
        <f>IF(BP$4="forecast",AVERAGE(BD38:BO38),SUMIF('Dept. Cost Actuals'!$E$7:$E$176,"*Office Supplies*",'Dept. Cost Actuals'!BT$7:BT$176))</f>
        <v>238.95503264495525</v>
      </c>
      <c r="BQ38" s="668">
        <f>IF(BQ$4="forecast",AVERAGE(BE38:BP38),SUMIF('Dept. Cost Actuals'!$E$7:$E$176,"*Office Supplies*",'Dept. Cost Actuals'!BU$7:BU$176))</f>
        <v>238.88153942850977</v>
      </c>
      <c r="BR38" s="668">
        <f>IF(BR$4="forecast",AVERAGE(BF38:BQ38),SUMIF('Dept. Cost Actuals'!$E$7:$E$176,"*Office Supplies*",'Dept. Cost Actuals'!BV$7:BV$176))</f>
        <v>238.84079266536466</v>
      </c>
      <c r="BS38" s="668">
        <f>IF(BS$4="forecast",AVERAGE(BG38:BR38),SUMIF('Dept. Cost Actuals'!$E$7:$E$176,"*Office Supplies*",'Dept. Cost Actuals'!BW$7:BW$176))</f>
        <v>238.83803427202781</v>
      </c>
      <c r="BT38" s="668">
        <f>IF(BT$4="forecast",AVERAGE(BH38:BS38),SUMIF('Dept. Cost Actuals'!$E$7:$E$176,"*Office Supplies*",'Dept. Cost Actuals'!BX$7:BX$176))</f>
        <v>238.86719523156867</v>
      </c>
      <c r="BU38" s="668">
        <f>IF(BU$4="forecast",AVERAGE(BI38:BT38),SUMIF('Dept. Cost Actuals'!$E$7:$E$176,"*Office Supplies*",'Dept. Cost Actuals'!BY$7:BY$176))</f>
        <v>238.91164044002917</v>
      </c>
      <c r="BV38" s="790">
        <f>IF(BV$4="forecast",AVERAGE(BJ38:BU38),SUMIF('Dept. Cost Actuals'!$E$7:$E$176,"*Office Supplies*",'Dept. Cost Actuals'!BZ$7:BZ$176))</f>
        <v>238.94366402980404</v>
      </c>
    </row>
    <row r="39" spans="2:74" x14ac:dyDescent="0.25">
      <c r="B39" s="794" t="s">
        <v>922</v>
      </c>
      <c r="C39" s="668">
        <f>IF(C$4="forecast",700,SUMIF('Dept. Cost Actuals'!$E$7:$E$176,"*Development*",'Dept. Cost Actuals'!G$7:G$176))</f>
        <v>0</v>
      </c>
      <c r="D39" s="668">
        <f>IF(D$4="forecast",700,SUMIF('Dept. Cost Actuals'!$E$7:$E$176,"*Development*",'Dept. Cost Actuals'!H$7:H$176))</f>
        <v>33.560439269433019</v>
      </c>
      <c r="E39" s="668">
        <f>IF(E$4="forecast",700,SUMIF('Dept. Cost Actuals'!$E$7:$E$176,"*Development*",'Dept. Cost Actuals'!I$7:I$176))</f>
        <v>33.150791216562098</v>
      </c>
      <c r="F39" s="668">
        <f>IF(F$4="forecast",700,SUMIF('Dept. Cost Actuals'!$E$7:$E$176,"*Development*",'Dept. Cost Actuals'!J$7:J$176))</f>
        <v>28.445308915225748</v>
      </c>
      <c r="G39" s="668">
        <f>IF(G$4="forecast",700,SUMIF('Dept. Cost Actuals'!$E$7:$E$176,"*Development*",'Dept. Cost Actuals'!K$7:K$176))</f>
        <v>63.547062859773682</v>
      </c>
      <c r="H39" s="668">
        <f>IF(H$4="forecast",700,SUMIF('Dept. Cost Actuals'!$E$7:$E$176,"*Development*",'Dept. Cost Actuals'!L$7:L$176))</f>
        <v>0</v>
      </c>
      <c r="I39" s="668">
        <f>IF(I$4="forecast",700,SUMIF('Dept. Cost Actuals'!$E$7:$E$176,"*Development*",'Dept. Cost Actuals'!M$7:M$176))</f>
        <v>7.7217799302010919</v>
      </c>
      <c r="J39" s="668">
        <f>IF(J$4="forecast",700,SUMIF('Dept. Cost Actuals'!$E$7:$E$176,"*Development*",'Dept. Cost Actuals'!N$7:N$176))</f>
        <v>0</v>
      </c>
      <c r="K39" s="668">
        <f>IF(K$4="forecast",700,SUMIF('Dept. Cost Actuals'!$E$7:$E$176,"*Development*",'Dept. Cost Actuals'!O$7:O$176))</f>
        <v>0</v>
      </c>
      <c r="L39" s="668">
        <f>IF(L$4="forecast",700,SUMIF('Dept. Cost Actuals'!$E$7:$E$176,"*Development*",'Dept. Cost Actuals'!P$7:P$176))</f>
        <v>1.9358654869732723</v>
      </c>
      <c r="M39" s="668">
        <f>IF(M$4="forecast",700,SUMIF('Dept. Cost Actuals'!$E$7:$E$176,"*Development*",'Dept. Cost Actuals'!Q$7:Q$176))</f>
        <v>0</v>
      </c>
      <c r="N39" s="668">
        <f>IF(N$4="forecast",700,SUMIF('Dept. Cost Actuals'!$E$7:$E$176,"*Development*",'Dept. Cost Actuals'!R$7:R$176))</f>
        <v>0</v>
      </c>
      <c r="O39" s="668">
        <f>IF(O$4="forecast",700,SUMIF('Dept. Cost Actuals'!$E$7:$E$176,"*Development*",'Dept. Cost Actuals'!S$7:S$176))</f>
        <v>0</v>
      </c>
      <c r="P39" s="668">
        <f>IF(P$4="forecast",700,SUMIF('Dept. Cost Actuals'!$E$7:$E$176,"*Development*",'Dept. Cost Actuals'!T$7:T$176))</f>
        <v>472.89</v>
      </c>
      <c r="Q39" s="668">
        <f>IF(Q$4="forecast",700,SUMIF('Dept. Cost Actuals'!$E$7:$E$176,"*Development*",'Dept. Cost Actuals'!U$7:U$176))</f>
        <v>0</v>
      </c>
      <c r="R39" s="668">
        <f>IF(R$4="forecast",700,SUMIF('Dept. Cost Actuals'!$E$7:$E$176,"*Development*",'Dept. Cost Actuals'!V$7:V$176))</f>
        <v>997.5</v>
      </c>
      <c r="S39" s="668">
        <f>IF(S$4="forecast",700,SUMIF('Dept. Cost Actuals'!$E$7:$E$176,"*Development*",'Dept. Cost Actuals'!W$7:W$176))</f>
        <v>997.5</v>
      </c>
      <c r="T39" s="668">
        <f>IF(T$4="forecast",700,SUMIF('Dept. Cost Actuals'!$E$7:$E$176,"*Development*",'Dept. Cost Actuals'!X$7:X$176))</f>
        <v>48.9</v>
      </c>
      <c r="U39" s="668">
        <f>IF(U$4="forecast",700,SUMIF('Dept. Cost Actuals'!$E$7:$E$176,"*Development*",'Dept. Cost Actuals'!Y$7:Y$176))</f>
        <v>0</v>
      </c>
      <c r="V39" s="668">
        <f>IF(V$4="forecast",700,SUMIF('Dept. Cost Actuals'!$E$7:$E$176,"*Development*",'Dept. Cost Actuals'!Z$7:Z$176))</f>
        <v>0</v>
      </c>
      <c r="W39" s="668">
        <f>IF(W$4="forecast",700,SUMIF('Dept. Cost Actuals'!$E$7:$E$176,"*Development*",'Dept. Cost Actuals'!AA$7:AA$176))</f>
        <v>0</v>
      </c>
      <c r="X39" s="668">
        <f>IF(X$4="forecast",700,SUMIF('Dept. Cost Actuals'!$E$7:$E$176,"*Development*",'Dept. Cost Actuals'!AB$7:AB$176))</f>
        <v>0</v>
      </c>
      <c r="Y39" s="668">
        <f>IF(Y$4="forecast",700,SUMIF('Dept. Cost Actuals'!$E$7:$E$176,"*Development*",'Dept. Cost Actuals'!AC$7:AC$176))</f>
        <v>0</v>
      </c>
      <c r="Z39" s="668">
        <f>IF(Z$4="forecast",700,SUMIF('Dept. Cost Actuals'!$E$7:$E$176,"*Development*",'Dept. Cost Actuals'!AD$7:AD$176))</f>
        <v>0</v>
      </c>
      <c r="AA39" s="668">
        <f>IF(AA$4="forecast",700,SUMIF('Dept. Cost Actuals'!$E$7:$E$176,"*Development*",'Dept. Cost Actuals'!AE$7:AE$176))</f>
        <v>0</v>
      </c>
      <c r="AB39" s="668">
        <f>IF(AB$4="forecast",700,SUMIF('Dept. Cost Actuals'!$E$7:$E$176,"*Development*",'Dept. Cost Actuals'!AF$7:AF$176))</f>
        <v>51.41</v>
      </c>
      <c r="AC39" s="668">
        <f>IF(AC$4="forecast",700,SUMIF('Dept. Cost Actuals'!$E$7:$E$176,"*Development*",'Dept. Cost Actuals'!AG$7:AG$176))</f>
        <v>0</v>
      </c>
      <c r="AD39" s="668">
        <f>IF(AD$4="forecast",700,SUMIF('Dept. Cost Actuals'!$E$7:$E$176,"*Development*",'Dept. Cost Actuals'!AH$7:AH$176))</f>
        <v>700</v>
      </c>
      <c r="AE39" s="668">
        <f>IF(AE$4="forecast",700,SUMIF('Dept. Cost Actuals'!$E$7:$E$176,"*Development*",'Dept. Cost Actuals'!AI$7:AI$176))</f>
        <v>700</v>
      </c>
      <c r="AF39" s="668">
        <f>IF(AF$4="forecast",700,SUMIF('Dept. Cost Actuals'!$E$7:$E$176,"*Development*",'Dept. Cost Actuals'!AJ$7:AJ$176))</f>
        <v>700</v>
      </c>
      <c r="AG39" s="668">
        <f>IF(AG$4="forecast",700,SUMIF('Dept. Cost Actuals'!$E$7:$E$176,"*Development*",'Dept. Cost Actuals'!AK$7:AK$176))</f>
        <v>700</v>
      </c>
      <c r="AH39" s="668">
        <f>IF(AH$4="forecast",700,SUMIF('Dept. Cost Actuals'!$E$7:$E$176,"*Development*",'Dept. Cost Actuals'!AL$7:AL$176))</f>
        <v>700</v>
      </c>
      <c r="AI39" s="668">
        <f>IF(AI$4="forecast",700,SUMIF('Dept. Cost Actuals'!$E$7:$E$176,"*Development*",'Dept. Cost Actuals'!AM$7:AM$176))</f>
        <v>700</v>
      </c>
      <c r="AJ39" s="668">
        <f>IF(AJ$4="forecast",700,SUMIF('Dept. Cost Actuals'!$E$7:$E$176,"*Development*",'Dept. Cost Actuals'!AN$7:AN$176))</f>
        <v>700</v>
      </c>
      <c r="AK39" s="668">
        <f>IF(AK$4="forecast",700,SUMIF('Dept. Cost Actuals'!$E$7:$E$176,"*Development*",'Dept. Cost Actuals'!AO$7:AO$176))</f>
        <v>700</v>
      </c>
      <c r="AL39" s="668">
        <f>IF(AL$4="forecast",700,SUMIF('Dept. Cost Actuals'!$E$7:$E$176,"*Development*",'Dept. Cost Actuals'!AP$7:AP$176))</f>
        <v>700</v>
      </c>
      <c r="AM39" s="668">
        <f>IF(AM$4="forecast",700,SUMIF('Dept. Cost Actuals'!$E$7:$E$176,"*Development*",'Dept. Cost Actuals'!AQ$7:AQ$176))</f>
        <v>700</v>
      </c>
      <c r="AN39" s="668">
        <f>IF(AN$4="forecast",700,SUMIF('Dept. Cost Actuals'!$E$7:$E$176,"*Development*",'Dept. Cost Actuals'!AR$7:AR$176))</f>
        <v>700</v>
      </c>
      <c r="AO39" s="668">
        <f>IF(AO$4="forecast",700,SUMIF('Dept. Cost Actuals'!$E$7:$E$176,"*Development*",'Dept. Cost Actuals'!AS$7:AS$176))</f>
        <v>700</v>
      </c>
      <c r="AP39" s="668">
        <f>IF(AP$4="forecast",700,SUMIF('Dept. Cost Actuals'!$E$7:$E$176,"*Development*",'Dept. Cost Actuals'!AT$7:AT$176))</f>
        <v>700</v>
      </c>
      <c r="AQ39" s="668">
        <f>IF(AQ$4="forecast",700,SUMIF('Dept. Cost Actuals'!$E$7:$E$176,"*Development*",'Dept. Cost Actuals'!AU$7:AU$176))</f>
        <v>700</v>
      </c>
      <c r="AR39" s="668">
        <f>IF(AR$4="forecast",700,SUMIF('Dept. Cost Actuals'!$E$7:$E$176,"*Development*",'Dept. Cost Actuals'!AV$7:AV$176))</f>
        <v>700</v>
      </c>
      <c r="AS39" s="668">
        <f>IF(AS$4="forecast",700,SUMIF('Dept. Cost Actuals'!$E$7:$E$176,"*Development*",'Dept. Cost Actuals'!AW$7:AW$176))</f>
        <v>700</v>
      </c>
      <c r="AT39" s="668">
        <f>IF(AT$4="forecast",700,SUMIF('Dept. Cost Actuals'!$E$7:$E$176,"*Development*",'Dept. Cost Actuals'!AX$7:AX$176))</f>
        <v>700</v>
      </c>
      <c r="AU39" s="668">
        <f>IF(AU$4="forecast",700,SUMIF('Dept. Cost Actuals'!$E$7:$E$176,"*Development*",'Dept. Cost Actuals'!AY$7:AY$176))</f>
        <v>700</v>
      </c>
      <c r="AV39" s="668">
        <f>IF(AV$4="forecast",700,SUMIF('Dept. Cost Actuals'!$E$7:$E$176,"*Development*",'Dept. Cost Actuals'!AZ$7:AZ$176))</f>
        <v>700</v>
      </c>
      <c r="AW39" s="668">
        <f>IF(AW$4="forecast",700,SUMIF('Dept. Cost Actuals'!$E$7:$E$176,"*Development*",'Dept. Cost Actuals'!BA$7:BA$176))</f>
        <v>700</v>
      </c>
      <c r="AX39" s="668">
        <f>IF(AX$4="forecast",700,SUMIF('Dept. Cost Actuals'!$E$7:$E$176,"*Development*",'Dept. Cost Actuals'!BB$7:BB$176))</f>
        <v>700</v>
      </c>
      <c r="AY39" s="668">
        <f>IF(AY$4="forecast",700,SUMIF('Dept. Cost Actuals'!$E$7:$E$176,"*Development*",'Dept. Cost Actuals'!BC$7:BC$176))</f>
        <v>700</v>
      </c>
      <c r="AZ39" s="668">
        <f>IF(AZ$4="forecast",700,SUMIF('Dept. Cost Actuals'!$E$7:$E$176,"*Development*",'Dept. Cost Actuals'!BD$7:BD$176))</f>
        <v>700</v>
      </c>
      <c r="BA39" s="668">
        <f>IF(BA$4="forecast",700,SUMIF('Dept. Cost Actuals'!$E$7:$E$176,"*Development*",'Dept. Cost Actuals'!BE$7:BE$176))</f>
        <v>700</v>
      </c>
      <c r="BB39" s="668">
        <f>IF(BB$4="forecast",700,SUMIF('Dept. Cost Actuals'!$E$7:$E$176,"*Development*",'Dept. Cost Actuals'!BF$7:BF$176))</f>
        <v>700</v>
      </c>
      <c r="BC39" s="668">
        <f>IF(BC$4="forecast",700,SUMIF('Dept. Cost Actuals'!$E$7:$E$176,"*Development*",'Dept. Cost Actuals'!BG$7:BG$176))</f>
        <v>700</v>
      </c>
      <c r="BD39" s="668">
        <f>IF(BD$4="forecast",700,SUMIF('Dept. Cost Actuals'!$E$7:$E$176,"*Development*",'Dept. Cost Actuals'!BH$7:BH$176))</f>
        <v>700</v>
      </c>
      <c r="BE39" s="668">
        <f>IF(BE$4="forecast",700,SUMIF('Dept. Cost Actuals'!$E$7:$E$176,"*Development*",'Dept. Cost Actuals'!BI$7:BI$176))</f>
        <v>700</v>
      </c>
      <c r="BF39" s="668">
        <f>IF(BF$4="forecast",700,SUMIF('Dept. Cost Actuals'!$E$7:$E$176,"*Development*",'Dept. Cost Actuals'!BJ$7:BJ$176))</f>
        <v>700</v>
      </c>
      <c r="BG39" s="668">
        <f>IF(BG$4="forecast",700,SUMIF('Dept. Cost Actuals'!$E$7:$E$176,"*Development*",'Dept. Cost Actuals'!BK$7:BK$176))</f>
        <v>700</v>
      </c>
      <c r="BH39" s="668">
        <f>IF(BH$4="forecast",700,SUMIF('Dept. Cost Actuals'!$E$7:$E$176,"*Development*",'Dept. Cost Actuals'!BL$7:BL$176))</f>
        <v>700</v>
      </c>
      <c r="BI39" s="668">
        <f>IF(BI$4="forecast",700,SUMIF('Dept. Cost Actuals'!$E$7:$E$176,"*Development*",'Dept. Cost Actuals'!BM$7:BM$176))</f>
        <v>700</v>
      </c>
      <c r="BJ39" s="668">
        <f>IF(BJ$4="forecast",700,SUMIF('Dept. Cost Actuals'!$E$7:$E$176,"*Development*",'Dept. Cost Actuals'!BN$7:BN$176))</f>
        <v>700</v>
      </c>
      <c r="BK39" s="668">
        <f>IF(BK$4="forecast",700,SUMIF('Dept. Cost Actuals'!$E$7:$E$176,"*Development*",'Dept. Cost Actuals'!BO$7:BO$176))</f>
        <v>700</v>
      </c>
      <c r="BL39" s="668">
        <f>IF(BL$4="forecast",700,SUMIF('Dept. Cost Actuals'!$E$7:$E$176,"*Development*",'Dept. Cost Actuals'!BP$7:BP$176))</f>
        <v>700</v>
      </c>
      <c r="BM39" s="668">
        <f>IF(BM$4="forecast",700,SUMIF('Dept. Cost Actuals'!$E$7:$E$176,"*Development*",'Dept. Cost Actuals'!BQ$7:BQ$176))</f>
        <v>700</v>
      </c>
      <c r="BN39" s="668">
        <f>IF(BN$4="forecast",700,SUMIF('Dept. Cost Actuals'!$E$7:$E$176,"*Development*",'Dept. Cost Actuals'!BR$7:BR$176))</f>
        <v>700</v>
      </c>
      <c r="BO39" s="668">
        <f>IF(BO$4="forecast",700,SUMIF('Dept. Cost Actuals'!$E$7:$E$176,"*Development*",'Dept. Cost Actuals'!BS$7:BS$176))</f>
        <v>700</v>
      </c>
      <c r="BP39" s="668">
        <f>IF(BP$4="forecast",700,SUMIF('Dept. Cost Actuals'!$E$7:$E$176,"*Development*",'Dept. Cost Actuals'!BT$7:BT$176))</f>
        <v>700</v>
      </c>
      <c r="BQ39" s="668">
        <f>IF(BQ$4="forecast",700,SUMIF('Dept. Cost Actuals'!$E$7:$E$176,"*Development*",'Dept. Cost Actuals'!BU$7:BU$176))</f>
        <v>700</v>
      </c>
      <c r="BR39" s="668">
        <f>IF(BR$4="forecast",700,SUMIF('Dept. Cost Actuals'!$E$7:$E$176,"*Development*",'Dept. Cost Actuals'!BV$7:BV$176))</f>
        <v>700</v>
      </c>
      <c r="BS39" s="668">
        <f>IF(BS$4="forecast",700,SUMIF('Dept. Cost Actuals'!$E$7:$E$176,"*Development*",'Dept. Cost Actuals'!BW$7:BW$176))</f>
        <v>700</v>
      </c>
      <c r="BT39" s="668">
        <f>IF(BT$4="forecast",700,SUMIF('Dept. Cost Actuals'!$E$7:$E$176,"*Development*",'Dept. Cost Actuals'!BX$7:BX$176))</f>
        <v>700</v>
      </c>
      <c r="BU39" s="668">
        <f>IF(BU$4="forecast",700,SUMIF('Dept. Cost Actuals'!$E$7:$E$176,"*Development*",'Dept. Cost Actuals'!BY$7:BY$176))</f>
        <v>700</v>
      </c>
      <c r="BV39" s="668">
        <f>IF(BV$4="forecast",700,SUMIF('Dept. Cost Actuals'!$E$7:$E$176,"*Development*",'Dept. Cost Actuals'!BZ$7:BZ$176))</f>
        <v>700</v>
      </c>
    </row>
    <row r="40" spans="2:74" x14ac:dyDescent="0.25">
      <c r="B40" s="794" t="s">
        <v>944</v>
      </c>
      <c r="C40" s="668">
        <f>IF(C$4="forecast",AVERAGE(#REF!),SUMIF('Dept. Cost Actuals'!$E$7:$E$176,"*Dues and Subscriptions*",'Dept. Cost Actuals'!G$7:G$176))</f>
        <v>15.12592804087349</v>
      </c>
      <c r="D40" s="668">
        <f>IF(D$4="forecast",AVERAGE(#REF!),SUMIF('Dept. Cost Actuals'!$E$7:$E$176,"*Dues and Subscriptions*",'Dept. Cost Actuals'!H$7:H$176))</f>
        <v>24.839082544146748</v>
      </c>
      <c r="E40" s="668">
        <f>IF(E$4="forecast",AVERAGE(#REF!),SUMIF('Dept. Cost Actuals'!$E$7:$E$176,"*Dues and Subscriptions*",'Dept. Cost Actuals'!I$7:I$176))</f>
        <v>3.2474244457040422</v>
      </c>
      <c r="F40" s="668">
        <f>IF(F$4="forecast",AVERAGE(#REF!),SUMIF('Dept. Cost Actuals'!$E$7:$E$176,"*Dues and Subscriptions*",'Dept. Cost Actuals'!J$7:J$176))</f>
        <v>3.4134370698270899</v>
      </c>
      <c r="G40" s="668">
        <f>IF(G$4="forecast",AVERAGE(#REF!),SUMIF('Dept. Cost Actuals'!$E$7:$E$176,"*Dues and Subscriptions*",'Dept. Cost Actuals'!K$7:K$176))</f>
        <v>178.61612899201003</v>
      </c>
      <c r="H40" s="668">
        <f>IF(H$4="forecast",AVERAGE(#REF!),SUMIF('Dept. Cost Actuals'!$E$7:$E$176,"*Dues and Subscriptions*",'Dept. Cost Actuals'!L$7:L$176))</f>
        <v>0</v>
      </c>
      <c r="I40" s="668">
        <f>IF(I$4="forecast",AVERAGE(#REF!),SUMIF('Dept. Cost Actuals'!$E$7:$E$176,"*Dues and Subscriptions*",'Dept. Cost Actuals'!M$7:M$176))</f>
        <v>0</v>
      </c>
      <c r="J40" s="668">
        <f>IF(J$4="forecast",AVERAGE(#REF!),SUMIF('Dept. Cost Actuals'!$E$7:$E$176,"*Dues and Subscriptions*",'Dept. Cost Actuals'!N$7:N$176))</f>
        <v>9.7457167452824756</v>
      </c>
      <c r="K40" s="668">
        <f>IF(K$4="forecast",AVERAGE(#REF!),SUMIF('Dept. Cost Actuals'!$E$7:$E$176,"*Dues and Subscriptions*",'Dept. Cost Actuals'!O$7:O$176))</f>
        <v>0</v>
      </c>
      <c r="L40" s="668">
        <f>IF(L$4="forecast",AVERAGE(#REF!),SUMIF('Dept. Cost Actuals'!$E$7:$E$176,"*Dues and Subscriptions*",'Dept. Cost Actuals'!P$7:P$176))</f>
        <v>110.05558025965057</v>
      </c>
      <c r="M40" s="668">
        <f>IF(M$4="forecast",AVERAGE(A40:L40),SUMIF('Dept. Cost Actuals'!$E$7:$E$176,"*Dues and Subscriptions*",'Dept. Cost Actuals'!Q$7:Q$176))</f>
        <v>0</v>
      </c>
      <c r="N40" s="668">
        <f>IF(N$4="forecast",AVERAGE(B40:M40),SUMIF('Dept. Cost Actuals'!$E$7:$E$176,"*Dues and Subscriptions*",'Dept. Cost Actuals'!R$7:R$176))</f>
        <v>0</v>
      </c>
      <c r="O40" s="668">
        <f>IF(O$4="forecast",AVERAGE(C40:N40),SUMIF('Dept. Cost Actuals'!$E$7:$E$176,"*Dues and Subscriptions*",'Dept. Cost Actuals'!S$7:S$176))</f>
        <v>0</v>
      </c>
      <c r="P40" s="668">
        <f>IF(P$4="forecast",AVERAGE(D40:O40),SUMIF('Dept. Cost Actuals'!$E$7:$E$176,"*Dues and Subscriptions*",'Dept. Cost Actuals'!T$7:T$176))</f>
        <v>0</v>
      </c>
      <c r="Q40" s="668">
        <f>IF(Q$4="forecast",AVERAGE(E40:P40),SUMIF('Dept. Cost Actuals'!$E$7:$E$176,"*Dues and Subscriptions*",'Dept. Cost Actuals'!U$7:U$176))</f>
        <v>169</v>
      </c>
      <c r="R40" s="668">
        <f>IF(R$4="forecast",AVERAGE(F40:Q40),SUMIF('Dept. Cost Actuals'!$E$7:$E$176,"*Dues and Subscriptions*",'Dept. Cost Actuals'!V$7:V$176))</f>
        <v>0</v>
      </c>
      <c r="S40" s="668">
        <f>IF(S$4="forecast",AVERAGE(G40:R40),SUMIF('Dept. Cost Actuals'!$E$7:$E$176,"*Dues and Subscriptions*",'Dept. Cost Actuals'!W$7:W$176))</f>
        <v>0</v>
      </c>
      <c r="T40" s="668">
        <f>IF(T$4="forecast",AVERAGE(H40:S40),SUMIF('Dept. Cost Actuals'!$E$7:$E$176,"*Dues and Subscriptions*",'Dept. Cost Actuals'!X$7:X$176))</f>
        <v>0</v>
      </c>
      <c r="U40" s="668">
        <f>IF(U$4="forecast",AVERAGE(I40:T40),SUMIF('Dept. Cost Actuals'!$E$7:$E$176,"*Dues and Subscriptions*",'Dept. Cost Actuals'!Y$7:Y$176))</f>
        <v>0</v>
      </c>
      <c r="V40" s="668">
        <f>IF(V$4="forecast",AVERAGE(J40:U40),SUMIF('Dept. Cost Actuals'!$E$7:$E$176,"*Dues and Subscriptions*",'Dept. Cost Actuals'!Z$7:Z$176))</f>
        <v>0</v>
      </c>
      <c r="W40" s="668">
        <f>IF(W$4="forecast",AVERAGE(K40:V40),SUMIF('Dept. Cost Actuals'!$E$7:$E$176,"*Dues and Subscriptions*",'Dept. Cost Actuals'!AA$7:AA$176))</f>
        <v>0</v>
      </c>
      <c r="X40" s="668">
        <f>IF(X$4="forecast",AVERAGE(L40:W40),SUMIF('Dept. Cost Actuals'!$E$7:$E$176,"*Dues and Subscriptions*",'Dept. Cost Actuals'!AB$7:AB$176))</f>
        <v>0</v>
      </c>
      <c r="Y40" s="668">
        <f>IF(Y$4="forecast",AVERAGE(M40:X40),SUMIF('Dept. Cost Actuals'!$E$7:$E$176,"*Dues and Subscriptions*",'Dept. Cost Actuals'!AC$7:AC$176))</f>
        <v>0</v>
      </c>
      <c r="Z40" s="668">
        <f>IF(Z$4="forecast",AVERAGE(N40:Y40),SUMIF('Dept. Cost Actuals'!$E$7:$E$176,"*Dues and Subscriptions*",'Dept. Cost Actuals'!AD$7:AD$176))</f>
        <v>295</v>
      </c>
      <c r="AA40" s="668">
        <f>IF(AA$4="forecast",AVERAGE(O40:Z40),SUMIF('Dept. Cost Actuals'!$E$7:$E$176,"*Dues and Subscriptions*",'Dept. Cost Actuals'!AE$7:AE$176))</f>
        <v>80</v>
      </c>
      <c r="AB40" s="668">
        <f>IF(AB$4="forecast",AVERAGE(P40:AA40),SUMIF('Dept. Cost Actuals'!$E$7:$E$176,"*Dues and Subscriptions*",'Dept. Cost Actuals'!AF$7:AF$176))</f>
        <v>0</v>
      </c>
      <c r="AC40" s="668">
        <f>IF(AC$4="forecast",AVERAGE(Q40:AB40),SUMIF('Dept. Cost Actuals'!$E$7:$E$176,"*Dues and Subscriptions*",'Dept. Cost Actuals'!AG$7:AG$176))</f>
        <v>0</v>
      </c>
      <c r="AD40" s="668">
        <f>IF(AD$4="forecast",AVERAGE(R40:AC40),SUMIF('Dept. Cost Actuals'!$E$7:$E$176,"*Dues and Subscriptions*",'Dept. Cost Actuals'!AH$7:AH$176))</f>
        <v>31.25</v>
      </c>
      <c r="AE40" s="668">
        <f>IF(AE$4="forecast",AVERAGE(S40:AD40),SUMIF('Dept. Cost Actuals'!$E$7:$E$176,"*Dues and Subscriptions*",'Dept. Cost Actuals'!AI$7:AI$176))</f>
        <v>33.854166666666664</v>
      </c>
      <c r="AF40" s="668">
        <f>IF(AF$4="forecast",AVERAGE(T40:AE40),SUMIF('Dept. Cost Actuals'!$E$7:$E$176,"*Dues and Subscriptions*",'Dept. Cost Actuals'!AJ$7:AJ$176))</f>
        <v>36.675347222222221</v>
      </c>
      <c r="AG40" s="668">
        <f>IF(AG$4="forecast",AVERAGE(U40:AF40),SUMIF('Dept. Cost Actuals'!$E$7:$E$176,"*Dues and Subscriptions*",'Dept. Cost Actuals'!AK$7:AK$176))</f>
        <v>39.731626157407412</v>
      </c>
      <c r="AH40" s="668">
        <f>IF(AH$4="forecast",AVERAGE(V40:AG40),SUMIF('Dept. Cost Actuals'!$E$7:$E$176,"*Dues and Subscriptions*",'Dept. Cost Actuals'!AL$7:AL$176))</f>
        <v>43.042595003858025</v>
      </c>
      <c r="AI40" s="668">
        <f>IF(AI$4="forecast",AVERAGE(W40:AH40),SUMIF('Dept. Cost Actuals'!$E$7:$E$176,"*Dues and Subscriptions*",'Dept. Cost Actuals'!AM$7:AM$176))</f>
        <v>46.629477920846192</v>
      </c>
      <c r="AJ40" s="668">
        <f>IF(AJ$4="forecast",AVERAGE(X40:AI40),SUMIF('Dept. Cost Actuals'!$E$7:$E$176,"*Dues and Subscriptions*",'Dept. Cost Actuals'!AN$7:AN$176))</f>
        <v>50.515267747583373</v>
      </c>
      <c r="AK40" s="668">
        <f>IF(AK$4="forecast",AVERAGE(Y40:AJ40),SUMIF('Dept. Cost Actuals'!$E$7:$E$176,"*Dues and Subscriptions*",'Dept. Cost Actuals'!AO$7:AO$176))</f>
        <v>54.724873393215319</v>
      </c>
      <c r="AL40" s="668">
        <f>IF(AL$4="forecast",AVERAGE(Z40:AK40),SUMIF('Dept. Cost Actuals'!$E$7:$E$176,"*Dues and Subscriptions*",'Dept. Cost Actuals'!AP$7:AP$176))</f>
        <v>59.285279509316602</v>
      </c>
      <c r="AM40" s="668">
        <f>IF(AM$4="forecast",AVERAGE(AA40:AL40),SUMIF('Dept. Cost Actuals'!$E$7:$E$176,"*Dues and Subscriptions*",'Dept. Cost Actuals'!AQ$7:AQ$176))</f>
        <v>39.642386135092984</v>
      </c>
      <c r="AN40" s="668">
        <f>IF(AN$4="forecast",AVERAGE(AB40:AM40),SUMIF('Dept. Cost Actuals'!$E$7:$E$176,"*Dues and Subscriptions*",'Dept. Cost Actuals'!AR$7:AR$176))</f>
        <v>36.27925164635073</v>
      </c>
      <c r="AO40" s="668">
        <f>IF(AO$4="forecast",AVERAGE(AC40:AN40),SUMIF('Dept. Cost Actuals'!$E$7:$E$176,"*Dues and Subscriptions*",'Dept. Cost Actuals'!AS$7:AS$176))</f>
        <v>39.302522616879962</v>
      </c>
      <c r="AP40" s="668">
        <f>IF(AP$4="forecast",AVERAGE(AD40:AO40),SUMIF('Dept. Cost Actuals'!$E$7:$E$176,"*Dues and Subscriptions*",'Dept. Cost Actuals'!AT$7:AT$176))</f>
        <v>42.577732834953288</v>
      </c>
      <c r="AQ40" s="668">
        <f>IF(AQ$4="forecast",AVERAGE(AE40:AP40),SUMIF('Dept. Cost Actuals'!$E$7:$E$176,"*Dues and Subscriptions*",'Dept. Cost Actuals'!AU$7:AU$176))</f>
        <v>43.521710571199399</v>
      </c>
      <c r="AR40" s="668">
        <f>IF(AR$4="forecast",AVERAGE(AF40:AQ40),SUMIF('Dept. Cost Actuals'!$E$7:$E$176,"*Dues and Subscriptions*",'Dept. Cost Actuals'!AV$7:AV$176))</f>
        <v>44.327339229910457</v>
      </c>
      <c r="AS40" s="668">
        <f>IF(AS$4="forecast",AVERAGE(AG40:AR40),SUMIF('Dept. Cost Actuals'!$E$7:$E$176,"*Dues and Subscriptions*",'Dept. Cost Actuals'!AW$7:AW$176))</f>
        <v>44.965005230551135</v>
      </c>
      <c r="AT40" s="668">
        <f>IF(AT$4="forecast",AVERAGE(AH40:AS40),SUMIF('Dept. Cost Actuals'!$E$7:$E$176,"*Dues and Subscriptions*",'Dept. Cost Actuals'!AX$7:AX$176))</f>
        <v>45.401120153313123</v>
      </c>
      <c r="AU40" s="668">
        <f>IF(AU$4="forecast",AVERAGE(AI40:AT40),SUMIF('Dept. Cost Actuals'!$E$7:$E$176,"*Dues and Subscriptions*",'Dept. Cost Actuals'!AY$7:AY$176))</f>
        <v>45.597663915767718</v>
      </c>
      <c r="AV40" s="668">
        <f>IF(AV$4="forecast",AVERAGE(AJ40:AU40),SUMIF('Dept. Cost Actuals'!$E$7:$E$176,"*Dues and Subscriptions*",'Dept. Cost Actuals'!AZ$7:AZ$176))</f>
        <v>45.511679415344503</v>
      </c>
      <c r="AW40" s="668">
        <f>IF(AW$4="forecast",AVERAGE(AK40:AV40),SUMIF('Dept. Cost Actuals'!$E$7:$E$176,"*Dues and Subscriptions*",'Dept. Cost Actuals'!BA$7:BA$176))</f>
        <v>45.094713720991273</v>
      </c>
      <c r="AX40" s="668">
        <f>IF(AX$4="forecast",AVERAGE(AL40:AW40),SUMIF('Dept. Cost Actuals'!$E$7:$E$176,"*Dues and Subscriptions*",'Dept. Cost Actuals'!BB$7:BB$176))</f>
        <v>44.292200414972598</v>
      </c>
      <c r="AY40" s="668">
        <f>IF(AY$4="forecast",AVERAGE(AM40:AX40),SUMIF('Dept. Cost Actuals'!$E$7:$E$176,"*Dues and Subscriptions*",'Dept. Cost Actuals'!BC$7:BC$176))</f>
        <v>43.042777157110599</v>
      </c>
      <c r="AZ40" s="668">
        <f>IF(AZ$4="forecast",AVERAGE(AN40:AY40),SUMIF('Dept. Cost Actuals'!$E$7:$E$176,"*Dues and Subscriptions*",'Dept. Cost Actuals'!BD$7:BD$176))</f>
        <v>43.326143075612059</v>
      </c>
      <c r="BA40" s="668">
        <f>IF(BA$4="forecast",AVERAGE(AO40:AZ40),SUMIF('Dept. Cost Actuals'!$E$7:$E$176,"*Dues and Subscriptions*",'Dept. Cost Actuals'!BE$7:BE$176))</f>
        <v>43.913384028050501</v>
      </c>
      <c r="BB40" s="668">
        <f>IF(BB$4="forecast",AVERAGE(AP40:BA40),SUMIF('Dept. Cost Actuals'!$E$7:$E$176,"*Dues and Subscriptions*",'Dept. Cost Actuals'!BF$7:BF$176))</f>
        <v>44.297622478981374</v>
      </c>
      <c r="BC40" s="668">
        <f>IF(BC$4="forecast",AVERAGE(AQ40:BB40),SUMIF('Dept. Cost Actuals'!$E$7:$E$176,"*Dues and Subscriptions*",'Dept. Cost Actuals'!BG$7:BG$176))</f>
        <v>44.440946615983712</v>
      </c>
      <c r="BD40" s="668">
        <f>IF(BD$4="forecast",AVERAGE(AR40:BC40),SUMIF('Dept. Cost Actuals'!$E$7:$E$176,"*Dues and Subscriptions*",'Dept. Cost Actuals'!BH$7:BH$176))</f>
        <v>44.517549619715759</v>
      </c>
      <c r="BE40" s="668">
        <f>IF(BE$4="forecast",AVERAGE(AS40:BD40),SUMIF('Dept. Cost Actuals'!$E$7:$E$176,"*Dues and Subscriptions*",'Dept. Cost Actuals'!BI$7:BI$176))</f>
        <v>44.533400485532859</v>
      </c>
      <c r="BF40" s="668">
        <f>IF(BF$4="forecast",AVERAGE(AT40:BE40),SUMIF('Dept. Cost Actuals'!$E$7:$E$176,"*Dues and Subscriptions*",'Dept. Cost Actuals'!BJ$7:BJ$176))</f>
        <v>44.497433423448001</v>
      </c>
      <c r="BG40" s="668">
        <f>IF(BG$4="forecast",AVERAGE(AU40:BF40),SUMIF('Dept. Cost Actuals'!$E$7:$E$176,"*Dues and Subscriptions*",'Dept. Cost Actuals'!BK$7:BK$176))</f>
        <v>44.422126195959244</v>
      </c>
      <c r="BH40" s="668">
        <f>IF(BH$4="forecast",AVERAGE(AV40:BG40),SUMIF('Dept. Cost Actuals'!$E$7:$E$176,"*Dues and Subscriptions*",'Dept. Cost Actuals'!BL$7:BL$176))</f>
        <v>44.324164719308534</v>
      </c>
      <c r="BI40" s="668">
        <f>IF(BI$4="forecast",AVERAGE(AW40:BH40),SUMIF('Dept. Cost Actuals'!$E$7:$E$176,"*Dues and Subscriptions*",'Dept. Cost Actuals'!BM$7:BM$176))</f>
        <v>44.225205161305546</v>
      </c>
      <c r="BJ40" s="668">
        <f>IF(BJ$4="forecast",AVERAGE(AX40:BI40),SUMIF('Dept. Cost Actuals'!$E$7:$E$176,"*Dues and Subscriptions*",'Dept. Cost Actuals'!BN$7:BN$176))</f>
        <v>44.152746114665064</v>
      </c>
      <c r="BK40" s="668">
        <f>IF(BK$4="forecast",AVERAGE(AY40:BJ40),SUMIF('Dept. Cost Actuals'!$E$7:$E$176,"*Dues and Subscriptions*",'Dept. Cost Actuals'!BO$7:BO$176))</f>
        <v>44.141124922972779</v>
      </c>
      <c r="BL40" s="668">
        <f>IF(BL$4="forecast",AVERAGE(AZ40:BK40),SUMIF('Dept. Cost Actuals'!$E$7:$E$176,"*Dues and Subscriptions*",'Dept. Cost Actuals'!BP$7:BP$176))</f>
        <v>44.232653903461291</v>
      </c>
      <c r="BM40" s="668">
        <f>IF(BM$4="forecast",AVERAGE(BA40:BL40),SUMIF('Dept. Cost Actuals'!$E$7:$E$176,"*Dues and Subscriptions*",'Dept. Cost Actuals'!BQ$7:BQ$176))</f>
        <v>44.308196472448721</v>
      </c>
      <c r="BN40" s="668">
        <f>IF(BN$4="forecast",AVERAGE(BB40:BM40),SUMIF('Dept. Cost Actuals'!$E$7:$E$176,"*Dues and Subscriptions*",'Dept. Cost Actuals'!BR$7:BR$176))</f>
        <v>44.341097509481905</v>
      </c>
      <c r="BO40" s="668">
        <f>IF(BO$4="forecast",AVERAGE(BC40:BN40),SUMIF('Dept. Cost Actuals'!$E$7:$E$176,"*Dues and Subscriptions*",'Dept. Cost Actuals'!BS$7:BS$176))</f>
        <v>44.344720428690295</v>
      </c>
      <c r="BP40" s="668">
        <f>IF(BP$4="forecast",AVERAGE(BD40:BO40),SUMIF('Dept. Cost Actuals'!$E$7:$E$176,"*Dues and Subscriptions*",'Dept. Cost Actuals'!BT$7:BT$176))</f>
        <v>44.336701579749167</v>
      </c>
      <c r="BQ40" s="668">
        <f>IF(BQ$4="forecast",AVERAGE(BE40:BP40),SUMIF('Dept. Cost Actuals'!$E$7:$E$176,"*Dues and Subscriptions*",'Dept. Cost Actuals'!BU$7:BU$176))</f>
        <v>44.321630909751953</v>
      </c>
      <c r="BR40" s="668">
        <f>IF(BR$4="forecast",AVERAGE(BF40:BQ40),SUMIF('Dept. Cost Actuals'!$E$7:$E$176,"*Dues and Subscriptions*",'Dept. Cost Actuals'!BV$7:BV$176))</f>
        <v>44.303983445103547</v>
      </c>
      <c r="BS40" s="668">
        <f>IF(BS$4="forecast",AVERAGE(BG40:BR40),SUMIF('Dept. Cost Actuals'!$E$7:$E$176,"*Dues and Subscriptions*",'Dept. Cost Actuals'!BW$7:BW$176))</f>
        <v>44.287862613574845</v>
      </c>
      <c r="BT40" s="668">
        <f>IF(BT$4="forecast",AVERAGE(BH40:BS40),SUMIF('Dept. Cost Actuals'!$E$7:$E$176,"*Dues and Subscriptions*",'Dept. Cost Actuals'!BX$7:BX$176))</f>
        <v>44.276673981709472</v>
      </c>
      <c r="BU40" s="668">
        <f>IF(BU$4="forecast",AVERAGE(BI40:BT40),SUMIF('Dept. Cost Actuals'!$E$7:$E$176,"*Dues and Subscriptions*",'Dept. Cost Actuals'!BY$7:BY$176))</f>
        <v>44.27271642024288</v>
      </c>
      <c r="BV40" s="790">
        <f>IF(BV$4="forecast",AVERAGE(BJ40:BU40),SUMIF('Dept. Cost Actuals'!$E$7:$E$176,"*Dues and Subscriptions*",'Dept. Cost Actuals'!BZ$7:BZ$176))</f>
        <v>44.276675691820991</v>
      </c>
    </row>
    <row r="41" spans="2:74" x14ac:dyDescent="0.25">
      <c r="B41" s="794" t="s">
        <v>1336</v>
      </c>
      <c r="C41" s="668">
        <f>IF(C$4="forecast",AVERAGE(#REF!),SUMIF('Dept. Cost Actuals'!$E$7:$E$176,"*Liscenses and Permits*",'Dept. Cost Actuals'!G$7:G$176))</f>
        <v>0</v>
      </c>
      <c r="D41" s="668">
        <f>IF(D$4="forecast",AVERAGE(#REF!),SUMIF('Dept. Cost Actuals'!$E$7:$E$176,"*Liscenses and Permits*",'Dept. Cost Actuals'!H$7:H$176))</f>
        <v>0</v>
      </c>
      <c r="E41" s="668">
        <f>IF(E$4="forecast",AVERAGE(#REF!),SUMIF('Dept. Cost Actuals'!$E$7:$E$176,"*Liscenses and Permits*",'Dept. Cost Actuals'!I$7:I$176))</f>
        <v>0</v>
      </c>
      <c r="F41" s="668">
        <f>IF(F$4="forecast",AVERAGE(#REF!),SUMIF('Dept. Cost Actuals'!$E$7:$E$176,"*Liscenses and Permits*",'Dept. Cost Actuals'!J$7:J$176))</f>
        <v>0</v>
      </c>
      <c r="G41" s="668">
        <f>IF(G$4="forecast",AVERAGE(#REF!),SUMIF('Dept. Cost Actuals'!$E$7:$E$176,"*Liscenses and Permits*",'Dept. Cost Actuals'!K$7:K$176))</f>
        <v>0</v>
      </c>
      <c r="H41" s="668">
        <f>IF(H$4="forecast",AVERAGE(#REF!),SUMIF('Dept. Cost Actuals'!$E$7:$E$176,"*Liscenses and Permits*",'Dept. Cost Actuals'!L$7:L$176))</f>
        <v>0</v>
      </c>
      <c r="I41" s="668">
        <f>IF(I$4="forecast",AVERAGE(#REF!),SUMIF('Dept. Cost Actuals'!$E$7:$E$176,"*Liscenses and Permits*",'Dept. Cost Actuals'!M$7:M$176))</f>
        <v>0</v>
      </c>
      <c r="J41" s="668">
        <f>IF(J$4="forecast",AVERAGE(#REF!),SUMIF('Dept. Cost Actuals'!$E$7:$E$176,"*Liscenses and Permits*",'Dept. Cost Actuals'!N$7:N$176))</f>
        <v>0</v>
      </c>
      <c r="K41" s="668">
        <f>IF(K$4="forecast",AVERAGE(#REF!),SUMIF('Dept. Cost Actuals'!$E$7:$E$176,"*Liscenses and Permits*",'Dept. Cost Actuals'!O$7:O$176))</f>
        <v>0</v>
      </c>
      <c r="L41" s="668">
        <f>IF(L$4="forecast",AVERAGE(#REF!),SUMIF('Dept. Cost Actuals'!$E$7:$E$176,"*Liscenses and Permits*",'Dept. Cost Actuals'!P$7:P$176))</f>
        <v>0</v>
      </c>
      <c r="M41" s="668">
        <f>IF(M$4="forecast",AVERAGE(A41:L41),SUMIF('Dept. Cost Actuals'!$E$7:$E$176,"*Liscenses and Permits*",'Dept. Cost Actuals'!Q$7:Q$176))</f>
        <v>0</v>
      </c>
      <c r="N41" s="668">
        <f>IF(N$4="forecast",AVERAGE(B41:M41),SUMIF('Dept. Cost Actuals'!$E$7:$E$176,"*Liscenses and Permits*",'Dept. Cost Actuals'!R$7:R$176))</f>
        <v>0</v>
      </c>
      <c r="O41" s="668">
        <f>IF(O$4="forecast",AVERAGE(C41:N41),SUMIF('Dept. Cost Actuals'!$E$7:$E$176,"*Liscenses and Permits*",'Dept. Cost Actuals'!S$7:S$176))</f>
        <v>0</v>
      </c>
      <c r="P41" s="668">
        <f>IF(P$4="forecast",AVERAGE(D41:O41),SUMIF('Dept. Cost Actuals'!$E$7:$E$176,"*Liscenses and Permits*",'Dept. Cost Actuals'!T$7:T$176))</f>
        <v>0</v>
      </c>
      <c r="Q41" s="668">
        <f>IF(Q$4="forecast",AVERAGE(E41:P41),SUMIF('Dept. Cost Actuals'!$E$7:$E$176,"*Liscenses and Permits*",'Dept. Cost Actuals'!U$7:U$176))</f>
        <v>0</v>
      </c>
      <c r="R41" s="668">
        <f>IF(R$4="forecast",AVERAGE(F41:Q41),SUMIF('Dept. Cost Actuals'!$E$7:$E$176,"*Liscenses and Permits*",'Dept. Cost Actuals'!V$7:V$176))</f>
        <v>0</v>
      </c>
      <c r="S41" s="668">
        <f>IF(S$4="forecast",AVERAGE(G41:R41),SUMIF('Dept. Cost Actuals'!$E$7:$E$176,"*Liscenses and Permits*",'Dept. Cost Actuals'!W$7:W$176))</f>
        <v>0</v>
      </c>
      <c r="T41" s="668">
        <f>IF(T$4="forecast",AVERAGE(H41:S41),SUMIF('Dept. Cost Actuals'!$E$7:$E$176,"*Liscenses and Permits*",'Dept. Cost Actuals'!X$7:X$176))</f>
        <v>0</v>
      </c>
      <c r="U41" s="668">
        <f>IF(U$4="forecast",AVERAGE(I41:T41),SUMIF('Dept. Cost Actuals'!$E$7:$E$176,"*Liscenses and Permits*",'Dept. Cost Actuals'!Y$7:Y$176))</f>
        <v>0</v>
      </c>
      <c r="V41" s="668">
        <f>IF(V$4="forecast",AVERAGE(J41:U41),SUMIF('Dept. Cost Actuals'!$E$7:$E$176,"*Liscenses and Permits*",'Dept. Cost Actuals'!Z$7:Z$176))</f>
        <v>0</v>
      </c>
      <c r="W41" s="668">
        <f>IF(W$4="forecast",AVERAGE(K41:V41),SUMIF('Dept. Cost Actuals'!$E$7:$E$176,"*Liscenses and Permits*",'Dept. Cost Actuals'!AA$7:AA$176))</f>
        <v>0</v>
      </c>
      <c r="X41" s="668">
        <f>IF(X$4="forecast",AVERAGE(L41:W41),SUMIF('Dept. Cost Actuals'!$E$7:$E$176,"*Liscenses and Permits*",'Dept. Cost Actuals'!AB$7:AB$176))</f>
        <v>0</v>
      </c>
      <c r="Y41" s="668">
        <f>IF(Y$4="forecast",AVERAGE(M41:X41),SUMIF('Dept. Cost Actuals'!$E$7:$E$176,"*Liscenses and Permits*",'Dept. Cost Actuals'!AC$7:AC$176))</f>
        <v>0</v>
      </c>
      <c r="Z41" s="668">
        <f>IF(Z$4="forecast",AVERAGE(N41:Y41),SUMIF('Dept. Cost Actuals'!$E$7:$E$176,"*Liscenses and Permits*",'Dept. Cost Actuals'!AD$7:AD$176))</f>
        <v>0</v>
      </c>
      <c r="AA41" s="668">
        <f>IF(AA$4="forecast",AVERAGE(O41:Z41),SUMIF('Dept. Cost Actuals'!$E$7:$E$176,"*Liscenses and Permits*",'Dept. Cost Actuals'!AE$7:AE$176))</f>
        <v>0</v>
      </c>
      <c r="AB41" s="668">
        <f>IF(AB$4="forecast",AVERAGE(P41:AA41),SUMIF('Dept. Cost Actuals'!$E$7:$E$176,"*Liscenses and Permits*",'Dept. Cost Actuals'!AF$7:AF$176))</f>
        <v>0</v>
      </c>
      <c r="AC41" s="668">
        <f>IF(AC$4="forecast",AVERAGE(Q41:AB41),SUMIF('Dept. Cost Actuals'!$E$7:$E$176,"*Liscenses and Permits*",'Dept. Cost Actuals'!AG$7:AG$176))</f>
        <v>0</v>
      </c>
      <c r="AD41" s="668">
        <f>IF(AD$4="forecast",AVERAGE(R41:AC41),SUMIF('Dept. Cost Actuals'!$E$7:$E$176,"*Liscenses and Permits*",'Dept. Cost Actuals'!AH$7:AH$176))</f>
        <v>0</v>
      </c>
      <c r="AE41" s="668">
        <f>IF(AE$4="forecast",AVERAGE(S41:AD41),SUMIF('Dept. Cost Actuals'!$E$7:$E$176,"*Liscenses and Permits*",'Dept. Cost Actuals'!AI$7:AI$176))</f>
        <v>0</v>
      </c>
      <c r="AF41" s="668">
        <f>IF(AF$4="forecast",AVERAGE(T41:AE41),SUMIF('Dept. Cost Actuals'!$E$7:$E$176,"*Liscenses and Permits*",'Dept. Cost Actuals'!AJ$7:AJ$176))</f>
        <v>0</v>
      </c>
      <c r="AG41" s="668">
        <f>IF(AG$4="forecast",AVERAGE(U41:AF41),SUMIF('Dept. Cost Actuals'!$E$7:$E$176,"*Liscenses and Permits*",'Dept. Cost Actuals'!AK$7:AK$176))</f>
        <v>0</v>
      </c>
      <c r="AH41" s="668">
        <f>IF(AH$4="forecast",AVERAGE(V41:AG41),SUMIF('Dept. Cost Actuals'!$E$7:$E$176,"*Liscenses and Permits*",'Dept. Cost Actuals'!AL$7:AL$176))</f>
        <v>0</v>
      </c>
      <c r="AI41" s="668">
        <f>IF(AI$4="forecast",AVERAGE(W41:AH41),SUMIF('Dept. Cost Actuals'!$E$7:$E$176,"*Liscenses and Permits*",'Dept. Cost Actuals'!AM$7:AM$176))</f>
        <v>0</v>
      </c>
      <c r="AJ41" s="668">
        <f>IF(AJ$4="forecast",AVERAGE(X41:AI41),SUMIF('Dept. Cost Actuals'!$E$7:$E$176,"*Liscenses and Permits*",'Dept. Cost Actuals'!AN$7:AN$176))</f>
        <v>0</v>
      </c>
      <c r="AK41" s="668">
        <f>IF(AK$4="forecast",AVERAGE(Y41:AJ41),SUMIF('Dept. Cost Actuals'!$E$7:$E$176,"*Liscenses and Permits*",'Dept. Cost Actuals'!AO$7:AO$176))</f>
        <v>0</v>
      </c>
      <c r="AL41" s="668">
        <f>IF(AL$4="forecast",AVERAGE(Z41:AK41),SUMIF('Dept. Cost Actuals'!$E$7:$E$176,"*Liscenses and Permits*",'Dept. Cost Actuals'!AP$7:AP$176))</f>
        <v>0</v>
      </c>
      <c r="AM41" s="668">
        <f>IF(AM$4="forecast",AVERAGE(AA41:AL41),SUMIF('Dept. Cost Actuals'!$E$7:$E$176,"*Liscenses and Permits*",'Dept. Cost Actuals'!AQ$7:AQ$176))</f>
        <v>0</v>
      </c>
      <c r="AN41" s="668">
        <f>IF(AN$4="forecast",AVERAGE(AB41:AM41),SUMIF('Dept. Cost Actuals'!$E$7:$E$176,"*Liscenses and Permits*",'Dept. Cost Actuals'!AR$7:AR$176))</f>
        <v>0</v>
      </c>
      <c r="AO41" s="668">
        <f>IF(AO$4="forecast",AVERAGE(AC41:AN41),SUMIF('Dept. Cost Actuals'!$E$7:$E$176,"*Liscenses and Permits*",'Dept. Cost Actuals'!AS$7:AS$176))</f>
        <v>0</v>
      </c>
      <c r="AP41" s="668">
        <f>IF(AP$4="forecast",AVERAGE(AD41:AO41),SUMIF('Dept. Cost Actuals'!$E$7:$E$176,"*Liscenses and Permits*",'Dept. Cost Actuals'!AT$7:AT$176))</f>
        <v>0</v>
      </c>
      <c r="AQ41" s="668">
        <f>IF(AQ$4="forecast",AVERAGE(AE41:AP41),SUMIF('Dept. Cost Actuals'!$E$7:$E$176,"*Liscenses and Permits*",'Dept. Cost Actuals'!AU$7:AU$176))</f>
        <v>0</v>
      </c>
      <c r="AR41" s="668">
        <f>IF(AR$4="forecast",AVERAGE(AF41:AQ41),SUMIF('Dept. Cost Actuals'!$E$7:$E$176,"*Liscenses and Permits*",'Dept. Cost Actuals'!AV$7:AV$176))</f>
        <v>0</v>
      </c>
      <c r="AS41" s="668">
        <f>IF(AS$4="forecast",AVERAGE(AG41:AR41),SUMIF('Dept. Cost Actuals'!$E$7:$E$176,"*Liscenses and Permits*",'Dept. Cost Actuals'!AW$7:AW$176))</f>
        <v>0</v>
      </c>
      <c r="AT41" s="668">
        <f>IF(AT$4="forecast",AVERAGE(AH41:AS41),SUMIF('Dept. Cost Actuals'!$E$7:$E$176,"*Liscenses and Permits*",'Dept. Cost Actuals'!AX$7:AX$176))</f>
        <v>0</v>
      </c>
      <c r="AU41" s="668">
        <f>IF(AU$4="forecast",AVERAGE(AI41:AT41),SUMIF('Dept. Cost Actuals'!$E$7:$E$176,"*Liscenses and Permits*",'Dept. Cost Actuals'!AY$7:AY$176))</f>
        <v>0</v>
      </c>
      <c r="AV41" s="668">
        <f>IF(AV$4="forecast",AVERAGE(AJ41:AU41),SUMIF('Dept. Cost Actuals'!$E$7:$E$176,"*Liscenses and Permits*",'Dept. Cost Actuals'!AZ$7:AZ$176))</f>
        <v>0</v>
      </c>
      <c r="AW41" s="668">
        <f>IF(AW$4="forecast",AVERAGE(AK41:AV41),SUMIF('Dept. Cost Actuals'!$E$7:$E$176,"*Liscenses and Permits*",'Dept. Cost Actuals'!BA$7:BA$176))</f>
        <v>0</v>
      </c>
      <c r="AX41" s="668">
        <f>IF(AX$4="forecast",AVERAGE(AL41:AW41),SUMIF('Dept. Cost Actuals'!$E$7:$E$176,"*Liscenses and Permits*",'Dept. Cost Actuals'!BB$7:BB$176))</f>
        <v>0</v>
      </c>
      <c r="AY41" s="668">
        <f>IF(AY$4="forecast",AVERAGE(AM41:AX41),SUMIF('Dept. Cost Actuals'!$E$7:$E$176,"*Liscenses and Permits*",'Dept. Cost Actuals'!BC$7:BC$176))</f>
        <v>0</v>
      </c>
      <c r="AZ41" s="668">
        <f>IF(AZ$4="forecast",AVERAGE(AN41:AY41),SUMIF('Dept. Cost Actuals'!$E$7:$E$176,"*Liscenses and Permits*",'Dept. Cost Actuals'!BD$7:BD$176))</f>
        <v>0</v>
      </c>
      <c r="BA41" s="668">
        <f>IF(BA$4="forecast",AVERAGE(AO41:AZ41),SUMIF('Dept. Cost Actuals'!$E$7:$E$176,"*Liscenses and Permits*",'Dept. Cost Actuals'!BE$7:BE$176))</f>
        <v>0</v>
      </c>
      <c r="BB41" s="668">
        <f>IF(BB$4="forecast",AVERAGE(AP41:BA41),SUMIF('Dept. Cost Actuals'!$E$7:$E$176,"*Liscenses and Permits*",'Dept. Cost Actuals'!BF$7:BF$176))</f>
        <v>0</v>
      </c>
      <c r="BC41" s="668">
        <f>IF(BC$4="forecast",AVERAGE(AQ41:BB41),SUMIF('Dept. Cost Actuals'!$E$7:$E$176,"*Liscenses and Permits*",'Dept. Cost Actuals'!BG$7:BG$176))</f>
        <v>0</v>
      </c>
      <c r="BD41" s="668">
        <f>IF(BD$4="forecast",AVERAGE(AR41:BC41),SUMIF('Dept. Cost Actuals'!$E$7:$E$176,"*Liscenses and Permits*",'Dept. Cost Actuals'!BH$7:BH$176))</f>
        <v>0</v>
      </c>
      <c r="BE41" s="668">
        <f>IF(BE$4="forecast",AVERAGE(AS41:BD41),SUMIF('Dept. Cost Actuals'!$E$7:$E$176,"*Liscenses and Permits*",'Dept. Cost Actuals'!BI$7:BI$176))</f>
        <v>0</v>
      </c>
      <c r="BF41" s="668">
        <f>IF(BF$4="forecast",AVERAGE(AT41:BE41),SUMIF('Dept. Cost Actuals'!$E$7:$E$176,"*Liscenses and Permits*",'Dept. Cost Actuals'!BJ$7:BJ$176))</f>
        <v>0</v>
      </c>
      <c r="BG41" s="668">
        <f>IF(BG$4="forecast",AVERAGE(AU41:BF41),SUMIF('Dept. Cost Actuals'!$E$7:$E$176,"*Liscenses and Permits*",'Dept. Cost Actuals'!BK$7:BK$176))</f>
        <v>0</v>
      </c>
      <c r="BH41" s="668">
        <f>IF(BH$4="forecast",AVERAGE(AV41:BG41),SUMIF('Dept. Cost Actuals'!$E$7:$E$176,"*Liscenses and Permits*",'Dept. Cost Actuals'!BL$7:BL$176))</f>
        <v>0</v>
      </c>
      <c r="BI41" s="668">
        <f>IF(BI$4="forecast",AVERAGE(AW41:BH41),SUMIF('Dept. Cost Actuals'!$E$7:$E$176,"*Liscenses and Permits*",'Dept. Cost Actuals'!BM$7:BM$176))</f>
        <v>0</v>
      </c>
      <c r="BJ41" s="668">
        <f>IF(BJ$4="forecast",AVERAGE(AX41:BI41),SUMIF('Dept. Cost Actuals'!$E$7:$E$176,"*Liscenses and Permits*",'Dept. Cost Actuals'!BN$7:BN$176))</f>
        <v>0</v>
      </c>
      <c r="BK41" s="668">
        <f>IF(BK$4="forecast",AVERAGE(AY41:BJ41),SUMIF('Dept. Cost Actuals'!$E$7:$E$176,"*Liscenses and Permits*",'Dept. Cost Actuals'!BO$7:BO$176))</f>
        <v>0</v>
      </c>
      <c r="BL41" s="668">
        <f>IF(BL$4="forecast",AVERAGE(AZ41:BK41),SUMIF('Dept. Cost Actuals'!$E$7:$E$176,"*Liscenses and Permits*",'Dept. Cost Actuals'!BP$7:BP$176))</f>
        <v>0</v>
      </c>
      <c r="BM41" s="668">
        <f>IF(BM$4="forecast",AVERAGE(BA41:BL41),SUMIF('Dept. Cost Actuals'!$E$7:$E$176,"*Liscenses and Permits*",'Dept. Cost Actuals'!BQ$7:BQ$176))</f>
        <v>0</v>
      </c>
      <c r="BN41" s="668">
        <f>IF(BN$4="forecast",AVERAGE(BB41:BM41),SUMIF('Dept. Cost Actuals'!$E$7:$E$176,"*Liscenses and Permits*",'Dept. Cost Actuals'!BR$7:BR$176))</f>
        <v>0</v>
      </c>
      <c r="BO41" s="668">
        <f>IF(BO$4="forecast",AVERAGE(BC41:BN41),SUMIF('Dept. Cost Actuals'!$E$7:$E$176,"*Liscenses and Permits*",'Dept. Cost Actuals'!BS$7:BS$176))</f>
        <v>0</v>
      </c>
      <c r="BP41" s="668">
        <f>IF(BP$4="forecast",AVERAGE(BD41:BO41),SUMIF('Dept. Cost Actuals'!$E$7:$E$176,"*Liscenses and Permits*",'Dept. Cost Actuals'!BT$7:BT$176))</f>
        <v>0</v>
      </c>
      <c r="BQ41" s="668">
        <f>IF(BQ$4="forecast",AVERAGE(BE41:BP41),SUMIF('Dept. Cost Actuals'!$E$7:$E$176,"*Liscenses and Permits*",'Dept. Cost Actuals'!BU$7:BU$176))</f>
        <v>0</v>
      </c>
      <c r="BR41" s="668">
        <f>IF(BR$4="forecast",AVERAGE(BF41:BQ41),SUMIF('Dept. Cost Actuals'!$E$7:$E$176,"*Liscenses and Permits*",'Dept. Cost Actuals'!BV$7:BV$176))</f>
        <v>0</v>
      </c>
      <c r="BS41" s="668">
        <f>IF(BS$4="forecast",AVERAGE(BG41:BR41),SUMIF('Dept. Cost Actuals'!$E$7:$E$176,"*Liscenses and Permits*",'Dept. Cost Actuals'!BW$7:BW$176))</f>
        <v>0</v>
      </c>
      <c r="BT41" s="668">
        <f>IF(BT$4="forecast",AVERAGE(BH41:BS41),SUMIF('Dept. Cost Actuals'!$E$7:$E$176,"*Liscenses and Permits*",'Dept. Cost Actuals'!BX$7:BX$176))</f>
        <v>0</v>
      </c>
      <c r="BU41" s="668">
        <f>IF(BU$4="forecast",AVERAGE(BI41:BT41),SUMIF('Dept. Cost Actuals'!$E$7:$E$176,"*Liscenses and Permits*",'Dept. Cost Actuals'!BY$7:BY$176))</f>
        <v>0</v>
      </c>
      <c r="BV41" s="790">
        <f>IF(BV$4="forecast",AVERAGE(BJ41:BU41),SUMIF('Dept. Cost Actuals'!$E$7:$E$176,"*Liscenses and Permits*",'Dept. Cost Actuals'!BZ$7:BZ$176))</f>
        <v>0</v>
      </c>
    </row>
    <row r="42" spans="2:74" x14ac:dyDescent="0.25">
      <c r="B42" s="797" t="s">
        <v>945</v>
      </c>
      <c r="C42" s="792">
        <f>IF(C$4="forecast",SUM($O$42:$Z$42)/12+4200,SUMIF('Dept. Cost Actuals'!$E$7:$E$176,"*Miscellaneous*",'Dept. Cost Actuals'!G$7:G$176))</f>
        <v>529.22897498277894</v>
      </c>
      <c r="D42" s="792">
        <f>IF(D$4="forecast",SUM($O$42:$Z$42)/12+4200,SUMIF('Dept. Cost Actuals'!$E$7:$E$176,"*Miscellaneous*",'Dept. Cost Actuals'!H$7:H$176))</f>
        <v>286.72416670935127</v>
      </c>
      <c r="E42" s="792">
        <f>IF(E$4="forecast",SUM($O$42:$Z$42)/12+4200,SUMIF('Dept. Cost Actuals'!$E$7:$E$176,"*Miscellaneous*",'Dept. Cost Actuals'!I$7:I$176))</f>
        <v>267.66293905101844</v>
      </c>
      <c r="F42" s="792">
        <f>IF(F$4="forecast",SUM($O$42:$Z$42)/12+4200,SUMIF('Dept. Cost Actuals'!$E$7:$E$176,"*Miscellaneous*",'Dept. Cost Actuals'!J$7:J$176))</f>
        <v>168.56933000804858</v>
      </c>
      <c r="G42" s="792">
        <f>IF(G$4="forecast",SUM($O$42:$Z$42)/12+4200,SUMIF('Dept. Cost Actuals'!$E$7:$E$176,"*Miscellaneous*",'Dept. Cost Actuals'!K$7:K$176))</f>
        <v>64.449057528649121</v>
      </c>
      <c r="H42" s="792">
        <f>IF(H$4="forecast",SUM($O$42:$Z$42)/12+4200,SUMIF('Dept. Cost Actuals'!$E$7:$E$176,"*Miscellaneous*",'Dept. Cost Actuals'!L$7:L$176))</f>
        <v>229.28322621782394</v>
      </c>
      <c r="I42" s="792">
        <f>IF(I$4="forecast",SUM($O$42:$Z$42)/12+4200,SUMIF('Dept. Cost Actuals'!$E$7:$E$176,"*Miscellaneous*",'Dept. Cost Actuals'!M$7:M$176))</f>
        <v>139.08524782300353</v>
      </c>
      <c r="J42" s="792">
        <f>IF(J$4="forecast",SUM($O$42:$Z$42)/12+4200,SUMIF('Dept. Cost Actuals'!$E$7:$E$176,"*Miscellaneous*",'Dept. Cost Actuals'!N$7:N$176))</f>
        <v>63.648840423005119</v>
      </c>
      <c r="K42" s="792">
        <f>IF(K$4="forecast",SUM($O$42:$Z$42)/12+4200,SUMIF('Dept. Cost Actuals'!$E$7:$E$176,"*Miscellaneous*",'Dept. Cost Actuals'!O$7:O$176))</f>
        <v>529.50370025194024</v>
      </c>
      <c r="L42" s="792">
        <f>IF(L$4="forecast",SUM($O$42:$Z$42)/12+4200,SUMIF('Dept. Cost Actuals'!$E$7:$E$176,"*Miscellaneous*",'Dept. Cost Actuals'!P$7:P$176))</f>
        <v>837.27898003204461</v>
      </c>
      <c r="M42" s="792">
        <f>IF(M$4="forecast",SUM($O$42:$Z$42)/12+4200,SUMIF('Dept. Cost Actuals'!$E$7:$E$176,"*Miscellaneous*",'Dept. Cost Actuals'!Q$7:Q$176))</f>
        <v>310.67066172247451</v>
      </c>
      <c r="N42" s="792">
        <f>IF(N$4="forecast",SUM($O$42:$Z$42)/12+4200,SUMIF('Dept. Cost Actuals'!$E$7:$E$176,"*Miscellaneous*",'Dept. Cost Actuals'!R$7:R$176))</f>
        <v>414.74737870740842</v>
      </c>
      <c r="O42" s="792">
        <f>IF(O$4="forecast",SUM($O$42:$Z$42)/12+4200,SUMIF('Dept. Cost Actuals'!$E$7:$E$176,"*Miscellaneous*",'Dept. Cost Actuals'!S$7:S$176))</f>
        <v>201.85</v>
      </c>
      <c r="P42" s="792">
        <f>IF(P$4="forecast",SUM($O$42:$Z$42)/12+4200,SUMIF('Dept. Cost Actuals'!$E$7:$E$176,"*Miscellaneous*",'Dept. Cost Actuals'!T$7:T$176))</f>
        <v>123.23</v>
      </c>
      <c r="Q42" s="792">
        <f>IF(Q$4="forecast",SUM($O$42:$Z$42)/12+4200,SUMIF('Dept. Cost Actuals'!$E$7:$E$176,"*Miscellaneous*",'Dept. Cost Actuals'!U$7:U$176))</f>
        <v>0</v>
      </c>
      <c r="R42" s="792">
        <f>IF(R$4="forecast",SUM($O$42:$Z$42)/12+4200,SUMIF('Dept. Cost Actuals'!$E$7:$E$176,"*Miscellaneous*",'Dept. Cost Actuals'!V$7:V$176))</f>
        <v>0</v>
      </c>
      <c r="S42" s="792">
        <f>IF(S$4="forecast",SUM($O$42:$Z$42)/12+4200,SUMIF('Dept. Cost Actuals'!$E$7:$E$176,"*Miscellaneous*",'Dept. Cost Actuals'!W$7:W$176))</f>
        <v>0</v>
      </c>
      <c r="T42" s="792">
        <f>IF(T$4="forecast",SUM($O$42:$Z$42)/12+4200,SUMIF('Dept. Cost Actuals'!$E$7:$E$176,"*Miscellaneous*",'Dept. Cost Actuals'!X$7:X$176))</f>
        <v>400</v>
      </c>
      <c r="U42" s="792">
        <f>IF(U$4="forecast",SUM($O$42:$Z$42)/12+4200,SUMIF('Dept. Cost Actuals'!$E$7:$E$176,"*Miscellaneous*",'Dept. Cost Actuals'!Y$7:Y$176))</f>
        <v>53.35</v>
      </c>
      <c r="V42" s="792">
        <f>IF(V$4="forecast",SUM($O$42:$Z$42)/12+4200,SUMIF('Dept. Cost Actuals'!$E$7:$E$176,"*Miscellaneous*",'Dept. Cost Actuals'!Z$7:Z$176))</f>
        <v>0</v>
      </c>
      <c r="W42" s="792">
        <f>IF(W$4="forecast",SUM($O$42:$Z$42)/12+4200,SUMIF('Dept. Cost Actuals'!$E$7:$E$176,"*Miscellaneous*",'Dept. Cost Actuals'!AA$7:AA$176))</f>
        <v>2500</v>
      </c>
      <c r="X42" s="792">
        <f>IF(X$4="forecast",SUM($O$42:$Z$42)/12+4200,SUMIF('Dept. Cost Actuals'!$E$7:$E$176,"*Miscellaneous*",'Dept. Cost Actuals'!AB$7:AB$176))</f>
        <v>-2500</v>
      </c>
      <c r="Y42" s="792">
        <f>IF(Y$4="forecast",SUM($O$42:$Z$42)/12+4200,SUMIF('Dept. Cost Actuals'!$E$7:$E$176,"*Miscellaneous*",'Dept. Cost Actuals'!AC$7:AC$176))</f>
        <v>26.14</v>
      </c>
      <c r="Z42" s="792">
        <f>IF(Z$4="forecast",SUM($O$42:$Z$42)/12+4200,SUMIF('Dept. Cost Actuals'!$E$7:$E$176,"*Miscellaneous*",'Dept. Cost Actuals'!AD$7:AD$176))</f>
        <v>3588.1400000000003</v>
      </c>
      <c r="AA42" s="792">
        <f>IF(AA$4="forecast",SUM($O$42:$Z$42)/12+4200,SUMIF('Dept. Cost Actuals'!$E$7:$E$176,"*Miscellaneous*",'Dept. Cost Actuals'!AE$7:AE$176))</f>
        <v>0</v>
      </c>
      <c r="AB42" s="792">
        <f>IF(AB$4="forecast",SUM($O$42:$Z$42)/12+4200,SUMIF('Dept. Cost Actuals'!$E$7:$E$176,"*Miscellaneous*",'Dept. Cost Actuals'!AF$7:AF$176))</f>
        <v>0</v>
      </c>
      <c r="AC42" s="792">
        <f>IF(AC$4="forecast",SUM($O$42:$Z$42)/12+4200,SUMIF('Dept. Cost Actuals'!$E$7:$E$176,"*Miscellaneous*",'Dept. Cost Actuals'!AG$7:AG$176))</f>
        <v>29.99</v>
      </c>
      <c r="AD42" s="792">
        <f>IF(AD$4="forecast",SUM($O$42:$Z$42)/12+4200,SUMIF('Dept. Cost Actuals'!$E$7:$E$176,"*Miscellaneous*",'Dept. Cost Actuals'!AH$7:AH$176))</f>
        <v>4566.0591666666669</v>
      </c>
      <c r="AE42" s="792">
        <f>IF(AE$4="forecast",SUM($O$42:$Z$42)/12+4200,SUMIF('Dept. Cost Actuals'!$E$7:$E$176,"*Miscellaneous*",'Dept. Cost Actuals'!AI$7:AI$176))</f>
        <v>4566.0591666666669</v>
      </c>
      <c r="AF42" s="792">
        <f>IF(AF$4="forecast",SUM($O$42:$Z$42)/12+4200,SUMIF('Dept. Cost Actuals'!$E$7:$E$176,"*Miscellaneous*",'Dept. Cost Actuals'!AJ$7:AJ$176))</f>
        <v>4566.0591666666669</v>
      </c>
      <c r="AG42" s="792">
        <f>IF(AG$4="forecast",SUM($O$42:$Z$42)/12+4200,SUMIF('Dept. Cost Actuals'!$E$7:$E$176,"*Miscellaneous*",'Dept. Cost Actuals'!AK$7:AK$176))</f>
        <v>4566.0591666666669</v>
      </c>
      <c r="AH42" s="792">
        <f>IF(AH$4="forecast",SUM($O$42:$Z$42)/12+4200,SUMIF('Dept. Cost Actuals'!$E$7:$E$176,"*Miscellaneous*",'Dept. Cost Actuals'!AL$7:AL$176))</f>
        <v>4566.0591666666669</v>
      </c>
      <c r="AI42" s="792">
        <f>IF(AI$4="forecast",SUM($O$42:$Z$42)/12+4200,SUMIF('Dept. Cost Actuals'!$E$7:$E$176,"*Miscellaneous*",'Dept. Cost Actuals'!AM$7:AM$176))</f>
        <v>4566.0591666666669</v>
      </c>
      <c r="AJ42" s="792">
        <f>IF(AJ$4="forecast",SUM($O$42:$Z$42)/12+4200,SUMIF('Dept. Cost Actuals'!$E$7:$E$176,"*Miscellaneous*",'Dept. Cost Actuals'!AN$7:AN$176))</f>
        <v>4566.0591666666669</v>
      </c>
      <c r="AK42" s="792">
        <f>IF(AK$4="forecast",SUM($O$42:$Z$42)/12+4200,SUMIF('Dept. Cost Actuals'!$E$7:$E$176,"*Miscellaneous*",'Dept. Cost Actuals'!AO$7:AO$176))</f>
        <v>4566.0591666666669</v>
      </c>
      <c r="AL42" s="792">
        <f>IF(AL$4="forecast",SUM($O$42:$Z$42)/12+4200,SUMIF('Dept. Cost Actuals'!$E$7:$E$176,"*Miscellaneous*",'Dept. Cost Actuals'!AP$7:AP$176))</f>
        <v>4566.0591666666669</v>
      </c>
      <c r="AM42" s="792">
        <f>IF(AM$4="forecast",SUM($O$42:$Z$42)/12+4200,SUMIF('Dept. Cost Actuals'!$E$7:$E$176,"*Miscellaneous*",'Dept. Cost Actuals'!AQ$7:AQ$176))</f>
        <v>4566.0591666666669</v>
      </c>
      <c r="AN42" s="792">
        <f>IF(AN$4="forecast",SUM($O$42:$Z$42)/12+4200,SUMIF('Dept. Cost Actuals'!$E$7:$E$176,"*Miscellaneous*",'Dept. Cost Actuals'!AR$7:AR$176))</f>
        <v>4566.0591666666669</v>
      </c>
      <c r="AO42" s="792">
        <f>IF(AO$4="forecast",SUM($O$42:$Z$42)/12+4200,SUMIF('Dept. Cost Actuals'!$E$7:$E$176,"*Miscellaneous*",'Dept. Cost Actuals'!AS$7:AS$176))</f>
        <v>4566.0591666666669</v>
      </c>
      <c r="AP42" s="792">
        <f>IF(AP$4="forecast",SUM($O$42:$Z$42)/12+4200,SUMIF('Dept. Cost Actuals'!$E$7:$E$176,"*Miscellaneous*",'Dept. Cost Actuals'!AT$7:AT$176))</f>
        <v>4566.0591666666669</v>
      </c>
      <c r="AQ42" s="792">
        <f>IF(AQ$4="forecast",SUM($O$42:$Z$42)/12+4200,SUMIF('Dept. Cost Actuals'!$E$7:$E$176,"*Miscellaneous*",'Dept. Cost Actuals'!AU$7:AU$176))</f>
        <v>4566.0591666666669</v>
      </c>
      <c r="AR42" s="792">
        <f>IF(AR$4="forecast",SUM($O$42:$Z$42)/12+4200,SUMIF('Dept. Cost Actuals'!$E$7:$E$176,"*Miscellaneous*",'Dept. Cost Actuals'!AV$7:AV$176))</f>
        <v>4566.0591666666669</v>
      </c>
      <c r="AS42" s="792">
        <f>IF(AS$4="forecast",SUM($O$42:$Z$42)/12+4200,SUMIF('Dept. Cost Actuals'!$E$7:$E$176,"*Miscellaneous*",'Dept. Cost Actuals'!AW$7:AW$176))</f>
        <v>4566.0591666666669</v>
      </c>
      <c r="AT42" s="792">
        <f>IF(AT$4="forecast",SUM($O$42:$Z$42)/12+4200,SUMIF('Dept. Cost Actuals'!$E$7:$E$176,"*Miscellaneous*",'Dept. Cost Actuals'!AX$7:AX$176))</f>
        <v>4566.0591666666669</v>
      </c>
      <c r="AU42" s="792">
        <f>IF(AU$4="forecast",SUM($O$42:$Z$42)/12+4200,SUMIF('Dept. Cost Actuals'!$E$7:$E$176,"*Miscellaneous*",'Dept. Cost Actuals'!AY$7:AY$176))</f>
        <v>4566.0591666666669</v>
      </c>
      <c r="AV42" s="792">
        <f>IF(AV$4="forecast",SUM($O$42:$Z$42)/12+4200,SUMIF('Dept. Cost Actuals'!$E$7:$E$176,"*Miscellaneous*",'Dept. Cost Actuals'!AZ$7:AZ$176))</f>
        <v>4566.0591666666669</v>
      </c>
      <c r="AW42" s="792">
        <f>IF(AW$4="forecast",SUM($O$42:$Z$42)/12+4200,SUMIF('Dept. Cost Actuals'!$E$7:$E$176,"*Miscellaneous*",'Dept. Cost Actuals'!BA$7:BA$176))</f>
        <v>4566.0591666666669</v>
      </c>
      <c r="AX42" s="792">
        <f>IF(AX$4="forecast",SUM($O$42:$Z$42)/12+4200,SUMIF('Dept. Cost Actuals'!$E$7:$E$176,"*Miscellaneous*",'Dept. Cost Actuals'!BB$7:BB$176))</f>
        <v>4566.0591666666669</v>
      </c>
      <c r="AY42" s="792">
        <f>IF(AY$4="forecast",SUM($O$42:$Z$42)/12+4200,SUMIF('Dept. Cost Actuals'!$E$7:$E$176,"*Miscellaneous*",'Dept. Cost Actuals'!BC$7:BC$176))</f>
        <v>4566.0591666666669</v>
      </c>
      <c r="AZ42" s="792">
        <f>IF(AZ$4="forecast",SUM($O$42:$Z$42)/12+4200,SUMIF('Dept. Cost Actuals'!$E$7:$E$176,"*Miscellaneous*",'Dept. Cost Actuals'!BD$7:BD$176))</f>
        <v>4566.0591666666669</v>
      </c>
      <c r="BA42" s="792">
        <f>IF(BA$4="forecast",SUM($O$42:$Z$42)/12+4200,SUMIF('Dept. Cost Actuals'!$E$7:$E$176,"*Miscellaneous*",'Dept. Cost Actuals'!BE$7:BE$176))</f>
        <v>4566.0591666666669</v>
      </c>
      <c r="BB42" s="792">
        <f>IF(BB$4="forecast",SUM($O$42:$Z$42)/12+4200,SUMIF('Dept. Cost Actuals'!$E$7:$E$176,"*Miscellaneous*",'Dept. Cost Actuals'!BF$7:BF$176))</f>
        <v>4566.0591666666669</v>
      </c>
      <c r="BC42" s="792">
        <f>IF(BC$4="forecast",SUM($O$42:$Z$42)/12+4200,SUMIF('Dept. Cost Actuals'!$E$7:$E$176,"*Miscellaneous*",'Dept. Cost Actuals'!BG$7:BG$176))</f>
        <v>4566.0591666666669</v>
      </c>
      <c r="BD42" s="792">
        <f>IF(BD$4="forecast",SUM($O$42:$Z$42)/12+4200,SUMIF('Dept. Cost Actuals'!$E$7:$E$176,"*Miscellaneous*",'Dept. Cost Actuals'!BH$7:BH$176))</f>
        <v>4566.0591666666669</v>
      </c>
      <c r="BE42" s="792">
        <f>IF(BE$4="forecast",SUM($O$42:$Z$42)/12+4200,SUMIF('Dept. Cost Actuals'!$E$7:$E$176,"*Miscellaneous*",'Dept. Cost Actuals'!BI$7:BI$176))</f>
        <v>4566.0591666666669</v>
      </c>
      <c r="BF42" s="792">
        <f>IF(BF$4="forecast",SUM($O$42:$Z$42)/12+4200,SUMIF('Dept. Cost Actuals'!$E$7:$E$176,"*Miscellaneous*",'Dept. Cost Actuals'!BJ$7:BJ$176))</f>
        <v>4566.0591666666669</v>
      </c>
      <c r="BG42" s="792">
        <f>IF(BG$4="forecast",SUM($O$42:$Z$42)/12+4200,SUMIF('Dept. Cost Actuals'!$E$7:$E$176,"*Miscellaneous*",'Dept. Cost Actuals'!BK$7:BK$176))</f>
        <v>4566.0591666666669</v>
      </c>
      <c r="BH42" s="792">
        <f>IF(BH$4="forecast",SUM($O$42:$Z$42)/12+4200,SUMIF('Dept. Cost Actuals'!$E$7:$E$176,"*Miscellaneous*",'Dept. Cost Actuals'!BL$7:BL$176))</f>
        <v>4566.0591666666669</v>
      </c>
      <c r="BI42" s="792">
        <f>IF(BI$4="forecast",SUM($O$42:$Z$42)/12+4200,SUMIF('Dept. Cost Actuals'!$E$7:$E$176,"*Miscellaneous*",'Dept. Cost Actuals'!BM$7:BM$176))</f>
        <v>4566.0591666666669</v>
      </c>
      <c r="BJ42" s="792">
        <f>IF(BJ$4="forecast",SUM($O$42:$Z$42)/12+4200,SUMIF('Dept. Cost Actuals'!$E$7:$E$176,"*Miscellaneous*",'Dept. Cost Actuals'!BN$7:BN$176))</f>
        <v>4566.0591666666669</v>
      </c>
      <c r="BK42" s="792">
        <f>IF(BK$4="forecast",SUM($O$42:$Z$42)/12+4200,SUMIF('Dept. Cost Actuals'!$E$7:$E$176,"*Miscellaneous*",'Dept. Cost Actuals'!BO$7:BO$176))</f>
        <v>4566.0591666666669</v>
      </c>
      <c r="BL42" s="792">
        <f>IF(BL$4="forecast",SUM($O$42:$Z$42)/12+4200,SUMIF('Dept. Cost Actuals'!$E$7:$E$176,"*Miscellaneous*",'Dept. Cost Actuals'!BP$7:BP$176))</f>
        <v>4566.0591666666669</v>
      </c>
      <c r="BM42" s="792">
        <f>IF(BM$4="forecast",SUM($O$42:$Z$42)/12+4200,SUMIF('Dept. Cost Actuals'!$E$7:$E$176,"*Miscellaneous*",'Dept. Cost Actuals'!BQ$7:BQ$176))</f>
        <v>4566.0591666666669</v>
      </c>
      <c r="BN42" s="792">
        <f>IF(BN$4="forecast",SUM($O$42:$Z$42)/12+4200,SUMIF('Dept. Cost Actuals'!$E$7:$E$176,"*Miscellaneous*",'Dept. Cost Actuals'!BR$7:BR$176))</f>
        <v>4566.0591666666669</v>
      </c>
      <c r="BO42" s="792">
        <f>IF(BO$4="forecast",SUM($O$42:$Z$42)/12+4200,SUMIF('Dept. Cost Actuals'!$E$7:$E$176,"*Miscellaneous*",'Dept. Cost Actuals'!BS$7:BS$176))</f>
        <v>4566.0591666666669</v>
      </c>
      <c r="BP42" s="792">
        <f>IF(BP$4="forecast",SUM($O$42:$Z$42)/12+4200,SUMIF('Dept. Cost Actuals'!$E$7:$E$176,"*Miscellaneous*",'Dept. Cost Actuals'!BT$7:BT$176))</f>
        <v>4566.0591666666669</v>
      </c>
      <c r="BQ42" s="792">
        <f>IF(BQ$4="forecast",SUM($O$42:$Z$42)/12+4200,SUMIF('Dept. Cost Actuals'!$E$7:$E$176,"*Miscellaneous*",'Dept. Cost Actuals'!BU$7:BU$176))</f>
        <v>4566.0591666666669</v>
      </c>
      <c r="BR42" s="792">
        <f>IF(BR$4="forecast",SUM($O$42:$Z$42)/12+4200,SUMIF('Dept. Cost Actuals'!$E$7:$E$176,"*Miscellaneous*",'Dept. Cost Actuals'!BV$7:BV$176))</f>
        <v>4566.0591666666669</v>
      </c>
      <c r="BS42" s="792">
        <f>IF(BS$4="forecast",SUM($O$42:$Z$42)/12+4200,SUMIF('Dept. Cost Actuals'!$E$7:$E$176,"*Miscellaneous*",'Dept. Cost Actuals'!BW$7:BW$176))</f>
        <v>4566.0591666666669</v>
      </c>
      <c r="BT42" s="792">
        <f>IF(BT$4="forecast",SUM($O$42:$Z$42)/12+4200,SUMIF('Dept. Cost Actuals'!$E$7:$E$176,"*Miscellaneous*",'Dept. Cost Actuals'!BX$7:BX$176))</f>
        <v>4566.0591666666669</v>
      </c>
      <c r="BU42" s="792">
        <f>IF(BU$4="forecast",SUM($O$42:$Z$42)/12+4200,SUMIF('Dept. Cost Actuals'!$E$7:$E$176,"*Miscellaneous*",'Dept. Cost Actuals'!BY$7:BY$176))</f>
        <v>4566.0591666666669</v>
      </c>
      <c r="BV42" s="798">
        <f>IF(BV$4="forecast",SUM($O$42:$Z$42)/12+4200,SUMIF('Dept. Cost Actuals'!$E$7:$E$176,"*Miscellaneous*",'Dept. Cost Actuals'!BZ$7:BZ$176))</f>
        <v>4566.0591666666669</v>
      </c>
    </row>
    <row r="43" spans="2:74" x14ac:dyDescent="0.25">
      <c r="B43" s="799" t="s">
        <v>946</v>
      </c>
      <c r="C43" s="800">
        <f>SUM(C32:C42,)</f>
        <v>2176.8370558797833</v>
      </c>
      <c r="D43" s="800">
        <f t="shared" ref="D43:BO43" si="9">SUM(D32:D42,)</f>
        <v>2173.0295670656501</v>
      </c>
      <c r="E43" s="800">
        <f t="shared" si="9"/>
        <v>3647.9700096401234</v>
      </c>
      <c r="F43" s="800">
        <f t="shared" si="9"/>
        <v>3632.7345687536508</v>
      </c>
      <c r="G43" s="800">
        <f t="shared" si="9"/>
        <v>3676.9511045682966</v>
      </c>
      <c r="H43" s="800">
        <f t="shared" si="9"/>
        <v>5768.0419717728691</v>
      </c>
      <c r="I43" s="800">
        <f t="shared" si="9"/>
        <v>6626.0441871583462</v>
      </c>
      <c r="J43" s="800">
        <f t="shared" si="9"/>
        <v>6459.91620745814</v>
      </c>
      <c r="K43" s="800">
        <f t="shared" si="9"/>
        <v>5892.6995015137318</v>
      </c>
      <c r="L43" s="800">
        <f t="shared" si="9"/>
        <v>4241.788350275373</v>
      </c>
      <c r="M43" s="800">
        <f t="shared" si="9"/>
        <v>7633.8277026722617</v>
      </c>
      <c r="N43" s="800">
        <f t="shared" si="9"/>
        <v>1859.1358396751527</v>
      </c>
      <c r="O43" s="800">
        <f t="shared" si="9"/>
        <v>4364.3500000000004</v>
      </c>
      <c r="P43" s="800">
        <f t="shared" si="9"/>
        <v>6457.2599999999993</v>
      </c>
      <c r="Q43" s="800">
        <f t="shared" si="9"/>
        <v>4229.6900000000005</v>
      </c>
      <c r="R43" s="800">
        <f t="shared" si="9"/>
        <v>2224.5</v>
      </c>
      <c r="S43" s="800">
        <f t="shared" si="9"/>
        <v>4890.3799999999992</v>
      </c>
      <c r="T43" s="800">
        <f t="shared" si="9"/>
        <v>3177.63</v>
      </c>
      <c r="U43" s="800">
        <f t="shared" si="9"/>
        <v>3329.3100000000004</v>
      </c>
      <c r="V43" s="800">
        <f t="shared" si="9"/>
        <v>2465.4299999999994</v>
      </c>
      <c r="W43" s="800">
        <f t="shared" si="9"/>
        <v>6067.18</v>
      </c>
      <c r="X43" s="800">
        <f t="shared" si="9"/>
        <v>3488.8999999999996</v>
      </c>
      <c r="Y43" s="800">
        <f t="shared" si="9"/>
        <v>4995.24</v>
      </c>
      <c r="Z43" s="800">
        <f t="shared" ref="Z43" si="10">SUM(Z32:Z42,)</f>
        <v>6026.3700000000008</v>
      </c>
      <c r="AA43" s="800">
        <f t="shared" ref="AA43" si="11">SUM(AA32:AA42,)</f>
        <v>5486.7999999999993</v>
      </c>
      <c r="AB43" s="800">
        <f t="shared" ref="AB43" si="12">SUM(AB32:AB42,)</f>
        <v>2488.7399999999998</v>
      </c>
      <c r="AC43" s="800">
        <f t="shared" ref="AC43" si="13">SUM(AC32:AC42,)</f>
        <v>6560.28</v>
      </c>
      <c r="AD43" s="800">
        <f t="shared" ref="AD43" si="14">SUM(AD32:AD42,)</f>
        <v>9016.7116666666661</v>
      </c>
      <c r="AE43" s="800">
        <f t="shared" ref="AE43" si="15">SUM(AE32:AE42,)</f>
        <v>9227.0160416666658</v>
      </c>
      <c r="AF43" s="800">
        <f t="shared" ref="AF43" si="16">SUM(AF32:AF42,)</f>
        <v>9232.6891145833342</v>
      </c>
      <c r="AG43" s="800">
        <f t="shared" si="9"/>
        <v>9335.8474435763892</v>
      </c>
      <c r="AH43" s="800">
        <f t="shared" si="9"/>
        <v>9401.9997999855332</v>
      </c>
      <c r="AI43" s="800">
        <f t="shared" si="9"/>
        <v>9541.2090194287703</v>
      </c>
      <c r="AJ43" s="800">
        <f t="shared" si="9"/>
        <v>9600.2065071589477</v>
      </c>
      <c r="AK43" s="800">
        <f t="shared" si="9"/>
        <v>9462.3104521999703</v>
      </c>
      <c r="AL43" s="800">
        <f t="shared" si="9"/>
        <v>9397.9063926610797</v>
      </c>
      <c r="AM43" s="800">
        <f t="shared" si="9"/>
        <v>9539.0411614939476</v>
      </c>
      <c r="AN43" s="800">
        <f t="shared" si="9"/>
        <v>9437.8896610628872</v>
      </c>
      <c r="AO43" s="800">
        <f t="shared" si="9"/>
        <v>9582.4313689292376</v>
      </c>
      <c r="AP43" s="800">
        <f t="shared" si="9"/>
        <v>9397.9382191177847</v>
      </c>
      <c r="AQ43" s="800">
        <f t="shared" si="9"/>
        <v>9429.7070984887105</v>
      </c>
      <c r="AR43" s="800">
        <f t="shared" si="9"/>
        <v>9446.598019890549</v>
      </c>
      <c r="AS43" s="800">
        <f t="shared" si="9"/>
        <v>9464.4237619994856</v>
      </c>
      <c r="AT43" s="800">
        <f t="shared" si="9"/>
        <v>9475.1384552014097</v>
      </c>
      <c r="AU43" s="800">
        <f t="shared" si="9"/>
        <v>9481.2333431360639</v>
      </c>
      <c r="AV43" s="800">
        <f t="shared" si="9"/>
        <v>9476.2353701116735</v>
      </c>
      <c r="AW43" s="800">
        <f t="shared" si="9"/>
        <v>9465.904442024399</v>
      </c>
      <c r="AX43" s="800">
        <f t="shared" si="9"/>
        <v>9466.2039411764345</v>
      </c>
      <c r="AY43" s="800">
        <f t="shared" si="9"/>
        <v>9471.8954035527149</v>
      </c>
      <c r="AZ43" s="800">
        <f t="shared" si="9"/>
        <v>9466.2999237242802</v>
      </c>
      <c r="BA43" s="800">
        <f t="shared" si="9"/>
        <v>9468.6674456127275</v>
      </c>
      <c r="BB43" s="800">
        <f t="shared" si="9"/>
        <v>9459.1871186696881</v>
      </c>
      <c r="BC43" s="800">
        <f t="shared" si="9"/>
        <v>9464.2911936323453</v>
      </c>
      <c r="BD43" s="800">
        <f t="shared" si="9"/>
        <v>9467.1732015609814</v>
      </c>
      <c r="BE43" s="800">
        <f t="shared" si="9"/>
        <v>9468.8878000335171</v>
      </c>
      <c r="BF43" s="800">
        <f t="shared" si="9"/>
        <v>9469.2598032030219</v>
      </c>
      <c r="BG43" s="800">
        <f t="shared" si="9"/>
        <v>9468.7699155364862</v>
      </c>
      <c r="BH43" s="800">
        <f t="shared" si="9"/>
        <v>9467.7312965698547</v>
      </c>
      <c r="BI43" s="800">
        <f t="shared" si="9"/>
        <v>9467.0226237747047</v>
      </c>
      <c r="BJ43" s="800">
        <f t="shared" si="9"/>
        <v>9467.1158055872293</v>
      </c>
      <c r="BK43" s="800">
        <f t="shared" si="9"/>
        <v>9467.19179428813</v>
      </c>
      <c r="BL43" s="800">
        <f t="shared" si="9"/>
        <v>9466.7998268494139</v>
      </c>
      <c r="BM43" s="800">
        <f t="shared" si="9"/>
        <v>9466.8414854431758</v>
      </c>
      <c r="BN43" s="800">
        <f t="shared" si="9"/>
        <v>9466.6893220957118</v>
      </c>
      <c r="BO43" s="800">
        <f t="shared" si="9"/>
        <v>9467.3145057145484</v>
      </c>
      <c r="BP43" s="800">
        <f t="shared" ref="BP43:BV43" si="17">SUM(BP32:BP42,)</f>
        <v>9467.5664483880646</v>
      </c>
      <c r="BQ43" s="800">
        <f t="shared" si="17"/>
        <v>9467.5992189569879</v>
      </c>
      <c r="BR43" s="800">
        <f t="shared" si="17"/>
        <v>9467.4918372006105</v>
      </c>
      <c r="BS43" s="800">
        <f t="shared" si="17"/>
        <v>9467.3445067004104</v>
      </c>
      <c r="BT43" s="800">
        <f t="shared" si="17"/>
        <v>9467.2257226307374</v>
      </c>
      <c r="BU43" s="800">
        <f t="shared" si="17"/>
        <v>9467.1835914691437</v>
      </c>
      <c r="BV43" s="800">
        <f t="shared" si="17"/>
        <v>9467.1970054436788</v>
      </c>
    </row>
    <row r="44" spans="2:74" x14ac:dyDescent="0.25">
      <c r="B44" s="783"/>
      <c r="C44" s="156"/>
      <c r="D44" s="156"/>
      <c r="E44" s="156"/>
      <c r="F44" s="156"/>
      <c r="G44" s="156"/>
      <c r="H44" s="156"/>
      <c r="I44" s="156"/>
      <c r="J44" s="156"/>
      <c r="K44" s="156"/>
      <c r="L44" s="156"/>
      <c r="M44" s="156"/>
      <c r="N44" s="156"/>
      <c r="O44" s="156"/>
      <c r="P44" s="156"/>
      <c r="Q44" s="156"/>
      <c r="R44" s="156"/>
      <c r="S44" s="156"/>
      <c r="T44" s="156"/>
      <c r="U44" s="156"/>
      <c r="V44" s="156"/>
      <c r="W44" s="156"/>
      <c r="X44" s="156"/>
      <c r="Y44" s="156"/>
      <c r="Z44" s="156"/>
      <c r="AA44" s="156"/>
      <c r="AB44" s="156"/>
      <c r="AC44" s="156"/>
      <c r="AD44" s="156"/>
      <c r="AE44" s="156"/>
      <c r="AF44" s="156"/>
      <c r="AG44" s="156"/>
      <c r="AH44" s="156"/>
      <c r="AI44" s="156"/>
      <c r="AJ44" s="156"/>
      <c r="AK44" s="156"/>
      <c r="AL44" s="156"/>
      <c r="AM44" s="156"/>
      <c r="AN44" s="156"/>
      <c r="AO44" s="156"/>
      <c r="AP44" s="156"/>
      <c r="AQ44" s="156"/>
      <c r="AR44" s="156"/>
      <c r="AS44" s="156"/>
      <c r="AT44" s="156"/>
      <c r="AU44" s="156"/>
      <c r="AV44" s="156"/>
      <c r="AW44" s="156"/>
      <c r="AX44" s="156"/>
      <c r="AY44" s="156"/>
      <c r="AZ44" s="156"/>
      <c r="BA44" s="156"/>
      <c r="BB44" s="156"/>
      <c r="BC44" s="156"/>
      <c r="BD44" s="156"/>
      <c r="BE44" s="156"/>
      <c r="BF44" s="156"/>
      <c r="BG44" s="156"/>
      <c r="BH44" s="156"/>
      <c r="BI44" s="156"/>
      <c r="BJ44" s="156"/>
      <c r="BK44" s="156"/>
      <c r="BL44" s="156"/>
      <c r="BM44" s="156"/>
      <c r="BN44" s="156"/>
      <c r="BO44" s="156"/>
      <c r="BP44" s="156"/>
      <c r="BQ44" s="156"/>
      <c r="BR44" s="156"/>
      <c r="BS44" s="156"/>
      <c r="BT44" s="156"/>
      <c r="BU44" s="156"/>
      <c r="BV44" s="784"/>
    </row>
    <row r="45" spans="2:74" x14ac:dyDescent="0.25">
      <c r="B45" s="855" t="s">
        <v>488</v>
      </c>
      <c r="C45" s="856">
        <f>C43+C29</f>
        <v>34017.99318282961</v>
      </c>
      <c r="D45" s="856">
        <f t="shared" ref="D45:BO45" si="18">D43+D29</f>
        <v>34542.950694408959</v>
      </c>
      <c r="E45" s="856">
        <f t="shared" si="18"/>
        <v>30852.619057067914</v>
      </c>
      <c r="F45" s="856">
        <f t="shared" si="18"/>
        <v>35093.753123859176</v>
      </c>
      <c r="G45" s="856">
        <f t="shared" si="18"/>
        <v>39242.344685416545</v>
      </c>
      <c r="H45" s="856">
        <f t="shared" si="18"/>
        <v>58312.66824735266</v>
      </c>
      <c r="I45" s="856">
        <f t="shared" si="18"/>
        <v>49675.559127334956</v>
      </c>
      <c r="J45" s="856">
        <f t="shared" si="18"/>
        <v>63917.624901386043</v>
      </c>
      <c r="K45" s="856">
        <f t="shared" si="18"/>
        <v>49268.545660767486</v>
      </c>
      <c r="L45" s="856">
        <f t="shared" si="18"/>
        <v>44395.188025324511</v>
      </c>
      <c r="M45" s="856">
        <f t="shared" si="18"/>
        <v>68735.622734345074</v>
      </c>
      <c r="N45" s="856">
        <f t="shared" si="18"/>
        <v>68706.519374703275</v>
      </c>
      <c r="O45" s="856">
        <f t="shared" si="18"/>
        <v>108819.14000000001</v>
      </c>
      <c r="P45" s="856">
        <f t="shared" si="18"/>
        <v>88746.52</v>
      </c>
      <c r="Q45" s="856">
        <f t="shared" si="18"/>
        <v>147580.19</v>
      </c>
      <c r="R45" s="856">
        <f t="shared" si="18"/>
        <v>118226.94</v>
      </c>
      <c r="S45" s="856">
        <f t="shared" si="18"/>
        <v>122808.24</v>
      </c>
      <c r="T45" s="856">
        <f t="shared" si="18"/>
        <v>103263.89</v>
      </c>
      <c r="U45" s="856">
        <f t="shared" si="18"/>
        <v>132491.95000000001</v>
      </c>
      <c r="V45" s="856">
        <f t="shared" si="18"/>
        <v>115863.46999999999</v>
      </c>
      <c r="W45" s="856">
        <f t="shared" si="18"/>
        <v>131784.16</v>
      </c>
      <c r="X45" s="856">
        <f t="shared" si="18"/>
        <v>163135.63</v>
      </c>
      <c r="Y45" s="856">
        <f t="shared" si="18"/>
        <v>129571.93000000001</v>
      </c>
      <c r="Z45" s="856">
        <f t="shared" si="18"/>
        <v>137228.06</v>
      </c>
      <c r="AA45" s="856">
        <f t="shared" si="18"/>
        <v>146192.46</v>
      </c>
      <c r="AB45" s="856">
        <f t="shared" si="18"/>
        <v>125489.62000000001</v>
      </c>
      <c r="AC45" s="856">
        <f t="shared" si="18"/>
        <v>136806.78</v>
      </c>
      <c r="AD45" s="856">
        <f t="shared" si="18"/>
        <v>202406.89800561088</v>
      </c>
      <c r="AE45" s="856">
        <f t="shared" si="18"/>
        <v>203234.43053637672</v>
      </c>
      <c r="AF45" s="856">
        <f t="shared" si="18"/>
        <v>199916.41758612401</v>
      </c>
      <c r="AG45" s="856">
        <f t="shared" si="18"/>
        <v>220076.88128856901</v>
      </c>
      <c r="AH45" s="856">
        <f t="shared" si="18"/>
        <v>207814.06972838673</v>
      </c>
      <c r="AI45" s="856">
        <f t="shared" si="18"/>
        <v>209497.62162489718</v>
      </c>
      <c r="AJ45" s="856">
        <f t="shared" si="18"/>
        <v>210620.25906908672</v>
      </c>
      <c r="AK45" s="856">
        <f t="shared" si="18"/>
        <v>211632.00712357208</v>
      </c>
      <c r="AL45" s="856">
        <f t="shared" si="18"/>
        <v>212639.10474594988</v>
      </c>
      <c r="AM45" s="856">
        <f t="shared" si="18"/>
        <v>214941.71466265741</v>
      </c>
      <c r="AN45" s="856">
        <f t="shared" si="18"/>
        <v>219822.1416366054</v>
      </c>
      <c r="AO45" s="856">
        <f t="shared" si="18"/>
        <v>217925.81179156931</v>
      </c>
      <c r="AP45" s="856">
        <f t="shared" si="18"/>
        <v>219460.328523693</v>
      </c>
      <c r="AQ45" s="856">
        <f t="shared" si="18"/>
        <v>221027.70083512948</v>
      </c>
      <c r="AR45" s="856">
        <f t="shared" si="18"/>
        <v>222425.86535239327</v>
      </c>
      <c r="AS45" s="856">
        <f t="shared" si="18"/>
        <v>223849.62084449935</v>
      </c>
      <c r="AT45" s="856">
        <f t="shared" si="18"/>
        <v>225269.74209882884</v>
      </c>
      <c r="AU45" s="856">
        <f t="shared" si="18"/>
        <v>226676.50555925863</v>
      </c>
      <c r="AV45" s="856">
        <f t="shared" si="18"/>
        <v>228059.95079993008</v>
      </c>
      <c r="AW45" s="856">
        <f t="shared" si="18"/>
        <v>229465.22345385817</v>
      </c>
      <c r="AX45" s="856">
        <f t="shared" si="18"/>
        <v>230902.62505476264</v>
      </c>
      <c r="AY45" s="856">
        <f t="shared" si="18"/>
        <v>237494.18790812782</v>
      </c>
      <c r="AZ45" s="856">
        <f t="shared" si="18"/>
        <v>242891.10659508422</v>
      </c>
      <c r="BA45" s="856">
        <f t="shared" si="18"/>
        <v>240649.9951737668</v>
      </c>
      <c r="BB45" s="856">
        <f t="shared" si="18"/>
        <v>242229.34396785547</v>
      </c>
      <c r="BC45" s="856">
        <f t="shared" si="18"/>
        <v>243816.23815440887</v>
      </c>
      <c r="BD45" s="856">
        <f t="shared" si="18"/>
        <v>245410.30842892686</v>
      </c>
      <c r="BE45" s="856">
        <f t="shared" si="18"/>
        <v>247004.30357949642</v>
      </c>
      <c r="BF45" s="856">
        <f t="shared" si="18"/>
        <v>248618.34075918075</v>
      </c>
      <c r="BG45" s="856">
        <f t="shared" si="18"/>
        <v>250250.8477828383</v>
      </c>
      <c r="BH45" s="856">
        <f t="shared" si="18"/>
        <v>251904.52560834278</v>
      </c>
      <c r="BI45" s="856">
        <f t="shared" si="18"/>
        <v>253584.06776208663</v>
      </c>
      <c r="BJ45" s="856">
        <f t="shared" si="18"/>
        <v>255290.21345623824</v>
      </c>
      <c r="BK45" s="856">
        <f t="shared" si="18"/>
        <v>262279.30718901794</v>
      </c>
      <c r="BL45" s="856">
        <f t="shared" si="18"/>
        <v>268006.42157869349</v>
      </c>
      <c r="BM45" s="856">
        <f t="shared" si="18"/>
        <v>265863.35038046213</v>
      </c>
      <c r="BN45" s="856">
        <f t="shared" si="18"/>
        <v>267680.0424887868</v>
      </c>
      <c r="BO45" s="856">
        <f t="shared" si="18"/>
        <v>269521.10406981327</v>
      </c>
      <c r="BP45" s="856">
        <f t="shared" ref="BP45:BV45" si="19">BP43+BP29</f>
        <v>271386.57610850781</v>
      </c>
      <c r="BQ45" s="856">
        <f t="shared" si="19"/>
        <v>273277.98373379256</v>
      </c>
      <c r="BR45" s="856">
        <f t="shared" si="19"/>
        <v>275197.2475055512</v>
      </c>
      <c r="BS45" s="856">
        <f t="shared" si="19"/>
        <v>277147.15913759149</v>
      </c>
      <c r="BT45" s="856">
        <f t="shared" si="19"/>
        <v>279128.43617762142</v>
      </c>
      <c r="BU45" s="856">
        <f t="shared" si="19"/>
        <v>281142.24684484926</v>
      </c>
      <c r="BV45" s="856">
        <f t="shared" si="19"/>
        <v>283189.42810586671</v>
      </c>
    </row>
    <row r="46" spans="2:74" x14ac:dyDescent="0.25">
      <c r="O46" s="612"/>
      <c r="P46" s="612"/>
      <c r="Q46" s="612"/>
      <c r="R46" s="612"/>
      <c r="S46" s="612"/>
      <c r="T46" s="612"/>
      <c r="U46" s="612"/>
      <c r="V46" s="612"/>
      <c r="W46" s="612"/>
      <c r="X46" s="612"/>
      <c r="Y46" s="612"/>
      <c r="Z46" s="612"/>
      <c r="AA46" s="612"/>
      <c r="AB46" s="612"/>
      <c r="AC46" s="612"/>
      <c r="AD46" s="612"/>
      <c r="AE46" s="612"/>
      <c r="AF46" s="612"/>
      <c r="AG46" s="612"/>
      <c r="AH46" s="612"/>
      <c r="AI46" s="612"/>
      <c r="AJ46" s="612"/>
      <c r="AK46" s="612"/>
      <c r="AL46" s="612"/>
      <c r="AM46" s="612"/>
      <c r="AN46" s="612"/>
      <c r="AO46" s="612"/>
      <c r="AP46" s="612"/>
      <c r="AQ46" s="612"/>
      <c r="AR46" s="612"/>
      <c r="AS46" s="612"/>
      <c r="AT46" s="612"/>
      <c r="AU46" s="612"/>
      <c r="AV46" s="612"/>
      <c r="AW46" s="612"/>
      <c r="AX46" s="612"/>
      <c r="AY46" s="612"/>
      <c r="AZ46" s="612"/>
      <c r="BA46" s="612"/>
    </row>
    <row r="47" spans="2:74" x14ac:dyDescent="0.25">
      <c r="O47" s="571"/>
      <c r="P47" s="571"/>
      <c r="Q47" s="571"/>
      <c r="R47" s="571"/>
      <c r="S47" s="571"/>
      <c r="T47" s="571"/>
      <c r="U47" s="571"/>
      <c r="V47" s="571"/>
      <c r="W47" s="571"/>
      <c r="X47" s="571"/>
      <c r="Y47" s="571"/>
      <c r="Z47" s="571"/>
      <c r="AA47" s="571"/>
      <c r="AB47" s="571"/>
      <c r="AC47" s="571"/>
      <c r="AD47" s="571"/>
      <c r="AE47" s="571"/>
      <c r="AF47" s="571"/>
      <c r="AG47" s="571"/>
      <c r="AH47" s="571"/>
      <c r="AI47" s="571"/>
      <c r="AJ47" s="571"/>
      <c r="AK47" s="571"/>
      <c r="AL47" s="571"/>
      <c r="AM47" s="571"/>
      <c r="AN47" s="571"/>
      <c r="AO47" s="571"/>
      <c r="AP47" s="571"/>
      <c r="AQ47" s="571"/>
      <c r="AR47" s="571"/>
      <c r="AS47" s="571"/>
      <c r="AT47" s="571"/>
      <c r="AU47" s="571"/>
      <c r="AV47" s="571"/>
      <c r="AW47" s="571"/>
      <c r="AX47" s="571"/>
      <c r="AY47" s="571"/>
      <c r="AZ47" s="571"/>
      <c r="BA47" s="571"/>
      <c r="BB47" s="571"/>
      <c r="BC47" s="571"/>
      <c r="BD47" s="571"/>
      <c r="BE47" s="571"/>
      <c r="BF47" s="571"/>
      <c r="BG47" s="571"/>
      <c r="BH47" s="571"/>
      <c r="BI47" s="571"/>
      <c r="BJ47" s="571"/>
    </row>
    <row r="48" spans="2:74" x14ac:dyDescent="0.25">
      <c r="B48" s="570" t="s">
        <v>849</v>
      </c>
      <c r="M48" s="151"/>
      <c r="N48" s="151"/>
      <c r="O48" s="151"/>
      <c r="P48" s="151"/>
      <c r="Q48" s="151"/>
      <c r="R48" s="151"/>
      <c r="S48" s="151"/>
      <c r="T48" s="151"/>
      <c r="U48" s="151"/>
      <c r="V48" s="151"/>
      <c r="W48" s="151"/>
      <c r="X48" s="151"/>
      <c r="Y48" s="151"/>
      <c r="Z48" s="151"/>
      <c r="AA48" s="151"/>
      <c r="AB48" s="151"/>
      <c r="AC48" s="151"/>
      <c r="AD48" s="151"/>
      <c r="AE48" s="151"/>
      <c r="AF48" s="151"/>
      <c r="AG48" s="151"/>
      <c r="AH48" s="151"/>
      <c r="AI48" s="151"/>
      <c r="AJ48" s="151"/>
      <c r="AK48" s="151"/>
      <c r="AL48" s="151"/>
      <c r="AM48" s="151"/>
      <c r="AN48" s="151"/>
      <c r="AO48" s="151"/>
      <c r="AP48" s="151"/>
    </row>
    <row r="49" spans="3:40" x14ac:dyDescent="0.25">
      <c r="C49" s="405">
        <f>'Dept. Cost Actuals'!G177-Sales!C45</f>
        <v>-2.8296126401983202E-6</v>
      </c>
      <c r="D49" s="405">
        <f>'Dept. Cost Actuals'!H177-Sales!D45</f>
        <v>-4.4089611037634313E-6</v>
      </c>
      <c r="E49" s="405">
        <f>'Dept. Cost Actuals'!I177-Sales!E45</f>
        <v>2.9320872272364795E-6</v>
      </c>
      <c r="F49" s="405">
        <f>'Dept. Cost Actuals'!J177-Sales!F45</f>
        <v>-3.8591751945205033E-6</v>
      </c>
      <c r="G49" s="405">
        <f>'Dept. Cost Actuals'!K177-Sales!G45</f>
        <v>4.5834531192667782E-6</v>
      </c>
      <c r="H49" s="405">
        <f>'Dept. Cost Actuals'!L177-Sales!H45</f>
        <v>2.6473426260054111E-6</v>
      </c>
      <c r="I49" s="405">
        <f>'Dept. Cost Actuals'!M177-Sales!I45</f>
        <v>2.6650450308807194E-6</v>
      </c>
      <c r="J49" s="405">
        <f>'Dept. Cost Actuals'!N177-Sales!J45</f>
        <v>-1.3860408216714859E-6</v>
      </c>
      <c r="K49" s="405">
        <f>'Dept. Cost Actuals'!O177-Sales!K45</f>
        <v>-7.6748256105929613E-7</v>
      </c>
      <c r="L49" s="405">
        <f>'Dept. Cost Actuals'!P177-Sales!L45</f>
        <v>4.6754867071285844E-6</v>
      </c>
      <c r="M49" s="405">
        <f>'Dept. Cost Actuals'!Q177-Sales!M45</f>
        <v>-4.3450709199532866E-6</v>
      </c>
      <c r="N49" s="405">
        <f>'Dept. Cost Actuals'!R177-Sales!N45</f>
        <v>-4.7032808652147651E-6</v>
      </c>
      <c r="O49" s="405">
        <f>'Dept. Cost Actuals'!S177-Sales!O45</f>
        <v>0</v>
      </c>
      <c r="P49" s="405">
        <f>'Dept. Cost Actuals'!T177-Sales!P45</f>
        <v>0</v>
      </c>
      <c r="Q49" s="405">
        <f>'Dept. Cost Actuals'!U177-Sales!Q45</f>
        <v>0</v>
      </c>
      <c r="R49" s="405">
        <f>'Dept. Cost Actuals'!V177-Sales!R45</f>
        <v>0</v>
      </c>
      <c r="S49" s="405">
        <f>'Dept. Cost Actuals'!W177-Sales!S45</f>
        <v>0</v>
      </c>
      <c r="T49" s="405">
        <f>'Dept. Cost Actuals'!X177-Sales!T45</f>
        <v>0</v>
      </c>
      <c r="U49" s="405">
        <f>'Dept. Cost Actuals'!Y177-Sales!U45</f>
        <v>0</v>
      </c>
      <c r="V49" s="405">
        <f>'Dept. Cost Actuals'!Z177-Sales!V45</f>
        <v>0</v>
      </c>
      <c r="W49" s="405">
        <f>'Dept. Cost Actuals'!AA177-Sales!W45</f>
        <v>0</v>
      </c>
      <c r="X49" s="405">
        <f>'Dept. Cost Actuals'!AB177-Sales!X45</f>
        <v>0</v>
      </c>
      <c r="Y49" s="405">
        <f>'Dept. Cost Actuals'!AC177-Sales!Y45</f>
        <v>0</v>
      </c>
      <c r="Z49" s="405">
        <f>'Dept. Cost Actuals'!AD177-Sales!Z45</f>
        <v>0</v>
      </c>
      <c r="AA49" s="405">
        <f>'Dept. Cost Actuals'!AE177-Sales!AA45</f>
        <v>0</v>
      </c>
      <c r="AB49" s="405">
        <f>'Dept. Cost Actuals'!AF177-Sales!AB45</f>
        <v>0</v>
      </c>
      <c r="AC49" s="405">
        <f>'Dept. Cost Actuals'!AG177-Sales!AC45</f>
        <v>0</v>
      </c>
      <c r="AN49" s="151"/>
    </row>
  </sheetData>
  <conditionalFormatting sqref="C4:BV4">
    <cfRule type="containsText" dxfId="276" priority="3" operator="containsText" text="actual">
      <formula>NOT(ISERROR(SEARCH("actual",C4)))</formula>
    </cfRule>
    <cfRule type="containsText" dxfId="275" priority="4" operator="containsText" text="forecast">
      <formula>NOT(ISERROR(SEARCH("forecast",C4)))</formula>
    </cfRule>
  </conditionalFormatting>
  <conditionalFormatting sqref="B4">
    <cfRule type="containsText" dxfId="274" priority="1" operator="containsText" text="actual">
      <formula>NOT(ISERROR(SEARCH("actual",B4)))</formula>
    </cfRule>
    <cfRule type="containsText" dxfId="273" priority="2" operator="containsText" text="forecast">
      <formula>NOT(ISERROR(SEARCH("forecast",B4)))</formula>
    </cfRule>
  </conditionalFormatting>
  <pageMargins left="0.7" right="0.7" top="0.75" bottom="0.75" header="0.3" footer="0.3"/>
  <pageSetup orientation="portrait" horizontalDpi="0" verticalDpi="0"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163"/>
  <sheetViews>
    <sheetView topLeftCell="A40" workbookViewId="0">
      <selection activeCell="E51" sqref="E51"/>
    </sheetView>
  </sheetViews>
  <sheetFormatPr defaultColWidth="9.140625" defaultRowHeight="15" outlineLevelCol="1" x14ac:dyDescent="0.25"/>
  <cols>
    <col min="1" max="1" width="2" style="570" customWidth="1"/>
    <col min="2" max="2" width="33.85546875" style="570" bestFit="1" customWidth="1"/>
    <col min="3" max="3" width="30.140625" style="570" bestFit="1" customWidth="1"/>
    <col min="4" max="4" width="12.28515625" style="570" customWidth="1"/>
    <col min="5" max="6" width="13.28515625" style="570" customWidth="1" outlineLevel="1"/>
    <col min="7" max="12" width="10.7109375" style="570" customWidth="1" outlineLevel="1"/>
    <col min="13" max="14" width="11.85546875" style="570" customWidth="1" outlineLevel="1"/>
    <col min="15" max="16" width="13.28515625" style="570" customWidth="1"/>
    <col min="17" max="17" width="68.42578125" style="570" bestFit="1" customWidth="1"/>
    <col min="18" max="18" width="9.140625" style="570"/>
    <col min="19" max="19" width="9.85546875" style="570" bestFit="1" customWidth="1"/>
    <col min="20" max="20" width="10.85546875" style="570" bestFit="1" customWidth="1"/>
    <col min="21" max="22" width="10" style="570" bestFit="1" customWidth="1"/>
    <col min="23" max="16384" width="9.140625" style="570"/>
  </cols>
  <sheetData>
    <row r="2" spans="2:17" x14ac:dyDescent="0.25">
      <c r="B2" s="636" t="s">
        <v>1059</v>
      </c>
      <c r="C2" s="636"/>
    </row>
    <row r="3" spans="2:17" x14ac:dyDescent="0.25">
      <c r="B3" s="771" t="s">
        <v>924</v>
      </c>
      <c r="C3" s="1140"/>
      <c r="D3" s="1140">
        <v>41670</v>
      </c>
      <c r="E3" s="1140">
        <v>41698</v>
      </c>
      <c r="F3" s="1140">
        <v>41729</v>
      </c>
      <c r="G3" s="1140">
        <v>41759</v>
      </c>
      <c r="H3" s="1140">
        <v>41790</v>
      </c>
      <c r="I3" s="1140">
        <v>41820</v>
      </c>
      <c r="J3" s="1140">
        <v>41851</v>
      </c>
      <c r="K3" s="1140">
        <v>41882</v>
      </c>
      <c r="L3" s="1140">
        <v>41912</v>
      </c>
      <c r="M3" s="1140">
        <v>41943</v>
      </c>
      <c r="N3" s="1140">
        <v>41973</v>
      </c>
      <c r="O3" s="1140">
        <v>42004</v>
      </c>
      <c r="P3" s="1141" t="s">
        <v>1226</v>
      </c>
    </row>
    <row r="4" spans="2:17" x14ac:dyDescent="0.25">
      <c r="B4" s="783"/>
      <c r="C4" s="156"/>
      <c r="D4" s="156"/>
      <c r="E4" s="156"/>
      <c r="F4" s="156"/>
      <c r="G4" s="156"/>
      <c r="H4" s="156"/>
      <c r="I4" s="156"/>
      <c r="J4" s="156"/>
      <c r="K4" s="156"/>
      <c r="L4" s="156"/>
      <c r="M4" s="156"/>
      <c r="N4" s="156"/>
      <c r="O4" s="156"/>
      <c r="P4" s="1142"/>
    </row>
    <row r="5" spans="2:17" x14ac:dyDescent="0.25">
      <c r="B5" s="1143" t="s">
        <v>926</v>
      </c>
      <c r="C5" s="1144"/>
      <c r="D5" s="1145"/>
      <c r="E5" s="1145"/>
      <c r="F5" s="1145"/>
      <c r="G5" s="1145"/>
      <c r="H5" s="1145"/>
      <c r="I5" s="1145"/>
      <c r="J5" s="1145"/>
      <c r="K5" s="1145"/>
      <c r="L5" s="1145"/>
      <c r="M5" s="1145"/>
      <c r="N5" s="1145"/>
      <c r="O5" s="1145"/>
      <c r="P5" s="1146"/>
    </row>
    <row r="6" spans="2:17" x14ac:dyDescent="0.25">
      <c r="B6" s="1147" t="s">
        <v>1227</v>
      </c>
      <c r="C6" s="1148" t="s">
        <v>1228</v>
      </c>
      <c r="D6" s="1149"/>
      <c r="E6" s="1149"/>
      <c r="F6" s="1149"/>
      <c r="G6" s="1149"/>
      <c r="H6" s="1149"/>
      <c r="I6" s="1149"/>
      <c r="J6" s="1149"/>
      <c r="K6" s="1149"/>
      <c r="L6" s="1149"/>
      <c r="M6" s="1149"/>
      <c r="N6" s="1149"/>
      <c r="O6" s="1150"/>
      <c r="P6" s="1151"/>
    </row>
    <row r="7" spans="2:17" x14ac:dyDescent="0.25">
      <c r="B7" s="852" t="s">
        <v>918</v>
      </c>
      <c r="C7" s="1152"/>
      <c r="D7" s="668"/>
      <c r="E7" s="668"/>
      <c r="F7" s="668"/>
      <c r="G7" s="668"/>
      <c r="H7" s="668"/>
      <c r="I7" s="668"/>
      <c r="J7" s="668"/>
      <c r="K7" s="668"/>
      <c r="L7" s="668"/>
      <c r="M7" s="668"/>
      <c r="N7" s="668"/>
      <c r="O7" s="790"/>
      <c r="P7" s="1153">
        <f>SUM(D7:O7)</f>
        <v>0</v>
      </c>
    </row>
    <row r="8" spans="2:17" x14ac:dyDescent="0.25">
      <c r="B8" s="783" t="s">
        <v>431</v>
      </c>
      <c r="C8" s="1152" t="s">
        <v>1229</v>
      </c>
      <c r="D8" s="668">
        <v>2500</v>
      </c>
      <c r="E8" s="668"/>
      <c r="F8" s="668"/>
      <c r="G8" s="668"/>
      <c r="H8" s="668"/>
      <c r="I8" s="668"/>
      <c r="J8" s="668"/>
      <c r="K8" s="668"/>
      <c r="L8" s="668"/>
      <c r="M8" s="668"/>
      <c r="N8" s="668"/>
      <c r="O8" s="790"/>
      <c r="P8" s="1153">
        <f>SUM(D8:O8)</f>
        <v>2500</v>
      </c>
    </row>
    <row r="9" spans="2:17" x14ac:dyDescent="0.25">
      <c r="B9" s="783" t="s">
        <v>431</v>
      </c>
      <c r="C9" s="1152" t="s">
        <v>1230</v>
      </c>
      <c r="D9" s="668">
        <v>2500</v>
      </c>
      <c r="E9" s="668"/>
      <c r="F9" s="668"/>
      <c r="G9" s="668"/>
      <c r="H9" s="668"/>
      <c r="I9" s="668"/>
      <c r="J9" s="668"/>
      <c r="K9" s="668"/>
      <c r="L9" s="668"/>
      <c r="M9" s="668"/>
      <c r="N9" s="668"/>
      <c r="O9" s="790"/>
      <c r="P9" s="1153">
        <f>SUM(D9:O9)</f>
        <v>2500</v>
      </c>
    </row>
    <row r="10" spans="2:17" x14ac:dyDescent="0.25">
      <c r="B10" s="783" t="s">
        <v>431</v>
      </c>
      <c r="C10" s="1152" t="s">
        <v>1231</v>
      </c>
      <c r="D10" s="668"/>
      <c r="E10" s="668">
        <v>4000</v>
      </c>
      <c r="F10" s="668">
        <v>4000</v>
      </c>
      <c r="G10" s="668">
        <v>4000</v>
      </c>
      <c r="H10" s="668">
        <v>4000</v>
      </c>
      <c r="I10" s="668">
        <v>4000</v>
      </c>
      <c r="J10" s="668">
        <v>4000</v>
      </c>
      <c r="K10" s="668">
        <v>4000</v>
      </c>
      <c r="L10" s="668">
        <v>4000</v>
      </c>
      <c r="M10" s="668">
        <v>4000</v>
      </c>
      <c r="N10" s="668">
        <v>4000</v>
      </c>
      <c r="O10" s="668">
        <v>4000</v>
      </c>
      <c r="P10" s="1153">
        <f>SUM(D10:O10)</f>
        <v>44000</v>
      </c>
    </row>
    <row r="11" spans="2:17" x14ac:dyDescent="0.25">
      <c r="B11" s="783" t="s">
        <v>935</v>
      </c>
      <c r="C11" s="1154"/>
      <c r="D11" s="668"/>
      <c r="E11" s="668">
        <v>200</v>
      </c>
      <c r="F11" s="668">
        <v>200</v>
      </c>
      <c r="G11" s="668">
        <v>200</v>
      </c>
      <c r="H11" s="668">
        <v>200</v>
      </c>
      <c r="I11" s="668">
        <v>200</v>
      </c>
      <c r="J11" s="668">
        <v>200</v>
      </c>
      <c r="K11" s="668">
        <v>200</v>
      </c>
      <c r="L11" s="668">
        <v>200</v>
      </c>
      <c r="M11" s="668">
        <v>200</v>
      </c>
      <c r="N11" s="668">
        <v>200</v>
      </c>
      <c r="O11" s="790">
        <v>800</v>
      </c>
      <c r="P11" s="1153">
        <f>SUM(D11:O11)</f>
        <v>2800</v>
      </c>
    </row>
    <row r="12" spans="2:17" x14ac:dyDescent="0.25">
      <c r="B12" s="795" t="s">
        <v>937</v>
      </c>
      <c r="C12" s="1155"/>
      <c r="D12" s="1156">
        <f>SUM(D7:D11)</f>
        <v>5000</v>
      </c>
      <c r="E12" s="1156">
        <f t="shared" ref="E12:P12" si="0">SUM(E7:E11)</f>
        <v>4200</v>
      </c>
      <c r="F12" s="1156">
        <f t="shared" si="0"/>
        <v>4200</v>
      </c>
      <c r="G12" s="1156">
        <f t="shared" si="0"/>
        <v>4200</v>
      </c>
      <c r="H12" s="1156">
        <f t="shared" si="0"/>
        <v>4200</v>
      </c>
      <c r="I12" s="1156">
        <f t="shared" si="0"/>
        <v>4200</v>
      </c>
      <c r="J12" s="1156">
        <f t="shared" si="0"/>
        <v>4200</v>
      </c>
      <c r="K12" s="1156">
        <f t="shared" si="0"/>
        <v>4200</v>
      </c>
      <c r="L12" s="1156">
        <f t="shared" si="0"/>
        <v>4200</v>
      </c>
      <c r="M12" s="1156">
        <f t="shared" si="0"/>
        <v>4200</v>
      </c>
      <c r="N12" s="1156">
        <f t="shared" si="0"/>
        <v>4200</v>
      </c>
      <c r="O12" s="1156">
        <f t="shared" si="0"/>
        <v>4800</v>
      </c>
      <c r="P12" s="796">
        <f t="shared" si="0"/>
        <v>51800</v>
      </c>
    </row>
    <row r="13" spans="2:17" x14ac:dyDescent="0.25">
      <c r="B13" s="783"/>
      <c r="C13" s="156"/>
      <c r="D13" s="156"/>
      <c r="E13" s="156"/>
      <c r="F13" s="156"/>
      <c r="G13" s="156"/>
      <c r="H13" s="156"/>
      <c r="I13" s="156"/>
      <c r="J13" s="156"/>
      <c r="K13" s="156"/>
      <c r="L13" s="156"/>
      <c r="M13" s="156"/>
      <c r="N13" s="156"/>
      <c r="O13" s="156"/>
      <c r="P13" s="1142"/>
    </row>
    <row r="14" spans="2:17" x14ac:dyDescent="0.25">
      <c r="B14" s="1143" t="s">
        <v>938</v>
      </c>
      <c r="C14" s="1144"/>
      <c r="D14" s="1145"/>
      <c r="E14" s="1145"/>
      <c r="F14" s="1145"/>
      <c r="G14" s="1145"/>
      <c r="H14" s="1145"/>
      <c r="I14" s="1145"/>
      <c r="J14" s="1145"/>
      <c r="K14" s="1145"/>
      <c r="L14" s="1145"/>
      <c r="M14" s="1145"/>
      <c r="N14" s="1145"/>
      <c r="O14" s="1145"/>
      <c r="P14" s="1146"/>
    </row>
    <row r="15" spans="2:17" x14ac:dyDescent="0.25">
      <c r="B15" s="1147" t="s">
        <v>1227</v>
      </c>
      <c r="C15" s="1148" t="s">
        <v>1228</v>
      </c>
      <c r="D15" s="1149"/>
      <c r="E15" s="1149"/>
      <c r="F15" s="1149"/>
      <c r="G15" s="1149"/>
      <c r="H15" s="1149"/>
      <c r="I15" s="1149"/>
      <c r="J15" s="1149"/>
      <c r="K15" s="1149"/>
      <c r="L15" s="1149"/>
      <c r="M15" s="1149"/>
      <c r="N15" s="1149"/>
      <c r="O15" s="1150"/>
      <c r="P15" s="1151"/>
      <c r="Q15" s="1157" t="s">
        <v>1232</v>
      </c>
    </row>
    <row r="16" spans="2:17" x14ac:dyDescent="0.25">
      <c r="B16" s="1158" t="s">
        <v>939</v>
      </c>
      <c r="C16" s="1159"/>
      <c r="D16" s="1160">
        <f>SUM(D17:D21)</f>
        <v>0</v>
      </c>
      <c r="E16" s="1160">
        <f t="shared" ref="E16:O16" si="1">SUM(E17:E21)</f>
        <v>16100</v>
      </c>
      <c r="F16" s="1160">
        <f t="shared" si="1"/>
        <v>16100</v>
      </c>
      <c r="G16" s="1160">
        <f t="shared" si="1"/>
        <v>16100</v>
      </c>
      <c r="H16" s="1160">
        <f t="shared" si="1"/>
        <v>16100</v>
      </c>
      <c r="I16" s="1160">
        <f t="shared" si="1"/>
        <v>16100</v>
      </c>
      <c r="J16" s="1160">
        <f t="shared" si="1"/>
        <v>16100</v>
      </c>
      <c r="K16" s="1160">
        <f t="shared" si="1"/>
        <v>16100</v>
      </c>
      <c r="L16" s="1160">
        <f t="shared" si="1"/>
        <v>16100</v>
      </c>
      <c r="M16" s="1160">
        <f t="shared" si="1"/>
        <v>16100</v>
      </c>
      <c r="N16" s="1160">
        <f t="shared" si="1"/>
        <v>16100</v>
      </c>
      <c r="O16" s="1160">
        <f t="shared" si="1"/>
        <v>16100</v>
      </c>
      <c r="P16" s="1161">
        <f t="shared" ref="P16:P31" si="2">SUM(D16:O16)</f>
        <v>177100</v>
      </c>
    </row>
    <row r="17" spans="2:17" x14ac:dyDescent="0.25">
      <c r="B17" s="783"/>
      <c r="C17" s="1162" t="s">
        <v>1233</v>
      </c>
      <c r="D17" s="668"/>
      <c r="E17" s="668">
        <v>3000</v>
      </c>
      <c r="F17" s="668">
        <v>3000</v>
      </c>
      <c r="G17" s="668">
        <v>3000</v>
      </c>
      <c r="H17" s="668">
        <v>3000</v>
      </c>
      <c r="I17" s="668">
        <v>3000</v>
      </c>
      <c r="J17" s="668">
        <v>3000</v>
      </c>
      <c r="K17" s="668">
        <v>3000</v>
      </c>
      <c r="L17" s="668">
        <v>3000</v>
      </c>
      <c r="M17" s="668">
        <v>3000</v>
      </c>
      <c r="N17" s="668">
        <v>3000</v>
      </c>
      <c r="O17" s="668">
        <v>3000</v>
      </c>
      <c r="P17" s="1153">
        <f t="shared" si="2"/>
        <v>33000</v>
      </c>
    </row>
    <row r="18" spans="2:17" x14ac:dyDescent="0.25">
      <c r="B18" s="783"/>
      <c r="C18" s="1162" t="s">
        <v>1234</v>
      </c>
      <c r="D18" s="668"/>
      <c r="E18" s="668">
        <v>5000</v>
      </c>
      <c r="F18" s="668">
        <v>5000</v>
      </c>
      <c r="G18" s="668">
        <v>5000</v>
      </c>
      <c r="H18" s="668">
        <v>5000</v>
      </c>
      <c r="I18" s="668">
        <v>5000</v>
      </c>
      <c r="J18" s="668">
        <v>5000</v>
      </c>
      <c r="K18" s="668">
        <v>5000</v>
      </c>
      <c r="L18" s="668">
        <v>5000</v>
      </c>
      <c r="M18" s="668">
        <v>5000</v>
      </c>
      <c r="N18" s="668">
        <v>5000</v>
      </c>
      <c r="O18" s="668">
        <v>5000</v>
      </c>
      <c r="P18" s="1153">
        <f t="shared" si="2"/>
        <v>55000</v>
      </c>
      <c r="Q18" s="1163" t="s">
        <v>1235</v>
      </c>
    </row>
    <row r="19" spans="2:17" x14ac:dyDescent="0.25">
      <c r="B19" s="783"/>
      <c r="C19" s="1162" t="s">
        <v>1236</v>
      </c>
      <c r="D19" s="668"/>
      <c r="E19" s="668">
        <v>3000</v>
      </c>
      <c r="F19" s="668">
        <v>3000</v>
      </c>
      <c r="G19" s="668">
        <v>3000</v>
      </c>
      <c r="H19" s="668">
        <v>3000</v>
      </c>
      <c r="I19" s="668">
        <v>3000</v>
      </c>
      <c r="J19" s="668">
        <v>3000</v>
      </c>
      <c r="K19" s="668">
        <v>3000</v>
      </c>
      <c r="L19" s="668">
        <v>3000</v>
      </c>
      <c r="M19" s="668">
        <v>3000</v>
      </c>
      <c r="N19" s="668">
        <v>3000</v>
      </c>
      <c r="O19" s="668">
        <v>3000</v>
      </c>
      <c r="P19" s="1153">
        <f t="shared" si="2"/>
        <v>33000</v>
      </c>
    </row>
    <row r="20" spans="2:17" x14ac:dyDescent="0.25">
      <c r="B20" s="783"/>
      <c r="C20" s="1162" t="s">
        <v>1237</v>
      </c>
      <c r="D20" s="668"/>
      <c r="E20" s="668">
        <v>4000</v>
      </c>
      <c r="F20" s="668">
        <v>4000</v>
      </c>
      <c r="G20" s="668">
        <v>4000</v>
      </c>
      <c r="H20" s="668">
        <v>4000</v>
      </c>
      <c r="I20" s="668">
        <v>4000</v>
      </c>
      <c r="J20" s="668">
        <v>4000</v>
      </c>
      <c r="K20" s="668">
        <v>4000</v>
      </c>
      <c r="L20" s="668">
        <v>4000</v>
      </c>
      <c r="M20" s="668">
        <v>4000</v>
      </c>
      <c r="N20" s="668">
        <v>4000</v>
      </c>
      <c r="O20" s="668">
        <v>4000</v>
      </c>
      <c r="P20" s="1153">
        <f t="shared" si="2"/>
        <v>44000</v>
      </c>
    </row>
    <row r="21" spans="2:17" x14ac:dyDescent="0.25">
      <c r="B21" s="783"/>
      <c r="C21" s="1162" t="s">
        <v>1238</v>
      </c>
      <c r="D21" s="668"/>
      <c r="E21" s="668">
        <v>1100</v>
      </c>
      <c r="F21" s="668">
        <v>1100</v>
      </c>
      <c r="G21" s="668">
        <v>1100</v>
      </c>
      <c r="H21" s="668">
        <v>1100</v>
      </c>
      <c r="I21" s="668">
        <v>1100</v>
      </c>
      <c r="J21" s="668">
        <v>1100</v>
      </c>
      <c r="K21" s="668">
        <v>1100</v>
      </c>
      <c r="L21" s="668">
        <v>1100</v>
      </c>
      <c r="M21" s="668">
        <v>1100</v>
      </c>
      <c r="N21" s="668">
        <v>1100</v>
      </c>
      <c r="O21" s="668">
        <v>1100</v>
      </c>
      <c r="P21" s="1153">
        <f t="shared" si="2"/>
        <v>12100</v>
      </c>
    </row>
    <row r="22" spans="2:17" x14ac:dyDescent="0.25">
      <c r="B22" s="783" t="s">
        <v>919</v>
      </c>
      <c r="C22" s="818"/>
      <c r="D22" s="668"/>
      <c r="E22" s="668"/>
      <c r="F22" s="668"/>
      <c r="G22" s="668"/>
      <c r="H22" s="668"/>
      <c r="I22" s="668"/>
      <c r="J22" s="668"/>
      <c r="K22" s="668"/>
      <c r="L22" s="668"/>
      <c r="M22" s="668"/>
      <c r="N22" s="668"/>
      <c r="O22" s="668"/>
      <c r="P22" s="1153">
        <f t="shared" si="2"/>
        <v>0</v>
      </c>
    </row>
    <row r="23" spans="2:17" x14ac:dyDescent="0.25">
      <c r="B23" s="783" t="s">
        <v>940</v>
      </c>
      <c r="C23" s="818"/>
      <c r="D23" s="668"/>
      <c r="E23" s="668"/>
      <c r="F23" s="668"/>
      <c r="G23" s="668"/>
      <c r="H23" s="668"/>
      <c r="I23" s="668"/>
      <c r="J23" s="668"/>
      <c r="K23" s="668"/>
      <c r="L23" s="668"/>
      <c r="M23" s="668"/>
      <c r="N23" s="668"/>
      <c r="O23" s="668"/>
      <c r="P23" s="1153">
        <f t="shared" si="2"/>
        <v>0</v>
      </c>
    </row>
    <row r="24" spans="2:17" x14ac:dyDescent="0.25">
      <c r="B24" s="783" t="s">
        <v>941</v>
      </c>
      <c r="C24" s="818"/>
      <c r="F24" s="668">
        <v>200</v>
      </c>
      <c r="G24" s="668">
        <v>200</v>
      </c>
      <c r="H24" s="668">
        <v>200</v>
      </c>
      <c r="I24" s="668">
        <v>200</v>
      </c>
      <c r="J24" s="668">
        <v>200</v>
      </c>
      <c r="K24" s="668">
        <v>200</v>
      </c>
      <c r="L24" s="668">
        <v>200</v>
      </c>
      <c r="M24" s="668">
        <v>200</v>
      </c>
      <c r="N24" s="668">
        <v>200</v>
      </c>
      <c r="O24" s="668">
        <v>500</v>
      </c>
      <c r="P24" s="1153">
        <f>SUM(D24:O24)</f>
        <v>2300</v>
      </c>
    </row>
    <row r="25" spans="2:17" x14ac:dyDescent="0.25">
      <c r="B25" s="783" t="s">
        <v>942</v>
      </c>
      <c r="C25" s="818"/>
      <c r="D25" s="668"/>
      <c r="E25" s="668"/>
      <c r="F25" s="668"/>
      <c r="G25" s="668"/>
      <c r="H25" s="668"/>
      <c r="I25" s="668"/>
      <c r="J25" s="668"/>
      <c r="K25" s="668"/>
      <c r="L25" s="668"/>
      <c r="M25" s="668"/>
      <c r="N25" s="668"/>
      <c r="O25" s="668"/>
      <c r="P25" s="1153">
        <f t="shared" si="2"/>
        <v>0</v>
      </c>
    </row>
    <row r="26" spans="2:17" x14ac:dyDescent="0.25">
      <c r="B26" s="783" t="s">
        <v>943</v>
      </c>
      <c r="C26" s="818"/>
      <c r="D26" s="668"/>
      <c r="E26" s="668"/>
      <c r="F26" s="668"/>
      <c r="G26" s="668"/>
      <c r="H26" s="668"/>
      <c r="I26" s="668"/>
      <c r="J26" s="668"/>
      <c r="K26" s="668"/>
      <c r="L26" s="668"/>
      <c r="M26" s="668"/>
      <c r="N26" s="668"/>
      <c r="O26" s="668"/>
      <c r="P26" s="1153">
        <f t="shared" si="2"/>
        <v>0</v>
      </c>
    </row>
    <row r="27" spans="2:17" x14ac:dyDescent="0.25">
      <c r="B27" s="783" t="s">
        <v>1063</v>
      </c>
      <c r="C27" s="818"/>
      <c r="D27" s="668"/>
      <c r="E27" s="668"/>
      <c r="F27" s="668"/>
      <c r="G27" s="668"/>
      <c r="H27" s="668"/>
      <c r="I27" s="668"/>
      <c r="J27" s="668"/>
      <c r="K27" s="668"/>
      <c r="L27" s="668"/>
      <c r="M27" s="668"/>
      <c r="N27" s="668"/>
      <c r="O27" s="668"/>
      <c r="P27" s="1153">
        <f t="shared" si="2"/>
        <v>0</v>
      </c>
    </row>
    <row r="28" spans="2:17" x14ac:dyDescent="0.25">
      <c r="B28" s="783" t="s">
        <v>921</v>
      </c>
      <c r="C28" s="818"/>
      <c r="D28" s="668"/>
      <c r="E28" s="668"/>
      <c r="F28" s="668"/>
      <c r="G28" s="668"/>
      <c r="H28" s="668"/>
      <c r="I28" s="668"/>
      <c r="J28" s="668"/>
      <c r="K28" s="668"/>
      <c r="L28" s="668"/>
      <c r="M28" s="668"/>
      <c r="N28" s="668"/>
      <c r="O28" s="668"/>
      <c r="P28" s="1153">
        <f t="shared" si="2"/>
        <v>0</v>
      </c>
    </row>
    <row r="29" spans="2:17" x14ac:dyDescent="0.25">
      <c r="B29" s="783" t="s">
        <v>922</v>
      </c>
      <c r="C29" s="818"/>
      <c r="D29" s="668">
        <f>2000/12</f>
        <v>166.66666666666666</v>
      </c>
      <c r="E29" s="668">
        <f t="shared" ref="E29:O29" si="3">2000/12</f>
        <v>166.66666666666666</v>
      </c>
      <c r="F29" s="668">
        <f t="shared" si="3"/>
        <v>166.66666666666666</v>
      </c>
      <c r="G29" s="668">
        <f t="shared" si="3"/>
        <v>166.66666666666666</v>
      </c>
      <c r="H29" s="668">
        <f t="shared" si="3"/>
        <v>166.66666666666666</v>
      </c>
      <c r="I29" s="668">
        <f t="shared" si="3"/>
        <v>166.66666666666666</v>
      </c>
      <c r="J29" s="668">
        <f t="shared" si="3"/>
        <v>166.66666666666666</v>
      </c>
      <c r="K29" s="668">
        <f t="shared" si="3"/>
        <v>166.66666666666666</v>
      </c>
      <c r="L29" s="668">
        <f t="shared" si="3"/>
        <v>166.66666666666666</v>
      </c>
      <c r="M29" s="668">
        <f t="shared" si="3"/>
        <v>166.66666666666666</v>
      </c>
      <c r="N29" s="668">
        <f t="shared" si="3"/>
        <v>166.66666666666666</v>
      </c>
      <c r="O29" s="668">
        <f t="shared" si="3"/>
        <v>166.66666666666666</v>
      </c>
      <c r="P29" s="1153">
        <f t="shared" si="2"/>
        <v>2000.0000000000002</v>
      </c>
    </row>
    <row r="30" spans="2:17" x14ac:dyDescent="0.25">
      <c r="B30" s="783" t="s">
        <v>944</v>
      </c>
      <c r="C30" s="818"/>
      <c r="D30" s="668"/>
      <c r="E30" s="668"/>
      <c r="F30" s="668"/>
      <c r="G30" s="668"/>
      <c r="H30" s="668"/>
      <c r="I30" s="668"/>
      <c r="J30" s="668"/>
      <c r="K30" s="668"/>
      <c r="L30" s="668"/>
      <c r="M30" s="668"/>
      <c r="N30" s="668"/>
      <c r="O30" s="668"/>
      <c r="P30" s="1153">
        <f t="shared" si="2"/>
        <v>0</v>
      </c>
    </row>
    <row r="31" spans="2:17" x14ac:dyDescent="0.25">
      <c r="B31" s="783" t="s">
        <v>945</v>
      </c>
      <c r="C31" s="836" t="s">
        <v>1239</v>
      </c>
      <c r="D31" s="792"/>
      <c r="E31" s="792"/>
      <c r="F31" s="792">
        <v>12</v>
      </c>
      <c r="G31" s="792">
        <v>12</v>
      </c>
      <c r="H31" s="792">
        <v>12</v>
      </c>
      <c r="I31" s="792">
        <v>12</v>
      </c>
      <c r="J31" s="792">
        <v>12</v>
      </c>
      <c r="K31" s="792">
        <v>12</v>
      </c>
      <c r="L31" s="792">
        <v>12</v>
      </c>
      <c r="M31" s="792">
        <v>12</v>
      </c>
      <c r="N31" s="792">
        <v>12</v>
      </c>
      <c r="O31" s="792">
        <v>12</v>
      </c>
      <c r="P31" s="1164">
        <f t="shared" si="2"/>
        <v>120</v>
      </c>
      <c r="Q31" s="1163" t="s">
        <v>1240</v>
      </c>
    </row>
    <row r="32" spans="2:17" x14ac:dyDescent="0.25">
      <c r="B32" s="799" t="s">
        <v>946</v>
      </c>
      <c r="C32" s="1165"/>
      <c r="D32" s="800">
        <f t="shared" ref="D32:P32" si="4">SUM(D16,D22:D31)</f>
        <v>166.66666666666666</v>
      </c>
      <c r="E32" s="800">
        <f t="shared" si="4"/>
        <v>16266.666666666666</v>
      </c>
      <c r="F32" s="800">
        <f t="shared" si="4"/>
        <v>16478.666666666668</v>
      </c>
      <c r="G32" s="800">
        <f t="shared" si="4"/>
        <v>16478.666666666668</v>
      </c>
      <c r="H32" s="800">
        <f t="shared" si="4"/>
        <v>16478.666666666668</v>
      </c>
      <c r="I32" s="800">
        <f t="shared" si="4"/>
        <v>16478.666666666668</v>
      </c>
      <c r="J32" s="800">
        <f t="shared" si="4"/>
        <v>16478.666666666668</v>
      </c>
      <c r="K32" s="800">
        <f t="shared" si="4"/>
        <v>16478.666666666668</v>
      </c>
      <c r="L32" s="800">
        <f t="shared" si="4"/>
        <v>16478.666666666668</v>
      </c>
      <c r="M32" s="800">
        <f t="shared" si="4"/>
        <v>16478.666666666668</v>
      </c>
      <c r="N32" s="800">
        <f t="shared" si="4"/>
        <v>16478.666666666668</v>
      </c>
      <c r="O32" s="800">
        <f t="shared" si="4"/>
        <v>16778.666666666668</v>
      </c>
      <c r="P32" s="801">
        <f t="shared" si="4"/>
        <v>181520</v>
      </c>
    </row>
    <row r="33" spans="1:22" x14ac:dyDescent="0.25">
      <c r="B33" s="852"/>
      <c r="C33" s="1166"/>
      <c r="D33" s="1166"/>
      <c r="E33" s="1166"/>
      <c r="F33" s="1166"/>
      <c r="G33" s="1166"/>
      <c r="H33" s="1166"/>
      <c r="I33" s="1166"/>
      <c r="J33" s="1166"/>
      <c r="K33" s="1166"/>
      <c r="L33" s="1166"/>
      <c r="M33" s="1166"/>
      <c r="N33" s="1166"/>
      <c r="O33" s="1166"/>
      <c r="P33" s="1167"/>
    </row>
    <row r="34" spans="1:22" x14ac:dyDescent="0.25">
      <c r="B34" s="1143" t="s">
        <v>1060</v>
      </c>
      <c r="C34" s="1144"/>
      <c r="D34" s="1145"/>
      <c r="E34" s="1145"/>
      <c r="F34" s="1145"/>
      <c r="G34" s="1145"/>
      <c r="H34" s="1145"/>
      <c r="I34" s="1145"/>
      <c r="J34" s="1145"/>
      <c r="K34" s="1145"/>
      <c r="L34" s="1145"/>
      <c r="M34" s="1145"/>
      <c r="N34" s="1145"/>
      <c r="O34" s="1145"/>
      <c r="P34" s="1146"/>
    </row>
    <row r="35" spans="1:22" x14ac:dyDescent="0.25">
      <c r="B35" s="1147" t="s">
        <v>1227</v>
      </c>
      <c r="C35" s="1148" t="s">
        <v>1228</v>
      </c>
      <c r="D35" s="1149"/>
      <c r="E35" s="1149"/>
      <c r="F35" s="1149"/>
      <c r="G35" s="1149"/>
      <c r="H35" s="1149"/>
      <c r="I35" s="1149"/>
      <c r="J35" s="1149"/>
      <c r="K35" s="1149"/>
      <c r="L35" s="1149"/>
      <c r="M35" s="1149"/>
      <c r="N35" s="1149"/>
      <c r="O35" s="1150"/>
      <c r="P35" s="1151"/>
      <c r="Q35" s="1157" t="s">
        <v>1232</v>
      </c>
    </row>
    <row r="36" spans="1:22" x14ac:dyDescent="0.25">
      <c r="B36" s="1158" t="s">
        <v>1241</v>
      </c>
      <c r="C36" s="1159"/>
      <c r="D36" s="1160">
        <f>SUM(D37:D40)</f>
        <v>2083.33</v>
      </c>
      <c r="E36" s="1160">
        <f t="shared" ref="E36:O36" si="5">SUM(E37:E40)</f>
        <v>2083.33</v>
      </c>
      <c r="F36" s="1160">
        <f t="shared" si="5"/>
        <v>22083.33</v>
      </c>
      <c r="G36" s="1160">
        <f t="shared" si="5"/>
        <v>42083.33</v>
      </c>
      <c r="H36" s="1160">
        <f t="shared" si="5"/>
        <v>2083.33</v>
      </c>
      <c r="I36" s="1160">
        <f t="shared" si="5"/>
        <v>37083.33</v>
      </c>
      <c r="J36" s="1160">
        <f t="shared" si="5"/>
        <v>42083.33</v>
      </c>
      <c r="K36" s="1160">
        <f t="shared" si="5"/>
        <v>2083.33</v>
      </c>
      <c r="L36" s="1160">
        <f t="shared" si="5"/>
        <v>2083.33</v>
      </c>
      <c r="M36" s="1160">
        <f t="shared" si="5"/>
        <v>42083.33</v>
      </c>
      <c r="N36" s="1160">
        <f t="shared" si="5"/>
        <v>2083.33</v>
      </c>
      <c r="O36" s="1160">
        <f t="shared" si="5"/>
        <v>2083.33</v>
      </c>
      <c r="P36" s="1161">
        <f t="shared" ref="P36:P78" si="6">SUM(D36:O36)</f>
        <v>199999.95999999996</v>
      </c>
      <c r="Q36" s="1163"/>
      <c r="S36" s="405"/>
      <c r="T36" s="356"/>
      <c r="U36" s="356"/>
      <c r="V36" s="356"/>
    </row>
    <row r="37" spans="1:22" x14ac:dyDescent="0.25">
      <c r="B37" s="814"/>
      <c r="C37" s="818" t="s">
        <v>1242</v>
      </c>
      <c r="D37" s="677">
        <v>2083.33</v>
      </c>
      <c r="E37" s="677">
        <v>2083.33</v>
      </c>
      <c r="F37" s="677">
        <v>2083.33</v>
      </c>
      <c r="G37" s="677">
        <v>2083.33</v>
      </c>
      <c r="H37" s="677">
        <v>2083.33</v>
      </c>
      <c r="I37" s="677">
        <v>2083.33</v>
      </c>
      <c r="J37" s="677">
        <v>2083.33</v>
      </c>
      <c r="K37" s="677">
        <v>2083.33</v>
      </c>
      <c r="L37" s="677">
        <v>2083.33</v>
      </c>
      <c r="M37" s="677">
        <v>2083.33</v>
      </c>
      <c r="N37" s="677">
        <v>2083.33</v>
      </c>
      <c r="O37" s="677">
        <v>2083.33</v>
      </c>
      <c r="P37" s="1168">
        <f>SUM(D37:O37)</f>
        <v>24999.960000000006</v>
      </c>
      <c r="Q37" s="1163"/>
      <c r="S37" s="405"/>
      <c r="T37" s="356"/>
      <c r="U37" s="356"/>
      <c r="V37" s="356"/>
    </row>
    <row r="38" spans="1:22" x14ac:dyDescent="0.25">
      <c r="B38" s="814"/>
      <c r="C38" s="818" t="s">
        <v>1243</v>
      </c>
      <c r="D38" s="668"/>
      <c r="E38" s="668"/>
      <c r="F38" s="677">
        <v>20000</v>
      </c>
      <c r="G38" s="677"/>
      <c r="H38" s="677"/>
      <c r="I38" s="677"/>
      <c r="J38" s="668"/>
      <c r="K38" s="668"/>
      <c r="L38" s="668"/>
      <c r="M38" s="668"/>
      <c r="N38" s="668"/>
      <c r="O38" s="668"/>
      <c r="P38" s="1168">
        <f>SUM(D38:O38)</f>
        <v>20000</v>
      </c>
      <c r="Q38" s="1163"/>
      <c r="S38" s="405"/>
      <c r="T38" s="356"/>
      <c r="U38" s="356"/>
      <c r="V38" s="356"/>
    </row>
    <row r="39" spans="1:22" x14ac:dyDescent="0.25">
      <c r="B39" s="814"/>
      <c r="C39" s="818" t="s">
        <v>1244</v>
      </c>
      <c r="D39" s="668"/>
      <c r="E39" s="668"/>
      <c r="F39" s="677"/>
      <c r="G39" s="677"/>
      <c r="H39" s="677"/>
      <c r="I39" s="677">
        <v>35000</v>
      </c>
      <c r="J39" s="668"/>
      <c r="K39" s="668"/>
      <c r="L39" s="668"/>
      <c r="M39" s="668"/>
      <c r="N39" s="668"/>
      <c r="O39" s="668"/>
      <c r="P39" s="1168">
        <f>SUM(D39:O39)</f>
        <v>35000</v>
      </c>
      <c r="Q39" s="1163"/>
      <c r="S39" s="405"/>
      <c r="T39" s="356"/>
      <c r="U39" s="356"/>
      <c r="V39" s="356"/>
    </row>
    <row r="40" spans="1:22" x14ac:dyDescent="0.25">
      <c r="B40" s="814"/>
      <c r="C40" s="818" t="s">
        <v>1245</v>
      </c>
      <c r="D40" s="668"/>
      <c r="E40" s="668"/>
      <c r="F40" s="677"/>
      <c r="G40" s="677">
        <v>40000</v>
      </c>
      <c r="H40" s="677"/>
      <c r="I40" s="677"/>
      <c r="J40" s="677">
        <v>40000</v>
      </c>
      <c r="K40" s="677"/>
      <c r="L40" s="677"/>
      <c r="M40" s="677">
        <v>40000</v>
      </c>
      <c r="N40" s="668"/>
      <c r="O40" s="668"/>
      <c r="P40" s="1168">
        <f>SUM(D40:O40)</f>
        <v>120000</v>
      </c>
      <c r="Q40" s="1163"/>
      <c r="S40" s="405"/>
      <c r="T40" s="356"/>
      <c r="U40" s="356"/>
      <c r="V40" s="356"/>
    </row>
    <row r="41" spans="1:22" x14ac:dyDescent="0.25">
      <c r="B41" s="1169" t="s">
        <v>1246</v>
      </c>
      <c r="C41" s="1159"/>
      <c r="D41" s="1160">
        <f>SUM(D42:D43)</f>
        <v>0</v>
      </c>
      <c r="E41" s="1160">
        <f t="shared" ref="E41:O41" si="7">SUM(E42:E43)</f>
        <v>1000</v>
      </c>
      <c r="F41" s="1160">
        <f t="shared" si="7"/>
        <v>11000</v>
      </c>
      <c r="G41" s="1160">
        <f t="shared" si="7"/>
        <v>1000</v>
      </c>
      <c r="H41" s="1160">
        <f t="shared" si="7"/>
        <v>1000</v>
      </c>
      <c r="I41" s="1160">
        <f t="shared" si="7"/>
        <v>1000</v>
      </c>
      <c r="J41" s="1160">
        <f t="shared" si="7"/>
        <v>1000</v>
      </c>
      <c r="K41" s="1160">
        <f t="shared" si="7"/>
        <v>1000</v>
      </c>
      <c r="L41" s="1160">
        <f t="shared" si="7"/>
        <v>1000</v>
      </c>
      <c r="M41" s="1160">
        <f t="shared" si="7"/>
        <v>1000</v>
      </c>
      <c r="N41" s="1160">
        <f t="shared" si="7"/>
        <v>1000</v>
      </c>
      <c r="O41" s="1160">
        <f t="shared" si="7"/>
        <v>1000</v>
      </c>
      <c r="P41" s="1161">
        <f t="shared" si="6"/>
        <v>21000</v>
      </c>
      <c r="Q41" s="1163"/>
      <c r="S41" s="405"/>
      <c r="T41" s="356"/>
      <c r="U41" s="356"/>
      <c r="V41" s="356"/>
    </row>
    <row r="42" spans="1:22" x14ac:dyDescent="0.25">
      <c r="B42" s="814"/>
      <c r="C42" s="818" t="s">
        <v>1247</v>
      </c>
      <c r="D42" s="677"/>
      <c r="E42" s="677">
        <v>1000</v>
      </c>
      <c r="F42" s="677">
        <v>10500</v>
      </c>
      <c r="G42" s="677">
        <v>1000</v>
      </c>
      <c r="H42" s="677">
        <v>1000</v>
      </c>
      <c r="I42" s="677">
        <v>1000</v>
      </c>
      <c r="J42" s="677">
        <v>1000</v>
      </c>
      <c r="K42" s="677">
        <v>1000</v>
      </c>
      <c r="L42" s="677">
        <v>1000</v>
      </c>
      <c r="M42" s="677">
        <v>1000</v>
      </c>
      <c r="N42" s="677">
        <v>1000</v>
      </c>
      <c r="O42" s="677">
        <v>1000</v>
      </c>
      <c r="P42" s="1168">
        <f>SUM(D42:O42)</f>
        <v>20500</v>
      </c>
      <c r="Q42" s="1163"/>
      <c r="S42" s="405"/>
      <c r="T42" s="356"/>
      <c r="U42" s="356"/>
      <c r="V42" s="356"/>
    </row>
    <row r="43" spans="1:22" x14ac:dyDescent="0.25">
      <c r="B43" s="814"/>
      <c r="C43" s="818" t="s">
        <v>1248</v>
      </c>
      <c r="D43" s="677"/>
      <c r="E43" s="677"/>
      <c r="F43" s="677">
        <v>500</v>
      </c>
      <c r="G43" s="677"/>
      <c r="H43" s="677"/>
      <c r="I43" s="677"/>
      <c r="J43" s="677"/>
      <c r="K43" s="677"/>
      <c r="L43" s="677"/>
      <c r="M43" s="677"/>
      <c r="N43" s="677"/>
      <c r="O43" s="677"/>
      <c r="P43" s="1168">
        <f>SUM(D43:O43)</f>
        <v>500</v>
      </c>
      <c r="Q43" s="1163"/>
      <c r="S43" s="405"/>
      <c r="T43" s="356"/>
      <c r="U43" s="356"/>
      <c r="V43" s="356"/>
    </row>
    <row r="44" spans="1:22" x14ac:dyDescent="0.25">
      <c r="A44" s="1170"/>
      <c r="B44" s="1169" t="s">
        <v>1249</v>
      </c>
      <c r="C44" s="1159"/>
      <c r="D44" s="1160">
        <f>SUM(D45:D47)</f>
        <v>0</v>
      </c>
      <c r="E44" s="1160">
        <f>SUM(E45:E47)</f>
        <v>700</v>
      </c>
      <c r="F44" s="1160">
        <f>SUM(F45:F47)</f>
        <v>1035.5</v>
      </c>
      <c r="G44" s="1160">
        <f t="shared" ref="G44:O44" si="8">SUM(G45:G47)</f>
        <v>1035.5</v>
      </c>
      <c r="H44" s="1160">
        <f t="shared" si="8"/>
        <v>1035.5</v>
      </c>
      <c r="I44" s="1160">
        <f t="shared" si="8"/>
        <v>1035.5</v>
      </c>
      <c r="J44" s="1160">
        <f t="shared" si="8"/>
        <v>1035.5</v>
      </c>
      <c r="K44" s="1160">
        <f t="shared" si="8"/>
        <v>1035.5</v>
      </c>
      <c r="L44" s="1160">
        <f t="shared" si="8"/>
        <v>1035.5</v>
      </c>
      <c r="M44" s="1160">
        <f t="shared" si="8"/>
        <v>1035.5</v>
      </c>
      <c r="N44" s="1160">
        <f t="shared" si="8"/>
        <v>1035.5</v>
      </c>
      <c r="O44" s="1160">
        <f t="shared" si="8"/>
        <v>1035.5</v>
      </c>
      <c r="P44" s="1161">
        <f t="shared" si="6"/>
        <v>11055</v>
      </c>
      <c r="Q44" s="1163"/>
      <c r="S44" s="405"/>
      <c r="T44" s="356"/>
      <c r="U44" s="356"/>
      <c r="V44" s="356"/>
    </row>
    <row r="45" spans="1:22" x14ac:dyDescent="0.25">
      <c r="B45" s="814"/>
      <c r="C45" s="818" t="s">
        <v>1250</v>
      </c>
      <c r="D45" s="668"/>
      <c r="E45" s="668">
        <v>700</v>
      </c>
      <c r="F45" s="677">
        <v>700</v>
      </c>
      <c r="G45" s="677">
        <v>700</v>
      </c>
      <c r="H45" s="677">
        <v>700</v>
      </c>
      <c r="I45" s="677">
        <v>700</v>
      </c>
      <c r="J45" s="677">
        <v>700</v>
      </c>
      <c r="K45" s="677">
        <v>700</v>
      </c>
      <c r="L45" s="677">
        <v>700</v>
      </c>
      <c r="M45" s="677">
        <v>700</v>
      </c>
      <c r="N45" s="677">
        <v>700</v>
      </c>
      <c r="O45" s="677">
        <v>700</v>
      </c>
      <c r="P45" s="1168">
        <f>SUM(D45:O45)</f>
        <v>7700</v>
      </c>
      <c r="Q45" s="1163"/>
      <c r="S45" s="405"/>
      <c r="T45" s="356"/>
      <c r="U45" s="356"/>
      <c r="V45" s="356"/>
    </row>
    <row r="46" spans="1:22" x14ac:dyDescent="0.25">
      <c r="B46" s="814"/>
      <c r="C46" s="818" t="s">
        <v>1251</v>
      </c>
      <c r="D46" s="668"/>
      <c r="E46" s="668"/>
      <c r="F46" s="677">
        <v>325.5</v>
      </c>
      <c r="G46" s="677">
        <v>325.5</v>
      </c>
      <c r="H46" s="677">
        <v>325.5</v>
      </c>
      <c r="I46" s="677">
        <v>325.5</v>
      </c>
      <c r="J46" s="677">
        <v>325.5</v>
      </c>
      <c r="K46" s="677">
        <v>325.5</v>
      </c>
      <c r="L46" s="677">
        <v>325.5</v>
      </c>
      <c r="M46" s="677">
        <v>325.5</v>
      </c>
      <c r="N46" s="677">
        <v>325.5</v>
      </c>
      <c r="O46" s="677">
        <v>325.5</v>
      </c>
      <c r="P46" s="1168">
        <f>SUM(D46:O46)</f>
        <v>3255</v>
      </c>
      <c r="Q46" s="1163"/>
      <c r="S46" s="405"/>
      <c r="T46" s="356"/>
      <c r="U46" s="356"/>
      <c r="V46" s="356"/>
    </row>
    <row r="47" spans="1:22" x14ac:dyDescent="0.25">
      <c r="B47" s="814"/>
      <c r="C47" s="818" t="s">
        <v>1252</v>
      </c>
      <c r="D47" s="668"/>
      <c r="E47" s="668"/>
      <c r="F47" s="677">
        <v>10</v>
      </c>
      <c r="G47" s="677">
        <v>10</v>
      </c>
      <c r="H47" s="677">
        <v>10</v>
      </c>
      <c r="I47" s="677">
        <v>10</v>
      </c>
      <c r="J47" s="677">
        <v>10</v>
      </c>
      <c r="K47" s="677">
        <v>10</v>
      </c>
      <c r="L47" s="677">
        <v>10</v>
      </c>
      <c r="M47" s="677">
        <v>10</v>
      </c>
      <c r="N47" s="677">
        <v>10</v>
      </c>
      <c r="O47" s="677">
        <v>10</v>
      </c>
      <c r="P47" s="1168">
        <f>SUM(D47:O47)</f>
        <v>100</v>
      </c>
      <c r="Q47" s="1163"/>
      <c r="S47" s="405"/>
      <c r="T47" s="356"/>
      <c r="U47" s="356"/>
      <c r="V47" s="356"/>
    </row>
    <row r="48" spans="1:22" x14ac:dyDescent="0.25">
      <c r="A48" s="1170"/>
      <c r="B48" s="1169" t="s">
        <v>11</v>
      </c>
      <c r="C48" s="1159"/>
      <c r="D48" s="1160">
        <f>SUM(D49:D52)</f>
        <v>0</v>
      </c>
      <c r="E48" s="1160">
        <f t="shared" ref="E48:O48" si="9">SUM(E49:E52)</f>
        <v>6050</v>
      </c>
      <c r="F48" s="1160">
        <f t="shared" si="9"/>
        <v>6050</v>
      </c>
      <c r="G48" s="1160">
        <f t="shared" si="9"/>
        <v>6050</v>
      </c>
      <c r="H48" s="1160">
        <f t="shared" si="9"/>
        <v>6050</v>
      </c>
      <c r="I48" s="1160">
        <f t="shared" si="9"/>
        <v>6050</v>
      </c>
      <c r="J48" s="1160">
        <f t="shared" si="9"/>
        <v>6150</v>
      </c>
      <c r="K48" s="1160">
        <f t="shared" si="9"/>
        <v>6050</v>
      </c>
      <c r="L48" s="1160">
        <f t="shared" si="9"/>
        <v>6050</v>
      </c>
      <c r="M48" s="1160">
        <f t="shared" si="9"/>
        <v>6150</v>
      </c>
      <c r="N48" s="1160">
        <f t="shared" si="9"/>
        <v>6050</v>
      </c>
      <c r="O48" s="1160">
        <f t="shared" si="9"/>
        <v>6050</v>
      </c>
      <c r="P48" s="1161">
        <f t="shared" si="6"/>
        <v>66750</v>
      </c>
      <c r="Q48" s="1163"/>
      <c r="S48" s="405"/>
      <c r="T48" s="356"/>
      <c r="U48" s="356"/>
      <c r="V48" s="356"/>
    </row>
    <row r="49" spans="2:22" x14ac:dyDescent="0.25">
      <c r="B49" s="783"/>
      <c r="C49" s="818" t="s">
        <v>1253</v>
      </c>
      <c r="D49" s="677"/>
      <c r="E49" s="677">
        <v>2000</v>
      </c>
      <c r="F49" s="677">
        <v>2000</v>
      </c>
      <c r="G49" s="677">
        <v>2000</v>
      </c>
      <c r="H49" s="677">
        <v>2000</v>
      </c>
      <c r="I49" s="677">
        <v>2000</v>
      </c>
      <c r="J49" s="677">
        <v>2000</v>
      </c>
      <c r="K49" s="677">
        <v>2000</v>
      </c>
      <c r="L49" s="677">
        <v>2000</v>
      </c>
      <c r="M49" s="677">
        <v>2000</v>
      </c>
      <c r="N49" s="677">
        <v>2000</v>
      </c>
      <c r="O49" s="1171">
        <v>2000</v>
      </c>
      <c r="P49" s="1168">
        <f>SUM(D49:O49)</f>
        <v>22000</v>
      </c>
      <c r="Q49" s="1163"/>
      <c r="S49" s="405"/>
      <c r="T49" s="356"/>
      <c r="U49" s="356"/>
      <c r="V49" s="356"/>
    </row>
    <row r="50" spans="2:22" x14ac:dyDescent="0.25">
      <c r="B50" s="814"/>
      <c r="C50" s="818" t="s">
        <v>1254</v>
      </c>
      <c r="D50" s="677"/>
      <c r="E50" s="677">
        <v>200</v>
      </c>
      <c r="F50" s="677">
        <v>200</v>
      </c>
      <c r="G50" s="677">
        <v>200</v>
      </c>
      <c r="H50" s="677">
        <v>200</v>
      </c>
      <c r="I50" s="677">
        <v>200</v>
      </c>
      <c r="J50" s="677">
        <v>300</v>
      </c>
      <c r="K50" s="677">
        <v>200</v>
      </c>
      <c r="L50" s="677">
        <v>200</v>
      </c>
      <c r="M50" s="677">
        <v>300</v>
      </c>
      <c r="N50" s="677">
        <v>200</v>
      </c>
      <c r="O50" s="677">
        <v>200</v>
      </c>
      <c r="P50" s="1168">
        <f>SUM(D50:O50)</f>
        <v>2400</v>
      </c>
      <c r="Q50" s="1163"/>
      <c r="S50" s="405"/>
      <c r="T50" s="356"/>
      <c r="U50" s="356"/>
      <c r="V50" s="356"/>
    </row>
    <row r="51" spans="2:22" x14ac:dyDescent="0.25">
      <c r="B51" s="814"/>
      <c r="C51" s="818" t="s">
        <v>1255</v>
      </c>
      <c r="D51" s="677"/>
      <c r="E51" s="677">
        <v>100</v>
      </c>
      <c r="F51" s="677">
        <v>100</v>
      </c>
      <c r="G51" s="677">
        <v>100</v>
      </c>
      <c r="H51" s="677">
        <v>100</v>
      </c>
      <c r="I51" s="677">
        <v>100</v>
      </c>
      <c r="J51" s="677">
        <v>100</v>
      </c>
      <c r="K51" s="677">
        <v>100</v>
      </c>
      <c r="L51" s="677">
        <v>100</v>
      </c>
      <c r="M51" s="677">
        <v>100</v>
      </c>
      <c r="N51" s="677">
        <v>100</v>
      </c>
      <c r="O51" s="677">
        <v>100</v>
      </c>
      <c r="P51" s="1168">
        <f>SUM(D51:O51)</f>
        <v>1100</v>
      </c>
      <c r="Q51" s="1163"/>
      <c r="S51" s="405"/>
      <c r="T51" s="356"/>
      <c r="U51" s="356"/>
      <c r="V51" s="356"/>
    </row>
    <row r="52" spans="2:22" x14ac:dyDescent="0.25">
      <c r="B52" s="814"/>
      <c r="C52" s="818" t="s">
        <v>1256</v>
      </c>
      <c r="D52" s="677"/>
      <c r="E52" s="677">
        <v>3750</v>
      </c>
      <c r="F52" s="677">
        <v>3750</v>
      </c>
      <c r="G52" s="677">
        <v>3750</v>
      </c>
      <c r="H52" s="677">
        <v>3750</v>
      </c>
      <c r="I52" s="677">
        <v>3750</v>
      </c>
      <c r="J52" s="677">
        <v>3750</v>
      </c>
      <c r="K52" s="677">
        <v>3750</v>
      </c>
      <c r="L52" s="677">
        <v>3750</v>
      </c>
      <c r="M52" s="677">
        <v>3750</v>
      </c>
      <c r="N52" s="677">
        <v>3750</v>
      </c>
      <c r="O52" s="677">
        <v>3750</v>
      </c>
      <c r="P52" s="1168">
        <f>SUM(D52:O52)</f>
        <v>41250</v>
      </c>
      <c r="Q52" s="1163" t="s">
        <v>1257</v>
      </c>
      <c r="S52" s="405"/>
      <c r="T52" s="356"/>
      <c r="U52" s="356"/>
      <c r="V52" s="356"/>
    </row>
    <row r="53" spans="2:22" x14ac:dyDescent="0.25">
      <c r="B53" s="1169" t="s">
        <v>986</v>
      </c>
      <c r="C53" s="1172"/>
      <c r="D53" s="1160">
        <f>SUM(D54:D55)</f>
        <v>0</v>
      </c>
      <c r="E53" s="1160">
        <f t="shared" ref="E53:O53" si="10">SUM(E54:E55)</f>
        <v>0</v>
      </c>
      <c r="F53" s="1160">
        <f t="shared" si="10"/>
        <v>0</v>
      </c>
      <c r="G53" s="1160">
        <f t="shared" si="10"/>
        <v>0</v>
      </c>
      <c r="H53" s="1160">
        <f t="shared" si="10"/>
        <v>0</v>
      </c>
      <c r="I53" s="1160">
        <f t="shared" si="10"/>
        <v>0</v>
      </c>
      <c r="J53" s="1160">
        <f t="shared" si="10"/>
        <v>4000</v>
      </c>
      <c r="K53" s="1160">
        <f t="shared" si="10"/>
        <v>0</v>
      </c>
      <c r="L53" s="1160">
        <f t="shared" si="10"/>
        <v>0</v>
      </c>
      <c r="M53" s="1160">
        <f t="shared" si="10"/>
        <v>0</v>
      </c>
      <c r="N53" s="1160">
        <f t="shared" si="10"/>
        <v>0</v>
      </c>
      <c r="O53" s="1160">
        <f t="shared" si="10"/>
        <v>0</v>
      </c>
      <c r="P53" s="1161">
        <f t="shared" si="6"/>
        <v>4000</v>
      </c>
      <c r="Q53" s="1163"/>
      <c r="S53" s="405"/>
      <c r="T53" s="356"/>
      <c r="U53" s="356"/>
      <c r="V53" s="356"/>
    </row>
    <row r="54" spans="2:22" x14ac:dyDescent="0.25">
      <c r="B54" s="1173"/>
      <c r="C54" s="1174" t="s">
        <v>1258</v>
      </c>
      <c r="D54" s="1175"/>
      <c r="E54" s="1175"/>
      <c r="F54" s="223"/>
      <c r="G54" s="223"/>
      <c r="H54" s="223"/>
      <c r="I54" s="223"/>
      <c r="J54" s="1175">
        <v>2000</v>
      </c>
      <c r="K54" s="223"/>
      <c r="L54" s="223"/>
      <c r="M54" s="223"/>
      <c r="N54" s="223"/>
      <c r="O54" s="223"/>
      <c r="P54" s="1176">
        <f t="shared" si="6"/>
        <v>2000</v>
      </c>
      <c r="Q54" s="1163"/>
      <c r="S54" s="405"/>
      <c r="T54" s="356"/>
      <c r="U54" s="356"/>
      <c r="V54" s="356"/>
    </row>
    <row r="55" spans="2:22" x14ac:dyDescent="0.25">
      <c r="B55" s="1173"/>
      <c r="C55" s="1174" t="s">
        <v>1259</v>
      </c>
      <c r="D55" s="1175"/>
      <c r="E55" s="1175"/>
      <c r="F55" s="223"/>
      <c r="G55" s="223"/>
      <c r="H55" s="223"/>
      <c r="I55" s="223"/>
      <c r="J55" s="1175">
        <v>2000</v>
      </c>
      <c r="K55" s="223"/>
      <c r="L55" s="223"/>
      <c r="M55" s="223"/>
      <c r="N55" s="223"/>
      <c r="O55" s="223"/>
      <c r="P55" s="1176">
        <f t="shared" si="6"/>
        <v>2000</v>
      </c>
      <c r="Q55" s="1163"/>
      <c r="S55" s="405"/>
      <c r="T55" s="356"/>
      <c r="U55" s="356"/>
      <c r="V55" s="356"/>
    </row>
    <row r="56" spans="2:22" x14ac:dyDescent="0.25">
      <c r="B56" s="1169" t="s">
        <v>1260</v>
      </c>
      <c r="C56" s="1159"/>
      <c r="D56" s="1160">
        <f>SUM(D57:D61)</f>
        <v>0</v>
      </c>
      <c r="E56" s="1160">
        <f>SUM(E57:E61)</f>
        <v>528600</v>
      </c>
      <c r="F56" s="1160">
        <f>SUM(F57:F61)</f>
        <v>528600</v>
      </c>
      <c r="G56" s="1160">
        <f t="shared" ref="G56:O56" si="11">SUM(G57:G61)</f>
        <v>628600</v>
      </c>
      <c r="H56" s="1160">
        <f t="shared" si="11"/>
        <v>633600</v>
      </c>
      <c r="I56" s="1160">
        <f t="shared" si="11"/>
        <v>563600</v>
      </c>
      <c r="J56" s="1160">
        <f t="shared" si="11"/>
        <v>513600</v>
      </c>
      <c r="K56" s="1160">
        <f t="shared" si="11"/>
        <v>463600</v>
      </c>
      <c r="L56" s="1160">
        <f t="shared" si="11"/>
        <v>463600</v>
      </c>
      <c r="M56" s="1160">
        <f t="shared" si="11"/>
        <v>463600</v>
      </c>
      <c r="N56" s="1160">
        <f t="shared" si="11"/>
        <v>463600</v>
      </c>
      <c r="O56" s="1160">
        <f t="shared" si="11"/>
        <v>463600</v>
      </c>
      <c r="P56" s="1161">
        <f t="shared" si="6"/>
        <v>5714600</v>
      </c>
      <c r="Q56" s="1163"/>
      <c r="S56" s="405"/>
      <c r="T56" s="356"/>
      <c r="U56" s="356"/>
      <c r="V56" s="356"/>
    </row>
    <row r="57" spans="2:22" x14ac:dyDescent="0.25">
      <c r="B57" s="814"/>
      <c r="C57" s="818" t="s">
        <v>1261</v>
      </c>
      <c r="D57" s="685"/>
      <c r="E57" s="685">
        <v>446250</v>
      </c>
      <c r="F57" s="677">
        <v>446250</v>
      </c>
      <c r="G57" s="677">
        <v>531250</v>
      </c>
      <c r="H57" s="1177">
        <v>535500</v>
      </c>
      <c r="I57" s="1177">
        <v>476000</v>
      </c>
      <c r="J57" s="677">
        <v>433500</v>
      </c>
      <c r="K57" s="677">
        <v>391000</v>
      </c>
      <c r="L57" s="677">
        <v>391000</v>
      </c>
      <c r="M57" s="677">
        <v>391000</v>
      </c>
      <c r="N57" s="677">
        <v>391000</v>
      </c>
      <c r="O57" s="677">
        <v>391000</v>
      </c>
      <c r="P57" s="1168">
        <f t="shared" si="6"/>
        <v>4823750</v>
      </c>
      <c r="Q57" s="1163" t="s">
        <v>1262</v>
      </c>
      <c r="S57" s="405"/>
      <c r="T57" s="356"/>
      <c r="U57" s="356"/>
      <c r="V57" s="356"/>
    </row>
    <row r="58" spans="2:22" x14ac:dyDescent="0.25">
      <c r="B58" s="814"/>
      <c r="C58" s="818" t="s">
        <v>1263</v>
      </c>
      <c r="D58" s="685"/>
      <c r="E58" s="685">
        <v>78750</v>
      </c>
      <c r="F58" s="677">
        <v>78750</v>
      </c>
      <c r="G58" s="677">
        <v>93750</v>
      </c>
      <c r="H58" s="677">
        <v>94500</v>
      </c>
      <c r="I58" s="677">
        <v>84000</v>
      </c>
      <c r="J58" s="677">
        <v>76500</v>
      </c>
      <c r="K58" s="677">
        <v>69000</v>
      </c>
      <c r="L58" s="677">
        <v>69000</v>
      </c>
      <c r="M58" s="677">
        <v>69000</v>
      </c>
      <c r="N58" s="677">
        <v>69000</v>
      </c>
      <c r="O58" s="677">
        <v>69000</v>
      </c>
      <c r="P58" s="1168">
        <f t="shared" si="6"/>
        <v>851250</v>
      </c>
      <c r="Q58" s="1163" t="s">
        <v>1262</v>
      </c>
      <c r="S58" s="405"/>
      <c r="T58" s="356"/>
      <c r="U58" s="356"/>
      <c r="V58" s="356"/>
    </row>
    <row r="59" spans="2:22" x14ac:dyDescent="0.25">
      <c r="B59" s="814"/>
      <c r="C59" s="818" t="s">
        <v>1264</v>
      </c>
      <c r="D59" s="668"/>
      <c r="E59" s="668">
        <v>1500</v>
      </c>
      <c r="F59" s="677">
        <v>1500</v>
      </c>
      <c r="G59" s="677">
        <v>1500</v>
      </c>
      <c r="H59" s="677">
        <v>1500</v>
      </c>
      <c r="I59" s="677">
        <v>1500</v>
      </c>
      <c r="J59" s="677">
        <v>1500</v>
      </c>
      <c r="K59" s="677">
        <v>1500</v>
      </c>
      <c r="L59" s="677">
        <v>1500</v>
      </c>
      <c r="M59" s="677">
        <v>1500</v>
      </c>
      <c r="N59" s="677">
        <v>1500</v>
      </c>
      <c r="O59" s="677">
        <v>1500</v>
      </c>
      <c r="P59" s="1168">
        <f t="shared" si="6"/>
        <v>16500</v>
      </c>
      <c r="Q59" s="1163" t="s">
        <v>1265</v>
      </c>
    </row>
    <row r="60" spans="2:22" x14ac:dyDescent="0.25">
      <c r="B60" s="814"/>
      <c r="C60" s="818" t="s">
        <v>1266</v>
      </c>
      <c r="D60" s="668"/>
      <c r="E60" s="668">
        <v>300</v>
      </c>
      <c r="F60" s="677">
        <v>300</v>
      </c>
      <c r="G60" s="677">
        <v>300</v>
      </c>
      <c r="H60" s="677">
        <v>300</v>
      </c>
      <c r="I60" s="677">
        <v>300</v>
      </c>
      <c r="J60" s="677">
        <v>300</v>
      </c>
      <c r="K60" s="677">
        <v>300</v>
      </c>
      <c r="L60" s="677">
        <v>300</v>
      </c>
      <c r="M60" s="677">
        <v>300</v>
      </c>
      <c r="N60" s="677">
        <v>300</v>
      </c>
      <c r="O60" s="677">
        <v>300</v>
      </c>
      <c r="P60" s="1168">
        <f t="shared" si="6"/>
        <v>3300</v>
      </c>
      <c r="Q60" s="1163" t="s">
        <v>1267</v>
      </c>
    </row>
    <row r="61" spans="2:22" x14ac:dyDescent="0.25">
      <c r="B61" s="814"/>
      <c r="C61" s="818" t="s">
        <v>1268</v>
      </c>
      <c r="D61" s="668"/>
      <c r="E61" s="668">
        <v>1800</v>
      </c>
      <c r="F61" s="677">
        <v>1800</v>
      </c>
      <c r="G61" s="677">
        <v>1800</v>
      </c>
      <c r="H61" s="677">
        <v>1800</v>
      </c>
      <c r="I61" s="677">
        <v>1800</v>
      </c>
      <c r="J61" s="677">
        <v>1800</v>
      </c>
      <c r="K61" s="677">
        <v>1800</v>
      </c>
      <c r="L61" s="677">
        <v>1800</v>
      </c>
      <c r="M61" s="677">
        <v>1800</v>
      </c>
      <c r="N61" s="677">
        <v>1800</v>
      </c>
      <c r="O61" s="677">
        <v>1800</v>
      </c>
      <c r="P61" s="1168">
        <f t="shared" si="6"/>
        <v>19800</v>
      </c>
      <c r="Q61" s="1163" t="s">
        <v>1269</v>
      </c>
    </row>
    <row r="62" spans="2:22" x14ac:dyDescent="0.25">
      <c r="B62" s="1169" t="s">
        <v>1270</v>
      </c>
      <c r="C62" s="1159"/>
      <c r="D62" s="1160">
        <f>SUM(D63:D67)</f>
        <v>19250</v>
      </c>
      <c r="E62" s="1160">
        <f>SUM(E63:E67)</f>
        <v>61737.5</v>
      </c>
      <c r="F62" s="1160">
        <f>SUM(F63:F67)</f>
        <v>47987.5</v>
      </c>
      <c r="G62" s="1160">
        <f t="shared" ref="G62:O62" si="12">SUM(G63:G67)</f>
        <v>53937.5</v>
      </c>
      <c r="H62" s="1160">
        <f t="shared" si="12"/>
        <v>52485</v>
      </c>
      <c r="I62" s="1160">
        <f t="shared" si="12"/>
        <v>48320</v>
      </c>
      <c r="J62" s="1160">
        <f t="shared" si="12"/>
        <v>45345</v>
      </c>
      <c r="K62" s="1160">
        <f t="shared" si="12"/>
        <v>42370</v>
      </c>
      <c r="L62" s="1160">
        <f t="shared" si="12"/>
        <v>42370</v>
      </c>
      <c r="M62" s="1160">
        <f t="shared" si="12"/>
        <v>42370</v>
      </c>
      <c r="N62" s="1160">
        <f t="shared" si="12"/>
        <v>42370</v>
      </c>
      <c r="O62" s="1160">
        <f t="shared" si="12"/>
        <v>42370</v>
      </c>
      <c r="P62" s="1161">
        <f t="shared" si="6"/>
        <v>540912.5</v>
      </c>
      <c r="Q62" s="1163"/>
    </row>
    <row r="63" spans="2:22" x14ac:dyDescent="0.25">
      <c r="B63" s="783"/>
      <c r="C63" s="818" t="s">
        <v>1271</v>
      </c>
      <c r="D63" s="685"/>
      <c r="E63" s="677">
        <v>31237.500000000004</v>
      </c>
      <c r="F63" s="677">
        <v>31237.500000000004</v>
      </c>
      <c r="G63" s="677">
        <v>37187.5</v>
      </c>
      <c r="H63" s="677">
        <v>37485</v>
      </c>
      <c r="I63" s="677">
        <v>33320</v>
      </c>
      <c r="J63" s="677">
        <v>30345.000000000004</v>
      </c>
      <c r="K63" s="677">
        <v>27370.000000000004</v>
      </c>
      <c r="L63" s="677">
        <v>27370.000000000004</v>
      </c>
      <c r="M63" s="677">
        <v>27370.000000000004</v>
      </c>
      <c r="N63" s="677">
        <v>27370.000000000004</v>
      </c>
      <c r="O63" s="1178">
        <v>27370.000000000004</v>
      </c>
      <c r="P63" s="1168">
        <f t="shared" si="6"/>
        <v>337662.5</v>
      </c>
      <c r="Q63" s="1163" t="s">
        <v>1272</v>
      </c>
    </row>
    <row r="64" spans="2:22" x14ac:dyDescent="0.25">
      <c r="B64" s="814"/>
      <c r="C64" s="818" t="s">
        <v>1273</v>
      </c>
      <c r="D64" s="685"/>
      <c r="E64" s="677">
        <v>15000</v>
      </c>
      <c r="F64" s="677">
        <v>15000</v>
      </c>
      <c r="G64" s="677">
        <v>15000</v>
      </c>
      <c r="H64" s="677">
        <v>15000</v>
      </c>
      <c r="I64" s="677">
        <v>15000</v>
      </c>
      <c r="J64" s="677">
        <v>15000</v>
      </c>
      <c r="K64" s="677">
        <v>15000</v>
      </c>
      <c r="L64" s="677">
        <v>15000</v>
      </c>
      <c r="M64" s="677">
        <v>15000</v>
      </c>
      <c r="N64" s="677">
        <v>15000</v>
      </c>
      <c r="O64" s="677">
        <v>15000</v>
      </c>
      <c r="P64" s="1168">
        <f t="shared" si="6"/>
        <v>165000</v>
      </c>
      <c r="Q64" s="1163"/>
    </row>
    <row r="65" spans="2:17" x14ac:dyDescent="0.25">
      <c r="B65" s="814"/>
      <c r="C65" s="818" t="s">
        <v>1274</v>
      </c>
      <c r="D65" s="677">
        <v>10000</v>
      </c>
      <c r="E65" s="677">
        <v>10000</v>
      </c>
      <c r="F65" s="685"/>
      <c r="G65" s="685"/>
      <c r="H65" s="685"/>
      <c r="I65" s="685"/>
      <c r="J65" s="685"/>
      <c r="K65" s="685"/>
      <c r="L65" s="685"/>
      <c r="M65" s="685"/>
      <c r="N65" s="685"/>
      <c r="O65" s="1179"/>
      <c r="P65" s="1168">
        <f t="shared" si="6"/>
        <v>20000</v>
      </c>
      <c r="Q65" s="1163" t="s">
        <v>1275</v>
      </c>
    </row>
    <row r="66" spans="2:17" x14ac:dyDescent="0.25">
      <c r="B66" s="814"/>
      <c r="C66" s="818" t="s">
        <v>1276</v>
      </c>
      <c r="D66" s="677">
        <v>7500</v>
      </c>
      <c r="E66" s="677">
        <v>3750</v>
      </c>
      <c r="F66" s="685"/>
      <c r="G66" s="685"/>
      <c r="H66" s="685"/>
      <c r="I66" s="685"/>
      <c r="J66" s="685"/>
      <c r="K66" s="685"/>
      <c r="L66" s="685"/>
      <c r="M66" s="685"/>
      <c r="N66" s="685"/>
      <c r="O66" s="1179"/>
      <c r="P66" s="1168">
        <f t="shared" si="6"/>
        <v>11250</v>
      </c>
      <c r="Q66" s="1163" t="s">
        <v>1275</v>
      </c>
    </row>
    <row r="67" spans="2:17" x14ac:dyDescent="0.25">
      <c r="B67" s="814"/>
      <c r="C67" s="818" t="s">
        <v>1277</v>
      </c>
      <c r="D67" s="677">
        <v>1750</v>
      </c>
      <c r="E67" s="677">
        <v>1750</v>
      </c>
      <c r="F67" s="677">
        <v>1750</v>
      </c>
      <c r="G67" s="677">
        <v>1750</v>
      </c>
      <c r="H67" s="685"/>
      <c r="I67" s="685"/>
      <c r="J67" s="685"/>
      <c r="K67" s="685"/>
      <c r="L67" s="685"/>
      <c r="M67" s="685"/>
      <c r="N67" s="685"/>
      <c r="O67" s="1179"/>
      <c r="P67" s="1168">
        <f t="shared" si="6"/>
        <v>7000</v>
      </c>
      <c r="Q67" s="1163" t="s">
        <v>1278</v>
      </c>
    </row>
    <row r="68" spans="2:17" x14ac:dyDescent="0.25">
      <c r="B68" s="1169" t="s">
        <v>990</v>
      </c>
      <c r="C68" s="1159" t="s">
        <v>1279</v>
      </c>
      <c r="D68" s="1160">
        <v>18000</v>
      </c>
      <c r="E68" s="1160">
        <v>18000</v>
      </c>
      <c r="F68" s="1160">
        <v>18000</v>
      </c>
      <c r="G68" s="1160">
        <v>18000</v>
      </c>
      <c r="H68" s="1160">
        <v>18000</v>
      </c>
      <c r="I68" s="1160">
        <v>18000</v>
      </c>
      <c r="J68" s="1160">
        <v>18000</v>
      </c>
      <c r="K68" s="1160">
        <v>18000</v>
      </c>
      <c r="L68" s="1160">
        <v>18000</v>
      </c>
      <c r="M68" s="1160">
        <v>18000</v>
      </c>
      <c r="N68" s="1160">
        <v>18000</v>
      </c>
      <c r="O68" s="1160">
        <v>18000</v>
      </c>
      <c r="P68" s="1161">
        <f t="shared" si="6"/>
        <v>216000</v>
      </c>
      <c r="Q68" s="1163"/>
    </row>
    <row r="69" spans="2:17" x14ac:dyDescent="0.25">
      <c r="B69" s="1169" t="s">
        <v>1280</v>
      </c>
      <c r="C69" s="1159"/>
      <c r="D69" s="1160">
        <f>SUM(D70:D77)</f>
        <v>0</v>
      </c>
      <c r="E69" s="1160">
        <f t="shared" ref="E69:O69" si="13">SUM(E70:E77)</f>
        <v>18000</v>
      </c>
      <c r="F69" s="1160">
        <f t="shared" si="13"/>
        <v>18000</v>
      </c>
      <c r="G69" s="1160">
        <f t="shared" si="13"/>
        <v>54000</v>
      </c>
      <c r="H69" s="1160">
        <f t="shared" si="13"/>
        <v>6000</v>
      </c>
      <c r="I69" s="1160">
        <f t="shared" si="13"/>
        <v>38500</v>
      </c>
      <c r="J69" s="1160">
        <f t="shared" si="13"/>
        <v>104000</v>
      </c>
      <c r="K69" s="1160">
        <f t="shared" si="13"/>
        <v>6000</v>
      </c>
      <c r="L69" s="1160">
        <f t="shared" si="13"/>
        <v>26000</v>
      </c>
      <c r="M69" s="1160">
        <f t="shared" si="13"/>
        <v>76000</v>
      </c>
      <c r="N69" s="1160">
        <f t="shared" si="13"/>
        <v>6000</v>
      </c>
      <c r="O69" s="1160">
        <f t="shared" si="13"/>
        <v>4500</v>
      </c>
      <c r="P69" s="1161">
        <f t="shared" si="6"/>
        <v>357000</v>
      </c>
      <c r="Q69" s="1163"/>
    </row>
    <row r="70" spans="2:17" x14ac:dyDescent="0.25">
      <c r="B70" s="814"/>
      <c r="C70" s="818" t="s">
        <v>1281</v>
      </c>
      <c r="D70" s="668"/>
      <c r="E70" s="668"/>
      <c r="F70" s="677"/>
      <c r="G70" s="677">
        <v>6000</v>
      </c>
      <c r="H70" s="1180"/>
      <c r="I70" s="677"/>
      <c r="J70" s="677"/>
      <c r="K70" s="677"/>
      <c r="L70" s="677"/>
      <c r="M70" s="677"/>
      <c r="N70" s="677"/>
      <c r="O70" s="677"/>
      <c r="P70" s="1168">
        <f t="shared" si="6"/>
        <v>6000</v>
      </c>
      <c r="Q70" s="1163"/>
    </row>
    <row r="71" spans="2:17" x14ac:dyDescent="0.25">
      <c r="B71" s="814"/>
      <c r="C71" s="818" t="s">
        <v>1282</v>
      </c>
      <c r="D71" s="668"/>
      <c r="E71" s="677">
        <v>6000</v>
      </c>
      <c r="F71" s="677">
        <v>6000</v>
      </c>
      <c r="G71" s="677">
        <v>9000</v>
      </c>
      <c r="H71" s="1180">
        <v>6000</v>
      </c>
      <c r="I71" s="677">
        <v>6000</v>
      </c>
      <c r="J71" s="677">
        <v>9000</v>
      </c>
      <c r="K71" s="677">
        <v>6000</v>
      </c>
      <c r="L71" s="677">
        <v>6000</v>
      </c>
      <c r="M71" s="677">
        <v>6000</v>
      </c>
      <c r="N71" s="677">
        <v>6000</v>
      </c>
      <c r="O71" s="677">
        <v>4500</v>
      </c>
      <c r="P71" s="1168">
        <f t="shared" si="6"/>
        <v>70500</v>
      </c>
      <c r="Q71" s="1163" t="s">
        <v>1283</v>
      </c>
    </row>
    <row r="72" spans="2:17" x14ac:dyDescent="0.25">
      <c r="B72" s="814"/>
      <c r="C72" s="1181" t="s">
        <v>1284</v>
      </c>
      <c r="D72" s="668"/>
      <c r="E72" s="677">
        <v>12000</v>
      </c>
      <c r="F72" s="677">
        <v>12000</v>
      </c>
      <c r="G72" s="677">
        <v>19000</v>
      </c>
      <c r="H72" s="1180"/>
      <c r="I72" s="677">
        <v>2500</v>
      </c>
      <c r="N72" s="677"/>
      <c r="O72" s="677"/>
      <c r="P72" s="1168">
        <f t="shared" si="6"/>
        <v>45500</v>
      </c>
      <c r="Q72" s="1163" t="s">
        <v>1285</v>
      </c>
    </row>
    <row r="73" spans="2:17" x14ac:dyDescent="0.25">
      <c r="B73" s="814"/>
      <c r="C73" s="818" t="s">
        <v>1286</v>
      </c>
      <c r="D73" s="668"/>
      <c r="E73" s="668"/>
      <c r="F73" s="677"/>
      <c r="G73" s="677"/>
      <c r="H73" s="1180"/>
      <c r="I73" s="677"/>
      <c r="J73" s="1182">
        <v>15000</v>
      </c>
      <c r="K73" s="677"/>
      <c r="L73" s="677"/>
      <c r="M73" s="677"/>
      <c r="N73" s="677"/>
      <c r="O73" s="677"/>
      <c r="P73" s="1168">
        <f t="shared" si="6"/>
        <v>15000</v>
      </c>
      <c r="Q73" s="1163"/>
    </row>
    <row r="74" spans="2:17" x14ac:dyDescent="0.25">
      <c r="B74" s="814"/>
      <c r="C74" s="818" t="s">
        <v>1287</v>
      </c>
      <c r="D74" s="668"/>
      <c r="E74" s="668"/>
      <c r="F74" s="677"/>
      <c r="G74" s="677"/>
      <c r="H74" s="1180"/>
      <c r="I74" s="677"/>
      <c r="J74" s="677">
        <v>50000</v>
      </c>
      <c r="K74" s="677"/>
      <c r="L74" s="677"/>
      <c r="M74" s="677">
        <v>50000</v>
      </c>
      <c r="N74" s="677"/>
      <c r="O74" s="677"/>
      <c r="P74" s="1168">
        <f t="shared" si="6"/>
        <v>100000</v>
      </c>
      <c r="Q74" s="1163"/>
    </row>
    <row r="75" spans="2:17" x14ac:dyDescent="0.25">
      <c r="B75" s="814"/>
      <c r="C75" s="818" t="s">
        <v>1288</v>
      </c>
      <c r="D75" s="668"/>
      <c r="E75" s="668"/>
      <c r="F75" s="677"/>
      <c r="G75" s="677"/>
      <c r="H75" s="1180"/>
      <c r="I75" s="677">
        <v>10000</v>
      </c>
      <c r="J75" s="677">
        <v>10000</v>
      </c>
      <c r="K75" s="677"/>
      <c r="L75" s="677"/>
      <c r="M75" s="677"/>
      <c r="N75" s="677"/>
      <c r="O75" s="677"/>
      <c r="P75" s="1168">
        <f t="shared" si="6"/>
        <v>20000</v>
      </c>
      <c r="Q75" s="1163"/>
    </row>
    <row r="76" spans="2:17" x14ac:dyDescent="0.25">
      <c r="B76" s="814"/>
      <c r="C76" s="818" t="s">
        <v>1289</v>
      </c>
      <c r="D76" s="668"/>
      <c r="E76" s="668"/>
      <c r="F76" s="677"/>
      <c r="G76" s="677"/>
      <c r="H76" s="1180"/>
      <c r="I76" s="677">
        <v>20000</v>
      </c>
      <c r="J76" s="677"/>
      <c r="K76" s="677"/>
      <c r="L76" s="677">
        <v>20000</v>
      </c>
      <c r="N76" s="677"/>
      <c r="O76" s="677"/>
      <c r="P76" s="1168">
        <f t="shared" si="6"/>
        <v>40000</v>
      </c>
      <c r="Q76" s="1163"/>
    </row>
    <row r="77" spans="2:17" x14ac:dyDescent="0.25">
      <c r="B77" s="814"/>
      <c r="C77" s="818" t="s">
        <v>1290</v>
      </c>
      <c r="D77" s="668"/>
      <c r="E77" s="668"/>
      <c r="F77" s="677"/>
      <c r="G77" s="677">
        <v>20000</v>
      </c>
      <c r="H77" s="1180"/>
      <c r="I77" s="677"/>
      <c r="J77" s="677">
        <v>20000</v>
      </c>
      <c r="K77" s="677"/>
      <c r="L77" s="677"/>
      <c r="M77" s="677">
        <v>20000</v>
      </c>
      <c r="N77" s="677"/>
      <c r="O77" s="677"/>
      <c r="P77" s="1168">
        <f t="shared" si="6"/>
        <v>60000</v>
      </c>
      <c r="Q77" s="1163"/>
    </row>
    <row r="78" spans="2:17" x14ac:dyDescent="0.25">
      <c r="B78" s="1169" t="s">
        <v>991</v>
      </c>
      <c r="C78" s="1159"/>
      <c r="D78" s="1160">
        <f>SUM(D79)</f>
        <v>0</v>
      </c>
      <c r="E78" s="1160">
        <f t="shared" ref="E78:O78" si="14">SUM(E79)</f>
        <v>0</v>
      </c>
      <c r="F78" s="1160">
        <f t="shared" si="14"/>
        <v>0</v>
      </c>
      <c r="G78" s="1160">
        <f t="shared" si="14"/>
        <v>0</v>
      </c>
      <c r="H78" s="1160">
        <f t="shared" si="14"/>
        <v>300</v>
      </c>
      <c r="I78" s="1160">
        <f t="shared" si="14"/>
        <v>0</v>
      </c>
      <c r="J78" s="1160">
        <f t="shared" si="14"/>
        <v>0</v>
      </c>
      <c r="K78" s="1160">
        <f t="shared" si="14"/>
        <v>0</v>
      </c>
      <c r="L78" s="1160">
        <f t="shared" si="14"/>
        <v>0</v>
      </c>
      <c r="M78" s="1160">
        <f t="shared" si="14"/>
        <v>0</v>
      </c>
      <c r="N78" s="1160">
        <f t="shared" si="14"/>
        <v>0</v>
      </c>
      <c r="O78" s="1160">
        <f t="shared" si="14"/>
        <v>0</v>
      </c>
      <c r="P78" s="1161">
        <f t="shared" si="6"/>
        <v>300</v>
      </c>
      <c r="Q78" s="1163"/>
    </row>
    <row r="79" spans="2:17" x14ac:dyDescent="0.25">
      <c r="B79" s="814"/>
      <c r="C79" s="818" t="s">
        <v>1291</v>
      </c>
      <c r="D79" s="668"/>
      <c r="E79" s="668"/>
      <c r="F79" s="668"/>
      <c r="G79" s="668"/>
      <c r="H79" s="677">
        <v>300</v>
      </c>
      <c r="I79" s="668"/>
      <c r="J79" s="668"/>
      <c r="K79" s="668"/>
      <c r="L79" s="668"/>
      <c r="M79" s="668"/>
      <c r="N79" s="668"/>
      <c r="O79" s="668"/>
      <c r="P79" s="1168">
        <f>SUM(D79:O79)</f>
        <v>300</v>
      </c>
      <c r="Q79" s="1163" t="s">
        <v>1292</v>
      </c>
    </row>
    <row r="80" spans="2:17" x14ac:dyDescent="0.25">
      <c r="B80" s="799"/>
      <c r="C80" s="1165"/>
      <c r="D80" s="800">
        <f>SUM(D36,D41,D44,D48,D53,D56,D62,D68,D69,D78)</f>
        <v>39333.33</v>
      </c>
      <c r="E80" s="800">
        <f>SUM(E36,E41,E44,E48,E53,E56,E62,E68,E69,E78)</f>
        <v>636170.82999999996</v>
      </c>
      <c r="F80" s="800">
        <f t="shared" ref="F80:P80" si="15">SUM(F36,F41,F44,F48,F53,F56,F62,F68,F69,F78)</f>
        <v>652756.32999999996</v>
      </c>
      <c r="G80" s="800">
        <f t="shared" si="15"/>
        <v>804706.33</v>
      </c>
      <c r="H80" s="800">
        <f t="shared" si="15"/>
        <v>720553.83</v>
      </c>
      <c r="I80" s="800">
        <f t="shared" si="15"/>
        <v>713588.83</v>
      </c>
      <c r="J80" s="800">
        <f t="shared" si="15"/>
        <v>735213.83</v>
      </c>
      <c r="K80" s="800">
        <f t="shared" si="15"/>
        <v>540138.83000000007</v>
      </c>
      <c r="L80" s="800">
        <f t="shared" si="15"/>
        <v>560138.83000000007</v>
      </c>
      <c r="M80" s="800">
        <f t="shared" si="15"/>
        <v>650238.83000000007</v>
      </c>
      <c r="N80" s="800">
        <f t="shared" si="15"/>
        <v>540138.83000000007</v>
      </c>
      <c r="O80" s="801">
        <f t="shared" si="15"/>
        <v>538638.83000000007</v>
      </c>
      <c r="P80" s="1183">
        <f t="shared" si="15"/>
        <v>7131617.46</v>
      </c>
    </row>
    <row r="81" spans="2:18" x14ac:dyDescent="0.25">
      <c r="B81" s="783"/>
      <c r="C81" s="156"/>
      <c r="D81" s="156"/>
      <c r="E81" s="156"/>
      <c r="F81" s="156"/>
      <c r="G81" s="156"/>
      <c r="H81" s="156"/>
      <c r="I81" s="156"/>
      <c r="J81" s="156"/>
      <c r="K81" s="156"/>
      <c r="L81" s="156"/>
      <c r="M81" s="156"/>
      <c r="N81" s="156"/>
      <c r="O81" s="156"/>
      <c r="P81" s="1142"/>
    </row>
    <row r="82" spans="2:18" x14ac:dyDescent="0.25">
      <c r="B82" s="855" t="s">
        <v>488</v>
      </c>
      <c r="C82" s="858"/>
      <c r="D82" s="856">
        <f t="shared" ref="D82:P82" si="16">D80+D32+D12</f>
        <v>44499.996666666666</v>
      </c>
      <c r="E82" s="856">
        <f t="shared" si="16"/>
        <v>656637.49666666659</v>
      </c>
      <c r="F82" s="856">
        <f t="shared" si="16"/>
        <v>673434.99666666659</v>
      </c>
      <c r="G82" s="856">
        <f t="shared" si="16"/>
        <v>825384.99666666659</v>
      </c>
      <c r="H82" s="856">
        <f t="shared" si="16"/>
        <v>741232.49666666659</v>
      </c>
      <c r="I82" s="856">
        <f t="shared" si="16"/>
        <v>734267.49666666659</v>
      </c>
      <c r="J82" s="856">
        <f t="shared" si="16"/>
        <v>755892.49666666659</v>
      </c>
      <c r="K82" s="856">
        <f t="shared" si="16"/>
        <v>560817.4966666667</v>
      </c>
      <c r="L82" s="856">
        <f t="shared" si="16"/>
        <v>580817.4966666667</v>
      </c>
      <c r="M82" s="856">
        <f t="shared" si="16"/>
        <v>670917.4966666667</v>
      </c>
      <c r="N82" s="856">
        <f t="shared" si="16"/>
        <v>560817.4966666667</v>
      </c>
      <c r="O82" s="856">
        <f t="shared" si="16"/>
        <v>560217.4966666667</v>
      </c>
      <c r="P82" s="1184">
        <f t="shared" si="16"/>
        <v>7364937.46</v>
      </c>
    </row>
    <row r="83" spans="2:18" s="223" customFormat="1" x14ac:dyDescent="0.25">
      <c r="B83" s="1185"/>
      <c r="C83" s="1185"/>
      <c r="D83" s="1186"/>
      <c r="E83" s="1186"/>
      <c r="F83" s="1186"/>
      <c r="G83" s="1186"/>
      <c r="H83" s="1186"/>
      <c r="I83" s="1186"/>
      <c r="J83" s="1186"/>
      <c r="K83" s="1186"/>
      <c r="L83" s="1186"/>
      <c r="M83" s="1186"/>
      <c r="N83" s="1186"/>
      <c r="O83" s="1186"/>
      <c r="P83" s="1186"/>
    </row>
    <row r="84" spans="2:18" s="223" customFormat="1" x14ac:dyDescent="0.25">
      <c r="B84" s="1185"/>
      <c r="C84" s="1185"/>
      <c r="D84" s="1186"/>
      <c r="E84" s="1186"/>
      <c r="F84" s="1186"/>
      <c r="G84" s="1186"/>
      <c r="H84" s="1186"/>
      <c r="I84" s="1186"/>
      <c r="J84" s="1186"/>
      <c r="K84" s="1186"/>
      <c r="L84" s="1186"/>
      <c r="M84" s="1186"/>
      <c r="N84" s="1186"/>
      <c r="O84" s="1186"/>
      <c r="P84" s="1186"/>
    </row>
    <row r="85" spans="2:18" s="223" customFormat="1" x14ac:dyDescent="0.25">
      <c r="B85" s="1185"/>
      <c r="C85" s="1187" t="s">
        <v>1293</v>
      </c>
      <c r="D85" s="1188" t="s">
        <v>1294</v>
      </c>
      <c r="E85" s="1188" t="s">
        <v>1295</v>
      </c>
      <c r="F85" s="1188" t="s">
        <v>1296</v>
      </c>
      <c r="G85" s="1188" t="s">
        <v>1297</v>
      </c>
      <c r="H85" s="1188" t="s">
        <v>1298</v>
      </c>
      <c r="I85" s="1188" t="s">
        <v>1299</v>
      </c>
      <c r="J85" s="1188" t="s">
        <v>1300</v>
      </c>
      <c r="K85" s="1188" t="s">
        <v>1301</v>
      </c>
      <c r="L85" s="1188" t="s">
        <v>1302</v>
      </c>
      <c r="M85" s="1188" t="s">
        <v>1303</v>
      </c>
      <c r="N85" s="1188" t="s">
        <v>1304</v>
      </c>
      <c r="O85" s="1188" t="s">
        <v>1305</v>
      </c>
      <c r="P85" s="1188"/>
      <c r="Q85" s="1189"/>
      <c r="R85" s="1190"/>
    </row>
    <row r="86" spans="2:18" s="223" customFormat="1" x14ac:dyDescent="0.25">
      <c r="B86" s="1185"/>
      <c r="C86" s="1187"/>
      <c r="D86" s="1188"/>
      <c r="E86" s="1188"/>
      <c r="F86" s="1188"/>
      <c r="G86" s="1188"/>
      <c r="H86" s="1188"/>
      <c r="I86" s="1188"/>
      <c r="J86" s="1188"/>
      <c r="K86" s="1188"/>
      <c r="L86" s="1188"/>
      <c r="M86" s="1188"/>
      <c r="N86" s="1188"/>
      <c r="O86" s="1188"/>
      <c r="P86" s="1188"/>
      <c r="Q86" s="1189"/>
      <c r="R86" s="1190"/>
    </row>
    <row r="87" spans="2:18" s="223" customFormat="1" x14ac:dyDescent="0.25">
      <c r="B87" s="1185"/>
      <c r="C87" s="1187" t="s">
        <v>1306</v>
      </c>
      <c r="D87" s="1191">
        <v>235000</v>
      </c>
      <c r="E87" s="1191">
        <v>300000</v>
      </c>
      <c r="F87" s="1191">
        <v>465000</v>
      </c>
      <c r="G87" s="1191">
        <v>565000</v>
      </c>
      <c r="H87" s="1191">
        <v>570000</v>
      </c>
      <c r="I87" s="1191">
        <v>500000</v>
      </c>
      <c r="J87" s="1191">
        <v>450000</v>
      </c>
      <c r="K87" s="1191">
        <v>400000</v>
      </c>
      <c r="L87" s="1191">
        <v>400000</v>
      </c>
      <c r="M87" s="1191">
        <v>400000</v>
      </c>
      <c r="N87" s="1191">
        <v>400000</v>
      </c>
      <c r="O87" s="1191">
        <v>400000</v>
      </c>
      <c r="P87" s="1188"/>
      <c r="Q87" s="1189"/>
      <c r="R87" s="1190"/>
    </row>
    <row r="88" spans="2:18" s="223" customFormat="1" x14ac:dyDescent="0.25">
      <c r="B88" s="1185"/>
      <c r="C88" s="1187" t="s">
        <v>1307</v>
      </c>
      <c r="D88" s="1191"/>
      <c r="E88" s="1191"/>
      <c r="F88" s="1192">
        <f>F87+60000</f>
        <v>525000</v>
      </c>
      <c r="G88" s="1192">
        <f t="shared" ref="G88:O88" si="17">G87+60000</f>
        <v>625000</v>
      </c>
      <c r="H88" s="1192">
        <f t="shared" si="17"/>
        <v>630000</v>
      </c>
      <c r="I88" s="1192">
        <f t="shared" si="17"/>
        <v>560000</v>
      </c>
      <c r="J88" s="1192">
        <f t="shared" si="17"/>
        <v>510000</v>
      </c>
      <c r="K88" s="1192">
        <f t="shared" si="17"/>
        <v>460000</v>
      </c>
      <c r="L88" s="1192">
        <f t="shared" si="17"/>
        <v>460000</v>
      </c>
      <c r="M88" s="1192">
        <f t="shared" si="17"/>
        <v>460000</v>
      </c>
      <c r="N88" s="1192">
        <f t="shared" si="17"/>
        <v>460000</v>
      </c>
      <c r="O88" s="1192">
        <f t="shared" si="17"/>
        <v>460000</v>
      </c>
      <c r="P88" s="1188">
        <f>SUM(D87,E87,F88:O88)</f>
        <v>5685000</v>
      </c>
      <c r="Q88" s="1189" t="s">
        <v>1308</v>
      </c>
      <c r="R88" s="1190"/>
    </row>
    <row r="89" spans="2:18" s="223" customFormat="1" x14ac:dyDescent="0.25">
      <c r="B89" s="1185"/>
      <c r="C89" s="1187" t="s">
        <v>1309</v>
      </c>
      <c r="D89" s="1191">
        <f>D87*0.85</f>
        <v>199750</v>
      </c>
      <c r="E89" s="1191">
        <f t="shared" ref="E89" si="18">E87*0.85</f>
        <v>255000</v>
      </c>
      <c r="F89" s="1191">
        <f>F88*0.85</f>
        <v>446250</v>
      </c>
      <c r="G89" s="1191">
        <f>G88*0.85</f>
        <v>531250</v>
      </c>
      <c r="H89" s="1191">
        <f t="shared" ref="H89:O89" si="19">H88*0.85</f>
        <v>535500</v>
      </c>
      <c r="I89" s="1191">
        <f t="shared" si="19"/>
        <v>476000</v>
      </c>
      <c r="J89" s="1191">
        <f t="shared" si="19"/>
        <v>433500</v>
      </c>
      <c r="K89" s="1191">
        <f t="shared" si="19"/>
        <v>391000</v>
      </c>
      <c r="L89" s="1191">
        <f t="shared" si="19"/>
        <v>391000</v>
      </c>
      <c r="M89" s="1191">
        <f t="shared" si="19"/>
        <v>391000</v>
      </c>
      <c r="N89" s="1191">
        <f t="shared" si="19"/>
        <v>391000</v>
      </c>
      <c r="O89" s="1191">
        <f t="shared" si="19"/>
        <v>391000</v>
      </c>
      <c r="P89" s="1188"/>
      <c r="Q89" s="1189"/>
      <c r="R89" s="1190"/>
    </row>
    <row r="90" spans="2:18" s="223" customFormat="1" x14ac:dyDescent="0.25">
      <c r="B90" s="1185"/>
      <c r="C90" s="1187" t="s">
        <v>1310</v>
      </c>
      <c r="D90" s="1191">
        <f>D87*0.15</f>
        <v>35250</v>
      </c>
      <c r="E90" s="1191">
        <f>E87*0.15</f>
        <v>45000</v>
      </c>
      <c r="F90" s="1191">
        <f>F88*0.15</f>
        <v>78750</v>
      </c>
      <c r="G90" s="1191">
        <f>G88*0.15</f>
        <v>93750</v>
      </c>
      <c r="H90" s="1191">
        <f t="shared" ref="H90:O90" si="20">H88*0.15</f>
        <v>94500</v>
      </c>
      <c r="I90" s="1191">
        <f t="shared" si="20"/>
        <v>84000</v>
      </c>
      <c r="J90" s="1191">
        <f t="shared" si="20"/>
        <v>76500</v>
      </c>
      <c r="K90" s="1191">
        <f t="shared" si="20"/>
        <v>69000</v>
      </c>
      <c r="L90" s="1191">
        <f t="shared" si="20"/>
        <v>69000</v>
      </c>
      <c r="M90" s="1191">
        <f t="shared" si="20"/>
        <v>69000</v>
      </c>
      <c r="N90" s="1191">
        <f t="shared" si="20"/>
        <v>69000</v>
      </c>
      <c r="O90" s="1191">
        <f t="shared" si="20"/>
        <v>69000</v>
      </c>
      <c r="P90" s="1188"/>
      <c r="Q90" s="1189"/>
      <c r="R90" s="1190"/>
    </row>
    <row r="91" spans="2:18" s="223" customFormat="1" x14ac:dyDescent="0.25">
      <c r="B91" s="1185"/>
      <c r="C91" s="1187" t="s">
        <v>1311</v>
      </c>
      <c r="D91" s="1191">
        <f>D89*0.07</f>
        <v>13982.500000000002</v>
      </c>
      <c r="E91" s="1191">
        <f>E89*0.07</f>
        <v>17850</v>
      </c>
      <c r="F91" s="1191">
        <f>F89*0.07</f>
        <v>31237.500000000004</v>
      </c>
      <c r="G91" s="1191">
        <f t="shared" ref="G91:O91" si="21">G89*0.07</f>
        <v>37187.5</v>
      </c>
      <c r="H91" s="1191">
        <f t="shared" si="21"/>
        <v>37485</v>
      </c>
      <c r="I91" s="1191">
        <f t="shared" si="21"/>
        <v>33320</v>
      </c>
      <c r="J91" s="1191">
        <f t="shared" si="21"/>
        <v>30345.000000000004</v>
      </c>
      <c r="K91" s="1191">
        <f t="shared" si="21"/>
        <v>27370.000000000004</v>
      </c>
      <c r="L91" s="1191">
        <f t="shared" si="21"/>
        <v>27370.000000000004</v>
      </c>
      <c r="M91" s="1191">
        <f t="shared" si="21"/>
        <v>27370.000000000004</v>
      </c>
      <c r="N91" s="1191">
        <f t="shared" si="21"/>
        <v>27370.000000000004</v>
      </c>
      <c r="O91" s="1191">
        <f t="shared" si="21"/>
        <v>27370.000000000004</v>
      </c>
      <c r="P91" s="1188"/>
      <c r="Q91" s="1189"/>
      <c r="R91" s="1190"/>
    </row>
    <row r="92" spans="2:18" s="223" customFormat="1" x14ac:dyDescent="0.25">
      <c r="B92" s="1185"/>
      <c r="C92" s="1187"/>
      <c r="D92" s="1191"/>
      <c r="E92" s="1191"/>
      <c r="F92" s="1191"/>
      <c r="G92" s="1191"/>
      <c r="H92" s="1191"/>
      <c r="I92" s="1191"/>
      <c r="J92" s="1191"/>
      <c r="K92" s="1191"/>
      <c r="L92" s="1191"/>
      <c r="M92" s="1191"/>
      <c r="N92" s="1191"/>
      <c r="O92" s="1191"/>
      <c r="P92" s="1188"/>
      <c r="Q92" s="1189"/>
      <c r="R92" s="1190"/>
    </row>
    <row r="93" spans="2:18" s="223" customFormat="1" x14ac:dyDescent="0.25">
      <c r="B93" s="1185"/>
      <c r="C93" s="1187" t="s">
        <v>1312</v>
      </c>
      <c r="D93" s="1188">
        <f>SUM(D89:D90)</f>
        <v>235000</v>
      </c>
      <c r="E93" s="1188">
        <f>SUM(E89:E90)</f>
        <v>300000</v>
      </c>
      <c r="F93" s="1188">
        <f>SUM(F89:F90)</f>
        <v>525000</v>
      </c>
      <c r="G93" s="1188">
        <f t="shared" ref="G93:O93" si="22">SUM(G89:G90)</f>
        <v>625000</v>
      </c>
      <c r="H93" s="1188">
        <f t="shared" si="22"/>
        <v>630000</v>
      </c>
      <c r="I93" s="1188">
        <f t="shared" si="22"/>
        <v>560000</v>
      </c>
      <c r="J93" s="1188">
        <f t="shared" si="22"/>
        <v>510000</v>
      </c>
      <c r="K93" s="1188">
        <f t="shared" si="22"/>
        <v>460000</v>
      </c>
      <c r="L93" s="1188">
        <f t="shared" si="22"/>
        <v>460000</v>
      </c>
      <c r="M93" s="1188">
        <f t="shared" si="22"/>
        <v>460000</v>
      </c>
      <c r="N93" s="1188">
        <f t="shared" si="22"/>
        <v>460000</v>
      </c>
      <c r="O93" s="1188">
        <f t="shared" si="22"/>
        <v>460000</v>
      </c>
      <c r="P93" s="1188">
        <f>SUM(D93:O93)</f>
        <v>5685000</v>
      </c>
      <c r="Q93" s="1189" t="s">
        <v>1313</v>
      </c>
      <c r="R93" s="1190"/>
    </row>
    <row r="94" spans="2:18" s="223" customFormat="1" x14ac:dyDescent="0.25">
      <c r="B94" s="1185"/>
      <c r="C94" s="1185"/>
      <c r="D94" s="1186"/>
      <c r="E94" s="1186"/>
      <c r="F94" s="1186"/>
      <c r="G94" s="1186"/>
      <c r="H94" s="1186"/>
      <c r="I94" s="1186"/>
      <c r="J94" s="1186"/>
      <c r="K94" s="1186"/>
      <c r="L94" s="1186"/>
      <c r="M94" s="1186"/>
      <c r="N94" s="1186"/>
      <c r="O94" s="1186"/>
      <c r="P94" s="1186"/>
    </row>
    <row r="95" spans="2:18" s="223" customFormat="1" x14ac:dyDescent="0.25">
      <c r="B95" s="1185"/>
      <c r="C95" s="1185"/>
      <c r="D95" s="1186"/>
      <c r="E95" s="1186"/>
      <c r="F95" s="1186"/>
      <c r="G95" s="1186"/>
      <c r="H95" s="1186"/>
      <c r="I95" s="1186"/>
      <c r="J95" s="1186"/>
      <c r="K95" s="1186"/>
      <c r="L95" s="1186"/>
      <c r="M95" s="1186"/>
      <c r="N95" s="1186"/>
      <c r="O95" s="1186"/>
      <c r="P95" s="1186"/>
    </row>
    <row r="96" spans="2:18" s="223" customFormat="1" x14ac:dyDescent="0.25">
      <c r="B96" s="1185"/>
      <c r="C96" s="1185"/>
      <c r="D96" s="1193"/>
      <c r="E96" s="1193"/>
      <c r="F96" s="1193"/>
      <c r="G96" s="1193"/>
      <c r="H96" s="1193"/>
      <c r="I96" s="1193"/>
      <c r="J96" s="1193"/>
      <c r="K96" s="1193"/>
      <c r="L96" s="1193"/>
      <c r="M96" s="1193"/>
      <c r="N96" s="1193"/>
      <c r="O96" s="1193"/>
      <c r="P96" s="1186"/>
    </row>
    <row r="97" spans="2:16" s="223" customFormat="1" x14ac:dyDescent="0.25">
      <c r="B97" s="1185"/>
      <c r="C97" s="1181"/>
      <c r="D97" s="668"/>
      <c r="E97" s="668"/>
      <c r="F97" s="677"/>
      <c r="G97" s="677"/>
      <c r="H97" s="1180"/>
      <c r="I97" s="677"/>
      <c r="J97" s="570"/>
      <c r="K97" s="570"/>
      <c r="L97" s="570"/>
      <c r="M97" s="570"/>
      <c r="N97" s="677"/>
      <c r="O97" s="677"/>
      <c r="P97" s="1186"/>
    </row>
    <row r="98" spans="2:16" s="223" customFormat="1" x14ac:dyDescent="0.25">
      <c r="B98" s="1185"/>
      <c r="C98" s="818"/>
      <c r="D98" s="668"/>
      <c r="E98" s="668"/>
      <c r="F98" s="677"/>
      <c r="G98" s="677"/>
      <c r="H98" s="1180"/>
      <c r="I98" s="677"/>
      <c r="J98" s="1182"/>
      <c r="K98" s="677"/>
      <c r="L98" s="677"/>
      <c r="M98" s="677"/>
      <c r="N98" s="677"/>
      <c r="O98" s="677"/>
      <c r="P98" s="1186"/>
    </row>
    <row r="99" spans="2:16" s="223" customFormat="1" x14ac:dyDescent="0.25">
      <c r="B99" s="1185"/>
      <c r="C99" s="818"/>
      <c r="D99" s="668"/>
      <c r="E99" s="668"/>
      <c r="F99" s="677"/>
      <c r="G99" s="677"/>
      <c r="H99" s="1180"/>
      <c r="I99" s="677"/>
      <c r="J99" s="677"/>
      <c r="K99" s="677"/>
      <c r="L99" s="677"/>
      <c r="M99" s="677"/>
      <c r="N99" s="677"/>
      <c r="O99" s="677"/>
      <c r="P99" s="1186"/>
    </row>
    <row r="100" spans="2:16" s="223" customFormat="1" x14ac:dyDescent="0.25">
      <c r="B100" s="1185"/>
      <c r="C100" s="818"/>
      <c r="D100" s="668"/>
      <c r="E100" s="668"/>
      <c r="F100" s="677"/>
      <c r="G100" s="677"/>
      <c r="H100" s="1180"/>
      <c r="I100" s="677"/>
      <c r="J100" s="677"/>
      <c r="K100" s="677"/>
      <c r="L100" s="677"/>
      <c r="M100" s="677"/>
      <c r="N100" s="677"/>
      <c r="O100" s="677"/>
      <c r="P100" s="1186"/>
    </row>
    <row r="101" spans="2:16" s="223" customFormat="1" x14ac:dyDescent="0.25">
      <c r="B101" s="1185"/>
      <c r="C101" s="818"/>
      <c r="D101" s="668"/>
      <c r="E101" s="668"/>
      <c r="F101" s="677"/>
      <c r="G101" s="677"/>
      <c r="H101" s="1180"/>
      <c r="I101" s="677"/>
      <c r="J101" s="677"/>
      <c r="K101" s="677"/>
      <c r="L101" s="677"/>
      <c r="M101" s="570"/>
      <c r="N101" s="677"/>
      <c r="O101" s="677"/>
      <c r="P101" s="1186"/>
    </row>
    <row r="102" spans="2:16" s="223" customFormat="1" x14ac:dyDescent="0.25">
      <c r="B102" s="1185"/>
      <c r="C102" s="818"/>
      <c r="D102" s="668"/>
      <c r="E102" s="668"/>
      <c r="F102" s="677"/>
      <c r="G102" s="677"/>
      <c r="H102" s="1180"/>
      <c r="I102" s="677"/>
      <c r="J102" s="677"/>
      <c r="K102" s="677"/>
      <c r="L102" s="677"/>
      <c r="M102" s="677"/>
      <c r="N102" s="677"/>
      <c r="O102" s="677"/>
      <c r="P102" s="1186"/>
    </row>
    <row r="103" spans="2:16" s="223" customFormat="1" x14ac:dyDescent="0.25">
      <c r="B103" s="1185"/>
      <c r="C103" s="1185"/>
      <c r="D103" s="1186"/>
      <c r="E103" s="1186"/>
      <c r="F103" s="1186"/>
      <c r="G103" s="1186"/>
      <c r="H103" s="1186"/>
      <c r="I103" s="1186"/>
      <c r="J103" s="1186"/>
      <c r="K103" s="1186"/>
      <c r="L103" s="1186"/>
      <c r="M103" s="1186"/>
      <c r="N103" s="1186"/>
      <c r="O103" s="1186"/>
      <c r="P103" s="1186"/>
    </row>
    <row r="104" spans="2:16" s="223" customFormat="1" x14ac:dyDescent="0.25">
      <c r="B104" s="1185"/>
      <c r="C104" s="1185"/>
      <c r="D104" s="1186"/>
      <c r="E104" s="1186"/>
      <c r="F104" s="1186"/>
      <c r="G104" s="1186"/>
      <c r="H104" s="1186"/>
      <c r="I104" s="1186"/>
      <c r="J104" s="1186"/>
      <c r="K104" s="1186"/>
      <c r="L104" s="1186"/>
      <c r="M104" s="1186"/>
      <c r="N104" s="1186"/>
      <c r="O104" s="1186"/>
      <c r="P104" s="1186"/>
    </row>
    <row r="105" spans="2:16" s="223" customFormat="1" x14ac:dyDescent="0.25">
      <c r="B105" s="1185"/>
      <c r="C105" s="1185"/>
      <c r="D105" s="1186"/>
      <c r="E105" s="1186"/>
      <c r="F105" s="1186"/>
      <c r="G105" s="1186"/>
      <c r="H105" s="1186"/>
      <c r="I105" s="1186"/>
      <c r="J105" s="1186"/>
      <c r="K105" s="1186"/>
      <c r="L105" s="1186"/>
      <c r="M105" s="1186"/>
      <c r="N105" s="1186"/>
      <c r="O105" s="1186"/>
      <c r="P105" s="1186"/>
    </row>
    <row r="106" spans="2:16" s="223" customFormat="1" x14ac:dyDescent="0.25">
      <c r="B106" s="1185"/>
      <c r="C106" s="1185"/>
      <c r="D106" s="1186"/>
      <c r="E106" s="1186"/>
      <c r="F106" s="1186"/>
      <c r="G106" s="1186"/>
      <c r="H106" s="1186"/>
      <c r="I106" s="1186"/>
      <c r="J106" s="1186"/>
      <c r="K106" s="1186"/>
      <c r="L106" s="1186"/>
      <c r="M106" s="1186"/>
      <c r="N106" s="1186"/>
      <c r="O106" s="1186"/>
      <c r="P106" s="1186"/>
    </row>
    <row r="107" spans="2:16" s="223" customFormat="1" x14ac:dyDescent="0.25">
      <c r="B107" s="1185"/>
      <c r="C107" s="1185"/>
      <c r="D107" s="1186"/>
      <c r="E107" s="1186"/>
      <c r="F107" s="1186"/>
      <c r="G107" s="1186"/>
      <c r="H107" s="1186"/>
      <c r="I107" s="1186"/>
      <c r="J107" s="1186"/>
      <c r="K107" s="1186"/>
      <c r="L107" s="1186"/>
      <c r="M107" s="1186"/>
      <c r="N107" s="1186"/>
      <c r="O107" s="1186"/>
      <c r="P107" s="1186"/>
    </row>
    <row r="108" spans="2:16" s="223" customFormat="1" x14ac:dyDescent="0.25">
      <c r="B108" s="1185"/>
      <c r="C108" s="1185"/>
      <c r="D108" s="1186"/>
      <c r="E108" s="1186"/>
      <c r="F108" s="1186"/>
      <c r="G108" s="1186"/>
      <c r="H108" s="1186"/>
      <c r="I108" s="1186"/>
      <c r="J108" s="1186"/>
      <c r="K108" s="1186"/>
      <c r="L108" s="1186"/>
      <c r="M108" s="1186"/>
      <c r="N108" s="1186"/>
      <c r="O108" s="1186"/>
      <c r="P108" s="1186"/>
    </row>
    <row r="109" spans="2:16" s="223" customFormat="1" x14ac:dyDescent="0.25">
      <c r="B109" s="1185"/>
      <c r="C109" s="1185"/>
      <c r="D109" s="1186"/>
      <c r="E109" s="1186"/>
      <c r="F109" s="1186"/>
      <c r="G109" s="1186"/>
      <c r="H109" s="1186"/>
      <c r="I109" s="1186"/>
      <c r="J109" s="1186"/>
      <c r="K109" s="1186"/>
      <c r="L109" s="1186"/>
      <c r="M109" s="1186"/>
      <c r="N109" s="1186"/>
      <c r="O109" s="1186"/>
      <c r="P109" s="1186"/>
    </row>
    <row r="110" spans="2:16" s="223" customFormat="1" x14ac:dyDescent="0.25">
      <c r="B110" s="1185"/>
      <c r="C110" s="1185"/>
      <c r="D110" s="1186"/>
      <c r="E110" s="1186"/>
      <c r="F110" s="1186"/>
      <c r="G110" s="1186"/>
      <c r="H110" s="1186"/>
      <c r="I110" s="1186"/>
      <c r="J110" s="1186"/>
      <c r="K110" s="1186"/>
      <c r="L110" s="1186"/>
      <c r="M110" s="1186"/>
      <c r="N110" s="1186"/>
      <c r="O110" s="1186"/>
      <c r="P110" s="1186"/>
    </row>
    <row r="111" spans="2:16" s="223" customFormat="1" x14ac:dyDescent="0.25">
      <c r="B111" s="1185"/>
      <c r="C111" s="1185"/>
      <c r="D111" s="1186"/>
      <c r="E111" s="1186"/>
      <c r="F111" s="1186"/>
      <c r="G111" s="1186"/>
      <c r="H111" s="1186"/>
      <c r="I111" s="1186"/>
      <c r="J111" s="1186"/>
      <c r="K111" s="1186"/>
      <c r="L111" s="1186"/>
      <c r="M111" s="1186"/>
      <c r="N111" s="1186"/>
      <c r="O111" s="1186"/>
      <c r="P111" s="1186"/>
    </row>
    <row r="112" spans="2:16" s="223" customFormat="1" x14ac:dyDescent="0.25">
      <c r="B112" s="1185"/>
      <c r="C112" s="1185"/>
      <c r="D112" s="1186"/>
      <c r="E112" s="1186"/>
      <c r="F112" s="1186"/>
      <c r="G112" s="1186"/>
      <c r="H112" s="1186"/>
      <c r="I112" s="1186"/>
      <c r="J112" s="1186"/>
      <c r="K112" s="1186"/>
      <c r="L112" s="1186"/>
      <c r="M112" s="1186"/>
      <c r="N112" s="1186"/>
      <c r="O112" s="1186"/>
      <c r="P112" s="1186"/>
    </row>
    <row r="113" spans="2:16" s="223" customFormat="1" x14ac:dyDescent="0.25">
      <c r="B113" s="1185"/>
      <c r="C113" s="1185"/>
      <c r="D113" s="1186"/>
      <c r="E113" s="1186"/>
      <c r="F113" s="1186"/>
      <c r="G113" s="1186"/>
      <c r="H113" s="1186"/>
      <c r="I113" s="1186"/>
      <c r="J113" s="1186"/>
      <c r="K113" s="1186"/>
      <c r="L113" s="1186"/>
      <c r="M113" s="1186"/>
      <c r="N113" s="1186"/>
      <c r="O113" s="1186"/>
      <c r="P113" s="1186"/>
    </row>
    <row r="114" spans="2:16" s="223" customFormat="1" x14ac:dyDescent="0.25">
      <c r="B114" s="1185"/>
      <c r="C114" s="1185"/>
      <c r="D114" s="1186"/>
      <c r="E114" s="1186"/>
      <c r="F114" s="1186"/>
      <c r="G114" s="1186"/>
      <c r="H114" s="1186"/>
      <c r="I114" s="1186"/>
      <c r="J114" s="1186"/>
      <c r="K114" s="1186"/>
      <c r="L114" s="1186"/>
      <c r="M114" s="1186"/>
      <c r="N114" s="1186"/>
      <c r="O114" s="1186"/>
      <c r="P114" s="1186"/>
    </row>
    <row r="115" spans="2:16" s="223" customFormat="1" x14ac:dyDescent="0.25">
      <c r="B115" s="1185"/>
      <c r="C115" s="1185"/>
      <c r="D115" s="1186"/>
      <c r="E115" s="1186"/>
      <c r="F115" s="1186"/>
      <c r="G115" s="1186"/>
      <c r="H115" s="1186"/>
      <c r="I115" s="1186"/>
      <c r="J115" s="1186"/>
      <c r="K115" s="1186"/>
      <c r="L115" s="1186"/>
      <c r="M115" s="1186"/>
      <c r="N115" s="1186"/>
      <c r="O115" s="1186"/>
      <c r="P115" s="1186"/>
    </row>
    <row r="116" spans="2:16" s="223" customFormat="1" x14ac:dyDescent="0.25">
      <c r="B116" s="1185"/>
      <c r="C116" s="1185"/>
      <c r="D116" s="1186"/>
      <c r="E116" s="1186"/>
      <c r="F116" s="1186"/>
      <c r="G116" s="1186"/>
      <c r="H116" s="1186"/>
      <c r="I116" s="1186"/>
      <c r="J116" s="1186"/>
      <c r="K116" s="1186"/>
      <c r="L116" s="1186"/>
      <c r="M116" s="1186"/>
      <c r="N116" s="1186"/>
      <c r="O116" s="1186"/>
      <c r="P116" s="1186"/>
    </row>
    <row r="117" spans="2:16" s="223" customFormat="1" x14ac:dyDescent="0.25">
      <c r="B117" s="1185"/>
      <c r="C117" s="1185"/>
      <c r="D117" s="1186"/>
      <c r="E117" s="1186"/>
      <c r="F117" s="1186"/>
      <c r="G117" s="1186"/>
      <c r="H117" s="1186"/>
      <c r="I117" s="1186"/>
      <c r="J117" s="1186"/>
      <c r="K117" s="1186"/>
      <c r="L117" s="1186"/>
      <c r="M117" s="1186"/>
      <c r="N117" s="1186"/>
      <c r="O117" s="1186"/>
      <c r="P117" s="1186"/>
    </row>
    <row r="118" spans="2:16" s="223" customFormat="1" x14ac:dyDescent="0.25">
      <c r="B118" s="1185"/>
      <c r="C118" s="1185"/>
      <c r="D118" s="1186"/>
      <c r="E118" s="1186"/>
      <c r="F118" s="1186"/>
      <c r="G118" s="1186"/>
      <c r="H118" s="1186"/>
      <c r="I118" s="1186"/>
      <c r="J118" s="1186"/>
      <c r="K118" s="1186"/>
      <c r="L118" s="1186"/>
      <c r="M118" s="1186"/>
      <c r="N118" s="1186"/>
      <c r="O118" s="1186"/>
      <c r="P118" s="1186"/>
    </row>
    <row r="119" spans="2:16" s="223" customFormat="1" x14ac:dyDescent="0.25">
      <c r="B119" s="1185"/>
      <c r="C119" s="1185"/>
      <c r="D119" s="1186"/>
      <c r="E119" s="1186"/>
      <c r="F119" s="1186"/>
      <c r="G119" s="1186"/>
      <c r="H119" s="1186"/>
      <c r="I119" s="1186"/>
      <c r="J119" s="1186"/>
      <c r="K119" s="1186"/>
      <c r="L119" s="1186"/>
      <c r="M119" s="1186"/>
      <c r="N119" s="1186"/>
      <c r="O119" s="1186"/>
      <c r="P119" s="1186"/>
    </row>
    <row r="120" spans="2:16" s="223" customFormat="1" x14ac:dyDescent="0.25">
      <c r="B120" s="1185"/>
      <c r="C120" s="1185"/>
      <c r="D120" s="1186"/>
      <c r="E120" s="1186"/>
      <c r="F120" s="1186"/>
      <c r="G120" s="1186"/>
      <c r="H120" s="1186"/>
      <c r="I120" s="1186"/>
      <c r="J120" s="1186"/>
      <c r="K120" s="1186"/>
      <c r="L120" s="1186"/>
      <c r="M120" s="1186"/>
      <c r="N120" s="1186"/>
      <c r="O120" s="1186"/>
      <c r="P120" s="1186"/>
    </row>
    <row r="121" spans="2:16" s="223" customFormat="1" x14ac:dyDescent="0.25">
      <c r="B121" s="1185"/>
      <c r="C121" s="1185"/>
      <c r="D121" s="1186"/>
      <c r="E121" s="1186"/>
      <c r="F121" s="1186"/>
      <c r="G121" s="1186"/>
      <c r="H121" s="1186"/>
      <c r="I121" s="1186"/>
      <c r="J121" s="1186"/>
      <c r="K121" s="1186"/>
      <c r="L121" s="1186"/>
      <c r="M121" s="1186"/>
      <c r="N121" s="1186"/>
      <c r="O121" s="1186"/>
      <c r="P121" s="1186"/>
    </row>
    <row r="122" spans="2:16" s="223" customFormat="1" x14ac:dyDescent="0.25">
      <c r="B122" s="1185"/>
      <c r="C122" s="1185"/>
      <c r="D122" s="1186"/>
      <c r="E122" s="1186"/>
      <c r="F122" s="1186"/>
      <c r="G122" s="1186"/>
      <c r="H122" s="1186"/>
      <c r="I122" s="1186"/>
      <c r="J122" s="1186"/>
      <c r="K122" s="1186"/>
      <c r="L122" s="1186"/>
      <c r="M122" s="1186"/>
      <c r="N122" s="1186"/>
      <c r="O122" s="1186"/>
      <c r="P122" s="1186"/>
    </row>
    <row r="123" spans="2:16" s="223" customFormat="1" x14ac:dyDescent="0.25">
      <c r="B123" s="1185"/>
      <c r="C123" s="1185"/>
      <c r="D123" s="1186"/>
      <c r="E123" s="1186"/>
      <c r="F123" s="1186"/>
      <c r="G123" s="1186"/>
      <c r="H123" s="1186"/>
      <c r="I123" s="1186"/>
      <c r="J123" s="1186"/>
      <c r="K123" s="1186"/>
      <c r="L123" s="1186"/>
      <c r="M123" s="1186"/>
      <c r="N123" s="1186"/>
      <c r="O123" s="1186"/>
      <c r="P123" s="1186"/>
    </row>
    <row r="124" spans="2:16" s="223" customFormat="1" x14ac:dyDescent="0.25">
      <c r="B124" s="1185"/>
      <c r="C124" s="1185"/>
      <c r="D124" s="1186"/>
      <c r="E124" s="1186"/>
      <c r="F124" s="1186"/>
      <c r="G124" s="1186"/>
      <c r="H124" s="1186"/>
      <c r="I124" s="1186"/>
      <c r="J124" s="1186"/>
      <c r="K124" s="1186"/>
      <c r="L124" s="1186"/>
      <c r="M124" s="1186"/>
      <c r="N124" s="1186"/>
      <c r="O124" s="1186"/>
      <c r="P124" s="1186"/>
    </row>
    <row r="125" spans="2:16" s="223" customFormat="1" x14ac:dyDescent="0.25">
      <c r="B125" s="1185"/>
      <c r="C125" s="1185"/>
      <c r="D125" s="1186"/>
      <c r="E125" s="1186"/>
      <c r="F125" s="1186"/>
      <c r="G125" s="1186"/>
      <c r="H125" s="1186"/>
      <c r="I125" s="1186"/>
      <c r="J125" s="1186"/>
      <c r="K125" s="1186"/>
      <c r="L125" s="1186"/>
      <c r="M125" s="1186"/>
      <c r="N125" s="1186"/>
      <c r="O125" s="1186"/>
      <c r="P125" s="1186"/>
    </row>
    <row r="126" spans="2:16" s="223" customFormat="1" x14ac:dyDescent="0.25">
      <c r="B126" s="1185"/>
      <c r="C126" s="1185"/>
      <c r="D126" s="1186"/>
      <c r="E126" s="1186"/>
      <c r="F126" s="1186"/>
      <c r="G126" s="1186"/>
      <c r="H126" s="1186"/>
      <c r="I126" s="1186"/>
      <c r="J126" s="1186"/>
      <c r="K126" s="1186"/>
      <c r="L126" s="1186"/>
      <c r="M126" s="1186"/>
      <c r="N126" s="1186"/>
      <c r="O126" s="1186"/>
      <c r="P126" s="1186"/>
    </row>
    <row r="127" spans="2:16" s="223" customFormat="1" x14ac:dyDescent="0.25">
      <c r="B127" s="1185"/>
      <c r="C127" s="1185"/>
      <c r="D127" s="1186"/>
      <c r="E127" s="1186"/>
      <c r="F127" s="1186"/>
      <c r="G127" s="1186"/>
      <c r="H127" s="1186"/>
      <c r="I127" s="1186"/>
      <c r="J127" s="1186"/>
      <c r="K127" s="1186"/>
      <c r="L127" s="1186"/>
      <c r="M127" s="1186"/>
      <c r="N127" s="1186"/>
      <c r="O127" s="1186"/>
      <c r="P127" s="1186"/>
    </row>
    <row r="128" spans="2:16" s="223" customFormat="1" x14ac:dyDescent="0.25">
      <c r="B128" s="1185"/>
      <c r="C128" s="1185"/>
      <c r="D128" s="1186"/>
      <c r="E128" s="1186"/>
      <c r="F128" s="1186"/>
      <c r="G128" s="1186"/>
      <c r="H128" s="1186"/>
      <c r="I128" s="1186"/>
      <c r="J128" s="1186"/>
      <c r="K128" s="1186"/>
      <c r="L128" s="1186"/>
      <c r="M128" s="1186"/>
      <c r="N128" s="1186"/>
      <c r="O128" s="1186"/>
      <c r="P128" s="1186"/>
    </row>
    <row r="129" spans="2:16" s="223" customFormat="1" x14ac:dyDescent="0.25">
      <c r="B129" s="1185"/>
      <c r="C129" s="1185"/>
      <c r="D129" s="1186"/>
      <c r="E129" s="1186"/>
      <c r="F129" s="1186"/>
      <c r="G129" s="1186"/>
      <c r="H129" s="1186"/>
      <c r="I129" s="1186"/>
      <c r="J129" s="1186"/>
      <c r="K129" s="1186"/>
      <c r="L129" s="1186"/>
      <c r="M129" s="1186"/>
      <c r="N129" s="1186"/>
      <c r="O129" s="1186"/>
      <c r="P129" s="1186"/>
    </row>
    <row r="130" spans="2:16" s="223" customFormat="1" x14ac:dyDescent="0.25">
      <c r="B130" s="1185"/>
      <c r="C130" s="1185"/>
      <c r="D130" s="1186"/>
      <c r="E130" s="1186"/>
      <c r="F130" s="1186"/>
      <c r="G130" s="1186"/>
      <c r="H130" s="1186"/>
      <c r="I130" s="1186"/>
      <c r="J130" s="1186"/>
      <c r="K130" s="1186"/>
      <c r="L130" s="1186"/>
      <c r="M130" s="1186"/>
      <c r="N130" s="1186"/>
      <c r="O130" s="1186"/>
      <c r="P130" s="1186"/>
    </row>
    <row r="131" spans="2:16" s="223" customFormat="1" x14ac:dyDescent="0.25">
      <c r="B131" s="1185"/>
      <c r="C131" s="1185"/>
      <c r="D131" s="1186"/>
      <c r="E131" s="1186"/>
      <c r="F131" s="1186"/>
      <c r="G131" s="1186"/>
      <c r="H131" s="1186"/>
      <c r="I131" s="1186"/>
      <c r="J131" s="1186"/>
      <c r="K131" s="1186"/>
      <c r="L131" s="1186"/>
      <c r="M131" s="1186"/>
      <c r="N131" s="1186"/>
      <c r="O131" s="1186"/>
      <c r="P131" s="1186"/>
    </row>
    <row r="132" spans="2:16" s="223" customFormat="1" x14ac:dyDescent="0.25">
      <c r="B132" s="1185"/>
      <c r="C132" s="1185"/>
      <c r="D132" s="1186"/>
      <c r="E132" s="1186"/>
      <c r="F132" s="1186"/>
      <c r="G132" s="1186"/>
      <c r="H132" s="1186"/>
      <c r="I132" s="1186"/>
      <c r="J132" s="1186"/>
      <c r="K132" s="1186"/>
      <c r="L132" s="1186"/>
      <c r="M132" s="1186"/>
      <c r="N132" s="1186"/>
      <c r="O132" s="1186"/>
      <c r="P132" s="1186"/>
    </row>
    <row r="133" spans="2:16" s="223" customFormat="1" x14ac:dyDescent="0.25">
      <c r="B133" s="1185"/>
      <c r="C133" s="1185"/>
      <c r="D133" s="1186"/>
      <c r="E133" s="1186"/>
      <c r="F133" s="1186"/>
      <c r="G133" s="1186"/>
      <c r="H133" s="1186"/>
      <c r="I133" s="1186"/>
      <c r="J133" s="1186"/>
      <c r="K133" s="1186"/>
      <c r="L133" s="1186"/>
      <c r="M133" s="1186"/>
      <c r="N133" s="1186"/>
      <c r="O133" s="1186"/>
      <c r="P133" s="1186"/>
    </row>
    <row r="135" spans="2:16" x14ac:dyDescent="0.25">
      <c r="B135" s="1194" t="s">
        <v>926</v>
      </c>
      <c r="D135" s="405"/>
      <c r="E135" s="405"/>
      <c r="F135" s="405"/>
      <c r="G135" s="405"/>
      <c r="H135" s="405"/>
      <c r="I135" s="405"/>
      <c r="J135" s="405"/>
      <c r="K135" s="405"/>
      <c r="L135" s="405"/>
      <c r="M135" s="405"/>
      <c r="N135" s="405"/>
      <c r="O135" s="405"/>
      <c r="P135" s="405"/>
    </row>
    <row r="136" spans="2:16" x14ac:dyDescent="0.25">
      <c r="B136" s="1195" t="s">
        <v>918</v>
      </c>
    </row>
    <row r="137" spans="2:16" x14ac:dyDescent="0.25">
      <c r="B137" s="1195" t="s">
        <v>431</v>
      </c>
    </row>
    <row r="138" spans="2:16" x14ac:dyDescent="0.25">
      <c r="B138" s="1195" t="s">
        <v>935</v>
      </c>
    </row>
    <row r="139" spans="2:16" x14ac:dyDescent="0.25">
      <c r="B139" s="1196"/>
    </row>
    <row r="140" spans="2:16" x14ac:dyDescent="0.25">
      <c r="B140" s="1197" t="s">
        <v>938</v>
      </c>
    </row>
    <row r="141" spans="2:16" x14ac:dyDescent="0.25">
      <c r="B141" s="1198" t="s">
        <v>939</v>
      </c>
    </row>
    <row r="142" spans="2:16" x14ac:dyDescent="0.25">
      <c r="B142" s="1195" t="s">
        <v>919</v>
      </c>
    </row>
    <row r="143" spans="2:16" x14ac:dyDescent="0.25">
      <c r="B143" s="1195" t="s">
        <v>940</v>
      </c>
    </row>
    <row r="144" spans="2:16" x14ac:dyDescent="0.25">
      <c r="B144" s="1195" t="s">
        <v>941</v>
      </c>
    </row>
    <row r="145" spans="2:2" x14ac:dyDescent="0.25">
      <c r="B145" s="1195" t="s">
        <v>942</v>
      </c>
    </row>
    <row r="146" spans="2:2" x14ac:dyDescent="0.25">
      <c r="B146" s="1195" t="s">
        <v>943</v>
      </c>
    </row>
    <row r="147" spans="2:2" x14ac:dyDescent="0.25">
      <c r="B147" s="1195" t="s">
        <v>1063</v>
      </c>
    </row>
    <row r="148" spans="2:2" x14ac:dyDescent="0.25">
      <c r="B148" s="1195" t="s">
        <v>921</v>
      </c>
    </row>
    <row r="149" spans="2:2" x14ac:dyDescent="0.25">
      <c r="B149" s="1195" t="s">
        <v>922</v>
      </c>
    </row>
    <row r="150" spans="2:2" x14ac:dyDescent="0.25">
      <c r="B150" s="1199" t="s">
        <v>944</v>
      </c>
    </row>
    <row r="151" spans="2:2" x14ac:dyDescent="0.25">
      <c r="B151" s="1199" t="s">
        <v>945</v>
      </c>
    </row>
    <row r="152" spans="2:2" x14ac:dyDescent="0.25">
      <c r="B152" s="1200"/>
    </row>
    <row r="153" spans="2:2" x14ac:dyDescent="0.25">
      <c r="B153" s="1197" t="s">
        <v>1060</v>
      </c>
    </row>
    <row r="154" spans="2:2" x14ac:dyDescent="0.25">
      <c r="B154" s="1195" t="s">
        <v>1246</v>
      </c>
    </row>
    <row r="155" spans="2:2" x14ac:dyDescent="0.25">
      <c r="B155" s="1195" t="s">
        <v>1241</v>
      </c>
    </row>
    <row r="156" spans="2:2" x14ac:dyDescent="0.25">
      <c r="B156" s="1195" t="s">
        <v>1249</v>
      </c>
    </row>
    <row r="157" spans="2:2" x14ac:dyDescent="0.25">
      <c r="B157" s="1195" t="s">
        <v>11</v>
      </c>
    </row>
    <row r="158" spans="2:2" x14ac:dyDescent="0.25">
      <c r="B158" s="1195" t="s">
        <v>986</v>
      </c>
    </row>
    <row r="159" spans="2:2" x14ac:dyDescent="0.25">
      <c r="B159" s="1195" t="s">
        <v>1260</v>
      </c>
    </row>
    <row r="160" spans="2:2" x14ac:dyDescent="0.25">
      <c r="B160" s="1195" t="s">
        <v>1270</v>
      </c>
    </row>
    <row r="161" spans="2:2" x14ac:dyDescent="0.25">
      <c r="B161" s="1195" t="s">
        <v>990</v>
      </c>
    </row>
    <row r="162" spans="2:2" x14ac:dyDescent="0.25">
      <c r="B162" s="1195" t="s">
        <v>1280</v>
      </c>
    </row>
    <row r="163" spans="2:2" x14ac:dyDescent="0.25">
      <c r="B163" s="1199" t="s">
        <v>991</v>
      </c>
    </row>
  </sheetData>
  <dataValidations count="3">
    <dataValidation type="list" allowBlank="1" showInputMessage="1" showErrorMessage="1" sqref="B36:B48 B64:B79 B50:B62">
      <formula1>$B$154:$B$163</formula1>
    </dataValidation>
    <dataValidation type="list" allowBlank="1" showInputMessage="1" showErrorMessage="1" sqref="B16:B31">
      <formula1>$B$141:$B$151</formula1>
    </dataValidation>
    <dataValidation type="list" allowBlank="1" showInputMessage="1" showErrorMessage="1" sqref="B7:B11">
      <formula1>$B$136:$B$138</formula1>
    </dataValidation>
  </dataValidations>
  <pageMargins left="0.7" right="0.7" top="0.75" bottom="0.75" header="0.3" footer="0.3"/>
  <pageSetup orientation="portrait" horizontalDpi="4294967292" verticalDpi="4294967292"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V64"/>
  <sheetViews>
    <sheetView zoomScale="70" zoomScaleNormal="70" workbookViewId="0">
      <pane xSplit="2" ySplit="4" topLeftCell="N8" activePane="bottomRight" state="frozen"/>
      <selection activeCell="C39" sqref="C39"/>
      <selection pane="topRight" activeCell="C39" sqref="C39"/>
      <selection pane="bottomLeft" activeCell="C39" sqref="C39"/>
      <selection pane="bottomRight" activeCell="AK14" sqref="AK14"/>
    </sheetView>
  </sheetViews>
  <sheetFormatPr defaultColWidth="9.140625" defaultRowHeight="15" outlineLevelCol="1" x14ac:dyDescent="0.25"/>
  <cols>
    <col min="1" max="1" width="2" style="570" customWidth="1"/>
    <col min="2" max="2" width="27.42578125" style="570" bestFit="1" customWidth="1"/>
    <col min="3" max="3" width="12.7109375" style="570" customWidth="1"/>
    <col min="4" max="7" width="12.7109375" style="570" hidden="1" customWidth="1" outlineLevel="1"/>
    <col min="8" max="12" width="16.42578125" style="570" hidden="1" customWidth="1" outlineLevel="1"/>
    <col min="13" max="13" width="19.28515625" style="570" hidden="1" customWidth="1" outlineLevel="1"/>
    <col min="14" max="14" width="16.42578125" style="570" customWidth="1" collapsed="1"/>
    <col min="15" max="15" width="12.7109375" style="570" bestFit="1" customWidth="1"/>
    <col min="16" max="18" width="12.7109375" style="570" hidden="1" customWidth="1" outlineLevel="1"/>
    <col min="19" max="19" width="12.140625" style="570" hidden="1" customWidth="1" outlineLevel="1"/>
    <col min="20" max="23" width="12.28515625" style="570" hidden="1" customWidth="1" outlineLevel="1"/>
    <col min="24" max="24" width="14" style="570" hidden="1" customWidth="1" outlineLevel="1"/>
    <col min="25" max="25" width="14.42578125" style="570" hidden="1" customWidth="1" outlineLevel="1"/>
    <col min="26" max="26" width="14.42578125" style="570" bestFit="1" customWidth="1" collapsed="1"/>
    <col min="27" max="27" width="14" style="570" bestFit="1" customWidth="1"/>
    <col min="28" max="37" width="14.85546875" style="570" bestFit="1" customWidth="1" outlineLevel="1"/>
    <col min="38" max="38" width="14.85546875" style="570" bestFit="1" customWidth="1"/>
    <col min="39" max="39" width="13.28515625" style="570" customWidth="1"/>
    <col min="40" max="47" width="10.7109375" style="570" customWidth="1" outlineLevel="1"/>
    <col min="48" max="49" width="11.85546875" style="570" customWidth="1" outlineLevel="1"/>
    <col min="50" max="50" width="11.85546875" style="570" customWidth="1"/>
    <col min="51" max="51" width="10.7109375" style="570" bestFit="1" customWidth="1"/>
    <col min="52" max="57" width="10.7109375" style="570" hidden="1" customWidth="1" outlineLevel="1"/>
    <col min="58" max="61" width="13.28515625" style="570" hidden="1" customWidth="1" outlineLevel="1"/>
    <col min="62" max="62" width="13.28515625" style="570" bestFit="1" customWidth="1" collapsed="1"/>
    <col min="63" max="63" width="13" style="570" bestFit="1" customWidth="1"/>
    <col min="64" max="73" width="13" style="570" hidden="1" customWidth="1" outlineLevel="1"/>
    <col min="74" max="74" width="13" style="570" bestFit="1" customWidth="1" collapsed="1"/>
    <col min="75" max="16384" width="9.140625" style="570"/>
  </cols>
  <sheetData>
    <row r="2" spans="2:74" x14ac:dyDescent="0.25">
      <c r="B2" s="636" t="s">
        <v>1059</v>
      </c>
      <c r="C2" s="636"/>
      <c r="D2" s="636"/>
      <c r="E2" s="636"/>
      <c r="F2" s="636"/>
      <c r="G2" s="636"/>
      <c r="H2" s="636"/>
      <c r="I2" s="636"/>
      <c r="J2" s="636"/>
      <c r="K2" s="636"/>
      <c r="L2" s="636"/>
      <c r="M2" s="636"/>
      <c r="N2" s="636"/>
    </row>
    <row r="3" spans="2:74" x14ac:dyDescent="0.25">
      <c r="B3" s="771" t="s">
        <v>924</v>
      </c>
      <c r="C3" s="1140">
        <v>40939</v>
      </c>
      <c r="D3" s="1140">
        <v>40968</v>
      </c>
      <c r="E3" s="1140">
        <v>40999</v>
      </c>
      <c r="F3" s="1140">
        <v>41029</v>
      </c>
      <c r="G3" s="1140">
        <v>41060</v>
      </c>
      <c r="H3" s="1140">
        <v>41090</v>
      </c>
      <c r="I3" s="1140">
        <v>41121</v>
      </c>
      <c r="J3" s="1140">
        <v>41152</v>
      </c>
      <c r="K3" s="1140">
        <v>41182</v>
      </c>
      <c r="L3" s="1140">
        <v>41213</v>
      </c>
      <c r="M3" s="1140">
        <v>41243</v>
      </c>
      <c r="N3" s="1140">
        <v>41274</v>
      </c>
      <c r="O3" s="1140">
        <v>41305</v>
      </c>
      <c r="P3" s="1140">
        <v>41333</v>
      </c>
      <c r="Q3" s="1140">
        <v>41364</v>
      </c>
      <c r="R3" s="1140">
        <v>41394</v>
      </c>
      <c r="S3" s="1140">
        <v>41425</v>
      </c>
      <c r="T3" s="1140">
        <v>41455</v>
      </c>
      <c r="U3" s="1140">
        <v>41486</v>
      </c>
      <c r="V3" s="1140">
        <v>41517</v>
      </c>
      <c r="W3" s="1140">
        <v>41547</v>
      </c>
      <c r="X3" s="1140">
        <v>41578</v>
      </c>
      <c r="Y3" s="1140">
        <v>41608</v>
      </c>
      <c r="Z3" s="1140">
        <v>41639</v>
      </c>
      <c r="AA3" s="1140">
        <v>41670</v>
      </c>
      <c r="AB3" s="1140">
        <v>41698</v>
      </c>
      <c r="AC3" s="1140">
        <v>41729</v>
      </c>
      <c r="AD3" s="1140">
        <v>41759</v>
      </c>
      <c r="AE3" s="1140">
        <v>41790</v>
      </c>
      <c r="AF3" s="1140">
        <v>41820</v>
      </c>
      <c r="AG3" s="1140">
        <v>41851</v>
      </c>
      <c r="AH3" s="1140">
        <v>41882</v>
      </c>
      <c r="AI3" s="1140">
        <v>41912</v>
      </c>
      <c r="AJ3" s="1140">
        <v>41943</v>
      </c>
      <c r="AK3" s="1140">
        <v>41973</v>
      </c>
      <c r="AL3" s="1140">
        <v>42004</v>
      </c>
      <c r="AM3" s="1140">
        <v>42035</v>
      </c>
      <c r="AN3" s="1140">
        <v>42063</v>
      </c>
      <c r="AO3" s="1140">
        <v>42094</v>
      </c>
      <c r="AP3" s="1140">
        <v>42124</v>
      </c>
      <c r="AQ3" s="1140">
        <v>42155</v>
      </c>
      <c r="AR3" s="1140">
        <v>42185</v>
      </c>
      <c r="AS3" s="1140">
        <v>42216</v>
      </c>
      <c r="AT3" s="1140">
        <v>42247</v>
      </c>
      <c r="AU3" s="1140">
        <v>42277</v>
      </c>
      <c r="AV3" s="1140">
        <v>42308</v>
      </c>
      <c r="AW3" s="1140">
        <v>42338</v>
      </c>
      <c r="AX3" s="1140">
        <v>42369</v>
      </c>
      <c r="AY3" s="1140">
        <v>42400</v>
      </c>
      <c r="AZ3" s="1140">
        <v>42429</v>
      </c>
      <c r="BA3" s="1140">
        <v>42460</v>
      </c>
      <c r="BB3" s="1140">
        <v>42490</v>
      </c>
      <c r="BC3" s="1140">
        <v>42521</v>
      </c>
      <c r="BD3" s="1140">
        <v>42551</v>
      </c>
      <c r="BE3" s="1140">
        <v>42582</v>
      </c>
      <c r="BF3" s="1140">
        <v>42613</v>
      </c>
      <c r="BG3" s="1140">
        <v>42643</v>
      </c>
      <c r="BH3" s="1140">
        <v>42674</v>
      </c>
      <c r="BI3" s="1140">
        <v>42704</v>
      </c>
      <c r="BJ3" s="1140">
        <v>42735</v>
      </c>
      <c r="BK3" s="1140">
        <v>42766</v>
      </c>
      <c r="BL3" s="1140">
        <v>42794</v>
      </c>
      <c r="BM3" s="1140">
        <v>42825</v>
      </c>
      <c r="BN3" s="1140">
        <v>42855</v>
      </c>
      <c r="BO3" s="1140">
        <v>42886</v>
      </c>
      <c r="BP3" s="1140">
        <v>42916</v>
      </c>
      <c r="BQ3" s="1140">
        <v>42947</v>
      </c>
      <c r="BR3" s="1140">
        <v>42978</v>
      </c>
      <c r="BS3" s="1140">
        <v>43008</v>
      </c>
      <c r="BT3" s="1140">
        <v>43039</v>
      </c>
      <c r="BU3" s="1140">
        <v>43069</v>
      </c>
      <c r="BV3" s="773">
        <v>43100</v>
      </c>
    </row>
    <row r="4" spans="2:74" x14ac:dyDescent="0.25">
      <c r="B4" s="774" t="s">
        <v>925</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4" t="str">
        <f>IF(AA3&lt;=Headcount!$U$3,"Actual","Forecast")</f>
        <v>Actual</v>
      </c>
      <c r="AB4" s="4" t="str">
        <f>IF(AB3&lt;=Headcount!$U$3,"Actual","Forecast")</f>
        <v>Actual</v>
      </c>
      <c r="AC4" s="4" t="str">
        <f>IF(AC3&lt;=Headcount!$U$3,"Actual","Forecast")</f>
        <v>Actual</v>
      </c>
      <c r="AD4" s="4" t="str">
        <f>IF(AD3&lt;=Headcount!$U$3,"Actual","Forecast")</f>
        <v>Forecast</v>
      </c>
      <c r="AE4" s="4" t="str">
        <f>IF(AE3&lt;=Headcount!$U$3,"Actual","Forecast")</f>
        <v>Forecast</v>
      </c>
      <c r="AF4" s="4" t="str">
        <f>IF(AF3&lt;=Headcount!$U$3,"Actual","Forecast")</f>
        <v>Forecast</v>
      </c>
      <c r="AG4" s="4" t="str">
        <f>IF(AG3&lt;=Headcount!$U$3,"Actual","Forecast")</f>
        <v>Forecast</v>
      </c>
      <c r="AH4" s="4" t="str">
        <f>IF(AH3&lt;=Headcount!$U$3,"Actual","Forecast")</f>
        <v>Forecast</v>
      </c>
      <c r="AI4" s="4" t="str">
        <f>IF(AI3&lt;=Headcount!$U$3,"Actual","Forecast")</f>
        <v>Forecast</v>
      </c>
      <c r="AJ4" s="4" t="str">
        <f>IF(AJ3&lt;=Headcount!$U$3,"Actual","Forecast")</f>
        <v>Forecast</v>
      </c>
      <c r="AK4" s="4" t="str">
        <f>IF(AK3&lt;=Headcount!$U$3,"Actual","Forecast")</f>
        <v>Forecast</v>
      </c>
      <c r="AL4" s="4" t="str">
        <f>IF(AL3&lt;=Headcount!$U$3,"Actual","Forecast")</f>
        <v>Forecast</v>
      </c>
      <c r="AM4" s="4" t="str">
        <f>IF(AM3&lt;=Headcount!$U$3,"Actual","Forecast")</f>
        <v>Forecast</v>
      </c>
      <c r="AN4" s="4" t="str">
        <f>IF(AN3&lt;=Headcount!$U$3,"Actual","Forecast")</f>
        <v>Forecast</v>
      </c>
      <c r="AO4" s="4" t="str">
        <f>IF(AO3&lt;=Headcount!$U$3,"Actual","Forecast")</f>
        <v>Forecast</v>
      </c>
      <c r="AP4" s="4" t="str">
        <f>IF(AP3&lt;=Headcount!$U$3,"Actual","Forecast")</f>
        <v>Forecast</v>
      </c>
      <c r="AQ4" s="4" t="str">
        <f>IF(AQ3&lt;=Headcount!$U$3,"Actual","Forecast")</f>
        <v>Forecast</v>
      </c>
      <c r="AR4" s="4" t="str">
        <f>IF(AR3&lt;=Headcount!$U$3,"Actual","Forecast")</f>
        <v>Forecast</v>
      </c>
      <c r="AS4" s="4" t="str">
        <f>IF(AS3&lt;=Headcount!$U$3,"Actual","Forecast")</f>
        <v>Forecast</v>
      </c>
      <c r="AT4" s="4" t="str">
        <f>IF(AT3&lt;=Headcount!$U$3,"Actual","Forecast")</f>
        <v>Forecast</v>
      </c>
      <c r="AU4" s="4" t="str">
        <f>IF(AU3&lt;=Headcount!$U$3,"Actual","Forecast")</f>
        <v>Forecast</v>
      </c>
      <c r="AV4" s="4" t="str">
        <f>IF(AV3&lt;=Headcount!$U$3,"Actual","Forecast")</f>
        <v>Forecast</v>
      </c>
      <c r="AW4" s="4" t="str">
        <f>IF(AW3&lt;=Headcount!$U$3,"Actual","Forecast")</f>
        <v>Forecast</v>
      </c>
      <c r="AX4" s="4" t="str">
        <f>IF(AX3&lt;=Headcount!$U$3,"Actual","Forecast")</f>
        <v>Forecast</v>
      </c>
      <c r="AY4" s="4" t="str">
        <f>IF(AY3&lt;=Headcount!$U$3,"Actual","Forecast")</f>
        <v>Forecast</v>
      </c>
      <c r="AZ4" s="4" t="str">
        <f>IF(AZ3&lt;=Headcount!$U$3,"Actual","Forecast")</f>
        <v>Forecast</v>
      </c>
      <c r="BA4" s="4" t="str">
        <f>IF(BA3&lt;=Headcount!$U$3,"Actual","Forecast")</f>
        <v>Forecast</v>
      </c>
      <c r="BB4" s="4" t="str">
        <f>IF(BB3&lt;=Headcount!$U$3,"Actual","Forecast")</f>
        <v>Forecast</v>
      </c>
      <c r="BC4" s="4" t="str">
        <f>IF(BC3&lt;=Headcount!$U$3,"Actual","Forecast")</f>
        <v>Forecast</v>
      </c>
      <c r="BD4" s="4" t="str">
        <f>IF(BD3&lt;=Headcount!$U$3,"Actual","Forecast")</f>
        <v>Forecast</v>
      </c>
      <c r="BE4" s="4" t="str">
        <f>IF(BE3&lt;=Headcount!$U$3,"Actual","Forecast")</f>
        <v>Forecast</v>
      </c>
      <c r="BF4" s="4" t="str">
        <f>IF(BF3&lt;=Headcount!$U$3,"Actual","Forecast")</f>
        <v>Forecast</v>
      </c>
      <c r="BG4" s="4" t="str">
        <f>IF(BG3&lt;=Headcount!$U$3,"Actual","Forecast")</f>
        <v>Forecast</v>
      </c>
      <c r="BH4" s="4" t="str">
        <f>IF(BH3&lt;=Headcount!$U$3,"Actual","Forecast")</f>
        <v>Forecast</v>
      </c>
      <c r="BI4" s="4" t="str">
        <f>IF(BI3&lt;=Headcount!$U$3,"Actual","Forecast")</f>
        <v>Forecast</v>
      </c>
      <c r="BJ4" s="4" t="str">
        <f>IF(BJ3&lt;=Headcount!$U$3,"Actual","Forecast")</f>
        <v>Forecast</v>
      </c>
      <c r="BK4" s="4" t="str">
        <f>IF(BK3&lt;=Headcount!$U$3,"Actual","Forecast")</f>
        <v>Forecast</v>
      </c>
      <c r="BL4" s="4" t="str">
        <f>IF(BL3&lt;=Headcount!$U$3,"Actual","Forecast")</f>
        <v>Forecast</v>
      </c>
      <c r="BM4" s="4" t="str">
        <f>IF(BM3&lt;=Headcount!$U$3,"Actual","Forecast")</f>
        <v>Forecast</v>
      </c>
      <c r="BN4" s="4" t="str">
        <f>IF(BN3&lt;=Headcount!$U$3,"Actual","Forecast")</f>
        <v>Forecast</v>
      </c>
      <c r="BO4" s="4" t="str">
        <f>IF(BO3&lt;=Headcount!$U$3,"Actual","Forecast")</f>
        <v>Forecast</v>
      </c>
      <c r="BP4" s="4" t="str">
        <f>IF(BP3&lt;=Headcount!$U$3,"Actual","Forecast")</f>
        <v>Forecast</v>
      </c>
      <c r="BQ4" s="4" t="str">
        <f>IF(BQ3&lt;=Headcount!$U$3,"Actual","Forecast")</f>
        <v>Forecast</v>
      </c>
      <c r="BR4" s="4" t="str">
        <f>IF(BR3&lt;=Headcount!$U$3,"Actual","Forecast")</f>
        <v>Forecast</v>
      </c>
      <c r="BS4" s="4" t="str">
        <f>IF(BS3&lt;=Headcount!$U$3,"Actual","Forecast")</f>
        <v>Forecast</v>
      </c>
      <c r="BT4" s="4" t="str">
        <f>IF(BT3&lt;=Headcount!$U$3,"Actual","Forecast")</f>
        <v>Forecast</v>
      </c>
      <c r="BU4" s="4" t="str">
        <f>IF(BU3&lt;=Headcount!$U$3,"Actual","Forecast")</f>
        <v>Forecast</v>
      </c>
      <c r="BV4" s="1209" t="str">
        <f>IF(BV3&lt;=Headcount!$U$3,"Actual","Forecast")</f>
        <v>Forecast</v>
      </c>
    </row>
    <row r="5" spans="2:74" x14ac:dyDescent="0.25">
      <c r="B5" s="777" t="s">
        <v>67</v>
      </c>
      <c r="C5" s="778">
        <f t="shared" ref="C5:N5" si="0">MONTH(C3)</f>
        <v>1</v>
      </c>
      <c r="D5" s="778">
        <f t="shared" si="0"/>
        <v>2</v>
      </c>
      <c r="E5" s="778">
        <f t="shared" si="0"/>
        <v>3</v>
      </c>
      <c r="F5" s="778">
        <f t="shared" si="0"/>
        <v>4</v>
      </c>
      <c r="G5" s="778">
        <f t="shared" si="0"/>
        <v>5</v>
      </c>
      <c r="H5" s="778">
        <f t="shared" si="0"/>
        <v>6</v>
      </c>
      <c r="I5" s="778">
        <f t="shared" si="0"/>
        <v>7</v>
      </c>
      <c r="J5" s="778">
        <f t="shared" si="0"/>
        <v>8</v>
      </c>
      <c r="K5" s="778">
        <f t="shared" si="0"/>
        <v>9</v>
      </c>
      <c r="L5" s="778">
        <f t="shared" si="0"/>
        <v>10</v>
      </c>
      <c r="M5" s="778">
        <f t="shared" si="0"/>
        <v>11</v>
      </c>
      <c r="N5" s="778">
        <f t="shared" si="0"/>
        <v>12</v>
      </c>
      <c r="O5" s="778">
        <f>MONTH(O3)</f>
        <v>1</v>
      </c>
      <c r="P5" s="778">
        <f t="shared" ref="P5:BV5" si="1">MONTH(P3)</f>
        <v>2</v>
      </c>
      <c r="Q5" s="778">
        <f t="shared" si="1"/>
        <v>3</v>
      </c>
      <c r="R5" s="778">
        <f t="shared" si="1"/>
        <v>4</v>
      </c>
      <c r="S5" s="778">
        <f t="shared" si="1"/>
        <v>5</v>
      </c>
      <c r="T5" s="778">
        <f t="shared" si="1"/>
        <v>6</v>
      </c>
      <c r="U5" s="778">
        <f t="shared" si="1"/>
        <v>7</v>
      </c>
      <c r="V5" s="778">
        <f t="shared" si="1"/>
        <v>8</v>
      </c>
      <c r="W5" s="778">
        <f t="shared" si="1"/>
        <v>9</v>
      </c>
      <c r="X5" s="778">
        <f t="shared" si="1"/>
        <v>10</v>
      </c>
      <c r="Y5" s="778">
        <f t="shared" si="1"/>
        <v>11</v>
      </c>
      <c r="Z5" s="778">
        <f t="shared" si="1"/>
        <v>12</v>
      </c>
      <c r="AA5" s="778">
        <f t="shared" si="1"/>
        <v>1</v>
      </c>
      <c r="AB5" s="778">
        <f t="shared" si="1"/>
        <v>2</v>
      </c>
      <c r="AC5" s="778">
        <f t="shared" si="1"/>
        <v>3</v>
      </c>
      <c r="AD5" s="778">
        <f t="shared" si="1"/>
        <v>4</v>
      </c>
      <c r="AE5" s="778">
        <f t="shared" si="1"/>
        <v>5</v>
      </c>
      <c r="AF5" s="778">
        <f t="shared" si="1"/>
        <v>6</v>
      </c>
      <c r="AG5" s="778">
        <f t="shared" si="1"/>
        <v>7</v>
      </c>
      <c r="AH5" s="778">
        <f t="shared" si="1"/>
        <v>8</v>
      </c>
      <c r="AI5" s="778">
        <f t="shared" si="1"/>
        <v>9</v>
      </c>
      <c r="AJ5" s="778">
        <f t="shared" si="1"/>
        <v>10</v>
      </c>
      <c r="AK5" s="778">
        <f t="shared" si="1"/>
        <v>11</v>
      </c>
      <c r="AL5" s="778">
        <f t="shared" si="1"/>
        <v>12</v>
      </c>
      <c r="AM5" s="778">
        <f t="shared" si="1"/>
        <v>1</v>
      </c>
      <c r="AN5" s="778">
        <f t="shared" si="1"/>
        <v>2</v>
      </c>
      <c r="AO5" s="778">
        <f t="shared" si="1"/>
        <v>3</v>
      </c>
      <c r="AP5" s="778">
        <f t="shared" si="1"/>
        <v>4</v>
      </c>
      <c r="AQ5" s="778">
        <f t="shared" si="1"/>
        <v>5</v>
      </c>
      <c r="AR5" s="778">
        <f t="shared" si="1"/>
        <v>6</v>
      </c>
      <c r="AS5" s="778">
        <f t="shared" si="1"/>
        <v>7</v>
      </c>
      <c r="AT5" s="778">
        <f t="shared" si="1"/>
        <v>8</v>
      </c>
      <c r="AU5" s="778">
        <f t="shared" si="1"/>
        <v>9</v>
      </c>
      <c r="AV5" s="778">
        <f t="shared" si="1"/>
        <v>10</v>
      </c>
      <c r="AW5" s="778">
        <f t="shared" si="1"/>
        <v>11</v>
      </c>
      <c r="AX5" s="778">
        <f t="shared" si="1"/>
        <v>12</v>
      </c>
      <c r="AY5" s="778">
        <f t="shared" si="1"/>
        <v>1</v>
      </c>
      <c r="AZ5" s="778">
        <f t="shared" si="1"/>
        <v>2</v>
      </c>
      <c r="BA5" s="778">
        <f t="shared" si="1"/>
        <v>3</v>
      </c>
      <c r="BB5" s="778">
        <f t="shared" si="1"/>
        <v>4</v>
      </c>
      <c r="BC5" s="778">
        <f t="shared" si="1"/>
        <v>5</v>
      </c>
      <c r="BD5" s="778">
        <f t="shared" si="1"/>
        <v>6</v>
      </c>
      <c r="BE5" s="778">
        <f t="shared" si="1"/>
        <v>7</v>
      </c>
      <c r="BF5" s="778">
        <f t="shared" si="1"/>
        <v>8</v>
      </c>
      <c r="BG5" s="778">
        <f t="shared" si="1"/>
        <v>9</v>
      </c>
      <c r="BH5" s="778">
        <f t="shared" si="1"/>
        <v>10</v>
      </c>
      <c r="BI5" s="778">
        <f t="shared" si="1"/>
        <v>11</v>
      </c>
      <c r="BJ5" s="778">
        <f t="shared" si="1"/>
        <v>12</v>
      </c>
      <c r="BK5" s="778">
        <f t="shared" si="1"/>
        <v>1</v>
      </c>
      <c r="BL5" s="778">
        <f t="shared" si="1"/>
        <v>2</v>
      </c>
      <c r="BM5" s="778">
        <f t="shared" si="1"/>
        <v>3</v>
      </c>
      <c r="BN5" s="778">
        <f t="shared" si="1"/>
        <v>4</v>
      </c>
      <c r="BO5" s="778">
        <f t="shared" si="1"/>
        <v>5</v>
      </c>
      <c r="BP5" s="778">
        <f t="shared" si="1"/>
        <v>6</v>
      </c>
      <c r="BQ5" s="778">
        <f t="shared" si="1"/>
        <v>7</v>
      </c>
      <c r="BR5" s="778">
        <f t="shared" si="1"/>
        <v>8</v>
      </c>
      <c r="BS5" s="778">
        <f t="shared" si="1"/>
        <v>9</v>
      </c>
      <c r="BT5" s="778">
        <f t="shared" si="1"/>
        <v>10</v>
      </c>
      <c r="BU5" s="778">
        <f t="shared" si="1"/>
        <v>11</v>
      </c>
      <c r="BV5" s="779">
        <f t="shared" si="1"/>
        <v>12</v>
      </c>
    </row>
    <row r="6" spans="2:74" x14ac:dyDescent="0.25">
      <c r="B6" s="780"/>
      <c r="C6" s="781"/>
      <c r="D6" s="781"/>
      <c r="E6" s="781"/>
      <c r="F6" s="781"/>
      <c r="G6" s="781"/>
      <c r="H6" s="781"/>
      <c r="I6" s="781"/>
      <c r="J6" s="781"/>
      <c r="K6" s="781"/>
      <c r="L6" s="781"/>
      <c r="M6" s="781"/>
      <c r="N6" s="781"/>
      <c r="O6" s="781"/>
      <c r="P6" s="781"/>
      <c r="Q6" s="781"/>
      <c r="R6" s="781"/>
      <c r="S6" s="781"/>
      <c r="T6" s="781"/>
      <c r="U6" s="781"/>
      <c r="V6" s="781"/>
      <c r="W6" s="781"/>
      <c r="X6" s="781"/>
      <c r="Y6" s="781"/>
      <c r="Z6" s="781"/>
      <c r="AA6" s="781"/>
      <c r="AB6" s="781"/>
      <c r="AC6" s="781"/>
      <c r="AD6" s="781"/>
      <c r="AE6" s="781"/>
      <c r="AF6" s="781"/>
      <c r="AG6" s="781"/>
      <c r="AH6" s="781"/>
      <c r="AI6" s="781"/>
      <c r="AJ6" s="781"/>
      <c r="AK6" s="781"/>
      <c r="AL6" s="781"/>
      <c r="AM6" s="781"/>
      <c r="AN6" s="781"/>
      <c r="AO6" s="781"/>
      <c r="AP6" s="781"/>
      <c r="AQ6" s="781"/>
      <c r="AR6" s="781"/>
      <c r="AS6" s="781"/>
      <c r="AT6" s="781"/>
      <c r="AU6" s="781"/>
      <c r="AV6" s="781"/>
      <c r="AW6" s="781"/>
      <c r="AX6" s="781"/>
      <c r="AY6" s="781"/>
      <c r="AZ6" s="781"/>
      <c r="BA6" s="781"/>
      <c r="BB6" s="781"/>
      <c r="BC6" s="781"/>
      <c r="BD6" s="781"/>
      <c r="BE6" s="781"/>
      <c r="BF6" s="781"/>
      <c r="BG6" s="781"/>
      <c r="BH6" s="781"/>
      <c r="BI6" s="781"/>
      <c r="BJ6" s="781"/>
      <c r="BK6" s="781"/>
      <c r="BL6" s="781"/>
      <c r="BM6" s="781"/>
      <c r="BN6" s="781"/>
      <c r="BO6" s="781"/>
      <c r="BP6" s="781"/>
      <c r="BQ6" s="781"/>
      <c r="BR6" s="781"/>
      <c r="BS6" s="781"/>
      <c r="BT6" s="781"/>
      <c r="BU6" s="781"/>
      <c r="BV6" s="782"/>
    </row>
    <row r="7" spans="2:74" x14ac:dyDescent="0.25">
      <c r="B7" s="777" t="s">
        <v>13</v>
      </c>
      <c r="C7" s="781">
        <f>SUMIFS(Headcount!$B$6:$B$89,Headcount!$F$6:$F$89,"Marketing",Headcount!$H$6:$H$89,"&gt;"&amp;C3,Headcount!$G$6:$G$89,"&lt;"&amp;C3)</f>
        <v>4</v>
      </c>
      <c r="D7" s="782">
        <f>IF(D4="forecast",IF(C4="actual",(SUMIFS(Headcount!$B$6:$B$89,Headcount!$F$6:$F$89,"Marketing",Headcount!$H$6:$H$89,"&gt;"&amp;D3,Headcount!$G$6:$G$89,"&lt;"&amp;D3)+D8-D9),(C7+D8-D9)),SUMIFS(Headcount!$B$6:$B$89,Headcount!$F$6:$F$89,"Marketing",Headcount!$H$6:$H$89,"&gt;"&amp;D3,Headcount!$G$6:$G$89,"&lt;"&amp;C3))</f>
        <v>4</v>
      </c>
      <c r="E7" s="781">
        <f>IF(E4="forecast",IF(D4="actual",(SUMIFS(Headcount!$B$6:$B$89,Headcount!$F$6:$F$89,"Marketing",Headcount!$H$6:$H$89,"&gt;"&amp;E3,Headcount!$G$6:$G$89,"&lt;"&amp;E3)+E8-E9),(D7+E8-E9)),SUMIFS(Headcount!$B$6:$B$89,Headcount!$F$6:$F$89,"Marketing",Headcount!$H$6:$H$89,"&gt;"&amp;E3,Headcount!$G$6:$G$89,"&lt;"&amp;D3))</f>
        <v>4</v>
      </c>
      <c r="F7" s="781">
        <f>IF(F4="forecast",IF(E4="actual",(SUMIFS(Headcount!$B$6:$B$89,Headcount!$F$6:$F$89,"Marketing",Headcount!$H$6:$H$89,"&gt;"&amp;F3,Headcount!$G$6:$G$89,"&lt;"&amp;F3)+F8-F9),(E7+F8-F9)),SUMIFS(Headcount!$B$6:$B$89,Headcount!$F$6:$F$89,"Marketing",Headcount!$H$6:$H$89,"&gt;"&amp;F3,Headcount!$G$6:$G$89,"&lt;"&amp;E3))</f>
        <v>4</v>
      </c>
      <c r="G7" s="781">
        <f>IF(G4="forecast",IF(F4="actual",(SUMIFS(Headcount!$B$6:$B$89,Headcount!$F$6:$F$89,"Marketing",Headcount!$H$6:$H$89,"&gt;"&amp;G3,Headcount!$G$6:$G$89,"&lt;"&amp;G3)+G8-G9),(F7+G8-G9)),SUMIFS(Headcount!$B$6:$B$89,Headcount!$F$6:$F$89,"Marketing",Headcount!$H$6:$H$89,"&gt;"&amp;G3,Headcount!$G$6:$G$89,"&lt;"&amp;F3))</f>
        <v>4</v>
      </c>
      <c r="H7" s="781">
        <f>IF(H4="forecast",IF(G4="actual",(SUMIFS(Headcount!$B$6:$B$89,Headcount!$F$6:$F$89,"Marketing",Headcount!$H$6:$H$89,"&gt;"&amp;H3,Headcount!$G$6:$G$89,"&lt;"&amp;H3)+H8-H9),(G7+H8-H9)),SUMIFS(Headcount!$B$6:$B$89,Headcount!$F$6:$F$89,"Marketing",Headcount!$H$6:$H$89,"&gt;"&amp;H3,Headcount!$G$6:$G$89,"&lt;"&amp;G3))</f>
        <v>4</v>
      </c>
      <c r="I7" s="781">
        <f>IF(I4="forecast",IF(H4="actual",(SUMIFS(Headcount!$B$6:$B$89,Headcount!$F$6:$F$89,"Marketing",Headcount!$H$6:$H$89,"&gt;"&amp;I3,Headcount!$G$6:$G$89,"&lt;"&amp;I3)+I8-I9),(H7+I8-I9)),SUMIFS(Headcount!$B$6:$B$89,Headcount!$F$6:$F$89,"Marketing",Headcount!$H$6:$H$89,"&gt;"&amp;I3,Headcount!$G$6:$G$89,"&lt;"&amp;H3))</f>
        <v>4</v>
      </c>
      <c r="J7" s="781">
        <f>IF(J4="forecast",IF(I4="actual",(SUMIFS(Headcount!$B$6:$B$89,Headcount!$F$6:$F$89,"Marketing",Headcount!$H$6:$H$89,"&gt;"&amp;J3,Headcount!$G$6:$G$89,"&lt;"&amp;J3)+J8-J9),(I7+J8-J9)),SUMIFS(Headcount!$B$6:$B$89,Headcount!$F$6:$F$89,"Marketing",Headcount!$H$6:$H$89,"&gt;"&amp;J3,Headcount!$G$6:$G$89,"&lt;"&amp;I3))</f>
        <v>4</v>
      </c>
      <c r="K7" s="781">
        <f>IF(K4="forecast",IF(J4="actual",(SUMIFS(Headcount!$B$6:$B$89,Headcount!$F$6:$F$89,"Marketing",Headcount!$H$6:$H$89,"&gt;"&amp;K3,Headcount!$G$6:$G$89,"&lt;"&amp;K3)+K8-K9),(J7+K8-K9)),SUMIFS(Headcount!$B$6:$B$89,Headcount!$F$6:$F$89,"Marketing",Headcount!$H$6:$H$89,"&gt;"&amp;K3,Headcount!$G$6:$G$89,"&lt;"&amp;J3))</f>
        <v>4</v>
      </c>
      <c r="L7" s="781">
        <f>IF(L4="forecast",IF(K4="actual",(SUMIFS(Headcount!$B$6:$B$89,Headcount!$F$6:$F$89,"Marketing",Headcount!$H$6:$H$89,"&gt;"&amp;L3,Headcount!$G$6:$G$89,"&lt;"&amp;L3)+L8-L9),(K7+L8-L9)),SUMIFS(Headcount!$B$6:$B$89,Headcount!$F$6:$F$89,"Marketing",Headcount!$H$6:$H$89,"&gt;"&amp;L3,Headcount!$G$6:$G$89,"&lt;"&amp;K3))</f>
        <v>4</v>
      </c>
      <c r="M7" s="781">
        <f>IF(M4="forecast",IF(L4="actual",(SUMIFS(Headcount!$B$6:$B$89,Headcount!$F$6:$F$89,"Marketing",Headcount!$H$6:$H$89,"&gt;"&amp;M3,Headcount!$G$6:$G$89,"&lt;"&amp;M3)+M8-M9),(L7+M8-M9)),SUMIFS(Headcount!$B$6:$B$89,Headcount!$F$6:$F$89,"Marketing",Headcount!$H$6:$H$89,"&gt;"&amp;M3,Headcount!$G$6:$G$89,"&lt;"&amp;L3))</f>
        <v>4</v>
      </c>
      <c r="N7" s="781">
        <f>IF(N4="forecast",IF(M4="actual",(SUMIFS(Headcount!$B$6:$B$89,Headcount!$F$6:$F$89,"Marketing",Headcount!$H$6:$H$89,"&gt;"&amp;N3,Headcount!$G$6:$G$89,"&lt;"&amp;N3)+N8-N9),(M7+N8-N9)),SUMIFS(Headcount!$B$6:$B$89,Headcount!$F$6:$F$89,"Marketing",Headcount!$H$6:$H$89,"&gt;"&amp;N3,Headcount!$G$6:$G$89,"&lt;"&amp;M3))</f>
        <v>4</v>
      </c>
      <c r="O7" s="781">
        <f>IF(O4="forecast",IF(N4="actual",(SUMIFS(Headcount!$B$6:$B$89,Headcount!$F$6:$F$89,"Marketing",Headcount!$H$6:$H$89,"&gt;"&amp;O3,Headcount!$G$6:$G$89,"&lt;"&amp;O3)+O8-O9),(N7+O8-O9)),SUMIFS(Headcount!$B$6:$B$89,Headcount!$F$6:$F$89,"Marketing",Headcount!$H$6:$H$89,"&gt;"&amp;O3,Headcount!$G$6:$G$89,"&lt;"&amp;N3))</f>
        <v>4</v>
      </c>
      <c r="P7" s="781">
        <f>IF(P4="forecast",IF(O4="actual",(SUMIFS(Headcount!$B$6:$B$89,Headcount!$F$6:$F$89,"Marketing",Headcount!$H$6:$H$89,"&gt;"&amp;P3,Headcount!$G$6:$G$89,"&lt;"&amp;P3)+P8-P9),(O7+P8-P9)),SUMIFS(Headcount!$B$6:$B$89,Headcount!$F$6:$F$89,"Marketing",Headcount!$H$6:$H$89,"&gt;"&amp;P3,Headcount!$G$6:$G$89,"&lt;"&amp;O3))</f>
        <v>4</v>
      </c>
      <c r="Q7" s="781">
        <f>IF(Q4="forecast",IF(P4="actual",(SUMIFS(Headcount!$B$6:$B$89,Headcount!$F$6:$F$89,"Marketing",Headcount!$H$6:$H$89,"&gt;"&amp;Q3,Headcount!$G$6:$G$89,"&lt;"&amp;Q3)+Q8-Q9),(P7+Q8-Q9)),SUMIFS(Headcount!$B$6:$B$89,Headcount!$F$6:$F$89,"Marketing",Headcount!$H$6:$H$89,"&gt;"&amp;Q3,Headcount!$G$6:$G$89,"&lt;"&amp;P3))</f>
        <v>4</v>
      </c>
      <c r="R7" s="781">
        <f>IF(R4="forecast",IF(Q4="actual",(SUMIFS(Headcount!$B$6:$B$89,Headcount!$F$6:$F$89,"Marketing",Headcount!$H$6:$H$89,"&gt;"&amp;R3,Headcount!$G$6:$G$89,"&lt;"&amp;R3)+R8-R9),(Q7+R8-R9)),SUMIFS(Headcount!$B$6:$B$89,Headcount!$F$6:$F$89,"Marketing",Headcount!$H$6:$H$89,"&gt;"&amp;R3,Headcount!$G$6:$G$89,"&lt;"&amp;Q3))</f>
        <v>3</v>
      </c>
      <c r="S7" s="781">
        <f>IF(S4="forecast",IF(R4="actual",(SUMIFS(Headcount!$B$6:$B$89,Headcount!$F$6:$F$89,"Marketing",Headcount!$H$6:$H$89,"&gt;"&amp;S3,Headcount!$G$6:$G$89,"&lt;"&amp;S3)+S8-S9),(R7+S8-S9)),SUMIFS(Headcount!$B$6:$B$89,Headcount!$F$6:$F$89,"Marketing",Headcount!$H$6:$H$89,"&gt;"&amp;S3,Headcount!$G$6:$G$89,"&lt;"&amp;R3))</f>
        <v>3</v>
      </c>
      <c r="T7" s="781">
        <f>IF(T4="forecast",IF(S4="actual",(SUMIFS(Headcount!$B$6:$B$89,Headcount!$F$6:$F$89,"Marketing",Headcount!$H$6:$H$89,"&gt;"&amp;T3,Headcount!$G$6:$G$89,"&lt;"&amp;T3)+T8-T9),(S7+T8-T9)),SUMIFS(Headcount!$B$6:$B$89,Headcount!$F$6:$F$89,"Marketing",Headcount!$H$6:$H$89,"&gt;"&amp;T3,Headcount!$G$6:$G$89,"&lt;"&amp;S3))</f>
        <v>3</v>
      </c>
      <c r="U7" s="781">
        <f>IF(U4="forecast",IF(T4="actual",(SUMIFS(Headcount!$B$6:$B$89,Headcount!$F$6:$F$89,"Marketing",Headcount!$H$6:$H$89,"&gt;"&amp;U3,Headcount!$G$6:$G$89,"&lt;"&amp;U3)+U8-U9),(T7+U8-U9)),SUMIFS(Headcount!$B$6:$B$89,Headcount!$F$6:$F$89,"Marketing",Headcount!$H$6:$H$89,"&gt;"&amp;U3,Headcount!$G$6:$G$89,"&lt;"&amp;T3))</f>
        <v>3</v>
      </c>
      <c r="V7" s="781">
        <f>IF(V4="forecast",IF(U4="actual",(SUMIFS(Headcount!$B$6:$B$89,Headcount!$F$6:$F$89,"Marketing",Headcount!$H$6:$H$89,"&gt;"&amp;V3,Headcount!$G$6:$G$89,"&lt;"&amp;V3)+V8-V9),(U7+V8-V9)),SUMIFS(Headcount!$B$6:$B$89,Headcount!$F$6:$F$89,"Marketing",Headcount!$H$6:$H$89,"&gt;"&amp;V3,Headcount!$G$6:$G$89,"&lt;"&amp;U3))</f>
        <v>3</v>
      </c>
      <c r="W7" s="781">
        <f>IF(W4="forecast",IF(V4="actual",(SUMIFS(Headcount!$B$6:$B$89,Headcount!$F$6:$F$89,"Marketing",Headcount!$H$6:$H$89,"&gt;"&amp;W3,Headcount!$G$6:$G$89,"&lt;"&amp;W3)+W8-W9),(V7+W8-W9)),SUMIFS(Headcount!$B$6:$B$89,Headcount!$F$6:$F$89,"Marketing",Headcount!$H$6:$H$89,"&gt;"&amp;W3,Headcount!$G$6:$G$89,"&lt;"&amp;V3))</f>
        <v>2</v>
      </c>
      <c r="X7" s="781">
        <f>IF(X4="forecast",IF(W4="actual",(SUMIFS(Headcount!$B$6:$B$89,Headcount!$F$6:$F$89,"Marketing",Headcount!$H$6:$H$89,"&gt;"&amp;X3,Headcount!$G$6:$G$89,"&lt;"&amp;X3)+X8-X9),(W7+X8-X9)),SUMIFS(Headcount!$B$6:$B$89,Headcount!$F$6:$F$89,"Marketing",Headcount!$H$6:$H$89,"&gt;"&amp;X3,Headcount!$G$6:$G$89,"&lt;"&amp;W3))</f>
        <v>2</v>
      </c>
      <c r="Y7" s="781">
        <f>IF(Y4="forecast",IF(X4="actual",(SUMIFS(Headcount!$B$6:$B$89,Headcount!$F$6:$F$89,"Marketing",Headcount!$H$6:$H$89,"&gt;"&amp;Y3,Headcount!$G$6:$G$89,"&lt;"&amp;Y3)+Y8-Y9),(X7+Y8-Y9)),SUMIFS(Headcount!$B$6:$B$89,Headcount!$F$6:$F$89,"Marketing",Headcount!$H$6:$H$89,"&gt;"&amp;Y3,Headcount!$G$6:$G$89,"&lt;"&amp;X3))</f>
        <v>3</v>
      </c>
      <c r="Z7" s="781">
        <f>IF(Z4="forecast",IF(Y4="actual",(SUMIFS(Headcount!$B$6:$B$89,Headcount!$F$6:$F$89,"Marketing",Headcount!$H$6:$H$89,"&gt;"&amp;Z3,Headcount!$G$6:$G$89,"&lt;"&amp;Z3)+Z8-Z9),(Y7+Z8-Z9)),SUMIFS(Headcount!$B$6:$B$89,Headcount!$F$6:$F$89,"Marketing",Headcount!$H$6:$H$89,"&gt;"&amp;Z3,Headcount!$G$6:$G$89,"&lt;"&amp;Y3))</f>
        <v>3</v>
      </c>
      <c r="AA7" s="781">
        <f>IF(AA4="forecast",IF(Z4="actual",(SUMIFS(Headcount!$B$6:$B$89,Headcount!$F$6:$F$89,"Marketing",Headcount!$H$6:$H$89,"&gt;"&amp;AA3,Headcount!$G$6:$G$89,"&lt;"&amp;AA3)+AA8-AA9),(Z7+AA8-AA9)),SUMIFS(Headcount!$B$6:$B$89,Headcount!$F$6:$F$89,"Marketing",Headcount!$H$6:$H$89,"&gt;"&amp;AA3,Headcount!$G$6:$G$89,"&lt;"&amp;Z3))</f>
        <v>3</v>
      </c>
      <c r="AB7" s="781">
        <f>IF(AB4="forecast",IF(AA4="actual",(SUMIFS(Headcount!$B$6:$B$89,Headcount!$F$6:$F$89,"Marketing",Headcount!$H$6:$H$89,"&gt;"&amp;AB3,Headcount!$G$6:$G$89,"&lt;"&amp;AB3)+AB8-AB9),(AA7+AB8-AB9)),SUMIFS(Headcount!$B$6:$B$89,Headcount!$F$6:$F$89,"Marketing",Headcount!$H$6:$H$89,"&gt;"&amp;AB3,Headcount!$G$6:$G$89,"&lt;"&amp;AA3))</f>
        <v>5</v>
      </c>
      <c r="AC7" s="781">
        <f>IF(AC4="forecast",IF(AB4="actual",(SUMIFS(Headcount!$B$6:$B$89,Headcount!$F$6:$F$89,"Marketing",Headcount!$H$6:$H$89,"&gt;"&amp;AC3,Headcount!$G$6:$G$89,"&lt;"&amp;AC3)+AC8-AC9),(AB7+AC8-AC9)),SUMIFS(Headcount!$B$6:$B$89,Headcount!$F$6:$F$89,"Marketing",Headcount!$H$6:$H$89,"&gt;"&amp;AC3,Headcount!$G$6:$G$89,"&lt;"&amp;AB3))</f>
        <v>5</v>
      </c>
      <c r="AD7" s="781">
        <f>IF(AD4="forecast",IF(AC4="actual",(SUMIFS(Headcount!$B$6:$B$89,Headcount!$F$6:$F$89,"Marketing",Headcount!$H$6:$H$89,"&gt;"&amp;AD3,Headcount!$G$6:$G$89,"&lt;"&amp;AD3)+AD8-AD9),(AC7+AD8-AD9)),SUMIFS(Headcount!$B$6:$B$89,Headcount!$F$6:$F$89,"Marketing",Headcount!$H$6:$H$89,"&gt;"&amp;AD3,Headcount!$G$6:$G$89,"&lt;"&amp;AC3))</f>
        <v>7</v>
      </c>
      <c r="AE7" s="781">
        <f>IF(AE4="forecast",IF(AD4="actual",(SUMIFS(Headcount!$B$6:$B$89,Headcount!$F$6:$F$89,"Marketing",Headcount!$H$6:$H$89,"&gt;"&amp;AE3,Headcount!$G$6:$G$89,"&lt;"&amp;AE3)+AE8-AE9),(AD7+AE8-AE9)),SUMIFS(Headcount!$B$6:$B$89,Headcount!$F$6:$F$89,"Marketing",Headcount!$H$6:$H$89,"&gt;"&amp;AE3,Headcount!$G$6:$G$89,"&lt;"&amp;AD3))</f>
        <v>7</v>
      </c>
      <c r="AF7" s="781">
        <f>IF(AF4="forecast",IF(AE4="actual",(SUMIFS(Headcount!$B$6:$B$89,Headcount!$F$6:$F$89,"Marketing",Headcount!$H$6:$H$89,"&gt;"&amp;AF3,Headcount!$G$6:$G$89,"&lt;"&amp;AF3)+AF8-AF9),(AE7+AF8-AF9)),SUMIFS(Headcount!$B$6:$B$89,Headcount!$F$6:$F$89,"Marketing",Headcount!$H$6:$H$89,"&gt;"&amp;AF3,Headcount!$G$6:$G$89,"&lt;"&amp;AE3))</f>
        <v>9</v>
      </c>
      <c r="AG7" s="781">
        <f>IF(AG4="forecast",IF(AF4="actual",(SUMIFS(Headcount!$B$6:$B$89,Headcount!$F$6:$F$89,"Marketing",Headcount!$H$6:$H$89,"&gt;"&amp;AG3,Headcount!$G$6:$G$89,"&lt;"&amp;AG3)+AG8-AG9),(AF7+AG8-AG9)),SUMIFS(Headcount!$B$6:$B$89,Headcount!$F$6:$F$89,"Marketing",Headcount!$H$6:$H$89,"&gt;"&amp;AG3,Headcount!$G$6:$G$89,"&lt;"&amp;AF3))</f>
        <v>9</v>
      </c>
      <c r="AH7" s="781">
        <f>IF(AH4="forecast",IF(AG4="actual",(SUMIFS(Headcount!$B$6:$B$89,Headcount!$F$6:$F$89,"Marketing",Headcount!$H$6:$H$89,"&gt;"&amp;AH3,Headcount!$G$6:$G$89,"&lt;"&amp;AH3)+AH8-AH9),(AG7+AH8-AH9)),SUMIFS(Headcount!$B$6:$B$89,Headcount!$F$6:$F$89,"Marketing",Headcount!$H$6:$H$89,"&gt;"&amp;AH3,Headcount!$G$6:$G$89,"&lt;"&amp;AG3))</f>
        <v>9</v>
      </c>
      <c r="AI7" s="781">
        <f>IF(AI4="forecast",IF(AH4="actual",(SUMIFS(Headcount!$B$6:$B$89,Headcount!$F$6:$F$89,"Marketing",Headcount!$H$6:$H$89,"&gt;"&amp;AI3,Headcount!$G$6:$G$89,"&lt;"&amp;AI3)+AI8-AI9),(AH7+AI8-AI9)),SUMIFS(Headcount!$B$6:$B$89,Headcount!$F$6:$F$89,"Marketing",Headcount!$H$6:$H$89,"&gt;"&amp;AI3,Headcount!$G$6:$G$89,"&lt;"&amp;AH3))</f>
        <v>9</v>
      </c>
      <c r="AJ7" s="781">
        <f>IF(AJ4="forecast",IF(AI4="actual",(SUMIFS(Headcount!$B$6:$B$89,Headcount!$F$6:$F$89,"Marketing",Headcount!$H$6:$H$89,"&gt;"&amp;AJ3,Headcount!$G$6:$G$89,"&lt;"&amp;AJ3)+AJ8-AJ9),(AI7+AJ8-AJ9)),SUMIFS(Headcount!$B$6:$B$89,Headcount!$F$6:$F$89,"Marketing",Headcount!$H$6:$H$89,"&gt;"&amp;AJ3,Headcount!$G$6:$G$89,"&lt;"&amp;AI3))</f>
        <v>9</v>
      </c>
      <c r="AK7" s="781">
        <f>IF(AK4="forecast",IF(AJ4="actual",(SUMIFS(Headcount!$B$6:$B$89,Headcount!$F$6:$F$89,"Marketing",Headcount!$H$6:$H$89,"&gt;"&amp;AK3,Headcount!$G$6:$G$89,"&lt;"&amp;AK3)+AK8-AK9),(AJ7+AK8-AK9)),SUMIFS(Headcount!$B$6:$B$89,Headcount!$F$6:$F$89,"Marketing",Headcount!$H$6:$H$89,"&gt;"&amp;AK3,Headcount!$G$6:$G$89,"&lt;"&amp;AJ3))</f>
        <v>9</v>
      </c>
      <c r="AL7" s="781">
        <f>IF(AL4="forecast",IF(AK4="actual",(SUMIFS(Headcount!$B$6:$B$89,Headcount!$F$6:$F$89,"Marketing",Headcount!$H$6:$H$89,"&gt;"&amp;AL3,Headcount!$G$6:$G$89,"&lt;"&amp;AL3)+AL8-AL9),(AK7+AL8-AL9)),SUMIFS(Headcount!$B$6:$B$89,Headcount!$F$6:$F$89,"Marketing",Headcount!$H$6:$H$89,"&gt;"&amp;AL3,Headcount!$G$6:$G$89,"&lt;"&amp;AK3))</f>
        <v>9</v>
      </c>
      <c r="AM7" s="781">
        <f>IF(AM4="forecast",IF(AL4="actual",(SUMIFS(Headcount!$B$6:$B$89,Headcount!$F$6:$F$89,"Marketing",Headcount!$H$6:$H$89,"&gt;"&amp;AM3,Headcount!$G$6:$G$89,"&lt;"&amp;AM3)+AM8-AM9),(AL7+AM8-AM9)),SUMIFS(Headcount!$B$6:$B$89,Headcount!$F$6:$F$89,"Marketing",Headcount!$H$6:$H$89,"&gt;"&amp;AM3,Headcount!$G$6:$G$89,"&lt;"&amp;AL3))</f>
        <v>9</v>
      </c>
      <c r="AN7" s="781">
        <f>IF(AN4="forecast",IF(AM4="actual",(SUMIFS(Headcount!$B$6:$B$89,Headcount!$F$6:$F$89,"Marketing",Headcount!$H$6:$H$89,"&gt;"&amp;AN3,Headcount!$G$6:$G$89,"&lt;"&amp;AN3)+AN8-AN9),(AM7+AN8-AN9)),SUMIFS(Headcount!$B$6:$B$89,Headcount!$F$6:$F$89,"Marketing",Headcount!$H$6:$H$89,"&gt;"&amp;AN3,Headcount!$G$6:$G$89,"&lt;"&amp;AM3))</f>
        <v>9</v>
      </c>
      <c r="AO7" s="781">
        <f>IF(AO4="forecast",IF(AN4="actual",(SUMIFS(Headcount!$B$6:$B$89,Headcount!$F$6:$F$89,"Marketing",Headcount!$H$6:$H$89,"&gt;"&amp;AO3,Headcount!$G$6:$G$89,"&lt;"&amp;AO3)+AO8-AO9),(AN7+AO8-AO9)),SUMIFS(Headcount!$B$6:$B$89,Headcount!$F$6:$F$89,"Marketing",Headcount!$H$6:$H$89,"&gt;"&amp;AO3,Headcount!$G$6:$G$89,"&lt;"&amp;AN3))</f>
        <v>9</v>
      </c>
      <c r="AP7" s="781">
        <f>IF(AP4="forecast",IF(AO4="actual",(SUMIFS(Headcount!$B$6:$B$89,Headcount!$F$6:$F$89,"Marketing",Headcount!$H$6:$H$89,"&gt;"&amp;AP3,Headcount!$G$6:$G$89,"&lt;"&amp;AP3)+AP8-AP9),(AO7+AP8-AP9)),SUMIFS(Headcount!$B$6:$B$89,Headcount!$F$6:$F$89,"Marketing",Headcount!$H$6:$H$89,"&gt;"&amp;AP3,Headcount!$G$6:$G$89,"&lt;"&amp;AO3))</f>
        <v>9</v>
      </c>
      <c r="AQ7" s="781">
        <f>IF(AQ4="forecast",IF(AP4="actual",(SUMIFS(Headcount!$B$6:$B$89,Headcount!$F$6:$F$89,"Marketing",Headcount!$H$6:$H$89,"&gt;"&amp;AQ3,Headcount!$G$6:$G$89,"&lt;"&amp;AQ3)+AQ8-AQ9),(AP7+AQ8-AQ9)),SUMIFS(Headcount!$B$6:$B$89,Headcount!$F$6:$F$89,"Marketing",Headcount!$H$6:$H$89,"&gt;"&amp;AQ3,Headcount!$G$6:$G$89,"&lt;"&amp;AP3))</f>
        <v>9</v>
      </c>
      <c r="AR7" s="781">
        <f>IF(AR4="forecast",IF(AQ4="actual",(SUMIFS(Headcount!$B$6:$B$89,Headcount!$F$6:$F$89,"Marketing",Headcount!$H$6:$H$89,"&gt;"&amp;AR3,Headcount!$G$6:$G$89,"&lt;"&amp;AR3)+AR8-AR9),(AQ7+AR8-AR9)),SUMIFS(Headcount!$B$6:$B$89,Headcount!$F$6:$F$89,"Marketing",Headcount!$H$6:$H$89,"&gt;"&amp;AR3,Headcount!$G$6:$G$89,"&lt;"&amp;AQ3))</f>
        <v>9</v>
      </c>
      <c r="AS7" s="781">
        <f>IF(AS4="forecast",IF(AR4="actual",(SUMIFS(Headcount!$B$6:$B$89,Headcount!$F$6:$F$89,"Marketing",Headcount!$H$6:$H$89,"&gt;"&amp;AS3,Headcount!$G$6:$G$89,"&lt;"&amp;AS3)+AS8-AS9),(AR7+AS8-AS9)),SUMIFS(Headcount!$B$6:$B$89,Headcount!$F$6:$F$89,"Marketing",Headcount!$H$6:$H$89,"&gt;"&amp;AS3,Headcount!$G$6:$G$89,"&lt;"&amp;AR3))</f>
        <v>9</v>
      </c>
      <c r="AT7" s="781">
        <f>IF(AT4="forecast",IF(AS4="actual",(SUMIFS(Headcount!$B$6:$B$89,Headcount!$F$6:$F$89,"Marketing",Headcount!$H$6:$H$89,"&gt;"&amp;AT3,Headcount!$G$6:$G$89,"&lt;"&amp;AT3)+AT8-AT9),(AS7+AT8-AT9)),SUMIFS(Headcount!$B$6:$B$89,Headcount!$F$6:$F$89,"Marketing",Headcount!$H$6:$H$89,"&gt;"&amp;AT3,Headcount!$G$6:$G$89,"&lt;"&amp;AS3))</f>
        <v>9</v>
      </c>
      <c r="AU7" s="781">
        <f>IF(AU4="forecast",IF(AT4="actual",(SUMIFS(Headcount!$B$6:$B$89,Headcount!$F$6:$F$89,"Marketing",Headcount!$H$6:$H$89,"&gt;"&amp;AU3,Headcount!$G$6:$G$89,"&lt;"&amp;AU3)+AU8-AU9),(AT7+AU8-AU9)),SUMIFS(Headcount!$B$6:$B$89,Headcount!$F$6:$F$89,"Marketing",Headcount!$H$6:$H$89,"&gt;"&amp;AU3,Headcount!$G$6:$G$89,"&lt;"&amp;AT3))</f>
        <v>9</v>
      </c>
      <c r="AV7" s="781">
        <f>IF(AV4="forecast",IF(AU4="actual",(SUMIFS(Headcount!$B$6:$B$89,Headcount!$F$6:$F$89,"Marketing",Headcount!$H$6:$H$89,"&gt;"&amp;AV3,Headcount!$G$6:$G$89,"&lt;"&amp;AV3)+AV8-AV9),(AU7+AV8-AV9)),SUMIFS(Headcount!$B$6:$B$89,Headcount!$F$6:$F$89,"Marketing",Headcount!$H$6:$H$89,"&gt;"&amp;AV3,Headcount!$G$6:$G$89,"&lt;"&amp;AU3))</f>
        <v>9</v>
      </c>
      <c r="AW7" s="781">
        <f>IF(AW4="forecast",IF(AV4="actual",(SUMIFS(Headcount!$B$6:$B$89,Headcount!$F$6:$F$89,"Marketing",Headcount!$H$6:$H$89,"&gt;"&amp;AW3,Headcount!$G$6:$G$89,"&lt;"&amp;AW3)+AW8-AW9),(AV7+AW8-AW9)),SUMIFS(Headcount!$B$6:$B$89,Headcount!$F$6:$F$89,"Marketing",Headcount!$H$6:$H$89,"&gt;"&amp;AW3,Headcount!$G$6:$G$89,"&lt;"&amp;AV3))</f>
        <v>9</v>
      </c>
      <c r="AX7" s="781">
        <f>IF(AX4="forecast",IF(AW4="actual",(SUMIFS(Headcount!$B$6:$B$89,Headcount!$F$6:$F$89,"Marketing",Headcount!$H$6:$H$89,"&gt;"&amp;AX3,Headcount!$G$6:$G$89,"&lt;"&amp;AX3)+AX8-AX9),(AW7+AX8-AX9)),SUMIFS(Headcount!$B$6:$B$89,Headcount!$F$6:$F$89,"Marketing",Headcount!$H$6:$H$89,"&gt;"&amp;AX3,Headcount!$G$6:$G$89,"&lt;"&amp;AW3))</f>
        <v>9</v>
      </c>
      <c r="AY7" s="781">
        <f>IF(AY4="forecast",IF(AX4="actual",(SUMIFS(Headcount!$B$6:$B$89,Headcount!$F$6:$F$89,"Marketing",Headcount!$H$6:$H$89,"&gt;"&amp;AY3,Headcount!$G$6:$G$89,"&lt;"&amp;AY3)+AY8-AY9),(AX7+AY8-AY9)),SUMIFS(Headcount!$B$6:$B$89,Headcount!$F$6:$F$89,"Marketing",Headcount!$H$6:$H$89,"&gt;"&amp;AY3,Headcount!$G$6:$G$89,"&lt;"&amp;AX3))</f>
        <v>9</v>
      </c>
      <c r="AZ7" s="781">
        <f>IF(AZ4="forecast",IF(AY4="actual",(SUMIFS(Headcount!$B$6:$B$89,Headcount!$F$6:$F$89,"Marketing",Headcount!$H$6:$H$89,"&gt;"&amp;AZ3,Headcount!$G$6:$G$89,"&lt;"&amp;AZ3)+AZ8-AZ9),(AY7+AZ8-AZ9)),SUMIFS(Headcount!$B$6:$B$89,Headcount!$F$6:$F$89,"Marketing",Headcount!$H$6:$H$89,"&gt;"&amp;AZ3,Headcount!$G$6:$G$89,"&lt;"&amp;AY3))</f>
        <v>9</v>
      </c>
      <c r="BA7" s="781">
        <f>IF(BA4="forecast",IF(AZ4="actual",(SUMIFS(Headcount!$B$6:$B$89,Headcount!$F$6:$F$89,"Marketing",Headcount!$H$6:$H$89,"&gt;"&amp;BA3,Headcount!$G$6:$G$89,"&lt;"&amp;BA3)+BA8-BA9),(AZ7+BA8-BA9)),SUMIFS(Headcount!$B$6:$B$89,Headcount!$F$6:$F$89,"Marketing",Headcount!$H$6:$H$89,"&gt;"&amp;BA3,Headcount!$G$6:$G$89,"&lt;"&amp;AZ3))</f>
        <v>9</v>
      </c>
      <c r="BB7" s="781">
        <f>IF(BB4="forecast",IF(BA4="actual",(SUMIFS(Headcount!$B$6:$B$89,Headcount!$F$6:$F$89,"Marketing",Headcount!$H$6:$H$89,"&gt;"&amp;BB3,Headcount!$G$6:$G$89,"&lt;"&amp;BB3)+BB8-BB9),(BA7+BB8-BB9)),SUMIFS(Headcount!$B$6:$B$89,Headcount!$F$6:$F$89,"Marketing",Headcount!$H$6:$H$89,"&gt;"&amp;BB3,Headcount!$G$6:$G$89,"&lt;"&amp;BA3))</f>
        <v>9</v>
      </c>
      <c r="BC7" s="781">
        <f>IF(BC4="forecast",IF(BB4="actual",(SUMIFS(Headcount!$B$6:$B$89,Headcount!$F$6:$F$89,"Marketing",Headcount!$H$6:$H$89,"&gt;"&amp;BC3,Headcount!$G$6:$G$89,"&lt;"&amp;BC3)+BC8-BC9),(BB7+BC8-BC9)),SUMIFS(Headcount!$B$6:$B$89,Headcount!$F$6:$F$89,"Marketing",Headcount!$H$6:$H$89,"&gt;"&amp;BC3,Headcount!$G$6:$G$89,"&lt;"&amp;BB3))</f>
        <v>9</v>
      </c>
      <c r="BD7" s="781">
        <f>IF(BD4="forecast",IF(BC4="actual",(SUMIFS(Headcount!$B$6:$B$89,Headcount!$F$6:$F$89,"Marketing",Headcount!$H$6:$H$89,"&gt;"&amp;BD3,Headcount!$G$6:$G$89,"&lt;"&amp;BD3)+BD8-BD9),(BC7+BD8-BD9)),SUMIFS(Headcount!$B$6:$B$89,Headcount!$F$6:$F$89,"Marketing",Headcount!$H$6:$H$89,"&gt;"&amp;BD3,Headcount!$G$6:$G$89,"&lt;"&amp;BC3))</f>
        <v>9</v>
      </c>
      <c r="BE7" s="781">
        <f>IF(BE4="forecast",IF(BD4="actual",(SUMIFS(Headcount!$B$6:$B$89,Headcount!$F$6:$F$89,"Marketing",Headcount!$H$6:$H$89,"&gt;"&amp;BE3,Headcount!$G$6:$G$89,"&lt;"&amp;BE3)+BE8-BE9),(BD7+BE8-BE9)),SUMIFS(Headcount!$B$6:$B$89,Headcount!$F$6:$F$89,"Marketing",Headcount!$H$6:$H$89,"&gt;"&amp;BE3,Headcount!$G$6:$G$89,"&lt;"&amp;BD3))</f>
        <v>9</v>
      </c>
      <c r="BF7" s="781">
        <f>IF(BF4="forecast",IF(BE4="actual",(SUMIFS(Headcount!$B$6:$B$89,Headcount!$F$6:$F$89,"Marketing",Headcount!$H$6:$H$89,"&gt;"&amp;BF3,Headcount!$G$6:$G$89,"&lt;"&amp;BF3)+BF8-BF9),(BE7+BF8-BF9)),SUMIFS(Headcount!$B$6:$B$89,Headcount!$F$6:$F$89,"Marketing",Headcount!$H$6:$H$89,"&gt;"&amp;BF3,Headcount!$G$6:$G$89,"&lt;"&amp;BE3))</f>
        <v>9</v>
      </c>
      <c r="BG7" s="781">
        <f>IF(BG4="forecast",IF(BF4="actual",(SUMIFS(Headcount!$B$6:$B$89,Headcount!$F$6:$F$89,"Marketing",Headcount!$H$6:$H$89,"&gt;"&amp;BG3,Headcount!$G$6:$G$89,"&lt;"&amp;BG3)+BG8-BG9),(BF7+BG8-BG9)),SUMIFS(Headcount!$B$6:$B$89,Headcount!$F$6:$F$89,"Marketing",Headcount!$H$6:$H$89,"&gt;"&amp;BG3,Headcount!$G$6:$G$89,"&lt;"&amp;BF3))</f>
        <v>9</v>
      </c>
      <c r="BH7" s="781">
        <f>IF(BH4="forecast",IF(BG4="actual",(SUMIFS(Headcount!$B$6:$B$89,Headcount!$F$6:$F$89,"Marketing",Headcount!$H$6:$H$89,"&gt;"&amp;BH3,Headcount!$G$6:$G$89,"&lt;"&amp;BH3)+BH8-BH9),(BG7+BH8-BH9)),SUMIFS(Headcount!$B$6:$B$89,Headcount!$F$6:$F$89,"Marketing",Headcount!$H$6:$H$89,"&gt;"&amp;BH3,Headcount!$G$6:$G$89,"&lt;"&amp;BG3))</f>
        <v>9</v>
      </c>
      <c r="BI7" s="781">
        <f>IF(BI4="forecast",IF(BH4="actual",(SUMIFS(Headcount!$B$6:$B$89,Headcount!$F$6:$F$89,"Marketing",Headcount!$H$6:$H$89,"&gt;"&amp;BI3,Headcount!$G$6:$G$89,"&lt;"&amp;BI3)+BI8-BI9),(BH7+BI8-BI9)),SUMIFS(Headcount!$B$6:$B$89,Headcount!$F$6:$F$89,"Marketing",Headcount!$H$6:$H$89,"&gt;"&amp;BI3,Headcount!$G$6:$G$89,"&lt;"&amp;BH3))</f>
        <v>9</v>
      </c>
      <c r="BJ7" s="781">
        <f>IF(BJ4="forecast",IF(BI4="actual",(SUMIFS(Headcount!$B$6:$B$89,Headcount!$F$6:$F$89,"Marketing",Headcount!$H$6:$H$89,"&gt;"&amp;BJ3,Headcount!$G$6:$G$89,"&lt;"&amp;BJ3)+BJ8-BJ9),(BI7+BJ8-BJ9)),SUMIFS(Headcount!$B$6:$B$89,Headcount!$F$6:$F$89,"Marketing",Headcount!$H$6:$H$89,"&gt;"&amp;BJ3,Headcount!$G$6:$G$89,"&lt;"&amp;BI3))</f>
        <v>9</v>
      </c>
      <c r="BK7" s="781">
        <f>IF(BK4="forecast",IF(BJ4="actual",(SUMIFS(Headcount!$B$6:$B$89,Headcount!$F$6:$F$89,"Marketing",Headcount!$H$6:$H$89,"&gt;"&amp;BK3,Headcount!$G$6:$G$89,"&lt;"&amp;BK3)+BK8-BK9),(BJ7+BK8-BK9)),SUMIFS(Headcount!$B$6:$B$89,Headcount!$F$6:$F$89,"Marketing",Headcount!$H$6:$H$89,"&gt;"&amp;BK3,Headcount!$G$6:$G$89,"&lt;"&amp;BJ3))</f>
        <v>9</v>
      </c>
      <c r="BL7" s="781">
        <f>IF(BL4="forecast",IF(BK4="actual",(SUMIFS(Headcount!$B$6:$B$89,Headcount!$F$6:$F$89,"Marketing",Headcount!$H$6:$H$89,"&gt;"&amp;BL3,Headcount!$G$6:$G$89,"&lt;"&amp;BL3)+BL8-BL9),(BK7+BL8-BL9)),SUMIFS(Headcount!$B$6:$B$89,Headcount!$F$6:$F$89,"Marketing",Headcount!$H$6:$H$89,"&gt;"&amp;BL3,Headcount!$G$6:$G$89,"&lt;"&amp;BK3))</f>
        <v>9</v>
      </c>
      <c r="BM7" s="781">
        <f>IF(BM4="forecast",IF(BL4="actual",(SUMIFS(Headcount!$B$6:$B$89,Headcount!$F$6:$F$89,"Marketing",Headcount!$H$6:$H$89,"&gt;"&amp;BM3,Headcount!$G$6:$G$89,"&lt;"&amp;BM3)+BM8-BM9),(BL7+BM8-BM9)),SUMIFS(Headcount!$B$6:$B$89,Headcount!$F$6:$F$89,"Marketing",Headcount!$H$6:$H$89,"&gt;"&amp;BM3,Headcount!$G$6:$G$89,"&lt;"&amp;BL3))</f>
        <v>9</v>
      </c>
      <c r="BN7" s="781">
        <f>IF(BN4="forecast",IF(BM4="actual",(SUMIFS(Headcount!$B$6:$B$89,Headcount!$F$6:$F$89,"Marketing",Headcount!$H$6:$H$89,"&gt;"&amp;BN3,Headcount!$G$6:$G$89,"&lt;"&amp;BN3)+BN8-BN9),(BM7+BN8-BN9)),SUMIFS(Headcount!$B$6:$B$89,Headcount!$F$6:$F$89,"Marketing",Headcount!$H$6:$H$89,"&gt;"&amp;BN3,Headcount!$G$6:$G$89,"&lt;"&amp;BM3))</f>
        <v>9</v>
      </c>
      <c r="BO7" s="781">
        <f>IF(BO4="forecast",IF(BN4="actual",(SUMIFS(Headcount!$B$6:$B$89,Headcount!$F$6:$F$89,"Marketing",Headcount!$H$6:$H$89,"&gt;"&amp;BO3,Headcount!$G$6:$G$89,"&lt;"&amp;BO3)+BO8-BO9),(BN7+BO8-BO9)),SUMIFS(Headcount!$B$6:$B$89,Headcount!$F$6:$F$89,"Marketing",Headcount!$H$6:$H$89,"&gt;"&amp;BO3,Headcount!$G$6:$G$89,"&lt;"&amp;BN3))</f>
        <v>9</v>
      </c>
      <c r="BP7" s="781">
        <f>IF(BP4="forecast",IF(BO4="actual",(SUMIFS(Headcount!$B$6:$B$89,Headcount!$F$6:$F$89,"Marketing",Headcount!$H$6:$H$89,"&gt;"&amp;BP3,Headcount!$G$6:$G$89,"&lt;"&amp;BP3)+BP8-BP9),(BO7+BP8-BP9)),SUMIFS(Headcount!$B$6:$B$89,Headcount!$F$6:$F$89,"Marketing",Headcount!$H$6:$H$89,"&gt;"&amp;BP3,Headcount!$G$6:$G$89,"&lt;"&amp;BO3))</f>
        <v>9</v>
      </c>
      <c r="BQ7" s="781">
        <f>IF(BQ4="forecast",IF(BP4="actual",(SUMIFS(Headcount!$B$6:$B$89,Headcount!$F$6:$F$89,"Marketing",Headcount!$H$6:$H$89,"&gt;"&amp;BQ3,Headcount!$G$6:$G$89,"&lt;"&amp;BQ3)+BQ8-BQ9),(BP7+BQ8-BQ9)),SUMIFS(Headcount!$B$6:$B$89,Headcount!$F$6:$F$89,"Marketing",Headcount!$H$6:$H$89,"&gt;"&amp;BQ3,Headcount!$G$6:$G$89,"&lt;"&amp;BP3))</f>
        <v>9</v>
      </c>
      <c r="BR7" s="781">
        <f>IF(BR4="forecast",IF(BQ4="actual",(SUMIFS(Headcount!$B$6:$B$89,Headcount!$F$6:$F$89,"Marketing",Headcount!$H$6:$H$89,"&gt;"&amp;BR3,Headcount!$G$6:$G$89,"&lt;"&amp;BR3)+BR8-BR9),(BQ7+BR8-BR9)),SUMIFS(Headcount!$B$6:$B$89,Headcount!$F$6:$F$89,"Marketing",Headcount!$H$6:$H$89,"&gt;"&amp;BR3,Headcount!$G$6:$G$89,"&lt;"&amp;BQ3))</f>
        <v>9</v>
      </c>
      <c r="BS7" s="781">
        <f>IF(BS4="forecast",IF(BR4="actual",(SUMIFS(Headcount!$B$6:$B$89,Headcount!$F$6:$F$89,"Marketing",Headcount!$H$6:$H$89,"&gt;"&amp;BS3,Headcount!$G$6:$G$89,"&lt;"&amp;BS3)+BS8-BS9),(BR7+BS8-BS9)),SUMIFS(Headcount!$B$6:$B$89,Headcount!$F$6:$F$89,"Marketing",Headcount!$H$6:$H$89,"&gt;"&amp;BS3,Headcount!$G$6:$G$89,"&lt;"&amp;BR3))</f>
        <v>9</v>
      </c>
      <c r="BT7" s="781">
        <f>IF(BT4="forecast",IF(BS4="actual",(SUMIFS(Headcount!$B$6:$B$89,Headcount!$F$6:$F$89,"Marketing",Headcount!$H$6:$H$89,"&gt;"&amp;BT3,Headcount!$G$6:$G$89,"&lt;"&amp;BT3)+BT8-BT9),(BS7+BT8-BT9)),SUMIFS(Headcount!$B$6:$B$89,Headcount!$F$6:$F$89,"Marketing",Headcount!$H$6:$H$89,"&gt;"&amp;BT3,Headcount!$G$6:$G$89,"&lt;"&amp;BS3))</f>
        <v>9</v>
      </c>
      <c r="BU7" s="781">
        <f>IF(BU4="forecast",IF(BT4="actual",(SUMIFS(Headcount!$B$6:$B$89,Headcount!$F$6:$F$89,"Marketing",Headcount!$H$6:$H$89,"&gt;"&amp;BU3,Headcount!$G$6:$G$89,"&lt;"&amp;BU3)+BU8-BU9),(BT7+BU8-BU9)),SUMIFS(Headcount!$B$6:$B$89,Headcount!$F$6:$F$89,"Marketing",Headcount!$H$6:$H$89,"&gt;"&amp;BU3,Headcount!$G$6:$G$89,"&lt;"&amp;BT3))</f>
        <v>9</v>
      </c>
      <c r="BV7" s="782">
        <f>IF(BV4="forecast",IF(BU4="actual",(SUMIFS(Headcount!$B$6:$B$89,Headcount!$F$6:$F$89,"Marketing",Headcount!$H$6:$H$89,"&gt;"&amp;BV3,Headcount!$G$6:$G$89,"&lt;"&amp;BV3)+BV8-BV9),(BU7+BV8-BV9)),SUMIFS(Headcount!$B$6:$B$89,Headcount!$F$6:$F$89,"Marketing",Headcount!$H$6:$H$89,"&gt;"&amp;BV3,Headcount!$G$6:$G$89,"&lt;"&amp;BU3))</f>
        <v>9</v>
      </c>
    </row>
    <row r="8" spans="2:74" x14ac:dyDescent="0.25">
      <c r="B8" s="777" t="s">
        <v>14</v>
      </c>
      <c r="C8" s="781">
        <f>SUMIFS('New Hires Forecast'!$B$5:$B$84,'New Hires Forecast'!$G$5:$G$84,"&gt;"&amp;Marketing!B3,'New Hires Forecast'!$G$5:$G$84,"&lt;="&amp;Marketing!C3,'New Hires Forecast'!$F$5:$F$84,"Marketing")</f>
        <v>0</v>
      </c>
      <c r="D8" s="781">
        <f>SUMIFS('New Hires Forecast'!$B$5:$B$84,'New Hires Forecast'!$G$5:$G$84,"&gt;"&amp;Marketing!C3,'New Hires Forecast'!$G$5:$G$84,"&lt;="&amp;Marketing!D3,'New Hires Forecast'!$F$5:$F$84,"Marketing")</f>
        <v>0</v>
      </c>
      <c r="E8" s="781">
        <f>SUMIFS('New Hires Forecast'!$B$5:$B$84,'New Hires Forecast'!$G$5:$G$84,"&gt;"&amp;Marketing!D3,'New Hires Forecast'!$G$5:$G$84,"&lt;="&amp;Marketing!E3,'New Hires Forecast'!$F$5:$F$84,"Marketing")</f>
        <v>0</v>
      </c>
      <c r="F8" s="781">
        <f>SUMIFS('New Hires Forecast'!$B$5:$B$84,'New Hires Forecast'!$G$5:$G$84,"&gt;"&amp;Marketing!E3,'New Hires Forecast'!$G$5:$G$84,"&lt;="&amp;Marketing!F3,'New Hires Forecast'!$F$5:$F$84,"Marketing")</f>
        <v>0</v>
      </c>
      <c r="G8" s="781">
        <f>SUMIFS('New Hires Forecast'!$B$5:$B$84,'New Hires Forecast'!$G$5:$G$84,"&gt;"&amp;Marketing!F3,'New Hires Forecast'!$G$5:$G$84,"&lt;="&amp;Marketing!G3,'New Hires Forecast'!$F$5:$F$84,"Marketing")</f>
        <v>0</v>
      </c>
      <c r="H8" s="781">
        <f>SUMIFS('New Hires Forecast'!$B$5:$B$84,'New Hires Forecast'!$G$5:$G$84,"&gt;"&amp;Marketing!G3,'New Hires Forecast'!$G$5:$G$84,"&lt;="&amp;Marketing!H3,'New Hires Forecast'!$F$5:$F$84,"Marketing")</f>
        <v>0</v>
      </c>
      <c r="I8" s="781">
        <f>SUMIFS('New Hires Forecast'!$B$5:$B$84,'New Hires Forecast'!$G$5:$G$84,"&gt;"&amp;Marketing!H3,'New Hires Forecast'!$G$5:$G$84,"&lt;="&amp;Marketing!I3,'New Hires Forecast'!$F$5:$F$84,"Marketing")</f>
        <v>0</v>
      </c>
      <c r="J8" s="781">
        <f>SUMIFS('New Hires Forecast'!$B$5:$B$84,'New Hires Forecast'!$G$5:$G$84,"&gt;"&amp;Marketing!I3,'New Hires Forecast'!$G$5:$G$84,"&lt;="&amp;Marketing!J3,'New Hires Forecast'!$F$5:$F$84,"Marketing")</f>
        <v>0</v>
      </c>
      <c r="K8" s="781">
        <f>SUMIFS('New Hires Forecast'!$B$5:$B$84,'New Hires Forecast'!$G$5:$G$84,"&gt;"&amp;Marketing!J3,'New Hires Forecast'!$G$5:$G$84,"&lt;="&amp;Marketing!K3,'New Hires Forecast'!$F$5:$F$84,"Marketing")</f>
        <v>0</v>
      </c>
      <c r="L8" s="781">
        <f>SUMIFS('New Hires Forecast'!$B$5:$B$84,'New Hires Forecast'!$G$5:$G$84,"&gt;"&amp;Marketing!K3,'New Hires Forecast'!$G$5:$G$84,"&lt;="&amp;Marketing!L3,'New Hires Forecast'!$F$5:$F$84,"Marketing")</f>
        <v>0</v>
      </c>
      <c r="M8" s="781">
        <f>SUMIFS('New Hires Forecast'!$B$5:$B$84,'New Hires Forecast'!$G$5:$G$84,"&gt;"&amp;Marketing!L3,'New Hires Forecast'!$G$5:$G$84,"&lt;="&amp;Marketing!M3,'New Hires Forecast'!$F$5:$F$84,"Marketing")</f>
        <v>0</v>
      </c>
      <c r="N8" s="781">
        <f>SUMIFS('New Hires Forecast'!$B$5:$B$84,'New Hires Forecast'!$G$5:$G$84,"&gt;"&amp;Marketing!M3,'New Hires Forecast'!$G$5:$G$84,"&lt;="&amp;Marketing!N3,'New Hires Forecast'!$F$5:$F$84,"Marketing")</f>
        <v>0</v>
      </c>
      <c r="O8" s="781">
        <f>SUMIFS('New Hires Forecast'!$B$5:$B$84,'New Hires Forecast'!$G$5:$G$84,"&gt;"&amp;Marketing!N3,'New Hires Forecast'!$G$5:$G$84,"&lt;="&amp;Marketing!O3,'New Hires Forecast'!$F$5:$F$84,"Marketing")</f>
        <v>0</v>
      </c>
      <c r="P8" s="781">
        <f>SUMIFS('New Hires Forecast'!$B$5:$B$84,'New Hires Forecast'!$G$5:$G$84,"&gt;"&amp;Marketing!O3,'New Hires Forecast'!$G$5:$G$84,"&lt;="&amp;Marketing!P3,'New Hires Forecast'!$F$5:$F$84,"Marketing")</f>
        <v>0</v>
      </c>
      <c r="Q8" s="781">
        <f>SUMIFS('New Hires Forecast'!$B$5:$B$84,'New Hires Forecast'!$G$5:$G$84,"&gt;"&amp;Marketing!P3,'New Hires Forecast'!$G$5:$G$84,"&lt;="&amp;Marketing!Q3,'New Hires Forecast'!$F$5:$F$84,"Marketing")</f>
        <v>0</v>
      </c>
      <c r="R8" s="781">
        <f>SUMIFS('New Hires Forecast'!$B$5:$B$84,'New Hires Forecast'!$G$5:$G$84,"&gt;"&amp;Marketing!Q3,'New Hires Forecast'!$G$5:$G$84,"&lt;="&amp;Marketing!R3,'New Hires Forecast'!$F$5:$F$84,"Marketing")</f>
        <v>0</v>
      </c>
      <c r="S8" s="781">
        <f>SUMIFS('New Hires Forecast'!$B$5:$B$84,'New Hires Forecast'!$G$5:$G$84,"&gt;"&amp;Marketing!R3,'New Hires Forecast'!$G$5:$G$84,"&lt;="&amp;Marketing!S3,'New Hires Forecast'!$F$5:$F$84,"Marketing")</f>
        <v>0</v>
      </c>
      <c r="T8" s="781">
        <f>SUMIFS('New Hires Forecast'!$B$5:$B$84,'New Hires Forecast'!$G$5:$G$84,"&gt;"&amp;Marketing!S3,'New Hires Forecast'!$G$5:$G$84,"&lt;="&amp;Marketing!T3,'New Hires Forecast'!$F$5:$F$84,"Marketing")</f>
        <v>0</v>
      </c>
      <c r="U8" s="781">
        <f>SUMIFS('New Hires Forecast'!$B$5:$B$84,'New Hires Forecast'!$G$5:$G$84,"&gt;"&amp;Marketing!T3,'New Hires Forecast'!$G$5:$G$84,"&lt;="&amp;Marketing!U3,'New Hires Forecast'!$F$5:$F$84,"Marketing")</f>
        <v>0</v>
      </c>
      <c r="V8" s="781">
        <f>SUMIFS('New Hires Forecast'!$B$5:$B$84,'New Hires Forecast'!$G$5:$G$84,"&gt;"&amp;Marketing!U3,'New Hires Forecast'!$G$5:$G$84,"&lt;="&amp;Marketing!V3,'New Hires Forecast'!$F$5:$F$84,"Marketing")</f>
        <v>0</v>
      </c>
      <c r="W8" s="781">
        <f>SUMIFS('New Hires Forecast'!$B$5:$B$84,'New Hires Forecast'!$G$5:$G$84,"&gt;"&amp;Marketing!V3,'New Hires Forecast'!$G$5:$G$84,"&lt;="&amp;Marketing!W3,'New Hires Forecast'!$F$5:$F$84,"Marketing")</f>
        <v>0</v>
      </c>
      <c r="X8" s="781">
        <f>SUMIFS('New Hires Forecast'!$B$5:$B$84,'New Hires Forecast'!$G$5:$G$84,"&gt;"&amp;Marketing!W3,'New Hires Forecast'!$G$5:$G$84,"&lt;="&amp;Marketing!X3,'New Hires Forecast'!$F$5:$F$84,"Marketing")</f>
        <v>0</v>
      </c>
      <c r="Y8" s="781">
        <f>SUMIFS('New Hires Forecast'!$B$5:$B$84,'New Hires Forecast'!$G$5:$G$84,"&gt;"&amp;Marketing!X3,'New Hires Forecast'!$G$5:$G$84,"&lt;="&amp;Marketing!Y3,'New Hires Forecast'!$F$5:$F$84,"Marketing")</f>
        <v>0</v>
      </c>
      <c r="Z8" s="781">
        <f>SUMIFS('New Hires Forecast'!$B$5:$B$84,'New Hires Forecast'!$G$5:$G$84,"&gt;"&amp;Marketing!Y3,'New Hires Forecast'!$G$5:$G$84,"&lt;="&amp;Marketing!Z3,'New Hires Forecast'!$F$5:$F$84,"Marketing")</f>
        <v>0</v>
      </c>
      <c r="AA8" s="781">
        <f>SUMIFS('New Hires Forecast'!$B$5:$B$84,'New Hires Forecast'!$G$5:$G$84,"&gt;"&amp;Marketing!Z3,'New Hires Forecast'!$G$5:$G$84,"&lt;="&amp;Marketing!AA3,'New Hires Forecast'!$F$5:$F$84,"Marketing")</f>
        <v>0</v>
      </c>
      <c r="AB8" s="781">
        <f>SUMIFS('New Hires Forecast'!$B$5:$B$84,'New Hires Forecast'!$G$5:$G$84,"&gt;"&amp;Marketing!AA3,'New Hires Forecast'!$G$5:$G$84,"&lt;="&amp;Marketing!AB3,'New Hires Forecast'!$F$5:$F$84,"Marketing")</f>
        <v>0</v>
      </c>
      <c r="AC8" s="781">
        <f>SUMIFS('New Hires Forecast'!$B$5:$B$84,'New Hires Forecast'!$G$5:$G$84,"&gt;"&amp;Marketing!AB3,'New Hires Forecast'!$G$5:$G$84,"&lt;="&amp;Marketing!AC3,'New Hires Forecast'!$F$5:$F$84,"Marketing")</f>
        <v>0</v>
      </c>
      <c r="AD8" s="781">
        <f>SUMIFS('New Hires Forecast'!$B$5:$B$84,'New Hires Forecast'!$G$5:$G$84,"&gt;"&amp;Marketing!AC3,'New Hires Forecast'!$G$5:$G$84,"&lt;="&amp;Marketing!AD3,'New Hires Forecast'!$F$5:$F$84,"Marketing")</f>
        <v>1</v>
      </c>
      <c r="AE8" s="781">
        <f>SUMIFS('New Hires Forecast'!$B$5:$B$84,'New Hires Forecast'!$G$5:$G$84,"&gt;"&amp;Marketing!AD3,'New Hires Forecast'!$G$5:$G$84,"&lt;="&amp;Marketing!AE3,'New Hires Forecast'!$F$5:$F$84,"Marketing")</f>
        <v>0</v>
      </c>
      <c r="AF8" s="781">
        <f>SUMIFS('New Hires Forecast'!$B$5:$B$84,'New Hires Forecast'!$G$5:$G$84,"&gt;"&amp;Marketing!AE3,'New Hires Forecast'!$G$5:$G$84,"&lt;="&amp;Marketing!AF3,'New Hires Forecast'!$F$5:$F$84,"Marketing")</f>
        <v>2</v>
      </c>
      <c r="AG8" s="781">
        <f>SUMIFS('New Hires Forecast'!$B$5:$B$84,'New Hires Forecast'!$G$5:$G$84,"&gt;"&amp;Marketing!AF3,'New Hires Forecast'!$G$5:$G$84,"&lt;="&amp;Marketing!AG3,'New Hires Forecast'!$F$5:$F$84,"Marketing")</f>
        <v>0</v>
      </c>
      <c r="AH8" s="781">
        <f>SUMIFS('New Hires Forecast'!$B$5:$B$84,'New Hires Forecast'!$G$5:$G$84,"&gt;"&amp;Marketing!AG3,'New Hires Forecast'!$G$5:$G$84,"&lt;="&amp;Marketing!AH3,'New Hires Forecast'!$F$5:$F$84,"Marketing")</f>
        <v>0</v>
      </c>
      <c r="AI8" s="781">
        <f>SUMIFS('New Hires Forecast'!$B$5:$B$84,'New Hires Forecast'!$G$5:$G$84,"&gt;"&amp;Marketing!AH3,'New Hires Forecast'!$G$5:$G$84,"&lt;="&amp;Marketing!AI3,'New Hires Forecast'!$F$5:$F$84,"Marketing")</f>
        <v>0</v>
      </c>
      <c r="AJ8" s="781">
        <f>SUMIFS('New Hires Forecast'!$B$5:$B$84,'New Hires Forecast'!$G$5:$G$84,"&gt;"&amp;Marketing!AI3,'New Hires Forecast'!$G$5:$G$84,"&lt;="&amp;Marketing!AJ3,'New Hires Forecast'!$F$5:$F$84,"Marketing")</f>
        <v>0</v>
      </c>
      <c r="AK8" s="781">
        <f>SUMIFS('New Hires Forecast'!$B$5:$B$84,'New Hires Forecast'!$G$5:$G$84,"&gt;"&amp;Marketing!AJ3,'New Hires Forecast'!$G$5:$G$84,"&lt;="&amp;Marketing!AK3,'New Hires Forecast'!$F$5:$F$84,"Marketing")</f>
        <v>0</v>
      </c>
      <c r="AL8" s="781">
        <f>SUMIFS('New Hires Forecast'!$B$5:$B$84,'New Hires Forecast'!$G$5:$G$84,"&gt;"&amp;Marketing!AK3,'New Hires Forecast'!$G$5:$G$84,"&lt;="&amp;Marketing!AL3,'New Hires Forecast'!$F$5:$F$84,"Marketing")</f>
        <v>0</v>
      </c>
      <c r="AM8" s="781">
        <f>SUMIFS('New Hires Forecast'!$B$5:$B$84,'New Hires Forecast'!$G$5:$G$84,"&gt;"&amp;Marketing!AL3,'New Hires Forecast'!$G$5:$G$84,"&lt;="&amp;Marketing!AM3,'New Hires Forecast'!$F$5:$F$84,"Marketing")</f>
        <v>0</v>
      </c>
      <c r="AN8" s="781">
        <f>SUMIFS('New Hires Forecast'!$B$5:$B$84,'New Hires Forecast'!$G$5:$G$84,"&gt;"&amp;Marketing!AM3,'New Hires Forecast'!$G$5:$G$84,"&lt;="&amp;Marketing!AN3,'New Hires Forecast'!$F$5:$F$84,"Marketing")</f>
        <v>0</v>
      </c>
      <c r="AO8" s="781">
        <f>SUMIFS('New Hires Forecast'!$B$5:$B$84,'New Hires Forecast'!$G$5:$G$84,"&gt;"&amp;Marketing!AN3,'New Hires Forecast'!$G$5:$G$84,"&lt;="&amp;Marketing!AO3,'New Hires Forecast'!$F$5:$F$84,"Marketing")</f>
        <v>0</v>
      </c>
      <c r="AP8" s="781">
        <f>SUMIFS('New Hires Forecast'!$B$5:$B$84,'New Hires Forecast'!$G$5:$G$84,"&gt;"&amp;Marketing!AO3,'New Hires Forecast'!$G$5:$G$84,"&lt;="&amp;Marketing!AP3,'New Hires Forecast'!$F$5:$F$84,"Marketing")</f>
        <v>0</v>
      </c>
      <c r="AQ8" s="781">
        <f>SUMIFS('New Hires Forecast'!$B$5:$B$84,'New Hires Forecast'!$G$5:$G$84,"&gt;"&amp;Marketing!AP3,'New Hires Forecast'!$G$5:$G$84,"&lt;="&amp;Marketing!AQ3,'New Hires Forecast'!$F$5:$F$84,"Marketing")</f>
        <v>0</v>
      </c>
      <c r="AR8" s="781">
        <f>SUMIFS('New Hires Forecast'!$B$5:$B$84,'New Hires Forecast'!$G$5:$G$84,"&gt;"&amp;Marketing!AQ3,'New Hires Forecast'!$G$5:$G$84,"&lt;="&amp;Marketing!AR3,'New Hires Forecast'!$F$5:$F$84,"Marketing")</f>
        <v>0</v>
      </c>
      <c r="AS8" s="781">
        <f>SUMIFS('New Hires Forecast'!$B$5:$B$84,'New Hires Forecast'!$G$5:$G$84,"&gt;"&amp;Marketing!AR3,'New Hires Forecast'!$G$5:$G$84,"&lt;="&amp;Marketing!AS3,'New Hires Forecast'!$F$5:$F$84,"Marketing")</f>
        <v>0</v>
      </c>
      <c r="AT8" s="781">
        <f>SUMIFS('New Hires Forecast'!$B$5:$B$84,'New Hires Forecast'!$G$5:$G$84,"&gt;"&amp;Marketing!AS3,'New Hires Forecast'!$G$5:$G$84,"&lt;="&amp;Marketing!AT3,'New Hires Forecast'!$F$5:$F$84,"Marketing")</f>
        <v>0</v>
      </c>
      <c r="AU8" s="781">
        <f>SUMIFS('New Hires Forecast'!$B$5:$B$84,'New Hires Forecast'!$G$5:$G$84,"&gt;"&amp;Marketing!AT3,'New Hires Forecast'!$G$5:$G$84,"&lt;="&amp;Marketing!AU3,'New Hires Forecast'!$F$5:$F$84,"Marketing")</f>
        <v>0</v>
      </c>
      <c r="AV8" s="781">
        <f>SUMIFS('New Hires Forecast'!$B$5:$B$84,'New Hires Forecast'!$G$5:$G$84,"&gt;"&amp;Marketing!AU3,'New Hires Forecast'!$G$5:$G$84,"&lt;="&amp;Marketing!AV3,'New Hires Forecast'!$F$5:$F$84,"Marketing")</f>
        <v>0</v>
      </c>
      <c r="AW8" s="781">
        <f>SUMIFS('New Hires Forecast'!$B$5:$B$84,'New Hires Forecast'!$G$5:$G$84,"&gt;"&amp;Marketing!AV3,'New Hires Forecast'!$G$5:$G$84,"&lt;="&amp;Marketing!AW3,'New Hires Forecast'!$F$5:$F$84,"Marketing")</f>
        <v>0</v>
      </c>
      <c r="AX8" s="781">
        <f>SUMIFS('New Hires Forecast'!$B$5:$B$84,'New Hires Forecast'!$G$5:$G$84,"&gt;"&amp;Marketing!AW3,'New Hires Forecast'!$G$5:$G$84,"&lt;="&amp;Marketing!AX3,'New Hires Forecast'!$F$5:$F$84,"Marketing")</f>
        <v>0</v>
      </c>
      <c r="AY8" s="781">
        <f>SUMIFS('New Hires Forecast'!$B$5:$B$84,'New Hires Forecast'!$G$5:$G$84,"&gt;"&amp;Marketing!AX3,'New Hires Forecast'!$G$5:$G$84,"&lt;="&amp;Marketing!AY3,'New Hires Forecast'!$F$5:$F$84,"Marketing")</f>
        <v>0</v>
      </c>
      <c r="AZ8" s="781">
        <f>SUMIFS('New Hires Forecast'!$B$5:$B$84,'New Hires Forecast'!$G$5:$G$84,"&gt;"&amp;Marketing!AY3,'New Hires Forecast'!$G$5:$G$84,"&lt;="&amp;Marketing!AZ3,'New Hires Forecast'!$F$5:$F$84,"Marketing")</f>
        <v>0</v>
      </c>
      <c r="BA8" s="781">
        <f>SUMIFS('New Hires Forecast'!$B$5:$B$84,'New Hires Forecast'!$G$5:$G$84,"&gt;"&amp;Marketing!AZ3,'New Hires Forecast'!$G$5:$G$84,"&lt;="&amp;Marketing!BA3,'New Hires Forecast'!$F$5:$F$84,"Marketing")</f>
        <v>0</v>
      </c>
      <c r="BB8" s="781">
        <f>SUMIFS('New Hires Forecast'!$B$5:$B$84,'New Hires Forecast'!$G$5:$G$84,"&gt;"&amp;Marketing!BA3,'New Hires Forecast'!$G$5:$G$84,"&lt;="&amp;Marketing!BB3,'New Hires Forecast'!$F$5:$F$84,"Marketing")</f>
        <v>0</v>
      </c>
      <c r="BC8" s="781">
        <f>SUMIFS('New Hires Forecast'!$B$5:$B$84,'New Hires Forecast'!$G$5:$G$84,"&gt;"&amp;Marketing!BB3,'New Hires Forecast'!$G$5:$G$84,"&lt;="&amp;Marketing!BC3,'New Hires Forecast'!$F$5:$F$84,"Marketing")</f>
        <v>0</v>
      </c>
      <c r="BD8" s="781">
        <f>SUMIFS('New Hires Forecast'!$B$5:$B$84,'New Hires Forecast'!$G$5:$G$84,"&gt;"&amp;Marketing!BC3,'New Hires Forecast'!$G$5:$G$84,"&lt;="&amp;Marketing!BD3,'New Hires Forecast'!$F$5:$F$84,"Marketing")</f>
        <v>0</v>
      </c>
      <c r="BE8" s="781">
        <f>SUMIFS('New Hires Forecast'!$B$5:$B$84,'New Hires Forecast'!$G$5:$G$84,"&gt;"&amp;Marketing!BD3,'New Hires Forecast'!$G$5:$G$84,"&lt;="&amp;Marketing!BE3,'New Hires Forecast'!$F$5:$F$84,"Marketing")</f>
        <v>0</v>
      </c>
      <c r="BF8" s="781">
        <f>SUMIFS('New Hires Forecast'!$B$5:$B$84,'New Hires Forecast'!$G$5:$G$84,"&gt;"&amp;Marketing!BE3,'New Hires Forecast'!$G$5:$G$84,"&lt;="&amp;Marketing!BF3,'New Hires Forecast'!$F$5:$F$84,"Marketing")</f>
        <v>0</v>
      </c>
      <c r="BG8" s="781">
        <f>SUMIFS('New Hires Forecast'!$B$5:$B$84,'New Hires Forecast'!$G$5:$G$84,"&gt;"&amp;Marketing!BF3,'New Hires Forecast'!$G$5:$G$84,"&lt;="&amp;Marketing!BG3,'New Hires Forecast'!$F$5:$F$84,"Marketing")</f>
        <v>0</v>
      </c>
      <c r="BH8" s="781">
        <f>SUMIFS('New Hires Forecast'!$B$5:$B$84,'New Hires Forecast'!$G$5:$G$84,"&gt;"&amp;Marketing!BG3,'New Hires Forecast'!$G$5:$G$84,"&lt;="&amp;Marketing!BH3,'New Hires Forecast'!$F$5:$F$84,"Marketing")</f>
        <v>0</v>
      </c>
      <c r="BI8" s="781">
        <f>SUMIFS('New Hires Forecast'!$B$5:$B$84,'New Hires Forecast'!$G$5:$G$84,"&gt;"&amp;Marketing!BH3,'New Hires Forecast'!$G$5:$G$84,"&lt;="&amp;Marketing!BI3,'New Hires Forecast'!$F$5:$F$84,"Marketing")</f>
        <v>0</v>
      </c>
      <c r="BJ8" s="781">
        <f>SUMIFS('New Hires Forecast'!$B$5:$B$84,'New Hires Forecast'!$G$5:$G$84,"&gt;"&amp;Marketing!BI3,'New Hires Forecast'!$G$5:$G$84,"&lt;="&amp;Marketing!BJ3,'New Hires Forecast'!$F$5:$F$84,"Marketing")</f>
        <v>0</v>
      </c>
      <c r="BK8" s="781">
        <f>SUMIFS('New Hires Forecast'!$B$5:$B$84,'New Hires Forecast'!$G$5:$G$84,"&gt;"&amp;Marketing!BJ3,'New Hires Forecast'!$G$5:$G$84,"&lt;="&amp;Marketing!BK3,'New Hires Forecast'!$F$5:$F$84,"Marketing")</f>
        <v>0</v>
      </c>
      <c r="BL8" s="781">
        <f>SUMIFS('New Hires Forecast'!$B$5:$B$84,'New Hires Forecast'!$G$5:$G$84,"&gt;"&amp;Marketing!BK3,'New Hires Forecast'!$G$5:$G$84,"&lt;="&amp;Marketing!BL3,'New Hires Forecast'!$F$5:$F$84,"Marketing")</f>
        <v>0</v>
      </c>
      <c r="BM8" s="781">
        <f>SUMIFS('New Hires Forecast'!$B$5:$B$84,'New Hires Forecast'!$G$5:$G$84,"&gt;"&amp;Marketing!BL3,'New Hires Forecast'!$G$5:$G$84,"&lt;="&amp;Marketing!BM3,'New Hires Forecast'!$F$5:$F$84,"Marketing")</f>
        <v>0</v>
      </c>
      <c r="BN8" s="781">
        <f>SUMIFS('New Hires Forecast'!$B$5:$B$84,'New Hires Forecast'!$G$5:$G$84,"&gt;"&amp;Marketing!BM3,'New Hires Forecast'!$G$5:$G$84,"&lt;="&amp;Marketing!BN3,'New Hires Forecast'!$F$5:$F$84,"Marketing")</f>
        <v>0</v>
      </c>
      <c r="BO8" s="781">
        <f>SUMIFS('New Hires Forecast'!$B$5:$B$84,'New Hires Forecast'!$G$5:$G$84,"&gt;"&amp;Marketing!BN3,'New Hires Forecast'!$G$5:$G$84,"&lt;="&amp;Marketing!BO3,'New Hires Forecast'!$F$5:$F$84,"Marketing")</f>
        <v>0</v>
      </c>
      <c r="BP8" s="781">
        <f>SUMIFS('New Hires Forecast'!$B$5:$B$84,'New Hires Forecast'!$G$5:$G$84,"&gt;"&amp;Marketing!BO3,'New Hires Forecast'!$G$5:$G$84,"&lt;="&amp;Marketing!BP3,'New Hires Forecast'!$F$5:$F$84,"Marketing")</f>
        <v>0</v>
      </c>
      <c r="BQ8" s="781">
        <f>SUMIFS('New Hires Forecast'!$B$5:$B$84,'New Hires Forecast'!$G$5:$G$84,"&gt;"&amp;Marketing!BP3,'New Hires Forecast'!$G$5:$G$84,"&lt;="&amp;Marketing!BQ3,'New Hires Forecast'!$F$5:$F$84,"Marketing")</f>
        <v>0</v>
      </c>
      <c r="BR8" s="781">
        <f>SUMIFS('New Hires Forecast'!$B$5:$B$84,'New Hires Forecast'!$G$5:$G$84,"&gt;"&amp;Marketing!BQ3,'New Hires Forecast'!$G$5:$G$84,"&lt;="&amp;Marketing!BR3,'New Hires Forecast'!$F$5:$F$84,"Marketing")</f>
        <v>0</v>
      </c>
      <c r="BS8" s="781">
        <f>SUMIFS('New Hires Forecast'!$B$5:$B$84,'New Hires Forecast'!$G$5:$G$84,"&gt;"&amp;Marketing!BR3,'New Hires Forecast'!$G$5:$G$84,"&lt;="&amp;Marketing!BS3,'New Hires Forecast'!$F$5:$F$84,"Marketing")</f>
        <v>0</v>
      </c>
      <c r="BT8" s="781">
        <f>SUMIFS('New Hires Forecast'!$B$5:$B$84,'New Hires Forecast'!$G$5:$G$84,"&gt;"&amp;Marketing!BS3,'New Hires Forecast'!$G$5:$G$84,"&lt;="&amp;Marketing!BT3,'New Hires Forecast'!$F$5:$F$84,"Marketing")</f>
        <v>0</v>
      </c>
      <c r="BU8" s="781">
        <f>SUMIFS('New Hires Forecast'!$B$5:$B$84,'New Hires Forecast'!$G$5:$G$84,"&gt;"&amp;Marketing!BT3,'New Hires Forecast'!$G$5:$G$84,"&lt;="&amp;Marketing!BU3,'New Hires Forecast'!$F$5:$F$84,"Marketing")</f>
        <v>0</v>
      </c>
      <c r="BV8" s="782">
        <f>SUMIFS('New Hires Forecast'!$B$5:$B$84,'New Hires Forecast'!$G$5:$G$84,"&gt;"&amp;Marketing!BU3,'New Hires Forecast'!$G$5:$G$84,"&lt;="&amp;Marketing!BV3,'New Hires Forecast'!$F$5:$F$84,"Marketing")</f>
        <v>0</v>
      </c>
    </row>
    <row r="9" spans="2:74" x14ac:dyDescent="0.25">
      <c r="B9" s="777" t="s">
        <v>149</v>
      </c>
      <c r="C9" s="781">
        <f>SUMIFS(Headcount!$B$6:$B$88,Headcount!$H$6:$H$88,"&gt;"&amp;B3,Headcount!$H$6:$H$88,"&lt;="&amp;C3,Headcount!$F$6:$F$88,"Marketing")</f>
        <v>0</v>
      </c>
      <c r="D9" s="781">
        <f>SUMIFS(Headcount!$B$6:$B$88,Headcount!$H$6:$H$88,"&gt;"&amp;C3,Headcount!$H$6:$H$88,"&lt;="&amp;D3,Headcount!$F$6:$F$88,"Marketing")</f>
        <v>0</v>
      </c>
      <c r="E9" s="781">
        <f>SUMIFS(Headcount!$B$6:$B$88,Headcount!$H$6:$H$88,"&gt;"&amp;D3,Headcount!$H$6:$H$88,"&lt;="&amp;E3,Headcount!$F$6:$F$88,"Marketing")</f>
        <v>0</v>
      </c>
      <c r="F9" s="781">
        <f>SUMIFS(Headcount!$B$6:$B$88,Headcount!$H$6:$H$88,"&gt;"&amp;E3,Headcount!$H$6:$H$88,"&lt;="&amp;F3,Headcount!$F$6:$F$88,"Marketing")</f>
        <v>0</v>
      </c>
      <c r="G9" s="781">
        <f>SUMIFS(Headcount!$B$6:$B$88,Headcount!$H$6:$H$88,"&gt;"&amp;F3,Headcount!$H$6:$H$88,"&lt;="&amp;G3,Headcount!$F$6:$F$88,"Marketing")</f>
        <v>0</v>
      </c>
      <c r="H9" s="781">
        <f>SUMIFS(Headcount!$B$6:$B$88,Headcount!$H$6:$H$88,"&gt;"&amp;G3,Headcount!$H$6:$H$88,"&lt;="&amp;H3,Headcount!$F$6:$F$88,"Marketing")</f>
        <v>0</v>
      </c>
      <c r="I9" s="781">
        <f>SUMIFS(Headcount!$B$6:$B$88,Headcount!$H$6:$H$88,"&gt;"&amp;H3,Headcount!$H$6:$H$88,"&lt;="&amp;I3,Headcount!$F$6:$F$88,"Marketing")</f>
        <v>0</v>
      </c>
      <c r="J9" s="781">
        <f>SUMIFS(Headcount!$B$6:$B$88,Headcount!$H$6:$H$88,"&gt;"&amp;I3,Headcount!$H$6:$H$88,"&lt;="&amp;J3,Headcount!$F$6:$F$88,"Marketing")</f>
        <v>0</v>
      </c>
      <c r="K9" s="781">
        <f>SUMIFS(Headcount!$B$6:$B$88,Headcount!$H$6:$H$88,"&gt;"&amp;J3,Headcount!$H$6:$H$88,"&lt;="&amp;K3,Headcount!$F$6:$F$88,"Marketing")</f>
        <v>0</v>
      </c>
      <c r="L9" s="781">
        <f>SUMIFS(Headcount!$B$6:$B$88,Headcount!$H$6:$H$88,"&gt;"&amp;K3,Headcount!$H$6:$H$88,"&lt;="&amp;L3,Headcount!$F$6:$F$88,"Marketing")</f>
        <v>0</v>
      </c>
      <c r="M9" s="781">
        <f>SUMIFS(Headcount!$B$6:$B$88,Headcount!$H$6:$H$88,"&gt;"&amp;L3,Headcount!$H$6:$H$88,"&lt;="&amp;M3,Headcount!$F$6:$F$88,"Marketing")</f>
        <v>0</v>
      </c>
      <c r="N9" s="781">
        <f>SUMIFS(Headcount!$B$6:$B$88,Headcount!$H$6:$H$88,"&gt;"&amp;M3,Headcount!$H$6:$H$88,"&lt;="&amp;N3,Headcount!$F$6:$F$88,"Marketing")</f>
        <v>0</v>
      </c>
      <c r="O9" s="781">
        <f>SUMIFS(Headcount!$B$6:$B$88,Headcount!$H$6:$H$88,"&gt;"&amp;N3,Headcount!$H$6:$H$88,"&lt;="&amp;O3,Headcount!$F$6:$F$88,"Marketing")</f>
        <v>0</v>
      </c>
      <c r="P9" s="781">
        <f>SUMIFS(Headcount!$B$6:$B$88,Headcount!$H$6:$H$88,"&gt;"&amp;O3,Headcount!$H$6:$H$88,"&lt;="&amp;P3,Headcount!$F$6:$F$88,"Marketing")</f>
        <v>0</v>
      </c>
      <c r="Q9" s="781">
        <f>SUMIFS(Headcount!$B$6:$B$88,Headcount!$H$6:$H$88,"&gt;"&amp;P3,Headcount!$H$6:$H$88,"&lt;="&amp;Q3,Headcount!$F$6:$F$88,"Marketing")</f>
        <v>0</v>
      </c>
      <c r="R9" s="781">
        <f>SUMIFS(Headcount!$B$6:$B$88,Headcount!$H$6:$H$88,"&gt;"&amp;Q3,Headcount!$H$6:$H$88,"&lt;="&amp;R3,Headcount!$F$6:$F$88,"Marketing")</f>
        <v>1</v>
      </c>
      <c r="S9" s="781">
        <f>SUMIFS(Headcount!$B$6:$B$88,Headcount!$H$6:$H$88,"&gt;"&amp;R3,Headcount!$H$6:$H$88,"&lt;="&amp;S3,Headcount!$F$6:$F$88,"Marketing")</f>
        <v>0</v>
      </c>
      <c r="T9" s="781">
        <f>SUMIFS(Headcount!$B$6:$B$88,Headcount!$H$6:$H$88,"&gt;"&amp;S3,Headcount!$H$6:$H$88,"&lt;="&amp;T3,Headcount!$F$6:$F$88,"Marketing")</f>
        <v>0</v>
      </c>
      <c r="U9" s="781">
        <f>SUMIFS(Headcount!$B$6:$B$88,Headcount!$H$6:$H$88,"&gt;"&amp;T3,Headcount!$H$6:$H$88,"&lt;="&amp;U3,Headcount!$F$6:$F$88,"Marketing")</f>
        <v>0</v>
      </c>
      <c r="V9" s="781">
        <f>SUMIFS(Headcount!$B$6:$B$88,Headcount!$H$6:$H$88,"&gt;"&amp;U3,Headcount!$H$6:$H$88,"&lt;="&amp;V3,Headcount!$F$6:$F$88,"Marketing")</f>
        <v>0</v>
      </c>
      <c r="W9" s="781">
        <f>SUMIFS(Headcount!$B$6:$B$88,Headcount!$H$6:$H$88,"&gt;"&amp;V3,Headcount!$H$6:$H$88,"&lt;="&amp;W3,Headcount!$F$6:$F$88,"Marketing")</f>
        <v>1</v>
      </c>
      <c r="X9" s="781">
        <f>SUMIFS(Headcount!$B$6:$B$88,Headcount!$H$6:$H$88,"&gt;"&amp;W3,Headcount!$H$6:$H$88,"&lt;="&amp;X3,Headcount!$F$6:$F$88,"Marketing")</f>
        <v>0</v>
      </c>
      <c r="Y9" s="781">
        <f>SUMIFS(Headcount!$B$6:$B$88,Headcount!$H$6:$H$88,"&gt;"&amp;X3,Headcount!$H$6:$H$88,"&lt;="&amp;Y3,Headcount!$F$6:$F$88,"Marketing")</f>
        <v>0</v>
      </c>
      <c r="Z9" s="781">
        <f>SUMIFS(Headcount!$B$6:$B$88,Headcount!$H$6:$H$88,"&gt;"&amp;Y3,Headcount!$H$6:$H$88,"&lt;="&amp;Z3,Headcount!$F$6:$F$88,"Marketing")</f>
        <v>0</v>
      </c>
      <c r="AA9" s="781">
        <f>SUMIFS(Headcount!$B$6:$B$88,Headcount!$H$6:$H$88,"&gt;"&amp;Z3,Headcount!$H$6:$H$88,"&lt;="&amp;AA3,Headcount!$F$6:$F$88,"Marketing")</f>
        <v>0</v>
      </c>
      <c r="AB9" s="781">
        <f>SUMIFS(Headcount!$B$6:$B$88,Headcount!$H$6:$H$88,"&gt;"&amp;AA3,Headcount!$H$6:$H$88,"&lt;="&amp;AB3,Headcount!$F$6:$F$88,"Marketing")</f>
        <v>0</v>
      </c>
      <c r="AC9" s="781">
        <f>SUMIFS(Headcount!$B$6:$B$88,Headcount!$H$6:$H$88,"&gt;"&amp;AB3,Headcount!$H$6:$H$88,"&lt;="&amp;AC3,Headcount!$F$6:$F$88,"Marketing")</f>
        <v>0</v>
      </c>
      <c r="AD9" s="781">
        <f>SUMIFS(Headcount!$B$6:$B$88,Headcount!$H$6:$H$88,"&gt;"&amp;AC3,Headcount!$H$6:$H$88,"&lt;="&amp;AD3,Headcount!$F$6:$F$88,"Marketing")</f>
        <v>0</v>
      </c>
      <c r="AE9" s="781">
        <f>SUMIFS(Headcount!$B$6:$B$88,Headcount!$H$6:$H$88,"&gt;"&amp;AD3,Headcount!$H$6:$H$88,"&lt;="&amp;AE3,Headcount!$F$6:$F$88,"Marketing")</f>
        <v>0</v>
      </c>
      <c r="AF9" s="781">
        <f>SUMIFS(Headcount!$B$6:$B$88,Headcount!$H$6:$H$88,"&gt;"&amp;AE3,Headcount!$H$6:$H$88,"&lt;="&amp;AF3,Headcount!$F$6:$F$88,"Marketing")</f>
        <v>0</v>
      </c>
      <c r="AG9" s="781">
        <f>SUMIFS(Headcount!$B$6:$B$88,Headcount!$H$6:$H$88,"&gt;"&amp;AF3,Headcount!$H$6:$H$88,"&lt;="&amp;AG3,Headcount!$F$6:$F$88,"Marketing")</f>
        <v>0</v>
      </c>
      <c r="AH9" s="781">
        <f>SUMIFS(Headcount!$B$6:$B$88,Headcount!$H$6:$H$88,"&gt;"&amp;AG3,Headcount!$H$6:$H$88,"&lt;="&amp;AH3,Headcount!$F$6:$F$88,"Marketing")</f>
        <v>0</v>
      </c>
      <c r="AI9" s="781">
        <f>SUMIFS(Headcount!$B$6:$B$88,Headcount!$H$6:$H$88,"&gt;"&amp;AH3,Headcount!$H$6:$H$88,"&lt;="&amp;AI3,Headcount!$F$6:$F$88,"Marketing")</f>
        <v>0</v>
      </c>
      <c r="AJ9" s="781">
        <f>SUMIFS(Headcount!$B$6:$B$88,Headcount!$H$6:$H$88,"&gt;"&amp;AI3,Headcount!$H$6:$H$88,"&lt;="&amp;AJ3,Headcount!$F$6:$F$88,"Marketing")</f>
        <v>0</v>
      </c>
      <c r="AK9" s="781">
        <f>SUMIFS(Headcount!$B$6:$B$88,Headcount!$H$6:$H$88,"&gt;"&amp;AJ3,Headcount!$H$6:$H$88,"&lt;="&amp;AK3,Headcount!$F$6:$F$88,"Marketing")</f>
        <v>0</v>
      </c>
      <c r="AL9" s="781">
        <f>SUMIFS(Headcount!$B$6:$B$88,Headcount!$H$6:$H$88,"&gt;"&amp;AK3,Headcount!$H$6:$H$88,"&lt;="&amp;AL3,Headcount!$F$6:$F$88,"Marketing")</f>
        <v>0</v>
      </c>
      <c r="AM9" s="781">
        <f>SUMIFS(Headcount!$B$6:$B$88,Headcount!$H$6:$H$88,"&gt;"&amp;AL3,Headcount!$H$6:$H$88,"&lt;="&amp;AM3,Headcount!$F$6:$F$88,"Marketing")</f>
        <v>0</v>
      </c>
      <c r="AN9" s="781">
        <f>SUMIFS(Headcount!$B$6:$B$88,Headcount!$H$6:$H$88,"&gt;"&amp;AM3,Headcount!$H$6:$H$88,"&lt;="&amp;AN3,Headcount!$F$6:$F$88,"Marketing")</f>
        <v>0</v>
      </c>
      <c r="AO9" s="781">
        <f>SUMIFS(Headcount!$B$6:$B$88,Headcount!$H$6:$H$88,"&gt;"&amp;AN3,Headcount!$H$6:$H$88,"&lt;="&amp;AO3,Headcount!$F$6:$F$88,"Marketing")</f>
        <v>0</v>
      </c>
      <c r="AP9" s="781">
        <f>SUMIFS(Headcount!$B$6:$B$88,Headcount!$H$6:$H$88,"&gt;"&amp;AO3,Headcount!$H$6:$H$88,"&lt;="&amp;AP3,Headcount!$F$6:$F$88,"Marketing")</f>
        <v>0</v>
      </c>
      <c r="AQ9" s="781">
        <f>SUMIFS(Headcount!$B$6:$B$88,Headcount!$H$6:$H$88,"&gt;"&amp;AP3,Headcount!$H$6:$H$88,"&lt;="&amp;AQ3,Headcount!$F$6:$F$88,"Marketing")</f>
        <v>0</v>
      </c>
      <c r="AR9" s="781">
        <f>SUMIFS(Headcount!$B$6:$B$88,Headcount!$H$6:$H$88,"&gt;"&amp;AQ3,Headcount!$H$6:$H$88,"&lt;="&amp;AR3,Headcount!$F$6:$F$88,"Marketing")</f>
        <v>0</v>
      </c>
      <c r="AS9" s="781">
        <f>SUMIFS(Headcount!$B$6:$B$88,Headcount!$H$6:$H$88,"&gt;"&amp;AR3,Headcount!$H$6:$H$88,"&lt;="&amp;AS3,Headcount!$F$6:$F$88,"Marketing")</f>
        <v>0</v>
      </c>
      <c r="AT9" s="781">
        <f>SUMIFS(Headcount!$B$6:$B$88,Headcount!$H$6:$H$88,"&gt;"&amp;AS3,Headcount!$H$6:$H$88,"&lt;="&amp;AT3,Headcount!$F$6:$F$88,"Marketing")</f>
        <v>0</v>
      </c>
      <c r="AU9" s="781">
        <f>SUMIFS(Headcount!$B$6:$B$88,Headcount!$H$6:$H$88,"&gt;"&amp;AT3,Headcount!$H$6:$H$88,"&lt;="&amp;AU3,Headcount!$F$6:$F$88,"Marketing")</f>
        <v>0</v>
      </c>
      <c r="AV9" s="781">
        <f>SUMIFS(Headcount!$B$6:$B$88,Headcount!$H$6:$H$88,"&gt;"&amp;AU3,Headcount!$H$6:$H$88,"&lt;="&amp;AV3,Headcount!$F$6:$F$88,"Marketing")</f>
        <v>0</v>
      </c>
      <c r="AW9" s="781">
        <f>SUMIFS(Headcount!$B$6:$B$88,Headcount!$H$6:$H$88,"&gt;"&amp;AV3,Headcount!$H$6:$H$88,"&lt;="&amp;AW3,Headcount!$F$6:$F$88,"Marketing")</f>
        <v>0</v>
      </c>
      <c r="AX9" s="781">
        <f>SUMIFS(Headcount!$B$6:$B$88,Headcount!$H$6:$H$88,"&gt;"&amp;AW3,Headcount!$H$6:$H$88,"&lt;="&amp;AX3,Headcount!$F$6:$F$88,"Marketing")</f>
        <v>0</v>
      </c>
      <c r="AY9" s="781">
        <f>SUMIFS(Headcount!$B$6:$B$88,Headcount!$H$6:$H$88,"&gt;"&amp;AX3,Headcount!$H$6:$H$88,"&lt;="&amp;AY3,Headcount!$F$6:$F$88,"Marketing")</f>
        <v>0</v>
      </c>
      <c r="AZ9" s="781">
        <f>SUMIFS(Headcount!$B$6:$B$88,Headcount!$H$6:$H$88,"&gt;"&amp;AY3,Headcount!$H$6:$H$88,"&lt;="&amp;AZ3,Headcount!$F$6:$F$88,"Marketing")</f>
        <v>0</v>
      </c>
      <c r="BA9" s="781">
        <f>SUMIFS(Headcount!$B$6:$B$88,Headcount!$H$6:$H$88,"&gt;"&amp;AZ3,Headcount!$H$6:$H$88,"&lt;="&amp;BA3,Headcount!$F$6:$F$88,"Marketing")</f>
        <v>0</v>
      </c>
      <c r="BB9" s="781">
        <f>SUMIFS(Headcount!$B$6:$B$88,Headcount!$H$6:$H$88,"&gt;"&amp;BA3,Headcount!$H$6:$H$88,"&lt;="&amp;BB3,Headcount!$F$6:$F$88,"Marketing")</f>
        <v>0</v>
      </c>
      <c r="BC9" s="781">
        <f>SUMIFS(Headcount!$B$6:$B$88,Headcount!$H$6:$H$88,"&gt;"&amp;BB3,Headcount!$H$6:$H$88,"&lt;="&amp;BC3,Headcount!$F$6:$F$88,"Marketing")</f>
        <v>0</v>
      </c>
      <c r="BD9" s="781">
        <f>SUMIFS(Headcount!$B$6:$B$88,Headcount!$H$6:$H$88,"&gt;"&amp;BC3,Headcount!$H$6:$H$88,"&lt;="&amp;BD3,Headcount!$F$6:$F$88,"Marketing")</f>
        <v>0</v>
      </c>
      <c r="BE9" s="781">
        <f>SUMIFS(Headcount!$B$6:$B$88,Headcount!$H$6:$H$88,"&gt;"&amp;BD3,Headcount!$H$6:$H$88,"&lt;="&amp;BE3,Headcount!$F$6:$F$88,"Marketing")</f>
        <v>0</v>
      </c>
      <c r="BF9" s="781">
        <f>SUMIFS(Headcount!$B$6:$B$88,Headcount!$H$6:$H$88,"&gt;"&amp;BE3,Headcount!$H$6:$H$88,"&lt;="&amp;BF3,Headcount!$F$6:$F$88,"Marketing")</f>
        <v>0</v>
      </c>
      <c r="BG9" s="781">
        <f>SUMIFS(Headcount!$B$6:$B$88,Headcount!$H$6:$H$88,"&gt;"&amp;BF3,Headcount!$H$6:$H$88,"&lt;="&amp;BG3,Headcount!$F$6:$F$88,"Marketing")</f>
        <v>0</v>
      </c>
      <c r="BH9" s="781">
        <f>SUMIFS(Headcount!$B$6:$B$88,Headcount!$H$6:$H$88,"&gt;"&amp;BG3,Headcount!$H$6:$H$88,"&lt;="&amp;BH3,Headcount!$F$6:$F$88,"Marketing")</f>
        <v>0</v>
      </c>
      <c r="BI9" s="781">
        <f>SUMIFS(Headcount!$B$6:$B$88,Headcount!$H$6:$H$88,"&gt;"&amp;BH3,Headcount!$H$6:$H$88,"&lt;="&amp;BI3,Headcount!$F$6:$F$88,"Marketing")</f>
        <v>0</v>
      </c>
      <c r="BJ9" s="781">
        <f>SUMIFS(Headcount!$B$6:$B$88,Headcount!$H$6:$H$88,"&gt;"&amp;BI3,Headcount!$H$6:$H$88,"&lt;="&amp;BJ3,Headcount!$F$6:$F$88,"Marketing")</f>
        <v>0</v>
      </c>
      <c r="BK9" s="781">
        <f>SUMIFS(Headcount!$B$6:$B$88,Headcount!$H$6:$H$88,"&gt;"&amp;BJ3,Headcount!$H$6:$H$88,"&lt;="&amp;BK3,Headcount!$F$6:$F$88,"Marketing")</f>
        <v>0</v>
      </c>
      <c r="BL9" s="781">
        <f>SUMIFS(Headcount!$B$6:$B$88,Headcount!$H$6:$H$88,"&gt;"&amp;BK3,Headcount!$H$6:$H$88,"&lt;="&amp;BL3,Headcount!$F$6:$F$88,"Marketing")</f>
        <v>0</v>
      </c>
      <c r="BM9" s="781">
        <f>SUMIFS(Headcount!$B$6:$B$88,Headcount!$H$6:$H$88,"&gt;"&amp;BL3,Headcount!$H$6:$H$88,"&lt;="&amp;BM3,Headcount!$F$6:$F$88,"Marketing")</f>
        <v>0</v>
      </c>
      <c r="BN9" s="781">
        <f>SUMIFS(Headcount!$B$6:$B$88,Headcount!$H$6:$H$88,"&gt;"&amp;BM3,Headcount!$H$6:$H$88,"&lt;="&amp;BN3,Headcount!$F$6:$F$88,"Marketing")</f>
        <v>0</v>
      </c>
      <c r="BO9" s="781">
        <f>SUMIFS(Headcount!$B$6:$B$88,Headcount!$H$6:$H$88,"&gt;"&amp;BN3,Headcount!$H$6:$H$88,"&lt;="&amp;BO3,Headcount!$F$6:$F$88,"Marketing")</f>
        <v>0</v>
      </c>
      <c r="BP9" s="781">
        <f>SUMIFS(Headcount!$B$6:$B$88,Headcount!$H$6:$H$88,"&gt;"&amp;BO3,Headcount!$H$6:$H$88,"&lt;="&amp;BP3,Headcount!$F$6:$F$88,"Marketing")</f>
        <v>0</v>
      </c>
      <c r="BQ9" s="781">
        <f>SUMIFS(Headcount!$B$6:$B$88,Headcount!$H$6:$H$88,"&gt;"&amp;BP3,Headcount!$H$6:$H$88,"&lt;="&amp;BQ3,Headcount!$F$6:$F$88,"Marketing")</f>
        <v>0</v>
      </c>
      <c r="BR9" s="781">
        <f>SUMIFS(Headcount!$B$6:$B$88,Headcount!$H$6:$H$88,"&gt;"&amp;BQ3,Headcount!$H$6:$H$88,"&lt;="&amp;BR3,Headcount!$F$6:$F$88,"Marketing")</f>
        <v>0</v>
      </c>
      <c r="BS9" s="781">
        <f>SUMIFS(Headcount!$B$6:$B$88,Headcount!$H$6:$H$88,"&gt;"&amp;BR3,Headcount!$H$6:$H$88,"&lt;="&amp;BS3,Headcount!$F$6:$F$88,"Marketing")</f>
        <v>0</v>
      </c>
      <c r="BT9" s="781">
        <f>SUMIFS(Headcount!$B$6:$B$88,Headcount!$H$6:$H$88,"&gt;"&amp;BS3,Headcount!$H$6:$H$88,"&lt;="&amp;BT3,Headcount!$F$6:$F$88,"Marketing")</f>
        <v>0</v>
      </c>
      <c r="BU9" s="781">
        <f>SUMIFS(Headcount!$B$6:$B$88,Headcount!$H$6:$H$88,"&gt;"&amp;BT3,Headcount!$H$6:$H$88,"&lt;="&amp;BU3,Headcount!$F$6:$F$88,"Marketing")</f>
        <v>0</v>
      </c>
      <c r="BV9" s="782">
        <f>SUMIFS(Headcount!$B$6:$B$88,Headcount!$H$6:$H$88,"&gt;"&amp;BU3,Headcount!$H$6:$H$88,"&lt;="&amp;BV3,Headcount!$F$6:$F$88,"Marketing")</f>
        <v>0</v>
      </c>
    </row>
    <row r="10" spans="2:74" x14ac:dyDescent="0.25">
      <c r="B10" s="783"/>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784"/>
    </row>
    <row r="11" spans="2:74" x14ac:dyDescent="0.25">
      <c r="B11" s="785" t="s">
        <v>926</v>
      </c>
      <c r="C11" s="786"/>
      <c r="D11" s="786"/>
      <c r="E11" s="786"/>
      <c r="F11" s="786"/>
      <c r="G11" s="786"/>
      <c r="H11" s="786"/>
      <c r="I11" s="786"/>
      <c r="J11" s="786"/>
      <c r="K11" s="786"/>
      <c r="L11" s="786"/>
      <c r="M11" s="786"/>
      <c r="N11" s="786"/>
      <c r="O11" s="787"/>
      <c r="P11" s="787"/>
      <c r="Q11" s="787"/>
      <c r="R11" s="787"/>
      <c r="S11" s="787"/>
      <c r="T11" s="787"/>
      <c r="U11" s="787"/>
      <c r="V11" s="787"/>
      <c r="W11" s="787"/>
      <c r="X11" s="787"/>
      <c r="Y11" s="787"/>
      <c r="Z11" s="787"/>
      <c r="AA11" s="787"/>
      <c r="AB11" s="787"/>
      <c r="AC11" s="787"/>
      <c r="AD11" s="787"/>
      <c r="AE11" s="787"/>
      <c r="AF11" s="787"/>
      <c r="AG11" s="787"/>
      <c r="AH11" s="787"/>
      <c r="AI11" s="787"/>
      <c r="AJ11" s="787"/>
      <c r="AK11" s="787"/>
      <c r="AL11" s="787"/>
      <c r="AM11" s="787"/>
      <c r="AN11" s="787"/>
      <c r="AO11" s="787"/>
      <c r="AP11" s="787"/>
      <c r="AQ11" s="787"/>
      <c r="AR11" s="787"/>
      <c r="AS11" s="787"/>
      <c r="AT11" s="787"/>
      <c r="AU11" s="787"/>
      <c r="AV11" s="787"/>
      <c r="AW11" s="787"/>
      <c r="AX11" s="787"/>
      <c r="AY11" s="787"/>
      <c r="AZ11" s="787"/>
      <c r="BA11" s="787"/>
      <c r="BB11" s="787"/>
      <c r="BC11" s="787"/>
      <c r="BD11" s="787"/>
      <c r="BE11" s="787"/>
      <c r="BF11" s="787"/>
      <c r="BG11" s="787"/>
      <c r="BH11" s="787"/>
      <c r="BI11" s="787"/>
      <c r="BJ11" s="787"/>
      <c r="BK11" s="787"/>
      <c r="BL11" s="787"/>
      <c r="BM11" s="787"/>
      <c r="BN11" s="787"/>
      <c r="BO11" s="787"/>
      <c r="BP11" s="787"/>
      <c r="BQ11" s="787"/>
      <c r="BR11" s="787"/>
      <c r="BS11" s="787"/>
      <c r="BT11" s="787"/>
      <c r="BU11" s="787"/>
      <c r="BV11" s="788"/>
    </row>
    <row r="12" spans="2:74" x14ac:dyDescent="0.25">
      <c r="B12" s="780" t="s">
        <v>927</v>
      </c>
      <c r="C12" s="1139">
        <f>IF(C$4="forecast",IF(YEAR(C$3)=YEAR(Headcount!$N$4),((SUMIFS(Headcount!$N$6:$N$89,Headcount!$F$6:$F$89,"Marketing",Headcount!$H$6:$H$89,"&gt;="&amp;Marketing!C$3)/12)),IF(YEAR(C$3)=YEAR(Headcount!$O$4),IF((C$5=2),((SUMIFS(Headcount!$O$6:$O$89,Headcount!$F$6:$F$89,"Marketing",Headcount!$H$6:$H$89,"&gt;="&amp;Marketing!C$3)/12)),B12),IF(YEAR(C$3)=YEAR(Headcount!$P$4),IF((C$5=2),((SUMIFS(Headcount!$P$6:$P$89,Headcount!$F$6:$F$89,"Marketing",Headcount!$H$6:$H$89,"&gt;="&amp;Marketing!C$3)/12)),B12),IF(YEAR(C$3)=YEAR(Headcount!$Q$4),IF((C$5=2),((SUMIFS(Headcount!$Q$6:$Q$89,Headcount!$F$6:$F$89,"Marketing",Headcount!$H$6:$H$89,"&gt;="&amp;Marketing!C$3)/12)),B12),IF(YEAR(C$3)=YEAR(Headcount!$R$4),IF((C$5=2),((SUMIFS(Headcount!$R$6:$R$89,Headcount!$F$6:$F$89,"Marketing",Headcount!$H$6:$H$89,"&gt;="&amp;Marketing!C$3)/12)),B12),"New Year"))))),SUMIF('Dept. Cost Actuals'!$E$7:$E$176,"*salary*",'Dept. Cost Actuals'!G$181:G$350))</f>
        <v>26313.599999999999</v>
      </c>
      <c r="D12" s="1139">
        <f>IF(D$4="forecast",IF(YEAR(D$3)=YEAR(Headcount!$N$4),((SUMIFS(Headcount!$N$6:$N$89,Headcount!$F$6:$F$89,"Marketing",Headcount!$H$6:$H$89,"&gt;="&amp;Marketing!D$3)/12)),IF(YEAR(D$3)=YEAR(Headcount!$O$4),IF((D$5=2),((SUMIFS(Headcount!$O$6:$O$89,Headcount!$F$6:$F$89,"Marketing",Headcount!$H$6:$H$89,"&gt;="&amp;Marketing!D$3)/12)),C12),IF(YEAR(D$3)=YEAR(Headcount!$P$4),IF((D$5=2),((SUMIFS(Headcount!$P$6:$P$89,Headcount!$F$6:$F$89,"Marketing",Headcount!$H$6:$H$89,"&gt;="&amp;Marketing!D$3)/12)),C12),IF(YEAR(D$3)=YEAR(Headcount!$Q$4),IF((D$5=2),((SUMIFS(Headcount!$Q$6:$Q$89,Headcount!$F$6:$F$89,"Marketing",Headcount!$H$6:$H$89,"&gt;="&amp;Marketing!D$3)/12)),C12),IF(YEAR(D$3)=YEAR(Headcount!$R$4),IF((D$5=2),((SUMIFS(Headcount!$R$6:$R$89,Headcount!$F$6:$F$89,"Marketing",Headcount!$H$6:$H$89,"&gt;="&amp;Marketing!D$3)/12)),C12),"New Year"))))),SUMIF('Dept. Cost Actuals'!$E$7:$E$176,"*salary*",'Dept. Cost Actuals'!H$181:H$350))</f>
        <v>24678.98</v>
      </c>
      <c r="E12" s="1139">
        <f>IF(E$4="forecast",IF(YEAR(E$3)=YEAR(Headcount!$N$4),((SUMIFS(Headcount!$N$6:$N$89,Headcount!$F$6:$F$89,"Marketing",Headcount!$H$6:$H$89,"&gt;="&amp;Marketing!E$3)/12)),IF(YEAR(E$3)=YEAR(Headcount!$O$4),IF((E$5=2),((SUMIFS(Headcount!$O$6:$O$89,Headcount!$F$6:$F$89,"Marketing",Headcount!$H$6:$H$89,"&gt;="&amp;Marketing!E$3)/12)),D12),IF(YEAR(E$3)=YEAR(Headcount!$P$4),IF((E$5=2),((SUMIFS(Headcount!$P$6:$P$89,Headcount!$F$6:$F$89,"Marketing",Headcount!$H$6:$H$89,"&gt;="&amp;Marketing!E$3)/12)),D12),IF(YEAR(E$3)=YEAR(Headcount!$Q$4),IF((E$5=2),((SUMIFS(Headcount!$Q$6:$Q$89,Headcount!$F$6:$F$89,"Marketing",Headcount!$H$6:$H$89,"&gt;="&amp;Marketing!E$3)/12)),D12),IF(YEAR(E$3)=YEAR(Headcount!$R$4),IF((E$5=2),((SUMIFS(Headcount!$R$6:$R$89,Headcount!$F$6:$F$89,"Marketing",Headcount!$H$6:$H$89,"&gt;="&amp;Marketing!E$3)/12)),D12),"New Year"))))),SUMIF('Dept. Cost Actuals'!$E$7:$E$176,"*salary*",'Dept. Cost Actuals'!I$181:I$350))</f>
        <v>27275.13</v>
      </c>
      <c r="F12" s="1139">
        <f>IF(F$4="forecast",IF(YEAR(F$3)=YEAR(Headcount!$N$4),((SUMIFS(Headcount!$N$6:$N$89,Headcount!$F$6:$F$89,"Marketing",Headcount!$H$6:$H$89,"&gt;="&amp;Marketing!F$3)/12)),IF(YEAR(F$3)=YEAR(Headcount!$O$4),IF((F$5=2),((SUMIFS(Headcount!$O$6:$O$89,Headcount!$F$6:$F$89,"Marketing",Headcount!$H$6:$H$89,"&gt;="&amp;Marketing!F$3)/12)),E12),IF(YEAR(F$3)=YEAR(Headcount!$P$4),IF((F$5=2),((SUMIFS(Headcount!$P$6:$P$89,Headcount!$F$6:$F$89,"Marketing",Headcount!$H$6:$H$89,"&gt;="&amp;Marketing!F$3)/12)),E12),IF(YEAR(F$3)=YEAR(Headcount!$Q$4),IF((F$5=2),((SUMIFS(Headcount!$Q$6:$Q$89,Headcount!$F$6:$F$89,"Marketing",Headcount!$H$6:$H$89,"&gt;="&amp;Marketing!F$3)/12)),E12),IF(YEAR(F$3)=YEAR(Headcount!$R$4),IF((F$5=2),((SUMIFS(Headcount!$R$6:$R$89,Headcount!$F$6:$F$89,"Marketing",Headcount!$H$6:$H$89,"&gt;="&amp;Marketing!F$3)/12)),E12),"New Year"))))),SUMIF('Dept. Cost Actuals'!$E$7:$E$176,"*salary*",'Dept. Cost Actuals'!J$181:J$350))</f>
        <v>28140.52</v>
      </c>
      <c r="G12" s="1139">
        <f>IF(G$4="forecast",IF(YEAR(G$3)=YEAR(Headcount!$N$4),((SUMIFS(Headcount!$N$6:$N$89,Headcount!$F$6:$F$89,"Marketing",Headcount!$H$6:$H$89,"&gt;="&amp;Marketing!G$3)/12)),IF(YEAR(G$3)=YEAR(Headcount!$O$4),IF((G$5=2),((SUMIFS(Headcount!$O$6:$O$89,Headcount!$F$6:$F$89,"Marketing",Headcount!$H$6:$H$89,"&gt;="&amp;Marketing!G$3)/12)),F12),IF(YEAR(G$3)=YEAR(Headcount!$P$4),IF((G$5=2),((SUMIFS(Headcount!$P$6:$P$89,Headcount!$F$6:$F$89,"Marketing",Headcount!$H$6:$H$89,"&gt;="&amp;Marketing!G$3)/12)),F12),IF(YEAR(G$3)=YEAR(Headcount!$Q$4),IF((G$5=2),((SUMIFS(Headcount!$Q$6:$Q$89,Headcount!$F$6:$F$89,"Marketing",Headcount!$H$6:$H$89,"&gt;="&amp;Marketing!G$3)/12)),F12),IF(YEAR(G$3)=YEAR(Headcount!$R$4),IF((G$5=2),((SUMIFS(Headcount!$R$6:$R$89,Headcount!$F$6:$F$89,"Marketing",Headcount!$H$6:$H$89,"&gt;="&amp;Marketing!G$3)/12)),F12),"New Year"))))),SUMIF('Dept. Cost Actuals'!$E$7:$E$176,"*salary*",'Dept. Cost Actuals'!K$181:K$350))</f>
        <v>30289.14</v>
      </c>
      <c r="H12" s="1139">
        <f>IF(H$4="forecast",IF(YEAR(H$3)=YEAR(Headcount!$N$4),((SUMIFS(Headcount!$N$6:$N$89,Headcount!$F$6:$F$89,"Marketing",Headcount!$H$6:$H$89,"&gt;="&amp;Marketing!H$3)/12)),IF(YEAR(H$3)=YEAR(Headcount!$O$4),IF((H$5=2),((SUMIFS(Headcount!$O$6:$O$89,Headcount!$F$6:$F$89,"Marketing",Headcount!$H$6:$H$89,"&gt;="&amp;Marketing!H$3)/12)),G12),IF(YEAR(H$3)=YEAR(Headcount!$P$4),IF((H$5=2),((SUMIFS(Headcount!$P$6:$P$89,Headcount!$F$6:$F$89,"Marketing",Headcount!$H$6:$H$89,"&gt;="&amp;Marketing!H$3)/12)),G12),IF(YEAR(H$3)=YEAR(Headcount!$Q$4),IF((H$5=2),((SUMIFS(Headcount!$Q$6:$Q$89,Headcount!$F$6:$F$89,"Marketing",Headcount!$H$6:$H$89,"&gt;="&amp;Marketing!H$3)/12)),G12),IF(YEAR(H$3)=YEAR(Headcount!$R$4),IF((H$5=2),((SUMIFS(Headcount!$R$6:$R$89,Headcount!$F$6:$F$89,"Marketing",Headcount!$H$6:$H$89,"&gt;="&amp;Marketing!H$3)/12)),G12),"New Year"))))),SUMIF('Dept. Cost Actuals'!$E$7:$E$176,"*salary*",'Dept. Cost Actuals'!L$181:L$350))</f>
        <v>30728.649999999998</v>
      </c>
      <c r="I12" s="1139">
        <f>IF(I$4="forecast",IF(YEAR(I$3)=YEAR(Headcount!$N$4),((SUMIFS(Headcount!$N$6:$N$89,Headcount!$F$6:$F$89,"Marketing",Headcount!$H$6:$H$89,"&gt;="&amp;Marketing!I$3)/12)),IF(YEAR(I$3)=YEAR(Headcount!$O$4),IF((I$5=2),((SUMIFS(Headcount!$O$6:$O$89,Headcount!$F$6:$F$89,"Marketing",Headcount!$H$6:$H$89,"&gt;="&amp;Marketing!I$3)/12)),H12),IF(YEAR(I$3)=YEAR(Headcount!$P$4),IF((I$5=2),((SUMIFS(Headcount!$P$6:$P$89,Headcount!$F$6:$F$89,"Marketing",Headcount!$H$6:$H$89,"&gt;="&amp;Marketing!I$3)/12)),H12),IF(YEAR(I$3)=YEAR(Headcount!$Q$4),IF((I$5=2),((SUMIFS(Headcount!$Q$6:$Q$89,Headcount!$F$6:$F$89,"Marketing",Headcount!$H$6:$H$89,"&gt;="&amp;Marketing!I$3)/12)),H12),IF(YEAR(I$3)=YEAR(Headcount!$R$4),IF((I$5=2),((SUMIFS(Headcount!$R$6:$R$89,Headcount!$F$6:$F$89,"Marketing",Headcount!$H$6:$H$89,"&gt;="&amp;Marketing!I$3)/12)),H12),"New Year"))))),SUMIF('Dept. Cost Actuals'!$E$7:$E$176,"*salary*",'Dept. Cost Actuals'!M$181:M$350))</f>
        <v>19839.739999999998</v>
      </c>
      <c r="J12" s="1139">
        <f>IF(J$4="forecast",IF(YEAR(J$3)=YEAR(Headcount!$N$4),((SUMIFS(Headcount!$N$6:$N$89,Headcount!$F$6:$F$89,"Marketing",Headcount!$H$6:$H$89,"&gt;="&amp;Marketing!J$3)/12)),IF(YEAR(J$3)=YEAR(Headcount!$O$4),IF((J$5=2),((SUMIFS(Headcount!$O$6:$O$89,Headcount!$F$6:$F$89,"Marketing",Headcount!$H$6:$H$89,"&gt;="&amp;Marketing!J$3)/12)),I12),IF(YEAR(J$3)=YEAR(Headcount!$P$4),IF((J$5=2),((SUMIFS(Headcount!$P$6:$P$89,Headcount!$F$6:$F$89,"Marketing",Headcount!$H$6:$H$89,"&gt;="&amp;Marketing!J$3)/12)),I12),IF(YEAR(J$3)=YEAR(Headcount!$Q$4),IF((J$5=2),((SUMIFS(Headcount!$Q$6:$Q$89,Headcount!$F$6:$F$89,"Marketing",Headcount!$H$6:$H$89,"&gt;="&amp;Marketing!J$3)/12)),I12),IF(YEAR(J$3)=YEAR(Headcount!$R$4),IF((J$5=2),((SUMIFS(Headcount!$R$6:$R$89,Headcount!$F$6:$F$89,"Marketing",Headcount!$H$6:$H$89,"&gt;="&amp;Marketing!J$3)/12)),I12),"New Year"))))),SUMIF('Dept. Cost Actuals'!$E$7:$E$176,"*salary*",'Dept. Cost Actuals'!N$181:N$350))</f>
        <v>25167.899999999998</v>
      </c>
      <c r="K12" s="1139">
        <f>IF(K$4="forecast",IF(YEAR(K$3)=YEAR(Headcount!$N$4),((SUMIFS(Headcount!$N$6:$N$89,Headcount!$F$6:$F$89,"Marketing",Headcount!$H$6:$H$89,"&gt;="&amp;Marketing!K$3)/12)),IF(YEAR(K$3)=YEAR(Headcount!$O$4),IF((K$5=2),((SUMIFS(Headcount!$O$6:$O$89,Headcount!$F$6:$F$89,"Marketing",Headcount!$H$6:$H$89,"&gt;="&amp;Marketing!K$3)/12)),J12),IF(YEAR(K$3)=YEAR(Headcount!$P$4),IF((K$5=2),((SUMIFS(Headcount!$P$6:$P$89,Headcount!$F$6:$F$89,"Marketing",Headcount!$H$6:$H$89,"&gt;="&amp;Marketing!K$3)/12)),J12),IF(YEAR(K$3)=YEAR(Headcount!$Q$4),IF((K$5=2),((SUMIFS(Headcount!$Q$6:$Q$89,Headcount!$F$6:$F$89,"Marketing",Headcount!$H$6:$H$89,"&gt;="&amp;Marketing!K$3)/12)),J12),IF(YEAR(K$3)=YEAR(Headcount!$R$4),IF((K$5=2),((SUMIFS(Headcount!$R$6:$R$89,Headcount!$F$6:$F$89,"Marketing",Headcount!$H$6:$H$89,"&gt;="&amp;Marketing!K$3)/12)),J12),"New Year"))))),SUMIF('Dept. Cost Actuals'!$E$7:$E$176,"*salary*",'Dept. Cost Actuals'!O$181:O$350))</f>
        <v>20132</v>
      </c>
      <c r="L12" s="1139">
        <f>IF(L$4="forecast",IF(YEAR(L$3)=YEAR(Headcount!$N$4),((SUMIFS(Headcount!$N$6:$N$89,Headcount!$F$6:$F$89,"Marketing",Headcount!$H$6:$H$89,"&gt;="&amp;Marketing!L$3)/12)),IF(YEAR(L$3)=YEAR(Headcount!$O$4),IF((L$5=2),((SUMIFS(Headcount!$O$6:$O$89,Headcount!$F$6:$F$89,"Marketing",Headcount!$H$6:$H$89,"&gt;="&amp;Marketing!L$3)/12)),K12),IF(YEAR(L$3)=YEAR(Headcount!$P$4),IF((L$5=2),((SUMIFS(Headcount!$P$6:$P$89,Headcount!$F$6:$F$89,"Marketing",Headcount!$H$6:$H$89,"&gt;="&amp;Marketing!L$3)/12)),K12),IF(YEAR(L$3)=YEAR(Headcount!$Q$4),IF((L$5=2),((SUMIFS(Headcount!$Q$6:$Q$89,Headcount!$F$6:$F$89,"Marketing",Headcount!$H$6:$H$89,"&gt;="&amp;Marketing!L$3)/12)),K12),IF(YEAR(L$3)=YEAR(Headcount!$R$4),IF((L$5=2),((SUMIFS(Headcount!$R$6:$R$89,Headcount!$F$6:$F$89,"Marketing",Headcount!$H$6:$H$89,"&gt;="&amp;Marketing!L$3)/12)),K12),"New Year"))))),SUMIF('Dept. Cost Actuals'!$E$7:$E$176,"*salary*",'Dept. Cost Actuals'!P$181:P$350))</f>
        <v>19993.580000000002</v>
      </c>
      <c r="M12" s="1139">
        <f>IF(M$4="forecast",IF(YEAR(M$3)=YEAR(Headcount!$N$4),((SUMIFS(Headcount!$N$6:$N$89,Headcount!$F$6:$F$89,"Marketing",Headcount!$H$6:$H$89,"&gt;="&amp;Marketing!M$3)/12)),IF(YEAR(M$3)=YEAR(Headcount!$O$4),IF((M$5=2),((SUMIFS(Headcount!$O$6:$O$89,Headcount!$F$6:$F$89,"Marketing",Headcount!$H$6:$H$89,"&gt;="&amp;Marketing!M$3)/12)),L12),IF(YEAR(M$3)=YEAR(Headcount!$P$4),IF((M$5=2),((SUMIFS(Headcount!$P$6:$P$89,Headcount!$F$6:$F$89,"Marketing",Headcount!$H$6:$H$89,"&gt;="&amp;Marketing!M$3)/12)),L12),IF(YEAR(M$3)=YEAR(Headcount!$Q$4),IF((M$5=2),((SUMIFS(Headcount!$Q$6:$Q$89,Headcount!$F$6:$F$89,"Marketing",Headcount!$H$6:$H$89,"&gt;="&amp;Marketing!M$3)/12)),L12),IF(YEAR(M$3)=YEAR(Headcount!$R$4),IF((M$5=2),((SUMIFS(Headcount!$R$6:$R$89,Headcount!$F$6:$F$89,"Marketing",Headcount!$H$6:$H$89,"&gt;="&amp;Marketing!M$3)/12)),L12),"New Year"))))),SUMIF('Dept. Cost Actuals'!$E$7:$E$176,"*salary*",'Dept. Cost Actuals'!Q$181:Q$350))</f>
        <v>27636.63</v>
      </c>
      <c r="N12" s="1139">
        <f>IF(N$4="forecast",IF(YEAR(N$3)=YEAR(Headcount!$N$4),((SUMIFS(Headcount!$N$6:$N$89,Headcount!$F$6:$F$89,"Marketing",Headcount!$H$6:$H$89,"&gt;="&amp;Marketing!N$3)/12)),IF(YEAR(N$3)=YEAR(Headcount!$O$4),IF((N$5=2),((SUMIFS(Headcount!$O$6:$O$89,Headcount!$F$6:$F$89,"Marketing",Headcount!$H$6:$H$89,"&gt;="&amp;Marketing!N$3)/12)),M12),IF(YEAR(N$3)=YEAR(Headcount!$P$4),IF((N$5=2),((SUMIFS(Headcount!$P$6:$P$89,Headcount!$F$6:$F$89,"Marketing",Headcount!$H$6:$H$89,"&gt;="&amp;Marketing!N$3)/12)),M12),IF(YEAR(N$3)=YEAR(Headcount!$Q$4),IF((N$5=2),((SUMIFS(Headcount!$Q$6:$Q$89,Headcount!$F$6:$F$89,"Marketing",Headcount!$H$6:$H$89,"&gt;="&amp;Marketing!N$3)/12)),M12),IF(YEAR(N$3)=YEAR(Headcount!$R$4),IF((N$5=2),((SUMIFS(Headcount!$R$6:$R$89,Headcount!$F$6:$F$89,"Marketing",Headcount!$H$6:$H$89,"&gt;="&amp;Marketing!N$3)/12)),M12),"New Year"))))),SUMIF('Dept. Cost Actuals'!$E$7:$E$176,"*salary*",'Dept. Cost Actuals'!R$181:R$350))</f>
        <v>29151.08</v>
      </c>
      <c r="O12" s="1139">
        <f>IF(O$4="forecast",IF(YEAR(O$3)=YEAR(Headcount!$N$4),((SUMIFS(Headcount!$N$6:$N$89,Headcount!$F$6:$F$89,"Marketing",Headcount!$H$6:$H$89,"&gt;="&amp;Marketing!O$3)/12)),IF(YEAR(O$3)=YEAR(Headcount!$O$4),IF((O$5=2),((SUMIFS(Headcount!$O$6:$O$89,Headcount!$F$6:$F$89,"Marketing",Headcount!$H$6:$H$89,"&gt;="&amp;Marketing!O$3)/12)),N12),IF(YEAR(O$3)=YEAR(Headcount!$P$4),IF((O$5=2),((SUMIFS(Headcount!$P$6:$P$89,Headcount!$F$6:$F$89,"Marketing",Headcount!$H$6:$H$89,"&gt;="&amp;Marketing!O$3)/12)),N12),IF(YEAR(O$3)=YEAR(Headcount!$Q$4),IF((O$5=2),((SUMIFS(Headcount!$Q$6:$Q$89,Headcount!$F$6:$F$89,"Marketing",Headcount!$H$6:$H$89,"&gt;="&amp;Marketing!O$3)/12)),N12),IF(YEAR(O$3)=YEAR(Headcount!$R$4),IF((O$5=2),((SUMIFS(Headcount!$R$6:$R$89,Headcount!$F$6:$F$89,"Marketing",Headcount!$H$6:$H$89,"&gt;="&amp;Marketing!O$3)/12)),N12),"New Year"))))),SUMIF('Dept. Cost Actuals'!$E$7:$E$176,"*salary*",'Dept. Cost Actuals'!S$181:S$350))</f>
        <v>12271.98</v>
      </c>
      <c r="P12" s="1139">
        <f>IF(P$4="forecast",IF(YEAR(P$3)=YEAR(Headcount!$N$4),((SUMIFS(Headcount!$N$6:$N$89,Headcount!$F$6:$F$89,"Marketing",Headcount!$H$6:$H$89,"&gt;="&amp;Marketing!P$3)/12)),IF(YEAR(P$3)=YEAR(Headcount!$O$4),IF((P$5=2),((SUMIFS(Headcount!$O$6:$O$89,Headcount!$F$6:$F$89,"Marketing",Headcount!$H$6:$H$89,"&gt;="&amp;Marketing!P$3)/12)),O12),IF(YEAR(P$3)=YEAR(Headcount!$P$4),IF((P$5=2),((SUMIFS(Headcount!$P$6:$P$89,Headcount!$F$6:$F$89,"Marketing",Headcount!$H$6:$H$89,"&gt;="&amp;Marketing!P$3)/12)),O12),IF(YEAR(P$3)=YEAR(Headcount!$Q$4),IF((P$5=2),((SUMIFS(Headcount!$Q$6:$Q$89,Headcount!$F$6:$F$89,"Marketing",Headcount!$H$6:$H$89,"&gt;="&amp;Marketing!P$3)/12)),O12),IF(YEAR(P$3)=YEAR(Headcount!$R$4),IF((P$5=2),((SUMIFS(Headcount!$R$6:$R$89,Headcount!$F$6:$F$89,"Marketing",Headcount!$H$6:$H$89,"&gt;="&amp;Marketing!P$3)/12)),O12),"New Year"))))),SUMIF('Dept. Cost Actuals'!$E$7:$E$176,"*salary*",'Dept. Cost Actuals'!T$181:T$350))</f>
        <v>11158.380000000001</v>
      </c>
      <c r="Q12" s="1139">
        <f>IF(Q$4="forecast",IF(YEAR(Q$3)=YEAR(Headcount!$N$4),((SUMIFS(Headcount!$N$6:$N$89,Headcount!$F$6:$F$89,"Marketing",Headcount!$H$6:$H$89,"&gt;="&amp;Marketing!Q$3)/12)),IF(YEAR(Q$3)=YEAR(Headcount!$O$4),IF((Q$5=2),((SUMIFS(Headcount!$O$6:$O$89,Headcount!$F$6:$F$89,"Marketing",Headcount!$H$6:$H$89,"&gt;="&amp;Marketing!Q$3)/12)),P12),IF(YEAR(Q$3)=YEAR(Headcount!$P$4),IF((Q$5=2),((SUMIFS(Headcount!$P$6:$P$89,Headcount!$F$6:$F$89,"Marketing",Headcount!$H$6:$H$89,"&gt;="&amp;Marketing!Q$3)/12)),P12),IF(YEAR(Q$3)=YEAR(Headcount!$Q$4),IF((Q$5=2),((SUMIFS(Headcount!$Q$6:$Q$89,Headcount!$F$6:$F$89,"Marketing",Headcount!$H$6:$H$89,"&gt;="&amp;Marketing!Q$3)/12)),P12),IF(YEAR(Q$3)=YEAR(Headcount!$R$4),IF((Q$5=2),((SUMIFS(Headcount!$R$6:$R$89,Headcount!$F$6:$F$89,"Marketing",Headcount!$H$6:$H$89,"&gt;="&amp;Marketing!Q$3)/12)),P12),"New Year"))))),SUMIF('Dept. Cost Actuals'!$E$7:$E$176,"*salary*",'Dept. Cost Actuals'!U$181:U$350))</f>
        <v>16230.76</v>
      </c>
      <c r="R12" s="1139">
        <f>IF(R$4="forecast",IF(YEAR(R$3)=YEAR(Headcount!$N$4),((SUMIFS(Headcount!$N$6:$N$89,Headcount!$F$6:$F$89,"Marketing",Headcount!$H$6:$H$89,"&gt;="&amp;Marketing!R$3)/12)),IF(YEAR(R$3)=YEAR(Headcount!$O$4),IF((R$5=2),((SUMIFS(Headcount!$O$6:$O$89,Headcount!$F$6:$F$89,"Marketing",Headcount!$H$6:$H$89,"&gt;="&amp;Marketing!R$3)/12)),Q12),IF(YEAR(R$3)=YEAR(Headcount!$P$4),IF((R$5=2),((SUMIFS(Headcount!$P$6:$P$89,Headcount!$F$6:$F$89,"Marketing",Headcount!$H$6:$H$89,"&gt;="&amp;Marketing!R$3)/12)),Q12),IF(YEAR(R$3)=YEAR(Headcount!$Q$4),IF((R$5=2),((SUMIFS(Headcount!$Q$6:$Q$89,Headcount!$F$6:$F$89,"Marketing",Headcount!$H$6:$H$89,"&gt;="&amp;Marketing!R$3)/12)),Q12),IF(YEAR(R$3)=YEAR(Headcount!$R$4),IF((R$5=2),((SUMIFS(Headcount!$R$6:$R$89,Headcount!$F$6:$F$89,"Marketing",Headcount!$H$6:$H$89,"&gt;="&amp;Marketing!R$3)/12)),Q12),"New Year"))))),SUMIF('Dept. Cost Actuals'!$E$7:$E$176,"*salary*",'Dept. Cost Actuals'!V$181:V$350))</f>
        <v>7528.85</v>
      </c>
      <c r="S12" s="1139">
        <f>IF(S$4="forecast",IF(YEAR(S$3)=YEAR(Headcount!$N$4),((SUMIFS(Headcount!$N$6:$N$89,Headcount!$F$6:$F$89,"Marketing",Headcount!$H$6:$H$89,"&gt;="&amp;Marketing!S$3)/12)),IF(YEAR(S$3)=YEAR(Headcount!$O$4),IF((S$5=2),((SUMIFS(Headcount!$O$6:$O$89,Headcount!$F$6:$F$89,"Marketing",Headcount!$H$6:$H$89,"&gt;="&amp;Marketing!S$3)/12)),R12),IF(YEAR(S$3)=YEAR(Headcount!$P$4),IF((S$5=2),((SUMIFS(Headcount!$P$6:$P$89,Headcount!$F$6:$F$89,"Marketing",Headcount!$H$6:$H$89,"&gt;="&amp;Marketing!S$3)/12)),R12),IF(YEAR(S$3)=YEAR(Headcount!$Q$4),IF((S$5=2),((SUMIFS(Headcount!$Q$6:$Q$89,Headcount!$F$6:$F$89,"Marketing",Headcount!$H$6:$H$89,"&gt;="&amp;Marketing!S$3)/12)),R12),IF(YEAR(S$3)=YEAR(Headcount!$R$4),IF((S$5=2),((SUMIFS(Headcount!$R$6:$R$89,Headcount!$F$6:$F$89,"Marketing",Headcount!$H$6:$H$89,"&gt;="&amp;Marketing!S$3)/12)),R12),"New Year"))))),SUMIF('Dept. Cost Actuals'!$E$7:$E$176,"*salary*",'Dept. Cost Actuals'!W$181:W$350))</f>
        <v>17528.84</v>
      </c>
      <c r="T12" s="1139">
        <f>IF(T$4="forecast",IF(YEAR(T$3)=YEAR(Headcount!$N$4),((SUMIFS(Headcount!$N$6:$N$89,Headcount!$F$6:$F$89,"Marketing",Headcount!$H$6:$H$89,"&gt;="&amp;Marketing!T$3)/12)),IF(YEAR(T$3)=YEAR(Headcount!$O$4),IF((T$5=2),((SUMIFS(Headcount!$O$6:$O$89,Headcount!$F$6:$F$89,"Marketing",Headcount!$H$6:$H$89,"&gt;="&amp;Marketing!T$3)/12)),S12),IF(YEAR(T$3)=YEAR(Headcount!$P$4),IF((T$5=2),((SUMIFS(Headcount!$P$6:$P$89,Headcount!$F$6:$F$89,"Marketing",Headcount!$H$6:$H$89,"&gt;="&amp;Marketing!T$3)/12)),S12),IF(YEAR(T$3)=YEAR(Headcount!$Q$4),IF((T$5=2),((SUMIFS(Headcount!$Q$6:$Q$89,Headcount!$F$6:$F$89,"Marketing",Headcount!$H$6:$H$89,"&gt;="&amp;Marketing!T$3)/12)),S12),IF(YEAR(T$3)=YEAR(Headcount!$R$4),IF((T$5=2),((SUMIFS(Headcount!$R$6:$R$89,Headcount!$F$6:$F$89,"Marketing",Headcount!$H$6:$H$89,"&gt;="&amp;Marketing!T$3)/12)),S12),"New Year"))))),SUMIF('Dept. Cost Actuals'!$E$7:$E$176,"*salary*",'Dept. Cost Actuals'!X$181:X$350))</f>
        <v>18269.22</v>
      </c>
      <c r="U12" s="1139">
        <f>IF(U$4="forecast",IF(YEAR(U$3)=YEAR(Headcount!$N$4),((SUMIFS(Headcount!$N$6:$N$89,Headcount!$F$6:$F$89,"Marketing",Headcount!$H$6:$H$89,"&gt;="&amp;Marketing!U$3)/12)),IF(YEAR(U$3)=YEAR(Headcount!$O$4),IF((U$5=2),((SUMIFS(Headcount!$O$6:$O$89,Headcount!$F$6:$F$89,"Marketing",Headcount!$H$6:$H$89,"&gt;="&amp;Marketing!U$3)/12)),T12),IF(YEAR(U$3)=YEAR(Headcount!$P$4),IF((U$5=2),((SUMIFS(Headcount!$P$6:$P$89,Headcount!$F$6:$F$89,"Marketing",Headcount!$H$6:$H$89,"&gt;="&amp;Marketing!U$3)/12)),T12),IF(YEAR(U$3)=YEAR(Headcount!$Q$4),IF((U$5=2),((SUMIFS(Headcount!$Q$6:$Q$89,Headcount!$F$6:$F$89,"Marketing",Headcount!$H$6:$H$89,"&gt;="&amp;Marketing!U$3)/12)),T12),IF(YEAR(U$3)=YEAR(Headcount!$R$4),IF((U$5=2),((SUMIFS(Headcount!$R$6:$R$89,Headcount!$F$6:$F$89,"Marketing",Headcount!$H$6:$H$89,"&gt;="&amp;Marketing!U$3)/12)),T12),"New Year"))))),SUMIF('Dept. Cost Actuals'!$E$7:$E$176,"*salary*",'Dept. Cost Actuals'!Y$181:Y$350))</f>
        <v>20374.990000000002</v>
      </c>
      <c r="V12" s="1139">
        <f>IF(V$4="forecast",IF(YEAR(V$3)=YEAR(Headcount!$N$4),((SUMIFS(Headcount!$N$6:$N$89,Headcount!$F$6:$F$89,"Marketing",Headcount!$H$6:$H$89,"&gt;="&amp;Marketing!V$3)/12)),IF(YEAR(V$3)=YEAR(Headcount!$O$4),IF((V$5=2),((SUMIFS(Headcount!$O$6:$O$89,Headcount!$F$6:$F$89,"Marketing",Headcount!$H$6:$H$89,"&gt;="&amp;Marketing!V$3)/12)),U12),IF(YEAR(V$3)=YEAR(Headcount!$P$4),IF((V$5=2),((SUMIFS(Headcount!$P$6:$P$89,Headcount!$F$6:$F$89,"Marketing",Headcount!$H$6:$H$89,"&gt;="&amp;Marketing!V$3)/12)),U12),IF(YEAR(V$3)=YEAR(Headcount!$Q$4),IF((V$5=2),((SUMIFS(Headcount!$Q$6:$Q$89,Headcount!$F$6:$F$89,"Marketing",Headcount!$H$6:$H$89,"&gt;="&amp;Marketing!V$3)/12)),U12),IF(YEAR(V$3)=YEAR(Headcount!$R$4),IF((V$5=2),((SUMIFS(Headcount!$R$6:$R$89,Headcount!$F$6:$F$89,"Marketing",Headcount!$H$6:$H$89,"&gt;="&amp;Marketing!V$3)/12)),U12),"New Year"))))),SUMIF('Dept. Cost Actuals'!$E$7:$E$176,"*salary*",'Dept. Cost Actuals'!Z$181:Z$350))</f>
        <v>19097.64</v>
      </c>
      <c r="W12" s="1139">
        <f>IF(W$4="forecast",IF(YEAR(W$3)=YEAR(Headcount!$N$4),((SUMIFS(Headcount!$N$6:$N$89,Headcount!$F$6:$F$89,"Marketing",Headcount!$H$6:$H$89,"&gt;="&amp;Marketing!W$3)/12)),IF(YEAR(W$3)=YEAR(Headcount!$O$4),IF((W$5=2),((SUMIFS(Headcount!$O$6:$O$89,Headcount!$F$6:$F$89,"Marketing",Headcount!$H$6:$H$89,"&gt;="&amp;Marketing!W$3)/12)),V12),IF(YEAR(W$3)=YEAR(Headcount!$P$4),IF((W$5=2),((SUMIFS(Headcount!$P$6:$P$89,Headcount!$F$6:$F$89,"Marketing",Headcount!$H$6:$H$89,"&gt;="&amp;Marketing!W$3)/12)),V12),IF(YEAR(W$3)=YEAR(Headcount!$Q$4),IF((W$5=2),((SUMIFS(Headcount!$Q$6:$Q$89,Headcount!$F$6:$F$89,"Marketing",Headcount!$H$6:$H$89,"&gt;="&amp;Marketing!W$3)/12)),V12),IF(YEAR(W$3)=YEAR(Headcount!$R$4),IF((W$5=2),((SUMIFS(Headcount!$R$6:$R$89,Headcount!$F$6:$F$89,"Marketing",Headcount!$H$6:$H$89,"&gt;="&amp;Marketing!W$3)/12)),V12),"New Year"))))),SUMIF('Dept. Cost Actuals'!$E$7:$E$176,"*salary*",'Dept. Cost Actuals'!AA$181:AA$350))</f>
        <v>15461.7</v>
      </c>
      <c r="X12" s="1139">
        <f>IF(X$4="forecast",IF(YEAR(X$3)=YEAR(Headcount!$N$4),((SUMIFS(Headcount!$N$6:$N$89,Headcount!$F$6:$F$89,"Marketing",Headcount!$H$6:$H$89,"&gt;="&amp;Marketing!X$3)/12)),IF(YEAR(X$3)=YEAR(Headcount!$O$4),IF((X$5=2),((SUMIFS(Headcount!$O$6:$O$89,Headcount!$F$6:$F$89,"Marketing",Headcount!$H$6:$H$89,"&gt;="&amp;Marketing!X$3)/12)),W12),IF(YEAR(X$3)=YEAR(Headcount!$P$4),IF((X$5=2),((SUMIFS(Headcount!$P$6:$P$89,Headcount!$F$6:$F$89,"Marketing",Headcount!$H$6:$H$89,"&gt;="&amp;Marketing!X$3)/12)),W12),IF(YEAR(X$3)=YEAR(Headcount!$Q$4),IF((X$5=2),((SUMIFS(Headcount!$Q$6:$Q$89,Headcount!$F$6:$F$89,"Marketing",Headcount!$H$6:$H$89,"&gt;="&amp;Marketing!X$3)/12)),W12),IF(YEAR(X$3)=YEAR(Headcount!$R$4),IF((X$5=2),((SUMIFS(Headcount!$R$6:$R$89,Headcount!$F$6:$F$89,"Marketing",Headcount!$H$6:$H$89,"&gt;="&amp;Marketing!X$3)/12)),W12),"New Year"))))),SUMIF('Dept. Cost Actuals'!$E$7:$E$176,"*salary*",'Dept. Cost Actuals'!AB$181:AB$350))</f>
        <v>25133.53</v>
      </c>
      <c r="Y12" s="1139">
        <f>IF(Y$4="forecast",IF(YEAR(Y$3)=YEAR(Headcount!$N$4),((SUMIFS(Headcount!$N$6:$N$89,Headcount!$F$6:$F$89,"Marketing",Headcount!$H$6:$H$89,"&gt;="&amp;Marketing!Y$3)/12)),IF(YEAR(Y$3)=YEAR(Headcount!$O$4),IF((Y$5=2),((SUMIFS(Headcount!$O$6:$O$89,Headcount!$F$6:$F$89,"Marketing",Headcount!$H$6:$H$89,"&gt;="&amp;Marketing!Y$3)/12)),X12),IF(YEAR(Y$3)=YEAR(Headcount!$P$4),IF((Y$5=2),((SUMIFS(Headcount!$P$6:$P$89,Headcount!$F$6:$F$89,"Marketing",Headcount!$H$6:$H$89,"&gt;="&amp;Marketing!Y$3)/12)),X12),IF(YEAR(Y$3)=YEAR(Headcount!$Q$4),IF((Y$5=2),((SUMIFS(Headcount!$Q$6:$Q$89,Headcount!$F$6:$F$89,"Marketing",Headcount!$H$6:$H$89,"&gt;="&amp;Marketing!Y$3)/12)),X12),IF(YEAR(Y$3)=YEAR(Headcount!$R$4),IF((Y$5=2),((SUMIFS(Headcount!$R$6:$R$89,Headcount!$F$6:$F$89,"Marketing",Headcount!$H$6:$H$89,"&gt;="&amp;Marketing!Y$3)/12)),X12),"New Year"))))),SUMIF('Dept. Cost Actuals'!$E$7:$E$176,"*salary*",'Dept. Cost Actuals'!AC$181:AC$350))</f>
        <v>23625</v>
      </c>
      <c r="Z12" s="1139">
        <f>IF(Z$4="forecast",IF(YEAR(Z$3)=YEAR(Headcount!$N$4),((SUMIFS(Headcount!$N$6:$N$89,Headcount!$F$6:$F$89,"Marketing",Headcount!$H$6:$H$89,"&gt;="&amp;Marketing!Z$3)/12)),IF(YEAR(Z$3)=YEAR(Headcount!$O$4),IF((Z$5=2),((SUMIFS(Headcount!$O$6:$O$89,Headcount!$F$6:$F$89,"Marketing",Headcount!$H$6:$H$89,"&gt;="&amp;Marketing!Z$3)/12)),Y12),IF(YEAR(Z$3)=YEAR(Headcount!$P$4),IF((Z$5=2),((SUMIFS(Headcount!$P$6:$P$89,Headcount!$F$6:$F$89,"Marketing",Headcount!$H$6:$H$89,"&gt;="&amp;Marketing!Z$3)/12)),Y12),IF(YEAR(Z$3)=YEAR(Headcount!$Q$4),IF((Z$5=2),((SUMIFS(Headcount!$Q$6:$Q$89,Headcount!$F$6:$F$89,"Marketing",Headcount!$H$6:$H$89,"&gt;="&amp;Marketing!Z$3)/12)),Y12),IF(YEAR(Z$3)=YEAR(Headcount!$R$4),IF((Z$5=2),((SUMIFS(Headcount!$R$6:$R$89,Headcount!$F$6:$F$89,"Marketing",Headcount!$H$6:$H$89,"&gt;="&amp;Marketing!Z$3)/12)),Y12),"New Year"))))),SUMIF('Dept. Cost Actuals'!$E$7:$E$176,"*salary*",'Dept. Cost Actuals'!AD$181:AD$350))</f>
        <v>24750.01</v>
      </c>
      <c r="AA12" s="1139">
        <f>IF(AA$4="forecast",IF(YEAR(AA$3)=YEAR(Headcount!$N$4),((SUMIFS(Headcount!$N$6:$N$89,Headcount!$F$6:$F$89,"Marketing",Headcount!$H$6:$H$89,"&gt;="&amp;Marketing!AA$3)/12)),IF(YEAR(AA$3)=YEAR(Headcount!$O$4),IF((AA$5=2),((SUMIFS(Headcount!$O$6:$O$89,Headcount!$F$6:$F$89,"Marketing",Headcount!$H$6:$H$89,"&gt;="&amp;Marketing!AA$3)/12)),Z12),IF(YEAR(AA$3)=YEAR(Headcount!$P$4),IF((AA$5=2),((SUMIFS(Headcount!$P$6:$P$89,Headcount!$F$6:$F$89,"Marketing",Headcount!$H$6:$H$89,"&gt;="&amp;Marketing!AA$3)/12)),Z12),IF(YEAR(AA$3)=YEAR(Headcount!$Q$4),IF((AA$5=2),((SUMIFS(Headcount!$Q$6:$Q$89,Headcount!$F$6:$F$89,"Marketing",Headcount!$H$6:$H$89,"&gt;="&amp;Marketing!AA$3)/12)),Z12),IF(YEAR(AA$3)=YEAR(Headcount!$R$4),IF((AA$5=2),((SUMIFS(Headcount!$R$6:$R$89,Headcount!$F$6:$F$89,"Marketing",Headcount!$H$6:$H$89,"&gt;="&amp;Marketing!AA$3)/12)),Z12),"New Year"))))),SUMIF('Dept. Cost Actuals'!$E$7:$E$176,"*salary*",'Dept. Cost Actuals'!AE$181:AE$350))</f>
        <v>33663.449999999997</v>
      </c>
      <c r="AB12" s="1139">
        <f>IF(AB$4="forecast",IF(YEAR(AB$3)=YEAR(Headcount!$N$4),((SUMIFS(Headcount!$N$6:$N$89,Headcount!$F$6:$F$89,"Marketing",Headcount!$H$6:$H$89,"&gt;="&amp;Marketing!AB$3)/12)),IF(YEAR(AB$3)=YEAR(Headcount!$O$4),IF((AB$5=2),((SUMIFS(Headcount!$O$6:$O$89,Headcount!$F$6:$F$89,"Marketing",Headcount!$H$6:$H$89,"&gt;="&amp;Marketing!AB$3)/12)),AA12),IF(YEAR(AB$3)=YEAR(Headcount!$P$4),IF((AB$5=2),((SUMIFS(Headcount!$P$6:$P$89,Headcount!$F$6:$F$89,"Marketing",Headcount!$H$6:$H$89,"&gt;="&amp;Marketing!AB$3)/12)),AA12),IF(YEAR(AB$3)=YEAR(Headcount!$Q$4),IF((AB$5=2),((SUMIFS(Headcount!$Q$6:$Q$89,Headcount!$F$6:$F$89,"Marketing",Headcount!$H$6:$H$89,"&gt;="&amp;Marketing!AB$3)/12)),AA12),IF(YEAR(AB$3)=YEAR(Headcount!$R$4),IF((AB$5=2),((SUMIFS(Headcount!$R$6:$R$89,Headcount!$F$6:$F$89,"Marketing",Headcount!$H$6:$H$89,"&gt;="&amp;Marketing!AB$3)/12)),AA12),"New Year"))))),SUMIF('Dept. Cost Actuals'!$E$7:$E$176,"*salary*",'Dept. Cost Actuals'!AF$181:AF$350))</f>
        <v>53653.84</v>
      </c>
      <c r="AC12" s="1139">
        <f>IF(AC$4="forecast",IF(YEAR(AC$3)=YEAR(Headcount!$N$4),((SUMIFS(Headcount!$N$6:$N$89,Headcount!$F$6:$F$89,"Marketing",Headcount!$H$6:$H$89,"&gt;="&amp;Marketing!AC$3)/12)),IF(YEAR(AC$3)=YEAR(Headcount!$O$4),IF((AC$5=2),((SUMIFS(Headcount!$O$6:$O$89,Headcount!$F$6:$F$89,"Marketing",Headcount!$H$6:$H$89,"&gt;="&amp;Marketing!AC$3)/12)),AB12),IF(YEAR(AC$3)=YEAR(Headcount!$P$4),IF((AC$5=2),((SUMIFS(Headcount!$P$6:$P$89,Headcount!$F$6:$F$89,"Marketing",Headcount!$H$6:$H$89,"&gt;="&amp;Marketing!AC$3)/12)),AB12),IF(YEAR(AC$3)=YEAR(Headcount!$Q$4),IF((AC$5=2),((SUMIFS(Headcount!$Q$6:$Q$89,Headcount!$F$6:$F$89,"Marketing",Headcount!$H$6:$H$89,"&gt;="&amp;Marketing!AC$3)/12)),AB12),IF(YEAR(AC$3)=YEAR(Headcount!$R$4),IF((AC$5=2),((SUMIFS(Headcount!$R$6:$R$89,Headcount!$F$6:$F$89,"Marketing",Headcount!$H$6:$H$89,"&gt;="&amp;Marketing!AC$3)/12)),AB12),"New Year"))))),SUMIF('Dept. Cost Actuals'!$E$7:$E$176,"*salary*",'Dept. Cost Actuals'!AG$181:AG$350))</f>
        <v>56336.53</v>
      </c>
      <c r="AD12" s="1139">
        <f>((SUMIFS(Headcount!$O$6:$O$89,Headcount!$F$6:$F$89,"Marketing",Headcount!$H$6:$H$89,"&gt;="&amp;Sales!AC$3)/12))</f>
        <v>61458.33666666667</v>
      </c>
      <c r="AE12" s="1139">
        <f>((SUMIFS(Headcount!$O$6:$O$89,Headcount!$F$6:$F$89,"Marketing",Headcount!$H$6:$H$89,"&gt;="&amp;Sales!AD$3)/12))</f>
        <v>61458.33666666667</v>
      </c>
      <c r="AF12" s="1139">
        <f>((SUMIFS(Headcount!$O$6:$O$89,Headcount!$F$6:$F$89,"Marketing",Headcount!$H$6:$H$89,"&gt;="&amp;Sales!AE$3)/12))</f>
        <v>61458.33666666667</v>
      </c>
      <c r="AG12" s="1139">
        <f>((SUMIFS(Headcount!$O$6:$O$89,Headcount!$F$6:$F$89,"Marketing",Headcount!$H$6:$H$89,"&gt;="&amp;Sales!AF$3)/12))</f>
        <v>61458.33666666667</v>
      </c>
      <c r="AH12" s="1139">
        <f>((SUMIFS(Headcount!$O$6:$O$89,Headcount!$F$6:$F$89,"Marketing",Headcount!$H$6:$H$89,"&gt;="&amp;Sales!AG$3)/12))</f>
        <v>61458.33666666667</v>
      </c>
      <c r="AI12" s="1139">
        <f>((SUMIFS(Headcount!$O$6:$O$89,Headcount!$F$6:$F$89,"Marketing",Headcount!$H$6:$H$89,"&gt;="&amp;Sales!AH$3)/12))</f>
        <v>61458.33666666667</v>
      </c>
      <c r="AJ12" s="1139">
        <f>((SUMIFS(Headcount!$O$6:$O$89,Headcount!$F$6:$F$89,"Marketing",Headcount!$H$6:$H$89,"&gt;="&amp;Sales!AI$3)/12))</f>
        <v>61458.33666666667</v>
      </c>
      <c r="AK12" s="1139">
        <f>((SUMIFS(Headcount!$O$6:$O$89,Headcount!$F$6:$F$89,"Marketing",Headcount!$H$6:$H$89,"&gt;="&amp;Sales!AJ$3)/12))</f>
        <v>61458.33666666667</v>
      </c>
      <c r="AL12" s="1139">
        <f>((SUMIFS(Headcount!$O$6:$O$89,Headcount!$F$6:$F$89,"Marketing",Headcount!$H$6:$H$89,"&gt;="&amp;Sales!AK$3)/12))</f>
        <v>61458.33666666667</v>
      </c>
      <c r="AM12" s="1139">
        <f>IF(AM$4="forecast",IF(YEAR(AM$3)=YEAR(Headcount!$N$4),((SUMIFS(Headcount!$N$6:$N$89,Headcount!$F$6:$F$89,"Marketing",Headcount!$H$6:$H$89,"&gt;="&amp;Marketing!AM$3)/12)),IF(YEAR(AM$3)=YEAR(Headcount!$O$4),IF((AM$5=2),((SUMIFS(Headcount!$O$6:$O$89,Headcount!$F$6:$F$89,"Marketing",Headcount!$H$6:$H$89,"&gt;="&amp;Marketing!AM$3)/12)), ((SUMIFS(Headcount!$N$6:$N$89,Headcount!$F$6:$F$89,"Marketing",Headcount!$H$6:$H$89,"&gt;="&amp;Marketing!AM$3)/12))),IF(YEAR(AM$3)=YEAR(Headcount!$P$4),IF((AM$5=2),((SUMIFS(Headcount!$P$6:$P$89,Headcount!$F$6:$F$89,"Marketing",Headcount!$H$6:$H$89,"&gt;="&amp;Marketing!AM$3)/12)), ((SUMIFS(Headcount!$O$6:$O$89,Headcount!$F$6:$F$89,"Marketing",Headcount!$H$6:$H$89,"&gt;="&amp;Marketing!AM$3)/12))),IF(YEAR(AM$3)=YEAR(Headcount!$Q$4),IF((AM$5=2),((SUMIFS(Headcount!$Q$6:$Q$89,Headcount!$F$6:$F$89,"Marketing",Headcount!$H$6:$H$89,"&gt;="&amp;Marketing!AM$3)/12)), ((SUMIFS(Headcount!$P$6:$P$89,Headcount!$F$6:$F$89,"Marketing",Headcount!$H$6:$H$89,"&gt;="&amp;Marketing!AM$3)/12))),IF(YEAR(AM$3)=YEAR(Headcount!$R$4),IF((AM$5=2),((SUMIFS(Headcount!$R$6:$R$89,Headcount!$F$6:$F$89,"Marketing",Headcount!$H$6:$H$89,"&gt;="&amp;Marketing!AM$3)/12)), ((SUMIFS(Headcount!$Q$6:$Q$89,Headcount!$F$6:$F$89,"Marketing",Headcount!$H$6:$H$89,"&gt;="&amp;Marketing!AM$3)/12))),"New Year"))))),SUMIF('Dept. Cost Actuals'!$E$7:$E$176,"*salary*",'Dept. Cost Actuals'!AQ$181:AQ$350))</f>
        <v>61458.33666666667</v>
      </c>
      <c r="AN12" s="1139">
        <f>IF(AN$4="forecast",IF(YEAR(AN$3)=YEAR(Headcount!$N$4),((SUMIFS(Headcount!$N$6:$N$89,Headcount!$F$6:$F$89,"Marketing",Headcount!$H$6:$H$89,"&gt;="&amp;Marketing!AN$3)/12)),IF(YEAR(AN$3)=YEAR(Headcount!$O$4),IF((AN$5=2),((SUMIFS(Headcount!$O$6:$O$89,Headcount!$F$6:$F$89,"Marketing",Headcount!$H$6:$H$89,"&gt;="&amp;Marketing!AN$3)/12)), ((SUMIFS(Headcount!$N$6:$N$89,Headcount!$F$6:$F$89,"Marketing",Headcount!$H$6:$H$89,"&gt;="&amp;Marketing!AN$3)/12))),IF(YEAR(AN$3)=YEAR(Headcount!$P$4),IF((AN$5=2),((SUMIFS(Headcount!$P$6:$P$89,Headcount!$F$6:$F$89,"Marketing",Headcount!$H$6:$H$89,"&gt;="&amp;Marketing!AN$3)/12)), ((SUMIFS(Headcount!$O$6:$O$89,Headcount!$F$6:$F$89,"Marketing",Headcount!$H$6:$H$89,"&gt;="&amp;Marketing!AN$3)/12))),IF(YEAR(AN$3)=YEAR(Headcount!$Q$4),IF((AN$5=2),((SUMIFS(Headcount!$Q$6:$Q$89,Headcount!$F$6:$F$89,"Marketing",Headcount!$H$6:$H$89,"&gt;="&amp;Marketing!AN$3)/12)), ((SUMIFS(Headcount!$P$6:$P$89,Headcount!$F$6:$F$89,"Marketing",Headcount!$H$6:$H$89,"&gt;="&amp;Marketing!AN$3)/12))),IF(YEAR(AN$3)=YEAR(Headcount!$R$4),IF((AN$5=2),((SUMIFS(Headcount!$R$6:$R$89,Headcount!$F$6:$F$89,"Marketing",Headcount!$H$6:$H$89,"&gt;="&amp;Marketing!AN$3)/12)), ((SUMIFS(Headcount!$Q$6:$Q$89,Headcount!$F$6:$F$89,"Marketing",Headcount!$H$6:$H$89,"&gt;="&amp;Marketing!AN$3)/12))),"New Year"))))),SUMIF('Dept. Cost Actuals'!$E$7:$E$176,"*salary*",'Dept. Cost Actuals'!AR$181:AR$350))</f>
        <v>63302.086766666667</v>
      </c>
      <c r="AO12" s="1139">
        <f>IF(AO$4="forecast",IF(YEAR(AO$3)=YEAR(Headcount!$N$4),((SUMIFS(Headcount!$N$6:$N$89,Headcount!$F$6:$F$89,"Marketing",Headcount!$H$6:$H$89,"&gt;="&amp;Marketing!AO$3)/12)),IF(YEAR(AO$3)=YEAR(Headcount!$O$4),IF((AO$5=2),((SUMIFS(Headcount!$O$6:$O$89,Headcount!$F$6:$F$89,"Marketing",Headcount!$H$6:$H$89,"&gt;="&amp;Marketing!AO$3)/12)),AN12),IF(YEAR(AO$3)=YEAR(Headcount!$P$4),IF((AO$5=2),((SUMIFS(Headcount!$P$6:$P$89,Headcount!$F$6:$F$89,"Marketing",Headcount!$H$6:$H$89,"&gt;="&amp;Marketing!AO$3)/12)),AN12),IF(YEAR(AO$3)=YEAR(Headcount!$Q$4),IF((AO$5=2),((SUMIFS(Headcount!$Q$6:$Q$89,Headcount!$F$6:$F$89,"Marketing",Headcount!$H$6:$H$89,"&gt;="&amp;Marketing!AO$3)/12)),AN12),IF(YEAR(AO$3)=YEAR(Headcount!$R$4),IF((AO$5=2),((SUMIFS(Headcount!$R$6:$R$89,Headcount!$F$6:$F$89,"Marketing",Headcount!$H$6:$H$89,"&gt;="&amp;Marketing!AO$3)/12)),AN12),"New Year"))))),SUMIF('Dept. Cost Actuals'!$E$7:$E$176,"*salary*",'Dept. Cost Actuals'!AS$181:AS$350))</f>
        <v>63302.086766666667</v>
      </c>
      <c r="AP12" s="1139">
        <f>IF(AP$4="forecast",IF(YEAR(AP$3)=YEAR(Headcount!$N$4),((SUMIFS(Headcount!$N$6:$N$89,Headcount!$F$6:$F$89,"Marketing",Headcount!$H$6:$H$89,"&gt;="&amp;Marketing!AP$3)/12)),IF(YEAR(AP$3)=YEAR(Headcount!$O$4),IF((AP$5=2),((SUMIFS(Headcount!$O$6:$O$89,Headcount!$F$6:$F$89,"Marketing",Headcount!$H$6:$H$89,"&gt;="&amp;Marketing!AP$3)/12)),AO12),IF(YEAR(AP$3)=YEAR(Headcount!$P$4),IF((AP$5=2),((SUMIFS(Headcount!$P$6:$P$89,Headcount!$F$6:$F$89,"Marketing",Headcount!$H$6:$H$89,"&gt;="&amp;Marketing!AP$3)/12)),AO12),IF(YEAR(AP$3)=YEAR(Headcount!$Q$4),IF((AP$5=2),((SUMIFS(Headcount!$Q$6:$Q$89,Headcount!$F$6:$F$89,"Marketing",Headcount!$H$6:$H$89,"&gt;="&amp;Marketing!AP$3)/12)),AO12),IF(YEAR(AP$3)=YEAR(Headcount!$R$4),IF((AP$5=2),((SUMIFS(Headcount!$R$6:$R$89,Headcount!$F$6:$F$89,"Marketing",Headcount!$H$6:$H$89,"&gt;="&amp;Marketing!AP$3)/12)),AO12),"New Year"))))),SUMIF('Dept. Cost Actuals'!$E$7:$E$176,"*salary*",'Dept. Cost Actuals'!AT$181:AT$350))</f>
        <v>63302.086766666667</v>
      </c>
      <c r="AQ12" s="1139">
        <f>IF(AQ$4="forecast",IF(YEAR(AQ$3)=YEAR(Headcount!$N$4),((SUMIFS(Headcount!$N$6:$N$89,Headcount!$F$6:$F$89,"Marketing",Headcount!$H$6:$H$89,"&gt;="&amp;Marketing!AQ$3)/12)),IF(YEAR(AQ$3)=YEAR(Headcount!$O$4),IF((AQ$5=2),((SUMIFS(Headcount!$O$6:$O$89,Headcount!$F$6:$F$89,"Marketing",Headcount!$H$6:$H$89,"&gt;="&amp;Marketing!AQ$3)/12)),AP12),IF(YEAR(AQ$3)=YEAR(Headcount!$P$4),IF((AQ$5=2),((SUMIFS(Headcount!$P$6:$P$89,Headcount!$F$6:$F$89,"Marketing",Headcount!$H$6:$H$89,"&gt;="&amp;Marketing!AQ$3)/12)),AP12),IF(YEAR(AQ$3)=YEAR(Headcount!$Q$4),IF((AQ$5=2),((SUMIFS(Headcount!$Q$6:$Q$89,Headcount!$F$6:$F$89,"Marketing",Headcount!$H$6:$H$89,"&gt;="&amp;Marketing!AQ$3)/12)),AP12),IF(YEAR(AQ$3)=YEAR(Headcount!$R$4),IF((AQ$5=2),((SUMIFS(Headcount!$R$6:$R$89,Headcount!$F$6:$F$89,"Marketing",Headcount!$H$6:$H$89,"&gt;="&amp;Marketing!AQ$3)/12)),AP12),"New Year"))))),SUMIF('Dept. Cost Actuals'!$E$7:$E$176,"*salary*",'Dept. Cost Actuals'!AU$181:AU$350))</f>
        <v>63302.086766666667</v>
      </c>
      <c r="AR12" s="1139">
        <f>IF(AR$4="forecast",IF(YEAR(AR$3)=YEAR(Headcount!$N$4),((SUMIFS(Headcount!$N$6:$N$89,Headcount!$F$6:$F$89,"Marketing",Headcount!$H$6:$H$89,"&gt;="&amp;Marketing!AR$3)/12)),IF(YEAR(AR$3)=YEAR(Headcount!$O$4),IF((AR$5=2),((SUMIFS(Headcount!$O$6:$O$89,Headcount!$F$6:$F$89,"Marketing",Headcount!$H$6:$H$89,"&gt;="&amp;Marketing!AR$3)/12)),AQ12),IF(YEAR(AR$3)=YEAR(Headcount!$P$4),IF((AR$5=2),((SUMIFS(Headcount!$P$6:$P$89,Headcount!$F$6:$F$89,"Marketing",Headcount!$H$6:$H$89,"&gt;="&amp;Marketing!AR$3)/12)),AQ12),IF(YEAR(AR$3)=YEAR(Headcount!$Q$4),IF((AR$5=2),((SUMIFS(Headcount!$Q$6:$Q$89,Headcount!$F$6:$F$89,"Marketing",Headcount!$H$6:$H$89,"&gt;="&amp;Marketing!AR$3)/12)),AQ12),IF(YEAR(AR$3)=YEAR(Headcount!$R$4),IF((AR$5=2),((SUMIFS(Headcount!$R$6:$R$89,Headcount!$F$6:$F$89,"Marketing",Headcount!$H$6:$H$89,"&gt;="&amp;Marketing!AR$3)/12)),AQ12),"New Year"))))),SUMIF('Dept. Cost Actuals'!$E$7:$E$176,"*salary*",'Dept. Cost Actuals'!AV$181:AV$350))</f>
        <v>63302.086766666667</v>
      </c>
      <c r="AS12" s="1139">
        <f>IF(AS$4="forecast",IF(YEAR(AS$3)=YEAR(Headcount!$N$4),((SUMIFS(Headcount!$N$6:$N$89,Headcount!$F$6:$F$89,"Marketing",Headcount!$H$6:$H$89,"&gt;="&amp;Marketing!AS$3)/12)),IF(YEAR(AS$3)=YEAR(Headcount!$O$4),IF((AS$5=2),((SUMIFS(Headcount!$O$6:$O$89,Headcount!$F$6:$F$89,"Marketing",Headcount!$H$6:$H$89,"&gt;="&amp;Marketing!AS$3)/12)),AR12),IF(YEAR(AS$3)=YEAR(Headcount!$P$4),IF((AS$5=2),((SUMIFS(Headcount!$P$6:$P$89,Headcount!$F$6:$F$89,"Marketing",Headcount!$H$6:$H$89,"&gt;="&amp;Marketing!AS$3)/12)),AR12),IF(YEAR(AS$3)=YEAR(Headcount!$Q$4),IF((AS$5=2),((SUMIFS(Headcount!$Q$6:$Q$89,Headcount!$F$6:$F$89,"Marketing",Headcount!$H$6:$H$89,"&gt;="&amp;Marketing!AS$3)/12)),AR12),IF(YEAR(AS$3)=YEAR(Headcount!$R$4),IF((AS$5=2),((SUMIFS(Headcount!$R$6:$R$89,Headcount!$F$6:$F$89,"Marketing",Headcount!$H$6:$H$89,"&gt;="&amp;Marketing!AS$3)/12)),AR12),"New Year"))))),SUMIF('Dept. Cost Actuals'!$E$7:$E$176,"*salary*",'Dept. Cost Actuals'!AW$181:AW$350))</f>
        <v>63302.086766666667</v>
      </c>
      <c r="AT12" s="1139">
        <f>IF(AT$4="forecast",IF(YEAR(AT$3)=YEAR(Headcount!$N$4),((SUMIFS(Headcount!$N$6:$N$89,Headcount!$F$6:$F$89,"Marketing",Headcount!$H$6:$H$89,"&gt;="&amp;Marketing!AT$3)/12)),IF(YEAR(AT$3)=YEAR(Headcount!$O$4),IF((AT$5=2),((SUMIFS(Headcount!$O$6:$O$89,Headcount!$F$6:$F$89,"Marketing",Headcount!$H$6:$H$89,"&gt;="&amp;Marketing!AT$3)/12)),AS12),IF(YEAR(AT$3)=YEAR(Headcount!$P$4),IF((AT$5=2),((SUMIFS(Headcount!$P$6:$P$89,Headcount!$F$6:$F$89,"Marketing",Headcount!$H$6:$H$89,"&gt;="&amp;Marketing!AT$3)/12)),AS12),IF(YEAR(AT$3)=YEAR(Headcount!$Q$4),IF((AT$5=2),((SUMIFS(Headcount!$Q$6:$Q$89,Headcount!$F$6:$F$89,"Marketing",Headcount!$H$6:$H$89,"&gt;="&amp;Marketing!AT$3)/12)),AS12),IF(YEAR(AT$3)=YEAR(Headcount!$R$4),IF((AT$5=2),((SUMIFS(Headcount!$R$6:$R$89,Headcount!$F$6:$F$89,"Marketing",Headcount!$H$6:$H$89,"&gt;="&amp;Marketing!AT$3)/12)),AS12),"New Year"))))),SUMIF('Dept. Cost Actuals'!$E$7:$E$176,"*salary*",'Dept. Cost Actuals'!AX$181:AX$350))</f>
        <v>63302.086766666667</v>
      </c>
      <c r="AU12" s="1139">
        <f>IF(AU$4="forecast",IF(YEAR(AU$3)=YEAR(Headcount!$N$4),((SUMIFS(Headcount!$N$6:$N$89,Headcount!$F$6:$F$89,"Marketing",Headcount!$H$6:$H$89,"&gt;="&amp;Marketing!AU$3)/12)),IF(YEAR(AU$3)=YEAR(Headcount!$O$4),IF((AU$5=2),((SUMIFS(Headcount!$O$6:$O$89,Headcount!$F$6:$F$89,"Marketing",Headcount!$H$6:$H$89,"&gt;="&amp;Marketing!AU$3)/12)),AT12),IF(YEAR(AU$3)=YEAR(Headcount!$P$4),IF((AU$5=2),((SUMIFS(Headcount!$P$6:$P$89,Headcount!$F$6:$F$89,"Marketing",Headcount!$H$6:$H$89,"&gt;="&amp;Marketing!AU$3)/12)),AT12),IF(YEAR(AU$3)=YEAR(Headcount!$Q$4),IF((AU$5=2),((SUMIFS(Headcount!$Q$6:$Q$89,Headcount!$F$6:$F$89,"Marketing",Headcount!$H$6:$H$89,"&gt;="&amp;Marketing!AU$3)/12)),AT12),IF(YEAR(AU$3)=YEAR(Headcount!$R$4),IF((AU$5=2),((SUMIFS(Headcount!$R$6:$R$89,Headcount!$F$6:$F$89,"Marketing",Headcount!$H$6:$H$89,"&gt;="&amp;Marketing!AU$3)/12)),AT12),"New Year"))))),SUMIF('Dept. Cost Actuals'!$E$7:$E$176,"*salary*",'Dept. Cost Actuals'!AY$181:AY$350))</f>
        <v>63302.086766666667</v>
      </c>
      <c r="AV12" s="1139">
        <f>IF(AV$4="forecast",IF(YEAR(AV$3)=YEAR(Headcount!$N$4),((SUMIFS(Headcount!$N$6:$N$89,Headcount!$F$6:$F$89,"Marketing",Headcount!$H$6:$H$89,"&gt;="&amp;Marketing!AV$3)/12)),IF(YEAR(AV$3)=YEAR(Headcount!$O$4),IF((AV$5=2),((SUMIFS(Headcount!$O$6:$O$89,Headcount!$F$6:$F$89,"Marketing",Headcount!$H$6:$H$89,"&gt;="&amp;Marketing!AV$3)/12)),AU12),IF(YEAR(AV$3)=YEAR(Headcount!$P$4),IF((AV$5=2),((SUMIFS(Headcount!$P$6:$P$89,Headcount!$F$6:$F$89,"Marketing",Headcount!$H$6:$H$89,"&gt;="&amp;Marketing!AV$3)/12)),AU12),IF(YEAR(AV$3)=YEAR(Headcount!$Q$4),IF((AV$5=2),((SUMIFS(Headcount!$Q$6:$Q$89,Headcount!$F$6:$F$89,"Marketing",Headcount!$H$6:$H$89,"&gt;="&amp;Marketing!AV$3)/12)),AU12),IF(YEAR(AV$3)=YEAR(Headcount!$R$4),IF((AV$5=2),((SUMIFS(Headcount!$R$6:$R$89,Headcount!$F$6:$F$89,"Marketing",Headcount!$H$6:$H$89,"&gt;="&amp;Marketing!AV$3)/12)),AU12),"New Year"))))),SUMIF('Dept. Cost Actuals'!$E$7:$E$176,"*salary*",'Dept. Cost Actuals'!AZ$181:AZ$350))</f>
        <v>63302.086766666667</v>
      </c>
      <c r="AW12" s="1139">
        <f>IF(AW$4="forecast",IF(YEAR(AW$3)=YEAR(Headcount!$N$4),((SUMIFS(Headcount!$N$6:$N$89,Headcount!$F$6:$F$89,"Marketing",Headcount!$H$6:$H$89,"&gt;="&amp;Marketing!AW$3)/12)),IF(YEAR(AW$3)=YEAR(Headcount!$O$4),IF((AW$5=2),((SUMIFS(Headcount!$O$6:$O$89,Headcount!$F$6:$F$89,"Marketing",Headcount!$H$6:$H$89,"&gt;="&amp;Marketing!AW$3)/12)),AV12),IF(YEAR(AW$3)=YEAR(Headcount!$P$4),IF((AW$5=2),((SUMIFS(Headcount!$P$6:$P$89,Headcount!$F$6:$F$89,"Marketing",Headcount!$H$6:$H$89,"&gt;="&amp;Marketing!AW$3)/12)),AV12),IF(YEAR(AW$3)=YEAR(Headcount!$Q$4),IF((AW$5=2),((SUMIFS(Headcount!$Q$6:$Q$89,Headcount!$F$6:$F$89,"Marketing",Headcount!$H$6:$H$89,"&gt;="&amp;Marketing!AW$3)/12)),AV12),IF(YEAR(AW$3)=YEAR(Headcount!$R$4),IF((AW$5=2),((SUMIFS(Headcount!$R$6:$R$89,Headcount!$F$6:$F$89,"Marketing",Headcount!$H$6:$H$89,"&gt;="&amp;Marketing!AW$3)/12)),AV12),"New Year"))))),SUMIF('Dept. Cost Actuals'!$E$7:$E$176,"*salary*",'Dept. Cost Actuals'!BA$181:BA$350))</f>
        <v>63302.086766666667</v>
      </c>
      <c r="AX12" s="1139">
        <f>IF(AX$4="forecast",IF(YEAR(AX$3)=YEAR(Headcount!$N$4),((SUMIFS(Headcount!$N$6:$N$89,Headcount!$F$6:$F$89,"Marketing",Headcount!$H$6:$H$89,"&gt;="&amp;Marketing!AX$3)/12)),IF(YEAR(AX$3)=YEAR(Headcount!$O$4),IF((AX$5=2),((SUMIFS(Headcount!$O$6:$O$89,Headcount!$F$6:$F$89,"Marketing",Headcount!$H$6:$H$89,"&gt;="&amp;Marketing!AX$3)/12)),AW12),IF(YEAR(AX$3)=YEAR(Headcount!$P$4),IF((AX$5=2),((SUMIFS(Headcount!$P$6:$P$89,Headcount!$F$6:$F$89,"Marketing",Headcount!$H$6:$H$89,"&gt;="&amp;Marketing!AX$3)/12)),AW12),IF(YEAR(AX$3)=YEAR(Headcount!$Q$4),IF((AX$5=2),((SUMIFS(Headcount!$Q$6:$Q$89,Headcount!$F$6:$F$89,"Marketing",Headcount!$H$6:$H$89,"&gt;="&amp;Marketing!AX$3)/12)),AW12),IF(YEAR(AX$3)=YEAR(Headcount!$R$4),IF((AX$5=2),((SUMIFS(Headcount!$R$6:$R$89,Headcount!$F$6:$F$89,"Marketing",Headcount!$H$6:$H$89,"&gt;="&amp;Marketing!AX$3)/12)),AW12),"New Year"))))),SUMIF('Dept. Cost Actuals'!$E$7:$E$176,"*salary*",'Dept. Cost Actuals'!BB$181:BB$350))</f>
        <v>63302.086766666667</v>
      </c>
      <c r="AY12" s="1139">
        <f>IF(AY$4="forecast",IF(YEAR(AY$3)=YEAR(Headcount!$N$4),((SUMIFS(Headcount!$N$6:$N$89,Headcount!$F$6:$F$89,"Marketing",Headcount!$H$6:$H$89,"&gt;="&amp;Marketing!AY$3)/12)),IF(YEAR(AY$3)=YEAR(Headcount!$O$4),IF((AY$5=2),((SUMIFS(Headcount!$O$6:$O$89,Headcount!$F$6:$F$89,"Marketing",Headcount!$H$6:$H$89,"&gt;="&amp;Marketing!AY$3)/12)),AX12),IF(YEAR(AY$3)=YEAR(Headcount!$P$4),IF((AY$5=2),((SUMIFS(Headcount!$P$6:$P$89,Headcount!$F$6:$F$89,"Marketing",Headcount!$H$6:$H$89,"&gt;="&amp;Marketing!AY$3)/12)),AX12),IF(YEAR(AY$3)=YEAR(Headcount!$Q$4),IF((AY$5=2),((SUMIFS(Headcount!$Q$6:$Q$89,Headcount!$F$6:$F$89,"Marketing",Headcount!$H$6:$H$89,"&gt;="&amp;Marketing!AY$3)/12)),AX12),IF(YEAR(AY$3)=YEAR(Headcount!$R$4),IF((AY$5=2),((SUMIFS(Headcount!$R$6:$R$89,Headcount!$F$6:$F$89,"Marketing",Headcount!$H$6:$H$89,"&gt;="&amp;Marketing!AY$3)/12)),AX12),"New Year"))))),SUMIF('Dept. Cost Actuals'!$E$7:$E$176,"*salary*",'Dept. Cost Actuals'!BC$181:BC$350))</f>
        <v>63302.086766666667</v>
      </c>
      <c r="AZ12" s="1139">
        <f>IF(AZ$4="forecast",IF(YEAR(AZ$3)=YEAR(Headcount!$N$4),((SUMIFS(Headcount!$N$6:$N$89,Headcount!$F$6:$F$89,"Marketing",Headcount!$H$6:$H$89,"&gt;="&amp;Marketing!AZ$3)/12)),IF(YEAR(AZ$3)=YEAR(Headcount!$O$4),IF((AZ$5=2),((SUMIFS(Headcount!$O$6:$O$89,Headcount!$F$6:$F$89,"Marketing",Headcount!$H$6:$H$89,"&gt;="&amp;Marketing!AZ$3)/12)),AY12),IF(YEAR(AZ$3)=YEAR(Headcount!$P$4),IF((AZ$5=2),((SUMIFS(Headcount!$P$6:$P$89,Headcount!$F$6:$F$89,"Marketing",Headcount!$H$6:$H$89,"&gt;="&amp;Marketing!AZ$3)/12)),AY12),IF(YEAR(AZ$3)=YEAR(Headcount!$Q$4),IF((AZ$5=2),((SUMIFS(Headcount!$Q$6:$Q$89,Headcount!$F$6:$F$89,"Marketing",Headcount!$H$6:$H$89,"&gt;="&amp;Marketing!AZ$3)/12)),AY12),IF(YEAR(AZ$3)=YEAR(Headcount!$R$4),IF((AZ$5=2),((SUMIFS(Headcount!$R$6:$R$89,Headcount!$F$6:$F$89,"Marketing",Headcount!$H$6:$H$89,"&gt;="&amp;Marketing!AZ$3)/12)),AY12),"New Year"))))),SUMIF('Dept. Cost Actuals'!$E$7:$E$176,"*salary*",'Dept. Cost Actuals'!BD$181:BD$350))</f>
        <v>65201.149369666666</v>
      </c>
      <c r="BA12" s="1139">
        <f>IF(BA$4="forecast",IF(YEAR(BA$3)=YEAR(Headcount!$N$4),((SUMIFS(Headcount!$N$6:$N$89,Headcount!$F$6:$F$89,"Marketing",Headcount!$H$6:$H$89,"&gt;="&amp;Marketing!BA$3)/12)),IF(YEAR(BA$3)=YEAR(Headcount!$O$4),IF((BA$5=2),((SUMIFS(Headcount!$O$6:$O$89,Headcount!$F$6:$F$89,"Marketing",Headcount!$H$6:$H$89,"&gt;="&amp;Marketing!BA$3)/12)),AZ12),IF(YEAR(BA$3)=YEAR(Headcount!$P$4),IF((BA$5=2),((SUMIFS(Headcount!$P$6:$P$89,Headcount!$F$6:$F$89,"Marketing",Headcount!$H$6:$H$89,"&gt;="&amp;Marketing!BA$3)/12)),AZ12),IF(YEAR(BA$3)=YEAR(Headcount!$Q$4),IF((BA$5=2),((SUMIFS(Headcount!$Q$6:$Q$89,Headcount!$F$6:$F$89,"Marketing",Headcount!$H$6:$H$89,"&gt;="&amp;Marketing!BA$3)/12)),AZ12),IF(YEAR(BA$3)=YEAR(Headcount!$R$4),IF((BA$5=2),((SUMIFS(Headcount!$R$6:$R$89,Headcount!$F$6:$F$89,"Marketing",Headcount!$H$6:$H$89,"&gt;="&amp;Marketing!BA$3)/12)),AZ12),"New Year"))))),SUMIF('Dept. Cost Actuals'!$E$7:$E$176,"*salary*",'Dept. Cost Actuals'!BE$181:BE$350))</f>
        <v>65201.149369666666</v>
      </c>
      <c r="BB12" s="1139">
        <f>IF(BB$4="forecast",IF(YEAR(BB$3)=YEAR(Headcount!$N$4),((SUMIFS(Headcount!$N$6:$N$89,Headcount!$F$6:$F$89,"Marketing",Headcount!$H$6:$H$89,"&gt;="&amp;Marketing!BB$3)/12)),IF(YEAR(BB$3)=YEAR(Headcount!$O$4),IF((BB$5=2),((SUMIFS(Headcount!$O$6:$O$89,Headcount!$F$6:$F$89,"Marketing",Headcount!$H$6:$H$89,"&gt;="&amp;Marketing!BB$3)/12)),BA12),IF(YEAR(BB$3)=YEAR(Headcount!$P$4),IF((BB$5=2),((SUMIFS(Headcount!$P$6:$P$89,Headcount!$F$6:$F$89,"Marketing",Headcount!$H$6:$H$89,"&gt;="&amp;Marketing!BB$3)/12)),BA12),IF(YEAR(BB$3)=YEAR(Headcount!$Q$4),IF((BB$5=2),((SUMIFS(Headcount!$Q$6:$Q$89,Headcount!$F$6:$F$89,"Marketing",Headcount!$H$6:$H$89,"&gt;="&amp;Marketing!BB$3)/12)),BA12),IF(YEAR(BB$3)=YEAR(Headcount!$R$4),IF((BB$5=2),((SUMIFS(Headcount!$R$6:$R$89,Headcount!$F$6:$F$89,"Marketing",Headcount!$H$6:$H$89,"&gt;="&amp;Marketing!BB$3)/12)),BA12),"New Year"))))),SUMIF('Dept. Cost Actuals'!$E$7:$E$176,"*salary*",'Dept. Cost Actuals'!BF$181:BF$350))</f>
        <v>65201.149369666666</v>
      </c>
      <c r="BC12" s="1139">
        <f>IF(BC$4="forecast",IF(YEAR(BC$3)=YEAR(Headcount!$N$4),((SUMIFS(Headcount!$N$6:$N$89,Headcount!$F$6:$F$89,"Marketing",Headcount!$H$6:$H$89,"&gt;="&amp;Marketing!BC$3)/12)),IF(YEAR(BC$3)=YEAR(Headcount!$O$4),IF((BC$5=2),((SUMIFS(Headcount!$O$6:$O$89,Headcount!$F$6:$F$89,"Marketing",Headcount!$H$6:$H$89,"&gt;="&amp;Marketing!BC$3)/12)),BB12),IF(YEAR(BC$3)=YEAR(Headcount!$P$4),IF((BC$5=2),((SUMIFS(Headcount!$P$6:$P$89,Headcount!$F$6:$F$89,"Marketing",Headcount!$H$6:$H$89,"&gt;="&amp;Marketing!BC$3)/12)),BB12),IF(YEAR(BC$3)=YEAR(Headcount!$Q$4),IF((BC$5=2),((SUMIFS(Headcount!$Q$6:$Q$89,Headcount!$F$6:$F$89,"Marketing",Headcount!$H$6:$H$89,"&gt;="&amp;Marketing!BC$3)/12)),BB12),IF(YEAR(BC$3)=YEAR(Headcount!$R$4),IF((BC$5=2),((SUMIFS(Headcount!$R$6:$R$89,Headcount!$F$6:$F$89,"Marketing",Headcount!$H$6:$H$89,"&gt;="&amp;Marketing!BC$3)/12)),BB12),"New Year"))))),SUMIF('Dept. Cost Actuals'!$E$7:$E$176,"*salary*",'Dept. Cost Actuals'!BG$181:BG$350))</f>
        <v>65201.149369666666</v>
      </c>
      <c r="BD12" s="1139">
        <f>IF(BD$4="forecast",IF(YEAR(BD$3)=YEAR(Headcount!$N$4),((SUMIFS(Headcount!$N$6:$N$89,Headcount!$F$6:$F$89,"Marketing",Headcount!$H$6:$H$89,"&gt;="&amp;Marketing!BD$3)/12)),IF(YEAR(BD$3)=YEAR(Headcount!$O$4),IF((BD$5=2),((SUMIFS(Headcount!$O$6:$O$89,Headcount!$F$6:$F$89,"Marketing",Headcount!$H$6:$H$89,"&gt;="&amp;Marketing!BD$3)/12)),BC12),IF(YEAR(BD$3)=YEAR(Headcount!$P$4),IF((BD$5=2),((SUMIFS(Headcount!$P$6:$P$89,Headcount!$F$6:$F$89,"Marketing",Headcount!$H$6:$H$89,"&gt;="&amp;Marketing!BD$3)/12)),BC12),IF(YEAR(BD$3)=YEAR(Headcount!$Q$4),IF((BD$5=2),((SUMIFS(Headcount!$Q$6:$Q$89,Headcount!$F$6:$F$89,"Marketing",Headcount!$H$6:$H$89,"&gt;="&amp;Marketing!BD$3)/12)),BC12),IF(YEAR(BD$3)=YEAR(Headcount!$R$4),IF((BD$5=2),((SUMIFS(Headcount!$R$6:$R$89,Headcount!$F$6:$F$89,"Marketing",Headcount!$H$6:$H$89,"&gt;="&amp;Marketing!BD$3)/12)),BC12),"New Year"))))),SUMIF('Dept. Cost Actuals'!$E$7:$E$176,"*salary*",'Dept. Cost Actuals'!BH$181:BH$350))</f>
        <v>65201.149369666666</v>
      </c>
      <c r="BE12" s="1139">
        <f>IF(BE$4="forecast",IF(YEAR(BE$3)=YEAR(Headcount!$N$4),((SUMIFS(Headcount!$N$6:$N$89,Headcount!$F$6:$F$89,"Marketing",Headcount!$H$6:$H$89,"&gt;="&amp;Marketing!BE$3)/12)),IF(YEAR(BE$3)=YEAR(Headcount!$O$4),IF((BE$5=2),((SUMIFS(Headcount!$O$6:$O$89,Headcount!$F$6:$F$89,"Marketing",Headcount!$H$6:$H$89,"&gt;="&amp;Marketing!BE$3)/12)),BD12),IF(YEAR(BE$3)=YEAR(Headcount!$P$4),IF((BE$5=2),((SUMIFS(Headcount!$P$6:$P$89,Headcount!$F$6:$F$89,"Marketing",Headcount!$H$6:$H$89,"&gt;="&amp;Marketing!BE$3)/12)),BD12),IF(YEAR(BE$3)=YEAR(Headcount!$Q$4),IF((BE$5=2),((SUMIFS(Headcount!$Q$6:$Q$89,Headcount!$F$6:$F$89,"Marketing",Headcount!$H$6:$H$89,"&gt;="&amp;Marketing!BE$3)/12)),BD12),IF(YEAR(BE$3)=YEAR(Headcount!$R$4),IF((BE$5=2),((SUMIFS(Headcount!$R$6:$R$89,Headcount!$F$6:$F$89,"Marketing",Headcount!$H$6:$H$89,"&gt;="&amp;Marketing!BE$3)/12)),BD12),"New Year"))))),SUMIF('Dept. Cost Actuals'!$E$7:$E$176,"*salary*",'Dept. Cost Actuals'!BI$181:BI$350))</f>
        <v>65201.149369666666</v>
      </c>
      <c r="BF12" s="1139">
        <f>IF(BF$4="forecast",IF(YEAR(BF$3)=YEAR(Headcount!$N$4),((SUMIFS(Headcount!$N$6:$N$89,Headcount!$F$6:$F$89,"Marketing",Headcount!$H$6:$H$89,"&gt;="&amp;Marketing!BF$3)/12)),IF(YEAR(BF$3)=YEAR(Headcount!$O$4),IF((BF$5=2),((SUMIFS(Headcount!$O$6:$O$89,Headcount!$F$6:$F$89,"Marketing",Headcount!$H$6:$H$89,"&gt;="&amp;Marketing!BF$3)/12)),BE12),IF(YEAR(BF$3)=YEAR(Headcount!$P$4),IF((BF$5=2),((SUMIFS(Headcount!$P$6:$P$89,Headcount!$F$6:$F$89,"Marketing",Headcount!$H$6:$H$89,"&gt;="&amp;Marketing!BF$3)/12)),BE12),IF(YEAR(BF$3)=YEAR(Headcount!$Q$4),IF((BF$5=2),((SUMIFS(Headcount!$Q$6:$Q$89,Headcount!$F$6:$F$89,"Marketing",Headcount!$H$6:$H$89,"&gt;="&amp;Marketing!BF$3)/12)),BE12),IF(YEAR(BF$3)=YEAR(Headcount!$R$4),IF((BF$5=2),((SUMIFS(Headcount!$R$6:$R$89,Headcount!$F$6:$F$89,"Marketing",Headcount!$H$6:$H$89,"&gt;="&amp;Marketing!BF$3)/12)),BE12),"New Year"))))),SUMIF('Dept. Cost Actuals'!$E$7:$E$176,"*salary*",'Dept. Cost Actuals'!BJ$181:BJ$350))</f>
        <v>65201.149369666666</v>
      </c>
      <c r="BG12" s="1139">
        <f>IF(BG$4="forecast",IF(YEAR(BG$3)=YEAR(Headcount!$N$4),((SUMIFS(Headcount!$N$6:$N$89,Headcount!$F$6:$F$89,"Marketing",Headcount!$H$6:$H$89,"&gt;="&amp;Marketing!BG$3)/12)),IF(YEAR(BG$3)=YEAR(Headcount!$O$4),IF((BG$5=2),((SUMIFS(Headcount!$O$6:$O$89,Headcount!$F$6:$F$89,"Marketing",Headcount!$H$6:$H$89,"&gt;="&amp;Marketing!BG$3)/12)),BF12),IF(YEAR(BG$3)=YEAR(Headcount!$P$4),IF((BG$5=2),((SUMIFS(Headcount!$P$6:$P$89,Headcount!$F$6:$F$89,"Marketing",Headcount!$H$6:$H$89,"&gt;="&amp;Marketing!BG$3)/12)),BF12),IF(YEAR(BG$3)=YEAR(Headcount!$Q$4),IF((BG$5=2),((SUMIFS(Headcount!$Q$6:$Q$89,Headcount!$F$6:$F$89,"Marketing",Headcount!$H$6:$H$89,"&gt;="&amp;Marketing!BG$3)/12)),BF12),IF(YEAR(BG$3)=YEAR(Headcount!$R$4),IF((BG$5=2),((SUMIFS(Headcount!$R$6:$R$89,Headcount!$F$6:$F$89,"Marketing",Headcount!$H$6:$H$89,"&gt;="&amp;Marketing!BG$3)/12)),BF12),"New Year"))))),SUMIF('Dept. Cost Actuals'!$E$7:$E$176,"*salary*",'Dept. Cost Actuals'!BK$181:BK$350))</f>
        <v>65201.149369666666</v>
      </c>
      <c r="BH12" s="1139">
        <f>IF(BH$4="forecast",IF(YEAR(BH$3)=YEAR(Headcount!$N$4),((SUMIFS(Headcount!$N$6:$N$89,Headcount!$F$6:$F$89,"Marketing",Headcount!$H$6:$H$89,"&gt;="&amp;Marketing!BH$3)/12)),IF(YEAR(BH$3)=YEAR(Headcount!$O$4),IF((BH$5=2),((SUMIFS(Headcount!$O$6:$O$89,Headcount!$F$6:$F$89,"Marketing",Headcount!$H$6:$H$89,"&gt;="&amp;Marketing!BH$3)/12)),BG12),IF(YEAR(BH$3)=YEAR(Headcount!$P$4),IF((BH$5=2),((SUMIFS(Headcount!$P$6:$P$89,Headcount!$F$6:$F$89,"Marketing",Headcount!$H$6:$H$89,"&gt;="&amp;Marketing!BH$3)/12)),BG12),IF(YEAR(BH$3)=YEAR(Headcount!$Q$4),IF((BH$5=2),((SUMIFS(Headcount!$Q$6:$Q$89,Headcount!$F$6:$F$89,"Marketing",Headcount!$H$6:$H$89,"&gt;="&amp;Marketing!BH$3)/12)),BG12),IF(YEAR(BH$3)=YEAR(Headcount!$R$4),IF((BH$5=2),((SUMIFS(Headcount!$R$6:$R$89,Headcount!$F$6:$F$89,"Marketing",Headcount!$H$6:$H$89,"&gt;="&amp;Marketing!BH$3)/12)),BG12),"New Year"))))),SUMIF('Dept. Cost Actuals'!$E$7:$E$176,"*salary*",'Dept. Cost Actuals'!BL$181:BL$350))</f>
        <v>65201.149369666666</v>
      </c>
      <c r="BI12" s="1139">
        <f>IF(BI$4="forecast",IF(YEAR(BI$3)=YEAR(Headcount!$N$4),((SUMIFS(Headcount!$N$6:$N$89,Headcount!$F$6:$F$89,"Marketing",Headcount!$H$6:$H$89,"&gt;="&amp;Marketing!BI$3)/12)),IF(YEAR(BI$3)=YEAR(Headcount!$O$4),IF((BI$5=2),((SUMIFS(Headcount!$O$6:$O$89,Headcount!$F$6:$F$89,"Marketing",Headcount!$H$6:$H$89,"&gt;="&amp;Marketing!BI$3)/12)),BH12),IF(YEAR(BI$3)=YEAR(Headcount!$P$4),IF((BI$5=2),((SUMIFS(Headcount!$P$6:$P$89,Headcount!$F$6:$F$89,"Marketing",Headcount!$H$6:$H$89,"&gt;="&amp;Marketing!BI$3)/12)),BH12),IF(YEAR(BI$3)=YEAR(Headcount!$Q$4),IF((BI$5=2),((SUMIFS(Headcount!$Q$6:$Q$89,Headcount!$F$6:$F$89,"Marketing",Headcount!$H$6:$H$89,"&gt;="&amp;Marketing!BI$3)/12)),BH12),IF(YEAR(BI$3)=YEAR(Headcount!$R$4),IF((BI$5=2),((SUMIFS(Headcount!$R$6:$R$89,Headcount!$F$6:$F$89,"Marketing",Headcount!$H$6:$H$89,"&gt;="&amp;Marketing!BI$3)/12)),BH12),"New Year"))))),SUMIF('Dept. Cost Actuals'!$E$7:$E$176,"*salary*",'Dept. Cost Actuals'!BM$181:BM$350))</f>
        <v>65201.149369666666</v>
      </c>
      <c r="BJ12" s="1139">
        <f>IF(BJ$4="forecast",IF(YEAR(BJ$3)=YEAR(Headcount!$N$4),((SUMIFS(Headcount!$N$6:$N$89,Headcount!$F$6:$F$89,"Marketing",Headcount!$H$6:$H$89,"&gt;="&amp;Marketing!BJ$3)/12)),IF(YEAR(BJ$3)=YEAR(Headcount!$O$4),IF((BJ$5=2),((SUMIFS(Headcount!$O$6:$O$89,Headcount!$F$6:$F$89,"Marketing",Headcount!$H$6:$H$89,"&gt;="&amp;Marketing!BJ$3)/12)),BI12),IF(YEAR(BJ$3)=YEAR(Headcount!$P$4),IF((BJ$5=2),((SUMIFS(Headcount!$P$6:$P$89,Headcount!$F$6:$F$89,"Marketing",Headcount!$H$6:$H$89,"&gt;="&amp;Marketing!BJ$3)/12)),BI12),IF(YEAR(BJ$3)=YEAR(Headcount!$Q$4),IF((BJ$5=2),((SUMIFS(Headcount!$Q$6:$Q$89,Headcount!$F$6:$F$89,"Marketing",Headcount!$H$6:$H$89,"&gt;="&amp;Marketing!BJ$3)/12)),BI12),IF(YEAR(BJ$3)=YEAR(Headcount!$R$4),IF((BJ$5=2),((SUMIFS(Headcount!$R$6:$R$89,Headcount!$F$6:$F$89,"Marketing",Headcount!$H$6:$H$89,"&gt;="&amp;Marketing!BJ$3)/12)),BI12),"New Year"))))),SUMIF('Dept. Cost Actuals'!$E$7:$E$176,"*salary*",'Dept. Cost Actuals'!BN$181:BN$350))</f>
        <v>65201.149369666666</v>
      </c>
      <c r="BK12" s="1139">
        <f>IF(BK$4="forecast",IF(YEAR(BK$3)=YEAR(Headcount!$N$4),((SUMIFS(Headcount!$N$6:$N$89,Headcount!$F$6:$F$89,"Marketing",Headcount!$H$6:$H$89,"&gt;="&amp;Marketing!BK$3)/12)),IF(YEAR(BK$3)=YEAR(Headcount!$O$4),IF((BK$5=2),((SUMIFS(Headcount!$O$6:$O$89,Headcount!$F$6:$F$89,"Marketing",Headcount!$H$6:$H$89,"&gt;="&amp;Marketing!BK$3)/12)),BJ12),IF(YEAR(BK$3)=YEAR(Headcount!$P$4),IF((BK$5=2),((SUMIFS(Headcount!$P$6:$P$89,Headcount!$F$6:$F$89,"Marketing",Headcount!$H$6:$H$89,"&gt;="&amp;Marketing!BK$3)/12)),BJ12),IF(YEAR(BK$3)=YEAR(Headcount!$Q$4),IF((BK$5=2),((SUMIFS(Headcount!$Q$6:$Q$89,Headcount!$F$6:$F$89,"Marketing",Headcount!$H$6:$H$89,"&gt;="&amp;Marketing!BK$3)/12)),BJ12),IF(YEAR(BK$3)=YEAR(Headcount!$R$4),IF((BK$5=2),((SUMIFS(Headcount!$R$6:$R$89,Headcount!$F$6:$F$89,"Marketing",Headcount!$H$6:$H$89,"&gt;="&amp;Marketing!BK$3)/12)),BJ12),"New Year"))))),SUMIF('Dept. Cost Actuals'!$E$7:$E$176,"*salary*",'Dept. Cost Actuals'!BO$181:BO$350))</f>
        <v>65201.149369666666</v>
      </c>
      <c r="BL12" s="1139">
        <f>IF(BL$4="forecast",IF(YEAR(BL$3)=YEAR(Headcount!$N$4),((SUMIFS(Headcount!$N$6:$N$89,Headcount!$F$6:$F$89,"Marketing",Headcount!$H$6:$H$89,"&gt;="&amp;Marketing!BL$3)/12)),IF(YEAR(BL$3)=YEAR(Headcount!$O$4),IF((BL$5=2),((SUMIFS(Headcount!$O$6:$O$89,Headcount!$F$6:$F$89,"Marketing",Headcount!$H$6:$H$89,"&gt;="&amp;Marketing!BL$3)/12)),BK12),IF(YEAR(BL$3)=YEAR(Headcount!$P$4),IF((BL$5=2),((SUMIFS(Headcount!$P$6:$P$89,Headcount!$F$6:$F$89,"Marketing",Headcount!$H$6:$H$89,"&gt;="&amp;Marketing!BL$3)/12)),BK12),IF(YEAR(BL$3)=YEAR(Headcount!$Q$4),IF((BL$5=2),((SUMIFS(Headcount!$Q$6:$Q$89,Headcount!$F$6:$F$89,"Marketing",Headcount!$H$6:$H$89,"&gt;="&amp;Marketing!BL$3)/12)),BK12),IF(YEAR(BL$3)=YEAR(Headcount!$R$4),IF((BL$5=2),((SUMIFS(Headcount!$R$6:$R$89,Headcount!$F$6:$F$89,"Marketing",Headcount!$H$6:$H$89,"&gt;="&amp;Marketing!BL$3)/12)),BK12),"New Year"))))),SUMIF('Dept. Cost Actuals'!$E$7:$E$176,"*salary*",'Dept. Cost Actuals'!BP$181:BP$350))</f>
        <v>67157.183850756657</v>
      </c>
      <c r="BM12" s="1139">
        <f>IF(BM$4="forecast",IF(YEAR(BM$3)=YEAR(Headcount!$N$4),((SUMIFS(Headcount!$N$6:$N$89,Headcount!$F$6:$F$89,"Marketing",Headcount!$H$6:$H$89,"&gt;="&amp;Marketing!BM$3)/12)),IF(YEAR(BM$3)=YEAR(Headcount!$O$4),IF((BM$5=2),((SUMIFS(Headcount!$O$6:$O$89,Headcount!$F$6:$F$89,"Marketing",Headcount!$H$6:$H$89,"&gt;="&amp;Marketing!BM$3)/12)),BL12),IF(YEAR(BM$3)=YEAR(Headcount!$P$4),IF((BM$5=2),((SUMIFS(Headcount!$P$6:$P$89,Headcount!$F$6:$F$89,"Marketing",Headcount!$H$6:$H$89,"&gt;="&amp;Marketing!BM$3)/12)),BL12),IF(YEAR(BM$3)=YEAR(Headcount!$Q$4),IF((BM$5=2),((SUMIFS(Headcount!$Q$6:$Q$89,Headcount!$F$6:$F$89,"Marketing",Headcount!$H$6:$H$89,"&gt;="&amp;Marketing!BM$3)/12)),BL12),IF(YEAR(BM$3)=YEAR(Headcount!$R$4),IF((BM$5=2),((SUMIFS(Headcount!$R$6:$R$89,Headcount!$F$6:$F$89,"Marketing",Headcount!$H$6:$H$89,"&gt;="&amp;Marketing!BM$3)/12)),BL12),"New Year"))))),SUMIF('Dept. Cost Actuals'!$E$7:$E$176,"*salary*",'Dept. Cost Actuals'!BQ$181:BQ$350))</f>
        <v>67157.183850756657</v>
      </c>
      <c r="BN12" s="1139">
        <f>IF(BN$4="forecast",IF(YEAR(BN$3)=YEAR(Headcount!$N$4),((SUMIFS(Headcount!$N$6:$N$89,Headcount!$F$6:$F$89,"Marketing",Headcount!$H$6:$H$89,"&gt;="&amp;Marketing!BN$3)/12)),IF(YEAR(BN$3)=YEAR(Headcount!$O$4),IF((BN$5=2),((SUMIFS(Headcount!$O$6:$O$89,Headcount!$F$6:$F$89,"Marketing",Headcount!$H$6:$H$89,"&gt;="&amp;Marketing!BN$3)/12)),BM12),IF(YEAR(BN$3)=YEAR(Headcount!$P$4),IF((BN$5=2),((SUMIFS(Headcount!$P$6:$P$89,Headcount!$F$6:$F$89,"Marketing",Headcount!$H$6:$H$89,"&gt;="&amp;Marketing!BN$3)/12)),BM12),IF(YEAR(BN$3)=YEAR(Headcount!$Q$4),IF((BN$5=2),((SUMIFS(Headcount!$Q$6:$Q$89,Headcount!$F$6:$F$89,"Marketing",Headcount!$H$6:$H$89,"&gt;="&amp;Marketing!BN$3)/12)),BM12),IF(YEAR(BN$3)=YEAR(Headcount!$R$4),IF((BN$5=2),((SUMIFS(Headcount!$R$6:$R$89,Headcount!$F$6:$F$89,"Marketing",Headcount!$H$6:$H$89,"&gt;="&amp;Marketing!BN$3)/12)),BM12),"New Year"))))),SUMIF('Dept. Cost Actuals'!$E$7:$E$176,"*salary*",'Dept. Cost Actuals'!BR$181:BR$350))</f>
        <v>67157.183850756657</v>
      </c>
      <c r="BO12" s="1139">
        <f>IF(BO$4="forecast",IF(YEAR(BO$3)=YEAR(Headcount!$N$4),((SUMIFS(Headcount!$N$6:$N$89,Headcount!$F$6:$F$89,"Marketing",Headcount!$H$6:$H$89,"&gt;="&amp;Marketing!BO$3)/12)),IF(YEAR(BO$3)=YEAR(Headcount!$O$4),IF((BO$5=2),((SUMIFS(Headcount!$O$6:$O$89,Headcount!$F$6:$F$89,"Marketing",Headcount!$H$6:$H$89,"&gt;="&amp;Marketing!BO$3)/12)),BN12),IF(YEAR(BO$3)=YEAR(Headcount!$P$4),IF((BO$5=2),((SUMIFS(Headcount!$P$6:$P$89,Headcount!$F$6:$F$89,"Marketing",Headcount!$H$6:$H$89,"&gt;="&amp;Marketing!BO$3)/12)),BN12),IF(YEAR(BO$3)=YEAR(Headcount!$Q$4),IF((BO$5=2),((SUMIFS(Headcount!$Q$6:$Q$89,Headcount!$F$6:$F$89,"Marketing",Headcount!$H$6:$H$89,"&gt;="&amp;Marketing!BO$3)/12)),BN12),IF(YEAR(BO$3)=YEAR(Headcount!$R$4),IF((BO$5=2),((SUMIFS(Headcount!$R$6:$R$89,Headcount!$F$6:$F$89,"Marketing",Headcount!$H$6:$H$89,"&gt;="&amp;Marketing!BO$3)/12)),BN12),"New Year"))))),SUMIF('Dept. Cost Actuals'!$E$7:$E$176,"*salary*",'Dept. Cost Actuals'!BS$181:BS$350))</f>
        <v>67157.183850756657</v>
      </c>
      <c r="BP12" s="1139">
        <f>IF(BP$4="forecast",IF(YEAR(BP$3)=YEAR(Headcount!$N$4),((SUMIFS(Headcount!$N$6:$N$89,Headcount!$F$6:$F$89,"Marketing",Headcount!$H$6:$H$89,"&gt;="&amp;Marketing!BP$3)/12)),IF(YEAR(BP$3)=YEAR(Headcount!$O$4),IF((BP$5=2),((SUMIFS(Headcount!$O$6:$O$89,Headcount!$F$6:$F$89,"Marketing",Headcount!$H$6:$H$89,"&gt;="&amp;Marketing!BP$3)/12)),BO12),IF(YEAR(BP$3)=YEAR(Headcount!$P$4),IF((BP$5=2),((SUMIFS(Headcount!$P$6:$P$89,Headcount!$F$6:$F$89,"Marketing",Headcount!$H$6:$H$89,"&gt;="&amp;Marketing!BP$3)/12)),BO12),IF(YEAR(BP$3)=YEAR(Headcount!$Q$4),IF((BP$5=2),((SUMIFS(Headcount!$Q$6:$Q$89,Headcount!$F$6:$F$89,"Marketing",Headcount!$H$6:$H$89,"&gt;="&amp;Marketing!BP$3)/12)),BO12),IF(YEAR(BP$3)=YEAR(Headcount!$R$4),IF((BP$5=2),((SUMIFS(Headcount!$R$6:$R$89,Headcount!$F$6:$F$89,"Marketing",Headcount!$H$6:$H$89,"&gt;="&amp;Marketing!BP$3)/12)),BO12),"New Year"))))),SUMIF('Dept. Cost Actuals'!$E$7:$E$176,"*salary*",'Dept. Cost Actuals'!BT$181:BT$350))</f>
        <v>67157.183850756657</v>
      </c>
      <c r="BQ12" s="1139">
        <f>IF(BQ$4="forecast",IF(YEAR(BQ$3)=YEAR(Headcount!$N$4),((SUMIFS(Headcount!$N$6:$N$89,Headcount!$F$6:$F$89,"Marketing",Headcount!$H$6:$H$89,"&gt;="&amp;Marketing!BQ$3)/12)),IF(YEAR(BQ$3)=YEAR(Headcount!$O$4),IF((BQ$5=2),((SUMIFS(Headcount!$O$6:$O$89,Headcount!$F$6:$F$89,"Marketing",Headcount!$H$6:$H$89,"&gt;="&amp;Marketing!BQ$3)/12)),BP12),IF(YEAR(BQ$3)=YEAR(Headcount!$P$4),IF((BQ$5=2),((SUMIFS(Headcount!$P$6:$P$89,Headcount!$F$6:$F$89,"Marketing",Headcount!$H$6:$H$89,"&gt;="&amp;Marketing!BQ$3)/12)),BP12),IF(YEAR(BQ$3)=YEAR(Headcount!$Q$4),IF((BQ$5=2),((SUMIFS(Headcount!$Q$6:$Q$89,Headcount!$F$6:$F$89,"Marketing",Headcount!$H$6:$H$89,"&gt;="&amp;Marketing!BQ$3)/12)),BP12),IF(YEAR(BQ$3)=YEAR(Headcount!$R$4),IF((BQ$5=2),((SUMIFS(Headcount!$R$6:$R$89,Headcount!$F$6:$F$89,"Marketing",Headcount!$H$6:$H$89,"&gt;="&amp;Marketing!BQ$3)/12)),BP12),"New Year"))))),SUMIF('Dept. Cost Actuals'!$E$7:$E$176,"*salary*",'Dept. Cost Actuals'!BU$181:BU$350))</f>
        <v>67157.183850756657</v>
      </c>
      <c r="BR12" s="1139">
        <f>IF(BR$4="forecast",IF(YEAR(BR$3)=YEAR(Headcount!$N$4),((SUMIFS(Headcount!$N$6:$N$89,Headcount!$F$6:$F$89,"Marketing",Headcount!$H$6:$H$89,"&gt;="&amp;Marketing!BR$3)/12)),IF(YEAR(BR$3)=YEAR(Headcount!$O$4),IF((BR$5=2),((SUMIFS(Headcount!$O$6:$O$89,Headcount!$F$6:$F$89,"Marketing",Headcount!$H$6:$H$89,"&gt;="&amp;Marketing!BR$3)/12)),BQ12),IF(YEAR(BR$3)=YEAR(Headcount!$P$4),IF((BR$5=2),((SUMIFS(Headcount!$P$6:$P$89,Headcount!$F$6:$F$89,"Marketing",Headcount!$H$6:$H$89,"&gt;="&amp;Marketing!BR$3)/12)),BQ12),IF(YEAR(BR$3)=YEAR(Headcount!$Q$4),IF((BR$5=2),((SUMIFS(Headcount!$Q$6:$Q$89,Headcount!$F$6:$F$89,"Marketing",Headcount!$H$6:$H$89,"&gt;="&amp;Marketing!BR$3)/12)),BQ12),IF(YEAR(BR$3)=YEAR(Headcount!$R$4),IF((BR$5=2),((SUMIFS(Headcount!$R$6:$R$89,Headcount!$F$6:$F$89,"Marketing",Headcount!$H$6:$H$89,"&gt;="&amp;Marketing!BR$3)/12)),BQ12),"New Year"))))),SUMIF('Dept. Cost Actuals'!$E$7:$E$176,"*salary*",'Dept. Cost Actuals'!BV$181:BV$350))</f>
        <v>67157.183850756657</v>
      </c>
      <c r="BS12" s="1139">
        <f>IF(BS$4="forecast",IF(YEAR(BS$3)=YEAR(Headcount!$N$4),((SUMIFS(Headcount!$N$6:$N$89,Headcount!$F$6:$F$89,"Marketing",Headcount!$H$6:$H$89,"&gt;="&amp;Marketing!BS$3)/12)),IF(YEAR(BS$3)=YEAR(Headcount!$O$4),IF((BS$5=2),((SUMIFS(Headcount!$O$6:$O$89,Headcount!$F$6:$F$89,"Marketing",Headcount!$H$6:$H$89,"&gt;="&amp;Marketing!BS$3)/12)),BR12),IF(YEAR(BS$3)=YEAR(Headcount!$P$4),IF((BS$5=2),((SUMIFS(Headcount!$P$6:$P$89,Headcount!$F$6:$F$89,"Marketing",Headcount!$H$6:$H$89,"&gt;="&amp;Marketing!BS$3)/12)),BR12),IF(YEAR(BS$3)=YEAR(Headcount!$Q$4),IF((BS$5=2),((SUMIFS(Headcount!$Q$6:$Q$89,Headcount!$F$6:$F$89,"Marketing",Headcount!$H$6:$H$89,"&gt;="&amp;Marketing!BS$3)/12)),BR12),IF(YEAR(BS$3)=YEAR(Headcount!$R$4),IF((BS$5=2),((SUMIFS(Headcount!$R$6:$R$89,Headcount!$F$6:$F$89,"Marketing",Headcount!$H$6:$H$89,"&gt;="&amp;Marketing!BS$3)/12)),BR12),"New Year"))))),SUMIF('Dept. Cost Actuals'!$E$7:$E$176,"*salary*",'Dept. Cost Actuals'!BW$181:BW$350))</f>
        <v>67157.183850756657</v>
      </c>
      <c r="BT12" s="1139">
        <f>IF(BT$4="forecast",IF(YEAR(BT$3)=YEAR(Headcount!$N$4),((SUMIFS(Headcount!$N$6:$N$89,Headcount!$F$6:$F$89,"Marketing",Headcount!$H$6:$H$89,"&gt;="&amp;Marketing!BT$3)/12)),IF(YEAR(BT$3)=YEAR(Headcount!$O$4),IF((BT$5=2),((SUMIFS(Headcount!$O$6:$O$89,Headcount!$F$6:$F$89,"Marketing",Headcount!$H$6:$H$89,"&gt;="&amp;Marketing!BT$3)/12)),BS12),IF(YEAR(BT$3)=YEAR(Headcount!$P$4),IF((BT$5=2),((SUMIFS(Headcount!$P$6:$P$89,Headcount!$F$6:$F$89,"Marketing",Headcount!$H$6:$H$89,"&gt;="&amp;Marketing!BT$3)/12)),BS12),IF(YEAR(BT$3)=YEAR(Headcount!$Q$4),IF((BT$5=2),((SUMIFS(Headcount!$Q$6:$Q$89,Headcount!$F$6:$F$89,"Marketing",Headcount!$H$6:$H$89,"&gt;="&amp;Marketing!BT$3)/12)),BS12),IF(YEAR(BT$3)=YEAR(Headcount!$R$4),IF((BT$5=2),((SUMIFS(Headcount!$R$6:$R$89,Headcount!$F$6:$F$89,"Marketing",Headcount!$H$6:$H$89,"&gt;="&amp;Marketing!BT$3)/12)),BS12),"New Year"))))),SUMIF('Dept. Cost Actuals'!$E$7:$E$176,"*salary*",'Dept. Cost Actuals'!BX$181:BX$350))</f>
        <v>67157.183850756657</v>
      </c>
      <c r="BU12" s="1139">
        <f>IF(BU$4="forecast",IF(YEAR(BU$3)=YEAR(Headcount!$N$4),((SUMIFS(Headcount!$N$6:$N$89,Headcount!$F$6:$F$89,"Marketing",Headcount!$H$6:$H$89,"&gt;="&amp;Marketing!BU$3)/12)),IF(YEAR(BU$3)=YEAR(Headcount!$O$4),IF((BU$5=2),((SUMIFS(Headcount!$O$6:$O$89,Headcount!$F$6:$F$89,"Marketing",Headcount!$H$6:$H$89,"&gt;="&amp;Marketing!BU$3)/12)),BT12),IF(YEAR(BU$3)=YEAR(Headcount!$P$4),IF((BU$5=2),((SUMIFS(Headcount!$P$6:$P$89,Headcount!$F$6:$F$89,"Marketing",Headcount!$H$6:$H$89,"&gt;="&amp;Marketing!BU$3)/12)),BT12),IF(YEAR(BU$3)=YEAR(Headcount!$Q$4),IF((BU$5=2),((SUMIFS(Headcount!$Q$6:$Q$89,Headcount!$F$6:$F$89,"Marketing",Headcount!$H$6:$H$89,"&gt;="&amp;Marketing!BU$3)/12)),BT12),IF(YEAR(BU$3)=YEAR(Headcount!$R$4),IF((BU$5=2),((SUMIFS(Headcount!$R$6:$R$89,Headcount!$F$6:$F$89,"Marketing",Headcount!$H$6:$H$89,"&gt;="&amp;Marketing!BU$3)/12)),BT12),"New Year"))))),SUMIF('Dept. Cost Actuals'!$E$7:$E$176,"*salary*",'Dept. Cost Actuals'!BY$181:BY$350))</f>
        <v>67157.183850756657</v>
      </c>
      <c r="BV12" s="789">
        <f>IF(BV$4="forecast",IF(YEAR(BV$3)=YEAR(Headcount!$N$4),((SUMIFS(Headcount!$N$6:$N$89,Headcount!$F$6:$F$89,"Marketing",Headcount!$H$6:$H$89,"&gt;="&amp;Marketing!BV$3)/12)),IF(YEAR(BV$3)=YEAR(Headcount!$O$4),IF((BV$5=2),((SUMIFS(Headcount!$O$6:$O$89,Headcount!$F$6:$F$89,"Marketing",Headcount!$H$6:$H$89,"&gt;="&amp;Marketing!BV$3)/12)),BU12),IF(YEAR(BV$3)=YEAR(Headcount!$P$4),IF((BV$5=2),((SUMIFS(Headcount!$P$6:$P$89,Headcount!$F$6:$F$89,"Marketing",Headcount!$H$6:$H$89,"&gt;="&amp;Marketing!BV$3)/12)),BU12),IF(YEAR(BV$3)=YEAR(Headcount!$Q$4),IF((BV$5=2),((SUMIFS(Headcount!$Q$6:$Q$89,Headcount!$F$6:$F$89,"Marketing",Headcount!$H$6:$H$89,"&gt;="&amp;Marketing!BV$3)/12)),BU12),IF(YEAR(BV$3)=YEAR(Headcount!$R$4),IF((BV$5=2),((SUMIFS(Headcount!$R$6:$R$89,Headcount!$F$6:$F$89,"Marketing",Headcount!$H$6:$H$89,"&gt;="&amp;Marketing!BV$3)/12)),BU12),"New Year"))))),SUMIF('Dept. Cost Actuals'!$E$7:$E$176,"*salary*",'Dept. Cost Actuals'!BZ$181:BZ$350))</f>
        <v>67157.183850756657</v>
      </c>
    </row>
    <row r="13" spans="2:74" x14ac:dyDescent="0.25">
      <c r="B13" s="780" t="s">
        <v>928</v>
      </c>
      <c r="C13" s="668">
        <f>IF(C$4="forecast",IF(YEAR(C$3)=YEAR('New Hires Forecast'!$N$3),((SUMIFS('New Hires Forecast'!$N$5:$N$82,'New Hires Forecast'!$F$5:$F$82,"Marketing",'New Hires Forecast'!$H$5:$H$82,"&gt;="&amp;Marketing!C$3,'New Hires Forecast'!$G$5:$G$82,"&lt;="&amp;Marketing!C$3)/12)),IF(YEAR(C$3)=YEAR('New Hires Forecast'!$O$3),((SUMIFS('New Hires Forecast'!$O$5:$O$82,'New Hires Forecast'!$F$5:$F$82,"Marketing",'New Hires Forecast'!$H$5:$H$82,"&gt;="&amp;Marketing!C$3,'New Hires Forecast'!$G$5:$G$82,"&lt;="&amp;Marketing!C$3)/12)),IF(YEAR(C$3)=YEAR('New Hires Forecast'!$P$3),((SUMIFS('New Hires Forecast'!$P$5:$P$82,'New Hires Forecast'!$F$5:$F$82,"Marketing",'New Hires Forecast'!$H$5:$H$82,"&gt;="&amp;Marketing!C$3,'New Hires Forecast'!$G$5:$G$82,"&lt;="&amp;Marketing!C$3)/12)),IF(YEAR(C$3)=YEAR('New Hires Forecast'!$Q$3),((SUMIFS('New Hires Forecast'!$Q$5:$Q$82,'New Hires Forecast'!$F$5:$F$82,"Marketing",'New Hires Forecast'!$H$5:$H$82,"&gt;="&amp;Marketing!C$3,'New Hires Forecast'!$G$5:$G$82,"&lt;="&amp;Marketing!C$3)/12)),IF(YEAR(C$3)=YEAR('New Hires Forecast'!$R$3),((SUMIFS('New Hires Forecast'!$R$5:$R$82,'New Hires Forecast'!$F$5:$F$82,"Marketing",'New Hires Forecast'!$H$5:$H$82,"&gt;="&amp;Marketing!C$3,'New Hires Forecast'!$G$5:$G$82,"&lt;="&amp;Marketing!C$3)/12))))))),0)</f>
        <v>0</v>
      </c>
      <c r="D13" s="668">
        <f>IF(D$4="forecast",IF(YEAR(D$3)=YEAR('New Hires Forecast'!$N$3),((SUMIFS('New Hires Forecast'!$N$5:$N$82,'New Hires Forecast'!$F$5:$F$82,"Marketing",'New Hires Forecast'!$H$5:$H$82,"&gt;="&amp;Marketing!D$3,'New Hires Forecast'!$G$5:$G$82,"&lt;="&amp;Marketing!D$3)/12)),IF(YEAR(D$3)=YEAR('New Hires Forecast'!$O$3),((SUMIFS('New Hires Forecast'!$O$5:$O$82,'New Hires Forecast'!$F$5:$F$82,"Marketing",'New Hires Forecast'!$H$5:$H$82,"&gt;="&amp;Marketing!D$3,'New Hires Forecast'!$G$5:$G$82,"&lt;="&amp;Marketing!D$3)/12)),IF(YEAR(D$3)=YEAR('New Hires Forecast'!$P$3),((SUMIFS('New Hires Forecast'!$P$5:$P$82,'New Hires Forecast'!$F$5:$F$82,"Marketing",'New Hires Forecast'!$H$5:$H$82,"&gt;="&amp;Marketing!D$3,'New Hires Forecast'!$G$5:$G$82,"&lt;="&amp;Marketing!D$3)/12)),IF(YEAR(D$3)=YEAR('New Hires Forecast'!$Q$3),((SUMIFS('New Hires Forecast'!$Q$5:$Q$82,'New Hires Forecast'!$F$5:$F$82,"Marketing",'New Hires Forecast'!$H$5:$H$82,"&gt;="&amp;Marketing!D$3,'New Hires Forecast'!$G$5:$G$82,"&lt;="&amp;Marketing!D$3)/12)),IF(YEAR(D$3)=YEAR('New Hires Forecast'!$R$3),((SUMIFS('New Hires Forecast'!$R$5:$R$82,'New Hires Forecast'!$F$5:$F$82,"Marketing",'New Hires Forecast'!$H$5:$H$82,"&gt;="&amp;Marketing!D$3,'New Hires Forecast'!$G$5:$G$82,"&lt;="&amp;Marketing!D$3)/12))))))),0)</f>
        <v>0</v>
      </c>
      <c r="E13" s="668">
        <f>IF(E$4="forecast",IF(YEAR(E$3)=YEAR('New Hires Forecast'!$N$3),((SUMIFS('New Hires Forecast'!$N$5:$N$82,'New Hires Forecast'!$F$5:$F$82,"Marketing",'New Hires Forecast'!$H$5:$H$82,"&gt;="&amp;Marketing!E$3,'New Hires Forecast'!$G$5:$G$82,"&lt;="&amp;Marketing!E$3)/12)),IF(YEAR(E$3)=YEAR('New Hires Forecast'!$O$3),((SUMIFS('New Hires Forecast'!$O$5:$O$82,'New Hires Forecast'!$F$5:$F$82,"Marketing",'New Hires Forecast'!$H$5:$H$82,"&gt;="&amp;Marketing!E$3,'New Hires Forecast'!$G$5:$G$82,"&lt;="&amp;Marketing!E$3)/12)),IF(YEAR(E$3)=YEAR('New Hires Forecast'!$P$3),((SUMIFS('New Hires Forecast'!$P$5:$P$82,'New Hires Forecast'!$F$5:$F$82,"Marketing",'New Hires Forecast'!$H$5:$H$82,"&gt;="&amp;Marketing!E$3,'New Hires Forecast'!$G$5:$G$82,"&lt;="&amp;Marketing!E$3)/12)),IF(YEAR(E$3)=YEAR('New Hires Forecast'!$Q$3),((SUMIFS('New Hires Forecast'!$Q$5:$Q$82,'New Hires Forecast'!$F$5:$F$82,"Marketing",'New Hires Forecast'!$H$5:$H$82,"&gt;="&amp;Marketing!E$3,'New Hires Forecast'!$G$5:$G$82,"&lt;="&amp;Marketing!E$3)/12)),IF(YEAR(E$3)=YEAR('New Hires Forecast'!$R$3),((SUMIFS('New Hires Forecast'!$R$5:$R$82,'New Hires Forecast'!$F$5:$F$82,"Marketing",'New Hires Forecast'!$H$5:$H$82,"&gt;="&amp;Marketing!E$3,'New Hires Forecast'!$G$5:$G$82,"&lt;="&amp;Marketing!E$3)/12))))))),0)</f>
        <v>0</v>
      </c>
      <c r="F13" s="668">
        <f>IF(F$4="forecast",IF(YEAR(F$3)=YEAR('New Hires Forecast'!$N$3),((SUMIFS('New Hires Forecast'!$N$5:$N$82,'New Hires Forecast'!$F$5:$F$82,"Marketing",'New Hires Forecast'!$H$5:$H$82,"&gt;="&amp;Marketing!F$3,'New Hires Forecast'!$G$5:$G$82,"&lt;="&amp;Marketing!F$3)/12)),IF(YEAR(F$3)=YEAR('New Hires Forecast'!$O$3),((SUMIFS('New Hires Forecast'!$O$5:$O$82,'New Hires Forecast'!$F$5:$F$82,"Marketing",'New Hires Forecast'!$H$5:$H$82,"&gt;="&amp;Marketing!F$3,'New Hires Forecast'!$G$5:$G$82,"&lt;="&amp;Marketing!F$3)/12)),IF(YEAR(F$3)=YEAR('New Hires Forecast'!$P$3),((SUMIFS('New Hires Forecast'!$P$5:$P$82,'New Hires Forecast'!$F$5:$F$82,"Marketing",'New Hires Forecast'!$H$5:$H$82,"&gt;="&amp;Marketing!F$3,'New Hires Forecast'!$G$5:$G$82,"&lt;="&amp;Marketing!F$3)/12)),IF(YEAR(F$3)=YEAR('New Hires Forecast'!$Q$3),((SUMIFS('New Hires Forecast'!$Q$5:$Q$82,'New Hires Forecast'!$F$5:$F$82,"Marketing",'New Hires Forecast'!$H$5:$H$82,"&gt;="&amp;Marketing!F$3,'New Hires Forecast'!$G$5:$G$82,"&lt;="&amp;Marketing!F$3)/12)),IF(YEAR(F$3)=YEAR('New Hires Forecast'!$R$3),((SUMIFS('New Hires Forecast'!$R$5:$R$82,'New Hires Forecast'!$F$5:$F$82,"Marketing",'New Hires Forecast'!$H$5:$H$82,"&gt;="&amp;Marketing!F$3,'New Hires Forecast'!$G$5:$G$82,"&lt;="&amp;Marketing!F$3)/12))))))),0)</f>
        <v>0</v>
      </c>
      <c r="G13" s="668">
        <f>IF(G$4="forecast",IF(YEAR(G$3)=YEAR('New Hires Forecast'!$N$3),((SUMIFS('New Hires Forecast'!$N$5:$N$82,'New Hires Forecast'!$F$5:$F$82,"Marketing",'New Hires Forecast'!$H$5:$H$82,"&gt;="&amp;Marketing!G$3,'New Hires Forecast'!$G$5:$G$82,"&lt;="&amp;Marketing!G$3)/12)),IF(YEAR(G$3)=YEAR('New Hires Forecast'!$O$3),((SUMIFS('New Hires Forecast'!$O$5:$O$82,'New Hires Forecast'!$F$5:$F$82,"Marketing",'New Hires Forecast'!$H$5:$H$82,"&gt;="&amp;Marketing!G$3,'New Hires Forecast'!$G$5:$G$82,"&lt;="&amp;Marketing!G$3)/12)),IF(YEAR(G$3)=YEAR('New Hires Forecast'!$P$3),((SUMIFS('New Hires Forecast'!$P$5:$P$82,'New Hires Forecast'!$F$5:$F$82,"Marketing",'New Hires Forecast'!$H$5:$H$82,"&gt;="&amp;Marketing!G$3,'New Hires Forecast'!$G$5:$G$82,"&lt;="&amp;Marketing!G$3)/12)),IF(YEAR(G$3)=YEAR('New Hires Forecast'!$Q$3),((SUMIFS('New Hires Forecast'!$Q$5:$Q$82,'New Hires Forecast'!$F$5:$F$82,"Marketing",'New Hires Forecast'!$H$5:$H$82,"&gt;="&amp;Marketing!G$3,'New Hires Forecast'!$G$5:$G$82,"&lt;="&amp;Marketing!G$3)/12)),IF(YEAR(G$3)=YEAR('New Hires Forecast'!$R$3),((SUMIFS('New Hires Forecast'!$R$5:$R$82,'New Hires Forecast'!$F$5:$F$82,"Marketing",'New Hires Forecast'!$H$5:$H$82,"&gt;="&amp;Marketing!G$3,'New Hires Forecast'!$G$5:$G$82,"&lt;="&amp;Marketing!G$3)/12))))))),0)</f>
        <v>0</v>
      </c>
      <c r="H13" s="668">
        <f>IF(H$4="forecast",IF(YEAR(H$3)=YEAR('New Hires Forecast'!$N$3),((SUMIFS('New Hires Forecast'!$N$5:$N$82,'New Hires Forecast'!$F$5:$F$82,"Marketing",'New Hires Forecast'!$H$5:$H$82,"&gt;="&amp;Marketing!H$3,'New Hires Forecast'!$G$5:$G$82,"&lt;="&amp;Marketing!H$3)/12)),IF(YEAR(H$3)=YEAR('New Hires Forecast'!$O$3),((SUMIFS('New Hires Forecast'!$O$5:$O$82,'New Hires Forecast'!$F$5:$F$82,"Marketing",'New Hires Forecast'!$H$5:$H$82,"&gt;="&amp;Marketing!H$3,'New Hires Forecast'!$G$5:$G$82,"&lt;="&amp;Marketing!H$3)/12)),IF(YEAR(H$3)=YEAR('New Hires Forecast'!$P$3),((SUMIFS('New Hires Forecast'!$P$5:$P$82,'New Hires Forecast'!$F$5:$F$82,"Marketing",'New Hires Forecast'!$H$5:$H$82,"&gt;="&amp;Marketing!H$3,'New Hires Forecast'!$G$5:$G$82,"&lt;="&amp;Marketing!H$3)/12)),IF(YEAR(H$3)=YEAR('New Hires Forecast'!$Q$3),((SUMIFS('New Hires Forecast'!$Q$5:$Q$82,'New Hires Forecast'!$F$5:$F$82,"Marketing",'New Hires Forecast'!$H$5:$H$82,"&gt;="&amp;Marketing!H$3,'New Hires Forecast'!$G$5:$G$82,"&lt;="&amp;Marketing!H$3)/12)),IF(YEAR(H$3)=YEAR('New Hires Forecast'!$R$3),((SUMIFS('New Hires Forecast'!$R$5:$R$82,'New Hires Forecast'!$F$5:$F$82,"Marketing",'New Hires Forecast'!$H$5:$H$82,"&gt;="&amp;Marketing!H$3,'New Hires Forecast'!$G$5:$G$82,"&lt;="&amp;Marketing!H$3)/12))))))),0)</f>
        <v>0</v>
      </c>
      <c r="I13" s="668">
        <f>IF(I$4="forecast",IF(YEAR(I$3)=YEAR('New Hires Forecast'!$N$3),((SUMIFS('New Hires Forecast'!$N$5:$N$82,'New Hires Forecast'!$F$5:$F$82,"Marketing",'New Hires Forecast'!$H$5:$H$82,"&gt;="&amp;Marketing!I$3,'New Hires Forecast'!$G$5:$G$82,"&lt;="&amp;Marketing!I$3)/12)),IF(YEAR(I$3)=YEAR('New Hires Forecast'!$O$3),((SUMIFS('New Hires Forecast'!$O$5:$O$82,'New Hires Forecast'!$F$5:$F$82,"Marketing",'New Hires Forecast'!$H$5:$H$82,"&gt;="&amp;Marketing!I$3,'New Hires Forecast'!$G$5:$G$82,"&lt;="&amp;Marketing!I$3)/12)),IF(YEAR(I$3)=YEAR('New Hires Forecast'!$P$3),((SUMIFS('New Hires Forecast'!$P$5:$P$82,'New Hires Forecast'!$F$5:$F$82,"Marketing",'New Hires Forecast'!$H$5:$H$82,"&gt;="&amp;Marketing!I$3,'New Hires Forecast'!$G$5:$G$82,"&lt;="&amp;Marketing!I$3)/12)),IF(YEAR(I$3)=YEAR('New Hires Forecast'!$Q$3),((SUMIFS('New Hires Forecast'!$Q$5:$Q$82,'New Hires Forecast'!$F$5:$F$82,"Marketing",'New Hires Forecast'!$H$5:$H$82,"&gt;="&amp;Marketing!I$3,'New Hires Forecast'!$G$5:$G$82,"&lt;="&amp;Marketing!I$3)/12)),IF(YEAR(I$3)=YEAR('New Hires Forecast'!$R$3),((SUMIFS('New Hires Forecast'!$R$5:$R$82,'New Hires Forecast'!$F$5:$F$82,"Marketing",'New Hires Forecast'!$H$5:$H$82,"&gt;="&amp;Marketing!I$3,'New Hires Forecast'!$G$5:$G$82,"&lt;="&amp;Marketing!I$3)/12))))))),0)</f>
        <v>0</v>
      </c>
      <c r="J13" s="668">
        <f>IF(J$4="forecast",IF(YEAR(J$3)=YEAR('New Hires Forecast'!$N$3),((SUMIFS('New Hires Forecast'!$N$5:$N$82,'New Hires Forecast'!$F$5:$F$82,"Marketing",'New Hires Forecast'!$H$5:$H$82,"&gt;="&amp;Marketing!J$3,'New Hires Forecast'!$G$5:$G$82,"&lt;="&amp;Marketing!J$3)/12)),IF(YEAR(J$3)=YEAR('New Hires Forecast'!$O$3),((SUMIFS('New Hires Forecast'!$O$5:$O$82,'New Hires Forecast'!$F$5:$F$82,"Marketing",'New Hires Forecast'!$H$5:$H$82,"&gt;="&amp;Marketing!J$3,'New Hires Forecast'!$G$5:$G$82,"&lt;="&amp;Marketing!J$3)/12)),IF(YEAR(J$3)=YEAR('New Hires Forecast'!$P$3),((SUMIFS('New Hires Forecast'!$P$5:$P$82,'New Hires Forecast'!$F$5:$F$82,"Marketing",'New Hires Forecast'!$H$5:$H$82,"&gt;="&amp;Marketing!J$3,'New Hires Forecast'!$G$5:$G$82,"&lt;="&amp;Marketing!J$3)/12)),IF(YEAR(J$3)=YEAR('New Hires Forecast'!$Q$3),((SUMIFS('New Hires Forecast'!$Q$5:$Q$82,'New Hires Forecast'!$F$5:$F$82,"Marketing",'New Hires Forecast'!$H$5:$H$82,"&gt;="&amp;Marketing!J$3,'New Hires Forecast'!$G$5:$G$82,"&lt;="&amp;Marketing!J$3)/12)),IF(YEAR(J$3)=YEAR('New Hires Forecast'!$R$3),((SUMIFS('New Hires Forecast'!$R$5:$R$82,'New Hires Forecast'!$F$5:$F$82,"Marketing",'New Hires Forecast'!$H$5:$H$82,"&gt;="&amp;Marketing!J$3,'New Hires Forecast'!$G$5:$G$82,"&lt;="&amp;Marketing!J$3)/12))))))),0)</f>
        <v>0</v>
      </c>
      <c r="K13" s="668">
        <f>IF(K$4="forecast",IF(YEAR(K$3)=YEAR('New Hires Forecast'!$N$3),((SUMIFS('New Hires Forecast'!$N$5:$N$82,'New Hires Forecast'!$F$5:$F$82,"Marketing",'New Hires Forecast'!$H$5:$H$82,"&gt;="&amp;Marketing!K$3,'New Hires Forecast'!$G$5:$G$82,"&lt;="&amp;Marketing!K$3)/12)),IF(YEAR(K$3)=YEAR('New Hires Forecast'!$O$3),((SUMIFS('New Hires Forecast'!$O$5:$O$82,'New Hires Forecast'!$F$5:$F$82,"Marketing",'New Hires Forecast'!$H$5:$H$82,"&gt;="&amp;Marketing!K$3,'New Hires Forecast'!$G$5:$G$82,"&lt;="&amp;Marketing!K$3)/12)),IF(YEAR(K$3)=YEAR('New Hires Forecast'!$P$3),((SUMIFS('New Hires Forecast'!$P$5:$P$82,'New Hires Forecast'!$F$5:$F$82,"Marketing",'New Hires Forecast'!$H$5:$H$82,"&gt;="&amp;Marketing!K$3,'New Hires Forecast'!$G$5:$G$82,"&lt;="&amp;Marketing!K$3)/12)),IF(YEAR(K$3)=YEAR('New Hires Forecast'!$Q$3),((SUMIFS('New Hires Forecast'!$Q$5:$Q$82,'New Hires Forecast'!$F$5:$F$82,"Marketing",'New Hires Forecast'!$H$5:$H$82,"&gt;="&amp;Marketing!K$3,'New Hires Forecast'!$G$5:$G$82,"&lt;="&amp;Marketing!K$3)/12)),IF(YEAR(K$3)=YEAR('New Hires Forecast'!$R$3),((SUMIFS('New Hires Forecast'!$R$5:$R$82,'New Hires Forecast'!$F$5:$F$82,"Marketing",'New Hires Forecast'!$H$5:$H$82,"&gt;="&amp;Marketing!K$3,'New Hires Forecast'!$G$5:$G$82,"&lt;="&amp;Marketing!K$3)/12))))))),0)</f>
        <v>0</v>
      </c>
      <c r="L13" s="668">
        <f>IF(L$4="forecast",IF(YEAR(L$3)=YEAR('New Hires Forecast'!$N$3),((SUMIFS('New Hires Forecast'!$N$5:$N$82,'New Hires Forecast'!$F$5:$F$82,"Marketing",'New Hires Forecast'!$H$5:$H$82,"&gt;="&amp;Marketing!L$3,'New Hires Forecast'!$G$5:$G$82,"&lt;="&amp;Marketing!L$3)/12)),IF(YEAR(L$3)=YEAR('New Hires Forecast'!$O$3),((SUMIFS('New Hires Forecast'!$O$5:$O$82,'New Hires Forecast'!$F$5:$F$82,"Marketing",'New Hires Forecast'!$H$5:$H$82,"&gt;="&amp;Marketing!L$3,'New Hires Forecast'!$G$5:$G$82,"&lt;="&amp;Marketing!L$3)/12)),IF(YEAR(L$3)=YEAR('New Hires Forecast'!$P$3),((SUMIFS('New Hires Forecast'!$P$5:$P$82,'New Hires Forecast'!$F$5:$F$82,"Marketing",'New Hires Forecast'!$H$5:$H$82,"&gt;="&amp;Marketing!L$3,'New Hires Forecast'!$G$5:$G$82,"&lt;="&amp;Marketing!L$3)/12)),IF(YEAR(L$3)=YEAR('New Hires Forecast'!$Q$3),((SUMIFS('New Hires Forecast'!$Q$5:$Q$82,'New Hires Forecast'!$F$5:$F$82,"Marketing",'New Hires Forecast'!$H$5:$H$82,"&gt;="&amp;Marketing!L$3,'New Hires Forecast'!$G$5:$G$82,"&lt;="&amp;Marketing!L$3)/12)),IF(YEAR(L$3)=YEAR('New Hires Forecast'!$R$3),((SUMIFS('New Hires Forecast'!$R$5:$R$82,'New Hires Forecast'!$F$5:$F$82,"Marketing",'New Hires Forecast'!$H$5:$H$82,"&gt;="&amp;Marketing!L$3,'New Hires Forecast'!$G$5:$G$82,"&lt;="&amp;Marketing!L$3)/12))))))),0)</f>
        <v>0</v>
      </c>
      <c r="M13" s="668">
        <f>IF(M$4="forecast",IF(YEAR(M$3)=YEAR('New Hires Forecast'!$N$3),((SUMIFS('New Hires Forecast'!$N$5:$N$82,'New Hires Forecast'!$F$5:$F$82,"Marketing",'New Hires Forecast'!$H$5:$H$82,"&gt;="&amp;Marketing!M$3,'New Hires Forecast'!$G$5:$G$82,"&lt;="&amp;Marketing!M$3)/12)),IF(YEAR(M$3)=YEAR('New Hires Forecast'!$O$3),((SUMIFS('New Hires Forecast'!$O$5:$O$82,'New Hires Forecast'!$F$5:$F$82,"Marketing",'New Hires Forecast'!$H$5:$H$82,"&gt;="&amp;Marketing!M$3,'New Hires Forecast'!$G$5:$G$82,"&lt;="&amp;Marketing!M$3)/12)),IF(YEAR(M$3)=YEAR('New Hires Forecast'!$P$3),((SUMIFS('New Hires Forecast'!$P$5:$P$82,'New Hires Forecast'!$F$5:$F$82,"Marketing",'New Hires Forecast'!$H$5:$H$82,"&gt;="&amp;Marketing!M$3,'New Hires Forecast'!$G$5:$G$82,"&lt;="&amp;Marketing!M$3)/12)),IF(YEAR(M$3)=YEAR('New Hires Forecast'!$Q$3),((SUMIFS('New Hires Forecast'!$Q$5:$Q$82,'New Hires Forecast'!$F$5:$F$82,"Marketing",'New Hires Forecast'!$H$5:$H$82,"&gt;="&amp;Marketing!M$3,'New Hires Forecast'!$G$5:$G$82,"&lt;="&amp;Marketing!M$3)/12)),IF(YEAR(M$3)=YEAR('New Hires Forecast'!$R$3),((SUMIFS('New Hires Forecast'!$R$5:$R$82,'New Hires Forecast'!$F$5:$F$82,"Marketing",'New Hires Forecast'!$H$5:$H$82,"&gt;="&amp;Marketing!M$3,'New Hires Forecast'!$G$5:$G$82,"&lt;="&amp;Marketing!M$3)/12))))))),0)</f>
        <v>0</v>
      </c>
      <c r="N13" s="668">
        <f>IF(N$4="forecast",IF(YEAR(N$3)=YEAR('New Hires Forecast'!$N$3),((SUMIFS('New Hires Forecast'!$N$5:$N$82,'New Hires Forecast'!$F$5:$F$82,"Marketing",'New Hires Forecast'!$H$5:$H$82,"&gt;="&amp;Marketing!N$3,'New Hires Forecast'!$G$5:$G$82,"&lt;="&amp;Marketing!N$3)/12)),IF(YEAR(N$3)=YEAR('New Hires Forecast'!$O$3),((SUMIFS('New Hires Forecast'!$O$5:$O$82,'New Hires Forecast'!$F$5:$F$82,"Marketing",'New Hires Forecast'!$H$5:$H$82,"&gt;="&amp;Marketing!N$3,'New Hires Forecast'!$G$5:$G$82,"&lt;="&amp;Marketing!N$3)/12)),IF(YEAR(N$3)=YEAR('New Hires Forecast'!$P$3),((SUMIFS('New Hires Forecast'!$P$5:$P$82,'New Hires Forecast'!$F$5:$F$82,"Marketing",'New Hires Forecast'!$H$5:$H$82,"&gt;="&amp;Marketing!N$3,'New Hires Forecast'!$G$5:$G$82,"&lt;="&amp;Marketing!N$3)/12)),IF(YEAR(N$3)=YEAR('New Hires Forecast'!$Q$3),((SUMIFS('New Hires Forecast'!$Q$5:$Q$82,'New Hires Forecast'!$F$5:$F$82,"Marketing",'New Hires Forecast'!$H$5:$H$82,"&gt;="&amp;Marketing!N$3,'New Hires Forecast'!$G$5:$G$82,"&lt;="&amp;Marketing!N$3)/12)),IF(YEAR(N$3)=YEAR('New Hires Forecast'!$R$3),((SUMIFS('New Hires Forecast'!$R$5:$R$82,'New Hires Forecast'!$F$5:$F$82,"Marketing",'New Hires Forecast'!$H$5:$H$82,"&gt;="&amp;Marketing!N$3,'New Hires Forecast'!$G$5:$G$82,"&lt;="&amp;Marketing!N$3)/12))))))),0)</f>
        <v>0</v>
      </c>
      <c r="O13" s="668">
        <f>IF(O$4="forecast",IF(YEAR(O$3)=YEAR('New Hires Forecast'!$N$3),((SUMIFS('New Hires Forecast'!$N$5:$N$82,'New Hires Forecast'!$F$5:$F$82,"Marketing",'New Hires Forecast'!$H$5:$H$82,"&gt;="&amp;Marketing!O$3,'New Hires Forecast'!$G$5:$G$82,"&lt;="&amp;Marketing!O$3)/12)),IF(YEAR(O$3)=YEAR('New Hires Forecast'!$O$3),((SUMIFS('New Hires Forecast'!$O$5:$O$82,'New Hires Forecast'!$F$5:$F$82,"Marketing",'New Hires Forecast'!$H$5:$H$82,"&gt;="&amp;Marketing!O$3,'New Hires Forecast'!$G$5:$G$82,"&lt;="&amp;Marketing!O$3)/12)),IF(YEAR(O$3)=YEAR('New Hires Forecast'!$P$3),((SUMIFS('New Hires Forecast'!$P$5:$P$82,'New Hires Forecast'!$F$5:$F$82,"Marketing",'New Hires Forecast'!$H$5:$H$82,"&gt;="&amp;Marketing!O$3,'New Hires Forecast'!$G$5:$G$82,"&lt;="&amp;Marketing!O$3)/12)),IF(YEAR(O$3)=YEAR('New Hires Forecast'!$Q$3),((SUMIFS('New Hires Forecast'!$Q$5:$Q$82,'New Hires Forecast'!$F$5:$F$82,"Marketing",'New Hires Forecast'!$H$5:$H$82,"&gt;="&amp;Marketing!O$3,'New Hires Forecast'!$G$5:$G$82,"&lt;="&amp;Marketing!O$3)/12)),IF(YEAR(O$3)=YEAR('New Hires Forecast'!$R$3),((SUMIFS('New Hires Forecast'!$R$5:$R$82,'New Hires Forecast'!$F$5:$F$82,"Marketing",'New Hires Forecast'!$H$5:$H$82,"&gt;="&amp;Marketing!O$3,'New Hires Forecast'!$G$5:$G$82,"&lt;="&amp;Marketing!O$3)/12))))))),0)</f>
        <v>0</v>
      </c>
      <c r="P13" s="668">
        <f>IF(P$4="forecast",IF(YEAR(P$3)=YEAR('New Hires Forecast'!$N$3),((SUMIFS('New Hires Forecast'!$N$5:$N$82,'New Hires Forecast'!$F$5:$F$82,"Marketing",'New Hires Forecast'!$H$5:$H$82,"&gt;="&amp;Marketing!P$3,'New Hires Forecast'!$G$5:$G$82,"&lt;="&amp;Marketing!P$3)/12)),IF(YEAR(P$3)=YEAR('New Hires Forecast'!$O$3),((SUMIFS('New Hires Forecast'!$O$5:$O$82,'New Hires Forecast'!$F$5:$F$82,"Marketing",'New Hires Forecast'!$H$5:$H$82,"&gt;="&amp;Marketing!P$3,'New Hires Forecast'!$G$5:$G$82,"&lt;="&amp;Marketing!P$3)/12)),IF(YEAR(P$3)=YEAR('New Hires Forecast'!$P$3),((SUMIFS('New Hires Forecast'!$P$5:$P$82,'New Hires Forecast'!$F$5:$F$82,"Marketing",'New Hires Forecast'!$H$5:$H$82,"&gt;="&amp;Marketing!P$3,'New Hires Forecast'!$G$5:$G$82,"&lt;="&amp;Marketing!P$3)/12)),IF(YEAR(P$3)=YEAR('New Hires Forecast'!$Q$3),((SUMIFS('New Hires Forecast'!$Q$5:$Q$82,'New Hires Forecast'!$F$5:$F$82,"Marketing",'New Hires Forecast'!$H$5:$H$82,"&gt;="&amp;Marketing!P$3,'New Hires Forecast'!$G$5:$G$82,"&lt;="&amp;Marketing!P$3)/12)),IF(YEAR(P$3)=YEAR('New Hires Forecast'!$R$3),((SUMIFS('New Hires Forecast'!$R$5:$R$82,'New Hires Forecast'!$F$5:$F$82,"Marketing",'New Hires Forecast'!$H$5:$H$82,"&gt;="&amp;Marketing!P$3,'New Hires Forecast'!$G$5:$G$82,"&lt;="&amp;Marketing!P$3)/12))))))),0)</f>
        <v>0</v>
      </c>
      <c r="Q13" s="668">
        <f>IF(Q$4="forecast",IF(YEAR(Q$3)=YEAR('New Hires Forecast'!$N$3),((SUMIFS('New Hires Forecast'!$N$5:$N$82,'New Hires Forecast'!$F$5:$F$82,"Marketing",'New Hires Forecast'!$H$5:$H$82,"&gt;="&amp;Marketing!Q$3,'New Hires Forecast'!$G$5:$G$82,"&lt;="&amp;Marketing!Q$3)/12)),IF(YEAR(Q$3)=YEAR('New Hires Forecast'!$O$3),((SUMIFS('New Hires Forecast'!$O$5:$O$82,'New Hires Forecast'!$F$5:$F$82,"Marketing",'New Hires Forecast'!$H$5:$H$82,"&gt;="&amp;Marketing!Q$3,'New Hires Forecast'!$G$5:$G$82,"&lt;="&amp;Marketing!Q$3)/12)),IF(YEAR(Q$3)=YEAR('New Hires Forecast'!$P$3),((SUMIFS('New Hires Forecast'!$P$5:$P$82,'New Hires Forecast'!$F$5:$F$82,"Marketing",'New Hires Forecast'!$H$5:$H$82,"&gt;="&amp;Marketing!Q$3,'New Hires Forecast'!$G$5:$G$82,"&lt;="&amp;Marketing!Q$3)/12)),IF(YEAR(Q$3)=YEAR('New Hires Forecast'!$Q$3),((SUMIFS('New Hires Forecast'!$Q$5:$Q$82,'New Hires Forecast'!$F$5:$F$82,"Marketing",'New Hires Forecast'!$H$5:$H$82,"&gt;="&amp;Marketing!Q$3,'New Hires Forecast'!$G$5:$G$82,"&lt;="&amp;Marketing!Q$3)/12)),IF(YEAR(Q$3)=YEAR('New Hires Forecast'!$R$3),((SUMIFS('New Hires Forecast'!$R$5:$R$82,'New Hires Forecast'!$F$5:$F$82,"Marketing",'New Hires Forecast'!$H$5:$H$82,"&gt;="&amp;Marketing!Q$3,'New Hires Forecast'!$G$5:$G$82,"&lt;="&amp;Marketing!Q$3)/12))))))),0)</f>
        <v>0</v>
      </c>
      <c r="R13" s="668">
        <f>IF(R$4="forecast",IF(YEAR(R$3)=YEAR('New Hires Forecast'!$N$3),((SUMIFS('New Hires Forecast'!$N$5:$N$82,'New Hires Forecast'!$F$5:$F$82,"Marketing",'New Hires Forecast'!$H$5:$H$82,"&gt;="&amp;Marketing!R$3,'New Hires Forecast'!$G$5:$G$82,"&lt;="&amp;Marketing!R$3)/12)),IF(YEAR(R$3)=YEAR('New Hires Forecast'!$O$3),((SUMIFS('New Hires Forecast'!$O$5:$O$82,'New Hires Forecast'!$F$5:$F$82,"Marketing",'New Hires Forecast'!$H$5:$H$82,"&gt;="&amp;Marketing!R$3,'New Hires Forecast'!$G$5:$G$82,"&lt;="&amp;Marketing!R$3)/12)),IF(YEAR(R$3)=YEAR('New Hires Forecast'!$P$3),((SUMIFS('New Hires Forecast'!$P$5:$P$82,'New Hires Forecast'!$F$5:$F$82,"Marketing",'New Hires Forecast'!$H$5:$H$82,"&gt;="&amp;Marketing!R$3,'New Hires Forecast'!$G$5:$G$82,"&lt;="&amp;Marketing!R$3)/12)),IF(YEAR(R$3)=YEAR('New Hires Forecast'!$Q$3),((SUMIFS('New Hires Forecast'!$Q$5:$Q$82,'New Hires Forecast'!$F$5:$F$82,"Marketing",'New Hires Forecast'!$H$5:$H$82,"&gt;="&amp;Marketing!R$3,'New Hires Forecast'!$G$5:$G$82,"&lt;="&amp;Marketing!R$3)/12)),IF(YEAR(R$3)=YEAR('New Hires Forecast'!$R$3),((SUMIFS('New Hires Forecast'!$R$5:$R$82,'New Hires Forecast'!$F$5:$F$82,"Marketing",'New Hires Forecast'!$H$5:$H$82,"&gt;="&amp;Marketing!R$3,'New Hires Forecast'!$G$5:$G$82,"&lt;="&amp;Marketing!R$3)/12))))))),0)</f>
        <v>0</v>
      </c>
      <c r="S13" s="668">
        <f>IF(S$4="forecast",IF(YEAR(S$3)=YEAR('New Hires Forecast'!$N$3),((SUMIFS('New Hires Forecast'!$N$5:$N$82,'New Hires Forecast'!$F$5:$F$82,"Marketing",'New Hires Forecast'!$H$5:$H$82,"&gt;="&amp;Marketing!S$3,'New Hires Forecast'!$G$5:$G$82,"&lt;="&amp;Marketing!S$3)/12)),IF(YEAR(S$3)=YEAR('New Hires Forecast'!$O$3),((SUMIFS('New Hires Forecast'!$O$5:$O$82,'New Hires Forecast'!$F$5:$F$82,"Marketing",'New Hires Forecast'!$H$5:$H$82,"&gt;="&amp;Marketing!S$3,'New Hires Forecast'!$G$5:$G$82,"&lt;="&amp;Marketing!S$3)/12)),IF(YEAR(S$3)=YEAR('New Hires Forecast'!$P$3),((SUMIFS('New Hires Forecast'!$P$5:$P$82,'New Hires Forecast'!$F$5:$F$82,"Marketing",'New Hires Forecast'!$H$5:$H$82,"&gt;="&amp;Marketing!S$3,'New Hires Forecast'!$G$5:$G$82,"&lt;="&amp;Marketing!S$3)/12)),IF(YEAR(S$3)=YEAR('New Hires Forecast'!$Q$3),((SUMIFS('New Hires Forecast'!$Q$5:$Q$82,'New Hires Forecast'!$F$5:$F$82,"Marketing",'New Hires Forecast'!$H$5:$H$82,"&gt;="&amp;Marketing!S$3,'New Hires Forecast'!$G$5:$G$82,"&lt;="&amp;Marketing!S$3)/12)),IF(YEAR(S$3)=YEAR('New Hires Forecast'!$R$3),((SUMIFS('New Hires Forecast'!$R$5:$R$82,'New Hires Forecast'!$F$5:$F$82,"Marketing",'New Hires Forecast'!$H$5:$H$82,"&gt;="&amp;Marketing!S$3,'New Hires Forecast'!$G$5:$G$82,"&lt;="&amp;Marketing!S$3)/12))))))),0)</f>
        <v>0</v>
      </c>
      <c r="T13" s="668">
        <f>IF(T$4="forecast",IF(YEAR(T$3)=YEAR('New Hires Forecast'!$N$3),((SUMIFS('New Hires Forecast'!$N$5:$N$82,'New Hires Forecast'!$F$5:$F$82,"Marketing",'New Hires Forecast'!$H$5:$H$82,"&gt;="&amp;Marketing!T$3,'New Hires Forecast'!$G$5:$G$82,"&lt;="&amp;Marketing!T$3)/12)),IF(YEAR(T$3)=YEAR('New Hires Forecast'!$O$3),((SUMIFS('New Hires Forecast'!$O$5:$O$82,'New Hires Forecast'!$F$5:$F$82,"Marketing",'New Hires Forecast'!$H$5:$H$82,"&gt;="&amp;Marketing!T$3,'New Hires Forecast'!$G$5:$G$82,"&lt;="&amp;Marketing!T$3)/12)),IF(YEAR(T$3)=YEAR('New Hires Forecast'!$P$3),((SUMIFS('New Hires Forecast'!$P$5:$P$82,'New Hires Forecast'!$F$5:$F$82,"Marketing",'New Hires Forecast'!$H$5:$H$82,"&gt;="&amp;Marketing!T$3,'New Hires Forecast'!$G$5:$G$82,"&lt;="&amp;Marketing!T$3)/12)),IF(YEAR(T$3)=YEAR('New Hires Forecast'!$Q$3),((SUMIFS('New Hires Forecast'!$Q$5:$Q$82,'New Hires Forecast'!$F$5:$F$82,"Marketing",'New Hires Forecast'!$H$5:$H$82,"&gt;="&amp;Marketing!T$3,'New Hires Forecast'!$G$5:$G$82,"&lt;="&amp;Marketing!T$3)/12)),IF(YEAR(T$3)=YEAR('New Hires Forecast'!$R$3),((SUMIFS('New Hires Forecast'!$R$5:$R$82,'New Hires Forecast'!$F$5:$F$82,"Marketing",'New Hires Forecast'!$H$5:$H$82,"&gt;="&amp;Marketing!T$3,'New Hires Forecast'!$G$5:$G$82,"&lt;="&amp;Marketing!T$3)/12))))))),0)</f>
        <v>0</v>
      </c>
      <c r="U13" s="668">
        <f>IF(U$4="forecast",IF(YEAR(U$3)=YEAR('New Hires Forecast'!$N$3),((SUMIFS('New Hires Forecast'!$N$5:$N$82,'New Hires Forecast'!$F$5:$F$82,"Marketing",'New Hires Forecast'!$H$5:$H$82,"&gt;="&amp;Marketing!U$3,'New Hires Forecast'!$G$5:$G$82,"&lt;="&amp;Marketing!U$3)/12)),IF(YEAR(U$3)=YEAR('New Hires Forecast'!$O$3),((SUMIFS('New Hires Forecast'!$O$5:$O$82,'New Hires Forecast'!$F$5:$F$82,"Marketing",'New Hires Forecast'!$H$5:$H$82,"&gt;="&amp;Marketing!U$3,'New Hires Forecast'!$G$5:$G$82,"&lt;="&amp;Marketing!U$3)/12)),IF(YEAR(U$3)=YEAR('New Hires Forecast'!$P$3),((SUMIFS('New Hires Forecast'!$P$5:$P$82,'New Hires Forecast'!$F$5:$F$82,"Marketing",'New Hires Forecast'!$H$5:$H$82,"&gt;="&amp;Marketing!U$3,'New Hires Forecast'!$G$5:$G$82,"&lt;="&amp;Marketing!U$3)/12)),IF(YEAR(U$3)=YEAR('New Hires Forecast'!$Q$3),((SUMIFS('New Hires Forecast'!$Q$5:$Q$82,'New Hires Forecast'!$F$5:$F$82,"Marketing",'New Hires Forecast'!$H$5:$H$82,"&gt;="&amp;Marketing!U$3,'New Hires Forecast'!$G$5:$G$82,"&lt;="&amp;Marketing!U$3)/12)),IF(YEAR(U$3)=YEAR('New Hires Forecast'!$R$3),((SUMIFS('New Hires Forecast'!$R$5:$R$82,'New Hires Forecast'!$F$5:$F$82,"Marketing",'New Hires Forecast'!$H$5:$H$82,"&gt;="&amp;Marketing!U$3,'New Hires Forecast'!$G$5:$G$82,"&lt;="&amp;Marketing!U$3)/12))))))),0)</f>
        <v>0</v>
      </c>
      <c r="V13" s="668">
        <f>IF(V$4="forecast",IF(YEAR(V$3)=YEAR('New Hires Forecast'!$N$3),((SUMIFS('New Hires Forecast'!$N$5:$N$82,'New Hires Forecast'!$F$5:$F$82,"Marketing",'New Hires Forecast'!$H$5:$H$82,"&gt;="&amp;Marketing!V$3,'New Hires Forecast'!$G$5:$G$82,"&lt;="&amp;Marketing!V$3)/12)),IF(YEAR(V$3)=YEAR('New Hires Forecast'!$O$3),((SUMIFS('New Hires Forecast'!$O$5:$O$82,'New Hires Forecast'!$F$5:$F$82,"Marketing",'New Hires Forecast'!$H$5:$H$82,"&gt;="&amp;Marketing!V$3,'New Hires Forecast'!$G$5:$G$82,"&lt;="&amp;Marketing!V$3)/12)),IF(YEAR(V$3)=YEAR('New Hires Forecast'!$P$3),((SUMIFS('New Hires Forecast'!$P$5:$P$82,'New Hires Forecast'!$F$5:$F$82,"Marketing",'New Hires Forecast'!$H$5:$H$82,"&gt;="&amp;Marketing!V$3,'New Hires Forecast'!$G$5:$G$82,"&lt;="&amp;Marketing!V$3)/12)),IF(YEAR(V$3)=YEAR('New Hires Forecast'!$Q$3),((SUMIFS('New Hires Forecast'!$Q$5:$Q$82,'New Hires Forecast'!$F$5:$F$82,"Marketing",'New Hires Forecast'!$H$5:$H$82,"&gt;="&amp;Marketing!V$3,'New Hires Forecast'!$G$5:$G$82,"&lt;="&amp;Marketing!V$3)/12)),IF(YEAR(V$3)=YEAR('New Hires Forecast'!$R$3),((SUMIFS('New Hires Forecast'!$R$5:$R$82,'New Hires Forecast'!$F$5:$F$82,"Marketing",'New Hires Forecast'!$H$5:$H$82,"&gt;="&amp;Marketing!V$3,'New Hires Forecast'!$G$5:$G$82,"&lt;="&amp;Marketing!V$3)/12))))))),0)</f>
        <v>0</v>
      </c>
      <c r="W13" s="668">
        <f>IF(W$4="forecast",IF(YEAR(W$3)=YEAR('New Hires Forecast'!$N$3),((SUMIFS('New Hires Forecast'!$N$5:$N$82,'New Hires Forecast'!$F$5:$F$82,"Marketing",'New Hires Forecast'!$H$5:$H$82,"&gt;="&amp;Marketing!W$3,'New Hires Forecast'!$G$5:$G$82,"&lt;="&amp;Marketing!W$3)/12)),IF(YEAR(W$3)=YEAR('New Hires Forecast'!$O$3),((SUMIFS('New Hires Forecast'!$O$5:$O$82,'New Hires Forecast'!$F$5:$F$82,"Marketing",'New Hires Forecast'!$H$5:$H$82,"&gt;="&amp;Marketing!W$3,'New Hires Forecast'!$G$5:$G$82,"&lt;="&amp;Marketing!W$3)/12)),IF(YEAR(W$3)=YEAR('New Hires Forecast'!$P$3),((SUMIFS('New Hires Forecast'!$P$5:$P$82,'New Hires Forecast'!$F$5:$F$82,"Marketing",'New Hires Forecast'!$H$5:$H$82,"&gt;="&amp;Marketing!W$3,'New Hires Forecast'!$G$5:$G$82,"&lt;="&amp;Marketing!W$3)/12)),IF(YEAR(W$3)=YEAR('New Hires Forecast'!$Q$3),((SUMIFS('New Hires Forecast'!$Q$5:$Q$82,'New Hires Forecast'!$F$5:$F$82,"Marketing",'New Hires Forecast'!$H$5:$H$82,"&gt;="&amp;Marketing!W$3,'New Hires Forecast'!$G$5:$G$82,"&lt;="&amp;Marketing!W$3)/12)),IF(YEAR(W$3)=YEAR('New Hires Forecast'!$R$3),((SUMIFS('New Hires Forecast'!$R$5:$R$82,'New Hires Forecast'!$F$5:$F$82,"Marketing",'New Hires Forecast'!$H$5:$H$82,"&gt;="&amp;Marketing!W$3,'New Hires Forecast'!$G$5:$G$82,"&lt;="&amp;Marketing!W$3)/12))))))),0)</f>
        <v>0</v>
      </c>
      <c r="X13" s="668">
        <f>IF(X$4="forecast",IF(YEAR(X$3)=YEAR('New Hires Forecast'!$N$3),((SUMIFS('New Hires Forecast'!$N$5:$N$82,'New Hires Forecast'!$F$5:$F$82,"Marketing",'New Hires Forecast'!$H$5:$H$82,"&gt;="&amp;Marketing!X$3,'New Hires Forecast'!$G$5:$G$82,"&lt;="&amp;Marketing!X$3)/12)),IF(YEAR(X$3)=YEAR('New Hires Forecast'!$O$3),((SUMIFS('New Hires Forecast'!$O$5:$O$82,'New Hires Forecast'!$F$5:$F$82,"Marketing",'New Hires Forecast'!$H$5:$H$82,"&gt;="&amp;Marketing!X$3,'New Hires Forecast'!$G$5:$G$82,"&lt;="&amp;Marketing!X$3)/12)),IF(YEAR(X$3)=YEAR('New Hires Forecast'!$P$3),((SUMIFS('New Hires Forecast'!$P$5:$P$82,'New Hires Forecast'!$F$5:$F$82,"Marketing",'New Hires Forecast'!$H$5:$H$82,"&gt;="&amp;Marketing!X$3,'New Hires Forecast'!$G$5:$G$82,"&lt;="&amp;Marketing!X$3)/12)),IF(YEAR(X$3)=YEAR('New Hires Forecast'!$Q$3),((SUMIFS('New Hires Forecast'!$Q$5:$Q$82,'New Hires Forecast'!$F$5:$F$82,"Marketing",'New Hires Forecast'!$H$5:$H$82,"&gt;="&amp;Marketing!X$3,'New Hires Forecast'!$G$5:$G$82,"&lt;="&amp;Marketing!X$3)/12)),IF(YEAR(X$3)=YEAR('New Hires Forecast'!$R$3),((SUMIFS('New Hires Forecast'!$R$5:$R$82,'New Hires Forecast'!$F$5:$F$82,"Marketing",'New Hires Forecast'!$H$5:$H$82,"&gt;="&amp;Marketing!X$3,'New Hires Forecast'!$G$5:$G$82,"&lt;="&amp;Marketing!X$3)/12))))))),0)</f>
        <v>0</v>
      </c>
      <c r="Y13" s="668">
        <f>IF(Y$4="forecast",IF(YEAR(Y$3)=YEAR('New Hires Forecast'!$N$3),((SUMIFS('New Hires Forecast'!$N$5:$N$82,'New Hires Forecast'!$F$5:$F$82,"Marketing",'New Hires Forecast'!$H$5:$H$82,"&gt;="&amp;Marketing!Y$3,'New Hires Forecast'!$G$5:$G$82,"&lt;="&amp;Marketing!Y$3)/12)),IF(YEAR(Y$3)=YEAR('New Hires Forecast'!$O$3),((SUMIFS('New Hires Forecast'!$O$5:$O$82,'New Hires Forecast'!$F$5:$F$82,"Marketing",'New Hires Forecast'!$H$5:$H$82,"&gt;="&amp;Marketing!Y$3,'New Hires Forecast'!$G$5:$G$82,"&lt;="&amp;Marketing!Y$3)/12)),IF(YEAR(Y$3)=YEAR('New Hires Forecast'!$P$3),((SUMIFS('New Hires Forecast'!$P$5:$P$82,'New Hires Forecast'!$F$5:$F$82,"Marketing",'New Hires Forecast'!$H$5:$H$82,"&gt;="&amp;Marketing!Y$3,'New Hires Forecast'!$G$5:$G$82,"&lt;="&amp;Marketing!Y$3)/12)),IF(YEAR(Y$3)=YEAR('New Hires Forecast'!$Q$3),((SUMIFS('New Hires Forecast'!$Q$5:$Q$82,'New Hires Forecast'!$F$5:$F$82,"Marketing",'New Hires Forecast'!$H$5:$H$82,"&gt;="&amp;Marketing!Y$3,'New Hires Forecast'!$G$5:$G$82,"&lt;="&amp;Marketing!Y$3)/12)),IF(YEAR(Y$3)=YEAR('New Hires Forecast'!$R$3),((SUMIFS('New Hires Forecast'!$R$5:$R$82,'New Hires Forecast'!$F$5:$F$82,"Marketing",'New Hires Forecast'!$H$5:$H$82,"&gt;="&amp;Marketing!Y$3,'New Hires Forecast'!$G$5:$G$82,"&lt;="&amp;Marketing!Y$3)/12))))))),0)</f>
        <v>0</v>
      </c>
      <c r="Z13" s="668">
        <f>IF(Z$4="forecast",IF(YEAR(Z$3)=YEAR('New Hires Forecast'!$N$3),((SUMIFS('New Hires Forecast'!$N$5:$N$82,'New Hires Forecast'!$F$5:$F$82,"Marketing",'New Hires Forecast'!$H$5:$H$82,"&gt;="&amp;Marketing!Z$3,'New Hires Forecast'!$G$5:$G$82,"&lt;="&amp;Marketing!Z$3)/12)),IF(YEAR(Z$3)=YEAR('New Hires Forecast'!$O$3),((SUMIFS('New Hires Forecast'!$O$5:$O$82,'New Hires Forecast'!$F$5:$F$82,"Marketing",'New Hires Forecast'!$H$5:$H$82,"&gt;="&amp;Marketing!Z$3,'New Hires Forecast'!$G$5:$G$82,"&lt;="&amp;Marketing!Z$3)/12)),IF(YEAR(Z$3)=YEAR('New Hires Forecast'!$P$3),((SUMIFS('New Hires Forecast'!$P$5:$P$82,'New Hires Forecast'!$F$5:$F$82,"Marketing",'New Hires Forecast'!$H$5:$H$82,"&gt;="&amp;Marketing!Z$3,'New Hires Forecast'!$G$5:$G$82,"&lt;="&amp;Marketing!Z$3)/12)),IF(YEAR(Z$3)=YEAR('New Hires Forecast'!$Q$3),((SUMIFS('New Hires Forecast'!$Q$5:$Q$82,'New Hires Forecast'!$F$5:$F$82,"Marketing",'New Hires Forecast'!$H$5:$H$82,"&gt;="&amp;Marketing!Z$3,'New Hires Forecast'!$G$5:$G$82,"&lt;="&amp;Marketing!Z$3)/12)),IF(YEAR(Z$3)=YEAR('New Hires Forecast'!$R$3),((SUMIFS('New Hires Forecast'!$R$5:$R$82,'New Hires Forecast'!$F$5:$F$82,"Marketing",'New Hires Forecast'!$H$5:$H$82,"&gt;="&amp;Marketing!Z$3,'New Hires Forecast'!$G$5:$G$82,"&lt;="&amp;Marketing!Z$3)/12))))))),0)</f>
        <v>0</v>
      </c>
      <c r="AA13" s="668">
        <f>IF(AA$4="forecast",IF(YEAR(AA$3)=YEAR('New Hires Forecast'!$N$3),((SUMIFS('New Hires Forecast'!$N$5:$N$82,'New Hires Forecast'!$F$5:$F$82,"Marketing",'New Hires Forecast'!$H$5:$H$82,"&gt;="&amp;Marketing!AA$3,'New Hires Forecast'!$G$5:$G$82,"&lt;="&amp;Marketing!AA$3)/12)),IF(YEAR(AA$3)=YEAR('New Hires Forecast'!$O$3),((SUMIFS('New Hires Forecast'!$O$5:$O$82,'New Hires Forecast'!$F$5:$F$82,"Marketing",'New Hires Forecast'!$H$5:$H$82,"&gt;="&amp;Marketing!AA$3,'New Hires Forecast'!$G$5:$G$82,"&lt;="&amp;Marketing!AA$3)/12)),IF(YEAR(AA$3)=YEAR('New Hires Forecast'!$P$3),((SUMIFS('New Hires Forecast'!$P$5:$P$82,'New Hires Forecast'!$F$5:$F$82,"Marketing",'New Hires Forecast'!$H$5:$H$82,"&gt;="&amp;Marketing!AA$3,'New Hires Forecast'!$G$5:$G$82,"&lt;="&amp;Marketing!AA$3)/12)),IF(YEAR(AA$3)=YEAR('New Hires Forecast'!$Q$3),((SUMIFS('New Hires Forecast'!$Q$5:$Q$82,'New Hires Forecast'!$F$5:$F$82,"Marketing",'New Hires Forecast'!$H$5:$H$82,"&gt;="&amp;Marketing!AA$3,'New Hires Forecast'!$G$5:$G$82,"&lt;="&amp;Marketing!AA$3)/12)),IF(YEAR(AA$3)=YEAR('New Hires Forecast'!$R$3),((SUMIFS('New Hires Forecast'!$R$5:$R$82,'New Hires Forecast'!$F$5:$F$82,"Marketing",'New Hires Forecast'!$H$5:$H$82,"&gt;="&amp;Marketing!AA$3,'New Hires Forecast'!$G$5:$G$82,"&lt;="&amp;Marketing!AA$3)/12))))))),0)</f>
        <v>0</v>
      </c>
      <c r="AB13" s="668">
        <f>IF(AB$4="forecast",IF(YEAR(AB$3)=YEAR('New Hires Forecast'!$N$3),((SUMIFS('New Hires Forecast'!$N$5:$N$82,'New Hires Forecast'!$F$5:$F$82,"Marketing",'New Hires Forecast'!$H$5:$H$82,"&gt;="&amp;Marketing!AB$3,'New Hires Forecast'!$G$5:$G$82,"&lt;="&amp;Marketing!AB$3)/12)),IF(YEAR(AB$3)=YEAR('New Hires Forecast'!$O$3),((SUMIFS('New Hires Forecast'!$O$5:$O$82,'New Hires Forecast'!$F$5:$F$82,"Marketing",'New Hires Forecast'!$H$5:$H$82,"&gt;="&amp;Marketing!AB$3,'New Hires Forecast'!$G$5:$G$82,"&lt;="&amp;Marketing!AB$3)/12)),IF(YEAR(AB$3)=YEAR('New Hires Forecast'!$P$3),((SUMIFS('New Hires Forecast'!$P$5:$P$82,'New Hires Forecast'!$F$5:$F$82,"Marketing",'New Hires Forecast'!$H$5:$H$82,"&gt;="&amp;Marketing!AB$3,'New Hires Forecast'!$G$5:$G$82,"&lt;="&amp;Marketing!AB$3)/12)),IF(YEAR(AB$3)=YEAR('New Hires Forecast'!$Q$3),((SUMIFS('New Hires Forecast'!$Q$5:$Q$82,'New Hires Forecast'!$F$5:$F$82,"Marketing",'New Hires Forecast'!$H$5:$H$82,"&gt;="&amp;Marketing!AB$3,'New Hires Forecast'!$G$5:$G$82,"&lt;="&amp;Marketing!AB$3)/12)),IF(YEAR(AB$3)=YEAR('New Hires Forecast'!$R$3),((SUMIFS('New Hires Forecast'!$R$5:$R$82,'New Hires Forecast'!$F$5:$F$82,"Marketing",'New Hires Forecast'!$H$5:$H$82,"&gt;="&amp;Marketing!AB$3,'New Hires Forecast'!$G$5:$G$82,"&lt;="&amp;Marketing!AB$3)/12))))))),0)</f>
        <v>0</v>
      </c>
      <c r="AC13" s="668">
        <f>IF(AC$4="forecast",IF(YEAR(AC$3)=YEAR('New Hires Forecast'!$N$3),((SUMIFS('New Hires Forecast'!$N$5:$N$82,'New Hires Forecast'!$F$5:$F$82,"Marketing",'New Hires Forecast'!$H$5:$H$82,"&gt;="&amp;Marketing!AC$3,'New Hires Forecast'!$G$5:$G$82,"&lt;="&amp;Marketing!AC$3)/12)),IF(YEAR(AC$3)=YEAR('New Hires Forecast'!$O$3),((SUMIFS('New Hires Forecast'!$O$5:$O$82,'New Hires Forecast'!$F$5:$F$82,"Marketing",'New Hires Forecast'!$H$5:$H$82,"&gt;="&amp;Marketing!AC$3,'New Hires Forecast'!$G$5:$G$82,"&lt;="&amp;Marketing!AC$3)/12)),IF(YEAR(AC$3)=YEAR('New Hires Forecast'!$P$3),((SUMIFS('New Hires Forecast'!$P$5:$P$82,'New Hires Forecast'!$F$5:$F$82,"Marketing",'New Hires Forecast'!$H$5:$H$82,"&gt;="&amp;Marketing!AC$3,'New Hires Forecast'!$G$5:$G$82,"&lt;="&amp;Marketing!AC$3)/12)),IF(YEAR(AC$3)=YEAR('New Hires Forecast'!$Q$3),((SUMIFS('New Hires Forecast'!$Q$5:$Q$82,'New Hires Forecast'!$F$5:$F$82,"Marketing",'New Hires Forecast'!$H$5:$H$82,"&gt;="&amp;Marketing!AC$3,'New Hires Forecast'!$G$5:$G$82,"&lt;="&amp;Marketing!AC$3)/12)),IF(YEAR(AC$3)=YEAR('New Hires Forecast'!$R$3),((SUMIFS('New Hires Forecast'!$R$5:$R$82,'New Hires Forecast'!$F$5:$F$82,"Marketing",'New Hires Forecast'!$H$5:$H$82,"&gt;="&amp;Marketing!AC$3,'New Hires Forecast'!$G$5:$G$82,"&lt;="&amp;Marketing!AC$3)/12))))))),0)</f>
        <v>0</v>
      </c>
      <c r="AD13" s="668">
        <f>IF(AD$4="forecast",IF(YEAR(AD$3)=YEAR('New Hires Forecast'!$N$3),((SUMIFS('New Hires Forecast'!$N$5:$N$82,'New Hires Forecast'!$F$5:$F$82,"Marketing",'New Hires Forecast'!$H$5:$H$82,"&gt;="&amp;Marketing!AD$3,'New Hires Forecast'!$G$5:$G$82,"&lt;="&amp;Marketing!AD$3)/12)),IF(YEAR(AD$3)=YEAR('New Hires Forecast'!$O$3),((SUMIFS('New Hires Forecast'!$O$5:$O$82,'New Hires Forecast'!$F$5:$F$82,"Marketing",'New Hires Forecast'!$H$5:$H$82,"&gt;="&amp;Marketing!AD$3,'New Hires Forecast'!$G$5:$G$82,"&lt;="&amp;Marketing!AD$3)/12)),IF(YEAR(AD$3)=YEAR('New Hires Forecast'!$P$3),((SUMIFS('New Hires Forecast'!$P$5:$P$82,'New Hires Forecast'!$F$5:$F$82,"Marketing",'New Hires Forecast'!$H$5:$H$82,"&gt;="&amp;Marketing!AD$3,'New Hires Forecast'!$G$5:$G$82,"&lt;="&amp;Marketing!AD$3)/12)),IF(YEAR(AD$3)=YEAR('New Hires Forecast'!$Q$3),((SUMIFS('New Hires Forecast'!$Q$5:$Q$82,'New Hires Forecast'!$F$5:$F$82,"Marketing",'New Hires Forecast'!$H$5:$H$82,"&gt;="&amp;Marketing!AD$3,'New Hires Forecast'!$G$5:$G$82,"&lt;="&amp;Marketing!AD$3)/12)),IF(YEAR(AD$3)=YEAR('New Hires Forecast'!$R$3),((SUMIFS('New Hires Forecast'!$R$5:$R$82,'New Hires Forecast'!$F$5:$F$82,"Marketing",'New Hires Forecast'!$H$5:$H$82,"&gt;="&amp;Marketing!AD$3,'New Hires Forecast'!$G$5:$G$82,"&lt;="&amp;Marketing!AD$3)/12))))))),0)</f>
        <v>6666.666666666667</v>
      </c>
      <c r="AE13" s="668">
        <f>IF(AE$4="forecast",IF(YEAR(AE$3)=YEAR('New Hires Forecast'!$N$3),((SUMIFS('New Hires Forecast'!$N$5:$N$82,'New Hires Forecast'!$F$5:$F$82,"Marketing",'New Hires Forecast'!$H$5:$H$82,"&gt;="&amp;Marketing!AE$3,'New Hires Forecast'!$G$5:$G$82,"&lt;="&amp;Marketing!AE$3)/12)),IF(YEAR(AE$3)=YEAR('New Hires Forecast'!$O$3),((SUMIFS('New Hires Forecast'!$O$5:$O$82,'New Hires Forecast'!$F$5:$F$82,"Marketing",'New Hires Forecast'!$H$5:$H$82,"&gt;="&amp;Marketing!AE$3,'New Hires Forecast'!$G$5:$G$82,"&lt;="&amp;Marketing!AE$3)/12)),IF(YEAR(AE$3)=YEAR('New Hires Forecast'!$P$3),((SUMIFS('New Hires Forecast'!$P$5:$P$82,'New Hires Forecast'!$F$5:$F$82,"Marketing",'New Hires Forecast'!$H$5:$H$82,"&gt;="&amp;Marketing!AE$3,'New Hires Forecast'!$G$5:$G$82,"&lt;="&amp;Marketing!AE$3)/12)),IF(YEAR(AE$3)=YEAR('New Hires Forecast'!$Q$3),((SUMIFS('New Hires Forecast'!$Q$5:$Q$82,'New Hires Forecast'!$F$5:$F$82,"Marketing",'New Hires Forecast'!$H$5:$H$82,"&gt;="&amp;Marketing!AE$3,'New Hires Forecast'!$G$5:$G$82,"&lt;="&amp;Marketing!AE$3)/12)),IF(YEAR(AE$3)=YEAR('New Hires Forecast'!$R$3),((SUMIFS('New Hires Forecast'!$R$5:$R$82,'New Hires Forecast'!$F$5:$F$82,"Marketing",'New Hires Forecast'!$H$5:$H$82,"&gt;="&amp;Marketing!AE$3,'New Hires Forecast'!$G$5:$G$82,"&lt;="&amp;Marketing!AE$3)/12))))))),0)</f>
        <v>6666.666666666667</v>
      </c>
      <c r="AF13" s="668">
        <f>IF(AF$4="forecast",IF(YEAR(AF$3)=YEAR('New Hires Forecast'!$N$3),((SUMIFS('New Hires Forecast'!$N$5:$N$82,'New Hires Forecast'!$F$5:$F$82,"Marketing",'New Hires Forecast'!$H$5:$H$82,"&gt;="&amp;Marketing!AF$3,'New Hires Forecast'!$G$5:$G$82,"&lt;="&amp;Marketing!AF$3)/12)),IF(YEAR(AF$3)=YEAR('New Hires Forecast'!$O$3),((SUMIFS('New Hires Forecast'!$O$5:$O$82,'New Hires Forecast'!$F$5:$F$82,"Marketing",'New Hires Forecast'!$H$5:$H$82,"&gt;="&amp;Marketing!AF$3,'New Hires Forecast'!$G$5:$G$82,"&lt;="&amp;Marketing!AF$3)/12)),IF(YEAR(AF$3)=YEAR('New Hires Forecast'!$P$3),((SUMIFS('New Hires Forecast'!$P$5:$P$82,'New Hires Forecast'!$F$5:$F$82,"Marketing",'New Hires Forecast'!$H$5:$H$82,"&gt;="&amp;Marketing!AF$3,'New Hires Forecast'!$G$5:$G$82,"&lt;="&amp;Marketing!AF$3)/12)),IF(YEAR(AF$3)=YEAR('New Hires Forecast'!$Q$3),((SUMIFS('New Hires Forecast'!$Q$5:$Q$82,'New Hires Forecast'!$F$5:$F$82,"Marketing",'New Hires Forecast'!$H$5:$H$82,"&gt;="&amp;Marketing!AF$3,'New Hires Forecast'!$G$5:$G$82,"&lt;="&amp;Marketing!AF$3)/12)),IF(YEAR(AF$3)=YEAR('New Hires Forecast'!$R$3),((SUMIFS('New Hires Forecast'!$R$5:$R$82,'New Hires Forecast'!$F$5:$F$82,"Marketing",'New Hires Forecast'!$H$5:$H$82,"&gt;="&amp;Marketing!AF$3,'New Hires Forecast'!$G$5:$G$82,"&lt;="&amp;Marketing!AF$3)/12))))))),0)</f>
        <v>29583.333333333332</v>
      </c>
      <c r="AG13" s="668">
        <f>IF(AG$4="forecast",IF(YEAR(AG$3)=YEAR('New Hires Forecast'!$N$3),((SUMIFS('New Hires Forecast'!$N$5:$N$82,'New Hires Forecast'!$F$5:$F$82,"Marketing",'New Hires Forecast'!$H$5:$H$82,"&gt;="&amp;Marketing!AG$3,'New Hires Forecast'!$G$5:$G$82,"&lt;="&amp;Marketing!AG$3)/12)),IF(YEAR(AG$3)=YEAR('New Hires Forecast'!$O$3),((SUMIFS('New Hires Forecast'!$O$5:$O$82,'New Hires Forecast'!$F$5:$F$82,"Marketing",'New Hires Forecast'!$H$5:$H$82,"&gt;="&amp;Marketing!AG$3,'New Hires Forecast'!$G$5:$G$82,"&lt;="&amp;Marketing!AG$3)/12)),IF(YEAR(AG$3)=YEAR('New Hires Forecast'!$P$3),((SUMIFS('New Hires Forecast'!$P$5:$P$82,'New Hires Forecast'!$F$5:$F$82,"Marketing",'New Hires Forecast'!$H$5:$H$82,"&gt;="&amp;Marketing!AG$3,'New Hires Forecast'!$G$5:$G$82,"&lt;="&amp;Marketing!AG$3)/12)),IF(YEAR(AG$3)=YEAR('New Hires Forecast'!$Q$3),((SUMIFS('New Hires Forecast'!$Q$5:$Q$82,'New Hires Forecast'!$F$5:$F$82,"Marketing",'New Hires Forecast'!$H$5:$H$82,"&gt;="&amp;Marketing!AG$3,'New Hires Forecast'!$G$5:$G$82,"&lt;="&amp;Marketing!AG$3)/12)),IF(YEAR(AG$3)=YEAR('New Hires Forecast'!$R$3),((SUMIFS('New Hires Forecast'!$R$5:$R$82,'New Hires Forecast'!$F$5:$F$82,"Marketing",'New Hires Forecast'!$H$5:$H$82,"&gt;="&amp;Marketing!AG$3,'New Hires Forecast'!$G$5:$G$82,"&lt;="&amp;Marketing!AG$3)/12))))))),0)</f>
        <v>29583.333333333332</v>
      </c>
      <c r="AH13" s="668">
        <f>IF(AH$4="forecast",IF(YEAR(AH$3)=YEAR('New Hires Forecast'!$N$3),((SUMIFS('New Hires Forecast'!$N$5:$N$82,'New Hires Forecast'!$F$5:$F$82,"Marketing",'New Hires Forecast'!$H$5:$H$82,"&gt;="&amp;Marketing!AH$3,'New Hires Forecast'!$G$5:$G$82,"&lt;="&amp;Marketing!AH$3)/12)),IF(YEAR(AH$3)=YEAR('New Hires Forecast'!$O$3),((SUMIFS('New Hires Forecast'!$O$5:$O$82,'New Hires Forecast'!$F$5:$F$82,"Marketing",'New Hires Forecast'!$H$5:$H$82,"&gt;="&amp;Marketing!AH$3,'New Hires Forecast'!$G$5:$G$82,"&lt;="&amp;Marketing!AH$3)/12)),IF(YEAR(AH$3)=YEAR('New Hires Forecast'!$P$3),((SUMIFS('New Hires Forecast'!$P$5:$P$82,'New Hires Forecast'!$F$5:$F$82,"Marketing",'New Hires Forecast'!$H$5:$H$82,"&gt;="&amp;Marketing!AH$3,'New Hires Forecast'!$G$5:$G$82,"&lt;="&amp;Marketing!AH$3)/12)),IF(YEAR(AH$3)=YEAR('New Hires Forecast'!$Q$3),((SUMIFS('New Hires Forecast'!$Q$5:$Q$82,'New Hires Forecast'!$F$5:$F$82,"Marketing",'New Hires Forecast'!$H$5:$H$82,"&gt;="&amp;Marketing!AH$3,'New Hires Forecast'!$G$5:$G$82,"&lt;="&amp;Marketing!AH$3)/12)),IF(YEAR(AH$3)=YEAR('New Hires Forecast'!$R$3),((SUMIFS('New Hires Forecast'!$R$5:$R$82,'New Hires Forecast'!$F$5:$F$82,"Marketing",'New Hires Forecast'!$H$5:$H$82,"&gt;="&amp;Marketing!AH$3,'New Hires Forecast'!$G$5:$G$82,"&lt;="&amp;Marketing!AH$3)/12))))))),0)</f>
        <v>29583.333333333332</v>
      </c>
      <c r="AI13" s="668">
        <f>IF(AI$4="forecast",IF(YEAR(AI$3)=YEAR('New Hires Forecast'!$N$3),((SUMIFS('New Hires Forecast'!$N$5:$N$82,'New Hires Forecast'!$F$5:$F$82,"Marketing",'New Hires Forecast'!$H$5:$H$82,"&gt;="&amp;Marketing!AI$3,'New Hires Forecast'!$G$5:$G$82,"&lt;="&amp;Marketing!AI$3)/12)),IF(YEAR(AI$3)=YEAR('New Hires Forecast'!$O$3),((SUMIFS('New Hires Forecast'!$O$5:$O$82,'New Hires Forecast'!$F$5:$F$82,"Marketing",'New Hires Forecast'!$H$5:$H$82,"&gt;="&amp;Marketing!AI$3,'New Hires Forecast'!$G$5:$G$82,"&lt;="&amp;Marketing!AI$3)/12)),IF(YEAR(AI$3)=YEAR('New Hires Forecast'!$P$3),((SUMIFS('New Hires Forecast'!$P$5:$P$82,'New Hires Forecast'!$F$5:$F$82,"Marketing",'New Hires Forecast'!$H$5:$H$82,"&gt;="&amp;Marketing!AI$3,'New Hires Forecast'!$G$5:$G$82,"&lt;="&amp;Marketing!AI$3)/12)),IF(YEAR(AI$3)=YEAR('New Hires Forecast'!$Q$3),((SUMIFS('New Hires Forecast'!$Q$5:$Q$82,'New Hires Forecast'!$F$5:$F$82,"Marketing",'New Hires Forecast'!$H$5:$H$82,"&gt;="&amp;Marketing!AI$3,'New Hires Forecast'!$G$5:$G$82,"&lt;="&amp;Marketing!AI$3)/12)),IF(YEAR(AI$3)=YEAR('New Hires Forecast'!$R$3),((SUMIFS('New Hires Forecast'!$R$5:$R$82,'New Hires Forecast'!$F$5:$F$82,"Marketing",'New Hires Forecast'!$H$5:$H$82,"&gt;="&amp;Marketing!AI$3,'New Hires Forecast'!$G$5:$G$82,"&lt;="&amp;Marketing!AI$3)/12))))))),0)</f>
        <v>29583.333333333332</v>
      </c>
      <c r="AJ13" s="668">
        <f>IF(AJ$4="forecast",IF(YEAR(AJ$3)=YEAR('New Hires Forecast'!$N$3),((SUMIFS('New Hires Forecast'!$N$5:$N$82,'New Hires Forecast'!$F$5:$F$82,"Marketing",'New Hires Forecast'!$H$5:$H$82,"&gt;="&amp;Marketing!AJ$3,'New Hires Forecast'!$G$5:$G$82,"&lt;="&amp;Marketing!AJ$3)/12)),IF(YEAR(AJ$3)=YEAR('New Hires Forecast'!$O$3),((SUMIFS('New Hires Forecast'!$O$5:$O$82,'New Hires Forecast'!$F$5:$F$82,"Marketing",'New Hires Forecast'!$H$5:$H$82,"&gt;="&amp;Marketing!AJ$3,'New Hires Forecast'!$G$5:$G$82,"&lt;="&amp;Marketing!AJ$3)/12)),IF(YEAR(AJ$3)=YEAR('New Hires Forecast'!$P$3),((SUMIFS('New Hires Forecast'!$P$5:$P$82,'New Hires Forecast'!$F$5:$F$82,"Marketing",'New Hires Forecast'!$H$5:$H$82,"&gt;="&amp;Marketing!AJ$3,'New Hires Forecast'!$G$5:$G$82,"&lt;="&amp;Marketing!AJ$3)/12)),IF(YEAR(AJ$3)=YEAR('New Hires Forecast'!$Q$3),((SUMIFS('New Hires Forecast'!$Q$5:$Q$82,'New Hires Forecast'!$F$5:$F$82,"Marketing",'New Hires Forecast'!$H$5:$H$82,"&gt;="&amp;Marketing!AJ$3,'New Hires Forecast'!$G$5:$G$82,"&lt;="&amp;Marketing!AJ$3)/12)),IF(YEAR(AJ$3)=YEAR('New Hires Forecast'!$R$3),((SUMIFS('New Hires Forecast'!$R$5:$R$82,'New Hires Forecast'!$F$5:$F$82,"Marketing",'New Hires Forecast'!$H$5:$H$82,"&gt;="&amp;Marketing!AJ$3,'New Hires Forecast'!$G$5:$G$82,"&lt;="&amp;Marketing!AJ$3)/12))))))),0)</f>
        <v>29583.333333333332</v>
      </c>
      <c r="AK13" s="668">
        <f>IF(AK$4="forecast",IF(YEAR(AK$3)=YEAR('New Hires Forecast'!$N$3),((SUMIFS('New Hires Forecast'!$N$5:$N$82,'New Hires Forecast'!$F$5:$F$82,"Marketing",'New Hires Forecast'!$H$5:$H$82,"&gt;="&amp;Marketing!AK$3,'New Hires Forecast'!$G$5:$G$82,"&lt;="&amp;Marketing!AK$3)/12)),IF(YEAR(AK$3)=YEAR('New Hires Forecast'!$O$3),((SUMIFS('New Hires Forecast'!$O$5:$O$82,'New Hires Forecast'!$F$5:$F$82,"Marketing",'New Hires Forecast'!$H$5:$H$82,"&gt;="&amp;Marketing!AK$3,'New Hires Forecast'!$G$5:$G$82,"&lt;="&amp;Marketing!AK$3)/12)),IF(YEAR(AK$3)=YEAR('New Hires Forecast'!$P$3),((SUMIFS('New Hires Forecast'!$P$5:$P$82,'New Hires Forecast'!$F$5:$F$82,"Marketing",'New Hires Forecast'!$H$5:$H$82,"&gt;="&amp;Marketing!AK$3,'New Hires Forecast'!$G$5:$G$82,"&lt;="&amp;Marketing!AK$3)/12)),IF(YEAR(AK$3)=YEAR('New Hires Forecast'!$Q$3),((SUMIFS('New Hires Forecast'!$Q$5:$Q$82,'New Hires Forecast'!$F$5:$F$82,"Marketing",'New Hires Forecast'!$H$5:$H$82,"&gt;="&amp;Marketing!AK$3,'New Hires Forecast'!$G$5:$G$82,"&lt;="&amp;Marketing!AK$3)/12)),IF(YEAR(AK$3)=YEAR('New Hires Forecast'!$R$3),((SUMIFS('New Hires Forecast'!$R$5:$R$82,'New Hires Forecast'!$F$5:$F$82,"Marketing",'New Hires Forecast'!$H$5:$H$82,"&gt;="&amp;Marketing!AK$3,'New Hires Forecast'!$G$5:$G$82,"&lt;="&amp;Marketing!AK$3)/12))))))),0)</f>
        <v>29583.333333333332</v>
      </c>
      <c r="AL13" s="668">
        <f>IF(AL$4="forecast",IF(YEAR(AL$3)=YEAR('New Hires Forecast'!$N$3),((SUMIFS('New Hires Forecast'!$N$5:$N$82,'New Hires Forecast'!$F$5:$F$82,"Marketing",'New Hires Forecast'!$H$5:$H$82,"&gt;="&amp;Marketing!AL$3,'New Hires Forecast'!$G$5:$G$82,"&lt;="&amp;Marketing!AL$3)/12)),IF(YEAR(AL$3)=YEAR('New Hires Forecast'!$O$3),((SUMIFS('New Hires Forecast'!$O$5:$O$82,'New Hires Forecast'!$F$5:$F$82,"Marketing",'New Hires Forecast'!$H$5:$H$82,"&gt;="&amp;Marketing!AL$3,'New Hires Forecast'!$G$5:$G$82,"&lt;="&amp;Marketing!AL$3)/12)),IF(YEAR(AL$3)=YEAR('New Hires Forecast'!$P$3),((SUMIFS('New Hires Forecast'!$P$5:$P$82,'New Hires Forecast'!$F$5:$F$82,"Marketing",'New Hires Forecast'!$H$5:$H$82,"&gt;="&amp;Marketing!AL$3,'New Hires Forecast'!$G$5:$G$82,"&lt;="&amp;Marketing!AL$3)/12)),IF(YEAR(AL$3)=YEAR('New Hires Forecast'!$Q$3),((SUMIFS('New Hires Forecast'!$Q$5:$Q$82,'New Hires Forecast'!$F$5:$F$82,"Marketing",'New Hires Forecast'!$H$5:$H$82,"&gt;="&amp;Marketing!AL$3,'New Hires Forecast'!$G$5:$G$82,"&lt;="&amp;Marketing!AL$3)/12)),IF(YEAR(AL$3)=YEAR('New Hires Forecast'!$R$3),((SUMIFS('New Hires Forecast'!$R$5:$R$82,'New Hires Forecast'!$F$5:$F$82,"Marketing",'New Hires Forecast'!$H$5:$H$82,"&gt;="&amp;Marketing!AL$3,'New Hires Forecast'!$G$5:$G$82,"&lt;="&amp;Marketing!AL$3)/12))))))),0)</f>
        <v>29583.333333333332</v>
      </c>
      <c r="AM13" s="668">
        <f>IF(AM$4="forecast",IF(YEAR(AM$3)=YEAR('New Hires Forecast'!$N$3),((SUMIFS('New Hires Forecast'!$N$5:$N$82,'New Hires Forecast'!$F$5:$F$82,"Marketing",'New Hires Forecast'!$H$5:$H$82,"&gt;="&amp;Marketing!AM$3,'New Hires Forecast'!$G$5:$G$82,"&lt;="&amp;Marketing!AM$3)/12)),IF(YEAR(AM$3)=YEAR('New Hires Forecast'!$O$3),((SUMIFS('New Hires Forecast'!$O$5:$O$82,'New Hires Forecast'!$F$5:$F$82,"Marketing",'New Hires Forecast'!$H$5:$H$82,"&gt;="&amp;Marketing!AM$3,'New Hires Forecast'!$G$5:$G$82,"&lt;="&amp;Marketing!AM$3)/12)),IF(YEAR(AM$3)=YEAR('New Hires Forecast'!$P$3),((SUMIFS('New Hires Forecast'!$P$5:$P$82,'New Hires Forecast'!$F$5:$F$82,"Marketing",'New Hires Forecast'!$H$5:$H$82,"&gt;="&amp;Marketing!AM$3,'New Hires Forecast'!$G$5:$G$82,"&lt;="&amp;Marketing!AM$3)/12)),IF(YEAR(AM$3)=YEAR('New Hires Forecast'!$Q$3),((SUMIFS('New Hires Forecast'!$Q$5:$Q$82,'New Hires Forecast'!$F$5:$F$82,"Marketing",'New Hires Forecast'!$H$5:$H$82,"&gt;="&amp;Marketing!AM$3,'New Hires Forecast'!$G$5:$G$82,"&lt;="&amp;Marketing!AM$3)/12)),IF(YEAR(AM$3)=YEAR('New Hires Forecast'!$R$3),((SUMIFS('New Hires Forecast'!$R$5:$R$82,'New Hires Forecast'!$F$5:$F$82,"Marketing",'New Hires Forecast'!$H$5:$H$82,"&gt;="&amp;Marketing!AM$3,'New Hires Forecast'!$G$5:$G$82,"&lt;="&amp;Marketing!AM$3)/12))))))),0)</f>
        <v>30470.833333333332</v>
      </c>
      <c r="AN13" s="668">
        <f>IF(AN$4="forecast",IF(YEAR(AN$3)=YEAR('New Hires Forecast'!$N$3),((SUMIFS('New Hires Forecast'!$N$5:$N$82,'New Hires Forecast'!$F$5:$F$82,"Marketing",'New Hires Forecast'!$H$5:$H$82,"&gt;="&amp;Marketing!AN$3,'New Hires Forecast'!$G$5:$G$82,"&lt;="&amp;Marketing!AN$3)/12)),IF(YEAR(AN$3)=YEAR('New Hires Forecast'!$O$3),((SUMIFS('New Hires Forecast'!$O$5:$O$82,'New Hires Forecast'!$F$5:$F$82,"Marketing",'New Hires Forecast'!$H$5:$H$82,"&gt;="&amp;Marketing!AN$3,'New Hires Forecast'!$G$5:$G$82,"&lt;="&amp;Marketing!AN$3)/12)),IF(YEAR(AN$3)=YEAR('New Hires Forecast'!$P$3),((SUMIFS('New Hires Forecast'!$P$5:$P$82,'New Hires Forecast'!$F$5:$F$82,"Marketing",'New Hires Forecast'!$H$5:$H$82,"&gt;="&amp;Marketing!AN$3,'New Hires Forecast'!$G$5:$G$82,"&lt;="&amp;Marketing!AN$3)/12)),IF(YEAR(AN$3)=YEAR('New Hires Forecast'!$Q$3),((SUMIFS('New Hires Forecast'!$Q$5:$Q$82,'New Hires Forecast'!$F$5:$F$82,"Marketing",'New Hires Forecast'!$H$5:$H$82,"&gt;="&amp;Marketing!AN$3,'New Hires Forecast'!$G$5:$G$82,"&lt;="&amp;Marketing!AN$3)/12)),IF(YEAR(AN$3)=YEAR('New Hires Forecast'!$R$3),((SUMIFS('New Hires Forecast'!$R$5:$R$82,'New Hires Forecast'!$F$5:$F$82,"Marketing",'New Hires Forecast'!$H$5:$H$82,"&gt;="&amp;Marketing!AN$3,'New Hires Forecast'!$G$5:$G$82,"&lt;="&amp;Marketing!AN$3)/12))))))),0)</f>
        <v>30470.833333333332</v>
      </c>
      <c r="AO13" s="668">
        <f>IF(AO$4="forecast",IF(YEAR(AO$3)=YEAR('New Hires Forecast'!$N$3),((SUMIFS('New Hires Forecast'!$N$5:$N$82,'New Hires Forecast'!$F$5:$F$82,"Marketing",'New Hires Forecast'!$H$5:$H$82,"&gt;="&amp;Marketing!AO$3,'New Hires Forecast'!$G$5:$G$82,"&lt;="&amp;Marketing!AO$3)/12)),IF(YEAR(AO$3)=YEAR('New Hires Forecast'!$O$3),((SUMIFS('New Hires Forecast'!$O$5:$O$82,'New Hires Forecast'!$F$5:$F$82,"Marketing",'New Hires Forecast'!$H$5:$H$82,"&gt;="&amp;Marketing!AO$3,'New Hires Forecast'!$G$5:$G$82,"&lt;="&amp;Marketing!AO$3)/12)),IF(YEAR(AO$3)=YEAR('New Hires Forecast'!$P$3),((SUMIFS('New Hires Forecast'!$P$5:$P$82,'New Hires Forecast'!$F$5:$F$82,"Marketing",'New Hires Forecast'!$H$5:$H$82,"&gt;="&amp;Marketing!AO$3,'New Hires Forecast'!$G$5:$G$82,"&lt;="&amp;Marketing!AO$3)/12)),IF(YEAR(AO$3)=YEAR('New Hires Forecast'!$Q$3),((SUMIFS('New Hires Forecast'!$Q$5:$Q$82,'New Hires Forecast'!$F$5:$F$82,"Marketing",'New Hires Forecast'!$H$5:$H$82,"&gt;="&amp;Marketing!AO$3,'New Hires Forecast'!$G$5:$G$82,"&lt;="&amp;Marketing!AO$3)/12)),IF(YEAR(AO$3)=YEAR('New Hires Forecast'!$R$3),((SUMIFS('New Hires Forecast'!$R$5:$R$82,'New Hires Forecast'!$F$5:$F$82,"Marketing",'New Hires Forecast'!$H$5:$H$82,"&gt;="&amp;Marketing!AO$3,'New Hires Forecast'!$G$5:$G$82,"&lt;="&amp;Marketing!AO$3)/12))))))),0)</f>
        <v>30470.833333333332</v>
      </c>
      <c r="AP13" s="668">
        <f>IF(AP$4="forecast",IF(YEAR(AP$3)=YEAR('New Hires Forecast'!$N$3),((SUMIFS('New Hires Forecast'!$N$5:$N$82,'New Hires Forecast'!$F$5:$F$82,"Marketing",'New Hires Forecast'!$H$5:$H$82,"&gt;="&amp;Marketing!AP$3,'New Hires Forecast'!$G$5:$G$82,"&lt;="&amp;Marketing!AP$3)/12)),IF(YEAR(AP$3)=YEAR('New Hires Forecast'!$O$3),((SUMIFS('New Hires Forecast'!$O$5:$O$82,'New Hires Forecast'!$F$5:$F$82,"Marketing",'New Hires Forecast'!$H$5:$H$82,"&gt;="&amp;Marketing!AP$3,'New Hires Forecast'!$G$5:$G$82,"&lt;="&amp;Marketing!AP$3)/12)),IF(YEAR(AP$3)=YEAR('New Hires Forecast'!$P$3),((SUMIFS('New Hires Forecast'!$P$5:$P$82,'New Hires Forecast'!$F$5:$F$82,"Marketing",'New Hires Forecast'!$H$5:$H$82,"&gt;="&amp;Marketing!AP$3,'New Hires Forecast'!$G$5:$G$82,"&lt;="&amp;Marketing!AP$3)/12)),IF(YEAR(AP$3)=YEAR('New Hires Forecast'!$Q$3),((SUMIFS('New Hires Forecast'!$Q$5:$Q$82,'New Hires Forecast'!$F$5:$F$82,"Marketing",'New Hires Forecast'!$H$5:$H$82,"&gt;="&amp;Marketing!AP$3,'New Hires Forecast'!$G$5:$G$82,"&lt;="&amp;Marketing!AP$3)/12)),IF(YEAR(AP$3)=YEAR('New Hires Forecast'!$R$3),((SUMIFS('New Hires Forecast'!$R$5:$R$82,'New Hires Forecast'!$F$5:$F$82,"Marketing",'New Hires Forecast'!$H$5:$H$82,"&gt;="&amp;Marketing!AP$3,'New Hires Forecast'!$G$5:$G$82,"&lt;="&amp;Marketing!AP$3)/12))))))),0)</f>
        <v>30470.833333333332</v>
      </c>
      <c r="AQ13" s="668">
        <f>IF(AQ$4="forecast",IF(YEAR(AQ$3)=YEAR('New Hires Forecast'!$N$3),((SUMIFS('New Hires Forecast'!$N$5:$N$82,'New Hires Forecast'!$F$5:$F$82,"Marketing",'New Hires Forecast'!$H$5:$H$82,"&gt;="&amp;Marketing!AQ$3,'New Hires Forecast'!$G$5:$G$82,"&lt;="&amp;Marketing!AQ$3)/12)),IF(YEAR(AQ$3)=YEAR('New Hires Forecast'!$O$3),((SUMIFS('New Hires Forecast'!$O$5:$O$82,'New Hires Forecast'!$F$5:$F$82,"Marketing",'New Hires Forecast'!$H$5:$H$82,"&gt;="&amp;Marketing!AQ$3,'New Hires Forecast'!$G$5:$G$82,"&lt;="&amp;Marketing!AQ$3)/12)),IF(YEAR(AQ$3)=YEAR('New Hires Forecast'!$P$3),((SUMIFS('New Hires Forecast'!$P$5:$P$82,'New Hires Forecast'!$F$5:$F$82,"Marketing",'New Hires Forecast'!$H$5:$H$82,"&gt;="&amp;Marketing!AQ$3,'New Hires Forecast'!$G$5:$G$82,"&lt;="&amp;Marketing!AQ$3)/12)),IF(YEAR(AQ$3)=YEAR('New Hires Forecast'!$Q$3),((SUMIFS('New Hires Forecast'!$Q$5:$Q$82,'New Hires Forecast'!$F$5:$F$82,"Marketing",'New Hires Forecast'!$H$5:$H$82,"&gt;="&amp;Marketing!AQ$3,'New Hires Forecast'!$G$5:$G$82,"&lt;="&amp;Marketing!AQ$3)/12)),IF(YEAR(AQ$3)=YEAR('New Hires Forecast'!$R$3),((SUMIFS('New Hires Forecast'!$R$5:$R$82,'New Hires Forecast'!$F$5:$F$82,"Marketing",'New Hires Forecast'!$H$5:$H$82,"&gt;="&amp;Marketing!AQ$3,'New Hires Forecast'!$G$5:$G$82,"&lt;="&amp;Marketing!AQ$3)/12))))))),0)</f>
        <v>30470.833333333332</v>
      </c>
      <c r="AR13" s="668">
        <f>IF(AR$4="forecast",IF(YEAR(AR$3)=YEAR('New Hires Forecast'!$N$3),((SUMIFS('New Hires Forecast'!$N$5:$N$82,'New Hires Forecast'!$F$5:$F$82,"Marketing",'New Hires Forecast'!$H$5:$H$82,"&gt;="&amp;Marketing!AR$3,'New Hires Forecast'!$G$5:$G$82,"&lt;="&amp;Marketing!AR$3)/12)),IF(YEAR(AR$3)=YEAR('New Hires Forecast'!$O$3),((SUMIFS('New Hires Forecast'!$O$5:$O$82,'New Hires Forecast'!$F$5:$F$82,"Marketing",'New Hires Forecast'!$H$5:$H$82,"&gt;="&amp;Marketing!AR$3,'New Hires Forecast'!$G$5:$G$82,"&lt;="&amp;Marketing!AR$3)/12)),IF(YEAR(AR$3)=YEAR('New Hires Forecast'!$P$3),((SUMIFS('New Hires Forecast'!$P$5:$P$82,'New Hires Forecast'!$F$5:$F$82,"Marketing",'New Hires Forecast'!$H$5:$H$82,"&gt;="&amp;Marketing!AR$3,'New Hires Forecast'!$G$5:$G$82,"&lt;="&amp;Marketing!AR$3)/12)),IF(YEAR(AR$3)=YEAR('New Hires Forecast'!$Q$3),((SUMIFS('New Hires Forecast'!$Q$5:$Q$82,'New Hires Forecast'!$F$5:$F$82,"Marketing",'New Hires Forecast'!$H$5:$H$82,"&gt;="&amp;Marketing!AR$3,'New Hires Forecast'!$G$5:$G$82,"&lt;="&amp;Marketing!AR$3)/12)),IF(YEAR(AR$3)=YEAR('New Hires Forecast'!$R$3),((SUMIFS('New Hires Forecast'!$R$5:$R$82,'New Hires Forecast'!$F$5:$F$82,"Marketing",'New Hires Forecast'!$H$5:$H$82,"&gt;="&amp;Marketing!AR$3,'New Hires Forecast'!$G$5:$G$82,"&lt;="&amp;Marketing!AR$3)/12))))))),0)</f>
        <v>30470.833333333332</v>
      </c>
      <c r="AS13" s="668">
        <f>IF(AS$4="forecast",IF(YEAR(AS$3)=YEAR('New Hires Forecast'!$N$3),((SUMIFS('New Hires Forecast'!$N$5:$N$82,'New Hires Forecast'!$F$5:$F$82,"Marketing",'New Hires Forecast'!$H$5:$H$82,"&gt;="&amp;Marketing!AS$3,'New Hires Forecast'!$G$5:$G$82,"&lt;="&amp;Marketing!AS$3)/12)),IF(YEAR(AS$3)=YEAR('New Hires Forecast'!$O$3),((SUMIFS('New Hires Forecast'!$O$5:$O$82,'New Hires Forecast'!$F$5:$F$82,"Marketing",'New Hires Forecast'!$H$5:$H$82,"&gt;="&amp;Marketing!AS$3,'New Hires Forecast'!$G$5:$G$82,"&lt;="&amp;Marketing!AS$3)/12)),IF(YEAR(AS$3)=YEAR('New Hires Forecast'!$P$3),((SUMIFS('New Hires Forecast'!$P$5:$P$82,'New Hires Forecast'!$F$5:$F$82,"Marketing",'New Hires Forecast'!$H$5:$H$82,"&gt;="&amp;Marketing!AS$3,'New Hires Forecast'!$G$5:$G$82,"&lt;="&amp;Marketing!AS$3)/12)),IF(YEAR(AS$3)=YEAR('New Hires Forecast'!$Q$3),((SUMIFS('New Hires Forecast'!$Q$5:$Q$82,'New Hires Forecast'!$F$5:$F$82,"Marketing",'New Hires Forecast'!$H$5:$H$82,"&gt;="&amp;Marketing!AS$3,'New Hires Forecast'!$G$5:$G$82,"&lt;="&amp;Marketing!AS$3)/12)),IF(YEAR(AS$3)=YEAR('New Hires Forecast'!$R$3),((SUMIFS('New Hires Forecast'!$R$5:$R$82,'New Hires Forecast'!$F$5:$F$82,"Marketing",'New Hires Forecast'!$H$5:$H$82,"&gt;="&amp;Marketing!AS$3,'New Hires Forecast'!$G$5:$G$82,"&lt;="&amp;Marketing!AS$3)/12))))))),0)</f>
        <v>30470.833333333332</v>
      </c>
      <c r="AT13" s="668">
        <f>IF(AT$4="forecast",IF(YEAR(AT$3)=YEAR('New Hires Forecast'!$N$3),((SUMIFS('New Hires Forecast'!$N$5:$N$82,'New Hires Forecast'!$F$5:$F$82,"Marketing",'New Hires Forecast'!$H$5:$H$82,"&gt;="&amp;Marketing!AT$3,'New Hires Forecast'!$G$5:$G$82,"&lt;="&amp;Marketing!AT$3)/12)),IF(YEAR(AT$3)=YEAR('New Hires Forecast'!$O$3),((SUMIFS('New Hires Forecast'!$O$5:$O$82,'New Hires Forecast'!$F$5:$F$82,"Marketing",'New Hires Forecast'!$H$5:$H$82,"&gt;="&amp;Marketing!AT$3,'New Hires Forecast'!$G$5:$G$82,"&lt;="&amp;Marketing!AT$3)/12)),IF(YEAR(AT$3)=YEAR('New Hires Forecast'!$P$3),((SUMIFS('New Hires Forecast'!$P$5:$P$82,'New Hires Forecast'!$F$5:$F$82,"Marketing",'New Hires Forecast'!$H$5:$H$82,"&gt;="&amp;Marketing!AT$3,'New Hires Forecast'!$G$5:$G$82,"&lt;="&amp;Marketing!AT$3)/12)),IF(YEAR(AT$3)=YEAR('New Hires Forecast'!$Q$3),((SUMIFS('New Hires Forecast'!$Q$5:$Q$82,'New Hires Forecast'!$F$5:$F$82,"Marketing",'New Hires Forecast'!$H$5:$H$82,"&gt;="&amp;Marketing!AT$3,'New Hires Forecast'!$G$5:$G$82,"&lt;="&amp;Marketing!AT$3)/12)),IF(YEAR(AT$3)=YEAR('New Hires Forecast'!$R$3),((SUMIFS('New Hires Forecast'!$R$5:$R$82,'New Hires Forecast'!$F$5:$F$82,"Marketing",'New Hires Forecast'!$H$5:$H$82,"&gt;="&amp;Marketing!AT$3,'New Hires Forecast'!$G$5:$G$82,"&lt;="&amp;Marketing!AT$3)/12))))))),0)</f>
        <v>30470.833333333332</v>
      </c>
      <c r="AU13" s="668">
        <f>IF(AU$4="forecast",IF(YEAR(AU$3)=YEAR('New Hires Forecast'!$N$3),((SUMIFS('New Hires Forecast'!$N$5:$N$82,'New Hires Forecast'!$F$5:$F$82,"Marketing",'New Hires Forecast'!$H$5:$H$82,"&gt;="&amp;Marketing!AU$3,'New Hires Forecast'!$G$5:$G$82,"&lt;="&amp;Marketing!AU$3)/12)),IF(YEAR(AU$3)=YEAR('New Hires Forecast'!$O$3),((SUMIFS('New Hires Forecast'!$O$5:$O$82,'New Hires Forecast'!$F$5:$F$82,"Marketing",'New Hires Forecast'!$H$5:$H$82,"&gt;="&amp;Marketing!AU$3,'New Hires Forecast'!$G$5:$G$82,"&lt;="&amp;Marketing!AU$3)/12)),IF(YEAR(AU$3)=YEAR('New Hires Forecast'!$P$3),((SUMIFS('New Hires Forecast'!$P$5:$P$82,'New Hires Forecast'!$F$5:$F$82,"Marketing",'New Hires Forecast'!$H$5:$H$82,"&gt;="&amp;Marketing!AU$3,'New Hires Forecast'!$G$5:$G$82,"&lt;="&amp;Marketing!AU$3)/12)),IF(YEAR(AU$3)=YEAR('New Hires Forecast'!$Q$3),((SUMIFS('New Hires Forecast'!$Q$5:$Q$82,'New Hires Forecast'!$F$5:$F$82,"Marketing",'New Hires Forecast'!$H$5:$H$82,"&gt;="&amp;Marketing!AU$3,'New Hires Forecast'!$G$5:$G$82,"&lt;="&amp;Marketing!AU$3)/12)),IF(YEAR(AU$3)=YEAR('New Hires Forecast'!$R$3),((SUMIFS('New Hires Forecast'!$R$5:$R$82,'New Hires Forecast'!$F$5:$F$82,"Marketing",'New Hires Forecast'!$H$5:$H$82,"&gt;="&amp;Marketing!AU$3,'New Hires Forecast'!$G$5:$G$82,"&lt;="&amp;Marketing!AU$3)/12))))))),0)</f>
        <v>30470.833333333332</v>
      </c>
      <c r="AV13" s="668">
        <f>IF(AV$4="forecast",IF(YEAR(AV$3)=YEAR('New Hires Forecast'!$N$3),((SUMIFS('New Hires Forecast'!$N$5:$N$82,'New Hires Forecast'!$F$5:$F$82,"Marketing",'New Hires Forecast'!$H$5:$H$82,"&gt;="&amp;Marketing!AV$3,'New Hires Forecast'!$G$5:$G$82,"&lt;="&amp;Marketing!AV$3)/12)),IF(YEAR(AV$3)=YEAR('New Hires Forecast'!$O$3),((SUMIFS('New Hires Forecast'!$O$5:$O$82,'New Hires Forecast'!$F$5:$F$82,"Marketing",'New Hires Forecast'!$H$5:$H$82,"&gt;="&amp;Marketing!AV$3,'New Hires Forecast'!$G$5:$G$82,"&lt;="&amp;Marketing!AV$3)/12)),IF(YEAR(AV$3)=YEAR('New Hires Forecast'!$P$3),((SUMIFS('New Hires Forecast'!$P$5:$P$82,'New Hires Forecast'!$F$5:$F$82,"Marketing",'New Hires Forecast'!$H$5:$H$82,"&gt;="&amp;Marketing!AV$3,'New Hires Forecast'!$G$5:$G$82,"&lt;="&amp;Marketing!AV$3)/12)),IF(YEAR(AV$3)=YEAR('New Hires Forecast'!$Q$3),((SUMIFS('New Hires Forecast'!$Q$5:$Q$82,'New Hires Forecast'!$F$5:$F$82,"Marketing",'New Hires Forecast'!$H$5:$H$82,"&gt;="&amp;Marketing!AV$3,'New Hires Forecast'!$G$5:$G$82,"&lt;="&amp;Marketing!AV$3)/12)),IF(YEAR(AV$3)=YEAR('New Hires Forecast'!$R$3),((SUMIFS('New Hires Forecast'!$R$5:$R$82,'New Hires Forecast'!$F$5:$F$82,"Marketing",'New Hires Forecast'!$H$5:$H$82,"&gt;="&amp;Marketing!AV$3,'New Hires Forecast'!$G$5:$G$82,"&lt;="&amp;Marketing!AV$3)/12))))))),0)</f>
        <v>30470.833333333332</v>
      </c>
      <c r="AW13" s="668">
        <f>IF(AW$4="forecast",IF(YEAR(AW$3)=YEAR('New Hires Forecast'!$N$3),((SUMIFS('New Hires Forecast'!$N$5:$N$82,'New Hires Forecast'!$F$5:$F$82,"Marketing",'New Hires Forecast'!$H$5:$H$82,"&gt;="&amp;Marketing!AW$3,'New Hires Forecast'!$G$5:$G$82,"&lt;="&amp;Marketing!AW$3)/12)),IF(YEAR(AW$3)=YEAR('New Hires Forecast'!$O$3),((SUMIFS('New Hires Forecast'!$O$5:$O$82,'New Hires Forecast'!$F$5:$F$82,"Marketing",'New Hires Forecast'!$H$5:$H$82,"&gt;="&amp;Marketing!AW$3,'New Hires Forecast'!$G$5:$G$82,"&lt;="&amp;Marketing!AW$3)/12)),IF(YEAR(AW$3)=YEAR('New Hires Forecast'!$P$3),((SUMIFS('New Hires Forecast'!$P$5:$P$82,'New Hires Forecast'!$F$5:$F$82,"Marketing",'New Hires Forecast'!$H$5:$H$82,"&gt;="&amp;Marketing!AW$3,'New Hires Forecast'!$G$5:$G$82,"&lt;="&amp;Marketing!AW$3)/12)),IF(YEAR(AW$3)=YEAR('New Hires Forecast'!$Q$3),((SUMIFS('New Hires Forecast'!$Q$5:$Q$82,'New Hires Forecast'!$F$5:$F$82,"Marketing",'New Hires Forecast'!$H$5:$H$82,"&gt;="&amp;Marketing!AW$3,'New Hires Forecast'!$G$5:$G$82,"&lt;="&amp;Marketing!AW$3)/12)),IF(YEAR(AW$3)=YEAR('New Hires Forecast'!$R$3),((SUMIFS('New Hires Forecast'!$R$5:$R$82,'New Hires Forecast'!$F$5:$F$82,"Marketing",'New Hires Forecast'!$H$5:$H$82,"&gt;="&amp;Marketing!AW$3,'New Hires Forecast'!$G$5:$G$82,"&lt;="&amp;Marketing!AW$3)/12))))))),0)</f>
        <v>30470.833333333332</v>
      </c>
      <c r="AX13" s="668">
        <f>IF(AX$4="forecast",IF(YEAR(AX$3)=YEAR('New Hires Forecast'!$N$3),((SUMIFS('New Hires Forecast'!$N$5:$N$82,'New Hires Forecast'!$F$5:$F$82,"Marketing",'New Hires Forecast'!$H$5:$H$82,"&gt;="&amp;Marketing!AX$3,'New Hires Forecast'!$G$5:$G$82,"&lt;="&amp;Marketing!AX$3)/12)),IF(YEAR(AX$3)=YEAR('New Hires Forecast'!$O$3),((SUMIFS('New Hires Forecast'!$O$5:$O$82,'New Hires Forecast'!$F$5:$F$82,"Marketing",'New Hires Forecast'!$H$5:$H$82,"&gt;="&amp;Marketing!AX$3,'New Hires Forecast'!$G$5:$G$82,"&lt;="&amp;Marketing!AX$3)/12)),IF(YEAR(AX$3)=YEAR('New Hires Forecast'!$P$3),((SUMIFS('New Hires Forecast'!$P$5:$P$82,'New Hires Forecast'!$F$5:$F$82,"Marketing",'New Hires Forecast'!$H$5:$H$82,"&gt;="&amp;Marketing!AX$3,'New Hires Forecast'!$G$5:$G$82,"&lt;="&amp;Marketing!AX$3)/12)),IF(YEAR(AX$3)=YEAR('New Hires Forecast'!$Q$3),((SUMIFS('New Hires Forecast'!$Q$5:$Q$82,'New Hires Forecast'!$F$5:$F$82,"Marketing",'New Hires Forecast'!$H$5:$H$82,"&gt;="&amp;Marketing!AX$3,'New Hires Forecast'!$G$5:$G$82,"&lt;="&amp;Marketing!AX$3)/12)),IF(YEAR(AX$3)=YEAR('New Hires Forecast'!$R$3),((SUMIFS('New Hires Forecast'!$R$5:$R$82,'New Hires Forecast'!$F$5:$F$82,"Marketing",'New Hires Forecast'!$H$5:$H$82,"&gt;="&amp;Marketing!AX$3,'New Hires Forecast'!$G$5:$G$82,"&lt;="&amp;Marketing!AX$3)/12))))))),0)</f>
        <v>30470.833333333332</v>
      </c>
      <c r="AY13" s="668">
        <f>IF(AY$4="forecast",IF(YEAR(AY$3)=YEAR('New Hires Forecast'!$N$3),((SUMIFS('New Hires Forecast'!$N$5:$N$82,'New Hires Forecast'!$F$5:$F$82,"Marketing",'New Hires Forecast'!$H$5:$H$82,"&gt;="&amp;Marketing!AY$3,'New Hires Forecast'!$G$5:$G$82,"&lt;="&amp;Marketing!AY$3)/12)),IF(YEAR(AY$3)=YEAR('New Hires Forecast'!$O$3),((SUMIFS('New Hires Forecast'!$O$5:$O$82,'New Hires Forecast'!$F$5:$F$82,"Marketing",'New Hires Forecast'!$H$5:$H$82,"&gt;="&amp;Marketing!AY$3,'New Hires Forecast'!$G$5:$G$82,"&lt;="&amp;Marketing!AY$3)/12)),IF(YEAR(AY$3)=YEAR('New Hires Forecast'!$P$3),((SUMIFS('New Hires Forecast'!$P$5:$P$82,'New Hires Forecast'!$F$5:$F$82,"Marketing",'New Hires Forecast'!$H$5:$H$82,"&gt;="&amp;Marketing!AY$3,'New Hires Forecast'!$G$5:$G$82,"&lt;="&amp;Marketing!AY$3)/12)),IF(YEAR(AY$3)=YEAR('New Hires Forecast'!$Q$3),((SUMIFS('New Hires Forecast'!$Q$5:$Q$82,'New Hires Forecast'!$F$5:$F$82,"Marketing",'New Hires Forecast'!$H$5:$H$82,"&gt;="&amp;Marketing!AY$3,'New Hires Forecast'!$G$5:$G$82,"&lt;="&amp;Marketing!AY$3)/12)),IF(YEAR(AY$3)=YEAR('New Hires Forecast'!$R$3),((SUMIFS('New Hires Forecast'!$R$5:$R$82,'New Hires Forecast'!$F$5:$F$82,"Marketing",'New Hires Forecast'!$H$5:$H$82,"&gt;="&amp;Marketing!AY$3,'New Hires Forecast'!$G$5:$G$82,"&lt;="&amp;Marketing!AY$3)/12))))))),0)</f>
        <v>31384.958333333332</v>
      </c>
      <c r="AZ13" s="668">
        <f>IF(AZ$4="forecast",IF(YEAR(AZ$3)=YEAR('New Hires Forecast'!$N$3),((SUMIFS('New Hires Forecast'!$N$5:$N$82,'New Hires Forecast'!$F$5:$F$82,"Marketing",'New Hires Forecast'!$H$5:$H$82,"&gt;="&amp;Marketing!AZ$3,'New Hires Forecast'!$G$5:$G$82,"&lt;="&amp;Marketing!AZ$3)/12)),IF(YEAR(AZ$3)=YEAR('New Hires Forecast'!$O$3),((SUMIFS('New Hires Forecast'!$O$5:$O$82,'New Hires Forecast'!$F$5:$F$82,"Marketing",'New Hires Forecast'!$H$5:$H$82,"&gt;="&amp;Marketing!AZ$3,'New Hires Forecast'!$G$5:$G$82,"&lt;="&amp;Marketing!AZ$3)/12)),IF(YEAR(AZ$3)=YEAR('New Hires Forecast'!$P$3),((SUMIFS('New Hires Forecast'!$P$5:$P$82,'New Hires Forecast'!$F$5:$F$82,"Marketing",'New Hires Forecast'!$H$5:$H$82,"&gt;="&amp;Marketing!AZ$3,'New Hires Forecast'!$G$5:$G$82,"&lt;="&amp;Marketing!AZ$3)/12)),IF(YEAR(AZ$3)=YEAR('New Hires Forecast'!$Q$3),((SUMIFS('New Hires Forecast'!$Q$5:$Q$82,'New Hires Forecast'!$F$5:$F$82,"Marketing",'New Hires Forecast'!$H$5:$H$82,"&gt;="&amp;Marketing!AZ$3,'New Hires Forecast'!$G$5:$G$82,"&lt;="&amp;Marketing!AZ$3)/12)),IF(YEAR(AZ$3)=YEAR('New Hires Forecast'!$R$3),((SUMIFS('New Hires Forecast'!$R$5:$R$82,'New Hires Forecast'!$F$5:$F$82,"Marketing",'New Hires Forecast'!$H$5:$H$82,"&gt;="&amp;Marketing!AZ$3,'New Hires Forecast'!$G$5:$G$82,"&lt;="&amp;Marketing!AZ$3)/12))))))),0)</f>
        <v>31384.958333333332</v>
      </c>
      <c r="BA13" s="668">
        <f>IF(BA$4="forecast",IF(YEAR(BA$3)=YEAR('New Hires Forecast'!$N$3),((SUMIFS('New Hires Forecast'!$N$5:$N$82,'New Hires Forecast'!$F$5:$F$82,"Marketing",'New Hires Forecast'!$H$5:$H$82,"&gt;="&amp;Marketing!BA$3,'New Hires Forecast'!$G$5:$G$82,"&lt;="&amp;Marketing!BA$3)/12)),IF(YEAR(BA$3)=YEAR('New Hires Forecast'!$O$3),((SUMIFS('New Hires Forecast'!$O$5:$O$82,'New Hires Forecast'!$F$5:$F$82,"Marketing",'New Hires Forecast'!$H$5:$H$82,"&gt;="&amp;Marketing!BA$3,'New Hires Forecast'!$G$5:$G$82,"&lt;="&amp;Marketing!BA$3)/12)),IF(YEAR(BA$3)=YEAR('New Hires Forecast'!$P$3),((SUMIFS('New Hires Forecast'!$P$5:$P$82,'New Hires Forecast'!$F$5:$F$82,"Marketing",'New Hires Forecast'!$H$5:$H$82,"&gt;="&amp;Marketing!BA$3,'New Hires Forecast'!$G$5:$G$82,"&lt;="&amp;Marketing!BA$3)/12)),IF(YEAR(BA$3)=YEAR('New Hires Forecast'!$Q$3),((SUMIFS('New Hires Forecast'!$Q$5:$Q$82,'New Hires Forecast'!$F$5:$F$82,"Marketing",'New Hires Forecast'!$H$5:$H$82,"&gt;="&amp;Marketing!BA$3,'New Hires Forecast'!$G$5:$G$82,"&lt;="&amp;Marketing!BA$3)/12)),IF(YEAR(BA$3)=YEAR('New Hires Forecast'!$R$3),((SUMIFS('New Hires Forecast'!$R$5:$R$82,'New Hires Forecast'!$F$5:$F$82,"Marketing",'New Hires Forecast'!$H$5:$H$82,"&gt;="&amp;Marketing!BA$3,'New Hires Forecast'!$G$5:$G$82,"&lt;="&amp;Marketing!BA$3)/12))))))),0)</f>
        <v>31384.958333333332</v>
      </c>
      <c r="BB13" s="668">
        <f>IF(BB$4="forecast",IF(YEAR(BB$3)=YEAR('New Hires Forecast'!$N$3),((SUMIFS('New Hires Forecast'!$N$5:$N$82,'New Hires Forecast'!$F$5:$F$82,"Marketing",'New Hires Forecast'!$H$5:$H$82,"&gt;="&amp;Marketing!BB$3,'New Hires Forecast'!$G$5:$G$82,"&lt;="&amp;Marketing!BB$3)/12)),IF(YEAR(BB$3)=YEAR('New Hires Forecast'!$O$3),((SUMIFS('New Hires Forecast'!$O$5:$O$82,'New Hires Forecast'!$F$5:$F$82,"Marketing",'New Hires Forecast'!$H$5:$H$82,"&gt;="&amp;Marketing!BB$3,'New Hires Forecast'!$G$5:$G$82,"&lt;="&amp;Marketing!BB$3)/12)),IF(YEAR(BB$3)=YEAR('New Hires Forecast'!$P$3),((SUMIFS('New Hires Forecast'!$P$5:$P$82,'New Hires Forecast'!$F$5:$F$82,"Marketing",'New Hires Forecast'!$H$5:$H$82,"&gt;="&amp;Marketing!BB$3,'New Hires Forecast'!$G$5:$G$82,"&lt;="&amp;Marketing!BB$3)/12)),IF(YEAR(BB$3)=YEAR('New Hires Forecast'!$Q$3),((SUMIFS('New Hires Forecast'!$Q$5:$Q$82,'New Hires Forecast'!$F$5:$F$82,"Marketing",'New Hires Forecast'!$H$5:$H$82,"&gt;="&amp;Marketing!BB$3,'New Hires Forecast'!$G$5:$G$82,"&lt;="&amp;Marketing!BB$3)/12)),IF(YEAR(BB$3)=YEAR('New Hires Forecast'!$R$3),((SUMIFS('New Hires Forecast'!$R$5:$R$82,'New Hires Forecast'!$F$5:$F$82,"Marketing",'New Hires Forecast'!$H$5:$H$82,"&gt;="&amp;Marketing!BB$3,'New Hires Forecast'!$G$5:$G$82,"&lt;="&amp;Marketing!BB$3)/12))))))),0)</f>
        <v>31384.958333333332</v>
      </c>
      <c r="BC13" s="668">
        <f>IF(BC$4="forecast",IF(YEAR(BC$3)=YEAR('New Hires Forecast'!$N$3),((SUMIFS('New Hires Forecast'!$N$5:$N$82,'New Hires Forecast'!$F$5:$F$82,"Marketing",'New Hires Forecast'!$H$5:$H$82,"&gt;="&amp;Marketing!BC$3,'New Hires Forecast'!$G$5:$G$82,"&lt;="&amp;Marketing!BC$3)/12)),IF(YEAR(BC$3)=YEAR('New Hires Forecast'!$O$3),((SUMIFS('New Hires Forecast'!$O$5:$O$82,'New Hires Forecast'!$F$5:$F$82,"Marketing",'New Hires Forecast'!$H$5:$H$82,"&gt;="&amp;Marketing!BC$3,'New Hires Forecast'!$G$5:$G$82,"&lt;="&amp;Marketing!BC$3)/12)),IF(YEAR(BC$3)=YEAR('New Hires Forecast'!$P$3),((SUMIFS('New Hires Forecast'!$P$5:$P$82,'New Hires Forecast'!$F$5:$F$82,"Marketing",'New Hires Forecast'!$H$5:$H$82,"&gt;="&amp;Marketing!BC$3,'New Hires Forecast'!$G$5:$G$82,"&lt;="&amp;Marketing!BC$3)/12)),IF(YEAR(BC$3)=YEAR('New Hires Forecast'!$Q$3),((SUMIFS('New Hires Forecast'!$Q$5:$Q$82,'New Hires Forecast'!$F$5:$F$82,"Marketing",'New Hires Forecast'!$H$5:$H$82,"&gt;="&amp;Marketing!BC$3,'New Hires Forecast'!$G$5:$G$82,"&lt;="&amp;Marketing!BC$3)/12)),IF(YEAR(BC$3)=YEAR('New Hires Forecast'!$R$3),((SUMIFS('New Hires Forecast'!$R$5:$R$82,'New Hires Forecast'!$F$5:$F$82,"Marketing",'New Hires Forecast'!$H$5:$H$82,"&gt;="&amp;Marketing!BC$3,'New Hires Forecast'!$G$5:$G$82,"&lt;="&amp;Marketing!BC$3)/12))))))),0)</f>
        <v>31384.958333333332</v>
      </c>
      <c r="BD13" s="668">
        <f>IF(BD$4="forecast",IF(YEAR(BD$3)=YEAR('New Hires Forecast'!$N$3),((SUMIFS('New Hires Forecast'!$N$5:$N$82,'New Hires Forecast'!$F$5:$F$82,"Marketing",'New Hires Forecast'!$H$5:$H$82,"&gt;="&amp;Marketing!BD$3,'New Hires Forecast'!$G$5:$G$82,"&lt;="&amp;Marketing!BD$3)/12)),IF(YEAR(BD$3)=YEAR('New Hires Forecast'!$O$3),((SUMIFS('New Hires Forecast'!$O$5:$O$82,'New Hires Forecast'!$F$5:$F$82,"Marketing",'New Hires Forecast'!$H$5:$H$82,"&gt;="&amp;Marketing!BD$3,'New Hires Forecast'!$G$5:$G$82,"&lt;="&amp;Marketing!BD$3)/12)),IF(YEAR(BD$3)=YEAR('New Hires Forecast'!$P$3),((SUMIFS('New Hires Forecast'!$P$5:$P$82,'New Hires Forecast'!$F$5:$F$82,"Marketing",'New Hires Forecast'!$H$5:$H$82,"&gt;="&amp;Marketing!BD$3,'New Hires Forecast'!$G$5:$G$82,"&lt;="&amp;Marketing!BD$3)/12)),IF(YEAR(BD$3)=YEAR('New Hires Forecast'!$Q$3),((SUMIFS('New Hires Forecast'!$Q$5:$Q$82,'New Hires Forecast'!$F$5:$F$82,"Marketing",'New Hires Forecast'!$H$5:$H$82,"&gt;="&amp;Marketing!BD$3,'New Hires Forecast'!$G$5:$G$82,"&lt;="&amp;Marketing!BD$3)/12)),IF(YEAR(BD$3)=YEAR('New Hires Forecast'!$R$3),((SUMIFS('New Hires Forecast'!$R$5:$R$82,'New Hires Forecast'!$F$5:$F$82,"Marketing",'New Hires Forecast'!$H$5:$H$82,"&gt;="&amp;Marketing!BD$3,'New Hires Forecast'!$G$5:$G$82,"&lt;="&amp;Marketing!BD$3)/12))))))),0)</f>
        <v>31384.958333333332</v>
      </c>
      <c r="BE13" s="668">
        <f>IF(BE$4="forecast",IF(YEAR(BE$3)=YEAR('New Hires Forecast'!$N$3),((SUMIFS('New Hires Forecast'!$N$5:$N$82,'New Hires Forecast'!$F$5:$F$82,"Marketing",'New Hires Forecast'!$H$5:$H$82,"&gt;="&amp;Marketing!BE$3,'New Hires Forecast'!$G$5:$G$82,"&lt;="&amp;Marketing!BE$3)/12)),IF(YEAR(BE$3)=YEAR('New Hires Forecast'!$O$3),((SUMIFS('New Hires Forecast'!$O$5:$O$82,'New Hires Forecast'!$F$5:$F$82,"Marketing",'New Hires Forecast'!$H$5:$H$82,"&gt;="&amp;Marketing!BE$3,'New Hires Forecast'!$G$5:$G$82,"&lt;="&amp;Marketing!BE$3)/12)),IF(YEAR(BE$3)=YEAR('New Hires Forecast'!$P$3),((SUMIFS('New Hires Forecast'!$P$5:$P$82,'New Hires Forecast'!$F$5:$F$82,"Marketing",'New Hires Forecast'!$H$5:$H$82,"&gt;="&amp;Marketing!BE$3,'New Hires Forecast'!$G$5:$G$82,"&lt;="&amp;Marketing!BE$3)/12)),IF(YEAR(BE$3)=YEAR('New Hires Forecast'!$Q$3),((SUMIFS('New Hires Forecast'!$Q$5:$Q$82,'New Hires Forecast'!$F$5:$F$82,"Marketing",'New Hires Forecast'!$H$5:$H$82,"&gt;="&amp;Marketing!BE$3,'New Hires Forecast'!$G$5:$G$82,"&lt;="&amp;Marketing!BE$3)/12)),IF(YEAR(BE$3)=YEAR('New Hires Forecast'!$R$3),((SUMIFS('New Hires Forecast'!$R$5:$R$82,'New Hires Forecast'!$F$5:$F$82,"Marketing",'New Hires Forecast'!$H$5:$H$82,"&gt;="&amp;Marketing!BE$3,'New Hires Forecast'!$G$5:$G$82,"&lt;="&amp;Marketing!BE$3)/12))))))),0)</f>
        <v>31384.958333333332</v>
      </c>
      <c r="BF13" s="668">
        <f>IF(BF$4="forecast",IF(YEAR(BF$3)=YEAR('New Hires Forecast'!$N$3),((SUMIFS('New Hires Forecast'!$N$5:$N$82,'New Hires Forecast'!$F$5:$F$82,"Marketing",'New Hires Forecast'!$H$5:$H$82,"&gt;="&amp;Marketing!BF$3,'New Hires Forecast'!$G$5:$G$82,"&lt;="&amp;Marketing!BF$3)/12)),IF(YEAR(BF$3)=YEAR('New Hires Forecast'!$O$3),((SUMIFS('New Hires Forecast'!$O$5:$O$82,'New Hires Forecast'!$F$5:$F$82,"Marketing",'New Hires Forecast'!$H$5:$H$82,"&gt;="&amp;Marketing!BF$3,'New Hires Forecast'!$G$5:$G$82,"&lt;="&amp;Marketing!BF$3)/12)),IF(YEAR(BF$3)=YEAR('New Hires Forecast'!$P$3),((SUMIFS('New Hires Forecast'!$P$5:$P$82,'New Hires Forecast'!$F$5:$F$82,"Marketing",'New Hires Forecast'!$H$5:$H$82,"&gt;="&amp;Marketing!BF$3,'New Hires Forecast'!$G$5:$G$82,"&lt;="&amp;Marketing!BF$3)/12)),IF(YEAR(BF$3)=YEAR('New Hires Forecast'!$Q$3),((SUMIFS('New Hires Forecast'!$Q$5:$Q$82,'New Hires Forecast'!$F$5:$F$82,"Marketing",'New Hires Forecast'!$H$5:$H$82,"&gt;="&amp;Marketing!BF$3,'New Hires Forecast'!$G$5:$G$82,"&lt;="&amp;Marketing!BF$3)/12)),IF(YEAR(BF$3)=YEAR('New Hires Forecast'!$R$3),((SUMIFS('New Hires Forecast'!$R$5:$R$82,'New Hires Forecast'!$F$5:$F$82,"Marketing",'New Hires Forecast'!$H$5:$H$82,"&gt;="&amp;Marketing!BF$3,'New Hires Forecast'!$G$5:$G$82,"&lt;="&amp;Marketing!BF$3)/12))))))),0)</f>
        <v>31384.958333333332</v>
      </c>
      <c r="BG13" s="668">
        <f>IF(BG$4="forecast",IF(YEAR(BG$3)=YEAR('New Hires Forecast'!$N$3),((SUMIFS('New Hires Forecast'!$N$5:$N$82,'New Hires Forecast'!$F$5:$F$82,"Marketing",'New Hires Forecast'!$H$5:$H$82,"&gt;="&amp;Marketing!BG$3,'New Hires Forecast'!$G$5:$G$82,"&lt;="&amp;Marketing!BG$3)/12)),IF(YEAR(BG$3)=YEAR('New Hires Forecast'!$O$3),((SUMIFS('New Hires Forecast'!$O$5:$O$82,'New Hires Forecast'!$F$5:$F$82,"Marketing",'New Hires Forecast'!$H$5:$H$82,"&gt;="&amp;Marketing!BG$3,'New Hires Forecast'!$G$5:$G$82,"&lt;="&amp;Marketing!BG$3)/12)),IF(YEAR(BG$3)=YEAR('New Hires Forecast'!$P$3),((SUMIFS('New Hires Forecast'!$P$5:$P$82,'New Hires Forecast'!$F$5:$F$82,"Marketing",'New Hires Forecast'!$H$5:$H$82,"&gt;="&amp;Marketing!BG$3,'New Hires Forecast'!$G$5:$G$82,"&lt;="&amp;Marketing!BG$3)/12)),IF(YEAR(BG$3)=YEAR('New Hires Forecast'!$Q$3),((SUMIFS('New Hires Forecast'!$Q$5:$Q$82,'New Hires Forecast'!$F$5:$F$82,"Marketing",'New Hires Forecast'!$H$5:$H$82,"&gt;="&amp;Marketing!BG$3,'New Hires Forecast'!$G$5:$G$82,"&lt;="&amp;Marketing!BG$3)/12)),IF(YEAR(BG$3)=YEAR('New Hires Forecast'!$R$3),((SUMIFS('New Hires Forecast'!$R$5:$R$82,'New Hires Forecast'!$F$5:$F$82,"Marketing",'New Hires Forecast'!$H$5:$H$82,"&gt;="&amp;Marketing!BG$3,'New Hires Forecast'!$G$5:$G$82,"&lt;="&amp;Marketing!BG$3)/12))))))),0)</f>
        <v>31384.958333333332</v>
      </c>
      <c r="BH13" s="668">
        <f>IF(BH$4="forecast",IF(YEAR(BH$3)=YEAR('New Hires Forecast'!$N$3),((SUMIFS('New Hires Forecast'!$N$5:$N$82,'New Hires Forecast'!$F$5:$F$82,"Marketing",'New Hires Forecast'!$H$5:$H$82,"&gt;="&amp;Marketing!BH$3,'New Hires Forecast'!$G$5:$G$82,"&lt;="&amp;Marketing!BH$3)/12)),IF(YEAR(BH$3)=YEAR('New Hires Forecast'!$O$3),((SUMIFS('New Hires Forecast'!$O$5:$O$82,'New Hires Forecast'!$F$5:$F$82,"Marketing",'New Hires Forecast'!$H$5:$H$82,"&gt;="&amp;Marketing!BH$3,'New Hires Forecast'!$G$5:$G$82,"&lt;="&amp;Marketing!BH$3)/12)),IF(YEAR(BH$3)=YEAR('New Hires Forecast'!$P$3),((SUMIFS('New Hires Forecast'!$P$5:$P$82,'New Hires Forecast'!$F$5:$F$82,"Marketing",'New Hires Forecast'!$H$5:$H$82,"&gt;="&amp;Marketing!BH$3,'New Hires Forecast'!$G$5:$G$82,"&lt;="&amp;Marketing!BH$3)/12)),IF(YEAR(BH$3)=YEAR('New Hires Forecast'!$Q$3),((SUMIFS('New Hires Forecast'!$Q$5:$Q$82,'New Hires Forecast'!$F$5:$F$82,"Marketing",'New Hires Forecast'!$H$5:$H$82,"&gt;="&amp;Marketing!BH$3,'New Hires Forecast'!$G$5:$G$82,"&lt;="&amp;Marketing!BH$3)/12)),IF(YEAR(BH$3)=YEAR('New Hires Forecast'!$R$3),((SUMIFS('New Hires Forecast'!$R$5:$R$82,'New Hires Forecast'!$F$5:$F$82,"Marketing",'New Hires Forecast'!$H$5:$H$82,"&gt;="&amp;Marketing!BH$3,'New Hires Forecast'!$G$5:$G$82,"&lt;="&amp;Marketing!BH$3)/12))))))),0)</f>
        <v>31384.958333333332</v>
      </c>
      <c r="BI13" s="668">
        <f>IF(BI$4="forecast",IF(YEAR(BI$3)=YEAR('New Hires Forecast'!$N$3),((SUMIFS('New Hires Forecast'!$N$5:$N$82,'New Hires Forecast'!$F$5:$F$82,"Marketing",'New Hires Forecast'!$H$5:$H$82,"&gt;="&amp;Marketing!BI$3,'New Hires Forecast'!$G$5:$G$82,"&lt;="&amp;Marketing!BI$3)/12)),IF(YEAR(BI$3)=YEAR('New Hires Forecast'!$O$3),((SUMIFS('New Hires Forecast'!$O$5:$O$82,'New Hires Forecast'!$F$5:$F$82,"Marketing",'New Hires Forecast'!$H$5:$H$82,"&gt;="&amp;Marketing!BI$3,'New Hires Forecast'!$G$5:$G$82,"&lt;="&amp;Marketing!BI$3)/12)),IF(YEAR(BI$3)=YEAR('New Hires Forecast'!$P$3),((SUMIFS('New Hires Forecast'!$P$5:$P$82,'New Hires Forecast'!$F$5:$F$82,"Marketing",'New Hires Forecast'!$H$5:$H$82,"&gt;="&amp;Marketing!BI$3,'New Hires Forecast'!$G$5:$G$82,"&lt;="&amp;Marketing!BI$3)/12)),IF(YEAR(BI$3)=YEAR('New Hires Forecast'!$Q$3),((SUMIFS('New Hires Forecast'!$Q$5:$Q$82,'New Hires Forecast'!$F$5:$F$82,"Marketing",'New Hires Forecast'!$H$5:$H$82,"&gt;="&amp;Marketing!BI$3,'New Hires Forecast'!$G$5:$G$82,"&lt;="&amp;Marketing!BI$3)/12)),IF(YEAR(BI$3)=YEAR('New Hires Forecast'!$R$3),((SUMIFS('New Hires Forecast'!$R$5:$R$82,'New Hires Forecast'!$F$5:$F$82,"Marketing",'New Hires Forecast'!$H$5:$H$82,"&gt;="&amp;Marketing!BI$3,'New Hires Forecast'!$G$5:$G$82,"&lt;="&amp;Marketing!BI$3)/12))))))),0)</f>
        <v>31384.958333333332</v>
      </c>
      <c r="BJ13" s="668">
        <f>IF(BJ$4="forecast",IF(YEAR(BJ$3)=YEAR('New Hires Forecast'!$N$3),((SUMIFS('New Hires Forecast'!$N$5:$N$82,'New Hires Forecast'!$F$5:$F$82,"Marketing",'New Hires Forecast'!$H$5:$H$82,"&gt;="&amp;Marketing!BJ$3,'New Hires Forecast'!$G$5:$G$82,"&lt;="&amp;Marketing!BJ$3)/12)),IF(YEAR(BJ$3)=YEAR('New Hires Forecast'!$O$3),((SUMIFS('New Hires Forecast'!$O$5:$O$82,'New Hires Forecast'!$F$5:$F$82,"Marketing",'New Hires Forecast'!$H$5:$H$82,"&gt;="&amp;Marketing!BJ$3,'New Hires Forecast'!$G$5:$G$82,"&lt;="&amp;Marketing!BJ$3)/12)),IF(YEAR(BJ$3)=YEAR('New Hires Forecast'!$P$3),((SUMIFS('New Hires Forecast'!$P$5:$P$82,'New Hires Forecast'!$F$5:$F$82,"Marketing",'New Hires Forecast'!$H$5:$H$82,"&gt;="&amp;Marketing!BJ$3,'New Hires Forecast'!$G$5:$G$82,"&lt;="&amp;Marketing!BJ$3)/12)),IF(YEAR(BJ$3)=YEAR('New Hires Forecast'!$Q$3),((SUMIFS('New Hires Forecast'!$Q$5:$Q$82,'New Hires Forecast'!$F$5:$F$82,"Marketing",'New Hires Forecast'!$H$5:$H$82,"&gt;="&amp;Marketing!BJ$3,'New Hires Forecast'!$G$5:$G$82,"&lt;="&amp;Marketing!BJ$3)/12)),IF(YEAR(BJ$3)=YEAR('New Hires Forecast'!$R$3),((SUMIFS('New Hires Forecast'!$R$5:$R$82,'New Hires Forecast'!$F$5:$F$82,"Marketing",'New Hires Forecast'!$H$5:$H$82,"&gt;="&amp;Marketing!BJ$3,'New Hires Forecast'!$G$5:$G$82,"&lt;="&amp;Marketing!BJ$3)/12))))))),0)</f>
        <v>31384.958333333332</v>
      </c>
      <c r="BK13" s="668">
        <f>IF(BK$4="forecast",IF(YEAR(BK$3)=YEAR('New Hires Forecast'!$N$3),((SUMIFS('New Hires Forecast'!$N$5:$N$82,'New Hires Forecast'!$F$5:$F$82,"Marketing",'New Hires Forecast'!$H$5:$H$82,"&gt;="&amp;Marketing!BK$3,'New Hires Forecast'!$G$5:$G$82,"&lt;="&amp;Marketing!BK$3)/12)),IF(YEAR(BK$3)=YEAR('New Hires Forecast'!$O$3),((SUMIFS('New Hires Forecast'!$O$5:$O$82,'New Hires Forecast'!$F$5:$F$82,"Marketing",'New Hires Forecast'!$H$5:$H$82,"&gt;="&amp;Marketing!BK$3,'New Hires Forecast'!$G$5:$G$82,"&lt;="&amp;Marketing!BK$3)/12)),IF(YEAR(BK$3)=YEAR('New Hires Forecast'!$P$3),((SUMIFS('New Hires Forecast'!$P$5:$P$82,'New Hires Forecast'!$F$5:$F$82,"Marketing",'New Hires Forecast'!$H$5:$H$82,"&gt;="&amp;Marketing!BK$3,'New Hires Forecast'!$G$5:$G$82,"&lt;="&amp;Marketing!BK$3)/12)),IF(YEAR(BK$3)=YEAR('New Hires Forecast'!$Q$3),((SUMIFS('New Hires Forecast'!$Q$5:$Q$82,'New Hires Forecast'!$F$5:$F$82,"Marketing",'New Hires Forecast'!$H$5:$H$82,"&gt;="&amp;Marketing!BK$3,'New Hires Forecast'!$G$5:$G$82,"&lt;="&amp;Marketing!BK$3)/12)),IF(YEAR(BK$3)=YEAR('New Hires Forecast'!$R$3),((SUMIFS('New Hires Forecast'!$R$5:$R$82,'New Hires Forecast'!$F$5:$F$82,"Marketing",'New Hires Forecast'!$H$5:$H$82,"&gt;="&amp;Marketing!BK$3,'New Hires Forecast'!$G$5:$G$82,"&lt;="&amp;Marketing!BK$3)/12))))))),0)</f>
        <v>32326.507083333334</v>
      </c>
      <c r="BL13" s="668">
        <f>IF(BL$4="forecast",IF(YEAR(BL$3)=YEAR('New Hires Forecast'!$N$3),((SUMIFS('New Hires Forecast'!$N$5:$N$82,'New Hires Forecast'!$F$5:$F$82,"Marketing",'New Hires Forecast'!$H$5:$H$82,"&gt;="&amp;Marketing!BL$3,'New Hires Forecast'!$G$5:$G$82,"&lt;="&amp;Marketing!BL$3)/12)),IF(YEAR(BL$3)=YEAR('New Hires Forecast'!$O$3),((SUMIFS('New Hires Forecast'!$O$5:$O$82,'New Hires Forecast'!$F$5:$F$82,"Marketing",'New Hires Forecast'!$H$5:$H$82,"&gt;="&amp;Marketing!BL$3,'New Hires Forecast'!$G$5:$G$82,"&lt;="&amp;Marketing!BL$3)/12)),IF(YEAR(BL$3)=YEAR('New Hires Forecast'!$P$3),((SUMIFS('New Hires Forecast'!$P$5:$P$82,'New Hires Forecast'!$F$5:$F$82,"Marketing",'New Hires Forecast'!$H$5:$H$82,"&gt;="&amp;Marketing!BL$3,'New Hires Forecast'!$G$5:$G$82,"&lt;="&amp;Marketing!BL$3)/12)),IF(YEAR(BL$3)=YEAR('New Hires Forecast'!$Q$3),((SUMIFS('New Hires Forecast'!$Q$5:$Q$82,'New Hires Forecast'!$F$5:$F$82,"Marketing",'New Hires Forecast'!$H$5:$H$82,"&gt;="&amp;Marketing!BL$3,'New Hires Forecast'!$G$5:$G$82,"&lt;="&amp;Marketing!BL$3)/12)),IF(YEAR(BL$3)=YEAR('New Hires Forecast'!$R$3),((SUMIFS('New Hires Forecast'!$R$5:$R$82,'New Hires Forecast'!$F$5:$F$82,"Marketing",'New Hires Forecast'!$H$5:$H$82,"&gt;="&amp;Marketing!BL$3,'New Hires Forecast'!$G$5:$G$82,"&lt;="&amp;Marketing!BL$3)/12))))))),0)</f>
        <v>32326.507083333334</v>
      </c>
      <c r="BM13" s="668">
        <f>IF(BM$4="forecast",IF(YEAR(BM$3)=YEAR('New Hires Forecast'!$N$3),((SUMIFS('New Hires Forecast'!$N$5:$N$82,'New Hires Forecast'!$F$5:$F$82,"Marketing",'New Hires Forecast'!$H$5:$H$82,"&gt;="&amp;Marketing!BM$3,'New Hires Forecast'!$G$5:$G$82,"&lt;="&amp;Marketing!BM$3)/12)),IF(YEAR(BM$3)=YEAR('New Hires Forecast'!$O$3),((SUMIFS('New Hires Forecast'!$O$5:$O$82,'New Hires Forecast'!$F$5:$F$82,"Marketing",'New Hires Forecast'!$H$5:$H$82,"&gt;="&amp;Marketing!BM$3,'New Hires Forecast'!$G$5:$G$82,"&lt;="&amp;Marketing!BM$3)/12)),IF(YEAR(BM$3)=YEAR('New Hires Forecast'!$P$3),((SUMIFS('New Hires Forecast'!$P$5:$P$82,'New Hires Forecast'!$F$5:$F$82,"Marketing",'New Hires Forecast'!$H$5:$H$82,"&gt;="&amp;Marketing!BM$3,'New Hires Forecast'!$G$5:$G$82,"&lt;="&amp;Marketing!BM$3)/12)),IF(YEAR(BM$3)=YEAR('New Hires Forecast'!$Q$3),((SUMIFS('New Hires Forecast'!$Q$5:$Q$82,'New Hires Forecast'!$F$5:$F$82,"Marketing",'New Hires Forecast'!$H$5:$H$82,"&gt;="&amp;Marketing!BM$3,'New Hires Forecast'!$G$5:$G$82,"&lt;="&amp;Marketing!BM$3)/12)),IF(YEAR(BM$3)=YEAR('New Hires Forecast'!$R$3),((SUMIFS('New Hires Forecast'!$R$5:$R$82,'New Hires Forecast'!$F$5:$F$82,"Marketing",'New Hires Forecast'!$H$5:$H$82,"&gt;="&amp;Marketing!BM$3,'New Hires Forecast'!$G$5:$G$82,"&lt;="&amp;Marketing!BM$3)/12))))))),0)</f>
        <v>32326.507083333334</v>
      </c>
      <c r="BN13" s="668">
        <f>IF(BN$4="forecast",IF(YEAR(BN$3)=YEAR('New Hires Forecast'!$N$3),((SUMIFS('New Hires Forecast'!$N$5:$N$82,'New Hires Forecast'!$F$5:$F$82,"Marketing",'New Hires Forecast'!$H$5:$H$82,"&gt;="&amp;Marketing!BN$3,'New Hires Forecast'!$G$5:$G$82,"&lt;="&amp;Marketing!BN$3)/12)),IF(YEAR(BN$3)=YEAR('New Hires Forecast'!$O$3),((SUMIFS('New Hires Forecast'!$O$5:$O$82,'New Hires Forecast'!$F$5:$F$82,"Marketing",'New Hires Forecast'!$H$5:$H$82,"&gt;="&amp;Marketing!BN$3,'New Hires Forecast'!$G$5:$G$82,"&lt;="&amp;Marketing!BN$3)/12)),IF(YEAR(BN$3)=YEAR('New Hires Forecast'!$P$3),((SUMIFS('New Hires Forecast'!$P$5:$P$82,'New Hires Forecast'!$F$5:$F$82,"Marketing",'New Hires Forecast'!$H$5:$H$82,"&gt;="&amp;Marketing!BN$3,'New Hires Forecast'!$G$5:$G$82,"&lt;="&amp;Marketing!BN$3)/12)),IF(YEAR(BN$3)=YEAR('New Hires Forecast'!$Q$3),((SUMIFS('New Hires Forecast'!$Q$5:$Q$82,'New Hires Forecast'!$F$5:$F$82,"Marketing",'New Hires Forecast'!$H$5:$H$82,"&gt;="&amp;Marketing!BN$3,'New Hires Forecast'!$G$5:$G$82,"&lt;="&amp;Marketing!BN$3)/12)),IF(YEAR(BN$3)=YEAR('New Hires Forecast'!$R$3),((SUMIFS('New Hires Forecast'!$R$5:$R$82,'New Hires Forecast'!$F$5:$F$82,"Marketing",'New Hires Forecast'!$H$5:$H$82,"&gt;="&amp;Marketing!BN$3,'New Hires Forecast'!$G$5:$G$82,"&lt;="&amp;Marketing!BN$3)/12))))))),0)</f>
        <v>32326.507083333334</v>
      </c>
      <c r="BO13" s="668">
        <f>IF(BO$4="forecast",IF(YEAR(BO$3)=YEAR('New Hires Forecast'!$N$3),((SUMIFS('New Hires Forecast'!$N$5:$N$82,'New Hires Forecast'!$F$5:$F$82,"Marketing",'New Hires Forecast'!$H$5:$H$82,"&gt;="&amp;Marketing!BO$3,'New Hires Forecast'!$G$5:$G$82,"&lt;="&amp;Marketing!BO$3)/12)),IF(YEAR(BO$3)=YEAR('New Hires Forecast'!$O$3),((SUMIFS('New Hires Forecast'!$O$5:$O$82,'New Hires Forecast'!$F$5:$F$82,"Marketing",'New Hires Forecast'!$H$5:$H$82,"&gt;="&amp;Marketing!BO$3,'New Hires Forecast'!$G$5:$G$82,"&lt;="&amp;Marketing!BO$3)/12)),IF(YEAR(BO$3)=YEAR('New Hires Forecast'!$P$3),((SUMIFS('New Hires Forecast'!$P$5:$P$82,'New Hires Forecast'!$F$5:$F$82,"Marketing",'New Hires Forecast'!$H$5:$H$82,"&gt;="&amp;Marketing!BO$3,'New Hires Forecast'!$G$5:$G$82,"&lt;="&amp;Marketing!BO$3)/12)),IF(YEAR(BO$3)=YEAR('New Hires Forecast'!$Q$3),((SUMIFS('New Hires Forecast'!$Q$5:$Q$82,'New Hires Forecast'!$F$5:$F$82,"Marketing",'New Hires Forecast'!$H$5:$H$82,"&gt;="&amp;Marketing!BO$3,'New Hires Forecast'!$G$5:$G$82,"&lt;="&amp;Marketing!BO$3)/12)),IF(YEAR(BO$3)=YEAR('New Hires Forecast'!$R$3),((SUMIFS('New Hires Forecast'!$R$5:$R$82,'New Hires Forecast'!$F$5:$F$82,"Marketing",'New Hires Forecast'!$H$5:$H$82,"&gt;="&amp;Marketing!BO$3,'New Hires Forecast'!$G$5:$G$82,"&lt;="&amp;Marketing!BO$3)/12))))))),0)</f>
        <v>32326.507083333334</v>
      </c>
      <c r="BP13" s="668">
        <f>IF(BP$4="forecast",IF(YEAR(BP$3)=YEAR('New Hires Forecast'!$N$3),((SUMIFS('New Hires Forecast'!$N$5:$N$82,'New Hires Forecast'!$F$5:$F$82,"Marketing",'New Hires Forecast'!$H$5:$H$82,"&gt;="&amp;Marketing!BP$3,'New Hires Forecast'!$G$5:$G$82,"&lt;="&amp;Marketing!BP$3)/12)),IF(YEAR(BP$3)=YEAR('New Hires Forecast'!$O$3),((SUMIFS('New Hires Forecast'!$O$5:$O$82,'New Hires Forecast'!$F$5:$F$82,"Marketing",'New Hires Forecast'!$H$5:$H$82,"&gt;="&amp;Marketing!BP$3,'New Hires Forecast'!$G$5:$G$82,"&lt;="&amp;Marketing!BP$3)/12)),IF(YEAR(BP$3)=YEAR('New Hires Forecast'!$P$3),((SUMIFS('New Hires Forecast'!$P$5:$P$82,'New Hires Forecast'!$F$5:$F$82,"Marketing",'New Hires Forecast'!$H$5:$H$82,"&gt;="&amp;Marketing!BP$3,'New Hires Forecast'!$G$5:$G$82,"&lt;="&amp;Marketing!BP$3)/12)),IF(YEAR(BP$3)=YEAR('New Hires Forecast'!$Q$3),((SUMIFS('New Hires Forecast'!$Q$5:$Q$82,'New Hires Forecast'!$F$5:$F$82,"Marketing",'New Hires Forecast'!$H$5:$H$82,"&gt;="&amp;Marketing!BP$3,'New Hires Forecast'!$G$5:$G$82,"&lt;="&amp;Marketing!BP$3)/12)),IF(YEAR(BP$3)=YEAR('New Hires Forecast'!$R$3),((SUMIFS('New Hires Forecast'!$R$5:$R$82,'New Hires Forecast'!$F$5:$F$82,"Marketing",'New Hires Forecast'!$H$5:$H$82,"&gt;="&amp;Marketing!BP$3,'New Hires Forecast'!$G$5:$G$82,"&lt;="&amp;Marketing!BP$3)/12))))))),0)</f>
        <v>32326.507083333334</v>
      </c>
      <c r="BQ13" s="668">
        <f>IF(BQ$4="forecast",IF(YEAR(BQ$3)=YEAR('New Hires Forecast'!$N$3),((SUMIFS('New Hires Forecast'!$N$5:$N$82,'New Hires Forecast'!$F$5:$F$82,"Marketing",'New Hires Forecast'!$H$5:$H$82,"&gt;="&amp;Marketing!BQ$3,'New Hires Forecast'!$G$5:$G$82,"&lt;="&amp;Marketing!BQ$3)/12)),IF(YEAR(BQ$3)=YEAR('New Hires Forecast'!$O$3),((SUMIFS('New Hires Forecast'!$O$5:$O$82,'New Hires Forecast'!$F$5:$F$82,"Marketing",'New Hires Forecast'!$H$5:$H$82,"&gt;="&amp;Marketing!BQ$3,'New Hires Forecast'!$G$5:$G$82,"&lt;="&amp;Marketing!BQ$3)/12)),IF(YEAR(BQ$3)=YEAR('New Hires Forecast'!$P$3),((SUMIFS('New Hires Forecast'!$P$5:$P$82,'New Hires Forecast'!$F$5:$F$82,"Marketing",'New Hires Forecast'!$H$5:$H$82,"&gt;="&amp;Marketing!BQ$3,'New Hires Forecast'!$G$5:$G$82,"&lt;="&amp;Marketing!BQ$3)/12)),IF(YEAR(BQ$3)=YEAR('New Hires Forecast'!$Q$3),((SUMIFS('New Hires Forecast'!$Q$5:$Q$82,'New Hires Forecast'!$F$5:$F$82,"Marketing",'New Hires Forecast'!$H$5:$H$82,"&gt;="&amp;Marketing!BQ$3,'New Hires Forecast'!$G$5:$G$82,"&lt;="&amp;Marketing!BQ$3)/12)),IF(YEAR(BQ$3)=YEAR('New Hires Forecast'!$R$3),((SUMIFS('New Hires Forecast'!$R$5:$R$82,'New Hires Forecast'!$F$5:$F$82,"Marketing",'New Hires Forecast'!$H$5:$H$82,"&gt;="&amp;Marketing!BQ$3,'New Hires Forecast'!$G$5:$G$82,"&lt;="&amp;Marketing!BQ$3)/12))))))),0)</f>
        <v>32326.507083333334</v>
      </c>
      <c r="BR13" s="668">
        <f>IF(BR$4="forecast",IF(YEAR(BR$3)=YEAR('New Hires Forecast'!$N$3),((SUMIFS('New Hires Forecast'!$N$5:$N$82,'New Hires Forecast'!$F$5:$F$82,"Marketing",'New Hires Forecast'!$H$5:$H$82,"&gt;="&amp;Marketing!BR$3,'New Hires Forecast'!$G$5:$G$82,"&lt;="&amp;Marketing!BR$3)/12)),IF(YEAR(BR$3)=YEAR('New Hires Forecast'!$O$3),((SUMIFS('New Hires Forecast'!$O$5:$O$82,'New Hires Forecast'!$F$5:$F$82,"Marketing",'New Hires Forecast'!$H$5:$H$82,"&gt;="&amp;Marketing!BR$3,'New Hires Forecast'!$G$5:$G$82,"&lt;="&amp;Marketing!BR$3)/12)),IF(YEAR(BR$3)=YEAR('New Hires Forecast'!$P$3),((SUMIFS('New Hires Forecast'!$P$5:$P$82,'New Hires Forecast'!$F$5:$F$82,"Marketing",'New Hires Forecast'!$H$5:$H$82,"&gt;="&amp;Marketing!BR$3,'New Hires Forecast'!$G$5:$G$82,"&lt;="&amp;Marketing!BR$3)/12)),IF(YEAR(BR$3)=YEAR('New Hires Forecast'!$Q$3),((SUMIFS('New Hires Forecast'!$Q$5:$Q$82,'New Hires Forecast'!$F$5:$F$82,"Marketing",'New Hires Forecast'!$H$5:$H$82,"&gt;="&amp;Marketing!BR$3,'New Hires Forecast'!$G$5:$G$82,"&lt;="&amp;Marketing!BR$3)/12)),IF(YEAR(BR$3)=YEAR('New Hires Forecast'!$R$3),((SUMIFS('New Hires Forecast'!$R$5:$R$82,'New Hires Forecast'!$F$5:$F$82,"Marketing",'New Hires Forecast'!$H$5:$H$82,"&gt;="&amp;Marketing!BR$3,'New Hires Forecast'!$G$5:$G$82,"&lt;="&amp;Marketing!BR$3)/12))))))),0)</f>
        <v>32326.507083333334</v>
      </c>
      <c r="BS13" s="668">
        <f>IF(BS$4="forecast",IF(YEAR(BS$3)=YEAR('New Hires Forecast'!$N$3),((SUMIFS('New Hires Forecast'!$N$5:$N$82,'New Hires Forecast'!$F$5:$F$82,"Marketing",'New Hires Forecast'!$H$5:$H$82,"&gt;="&amp;Marketing!BS$3,'New Hires Forecast'!$G$5:$G$82,"&lt;="&amp;Marketing!BS$3)/12)),IF(YEAR(BS$3)=YEAR('New Hires Forecast'!$O$3),((SUMIFS('New Hires Forecast'!$O$5:$O$82,'New Hires Forecast'!$F$5:$F$82,"Marketing",'New Hires Forecast'!$H$5:$H$82,"&gt;="&amp;Marketing!BS$3,'New Hires Forecast'!$G$5:$G$82,"&lt;="&amp;Marketing!BS$3)/12)),IF(YEAR(BS$3)=YEAR('New Hires Forecast'!$P$3),((SUMIFS('New Hires Forecast'!$P$5:$P$82,'New Hires Forecast'!$F$5:$F$82,"Marketing",'New Hires Forecast'!$H$5:$H$82,"&gt;="&amp;Marketing!BS$3,'New Hires Forecast'!$G$5:$G$82,"&lt;="&amp;Marketing!BS$3)/12)),IF(YEAR(BS$3)=YEAR('New Hires Forecast'!$Q$3),((SUMIFS('New Hires Forecast'!$Q$5:$Q$82,'New Hires Forecast'!$F$5:$F$82,"Marketing",'New Hires Forecast'!$H$5:$H$82,"&gt;="&amp;Marketing!BS$3,'New Hires Forecast'!$G$5:$G$82,"&lt;="&amp;Marketing!BS$3)/12)),IF(YEAR(BS$3)=YEAR('New Hires Forecast'!$R$3),((SUMIFS('New Hires Forecast'!$R$5:$R$82,'New Hires Forecast'!$F$5:$F$82,"Marketing",'New Hires Forecast'!$H$5:$H$82,"&gt;="&amp;Marketing!BS$3,'New Hires Forecast'!$G$5:$G$82,"&lt;="&amp;Marketing!BS$3)/12))))))),0)</f>
        <v>32326.507083333334</v>
      </c>
      <c r="BT13" s="668">
        <f>IF(BT$4="forecast",IF(YEAR(BT$3)=YEAR('New Hires Forecast'!$N$3),((SUMIFS('New Hires Forecast'!$N$5:$N$82,'New Hires Forecast'!$F$5:$F$82,"Marketing",'New Hires Forecast'!$H$5:$H$82,"&gt;="&amp;Marketing!BT$3,'New Hires Forecast'!$G$5:$G$82,"&lt;="&amp;Marketing!BT$3)/12)),IF(YEAR(BT$3)=YEAR('New Hires Forecast'!$O$3),((SUMIFS('New Hires Forecast'!$O$5:$O$82,'New Hires Forecast'!$F$5:$F$82,"Marketing",'New Hires Forecast'!$H$5:$H$82,"&gt;="&amp;Marketing!BT$3,'New Hires Forecast'!$G$5:$G$82,"&lt;="&amp;Marketing!BT$3)/12)),IF(YEAR(BT$3)=YEAR('New Hires Forecast'!$P$3),((SUMIFS('New Hires Forecast'!$P$5:$P$82,'New Hires Forecast'!$F$5:$F$82,"Marketing",'New Hires Forecast'!$H$5:$H$82,"&gt;="&amp;Marketing!BT$3,'New Hires Forecast'!$G$5:$G$82,"&lt;="&amp;Marketing!BT$3)/12)),IF(YEAR(BT$3)=YEAR('New Hires Forecast'!$Q$3),((SUMIFS('New Hires Forecast'!$Q$5:$Q$82,'New Hires Forecast'!$F$5:$F$82,"Marketing",'New Hires Forecast'!$H$5:$H$82,"&gt;="&amp;Marketing!BT$3,'New Hires Forecast'!$G$5:$G$82,"&lt;="&amp;Marketing!BT$3)/12)),IF(YEAR(BT$3)=YEAR('New Hires Forecast'!$R$3),((SUMIFS('New Hires Forecast'!$R$5:$R$82,'New Hires Forecast'!$F$5:$F$82,"Marketing",'New Hires Forecast'!$H$5:$H$82,"&gt;="&amp;Marketing!BT$3,'New Hires Forecast'!$G$5:$G$82,"&lt;="&amp;Marketing!BT$3)/12))))))),0)</f>
        <v>32326.507083333334</v>
      </c>
      <c r="BU13" s="668">
        <f>IF(BU$4="forecast",IF(YEAR(BU$3)=YEAR('New Hires Forecast'!$N$3),((SUMIFS('New Hires Forecast'!$N$5:$N$82,'New Hires Forecast'!$F$5:$F$82,"Marketing",'New Hires Forecast'!$H$5:$H$82,"&gt;="&amp;Marketing!BU$3,'New Hires Forecast'!$G$5:$G$82,"&lt;="&amp;Marketing!BU$3)/12)),IF(YEAR(BU$3)=YEAR('New Hires Forecast'!$O$3),((SUMIFS('New Hires Forecast'!$O$5:$O$82,'New Hires Forecast'!$F$5:$F$82,"Marketing",'New Hires Forecast'!$H$5:$H$82,"&gt;="&amp;Marketing!BU$3,'New Hires Forecast'!$G$5:$G$82,"&lt;="&amp;Marketing!BU$3)/12)),IF(YEAR(BU$3)=YEAR('New Hires Forecast'!$P$3),((SUMIFS('New Hires Forecast'!$P$5:$P$82,'New Hires Forecast'!$F$5:$F$82,"Marketing",'New Hires Forecast'!$H$5:$H$82,"&gt;="&amp;Marketing!BU$3,'New Hires Forecast'!$G$5:$G$82,"&lt;="&amp;Marketing!BU$3)/12)),IF(YEAR(BU$3)=YEAR('New Hires Forecast'!$Q$3),((SUMIFS('New Hires Forecast'!$Q$5:$Q$82,'New Hires Forecast'!$F$5:$F$82,"Marketing",'New Hires Forecast'!$H$5:$H$82,"&gt;="&amp;Marketing!BU$3,'New Hires Forecast'!$G$5:$G$82,"&lt;="&amp;Marketing!BU$3)/12)),IF(YEAR(BU$3)=YEAR('New Hires Forecast'!$R$3),((SUMIFS('New Hires Forecast'!$R$5:$R$82,'New Hires Forecast'!$F$5:$F$82,"Marketing",'New Hires Forecast'!$H$5:$H$82,"&gt;="&amp;Marketing!BU$3,'New Hires Forecast'!$G$5:$G$82,"&lt;="&amp;Marketing!BU$3)/12))))))),0)</f>
        <v>32326.507083333334</v>
      </c>
      <c r="BV13" s="790">
        <f>IF(BV$4="forecast",IF(YEAR(BV$3)=YEAR('New Hires Forecast'!$N$3),((SUMIFS('New Hires Forecast'!$N$5:$N$82,'New Hires Forecast'!$F$5:$F$82,"Marketing",'New Hires Forecast'!$H$5:$H$82,"&gt;="&amp;Marketing!BV$3,'New Hires Forecast'!$G$5:$G$82,"&lt;="&amp;Marketing!BV$3)/12)),IF(YEAR(BV$3)=YEAR('New Hires Forecast'!$O$3),((SUMIFS('New Hires Forecast'!$O$5:$O$82,'New Hires Forecast'!$F$5:$F$82,"Marketing",'New Hires Forecast'!$H$5:$H$82,"&gt;="&amp;Marketing!BV$3,'New Hires Forecast'!$G$5:$G$82,"&lt;="&amp;Marketing!BV$3)/12)),IF(YEAR(BV$3)=YEAR('New Hires Forecast'!$P$3),((SUMIFS('New Hires Forecast'!$P$5:$P$82,'New Hires Forecast'!$F$5:$F$82,"Marketing",'New Hires Forecast'!$H$5:$H$82,"&gt;="&amp;Marketing!BV$3,'New Hires Forecast'!$G$5:$G$82,"&lt;="&amp;Marketing!BV$3)/12)),IF(YEAR(BV$3)=YEAR('New Hires Forecast'!$Q$3),((SUMIFS('New Hires Forecast'!$Q$5:$Q$82,'New Hires Forecast'!$F$5:$F$82,"Marketing",'New Hires Forecast'!$H$5:$H$82,"&gt;="&amp;Marketing!BV$3,'New Hires Forecast'!$G$5:$G$82,"&lt;="&amp;Marketing!BV$3)/12)),IF(YEAR(BV$3)=YEAR('New Hires Forecast'!$R$3),((SUMIFS('New Hires Forecast'!$R$5:$R$82,'New Hires Forecast'!$F$5:$F$82,"Marketing",'New Hires Forecast'!$H$5:$H$82,"&gt;="&amp;Marketing!BV$3,'New Hires Forecast'!$G$5:$G$82,"&lt;="&amp;Marketing!BV$3)/12))))))),0)</f>
        <v>32326.507083333334</v>
      </c>
    </row>
    <row r="14" spans="2:74" x14ac:dyDescent="0.25">
      <c r="B14" s="791" t="s">
        <v>929</v>
      </c>
      <c r="C14" s="1139">
        <f t="shared" ref="C14:Y14" si="2">SUM(C12:C13)</f>
        <v>26313.599999999999</v>
      </c>
      <c r="D14" s="1139">
        <f t="shared" si="2"/>
        <v>24678.98</v>
      </c>
      <c r="E14" s="1139">
        <f t="shared" si="2"/>
        <v>27275.13</v>
      </c>
      <c r="F14" s="1139">
        <f t="shared" si="2"/>
        <v>28140.52</v>
      </c>
      <c r="G14" s="1139">
        <f t="shared" si="2"/>
        <v>30289.14</v>
      </c>
      <c r="H14" s="1139">
        <f t="shared" si="2"/>
        <v>30728.649999999998</v>
      </c>
      <c r="I14" s="1139">
        <f t="shared" si="2"/>
        <v>19839.739999999998</v>
      </c>
      <c r="J14" s="1139">
        <f t="shared" si="2"/>
        <v>25167.899999999998</v>
      </c>
      <c r="K14" s="1139">
        <f t="shared" si="2"/>
        <v>20132</v>
      </c>
      <c r="L14" s="1139">
        <f t="shared" si="2"/>
        <v>19993.580000000002</v>
      </c>
      <c r="M14" s="1139">
        <f t="shared" si="2"/>
        <v>27636.63</v>
      </c>
      <c r="N14" s="1139">
        <f t="shared" si="2"/>
        <v>29151.08</v>
      </c>
      <c r="O14" s="1139">
        <f t="shared" si="2"/>
        <v>12271.98</v>
      </c>
      <c r="P14" s="1139">
        <f t="shared" si="2"/>
        <v>11158.380000000001</v>
      </c>
      <c r="Q14" s="1139">
        <f t="shared" si="2"/>
        <v>16230.76</v>
      </c>
      <c r="R14" s="1139">
        <f t="shared" si="2"/>
        <v>7528.85</v>
      </c>
      <c r="S14" s="1139">
        <f t="shared" si="2"/>
        <v>17528.84</v>
      </c>
      <c r="T14" s="1139">
        <f t="shared" si="2"/>
        <v>18269.22</v>
      </c>
      <c r="U14" s="1139">
        <f t="shared" si="2"/>
        <v>20374.990000000002</v>
      </c>
      <c r="V14" s="1139">
        <f t="shared" si="2"/>
        <v>19097.64</v>
      </c>
      <c r="W14" s="1139">
        <f t="shared" si="2"/>
        <v>15461.7</v>
      </c>
      <c r="X14" s="1139">
        <f t="shared" si="2"/>
        <v>25133.53</v>
      </c>
      <c r="Y14" s="1139">
        <f t="shared" si="2"/>
        <v>23625</v>
      </c>
      <c r="Z14" s="1139">
        <f t="shared" ref="Z14" si="3">SUM(Z12:Z13)</f>
        <v>24750.01</v>
      </c>
      <c r="AA14" s="1139">
        <f t="shared" ref="AA14:AB14" si="4">SUM(AA12:AA13)</f>
        <v>33663.449999999997</v>
      </c>
      <c r="AB14" s="1139">
        <f t="shared" si="4"/>
        <v>53653.84</v>
      </c>
      <c r="AC14" s="1139">
        <f t="shared" ref="AC14:BV14" si="5">SUM(AC12:AC13)</f>
        <v>56336.53</v>
      </c>
      <c r="AD14" s="1139">
        <f t="shared" si="5"/>
        <v>68125.003333333341</v>
      </c>
      <c r="AE14" s="1139">
        <f t="shared" si="5"/>
        <v>68125.003333333341</v>
      </c>
      <c r="AF14" s="1139">
        <f t="shared" si="5"/>
        <v>91041.67</v>
      </c>
      <c r="AG14" s="1139">
        <f t="shared" si="5"/>
        <v>91041.67</v>
      </c>
      <c r="AH14" s="1139">
        <f t="shared" si="5"/>
        <v>91041.67</v>
      </c>
      <c r="AI14" s="1139">
        <f t="shared" si="5"/>
        <v>91041.67</v>
      </c>
      <c r="AJ14" s="1139">
        <f t="shared" si="5"/>
        <v>91041.67</v>
      </c>
      <c r="AK14" s="1139">
        <f t="shared" si="5"/>
        <v>91041.67</v>
      </c>
      <c r="AL14" s="1139">
        <f t="shared" si="5"/>
        <v>91041.67</v>
      </c>
      <c r="AM14" s="1139">
        <f t="shared" si="5"/>
        <v>91929.17</v>
      </c>
      <c r="AN14" s="1139">
        <f t="shared" si="5"/>
        <v>93772.920100000003</v>
      </c>
      <c r="AO14" s="1139">
        <f t="shared" si="5"/>
        <v>93772.920100000003</v>
      </c>
      <c r="AP14" s="1139">
        <f t="shared" si="5"/>
        <v>93772.920100000003</v>
      </c>
      <c r="AQ14" s="1139">
        <f t="shared" si="5"/>
        <v>93772.920100000003</v>
      </c>
      <c r="AR14" s="1139">
        <f t="shared" si="5"/>
        <v>93772.920100000003</v>
      </c>
      <c r="AS14" s="1139">
        <f t="shared" si="5"/>
        <v>93772.920100000003</v>
      </c>
      <c r="AT14" s="1139">
        <f t="shared" si="5"/>
        <v>93772.920100000003</v>
      </c>
      <c r="AU14" s="1139">
        <f t="shared" si="5"/>
        <v>93772.920100000003</v>
      </c>
      <c r="AV14" s="1139">
        <f t="shared" si="5"/>
        <v>93772.920100000003</v>
      </c>
      <c r="AW14" s="1139">
        <f t="shared" si="5"/>
        <v>93772.920100000003</v>
      </c>
      <c r="AX14" s="1139">
        <f t="shared" si="5"/>
        <v>93772.920100000003</v>
      </c>
      <c r="AY14" s="1139">
        <f t="shared" si="5"/>
        <v>94687.045100000003</v>
      </c>
      <c r="AZ14" s="1139">
        <f t="shared" si="5"/>
        <v>96586.107703000001</v>
      </c>
      <c r="BA14" s="1139">
        <f t="shared" si="5"/>
        <v>96586.107703000001</v>
      </c>
      <c r="BB14" s="1139">
        <f t="shared" si="5"/>
        <v>96586.107703000001</v>
      </c>
      <c r="BC14" s="1139">
        <f t="shared" si="5"/>
        <v>96586.107703000001</v>
      </c>
      <c r="BD14" s="1139">
        <f t="shared" si="5"/>
        <v>96586.107703000001</v>
      </c>
      <c r="BE14" s="1139">
        <f t="shared" si="5"/>
        <v>96586.107703000001</v>
      </c>
      <c r="BF14" s="1139">
        <f t="shared" si="5"/>
        <v>96586.107703000001</v>
      </c>
      <c r="BG14" s="1139">
        <f t="shared" si="5"/>
        <v>96586.107703000001</v>
      </c>
      <c r="BH14" s="1139">
        <f t="shared" si="5"/>
        <v>96586.107703000001</v>
      </c>
      <c r="BI14" s="1139">
        <f t="shared" si="5"/>
        <v>96586.107703000001</v>
      </c>
      <c r="BJ14" s="1139">
        <f t="shared" si="5"/>
        <v>96586.107703000001</v>
      </c>
      <c r="BK14" s="1139">
        <f t="shared" si="5"/>
        <v>97527.656453000003</v>
      </c>
      <c r="BL14" s="1139">
        <f t="shared" si="5"/>
        <v>99483.690934089987</v>
      </c>
      <c r="BM14" s="1139">
        <f t="shared" si="5"/>
        <v>99483.690934089987</v>
      </c>
      <c r="BN14" s="1139">
        <f t="shared" si="5"/>
        <v>99483.690934089987</v>
      </c>
      <c r="BO14" s="1139">
        <f t="shared" si="5"/>
        <v>99483.690934089987</v>
      </c>
      <c r="BP14" s="1139">
        <f t="shared" si="5"/>
        <v>99483.690934089987</v>
      </c>
      <c r="BQ14" s="1139">
        <f t="shared" si="5"/>
        <v>99483.690934089987</v>
      </c>
      <c r="BR14" s="1139">
        <f t="shared" si="5"/>
        <v>99483.690934089987</v>
      </c>
      <c r="BS14" s="1139">
        <f t="shared" si="5"/>
        <v>99483.690934089987</v>
      </c>
      <c r="BT14" s="1139">
        <f t="shared" si="5"/>
        <v>99483.690934089987</v>
      </c>
      <c r="BU14" s="1139">
        <f t="shared" si="5"/>
        <v>99483.690934089987</v>
      </c>
      <c r="BV14" s="789">
        <f t="shared" si="5"/>
        <v>99483.690934089987</v>
      </c>
    </row>
    <row r="15" spans="2:74" x14ac:dyDescent="0.25">
      <c r="B15" s="780" t="s">
        <v>931</v>
      </c>
      <c r="C15" s="668">
        <f>IF(C$4="forecast",IF(YEAR(C$3)=YEAR('New Hires Forecast'!$N$3),IF((C$5&lt;=12),(SUMPRODUCT(--('New Hires Forecast'!$F$5:$F$85="Marketing"),--('New Hires Forecast'!$H$5:$H$85&gt;=Marketing!C$3),'New Hires Forecast'!$N$5:$N$85,'New Hires Forecast'!$L$5:$L$85)/12),0),IF(YEAR(C$3)=YEAR('New Hires Forecast'!$O$3),IF((C$5&lt;=12),(SUMPRODUCT(--('New Hires Forecast'!$F$5:$F$85="Marketing"),--('New Hires Forecast'!$H$5:$H$85&gt;=Marketing!C$3),'New Hires Forecast'!$O$5:$O$85,'New Hires Forecast'!$L$5:$L$85)/12),0),IF(YEAR(C$3)=YEAR('New Hires Forecast'!$P$3),IF((C$5&lt;=12),(SUMPRODUCT(--('New Hires Forecast'!$F$5:$F$85="Marketing"),--('New Hires Forecast'!$H$5:$H$85&gt;=Marketing!C$3),'New Hires Forecast'!$P$5:$P$85,'New Hires Forecast'!$L$5:$L$85)/12),0),IF(YEAR(C$3)=YEAR('New Hires Forecast'!$Q$3),IF((C$5&lt;=12),(SUMPRODUCT(--('New Hires Forecast'!$F$5:$F$85="Marketing"),--('New Hires Forecast'!$H$5:$H$85&gt;=Marketing!C$3),'New Hires Forecast'!$Q$5:$Q$85,'New Hires Forecast'!$L$5:$L$85)/12),0),IF(YEAR(C$3)=YEAR('New Hires Forecast'!$R$3),IF((C$5&lt;=12),(SUMPRODUCT(--('New Hires Forecast'!$F$5:$F$85="Marketing"),--('New Hires Forecast'!$H$5:$H$85&gt;=Marketing!C$3),'New Hires Forecast'!$R$5:$R$85,'New Hires Forecast'!$L$5:$L$85)/12),0),"New Year"))))),0)</f>
        <v>0</v>
      </c>
      <c r="D15" s="668">
        <f>IF(D$4="forecast",IF(YEAR(D$3)=YEAR('New Hires Forecast'!$N$3),IF((D$5&lt;=12),(SUMPRODUCT(--('New Hires Forecast'!$F$5:$F$85="Marketing"),--('New Hires Forecast'!$H$5:$H$85&gt;=Marketing!D$3),'New Hires Forecast'!$N$5:$N$85,'New Hires Forecast'!$L$5:$L$85)/12),0),IF(YEAR(D$3)=YEAR('New Hires Forecast'!$O$3),IF((D$5&lt;=12),(SUMPRODUCT(--('New Hires Forecast'!$F$5:$F$85="Marketing"),--('New Hires Forecast'!$H$5:$H$85&gt;=Marketing!D$3),'New Hires Forecast'!$O$5:$O$85,'New Hires Forecast'!$L$5:$L$85)/12),0),IF(YEAR(D$3)=YEAR('New Hires Forecast'!$P$3),IF((D$5&lt;=12),(SUMPRODUCT(--('New Hires Forecast'!$F$5:$F$85="Marketing"),--('New Hires Forecast'!$H$5:$H$85&gt;=Marketing!D$3),'New Hires Forecast'!$P$5:$P$85,'New Hires Forecast'!$L$5:$L$85)/12),0),IF(YEAR(D$3)=YEAR('New Hires Forecast'!$Q$3),IF((D$5&lt;=12),(SUMPRODUCT(--('New Hires Forecast'!$F$5:$F$85="Marketing"),--('New Hires Forecast'!$H$5:$H$85&gt;=Marketing!D$3),'New Hires Forecast'!$Q$5:$Q$85,'New Hires Forecast'!$L$5:$L$85)/12),0),IF(YEAR(D$3)=YEAR('New Hires Forecast'!$R$3),IF((D$5&lt;=12),(SUMPRODUCT(--('New Hires Forecast'!$F$5:$F$85="Marketing"),--('New Hires Forecast'!$H$5:$H$85&gt;=Marketing!D$3),'New Hires Forecast'!$R$5:$R$85,'New Hires Forecast'!$L$5:$L$85)/12),0),"New Year"))))),0)</f>
        <v>0</v>
      </c>
      <c r="E15" s="668">
        <f>IF(E$4="forecast",IF(YEAR(E$3)=YEAR('New Hires Forecast'!$N$3),IF((E$5&lt;=12),(SUMPRODUCT(--('New Hires Forecast'!$F$5:$F$85="Marketing"),--('New Hires Forecast'!$H$5:$H$85&gt;=Marketing!E$3),'New Hires Forecast'!$N$5:$N$85,'New Hires Forecast'!$L$5:$L$85)/12),0),IF(YEAR(E$3)=YEAR('New Hires Forecast'!$O$3),IF((E$5&lt;=12),(SUMPRODUCT(--('New Hires Forecast'!$F$5:$F$85="Marketing"),--('New Hires Forecast'!$H$5:$H$85&gt;=Marketing!E$3),'New Hires Forecast'!$O$5:$O$85,'New Hires Forecast'!$L$5:$L$85)/12),0),IF(YEAR(E$3)=YEAR('New Hires Forecast'!$P$3),IF((E$5&lt;=12),(SUMPRODUCT(--('New Hires Forecast'!$F$5:$F$85="Marketing"),--('New Hires Forecast'!$H$5:$H$85&gt;=Marketing!E$3),'New Hires Forecast'!$P$5:$P$85,'New Hires Forecast'!$L$5:$L$85)/12),0),IF(YEAR(E$3)=YEAR('New Hires Forecast'!$Q$3),IF((E$5&lt;=12),(SUMPRODUCT(--('New Hires Forecast'!$F$5:$F$85="Marketing"),--('New Hires Forecast'!$H$5:$H$85&gt;=Marketing!E$3),'New Hires Forecast'!$Q$5:$Q$85,'New Hires Forecast'!$L$5:$L$85)/12),0),IF(YEAR(E$3)=YEAR('New Hires Forecast'!$R$3),IF((E$5&lt;=12),(SUMPRODUCT(--('New Hires Forecast'!$F$5:$F$85="Marketing"),--('New Hires Forecast'!$H$5:$H$85&gt;=Marketing!E$3),'New Hires Forecast'!$R$5:$R$85,'New Hires Forecast'!$L$5:$L$85)/12),0),"New Year"))))),0)</f>
        <v>0</v>
      </c>
      <c r="F15" s="668">
        <f>IF(F$4="forecast",IF(YEAR(F$3)=YEAR('New Hires Forecast'!$N$3),IF((F$5&lt;=12),(SUMPRODUCT(--('New Hires Forecast'!$F$5:$F$85="Marketing"),--('New Hires Forecast'!$H$5:$H$85&gt;=Marketing!F$3),'New Hires Forecast'!$N$5:$N$85,'New Hires Forecast'!$L$5:$L$85)/12),0),IF(YEAR(F$3)=YEAR('New Hires Forecast'!$O$3),IF((F$5&lt;=12),(SUMPRODUCT(--('New Hires Forecast'!$F$5:$F$85="Marketing"),--('New Hires Forecast'!$H$5:$H$85&gt;=Marketing!F$3),'New Hires Forecast'!$O$5:$O$85,'New Hires Forecast'!$L$5:$L$85)/12),0),IF(YEAR(F$3)=YEAR('New Hires Forecast'!$P$3),IF((F$5&lt;=12),(SUMPRODUCT(--('New Hires Forecast'!$F$5:$F$85="Marketing"),--('New Hires Forecast'!$H$5:$H$85&gt;=Marketing!F$3),'New Hires Forecast'!$P$5:$P$85,'New Hires Forecast'!$L$5:$L$85)/12),0),IF(YEAR(F$3)=YEAR('New Hires Forecast'!$Q$3),IF((F$5&lt;=12),(SUMPRODUCT(--('New Hires Forecast'!$F$5:$F$85="Marketing"),--('New Hires Forecast'!$H$5:$H$85&gt;=Marketing!F$3),'New Hires Forecast'!$Q$5:$Q$85,'New Hires Forecast'!$L$5:$L$85)/12),0),IF(YEAR(F$3)=YEAR('New Hires Forecast'!$R$3),IF((F$5&lt;=12),(SUMPRODUCT(--('New Hires Forecast'!$F$5:$F$85="Marketing"),--('New Hires Forecast'!$H$5:$H$85&gt;=Marketing!F$3),'New Hires Forecast'!$R$5:$R$85,'New Hires Forecast'!$L$5:$L$85)/12),0),"New Year"))))),0)</f>
        <v>0</v>
      </c>
      <c r="G15" s="668">
        <f>IF(G$4="forecast",IF(YEAR(G$3)=YEAR('New Hires Forecast'!$N$3),IF((G$5&lt;=12),(SUMPRODUCT(--('New Hires Forecast'!$F$5:$F$85="Marketing"),--('New Hires Forecast'!$H$5:$H$85&gt;=Marketing!G$3),'New Hires Forecast'!$N$5:$N$85,'New Hires Forecast'!$L$5:$L$85)/12),0),IF(YEAR(G$3)=YEAR('New Hires Forecast'!$O$3),IF((G$5&lt;=12),(SUMPRODUCT(--('New Hires Forecast'!$F$5:$F$85="Marketing"),--('New Hires Forecast'!$H$5:$H$85&gt;=Marketing!G$3),'New Hires Forecast'!$O$5:$O$85,'New Hires Forecast'!$L$5:$L$85)/12),0),IF(YEAR(G$3)=YEAR('New Hires Forecast'!$P$3),IF((G$5&lt;=12),(SUMPRODUCT(--('New Hires Forecast'!$F$5:$F$85="Marketing"),--('New Hires Forecast'!$H$5:$H$85&gt;=Marketing!G$3),'New Hires Forecast'!$P$5:$P$85,'New Hires Forecast'!$L$5:$L$85)/12),0),IF(YEAR(G$3)=YEAR('New Hires Forecast'!$Q$3),IF((G$5&lt;=12),(SUMPRODUCT(--('New Hires Forecast'!$F$5:$F$85="Marketing"),--('New Hires Forecast'!$H$5:$H$85&gt;=Marketing!G$3),'New Hires Forecast'!$Q$5:$Q$85,'New Hires Forecast'!$L$5:$L$85)/12),0),IF(YEAR(G$3)=YEAR('New Hires Forecast'!$R$3),IF((G$5&lt;=12),(SUMPRODUCT(--('New Hires Forecast'!$F$5:$F$85="Marketing"),--('New Hires Forecast'!$H$5:$H$85&gt;=Marketing!G$3),'New Hires Forecast'!$R$5:$R$85,'New Hires Forecast'!$L$5:$L$85)/12),0),"New Year"))))),0)</f>
        <v>0</v>
      </c>
      <c r="H15" s="668">
        <f>IF(H$4="forecast",IF(YEAR(H$3)=YEAR('New Hires Forecast'!$N$3),IF((H$5&lt;=12),(SUMPRODUCT(--('New Hires Forecast'!$F$5:$F$85="Marketing"),--('New Hires Forecast'!$H$5:$H$85&gt;=Marketing!H$3),'New Hires Forecast'!$N$5:$N$85,'New Hires Forecast'!$L$5:$L$85)/12),0),IF(YEAR(H$3)=YEAR('New Hires Forecast'!$O$3),IF((H$5&lt;=12),(SUMPRODUCT(--('New Hires Forecast'!$F$5:$F$85="Marketing"),--('New Hires Forecast'!$H$5:$H$85&gt;=Marketing!H$3),'New Hires Forecast'!$O$5:$O$85,'New Hires Forecast'!$L$5:$L$85)/12),0),IF(YEAR(H$3)=YEAR('New Hires Forecast'!$P$3),IF((H$5&lt;=12),(SUMPRODUCT(--('New Hires Forecast'!$F$5:$F$85="Marketing"),--('New Hires Forecast'!$H$5:$H$85&gt;=Marketing!H$3),'New Hires Forecast'!$P$5:$P$85,'New Hires Forecast'!$L$5:$L$85)/12),0),IF(YEAR(H$3)=YEAR('New Hires Forecast'!$Q$3),IF((H$5&lt;=12),(SUMPRODUCT(--('New Hires Forecast'!$F$5:$F$85="Marketing"),--('New Hires Forecast'!$H$5:$H$85&gt;=Marketing!H$3),'New Hires Forecast'!$Q$5:$Q$85,'New Hires Forecast'!$L$5:$L$85)/12),0),IF(YEAR(H$3)=YEAR('New Hires Forecast'!$R$3),IF((H$5&lt;=12),(SUMPRODUCT(--('New Hires Forecast'!$F$5:$F$85="Marketing"),--('New Hires Forecast'!$H$5:$H$85&gt;=Marketing!H$3),'New Hires Forecast'!$R$5:$R$85,'New Hires Forecast'!$L$5:$L$85)/12),0),"New Year"))))),0)</f>
        <v>0</v>
      </c>
      <c r="I15" s="668">
        <f>IF(I$4="forecast",IF(YEAR(I$3)=YEAR('New Hires Forecast'!$N$3),IF((I$5&lt;=12),(SUMPRODUCT(--('New Hires Forecast'!$F$5:$F$85="Marketing"),--('New Hires Forecast'!$H$5:$H$85&gt;=Marketing!I$3),'New Hires Forecast'!$N$5:$N$85,'New Hires Forecast'!$L$5:$L$85)/12),0),IF(YEAR(I$3)=YEAR('New Hires Forecast'!$O$3),IF((I$5&lt;=12),(SUMPRODUCT(--('New Hires Forecast'!$F$5:$F$85="Marketing"),--('New Hires Forecast'!$H$5:$H$85&gt;=Marketing!I$3),'New Hires Forecast'!$O$5:$O$85,'New Hires Forecast'!$L$5:$L$85)/12),0),IF(YEAR(I$3)=YEAR('New Hires Forecast'!$P$3),IF((I$5&lt;=12),(SUMPRODUCT(--('New Hires Forecast'!$F$5:$F$85="Marketing"),--('New Hires Forecast'!$H$5:$H$85&gt;=Marketing!I$3),'New Hires Forecast'!$P$5:$P$85,'New Hires Forecast'!$L$5:$L$85)/12),0),IF(YEAR(I$3)=YEAR('New Hires Forecast'!$Q$3),IF((I$5&lt;=12),(SUMPRODUCT(--('New Hires Forecast'!$F$5:$F$85="Marketing"),--('New Hires Forecast'!$H$5:$H$85&gt;=Marketing!I$3),'New Hires Forecast'!$Q$5:$Q$85,'New Hires Forecast'!$L$5:$L$85)/12),0),IF(YEAR(I$3)=YEAR('New Hires Forecast'!$R$3),IF((I$5&lt;=12),(SUMPRODUCT(--('New Hires Forecast'!$F$5:$F$85="Marketing"),--('New Hires Forecast'!$H$5:$H$85&gt;=Marketing!I$3),'New Hires Forecast'!$R$5:$R$85,'New Hires Forecast'!$L$5:$L$85)/12),0),"New Year"))))),0)</f>
        <v>0</v>
      </c>
      <c r="J15" s="668">
        <f>IF(J$4="forecast",IF(YEAR(J$3)=YEAR('New Hires Forecast'!$N$3),IF((J$5&lt;=12),(SUMPRODUCT(--('New Hires Forecast'!$F$5:$F$85="Marketing"),--('New Hires Forecast'!$H$5:$H$85&gt;=Marketing!J$3),'New Hires Forecast'!$N$5:$N$85,'New Hires Forecast'!$L$5:$L$85)/12),0),IF(YEAR(J$3)=YEAR('New Hires Forecast'!$O$3),IF((J$5&lt;=12),(SUMPRODUCT(--('New Hires Forecast'!$F$5:$F$85="Marketing"),--('New Hires Forecast'!$H$5:$H$85&gt;=Marketing!J$3),'New Hires Forecast'!$O$5:$O$85,'New Hires Forecast'!$L$5:$L$85)/12),0),IF(YEAR(J$3)=YEAR('New Hires Forecast'!$P$3),IF((J$5&lt;=12),(SUMPRODUCT(--('New Hires Forecast'!$F$5:$F$85="Marketing"),--('New Hires Forecast'!$H$5:$H$85&gt;=Marketing!J$3),'New Hires Forecast'!$P$5:$P$85,'New Hires Forecast'!$L$5:$L$85)/12),0),IF(YEAR(J$3)=YEAR('New Hires Forecast'!$Q$3),IF((J$5&lt;=12),(SUMPRODUCT(--('New Hires Forecast'!$F$5:$F$85="Marketing"),--('New Hires Forecast'!$H$5:$H$85&gt;=Marketing!J$3),'New Hires Forecast'!$Q$5:$Q$85,'New Hires Forecast'!$L$5:$L$85)/12),0),IF(YEAR(J$3)=YEAR('New Hires Forecast'!$R$3),IF((J$5&lt;=12),(SUMPRODUCT(--('New Hires Forecast'!$F$5:$F$85="Marketing"),--('New Hires Forecast'!$H$5:$H$85&gt;=Marketing!J$3),'New Hires Forecast'!$R$5:$R$85,'New Hires Forecast'!$L$5:$L$85)/12),0),"New Year"))))),0)</f>
        <v>0</v>
      </c>
      <c r="K15" s="668">
        <f>IF(K$4="forecast",IF(YEAR(K$3)=YEAR('New Hires Forecast'!$N$3),IF((K$5&lt;=12),(SUMPRODUCT(--('New Hires Forecast'!$F$5:$F$85="Marketing"),--('New Hires Forecast'!$H$5:$H$85&gt;=Marketing!K$3),'New Hires Forecast'!$N$5:$N$85,'New Hires Forecast'!$L$5:$L$85)/12),0),IF(YEAR(K$3)=YEAR('New Hires Forecast'!$O$3),IF((K$5&lt;=12),(SUMPRODUCT(--('New Hires Forecast'!$F$5:$F$85="Marketing"),--('New Hires Forecast'!$H$5:$H$85&gt;=Marketing!K$3),'New Hires Forecast'!$O$5:$O$85,'New Hires Forecast'!$L$5:$L$85)/12),0),IF(YEAR(K$3)=YEAR('New Hires Forecast'!$P$3),IF((K$5&lt;=12),(SUMPRODUCT(--('New Hires Forecast'!$F$5:$F$85="Marketing"),--('New Hires Forecast'!$H$5:$H$85&gt;=Marketing!K$3),'New Hires Forecast'!$P$5:$P$85,'New Hires Forecast'!$L$5:$L$85)/12),0),IF(YEAR(K$3)=YEAR('New Hires Forecast'!$Q$3),IF((K$5&lt;=12),(SUMPRODUCT(--('New Hires Forecast'!$F$5:$F$85="Marketing"),--('New Hires Forecast'!$H$5:$H$85&gt;=Marketing!K$3),'New Hires Forecast'!$Q$5:$Q$85,'New Hires Forecast'!$L$5:$L$85)/12),0),IF(YEAR(K$3)=YEAR('New Hires Forecast'!$R$3),IF((K$5&lt;=12),(SUMPRODUCT(--('New Hires Forecast'!$F$5:$F$85="Marketing"),--('New Hires Forecast'!$H$5:$H$85&gt;=Marketing!K$3),'New Hires Forecast'!$R$5:$R$85,'New Hires Forecast'!$L$5:$L$85)/12),0),"New Year"))))),0)</f>
        <v>0</v>
      </c>
      <c r="L15" s="668">
        <f>IF(L$4="forecast",IF(YEAR(L$3)=YEAR('New Hires Forecast'!$N$3),IF((L$5&lt;=12),(SUMPRODUCT(--('New Hires Forecast'!$F$5:$F$85="Marketing"),--('New Hires Forecast'!$H$5:$H$85&gt;=Marketing!L$3),'New Hires Forecast'!$N$5:$N$85,'New Hires Forecast'!$L$5:$L$85)/12),0),IF(YEAR(L$3)=YEAR('New Hires Forecast'!$O$3),IF((L$5&lt;=12),(SUMPRODUCT(--('New Hires Forecast'!$F$5:$F$85="Marketing"),--('New Hires Forecast'!$H$5:$H$85&gt;=Marketing!L$3),'New Hires Forecast'!$O$5:$O$85,'New Hires Forecast'!$L$5:$L$85)/12),0),IF(YEAR(L$3)=YEAR('New Hires Forecast'!$P$3),IF((L$5&lt;=12),(SUMPRODUCT(--('New Hires Forecast'!$F$5:$F$85="Marketing"),--('New Hires Forecast'!$H$5:$H$85&gt;=Marketing!L$3),'New Hires Forecast'!$P$5:$P$85,'New Hires Forecast'!$L$5:$L$85)/12),0),IF(YEAR(L$3)=YEAR('New Hires Forecast'!$Q$3),IF((L$5&lt;=12),(SUMPRODUCT(--('New Hires Forecast'!$F$5:$F$85="Marketing"),--('New Hires Forecast'!$H$5:$H$85&gt;=Marketing!L$3),'New Hires Forecast'!$Q$5:$Q$85,'New Hires Forecast'!$L$5:$L$85)/12),0),IF(YEAR(L$3)=YEAR('New Hires Forecast'!$R$3),IF((L$5&lt;=12),(SUMPRODUCT(--('New Hires Forecast'!$F$5:$F$85="Marketing"),--('New Hires Forecast'!$H$5:$H$85&gt;=Marketing!L$3),'New Hires Forecast'!$R$5:$R$85,'New Hires Forecast'!$L$5:$L$85)/12),0),"New Year"))))),0)</f>
        <v>0</v>
      </c>
      <c r="M15" s="668">
        <f>IF(M$4="forecast",IF(YEAR(M$3)=YEAR('New Hires Forecast'!$N$3),IF((M$5&lt;=12),(SUMPRODUCT(--('New Hires Forecast'!$F$5:$F$85="Marketing"),--('New Hires Forecast'!$H$5:$H$85&gt;=Marketing!M$3),'New Hires Forecast'!$N$5:$N$85,'New Hires Forecast'!$L$5:$L$85)/12),0),IF(YEAR(M$3)=YEAR('New Hires Forecast'!$O$3),IF((M$5&lt;=12),(SUMPRODUCT(--('New Hires Forecast'!$F$5:$F$85="Marketing"),--('New Hires Forecast'!$H$5:$H$85&gt;=Marketing!M$3),'New Hires Forecast'!$O$5:$O$85,'New Hires Forecast'!$L$5:$L$85)/12),0),IF(YEAR(M$3)=YEAR('New Hires Forecast'!$P$3),IF((M$5&lt;=12),(SUMPRODUCT(--('New Hires Forecast'!$F$5:$F$85="Marketing"),--('New Hires Forecast'!$H$5:$H$85&gt;=Marketing!M$3),'New Hires Forecast'!$P$5:$P$85,'New Hires Forecast'!$L$5:$L$85)/12),0),IF(YEAR(M$3)=YEAR('New Hires Forecast'!$Q$3),IF((M$5&lt;=12),(SUMPRODUCT(--('New Hires Forecast'!$F$5:$F$85="Marketing"),--('New Hires Forecast'!$H$5:$H$85&gt;=Marketing!M$3),'New Hires Forecast'!$Q$5:$Q$85,'New Hires Forecast'!$L$5:$L$85)/12),0),IF(YEAR(M$3)=YEAR('New Hires Forecast'!$R$3),IF((M$5&lt;=12),(SUMPRODUCT(--('New Hires Forecast'!$F$5:$F$85="Marketing"),--('New Hires Forecast'!$H$5:$H$85&gt;=Marketing!M$3),'New Hires Forecast'!$R$5:$R$85,'New Hires Forecast'!$L$5:$L$85)/12),0),"New Year"))))),0)</f>
        <v>0</v>
      </c>
      <c r="N15" s="668">
        <f>IF(N$4="forecast",IF(YEAR(N$3)=YEAR('New Hires Forecast'!$N$3),IF((N$5&lt;=12),(SUMPRODUCT(--('New Hires Forecast'!$F$5:$F$85="Marketing"),--('New Hires Forecast'!$H$5:$H$85&gt;=Marketing!N$3),'New Hires Forecast'!$N$5:$N$85,'New Hires Forecast'!$L$5:$L$85)/12),0),IF(YEAR(N$3)=YEAR('New Hires Forecast'!$O$3),IF((N$5&lt;=12),(SUMPRODUCT(--('New Hires Forecast'!$F$5:$F$85="Marketing"),--('New Hires Forecast'!$H$5:$H$85&gt;=Marketing!N$3),'New Hires Forecast'!$O$5:$O$85,'New Hires Forecast'!$L$5:$L$85)/12),0),IF(YEAR(N$3)=YEAR('New Hires Forecast'!$P$3),IF((N$5&lt;=12),(SUMPRODUCT(--('New Hires Forecast'!$F$5:$F$85="Marketing"),--('New Hires Forecast'!$H$5:$H$85&gt;=Marketing!N$3),'New Hires Forecast'!$P$5:$P$85,'New Hires Forecast'!$L$5:$L$85)/12),0),IF(YEAR(N$3)=YEAR('New Hires Forecast'!$Q$3),IF((N$5&lt;=12),(SUMPRODUCT(--('New Hires Forecast'!$F$5:$F$85="Marketing"),--('New Hires Forecast'!$H$5:$H$85&gt;=Marketing!N$3),'New Hires Forecast'!$Q$5:$Q$85,'New Hires Forecast'!$L$5:$L$85)/12),0),IF(YEAR(N$3)=YEAR('New Hires Forecast'!$R$3),IF((N$5&lt;=12),(SUMPRODUCT(--('New Hires Forecast'!$F$5:$F$85="Marketing"),--('New Hires Forecast'!$H$5:$H$85&gt;=Marketing!N$3),'New Hires Forecast'!$R$5:$R$85,'New Hires Forecast'!$L$5:$L$85)/12),0),"New Year"))))),0)</f>
        <v>0</v>
      </c>
      <c r="O15" s="668">
        <f>IF(O$4="forecast",IF(YEAR(O$3)=YEAR('New Hires Forecast'!$N$3),IF((O$5&lt;=12),(SUMPRODUCT(--('New Hires Forecast'!$F$5:$F$85="Marketing"),--('New Hires Forecast'!$H$5:$H$85&gt;=Marketing!O$3),'New Hires Forecast'!$N$5:$N$85,'New Hires Forecast'!$L$5:$L$85)/12),0),IF(YEAR(O$3)=YEAR('New Hires Forecast'!$O$3),IF((O$5&lt;=12),(SUMPRODUCT(--('New Hires Forecast'!$F$5:$F$85="Marketing"),--('New Hires Forecast'!$H$5:$H$85&gt;=Marketing!O$3),'New Hires Forecast'!$O$5:$O$85,'New Hires Forecast'!$L$5:$L$85)/12),0),IF(YEAR(O$3)=YEAR('New Hires Forecast'!$P$3),IF((O$5&lt;=12),(SUMPRODUCT(--('New Hires Forecast'!$F$5:$F$85="Marketing"),--('New Hires Forecast'!$H$5:$H$85&gt;=Marketing!O$3),'New Hires Forecast'!$P$5:$P$85,'New Hires Forecast'!$L$5:$L$85)/12),0),IF(YEAR(O$3)=YEAR('New Hires Forecast'!$Q$3),IF((O$5&lt;=12),(SUMPRODUCT(--('New Hires Forecast'!$F$5:$F$85="Marketing"),--('New Hires Forecast'!$H$5:$H$85&gt;=Marketing!O$3),'New Hires Forecast'!$Q$5:$Q$85,'New Hires Forecast'!$L$5:$L$85)/12),0),IF(YEAR(O$3)=YEAR('New Hires Forecast'!$R$3),IF((O$5&lt;=12),(SUMPRODUCT(--('New Hires Forecast'!$F$5:$F$85="Marketing"),--('New Hires Forecast'!$H$5:$H$85&gt;=Marketing!O$3),'New Hires Forecast'!$R$5:$R$85,'New Hires Forecast'!$L$5:$L$85)/12),0),"New Year"))))),0)</f>
        <v>0</v>
      </c>
      <c r="P15" s="668">
        <f>IF(P$4="forecast",IF(YEAR(P$3)=YEAR('New Hires Forecast'!$N$3),IF((P$5&lt;=12),(SUMPRODUCT(--('New Hires Forecast'!$F$5:$F$85="Marketing"),--('New Hires Forecast'!$H$5:$H$85&gt;=Marketing!P$3),'New Hires Forecast'!$N$5:$N$85,'New Hires Forecast'!$L$5:$L$85)/12),0),IF(YEAR(P$3)=YEAR('New Hires Forecast'!$O$3),IF((P$5&lt;=12),(SUMPRODUCT(--('New Hires Forecast'!$F$5:$F$85="Marketing"),--('New Hires Forecast'!$H$5:$H$85&gt;=Marketing!P$3),'New Hires Forecast'!$O$5:$O$85,'New Hires Forecast'!$L$5:$L$85)/12),0),IF(YEAR(P$3)=YEAR('New Hires Forecast'!$P$3),IF((P$5&lt;=12),(SUMPRODUCT(--('New Hires Forecast'!$F$5:$F$85="Marketing"),--('New Hires Forecast'!$H$5:$H$85&gt;=Marketing!P$3),'New Hires Forecast'!$P$5:$P$85,'New Hires Forecast'!$L$5:$L$85)/12),0),IF(YEAR(P$3)=YEAR('New Hires Forecast'!$Q$3),IF((P$5&lt;=12),(SUMPRODUCT(--('New Hires Forecast'!$F$5:$F$85="Marketing"),--('New Hires Forecast'!$H$5:$H$85&gt;=Marketing!P$3),'New Hires Forecast'!$Q$5:$Q$85,'New Hires Forecast'!$L$5:$L$85)/12),0),IF(YEAR(P$3)=YEAR('New Hires Forecast'!$R$3),IF((P$5&lt;=12),(SUMPRODUCT(--('New Hires Forecast'!$F$5:$F$85="Marketing"),--('New Hires Forecast'!$H$5:$H$85&gt;=Marketing!P$3),'New Hires Forecast'!$R$5:$R$85,'New Hires Forecast'!$L$5:$L$85)/12),0),"New Year"))))),0)</f>
        <v>0</v>
      </c>
      <c r="Q15" s="668">
        <f>IF(Q$4="forecast",IF(YEAR(Q$3)=YEAR('New Hires Forecast'!$N$3),IF((Q$5&lt;=12),(SUMPRODUCT(--('New Hires Forecast'!$F$5:$F$85="Marketing"),--('New Hires Forecast'!$H$5:$H$85&gt;=Marketing!Q$3),'New Hires Forecast'!$N$5:$N$85,'New Hires Forecast'!$L$5:$L$85)/12),0),IF(YEAR(Q$3)=YEAR('New Hires Forecast'!$O$3),IF((Q$5&lt;=12),(SUMPRODUCT(--('New Hires Forecast'!$F$5:$F$85="Marketing"),--('New Hires Forecast'!$H$5:$H$85&gt;=Marketing!Q$3),'New Hires Forecast'!$O$5:$O$85,'New Hires Forecast'!$L$5:$L$85)/12),0),IF(YEAR(Q$3)=YEAR('New Hires Forecast'!$P$3),IF((Q$5&lt;=12),(SUMPRODUCT(--('New Hires Forecast'!$F$5:$F$85="Marketing"),--('New Hires Forecast'!$H$5:$H$85&gt;=Marketing!Q$3),'New Hires Forecast'!$P$5:$P$85,'New Hires Forecast'!$L$5:$L$85)/12),0),IF(YEAR(Q$3)=YEAR('New Hires Forecast'!$Q$3),IF((Q$5&lt;=12),(SUMPRODUCT(--('New Hires Forecast'!$F$5:$F$85="Marketing"),--('New Hires Forecast'!$H$5:$H$85&gt;=Marketing!Q$3),'New Hires Forecast'!$Q$5:$Q$85,'New Hires Forecast'!$L$5:$L$85)/12),0),IF(YEAR(Q$3)=YEAR('New Hires Forecast'!$R$3),IF((Q$5&lt;=12),(SUMPRODUCT(--('New Hires Forecast'!$F$5:$F$85="Marketing"),--('New Hires Forecast'!$H$5:$H$85&gt;=Marketing!Q$3),'New Hires Forecast'!$R$5:$R$85,'New Hires Forecast'!$L$5:$L$85)/12),0),"New Year"))))),0)</f>
        <v>0</v>
      </c>
      <c r="R15" s="668">
        <f>IF(R$4="forecast",IF(YEAR(R$3)=YEAR('New Hires Forecast'!$N$3),IF((R$5&lt;=12),(SUMPRODUCT(--('New Hires Forecast'!$F$5:$F$85="Marketing"),--('New Hires Forecast'!$H$5:$H$85&gt;=Marketing!R$3),'New Hires Forecast'!$N$5:$N$85,'New Hires Forecast'!$L$5:$L$85)/12),0),IF(YEAR(R$3)=YEAR('New Hires Forecast'!$O$3),IF((R$5&lt;=12),(SUMPRODUCT(--('New Hires Forecast'!$F$5:$F$85="Marketing"),--('New Hires Forecast'!$H$5:$H$85&gt;=Marketing!R$3),'New Hires Forecast'!$O$5:$O$85,'New Hires Forecast'!$L$5:$L$85)/12),0),IF(YEAR(R$3)=YEAR('New Hires Forecast'!$P$3),IF((R$5&lt;=12),(SUMPRODUCT(--('New Hires Forecast'!$F$5:$F$85="Marketing"),--('New Hires Forecast'!$H$5:$H$85&gt;=Marketing!R$3),'New Hires Forecast'!$P$5:$P$85,'New Hires Forecast'!$L$5:$L$85)/12),0),IF(YEAR(R$3)=YEAR('New Hires Forecast'!$Q$3),IF((R$5&lt;=12),(SUMPRODUCT(--('New Hires Forecast'!$F$5:$F$85="Marketing"),--('New Hires Forecast'!$H$5:$H$85&gt;=Marketing!R$3),'New Hires Forecast'!$Q$5:$Q$85,'New Hires Forecast'!$L$5:$L$85)/12),0),IF(YEAR(R$3)=YEAR('New Hires Forecast'!$R$3),IF((R$5&lt;=12),(SUMPRODUCT(--('New Hires Forecast'!$F$5:$F$85="Marketing"),--('New Hires Forecast'!$H$5:$H$85&gt;=Marketing!R$3),'New Hires Forecast'!$R$5:$R$85,'New Hires Forecast'!$L$5:$L$85)/12),0),"New Year"))))),0)</f>
        <v>0</v>
      </c>
      <c r="S15" s="668">
        <f>IF(S$4="forecast",IF(YEAR(S$3)=YEAR('New Hires Forecast'!$N$3),IF((S$5&lt;=12),(SUMPRODUCT(--('New Hires Forecast'!$F$5:$F$85="Marketing"),--('New Hires Forecast'!$H$5:$H$85&gt;=Marketing!S$3),'New Hires Forecast'!$N$5:$N$85,'New Hires Forecast'!$L$5:$L$85)/12),0),IF(YEAR(S$3)=YEAR('New Hires Forecast'!$O$3),IF((S$5&lt;=12),(SUMPRODUCT(--('New Hires Forecast'!$F$5:$F$85="Marketing"),--('New Hires Forecast'!$H$5:$H$85&gt;=Marketing!S$3),'New Hires Forecast'!$O$5:$O$85,'New Hires Forecast'!$L$5:$L$85)/12),0),IF(YEAR(S$3)=YEAR('New Hires Forecast'!$P$3),IF((S$5&lt;=12),(SUMPRODUCT(--('New Hires Forecast'!$F$5:$F$85="Marketing"),--('New Hires Forecast'!$H$5:$H$85&gt;=Marketing!S$3),'New Hires Forecast'!$P$5:$P$85,'New Hires Forecast'!$L$5:$L$85)/12),0),IF(YEAR(S$3)=YEAR('New Hires Forecast'!$Q$3),IF((S$5&lt;=12),(SUMPRODUCT(--('New Hires Forecast'!$F$5:$F$85="Marketing"),--('New Hires Forecast'!$H$5:$H$85&gt;=Marketing!S$3),'New Hires Forecast'!$Q$5:$Q$85,'New Hires Forecast'!$L$5:$L$85)/12),0),IF(YEAR(S$3)=YEAR('New Hires Forecast'!$R$3),IF((S$5&lt;=12),(SUMPRODUCT(--('New Hires Forecast'!$F$5:$F$85="Marketing"),--('New Hires Forecast'!$H$5:$H$85&gt;=Marketing!S$3),'New Hires Forecast'!$R$5:$R$85,'New Hires Forecast'!$L$5:$L$85)/12),0),"New Year"))))),0)</f>
        <v>0</v>
      </c>
      <c r="T15" s="668">
        <f>IF(T$4="forecast",IF(YEAR(T$3)=YEAR('New Hires Forecast'!$N$3),IF((T$5&lt;=12),(SUMPRODUCT(--('New Hires Forecast'!$F$5:$F$85="Marketing"),--('New Hires Forecast'!$H$5:$H$85&gt;=Marketing!T$3),'New Hires Forecast'!$N$5:$N$85,'New Hires Forecast'!$L$5:$L$85)/12),0),IF(YEAR(T$3)=YEAR('New Hires Forecast'!$O$3),IF((T$5&lt;=12),(SUMPRODUCT(--('New Hires Forecast'!$F$5:$F$85="Marketing"),--('New Hires Forecast'!$H$5:$H$85&gt;=Marketing!T$3),'New Hires Forecast'!$O$5:$O$85,'New Hires Forecast'!$L$5:$L$85)/12),0),IF(YEAR(T$3)=YEAR('New Hires Forecast'!$P$3),IF((T$5&lt;=12),(SUMPRODUCT(--('New Hires Forecast'!$F$5:$F$85="Marketing"),--('New Hires Forecast'!$H$5:$H$85&gt;=Marketing!T$3),'New Hires Forecast'!$P$5:$P$85,'New Hires Forecast'!$L$5:$L$85)/12),0),IF(YEAR(T$3)=YEAR('New Hires Forecast'!$Q$3),IF((T$5&lt;=12),(SUMPRODUCT(--('New Hires Forecast'!$F$5:$F$85="Marketing"),--('New Hires Forecast'!$H$5:$H$85&gt;=Marketing!T$3),'New Hires Forecast'!$Q$5:$Q$85,'New Hires Forecast'!$L$5:$L$85)/12),0),IF(YEAR(T$3)=YEAR('New Hires Forecast'!$R$3),IF((T$5&lt;=12),(SUMPRODUCT(--('New Hires Forecast'!$F$5:$F$85="Marketing"),--('New Hires Forecast'!$H$5:$H$85&gt;=Marketing!T$3),'New Hires Forecast'!$R$5:$R$85,'New Hires Forecast'!$L$5:$L$85)/12),0),"New Year"))))),0)</f>
        <v>0</v>
      </c>
      <c r="U15" s="668">
        <f>IF(U$4="forecast",IF(YEAR(U$3)=YEAR('New Hires Forecast'!$N$3),IF((U$5&lt;=12),(SUMPRODUCT(--('New Hires Forecast'!$F$5:$F$85="Marketing"),--('New Hires Forecast'!$H$5:$H$85&gt;=Marketing!U$3),'New Hires Forecast'!$N$5:$N$85,'New Hires Forecast'!$L$5:$L$85)/12),0),IF(YEAR(U$3)=YEAR('New Hires Forecast'!$O$3),IF((U$5&lt;=12),(SUMPRODUCT(--('New Hires Forecast'!$F$5:$F$85="Marketing"),--('New Hires Forecast'!$H$5:$H$85&gt;=Marketing!U$3),'New Hires Forecast'!$O$5:$O$85,'New Hires Forecast'!$L$5:$L$85)/12),0),IF(YEAR(U$3)=YEAR('New Hires Forecast'!$P$3),IF((U$5&lt;=12),(SUMPRODUCT(--('New Hires Forecast'!$F$5:$F$85="Marketing"),--('New Hires Forecast'!$H$5:$H$85&gt;=Marketing!U$3),'New Hires Forecast'!$P$5:$P$85,'New Hires Forecast'!$L$5:$L$85)/12),0),IF(YEAR(U$3)=YEAR('New Hires Forecast'!$Q$3),IF((U$5&lt;=12),(SUMPRODUCT(--('New Hires Forecast'!$F$5:$F$85="Marketing"),--('New Hires Forecast'!$H$5:$H$85&gt;=Marketing!U$3),'New Hires Forecast'!$Q$5:$Q$85,'New Hires Forecast'!$L$5:$L$85)/12),0),IF(YEAR(U$3)=YEAR('New Hires Forecast'!$R$3),IF((U$5&lt;=12),(SUMPRODUCT(--('New Hires Forecast'!$F$5:$F$85="Marketing"),--('New Hires Forecast'!$H$5:$H$85&gt;=Marketing!U$3),'New Hires Forecast'!$R$5:$R$85,'New Hires Forecast'!$L$5:$L$85)/12),0),"New Year"))))),0)</f>
        <v>0</v>
      </c>
      <c r="V15" s="668">
        <f>IF(V$4="forecast",IF(YEAR(V$3)=YEAR('New Hires Forecast'!$N$3),IF((V$5&lt;=12),(SUMPRODUCT(--('New Hires Forecast'!$F$5:$F$85="Marketing"),--('New Hires Forecast'!$H$5:$H$85&gt;=Marketing!V$3),'New Hires Forecast'!$N$5:$N$85,'New Hires Forecast'!$L$5:$L$85)/12),0),IF(YEAR(V$3)=YEAR('New Hires Forecast'!$O$3),IF((V$5&lt;=12),(SUMPRODUCT(--('New Hires Forecast'!$F$5:$F$85="Marketing"),--('New Hires Forecast'!$H$5:$H$85&gt;=Marketing!V$3),'New Hires Forecast'!$O$5:$O$85,'New Hires Forecast'!$L$5:$L$85)/12),0),IF(YEAR(V$3)=YEAR('New Hires Forecast'!$P$3),IF((V$5&lt;=12),(SUMPRODUCT(--('New Hires Forecast'!$F$5:$F$85="Marketing"),--('New Hires Forecast'!$H$5:$H$85&gt;=Marketing!V$3),'New Hires Forecast'!$P$5:$P$85,'New Hires Forecast'!$L$5:$L$85)/12),0),IF(YEAR(V$3)=YEAR('New Hires Forecast'!$Q$3),IF((V$5&lt;=12),(SUMPRODUCT(--('New Hires Forecast'!$F$5:$F$85="Marketing"),--('New Hires Forecast'!$H$5:$H$85&gt;=Marketing!V$3),'New Hires Forecast'!$Q$5:$Q$85,'New Hires Forecast'!$L$5:$L$85)/12),0),IF(YEAR(V$3)=YEAR('New Hires Forecast'!$R$3),IF((V$5&lt;=12),(SUMPRODUCT(--('New Hires Forecast'!$F$5:$F$85="Marketing"),--('New Hires Forecast'!$H$5:$H$85&gt;=Marketing!V$3),'New Hires Forecast'!$R$5:$R$85,'New Hires Forecast'!$L$5:$L$85)/12),0),"New Year"))))),0)</f>
        <v>0</v>
      </c>
      <c r="W15" s="668">
        <f>IF(W$4="forecast",IF(YEAR(W$3)=YEAR('New Hires Forecast'!$N$3),IF((W$5&lt;=12),(SUMPRODUCT(--('New Hires Forecast'!$F$5:$F$85="Marketing"),--('New Hires Forecast'!$H$5:$H$85&gt;=Marketing!W$3),'New Hires Forecast'!$N$5:$N$85,'New Hires Forecast'!$L$5:$L$85)/12),0),IF(YEAR(W$3)=YEAR('New Hires Forecast'!$O$3),IF((W$5&lt;=12),(SUMPRODUCT(--('New Hires Forecast'!$F$5:$F$85="Marketing"),--('New Hires Forecast'!$H$5:$H$85&gt;=Marketing!W$3),'New Hires Forecast'!$O$5:$O$85,'New Hires Forecast'!$L$5:$L$85)/12),0),IF(YEAR(W$3)=YEAR('New Hires Forecast'!$P$3),IF((W$5&lt;=12),(SUMPRODUCT(--('New Hires Forecast'!$F$5:$F$85="Marketing"),--('New Hires Forecast'!$H$5:$H$85&gt;=Marketing!W$3),'New Hires Forecast'!$P$5:$P$85,'New Hires Forecast'!$L$5:$L$85)/12),0),IF(YEAR(W$3)=YEAR('New Hires Forecast'!$Q$3),IF((W$5&lt;=12),(SUMPRODUCT(--('New Hires Forecast'!$F$5:$F$85="Marketing"),--('New Hires Forecast'!$H$5:$H$85&gt;=Marketing!W$3),'New Hires Forecast'!$Q$5:$Q$85,'New Hires Forecast'!$L$5:$L$85)/12),0),IF(YEAR(W$3)=YEAR('New Hires Forecast'!$R$3),IF((W$5&lt;=12),(SUMPRODUCT(--('New Hires Forecast'!$F$5:$F$85="Marketing"),--('New Hires Forecast'!$H$5:$H$85&gt;=Marketing!W$3),'New Hires Forecast'!$R$5:$R$85,'New Hires Forecast'!$L$5:$L$85)/12),0),"New Year"))))),0)</f>
        <v>0</v>
      </c>
      <c r="X15" s="668">
        <f>IF(X$4="forecast",IF(YEAR(X$3)=YEAR('New Hires Forecast'!$N$3),IF((X$5&lt;=12),(SUMPRODUCT(--('New Hires Forecast'!$F$5:$F$85="Marketing"),--('New Hires Forecast'!$H$5:$H$85&gt;=Marketing!X$3),'New Hires Forecast'!$N$5:$N$85,'New Hires Forecast'!$L$5:$L$85)/12),0),IF(YEAR(X$3)=YEAR('New Hires Forecast'!$O$3),IF((X$5&lt;=12),(SUMPRODUCT(--('New Hires Forecast'!$F$5:$F$85="Marketing"),--('New Hires Forecast'!$H$5:$H$85&gt;=Marketing!X$3),'New Hires Forecast'!$O$5:$O$85,'New Hires Forecast'!$L$5:$L$85)/12),0),IF(YEAR(X$3)=YEAR('New Hires Forecast'!$P$3),IF((X$5&lt;=12),(SUMPRODUCT(--('New Hires Forecast'!$F$5:$F$85="Marketing"),--('New Hires Forecast'!$H$5:$H$85&gt;=Marketing!X$3),'New Hires Forecast'!$P$5:$P$85,'New Hires Forecast'!$L$5:$L$85)/12),0),IF(YEAR(X$3)=YEAR('New Hires Forecast'!$Q$3),IF((X$5&lt;=12),(SUMPRODUCT(--('New Hires Forecast'!$F$5:$F$85="Marketing"),--('New Hires Forecast'!$H$5:$H$85&gt;=Marketing!X$3),'New Hires Forecast'!$Q$5:$Q$85,'New Hires Forecast'!$L$5:$L$85)/12),0),IF(YEAR(X$3)=YEAR('New Hires Forecast'!$R$3),IF((X$5&lt;=12),(SUMPRODUCT(--('New Hires Forecast'!$F$5:$F$85="Marketing"),--('New Hires Forecast'!$H$5:$H$85&gt;=Marketing!X$3),'New Hires Forecast'!$R$5:$R$85,'New Hires Forecast'!$L$5:$L$85)/12),0),"New Year"))))),0)</f>
        <v>0</v>
      </c>
      <c r="Y15" s="668">
        <f>IF(Y$4="forecast",IF(YEAR(Y$3)=YEAR('New Hires Forecast'!$N$3),IF((Y$5&lt;=12),(SUMPRODUCT(--('New Hires Forecast'!$F$5:$F$85="Marketing"),--('New Hires Forecast'!$H$5:$H$85&gt;=Marketing!Y$3),'New Hires Forecast'!$N$5:$N$85,'New Hires Forecast'!$L$5:$L$85)/12),0),IF(YEAR(Y$3)=YEAR('New Hires Forecast'!$O$3),IF((Y$5&lt;=12),(SUMPRODUCT(--('New Hires Forecast'!$F$5:$F$85="Marketing"),--('New Hires Forecast'!$H$5:$H$85&gt;=Marketing!Y$3),'New Hires Forecast'!$O$5:$O$85,'New Hires Forecast'!$L$5:$L$85)/12),0),IF(YEAR(Y$3)=YEAR('New Hires Forecast'!$P$3),IF((Y$5&lt;=12),(SUMPRODUCT(--('New Hires Forecast'!$F$5:$F$85="Marketing"),--('New Hires Forecast'!$H$5:$H$85&gt;=Marketing!Y$3),'New Hires Forecast'!$P$5:$P$85,'New Hires Forecast'!$L$5:$L$85)/12),0),IF(YEAR(Y$3)=YEAR('New Hires Forecast'!$Q$3),IF((Y$5&lt;=12),(SUMPRODUCT(--('New Hires Forecast'!$F$5:$F$85="Marketing"),--('New Hires Forecast'!$H$5:$H$85&gt;=Marketing!Y$3),'New Hires Forecast'!$Q$5:$Q$85,'New Hires Forecast'!$L$5:$L$85)/12),0),IF(YEAR(Y$3)=YEAR('New Hires Forecast'!$R$3),IF((Y$5&lt;=12),(SUMPRODUCT(--('New Hires Forecast'!$F$5:$F$85="Marketing"),--('New Hires Forecast'!$H$5:$H$85&gt;=Marketing!Y$3),'New Hires Forecast'!$R$5:$R$85,'New Hires Forecast'!$L$5:$L$85)/12),0),"New Year"))))),0)</f>
        <v>0</v>
      </c>
      <c r="Z15" s="668">
        <f>IF(Z$4="forecast",IF(YEAR(Z$3)=YEAR('New Hires Forecast'!$N$3),IF((Z$5&lt;=12),(SUMPRODUCT(--('New Hires Forecast'!$F$5:$F$85="Marketing"),--('New Hires Forecast'!$H$5:$H$85&gt;=Marketing!Z$3),'New Hires Forecast'!$N$5:$N$85,'New Hires Forecast'!$L$5:$L$85)/12),0),IF(YEAR(Z$3)=YEAR('New Hires Forecast'!$O$3),IF((Z$5&lt;=12),(SUMPRODUCT(--('New Hires Forecast'!$F$5:$F$85="Marketing"),--('New Hires Forecast'!$H$5:$H$85&gt;=Marketing!Z$3),'New Hires Forecast'!$O$5:$O$85,'New Hires Forecast'!$L$5:$L$85)/12),0),IF(YEAR(Z$3)=YEAR('New Hires Forecast'!$P$3),IF((Z$5&lt;=12),(SUMPRODUCT(--('New Hires Forecast'!$F$5:$F$85="Marketing"),--('New Hires Forecast'!$H$5:$H$85&gt;=Marketing!Z$3),'New Hires Forecast'!$P$5:$P$85,'New Hires Forecast'!$L$5:$L$85)/12),0),IF(YEAR(Z$3)=YEAR('New Hires Forecast'!$Q$3),IF((Z$5&lt;=12),(SUMPRODUCT(--('New Hires Forecast'!$F$5:$F$85="Marketing"),--('New Hires Forecast'!$H$5:$H$85&gt;=Marketing!Z$3),'New Hires Forecast'!$Q$5:$Q$85,'New Hires Forecast'!$L$5:$L$85)/12),0),IF(YEAR(Z$3)=YEAR('New Hires Forecast'!$R$3),IF((Z$5&lt;=12),(SUMPRODUCT(--('New Hires Forecast'!$F$5:$F$85="Marketing"),--('New Hires Forecast'!$H$5:$H$85&gt;=Marketing!Z$3),'New Hires Forecast'!$R$5:$R$85,'New Hires Forecast'!$L$5:$L$85)/12),0),"New Year"))))),0)</f>
        <v>0</v>
      </c>
      <c r="AA15" s="668">
        <f>IF(AA$4="forecast",IF(YEAR(AA$3)=YEAR('New Hires Forecast'!$N$3),IF((AA$5&lt;=12),(SUMPRODUCT(--('New Hires Forecast'!$F$5:$F$85="Marketing"),--('New Hires Forecast'!$H$5:$H$85&gt;=Marketing!AA$3),'New Hires Forecast'!$N$5:$N$85,'New Hires Forecast'!$L$5:$L$85)/12),0),IF(YEAR(AA$3)=YEAR('New Hires Forecast'!$O$3),IF((AA$5&lt;=12),(SUMPRODUCT(--('New Hires Forecast'!$F$5:$F$85="Marketing"),--('New Hires Forecast'!$H$5:$H$85&gt;=Marketing!AA$3),'New Hires Forecast'!$O$5:$O$85,'New Hires Forecast'!$L$5:$L$85)/12),0),IF(YEAR(AA$3)=YEAR('New Hires Forecast'!$P$3),IF((AA$5&lt;=12),(SUMPRODUCT(--('New Hires Forecast'!$F$5:$F$85="Marketing"),--('New Hires Forecast'!$H$5:$H$85&gt;=Marketing!AA$3),'New Hires Forecast'!$P$5:$P$85,'New Hires Forecast'!$L$5:$L$85)/12),0),IF(YEAR(AA$3)=YEAR('New Hires Forecast'!$Q$3),IF((AA$5&lt;=12),(SUMPRODUCT(--('New Hires Forecast'!$F$5:$F$85="Marketing"),--('New Hires Forecast'!$H$5:$H$85&gt;=Marketing!AA$3),'New Hires Forecast'!$Q$5:$Q$85,'New Hires Forecast'!$L$5:$L$85)/12),0),IF(YEAR(AA$3)=YEAR('New Hires Forecast'!$R$3),IF((AA$5&lt;=12),(SUMPRODUCT(--('New Hires Forecast'!$F$5:$F$85="Marketing"),--('New Hires Forecast'!$H$5:$H$85&gt;=Marketing!AA$3),'New Hires Forecast'!$R$5:$R$85,'New Hires Forecast'!$L$5:$L$85)/12),0),"New Year"))))),0)</f>
        <v>0</v>
      </c>
      <c r="AB15" s="668">
        <f>IF(AB$4="forecast",IF(YEAR(AB$3)=YEAR('New Hires Forecast'!$N$3),IF((AB$5&lt;=12),(SUMPRODUCT(--('New Hires Forecast'!$F$5:$F$85="Marketing"),--('New Hires Forecast'!$H$5:$H$85&gt;=Marketing!AB$3),'New Hires Forecast'!$N$5:$N$85,'New Hires Forecast'!$L$5:$L$85)/12),0),IF(YEAR(AB$3)=YEAR('New Hires Forecast'!$O$3),IF((AB$5&lt;=12),(SUMPRODUCT(--('New Hires Forecast'!$F$5:$F$85="Marketing"),--('New Hires Forecast'!$H$5:$H$85&gt;=Marketing!AB$3),'New Hires Forecast'!$O$5:$O$85,'New Hires Forecast'!$L$5:$L$85)/12),0),IF(YEAR(AB$3)=YEAR('New Hires Forecast'!$P$3),IF((AB$5&lt;=12),(SUMPRODUCT(--('New Hires Forecast'!$F$5:$F$85="Marketing"),--('New Hires Forecast'!$H$5:$H$85&gt;=Marketing!AB$3),'New Hires Forecast'!$P$5:$P$85,'New Hires Forecast'!$L$5:$L$85)/12),0),IF(YEAR(AB$3)=YEAR('New Hires Forecast'!$Q$3),IF((AB$5&lt;=12),(SUMPRODUCT(--('New Hires Forecast'!$F$5:$F$85="Marketing"),--('New Hires Forecast'!$H$5:$H$85&gt;=Marketing!AB$3),'New Hires Forecast'!$Q$5:$Q$85,'New Hires Forecast'!$L$5:$L$85)/12),0),IF(YEAR(AB$3)=YEAR('New Hires Forecast'!$R$3),IF((AB$5&lt;=12),(SUMPRODUCT(--('New Hires Forecast'!$F$5:$F$85="Marketing"),--('New Hires Forecast'!$H$5:$H$85&gt;=Marketing!AB$3),'New Hires Forecast'!$R$5:$R$85,'New Hires Forecast'!$L$5:$L$85)/12),0),"New Year"))))),0)</f>
        <v>0</v>
      </c>
      <c r="AC15" s="668">
        <f>IF(AC$4="forecast",IF(YEAR(AC$3)=YEAR('New Hires Forecast'!$N$3),IF((AC$5&lt;=12),(SUMPRODUCT(--('New Hires Forecast'!$F$5:$F$85="Marketing"),--('New Hires Forecast'!$H$5:$H$85&gt;=Marketing!AC$3),'New Hires Forecast'!$N$5:$N$85,'New Hires Forecast'!$L$5:$L$85)/12),0),IF(YEAR(AC$3)=YEAR('New Hires Forecast'!$O$3),IF((AC$5&lt;=12),(SUMPRODUCT(--('New Hires Forecast'!$F$5:$F$85="Marketing"),--('New Hires Forecast'!$H$5:$H$85&gt;=Marketing!AC$3),'New Hires Forecast'!$O$5:$O$85,'New Hires Forecast'!$L$5:$L$85)/12),0),IF(YEAR(AC$3)=YEAR('New Hires Forecast'!$P$3),IF((AC$5&lt;=12),(SUMPRODUCT(--('New Hires Forecast'!$F$5:$F$85="Marketing"),--('New Hires Forecast'!$H$5:$H$85&gt;=Marketing!AC$3),'New Hires Forecast'!$P$5:$P$85,'New Hires Forecast'!$L$5:$L$85)/12),0),IF(YEAR(AC$3)=YEAR('New Hires Forecast'!$Q$3),IF((AC$5&lt;=12),(SUMPRODUCT(--('New Hires Forecast'!$F$5:$F$85="Marketing"),--('New Hires Forecast'!$H$5:$H$85&gt;=Marketing!AC$3),'New Hires Forecast'!$Q$5:$Q$85,'New Hires Forecast'!$L$5:$L$85)/12),0),IF(YEAR(AC$3)=YEAR('New Hires Forecast'!$R$3),IF((AC$5&lt;=12),(SUMPRODUCT(--('New Hires Forecast'!$F$5:$F$85="Marketing"),--('New Hires Forecast'!$H$5:$H$85&gt;=Marketing!AC$3),'New Hires Forecast'!$R$5:$R$85,'New Hires Forecast'!$L$5:$L$85)/12),0),"New Year"))))),0)</f>
        <v>0</v>
      </c>
      <c r="AD15" s="668">
        <f>IF(AD$4="forecast",IF(YEAR(AD$3)=YEAR('New Hires Forecast'!$N$3),IF((AD$5&lt;=12),(SUMPRODUCT(--('New Hires Forecast'!$F$5:$F$85="Marketing"),--('New Hires Forecast'!$H$5:$H$85&gt;=Marketing!AD$3),'New Hires Forecast'!$N$5:$N$85,'New Hires Forecast'!$L$5:$L$85)/12),0),IF(YEAR(AD$3)=YEAR('New Hires Forecast'!$O$3),IF((AD$5&lt;=12),(SUMPRODUCT(--('New Hires Forecast'!$F$5:$F$85="Marketing"),--('New Hires Forecast'!$H$5:$H$85&gt;=Marketing!AD$3),'New Hires Forecast'!$O$5:$O$85,'New Hires Forecast'!$L$5:$L$85)/12),0),IF(YEAR(AD$3)=YEAR('New Hires Forecast'!$P$3),IF((AD$5&lt;=12),(SUMPRODUCT(--('New Hires Forecast'!$F$5:$F$85="Marketing"),--('New Hires Forecast'!$H$5:$H$85&gt;=Marketing!AD$3),'New Hires Forecast'!$P$5:$P$85,'New Hires Forecast'!$L$5:$L$85)/12),0),IF(YEAR(AD$3)=YEAR('New Hires Forecast'!$Q$3),IF((AD$5&lt;=12),(SUMPRODUCT(--('New Hires Forecast'!$F$5:$F$85="Marketing"),--('New Hires Forecast'!$H$5:$H$85&gt;=Marketing!AD$3),'New Hires Forecast'!$Q$5:$Q$85,'New Hires Forecast'!$L$5:$L$85)/12),0),IF(YEAR(AD$3)=YEAR('New Hires Forecast'!$R$3),IF((AD$5&lt;=12),(SUMPRODUCT(--('New Hires Forecast'!$F$5:$F$85="Marketing"),--('New Hires Forecast'!$H$5:$H$85&gt;=Marketing!AD$3),'New Hires Forecast'!$R$5:$R$85,'New Hires Forecast'!$L$5:$L$85)/12),0),"New Year"))))),0)</f>
        <v>6458.333333333333</v>
      </c>
      <c r="AE15" s="668">
        <f>IF(AE$4="forecast",IF(YEAR(AE$3)=YEAR('New Hires Forecast'!$N$3),IF((AE$5&lt;=12),(SUMPRODUCT(--('New Hires Forecast'!$F$5:$F$85="Marketing"),--('New Hires Forecast'!$H$5:$H$85&gt;=Marketing!AE$3),'New Hires Forecast'!$N$5:$N$85,'New Hires Forecast'!$L$5:$L$85)/12),0),IF(YEAR(AE$3)=YEAR('New Hires Forecast'!$O$3),IF((AE$5&lt;=12),(SUMPRODUCT(--('New Hires Forecast'!$F$5:$F$85="Marketing"),--('New Hires Forecast'!$H$5:$H$85&gt;=Marketing!AE$3),'New Hires Forecast'!$O$5:$O$85,'New Hires Forecast'!$L$5:$L$85)/12),0),IF(YEAR(AE$3)=YEAR('New Hires Forecast'!$P$3),IF((AE$5&lt;=12),(SUMPRODUCT(--('New Hires Forecast'!$F$5:$F$85="Marketing"),--('New Hires Forecast'!$H$5:$H$85&gt;=Marketing!AE$3),'New Hires Forecast'!$P$5:$P$85,'New Hires Forecast'!$L$5:$L$85)/12),0),IF(YEAR(AE$3)=YEAR('New Hires Forecast'!$Q$3),IF((AE$5&lt;=12),(SUMPRODUCT(--('New Hires Forecast'!$F$5:$F$85="Marketing"),--('New Hires Forecast'!$H$5:$H$85&gt;=Marketing!AE$3),'New Hires Forecast'!$Q$5:$Q$85,'New Hires Forecast'!$L$5:$L$85)/12),0),IF(YEAR(AE$3)=YEAR('New Hires Forecast'!$R$3),IF((AE$5&lt;=12),(SUMPRODUCT(--('New Hires Forecast'!$F$5:$F$85="Marketing"),--('New Hires Forecast'!$H$5:$H$85&gt;=Marketing!AE$3),'New Hires Forecast'!$R$5:$R$85,'New Hires Forecast'!$L$5:$L$85)/12),0),"New Year"))))),0)</f>
        <v>6458.333333333333</v>
      </c>
      <c r="AF15" s="668">
        <f>IF(AF$4="forecast",IF(YEAR(AF$3)=YEAR('New Hires Forecast'!$N$3),IF((AF$5&lt;=12),(SUMPRODUCT(--('New Hires Forecast'!$F$5:$F$85="Marketing"),--('New Hires Forecast'!$H$5:$H$85&gt;=Marketing!AF$3),'New Hires Forecast'!$N$5:$N$85,'New Hires Forecast'!$L$5:$L$85)/12),0),IF(YEAR(AF$3)=YEAR('New Hires Forecast'!$O$3),IF((AF$5&lt;=12),(SUMPRODUCT(--('New Hires Forecast'!$F$5:$F$85="Marketing"),--('New Hires Forecast'!$H$5:$H$85&gt;=Marketing!AF$3),'New Hires Forecast'!$O$5:$O$85,'New Hires Forecast'!$L$5:$L$85)/12),0),IF(YEAR(AF$3)=YEAR('New Hires Forecast'!$P$3),IF((AF$5&lt;=12),(SUMPRODUCT(--('New Hires Forecast'!$F$5:$F$85="Marketing"),--('New Hires Forecast'!$H$5:$H$85&gt;=Marketing!AF$3),'New Hires Forecast'!$P$5:$P$85,'New Hires Forecast'!$L$5:$L$85)/12),0),IF(YEAR(AF$3)=YEAR('New Hires Forecast'!$Q$3),IF((AF$5&lt;=12),(SUMPRODUCT(--('New Hires Forecast'!$F$5:$F$85="Marketing"),--('New Hires Forecast'!$H$5:$H$85&gt;=Marketing!AF$3),'New Hires Forecast'!$Q$5:$Q$85,'New Hires Forecast'!$L$5:$L$85)/12),0),IF(YEAR(AF$3)=YEAR('New Hires Forecast'!$R$3),IF((AF$5&lt;=12),(SUMPRODUCT(--('New Hires Forecast'!$F$5:$F$85="Marketing"),--('New Hires Forecast'!$H$5:$H$85&gt;=Marketing!AF$3),'New Hires Forecast'!$R$5:$R$85,'New Hires Forecast'!$L$5:$L$85)/12),0),"New Year"))))),0)</f>
        <v>6458.333333333333</v>
      </c>
      <c r="AG15" s="668">
        <f>IF(AG$4="forecast",IF(YEAR(AG$3)=YEAR('New Hires Forecast'!$N$3),IF((AG$5&lt;=12),(SUMPRODUCT(--('New Hires Forecast'!$F$5:$F$85="Marketing"),--('New Hires Forecast'!$H$5:$H$85&gt;=Marketing!AG$3),'New Hires Forecast'!$N$5:$N$85,'New Hires Forecast'!$L$5:$L$85)/12),0),IF(YEAR(AG$3)=YEAR('New Hires Forecast'!$O$3),IF((AG$5&lt;=12),(SUMPRODUCT(--('New Hires Forecast'!$F$5:$F$85="Marketing"),--('New Hires Forecast'!$H$5:$H$85&gt;=Marketing!AG$3),'New Hires Forecast'!$O$5:$O$85,'New Hires Forecast'!$L$5:$L$85)/12),0),IF(YEAR(AG$3)=YEAR('New Hires Forecast'!$P$3),IF((AG$5&lt;=12),(SUMPRODUCT(--('New Hires Forecast'!$F$5:$F$85="Marketing"),--('New Hires Forecast'!$H$5:$H$85&gt;=Marketing!AG$3),'New Hires Forecast'!$P$5:$P$85,'New Hires Forecast'!$L$5:$L$85)/12),0),IF(YEAR(AG$3)=YEAR('New Hires Forecast'!$Q$3),IF((AG$5&lt;=12),(SUMPRODUCT(--('New Hires Forecast'!$F$5:$F$85="Marketing"),--('New Hires Forecast'!$H$5:$H$85&gt;=Marketing!AG$3),'New Hires Forecast'!$Q$5:$Q$85,'New Hires Forecast'!$L$5:$L$85)/12),0),IF(YEAR(AG$3)=YEAR('New Hires Forecast'!$R$3),IF((AG$5&lt;=12),(SUMPRODUCT(--('New Hires Forecast'!$F$5:$F$85="Marketing"),--('New Hires Forecast'!$H$5:$H$85&gt;=Marketing!AG$3),'New Hires Forecast'!$R$5:$R$85,'New Hires Forecast'!$L$5:$L$85)/12),0),"New Year"))))),0)</f>
        <v>6458.333333333333</v>
      </c>
      <c r="AH15" s="668">
        <f>IF(AH$4="forecast",IF(YEAR(AH$3)=YEAR('New Hires Forecast'!$N$3),IF((AH$5&lt;=12),(SUMPRODUCT(--('New Hires Forecast'!$F$5:$F$85="Marketing"),--('New Hires Forecast'!$H$5:$H$85&gt;=Marketing!AH$3),'New Hires Forecast'!$N$5:$N$85,'New Hires Forecast'!$L$5:$L$85)/12),0),IF(YEAR(AH$3)=YEAR('New Hires Forecast'!$O$3),IF((AH$5&lt;=12),(SUMPRODUCT(--('New Hires Forecast'!$F$5:$F$85="Marketing"),--('New Hires Forecast'!$H$5:$H$85&gt;=Marketing!AH$3),'New Hires Forecast'!$O$5:$O$85,'New Hires Forecast'!$L$5:$L$85)/12),0),IF(YEAR(AH$3)=YEAR('New Hires Forecast'!$P$3),IF((AH$5&lt;=12),(SUMPRODUCT(--('New Hires Forecast'!$F$5:$F$85="Marketing"),--('New Hires Forecast'!$H$5:$H$85&gt;=Marketing!AH$3),'New Hires Forecast'!$P$5:$P$85,'New Hires Forecast'!$L$5:$L$85)/12),0),IF(YEAR(AH$3)=YEAR('New Hires Forecast'!$Q$3),IF((AH$5&lt;=12),(SUMPRODUCT(--('New Hires Forecast'!$F$5:$F$85="Marketing"),--('New Hires Forecast'!$H$5:$H$85&gt;=Marketing!AH$3),'New Hires Forecast'!$Q$5:$Q$85,'New Hires Forecast'!$L$5:$L$85)/12),0),IF(YEAR(AH$3)=YEAR('New Hires Forecast'!$R$3),IF((AH$5&lt;=12),(SUMPRODUCT(--('New Hires Forecast'!$F$5:$F$85="Marketing"),--('New Hires Forecast'!$H$5:$H$85&gt;=Marketing!AH$3),'New Hires Forecast'!$R$5:$R$85,'New Hires Forecast'!$L$5:$L$85)/12),0),"New Year"))))),0)</f>
        <v>6458.333333333333</v>
      </c>
      <c r="AI15" s="668">
        <f>IF(AI$4="forecast",IF(YEAR(AI$3)=YEAR('New Hires Forecast'!$N$3),IF((AI$5&lt;=12),(SUMPRODUCT(--('New Hires Forecast'!$F$5:$F$85="Marketing"),--('New Hires Forecast'!$H$5:$H$85&gt;=Marketing!AI$3),'New Hires Forecast'!$N$5:$N$85,'New Hires Forecast'!$L$5:$L$85)/12),0),IF(YEAR(AI$3)=YEAR('New Hires Forecast'!$O$3),IF((AI$5&lt;=12),(SUMPRODUCT(--('New Hires Forecast'!$F$5:$F$85="Marketing"),--('New Hires Forecast'!$H$5:$H$85&gt;=Marketing!AI$3),'New Hires Forecast'!$O$5:$O$85,'New Hires Forecast'!$L$5:$L$85)/12),0),IF(YEAR(AI$3)=YEAR('New Hires Forecast'!$P$3),IF((AI$5&lt;=12),(SUMPRODUCT(--('New Hires Forecast'!$F$5:$F$85="Marketing"),--('New Hires Forecast'!$H$5:$H$85&gt;=Marketing!AI$3),'New Hires Forecast'!$P$5:$P$85,'New Hires Forecast'!$L$5:$L$85)/12),0),IF(YEAR(AI$3)=YEAR('New Hires Forecast'!$Q$3),IF((AI$5&lt;=12),(SUMPRODUCT(--('New Hires Forecast'!$F$5:$F$85="Marketing"),--('New Hires Forecast'!$H$5:$H$85&gt;=Marketing!AI$3),'New Hires Forecast'!$Q$5:$Q$85,'New Hires Forecast'!$L$5:$L$85)/12),0),IF(YEAR(AI$3)=YEAR('New Hires Forecast'!$R$3),IF((AI$5&lt;=12),(SUMPRODUCT(--('New Hires Forecast'!$F$5:$F$85="Marketing"),--('New Hires Forecast'!$H$5:$H$85&gt;=Marketing!AI$3),'New Hires Forecast'!$R$5:$R$85,'New Hires Forecast'!$L$5:$L$85)/12),0),"New Year"))))),0)</f>
        <v>6458.333333333333</v>
      </c>
      <c r="AJ15" s="668">
        <f>IF(AJ$4="forecast",IF(YEAR(AJ$3)=YEAR('New Hires Forecast'!$N$3),IF((AJ$5&lt;=12),(SUMPRODUCT(--('New Hires Forecast'!$F$5:$F$85="Marketing"),--('New Hires Forecast'!$H$5:$H$85&gt;=Marketing!AJ$3),'New Hires Forecast'!$N$5:$N$85,'New Hires Forecast'!$L$5:$L$85)/12),0),IF(YEAR(AJ$3)=YEAR('New Hires Forecast'!$O$3),IF((AJ$5&lt;=12),(SUMPRODUCT(--('New Hires Forecast'!$F$5:$F$85="Marketing"),--('New Hires Forecast'!$H$5:$H$85&gt;=Marketing!AJ$3),'New Hires Forecast'!$O$5:$O$85,'New Hires Forecast'!$L$5:$L$85)/12),0),IF(YEAR(AJ$3)=YEAR('New Hires Forecast'!$P$3),IF((AJ$5&lt;=12),(SUMPRODUCT(--('New Hires Forecast'!$F$5:$F$85="Marketing"),--('New Hires Forecast'!$H$5:$H$85&gt;=Marketing!AJ$3),'New Hires Forecast'!$P$5:$P$85,'New Hires Forecast'!$L$5:$L$85)/12),0),IF(YEAR(AJ$3)=YEAR('New Hires Forecast'!$Q$3),IF((AJ$5&lt;=12),(SUMPRODUCT(--('New Hires Forecast'!$F$5:$F$85="Marketing"),--('New Hires Forecast'!$H$5:$H$85&gt;=Marketing!AJ$3),'New Hires Forecast'!$Q$5:$Q$85,'New Hires Forecast'!$L$5:$L$85)/12),0),IF(YEAR(AJ$3)=YEAR('New Hires Forecast'!$R$3),IF((AJ$5&lt;=12),(SUMPRODUCT(--('New Hires Forecast'!$F$5:$F$85="Marketing"),--('New Hires Forecast'!$H$5:$H$85&gt;=Marketing!AJ$3),'New Hires Forecast'!$R$5:$R$85,'New Hires Forecast'!$L$5:$L$85)/12),0),"New Year"))))),0)</f>
        <v>6458.333333333333</v>
      </c>
      <c r="AK15" s="668">
        <f>IF(AK$4="forecast",IF(YEAR(AK$3)=YEAR('New Hires Forecast'!$N$3),IF((AK$5&lt;=12),(SUMPRODUCT(--('New Hires Forecast'!$F$5:$F$85="Marketing"),--('New Hires Forecast'!$H$5:$H$85&gt;=Marketing!AK$3),'New Hires Forecast'!$N$5:$N$85,'New Hires Forecast'!$L$5:$L$85)/12),0),IF(YEAR(AK$3)=YEAR('New Hires Forecast'!$O$3),IF((AK$5&lt;=12),(SUMPRODUCT(--('New Hires Forecast'!$F$5:$F$85="Marketing"),--('New Hires Forecast'!$H$5:$H$85&gt;=Marketing!AK$3),'New Hires Forecast'!$O$5:$O$85,'New Hires Forecast'!$L$5:$L$85)/12),0),IF(YEAR(AK$3)=YEAR('New Hires Forecast'!$P$3),IF((AK$5&lt;=12),(SUMPRODUCT(--('New Hires Forecast'!$F$5:$F$85="Marketing"),--('New Hires Forecast'!$H$5:$H$85&gt;=Marketing!AK$3),'New Hires Forecast'!$P$5:$P$85,'New Hires Forecast'!$L$5:$L$85)/12),0),IF(YEAR(AK$3)=YEAR('New Hires Forecast'!$Q$3),IF((AK$5&lt;=12),(SUMPRODUCT(--('New Hires Forecast'!$F$5:$F$85="Marketing"),--('New Hires Forecast'!$H$5:$H$85&gt;=Marketing!AK$3),'New Hires Forecast'!$Q$5:$Q$85,'New Hires Forecast'!$L$5:$L$85)/12),0),IF(YEAR(AK$3)=YEAR('New Hires Forecast'!$R$3),IF((AK$5&lt;=12),(SUMPRODUCT(--('New Hires Forecast'!$F$5:$F$85="Marketing"),--('New Hires Forecast'!$H$5:$H$85&gt;=Marketing!AK$3),'New Hires Forecast'!$R$5:$R$85,'New Hires Forecast'!$L$5:$L$85)/12),0),"New Year"))))),0)</f>
        <v>6458.333333333333</v>
      </c>
      <c r="AL15" s="668">
        <f>IF(AL$4="forecast",IF(YEAR(AL$3)=YEAR('New Hires Forecast'!$N$3),IF((AL$5&lt;=12),(SUMPRODUCT(--('New Hires Forecast'!$F$5:$F$85="Marketing"),--('New Hires Forecast'!$H$5:$H$85&gt;=Marketing!AL$3),'New Hires Forecast'!$N$5:$N$85,'New Hires Forecast'!$L$5:$L$85)/12),0),IF(YEAR(AL$3)=YEAR('New Hires Forecast'!$O$3),IF((AL$5&lt;=12),(SUMPRODUCT(--('New Hires Forecast'!$F$5:$F$85="Marketing"),--('New Hires Forecast'!$H$5:$H$85&gt;=Marketing!AL$3),'New Hires Forecast'!$O$5:$O$85,'New Hires Forecast'!$L$5:$L$85)/12),0),IF(YEAR(AL$3)=YEAR('New Hires Forecast'!$P$3),IF((AL$5&lt;=12),(SUMPRODUCT(--('New Hires Forecast'!$F$5:$F$85="Marketing"),--('New Hires Forecast'!$H$5:$H$85&gt;=Marketing!AL$3),'New Hires Forecast'!$P$5:$P$85,'New Hires Forecast'!$L$5:$L$85)/12),0),IF(YEAR(AL$3)=YEAR('New Hires Forecast'!$Q$3),IF((AL$5&lt;=12),(SUMPRODUCT(--('New Hires Forecast'!$F$5:$F$85="Marketing"),--('New Hires Forecast'!$H$5:$H$85&gt;=Marketing!AL$3),'New Hires Forecast'!$Q$5:$Q$85,'New Hires Forecast'!$L$5:$L$85)/12),0),IF(YEAR(AL$3)=YEAR('New Hires Forecast'!$R$3),IF((AL$5&lt;=12),(SUMPRODUCT(--('New Hires Forecast'!$F$5:$F$85="Marketing"),--('New Hires Forecast'!$H$5:$H$85&gt;=Marketing!AL$3),'New Hires Forecast'!$R$5:$R$85,'New Hires Forecast'!$L$5:$L$85)/12),0),"New Year"))))),0)</f>
        <v>6458.333333333333</v>
      </c>
      <c r="AM15" s="668">
        <f>IF(AM$4="forecast",IF(YEAR(AM$3)=YEAR('New Hires Forecast'!$N$3),IF((AM$5&lt;=12),(SUMPRODUCT(--('New Hires Forecast'!$F$5:$F$85="Marketing"),--('New Hires Forecast'!$H$5:$H$85&gt;=Marketing!AM$3),'New Hires Forecast'!$N$5:$N$85,'New Hires Forecast'!$L$5:$L$85)/12),0),IF(YEAR(AM$3)=YEAR('New Hires Forecast'!$O$3),IF((AM$5&lt;=12),(SUMPRODUCT(--('New Hires Forecast'!$F$5:$F$85="Marketing"),--('New Hires Forecast'!$H$5:$H$85&gt;=Marketing!AM$3),'New Hires Forecast'!$O$5:$O$85,'New Hires Forecast'!$L$5:$L$85)/12),0),IF(YEAR(AM$3)=YEAR('New Hires Forecast'!$P$3),IF((AM$5&lt;=12),(SUMPRODUCT(--('New Hires Forecast'!$F$5:$F$85="Marketing"),--('New Hires Forecast'!$H$5:$H$85&gt;=Marketing!AM$3),'New Hires Forecast'!$P$5:$P$85,'New Hires Forecast'!$L$5:$L$85)/12),0),IF(YEAR(AM$3)=YEAR('New Hires Forecast'!$Q$3),IF((AM$5&lt;=12),(SUMPRODUCT(--('New Hires Forecast'!$F$5:$F$85="Marketing"),--('New Hires Forecast'!$H$5:$H$85&gt;=Marketing!AM$3),'New Hires Forecast'!$Q$5:$Q$85,'New Hires Forecast'!$L$5:$L$85)/12),0),IF(YEAR(AM$3)=YEAR('New Hires Forecast'!$R$3),IF((AM$5&lt;=12),(SUMPRODUCT(--('New Hires Forecast'!$F$5:$F$85="Marketing"),--('New Hires Forecast'!$H$5:$H$85&gt;=Marketing!AM$3),'New Hires Forecast'!$R$5:$R$85,'New Hires Forecast'!$L$5:$L$85)/12),0),"New Year"))))),0)</f>
        <v>6652.083333333333</v>
      </c>
      <c r="AN15" s="668">
        <f>IF(AN$4="forecast",IF(YEAR(AN$3)=YEAR('New Hires Forecast'!$N$3),IF((AN$5&lt;=12),(SUMPRODUCT(--('New Hires Forecast'!$F$5:$F$85="Marketing"),--('New Hires Forecast'!$H$5:$H$85&gt;=Marketing!AN$3),'New Hires Forecast'!$N$5:$N$85,'New Hires Forecast'!$L$5:$L$85)/12),0),IF(YEAR(AN$3)=YEAR('New Hires Forecast'!$O$3),IF((AN$5&lt;=12),(SUMPRODUCT(--('New Hires Forecast'!$F$5:$F$85="Marketing"),--('New Hires Forecast'!$H$5:$H$85&gt;=Marketing!AN$3),'New Hires Forecast'!$O$5:$O$85,'New Hires Forecast'!$L$5:$L$85)/12),0),IF(YEAR(AN$3)=YEAR('New Hires Forecast'!$P$3),IF((AN$5&lt;=12),(SUMPRODUCT(--('New Hires Forecast'!$F$5:$F$85="Marketing"),--('New Hires Forecast'!$H$5:$H$85&gt;=Marketing!AN$3),'New Hires Forecast'!$P$5:$P$85,'New Hires Forecast'!$L$5:$L$85)/12),0),IF(YEAR(AN$3)=YEAR('New Hires Forecast'!$Q$3),IF((AN$5&lt;=12),(SUMPRODUCT(--('New Hires Forecast'!$F$5:$F$85="Marketing"),--('New Hires Forecast'!$H$5:$H$85&gt;=Marketing!AN$3),'New Hires Forecast'!$Q$5:$Q$85,'New Hires Forecast'!$L$5:$L$85)/12),0),IF(YEAR(AN$3)=YEAR('New Hires Forecast'!$R$3),IF((AN$5&lt;=12),(SUMPRODUCT(--('New Hires Forecast'!$F$5:$F$85="Marketing"),--('New Hires Forecast'!$H$5:$H$85&gt;=Marketing!AN$3),'New Hires Forecast'!$R$5:$R$85,'New Hires Forecast'!$L$5:$L$85)/12),0),"New Year"))))),0)</f>
        <v>6652.083333333333</v>
      </c>
      <c r="AO15" s="668">
        <f>IF(AO$4="forecast",IF(YEAR(AO$3)=YEAR('New Hires Forecast'!$N$3),IF((AO$5&lt;=12),(SUMPRODUCT(--('New Hires Forecast'!$F$5:$F$85="Marketing"),--('New Hires Forecast'!$H$5:$H$85&gt;=Marketing!AO$3),'New Hires Forecast'!$N$5:$N$85,'New Hires Forecast'!$L$5:$L$85)/12),0),IF(YEAR(AO$3)=YEAR('New Hires Forecast'!$O$3),IF((AO$5&lt;=12),(SUMPRODUCT(--('New Hires Forecast'!$F$5:$F$85="Marketing"),--('New Hires Forecast'!$H$5:$H$85&gt;=Marketing!AO$3),'New Hires Forecast'!$O$5:$O$85,'New Hires Forecast'!$L$5:$L$85)/12),0),IF(YEAR(AO$3)=YEAR('New Hires Forecast'!$P$3),IF((AO$5&lt;=12),(SUMPRODUCT(--('New Hires Forecast'!$F$5:$F$85="Marketing"),--('New Hires Forecast'!$H$5:$H$85&gt;=Marketing!AO$3),'New Hires Forecast'!$P$5:$P$85,'New Hires Forecast'!$L$5:$L$85)/12),0),IF(YEAR(AO$3)=YEAR('New Hires Forecast'!$Q$3),IF((AO$5&lt;=12),(SUMPRODUCT(--('New Hires Forecast'!$F$5:$F$85="Marketing"),--('New Hires Forecast'!$H$5:$H$85&gt;=Marketing!AO$3),'New Hires Forecast'!$Q$5:$Q$85,'New Hires Forecast'!$L$5:$L$85)/12),0),IF(YEAR(AO$3)=YEAR('New Hires Forecast'!$R$3),IF((AO$5&lt;=12),(SUMPRODUCT(--('New Hires Forecast'!$F$5:$F$85="Marketing"),--('New Hires Forecast'!$H$5:$H$85&gt;=Marketing!AO$3),'New Hires Forecast'!$R$5:$R$85,'New Hires Forecast'!$L$5:$L$85)/12),0),"New Year"))))),0)</f>
        <v>6652.083333333333</v>
      </c>
      <c r="AP15" s="668">
        <f>IF(AP$4="forecast",IF(YEAR(AP$3)=YEAR('New Hires Forecast'!$N$3),IF((AP$5&lt;=12),(SUMPRODUCT(--('New Hires Forecast'!$F$5:$F$85="Marketing"),--('New Hires Forecast'!$H$5:$H$85&gt;=Marketing!AP$3),'New Hires Forecast'!$N$5:$N$85,'New Hires Forecast'!$L$5:$L$85)/12),0),IF(YEAR(AP$3)=YEAR('New Hires Forecast'!$O$3),IF((AP$5&lt;=12),(SUMPRODUCT(--('New Hires Forecast'!$F$5:$F$85="Marketing"),--('New Hires Forecast'!$H$5:$H$85&gt;=Marketing!AP$3),'New Hires Forecast'!$O$5:$O$85,'New Hires Forecast'!$L$5:$L$85)/12),0),IF(YEAR(AP$3)=YEAR('New Hires Forecast'!$P$3),IF((AP$5&lt;=12),(SUMPRODUCT(--('New Hires Forecast'!$F$5:$F$85="Marketing"),--('New Hires Forecast'!$H$5:$H$85&gt;=Marketing!AP$3),'New Hires Forecast'!$P$5:$P$85,'New Hires Forecast'!$L$5:$L$85)/12),0),IF(YEAR(AP$3)=YEAR('New Hires Forecast'!$Q$3),IF((AP$5&lt;=12),(SUMPRODUCT(--('New Hires Forecast'!$F$5:$F$85="Marketing"),--('New Hires Forecast'!$H$5:$H$85&gt;=Marketing!AP$3),'New Hires Forecast'!$Q$5:$Q$85,'New Hires Forecast'!$L$5:$L$85)/12),0),IF(YEAR(AP$3)=YEAR('New Hires Forecast'!$R$3),IF((AP$5&lt;=12),(SUMPRODUCT(--('New Hires Forecast'!$F$5:$F$85="Marketing"),--('New Hires Forecast'!$H$5:$H$85&gt;=Marketing!AP$3),'New Hires Forecast'!$R$5:$R$85,'New Hires Forecast'!$L$5:$L$85)/12),0),"New Year"))))),0)</f>
        <v>6652.083333333333</v>
      </c>
      <c r="AQ15" s="668">
        <f>IF(AQ$4="forecast",IF(YEAR(AQ$3)=YEAR('New Hires Forecast'!$N$3),IF((AQ$5&lt;=12),(SUMPRODUCT(--('New Hires Forecast'!$F$5:$F$85="Marketing"),--('New Hires Forecast'!$H$5:$H$85&gt;=Marketing!AQ$3),'New Hires Forecast'!$N$5:$N$85,'New Hires Forecast'!$L$5:$L$85)/12),0),IF(YEAR(AQ$3)=YEAR('New Hires Forecast'!$O$3),IF((AQ$5&lt;=12),(SUMPRODUCT(--('New Hires Forecast'!$F$5:$F$85="Marketing"),--('New Hires Forecast'!$H$5:$H$85&gt;=Marketing!AQ$3),'New Hires Forecast'!$O$5:$O$85,'New Hires Forecast'!$L$5:$L$85)/12),0),IF(YEAR(AQ$3)=YEAR('New Hires Forecast'!$P$3),IF((AQ$5&lt;=12),(SUMPRODUCT(--('New Hires Forecast'!$F$5:$F$85="Marketing"),--('New Hires Forecast'!$H$5:$H$85&gt;=Marketing!AQ$3),'New Hires Forecast'!$P$5:$P$85,'New Hires Forecast'!$L$5:$L$85)/12),0),IF(YEAR(AQ$3)=YEAR('New Hires Forecast'!$Q$3),IF((AQ$5&lt;=12),(SUMPRODUCT(--('New Hires Forecast'!$F$5:$F$85="Marketing"),--('New Hires Forecast'!$H$5:$H$85&gt;=Marketing!AQ$3),'New Hires Forecast'!$Q$5:$Q$85,'New Hires Forecast'!$L$5:$L$85)/12),0),IF(YEAR(AQ$3)=YEAR('New Hires Forecast'!$R$3),IF((AQ$5&lt;=12),(SUMPRODUCT(--('New Hires Forecast'!$F$5:$F$85="Marketing"),--('New Hires Forecast'!$H$5:$H$85&gt;=Marketing!AQ$3),'New Hires Forecast'!$R$5:$R$85,'New Hires Forecast'!$L$5:$L$85)/12),0),"New Year"))))),0)</f>
        <v>6652.083333333333</v>
      </c>
      <c r="AR15" s="668">
        <f>IF(AR$4="forecast",IF(YEAR(AR$3)=YEAR('New Hires Forecast'!$N$3),IF((AR$5&lt;=12),(SUMPRODUCT(--('New Hires Forecast'!$F$5:$F$85="Marketing"),--('New Hires Forecast'!$H$5:$H$85&gt;=Marketing!AR$3),'New Hires Forecast'!$N$5:$N$85,'New Hires Forecast'!$L$5:$L$85)/12),0),IF(YEAR(AR$3)=YEAR('New Hires Forecast'!$O$3),IF((AR$5&lt;=12),(SUMPRODUCT(--('New Hires Forecast'!$F$5:$F$85="Marketing"),--('New Hires Forecast'!$H$5:$H$85&gt;=Marketing!AR$3),'New Hires Forecast'!$O$5:$O$85,'New Hires Forecast'!$L$5:$L$85)/12),0),IF(YEAR(AR$3)=YEAR('New Hires Forecast'!$P$3),IF((AR$5&lt;=12),(SUMPRODUCT(--('New Hires Forecast'!$F$5:$F$85="Marketing"),--('New Hires Forecast'!$H$5:$H$85&gt;=Marketing!AR$3),'New Hires Forecast'!$P$5:$P$85,'New Hires Forecast'!$L$5:$L$85)/12),0),IF(YEAR(AR$3)=YEAR('New Hires Forecast'!$Q$3),IF((AR$5&lt;=12),(SUMPRODUCT(--('New Hires Forecast'!$F$5:$F$85="Marketing"),--('New Hires Forecast'!$H$5:$H$85&gt;=Marketing!AR$3),'New Hires Forecast'!$Q$5:$Q$85,'New Hires Forecast'!$L$5:$L$85)/12),0),IF(YEAR(AR$3)=YEAR('New Hires Forecast'!$R$3),IF((AR$5&lt;=12),(SUMPRODUCT(--('New Hires Forecast'!$F$5:$F$85="Marketing"),--('New Hires Forecast'!$H$5:$H$85&gt;=Marketing!AR$3),'New Hires Forecast'!$R$5:$R$85,'New Hires Forecast'!$L$5:$L$85)/12),0),"New Year"))))),0)</f>
        <v>6652.083333333333</v>
      </c>
      <c r="AS15" s="668">
        <f>IF(AS$4="forecast",IF(YEAR(AS$3)=YEAR('New Hires Forecast'!$N$3),IF((AS$5&lt;=12),(SUMPRODUCT(--('New Hires Forecast'!$F$5:$F$85="Marketing"),--('New Hires Forecast'!$H$5:$H$85&gt;=Marketing!AS$3),'New Hires Forecast'!$N$5:$N$85,'New Hires Forecast'!$L$5:$L$85)/12),0),IF(YEAR(AS$3)=YEAR('New Hires Forecast'!$O$3),IF((AS$5&lt;=12),(SUMPRODUCT(--('New Hires Forecast'!$F$5:$F$85="Marketing"),--('New Hires Forecast'!$H$5:$H$85&gt;=Marketing!AS$3),'New Hires Forecast'!$O$5:$O$85,'New Hires Forecast'!$L$5:$L$85)/12),0),IF(YEAR(AS$3)=YEAR('New Hires Forecast'!$P$3),IF((AS$5&lt;=12),(SUMPRODUCT(--('New Hires Forecast'!$F$5:$F$85="Marketing"),--('New Hires Forecast'!$H$5:$H$85&gt;=Marketing!AS$3),'New Hires Forecast'!$P$5:$P$85,'New Hires Forecast'!$L$5:$L$85)/12),0),IF(YEAR(AS$3)=YEAR('New Hires Forecast'!$Q$3),IF((AS$5&lt;=12),(SUMPRODUCT(--('New Hires Forecast'!$F$5:$F$85="Marketing"),--('New Hires Forecast'!$H$5:$H$85&gt;=Marketing!AS$3),'New Hires Forecast'!$Q$5:$Q$85,'New Hires Forecast'!$L$5:$L$85)/12),0),IF(YEAR(AS$3)=YEAR('New Hires Forecast'!$R$3),IF((AS$5&lt;=12),(SUMPRODUCT(--('New Hires Forecast'!$F$5:$F$85="Marketing"),--('New Hires Forecast'!$H$5:$H$85&gt;=Marketing!AS$3),'New Hires Forecast'!$R$5:$R$85,'New Hires Forecast'!$L$5:$L$85)/12),0),"New Year"))))),0)</f>
        <v>6652.083333333333</v>
      </c>
      <c r="AT15" s="668">
        <f>IF(AT$4="forecast",IF(YEAR(AT$3)=YEAR('New Hires Forecast'!$N$3),IF((AT$5&lt;=12),(SUMPRODUCT(--('New Hires Forecast'!$F$5:$F$85="Marketing"),--('New Hires Forecast'!$H$5:$H$85&gt;=Marketing!AT$3),'New Hires Forecast'!$N$5:$N$85,'New Hires Forecast'!$L$5:$L$85)/12),0),IF(YEAR(AT$3)=YEAR('New Hires Forecast'!$O$3),IF((AT$5&lt;=12),(SUMPRODUCT(--('New Hires Forecast'!$F$5:$F$85="Marketing"),--('New Hires Forecast'!$H$5:$H$85&gt;=Marketing!AT$3),'New Hires Forecast'!$O$5:$O$85,'New Hires Forecast'!$L$5:$L$85)/12),0),IF(YEAR(AT$3)=YEAR('New Hires Forecast'!$P$3),IF((AT$5&lt;=12),(SUMPRODUCT(--('New Hires Forecast'!$F$5:$F$85="Marketing"),--('New Hires Forecast'!$H$5:$H$85&gt;=Marketing!AT$3),'New Hires Forecast'!$P$5:$P$85,'New Hires Forecast'!$L$5:$L$85)/12),0),IF(YEAR(AT$3)=YEAR('New Hires Forecast'!$Q$3),IF((AT$5&lt;=12),(SUMPRODUCT(--('New Hires Forecast'!$F$5:$F$85="Marketing"),--('New Hires Forecast'!$H$5:$H$85&gt;=Marketing!AT$3),'New Hires Forecast'!$Q$5:$Q$85,'New Hires Forecast'!$L$5:$L$85)/12),0),IF(YEAR(AT$3)=YEAR('New Hires Forecast'!$R$3),IF((AT$5&lt;=12),(SUMPRODUCT(--('New Hires Forecast'!$F$5:$F$85="Marketing"),--('New Hires Forecast'!$H$5:$H$85&gt;=Marketing!AT$3),'New Hires Forecast'!$R$5:$R$85,'New Hires Forecast'!$L$5:$L$85)/12),0),"New Year"))))),0)</f>
        <v>6652.083333333333</v>
      </c>
      <c r="AU15" s="668">
        <f>IF(AU$4="forecast",IF(YEAR(AU$3)=YEAR('New Hires Forecast'!$N$3),IF((AU$5&lt;=12),(SUMPRODUCT(--('New Hires Forecast'!$F$5:$F$85="Marketing"),--('New Hires Forecast'!$H$5:$H$85&gt;=Marketing!AU$3),'New Hires Forecast'!$N$5:$N$85,'New Hires Forecast'!$L$5:$L$85)/12),0),IF(YEAR(AU$3)=YEAR('New Hires Forecast'!$O$3),IF((AU$5&lt;=12),(SUMPRODUCT(--('New Hires Forecast'!$F$5:$F$85="Marketing"),--('New Hires Forecast'!$H$5:$H$85&gt;=Marketing!AU$3),'New Hires Forecast'!$O$5:$O$85,'New Hires Forecast'!$L$5:$L$85)/12),0),IF(YEAR(AU$3)=YEAR('New Hires Forecast'!$P$3),IF((AU$5&lt;=12),(SUMPRODUCT(--('New Hires Forecast'!$F$5:$F$85="Marketing"),--('New Hires Forecast'!$H$5:$H$85&gt;=Marketing!AU$3),'New Hires Forecast'!$P$5:$P$85,'New Hires Forecast'!$L$5:$L$85)/12),0),IF(YEAR(AU$3)=YEAR('New Hires Forecast'!$Q$3),IF((AU$5&lt;=12),(SUMPRODUCT(--('New Hires Forecast'!$F$5:$F$85="Marketing"),--('New Hires Forecast'!$H$5:$H$85&gt;=Marketing!AU$3),'New Hires Forecast'!$Q$5:$Q$85,'New Hires Forecast'!$L$5:$L$85)/12),0),IF(YEAR(AU$3)=YEAR('New Hires Forecast'!$R$3),IF((AU$5&lt;=12),(SUMPRODUCT(--('New Hires Forecast'!$F$5:$F$85="Marketing"),--('New Hires Forecast'!$H$5:$H$85&gt;=Marketing!AU$3),'New Hires Forecast'!$R$5:$R$85,'New Hires Forecast'!$L$5:$L$85)/12),0),"New Year"))))),0)</f>
        <v>6652.083333333333</v>
      </c>
      <c r="AV15" s="668">
        <f>IF(AV$4="forecast",IF(YEAR(AV$3)=YEAR('New Hires Forecast'!$N$3),IF((AV$5&lt;=12),(SUMPRODUCT(--('New Hires Forecast'!$F$5:$F$85="Marketing"),--('New Hires Forecast'!$H$5:$H$85&gt;=Marketing!AV$3),'New Hires Forecast'!$N$5:$N$85,'New Hires Forecast'!$L$5:$L$85)/12),0),IF(YEAR(AV$3)=YEAR('New Hires Forecast'!$O$3),IF((AV$5&lt;=12),(SUMPRODUCT(--('New Hires Forecast'!$F$5:$F$85="Marketing"),--('New Hires Forecast'!$H$5:$H$85&gt;=Marketing!AV$3),'New Hires Forecast'!$O$5:$O$85,'New Hires Forecast'!$L$5:$L$85)/12),0),IF(YEAR(AV$3)=YEAR('New Hires Forecast'!$P$3),IF((AV$5&lt;=12),(SUMPRODUCT(--('New Hires Forecast'!$F$5:$F$85="Marketing"),--('New Hires Forecast'!$H$5:$H$85&gt;=Marketing!AV$3),'New Hires Forecast'!$P$5:$P$85,'New Hires Forecast'!$L$5:$L$85)/12),0),IF(YEAR(AV$3)=YEAR('New Hires Forecast'!$Q$3),IF((AV$5&lt;=12),(SUMPRODUCT(--('New Hires Forecast'!$F$5:$F$85="Marketing"),--('New Hires Forecast'!$H$5:$H$85&gt;=Marketing!AV$3),'New Hires Forecast'!$Q$5:$Q$85,'New Hires Forecast'!$L$5:$L$85)/12),0),IF(YEAR(AV$3)=YEAR('New Hires Forecast'!$R$3),IF((AV$5&lt;=12),(SUMPRODUCT(--('New Hires Forecast'!$F$5:$F$85="Marketing"),--('New Hires Forecast'!$H$5:$H$85&gt;=Marketing!AV$3),'New Hires Forecast'!$R$5:$R$85,'New Hires Forecast'!$L$5:$L$85)/12),0),"New Year"))))),0)</f>
        <v>6652.083333333333</v>
      </c>
      <c r="AW15" s="668">
        <f>IF(AW$4="forecast",IF(YEAR(AW$3)=YEAR('New Hires Forecast'!$N$3),IF((AW$5&lt;=12),(SUMPRODUCT(--('New Hires Forecast'!$F$5:$F$85="Marketing"),--('New Hires Forecast'!$H$5:$H$85&gt;=Marketing!AW$3),'New Hires Forecast'!$N$5:$N$85,'New Hires Forecast'!$L$5:$L$85)/12),0),IF(YEAR(AW$3)=YEAR('New Hires Forecast'!$O$3),IF((AW$5&lt;=12),(SUMPRODUCT(--('New Hires Forecast'!$F$5:$F$85="Marketing"),--('New Hires Forecast'!$H$5:$H$85&gt;=Marketing!AW$3),'New Hires Forecast'!$O$5:$O$85,'New Hires Forecast'!$L$5:$L$85)/12),0),IF(YEAR(AW$3)=YEAR('New Hires Forecast'!$P$3),IF((AW$5&lt;=12),(SUMPRODUCT(--('New Hires Forecast'!$F$5:$F$85="Marketing"),--('New Hires Forecast'!$H$5:$H$85&gt;=Marketing!AW$3),'New Hires Forecast'!$P$5:$P$85,'New Hires Forecast'!$L$5:$L$85)/12),0),IF(YEAR(AW$3)=YEAR('New Hires Forecast'!$Q$3),IF((AW$5&lt;=12),(SUMPRODUCT(--('New Hires Forecast'!$F$5:$F$85="Marketing"),--('New Hires Forecast'!$H$5:$H$85&gt;=Marketing!AW$3),'New Hires Forecast'!$Q$5:$Q$85,'New Hires Forecast'!$L$5:$L$85)/12),0),IF(YEAR(AW$3)=YEAR('New Hires Forecast'!$R$3),IF((AW$5&lt;=12),(SUMPRODUCT(--('New Hires Forecast'!$F$5:$F$85="Marketing"),--('New Hires Forecast'!$H$5:$H$85&gt;=Marketing!AW$3),'New Hires Forecast'!$R$5:$R$85,'New Hires Forecast'!$L$5:$L$85)/12),0),"New Year"))))),0)</f>
        <v>6652.083333333333</v>
      </c>
      <c r="AX15" s="668">
        <f>IF(AX$4="forecast",IF(YEAR(AX$3)=YEAR('New Hires Forecast'!$N$3),IF((AX$5&lt;=12),(SUMPRODUCT(--('New Hires Forecast'!$F$5:$F$85="Marketing"),--('New Hires Forecast'!$H$5:$H$85&gt;=Marketing!AX$3),'New Hires Forecast'!$N$5:$N$85,'New Hires Forecast'!$L$5:$L$85)/12),0),IF(YEAR(AX$3)=YEAR('New Hires Forecast'!$O$3),IF((AX$5&lt;=12),(SUMPRODUCT(--('New Hires Forecast'!$F$5:$F$85="Marketing"),--('New Hires Forecast'!$H$5:$H$85&gt;=Marketing!AX$3),'New Hires Forecast'!$O$5:$O$85,'New Hires Forecast'!$L$5:$L$85)/12),0),IF(YEAR(AX$3)=YEAR('New Hires Forecast'!$P$3),IF((AX$5&lt;=12),(SUMPRODUCT(--('New Hires Forecast'!$F$5:$F$85="Marketing"),--('New Hires Forecast'!$H$5:$H$85&gt;=Marketing!AX$3),'New Hires Forecast'!$P$5:$P$85,'New Hires Forecast'!$L$5:$L$85)/12),0),IF(YEAR(AX$3)=YEAR('New Hires Forecast'!$Q$3),IF((AX$5&lt;=12),(SUMPRODUCT(--('New Hires Forecast'!$F$5:$F$85="Marketing"),--('New Hires Forecast'!$H$5:$H$85&gt;=Marketing!AX$3),'New Hires Forecast'!$Q$5:$Q$85,'New Hires Forecast'!$L$5:$L$85)/12),0),IF(YEAR(AX$3)=YEAR('New Hires Forecast'!$R$3),IF((AX$5&lt;=12),(SUMPRODUCT(--('New Hires Forecast'!$F$5:$F$85="Marketing"),--('New Hires Forecast'!$H$5:$H$85&gt;=Marketing!AX$3),'New Hires Forecast'!$R$5:$R$85,'New Hires Forecast'!$L$5:$L$85)/12),0),"New Year"))))),0)</f>
        <v>6652.083333333333</v>
      </c>
      <c r="AY15" s="668">
        <f>IF(AY$4="forecast",IF(YEAR(AY$3)=YEAR('New Hires Forecast'!$N$3),IF((AY$5&lt;=12),(SUMPRODUCT(--('New Hires Forecast'!$F$5:$F$85="Marketing"),--('New Hires Forecast'!$H$5:$H$85&gt;=Marketing!AY$3),'New Hires Forecast'!$N$5:$N$85,'New Hires Forecast'!$L$5:$L$85)/12),0),IF(YEAR(AY$3)=YEAR('New Hires Forecast'!$O$3),IF((AY$5&lt;=12),(SUMPRODUCT(--('New Hires Forecast'!$F$5:$F$85="Marketing"),--('New Hires Forecast'!$H$5:$H$85&gt;=Marketing!AY$3),'New Hires Forecast'!$O$5:$O$85,'New Hires Forecast'!$L$5:$L$85)/12),0),IF(YEAR(AY$3)=YEAR('New Hires Forecast'!$P$3),IF((AY$5&lt;=12),(SUMPRODUCT(--('New Hires Forecast'!$F$5:$F$85="Marketing"),--('New Hires Forecast'!$H$5:$H$85&gt;=Marketing!AY$3),'New Hires Forecast'!$P$5:$P$85,'New Hires Forecast'!$L$5:$L$85)/12),0),IF(YEAR(AY$3)=YEAR('New Hires Forecast'!$Q$3),IF((AY$5&lt;=12),(SUMPRODUCT(--('New Hires Forecast'!$F$5:$F$85="Marketing"),--('New Hires Forecast'!$H$5:$H$85&gt;=Marketing!AY$3),'New Hires Forecast'!$Q$5:$Q$85,'New Hires Forecast'!$L$5:$L$85)/12),0),IF(YEAR(AY$3)=YEAR('New Hires Forecast'!$R$3),IF((AY$5&lt;=12),(SUMPRODUCT(--('New Hires Forecast'!$F$5:$F$85="Marketing"),--('New Hires Forecast'!$H$5:$H$85&gt;=Marketing!AY$3),'New Hires Forecast'!$R$5:$R$85,'New Hires Forecast'!$L$5:$L$85)/12),0),"New Year"))))),0)</f>
        <v>6851.645833333333</v>
      </c>
      <c r="AZ15" s="668">
        <f>IF(AZ$4="forecast",IF(YEAR(AZ$3)=YEAR('New Hires Forecast'!$N$3),IF((AZ$5&lt;=12),(SUMPRODUCT(--('New Hires Forecast'!$F$5:$F$85="Marketing"),--('New Hires Forecast'!$H$5:$H$85&gt;=Marketing!AZ$3),'New Hires Forecast'!$N$5:$N$85,'New Hires Forecast'!$L$5:$L$85)/12),0),IF(YEAR(AZ$3)=YEAR('New Hires Forecast'!$O$3),IF((AZ$5&lt;=12),(SUMPRODUCT(--('New Hires Forecast'!$F$5:$F$85="Marketing"),--('New Hires Forecast'!$H$5:$H$85&gt;=Marketing!AZ$3),'New Hires Forecast'!$O$5:$O$85,'New Hires Forecast'!$L$5:$L$85)/12),0),IF(YEAR(AZ$3)=YEAR('New Hires Forecast'!$P$3),IF((AZ$5&lt;=12),(SUMPRODUCT(--('New Hires Forecast'!$F$5:$F$85="Marketing"),--('New Hires Forecast'!$H$5:$H$85&gt;=Marketing!AZ$3),'New Hires Forecast'!$P$5:$P$85,'New Hires Forecast'!$L$5:$L$85)/12),0),IF(YEAR(AZ$3)=YEAR('New Hires Forecast'!$Q$3),IF((AZ$5&lt;=12),(SUMPRODUCT(--('New Hires Forecast'!$F$5:$F$85="Marketing"),--('New Hires Forecast'!$H$5:$H$85&gt;=Marketing!AZ$3),'New Hires Forecast'!$Q$5:$Q$85,'New Hires Forecast'!$L$5:$L$85)/12),0),IF(YEAR(AZ$3)=YEAR('New Hires Forecast'!$R$3),IF((AZ$5&lt;=12),(SUMPRODUCT(--('New Hires Forecast'!$F$5:$F$85="Marketing"),--('New Hires Forecast'!$H$5:$H$85&gt;=Marketing!AZ$3),'New Hires Forecast'!$R$5:$R$85,'New Hires Forecast'!$L$5:$L$85)/12),0),"New Year"))))),0)</f>
        <v>6851.645833333333</v>
      </c>
      <c r="BA15" s="668">
        <f>IF(BA$4="forecast",IF(YEAR(BA$3)=YEAR('New Hires Forecast'!$N$3),IF((BA$5&lt;=12),(SUMPRODUCT(--('New Hires Forecast'!$F$5:$F$85="Marketing"),--('New Hires Forecast'!$H$5:$H$85&gt;=Marketing!BA$3),'New Hires Forecast'!$N$5:$N$85,'New Hires Forecast'!$L$5:$L$85)/12),0),IF(YEAR(BA$3)=YEAR('New Hires Forecast'!$O$3),IF((BA$5&lt;=12),(SUMPRODUCT(--('New Hires Forecast'!$F$5:$F$85="Marketing"),--('New Hires Forecast'!$H$5:$H$85&gt;=Marketing!BA$3),'New Hires Forecast'!$O$5:$O$85,'New Hires Forecast'!$L$5:$L$85)/12),0),IF(YEAR(BA$3)=YEAR('New Hires Forecast'!$P$3),IF((BA$5&lt;=12),(SUMPRODUCT(--('New Hires Forecast'!$F$5:$F$85="Marketing"),--('New Hires Forecast'!$H$5:$H$85&gt;=Marketing!BA$3),'New Hires Forecast'!$P$5:$P$85,'New Hires Forecast'!$L$5:$L$85)/12),0),IF(YEAR(BA$3)=YEAR('New Hires Forecast'!$Q$3),IF((BA$5&lt;=12),(SUMPRODUCT(--('New Hires Forecast'!$F$5:$F$85="Marketing"),--('New Hires Forecast'!$H$5:$H$85&gt;=Marketing!BA$3),'New Hires Forecast'!$Q$5:$Q$85,'New Hires Forecast'!$L$5:$L$85)/12),0),IF(YEAR(BA$3)=YEAR('New Hires Forecast'!$R$3),IF((BA$5&lt;=12),(SUMPRODUCT(--('New Hires Forecast'!$F$5:$F$85="Marketing"),--('New Hires Forecast'!$H$5:$H$85&gt;=Marketing!BA$3),'New Hires Forecast'!$R$5:$R$85,'New Hires Forecast'!$L$5:$L$85)/12),0),"New Year"))))),0)</f>
        <v>6851.645833333333</v>
      </c>
      <c r="BB15" s="668">
        <f>IF(BB$4="forecast",IF(YEAR(BB$3)=YEAR('New Hires Forecast'!$N$3),IF((BB$5&lt;=12),(SUMPRODUCT(--('New Hires Forecast'!$F$5:$F$85="Marketing"),--('New Hires Forecast'!$H$5:$H$85&gt;=Marketing!BB$3),'New Hires Forecast'!$N$5:$N$85,'New Hires Forecast'!$L$5:$L$85)/12),0),IF(YEAR(BB$3)=YEAR('New Hires Forecast'!$O$3),IF((BB$5&lt;=12),(SUMPRODUCT(--('New Hires Forecast'!$F$5:$F$85="Marketing"),--('New Hires Forecast'!$H$5:$H$85&gt;=Marketing!BB$3),'New Hires Forecast'!$O$5:$O$85,'New Hires Forecast'!$L$5:$L$85)/12),0),IF(YEAR(BB$3)=YEAR('New Hires Forecast'!$P$3),IF((BB$5&lt;=12),(SUMPRODUCT(--('New Hires Forecast'!$F$5:$F$85="Marketing"),--('New Hires Forecast'!$H$5:$H$85&gt;=Marketing!BB$3),'New Hires Forecast'!$P$5:$P$85,'New Hires Forecast'!$L$5:$L$85)/12),0),IF(YEAR(BB$3)=YEAR('New Hires Forecast'!$Q$3),IF((BB$5&lt;=12),(SUMPRODUCT(--('New Hires Forecast'!$F$5:$F$85="Marketing"),--('New Hires Forecast'!$H$5:$H$85&gt;=Marketing!BB$3),'New Hires Forecast'!$Q$5:$Q$85,'New Hires Forecast'!$L$5:$L$85)/12),0),IF(YEAR(BB$3)=YEAR('New Hires Forecast'!$R$3),IF((BB$5&lt;=12),(SUMPRODUCT(--('New Hires Forecast'!$F$5:$F$85="Marketing"),--('New Hires Forecast'!$H$5:$H$85&gt;=Marketing!BB$3),'New Hires Forecast'!$R$5:$R$85,'New Hires Forecast'!$L$5:$L$85)/12),0),"New Year"))))),0)</f>
        <v>6851.645833333333</v>
      </c>
      <c r="BC15" s="668">
        <f>IF(BC$4="forecast",IF(YEAR(BC$3)=YEAR('New Hires Forecast'!$N$3),IF((BC$5&lt;=12),(SUMPRODUCT(--('New Hires Forecast'!$F$5:$F$85="Marketing"),--('New Hires Forecast'!$H$5:$H$85&gt;=Marketing!BC$3),'New Hires Forecast'!$N$5:$N$85,'New Hires Forecast'!$L$5:$L$85)/12),0),IF(YEAR(BC$3)=YEAR('New Hires Forecast'!$O$3),IF((BC$5&lt;=12),(SUMPRODUCT(--('New Hires Forecast'!$F$5:$F$85="Marketing"),--('New Hires Forecast'!$H$5:$H$85&gt;=Marketing!BC$3),'New Hires Forecast'!$O$5:$O$85,'New Hires Forecast'!$L$5:$L$85)/12),0),IF(YEAR(BC$3)=YEAR('New Hires Forecast'!$P$3),IF((BC$5&lt;=12),(SUMPRODUCT(--('New Hires Forecast'!$F$5:$F$85="Marketing"),--('New Hires Forecast'!$H$5:$H$85&gt;=Marketing!BC$3),'New Hires Forecast'!$P$5:$P$85,'New Hires Forecast'!$L$5:$L$85)/12),0),IF(YEAR(BC$3)=YEAR('New Hires Forecast'!$Q$3),IF((BC$5&lt;=12),(SUMPRODUCT(--('New Hires Forecast'!$F$5:$F$85="Marketing"),--('New Hires Forecast'!$H$5:$H$85&gt;=Marketing!BC$3),'New Hires Forecast'!$Q$5:$Q$85,'New Hires Forecast'!$L$5:$L$85)/12),0),IF(YEAR(BC$3)=YEAR('New Hires Forecast'!$R$3),IF((BC$5&lt;=12),(SUMPRODUCT(--('New Hires Forecast'!$F$5:$F$85="Marketing"),--('New Hires Forecast'!$H$5:$H$85&gt;=Marketing!BC$3),'New Hires Forecast'!$R$5:$R$85,'New Hires Forecast'!$L$5:$L$85)/12),0),"New Year"))))),0)</f>
        <v>6851.645833333333</v>
      </c>
      <c r="BD15" s="668">
        <f>IF(BD$4="forecast",IF(YEAR(BD$3)=YEAR('New Hires Forecast'!$N$3),IF((BD$5&lt;=12),(SUMPRODUCT(--('New Hires Forecast'!$F$5:$F$85="Marketing"),--('New Hires Forecast'!$H$5:$H$85&gt;=Marketing!BD$3),'New Hires Forecast'!$N$5:$N$85,'New Hires Forecast'!$L$5:$L$85)/12),0),IF(YEAR(BD$3)=YEAR('New Hires Forecast'!$O$3),IF((BD$5&lt;=12),(SUMPRODUCT(--('New Hires Forecast'!$F$5:$F$85="Marketing"),--('New Hires Forecast'!$H$5:$H$85&gt;=Marketing!BD$3),'New Hires Forecast'!$O$5:$O$85,'New Hires Forecast'!$L$5:$L$85)/12),0),IF(YEAR(BD$3)=YEAR('New Hires Forecast'!$P$3),IF((BD$5&lt;=12),(SUMPRODUCT(--('New Hires Forecast'!$F$5:$F$85="Marketing"),--('New Hires Forecast'!$H$5:$H$85&gt;=Marketing!BD$3),'New Hires Forecast'!$P$5:$P$85,'New Hires Forecast'!$L$5:$L$85)/12),0),IF(YEAR(BD$3)=YEAR('New Hires Forecast'!$Q$3),IF((BD$5&lt;=12),(SUMPRODUCT(--('New Hires Forecast'!$F$5:$F$85="Marketing"),--('New Hires Forecast'!$H$5:$H$85&gt;=Marketing!BD$3),'New Hires Forecast'!$Q$5:$Q$85,'New Hires Forecast'!$L$5:$L$85)/12),0),IF(YEAR(BD$3)=YEAR('New Hires Forecast'!$R$3),IF((BD$5&lt;=12),(SUMPRODUCT(--('New Hires Forecast'!$F$5:$F$85="Marketing"),--('New Hires Forecast'!$H$5:$H$85&gt;=Marketing!BD$3),'New Hires Forecast'!$R$5:$R$85,'New Hires Forecast'!$L$5:$L$85)/12),0),"New Year"))))),0)</f>
        <v>6851.645833333333</v>
      </c>
      <c r="BE15" s="668">
        <f>IF(BE$4="forecast",IF(YEAR(BE$3)=YEAR('New Hires Forecast'!$N$3),IF((BE$5&lt;=12),(SUMPRODUCT(--('New Hires Forecast'!$F$5:$F$85="Marketing"),--('New Hires Forecast'!$H$5:$H$85&gt;=Marketing!BE$3),'New Hires Forecast'!$N$5:$N$85,'New Hires Forecast'!$L$5:$L$85)/12),0),IF(YEAR(BE$3)=YEAR('New Hires Forecast'!$O$3),IF((BE$5&lt;=12),(SUMPRODUCT(--('New Hires Forecast'!$F$5:$F$85="Marketing"),--('New Hires Forecast'!$H$5:$H$85&gt;=Marketing!BE$3),'New Hires Forecast'!$O$5:$O$85,'New Hires Forecast'!$L$5:$L$85)/12),0),IF(YEAR(BE$3)=YEAR('New Hires Forecast'!$P$3),IF((BE$5&lt;=12),(SUMPRODUCT(--('New Hires Forecast'!$F$5:$F$85="Marketing"),--('New Hires Forecast'!$H$5:$H$85&gt;=Marketing!BE$3),'New Hires Forecast'!$P$5:$P$85,'New Hires Forecast'!$L$5:$L$85)/12),0),IF(YEAR(BE$3)=YEAR('New Hires Forecast'!$Q$3),IF((BE$5&lt;=12),(SUMPRODUCT(--('New Hires Forecast'!$F$5:$F$85="Marketing"),--('New Hires Forecast'!$H$5:$H$85&gt;=Marketing!BE$3),'New Hires Forecast'!$Q$5:$Q$85,'New Hires Forecast'!$L$5:$L$85)/12),0),IF(YEAR(BE$3)=YEAR('New Hires Forecast'!$R$3),IF((BE$5&lt;=12),(SUMPRODUCT(--('New Hires Forecast'!$F$5:$F$85="Marketing"),--('New Hires Forecast'!$H$5:$H$85&gt;=Marketing!BE$3),'New Hires Forecast'!$R$5:$R$85,'New Hires Forecast'!$L$5:$L$85)/12),0),"New Year"))))),0)</f>
        <v>6851.645833333333</v>
      </c>
      <c r="BF15" s="668">
        <f>IF(BF$4="forecast",IF(YEAR(BF$3)=YEAR('New Hires Forecast'!$N$3),IF((BF$5&lt;=12),(SUMPRODUCT(--('New Hires Forecast'!$F$5:$F$85="Marketing"),--('New Hires Forecast'!$H$5:$H$85&gt;=Marketing!BF$3),'New Hires Forecast'!$N$5:$N$85,'New Hires Forecast'!$L$5:$L$85)/12),0),IF(YEAR(BF$3)=YEAR('New Hires Forecast'!$O$3),IF((BF$5&lt;=12),(SUMPRODUCT(--('New Hires Forecast'!$F$5:$F$85="Marketing"),--('New Hires Forecast'!$H$5:$H$85&gt;=Marketing!BF$3),'New Hires Forecast'!$O$5:$O$85,'New Hires Forecast'!$L$5:$L$85)/12),0),IF(YEAR(BF$3)=YEAR('New Hires Forecast'!$P$3),IF((BF$5&lt;=12),(SUMPRODUCT(--('New Hires Forecast'!$F$5:$F$85="Marketing"),--('New Hires Forecast'!$H$5:$H$85&gt;=Marketing!BF$3),'New Hires Forecast'!$P$5:$P$85,'New Hires Forecast'!$L$5:$L$85)/12),0),IF(YEAR(BF$3)=YEAR('New Hires Forecast'!$Q$3),IF((BF$5&lt;=12),(SUMPRODUCT(--('New Hires Forecast'!$F$5:$F$85="Marketing"),--('New Hires Forecast'!$H$5:$H$85&gt;=Marketing!BF$3),'New Hires Forecast'!$Q$5:$Q$85,'New Hires Forecast'!$L$5:$L$85)/12),0),IF(YEAR(BF$3)=YEAR('New Hires Forecast'!$R$3),IF((BF$5&lt;=12),(SUMPRODUCT(--('New Hires Forecast'!$F$5:$F$85="Marketing"),--('New Hires Forecast'!$H$5:$H$85&gt;=Marketing!BF$3),'New Hires Forecast'!$R$5:$R$85,'New Hires Forecast'!$L$5:$L$85)/12),0),"New Year"))))),0)</f>
        <v>6851.645833333333</v>
      </c>
      <c r="BG15" s="668">
        <f>IF(BG$4="forecast",IF(YEAR(BG$3)=YEAR('New Hires Forecast'!$N$3),IF((BG$5&lt;=12),(SUMPRODUCT(--('New Hires Forecast'!$F$5:$F$85="Marketing"),--('New Hires Forecast'!$H$5:$H$85&gt;=Marketing!BG$3),'New Hires Forecast'!$N$5:$N$85,'New Hires Forecast'!$L$5:$L$85)/12),0),IF(YEAR(BG$3)=YEAR('New Hires Forecast'!$O$3),IF((BG$5&lt;=12),(SUMPRODUCT(--('New Hires Forecast'!$F$5:$F$85="Marketing"),--('New Hires Forecast'!$H$5:$H$85&gt;=Marketing!BG$3),'New Hires Forecast'!$O$5:$O$85,'New Hires Forecast'!$L$5:$L$85)/12),0),IF(YEAR(BG$3)=YEAR('New Hires Forecast'!$P$3),IF((BG$5&lt;=12),(SUMPRODUCT(--('New Hires Forecast'!$F$5:$F$85="Marketing"),--('New Hires Forecast'!$H$5:$H$85&gt;=Marketing!BG$3),'New Hires Forecast'!$P$5:$P$85,'New Hires Forecast'!$L$5:$L$85)/12),0),IF(YEAR(BG$3)=YEAR('New Hires Forecast'!$Q$3),IF((BG$5&lt;=12),(SUMPRODUCT(--('New Hires Forecast'!$F$5:$F$85="Marketing"),--('New Hires Forecast'!$H$5:$H$85&gt;=Marketing!BG$3),'New Hires Forecast'!$Q$5:$Q$85,'New Hires Forecast'!$L$5:$L$85)/12),0),IF(YEAR(BG$3)=YEAR('New Hires Forecast'!$R$3),IF((BG$5&lt;=12),(SUMPRODUCT(--('New Hires Forecast'!$F$5:$F$85="Marketing"),--('New Hires Forecast'!$H$5:$H$85&gt;=Marketing!BG$3),'New Hires Forecast'!$R$5:$R$85,'New Hires Forecast'!$L$5:$L$85)/12),0),"New Year"))))),0)</f>
        <v>6851.645833333333</v>
      </c>
      <c r="BH15" s="668">
        <f>IF(BH$4="forecast",IF(YEAR(BH$3)=YEAR('New Hires Forecast'!$N$3),IF((BH$5&lt;=12),(SUMPRODUCT(--('New Hires Forecast'!$F$5:$F$85="Marketing"),--('New Hires Forecast'!$H$5:$H$85&gt;=Marketing!BH$3),'New Hires Forecast'!$N$5:$N$85,'New Hires Forecast'!$L$5:$L$85)/12),0),IF(YEAR(BH$3)=YEAR('New Hires Forecast'!$O$3),IF((BH$5&lt;=12),(SUMPRODUCT(--('New Hires Forecast'!$F$5:$F$85="Marketing"),--('New Hires Forecast'!$H$5:$H$85&gt;=Marketing!BH$3),'New Hires Forecast'!$O$5:$O$85,'New Hires Forecast'!$L$5:$L$85)/12),0),IF(YEAR(BH$3)=YEAR('New Hires Forecast'!$P$3),IF((BH$5&lt;=12),(SUMPRODUCT(--('New Hires Forecast'!$F$5:$F$85="Marketing"),--('New Hires Forecast'!$H$5:$H$85&gt;=Marketing!BH$3),'New Hires Forecast'!$P$5:$P$85,'New Hires Forecast'!$L$5:$L$85)/12),0),IF(YEAR(BH$3)=YEAR('New Hires Forecast'!$Q$3),IF((BH$5&lt;=12),(SUMPRODUCT(--('New Hires Forecast'!$F$5:$F$85="Marketing"),--('New Hires Forecast'!$H$5:$H$85&gt;=Marketing!BH$3),'New Hires Forecast'!$Q$5:$Q$85,'New Hires Forecast'!$L$5:$L$85)/12),0),IF(YEAR(BH$3)=YEAR('New Hires Forecast'!$R$3),IF((BH$5&lt;=12),(SUMPRODUCT(--('New Hires Forecast'!$F$5:$F$85="Marketing"),--('New Hires Forecast'!$H$5:$H$85&gt;=Marketing!BH$3),'New Hires Forecast'!$R$5:$R$85,'New Hires Forecast'!$L$5:$L$85)/12),0),"New Year"))))),0)</f>
        <v>6851.645833333333</v>
      </c>
      <c r="BI15" s="668">
        <f>IF(BI$4="forecast",IF(YEAR(BI$3)=YEAR('New Hires Forecast'!$N$3),IF((BI$5&lt;=12),(SUMPRODUCT(--('New Hires Forecast'!$F$5:$F$85="Marketing"),--('New Hires Forecast'!$H$5:$H$85&gt;=Marketing!BI$3),'New Hires Forecast'!$N$5:$N$85,'New Hires Forecast'!$L$5:$L$85)/12),0),IF(YEAR(BI$3)=YEAR('New Hires Forecast'!$O$3),IF((BI$5&lt;=12),(SUMPRODUCT(--('New Hires Forecast'!$F$5:$F$85="Marketing"),--('New Hires Forecast'!$H$5:$H$85&gt;=Marketing!BI$3),'New Hires Forecast'!$O$5:$O$85,'New Hires Forecast'!$L$5:$L$85)/12),0),IF(YEAR(BI$3)=YEAR('New Hires Forecast'!$P$3),IF((BI$5&lt;=12),(SUMPRODUCT(--('New Hires Forecast'!$F$5:$F$85="Marketing"),--('New Hires Forecast'!$H$5:$H$85&gt;=Marketing!BI$3),'New Hires Forecast'!$P$5:$P$85,'New Hires Forecast'!$L$5:$L$85)/12),0),IF(YEAR(BI$3)=YEAR('New Hires Forecast'!$Q$3),IF((BI$5&lt;=12),(SUMPRODUCT(--('New Hires Forecast'!$F$5:$F$85="Marketing"),--('New Hires Forecast'!$H$5:$H$85&gt;=Marketing!BI$3),'New Hires Forecast'!$Q$5:$Q$85,'New Hires Forecast'!$L$5:$L$85)/12),0),IF(YEAR(BI$3)=YEAR('New Hires Forecast'!$R$3),IF((BI$5&lt;=12),(SUMPRODUCT(--('New Hires Forecast'!$F$5:$F$85="Marketing"),--('New Hires Forecast'!$H$5:$H$85&gt;=Marketing!BI$3),'New Hires Forecast'!$R$5:$R$85,'New Hires Forecast'!$L$5:$L$85)/12),0),"New Year"))))),0)</f>
        <v>6851.645833333333</v>
      </c>
      <c r="BJ15" s="668">
        <f>IF(BJ$4="forecast",IF(YEAR(BJ$3)=YEAR('New Hires Forecast'!$N$3),IF((BJ$5&lt;=12),(SUMPRODUCT(--('New Hires Forecast'!$F$5:$F$85="Marketing"),--('New Hires Forecast'!$H$5:$H$85&gt;=Marketing!BJ$3),'New Hires Forecast'!$N$5:$N$85,'New Hires Forecast'!$L$5:$L$85)/12),0),IF(YEAR(BJ$3)=YEAR('New Hires Forecast'!$O$3),IF((BJ$5&lt;=12),(SUMPRODUCT(--('New Hires Forecast'!$F$5:$F$85="Marketing"),--('New Hires Forecast'!$H$5:$H$85&gt;=Marketing!BJ$3),'New Hires Forecast'!$O$5:$O$85,'New Hires Forecast'!$L$5:$L$85)/12),0),IF(YEAR(BJ$3)=YEAR('New Hires Forecast'!$P$3),IF((BJ$5&lt;=12),(SUMPRODUCT(--('New Hires Forecast'!$F$5:$F$85="Marketing"),--('New Hires Forecast'!$H$5:$H$85&gt;=Marketing!BJ$3),'New Hires Forecast'!$P$5:$P$85,'New Hires Forecast'!$L$5:$L$85)/12),0),IF(YEAR(BJ$3)=YEAR('New Hires Forecast'!$Q$3),IF((BJ$5&lt;=12),(SUMPRODUCT(--('New Hires Forecast'!$F$5:$F$85="Marketing"),--('New Hires Forecast'!$H$5:$H$85&gt;=Marketing!BJ$3),'New Hires Forecast'!$Q$5:$Q$85,'New Hires Forecast'!$L$5:$L$85)/12),0),IF(YEAR(BJ$3)=YEAR('New Hires Forecast'!$R$3),IF((BJ$5&lt;=12),(SUMPRODUCT(--('New Hires Forecast'!$F$5:$F$85="Marketing"),--('New Hires Forecast'!$H$5:$H$85&gt;=Marketing!BJ$3),'New Hires Forecast'!$R$5:$R$85,'New Hires Forecast'!$L$5:$L$85)/12),0),"New Year"))))),0)</f>
        <v>6851.645833333333</v>
      </c>
      <c r="BK15" s="668">
        <f>IF(BK$4="forecast",IF(YEAR(BK$3)=YEAR('New Hires Forecast'!$N$3),IF((BK$5&lt;=12),(SUMPRODUCT(--('New Hires Forecast'!$F$5:$F$85="Marketing"),--('New Hires Forecast'!$H$5:$H$85&gt;=Marketing!BK$3),'New Hires Forecast'!$N$5:$N$85,'New Hires Forecast'!$L$5:$L$85)/12),0),IF(YEAR(BK$3)=YEAR('New Hires Forecast'!$O$3),IF((BK$5&lt;=12),(SUMPRODUCT(--('New Hires Forecast'!$F$5:$F$85="Marketing"),--('New Hires Forecast'!$H$5:$H$85&gt;=Marketing!BK$3),'New Hires Forecast'!$O$5:$O$85,'New Hires Forecast'!$L$5:$L$85)/12),0),IF(YEAR(BK$3)=YEAR('New Hires Forecast'!$P$3),IF((BK$5&lt;=12),(SUMPRODUCT(--('New Hires Forecast'!$F$5:$F$85="Marketing"),--('New Hires Forecast'!$H$5:$H$85&gt;=Marketing!BK$3),'New Hires Forecast'!$P$5:$P$85,'New Hires Forecast'!$L$5:$L$85)/12),0),IF(YEAR(BK$3)=YEAR('New Hires Forecast'!$Q$3),IF((BK$5&lt;=12),(SUMPRODUCT(--('New Hires Forecast'!$F$5:$F$85="Marketing"),--('New Hires Forecast'!$H$5:$H$85&gt;=Marketing!BK$3),'New Hires Forecast'!$Q$5:$Q$85,'New Hires Forecast'!$L$5:$L$85)/12),0),IF(YEAR(BK$3)=YEAR('New Hires Forecast'!$R$3),IF((BK$5&lt;=12),(SUMPRODUCT(--('New Hires Forecast'!$F$5:$F$85="Marketing"),--('New Hires Forecast'!$H$5:$H$85&gt;=Marketing!BK$3),'New Hires Forecast'!$R$5:$R$85,'New Hires Forecast'!$L$5:$L$85)/12),0),"New Year"))))),0)</f>
        <v>7057.1952083333344</v>
      </c>
      <c r="BL15" s="668">
        <f>IF(BL$4="forecast",IF(YEAR(BL$3)=YEAR('New Hires Forecast'!$N$3),IF((BL$5&lt;=12),(SUMPRODUCT(--('New Hires Forecast'!$F$5:$F$85="Marketing"),--('New Hires Forecast'!$H$5:$H$85&gt;=Marketing!BL$3),'New Hires Forecast'!$N$5:$N$85,'New Hires Forecast'!$L$5:$L$85)/12),0),IF(YEAR(BL$3)=YEAR('New Hires Forecast'!$O$3),IF((BL$5&lt;=12),(SUMPRODUCT(--('New Hires Forecast'!$F$5:$F$85="Marketing"),--('New Hires Forecast'!$H$5:$H$85&gt;=Marketing!BL$3),'New Hires Forecast'!$O$5:$O$85,'New Hires Forecast'!$L$5:$L$85)/12),0),IF(YEAR(BL$3)=YEAR('New Hires Forecast'!$P$3),IF((BL$5&lt;=12),(SUMPRODUCT(--('New Hires Forecast'!$F$5:$F$85="Marketing"),--('New Hires Forecast'!$H$5:$H$85&gt;=Marketing!BL$3),'New Hires Forecast'!$P$5:$P$85,'New Hires Forecast'!$L$5:$L$85)/12),0),IF(YEAR(BL$3)=YEAR('New Hires Forecast'!$Q$3),IF((BL$5&lt;=12),(SUMPRODUCT(--('New Hires Forecast'!$F$5:$F$85="Marketing"),--('New Hires Forecast'!$H$5:$H$85&gt;=Marketing!BL$3),'New Hires Forecast'!$Q$5:$Q$85,'New Hires Forecast'!$L$5:$L$85)/12),0),IF(YEAR(BL$3)=YEAR('New Hires Forecast'!$R$3),IF((BL$5&lt;=12),(SUMPRODUCT(--('New Hires Forecast'!$F$5:$F$85="Marketing"),--('New Hires Forecast'!$H$5:$H$85&gt;=Marketing!BL$3),'New Hires Forecast'!$R$5:$R$85,'New Hires Forecast'!$L$5:$L$85)/12),0),"New Year"))))),0)</f>
        <v>7057.1952083333344</v>
      </c>
      <c r="BM15" s="668">
        <f>IF(BM$4="forecast",IF(YEAR(BM$3)=YEAR('New Hires Forecast'!$N$3),IF((BM$5&lt;=12),(SUMPRODUCT(--('New Hires Forecast'!$F$5:$F$85="Marketing"),--('New Hires Forecast'!$H$5:$H$85&gt;=Marketing!BM$3),'New Hires Forecast'!$N$5:$N$85,'New Hires Forecast'!$L$5:$L$85)/12),0),IF(YEAR(BM$3)=YEAR('New Hires Forecast'!$O$3),IF((BM$5&lt;=12),(SUMPRODUCT(--('New Hires Forecast'!$F$5:$F$85="Marketing"),--('New Hires Forecast'!$H$5:$H$85&gt;=Marketing!BM$3),'New Hires Forecast'!$O$5:$O$85,'New Hires Forecast'!$L$5:$L$85)/12),0),IF(YEAR(BM$3)=YEAR('New Hires Forecast'!$P$3),IF((BM$5&lt;=12),(SUMPRODUCT(--('New Hires Forecast'!$F$5:$F$85="Marketing"),--('New Hires Forecast'!$H$5:$H$85&gt;=Marketing!BM$3),'New Hires Forecast'!$P$5:$P$85,'New Hires Forecast'!$L$5:$L$85)/12),0),IF(YEAR(BM$3)=YEAR('New Hires Forecast'!$Q$3),IF((BM$5&lt;=12),(SUMPRODUCT(--('New Hires Forecast'!$F$5:$F$85="Marketing"),--('New Hires Forecast'!$H$5:$H$85&gt;=Marketing!BM$3),'New Hires Forecast'!$Q$5:$Q$85,'New Hires Forecast'!$L$5:$L$85)/12),0),IF(YEAR(BM$3)=YEAR('New Hires Forecast'!$R$3),IF((BM$5&lt;=12),(SUMPRODUCT(--('New Hires Forecast'!$F$5:$F$85="Marketing"),--('New Hires Forecast'!$H$5:$H$85&gt;=Marketing!BM$3),'New Hires Forecast'!$R$5:$R$85,'New Hires Forecast'!$L$5:$L$85)/12),0),"New Year"))))),0)</f>
        <v>7057.1952083333344</v>
      </c>
      <c r="BN15" s="668">
        <f>IF(BN$4="forecast",IF(YEAR(BN$3)=YEAR('New Hires Forecast'!$N$3),IF((BN$5&lt;=12),(SUMPRODUCT(--('New Hires Forecast'!$F$5:$F$85="Marketing"),--('New Hires Forecast'!$H$5:$H$85&gt;=Marketing!BN$3),'New Hires Forecast'!$N$5:$N$85,'New Hires Forecast'!$L$5:$L$85)/12),0),IF(YEAR(BN$3)=YEAR('New Hires Forecast'!$O$3),IF((BN$5&lt;=12),(SUMPRODUCT(--('New Hires Forecast'!$F$5:$F$85="Marketing"),--('New Hires Forecast'!$H$5:$H$85&gt;=Marketing!BN$3),'New Hires Forecast'!$O$5:$O$85,'New Hires Forecast'!$L$5:$L$85)/12),0),IF(YEAR(BN$3)=YEAR('New Hires Forecast'!$P$3),IF((BN$5&lt;=12),(SUMPRODUCT(--('New Hires Forecast'!$F$5:$F$85="Marketing"),--('New Hires Forecast'!$H$5:$H$85&gt;=Marketing!BN$3),'New Hires Forecast'!$P$5:$P$85,'New Hires Forecast'!$L$5:$L$85)/12),0),IF(YEAR(BN$3)=YEAR('New Hires Forecast'!$Q$3),IF((BN$5&lt;=12),(SUMPRODUCT(--('New Hires Forecast'!$F$5:$F$85="Marketing"),--('New Hires Forecast'!$H$5:$H$85&gt;=Marketing!BN$3),'New Hires Forecast'!$Q$5:$Q$85,'New Hires Forecast'!$L$5:$L$85)/12),0),IF(YEAR(BN$3)=YEAR('New Hires Forecast'!$R$3),IF((BN$5&lt;=12),(SUMPRODUCT(--('New Hires Forecast'!$F$5:$F$85="Marketing"),--('New Hires Forecast'!$H$5:$H$85&gt;=Marketing!BN$3),'New Hires Forecast'!$R$5:$R$85,'New Hires Forecast'!$L$5:$L$85)/12),0),"New Year"))))),0)</f>
        <v>7057.1952083333344</v>
      </c>
      <c r="BO15" s="668">
        <f>IF(BO$4="forecast",IF(YEAR(BO$3)=YEAR('New Hires Forecast'!$N$3),IF((BO$5&lt;=12),(SUMPRODUCT(--('New Hires Forecast'!$F$5:$F$85="Marketing"),--('New Hires Forecast'!$H$5:$H$85&gt;=Marketing!BO$3),'New Hires Forecast'!$N$5:$N$85,'New Hires Forecast'!$L$5:$L$85)/12),0),IF(YEAR(BO$3)=YEAR('New Hires Forecast'!$O$3),IF((BO$5&lt;=12),(SUMPRODUCT(--('New Hires Forecast'!$F$5:$F$85="Marketing"),--('New Hires Forecast'!$H$5:$H$85&gt;=Marketing!BO$3),'New Hires Forecast'!$O$5:$O$85,'New Hires Forecast'!$L$5:$L$85)/12),0),IF(YEAR(BO$3)=YEAR('New Hires Forecast'!$P$3),IF((BO$5&lt;=12),(SUMPRODUCT(--('New Hires Forecast'!$F$5:$F$85="Marketing"),--('New Hires Forecast'!$H$5:$H$85&gt;=Marketing!BO$3),'New Hires Forecast'!$P$5:$P$85,'New Hires Forecast'!$L$5:$L$85)/12),0),IF(YEAR(BO$3)=YEAR('New Hires Forecast'!$Q$3),IF((BO$5&lt;=12),(SUMPRODUCT(--('New Hires Forecast'!$F$5:$F$85="Marketing"),--('New Hires Forecast'!$H$5:$H$85&gt;=Marketing!BO$3),'New Hires Forecast'!$Q$5:$Q$85,'New Hires Forecast'!$L$5:$L$85)/12),0),IF(YEAR(BO$3)=YEAR('New Hires Forecast'!$R$3),IF((BO$5&lt;=12),(SUMPRODUCT(--('New Hires Forecast'!$F$5:$F$85="Marketing"),--('New Hires Forecast'!$H$5:$H$85&gt;=Marketing!BO$3),'New Hires Forecast'!$R$5:$R$85,'New Hires Forecast'!$L$5:$L$85)/12),0),"New Year"))))),0)</f>
        <v>7057.1952083333344</v>
      </c>
      <c r="BP15" s="668">
        <f>IF(BP$4="forecast",IF(YEAR(BP$3)=YEAR('New Hires Forecast'!$N$3),IF((BP$5&lt;=12),(SUMPRODUCT(--('New Hires Forecast'!$F$5:$F$85="Marketing"),--('New Hires Forecast'!$H$5:$H$85&gt;=Marketing!BP$3),'New Hires Forecast'!$N$5:$N$85,'New Hires Forecast'!$L$5:$L$85)/12),0),IF(YEAR(BP$3)=YEAR('New Hires Forecast'!$O$3),IF((BP$5&lt;=12),(SUMPRODUCT(--('New Hires Forecast'!$F$5:$F$85="Marketing"),--('New Hires Forecast'!$H$5:$H$85&gt;=Marketing!BP$3),'New Hires Forecast'!$O$5:$O$85,'New Hires Forecast'!$L$5:$L$85)/12),0),IF(YEAR(BP$3)=YEAR('New Hires Forecast'!$P$3),IF((BP$5&lt;=12),(SUMPRODUCT(--('New Hires Forecast'!$F$5:$F$85="Marketing"),--('New Hires Forecast'!$H$5:$H$85&gt;=Marketing!BP$3),'New Hires Forecast'!$P$5:$P$85,'New Hires Forecast'!$L$5:$L$85)/12),0),IF(YEAR(BP$3)=YEAR('New Hires Forecast'!$Q$3),IF((BP$5&lt;=12),(SUMPRODUCT(--('New Hires Forecast'!$F$5:$F$85="Marketing"),--('New Hires Forecast'!$H$5:$H$85&gt;=Marketing!BP$3),'New Hires Forecast'!$Q$5:$Q$85,'New Hires Forecast'!$L$5:$L$85)/12),0),IF(YEAR(BP$3)=YEAR('New Hires Forecast'!$R$3),IF((BP$5&lt;=12),(SUMPRODUCT(--('New Hires Forecast'!$F$5:$F$85="Marketing"),--('New Hires Forecast'!$H$5:$H$85&gt;=Marketing!BP$3),'New Hires Forecast'!$R$5:$R$85,'New Hires Forecast'!$L$5:$L$85)/12),0),"New Year"))))),0)</f>
        <v>7057.1952083333344</v>
      </c>
      <c r="BQ15" s="668">
        <f>IF(BQ$4="forecast",IF(YEAR(BQ$3)=YEAR('New Hires Forecast'!$N$3),IF((BQ$5&lt;=12),(SUMPRODUCT(--('New Hires Forecast'!$F$5:$F$85="Marketing"),--('New Hires Forecast'!$H$5:$H$85&gt;=Marketing!BQ$3),'New Hires Forecast'!$N$5:$N$85,'New Hires Forecast'!$L$5:$L$85)/12),0),IF(YEAR(BQ$3)=YEAR('New Hires Forecast'!$O$3),IF((BQ$5&lt;=12),(SUMPRODUCT(--('New Hires Forecast'!$F$5:$F$85="Marketing"),--('New Hires Forecast'!$H$5:$H$85&gt;=Marketing!BQ$3),'New Hires Forecast'!$O$5:$O$85,'New Hires Forecast'!$L$5:$L$85)/12),0),IF(YEAR(BQ$3)=YEAR('New Hires Forecast'!$P$3),IF((BQ$5&lt;=12),(SUMPRODUCT(--('New Hires Forecast'!$F$5:$F$85="Marketing"),--('New Hires Forecast'!$H$5:$H$85&gt;=Marketing!BQ$3),'New Hires Forecast'!$P$5:$P$85,'New Hires Forecast'!$L$5:$L$85)/12),0),IF(YEAR(BQ$3)=YEAR('New Hires Forecast'!$Q$3),IF((BQ$5&lt;=12),(SUMPRODUCT(--('New Hires Forecast'!$F$5:$F$85="Marketing"),--('New Hires Forecast'!$H$5:$H$85&gt;=Marketing!BQ$3),'New Hires Forecast'!$Q$5:$Q$85,'New Hires Forecast'!$L$5:$L$85)/12),0),IF(YEAR(BQ$3)=YEAR('New Hires Forecast'!$R$3),IF((BQ$5&lt;=12),(SUMPRODUCT(--('New Hires Forecast'!$F$5:$F$85="Marketing"),--('New Hires Forecast'!$H$5:$H$85&gt;=Marketing!BQ$3),'New Hires Forecast'!$R$5:$R$85,'New Hires Forecast'!$L$5:$L$85)/12),0),"New Year"))))),0)</f>
        <v>7057.1952083333344</v>
      </c>
      <c r="BR15" s="668">
        <f>IF(BR$4="forecast",IF(YEAR(BR$3)=YEAR('New Hires Forecast'!$N$3),IF((BR$5&lt;=12),(SUMPRODUCT(--('New Hires Forecast'!$F$5:$F$85="Marketing"),--('New Hires Forecast'!$H$5:$H$85&gt;=Marketing!BR$3),'New Hires Forecast'!$N$5:$N$85,'New Hires Forecast'!$L$5:$L$85)/12),0),IF(YEAR(BR$3)=YEAR('New Hires Forecast'!$O$3),IF((BR$5&lt;=12),(SUMPRODUCT(--('New Hires Forecast'!$F$5:$F$85="Marketing"),--('New Hires Forecast'!$H$5:$H$85&gt;=Marketing!BR$3),'New Hires Forecast'!$O$5:$O$85,'New Hires Forecast'!$L$5:$L$85)/12),0),IF(YEAR(BR$3)=YEAR('New Hires Forecast'!$P$3),IF((BR$5&lt;=12),(SUMPRODUCT(--('New Hires Forecast'!$F$5:$F$85="Marketing"),--('New Hires Forecast'!$H$5:$H$85&gt;=Marketing!BR$3),'New Hires Forecast'!$P$5:$P$85,'New Hires Forecast'!$L$5:$L$85)/12),0),IF(YEAR(BR$3)=YEAR('New Hires Forecast'!$Q$3),IF((BR$5&lt;=12),(SUMPRODUCT(--('New Hires Forecast'!$F$5:$F$85="Marketing"),--('New Hires Forecast'!$H$5:$H$85&gt;=Marketing!BR$3),'New Hires Forecast'!$Q$5:$Q$85,'New Hires Forecast'!$L$5:$L$85)/12),0),IF(YEAR(BR$3)=YEAR('New Hires Forecast'!$R$3),IF((BR$5&lt;=12),(SUMPRODUCT(--('New Hires Forecast'!$F$5:$F$85="Marketing"),--('New Hires Forecast'!$H$5:$H$85&gt;=Marketing!BR$3),'New Hires Forecast'!$R$5:$R$85,'New Hires Forecast'!$L$5:$L$85)/12),0),"New Year"))))),0)</f>
        <v>7057.1952083333344</v>
      </c>
      <c r="BS15" s="668">
        <f>IF(BS$4="forecast",IF(YEAR(BS$3)=YEAR('New Hires Forecast'!$N$3),IF((BS$5&lt;=12),(SUMPRODUCT(--('New Hires Forecast'!$F$5:$F$85="Marketing"),--('New Hires Forecast'!$H$5:$H$85&gt;=Marketing!BS$3),'New Hires Forecast'!$N$5:$N$85,'New Hires Forecast'!$L$5:$L$85)/12),0),IF(YEAR(BS$3)=YEAR('New Hires Forecast'!$O$3),IF((BS$5&lt;=12),(SUMPRODUCT(--('New Hires Forecast'!$F$5:$F$85="Marketing"),--('New Hires Forecast'!$H$5:$H$85&gt;=Marketing!BS$3),'New Hires Forecast'!$O$5:$O$85,'New Hires Forecast'!$L$5:$L$85)/12),0),IF(YEAR(BS$3)=YEAR('New Hires Forecast'!$P$3),IF((BS$5&lt;=12),(SUMPRODUCT(--('New Hires Forecast'!$F$5:$F$85="Marketing"),--('New Hires Forecast'!$H$5:$H$85&gt;=Marketing!BS$3),'New Hires Forecast'!$P$5:$P$85,'New Hires Forecast'!$L$5:$L$85)/12),0),IF(YEAR(BS$3)=YEAR('New Hires Forecast'!$Q$3),IF((BS$5&lt;=12),(SUMPRODUCT(--('New Hires Forecast'!$F$5:$F$85="Marketing"),--('New Hires Forecast'!$H$5:$H$85&gt;=Marketing!BS$3),'New Hires Forecast'!$Q$5:$Q$85,'New Hires Forecast'!$L$5:$L$85)/12),0),IF(YEAR(BS$3)=YEAR('New Hires Forecast'!$R$3),IF((BS$5&lt;=12),(SUMPRODUCT(--('New Hires Forecast'!$F$5:$F$85="Marketing"),--('New Hires Forecast'!$H$5:$H$85&gt;=Marketing!BS$3),'New Hires Forecast'!$R$5:$R$85,'New Hires Forecast'!$L$5:$L$85)/12),0),"New Year"))))),0)</f>
        <v>7057.1952083333344</v>
      </c>
      <c r="BT15" s="668">
        <f>IF(BT$4="forecast",IF(YEAR(BT$3)=YEAR('New Hires Forecast'!$N$3),IF((BT$5&lt;=12),(SUMPRODUCT(--('New Hires Forecast'!$F$5:$F$85="Marketing"),--('New Hires Forecast'!$H$5:$H$85&gt;=Marketing!BT$3),'New Hires Forecast'!$N$5:$N$85,'New Hires Forecast'!$L$5:$L$85)/12),0),IF(YEAR(BT$3)=YEAR('New Hires Forecast'!$O$3),IF((BT$5&lt;=12),(SUMPRODUCT(--('New Hires Forecast'!$F$5:$F$85="Marketing"),--('New Hires Forecast'!$H$5:$H$85&gt;=Marketing!BT$3),'New Hires Forecast'!$O$5:$O$85,'New Hires Forecast'!$L$5:$L$85)/12),0),IF(YEAR(BT$3)=YEAR('New Hires Forecast'!$P$3),IF((BT$5&lt;=12),(SUMPRODUCT(--('New Hires Forecast'!$F$5:$F$85="Marketing"),--('New Hires Forecast'!$H$5:$H$85&gt;=Marketing!BT$3),'New Hires Forecast'!$P$5:$P$85,'New Hires Forecast'!$L$5:$L$85)/12),0),IF(YEAR(BT$3)=YEAR('New Hires Forecast'!$Q$3),IF((BT$5&lt;=12),(SUMPRODUCT(--('New Hires Forecast'!$F$5:$F$85="Marketing"),--('New Hires Forecast'!$H$5:$H$85&gt;=Marketing!BT$3),'New Hires Forecast'!$Q$5:$Q$85,'New Hires Forecast'!$L$5:$L$85)/12),0),IF(YEAR(BT$3)=YEAR('New Hires Forecast'!$R$3),IF((BT$5&lt;=12),(SUMPRODUCT(--('New Hires Forecast'!$F$5:$F$85="Marketing"),--('New Hires Forecast'!$H$5:$H$85&gt;=Marketing!BT$3),'New Hires Forecast'!$R$5:$R$85,'New Hires Forecast'!$L$5:$L$85)/12),0),"New Year"))))),0)</f>
        <v>7057.1952083333344</v>
      </c>
      <c r="BU15" s="668">
        <f>IF(BU$4="forecast",IF(YEAR(BU$3)=YEAR('New Hires Forecast'!$N$3),IF((BU$5&lt;=12),(SUMPRODUCT(--('New Hires Forecast'!$F$5:$F$85="Marketing"),--('New Hires Forecast'!$H$5:$H$85&gt;=Marketing!BU$3),'New Hires Forecast'!$N$5:$N$85,'New Hires Forecast'!$L$5:$L$85)/12),0),IF(YEAR(BU$3)=YEAR('New Hires Forecast'!$O$3),IF((BU$5&lt;=12),(SUMPRODUCT(--('New Hires Forecast'!$F$5:$F$85="Marketing"),--('New Hires Forecast'!$H$5:$H$85&gt;=Marketing!BU$3),'New Hires Forecast'!$O$5:$O$85,'New Hires Forecast'!$L$5:$L$85)/12),0),IF(YEAR(BU$3)=YEAR('New Hires Forecast'!$P$3),IF((BU$5&lt;=12),(SUMPRODUCT(--('New Hires Forecast'!$F$5:$F$85="Marketing"),--('New Hires Forecast'!$H$5:$H$85&gt;=Marketing!BU$3),'New Hires Forecast'!$P$5:$P$85,'New Hires Forecast'!$L$5:$L$85)/12),0),IF(YEAR(BU$3)=YEAR('New Hires Forecast'!$Q$3),IF((BU$5&lt;=12),(SUMPRODUCT(--('New Hires Forecast'!$F$5:$F$85="Marketing"),--('New Hires Forecast'!$H$5:$H$85&gt;=Marketing!BU$3),'New Hires Forecast'!$Q$5:$Q$85,'New Hires Forecast'!$L$5:$L$85)/12),0),IF(YEAR(BU$3)=YEAR('New Hires Forecast'!$R$3),IF((BU$5&lt;=12),(SUMPRODUCT(--('New Hires Forecast'!$F$5:$F$85="Marketing"),--('New Hires Forecast'!$H$5:$H$85&gt;=Marketing!BU$3),'New Hires Forecast'!$R$5:$R$85,'New Hires Forecast'!$L$5:$L$85)/12),0),"New Year"))))),0)</f>
        <v>7057.1952083333344</v>
      </c>
      <c r="BV15" s="790">
        <f>IF(BV$4="forecast",IF(YEAR(BV$3)=YEAR('New Hires Forecast'!$N$3),IF((BV$5&lt;=12),(SUMPRODUCT(--('New Hires Forecast'!$F$5:$F$85="Marketing"),--('New Hires Forecast'!$H$5:$H$85&gt;=Marketing!BV$3),'New Hires Forecast'!$N$5:$N$85,'New Hires Forecast'!$L$5:$L$85)/12),0),IF(YEAR(BV$3)=YEAR('New Hires Forecast'!$O$3),IF((BV$5&lt;=12),(SUMPRODUCT(--('New Hires Forecast'!$F$5:$F$85="Marketing"),--('New Hires Forecast'!$H$5:$H$85&gt;=Marketing!BV$3),'New Hires Forecast'!$O$5:$O$85,'New Hires Forecast'!$L$5:$L$85)/12),0),IF(YEAR(BV$3)=YEAR('New Hires Forecast'!$P$3),IF((BV$5&lt;=12),(SUMPRODUCT(--('New Hires Forecast'!$F$5:$F$85="Marketing"),--('New Hires Forecast'!$H$5:$H$85&gt;=Marketing!BV$3),'New Hires Forecast'!$P$5:$P$85,'New Hires Forecast'!$L$5:$L$85)/12),0),IF(YEAR(BV$3)=YEAR('New Hires Forecast'!$Q$3),IF((BV$5&lt;=12),(SUMPRODUCT(--('New Hires Forecast'!$F$5:$F$85="Marketing"),--('New Hires Forecast'!$H$5:$H$85&gt;=Marketing!BV$3),'New Hires Forecast'!$Q$5:$Q$85,'New Hires Forecast'!$L$5:$L$85)/12),0),IF(YEAR(BV$3)=YEAR('New Hires Forecast'!$R$3),IF((BV$5&lt;=12),(SUMPRODUCT(--('New Hires Forecast'!$F$5:$F$85="Marketing"),--('New Hires Forecast'!$H$5:$H$85&gt;=Marketing!BV$3),'New Hires Forecast'!$R$5:$R$85,'New Hires Forecast'!$L$5:$L$85)/12),0),"New Year"))))),0)</f>
        <v>7057.1952083333344</v>
      </c>
    </row>
    <row r="16" spans="2:74" x14ac:dyDescent="0.25">
      <c r="B16" s="780" t="s">
        <v>930</v>
      </c>
      <c r="C16" s="668">
        <f>IF(C$4="forecast",IF(YEAR(C$3)=YEAR(Headcount!$N$4),IF((C$5&lt;12),(SUMPRODUCT(--(Headcount!$F$6:$F$92="Marketing"),--(Headcount!$H$6:$H$92&gt;=Marketing!C$3),Headcount!$N$6:$N$92,Headcount!$L$6:$L$92)/12),0),IF(YEAR(C$3)=YEAR(Headcount!$O$4),IF((C$5&lt;=12),(SUMPRODUCT(--(Headcount!$F$6:$F$92="Marketing"),--(Headcount!$H$6:$H$92&gt;=Marketing!C$3),Headcount!$O$6:$O$92,Headcount!$L$6:$L$92)/12),0),IF(YEAR(C$3)=YEAR(Headcount!$P$4),IF((C$5&lt;=12),(SUMPRODUCT(--(Headcount!$F$6:$F$92="Marketing"),--(Headcount!$H$6:$H$92&gt;=Marketing!C$3),Headcount!$P$6:$P$92,Headcount!$L$6:$L$92)/12),0),IF(YEAR(C$3)=YEAR(Headcount!$Q$4),IF((C$5&lt;=12),(SUMPRODUCT(--(Headcount!$F$6:$F$92="Marketing"),--(Headcount!$H$6:$H$92&gt;=Marketing!C$3),Headcount!$Q$6:$Q$92,Headcount!$L$6:$L$92)/12),0),IF(YEAR(C$3)=YEAR(Headcount!$R$4),IF((C$5&lt;=12),(SUMPRODUCT(--(Headcount!$F$6:$F$92="Marketing"),--(Headcount!$H$6:$H$92&gt;=Marketing!C$3),Headcount!$R$6:$R$92,Headcount!$L$6:$L$92)/12),0),"New Year"))))),SUMIF('Dept. Cost Actuals'!$E$7:$E$176,"*bonus*",'Dept. Cost Actuals'!G$181:G$350))</f>
        <v>0</v>
      </c>
      <c r="D16" s="668">
        <f>IF(D$4="forecast",IF(YEAR(D$3)=YEAR(Headcount!$N$4),IF((D$5&lt;12),(SUMPRODUCT(--(Headcount!$F$6:$F$92="Marketing"),--(Headcount!$H$6:$H$92&gt;=Marketing!D$3),Headcount!$N$6:$N$92,Headcount!$L$6:$L$92)/12),0),IF(YEAR(D$3)=YEAR(Headcount!$O$4),IF((D$5&lt;=12),(SUMPRODUCT(--(Headcount!$F$6:$F$92="Marketing"),--(Headcount!$H$6:$H$92&gt;=Marketing!D$3),Headcount!$O$6:$O$92,Headcount!$L$6:$L$92)/12),0),IF(YEAR(D$3)=YEAR(Headcount!$P$4),IF((D$5&lt;=12),(SUMPRODUCT(--(Headcount!$F$6:$F$92="Marketing"),--(Headcount!$H$6:$H$92&gt;=Marketing!D$3),Headcount!$P$6:$P$92,Headcount!$L$6:$L$92)/12),0),IF(YEAR(D$3)=YEAR(Headcount!$Q$4),IF((D$5&lt;=12),(SUMPRODUCT(--(Headcount!$F$6:$F$92="Marketing"),--(Headcount!$H$6:$H$92&gt;=Marketing!D$3),Headcount!$Q$6:$Q$92,Headcount!$L$6:$L$92)/12),0),IF(YEAR(D$3)=YEAR(Headcount!$R$4),IF((D$5&lt;=12),(SUMPRODUCT(--(Headcount!$F$6:$F$92="Marketing"),--(Headcount!$H$6:$H$92&gt;=Marketing!D$3),Headcount!$R$6:$R$92,Headcount!$L$6:$L$92)/12),0),"New Year"))))),SUMIF('Dept. Cost Actuals'!$E$7:$E$176,"*bonus*",'Dept. Cost Actuals'!H$181:H$350))</f>
        <v>0</v>
      </c>
      <c r="E16" s="668">
        <f>IF(E$4="forecast",IF(YEAR(E$3)=YEAR(Headcount!$N$4),IF((E$5&lt;12),(SUMPRODUCT(--(Headcount!$F$6:$F$92="Marketing"),--(Headcount!$H$6:$H$92&gt;=Marketing!E$3),Headcount!$N$6:$N$92,Headcount!$L$6:$L$92)/12),0),IF(YEAR(E$3)=YEAR(Headcount!$O$4),IF((E$5&lt;=12),(SUMPRODUCT(--(Headcount!$F$6:$F$92="Marketing"),--(Headcount!$H$6:$H$92&gt;=Marketing!E$3),Headcount!$O$6:$O$92,Headcount!$L$6:$L$92)/12),0),IF(YEAR(E$3)=YEAR(Headcount!$P$4),IF((E$5&lt;=12),(SUMPRODUCT(--(Headcount!$F$6:$F$92="Marketing"),--(Headcount!$H$6:$H$92&gt;=Marketing!E$3),Headcount!$P$6:$P$92,Headcount!$L$6:$L$92)/12),0),IF(YEAR(E$3)=YEAR(Headcount!$Q$4),IF((E$5&lt;=12),(SUMPRODUCT(--(Headcount!$F$6:$F$92="Marketing"),--(Headcount!$H$6:$H$92&gt;=Marketing!E$3),Headcount!$Q$6:$Q$92,Headcount!$L$6:$L$92)/12),0),IF(YEAR(E$3)=YEAR(Headcount!$R$4),IF((E$5&lt;=12),(SUMPRODUCT(--(Headcount!$F$6:$F$92="Marketing"),--(Headcount!$H$6:$H$92&gt;=Marketing!E$3),Headcount!$R$6:$R$92,Headcount!$L$6:$L$92)/12),0),"New Year"))))),SUMIF('Dept. Cost Actuals'!$E$7:$E$176,"*bonus*",'Dept. Cost Actuals'!I$181:I$350))</f>
        <v>0</v>
      </c>
      <c r="F16" s="668">
        <f>IF(F$4="forecast",IF(YEAR(F$3)=YEAR(Headcount!$N$4),IF((F$5&lt;12),(SUMPRODUCT(--(Headcount!$F$6:$F$92="Marketing"),--(Headcount!$H$6:$H$92&gt;=Marketing!F$3),Headcount!$N$6:$N$92,Headcount!$L$6:$L$92)/12),0),IF(YEAR(F$3)=YEAR(Headcount!$O$4),IF((F$5&lt;=12),(SUMPRODUCT(--(Headcount!$F$6:$F$92="Marketing"),--(Headcount!$H$6:$H$92&gt;=Marketing!F$3),Headcount!$O$6:$O$92,Headcount!$L$6:$L$92)/12),0),IF(YEAR(F$3)=YEAR(Headcount!$P$4),IF((F$5&lt;=12),(SUMPRODUCT(--(Headcount!$F$6:$F$92="Marketing"),--(Headcount!$H$6:$H$92&gt;=Marketing!F$3),Headcount!$P$6:$P$92,Headcount!$L$6:$L$92)/12),0),IF(YEAR(F$3)=YEAR(Headcount!$Q$4),IF((F$5&lt;=12),(SUMPRODUCT(--(Headcount!$F$6:$F$92="Marketing"),--(Headcount!$H$6:$H$92&gt;=Marketing!F$3),Headcount!$Q$6:$Q$92,Headcount!$L$6:$L$92)/12),0),IF(YEAR(F$3)=YEAR(Headcount!$R$4),IF((F$5&lt;=12),(SUMPRODUCT(--(Headcount!$F$6:$F$92="Marketing"),--(Headcount!$H$6:$H$92&gt;=Marketing!F$3),Headcount!$R$6:$R$92,Headcount!$L$6:$L$92)/12),0),"New Year"))))),SUMIF('Dept. Cost Actuals'!$E$7:$E$176,"*bonus*",'Dept. Cost Actuals'!J$181:J$350))</f>
        <v>0</v>
      </c>
      <c r="G16" s="668">
        <f>IF(G$4="forecast",IF(YEAR(G$3)=YEAR(Headcount!$N$4),IF((G$5&lt;12),(SUMPRODUCT(--(Headcount!$F$6:$F$92="Marketing"),--(Headcount!$H$6:$H$92&gt;=Marketing!G$3),Headcount!$N$6:$N$92,Headcount!$L$6:$L$92)/12),0),IF(YEAR(G$3)=YEAR(Headcount!$O$4),IF((G$5&lt;=12),(SUMPRODUCT(--(Headcount!$F$6:$F$92="Marketing"),--(Headcount!$H$6:$H$92&gt;=Marketing!G$3),Headcount!$O$6:$O$92,Headcount!$L$6:$L$92)/12),0),IF(YEAR(G$3)=YEAR(Headcount!$P$4),IF((G$5&lt;=12),(SUMPRODUCT(--(Headcount!$F$6:$F$92="Marketing"),--(Headcount!$H$6:$H$92&gt;=Marketing!G$3),Headcount!$P$6:$P$92,Headcount!$L$6:$L$92)/12),0),IF(YEAR(G$3)=YEAR(Headcount!$Q$4),IF((G$5&lt;=12),(SUMPRODUCT(--(Headcount!$F$6:$F$92="Marketing"),--(Headcount!$H$6:$H$92&gt;=Marketing!G$3),Headcount!$Q$6:$Q$92,Headcount!$L$6:$L$92)/12),0),IF(YEAR(G$3)=YEAR(Headcount!$R$4),IF((G$5&lt;=12),(SUMPRODUCT(--(Headcount!$F$6:$F$92="Marketing"),--(Headcount!$H$6:$H$92&gt;=Marketing!G$3),Headcount!$R$6:$R$92,Headcount!$L$6:$L$92)/12),0),"New Year"))))),SUMIF('Dept. Cost Actuals'!$E$7:$E$176,"*bonus*",'Dept. Cost Actuals'!K$181:K$350))</f>
        <v>0</v>
      </c>
      <c r="H16" s="668">
        <f>IF(H$4="forecast",IF(YEAR(H$3)=YEAR(Headcount!$N$4),IF((H$5&lt;12),(SUMPRODUCT(--(Headcount!$F$6:$F$92="Marketing"),--(Headcount!$H$6:$H$92&gt;=Marketing!H$3),Headcount!$N$6:$N$92,Headcount!$L$6:$L$92)/12),0),IF(YEAR(H$3)=YEAR(Headcount!$O$4),IF((H$5&lt;=12),(SUMPRODUCT(--(Headcount!$F$6:$F$92="Marketing"),--(Headcount!$H$6:$H$92&gt;=Marketing!H$3),Headcount!$O$6:$O$92,Headcount!$L$6:$L$92)/12),0),IF(YEAR(H$3)=YEAR(Headcount!$P$4),IF((H$5&lt;=12),(SUMPRODUCT(--(Headcount!$F$6:$F$92="Marketing"),--(Headcount!$H$6:$H$92&gt;=Marketing!H$3),Headcount!$P$6:$P$92,Headcount!$L$6:$L$92)/12),0),IF(YEAR(H$3)=YEAR(Headcount!$Q$4),IF((H$5&lt;=12),(SUMPRODUCT(--(Headcount!$F$6:$F$92="Marketing"),--(Headcount!$H$6:$H$92&gt;=Marketing!H$3),Headcount!$Q$6:$Q$92,Headcount!$L$6:$L$92)/12),0),IF(YEAR(H$3)=YEAR(Headcount!$R$4),IF((H$5&lt;=12),(SUMPRODUCT(--(Headcount!$F$6:$F$92="Marketing"),--(Headcount!$H$6:$H$92&gt;=Marketing!H$3),Headcount!$R$6:$R$92,Headcount!$L$6:$L$92)/12),0),"New Year"))))),SUMIF('Dept. Cost Actuals'!$E$7:$E$176,"*bonus*",'Dept. Cost Actuals'!L$181:L$350))</f>
        <v>0</v>
      </c>
      <c r="I16" s="668">
        <f>IF(I$4="forecast",IF(YEAR(I$3)=YEAR(Headcount!$N$4),IF((I$5&lt;12),(SUMPRODUCT(--(Headcount!$F$6:$F$92="Marketing"),--(Headcount!$H$6:$H$92&gt;=Marketing!I$3),Headcount!$N$6:$N$92,Headcount!$L$6:$L$92)/12),0),IF(YEAR(I$3)=YEAR(Headcount!$O$4),IF((I$5&lt;=12),(SUMPRODUCT(--(Headcount!$F$6:$F$92="Marketing"),--(Headcount!$H$6:$H$92&gt;=Marketing!I$3),Headcount!$O$6:$O$92,Headcount!$L$6:$L$92)/12),0),IF(YEAR(I$3)=YEAR(Headcount!$P$4),IF((I$5&lt;=12),(SUMPRODUCT(--(Headcount!$F$6:$F$92="Marketing"),--(Headcount!$H$6:$H$92&gt;=Marketing!I$3),Headcount!$P$6:$P$92,Headcount!$L$6:$L$92)/12),0),IF(YEAR(I$3)=YEAR(Headcount!$Q$4),IF((I$5&lt;=12),(SUMPRODUCT(--(Headcount!$F$6:$F$92="Marketing"),--(Headcount!$H$6:$H$92&gt;=Marketing!I$3),Headcount!$Q$6:$Q$92,Headcount!$L$6:$L$92)/12),0),IF(YEAR(I$3)=YEAR(Headcount!$R$4),IF((I$5&lt;=12),(SUMPRODUCT(--(Headcount!$F$6:$F$92="Marketing"),--(Headcount!$H$6:$H$92&gt;=Marketing!I$3),Headcount!$R$6:$R$92,Headcount!$L$6:$L$92)/12),0),"New Year"))))),SUMIF('Dept. Cost Actuals'!$E$7:$E$176,"*bonus*",'Dept. Cost Actuals'!M$181:M$350))</f>
        <v>0</v>
      </c>
      <c r="J16" s="668">
        <f>IF(J$4="forecast",IF(YEAR(J$3)=YEAR(Headcount!$N$4),IF((J$5&lt;12),(SUMPRODUCT(--(Headcount!$F$6:$F$92="Marketing"),--(Headcount!$H$6:$H$92&gt;=Marketing!J$3),Headcount!$N$6:$N$92,Headcount!$L$6:$L$92)/12),0),IF(YEAR(J$3)=YEAR(Headcount!$O$4),IF((J$5&lt;=12),(SUMPRODUCT(--(Headcount!$F$6:$F$92="Marketing"),--(Headcount!$H$6:$H$92&gt;=Marketing!J$3),Headcount!$O$6:$O$92,Headcount!$L$6:$L$92)/12),0),IF(YEAR(J$3)=YEAR(Headcount!$P$4),IF((J$5&lt;=12),(SUMPRODUCT(--(Headcount!$F$6:$F$92="Marketing"),--(Headcount!$H$6:$H$92&gt;=Marketing!J$3),Headcount!$P$6:$P$92,Headcount!$L$6:$L$92)/12),0),IF(YEAR(J$3)=YEAR(Headcount!$Q$4),IF((J$5&lt;=12),(SUMPRODUCT(--(Headcount!$F$6:$F$92="Marketing"),--(Headcount!$H$6:$H$92&gt;=Marketing!J$3),Headcount!$Q$6:$Q$92,Headcount!$L$6:$L$92)/12),0),IF(YEAR(J$3)=YEAR(Headcount!$R$4),IF((J$5&lt;=12),(SUMPRODUCT(--(Headcount!$F$6:$F$92="Marketing"),--(Headcount!$H$6:$H$92&gt;=Marketing!J$3),Headcount!$R$6:$R$92,Headcount!$L$6:$L$92)/12),0),"New Year"))))),SUMIF('Dept. Cost Actuals'!$E$7:$E$176,"*bonus*",'Dept. Cost Actuals'!N$181:N$350))</f>
        <v>0</v>
      </c>
      <c r="K16" s="668">
        <f>IF(K$4="forecast",IF(YEAR(K$3)=YEAR(Headcount!$N$4),IF((K$5&lt;12),(SUMPRODUCT(--(Headcount!$F$6:$F$92="Marketing"),--(Headcount!$H$6:$H$92&gt;=Marketing!K$3),Headcount!$N$6:$N$92,Headcount!$L$6:$L$92)/12),0),IF(YEAR(K$3)=YEAR(Headcount!$O$4),IF((K$5&lt;=12),(SUMPRODUCT(--(Headcount!$F$6:$F$92="Marketing"),--(Headcount!$H$6:$H$92&gt;=Marketing!K$3),Headcount!$O$6:$O$92,Headcount!$L$6:$L$92)/12),0),IF(YEAR(K$3)=YEAR(Headcount!$P$4),IF((K$5&lt;=12),(SUMPRODUCT(--(Headcount!$F$6:$F$92="Marketing"),--(Headcount!$H$6:$H$92&gt;=Marketing!K$3),Headcount!$P$6:$P$92,Headcount!$L$6:$L$92)/12),0),IF(YEAR(K$3)=YEAR(Headcount!$Q$4),IF((K$5&lt;=12),(SUMPRODUCT(--(Headcount!$F$6:$F$92="Marketing"),--(Headcount!$H$6:$H$92&gt;=Marketing!K$3),Headcount!$Q$6:$Q$92,Headcount!$L$6:$L$92)/12),0),IF(YEAR(K$3)=YEAR(Headcount!$R$4),IF((K$5&lt;=12),(SUMPRODUCT(--(Headcount!$F$6:$F$92="Marketing"),--(Headcount!$H$6:$H$92&gt;=Marketing!K$3),Headcount!$R$6:$R$92,Headcount!$L$6:$L$92)/12),0),"New Year"))))),SUMIF('Dept. Cost Actuals'!$E$7:$E$176,"*bonus*",'Dept. Cost Actuals'!O$181:O$350))</f>
        <v>0</v>
      </c>
      <c r="L16" s="668">
        <f>IF(L$4="forecast",IF(YEAR(L$3)=YEAR(Headcount!$N$4),IF((L$5&lt;12),(SUMPRODUCT(--(Headcount!$F$6:$F$92="Marketing"),--(Headcount!$H$6:$H$92&gt;=Marketing!L$3),Headcount!$N$6:$N$92,Headcount!$L$6:$L$92)/12),0),IF(YEAR(L$3)=YEAR(Headcount!$O$4),IF((L$5&lt;=12),(SUMPRODUCT(--(Headcount!$F$6:$F$92="Marketing"),--(Headcount!$H$6:$H$92&gt;=Marketing!L$3),Headcount!$O$6:$O$92,Headcount!$L$6:$L$92)/12),0),IF(YEAR(L$3)=YEAR(Headcount!$P$4),IF((L$5&lt;=12),(SUMPRODUCT(--(Headcount!$F$6:$F$92="Marketing"),--(Headcount!$H$6:$H$92&gt;=Marketing!L$3),Headcount!$P$6:$P$92,Headcount!$L$6:$L$92)/12),0),IF(YEAR(L$3)=YEAR(Headcount!$Q$4),IF((L$5&lt;=12),(SUMPRODUCT(--(Headcount!$F$6:$F$92="Marketing"),--(Headcount!$H$6:$H$92&gt;=Marketing!L$3),Headcount!$Q$6:$Q$92,Headcount!$L$6:$L$92)/12),0),IF(YEAR(L$3)=YEAR(Headcount!$R$4),IF((L$5&lt;=12),(SUMPRODUCT(--(Headcount!$F$6:$F$92="Marketing"),--(Headcount!$H$6:$H$92&gt;=Marketing!L$3),Headcount!$R$6:$R$92,Headcount!$L$6:$L$92)/12),0),"New Year"))))),SUMIF('Dept. Cost Actuals'!$E$7:$E$176,"*bonus*",'Dept. Cost Actuals'!P$181:P$350))</f>
        <v>0</v>
      </c>
      <c r="M16" s="668">
        <f>IF(M$4="forecast",IF(YEAR(M$3)=YEAR(Headcount!$N$4),IF((M$5&lt;12),(SUMPRODUCT(--(Headcount!$F$6:$F$92="Marketing"),--(Headcount!$H$6:$H$92&gt;=Marketing!M$3),Headcount!$N$6:$N$92,Headcount!$L$6:$L$92)/12),0),IF(YEAR(M$3)=YEAR(Headcount!$O$4),IF((M$5&lt;=12),(SUMPRODUCT(--(Headcount!$F$6:$F$92="Marketing"),--(Headcount!$H$6:$H$92&gt;=Marketing!M$3),Headcount!$O$6:$O$92,Headcount!$L$6:$L$92)/12),0),IF(YEAR(M$3)=YEAR(Headcount!$P$4),IF((M$5&lt;=12),(SUMPRODUCT(--(Headcount!$F$6:$F$92="Marketing"),--(Headcount!$H$6:$H$92&gt;=Marketing!M$3),Headcount!$P$6:$P$92,Headcount!$L$6:$L$92)/12),0),IF(YEAR(M$3)=YEAR(Headcount!$Q$4),IF((M$5&lt;=12),(SUMPRODUCT(--(Headcount!$F$6:$F$92="Marketing"),--(Headcount!$H$6:$H$92&gt;=Marketing!M$3),Headcount!$Q$6:$Q$92,Headcount!$L$6:$L$92)/12),0),IF(YEAR(M$3)=YEAR(Headcount!$R$4),IF((M$5&lt;=12),(SUMPRODUCT(--(Headcount!$F$6:$F$92="Marketing"),--(Headcount!$H$6:$H$92&gt;=Marketing!M$3),Headcount!$R$6:$R$92,Headcount!$L$6:$L$92)/12),0),"New Year"))))),SUMIF('Dept. Cost Actuals'!$E$7:$E$176,"*bonus*",'Dept. Cost Actuals'!Q$181:Q$350))</f>
        <v>0</v>
      </c>
      <c r="N16" s="668">
        <f>IF(N$4="forecast",IF(YEAR(N$3)=YEAR(Headcount!$N$4),IF((N$5&lt;12),(SUMPRODUCT(--(Headcount!$F$6:$F$92="Marketing"),--(Headcount!$H$6:$H$92&gt;=Marketing!N$3),Headcount!$N$6:$N$92,Headcount!$L$6:$L$92)/12),0),IF(YEAR(N$3)=YEAR(Headcount!$O$4),IF((N$5&lt;=12),(SUMPRODUCT(--(Headcount!$F$6:$F$92="Marketing"),--(Headcount!$H$6:$H$92&gt;=Marketing!N$3),Headcount!$O$6:$O$92,Headcount!$L$6:$L$92)/12),0),IF(YEAR(N$3)=YEAR(Headcount!$P$4),IF((N$5&lt;=12),(SUMPRODUCT(--(Headcount!$F$6:$F$92="Marketing"),--(Headcount!$H$6:$H$92&gt;=Marketing!N$3),Headcount!$P$6:$P$92,Headcount!$L$6:$L$92)/12),0),IF(YEAR(N$3)=YEAR(Headcount!$Q$4),IF((N$5&lt;=12),(SUMPRODUCT(--(Headcount!$F$6:$F$92="Marketing"),--(Headcount!$H$6:$H$92&gt;=Marketing!N$3),Headcount!$Q$6:$Q$92,Headcount!$L$6:$L$92)/12),0),IF(YEAR(N$3)=YEAR(Headcount!$R$4),IF((N$5&lt;=12),(SUMPRODUCT(--(Headcount!$F$6:$F$92="Marketing"),--(Headcount!$H$6:$H$92&gt;=Marketing!N$3),Headcount!$R$6:$R$92,Headcount!$L$6:$L$92)/12),0),"New Year"))))),SUMIF('Dept. Cost Actuals'!$E$7:$E$176,"*bonus*",'Dept. Cost Actuals'!R$181:R$350))</f>
        <v>0</v>
      </c>
      <c r="O16" s="668">
        <f>IF(O$4="forecast",IF(YEAR(O$3)=YEAR(Headcount!$N$4),IF((O$5&lt;12),(SUMPRODUCT(--(Headcount!$F$6:$F$92="Marketing"),--(Headcount!$H$6:$H$92&gt;=Marketing!O$3),Headcount!$N$6:$N$92,Headcount!$L$6:$L$92)/12),0),IF(YEAR(O$3)=YEAR(Headcount!$O$4),IF((O$5&lt;=12),(SUMPRODUCT(--(Headcount!$F$6:$F$92="Marketing"),--(Headcount!$H$6:$H$92&gt;=Marketing!O$3),Headcount!$O$6:$O$92,Headcount!$L$6:$L$92)/12),0),IF(YEAR(O$3)=YEAR(Headcount!$P$4),IF((O$5&lt;=12),(SUMPRODUCT(--(Headcount!$F$6:$F$92="Marketing"),--(Headcount!$H$6:$H$92&gt;=Marketing!O$3),Headcount!$P$6:$P$92,Headcount!$L$6:$L$92)/12),0),IF(YEAR(O$3)=YEAR(Headcount!$Q$4),IF((O$5&lt;=12),(SUMPRODUCT(--(Headcount!$F$6:$F$92="Marketing"),--(Headcount!$H$6:$H$92&gt;=Marketing!O$3),Headcount!$Q$6:$Q$92,Headcount!$L$6:$L$92)/12),0),IF(YEAR(O$3)=YEAR(Headcount!$R$4),IF((O$5&lt;=12),(SUMPRODUCT(--(Headcount!$F$6:$F$92="Marketing"),--(Headcount!$H$6:$H$92&gt;=Marketing!O$3),Headcount!$R$6:$R$92,Headcount!$L$6:$L$92)/12),0),"New Year"))))),SUMIF('Dept. Cost Actuals'!$E$7:$E$176,"*bonus*",'Dept. Cost Actuals'!S$181:S$350))</f>
        <v>11684.59</v>
      </c>
      <c r="P16" s="668">
        <f>IF(P$4="forecast",IF(YEAR(P$3)=YEAR(Headcount!$N$4),IF((P$5&lt;12),(SUMPRODUCT(--(Headcount!$F$6:$F$92="Marketing"),--(Headcount!$H$6:$H$92&gt;=Marketing!P$3),Headcount!$N$6:$N$92,Headcount!$L$6:$L$92)/12),0),IF(YEAR(P$3)=YEAR(Headcount!$O$4),IF((P$5&lt;=12),(SUMPRODUCT(--(Headcount!$F$6:$F$92="Marketing"),--(Headcount!$H$6:$H$92&gt;=Marketing!P$3),Headcount!$O$6:$O$92,Headcount!$L$6:$L$92)/12),0),IF(YEAR(P$3)=YEAR(Headcount!$P$4),IF((P$5&lt;=12),(SUMPRODUCT(--(Headcount!$F$6:$F$92="Marketing"),--(Headcount!$H$6:$H$92&gt;=Marketing!P$3),Headcount!$P$6:$P$92,Headcount!$L$6:$L$92)/12),0),IF(YEAR(P$3)=YEAR(Headcount!$Q$4),IF((P$5&lt;=12),(SUMPRODUCT(--(Headcount!$F$6:$F$92="Marketing"),--(Headcount!$H$6:$H$92&gt;=Marketing!P$3),Headcount!$Q$6:$Q$92,Headcount!$L$6:$L$92)/12),0),IF(YEAR(P$3)=YEAR(Headcount!$R$4),IF((P$5&lt;=12),(SUMPRODUCT(--(Headcount!$F$6:$F$92="Marketing"),--(Headcount!$H$6:$H$92&gt;=Marketing!P$3),Headcount!$R$6:$R$92,Headcount!$L$6:$L$92)/12),0),"New Year"))))),SUMIF('Dept. Cost Actuals'!$E$7:$E$176,"*bonus*",'Dept. Cost Actuals'!T$181:T$350))</f>
        <v>1614.58</v>
      </c>
      <c r="Q16" s="668">
        <f>IF(Q$4="forecast",IF(YEAR(Q$3)=YEAR(Headcount!$N$4),IF((Q$5&lt;12),(SUMPRODUCT(--(Headcount!$F$6:$F$92="Marketing"),--(Headcount!$H$6:$H$92&gt;=Marketing!Q$3),Headcount!$N$6:$N$92,Headcount!$L$6:$L$92)/12),0),IF(YEAR(Q$3)=YEAR(Headcount!$O$4),IF((Q$5&lt;=12),(SUMPRODUCT(--(Headcount!$F$6:$F$92="Marketing"),--(Headcount!$H$6:$H$92&gt;=Marketing!Q$3),Headcount!$O$6:$O$92,Headcount!$L$6:$L$92)/12),0),IF(YEAR(Q$3)=YEAR(Headcount!$P$4),IF((Q$5&lt;=12),(SUMPRODUCT(--(Headcount!$F$6:$F$92="Marketing"),--(Headcount!$H$6:$H$92&gt;=Marketing!Q$3),Headcount!$P$6:$P$92,Headcount!$L$6:$L$92)/12),0),IF(YEAR(Q$3)=YEAR(Headcount!$Q$4),IF((Q$5&lt;=12),(SUMPRODUCT(--(Headcount!$F$6:$F$92="Marketing"),--(Headcount!$H$6:$H$92&gt;=Marketing!Q$3),Headcount!$Q$6:$Q$92,Headcount!$L$6:$L$92)/12),0),IF(YEAR(Q$3)=YEAR(Headcount!$R$4),IF((Q$5&lt;=12),(SUMPRODUCT(--(Headcount!$F$6:$F$92="Marketing"),--(Headcount!$H$6:$H$92&gt;=Marketing!Q$3),Headcount!$R$6:$R$92,Headcount!$L$6:$L$92)/12),0),"New Year"))))),SUMIF('Dept. Cost Actuals'!$E$7:$E$176,"*bonus*",'Dept. Cost Actuals'!U$181:U$350))</f>
        <v>1869.72</v>
      </c>
      <c r="R16" s="668">
        <f>IF(R$4="forecast",IF(YEAR(R$3)=YEAR(Headcount!$N$4),IF((R$5&lt;12),(SUMPRODUCT(--(Headcount!$F$6:$F$92="Marketing"),--(Headcount!$H$6:$H$92&gt;=Marketing!R$3),Headcount!$N$6:$N$92,Headcount!$L$6:$L$92)/12),0),IF(YEAR(R$3)=YEAR(Headcount!$O$4),IF((R$5&lt;=12),(SUMPRODUCT(--(Headcount!$F$6:$F$92="Marketing"),--(Headcount!$H$6:$H$92&gt;=Marketing!R$3),Headcount!$O$6:$O$92,Headcount!$L$6:$L$92)/12),0),IF(YEAR(R$3)=YEAR(Headcount!$P$4),IF((R$5&lt;=12),(SUMPRODUCT(--(Headcount!$F$6:$F$92="Marketing"),--(Headcount!$H$6:$H$92&gt;=Marketing!R$3),Headcount!$P$6:$P$92,Headcount!$L$6:$L$92)/12),0),IF(YEAR(R$3)=YEAR(Headcount!$Q$4),IF((R$5&lt;=12),(SUMPRODUCT(--(Headcount!$F$6:$F$92="Marketing"),--(Headcount!$H$6:$H$92&gt;=Marketing!R$3),Headcount!$Q$6:$Q$92,Headcount!$L$6:$L$92)/12),0),IF(YEAR(R$3)=YEAR(Headcount!$R$4),IF((R$5&lt;=12),(SUMPRODUCT(--(Headcount!$F$6:$F$92="Marketing"),--(Headcount!$H$6:$H$92&gt;=Marketing!R$3),Headcount!$R$6:$R$92,Headcount!$L$6:$L$92)/12),0),"New Year"))))),SUMIF('Dept. Cost Actuals'!$E$7:$E$176,"*bonus*",'Dept. Cost Actuals'!V$181:V$350))</f>
        <v>2295.4899999999998</v>
      </c>
      <c r="S16" s="668">
        <f>IF(S$4="forecast",IF(YEAR(S$3)=YEAR(Headcount!$N$4),IF((S$5&lt;12),(SUMPRODUCT(--(Headcount!$F$6:$F$92="Marketing"),--(Headcount!$H$6:$H$92&gt;=Marketing!S$3),Headcount!$N$6:$N$92,Headcount!$L$6:$L$92)/12),0),IF(YEAR(S$3)=YEAR(Headcount!$O$4),IF((S$5&lt;=12),(SUMPRODUCT(--(Headcount!$F$6:$F$92="Marketing"),--(Headcount!$H$6:$H$92&gt;=Marketing!S$3),Headcount!$O$6:$O$92,Headcount!$L$6:$L$92)/12),0),IF(YEAR(S$3)=YEAR(Headcount!$P$4),IF((S$5&lt;=12),(SUMPRODUCT(--(Headcount!$F$6:$F$92="Marketing"),--(Headcount!$H$6:$H$92&gt;=Marketing!S$3),Headcount!$P$6:$P$92,Headcount!$L$6:$L$92)/12),0),IF(YEAR(S$3)=YEAR(Headcount!$Q$4),IF((S$5&lt;=12),(SUMPRODUCT(--(Headcount!$F$6:$F$92="Marketing"),--(Headcount!$H$6:$H$92&gt;=Marketing!S$3),Headcount!$Q$6:$Q$92,Headcount!$L$6:$L$92)/12),0),IF(YEAR(S$3)=YEAR(Headcount!$R$4),IF((S$5&lt;=12),(SUMPRODUCT(--(Headcount!$F$6:$F$92="Marketing"),--(Headcount!$H$6:$H$92&gt;=Marketing!S$3),Headcount!$R$6:$R$92,Headcount!$L$6:$L$92)/12),0),"New Year"))))),SUMIF('Dept. Cost Actuals'!$E$7:$E$176,"*bonus*",'Dept. Cost Actuals'!W$181:W$350))</f>
        <v>1614.58</v>
      </c>
      <c r="T16" s="668">
        <f>IF(T$4="forecast",IF(YEAR(T$3)=YEAR(Headcount!$N$4),IF((T$5&lt;12),(SUMPRODUCT(--(Headcount!$F$6:$F$92="Marketing"),--(Headcount!$H$6:$H$92&gt;=Marketing!T$3),Headcount!$N$6:$N$92,Headcount!$L$6:$L$92)/12),0),IF(YEAR(T$3)=YEAR(Headcount!$O$4),IF((T$5&lt;=12),(SUMPRODUCT(--(Headcount!$F$6:$F$92="Marketing"),--(Headcount!$H$6:$H$92&gt;=Marketing!T$3),Headcount!$O$6:$O$92,Headcount!$L$6:$L$92)/12),0),IF(YEAR(T$3)=YEAR(Headcount!$P$4),IF((T$5&lt;=12),(SUMPRODUCT(--(Headcount!$F$6:$F$92="Marketing"),--(Headcount!$H$6:$H$92&gt;=Marketing!T$3),Headcount!$P$6:$P$92,Headcount!$L$6:$L$92)/12),0),IF(YEAR(T$3)=YEAR(Headcount!$Q$4),IF((T$5&lt;=12),(SUMPRODUCT(--(Headcount!$F$6:$F$92="Marketing"),--(Headcount!$H$6:$H$92&gt;=Marketing!T$3),Headcount!$Q$6:$Q$92,Headcount!$L$6:$L$92)/12),0),IF(YEAR(T$3)=YEAR(Headcount!$R$4),IF((T$5&lt;=12),(SUMPRODUCT(--(Headcount!$F$6:$F$92="Marketing"),--(Headcount!$H$6:$H$92&gt;=Marketing!T$3),Headcount!$R$6:$R$92,Headcount!$L$6:$L$92)/12),0),"New Year"))))),SUMIF('Dept. Cost Actuals'!$E$7:$E$176,"*bonus*",'Dept. Cost Actuals'!X$181:X$350))</f>
        <v>1614.58</v>
      </c>
      <c r="U16" s="668">
        <f>IF(U$4="forecast",IF(YEAR(U$3)=YEAR(Headcount!$N$4),IF((U$5&lt;12),(SUMPRODUCT(--(Headcount!$F$6:$F$92="Marketing"),--(Headcount!$H$6:$H$92&gt;=Marketing!U$3),Headcount!$N$6:$N$92,Headcount!$L$6:$L$92)/12),0),IF(YEAR(U$3)=YEAR(Headcount!$O$4),IF((U$5&lt;=12),(SUMPRODUCT(--(Headcount!$F$6:$F$92="Marketing"),--(Headcount!$H$6:$H$92&gt;=Marketing!U$3),Headcount!$O$6:$O$92,Headcount!$L$6:$L$92)/12),0),IF(YEAR(U$3)=YEAR(Headcount!$P$4),IF((U$5&lt;=12),(SUMPRODUCT(--(Headcount!$F$6:$F$92="Marketing"),--(Headcount!$H$6:$H$92&gt;=Marketing!U$3),Headcount!$P$6:$P$92,Headcount!$L$6:$L$92)/12),0),IF(YEAR(U$3)=YEAR(Headcount!$Q$4),IF((U$5&lt;=12),(SUMPRODUCT(--(Headcount!$F$6:$F$92="Marketing"),--(Headcount!$H$6:$H$92&gt;=Marketing!U$3),Headcount!$Q$6:$Q$92,Headcount!$L$6:$L$92)/12),0),IF(YEAR(U$3)=YEAR(Headcount!$R$4),IF((U$5&lt;=12),(SUMPRODUCT(--(Headcount!$F$6:$F$92="Marketing"),--(Headcount!$H$6:$H$92&gt;=Marketing!U$3),Headcount!$R$6:$R$92,Headcount!$L$6:$L$92)/12),0),"New Year"))))),SUMIF('Dept. Cost Actuals'!$E$7:$E$176,"*bonus*",'Dept. Cost Actuals'!Y$181:Y$350))</f>
        <v>2607.17</v>
      </c>
      <c r="V16" s="668">
        <f>IF(V$4="forecast",IF(YEAR(V$3)=YEAR(Headcount!$N$4),IF((V$5&lt;12),(SUMPRODUCT(--(Headcount!$F$6:$F$92="Marketing"),--(Headcount!$H$6:$H$92&gt;=Marketing!V$3),Headcount!$N$6:$N$92,Headcount!$L$6:$L$92)/12),0),IF(YEAR(V$3)=YEAR(Headcount!$O$4),IF((V$5&lt;=12),(SUMPRODUCT(--(Headcount!$F$6:$F$92="Marketing"),--(Headcount!$H$6:$H$92&gt;=Marketing!V$3),Headcount!$O$6:$O$92,Headcount!$L$6:$L$92)/12),0),IF(YEAR(V$3)=YEAR(Headcount!$P$4),IF((V$5&lt;=12),(SUMPRODUCT(--(Headcount!$F$6:$F$92="Marketing"),--(Headcount!$H$6:$H$92&gt;=Marketing!V$3),Headcount!$P$6:$P$92,Headcount!$L$6:$L$92)/12),0),IF(YEAR(V$3)=YEAR(Headcount!$Q$4),IF((V$5&lt;=12),(SUMPRODUCT(--(Headcount!$F$6:$F$92="Marketing"),--(Headcount!$H$6:$H$92&gt;=Marketing!V$3),Headcount!$Q$6:$Q$92,Headcount!$L$6:$L$92)/12),0),IF(YEAR(V$3)=YEAR(Headcount!$R$4),IF((V$5&lt;=12),(SUMPRODUCT(--(Headcount!$F$6:$F$92="Marketing"),--(Headcount!$H$6:$H$92&gt;=Marketing!V$3),Headcount!$R$6:$R$92,Headcount!$L$6:$L$92)/12),0),"New Year"))))),SUMIF('Dept. Cost Actuals'!$E$7:$E$176,"*bonus*",'Dept. Cost Actuals'!Z$181:Z$350))</f>
        <v>3607.17</v>
      </c>
      <c r="W16" s="668">
        <f>IF(W$4="forecast",IF(YEAR(W$3)=YEAR(Headcount!$N$4),IF((W$5&lt;12),(SUMPRODUCT(--(Headcount!$F$6:$F$92="Marketing"),--(Headcount!$H$6:$H$92&gt;=Marketing!W$3),Headcount!$N$6:$N$92,Headcount!$L$6:$L$92)/12),0),IF(YEAR(W$3)=YEAR(Headcount!$O$4),IF((W$5&lt;=12),(SUMPRODUCT(--(Headcount!$F$6:$F$92="Marketing"),--(Headcount!$H$6:$H$92&gt;=Marketing!W$3),Headcount!$O$6:$O$92,Headcount!$L$6:$L$92)/12),0),IF(YEAR(W$3)=YEAR(Headcount!$P$4),IF((W$5&lt;=12),(SUMPRODUCT(--(Headcount!$F$6:$F$92="Marketing"),--(Headcount!$H$6:$H$92&gt;=Marketing!W$3),Headcount!$P$6:$P$92,Headcount!$L$6:$L$92)/12),0),IF(YEAR(W$3)=YEAR(Headcount!$Q$4),IF((W$5&lt;=12),(SUMPRODUCT(--(Headcount!$F$6:$F$92="Marketing"),--(Headcount!$H$6:$H$92&gt;=Marketing!W$3),Headcount!$Q$6:$Q$92,Headcount!$L$6:$L$92)/12),0),IF(YEAR(W$3)=YEAR(Headcount!$R$4),IF((W$5&lt;=12),(SUMPRODUCT(--(Headcount!$F$6:$F$92="Marketing"),--(Headcount!$H$6:$H$92&gt;=Marketing!W$3),Headcount!$R$6:$R$92,Headcount!$L$6:$L$92)/12),0),"New Year"))))),SUMIF('Dept. Cost Actuals'!$E$7:$E$176,"*bonus*",'Dept. Cost Actuals'!AA$181:AA$350))</f>
        <v>6614.58</v>
      </c>
      <c r="X16" s="668">
        <f>IF(X$4="forecast",IF(YEAR(X$3)=YEAR(Headcount!$N$4),IF((X$5&lt;12),(SUMPRODUCT(--(Headcount!$F$6:$F$92="Marketing"),--(Headcount!$H$6:$H$92&gt;=Marketing!X$3),Headcount!$N$6:$N$92,Headcount!$L$6:$L$92)/12),0),IF(YEAR(X$3)=YEAR(Headcount!$O$4),IF((X$5&lt;=12),(SUMPRODUCT(--(Headcount!$F$6:$F$92="Marketing"),--(Headcount!$H$6:$H$92&gt;=Marketing!X$3),Headcount!$O$6:$O$92,Headcount!$L$6:$L$92)/12),0),IF(YEAR(X$3)=YEAR(Headcount!$P$4),IF((X$5&lt;=12),(SUMPRODUCT(--(Headcount!$F$6:$F$92="Marketing"),--(Headcount!$H$6:$H$92&gt;=Marketing!X$3),Headcount!$P$6:$P$92,Headcount!$L$6:$L$92)/12),0),IF(YEAR(X$3)=YEAR(Headcount!$Q$4),IF((X$5&lt;=12),(SUMPRODUCT(--(Headcount!$F$6:$F$92="Marketing"),--(Headcount!$H$6:$H$92&gt;=Marketing!X$3),Headcount!$Q$6:$Q$92,Headcount!$L$6:$L$92)/12),0),IF(YEAR(X$3)=YEAR(Headcount!$R$4),IF((X$5&lt;=12),(SUMPRODUCT(--(Headcount!$F$6:$F$92="Marketing"),--(Headcount!$H$6:$H$92&gt;=Marketing!X$3),Headcount!$R$6:$R$92,Headcount!$L$6:$L$92)/12),0),"New Year"))))),SUMIF('Dept. Cost Actuals'!$E$7:$E$176,"*bonus*",'Dept. Cost Actuals'!AB$181:AB$350))</f>
        <v>3599.76</v>
      </c>
      <c r="Y16" s="668">
        <f>IF(Y$4="forecast",IF(YEAR(Y$3)=YEAR(Headcount!$N$4),IF((Y$5&lt;12),(SUMPRODUCT(--(Headcount!$F$6:$F$92="Marketing"),--(Headcount!$H$6:$H$92&gt;=Marketing!Y$3),Headcount!$N$6:$N$92,Headcount!$L$6:$L$92)/12),0),IF(YEAR(Y$3)=YEAR(Headcount!$O$4),IF((Y$5&lt;=12),(SUMPRODUCT(--(Headcount!$F$6:$F$92="Marketing"),--(Headcount!$H$6:$H$92&gt;=Marketing!Y$3),Headcount!$O$6:$O$92,Headcount!$L$6:$L$92)/12),0),IF(YEAR(Y$3)=YEAR(Headcount!$P$4),IF((Y$5&lt;=12),(SUMPRODUCT(--(Headcount!$F$6:$F$92="Marketing"),--(Headcount!$H$6:$H$92&gt;=Marketing!Y$3),Headcount!$P$6:$P$92,Headcount!$L$6:$L$92)/12),0),IF(YEAR(Y$3)=YEAR(Headcount!$Q$4),IF((Y$5&lt;=12),(SUMPRODUCT(--(Headcount!$F$6:$F$92="Marketing"),--(Headcount!$H$6:$H$92&gt;=Marketing!Y$3),Headcount!$Q$6:$Q$92,Headcount!$L$6:$L$92)/12),0),IF(YEAR(Y$3)=YEAR(Headcount!$R$4),IF((Y$5&lt;=12),(SUMPRODUCT(--(Headcount!$F$6:$F$92="Marketing"),--(Headcount!$H$6:$H$92&gt;=Marketing!Y$3),Headcount!$R$6:$R$92,Headcount!$L$6:$L$92)/12),0),"New Year"))))),SUMIF('Dept. Cost Actuals'!$E$7:$E$176,"*bonus*",'Dept. Cost Actuals'!AC$181:AC$350))</f>
        <v>2614.58</v>
      </c>
      <c r="Z16" s="668">
        <f>IF(Z$4="forecast",IF(YEAR(Z$3)=YEAR(Headcount!$N$4),IF((Z$5&lt;12),(SUMPRODUCT(--(Headcount!$F$6:$F$92="Marketing"),--(Headcount!$H$6:$H$92&gt;=Marketing!Z$3),Headcount!$N$6:$N$92,Headcount!$L$6:$L$92)/12),0),IF(YEAR(Z$3)=YEAR(Headcount!$O$4),IF((Z$5&lt;=12),(SUMPRODUCT(--(Headcount!$F$6:$F$92="Marketing"),--(Headcount!$H$6:$H$92&gt;=Marketing!Z$3),Headcount!$O$6:$O$92,Headcount!$L$6:$L$92)/12),0),IF(YEAR(Z$3)=YEAR(Headcount!$P$4),IF((Z$5&lt;=12),(SUMPRODUCT(--(Headcount!$F$6:$F$92="Marketing"),--(Headcount!$H$6:$H$92&gt;=Marketing!Z$3),Headcount!$P$6:$P$92,Headcount!$L$6:$L$92)/12),0),IF(YEAR(Z$3)=YEAR(Headcount!$Q$4),IF((Z$5&lt;=12),(SUMPRODUCT(--(Headcount!$F$6:$F$92="Marketing"),--(Headcount!$H$6:$H$92&gt;=Marketing!Z$3),Headcount!$Q$6:$Q$92,Headcount!$L$6:$L$92)/12),0),IF(YEAR(Z$3)=YEAR(Headcount!$R$4),IF((Z$5&lt;=12),(SUMPRODUCT(--(Headcount!$F$6:$F$92="Marketing"),--(Headcount!$H$6:$H$92&gt;=Marketing!Z$3),Headcount!$R$6:$R$92,Headcount!$L$6:$L$92)/12),0),"New Year"))))),SUMIF('Dept. Cost Actuals'!$E$7:$E$176,"*bonus*",'Dept. Cost Actuals'!AD$181:AD$350))</f>
        <v>-7327.69</v>
      </c>
      <c r="AA16" s="668">
        <f>IF(AA$4="forecast",IF(YEAR(AA$3)=YEAR(Headcount!$N$4),IF((AA$5&lt;12),(SUMPRODUCT(--(Headcount!$F$6:$F$92="Marketing"),--(Headcount!$H$6:$H$92&gt;=Marketing!AA$3),Headcount!$N$6:$N$92,Headcount!$L$6:$L$92)/12),0),IF(YEAR(AA$3)=YEAR(Headcount!$O$4),IF((AA$5&lt;=12),(SUMPRODUCT(--(Headcount!$F$6:$F$92="Marketing"),--(Headcount!$H$6:$H$92&gt;=Marketing!AA$3),Headcount!$O$6:$O$92,Headcount!$L$6:$L$92)/12),0),IF(YEAR(AA$3)=YEAR(Headcount!$P$4),IF((AA$5&lt;=12),(SUMPRODUCT(--(Headcount!$F$6:$F$92="Marketing"),--(Headcount!$H$6:$H$92&gt;=Marketing!AA$3),Headcount!$P$6:$P$92,Headcount!$L$6:$L$92)/12),0),IF(YEAR(AA$3)=YEAR(Headcount!$Q$4),IF((AA$5&lt;=12),(SUMPRODUCT(--(Headcount!$F$6:$F$92="Marketing"),--(Headcount!$H$6:$H$92&gt;=Marketing!AA$3),Headcount!$Q$6:$Q$92,Headcount!$L$6:$L$92)/12),0),IF(YEAR(AA$3)=YEAR(Headcount!$R$4),IF((AA$5&lt;=12),(SUMPRODUCT(--(Headcount!$F$6:$F$92="Marketing"),--(Headcount!$H$6:$H$92&gt;=Marketing!AA$3),Headcount!$R$6:$R$92,Headcount!$L$6:$L$92)/12),0),"New Year"))))),SUMIF('Dept. Cost Actuals'!$E$7:$E$176,"*bonus*",'Dept. Cost Actuals'!AE$181:AE$350))</f>
        <v>36919.56</v>
      </c>
      <c r="AB16" s="668">
        <f>IF(AB$4="forecast",IF(YEAR(AB$3)=YEAR(Headcount!$N$4),IF((AB$5&lt;12),(SUMPRODUCT(--(Headcount!$F$6:$F$92="Marketing"),--(Headcount!$H$6:$H$92&gt;=Marketing!AB$3),Headcount!$N$6:$N$92,Headcount!$L$6:$L$92)/12),0),IF(YEAR(AB$3)=YEAR(Headcount!$O$4),IF((AB$5&lt;=12),(SUMPRODUCT(--(Headcount!$F$6:$F$92="Marketing"),--(Headcount!$H$6:$H$92&gt;=Marketing!AB$3),Headcount!$O$6:$O$92,Headcount!$L$6:$L$92)/12),0),IF(YEAR(AB$3)=YEAR(Headcount!$P$4),IF((AB$5&lt;=12),(SUMPRODUCT(--(Headcount!$F$6:$F$92="Marketing"),--(Headcount!$H$6:$H$92&gt;=Marketing!AB$3),Headcount!$P$6:$P$92,Headcount!$L$6:$L$92)/12),0),IF(YEAR(AB$3)=YEAR(Headcount!$Q$4),IF((AB$5&lt;=12),(SUMPRODUCT(--(Headcount!$F$6:$F$92="Marketing"),--(Headcount!$H$6:$H$92&gt;=Marketing!AB$3),Headcount!$Q$6:$Q$92,Headcount!$L$6:$L$92)/12),0),IF(YEAR(AB$3)=YEAR(Headcount!$R$4),IF((AB$5&lt;=12),(SUMPRODUCT(--(Headcount!$F$6:$F$92="Marketing"),--(Headcount!$H$6:$H$92&gt;=Marketing!AB$3),Headcount!$R$6:$R$92,Headcount!$L$6:$L$92)/12),0),"New Year"))))),SUMIF('Dept. Cost Actuals'!$E$7:$E$176,"*bonus*",'Dept. Cost Actuals'!AF$181:AF$350))</f>
        <v>11919.56</v>
      </c>
      <c r="AC16" s="668">
        <f>IF(AC$4="forecast",IF(YEAR(AC$3)=YEAR(Headcount!$N$4),IF((AC$5&lt;12),(SUMPRODUCT(--(Headcount!$F$6:$F$92="Marketing"),--(Headcount!$H$6:$H$92&gt;=Marketing!AC$3),Headcount!$N$6:$N$92,Headcount!$L$6:$L$92)/12),0),IF(YEAR(AC$3)=YEAR(Headcount!$O$4),IF((AC$5&lt;=12),(SUMPRODUCT(--(Headcount!$F$6:$F$92="Marketing"),--(Headcount!$H$6:$H$92&gt;=Marketing!AC$3),Headcount!$O$6:$O$92,Headcount!$L$6:$L$92)/12),0),IF(YEAR(AC$3)=YEAR(Headcount!$P$4),IF((AC$5&lt;=12),(SUMPRODUCT(--(Headcount!$F$6:$F$92="Marketing"),--(Headcount!$H$6:$H$92&gt;=Marketing!AC$3),Headcount!$P$6:$P$92,Headcount!$L$6:$L$92)/12),0),IF(YEAR(AC$3)=YEAR(Headcount!$Q$4),IF((AC$5&lt;=12),(SUMPRODUCT(--(Headcount!$F$6:$F$92="Marketing"),--(Headcount!$H$6:$H$92&gt;=Marketing!AC$3),Headcount!$Q$6:$Q$92,Headcount!$L$6:$L$92)/12),0),IF(YEAR(AC$3)=YEAR(Headcount!$R$4),IF((AC$5&lt;=12),(SUMPRODUCT(--(Headcount!$F$6:$F$92="Marketing"),--(Headcount!$H$6:$H$92&gt;=Marketing!AC$3),Headcount!$R$6:$R$92,Headcount!$L$6:$L$92)/12),0),"New Year"))))),SUMIF('Dept. Cost Actuals'!$E$7:$E$176,"*bonus*",'Dept. Cost Actuals'!AG$181:AG$350))</f>
        <v>11919.56</v>
      </c>
      <c r="AD16" s="668">
        <f>IF(AD$4="forecast",IF(YEAR(AD$3)=YEAR(Headcount!$N$4),IF((AD$5&lt;12),(SUMPRODUCT(--(Headcount!$F$6:$F$92="Marketing"),--(Headcount!$H$6:$H$92&gt;=Marketing!AD$3),Headcount!$N$6:$N$92,Headcount!$L$6:$L$92)/12),0),IF(YEAR(AD$3)=YEAR(Headcount!$O$4),IF((AD$5&lt;=12),(SUMPRODUCT(--(Headcount!$F$6:$F$92="Marketing"),--(Headcount!$H$6:$H$92&gt;=Marketing!AD$3),Headcount!$O$6:$O$92,Headcount!$L$6:$L$92)/12),0),IF(YEAR(AD$3)=YEAR(Headcount!$P$4),IF((AD$5&lt;=12),(SUMPRODUCT(--(Headcount!$F$6:$F$92="Marketing"),--(Headcount!$H$6:$H$92&gt;=Marketing!AD$3),Headcount!$P$6:$P$92,Headcount!$L$6:$L$92)/12),0),IF(YEAR(AD$3)=YEAR(Headcount!$Q$4),IF((AD$5&lt;=12),(SUMPRODUCT(--(Headcount!$F$6:$F$92="Marketing"),--(Headcount!$H$6:$H$92&gt;=Marketing!AD$3),Headcount!$Q$6:$Q$92,Headcount!$L$6:$L$92)/12),0),IF(YEAR(AD$3)=YEAR(Headcount!$R$4),IF((AD$5&lt;=12),(SUMPRODUCT(--(Headcount!$F$6:$F$92="Marketing"),--(Headcount!$H$6:$H$92&gt;=Marketing!AD$3),Headcount!$R$6:$R$92,Headcount!$L$6:$L$92)/12),0),"New Year"))))),SUMIF('Dept. Cost Actuals'!$E$7:$E$176,"*bonus*",'Dept. Cost Actuals'!AH$181:AH$350))</f>
        <v>14166.667000000001</v>
      </c>
      <c r="AE16" s="668">
        <f>IF(AE$4="forecast",IF(YEAR(AE$3)=YEAR(Headcount!$N$4),IF((AE$5&lt;12),(SUMPRODUCT(--(Headcount!$F$6:$F$92="Marketing"),--(Headcount!$H$6:$H$92&gt;=Marketing!AE$3),Headcount!$N$6:$N$92,Headcount!$L$6:$L$92)/12),0),IF(YEAR(AE$3)=YEAR(Headcount!$O$4),IF((AE$5&lt;=12),(SUMPRODUCT(--(Headcount!$F$6:$F$92="Marketing"),--(Headcount!$H$6:$H$92&gt;=Marketing!AE$3),Headcount!$O$6:$O$92,Headcount!$L$6:$L$92)/12),0),IF(YEAR(AE$3)=YEAR(Headcount!$P$4),IF((AE$5&lt;=12),(SUMPRODUCT(--(Headcount!$F$6:$F$92="Marketing"),--(Headcount!$H$6:$H$92&gt;=Marketing!AE$3),Headcount!$P$6:$P$92,Headcount!$L$6:$L$92)/12),0),IF(YEAR(AE$3)=YEAR(Headcount!$Q$4),IF((AE$5&lt;=12),(SUMPRODUCT(--(Headcount!$F$6:$F$92="Marketing"),--(Headcount!$H$6:$H$92&gt;=Marketing!AE$3),Headcount!$Q$6:$Q$92,Headcount!$L$6:$L$92)/12),0),IF(YEAR(AE$3)=YEAR(Headcount!$R$4),IF((AE$5&lt;=12),(SUMPRODUCT(--(Headcount!$F$6:$F$92="Marketing"),--(Headcount!$H$6:$H$92&gt;=Marketing!AE$3),Headcount!$R$6:$R$92,Headcount!$L$6:$L$92)/12),0),"New Year"))))),SUMIF('Dept. Cost Actuals'!$E$7:$E$176,"*bonus*",'Dept. Cost Actuals'!AI$181:AI$350))</f>
        <v>14166.667000000001</v>
      </c>
      <c r="AF16" s="668">
        <f>IF(AF$4="forecast",IF(YEAR(AF$3)=YEAR(Headcount!$N$4),IF((AF$5&lt;12),(SUMPRODUCT(--(Headcount!$F$6:$F$92="Marketing"),--(Headcount!$H$6:$H$92&gt;=Marketing!AF$3),Headcount!$N$6:$N$92,Headcount!$L$6:$L$92)/12),0),IF(YEAR(AF$3)=YEAR(Headcount!$O$4),IF((AF$5&lt;=12),(SUMPRODUCT(--(Headcount!$F$6:$F$92="Marketing"),--(Headcount!$H$6:$H$92&gt;=Marketing!AF$3),Headcount!$O$6:$O$92,Headcount!$L$6:$L$92)/12),0),IF(YEAR(AF$3)=YEAR(Headcount!$P$4),IF((AF$5&lt;=12),(SUMPRODUCT(--(Headcount!$F$6:$F$92="Marketing"),--(Headcount!$H$6:$H$92&gt;=Marketing!AF$3),Headcount!$P$6:$P$92,Headcount!$L$6:$L$92)/12),0),IF(YEAR(AF$3)=YEAR(Headcount!$Q$4),IF((AF$5&lt;=12),(SUMPRODUCT(--(Headcount!$F$6:$F$92="Marketing"),--(Headcount!$H$6:$H$92&gt;=Marketing!AF$3),Headcount!$Q$6:$Q$92,Headcount!$L$6:$L$92)/12),0),IF(YEAR(AF$3)=YEAR(Headcount!$R$4),IF((AF$5&lt;=12),(SUMPRODUCT(--(Headcount!$F$6:$F$92="Marketing"),--(Headcount!$H$6:$H$92&gt;=Marketing!AF$3),Headcount!$R$6:$R$92,Headcount!$L$6:$L$92)/12),0),"New Year"))))),SUMIF('Dept. Cost Actuals'!$E$7:$E$176,"*bonus*",'Dept. Cost Actuals'!AJ$181:AJ$350))</f>
        <v>14166.667000000001</v>
      </c>
      <c r="AG16" s="668">
        <f>IF(AG$4="forecast",IF(YEAR(AG$3)=YEAR(Headcount!$N$4),IF((AG$5&lt;12),(SUMPRODUCT(--(Headcount!$F$6:$F$92="Marketing"),--(Headcount!$H$6:$H$92&gt;=Marketing!AG$3),Headcount!$N$6:$N$92,Headcount!$L$6:$L$92)/12),0),IF(YEAR(AG$3)=YEAR(Headcount!$O$4),IF((AG$5&lt;=12),(SUMPRODUCT(--(Headcount!$F$6:$F$92="Marketing"),--(Headcount!$H$6:$H$92&gt;=Marketing!AG$3),Headcount!$O$6:$O$92,Headcount!$L$6:$L$92)/12),0),IF(YEAR(AG$3)=YEAR(Headcount!$P$4),IF((AG$5&lt;=12),(SUMPRODUCT(--(Headcount!$F$6:$F$92="Marketing"),--(Headcount!$H$6:$H$92&gt;=Marketing!AG$3),Headcount!$P$6:$P$92,Headcount!$L$6:$L$92)/12),0),IF(YEAR(AG$3)=YEAR(Headcount!$Q$4),IF((AG$5&lt;=12),(SUMPRODUCT(--(Headcount!$F$6:$F$92="Marketing"),--(Headcount!$H$6:$H$92&gt;=Marketing!AG$3),Headcount!$Q$6:$Q$92,Headcount!$L$6:$L$92)/12),0),IF(YEAR(AG$3)=YEAR(Headcount!$R$4),IF((AG$5&lt;=12),(SUMPRODUCT(--(Headcount!$F$6:$F$92="Marketing"),--(Headcount!$H$6:$H$92&gt;=Marketing!AG$3),Headcount!$R$6:$R$92,Headcount!$L$6:$L$92)/12),0),"New Year"))))),SUMIF('Dept. Cost Actuals'!$E$7:$E$176,"*bonus*",'Dept. Cost Actuals'!AK$181:AK$350))</f>
        <v>14166.667000000001</v>
      </c>
      <c r="AH16" s="668">
        <f>IF(AH$4="forecast",IF(YEAR(AH$3)=YEAR(Headcount!$N$4),IF((AH$5&lt;12),(SUMPRODUCT(--(Headcount!$F$6:$F$92="Marketing"),--(Headcount!$H$6:$H$92&gt;=Marketing!AH$3),Headcount!$N$6:$N$92,Headcount!$L$6:$L$92)/12),0),IF(YEAR(AH$3)=YEAR(Headcount!$O$4),IF((AH$5&lt;=12),(SUMPRODUCT(--(Headcount!$F$6:$F$92="Marketing"),--(Headcount!$H$6:$H$92&gt;=Marketing!AH$3),Headcount!$O$6:$O$92,Headcount!$L$6:$L$92)/12),0),IF(YEAR(AH$3)=YEAR(Headcount!$P$4),IF((AH$5&lt;=12),(SUMPRODUCT(--(Headcount!$F$6:$F$92="Marketing"),--(Headcount!$H$6:$H$92&gt;=Marketing!AH$3),Headcount!$P$6:$P$92,Headcount!$L$6:$L$92)/12),0),IF(YEAR(AH$3)=YEAR(Headcount!$Q$4),IF((AH$5&lt;=12),(SUMPRODUCT(--(Headcount!$F$6:$F$92="Marketing"),--(Headcount!$H$6:$H$92&gt;=Marketing!AH$3),Headcount!$Q$6:$Q$92,Headcount!$L$6:$L$92)/12),0),IF(YEAR(AH$3)=YEAR(Headcount!$R$4),IF((AH$5&lt;=12),(SUMPRODUCT(--(Headcount!$F$6:$F$92="Marketing"),--(Headcount!$H$6:$H$92&gt;=Marketing!AH$3),Headcount!$R$6:$R$92,Headcount!$L$6:$L$92)/12),0),"New Year"))))),SUMIF('Dept. Cost Actuals'!$E$7:$E$176,"*bonus*",'Dept. Cost Actuals'!AL$181:AL$350))</f>
        <v>14166.667000000001</v>
      </c>
      <c r="AI16" s="668">
        <f>IF(AI$4="forecast",IF(YEAR(AI$3)=YEAR(Headcount!$N$4),IF((AI$5&lt;12),(SUMPRODUCT(--(Headcount!$F$6:$F$92="Marketing"),--(Headcount!$H$6:$H$92&gt;=Marketing!AI$3),Headcount!$N$6:$N$92,Headcount!$L$6:$L$92)/12),0),IF(YEAR(AI$3)=YEAR(Headcount!$O$4),IF((AI$5&lt;=12),(SUMPRODUCT(--(Headcount!$F$6:$F$92="Marketing"),--(Headcount!$H$6:$H$92&gt;=Marketing!AI$3),Headcount!$O$6:$O$92,Headcount!$L$6:$L$92)/12),0),IF(YEAR(AI$3)=YEAR(Headcount!$P$4),IF((AI$5&lt;=12),(SUMPRODUCT(--(Headcount!$F$6:$F$92="Marketing"),--(Headcount!$H$6:$H$92&gt;=Marketing!AI$3),Headcount!$P$6:$P$92,Headcount!$L$6:$L$92)/12),0),IF(YEAR(AI$3)=YEAR(Headcount!$Q$4),IF((AI$5&lt;=12),(SUMPRODUCT(--(Headcount!$F$6:$F$92="Marketing"),--(Headcount!$H$6:$H$92&gt;=Marketing!AI$3),Headcount!$Q$6:$Q$92,Headcount!$L$6:$L$92)/12),0),IF(YEAR(AI$3)=YEAR(Headcount!$R$4),IF((AI$5&lt;=12),(SUMPRODUCT(--(Headcount!$F$6:$F$92="Marketing"),--(Headcount!$H$6:$H$92&gt;=Marketing!AI$3),Headcount!$R$6:$R$92,Headcount!$L$6:$L$92)/12),0),"New Year"))))),SUMIF('Dept. Cost Actuals'!$E$7:$E$176,"*bonus*",'Dept. Cost Actuals'!AM$181:AM$350))</f>
        <v>14166.667000000001</v>
      </c>
      <c r="AJ16" s="668">
        <f>IF(AJ$4="forecast",IF(YEAR(AJ$3)=YEAR(Headcount!$N$4),IF((AJ$5&lt;12),(SUMPRODUCT(--(Headcount!$F$6:$F$92="Marketing"),--(Headcount!$H$6:$H$92&gt;=Marketing!AJ$3),Headcount!$N$6:$N$92,Headcount!$L$6:$L$92)/12),0),IF(YEAR(AJ$3)=YEAR(Headcount!$O$4),IF((AJ$5&lt;=12),(SUMPRODUCT(--(Headcount!$F$6:$F$92="Marketing"),--(Headcount!$H$6:$H$92&gt;=Marketing!AJ$3),Headcount!$O$6:$O$92,Headcount!$L$6:$L$92)/12),0),IF(YEAR(AJ$3)=YEAR(Headcount!$P$4),IF((AJ$5&lt;=12),(SUMPRODUCT(--(Headcount!$F$6:$F$92="Marketing"),--(Headcount!$H$6:$H$92&gt;=Marketing!AJ$3),Headcount!$P$6:$P$92,Headcount!$L$6:$L$92)/12),0),IF(YEAR(AJ$3)=YEAR(Headcount!$Q$4),IF((AJ$5&lt;=12),(SUMPRODUCT(--(Headcount!$F$6:$F$92="Marketing"),--(Headcount!$H$6:$H$92&gt;=Marketing!AJ$3),Headcount!$Q$6:$Q$92,Headcount!$L$6:$L$92)/12),0),IF(YEAR(AJ$3)=YEAR(Headcount!$R$4),IF((AJ$5&lt;=12),(SUMPRODUCT(--(Headcount!$F$6:$F$92="Marketing"),--(Headcount!$H$6:$H$92&gt;=Marketing!AJ$3),Headcount!$R$6:$R$92,Headcount!$L$6:$L$92)/12),0),"New Year"))))),SUMIF('Dept. Cost Actuals'!$E$7:$E$176,"*bonus*",'Dept. Cost Actuals'!AN$181:AN$350))</f>
        <v>14166.667000000001</v>
      </c>
      <c r="AK16" s="668">
        <f>IF(AK$4="forecast",IF(YEAR(AK$3)=YEAR(Headcount!$N$4),IF((AK$5&lt;12),(SUMPRODUCT(--(Headcount!$F$6:$F$92="Marketing"),--(Headcount!$H$6:$H$92&gt;=Marketing!AK$3),Headcount!$N$6:$N$92,Headcount!$L$6:$L$92)/12),0),IF(YEAR(AK$3)=YEAR(Headcount!$O$4),IF((AK$5&lt;=12),(SUMPRODUCT(--(Headcount!$F$6:$F$92="Marketing"),--(Headcount!$H$6:$H$92&gt;=Marketing!AK$3),Headcount!$O$6:$O$92,Headcount!$L$6:$L$92)/12),0),IF(YEAR(AK$3)=YEAR(Headcount!$P$4),IF((AK$5&lt;=12),(SUMPRODUCT(--(Headcount!$F$6:$F$92="Marketing"),--(Headcount!$H$6:$H$92&gt;=Marketing!AK$3),Headcount!$P$6:$P$92,Headcount!$L$6:$L$92)/12),0),IF(YEAR(AK$3)=YEAR(Headcount!$Q$4),IF((AK$5&lt;=12),(SUMPRODUCT(--(Headcount!$F$6:$F$92="Marketing"),--(Headcount!$H$6:$H$92&gt;=Marketing!AK$3),Headcount!$Q$6:$Q$92,Headcount!$L$6:$L$92)/12),0),IF(YEAR(AK$3)=YEAR(Headcount!$R$4),IF((AK$5&lt;=12),(SUMPRODUCT(--(Headcount!$F$6:$F$92="Marketing"),--(Headcount!$H$6:$H$92&gt;=Marketing!AK$3),Headcount!$R$6:$R$92,Headcount!$L$6:$L$92)/12),0),"New Year"))))),SUMIF('Dept. Cost Actuals'!$E$7:$E$176,"*bonus*",'Dept. Cost Actuals'!AO$181:AO$350))</f>
        <v>14166.667000000001</v>
      </c>
      <c r="AL16" s="668">
        <f>IF(AL$4="forecast",IF(YEAR(AL$3)=YEAR(Headcount!$N$4),IF((AL$5&lt;12),(SUMPRODUCT(--(Headcount!$F$6:$F$92="Marketing"),--(Headcount!$H$6:$H$92&gt;=Marketing!AL$3),Headcount!$N$6:$N$92,Headcount!$L$6:$L$92)/12),0),IF(YEAR(AL$3)=YEAR(Headcount!$O$4),IF((AL$5&lt;=12),(SUMPRODUCT(--(Headcount!$F$6:$F$92="Marketing"),--(Headcount!$H$6:$H$92&gt;=Marketing!AL$3),Headcount!$O$6:$O$92,Headcount!$L$6:$L$92)/12),0),IF(YEAR(AL$3)=YEAR(Headcount!$P$4),IF((AL$5&lt;=12),(SUMPRODUCT(--(Headcount!$F$6:$F$92="Marketing"),--(Headcount!$H$6:$H$92&gt;=Marketing!AL$3),Headcount!$P$6:$P$92,Headcount!$L$6:$L$92)/12),0),IF(YEAR(AL$3)=YEAR(Headcount!$Q$4),IF((AL$5&lt;=12),(SUMPRODUCT(--(Headcount!$F$6:$F$92="Marketing"),--(Headcount!$H$6:$H$92&gt;=Marketing!AL$3),Headcount!$Q$6:$Q$92,Headcount!$L$6:$L$92)/12),0),IF(YEAR(AL$3)=YEAR(Headcount!$R$4),IF((AL$5&lt;=12),(SUMPRODUCT(--(Headcount!$F$6:$F$92="Marketing"),--(Headcount!$H$6:$H$92&gt;=Marketing!AL$3),Headcount!$R$6:$R$92,Headcount!$L$6:$L$92)/12),0),"New Year"))))),SUMIF('Dept. Cost Actuals'!$E$7:$E$176,"*bonus*",'Dept. Cost Actuals'!AP$181:AP$350))</f>
        <v>14166.667000000001</v>
      </c>
      <c r="AM16" s="668">
        <f>IF(AM$4="forecast",IF(YEAR(AM$3)=YEAR(Headcount!$N$4),IF((AM$5&lt;12),(SUMPRODUCT(--(Headcount!$F$6:$F$92="Marketing"),--(Headcount!$H$6:$H$92&gt;=Marketing!AM$3),Headcount!$N$6:$N$92,Headcount!$L$6:$L$92)/12),0),IF(YEAR(AM$3)=YEAR(Headcount!$O$4),IF((AM$5&lt;=12),(SUMPRODUCT(--(Headcount!$F$6:$F$92="Marketing"),--(Headcount!$H$6:$H$92&gt;=Marketing!AM$3),Headcount!$O$6:$O$92,Headcount!$L$6:$L$92)/12),0),IF(YEAR(AM$3)=YEAR(Headcount!$P$4),IF((AM$5&lt;=12),(SUMPRODUCT(--(Headcount!$F$6:$F$92="Marketing"),--(Headcount!$H$6:$H$92&gt;=Marketing!AM$3),Headcount!$P$6:$P$92,Headcount!$L$6:$L$92)/12),0),IF(YEAR(AM$3)=YEAR(Headcount!$Q$4),IF((AM$5&lt;=12),(SUMPRODUCT(--(Headcount!$F$6:$F$92="Marketing"),--(Headcount!$H$6:$H$92&gt;=Marketing!AM$3),Headcount!$Q$6:$Q$92,Headcount!$L$6:$L$92)/12),0),IF(YEAR(AM$3)=YEAR(Headcount!$R$4),IF((AM$5&lt;=12),(SUMPRODUCT(--(Headcount!$F$6:$F$92="Marketing"),--(Headcount!$H$6:$H$92&gt;=Marketing!AM$3),Headcount!$R$6:$R$92,Headcount!$L$6:$L$92)/12),0),"New Year"))))),SUMIF('Dept. Cost Actuals'!$E$7:$E$176,"*bonus*",'Dept. Cost Actuals'!AQ$181:AQ$350))</f>
        <v>14591.667009999999</v>
      </c>
      <c r="AN16" s="668">
        <f>IF(AN$4="forecast",IF(YEAR(AN$3)=YEAR(Headcount!$N$4),IF((AN$5&lt;12),(SUMPRODUCT(--(Headcount!$F$6:$F$92="Marketing"),--(Headcount!$H$6:$H$92&gt;=Marketing!AN$3),Headcount!$N$6:$N$92,Headcount!$L$6:$L$92)/12),0),IF(YEAR(AN$3)=YEAR(Headcount!$O$4),IF((AN$5&lt;=12),(SUMPRODUCT(--(Headcount!$F$6:$F$92="Marketing"),--(Headcount!$H$6:$H$92&gt;=Marketing!AN$3),Headcount!$O$6:$O$92,Headcount!$L$6:$L$92)/12),0),IF(YEAR(AN$3)=YEAR(Headcount!$P$4),IF((AN$5&lt;=12),(SUMPRODUCT(--(Headcount!$F$6:$F$92="Marketing"),--(Headcount!$H$6:$H$92&gt;=Marketing!AN$3),Headcount!$P$6:$P$92,Headcount!$L$6:$L$92)/12),0),IF(YEAR(AN$3)=YEAR(Headcount!$Q$4),IF((AN$5&lt;=12),(SUMPRODUCT(--(Headcount!$F$6:$F$92="Marketing"),--(Headcount!$H$6:$H$92&gt;=Marketing!AN$3),Headcount!$Q$6:$Q$92,Headcount!$L$6:$L$92)/12),0),IF(YEAR(AN$3)=YEAR(Headcount!$R$4),IF((AN$5&lt;=12),(SUMPRODUCT(--(Headcount!$F$6:$F$92="Marketing"),--(Headcount!$H$6:$H$92&gt;=Marketing!AN$3),Headcount!$R$6:$R$92,Headcount!$L$6:$L$92)/12),0),"New Year"))))),SUMIF('Dept. Cost Actuals'!$E$7:$E$176,"*bonus*",'Dept. Cost Actuals'!AR$181:AR$350))</f>
        <v>14591.667009999999</v>
      </c>
      <c r="AO16" s="668">
        <f>IF(AO$4="forecast",IF(YEAR(AO$3)=YEAR(Headcount!$N$4),IF((AO$5&lt;12),(SUMPRODUCT(--(Headcount!$F$6:$F$92="Marketing"),--(Headcount!$H$6:$H$92&gt;=Marketing!AO$3),Headcount!$N$6:$N$92,Headcount!$L$6:$L$92)/12),0),IF(YEAR(AO$3)=YEAR(Headcount!$O$4),IF((AO$5&lt;=12),(SUMPRODUCT(--(Headcount!$F$6:$F$92="Marketing"),--(Headcount!$H$6:$H$92&gt;=Marketing!AO$3),Headcount!$O$6:$O$92,Headcount!$L$6:$L$92)/12),0),IF(YEAR(AO$3)=YEAR(Headcount!$P$4),IF((AO$5&lt;=12),(SUMPRODUCT(--(Headcount!$F$6:$F$92="Marketing"),--(Headcount!$H$6:$H$92&gt;=Marketing!AO$3),Headcount!$P$6:$P$92,Headcount!$L$6:$L$92)/12),0),IF(YEAR(AO$3)=YEAR(Headcount!$Q$4),IF((AO$5&lt;=12),(SUMPRODUCT(--(Headcount!$F$6:$F$92="Marketing"),--(Headcount!$H$6:$H$92&gt;=Marketing!AO$3),Headcount!$Q$6:$Q$92,Headcount!$L$6:$L$92)/12),0),IF(YEAR(AO$3)=YEAR(Headcount!$R$4),IF((AO$5&lt;=12),(SUMPRODUCT(--(Headcount!$F$6:$F$92="Marketing"),--(Headcount!$H$6:$H$92&gt;=Marketing!AO$3),Headcount!$R$6:$R$92,Headcount!$L$6:$L$92)/12),0),"New Year"))))),SUMIF('Dept. Cost Actuals'!$E$7:$E$176,"*bonus*",'Dept. Cost Actuals'!AS$181:AS$350))</f>
        <v>14591.667009999999</v>
      </c>
      <c r="AP16" s="668">
        <f>IF(AP$4="forecast",IF(YEAR(AP$3)=YEAR(Headcount!$N$4),IF((AP$5&lt;12),(SUMPRODUCT(--(Headcount!$F$6:$F$92="Marketing"),--(Headcount!$H$6:$H$92&gt;=Marketing!AP$3),Headcount!$N$6:$N$92,Headcount!$L$6:$L$92)/12),0),IF(YEAR(AP$3)=YEAR(Headcount!$O$4),IF((AP$5&lt;=12),(SUMPRODUCT(--(Headcount!$F$6:$F$92="Marketing"),--(Headcount!$H$6:$H$92&gt;=Marketing!AP$3),Headcount!$O$6:$O$92,Headcount!$L$6:$L$92)/12),0),IF(YEAR(AP$3)=YEAR(Headcount!$P$4),IF((AP$5&lt;=12),(SUMPRODUCT(--(Headcount!$F$6:$F$92="Marketing"),--(Headcount!$H$6:$H$92&gt;=Marketing!AP$3),Headcount!$P$6:$P$92,Headcount!$L$6:$L$92)/12),0),IF(YEAR(AP$3)=YEAR(Headcount!$Q$4),IF((AP$5&lt;=12),(SUMPRODUCT(--(Headcount!$F$6:$F$92="Marketing"),--(Headcount!$H$6:$H$92&gt;=Marketing!AP$3),Headcount!$Q$6:$Q$92,Headcount!$L$6:$L$92)/12),0),IF(YEAR(AP$3)=YEAR(Headcount!$R$4),IF((AP$5&lt;=12),(SUMPRODUCT(--(Headcount!$F$6:$F$92="Marketing"),--(Headcount!$H$6:$H$92&gt;=Marketing!AP$3),Headcount!$R$6:$R$92,Headcount!$L$6:$L$92)/12),0),"New Year"))))),SUMIF('Dept. Cost Actuals'!$E$7:$E$176,"*bonus*",'Dept. Cost Actuals'!AT$181:AT$350))</f>
        <v>14591.667009999999</v>
      </c>
      <c r="AQ16" s="668">
        <f>IF(AQ$4="forecast",IF(YEAR(AQ$3)=YEAR(Headcount!$N$4),IF((AQ$5&lt;12),(SUMPRODUCT(--(Headcount!$F$6:$F$92="Marketing"),--(Headcount!$H$6:$H$92&gt;=Marketing!AQ$3),Headcount!$N$6:$N$92,Headcount!$L$6:$L$92)/12),0),IF(YEAR(AQ$3)=YEAR(Headcount!$O$4),IF((AQ$5&lt;=12),(SUMPRODUCT(--(Headcount!$F$6:$F$92="Marketing"),--(Headcount!$H$6:$H$92&gt;=Marketing!AQ$3),Headcount!$O$6:$O$92,Headcount!$L$6:$L$92)/12),0),IF(YEAR(AQ$3)=YEAR(Headcount!$P$4),IF((AQ$5&lt;=12),(SUMPRODUCT(--(Headcount!$F$6:$F$92="Marketing"),--(Headcount!$H$6:$H$92&gt;=Marketing!AQ$3),Headcount!$P$6:$P$92,Headcount!$L$6:$L$92)/12),0),IF(YEAR(AQ$3)=YEAR(Headcount!$Q$4),IF((AQ$5&lt;=12),(SUMPRODUCT(--(Headcount!$F$6:$F$92="Marketing"),--(Headcount!$H$6:$H$92&gt;=Marketing!AQ$3),Headcount!$Q$6:$Q$92,Headcount!$L$6:$L$92)/12),0),IF(YEAR(AQ$3)=YEAR(Headcount!$R$4),IF((AQ$5&lt;=12),(SUMPRODUCT(--(Headcount!$F$6:$F$92="Marketing"),--(Headcount!$H$6:$H$92&gt;=Marketing!AQ$3),Headcount!$R$6:$R$92,Headcount!$L$6:$L$92)/12),0),"New Year"))))),SUMIF('Dept. Cost Actuals'!$E$7:$E$176,"*bonus*",'Dept. Cost Actuals'!AU$181:AU$350))</f>
        <v>14591.667009999999</v>
      </c>
      <c r="AR16" s="668">
        <f>IF(AR$4="forecast",IF(YEAR(AR$3)=YEAR(Headcount!$N$4),IF((AR$5&lt;12),(SUMPRODUCT(--(Headcount!$F$6:$F$92="Marketing"),--(Headcount!$H$6:$H$92&gt;=Marketing!AR$3),Headcount!$N$6:$N$92,Headcount!$L$6:$L$92)/12),0),IF(YEAR(AR$3)=YEAR(Headcount!$O$4),IF((AR$5&lt;=12),(SUMPRODUCT(--(Headcount!$F$6:$F$92="Marketing"),--(Headcount!$H$6:$H$92&gt;=Marketing!AR$3),Headcount!$O$6:$O$92,Headcount!$L$6:$L$92)/12),0),IF(YEAR(AR$3)=YEAR(Headcount!$P$4),IF((AR$5&lt;=12),(SUMPRODUCT(--(Headcount!$F$6:$F$92="Marketing"),--(Headcount!$H$6:$H$92&gt;=Marketing!AR$3),Headcount!$P$6:$P$92,Headcount!$L$6:$L$92)/12),0),IF(YEAR(AR$3)=YEAR(Headcount!$Q$4),IF((AR$5&lt;=12),(SUMPRODUCT(--(Headcount!$F$6:$F$92="Marketing"),--(Headcount!$H$6:$H$92&gt;=Marketing!AR$3),Headcount!$Q$6:$Q$92,Headcount!$L$6:$L$92)/12),0),IF(YEAR(AR$3)=YEAR(Headcount!$R$4),IF((AR$5&lt;=12),(SUMPRODUCT(--(Headcount!$F$6:$F$92="Marketing"),--(Headcount!$H$6:$H$92&gt;=Marketing!AR$3),Headcount!$R$6:$R$92,Headcount!$L$6:$L$92)/12),0),"New Year"))))),SUMIF('Dept. Cost Actuals'!$E$7:$E$176,"*bonus*",'Dept. Cost Actuals'!AV$181:AV$350))</f>
        <v>14591.667009999999</v>
      </c>
      <c r="AS16" s="668">
        <f>IF(AS$4="forecast",IF(YEAR(AS$3)=YEAR(Headcount!$N$4),IF((AS$5&lt;12),(SUMPRODUCT(--(Headcount!$F$6:$F$92="Marketing"),--(Headcount!$H$6:$H$92&gt;=Marketing!AS$3),Headcount!$N$6:$N$92,Headcount!$L$6:$L$92)/12),0),IF(YEAR(AS$3)=YEAR(Headcount!$O$4),IF((AS$5&lt;=12),(SUMPRODUCT(--(Headcount!$F$6:$F$92="Marketing"),--(Headcount!$H$6:$H$92&gt;=Marketing!AS$3),Headcount!$O$6:$O$92,Headcount!$L$6:$L$92)/12),0),IF(YEAR(AS$3)=YEAR(Headcount!$P$4),IF((AS$5&lt;=12),(SUMPRODUCT(--(Headcount!$F$6:$F$92="Marketing"),--(Headcount!$H$6:$H$92&gt;=Marketing!AS$3),Headcount!$P$6:$P$92,Headcount!$L$6:$L$92)/12),0),IF(YEAR(AS$3)=YEAR(Headcount!$Q$4),IF((AS$5&lt;=12),(SUMPRODUCT(--(Headcount!$F$6:$F$92="Marketing"),--(Headcount!$H$6:$H$92&gt;=Marketing!AS$3),Headcount!$Q$6:$Q$92,Headcount!$L$6:$L$92)/12),0),IF(YEAR(AS$3)=YEAR(Headcount!$R$4),IF((AS$5&lt;=12),(SUMPRODUCT(--(Headcount!$F$6:$F$92="Marketing"),--(Headcount!$H$6:$H$92&gt;=Marketing!AS$3),Headcount!$R$6:$R$92,Headcount!$L$6:$L$92)/12),0),"New Year"))))),SUMIF('Dept. Cost Actuals'!$E$7:$E$176,"*bonus*",'Dept. Cost Actuals'!AW$181:AW$350))</f>
        <v>14591.667009999999</v>
      </c>
      <c r="AT16" s="668">
        <f>IF(AT$4="forecast",IF(YEAR(AT$3)=YEAR(Headcount!$N$4),IF((AT$5&lt;12),(SUMPRODUCT(--(Headcount!$F$6:$F$92="Marketing"),--(Headcount!$H$6:$H$92&gt;=Marketing!AT$3),Headcount!$N$6:$N$92,Headcount!$L$6:$L$92)/12),0),IF(YEAR(AT$3)=YEAR(Headcount!$O$4),IF((AT$5&lt;=12),(SUMPRODUCT(--(Headcount!$F$6:$F$92="Marketing"),--(Headcount!$H$6:$H$92&gt;=Marketing!AT$3),Headcount!$O$6:$O$92,Headcount!$L$6:$L$92)/12),0),IF(YEAR(AT$3)=YEAR(Headcount!$P$4),IF((AT$5&lt;=12),(SUMPRODUCT(--(Headcount!$F$6:$F$92="Marketing"),--(Headcount!$H$6:$H$92&gt;=Marketing!AT$3),Headcount!$P$6:$P$92,Headcount!$L$6:$L$92)/12),0),IF(YEAR(AT$3)=YEAR(Headcount!$Q$4),IF((AT$5&lt;=12),(SUMPRODUCT(--(Headcount!$F$6:$F$92="Marketing"),--(Headcount!$H$6:$H$92&gt;=Marketing!AT$3),Headcount!$Q$6:$Q$92,Headcount!$L$6:$L$92)/12),0),IF(YEAR(AT$3)=YEAR(Headcount!$R$4),IF((AT$5&lt;=12),(SUMPRODUCT(--(Headcount!$F$6:$F$92="Marketing"),--(Headcount!$H$6:$H$92&gt;=Marketing!AT$3),Headcount!$R$6:$R$92,Headcount!$L$6:$L$92)/12),0),"New Year"))))),SUMIF('Dept. Cost Actuals'!$E$7:$E$176,"*bonus*",'Dept. Cost Actuals'!AX$181:AX$350))</f>
        <v>14591.667009999999</v>
      </c>
      <c r="AU16" s="668">
        <f>IF(AU$4="forecast",IF(YEAR(AU$3)=YEAR(Headcount!$N$4),IF((AU$5&lt;12),(SUMPRODUCT(--(Headcount!$F$6:$F$92="Marketing"),--(Headcount!$H$6:$H$92&gt;=Marketing!AU$3),Headcount!$N$6:$N$92,Headcount!$L$6:$L$92)/12),0),IF(YEAR(AU$3)=YEAR(Headcount!$O$4),IF((AU$5&lt;=12),(SUMPRODUCT(--(Headcount!$F$6:$F$92="Marketing"),--(Headcount!$H$6:$H$92&gt;=Marketing!AU$3),Headcount!$O$6:$O$92,Headcount!$L$6:$L$92)/12),0),IF(YEAR(AU$3)=YEAR(Headcount!$P$4),IF((AU$5&lt;=12),(SUMPRODUCT(--(Headcount!$F$6:$F$92="Marketing"),--(Headcount!$H$6:$H$92&gt;=Marketing!AU$3),Headcount!$P$6:$P$92,Headcount!$L$6:$L$92)/12),0),IF(YEAR(AU$3)=YEAR(Headcount!$Q$4),IF((AU$5&lt;=12),(SUMPRODUCT(--(Headcount!$F$6:$F$92="Marketing"),--(Headcount!$H$6:$H$92&gt;=Marketing!AU$3),Headcount!$Q$6:$Q$92,Headcount!$L$6:$L$92)/12),0),IF(YEAR(AU$3)=YEAR(Headcount!$R$4),IF((AU$5&lt;=12),(SUMPRODUCT(--(Headcount!$F$6:$F$92="Marketing"),--(Headcount!$H$6:$H$92&gt;=Marketing!AU$3),Headcount!$R$6:$R$92,Headcount!$L$6:$L$92)/12),0),"New Year"))))),SUMIF('Dept. Cost Actuals'!$E$7:$E$176,"*bonus*",'Dept. Cost Actuals'!AY$181:AY$350))</f>
        <v>14591.667009999999</v>
      </c>
      <c r="AV16" s="668">
        <f>IF(AV$4="forecast",IF(YEAR(AV$3)=YEAR(Headcount!$N$4),IF((AV$5&lt;12),(SUMPRODUCT(--(Headcount!$F$6:$F$92="Marketing"),--(Headcount!$H$6:$H$92&gt;=Marketing!AV$3),Headcount!$N$6:$N$92,Headcount!$L$6:$L$92)/12),0),IF(YEAR(AV$3)=YEAR(Headcount!$O$4),IF((AV$5&lt;=12),(SUMPRODUCT(--(Headcount!$F$6:$F$92="Marketing"),--(Headcount!$H$6:$H$92&gt;=Marketing!AV$3),Headcount!$O$6:$O$92,Headcount!$L$6:$L$92)/12),0),IF(YEAR(AV$3)=YEAR(Headcount!$P$4),IF((AV$5&lt;=12),(SUMPRODUCT(--(Headcount!$F$6:$F$92="Marketing"),--(Headcount!$H$6:$H$92&gt;=Marketing!AV$3),Headcount!$P$6:$P$92,Headcount!$L$6:$L$92)/12),0),IF(YEAR(AV$3)=YEAR(Headcount!$Q$4),IF((AV$5&lt;=12),(SUMPRODUCT(--(Headcount!$F$6:$F$92="Marketing"),--(Headcount!$H$6:$H$92&gt;=Marketing!AV$3),Headcount!$Q$6:$Q$92,Headcount!$L$6:$L$92)/12),0),IF(YEAR(AV$3)=YEAR(Headcount!$R$4),IF((AV$5&lt;=12),(SUMPRODUCT(--(Headcount!$F$6:$F$92="Marketing"),--(Headcount!$H$6:$H$92&gt;=Marketing!AV$3),Headcount!$R$6:$R$92,Headcount!$L$6:$L$92)/12),0),"New Year"))))),SUMIF('Dept. Cost Actuals'!$E$7:$E$176,"*bonus*",'Dept. Cost Actuals'!AZ$181:AZ$350))</f>
        <v>14591.667009999999</v>
      </c>
      <c r="AW16" s="668">
        <f>IF(AW$4="forecast",IF(YEAR(AW$3)=YEAR(Headcount!$N$4),IF((AW$5&lt;12),(SUMPRODUCT(--(Headcount!$F$6:$F$92="Marketing"),--(Headcount!$H$6:$H$92&gt;=Marketing!AW$3),Headcount!$N$6:$N$92,Headcount!$L$6:$L$92)/12),0),IF(YEAR(AW$3)=YEAR(Headcount!$O$4),IF((AW$5&lt;=12),(SUMPRODUCT(--(Headcount!$F$6:$F$92="Marketing"),--(Headcount!$H$6:$H$92&gt;=Marketing!AW$3),Headcount!$O$6:$O$92,Headcount!$L$6:$L$92)/12),0),IF(YEAR(AW$3)=YEAR(Headcount!$P$4),IF((AW$5&lt;=12),(SUMPRODUCT(--(Headcount!$F$6:$F$92="Marketing"),--(Headcount!$H$6:$H$92&gt;=Marketing!AW$3),Headcount!$P$6:$P$92,Headcount!$L$6:$L$92)/12),0),IF(YEAR(AW$3)=YEAR(Headcount!$Q$4),IF((AW$5&lt;=12),(SUMPRODUCT(--(Headcount!$F$6:$F$92="Marketing"),--(Headcount!$H$6:$H$92&gt;=Marketing!AW$3),Headcount!$Q$6:$Q$92,Headcount!$L$6:$L$92)/12),0),IF(YEAR(AW$3)=YEAR(Headcount!$R$4),IF((AW$5&lt;=12),(SUMPRODUCT(--(Headcount!$F$6:$F$92="Marketing"),--(Headcount!$H$6:$H$92&gt;=Marketing!AW$3),Headcount!$R$6:$R$92,Headcount!$L$6:$L$92)/12),0),"New Year"))))),SUMIF('Dept. Cost Actuals'!$E$7:$E$176,"*bonus*",'Dept. Cost Actuals'!BA$181:BA$350))</f>
        <v>14591.667009999999</v>
      </c>
      <c r="AX16" s="668">
        <f>IF(AX$4="forecast",IF(YEAR(AX$3)=YEAR(Headcount!$N$4),IF((AX$5&lt;12),(SUMPRODUCT(--(Headcount!$F$6:$F$92="Marketing"),--(Headcount!$H$6:$H$92&gt;=Marketing!AX$3),Headcount!$N$6:$N$92,Headcount!$L$6:$L$92)/12),0),IF(YEAR(AX$3)=YEAR(Headcount!$O$4),IF((AX$5&lt;=12),(SUMPRODUCT(--(Headcount!$F$6:$F$92="Marketing"),--(Headcount!$H$6:$H$92&gt;=Marketing!AX$3),Headcount!$O$6:$O$92,Headcount!$L$6:$L$92)/12),0),IF(YEAR(AX$3)=YEAR(Headcount!$P$4),IF((AX$5&lt;=12),(SUMPRODUCT(--(Headcount!$F$6:$F$92="Marketing"),--(Headcount!$H$6:$H$92&gt;=Marketing!AX$3),Headcount!$P$6:$P$92,Headcount!$L$6:$L$92)/12),0),IF(YEAR(AX$3)=YEAR(Headcount!$Q$4),IF((AX$5&lt;=12),(SUMPRODUCT(--(Headcount!$F$6:$F$92="Marketing"),--(Headcount!$H$6:$H$92&gt;=Marketing!AX$3),Headcount!$Q$6:$Q$92,Headcount!$L$6:$L$92)/12),0),IF(YEAR(AX$3)=YEAR(Headcount!$R$4),IF((AX$5&lt;=12),(SUMPRODUCT(--(Headcount!$F$6:$F$92="Marketing"),--(Headcount!$H$6:$H$92&gt;=Marketing!AX$3),Headcount!$R$6:$R$92,Headcount!$L$6:$L$92)/12),0),"New Year"))))),SUMIF('Dept. Cost Actuals'!$E$7:$E$176,"*bonus*",'Dept. Cost Actuals'!BB$181:BB$350))</f>
        <v>14591.667009999999</v>
      </c>
      <c r="AY16" s="668">
        <f>IF(AY$4="forecast",IF(YEAR(AY$3)=YEAR(Headcount!$N$4),IF((AY$5&lt;12),(SUMPRODUCT(--(Headcount!$F$6:$F$92="Marketing"),--(Headcount!$H$6:$H$92&gt;=Marketing!AY$3),Headcount!$N$6:$N$92,Headcount!$L$6:$L$92)/12),0),IF(YEAR(AY$3)=YEAR(Headcount!$O$4),IF((AY$5&lt;=12),(SUMPRODUCT(--(Headcount!$F$6:$F$92="Marketing"),--(Headcount!$H$6:$H$92&gt;=Marketing!AY$3),Headcount!$O$6:$O$92,Headcount!$L$6:$L$92)/12),0),IF(YEAR(AY$3)=YEAR(Headcount!$P$4),IF((AY$5&lt;=12),(SUMPRODUCT(--(Headcount!$F$6:$F$92="Marketing"),--(Headcount!$H$6:$H$92&gt;=Marketing!AY$3),Headcount!$P$6:$P$92,Headcount!$L$6:$L$92)/12),0),IF(YEAR(AY$3)=YEAR(Headcount!$Q$4),IF((AY$5&lt;=12),(SUMPRODUCT(--(Headcount!$F$6:$F$92="Marketing"),--(Headcount!$H$6:$H$92&gt;=Marketing!AY$3),Headcount!$Q$6:$Q$92,Headcount!$L$6:$L$92)/12),0),IF(YEAR(AY$3)=YEAR(Headcount!$R$4),IF((AY$5&lt;=12),(SUMPRODUCT(--(Headcount!$F$6:$F$92="Marketing"),--(Headcount!$H$6:$H$92&gt;=Marketing!AY$3),Headcount!$R$6:$R$92,Headcount!$L$6:$L$92)/12),0),"New Year"))))),SUMIF('Dept. Cost Actuals'!$E$7:$E$176,"*bonus*",'Dept. Cost Actuals'!BC$181:BC$350))</f>
        <v>15029.417020300001</v>
      </c>
      <c r="AZ16" s="668">
        <f>IF(AZ$4="forecast",IF(YEAR(AZ$3)=YEAR(Headcount!$N$4),IF((AZ$5&lt;12),(SUMPRODUCT(--(Headcount!$F$6:$F$92="Marketing"),--(Headcount!$H$6:$H$92&gt;=Marketing!AZ$3),Headcount!$N$6:$N$92,Headcount!$L$6:$L$92)/12),0),IF(YEAR(AZ$3)=YEAR(Headcount!$O$4),IF((AZ$5&lt;=12),(SUMPRODUCT(--(Headcount!$F$6:$F$92="Marketing"),--(Headcount!$H$6:$H$92&gt;=Marketing!AZ$3),Headcount!$O$6:$O$92,Headcount!$L$6:$L$92)/12),0),IF(YEAR(AZ$3)=YEAR(Headcount!$P$4),IF((AZ$5&lt;=12),(SUMPRODUCT(--(Headcount!$F$6:$F$92="Marketing"),--(Headcount!$H$6:$H$92&gt;=Marketing!AZ$3),Headcount!$P$6:$P$92,Headcount!$L$6:$L$92)/12),0),IF(YEAR(AZ$3)=YEAR(Headcount!$Q$4),IF((AZ$5&lt;=12),(SUMPRODUCT(--(Headcount!$F$6:$F$92="Marketing"),--(Headcount!$H$6:$H$92&gt;=Marketing!AZ$3),Headcount!$Q$6:$Q$92,Headcount!$L$6:$L$92)/12),0),IF(YEAR(AZ$3)=YEAR(Headcount!$R$4),IF((AZ$5&lt;=12),(SUMPRODUCT(--(Headcount!$F$6:$F$92="Marketing"),--(Headcount!$H$6:$H$92&gt;=Marketing!AZ$3),Headcount!$R$6:$R$92,Headcount!$L$6:$L$92)/12),0),"New Year"))))),SUMIF('Dept. Cost Actuals'!$E$7:$E$176,"*bonus*",'Dept. Cost Actuals'!BD$181:BD$350))</f>
        <v>15029.417020300001</v>
      </c>
      <c r="BA16" s="668">
        <f>IF(BA$4="forecast",IF(YEAR(BA$3)=YEAR(Headcount!$N$4),IF((BA$5&lt;12),(SUMPRODUCT(--(Headcount!$F$6:$F$92="Marketing"),--(Headcount!$H$6:$H$92&gt;=Marketing!BA$3),Headcount!$N$6:$N$92,Headcount!$L$6:$L$92)/12),0),IF(YEAR(BA$3)=YEAR(Headcount!$O$4),IF((BA$5&lt;=12),(SUMPRODUCT(--(Headcount!$F$6:$F$92="Marketing"),--(Headcount!$H$6:$H$92&gt;=Marketing!BA$3),Headcount!$O$6:$O$92,Headcount!$L$6:$L$92)/12),0),IF(YEAR(BA$3)=YEAR(Headcount!$P$4),IF((BA$5&lt;=12),(SUMPRODUCT(--(Headcount!$F$6:$F$92="Marketing"),--(Headcount!$H$6:$H$92&gt;=Marketing!BA$3),Headcount!$P$6:$P$92,Headcount!$L$6:$L$92)/12),0),IF(YEAR(BA$3)=YEAR(Headcount!$Q$4),IF((BA$5&lt;=12),(SUMPRODUCT(--(Headcount!$F$6:$F$92="Marketing"),--(Headcount!$H$6:$H$92&gt;=Marketing!BA$3),Headcount!$Q$6:$Q$92,Headcount!$L$6:$L$92)/12),0),IF(YEAR(BA$3)=YEAR(Headcount!$R$4),IF((BA$5&lt;=12),(SUMPRODUCT(--(Headcount!$F$6:$F$92="Marketing"),--(Headcount!$H$6:$H$92&gt;=Marketing!BA$3),Headcount!$R$6:$R$92,Headcount!$L$6:$L$92)/12),0),"New Year"))))),SUMIF('Dept. Cost Actuals'!$E$7:$E$176,"*bonus*",'Dept. Cost Actuals'!BE$181:BE$350))</f>
        <v>15029.417020300001</v>
      </c>
      <c r="BB16" s="668">
        <f>IF(BB$4="forecast",IF(YEAR(BB$3)=YEAR(Headcount!$N$4),IF((BB$5&lt;12),(SUMPRODUCT(--(Headcount!$F$6:$F$92="Marketing"),--(Headcount!$H$6:$H$92&gt;=Marketing!BB$3),Headcount!$N$6:$N$92,Headcount!$L$6:$L$92)/12),0),IF(YEAR(BB$3)=YEAR(Headcount!$O$4),IF((BB$5&lt;=12),(SUMPRODUCT(--(Headcount!$F$6:$F$92="Marketing"),--(Headcount!$H$6:$H$92&gt;=Marketing!BB$3),Headcount!$O$6:$O$92,Headcount!$L$6:$L$92)/12),0),IF(YEAR(BB$3)=YEAR(Headcount!$P$4),IF((BB$5&lt;=12),(SUMPRODUCT(--(Headcount!$F$6:$F$92="Marketing"),--(Headcount!$H$6:$H$92&gt;=Marketing!BB$3),Headcount!$P$6:$P$92,Headcount!$L$6:$L$92)/12),0),IF(YEAR(BB$3)=YEAR(Headcount!$Q$4),IF((BB$5&lt;=12),(SUMPRODUCT(--(Headcount!$F$6:$F$92="Marketing"),--(Headcount!$H$6:$H$92&gt;=Marketing!BB$3),Headcount!$Q$6:$Q$92,Headcount!$L$6:$L$92)/12),0),IF(YEAR(BB$3)=YEAR(Headcount!$R$4),IF((BB$5&lt;=12),(SUMPRODUCT(--(Headcount!$F$6:$F$92="Marketing"),--(Headcount!$H$6:$H$92&gt;=Marketing!BB$3),Headcount!$R$6:$R$92,Headcount!$L$6:$L$92)/12),0),"New Year"))))),SUMIF('Dept. Cost Actuals'!$E$7:$E$176,"*bonus*",'Dept. Cost Actuals'!BF$181:BF$350))</f>
        <v>15029.417020300001</v>
      </c>
      <c r="BC16" s="668">
        <f>IF(BC$4="forecast",IF(YEAR(BC$3)=YEAR(Headcount!$N$4),IF((BC$5&lt;12),(SUMPRODUCT(--(Headcount!$F$6:$F$92="Marketing"),--(Headcount!$H$6:$H$92&gt;=Marketing!BC$3),Headcount!$N$6:$N$92,Headcount!$L$6:$L$92)/12),0),IF(YEAR(BC$3)=YEAR(Headcount!$O$4),IF((BC$5&lt;=12),(SUMPRODUCT(--(Headcount!$F$6:$F$92="Marketing"),--(Headcount!$H$6:$H$92&gt;=Marketing!BC$3),Headcount!$O$6:$O$92,Headcount!$L$6:$L$92)/12),0),IF(YEAR(BC$3)=YEAR(Headcount!$P$4),IF((BC$5&lt;=12),(SUMPRODUCT(--(Headcount!$F$6:$F$92="Marketing"),--(Headcount!$H$6:$H$92&gt;=Marketing!BC$3),Headcount!$P$6:$P$92,Headcount!$L$6:$L$92)/12),0),IF(YEAR(BC$3)=YEAR(Headcount!$Q$4),IF((BC$5&lt;=12),(SUMPRODUCT(--(Headcount!$F$6:$F$92="Marketing"),--(Headcount!$H$6:$H$92&gt;=Marketing!BC$3),Headcount!$Q$6:$Q$92,Headcount!$L$6:$L$92)/12),0),IF(YEAR(BC$3)=YEAR(Headcount!$R$4),IF((BC$5&lt;=12),(SUMPRODUCT(--(Headcount!$F$6:$F$92="Marketing"),--(Headcount!$H$6:$H$92&gt;=Marketing!BC$3),Headcount!$R$6:$R$92,Headcount!$L$6:$L$92)/12),0),"New Year"))))),SUMIF('Dept. Cost Actuals'!$E$7:$E$176,"*bonus*",'Dept. Cost Actuals'!BG$181:BG$350))</f>
        <v>15029.417020300001</v>
      </c>
      <c r="BD16" s="668">
        <f>IF(BD$4="forecast",IF(YEAR(BD$3)=YEAR(Headcount!$N$4),IF((BD$5&lt;12),(SUMPRODUCT(--(Headcount!$F$6:$F$92="Marketing"),--(Headcount!$H$6:$H$92&gt;=Marketing!BD$3),Headcount!$N$6:$N$92,Headcount!$L$6:$L$92)/12),0),IF(YEAR(BD$3)=YEAR(Headcount!$O$4),IF((BD$5&lt;=12),(SUMPRODUCT(--(Headcount!$F$6:$F$92="Marketing"),--(Headcount!$H$6:$H$92&gt;=Marketing!BD$3),Headcount!$O$6:$O$92,Headcount!$L$6:$L$92)/12),0),IF(YEAR(BD$3)=YEAR(Headcount!$P$4),IF((BD$5&lt;=12),(SUMPRODUCT(--(Headcount!$F$6:$F$92="Marketing"),--(Headcount!$H$6:$H$92&gt;=Marketing!BD$3),Headcount!$P$6:$P$92,Headcount!$L$6:$L$92)/12),0),IF(YEAR(BD$3)=YEAR(Headcount!$Q$4),IF((BD$5&lt;=12),(SUMPRODUCT(--(Headcount!$F$6:$F$92="Marketing"),--(Headcount!$H$6:$H$92&gt;=Marketing!BD$3),Headcount!$Q$6:$Q$92,Headcount!$L$6:$L$92)/12),0),IF(YEAR(BD$3)=YEAR(Headcount!$R$4),IF((BD$5&lt;=12),(SUMPRODUCT(--(Headcount!$F$6:$F$92="Marketing"),--(Headcount!$H$6:$H$92&gt;=Marketing!BD$3),Headcount!$R$6:$R$92,Headcount!$L$6:$L$92)/12),0),"New Year"))))),SUMIF('Dept. Cost Actuals'!$E$7:$E$176,"*bonus*",'Dept. Cost Actuals'!BH$181:BH$350))</f>
        <v>15029.417020300001</v>
      </c>
      <c r="BE16" s="668">
        <f>IF(BE$4="forecast",IF(YEAR(BE$3)=YEAR(Headcount!$N$4),IF((BE$5&lt;12),(SUMPRODUCT(--(Headcount!$F$6:$F$92="Marketing"),--(Headcount!$H$6:$H$92&gt;=Marketing!BE$3),Headcount!$N$6:$N$92,Headcount!$L$6:$L$92)/12),0),IF(YEAR(BE$3)=YEAR(Headcount!$O$4),IF((BE$5&lt;=12),(SUMPRODUCT(--(Headcount!$F$6:$F$92="Marketing"),--(Headcount!$H$6:$H$92&gt;=Marketing!BE$3),Headcount!$O$6:$O$92,Headcount!$L$6:$L$92)/12),0),IF(YEAR(BE$3)=YEAR(Headcount!$P$4),IF((BE$5&lt;=12),(SUMPRODUCT(--(Headcount!$F$6:$F$92="Marketing"),--(Headcount!$H$6:$H$92&gt;=Marketing!BE$3),Headcount!$P$6:$P$92,Headcount!$L$6:$L$92)/12),0),IF(YEAR(BE$3)=YEAR(Headcount!$Q$4),IF((BE$5&lt;=12),(SUMPRODUCT(--(Headcount!$F$6:$F$92="Marketing"),--(Headcount!$H$6:$H$92&gt;=Marketing!BE$3),Headcount!$Q$6:$Q$92,Headcount!$L$6:$L$92)/12),0),IF(YEAR(BE$3)=YEAR(Headcount!$R$4),IF((BE$5&lt;=12),(SUMPRODUCT(--(Headcount!$F$6:$F$92="Marketing"),--(Headcount!$H$6:$H$92&gt;=Marketing!BE$3),Headcount!$R$6:$R$92,Headcount!$L$6:$L$92)/12),0),"New Year"))))),SUMIF('Dept. Cost Actuals'!$E$7:$E$176,"*bonus*",'Dept. Cost Actuals'!BI$181:BI$350))</f>
        <v>15029.417020300001</v>
      </c>
      <c r="BF16" s="668">
        <f>IF(BF$4="forecast",IF(YEAR(BF$3)=YEAR(Headcount!$N$4),IF((BF$5&lt;12),(SUMPRODUCT(--(Headcount!$F$6:$F$92="Marketing"),--(Headcount!$H$6:$H$92&gt;=Marketing!BF$3),Headcount!$N$6:$N$92,Headcount!$L$6:$L$92)/12),0),IF(YEAR(BF$3)=YEAR(Headcount!$O$4),IF((BF$5&lt;=12),(SUMPRODUCT(--(Headcount!$F$6:$F$92="Marketing"),--(Headcount!$H$6:$H$92&gt;=Marketing!BF$3),Headcount!$O$6:$O$92,Headcount!$L$6:$L$92)/12),0),IF(YEAR(BF$3)=YEAR(Headcount!$P$4),IF((BF$5&lt;=12),(SUMPRODUCT(--(Headcount!$F$6:$F$92="Marketing"),--(Headcount!$H$6:$H$92&gt;=Marketing!BF$3),Headcount!$P$6:$P$92,Headcount!$L$6:$L$92)/12),0),IF(YEAR(BF$3)=YEAR(Headcount!$Q$4),IF((BF$5&lt;=12),(SUMPRODUCT(--(Headcount!$F$6:$F$92="Marketing"),--(Headcount!$H$6:$H$92&gt;=Marketing!BF$3),Headcount!$Q$6:$Q$92,Headcount!$L$6:$L$92)/12),0),IF(YEAR(BF$3)=YEAR(Headcount!$R$4),IF((BF$5&lt;=12),(SUMPRODUCT(--(Headcount!$F$6:$F$92="Marketing"),--(Headcount!$H$6:$H$92&gt;=Marketing!BF$3),Headcount!$R$6:$R$92,Headcount!$L$6:$L$92)/12),0),"New Year"))))),SUMIF('Dept. Cost Actuals'!$E$7:$E$176,"*bonus*",'Dept. Cost Actuals'!BJ$181:BJ$350))</f>
        <v>15029.417020300001</v>
      </c>
      <c r="BG16" s="668">
        <f>IF(BG$4="forecast",IF(YEAR(BG$3)=YEAR(Headcount!$N$4),IF((BG$5&lt;12),(SUMPRODUCT(--(Headcount!$F$6:$F$92="Marketing"),--(Headcount!$H$6:$H$92&gt;=Marketing!BG$3),Headcount!$N$6:$N$92,Headcount!$L$6:$L$92)/12),0),IF(YEAR(BG$3)=YEAR(Headcount!$O$4),IF((BG$5&lt;=12),(SUMPRODUCT(--(Headcount!$F$6:$F$92="Marketing"),--(Headcount!$H$6:$H$92&gt;=Marketing!BG$3),Headcount!$O$6:$O$92,Headcount!$L$6:$L$92)/12),0),IF(YEAR(BG$3)=YEAR(Headcount!$P$4),IF((BG$5&lt;=12),(SUMPRODUCT(--(Headcount!$F$6:$F$92="Marketing"),--(Headcount!$H$6:$H$92&gt;=Marketing!BG$3),Headcount!$P$6:$P$92,Headcount!$L$6:$L$92)/12),0),IF(YEAR(BG$3)=YEAR(Headcount!$Q$4),IF((BG$5&lt;=12),(SUMPRODUCT(--(Headcount!$F$6:$F$92="Marketing"),--(Headcount!$H$6:$H$92&gt;=Marketing!BG$3),Headcount!$Q$6:$Q$92,Headcount!$L$6:$L$92)/12),0),IF(YEAR(BG$3)=YEAR(Headcount!$R$4),IF((BG$5&lt;=12),(SUMPRODUCT(--(Headcount!$F$6:$F$92="Marketing"),--(Headcount!$H$6:$H$92&gt;=Marketing!BG$3),Headcount!$R$6:$R$92,Headcount!$L$6:$L$92)/12),0),"New Year"))))),SUMIF('Dept. Cost Actuals'!$E$7:$E$176,"*bonus*",'Dept. Cost Actuals'!BK$181:BK$350))</f>
        <v>15029.417020300001</v>
      </c>
      <c r="BH16" s="668">
        <f>IF(BH$4="forecast",IF(YEAR(BH$3)=YEAR(Headcount!$N$4),IF((BH$5&lt;12),(SUMPRODUCT(--(Headcount!$F$6:$F$92="Marketing"),--(Headcount!$H$6:$H$92&gt;=Marketing!BH$3),Headcount!$N$6:$N$92,Headcount!$L$6:$L$92)/12),0),IF(YEAR(BH$3)=YEAR(Headcount!$O$4),IF((BH$5&lt;=12),(SUMPRODUCT(--(Headcount!$F$6:$F$92="Marketing"),--(Headcount!$H$6:$H$92&gt;=Marketing!BH$3),Headcount!$O$6:$O$92,Headcount!$L$6:$L$92)/12),0),IF(YEAR(BH$3)=YEAR(Headcount!$P$4),IF((BH$5&lt;=12),(SUMPRODUCT(--(Headcount!$F$6:$F$92="Marketing"),--(Headcount!$H$6:$H$92&gt;=Marketing!BH$3),Headcount!$P$6:$P$92,Headcount!$L$6:$L$92)/12),0),IF(YEAR(BH$3)=YEAR(Headcount!$Q$4),IF((BH$5&lt;=12),(SUMPRODUCT(--(Headcount!$F$6:$F$92="Marketing"),--(Headcount!$H$6:$H$92&gt;=Marketing!BH$3),Headcount!$Q$6:$Q$92,Headcount!$L$6:$L$92)/12),0),IF(YEAR(BH$3)=YEAR(Headcount!$R$4),IF((BH$5&lt;=12),(SUMPRODUCT(--(Headcount!$F$6:$F$92="Marketing"),--(Headcount!$H$6:$H$92&gt;=Marketing!BH$3),Headcount!$R$6:$R$92,Headcount!$L$6:$L$92)/12),0),"New Year"))))),SUMIF('Dept. Cost Actuals'!$E$7:$E$176,"*bonus*",'Dept. Cost Actuals'!BL$181:BL$350))</f>
        <v>15029.417020300001</v>
      </c>
      <c r="BI16" s="668">
        <f>IF(BI$4="forecast",IF(YEAR(BI$3)=YEAR(Headcount!$N$4),IF((BI$5&lt;12),(SUMPRODUCT(--(Headcount!$F$6:$F$92="Marketing"),--(Headcount!$H$6:$H$92&gt;=Marketing!BI$3),Headcount!$N$6:$N$92,Headcount!$L$6:$L$92)/12),0),IF(YEAR(BI$3)=YEAR(Headcount!$O$4),IF((BI$5&lt;=12),(SUMPRODUCT(--(Headcount!$F$6:$F$92="Marketing"),--(Headcount!$H$6:$H$92&gt;=Marketing!BI$3),Headcount!$O$6:$O$92,Headcount!$L$6:$L$92)/12),0),IF(YEAR(BI$3)=YEAR(Headcount!$P$4),IF((BI$5&lt;=12),(SUMPRODUCT(--(Headcount!$F$6:$F$92="Marketing"),--(Headcount!$H$6:$H$92&gt;=Marketing!BI$3),Headcount!$P$6:$P$92,Headcount!$L$6:$L$92)/12),0),IF(YEAR(BI$3)=YEAR(Headcount!$Q$4),IF((BI$5&lt;=12),(SUMPRODUCT(--(Headcount!$F$6:$F$92="Marketing"),--(Headcount!$H$6:$H$92&gt;=Marketing!BI$3),Headcount!$Q$6:$Q$92,Headcount!$L$6:$L$92)/12),0),IF(YEAR(BI$3)=YEAR(Headcount!$R$4),IF((BI$5&lt;=12),(SUMPRODUCT(--(Headcount!$F$6:$F$92="Marketing"),--(Headcount!$H$6:$H$92&gt;=Marketing!BI$3),Headcount!$R$6:$R$92,Headcount!$L$6:$L$92)/12),0),"New Year"))))),SUMIF('Dept. Cost Actuals'!$E$7:$E$176,"*bonus*",'Dept. Cost Actuals'!BM$181:BM$350))</f>
        <v>15029.417020300001</v>
      </c>
      <c r="BJ16" s="668">
        <f>IF(BJ$4="forecast",IF(YEAR(BJ$3)=YEAR(Headcount!$N$4),IF((BJ$5&lt;12),(SUMPRODUCT(--(Headcount!$F$6:$F$92="Marketing"),--(Headcount!$H$6:$H$92&gt;=Marketing!BJ$3),Headcount!$N$6:$N$92,Headcount!$L$6:$L$92)/12),0),IF(YEAR(BJ$3)=YEAR(Headcount!$O$4),IF((BJ$5&lt;=12),(SUMPRODUCT(--(Headcount!$F$6:$F$92="Marketing"),--(Headcount!$H$6:$H$92&gt;=Marketing!BJ$3),Headcount!$O$6:$O$92,Headcount!$L$6:$L$92)/12),0),IF(YEAR(BJ$3)=YEAR(Headcount!$P$4),IF((BJ$5&lt;=12),(SUMPRODUCT(--(Headcount!$F$6:$F$92="Marketing"),--(Headcount!$H$6:$H$92&gt;=Marketing!BJ$3),Headcount!$P$6:$P$92,Headcount!$L$6:$L$92)/12),0),IF(YEAR(BJ$3)=YEAR(Headcount!$Q$4),IF((BJ$5&lt;=12),(SUMPRODUCT(--(Headcount!$F$6:$F$92="Marketing"),--(Headcount!$H$6:$H$92&gt;=Marketing!BJ$3),Headcount!$Q$6:$Q$92,Headcount!$L$6:$L$92)/12),0),IF(YEAR(BJ$3)=YEAR(Headcount!$R$4),IF((BJ$5&lt;=12),(SUMPRODUCT(--(Headcount!$F$6:$F$92="Marketing"),--(Headcount!$H$6:$H$92&gt;=Marketing!BJ$3),Headcount!$R$6:$R$92,Headcount!$L$6:$L$92)/12),0),"New Year"))))),SUMIF('Dept. Cost Actuals'!$E$7:$E$176,"*bonus*",'Dept. Cost Actuals'!BN$181:BN$350))</f>
        <v>15029.417020300001</v>
      </c>
      <c r="BK16" s="668">
        <f>IF(BK$4="forecast",IF(YEAR(BK$3)=YEAR(Headcount!$N$4),IF((BK$5&lt;12),(SUMPRODUCT(--(Headcount!$F$6:$F$92="Marketing"),--(Headcount!$H$6:$H$92&gt;=Marketing!BK$3),Headcount!$N$6:$N$92,Headcount!$L$6:$L$92)/12),0),IF(YEAR(BK$3)=YEAR(Headcount!$O$4),IF((BK$5&lt;=12),(SUMPRODUCT(--(Headcount!$F$6:$F$92="Marketing"),--(Headcount!$H$6:$H$92&gt;=Marketing!BK$3),Headcount!$O$6:$O$92,Headcount!$L$6:$L$92)/12),0),IF(YEAR(BK$3)=YEAR(Headcount!$P$4),IF((BK$5&lt;=12),(SUMPRODUCT(--(Headcount!$F$6:$F$92="Marketing"),--(Headcount!$H$6:$H$92&gt;=Marketing!BK$3),Headcount!$P$6:$P$92,Headcount!$L$6:$L$92)/12),0),IF(YEAR(BK$3)=YEAR(Headcount!$Q$4),IF((BK$5&lt;=12),(SUMPRODUCT(--(Headcount!$F$6:$F$92="Marketing"),--(Headcount!$H$6:$H$92&gt;=Marketing!BK$3),Headcount!$Q$6:$Q$92,Headcount!$L$6:$L$92)/12),0),IF(YEAR(BK$3)=YEAR(Headcount!$R$4),IF((BK$5&lt;=12),(SUMPRODUCT(--(Headcount!$F$6:$F$92="Marketing"),--(Headcount!$H$6:$H$92&gt;=Marketing!BK$3),Headcount!$R$6:$R$92,Headcount!$L$6:$L$92)/12),0),"New Year"))))),SUMIF('Dept. Cost Actuals'!$E$7:$E$176,"*bonus*",'Dept. Cost Actuals'!BO$181:BO$350))</f>
        <v>15480.299530908998</v>
      </c>
      <c r="BL16" s="668">
        <f>IF(BL$4="forecast",IF(YEAR(BL$3)=YEAR(Headcount!$N$4),IF((BL$5&lt;12),(SUMPRODUCT(--(Headcount!$F$6:$F$92="Marketing"),--(Headcount!$H$6:$H$92&gt;=Marketing!BL$3),Headcount!$N$6:$N$92,Headcount!$L$6:$L$92)/12),0),IF(YEAR(BL$3)=YEAR(Headcount!$O$4),IF((BL$5&lt;=12),(SUMPRODUCT(--(Headcount!$F$6:$F$92="Marketing"),--(Headcount!$H$6:$H$92&gt;=Marketing!BL$3),Headcount!$O$6:$O$92,Headcount!$L$6:$L$92)/12),0),IF(YEAR(BL$3)=YEAR(Headcount!$P$4),IF((BL$5&lt;=12),(SUMPRODUCT(--(Headcount!$F$6:$F$92="Marketing"),--(Headcount!$H$6:$H$92&gt;=Marketing!BL$3),Headcount!$P$6:$P$92,Headcount!$L$6:$L$92)/12),0),IF(YEAR(BL$3)=YEAR(Headcount!$Q$4),IF((BL$5&lt;=12),(SUMPRODUCT(--(Headcount!$F$6:$F$92="Marketing"),--(Headcount!$H$6:$H$92&gt;=Marketing!BL$3),Headcount!$Q$6:$Q$92,Headcount!$L$6:$L$92)/12),0),IF(YEAR(BL$3)=YEAR(Headcount!$R$4),IF((BL$5&lt;=12),(SUMPRODUCT(--(Headcount!$F$6:$F$92="Marketing"),--(Headcount!$H$6:$H$92&gt;=Marketing!BL$3),Headcount!$R$6:$R$92,Headcount!$L$6:$L$92)/12),0),"New Year"))))),SUMIF('Dept. Cost Actuals'!$E$7:$E$176,"*bonus*",'Dept. Cost Actuals'!BP$181:BP$350))</f>
        <v>15480.299530908998</v>
      </c>
      <c r="BM16" s="668">
        <f>IF(BM$4="forecast",IF(YEAR(BM$3)=YEAR(Headcount!$N$4),IF((BM$5&lt;12),(SUMPRODUCT(--(Headcount!$F$6:$F$92="Marketing"),--(Headcount!$H$6:$H$92&gt;=Marketing!BM$3),Headcount!$N$6:$N$92,Headcount!$L$6:$L$92)/12),0),IF(YEAR(BM$3)=YEAR(Headcount!$O$4),IF((BM$5&lt;=12),(SUMPRODUCT(--(Headcount!$F$6:$F$92="Marketing"),--(Headcount!$H$6:$H$92&gt;=Marketing!BM$3),Headcount!$O$6:$O$92,Headcount!$L$6:$L$92)/12),0),IF(YEAR(BM$3)=YEAR(Headcount!$P$4),IF((BM$5&lt;=12),(SUMPRODUCT(--(Headcount!$F$6:$F$92="Marketing"),--(Headcount!$H$6:$H$92&gt;=Marketing!BM$3),Headcount!$P$6:$P$92,Headcount!$L$6:$L$92)/12),0),IF(YEAR(BM$3)=YEAR(Headcount!$Q$4),IF((BM$5&lt;=12),(SUMPRODUCT(--(Headcount!$F$6:$F$92="Marketing"),--(Headcount!$H$6:$H$92&gt;=Marketing!BM$3),Headcount!$Q$6:$Q$92,Headcount!$L$6:$L$92)/12),0),IF(YEAR(BM$3)=YEAR(Headcount!$R$4),IF((BM$5&lt;=12),(SUMPRODUCT(--(Headcount!$F$6:$F$92="Marketing"),--(Headcount!$H$6:$H$92&gt;=Marketing!BM$3),Headcount!$R$6:$R$92,Headcount!$L$6:$L$92)/12),0),"New Year"))))),SUMIF('Dept. Cost Actuals'!$E$7:$E$176,"*bonus*",'Dept. Cost Actuals'!BQ$181:BQ$350))</f>
        <v>15480.299530908998</v>
      </c>
      <c r="BN16" s="668">
        <f>IF(BN$4="forecast",IF(YEAR(BN$3)=YEAR(Headcount!$N$4),IF((BN$5&lt;12),(SUMPRODUCT(--(Headcount!$F$6:$F$92="Marketing"),--(Headcount!$H$6:$H$92&gt;=Marketing!BN$3),Headcount!$N$6:$N$92,Headcount!$L$6:$L$92)/12),0),IF(YEAR(BN$3)=YEAR(Headcount!$O$4),IF((BN$5&lt;=12),(SUMPRODUCT(--(Headcount!$F$6:$F$92="Marketing"),--(Headcount!$H$6:$H$92&gt;=Marketing!BN$3),Headcount!$O$6:$O$92,Headcount!$L$6:$L$92)/12),0),IF(YEAR(BN$3)=YEAR(Headcount!$P$4),IF((BN$5&lt;=12),(SUMPRODUCT(--(Headcount!$F$6:$F$92="Marketing"),--(Headcount!$H$6:$H$92&gt;=Marketing!BN$3),Headcount!$P$6:$P$92,Headcount!$L$6:$L$92)/12),0),IF(YEAR(BN$3)=YEAR(Headcount!$Q$4),IF((BN$5&lt;=12),(SUMPRODUCT(--(Headcount!$F$6:$F$92="Marketing"),--(Headcount!$H$6:$H$92&gt;=Marketing!BN$3),Headcount!$Q$6:$Q$92,Headcount!$L$6:$L$92)/12),0),IF(YEAR(BN$3)=YEAR(Headcount!$R$4),IF((BN$5&lt;=12),(SUMPRODUCT(--(Headcount!$F$6:$F$92="Marketing"),--(Headcount!$H$6:$H$92&gt;=Marketing!BN$3),Headcount!$R$6:$R$92,Headcount!$L$6:$L$92)/12),0),"New Year"))))),SUMIF('Dept. Cost Actuals'!$E$7:$E$176,"*bonus*",'Dept. Cost Actuals'!BR$181:BR$350))</f>
        <v>15480.299530908998</v>
      </c>
      <c r="BO16" s="668">
        <f>IF(BO$4="forecast",IF(YEAR(BO$3)=YEAR(Headcount!$N$4),IF((BO$5&lt;12),(SUMPRODUCT(--(Headcount!$F$6:$F$92="Marketing"),--(Headcount!$H$6:$H$92&gt;=Marketing!BO$3),Headcount!$N$6:$N$92,Headcount!$L$6:$L$92)/12),0),IF(YEAR(BO$3)=YEAR(Headcount!$O$4),IF((BO$5&lt;=12),(SUMPRODUCT(--(Headcount!$F$6:$F$92="Marketing"),--(Headcount!$H$6:$H$92&gt;=Marketing!BO$3),Headcount!$O$6:$O$92,Headcount!$L$6:$L$92)/12),0),IF(YEAR(BO$3)=YEAR(Headcount!$P$4),IF((BO$5&lt;=12),(SUMPRODUCT(--(Headcount!$F$6:$F$92="Marketing"),--(Headcount!$H$6:$H$92&gt;=Marketing!BO$3),Headcount!$P$6:$P$92,Headcount!$L$6:$L$92)/12),0),IF(YEAR(BO$3)=YEAR(Headcount!$Q$4),IF((BO$5&lt;=12),(SUMPRODUCT(--(Headcount!$F$6:$F$92="Marketing"),--(Headcount!$H$6:$H$92&gt;=Marketing!BO$3),Headcount!$Q$6:$Q$92,Headcount!$L$6:$L$92)/12),0),IF(YEAR(BO$3)=YEAR(Headcount!$R$4),IF((BO$5&lt;=12),(SUMPRODUCT(--(Headcount!$F$6:$F$92="Marketing"),--(Headcount!$H$6:$H$92&gt;=Marketing!BO$3),Headcount!$R$6:$R$92,Headcount!$L$6:$L$92)/12),0),"New Year"))))),SUMIF('Dept. Cost Actuals'!$E$7:$E$176,"*bonus*",'Dept. Cost Actuals'!BS$181:BS$350))</f>
        <v>15480.299530908998</v>
      </c>
      <c r="BP16" s="668">
        <f>IF(BP$4="forecast",IF(YEAR(BP$3)=YEAR(Headcount!$N$4),IF((BP$5&lt;12),(SUMPRODUCT(--(Headcount!$F$6:$F$92="Marketing"),--(Headcount!$H$6:$H$92&gt;=Marketing!BP$3),Headcount!$N$6:$N$92,Headcount!$L$6:$L$92)/12),0),IF(YEAR(BP$3)=YEAR(Headcount!$O$4),IF((BP$5&lt;=12),(SUMPRODUCT(--(Headcount!$F$6:$F$92="Marketing"),--(Headcount!$H$6:$H$92&gt;=Marketing!BP$3),Headcount!$O$6:$O$92,Headcount!$L$6:$L$92)/12),0),IF(YEAR(BP$3)=YEAR(Headcount!$P$4),IF((BP$5&lt;=12),(SUMPRODUCT(--(Headcount!$F$6:$F$92="Marketing"),--(Headcount!$H$6:$H$92&gt;=Marketing!BP$3),Headcount!$P$6:$P$92,Headcount!$L$6:$L$92)/12),0),IF(YEAR(BP$3)=YEAR(Headcount!$Q$4),IF((BP$5&lt;=12),(SUMPRODUCT(--(Headcount!$F$6:$F$92="Marketing"),--(Headcount!$H$6:$H$92&gt;=Marketing!BP$3),Headcount!$Q$6:$Q$92,Headcount!$L$6:$L$92)/12),0),IF(YEAR(BP$3)=YEAR(Headcount!$R$4),IF((BP$5&lt;=12),(SUMPRODUCT(--(Headcount!$F$6:$F$92="Marketing"),--(Headcount!$H$6:$H$92&gt;=Marketing!BP$3),Headcount!$R$6:$R$92,Headcount!$L$6:$L$92)/12),0),"New Year"))))),SUMIF('Dept. Cost Actuals'!$E$7:$E$176,"*bonus*",'Dept. Cost Actuals'!BT$181:BT$350))</f>
        <v>15480.299530908998</v>
      </c>
      <c r="BQ16" s="668">
        <f>IF(BQ$4="forecast",IF(YEAR(BQ$3)=YEAR(Headcount!$N$4),IF((BQ$5&lt;12),(SUMPRODUCT(--(Headcount!$F$6:$F$92="Marketing"),--(Headcount!$H$6:$H$92&gt;=Marketing!BQ$3),Headcount!$N$6:$N$92,Headcount!$L$6:$L$92)/12),0),IF(YEAR(BQ$3)=YEAR(Headcount!$O$4),IF((BQ$5&lt;=12),(SUMPRODUCT(--(Headcount!$F$6:$F$92="Marketing"),--(Headcount!$H$6:$H$92&gt;=Marketing!BQ$3),Headcount!$O$6:$O$92,Headcount!$L$6:$L$92)/12),0),IF(YEAR(BQ$3)=YEAR(Headcount!$P$4),IF((BQ$5&lt;=12),(SUMPRODUCT(--(Headcount!$F$6:$F$92="Marketing"),--(Headcount!$H$6:$H$92&gt;=Marketing!BQ$3),Headcount!$P$6:$P$92,Headcount!$L$6:$L$92)/12),0),IF(YEAR(BQ$3)=YEAR(Headcount!$Q$4),IF((BQ$5&lt;=12),(SUMPRODUCT(--(Headcount!$F$6:$F$92="Marketing"),--(Headcount!$H$6:$H$92&gt;=Marketing!BQ$3),Headcount!$Q$6:$Q$92,Headcount!$L$6:$L$92)/12),0),IF(YEAR(BQ$3)=YEAR(Headcount!$R$4),IF((BQ$5&lt;=12),(SUMPRODUCT(--(Headcount!$F$6:$F$92="Marketing"),--(Headcount!$H$6:$H$92&gt;=Marketing!BQ$3),Headcount!$R$6:$R$92,Headcount!$L$6:$L$92)/12),0),"New Year"))))),SUMIF('Dept. Cost Actuals'!$E$7:$E$176,"*bonus*",'Dept. Cost Actuals'!BU$181:BU$350))</f>
        <v>15480.299530908998</v>
      </c>
      <c r="BR16" s="668">
        <f>IF(BR$4="forecast",IF(YEAR(BR$3)=YEAR(Headcount!$N$4),IF((BR$5&lt;12),(SUMPRODUCT(--(Headcount!$F$6:$F$92="Marketing"),--(Headcount!$H$6:$H$92&gt;=Marketing!BR$3),Headcount!$N$6:$N$92,Headcount!$L$6:$L$92)/12),0),IF(YEAR(BR$3)=YEAR(Headcount!$O$4),IF((BR$5&lt;=12),(SUMPRODUCT(--(Headcount!$F$6:$F$92="Marketing"),--(Headcount!$H$6:$H$92&gt;=Marketing!BR$3),Headcount!$O$6:$O$92,Headcount!$L$6:$L$92)/12),0),IF(YEAR(BR$3)=YEAR(Headcount!$P$4),IF((BR$5&lt;=12),(SUMPRODUCT(--(Headcount!$F$6:$F$92="Marketing"),--(Headcount!$H$6:$H$92&gt;=Marketing!BR$3),Headcount!$P$6:$P$92,Headcount!$L$6:$L$92)/12),0),IF(YEAR(BR$3)=YEAR(Headcount!$Q$4),IF((BR$5&lt;=12),(SUMPRODUCT(--(Headcount!$F$6:$F$92="Marketing"),--(Headcount!$H$6:$H$92&gt;=Marketing!BR$3),Headcount!$Q$6:$Q$92,Headcount!$L$6:$L$92)/12),0),IF(YEAR(BR$3)=YEAR(Headcount!$R$4),IF((BR$5&lt;=12),(SUMPRODUCT(--(Headcount!$F$6:$F$92="Marketing"),--(Headcount!$H$6:$H$92&gt;=Marketing!BR$3),Headcount!$R$6:$R$92,Headcount!$L$6:$L$92)/12),0),"New Year"))))),SUMIF('Dept. Cost Actuals'!$E$7:$E$176,"*bonus*",'Dept. Cost Actuals'!BV$181:BV$350))</f>
        <v>15480.299530908998</v>
      </c>
      <c r="BS16" s="668">
        <f>IF(BS$4="forecast",IF(YEAR(BS$3)=YEAR(Headcount!$N$4),IF((BS$5&lt;12),(SUMPRODUCT(--(Headcount!$F$6:$F$92="Marketing"),--(Headcount!$H$6:$H$92&gt;=Marketing!BS$3),Headcount!$N$6:$N$92,Headcount!$L$6:$L$92)/12),0),IF(YEAR(BS$3)=YEAR(Headcount!$O$4),IF((BS$5&lt;=12),(SUMPRODUCT(--(Headcount!$F$6:$F$92="Marketing"),--(Headcount!$H$6:$H$92&gt;=Marketing!BS$3),Headcount!$O$6:$O$92,Headcount!$L$6:$L$92)/12),0),IF(YEAR(BS$3)=YEAR(Headcount!$P$4),IF((BS$5&lt;=12),(SUMPRODUCT(--(Headcount!$F$6:$F$92="Marketing"),--(Headcount!$H$6:$H$92&gt;=Marketing!BS$3),Headcount!$P$6:$P$92,Headcount!$L$6:$L$92)/12),0),IF(YEAR(BS$3)=YEAR(Headcount!$Q$4),IF((BS$5&lt;=12),(SUMPRODUCT(--(Headcount!$F$6:$F$92="Marketing"),--(Headcount!$H$6:$H$92&gt;=Marketing!BS$3),Headcount!$Q$6:$Q$92,Headcount!$L$6:$L$92)/12),0),IF(YEAR(BS$3)=YEAR(Headcount!$R$4),IF((BS$5&lt;=12),(SUMPRODUCT(--(Headcount!$F$6:$F$92="Marketing"),--(Headcount!$H$6:$H$92&gt;=Marketing!BS$3),Headcount!$R$6:$R$92,Headcount!$L$6:$L$92)/12),0),"New Year"))))),SUMIF('Dept. Cost Actuals'!$E$7:$E$176,"*bonus*",'Dept. Cost Actuals'!BW$181:BW$350))</f>
        <v>15480.299530908998</v>
      </c>
      <c r="BT16" s="668">
        <f>IF(BT$4="forecast",IF(YEAR(BT$3)=YEAR(Headcount!$N$4),IF((BT$5&lt;12),(SUMPRODUCT(--(Headcount!$F$6:$F$92="Marketing"),--(Headcount!$H$6:$H$92&gt;=Marketing!BT$3),Headcount!$N$6:$N$92,Headcount!$L$6:$L$92)/12),0),IF(YEAR(BT$3)=YEAR(Headcount!$O$4),IF((BT$5&lt;=12),(SUMPRODUCT(--(Headcount!$F$6:$F$92="Marketing"),--(Headcount!$H$6:$H$92&gt;=Marketing!BT$3),Headcount!$O$6:$O$92,Headcount!$L$6:$L$92)/12),0),IF(YEAR(BT$3)=YEAR(Headcount!$P$4),IF((BT$5&lt;=12),(SUMPRODUCT(--(Headcount!$F$6:$F$92="Marketing"),--(Headcount!$H$6:$H$92&gt;=Marketing!BT$3),Headcount!$P$6:$P$92,Headcount!$L$6:$L$92)/12),0),IF(YEAR(BT$3)=YEAR(Headcount!$Q$4),IF((BT$5&lt;=12),(SUMPRODUCT(--(Headcount!$F$6:$F$92="Marketing"),--(Headcount!$H$6:$H$92&gt;=Marketing!BT$3),Headcount!$Q$6:$Q$92,Headcount!$L$6:$L$92)/12),0),IF(YEAR(BT$3)=YEAR(Headcount!$R$4),IF((BT$5&lt;=12),(SUMPRODUCT(--(Headcount!$F$6:$F$92="Marketing"),--(Headcount!$H$6:$H$92&gt;=Marketing!BT$3),Headcount!$R$6:$R$92,Headcount!$L$6:$L$92)/12),0),"New Year"))))),SUMIF('Dept. Cost Actuals'!$E$7:$E$176,"*bonus*",'Dept. Cost Actuals'!BX$181:BX$350))</f>
        <v>15480.299530908998</v>
      </c>
      <c r="BU16" s="668">
        <f>IF(BU$4="forecast",IF(YEAR(BU$3)=YEAR(Headcount!$N$4),IF((BU$5&lt;12),(SUMPRODUCT(--(Headcount!$F$6:$F$92="Marketing"),--(Headcount!$H$6:$H$92&gt;=Marketing!BU$3),Headcount!$N$6:$N$92,Headcount!$L$6:$L$92)/12),0),IF(YEAR(BU$3)=YEAR(Headcount!$O$4),IF((BU$5&lt;=12),(SUMPRODUCT(--(Headcount!$F$6:$F$92="Marketing"),--(Headcount!$H$6:$H$92&gt;=Marketing!BU$3),Headcount!$O$6:$O$92,Headcount!$L$6:$L$92)/12),0),IF(YEAR(BU$3)=YEAR(Headcount!$P$4),IF((BU$5&lt;=12),(SUMPRODUCT(--(Headcount!$F$6:$F$92="Marketing"),--(Headcount!$H$6:$H$92&gt;=Marketing!BU$3),Headcount!$P$6:$P$92,Headcount!$L$6:$L$92)/12),0),IF(YEAR(BU$3)=YEAR(Headcount!$Q$4),IF((BU$5&lt;=12),(SUMPRODUCT(--(Headcount!$F$6:$F$92="Marketing"),--(Headcount!$H$6:$H$92&gt;=Marketing!BU$3),Headcount!$Q$6:$Q$92,Headcount!$L$6:$L$92)/12),0),IF(YEAR(BU$3)=YEAR(Headcount!$R$4),IF((BU$5&lt;=12),(SUMPRODUCT(--(Headcount!$F$6:$F$92="Marketing"),--(Headcount!$H$6:$H$92&gt;=Marketing!BU$3),Headcount!$R$6:$R$92,Headcount!$L$6:$L$92)/12),0),"New Year"))))),SUMIF('Dept. Cost Actuals'!$E$7:$E$176,"*bonus*",'Dept. Cost Actuals'!BY$181:BY$350))</f>
        <v>15480.299530908998</v>
      </c>
      <c r="BV16" s="790">
        <f>IF(BV$4="forecast",IF(YEAR(BV$3)=YEAR(Headcount!$N$4),IF((BV$5&lt;12),(SUMPRODUCT(--(Headcount!$F$6:$F$92="Marketing"),--(Headcount!$H$6:$H$92&gt;=Marketing!BV$3),Headcount!$N$6:$N$92,Headcount!$L$6:$L$92)/12),0),IF(YEAR(BV$3)=YEAR(Headcount!$O$4),IF((BV$5&lt;=12),(SUMPRODUCT(--(Headcount!$F$6:$F$92="Marketing"),--(Headcount!$H$6:$H$92&gt;=Marketing!BV$3),Headcount!$O$6:$O$92,Headcount!$L$6:$L$92)/12),0),IF(YEAR(BV$3)=YEAR(Headcount!$P$4),IF((BV$5&lt;=12),(SUMPRODUCT(--(Headcount!$F$6:$F$92="Marketing"),--(Headcount!$H$6:$H$92&gt;=Marketing!BV$3),Headcount!$P$6:$P$92,Headcount!$L$6:$L$92)/12),0),IF(YEAR(BV$3)=YEAR(Headcount!$Q$4),IF((BV$5&lt;=12),(SUMPRODUCT(--(Headcount!$F$6:$F$92="Marketing"),--(Headcount!$H$6:$H$92&gt;=Marketing!BV$3),Headcount!$Q$6:$Q$92,Headcount!$L$6:$L$92)/12),0),IF(YEAR(BV$3)=YEAR(Headcount!$R$4),IF((BV$5&lt;=12),(SUMPRODUCT(--(Headcount!$F$6:$F$92="Marketing"),--(Headcount!$H$6:$H$92&gt;=Marketing!BV$3),Headcount!$R$6:$R$92,Headcount!$L$6:$L$92)/12),0),"New Year"))))),SUMIF('Dept. Cost Actuals'!$E$7:$E$176,"*bonus*",'Dept. Cost Actuals'!BZ$181:BZ$350))</f>
        <v>15480.299530908998</v>
      </c>
    </row>
    <row r="17" spans="2:74" s="626" customFormat="1" ht="12.75" x14ac:dyDescent="0.2">
      <c r="B17" s="791" t="s">
        <v>932</v>
      </c>
      <c r="C17" s="1210">
        <f t="shared" ref="C17:Y17" si="6">SUM(C15:C16)</f>
        <v>0</v>
      </c>
      <c r="D17" s="1210">
        <f t="shared" si="6"/>
        <v>0</v>
      </c>
      <c r="E17" s="1210">
        <f t="shared" si="6"/>
        <v>0</v>
      </c>
      <c r="F17" s="1210">
        <f t="shared" si="6"/>
        <v>0</v>
      </c>
      <c r="G17" s="1210">
        <f t="shared" si="6"/>
        <v>0</v>
      </c>
      <c r="H17" s="1210">
        <f t="shared" si="6"/>
        <v>0</v>
      </c>
      <c r="I17" s="1210">
        <f t="shared" si="6"/>
        <v>0</v>
      </c>
      <c r="J17" s="1210">
        <f t="shared" si="6"/>
        <v>0</v>
      </c>
      <c r="K17" s="1210">
        <f t="shared" si="6"/>
        <v>0</v>
      </c>
      <c r="L17" s="1210">
        <f t="shared" si="6"/>
        <v>0</v>
      </c>
      <c r="M17" s="1210">
        <f t="shared" si="6"/>
        <v>0</v>
      </c>
      <c r="N17" s="1210">
        <f t="shared" si="6"/>
        <v>0</v>
      </c>
      <c r="O17" s="1210">
        <f t="shared" si="6"/>
        <v>11684.59</v>
      </c>
      <c r="P17" s="1210">
        <f t="shared" si="6"/>
        <v>1614.58</v>
      </c>
      <c r="Q17" s="1210">
        <f t="shared" si="6"/>
        <v>1869.72</v>
      </c>
      <c r="R17" s="1210">
        <f t="shared" si="6"/>
        <v>2295.4899999999998</v>
      </c>
      <c r="S17" s="1210">
        <f t="shared" si="6"/>
        <v>1614.58</v>
      </c>
      <c r="T17" s="1210">
        <f t="shared" si="6"/>
        <v>1614.58</v>
      </c>
      <c r="U17" s="1210">
        <f t="shared" si="6"/>
        <v>2607.17</v>
      </c>
      <c r="V17" s="1210">
        <f t="shared" si="6"/>
        <v>3607.17</v>
      </c>
      <c r="W17" s="1210">
        <f t="shared" si="6"/>
        <v>6614.58</v>
      </c>
      <c r="X17" s="1210">
        <f t="shared" si="6"/>
        <v>3599.76</v>
      </c>
      <c r="Y17" s="1210">
        <f t="shared" si="6"/>
        <v>2614.58</v>
      </c>
      <c r="Z17" s="1210">
        <f t="shared" ref="Z17" si="7">SUM(Z15:Z16)</f>
        <v>-7327.69</v>
      </c>
      <c r="AA17" s="1210">
        <f t="shared" ref="AA17:AB17" si="8">SUM(AA15:AA16)</f>
        <v>36919.56</v>
      </c>
      <c r="AB17" s="1210">
        <f t="shared" si="8"/>
        <v>11919.56</v>
      </c>
      <c r="AC17" s="1210">
        <f t="shared" ref="AC17:BV17" si="9">SUM(AC15:AC16)</f>
        <v>11919.56</v>
      </c>
      <c r="AD17" s="1210">
        <f t="shared" si="9"/>
        <v>20625.000333333333</v>
      </c>
      <c r="AE17" s="1210">
        <f t="shared" si="9"/>
        <v>20625.000333333333</v>
      </c>
      <c r="AF17" s="1210">
        <f t="shared" si="9"/>
        <v>20625.000333333333</v>
      </c>
      <c r="AG17" s="1210">
        <f t="shared" si="9"/>
        <v>20625.000333333333</v>
      </c>
      <c r="AH17" s="1210">
        <f t="shared" si="9"/>
        <v>20625.000333333333</v>
      </c>
      <c r="AI17" s="1210">
        <f t="shared" si="9"/>
        <v>20625.000333333333</v>
      </c>
      <c r="AJ17" s="1210">
        <f t="shared" si="9"/>
        <v>20625.000333333333</v>
      </c>
      <c r="AK17" s="1210">
        <f t="shared" si="9"/>
        <v>20625.000333333333</v>
      </c>
      <c r="AL17" s="1210">
        <f t="shared" si="9"/>
        <v>20625.000333333333</v>
      </c>
      <c r="AM17" s="1210">
        <f t="shared" si="9"/>
        <v>21243.750343333333</v>
      </c>
      <c r="AN17" s="1210">
        <f t="shared" si="9"/>
        <v>21243.750343333333</v>
      </c>
      <c r="AO17" s="1210">
        <f t="shared" si="9"/>
        <v>21243.750343333333</v>
      </c>
      <c r="AP17" s="1210">
        <f t="shared" si="9"/>
        <v>21243.750343333333</v>
      </c>
      <c r="AQ17" s="1210">
        <f t="shared" si="9"/>
        <v>21243.750343333333</v>
      </c>
      <c r="AR17" s="1210">
        <f t="shared" si="9"/>
        <v>21243.750343333333</v>
      </c>
      <c r="AS17" s="1210">
        <f t="shared" si="9"/>
        <v>21243.750343333333</v>
      </c>
      <c r="AT17" s="1210">
        <f t="shared" si="9"/>
        <v>21243.750343333333</v>
      </c>
      <c r="AU17" s="1210">
        <f t="shared" si="9"/>
        <v>21243.750343333333</v>
      </c>
      <c r="AV17" s="1210">
        <f t="shared" si="9"/>
        <v>21243.750343333333</v>
      </c>
      <c r="AW17" s="1210">
        <f t="shared" si="9"/>
        <v>21243.750343333333</v>
      </c>
      <c r="AX17" s="1210">
        <f t="shared" si="9"/>
        <v>21243.750343333333</v>
      </c>
      <c r="AY17" s="1210">
        <f t="shared" si="9"/>
        <v>21881.062853633335</v>
      </c>
      <c r="AZ17" s="1210">
        <f t="shared" si="9"/>
        <v>21881.062853633335</v>
      </c>
      <c r="BA17" s="1210">
        <f t="shared" si="9"/>
        <v>21881.062853633335</v>
      </c>
      <c r="BB17" s="1210">
        <f t="shared" si="9"/>
        <v>21881.062853633335</v>
      </c>
      <c r="BC17" s="1210">
        <f t="shared" si="9"/>
        <v>21881.062853633335</v>
      </c>
      <c r="BD17" s="1210">
        <f t="shared" si="9"/>
        <v>21881.062853633335</v>
      </c>
      <c r="BE17" s="1210">
        <f t="shared" si="9"/>
        <v>21881.062853633335</v>
      </c>
      <c r="BF17" s="1210">
        <f t="shared" si="9"/>
        <v>21881.062853633335</v>
      </c>
      <c r="BG17" s="1210">
        <f t="shared" si="9"/>
        <v>21881.062853633335</v>
      </c>
      <c r="BH17" s="1210">
        <f t="shared" si="9"/>
        <v>21881.062853633335</v>
      </c>
      <c r="BI17" s="1210">
        <f t="shared" si="9"/>
        <v>21881.062853633335</v>
      </c>
      <c r="BJ17" s="1210">
        <f t="shared" si="9"/>
        <v>21881.062853633335</v>
      </c>
      <c r="BK17" s="1210">
        <f t="shared" si="9"/>
        <v>22537.494739242335</v>
      </c>
      <c r="BL17" s="1210">
        <f t="shared" si="9"/>
        <v>22537.494739242335</v>
      </c>
      <c r="BM17" s="1210">
        <f t="shared" si="9"/>
        <v>22537.494739242335</v>
      </c>
      <c r="BN17" s="1210">
        <f t="shared" si="9"/>
        <v>22537.494739242335</v>
      </c>
      <c r="BO17" s="1210">
        <f t="shared" si="9"/>
        <v>22537.494739242335</v>
      </c>
      <c r="BP17" s="1210">
        <f t="shared" si="9"/>
        <v>22537.494739242335</v>
      </c>
      <c r="BQ17" s="1210">
        <f t="shared" si="9"/>
        <v>22537.494739242335</v>
      </c>
      <c r="BR17" s="1210">
        <f t="shared" si="9"/>
        <v>22537.494739242335</v>
      </c>
      <c r="BS17" s="1210">
        <f t="shared" si="9"/>
        <v>22537.494739242335</v>
      </c>
      <c r="BT17" s="1210">
        <f t="shared" si="9"/>
        <v>22537.494739242335</v>
      </c>
      <c r="BU17" s="1210">
        <f t="shared" si="9"/>
        <v>22537.494739242335</v>
      </c>
      <c r="BV17" s="974">
        <f t="shared" si="9"/>
        <v>22537.494739242335</v>
      </c>
    </row>
    <row r="18" spans="2:74" s="626" customFormat="1" ht="12.75" x14ac:dyDescent="0.2">
      <c r="B18" s="794" t="s">
        <v>1344</v>
      </c>
      <c r="C18" s="991">
        <f>IF(C$4="forecast",C14*0.12,SUMIF('Dept. Cost Actuals'!$E$7:$E$176,"*payroll taxes*",'Dept. Cost Actuals'!G$181:G$350))</f>
        <v>2818.3945954083683</v>
      </c>
      <c r="D18" s="991">
        <f>IF(D$4="forecast",D14*0.12,SUMIF('Dept. Cost Actuals'!$E$7:$E$176,"*payroll taxes*",'Dept. Cost Actuals'!H$181:H$350))</f>
        <v>1875.7657334042697</v>
      </c>
      <c r="E18" s="991">
        <f>IF(E$4="forecast",E14*0.12,SUMIF('Dept. Cost Actuals'!$E$7:$E$176,"*payroll taxes*",'Dept. Cost Actuals'!I$181:I$350))</f>
        <v>1933.3504908789948</v>
      </c>
      <c r="F18" s="991">
        <f>IF(F$4="forecast",F14*0.12,SUMIF('Dept. Cost Actuals'!$E$7:$E$176,"*payroll taxes*",'Dept. Cost Actuals'!J$181:J$350))</f>
        <v>1965.7939630017042</v>
      </c>
      <c r="G18" s="991">
        <f>IF(G$4="forecast",G14*0.12,SUMIF('Dept. Cost Actuals'!$E$7:$E$176,"*payroll taxes*",'Dept. Cost Actuals'!K$181:K$350))</f>
        <v>1903.3234780021912</v>
      </c>
      <c r="H18" s="991">
        <f>IF(H$4="forecast",H14*0.12,SUMIF('Dept. Cost Actuals'!$E$7:$E$176,"*payroll taxes*",'Dept. Cost Actuals'!L$181:L$350))</f>
        <v>1868.8245330912969</v>
      </c>
      <c r="I18" s="991">
        <f>IF(I$4="forecast",I14*0.12,SUMIF('Dept. Cost Actuals'!$E$7:$E$176,"*payroll taxes*",'Dept. Cost Actuals'!M$181:M$350))</f>
        <v>1035.9385058957419</v>
      </c>
      <c r="J18" s="991">
        <f>IF(J$4="forecast",J14*0.12,SUMIF('Dept. Cost Actuals'!$E$7:$E$176,"*payroll taxes*",'Dept. Cost Actuals'!N$181:N$350))</f>
        <v>1445.7236565626617</v>
      </c>
      <c r="K18" s="991">
        <f>IF(K$4="forecast",K14*0.12,SUMIF('Dept. Cost Actuals'!$E$7:$E$176,"*payroll taxes*",'Dept. Cost Actuals'!O$181:O$350))</f>
        <v>1061.0098054315304</v>
      </c>
      <c r="L18" s="991">
        <f>IF(L$4="forecast",L14*0.12,SUMIF('Dept. Cost Actuals'!$E$7:$E$176,"*payroll taxes*",'Dept. Cost Actuals'!P$181:P$350))</f>
        <v>1050.4730822438619</v>
      </c>
      <c r="M18" s="991">
        <f>IF(M$4="forecast",M14*0.12,SUMIF('Dept. Cost Actuals'!$E$7:$E$176,"*payroll taxes*",'Dept. Cost Actuals'!Q$181:Q$350))</f>
        <v>1603.1000876663168</v>
      </c>
      <c r="N18" s="991">
        <f>IF(N$4="forecast",N14*0.12,SUMIF('Dept. Cost Actuals'!$E$7:$E$176,"*payroll taxes*",'Dept. Cost Actuals'!R$181:R$350))</f>
        <v>1653.9303941181352</v>
      </c>
      <c r="O18" s="991">
        <f>IF(O$4="forecast",O14*0.12,SUMIF('Dept. Cost Actuals'!$E$7:$E$176,"*payroll taxes*",'Dept. Cost Actuals'!S$181:S$350))</f>
        <v>2776.1</v>
      </c>
      <c r="P18" s="991">
        <f>IF(P$4="forecast",P14*0.12,SUMIF('Dept. Cost Actuals'!$E$7:$E$176,"*payroll taxes*",'Dept. Cost Actuals'!T$181:T$350))</f>
        <v>1424.53</v>
      </c>
      <c r="Q18" s="991">
        <f>IF(Q$4="forecast",Q14*0.12,SUMIF('Dept. Cost Actuals'!$E$7:$E$176,"*payroll taxes*",'Dept. Cost Actuals'!U$181:U$350))</f>
        <v>1712.9300000000003</v>
      </c>
      <c r="R18" s="991">
        <f>IF(R$4="forecast",R14*0.12,SUMIF('Dept. Cost Actuals'!$E$7:$E$176,"*payroll taxes*",'Dept. Cost Actuals'!V$181:V$350))</f>
        <v>806.56000000000006</v>
      </c>
      <c r="S18" s="991">
        <f>IF(S$4="forecast",S14*0.12,SUMIF('Dept. Cost Actuals'!$E$7:$E$176,"*payroll taxes*",'Dept. Cost Actuals'!W$181:W$350))</f>
        <v>1726.96</v>
      </c>
      <c r="T18" s="991">
        <f>IF(T$4="forecast",T14*0.12,SUMIF('Dept. Cost Actuals'!$E$7:$E$176,"*payroll taxes*",'Dept. Cost Actuals'!X$181:X$350))</f>
        <v>1488.8999999999999</v>
      </c>
      <c r="U18" s="991">
        <f>IF(U$4="forecast",U14*0.12,SUMIF('Dept. Cost Actuals'!$E$7:$E$176,"*payroll taxes*",'Dept. Cost Actuals'!Y$181:Y$350))</f>
        <v>1656.95</v>
      </c>
      <c r="V18" s="991">
        <f>IF(V$4="forecast",V14*0.12,SUMIF('Dept. Cost Actuals'!$E$7:$E$176,"*payroll taxes*",'Dept. Cost Actuals'!Z$181:Z$350))</f>
        <v>1705.01</v>
      </c>
      <c r="W18" s="991">
        <f>IF(W$4="forecast",W14*0.12,SUMIF('Dept. Cost Actuals'!$E$7:$E$176,"*payroll taxes*",'Dept. Cost Actuals'!AA$181:AA$350))</f>
        <v>1748.74</v>
      </c>
      <c r="X18" s="991">
        <f>IF(X$4="forecast",X14*0.12,SUMIF('Dept. Cost Actuals'!$E$7:$E$176,"*payroll taxes*",'Dept. Cost Actuals'!AB$181:AB$350))</f>
        <v>2380.21</v>
      </c>
      <c r="Y18" s="991">
        <f>IF(Y$4="forecast",Y14*0.12,SUMIF('Dept. Cost Actuals'!$E$7:$E$176,"*payroll taxes*",'Dept. Cost Actuals'!AC$181:AC$350))</f>
        <v>1968.99</v>
      </c>
      <c r="Z18" s="991">
        <f>IF(Z$4="forecast",Z14*0.12,SUMIF('Dept. Cost Actuals'!$E$7:$E$176,"*payroll taxes*",'Dept. Cost Actuals'!AD$181:AD$350))</f>
        <v>1491.44</v>
      </c>
      <c r="AA18" s="991">
        <f>IF(AA$4="forecast",AA14*0.12,SUMIF('Dept. Cost Actuals'!$E$7:$E$176,"*payroll taxes*",'Dept. Cost Actuals'!AE$181:AE$350))</f>
        <v>4799.2199999999993</v>
      </c>
      <c r="AB18" s="991">
        <f>IF(AB$4="forecast",AB14*0.12,SUMIF('Dept. Cost Actuals'!$E$7:$E$176,"*payroll taxes*",'Dept. Cost Actuals'!AF$181:AF$350))</f>
        <v>5628.0499999999993</v>
      </c>
      <c r="AC18" s="991">
        <f>IF(AC$4="forecast",AC14*0.12,SUMIF('Dept. Cost Actuals'!$E$7:$E$176,"*payroll taxes*",'Dept. Cost Actuals'!AG$181:AG$350))</f>
        <v>4408.26</v>
      </c>
      <c r="AD18" s="991">
        <f>IF(AD$4="forecast",AD14*0.12,SUMIF('Dept. Cost Actuals'!$E$7:$E$176,"*payroll taxes*",'Dept. Cost Actuals'!AH$181:AH$350))</f>
        <v>8175.0004000000008</v>
      </c>
      <c r="AE18" s="991">
        <f>IF(AE$4="forecast",AE14*0.12,SUMIF('Dept. Cost Actuals'!$E$7:$E$176,"*payroll taxes*",'Dept. Cost Actuals'!AI$181:AI$350))</f>
        <v>8175.0004000000008</v>
      </c>
      <c r="AF18" s="991">
        <f>IF(AF$4="forecast",AF14*0.12,SUMIF('Dept. Cost Actuals'!$E$7:$E$176,"*payroll taxes*",'Dept. Cost Actuals'!AJ$181:AJ$350))</f>
        <v>10925.000399999999</v>
      </c>
      <c r="AG18" s="991">
        <f>IF(AG$4="forecast",AG14*0.12,SUMIF('Dept. Cost Actuals'!$E$7:$E$176,"*payroll taxes*",'Dept. Cost Actuals'!AK$181:AK$350))</f>
        <v>10925.000399999999</v>
      </c>
      <c r="AH18" s="991">
        <f>IF(AH$4="forecast",AH14*0.12,SUMIF('Dept. Cost Actuals'!$E$7:$E$176,"*payroll taxes*",'Dept. Cost Actuals'!AL$181:AL$350))</f>
        <v>10925.000399999999</v>
      </c>
      <c r="AI18" s="991">
        <f>IF(AI$4="forecast",AI14*0.12,SUMIF('Dept. Cost Actuals'!$E$7:$E$176,"*payroll taxes*",'Dept. Cost Actuals'!AM$181:AM$350))</f>
        <v>10925.000399999999</v>
      </c>
      <c r="AJ18" s="991">
        <f>IF(AJ$4="forecast",AJ14*0.12,SUMIF('Dept. Cost Actuals'!$E$7:$E$176,"*payroll taxes*",'Dept. Cost Actuals'!AN$181:AN$350))</f>
        <v>10925.000399999999</v>
      </c>
      <c r="AK18" s="991">
        <f>IF(AK$4="forecast",AK14*0.12,SUMIF('Dept. Cost Actuals'!$E$7:$E$176,"*payroll taxes*",'Dept. Cost Actuals'!AO$181:AO$350))</f>
        <v>10925.000399999999</v>
      </c>
      <c r="AL18" s="991">
        <f>IF(AL$4="forecast",AL14*0.12,SUMIF('Dept. Cost Actuals'!$E$7:$E$176,"*payroll taxes*",'Dept. Cost Actuals'!AP$181:AP$350))</f>
        <v>10925.000399999999</v>
      </c>
      <c r="AM18" s="991">
        <f>IF(AM$4="forecast",AM14*0.12,SUMIF('Dept. Cost Actuals'!$E$7:$E$176,"*payroll taxes*",'Dept. Cost Actuals'!AQ$181:AQ$350))</f>
        <v>11031.500399999999</v>
      </c>
      <c r="AN18" s="991">
        <f>IF(AN$4="forecast",AN14*0.12,SUMIF('Dept. Cost Actuals'!$E$7:$E$176,"*payroll taxes*",'Dept. Cost Actuals'!AR$181:AR$350))</f>
        <v>11252.750411999999</v>
      </c>
      <c r="AO18" s="991">
        <f>IF(AO$4="forecast",AO14*0.12,SUMIF('Dept. Cost Actuals'!$E$7:$E$176,"*payroll taxes*",'Dept. Cost Actuals'!AS$181:AS$350))</f>
        <v>11252.750411999999</v>
      </c>
      <c r="AP18" s="991">
        <f>IF(AP$4="forecast",AP14*0.12,SUMIF('Dept. Cost Actuals'!$E$7:$E$176,"*payroll taxes*",'Dept. Cost Actuals'!AT$181:AT$350))</f>
        <v>11252.750411999999</v>
      </c>
      <c r="AQ18" s="991">
        <f>IF(AQ$4="forecast",AQ14*0.12,SUMIF('Dept. Cost Actuals'!$E$7:$E$176,"*payroll taxes*",'Dept. Cost Actuals'!AU$181:AU$350))</f>
        <v>11252.750411999999</v>
      </c>
      <c r="AR18" s="991">
        <f>IF(AR$4="forecast",AR14*0.12,SUMIF('Dept. Cost Actuals'!$E$7:$E$176,"*payroll taxes*",'Dept. Cost Actuals'!AV$181:AV$350))</f>
        <v>11252.750411999999</v>
      </c>
      <c r="AS18" s="991">
        <f>IF(AS$4="forecast",AS14*0.12,SUMIF('Dept. Cost Actuals'!$E$7:$E$176,"*payroll taxes*",'Dept. Cost Actuals'!AW$181:AW$350))</f>
        <v>11252.750411999999</v>
      </c>
      <c r="AT18" s="991">
        <f>IF(AT$4="forecast",AT14*0.12,SUMIF('Dept. Cost Actuals'!$E$7:$E$176,"*payroll taxes*",'Dept. Cost Actuals'!AX$181:AX$350))</f>
        <v>11252.750411999999</v>
      </c>
      <c r="AU18" s="991">
        <f>IF(AU$4="forecast",AU14*0.12,SUMIF('Dept. Cost Actuals'!$E$7:$E$176,"*payroll taxes*",'Dept. Cost Actuals'!AY$181:AY$350))</f>
        <v>11252.750411999999</v>
      </c>
      <c r="AV18" s="991">
        <f>IF(AV$4="forecast",AV14*0.12,SUMIF('Dept. Cost Actuals'!$E$7:$E$176,"*payroll taxes*",'Dept. Cost Actuals'!AZ$181:AZ$350))</f>
        <v>11252.750411999999</v>
      </c>
      <c r="AW18" s="991">
        <f>IF(AW$4="forecast",AW14*0.12,SUMIF('Dept. Cost Actuals'!$E$7:$E$176,"*payroll taxes*",'Dept. Cost Actuals'!BA$181:BA$350))</f>
        <v>11252.750411999999</v>
      </c>
      <c r="AX18" s="991">
        <f>IF(AX$4="forecast",AX14*0.12,SUMIF('Dept. Cost Actuals'!$E$7:$E$176,"*payroll taxes*",'Dept. Cost Actuals'!BB$181:BB$350))</f>
        <v>11252.750411999999</v>
      </c>
      <c r="AY18" s="991">
        <f>IF(AY$4="forecast",AY14*0.12,SUMIF('Dept. Cost Actuals'!$E$7:$E$176,"*payroll taxes*",'Dept. Cost Actuals'!BC$181:BC$350))</f>
        <v>11362.445411999999</v>
      </c>
      <c r="AZ18" s="991">
        <f>IF(AZ$4="forecast",AZ14*0.12,SUMIF('Dept. Cost Actuals'!$E$7:$E$176,"*payroll taxes*",'Dept. Cost Actuals'!BD$181:BD$350))</f>
        <v>11590.33292436</v>
      </c>
      <c r="BA18" s="991">
        <f>IF(BA$4="forecast",BA14*0.12,SUMIF('Dept. Cost Actuals'!$E$7:$E$176,"*payroll taxes*",'Dept. Cost Actuals'!BE$181:BE$350))</f>
        <v>11590.33292436</v>
      </c>
      <c r="BB18" s="991">
        <f>IF(BB$4="forecast",BB14*0.12,SUMIF('Dept. Cost Actuals'!$E$7:$E$176,"*payroll taxes*",'Dept. Cost Actuals'!BF$181:BF$350))</f>
        <v>11590.33292436</v>
      </c>
      <c r="BC18" s="991">
        <f>IF(BC$4="forecast",BC14*0.12,SUMIF('Dept. Cost Actuals'!$E$7:$E$176,"*payroll taxes*",'Dept. Cost Actuals'!BG$181:BG$350))</f>
        <v>11590.33292436</v>
      </c>
      <c r="BD18" s="991">
        <f>IF(BD$4="forecast",BD14*0.12,SUMIF('Dept. Cost Actuals'!$E$7:$E$176,"*payroll taxes*",'Dept. Cost Actuals'!BH$181:BH$350))</f>
        <v>11590.33292436</v>
      </c>
      <c r="BE18" s="991">
        <f>IF(BE$4="forecast",BE14*0.12,SUMIF('Dept. Cost Actuals'!$E$7:$E$176,"*payroll taxes*",'Dept. Cost Actuals'!BI$181:BI$350))</f>
        <v>11590.33292436</v>
      </c>
      <c r="BF18" s="991">
        <f>IF(BF$4="forecast",BF14*0.12,SUMIF('Dept. Cost Actuals'!$E$7:$E$176,"*payroll taxes*",'Dept. Cost Actuals'!BJ$181:BJ$350))</f>
        <v>11590.33292436</v>
      </c>
      <c r="BG18" s="991">
        <f>IF(BG$4="forecast",BG14*0.12,SUMIF('Dept. Cost Actuals'!$E$7:$E$176,"*payroll taxes*",'Dept. Cost Actuals'!BK$181:BK$350))</f>
        <v>11590.33292436</v>
      </c>
      <c r="BH18" s="991">
        <f>IF(BH$4="forecast",BH14*0.12,SUMIF('Dept. Cost Actuals'!$E$7:$E$176,"*payroll taxes*",'Dept. Cost Actuals'!BL$181:BL$350))</f>
        <v>11590.33292436</v>
      </c>
      <c r="BI18" s="991">
        <f>IF(BI$4="forecast",BI14*0.12,SUMIF('Dept. Cost Actuals'!$E$7:$E$176,"*payroll taxes*",'Dept. Cost Actuals'!BM$181:BM$350))</f>
        <v>11590.33292436</v>
      </c>
      <c r="BJ18" s="991">
        <f>IF(BJ$4="forecast",BJ14*0.12,SUMIF('Dept. Cost Actuals'!$E$7:$E$176,"*payroll taxes*",'Dept. Cost Actuals'!BN$181:BN$350))</f>
        <v>11590.33292436</v>
      </c>
      <c r="BK18" s="991">
        <f>IF(BK$4="forecast",BK14*0.12,SUMIF('Dept. Cost Actuals'!$E$7:$E$176,"*payroll taxes*",'Dept. Cost Actuals'!BO$181:BO$350))</f>
        <v>11703.318774359999</v>
      </c>
      <c r="BL18" s="991">
        <f>IF(BL$4="forecast",BL14*0.12,SUMIF('Dept. Cost Actuals'!$E$7:$E$176,"*payroll taxes*",'Dept. Cost Actuals'!BP$181:BP$350))</f>
        <v>11938.042912090797</v>
      </c>
      <c r="BM18" s="991">
        <f>IF(BM$4="forecast",BM14*0.12,SUMIF('Dept. Cost Actuals'!$E$7:$E$176,"*payroll taxes*",'Dept. Cost Actuals'!BQ$181:BQ$350))</f>
        <v>11938.042912090797</v>
      </c>
      <c r="BN18" s="991">
        <f>IF(BN$4="forecast",BN14*0.12,SUMIF('Dept. Cost Actuals'!$E$7:$E$176,"*payroll taxes*",'Dept. Cost Actuals'!BR$181:BR$350))</f>
        <v>11938.042912090797</v>
      </c>
      <c r="BO18" s="991">
        <f>IF(BO$4="forecast",BO14*0.12,SUMIF('Dept. Cost Actuals'!$E$7:$E$176,"*payroll taxes*",'Dept. Cost Actuals'!BS$181:BS$350))</f>
        <v>11938.042912090797</v>
      </c>
      <c r="BP18" s="991">
        <f>IF(BP$4="forecast",BP14*0.12,SUMIF('Dept. Cost Actuals'!$E$7:$E$176,"*payroll taxes*",'Dept. Cost Actuals'!BT$181:BT$350))</f>
        <v>11938.042912090797</v>
      </c>
      <c r="BQ18" s="991">
        <f>IF(BQ$4="forecast",BQ14*0.12,SUMIF('Dept. Cost Actuals'!$E$7:$E$176,"*payroll taxes*",'Dept. Cost Actuals'!BU$181:BU$350))</f>
        <v>11938.042912090797</v>
      </c>
      <c r="BR18" s="991">
        <f>IF(BR$4="forecast",BR14*0.12,SUMIF('Dept. Cost Actuals'!$E$7:$E$176,"*payroll taxes*",'Dept. Cost Actuals'!BV$181:BV$350))</f>
        <v>11938.042912090797</v>
      </c>
      <c r="BS18" s="991">
        <f>IF(BS$4="forecast",BS14*0.12,SUMIF('Dept. Cost Actuals'!$E$7:$E$176,"*payroll taxes*",'Dept. Cost Actuals'!BW$181:BW$350))</f>
        <v>11938.042912090797</v>
      </c>
      <c r="BT18" s="991">
        <f>IF(BT$4="forecast",BT14*0.12,SUMIF('Dept. Cost Actuals'!$E$7:$E$176,"*payroll taxes*",'Dept. Cost Actuals'!BX$181:BX$350))</f>
        <v>11938.042912090797</v>
      </c>
      <c r="BU18" s="991">
        <f>IF(BU$4="forecast",BU14*0.12,SUMIF('Dept. Cost Actuals'!$E$7:$E$176,"*payroll taxes*",'Dept. Cost Actuals'!BY$181:BY$350))</f>
        <v>11938.042912090797</v>
      </c>
      <c r="BV18" s="992">
        <f>IF(BV$4="forecast",BV14*0.12,SUMIF('Dept. Cost Actuals'!$E$7:$E$176,"*payroll taxes*",'Dept. Cost Actuals'!BZ$181:BZ$350))</f>
        <v>11938.042912090797</v>
      </c>
    </row>
    <row r="19" spans="2:74" s="626" customFormat="1" ht="12.75" x14ac:dyDescent="0.2">
      <c r="B19" s="794" t="s">
        <v>1349</v>
      </c>
      <c r="C19" s="991">
        <f>IF(C$4="forecast",((C14/251)+B$19),SUMIF('Dept. Cost Actuals'!$E$7:$E$176,"*vacation*",'Dept. Cost Actuals'!G$181:G$350))</f>
        <v>0</v>
      </c>
      <c r="D19" s="991">
        <f>IF(D$4="forecast",((D14/251)+C$19),SUMIF('Dept. Cost Actuals'!$E$7:$E$176,"*vacation*",'Dept. Cost Actuals'!H$181:H$350))</f>
        <v>0</v>
      </c>
      <c r="E19" s="991">
        <f>IF(E$4="forecast",((E14/251)+D$19),SUMIF('Dept. Cost Actuals'!$E$7:$E$176,"*vacation*",'Dept. Cost Actuals'!I$181:I$350))</f>
        <v>0</v>
      </c>
      <c r="F19" s="991">
        <f>IF(F$4="forecast",((F14/251)+E$19),SUMIF('Dept. Cost Actuals'!$E$7:$E$176,"*vacation*",'Dept. Cost Actuals'!J$181:J$350))</f>
        <v>0</v>
      </c>
      <c r="G19" s="991">
        <f>IF(G$4="forecast",((G14/251)+F$19),SUMIF('Dept. Cost Actuals'!$E$7:$E$176,"*vacation*",'Dept. Cost Actuals'!K$181:K$350))</f>
        <v>0</v>
      </c>
      <c r="H19" s="991">
        <f>IF(H$4="forecast",((H14/251)+G$19),SUMIF('Dept. Cost Actuals'!$E$7:$E$176,"*vacation*",'Dept. Cost Actuals'!L$181:L$350))</f>
        <v>0</v>
      </c>
      <c r="I19" s="991">
        <f>IF(I$4="forecast",((I14/251)+H$19),SUMIF('Dept. Cost Actuals'!$E$7:$E$176,"*vacation*",'Dept. Cost Actuals'!M$181:M$350))</f>
        <v>0</v>
      </c>
      <c r="J19" s="991">
        <f>IF(J$4="forecast",((J14/251)+I$19),SUMIF('Dept. Cost Actuals'!$E$7:$E$176,"*vacation*",'Dept. Cost Actuals'!N$181:N$350))</f>
        <v>0</v>
      </c>
      <c r="K19" s="991">
        <f>IF(K$4="forecast",((K14/251)+J$19),SUMIF('Dept. Cost Actuals'!$E$7:$E$176,"*vacation*",'Dept. Cost Actuals'!O$181:O$350))</f>
        <v>0</v>
      </c>
      <c r="L19" s="991">
        <f>IF(L$4="forecast",((L14/251)+K$19),SUMIF('Dept. Cost Actuals'!$E$7:$E$176,"*vacation*",'Dept. Cost Actuals'!P$181:P$350))</f>
        <v>0</v>
      </c>
      <c r="M19" s="991">
        <f>IF(M$4="forecast",((M14/251)+L$19),SUMIF('Dept. Cost Actuals'!$E$7:$E$176,"*vacation*",'Dept. Cost Actuals'!Q$181:Q$350))</f>
        <v>0</v>
      </c>
      <c r="N19" s="991">
        <f>IF(N$4="forecast",((N14/251)+M$19),SUMIF('Dept. Cost Actuals'!$E$7:$E$176,"*vacation*",'Dept. Cost Actuals'!R$181:R$350))</f>
        <v>0</v>
      </c>
      <c r="O19" s="991">
        <f>IF(O$4="forecast",((O14/251)+N$19),SUMIF('Dept. Cost Actuals'!$E$7:$E$176,"*vacation*",'Dept. Cost Actuals'!S$181:S$350))</f>
        <v>493.59</v>
      </c>
      <c r="P19" s="991">
        <f>IF(P$4="forecast",((P14/251)+O$19),SUMIF('Dept. Cost Actuals'!$E$7:$E$176,"*vacation*",'Dept. Cost Actuals'!T$181:T$350))</f>
        <v>-83.33</v>
      </c>
      <c r="Q19" s="991">
        <f>IF(Q$4="forecast",((Q14/251)+P$19),SUMIF('Dept. Cost Actuals'!$E$7:$E$176,"*vacation*",'Dept. Cost Actuals'!U$181:U$350))</f>
        <v>5780.81</v>
      </c>
      <c r="R19" s="991">
        <f>IF(R$4="forecast",((R14/251)+Q$19),SUMIF('Dept. Cost Actuals'!$E$7:$E$176,"*vacation*",'Dept. Cost Actuals'!V$181:V$350))</f>
        <v>-3146.12</v>
      </c>
      <c r="S19" s="991">
        <f>IF(S$4="forecast",((S14/251)+R$19),SUMIF('Dept. Cost Actuals'!$E$7:$E$176,"*vacation*",'Dept. Cost Actuals'!W$181:W$350))</f>
        <v>748.6</v>
      </c>
      <c r="T19" s="991">
        <f>IF(T$4="forecast",((T14/251)+S$19),SUMIF('Dept. Cost Actuals'!$E$7:$E$176,"*vacation*",'Dept. Cost Actuals'!X$181:X$350))</f>
        <v>-429.56</v>
      </c>
      <c r="U19" s="991">
        <f>IF(U$4="forecast",((U14/251)+T$19),SUMIF('Dept. Cost Actuals'!$E$7:$E$176,"*vacation*",'Dept. Cost Actuals'!Y$181:Y$350))</f>
        <v>237.62</v>
      </c>
      <c r="V19" s="991">
        <f>IF(V$4="forecast",((V14/251)+U$19),SUMIF('Dept. Cost Actuals'!$E$7:$E$176,"*vacation*",'Dept. Cost Actuals'!Z$181:Z$350))</f>
        <v>449.15</v>
      </c>
      <c r="W19" s="991">
        <f>IF(W$4="forecast",((W14/251)+V$19),SUMIF('Dept. Cost Actuals'!$E$7:$E$176,"*vacation*",'Dept. Cost Actuals'!AA$181:AA$350))</f>
        <v>-411.48</v>
      </c>
      <c r="X19" s="991">
        <f>IF(X$4="forecast",((X14/251)+W$19),SUMIF('Dept. Cost Actuals'!$E$7:$E$176,"*vacation*",'Dept. Cost Actuals'!AB$181:AB$350))</f>
        <v>449.16</v>
      </c>
      <c r="Y19" s="991">
        <f>IF(Y$4="forecast",((Y14/251)+X$19),SUMIF('Dept. Cost Actuals'!$E$7:$E$176,"*vacation*",'Dept. Cost Actuals'!AC$181:AC$350))</f>
        <v>434.66</v>
      </c>
      <c r="Z19" s="991">
        <f>IF(Z$4="forecast",((Z14/251)+Y$19),SUMIF('Dept. Cost Actuals'!$E$7:$E$176,"*vacation*",'Dept. Cost Actuals'!AD$181:AD$350))</f>
        <v>471.03</v>
      </c>
      <c r="AA19" s="991">
        <f>IF(AA$4="forecast",((AA14/251)+Z$19),SUMIF('Dept. Cost Actuals'!$E$7:$E$176,"*vacation*",'Dept. Cost Actuals'!AE$181:AE$350))</f>
        <v>1382.24</v>
      </c>
      <c r="AB19" s="991">
        <f>IF(AB$4="forecast",((AB14/251)+AA$19),SUMIF('Dept. Cost Actuals'!$E$7:$E$176,"*vacation*",'Dept. Cost Actuals'!AF$181:AF$350))</f>
        <v>2195.21</v>
      </c>
      <c r="AC19" s="991">
        <f>IF(AC$4="forecast",((AC14/251)+AB$19),SUMIF('Dept. Cost Actuals'!$E$7:$E$176,"*vacation*",'Dept. Cost Actuals'!AG$181:AG$350))</f>
        <v>2755.26</v>
      </c>
      <c r="AD19" s="991">
        <f>IF(AD$4="forecast",((AD14/251)+AC$19),SUMIF('Dept. Cost Actuals'!$E$7:$E$176,"*vacation*",'Dept. Cost Actuals'!AH$181:AH$350))</f>
        <v>3026.6743559096949</v>
      </c>
      <c r="AE19" s="991">
        <f>IF(AE$4="forecast",((AE14/251)+AD$19),SUMIF('Dept. Cost Actuals'!$E$7:$E$176,"*vacation*",'Dept. Cost Actuals'!AI$181:AI$350))</f>
        <v>3298.0887118193896</v>
      </c>
      <c r="AF19" s="991">
        <f>IF(AF$4="forecast",((AF14/251)+AE$19),SUMIF('Dept. Cost Actuals'!$E$7:$E$176,"*vacation*",'Dept. Cost Actuals'!AJ$181:AJ$350))</f>
        <v>3660.8045285524572</v>
      </c>
      <c r="AG19" s="991">
        <f>IF(AG$4="forecast",((AG14/251)+AF$19),SUMIF('Dept. Cost Actuals'!$E$7:$E$176,"*vacation*",'Dept. Cost Actuals'!AK$181:AK$350))</f>
        <v>4023.5203452855249</v>
      </c>
      <c r="AH19" s="991">
        <f>IF(AH$4="forecast",((AH14/251)+AG$19),SUMIF('Dept. Cost Actuals'!$E$7:$E$176,"*vacation*",'Dept. Cost Actuals'!AL$181:AL$350))</f>
        <v>4386.2361620185929</v>
      </c>
      <c r="AI19" s="991">
        <f>IF(AI$4="forecast",((AI14/251)+AH$19),SUMIF('Dept. Cost Actuals'!$E$7:$E$176,"*vacation*",'Dept. Cost Actuals'!AM$181:AM$350))</f>
        <v>4748.951978751661</v>
      </c>
      <c r="AJ19" s="991">
        <f>IF(AJ$4="forecast",((AJ14/251)+AI$19),SUMIF('Dept. Cost Actuals'!$E$7:$E$176,"*vacation*",'Dept. Cost Actuals'!AN$181:AN$350))</f>
        <v>5111.6677954847291</v>
      </c>
      <c r="AK19" s="991">
        <f>IF(AK$4="forecast",((AK14/251)+AJ$19),SUMIF('Dept. Cost Actuals'!$E$7:$E$176,"*vacation*",'Dept. Cost Actuals'!AO$181:AO$350))</f>
        <v>5474.3836122177972</v>
      </c>
      <c r="AL19" s="991">
        <f>IF(AL$4="forecast",((AL14/251)+AK$19),SUMIF('Dept. Cost Actuals'!$E$7:$E$176,"*vacation*",'Dept. Cost Actuals'!AP$181:AP$350))</f>
        <v>5837.0994289508653</v>
      </c>
      <c r="AM19" s="991">
        <f>IF(AM$4="forecast",((AM14/251)+AL$19),SUMIF('Dept. Cost Actuals'!$E$7:$E$176,"*vacation*",'Dept. Cost Actuals'!AQ$181:AQ$350))</f>
        <v>6203.3511022576386</v>
      </c>
      <c r="AN19" s="991">
        <f>IF(AN$4="forecast",((AN14/251)+AM$19),SUMIF('Dept. Cost Actuals'!$E$7:$E$176,"*vacation*",'Dept. Cost Actuals'!AR$181:AR$350))</f>
        <v>6576.9483934926984</v>
      </c>
      <c r="AO19" s="991">
        <f>IF(AO$4="forecast",((AO14/251)+AN$19),SUMIF('Dept. Cost Actuals'!$E$7:$E$176,"*vacation*",'Dept. Cost Actuals'!AS$181:AS$350))</f>
        <v>6950.5456847277583</v>
      </c>
      <c r="AP19" s="991">
        <f>IF(AP$4="forecast",((AP14/251)+AO$19),SUMIF('Dept. Cost Actuals'!$E$7:$E$176,"*vacation*",'Dept. Cost Actuals'!AT$181:AT$350))</f>
        <v>7324.1429759628181</v>
      </c>
      <c r="AQ19" s="991">
        <f>IF(AQ$4="forecast",((AQ14/251)+AP$19),SUMIF('Dept. Cost Actuals'!$E$7:$E$176,"*vacation*",'Dept. Cost Actuals'!AU$181:AU$350))</f>
        <v>7697.740267197878</v>
      </c>
      <c r="AR19" s="991">
        <f>IF(AR$4="forecast",((AR14/251)+AQ$19),SUMIF('Dept. Cost Actuals'!$E$7:$E$176,"*vacation*",'Dept. Cost Actuals'!AV$181:AV$350))</f>
        <v>8071.3375584329378</v>
      </c>
      <c r="AS19" s="991">
        <f>IF(AS$4="forecast",((AS14/251)+AR$19),SUMIF('Dept. Cost Actuals'!$E$7:$E$176,"*vacation*",'Dept. Cost Actuals'!AW$181:AW$350))</f>
        <v>8444.9348496679977</v>
      </c>
      <c r="AT19" s="991">
        <f>IF(AT$4="forecast",((AT14/251)+AS$19),SUMIF('Dept. Cost Actuals'!$E$7:$E$176,"*vacation*",'Dept. Cost Actuals'!AX$181:AX$350))</f>
        <v>8818.5321409030566</v>
      </c>
      <c r="AU19" s="991">
        <f>IF(AU$4="forecast",((AU14/251)+AT$19),SUMIF('Dept. Cost Actuals'!$E$7:$E$176,"*vacation*",'Dept. Cost Actuals'!AY$181:AY$350))</f>
        <v>9192.1294321381156</v>
      </c>
      <c r="AV19" s="991">
        <f>IF(AV$4="forecast",((AV14/251)+AU$19),SUMIF('Dept. Cost Actuals'!$E$7:$E$176,"*vacation*",'Dept. Cost Actuals'!AZ$181:AZ$350))</f>
        <v>9565.7267233731745</v>
      </c>
      <c r="AW19" s="991">
        <f>IF(AW$4="forecast",((AW14/251)+AV$19),SUMIF('Dept. Cost Actuals'!$E$7:$E$176,"*vacation*",'Dept. Cost Actuals'!BA$181:BA$350))</f>
        <v>9939.3240146082335</v>
      </c>
      <c r="AX19" s="991">
        <f>IF(AX$4="forecast",((AX14/251)+AW$19),SUMIF('Dept. Cost Actuals'!$E$7:$E$176,"*vacation*",'Dept. Cost Actuals'!BB$181:BB$350))</f>
        <v>10312.921305843292</v>
      </c>
      <c r="AY19" s="991">
        <f>IF(AY$4="forecast",((AY14/251)+AX$19),SUMIF('Dept. Cost Actuals'!$E$7:$E$176,"*vacation*",'Dept. Cost Actuals'!BC$181:BC$350))</f>
        <v>10690.160529349268</v>
      </c>
      <c r="AZ19" s="991">
        <f>IF(AZ$4="forecast",((AZ14/251)+AY$19),SUMIF('Dept. Cost Actuals'!$E$7:$E$176,"*vacation*",'Dept. Cost Actuals'!BD$181:BD$350))</f>
        <v>11074.96573932138</v>
      </c>
      <c r="BA19" s="991">
        <f>IF(BA$4="forecast",((BA14/251)+AZ$19),SUMIF('Dept. Cost Actuals'!$E$7:$E$176,"*vacation*",'Dept. Cost Actuals'!BE$181:BE$350))</f>
        <v>11459.770949293492</v>
      </c>
      <c r="BB19" s="991">
        <f>IF(BB$4="forecast",((BB14/251)+BA$19),SUMIF('Dept. Cost Actuals'!$E$7:$E$176,"*vacation*",'Dept. Cost Actuals'!BF$181:BF$350))</f>
        <v>11844.576159265604</v>
      </c>
      <c r="BC19" s="991">
        <f>IF(BC$4="forecast",((BC14/251)+BB$19),SUMIF('Dept. Cost Actuals'!$E$7:$E$176,"*vacation*",'Dept. Cost Actuals'!BG$181:BG$350))</f>
        <v>12229.381369237715</v>
      </c>
      <c r="BD19" s="991">
        <f>IF(BD$4="forecast",((BD14/251)+BC$19),SUMIF('Dept. Cost Actuals'!$E$7:$E$176,"*vacation*",'Dept. Cost Actuals'!BH$181:BH$350))</f>
        <v>12614.186579209827</v>
      </c>
      <c r="BE19" s="991">
        <f>IF(BE$4="forecast",((BE14/251)+BD$19),SUMIF('Dept. Cost Actuals'!$E$7:$E$176,"*vacation*",'Dept. Cost Actuals'!BI$181:BI$350))</f>
        <v>12998.991789181939</v>
      </c>
      <c r="BF19" s="991">
        <f>IF(BF$4="forecast",((BF14/251)+BE$19),SUMIF('Dept. Cost Actuals'!$E$7:$E$176,"*vacation*",'Dept. Cost Actuals'!BJ$181:BJ$350))</f>
        <v>13383.79699915405</v>
      </c>
      <c r="BG19" s="991">
        <f>IF(BG$4="forecast",((BG14/251)+BF$19),SUMIF('Dept. Cost Actuals'!$E$7:$E$176,"*vacation*",'Dept. Cost Actuals'!BK$181:BK$350))</f>
        <v>13768.602209126162</v>
      </c>
      <c r="BH19" s="991">
        <f>IF(BH$4="forecast",((BH14/251)+BG$19),SUMIF('Dept. Cost Actuals'!$E$7:$E$176,"*vacation*",'Dept. Cost Actuals'!BL$181:BL$350))</f>
        <v>14153.407419098274</v>
      </c>
      <c r="BI19" s="991">
        <f>IF(BI$4="forecast",((BI14/251)+BH$19),SUMIF('Dept. Cost Actuals'!$E$7:$E$176,"*vacation*",'Dept. Cost Actuals'!BM$181:BM$350))</f>
        <v>14538.212629070385</v>
      </c>
      <c r="BJ19" s="991">
        <f>IF(BJ$4="forecast",((BJ14/251)+BI$19),SUMIF('Dept. Cost Actuals'!$E$7:$E$176,"*vacation*",'Dept. Cost Actuals'!BN$181:BN$350))</f>
        <v>14923.017839042497</v>
      </c>
      <c r="BK19" s="991">
        <f>IF(BK$4="forecast",((BK14/251)+BJ$19),SUMIF('Dept. Cost Actuals'!$E$7:$E$176,"*vacation*",'Dept. Cost Actuals'!BO$181:BO$350))</f>
        <v>15311.574239253652</v>
      </c>
      <c r="BL19" s="991">
        <f>IF(BL$4="forecast",((BL14/251)+BK$19),SUMIF('Dept. Cost Actuals'!$E$7:$E$176,"*vacation*",'Dept. Cost Actuals'!BP$181:BP$350))</f>
        <v>15707.923605524928</v>
      </c>
      <c r="BM19" s="991">
        <f>IF(BM$4="forecast",((BM14/251)+BL$19),SUMIF('Dept. Cost Actuals'!$E$7:$E$176,"*vacation*",'Dept. Cost Actuals'!BQ$181:BQ$350))</f>
        <v>16104.272971796203</v>
      </c>
      <c r="BN19" s="991">
        <f>IF(BN$4="forecast",((BN14/251)+BM$19),SUMIF('Dept. Cost Actuals'!$E$7:$E$176,"*vacation*",'Dept. Cost Actuals'!BR$181:BR$350))</f>
        <v>16500.622338067478</v>
      </c>
      <c r="BO19" s="991">
        <f>IF(BO$4="forecast",((BO14/251)+BN$19),SUMIF('Dept. Cost Actuals'!$E$7:$E$176,"*vacation*",'Dept. Cost Actuals'!BS$181:BS$350))</f>
        <v>16896.971704338754</v>
      </c>
      <c r="BP19" s="991">
        <f>IF(BP$4="forecast",((BP14/251)+BO$19),SUMIF('Dept. Cost Actuals'!$E$7:$E$176,"*vacation*",'Dept. Cost Actuals'!BT$181:BT$350))</f>
        <v>17293.321070610029</v>
      </c>
      <c r="BQ19" s="991">
        <f>IF(BQ$4="forecast",((BQ14/251)+BP$19),SUMIF('Dept. Cost Actuals'!$E$7:$E$176,"*vacation*",'Dept. Cost Actuals'!BU$181:BU$350))</f>
        <v>17689.670436881304</v>
      </c>
      <c r="BR19" s="991">
        <f>IF(BR$4="forecast",((BR14/251)+BQ$19),SUMIF('Dept. Cost Actuals'!$E$7:$E$176,"*vacation*",'Dept. Cost Actuals'!BV$181:BV$350))</f>
        <v>18086.01980315258</v>
      </c>
      <c r="BS19" s="991">
        <f>IF(BS$4="forecast",((BS14/251)+BR$19),SUMIF('Dept. Cost Actuals'!$E$7:$E$176,"*vacation*",'Dept. Cost Actuals'!BW$181:BW$350))</f>
        <v>18482.369169423855</v>
      </c>
      <c r="BT19" s="991">
        <f>IF(BT$4="forecast",((BT14/251)+BS$19),SUMIF('Dept. Cost Actuals'!$E$7:$E$176,"*vacation*",'Dept. Cost Actuals'!BX$181:BX$350))</f>
        <v>18878.71853569513</v>
      </c>
      <c r="BU19" s="991">
        <f>IF(BU$4="forecast",((BU14/251)+BT$19),SUMIF('Dept. Cost Actuals'!$E$7:$E$176,"*vacation*",'Dept. Cost Actuals'!BY$181:BY$350))</f>
        <v>19275.067901966406</v>
      </c>
      <c r="BV19" s="992">
        <f>IF(BV$4="forecast",((BV14/251)+BU$19),SUMIF('Dept. Cost Actuals'!$E$7:$E$176,"*vacation*",'Dept. Cost Actuals'!BZ$181:BZ$350))</f>
        <v>19671.417268237681</v>
      </c>
    </row>
    <row r="20" spans="2:74" s="626" customFormat="1" ht="12.75" x14ac:dyDescent="0.2">
      <c r="B20" s="794" t="s">
        <v>657</v>
      </c>
      <c r="C20" s="668">
        <f>IF(C$4="forecast",(((SUM($O$20:$Z$20)/12)*1.03)),SUMIF('Dept. Cost Actuals'!$E$7:$E$176,"*Health Insurance*",'Dept. Cost Actuals'!G$181:G$350))</f>
        <v>569.21875486742715</v>
      </c>
      <c r="D20" s="668">
        <f>IF(D$4="forecast",(((SUM($O$20:$Z$20)/12)*1.03)),SUMIF('Dept. Cost Actuals'!$E$7:$E$176,"*Health Insurance*",'Dept. Cost Actuals'!H$181:H$350))</f>
        <v>299.6894541829131</v>
      </c>
      <c r="E20" s="668">
        <f>IF(E$4="forecast",(((SUM($O$20:$Z$20)/12)*1.03)),SUMIF('Dept. Cost Actuals'!$E$7:$E$176,"*Health Insurance*",'Dept. Cost Actuals'!I$181:I$350))</f>
        <v>472.8667949986343</v>
      </c>
      <c r="F20" s="668">
        <f>IF(F$4="forecast",(((SUM($O$20:$Z$20)/12)*1.03)),SUMIF('Dept. Cost Actuals'!$E$7:$E$176,"*Health Insurance*",'Dept. Cost Actuals'!J$181:J$350))</f>
        <v>206.21374853113554</v>
      </c>
      <c r="G20" s="668">
        <f>IF(G$4="forecast",(((SUM($O$20:$Z$20)/12)*1.03)),SUMIF('Dept. Cost Actuals'!$E$7:$E$176,"*Health Insurance*",'Dept. Cost Actuals'!K$181:K$350))</f>
        <v>593.54894386408841</v>
      </c>
      <c r="H20" s="668">
        <f>IF(H$4="forecast",(((SUM($O$20:$Z$20)/12)*1.03)),SUMIF('Dept. Cost Actuals'!$E$7:$E$176,"*Health Insurance*",'Dept. Cost Actuals'!L$181:L$350))</f>
        <v>456.84660060905867</v>
      </c>
      <c r="I20" s="668">
        <f>IF(I$4="forecast",(((SUM($O$20:$Z$20)/12)*1.03)),SUMIF('Dept. Cost Actuals'!$E$7:$E$176,"*Health Insurance*",'Dept. Cost Actuals'!M$181:M$350))</f>
        <v>290.68688832351592</v>
      </c>
      <c r="J20" s="668">
        <f>IF(J$4="forecast",(((SUM($O$20:$Z$20)/12)*1.03)),SUMIF('Dept. Cost Actuals'!$E$7:$E$176,"*Health Insurance*",'Dept. Cost Actuals'!N$181:N$350))</f>
        <v>424.07751869362011</v>
      </c>
      <c r="K20" s="668">
        <f>IF(K$4="forecast",(((SUM($O$20:$Z$20)/12)*1.03)),SUMIF('Dept. Cost Actuals'!$E$7:$E$176,"*Health Insurance*",'Dept. Cost Actuals'!O$181:O$350))</f>
        <v>510.23701956196021</v>
      </c>
      <c r="L20" s="668">
        <f>IF(L$4="forecast",(((SUM($O$20:$Z$20)/12)*1.03)),SUMIF('Dept. Cost Actuals'!$E$7:$E$176,"*Health Insurance*",'Dept. Cost Actuals'!P$181:P$350))</f>
        <v>269.1046602335631</v>
      </c>
      <c r="M20" s="668">
        <f>IF(M$4="forecast",(((SUM($O$20:$Z$20)/12)*1.03)),SUMIF('Dept. Cost Actuals'!$E$7:$E$176,"*Health Insurance*",'Dept. Cost Actuals'!Q$181:Q$350))</f>
        <v>356.694359158559</v>
      </c>
      <c r="N20" s="668">
        <f>IF(N$4="forecast",(((SUM($O$20:$Z$20)/12)*1.03)),SUMIF('Dept. Cost Actuals'!$E$7:$E$176,"*Health Insurance*",'Dept. Cost Actuals'!R$181:R$350))</f>
        <v>1752.1407355535234</v>
      </c>
      <c r="O20" s="668">
        <f>IF(O$4="forecast",(((SUM($O$20:$Z$20)/12)*1.03)),SUMIF('Dept. Cost Actuals'!$E$7:$E$176,"*Health Insurance*",'Dept. Cost Actuals'!S$181:S$350))</f>
        <v>2212.89</v>
      </c>
      <c r="P20" s="668">
        <f>IF(P$4="forecast",(((SUM($O$20:$Z$20)/12)*1.03)),SUMIF('Dept. Cost Actuals'!$E$7:$E$176,"*Health Insurance*",'Dept. Cost Actuals'!T$181:T$350))</f>
        <v>1758.79</v>
      </c>
      <c r="Q20" s="668">
        <f>IF(Q$4="forecast",(((SUM($O$20:$Z$20)/12)*1.03)),SUMIF('Dept. Cost Actuals'!$E$7:$E$176,"*Health Insurance*",'Dept. Cost Actuals'!U$181:U$350))</f>
        <v>1433.02</v>
      </c>
      <c r="R20" s="668">
        <f>IF(R$4="forecast",(((SUM($O$20:$Z$20)/12)*1.03)),SUMIF('Dept. Cost Actuals'!$E$7:$E$176,"*Health Insurance*",'Dept. Cost Actuals'!V$181:V$350))</f>
        <v>1432.09</v>
      </c>
      <c r="S20" s="668">
        <f>IF(S$4="forecast",(((SUM($O$20:$Z$20)/12)*1.03)),SUMIF('Dept. Cost Actuals'!$E$7:$E$176,"*Health Insurance*",'Dept. Cost Actuals'!W$181:W$350))</f>
        <v>1279.27</v>
      </c>
      <c r="T20" s="668">
        <f>IF(T$4="forecast",(((SUM($O$20:$Z$20)/12)*1.03)),SUMIF('Dept. Cost Actuals'!$E$7:$E$176,"*Health Insurance*",'Dept. Cost Actuals'!X$181:X$350))</f>
        <v>428.69</v>
      </c>
      <c r="U20" s="668">
        <f>IF(U$4="forecast",(((SUM($O$20:$Z$20)/12)*1.03)),SUMIF('Dept. Cost Actuals'!$E$7:$E$176,"*Health Insurance*",'Dept. Cost Actuals'!Y$181:Y$350))</f>
        <v>1030.73</v>
      </c>
      <c r="V20" s="668">
        <f>IF(V$4="forecast",(((SUM($O$20:$Z$20)/12)*1.03)),SUMIF('Dept. Cost Actuals'!$E$7:$E$176,"*Health Insurance*",'Dept. Cost Actuals'!Z$181:Z$350))</f>
        <v>1086.21</v>
      </c>
      <c r="W20" s="668">
        <f>IF(W$4="forecast",(((SUM($O$20:$Z$20)/12)*1.03)),SUMIF('Dept. Cost Actuals'!$E$7:$E$176,"*Health Insurance*",'Dept. Cost Actuals'!AA$181:AA$350))</f>
        <v>1095.47</v>
      </c>
      <c r="X20" s="668">
        <f>IF(X$4="forecast",(((SUM($O$20:$Z$20)/12)*1.03)),SUMIF('Dept. Cost Actuals'!$E$7:$E$176,"*Health Insurance*",'Dept. Cost Actuals'!AB$181:AB$350))</f>
        <v>1105.07</v>
      </c>
      <c r="Y20" s="668">
        <f>IF(Y$4="forecast",(((SUM($O$20:$Z$20)/12)*1.03)),SUMIF('Dept. Cost Actuals'!$E$7:$E$176,"*Health Insurance*",'Dept. Cost Actuals'!AC$181:AC$350))</f>
        <v>0</v>
      </c>
      <c r="Z20" s="668">
        <f>IF(Z$4="forecast",(((SUM($O$20:$Z$20)/12)*1.03)),SUMIF('Dept. Cost Actuals'!$E$7:$E$176,"*Health Insurance*",'Dept. Cost Actuals'!AD$181:AD$350))</f>
        <v>1864.93</v>
      </c>
      <c r="AA20" s="668">
        <f>IF(AA$4="forecast",(((SUM($O$20:$Z$20)/12)*1.03)),SUMIF('Dept. Cost Actuals'!$E$7:$E$176,"*Health Insurance*",'Dept. Cost Actuals'!AE$181:AE$350))</f>
        <v>1784.8</v>
      </c>
      <c r="AB20" s="668">
        <f>IF(AB$4="forecast",(((SUM($O$20:$Z$20)/12)*1.03)),SUMIF('Dept. Cost Actuals'!$E$7:$E$176,"*Health Insurance*",'Dept. Cost Actuals'!AF$181:AF$350))</f>
        <v>1970.9799999999998</v>
      </c>
      <c r="AC20" s="668">
        <f>IF(AC$4="forecast",(((SUM($O$20:$Z$20)/12)*1.03)),SUMIF('Dept. Cost Actuals'!$E$7:$E$176,"*Health Insurance*",'Dept. Cost Actuals'!AG$181:AG$350))</f>
        <v>5631.34</v>
      </c>
      <c r="AD20" s="668">
        <f>IF(AD$4="forecast",(((SUM($O$20:$Z$20)/12)*1.03)),SUMIF('Dept. Cost Actuals'!$E$7:$E$176,"*Health Insurance*",'Dept. Cost Actuals'!AH$181:AH$350))</f>
        <v>1264.0812333333331</v>
      </c>
      <c r="AE20" s="668">
        <f>IF(AE$4="forecast",(((SUM($O$20:$Z$20)/12)*1.03)),SUMIF('Dept. Cost Actuals'!$E$7:$E$176,"*Health Insurance*",'Dept. Cost Actuals'!AI$181:AI$350))</f>
        <v>1264.0812333333331</v>
      </c>
      <c r="AF20" s="668">
        <f>IF(AF$4="forecast",(((SUM($O$20:$Z$20)/12)*1.03)),SUMIF('Dept. Cost Actuals'!$E$7:$E$176,"*Health Insurance*",'Dept. Cost Actuals'!AJ$181:AJ$350))</f>
        <v>1264.0812333333331</v>
      </c>
      <c r="AG20" s="668">
        <f>IF(AG$4="forecast",(((SUM($O$20:$Z$20)/12)*1.03)),SUMIF('Dept. Cost Actuals'!$E$7:$E$176,"*Health Insurance*",'Dept. Cost Actuals'!AK$181:AK$350))</f>
        <v>1264.0812333333331</v>
      </c>
      <c r="AH20" s="668">
        <f>IF(AH$4="forecast",(((SUM($O$20:$Z$20)/12)*1.03)),SUMIF('Dept. Cost Actuals'!$E$7:$E$176,"*Health Insurance*",'Dept. Cost Actuals'!AL$181:AL$350))</f>
        <v>1264.0812333333331</v>
      </c>
      <c r="AI20" s="668">
        <f>IF(AI$4="forecast",(((SUM($O$20:$Z$20)/12)*1.03)),SUMIF('Dept. Cost Actuals'!$E$7:$E$176,"*Health Insurance*",'Dept. Cost Actuals'!AM$181:AM$350))</f>
        <v>1264.0812333333331</v>
      </c>
      <c r="AJ20" s="668">
        <f>IF(AJ$4="forecast",(((SUM($O$20:$Z$20)/12)*1.03)),SUMIF('Dept. Cost Actuals'!$E$7:$E$176,"*Health Insurance*",'Dept. Cost Actuals'!AN$181:AN$350))</f>
        <v>1264.0812333333331</v>
      </c>
      <c r="AK20" s="668">
        <f>IF(AK$4="forecast",(((SUM($O$20:$Z$20)/12)*1.03)),SUMIF('Dept. Cost Actuals'!$E$7:$E$176,"*Health Insurance*",'Dept. Cost Actuals'!AO$181:AO$350))</f>
        <v>1264.0812333333331</v>
      </c>
      <c r="AL20" s="668">
        <f>IF(AL$4="forecast",(((SUM($O$20:$Z$20)/12)*1.03)),SUMIF('Dept. Cost Actuals'!$E$7:$E$176,"*Health Insurance*",'Dept. Cost Actuals'!AP$181:AP$350))</f>
        <v>1264.0812333333331</v>
      </c>
      <c r="AM20" s="668">
        <f>IF(AM$4="forecast",(((SUM($O$20:$Z$20)/12)*1.03)),SUMIF('Dept. Cost Actuals'!$E$7:$E$176,"*Health Insurance*",'Dept. Cost Actuals'!AQ$181:AQ$350))</f>
        <v>1264.0812333333331</v>
      </c>
      <c r="AN20" s="668">
        <f>IF(AN$4="forecast",(((SUM($O$20:$Z$20)/12)*1.03)),SUMIF('Dept. Cost Actuals'!$E$7:$E$176,"*Health Insurance*",'Dept. Cost Actuals'!AR$181:AR$350))</f>
        <v>1264.0812333333331</v>
      </c>
      <c r="AO20" s="668">
        <f>IF(AO$4="forecast",(((SUM($O$20:$Z$20)/12)*1.03)),SUMIF('Dept. Cost Actuals'!$E$7:$E$176,"*Health Insurance*",'Dept. Cost Actuals'!AS$181:AS$350))</f>
        <v>1264.0812333333331</v>
      </c>
      <c r="AP20" s="668">
        <f>IF(AP$4="forecast",(((SUM($O$20:$Z$20)/12)*1.03)),SUMIF('Dept. Cost Actuals'!$E$7:$E$176,"*Health Insurance*",'Dept. Cost Actuals'!AT$181:AT$350))</f>
        <v>1264.0812333333331</v>
      </c>
      <c r="AQ20" s="668">
        <f>IF(AQ$4="forecast",(((SUM($O$20:$Z$20)/12)*1.03)),SUMIF('Dept. Cost Actuals'!$E$7:$E$176,"*Health Insurance*",'Dept. Cost Actuals'!AU$181:AU$350))</f>
        <v>1264.0812333333331</v>
      </c>
      <c r="AR20" s="668">
        <f>IF(AR$4="forecast",(((SUM($O$20:$Z$20)/12)*1.03)),SUMIF('Dept. Cost Actuals'!$E$7:$E$176,"*Health Insurance*",'Dept. Cost Actuals'!AV$181:AV$350))</f>
        <v>1264.0812333333331</v>
      </c>
      <c r="AS20" s="668">
        <f>IF(AS$4="forecast",(((SUM($O$20:$Z$20)/12)*1.03)),SUMIF('Dept. Cost Actuals'!$E$7:$E$176,"*Health Insurance*",'Dept. Cost Actuals'!AW$181:AW$350))</f>
        <v>1264.0812333333331</v>
      </c>
      <c r="AT20" s="668">
        <f>IF(AT$4="forecast",(((SUM($O$20:$Z$20)/12)*1.03)),SUMIF('Dept. Cost Actuals'!$E$7:$E$176,"*Health Insurance*",'Dept. Cost Actuals'!AX$181:AX$350))</f>
        <v>1264.0812333333331</v>
      </c>
      <c r="AU20" s="668">
        <f>IF(AU$4="forecast",(((SUM($O$20:$Z$20)/12)*1.03)),SUMIF('Dept. Cost Actuals'!$E$7:$E$176,"*Health Insurance*",'Dept. Cost Actuals'!AY$181:AY$350))</f>
        <v>1264.0812333333331</v>
      </c>
      <c r="AV20" s="668">
        <f>IF(AV$4="forecast",(((SUM($O$20:$Z$20)/12)*1.03)),SUMIF('Dept. Cost Actuals'!$E$7:$E$176,"*Health Insurance*",'Dept. Cost Actuals'!AZ$181:AZ$350))</f>
        <v>1264.0812333333331</v>
      </c>
      <c r="AW20" s="668">
        <f>IF(AW$4="forecast",(((SUM($O$20:$Z$20)/12)*1.03)),SUMIF('Dept. Cost Actuals'!$E$7:$E$176,"*Health Insurance*",'Dept. Cost Actuals'!BA$181:BA$350))</f>
        <v>1264.0812333333331</v>
      </c>
      <c r="AX20" s="668">
        <f>IF(AX$4="forecast",(((SUM($O$20:$Z$20)/12)*1.03)),SUMIF('Dept. Cost Actuals'!$E$7:$E$176,"*Health Insurance*",'Dept. Cost Actuals'!BB$181:BB$350))</f>
        <v>1264.0812333333331</v>
      </c>
      <c r="AY20" s="668">
        <f>IF(AY$4="forecast",(((SUM($O$20:$Z$20)/12)*1.03)),SUMIF('Dept. Cost Actuals'!$E$7:$E$176,"*Health Insurance*",'Dept. Cost Actuals'!BC$181:BC$350))</f>
        <v>1264.0812333333331</v>
      </c>
      <c r="AZ20" s="668">
        <f>IF(AZ$4="forecast",(((SUM($O$20:$Z$20)/12)*1.03)),SUMIF('Dept. Cost Actuals'!$E$7:$E$176,"*Health Insurance*",'Dept. Cost Actuals'!BD$181:BD$350))</f>
        <v>1264.0812333333331</v>
      </c>
      <c r="BA20" s="668">
        <f>IF(BA$4="forecast",(((SUM($O$20:$Z$20)/12)*1.03)),SUMIF('Dept. Cost Actuals'!$E$7:$E$176,"*Health Insurance*",'Dept. Cost Actuals'!BE$181:BE$350))</f>
        <v>1264.0812333333331</v>
      </c>
      <c r="BB20" s="668">
        <f>IF(BB$4="forecast",(((SUM($O$20:$Z$20)/12)*1.03)),SUMIF('Dept. Cost Actuals'!$E$7:$E$176,"*Health Insurance*",'Dept. Cost Actuals'!BF$181:BF$350))</f>
        <v>1264.0812333333331</v>
      </c>
      <c r="BC20" s="668">
        <f>IF(BC$4="forecast",(((SUM($O$20:$Z$20)/12)*1.03)),SUMIF('Dept. Cost Actuals'!$E$7:$E$176,"*Health Insurance*",'Dept. Cost Actuals'!BG$181:BG$350))</f>
        <v>1264.0812333333331</v>
      </c>
      <c r="BD20" s="668">
        <f>IF(BD$4="forecast",(((SUM($O$20:$Z$20)/12)*1.03)),SUMIF('Dept. Cost Actuals'!$E$7:$E$176,"*Health Insurance*",'Dept. Cost Actuals'!BH$181:BH$350))</f>
        <v>1264.0812333333331</v>
      </c>
      <c r="BE20" s="668">
        <f>IF(BE$4="forecast",(((SUM($O$20:$Z$20)/12)*1.03)),SUMIF('Dept. Cost Actuals'!$E$7:$E$176,"*Health Insurance*",'Dept. Cost Actuals'!BI$181:BI$350))</f>
        <v>1264.0812333333331</v>
      </c>
      <c r="BF20" s="668">
        <f>IF(BF$4="forecast",(((SUM($O$20:$Z$20)/12)*1.03)),SUMIF('Dept. Cost Actuals'!$E$7:$E$176,"*Health Insurance*",'Dept. Cost Actuals'!BJ$181:BJ$350))</f>
        <v>1264.0812333333331</v>
      </c>
      <c r="BG20" s="668">
        <f>IF(BG$4="forecast",(((SUM($O$20:$Z$20)/12)*1.03)),SUMIF('Dept. Cost Actuals'!$E$7:$E$176,"*Health Insurance*",'Dept. Cost Actuals'!BK$181:BK$350))</f>
        <v>1264.0812333333331</v>
      </c>
      <c r="BH20" s="668">
        <f>IF(BH$4="forecast",(((SUM($O$20:$Z$20)/12)*1.03)),SUMIF('Dept. Cost Actuals'!$E$7:$E$176,"*Health Insurance*",'Dept. Cost Actuals'!BL$181:BL$350))</f>
        <v>1264.0812333333331</v>
      </c>
      <c r="BI20" s="668">
        <f>IF(BI$4="forecast",(((SUM($O$20:$Z$20)/12)*1.03)),SUMIF('Dept. Cost Actuals'!$E$7:$E$176,"*Health Insurance*",'Dept. Cost Actuals'!BM$181:BM$350))</f>
        <v>1264.0812333333331</v>
      </c>
      <c r="BJ20" s="668">
        <f>IF(BJ$4="forecast",(((SUM($O$20:$Z$20)/12)*1.03)),SUMIF('Dept. Cost Actuals'!$E$7:$E$176,"*Health Insurance*",'Dept. Cost Actuals'!BN$181:BN$350))</f>
        <v>1264.0812333333331</v>
      </c>
      <c r="BK20" s="668">
        <f>IF(BK$4="forecast",(((SUM($O$20:$Z$20)/12)*1.03)),SUMIF('Dept. Cost Actuals'!$E$7:$E$176,"*Health Insurance*",'Dept. Cost Actuals'!BO$181:BO$350))</f>
        <v>1264.0812333333331</v>
      </c>
      <c r="BL20" s="668">
        <f>IF(BL$4="forecast",(((SUM($O$20:$Z$20)/12)*1.03)),SUMIF('Dept. Cost Actuals'!$E$7:$E$176,"*Health Insurance*",'Dept. Cost Actuals'!BP$181:BP$350))</f>
        <v>1264.0812333333331</v>
      </c>
      <c r="BM20" s="668">
        <f>IF(BM$4="forecast",(((SUM($O$20:$Z$20)/12)*1.03)),SUMIF('Dept. Cost Actuals'!$E$7:$E$176,"*Health Insurance*",'Dept. Cost Actuals'!BQ$181:BQ$350))</f>
        <v>1264.0812333333331</v>
      </c>
      <c r="BN20" s="668">
        <f>IF(BN$4="forecast",(((SUM($O$20:$Z$20)/12)*1.03)),SUMIF('Dept. Cost Actuals'!$E$7:$E$176,"*Health Insurance*",'Dept. Cost Actuals'!BR$181:BR$350))</f>
        <v>1264.0812333333331</v>
      </c>
      <c r="BO20" s="668">
        <f>IF(BO$4="forecast",(((SUM($O$20:$Z$20)/12)*1.03)),SUMIF('Dept. Cost Actuals'!$E$7:$E$176,"*Health Insurance*",'Dept. Cost Actuals'!BS$181:BS$350))</f>
        <v>1264.0812333333331</v>
      </c>
      <c r="BP20" s="668">
        <f>IF(BP$4="forecast",(((SUM($O$20:$Z$20)/12)*1.03)),SUMIF('Dept. Cost Actuals'!$E$7:$E$176,"*Health Insurance*",'Dept. Cost Actuals'!BT$181:BT$350))</f>
        <v>1264.0812333333331</v>
      </c>
      <c r="BQ20" s="668">
        <f>IF(BQ$4="forecast",(((SUM($O$20:$Z$20)/12)*1.03)),SUMIF('Dept. Cost Actuals'!$E$7:$E$176,"*Health Insurance*",'Dept. Cost Actuals'!BU$181:BU$350))</f>
        <v>1264.0812333333331</v>
      </c>
      <c r="BR20" s="668">
        <f>IF(BR$4="forecast",(((SUM($O$20:$Z$20)/12)*1.03)),SUMIF('Dept. Cost Actuals'!$E$7:$E$176,"*Health Insurance*",'Dept. Cost Actuals'!BV$181:BV$350))</f>
        <v>1264.0812333333331</v>
      </c>
      <c r="BS20" s="668">
        <f>IF(BS$4="forecast",(((SUM($O$20:$Z$20)/12)*1.03)),SUMIF('Dept. Cost Actuals'!$E$7:$E$176,"*Health Insurance*",'Dept. Cost Actuals'!BW$181:BW$350))</f>
        <v>1264.0812333333331</v>
      </c>
      <c r="BT20" s="668">
        <f>IF(BT$4="forecast",(((SUM($O$20:$Z$20)/12)*1.03)),SUMIF('Dept. Cost Actuals'!$E$7:$E$176,"*Health Insurance*",'Dept. Cost Actuals'!BX$181:BX$350))</f>
        <v>1264.0812333333331</v>
      </c>
      <c r="BU20" s="668">
        <f>IF(BU$4="forecast",(((SUM($O$20:$Z$20)/12)*1.03)),SUMIF('Dept. Cost Actuals'!$E$7:$E$176,"*Health Insurance*",'Dept. Cost Actuals'!BY$181:BY$350))</f>
        <v>1264.0812333333331</v>
      </c>
      <c r="BV20" s="790">
        <f>IF(BV$4="forecast",(((SUM($O$20:$Z$20)/12)*1.03)),SUMIF('Dept. Cost Actuals'!$E$7:$E$176,"*Health Insurance*",'Dept. Cost Actuals'!BZ$181:BZ$350))</f>
        <v>1264.0812333333331</v>
      </c>
    </row>
    <row r="21" spans="2:74" s="626" customFormat="1" ht="12.75" x14ac:dyDescent="0.2">
      <c r="B21" s="794" t="s">
        <v>1348</v>
      </c>
      <c r="C21" s="668">
        <f>IF(C$4="forecast",(400/12)*C7,(SUMIF('Dept. Cost Actuals'!$E$7:$E$176,"*Employee*",'Dept. Cost Actuals'!G$181:G$350)))</f>
        <v>0</v>
      </c>
      <c r="D21" s="668">
        <f>IF(D$4="forecast",(400/12)*D7,(SUMIF('Dept. Cost Actuals'!$E$7:$E$176,"*Employee*",'Dept. Cost Actuals'!H$181:H$350)))</f>
        <v>0</v>
      </c>
      <c r="E21" s="668">
        <f>IF(E$4="forecast",(400/12)*E7,(SUMIF('Dept. Cost Actuals'!$E$7:$E$176,"*Employee*",'Dept. Cost Actuals'!I$181:I$350)))</f>
        <v>0</v>
      </c>
      <c r="F21" s="668">
        <f>IF(F$4="forecast",(400/12)*F7,(SUMIF('Dept. Cost Actuals'!$E$7:$E$176,"*Employee*",'Dept. Cost Actuals'!J$181:J$350)))</f>
        <v>0</v>
      </c>
      <c r="G21" s="668">
        <f>IF(G$4="forecast",(400/12)*G7,(SUMIF('Dept. Cost Actuals'!$E$7:$E$176,"*Employee*",'Dept. Cost Actuals'!K$181:K$350)))</f>
        <v>0</v>
      </c>
      <c r="H21" s="668">
        <f>IF(H$4="forecast",(400/12)*H7,(SUMIF('Dept. Cost Actuals'!$E$7:$E$176,"*Employee*",'Dept. Cost Actuals'!L$181:L$350)))</f>
        <v>0</v>
      </c>
      <c r="I21" s="668">
        <f>IF(I$4="forecast",(400/12)*I7,(SUMIF('Dept. Cost Actuals'!$E$7:$E$176,"*Employee*",'Dept. Cost Actuals'!M$181:M$350)))</f>
        <v>0</v>
      </c>
      <c r="J21" s="668">
        <f>IF(J$4="forecast",(400/12)*J7,(SUMIF('Dept. Cost Actuals'!$E$7:$E$176,"*Employee*",'Dept. Cost Actuals'!N$181:N$350)))</f>
        <v>0</v>
      </c>
      <c r="K21" s="668">
        <f>IF(K$4="forecast",(400/12)*K7,(SUMIF('Dept. Cost Actuals'!$E$7:$E$176,"*Employee*",'Dept. Cost Actuals'!O$181:O$350)))</f>
        <v>0</v>
      </c>
      <c r="L21" s="668">
        <f>IF(L$4="forecast",(400/12)*L7,(SUMIF('Dept. Cost Actuals'!$E$7:$E$176,"*Employee*",'Dept. Cost Actuals'!P$181:P$350)))</f>
        <v>0</v>
      </c>
      <c r="M21" s="668">
        <f>IF(M$4="forecast",(400/12)*M7,(SUMIF('Dept. Cost Actuals'!$E$7:$E$176,"*Employee*",'Dept. Cost Actuals'!Q$181:Q$350)))</f>
        <v>0</v>
      </c>
      <c r="N21" s="668">
        <f>IF(N$4="forecast",(400/12)*N7,(SUMIF('Dept. Cost Actuals'!$E$7:$E$176,"*Employee*",'Dept. Cost Actuals'!R$181:R$350)))</f>
        <v>0</v>
      </c>
      <c r="O21" s="668">
        <f>IF(O$4="forecast",(400/12)*O7,(SUMIF('Dept. Cost Actuals'!$E$7:$E$176,"*Employee*",'Dept. Cost Actuals'!S$181:S$350)))</f>
        <v>0</v>
      </c>
      <c r="P21" s="668">
        <f>IF(P$4="forecast",(400/12)*P7,(SUMIF('Dept. Cost Actuals'!$E$7:$E$176,"*Employee*",'Dept. Cost Actuals'!T$181:T$350)))</f>
        <v>0</v>
      </c>
      <c r="Q21" s="668">
        <f>IF(Q$4="forecast",(400/12)*Q7,(SUMIF('Dept. Cost Actuals'!$E$7:$E$176,"*Employee*",'Dept. Cost Actuals'!U$181:U$350)))</f>
        <v>0</v>
      </c>
      <c r="R21" s="668">
        <f>IF(R$4="forecast",(400/12)*R7,(SUMIF('Dept. Cost Actuals'!$E$7:$E$176,"*Employee*",'Dept. Cost Actuals'!V$181:V$350)))</f>
        <v>0</v>
      </c>
      <c r="S21" s="668">
        <f>IF(S$4="forecast",(400/12)*S7,(SUMIF('Dept. Cost Actuals'!$E$7:$E$176,"*Employee*",'Dept. Cost Actuals'!W$181:W$350)))</f>
        <v>30</v>
      </c>
      <c r="T21" s="668">
        <f>IF(T$4="forecast",(400/12)*T7,(SUMIF('Dept. Cost Actuals'!$E$7:$E$176,"*Employee*",'Dept. Cost Actuals'!X$181:X$350)))</f>
        <v>20</v>
      </c>
      <c r="U21" s="668">
        <f>IF(U$4="forecast",(400/12)*U7,(SUMIF('Dept. Cost Actuals'!$E$7:$E$176,"*Employee*",'Dept. Cost Actuals'!Y$181:Y$350)))</f>
        <v>20</v>
      </c>
      <c r="V21" s="668">
        <f>IF(V$4="forecast",(400/12)*V7,(SUMIF('Dept. Cost Actuals'!$E$7:$E$176,"*Employee*",'Dept. Cost Actuals'!Z$181:Z$350)))</f>
        <v>74.59</v>
      </c>
      <c r="W21" s="668">
        <f>IF(W$4="forecast",(400/12)*W7,(SUMIF('Dept. Cost Actuals'!$E$7:$E$176,"*Employee*",'Dept. Cost Actuals'!AA$181:AA$350)))</f>
        <v>89.41</v>
      </c>
      <c r="X21" s="668">
        <f>IF(X$4="forecast",(400/12)*X7,(SUMIF('Dept. Cost Actuals'!$E$7:$E$176,"*Employee*",'Dept. Cost Actuals'!AB$181:AB$350)))</f>
        <v>98.61</v>
      </c>
      <c r="Y21" s="668">
        <f>IF(Y$4="forecast",(400/12)*Y7,(SUMIF('Dept. Cost Actuals'!$E$7:$E$176,"*Employee*",'Dept. Cost Actuals'!AC$181:AC$350)))</f>
        <v>-540.71</v>
      </c>
      <c r="Z21" s="668">
        <f>IF(Z$4="forecast",(400/12)*Z7,(SUMIF('Dept. Cost Actuals'!$E$7:$E$176,"*Employee*",'Dept. Cost Actuals'!AD$181:AD$350)))</f>
        <v>0</v>
      </c>
      <c r="AA21" s="668">
        <f>IF(AA$4="forecast",(400/12)*AA7,(SUMIF('Dept. Cost Actuals'!$E$7:$E$176,"*Employee*",'Dept. Cost Actuals'!AE$181:AE$350)))</f>
        <v>23.83</v>
      </c>
      <c r="AB21" s="668">
        <f>IF(AB$4="forecast",(400/12)*AB7,(SUMIF('Dept. Cost Actuals'!$E$7:$E$176,"*Employee*",'Dept. Cost Actuals'!AF$181:AF$350)))</f>
        <v>95.32</v>
      </c>
      <c r="AC21" s="668">
        <f>IF(AC$4="forecast",(400/12)*AC7,(SUMIF('Dept. Cost Actuals'!$E$7:$E$176,"*Employee*",'Dept. Cost Actuals'!AG$181:AG$350)))</f>
        <v>100.09</v>
      </c>
      <c r="AD21" s="668">
        <f>IF(AD$4="forecast",(400/12)*AD7,(SUMIF('Dept. Cost Actuals'!$E$7:$E$176,"*Employee*",'Dept. Cost Actuals'!AH$181:AH$350)))</f>
        <v>233.33333333333334</v>
      </c>
      <c r="AE21" s="668">
        <f>IF(AE$4="forecast",(400/12)*AE7,(SUMIF('Dept. Cost Actuals'!$E$7:$E$176,"*Employee*",'Dept. Cost Actuals'!AI$181:AI$350)))</f>
        <v>233.33333333333334</v>
      </c>
      <c r="AF21" s="668">
        <f>IF(AF$4="forecast",(400/12)*AF7,(SUMIF('Dept. Cost Actuals'!$E$7:$E$176,"*Employee*",'Dept. Cost Actuals'!AJ$181:AJ$350)))</f>
        <v>300</v>
      </c>
      <c r="AG21" s="668">
        <f>IF(AG$4="forecast",(400/12)*AG7,(SUMIF('Dept. Cost Actuals'!$E$7:$E$176,"*Employee*",'Dept. Cost Actuals'!AK$181:AK$350)))</f>
        <v>300</v>
      </c>
      <c r="AH21" s="668">
        <f>IF(AH$4="forecast",(400/12)*AH7,(SUMIF('Dept. Cost Actuals'!$E$7:$E$176,"*Employee*",'Dept. Cost Actuals'!AL$181:AL$350)))</f>
        <v>300</v>
      </c>
      <c r="AI21" s="668">
        <f>IF(AI$4="forecast",(400/12)*AI7,(SUMIF('Dept. Cost Actuals'!$E$7:$E$176,"*Employee*",'Dept. Cost Actuals'!AM$181:AM$350)))</f>
        <v>300</v>
      </c>
      <c r="AJ21" s="668">
        <f>IF(AJ$4="forecast",(400/12)*AJ7,(SUMIF('Dept. Cost Actuals'!$E$7:$E$176,"*Employee*",'Dept. Cost Actuals'!AN$181:AN$350)))</f>
        <v>300</v>
      </c>
      <c r="AK21" s="668">
        <f>IF(AK$4="forecast",(400/12)*AK7,(SUMIF('Dept. Cost Actuals'!$E$7:$E$176,"*Employee*",'Dept. Cost Actuals'!AO$181:AO$350)))</f>
        <v>300</v>
      </c>
      <c r="AL21" s="668">
        <f>IF(AL$4="forecast",(400/12)*AL7,(SUMIF('Dept. Cost Actuals'!$E$7:$E$176,"*Employee*",'Dept. Cost Actuals'!AP$181:AP$350)))</f>
        <v>300</v>
      </c>
      <c r="AM21" s="668">
        <f>IF(AM$4="forecast",(400/12)*AM7,(SUMIF('Dept. Cost Actuals'!$E$7:$E$176,"*Employee*",'Dept. Cost Actuals'!AQ$181:AQ$350)))</f>
        <v>300</v>
      </c>
      <c r="AN21" s="668">
        <f>IF(AN$4="forecast",(400/12)*AN7,(SUMIF('Dept. Cost Actuals'!$E$7:$E$176,"*Employee*",'Dept. Cost Actuals'!AR$181:AR$350)))</f>
        <v>300</v>
      </c>
      <c r="AO21" s="668">
        <f>IF(AO$4="forecast",(400/12)*AO7,(SUMIF('Dept. Cost Actuals'!$E$7:$E$176,"*Employee*",'Dept. Cost Actuals'!AS$181:AS$350)))</f>
        <v>300</v>
      </c>
      <c r="AP21" s="668">
        <f>IF(AP$4="forecast",(400/12)*AP7,(SUMIF('Dept. Cost Actuals'!$E$7:$E$176,"*Employee*",'Dept. Cost Actuals'!AT$181:AT$350)))</f>
        <v>300</v>
      </c>
      <c r="AQ21" s="668">
        <f>IF(AQ$4="forecast",(400/12)*AQ7,(SUMIF('Dept. Cost Actuals'!$E$7:$E$176,"*Employee*",'Dept. Cost Actuals'!AU$181:AU$350)))</f>
        <v>300</v>
      </c>
      <c r="AR21" s="668">
        <f>IF(AR$4="forecast",(400/12)*AR7,(SUMIF('Dept. Cost Actuals'!$E$7:$E$176,"*Employee*",'Dept. Cost Actuals'!AV$181:AV$350)))</f>
        <v>300</v>
      </c>
      <c r="AS21" s="668">
        <f>IF(AS$4="forecast",(400/12)*AS7,(SUMIF('Dept. Cost Actuals'!$E$7:$E$176,"*Employee*",'Dept. Cost Actuals'!AW$181:AW$350)))</f>
        <v>300</v>
      </c>
      <c r="AT21" s="668">
        <f>IF(AT$4="forecast",(400/12)*AT7,(SUMIF('Dept. Cost Actuals'!$E$7:$E$176,"*Employee*",'Dept. Cost Actuals'!AX$181:AX$350)))</f>
        <v>300</v>
      </c>
      <c r="AU21" s="668">
        <f>IF(AU$4="forecast",(400/12)*AU7,(SUMIF('Dept. Cost Actuals'!$E$7:$E$176,"*Employee*",'Dept. Cost Actuals'!AY$181:AY$350)))</f>
        <v>300</v>
      </c>
      <c r="AV21" s="668">
        <f>IF(AV$4="forecast",(400/12)*AV7,(SUMIF('Dept. Cost Actuals'!$E$7:$E$176,"*Employee*",'Dept. Cost Actuals'!AZ$181:AZ$350)))</f>
        <v>300</v>
      </c>
      <c r="AW21" s="668">
        <f>IF(AW$4="forecast",(400/12)*AW7,(SUMIF('Dept. Cost Actuals'!$E$7:$E$176,"*Employee*",'Dept. Cost Actuals'!BA$181:BA$350)))</f>
        <v>300</v>
      </c>
      <c r="AX21" s="668">
        <f>IF(AX$4="forecast",(400/12)*AX7,(SUMIF('Dept. Cost Actuals'!$E$7:$E$176,"*Employee*",'Dept. Cost Actuals'!BB$181:BB$350)))</f>
        <v>300</v>
      </c>
      <c r="AY21" s="668">
        <f>IF(AY$4="forecast",(400/12)*AY7,(SUMIF('Dept. Cost Actuals'!$E$7:$E$176,"*Employee*",'Dept. Cost Actuals'!BC$181:BC$350)))</f>
        <v>300</v>
      </c>
      <c r="AZ21" s="668">
        <f>IF(AZ$4="forecast",(400/12)*AZ7,(SUMIF('Dept. Cost Actuals'!$E$7:$E$176,"*Employee*",'Dept. Cost Actuals'!BD$181:BD$350)))</f>
        <v>300</v>
      </c>
      <c r="BA21" s="668">
        <f>IF(BA$4="forecast",(400/12)*BA7,(SUMIF('Dept. Cost Actuals'!$E$7:$E$176,"*Employee*",'Dept. Cost Actuals'!BE$181:BE$350)))</f>
        <v>300</v>
      </c>
      <c r="BB21" s="668">
        <f>IF(BB$4="forecast",(400/12)*BB7,(SUMIF('Dept. Cost Actuals'!$E$7:$E$176,"*Employee*",'Dept. Cost Actuals'!BF$181:BF$350)))</f>
        <v>300</v>
      </c>
      <c r="BC21" s="668">
        <f>IF(BC$4="forecast",(400/12)*BC7,(SUMIF('Dept. Cost Actuals'!$E$7:$E$176,"*Employee*",'Dept. Cost Actuals'!BG$181:BG$350)))</f>
        <v>300</v>
      </c>
      <c r="BD21" s="668">
        <f>IF(BD$4="forecast",(400/12)*BD7,(SUMIF('Dept. Cost Actuals'!$E$7:$E$176,"*Employee*",'Dept. Cost Actuals'!BH$181:BH$350)))</f>
        <v>300</v>
      </c>
      <c r="BE21" s="668">
        <f>IF(BE$4="forecast",(400/12)*BE7,(SUMIF('Dept. Cost Actuals'!$E$7:$E$176,"*Employee*",'Dept. Cost Actuals'!BI$181:BI$350)))</f>
        <v>300</v>
      </c>
      <c r="BF21" s="668">
        <f>IF(BF$4="forecast",(400/12)*BF7,(SUMIF('Dept. Cost Actuals'!$E$7:$E$176,"*Employee*",'Dept. Cost Actuals'!BJ$181:BJ$350)))</f>
        <v>300</v>
      </c>
      <c r="BG21" s="668">
        <f>IF(BG$4="forecast",(400/12)*BG7,(SUMIF('Dept. Cost Actuals'!$E$7:$E$176,"*Employee*",'Dept. Cost Actuals'!BK$181:BK$350)))</f>
        <v>300</v>
      </c>
      <c r="BH21" s="668">
        <f>IF(BH$4="forecast",(400/12)*BH7,(SUMIF('Dept. Cost Actuals'!$E$7:$E$176,"*Employee*",'Dept. Cost Actuals'!BL$181:BL$350)))</f>
        <v>300</v>
      </c>
      <c r="BI21" s="668">
        <f>IF(BI$4="forecast",(400/12)*BI7,(SUMIF('Dept. Cost Actuals'!$E$7:$E$176,"*Employee*",'Dept. Cost Actuals'!BM$181:BM$350)))</f>
        <v>300</v>
      </c>
      <c r="BJ21" s="668">
        <f>IF(BJ$4="forecast",(400/12)*BJ7,(SUMIF('Dept. Cost Actuals'!$E$7:$E$176,"*Employee*",'Dept. Cost Actuals'!BN$181:BN$350)))</f>
        <v>300</v>
      </c>
      <c r="BK21" s="668">
        <f>IF(BK$4="forecast",(400/12)*BK7,(SUMIF('Dept. Cost Actuals'!$E$7:$E$176,"*Employee*",'Dept. Cost Actuals'!BO$181:BO$350)))</f>
        <v>300</v>
      </c>
      <c r="BL21" s="668">
        <f>IF(BL$4="forecast",(400/12)*BL7,(SUMIF('Dept. Cost Actuals'!$E$7:$E$176,"*Employee*",'Dept. Cost Actuals'!BP$181:BP$350)))</f>
        <v>300</v>
      </c>
      <c r="BM21" s="668">
        <f>IF(BM$4="forecast",(400/12)*BM7,(SUMIF('Dept. Cost Actuals'!$E$7:$E$176,"*Employee*",'Dept. Cost Actuals'!BQ$181:BQ$350)))</f>
        <v>300</v>
      </c>
      <c r="BN21" s="668">
        <f>IF(BN$4="forecast",(400/12)*BN7,(SUMIF('Dept. Cost Actuals'!$E$7:$E$176,"*Employee*",'Dept. Cost Actuals'!BR$181:BR$350)))</f>
        <v>300</v>
      </c>
      <c r="BO21" s="668">
        <f>IF(BO$4="forecast",(400/12)*BO7,(SUMIF('Dept. Cost Actuals'!$E$7:$E$176,"*Employee*",'Dept. Cost Actuals'!BS$181:BS$350)))</f>
        <v>300</v>
      </c>
      <c r="BP21" s="668">
        <f>IF(BP$4="forecast",(400/12)*BP7,(SUMIF('Dept. Cost Actuals'!$E$7:$E$176,"*Employee*",'Dept. Cost Actuals'!BT$181:BT$350)))</f>
        <v>300</v>
      </c>
      <c r="BQ21" s="668">
        <f>IF(BQ$4="forecast",(400/12)*BQ7,(SUMIF('Dept. Cost Actuals'!$E$7:$E$176,"*Employee*",'Dept. Cost Actuals'!BU$181:BU$350)))</f>
        <v>300</v>
      </c>
      <c r="BR21" s="668">
        <f>IF(BR$4="forecast",(400/12)*BR7,(SUMIF('Dept. Cost Actuals'!$E$7:$E$176,"*Employee*",'Dept. Cost Actuals'!BV$181:BV$350)))</f>
        <v>300</v>
      </c>
      <c r="BS21" s="668">
        <f>IF(BS$4="forecast",(400/12)*BS7,(SUMIF('Dept. Cost Actuals'!$E$7:$E$176,"*Employee*",'Dept. Cost Actuals'!BW$181:BW$350)))</f>
        <v>300</v>
      </c>
      <c r="BT21" s="668">
        <f>IF(BT$4="forecast",(400/12)*BT7,(SUMIF('Dept. Cost Actuals'!$E$7:$E$176,"*Employee*",'Dept. Cost Actuals'!BX$181:BX$350)))</f>
        <v>300</v>
      </c>
      <c r="BU21" s="668">
        <f>IF(BU$4="forecast",(400/12)*BU7,(SUMIF('Dept. Cost Actuals'!$E$7:$E$176,"*Employee*",'Dept. Cost Actuals'!BY$181:BY$350)))</f>
        <v>300</v>
      </c>
      <c r="BV21" s="790">
        <f>IF(BV$4="forecast",(400/12)*BV7,(SUMIF('Dept. Cost Actuals'!$E$7:$E$176,"*Employee*",'Dept. Cost Actuals'!BZ$181:BZ$350)))</f>
        <v>300</v>
      </c>
    </row>
    <row r="22" spans="2:74" x14ac:dyDescent="0.25">
      <c r="B22" s="794" t="s">
        <v>934</v>
      </c>
      <c r="C22" s="668">
        <f>IF(C$4="forecast",C$8*'Direct People Department Costs'!$H$8,SUMIF('Dept. Cost Actuals'!$E$7:$E$176,"*Board*",'Dept. Cost Actuals'!G$181:G$350))</f>
        <v>0</v>
      </c>
      <c r="D22" s="668">
        <f>IF(D$4="forecast",D$8*'Direct People Department Costs'!$H$8,SUMIF('Dept. Cost Actuals'!$E$7:$E$176,"*Board*",'Dept. Cost Actuals'!H$181:H$350))</f>
        <v>0</v>
      </c>
      <c r="E22" s="668">
        <f>IF(E$4="forecast",E$8*'Direct People Department Costs'!$H$8,SUMIF('Dept. Cost Actuals'!$E$7:$E$176,"*Board*",'Dept. Cost Actuals'!I$181:I$350))</f>
        <v>0</v>
      </c>
      <c r="F22" s="668">
        <f>IF(F$4="forecast",F$8*'Direct People Department Costs'!$H$8,SUMIF('Dept. Cost Actuals'!$E$7:$E$176,"*Board*",'Dept. Cost Actuals'!J$181:J$350))</f>
        <v>0</v>
      </c>
      <c r="G22" s="668">
        <f>IF(G$4="forecast",G$8*'Direct People Department Costs'!$H$8,SUMIF('Dept. Cost Actuals'!$E$7:$E$176,"*Board*",'Dept. Cost Actuals'!K$181:K$350))</f>
        <v>0</v>
      </c>
      <c r="H22" s="668">
        <f>IF(H$4="forecast",H$8*'Direct People Department Costs'!$H$8,SUMIF('Dept. Cost Actuals'!$E$7:$E$176,"*Board*",'Dept. Cost Actuals'!L$181:L$350))</f>
        <v>0</v>
      </c>
      <c r="I22" s="668">
        <f>IF(I$4="forecast",I$8*'Direct People Department Costs'!$H$8,SUMIF('Dept. Cost Actuals'!$E$7:$E$176,"*Board*",'Dept. Cost Actuals'!M$181:M$350))</f>
        <v>0</v>
      </c>
      <c r="J22" s="668">
        <f>IF(J$4="forecast",J$8*'Direct People Department Costs'!$H$8,SUMIF('Dept. Cost Actuals'!$E$7:$E$176,"*Board*",'Dept. Cost Actuals'!N$181:N$350))</f>
        <v>0</v>
      </c>
      <c r="K22" s="668">
        <f>IF(K$4="forecast",K$8*'Direct People Department Costs'!$H$8,SUMIF('Dept. Cost Actuals'!$E$7:$E$176,"*Board*",'Dept. Cost Actuals'!O$181:O$350))</f>
        <v>0</v>
      </c>
      <c r="L22" s="668">
        <f>IF(L$4="forecast",L$8*'Direct People Department Costs'!$H$8,SUMIF('Dept. Cost Actuals'!$E$7:$E$176,"*Board*",'Dept. Cost Actuals'!P$181:P$350))</f>
        <v>0</v>
      </c>
      <c r="M22" s="668">
        <f>IF(M$4="forecast",M$8*'Direct People Department Costs'!$H$8,SUMIF('Dept. Cost Actuals'!$E$7:$E$176,"*Board*",'Dept. Cost Actuals'!Q$181:Q$350))</f>
        <v>0</v>
      </c>
      <c r="N22" s="668">
        <f>IF(N$4="forecast",N$8*'Direct People Department Costs'!$H$8,SUMIF('Dept. Cost Actuals'!$E$7:$E$176,"*Board*",'Dept. Cost Actuals'!R$181:R$350))</f>
        <v>0</v>
      </c>
      <c r="O22" s="668">
        <f>IF(O$4="forecast",O$8*'Direct People Department Costs'!$H$8,SUMIF('Dept. Cost Actuals'!$E$7:$E$176,"*Board*",'Dept. Cost Actuals'!S$181:S$350))</f>
        <v>0</v>
      </c>
      <c r="P22" s="668">
        <f>IF(P$4="forecast",P$8*'Direct People Department Costs'!$H$8,SUMIF('Dept. Cost Actuals'!$E$7:$E$176,"*Board*",'Dept. Cost Actuals'!T$181:T$350))</f>
        <v>656.97</v>
      </c>
      <c r="Q22" s="668">
        <f>IF(Q$4="forecast",Q$8*'Direct People Department Costs'!$H$8,SUMIF('Dept. Cost Actuals'!$E$7:$E$176,"*Board*",'Dept. Cost Actuals'!U$181:U$350))</f>
        <v>345</v>
      </c>
      <c r="R22" s="668">
        <f>IF(R$4="forecast",R$8*'Direct People Department Costs'!$H$8,SUMIF('Dept. Cost Actuals'!$E$7:$E$176,"*Board*",'Dept. Cost Actuals'!V$181:V$350))</f>
        <v>448.25</v>
      </c>
      <c r="S22" s="668">
        <f>IF(S$4="forecast",S$8*'Direct People Department Costs'!$H$8,SUMIF('Dept. Cost Actuals'!$E$7:$E$176,"*Board*",'Dept. Cost Actuals'!W$181:W$350))</f>
        <v>0</v>
      </c>
      <c r="T22" s="668">
        <f>IF(T$4="forecast",T$8*'Direct People Department Costs'!$H$8,SUMIF('Dept. Cost Actuals'!$E$7:$E$176,"*Board*",'Dept. Cost Actuals'!X$181:X$350))</f>
        <v>0</v>
      </c>
      <c r="U22" s="668">
        <f>IF(U$4="forecast",U$8*'Direct People Department Costs'!$H$8,SUMIF('Dept. Cost Actuals'!$E$7:$E$176,"*Board*",'Dept. Cost Actuals'!Y$181:Y$350))</f>
        <v>0</v>
      </c>
      <c r="V22" s="668">
        <f>IF(V$4="forecast",V$8*'Direct People Department Costs'!$H$8,SUMIF('Dept. Cost Actuals'!$E$7:$E$176,"*Board*",'Dept. Cost Actuals'!Z$181:Z$350))</f>
        <v>615.73</v>
      </c>
      <c r="W22" s="668">
        <f>IF(W$4="forecast",W$8*'Direct People Department Costs'!$H$8,SUMIF('Dept. Cost Actuals'!$E$7:$E$176,"*Board*",'Dept. Cost Actuals'!AA$181:AA$350))</f>
        <v>89</v>
      </c>
      <c r="X22" s="668">
        <f>IF(X$4="forecast",X$8*'Direct People Department Costs'!$H$8,SUMIF('Dept. Cost Actuals'!$E$7:$E$176,"*Board*",'Dept. Cost Actuals'!AB$181:AB$350))</f>
        <v>1747.06</v>
      </c>
      <c r="Y22" s="668">
        <f>IF(Y$4="forecast",Y$8*'Direct People Department Costs'!$H$8,SUMIF('Dept. Cost Actuals'!$E$7:$E$176,"*Board*",'Dept. Cost Actuals'!AC$181:AC$350))</f>
        <v>164.99</v>
      </c>
      <c r="Z22" s="668">
        <f>IF(Z$4="forecast",Z$8*'Direct People Department Costs'!$H$8,SUMIF('Dept. Cost Actuals'!$E$7:$E$176,"*Board*",'Dept. Cost Actuals'!AD$181:AD$350))</f>
        <v>0</v>
      </c>
      <c r="AA22" s="668">
        <f>IF(AA$4="forecast",AA$8*'Direct People Department Costs'!$H$8,SUMIF('Dept. Cost Actuals'!$E$7:$E$176,"*Board*",'Dept. Cost Actuals'!AE$181:AE$350))</f>
        <v>720.03</v>
      </c>
      <c r="AB22" s="668">
        <f>IF(AB$4="forecast",AB$8*'Direct People Department Costs'!$H$8,SUMIF('Dept. Cost Actuals'!$E$7:$E$176,"*Board*",'Dept. Cost Actuals'!AF$181:AF$350))</f>
        <v>0</v>
      </c>
      <c r="AC22" s="668">
        <f>IF(AC$4="forecast",AC$8*'Direct People Department Costs'!$H$8,SUMIF('Dept. Cost Actuals'!$E$7:$E$176,"*Board*",'Dept. Cost Actuals'!AG$181:AG$350))</f>
        <v>1029.74</v>
      </c>
      <c r="AD22" s="668">
        <f>IF(AD$4="forecast",AD$8*'Direct People Department Costs'!$H$8,SUMIF('Dept. Cost Actuals'!$E$7:$E$176,"*Board*",'Dept. Cost Actuals'!AH$181:AH$350))</f>
        <v>3600</v>
      </c>
      <c r="AE22" s="668">
        <f>IF(AE$4="forecast",AE$8*'Direct People Department Costs'!$H$8,SUMIF('Dept. Cost Actuals'!$E$7:$E$176,"*Board*",'Dept. Cost Actuals'!AI$181:AI$350))</f>
        <v>0</v>
      </c>
      <c r="AF22" s="668">
        <f>IF(AF$4="forecast",AF$8*'Direct People Department Costs'!$H$8,SUMIF('Dept. Cost Actuals'!$E$7:$E$176,"*Board*",'Dept. Cost Actuals'!AJ$181:AJ$350))</f>
        <v>7200</v>
      </c>
      <c r="AG22" s="668">
        <f>IF(AG$4="forecast",AG$8*'Direct People Department Costs'!$H$8,SUMIF('Dept. Cost Actuals'!$E$7:$E$176,"*Board*",'Dept. Cost Actuals'!AK$181:AK$350))</f>
        <v>0</v>
      </c>
      <c r="AH22" s="668">
        <f>IF(AH$4="forecast",AH$8*'Direct People Department Costs'!$H$8,SUMIF('Dept. Cost Actuals'!$E$7:$E$176,"*Board*",'Dept. Cost Actuals'!AL$181:AL$350))</f>
        <v>0</v>
      </c>
      <c r="AI22" s="668">
        <f>IF(AI$4="forecast",AI$8*'Direct People Department Costs'!$H$8,SUMIF('Dept. Cost Actuals'!$E$7:$E$176,"*Board*",'Dept. Cost Actuals'!AM$181:AM$350))</f>
        <v>0</v>
      </c>
      <c r="AJ22" s="668">
        <f>IF(AJ$4="forecast",AJ$8*'Direct People Department Costs'!$H$8,SUMIF('Dept. Cost Actuals'!$E$7:$E$176,"*Board*",'Dept. Cost Actuals'!AN$181:AN$350))</f>
        <v>0</v>
      </c>
      <c r="AK22" s="668">
        <f>IF(AK$4="forecast",AK$8*'Direct People Department Costs'!$H$8,SUMIF('Dept. Cost Actuals'!$E$7:$E$176,"*Board*",'Dept. Cost Actuals'!AO$181:AO$350))</f>
        <v>0</v>
      </c>
      <c r="AL22" s="668">
        <f>IF(AL$4="forecast",AL$8*'Direct People Department Costs'!$H$8,SUMIF('Dept. Cost Actuals'!$E$7:$E$176,"*Board*",'Dept. Cost Actuals'!AP$181:AP$350))</f>
        <v>0</v>
      </c>
      <c r="AM22" s="668">
        <f>IF(AM$4="forecast",AM$8*'Direct People Department Costs'!$H$8,SUMIF('Dept. Cost Actuals'!$E$7:$E$176,"*Board*",'Dept. Cost Actuals'!AQ$181:AQ$350))</f>
        <v>0</v>
      </c>
      <c r="AN22" s="668">
        <f>IF(AN$4="forecast",AN$8*'Direct People Department Costs'!$H$8,SUMIF('Dept. Cost Actuals'!$E$7:$E$176,"*Board*",'Dept. Cost Actuals'!AR$181:AR$350))</f>
        <v>0</v>
      </c>
      <c r="AO22" s="668">
        <f>IF(AO$4="forecast",AO$8*'Direct People Department Costs'!$H$8,SUMIF('Dept. Cost Actuals'!$E$7:$E$176,"*Board*",'Dept. Cost Actuals'!AS$181:AS$350))</f>
        <v>0</v>
      </c>
      <c r="AP22" s="668">
        <f>IF(AP$4="forecast",AP$8*'Direct People Department Costs'!$H$8,SUMIF('Dept. Cost Actuals'!$E$7:$E$176,"*Board*",'Dept. Cost Actuals'!AT$181:AT$350))</f>
        <v>0</v>
      </c>
      <c r="AQ22" s="668">
        <f>IF(AQ$4="forecast",AQ$8*'Direct People Department Costs'!$H$8,SUMIF('Dept. Cost Actuals'!$E$7:$E$176,"*Board*",'Dept. Cost Actuals'!AU$181:AU$350))</f>
        <v>0</v>
      </c>
      <c r="AR22" s="668">
        <f>IF(AR$4="forecast",AR$8*'Direct People Department Costs'!$H$8,SUMIF('Dept. Cost Actuals'!$E$7:$E$176,"*Board*",'Dept. Cost Actuals'!AV$181:AV$350))</f>
        <v>0</v>
      </c>
      <c r="AS22" s="668">
        <f>IF(AS$4="forecast",AS$8*'Direct People Department Costs'!$H$8,SUMIF('Dept. Cost Actuals'!$E$7:$E$176,"*Board*",'Dept. Cost Actuals'!AW$181:AW$350))</f>
        <v>0</v>
      </c>
      <c r="AT22" s="668">
        <f>IF(AT$4="forecast",AT$8*'Direct People Department Costs'!$H$8,SUMIF('Dept. Cost Actuals'!$E$7:$E$176,"*Board*",'Dept. Cost Actuals'!AX$181:AX$350))</f>
        <v>0</v>
      </c>
      <c r="AU22" s="668">
        <f>IF(AU$4="forecast",AU$8*'Direct People Department Costs'!$H$8,SUMIF('Dept. Cost Actuals'!$E$7:$E$176,"*Board*",'Dept. Cost Actuals'!AY$181:AY$350))</f>
        <v>0</v>
      </c>
      <c r="AV22" s="668">
        <f>IF(AV$4="forecast",AV$8*'Direct People Department Costs'!$H$8,SUMIF('Dept. Cost Actuals'!$E$7:$E$176,"*Board*",'Dept. Cost Actuals'!AZ$181:AZ$350))</f>
        <v>0</v>
      </c>
      <c r="AW22" s="668">
        <f>IF(AW$4="forecast",AW$8*'Direct People Department Costs'!$H$8,SUMIF('Dept. Cost Actuals'!$E$7:$E$176,"*Board*",'Dept. Cost Actuals'!BA$181:BA$350))</f>
        <v>0</v>
      </c>
      <c r="AX22" s="668">
        <f>IF(AX$4="forecast",AX$8*'Direct People Department Costs'!$H$8,SUMIF('Dept. Cost Actuals'!$E$7:$E$176,"*Board*",'Dept. Cost Actuals'!BB$181:BB$350))</f>
        <v>0</v>
      </c>
      <c r="AY22" s="668">
        <f>IF(AY$4="forecast",AY$8*'Direct People Department Costs'!$H$8,SUMIF('Dept. Cost Actuals'!$E$7:$E$176,"*Board*",'Dept. Cost Actuals'!BC$181:BC$350))</f>
        <v>0</v>
      </c>
      <c r="AZ22" s="668">
        <f>IF(AZ$4="forecast",AZ$8*'Direct People Department Costs'!$H$8,SUMIF('Dept. Cost Actuals'!$E$7:$E$176,"*Board*",'Dept. Cost Actuals'!BD$181:BD$350))</f>
        <v>0</v>
      </c>
      <c r="BA22" s="668">
        <f>IF(BA$4="forecast",BA$8*'Direct People Department Costs'!$H$8,SUMIF('Dept. Cost Actuals'!$E$7:$E$176,"*Board*",'Dept. Cost Actuals'!BE$181:BE$350))</f>
        <v>0</v>
      </c>
      <c r="BB22" s="668">
        <f>IF(BB$4="forecast",BB$8*'Direct People Department Costs'!$H$8,SUMIF('Dept. Cost Actuals'!$E$7:$E$176,"*Board*",'Dept. Cost Actuals'!BF$181:BF$350))</f>
        <v>0</v>
      </c>
      <c r="BC22" s="668">
        <f>IF(BC$4="forecast",BC$8*'Direct People Department Costs'!$H$8,SUMIF('Dept. Cost Actuals'!$E$7:$E$176,"*Board*",'Dept. Cost Actuals'!BG$181:BG$350))</f>
        <v>0</v>
      </c>
      <c r="BD22" s="668">
        <f>IF(BD$4="forecast",BD$8*'Direct People Department Costs'!$H$8,SUMIF('Dept. Cost Actuals'!$E$7:$E$176,"*Board*",'Dept. Cost Actuals'!BH$181:BH$350))</f>
        <v>0</v>
      </c>
      <c r="BE22" s="668">
        <f>IF(BE$4="forecast",BE$8*'Direct People Department Costs'!$H$8,SUMIF('Dept. Cost Actuals'!$E$7:$E$176,"*Board*",'Dept. Cost Actuals'!BI$181:BI$350))</f>
        <v>0</v>
      </c>
      <c r="BF22" s="668">
        <f>IF(BF$4="forecast",BF$8*'Direct People Department Costs'!$H$8,SUMIF('Dept. Cost Actuals'!$E$7:$E$176,"*Board*",'Dept. Cost Actuals'!BJ$181:BJ$350))</f>
        <v>0</v>
      </c>
      <c r="BG22" s="668">
        <f>IF(BG$4="forecast",BG$8*'Direct People Department Costs'!$H$8,SUMIF('Dept. Cost Actuals'!$E$7:$E$176,"*Board*",'Dept. Cost Actuals'!BK$181:BK$350))</f>
        <v>0</v>
      </c>
      <c r="BH22" s="668">
        <f>IF(BH$4="forecast",BH$8*'Direct People Department Costs'!$H$8,SUMIF('Dept. Cost Actuals'!$E$7:$E$176,"*Board*",'Dept. Cost Actuals'!BL$181:BL$350))</f>
        <v>0</v>
      </c>
      <c r="BI22" s="668">
        <f>IF(BI$4="forecast",BI$8*'Direct People Department Costs'!$H$8,SUMIF('Dept. Cost Actuals'!$E$7:$E$176,"*Board*",'Dept. Cost Actuals'!BM$181:BM$350))</f>
        <v>0</v>
      </c>
      <c r="BJ22" s="668">
        <f>IF(BJ$4="forecast",BJ$8*'Direct People Department Costs'!$H$8,SUMIF('Dept. Cost Actuals'!$E$7:$E$176,"*Board*",'Dept. Cost Actuals'!BN$181:BN$350))</f>
        <v>0</v>
      </c>
      <c r="BK22" s="668">
        <f>IF(BK$4="forecast",BK$8*'Direct People Department Costs'!$H$8,SUMIF('Dept. Cost Actuals'!$E$7:$E$176,"*Board*",'Dept. Cost Actuals'!BO$181:BO$350))</f>
        <v>0</v>
      </c>
      <c r="BL22" s="668">
        <f>IF(BL$4="forecast",BL$8*'Direct People Department Costs'!$H$8,SUMIF('Dept. Cost Actuals'!$E$7:$E$176,"*Board*",'Dept. Cost Actuals'!BP$181:BP$350))</f>
        <v>0</v>
      </c>
      <c r="BM22" s="668">
        <f>IF(BM$4="forecast",BM$8*'Direct People Department Costs'!$H$8,SUMIF('Dept. Cost Actuals'!$E$7:$E$176,"*Board*",'Dept. Cost Actuals'!BQ$181:BQ$350))</f>
        <v>0</v>
      </c>
      <c r="BN22" s="668">
        <f>IF(BN$4="forecast",BN$8*'Direct People Department Costs'!$H$8,SUMIF('Dept. Cost Actuals'!$E$7:$E$176,"*Board*",'Dept. Cost Actuals'!BR$181:BR$350))</f>
        <v>0</v>
      </c>
      <c r="BO22" s="668">
        <f>IF(BO$4="forecast",BO$8*'Direct People Department Costs'!$H$8,SUMIF('Dept. Cost Actuals'!$E$7:$E$176,"*Board*",'Dept. Cost Actuals'!BS$181:BS$350))</f>
        <v>0</v>
      </c>
      <c r="BP22" s="668">
        <f>IF(BP$4="forecast",BP$8*'Direct People Department Costs'!$H$8,SUMIF('Dept. Cost Actuals'!$E$7:$E$176,"*Board*",'Dept. Cost Actuals'!BT$181:BT$350))</f>
        <v>0</v>
      </c>
      <c r="BQ22" s="668">
        <f>IF(BQ$4="forecast",BQ$8*'Direct People Department Costs'!$H$8,SUMIF('Dept. Cost Actuals'!$E$7:$E$176,"*Board*",'Dept. Cost Actuals'!BU$181:BU$350))</f>
        <v>0</v>
      </c>
      <c r="BR22" s="668">
        <f>IF(BR$4="forecast",BR$8*'Direct People Department Costs'!$H$8,SUMIF('Dept. Cost Actuals'!$E$7:$E$176,"*Board*",'Dept. Cost Actuals'!BV$181:BV$350))</f>
        <v>0</v>
      </c>
      <c r="BS22" s="668">
        <f>IF(BS$4="forecast",BS$8*'Direct People Department Costs'!$H$8,SUMIF('Dept. Cost Actuals'!$E$7:$E$176,"*Board*",'Dept. Cost Actuals'!BW$181:BW$350))</f>
        <v>0</v>
      </c>
      <c r="BT22" s="668">
        <f>IF(BT$4="forecast",BT$8*'Direct People Department Costs'!$H$8,SUMIF('Dept. Cost Actuals'!$E$7:$E$176,"*Board*",'Dept. Cost Actuals'!BX$181:BX$350))</f>
        <v>0</v>
      </c>
      <c r="BU22" s="668">
        <f>IF(BU$4="forecast",BU$8*'Direct People Department Costs'!$H$8,SUMIF('Dept. Cost Actuals'!$E$7:$E$176,"*Board*",'Dept. Cost Actuals'!BY$181:BY$350))</f>
        <v>0</v>
      </c>
      <c r="BV22" s="668">
        <f>IF(BV$4="forecast",BV$8*'Direct People Department Costs'!$H$8,SUMIF('Dept. Cost Actuals'!$E$7:$E$176,"*Board*",'Dept. Cost Actuals'!BZ$181:BZ$350))</f>
        <v>0</v>
      </c>
    </row>
    <row r="23" spans="2:74" x14ac:dyDescent="0.25">
      <c r="B23" s="794" t="s">
        <v>918</v>
      </c>
      <c r="C23" s="668">
        <f>IF(C$4="forecast",C$8*'Direct People Department Costs'!$H$9,SUMIF('Dept. Cost Actuals'!$E$7:$E$176,"*Recruiting*",'Dept. Cost Actuals'!G$181:G$350))</f>
        <v>190.18409366099317</v>
      </c>
      <c r="D23" s="668">
        <f>IF(D$4="forecast",D$8*'Direct People Department Costs'!$H$9,SUMIF('Dept. Cost Actuals'!$E$7:$E$176,"*Recruiting*",'Dept. Cost Actuals'!H$181:H$350))</f>
        <v>27.977643971180427</v>
      </c>
      <c r="E23" s="668">
        <f>IF(E$4="forecast",E$8*'Direct People Department Costs'!$H$9,SUMIF('Dept. Cost Actuals'!$E$7:$E$176,"*Recruiting*",'Dept. Cost Actuals'!I$181:I$350))</f>
        <v>20.176539481149078</v>
      </c>
      <c r="F23" s="668">
        <f>IF(F$4="forecast",F$8*'Direct People Department Costs'!$H$9,SUMIF('Dept. Cost Actuals'!$E$7:$E$176,"*Recruiting*",'Dept. Cost Actuals'!J$181:J$350))</f>
        <v>2112.3686346328245</v>
      </c>
      <c r="G23" s="668">
        <f>IF(G$4="forecast",G$8*'Direct People Department Costs'!$H$9,SUMIF('Dept. Cost Actuals'!$E$7:$E$176,"*Recruiting*",'Dept. Cost Actuals'!K$181:K$350))</f>
        <v>108.15812680777593</v>
      </c>
      <c r="H23" s="668">
        <f>IF(H$4="forecast",H$8*'Direct People Department Costs'!$H$9,SUMIF('Dept. Cost Actuals'!$E$7:$E$176,"*Recruiting*",'Dept. Cost Actuals'!L$181:L$350))</f>
        <v>1171.4825727620744</v>
      </c>
      <c r="I23" s="668">
        <f>IF(I$4="forecast",I$8*'Direct People Department Costs'!$H$9,SUMIF('Dept. Cost Actuals'!$E$7:$E$176,"*Recruiting*",'Dept. Cost Actuals'!M$181:M$350))</f>
        <v>777.7291760997191</v>
      </c>
      <c r="J23" s="668">
        <f>IF(J$4="forecast",J$8*'Direct People Department Costs'!$H$9,SUMIF('Dept. Cost Actuals'!$E$7:$E$176,"*Recruiting*",'Dept. Cost Actuals'!N$181:N$350))</f>
        <v>1177.9349916640031</v>
      </c>
      <c r="K23" s="668">
        <f>IF(K$4="forecast",K$8*'Direct People Department Costs'!$H$9,SUMIF('Dept. Cost Actuals'!$E$7:$E$176,"*Recruiting*",'Dept. Cost Actuals'!O$181:O$350))</f>
        <v>5.6453311860810507</v>
      </c>
      <c r="L23" s="668">
        <f>IF(L$4="forecast",L$8*'Direct People Department Costs'!$H$9,SUMIF('Dept. Cost Actuals'!$E$7:$E$176,"*Recruiting*",'Dept. Cost Actuals'!P$181:P$350))</f>
        <v>491.51556939232478</v>
      </c>
      <c r="M23" s="668">
        <f>IF(M$4="forecast",M$8*'Direct People Department Costs'!$H$9,SUMIF('Dept. Cost Actuals'!$E$7:$E$176,"*Recruiting*",'Dept. Cost Actuals'!Q$181:Q$350))</f>
        <v>0</v>
      </c>
      <c r="N23" s="668">
        <f>IF(N$4="forecast",N$8*'Direct People Department Costs'!$H$9,SUMIF('Dept. Cost Actuals'!$E$7:$E$176,"*Recruiting*",'Dept. Cost Actuals'!R$181:R$350))</f>
        <v>0</v>
      </c>
      <c r="O23" s="668">
        <f>IF(O$4="forecast",O$8*'Direct People Department Costs'!$H$9,SUMIF('Dept. Cost Actuals'!$E$7:$E$176,"*Recruiting*",'Dept. Cost Actuals'!S$181:S$350))</f>
        <v>0</v>
      </c>
      <c r="P23" s="668">
        <f>IF(P$4="forecast",P$8*'Direct People Department Costs'!$H$9,SUMIF('Dept. Cost Actuals'!$E$7:$E$176,"*Recruiting*",'Dept. Cost Actuals'!T$181:T$350))</f>
        <v>0</v>
      </c>
      <c r="Q23" s="668">
        <f>IF(Q$4="forecast",Q$8*'Direct People Department Costs'!$H$9,SUMIF('Dept. Cost Actuals'!$E$7:$E$176,"*Recruiting*",'Dept. Cost Actuals'!U$181:U$350))</f>
        <v>0</v>
      </c>
      <c r="R23" s="668">
        <f>IF(R$4="forecast",R$8*'Direct People Department Costs'!$H$9,SUMIF('Dept. Cost Actuals'!$E$7:$E$176,"*Recruiting*",'Dept. Cost Actuals'!V$181:V$350))</f>
        <v>0</v>
      </c>
      <c r="S23" s="668">
        <f>IF(S$4="forecast",S$8*'Direct People Department Costs'!$H$9,SUMIF('Dept. Cost Actuals'!$E$7:$E$176,"*Recruiting*",'Dept. Cost Actuals'!W$181:W$350))</f>
        <v>1500</v>
      </c>
      <c r="T23" s="668">
        <f>IF(T$4="forecast",T$8*'Direct People Department Costs'!$H$9,SUMIF('Dept. Cost Actuals'!$E$7:$E$176,"*Recruiting*",'Dept. Cost Actuals'!X$181:X$350))</f>
        <v>1000</v>
      </c>
      <c r="U23" s="668">
        <f>IF(U$4="forecast",U$8*'Direct People Department Costs'!$H$9,SUMIF('Dept. Cost Actuals'!$E$7:$E$176,"*Recruiting*",'Dept. Cost Actuals'!Y$181:Y$350))</f>
        <v>0</v>
      </c>
      <c r="V23" s="668">
        <f>IF(V$4="forecast",V$8*'Direct People Department Costs'!$H$9,SUMIF('Dept. Cost Actuals'!$E$7:$E$176,"*Recruiting*",'Dept. Cost Actuals'!Z$181:Z$350))</f>
        <v>25</v>
      </c>
      <c r="W23" s="668">
        <f>IF(W$4="forecast",W$8*'Direct People Department Costs'!$H$9,SUMIF('Dept. Cost Actuals'!$E$7:$E$176,"*Recruiting*",'Dept. Cost Actuals'!AA$181:AA$350))</f>
        <v>1100</v>
      </c>
      <c r="X23" s="668">
        <f>IF(X$4="forecast",X$8*'Direct People Department Costs'!$H$9,SUMIF('Dept. Cost Actuals'!$E$7:$E$176,"*Recruiting*",'Dept. Cost Actuals'!AB$181:AB$350))</f>
        <v>0</v>
      </c>
      <c r="Y23" s="668">
        <f>IF(Y$4="forecast",Y$8*'Direct People Department Costs'!$H$9,SUMIF('Dept. Cost Actuals'!$E$7:$E$176,"*Recruiting*",'Dept. Cost Actuals'!AC$181:AC$350))</f>
        <v>0</v>
      </c>
      <c r="Z23" s="668">
        <f>IF(Z$4="forecast",Z$8*'Direct People Department Costs'!$H$9,SUMIF('Dept. Cost Actuals'!$E$7:$E$176,"*Recruiting*",'Dept. Cost Actuals'!AD$181:AD$350))</f>
        <v>1059</v>
      </c>
      <c r="AA23" s="668">
        <f>IF(AA$4="forecast",AA$8*'Direct People Department Costs'!$H$9,SUMIF('Dept. Cost Actuals'!$E$7:$E$176,"*Recruiting*",'Dept. Cost Actuals'!AE$181:AE$350))</f>
        <v>59</v>
      </c>
      <c r="AB23" s="668">
        <f>IF(AB$4="forecast",AB$8*'Direct People Department Costs'!$H$9,SUMIF('Dept. Cost Actuals'!$E$7:$E$176,"*Recruiting*",'Dept. Cost Actuals'!AF$181:AF$350))</f>
        <v>0</v>
      </c>
      <c r="AC23" s="668">
        <f>IF(AC$4="forecast",AC$8*'Direct People Department Costs'!$H$9,SUMIF('Dept. Cost Actuals'!$E$7:$E$176,"*Recruiting*",'Dept. Cost Actuals'!AG$181:AG$350))</f>
        <v>569</v>
      </c>
      <c r="AD23" s="668">
        <f>IF(AD$4="forecast",AD$8*'Direct People Department Costs'!$H$9,SUMIF('Dept. Cost Actuals'!$E$7:$E$176,"*Recruiting*",'Dept. Cost Actuals'!AH$181:AH$350))</f>
        <v>1000</v>
      </c>
      <c r="AE23" s="668">
        <f>IF(AE$4="forecast",AE$8*'Direct People Department Costs'!$H$9,SUMIF('Dept. Cost Actuals'!$E$7:$E$176,"*Recruiting*",'Dept. Cost Actuals'!AI$181:AI$350))</f>
        <v>0</v>
      </c>
      <c r="AF23" s="668">
        <f>IF(AF$4="forecast",AF$8*'Direct People Department Costs'!$H$9,SUMIF('Dept. Cost Actuals'!$E$7:$E$176,"*Recruiting*",'Dept. Cost Actuals'!AJ$181:AJ$350))</f>
        <v>2000</v>
      </c>
      <c r="AG23" s="668">
        <f>IF(AG$4="forecast",AG$8*'Direct People Department Costs'!$H$9,SUMIF('Dept. Cost Actuals'!$E$7:$E$176,"*Recruiting*",'Dept. Cost Actuals'!AK$181:AK$350))</f>
        <v>0</v>
      </c>
      <c r="AH23" s="668">
        <f>IF(AH$4="forecast",AH$8*'Direct People Department Costs'!$H$9,SUMIF('Dept. Cost Actuals'!$E$7:$E$176,"*Recruiting*",'Dept. Cost Actuals'!AL$181:AL$350))</f>
        <v>0</v>
      </c>
      <c r="AI23" s="668">
        <f>IF(AI$4="forecast",AI$8*'Direct People Department Costs'!$H$9,SUMIF('Dept. Cost Actuals'!$E$7:$E$176,"*Recruiting*",'Dept. Cost Actuals'!AM$181:AM$350))</f>
        <v>0</v>
      </c>
      <c r="AJ23" s="668">
        <f>IF(AJ$4="forecast",AJ$8*'Direct People Department Costs'!$H$9,SUMIF('Dept. Cost Actuals'!$E$7:$E$176,"*Recruiting*",'Dept. Cost Actuals'!AN$181:AN$350))</f>
        <v>0</v>
      </c>
      <c r="AK23" s="668">
        <f>IF(AK$4="forecast",AK$8*'Direct People Department Costs'!$H$9,SUMIF('Dept. Cost Actuals'!$E$7:$E$176,"*Recruiting*",'Dept. Cost Actuals'!AO$181:AO$350))</f>
        <v>0</v>
      </c>
      <c r="AL23" s="668">
        <f>IF(AL$4="forecast",AL$8*'Direct People Department Costs'!$H$9,SUMIF('Dept. Cost Actuals'!$E$7:$E$176,"*Recruiting*",'Dept. Cost Actuals'!AP$181:AP$350))</f>
        <v>0</v>
      </c>
      <c r="AM23" s="668">
        <f>IF(AM$4="forecast",AM$8*'Direct People Department Costs'!$H$9,SUMIF('Dept. Cost Actuals'!$E$7:$E$176,"*Recruiting*",'Dept. Cost Actuals'!AQ$181:AQ$350))</f>
        <v>0</v>
      </c>
      <c r="AN23" s="668">
        <f>IF(AN$4="forecast",AN$8*'Direct People Department Costs'!$H$9,SUMIF('Dept. Cost Actuals'!$E$7:$E$176,"*Recruiting*",'Dept. Cost Actuals'!AR$181:AR$350))</f>
        <v>0</v>
      </c>
      <c r="AO23" s="668">
        <f>IF(AO$4="forecast",AO$8*'Direct People Department Costs'!$H$9,SUMIF('Dept. Cost Actuals'!$E$7:$E$176,"*Recruiting*",'Dept. Cost Actuals'!AS$181:AS$350))</f>
        <v>0</v>
      </c>
      <c r="AP23" s="668">
        <f>IF(AP$4="forecast",AP$8*'Direct People Department Costs'!$H$9,SUMIF('Dept. Cost Actuals'!$E$7:$E$176,"*Recruiting*",'Dept. Cost Actuals'!AT$181:AT$350))</f>
        <v>0</v>
      </c>
      <c r="AQ23" s="668">
        <f>IF(AQ$4="forecast",AQ$8*'Direct People Department Costs'!$H$9,SUMIF('Dept. Cost Actuals'!$E$7:$E$176,"*Recruiting*",'Dept. Cost Actuals'!AU$181:AU$350))</f>
        <v>0</v>
      </c>
      <c r="AR23" s="668">
        <f>IF(AR$4="forecast",AR$8*'Direct People Department Costs'!$H$9,SUMIF('Dept. Cost Actuals'!$E$7:$E$176,"*Recruiting*",'Dept. Cost Actuals'!AV$181:AV$350))</f>
        <v>0</v>
      </c>
      <c r="AS23" s="668">
        <f>IF(AS$4="forecast",AS$8*'Direct People Department Costs'!$H$9,SUMIF('Dept. Cost Actuals'!$E$7:$E$176,"*Recruiting*",'Dept. Cost Actuals'!AW$181:AW$350))</f>
        <v>0</v>
      </c>
      <c r="AT23" s="668">
        <f>IF(AT$4="forecast",AT$8*'Direct People Department Costs'!$H$9,SUMIF('Dept. Cost Actuals'!$E$7:$E$176,"*Recruiting*",'Dept. Cost Actuals'!AX$181:AX$350))</f>
        <v>0</v>
      </c>
      <c r="AU23" s="668">
        <f>IF(AU$4="forecast",AU$8*'Direct People Department Costs'!$H$9,SUMIF('Dept. Cost Actuals'!$E$7:$E$176,"*Recruiting*",'Dept. Cost Actuals'!AY$181:AY$350))</f>
        <v>0</v>
      </c>
      <c r="AV23" s="668">
        <f>IF(AV$4="forecast",AV$8*'Direct People Department Costs'!$H$9,SUMIF('Dept. Cost Actuals'!$E$7:$E$176,"*Recruiting*",'Dept. Cost Actuals'!AZ$181:AZ$350))</f>
        <v>0</v>
      </c>
      <c r="AW23" s="668">
        <f>IF(AW$4="forecast",AW$8*'Direct People Department Costs'!$H$9,SUMIF('Dept. Cost Actuals'!$E$7:$E$176,"*Recruiting*",'Dept. Cost Actuals'!BA$181:BA$350))</f>
        <v>0</v>
      </c>
      <c r="AX23" s="668">
        <f>IF(AX$4="forecast",AX$8*'Direct People Department Costs'!$H$9,SUMIF('Dept. Cost Actuals'!$E$7:$E$176,"*Recruiting*",'Dept. Cost Actuals'!BB$181:BB$350))</f>
        <v>0</v>
      </c>
      <c r="AY23" s="668">
        <f>IF(AY$4="forecast",AY$8*'Direct People Department Costs'!$H$9,SUMIF('Dept. Cost Actuals'!$E$7:$E$176,"*Recruiting*",'Dept. Cost Actuals'!BC$181:BC$350))</f>
        <v>0</v>
      </c>
      <c r="AZ23" s="668">
        <f>IF(AZ$4="forecast",AZ$8*'Direct People Department Costs'!$H$9,SUMIF('Dept. Cost Actuals'!$E$7:$E$176,"*Recruiting*",'Dept. Cost Actuals'!BD$181:BD$350))</f>
        <v>0</v>
      </c>
      <c r="BA23" s="668">
        <f>IF(BA$4="forecast",BA$8*'Direct People Department Costs'!$H$9,SUMIF('Dept. Cost Actuals'!$E$7:$E$176,"*Recruiting*",'Dept. Cost Actuals'!BE$181:BE$350))</f>
        <v>0</v>
      </c>
      <c r="BB23" s="668">
        <f>IF(BB$4="forecast",BB$8*'Direct People Department Costs'!$H$9,SUMIF('Dept. Cost Actuals'!$E$7:$E$176,"*Recruiting*",'Dept. Cost Actuals'!BF$181:BF$350))</f>
        <v>0</v>
      </c>
      <c r="BC23" s="668">
        <f>IF(BC$4="forecast",BC$8*'Direct People Department Costs'!$H$9,SUMIF('Dept. Cost Actuals'!$E$7:$E$176,"*Recruiting*",'Dept. Cost Actuals'!BG$181:BG$350))</f>
        <v>0</v>
      </c>
      <c r="BD23" s="668">
        <f>IF(BD$4="forecast",BD$8*'Direct People Department Costs'!$H$9,SUMIF('Dept. Cost Actuals'!$E$7:$E$176,"*Recruiting*",'Dept. Cost Actuals'!BH$181:BH$350))</f>
        <v>0</v>
      </c>
      <c r="BE23" s="668">
        <f>IF(BE$4="forecast",BE$8*'Direct People Department Costs'!$H$9,SUMIF('Dept. Cost Actuals'!$E$7:$E$176,"*Recruiting*",'Dept. Cost Actuals'!BI$181:BI$350))</f>
        <v>0</v>
      </c>
      <c r="BF23" s="668">
        <f>IF(BF$4="forecast",BF$8*'Direct People Department Costs'!$H$9,SUMIF('Dept. Cost Actuals'!$E$7:$E$176,"*Recruiting*",'Dept. Cost Actuals'!BJ$181:BJ$350))</f>
        <v>0</v>
      </c>
      <c r="BG23" s="668">
        <f>IF(BG$4="forecast",BG$8*'Direct People Department Costs'!$H$9,SUMIF('Dept. Cost Actuals'!$E$7:$E$176,"*Recruiting*",'Dept. Cost Actuals'!BK$181:BK$350))</f>
        <v>0</v>
      </c>
      <c r="BH23" s="668">
        <f>IF(BH$4="forecast",BH$8*'Direct People Department Costs'!$H$9,SUMIF('Dept. Cost Actuals'!$E$7:$E$176,"*Recruiting*",'Dept. Cost Actuals'!BL$181:BL$350))</f>
        <v>0</v>
      </c>
      <c r="BI23" s="668">
        <f>IF(BI$4="forecast",BI$8*'Direct People Department Costs'!$H$9,SUMIF('Dept. Cost Actuals'!$E$7:$E$176,"*Recruiting*",'Dept. Cost Actuals'!BM$181:BM$350))</f>
        <v>0</v>
      </c>
      <c r="BJ23" s="668">
        <f>IF(BJ$4="forecast",BJ$8*'Direct People Department Costs'!$H$9,SUMIF('Dept. Cost Actuals'!$E$7:$E$176,"*Recruiting*",'Dept. Cost Actuals'!BN$181:BN$350))</f>
        <v>0</v>
      </c>
      <c r="BK23" s="668">
        <f>IF(BK$4="forecast",BK$8*'Direct People Department Costs'!$H$9,SUMIF('Dept. Cost Actuals'!$E$7:$E$176,"*Recruiting*",'Dept. Cost Actuals'!BO$181:BO$350))</f>
        <v>0</v>
      </c>
      <c r="BL23" s="668">
        <f>IF(BL$4="forecast",BL$8*'Direct People Department Costs'!$H$9,SUMIF('Dept. Cost Actuals'!$E$7:$E$176,"*Recruiting*",'Dept. Cost Actuals'!BP$181:BP$350))</f>
        <v>0</v>
      </c>
      <c r="BM23" s="668">
        <f>IF(BM$4="forecast",BM$8*'Direct People Department Costs'!$H$9,SUMIF('Dept. Cost Actuals'!$E$7:$E$176,"*Recruiting*",'Dept. Cost Actuals'!BQ$181:BQ$350))</f>
        <v>0</v>
      </c>
      <c r="BN23" s="668">
        <f>IF(BN$4="forecast",BN$8*'Direct People Department Costs'!$H$9,SUMIF('Dept. Cost Actuals'!$E$7:$E$176,"*Recruiting*",'Dept. Cost Actuals'!BR$181:BR$350))</f>
        <v>0</v>
      </c>
      <c r="BO23" s="668">
        <f>IF(BO$4="forecast",BO$8*'Direct People Department Costs'!$H$9,SUMIF('Dept. Cost Actuals'!$E$7:$E$176,"*Recruiting*",'Dept. Cost Actuals'!BS$181:BS$350))</f>
        <v>0</v>
      </c>
      <c r="BP23" s="668">
        <f>IF(BP$4="forecast",BP$8*'Direct People Department Costs'!$H$9,SUMIF('Dept. Cost Actuals'!$E$7:$E$176,"*Recruiting*",'Dept. Cost Actuals'!BT$181:BT$350))</f>
        <v>0</v>
      </c>
      <c r="BQ23" s="668">
        <f>IF(BQ$4="forecast",BQ$8*'Direct People Department Costs'!$H$9,SUMIF('Dept. Cost Actuals'!$E$7:$E$176,"*Recruiting*",'Dept. Cost Actuals'!BU$181:BU$350))</f>
        <v>0</v>
      </c>
      <c r="BR23" s="668">
        <f>IF(BR$4="forecast",BR$8*'Direct People Department Costs'!$H$9,SUMIF('Dept. Cost Actuals'!$E$7:$E$176,"*Recruiting*",'Dept. Cost Actuals'!BV$181:BV$350))</f>
        <v>0</v>
      </c>
      <c r="BS23" s="668">
        <f>IF(BS$4="forecast",BS$8*'Direct People Department Costs'!$H$9,SUMIF('Dept. Cost Actuals'!$E$7:$E$176,"*Recruiting*",'Dept. Cost Actuals'!BW$181:BW$350))</f>
        <v>0</v>
      </c>
      <c r="BT23" s="668">
        <f>IF(BT$4="forecast",BT$8*'Direct People Department Costs'!$H$9,SUMIF('Dept. Cost Actuals'!$E$7:$E$176,"*Recruiting*",'Dept. Cost Actuals'!BX$181:BX$350))</f>
        <v>0</v>
      </c>
      <c r="BU23" s="668">
        <f>IF(BU$4="forecast",BU$8*'Direct People Department Costs'!$H$9,SUMIF('Dept. Cost Actuals'!$E$7:$E$176,"*Recruiting*",'Dept. Cost Actuals'!BY$181:BY$350))</f>
        <v>0</v>
      </c>
      <c r="BV23" s="790">
        <f>IF(BV$4="forecast",BV$8*'Direct People Department Costs'!$H$9,SUMIF('Dept. Cost Actuals'!$E$7:$E$176,"*Recruiting*",'Dept. Cost Actuals'!BZ$181:BZ$350))</f>
        <v>0</v>
      </c>
    </row>
    <row r="24" spans="2:74" x14ac:dyDescent="0.25">
      <c r="B24" s="794" t="s">
        <v>431</v>
      </c>
      <c r="C24" s="668">
        <f>IF(C$4="forecast",(SUMIFS(Planning_Mkt!#REF!,Planning_Mkt!$B$5:$B$133,"Travel")),SUMIF('Dept. Cost Actuals'!$E$7:$E$176,"*Travel*",'Dept. Cost Actuals'!G$181:G$350))</f>
        <v>74.293738093722908</v>
      </c>
      <c r="D24" s="668">
        <f>IF(D$4="forecast",(SUMIFS(Planning_Mkt!#REF!,Planning_Mkt!$B$5:$B$133,"Travel")),SUMIF('Dept. Cost Actuals'!$E$7:$E$176,"*Travel*",'Dept. Cost Actuals'!H$181:H$350))</f>
        <v>190.43292595575218</v>
      </c>
      <c r="E24" s="668">
        <f>IF(E$4="forecast",(SUMIFS(Planning_Mkt!#REF!,Planning_Mkt!$B$5:$B$133,"Travel")),SUMIF('Dept. Cost Actuals'!$E$7:$E$176,"*Travel*",'Dept. Cost Actuals'!I$181:I$350))</f>
        <v>154.43257829134711</v>
      </c>
      <c r="F24" s="668">
        <f>IF(F$4="forecast",(SUMIFS(Planning_Mkt!#REF!,Planning_Mkt!$B$5:$B$133,"Travel")),SUMIF('Dept. Cost Actuals'!$E$7:$E$176,"*Travel*",'Dept. Cost Actuals'!J$181:J$350))</f>
        <v>359.98659634494874</v>
      </c>
      <c r="G24" s="668">
        <f>IF(G$4="forecast",(SUMIFS(Planning_Mkt!#REF!,Planning_Mkt!$B$5:$B$133,"Travel")),SUMIF('Dept. Cost Actuals'!$E$7:$E$176,"*Travel*",'Dept. Cost Actuals'!K$181:K$350))</f>
        <v>319.91786220565979</v>
      </c>
      <c r="H24" s="668">
        <f>IF(H$4="forecast",(SUMIFS(Planning_Mkt!#REF!,Planning_Mkt!$B$5:$B$133,"Travel")),SUMIF('Dept. Cost Actuals'!$E$7:$E$176,"*Travel*",'Dept. Cost Actuals'!L$181:L$350))</f>
        <v>283.48294410585669</v>
      </c>
      <c r="I24" s="668">
        <f>IF(I$4="forecast",(SUMIFS(Planning_Mkt!#REF!,Planning_Mkt!$B$5:$B$133,"Travel")),SUMIF('Dept. Cost Actuals'!$E$7:$E$176,"*Travel*",'Dept. Cost Actuals'!M$181:M$350))</f>
        <v>57.901206254180018</v>
      </c>
      <c r="J24" s="668">
        <f>IF(J$4="forecast",(SUMIFS(Planning_Mkt!#REF!,Planning_Mkt!$B$5:$B$133,"Travel")),SUMIF('Dept. Cost Actuals'!$E$7:$E$176,"*Travel*",'Dept. Cost Actuals'!N$181:N$350))</f>
        <v>246.3529536682681</v>
      </c>
      <c r="K24" s="668">
        <f>IF(K$4="forecast",(SUMIFS(Planning_Mkt!#REF!,Planning_Mkt!$B$5:$B$133,"Travel")),SUMIF('Dept. Cost Actuals'!$E$7:$E$176,"*Travel*",'Dept. Cost Actuals'!O$181:O$350))</f>
        <v>345.68068350554609</v>
      </c>
      <c r="L24" s="668">
        <f>IF(L$4="forecast",(SUMIFS(Planning_Mkt!#REF!,Planning_Mkt!$B$5:$B$133,"Travel")),SUMIF('Dept. Cost Actuals'!$E$7:$E$176,"*Travel*",'Dept. Cost Actuals'!P$181:P$350))</f>
        <v>407.43801402449128</v>
      </c>
      <c r="M24" s="668">
        <f>IF(M$4="forecast",(SUMIFS(Planning_Mkt!#REF!,Planning_Mkt!$B$5:$B$133,"Travel")),SUMIF('Dept. Cost Actuals'!$E$7:$E$176,"*Travel*",'Dept. Cost Actuals'!Q$181:Q$350))</f>
        <v>59.92842950154963</v>
      </c>
      <c r="N24" s="668">
        <f>IF(N$4="forecast",(SUMIFS(Planning_Mkt!#REF!,Planning_Mkt!$B$5:$B$133,"Travel")),SUMIF('Dept. Cost Actuals'!$E$7:$E$176,"*Travel*",'Dept. Cost Actuals'!R$181:R$350))</f>
        <v>57.815892779910854</v>
      </c>
      <c r="O24" s="668">
        <f>IF(O$4="forecast",(SUMIFS(Planning_Mkt!#REF!,Planning_Mkt!$B$5:$B$133,"Travel")),SUMIF('Dept. Cost Actuals'!$E$7:$E$176,"*Travel*",'Dept. Cost Actuals'!S$181:S$350))</f>
        <v>4738.3599999999997</v>
      </c>
      <c r="P24" s="668">
        <f>IF(P$4="forecast",(SUMIFS(Planning_Mkt!#REF!,Planning_Mkt!$B$5:$B$133,"Travel")),SUMIF('Dept. Cost Actuals'!$E$7:$E$176,"*Travel*",'Dept. Cost Actuals'!T$181:T$350))</f>
        <v>8290.17</v>
      </c>
      <c r="Q24" s="668">
        <f>IF(Q$4="forecast",(SUMIFS(Planning_Mkt!#REF!,Planning_Mkt!$B$5:$B$133,"Travel")),SUMIF('Dept. Cost Actuals'!$E$7:$E$176,"*Travel*",'Dept. Cost Actuals'!U$181:U$350))</f>
        <v>3996.56</v>
      </c>
      <c r="R24" s="668">
        <f>IF(R$4="forecast",(SUMIFS(Planning_Mkt!#REF!,Planning_Mkt!$B$5:$B$133,"Travel")),SUMIF('Dept. Cost Actuals'!$E$7:$E$176,"*Travel*",'Dept. Cost Actuals'!V$181:V$350))</f>
        <v>653.37</v>
      </c>
      <c r="S24" s="668">
        <f>IF(S$4="forecast",(SUMIFS(Planning_Mkt!#REF!,Planning_Mkt!$B$5:$B$133,"Travel")),SUMIF('Dept. Cost Actuals'!$E$7:$E$176,"*Travel*",'Dept. Cost Actuals'!W$181:W$350))</f>
        <v>2.25</v>
      </c>
      <c r="T24" s="668">
        <f>IF(T$4="forecast",(SUMIFS(Planning_Mkt!#REF!,Planning_Mkt!$B$5:$B$133,"Travel")),SUMIF('Dept. Cost Actuals'!$E$7:$E$176,"*Travel*",'Dept. Cost Actuals'!X$181:X$350))</f>
        <v>5347.3</v>
      </c>
      <c r="U24" s="668">
        <f>IF(U$4="forecast",(SUMIFS(Planning_Mkt!#REF!,Planning_Mkt!$B$5:$B$133,"Travel")),SUMIF('Dept. Cost Actuals'!$E$7:$E$176,"*Travel*",'Dept. Cost Actuals'!Y$181:Y$350))</f>
        <v>0</v>
      </c>
      <c r="V24" s="668">
        <f>IF(V$4="forecast",(SUMIFS(Planning_Mkt!#REF!,Planning_Mkt!$B$5:$B$133,"Travel")),SUMIF('Dept. Cost Actuals'!$E$7:$E$176,"*Travel*",'Dept. Cost Actuals'!Z$181:Z$350))</f>
        <v>1712.42</v>
      </c>
      <c r="W24" s="668">
        <f>IF(W$4="forecast",(SUMIFS(Planning_Mkt!#REF!,Planning_Mkt!$B$5:$B$133,"Travel")),SUMIF('Dept. Cost Actuals'!$E$7:$E$176,"*Travel*",'Dept. Cost Actuals'!AA$181:AA$350))</f>
        <v>4275.13</v>
      </c>
      <c r="X24" s="668">
        <f>IF(X$4="forecast",(SUMIFS(Planning_Mkt!A$5:A$133,Planning_Mkt!$B$5:$B$133,"Travel")),SUMIF('Dept. Cost Actuals'!$E$7:$E$176,"*Travel*",'Dept. Cost Actuals'!AB$181:AB$350))</f>
        <v>1224.0899999999999</v>
      </c>
      <c r="Y24" s="668">
        <f>IF(Y$4="forecast",(SUMIFS(Planning_Mkt!B$5:B$133,Planning_Mkt!$B$5:$B$133,"Travel")),SUMIF('Dept. Cost Actuals'!$E$7:$E$176,"*Travel*",'Dept. Cost Actuals'!AC$181:AC$350))</f>
        <v>37.58</v>
      </c>
      <c r="Z24" s="668">
        <f>IF(Z$4="forecast",(SUMIFS(Planning_Mkt!C$5:C$133,Planning_Mkt!$B$5:$B$133,"Travel")),SUMIF('Dept. Cost Actuals'!$E$7:$E$176,"*Travel*",'Dept. Cost Actuals'!AD$181:AD$350))</f>
        <v>563.1</v>
      </c>
      <c r="AA24" s="668">
        <f>IF(AA$4="forecast",(SUMIFS(Planning_Mkt!D$5:D$133,Planning_Mkt!$B$5:$B$133,"Travel")),SUMIF('Dept. Cost Actuals'!$E$7:$E$176,"*Travel*",'Dept. Cost Actuals'!AE$181:AE$350))</f>
        <v>2979.81</v>
      </c>
      <c r="AB24" s="668">
        <f>IF(AB$4="forecast",(SUMIFS(Planning_Mkt!E$5:E$133,Planning_Mkt!$B$5:$B$133,"Travel")),SUMIF('Dept. Cost Actuals'!$E$7:$E$176,"*Travel*",'Dept. Cost Actuals'!AF$181:AF$350))</f>
        <v>2568.46</v>
      </c>
      <c r="AC24" s="668">
        <f>IF(AC$4="forecast",(SUMIFS(Planning_Mkt!F$5:F$133,Planning_Mkt!$B$5:$B$133,"Travel")),SUMIF('Dept. Cost Actuals'!$E$7:$E$176,"*Travel*",'Dept. Cost Actuals'!AG$181:AG$350))</f>
        <v>1387.79</v>
      </c>
      <c r="AD24" s="668">
        <f>IF(AD$4="forecast",(SUMIFS(Planning_Mkt!G$5:G$133,Planning_Mkt!$B$5:$B$133,"Travel")),SUMIF('Dept. Cost Actuals'!$E$7:$E$176,"*Travel*",'Dept. Cost Actuals'!AH$181:AH$350))</f>
        <v>4000</v>
      </c>
      <c r="AE24" s="668">
        <f>IF(AE$4="forecast",(SUMIFS(Planning_Mkt!H$5:H$133,Planning_Mkt!$B$5:$B$133,"Travel")),SUMIF('Dept. Cost Actuals'!$E$7:$E$176,"*Travel*",'Dept. Cost Actuals'!AI$181:AI$350))</f>
        <v>4000</v>
      </c>
      <c r="AF24" s="668">
        <f>IF(AF$4="forecast",(SUMIFS(Planning_Mkt!I$5:I$133,Planning_Mkt!$B$5:$B$133,"Travel")),SUMIF('Dept. Cost Actuals'!$E$7:$E$176,"*Travel*",'Dept. Cost Actuals'!AJ$181:AJ$350))</f>
        <v>4000</v>
      </c>
      <c r="AG24" s="668">
        <f>IF(AG$4="forecast",(SUMIFS(Planning_Mkt!J$5:J$133,Planning_Mkt!$B$5:$B$133,"Travel")),SUMIF('Dept. Cost Actuals'!$E$7:$E$176,"*Travel*",'Dept. Cost Actuals'!AK$181:AK$350))</f>
        <v>4000</v>
      </c>
      <c r="AH24" s="668">
        <f>IF(AH$4="forecast",(SUMIFS(Planning_Mkt!K$5:K$133,Planning_Mkt!$B$5:$B$133,"Travel")),SUMIF('Dept. Cost Actuals'!$E$7:$E$176,"*Travel*",'Dept. Cost Actuals'!AL$181:AL$350))</f>
        <v>4000</v>
      </c>
      <c r="AI24" s="668">
        <f>IF(AI$4="forecast",(SUMIFS(Planning_Mkt!L$5:L$133,Planning_Mkt!$B$5:$B$133,"Travel")),SUMIF('Dept. Cost Actuals'!$E$7:$E$176,"*Travel*",'Dept. Cost Actuals'!AM$181:AM$350))</f>
        <v>4000</v>
      </c>
      <c r="AJ24" s="668">
        <f>IF(AJ$4="forecast",(SUMIFS(Planning_Mkt!M$5:M$133,Planning_Mkt!$B$5:$B$133,"Travel")),SUMIF('Dept. Cost Actuals'!$E$7:$E$176,"*Travel*",'Dept. Cost Actuals'!AN$181:AN$350))</f>
        <v>4000</v>
      </c>
      <c r="AK24" s="668">
        <f>IF(AK$4="forecast",(SUMIFS(Planning_Mkt!N$5:N$133,Planning_Mkt!$B$5:$B$133,"Travel")),SUMIF('Dept. Cost Actuals'!$E$7:$E$176,"*Travel*",'Dept. Cost Actuals'!AO$181:AO$350))</f>
        <v>4000</v>
      </c>
      <c r="AL24" s="668">
        <f>IF(AL$4="forecast",(SUMIFS(Planning_Mkt!O$5:O$133,Planning_Mkt!$B$5:$B$133,"Travel")),SUMIF('Dept. Cost Actuals'!$E$7:$E$176,"*Travel*",'Dept. Cost Actuals'!AP$181:AP$350))</f>
        <v>4000</v>
      </c>
      <c r="AM24" s="668">
        <f>IF(AM$4="forecast",(SUMIFS(Planning_Mkt!P$5:P$133,Planning_Mkt!$B$5:$B$133,"Travel")),SUMIF('Dept. Cost Actuals'!$E$7:$E$176,"*Travel*",'Dept. Cost Actuals'!AQ$181:AQ$350))</f>
        <v>49000</v>
      </c>
      <c r="AN24" s="668">
        <f>IF(AN$4="forecast",(SUMIFS(Planning_Mkt!Q$5:Q$133,Planning_Mkt!$B$5:$B$133,"Travel")),SUMIF('Dept. Cost Actuals'!$E$7:$E$176,"*Travel*",'Dept. Cost Actuals'!AR$181:AR$350))</f>
        <v>0</v>
      </c>
      <c r="AO24" s="668">
        <f>IF(AO$4="forecast",(SUMIFS(Planning_Mkt!R$5:R$133,Planning_Mkt!$B$5:$B$133,"Travel")),SUMIF('Dept. Cost Actuals'!$E$7:$E$176,"*Travel*",'Dept. Cost Actuals'!AS$181:AS$350))</f>
        <v>0</v>
      </c>
      <c r="AP24" s="668">
        <f>IF(AP$4="forecast",(SUMIFS(Planning_Mkt!S$5:S$133,Planning_Mkt!$B$5:$B$133,"Travel")),SUMIF('Dept. Cost Actuals'!$E$7:$E$176,"*Travel*",'Dept. Cost Actuals'!AT$181:AT$350))</f>
        <v>0</v>
      </c>
      <c r="AQ24" s="668">
        <f>IF(AQ$4="forecast",(SUMIFS(Planning_Mkt!T$5:T$133,Planning_Mkt!$B$5:$B$133,"Travel")),SUMIF('Dept. Cost Actuals'!$E$7:$E$176,"*Travel*",'Dept. Cost Actuals'!AU$181:AU$350))</f>
        <v>0</v>
      </c>
      <c r="AR24" s="668">
        <f>IF(AR$4="forecast",(SUMIFS(Planning_Mkt!U$5:U$133,Planning_Mkt!$B$5:$B$133,"Travel")),SUMIF('Dept. Cost Actuals'!$E$7:$E$176,"*Travel*",'Dept. Cost Actuals'!AV$181:AV$350))</f>
        <v>0</v>
      </c>
      <c r="AS24" s="668">
        <f>IF(AS$4="forecast",(SUMIFS(Planning_Mkt!V$5:V$133,Planning_Mkt!$B$5:$B$133,"Travel")),SUMIF('Dept. Cost Actuals'!$E$7:$E$176,"*Travel*",'Dept. Cost Actuals'!AW$181:AW$350))</f>
        <v>0</v>
      </c>
      <c r="AT24" s="668">
        <f>IF(AT$4="forecast",(SUMIFS(Planning_Mkt!W$5:W$133,Planning_Mkt!$B$5:$B$133,"Travel")),SUMIF('Dept. Cost Actuals'!$E$7:$E$176,"*Travel*",'Dept. Cost Actuals'!AX$181:AX$350))</f>
        <v>0</v>
      </c>
      <c r="AU24" s="668">
        <f>IF(AU$4="forecast",(SUMIFS(Planning_Mkt!X$5:X$133,Planning_Mkt!$B$5:$B$133,"Travel")),SUMIF('Dept. Cost Actuals'!$E$7:$E$176,"*Travel*",'Dept. Cost Actuals'!AY$181:AY$350))</f>
        <v>0</v>
      </c>
      <c r="AV24" s="668">
        <f>IF(AV$4="forecast",(SUMIFS(Planning_Mkt!Y$5:Y$133,Planning_Mkt!$B$5:$B$133,"Travel")),SUMIF('Dept. Cost Actuals'!$E$7:$E$176,"*Travel*",'Dept. Cost Actuals'!AZ$181:AZ$350))</f>
        <v>0</v>
      </c>
      <c r="AW24" s="668">
        <f>IF(AW$4="forecast",(SUMIFS(Planning_Mkt!Z$5:Z$133,Planning_Mkt!$B$5:$B$133,"Travel")),SUMIF('Dept. Cost Actuals'!$E$7:$E$176,"*Travel*",'Dept. Cost Actuals'!BA$181:BA$350))</f>
        <v>0</v>
      </c>
      <c r="AX24" s="668">
        <f>IF(AX$4="forecast",(SUMIFS(Planning_Mkt!AA$5:AA$133,Planning_Mkt!$B$5:$B$133,"Travel")),SUMIF('Dept. Cost Actuals'!$E$7:$E$176,"*Travel*",'Dept. Cost Actuals'!BB$181:BB$350))</f>
        <v>0</v>
      </c>
      <c r="AY24" s="668">
        <f>IF(AY$4="forecast",(SUMIFS(Planning_Mkt!AB$5:AB$133,Planning_Mkt!$B$5:$B$133,"Travel")),SUMIF('Dept. Cost Actuals'!$E$7:$E$176,"*Travel*",'Dept. Cost Actuals'!BC$181:BC$350))</f>
        <v>0</v>
      </c>
      <c r="AZ24" s="668">
        <f>IF(AZ$4="forecast",(SUMIFS(Planning_Mkt!AC$5:AC$133,Planning_Mkt!$B$5:$B$133,"Travel")),SUMIF('Dept. Cost Actuals'!$E$7:$E$176,"*Travel*",'Dept. Cost Actuals'!BD$181:BD$350))</f>
        <v>0</v>
      </c>
      <c r="BA24" s="668">
        <f>IF(BA$4="forecast",(SUMIFS(Planning_Mkt!AD$5:AD$133,Planning_Mkt!$B$5:$B$133,"Travel")),SUMIF('Dept. Cost Actuals'!$E$7:$E$176,"*Travel*",'Dept. Cost Actuals'!BE$181:BE$350))</f>
        <v>0</v>
      </c>
      <c r="BB24" s="668">
        <f>IF(BB$4="forecast",(SUMIFS(Planning_Mkt!AE$5:AE$133,Planning_Mkt!$B$5:$B$133,"Travel")),SUMIF('Dept. Cost Actuals'!$E$7:$E$176,"*Travel*",'Dept. Cost Actuals'!BF$181:BF$350))</f>
        <v>0</v>
      </c>
      <c r="BC24" s="668">
        <f>IF(BC$4="forecast",(SUMIFS(Planning_Mkt!AF$5:AF$133,Planning_Mkt!$B$5:$B$133,"Travel")),SUMIF('Dept. Cost Actuals'!$E$7:$E$176,"*Travel*",'Dept. Cost Actuals'!BG$181:BG$350))</f>
        <v>0</v>
      </c>
      <c r="BD24" s="668">
        <f>IF(BD$4="forecast",(SUMIFS(Planning_Mkt!AG$5:AG$133,Planning_Mkt!$B$5:$B$133,"Travel")),SUMIF('Dept. Cost Actuals'!$E$7:$E$176,"*Travel*",'Dept. Cost Actuals'!BH$181:BH$350))</f>
        <v>0</v>
      </c>
      <c r="BE24" s="668">
        <f>IF(BE$4="forecast",(SUMIFS(Planning_Mkt!AH$5:AH$133,Planning_Mkt!$B$5:$B$133,"Travel")),SUMIF('Dept. Cost Actuals'!$E$7:$E$176,"*Travel*",'Dept. Cost Actuals'!BI$181:BI$350))</f>
        <v>0</v>
      </c>
      <c r="BF24" s="668">
        <f>IF(BF$4="forecast",(SUMIFS(Planning_Mkt!AI$5:AI$133,Planning_Mkt!$B$5:$B$133,"Travel")),SUMIF('Dept. Cost Actuals'!$E$7:$E$176,"*Travel*",'Dept. Cost Actuals'!BJ$181:BJ$350))</f>
        <v>0</v>
      </c>
      <c r="BG24" s="668">
        <f>IF(BG$4="forecast",(SUMIFS(Planning_Mkt!AJ$5:AJ$133,Planning_Mkt!$B$5:$B$133,"Travel")),SUMIF('Dept. Cost Actuals'!$E$7:$E$176,"*Travel*",'Dept. Cost Actuals'!BK$181:BK$350))</f>
        <v>0</v>
      </c>
      <c r="BH24" s="668">
        <f>IF(BH$4="forecast",(SUMIFS(Planning_Mkt!AK$5:AK$133,Planning_Mkt!$B$5:$B$133,"Travel")),SUMIF('Dept. Cost Actuals'!$E$7:$E$176,"*Travel*",'Dept. Cost Actuals'!BL$181:BL$350))</f>
        <v>0</v>
      </c>
      <c r="BI24" s="668">
        <f>IF(BI$4="forecast",(SUMIFS(Planning_Mkt!AL$5:AL$133,Planning_Mkt!$B$5:$B$133,"Travel")),SUMIF('Dept. Cost Actuals'!$E$7:$E$176,"*Travel*",'Dept. Cost Actuals'!BM$181:BM$350))</f>
        <v>0</v>
      </c>
      <c r="BJ24" s="668">
        <f>IF(BJ$4="forecast",(SUMIFS(Planning_Mkt!AM$5:AM$133,Planning_Mkt!$B$5:$B$133,"Travel")),SUMIF('Dept. Cost Actuals'!$E$7:$E$176,"*Travel*",'Dept. Cost Actuals'!BN$181:BN$350))</f>
        <v>0</v>
      </c>
      <c r="BK24" s="668">
        <f>IF(BK$4="forecast",(SUMIFS(Planning_Mkt!AN$5:AN$133,Planning_Mkt!$B$5:$B$133,"Travel")),SUMIF('Dept. Cost Actuals'!$E$7:$E$176,"*Travel*",'Dept. Cost Actuals'!BO$181:BO$350))</f>
        <v>0</v>
      </c>
      <c r="BL24" s="668">
        <f>IF(BL$4="forecast",(SUMIFS(Planning_Mkt!AO$5:AO$133,Planning_Mkt!$B$5:$B$133,"Travel")),SUMIF('Dept. Cost Actuals'!$E$7:$E$176,"*Travel*",'Dept. Cost Actuals'!BP$181:BP$350))</f>
        <v>0</v>
      </c>
      <c r="BM24" s="668">
        <f>IF(BM$4="forecast",(SUMIFS(Planning_Mkt!AP$5:AP$133,Planning_Mkt!$B$5:$B$133,"Travel")),SUMIF('Dept. Cost Actuals'!$E$7:$E$176,"*Travel*",'Dept. Cost Actuals'!BQ$181:BQ$350))</f>
        <v>0</v>
      </c>
      <c r="BN24" s="668">
        <f>IF(BN$4="forecast",(SUMIFS(Planning_Mkt!AQ$5:AQ$133,Planning_Mkt!$B$5:$B$133,"Travel")),SUMIF('Dept. Cost Actuals'!$E$7:$E$176,"*Travel*",'Dept. Cost Actuals'!BR$181:BR$350))</f>
        <v>0</v>
      </c>
      <c r="BO24" s="668">
        <f>IF(BO$4="forecast",(SUMIFS(Planning_Mkt!AR$5:AR$133,Planning_Mkt!$B$5:$B$133,"Travel")),SUMIF('Dept. Cost Actuals'!$E$7:$E$176,"*Travel*",'Dept. Cost Actuals'!BS$181:BS$350))</f>
        <v>0</v>
      </c>
      <c r="BP24" s="668">
        <f>IF(BP$4="forecast",(SUMIFS(Planning_Mkt!AS$5:AS$133,Planning_Mkt!$B$5:$B$133,"Travel")),SUMIF('Dept. Cost Actuals'!$E$7:$E$176,"*Travel*",'Dept. Cost Actuals'!BT$181:BT$350))</f>
        <v>0</v>
      </c>
      <c r="BQ24" s="668">
        <f>IF(BQ$4="forecast",(SUMIFS(Planning_Mkt!AT$5:AT$133,Planning_Mkt!$B$5:$B$133,"Travel")),SUMIF('Dept. Cost Actuals'!$E$7:$E$176,"*Travel*",'Dept. Cost Actuals'!BU$181:BU$350))</f>
        <v>0</v>
      </c>
      <c r="BR24" s="668">
        <f>IF(BR$4="forecast",(SUMIFS(Planning_Mkt!AU$5:AU$133,Planning_Mkt!$B$5:$B$133,"Travel")),SUMIF('Dept. Cost Actuals'!$E$7:$E$176,"*Travel*",'Dept. Cost Actuals'!BV$181:BV$350))</f>
        <v>0</v>
      </c>
      <c r="BS24" s="668">
        <f>IF(BS$4="forecast",(SUMIFS(Planning_Mkt!AV$5:AV$133,Planning_Mkt!$B$5:$B$133,"Travel")),SUMIF('Dept. Cost Actuals'!$E$7:$E$176,"*Travel*",'Dept. Cost Actuals'!BW$181:BW$350))</f>
        <v>0</v>
      </c>
      <c r="BT24" s="668">
        <f>IF(BT$4="forecast",(SUMIFS(Planning_Mkt!AW$5:AW$133,Planning_Mkt!$B$5:$B$133,"Travel")),SUMIF('Dept. Cost Actuals'!$E$7:$E$176,"*Travel*",'Dept. Cost Actuals'!BX$181:BX$350))</f>
        <v>0</v>
      </c>
      <c r="BU24" s="668">
        <f>IF(BU$4="forecast",(SUMIFS(Planning_Mkt!AX$5:AX$133,Planning_Mkt!$B$5:$B$133,"Travel")),SUMIF('Dept. Cost Actuals'!$E$7:$E$176,"*Travel*",'Dept. Cost Actuals'!BY$181:BY$350))</f>
        <v>0</v>
      </c>
      <c r="BV24" s="790">
        <f>IF(BV$4="forecast",(SUMIFS(Planning_Mkt!AY$5:AY$133,Planning_Mkt!$B$5:$B$133,"Travel")),SUMIF('Dept. Cost Actuals'!$E$7:$E$176,"*Travel*",'Dept. Cost Actuals'!BZ$181:BZ$350))</f>
        <v>0</v>
      </c>
    </row>
    <row r="25" spans="2:74" x14ac:dyDescent="0.25">
      <c r="B25" s="794" t="s">
        <v>1338</v>
      </c>
      <c r="C25" s="668">
        <f>IF(C$4="forecast",(AVERAGE(#REF!)),SUMIF('Dept. Cost Actuals'!$E$7:$E$176,"*Meals and Entertainment*",'Dept. Cost Actuals'!G$181:G$350))</f>
        <v>203.31574596330339</v>
      </c>
      <c r="D25" s="668">
        <f>IF(D$4="forecast",(AVERAGE(#REF!)),SUMIF('Dept. Cost Actuals'!$E$7:$E$176,"*Meals and Entertainment*",'Dept. Cost Actuals'!H$181:H$350))</f>
        <v>98.568479227138994</v>
      </c>
      <c r="E25" s="668">
        <f>IF(E$4="forecast",(AVERAGE(#REF!)),SUMIF('Dept. Cost Actuals'!$E$7:$E$176,"*Meals and Entertainment*",'Dept. Cost Actuals'!I$181:I$350))</f>
        <v>123.19391476400004</v>
      </c>
      <c r="F25" s="668">
        <f>IF(F$4="forecast",(AVERAGE(#REF!)),SUMIF('Dept. Cost Actuals'!$E$7:$E$176,"*Meals and Entertainment*",'Dept. Cost Actuals'!J$181:J$350))</f>
        <v>187.84783760228265</v>
      </c>
      <c r="G25" s="668">
        <f>IF(G$4="forecast",(AVERAGE(#REF!)),SUMIF('Dept. Cost Actuals'!$E$7:$E$176,"*Meals and Entertainment*",'Dept. Cost Actuals'!K$181:K$350))</f>
        <v>282.77350445274635</v>
      </c>
      <c r="H25" s="668">
        <f>IF(H$4="forecast",(AVERAGE(#REF!)),SUMIF('Dept. Cost Actuals'!$E$7:$E$176,"*Meals and Entertainment*",'Dept. Cost Actuals'!L$181:L$350))</f>
        <v>328.42232132654328</v>
      </c>
      <c r="I25" s="668">
        <f>IF(I$4="forecast",(AVERAGE(#REF!)),SUMIF('Dept. Cost Actuals'!$E$7:$E$176,"*Meals and Entertainment*",'Dept. Cost Actuals'!M$181:M$350))</f>
        <v>147.10225361649785</v>
      </c>
      <c r="J25" s="668">
        <f>IF(J$4="forecast",(AVERAGE(#REF!)),SUMIF('Dept. Cost Actuals'!$E$7:$E$176,"*Meals and Entertainment*",'Dept. Cost Actuals'!N$181:N$350))</f>
        <v>135.73254466202116</v>
      </c>
      <c r="K25" s="668">
        <f>IF(K$4="forecast",(AVERAGE(#REF!)),SUMIF('Dept. Cost Actuals'!$E$7:$E$176,"*Meals and Entertainment*",'Dept. Cost Actuals'!O$181:O$350))</f>
        <v>159.48941995087409</v>
      </c>
      <c r="L25" s="668">
        <f>IF(L$4="forecast",(AVERAGE(#REF!)),SUMIF('Dept. Cost Actuals'!$E$7:$E$176,"*Meals and Entertainment*",'Dept. Cost Actuals'!P$181:P$350))</f>
        <v>180.87098300660904</v>
      </c>
      <c r="M25" s="668">
        <f>IF(M$4="forecast",(AVERAGE(A25:L25)),SUMIF('Dept. Cost Actuals'!$E$7:$E$176,"*Meals and Entertainment*",'Dept. Cost Actuals'!Q$181:Q$350))</f>
        <v>171.27536527365697</v>
      </c>
      <c r="N25" s="668">
        <f>IF(N$4="forecast",(AVERAGE(B25:M25)),SUMIF('Dept. Cost Actuals'!$E$7:$E$176,"*Meals and Entertainment*",'Dept. Cost Actuals'!R$181:R$350))</f>
        <v>28.533220648398292</v>
      </c>
      <c r="O25" s="668">
        <f>IF(O$4="forecast",(AVERAGE(C25:N25)),SUMIF('Dept. Cost Actuals'!$E$7:$E$176,"*Meals and Entertainment*",'Dept. Cost Actuals'!S$181:S$350))</f>
        <v>0</v>
      </c>
      <c r="P25" s="668">
        <f>IF(P$4="forecast",(AVERAGE(D25:O25)),SUMIF('Dept. Cost Actuals'!$E$7:$E$176,"*Meals and Entertainment*",'Dept. Cost Actuals'!T$181:T$350))</f>
        <v>310.10000000000002</v>
      </c>
      <c r="Q25" s="668">
        <f>IF(Q$4="forecast",(AVERAGE(E25:P25)),SUMIF('Dept. Cost Actuals'!$E$7:$E$176,"*Meals and Entertainment*",'Dept. Cost Actuals'!U$181:U$350))</f>
        <v>853.68</v>
      </c>
      <c r="R25" s="668">
        <f>IF(R$4="forecast",(AVERAGE(F25:Q25)),SUMIF('Dept. Cost Actuals'!$E$7:$E$176,"*Meals and Entertainment*",'Dept. Cost Actuals'!V$181:V$350))</f>
        <v>267.36</v>
      </c>
      <c r="S25" s="668">
        <f>IF(S$4="forecast",(AVERAGE(G25:R25)),SUMIF('Dept. Cost Actuals'!$E$7:$E$176,"*Meals and Entertainment*",'Dept. Cost Actuals'!W$181:W$350))</f>
        <v>999.8</v>
      </c>
      <c r="T25" s="668">
        <f>IF(T$4="forecast",(AVERAGE(H25:S25)),SUMIF('Dept. Cost Actuals'!$E$7:$E$176,"*Meals and Entertainment*",'Dept. Cost Actuals'!X$181:X$350))</f>
        <v>1941.66</v>
      </c>
      <c r="U25" s="668">
        <f>IF(U$4="forecast",(AVERAGE(I25:T25)),SUMIF('Dept. Cost Actuals'!$E$7:$E$176,"*Meals and Entertainment*",'Dept. Cost Actuals'!Y$181:Y$350))</f>
        <v>0</v>
      </c>
      <c r="V25" s="668">
        <f>IF(V$4="forecast",(AVERAGE(J25:U25)),SUMIF('Dept. Cost Actuals'!$E$7:$E$176,"*Meals and Entertainment*",'Dept. Cost Actuals'!Z$181:Z$350))</f>
        <v>189.93</v>
      </c>
      <c r="W25" s="668">
        <f>IF(W$4="forecast",(AVERAGE(K25:V25)),SUMIF('Dept. Cost Actuals'!$E$7:$E$176,"*Meals and Entertainment*",'Dept. Cost Actuals'!AA$181:AA$350))</f>
        <v>731.04</v>
      </c>
      <c r="X25" s="668">
        <f>IF(X$4="forecast",(AVERAGE(L25:W25)),SUMIF('Dept. Cost Actuals'!$E$7:$E$176,"*Meals and Entertainment*",'Dept. Cost Actuals'!AB$181:AB$350))</f>
        <v>0</v>
      </c>
      <c r="Y25" s="668">
        <f>IF(Y$4="forecast",(AVERAGE(M25:X25)),SUMIF('Dept. Cost Actuals'!$E$7:$E$176,"*Meals and Entertainment*",'Dept. Cost Actuals'!AC$181:AC$350))</f>
        <v>85.78</v>
      </c>
      <c r="Z25" s="668">
        <f>IF(Z$4="forecast",(AVERAGE(N25:Y25)),SUMIF('Dept. Cost Actuals'!$E$7:$E$176,"*Meals and Entertainment*",'Dept. Cost Actuals'!AD$181:AD$350))</f>
        <v>24.08</v>
      </c>
      <c r="AA25" s="668">
        <f>IF(AA$4="forecast",(AVERAGE(O25:Z25)),SUMIF('Dept. Cost Actuals'!$E$7:$E$176,"*Meals and Entertainment*",'Dept. Cost Actuals'!AE$181:AE$350))</f>
        <v>409.24</v>
      </c>
      <c r="AB25" s="668">
        <f>IF(AB$4="forecast",(AVERAGE(P25:AA25)),SUMIF('Dept. Cost Actuals'!$E$7:$E$176,"*Meals and Entertainment*",'Dept. Cost Actuals'!AF$181:AF$350))</f>
        <v>250.73</v>
      </c>
      <c r="AC25" s="668">
        <f>IF(AC$4="forecast",(AVERAGE(Q25:AB25)),SUMIF('Dept. Cost Actuals'!$E$7:$E$176,"*Meals and Entertainment*",'Dept. Cost Actuals'!AG$181:AG$350))</f>
        <v>684.96</v>
      </c>
      <c r="AD25" s="668">
        <f>IF(AD$4="forecast",(AVERAGE(R25:AC25)),SUMIF('Dept. Cost Actuals'!$E$7:$E$176,"*Meals and Entertainment*",'Dept. Cost Actuals'!AH$181:AH$350))</f>
        <v>465.38166666666649</v>
      </c>
      <c r="AE25" s="668">
        <f>IF(AE$4="forecast",(AVERAGE(S25:AD25)),SUMIF('Dept. Cost Actuals'!$E$7:$E$176,"*Meals and Entertainment*",'Dept. Cost Actuals'!AI$181:AI$350))</f>
        <v>481.88347222222211</v>
      </c>
      <c r="AF25" s="668">
        <f>IF(AF$4="forecast",(AVERAGE(T25:AE25)),SUMIF('Dept. Cost Actuals'!$E$7:$E$176,"*Meals and Entertainment*",'Dept. Cost Actuals'!AJ$181:AJ$350))</f>
        <v>438.72376157407399</v>
      </c>
      <c r="AG25" s="668">
        <f>IF(AG$4="forecast",(AVERAGE(U25:AF25)),SUMIF('Dept. Cost Actuals'!$E$7:$E$176,"*Meals and Entertainment*",'Dept. Cost Actuals'!AK$181:AK$350))</f>
        <v>313.47907503858028</v>
      </c>
      <c r="AH25" s="668">
        <f>IF(AH$4="forecast",(AVERAGE(V25:AG25)),SUMIF('Dept. Cost Actuals'!$E$7:$E$176,"*Meals and Entertainment*",'Dept. Cost Actuals'!AL$181:AL$350))</f>
        <v>339.60233129179528</v>
      </c>
      <c r="AI25" s="668">
        <f>IF(AI$4="forecast",(AVERAGE(W25:AH25)),SUMIF('Dept. Cost Actuals'!$E$7:$E$176,"*Meals and Entertainment*",'Dept. Cost Actuals'!AM$181:AM$350))</f>
        <v>352.07502556611149</v>
      </c>
      <c r="AJ25" s="668">
        <f>IF(AJ$4="forecast",(AVERAGE(X25:AI25)),SUMIF('Dept. Cost Actuals'!$E$7:$E$176,"*Meals and Entertainment*",'Dept. Cost Actuals'!AN$181:AN$350))</f>
        <v>320.49461102995411</v>
      </c>
      <c r="AK25" s="668">
        <f>IF(AK$4="forecast",(AVERAGE(Y25:AJ25)),SUMIF('Dept. Cost Actuals'!$E$7:$E$176,"*Meals and Entertainment*",'Dept. Cost Actuals'!AO$181:AO$350))</f>
        <v>347.20249528245034</v>
      </c>
      <c r="AL25" s="668">
        <f>IF(AL$4="forecast",(AVERAGE(Z25:AK25)),SUMIF('Dept. Cost Actuals'!$E$7:$E$176,"*Meals and Entertainment*",'Dept. Cost Actuals'!AP$181:AP$350))</f>
        <v>368.98770322265455</v>
      </c>
      <c r="AM25" s="668">
        <f>IF(AM$4="forecast",(AVERAGE(AA25:AL25)),SUMIF('Dept. Cost Actuals'!$E$7:$E$176,"*Meals and Entertainment*",'Dept. Cost Actuals'!AQ$181:AQ$350))</f>
        <v>397.73001182454237</v>
      </c>
      <c r="AN25" s="668">
        <f>IF(AN$4="forecast",(AVERAGE(AB25:AM25)),SUMIF('Dept. Cost Actuals'!$E$7:$E$176,"*Meals and Entertainment*",'Dept. Cost Actuals'!AR$181:AR$350))</f>
        <v>396.77084614325423</v>
      </c>
      <c r="AO25" s="668">
        <f>IF(AO$4="forecast",(AVERAGE(AC25:AN25)),SUMIF('Dept. Cost Actuals'!$E$7:$E$176,"*Meals and Entertainment*",'Dept. Cost Actuals'!AS$181:AS$350))</f>
        <v>408.9409166551921</v>
      </c>
      <c r="AP25" s="668">
        <f>IF(AP$4="forecast",(AVERAGE(AD25:AO25)),SUMIF('Dept. Cost Actuals'!$E$7:$E$176,"*Meals and Entertainment*",'Dept. Cost Actuals'!AT$181:AT$350))</f>
        <v>385.93932637645815</v>
      </c>
      <c r="AQ25" s="668">
        <f>IF(AQ$4="forecast",(AVERAGE(AE25:AP25)),SUMIF('Dept. Cost Actuals'!$E$7:$E$176,"*Meals and Entertainment*",'Dept. Cost Actuals'!AU$181:AU$350))</f>
        <v>379.3191313522741</v>
      </c>
      <c r="AR25" s="668">
        <f>IF(AR$4="forecast",(AVERAGE(AF25:AQ25)),SUMIF('Dept. Cost Actuals'!$E$7:$E$176,"*Meals and Entertainment*",'Dept. Cost Actuals'!AV$181:AV$350))</f>
        <v>370.7721029464451</v>
      </c>
      <c r="AS25" s="668">
        <f>IF(AS$4="forecast",(AVERAGE(AG25:AR25)),SUMIF('Dept. Cost Actuals'!$E$7:$E$176,"*Meals and Entertainment*",'Dept. Cost Actuals'!AW$181:AW$350))</f>
        <v>365.109464727476</v>
      </c>
      <c r="AT25" s="668">
        <f>IF(AT$4="forecast",(AVERAGE(AH25:AS25)),SUMIF('Dept. Cost Actuals'!$E$7:$E$176,"*Meals and Entertainment*",'Dept. Cost Actuals'!AX$181:AX$350))</f>
        <v>369.41199720155072</v>
      </c>
      <c r="AU25" s="668">
        <f>IF(AU$4="forecast",(AVERAGE(AI25:AT25)),SUMIF('Dept. Cost Actuals'!$E$7:$E$176,"*Meals and Entertainment*",'Dept. Cost Actuals'!AY$181:AY$350))</f>
        <v>371.89613602736364</v>
      </c>
      <c r="AV25" s="668">
        <f>IF(AV$4="forecast",(AVERAGE(AJ25:AU25)),SUMIF('Dept. Cost Actuals'!$E$7:$E$176,"*Meals and Entertainment*",'Dept. Cost Actuals'!AZ$181:AZ$350))</f>
        <v>373.54789523246791</v>
      </c>
      <c r="AW25" s="668">
        <f>IF(AW$4="forecast",(AVERAGE(AK25:AV25)),SUMIF('Dept. Cost Actuals'!$E$7:$E$176,"*Meals and Entertainment*",'Dept. Cost Actuals'!BA$181:BA$350))</f>
        <v>377.96900224934399</v>
      </c>
      <c r="AX25" s="668">
        <f>IF(AX$4="forecast",(AVERAGE(AL25:AW25)),SUMIF('Dept. Cost Actuals'!$E$7:$E$176,"*Meals and Entertainment*",'Dept. Cost Actuals'!BB$181:BB$350))</f>
        <v>380.53287782991856</v>
      </c>
      <c r="AY25" s="668">
        <f>IF(AY$4="forecast",(AVERAGE(AM25:AX25)),SUMIF('Dept. Cost Actuals'!$E$7:$E$176,"*Meals and Entertainment*",'Dept. Cost Actuals'!BC$181:BC$350))</f>
        <v>381.49497571385729</v>
      </c>
      <c r="AZ25" s="668">
        <f>IF(AZ$4="forecast",(AVERAGE(AN25:AY25)),SUMIF('Dept. Cost Actuals'!$E$7:$E$176,"*Meals and Entertainment*",'Dept. Cost Actuals'!BD$181:BD$350))</f>
        <v>380.14205603796682</v>
      </c>
      <c r="BA25" s="668">
        <f>IF(BA$4="forecast",(AVERAGE(AO25:AZ25)),SUMIF('Dept. Cost Actuals'!$E$7:$E$176,"*Meals and Entertainment*",'Dept. Cost Actuals'!BE$181:BE$350))</f>
        <v>378.75632352919291</v>
      </c>
      <c r="BB25" s="668">
        <f>IF(BB$4="forecast",(AVERAGE(AP25:BA25)),SUMIF('Dept. Cost Actuals'!$E$7:$E$176,"*Meals and Entertainment*",'Dept. Cost Actuals'!BF$181:BF$350))</f>
        <v>376.24094076869295</v>
      </c>
      <c r="BC25" s="668">
        <f>IF(BC$4="forecast",(AVERAGE(AQ25:BB25)),SUMIF('Dept. Cost Actuals'!$E$7:$E$176,"*Meals and Entertainment*",'Dept. Cost Actuals'!BG$181:BG$350))</f>
        <v>375.43274196804583</v>
      </c>
      <c r="BD25" s="668">
        <f>IF(BD$4="forecast",(AVERAGE(AR25:BC25)),SUMIF('Dept. Cost Actuals'!$E$7:$E$176,"*Meals and Entertainment*",'Dept. Cost Actuals'!BH$181:BH$350))</f>
        <v>375.10887618602686</v>
      </c>
      <c r="BE25" s="668">
        <f>IF(BE$4="forecast",(AVERAGE(AS25:BD25)),SUMIF('Dept. Cost Actuals'!$E$7:$E$176,"*Meals and Entertainment*",'Dept. Cost Actuals'!BI$181:BI$350))</f>
        <v>375.4702739559919</v>
      </c>
      <c r="BF25" s="668">
        <f>IF(BF$4="forecast",(AVERAGE(AT25:BE25)),SUMIF('Dept. Cost Actuals'!$E$7:$E$176,"*Meals and Entertainment*",'Dept. Cost Actuals'!BJ$181:BJ$350))</f>
        <v>376.33367472503488</v>
      </c>
      <c r="BG25" s="668">
        <f>IF(BG$4="forecast",(AVERAGE(AU25:BF25)),SUMIF('Dept. Cost Actuals'!$E$7:$E$176,"*Meals and Entertainment*",'Dept. Cost Actuals'!BK$181:BK$350))</f>
        <v>376.9104811853253</v>
      </c>
      <c r="BH25" s="668">
        <f>IF(BH$4="forecast",(AVERAGE(AV25:BG25)),SUMIF('Dept. Cost Actuals'!$E$7:$E$176,"*Meals and Entertainment*",'Dept. Cost Actuals'!BL$181:BL$350))</f>
        <v>377.32834328182207</v>
      </c>
      <c r="BI25" s="668">
        <f>IF(BI$4="forecast",(AVERAGE(AW25:BH25)),SUMIF('Dept. Cost Actuals'!$E$7:$E$176,"*Meals and Entertainment*",'Dept. Cost Actuals'!BM$181:BM$350))</f>
        <v>377.64338061926827</v>
      </c>
      <c r="BJ25" s="668">
        <f>IF(BJ$4="forecast",(AVERAGE(AX25:BI25)),SUMIF('Dept. Cost Actuals'!$E$7:$E$176,"*Meals and Entertainment*",'Dept. Cost Actuals'!BN$181:BN$350))</f>
        <v>377.61624548342866</v>
      </c>
      <c r="BK25" s="668">
        <f>IF(BK$4="forecast",(AVERAGE(AY25:BJ25)),SUMIF('Dept. Cost Actuals'!$E$7:$E$176,"*Meals and Entertainment*",'Dept. Cost Actuals'!BO$181:BO$350))</f>
        <v>377.37319278788783</v>
      </c>
      <c r="BL25" s="668">
        <f>IF(BL$4="forecast",(AVERAGE(AZ25:BK25)),SUMIF('Dept. Cost Actuals'!$E$7:$E$176,"*Meals and Entertainment*",'Dept. Cost Actuals'!BP$181:BP$350))</f>
        <v>377.02971087739041</v>
      </c>
      <c r="BM25" s="668">
        <f>IF(BM$4="forecast",(AVERAGE(BA25:BL25)),SUMIF('Dept. Cost Actuals'!$E$7:$E$176,"*Meals and Entertainment*",'Dept. Cost Actuals'!BQ$181:BQ$350))</f>
        <v>376.77034878067565</v>
      </c>
      <c r="BN25" s="668">
        <f>IF(BN$4="forecast",(AVERAGE(BB25:BM25)),SUMIF('Dept. Cost Actuals'!$E$7:$E$176,"*Meals and Entertainment*",'Dept. Cost Actuals'!BR$181:BR$350))</f>
        <v>376.60485088496586</v>
      </c>
      <c r="BO25" s="668">
        <f>IF(BO$4="forecast",(AVERAGE(BC25:BN25)),SUMIF('Dept. Cost Actuals'!$E$7:$E$176,"*Meals and Entertainment*",'Dept. Cost Actuals'!BS$181:BS$350))</f>
        <v>376.63517672798866</v>
      </c>
      <c r="BP25" s="668">
        <f>IF(BP$4="forecast",(AVERAGE(BD25:BO25)),SUMIF('Dept. Cost Actuals'!$E$7:$E$176,"*Meals and Entertainment*",'Dept. Cost Actuals'!BT$181:BT$350))</f>
        <v>376.73537962465053</v>
      </c>
      <c r="BQ25" s="668">
        <f>IF(BQ$4="forecast",(AVERAGE(BE25:BP25)),SUMIF('Dept. Cost Actuals'!$E$7:$E$176,"*Meals and Entertainment*",'Dept. Cost Actuals'!BU$181:BU$350))</f>
        <v>376.87092157786918</v>
      </c>
      <c r="BR25" s="668">
        <f>IF(BR$4="forecast",(AVERAGE(BF25:BQ25)),SUMIF('Dept. Cost Actuals'!$E$7:$E$176,"*Meals and Entertainment*",'Dept. Cost Actuals'!BV$181:BV$350))</f>
        <v>376.98764221302559</v>
      </c>
      <c r="BS25" s="668">
        <f>IF(BS$4="forecast",(AVERAGE(BG25:BR25)),SUMIF('Dept. Cost Actuals'!$E$7:$E$176,"*Meals and Entertainment*",'Dept. Cost Actuals'!BW$181:BW$350))</f>
        <v>377.04213950369149</v>
      </c>
      <c r="BT25" s="668">
        <f>IF(BT$4="forecast",(AVERAGE(BH25:BS25)),SUMIF('Dept. Cost Actuals'!$E$7:$E$176,"*Meals and Entertainment*",'Dept. Cost Actuals'!BX$181:BX$350))</f>
        <v>377.05311103022206</v>
      </c>
      <c r="BU25" s="668">
        <f>IF(BU$4="forecast",(AVERAGE(BI25:BT25)),SUMIF('Dept. Cost Actuals'!$E$7:$E$176,"*Meals and Entertainment*",'Dept. Cost Actuals'!BY$181:BY$350))</f>
        <v>377.03017500925534</v>
      </c>
      <c r="BV25" s="790">
        <f>IF(BV$4="forecast",(AVERAGE(BJ25:BU25)),SUMIF('Dept. Cost Actuals'!$E$7:$E$176,"*Meals and Entertainment*",'Dept. Cost Actuals'!BZ$181:BZ$350))</f>
        <v>376.9790745417543</v>
      </c>
    </row>
    <row r="26" spans="2:74" x14ac:dyDescent="0.25">
      <c r="B26" s="794" t="s">
        <v>1076</v>
      </c>
      <c r="C26" s="668">
        <f>IF(C$4="forecast",(AVERAGE(#REF!)),SUMIF('Dept. Cost Actuals'!$E$7:$E$176,"*Telephone*",'Dept. Cost Actuals'!G$181:G$350))</f>
        <v>116.24723042537528</v>
      </c>
      <c r="D26" s="668">
        <f>IF(D$4="forecast",(AVERAGE(#REF!)),SUMIF('Dept. Cost Actuals'!$E$7:$E$176,"*Telephone*",'Dept. Cost Actuals'!H$181:H$350))</f>
        <v>58.54336726045279</v>
      </c>
      <c r="E26" s="668">
        <f>IF(E$4="forecast",(AVERAGE(#REF!)),SUMIF('Dept. Cost Actuals'!$E$7:$E$176,"*Telephone*",'Dept. Cost Actuals'!I$181:I$350))</f>
        <v>36.740805843856428</v>
      </c>
      <c r="F26" s="668">
        <f>IF(F$4="forecast",(AVERAGE(#REF!)),SUMIF('Dept. Cost Actuals'!$E$7:$E$176,"*Telephone*",'Dept. Cost Actuals'!J$181:J$350))</f>
        <v>14.492260975829055</v>
      </c>
      <c r="G26" s="668">
        <f>IF(G$4="forecast",(AVERAGE(#REF!)),SUMIF('Dept. Cost Actuals'!$E$7:$E$176,"*Telephone*",'Dept. Cost Actuals'!K$181:K$350))</f>
        <v>18.068529335019775</v>
      </c>
      <c r="H26" s="668">
        <f>IF(H$4="forecast",(AVERAGE(#REF!)),SUMIF('Dept. Cost Actuals'!$E$7:$E$176,"*Telephone*",'Dept. Cost Actuals'!L$181:L$350))</f>
        <v>12.893678091046883</v>
      </c>
      <c r="I26" s="668">
        <f>IF(I$4="forecast",(AVERAGE(#REF!)),SUMIF('Dept. Cost Actuals'!$E$7:$E$176,"*Telephone*",'Dept. Cost Actuals'!M$181:M$350))</f>
        <v>40.191266961505569</v>
      </c>
      <c r="J26" s="668">
        <f>IF(J$4="forecast",(AVERAGE(#REF!)),SUMIF('Dept. Cost Actuals'!$E$7:$E$176,"*Telephone*",'Dept. Cost Actuals'!N$181:N$350))</f>
        <v>8.964946127121264</v>
      </c>
      <c r="K26" s="668">
        <f>IF(K$4="forecast",(AVERAGE(#REF!)),SUMIF('Dept. Cost Actuals'!$E$7:$E$176,"*Telephone*",'Dept. Cost Actuals'!O$181:O$350))</f>
        <v>7.2729728603401718</v>
      </c>
      <c r="L26" s="668">
        <f>IF(L$4="forecast",(AVERAGE(#REF!)),SUMIF('Dept. Cost Actuals'!$E$7:$E$176,"*Telephone*",'Dept. Cost Actuals'!P$181:P$350))</f>
        <v>4.3732638357107447</v>
      </c>
      <c r="M26" s="668">
        <f>IF(M$4="forecast",(AVERAGE(A26:L26)),SUMIF('Dept. Cost Actuals'!$E$7:$E$176,"*Telephone*",'Dept. Cost Actuals'!Q$181:Q$350))</f>
        <v>7.6875868821589624</v>
      </c>
      <c r="N26" s="668">
        <f>IF(N$4="forecast",(AVERAGE(B26:M26)),SUMIF('Dept. Cost Actuals'!$E$7:$E$176,"*Telephone*",'Dept. Cost Actuals'!R$181:R$350))</f>
        <v>7.7348735766294112</v>
      </c>
      <c r="O26" s="668">
        <f>IF(O$4="forecast",(AVERAGE(C26:N26)),SUMIF('Dept. Cost Actuals'!$E$7:$E$176,"*Telephone*",'Dept. Cost Actuals'!S$181:S$350))</f>
        <v>0</v>
      </c>
      <c r="P26" s="668">
        <f>IF(P$4="forecast",(AVERAGE(D26:O26)),SUMIF('Dept. Cost Actuals'!$E$7:$E$176,"*Telephone*",'Dept. Cost Actuals'!T$181:T$350))</f>
        <v>0</v>
      </c>
      <c r="Q26" s="668">
        <f>IF(Q$4="forecast",(AVERAGE(E26:P26)),SUMIF('Dept. Cost Actuals'!$E$7:$E$176,"*Telephone*",'Dept. Cost Actuals'!U$181:U$350))</f>
        <v>0</v>
      </c>
      <c r="R26" s="668">
        <f>IF(R$4="forecast",(AVERAGE(F26:Q26)),SUMIF('Dept. Cost Actuals'!$E$7:$E$176,"*Telephone*",'Dept. Cost Actuals'!V$181:V$350))</f>
        <v>0</v>
      </c>
      <c r="S26" s="668">
        <f>IF(S$4="forecast",(AVERAGE(G26:R26)),SUMIF('Dept. Cost Actuals'!$E$7:$E$176,"*Telephone*",'Dept. Cost Actuals'!W$181:W$350))</f>
        <v>0</v>
      </c>
      <c r="T26" s="668">
        <f>IF(T$4="forecast",(AVERAGE(H26:S26)),SUMIF('Dept. Cost Actuals'!$E$7:$E$176,"*Telephone*",'Dept. Cost Actuals'!X$181:X$350))</f>
        <v>0</v>
      </c>
      <c r="U26" s="668">
        <f>IF(U$4="forecast",(AVERAGE(I26:T26)),SUMIF('Dept. Cost Actuals'!$E$7:$E$176,"*Telephone*",'Dept. Cost Actuals'!Y$181:Y$350))</f>
        <v>0</v>
      </c>
      <c r="V26" s="668">
        <f>IF(V$4="forecast",(AVERAGE(J26:U26)),SUMIF('Dept. Cost Actuals'!$E$7:$E$176,"*Telephone*",'Dept. Cost Actuals'!Z$181:Z$350))</f>
        <v>0</v>
      </c>
      <c r="W26" s="668">
        <f>IF(W$4="forecast",(AVERAGE(K26:V26)),SUMIF('Dept. Cost Actuals'!$E$7:$E$176,"*Telephone*",'Dept. Cost Actuals'!AA$181:AA$350))</f>
        <v>0</v>
      </c>
      <c r="X26" s="668">
        <f>IF(X$4="forecast",(AVERAGE(L26:W26)),SUMIF('Dept. Cost Actuals'!$E$7:$E$176,"*Telephone*",'Dept. Cost Actuals'!AB$181:AB$350))</f>
        <v>0</v>
      </c>
      <c r="Y26" s="668">
        <f>IF(Y$4="forecast",(AVERAGE(M26:X26)),SUMIF('Dept. Cost Actuals'!$E$7:$E$176,"*Telephone*",'Dept. Cost Actuals'!AC$181:AC$350))</f>
        <v>0</v>
      </c>
      <c r="Z26" s="668">
        <f>IF(Z$4="forecast",(AVERAGE(N26:Y26)),SUMIF('Dept. Cost Actuals'!$E$7:$E$176,"*Telephone*",'Dept. Cost Actuals'!AD$181:AD$350))</f>
        <v>0</v>
      </c>
      <c r="AA26" s="668">
        <f>IF(AA$4="forecast",(AVERAGE(O26:Z26)),SUMIF('Dept. Cost Actuals'!$E$7:$E$176,"*Telephone*",'Dept. Cost Actuals'!AE$181:AE$350))</f>
        <v>24.39</v>
      </c>
      <c r="AB26" s="668">
        <f>IF(AB$4="forecast",(AVERAGE(P26:AA26)),SUMIF('Dept. Cost Actuals'!$E$7:$E$176,"*Telephone*",'Dept. Cost Actuals'!AF$181:AF$350))</f>
        <v>21.81</v>
      </c>
      <c r="AC26" s="668">
        <f>IF(AC$4="forecast",(AVERAGE(Q26:AB26)),SUMIF('Dept. Cost Actuals'!$E$7:$E$176,"*Telephone*",'Dept. Cost Actuals'!AG$181:AG$350))</f>
        <v>25.38</v>
      </c>
      <c r="AD26" s="668">
        <f>IF(AD$4="forecast",(AVERAGE(R26:AC26)),SUMIF('Dept. Cost Actuals'!$E$7:$E$176,"*Telephone*",'Dept. Cost Actuals'!AH$181:AH$350))</f>
        <v>5.9649999999999999</v>
      </c>
      <c r="AE26" s="668">
        <f>IF(AE$4="forecast",(AVERAGE(S26:AD26)),SUMIF('Dept. Cost Actuals'!$E$7:$E$176,"*Telephone*",'Dept. Cost Actuals'!AI$181:AI$350))</f>
        <v>6.4620833333333332</v>
      </c>
      <c r="AF26" s="668">
        <f>IF(AF$4="forecast",(AVERAGE(T26:AE26)),SUMIF('Dept. Cost Actuals'!$E$7:$E$176,"*Telephone*",'Dept. Cost Actuals'!AJ$181:AJ$350))</f>
        <v>7.0005902777777784</v>
      </c>
      <c r="AG26" s="668">
        <f>IF(AG$4="forecast",(AVERAGE(U26:AF26)),SUMIF('Dept. Cost Actuals'!$E$7:$E$176,"*Telephone*",'Dept. Cost Actuals'!AK$181:AK$350))</f>
        <v>7.5839728009259266</v>
      </c>
      <c r="AH26" s="668">
        <f>IF(AH$4="forecast",(AVERAGE(V26:AG26)),SUMIF('Dept. Cost Actuals'!$E$7:$E$176,"*Telephone*",'Dept. Cost Actuals'!AL$181:AL$350))</f>
        <v>8.2159705343364191</v>
      </c>
      <c r="AI26" s="668">
        <f>IF(AI$4="forecast",(AVERAGE(W26:AH26)),SUMIF('Dept. Cost Actuals'!$E$7:$E$176,"*Telephone*",'Dept. Cost Actuals'!AM$181:AM$350))</f>
        <v>8.9006347455311214</v>
      </c>
      <c r="AJ26" s="668">
        <f>IF(AJ$4="forecast",(AVERAGE(X26:AI26)),SUMIF('Dept. Cost Actuals'!$E$7:$E$176,"*Telephone*",'Dept. Cost Actuals'!AN$181:AN$350))</f>
        <v>9.6423543076587155</v>
      </c>
      <c r="AK26" s="668">
        <f>IF(AK$4="forecast",(AVERAGE(Y26:AJ26)),SUMIF('Dept. Cost Actuals'!$E$7:$E$176,"*Telephone*",'Dept. Cost Actuals'!AO$181:AO$350))</f>
        <v>10.445883833296941</v>
      </c>
      <c r="AL26" s="668">
        <f>IF(AL$4="forecast",(AVERAGE(Z26:AK26)),SUMIF('Dept. Cost Actuals'!$E$7:$E$176,"*Telephone*",'Dept. Cost Actuals'!AP$181:AP$350))</f>
        <v>11.316374152738353</v>
      </c>
      <c r="AM26" s="668">
        <f>IF(AM$4="forecast",(AVERAGE(AA26:AL26)),SUMIF('Dept. Cost Actuals'!$E$7:$E$176,"*Telephone*",'Dept. Cost Actuals'!AQ$181:AQ$350))</f>
        <v>12.259405332133214</v>
      </c>
      <c r="AN26" s="668">
        <f>IF(AN$4="forecast",(AVERAGE(AB26:AM26)),SUMIF('Dept. Cost Actuals'!$E$7:$E$176,"*Telephone*",'Dept. Cost Actuals'!AR$181:AR$350))</f>
        <v>11.248522443144317</v>
      </c>
      <c r="AO26" s="668">
        <f>IF(AO$4="forecast",(AVERAGE(AC26:AN26)),SUMIF('Dept. Cost Actuals'!$E$7:$E$176,"*Telephone*",'Dept. Cost Actuals'!AS$181:AS$350))</f>
        <v>10.368399313406343</v>
      </c>
      <c r="AP26" s="668">
        <f>IF(AP$4="forecast",(AVERAGE(AD26:AO26)),SUMIF('Dept. Cost Actuals'!$E$7:$E$176,"*Telephone*",'Dept. Cost Actuals'!AT$181:AT$350))</f>
        <v>9.1174325895235384</v>
      </c>
      <c r="AQ26" s="668">
        <f>IF(AQ$4="forecast",(AVERAGE(AE26:AP26)),SUMIF('Dept. Cost Actuals'!$E$7:$E$176,"*Telephone*",'Dept. Cost Actuals'!AU$181:AU$350))</f>
        <v>9.3801353053171663</v>
      </c>
      <c r="AR26" s="668">
        <f>IF(AR$4="forecast",(AVERAGE(AF26:AQ26)),SUMIF('Dept. Cost Actuals'!$E$7:$E$176,"*Telephone*",'Dept. Cost Actuals'!AV$181:AV$350))</f>
        <v>9.6233063029824848</v>
      </c>
      <c r="AS26" s="668">
        <f>IF(AS$4="forecast",(AVERAGE(AG26:AR26)),SUMIF('Dept. Cost Actuals'!$E$7:$E$176,"*Telephone*",'Dept. Cost Actuals'!AW$181:AW$350))</f>
        <v>9.8418659717495434</v>
      </c>
      <c r="AT26" s="668">
        <f>IF(AT$4="forecast",(AVERAGE(AH26:AS26)),SUMIF('Dept. Cost Actuals'!$E$7:$E$176,"*Telephone*",'Dept. Cost Actuals'!AX$181:AX$350))</f>
        <v>10.030023735984846</v>
      </c>
      <c r="AU26" s="668">
        <f>IF(AU$4="forecast",(AVERAGE(AI26:AT26)),SUMIF('Dept. Cost Actuals'!$E$7:$E$176,"*Telephone*",'Dept. Cost Actuals'!AY$181:AY$350))</f>
        <v>10.181194836122215</v>
      </c>
      <c r="AV26" s="668">
        <f>IF(AV$4="forecast",(AVERAGE(AJ26:AU26)),SUMIF('Dept. Cost Actuals'!$E$7:$E$176,"*Telephone*",'Dept. Cost Actuals'!AZ$181:AZ$350))</f>
        <v>10.287908177004805</v>
      </c>
      <c r="AW26" s="668">
        <f>IF(AW$4="forecast",(AVERAGE(AK26:AV26)),SUMIF('Dept. Cost Actuals'!$E$7:$E$176,"*Telephone*",'Dept. Cost Actuals'!BA$181:BA$350))</f>
        <v>10.341704332783648</v>
      </c>
      <c r="AX26" s="668">
        <f>IF(AX$4="forecast",(AVERAGE(AL26:AW26)),SUMIF('Dept. Cost Actuals'!$E$7:$E$176,"*Telephone*",'Dept. Cost Actuals'!BB$181:BB$350))</f>
        <v>10.333022707740874</v>
      </c>
      <c r="AY26" s="668">
        <f>IF(AY$4="forecast",(AVERAGE(AM26:AX26)),SUMIF('Dept. Cost Actuals'!$E$7:$E$176,"*Telephone*",'Dept. Cost Actuals'!BC$181:BC$350))</f>
        <v>10.251076753991084</v>
      </c>
      <c r="AZ26" s="668">
        <f>IF(AZ$4="forecast",(AVERAGE(AN26:AY26)),SUMIF('Dept. Cost Actuals'!$E$7:$E$176,"*Telephone*",'Dept. Cost Actuals'!BD$181:BD$350))</f>
        <v>10.083716039145907</v>
      </c>
      <c r="BA26" s="668">
        <f>IF(BA$4="forecast",(AVERAGE(AO26:AZ26)),SUMIF('Dept. Cost Actuals'!$E$7:$E$176,"*Telephone*",'Dept. Cost Actuals'!BE$181:BE$350))</f>
        <v>9.986648838812707</v>
      </c>
      <c r="BB26" s="668">
        <f>IF(BB$4="forecast",(AVERAGE(AP26:BA26)),SUMIF('Dept. Cost Actuals'!$E$7:$E$176,"*Telephone*",'Dept. Cost Actuals'!BF$181:BF$350))</f>
        <v>9.9548362992632367</v>
      </c>
      <c r="BC26" s="668">
        <f>IF(BC$4="forecast",(AVERAGE(AQ26:BB26)),SUMIF('Dept. Cost Actuals'!$E$7:$E$176,"*Telephone*",'Dept. Cost Actuals'!BG$181:BG$350))</f>
        <v>10.024619941741543</v>
      </c>
      <c r="BD26" s="668">
        <f>IF(BD$4="forecast",(AVERAGE(AR26:BC26)),SUMIF('Dept. Cost Actuals'!$E$7:$E$176,"*Telephone*",'Dept. Cost Actuals'!BH$181:BH$350))</f>
        <v>10.078326994776909</v>
      </c>
      <c r="BE26" s="668">
        <f>IF(BE$4="forecast",(AVERAGE(AS26:BD26)),SUMIF('Dept. Cost Actuals'!$E$7:$E$176,"*Telephone*",'Dept. Cost Actuals'!BI$181:BI$350))</f>
        <v>10.116245385759777</v>
      </c>
      <c r="BF26" s="668">
        <f>IF(BF$4="forecast",(AVERAGE(AT26:BE26)),SUMIF('Dept. Cost Actuals'!$E$7:$E$176,"*Telephone*",'Dept. Cost Actuals'!BJ$181:BJ$350))</f>
        <v>10.139110336927297</v>
      </c>
      <c r="BG26" s="668">
        <f>IF(BG$4="forecast",(AVERAGE(AU26:BF26)),SUMIF('Dept. Cost Actuals'!$E$7:$E$176,"*Telephone*",'Dept. Cost Actuals'!BK$181:BK$350))</f>
        <v>10.148200887005835</v>
      </c>
      <c r="BH26" s="668">
        <f>IF(BH$4="forecast",(AVERAGE(AV26:BG26)),SUMIF('Dept. Cost Actuals'!$E$7:$E$176,"*Telephone*",'Dept. Cost Actuals'!BL$181:BL$350))</f>
        <v>10.145451391246135</v>
      </c>
      <c r="BI26" s="668">
        <f>IF(BI$4="forecast",(AVERAGE(AW26:BH26)),SUMIF('Dept. Cost Actuals'!$E$7:$E$176,"*Telephone*",'Dept. Cost Actuals'!BM$181:BM$350))</f>
        <v>10.133579992432912</v>
      </c>
      <c r="BJ26" s="668">
        <f>IF(BJ$4="forecast",(AVERAGE(AX26:BI26)),SUMIF('Dept. Cost Actuals'!$E$7:$E$176,"*Telephone*",'Dept. Cost Actuals'!BN$181:BN$350))</f>
        <v>10.116236297403685</v>
      </c>
      <c r="BK26" s="668">
        <f>IF(BK$4="forecast",(AVERAGE(AY26:BJ26)),SUMIF('Dept. Cost Actuals'!$E$7:$E$176,"*Telephone*",'Dept. Cost Actuals'!BO$181:BO$350))</f>
        <v>10.09817076320892</v>
      </c>
      <c r="BL26" s="668">
        <f>IF(BL$4="forecast",(AVERAGE(AZ26:BK26)),SUMIF('Dept. Cost Actuals'!$E$7:$E$176,"*Telephone*",'Dept. Cost Actuals'!BP$181:BP$350))</f>
        <v>10.085428597310406</v>
      </c>
      <c r="BM26" s="668">
        <f>IF(BM$4="forecast",(AVERAGE(BA26:BL26)),SUMIF('Dept. Cost Actuals'!$E$7:$E$176,"*Telephone*",'Dept. Cost Actuals'!BQ$181:BQ$350))</f>
        <v>10.085571310490781</v>
      </c>
      <c r="BN26" s="668">
        <f>IF(BN$4="forecast",(AVERAGE(BB26:BM26)),SUMIF('Dept. Cost Actuals'!$E$7:$E$176,"*Telephone*",'Dept. Cost Actuals'!BR$181:BR$350))</f>
        <v>10.093814849797289</v>
      </c>
      <c r="BO26" s="668">
        <f>IF(BO$4="forecast",(AVERAGE(BC26:BN26)),SUMIF('Dept. Cost Actuals'!$E$7:$E$176,"*Telephone*",'Dept. Cost Actuals'!BS$181:BS$350))</f>
        <v>10.105396395675124</v>
      </c>
      <c r="BP26" s="668">
        <f>IF(BP$4="forecast",(AVERAGE(BD26:BO26)),SUMIF('Dept. Cost Actuals'!$E$7:$E$176,"*Telephone*",'Dept. Cost Actuals'!BT$181:BT$350))</f>
        <v>10.112127766836254</v>
      </c>
      <c r="BQ26" s="668">
        <f>IF(BQ$4="forecast",(AVERAGE(BE26:BP26)),SUMIF('Dept. Cost Actuals'!$E$7:$E$176,"*Telephone*",'Dept. Cost Actuals'!BU$181:BU$350))</f>
        <v>10.114944497841202</v>
      </c>
      <c r="BR26" s="668">
        <f>IF(BR$4="forecast",(AVERAGE(BF26:BQ26)),SUMIF('Dept. Cost Actuals'!$E$7:$E$176,"*Telephone*",'Dept. Cost Actuals'!BV$181:BV$350))</f>
        <v>10.114836090514652</v>
      </c>
      <c r="BS26" s="668">
        <f>IF(BS$4="forecast",(AVERAGE(BG26:BR26)),SUMIF('Dept. Cost Actuals'!$E$7:$E$176,"*Telephone*",'Dept. Cost Actuals'!BW$181:BW$350))</f>
        <v>10.112813236646934</v>
      </c>
      <c r="BT26" s="668">
        <f>IF(BT$4="forecast",(AVERAGE(BH26:BS26)),SUMIF('Dept. Cost Actuals'!$E$7:$E$176,"*Telephone*",'Dept. Cost Actuals'!BX$181:BX$350))</f>
        <v>10.109864265783692</v>
      </c>
      <c r="BU26" s="668">
        <f>IF(BU$4="forecast",(AVERAGE(BI26:BT26)),SUMIF('Dept. Cost Actuals'!$E$7:$E$176,"*Telephone*",'Dept. Cost Actuals'!BY$181:BY$350))</f>
        <v>10.106898671995154</v>
      </c>
      <c r="BV26" s="790">
        <f>IF(BV$4="forecast",(AVERAGE(BJ26:BU26)),SUMIF('Dept. Cost Actuals'!$E$7:$E$176,"*Telephone*",'Dept. Cost Actuals'!BZ$181:BZ$350))</f>
        <v>10.104675228625341</v>
      </c>
    </row>
    <row r="27" spans="2:74" x14ac:dyDescent="0.25">
      <c r="B27" s="1208" t="s">
        <v>936</v>
      </c>
      <c r="C27" s="668">
        <f>IF(C$4="forecast",C$7*'Direct People Department Costs'!$H$13,SUMIF('Dept. Cost Actuals'!$E$7:$E$176,"*Software*",'Dept. Cost Actuals'!G$181:G$350))</f>
        <v>0</v>
      </c>
      <c r="D27" s="668">
        <f>IF(D$4="forecast",D$7*'Direct People Department Costs'!$H$13,SUMIF('Dept. Cost Actuals'!$E$7:$E$176,"*Software*",'Dept. Cost Actuals'!H$181:H$350))</f>
        <v>0</v>
      </c>
      <c r="E27" s="668">
        <f>IF(E$4="forecast",E$7*'Direct People Department Costs'!$H$13,SUMIF('Dept. Cost Actuals'!$E$7:$E$176,"*Software*",'Dept. Cost Actuals'!I$181:I$350))</f>
        <v>0</v>
      </c>
      <c r="F27" s="668">
        <f>IF(F$4="forecast",F$7*'Direct People Department Costs'!$H$13,SUMIF('Dept. Cost Actuals'!$E$7:$E$176,"*Software*",'Dept. Cost Actuals'!J$181:J$350))</f>
        <v>0</v>
      </c>
      <c r="G27" s="668">
        <f>IF(G$4="forecast",G$7*'Direct People Department Costs'!$H$13,SUMIF('Dept. Cost Actuals'!$E$7:$E$176,"*Software*",'Dept. Cost Actuals'!K$181:K$350))</f>
        <v>0</v>
      </c>
      <c r="H27" s="668">
        <f>IF(H$4="forecast",H$7*'Direct People Department Costs'!$H$13,SUMIF('Dept. Cost Actuals'!$E$7:$E$176,"*Software*",'Dept. Cost Actuals'!L$181:L$350))</f>
        <v>0</v>
      </c>
      <c r="I27" s="668">
        <f>IF(I$4="forecast",I$7*'Direct People Department Costs'!$H$13,SUMIF('Dept. Cost Actuals'!$E$7:$E$176,"*Software*",'Dept. Cost Actuals'!M$181:M$350))</f>
        <v>0</v>
      </c>
      <c r="J27" s="668">
        <f>IF(J$4="forecast",J$7*'Direct People Department Costs'!$H$13,SUMIF('Dept. Cost Actuals'!$E$7:$E$176,"*Software*",'Dept. Cost Actuals'!N$181:N$350))</f>
        <v>0</v>
      </c>
      <c r="K27" s="668">
        <f>IF(K$4="forecast",K$7*'Direct People Department Costs'!$H$13,SUMIF('Dept. Cost Actuals'!$E$7:$E$176,"*Software*",'Dept. Cost Actuals'!O$181:O$350))</f>
        <v>0</v>
      </c>
      <c r="L27" s="668">
        <f>IF(L$4="forecast",L$7*'Direct People Department Costs'!$H$13,SUMIF('Dept. Cost Actuals'!$E$7:$E$176,"*Software*",'Dept. Cost Actuals'!P$181:P$350))</f>
        <v>0</v>
      </c>
      <c r="M27" s="668">
        <f>IF(M$4="forecast",M$7*'Direct People Department Costs'!$H$13,SUMIF('Dept. Cost Actuals'!$E$7:$E$176,"*Software*",'Dept. Cost Actuals'!Q$181:Q$350))</f>
        <v>0</v>
      </c>
      <c r="N27" s="668">
        <f>IF(N$4="forecast",N$7*'Direct People Department Costs'!$H$13,SUMIF('Dept. Cost Actuals'!$E$7:$E$176,"*Software*",'Dept. Cost Actuals'!R$181:R$350))</f>
        <v>0</v>
      </c>
      <c r="O27" s="668">
        <f>IF(O$4="forecast",O$7*'Direct People Department Costs'!$H$13,SUMIF('Dept. Cost Actuals'!$E$7:$E$176,"*Software*",'Dept. Cost Actuals'!S$181:S$350))</f>
        <v>208</v>
      </c>
      <c r="P27" s="668">
        <f>IF(P$4="forecast",P$7*'Direct People Department Costs'!$H$13,SUMIF('Dept. Cost Actuals'!$E$7:$E$176,"*Software*",'Dept. Cost Actuals'!T$181:T$350))</f>
        <v>1499</v>
      </c>
      <c r="Q27" s="668">
        <f>IF(Q$4="forecast",Q$7*'Direct People Department Costs'!$H$13,SUMIF('Dept. Cost Actuals'!$E$7:$E$176,"*Software*",'Dept. Cost Actuals'!U$181:U$350))</f>
        <v>1699</v>
      </c>
      <c r="R27" s="668">
        <f>IF(R$4="forecast",R$7*'Direct People Department Costs'!$H$13,SUMIF('Dept. Cost Actuals'!$E$7:$E$176,"*Software*",'Dept. Cost Actuals'!V$181:V$350))</f>
        <v>1806.49</v>
      </c>
      <c r="S27" s="668">
        <f>IF(S$4="forecast",S$7*'Direct People Department Costs'!$H$13,SUMIF('Dept. Cost Actuals'!$E$7:$E$176,"*Software*",'Dept. Cost Actuals'!W$181:W$350))</f>
        <v>2227.06</v>
      </c>
      <c r="T27" s="668">
        <f>IF(T$4="forecast",T$7*'Direct People Department Costs'!$H$13,SUMIF('Dept. Cost Actuals'!$E$7:$E$176,"*Software*",'Dept. Cost Actuals'!X$181:X$350))</f>
        <v>1926</v>
      </c>
      <c r="U27" s="668">
        <f>IF(U$4="forecast",U$7*'Direct People Department Costs'!$H$13,SUMIF('Dept. Cost Actuals'!$E$7:$E$176,"*Software*",'Dept. Cost Actuals'!Y$181:Y$350))</f>
        <v>1921.88</v>
      </c>
      <c r="V27" s="668">
        <f>IF(V$4="forecast",V$7*'Direct People Department Costs'!$H$13,SUMIF('Dept. Cost Actuals'!$E$7:$E$176,"*Software*",'Dept. Cost Actuals'!Z$181:Z$350))</f>
        <v>1946.87</v>
      </c>
      <c r="W27" s="668">
        <f>IF(W$4="forecast",W$7*'Direct People Department Costs'!$H$13,SUMIF('Dept. Cost Actuals'!$E$7:$E$176,"*Software*",'Dept. Cost Actuals'!AA$181:AA$350))</f>
        <v>1876.94</v>
      </c>
      <c r="X27" s="668">
        <f>IF(X$4="forecast",X$7*'Direct People Department Costs'!$H$13,SUMIF('Dept. Cost Actuals'!$E$7:$E$176,"*Software*",'Dept. Cost Actuals'!AB$181:AB$350))</f>
        <v>2924.2</v>
      </c>
      <c r="Y27" s="668">
        <f>IF(Y$4="forecast",Y$7*'Direct People Department Costs'!$H$13,SUMIF('Dept. Cost Actuals'!$E$7:$E$176,"*Software*",'Dept. Cost Actuals'!AC$181:AC$350))</f>
        <v>2530.27</v>
      </c>
      <c r="Z27" s="668">
        <f>IF(Z$4="forecast",Z$7*'Direct People Department Costs'!$H$13,SUMIF('Dept. Cost Actuals'!$E$7:$E$176,"*Software*",'Dept. Cost Actuals'!AD$181:AD$350))</f>
        <v>941.27</v>
      </c>
      <c r="AA27" s="668">
        <f>IF(AA$4="forecast",AA$7*'Direct People Department Costs'!$H$13,SUMIF('Dept. Cost Actuals'!$E$7:$E$176,"*Software*",'Dept. Cost Actuals'!AE$181:AE$350))</f>
        <v>3310.28</v>
      </c>
      <c r="AB27" s="668">
        <f>IF(AB$4="forecast",(SUM(O$27:Z$27)/12)*1.1,SUMIF('Dept. Cost Actuals'!$E$7:$E$176,"*Soft*",'Dept. Cost Actuals'!AF$181:AF$350))</f>
        <v>2956.28</v>
      </c>
      <c r="AC27" s="668">
        <f>IF(AC$4="forecast",(SUM(P$27:AA$27)/12)*1.1,SUMIF('Dept. Cost Actuals'!$E$7:$E$176,"*Software*",'Dept. Cost Actuals'!AG$7:AG$176))</f>
        <v>3593.95</v>
      </c>
      <c r="AD27" s="668">
        <f>IF(AD$4="forecast",(SUM(Q$27:AB$27)/12)*1.3,SUMIF('Dept. Cost Actuals'!$E$7:$E$176,"*Software*",'Dept. Cost Actuals'!AH$7:AH$176))</f>
        <v>2823.8751666666667</v>
      </c>
      <c r="AE27" s="668">
        <f>IF(AE$4="forecast",(SUM(R$27:AC$27)/12)*1.3,SUMIF('Dept. Cost Actuals'!$E$7:$E$176,"*Software*",'Dept. Cost Actuals'!AI$7:AI$176))</f>
        <v>3029.1614166666664</v>
      </c>
      <c r="AF27" s="668">
        <f>IF(AF$4="forecast",(SUM(S$27:AD$27)/12)*1.3,SUMIF('Dept. Cost Actuals'!$E$7:$E$176,"*Software*",'Dept. Cost Actuals'!AJ$7:AJ$176))</f>
        <v>3139.3781430555555</v>
      </c>
      <c r="AG27" s="668">
        <f>IF(AG$4="forecast",(SUM(T$27:AE$27)/12)*1.3,SUMIF('Dept. Cost Actuals'!$E$7:$E$176,"*Software*",'Dept. Cost Actuals'!AK$7:AK$176))</f>
        <v>3226.2724631944448</v>
      </c>
      <c r="AH27" s="668">
        <f>IF(AH$4="forecast",(SUM(U$27:AF$27)/12)*1.3,SUMIF('Dept. Cost Actuals'!$E$7:$E$176,"*Software*",'Dept. Cost Actuals'!AL$7:AL$176))</f>
        <v>3357.7217620254632</v>
      </c>
      <c r="AI27" s="668">
        <f>IF(AI$4="forecast",(SUM(V$27:AG$27)/12)*1.3,SUMIF('Dept. Cost Actuals'!$E$7:$E$176,"*Software*",'Dept. Cost Actuals'!AM$7:AM$176))</f>
        <v>3499.0309455381948</v>
      </c>
      <c r="AJ27" s="668">
        <f>IF(AJ$4="forecast",(SUM(W$27:AH$27)/12)*1.3,SUMIF('Dept. Cost Actuals'!$E$7:$E$176,"*Software*",'Dept. Cost Actuals'!AN$7:AN$176))</f>
        <v>3651.8732197576201</v>
      </c>
      <c r="AK27" s="668">
        <f>IF(AK$4="forecast",(SUM(X$27:AI$27)/12)*1.3,SUMIF('Dept. Cost Actuals'!$E$7:$E$176,"*Software*",'Dept. Cost Actuals'!AO$7:AO$176))</f>
        <v>3827.5997388575906</v>
      </c>
      <c r="AL27" s="668">
        <f>IF(AL$4="forecast",(SUM(Y$27:AJ$27)/12)*1.3,SUMIF('Dept. Cost Actuals'!$E$7:$E$176,"*Software*",'Dept. Cost Actuals'!AP$7:AP$176))</f>
        <v>3906.4310043313335</v>
      </c>
      <c r="AM27" s="668">
        <f>IF(AM$4="forecast",(SUM(Z$27:AK$27)/12)*1.3,SUMIF('Dept. Cost Actuals'!$E$7:$E$176,"*Software*",'Dept. Cost Actuals'!AQ$7:AQ$176))</f>
        <v>4046.9750593742388</v>
      </c>
      <c r="AN27" s="668">
        <f>IF(AN$4="forecast",(SUM(AA$27:AL$27)/12)*1.3,SUMIF('Dept. Cost Actuals'!$E$7:$E$176,"*Software*",'Dept. Cost Actuals'!AR$7:AR$176))</f>
        <v>4368.2008348434665</v>
      </c>
      <c r="AO27" s="668">
        <f>IF(AO$4="forecast",(SUM(AB$27:AM$27)/12)*1.3,SUMIF('Dept. Cost Actuals'!$E$7:$E$176,"*Software*",'Dept. Cost Actuals'!AS$7:AS$176))</f>
        <v>4448.0094662756746</v>
      </c>
      <c r="AP27" s="668">
        <f>IF(AP$4="forecast",(SUM(AC$27:AN$27)/12)*1.3,SUMIF('Dept. Cost Actuals'!$E$7:$E$176,"*Software*",'Dept. Cost Actuals'!AT$7:AT$176))</f>
        <v>4600.9675567170507</v>
      </c>
      <c r="AQ27" s="668">
        <f>IF(AQ$4="forecast",(SUM(AD$27:AO$27)/12)*1.3,SUMIF('Dept. Cost Actuals'!$E$7:$E$176,"*Software*",'Dept. Cost Actuals'!AU$7:AU$176))</f>
        <v>4693.4906655635832</v>
      </c>
      <c r="AR27" s="668">
        <f>IF(AR$4="forecast",(SUM(AE$27:AP$27)/12)*1.3,SUMIF('Dept. Cost Actuals'!$E$7:$E$176,"*Software*",'Dept. Cost Actuals'!AV$7:AV$176))</f>
        <v>4886.0090078190415</v>
      </c>
      <c r="AS27" s="668">
        <f>IF(AS$4="forecast",(SUM(AF$27:AQ$27)/12)*1.3,SUMIF('Dept. Cost Actuals'!$E$7:$E$176,"*Software*",'Dept. Cost Actuals'!AW$7:AW$176))</f>
        <v>5066.3113431162074</v>
      </c>
      <c r="AT27" s="668">
        <f>IF(AT$4="forecast",(SUM(AG$27:AR$27)/12)*1.3,SUMIF('Dept. Cost Actuals'!$E$7:$E$176,"*Software*",'Dept. Cost Actuals'!AX$7:AX$176))</f>
        <v>5255.5296867989182</v>
      </c>
      <c r="AU27" s="668">
        <f>IF(AU$4="forecast",(SUM(AH$27:AS$27)/12)*1.3,SUMIF('Dept. Cost Actuals'!$E$7:$E$176,"*Software*",'Dept. Cost Actuals'!AY$7:AY$176))</f>
        <v>5454.8672321237755</v>
      </c>
      <c r="AV27" s="668">
        <f>IF(AV$4="forecast",(SUM(AI$27:AT$27)/12)*1.3,SUMIF('Dept. Cost Actuals'!$E$7:$E$176,"*Software*",'Dept. Cost Actuals'!AZ$7:AZ$176))</f>
        <v>5660.4630906408993</v>
      </c>
      <c r="AW27" s="668">
        <f>IF(AW$4="forecast",(SUM(AJ$27:AU$27)/12)*1.3,SUMIF('Dept. Cost Actuals'!$E$7:$E$176,"*Software*",'Dept. Cost Actuals'!BA$7:BA$176))</f>
        <v>5872.3453550210043</v>
      </c>
      <c r="AX27" s="668">
        <f>IF(AX$4="forecast",(SUM(AK$27:AV$27)/12)*1.3,SUMIF('Dept. Cost Actuals'!$E$7:$E$176,"*Software*",'Dept. Cost Actuals'!BB$7:BB$176))</f>
        <v>6089.9425910333584</v>
      </c>
      <c r="AY27" s="668">
        <f>IF(AY$4="forecast",(SUM(AL$27:AW$27)/12)*1.3,SUMIF('Dept. Cost Actuals'!$E$7:$E$176,"*Software*",'Dept. Cost Actuals'!BC$7:BC$176))</f>
        <v>6311.4566994510624</v>
      </c>
      <c r="AZ27" s="668">
        <f>IF(AZ$4="forecast",(SUM(AM$27:AX$27)/12)*1.3,SUMIF('Dept. Cost Actuals'!$E$7:$E$176,"*Software*",'Dept. Cost Actuals'!BD$7:BD$176))</f>
        <v>6548.0037880104483</v>
      </c>
      <c r="BA27" s="668">
        <f>IF(BA$4="forecast",(SUM(AN$27:AY$27)/12)*1.3,SUMIF('Dept. Cost Actuals'!$E$7:$E$176,"*Software*",'Dept. Cost Actuals'!BE$7:BE$176))</f>
        <v>6793.3226323521039</v>
      </c>
      <c r="BB27" s="668">
        <f>IF(BB$4="forecast",(SUM(AO$27:AZ$27)/12)*1.3,SUMIF('Dept. Cost Actuals'!$E$7:$E$176,"*Software*",'Dept. Cost Actuals'!BF$7:BF$176))</f>
        <v>7029.4679522785273</v>
      </c>
      <c r="BC27" s="668">
        <f>IF(BC$4="forecast",(SUM(AP$27:BA$27)/12)*1.3,SUMIF('Dept. Cost Actuals'!$E$7:$E$176,"*Software*",'Dept. Cost Actuals'!BG$7:BG$176))</f>
        <v>7283.5435452701404</v>
      </c>
      <c r="BD27" s="668">
        <f>IF(BD$4="forecast",(SUM(AQ$27:BB$27)/12)*1.3,SUMIF('Dept. Cost Actuals'!$E$7:$E$176,"*Software*",'Dept. Cost Actuals'!BH$7:BH$176))</f>
        <v>7546.6310881226336</v>
      </c>
      <c r="BE27" s="668">
        <f>IF(BE$4="forecast",(SUM(AR$27:BC$27)/12)*1.3,SUMIF('Dept. Cost Actuals'!$E$7:$E$176,"*Software*",'Dept. Cost Actuals'!BI$7:BI$176))</f>
        <v>7827.220150090845</v>
      </c>
      <c r="BF27" s="668">
        <f>IF(BF$4="forecast",(SUM(AS$27:BD$27)/12)*1.3,SUMIF('Dept. Cost Actuals'!$E$7:$E$176,"*Software*",'Dept. Cost Actuals'!BJ$7:BJ$176))</f>
        <v>8115.4542087904001</v>
      </c>
      <c r="BG27" s="668">
        <f>IF(BG$4="forecast",(SUM(AT$27:BE$27)/12)*1.3,SUMIF('Dept. Cost Actuals'!$E$7:$E$176,"*Software*",'Dept. Cost Actuals'!BK$7:BK$176))</f>
        <v>8414.5526628793195</v>
      </c>
      <c r="BH27" s="668">
        <f>IF(BH$4="forecast",(SUM(AU$27:BF$27)/12)*1.3,SUMIF('Dept. Cost Actuals'!$E$7:$E$176,"*Software*",'Dept. Cost Actuals'!BL$7:BL$176))</f>
        <v>8724.3778194283968</v>
      </c>
      <c r="BI27" s="668">
        <f>IF(BI$4="forecast",(SUM(AV$27:BG$27)/12)*1.3,SUMIF('Dept. Cost Actuals'!$E$7:$E$176,"*Software*",'Dept. Cost Actuals'!BM$7:BM$176))</f>
        <v>9045.0104077602464</v>
      </c>
      <c r="BJ27" s="668">
        <f>IF(BJ$4="forecast",(SUM(AW$27:BH$27)/12)*1.3,SUMIF('Dept. Cost Actuals'!$E$7:$E$176,"*Software*",'Dept. Cost Actuals'!BN$7:BN$176))</f>
        <v>9376.9345033788904</v>
      </c>
      <c r="BK27" s="668">
        <f>IF(BK$4="forecast",(SUM(AX$27:BI$27)/12)*1.3,SUMIF('Dept. Cost Actuals'!$E$7:$E$176,"*Software*",'Dept. Cost Actuals'!BO$7:BO$176))</f>
        <v>9720.6398840923102</v>
      </c>
      <c r="BL27" s="668">
        <f>IF(BL$4="forecast",(SUM(AY$27:BJ$27)/12)*1.3,SUMIF('Dept. Cost Actuals'!$E$7:$E$176,"*Software*",'Dept. Cost Actuals'!BP$7:BP$176))</f>
        <v>10076.730674596409</v>
      </c>
      <c r="BM27" s="668">
        <f>IF(BM$4="forecast",(SUM(AZ$27:BK$27)/12)*1.3,SUMIF('Dept. Cost Actuals'!$E$7:$E$176,"*Software*",'Dept. Cost Actuals'!BQ$7:BQ$176))</f>
        <v>10446.058852932541</v>
      </c>
      <c r="BN27" s="668">
        <f>IF(BN$4="forecast",(SUM(BA$27:BL$27)/12)*1.3,SUMIF('Dept. Cost Actuals'!$E$7:$E$176,"*Software*",'Dept. Cost Actuals'!BR$7:BR$176))</f>
        <v>10828.337598979359</v>
      </c>
      <c r="BO27" s="668">
        <f>IF(BO$4="forecast",(SUM(BB$27:BM$27)/12)*1.3,SUMIF('Dept. Cost Actuals'!$E$7:$E$176,"*Software*",'Dept. Cost Actuals'!BS$7:BS$176))</f>
        <v>11224.050689542239</v>
      </c>
      <c r="BP27" s="668">
        <f>IF(BP$4="forecast",(SUM(BC$27:BN$27)/12)*1.3,SUMIF('Dept. Cost Actuals'!$E$7:$E$176,"*Software*",'Dept. Cost Actuals'!BT$7:BT$176))</f>
        <v>11635.594901268163</v>
      </c>
      <c r="BQ27" s="668">
        <f>IF(BQ$4="forecast",(SUM(BD$27:BO$27)/12)*1.3,SUMIF('Dept. Cost Actuals'!$E$7:$E$176,"*Software*",'Dept. Cost Actuals'!BU$7:BU$176))</f>
        <v>12062.483175230975</v>
      </c>
      <c r="BR27" s="668">
        <f>IF(BR$4="forecast",(SUM(BE$27:BP$27)/12)*1.3,SUMIF('Dept. Cost Actuals'!$E$7:$E$176,"*Software*",'Dept. Cost Actuals'!BV$7:BV$176))</f>
        <v>12505.454254988406</v>
      </c>
      <c r="BS27" s="668">
        <f>IF(BS$4="forecast",(SUM(BF$27:BQ$27)/12)*1.3,SUMIF('Dept. Cost Actuals'!$E$7:$E$176,"*Software*",'Dept. Cost Actuals'!BW$7:BW$176))</f>
        <v>12964.274416045251</v>
      </c>
      <c r="BT27" s="668">
        <f>IF(BT$4="forecast",(SUM(BG$27:BR$27)/12)*1.3,SUMIF('Dept. Cost Actuals'!$E$7:$E$176,"*Software*",'Dept. Cost Actuals'!BX$7:BX$176))</f>
        <v>13439.857754383371</v>
      </c>
      <c r="BU27" s="668">
        <f>IF(BU$4="forecast",(SUM(BH$27:BS$27)/12)*1.3,SUMIF('Dept. Cost Actuals'!$E$7:$E$176,"*Software*",'Dept. Cost Actuals'!BY$7:BY$176))</f>
        <v>13932.744277643014</v>
      </c>
      <c r="BV27" s="790">
        <f>IF(BV$4="forecast",(SUM(BI$27:BT$27)/12)*1.3,SUMIF('Dept. Cost Actuals'!$E$7:$E$176,"*Software*",'Dept. Cost Actuals'!BZ$7:BZ$176))</f>
        <v>14443.587937263133</v>
      </c>
    </row>
    <row r="28" spans="2:74" x14ac:dyDescent="0.25">
      <c r="B28" s="794" t="s">
        <v>1075</v>
      </c>
      <c r="C28" s="668">
        <f>IF(C$4="forecast",(AVERAGE(#REF!)),SUMIF('Dept. Cost Actuals'!$E$7:$E$176,"*Parking*",'Dept. Cost Actuals'!G$181:G$350))</f>
        <v>0</v>
      </c>
      <c r="D28" s="668">
        <f>IF(D$4="forecast",(AVERAGE(#REF!)),SUMIF('Dept. Cost Actuals'!$E$7:$E$176,"*Parking*",'Dept. Cost Actuals'!H$181:H$350))</f>
        <v>17</v>
      </c>
      <c r="E28" s="668">
        <f>IF(E$4="forecast",(AVERAGE(#REF!)),SUMIF('Dept. Cost Actuals'!$E$7:$E$176,"*Parking*",'Dept. Cost Actuals'!I$181:I$350))</f>
        <v>45</v>
      </c>
      <c r="F28" s="668">
        <f>IF(F$4="forecast",(AVERAGE(#REF!)),SUMIF('Dept. Cost Actuals'!$E$7:$E$176,"*Parking*",'Dept. Cost Actuals'!J$181:J$350))</f>
        <v>0</v>
      </c>
      <c r="G28" s="668">
        <f>IF(G$4="forecast",(AVERAGE(#REF!)),SUMIF('Dept. Cost Actuals'!$E$7:$E$176,"*Parking*",'Dept. Cost Actuals'!K$181:K$350))</f>
        <v>0</v>
      </c>
      <c r="H28" s="668">
        <f>IF(H$4="forecast",(AVERAGE(#REF!)),SUMIF('Dept. Cost Actuals'!$E$7:$E$176,"*Parking*",'Dept. Cost Actuals'!L$181:L$350))</f>
        <v>0</v>
      </c>
      <c r="I28" s="668">
        <f>IF(I$4="forecast",(AVERAGE(#REF!)),SUMIF('Dept. Cost Actuals'!$E$7:$E$176,"*Parking*",'Dept. Cost Actuals'!M$181:M$350))</f>
        <v>0</v>
      </c>
      <c r="J28" s="668">
        <f>IF(J$4="forecast",(AVERAGE(#REF!)),SUMIF('Dept. Cost Actuals'!$E$7:$E$176,"*Parking*",'Dept. Cost Actuals'!N$181:N$350))</f>
        <v>0</v>
      </c>
      <c r="K28" s="668">
        <f>IF(K$4="forecast",(AVERAGE(#REF!)),SUMIF('Dept. Cost Actuals'!$E$7:$E$176,"*Parking*",'Dept. Cost Actuals'!O$181:O$350))</f>
        <v>0</v>
      </c>
      <c r="L28" s="668">
        <f>IF(L$4="forecast",(AVERAGE(#REF!)),SUMIF('Dept. Cost Actuals'!$E$7:$E$176,"*Parking*",'Dept. Cost Actuals'!P$181:P$350))</f>
        <v>0</v>
      </c>
      <c r="M28" s="668">
        <f>IF(M$4="forecast",(AVERAGE(A28:L28)),SUMIF('Dept. Cost Actuals'!$E$7:$E$176,"*Parking*",'Dept. Cost Actuals'!Q$181:Q$350))</f>
        <v>0</v>
      </c>
      <c r="N28" s="668">
        <f>IF(N$4="forecast",(AVERAGE(B28:M28)),SUMIF('Dept. Cost Actuals'!$E$7:$E$176,"*Parking*",'Dept. Cost Actuals'!R$181:R$350))</f>
        <v>0</v>
      </c>
      <c r="O28" s="668">
        <f>IF(O$4="forecast",(AVERAGE(C28:N28)),SUMIF('Dept. Cost Actuals'!$E$7:$E$176,"*Parking*",'Dept. Cost Actuals'!S$181:S$350))</f>
        <v>74</v>
      </c>
      <c r="P28" s="668">
        <f>IF(P$4="forecast",(AVERAGE(D28:O28)),SUMIF('Dept. Cost Actuals'!$E$7:$E$176,"*Parking*",'Dept. Cost Actuals'!T$181:T$350))</f>
        <v>1450.5</v>
      </c>
      <c r="Q28" s="668">
        <f>IF(Q$4="forecast",(AVERAGE(E28:P28)),SUMIF('Dept. Cost Actuals'!$E$7:$E$176,"*Parking*",'Dept. Cost Actuals'!U$181:U$350))</f>
        <v>222</v>
      </c>
      <c r="R28" s="668">
        <f>IF(R$4="forecast",(AVERAGE(F28:Q28)),SUMIF('Dept. Cost Actuals'!$E$7:$E$176,"*Parking*",'Dept. Cost Actuals'!V$181:V$350))</f>
        <v>154</v>
      </c>
      <c r="S28" s="668">
        <f>IF(S$4="forecast",(AVERAGE(G28:R28)),SUMIF('Dept. Cost Actuals'!$E$7:$E$176,"*Parking*",'Dept. Cost Actuals'!W$181:W$350))</f>
        <v>168</v>
      </c>
      <c r="T28" s="668">
        <f>IF(T$4="forecast",(AVERAGE(H28:S28)),SUMIF('Dept. Cost Actuals'!$E$7:$E$176,"*Parking*",'Dept. Cost Actuals'!X$181:X$350))</f>
        <v>128</v>
      </c>
      <c r="U28" s="668">
        <f>IF(U$4="forecast",(AVERAGE(I28:T28)),SUMIF('Dept. Cost Actuals'!$E$7:$E$176,"*Parking*",'Dept. Cost Actuals'!Y$181:Y$350))</f>
        <v>141</v>
      </c>
      <c r="V28" s="668">
        <f>IF(V$4="forecast",(AVERAGE(J28:U28)),SUMIF('Dept. Cost Actuals'!$E$7:$E$176,"*Parking*",'Dept. Cost Actuals'!Z$181:Z$350))</f>
        <v>196</v>
      </c>
      <c r="W28" s="668">
        <f>IF(W$4="forecast",(AVERAGE(K28:V28)),SUMIF('Dept. Cost Actuals'!$E$7:$E$176,"*Parking*",'Dept. Cost Actuals'!AA$181:AA$350))</f>
        <v>231</v>
      </c>
      <c r="X28" s="668">
        <f>IF(X$4="forecast",(AVERAGE(L28:W28)),SUMIF('Dept. Cost Actuals'!$E$7:$E$176,"*Parking*",'Dept. Cost Actuals'!AB$181:AB$350))</f>
        <v>0</v>
      </c>
      <c r="Y28" s="668">
        <f>IF(Y$4="forecast",(AVERAGE(M28:X28)),SUMIF('Dept. Cost Actuals'!$E$7:$E$176,"*Parking*",'Dept. Cost Actuals'!AC$181:AC$350))</f>
        <v>28</v>
      </c>
      <c r="Z28" s="668">
        <f>IF(Z$4="forecast",(AVERAGE(N28:Y28)),SUMIF('Dept. Cost Actuals'!$E$7:$E$176,"*Parking*",'Dept. Cost Actuals'!AD$181:AD$350))</f>
        <v>55.5</v>
      </c>
      <c r="AA28" s="668">
        <f>IF(AA$4="forecast",(AVERAGE(O28:Z28)),SUMIF('Dept. Cost Actuals'!$E$7:$E$176,"*Parking*",'Dept. Cost Actuals'!AE$181:AE$350))</f>
        <v>10</v>
      </c>
      <c r="AB28" s="668">
        <f>IF(AB$4="forecast",(AVERAGE(P28:AA28)),SUMIF('Dept. Cost Actuals'!$E$7:$E$176,"*Parking*",'Dept. Cost Actuals'!AF$181:AF$350))</f>
        <v>28</v>
      </c>
      <c r="AC28" s="668">
        <f>IF(AC$4="forecast",(AVERAGE(Q28:AB28)),SUMIF('Dept. Cost Actuals'!$E$7:$E$176,"*Parking*",'Dept. Cost Actuals'!AG$181:AG$350))</f>
        <v>0</v>
      </c>
      <c r="AD28" s="668">
        <f>IF(AD$4="forecast",(AVERAGE(R28:AC28)),SUMIF('Dept. Cost Actuals'!$E$7:$E$176,"*Parking*",'Dept. Cost Actuals'!AH$181:AH$350))</f>
        <v>94.958333333333329</v>
      </c>
      <c r="AE28" s="668">
        <f>IF(AE$4="forecast",(AVERAGE(S28:AD28)),SUMIF('Dept. Cost Actuals'!$E$7:$E$176,"*Parking*",'Dept. Cost Actuals'!AI$181:AI$350))</f>
        <v>90.038194444444443</v>
      </c>
      <c r="AF28" s="668">
        <f>IF(AF$4="forecast",(AVERAGE(T28:AE28)),SUMIF('Dept. Cost Actuals'!$E$7:$E$176,"*Parking*",'Dept. Cost Actuals'!AJ$181:AJ$350))</f>
        <v>83.541377314814824</v>
      </c>
      <c r="AG28" s="668">
        <f>IF(AG$4="forecast",(AVERAGE(U28:AF28)),SUMIF('Dept. Cost Actuals'!$E$7:$E$176,"*Parking*",'Dept. Cost Actuals'!AK$181:AK$350))</f>
        <v>79.836492091049379</v>
      </c>
      <c r="AH28" s="668">
        <f>IF(AH$4="forecast",(AVERAGE(V28:AG28)),SUMIF('Dept. Cost Actuals'!$E$7:$E$176,"*Parking*",'Dept. Cost Actuals'!AL$181:AL$350))</f>
        <v>74.739533098636841</v>
      </c>
      <c r="AI28" s="668">
        <f>IF(AI$4="forecast",(AVERAGE(W28:AH28)),SUMIF('Dept. Cost Actuals'!$E$7:$E$176,"*Parking*",'Dept. Cost Actuals'!AM$181:AM$350))</f>
        <v>64.634494190189898</v>
      </c>
      <c r="AJ28" s="668">
        <f>IF(AJ$4="forecast",(AVERAGE(X28:AI28)),SUMIF('Dept. Cost Actuals'!$E$7:$E$176,"*Parking*",'Dept. Cost Actuals'!AN$181:AN$350))</f>
        <v>50.770702039372395</v>
      </c>
      <c r="AK28" s="668">
        <f>IF(AK$4="forecast",(AVERAGE(Y28:AJ28)),SUMIF('Dept. Cost Actuals'!$E$7:$E$176,"*Parking*",'Dept. Cost Actuals'!AO$181:AO$350))</f>
        <v>55.001593875986764</v>
      </c>
      <c r="AL28" s="668">
        <f>IF(AL$4="forecast",(AVERAGE(Z28:AK28)),SUMIF('Dept. Cost Actuals'!$E$7:$E$176,"*Parking*",'Dept. Cost Actuals'!AP$181:AP$350))</f>
        <v>57.251726698985657</v>
      </c>
      <c r="AM28" s="668">
        <f>IF(AM$4="forecast",(AVERAGE(AA28:AL28)),SUMIF('Dept. Cost Actuals'!$E$7:$E$176,"*Parking*",'Dept. Cost Actuals'!AQ$181:AQ$350))</f>
        <v>57.397703923901126</v>
      </c>
      <c r="AN28" s="668">
        <f>IF(AN$4="forecast",(AVERAGE(AB28:AM28)),SUMIF('Dept. Cost Actuals'!$E$7:$E$176,"*Parking*",'Dept. Cost Actuals'!AR$181:AR$350))</f>
        <v>61.347512584226216</v>
      </c>
      <c r="AO28" s="668">
        <f>IF(AO$4="forecast",(AVERAGE(AC28:AN28)),SUMIF('Dept. Cost Actuals'!$E$7:$E$176,"*Parking*",'Dept. Cost Actuals'!AS$181:AS$350))</f>
        <v>64.126471966245063</v>
      </c>
      <c r="AP28" s="668">
        <f>IF(AP$4="forecast",(AVERAGE(AD28:AO28)),SUMIF('Dept. Cost Actuals'!$E$7:$E$176,"*Parking*",'Dept. Cost Actuals'!AT$181:AT$350))</f>
        <v>69.470344630098822</v>
      </c>
      <c r="AQ28" s="668">
        <f>IF(AQ$4="forecast",(AVERAGE(AE28:AP28)),SUMIF('Dept. Cost Actuals'!$E$7:$E$176,"*Parking*",'Dept. Cost Actuals'!AU$181:AU$350))</f>
        <v>67.346345571495945</v>
      </c>
      <c r="AR28" s="668">
        <f>IF(AR$4="forecast",(AVERAGE(AF28:AQ28)),SUMIF('Dept. Cost Actuals'!$E$7:$E$176,"*Parking*",'Dept. Cost Actuals'!AV$181:AV$350))</f>
        <v>65.455358165416911</v>
      </c>
      <c r="AS28" s="668">
        <f>IF(AS$4="forecast",(AVERAGE(AG28:AR28)),SUMIF('Dept. Cost Actuals'!$E$7:$E$176,"*Parking*",'Dept. Cost Actuals'!AW$181:AW$350))</f>
        <v>63.94818990296708</v>
      </c>
      <c r="AT28" s="668">
        <f>IF(AT$4="forecast",(AVERAGE(AH28:AS28)),SUMIF('Dept. Cost Actuals'!$E$7:$E$176,"*Parking*",'Dept. Cost Actuals'!AX$181:AX$350))</f>
        <v>62.624164720626887</v>
      </c>
      <c r="AU28" s="668">
        <f>IF(AU$4="forecast",(AVERAGE(AI28:AT28)),SUMIF('Dept. Cost Actuals'!$E$7:$E$176,"*Parking*",'Dept. Cost Actuals'!AY$181:AY$350))</f>
        <v>61.614550689126069</v>
      </c>
      <c r="AV28" s="668">
        <f>IF(AV$4="forecast",(AVERAGE(AJ28:AU28)),SUMIF('Dept. Cost Actuals'!$E$7:$E$176,"*Parking*",'Dept. Cost Actuals'!AZ$181:AZ$350))</f>
        <v>61.362888730704078</v>
      </c>
      <c r="AW28" s="668">
        <f>IF(AW$4="forecast",(AVERAGE(AK28:AV28)),SUMIF('Dept. Cost Actuals'!$E$7:$E$176,"*Parking*",'Dept. Cost Actuals'!BA$181:BA$350))</f>
        <v>62.245570954981723</v>
      </c>
      <c r="AX28" s="668">
        <f>IF(AX$4="forecast",(AVERAGE(AL28:AW28)),SUMIF('Dept. Cost Actuals'!$E$7:$E$176,"*Parking*",'Dept. Cost Actuals'!BB$181:BB$350))</f>
        <v>62.849235711564639</v>
      </c>
      <c r="AY28" s="668">
        <f>IF(AY$4="forecast",(AVERAGE(AM28:AX28)),SUMIF('Dept. Cost Actuals'!$E$7:$E$176,"*Parking*",'Dept. Cost Actuals'!BC$181:BC$350))</f>
        <v>63.315694795946222</v>
      </c>
      <c r="AZ28" s="668">
        <f>IF(AZ$4="forecast",(AVERAGE(AN28:AY28)),SUMIF('Dept. Cost Actuals'!$E$7:$E$176,"*Parking*",'Dept. Cost Actuals'!BD$181:BD$350))</f>
        <v>63.808860701949975</v>
      </c>
      <c r="BA28" s="668">
        <f>IF(BA$4="forecast",(AVERAGE(AO28:AZ28)),SUMIF('Dept. Cost Actuals'!$E$7:$E$176,"*Parking*",'Dept. Cost Actuals'!BE$181:BE$350))</f>
        <v>64.013973045093621</v>
      </c>
      <c r="BB28" s="668">
        <f>IF(BB$4="forecast",(AVERAGE(AP28:BA28)),SUMIF('Dept. Cost Actuals'!$E$7:$E$176,"*Parking*",'Dept. Cost Actuals'!BF$181:BF$350))</f>
        <v>64.004598134997664</v>
      </c>
      <c r="BC28" s="668">
        <f>IF(BC$4="forecast",(AVERAGE(AQ28:BB28)),SUMIF('Dept. Cost Actuals'!$E$7:$E$176,"*Parking*",'Dept. Cost Actuals'!BG$181:BG$350))</f>
        <v>63.549119260405888</v>
      </c>
      <c r="BD28" s="668">
        <f>IF(BD$4="forecast",(AVERAGE(AR28:BC28)),SUMIF('Dept. Cost Actuals'!$E$7:$E$176,"*Parking*",'Dept. Cost Actuals'!BH$181:BH$350))</f>
        <v>63.232683734481725</v>
      </c>
      <c r="BE28" s="668">
        <f>IF(BE$4="forecast",(AVERAGE(AS28:BD28)),SUMIF('Dept. Cost Actuals'!$E$7:$E$176,"*Parking*",'Dept. Cost Actuals'!BI$181:BI$350))</f>
        <v>63.047460865237127</v>
      </c>
      <c r="BF28" s="668">
        <f>IF(BF$4="forecast",(AVERAGE(AT28:BE28)),SUMIF('Dept. Cost Actuals'!$E$7:$E$176,"*Parking*",'Dept. Cost Actuals'!BJ$181:BJ$350))</f>
        <v>62.97240011209297</v>
      </c>
      <c r="BG28" s="668">
        <f>IF(BG$4="forecast",(AVERAGE(AU28:BF28)),SUMIF('Dept. Cost Actuals'!$E$7:$E$176,"*Parking*",'Dept. Cost Actuals'!BK$181:BK$350))</f>
        <v>63.001419728048468</v>
      </c>
      <c r="BH28" s="668">
        <f>IF(BH$4="forecast",(AVERAGE(AV28:BG28)),SUMIF('Dept. Cost Actuals'!$E$7:$E$176,"*Parking*",'Dept. Cost Actuals'!BL$181:BL$350))</f>
        <v>63.116992147958676</v>
      </c>
      <c r="BI28" s="668">
        <f>IF(BI$4="forecast",(AVERAGE(AW28:BH28)),SUMIF('Dept. Cost Actuals'!$E$7:$E$176,"*Parking*",'Dept. Cost Actuals'!BM$181:BM$350))</f>
        <v>63.263167432729887</v>
      </c>
      <c r="BJ28" s="668">
        <f>IF(BJ$4="forecast",(AVERAGE(AX28:BI28)),SUMIF('Dept. Cost Actuals'!$E$7:$E$176,"*Parking*",'Dept. Cost Actuals'!BN$181:BN$350))</f>
        <v>63.347967139208897</v>
      </c>
      <c r="BK28" s="668">
        <f>IF(BK$4="forecast",(AVERAGE(AY28:BJ28)),SUMIF('Dept. Cost Actuals'!$E$7:$E$176,"*Parking*",'Dept. Cost Actuals'!BO$181:BO$350))</f>
        <v>63.389528091512595</v>
      </c>
      <c r="BL28" s="668">
        <f>IF(BL$4="forecast",(AVERAGE(AZ28:BK28)),SUMIF('Dept. Cost Actuals'!$E$7:$E$176,"*Parking*",'Dept. Cost Actuals'!BP$181:BP$350))</f>
        <v>63.395680866143124</v>
      </c>
      <c r="BM28" s="668">
        <f>IF(BM$4="forecast",(AVERAGE(BA28:BL28)),SUMIF('Dept. Cost Actuals'!$E$7:$E$176,"*Parking*",'Dept. Cost Actuals'!BQ$181:BQ$350))</f>
        <v>63.361249213159226</v>
      </c>
      <c r="BN28" s="668">
        <f>IF(BN$4="forecast",(AVERAGE(BB28:BM28)),SUMIF('Dept. Cost Actuals'!$E$7:$E$176,"*Parking*",'Dept. Cost Actuals'!BR$181:BR$350))</f>
        <v>63.306855560498029</v>
      </c>
      <c r="BO28" s="668">
        <f>IF(BO$4="forecast",(AVERAGE(BC28:BN28)),SUMIF('Dept. Cost Actuals'!$E$7:$E$176,"*Parking*",'Dept. Cost Actuals'!BS$181:BS$350))</f>
        <v>63.24871034595639</v>
      </c>
      <c r="BP28" s="668">
        <f>IF(BP$4="forecast",(AVERAGE(BD28:BO28)),SUMIF('Dept. Cost Actuals'!$E$7:$E$176,"*Parking*",'Dept. Cost Actuals'!BT$181:BT$350))</f>
        <v>63.223676269752254</v>
      </c>
      <c r="BQ28" s="668">
        <f>IF(BQ$4="forecast",(AVERAGE(BE28:BP28)),SUMIF('Dept. Cost Actuals'!$E$7:$E$176,"*Parking*",'Dept. Cost Actuals'!BU$181:BU$350))</f>
        <v>63.222925647691461</v>
      </c>
      <c r="BR28" s="668">
        <f>IF(BR$4="forecast",(AVERAGE(BF28:BQ28)),SUMIF('Dept. Cost Actuals'!$E$7:$E$176,"*Parking*",'Dept. Cost Actuals'!BV$181:BV$350))</f>
        <v>63.237547712895996</v>
      </c>
      <c r="BS28" s="668">
        <f>IF(BS$4="forecast",(AVERAGE(BG28:BR28)),SUMIF('Dept. Cost Actuals'!$E$7:$E$176,"*Parking*",'Dept. Cost Actuals'!BW$181:BW$350))</f>
        <v>63.259643346296237</v>
      </c>
      <c r="BT28" s="668">
        <f>IF(BT$4="forecast",(AVERAGE(BH28:BS28)),SUMIF('Dept. Cost Actuals'!$E$7:$E$176,"*Parking*",'Dept. Cost Actuals'!BX$181:BX$350))</f>
        <v>63.281161981150234</v>
      </c>
      <c r="BU28" s="668">
        <f>IF(BU$4="forecast",(AVERAGE(BI28:BT28)),SUMIF('Dept. Cost Actuals'!$E$7:$E$176,"*Parking*",'Dept. Cost Actuals'!BY$181:BY$350))</f>
        <v>63.29484280058287</v>
      </c>
      <c r="BV28" s="790">
        <f>IF(BV$4="forecast",(AVERAGE(BJ28:BU28)),SUMIF('Dept. Cost Actuals'!$E$7:$E$176,"*Parking*",'Dept. Cost Actuals'!BZ$181:BZ$350))</f>
        <v>63.297482414570602</v>
      </c>
    </row>
    <row r="29" spans="2:74" x14ac:dyDescent="0.25">
      <c r="B29" s="795" t="s">
        <v>937</v>
      </c>
      <c r="C29" s="1156">
        <f t="shared" ref="C29:BN29" si="10">SUM(C17:C28,C14)</f>
        <v>30285.254158419189</v>
      </c>
      <c r="D29" s="1156">
        <f t="shared" si="10"/>
        <v>27246.957604001705</v>
      </c>
      <c r="E29" s="1156">
        <f t="shared" si="10"/>
        <v>30060.891124257982</v>
      </c>
      <c r="F29" s="1156">
        <f t="shared" si="10"/>
        <v>32987.223041088728</v>
      </c>
      <c r="G29" s="1156">
        <f t="shared" si="10"/>
        <v>33514.93044466748</v>
      </c>
      <c r="H29" s="1156">
        <f t="shared" si="10"/>
        <v>34850.602649985878</v>
      </c>
      <c r="I29" s="1156">
        <f t="shared" si="10"/>
        <v>22189.289297151157</v>
      </c>
      <c r="J29" s="1156">
        <f t="shared" si="10"/>
        <v>28606.686611377692</v>
      </c>
      <c r="K29" s="1156">
        <f t="shared" si="10"/>
        <v>22221.335232496331</v>
      </c>
      <c r="L29" s="1156">
        <f t="shared" si="10"/>
        <v>22397.355572736564</v>
      </c>
      <c r="M29" s="1156">
        <f t="shared" si="10"/>
        <v>29835.315828482242</v>
      </c>
      <c r="N29" s="1156">
        <f t="shared" si="10"/>
        <v>32651.235116676598</v>
      </c>
      <c r="O29" s="1156">
        <f t="shared" si="10"/>
        <v>34459.51</v>
      </c>
      <c r="P29" s="1156">
        <f t="shared" si="10"/>
        <v>28079.69</v>
      </c>
      <c r="Q29" s="1156">
        <f t="shared" si="10"/>
        <v>34143.480000000003</v>
      </c>
      <c r="R29" s="1156">
        <f t="shared" si="10"/>
        <v>12246.34</v>
      </c>
      <c r="S29" s="1156">
        <f t="shared" si="10"/>
        <v>27825.360000000001</v>
      </c>
      <c r="T29" s="1156">
        <f t="shared" si="10"/>
        <v>31734.79</v>
      </c>
      <c r="U29" s="1156">
        <f t="shared" si="10"/>
        <v>27990.34</v>
      </c>
      <c r="V29" s="1156">
        <f t="shared" si="10"/>
        <v>30705.72</v>
      </c>
      <c r="W29" s="1156">
        <f t="shared" si="10"/>
        <v>32901.53</v>
      </c>
      <c r="X29" s="1156">
        <f t="shared" si="10"/>
        <v>38661.69</v>
      </c>
      <c r="Y29" s="1156">
        <f t="shared" si="10"/>
        <v>30949.14</v>
      </c>
      <c r="Z29" s="1156">
        <f t="shared" si="10"/>
        <v>23892.67</v>
      </c>
      <c r="AA29" s="1156">
        <f t="shared" si="10"/>
        <v>86085.849999999991</v>
      </c>
      <c r="AB29" s="1156">
        <f t="shared" si="10"/>
        <v>81288.239999999991</v>
      </c>
      <c r="AC29" s="1156">
        <f t="shared" si="10"/>
        <v>88441.86</v>
      </c>
      <c r="AD29" s="1156">
        <f t="shared" si="10"/>
        <v>113439.2731559097</v>
      </c>
      <c r="AE29" s="1156">
        <f t="shared" si="10"/>
        <v>109328.05251181941</v>
      </c>
      <c r="AF29" s="1156">
        <f t="shared" si="10"/>
        <v>144685.20036744134</v>
      </c>
      <c r="AG29" s="1156">
        <f t="shared" si="10"/>
        <v>135806.44431507718</v>
      </c>
      <c r="AH29" s="1156">
        <f t="shared" si="10"/>
        <v>136322.26772563549</v>
      </c>
      <c r="AI29" s="1156">
        <f t="shared" si="10"/>
        <v>136829.34504545835</v>
      </c>
      <c r="AJ29" s="1156">
        <f t="shared" si="10"/>
        <v>137300.20064928598</v>
      </c>
      <c r="AK29" s="1156">
        <f t="shared" si="10"/>
        <v>137870.38529073377</v>
      </c>
      <c r="AL29" s="1156">
        <f t="shared" si="10"/>
        <v>138336.83820402325</v>
      </c>
      <c r="AM29" s="1156">
        <f t="shared" si="10"/>
        <v>185486.21525937913</v>
      </c>
      <c r="AN29" s="1156">
        <f t="shared" si="10"/>
        <v>139248.01819817346</v>
      </c>
      <c r="AO29" s="1156">
        <f t="shared" si="10"/>
        <v>139715.49302760494</v>
      </c>
      <c r="AP29" s="1156">
        <f t="shared" si="10"/>
        <v>140223.13972494262</v>
      </c>
      <c r="AQ29" s="1156">
        <f t="shared" si="10"/>
        <v>140680.77863365723</v>
      </c>
      <c r="AR29" s="1156">
        <f t="shared" si="10"/>
        <v>141236.69942233351</v>
      </c>
      <c r="AS29" s="1156">
        <f t="shared" si="10"/>
        <v>141783.64780205308</v>
      </c>
      <c r="AT29" s="1156">
        <f t="shared" si="10"/>
        <v>142349.6301020268</v>
      </c>
      <c r="AU29" s="1156">
        <f t="shared" si="10"/>
        <v>142924.19063448117</v>
      </c>
      <c r="AV29" s="1156">
        <f t="shared" si="10"/>
        <v>143504.89059482093</v>
      </c>
      <c r="AW29" s="1156">
        <f t="shared" si="10"/>
        <v>144095.72773583303</v>
      </c>
      <c r="AX29" s="1156">
        <f t="shared" si="10"/>
        <v>144690.08112179255</v>
      </c>
      <c r="AY29" s="1156">
        <f t="shared" si="10"/>
        <v>146951.3135750308</v>
      </c>
      <c r="AZ29" s="1156">
        <f t="shared" si="10"/>
        <v>149698.58887443756</v>
      </c>
      <c r="BA29" s="1156">
        <f t="shared" si="10"/>
        <v>150327.43524138536</v>
      </c>
      <c r="BB29" s="1156">
        <f t="shared" si="10"/>
        <v>150945.82920107376</v>
      </c>
      <c r="BC29" s="1156">
        <f t="shared" si="10"/>
        <v>151583.51611000471</v>
      </c>
      <c r="BD29" s="1156">
        <f t="shared" si="10"/>
        <v>152230.82226857441</v>
      </c>
      <c r="BE29" s="1156">
        <f t="shared" si="10"/>
        <v>152896.43063380645</v>
      </c>
      <c r="BF29" s="1156">
        <f t="shared" si="10"/>
        <v>153570.28110744516</v>
      </c>
      <c r="BG29" s="1156">
        <f t="shared" si="10"/>
        <v>154254.79968813254</v>
      </c>
      <c r="BH29" s="1156">
        <f t="shared" si="10"/>
        <v>154949.96073967437</v>
      </c>
      <c r="BI29" s="1156">
        <f t="shared" si="10"/>
        <v>155655.84787920173</v>
      </c>
      <c r="BJ29" s="1156">
        <f t="shared" si="10"/>
        <v>156372.61750566811</v>
      </c>
      <c r="BK29" s="1156">
        <f t="shared" si="10"/>
        <v>158815.62621492424</v>
      </c>
      <c r="BL29" s="1156">
        <f t="shared" si="10"/>
        <v>161758.47491921863</v>
      </c>
      <c r="BM29" s="1156">
        <f t="shared" si="10"/>
        <v>162523.85881278952</v>
      </c>
      <c r="BN29" s="1156">
        <f t="shared" si="10"/>
        <v>163302.27527709852</v>
      </c>
      <c r="BO29" s="1156">
        <f t="shared" ref="BO29:BV29" si="11">SUM(BO17:BO28,BO14)</f>
        <v>164094.32149610706</v>
      </c>
      <c r="BP29" s="1156">
        <f t="shared" si="11"/>
        <v>164902.29697429587</v>
      </c>
      <c r="BQ29" s="1156">
        <f t="shared" si="11"/>
        <v>165725.67222259211</v>
      </c>
      <c r="BR29" s="1156">
        <f t="shared" si="11"/>
        <v>166565.12390291388</v>
      </c>
      <c r="BS29" s="1156">
        <f t="shared" si="11"/>
        <v>167420.36800031218</v>
      </c>
      <c r="BT29" s="1156">
        <f t="shared" si="11"/>
        <v>168292.33024611211</v>
      </c>
      <c r="BU29" s="1156">
        <f t="shared" si="11"/>
        <v>169181.5539148477</v>
      </c>
      <c r="BV29" s="1156">
        <f t="shared" si="11"/>
        <v>170088.69625644223</v>
      </c>
    </row>
    <row r="30" spans="2:74" x14ac:dyDescent="0.25">
      <c r="B30" s="783"/>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c r="AK30" s="156"/>
      <c r="AL30" s="156"/>
      <c r="AM30" s="156"/>
      <c r="AN30" s="156"/>
      <c r="AO30" s="156"/>
      <c r="AP30" s="156"/>
      <c r="AQ30" s="156"/>
      <c r="AR30" s="156"/>
      <c r="AS30" s="156"/>
      <c r="AT30" s="156"/>
      <c r="AU30" s="156"/>
      <c r="AV30" s="156"/>
      <c r="AW30" s="156"/>
      <c r="AX30" s="156"/>
      <c r="AY30" s="156"/>
      <c r="AZ30" s="156"/>
      <c r="BA30" s="156"/>
      <c r="BB30" s="156"/>
      <c r="BC30" s="156"/>
      <c r="BD30" s="156"/>
      <c r="BE30" s="156"/>
      <c r="BF30" s="156"/>
      <c r="BG30" s="156"/>
      <c r="BH30" s="156"/>
      <c r="BI30" s="156"/>
      <c r="BJ30" s="156"/>
      <c r="BK30" s="156"/>
      <c r="BL30" s="156"/>
      <c r="BM30" s="156"/>
      <c r="BN30" s="156"/>
      <c r="BO30" s="156"/>
      <c r="BP30" s="156"/>
      <c r="BQ30" s="156"/>
      <c r="BR30" s="156"/>
      <c r="BS30" s="156"/>
      <c r="BT30" s="156"/>
      <c r="BU30" s="156"/>
      <c r="BV30" s="784"/>
    </row>
    <row r="31" spans="2:74" x14ac:dyDescent="0.25">
      <c r="B31" s="785" t="s">
        <v>938</v>
      </c>
      <c r="C31" s="786"/>
      <c r="D31" s="786"/>
      <c r="E31" s="786"/>
      <c r="F31" s="786"/>
      <c r="G31" s="786"/>
      <c r="H31" s="786"/>
      <c r="I31" s="786"/>
      <c r="J31" s="786"/>
      <c r="K31" s="786"/>
      <c r="L31" s="786"/>
      <c r="M31" s="786"/>
      <c r="N31" s="786"/>
      <c r="O31" s="787"/>
      <c r="P31" s="787"/>
      <c r="Q31" s="787"/>
      <c r="R31" s="787"/>
      <c r="S31" s="787"/>
      <c r="T31" s="787"/>
      <c r="U31" s="787"/>
      <c r="V31" s="787"/>
      <c r="W31" s="787"/>
      <c r="X31" s="787"/>
      <c r="Y31" s="787"/>
      <c r="Z31" s="787"/>
      <c r="AA31" s="787"/>
      <c r="AB31" s="787"/>
      <c r="AC31" s="787"/>
      <c r="AD31" s="787"/>
      <c r="AE31" s="787"/>
      <c r="AF31" s="787"/>
      <c r="AG31" s="787"/>
      <c r="AH31" s="787"/>
      <c r="AI31" s="787"/>
      <c r="AJ31" s="787"/>
      <c r="AK31" s="787"/>
      <c r="AL31" s="787"/>
      <c r="AM31" s="787"/>
      <c r="AN31" s="787"/>
      <c r="AO31" s="787"/>
      <c r="AP31" s="787"/>
      <c r="AQ31" s="787"/>
      <c r="AR31" s="787"/>
      <c r="AS31" s="787"/>
      <c r="AT31" s="787"/>
      <c r="AU31" s="787"/>
      <c r="AV31" s="787"/>
      <c r="AW31" s="787"/>
      <c r="AX31" s="787"/>
      <c r="AY31" s="787"/>
      <c r="AZ31" s="787"/>
      <c r="BA31" s="787"/>
      <c r="BB31" s="787"/>
      <c r="BC31" s="787"/>
      <c r="BD31" s="787"/>
      <c r="BE31" s="787"/>
      <c r="BF31" s="787"/>
      <c r="BG31" s="787"/>
      <c r="BH31" s="787"/>
      <c r="BI31" s="787"/>
      <c r="BJ31" s="787"/>
      <c r="BK31" s="787"/>
      <c r="BL31" s="787"/>
      <c r="BM31" s="787"/>
      <c r="BN31" s="787"/>
      <c r="BO31" s="787"/>
      <c r="BP31" s="787"/>
      <c r="BQ31" s="787"/>
      <c r="BR31" s="787"/>
      <c r="BS31" s="787"/>
      <c r="BT31" s="787"/>
      <c r="BU31" s="787"/>
      <c r="BV31" s="788"/>
    </row>
    <row r="32" spans="2:74" x14ac:dyDescent="0.25">
      <c r="B32" s="793" t="s">
        <v>939</v>
      </c>
      <c r="C32" s="668">
        <f>IF(C$4="forecast",(SUMIFS(Planning_Mkt!#REF!,Planning_Mkt!$B$5:$B$133,"Total Professional Service Fees")),SUMIF('Dept. Cost Actuals'!$E$7:$E$176,"*Professional Fees*",'Dept. Cost Actuals'!G$181:G$350))</f>
        <v>0</v>
      </c>
      <c r="D32" s="668">
        <f>IF(D$4="forecast",(SUMIFS(Planning_Mkt!#REF!,Planning_Mkt!$B$5:$B$133,"Total Professional Service Fees")),SUMIF('Dept. Cost Actuals'!$E$7:$E$176,"*Professional Fees*",'Dept. Cost Actuals'!H$181:H$350))</f>
        <v>58.900303097221951</v>
      </c>
      <c r="E32" s="668">
        <f>IF(E$4="forecast",(SUMIFS(Planning_Mkt!#REF!,Planning_Mkt!$B$5:$B$133,"Total Professional Service Fees")),SUMIF('Dept. Cost Actuals'!$E$7:$E$176,"*Professional Fees*",'Dept. Cost Actuals'!I$181:I$350))</f>
        <v>0</v>
      </c>
      <c r="F32" s="668">
        <f>IF(F$4="forecast",(SUMIFS(Planning_Mkt!#REF!,Planning_Mkt!$B$5:$B$133,"Total Professional Service Fees")),SUMIF('Dept. Cost Actuals'!$E$7:$E$176,"*Professional Fees*",'Dept. Cost Actuals'!J$181:J$350))</f>
        <v>81.423235224850799</v>
      </c>
      <c r="G32" s="668">
        <f>IF(G$4="forecast",(SUMIFS(Planning_Mkt!#REF!,Planning_Mkt!$B$5:$B$133,"Total Professional Service Fees")),SUMIF('Dept. Cost Actuals'!$E$7:$E$176,"*Professional Fees*",'Dept. Cost Actuals'!K$181:K$350))</f>
        <v>79.588055575533232</v>
      </c>
      <c r="H32" s="668">
        <f>IF(H$4="forecast",(SUMIFS(Planning_Mkt!#REF!,Planning_Mkt!$B$5:$B$133,"Total Professional Service Fees")),SUMIF('Dept. Cost Actuals'!$E$7:$E$176,"*Professional Fees*",'Dept. Cost Actuals'!L$181:L$350))</f>
        <v>600.7981519619716</v>
      </c>
      <c r="I32" s="668">
        <f>IF(I$4="forecast",(SUMIFS(Planning_Mkt!#REF!,Planning_Mkt!$B$5:$B$133,"Total Professional Service Fees")),SUMIF('Dept. Cost Actuals'!$E$7:$E$176,"*Professional Fees*",'Dept. Cost Actuals'!M$181:M$350))</f>
        <v>957.17246009714677</v>
      </c>
      <c r="J32" s="668">
        <f>IF(J$4="forecast",(SUMIFS(Planning_Mkt!#REF!,Planning_Mkt!$B$5:$B$133,"Total Professional Service Fees")),SUMIF('Dept. Cost Actuals'!$E$7:$E$176,"*Professional Fees*",'Dept. Cost Actuals'!N$181:N$350))</f>
        <v>1232.4185712969356</v>
      </c>
      <c r="K32" s="668">
        <f>IF(K$4="forecast",(SUMIFS(Planning_Mkt!#REF!,Planning_Mkt!$B$5:$B$133,"Total Professional Service Fees")),SUMIF('Dept. Cost Actuals'!$E$7:$E$176,"*Professional Fees*",'Dept. Cost Actuals'!O$181:O$350))</f>
        <v>1143.82959355764</v>
      </c>
      <c r="L32" s="668">
        <f>IF(L$4="forecast",(SUMIFS(Planning_Mkt!#REF!,Planning_Mkt!$B$5:$B$133,"Total Professional Service Fees")),SUMIF('Dept. Cost Actuals'!$E$7:$E$176,"*Professional Fees*",'Dept. Cost Actuals'!P$181:P$350))</f>
        <v>314.83094986976101</v>
      </c>
      <c r="M32" s="668">
        <f>IF(M$4="forecast",(SUMIFS(Planning_Mkt!#REF!,Planning_Mkt!$B$5:$B$133,"Total Professional Service Fees")),SUMIF('Dept. Cost Actuals'!$E$7:$E$176,"*Professional Fees*",'Dept. Cost Actuals'!Q$181:Q$350))</f>
        <v>1335.3510364063306</v>
      </c>
      <c r="N32" s="668">
        <f>IF(N$4="forecast",(SUMIFS(Planning_Mkt!#REF!,Planning_Mkt!$B$5:$B$133,"Total Professional Service Fees")),SUMIF('Dept. Cost Actuals'!$E$7:$E$176,"*Professional Fees*",'Dept. Cost Actuals'!R$181:R$350))</f>
        <v>5515.8588502170451</v>
      </c>
      <c r="O32" s="668">
        <f>IF(O$4="forecast",(SUMIFS(Planning_Mkt!#REF!,Planning_Mkt!$B$5:$B$133,"Total Professional Service Fees")),SUMIF('Dept. Cost Actuals'!$E$7:$E$176,"*Professional Fees*",'Dept. Cost Actuals'!S$181:S$350))</f>
        <v>6539.5</v>
      </c>
      <c r="P32" s="668">
        <f>IF(P$4="forecast",(SUMIFS(Planning_Mkt!#REF!,Planning_Mkt!$B$5:$B$133,"Total Professional Service Fees")),SUMIF('Dept. Cost Actuals'!$E$7:$E$176,"*Professional Fees*",'Dept. Cost Actuals'!T$181:T$350))</f>
        <v>16210.5</v>
      </c>
      <c r="Q32" s="668">
        <f>IF(Q$4="forecast",(SUMIFS(Planning_Mkt!#REF!,Planning_Mkt!$B$5:$B$133,"Total Professional Service Fees")),SUMIF('Dept. Cost Actuals'!$E$7:$E$176,"*Professional Fees*",'Dept. Cost Actuals'!U$181:U$350))</f>
        <v>6004</v>
      </c>
      <c r="R32" s="668">
        <f>IF(R$4="forecast",(SUMIFS(Planning_Mkt!#REF!,Planning_Mkt!$B$5:$B$133,"Total Professional Service Fees")),SUMIF('Dept. Cost Actuals'!$E$7:$E$176,"*Professional Fees*",'Dept. Cost Actuals'!V$181:V$350))</f>
        <v>28507</v>
      </c>
      <c r="S32" s="668">
        <f>IF(S$4="forecast",(SUMIFS(Planning_Mkt!#REF!,Planning_Mkt!$B$5:$B$133,"Total Professional Service Fees")),SUMIF('Dept. Cost Actuals'!$E$7:$E$176,"*Professional Fees*",'Dept. Cost Actuals'!W$181:W$350))</f>
        <v>7905</v>
      </c>
      <c r="T32" s="668">
        <f>IF(T$4="forecast",(SUMIFS(Planning_Mkt!#REF!,Planning_Mkt!$B$5:$B$133,"Total Professional Service Fees")),SUMIF('Dept. Cost Actuals'!$E$7:$E$176,"*Professional Fees*",'Dept. Cost Actuals'!X$181:X$350))</f>
        <v>15938</v>
      </c>
      <c r="U32" s="668">
        <f>IF(U$4="forecast",(SUMIFS(Planning_Mkt!#REF!,Planning_Mkt!$B$5:$B$133,"Total Professional Service Fees")),SUMIF('Dept. Cost Actuals'!$E$7:$E$176,"*Professional Fees*",'Dept. Cost Actuals'!Y$181:Y$350))</f>
        <v>15934.5</v>
      </c>
      <c r="V32" s="668">
        <f>IF(V$4="forecast",(SUMIFS(Planning_Mkt!#REF!,Planning_Mkt!$B$5:$B$133,"Total Professional Service Fees")),SUMIF('Dept. Cost Actuals'!$E$7:$E$176,"*Professional Fees*",'Dept. Cost Actuals'!Z$181:Z$350))</f>
        <v>15637</v>
      </c>
      <c r="W32" s="668">
        <f>IF(W$4="forecast",(SUMIFS(Planning_Mkt!#REF!,Planning_Mkt!$B$5:$B$133,"Total Professional Service Fees")),SUMIF('Dept. Cost Actuals'!$E$7:$E$176,"*Professional Fees*",'Dept. Cost Actuals'!AA$181:AA$350))</f>
        <v>20647</v>
      </c>
      <c r="X32" s="668">
        <f>IF(X$4="forecast",(SUMIFS(Planning_Mkt!A$5:A$133,Planning_Mkt!$B$5:$B$133,"Total Professional Service Fees")),SUMIF('Dept. Cost Actuals'!$E$7:$E$176,"*Professional Fees*",'Dept. Cost Actuals'!AB$181:AB$350))</f>
        <v>11638.5</v>
      </c>
      <c r="Y32" s="668">
        <f>IF(Y$4="forecast",(SUMIFS(Planning_Mkt!B$5:B$133,Planning_Mkt!$B$5:$B$133,"Total Professional Service Fees")),SUMIF('Dept. Cost Actuals'!$E$7:$E$176,"*Professional Fees*",'Dept. Cost Actuals'!AC$181:AC$350))</f>
        <v>23509.25</v>
      </c>
      <c r="Z32" s="668">
        <f>IF(Z$4="forecast",(SUMIFS(Planning_Mkt!C$5:C$133,Planning_Mkt!$B$5:$B$133,"Total Professional Service Fees")),SUMIF('Dept. Cost Actuals'!$E$7:$E$176,"*Professional Fees*",'Dept. Cost Actuals'!AD$181:AD$350))</f>
        <v>10451</v>
      </c>
      <c r="AA32" s="668">
        <f>IF(AA$4="forecast",(SUMIFS(Planning_Mkt!D$5:D$133,Planning_Mkt!$B$5:$B$133,"Total Professional Service Fees")),SUMIF('Dept. Cost Actuals'!$E$7:$E$176,"*Professional Fees*",'Dept. Cost Actuals'!AE$181:AE$350))</f>
        <v>11945.4</v>
      </c>
      <c r="AB32" s="668">
        <f>IF(AB$4="forecast",(SUMIFS(Planning_Mkt!E$5:E$133,Planning_Mkt!$B$5:$B$133,"Total Professional Service Fees")),SUMIF('Dept. Cost Actuals'!$E$7:$E$176,"*Professional Fees*",'Dept. Cost Actuals'!AF$181:AF$350))</f>
        <v>25080.7</v>
      </c>
      <c r="AC32" s="668">
        <f>IF(AC$4="forecast",(SUMIFS(Planning_Mkt!F$5:F$133,Planning_Mkt!$B$5:$B$133,"Total Professional Service Fees")),SUMIF('Dept. Cost Actuals'!$E$7:$E$176,"*Professional Fees*",'Dept. Cost Actuals'!AG$181:AG$350))</f>
        <v>22943.5</v>
      </c>
      <c r="AD32" s="668">
        <f>IF(AD$4="forecast",(SUMIFS(Planning_Mkt!G$5:G$133,Planning_Mkt!$B$5:$B$133,"Total Professional Service Fees")),SUMIF('Dept. Cost Actuals'!$E$7:$E$176,"*Professional Fees*",'Dept. Cost Actuals'!AH$181:AH$350))</f>
        <v>16100</v>
      </c>
      <c r="AE32" s="668">
        <f>IF(AE$4="forecast",(SUMIFS(Planning_Mkt!H$5:H$133,Planning_Mkt!$B$5:$B$133,"Total Professional Service Fees")),SUMIF('Dept. Cost Actuals'!$E$7:$E$176,"*Professional Fees*",'Dept. Cost Actuals'!AI$181:AI$350))</f>
        <v>16100</v>
      </c>
      <c r="AF32" s="668">
        <f>IF(AF$4="forecast",(SUMIFS(Planning_Mkt!I$5:I$133,Planning_Mkt!$B$5:$B$133,"Total Professional Service Fees")),SUMIF('Dept. Cost Actuals'!$E$7:$E$176,"*Professional Fees*",'Dept. Cost Actuals'!AJ$181:AJ$350))</f>
        <v>16100</v>
      </c>
      <c r="AG32" s="668">
        <f>IF(AG$4="forecast",(SUMIFS(Planning_Mkt!J$5:J$133,Planning_Mkt!$B$5:$B$133,"Total Professional Service Fees")),SUMIF('Dept. Cost Actuals'!$E$7:$E$176,"*Professional Fees*",'Dept. Cost Actuals'!AK$181:AK$350))</f>
        <v>16100</v>
      </c>
      <c r="AH32" s="668">
        <f>IF(AH$4="forecast",(SUMIFS(Planning_Mkt!K$5:K$133,Planning_Mkt!$B$5:$B$133,"Total Professional Service Fees")),SUMIF('Dept. Cost Actuals'!$E$7:$E$176,"*Professional Fees*",'Dept. Cost Actuals'!AL$181:AL$350))</f>
        <v>16100</v>
      </c>
      <c r="AI32" s="668">
        <f>IF(AI$4="forecast",(SUMIFS(Planning_Mkt!L$5:L$133,Planning_Mkt!$B$5:$B$133,"Total Professional Service Fees")),SUMIF('Dept. Cost Actuals'!$E$7:$E$176,"*Professional Fees*",'Dept. Cost Actuals'!AM$181:AM$350))</f>
        <v>16100</v>
      </c>
      <c r="AJ32" s="668">
        <f>IF(AJ$4="forecast",(SUMIFS(Planning_Mkt!M$5:M$133,Planning_Mkt!$B$5:$B$133,"Total Professional Service Fees")),SUMIF('Dept. Cost Actuals'!$E$7:$E$176,"*Professional Fees*",'Dept. Cost Actuals'!AN$181:AN$350))</f>
        <v>16100</v>
      </c>
      <c r="AK32" s="668">
        <f>IF(AK$4="forecast",(SUMIFS(Planning_Mkt!N$5:N$133,Planning_Mkt!$B$5:$B$133,"Total Professional Service Fees")),SUMIF('Dept. Cost Actuals'!$E$7:$E$176,"*Professional Fees*",'Dept. Cost Actuals'!AO$181:AO$350))</f>
        <v>16100</v>
      </c>
      <c r="AL32" s="668">
        <f>IF(AL$4="forecast",(SUMIFS(Planning_Mkt!O$5:O$133,Planning_Mkt!$B$5:$B$133,"Total Professional Service Fees")),SUMIF('Dept. Cost Actuals'!$E$7:$E$176,"*Professional Fees*",'Dept. Cost Actuals'!AP$181:AP$350))</f>
        <v>16100</v>
      </c>
      <c r="AM32" s="668">
        <f>IF(AM$4="forecast",(SUMIFS(Planning_Mkt!P$5:P$133,Planning_Mkt!$B$5:$B$133,"Total Professional Service Fees")),SUMIF('Dept. Cost Actuals'!$E$7:$E$176,"*Professional Fees*",'Dept. Cost Actuals'!AQ$181:AQ$350))</f>
        <v>177100</v>
      </c>
      <c r="AN32" s="668">
        <f>IF(AN$4="forecast",(SUMIFS(Planning_Mkt!Q$5:Q$133,Planning_Mkt!$B$5:$B$133,"Total Professional Service Fees")),SUMIF('Dept. Cost Actuals'!$E$7:$E$176,"*Professional Fees*",'Dept. Cost Actuals'!AR$181:AR$350))</f>
        <v>0</v>
      </c>
      <c r="AO32" s="668">
        <f>IF(AO$4="forecast",(SUMIFS(Planning_Mkt!R$5:R$133,Planning_Mkt!$B$5:$B$133,"Total Professional Service Fees")),SUMIF('Dept. Cost Actuals'!$E$7:$E$176,"*Professional Fees*",'Dept. Cost Actuals'!AS$181:AS$350))</f>
        <v>0</v>
      </c>
      <c r="AP32" s="668">
        <f>IF(AP$4="forecast",(SUMIFS(Planning_Mkt!S$5:S$133,Planning_Mkt!$B$5:$B$133,"Total Professional Service Fees")),SUMIF('Dept. Cost Actuals'!$E$7:$E$176,"*Professional Fees*",'Dept. Cost Actuals'!AT$181:AT$350))</f>
        <v>0</v>
      </c>
      <c r="AQ32" s="668">
        <f>IF(AQ$4="forecast",(SUMIFS(Planning_Mkt!T$5:T$133,Planning_Mkt!$B$5:$B$133,"Total Professional Service Fees")),SUMIF('Dept. Cost Actuals'!$E$7:$E$176,"*Professional Fees*",'Dept. Cost Actuals'!AU$181:AU$350))</f>
        <v>0</v>
      </c>
      <c r="AR32" s="668">
        <f>IF(AR$4="forecast",(SUMIFS(Planning_Mkt!U$5:U$133,Planning_Mkt!$B$5:$B$133,"Total Professional Service Fees")),SUMIF('Dept. Cost Actuals'!$E$7:$E$176,"*Professional Fees*",'Dept. Cost Actuals'!AV$181:AV$350))</f>
        <v>0</v>
      </c>
      <c r="AS32" s="668">
        <f>IF(AS$4="forecast",(SUMIFS(Planning_Mkt!V$5:V$133,Planning_Mkt!$B$5:$B$133,"Total Professional Service Fees")),SUMIF('Dept. Cost Actuals'!$E$7:$E$176,"*Professional Fees*",'Dept. Cost Actuals'!AW$181:AW$350))</f>
        <v>0</v>
      </c>
      <c r="AT32" s="668">
        <f>IF(AT$4="forecast",(SUMIFS(Planning_Mkt!W$5:W$133,Planning_Mkt!$B$5:$B$133,"Total Professional Service Fees")),SUMIF('Dept. Cost Actuals'!$E$7:$E$176,"*Professional Fees*",'Dept. Cost Actuals'!AX$181:AX$350))</f>
        <v>0</v>
      </c>
      <c r="AU32" s="668">
        <f>IF(AU$4="forecast",(SUMIFS(Planning_Mkt!X$5:X$133,Planning_Mkt!$B$5:$B$133,"Total Professional Service Fees")),SUMIF('Dept. Cost Actuals'!$E$7:$E$176,"*Professional Fees*",'Dept. Cost Actuals'!AY$181:AY$350))</f>
        <v>0</v>
      </c>
      <c r="AV32" s="668">
        <f>IF(AV$4="forecast",(SUMIFS(Planning_Mkt!Y$5:Y$133,Planning_Mkt!$B$5:$B$133,"Total Professional Service Fees")),SUMIF('Dept. Cost Actuals'!$E$7:$E$176,"*Professional Fees*",'Dept. Cost Actuals'!AZ$181:AZ$350))</f>
        <v>0</v>
      </c>
      <c r="AW32" s="668">
        <f>IF(AW$4="forecast",(SUMIFS(Planning_Mkt!Z$5:Z$133,Planning_Mkt!$B$5:$B$133,"Total Professional Service Fees")),SUMIF('Dept. Cost Actuals'!$E$7:$E$176,"*Professional Fees*",'Dept. Cost Actuals'!BA$181:BA$350))</f>
        <v>0</v>
      </c>
      <c r="AX32" s="668">
        <f>IF(AX$4="forecast",(SUMIFS(Planning_Mkt!AA$5:AA$133,Planning_Mkt!$B$5:$B$133,"Total Professional Service Fees")),SUMIF('Dept. Cost Actuals'!$E$7:$E$176,"*Professional Fees*",'Dept. Cost Actuals'!BB$181:BB$350))</f>
        <v>0</v>
      </c>
      <c r="AY32" s="668">
        <f>IF(AY$4="forecast",(SUMIFS(Planning_Mkt!AB$5:AB$133,Planning_Mkt!$B$5:$B$133,"Total Professional Service Fees")),SUMIF('Dept. Cost Actuals'!$E$7:$E$176,"*Professional Fees*",'Dept. Cost Actuals'!BC$181:BC$350))</f>
        <v>0</v>
      </c>
      <c r="AZ32" s="668">
        <f>IF(AZ$4="forecast",(SUMIFS(Planning_Mkt!AC$5:AC$133,Planning_Mkt!$B$5:$B$133,"Total Professional Service Fees")),SUMIF('Dept. Cost Actuals'!$E$7:$E$176,"*Professional Fees*",'Dept. Cost Actuals'!BD$181:BD$350))</f>
        <v>0</v>
      </c>
      <c r="BA32" s="668">
        <f>IF(BA$4="forecast",(SUMIFS(Planning_Mkt!AD$5:AD$133,Planning_Mkt!$B$5:$B$133,"Total Professional Service Fees")),SUMIF('Dept. Cost Actuals'!$E$7:$E$176,"*Professional Fees*",'Dept. Cost Actuals'!BE$181:BE$350))</f>
        <v>0</v>
      </c>
      <c r="BB32" s="668">
        <f>IF(BB$4="forecast",(SUMIFS(Planning_Mkt!AE$5:AE$133,Planning_Mkt!$B$5:$B$133,"Total Professional Service Fees")),SUMIF('Dept. Cost Actuals'!$E$7:$E$176,"*Professional Fees*",'Dept. Cost Actuals'!BF$181:BF$350))</f>
        <v>0</v>
      </c>
      <c r="BC32" s="668">
        <f>IF(BC$4="forecast",(SUMIFS(Planning_Mkt!AF$5:AF$133,Planning_Mkt!$B$5:$B$133,"Total Professional Service Fees")),SUMIF('Dept. Cost Actuals'!$E$7:$E$176,"*Professional Fees*",'Dept. Cost Actuals'!BG$181:BG$350))</f>
        <v>0</v>
      </c>
      <c r="BD32" s="668">
        <f>IF(BD$4="forecast",(SUMIFS(Planning_Mkt!AG$5:AG$133,Planning_Mkt!$B$5:$B$133,"Total Professional Service Fees")),SUMIF('Dept. Cost Actuals'!$E$7:$E$176,"*Professional Fees*",'Dept. Cost Actuals'!BH$181:BH$350))</f>
        <v>0</v>
      </c>
      <c r="BE32" s="668">
        <f>IF(BE$4="forecast",(SUMIFS(Planning_Mkt!AH$5:AH$133,Planning_Mkt!$B$5:$B$133,"Total Professional Service Fees")),SUMIF('Dept. Cost Actuals'!$E$7:$E$176,"*Professional Fees*",'Dept. Cost Actuals'!BI$181:BI$350))</f>
        <v>0</v>
      </c>
      <c r="BF32" s="668">
        <f>IF(BF$4="forecast",(SUMIFS(Planning_Mkt!AI$5:AI$133,Planning_Mkt!$B$5:$B$133,"Total Professional Service Fees")),SUMIF('Dept. Cost Actuals'!$E$7:$E$176,"*Professional Fees*",'Dept. Cost Actuals'!BJ$181:BJ$350))</f>
        <v>0</v>
      </c>
      <c r="BG32" s="668">
        <f>IF(BG$4="forecast",(SUMIFS(Planning_Mkt!AJ$5:AJ$133,Planning_Mkt!$B$5:$B$133,"Total Professional Service Fees")),SUMIF('Dept. Cost Actuals'!$E$7:$E$176,"*Professional Fees*",'Dept. Cost Actuals'!BK$181:BK$350))</f>
        <v>0</v>
      </c>
      <c r="BH32" s="668">
        <f>IF(BH$4="forecast",(SUMIFS(Planning_Mkt!AK$5:AK$133,Planning_Mkt!$B$5:$B$133,"Total Professional Service Fees")),SUMIF('Dept. Cost Actuals'!$E$7:$E$176,"*Professional Fees*",'Dept. Cost Actuals'!BL$181:BL$350))</f>
        <v>0</v>
      </c>
      <c r="BI32" s="668">
        <f>IF(BI$4="forecast",(SUMIFS(Planning_Mkt!AL$5:AL$133,Planning_Mkt!$B$5:$B$133,"Total Professional Service Fees")),SUMIF('Dept. Cost Actuals'!$E$7:$E$176,"*Professional Fees*",'Dept. Cost Actuals'!BM$181:BM$350))</f>
        <v>0</v>
      </c>
      <c r="BJ32" s="668">
        <f>IF(BJ$4="forecast",(SUMIFS(Planning_Mkt!AM$5:AM$133,Planning_Mkt!$B$5:$B$133,"Total Professional Service Fees")),SUMIF('Dept. Cost Actuals'!$E$7:$E$176,"*Professional Fees*",'Dept. Cost Actuals'!BN$181:BN$350))</f>
        <v>0</v>
      </c>
      <c r="BK32" s="668">
        <f>IF(BK$4="forecast",(SUMIFS(Planning_Mkt!AN$5:AN$133,Planning_Mkt!$B$5:$B$133,"Total Professional Service Fees")),SUMIF('Dept. Cost Actuals'!$E$7:$E$176,"*Professional Fees*",'Dept. Cost Actuals'!BO$181:BO$350))</f>
        <v>0</v>
      </c>
      <c r="BL32" s="668">
        <f>IF(BL$4="forecast",(SUMIFS(Planning_Mkt!AO$5:AO$133,Planning_Mkt!$B$5:$B$133,"Total Professional Service Fees")),SUMIF('Dept. Cost Actuals'!$E$7:$E$176,"*Professional Fees*",'Dept. Cost Actuals'!BP$181:BP$350))</f>
        <v>0</v>
      </c>
      <c r="BM32" s="668">
        <f>IF(BM$4="forecast",(SUMIFS(Planning_Mkt!AP$5:AP$133,Planning_Mkt!$B$5:$B$133,"Total Professional Service Fees")),SUMIF('Dept. Cost Actuals'!$E$7:$E$176,"*Professional Fees*",'Dept. Cost Actuals'!BQ$181:BQ$350))</f>
        <v>0</v>
      </c>
      <c r="BN32" s="668">
        <f>IF(BN$4="forecast",(SUMIFS(Planning_Mkt!AQ$5:AQ$133,Planning_Mkt!$B$5:$B$133,"Total Professional Service Fees")),SUMIF('Dept. Cost Actuals'!$E$7:$E$176,"*Professional Fees*",'Dept. Cost Actuals'!BR$181:BR$350))</f>
        <v>0</v>
      </c>
      <c r="BO32" s="668">
        <f>IF(BO$4="forecast",(SUMIFS(Planning_Mkt!AR$5:AR$133,Planning_Mkt!$B$5:$B$133,"Total Professional Service Fees")),SUMIF('Dept. Cost Actuals'!$E$7:$E$176,"*Professional Fees*",'Dept. Cost Actuals'!BS$181:BS$350))</f>
        <v>0</v>
      </c>
      <c r="BP32" s="668">
        <f>IF(BP$4="forecast",(SUMIFS(Planning_Mkt!AS$5:AS$133,Planning_Mkt!$B$5:$B$133,"Total Professional Service Fees")),SUMIF('Dept. Cost Actuals'!$E$7:$E$176,"*Professional Fees*",'Dept. Cost Actuals'!BT$181:BT$350))</f>
        <v>0</v>
      </c>
      <c r="BQ32" s="668">
        <f>IF(BQ$4="forecast",(SUMIFS(Planning_Mkt!AT$5:AT$133,Planning_Mkt!$B$5:$B$133,"Total Professional Service Fees")),SUMIF('Dept. Cost Actuals'!$E$7:$E$176,"*Professional Fees*",'Dept. Cost Actuals'!BU$181:BU$350))</f>
        <v>0</v>
      </c>
      <c r="BR32" s="668">
        <f>IF(BR$4="forecast",(SUMIFS(Planning_Mkt!AU$5:AU$133,Planning_Mkt!$B$5:$B$133,"Total Professional Service Fees")),SUMIF('Dept. Cost Actuals'!$E$7:$E$176,"*Professional Fees*",'Dept. Cost Actuals'!BV$181:BV$350))</f>
        <v>0</v>
      </c>
      <c r="BS32" s="668">
        <f>IF(BS$4="forecast",(SUMIFS(Planning_Mkt!AV$5:AV$133,Planning_Mkt!$B$5:$B$133,"Total Professional Service Fees")),SUMIF('Dept. Cost Actuals'!$E$7:$E$176,"*Professional Fees*",'Dept. Cost Actuals'!BW$181:BW$350))</f>
        <v>0</v>
      </c>
      <c r="BT32" s="668">
        <f>IF(BT$4="forecast",(SUMIFS(Planning_Mkt!AW$5:AW$133,Planning_Mkt!$B$5:$B$133,"Total Professional Service Fees")),SUMIF('Dept. Cost Actuals'!$E$7:$E$176,"*Professional Fees*",'Dept. Cost Actuals'!BX$181:BX$350))</f>
        <v>0</v>
      </c>
      <c r="BU32" s="668">
        <f>IF(BU$4="forecast",(SUMIFS(Planning_Mkt!AX$5:AX$133,Planning_Mkt!$B$5:$B$133,"Total Professional Service Fees")),SUMIF('Dept. Cost Actuals'!$E$7:$E$176,"*Professional Fees*",'Dept. Cost Actuals'!BY$181:BY$350))</f>
        <v>0</v>
      </c>
      <c r="BV32" s="790">
        <f>IF(BV$4="forecast",(SUMIFS(Planning_Mkt!AY$5:AY$133,Planning_Mkt!$B$5:$B$133,"Total Professional Service Fees")),SUMIF('Dept. Cost Actuals'!$E$7:$E$176,"*Professional Fees*",'Dept. Cost Actuals'!BZ$181:BZ$350))</f>
        <v>0</v>
      </c>
    </row>
    <row r="33" spans="2:74" hidden="1" x14ac:dyDescent="0.25">
      <c r="B33" s="794" t="s">
        <v>919</v>
      </c>
      <c r="C33" s="668"/>
      <c r="D33" s="668"/>
      <c r="E33" s="668"/>
      <c r="F33" s="668"/>
      <c r="G33" s="668"/>
      <c r="H33" s="668"/>
      <c r="I33" s="668"/>
      <c r="J33" s="668"/>
      <c r="K33" s="668"/>
      <c r="L33" s="668"/>
      <c r="M33" s="668"/>
      <c r="N33" s="668"/>
      <c r="O33" s="668"/>
      <c r="P33" s="668"/>
      <c r="Q33" s="668"/>
      <c r="R33" s="668"/>
      <c r="S33" s="668"/>
      <c r="T33" s="668"/>
      <c r="U33" s="668"/>
      <c r="V33" s="668"/>
      <c r="W33" s="668"/>
      <c r="X33" s="668"/>
      <c r="Y33" s="668"/>
      <c r="Z33" s="668"/>
      <c r="AA33" s="668"/>
      <c r="AB33" s="668"/>
      <c r="AC33" s="668"/>
      <c r="AD33" s="668"/>
      <c r="AE33" s="668"/>
      <c r="AF33" s="668"/>
      <c r="AG33" s="668"/>
      <c r="AH33" s="668"/>
      <c r="AI33" s="668"/>
      <c r="AJ33" s="668"/>
      <c r="AK33" s="668"/>
      <c r="AL33" s="668"/>
      <c r="AM33" s="668"/>
      <c r="AN33" s="668"/>
      <c r="AO33" s="668"/>
      <c r="AP33" s="668"/>
      <c r="AQ33" s="668"/>
      <c r="AR33" s="668"/>
      <c r="AS33" s="668"/>
      <c r="AT33" s="668"/>
      <c r="AU33" s="668"/>
      <c r="AV33" s="668"/>
      <c r="AW33" s="668"/>
      <c r="AX33" s="668"/>
      <c r="AY33" s="668"/>
      <c r="AZ33" s="668"/>
      <c r="BA33" s="668"/>
      <c r="BB33" s="668"/>
      <c r="BC33" s="668"/>
      <c r="BD33" s="668"/>
      <c r="BE33" s="668"/>
      <c r="BF33" s="668"/>
      <c r="BG33" s="668"/>
      <c r="BH33" s="668"/>
      <c r="BI33" s="668"/>
      <c r="BJ33" s="668"/>
      <c r="BK33" s="668"/>
      <c r="BL33" s="668"/>
      <c r="BM33" s="668"/>
      <c r="BN33" s="668"/>
      <c r="BO33" s="668"/>
      <c r="BP33" s="668"/>
      <c r="BQ33" s="668"/>
      <c r="BR33" s="668"/>
      <c r="BS33" s="668"/>
      <c r="BT33" s="668"/>
      <c r="BU33" s="668"/>
      <c r="BV33" s="790"/>
    </row>
    <row r="34" spans="2:74" x14ac:dyDescent="0.25">
      <c r="B34" s="794" t="s">
        <v>940</v>
      </c>
      <c r="C34" s="668">
        <f>IF(C$4="forecast",SUMIFS(Planning_Mkt!#REF!,Planning_Mkt!$B$5:$B$133,"Books and periodicals"),SUMIF('Dept. Cost Actuals'!$E$7:$E$176,"*Books and Periodicals*",'Dept. Cost Actuals'!G$181:G$350))</f>
        <v>0</v>
      </c>
      <c r="D34" s="668">
        <f>IF(D$4="forecast",SUMIFS(Planning_Mkt!#REF!,Planning_Mkt!$B$5:$B$133,"Books and periodicals"),SUMIF('Dept. Cost Actuals'!$E$7:$E$176,"*Books and Periodicals*",'Dept. Cost Actuals'!H$181:H$350))</f>
        <v>8.1276528243856578</v>
      </c>
      <c r="E34" s="668">
        <f>IF(E$4="forecast",SUMIFS(Planning_Mkt!#REF!,Planning_Mkt!$B$5:$B$133,"Books and periodicals"),SUMIF('Dept. Cost Actuals'!$E$7:$E$176,"*Books and Periodicals*",'Dept. Cost Actuals'!I$181:I$350))</f>
        <v>1.7351823953788208</v>
      </c>
      <c r="F34" s="668">
        <f>IF(F$4="forecast",SUMIFS(Planning_Mkt!#REF!,Planning_Mkt!$B$5:$B$133,"Books and periodicals"),SUMIF('Dept. Cost Actuals'!$E$7:$E$176,"*Books and Periodicals*",'Dept. Cost Actuals'!J$181:J$350))</f>
        <v>17.283626836879012</v>
      </c>
      <c r="G34" s="668">
        <f>IF(G$4="forecast",SUMIFS(Planning_Mkt!#REF!,Planning_Mkt!$B$5:$B$133,"Books and periodicals"),SUMIF('Dept. Cost Actuals'!$E$7:$E$176,"*Books and Periodicals*",'Dept. Cost Actuals'!K$181:K$350))</f>
        <v>3.6096244282564913</v>
      </c>
      <c r="H34" s="668">
        <f>IF(H$4="forecast",SUMIFS(Planning_Mkt!#REF!,Planning_Mkt!$B$5:$B$133,"Books and periodicals"),SUMIF('Dept. Cost Actuals'!$E$7:$E$176,"*Books and Periodicals*",'Dept. Cost Actuals'!L$181:L$350))</f>
        <v>21.678996322559826</v>
      </c>
      <c r="I34" s="668">
        <f>IF(I$4="forecast",SUMIFS(Planning_Mkt!#REF!,Planning_Mkt!$B$5:$B$133,"Books and periodicals"),SUMIF('Dept. Cost Actuals'!$E$7:$E$176,"*Books and Periodicals*",'Dept. Cost Actuals'!M$181:M$350))</f>
        <v>0.48446248453913554</v>
      </c>
      <c r="J34" s="668">
        <f>IF(J$4="forecast",SUMIFS(Planning_Mkt!#REF!,Planning_Mkt!$B$5:$B$133,"Books and periodicals"),SUMIF('Dept. Cost Actuals'!$E$7:$E$176,"*Books and Periodicals*",'Dept. Cost Actuals'!N$181:N$350))</f>
        <v>4.9100601965198871</v>
      </c>
      <c r="K34" s="668">
        <f>IF(K$4="forecast",SUMIFS(Planning_Mkt!#REF!,Planning_Mkt!$B$5:$B$133,"Books and periodicals"),SUMIF('Dept. Cost Actuals'!$E$7:$E$176,"*Books and Periodicals*",'Dept. Cost Actuals'!O$181:O$350))</f>
        <v>4.2593384788035404</v>
      </c>
      <c r="L34" s="668">
        <f>IF(L$4="forecast",SUMIFS(Planning_Mkt!#REF!,Planning_Mkt!$B$5:$B$133,"Books and periodicals"),SUMIF('Dept. Cost Actuals'!$E$7:$E$176,"*Books and Periodicals*",'Dept. Cost Actuals'!P$181:P$350))</f>
        <v>20.365630545576224</v>
      </c>
      <c r="M34" s="668">
        <f>IF(M$4="forecast",SUMIFS(Planning_Mkt!#REF!,Planning_Mkt!$B$5:$B$133,"Books and periodicals"),SUMIF('Dept. Cost Actuals'!$E$7:$E$176,"*Books and Periodicals*",'Dept. Cost Actuals'!Q$181:Q$350))</f>
        <v>0</v>
      </c>
      <c r="N34" s="668">
        <f>IF(N$4="forecast",SUMIFS(Planning_Mkt!#REF!,Planning_Mkt!$B$5:$B$133,"Books and periodicals"),SUMIF('Dept. Cost Actuals'!$E$7:$E$176,"*Books and Periodicals*",'Dept. Cost Actuals'!R$181:R$350))</f>
        <v>0</v>
      </c>
      <c r="O34" s="668">
        <f>IF(O$4="forecast",SUMIFS(Planning_Mkt!#REF!,Planning_Mkt!$B$5:$B$133,"Books and periodicals"),SUMIF('Dept. Cost Actuals'!$E$7:$E$176,"*Books and Periodicals*",'Dept. Cost Actuals'!S$181:S$350))</f>
        <v>0</v>
      </c>
      <c r="P34" s="668">
        <f>IF(P$4="forecast",SUMIFS(Planning_Mkt!#REF!,Planning_Mkt!$B$5:$B$133,"Books and periodicals"),SUMIF('Dept. Cost Actuals'!$E$7:$E$176,"*Books and Periodicals*",'Dept. Cost Actuals'!T$181:T$350))</f>
        <v>0</v>
      </c>
      <c r="Q34" s="668">
        <f>IF(Q$4="forecast",SUMIFS(Planning_Mkt!#REF!,Planning_Mkt!$B$5:$B$133,"Books and periodicals"),SUMIF('Dept. Cost Actuals'!$E$7:$E$176,"*Books and Periodicals*",'Dept. Cost Actuals'!U$181:U$350))</f>
        <v>0</v>
      </c>
      <c r="R34" s="668">
        <f>IF(R$4="forecast",SUMIFS(Planning_Mkt!#REF!,Planning_Mkt!$B$5:$B$133,"Books and periodicals"),SUMIF('Dept. Cost Actuals'!$E$7:$E$176,"*Books and Periodicals*",'Dept. Cost Actuals'!V$181:V$350))</f>
        <v>0</v>
      </c>
      <c r="S34" s="668">
        <f>IF(S$4="forecast",SUMIFS(Planning_Mkt!#REF!,Planning_Mkt!$B$5:$B$133,"Books and periodicals"),SUMIF('Dept. Cost Actuals'!$E$7:$E$176,"*Books and Periodicals*",'Dept. Cost Actuals'!W$181:W$350))</f>
        <v>0</v>
      </c>
      <c r="T34" s="668">
        <f>IF(T$4="forecast",SUMIFS(Planning_Mkt!#REF!,Planning_Mkt!$B$5:$B$133,"Books and periodicals"),SUMIF('Dept. Cost Actuals'!$E$7:$E$176,"*Books and Periodicals*",'Dept. Cost Actuals'!X$181:X$350))</f>
        <v>0</v>
      </c>
      <c r="U34" s="668">
        <f>IF(U$4="forecast",SUMIFS(Planning_Mkt!#REF!,Planning_Mkt!$B$5:$B$133,"Books and periodicals"),SUMIF('Dept. Cost Actuals'!$E$7:$E$176,"*Books and Periodicals*",'Dept. Cost Actuals'!Y$181:Y$350))</f>
        <v>0</v>
      </c>
      <c r="V34" s="668">
        <f>IF(V$4="forecast",SUMIFS(Planning_Mkt!#REF!,Planning_Mkt!$B$5:$B$133,"Books and periodicals"),SUMIF('Dept. Cost Actuals'!$E$7:$E$176,"*Books and Periodicals*",'Dept. Cost Actuals'!Z$181:Z$350))</f>
        <v>0</v>
      </c>
      <c r="W34" s="668">
        <f>IF(W$4="forecast",SUMIFS(Planning_Mkt!#REF!,Planning_Mkt!$B$5:$B$133,"Books and periodicals"),SUMIF('Dept. Cost Actuals'!$E$7:$E$176,"*Books and Periodicals*",'Dept. Cost Actuals'!AA$181:AA$350))</f>
        <v>0</v>
      </c>
      <c r="X34" s="668">
        <f>IF(X$4="forecast",SUMIFS(Planning_Mkt!A$5:A$133,Planning_Mkt!$B$5:$B$133,"Books and periodicals"),SUMIF('Dept. Cost Actuals'!$E$7:$E$176,"*Books and Periodicals*",'Dept. Cost Actuals'!AB$181:AB$350))</f>
        <v>0</v>
      </c>
      <c r="Y34" s="668">
        <f>IF(Y$4="forecast",SUMIFS(Planning_Mkt!B$5:B$133,Planning_Mkt!$B$5:$B$133,"Books and periodicals"),SUMIF('Dept. Cost Actuals'!$E$7:$E$176,"*Books and Periodicals*",'Dept. Cost Actuals'!AC$181:AC$350))</f>
        <v>0</v>
      </c>
      <c r="Z34" s="668">
        <f>IF(Z$4="forecast",SUMIFS(Planning_Mkt!C$5:C$133,Planning_Mkt!$B$5:$B$133,"Books and periodicals"),SUMIF('Dept. Cost Actuals'!$E$7:$E$176,"*Books and Periodicals*",'Dept. Cost Actuals'!AD$181:AD$350))</f>
        <v>0</v>
      </c>
      <c r="AA34" s="668">
        <f>IF(AA$4="forecast",SUMIFS(Planning_Mkt!D$5:D$133,Planning_Mkt!$B$5:$B$133,"Books and periodicals"),SUMIF('Dept. Cost Actuals'!$E$7:$E$176,"*Books and Periodicals*",'Dept. Cost Actuals'!AE$181:AE$350))</f>
        <v>0</v>
      </c>
      <c r="AB34" s="668">
        <f>IF(AB$4="forecast",SUMIFS(Planning_Mkt!E$5:E$133,Planning_Mkt!$B$5:$B$133,"Books and periodicals"),SUMIF('Dept. Cost Actuals'!$E$7:$E$176,"*Books and Periodicals*",'Dept. Cost Actuals'!AF$181:AF$350))</f>
        <v>0</v>
      </c>
      <c r="AC34" s="668">
        <f>IF(AC$4="forecast",SUMIFS(Planning_Mkt!F$5:F$133,Planning_Mkt!$B$5:$B$133,"Books and periodicals"),SUMIF('Dept. Cost Actuals'!$E$7:$E$176,"*Books and Periodicals*",'Dept. Cost Actuals'!AG$181:AG$350))</f>
        <v>0</v>
      </c>
      <c r="AD34" s="668">
        <f>IF(AD$4="forecast",SUMIFS(Planning_Mkt!G$5:G$133,Planning_Mkt!$B$5:$B$133,"Books and periodicals"),SUMIF('Dept. Cost Actuals'!$E$7:$E$176,"*Books and Periodicals*",'Dept. Cost Actuals'!AH$181:AH$350))</f>
        <v>0</v>
      </c>
      <c r="AE34" s="668">
        <f>IF(AE$4="forecast",SUMIFS(Planning_Mkt!H$5:H$133,Planning_Mkt!$B$5:$B$133,"Books and periodicals"),SUMIF('Dept. Cost Actuals'!$E$7:$E$176,"*Books and Periodicals*",'Dept. Cost Actuals'!AI$181:AI$350))</f>
        <v>0</v>
      </c>
      <c r="AF34" s="668">
        <f>IF(AF$4="forecast",SUMIFS(Planning_Mkt!I$5:I$133,Planning_Mkt!$B$5:$B$133,"Books and periodicals"),SUMIF('Dept. Cost Actuals'!$E$7:$E$176,"*Books and Periodicals*",'Dept. Cost Actuals'!AJ$181:AJ$350))</f>
        <v>0</v>
      </c>
      <c r="AG34" s="668">
        <f>IF(AG$4="forecast",SUMIFS(Planning_Mkt!J$5:J$133,Planning_Mkt!$B$5:$B$133,"Books and periodicals"),SUMIF('Dept. Cost Actuals'!$E$7:$E$176,"*Books and Periodicals*",'Dept. Cost Actuals'!AK$181:AK$350))</f>
        <v>0</v>
      </c>
      <c r="AH34" s="668">
        <f>IF(AH$4="forecast",SUMIFS(Planning_Mkt!K$5:K$133,Planning_Mkt!$B$5:$B$133,"Books and periodicals"),SUMIF('Dept. Cost Actuals'!$E$7:$E$176,"*Books and Periodicals*",'Dept. Cost Actuals'!AL$181:AL$350))</f>
        <v>0</v>
      </c>
      <c r="AI34" s="668">
        <f>IF(AI$4="forecast",SUMIFS(Planning_Mkt!L$5:L$133,Planning_Mkt!$B$5:$B$133,"Books and periodicals"),SUMIF('Dept. Cost Actuals'!$E$7:$E$176,"*Books and Periodicals*",'Dept. Cost Actuals'!AM$181:AM$350))</f>
        <v>0</v>
      </c>
      <c r="AJ34" s="668">
        <f>IF(AJ$4="forecast",SUMIFS(Planning_Mkt!M$5:M$133,Planning_Mkt!$B$5:$B$133,"Books and periodicals"),SUMIF('Dept. Cost Actuals'!$E$7:$E$176,"*Books and Periodicals*",'Dept. Cost Actuals'!AN$181:AN$350))</f>
        <v>0</v>
      </c>
      <c r="AK34" s="668">
        <f>IF(AK$4="forecast",SUMIFS(Planning_Mkt!N$5:N$133,Planning_Mkt!$B$5:$B$133,"Books and periodicals"),SUMIF('Dept. Cost Actuals'!$E$7:$E$176,"*Books and Periodicals*",'Dept. Cost Actuals'!AO$181:AO$350))</f>
        <v>0</v>
      </c>
      <c r="AL34" s="668">
        <f>IF(AL$4="forecast",SUMIFS(Planning_Mkt!O$5:O$133,Planning_Mkt!$B$5:$B$133,"Books and periodicals"),SUMIF('Dept. Cost Actuals'!$E$7:$E$176,"*Books and Periodicals*",'Dept. Cost Actuals'!AP$181:AP$350))</f>
        <v>0</v>
      </c>
      <c r="AM34" s="668">
        <f>IF(AM$4="forecast",SUMIFS(Planning_Mkt!P$5:P$133,Planning_Mkt!$B$5:$B$133,"Books and periodicals"),SUMIF('Dept. Cost Actuals'!$E$7:$E$176,"*Books and Periodicals*",'Dept. Cost Actuals'!AQ$181:AQ$350))</f>
        <v>0</v>
      </c>
      <c r="AN34" s="668">
        <f>IF(AN$4="forecast",SUMIFS(Planning_Mkt!Q$5:Q$133,Planning_Mkt!$B$5:$B$133,"Books and periodicals"),SUMIF('Dept. Cost Actuals'!$E$7:$E$176,"*Books and Periodicals*",'Dept. Cost Actuals'!AR$181:AR$350))</f>
        <v>0</v>
      </c>
      <c r="AO34" s="668">
        <f>IF(AO$4="forecast",SUMIFS(Planning_Mkt!R$5:R$133,Planning_Mkt!$B$5:$B$133,"Books and periodicals"),SUMIF('Dept. Cost Actuals'!$E$7:$E$176,"*Books and Periodicals*",'Dept. Cost Actuals'!AS$181:AS$350))</f>
        <v>0</v>
      </c>
      <c r="AP34" s="668">
        <f>IF(AP$4="forecast",SUMIFS(Planning_Mkt!S$5:S$133,Planning_Mkt!$B$5:$B$133,"Books and periodicals"),SUMIF('Dept. Cost Actuals'!$E$7:$E$176,"*Books and Periodicals*",'Dept. Cost Actuals'!AT$181:AT$350))</f>
        <v>0</v>
      </c>
      <c r="AQ34" s="668">
        <f>IF(AQ$4="forecast",SUMIFS(Planning_Mkt!T$5:T$133,Planning_Mkt!$B$5:$B$133,"Books and periodicals"),SUMIF('Dept. Cost Actuals'!$E$7:$E$176,"*Books and Periodicals*",'Dept. Cost Actuals'!AU$181:AU$350))</f>
        <v>0</v>
      </c>
      <c r="AR34" s="668">
        <f>IF(AR$4="forecast",SUMIFS(Planning_Mkt!U$5:U$133,Planning_Mkt!$B$5:$B$133,"Books and periodicals"),SUMIF('Dept. Cost Actuals'!$E$7:$E$176,"*Books and Periodicals*",'Dept. Cost Actuals'!AV$181:AV$350))</f>
        <v>0</v>
      </c>
      <c r="AS34" s="668">
        <f>IF(AS$4="forecast",SUMIFS(Planning_Mkt!V$5:V$133,Planning_Mkt!$B$5:$B$133,"Books and periodicals"),SUMIF('Dept. Cost Actuals'!$E$7:$E$176,"*Books and Periodicals*",'Dept. Cost Actuals'!AW$181:AW$350))</f>
        <v>0</v>
      </c>
      <c r="AT34" s="668">
        <f>IF(AT$4="forecast",SUMIFS(Planning_Mkt!W$5:W$133,Planning_Mkt!$B$5:$B$133,"Books and periodicals"),SUMIF('Dept. Cost Actuals'!$E$7:$E$176,"*Books and Periodicals*",'Dept. Cost Actuals'!AX$181:AX$350))</f>
        <v>0</v>
      </c>
      <c r="AU34" s="668">
        <f>IF(AU$4="forecast",SUMIFS(Planning_Mkt!X$5:X$133,Planning_Mkt!$B$5:$B$133,"Books and periodicals"),SUMIF('Dept. Cost Actuals'!$E$7:$E$176,"*Books and Periodicals*",'Dept. Cost Actuals'!AY$181:AY$350))</f>
        <v>0</v>
      </c>
      <c r="AV34" s="668">
        <f>IF(AV$4="forecast",SUMIFS(Planning_Mkt!Y$5:Y$133,Planning_Mkt!$B$5:$B$133,"Books and periodicals"),SUMIF('Dept. Cost Actuals'!$E$7:$E$176,"*Books and Periodicals*",'Dept. Cost Actuals'!AZ$181:AZ$350))</f>
        <v>0</v>
      </c>
      <c r="AW34" s="668">
        <f>IF(AW$4="forecast",SUMIFS(Planning_Mkt!Z$5:Z$133,Planning_Mkt!$B$5:$B$133,"Books and periodicals"),SUMIF('Dept. Cost Actuals'!$E$7:$E$176,"*Books and Periodicals*",'Dept. Cost Actuals'!BA$181:BA$350))</f>
        <v>0</v>
      </c>
      <c r="AX34" s="668">
        <f>IF(AX$4="forecast",SUMIFS(Planning_Mkt!AA$5:AA$133,Planning_Mkt!$B$5:$B$133,"Books and periodicals"),SUMIF('Dept. Cost Actuals'!$E$7:$E$176,"*Books and Periodicals*",'Dept. Cost Actuals'!BB$181:BB$350))</f>
        <v>0</v>
      </c>
      <c r="AY34" s="668">
        <f>IF(AY$4="forecast",SUMIFS(Planning_Mkt!AB$5:AB$133,Planning_Mkt!$B$5:$B$133,"Books and periodicals"),SUMIF('Dept. Cost Actuals'!$E$7:$E$176,"*Books and Periodicals*",'Dept. Cost Actuals'!BC$181:BC$350))</f>
        <v>0</v>
      </c>
      <c r="AZ34" s="668">
        <f>IF(AZ$4="forecast",SUMIFS(Planning_Mkt!AC$5:AC$133,Planning_Mkt!$B$5:$B$133,"Books and periodicals"),SUMIF('Dept. Cost Actuals'!$E$7:$E$176,"*Books and Periodicals*",'Dept. Cost Actuals'!BD$181:BD$350))</f>
        <v>0</v>
      </c>
      <c r="BA34" s="668">
        <f>IF(BA$4="forecast",SUMIFS(Planning_Mkt!AD$5:AD$133,Planning_Mkt!$B$5:$B$133,"Books and periodicals"),SUMIF('Dept. Cost Actuals'!$E$7:$E$176,"*Books and Periodicals*",'Dept. Cost Actuals'!BE$181:BE$350))</f>
        <v>0</v>
      </c>
      <c r="BB34" s="668">
        <f>IF(BB$4="forecast",SUMIFS(Planning_Mkt!AE$5:AE$133,Planning_Mkt!$B$5:$B$133,"Books and periodicals"),SUMIF('Dept. Cost Actuals'!$E$7:$E$176,"*Books and Periodicals*",'Dept. Cost Actuals'!BF$181:BF$350))</f>
        <v>0</v>
      </c>
      <c r="BC34" s="668">
        <f>IF(BC$4="forecast",SUMIFS(Planning_Mkt!AF$5:AF$133,Planning_Mkt!$B$5:$B$133,"Books and periodicals"),SUMIF('Dept. Cost Actuals'!$E$7:$E$176,"*Books and Periodicals*",'Dept. Cost Actuals'!BG$181:BG$350))</f>
        <v>0</v>
      </c>
      <c r="BD34" s="668">
        <f>IF(BD$4="forecast",SUMIFS(Planning_Mkt!AG$5:AG$133,Planning_Mkt!$B$5:$B$133,"Books and periodicals"),SUMIF('Dept. Cost Actuals'!$E$7:$E$176,"*Books and Periodicals*",'Dept. Cost Actuals'!BH$181:BH$350))</f>
        <v>0</v>
      </c>
      <c r="BE34" s="668">
        <f>IF(BE$4="forecast",SUMIFS(Planning_Mkt!AH$5:AH$133,Planning_Mkt!$B$5:$B$133,"Books and periodicals"),SUMIF('Dept. Cost Actuals'!$E$7:$E$176,"*Books and Periodicals*",'Dept. Cost Actuals'!BI$181:BI$350))</f>
        <v>0</v>
      </c>
      <c r="BF34" s="668">
        <f>IF(BF$4="forecast",SUMIFS(Planning_Mkt!AI$5:AI$133,Planning_Mkt!$B$5:$B$133,"Books and periodicals"),SUMIF('Dept. Cost Actuals'!$E$7:$E$176,"*Books and Periodicals*",'Dept. Cost Actuals'!BJ$181:BJ$350))</f>
        <v>0</v>
      </c>
      <c r="BG34" s="668">
        <f>IF(BG$4="forecast",SUMIFS(Planning_Mkt!AJ$5:AJ$133,Planning_Mkt!$B$5:$B$133,"Books and periodicals"),SUMIF('Dept. Cost Actuals'!$E$7:$E$176,"*Books and Periodicals*",'Dept. Cost Actuals'!BK$181:BK$350))</f>
        <v>0</v>
      </c>
      <c r="BH34" s="668">
        <f>IF(BH$4="forecast",SUMIFS(Planning_Mkt!AK$5:AK$133,Planning_Mkt!$B$5:$B$133,"Books and periodicals"),SUMIF('Dept. Cost Actuals'!$E$7:$E$176,"*Books and Periodicals*",'Dept. Cost Actuals'!BL$181:BL$350))</f>
        <v>0</v>
      </c>
      <c r="BI34" s="668">
        <f>IF(BI$4="forecast",SUMIFS(Planning_Mkt!AL$5:AL$133,Planning_Mkt!$B$5:$B$133,"Books and periodicals"),SUMIF('Dept. Cost Actuals'!$E$7:$E$176,"*Books and Periodicals*",'Dept. Cost Actuals'!BM$181:BM$350))</f>
        <v>0</v>
      </c>
      <c r="BJ34" s="668">
        <f>IF(BJ$4="forecast",SUMIFS(Planning_Mkt!AM$5:AM$133,Planning_Mkt!$B$5:$B$133,"Books and periodicals"),SUMIF('Dept. Cost Actuals'!$E$7:$E$176,"*Books and Periodicals*",'Dept. Cost Actuals'!BN$181:BN$350))</f>
        <v>0</v>
      </c>
      <c r="BK34" s="668">
        <f>IF(BK$4="forecast",SUMIFS(Planning_Mkt!AN$5:AN$133,Planning_Mkt!$B$5:$B$133,"Books and periodicals"),SUMIF('Dept. Cost Actuals'!$E$7:$E$176,"*Books and Periodicals*",'Dept. Cost Actuals'!BO$181:BO$350))</f>
        <v>0</v>
      </c>
      <c r="BL34" s="668">
        <f>IF(BL$4="forecast",SUMIFS(Planning_Mkt!AO$5:AO$133,Planning_Mkt!$B$5:$B$133,"Books and periodicals"),SUMIF('Dept. Cost Actuals'!$E$7:$E$176,"*Books and Periodicals*",'Dept. Cost Actuals'!BP$181:BP$350))</f>
        <v>0</v>
      </c>
      <c r="BM34" s="668">
        <f>IF(BM$4="forecast",SUMIFS(Planning_Mkt!AP$5:AP$133,Planning_Mkt!$B$5:$B$133,"Books and periodicals"),SUMIF('Dept. Cost Actuals'!$E$7:$E$176,"*Books and Periodicals*",'Dept. Cost Actuals'!BQ$181:BQ$350))</f>
        <v>0</v>
      </c>
      <c r="BN34" s="668">
        <f>IF(BN$4="forecast",SUMIFS(Planning_Mkt!AQ$5:AQ$133,Planning_Mkt!$B$5:$B$133,"Books and periodicals"),SUMIF('Dept. Cost Actuals'!$E$7:$E$176,"*Books and Periodicals*",'Dept. Cost Actuals'!BR$181:BR$350))</f>
        <v>0</v>
      </c>
      <c r="BO34" s="668">
        <f>IF(BO$4="forecast",SUMIFS(Planning_Mkt!AR$5:AR$133,Planning_Mkt!$B$5:$B$133,"Books and periodicals"),SUMIF('Dept. Cost Actuals'!$E$7:$E$176,"*Books and Periodicals*",'Dept. Cost Actuals'!BS$181:BS$350))</f>
        <v>0</v>
      </c>
      <c r="BP34" s="668">
        <f>IF(BP$4="forecast",SUMIFS(Planning_Mkt!AS$5:AS$133,Planning_Mkt!$B$5:$B$133,"Books and periodicals"),SUMIF('Dept. Cost Actuals'!$E$7:$E$176,"*Books and Periodicals*",'Dept. Cost Actuals'!BT$181:BT$350))</f>
        <v>0</v>
      </c>
      <c r="BQ34" s="668">
        <f>IF(BQ$4="forecast",SUMIFS(Planning_Mkt!AT$5:AT$133,Planning_Mkt!$B$5:$B$133,"Books and periodicals"),SUMIF('Dept. Cost Actuals'!$E$7:$E$176,"*Books and Periodicals*",'Dept. Cost Actuals'!BU$181:BU$350))</f>
        <v>0</v>
      </c>
      <c r="BR34" s="668">
        <f>IF(BR$4="forecast",SUMIFS(Planning_Mkt!AU$5:AU$133,Planning_Mkt!$B$5:$B$133,"Books and periodicals"),SUMIF('Dept. Cost Actuals'!$E$7:$E$176,"*Books and Periodicals*",'Dept. Cost Actuals'!BV$181:BV$350))</f>
        <v>0</v>
      </c>
      <c r="BS34" s="668">
        <f>IF(BS$4="forecast",SUMIFS(Planning_Mkt!AV$5:AV$133,Planning_Mkt!$B$5:$B$133,"Books and periodicals"),SUMIF('Dept. Cost Actuals'!$E$7:$E$176,"*Books and Periodicals*",'Dept. Cost Actuals'!BW$181:BW$350))</f>
        <v>0</v>
      </c>
      <c r="BT34" s="668">
        <f>IF(BT$4="forecast",SUMIFS(Planning_Mkt!AW$5:AW$133,Planning_Mkt!$B$5:$B$133,"Books and periodicals"),SUMIF('Dept. Cost Actuals'!$E$7:$E$176,"*Books and Periodicals*",'Dept. Cost Actuals'!BX$181:BX$350))</f>
        <v>0</v>
      </c>
      <c r="BU34" s="668">
        <f>IF(BU$4="forecast",SUMIFS(Planning_Mkt!AX$5:AX$133,Planning_Mkt!$B$5:$B$133,"Books and periodicals"),SUMIF('Dept. Cost Actuals'!$E$7:$E$176,"*Books and Periodicals*",'Dept. Cost Actuals'!BY$181:BY$350))</f>
        <v>0</v>
      </c>
      <c r="BV34" s="790">
        <f>IF(BV$4="forecast",SUMIFS(Planning_Mkt!AY$5:AY$133,Planning_Mkt!$B$5:$B$133,"Books and periodicals"),SUMIF('Dept. Cost Actuals'!$E$7:$E$176,"*Books and Periodicals*",'Dept. Cost Actuals'!BZ$181:BZ$350))</f>
        <v>0</v>
      </c>
    </row>
    <row r="35" spans="2:74" x14ac:dyDescent="0.25">
      <c r="B35" s="794" t="s">
        <v>941</v>
      </c>
      <c r="C35" s="668">
        <f>IF(C$4="forecast",SUMIFS(Planning_Mkt!#REF!,Planning_Mkt!$B$5:$B$133,"Postage and Delivery"),SUMIF('Dept. Cost Actuals'!$E$7:$E$176,"*Postage and Delivery*",'Dept. Cost Actuals'!G$181:G$350))</f>
        <v>5.6932167802399656</v>
      </c>
      <c r="D35" s="668">
        <f>IF(D$4="forecast",SUMIFS(Planning_Mkt!#REF!,Planning_Mkt!$B$5:$B$133,"Postage and Delivery"),SUMIF('Dept. Cost Actuals'!$E$7:$E$176,"*Postage and Delivery*",'Dept. Cost Actuals'!H$181:H$350))</f>
        <v>2.7912853637773485</v>
      </c>
      <c r="E35" s="668">
        <f>IF(E$4="forecast",SUMIFS(Planning_Mkt!#REF!,Planning_Mkt!$B$5:$B$133,"Postage and Delivery"),SUMIF('Dept. Cost Actuals'!$E$7:$E$176,"*Postage and Delivery*",'Dept. Cost Actuals'!I$181:I$350))</f>
        <v>0</v>
      </c>
      <c r="F35" s="668">
        <f>IF(F$4="forecast",SUMIFS(Planning_Mkt!#REF!,Planning_Mkt!$B$5:$B$133,"Postage and Delivery"),SUMIF('Dept. Cost Actuals'!$E$7:$E$176,"*Postage and Delivery*",'Dept. Cost Actuals'!J$181:J$350))</f>
        <v>4.3788502243859533</v>
      </c>
      <c r="G35" s="668">
        <f>IF(G$4="forecast",SUMIFS(Planning_Mkt!#REF!,Planning_Mkt!$B$5:$B$133,"Postage and Delivery"),SUMIF('Dept. Cost Actuals'!$E$7:$E$176,"*Postage and Delivery*",'Dept. Cost Actuals'!K$181:K$350))</f>
        <v>45.930062800702849</v>
      </c>
      <c r="H35" s="668">
        <f>IF(H$4="forecast",SUMIFS(Planning_Mkt!#REF!,Planning_Mkt!$B$5:$B$133,"Postage and Delivery"),SUMIF('Dept. Cost Actuals'!$E$7:$E$176,"*Postage and Delivery*",'Dept. Cost Actuals'!L$181:L$350))</f>
        <v>1.1365687392410004</v>
      </c>
      <c r="I35" s="668">
        <f>IF(I$4="forecast",SUMIFS(Planning_Mkt!#REF!,Planning_Mkt!$B$5:$B$133,"Postage and Delivery"),SUMIF('Dept. Cost Actuals'!$E$7:$E$176,"*Postage and Delivery*",'Dept. Cost Actuals'!M$181:M$350))</f>
        <v>0</v>
      </c>
      <c r="J35" s="668">
        <f>IF(J$4="forecast",SUMIFS(Planning_Mkt!#REF!,Planning_Mkt!$B$5:$B$133,"Postage and Delivery"),SUMIF('Dept. Cost Actuals'!$E$7:$E$176,"*Postage and Delivery*",'Dept. Cost Actuals'!N$181:N$350))</f>
        <v>1.5129000392472729</v>
      </c>
      <c r="K35" s="668">
        <f>IF(K$4="forecast",SUMIFS(Planning_Mkt!#REF!,Planning_Mkt!$B$5:$B$133,"Postage and Delivery"),SUMIF('Dept. Cost Actuals'!$E$7:$E$176,"*Postage and Delivery*",'Dept. Cost Actuals'!O$181:O$350))</f>
        <v>0.31546574868876026</v>
      </c>
      <c r="L35" s="668">
        <f>IF(L$4="forecast",SUMIFS(Planning_Mkt!#REF!,Planning_Mkt!$B$5:$B$133,"Postage and Delivery"),SUMIF('Dept. Cost Actuals'!$E$7:$E$176,"*Postage and Delivery*",'Dept. Cost Actuals'!P$181:P$350))</f>
        <v>4.9018194526622034</v>
      </c>
      <c r="M35" s="668">
        <f>IF(M$4="forecast",SUMIFS(Planning_Mkt!#REF!,Planning_Mkt!$B$5:$B$133,"Postage and Delivery"),SUMIF('Dept. Cost Actuals'!$E$7:$E$176,"*Postage and Delivery*",'Dept. Cost Actuals'!Q$181:Q$350))</f>
        <v>21.333590940969835</v>
      </c>
      <c r="N35" s="668">
        <f>IF(N$4="forecast",SUMIFS(Planning_Mkt!#REF!,Planning_Mkt!$B$5:$B$133,"Postage and Delivery"),SUMIF('Dept. Cost Actuals'!$E$7:$E$176,"*Postage and Delivery*",'Dept. Cost Actuals'!R$181:R$350))</f>
        <v>10.263871589818473</v>
      </c>
      <c r="O35" s="668">
        <f>IF(O$4="forecast",SUMIFS(Planning_Mkt!#REF!,Planning_Mkt!$B$5:$B$133,"Postage and Delivery"),SUMIF('Dept. Cost Actuals'!$E$7:$E$176,"*Postage and Delivery*",'Dept. Cost Actuals'!S$181:S$350))</f>
        <v>0</v>
      </c>
      <c r="P35" s="668">
        <f>IF(P$4="forecast",SUMIFS(Planning_Mkt!#REF!,Planning_Mkt!$B$5:$B$133,"Postage and Delivery"),SUMIF('Dept. Cost Actuals'!$E$7:$E$176,"*Postage and Delivery*",'Dept. Cost Actuals'!T$181:T$350))</f>
        <v>16.829999999999998</v>
      </c>
      <c r="Q35" s="668">
        <f>IF(Q$4="forecast",SUMIFS(Planning_Mkt!#REF!,Planning_Mkt!$B$5:$B$133,"Postage and Delivery"),SUMIF('Dept. Cost Actuals'!$E$7:$E$176,"*Postage and Delivery*",'Dept. Cost Actuals'!U$181:U$350))</f>
        <v>416.15</v>
      </c>
      <c r="R35" s="668">
        <f>IF(R$4="forecast",SUMIFS(Planning_Mkt!#REF!,Planning_Mkt!$B$5:$B$133,"Postage and Delivery"),SUMIF('Dept. Cost Actuals'!$E$7:$E$176,"*Postage and Delivery*",'Dept. Cost Actuals'!V$181:V$350))</f>
        <v>32.6</v>
      </c>
      <c r="S35" s="668">
        <f>IF(S$4="forecast",SUMIFS(Planning_Mkt!#REF!,Planning_Mkt!$B$5:$B$133,"Postage and Delivery"),SUMIF('Dept. Cost Actuals'!$E$7:$E$176,"*Postage and Delivery*",'Dept. Cost Actuals'!W$181:W$350))</f>
        <v>0</v>
      </c>
      <c r="T35" s="668">
        <f>IF(T$4="forecast",SUMIFS(Planning_Mkt!#REF!,Planning_Mkt!$B$5:$B$133,"Postage and Delivery"),SUMIF('Dept. Cost Actuals'!$E$7:$E$176,"*Postage and Delivery*",'Dept. Cost Actuals'!X$181:X$350))</f>
        <v>196.3</v>
      </c>
      <c r="U35" s="668">
        <f>IF(U$4="forecast",SUMIFS(Planning_Mkt!#REF!,Planning_Mkt!$B$5:$B$133,"Postage and Delivery"),SUMIF('Dept. Cost Actuals'!$E$7:$E$176,"*Postage and Delivery*",'Dept. Cost Actuals'!Y$181:Y$350))</f>
        <v>54.18</v>
      </c>
      <c r="V35" s="668">
        <f>IF(V$4="forecast",SUMIFS(Planning_Mkt!#REF!,Planning_Mkt!$B$5:$B$133,"Postage and Delivery"),SUMIF('Dept. Cost Actuals'!$E$7:$E$176,"*Postage and Delivery*",'Dept. Cost Actuals'!Z$181:Z$350))</f>
        <v>60.28</v>
      </c>
      <c r="W35" s="668">
        <f>IF(W$4="forecast",SUMIFS(Planning_Mkt!#REF!,Planning_Mkt!$B$5:$B$133,"Postage and Delivery"),SUMIF('Dept. Cost Actuals'!$E$7:$E$176,"*Postage and Delivery*",'Dept. Cost Actuals'!AA$181:AA$350))</f>
        <v>188.72</v>
      </c>
      <c r="X35" s="668">
        <f>IF(X$4="forecast",SUMIFS(Planning_Mkt!A$5:A$133,Planning_Mkt!$B$5:$B$133,"Postage and Delivery"),SUMIF('Dept. Cost Actuals'!$E$7:$E$176,"*Postage and Delivery*",'Dept. Cost Actuals'!AB$181:AB$350))</f>
        <v>306.70999999999998</v>
      </c>
      <c r="Y35" s="668">
        <f>IF(Y$4="forecast",SUMIFS(Planning_Mkt!B$5:B$133,Planning_Mkt!$B$5:$B$133,"Postage and Delivery"),SUMIF('Dept. Cost Actuals'!$E$7:$E$176,"*Postage and Delivery*",'Dept. Cost Actuals'!AC$181:AC$350))</f>
        <v>43.3</v>
      </c>
      <c r="Z35" s="668">
        <f>IF(Z$4="forecast",SUMIFS(Planning_Mkt!C$5:C$133,Planning_Mkt!$B$5:$B$133,"Postage and Delivery"),SUMIF('Dept. Cost Actuals'!$E$7:$E$176,"*Postage and Delivery*",'Dept. Cost Actuals'!AD$181:AD$350))</f>
        <v>144.41</v>
      </c>
      <c r="AA35" s="668">
        <f>IF(AA$4="forecast",SUMIFS(Planning_Mkt!D$5:D$133,Planning_Mkt!$B$5:$B$133,"Postage and Delivery"),SUMIF('Dept. Cost Actuals'!$E$7:$E$176,"*Postage and Delivery*",'Dept. Cost Actuals'!AE$181:AE$350))</f>
        <v>328.01</v>
      </c>
      <c r="AB35" s="668">
        <f>IF(AB$4="forecast",SUMIFS(Planning_Mkt!E$5:E$133,Planning_Mkt!$B$5:$B$133,"Postage and Delivery"),SUMIF('Dept. Cost Actuals'!$E$7:$E$176,"*Postage and Delivery*",'Dept. Cost Actuals'!AF$181:AF$350))</f>
        <v>0</v>
      </c>
      <c r="AC35" s="668">
        <f>IF(AC$4="forecast",SUMIFS(Planning_Mkt!F$5:F$133,Planning_Mkt!$B$5:$B$133,"Postage and Delivery"),SUMIF('Dept. Cost Actuals'!$E$7:$E$176,"*Postage and Delivery*",'Dept. Cost Actuals'!AG$181:AG$350))</f>
        <v>7.12</v>
      </c>
      <c r="AD35" s="668">
        <f>IF(AD$4="forecast",SUMIFS(Planning_Mkt!G$5:G$133,Planning_Mkt!$B$5:$B$133,"Postage and Delivery"),SUMIF('Dept. Cost Actuals'!$E$7:$E$176,"*Postage and Delivery*",'Dept. Cost Actuals'!AH$181:AH$350))</f>
        <v>200</v>
      </c>
      <c r="AE35" s="668">
        <f>IF(AE$4="forecast",SUMIFS(Planning_Mkt!H$5:H$133,Planning_Mkt!$B$5:$B$133,"Postage and Delivery"),SUMIF('Dept. Cost Actuals'!$E$7:$E$176,"*Postage and Delivery*",'Dept. Cost Actuals'!AI$181:AI$350))</f>
        <v>200</v>
      </c>
      <c r="AF35" s="668">
        <f>IF(AF$4="forecast",SUMIFS(Planning_Mkt!I$5:I$133,Planning_Mkt!$B$5:$B$133,"Postage and Delivery"),SUMIF('Dept. Cost Actuals'!$E$7:$E$176,"*Postage and Delivery*",'Dept. Cost Actuals'!AJ$181:AJ$350))</f>
        <v>200</v>
      </c>
      <c r="AG35" s="668">
        <f>IF(AG$4="forecast",SUMIFS(Planning_Mkt!J$5:J$133,Planning_Mkt!$B$5:$B$133,"Postage and Delivery"),SUMIF('Dept. Cost Actuals'!$E$7:$E$176,"*Postage and Delivery*",'Dept. Cost Actuals'!AK$181:AK$350))</f>
        <v>200</v>
      </c>
      <c r="AH35" s="668">
        <f>IF(AH$4="forecast",SUMIFS(Planning_Mkt!K$5:K$133,Planning_Mkt!$B$5:$B$133,"Postage and Delivery"),SUMIF('Dept. Cost Actuals'!$E$7:$E$176,"*Postage and Delivery*",'Dept. Cost Actuals'!AL$181:AL$350))</f>
        <v>200</v>
      </c>
      <c r="AI35" s="668">
        <f>IF(AI$4="forecast",SUMIFS(Planning_Mkt!L$5:L$133,Planning_Mkt!$B$5:$B$133,"Postage and Delivery"),SUMIF('Dept. Cost Actuals'!$E$7:$E$176,"*Postage and Delivery*",'Dept. Cost Actuals'!AM$181:AM$350))</f>
        <v>200</v>
      </c>
      <c r="AJ35" s="668">
        <f>IF(AJ$4="forecast",SUMIFS(Planning_Mkt!M$5:M$133,Planning_Mkt!$B$5:$B$133,"Postage and Delivery"),SUMIF('Dept. Cost Actuals'!$E$7:$E$176,"*Postage and Delivery*",'Dept. Cost Actuals'!AN$181:AN$350))</f>
        <v>200</v>
      </c>
      <c r="AK35" s="668">
        <f>IF(AK$4="forecast",SUMIFS(Planning_Mkt!N$5:N$133,Planning_Mkt!$B$5:$B$133,"Postage and Delivery"),SUMIF('Dept. Cost Actuals'!$E$7:$E$176,"*Postage and Delivery*",'Dept. Cost Actuals'!AO$181:AO$350))</f>
        <v>200</v>
      </c>
      <c r="AL35" s="668">
        <f>IF(AL$4="forecast",SUMIFS(Planning_Mkt!O$5:O$133,Planning_Mkt!$B$5:$B$133,"Postage and Delivery"),SUMIF('Dept. Cost Actuals'!$E$7:$E$176,"*Postage and Delivery*",'Dept. Cost Actuals'!AP$181:AP$350))</f>
        <v>500</v>
      </c>
      <c r="AM35" s="668">
        <f>IF(AM$4="forecast",SUMIFS(Planning_Mkt!P$5:P$133,Planning_Mkt!$B$5:$B$133,"Postage and Delivery"),SUMIF('Dept. Cost Actuals'!$E$7:$E$176,"*Postage and Delivery*",'Dept. Cost Actuals'!AQ$181:AQ$350))</f>
        <v>2300</v>
      </c>
      <c r="AN35" s="668">
        <f>IF(AN$4="forecast",SUMIFS(Planning_Mkt!Q$5:Q$133,Planning_Mkt!$B$5:$B$133,"Postage and Delivery"),SUMIF('Dept. Cost Actuals'!$E$7:$E$176,"*Postage and Delivery*",'Dept. Cost Actuals'!AR$181:AR$350))</f>
        <v>0</v>
      </c>
      <c r="AO35" s="668">
        <f>IF(AO$4="forecast",SUMIFS(Planning_Mkt!R$5:R$133,Planning_Mkt!$B$5:$B$133,"Postage and Delivery"),SUMIF('Dept. Cost Actuals'!$E$7:$E$176,"*Postage and Delivery*",'Dept. Cost Actuals'!AS$181:AS$350))</f>
        <v>0</v>
      </c>
      <c r="AP35" s="668">
        <f>IF(AP$4="forecast",SUMIFS(Planning_Mkt!S$5:S$133,Planning_Mkt!$B$5:$B$133,"Postage and Delivery"),SUMIF('Dept. Cost Actuals'!$E$7:$E$176,"*Postage and Delivery*",'Dept. Cost Actuals'!AT$181:AT$350))</f>
        <v>0</v>
      </c>
      <c r="AQ35" s="668">
        <f>IF(AQ$4="forecast",SUMIFS(Planning_Mkt!T$5:T$133,Planning_Mkt!$B$5:$B$133,"Postage and Delivery"),SUMIF('Dept. Cost Actuals'!$E$7:$E$176,"*Postage and Delivery*",'Dept. Cost Actuals'!AU$181:AU$350))</f>
        <v>0</v>
      </c>
      <c r="AR35" s="668">
        <f>IF(AR$4="forecast",SUMIFS(Planning_Mkt!U$5:U$133,Planning_Mkt!$B$5:$B$133,"Postage and Delivery"),SUMIF('Dept. Cost Actuals'!$E$7:$E$176,"*Postage and Delivery*",'Dept. Cost Actuals'!AV$181:AV$350))</f>
        <v>0</v>
      </c>
      <c r="AS35" s="668">
        <f>IF(AS$4="forecast",SUMIFS(Planning_Mkt!V$5:V$133,Planning_Mkt!$B$5:$B$133,"Postage and Delivery"),SUMIF('Dept. Cost Actuals'!$E$7:$E$176,"*Postage and Delivery*",'Dept. Cost Actuals'!AW$181:AW$350))</f>
        <v>0</v>
      </c>
      <c r="AT35" s="668">
        <f>IF(AT$4="forecast",SUMIFS(Planning_Mkt!W$5:W$133,Planning_Mkt!$B$5:$B$133,"Postage and Delivery"),SUMIF('Dept. Cost Actuals'!$E$7:$E$176,"*Postage and Delivery*",'Dept. Cost Actuals'!AX$181:AX$350))</f>
        <v>0</v>
      </c>
      <c r="AU35" s="668">
        <f>IF(AU$4="forecast",SUMIFS(Planning_Mkt!X$5:X$133,Planning_Mkt!$B$5:$B$133,"Postage and Delivery"),SUMIF('Dept. Cost Actuals'!$E$7:$E$176,"*Postage and Delivery*",'Dept. Cost Actuals'!AY$181:AY$350))</f>
        <v>0</v>
      </c>
      <c r="AV35" s="668">
        <f>IF(AV$4="forecast",SUMIFS(Planning_Mkt!Y$5:Y$133,Planning_Mkt!$B$5:$B$133,"Postage and Delivery"),SUMIF('Dept. Cost Actuals'!$E$7:$E$176,"*Postage and Delivery*",'Dept. Cost Actuals'!AZ$181:AZ$350))</f>
        <v>0</v>
      </c>
      <c r="AW35" s="668">
        <f>IF(AW$4="forecast",SUMIFS(Planning_Mkt!Z$5:Z$133,Planning_Mkt!$B$5:$B$133,"Postage and Delivery"),SUMIF('Dept. Cost Actuals'!$E$7:$E$176,"*Postage and Delivery*",'Dept. Cost Actuals'!BA$181:BA$350))</f>
        <v>0</v>
      </c>
      <c r="AX35" s="668">
        <f>IF(AX$4="forecast",SUMIFS(Planning_Mkt!AA$5:AA$133,Planning_Mkt!$B$5:$B$133,"Postage and Delivery"),SUMIF('Dept. Cost Actuals'!$E$7:$E$176,"*Postage and Delivery*",'Dept. Cost Actuals'!BB$181:BB$350))</f>
        <v>0</v>
      </c>
      <c r="AY35" s="668">
        <f>IF(AY$4="forecast",SUMIFS(Planning_Mkt!AB$5:AB$133,Planning_Mkt!$B$5:$B$133,"Postage and Delivery"),SUMIF('Dept. Cost Actuals'!$E$7:$E$176,"*Postage and Delivery*",'Dept. Cost Actuals'!BC$181:BC$350))</f>
        <v>0</v>
      </c>
      <c r="AZ35" s="668">
        <f>IF(AZ$4="forecast",SUMIFS(Planning_Mkt!AC$5:AC$133,Planning_Mkt!$B$5:$B$133,"Postage and Delivery"),SUMIF('Dept. Cost Actuals'!$E$7:$E$176,"*Postage and Delivery*",'Dept. Cost Actuals'!BD$181:BD$350))</f>
        <v>0</v>
      </c>
      <c r="BA35" s="668">
        <f>IF(BA$4="forecast",SUMIFS(Planning_Mkt!AD$5:AD$133,Planning_Mkt!$B$5:$B$133,"Postage and Delivery"),SUMIF('Dept. Cost Actuals'!$E$7:$E$176,"*Postage and Delivery*",'Dept. Cost Actuals'!BE$181:BE$350))</f>
        <v>0</v>
      </c>
      <c r="BB35" s="668">
        <f>IF(BB$4="forecast",SUMIFS(Planning_Mkt!AE$5:AE$133,Planning_Mkt!$B$5:$B$133,"Postage and Delivery"),SUMIF('Dept. Cost Actuals'!$E$7:$E$176,"*Postage and Delivery*",'Dept. Cost Actuals'!BF$181:BF$350))</f>
        <v>0</v>
      </c>
      <c r="BC35" s="668">
        <f>IF(BC$4="forecast",SUMIFS(Planning_Mkt!AF$5:AF$133,Planning_Mkt!$B$5:$B$133,"Postage and Delivery"),SUMIF('Dept. Cost Actuals'!$E$7:$E$176,"*Postage and Delivery*",'Dept. Cost Actuals'!BG$181:BG$350))</f>
        <v>0</v>
      </c>
      <c r="BD35" s="668">
        <f>IF(BD$4="forecast",SUMIFS(Planning_Mkt!AG$5:AG$133,Planning_Mkt!$B$5:$B$133,"Postage and Delivery"),SUMIF('Dept. Cost Actuals'!$E$7:$E$176,"*Postage and Delivery*",'Dept. Cost Actuals'!BH$181:BH$350))</f>
        <v>0</v>
      </c>
      <c r="BE35" s="668">
        <f>IF(BE$4="forecast",SUMIFS(Planning_Mkt!AH$5:AH$133,Planning_Mkt!$B$5:$B$133,"Postage and Delivery"),SUMIF('Dept. Cost Actuals'!$E$7:$E$176,"*Postage and Delivery*",'Dept. Cost Actuals'!BI$181:BI$350))</f>
        <v>0</v>
      </c>
      <c r="BF35" s="668">
        <f>IF(BF$4="forecast",SUMIFS(Planning_Mkt!AI$5:AI$133,Planning_Mkt!$B$5:$B$133,"Postage and Delivery"),SUMIF('Dept. Cost Actuals'!$E$7:$E$176,"*Postage and Delivery*",'Dept. Cost Actuals'!BJ$181:BJ$350))</f>
        <v>0</v>
      </c>
      <c r="BG35" s="668">
        <f>IF(BG$4="forecast",SUMIFS(Planning_Mkt!AJ$5:AJ$133,Planning_Mkt!$B$5:$B$133,"Postage and Delivery"),SUMIF('Dept. Cost Actuals'!$E$7:$E$176,"*Postage and Delivery*",'Dept. Cost Actuals'!BK$181:BK$350))</f>
        <v>0</v>
      </c>
      <c r="BH35" s="668">
        <f>IF(BH$4="forecast",SUMIFS(Planning_Mkt!AK$5:AK$133,Planning_Mkt!$B$5:$B$133,"Postage and Delivery"),SUMIF('Dept. Cost Actuals'!$E$7:$E$176,"*Postage and Delivery*",'Dept. Cost Actuals'!BL$181:BL$350))</f>
        <v>0</v>
      </c>
      <c r="BI35" s="668">
        <f>IF(BI$4="forecast",SUMIFS(Planning_Mkt!AL$5:AL$133,Planning_Mkt!$B$5:$B$133,"Postage and Delivery"),SUMIF('Dept. Cost Actuals'!$E$7:$E$176,"*Postage and Delivery*",'Dept. Cost Actuals'!BM$181:BM$350))</f>
        <v>0</v>
      </c>
      <c r="BJ35" s="668">
        <f>IF(BJ$4="forecast",SUMIFS(Planning_Mkt!AM$5:AM$133,Planning_Mkt!$B$5:$B$133,"Postage and Delivery"),SUMIF('Dept. Cost Actuals'!$E$7:$E$176,"*Postage and Delivery*",'Dept. Cost Actuals'!BN$181:BN$350))</f>
        <v>0</v>
      </c>
      <c r="BK35" s="668">
        <f>IF(BK$4="forecast",SUMIFS(Planning_Mkt!AN$5:AN$133,Planning_Mkt!$B$5:$B$133,"Postage and Delivery"),SUMIF('Dept. Cost Actuals'!$E$7:$E$176,"*Postage and Delivery*",'Dept. Cost Actuals'!BO$181:BO$350))</f>
        <v>0</v>
      </c>
      <c r="BL35" s="668">
        <f>IF(BL$4="forecast",SUMIFS(Planning_Mkt!AO$5:AO$133,Planning_Mkt!$B$5:$B$133,"Postage and Delivery"),SUMIF('Dept. Cost Actuals'!$E$7:$E$176,"*Postage and Delivery*",'Dept. Cost Actuals'!BP$181:BP$350))</f>
        <v>0</v>
      </c>
      <c r="BM35" s="668">
        <f>IF(BM$4="forecast",SUMIFS(Planning_Mkt!AP$5:AP$133,Planning_Mkt!$B$5:$B$133,"Postage and Delivery"),SUMIF('Dept. Cost Actuals'!$E$7:$E$176,"*Postage and Delivery*",'Dept. Cost Actuals'!BQ$181:BQ$350))</f>
        <v>0</v>
      </c>
      <c r="BN35" s="668">
        <f>IF(BN$4="forecast",SUMIFS(Planning_Mkt!AQ$5:AQ$133,Planning_Mkt!$B$5:$B$133,"Postage and Delivery"),SUMIF('Dept. Cost Actuals'!$E$7:$E$176,"*Postage and Delivery*",'Dept. Cost Actuals'!BR$181:BR$350))</f>
        <v>0</v>
      </c>
      <c r="BO35" s="668">
        <f>IF(BO$4="forecast",SUMIFS(Planning_Mkt!AR$5:AR$133,Planning_Mkt!$B$5:$B$133,"Postage and Delivery"),SUMIF('Dept. Cost Actuals'!$E$7:$E$176,"*Postage and Delivery*",'Dept. Cost Actuals'!BS$181:BS$350))</f>
        <v>0</v>
      </c>
      <c r="BP35" s="668">
        <f>IF(BP$4="forecast",SUMIFS(Planning_Mkt!AS$5:AS$133,Planning_Mkt!$B$5:$B$133,"Postage and Delivery"),SUMIF('Dept. Cost Actuals'!$E$7:$E$176,"*Postage and Delivery*",'Dept. Cost Actuals'!BT$181:BT$350))</f>
        <v>0</v>
      </c>
      <c r="BQ35" s="668">
        <f>IF(BQ$4="forecast",SUMIFS(Planning_Mkt!AT$5:AT$133,Planning_Mkt!$B$5:$B$133,"Postage and Delivery"),SUMIF('Dept. Cost Actuals'!$E$7:$E$176,"*Postage and Delivery*",'Dept. Cost Actuals'!BU$181:BU$350))</f>
        <v>0</v>
      </c>
      <c r="BR35" s="668">
        <f>IF(BR$4="forecast",SUMIFS(Planning_Mkt!AU$5:AU$133,Planning_Mkt!$B$5:$B$133,"Postage and Delivery"),SUMIF('Dept. Cost Actuals'!$E$7:$E$176,"*Postage and Delivery*",'Dept. Cost Actuals'!BV$181:BV$350))</f>
        <v>0</v>
      </c>
      <c r="BS35" s="668">
        <f>IF(BS$4="forecast",SUMIFS(Planning_Mkt!AV$5:AV$133,Planning_Mkt!$B$5:$B$133,"Postage and Delivery"),SUMIF('Dept. Cost Actuals'!$E$7:$E$176,"*Postage and Delivery*",'Dept. Cost Actuals'!BW$181:BW$350))</f>
        <v>0</v>
      </c>
      <c r="BT35" s="668">
        <f>IF(BT$4="forecast",SUMIFS(Planning_Mkt!AW$5:AW$133,Planning_Mkt!$B$5:$B$133,"Postage and Delivery"),SUMIF('Dept. Cost Actuals'!$E$7:$E$176,"*Postage and Delivery*",'Dept. Cost Actuals'!BX$181:BX$350))</f>
        <v>0</v>
      </c>
      <c r="BU35" s="668">
        <f>IF(BU$4="forecast",SUMIFS(Planning_Mkt!AX$5:AX$133,Planning_Mkt!$B$5:$B$133,"Postage and Delivery"),SUMIF('Dept. Cost Actuals'!$E$7:$E$176,"*Postage and Delivery*",'Dept. Cost Actuals'!BY$181:BY$350))</f>
        <v>0</v>
      </c>
      <c r="BV35" s="790">
        <f>IF(BV$4="forecast",SUMIFS(Planning_Mkt!AY$5:AY$133,Planning_Mkt!$B$5:$B$133,"Postage and Delivery"),SUMIF('Dept. Cost Actuals'!$E$7:$E$176,"*Postage and Delivery*",'Dept. Cost Actuals'!BZ$181:BZ$350))</f>
        <v>0</v>
      </c>
    </row>
    <row r="36" spans="2:74" x14ac:dyDescent="0.25">
      <c r="B36" s="794" t="s">
        <v>942</v>
      </c>
      <c r="C36" s="668">
        <f>IF(C$4="forecast",SUMIFS(Planning_Mkt!#REF!,Planning_Mkt!$B$5:$B$133,"Computer Supplies &amp; Internet"),SUMIF('Dept. Cost Actuals'!$E$7:$E$176,"*Computer Supplies*",'Dept. Cost Actuals'!G$181:G$350))</f>
        <v>572.82144060739211</v>
      </c>
      <c r="D36" s="668">
        <f>IF(D$4="forecast",SUMIFS(Planning_Mkt!#REF!,Planning_Mkt!$B$5:$B$133,"Computer Supplies &amp; Internet"),SUMIF('Dept. Cost Actuals'!$E$7:$E$176,"*Computer Supplies*",'Dept. Cost Actuals'!H$181:H$350))</f>
        <v>132.53275000512107</v>
      </c>
      <c r="E36" s="668">
        <f>IF(E$4="forecast",SUMIFS(Planning_Mkt!#REF!,Planning_Mkt!$B$5:$B$133,"Computer Supplies &amp; Internet"),SUMIF('Dept. Cost Actuals'!$E$7:$E$176,"*Computer Supplies*",'Dept. Cost Actuals'!I$181:I$350))</f>
        <v>677.44009155458502</v>
      </c>
      <c r="F36" s="668">
        <f>IF(F$4="forecast",SUMIFS(Planning_Mkt!#REF!,Planning_Mkt!$B$5:$B$133,"Computer Supplies &amp; Internet"),SUMIF('Dept. Cost Actuals'!$E$7:$E$176,"*Computer Supplies*",'Dept. Cost Actuals'!J$181:J$350))</f>
        <v>191.58981301649402</v>
      </c>
      <c r="G36" s="668">
        <f>IF(G$4="forecast",SUMIFS(Planning_Mkt!#REF!,Planning_Mkt!$B$5:$B$133,"Computer Supplies &amp; Internet"),SUMIF('Dept. Cost Actuals'!$E$7:$E$176,"*Computer Supplies*",'Dept. Cost Actuals'!K$181:K$350))</f>
        <v>342.21557837080104</v>
      </c>
      <c r="H36" s="668">
        <f>IF(H$4="forecast",SUMIFS(Planning_Mkt!#REF!,Planning_Mkt!$B$5:$B$133,"Computer Supplies &amp; Internet"),SUMIF('Dept. Cost Actuals'!$E$7:$E$176,"*Computer Supplies*",'Dept. Cost Actuals'!L$181:L$350))</f>
        <v>442.62849636968673</v>
      </c>
      <c r="I36" s="668">
        <f>IF(I$4="forecast",SUMIFS(Planning_Mkt!#REF!,Planning_Mkt!$B$5:$B$133,"Computer Supplies &amp; Internet"),SUMIF('Dept. Cost Actuals'!$E$7:$E$176,"*Computer Supplies*",'Dept. Cost Actuals'!M$181:M$350))</f>
        <v>311.74010484227074</v>
      </c>
      <c r="J36" s="668">
        <f>IF(J$4="forecast",SUMIFS(Planning_Mkt!#REF!,Planning_Mkt!$B$5:$B$133,"Computer Supplies &amp; Internet"),SUMIF('Dept. Cost Actuals'!$E$7:$E$176,"*Computer Supplies*",'Dept. Cost Actuals'!N$181:N$350))</f>
        <v>171.35303728875837</v>
      </c>
      <c r="K36" s="668">
        <f>IF(K$4="forecast",SUMIFS(Planning_Mkt!#REF!,Planning_Mkt!$B$5:$B$133,"Computer Supplies &amp; Internet"),SUMIF('Dept. Cost Actuals'!$E$7:$E$176,"*Computer Supplies*",'Dept. Cost Actuals'!O$181:O$350))</f>
        <v>137.12587307496952</v>
      </c>
      <c r="L36" s="668">
        <f>IF(L$4="forecast",SUMIFS(Planning_Mkt!#REF!,Planning_Mkt!$B$5:$B$133,"Computer Supplies &amp; Internet"),SUMIF('Dept. Cost Actuals'!$E$7:$E$176,"*Computer Supplies*",'Dept. Cost Actuals'!P$181:P$350))</f>
        <v>286.9447470420813</v>
      </c>
      <c r="M36" s="668">
        <f>IF(M$4="forecast",SUMIFS(Planning_Mkt!#REF!,Planning_Mkt!$B$5:$B$133,"Computer Supplies &amp; Internet"),SUMIF('Dept. Cost Actuals'!$E$7:$E$176,"*Computer Supplies*",'Dept. Cost Actuals'!Q$181:Q$350))</f>
        <v>159.69403453046968</v>
      </c>
      <c r="N36" s="668">
        <f>IF(N$4="forecast",SUMIFS(Planning_Mkt!#REF!,Planning_Mkt!$B$5:$B$133,"Computer Supplies &amp; Internet"),SUMIF('Dept. Cost Actuals'!$E$7:$E$176,"*Computer Supplies*",'Dept. Cost Actuals'!R$181:R$350))</f>
        <v>24.400123615266235</v>
      </c>
      <c r="O36" s="668">
        <f>IF(O$4="forecast",SUMIFS(Planning_Mkt!#REF!,Planning_Mkt!$B$5:$B$133,"Computer Supplies &amp; Internet"),SUMIF('Dept. Cost Actuals'!$E$7:$E$176,"*Computer Supplies*",'Dept. Cost Actuals'!S$181:S$350))</f>
        <v>1000</v>
      </c>
      <c r="P36" s="668">
        <f>IF(P$4="forecast",SUMIFS(Planning_Mkt!#REF!,Planning_Mkt!$B$5:$B$133,"Computer Supplies &amp; Internet"),SUMIF('Dept. Cost Actuals'!$E$7:$E$176,"*Computer Supplies*",'Dept. Cost Actuals'!T$181:T$350))</f>
        <v>0</v>
      </c>
      <c r="Q36" s="668">
        <f>IF(Q$4="forecast",SUMIFS(Planning_Mkt!#REF!,Planning_Mkt!$B$5:$B$133,"Computer Supplies &amp; Internet"),SUMIF('Dept. Cost Actuals'!$E$7:$E$176,"*Computer Supplies*",'Dept. Cost Actuals'!U$181:U$350))</f>
        <v>87.99</v>
      </c>
      <c r="R36" s="668">
        <f>IF(R$4="forecast",SUMIFS(Planning_Mkt!#REF!,Planning_Mkt!$B$5:$B$133,"Computer Supplies &amp; Internet"),SUMIF('Dept. Cost Actuals'!$E$7:$E$176,"*Computer Supplies*",'Dept. Cost Actuals'!V$181:V$350))</f>
        <v>79.900000000000006</v>
      </c>
      <c r="S36" s="668">
        <f>IF(S$4="forecast",SUMIFS(Planning_Mkt!#REF!,Planning_Mkt!$B$5:$B$133,"Computer Supplies &amp; Internet"),SUMIF('Dept. Cost Actuals'!$E$7:$E$176,"*Computer Supplies*",'Dept. Cost Actuals'!W$181:W$350))</f>
        <v>39.950000000000003</v>
      </c>
      <c r="T36" s="668">
        <f>IF(T$4="forecast",SUMIFS(Planning_Mkt!#REF!,Planning_Mkt!$B$5:$B$133,"Computer Supplies &amp; Internet"),SUMIF('Dept. Cost Actuals'!$E$7:$E$176,"*Computer Supplies*",'Dept. Cost Actuals'!X$181:X$350))</f>
        <v>79.95</v>
      </c>
      <c r="U36" s="668">
        <f>IF(U$4="forecast",SUMIFS(Planning_Mkt!#REF!,Planning_Mkt!$B$5:$B$133,"Computer Supplies &amp; Internet"),SUMIF('Dept. Cost Actuals'!$E$7:$E$176,"*Computer Supplies*",'Dept. Cost Actuals'!Y$181:Y$350))</f>
        <v>0</v>
      </c>
      <c r="V36" s="668">
        <f>IF(V$4="forecast",SUMIFS(Planning_Mkt!#REF!,Planning_Mkt!$B$5:$B$133,"Computer Supplies &amp; Internet"),SUMIF('Dept. Cost Actuals'!$E$7:$E$176,"*Computer Supplies*",'Dept. Cost Actuals'!Z$181:Z$350))</f>
        <v>0</v>
      </c>
      <c r="W36" s="668">
        <f>IF(W$4="forecast",SUMIFS(Planning_Mkt!#REF!,Planning_Mkt!$B$5:$B$133,"Computer Supplies &amp; Internet"),SUMIF('Dept. Cost Actuals'!$E$7:$E$176,"*Computer Supplies*",'Dept. Cost Actuals'!AA$181:AA$350))</f>
        <v>55.95</v>
      </c>
      <c r="X36" s="668">
        <f>IF(X$4="forecast",SUMIFS(Planning_Mkt!A$5:A$133,Planning_Mkt!$B$5:$B$133,"Computer Supplies &amp; Internet"),SUMIF('Dept. Cost Actuals'!$E$7:$E$176,"*Computer Supplies*",'Dept. Cost Actuals'!AB$181:AB$350))</f>
        <v>0</v>
      </c>
      <c r="Y36" s="668">
        <f>IF(Y$4="forecast",SUMIFS(Planning_Mkt!B$5:B$133,Planning_Mkt!$B$5:$B$133,"Computer Supplies &amp; Internet"),SUMIF('Dept. Cost Actuals'!$E$7:$E$176,"*Computer Supplies*",'Dept. Cost Actuals'!AC$181:AC$350))</f>
        <v>0</v>
      </c>
      <c r="Z36" s="668">
        <f>IF(Z$4="forecast",SUMIFS(Planning_Mkt!C$5:C$133,Planning_Mkt!$B$5:$B$133,"Computer Supplies &amp; Internet"),SUMIF('Dept. Cost Actuals'!$E$7:$E$176,"*Computer Supplies*",'Dept. Cost Actuals'!AD$181:AD$350))</f>
        <v>0</v>
      </c>
      <c r="AA36" s="668">
        <f>IF(AA$4="forecast",SUMIFS(Planning_Mkt!D$5:D$133,Planning_Mkt!$B$5:$B$133,"Computer Supplies &amp; Internet"),SUMIF('Dept. Cost Actuals'!$E$7:$E$176,"*Computer Supplies*",'Dept. Cost Actuals'!AE$181:AE$350))</f>
        <v>49.99</v>
      </c>
      <c r="AB36" s="668">
        <f>IF(AB$4="forecast",SUMIFS(Planning_Mkt!E$5:E$133,Planning_Mkt!$B$5:$B$133,"Computer Supplies &amp; Internet"),SUMIF('Dept. Cost Actuals'!$E$7:$E$176,"*Computer Supplies*",'Dept. Cost Actuals'!AF$181:AF$350))</f>
        <v>0</v>
      </c>
      <c r="AC36" s="668">
        <f>IF(AC$4="forecast",SUMIFS(Planning_Mkt!F$5:F$133,Planning_Mkt!$B$5:$B$133,"Computer Supplies &amp; Internet"),SUMIF('Dept. Cost Actuals'!$E$7:$E$176,"*Computer Supplies*",'Dept. Cost Actuals'!AG$181:AG$350))</f>
        <v>0</v>
      </c>
      <c r="AD36" s="668">
        <f>IF(AD$4="forecast",SUMIFS(Planning_Mkt!G$5:G$133,Planning_Mkt!$B$5:$B$133,"Computer Supplies &amp; Internet"),SUMIF('Dept. Cost Actuals'!$E$7:$E$176,"*Computer Supplies*",'Dept. Cost Actuals'!AH$181:AH$350))</f>
        <v>0</v>
      </c>
      <c r="AE36" s="668">
        <f>IF(AE$4="forecast",SUMIFS(Planning_Mkt!H$5:H$133,Planning_Mkt!$B$5:$B$133,"Computer Supplies &amp; Internet"),SUMIF('Dept. Cost Actuals'!$E$7:$E$176,"*Computer Supplies*",'Dept. Cost Actuals'!AI$181:AI$350))</f>
        <v>0</v>
      </c>
      <c r="AF36" s="668">
        <f>IF(AF$4="forecast",SUMIFS(Planning_Mkt!I$5:I$133,Planning_Mkt!$B$5:$B$133,"Computer Supplies &amp; Internet"),SUMIF('Dept. Cost Actuals'!$E$7:$E$176,"*Computer Supplies*",'Dept. Cost Actuals'!AJ$181:AJ$350))</f>
        <v>0</v>
      </c>
      <c r="AG36" s="668">
        <f>IF(AG$4="forecast",SUMIFS(Planning_Mkt!J$5:J$133,Planning_Mkt!$B$5:$B$133,"Computer Supplies &amp; Internet"),SUMIF('Dept. Cost Actuals'!$E$7:$E$176,"*Computer Supplies*",'Dept. Cost Actuals'!AK$181:AK$350))</f>
        <v>0</v>
      </c>
      <c r="AH36" s="668">
        <f>IF(AH$4="forecast",SUMIFS(Planning_Mkt!K$5:K$133,Planning_Mkt!$B$5:$B$133,"Computer Supplies &amp; Internet"),SUMIF('Dept. Cost Actuals'!$E$7:$E$176,"*Computer Supplies*",'Dept. Cost Actuals'!AL$181:AL$350))</f>
        <v>0</v>
      </c>
      <c r="AI36" s="668">
        <f>IF(AI$4="forecast",SUMIFS(Planning_Mkt!L$5:L$133,Planning_Mkt!$B$5:$B$133,"Computer Supplies &amp; Internet"),SUMIF('Dept. Cost Actuals'!$E$7:$E$176,"*Computer Supplies*",'Dept. Cost Actuals'!AM$181:AM$350))</f>
        <v>0</v>
      </c>
      <c r="AJ36" s="668">
        <f>IF(AJ$4="forecast",SUMIFS(Planning_Mkt!M$5:M$133,Planning_Mkt!$B$5:$B$133,"Computer Supplies &amp; Internet"),SUMIF('Dept. Cost Actuals'!$E$7:$E$176,"*Computer Supplies*",'Dept. Cost Actuals'!AN$181:AN$350))</f>
        <v>0</v>
      </c>
      <c r="AK36" s="668">
        <f>IF(AK$4="forecast",SUMIFS(Planning_Mkt!N$5:N$133,Planning_Mkt!$B$5:$B$133,"Computer Supplies &amp; Internet"),SUMIF('Dept. Cost Actuals'!$E$7:$E$176,"*Computer Supplies*",'Dept. Cost Actuals'!AO$181:AO$350))</f>
        <v>0</v>
      </c>
      <c r="AL36" s="668">
        <f>IF(AL$4="forecast",SUMIFS(Planning_Mkt!O$5:O$133,Planning_Mkt!$B$5:$B$133,"Computer Supplies &amp; Internet"),SUMIF('Dept. Cost Actuals'!$E$7:$E$176,"*Computer Supplies*",'Dept. Cost Actuals'!AP$181:AP$350))</f>
        <v>0</v>
      </c>
      <c r="AM36" s="668">
        <f>IF(AM$4="forecast",SUMIFS(Planning_Mkt!P$5:P$133,Planning_Mkt!$B$5:$B$133,"Computer Supplies &amp; Internet"),SUMIF('Dept. Cost Actuals'!$E$7:$E$176,"*Computer Supplies*",'Dept. Cost Actuals'!AQ$181:AQ$350))</f>
        <v>0</v>
      </c>
      <c r="AN36" s="668">
        <f>IF(AN$4="forecast",SUMIFS(Planning_Mkt!Q$5:Q$133,Planning_Mkt!$B$5:$B$133,"Computer Supplies &amp; Internet"),SUMIF('Dept. Cost Actuals'!$E$7:$E$176,"*Computer Supplies*",'Dept. Cost Actuals'!AR$181:AR$350))</f>
        <v>0</v>
      </c>
      <c r="AO36" s="668">
        <f>IF(AO$4="forecast",SUMIFS(Planning_Mkt!R$5:R$133,Planning_Mkt!$B$5:$B$133,"Computer Supplies &amp; Internet"),SUMIF('Dept. Cost Actuals'!$E$7:$E$176,"*Computer Supplies*",'Dept. Cost Actuals'!AS$181:AS$350))</f>
        <v>0</v>
      </c>
      <c r="AP36" s="668">
        <f>IF(AP$4="forecast",SUMIFS(Planning_Mkt!S$5:S$133,Planning_Mkt!$B$5:$B$133,"Computer Supplies &amp; Internet"),SUMIF('Dept. Cost Actuals'!$E$7:$E$176,"*Computer Supplies*",'Dept. Cost Actuals'!AT$181:AT$350))</f>
        <v>0</v>
      </c>
      <c r="AQ36" s="668">
        <f>IF(AQ$4="forecast",SUMIFS(Planning_Mkt!T$5:T$133,Planning_Mkt!$B$5:$B$133,"Computer Supplies &amp; Internet"),SUMIF('Dept. Cost Actuals'!$E$7:$E$176,"*Computer Supplies*",'Dept. Cost Actuals'!AU$181:AU$350))</f>
        <v>0</v>
      </c>
      <c r="AR36" s="668">
        <f>IF(AR$4="forecast",SUMIFS(Planning_Mkt!U$5:U$133,Planning_Mkt!$B$5:$B$133,"Computer Supplies &amp; Internet"),SUMIF('Dept. Cost Actuals'!$E$7:$E$176,"*Computer Supplies*",'Dept. Cost Actuals'!AV$181:AV$350))</f>
        <v>0</v>
      </c>
      <c r="AS36" s="668">
        <f>IF(AS$4="forecast",SUMIFS(Planning_Mkt!V$5:V$133,Planning_Mkt!$B$5:$B$133,"Computer Supplies &amp; Internet"),SUMIF('Dept. Cost Actuals'!$E$7:$E$176,"*Computer Supplies*",'Dept. Cost Actuals'!AW$181:AW$350))</f>
        <v>0</v>
      </c>
      <c r="AT36" s="668">
        <f>IF(AT$4="forecast",SUMIFS(Planning_Mkt!W$5:W$133,Planning_Mkt!$B$5:$B$133,"Computer Supplies &amp; Internet"),SUMIF('Dept. Cost Actuals'!$E$7:$E$176,"*Computer Supplies*",'Dept. Cost Actuals'!AX$181:AX$350))</f>
        <v>0</v>
      </c>
      <c r="AU36" s="668">
        <f>IF(AU$4="forecast",SUMIFS(Planning_Mkt!X$5:X$133,Planning_Mkt!$B$5:$B$133,"Computer Supplies &amp; Internet"),SUMIF('Dept. Cost Actuals'!$E$7:$E$176,"*Computer Supplies*",'Dept. Cost Actuals'!AY$181:AY$350))</f>
        <v>0</v>
      </c>
      <c r="AV36" s="668">
        <f>IF(AV$4="forecast",SUMIFS(Planning_Mkt!Y$5:Y$133,Planning_Mkt!$B$5:$B$133,"Computer Supplies &amp; Internet"),SUMIF('Dept. Cost Actuals'!$E$7:$E$176,"*Computer Supplies*",'Dept. Cost Actuals'!AZ$181:AZ$350))</f>
        <v>0</v>
      </c>
      <c r="AW36" s="668">
        <f>IF(AW$4="forecast",SUMIFS(Planning_Mkt!Z$5:Z$133,Planning_Mkt!$B$5:$B$133,"Computer Supplies &amp; Internet"),SUMIF('Dept. Cost Actuals'!$E$7:$E$176,"*Computer Supplies*",'Dept. Cost Actuals'!BA$181:BA$350))</f>
        <v>0</v>
      </c>
      <c r="AX36" s="668">
        <f>IF(AX$4="forecast",SUMIFS(Planning_Mkt!AA$5:AA$133,Planning_Mkt!$B$5:$B$133,"Computer Supplies &amp; Internet"),SUMIF('Dept. Cost Actuals'!$E$7:$E$176,"*Computer Supplies*",'Dept. Cost Actuals'!BB$181:BB$350))</f>
        <v>0</v>
      </c>
      <c r="AY36" s="668">
        <f>IF(AY$4="forecast",SUMIFS(Planning_Mkt!AB$5:AB$133,Planning_Mkt!$B$5:$B$133,"Computer Supplies &amp; Internet"),SUMIF('Dept. Cost Actuals'!$E$7:$E$176,"*Computer Supplies*",'Dept. Cost Actuals'!BC$181:BC$350))</f>
        <v>0</v>
      </c>
      <c r="AZ36" s="668">
        <f>IF(AZ$4="forecast",SUMIFS(Planning_Mkt!AC$5:AC$133,Planning_Mkt!$B$5:$B$133,"Computer Supplies &amp; Internet"),SUMIF('Dept. Cost Actuals'!$E$7:$E$176,"*Computer Supplies*",'Dept. Cost Actuals'!BD$181:BD$350))</f>
        <v>0</v>
      </c>
      <c r="BA36" s="668">
        <f>IF(BA$4="forecast",SUMIFS(Planning_Mkt!AD$5:AD$133,Planning_Mkt!$B$5:$B$133,"Computer Supplies &amp; Internet"),SUMIF('Dept. Cost Actuals'!$E$7:$E$176,"*Computer Supplies*",'Dept. Cost Actuals'!BE$181:BE$350))</f>
        <v>0</v>
      </c>
      <c r="BB36" s="668">
        <f>IF(BB$4="forecast",SUMIFS(Planning_Mkt!AE$5:AE$133,Planning_Mkt!$B$5:$B$133,"Computer Supplies &amp; Internet"),SUMIF('Dept. Cost Actuals'!$E$7:$E$176,"*Computer Supplies*",'Dept. Cost Actuals'!BF$181:BF$350))</f>
        <v>0</v>
      </c>
      <c r="BC36" s="668">
        <f>IF(BC$4="forecast",SUMIFS(Planning_Mkt!AF$5:AF$133,Planning_Mkt!$B$5:$B$133,"Computer Supplies &amp; Internet"),SUMIF('Dept. Cost Actuals'!$E$7:$E$176,"*Computer Supplies*",'Dept. Cost Actuals'!BG$181:BG$350))</f>
        <v>0</v>
      </c>
      <c r="BD36" s="668">
        <f>IF(BD$4="forecast",SUMIFS(Planning_Mkt!AG$5:AG$133,Planning_Mkt!$B$5:$B$133,"Computer Supplies &amp; Internet"),SUMIF('Dept. Cost Actuals'!$E$7:$E$176,"*Computer Supplies*",'Dept. Cost Actuals'!BH$181:BH$350))</f>
        <v>0</v>
      </c>
      <c r="BE36" s="668">
        <f>IF(BE$4="forecast",SUMIFS(Planning_Mkt!AH$5:AH$133,Planning_Mkt!$B$5:$B$133,"Computer Supplies &amp; Internet"),SUMIF('Dept. Cost Actuals'!$E$7:$E$176,"*Computer Supplies*",'Dept. Cost Actuals'!BI$181:BI$350))</f>
        <v>0</v>
      </c>
      <c r="BF36" s="668">
        <f>IF(BF$4="forecast",SUMIFS(Planning_Mkt!AI$5:AI$133,Planning_Mkt!$B$5:$B$133,"Computer Supplies &amp; Internet"),SUMIF('Dept. Cost Actuals'!$E$7:$E$176,"*Computer Supplies*",'Dept. Cost Actuals'!BJ$181:BJ$350))</f>
        <v>0</v>
      </c>
      <c r="BG36" s="668">
        <f>IF(BG$4="forecast",SUMIFS(Planning_Mkt!AJ$5:AJ$133,Planning_Mkt!$B$5:$B$133,"Computer Supplies &amp; Internet"),SUMIF('Dept. Cost Actuals'!$E$7:$E$176,"*Computer Supplies*",'Dept. Cost Actuals'!BK$181:BK$350))</f>
        <v>0</v>
      </c>
      <c r="BH36" s="668">
        <f>IF(BH$4="forecast",SUMIFS(Planning_Mkt!AK$5:AK$133,Planning_Mkt!$B$5:$B$133,"Computer Supplies &amp; Internet"),SUMIF('Dept. Cost Actuals'!$E$7:$E$176,"*Computer Supplies*",'Dept. Cost Actuals'!BL$181:BL$350))</f>
        <v>0</v>
      </c>
      <c r="BI36" s="668">
        <f>IF(BI$4="forecast",SUMIFS(Planning_Mkt!AL$5:AL$133,Planning_Mkt!$B$5:$B$133,"Computer Supplies &amp; Internet"),SUMIF('Dept. Cost Actuals'!$E$7:$E$176,"*Computer Supplies*",'Dept. Cost Actuals'!BM$181:BM$350))</f>
        <v>0</v>
      </c>
      <c r="BJ36" s="668">
        <f>IF(BJ$4="forecast",SUMIFS(Planning_Mkt!AM$5:AM$133,Planning_Mkt!$B$5:$B$133,"Computer Supplies &amp; Internet"),SUMIF('Dept. Cost Actuals'!$E$7:$E$176,"*Computer Supplies*",'Dept. Cost Actuals'!BN$181:BN$350))</f>
        <v>0</v>
      </c>
      <c r="BK36" s="668">
        <f>IF(BK$4="forecast",SUMIFS(Planning_Mkt!AN$5:AN$133,Planning_Mkt!$B$5:$B$133,"Computer Supplies &amp; Internet"),SUMIF('Dept. Cost Actuals'!$E$7:$E$176,"*Computer Supplies*",'Dept. Cost Actuals'!BO$181:BO$350))</f>
        <v>0</v>
      </c>
      <c r="BL36" s="668">
        <f>IF(BL$4="forecast",SUMIFS(Planning_Mkt!AO$5:AO$133,Planning_Mkt!$B$5:$B$133,"Computer Supplies &amp; Internet"),SUMIF('Dept. Cost Actuals'!$E$7:$E$176,"*Computer Supplies*",'Dept. Cost Actuals'!BP$181:BP$350))</f>
        <v>0</v>
      </c>
      <c r="BM36" s="668">
        <f>IF(BM$4="forecast",SUMIFS(Planning_Mkt!AP$5:AP$133,Planning_Mkt!$B$5:$B$133,"Computer Supplies &amp; Internet"),SUMIF('Dept. Cost Actuals'!$E$7:$E$176,"*Computer Supplies*",'Dept. Cost Actuals'!BQ$181:BQ$350))</f>
        <v>0</v>
      </c>
      <c r="BN36" s="668">
        <f>IF(BN$4="forecast",SUMIFS(Planning_Mkt!AQ$5:AQ$133,Planning_Mkt!$B$5:$B$133,"Computer Supplies &amp; Internet"),SUMIF('Dept. Cost Actuals'!$E$7:$E$176,"*Computer Supplies*",'Dept. Cost Actuals'!BR$181:BR$350))</f>
        <v>0</v>
      </c>
      <c r="BO36" s="668">
        <f>IF(BO$4="forecast",SUMIFS(Planning_Mkt!AR$5:AR$133,Planning_Mkt!$B$5:$B$133,"Computer Supplies &amp; Internet"),SUMIF('Dept. Cost Actuals'!$E$7:$E$176,"*Computer Supplies*",'Dept. Cost Actuals'!BS$181:BS$350))</f>
        <v>0</v>
      </c>
      <c r="BP36" s="668">
        <f>IF(BP$4="forecast",SUMIFS(Planning_Mkt!AS$5:AS$133,Planning_Mkt!$B$5:$B$133,"Computer Supplies &amp; Internet"),SUMIF('Dept. Cost Actuals'!$E$7:$E$176,"*Computer Supplies*",'Dept. Cost Actuals'!BT$181:BT$350))</f>
        <v>0</v>
      </c>
      <c r="BQ36" s="668">
        <f>IF(BQ$4="forecast",SUMIFS(Planning_Mkt!AT$5:AT$133,Planning_Mkt!$B$5:$B$133,"Computer Supplies &amp; Internet"),SUMIF('Dept. Cost Actuals'!$E$7:$E$176,"*Computer Supplies*",'Dept. Cost Actuals'!BU$181:BU$350))</f>
        <v>0</v>
      </c>
      <c r="BR36" s="668">
        <f>IF(BR$4="forecast",SUMIFS(Planning_Mkt!AU$5:AU$133,Planning_Mkt!$B$5:$B$133,"Computer Supplies &amp; Internet"),SUMIF('Dept. Cost Actuals'!$E$7:$E$176,"*Computer Supplies*",'Dept. Cost Actuals'!BV$181:BV$350))</f>
        <v>0</v>
      </c>
      <c r="BS36" s="668">
        <f>IF(BS$4="forecast",SUMIFS(Planning_Mkt!AV$5:AV$133,Planning_Mkt!$B$5:$B$133,"Computer Supplies &amp; Internet"),SUMIF('Dept. Cost Actuals'!$E$7:$E$176,"*Computer Supplies*",'Dept. Cost Actuals'!BW$181:BW$350))</f>
        <v>0</v>
      </c>
      <c r="BT36" s="668">
        <f>IF(BT$4="forecast",SUMIFS(Planning_Mkt!AW$5:AW$133,Planning_Mkt!$B$5:$B$133,"Computer Supplies &amp; Internet"),SUMIF('Dept. Cost Actuals'!$E$7:$E$176,"*Computer Supplies*",'Dept. Cost Actuals'!BX$181:BX$350))</f>
        <v>0</v>
      </c>
      <c r="BU36" s="668">
        <f>IF(BU$4="forecast",SUMIFS(Planning_Mkt!AX$5:AX$133,Planning_Mkt!$B$5:$B$133,"Computer Supplies &amp; Internet"),SUMIF('Dept. Cost Actuals'!$E$7:$E$176,"*Computer Supplies*",'Dept. Cost Actuals'!BY$181:BY$350))</f>
        <v>0</v>
      </c>
      <c r="BV36" s="790">
        <f>IF(BV$4="forecast",SUMIFS(Planning_Mkt!AY$5:AY$133,Planning_Mkt!$B$5:$B$133,"Computer Supplies &amp; Internet"),SUMIF('Dept. Cost Actuals'!$E$7:$E$176,"*Computer Supplies*",'Dept. Cost Actuals'!BZ$181:BZ$350))</f>
        <v>0</v>
      </c>
    </row>
    <row r="37" spans="2:74" x14ac:dyDescent="0.25">
      <c r="B37" s="794" t="s">
        <v>943</v>
      </c>
      <c r="C37" s="668">
        <f>IF(C$4="forecast",SUMIFS(Planning_Mkt!#REF!,Planning_Mkt!$B$5:$B$133,"Printing and Reproduction"),SUMIF('Dept. Cost Actuals'!$E$7:$E$176,"*Printing and Reproduction*",'Dept. Cost Actuals'!G$181:G$350))</f>
        <v>0</v>
      </c>
      <c r="D37" s="668">
        <f>IF(D$4="forecast",SUMIFS(Planning_Mkt!#REF!,Planning_Mkt!$B$5:$B$133,"Printing and Reproduction"),SUMIF('Dept. Cost Actuals'!$E$7:$E$176,"*Printing and Reproduction*",'Dept. Cost Actuals'!H$181:H$350))</f>
        <v>0</v>
      </c>
      <c r="E37" s="668">
        <f>IF(E$4="forecast",SUMIFS(Planning_Mkt!#REF!,Planning_Mkt!$B$5:$B$133,"Printing and Reproduction"),SUMIF('Dept. Cost Actuals'!$E$7:$E$176,"*Printing and Reproduction*",'Dept. Cost Actuals'!I$181:I$350))</f>
        <v>0</v>
      </c>
      <c r="F37" s="668">
        <f>IF(F$4="forecast",SUMIFS(Planning_Mkt!#REF!,Planning_Mkt!$B$5:$B$133,"Printing and Reproduction"),SUMIF('Dept. Cost Actuals'!$E$7:$E$176,"*Printing and Reproduction*",'Dept. Cost Actuals'!J$181:J$350))</f>
        <v>104.53077316869542</v>
      </c>
      <c r="G37" s="668">
        <f>IF(G$4="forecast",SUMIFS(Planning_Mkt!#REF!,Planning_Mkt!$B$5:$B$133,"Printing and Reproduction"),SUMIF('Dept. Cost Actuals'!$E$7:$E$176,"*Printing and Reproduction*",'Dept. Cost Actuals'!K$181:K$350))</f>
        <v>9.7954529939117823</v>
      </c>
      <c r="H37" s="668">
        <f>IF(H$4="forecast",SUMIFS(Planning_Mkt!#REF!,Planning_Mkt!$B$5:$B$133,"Printing and Reproduction"),SUMIF('Dept. Cost Actuals'!$E$7:$E$176,"*Printing and Reproduction*",'Dept. Cost Actuals'!L$181:L$350))</f>
        <v>0</v>
      </c>
      <c r="I37" s="668">
        <f>IF(I$4="forecast",SUMIFS(Planning_Mkt!#REF!,Planning_Mkt!$B$5:$B$133,"Printing and Reproduction"),SUMIF('Dept. Cost Actuals'!$E$7:$E$176,"*Printing and Reproduction*",'Dept. Cost Actuals'!M$181:M$350))</f>
        <v>0</v>
      </c>
      <c r="J37" s="668">
        <f>IF(J$4="forecast",SUMIFS(Planning_Mkt!#REF!,Planning_Mkt!$B$5:$B$133,"Printing and Reproduction"),SUMIF('Dept. Cost Actuals'!$E$7:$E$176,"*Printing and Reproduction*",'Dept. Cost Actuals'!N$181:N$350))</f>
        <v>0</v>
      </c>
      <c r="K37" s="668">
        <f>IF(K$4="forecast",SUMIFS(Planning_Mkt!#REF!,Planning_Mkt!$B$5:$B$133,"Printing and Reproduction"),SUMIF('Dept. Cost Actuals'!$E$7:$E$176,"*Printing and Reproduction*",'Dept. Cost Actuals'!O$181:O$350))</f>
        <v>4.7099513701203142</v>
      </c>
      <c r="L37" s="668">
        <f>IF(L$4="forecast",SUMIFS(Planning_Mkt!#REF!,Planning_Mkt!$B$5:$B$133,"Printing and Reproduction"),SUMIF('Dept. Cost Actuals'!$E$7:$E$176,"*Printing and Reproduction*",'Dept. Cost Actuals'!P$181:P$350))</f>
        <v>9.1429443841350849E-2</v>
      </c>
      <c r="M37" s="668">
        <f>IF(M$4="forecast",SUMIFS(Planning_Mkt!#REF!,Planning_Mkt!$B$5:$B$133,"Printing and Reproduction"),SUMIF('Dept. Cost Actuals'!$E$7:$E$176,"*Printing and Reproduction*",'Dept. Cost Actuals'!Q$181:Q$350))</f>
        <v>7.6016120055644532</v>
      </c>
      <c r="N37" s="668">
        <f>IF(N$4="forecast",SUMIFS(Planning_Mkt!#REF!,Planning_Mkt!$B$5:$B$133,"Printing and Reproduction"),SUMIF('Dept. Cost Actuals'!$E$7:$E$176,"*Printing and Reproduction*",'Dept. Cost Actuals'!R$181:R$350))</f>
        <v>0</v>
      </c>
      <c r="O37" s="668">
        <f>IF(O$4="forecast",SUMIFS(Planning_Mkt!#REF!,Planning_Mkt!$B$5:$B$133,"Printing and Reproduction"),SUMIF('Dept. Cost Actuals'!$E$7:$E$176,"*Printing and Reproduction*",'Dept. Cost Actuals'!S$181:S$350))</f>
        <v>654</v>
      </c>
      <c r="P37" s="668">
        <f>IF(P$4="forecast",SUMIFS(Planning_Mkt!#REF!,Planning_Mkt!$B$5:$B$133,"Printing and Reproduction"),SUMIF('Dept. Cost Actuals'!$E$7:$E$176,"*Printing and Reproduction*",'Dept. Cost Actuals'!T$181:T$350))</f>
        <v>0</v>
      </c>
      <c r="Q37" s="668">
        <f>IF(Q$4="forecast",SUMIFS(Planning_Mkt!#REF!,Planning_Mkt!$B$5:$B$133,"Printing and Reproduction"),SUMIF('Dept. Cost Actuals'!$E$7:$E$176,"*Printing and Reproduction*",'Dept. Cost Actuals'!U$181:U$350))</f>
        <v>29.74</v>
      </c>
      <c r="R37" s="668">
        <f>IF(R$4="forecast",SUMIFS(Planning_Mkt!#REF!,Planning_Mkt!$B$5:$B$133,"Printing and Reproduction"),SUMIF('Dept. Cost Actuals'!$E$7:$E$176,"*Printing and Reproduction*",'Dept. Cost Actuals'!V$181:V$350))</f>
        <v>0</v>
      </c>
      <c r="S37" s="668">
        <f>IF(S$4="forecast",SUMIFS(Planning_Mkt!#REF!,Planning_Mkt!$B$5:$B$133,"Printing and Reproduction"),SUMIF('Dept. Cost Actuals'!$E$7:$E$176,"*Printing and Reproduction*",'Dept. Cost Actuals'!W$181:W$350))</f>
        <v>618.03</v>
      </c>
      <c r="T37" s="668">
        <f>IF(T$4="forecast",SUMIFS(Planning_Mkt!#REF!,Planning_Mkt!$B$5:$B$133,"Printing and Reproduction"),SUMIF('Dept. Cost Actuals'!$E$7:$E$176,"*Printing and Reproduction*",'Dept. Cost Actuals'!X$181:X$350))</f>
        <v>0</v>
      </c>
      <c r="U37" s="668">
        <f>IF(U$4="forecast",SUMIFS(Planning_Mkt!#REF!,Planning_Mkt!$B$5:$B$133,"Printing and Reproduction"),SUMIF('Dept. Cost Actuals'!$E$7:$E$176,"*Printing and Reproduction*",'Dept. Cost Actuals'!Y$181:Y$350))</f>
        <v>0</v>
      </c>
      <c r="V37" s="668">
        <f>IF(V$4="forecast",SUMIFS(Planning_Mkt!#REF!,Planning_Mkt!$B$5:$B$133,"Printing and Reproduction"),SUMIF('Dept. Cost Actuals'!$E$7:$E$176,"*Printing and Reproduction*",'Dept. Cost Actuals'!Z$181:Z$350))</f>
        <v>0</v>
      </c>
      <c r="W37" s="668">
        <f>IF(W$4="forecast",SUMIFS(Planning_Mkt!#REF!,Planning_Mkt!$B$5:$B$133,"Printing and Reproduction"),SUMIF('Dept. Cost Actuals'!$E$7:$E$176,"*Printing and Reproduction*",'Dept. Cost Actuals'!AA$181:AA$350))</f>
        <v>0</v>
      </c>
      <c r="X37" s="668">
        <f>IF(X$4="forecast",SUMIFS(Planning_Mkt!A$5:A$133,Planning_Mkt!$B$5:$B$133,"Printing and Reproduction"),SUMIF('Dept. Cost Actuals'!$E$7:$E$176,"*Printing and Reproduction*",'Dept. Cost Actuals'!AB$181:AB$350))</f>
        <v>0</v>
      </c>
      <c r="Y37" s="668">
        <f>IF(Y$4="forecast",SUMIFS(Planning_Mkt!B$5:B$133,Planning_Mkt!$B$5:$B$133,"Printing and Reproduction"),SUMIF('Dept. Cost Actuals'!$E$7:$E$176,"*Printing and Reproduction*",'Dept. Cost Actuals'!AC$181:AC$350))</f>
        <v>0</v>
      </c>
      <c r="Z37" s="668">
        <f>IF(Z$4="forecast",SUMIFS(Planning_Mkt!C$5:C$133,Planning_Mkt!$B$5:$B$133,"Printing and Reproduction"),SUMIF('Dept. Cost Actuals'!$E$7:$E$176,"*Printing and Reproduction*",'Dept. Cost Actuals'!AD$181:AD$350))</f>
        <v>86.5</v>
      </c>
      <c r="AA37" s="668">
        <f>IF(AA$4="forecast",SUMIFS(Planning_Mkt!D$5:D$133,Planning_Mkt!$B$5:$B$133,"Printing and Reproduction"),SUMIF('Dept. Cost Actuals'!$E$7:$E$176,"*Printing and Reproduction*",'Dept. Cost Actuals'!AE$181:AE$350))</f>
        <v>864.09</v>
      </c>
      <c r="AB37" s="668">
        <f>IF(AB$4="forecast",SUMIFS(Planning_Mkt!E$5:E$133,Planning_Mkt!$B$5:$B$133,"Printing and Reproduction"),SUMIF('Dept. Cost Actuals'!$E$7:$E$176,"*Printing and Reproduction*",'Dept. Cost Actuals'!AF$181:AF$350))</f>
        <v>129</v>
      </c>
      <c r="AC37" s="668">
        <f>IF(AC$4="forecast",SUMIFS(Planning_Mkt!F$5:F$133,Planning_Mkt!$B$5:$B$133,"Printing and Reproduction"),SUMIF('Dept. Cost Actuals'!$E$7:$E$176,"*Printing and Reproduction*",'Dept. Cost Actuals'!AG$181:AG$350))</f>
        <v>4.7</v>
      </c>
      <c r="AD37" s="668">
        <f>IF(AD$4="forecast",SUMIFS(Planning_Mkt!G$5:G$133,Planning_Mkt!$B$5:$B$133,"Printing and Reproduction"),SUMIF('Dept. Cost Actuals'!$E$7:$E$176,"*Printing and Reproduction*",'Dept. Cost Actuals'!AH$181:AH$350))</f>
        <v>0</v>
      </c>
      <c r="AE37" s="668">
        <f>IF(AE$4="forecast",SUMIFS(Planning_Mkt!H$5:H$133,Planning_Mkt!$B$5:$B$133,"Printing and Reproduction"),SUMIF('Dept. Cost Actuals'!$E$7:$E$176,"*Printing and Reproduction*",'Dept. Cost Actuals'!AI$181:AI$350))</f>
        <v>0</v>
      </c>
      <c r="AF37" s="668">
        <f>IF(AF$4="forecast",SUMIFS(Planning_Mkt!I$5:I$133,Planning_Mkt!$B$5:$B$133,"Printing and Reproduction"),SUMIF('Dept. Cost Actuals'!$E$7:$E$176,"*Printing and Reproduction*",'Dept. Cost Actuals'!AJ$181:AJ$350))</f>
        <v>0</v>
      </c>
      <c r="AG37" s="668">
        <f>IF(AG$4="forecast",SUMIFS(Planning_Mkt!J$5:J$133,Planning_Mkt!$B$5:$B$133,"Printing and Reproduction"),SUMIF('Dept. Cost Actuals'!$E$7:$E$176,"*Printing and Reproduction*",'Dept. Cost Actuals'!AK$181:AK$350))</f>
        <v>0</v>
      </c>
      <c r="AH37" s="668">
        <f>IF(AH$4="forecast",SUMIFS(Planning_Mkt!K$5:K$133,Planning_Mkt!$B$5:$B$133,"Printing and Reproduction"),SUMIF('Dept. Cost Actuals'!$E$7:$E$176,"*Printing and Reproduction*",'Dept. Cost Actuals'!AL$181:AL$350))</f>
        <v>0</v>
      </c>
      <c r="AI37" s="668">
        <f>IF(AI$4="forecast",SUMIFS(Planning_Mkt!L$5:L$133,Planning_Mkt!$B$5:$B$133,"Printing and Reproduction"),SUMIF('Dept. Cost Actuals'!$E$7:$E$176,"*Printing and Reproduction*",'Dept. Cost Actuals'!AM$181:AM$350))</f>
        <v>0</v>
      </c>
      <c r="AJ37" s="668">
        <f>IF(AJ$4="forecast",SUMIFS(Planning_Mkt!M$5:M$133,Planning_Mkt!$B$5:$B$133,"Printing and Reproduction"),SUMIF('Dept. Cost Actuals'!$E$7:$E$176,"*Printing and Reproduction*",'Dept. Cost Actuals'!AN$181:AN$350))</f>
        <v>0</v>
      </c>
      <c r="AK37" s="668">
        <f>IF(AK$4="forecast",SUMIFS(Planning_Mkt!N$5:N$133,Planning_Mkt!$B$5:$B$133,"Printing and Reproduction"),SUMIF('Dept. Cost Actuals'!$E$7:$E$176,"*Printing and Reproduction*",'Dept. Cost Actuals'!AO$181:AO$350))</f>
        <v>0</v>
      </c>
      <c r="AL37" s="668">
        <f>IF(AL$4="forecast",SUMIFS(Planning_Mkt!O$5:O$133,Planning_Mkt!$B$5:$B$133,"Printing and Reproduction"),SUMIF('Dept. Cost Actuals'!$E$7:$E$176,"*Printing and Reproduction*",'Dept. Cost Actuals'!AP$181:AP$350))</f>
        <v>0</v>
      </c>
      <c r="AM37" s="668">
        <f>IF(AM$4="forecast",SUMIFS(Planning_Mkt!P$5:P$133,Planning_Mkt!$B$5:$B$133,"Printing and Reproduction"),SUMIF('Dept. Cost Actuals'!$E$7:$E$176,"*Printing and Reproduction*",'Dept. Cost Actuals'!AQ$181:AQ$350))</f>
        <v>0</v>
      </c>
      <c r="AN37" s="668">
        <f>IF(AN$4="forecast",SUMIFS(Planning_Mkt!Q$5:Q$133,Planning_Mkt!$B$5:$B$133,"Printing and Reproduction"),SUMIF('Dept. Cost Actuals'!$E$7:$E$176,"*Printing and Reproduction*",'Dept. Cost Actuals'!AR$181:AR$350))</f>
        <v>0</v>
      </c>
      <c r="AO37" s="668">
        <f>IF(AO$4="forecast",SUMIFS(Planning_Mkt!R$5:R$133,Planning_Mkt!$B$5:$B$133,"Printing and Reproduction"),SUMIF('Dept. Cost Actuals'!$E$7:$E$176,"*Printing and Reproduction*",'Dept. Cost Actuals'!AS$181:AS$350))</f>
        <v>0</v>
      </c>
      <c r="AP37" s="668">
        <f>IF(AP$4="forecast",SUMIFS(Planning_Mkt!S$5:S$133,Planning_Mkt!$B$5:$B$133,"Printing and Reproduction"),SUMIF('Dept. Cost Actuals'!$E$7:$E$176,"*Printing and Reproduction*",'Dept. Cost Actuals'!AT$181:AT$350))</f>
        <v>0</v>
      </c>
      <c r="AQ37" s="668">
        <f>IF(AQ$4="forecast",SUMIFS(Planning_Mkt!T$5:T$133,Planning_Mkt!$B$5:$B$133,"Printing and Reproduction"),SUMIF('Dept. Cost Actuals'!$E$7:$E$176,"*Printing and Reproduction*",'Dept. Cost Actuals'!AU$181:AU$350))</f>
        <v>0</v>
      </c>
      <c r="AR37" s="668">
        <f>IF(AR$4="forecast",SUMIFS(Planning_Mkt!U$5:U$133,Planning_Mkt!$B$5:$B$133,"Printing and Reproduction"),SUMIF('Dept. Cost Actuals'!$E$7:$E$176,"*Printing and Reproduction*",'Dept. Cost Actuals'!AV$181:AV$350))</f>
        <v>0</v>
      </c>
      <c r="AS37" s="668">
        <f>IF(AS$4="forecast",SUMIFS(Planning_Mkt!V$5:V$133,Planning_Mkt!$B$5:$B$133,"Printing and Reproduction"),SUMIF('Dept. Cost Actuals'!$E$7:$E$176,"*Printing and Reproduction*",'Dept. Cost Actuals'!AW$181:AW$350))</f>
        <v>0</v>
      </c>
      <c r="AT37" s="668">
        <f>IF(AT$4="forecast",SUMIFS(Planning_Mkt!W$5:W$133,Planning_Mkt!$B$5:$B$133,"Printing and Reproduction"),SUMIF('Dept. Cost Actuals'!$E$7:$E$176,"*Printing and Reproduction*",'Dept. Cost Actuals'!AX$181:AX$350))</f>
        <v>0</v>
      </c>
      <c r="AU37" s="668">
        <f>IF(AU$4="forecast",SUMIFS(Planning_Mkt!X$5:X$133,Planning_Mkt!$B$5:$B$133,"Printing and Reproduction"),SUMIF('Dept. Cost Actuals'!$E$7:$E$176,"*Printing and Reproduction*",'Dept. Cost Actuals'!AY$181:AY$350))</f>
        <v>0</v>
      </c>
      <c r="AV37" s="668">
        <f>IF(AV$4="forecast",SUMIFS(Planning_Mkt!Y$5:Y$133,Planning_Mkt!$B$5:$B$133,"Printing and Reproduction"),SUMIF('Dept. Cost Actuals'!$E$7:$E$176,"*Printing and Reproduction*",'Dept. Cost Actuals'!AZ$181:AZ$350))</f>
        <v>0</v>
      </c>
      <c r="AW37" s="668">
        <f>IF(AW$4="forecast",SUMIFS(Planning_Mkt!Z$5:Z$133,Planning_Mkt!$B$5:$B$133,"Printing and Reproduction"),SUMIF('Dept. Cost Actuals'!$E$7:$E$176,"*Printing and Reproduction*",'Dept. Cost Actuals'!BA$181:BA$350))</f>
        <v>0</v>
      </c>
      <c r="AX37" s="668">
        <f>IF(AX$4="forecast",SUMIFS(Planning_Mkt!AA$5:AA$133,Planning_Mkt!$B$5:$B$133,"Printing and Reproduction"),SUMIF('Dept. Cost Actuals'!$E$7:$E$176,"*Printing and Reproduction*",'Dept. Cost Actuals'!BB$181:BB$350))</f>
        <v>0</v>
      </c>
      <c r="AY37" s="668">
        <f>IF(AY$4="forecast",SUMIFS(Planning_Mkt!AB$5:AB$133,Planning_Mkt!$B$5:$B$133,"Printing and Reproduction"),SUMIF('Dept. Cost Actuals'!$E$7:$E$176,"*Printing and Reproduction*",'Dept. Cost Actuals'!BC$181:BC$350))</f>
        <v>0</v>
      </c>
      <c r="AZ37" s="668">
        <f>IF(AZ$4="forecast",SUMIFS(Planning_Mkt!AC$5:AC$133,Planning_Mkt!$B$5:$B$133,"Printing and Reproduction"),SUMIF('Dept. Cost Actuals'!$E$7:$E$176,"*Printing and Reproduction*",'Dept. Cost Actuals'!BD$181:BD$350))</f>
        <v>0</v>
      </c>
      <c r="BA37" s="668">
        <f>IF(BA$4="forecast",SUMIFS(Planning_Mkt!AD$5:AD$133,Planning_Mkt!$B$5:$B$133,"Printing and Reproduction"),SUMIF('Dept. Cost Actuals'!$E$7:$E$176,"*Printing and Reproduction*",'Dept. Cost Actuals'!BE$181:BE$350))</f>
        <v>0</v>
      </c>
      <c r="BB37" s="668">
        <f>IF(BB$4="forecast",SUMIFS(Planning_Mkt!AE$5:AE$133,Planning_Mkt!$B$5:$B$133,"Printing and Reproduction"),SUMIF('Dept. Cost Actuals'!$E$7:$E$176,"*Printing and Reproduction*",'Dept. Cost Actuals'!BF$181:BF$350))</f>
        <v>0</v>
      </c>
      <c r="BC37" s="668">
        <f>IF(BC$4="forecast",SUMIFS(Planning_Mkt!AF$5:AF$133,Planning_Mkt!$B$5:$B$133,"Printing and Reproduction"),SUMIF('Dept. Cost Actuals'!$E$7:$E$176,"*Printing and Reproduction*",'Dept. Cost Actuals'!BG$181:BG$350))</f>
        <v>0</v>
      </c>
      <c r="BD37" s="668">
        <f>IF(BD$4="forecast",SUMIFS(Planning_Mkt!AG$5:AG$133,Planning_Mkt!$B$5:$B$133,"Printing and Reproduction"),SUMIF('Dept. Cost Actuals'!$E$7:$E$176,"*Printing and Reproduction*",'Dept. Cost Actuals'!BH$181:BH$350))</f>
        <v>0</v>
      </c>
      <c r="BE37" s="668">
        <f>IF(BE$4="forecast",SUMIFS(Planning_Mkt!AH$5:AH$133,Planning_Mkt!$B$5:$B$133,"Printing and Reproduction"),SUMIF('Dept. Cost Actuals'!$E$7:$E$176,"*Printing and Reproduction*",'Dept. Cost Actuals'!BI$181:BI$350))</f>
        <v>0</v>
      </c>
      <c r="BF37" s="668">
        <f>IF(BF$4="forecast",SUMIFS(Planning_Mkt!AI$5:AI$133,Planning_Mkt!$B$5:$B$133,"Printing and Reproduction"),SUMIF('Dept. Cost Actuals'!$E$7:$E$176,"*Printing and Reproduction*",'Dept. Cost Actuals'!BJ$181:BJ$350))</f>
        <v>0</v>
      </c>
      <c r="BG37" s="668">
        <f>IF(BG$4="forecast",SUMIFS(Planning_Mkt!AJ$5:AJ$133,Planning_Mkt!$B$5:$B$133,"Printing and Reproduction"),SUMIF('Dept. Cost Actuals'!$E$7:$E$176,"*Printing and Reproduction*",'Dept. Cost Actuals'!BK$181:BK$350))</f>
        <v>0</v>
      </c>
      <c r="BH37" s="668">
        <f>IF(BH$4="forecast",SUMIFS(Planning_Mkt!AK$5:AK$133,Planning_Mkt!$B$5:$B$133,"Printing and Reproduction"),SUMIF('Dept. Cost Actuals'!$E$7:$E$176,"*Printing and Reproduction*",'Dept. Cost Actuals'!BL$181:BL$350))</f>
        <v>0</v>
      </c>
      <c r="BI37" s="668">
        <f>IF(BI$4="forecast",SUMIFS(Planning_Mkt!AL$5:AL$133,Planning_Mkt!$B$5:$B$133,"Printing and Reproduction"),SUMIF('Dept. Cost Actuals'!$E$7:$E$176,"*Printing and Reproduction*",'Dept. Cost Actuals'!BM$181:BM$350))</f>
        <v>0</v>
      </c>
      <c r="BJ37" s="668">
        <f>IF(BJ$4="forecast",SUMIFS(Planning_Mkt!AM$5:AM$133,Planning_Mkt!$B$5:$B$133,"Printing and Reproduction"),SUMIF('Dept. Cost Actuals'!$E$7:$E$176,"*Printing and Reproduction*",'Dept. Cost Actuals'!BN$181:BN$350))</f>
        <v>0</v>
      </c>
      <c r="BK37" s="668">
        <f>IF(BK$4="forecast",SUMIFS(Planning_Mkt!AN$5:AN$133,Planning_Mkt!$B$5:$B$133,"Printing and Reproduction"),SUMIF('Dept. Cost Actuals'!$E$7:$E$176,"*Printing and Reproduction*",'Dept. Cost Actuals'!BO$181:BO$350))</f>
        <v>0</v>
      </c>
      <c r="BL37" s="668">
        <f>IF(BL$4="forecast",SUMIFS(Planning_Mkt!AO$5:AO$133,Planning_Mkt!$B$5:$B$133,"Printing and Reproduction"),SUMIF('Dept. Cost Actuals'!$E$7:$E$176,"*Printing and Reproduction*",'Dept. Cost Actuals'!BP$181:BP$350))</f>
        <v>0</v>
      </c>
      <c r="BM37" s="668">
        <f>IF(BM$4="forecast",SUMIFS(Planning_Mkt!AP$5:AP$133,Planning_Mkt!$B$5:$B$133,"Printing and Reproduction"),SUMIF('Dept. Cost Actuals'!$E$7:$E$176,"*Printing and Reproduction*",'Dept. Cost Actuals'!BQ$181:BQ$350))</f>
        <v>0</v>
      </c>
      <c r="BN37" s="668">
        <f>IF(BN$4="forecast",SUMIFS(Planning_Mkt!AQ$5:AQ$133,Planning_Mkt!$B$5:$B$133,"Printing and Reproduction"),SUMIF('Dept. Cost Actuals'!$E$7:$E$176,"*Printing and Reproduction*",'Dept. Cost Actuals'!BR$181:BR$350))</f>
        <v>0</v>
      </c>
      <c r="BO37" s="668">
        <f>IF(BO$4="forecast",SUMIFS(Planning_Mkt!AR$5:AR$133,Planning_Mkt!$B$5:$B$133,"Printing and Reproduction"),SUMIF('Dept. Cost Actuals'!$E$7:$E$176,"*Printing and Reproduction*",'Dept. Cost Actuals'!BS$181:BS$350))</f>
        <v>0</v>
      </c>
      <c r="BP37" s="668">
        <f>IF(BP$4="forecast",SUMIFS(Planning_Mkt!AS$5:AS$133,Planning_Mkt!$B$5:$B$133,"Printing and Reproduction"),SUMIF('Dept. Cost Actuals'!$E$7:$E$176,"*Printing and Reproduction*",'Dept. Cost Actuals'!BT$181:BT$350))</f>
        <v>0</v>
      </c>
      <c r="BQ37" s="668">
        <f>IF(BQ$4="forecast",SUMIFS(Planning_Mkt!AT$5:AT$133,Planning_Mkt!$B$5:$B$133,"Printing and Reproduction"),SUMIF('Dept. Cost Actuals'!$E$7:$E$176,"*Printing and Reproduction*",'Dept. Cost Actuals'!BU$181:BU$350))</f>
        <v>0</v>
      </c>
      <c r="BR37" s="668">
        <f>IF(BR$4="forecast",SUMIFS(Planning_Mkt!AU$5:AU$133,Planning_Mkt!$B$5:$B$133,"Printing and Reproduction"),SUMIF('Dept. Cost Actuals'!$E$7:$E$176,"*Printing and Reproduction*",'Dept. Cost Actuals'!BV$181:BV$350))</f>
        <v>0</v>
      </c>
      <c r="BS37" s="668">
        <f>IF(BS$4="forecast",SUMIFS(Planning_Mkt!AV$5:AV$133,Planning_Mkt!$B$5:$B$133,"Printing and Reproduction"),SUMIF('Dept. Cost Actuals'!$E$7:$E$176,"*Printing and Reproduction*",'Dept. Cost Actuals'!BW$181:BW$350))</f>
        <v>0</v>
      </c>
      <c r="BT37" s="668">
        <f>IF(BT$4="forecast",SUMIFS(Planning_Mkt!AW$5:AW$133,Planning_Mkt!$B$5:$B$133,"Printing and Reproduction"),SUMIF('Dept. Cost Actuals'!$E$7:$E$176,"*Printing and Reproduction*",'Dept. Cost Actuals'!BX$181:BX$350))</f>
        <v>0</v>
      </c>
      <c r="BU37" s="668">
        <f>IF(BU$4="forecast",SUMIFS(Planning_Mkt!AX$5:AX$133,Planning_Mkt!$B$5:$B$133,"Printing and Reproduction"),SUMIF('Dept. Cost Actuals'!$E$7:$E$176,"*Printing and Reproduction*",'Dept. Cost Actuals'!BY$181:BY$350))</f>
        <v>0</v>
      </c>
      <c r="BV37" s="790">
        <f>IF(BV$4="forecast",SUMIFS(Planning_Mkt!AY$5:AY$133,Planning_Mkt!$B$5:$B$133,"Printing and Reproduction"),SUMIF('Dept. Cost Actuals'!$E$7:$E$176,"*Printing and Reproduction*",'Dept. Cost Actuals'!BZ$181:BZ$350))</f>
        <v>0</v>
      </c>
    </row>
    <row r="38" spans="2:74" x14ac:dyDescent="0.25">
      <c r="B38" s="794" t="s">
        <v>921</v>
      </c>
      <c r="C38" s="668">
        <f>IF(C$4="forecast",SUMIFS(Planning_Mkt!#REF!,Planning_Mkt!$B$5:$B$133,"Office Supplies"),SUMIF('Dept. Cost Actuals'!$E$7:$E$176,"*Office Supplies*",'Dept. Cost Actuals'!G$181:G$350))</f>
        <v>138.96527977816228</v>
      </c>
      <c r="D38" s="668">
        <f>IF(D$4="forecast",SUMIFS(Planning_Mkt!#REF!,Planning_Mkt!$B$5:$B$133,"Office Supplies"),SUMIF('Dept. Cost Actuals'!$E$7:$E$176,"*Office Supplies*",'Dept. Cost Actuals'!H$181:H$350))</f>
        <v>92.808029584230695</v>
      </c>
      <c r="E38" s="668">
        <f>IF(E$4="forecast",SUMIFS(Planning_Mkt!#REF!,Planning_Mkt!$B$5:$B$133,"Office Supplies"),SUMIF('Dept. Cost Actuals'!$E$7:$E$176,"*Office Supplies*",'Dept. Cost Actuals'!I$181:I$350))</f>
        <v>148.99365579854535</v>
      </c>
      <c r="F38" s="668">
        <f>IF(F$4="forecast",SUMIFS(Planning_Mkt!#REF!,Planning_Mkt!$B$5:$B$133,"Office Supplies"),SUMIF('Dept. Cost Actuals'!$E$7:$E$176,"*Office Supplies*",'Dept. Cost Actuals'!J$181:J$350))</f>
        <v>189.46286612934981</v>
      </c>
      <c r="G38" s="668">
        <f>IF(G$4="forecast",SUMIFS(Planning_Mkt!#REF!,Planning_Mkt!$B$5:$B$133,"Office Supplies"),SUMIF('Dept. Cost Actuals'!$E$7:$E$176,"*Office Supplies*",'Dept. Cost Actuals'!K$181:K$350))</f>
        <v>89.683086173508812</v>
      </c>
      <c r="H38" s="668">
        <f>IF(H$4="forecast",SUMIFS(Planning_Mkt!#REF!,Planning_Mkt!$B$5:$B$133,"Office Supplies"),SUMIF('Dept. Cost Actuals'!$E$7:$E$176,"*Office Supplies*",'Dept. Cost Actuals'!L$181:L$350))</f>
        <v>201.75601271446232</v>
      </c>
      <c r="I38" s="668">
        <f>IF(I$4="forecast",SUMIFS(Planning_Mkt!#REF!,Planning_Mkt!$B$5:$B$133,"Office Supplies"),SUMIF('Dept. Cost Actuals'!$E$7:$E$176,"*Office Supplies*",'Dept. Cost Actuals'!M$181:M$350))</f>
        <v>165.30313649718352</v>
      </c>
      <c r="J38" s="668">
        <f>IF(J$4="forecast",SUMIFS(Planning_Mkt!#REF!,Planning_Mkt!$B$5:$B$133,"Office Supplies"),SUMIF('Dept. Cost Actuals'!$E$7:$E$176,"*Office Supplies*",'Dept. Cost Actuals'!N$181:N$350))</f>
        <v>103.14264666878618</v>
      </c>
      <c r="K38" s="668">
        <f>IF(K$4="forecast",SUMIFS(Planning_Mkt!#REF!,Planning_Mkt!$B$5:$B$133,"Office Supplies"),SUMIF('Dept. Cost Actuals'!$E$7:$E$176,"*Office Supplies*",'Dept. Cost Actuals'!O$181:O$350))</f>
        <v>66.475500780154235</v>
      </c>
      <c r="L38" s="668">
        <f>IF(L$4="forecast",SUMIFS(Planning_Mkt!#REF!,Planning_Mkt!$B$5:$B$133,"Office Supplies"),SUMIF('Dept. Cost Actuals'!$E$7:$E$176,"*Office Supplies*",'Dept. Cost Actuals'!P$181:P$350))</f>
        <v>83.439934168450321</v>
      </c>
      <c r="M38" s="668">
        <f>IF(M$4="forecast",SUMIFS(Planning_Mkt!#REF!,Planning_Mkt!$B$5:$B$133,"Office Supplies"),SUMIF('Dept. Cost Actuals'!$E$7:$E$176,"*Office Supplies*",'Dept. Cost Actuals'!Q$181:Q$350))</f>
        <v>68.375102898307603</v>
      </c>
      <c r="N38" s="668">
        <f>IF(N$4="forecast",SUMIFS(Planning_Mkt!#REF!,Planning_Mkt!$B$5:$B$133,"Office Supplies"),SUMIF('Dept. Cost Actuals'!$E$7:$E$176,"*Office Supplies*",'Dept. Cost Actuals'!R$181:R$350))</f>
        <v>35.70860937677422</v>
      </c>
      <c r="O38" s="668">
        <f>IF(O$4="forecast",SUMIFS(Planning_Mkt!#REF!,Planning_Mkt!$B$5:$B$133,"Office Supplies"),SUMIF('Dept. Cost Actuals'!$E$7:$E$176,"*Office Supplies*",'Dept. Cost Actuals'!S$181:S$350))</f>
        <v>306.58999999999997</v>
      </c>
      <c r="P38" s="668">
        <f>IF(P$4="forecast",SUMIFS(Planning_Mkt!#REF!,Planning_Mkt!$B$5:$B$133,"Office Supplies"),SUMIF('Dept. Cost Actuals'!$E$7:$E$176,"*Office Supplies*",'Dept. Cost Actuals'!T$181:T$350))</f>
        <v>27.18</v>
      </c>
      <c r="Q38" s="668">
        <f>IF(Q$4="forecast",SUMIFS(Planning_Mkt!#REF!,Planning_Mkt!$B$5:$B$133,"Office Supplies"),SUMIF('Dept. Cost Actuals'!$E$7:$E$176,"*Office Supplies*",'Dept. Cost Actuals'!U$181:U$350))</f>
        <v>85.39</v>
      </c>
      <c r="R38" s="668">
        <f>IF(R$4="forecast",SUMIFS(Planning_Mkt!#REF!,Planning_Mkt!$B$5:$B$133,"Office Supplies"),SUMIF('Dept. Cost Actuals'!$E$7:$E$176,"*Office Supplies*",'Dept. Cost Actuals'!V$181:V$350))</f>
        <v>0</v>
      </c>
      <c r="S38" s="668">
        <f>IF(S$4="forecast",SUMIFS(Planning_Mkt!#REF!,Planning_Mkt!$B$5:$B$133,"Office Supplies"),SUMIF('Dept. Cost Actuals'!$E$7:$E$176,"*Office Supplies*",'Dept. Cost Actuals'!W$181:W$350))</f>
        <v>5.46</v>
      </c>
      <c r="T38" s="668">
        <f>IF(T$4="forecast",SUMIFS(Planning_Mkt!#REF!,Planning_Mkt!$B$5:$B$133,"Office Supplies"),SUMIF('Dept. Cost Actuals'!$E$7:$E$176,"*Office Supplies*",'Dept. Cost Actuals'!X$181:X$350))</f>
        <v>81.849999999999994</v>
      </c>
      <c r="U38" s="668">
        <f>IF(U$4="forecast",SUMIFS(Planning_Mkt!#REF!,Planning_Mkt!$B$5:$B$133,"Office Supplies"),SUMIF('Dept. Cost Actuals'!$E$7:$E$176,"*Office Supplies*",'Dept. Cost Actuals'!Y$181:Y$350))</f>
        <v>0</v>
      </c>
      <c r="V38" s="668">
        <f>IF(V$4="forecast",SUMIFS(Planning_Mkt!#REF!,Planning_Mkt!$B$5:$B$133,"Office Supplies"),SUMIF('Dept. Cost Actuals'!$E$7:$E$176,"*Office Supplies*",'Dept. Cost Actuals'!Z$181:Z$350))</f>
        <v>14.13</v>
      </c>
      <c r="W38" s="668">
        <f>IF(W$4="forecast",SUMIFS(Planning_Mkt!#REF!,Planning_Mkt!$B$5:$B$133,"Office Supplies"),SUMIF('Dept. Cost Actuals'!$E$7:$E$176,"*Office Supplies*",'Dept. Cost Actuals'!AA$181:AA$350))</f>
        <v>98.13</v>
      </c>
      <c r="X38" s="668">
        <f>IF(X$4="forecast",SUMIFS(Planning_Mkt!A$5:A$133,Planning_Mkt!$B$5:$B$133,"Office Supplies"),SUMIF('Dept. Cost Actuals'!$E$7:$E$176,"*Office Supplies*",'Dept. Cost Actuals'!AB$181:AB$350))</f>
        <v>0</v>
      </c>
      <c r="Y38" s="668">
        <f>IF(Y$4="forecast",SUMIFS(Planning_Mkt!B$5:B$133,Planning_Mkt!$B$5:$B$133,"Office Supplies"),SUMIF('Dept. Cost Actuals'!$E$7:$E$176,"*Office Supplies*",'Dept. Cost Actuals'!AC$181:AC$350))</f>
        <v>74</v>
      </c>
      <c r="Z38" s="668">
        <f>IF(Z$4="forecast",SUMIFS(Planning_Mkt!C$5:C$133,Planning_Mkt!$B$5:$B$133,"Office Supplies"),SUMIF('Dept. Cost Actuals'!$E$7:$E$176,"*Office Supplies*",'Dept. Cost Actuals'!AD$181:AD$350))</f>
        <v>13.1</v>
      </c>
      <c r="AA38" s="668">
        <f>IF(AA$4="forecast",SUMIFS(Planning_Mkt!D$5:D$133,Planning_Mkt!$B$5:$B$133,"Office Supplies"),SUMIF('Dept. Cost Actuals'!$E$7:$E$176,"*Office Supplies*",'Dept. Cost Actuals'!AE$181:AE$350))</f>
        <v>150.79</v>
      </c>
      <c r="AB38" s="668">
        <f>IF(AB$4="forecast",SUMIFS(Planning_Mkt!E$5:E$133,Planning_Mkt!$B$5:$B$133,"Office Supplies"),SUMIF('Dept. Cost Actuals'!$E$7:$E$176,"*Office Supplies*",'Dept. Cost Actuals'!AF$181:AF$350))</f>
        <v>0</v>
      </c>
      <c r="AC38" s="668">
        <f>IF(AC$4="forecast",SUMIFS(Planning_Mkt!F$5:F$133,Planning_Mkt!$B$5:$B$133,"Office Supplies"),SUMIF('Dept. Cost Actuals'!$E$7:$E$176,"*Office Supplies*",'Dept. Cost Actuals'!AG$181:AG$350))</f>
        <v>0</v>
      </c>
      <c r="AD38" s="668">
        <f>IF(AD$4="forecast",SUMIFS(Planning_Mkt!G$5:G$133,Planning_Mkt!$B$5:$B$133,"Office Supplies"),SUMIF('Dept. Cost Actuals'!$E$7:$E$176,"*Office Supplies*",'Dept. Cost Actuals'!AH$181:AH$350))</f>
        <v>0</v>
      </c>
      <c r="AE38" s="668">
        <f>IF(AE$4="forecast",SUMIFS(Planning_Mkt!H$5:H$133,Planning_Mkt!$B$5:$B$133,"Office Supplies"),SUMIF('Dept. Cost Actuals'!$E$7:$E$176,"*Office Supplies*",'Dept. Cost Actuals'!AI$181:AI$350))</f>
        <v>0</v>
      </c>
      <c r="AF38" s="668">
        <f>IF(AF$4="forecast",SUMIFS(Planning_Mkt!I$5:I$133,Planning_Mkt!$B$5:$B$133,"Office Supplies"),SUMIF('Dept. Cost Actuals'!$E$7:$E$176,"*Office Supplies*",'Dept. Cost Actuals'!AJ$181:AJ$350))</f>
        <v>0</v>
      </c>
      <c r="AG38" s="668">
        <f>IF(AG$4="forecast",SUMIFS(Planning_Mkt!J$5:J$133,Planning_Mkt!$B$5:$B$133,"Office Supplies"),SUMIF('Dept. Cost Actuals'!$E$7:$E$176,"*Office Supplies*",'Dept. Cost Actuals'!AK$181:AK$350))</f>
        <v>0</v>
      </c>
      <c r="AH38" s="668">
        <f>IF(AH$4="forecast",SUMIFS(Planning_Mkt!K$5:K$133,Planning_Mkt!$B$5:$B$133,"Office Supplies"),SUMIF('Dept. Cost Actuals'!$E$7:$E$176,"*Office Supplies*",'Dept. Cost Actuals'!AL$181:AL$350))</f>
        <v>0</v>
      </c>
      <c r="AI38" s="668">
        <f>IF(AI$4="forecast",SUMIFS(Planning_Mkt!L$5:L$133,Planning_Mkt!$B$5:$B$133,"Office Supplies"),SUMIF('Dept. Cost Actuals'!$E$7:$E$176,"*Office Supplies*",'Dept. Cost Actuals'!AM$181:AM$350))</f>
        <v>0</v>
      </c>
      <c r="AJ38" s="668">
        <f>IF(AJ$4="forecast",SUMIFS(Planning_Mkt!M$5:M$133,Planning_Mkt!$B$5:$B$133,"Office Supplies"),SUMIF('Dept. Cost Actuals'!$E$7:$E$176,"*Office Supplies*",'Dept. Cost Actuals'!AN$181:AN$350))</f>
        <v>0</v>
      </c>
      <c r="AK38" s="668">
        <f>IF(AK$4="forecast",SUMIFS(Planning_Mkt!N$5:N$133,Planning_Mkt!$B$5:$B$133,"Office Supplies"),SUMIF('Dept. Cost Actuals'!$E$7:$E$176,"*Office Supplies*",'Dept. Cost Actuals'!AO$181:AO$350))</f>
        <v>0</v>
      </c>
      <c r="AL38" s="668">
        <f>IF(AL$4="forecast",SUMIFS(Planning_Mkt!O$5:O$133,Planning_Mkt!$B$5:$B$133,"Office Supplies"),SUMIF('Dept. Cost Actuals'!$E$7:$E$176,"*Office Supplies*",'Dept. Cost Actuals'!AP$181:AP$350))</f>
        <v>0</v>
      </c>
      <c r="AM38" s="668">
        <f>IF(AM$4="forecast",SUMIFS(Planning_Mkt!P$5:P$133,Planning_Mkt!$B$5:$B$133,"Office Supplies"),SUMIF('Dept. Cost Actuals'!$E$7:$E$176,"*Office Supplies*",'Dept. Cost Actuals'!AQ$181:AQ$350))</f>
        <v>0</v>
      </c>
      <c r="AN38" s="668">
        <f>IF(AN$4="forecast",SUMIFS(Planning_Mkt!Q$5:Q$133,Planning_Mkt!$B$5:$B$133,"Office Supplies"),SUMIF('Dept. Cost Actuals'!$E$7:$E$176,"*Office Supplies*",'Dept. Cost Actuals'!AR$181:AR$350))</f>
        <v>0</v>
      </c>
      <c r="AO38" s="668">
        <f>IF(AO$4="forecast",SUMIFS(Planning_Mkt!R$5:R$133,Planning_Mkt!$B$5:$B$133,"Office Supplies"),SUMIF('Dept. Cost Actuals'!$E$7:$E$176,"*Office Supplies*",'Dept. Cost Actuals'!AS$181:AS$350))</f>
        <v>0</v>
      </c>
      <c r="AP38" s="668">
        <f>IF(AP$4="forecast",SUMIFS(Planning_Mkt!S$5:S$133,Planning_Mkt!$B$5:$B$133,"Office Supplies"),SUMIF('Dept. Cost Actuals'!$E$7:$E$176,"*Office Supplies*",'Dept. Cost Actuals'!AT$181:AT$350))</f>
        <v>0</v>
      </c>
      <c r="AQ38" s="668">
        <f>IF(AQ$4="forecast",SUMIFS(Planning_Mkt!T$5:T$133,Planning_Mkt!$B$5:$B$133,"Office Supplies"),SUMIF('Dept. Cost Actuals'!$E$7:$E$176,"*Office Supplies*",'Dept. Cost Actuals'!AU$181:AU$350))</f>
        <v>0</v>
      </c>
      <c r="AR38" s="668">
        <f>IF(AR$4="forecast",SUMIFS(Planning_Mkt!U$5:U$133,Planning_Mkt!$B$5:$B$133,"Office Supplies"),SUMIF('Dept. Cost Actuals'!$E$7:$E$176,"*Office Supplies*",'Dept. Cost Actuals'!AV$181:AV$350))</f>
        <v>0</v>
      </c>
      <c r="AS38" s="668">
        <f>IF(AS$4="forecast",SUMIFS(Planning_Mkt!V$5:V$133,Planning_Mkt!$B$5:$B$133,"Office Supplies"),SUMIF('Dept. Cost Actuals'!$E$7:$E$176,"*Office Supplies*",'Dept. Cost Actuals'!AW$181:AW$350))</f>
        <v>0</v>
      </c>
      <c r="AT38" s="668">
        <f>IF(AT$4="forecast",SUMIFS(Planning_Mkt!W$5:W$133,Planning_Mkt!$B$5:$B$133,"Office Supplies"),SUMIF('Dept. Cost Actuals'!$E$7:$E$176,"*Office Supplies*",'Dept. Cost Actuals'!AX$181:AX$350))</f>
        <v>0</v>
      </c>
      <c r="AU38" s="668">
        <f>IF(AU$4="forecast",SUMIFS(Planning_Mkt!X$5:X$133,Planning_Mkt!$B$5:$B$133,"Office Supplies"),SUMIF('Dept. Cost Actuals'!$E$7:$E$176,"*Office Supplies*",'Dept. Cost Actuals'!AY$181:AY$350))</f>
        <v>0</v>
      </c>
      <c r="AV38" s="668">
        <f>IF(AV$4="forecast",SUMIFS(Planning_Mkt!Y$5:Y$133,Planning_Mkt!$B$5:$B$133,"Office Supplies"),SUMIF('Dept. Cost Actuals'!$E$7:$E$176,"*Office Supplies*",'Dept. Cost Actuals'!AZ$181:AZ$350))</f>
        <v>0</v>
      </c>
      <c r="AW38" s="668">
        <f>IF(AW$4="forecast",SUMIFS(Planning_Mkt!Z$5:Z$133,Planning_Mkt!$B$5:$B$133,"Office Supplies"),SUMIF('Dept. Cost Actuals'!$E$7:$E$176,"*Office Supplies*",'Dept. Cost Actuals'!BA$181:BA$350))</f>
        <v>0</v>
      </c>
      <c r="AX38" s="668">
        <f>IF(AX$4="forecast",SUMIFS(Planning_Mkt!AA$5:AA$133,Planning_Mkt!$B$5:$B$133,"Office Supplies"),SUMIF('Dept. Cost Actuals'!$E$7:$E$176,"*Office Supplies*",'Dept. Cost Actuals'!BB$181:BB$350))</f>
        <v>0</v>
      </c>
      <c r="AY38" s="668">
        <f>IF(AY$4="forecast",SUMIFS(Planning_Mkt!AB$5:AB$133,Planning_Mkt!$B$5:$B$133,"Office Supplies"),SUMIF('Dept. Cost Actuals'!$E$7:$E$176,"*Office Supplies*",'Dept. Cost Actuals'!BC$181:BC$350))</f>
        <v>0</v>
      </c>
      <c r="AZ38" s="668">
        <f>IF(AZ$4="forecast",SUMIFS(Planning_Mkt!AC$5:AC$133,Planning_Mkt!$B$5:$B$133,"Office Supplies"),SUMIF('Dept. Cost Actuals'!$E$7:$E$176,"*Office Supplies*",'Dept. Cost Actuals'!BD$181:BD$350))</f>
        <v>0</v>
      </c>
      <c r="BA38" s="668">
        <f>IF(BA$4="forecast",SUMIFS(Planning_Mkt!AD$5:AD$133,Planning_Mkt!$B$5:$B$133,"Office Supplies"),SUMIF('Dept. Cost Actuals'!$E$7:$E$176,"*Office Supplies*",'Dept. Cost Actuals'!BE$181:BE$350))</f>
        <v>0</v>
      </c>
      <c r="BB38" s="668">
        <f>IF(BB$4="forecast",SUMIFS(Planning_Mkt!AE$5:AE$133,Planning_Mkt!$B$5:$B$133,"Office Supplies"),SUMIF('Dept. Cost Actuals'!$E$7:$E$176,"*Office Supplies*",'Dept. Cost Actuals'!BF$181:BF$350))</f>
        <v>0</v>
      </c>
      <c r="BC38" s="668">
        <f>IF(BC$4="forecast",SUMIFS(Planning_Mkt!AF$5:AF$133,Planning_Mkt!$B$5:$B$133,"Office Supplies"),SUMIF('Dept. Cost Actuals'!$E$7:$E$176,"*Office Supplies*",'Dept. Cost Actuals'!BG$181:BG$350))</f>
        <v>0</v>
      </c>
      <c r="BD38" s="668">
        <f>IF(BD$4="forecast",SUMIFS(Planning_Mkt!AG$5:AG$133,Planning_Mkt!$B$5:$B$133,"Office Supplies"),SUMIF('Dept. Cost Actuals'!$E$7:$E$176,"*Office Supplies*",'Dept. Cost Actuals'!BH$181:BH$350))</f>
        <v>0</v>
      </c>
      <c r="BE38" s="668">
        <f>IF(BE$4="forecast",SUMIFS(Planning_Mkt!AH$5:AH$133,Planning_Mkt!$B$5:$B$133,"Office Supplies"),SUMIF('Dept. Cost Actuals'!$E$7:$E$176,"*Office Supplies*",'Dept. Cost Actuals'!BI$181:BI$350))</f>
        <v>0</v>
      </c>
      <c r="BF38" s="668">
        <f>IF(BF$4="forecast",SUMIFS(Planning_Mkt!AI$5:AI$133,Planning_Mkt!$B$5:$B$133,"Office Supplies"),SUMIF('Dept. Cost Actuals'!$E$7:$E$176,"*Office Supplies*",'Dept. Cost Actuals'!BJ$181:BJ$350))</f>
        <v>0</v>
      </c>
      <c r="BG38" s="668">
        <f>IF(BG$4="forecast",SUMIFS(Planning_Mkt!AJ$5:AJ$133,Planning_Mkt!$B$5:$B$133,"Office Supplies"),SUMIF('Dept. Cost Actuals'!$E$7:$E$176,"*Office Supplies*",'Dept. Cost Actuals'!BK$181:BK$350))</f>
        <v>0</v>
      </c>
      <c r="BH38" s="668">
        <f>IF(BH$4="forecast",SUMIFS(Planning_Mkt!AK$5:AK$133,Planning_Mkt!$B$5:$B$133,"Office Supplies"),SUMIF('Dept. Cost Actuals'!$E$7:$E$176,"*Office Supplies*",'Dept. Cost Actuals'!BL$181:BL$350))</f>
        <v>0</v>
      </c>
      <c r="BI38" s="668">
        <f>IF(BI$4="forecast",SUMIFS(Planning_Mkt!AL$5:AL$133,Planning_Mkt!$B$5:$B$133,"Office Supplies"),SUMIF('Dept. Cost Actuals'!$E$7:$E$176,"*Office Supplies*",'Dept. Cost Actuals'!BM$181:BM$350))</f>
        <v>0</v>
      </c>
      <c r="BJ38" s="668">
        <f>IF(BJ$4="forecast",SUMIFS(Planning_Mkt!AM$5:AM$133,Planning_Mkt!$B$5:$B$133,"Office Supplies"),SUMIF('Dept. Cost Actuals'!$E$7:$E$176,"*Office Supplies*",'Dept. Cost Actuals'!BN$181:BN$350))</f>
        <v>0</v>
      </c>
      <c r="BK38" s="668">
        <f>IF(BK$4="forecast",SUMIFS(Planning_Mkt!AN$5:AN$133,Planning_Mkt!$B$5:$B$133,"Office Supplies"),SUMIF('Dept. Cost Actuals'!$E$7:$E$176,"*Office Supplies*",'Dept. Cost Actuals'!BO$181:BO$350))</f>
        <v>0</v>
      </c>
      <c r="BL38" s="668">
        <f>IF(BL$4="forecast",SUMIFS(Planning_Mkt!AO$5:AO$133,Planning_Mkt!$B$5:$B$133,"Office Supplies"),SUMIF('Dept. Cost Actuals'!$E$7:$E$176,"*Office Supplies*",'Dept. Cost Actuals'!BP$181:BP$350))</f>
        <v>0</v>
      </c>
      <c r="BM38" s="668">
        <f>IF(BM$4="forecast",SUMIFS(Planning_Mkt!AP$5:AP$133,Planning_Mkt!$B$5:$B$133,"Office Supplies"),SUMIF('Dept. Cost Actuals'!$E$7:$E$176,"*Office Supplies*",'Dept. Cost Actuals'!BQ$181:BQ$350))</f>
        <v>0</v>
      </c>
      <c r="BN38" s="668">
        <f>IF(BN$4="forecast",SUMIFS(Planning_Mkt!AQ$5:AQ$133,Planning_Mkt!$B$5:$B$133,"Office Supplies"),SUMIF('Dept. Cost Actuals'!$E$7:$E$176,"*Office Supplies*",'Dept. Cost Actuals'!BR$181:BR$350))</f>
        <v>0</v>
      </c>
      <c r="BO38" s="668">
        <f>IF(BO$4="forecast",SUMIFS(Planning_Mkt!AR$5:AR$133,Planning_Mkt!$B$5:$B$133,"Office Supplies"),SUMIF('Dept. Cost Actuals'!$E$7:$E$176,"*Office Supplies*",'Dept. Cost Actuals'!BS$181:BS$350))</f>
        <v>0</v>
      </c>
      <c r="BP38" s="668">
        <f>IF(BP$4="forecast",SUMIFS(Planning_Mkt!AS$5:AS$133,Planning_Mkt!$B$5:$B$133,"Office Supplies"),SUMIF('Dept. Cost Actuals'!$E$7:$E$176,"*Office Supplies*",'Dept. Cost Actuals'!BT$181:BT$350))</f>
        <v>0</v>
      </c>
      <c r="BQ38" s="668">
        <f>IF(BQ$4="forecast",SUMIFS(Planning_Mkt!AT$5:AT$133,Planning_Mkt!$B$5:$B$133,"Office Supplies"),SUMIF('Dept. Cost Actuals'!$E$7:$E$176,"*Office Supplies*",'Dept. Cost Actuals'!BU$181:BU$350))</f>
        <v>0</v>
      </c>
      <c r="BR38" s="668">
        <f>IF(BR$4="forecast",SUMIFS(Planning_Mkt!AU$5:AU$133,Planning_Mkt!$B$5:$B$133,"Office Supplies"),SUMIF('Dept. Cost Actuals'!$E$7:$E$176,"*Office Supplies*",'Dept. Cost Actuals'!BV$181:BV$350))</f>
        <v>0</v>
      </c>
      <c r="BS38" s="668">
        <f>IF(BS$4="forecast",SUMIFS(Planning_Mkt!AV$5:AV$133,Planning_Mkt!$B$5:$B$133,"Office Supplies"),SUMIF('Dept. Cost Actuals'!$E$7:$E$176,"*Office Supplies*",'Dept. Cost Actuals'!BW$181:BW$350))</f>
        <v>0</v>
      </c>
      <c r="BT38" s="668">
        <f>IF(BT$4="forecast",SUMIFS(Planning_Mkt!AW$5:AW$133,Planning_Mkt!$B$5:$B$133,"Office Supplies"),SUMIF('Dept. Cost Actuals'!$E$7:$E$176,"*Office Supplies*",'Dept. Cost Actuals'!BX$181:BX$350))</f>
        <v>0</v>
      </c>
      <c r="BU38" s="668">
        <f>IF(BU$4="forecast",SUMIFS(Planning_Mkt!AX$5:AX$133,Planning_Mkt!$B$5:$B$133,"Office Supplies"),SUMIF('Dept. Cost Actuals'!$E$7:$E$176,"*Office Supplies*",'Dept. Cost Actuals'!BY$181:BY$350))</f>
        <v>0</v>
      </c>
      <c r="BV38" s="790">
        <f>IF(BV$4="forecast",SUMIFS(Planning_Mkt!AY$5:AY$133,Planning_Mkt!$B$5:$B$133,"Office Supplies"),SUMIF('Dept. Cost Actuals'!$E$7:$E$176,"*Office Supplies*",'Dept. Cost Actuals'!BZ$181:BZ$350))</f>
        <v>0</v>
      </c>
    </row>
    <row r="39" spans="2:74" x14ac:dyDescent="0.25">
      <c r="B39" s="794" t="s">
        <v>922</v>
      </c>
      <c r="C39" s="668">
        <f>IF(C$4="forecast",SUMIFS(Planning_Mkt!#REF!,Planning_Mkt!$B$5:$B$133,"Professional Development"),SUMIF('Dept. Cost Actuals'!$E$7:$E$176,"*Development*",'Dept. Cost Actuals'!G$181:G$350))</f>
        <v>0</v>
      </c>
      <c r="D39" s="668">
        <f>IF(D$4="forecast",SUMIFS(Planning_Mkt!#REF!,Planning_Mkt!$B$5:$B$133,"Professional Development"),SUMIF('Dept. Cost Actuals'!$E$7:$E$176,"*Development*",'Dept. Cost Actuals'!H$181:H$350))</f>
        <v>27.853364331645288</v>
      </c>
      <c r="E39" s="668">
        <f>IF(E$4="forecast",SUMIFS(Planning_Mkt!#REF!,Planning_Mkt!$B$5:$B$133,"Professional Development"),SUMIF('Dept. Cost Actuals'!$E$7:$E$176,"*Development*",'Dept. Cost Actuals'!I$181:I$350))</f>
        <v>32.955014485876831</v>
      </c>
      <c r="F39" s="668">
        <f>IF(F$4="forecast",SUMIFS(Planning_Mkt!#REF!,Planning_Mkt!$B$5:$B$133,"Professional Development"),SUMIF('Dept. Cost Actuals'!$E$7:$E$176,"*Development*",'Dept. Cost Actuals'!J$181:J$350))</f>
        <v>26.87235485968673</v>
      </c>
      <c r="G39" s="668">
        <f>IF(G$4="forecast",SUMIFS(Planning_Mkt!#REF!,Planning_Mkt!$B$5:$B$133,"Professional Development"),SUMIF('Dept. Cost Actuals'!$E$7:$E$176,"*Development*",'Dept. Cost Actuals'!K$181:K$350))</f>
        <v>53.058703717022155</v>
      </c>
      <c r="H39" s="668">
        <f>IF(H$4="forecast",SUMIFS(Planning_Mkt!#REF!,Planning_Mkt!$B$5:$B$133,"Professional Development"),SUMIF('Dept. Cost Actuals'!$E$7:$E$176,"*Development*",'Dept. Cost Actuals'!L$181:L$350))</f>
        <v>0</v>
      </c>
      <c r="I39" s="668">
        <f>IF(I$4="forecast",SUMIFS(Planning_Mkt!#REF!,Planning_Mkt!$B$5:$B$133,"Professional Development"),SUMIF('Dept. Cost Actuals'!$E$7:$E$176,"*Development*",'Dept. Cost Actuals'!M$181:M$350))</f>
        <v>3.2405517360477294</v>
      </c>
      <c r="J39" s="668">
        <f>IF(J$4="forecast",SUMIFS(Planning_Mkt!#REF!,Planning_Mkt!$B$5:$B$133,"Professional Development"),SUMIF('Dept. Cost Actuals'!$E$7:$E$176,"*Development*",'Dept. Cost Actuals'!N$181:N$350))</f>
        <v>0</v>
      </c>
      <c r="K39" s="668">
        <f>IF(K$4="forecast",SUMIFS(Planning_Mkt!#REF!,Planning_Mkt!$B$5:$B$133,"Professional Development"),SUMIF('Dept. Cost Actuals'!$E$7:$E$176,"*Development*",'Dept. Cost Actuals'!O$181:O$350))</f>
        <v>0</v>
      </c>
      <c r="L39" s="668">
        <f>IF(L$4="forecast",SUMIFS(Planning_Mkt!#REF!,Planning_Mkt!$B$5:$B$133,"Professional Development"),SUMIF('Dept. Cost Actuals'!$E$7:$E$176,"*Development*",'Dept. Cost Actuals'!P$181:P$350))</f>
        <v>0.80061938779810637</v>
      </c>
      <c r="M39" s="668">
        <f>IF(M$4="forecast",SUMIFS(Planning_Mkt!#REF!,Planning_Mkt!$B$5:$B$133,"Professional Development"),SUMIF('Dept. Cost Actuals'!$E$7:$E$176,"*Development*",'Dept. Cost Actuals'!Q$181:Q$350))</f>
        <v>0</v>
      </c>
      <c r="N39" s="668">
        <f>IF(N$4="forecast",SUMIFS(Planning_Mkt!#REF!,Planning_Mkt!$B$5:$B$133,"Professional Development"),SUMIF('Dept. Cost Actuals'!$E$7:$E$176,"*Development*",'Dept. Cost Actuals'!R$181:R$350))</f>
        <v>0</v>
      </c>
      <c r="O39" s="668">
        <f>IF(O$4="forecast",SUMIFS(Planning_Mkt!#REF!,Planning_Mkt!$B$5:$B$133,"Professional Development"),SUMIF('Dept. Cost Actuals'!$E$7:$E$176,"*Development*",'Dept. Cost Actuals'!S$181:S$350))</f>
        <v>0</v>
      </c>
      <c r="P39" s="668">
        <f>IF(P$4="forecast",SUMIFS(Planning_Mkt!#REF!,Planning_Mkt!$B$5:$B$133,"Professional Development"),SUMIF('Dept. Cost Actuals'!$E$7:$E$176,"*Development*",'Dept. Cost Actuals'!T$181:T$350))</f>
        <v>0</v>
      </c>
      <c r="Q39" s="668">
        <f>IF(Q$4="forecast",SUMIFS(Planning_Mkt!#REF!,Planning_Mkt!$B$5:$B$133,"Professional Development"),SUMIF('Dept. Cost Actuals'!$E$7:$E$176,"*Development*",'Dept. Cost Actuals'!U$181:U$350))</f>
        <v>0</v>
      </c>
      <c r="R39" s="668">
        <f>IF(R$4="forecast",SUMIFS(Planning_Mkt!#REF!,Planning_Mkt!$B$5:$B$133,"Professional Development"),SUMIF('Dept. Cost Actuals'!$E$7:$E$176,"*Development*",'Dept. Cost Actuals'!V$181:V$350))</f>
        <v>0</v>
      </c>
      <c r="S39" s="668">
        <f>IF(S$4="forecast",SUMIFS(Planning_Mkt!#REF!,Planning_Mkt!$B$5:$B$133,"Professional Development"),SUMIF('Dept. Cost Actuals'!$E$7:$E$176,"*Development*",'Dept. Cost Actuals'!W$181:W$350))</f>
        <v>0</v>
      </c>
      <c r="T39" s="668">
        <f>IF(T$4="forecast",SUMIFS(Planning_Mkt!#REF!,Planning_Mkt!$B$5:$B$133,"Professional Development"),SUMIF('Dept. Cost Actuals'!$E$7:$E$176,"*Development*",'Dept. Cost Actuals'!X$181:X$350))</f>
        <v>0</v>
      </c>
      <c r="U39" s="668">
        <f>IF(U$4="forecast",SUMIFS(Planning_Mkt!#REF!,Planning_Mkt!$B$5:$B$133,"Professional Development"),SUMIF('Dept. Cost Actuals'!$E$7:$E$176,"*Development*",'Dept. Cost Actuals'!Y$181:Y$350))</f>
        <v>0</v>
      </c>
      <c r="V39" s="668">
        <f>IF(V$4="forecast",SUMIFS(Planning_Mkt!#REF!,Planning_Mkt!$B$5:$B$133,"Professional Development"),SUMIF('Dept. Cost Actuals'!$E$7:$E$176,"*Development*",'Dept. Cost Actuals'!Z$181:Z$350))</f>
        <v>0</v>
      </c>
      <c r="W39" s="668">
        <f>IF(W$4="forecast",SUMIFS(Planning_Mkt!#REF!,Planning_Mkt!$B$5:$B$133,"Professional Development"),SUMIF('Dept. Cost Actuals'!$E$7:$E$176,"*Development*",'Dept. Cost Actuals'!AA$181:AA$350))</f>
        <v>0</v>
      </c>
      <c r="X39" s="668">
        <f>IF(X$4="forecast",SUMIFS(Planning_Mkt!A$5:A$133,Planning_Mkt!$B$5:$B$133,"Professional Development"),SUMIF('Dept. Cost Actuals'!$E$7:$E$176,"*Development*",'Dept. Cost Actuals'!AB$181:AB$350))</f>
        <v>0</v>
      </c>
      <c r="Y39" s="668">
        <f>IF(Y$4="forecast",SUMIFS(Planning_Mkt!B$5:B$133,Planning_Mkt!$B$5:$B$133,"Professional Development"),SUMIF('Dept. Cost Actuals'!$E$7:$E$176,"*Development*",'Dept. Cost Actuals'!AC$181:AC$350))</f>
        <v>0</v>
      </c>
      <c r="Z39" s="668">
        <f>IF(Z$4="forecast",SUMIFS(Planning_Mkt!C$5:C$133,Planning_Mkt!$B$5:$B$133,"Professional Development"),SUMIF('Dept. Cost Actuals'!$E$7:$E$176,"*Development*",'Dept. Cost Actuals'!AD$181:AD$350))</f>
        <v>0</v>
      </c>
      <c r="AA39" s="668">
        <f>IF(AA$4="forecast",SUMIFS(Planning_Mkt!D$5:D$133,Planning_Mkt!$B$5:$B$133,"Professional Development"),SUMIF('Dept. Cost Actuals'!$E$7:$E$176,"*Development*",'Dept. Cost Actuals'!AE$181:AE$350))</f>
        <v>0</v>
      </c>
      <c r="AB39" s="668">
        <f>IF(AB$4="forecast",SUMIFS(Planning_Mkt!E$5:E$133,Planning_Mkt!$B$5:$B$133,"Professional Development"),SUMIF('Dept. Cost Actuals'!$E$7:$E$176,"*Development*",'Dept. Cost Actuals'!AF$181:AF$350))</f>
        <v>0</v>
      </c>
      <c r="AC39" s="668">
        <f>IF(AC$4="forecast",SUMIFS(Planning_Mkt!F$5:F$133,Planning_Mkt!$B$5:$B$133,"Professional Development"),SUMIF('Dept. Cost Actuals'!$E$7:$E$176,"*Development*",'Dept. Cost Actuals'!AG$181:AG$350))</f>
        <v>0</v>
      </c>
      <c r="AD39" s="668">
        <f>IF(AD$4="forecast",SUMIFS(Planning_Mkt!G$5:G$133,Planning_Mkt!$B$5:$B$133,"Professional Development"),SUMIF('Dept. Cost Actuals'!$E$7:$E$176,"*Development*",'Dept. Cost Actuals'!AH$181:AH$350))</f>
        <v>166.66666666666666</v>
      </c>
      <c r="AE39" s="668">
        <f>IF(AE$4="forecast",SUMIFS(Planning_Mkt!H$5:H$133,Planning_Mkt!$B$5:$B$133,"Professional Development"),SUMIF('Dept. Cost Actuals'!$E$7:$E$176,"*Development*",'Dept. Cost Actuals'!AI$181:AI$350))</f>
        <v>166.66666666666666</v>
      </c>
      <c r="AF39" s="668">
        <f>IF(AF$4="forecast",SUMIFS(Planning_Mkt!I$5:I$133,Planning_Mkt!$B$5:$B$133,"Professional Development"),SUMIF('Dept. Cost Actuals'!$E$7:$E$176,"*Development*",'Dept. Cost Actuals'!AJ$181:AJ$350))</f>
        <v>166.66666666666666</v>
      </c>
      <c r="AG39" s="668">
        <f>IF(AG$4="forecast",SUMIFS(Planning_Mkt!J$5:J$133,Planning_Mkt!$B$5:$B$133,"Professional Development"),SUMIF('Dept. Cost Actuals'!$E$7:$E$176,"*Development*",'Dept. Cost Actuals'!AK$181:AK$350))</f>
        <v>166.66666666666666</v>
      </c>
      <c r="AH39" s="668">
        <f>IF(AH$4="forecast",SUMIFS(Planning_Mkt!K$5:K$133,Planning_Mkt!$B$5:$B$133,"Professional Development"),SUMIF('Dept. Cost Actuals'!$E$7:$E$176,"*Development*",'Dept. Cost Actuals'!AL$181:AL$350))</f>
        <v>166.66666666666666</v>
      </c>
      <c r="AI39" s="668">
        <f>IF(AI$4="forecast",SUMIFS(Planning_Mkt!L$5:L$133,Planning_Mkt!$B$5:$B$133,"Professional Development"),SUMIF('Dept. Cost Actuals'!$E$7:$E$176,"*Development*",'Dept. Cost Actuals'!AM$181:AM$350))</f>
        <v>166.66666666666666</v>
      </c>
      <c r="AJ39" s="668">
        <f>IF(AJ$4="forecast",SUMIFS(Planning_Mkt!M$5:M$133,Planning_Mkt!$B$5:$B$133,"Professional Development"),SUMIF('Dept. Cost Actuals'!$E$7:$E$176,"*Development*",'Dept. Cost Actuals'!AN$181:AN$350))</f>
        <v>166.66666666666666</v>
      </c>
      <c r="AK39" s="668">
        <f>IF(AK$4="forecast",SUMIFS(Planning_Mkt!N$5:N$133,Planning_Mkt!$B$5:$B$133,"Professional Development"),SUMIF('Dept. Cost Actuals'!$E$7:$E$176,"*Development*",'Dept. Cost Actuals'!AO$181:AO$350))</f>
        <v>166.66666666666666</v>
      </c>
      <c r="AL39" s="668">
        <f>IF(AL$4="forecast",SUMIFS(Planning_Mkt!O$5:O$133,Planning_Mkt!$B$5:$B$133,"Professional Development"),SUMIF('Dept. Cost Actuals'!$E$7:$E$176,"*Development*",'Dept. Cost Actuals'!AP$181:AP$350))</f>
        <v>166.66666666666666</v>
      </c>
      <c r="AM39" s="668">
        <f>IF(AM$4="forecast",SUMIFS(Planning_Mkt!P$5:P$133,Planning_Mkt!$B$5:$B$133,"Professional Development"),SUMIF('Dept. Cost Actuals'!$E$7:$E$176,"*Development*",'Dept. Cost Actuals'!AQ$181:AQ$350))</f>
        <v>2000.0000000000002</v>
      </c>
      <c r="AN39" s="668">
        <f>IF(AN$4="forecast",SUMIFS(Planning_Mkt!Q$5:Q$133,Planning_Mkt!$B$5:$B$133,"Professional Development"),SUMIF('Dept. Cost Actuals'!$E$7:$E$176,"*Development*",'Dept. Cost Actuals'!AR$181:AR$350))</f>
        <v>0</v>
      </c>
      <c r="AO39" s="668">
        <f>IF(AO$4="forecast",SUMIFS(Planning_Mkt!R$5:R$133,Planning_Mkt!$B$5:$B$133,"Professional Development"),SUMIF('Dept. Cost Actuals'!$E$7:$E$176,"*Development*",'Dept. Cost Actuals'!AS$181:AS$350))</f>
        <v>0</v>
      </c>
      <c r="AP39" s="668">
        <f>IF(AP$4="forecast",SUMIFS(Planning_Mkt!S$5:S$133,Planning_Mkt!$B$5:$B$133,"Professional Development"),SUMIF('Dept. Cost Actuals'!$E$7:$E$176,"*Development*",'Dept. Cost Actuals'!AT$181:AT$350))</f>
        <v>0</v>
      </c>
      <c r="AQ39" s="668">
        <f>IF(AQ$4="forecast",SUMIFS(Planning_Mkt!T$5:T$133,Planning_Mkt!$B$5:$B$133,"Professional Development"),SUMIF('Dept. Cost Actuals'!$E$7:$E$176,"*Development*",'Dept. Cost Actuals'!AU$181:AU$350))</f>
        <v>0</v>
      </c>
      <c r="AR39" s="668">
        <f>IF(AR$4="forecast",SUMIFS(Planning_Mkt!U$5:U$133,Planning_Mkt!$B$5:$B$133,"Professional Development"),SUMIF('Dept. Cost Actuals'!$E$7:$E$176,"*Development*",'Dept. Cost Actuals'!AV$181:AV$350))</f>
        <v>0</v>
      </c>
      <c r="AS39" s="668">
        <f>IF(AS$4="forecast",SUMIFS(Planning_Mkt!V$5:V$133,Planning_Mkt!$B$5:$B$133,"Professional Development"),SUMIF('Dept. Cost Actuals'!$E$7:$E$176,"*Development*",'Dept. Cost Actuals'!AW$181:AW$350))</f>
        <v>0</v>
      </c>
      <c r="AT39" s="668">
        <f>IF(AT$4="forecast",SUMIFS(Planning_Mkt!W$5:W$133,Planning_Mkt!$B$5:$B$133,"Professional Development"),SUMIF('Dept. Cost Actuals'!$E$7:$E$176,"*Development*",'Dept. Cost Actuals'!AX$181:AX$350))</f>
        <v>0</v>
      </c>
      <c r="AU39" s="668">
        <f>IF(AU$4="forecast",SUMIFS(Planning_Mkt!X$5:X$133,Planning_Mkt!$B$5:$B$133,"Professional Development"),SUMIF('Dept. Cost Actuals'!$E$7:$E$176,"*Development*",'Dept. Cost Actuals'!AY$181:AY$350))</f>
        <v>0</v>
      </c>
      <c r="AV39" s="668">
        <f>IF(AV$4="forecast",SUMIFS(Planning_Mkt!Y$5:Y$133,Planning_Mkt!$B$5:$B$133,"Professional Development"),SUMIF('Dept. Cost Actuals'!$E$7:$E$176,"*Development*",'Dept. Cost Actuals'!AZ$181:AZ$350))</f>
        <v>0</v>
      </c>
      <c r="AW39" s="668">
        <f>IF(AW$4="forecast",SUMIFS(Planning_Mkt!Z$5:Z$133,Planning_Mkt!$B$5:$B$133,"Professional Development"),SUMIF('Dept. Cost Actuals'!$E$7:$E$176,"*Development*",'Dept. Cost Actuals'!BA$181:BA$350))</f>
        <v>0</v>
      </c>
      <c r="AX39" s="668">
        <f>IF(AX$4="forecast",SUMIFS(Planning_Mkt!AA$5:AA$133,Planning_Mkt!$B$5:$B$133,"Professional Development"),SUMIF('Dept. Cost Actuals'!$E$7:$E$176,"*Development*",'Dept. Cost Actuals'!BB$181:BB$350))</f>
        <v>0</v>
      </c>
      <c r="AY39" s="668">
        <f>IF(AY$4="forecast",SUMIFS(Planning_Mkt!AB$5:AB$133,Planning_Mkt!$B$5:$B$133,"Professional Development"),SUMIF('Dept. Cost Actuals'!$E$7:$E$176,"*Development*",'Dept. Cost Actuals'!BC$181:BC$350))</f>
        <v>0</v>
      </c>
      <c r="AZ39" s="668">
        <f>IF(AZ$4="forecast",SUMIFS(Planning_Mkt!AC$5:AC$133,Planning_Mkt!$B$5:$B$133,"Professional Development"),SUMIF('Dept. Cost Actuals'!$E$7:$E$176,"*Development*",'Dept. Cost Actuals'!BD$181:BD$350))</f>
        <v>0</v>
      </c>
      <c r="BA39" s="668">
        <f>IF(BA$4="forecast",SUMIFS(Planning_Mkt!AD$5:AD$133,Planning_Mkt!$B$5:$B$133,"Professional Development"),SUMIF('Dept. Cost Actuals'!$E$7:$E$176,"*Development*",'Dept. Cost Actuals'!BE$181:BE$350))</f>
        <v>0</v>
      </c>
      <c r="BB39" s="668">
        <f>IF(BB$4="forecast",SUMIFS(Planning_Mkt!AE$5:AE$133,Planning_Mkt!$B$5:$B$133,"Professional Development"),SUMIF('Dept. Cost Actuals'!$E$7:$E$176,"*Development*",'Dept. Cost Actuals'!BF$181:BF$350))</f>
        <v>0</v>
      </c>
      <c r="BC39" s="668">
        <f>IF(BC$4="forecast",SUMIFS(Planning_Mkt!AF$5:AF$133,Planning_Mkt!$B$5:$B$133,"Professional Development"),SUMIF('Dept. Cost Actuals'!$E$7:$E$176,"*Development*",'Dept. Cost Actuals'!BG$181:BG$350))</f>
        <v>0</v>
      </c>
      <c r="BD39" s="668">
        <f>IF(BD$4="forecast",SUMIFS(Planning_Mkt!AG$5:AG$133,Planning_Mkt!$B$5:$B$133,"Professional Development"),SUMIF('Dept. Cost Actuals'!$E$7:$E$176,"*Development*",'Dept. Cost Actuals'!BH$181:BH$350))</f>
        <v>0</v>
      </c>
      <c r="BE39" s="668">
        <f>IF(BE$4="forecast",SUMIFS(Planning_Mkt!AH$5:AH$133,Planning_Mkt!$B$5:$B$133,"Professional Development"),SUMIF('Dept. Cost Actuals'!$E$7:$E$176,"*Development*",'Dept. Cost Actuals'!BI$181:BI$350))</f>
        <v>0</v>
      </c>
      <c r="BF39" s="668">
        <f>IF(BF$4="forecast",SUMIFS(Planning_Mkt!AI$5:AI$133,Planning_Mkt!$B$5:$B$133,"Professional Development"),SUMIF('Dept. Cost Actuals'!$E$7:$E$176,"*Development*",'Dept. Cost Actuals'!BJ$181:BJ$350))</f>
        <v>0</v>
      </c>
      <c r="BG39" s="668">
        <f>IF(BG$4="forecast",SUMIFS(Planning_Mkt!AJ$5:AJ$133,Planning_Mkt!$B$5:$B$133,"Professional Development"),SUMIF('Dept. Cost Actuals'!$E$7:$E$176,"*Development*",'Dept. Cost Actuals'!BK$181:BK$350))</f>
        <v>0</v>
      </c>
      <c r="BH39" s="668">
        <f>IF(BH$4="forecast",SUMIFS(Planning_Mkt!AK$5:AK$133,Planning_Mkt!$B$5:$B$133,"Professional Development"),SUMIF('Dept. Cost Actuals'!$E$7:$E$176,"*Development*",'Dept. Cost Actuals'!BL$181:BL$350))</f>
        <v>0</v>
      </c>
      <c r="BI39" s="668">
        <f>IF(BI$4="forecast",SUMIFS(Planning_Mkt!AL$5:AL$133,Planning_Mkt!$B$5:$B$133,"Professional Development"),SUMIF('Dept. Cost Actuals'!$E$7:$E$176,"*Development*",'Dept. Cost Actuals'!BM$181:BM$350))</f>
        <v>0</v>
      </c>
      <c r="BJ39" s="668">
        <f>IF(BJ$4="forecast",SUMIFS(Planning_Mkt!AM$5:AM$133,Planning_Mkt!$B$5:$B$133,"Professional Development"),SUMIF('Dept. Cost Actuals'!$E$7:$E$176,"*Development*",'Dept. Cost Actuals'!BN$181:BN$350))</f>
        <v>0</v>
      </c>
      <c r="BK39" s="668">
        <f>IF(BK$4="forecast",SUMIFS(Planning_Mkt!AN$5:AN$133,Planning_Mkt!$B$5:$B$133,"Professional Development"),SUMIF('Dept. Cost Actuals'!$E$7:$E$176,"*Development*",'Dept. Cost Actuals'!BO$181:BO$350))</f>
        <v>0</v>
      </c>
      <c r="BL39" s="668">
        <f>IF(BL$4="forecast",SUMIFS(Planning_Mkt!AO$5:AO$133,Planning_Mkt!$B$5:$B$133,"Professional Development"),SUMIF('Dept. Cost Actuals'!$E$7:$E$176,"*Development*",'Dept. Cost Actuals'!BP$181:BP$350))</f>
        <v>0</v>
      </c>
      <c r="BM39" s="668">
        <f>IF(BM$4="forecast",SUMIFS(Planning_Mkt!AP$5:AP$133,Planning_Mkt!$B$5:$B$133,"Professional Development"),SUMIF('Dept. Cost Actuals'!$E$7:$E$176,"*Development*",'Dept. Cost Actuals'!BQ$181:BQ$350))</f>
        <v>0</v>
      </c>
      <c r="BN39" s="668">
        <f>IF(BN$4="forecast",SUMIFS(Planning_Mkt!AQ$5:AQ$133,Planning_Mkt!$B$5:$B$133,"Professional Development"),SUMIF('Dept. Cost Actuals'!$E$7:$E$176,"*Development*",'Dept. Cost Actuals'!BR$181:BR$350))</f>
        <v>0</v>
      </c>
      <c r="BO39" s="668">
        <f>IF(BO$4="forecast",SUMIFS(Planning_Mkt!AR$5:AR$133,Planning_Mkt!$B$5:$B$133,"Professional Development"),SUMIF('Dept. Cost Actuals'!$E$7:$E$176,"*Development*",'Dept. Cost Actuals'!BS$181:BS$350))</f>
        <v>0</v>
      </c>
      <c r="BP39" s="668">
        <f>IF(BP$4="forecast",SUMIFS(Planning_Mkt!AS$5:AS$133,Planning_Mkt!$B$5:$B$133,"Professional Development"),SUMIF('Dept. Cost Actuals'!$E$7:$E$176,"*Development*",'Dept. Cost Actuals'!BT$181:BT$350))</f>
        <v>0</v>
      </c>
      <c r="BQ39" s="668">
        <f>IF(BQ$4="forecast",SUMIFS(Planning_Mkt!AT$5:AT$133,Planning_Mkt!$B$5:$B$133,"Professional Development"),SUMIF('Dept. Cost Actuals'!$E$7:$E$176,"*Development*",'Dept. Cost Actuals'!BU$181:BU$350))</f>
        <v>0</v>
      </c>
      <c r="BR39" s="668">
        <f>IF(BR$4="forecast",SUMIFS(Planning_Mkt!AU$5:AU$133,Planning_Mkt!$B$5:$B$133,"Professional Development"),SUMIF('Dept. Cost Actuals'!$E$7:$E$176,"*Development*",'Dept. Cost Actuals'!BV$181:BV$350))</f>
        <v>0</v>
      </c>
      <c r="BS39" s="668">
        <f>IF(BS$4="forecast",SUMIFS(Planning_Mkt!AV$5:AV$133,Planning_Mkt!$B$5:$B$133,"Professional Development"),SUMIF('Dept. Cost Actuals'!$E$7:$E$176,"*Development*",'Dept. Cost Actuals'!BW$181:BW$350))</f>
        <v>0</v>
      </c>
      <c r="BT39" s="668">
        <f>IF(BT$4="forecast",SUMIFS(Planning_Mkt!AW$5:AW$133,Planning_Mkt!$B$5:$B$133,"Professional Development"),SUMIF('Dept. Cost Actuals'!$E$7:$E$176,"*Development*",'Dept. Cost Actuals'!BX$181:BX$350))</f>
        <v>0</v>
      </c>
      <c r="BU39" s="668">
        <f>IF(BU$4="forecast",SUMIFS(Planning_Mkt!AX$5:AX$133,Planning_Mkt!$B$5:$B$133,"Professional Development"),SUMIF('Dept. Cost Actuals'!$E$7:$E$176,"*Development*",'Dept. Cost Actuals'!BY$181:BY$350))</f>
        <v>0</v>
      </c>
      <c r="BV39" s="668">
        <f>IF(BV$4="forecast",SUMIFS(Planning_Mkt!AY$5:AY$133,Planning_Mkt!$B$5:$B$133,"Professional Development"),SUMIF('Dept. Cost Actuals'!$E$7:$E$176,"*Development*",'Dept. Cost Actuals'!BZ$181:BZ$350))</f>
        <v>0</v>
      </c>
    </row>
    <row r="40" spans="2:74" x14ac:dyDescent="0.25">
      <c r="B40" s="794" t="s">
        <v>944</v>
      </c>
      <c r="C40" s="668">
        <f>IF(C$4="forecast",SUMIFS(Planning_Mkt!#REF!,Planning_Mkt!$B$5:$B$133,"Dues &amp; Subscriptions"),SUMIF('Dept. Cost Actuals'!$E$7:$E$176,"*Dues and Subscriptions*",'Dept. Cost Actuals'!G$181:G$350))</f>
        <v>14.766116777832053</v>
      </c>
      <c r="D40" s="668">
        <f>IF(D$4="forecast",SUMIFS(Planning_Mkt!#REF!,Planning_Mkt!$B$5:$B$133,"Dues &amp; Subscriptions"),SUMIF('Dept. Cost Actuals'!$E$7:$E$176,"*Dues and Subscriptions*",'Dept. Cost Actuals'!H$181:H$350))</f>
        <v>20.615106084027683</v>
      </c>
      <c r="E40" s="668">
        <f>IF(E$4="forecast",SUMIFS(Planning_Mkt!#REF!,Planning_Mkt!$B$5:$B$133,"Dues &amp; Subscriptions"),SUMIF('Dept. Cost Actuals'!$E$7:$E$176,"*Dues and Subscriptions*",'Dept. Cost Actuals'!I$181:I$350))</f>
        <v>3.2282463169838524</v>
      </c>
      <c r="F40" s="668">
        <f>IF(F$4="forecast",SUMIFS(Planning_Mkt!#REF!,Planning_Mkt!$B$5:$B$133,"Dues &amp; Subscriptions"),SUMIF('Dept. Cost Actuals'!$E$7:$E$176,"*Dues and Subscriptions*",'Dept. Cost Actuals'!J$181:J$350))</f>
        <v>3.2246825831624077</v>
      </c>
      <c r="G40" s="668">
        <f>IF(G$4="forecast",SUMIFS(Planning_Mkt!#REF!,Planning_Mkt!$B$5:$B$133,"Dues &amp; Subscriptions"),SUMIF('Dept. Cost Actuals'!$E$7:$E$176,"*Dues and Subscriptions*",'Dept. Cost Actuals'!K$181:K$350))</f>
        <v>149.13577183230689</v>
      </c>
      <c r="H40" s="668">
        <f>IF(H$4="forecast",SUMIFS(Planning_Mkt!#REF!,Planning_Mkt!$B$5:$B$133,"Dues &amp; Subscriptions"),SUMIF('Dept. Cost Actuals'!$E$7:$E$176,"*Dues and Subscriptions*",'Dept. Cost Actuals'!L$181:L$350))</f>
        <v>0</v>
      </c>
      <c r="I40" s="668">
        <f>IF(I$4="forecast",SUMIFS(Planning_Mkt!#REF!,Planning_Mkt!$B$5:$B$133,"Dues &amp; Subscriptions"),SUMIF('Dept. Cost Actuals'!$E$7:$E$176,"*Dues and Subscriptions*",'Dept. Cost Actuals'!M$181:M$350))</f>
        <v>0</v>
      </c>
      <c r="J40" s="668">
        <f>IF(J$4="forecast",SUMIFS(Planning_Mkt!#REF!,Planning_Mkt!$B$5:$B$133,"Dues &amp; Subscriptions"),SUMIF('Dept. Cost Actuals'!$E$7:$E$176,"*Dues and Subscriptions*",'Dept. Cost Actuals'!N$181:N$350))</f>
        <v>4.1669041703266858</v>
      </c>
      <c r="K40" s="668">
        <f>IF(K$4="forecast",SUMIFS(Planning_Mkt!#REF!,Planning_Mkt!$B$5:$B$133,"Dues &amp; Subscriptions"),SUMIF('Dept. Cost Actuals'!$E$7:$E$176,"*Dues and Subscriptions*",'Dept. Cost Actuals'!O$181:O$350))</f>
        <v>0</v>
      </c>
      <c r="L40" s="668">
        <f>IF(L$4="forecast",SUMIFS(Planning_Mkt!#REF!,Planning_Mkt!$B$5:$B$133,"Dues &amp; Subscriptions"),SUMIF('Dept. Cost Actuals'!$E$7:$E$176,"*Dues and Subscriptions*",'Dept. Cost Actuals'!P$181:P$350))</f>
        <v>43.517974931572823</v>
      </c>
      <c r="M40" s="668">
        <f>IF(M$4="forecast",SUMIFS(Planning_Mkt!#REF!,Planning_Mkt!$B$5:$B$133,"Dues &amp; Subscriptions"),SUMIF('Dept. Cost Actuals'!$E$7:$E$176,"*Dues and Subscriptions*",'Dept. Cost Actuals'!Q$181:Q$350))</f>
        <v>0</v>
      </c>
      <c r="N40" s="668">
        <f>IF(N$4="forecast",SUMIFS(Planning_Mkt!#REF!,Planning_Mkt!$B$5:$B$133,"Dues &amp; Subscriptions"),SUMIF('Dept. Cost Actuals'!$E$7:$E$176,"*Dues and Subscriptions*",'Dept. Cost Actuals'!R$181:R$350))</f>
        <v>0</v>
      </c>
      <c r="O40" s="668">
        <f>IF(O$4="forecast",SUMIFS(Planning_Mkt!#REF!,Planning_Mkt!$B$5:$B$133,"Dues &amp; Subscriptions"),SUMIF('Dept. Cost Actuals'!$E$7:$E$176,"*Dues and Subscriptions*",'Dept. Cost Actuals'!S$181:S$350))</f>
        <v>0</v>
      </c>
      <c r="P40" s="668">
        <f>IF(P$4="forecast",SUMIFS(Planning_Mkt!#REF!,Planning_Mkt!$B$5:$B$133,"Dues &amp; Subscriptions"),SUMIF('Dept. Cost Actuals'!$E$7:$E$176,"*Dues and Subscriptions*",'Dept. Cost Actuals'!T$181:T$350))</f>
        <v>0</v>
      </c>
      <c r="Q40" s="668">
        <f>IF(Q$4="forecast",SUMIFS(Planning_Mkt!#REF!,Planning_Mkt!$B$5:$B$133,"Dues &amp; Subscriptions"),SUMIF('Dept. Cost Actuals'!$E$7:$E$176,"*Dues and Subscriptions*",'Dept. Cost Actuals'!U$181:U$350))</f>
        <v>0</v>
      </c>
      <c r="R40" s="668">
        <f>IF(R$4="forecast",SUMIFS(Planning_Mkt!#REF!,Planning_Mkt!$B$5:$B$133,"Dues &amp; Subscriptions"),SUMIF('Dept. Cost Actuals'!$E$7:$E$176,"*Dues and Subscriptions*",'Dept. Cost Actuals'!V$181:V$350))</f>
        <v>0</v>
      </c>
      <c r="S40" s="668">
        <f>IF(S$4="forecast",SUMIFS(Planning_Mkt!#REF!,Planning_Mkt!$B$5:$B$133,"Dues &amp; Subscriptions"),SUMIF('Dept. Cost Actuals'!$E$7:$E$176,"*Dues and Subscriptions*",'Dept. Cost Actuals'!W$181:W$350))</f>
        <v>89.2</v>
      </c>
      <c r="T40" s="668">
        <f>IF(T$4="forecast",SUMIFS(Planning_Mkt!#REF!,Planning_Mkt!$B$5:$B$133,"Dues &amp; Subscriptions"),SUMIF('Dept. Cost Actuals'!$E$7:$E$176,"*Dues and Subscriptions*",'Dept. Cost Actuals'!X$181:X$350))</f>
        <v>11.98</v>
      </c>
      <c r="U40" s="668">
        <f>IF(U$4="forecast",SUMIFS(Planning_Mkt!#REF!,Planning_Mkt!$B$5:$B$133,"Dues &amp; Subscriptions"),SUMIF('Dept. Cost Actuals'!$E$7:$E$176,"*Dues and Subscriptions*",'Dept. Cost Actuals'!Y$181:Y$350))</f>
        <v>0</v>
      </c>
      <c r="V40" s="668">
        <f>IF(V$4="forecast",SUMIFS(Planning_Mkt!#REF!,Planning_Mkt!$B$5:$B$133,"Dues &amp; Subscriptions"),SUMIF('Dept. Cost Actuals'!$E$7:$E$176,"*Dues and Subscriptions*",'Dept. Cost Actuals'!Z$181:Z$350))</f>
        <v>0</v>
      </c>
      <c r="W40" s="668">
        <f>IF(W$4="forecast",SUMIFS(Planning_Mkt!#REF!,Planning_Mkt!$B$5:$B$133,"Dues &amp; Subscriptions"),SUMIF('Dept. Cost Actuals'!$E$7:$E$176,"*Dues and Subscriptions*",'Dept. Cost Actuals'!AA$181:AA$350))</f>
        <v>45</v>
      </c>
      <c r="X40" s="668">
        <f>IF(X$4="forecast",SUMIFS(Planning_Mkt!A$5:A$133,Planning_Mkt!$B$5:$B$133,"Dues &amp; Subscriptions"),SUMIF('Dept. Cost Actuals'!$E$7:$E$176,"*Dues and Subscriptions*",'Dept. Cost Actuals'!AB$181:AB$350))</f>
        <v>479.4</v>
      </c>
      <c r="Y40" s="668">
        <f>IF(Y$4="forecast",SUMIFS(Planning_Mkt!B$5:B$133,Planning_Mkt!$B$5:$B$133,"Dues &amp; Subscriptions"),SUMIF('Dept. Cost Actuals'!$E$7:$E$176,"*Dues and Subscriptions*",'Dept. Cost Actuals'!AC$181:AC$350))</f>
        <v>0</v>
      </c>
      <c r="Z40" s="668">
        <f>IF(Z$4="forecast",SUMIFS(Planning_Mkt!C$5:C$133,Planning_Mkt!$B$5:$B$133,"Dues &amp; Subscriptions"),SUMIF('Dept. Cost Actuals'!$E$7:$E$176,"*Dues and Subscriptions*",'Dept. Cost Actuals'!AD$181:AD$350))</f>
        <v>0</v>
      </c>
      <c r="AA40" s="668">
        <f>IF(AA$4="forecast",SUMIFS(Planning_Mkt!D$5:D$133,Planning_Mkt!$B$5:$B$133,"Dues &amp; Subscriptions"),SUMIF('Dept. Cost Actuals'!$E$7:$E$176,"*Dues and Subscriptions*",'Dept. Cost Actuals'!AE$181:AE$350))</f>
        <v>84</v>
      </c>
      <c r="AB40" s="668">
        <f>IF(AB$4="forecast",SUMIFS(Planning_Mkt!E$5:E$133,Planning_Mkt!$B$5:$B$133,"Dues &amp; Subscriptions"),SUMIF('Dept. Cost Actuals'!$E$7:$E$176,"*Dues and Subscriptions*",'Dept. Cost Actuals'!AF$181:AF$350))</f>
        <v>-79</v>
      </c>
      <c r="AC40" s="668">
        <f>IF(AC$4="forecast",SUMIFS(Planning_Mkt!F$5:F$133,Planning_Mkt!$B$5:$B$133,"Dues &amp; Subscriptions"),SUMIF('Dept. Cost Actuals'!$E$7:$E$176,"*Dues and Subscriptions*",'Dept. Cost Actuals'!AG$181:AG$350))</f>
        <v>45</v>
      </c>
      <c r="AD40" s="668">
        <f>IF(AD$4="forecast",SUMIFS(Planning_Mkt!G$5:G$133,Planning_Mkt!$B$5:$B$133,"Dues &amp; Subscriptions"),SUMIF('Dept. Cost Actuals'!$E$7:$E$176,"*Dues and Subscriptions*",'Dept. Cost Actuals'!AH$181:AH$350))</f>
        <v>0</v>
      </c>
      <c r="AE40" s="668">
        <f>IF(AE$4="forecast",SUMIFS(Planning_Mkt!H$5:H$133,Planning_Mkt!$B$5:$B$133,"Dues &amp; Subscriptions"),SUMIF('Dept. Cost Actuals'!$E$7:$E$176,"*Dues and Subscriptions*",'Dept. Cost Actuals'!AI$181:AI$350))</f>
        <v>0</v>
      </c>
      <c r="AF40" s="668">
        <f>IF(AF$4="forecast",SUMIFS(Planning_Mkt!I$5:I$133,Planning_Mkt!$B$5:$B$133,"Dues &amp; Subscriptions"),SUMIF('Dept. Cost Actuals'!$E$7:$E$176,"*Dues and Subscriptions*",'Dept. Cost Actuals'!AJ$181:AJ$350))</f>
        <v>0</v>
      </c>
      <c r="AG40" s="668">
        <f>IF(AG$4="forecast",SUMIFS(Planning_Mkt!J$5:J$133,Planning_Mkt!$B$5:$B$133,"Dues &amp; Subscriptions"),SUMIF('Dept. Cost Actuals'!$E$7:$E$176,"*Dues and Subscriptions*",'Dept. Cost Actuals'!AK$181:AK$350))</f>
        <v>0</v>
      </c>
      <c r="AH40" s="668">
        <f>IF(AH$4="forecast",SUMIFS(Planning_Mkt!K$5:K$133,Planning_Mkt!$B$5:$B$133,"Dues &amp; Subscriptions"),SUMIF('Dept. Cost Actuals'!$E$7:$E$176,"*Dues and Subscriptions*",'Dept. Cost Actuals'!AL$181:AL$350))</f>
        <v>0</v>
      </c>
      <c r="AI40" s="668">
        <f>IF(AI$4="forecast",SUMIFS(Planning_Mkt!L$5:L$133,Planning_Mkt!$B$5:$B$133,"Dues &amp; Subscriptions"),SUMIF('Dept. Cost Actuals'!$E$7:$E$176,"*Dues and Subscriptions*",'Dept. Cost Actuals'!AM$181:AM$350))</f>
        <v>0</v>
      </c>
      <c r="AJ40" s="668">
        <f>IF(AJ$4="forecast",SUMIFS(Planning_Mkt!M$5:M$133,Planning_Mkt!$B$5:$B$133,"Dues &amp; Subscriptions"),SUMIF('Dept. Cost Actuals'!$E$7:$E$176,"*Dues and Subscriptions*",'Dept. Cost Actuals'!AN$181:AN$350))</f>
        <v>0</v>
      </c>
      <c r="AK40" s="668">
        <f>IF(AK$4="forecast",SUMIFS(Planning_Mkt!N$5:N$133,Planning_Mkt!$B$5:$B$133,"Dues &amp; Subscriptions"),SUMIF('Dept. Cost Actuals'!$E$7:$E$176,"*Dues and Subscriptions*",'Dept. Cost Actuals'!AO$181:AO$350))</f>
        <v>0</v>
      </c>
      <c r="AL40" s="668">
        <f>IF(AL$4="forecast",SUMIFS(Planning_Mkt!O$5:O$133,Planning_Mkt!$B$5:$B$133,"Dues &amp; Subscriptions"),SUMIF('Dept. Cost Actuals'!$E$7:$E$176,"*Dues and Subscriptions*",'Dept. Cost Actuals'!AP$181:AP$350))</f>
        <v>0</v>
      </c>
      <c r="AM40" s="668">
        <f>IF(AM$4="forecast",SUMIFS(Planning_Mkt!P$5:P$133,Planning_Mkt!$B$5:$B$133,"Dues &amp; Subscriptions"),SUMIF('Dept. Cost Actuals'!$E$7:$E$176,"*Dues and Subscriptions*",'Dept. Cost Actuals'!AQ$181:AQ$350))</f>
        <v>0</v>
      </c>
      <c r="AN40" s="668">
        <f>IF(AN$4="forecast",SUMIFS(Planning_Mkt!Q$5:Q$133,Planning_Mkt!$B$5:$B$133,"Dues &amp; Subscriptions"),SUMIF('Dept. Cost Actuals'!$E$7:$E$176,"*Dues and Subscriptions*",'Dept. Cost Actuals'!AR$181:AR$350))</f>
        <v>0</v>
      </c>
      <c r="AO40" s="668">
        <f>IF(AO$4="forecast",SUMIFS(Planning_Mkt!R$5:R$133,Planning_Mkt!$B$5:$B$133,"Dues &amp; Subscriptions"),SUMIF('Dept. Cost Actuals'!$E$7:$E$176,"*Dues and Subscriptions*",'Dept. Cost Actuals'!AS$181:AS$350))</f>
        <v>0</v>
      </c>
      <c r="AP40" s="668">
        <f>IF(AP$4="forecast",SUMIFS(Planning_Mkt!S$5:S$133,Planning_Mkt!$B$5:$B$133,"Dues &amp; Subscriptions"),SUMIF('Dept. Cost Actuals'!$E$7:$E$176,"*Dues and Subscriptions*",'Dept. Cost Actuals'!AT$181:AT$350))</f>
        <v>0</v>
      </c>
      <c r="AQ40" s="668">
        <f>IF(AQ$4="forecast",SUMIFS(Planning_Mkt!T$5:T$133,Planning_Mkt!$B$5:$B$133,"Dues &amp; Subscriptions"),SUMIF('Dept. Cost Actuals'!$E$7:$E$176,"*Dues and Subscriptions*",'Dept. Cost Actuals'!AU$181:AU$350))</f>
        <v>0</v>
      </c>
      <c r="AR40" s="668">
        <f>IF(AR$4="forecast",SUMIFS(Planning_Mkt!U$5:U$133,Planning_Mkt!$B$5:$B$133,"Dues &amp; Subscriptions"),SUMIF('Dept. Cost Actuals'!$E$7:$E$176,"*Dues and Subscriptions*",'Dept. Cost Actuals'!AV$181:AV$350))</f>
        <v>0</v>
      </c>
      <c r="AS40" s="668">
        <f>IF(AS$4="forecast",SUMIFS(Planning_Mkt!V$5:V$133,Planning_Mkt!$B$5:$B$133,"Dues &amp; Subscriptions"),SUMIF('Dept. Cost Actuals'!$E$7:$E$176,"*Dues and Subscriptions*",'Dept. Cost Actuals'!AW$181:AW$350))</f>
        <v>0</v>
      </c>
      <c r="AT40" s="668">
        <f>IF(AT$4="forecast",SUMIFS(Planning_Mkt!W$5:W$133,Planning_Mkt!$B$5:$B$133,"Dues &amp; Subscriptions"),SUMIF('Dept. Cost Actuals'!$E$7:$E$176,"*Dues and Subscriptions*",'Dept. Cost Actuals'!AX$181:AX$350))</f>
        <v>0</v>
      </c>
      <c r="AU40" s="668">
        <f>IF(AU$4="forecast",SUMIFS(Planning_Mkt!X$5:X$133,Planning_Mkt!$B$5:$B$133,"Dues &amp; Subscriptions"),SUMIF('Dept. Cost Actuals'!$E$7:$E$176,"*Dues and Subscriptions*",'Dept. Cost Actuals'!AY$181:AY$350))</f>
        <v>0</v>
      </c>
      <c r="AV40" s="668">
        <f>IF(AV$4="forecast",SUMIFS(Planning_Mkt!Y$5:Y$133,Planning_Mkt!$B$5:$B$133,"Dues &amp; Subscriptions"),SUMIF('Dept. Cost Actuals'!$E$7:$E$176,"*Dues and Subscriptions*",'Dept. Cost Actuals'!AZ$181:AZ$350))</f>
        <v>0</v>
      </c>
      <c r="AW40" s="668">
        <f>IF(AW$4="forecast",SUMIFS(Planning_Mkt!Z$5:Z$133,Planning_Mkt!$B$5:$B$133,"Dues &amp; Subscriptions"),SUMIF('Dept. Cost Actuals'!$E$7:$E$176,"*Dues and Subscriptions*",'Dept. Cost Actuals'!BA$181:BA$350))</f>
        <v>0</v>
      </c>
      <c r="AX40" s="668">
        <f>IF(AX$4="forecast",SUMIFS(Planning_Mkt!AA$5:AA$133,Planning_Mkt!$B$5:$B$133,"Dues &amp; Subscriptions"),SUMIF('Dept. Cost Actuals'!$E$7:$E$176,"*Dues and Subscriptions*",'Dept. Cost Actuals'!BB$181:BB$350))</f>
        <v>0</v>
      </c>
      <c r="AY40" s="668">
        <f>IF(AY$4="forecast",SUMIFS(Planning_Mkt!AB$5:AB$133,Planning_Mkt!$B$5:$B$133,"Dues &amp; Subscriptions"),SUMIF('Dept. Cost Actuals'!$E$7:$E$176,"*Dues and Subscriptions*",'Dept. Cost Actuals'!BC$181:BC$350))</f>
        <v>0</v>
      </c>
      <c r="AZ40" s="668">
        <f>IF(AZ$4="forecast",SUMIFS(Planning_Mkt!AC$5:AC$133,Planning_Mkt!$B$5:$B$133,"Dues &amp; Subscriptions"),SUMIF('Dept. Cost Actuals'!$E$7:$E$176,"*Dues and Subscriptions*",'Dept. Cost Actuals'!BD$181:BD$350))</f>
        <v>0</v>
      </c>
      <c r="BA40" s="668">
        <f>IF(BA$4="forecast",SUMIFS(Planning_Mkt!AD$5:AD$133,Planning_Mkt!$B$5:$B$133,"Dues &amp; Subscriptions"),SUMIF('Dept. Cost Actuals'!$E$7:$E$176,"*Dues and Subscriptions*",'Dept. Cost Actuals'!BE$181:BE$350))</f>
        <v>0</v>
      </c>
      <c r="BB40" s="668">
        <f>IF(BB$4="forecast",SUMIFS(Planning_Mkt!AE$5:AE$133,Planning_Mkt!$B$5:$B$133,"Dues &amp; Subscriptions"),SUMIF('Dept. Cost Actuals'!$E$7:$E$176,"*Dues and Subscriptions*",'Dept. Cost Actuals'!BF$181:BF$350))</f>
        <v>0</v>
      </c>
      <c r="BC40" s="668">
        <f>IF(BC$4="forecast",SUMIFS(Planning_Mkt!AF$5:AF$133,Planning_Mkt!$B$5:$B$133,"Dues &amp; Subscriptions"),SUMIF('Dept. Cost Actuals'!$E$7:$E$176,"*Dues and Subscriptions*",'Dept. Cost Actuals'!BG$181:BG$350))</f>
        <v>0</v>
      </c>
      <c r="BD40" s="668">
        <f>IF(BD$4="forecast",SUMIFS(Planning_Mkt!AG$5:AG$133,Planning_Mkt!$B$5:$B$133,"Dues &amp; Subscriptions"),SUMIF('Dept. Cost Actuals'!$E$7:$E$176,"*Dues and Subscriptions*",'Dept. Cost Actuals'!BH$181:BH$350))</f>
        <v>0</v>
      </c>
      <c r="BE40" s="668">
        <f>IF(BE$4="forecast",SUMIFS(Planning_Mkt!AH$5:AH$133,Planning_Mkt!$B$5:$B$133,"Dues &amp; Subscriptions"),SUMIF('Dept. Cost Actuals'!$E$7:$E$176,"*Dues and Subscriptions*",'Dept. Cost Actuals'!BI$181:BI$350))</f>
        <v>0</v>
      </c>
      <c r="BF40" s="668">
        <f>IF(BF$4="forecast",SUMIFS(Planning_Mkt!AI$5:AI$133,Planning_Mkt!$B$5:$B$133,"Dues &amp; Subscriptions"),SUMIF('Dept. Cost Actuals'!$E$7:$E$176,"*Dues and Subscriptions*",'Dept. Cost Actuals'!BJ$181:BJ$350))</f>
        <v>0</v>
      </c>
      <c r="BG40" s="668">
        <f>IF(BG$4="forecast",SUMIFS(Planning_Mkt!AJ$5:AJ$133,Planning_Mkt!$B$5:$B$133,"Dues &amp; Subscriptions"),SUMIF('Dept. Cost Actuals'!$E$7:$E$176,"*Dues and Subscriptions*",'Dept. Cost Actuals'!BK$181:BK$350))</f>
        <v>0</v>
      </c>
      <c r="BH40" s="668">
        <f>IF(BH$4="forecast",SUMIFS(Planning_Mkt!AK$5:AK$133,Planning_Mkt!$B$5:$B$133,"Dues &amp; Subscriptions"),SUMIF('Dept. Cost Actuals'!$E$7:$E$176,"*Dues and Subscriptions*",'Dept. Cost Actuals'!BL$181:BL$350))</f>
        <v>0</v>
      </c>
      <c r="BI40" s="668">
        <f>IF(BI$4="forecast",SUMIFS(Planning_Mkt!AL$5:AL$133,Planning_Mkt!$B$5:$B$133,"Dues &amp; Subscriptions"),SUMIF('Dept. Cost Actuals'!$E$7:$E$176,"*Dues and Subscriptions*",'Dept. Cost Actuals'!BM$181:BM$350))</f>
        <v>0</v>
      </c>
      <c r="BJ40" s="668">
        <f>IF(BJ$4="forecast",SUMIFS(Planning_Mkt!AM$5:AM$133,Planning_Mkt!$B$5:$B$133,"Dues &amp; Subscriptions"),SUMIF('Dept. Cost Actuals'!$E$7:$E$176,"*Dues and Subscriptions*",'Dept. Cost Actuals'!BN$181:BN$350))</f>
        <v>0</v>
      </c>
      <c r="BK40" s="668">
        <f>IF(BK$4="forecast",SUMIFS(Planning_Mkt!AN$5:AN$133,Planning_Mkt!$B$5:$B$133,"Dues &amp; Subscriptions"),SUMIF('Dept. Cost Actuals'!$E$7:$E$176,"*Dues and Subscriptions*",'Dept. Cost Actuals'!BO$181:BO$350))</f>
        <v>0</v>
      </c>
      <c r="BL40" s="668">
        <f>IF(BL$4="forecast",SUMIFS(Planning_Mkt!AO$5:AO$133,Planning_Mkt!$B$5:$B$133,"Dues &amp; Subscriptions"),SUMIF('Dept. Cost Actuals'!$E$7:$E$176,"*Dues and Subscriptions*",'Dept. Cost Actuals'!BP$181:BP$350))</f>
        <v>0</v>
      </c>
      <c r="BM40" s="668">
        <f>IF(BM$4="forecast",SUMIFS(Planning_Mkt!AP$5:AP$133,Planning_Mkt!$B$5:$B$133,"Dues &amp; Subscriptions"),SUMIF('Dept. Cost Actuals'!$E$7:$E$176,"*Dues and Subscriptions*",'Dept. Cost Actuals'!BQ$181:BQ$350))</f>
        <v>0</v>
      </c>
      <c r="BN40" s="668">
        <f>IF(BN$4="forecast",SUMIFS(Planning_Mkt!AQ$5:AQ$133,Planning_Mkt!$B$5:$B$133,"Dues &amp; Subscriptions"),SUMIF('Dept. Cost Actuals'!$E$7:$E$176,"*Dues and Subscriptions*",'Dept. Cost Actuals'!BR$181:BR$350))</f>
        <v>0</v>
      </c>
      <c r="BO40" s="668">
        <f>IF(BO$4="forecast",SUMIFS(Planning_Mkt!AR$5:AR$133,Planning_Mkt!$B$5:$B$133,"Dues &amp; Subscriptions"),SUMIF('Dept. Cost Actuals'!$E$7:$E$176,"*Dues and Subscriptions*",'Dept. Cost Actuals'!BS$181:BS$350))</f>
        <v>0</v>
      </c>
      <c r="BP40" s="668">
        <f>IF(BP$4="forecast",SUMIFS(Planning_Mkt!AS$5:AS$133,Planning_Mkt!$B$5:$B$133,"Dues &amp; Subscriptions"),SUMIF('Dept. Cost Actuals'!$E$7:$E$176,"*Dues and Subscriptions*",'Dept. Cost Actuals'!BT$181:BT$350))</f>
        <v>0</v>
      </c>
      <c r="BQ40" s="668">
        <f>IF(BQ$4="forecast",SUMIFS(Planning_Mkt!AT$5:AT$133,Planning_Mkt!$B$5:$B$133,"Dues &amp; Subscriptions"),SUMIF('Dept. Cost Actuals'!$E$7:$E$176,"*Dues and Subscriptions*",'Dept. Cost Actuals'!BU$181:BU$350))</f>
        <v>0</v>
      </c>
      <c r="BR40" s="668">
        <f>IF(BR$4="forecast",SUMIFS(Planning_Mkt!AU$5:AU$133,Planning_Mkt!$B$5:$B$133,"Dues &amp; Subscriptions"),SUMIF('Dept. Cost Actuals'!$E$7:$E$176,"*Dues and Subscriptions*",'Dept. Cost Actuals'!BV$181:BV$350))</f>
        <v>0</v>
      </c>
      <c r="BS40" s="668">
        <f>IF(BS$4="forecast",SUMIFS(Planning_Mkt!AV$5:AV$133,Planning_Mkt!$B$5:$B$133,"Dues &amp; Subscriptions"),SUMIF('Dept. Cost Actuals'!$E$7:$E$176,"*Dues and Subscriptions*",'Dept. Cost Actuals'!BW$181:BW$350))</f>
        <v>0</v>
      </c>
      <c r="BT40" s="668">
        <f>IF(BT$4="forecast",SUMIFS(Planning_Mkt!AW$5:AW$133,Planning_Mkt!$B$5:$B$133,"Dues &amp; Subscriptions"),SUMIF('Dept. Cost Actuals'!$E$7:$E$176,"*Dues and Subscriptions*",'Dept. Cost Actuals'!BX$181:BX$350))</f>
        <v>0</v>
      </c>
      <c r="BU40" s="668">
        <f>IF(BU$4="forecast",SUMIFS(Planning_Mkt!AX$5:AX$133,Planning_Mkt!$B$5:$B$133,"Dues &amp; Subscriptions"),SUMIF('Dept. Cost Actuals'!$E$7:$E$176,"*Dues and Subscriptions*",'Dept. Cost Actuals'!BY$181:BY$350))</f>
        <v>0</v>
      </c>
      <c r="BV40" s="790">
        <f>IF(BV$4="forecast",SUMIFS(Planning_Mkt!AY$5:AY$133,Planning_Mkt!$B$5:$B$133,"Dues &amp; Subscriptions"),SUMIF('Dept. Cost Actuals'!$E$7:$E$176,"*Dues and Subscriptions*",'Dept. Cost Actuals'!BZ$181:BZ$350))</f>
        <v>0</v>
      </c>
    </row>
    <row r="41" spans="2:74" x14ac:dyDescent="0.25">
      <c r="B41" s="794" t="s">
        <v>945</v>
      </c>
      <c r="C41" s="668">
        <f>IF(C$4="forecast",SUMIFS(Planning_Mkt!#REF!,Planning_Mkt!$B$5:$B$133,"Miscellaneous")+4200,SUMIF('Dept. Cost Actuals'!$E$7:$E$176,"*Miscellaneous*",'Dept. Cost Actuals'!G$181:G$350))</f>
        <v>475.20448253623181</v>
      </c>
      <c r="D41" s="668">
        <f>IF(D$4="forecast",SUMIFS(Planning_Mkt!#REF!,Planning_Mkt!$B$5:$B$133,"Miscellaneous")+4200,SUMIF('Dept. Cost Actuals'!$E$7:$E$176,"*Miscellaneous*",'Dept. Cost Actuals'!H$181:H$350))</f>
        <v>212.09080004650605</v>
      </c>
      <c r="E41" s="668">
        <f>IF(E$4="forecast",SUMIFS(Planning_Mkt!#REF!,Planning_Mkt!$B$5:$B$133,"Miscellaneous")+4200,SUMIF('Dept. Cost Actuals'!$E$7:$E$176,"*Miscellaneous*",'Dept. Cost Actuals'!I$181:I$350))</f>
        <v>177.54297142163705</v>
      </c>
      <c r="F41" s="668">
        <f>IF(F$4="forecast",SUMIFS(Planning_Mkt!#REF!,Planning_Mkt!$B$5:$B$133,"Miscellaneous")+4200,SUMIF('Dept. Cost Actuals'!$E$7:$E$176,"*Miscellaneous*",'Dept. Cost Actuals'!J$181:J$350))</f>
        <v>86.921005572126887</v>
      </c>
      <c r="G41" s="668">
        <f>IF(G$4="forecast",SUMIFS(Planning_Mkt!#REF!,Planning_Mkt!$B$5:$B$133,"Miscellaneous")+4200,SUMIF('Dept. Cost Actuals'!$E$7:$E$176,"*Miscellaneous*",'Dept. Cost Actuals'!K$181:K$350))</f>
        <v>37.201265093941807</v>
      </c>
      <c r="H41" s="668">
        <f>IF(H$4="forecast",SUMIFS(Planning_Mkt!#REF!,Planning_Mkt!$B$5:$B$133,"Miscellaneous")+4200,SUMIF('Dept. Cost Actuals'!$E$7:$E$176,"*Miscellaneous*",'Dept. Cost Actuals'!L$181:L$350))</f>
        <v>49.422032421226625</v>
      </c>
      <c r="I41" s="668">
        <f>IF(I$4="forecast",SUMIFS(Planning_Mkt!#REF!,Planning_Mkt!$B$5:$B$133,"Miscellaneous")+4200,SUMIF('Dept. Cost Actuals'!$E$7:$E$176,"*Miscellaneous*",'Dept. Cost Actuals'!M$181:M$350))</f>
        <v>54.907445592391639</v>
      </c>
      <c r="J41" s="668">
        <f>IF(J$4="forecast",SUMIFS(Planning_Mkt!#REF!,Planning_Mkt!$B$5:$B$133,"Miscellaneous")+4200,SUMIF('Dept. Cost Actuals'!$E$7:$E$176,"*Miscellaneous*",'Dept. Cost Actuals'!N$181:N$350))</f>
        <v>32.245845432506478</v>
      </c>
      <c r="K41" s="668">
        <f>IF(K$4="forecast",SUMIFS(Planning_Mkt!#REF!,Planning_Mkt!$B$5:$B$133,"Miscellaneous")+4200,SUMIF('Dept. Cost Actuals'!$E$7:$E$176,"*Miscellaneous*",'Dept. Cost Actuals'!O$181:O$350))</f>
        <v>198.72363015279552</v>
      </c>
      <c r="L41" s="668">
        <f>IF(L$4="forecast",SUMIFS(Planning_Mkt!#REF!,Planning_Mkt!$B$5:$B$133,"Miscellaneous")+4200,SUMIF('Dept. Cost Actuals'!$E$7:$E$176,"*Miscellaneous*",'Dept. Cost Actuals'!P$181:P$350))</f>
        <v>204.88423980527293</v>
      </c>
      <c r="M41" s="668">
        <f>IF(M$4="forecast",SUMIFS(Planning_Mkt!#REF!,Planning_Mkt!$B$5:$B$133,"Miscellaneous")+4200,SUMIF('Dept. Cost Actuals'!$E$7:$E$176,"*Miscellaneous*",'Dept. Cost Actuals'!Q$181:Q$350))</f>
        <v>142.24169044562223</v>
      </c>
      <c r="N41" s="668">
        <f>IF(N$4="forecast",SUMIFS(Planning_Mkt!#REF!,Planning_Mkt!$B$5:$B$133,"Miscellaneous")+4200,SUMIF('Dept. Cost Actuals'!$E$7:$E$176,"*Miscellaneous*",'Dept. Cost Actuals'!R$181:R$350))</f>
        <v>182.66565372915815</v>
      </c>
      <c r="O41" s="668">
        <f>IF(O$4="forecast",SUMIFS(Planning_Mkt!#REF!,Planning_Mkt!$B$5:$B$133,"Miscellaneous")+4200,SUMIF('Dept. Cost Actuals'!$E$7:$E$176,"*Miscellaneous*",'Dept. Cost Actuals'!S$181:S$350))</f>
        <v>2685.38</v>
      </c>
      <c r="P41" s="668">
        <f>IF(P$4="forecast",SUMIFS(Planning_Mkt!#REF!,Planning_Mkt!$B$5:$B$133,"Miscellaneous")+4200,SUMIF('Dept. Cost Actuals'!$E$7:$E$176,"*Miscellaneous*",'Dept. Cost Actuals'!T$181:T$350))</f>
        <v>50</v>
      </c>
      <c r="Q41" s="668">
        <f>IF(Q$4="forecast",SUMIFS(Planning_Mkt!#REF!,Planning_Mkt!$B$5:$B$133,"Miscellaneous")+4200,SUMIF('Dept. Cost Actuals'!$E$7:$E$176,"*Miscellaneous*",'Dept. Cost Actuals'!U$181:U$350))</f>
        <v>476.7</v>
      </c>
      <c r="R41" s="668">
        <f>IF(R$4="forecast",SUMIFS(Planning_Mkt!#REF!,Planning_Mkt!$B$5:$B$133,"Miscellaneous")+4200,SUMIF('Dept. Cost Actuals'!$E$7:$E$176,"*Miscellaneous*",'Dept. Cost Actuals'!V$181:V$350))</f>
        <v>2010.48</v>
      </c>
      <c r="S41" s="668">
        <f>IF(S$4="forecast",SUMIFS(Planning_Mkt!#REF!,Planning_Mkt!$B$5:$B$133,"Miscellaneous")+4200,SUMIF('Dept. Cost Actuals'!$E$7:$E$176,"*Miscellaneous*",'Dept. Cost Actuals'!W$181:W$350))</f>
        <v>4844.17</v>
      </c>
      <c r="T41" s="668">
        <f>IF(T$4="forecast",SUMIFS(Planning_Mkt!#REF!,Planning_Mkt!$B$5:$B$133,"Miscellaneous")+4200,SUMIF('Dept. Cost Actuals'!$E$7:$E$176,"*Miscellaneous*",'Dept. Cost Actuals'!X$181:X$350))</f>
        <v>767.14</v>
      </c>
      <c r="U41" s="668">
        <f>IF(U$4="forecast",SUMIFS(Planning_Mkt!#REF!,Planning_Mkt!$B$5:$B$133,"Miscellaneous")+4200,SUMIF('Dept. Cost Actuals'!$E$7:$E$176,"*Miscellaneous*",'Dept. Cost Actuals'!Y$181:Y$350))</f>
        <v>104.99</v>
      </c>
      <c r="V41" s="668">
        <f>IF(V$4="forecast",SUMIFS(Planning_Mkt!#REF!,Planning_Mkt!$B$5:$B$133,"Miscellaneous")+4200,SUMIF('Dept. Cost Actuals'!$E$7:$E$176,"*Miscellaneous*",'Dept. Cost Actuals'!Z$181:Z$350))</f>
        <v>179.99</v>
      </c>
      <c r="W41" s="668">
        <f>IF(W$4="forecast",SUMIFS(Planning_Mkt!#REF!,Planning_Mkt!$B$5:$B$133,"Miscellaneous")+4200,SUMIF('Dept. Cost Actuals'!$E$7:$E$176,"*Miscellaneous*",'Dept. Cost Actuals'!AA$181:AA$350))</f>
        <v>1042.71</v>
      </c>
      <c r="X41" s="668">
        <f>IF(X$4="forecast",SUMIFS(Planning_Mkt!A$5:A$133,Planning_Mkt!$B$5:$B$133,"Miscellaneous")+4200,SUMIF('Dept. Cost Actuals'!$E$7:$E$176,"*Miscellaneous*",'Dept. Cost Actuals'!AB$181:AB$350))</f>
        <v>5384.78</v>
      </c>
      <c r="Y41" s="668">
        <f>IF(Y$4="forecast",SUMIFS(Planning_Mkt!B$5:B$133,Planning_Mkt!$B$5:$B$133,"Miscellaneous")+4200,SUMIF('Dept. Cost Actuals'!$E$7:$E$176,"*Miscellaneous*",'Dept. Cost Actuals'!AC$181:AC$350))</f>
        <v>200</v>
      </c>
      <c r="Z41" s="668">
        <f>IF(Z$4="forecast",SUMIFS(Planning_Mkt!C$5:C$133,Planning_Mkt!$B$5:$B$133,"Miscellaneous")+4200,SUMIF('Dept. Cost Actuals'!$E$7:$E$176,"*Miscellaneous*",'Dept. Cost Actuals'!AD$181:AD$350))</f>
        <v>3174.9700000000003</v>
      </c>
      <c r="AA41" s="668">
        <f>IF(AA$4="forecast",SUMIFS(Planning_Mkt!D$5:D$133,Planning_Mkt!$B$5:$B$133,"Miscellaneous")+4200,SUMIF('Dept. Cost Actuals'!$E$7:$E$176,"*Miscellaneous*",'Dept. Cost Actuals'!AE$181:AE$350))</f>
        <v>1369.3</v>
      </c>
      <c r="AB41" s="668">
        <f>IF(AB$4="forecast",SUMIFS(Planning_Mkt!E$5:E$133,Planning_Mkt!$B$5:$B$133,"Miscellaneous")+4200,SUMIF('Dept. Cost Actuals'!$E$7:$E$176,"*Miscellaneous*",'Dept. Cost Actuals'!AF$181:AF$350))</f>
        <v>150</v>
      </c>
      <c r="AC41" s="668">
        <f>IF(AC$4="forecast",SUMIFS(Planning_Mkt!F$5:F$133,Planning_Mkt!$B$5:$B$133,"Miscellaneous")+4200,SUMIF('Dept. Cost Actuals'!$E$7:$E$176,"*Miscellaneous*",'Dept. Cost Actuals'!AG$181:AG$350))</f>
        <v>480</v>
      </c>
      <c r="AD41" s="668">
        <f>IF(AD$4="forecast",SUMIFS(Planning_Mkt!G$5:G$133,Planning_Mkt!$B$5:$B$133,"Miscellaneous")+4200,SUMIF('Dept. Cost Actuals'!$E$7:$E$176,"*Miscellaneous*",'Dept. Cost Actuals'!AH$181:AH$350))</f>
        <v>4212</v>
      </c>
      <c r="AE41" s="668">
        <f>IF(AE$4="forecast",SUMIFS(Planning_Mkt!H$5:H$133,Planning_Mkt!$B$5:$B$133,"Miscellaneous")+4200,SUMIF('Dept. Cost Actuals'!$E$7:$E$176,"*Miscellaneous*",'Dept. Cost Actuals'!AI$181:AI$350))</f>
        <v>4212</v>
      </c>
      <c r="AF41" s="668">
        <f>IF(AF$4="forecast",SUMIFS(Planning_Mkt!I$5:I$133,Planning_Mkt!$B$5:$B$133,"Miscellaneous")+4200,SUMIF('Dept. Cost Actuals'!$E$7:$E$176,"*Miscellaneous*",'Dept. Cost Actuals'!AJ$181:AJ$350))</f>
        <v>4212</v>
      </c>
      <c r="AG41" s="668">
        <f>IF(AG$4="forecast",SUMIFS(Planning_Mkt!J$5:J$133,Planning_Mkt!$B$5:$B$133,"Miscellaneous")+4200,SUMIF('Dept. Cost Actuals'!$E$7:$E$176,"*Miscellaneous*",'Dept. Cost Actuals'!AK$181:AK$350))</f>
        <v>4212</v>
      </c>
      <c r="AH41" s="668">
        <f>IF(AH$4="forecast",SUMIFS(Planning_Mkt!K$5:K$133,Planning_Mkt!$B$5:$B$133,"Miscellaneous")+4200,SUMIF('Dept. Cost Actuals'!$E$7:$E$176,"*Miscellaneous*",'Dept. Cost Actuals'!AL$181:AL$350))</f>
        <v>4212</v>
      </c>
      <c r="AI41" s="668">
        <f>IF(AI$4="forecast",SUMIFS(Planning_Mkt!L$5:L$133,Planning_Mkt!$B$5:$B$133,"Miscellaneous")+4200,SUMIF('Dept. Cost Actuals'!$E$7:$E$176,"*Miscellaneous*",'Dept. Cost Actuals'!AM$181:AM$350))</f>
        <v>4212</v>
      </c>
      <c r="AJ41" s="668">
        <f>IF(AJ$4="forecast",SUMIFS(Planning_Mkt!M$5:M$133,Planning_Mkt!$B$5:$B$133,"Miscellaneous")+4200,SUMIF('Dept. Cost Actuals'!$E$7:$E$176,"*Miscellaneous*",'Dept. Cost Actuals'!AN$181:AN$350))</f>
        <v>4212</v>
      </c>
      <c r="AK41" s="668">
        <f>IF(AK$4="forecast",SUMIFS(Planning_Mkt!N$5:N$133,Planning_Mkt!$B$5:$B$133,"Miscellaneous")+4200,SUMIF('Dept. Cost Actuals'!$E$7:$E$176,"*Miscellaneous*",'Dept. Cost Actuals'!AO$181:AO$350))</f>
        <v>4212</v>
      </c>
      <c r="AL41" s="668">
        <f>IF(AL$4="forecast",SUMIFS(Planning_Mkt!O$5:O$133,Planning_Mkt!$B$5:$B$133,"Miscellaneous")+4200,SUMIF('Dept. Cost Actuals'!$E$7:$E$176,"*Miscellaneous*",'Dept. Cost Actuals'!AP$181:AP$350))</f>
        <v>4212</v>
      </c>
      <c r="AM41" s="668">
        <f>IF(AM$4="forecast",SUMIFS(Planning_Mkt!P$5:P$133,Planning_Mkt!$B$5:$B$133,"Miscellaneous")+4200,SUMIF('Dept. Cost Actuals'!$E$7:$E$176,"*Miscellaneous*",'Dept. Cost Actuals'!AQ$181:AQ$350))</f>
        <v>4320</v>
      </c>
      <c r="AN41" s="668">
        <f>IF(AN$4="forecast",SUMIFS(Planning_Mkt!Q$5:Q$133,Planning_Mkt!$B$5:$B$133,"Miscellaneous")+4200,SUMIF('Dept. Cost Actuals'!$E$7:$E$176,"*Miscellaneous*",'Dept. Cost Actuals'!AR$181:AR$350))</f>
        <v>4200</v>
      </c>
      <c r="AO41" s="668">
        <f>IF(AO$4="forecast",SUMIFS(Planning_Mkt!R$5:R$133,Planning_Mkt!$B$5:$B$133,"Miscellaneous")+4200,SUMIF('Dept. Cost Actuals'!$E$7:$E$176,"*Miscellaneous*",'Dept. Cost Actuals'!AS$181:AS$350))</f>
        <v>4200</v>
      </c>
      <c r="AP41" s="668">
        <f>IF(AP$4="forecast",SUMIFS(Planning_Mkt!S$5:S$133,Planning_Mkt!$B$5:$B$133,"Miscellaneous")+4200,SUMIF('Dept. Cost Actuals'!$E$7:$E$176,"*Miscellaneous*",'Dept. Cost Actuals'!AT$181:AT$350))</f>
        <v>4200</v>
      </c>
      <c r="AQ41" s="668">
        <f>IF(AQ$4="forecast",SUMIFS(Planning_Mkt!T$5:T$133,Planning_Mkt!$B$5:$B$133,"Miscellaneous")+4200,SUMIF('Dept. Cost Actuals'!$E$7:$E$176,"*Miscellaneous*",'Dept. Cost Actuals'!AU$181:AU$350))</f>
        <v>4200</v>
      </c>
      <c r="AR41" s="668">
        <f>IF(AR$4="forecast",SUMIFS(Planning_Mkt!U$5:U$133,Planning_Mkt!$B$5:$B$133,"Miscellaneous")+4200,SUMIF('Dept. Cost Actuals'!$E$7:$E$176,"*Miscellaneous*",'Dept. Cost Actuals'!AV$181:AV$350))</f>
        <v>4200</v>
      </c>
      <c r="AS41" s="668">
        <f>IF(AS$4="forecast",SUMIFS(Planning_Mkt!V$5:V$133,Planning_Mkt!$B$5:$B$133,"Miscellaneous")+4200,SUMIF('Dept. Cost Actuals'!$E$7:$E$176,"*Miscellaneous*",'Dept. Cost Actuals'!AW$181:AW$350))</f>
        <v>4200</v>
      </c>
      <c r="AT41" s="668">
        <f>IF(AT$4="forecast",SUMIFS(Planning_Mkt!W$5:W$133,Planning_Mkt!$B$5:$B$133,"Miscellaneous")+4200,SUMIF('Dept. Cost Actuals'!$E$7:$E$176,"*Miscellaneous*",'Dept. Cost Actuals'!AX$181:AX$350))</f>
        <v>4200</v>
      </c>
      <c r="AU41" s="668">
        <f>IF(AU$4="forecast",SUMIFS(Planning_Mkt!X$5:X$133,Planning_Mkt!$B$5:$B$133,"Miscellaneous")+4200,SUMIF('Dept. Cost Actuals'!$E$7:$E$176,"*Miscellaneous*",'Dept. Cost Actuals'!AY$181:AY$350))</f>
        <v>4200</v>
      </c>
      <c r="AV41" s="668">
        <f>IF(AV$4="forecast",SUMIFS(Planning_Mkt!Y$5:Y$133,Planning_Mkt!$B$5:$B$133,"Miscellaneous")+4200,SUMIF('Dept. Cost Actuals'!$E$7:$E$176,"*Miscellaneous*",'Dept. Cost Actuals'!AZ$181:AZ$350))</f>
        <v>4200</v>
      </c>
      <c r="AW41" s="668">
        <f>IF(AW$4="forecast",SUMIFS(Planning_Mkt!Z$5:Z$133,Planning_Mkt!$B$5:$B$133,"Miscellaneous")+4200,SUMIF('Dept. Cost Actuals'!$E$7:$E$176,"*Miscellaneous*",'Dept. Cost Actuals'!BA$181:BA$350))</f>
        <v>4200</v>
      </c>
      <c r="AX41" s="668">
        <f>IF(AX$4="forecast",SUMIFS(Planning_Mkt!AA$5:AA$133,Planning_Mkt!$B$5:$B$133,"Miscellaneous")+4200,SUMIF('Dept. Cost Actuals'!$E$7:$E$176,"*Miscellaneous*",'Dept. Cost Actuals'!BB$181:BB$350))</f>
        <v>4200</v>
      </c>
      <c r="AY41" s="668">
        <f>IF(AY$4="forecast",SUMIFS(Planning_Mkt!AB$5:AB$133,Planning_Mkt!$B$5:$B$133,"Miscellaneous")+4200,SUMIF('Dept. Cost Actuals'!$E$7:$E$176,"*Miscellaneous*",'Dept. Cost Actuals'!BC$181:BC$350))</f>
        <v>4200</v>
      </c>
      <c r="AZ41" s="668">
        <f>IF(AZ$4="forecast",SUMIFS(Planning_Mkt!AC$5:AC$133,Planning_Mkt!$B$5:$B$133,"Miscellaneous")+4200,SUMIF('Dept. Cost Actuals'!$E$7:$E$176,"*Miscellaneous*",'Dept. Cost Actuals'!BD$181:BD$350))</f>
        <v>4200</v>
      </c>
      <c r="BA41" s="668">
        <f>IF(BA$4="forecast",SUMIFS(Planning_Mkt!AD$5:AD$133,Planning_Mkt!$B$5:$B$133,"Miscellaneous")+4200,SUMIF('Dept. Cost Actuals'!$E$7:$E$176,"*Miscellaneous*",'Dept. Cost Actuals'!BE$181:BE$350))</f>
        <v>4200</v>
      </c>
      <c r="BB41" s="668">
        <f>IF(BB$4="forecast",SUMIFS(Planning_Mkt!AE$5:AE$133,Planning_Mkt!$B$5:$B$133,"Miscellaneous")+4200,SUMIF('Dept. Cost Actuals'!$E$7:$E$176,"*Miscellaneous*",'Dept. Cost Actuals'!BF$181:BF$350))</f>
        <v>4200</v>
      </c>
      <c r="BC41" s="668">
        <f>IF(BC$4="forecast",SUMIFS(Planning_Mkt!AF$5:AF$133,Planning_Mkt!$B$5:$B$133,"Miscellaneous")+4200,SUMIF('Dept. Cost Actuals'!$E$7:$E$176,"*Miscellaneous*",'Dept. Cost Actuals'!BG$181:BG$350))</f>
        <v>4200</v>
      </c>
      <c r="BD41" s="668">
        <f>IF(BD$4="forecast",SUMIFS(Planning_Mkt!AG$5:AG$133,Planning_Mkt!$B$5:$B$133,"Miscellaneous")+4200,SUMIF('Dept. Cost Actuals'!$E$7:$E$176,"*Miscellaneous*",'Dept. Cost Actuals'!BH$181:BH$350))</f>
        <v>4200</v>
      </c>
      <c r="BE41" s="668">
        <f>IF(BE$4="forecast",SUMIFS(Planning_Mkt!AH$5:AH$133,Planning_Mkt!$B$5:$B$133,"Miscellaneous")+4200,SUMIF('Dept. Cost Actuals'!$E$7:$E$176,"*Miscellaneous*",'Dept. Cost Actuals'!BI$181:BI$350))</f>
        <v>4200</v>
      </c>
      <c r="BF41" s="668">
        <f>IF(BF$4="forecast",SUMIFS(Planning_Mkt!AI$5:AI$133,Planning_Mkt!$B$5:$B$133,"Miscellaneous")+4200,SUMIF('Dept. Cost Actuals'!$E$7:$E$176,"*Miscellaneous*",'Dept. Cost Actuals'!BJ$181:BJ$350))</f>
        <v>4200</v>
      </c>
      <c r="BG41" s="668">
        <f>IF(BG$4="forecast",SUMIFS(Planning_Mkt!AJ$5:AJ$133,Planning_Mkt!$B$5:$B$133,"Miscellaneous")+4200,SUMIF('Dept. Cost Actuals'!$E$7:$E$176,"*Miscellaneous*",'Dept. Cost Actuals'!BK$181:BK$350))</f>
        <v>4200</v>
      </c>
      <c r="BH41" s="668">
        <f>IF(BH$4="forecast",SUMIFS(Planning_Mkt!AK$5:AK$133,Planning_Mkt!$B$5:$B$133,"Miscellaneous")+4200,SUMIF('Dept. Cost Actuals'!$E$7:$E$176,"*Miscellaneous*",'Dept. Cost Actuals'!BL$181:BL$350))</f>
        <v>4200</v>
      </c>
      <c r="BI41" s="668">
        <f>IF(BI$4="forecast",SUMIFS(Planning_Mkt!AL$5:AL$133,Planning_Mkt!$B$5:$B$133,"Miscellaneous")+4200,SUMIF('Dept. Cost Actuals'!$E$7:$E$176,"*Miscellaneous*",'Dept. Cost Actuals'!BM$181:BM$350))</f>
        <v>4200</v>
      </c>
      <c r="BJ41" s="668">
        <f>IF(BJ$4="forecast",SUMIFS(Planning_Mkt!AM$5:AM$133,Planning_Mkt!$B$5:$B$133,"Miscellaneous")+4200,SUMIF('Dept. Cost Actuals'!$E$7:$E$176,"*Miscellaneous*",'Dept. Cost Actuals'!BN$181:BN$350))</f>
        <v>4200</v>
      </c>
      <c r="BK41" s="668">
        <f>IF(BK$4="forecast",SUMIFS(Planning_Mkt!AN$5:AN$133,Planning_Mkt!$B$5:$B$133,"Miscellaneous")+4200,SUMIF('Dept. Cost Actuals'!$E$7:$E$176,"*Miscellaneous*",'Dept. Cost Actuals'!BO$181:BO$350))</f>
        <v>4200</v>
      </c>
      <c r="BL41" s="668">
        <f>IF(BL$4="forecast",SUMIFS(Planning_Mkt!AO$5:AO$133,Planning_Mkt!$B$5:$B$133,"Miscellaneous")+4200,SUMIF('Dept. Cost Actuals'!$E$7:$E$176,"*Miscellaneous*",'Dept. Cost Actuals'!BP$181:BP$350))</f>
        <v>4200</v>
      </c>
      <c r="BM41" s="668">
        <f>IF(BM$4="forecast",SUMIFS(Planning_Mkt!AP$5:AP$133,Planning_Mkt!$B$5:$B$133,"Miscellaneous")+4200,SUMIF('Dept. Cost Actuals'!$E$7:$E$176,"*Miscellaneous*",'Dept. Cost Actuals'!BQ$181:BQ$350))</f>
        <v>4200</v>
      </c>
      <c r="BN41" s="668">
        <f>IF(BN$4="forecast",SUMIFS(Planning_Mkt!AQ$5:AQ$133,Planning_Mkt!$B$5:$B$133,"Miscellaneous")+4200,SUMIF('Dept. Cost Actuals'!$E$7:$E$176,"*Miscellaneous*",'Dept. Cost Actuals'!BR$181:BR$350))</f>
        <v>4200</v>
      </c>
      <c r="BO41" s="668">
        <f>IF(BO$4="forecast",SUMIFS(Planning_Mkt!AR$5:AR$133,Planning_Mkt!$B$5:$B$133,"Miscellaneous")+4200,SUMIF('Dept. Cost Actuals'!$E$7:$E$176,"*Miscellaneous*",'Dept. Cost Actuals'!BS$181:BS$350))</f>
        <v>4200</v>
      </c>
      <c r="BP41" s="668">
        <f>IF(BP$4="forecast",SUMIFS(Planning_Mkt!AS$5:AS$133,Planning_Mkt!$B$5:$B$133,"Miscellaneous")+4200,SUMIF('Dept. Cost Actuals'!$E$7:$E$176,"*Miscellaneous*",'Dept. Cost Actuals'!BT$181:BT$350))</f>
        <v>4200</v>
      </c>
      <c r="BQ41" s="668">
        <f>IF(BQ$4="forecast",SUMIFS(Planning_Mkt!AT$5:AT$133,Planning_Mkt!$B$5:$B$133,"Miscellaneous")+4200,SUMIF('Dept. Cost Actuals'!$E$7:$E$176,"*Miscellaneous*",'Dept. Cost Actuals'!BU$181:BU$350))</f>
        <v>4200</v>
      </c>
      <c r="BR41" s="668">
        <f>IF(BR$4="forecast",SUMIFS(Planning_Mkt!AU$5:AU$133,Planning_Mkt!$B$5:$B$133,"Miscellaneous")+4200,SUMIF('Dept. Cost Actuals'!$E$7:$E$176,"*Miscellaneous*",'Dept. Cost Actuals'!BV$181:BV$350))</f>
        <v>4200</v>
      </c>
      <c r="BS41" s="668">
        <f>IF(BS$4="forecast",SUMIFS(Planning_Mkt!AV$5:AV$133,Planning_Mkt!$B$5:$B$133,"Miscellaneous")+4200,SUMIF('Dept. Cost Actuals'!$E$7:$E$176,"*Miscellaneous*",'Dept. Cost Actuals'!BW$181:BW$350))</f>
        <v>4200</v>
      </c>
      <c r="BT41" s="668">
        <f>IF(BT$4="forecast",SUMIFS(Planning_Mkt!AW$5:AW$133,Planning_Mkt!$B$5:$B$133,"Miscellaneous")+4200,SUMIF('Dept. Cost Actuals'!$E$7:$E$176,"*Miscellaneous*",'Dept. Cost Actuals'!BX$181:BX$350))</f>
        <v>4200</v>
      </c>
      <c r="BU41" s="668">
        <f>IF(BU$4="forecast",SUMIFS(Planning_Mkt!AX$5:AX$133,Planning_Mkt!$B$5:$B$133,"Miscellaneous")+4200,SUMIF('Dept. Cost Actuals'!$E$7:$E$176,"*Miscellaneous*",'Dept. Cost Actuals'!BY$181:BY$350))</f>
        <v>4200</v>
      </c>
      <c r="BV41" s="790">
        <f>IF(BV$4="forecast",SUMIFS(Planning_Mkt!AY$5:AY$133,Planning_Mkt!$B$5:$B$133,"Miscellaneous")+4200,SUMIF('Dept. Cost Actuals'!$E$7:$E$176,"*Miscellaneous*",'Dept. Cost Actuals'!BZ$181:BZ$350))</f>
        <v>4200</v>
      </c>
    </row>
    <row r="42" spans="2:74" x14ac:dyDescent="0.25">
      <c r="B42" s="797" t="s">
        <v>1336</v>
      </c>
      <c r="C42" s="792">
        <f>IF(C$4="forecast",AVERAGE(#REF!),SUMIF('Dept. Cost Actuals'!$E$7:$E$176,"*Liscenses and Permits*",'Dept. Cost Actuals'!G$181:G$350))</f>
        <v>0</v>
      </c>
      <c r="D42" s="792">
        <f>IF(D$4="forecast",AVERAGE(#REF!),SUMIF('Dept. Cost Actuals'!$E$7:$E$176,"*Liscenses and Permits*",'Dept. Cost Actuals'!H$181:H$350))</f>
        <v>0</v>
      </c>
      <c r="E42" s="792">
        <f>IF(E$4="forecast",AVERAGE(#REF!),SUMIF('Dept. Cost Actuals'!$E$7:$E$176,"*Liscenses and Permits*",'Dept. Cost Actuals'!I$181:I$350))</f>
        <v>0</v>
      </c>
      <c r="F42" s="792">
        <f>IF(F$4="forecast",AVERAGE(#REF!),SUMIF('Dept. Cost Actuals'!$E$7:$E$176,"*Liscenses and Permits*",'Dept. Cost Actuals'!J$181:J$350))</f>
        <v>0</v>
      </c>
      <c r="G42" s="792">
        <f>IF(G$4="forecast",AVERAGE(#REF!),SUMIF('Dept. Cost Actuals'!$E$7:$E$176,"*Liscenses and Permits*",'Dept. Cost Actuals'!K$181:K$350))</f>
        <v>0</v>
      </c>
      <c r="H42" s="792">
        <f>IF(H$4="forecast",AVERAGE(#REF!),SUMIF('Dept. Cost Actuals'!$E$7:$E$176,"*Liscenses and Permits*",'Dept. Cost Actuals'!L$181:L$350))</f>
        <v>0</v>
      </c>
      <c r="I42" s="792">
        <f>IF(I$4="forecast",AVERAGE(#REF!),SUMIF('Dept. Cost Actuals'!$E$7:$E$176,"*Liscenses and Permits*",'Dept. Cost Actuals'!M$181:M$350))</f>
        <v>0</v>
      </c>
      <c r="J42" s="792">
        <f>IF(J$4="forecast",AVERAGE(#REF!),SUMIF('Dept. Cost Actuals'!$E$7:$E$176,"*Liscenses and Permits*",'Dept. Cost Actuals'!N$181:N$350))</f>
        <v>0</v>
      </c>
      <c r="K42" s="792">
        <f>IF(K$4="forecast",AVERAGE(#REF!),SUMIF('Dept. Cost Actuals'!$E$7:$E$176,"*Liscenses and Permits*",'Dept. Cost Actuals'!O$181:O$350))</f>
        <v>0</v>
      </c>
      <c r="L42" s="792">
        <f>IF(L$4="forecast",AVERAGE(#REF!),SUMIF('Dept. Cost Actuals'!$E$7:$E$176,"*Liscenses and Permits*",'Dept. Cost Actuals'!P$181:P$350))</f>
        <v>0</v>
      </c>
      <c r="M42" s="792">
        <f>IF(M$4="forecast",AVERAGE(A42:L42),SUMIF('Dept. Cost Actuals'!$E$7:$E$176,"*Liscenses and Permits*",'Dept. Cost Actuals'!Q$181:Q$350))</f>
        <v>0</v>
      </c>
      <c r="N42" s="792">
        <f>IF(N$4="forecast",AVERAGE(B42:M42),SUMIF('Dept. Cost Actuals'!$E$7:$E$176,"*Liscenses and Permits*",'Dept. Cost Actuals'!R$181:R$350))</f>
        <v>0</v>
      </c>
      <c r="O42" s="792">
        <f>IF(O$4="forecast",AVERAGE(C42:N42),SUMIF('Dept. Cost Actuals'!$E$7:$E$176,"*Liscenses and Permits*",'Dept. Cost Actuals'!S$181:S$350))</f>
        <v>0</v>
      </c>
      <c r="P42" s="792">
        <f>IF(P$4="forecast",AVERAGE(D42:O42),SUMIF('Dept. Cost Actuals'!$E$7:$E$176,"*Liscenses and Permits*",'Dept. Cost Actuals'!T$181:T$350))</f>
        <v>0</v>
      </c>
      <c r="Q42" s="792">
        <f>IF(Q$4="forecast",AVERAGE(E42:P42),SUMIF('Dept. Cost Actuals'!$E$7:$E$176,"*Liscenses and Permits*",'Dept. Cost Actuals'!U$181:U$350))</f>
        <v>0</v>
      </c>
      <c r="R42" s="792">
        <f>IF(R$4="forecast",AVERAGE(F42:Q42),SUMIF('Dept. Cost Actuals'!$E$7:$E$176,"*Liscenses and Permits*",'Dept. Cost Actuals'!V$181:V$350))</f>
        <v>0</v>
      </c>
      <c r="S42" s="792">
        <f>IF(S$4="forecast",AVERAGE(G42:R42),SUMIF('Dept. Cost Actuals'!$E$7:$E$176,"*Liscenses and Permits*",'Dept. Cost Actuals'!W$181:W$350))</f>
        <v>0</v>
      </c>
      <c r="T42" s="792">
        <f>IF(T$4="forecast",AVERAGE(H42:S42),SUMIF('Dept. Cost Actuals'!$E$7:$E$176,"*Liscenses and Permits*",'Dept. Cost Actuals'!X$181:X$350))</f>
        <v>0</v>
      </c>
      <c r="U42" s="792">
        <f>IF(U$4="forecast",AVERAGE(I42:T42),SUMIF('Dept. Cost Actuals'!$E$7:$E$176,"*Liscenses and Permits*",'Dept. Cost Actuals'!Y$181:Y$350))</f>
        <v>0</v>
      </c>
      <c r="V42" s="792">
        <f>IF(V$4="forecast",AVERAGE(J42:U42),SUMIF('Dept. Cost Actuals'!$E$7:$E$176,"*Liscenses and Permits*",'Dept. Cost Actuals'!Z$181:Z$350))</f>
        <v>0</v>
      </c>
      <c r="W42" s="792">
        <f>IF(W$4="forecast",AVERAGE(K42:V42),SUMIF('Dept. Cost Actuals'!$E$7:$E$176,"*Liscenses and Permits*",'Dept. Cost Actuals'!AA$181:AA$350))</f>
        <v>0</v>
      </c>
      <c r="X42" s="792">
        <f>IF(X$4="forecast",AVERAGE(L42:W42),SUMIF('Dept. Cost Actuals'!$E$7:$E$176,"*Liscenses and Permits*",'Dept. Cost Actuals'!AB$181:AB$350))</f>
        <v>0</v>
      </c>
      <c r="Y42" s="792">
        <f>IF(Y$4="forecast",AVERAGE(M42:X42),SUMIF('Dept. Cost Actuals'!$E$7:$E$176,"*Liscenses and Permits*",'Dept. Cost Actuals'!AC$181:AC$350))</f>
        <v>0</v>
      </c>
      <c r="Z42" s="792">
        <f>IF(Z$4="forecast",AVERAGE(N42:Y42),SUMIF('Dept. Cost Actuals'!$E$7:$E$176,"*Liscenses and Permits*",'Dept. Cost Actuals'!AD$181:AD$350))</f>
        <v>0</v>
      </c>
      <c r="AA42" s="792">
        <f>IF(AA$4="forecast",AVERAGE(O42:Z42),SUMIF('Dept. Cost Actuals'!$E$7:$E$176,"*Liscenses and Permits*",'Dept. Cost Actuals'!AE$181:AE$350))</f>
        <v>0</v>
      </c>
      <c r="AB42" s="792">
        <f>IF(AB$4="forecast",AVERAGE(P42:AA42),SUMIF('Dept. Cost Actuals'!$E$7:$E$176,"*Liscenses and Permits*",'Dept. Cost Actuals'!AF$181:AF$350))</f>
        <v>0</v>
      </c>
      <c r="AC42" s="792">
        <f>IF(AC$4="forecast",AVERAGE(Q42:AB42),SUMIF('Dept. Cost Actuals'!$E$7:$E$176,"*Liscenses and Permits*",'Dept. Cost Actuals'!AG$181:AG$350))</f>
        <v>0</v>
      </c>
      <c r="AD42" s="792">
        <f>IF(AD$4="forecast",AVERAGE(R42:AC42),SUMIF('Dept. Cost Actuals'!$E$7:$E$176,"*Liscenses and Permits*",'Dept. Cost Actuals'!AH$181:AH$350))</f>
        <v>0</v>
      </c>
      <c r="AE42" s="792">
        <f>IF(AE$4="forecast",AVERAGE(S42:AD42),SUMIF('Dept. Cost Actuals'!$E$7:$E$176,"*Liscenses and Permits*",'Dept. Cost Actuals'!AI$181:AI$350))</f>
        <v>0</v>
      </c>
      <c r="AF42" s="792">
        <f>IF(AF$4="forecast",AVERAGE(T42:AE42),SUMIF('Dept. Cost Actuals'!$E$7:$E$176,"*Liscenses and Permits*",'Dept. Cost Actuals'!AJ$181:AJ$350))</f>
        <v>0</v>
      </c>
      <c r="AG42" s="792">
        <f>IF(AG$4="forecast",AVERAGE(U42:AF42),SUMIF('Dept. Cost Actuals'!$E$7:$E$176,"*Liscenses and Permits*",'Dept. Cost Actuals'!AK$181:AK$350))</f>
        <v>0</v>
      </c>
      <c r="AH42" s="792">
        <f>IF(AH$4="forecast",AVERAGE(V42:AG42),SUMIF('Dept. Cost Actuals'!$E$7:$E$176,"*Liscenses and Permits*",'Dept. Cost Actuals'!AL$181:AL$350))</f>
        <v>0</v>
      </c>
      <c r="AI42" s="792">
        <f>IF(AI$4="forecast",AVERAGE(W42:AH42),SUMIF('Dept. Cost Actuals'!$E$7:$E$176,"*Liscenses and Permits*",'Dept. Cost Actuals'!AM$181:AM$350))</f>
        <v>0</v>
      </c>
      <c r="AJ42" s="792">
        <f>IF(AJ$4="forecast",AVERAGE(X42:AI42),SUMIF('Dept. Cost Actuals'!$E$7:$E$176,"*Liscenses and Permits*",'Dept. Cost Actuals'!AN$181:AN$350))</f>
        <v>0</v>
      </c>
      <c r="AK42" s="792">
        <f>IF(AK$4="forecast",AVERAGE(Y42:AJ42),SUMIF('Dept. Cost Actuals'!$E$7:$E$176,"*Liscenses and Permits*",'Dept. Cost Actuals'!AO$181:AO$350))</f>
        <v>0</v>
      </c>
      <c r="AL42" s="792">
        <f>IF(AL$4="forecast",AVERAGE(Z42:AK42),SUMIF('Dept. Cost Actuals'!$E$7:$E$176,"*Liscenses and Permits*",'Dept. Cost Actuals'!AP$181:AP$350))</f>
        <v>0</v>
      </c>
      <c r="AM42" s="792">
        <f>IF(AM$4="forecast",AVERAGE(AA42:AL42),SUMIF('Dept. Cost Actuals'!$E$7:$E$176,"*Liscenses and Permits*",'Dept. Cost Actuals'!AQ$181:AQ$350))</f>
        <v>0</v>
      </c>
      <c r="AN42" s="792">
        <f>IF(AN$4="forecast",AVERAGE(AB42:AM42),SUMIF('Dept. Cost Actuals'!$E$7:$E$176,"*Liscenses and Permits*",'Dept. Cost Actuals'!AR$181:AR$350))</f>
        <v>0</v>
      </c>
      <c r="AO42" s="792">
        <f>IF(AO$4="forecast",AVERAGE(AC42:AN42),SUMIF('Dept. Cost Actuals'!$E$7:$E$176,"*Liscenses and Permits*",'Dept. Cost Actuals'!AS$181:AS$350))</f>
        <v>0</v>
      </c>
      <c r="AP42" s="792">
        <f>IF(AP$4="forecast",AVERAGE(AD42:AO42),SUMIF('Dept. Cost Actuals'!$E$7:$E$176,"*Liscenses and Permits*",'Dept. Cost Actuals'!AT$181:AT$350))</f>
        <v>0</v>
      </c>
      <c r="AQ42" s="792">
        <f>IF(AQ$4="forecast",AVERAGE(AE42:AP42),SUMIF('Dept. Cost Actuals'!$E$7:$E$176,"*Liscenses and Permits*",'Dept. Cost Actuals'!AU$181:AU$350))</f>
        <v>0</v>
      </c>
      <c r="AR42" s="792">
        <f>IF(AR$4="forecast",AVERAGE(AF42:AQ42),SUMIF('Dept. Cost Actuals'!$E$7:$E$176,"*Liscenses and Permits*",'Dept. Cost Actuals'!AV$181:AV$350))</f>
        <v>0</v>
      </c>
      <c r="AS42" s="792">
        <f>IF(AS$4="forecast",AVERAGE(AG42:AR42),SUMIF('Dept. Cost Actuals'!$E$7:$E$176,"*Liscenses and Permits*",'Dept. Cost Actuals'!AW$181:AW$350))</f>
        <v>0</v>
      </c>
      <c r="AT42" s="792">
        <f>IF(AT$4="forecast",AVERAGE(AH42:AS42),SUMIF('Dept. Cost Actuals'!$E$7:$E$176,"*Liscenses and Permits*",'Dept. Cost Actuals'!AX$181:AX$350))</f>
        <v>0</v>
      </c>
      <c r="AU42" s="792">
        <f>IF(AU$4="forecast",AVERAGE(AI42:AT42),SUMIF('Dept. Cost Actuals'!$E$7:$E$176,"*Liscenses and Permits*",'Dept. Cost Actuals'!AY$181:AY$350))</f>
        <v>0</v>
      </c>
      <c r="AV42" s="792">
        <f>IF(AV$4="forecast",AVERAGE(AJ42:AU42),SUMIF('Dept. Cost Actuals'!$E$7:$E$176,"*Liscenses and Permits*",'Dept. Cost Actuals'!AZ$181:AZ$350))</f>
        <v>0</v>
      </c>
      <c r="AW42" s="792">
        <f>IF(AW$4="forecast",AVERAGE(AK42:AV42),SUMIF('Dept. Cost Actuals'!$E$7:$E$176,"*Liscenses and Permits*",'Dept. Cost Actuals'!BA$181:BA$350))</f>
        <v>0</v>
      </c>
      <c r="AX42" s="792">
        <f>IF(AX$4="forecast",AVERAGE(AL42:AW42),SUMIF('Dept. Cost Actuals'!$E$7:$E$176,"*Liscenses and Permits*",'Dept. Cost Actuals'!BB$181:BB$350))</f>
        <v>0</v>
      </c>
      <c r="AY42" s="792">
        <f>IF(AY$4="forecast",AVERAGE(AM42:AX42),SUMIF('Dept. Cost Actuals'!$E$7:$E$176,"*Liscenses and Permits*",'Dept. Cost Actuals'!BC$181:BC$350))</f>
        <v>0</v>
      </c>
      <c r="AZ42" s="792">
        <f>IF(AZ$4="forecast",AVERAGE(AN42:AY42),SUMIF('Dept. Cost Actuals'!$E$7:$E$176,"*Liscenses and Permits*",'Dept. Cost Actuals'!BD$181:BD$350))</f>
        <v>0</v>
      </c>
      <c r="BA42" s="792">
        <f>IF(BA$4="forecast",AVERAGE(AO42:AZ42),SUMIF('Dept. Cost Actuals'!$E$7:$E$176,"*Liscenses and Permits*",'Dept. Cost Actuals'!BE$181:BE$350))</f>
        <v>0</v>
      </c>
      <c r="BB42" s="792">
        <f>IF(BB$4="forecast",AVERAGE(AP42:BA42),SUMIF('Dept. Cost Actuals'!$E$7:$E$176,"*Liscenses and Permits*",'Dept. Cost Actuals'!BF$181:BF$350))</f>
        <v>0</v>
      </c>
      <c r="BC42" s="792">
        <f>IF(BC$4="forecast",AVERAGE(AQ42:BB42),SUMIF('Dept. Cost Actuals'!$E$7:$E$176,"*Liscenses and Permits*",'Dept. Cost Actuals'!BG$181:BG$350))</f>
        <v>0</v>
      </c>
      <c r="BD42" s="792">
        <f>IF(BD$4="forecast",AVERAGE(AR42:BC42),SUMIF('Dept. Cost Actuals'!$E$7:$E$176,"*Liscenses and Permits*",'Dept. Cost Actuals'!BH$181:BH$350))</f>
        <v>0</v>
      </c>
      <c r="BE42" s="792">
        <f>IF(BE$4="forecast",AVERAGE(AS42:BD42),SUMIF('Dept. Cost Actuals'!$E$7:$E$176,"*Liscenses and Permits*",'Dept. Cost Actuals'!BI$181:BI$350))</f>
        <v>0</v>
      </c>
      <c r="BF42" s="792">
        <f>IF(BF$4="forecast",AVERAGE(AT42:BE42),SUMIF('Dept. Cost Actuals'!$E$7:$E$176,"*Liscenses and Permits*",'Dept. Cost Actuals'!BJ$181:BJ$350))</f>
        <v>0</v>
      </c>
      <c r="BG42" s="792">
        <f>IF(BG$4="forecast",AVERAGE(AU42:BF42),SUMIF('Dept. Cost Actuals'!$E$7:$E$176,"*Liscenses and Permits*",'Dept. Cost Actuals'!BK$181:BK$350))</f>
        <v>0</v>
      </c>
      <c r="BH42" s="792">
        <f>IF(BH$4="forecast",AVERAGE(AV42:BG42),SUMIF('Dept. Cost Actuals'!$E$7:$E$176,"*Liscenses and Permits*",'Dept. Cost Actuals'!BL$181:BL$350))</f>
        <v>0</v>
      </c>
      <c r="BI42" s="792">
        <f>IF(BI$4="forecast",AVERAGE(AW42:BH42),SUMIF('Dept. Cost Actuals'!$E$7:$E$176,"*Liscenses and Permits*",'Dept. Cost Actuals'!BM$181:BM$350))</f>
        <v>0</v>
      </c>
      <c r="BJ42" s="792">
        <f>IF(BJ$4="forecast",AVERAGE(AX42:BI42),SUMIF('Dept. Cost Actuals'!$E$7:$E$176,"*Liscenses and Permits*",'Dept. Cost Actuals'!BN$181:BN$350))</f>
        <v>0</v>
      </c>
      <c r="BK42" s="792">
        <f>IF(BK$4="forecast",AVERAGE(AY42:BJ42),SUMIF('Dept. Cost Actuals'!$E$7:$E$176,"*Liscenses and Permits*",'Dept. Cost Actuals'!BO$181:BO$350))</f>
        <v>0</v>
      </c>
      <c r="BL42" s="792">
        <f>IF(BL$4="forecast",AVERAGE(AZ42:BK42),SUMIF('Dept. Cost Actuals'!$E$7:$E$176,"*Liscenses and Permits*",'Dept. Cost Actuals'!BP$181:BP$350))</f>
        <v>0</v>
      </c>
      <c r="BM42" s="792">
        <f>IF(BM$4="forecast",AVERAGE(BA42:BL42),SUMIF('Dept. Cost Actuals'!$E$7:$E$176,"*Liscenses and Permits*",'Dept. Cost Actuals'!BQ$181:BQ$350))</f>
        <v>0</v>
      </c>
      <c r="BN42" s="792">
        <f>IF(BN$4="forecast",AVERAGE(BB42:BM42),SUMIF('Dept. Cost Actuals'!$E$7:$E$176,"*Liscenses and Permits*",'Dept. Cost Actuals'!BR$181:BR$350))</f>
        <v>0</v>
      </c>
      <c r="BO42" s="792">
        <f>IF(BO$4="forecast",AVERAGE(BC42:BN42),SUMIF('Dept. Cost Actuals'!$E$7:$E$176,"*Liscenses and Permits*",'Dept. Cost Actuals'!BS$181:BS$350))</f>
        <v>0</v>
      </c>
      <c r="BP42" s="792">
        <f>IF(BP$4="forecast",AVERAGE(BD42:BO42),SUMIF('Dept. Cost Actuals'!$E$7:$E$176,"*Liscenses and Permits*",'Dept. Cost Actuals'!BT$181:BT$350))</f>
        <v>0</v>
      </c>
      <c r="BQ42" s="792">
        <f>IF(BQ$4="forecast",AVERAGE(BE42:BP42),SUMIF('Dept. Cost Actuals'!$E$7:$E$176,"*Liscenses and Permits*",'Dept. Cost Actuals'!BU$181:BU$350))</f>
        <v>0</v>
      </c>
      <c r="BR42" s="792">
        <f>IF(BR$4="forecast",AVERAGE(BF42:BQ42),SUMIF('Dept. Cost Actuals'!$E$7:$E$176,"*Liscenses and Permits*",'Dept. Cost Actuals'!BV$181:BV$350))</f>
        <v>0</v>
      </c>
      <c r="BS42" s="792">
        <f>IF(BS$4="forecast",AVERAGE(BG42:BR42),SUMIF('Dept. Cost Actuals'!$E$7:$E$176,"*Liscenses and Permits*",'Dept. Cost Actuals'!BW$181:BW$350))</f>
        <v>0</v>
      </c>
      <c r="BT42" s="792">
        <f>IF(BT$4="forecast",AVERAGE(BH42:BS42),SUMIF('Dept. Cost Actuals'!$E$7:$E$176,"*Liscenses and Permits*",'Dept. Cost Actuals'!BX$181:BX$350))</f>
        <v>0</v>
      </c>
      <c r="BU42" s="792">
        <f>IF(BU$4="forecast",AVERAGE(BI42:BT42),SUMIF('Dept. Cost Actuals'!$E$7:$E$176,"*Liscenses and Permits*",'Dept. Cost Actuals'!BY$181:BY$350))</f>
        <v>0</v>
      </c>
      <c r="BV42" s="798">
        <f>IF(BV$4="forecast",AVERAGE(BJ42:BU42),SUMIF('Dept. Cost Actuals'!$E$7:$E$176,"*Liscenses and Permits*",'Dept. Cost Actuals'!BZ$181:BZ$350))</f>
        <v>0</v>
      </c>
    </row>
    <row r="43" spans="2:74" x14ac:dyDescent="0.25">
      <c r="B43" s="799" t="s">
        <v>946</v>
      </c>
      <c r="C43" s="800">
        <f>SUM(C32:C42,)</f>
        <v>1207.4505364798583</v>
      </c>
      <c r="D43" s="800">
        <f t="shared" ref="D43:BO43" si="12">SUM(D32:D42,)</f>
        <v>555.71929133691572</v>
      </c>
      <c r="E43" s="800">
        <f t="shared" si="12"/>
        <v>1041.8951619730069</v>
      </c>
      <c r="F43" s="800">
        <f t="shared" si="12"/>
        <v>705.68720761563111</v>
      </c>
      <c r="G43" s="800">
        <f t="shared" si="12"/>
        <v>810.21760098598509</v>
      </c>
      <c r="H43" s="800">
        <f t="shared" si="12"/>
        <v>1317.4202585291482</v>
      </c>
      <c r="I43" s="800">
        <f t="shared" si="12"/>
        <v>1492.8481612495796</v>
      </c>
      <c r="J43" s="800">
        <f t="shared" si="12"/>
        <v>1549.7499650930806</v>
      </c>
      <c r="K43" s="800">
        <f t="shared" si="12"/>
        <v>1555.439353163172</v>
      </c>
      <c r="L43" s="800">
        <f t="shared" si="12"/>
        <v>959.77734464701621</v>
      </c>
      <c r="M43" s="800">
        <f t="shared" si="12"/>
        <v>1734.5970672272645</v>
      </c>
      <c r="N43" s="800">
        <f t="shared" si="12"/>
        <v>5768.8971085280618</v>
      </c>
      <c r="O43" s="800">
        <f t="shared" si="12"/>
        <v>11185.470000000001</v>
      </c>
      <c r="P43" s="800">
        <f t="shared" si="12"/>
        <v>16304.51</v>
      </c>
      <c r="Q43" s="800">
        <f t="shared" si="12"/>
        <v>7099.9699999999993</v>
      </c>
      <c r="R43" s="800">
        <f t="shared" si="12"/>
        <v>30629.98</v>
      </c>
      <c r="S43" s="800">
        <f t="shared" si="12"/>
        <v>13501.81</v>
      </c>
      <c r="T43" s="800">
        <f t="shared" si="12"/>
        <v>17075.22</v>
      </c>
      <c r="U43" s="800">
        <f t="shared" si="12"/>
        <v>16093.67</v>
      </c>
      <c r="V43" s="800">
        <f t="shared" si="12"/>
        <v>15891.4</v>
      </c>
      <c r="W43" s="800">
        <f t="shared" si="12"/>
        <v>22077.510000000002</v>
      </c>
      <c r="X43" s="800">
        <f t="shared" si="12"/>
        <v>17809.39</v>
      </c>
      <c r="Y43" s="800">
        <f t="shared" si="12"/>
        <v>23826.55</v>
      </c>
      <c r="Z43" s="800">
        <f t="shared" si="12"/>
        <v>13869.98</v>
      </c>
      <c r="AA43" s="800">
        <f t="shared" si="12"/>
        <v>14791.58</v>
      </c>
      <c r="AB43" s="800">
        <f t="shared" si="12"/>
        <v>25280.7</v>
      </c>
      <c r="AC43" s="800">
        <f t="shared" si="12"/>
        <v>23480.32</v>
      </c>
      <c r="AD43" s="800">
        <f t="shared" si="12"/>
        <v>20678.666666666668</v>
      </c>
      <c r="AE43" s="800">
        <f t="shared" si="12"/>
        <v>20678.666666666668</v>
      </c>
      <c r="AF43" s="800">
        <f t="shared" si="12"/>
        <v>20678.666666666668</v>
      </c>
      <c r="AG43" s="800">
        <f t="shared" si="12"/>
        <v>20678.666666666668</v>
      </c>
      <c r="AH43" s="800">
        <f t="shared" si="12"/>
        <v>20678.666666666668</v>
      </c>
      <c r="AI43" s="800">
        <f t="shared" si="12"/>
        <v>20678.666666666668</v>
      </c>
      <c r="AJ43" s="800">
        <f t="shared" si="12"/>
        <v>20678.666666666668</v>
      </c>
      <c r="AK43" s="800">
        <f t="shared" si="12"/>
        <v>20678.666666666668</v>
      </c>
      <c r="AL43" s="800">
        <f t="shared" si="12"/>
        <v>20978.666666666668</v>
      </c>
      <c r="AM43" s="800">
        <f t="shared" si="12"/>
        <v>185720</v>
      </c>
      <c r="AN43" s="800">
        <f t="shared" si="12"/>
        <v>4200</v>
      </c>
      <c r="AO43" s="800">
        <f t="shared" si="12"/>
        <v>4200</v>
      </c>
      <c r="AP43" s="800">
        <f t="shared" si="12"/>
        <v>4200</v>
      </c>
      <c r="AQ43" s="800">
        <f t="shared" si="12"/>
        <v>4200</v>
      </c>
      <c r="AR43" s="800">
        <f t="shared" si="12"/>
        <v>4200</v>
      </c>
      <c r="AS43" s="800">
        <f t="shared" si="12"/>
        <v>4200</v>
      </c>
      <c r="AT43" s="800">
        <f t="shared" si="12"/>
        <v>4200</v>
      </c>
      <c r="AU43" s="800">
        <f t="shared" si="12"/>
        <v>4200</v>
      </c>
      <c r="AV43" s="800">
        <f t="shared" si="12"/>
        <v>4200</v>
      </c>
      <c r="AW43" s="800">
        <f t="shared" si="12"/>
        <v>4200</v>
      </c>
      <c r="AX43" s="800">
        <f t="shared" si="12"/>
        <v>4200</v>
      </c>
      <c r="AY43" s="800">
        <f t="shared" si="12"/>
        <v>4200</v>
      </c>
      <c r="AZ43" s="800">
        <f t="shared" si="12"/>
        <v>4200</v>
      </c>
      <c r="BA43" s="800">
        <f t="shared" si="12"/>
        <v>4200</v>
      </c>
      <c r="BB43" s="800">
        <f t="shared" si="12"/>
        <v>4200</v>
      </c>
      <c r="BC43" s="800">
        <f t="shared" si="12"/>
        <v>4200</v>
      </c>
      <c r="BD43" s="800">
        <f t="shared" si="12"/>
        <v>4200</v>
      </c>
      <c r="BE43" s="800">
        <f t="shared" si="12"/>
        <v>4200</v>
      </c>
      <c r="BF43" s="800">
        <f t="shared" si="12"/>
        <v>4200</v>
      </c>
      <c r="BG43" s="800">
        <f t="shared" si="12"/>
        <v>4200</v>
      </c>
      <c r="BH43" s="800">
        <f t="shared" si="12"/>
        <v>4200</v>
      </c>
      <c r="BI43" s="800">
        <f t="shared" si="12"/>
        <v>4200</v>
      </c>
      <c r="BJ43" s="800">
        <f t="shared" si="12"/>
        <v>4200</v>
      </c>
      <c r="BK43" s="800">
        <f t="shared" si="12"/>
        <v>4200</v>
      </c>
      <c r="BL43" s="800">
        <f t="shared" si="12"/>
        <v>4200</v>
      </c>
      <c r="BM43" s="800">
        <f t="shared" si="12"/>
        <v>4200</v>
      </c>
      <c r="BN43" s="800">
        <f t="shared" si="12"/>
        <v>4200</v>
      </c>
      <c r="BO43" s="800">
        <f t="shared" si="12"/>
        <v>4200</v>
      </c>
      <c r="BP43" s="800">
        <f t="shared" ref="BP43:BV43" si="13">SUM(BP32:BP42,)</f>
        <v>4200</v>
      </c>
      <c r="BQ43" s="800">
        <f t="shared" si="13"/>
        <v>4200</v>
      </c>
      <c r="BR43" s="800">
        <f t="shared" si="13"/>
        <v>4200</v>
      </c>
      <c r="BS43" s="800">
        <f t="shared" si="13"/>
        <v>4200</v>
      </c>
      <c r="BT43" s="800">
        <f t="shared" si="13"/>
        <v>4200</v>
      </c>
      <c r="BU43" s="800">
        <f t="shared" si="13"/>
        <v>4200</v>
      </c>
      <c r="BV43" s="800">
        <f t="shared" si="13"/>
        <v>4200</v>
      </c>
    </row>
    <row r="44" spans="2:74" x14ac:dyDescent="0.25">
      <c r="B44" s="852"/>
      <c r="C44" s="1166"/>
      <c r="D44" s="1166"/>
      <c r="E44" s="1166"/>
      <c r="F44" s="1166"/>
      <c r="G44" s="1166"/>
      <c r="H44" s="1166"/>
      <c r="I44" s="1166"/>
      <c r="J44" s="1166"/>
      <c r="K44" s="1166"/>
      <c r="L44" s="1166"/>
      <c r="M44" s="1166"/>
      <c r="N44" s="1166"/>
      <c r="O44" s="1166"/>
      <c r="P44" s="1166"/>
      <c r="Q44" s="1166"/>
      <c r="R44" s="1166"/>
      <c r="S44" s="1166"/>
      <c r="T44" s="1166"/>
      <c r="U44" s="1166"/>
      <c r="V44" s="1166"/>
      <c r="W44" s="1166"/>
      <c r="X44" s="1166"/>
      <c r="Y44" s="1166"/>
      <c r="Z44" s="1166"/>
      <c r="AA44" s="1166"/>
      <c r="AB44" s="1166"/>
      <c r="AC44" s="1166"/>
      <c r="AD44" s="1166"/>
      <c r="AE44" s="1166"/>
      <c r="AF44" s="1166"/>
      <c r="AG44" s="1166"/>
      <c r="AH44" s="1166"/>
      <c r="AI44" s="1166"/>
      <c r="AJ44" s="1166"/>
      <c r="AK44" s="1166"/>
      <c r="AL44" s="1166"/>
      <c r="AM44" s="1166"/>
      <c r="AN44" s="1166"/>
      <c r="AO44" s="1166"/>
      <c r="AP44" s="1166"/>
      <c r="AQ44" s="1166"/>
      <c r="AR44" s="1166"/>
      <c r="AS44" s="1166"/>
      <c r="AT44" s="1166"/>
      <c r="AU44" s="1166"/>
      <c r="AV44" s="1166"/>
      <c r="AW44" s="1166"/>
      <c r="AX44" s="1166"/>
      <c r="AY44" s="1166"/>
      <c r="AZ44" s="1166"/>
      <c r="BA44" s="1166"/>
      <c r="BB44" s="1166"/>
      <c r="BC44" s="1166"/>
      <c r="BD44" s="1166"/>
      <c r="BE44" s="1166"/>
      <c r="BF44" s="1166"/>
      <c r="BG44" s="1166"/>
      <c r="BH44" s="1166"/>
      <c r="BI44" s="1166"/>
      <c r="BJ44" s="1166"/>
      <c r="BK44" s="1166"/>
      <c r="BL44" s="1166"/>
      <c r="BM44" s="1166"/>
      <c r="BN44" s="1166"/>
      <c r="BO44" s="1166"/>
      <c r="BP44" s="1166"/>
      <c r="BQ44" s="1166"/>
      <c r="BR44" s="1166"/>
      <c r="BS44" s="1166"/>
      <c r="BT44" s="1166"/>
      <c r="BU44" s="1166"/>
      <c r="BV44" s="853"/>
    </row>
    <row r="45" spans="2:74" x14ac:dyDescent="0.25">
      <c r="B45" s="785" t="s">
        <v>1060</v>
      </c>
      <c r="C45" s="786"/>
      <c r="D45" s="786"/>
      <c r="E45" s="786"/>
      <c r="F45" s="786"/>
      <c r="G45" s="786"/>
      <c r="H45" s="786"/>
      <c r="I45" s="786"/>
      <c r="J45" s="786"/>
      <c r="K45" s="786"/>
      <c r="L45" s="786"/>
      <c r="M45" s="786"/>
      <c r="N45" s="786"/>
      <c r="O45" s="787"/>
      <c r="P45" s="787"/>
      <c r="Q45" s="787"/>
      <c r="R45" s="787"/>
      <c r="S45" s="787"/>
      <c r="T45" s="787"/>
      <c r="U45" s="787"/>
      <c r="V45" s="787"/>
      <c r="W45" s="787"/>
      <c r="X45" s="787"/>
      <c r="Y45" s="787"/>
      <c r="Z45" s="787"/>
      <c r="AA45" s="787"/>
      <c r="AB45" s="787"/>
      <c r="AC45" s="787"/>
      <c r="AD45" s="787"/>
      <c r="AE45" s="787"/>
      <c r="AF45" s="787"/>
      <c r="AG45" s="787"/>
      <c r="AH45" s="787"/>
      <c r="AI45" s="787"/>
      <c r="AJ45" s="787"/>
      <c r="AK45" s="787"/>
      <c r="AL45" s="787"/>
      <c r="AM45" s="787"/>
      <c r="AN45" s="787"/>
      <c r="AO45" s="787"/>
      <c r="AP45" s="787"/>
      <c r="AQ45" s="787"/>
      <c r="AR45" s="787"/>
      <c r="AS45" s="787"/>
      <c r="AT45" s="787"/>
      <c r="AU45" s="787"/>
      <c r="AV45" s="787"/>
      <c r="AW45" s="787"/>
      <c r="AX45" s="787"/>
      <c r="AY45" s="787"/>
      <c r="AZ45" s="787"/>
      <c r="BA45" s="787"/>
      <c r="BB45" s="787"/>
      <c r="BC45" s="787"/>
      <c r="BD45" s="787"/>
      <c r="BE45" s="787"/>
      <c r="BF45" s="787"/>
      <c r="BG45" s="787"/>
      <c r="BH45" s="787"/>
      <c r="BI45" s="787"/>
      <c r="BJ45" s="787"/>
      <c r="BK45" s="787"/>
      <c r="BL45" s="787"/>
      <c r="BM45" s="787"/>
      <c r="BN45" s="787"/>
      <c r="BO45" s="787"/>
      <c r="BP45" s="787"/>
      <c r="BQ45" s="787"/>
      <c r="BR45" s="787"/>
      <c r="BS45" s="787"/>
      <c r="BT45" s="787"/>
      <c r="BU45" s="787"/>
      <c r="BV45" s="788"/>
    </row>
    <row r="46" spans="2:74" x14ac:dyDescent="0.25">
      <c r="B46" s="854" t="s">
        <v>708</v>
      </c>
      <c r="C46" s="668">
        <f>IF(C$4="forecast",SUMIFS(Planning_Mkt!#REF!,Planning_Mkt!$B$5:$B$133,"Sales Conferences and Events"),SUMIF('Dept. Cost Actuals'!$E$7:$E$176,"*Conferences*",'Dept. Cost Actuals'!G$181:G$350))</f>
        <v>0</v>
      </c>
      <c r="D46" s="668">
        <f>IF(D$4="forecast",SUMIFS(Planning_Mkt!#REF!,Planning_Mkt!$B$5:$B$133,"Sales Conferences and Events"),SUMIF('Dept. Cost Actuals'!$E$7:$E$176,"*Conferences*",'Dept. Cost Actuals'!H$181:H$350))</f>
        <v>0</v>
      </c>
      <c r="E46" s="668">
        <f>IF(E$4="forecast",SUMIFS(Planning_Mkt!#REF!,Planning_Mkt!$B$5:$B$133,"Sales Conferences and Events"),SUMIF('Dept. Cost Actuals'!$E$7:$E$176,"*Conferences*",'Dept. Cost Actuals'!I$181:I$350))</f>
        <v>0</v>
      </c>
      <c r="F46" s="668">
        <f>IF(F$4="forecast",SUMIFS(Planning_Mkt!#REF!,Planning_Mkt!$B$5:$B$133,"Sales Conferences and Events"),SUMIF('Dept. Cost Actuals'!$E$7:$E$176,"*Conferences*",'Dept. Cost Actuals'!J$181:J$350))</f>
        <v>0</v>
      </c>
      <c r="G46" s="668">
        <f>IF(G$4="forecast",SUMIFS(Planning_Mkt!#REF!,Planning_Mkt!$B$5:$B$133,"Sales Conferences and Events"),SUMIF('Dept. Cost Actuals'!$E$7:$E$176,"*Conferences*",'Dept. Cost Actuals'!K$181:K$350))</f>
        <v>0</v>
      </c>
      <c r="H46" s="668">
        <f>IF(H$4="forecast",SUMIFS(Planning_Mkt!#REF!,Planning_Mkt!$B$5:$B$133,"Sales Conferences and Events"),SUMIF('Dept. Cost Actuals'!$E$7:$E$176,"*Conferences*",'Dept. Cost Actuals'!L$181:L$350))</f>
        <v>0</v>
      </c>
      <c r="I46" s="668">
        <f>IF(I$4="forecast",SUMIFS(Planning_Mkt!#REF!,Planning_Mkt!$B$5:$B$133,"Sales Conferences and Events"),SUMIF('Dept. Cost Actuals'!$E$7:$E$176,"*Conferences*",'Dept. Cost Actuals'!M$181:M$350))</f>
        <v>44.781508495617182</v>
      </c>
      <c r="J46" s="668">
        <f>IF(J$4="forecast",SUMIFS(Planning_Mkt!#REF!,Planning_Mkt!$B$5:$B$133,"Sales Conferences and Events"),SUMIF('Dept. Cost Actuals'!$E$7:$E$176,"*Conferences*",'Dept. Cost Actuals'!N$181:N$350))</f>
        <v>0</v>
      </c>
      <c r="K46" s="668">
        <f>IF(K$4="forecast",SUMIFS(Planning_Mkt!#REF!,Planning_Mkt!$B$5:$B$133,"Sales Conferences and Events"),SUMIF('Dept. Cost Actuals'!$E$7:$E$176,"*Conferences*",'Dept. Cost Actuals'!O$181:O$350))</f>
        <v>29.37981361478559</v>
      </c>
      <c r="L46" s="668">
        <f>IF(L$4="forecast",SUMIFS(Planning_Mkt!#REF!,Planning_Mkt!$B$5:$B$133,"Sales Conferences and Events"),SUMIF('Dept. Cost Actuals'!$E$7:$E$176,"*Conferences*",'Dept. Cost Actuals'!P$181:P$350))</f>
        <v>25.582447790158994</v>
      </c>
      <c r="M46" s="668">
        <f>IF(M$4="forecast",SUMIFS(Planning_Mkt!#REF!,Planning_Mkt!$B$5:$B$133,"Sales Conferences and Events"),SUMIF('Dept. Cost Actuals'!$E$7:$E$176,"*Conferences*",'Dept. Cost Actuals'!Q$181:Q$350))</f>
        <v>0</v>
      </c>
      <c r="N46" s="668">
        <f>IF(N$4="forecast",SUMIFS(Planning_Mkt!#REF!,Planning_Mkt!$B$5:$B$133,"Sales Conferences and Events"),SUMIF('Dept. Cost Actuals'!$E$7:$E$176,"*Conferences*",'Dept. Cost Actuals'!R$181:R$350))</f>
        <v>0</v>
      </c>
      <c r="O46" s="668">
        <f>IF(O$4="forecast",SUMIFS(Planning_Mkt!#REF!,Planning_Mkt!$B$5:$B$133,"Sales Conferences and Events"),SUMIF('Dept. Cost Actuals'!$E$7:$E$176,"*Conferences*",'Dept. Cost Actuals'!S$181:S$350))</f>
        <v>2484</v>
      </c>
      <c r="P46" s="668">
        <f>IF(P$4="forecast",SUMIFS(Planning_Mkt!#REF!,Planning_Mkt!$B$5:$B$133,"Sales Conferences and Events"),SUMIF('Dept. Cost Actuals'!$E$7:$E$176,"*Conferences*",'Dept. Cost Actuals'!T$181:T$350))</f>
        <v>9363.4699999999993</v>
      </c>
      <c r="Q46" s="668">
        <f>IF(Q$4="forecast",SUMIFS(Planning_Mkt!#REF!,Planning_Mkt!$B$5:$B$133,"Sales Conferences and Events"),SUMIF('Dept. Cost Actuals'!$E$7:$E$176,"*Conferences*",'Dept. Cost Actuals'!U$181:U$350))</f>
        <v>5153.9399999999996</v>
      </c>
      <c r="R46" s="668">
        <f>IF(R$4="forecast",SUMIFS(Planning_Mkt!#REF!,Planning_Mkt!$B$5:$B$133,"Sales Conferences and Events"),SUMIF('Dept. Cost Actuals'!$E$7:$E$176,"*Conferences*",'Dept. Cost Actuals'!V$181:V$350))</f>
        <v>2760.87</v>
      </c>
      <c r="S46" s="668">
        <f>IF(S$4="forecast",SUMIFS(Planning_Mkt!#REF!,Planning_Mkt!$B$5:$B$133,"Sales Conferences and Events"),SUMIF('Dept. Cost Actuals'!$E$7:$E$176,"*Conferences*",'Dept. Cost Actuals'!W$181:W$350))</f>
        <v>2555.71</v>
      </c>
      <c r="T46" s="668">
        <f>IF(T$4="forecast",SUMIFS(Planning_Mkt!#REF!,Planning_Mkt!$B$5:$B$133,"Sales Conferences and Events"),SUMIF('Dept. Cost Actuals'!$E$7:$E$176,"*Conferences*",'Dept. Cost Actuals'!X$181:X$350))</f>
        <v>32774.410000000003</v>
      </c>
      <c r="U46" s="668">
        <f>IF(U$4="forecast",SUMIFS(Planning_Mkt!#REF!,Planning_Mkt!$B$5:$B$133,"Sales Conferences and Events"),SUMIF('Dept. Cost Actuals'!$E$7:$E$176,"*Conferences*",'Dept. Cost Actuals'!Y$181:Y$350))</f>
        <v>7038.06</v>
      </c>
      <c r="V46" s="668">
        <f>IF(V$4="forecast",SUMIFS(Planning_Mkt!#REF!,Planning_Mkt!$B$5:$B$133,"Sales Conferences and Events"),SUMIF('Dept. Cost Actuals'!$E$7:$E$176,"*Conferences*",'Dept. Cost Actuals'!Z$181:Z$350))</f>
        <v>0</v>
      </c>
      <c r="W46" s="668">
        <f>IF(W$4="forecast",SUMIFS(Planning_Mkt!#REF!,Planning_Mkt!$B$5:$B$133,"Sales Conferences and Events"),SUMIF('Dept. Cost Actuals'!$E$7:$E$176,"*Conferences*",'Dept. Cost Actuals'!AA$181:AA$350))</f>
        <v>16298.09</v>
      </c>
      <c r="X46" s="668">
        <f>IF(X$4="forecast",SUMIFS(Planning_Mkt!A$5:A$133,Planning_Mkt!$B$5:$B$133,"Sales Conferences and Events"),SUMIF('Dept. Cost Actuals'!$E$7:$E$176,"*Conferences*",'Dept. Cost Actuals'!AB$181:AB$350))</f>
        <v>0</v>
      </c>
      <c r="Y46" s="668">
        <f>IF(Y$4="forecast",SUMIFS(Planning_Mkt!B$5:B$133,Planning_Mkt!$B$5:$B$133,"Sales Conferences and Events"),SUMIF('Dept. Cost Actuals'!$E$7:$E$176,"*Conferences*",'Dept. Cost Actuals'!AC$181:AC$350))</f>
        <v>105.99</v>
      </c>
      <c r="Z46" s="668">
        <f>IF(Z$4="forecast",SUMIFS(Planning_Mkt!C$5:C$133,Planning_Mkt!$B$5:$B$133,"Sales Conferences and Events"),SUMIF('Dept. Cost Actuals'!$E$7:$E$176,"*Conferences*",'Dept. Cost Actuals'!AD$181:AD$350))</f>
        <v>0</v>
      </c>
      <c r="AA46" s="668">
        <f>IF(AA$4="forecast",SUMIFS(Planning_Mkt!D$5:D$133,Planning_Mkt!$B$5:$B$133,"Sales Conferences and Events"),SUMIF('Dept. Cost Actuals'!$E$7:$E$176,"*Conferences*",'Dept. Cost Actuals'!AE$181:AE$350))</f>
        <v>0</v>
      </c>
      <c r="AB46" s="668">
        <f>IF(AB$4="forecast",SUMIFS(Planning_Mkt!E$5:E$133,Planning_Mkt!$B$5:$B$133,"Sales Conferences and Events"),SUMIF('Dept. Cost Actuals'!$E$7:$E$176,"*Conferences*",'Dept. Cost Actuals'!AF$181:AF$350))</f>
        <v>0</v>
      </c>
      <c r="AC46" s="668">
        <f>IF(AC$4="forecast",SUMIFS(Planning_Mkt!F$5:F$133,Planning_Mkt!$B$5:$B$133,"Sales Conferences and Events"),SUMIF('Dept. Cost Actuals'!$E$7:$E$176,"*Conferences*",'Dept. Cost Actuals'!AG$181:AG$350))</f>
        <v>31655.39</v>
      </c>
      <c r="AD46" s="668">
        <f>IF(AD$4="forecast",SUMIFS(Planning_Mkt!G$5:G$133,Planning_Mkt!$B$5:$B$133,"*Conferences and Events*"),SUMIF('Dept. Cost Actuals'!$E$7:$E$176,"*Conferences*",'Dept. Cost Actuals'!AH$181:AH$350))</f>
        <v>43083.33</v>
      </c>
      <c r="AE46" s="668">
        <f>IF(AE$4="forecast",SUMIFS(Planning_Mkt!H$5:H$133,Planning_Mkt!$B$5:$B$133,"*Conferences and Events*"),SUMIF('Dept. Cost Actuals'!$E$7:$E$176,"*Conferences*",'Dept. Cost Actuals'!AI$181:AI$350))</f>
        <v>3083.33</v>
      </c>
      <c r="AF46" s="668">
        <f>IF(AF$4="forecast",SUMIFS(Planning_Mkt!I$5:I$133,Planning_Mkt!$B$5:$B$133,"*Conferences and Events*"),SUMIF('Dept. Cost Actuals'!$E$7:$E$176,"*Conferences*",'Dept. Cost Actuals'!AJ$181:AJ$350))</f>
        <v>38083.33</v>
      </c>
      <c r="AG46" s="668">
        <f>IF(AG$4="forecast",SUMIFS(Planning_Mkt!J$5:J$133,Planning_Mkt!$B$5:$B$133,"*Conferences and Events*"),SUMIF('Dept. Cost Actuals'!$E$7:$E$176,"*Conferences*",'Dept. Cost Actuals'!AK$181:AK$350))</f>
        <v>43083.33</v>
      </c>
      <c r="AH46" s="668">
        <f>IF(AH$4="forecast",SUMIFS(Planning_Mkt!K$5:K$133,Planning_Mkt!$B$5:$B$133,"*Conferences and Events*"),SUMIF('Dept. Cost Actuals'!$E$7:$E$176,"*Conferences*",'Dept. Cost Actuals'!AL$181:AL$350))</f>
        <v>3083.33</v>
      </c>
      <c r="AI46" s="668">
        <f>IF(AI$4="forecast",SUMIFS(Planning_Mkt!L$5:L$133,Planning_Mkt!$B$5:$B$133,"*Conferences and Events*"),SUMIF('Dept. Cost Actuals'!$E$7:$E$176,"*Conferences*",'Dept. Cost Actuals'!AM$181:AM$350))</f>
        <v>3083.33</v>
      </c>
      <c r="AJ46" s="668">
        <f>IF(AJ$4="forecast",SUMIFS(Planning_Mkt!M$5:M$133,Planning_Mkt!$B$5:$B$133,"*Conferences and Events*"),SUMIF('Dept. Cost Actuals'!$E$7:$E$176,"*Conferences*",'Dept. Cost Actuals'!AN$181:AN$350))</f>
        <v>43083.33</v>
      </c>
      <c r="AK46" s="668">
        <f>IF(AK$4="forecast",SUMIFS(Planning_Mkt!N$5:N$133,Planning_Mkt!$B$5:$B$133,"*Conferences and Events*"),SUMIF('Dept. Cost Actuals'!$E$7:$E$176,"*Conferences*",'Dept. Cost Actuals'!AO$181:AO$350))</f>
        <v>3083.33</v>
      </c>
      <c r="AL46" s="668">
        <f>IF(AL$4="forecast",SUMIFS(Planning_Mkt!O$5:O$133,Planning_Mkt!$B$5:$B$133,"*Conferences and Events*"),SUMIF('Dept. Cost Actuals'!$E$7:$E$176,"*Conferences*",'Dept. Cost Actuals'!AP$181:AP$350))</f>
        <v>3083.33</v>
      </c>
      <c r="AM46" s="668">
        <f>IF(AM$4="forecast",SUMIFS(Planning_Mkt!P$5:P$133,Planning_Mkt!$B$5:$B$133,"Sales Conferences and Events"),SUMIF('Dept. Cost Actuals'!$E$7:$E$176,"*Conferences*",'Dept. Cost Actuals'!AQ$181:AQ$350))</f>
        <v>21000</v>
      </c>
      <c r="AN46" s="668">
        <f>IF(AN$4="forecast",SUMIFS(Planning_Mkt!Q$5:Q$133,Planning_Mkt!$B$5:$B$133,"Sales Conferences and Events"),SUMIF('Dept. Cost Actuals'!$E$7:$E$176,"*Conferences*",'Dept. Cost Actuals'!AR$181:AR$350))</f>
        <v>0</v>
      </c>
      <c r="AO46" s="668">
        <f>IF(AO$4="forecast",SUMIFS(Planning_Mkt!R$5:R$133,Planning_Mkt!$B$5:$B$133,"Sales Conferences and Events"),SUMIF('Dept. Cost Actuals'!$E$7:$E$176,"*Conferences*",'Dept. Cost Actuals'!AS$181:AS$350))</f>
        <v>0</v>
      </c>
      <c r="AP46" s="668">
        <f>IF(AP$4="forecast",SUMIFS(Planning_Mkt!S$5:S$133,Planning_Mkt!$B$5:$B$133,"Sales Conferences and Events"),SUMIF('Dept. Cost Actuals'!$E$7:$E$176,"*Conferences*",'Dept. Cost Actuals'!AT$181:AT$350))</f>
        <v>0</v>
      </c>
      <c r="AQ46" s="668">
        <f>IF(AQ$4="forecast",SUMIFS(Planning_Mkt!T$5:T$133,Planning_Mkt!$B$5:$B$133,"Sales Conferences and Events"),SUMIF('Dept. Cost Actuals'!$E$7:$E$176,"*Conferences*",'Dept. Cost Actuals'!AU$181:AU$350))</f>
        <v>0</v>
      </c>
      <c r="AR46" s="668">
        <f>IF(AR$4="forecast",SUMIFS(Planning_Mkt!U$5:U$133,Planning_Mkt!$B$5:$B$133,"Sales Conferences and Events"),SUMIF('Dept. Cost Actuals'!$E$7:$E$176,"*Conferences*",'Dept. Cost Actuals'!AV$181:AV$350))</f>
        <v>0</v>
      </c>
      <c r="AS46" s="668">
        <f>IF(AS$4="forecast",SUMIFS(Planning_Mkt!V$5:V$133,Planning_Mkt!$B$5:$B$133,"Sales Conferences and Events"),SUMIF('Dept. Cost Actuals'!$E$7:$E$176,"*Conferences*",'Dept. Cost Actuals'!AW$181:AW$350))</f>
        <v>0</v>
      </c>
      <c r="AT46" s="668">
        <f>IF(AT$4="forecast",SUMIFS(Planning_Mkt!W$5:W$133,Planning_Mkt!$B$5:$B$133,"Sales Conferences and Events"),SUMIF('Dept. Cost Actuals'!$E$7:$E$176,"*Conferences*",'Dept. Cost Actuals'!AX$181:AX$350))</f>
        <v>0</v>
      </c>
      <c r="AU46" s="668">
        <f>IF(AU$4="forecast",SUMIFS(Planning_Mkt!X$5:X$133,Planning_Mkt!$B$5:$B$133,"Sales Conferences and Events"),SUMIF('Dept. Cost Actuals'!$E$7:$E$176,"*Conferences*",'Dept. Cost Actuals'!AY$181:AY$350))</f>
        <v>0</v>
      </c>
      <c r="AV46" s="668">
        <f>IF(AV$4="forecast",SUMIFS(Planning_Mkt!Y$5:Y$133,Planning_Mkt!$B$5:$B$133,"Sales Conferences and Events"),SUMIF('Dept. Cost Actuals'!$E$7:$E$176,"*Conferences*",'Dept. Cost Actuals'!AZ$181:AZ$350))</f>
        <v>0</v>
      </c>
      <c r="AW46" s="668">
        <f>IF(AW$4="forecast",SUMIFS(Planning_Mkt!Z$5:Z$133,Planning_Mkt!$B$5:$B$133,"Sales Conferences and Events"),SUMIF('Dept. Cost Actuals'!$E$7:$E$176,"*Conferences*",'Dept. Cost Actuals'!BA$181:BA$350))</f>
        <v>0</v>
      </c>
      <c r="AX46" s="668">
        <f>IF(AX$4="forecast",SUMIFS(Planning_Mkt!AA$5:AA$133,Planning_Mkt!$B$5:$B$133,"Sales Conferences and Events"),SUMIF('Dept. Cost Actuals'!$E$7:$E$176,"*Conferences*",'Dept. Cost Actuals'!BB$181:BB$350))</f>
        <v>0</v>
      </c>
      <c r="AY46" s="668">
        <f>IF(AY$4="forecast",SUMIFS(Planning_Mkt!AB$5:AB$133,Planning_Mkt!$B$5:$B$133,"Sales Conferences and Events"),SUMIF('Dept. Cost Actuals'!$E$7:$E$176,"*Conferences*",'Dept. Cost Actuals'!BC$181:BC$350))</f>
        <v>0</v>
      </c>
      <c r="AZ46" s="668">
        <f>IF(AZ$4="forecast",SUMIFS(Planning_Mkt!AC$5:AC$133,Planning_Mkt!$B$5:$B$133,"Sales Conferences and Events"),SUMIF('Dept. Cost Actuals'!$E$7:$E$176,"*Conferences*",'Dept. Cost Actuals'!BD$181:BD$350))</f>
        <v>0</v>
      </c>
      <c r="BA46" s="668">
        <f>IF(BA$4="forecast",SUMIFS(Planning_Mkt!AD$5:AD$133,Planning_Mkt!$B$5:$B$133,"Sales Conferences and Events"),SUMIF('Dept. Cost Actuals'!$E$7:$E$176,"*Conferences*",'Dept. Cost Actuals'!BE$181:BE$350))</f>
        <v>0</v>
      </c>
      <c r="BB46" s="668">
        <f>IF(BB$4="forecast",SUMIFS(Planning_Mkt!AE$5:AE$133,Planning_Mkt!$B$5:$B$133,"Sales Conferences and Events"),SUMIF('Dept. Cost Actuals'!$E$7:$E$176,"*Conferences*",'Dept. Cost Actuals'!BF$181:BF$350))</f>
        <v>0</v>
      </c>
      <c r="BC46" s="668">
        <f>IF(BC$4="forecast",SUMIFS(Planning_Mkt!AF$5:AF$133,Planning_Mkt!$B$5:$B$133,"Sales Conferences and Events"),SUMIF('Dept. Cost Actuals'!$E$7:$E$176,"*Conferences*",'Dept. Cost Actuals'!BG$181:BG$350))</f>
        <v>0</v>
      </c>
      <c r="BD46" s="668">
        <f>IF(BD$4="forecast",SUMIFS(Planning_Mkt!AG$5:AG$133,Planning_Mkt!$B$5:$B$133,"Sales Conferences and Events"),SUMIF('Dept. Cost Actuals'!$E$7:$E$176,"*Conferences*",'Dept. Cost Actuals'!BH$181:BH$350))</f>
        <v>0</v>
      </c>
      <c r="BE46" s="668">
        <f>IF(BE$4="forecast",SUMIFS(Planning_Mkt!AH$5:AH$133,Planning_Mkt!$B$5:$B$133,"Sales Conferences and Events"),SUMIF('Dept. Cost Actuals'!$E$7:$E$176,"*Conferences*",'Dept. Cost Actuals'!BI$181:BI$350))</f>
        <v>0</v>
      </c>
      <c r="BF46" s="668">
        <f>IF(BF$4="forecast",SUMIFS(Planning_Mkt!AI$5:AI$133,Planning_Mkt!$B$5:$B$133,"Sales Conferences and Events"),SUMIF('Dept. Cost Actuals'!$E$7:$E$176,"*Conferences*",'Dept. Cost Actuals'!BJ$181:BJ$350))</f>
        <v>0</v>
      </c>
      <c r="BG46" s="668">
        <f>IF(BG$4="forecast",SUMIFS(Planning_Mkt!AJ$5:AJ$133,Planning_Mkt!$B$5:$B$133,"Sales Conferences and Events"),SUMIF('Dept. Cost Actuals'!$E$7:$E$176,"*Conferences*",'Dept. Cost Actuals'!BK$181:BK$350))</f>
        <v>0</v>
      </c>
      <c r="BH46" s="668">
        <f>IF(BH$4="forecast",SUMIFS(Planning_Mkt!AK$5:AK$133,Planning_Mkt!$B$5:$B$133,"Sales Conferences and Events"),SUMIF('Dept. Cost Actuals'!$E$7:$E$176,"*Conferences*",'Dept. Cost Actuals'!BL$181:BL$350))</f>
        <v>0</v>
      </c>
      <c r="BI46" s="668">
        <f>IF(BI$4="forecast",SUMIFS(Planning_Mkt!AL$5:AL$133,Planning_Mkt!$B$5:$B$133,"Sales Conferences and Events"),SUMIF('Dept. Cost Actuals'!$E$7:$E$176,"*Conferences*",'Dept. Cost Actuals'!BM$181:BM$350))</f>
        <v>0</v>
      </c>
      <c r="BJ46" s="668">
        <f>IF(BJ$4="forecast",SUMIFS(Planning_Mkt!AM$5:AM$133,Planning_Mkt!$B$5:$B$133,"Sales Conferences and Events"),SUMIF('Dept. Cost Actuals'!$E$7:$E$176,"*Conferences*",'Dept. Cost Actuals'!BN$181:BN$350))</f>
        <v>0</v>
      </c>
      <c r="BK46" s="668">
        <f>IF(BK$4="forecast",SUMIFS(Planning_Mkt!AN$5:AN$133,Planning_Mkt!$B$5:$B$133,"Sales Conferences and Events"),SUMIF('Dept. Cost Actuals'!$E$7:$E$176,"*Conferences*",'Dept. Cost Actuals'!BO$181:BO$350))</f>
        <v>0</v>
      </c>
      <c r="BL46" s="668">
        <f>IF(BL$4="forecast",SUMIFS(Planning_Mkt!AO$5:AO$133,Planning_Mkt!$B$5:$B$133,"Sales Conferences and Events"),SUMIF('Dept. Cost Actuals'!$E$7:$E$176,"*Conferences*",'Dept. Cost Actuals'!BP$181:BP$350))</f>
        <v>0</v>
      </c>
      <c r="BM46" s="668">
        <f>IF(BM$4="forecast",SUMIFS(Planning_Mkt!AP$5:AP$133,Planning_Mkt!$B$5:$B$133,"Sales Conferences and Events"),SUMIF('Dept. Cost Actuals'!$E$7:$E$176,"*Conferences*",'Dept. Cost Actuals'!BQ$181:BQ$350))</f>
        <v>0</v>
      </c>
      <c r="BN46" s="668">
        <f>IF(BN$4="forecast",SUMIFS(Planning_Mkt!AQ$5:AQ$133,Planning_Mkt!$B$5:$B$133,"Sales Conferences and Events"),SUMIF('Dept. Cost Actuals'!$E$7:$E$176,"*Conferences*",'Dept. Cost Actuals'!BR$181:BR$350))</f>
        <v>0</v>
      </c>
      <c r="BO46" s="668">
        <f>IF(BO$4="forecast",SUMIFS(Planning_Mkt!AR$5:AR$133,Planning_Mkt!$B$5:$B$133,"Sales Conferences and Events"),SUMIF('Dept. Cost Actuals'!$E$7:$E$176,"*Conferences*",'Dept. Cost Actuals'!BS$181:BS$350))</f>
        <v>0</v>
      </c>
      <c r="BP46" s="668">
        <f>IF(BP$4="forecast",SUMIFS(Planning_Mkt!AS$5:AS$133,Planning_Mkt!$B$5:$B$133,"Sales Conferences and Events"),SUMIF('Dept. Cost Actuals'!$E$7:$E$176,"*Conferences*",'Dept. Cost Actuals'!BT$181:BT$350))</f>
        <v>0</v>
      </c>
      <c r="BQ46" s="668">
        <f>IF(BQ$4="forecast",SUMIFS(Planning_Mkt!AT$5:AT$133,Planning_Mkt!$B$5:$B$133,"Sales Conferences and Events"),SUMIF('Dept. Cost Actuals'!$E$7:$E$176,"*Conferences*",'Dept. Cost Actuals'!BU$181:BU$350))</f>
        <v>0</v>
      </c>
      <c r="BR46" s="668">
        <f>IF(BR$4="forecast",SUMIFS(Planning_Mkt!AU$5:AU$133,Planning_Mkt!$B$5:$B$133,"Sales Conferences and Events"),SUMIF('Dept. Cost Actuals'!$E$7:$E$176,"*Conferences*",'Dept. Cost Actuals'!BV$181:BV$350))</f>
        <v>0</v>
      </c>
      <c r="BS46" s="668">
        <f>IF(BS$4="forecast",SUMIFS(Planning_Mkt!AV$5:AV$133,Planning_Mkt!$B$5:$B$133,"Sales Conferences and Events"),SUMIF('Dept. Cost Actuals'!$E$7:$E$176,"*Conferences*",'Dept. Cost Actuals'!BW$181:BW$350))</f>
        <v>0</v>
      </c>
      <c r="BT46" s="668">
        <f>IF(BT$4="forecast",SUMIFS(Planning_Mkt!AW$5:AW$133,Planning_Mkt!$B$5:$B$133,"Sales Conferences and Events"),SUMIF('Dept. Cost Actuals'!$E$7:$E$176,"*Conferences*",'Dept. Cost Actuals'!BX$181:BX$350))</f>
        <v>0</v>
      </c>
      <c r="BU46" s="668">
        <f>IF(BU$4="forecast",SUMIFS(Planning_Mkt!AX$5:AX$133,Planning_Mkt!$B$5:$B$133,"Sales Conferences and Events"),SUMIF('Dept. Cost Actuals'!$E$7:$E$176,"*Conferences*",'Dept. Cost Actuals'!BY$181:BY$350))</f>
        <v>0</v>
      </c>
      <c r="BV46" s="668">
        <f>IF(BV$4="forecast",SUMIFS(Planning_Mkt!AY$5:AY$133,Planning_Mkt!$B$5:$B$133,"Sales Conferences and Events"),SUMIF('Dept. Cost Actuals'!$E$7:$E$176,"*Conferences*",'Dept. Cost Actuals'!BZ$181:BZ$350))</f>
        <v>0</v>
      </c>
    </row>
    <row r="47" spans="2:74" x14ac:dyDescent="0.25">
      <c r="B47" s="854" t="s">
        <v>985</v>
      </c>
      <c r="C47" s="668">
        <f>IF(C$4="forecast",SUMIFS(Planning_Mkt!#REF!,Planning_Mkt!$B$5:$B$133,"Lead Lists and Services"),SUMIF('Dept. Cost Actuals'!$E$7:$E$176,"*Lead Lists &amp; Services*",'Dept. Cost Actuals'!G$181:G$350))</f>
        <v>0</v>
      </c>
      <c r="D47" s="668">
        <f>IF(D$4="forecast",SUMIFS(Planning_Mkt!#REF!,Planning_Mkt!$B$5:$B$133,"Lead Lists and Services"),SUMIF('Dept. Cost Actuals'!$E$7:$E$176,"*Lead Lists &amp; Services*",'Dept. Cost Actuals'!H$181:H$350))</f>
        <v>0</v>
      </c>
      <c r="E47" s="668">
        <f>IF(E$4="forecast",SUMIFS(Planning_Mkt!#REF!,Planning_Mkt!$B$5:$B$133,"Lead Lists and Services"),SUMIF('Dept. Cost Actuals'!$E$7:$E$176,"*Lead Lists &amp; Services*",'Dept. Cost Actuals'!I$181:I$350))</f>
        <v>0</v>
      </c>
      <c r="F47" s="668">
        <f>IF(F$4="forecast",SUMIFS(Planning_Mkt!#REF!,Planning_Mkt!$B$5:$B$133,"Lead Lists and Services"),SUMIF('Dept. Cost Actuals'!$E$7:$E$176,"*Lead Lists &amp; Services*",'Dept. Cost Actuals'!J$181:J$350))</f>
        <v>0</v>
      </c>
      <c r="G47" s="668">
        <f>IF(G$4="forecast",SUMIFS(Planning_Mkt!#REF!,Planning_Mkt!$B$5:$B$133,"Lead Lists and Services"),SUMIF('Dept. Cost Actuals'!$E$7:$E$176,"*Lead Lists &amp; Services*",'Dept. Cost Actuals'!K$181:K$350))</f>
        <v>0</v>
      </c>
      <c r="H47" s="668">
        <f>IF(H$4="forecast",SUMIFS(Planning_Mkt!#REF!,Planning_Mkt!$B$5:$B$133,"Lead Lists and Services"),SUMIF('Dept. Cost Actuals'!$E$7:$E$176,"*Lead Lists &amp; Services*",'Dept. Cost Actuals'!L$181:L$350))</f>
        <v>0</v>
      </c>
      <c r="I47" s="668">
        <f>IF(I$4="forecast",SUMIFS(Planning_Mkt!#REF!,Planning_Mkt!$B$5:$B$133,"Lead Lists and Services"),SUMIF('Dept. Cost Actuals'!$E$7:$E$176,"*Lead Lists &amp; Services*",'Dept. Cost Actuals'!M$181:M$350))</f>
        <v>0</v>
      </c>
      <c r="J47" s="668">
        <f>IF(J$4="forecast",SUMIFS(Planning_Mkt!#REF!,Planning_Mkt!$B$5:$B$133,"Lead Lists and Services"),SUMIF('Dept. Cost Actuals'!$E$7:$E$176,"*Lead Lists &amp; Services*",'Dept. Cost Actuals'!N$181:N$350))</f>
        <v>0</v>
      </c>
      <c r="K47" s="668">
        <f>IF(K$4="forecast",SUMIFS(Planning_Mkt!#REF!,Planning_Mkt!$B$5:$B$133,"Lead Lists and Services"),SUMIF('Dept. Cost Actuals'!$E$7:$E$176,"*Lead Lists &amp; Services*",'Dept. Cost Actuals'!O$181:O$350))</f>
        <v>0</v>
      </c>
      <c r="L47" s="668">
        <f>IF(L$4="forecast",SUMIFS(Planning_Mkt!#REF!,Planning_Mkt!$B$5:$B$133,"Lead Lists and Services"),SUMIF('Dept. Cost Actuals'!$E$7:$E$176,"*Lead Lists &amp; Services*",'Dept. Cost Actuals'!P$181:P$350))</f>
        <v>0</v>
      </c>
      <c r="M47" s="668">
        <f>IF(M$4="forecast",SUMIFS(Planning_Mkt!#REF!,Planning_Mkt!$B$5:$B$133,"Lead Lists and Services"),SUMIF('Dept. Cost Actuals'!$E$7:$E$176,"*Lead Lists &amp; Services*",'Dept. Cost Actuals'!Q$181:Q$350))</f>
        <v>0</v>
      </c>
      <c r="N47" s="668">
        <f>IF(N$4="forecast",SUMIFS(Planning_Mkt!#REF!,Planning_Mkt!$B$5:$B$133,"Lead Lists and Services"),SUMIF('Dept. Cost Actuals'!$E$7:$E$176,"*Lead Lists &amp; Services*",'Dept. Cost Actuals'!R$181:R$350))</f>
        <v>0</v>
      </c>
      <c r="O47" s="668">
        <f>IF(O$4="forecast",SUMIFS(Planning_Mkt!#REF!,Planning_Mkt!$B$5:$B$133,"Lead Lists and Services"),SUMIF('Dept. Cost Actuals'!$E$7:$E$176,"*Lead Lists &amp; Services*",'Dept. Cost Actuals'!S$181:S$350))</f>
        <v>241.46</v>
      </c>
      <c r="P47" s="668">
        <f>IF(P$4="forecast",SUMIFS(Planning_Mkt!#REF!,Planning_Mkt!$B$5:$B$133,"Lead Lists and Services"),SUMIF('Dept. Cost Actuals'!$E$7:$E$176,"*Lead Lists &amp; Services*",'Dept. Cost Actuals'!T$181:T$350))</f>
        <v>241.46</v>
      </c>
      <c r="Q47" s="668">
        <f>IF(Q$4="forecast",SUMIFS(Planning_Mkt!#REF!,Planning_Mkt!$B$5:$B$133,"Lead Lists and Services"),SUMIF('Dept. Cost Actuals'!$E$7:$E$176,"*Lead Lists &amp; Services*",'Dept. Cost Actuals'!U$181:U$350))</f>
        <v>736.85</v>
      </c>
      <c r="R47" s="668">
        <f>IF(R$4="forecast",SUMIFS(Planning_Mkt!#REF!,Planning_Mkt!$B$5:$B$133,"Lead Lists and Services"),SUMIF('Dept. Cost Actuals'!$E$7:$E$176,"*Lead Lists &amp; Services*",'Dept. Cost Actuals'!V$181:V$350))</f>
        <v>13274.46</v>
      </c>
      <c r="S47" s="668">
        <f>IF(S$4="forecast",SUMIFS(Planning_Mkt!#REF!,Planning_Mkt!$B$5:$B$133,"Lead Lists and Services"),SUMIF('Dept. Cost Actuals'!$E$7:$E$176,"*Lead Lists &amp; Services*",'Dept. Cost Actuals'!W$181:W$350))</f>
        <v>3960</v>
      </c>
      <c r="T47" s="668">
        <f>IF(T$4="forecast",SUMIFS(Planning_Mkt!#REF!,Planning_Mkt!$B$5:$B$133,"Lead Lists and Services"),SUMIF('Dept. Cost Actuals'!$E$7:$E$176,"*Lead Lists &amp; Services*",'Dept. Cost Actuals'!X$181:X$350))</f>
        <v>5942.85</v>
      </c>
      <c r="U47" s="668">
        <f>IF(U$4="forecast",SUMIFS(Planning_Mkt!#REF!,Planning_Mkt!$B$5:$B$133,"Lead Lists and Services"),SUMIF('Dept. Cost Actuals'!$E$7:$E$176,"*Lead Lists &amp; Services*",'Dept. Cost Actuals'!Y$181:Y$350))</f>
        <v>8207.25</v>
      </c>
      <c r="V47" s="668">
        <f>IF(V$4="forecast",SUMIFS(Planning_Mkt!#REF!,Planning_Mkt!$B$5:$B$133,"Lead Lists and Services"),SUMIF('Dept. Cost Actuals'!$E$7:$E$176,"*Lead Lists &amp; Services*",'Dept. Cost Actuals'!Z$181:Z$350))</f>
        <v>7795.25</v>
      </c>
      <c r="W47" s="668">
        <f>IF(W$4="forecast",SUMIFS(Planning_Mkt!#REF!,Planning_Mkt!$B$5:$B$133,"Lead Lists and Services"),SUMIF('Dept. Cost Actuals'!$E$7:$E$176,"*Lead Lists &amp; Services*",'Dept. Cost Actuals'!AA$181:AA$350))</f>
        <v>4015.5</v>
      </c>
      <c r="X47" s="668">
        <f>IF(X$4="forecast",SUMIFS(Planning_Mkt!A$5:A$133,Planning_Mkt!$B$5:$B$133,"Lead Lists and Services"),SUMIF('Dept. Cost Actuals'!$E$7:$E$176,"*Lead Lists &amp; Services*",'Dept. Cost Actuals'!AB$181:AB$350))</f>
        <v>3875.5</v>
      </c>
      <c r="Y47" s="668">
        <f>IF(Y$4="forecast",SUMIFS(Planning_Mkt!B$5:B$133,Planning_Mkt!$B$5:$B$133,"Lead Lists and Services"),SUMIF('Dept. Cost Actuals'!$E$7:$E$176,"*Lead Lists &amp; Services*",'Dept. Cost Actuals'!AC$181:AC$350))</f>
        <v>3950.5</v>
      </c>
      <c r="Z47" s="668">
        <f>IF(Z$4="forecast",SUMIFS(Planning_Mkt!C$5:C$133,Planning_Mkt!$B$5:$B$133,"Lead Lists and Services"),SUMIF('Dept. Cost Actuals'!$E$7:$E$176,"*Lead Lists &amp; Services*",'Dept. Cost Actuals'!AD$181:AD$350))</f>
        <v>6727.35</v>
      </c>
      <c r="AA47" s="668">
        <f>IF(AA$4="forecast",SUMIFS(Planning_Mkt!D$5:D$133,Planning_Mkt!$B$5:$B$133,"Lead Lists and Services"),SUMIF('Dept. Cost Actuals'!$E$7:$E$176,"*Lead Lists &amp; Services*",'Dept. Cost Actuals'!AE$181:AE$350))</f>
        <v>5667.17</v>
      </c>
      <c r="AB47" s="668">
        <f>IF(AB$4="forecast",SUMIFS(Planning_Mkt!E$5:E$133,Planning_Mkt!$B$5:$B$133,"Lead Lists and Services"),SUMIF('Dept. Cost Actuals'!$E$7:$E$176,"*Lead Lists &amp; Services*",'Dept. Cost Actuals'!AF$181:AF$350))</f>
        <v>5667.17</v>
      </c>
      <c r="AC47" s="668">
        <f>IF(AC$4="forecast",SUMIFS(Planning_Mkt!F$5:F$133,Planning_Mkt!$B$5:$B$133,"Lead Lists and Services"),SUMIF('Dept. Cost Actuals'!$E$7:$E$176,"*Lead Lists &amp; Services*",'Dept. Cost Actuals'!AG$181:AG$350))</f>
        <v>5789.16</v>
      </c>
      <c r="AD47" s="668">
        <f>IF(AD$4="forecast",SUMIFS(Planning_Mkt!G$5:G$133,Planning_Mkt!$B$5:$B$133,"Lead Lists and Services"),SUMIF('Dept. Cost Actuals'!$E$7:$E$176,"*Lead Lists &amp; Services*",'Dept. Cost Actuals'!AH$181:AH$350))</f>
        <v>1035.5</v>
      </c>
      <c r="AE47" s="668">
        <f>IF(AE$4="forecast",SUMIFS(Planning_Mkt!H$5:H$133,Planning_Mkt!$B$5:$B$133,"Lead Lists and Services"),SUMIF('Dept. Cost Actuals'!$E$7:$E$176,"*Lead Lists &amp; Services*",'Dept. Cost Actuals'!AI$181:AI$350))</f>
        <v>1035.5</v>
      </c>
      <c r="AF47" s="668">
        <f>IF(AF$4="forecast",SUMIFS(Planning_Mkt!I$5:I$133,Planning_Mkt!$B$5:$B$133,"Lead Lists and Services"),SUMIF('Dept. Cost Actuals'!$E$7:$E$176,"*Lead Lists &amp; Services*",'Dept. Cost Actuals'!AJ$181:AJ$350))</f>
        <v>1035.5</v>
      </c>
      <c r="AG47" s="668">
        <f>IF(AG$4="forecast",SUMIFS(Planning_Mkt!J$5:J$133,Planning_Mkt!$B$5:$B$133,"Lead Lists and Services"),SUMIF('Dept. Cost Actuals'!$E$7:$E$176,"*Lead Lists &amp; Services*",'Dept. Cost Actuals'!AK$181:AK$350))</f>
        <v>1035.5</v>
      </c>
      <c r="AH47" s="668">
        <f>IF(AH$4="forecast",SUMIFS(Planning_Mkt!K$5:K$133,Planning_Mkt!$B$5:$B$133,"Lead Lists and Services"),SUMIF('Dept. Cost Actuals'!$E$7:$E$176,"*Lead Lists &amp; Services*",'Dept. Cost Actuals'!AL$181:AL$350))</f>
        <v>1035.5</v>
      </c>
      <c r="AI47" s="668">
        <f>IF(AI$4="forecast",SUMIFS(Planning_Mkt!L$5:L$133,Planning_Mkt!$B$5:$B$133,"Lead Lists and Services"),SUMIF('Dept. Cost Actuals'!$E$7:$E$176,"*Lead Lists &amp; Services*",'Dept. Cost Actuals'!AM$181:AM$350))</f>
        <v>1035.5</v>
      </c>
      <c r="AJ47" s="668">
        <f>IF(AJ$4="forecast",SUMIFS(Planning_Mkt!M$5:M$133,Planning_Mkt!$B$5:$B$133,"Lead Lists and Services"),SUMIF('Dept. Cost Actuals'!$E$7:$E$176,"*Lead Lists &amp; Services*",'Dept. Cost Actuals'!AN$181:AN$350))</f>
        <v>1035.5</v>
      </c>
      <c r="AK47" s="668">
        <f>IF(AK$4="forecast",SUMIFS(Planning_Mkt!N$5:N$133,Planning_Mkt!$B$5:$B$133,"Lead Lists and Services"),SUMIF('Dept. Cost Actuals'!$E$7:$E$176,"*Lead Lists &amp; Services*",'Dept. Cost Actuals'!AO$181:AO$350))</f>
        <v>1035.5</v>
      </c>
      <c r="AL47" s="668">
        <f>IF(AL$4="forecast",SUMIFS(Planning_Mkt!O$5:O$133,Planning_Mkt!$B$5:$B$133,"Lead Lists and Services"),SUMIF('Dept. Cost Actuals'!$E$7:$E$176,"*Lead Lists &amp; Services*",'Dept. Cost Actuals'!AP$181:AP$350))</f>
        <v>1035.5</v>
      </c>
      <c r="AM47" s="668">
        <f>IF(AM$4="forecast",SUMIFS(Planning_Mkt!P$5:P$133,Planning_Mkt!$B$5:$B$133,"Lead Lists and Services"),SUMIF('Dept. Cost Actuals'!$E$7:$E$176,"*Lead Lists &amp; Services*",'Dept. Cost Actuals'!AQ$181:AQ$350))</f>
        <v>11055</v>
      </c>
      <c r="AN47" s="668">
        <f>IF(AN$4="forecast",SUMIFS(Planning_Mkt!Q$5:Q$133,Planning_Mkt!$B$5:$B$133,"Lead Lists and Services"),SUMIF('Dept. Cost Actuals'!$E$7:$E$176,"*Lead Lists &amp; Services*",'Dept. Cost Actuals'!AR$181:AR$350))</f>
        <v>0</v>
      </c>
      <c r="AO47" s="668">
        <f>IF(AO$4="forecast",SUMIFS(Planning_Mkt!R$5:R$133,Planning_Mkt!$B$5:$B$133,"Lead Lists and Services"),SUMIF('Dept. Cost Actuals'!$E$7:$E$176,"*Lead Lists &amp; Services*",'Dept. Cost Actuals'!AS$181:AS$350))</f>
        <v>0</v>
      </c>
      <c r="AP47" s="668">
        <f>IF(AP$4="forecast",SUMIFS(Planning_Mkt!S$5:S$133,Planning_Mkt!$B$5:$B$133,"Lead Lists and Services"),SUMIF('Dept. Cost Actuals'!$E$7:$E$176,"*Lead Lists &amp; Services*",'Dept. Cost Actuals'!AT$181:AT$350))</f>
        <v>0</v>
      </c>
      <c r="AQ47" s="668">
        <f>IF(AQ$4="forecast",SUMIFS(Planning_Mkt!T$5:T$133,Planning_Mkt!$B$5:$B$133,"Lead Lists and Services"),SUMIF('Dept. Cost Actuals'!$E$7:$E$176,"*Lead Lists &amp; Services*",'Dept. Cost Actuals'!AU$181:AU$350))</f>
        <v>0</v>
      </c>
      <c r="AR47" s="668">
        <f>IF(AR$4="forecast",SUMIFS(Planning_Mkt!U$5:U$133,Planning_Mkt!$B$5:$B$133,"Lead Lists and Services"),SUMIF('Dept. Cost Actuals'!$E$7:$E$176,"*Lead Lists &amp; Services*",'Dept. Cost Actuals'!AV$181:AV$350))</f>
        <v>0</v>
      </c>
      <c r="AS47" s="668">
        <f>IF(AS$4="forecast",SUMIFS(Planning_Mkt!V$5:V$133,Planning_Mkt!$B$5:$B$133,"Lead Lists and Services"),SUMIF('Dept. Cost Actuals'!$E$7:$E$176,"*Lead Lists &amp; Services*",'Dept. Cost Actuals'!AW$181:AW$350))</f>
        <v>0</v>
      </c>
      <c r="AT47" s="668">
        <f>IF(AT$4="forecast",SUMIFS(Planning_Mkt!W$5:W$133,Planning_Mkt!$B$5:$B$133,"Lead Lists and Services"),SUMIF('Dept. Cost Actuals'!$E$7:$E$176,"*Lead Lists &amp; Services*",'Dept. Cost Actuals'!AX$181:AX$350))</f>
        <v>0</v>
      </c>
      <c r="AU47" s="668">
        <f>IF(AU$4="forecast",SUMIFS(Planning_Mkt!X$5:X$133,Planning_Mkt!$B$5:$B$133,"Lead Lists and Services"),SUMIF('Dept. Cost Actuals'!$E$7:$E$176,"*Lead Lists &amp; Services*",'Dept. Cost Actuals'!AY$181:AY$350))</f>
        <v>0</v>
      </c>
      <c r="AV47" s="668">
        <f>IF(AV$4="forecast",SUMIFS(Planning_Mkt!Y$5:Y$133,Planning_Mkt!$B$5:$B$133,"Lead Lists and Services"),SUMIF('Dept. Cost Actuals'!$E$7:$E$176,"*Lead Lists &amp; Services*",'Dept. Cost Actuals'!AZ$181:AZ$350))</f>
        <v>0</v>
      </c>
      <c r="AW47" s="668">
        <f>IF(AW$4="forecast",SUMIFS(Planning_Mkt!Z$5:Z$133,Planning_Mkt!$B$5:$B$133,"Lead Lists and Services"),SUMIF('Dept. Cost Actuals'!$E$7:$E$176,"*Lead Lists &amp; Services*",'Dept. Cost Actuals'!BA$181:BA$350))</f>
        <v>0</v>
      </c>
      <c r="AX47" s="668">
        <f>IF(AX$4="forecast",SUMIFS(Planning_Mkt!AA$5:AA$133,Planning_Mkt!$B$5:$B$133,"Lead Lists and Services"),SUMIF('Dept. Cost Actuals'!$E$7:$E$176,"*Lead Lists &amp; Services*",'Dept. Cost Actuals'!BB$181:BB$350))</f>
        <v>0</v>
      </c>
      <c r="AY47" s="668">
        <f>IF(AY$4="forecast",SUMIFS(Planning_Mkt!AB$5:AB$133,Planning_Mkt!$B$5:$B$133,"Lead Lists and Services"),SUMIF('Dept. Cost Actuals'!$E$7:$E$176,"*Lead Lists &amp; Services*",'Dept. Cost Actuals'!BC$181:BC$350))</f>
        <v>0</v>
      </c>
      <c r="AZ47" s="668">
        <f>IF(AZ$4="forecast",SUMIFS(Planning_Mkt!AC$5:AC$133,Planning_Mkt!$B$5:$B$133,"Lead Lists and Services"),SUMIF('Dept. Cost Actuals'!$E$7:$E$176,"*Lead Lists &amp; Services*",'Dept. Cost Actuals'!BD$181:BD$350))</f>
        <v>0</v>
      </c>
      <c r="BA47" s="668">
        <f>IF(BA$4="forecast",SUMIFS(Planning_Mkt!AD$5:AD$133,Planning_Mkt!$B$5:$B$133,"Lead Lists and Services"),SUMIF('Dept. Cost Actuals'!$E$7:$E$176,"*Lead Lists &amp; Services*",'Dept. Cost Actuals'!BE$181:BE$350))</f>
        <v>0</v>
      </c>
      <c r="BB47" s="668">
        <f>IF(BB$4="forecast",SUMIFS(Planning_Mkt!AE$5:AE$133,Planning_Mkt!$B$5:$B$133,"Lead Lists and Services"),SUMIF('Dept. Cost Actuals'!$E$7:$E$176,"*Lead Lists &amp; Services*",'Dept. Cost Actuals'!BF$181:BF$350))</f>
        <v>0</v>
      </c>
      <c r="BC47" s="668">
        <f>IF(BC$4="forecast",SUMIFS(Planning_Mkt!AF$5:AF$133,Planning_Mkt!$B$5:$B$133,"Lead Lists and Services"),SUMIF('Dept. Cost Actuals'!$E$7:$E$176,"*Lead Lists &amp; Services*",'Dept. Cost Actuals'!BG$181:BG$350))</f>
        <v>0</v>
      </c>
      <c r="BD47" s="668">
        <f>IF(BD$4="forecast",SUMIFS(Planning_Mkt!AG$5:AG$133,Planning_Mkt!$B$5:$B$133,"Lead Lists and Services"),SUMIF('Dept. Cost Actuals'!$E$7:$E$176,"*Lead Lists &amp; Services*",'Dept. Cost Actuals'!BH$181:BH$350))</f>
        <v>0</v>
      </c>
      <c r="BE47" s="668">
        <f>IF(BE$4="forecast",SUMIFS(Planning_Mkt!AH$5:AH$133,Planning_Mkt!$B$5:$B$133,"Lead Lists and Services"),SUMIF('Dept. Cost Actuals'!$E$7:$E$176,"*Lead Lists &amp; Services*",'Dept. Cost Actuals'!BI$181:BI$350))</f>
        <v>0</v>
      </c>
      <c r="BF47" s="668">
        <f>IF(BF$4="forecast",SUMIFS(Planning_Mkt!AI$5:AI$133,Planning_Mkt!$B$5:$B$133,"Lead Lists and Services"),SUMIF('Dept. Cost Actuals'!$E$7:$E$176,"*Lead Lists &amp; Services*",'Dept. Cost Actuals'!BJ$181:BJ$350))</f>
        <v>0</v>
      </c>
      <c r="BG47" s="668">
        <f>IF(BG$4="forecast",SUMIFS(Planning_Mkt!AJ$5:AJ$133,Planning_Mkt!$B$5:$B$133,"Lead Lists and Services"),SUMIF('Dept. Cost Actuals'!$E$7:$E$176,"*Lead Lists &amp; Services*",'Dept. Cost Actuals'!BK$181:BK$350))</f>
        <v>0</v>
      </c>
      <c r="BH47" s="668">
        <f>IF(BH$4="forecast",SUMIFS(Planning_Mkt!AK$5:AK$133,Planning_Mkt!$B$5:$B$133,"Lead Lists and Services"),SUMIF('Dept. Cost Actuals'!$E$7:$E$176,"*Lead Lists &amp; Services*",'Dept. Cost Actuals'!BL$181:BL$350))</f>
        <v>0</v>
      </c>
      <c r="BI47" s="668">
        <f>IF(BI$4="forecast",SUMIFS(Planning_Mkt!AL$5:AL$133,Planning_Mkt!$B$5:$B$133,"Lead Lists and Services"),SUMIF('Dept. Cost Actuals'!$E$7:$E$176,"*Lead Lists &amp; Services*",'Dept. Cost Actuals'!BM$181:BM$350))</f>
        <v>0</v>
      </c>
      <c r="BJ47" s="668">
        <f>IF(BJ$4="forecast",SUMIFS(Planning_Mkt!AM$5:AM$133,Planning_Mkt!$B$5:$B$133,"Lead Lists and Services"),SUMIF('Dept. Cost Actuals'!$E$7:$E$176,"*Lead Lists &amp; Services*",'Dept. Cost Actuals'!BN$181:BN$350))</f>
        <v>0</v>
      </c>
      <c r="BK47" s="668">
        <f>IF(BK$4="forecast",SUMIFS(Planning_Mkt!AN$5:AN$133,Planning_Mkt!$B$5:$B$133,"Lead Lists and Services"),SUMIF('Dept. Cost Actuals'!$E$7:$E$176,"*Lead Lists &amp; Services*",'Dept. Cost Actuals'!BO$181:BO$350))</f>
        <v>0</v>
      </c>
      <c r="BL47" s="668">
        <f>IF(BL$4="forecast",SUMIFS(Planning_Mkt!AO$5:AO$133,Planning_Mkt!$B$5:$B$133,"Lead Lists and Services"),SUMIF('Dept. Cost Actuals'!$E$7:$E$176,"*Lead Lists &amp; Services*",'Dept. Cost Actuals'!BP$181:BP$350))</f>
        <v>0</v>
      </c>
      <c r="BM47" s="668">
        <f>IF(BM$4="forecast",SUMIFS(Planning_Mkt!AP$5:AP$133,Planning_Mkt!$B$5:$B$133,"Lead Lists and Services"),SUMIF('Dept. Cost Actuals'!$E$7:$E$176,"*Lead Lists &amp; Services*",'Dept. Cost Actuals'!BQ$181:BQ$350))</f>
        <v>0</v>
      </c>
      <c r="BN47" s="668">
        <f>IF(BN$4="forecast",SUMIFS(Planning_Mkt!AQ$5:AQ$133,Planning_Mkt!$B$5:$B$133,"Lead Lists and Services"),SUMIF('Dept. Cost Actuals'!$E$7:$E$176,"*Lead Lists &amp; Services*",'Dept. Cost Actuals'!BR$181:BR$350))</f>
        <v>0</v>
      </c>
      <c r="BO47" s="668">
        <f>IF(BO$4="forecast",SUMIFS(Planning_Mkt!AR$5:AR$133,Planning_Mkt!$B$5:$B$133,"Lead Lists and Services"),SUMIF('Dept. Cost Actuals'!$E$7:$E$176,"*Lead Lists &amp; Services*",'Dept. Cost Actuals'!BS$181:BS$350))</f>
        <v>0</v>
      </c>
      <c r="BP47" s="668">
        <f>IF(BP$4="forecast",SUMIFS(Planning_Mkt!AS$5:AS$133,Planning_Mkt!$B$5:$B$133,"Lead Lists and Services"),SUMIF('Dept. Cost Actuals'!$E$7:$E$176,"*Lead Lists &amp; Services*",'Dept. Cost Actuals'!BT$181:BT$350))</f>
        <v>0</v>
      </c>
      <c r="BQ47" s="668">
        <f>IF(BQ$4="forecast",SUMIFS(Planning_Mkt!AT$5:AT$133,Planning_Mkt!$B$5:$B$133,"Lead Lists and Services"),SUMIF('Dept. Cost Actuals'!$E$7:$E$176,"*Lead Lists &amp; Services*",'Dept. Cost Actuals'!BU$181:BU$350))</f>
        <v>0</v>
      </c>
      <c r="BR47" s="668">
        <f>IF(BR$4="forecast",SUMIFS(Planning_Mkt!AU$5:AU$133,Planning_Mkt!$B$5:$B$133,"Lead Lists and Services"),SUMIF('Dept. Cost Actuals'!$E$7:$E$176,"*Lead Lists &amp; Services*",'Dept. Cost Actuals'!BV$181:BV$350))</f>
        <v>0</v>
      </c>
      <c r="BS47" s="668">
        <f>IF(BS$4="forecast",SUMIFS(Planning_Mkt!AV$5:AV$133,Planning_Mkt!$B$5:$B$133,"Lead Lists and Services"),SUMIF('Dept. Cost Actuals'!$E$7:$E$176,"*Lead Lists &amp; Services*",'Dept. Cost Actuals'!BW$181:BW$350))</f>
        <v>0</v>
      </c>
      <c r="BT47" s="668">
        <f>IF(BT$4="forecast",SUMIFS(Planning_Mkt!AW$5:AW$133,Planning_Mkt!$B$5:$B$133,"Lead Lists and Services"),SUMIF('Dept. Cost Actuals'!$E$7:$E$176,"*Lead Lists &amp; Services*",'Dept. Cost Actuals'!BX$181:BX$350))</f>
        <v>0</v>
      </c>
      <c r="BU47" s="668">
        <f>IF(BU$4="forecast",SUMIFS(Planning_Mkt!AX$5:AX$133,Planning_Mkt!$B$5:$B$133,"Lead Lists and Services"),SUMIF('Dept. Cost Actuals'!$E$7:$E$176,"*Lead Lists &amp; Services*",'Dept. Cost Actuals'!BY$181:BY$350))</f>
        <v>0</v>
      </c>
      <c r="BV47" s="668">
        <f>IF(BV$4="forecast",SUMIFS(Planning_Mkt!AY$5:AY$133,Planning_Mkt!$B$5:$B$133,"Lead Lists and Services"),SUMIF('Dept. Cost Actuals'!$E$7:$E$176,"*Lead Lists &amp; Services*",'Dept. Cost Actuals'!BZ$181:BZ$350))</f>
        <v>0</v>
      </c>
    </row>
    <row r="48" spans="2:74" x14ac:dyDescent="0.25">
      <c r="B48" s="854" t="s">
        <v>11</v>
      </c>
      <c r="C48" s="668">
        <f>IF(C$4="forecast",SUMIFS(Planning_Mkt!#REF!,Planning_Mkt!$B$5:$B$133,"Marketing Collateral"),SUMIF('Dept. Cost Actuals'!$E$7:$E$176,"*Marketing Collateral*",'Dept. Cost Actuals'!G$181:G$350))</f>
        <v>0</v>
      </c>
      <c r="D48" s="668">
        <f>IF(D$4="forecast",SUMIFS(Planning_Mkt!#REF!,Planning_Mkt!$B$5:$B$133,"Marketing Collateral"),SUMIF('Dept. Cost Actuals'!$E$7:$E$176,"*Marketing Collateral*",'Dept. Cost Actuals'!H$181:H$350))</f>
        <v>0</v>
      </c>
      <c r="E48" s="668">
        <f>IF(E$4="forecast",SUMIFS(Planning_Mkt!#REF!,Planning_Mkt!$B$5:$B$133,"Marketing Collateral"),SUMIF('Dept. Cost Actuals'!$E$7:$E$176,"*Marketing Collateral*",'Dept. Cost Actuals'!I$181:I$350))</f>
        <v>0</v>
      </c>
      <c r="F48" s="668">
        <f>IF(F$4="forecast",SUMIFS(Planning_Mkt!#REF!,Planning_Mkt!$B$5:$B$133,"Marketing Collateral"),SUMIF('Dept. Cost Actuals'!$E$7:$E$176,"*Marketing Collateral*",'Dept. Cost Actuals'!J$181:J$350))</f>
        <v>0</v>
      </c>
      <c r="G48" s="668">
        <f>IF(G$4="forecast",SUMIFS(Planning_Mkt!#REF!,Planning_Mkt!$B$5:$B$133,"Marketing Collateral"),SUMIF('Dept. Cost Actuals'!$E$7:$E$176,"*Marketing Collateral*",'Dept. Cost Actuals'!K$181:K$350))</f>
        <v>0</v>
      </c>
      <c r="H48" s="668">
        <f>IF(H$4="forecast",SUMIFS(Planning_Mkt!#REF!,Planning_Mkt!$B$5:$B$133,"Marketing Collateral"),SUMIF('Dept. Cost Actuals'!$E$7:$E$176,"*Marketing Collateral*",'Dept. Cost Actuals'!L$181:L$350))</f>
        <v>0</v>
      </c>
      <c r="I48" s="668">
        <f>IF(I$4="forecast",SUMIFS(Planning_Mkt!#REF!,Planning_Mkt!$B$5:$B$133,"Marketing Collateral"),SUMIF('Dept. Cost Actuals'!$E$7:$E$176,"*Marketing Collateral*",'Dept. Cost Actuals'!M$181:M$350))</f>
        <v>0</v>
      </c>
      <c r="J48" s="668">
        <f>IF(J$4="forecast",SUMIFS(Planning_Mkt!#REF!,Planning_Mkt!$B$5:$B$133,"Marketing Collateral"),SUMIF('Dept. Cost Actuals'!$E$7:$E$176,"*Marketing Collateral*",'Dept. Cost Actuals'!N$181:N$350))</f>
        <v>0</v>
      </c>
      <c r="K48" s="668">
        <f>IF(K$4="forecast",SUMIFS(Planning_Mkt!#REF!,Planning_Mkt!$B$5:$B$133,"Marketing Collateral"),SUMIF('Dept. Cost Actuals'!$E$7:$E$176,"*Marketing Collateral*",'Dept. Cost Actuals'!O$181:O$350))</f>
        <v>0</v>
      </c>
      <c r="L48" s="668">
        <f>IF(L$4="forecast",SUMIFS(Planning_Mkt!#REF!,Planning_Mkt!$B$5:$B$133,"Marketing Collateral"),SUMIF('Dept. Cost Actuals'!$E$7:$E$176,"*Marketing Collateral*",'Dept. Cost Actuals'!P$181:P$350))</f>
        <v>0</v>
      </c>
      <c r="M48" s="668">
        <f>IF(M$4="forecast",SUMIFS(Planning_Mkt!#REF!,Planning_Mkt!$B$5:$B$133,"Marketing Collateral"),SUMIF('Dept. Cost Actuals'!$E$7:$E$176,"*Marketing Collateral*",'Dept. Cost Actuals'!Q$181:Q$350))</f>
        <v>0</v>
      </c>
      <c r="N48" s="668">
        <f>IF(N$4="forecast",SUMIFS(Planning_Mkt!#REF!,Planning_Mkt!$B$5:$B$133,"Marketing Collateral"),SUMIF('Dept. Cost Actuals'!$E$7:$E$176,"*Marketing Collateral*",'Dept. Cost Actuals'!R$181:R$350))</f>
        <v>0</v>
      </c>
      <c r="O48" s="668">
        <f>IF(O$4="forecast",SUMIFS(Planning_Mkt!#REF!,Planning_Mkt!$B$5:$B$133,"Marketing Collateral"),SUMIF('Dept. Cost Actuals'!$E$7:$E$176,"*Marketing Collateral*",'Dept. Cost Actuals'!S$181:S$350))</f>
        <v>0</v>
      </c>
      <c r="P48" s="668">
        <f>IF(P$4="forecast",SUMIFS(Planning_Mkt!#REF!,Planning_Mkt!$B$5:$B$133,"Marketing Collateral"),SUMIF('Dept. Cost Actuals'!$E$7:$E$176,"*Marketing Collateral*",'Dept. Cost Actuals'!T$181:T$350))</f>
        <v>0</v>
      </c>
      <c r="Q48" s="668">
        <f>IF(Q$4="forecast",SUMIFS(Planning_Mkt!#REF!,Planning_Mkt!$B$5:$B$133,"Marketing Collateral"),SUMIF('Dept. Cost Actuals'!$E$7:$E$176,"*Marketing Collateral*",'Dept. Cost Actuals'!U$181:U$350))</f>
        <v>0</v>
      </c>
      <c r="R48" s="668">
        <f>IF(R$4="forecast",SUMIFS(Planning_Mkt!#REF!,Planning_Mkt!$B$5:$B$133,"Marketing Collateral"),SUMIF('Dept. Cost Actuals'!$E$7:$E$176,"*Marketing Collateral*",'Dept. Cost Actuals'!V$181:V$350))</f>
        <v>0</v>
      </c>
      <c r="S48" s="668">
        <f>IF(S$4="forecast",SUMIFS(Planning_Mkt!#REF!,Planning_Mkt!$B$5:$B$133,"Marketing Collateral"),SUMIF('Dept. Cost Actuals'!$E$7:$E$176,"*Marketing Collateral*",'Dept. Cost Actuals'!W$181:W$350))</f>
        <v>0</v>
      </c>
      <c r="T48" s="668">
        <f>IF(T$4="forecast",SUMIFS(Planning_Mkt!#REF!,Planning_Mkt!$B$5:$B$133,"Marketing Collateral"),SUMIF('Dept. Cost Actuals'!$E$7:$E$176,"*Marketing Collateral*",'Dept. Cost Actuals'!X$181:X$350))</f>
        <v>0</v>
      </c>
      <c r="U48" s="668">
        <f>IF(U$4="forecast",SUMIFS(Planning_Mkt!#REF!,Planning_Mkt!$B$5:$B$133,"Marketing Collateral"),SUMIF('Dept. Cost Actuals'!$E$7:$E$176,"*Marketing Collateral*",'Dept. Cost Actuals'!Y$181:Y$350))</f>
        <v>0</v>
      </c>
      <c r="V48" s="668">
        <f>IF(V$4="forecast",SUMIFS(Planning_Mkt!#REF!,Planning_Mkt!$B$5:$B$133,"Marketing Collateral"),SUMIF('Dept. Cost Actuals'!$E$7:$E$176,"*Marketing Collateral*",'Dept. Cost Actuals'!Z$181:Z$350))</f>
        <v>0</v>
      </c>
      <c r="W48" s="668">
        <f>IF(W$4="forecast",SUMIFS(Planning_Mkt!#REF!,Planning_Mkt!$B$5:$B$133,"Marketing Collateral"),SUMIF('Dept. Cost Actuals'!$E$7:$E$176,"*Marketing Collateral*",'Dept. Cost Actuals'!AA$181:AA$350))</f>
        <v>0</v>
      </c>
      <c r="X48" s="668">
        <f>IF(X$4="forecast",SUMIFS(Planning_Mkt!A$5:A$133,Planning_Mkt!$B$5:$B$133,"Marketing Collateral"),SUMIF('Dept. Cost Actuals'!$E$7:$E$176,"*Marketing Collateral*",'Dept. Cost Actuals'!AB$181:AB$350))</f>
        <v>0</v>
      </c>
      <c r="Y48" s="668">
        <f>IF(Y$4="forecast",SUMIFS(Planning_Mkt!B$5:B$133,Planning_Mkt!$B$5:$B$133,"Marketing Collateral"),SUMIF('Dept. Cost Actuals'!$E$7:$E$176,"*Marketing Collateral*",'Dept. Cost Actuals'!AC$181:AC$350))</f>
        <v>0</v>
      </c>
      <c r="Z48" s="668">
        <f>IF(Z$4="forecast",SUMIFS(Planning_Mkt!C$5:C$133,Planning_Mkt!$B$5:$B$133,"Marketing Collateral"),SUMIF('Dept. Cost Actuals'!$E$7:$E$176,"*Marketing Collateral*",'Dept. Cost Actuals'!AD$181:AD$350))</f>
        <v>0</v>
      </c>
      <c r="AA48" s="668">
        <f>IF(AA$4="forecast",SUMIFS(Planning_Mkt!D$5:D$133,Planning_Mkt!$B$5:$B$133,"Marketing Collateral"),SUMIF('Dept. Cost Actuals'!$E$7:$E$176,"*Marketing Collateral*",'Dept. Cost Actuals'!AE$181:AE$350))</f>
        <v>0</v>
      </c>
      <c r="AB48" s="668">
        <f>IF(AB$4="forecast",SUMIFS(Planning_Mkt!E$5:E$133,Planning_Mkt!$B$5:$B$133,"Marketing Collateral"),SUMIF('Dept. Cost Actuals'!$E$7:$E$176,"*Marketing Collateral*",'Dept. Cost Actuals'!AF$181:AF$350))</f>
        <v>0</v>
      </c>
      <c r="AC48" s="668">
        <f>IF(AC$4="forecast",SUMIFS(Planning_Mkt!F$5:F$133,Planning_Mkt!$B$5:$B$133,"Marketing Collateral"),SUMIF('Dept. Cost Actuals'!$E$7:$E$176,"*Marketing Collateral*",'Dept. Cost Actuals'!AG$181:AG$350))</f>
        <v>0</v>
      </c>
      <c r="AD48" s="668">
        <f>IF(AD$4="forecast",SUMIFS(Planning_Mkt!G$5:G$133,Planning_Mkt!$B$5:$B$133,"Marketing Collateral"),SUMIF('Dept. Cost Actuals'!$E$7:$E$176,"*Marketing Collateral*",'Dept. Cost Actuals'!AH$181:AH$350))</f>
        <v>6050</v>
      </c>
      <c r="AE48" s="668">
        <f>IF(AE$4="forecast",SUMIFS(Planning_Mkt!H$5:H$133,Planning_Mkt!$B$5:$B$133,"Marketing Collateral"),SUMIF('Dept. Cost Actuals'!$E$7:$E$176,"*Marketing Collateral*",'Dept. Cost Actuals'!AI$181:AI$350))</f>
        <v>6050</v>
      </c>
      <c r="AF48" s="668">
        <f>IF(AF$4="forecast",SUMIFS(Planning_Mkt!I$5:I$133,Planning_Mkt!$B$5:$B$133,"Marketing Collateral"),SUMIF('Dept. Cost Actuals'!$E$7:$E$176,"*Marketing Collateral*",'Dept. Cost Actuals'!AJ$181:AJ$350))</f>
        <v>6050</v>
      </c>
      <c r="AG48" s="668">
        <f>IF(AG$4="forecast",SUMIFS(Planning_Mkt!J$5:J$133,Planning_Mkt!$B$5:$B$133,"Marketing Collateral"),SUMIF('Dept. Cost Actuals'!$E$7:$E$176,"*Marketing Collateral*",'Dept. Cost Actuals'!AK$181:AK$350))</f>
        <v>6150</v>
      </c>
      <c r="AH48" s="668">
        <f>IF(AH$4="forecast",SUMIFS(Planning_Mkt!K$5:K$133,Planning_Mkt!$B$5:$B$133,"Marketing Collateral"),SUMIF('Dept. Cost Actuals'!$E$7:$E$176,"*Marketing Collateral*",'Dept. Cost Actuals'!AL$181:AL$350))</f>
        <v>6050</v>
      </c>
      <c r="AI48" s="668">
        <f>IF(AI$4="forecast",SUMIFS(Planning_Mkt!L$5:L$133,Planning_Mkt!$B$5:$B$133,"Marketing Collateral"),SUMIF('Dept. Cost Actuals'!$E$7:$E$176,"*Marketing Collateral*",'Dept. Cost Actuals'!AM$181:AM$350))</f>
        <v>6050</v>
      </c>
      <c r="AJ48" s="668">
        <f>IF(AJ$4="forecast",SUMIFS(Planning_Mkt!M$5:M$133,Planning_Mkt!$B$5:$B$133,"Marketing Collateral"),SUMIF('Dept. Cost Actuals'!$E$7:$E$176,"*Marketing Collateral*",'Dept. Cost Actuals'!AN$181:AN$350))</f>
        <v>6150</v>
      </c>
      <c r="AK48" s="668">
        <f>IF(AK$4="forecast",SUMIFS(Planning_Mkt!N$5:N$133,Planning_Mkt!$B$5:$B$133,"Marketing Collateral"),SUMIF('Dept. Cost Actuals'!$E$7:$E$176,"*Marketing Collateral*",'Dept. Cost Actuals'!AO$181:AO$350))</f>
        <v>6050</v>
      </c>
      <c r="AL48" s="668">
        <f>IF(AL$4="forecast",SUMIFS(Planning_Mkt!O$5:O$133,Planning_Mkt!$B$5:$B$133,"Marketing Collateral"),SUMIF('Dept. Cost Actuals'!$E$7:$E$176,"*Marketing Collateral*",'Dept. Cost Actuals'!AP$181:AP$350))</f>
        <v>6050</v>
      </c>
      <c r="AM48" s="668">
        <f>IF(AM$4="forecast",SUMIFS(Planning_Mkt!P$5:P$133,Planning_Mkt!$B$5:$B$133,"Marketing Collateral"),SUMIF('Dept. Cost Actuals'!$E$7:$E$176,"*Marketing Collateral*",'Dept. Cost Actuals'!AQ$181:AQ$350))</f>
        <v>66750</v>
      </c>
      <c r="AN48" s="668">
        <f>IF(AN$4="forecast",SUMIFS(Planning_Mkt!Q$5:Q$133,Planning_Mkt!$B$5:$B$133,"Marketing Collateral"),SUMIF('Dept. Cost Actuals'!$E$7:$E$176,"*Marketing Collateral*",'Dept. Cost Actuals'!AR$181:AR$350))</f>
        <v>0</v>
      </c>
      <c r="AO48" s="668">
        <f>IF(AO$4="forecast",SUMIFS(Planning_Mkt!R$5:R$133,Planning_Mkt!$B$5:$B$133,"Marketing Collateral"),SUMIF('Dept. Cost Actuals'!$E$7:$E$176,"*Marketing Collateral*",'Dept. Cost Actuals'!AS$181:AS$350))</f>
        <v>0</v>
      </c>
      <c r="AP48" s="668">
        <f>IF(AP$4="forecast",SUMIFS(Planning_Mkt!S$5:S$133,Planning_Mkt!$B$5:$B$133,"Marketing Collateral"),SUMIF('Dept. Cost Actuals'!$E$7:$E$176,"*Marketing Collateral*",'Dept. Cost Actuals'!AT$181:AT$350))</f>
        <v>0</v>
      </c>
      <c r="AQ48" s="668">
        <f>IF(AQ$4="forecast",SUMIFS(Planning_Mkt!T$5:T$133,Planning_Mkt!$B$5:$B$133,"Marketing Collateral"),SUMIF('Dept. Cost Actuals'!$E$7:$E$176,"*Marketing Collateral*",'Dept. Cost Actuals'!AU$181:AU$350))</f>
        <v>0</v>
      </c>
      <c r="AR48" s="668">
        <f>IF(AR$4="forecast",SUMIFS(Planning_Mkt!U$5:U$133,Planning_Mkt!$B$5:$B$133,"Marketing Collateral"),SUMIF('Dept. Cost Actuals'!$E$7:$E$176,"*Marketing Collateral*",'Dept. Cost Actuals'!AV$181:AV$350))</f>
        <v>0</v>
      </c>
      <c r="AS48" s="668">
        <f>IF(AS$4="forecast",SUMIFS(Planning_Mkt!V$5:V$133,Planning_Mkt!$B$5:$B$133,"Marketing Collateral"),SUMIF('Dept. Cost Actuals'!$E$7:$E$176,"*Marketing Collateral*",'Dept. Cost Actuals'!AW$181:AW$350))</f>
        <v>0</v>
      </c>
      <c r="AT48" s="668">
        <f>IF(AT$4="forecast",SUMIFS(Planning_Mkt!W$5:W$133,Planning_Mkt!$B$5:$B$133,"Marketing Collateral"),SUMIF('Dept. Cost Actuals'!$E$7:$E$176,"*Marketing Collateral*",'Dept. Cost Actuals'!AX$181:AX$350))</f>
        <v>0</v>
      </c>
      <c r="AU48" s="668">
        <f>IF(AU$4="forecast",SUMIFS(Planning_Mkt!X$5:X$133,Planning_Mkt!$B$5:$B$133,"Marketing Collateral"),SUMIF('Dept. Cost Actuals'!$E$7:$E$176,"*Marketing Collateral*",'Dept. Cost Actuals'!AY$181:AY$350))</f>
        <v>0</v>
      </c>
      <c r="AV48" s="668">
        <f>IF(AV$4="forecast",SUMIFS(Planning_Mkt!Y$5:Y$133,Planning_Mkt!$B$5:$B$133,"Marketing Collateral"),SUMIF('Dept. Cost Actuals'!$E$7:$E$176,"*Marketing Collateral*",'Dept. Cost Actuals'!AZ$181:AZ$350))</f>
        <v>0</v>
      </c>
      <c r="AW48" s="668">
        <f>IF(AW$4="forecast",SUMIFS(Planning_Mkt!Z$5:Z$133,Planning_Mkt!$B$5:$B$133,"Marketing Collateral"),SUMIF('Dept. Cost Actuals'!$E$7:$E$176,"*Marketing Collateral*",'Dept. Cost Actuals'!BA$181:BA$350))</f>
        <v>0</v>
      </c>
      <c r="AX48" s="668">
        <f>IF(AX$4="forecast",SUMIFS(Planning_Mkt!AA$5:AA$133,Planning_Mkt!$B$5:$B$133,"Marketing Collateral"),SUMIF('Dept. Cost Actuals'!$E$7:$E$176,"*Marketing Collateral*",'Dept. Cost Actuals'!BB$181:BB$350))</f>
        <v>0</v>
      </c>
      <c r="AY48" s="668">
        <f>IF(AY$4="forecast",SUMIFS(Planning_Mkt!AB$5:AB$133,Planning_Mkt!$B$5:$B$133,"Marketing Collateral"),SUMIF('Dept. Cost Actuals'!$E$7:$E$176,"*Marketing Collateral*",'Dept. Cost Actuals'!BC$181:BC$350))</f>
        <v>0</v>
      </c>
      <c r="AZ48" s="668">
        <f>IF(AZ$4="forecast",SUMIFS(Planning_Mkt!AC$5:AC$133,Planning_Mkt!$B$5:$B$133,"Marketing Collateral"),SUMIF('Dept. Cost Actuals'!$E$7:$E$176,"*Marketing Collateral*",'Dept. Cost Actuals'!BD$181:BD$350))</f>
        <v>0</v>
      </c>
      <c r="BA48" s="668">
        <f>IF(BA$4="forecast",SUMIFS(Planning_Mkt!AD$5:AD$133,Planning_Mkt!$B$5:$B$133,"Marketing Collateral"),SUMIF('Dept. Cost Actuals'!$E$7:$E$176,"*Marketing Collateral*",'Dept. Cost Actuals'!BE$181:BE$350))</f>
        <v>0</v>
      </c>
      <c r="BB48" s="668">
        <f>IF(BB$4="forecast",SUMIFS(Planning_Mkt!AE$5:AE$133,Planning_Mkt!$B$5:$B$133,"Marketing Collateral"),SUMIF('Dept. Cost Actuals'!$E$7:$E$176,"*Marketing Collateral*",'Dept. Cost Actuals'!BF$181:BF$350))</f>
        <v>0</v>
      </c>
      <c r="BC48" s="668">
        <f>IF(BC$4="forecast",SUMIFS(Planning_Mkt!AF$5:AF$133,Planning_Mkt!$B$5:$B$133,"Marketing Collateral"),SUMIF('Dept. Cost Actuals'!$E$7:$E$176,"*Marketing Collateral*",'Dept. Cost Actuals'!BG$181:BG$350))</f>
        <v>0</v>
      </c>
      <c r="BD48" s="668">
        <f>IF(BD$4="forecast",SUMIFS(Planning_Mkt!AG$5:AG$133,Planning_Mkt!$B$5:$B$133,"Marketing Collateral"),SUMIF('Dept. Cost Actuals'!$E$7:$E$176,"*Marketing Collateral*",'Dept. Cost Actuals'!BH$181:BH$350))</f>
        <v>0</v>
      </c>
      <c r="BE48" s="668">
        <f>IF(BE$4="forecast",SUMIFS(Planning_Mkt!AH$5:AH$133,Planning_Mkt!$B$5:$B$133,"Marketing Collateral"),SUMIF('Dept. Cost Actuals'!$E$7:$E$176,"*Marketing Collateral*",'Dept. Cost Actuals'!BI$181:BI$350))</f>
        <v>0</v>
      </c>
      <c r="BF48" s="668">
        <f>IF(BF$4="forecast",SUMIFS(Planning_Mkt!AI$5:AI$133,Planning_Mkt!$B$5:$B$133,"Marketing Collateral"),SUMIF('Dept. Cost Actuals'!$E$7:$E$176,"*Marketing Collateral*",'Dept. Cost Actuals'!BJ$181:BJ$350))</f>
        <v>0</v>
      </c>
      <c r="BG48" s="668">
        <f>IF(BG$4="forecast",SUMIFS(Planning_Mkt!AJ$5:AJ$133,Planning_Mkt!$B$5:$B$133,"Marketing Collateral"),SUMIF('Dept. Cost Actuals'!$E$7:$E$176,"*Marketing Collateral*",'Dept. Cost Actuals'!BK$181:BK$350))</f>
        <v>0</v>
      </c>
      <c r="BH48" s="668">
        <f>IF(BH$4="forecast",SUMIFS(Planning_Mkt!AK$5:AK$133,Planning_Mkt!$B$5:$B$133,"Marketing Collateral"),SUMIF('Dept. Cost Actuals'!$E$7:$E$176,"*Marketing Collateral*",'Dept. Cost Actuals'!BL$181:BL$350))</f>
        <v>0</v>
      </c>
      <c r="BI48" s="668">
        <f>IF(BI$4="forecast",SUMIFS(Planning_Mkt!AL$5:AL$133,Planning_Mkt!$B$5:$B$133,"Marketing Collateral"),SUMIF('Dept. Cost Actuals'!$E$7:$E$176,"*Marketing Collateral*",'Dept. Cost Actuals'!BM$181:BM$350))</f>
        <v>0</v>
      </c>
      <c r="BJ48" s="668">
        <f>IF(BJ$4="forecast",SUMIFS(Planning_Mkt!AM$5:AM$133,Planning_Mkt!$B$5:$B$133,"Marketing Collateral"),SUMIF('Dept. Cost Actuals'!$E$7:$E$176,"*Marketing Collateral*",'Dept. Cost Actuals'!BN$181:BN$350))</f>
        <v>0</v>
      </c>
      <c r="BK48" s="668">
        <f>IF(BK$4="forecast",SUMIFS(Planning_Mkt!AN$5:AN$133,Planning_Mkt!$B$5:$B$133,"Marketing Collateral"),SUMIF('Dept. Cost Actuals'!$E$7:$E$176,"*Marketing Collateral*",'Dept. Cost Actuals'!BO$181:BO$350))</f>
        <v>0</v>
      </c>
      <c r="BL48" s="668">
        <f>IF(BL$4="forecast",SUMIFS(Planning_Mkt!AO$5:AO$133,Planning_Mkt!$B$5:$B$133,"Marketing Collateral"),SUMIF('Dept. Cost Actuals'!$E$7:$E$176,"*Marketing Collateral*",'Dept. Cost Actuals'!BP$181:BP$350))</f>
        <v>0</v>
      </c>
      <c r="BM48" s="668">
        <f>IF(BM$4="forecast",SUMIFS(Planning_Mkt!AP$5:AP$133,Planning_Mkt!$B$5:$B$133,"Marketing Collateral"),SUMIF('Dept. Cost Actuals'!$E$7:$E$176,"*Marketing Collateral*",'Dept. Cost Actuals'!BQ$181:BQ$350))</f>
        <v>0</v>
      </c>
      <c r="BN48" s="668">
        <f>IF(BN$4="forecast",SUMIFS(Planning_Mkt!AQ$5:AQ$133,Planning_Mkt!$B$5:$B$133,"Marketing Collateral"),SUMIF('Dept. Cost Actuals'!$E$7:$E$176,"*Marketing Collateral*",'Dept. Cost Actuals'!BR$181:BR$350))</f>
        <v>0</v>
      </c>
      <c r="BO48" s="668">
        <f>IF(BO$4="forecast",SUMIFS(Planning_Mkt!AR$5:AR$133,Planning_Mkt!$B$5:$B$133,"Marketing Collateral"),SUMIF('Dept. Cost Actuals'!$E$7:$E$176,"*Marketing Collateral*",'Dept. Cost Actuals'!BS$181:BS$350))</f>
        <v>0</v>
      </c>
      <c r="BP48" s="668">
        <f>IF(BP$4="forecast",SUMIFS(Planning_Mkt!AS$5:AS$133,Planning_Mkt!$B$5:$B$133,"Marketing Collateral"),SUMIF('Dept. Cost Actuals'!$E$7:$E$176,"*Marketing Collateral*",'Dept. Cost Actuals'!BT$181:BT$350))</f>
        <v>0</v>
      </c>
      <c r="BQ48" s="668">
        <f>IF(BQ$4="forecast",SUMIFS(Planning_Mkt!AT$5:AT$133,Planning_Mkt!$B$5:$B$133,"Marketing Collateral"),SUMIF('Dept. Cost Actuals'!$E$7:$E$176,"*Marketing Collateral*",'Dept. Cost Actuals'!BU$181:BU$350))</f>
        <v>0</v>
      </c>
      <c r="BR48" s="668">
        <f>IF(BR$4="forecast",SUMIFS(Planning_Mkt!AU$5:AU$133,Planning_Mkt!$B$5:$B$133,"Marketing Collateral"),SUMIF('Dept. Cost Actuals'!$E$7:$E$176,"*Marketing Collateral*",'Dept. Cost Actuals'!BV$181:BV$350))</f>
        <v>0</v>
      </c>
      <c r="BS48" s="668">
        <f>IF(BS$4="forecast",SUMIFS(Planning_Mkt!AV$5:AV$133,Planning_Mkt!$B$5:$B$133,"Marketing Collateral"),SUMIF('Dept. Cost Actuals'!$E$7:$E$176,"*Marketing Collateral*",'Dept. Cost Actuals'!BW$181:BW$350))</f>
        <v>0</v>
      </c>
      <c r="BT48" s="668">
        <f>IF(BT$4="forecast",SUMIFS(Planning_Mkt!AW$5:AW$133,Planning_Mkt!$B$5:$B$133,"Marketing Collateral"),SUMIF('Dept. Cost Actuals'!$E$7:$E$176,"*Marketing Collateral*",'Dept. Cost Actuals'!BX$181:BX$350))</f>
        <v>0</v>
      </c>
      <c r="BU48" s="668">
        <f>IF(BU$4="forecast",SUMIFS(Planning_Mkt!AX$5:AX$133,Planning_Mkt!$B$5:$B$133,"Marketing Collateral"),SUMIF('Dept. Cost Actuals'!$E$7:$E$176,"*Marketing Collateral*",'Dept. Cost Actuals'!BY$181:BY$350))</f>
        <v>0</v>
      </c>
      <c r="BV48" s="668">
        <f>IF(BV$4="forecast",SUMIFS(Planning_Mkt!AY$5:AY$133,Planning_Mkt!$B$5:$B$133,"Marketing Collateral"),SUMIF('Dept. Cost Actuals'!$E$7:$E$176,"*Marketing Collateral*",'Dept. Cost Actuals'!BZ$181:BZ$350))</f>
        <v>0</v>
      </c>
    </row>
    <row r="49" spans="2:74" x14ac:dyDescent="0.25">
      <c r="B49" s="854" t="s">
        <v>986</v>
      </c>
      <c r="C49" s="668">
        <f>IF(C$4="forecast",SUMIFS(Planning_Mkt!#REF!,Planning_Mkt!$B$5:$B$133,"Offline Advertising"),SUMIF('Dept. Cost Actuals'!$E$7:$E$176,"*Offline Advertising*",'Dept. Cost Actuals'!G$181:G$350))</f>
        <v>0</v>
      </c>
      <c r="D49" s="668">
        <f>IF(D$4="forecast",SUMIFS(Planning_Mkt!#REF!,Planning_Mkt!$B$5:$B$133,"Offline Advertising"),SUMIF('Dept. Cost Actuals'!$E$7:$E$176,"*Offline Advertising*",'Dept. Cost Actuals'!H$181:H$350))</f>
        <v>0</v>
      </c>
      <c r="E49" s="668">
        <f>IF(E$4="forecast",SUMIFS(Planning_Mkt!#REF!,Planning_Mkt!$B$5:$B$133,"Offline Advertising"),SUMIF('Dept. Cost Actuals'!$E$7:$E$176,"*Offline Advertising*",'Dept. Cost Actuals'!I$181:I$350))</f>
        <v>0</v>
      </c>
      <c r="F49" s="668">
        <f>IF(F$4="forecast",SUMIFS(Planning_Mkt!#REF!,Planning_Mkt!$B$5:$B$133,"Offline Advertising"),SUMIF('Dept. Cost Actuals'!$E$7:$E$176,"*Offline Advertising*",'Dept. Cost Actuals'!J$181:J$350))</f>
        <v>0</v>
      </c>
      <c r="G49" s="668">
        <f>IF(G$4="forecast",SUMIFS(Planning_Mkt!#REF!,Planning_Mkt!$B$5:$B$133,"Offline Advertising"),SUMIF('Dept. Cost Actuals'!$E$7:$E$176,"*Offline Advertising*",'Dept. Cost Actuals'!K$181:K$350))</f>
        <v>0</v>
      </c>
      <c r="H49" s="668">
        <f>IF(H$4="forecast",SUMIFS(Planning_Mkt!#REF!,Planning_Mkt!$B$5:$B$133,"Offline Advertising"),SUMIF('Dept. Cost Actuals'!$E$7:$E$176,"*Offline Advertising*",'Dept. Cost Actuals'!L$181:L$350))</f>
        <v>0</v>
      </c>
      <c r="I49" s="668">
        <f>IF(I$4="forecast",SUMIFS(Planning_Mkt!#REF!,Planning_Mkt!$B$5:$B$133,"Offline Advertising"),SUMIF('Dept. Cost Actuals'!$E$7:$E$176,"*Offline Advertising*",'Dept. Cost Actuals'!M$181:M$350))</f>
        <v>0</v>
      </c>
      <c r="J49" s="668">
        <f>IF(J$4="forecast",SUMIFS(Planning_Mkt!#REF!,Planning_Mkt!$B$5:$B$133,"Offline Advertising"),SUMIF('Dept. Cost Actuals'!$E$7:$E$176,"*Offline Advertising*",'Dept. Cost Actuals'!N$181:N$350))</f>
        <v>0</v>
      </c>
      <c r="K49" s="668">
        <f>IF(K$4="forecast",SUMIFS(Planning_Mkt!#REF!,Planning_Mkt!$B$5:$B$133,"Offline Advertising"),SUMIF('Dept. Cost Actuals'!$E$7:$E$176,"*Offline Advertising*",'Dept. Cost Actuals'!O$181:O$350))</f>
        <v>0</v>
      </c>
      <c r="L49" s="668">
        <f>IF(L$4="forecast",SUMIFS(Planning_Mkt!#REF!,Planning_Mkt!$B$5:$B$133,"Offline Advertising"),SUMIF('Dept. Cost Actuals'!$E$7:$E$176,"*Offline Advertising*",'Dept. Cost Actuals'!P$181:P$350))</f>
        <v>0</v>
      </c>
      <c r="M49" s="668">
        <f>IF(M$4="forecast",SUMIFS(Planning_Mkt!#REF!,Planning_Mkt!$B$5:$B$133,"Offline Advertising"),SUMIF('Dept. Cost Actuals'!$E$7:$E$176,"*Offline Advertising*",'Dept. Cost Actuals'!Q$181:Q$350))</f>
        <v>0</v>
      </c>
      <c r="N49" s="668">
        <f>IF(N$4="forecast",SUMIFS(Planning_Mkt!#REF!,Planning_Mkt!$B$5:$B$133,"Offline Advertising"),SUMIF('Dept. Cost Actuals'!$E$7:$E$176,"*Offline Advertising*",'Dept. Cost Actuals'!R$181:R$350))</f>
        <v>0</v>
      </c>
      <c r="O49" s="668">
        <f>IF(O$4="forecast",SUMIFS(Planning_Mkt!#REF!,Planning_Mkt!$B$5:$B$133,"Offline Advertising"),SUMIF('Dept. Cost Actuals'!$E$7:$E$176,"*Offline Advertising*",'Dept. Cost Actuals'!S$181:S$350))</f>
        <v>0</v>
      </c>
      <c r="P49" s="668">
        <f>IF(P$4="forecast",SUMIFS(Planning_Mkt!#REF!,Planning_Mkt!$B$5:$B$133,"Offline Advertising"),SUMIF('Dept. Cost Actuals'!$E$7:$E$176,"*Offline Advertising*",'Dept. Cost Actuals'!T$181:T$350))</f>
        <v>0</v>
      </c>
      <c r="Q49" s="668">
        <f>IF(Q$4="forecast",SUMIFS(Planning_Mkt!#REF!,Planning_Mkt!$B$5:$B$133,"Offline Advertising"),SUMIF('Dept. Cost Actuals'!$E$7:$E$176,"*Offline Advertising*",'Dept. Cost Actuals'!U$181:U$350))</f>
        <v>0</v>
      </c>
      <c r="R49" s="668">
        <f>IF(R$4="forecast",SUMIFS(Planning_Mkt!#REF!,Planning_Mkt!$B$5:$B$133,"Offline Advertising"),SUMIF('Dept. Cost Actuals'!$E$7:$E$176,"*Offline Advertising*",'Dept. Cost Actuals'!V$181:V$350))</f>
        <v>0</v>
      </c>
      <c r="S49" s="668">
        <f>IF(S$4="forecast",SUMIFS(Planning_Mkt!#REF!,Planning_Mkt!$B$5:$B$133,"Offline Advertising"),SUMIF('Dept. Cost Actuals'!$E$7:$E$176,"*Offline Advertising*",'Dept. Cost Actuals'!W$181:W$350))</f>
        <v>0</v>
      </c>
      <c r="T49" s="668">
        <f>IF(T$4="forecast",SUMIFS(Planning_Mkt!#REF!,Planning_Mkt!$B$5:$B$133,"Offline Advertising"),SUMIF('Dept. Cost Actuals'!$E$7:$E$176,"*Offline Advertising*",'Dept. Cost Actuals'!X$181:X$350))</f>
        <v>19830.86</v>
      </c>
      <c r="U49" s="668">
        <f>IF(U$4="forecast",SUMIFS(Planning_Mkt!#REF!,Planning_Mkt!$B$5:$B$133,"Offline Advertising"),SUMIF('Dept. Cost Actuals'!$E$7:$E$176,"*Offline Advertising*",'Dept. Cost Actuals'!Y$181:Y$350))</f>
        <v>19557.23</v>
      </c>
      <c r="V49" s="668">
        <f>IF(V$4="forecast",SUMIFS(Planning_Mkt!#REF!,Planning_Mkt!$B$5:$B$133,"Offline Advertising"),SUMIF('Dept. Cost Actuals'!$E$7:$E$176,"*Offline Advertising*",'Dept. Cost Actuals'!Z$181:Z$350))</f>
        <v>22576.66</v>
      </c>
      <c r="W49" s="668">
        <f>IF(W$4="forecast",SUMIFS(Planning_Mkt!#REF!,Planning_Mkt!$B$5:$B$133,"Offline Advertising"),SUMIF('Dept. Cost Actuals'!$E$7:$E$176,"*Offline Advertising*",'Dept. Cost Actuals'!AA$181:AA$350))</f>
        <v>13493.66</v>
      </c>
      <c r="X49" s="668">
        <f>IF(X$4="forecast",SUMIFS(Planning_Mkt!A$5:A$133,Planning_Mkt!$B$5:$B$133,"Offline Advertising"),SUMIF('Dept. Cost Actuals'!$E$7:$E$176,"*Offline Advertising*",'Dept. Cost Actuals'!AB$181:AB$350))</f>
        <v>585</v>
      </c>
      <c r="Y49" s="668">
        <f>IF(Y$4="forecast",SUMIFS(Planning_Mkt!B$5:B$133,Planning_Mkt!$B$5:$B$133,"Offline Advertising"),SUMIF('Dept. Cost Actuals'!$E$7:$E$176,"*Offline Advertising*",'Dept. Cost Actuals'!AC$181:AC$350))</f>
        <v>544.5</v>
      </c>
      <c r="Z49" s="668">
        <f>IF(Z$4="forecast",SUMIFS(Planning_Mkt!C$5:C$133,Planning_Mkt!$B$5:$B$133,"Offline Advertising"),SUMIF('Dept. Cost Actuals'!$E$7:$E$176,"*Offline Advertising*",'Dept. Cost Actuals'!AD$181:AD$350))</f>
        <v>256</v>
      </c>
      <c r="AA49" s="668">
        <f>IF(AA$4="forecast",SUMIFS(Planning_Mkt!D$5:D$133,Planning_Mkt!$B$5:$B$133,"Offline Advertising"),SUMIF('Dept. Cost Actuals'!$E$7:$E$176,"*Offline Advertising*",'Dept. Cost Actuals'!AE$181:AE$350))</f>
        <v>81</v>
      </c>
      <c r="AB49" s="668">
        <f>IF(AB$4="forecast",SUMIFS(Planning_Mkt!E$5:E$133,Planning_Mkt!$B$5:$B$133,"Offline Advertising"),SUMIF('Dept. Cost Actuals'!$E$7:$E$176,"*Offline Advertising*",'Dept. Cost Actuals'!AF$181:AF$350))</f>
        <v>0</v>
      </c>
      <c r="AC49" s="668">
        <f>IF(AC$4="forecast",SUMIFS(Planning_Mkt!F$5:F$133,Planning_Mkt!$B$5:$B$133,"Offline Advertising"),SUMIF('Dept. Cost Actuals'!$E$7:$E$176,"*Offline Advertising*",'Dept. Cost Actuals'!AG$181:AG$350))</f>
        <v>3875</v>
      </c>
      <c r="AD49" s="668">
        <f>IF(AD$4="forecast",SUMIFS(Planning_Mkt!G$5:G$133,Planning_Mkt!$B$5:$B$133,"Offline Advertising"),SUMIF('Dept. Cost Actuals'!$E$7:$E$176,"*Offline Advertising*",'Dept. Cost Actuals'!AH$181:AH$350))</f>
        <v>0</v>
      </c>
      <c r="AE49" s="668">
        <f>IF(AE$4="forecast",SUMIFS(Planning_Mkt!H$5:H$133,Planning_Mkt!$B$5:$B$133,"Offline Advertising"),SUMIF('Dept. Cost Actuals'!$E$7:$E$176,"*Offline Advertising*",'Dept. Cost Actuals'!AI$181:AI$350))</f>
        <v>0</v>
      </c>
      <c r="AF49" s="668">
        <f>IF(AF$4="forecast",SUMIFS(Planning_Mkt!I$5:I$133,Planning_Mkt!$B$5:$B$133,"Offline Advertising"),SUMIF('Dept. Cost Actuals'!$E$7:$E$176,"*Offline Advertising*",'Dept. Cost Actuals'!AJ$181:AJ$350))</f>
        <v>0</v>
      </c>
      <c r="AG49" s="668">
        <f>IF(AG$4="forecast",SUMIFS(Planning_Mkt!J$5:J$133,Planning_Mkt!$B$5:$B$133,"Offline Advertising"),SUMIF('Dept. Cost Actuals'!$E$7:$E$176,"*Offline Advertising*",'Dept. Cost Actuals'!AK$181:AK$350))</f>
        <v>4000</v>
      </c>
      <c r="AH49" s="668">
        <f>IF(AH$4="forecast",SUMIFS(Planning_Mkt!K$5:K$133,Planning_Mkt!$B$5:$B$133,"Offline Advertising"),SUMIF('Dept. Cost Actuals'!$E$7:$E$176,"*Offline Advertising*",'Dept. Cost Actuals'!AL$181:AL$350))</f>
        <v>0</v>
      </c>
      <c r="AI49" s="668">
        <f>IF(AI$4="forecast",SUMIFS(Planning_Mkt!L$5:L$133,Planning_Mkt!$B$5:$B$133,"Offline Advertising"),SUMIF('Dept. Cost Actuals'!$E$7:$E$176,"*Offline Advertising*",'Dept. Cost Actuals'!AM$181:AM$350))</f>
        <v>0</v>
      </c>
      <c r="AJ49" s="668">
        <f>IF(AJ$4="forecast",SUMIFS(Planning_Mkt!M$5:M$133,Planning_Mkt!$B$5:$B$133,"Offline Advertising"),SUMIF('Dept. Cost Actuals'!$E$7:$E$176,"*Offline Advertising*",'Dept. Cost Actuals'!AN$181:AN$350))</f>
        <v>0</v>
      </c>
      <c r="AK49" s="668">
        <f>IF(AK$4="forecast",SUMIFS(Planning_Mkt!N$5:N$133,Planning_Mkt!$B$5:$B$133,"Offline Advertising"),SUMIF('Dept. Cost Actuals'!$E$7:$E$176,"*Offline Advertising*",'Dept. Cost Actuals'!AO$181:AO$350))</f>
        <v>0</v>
      </c>
      <c r="AL49" s="668">
        <f>IF(AL$4="forecast",SUMIFS(Planning_Mkt!O$5:O$133,Planning_Mkt!$B$5:$B$133,"Offline Advertising"),SUMIF('Dept. Cost Actuals'!$E$7:$E$176,"*Offline Advertising*",'Dept. Cost Actuals'!AP$181:AP$350))</f>
        <v>0</v>
      </c>
      <c r="AM49" s="668">
        <f>IF(AM$4="forecast",SUMIFS(Planning_Mkt!P$5:P$133,Planning_Mkt!$B$5:$B$133,"Offline Advertising"),SUMIF('Dept. Cost Actuals'!$E$7:$E$176,"*Offline Advertising*",'Dept. Cost Actuals'!AQ$181:AQ$350))</f>
        <v>4000</v>
      </c>
      <c r="AN49" s="668">
        <f>IF(AN$4="forecast",SUMIFS(Planning_Mkt!Q$5:Q$133,Planning_Mkt!$B$5:$B$133,"Offline Advertising"),SUMIF('Dept. Cost Actuals'!$E$7:$E$176,"*Offline Advertising*",'Dept. Cost Actuals'!AR$181:AR$350))</f>
        <v>0</v>
      </c>
      <c r="AO49" s="668">
        <f>IF(AO$4="forecast",SUMIFS(Planning_Mkt!R$5:R$133,Planning_Mkt!$B$5:$B$133,"Offline Advertising"),SUMIF('Dept. Cost Actuals'!$E$7:$E$176,"*Offline Advertising*",'Dept. Cost Actuals'!AS$181:AS$350))</f>
        <v>0</v>
      </c>
      <c r="AP49" s="668">
        <f>IF(AP$4="forecast",SUMIFS(Planning_Mkt!S$5:S$133,Planning_Mkt!$B$5:$B$133,"Offline Advertising"),SUMIF('Dept. Cost Actuals'!$E$7:$E$176,"*Offline Advertising*",'Dept. Cost Actuals'!AT$181:AT$350))</f>
        <v>0</v>
      </c>
      <c r="AQ49" s="668">
        <f>IF(AQ$4="forecast",SUMIFS(Planning_Mkt!T$5:T$133,Planning_Mkt!$B$5:$B$133,"Offline Advertising"),SUMIF('Dept. Cost Actuals'!$E$7:$E$176,"*Offline Advertising*",'Dept. Cost Actuals'!AU$181:AU$350))</f>
        <v>0</v>
      </c>
      <c r="AR49" s="668">
        <f>IF(AR$4="forecast",SUMIFS(Planning_Mkt!U$5:U$133,Planning_Mkt!$B$5:$B$133,"Offline Advertising"),SUMIF('Dept. Cost Actuals'!$E$7:$E$176,"*Offline Advertising*",'Dept. Cost Actuals'!AV$181:AV$350))</f>
        <v>0</v>
      </c>
      <c r="AS49" s="668">
        <f>IF(AS$4="forecast",SUMIFS(Planning_Mkt!V$5:V$133,Planning_Mkt!$B$5:$B$133,"Offline Advertising"),SUMIF('Dept. Cost Actuals'!$E$7:$E$176,"*Offline Advertising*",'Dept. Cost Actuals'!AW$181:AW$350))</f>
        <v>0</v>
      </c>
      <c r="AT49" s="668">
        <f>IF(AT$4="forecast",SUMIFS(Planning_Mkt!W$5:W$133,Planning_Mkt!$B$5:$B$133,"Offline Advertising"),SUMIF('Dept. Cost Actuals'!$E$7:$E$176,"*Offline Advertising*",'Dept. Cost Actuals'!AX$181:AX$350))</f>
        <v>0</v>
      </c>
      <c r="AU49" s="668">
        <f>IF(AU$4="forecast",SUMIFS(Planning_Mkt!X$5:X$133,Planning_Mkt!$B$5:$B$133,"Offline Advertising"),SUMIF('Dept. Cost Actuals'!$E$7:$E$176,"*Offline Advertising*",'Dept. Cost Actuals'!AY$181:AY$350))</f>
        <v>0</v>
      </c>
      <c r="AV49" s="668">
        <f>IF(AV$4="forecast",SUMIFS(Planning_Mkt!Y$5:Y$133,Planning_Mkt!$B$5:$B$133,"Offline Advertising"),SUMIF('Dept. Cost Actuals'!$E$7:$E$176,"*Offline Advertising*",'Dept. Cost Actuals'!AZ$181:AZ$350))</f>
        <v>0</v>
      </c>
      <c r="AW49" s="668">
        <f>IF(AW$4="forecast",SUMIFS(Planning_Mkt!Z$5:Z$133,Planning_Mkt!$B$5:$B$133,"Offline Advertising"),SUMIF('Dept. Cost Actuals'!$E$7:$E$176,"*Offline Advertising*",'Dept. Cost Actuals'!BA$181:BA$350))</f>
        <v>0</v>
      </c>
      <c r="AX49" s="668">
        <f>IF(AX$4="forecast",SUMIFS(Planning_Mkt!AA$5:AA$133,Planning_Mkt!$B$5:$B$133,"Offline Advertising"),SUMIF('Dept. Cost Actuals'!$E$7:$E$176,"*Offline Advertising*",'Dept. Cost Actuals'!BB$181:BB$350))</f>
        <v>0</v>
      </c>
      <c r="AY49" s="668">
        <f>IF(AY$4="forecast",SUMIFS(Planning_Mkt!AB$5:AB$133,Planning_Mkt!$B$5:$B$133,"Offline Advertising"),SUMIF('Dept. Cost Actuals'!$E$7:$E$176,"*Offline Advertising*",'Dept. Cost Actuals'!BC$181:BC$350))</f>
        <v>0</v>
      </c>
      <c r="AZ49" s="668">
        <f>IF(AZ$4="forecast",SUMIFS(Planning_Mkt!AC$5:AC$133,Planning_Mkt!$B$5:$B$133,"Offline Advertising"),SUMIF('Dept. Cost Actuals'!$E$7:$E$176,"*Offline Advertising*",'Dept. Cost Actuals'!BD$181:BD$350))</f>
        <v>0</v>
      </c>
      <c r="BA49" s="668">
        <f>IF(BA$4="forecast",SUMIFS(Planning_Mkt!AD$5:AD$133,Planning_Mkt!$B$5:$B$133,"Offline Advertising"),SUMIF('Dept. Cost Actuals'!$E$7:$E$176,"*Offline Advertising*",'Dept. Cost Actuals'!BE$181:BE$350))</f>
        <v>0</v>
      </c>
      <c r="BB49" s="668">
        <f>IF(BB$4="forecast",SUMIFS(Planning_Mkt!AE$5:AE$133,Planning_Mkt!$B$5:$B$133,"Offline Advertising"),SUMIF('Dept. Cost Actuals'!$E$7:$E$176,"*Offline Advertising*",'Dept. Cost Actuals'!BF$181:BF$350))</f>
        <v>0</v>
      </c>
      <c r="BC49" s="668">
        <f>IF(BC$4="forecast",SUMIFS(Planning_Mkt!AF$5:AF$133,Planning_Mkt!$B$5:$B$133,"Offline Advertising"),SUMIF('Dept. Cost Actuals'!$E$7:$E$176,"*Offline Advertising*",'Dept. Cost Actuals'!BG$181:BG$350))</f>
        <v>0</v>
      </c>
      <c r="BD49" s="668">
        <f>IF(BD$4="forecast",SUMIFS(Planning_Mkt!AG$5:AG$133,Planning_Mkt!$B$5:$B$133,"Offline Advertising"),SUMIF('Dept. Cost Actuals'!$E$7:$E$176,"*Offline Advertising*",'Dept. Cost Actuals'!BH$181:BH$350))</f>
        <v>0</v>
      </c>
      <c r="BE49" s="668">
        <f>IF(BE$4="forecast",SUMIFS(Planning_Mkt!AH$5:AH$133,Planning_Mkt!$B$5:$B$133,"Offline Advertising"),SUMIF('Dept. Cost Actuals'!$E$7:$E$176,"*Offline Advertising*",'Dept. Cost Actuals'!BI$181:BI$350))</f>
        <v>0</v>
      </c>
      <c r="BF49" s="668">
        <f>IF(BF$4="forecast",SUMIFS(Planning_Mkt!AI$5:AI$133,Planning_Mkt!$B$5:$B$133,"Offline Advertising"),SUMIF('Dept. Cost Actuals'!$E$7:$E$176,"*Offline Advertising*",'Dept. Cost Actuals'!BJ$181:BJ$350))</f>
        <v>0</v>
      </c>
      <c r="BG49" s="668">
        <f>IF(BG$4="forecast",SUMIFS(Planning_Mkt!AJ$5:AJ$133,Planning_Mkt!$B$5:$B$133,"Offline Advertising"),SUMIF('Dept. Cost Actuals'!$E$7:$E$176,"*Offline Advertising*",'Dept. Cost Actuals'!BK$181:BK$350))</f>
        <v>0</v>
      </c>
      <c r="BH49" s="668">
        <f>IF(BH$4="forecast",SUMIFS(Planning_Mkt!AK$5:AK$133,Planning_Mkt!$B$5:$B$133,"Offline Advertising"),SUMIF('Dept. Cost Actuals'!$E$7:$E$176,"*Offline Advertising*",'Dept. Cost Actuals'!BL$181:BL$350))</f>
        <v>0</v>
      </c>
      <c r="BI49" s="668">
        <f>IF(BI$4="forecast",SUMIFS(Planning_Mkt!AL$5:AL$133,Planning_Mkt!$B$5:$B$133,"Offline Advertising"),SUMIF('Dept. Cost Actuals'!$E$7:$E$176,"*Offline Advertising*",'Dept. Cost Actuals'!BM$181:BM$350))</f>
        <v>0</v>
      </c>
      <c r="BJ49" s="668">
        <f>IF(BJ$4="forecast",SUMIFS(Planning_Mkt!AM$5:AM$133,Planning_Mkt!$B$5:$B$133,"Offline Advertising"),SUMIF('Dept. Cost Actuals'!$E$7:$E$176,"*Offline Advertising*",'Dept. Cost Actuals'!BN$181:BN$350))</f>
        <v>0</v>
      </c>
      <c r="BK49" s="668">
        <f>IF(BK$4="forecast",SUMIFS(Planning_Mkt!AN$5:AN$133,Planning_Mkt!$B$5:$B$133,"Offline Advertising"),SUMIF('Dept. Cost Actuals'!$E$7:$E$176,"*Offline Advertising*",'Dept. Cost Actuals'!BO$181:BO$350))</f>
        <v>0</v>
      </c>
      <c r="BL49" s="668">
        <f>IF(BL$4="forecast",SUMIFS(Planning_Mkt!AO$5:AO$133,Planning_Mkt!$B$5:$B$133,"Offline Advertising"),SUMIF('Dept. Cost Actuals'!$E$7:$E$176,"*Offline Advertising*",'Dept. Cost Actuals'!BP$181:BP$350))</f>
        <v>0</v>
      </c>
      <c r="BM49" s="668">
        <f>IF(BM$4="forecast",SUMIFS(Planning_Mkt!AP$5:AP$133,Planning_Mkt!$B$5:$B$133,"Offline Advertising"),SUMIF('Dept. Cost Actuals'!$E$7:$E$176,"*Offline Advertising*",'Dept. Cost Actuals'!BQ$181:BQ$350))</f>
        <v>0</v>
      </c>
      <c r="BN49" s="668">
        <f>IF(BN$4="forecast",SUMIFS(Planning_Mkt!AQ$5:AQ$133,Planning_Mkt!$B$5:$B$133,"Offline Advertising"),SUMIF('Dept. Cost Actuals'!$E$7:$E$176,"*Offline Advertising*",'Dept. Cost Actuals'!BR$181:BR$350))</f>
        <v>0</v>
      </c>
      <c r="BO49" s="668">
        <f>IF(BO$4="forecast",SUMIFS(Planning_Mkt!AR$5:AR$133,Planning_Mkt!$B$5:$B$133,"Offline Advertising"),SUMIF('Dept. Cost Actuals'!$E$7:$E$176,"*Offline Advertising*",'Dept. Cost Actuals'!BS$181:BS$350))</f>
        <v>0</v>
      </c>
      <c r="BP49" s="668">
        <f>IF(BP$4="forecast",SUMIFS(Planning_Mkt!AS$5:AS$133,Planning_Mkt!$B$5:$B$133,"Offline Advertising"),SUMIF('Dept. Cost Actuals'!$E$7:$E$176,"*Offline Advertising*",'Dept. Cost Actuals'!BT$181:BT$350))</f>
        <v>0</v>
      </c>
      <c r="BQ49" s="668">
        <f>IF(BQ$4="forecast",SUMIFS(Planning_Mkt!AT$5:AT$133,Planning_Mkt!$B$5:$B$133,"Offline Advertising"),SUMIF('Dept. Cost Actuals'!$E$7:$E$176,"*Offline Advertising*",'Dept. Cost Actuals'!BU$181:BU$350))</f>
        <v>0</v>
      </c>
      <c r="BR49" s="668">
        <f>IF(BR$4="forecast",SUMIFS(Planning_Mkt!AU$5:AU$133,Planning_Mkt!$B$5:$B$133,"Offline Advertising"),SUMIF('Dept. Cost Actuals'!$E$7:$E$176,"*Offline Advertising*",'Dept. Cost Actuals'!BV$181:BV$350))</f>
        <v>0</v>
      </c>
      <c r="BS49" s="668">
        <f>IF(BS$4="forecast",SUMIFS(Planning_Mkt!AV$5:AV$133,Planning_Mkt!$B$5:$B$133,"Offline Advertising"),SUMIF('Dept. Cost Actuals'!$E$7:$E$176,"*Offline Advertising*",'Dept. Cost Actuals'!BW$181:BW$350))</f>
        <v>0</v>
      </c>
      <c r="BT49" s="668">
        <f>IF(BT$4="forecast",SUMIFS(Planning_Mkt!AW$5:AW$133,Planning_Mkt!$B$5:$B$133,"Offline Advertising"),SUMIF('Dept. Cost Actuals'!$E$7:$E$176,"*Offline Advertising*",'Dept. Cost Actuals'!BX$181:BX$350))</f>
        <v>0</v>
      </c>
      <c r="BU49" s="668">
        <f>IF(BU$4="forecast",SUMIFS(Planning_Mkt!AX$5:AX$133,Planning_Mkt!$B$5:$B$133,"Offline Advertising"),SUMIF('Dept. Cost Actuals'!$E$7:$E$176,"*Offline Advertising*",'Dept. Cost Actuals'!BY$181:BY$350))</f>
        <v>0</v>
      </c>
      <c r="BV49" s="668">
        <f>IF(BV$4="forecast",SUMIFS(Planning_Mkt!AY$5:AY$133,Planning_Mkt!$B$5:$B$133,"Offline Advertising"),SUMIF('Dept. Cost Actuals'!$E$7:$E$176,"*Offline Advertising*",'Dept. Cost Actuals'!BZ$181:BZ$350))</f>
        <v>0</v>
      </c>
    </row>
    <row r="50" spans="2:74" x14ac:dyDescent="0.25">
      <c r="B50" s="854" t="s">
        <v>1270</v>
      </c>
      <c r="C50" s="668">
        <f>IF(C$4="forecast",'CAC Update'!E9,SUMIF('Dept. Cost Actuals'!$E$7:$E$176,"*Paid Media*",'Dept. Cost Actuals'!G$181:G$350))</f>
        <v>0</v>
      </c>
      <c r="D50" s="668">
        <f>IF(D$4="forecast",'CAC Update'!F9,SUMIF('Dept. Cost Actuals'!$E$7:$E$176,"*Paid Media*",'Dept. Cost Actuals'!H$181:H$350))</f>
        <v>0</v>
      </c>
      <c r="E50" s="668">
        <f>IF(E$4="forecast",'CAC Update'!G9,SUMIF('Dept. Cost Actuals'!$E$7:$E$176,"*Paid Media*",'Dept. Cost Actuals'!I$181:I$350))</f>
        <v>0</v>
      </c>
      <c r="F50" s="668">
        <f>IF(F$4="forecast",'CAC Update'!H9,SUMIF('Dept. Cost Actuals'!$E$7:$E$176,"*Paid Media*",'Dept. Cost Actuals'!J$181:J$350))</f>
        <v>0</v>
      </c>
      <c r="G50" s="668">
        <f>IF(G$4="forecast",'CAC Update'!I9,SUMIF('Dept. Cost Actuals'!$E$7:$E$176,"*Paid Media*",'Dept. Cost Actuals'!K$181:K$350))</f>
        <v>0</v>
      </c>
      <c r="H50" s="668">
        <f>IF(H$4="forecast",'CAC Update'!J9,SUMIF('Dept. Cost Actuals'!$E$7:$E$176,"*Paid Media*",'Dept. Cost Actuals'!L$181:L$350))</f>
        <v>0</v>
      </c>
      <c r="I50" s="668">
        <f>IF(I$4="forecast",'CAC Update'!K9,SUMIF('Dept. Cost Actuals'!$E$7:$E$176,"*Paid Media*",'Dept. Cost Actuals'!M$181:M$350))</f>
        <v>0</v>
      </c>
      <c r="J50" s="668">
        <f>IF(J$4="forecast",'CAC Update'!L9,SUMIF('Dept. Cost Actuals'!$E$7:$E$176,"*Paid Media*",'Dept. Cost Actuals'!N$181:N$350))</f>
        <v>0</v>
      </c>
      <c r="K50" s="668">
        <f>IF(K$4="forecast",'CAC Update'!M9,SUMIF('Dept. Cost Actuals'!$E$7:$E$176,"*Paid Media*",'Dept. Cost Actuals'!O$181:O$350))</f>
        <v>0</v>
      </c>
      <c r="L50" s="668">
        <f>IF(L$4="forecast",'CAC Update'!N9,SUMIF('Dept. Cost Actuals'!$E$7:$E$176,"*Paid Media*",'Dept. Cost Actuals'!P$181:P$350))</f>
        <v>0</v>
      </c>
      <c r="M50" s="668">
        <f>IF(M$4="forecast",'CAC Update'!O9,SUMIF('Dept. Cost Actuals'!$E$7:$E$176,"*Paid Media*",'Dept. Cost Actuals'!Q$181:Q$350))</f>
        <v>0</v>
      </c>
      <c r="N50" s="668">
        <f>IF(N$4="forecast",'CAC Update'!P9,SUMIF('Dept. Cost Actuals'!$E$7:$E$176,"*Paid Media*",'Dept. Cost Actuals'!R$181:R$350))</f>
        <v>0</v>
      </c>
      <c r="O50" s="668">
        <f>IF(O$4="forecast",'CAC Update'!Q9,SUMIF('Dept. Cost Actuals'!$E$7:$E$176,"*Paid Media*",'Dept. Cost Actuals'!S$181:S$350))</f>
        <v>12000</v>
      </c>
      <c r="P50" s="668">
        <f>IF(P$4="forecast",'CAC Update'!R9,SUMIF('Dept. Cost Actuals'!$E$7:$E$176,"*Paid Media*",'Dept. Cost Actuals'!T$181:T$350))</f>
        <v>7285.86</v>
      </c>
      <c r="Q50" s="668">
        <f>IF(Q$4="forecast",'CAC Update'!S9,SUMIF('Dept. Cost Actuals'!$E$7:$E$176,"*Paid Media*",'Dept. Cost Actuals'!U$181:U$350))</f>
        <v>21140.21</v>
      </c>
      <c r="R50" s="668">
        <f>IF(R$4="forecast",'CAC Update'!T9,SUMIF('Dept. Cost Actuals'!$E$7:$E$176,"*Paid Media*",'Dept. Cost Actuals'!V$181:V$350))</f>
        <v>1356.79</v>
      </c>
      <c r="S50" s="668">
        <f>IF(S$4="forecast",'CAC Update'!U9,SUMIF('Dept. Cost Actuals'!$E$7:$E$176,"*Paid Media*",'Dept. Cost Actuals'!W$181:W$350))</f>
        <v>14085.69</v>
      </c>
      <c r="T50" s="668">
        <f>IF(T$4="forecast",'CAC Update'!V9,SUMIF('Dept. Cost Actuals'!$E$7:$E$176,"*Paid Media*",'Dept. Cost Actuals'!X$181:X$350))</f>
        <v>23574.21</v>
      </c>
      <c r="U50" s="668">
        <f>IF(U$4="forecast",'CAC Update'!W9,SUMIF('Dept. Cost Actuals'!$E$7:$E$176,"*Paid Media*",'Dept. Cost Actuals'!Y$181:Y$350))</f>
        <v>78990.66</v>
      </c>
      <c r="V50" s="668">
        <f>IF(V$4="forecast",'CAC Update'!X9,SUMIF('Dept. Cost Actuals'!$E$7:$E$176,"*Paid Media*",'Dept. Cost Actuals'!Z$181:Z$350))</f>
        <v>47119.23</v>
      </c>
      <c r="W50" s="668">
        <f>IF(W$4="forecast",'CAC Update'!Y9,SUMIF('Dept. Cost Actuals'!$E$7:$E$176,"*Paid Media*",'Dept. Cost Actuals'!AA$181:AA$350))</f>
        <v>28275.4</v>
      </c>
      <c r="X50" s="668">
        <f>IF(X$4="forecast",'CAC Update'!Z9,SUMIF('Dept. Cost Actuals'!$E$7:$E$176,"*Paid Media*",'Dept. Cost Actuals'!AB$181:AB$350))</f>
        <v>34860.03</v>
      </c>
      <c r="Y50" s="668">
        <f>IF(Y$4="forecast",'CAC Update'!AA9,SUMIF('Dept. Cost Actuals'!$E$7:$E$176,"*Paid Media*",'Dept. Cost Actuals'!AC$181:AC$350))</f>
        <v>27800</v>
      </c>
      <c r="Z50" s="668">
        <f>IF(Z$4="forecast",'CAC Update'!AB9,SUMIF('Dept. Cost Actuals'!$E$7:$E$176,"*Paid Media*",'Dept. Cost Actuals'!AD$181:AD$350))</f>
        <v>27000</v>
      </c>
      <c r="AA50" s="668">
        <f>IF(AA$4="forecast",SUMIFS(Planning_Mkt!D$5:D$133,Planning_Mkt!$B$5:$B$133,"Agency Fees"),SUMIF('Dept. Cost Actuals'!$E$7:$E$176,"*Paid Media*",'Dept. Cost Actuals'!AE$181:AE$350))</f>
        <v>26574</v>
      </c>
      <c r="AB50" s="668">
        <f>IF(AB$4="forecast",SUMIFS(Planning_Mkt!E$5:E$133,Planning_Mkt!$B$5:$B$133,"Agency Fees"),SUMIF('Dept. Cost Actuals'!$E$7:$E$176,"*Paid Media*",'Dept. Cost Actuals'!AF$181:AF$350))</f>
        <v>12120.43</v>
      </c>
      <c r="AC50" s="668">
        <f>IF(AC$4="forecast",SUMIFS(Planning_Mkt!F$5:F$133,Planning_Mkt!$B$5:$B$133,"Agency Fees"),SUMIF('Dept. Cost Actuals'!$E$7:$E$176,"*Paid Media*",'Dept. Cost Actuals'!AG$181:AG$350))</f>
        <v>39868.239999999998</v>
      </c>
      <c r="AD50" s="668">
        <f>IF(AD$4="forecast",SUMIFS(Planning_Mkt!G$5:G$133,Planning_Mkt!$B$5:$B$133,"Agency Fees"),SUMIF('Dept. Cost Actuals'!$E$7:$E$176,"*Paid Media*",'Dept. Cost Actuals'!AH$181:AH$350))</f>
        <v>53937.5</v>
      </c>
      <c r="AE50" s="668">
        <f>IF(AE$4="forecast",SUMIFS(Planning_Mkt!H$5:H$133,Planning_Mkt!$B$5:$B$133,"Agency Fees"),SUMIF('Dept. Cost Actuals'!$E$7:$E$176,"*Paid Media*",'Dept. Cost Actuals'!AI$181:AI$350))</f>
        <v>52485</v>
      </c>
      <c r="AF50" s="668">
        <f>IF(AF$4="forecast",SUMIFS(Planning_Mkt!I$5:I$133,Planning_Mkt!$B$5:$B$133,"Agency Fees"),SUMIF('Dept. Cost Actuals'!$E$7:$E$176,"*Paid Media*",'Dept. Cost Actuals'!AJ$181:AJ$350))</f>
        <v>48320</v>
      </c>
      <c r="AG50" s="668">
        <f>IF(AG$4="forecast",SUMIFS(Planning_Mkt!J$5:J$133,Planning_Mkt!$B$5:$B$133,"Agency Fees"),SUMIF('Dept. Cost Actuals'!$E$7:$E$176,"*Paid Media*",'Dept. Cost Actuals'!AK$181:AK$350))</f>
        <v>45345</v>
      </c>
      <c r="AH50" s="668">
        <f>IF(AH$4="forecast",SUMIFS(Planning_Mkt!K$5:K$133,Planning_Mkt!$B$5:$B$133,"Agency Fees"),SUMIF('Dept. Cost Actuals'!$E$7:$E$176,"*Paid Media*",'Dept. Cost Actuals'!AL$181:AL$350))</f>
        <v>42370</v>
      </c>
      <c r="AI50" s="668">
        <f>IF(AI$4="forecast",SUMIFS(Planning_Mkt!L$5:L$133,Planning_Mkt!$B$5:$B$133,"Agency Fees"),SUMIF('Dept. Cost Actuals'!$E$7:$E$176,"*Paid Media*",'Dept. Cost Actuals'!AM$181:AM$350))</f>
        <v>42370</v>
      </c>
      <c r="AJ50" s="668">
        <f>IF(AJ$4="forecast",SUMIFS(Planning_Mkt!M$5:M$133,Planning_Mkt!$B$5:$B$133,"Agency Fees"),SUMIF('Dept. Cost Actuals'!$E$7:$E$176,"*Paid Media*",'Dept. Cost Actuals'!AN$181:AN$350))</f>
        <v>42370</v>
      </c>
      <c r="AK50" s="668">
        <f>IF(AK$4="forecast",SUMIFS(Planning_Mkt!N$5:N$133,Planning_Mkt!$B$5:$B$133,"Agency Fees"),SUMIF('Dept. Cost Actuals'!$E$7:$E$176,"*Paid Media*",'Dept. Cost Actuals'!AO$181:AO$350))</f>
        <v>42370</v>
      </c>
      <c r="AL50" s="668">
        <f>IF(AL$4="forecast",SUMIFS(Planning_Mkt!O$5:O$133,Planning_Mkt!$B$5:$B$133,"Agency Fees"),SUMIF('Dept. Cost Actuals'!$E$7:$E$176,"*Paid Media*",'Dept. Cost Actuals'!AP$181:AP$350))</f>
        <v>42370</v>
      </c>
      <c r="AM50" s="668">
        <f>IF(AM$4="forecast",SUMIFS(Planning_Mkt!P$5:P$133,Planning_Mkt!$B$5:$B$133,"Agency Fees"),SUMIF('Dept. Cost Actuals'!$E$7:$E$176,"*Paid Media*",'Dept. Cost Actuals'!AQ$181:AQ$350))</f>
        <v>540912.5</v>
      </c>
      <c r="AN50" s="668">
        <f>IF(AN$4="forecast",SUMIFS(Planning_Mkt!Q$5:Q$133,Planning_Mkt!$B$5:$B$133,"Agency Fees"),SUMIF('Dept. Cost Actuals'!$E$7:$E$176,"*Paid Media*",'Dept. Cost Actuals'!AR$181:AR$350))</f>
        <v>0</v>
      </c>
      <c r="AO50" s="668">
        <f>IF(AO$4="forecast",SUMIFS(Planning_Mkt!R$5:R$133,Planning_Mkt!$B$5:$B$133,"Agency Fees"),SUMIF('Dept. Cost Actuals'!$E$7:$E$176,"*Paid Media*",'Dept. Cost Actuals'!AS$181:AS$350))</f>
        <v>0</v>
      </c>
      <c r="AP50" s="668">
        <f>IF(AP$4="forecast",SUMIFS(Planning_Mkt!S$5:S$133,Planning_Mkt!$B$5:$B$133,"Agency Fees"),SUMIF('Dept. Cost Actuals'!$E$7:$E$176,"*Paid Media*",'Dept. Cost Actuals'!AT$181:AT$350))</f>
        <v>0</v>
      </c>
      <c r="AQ50" s="668">
        <f>IF(AQ$4="forecast",SUMIFS(Planning_Mkt!T$5:T$133,Planning_Mkt!$B$5:$B$133,"Agency Fees"),SUMIF('Dept. Cost Actuals'!$E$7:$E$176,"*Paid Media*",'Dept. Cost Actuals'!AU$181:AU$350))</f>
        <v>0</v>
      </c>
      <c r="AR50" s="668">
        <f>IF(AR$4="forecast",SUMIFS(Planning_Mkt!U$5:U$133,Planning_Mkt!$B$5:$B$133,"Agency Fees"),SUMIF('Dept. Cost Actuals'!$E$7:$E$176,"*Paid Media*",'Dept. Cost Actuals'!AV$181:AV$350))</f>
        <v>0</v>
      </c>
      <c r="AS50" s="668">
        <f>IF(AS$4="forecast",SUMIFS(Planning_Mkt!V$5:V$133,Planning_Mkt!$B$5:$B$133,"Agency Fees"),SUMIF('Dept. Cost Actuals'!$E$7:$E$176,"*Paid Media*",'Dept. Cost Actuals'!AW$181:AW$350))</f>
        <v>0</v>
      </c>
      <c r="AT50" s="668">
        <f>IF(AT$4="forecast",SUMIFS(Planning_Mkt!W$5:W$133,Planning_Mkt!$B$5:$B$133,"Agency Fees"),SUMIF('Dept. Cost Actuals'!$E$7:$E$176,"*Paid Media*",'Dept. Cost Actuals'!AX$181:AX$350))</f>
        <v>0</v>
      </c>
      <c r="AU50" s="668">
        <f>IF(AU$4="forecast",SUMIFS(Planning_Mkt!X$5:X$133,Planning_Mkt!$B$5:$B$133,"Agency Fees"),SUMIF('Dept. Cost Actuals'!$E$7:$E$176,"*Paid Media*",'Dept. Cost Actuals'!AY$181:AY$350))</f>
        <v>0</v>
      </c>
      <c r="AV50" s="668">
        <f>IF(AV$4="forecast",SUMIFS(Planning_Mkt!Y$5:Y$133,Planning_Mkt!$B$5:$B$133,"Agency Fees"),SUMIF('Dept. Cost Actuals'!$E$7:$E$176,"*Paid Media*",'Dept. Cost Actuals'!AZ$181:AZ$350))</f>
        <v>0</v>
      </c>
      <c r="AW50" s="668">
        <f>IF(AW$4="forecast",SUMIFS(Planning_Mkt!Z$5:Z$133,Planning_Mkt!$B$5:$B$133,"Agency Fees"),SUMIF('Dept. Cost Actuals'!$E$7:$E$176,"*Paid Media*",'Dept. Cost Actuals'!BA$181:BA$350))</f>
        <v>0</v>
      </c>
      <c r="AX50" s="668">
        <f>IF(AX$4="forecast",SUMIFS(Planning_Mkt!AA$5:AA$133,Planning_Mkt!$B$5:$B$133,"Agency Fees"),SUMIF('Dept. Cost Actuals'!$E$7:$E$176,"*Paid Media*",'Dept. Cost Actuals'!BB$181:BB$350))</f>
        <v>0</v>
      </c>
      <c r="AY50" s="668">
        <f>IF(AY$4="forecast",SUMIFS(Planning_Mkt!AB$5:AB$133,Planning_Mkt!$B$5:$B$133,"Agency Fees"),SUMIF('Dept. Cost Actuals'!$E$7:$E$176,"*Paid Media*",'Dept. Cost Actuals'!BC$181:BC$350))</f>
        <v>0</v>
      </c>
      <c r="AZ50" s="668">
        <f>IF(AZ$4="forecast",'CAC Update'!BB9,SUMIF('Dept. Cost Actuals'!$E$7:$E$176,"*Paid Media*",'Dept. Cost Actuals'!BD$181:BD$350))</f>
        <v>400000</v>
      </c>
      <c r="BA50" s="668">
        <f>IF(BA$4="forecast",'CAC Update'!BC9,SUMIF('Dept. Cost Actuals'!$E$7:$E$176,"*Paid Media*",'Dept. Cost Actuals'!BE$181:BE$350))</f>
        <v>400000</v>
      </c>
      <c r="BB50" s="668">
        <f>IF(BB$4="forecast",'CAC Update'!BD9,SUMIF('Dept. Cost Actuals'!$E$7:$E$176,"*Paid Media*",'Dept. Cost Actuals'!BF$181:BF$350))</f>
        <v>400000</v>
      </c>
      <c r="BC50" s="668">
        <f>IF(BC$4="forecast",'CAC Update'!BE9,SUMIF('Dept. Cost Actuals'!$E$7:$E$176,"*Paid Media*",'Dept. Cost Actuals'!BG$181:BG$350))</f>
        <v>400000</v>
      </c>
      <c r="BD50" s="668">
        <f>IF(BD$4="forecast",'CAC Update'!BF9,SUMIF('Dept. Cost Actuals'!$E$7:$E$176,"*Paid Media*",'Dept. Cost Actuals'!BH$181:BH$350))</f>
        <v>400000</v>
      </c>
      <c r="BE50" s="668">
        <f>IF(BE$4="forecast",'CAC Update'!BG9,SUMIF('Dept. Cost Actuals'!$E$7:$E$176,"*Paid Media*",'Dept. Cost Actuals'!BI$181:BI$350))</f>
        <v>400000</v>
      </c>
      <c r="BF50" s="668">
        <f>IF(BF$4="forecast",'CAC Update'!BH9,SUMIF('Dept. Cost Actuals'!$E$7:$E$176,"*Paid Media*",'Dept. Cost Actuals'!BJ$181:BJ$350))</f>
        <v>400000</v>
      </c>
      <c r="BG50" s="668">
        <f>IF(BG$4="forecast",'CAC Update'!BI9,SUMIF('Dept. Cost Actuals'!$E$7:$E$176,"*Paid Media*",'Dept. Cost Actuals'!BK$181:BK$350))</f>
        <v>400000</v>
      </c>
      <c r="BH50" s="668">
        <f>IF(BH$4="forecast",'CAC Update'!BJ9,SUMIF('Dept. Cost Actuals'!$E$7:$E$176,"*Paid Media*",'Dept. Cost Actuals'!BL$181:BL$350))</f>
        <v>400000</v>
      </c>
      <c r="BI50" s="668">
        <f>IF(BI$4="forecast",'CAC Update'!BK9,SUMIF('Dept. Cost Actuals'!$E$7:$E$176,"*Paid Media*",'Dept. Cost Actuals'!BM$181:BM$350))</f>
        <v>400000</v>
      </c>
      <c r="BJ50" s="668">
        <f>IF(BJ$4="forecast",'CAC Update'!BL9,SUMIF('Dept. Cost Actuals'!$E$7:$E$176,"*Paid Media*",'Dept. Cost Actuals'!BN$181:BN$350))</f>
        <v>400000</v>
      </c>
      <c r="BK50" s="668">
        <f>IF(BK$4="forecast",'CAC Update'!BM9,SUMIF('Dept. Cost Actuals'!$E$7:$E$176,"*Paid Media*",'Dept. Cost Actuals'!BO$181:BO$350))</f>
        <v>0</v>
      </c>
      <c r="BL50" s="668">
        <f>IF(BL$4="forecast",'CAC Update'!BN9,SUMIF('Dept. Cost Actuals'!$E$7:$E$176,"*Paid Media*",'Dept. Cost Actuals'!BP$181:BP$350))</f>
        <v>0</v>
      </c>
      <c r="BM50" s="668">
        <f>IF(BM$4="forecast",'CAC Update'!BO9,SUMIF('Dept. Cost Actuals'!$E$7:$E$176,"*Paid Media*",'Dept. Cost Actuals'!BQ$181:BQ$350))</f>
        <v>0</v>
      </c>
      <c r="BN50" s="668">
        <f>IF(BN$4="forecast",'CAC Update'!BP9,SUMIF('Dept. Cost Actuals'!$E$7:$E$176,"*Paid Media*",'Dept. Cost Actuals'!BR$181:BR$350))</f>
        <v>0</v>
      </c>
      <c r="BO50" s="668">
        <f>IF(BO$4="forecast",'CAC Update'!BQ9,SUMIF('Dept. Cost Actuals'!$E$7:$E$176,"*Paid Media*",'Dept. Cost Actuals'!BS$181:BS$350))</f>
        <v>0</v>
      </c>
      <c r="BP50" s="668">
        <f>IF(BP$4="forecast",'CAC Update'!BR9,SUMIF('Dept. Cost Actuals'!$E$7:$E$176,"*Paid Media*",'Dept. Cost Actuals'!BT$181:BT$350))</f>
        <v>0</v>
      </c>
      <c r="BQ50" s="668">
        <f>IF(BQ$4="forecast",'CAC Update'!BS9,SUMIF('Dept. Cost Actuals'!$E$7:$E$176,"*Paid Media*",'Dept. Cost Actuals'!BU$181:BU$350))</f>
        <v>0</v>
      </c>
      <c r="BR50" s="668">
        <f>IF(BR$4="forecast",'CAC Update'!BT9,SUMIF('Dept. Cost Actuals'!$E$7:$E$176,"*Paid Media*",'Dept. Cost Actuals'!BV$181:BV$350))</f>
        <v>0</v>
      </c>
      <c r="BS50" s="668">
        <f>IF(BS$4="forecast",'CAC Update'!BU9,SUMIF('Dept. Cost Actuals'!$E$7:$E$176,"*Paid Media*",'Dept. Cost Actuals'!BW$181:BW$350))</f>
        <v>0</v>
      </c>
      <c r="BT50" s="668">
        <f>IF(BT$4="forecast",'CAC Update'!BV9,SUMIF('Dept. Cost Actuals'!$E$7:$E$176,"*Paid Media*",'Dept. Cost Actuals'!BX$181:BX$350))</f>
        <v>0</v>
      </c>
      <c r="BU50" s="668">
        <f>IF(BU$4="forecast",'CAC Update'!BW9,SUMIF('Dept. Cost Actuals'!$E$7:$E$176,"*Paid Media*",'Dept. Cost Actuals'!BY$181:BY$350))</f>
        <v>0</v>
      </c>
      <c r="BV50" s="668">
        <f>IF(BV$4="forecast",'CAC Update'!BX9,SUMIF('Dept. Cost Actuals'!$E$7:$E$176,"*Paid Media*",'Dept. Cost Actuals'!BZ$181:BZ$350))</f>
        <v>0</v>
      </c>
    </row>
    <row r="51" spans="2:74" x14ac:dyDescent="0.25">
      <c r="B51" s="854" t="s">
        <v>990</v>
      </c>
      <c r="C51" s="668">
        <f>IF(C$4="forecast",SUMIFS(Planning_Mkt!#REF!,Planning_Mkt!$B$5:$B$133,"PR"),SUMIF('Dept. Cost Actuals'!$E$7:$E$176,"*Public*",'Dept. Cost Actuals'!G$181:G$350))</f>
        <v>0</v>
      </c>
      <c r="D51" s="668">
        <f>IF(D$4="forecast",SUMIFS(Planning_Mkt!#REF!,Planning_Mkt!$B$5:$B$133,"PR"),SUMIF('Dept. Cost Actuals'!$E$7:$E$176,"*Public*",'Dept. Cost Actuals'!H$181:H$350))</f>
        <v>0</v>
      </c>
      <c r="E51" s="668">
        <f>IF(E$4="forecast",SUMIFS(Planning_Mkt!#REF!,Planning_Mkt!$B$5:$B$133,"PR"),SUMIF('Dept. Cost Actuals'!$E$7:$E$176,"*Public*",'Dept. Cost Actuals'!I$181:I$350))</f>
        <v>0</v>
      </c>
      <c r="F51" s="668">
        <f>IF(F$4="forecast",SUMIFS(Planning_Mkt!#REF!,Planning_Mkt!$B$5:$B$133,"PR"),SUMIF('Dept. Cost Actuals'!$E$7:$E$176,"*Public*",'Dept. Cost Actuals'!J$181:J$350))</f>
        <v>0</v>
      </c>
      <c r="G51" s="668">
        <f>IF(G$4="forecast",SUMIFS(Planning_Mkt!#REF!,Planning_Mkt!$B$5:$B$133,"PR"),SUMIF('Dept. Cost Actuals'!$E$7:$E$176,"*Public*",'Dept. Cost Actuals'!K$181:K$350))</f>
        <v>0</v>
      </c>
      <c r="H51" s="668">
        <f>IF(H$4="forecast",SUMIFS(Planning_Mkt!#REF!,Planning_Mkt!$B$5:$B$133,"PR"),SUMIF('Dept. Cost Actuals'!$E$7:$E$176,"*Public*",'Dept. Cost Actuals'!L$181:L$350))</f>
        <v>0</v>
      </c>
      <c r="I51" s="668">
        <f>IF(I$4="forecast",SUMIFS(Planning_Mkt!#REF!,Planning_Mkt!$B$5:$B$133,"PR"),SUMIF('Dept. Cost Actuals'!$E$7:$E$176,"*Public*",'Dept. Cost Actuals'!M$181:M$350))</f>
        <v>0</v>
      </c>
      <c r="J51" s="668">
        <f>IF(J$4="forecast",SUMIFS(Planning_Mkt!#REF!,Planning_Mkt!$B$5:$B$133,"PR"),SUMIF('Dept. Cost Actuals'!$E$7:$E$176,"*Public*",'Dept. Cost Actuals'!N$181:N$350))</f>
        <v>0</v>
      </c>
      <c r="K51" s="668">
        <f>IF(K$4="forecast",SUMIFS(Planning_Mkt!#REF!,Planning_Mkt!$B$5:$B$133,"PR"),SUMIF('Dept. Cost Actuals'!$E$7:$E$176,"*Public*",'Dept. Cost Actuals'!O$181:O$350))</f>
        <v>0</v>
      </c>
      <c r="L51" s="668">
        <f>IF(L$4="forecast",SUMIFS(Planning_Mkt!#REF!,Planning_Mkt!$B$5:$B$133,"PR"),SUMIF('Dept. Cost Actuals'!$E$7:$E$176,"*Public*",'Dept. Cost Actuals'!P$181:P$350))</f>
        <v>0</v>
      </c>
      <c r="M51" s="668">
        <f>IF(M$4="forecast",SUMIFS(Planning_Mkt!#REF!,Planning_Mkt!$B$5:$B$133,"PR"),SUMIF('Dept. Cost Actuals'!$E$7:$E$176,"*Public*",'Dept. Cost Actuals'!Q$181:Q$350))</f>
        <v>0</v>
      </c>
      <c r="N51" s="668">
        <f>IF(N$4="forecast",SUMIFS(Planning_Mkt!#REF!,Planning_Mkt!$B$5:$B$133,"PR"),SUMIF('Dept. Cost Actuals'!$E$7:$E$176,"*Public*",'Dept. Cost Actuals'!R$181:R$350))</f>
        <v>0</v>
      </c>
      <c r="O51" s="668">
        <f>IF(O$4="forecast",SUMIFS(Planning_Mkt!#REF!,Planning_Mkt!$B$5:$B$133,"PR"),SUMIF('Dept. Cost Actuals'!$E$7:$E$176,"*Public*",'Dept. Cost Actuals'!S$181:S$350))</f>
        <v>8130</v>
      </c>
      <c r="P51" s="668">
        <f>IF(P$4="forecast",SUMIFS(Planning_Mkt!#REF!,Planning_Mkt!$B$5:$B$133,"PR"),SUMIF('Dept. Cost Actuals'!$E$7:$E$176,"*Public*",'Dept. Cost Actuals'!T$181:T$350))</f>
        <v>6635</v>
      </c>
      <c r="Q51" s="668">
        <f>IF(Q$4="forecast",SUMIFS(Planning_Mkt!#REF!,Planning_Mkt!$B$5:$B$133,"PR"),SUMIF('Dept. Cost Actuals'!$E$7:$E$176,"*Public*",'Dept. Cost Actuals'!U$181:U$350))</f>
        <v>6550</v>
      </c>
      <c r="R51" s="668">
        <f>IF(R$4="forecast",SUMIFS(Planning_Mkt!#REF!,Planning_Mkt!$B$5:$B$133,"PR"),SUMIF('Dept. Cost Actuals'!$E$7:$E$176,"*Public*",'Dept. Cost Actuals'!V$181:V$350))</f>
        <v>6805</v>
      </c>
      <c r="S51" s="668">
        <f>IF(S$4="forecast",SUMIFS(Planning_Mkt!#REF!,Planning_Mkt!$B$5:$B$133,"PR"),SUMIF('Dept. Cost Actuals'!$E$7:$E$176,"*Public*",'Dept. Cost Actuals'!W$181:W$350))</f>
        <v>7525</v>
      </c>
      <c r="T51" s="668">
        <f>IF(T$4="forecast",SUMIFS(Planning_Mkt!#REF!,Planning_Mkt!$B$5:$B$133,"PR"),SUMIF('Dept. Cost Actuals'!$E$7:$E$176,"*Public*",'Dept. Cost Actuals'!X$181:X$350))</f>
        <v>24000</v>
      </c>
      <c r="U51" s="668">
        <f>IF(U$4="forecast",SUMIFS(Planning_Mkt!#REF!,Planning_Mkt!$B$5:$B$133,"PR"),SUMIF('Dept. Cost Actuals'!$E$7:$E$176,"*Public*",'Dept. Cost Actuals'!Y$181:Y$350))</f>
        <v>18016.48</v>
      </c>
      <c r="V51" s="668">
        <f>IF(V$4="forecast",SUMIFS(Planning_Mkt!#REF!,Planning_Mkt!$B$5:$B$133,"PR"),SUMIF('Dept. Cost Actuals'!$E$7:$E$176,"*Public*",'Dept. Cost Actuals'!Z$181:Z$350))</f>
        <v>18610.48</v>
      </c>
      <c r="W51" s="668">
        <f>IF(W$4="forecast",SUMIFS(Planning_Mkt!#REF!,Planning_Mkt!$B$5:$B$133,"PR"),SUMIF('Dept. Cost Actuals'!$E$7:$E$176,"*Public*",'Dept. Cost Actuals'!AA$181:AA$350))</f>
        <v>20104</v>
      </c>
      <c r="X51" s="668">
        <f>IF(X$4="forecast",SUMIFS(Planning_Mkt!A$5:A$133,Planning_Mkt!$B$5:$B$133,"PR"),SUMIF('Dept. Cost Actuals'!$E$7:$E$176,"*Public*",'Dept. Cost Actuals'!AB$181:AB$350))</f>
        <v>18030.95</v>
      </c>
      <c r="Y51" s="668">
        <f>IF(Y$4="forecast",SUMIFS(Planning_Mkt!B$5:B$133,Planning_Mkt!$B$5:$B$133,"PR"),SUMIF('Dept. Cost Actuals'!$E$7:$E$176,"*Public*",'Dept. Cost Actuals'!AC$181:AC$350))</f>
        <v>18134.849999999999</v>
      </c>
      <c r="Z51" s="668">
        <f>IF(Z$4="forecast",SUMIFS(Planning_Mkt!C$5:C$133,Planning_Mkt!$B$5:$B$133,"PR"),SUMIF('Dept. Cost Actuals'!$E$7:$E$176,"*Public*",'Dept. Cost Actuals'!AD$181:AD$350))</f>
        <v>18093.21</v>
      </c>
      <c r="AA51" s="668">
        <f>IF(AA$4="forecast",SUMIFS(Planning_Mkt!D$5:D$133,Planning_Mkt!$B$5:$B$133,"PR"),SUMIF('Dept. Cost Actuals'!$E$7:$E$176,"*Public*",'Dept. Cost Actuals'!AE$181:AE$350))</f>
        <v>18000</v>
      </c>
      <c r="AB51" s="668">
        <f>IF(AB$4="forecast",SUMIFS(Planning_Mkt!E$5:E$133,Planning_Mkt!$B$5:$B$133,"PR"),SUMIF('Dept. Cost Actuals'!$E$7:$E$176,"*Public*",'Dept. Cost Actuals'!AF$181:AF$350))</f>
        <v>18000</v>
      </c>
      <c r="AC51" s="668">
        <f>IF(AC$4="forecast",SUMIFS(Planning_Mkt!F$5:F$133,Planning_Mkt!$B$5:$B$133,"PR"),SUMIF('Dept. Cost Actuals'!$E$7:$E$176,"*Public*",'Dept. Cost Actuals'!AG$181:AG$350))</f>
        <v>18959</v>
      </c>
      <c r="AD51" s="668">
        <f>IF(AD$4="forecast",SUMIFS(Planning_Mkt!G$5:G$133,Planning_Mkt!$B$5:$B$133,"PR"),SUMIF('Dept. Cost Actuals'!$E$7:$E$176,"*Public*",'Dept. Cost Actuals'!AH$181:AH$350))</f>
        <v>18000</v>
      </c>
      <c r="AE51" s="668">
        <f>IF(AE$4="forecast",SUMIFS(Planning_Mkt!H$5:H$133,Planning_Mkt!$B$5:$B$133,"PR"),SUMIF('Dept. Cost Actuals'!$E$7:$E$176,"*Public*",'Dept. Cost Actuals'!AI$181:AI$350))</f>
        <v>18000</v>
      </c>
      <c r="AF51" s="668">
        <f>IF(AF$4="forecast",SUMIFS(Planning_Mkt!I$5:I$133,Planning_Mkt!$B$5:$B$133,"PR"),SUMIF('Dept. Cost Actuals'!$E$7:$E$176,"*Public*",'Dept. Cost Actuals'!AJ$181:AJ$350))</f>
        <v>18000</v>
      </c>
      <c r="AG51" s="668">
        <f>IF(AG$4="forecast",SUMIFS(Planning_Mkt!J$5:J$133,Planning_Mkt!$B$5:$B$133,"PR"),SUMIF('Dept. Cost Actuals'!$E$7:$E$176,"*Public*",'Dept. Cost Actuals'!AK$181:AK$350))</f>
        <v>18000</v>
      </c>
      <c r="AH51" s="668">
        <f>IF(AH$4="forecast",SUMIFS(Planning_Mkt!K$5:K$133,Planning_Mkt!$B$5:$B$133,"PR"),SUMIF('Dept. Cost Actuals'!$E$7:$E$176,"*Public*",'Dept. Cost Actuals'!AL$181:AL$350))</f>
        <v>18000</v>
      </c>
      <c r="AI51" s="668">
        <f>IF(AI$4="forecast",SUMIFS(Planning_Mkt!L$5:L$133,Planning_Mkt!$B$5:$B$133,"PR"),SUMIF('Dept. Cost Actuals'!$E$7:$E$176,"*Public*",'Dept. Cost Actuals'!AM$181:AM$350))</f>
        <v>18000</v>
      </c>
      <c r="AJ51" s="668">
        <f>IF(AJ$4="forecast",SUMIFS(Planning_Mkt!M$5:M$133,Planning_Mkt!$B$5:$B$133,"PR"),SUMIF('Dept. Cost Actuals'!$E$7:$E$176,"*Public*",'Dept. Cost Actuals'!AN$181:AN$350))</f>
        <v>18000</v>
      </c>
      <c r="AK51" s="668">
        <f>IF(AK$4="forecast",SUMIFS(Planning_Mkt!N$5:N$133,Planning_Mkt!$B$5:$B$133,"PR"),SUMIF('Dept. Cost Actuals'!$E$7:$E$176,"*Public*",'Dept. Cost Actuals'!AO$181:AO$350))</f>
        <v>18000</v>
      </c>
      <c r="AL51" s="668">
        <f>IF(AL$4="forecast",SUMIFS(Planning_Mkt!O$5:O$133,Planning_Mkt!$B$5:$B$133,"PR"),SUMIF('Dept. Cost Actuals'!$E$7:$E$176,"*Public*",'Dept. Cost Actuals'!AP$181:AP$350))</f>
        <v>18000</v>
      </c>
      <c r="AM51" s="668">
        <f>IF(AM$4="forecast",SUMIFS(Planning_Mkt!P$5:P$133,Planning_Mkt!$B$5:$B$133,"PR"),SUMIF('Dept. Cost Actuals'!$E$7:$E$176,"*Public*",'Dept. Cost Actuals'!AQ$181:AQ$350))</f>
        <v>216000</v>
      </c>
      <c r="AN51" s="668">
        <f>IF(AN$4="forecast",SUMIFS(Planning_Mkt!Q$5:Q$133,Planning_Mkt!$B$5:$B$133,"PR"),SUMIF('Dept. Cost Actuals'!$E$7:$E$176,"*Public*",'Dept. Cost Actuals'!AR$181:AR$350))</f>
        <v>0</v>
      </c>
      <c r="AO51" s="668">
        <f>IF(AO$4="forecast",SUMIFS(Planning_Mkt!R$5:R$133,Planning_Mkt!$B$5:$B$133,"PR"),SUMIF('Dept. Cost Actuals'!$E$7:$E$176,"*Public*",'Dept. Cost Actuals'!AS$181:AS$350))</f>
        <v>0</v>
      </c>
      <c r="AP51" s="668">
        <f>IF(AP$4="forecast",SUMIFS(Planning_Mkt!S$5:S$133,Planning_Mkt!$B$5:$B$133,"PR"),SUMIF('Dept. Cost Actuals'!$E$7:$E$176,"*Public*",'Dept. Cost Actuals'!AT$181:AT$350))</f>
        <v>0</v>
      </c>
      <c r="AQ51" s="668">
        <f>IF(AQ$4="forecast",SUMIFS(Planning_Mkt!T$5:T$133,Planning_Mkt!$B$5:$B$133,"PR"),SUMIF('Dept. Cost Actuals'!$E$7:$E$176,"*Public*",'Dept. Cost Actuals'!AU$181:AU$350))</f>
        <v>0</v>
      </c>
      <c r="AR51" s="668">
        <f>IF(AR$4="forecast",SUMIFS(Planning_Mkt!U$5:U$133,Planning_Mkt!$B$5:$B$133,"PR"),SUMIF('Dept. Cost Actuals'!$E$7:$E$176,"*Public*",'Dept. Cost Actuals'!AV$181:AV$350))</f>
        <v>0</v>
      </c>
      <c r="AS51" s="668">
        <f>IF(AS$4="forecast",SUMIFS(Planning_Mkt!V$5:V$133,Planning_Mkt!$B$5:$B$133,"PR"),SUMIF('Dept. Cost Actuals'!$E$7:$E$176,"*Public*",'Dept. Cost Actuals'!AW$181:AW$350))</f>
        <v>0</v>
      </c>
      <c r="AT51" s="668">
        <f>IF(AT$4="forecast",SUMIFS(Planning_Mkt!W$5:W$133,Planning_Mkt!$B$5:$B$133,"PR"),SUMIF('Dept. Cost Actuals'!$E$7:$E$176,"*Public*",'Dept. Cost Actuals'!AX$181:AX$350))</f>
        <v>0</v>
      </c>
      <c r="AU51" s="668">
        <f>IF(AU$4="forecast",SUMIFS(Planning_Mkt!X$5:X$133,Planning_Mkt!$B$5:$B$133,"PR"),SUMIF('Dept. Cost Actuals'!$E$7:$E$176,"*Public*",'Dept. Cost Actuals'!AY$181:AY$350))</f>
        <v>0</v>
      </c>
      <c r="AV51" s="668">
        <f>IF(AV$4="forecast",SUMIFS(Planning_Mkt!Y$5:Y$133,Planning_Mkt!$B$5:$B$133,"PR"),SUMIF('Dept. Cost Actuals'!$E$7:$E$176,"*Public*",'Dept. Cost Actuals'!AZ$181:AZ$350))</f>
        <v>0</v>
      </c>
      <c r="AW51" s="668">
        <f>IF(AW$4="forecast",SUMIFS(Planning_Mkt!Z$5:Z$133,Planning_Mkt!$B$5:$B$133,"PR"),SUMIF('Dept. Cost Actuals'!$E$7:$E$176,"*Public*",'Dept. Cost Actuals'!BA$181:BA$350))</f>
        <v>0</v>
      </c>
      <c r="AX51" s="668">
        <f>IF(AX$4="forecast",SUMIFS(Planning_Mkt!AA$5:AA$133,Planning_Mkt!$B$5:$B$133,"PR"),SUMIF('Dept. Cost Actuals'!$E$7:$E$176,"*Public*",'Dept. Cost Actuals'!BB$181:BB$350))</f>
        <v>0</v>
      </c>
      <c r="AY51" s="668">
        <f>IF(AY$4="forecast",SUMIFS(Planning_Mkt!AB$5:AB$133,Planning_Mkt!$B$5:$B$133,"PR"),SUMIF('Dept. Cost Actuals'!$E$7:$E$176,"*Public*",'Dept. Cost Actuals'!BC$181:BC$350))</f>
        <v>0</v>
      </c>
      <c r="AZ51" s="668">
        <f>IF(AZ$4="forecast",SUMIFS(Planning_Mkt!AC$5:AC$133,Planning_Mkt!$B$5:$B$133,"PR"),SUMIF('Dept. Cost Actuals'!$E$7:$E$176,"*Public*",'Dept. Cost Actuals'!BD$181:BD$350))</f>
        <v>0</v>
      </c>
      <c r="BA51" s="668">
        <f>IF(BA$4="forecast",SUMIFS(Planning_Mkt!AD$5:AD$133,Planning_Mkt!$B$5:$B$133,"PR"),SUMIF('Dept. Cost Actuals'!$E$7:$E$176,"*Public*",'Dept. Cost Actuals'!BE$181:BE$350))</f>
        <v>0</v>
      </c>
      <c r="BB51" s="668">
        <f>IF(BB$4="forecast",SUMIFS(Planning_Mkt!AE$5:AE$133,Planning_Mkt!$B$5:$B$133,"PR"),SUMIF('Dept. Cost Actuals'!$E$7:$E$176,"*Public*",'Dept. Cost Actuals'!BF$181:BF$350))</f>
        <v>0</v>
      </c>
      <c r="BC51" s="668">
        <f>IF(BC$4="forecast",SUMIFS(Planning_Mkt!AF$5:AF$133,Planning_Mkt!$B$5:$B$133,"PR"),SUMIF('Dept. Cost Actuals'!$E$7:$E$176,"*Public*",'Dept. Cost Actuals'!BG$181:BG$350))</f>
        <v>0</v>
      </c>
      <c r="BD51" s="668">
        <f>IF(BD$4="forecast",SUMIFS(Planning_Mkt!AG$5:AG$133,Planning_Mkt!$B$5:$B$133,"PR"),SUMIF('Dept. Cost Actuals'!$E$7:$E$176,"*Public*",'Dept. Cost Actuals'!BH$181:BH$350))</f>
        <v>0</v>
      </c>
      <c r="BE51" s="668">
        <f>IF(BE$4="forecast",SUMIFS(Planning_Mkt!AH$5:AH$133,Planning_Mkt!$B$5:$B$133,"PR"),SUMIF('Dept. Cost Actuals'!$E$7:$E$176,"*Public*",'Dept. Cost Actuals'!BI$181:BI$350))</f>
        <v>0</v>
      </c>
      <c r="BF51" s="668">
        <f>IF(BF$4="forecast",SUMIFS(Planning_Mkt!AI$5:AI$133,Planning_Mkt!$B$5:$B$133,"PR"),SUMIF('Dept. Cost Actuals'!$E$7:$E$176,"*Public*",'Dept. Cost Actuals'!BJ$181:BJ$350))</f>
        <v>0</v>
      </c>
      <c r="BG51" s="668">
        <f>IF(BG$4="forecast",SUMIFS(Planning_Mkt!AJ$5:AJ$133,Planning_Mkt!$B$5:$B$133,"PR"),SUMIF('Dept. Cost Actuals'!$E$7:$E$176,"*Public*",'Dept. Cost Actuals'!BK$181:BK$350))</f>
        <v>0</v>
      </c>
      <c r="BH51" s="668">
        <f>IF(BH$4="forecast",SUMIFS(Planning_Mkt!AK$5:AK$133,Planning_Mkt!$B$5:$B$133,"PR"),SUMIF('Dept. Cost Actuals'!$E$7:$E$176,"*Public*",'Dept. Cost Actuals'!BL$181:BL$350))</f>
        <v>0</v>
      </c>
      <c r="BI51" s="668">
        <f>IF(BI$4="forecast",SUMIFS(Planning_Mkt!AL$5:AL$133,Planning_Mkt!$B$5:$B$133,"PR"),SUMIF('Dept. Cost Actuals'!$E$7:$E$176,"*Public*",'Dept. Cost Actuals'!BM$181:BM$350))</f>
        <v>0</v>
      </c>
      <c r="BJ51" s="668">
        <f>IF(BJ$4="forecast",SUMIFS(Planning_Mkt!AM$5:AM$133,Planning_Mkt!$B$5:$B$133,"PR"),SUMIF('Dept. Cost Actuals'!$E$7:$E$176,"*Public*",'Dept. Cost Actuals'!BN$181:BN$350))</f>
        <v>0</v>
      </c>
      <c r="BK51" s="668">
        <f>IF(BK$4="forecast",SUMIFS(Planning_Mkt!AN$5:AN$133,Planning_Mkt!$B$5:$B$133,"PR"),SUMIF('Dept. Cost Actuals'!$E$7:$E$176,"*Public*",'Dept. Cost Actuals'!BO$181:BO$350))</f>
        <v>0</v>
      </c>
      <c r="BL51" s="668">
        <f>IF(BL$4="forecast",SUMIFS(Planning_Mkt!AO$5:AO$133,Planning_Mkt!$B$5:$B$133,"PR"),SUMIF('Dept. Cost Actuals'!$E$7:$E$176,"*Public*",'Dept. Cost Actuals'!BP$181:BP$350))</f>
        <v>0</v>
      </c>
      <c r="BM51" s="668">
        <f>IF(BM$4="forecast",SUMIFS(Planning_Mkt!AP$5:AP$133,Planning_Mkt!$B$5:$B$133,"PR"),SUMIF('Dept. Cost Actuals'!$E$7:$E$176,"*Public*",'Dept. Cost Actuals'!BQ$181:BQ$350))</f>
        <v>0</v>
      </c>
      <c r="BN51" s="668">
        <f>IF(BN$4="forecast",SUMIFS(Planning_Mkt!AQ$5:AQ$133,Planning_Mkt!$B$5:$B$133,"PR"),SUMIF('Dept. Cost Actuals'!$E$7:$E$176,"*Public*",'Dept. Cost Actuals'!BR$181:BR$350))</f>
        <v>0</v>
      </c>
      <c r="BO51" s="668">
        <f>IF(BO$4="forecast",SUMIFS(Planning_Mkt!AR$5:AR$133,Planning_Mkt!$B$5:$B$133,"PR"),SUMIF('Dept. Cost Actuals'!$E$7:$E$176,"*Public*",'Dept. Cost Actuals'!BS$181:BS$350))</f>
        <v>0</v>
      </c>
      <c r="BP51" s="668">
        <f>IF(BP$4="forecast",SUMIFS(Planning_Mkt!AS$5:AS$133,Planning_Mkt!$B$5:$B$133,"PR"),SUMIF('Dept. Cost Actuals'!$E$7:$E$176,"*Public*",'Dept. Cost Actuals'!BT$181:BT$350))</f>
        <v>0</v>
      </c>
      <c r="BQ51" s="668">
        <f>IF(BQ$4="forecast",SUMIFS(Planning_Mkt!AT$5:AT$133,Planning_Mkt!$B$5:$B$133,"PR"),SUMIF('Dept. Cost Actuals'!$E$7:$E$176,"*Public*",'Dept. Cost Actuals'!BU$181:BU$350))</f>
        <v>0</v>
      </c>
      <c r="BR51" s="668">
        <f>IF(BR$4="forecast",SUMIFS(Planning_Mkt!AU$5:AU$133,Planning_Mkt!$B$5:$B$133,"PR"),SUMIF('Dept. Cost Actuals'!$E$7:$E$176,"*Public*",'Dept. Cost Actuals'!BV$181:BV$350))</f>
        <v>0</v>
      </c>
      <c r="BS51" s="668">
        <f>IF(BS$4="forecast",SUMIFS(Planning_Mkt!AV$5:AV$133,Planning_Mkt!$B$5:$B$133,"PR"),SUMIF('Dept. Cost Actuals'!$E$7:$E$176,"*Public*",'Dept. Cost Actuals'!BW$181:BW$350))</f>
        <v>0</v>
      </c>
      <c r="BT51" s="668">
        <f>IF(BT$4="forecast",SUMIFS(Planning_Mkt!AW$5:AW$133,Planning_Mkt!$B$5:$B$133,"PR"),SUMIF('Dept. Cost Actuals'!$E$7:$E$176,"*Public*",'Dept. Cost Actuals'!BX$181:BX$350))</f>
        <v>0</v>
      </c>
      <c r="BU51" s="668">
        <f>IF(BU$4="forecast",SUMIFS(Planning_Mkt!AX$5:AX$133,Planning_Mkt!$B$5:$B$133,"PR"),SUMIF('Dept. Cost Actuals'!$E$7:$E$176,"*Public*",'Dept. Cost Actuals'!BY$181:BY$350))</f>
        <v>0</v>
      </c>
      <c r="BV51" s="668">
        <f>IF(BV$4="forecast",SUMIFS(Planning_Mkt!AY$5:AY$133,Planning_Mkt!$B$5:$B$133,"PR"),SUMIF('Dept. Cost Actuals'!$E$7:$E$176,"*Public*",'Dept. Cost Actuals'!BZ$181:BZ$350))</f>
        <v>0</v>
      </c>
    </row>
    <row r="52" spans="2:74" x14ac:dyDescent="0.25">
      <c r="B52" s="854" t="s">
        <v>1260</v>
      </c>
      <c r="C52" s="668">
        <f>IF(C$4="forecast",SUMIFS(Planning_Mkt!#REF!,Planning_Mkt!$B$5:$B$133,"Agency Fees"),SUMIF('Dept. Cost Actuals'!$E$7:$E$176,"*Agency Fees*",'Dept. Cost Actuals'!G$181:G$350))</f>
        <v>91250.8</v>
      </c>
      <c r="D52" s="668">
        <f>IF(D$4="forecast",SUMIFS(Planning_Mkt!#REF!,Planning_Mkt!$B$5:$B$133,"Agency Fees"),SUMIF('Dept. Cost Actuals'!$E$7:$E$176,"*Agency Fees*",'Dept. Cost Actuals'!H$181:H$350))</f>
        <v>137787.19999999998</v>
      </c>
      <c r="E52" s="668">
        <f>IF(E$4="forecast",SUMIFS(Planning_Mkt!#REF!,Planning_Mkt!$B$5:$B$133,"Agency Fees"),SUMIF('Dept. Cost Actuals'!$E$7:$E$176,"*Agency Fees*",'Dept. Cost Actuals'!I$181:I$350))</f>
        <v>162742.02000000002</v>
      </c>
      <c r="F52" s="668">
        <f>IF(F$4="forecast",SUMIFS(Planning_Mkt!#REF!,Planning_Mkt!$B$5:$B$133,"Agency Fees"),SUMIF('Dept. Cost Actuals'!$E$7:$E$176,"*Agency Fees*",'Dept. Cost Actuals'!J$181:J$350))</f>
        <v>151877.41</v>
      </c>
      <c r="G52" s="668">
        <f>IF(G$4="forecast",SUMIFS(Planning_Mkt!#REF!,Planning_Mkt!$B$5:$B$133,"Agency Fees"),SUMIF('Dept. Cost Actuals'!$E$7:$E$176,"*Agency Fees*",'Dept. Cost Actuals'!K$181:K$350))</f>
        <v>115310.32</v>
      </c>
      <c r="H52" s="668">
        <f>IF(H$4="forecast",SUMIFS(Planning_Mkt!#REF!,Planning_Mkt!$B$5:$B$133,"Agency Fees"),SUMIF('Dept. Cost Actuals'!$E$7:$E$176,"*Agency Fees*",'Dept. Cost Actuals'!L$181:L$350))</f>
        <v>133316.34</v>
      </c>
      <c r="I52" s="668">
        <f>IF(I$4="forecast",SUMIFS(Planning_Mkt!#REF!,Planning_Mkt!$B$5:$B$133,"Agency Fees"),SUMIF('Dept. Cost Actuals'!$E$7:$E$176,"*Agency Fees*",'Dept. Cost Actuals'!M$181:M$350))</f>
        <v>125631.40000000001</v>
      </c>
      <c r="J52" s="668">
        <f>IF(J$4="forecast",SUMIFS(Planning_Mkt!#REF!,Planning_Mkt!$B$5:$B$133,"Agency Fees"),SUMIF('Dept. Cost Actuals'!$E$7:$E$176,"*Agency Fees*",'Dept. Cost Actuals'!N$181:N$350))</f>
        <v>142464.76</v>
      </c>
      <c r="K52" s="668">
        <f>IF(K$4="forecast",SUMIFS(Planning_Mkt!#REF!,Planning_Mkt!$B$5:$B$133,"Agency Fees"),SUMIF('Dept. Cost Actuals'!$E$7:$E$176,"*Agency Fees*",'Dept. Cost Actuals'!O$181:O$350))</f>
        <v>143788.80000000005</v>
      </c>
      <c r="L52" s="668">
        <f>IF(L$4="forecast",SUMIFS(Planning_Mkt!#REF!,Planning_Mkt!$B$5:$B$133,"Agency Fees"),SUMIF('Dept. Cost Actuals'!$E$7:$E$176,"*Agency Fees*",'Dept. Cost Actuals'!P$181:P$350))</f>
        <v>156742.78</v>
      </c>
      <c r="M52" s="668">
        <f>IF(M$4="forecast",SUMIFS(Planning_Mkt!#REF!,Planning_Mkt!$B$5:$B$133,"Agency Fees"),SUMIF('Dept. Cost Actuals'!$E$7:$E$176,"*Agency Fees*",'Dept. Cost Actuals'!Q$181:Q$350))</f>
        <v>88581.16</v>
      </c>
      <c r="N52" s="668">
        <f>IF(N$4="forecast",SUMIFS(Planning_Mkt!#REF!,Planning_Mkt!$B$5:$B$133,"Agency Fees"),SUMIF('Dept. Cost Actuals'!$E$7:$E$176,"*Agency Fees*",'Dept. Cost Actuals'!R$181:R$350))</f>
        <v>60219.11</v>
      </c>
      <c r="O52" s="668">
        <f>IF(O$4="forecast",SUMIFS(Planning_Mkt!#REF!,Planning_Mkt!$B$5:$B$133,"Agency Fees"),SUMIF('Dept. Cost Actuals'!$E$7:$E$176,"*Agency Fees*",'Dept. Cost Actuals'!S$181:S$350))</f>
        <v>228490.91</v>
      </c>
      <c r="P52" s="668">
        <f>IF(P$4="forecast",SUMIFS(Planning_Mkt!#REF!,Planning_Mkt!$B$5:$B$133,"Agency Fees"),SUMIF('Dept. Cost Actuals'!$E$7:$E$176,"*Agency Fees*",'Dept. Cost Actuals'!T$181:T$350))</f>
        <v>153736.46</v>
      </c>
      <c r="Q52" s="668">
        <f>IF(Q$4="forecast",SUMIFS(Planning_Mkt!#REF!,Planning_Mkt!$B$5:$B$133,"Agency Fees"),SUMIF('Dept. Cost Actuals'!$E$7:$E$176,"*Agency Fees*",'Dept. Cost Actuals'!U$181:U$350))</f>
        <v>213606.6</v>
      </c>
      <c r="R52" s="668">
        <f>IF(R$4="forecast",SUMIFS(Planning_Mkt!#REF!,Planning_Mkt!$B$5:$B$133,"Agency Fees"),SUMIF('Dept. Cost Actuals'!$E$7:$E$176,"*Agency Fees*",'Dept. Cost Actuals'!V$181:V$350))</f>
        <v>209812.42</v>
      </c>
      <c r="S52" s="668">
        <f>IF(S$4="forecast",SUMIFS(Planning_Mkt!#REF!,Planning_Mkt!$B$5:$B$133,"Agency Fees"),SUMIF('Dept. Cost Actuals'!$E$7:$E$176,"*Agency Fees*",'Dept. Cost Actuals'!W$181:W$350))</f>
        <v>239450.07</v>
      </c>
      <c r="T52" s="668">
        <f>IF(T$4="forecast",SUMIFS(Planning_Mkt!#REF!,Planning_Mkt!$B$5:$B$133,"Agency Fees"),SUMIF('Dept. Cost Actuals'!$E$7:$E$176,"*Agency Fees*",'Dept. Cost Actuals'!X$181:X$350))</f>
        <v>334802.44</v>
      </c>
      <c r="U52" s="668">
        <f>IF(U$4="forecast",SUMIFS(Planning_Mkt!#REF!,Planning_Mkt!$B$5:$B$133,"Agency Fees"),SUMIF('Dept. Cost Actuals'!$E$7:$E$176,"*Agency Fees*",'Dept. Cost Actuals'!Y$181:Y$350))</f>
        <v>558380.03</v>
      </c>
      <c r="V52" s="668">
        <f>IF(V$4="forecast",SUMIFS(Planning_Mkt!#REF!,Planning_Mkt!$B$5:$B$133,"Agency Fees"),SUMIF('Dept. Cost Actuals'!$E$7:$E$176,"*Agency Fees*",'Dept. Cost Actuals'!Z$181:Z$350))</f>
        <v>565582.63</v>
      </c>
      <c r="W52" s="668">
        <f>IF(W$4="forecast",SUMIFS(Planning_Mkt!#REF!,Planning_Mkt!$B$5:$B$133,"Agency Fees"),SUMIF('Dept. Cost Actuals'!$E$7:$E$176,"*Agency Fees*",'Dept. Cost Actuals'!AA$181:AA$350))</f>
        <v>341707.57</v>
      </c>
      <c r="X52" s="668">
        <f>IF(X$4="forecast",SUMIFS(Planning_Mkt!A$5:A$133,Planning_Mkt!$B$5:$B$133,"Agency Fees"),SUMIF('Dept. Cost Actuals'!$E$7:$E$176,"*Agency Fees*",'Dept. Cost Actuals'!AB$181:AB$350))</f>
        <v>317949.32</v>
      </c>
      <c r="Y52" s="668">
        <f>IF(Y$4="forecast",SUMIFS(Planning_Mkt!B$5:B$133,Planning_Mkt!$B$5:$B$133,"Agency Fees"),SUMIF('Dept. Cost Actuals'!$E$7:$E$176,"*Agency Fees*",'Dept. Cost Actuals'!AC$181:AC$350))</f>
        <v>363905.76</v>
      </c>
      <c r="Z52" s="668">
        <f>IF(Z$4="forecast",SUMIFS(Planning_Mkt!C$5:C$133,Planning_Mkt!$B$5:$B$133,"Agency Fees"),SUMIF('Dept. Cost Actuals'!$E$7:$E$176,"*Agency Fees*",'Dept. Cost Actuals'!AD$181:AD$350))</f>
        <v>283172.84999999998</v>
      </c>
      <c r="AA52" s="668">
        <f>IF(AA$4="forecast",SUMIFS(Planning_Mkt!D$5:D$133,Planning_Mkt!$B$5:$B$133,"Agency Fees"),SUMIF('Dept. Cost Actuals'!$E$7:$E$176,"*Agency Fees*",'Dept. Cost Actuals'!AE$181:AE$350))</f>
        <v>252355.98</v>
      </c>
      <c r="AB52" s="668">
        <f>IF(AB$4="forecast",SUMIFS(Planning_Mkt!E$5:E$133,Planning_Mkt!$B$5:$B$133,"Agency Fees"),SUMIF('Dept. Cost Actuals'!$E$7:$E$176,"*Agency Fees*",'Dept. Cost Actuals'!AF$181:AF$350))</f>
        <v>279182.46000000002</v>
      </c>
      <c r="AC52" s="668">
        <f>IF(AC$4="forecast",SUMIFS(Planning_Mkt!F$5:F$133,Planning_Mkt!$B$5:$B$133,"Agency Fees"),SUMIF('Dept. Cost Actuals'!$E$7:$E$176,"*Agency Fees*",'Dept. Cost Actuals'!AG$181:AG$350))</f>
        <v>411300.59</v>
      </c>
      <c r="AD52" s="668">
        <f>IF(AD$4="forecast",SUMIFS(Planning_Mkt!G$5:G$133,Planning_Mkt!$B$5:$B$133,"Paid Media"),SUMIF('Dept. Cost Actuals'!$E$7:$E$176,"*Agency Fees*",'Dept. Cost Actuals'!AH$181:AH$350))</f>
        <v>628600</v>
      </c>
      <c r="AE52" s="668">
        <f>IF(AE$4="forecast",SUMIFS(Planning_Mkt!H$5:H$133,Planning_Mkt!$B$5:$B$133,"Paid Media"),SUMIF('Dept. Cost Actuals'!$E$7:$E$176,"*Agency Fees*",'Dept. Cost Actuals'!AI$181:AI$350))</f>
        <v>633600</v>
      </c>
      <c r="AF52" s="668">
        <f>IF(AF$4="forecast",SUMIFS(Planning_Mkt!I$5:I$133,Planning_Mkt!$B$5:$B$133,"Paid Media"),SUMIF('Dept. Cost Actuals'!$E$7:$E$176,"*Agency Fees*",'Dept. Cost Actuals'!AJ$181:AJ$350))</f>
        <v>563600</v>
      </c>
      <c r="AG52" s="668">
        <f>IF(AG$4="forecast",SUMIFS(Planning_Mkt!J$5:J$133,Planning_Mkt!$B$5:$B$133,"Paid Media"),SUMIF('Dept. Cost Actuals'!$E$7:$E$176,"*Agency Fees*",'Dept. Cost Actuals'!AK$181:AK$350))</f>
        <v>513600</v>
      </c>
      <c r="AH52" s="668">
        <f>IF(AH$4="forecast",SUMIFS(Planning_Mkt!K$5:K$133,Planning_Mkt!$B$5:$B$133,"Paid Media"),SUMIF('Dept. Cost Actuals'!$E$7:$E$176,"*Agency Fees*",'Dept. Cost Actuals'!AL$181:AL$350))</f>
        <v>463600</v>
      </c>
      <c r="AI52" s="668">
        <f>IF(AI$4="forecast",SUMIFS(Planning_Mkt!L$5:L$133,Planning_Mkt!$B$5:$B$133,"Paid Media"),SUMIF('Dept. Cost Actuals'!$E$7:$E$176,"*Agency Fees*",'Dept. Cost Actuals'!AM$181:AM$350))</f>
        <v>463600</v>
      </c>
      <c r="AJ52" s="668">
        <f>IF(AJ$4="forecast",SUMIFS(Planning_Mkt!M$5:M$133,Planning_Mkt!$B$5:$B$133,"Paid Media"),SUMIF('Dept. Cost Actuals'!$E$7:$E$176,"*Agency Fees*",'Dept. Cost Actuals'!AN$181:AN$350))</f>
        <v>463600</v>
      </c>
      <c r="AK52" s="668">
        <f>IF(AK$4="forecast",SUMIFS(Planning_Mkt!N$5:N$133,Planning_Mkt!$B$5:$B$133,"Paid Media"),SUMIF('Dept. Cost Actuals'!$E$7:$E$176,"*Agency Fees*",'Dept. Cost Actuals'!AO$181:AO$350))</f>
        <v>463600</v>
      </c>
      <c r="AL52" s="668">
        <f>IF(AL$4="forecast",SUMIFS(Planning_Mkt!O$5:O$133,Planning_Mkt!$B$5:$B$133,"Paid Media"),SUMIF('Dept. Cost Actuals'!$E$7:$E$176,"*Agency Fees*",'Dept. Cost Actuals'!AP$181:AP$350))</f>
        <v>463600</v>
      </c>
      <c r="AM52" s="668">
        <f>IF(AM$4="forecast",SUMIFS(Planning_Mkt!P$5:P$133,Planning_Mkt!$B$5:$B$133,"Paid Media"),SUMIF('Dept. Cost Actuals'!$E$7:$E$176,"*Agency Fees*",'Dept. Cost Actuals'!AQ$181:AQ$350))</f>
        <v>5714600</v>
      </c>
      <c r="AN52" s="668">
        <f>IF(AN$4="forecast",SUMIFS(Planning_Mkt!Q$5:Q$133,Planning_Mkt!$B$5:$B$133,"Agency Fees"),SUMIF('Dept. Cost Actuals'!$E$7:$E$176,"*Agency Fees*",'Dept. Cost Actuals'!AR$181:AR$350))</f>
        <v>0</v>
      </c>
      <c r="AO52" s="668">
        <f>IF(AO$4="forecast",SUMIFS(Planning_Mkt!R$5:R$133,Planning_Mkt!$B$5:$B$133,"Agency Fees"),SUMIF('Dept. Cost Actuals'!$E$7:$E$176,"*Agency Fees*",'Dept. Cost Actuals'!AS$181:AS$350))</f>
        <v>0</v>
      </c>
      <c r="AP52" s="668">
        <f>IF(AP$4="forecast",SUMIFS(Planning_Mkt!S$5:S$133,Planning_Mkt!$B$5:$B$133,"Agency Fees"),SUMIF('Dept. Cost Actuals'!$E$7:$E$176,"*Agency Fees*",'Dept. Cost Actuals'!AT$181:AT$350))</f>
        <v>0</v>
      </c>
      <c r="AQ52" s="668">
        <f>IF(AQ$4="forecast",SUMIFS(Planning_Mkt!T$5:T$133,Planning_Mkt!$B$5:$B$133,"Agency Fees"),SUMIF('Dept. Cost Actuals'!$E$7:$E$176,"*Agency Fees*",'Dept. Cost Actuals'!AU$181:AU$350))</f>
        <v>0</v>
      </c>
      <c r="AR52" s="668">
        <f>IF(AR$4="forecast",SUMIFS(Planning_Mkt!U$5:U$133,Planning_Mkt!$B$5:$B$133,"Agency Fees"),SUMIF('Dept. Cost Actuals'!$E$7:$E$176,"*Agency Fees*",'Dept. Cost Actuals'!AV$181:AV$350))</f>
        <v>0</v>
      </c>
      <c r="AS52" s="668">
        <f>IF(AS$4="forecast",SUMIFS(Planning_Mkt!V$5:V$133,Planning_Mkt!$B$5:$B$133,"Agency Fees"),SUMIF('Dept. Cost Actuals'!$E$7:$E$176,"*Agency Fees*",'Dept. Cost Actuals'!AW$181:AW$350))</f>
        <v>0</v>
      </c>
      <c r="AT52" s="668">
        <f>IF(AT$4="forecast",SUMIFS(Planning_Mkt!W$5:W$133,Planning_Mkt!$B$5:$B$133,"Agency Fees"),SUMIF('Dept. Cost Actuals'!$E$7:$E$176,"*Agency Fees*",'Dept. Cost Actuals'!AX$181:AX$350))</f>
        <v>0</v>
      </c>
      <c r="AU52" s="668">
        <f>IF(AU$4="forecast",SUMIFS(Planning_Mkt!X$5:X$133,Planning_Mkt!$B$5:$B$133,"Agency Fees"),SUMIF('Dept. Cost Actuals'!$E$7:$E$176,"*Agency Fees*",'Dept. Cost Actuals'!AY$181:AY$350))</f>
        <v>0</v>
      </c>
      <c r="AV52" s="668">
        <f>IF(AV$4="forecast",SUMIFS(Planning_Mkt!Y$5:Y$133,Planning_Mkt!$B$5:$B$133,"Agency Fees"),SUMIF('Dept. Cost Actuals'!$E$7:$E$176,"*Agency Fees*",'Dept. Cost Actuals'!AZ$181:AZ$350))</f>
        <v>0</v>
      </c>
      <c r="AW52" s="668">
        <f>IF(AW$4="forecast",SUMIFS(Planning_Mkt!Z$5:Z$133,Planning_Mkt!$B$5:$B$133,"Agency Fees"),SUMIF('Dept. Cost Actuals'!$E$7:$E$176,"*Agency Fees*",'Dept. Cost Actuals'!BA$181:BA$350))</f>
        <v>0</v>
      </c>
      <c r="AX52" s="668">
        <f>IF(AX$4="forecast",SUMIFS(Planning_Mkt!AA$5:AA$133,Planning_Mkt!$B$5:$B$133,"Agency Fees"),SUMIF('Dept. Cost Actuals'!$E$7:$E$176,"*Agency Fees*",'Dept. Cost Actuals'!BB$181:BB$350))</f>
        <v>0</v>
      </c>
      <c r="AY52" s="668">
        <f>IF(AY$4="forecast",SUMIFS(Planning_Mkt!AB$5:AB$133,Planning_Mkt!$B$5:$B$133,"Agency Fees"),SUMIF('Dept. Cost Actuals'!$E$7:$E$176,"*Agency Fees*",'Dept. Cost Actuals'!BC$181:BC$350))</f>
        <v>0</v>
      </c>
      <c r="AZ52" s="668">
        <f>IF(AZ$4="forecast",SUMIFS(Planning_Mkt!AC$5:AC$133,Planning_Mkt!$B$5:$B$133,"Agency Fees"),SUMIF('Dept. Cost Actuals'!$E$7:$E$176,"*Agency Fees*",'Dept. Cost Actuals'!BD$181:BD$350))</f>
        <v>0</v>
      </c>
      <c r="BA52" s="668">
        <f>IF(BA$4="forecast",SUMIFS(Planning_Mkt!AD$5:AD$133,Planning_Mkt!$B$5:$B$133,"Agency Fees"),SUMIF('Dept. Cost Actuals'!$E$7:$E$176,"*Agency Fees*",'Dept. Cost Actuals'!BE$181:BE$350))</f>
        <v>0</v>
      </c>
      <c r="BB52" s="668">
        <f>IF(BB$4="forecast",SUMIFS(Planning_Mkt!AE$5:AE$133,Planning_Mkt!$B$5:$B$133,"Agency Fees"),SUMIF('Dept. Cost Actuals'!$E$7:$E$176,"*Agency Fees*",'Dept. Cost Actuals'!BF$181:BF$350))</f>
        <v>0</v>
      </c>
      <c r="BC52" s="668">
        <f>IF(BC$4="forecast",SUMIFS(Planning_Mkt!AF$5:AF$133,Planning_Mkt!$B$5:$B$133,"Agency Fees"),SUMIF('Dept. Cost Actuals'!$E$7:$E$176,"*Agency Fees*",'Dept. Cost Actuals'!BG$181:BG$350))</f>
        <v>0</v>
      </c>
      <c r="BD52" s="668">
        <f>IF(BD$4="forecast",SUMIFS(Planning_Mkt!AG$5:AG$133,Planning_Mkt!$B$5:$B$133,"Agency Fees"),SUMIF('Dept. Cost Actuals'!$E$7:$E$176,"*Agency Fees*",'Dept. Cost Actuals'!BH$181:BH$350))</f>
        <v>0</v>
      </c>
      <c r="BE52" s="668">
        <f>IF(BE$4="forecast",SUMIFS(Planning_Mkt!AH$5:AH$133,Planning_Mkt!$B$5:$B$133,"Agency Fees"),SUMIF('Dept. Cost Actuals'!$E$7:$E$176,"*Agency Fees*",'Dept. Cost Actuals'!BI$181:BI$350))</f>
        <v>0</v>
      </c>
      <c r="BF52" s="668">
        <f>IF(BF$4="forecast",SUMIFS(Planning_Mkt!AI$5:AI$133,Planning_Mkt!$B$5:$B$133,"Agency Fees"),SUMIF('Dept. Cost Actuals'!$E$7:$E$176,"*Agency Fees*",'Dept. Cost Actuals'!BJ$181:BJ$350))</f>
        <v>0</v>
      </c>
      <c r="BG52" s="668">
        <f>IF(BG$4="forecast",SUMIFS(Planning_Mkt!AJ$5:AJ$133,Planning_Mkt!$B$5:$B$133,"Agency Fees"),SUMIF('Dept. Cost Actuals'!$E$7:$E$176,"*Agency Fees*",'Dept. Cost Actuals'!BK$181:BK$350))</f>
        <v>0</v>
      </c>
      <c r="BH52" s="668">
        <f>IF(BH$4="forecast",SUMIFS(Planning_Mkt!AK$5:AK$133,Planning_Mkt!$B$5:$B$133,"Agency Fees"),SUMIF('Dept. Cost Actuals'!$E$7:$E$176,"*Agency Fees*",'Dept. Cost Actuals'!BL$181:BL$350))</f>
        <v>0</v>
      </c>
      <c r="BI52" s="668">
        <f>IF(BI$4="forecast",SUMIFS(Planning_Mkt!AL$5:AL$133,Planning_Mkt!$B$5:$B$133,"Agency Fees"),SUMIF('Dept. Cost Actuals'!$E$7:$E$176,"*Agency Fees*",'Dept. Cost Actuals'!BM$181:BM$350))</f>
        <v>0</v>
      </c>
      <c r="BJ52" s="668">
        <f>IF(BJ$4="forecast",SUMIFS(Planning_Mkt!AM$5:AM$133,Planning_Mkt!$B$5:$B$133,"Agency Fees"),SUMIF('Dept. Cost Actuals'!$E$7:$E$176,"*Agency Fees*",'Dept. Cost Actuals'!BN$181:BN$350))</f>
        <v>0</v>
      </c>
      <c r="BK52" s="668">
        <f>IF(BK$4="forecast",SUMIFS(Planning_Mkt!AN$5:AN$133,Planning_Mkt!$B$5:$B$133,"Agency Fees"),SUMIF('Dept. Cost Actuals'!$E$7:$E$176,"*Agency Fees*",'Dept. Cost Actuals'!BO$181:BO$350))</f>
        <v>0</v>
      </c>
      <c r="BL52" s="668">
        <f>IF(BL$4="forecast",SUMIFS(Planning_Mkt!AO$5:AO$133,Planning_Mkt!$B$5:$B$133,"Agency Fees"),SUMIF('Dept. Cost Actuals'!$E$7:$E$176,"*Agency Fees*",'Dept. Cost Actuals'!BP$181:BP$350))</f>
        <v>0</v>
      </c>
      <c r="BM52" s="668">
        <f>IF(BM$4="forecast",SUMIFS(Planning_Mkt!AP$5:AP$133,Planning_Mkt!$B$5:$B$133,"Agency Fees"),SUMIF('Dept. Cost Actuals'!$E$7:$E$176,"*Agency Fees*",'Dept. Cost Actuals'!BQ$181:BQ$350))</f>
        <v>0</v>
      </c>
      <c r="BN52" s="668">
        <f>IF(BN$4="forecast",SUMIFS(Planning_Mkt!AQ$5:AQ$133,Planning_Mkt!$B$5:$B$133,"Agency Fees"),SUMIF('Dept. Cost Actuals'!$E$7:$E$176,"*Agency Fees*",'Dept. Cost Actuals'!BR$181:BR$350))</f>
        <v>0</v>
      </c>
      <c r="BO52" s="668">
        <f>IF(BO$4="forecast",SUMIFS(Planning_Mkt!AR$5:AR$133,Planning_Mkt!$B$5:$B$133,"Agency Fees"),SUMIF('Dept. Cost Actuals'!$E$7:$E$176,"*Agency Fees*",'Dept. Cost Actuals'!BS$181:BS$350))</f>
        <v>0</v>
      </c>
      <c r="BP52" s="668">
        <f>IF(BP$4="forecast",SUMIFS(Planning_Mkt!AS$5:AS$133,Planning_Mkt!$B$5:$B$133,"Agency Fees"),SUMIF('Dept. Cost Actuals'!$E$7:$E$176,"*Agency Fees*",'Dept. Cost Actuals'!BT$181:BT$350))</f>
        <v>0</v>
      </c>
      <c r="BQ52" s="668">
        <f>IF(BQ$4="forecast",SUMIFS(Planning_Mkt!AT$5:AT$133,Planning_Mkt!$B$5:$B$133,"Agency Fees"),SUMIF('Dept. Cost Actuals'!$E$7:$E$176,"*Agency Fees*",'Dept. Cost Actuals'!BU$181:BU$350))</f>
        <v>0</v>
      </c>
      <c r="BR52" s="668">
        <f>IF(BR$4="forecast",SUMIFS(Planning_Mkt!AU$5:AU$133,Planning_Mkt!$B$5:$B$133,"Agency Fees"),SUMIF('Dept. Cost Actuals'!$E$7:$E$176,"*Agency Fees*",'Dept. Cost Actuals'!BV$181:BV$350))</f>
        <v>0</v>
      </c>
      <c r="BS52" s="668">
        <f>IF(BS$4="forecast",SUMIFS(Planning_Mkt!AV$5:AV$133,Planning_Mkt!$B$5:$B$133,"Agency Fees"),SUMIF('Dept. Cost Actuals'!$E$7:$E$176,"*Agency Fees*",'Dept. Cost Actuals'!BW$181:BW$350))</f>
        <v>0</v>
      </c>
      <c r="BT52" s="668">
        <f>IF(BT$4="forecast",SUMIFS(Planning_Mkt!AW$5:AW$133,Planning_Mkt!$B$5:$B$133,"Agency Fees"),SUMIF('Dept. Cost Actuals'!$E$7:$E$176,"*Agency Fees*",'Dept. Cost Actuals'!BX$181:BX$350))</f>
        <v>0</v>
      </c>
      <c r="BU52" s="668">
        <f>IF(BU$4="forecast",SUMIFS(Planning_Mkt!AX$5:AX$133,Planning_Mkt!$B$5:$B$133,"Agency Fees"),SUMIF('Dept. Cost Actuals'!$E$7:$E$176,"*Agency Fees*",'Dept. Cost Actuals'!BY$181:BY$350))</f>
        <v>0</v>
      </c>
      <c r="BV52" s="668">
        <f>IF(BV$4="forecast",SUMIFS(Planning_Mkt!AY$5:AY$133,Planning_Mkt!$B$5:$B$133,"Agency Fees"),SUMIF('Dept. Cost Actuals'!$E$7:$E$176,"*Agency Fees*",'Dept. Cost Actuals'!BZ$181:BZ$350))</f>
        <v>0</v>
      </c>
    </row>
    <row r="53" spans="2:74" x14ac:dyDescent="0.25">
      <c r="B53" s="854" t="s">
        <v>1280</v>
      </c>
      <c r="C53" s="668">
        <f>IF(C$4="forecast",SUMIFS(Planning_Mkt!#REF!,Planning_Mkt!$B$5:$B$133,"Special Projects"),SUMIF('Dept. Cost Actuals'!$E$7:$E$176,"*Special Projects*",'Dept. Cost Actuals'!G$181:G$350))</f>
        <v>0</v>
      </c>
      <c r="D53" s="668">
        <f>IF(D$4="forecast",SUMIFS(Planning_Mkt!#REF!,Planning_Mkt!$B$5:$B$133,"Special Projects"),SUMIF('Dept. Cost Actuals'!$E$7:$E$176,"*Special Projects*",'Dept. Cost Actuals'!H$181:H$350))</f>
        <v>0</v>
      </c>
      <c r="E53" s="668">
        <f>IF(E$4="forecast",SUMIFS(Planning_Mkt!#REF!,Planning_Mkt!$B$5:$B$133,"Special Projects"),SUMIF('Dept. Cost Actuals'!$E$7:$E$176,"*Special Projects*",'Dept. Cost Actuals'!I$181:I$350))</f>
        <v>0</v>
      </c>
      <c r="F53" s="668">
        <f>IF(F$4="forecast",SUMIFS(Planning_Mkt!#REF!,Planning_Mkt!$B$5:$B$133,"Special Projects"),SUMIF('Dept. Cost Actuals'!$E$7:$E$176,"*Special Projects*",'Dept. Cost Actuals'!J$181:J$350))</f>
        <v>0</v>
      </c>
      <c r="G53" s="668">
        <f>IF(G$4="forecast",SUMIFS(Planning_Mkt!#REF!,Planning_Mkt!$B$5:$B$133,"Special Projects"),SUMIF('Dept. Cost Actuals'!$E$7:$E$176,"*Special Projects*",'Dept. Cost Actuals'!K$181:K$350))</f>
        <v>0</v>
      </c>
      <c r="H53" s="668">
        <f>IF(H$4="forecast",SUMIFS(Planning_Mkt!#REF!,Planning_Mkt!$B$5:$B$133,"Special Projects"),SUMIF('Dept. Cost Actuals'!$E$7:$E$176,"*Special Projects*",'Dept. Cost Actuals'!L$181:L$350))</f>
        <v>0</v>
      </c>
      <c r="I53" s="668">
        <f>IF(I$4="forecast",SUMIFS(Planning_Mkt!#REF!,Planning_Mkt!$B$5:$B$133,"Special Projects"),SUMIF('Dept. Cost Actuals'!$E$7:$E$176,"*Special Projects*",'Dept. Cost Actuals'!M$181:M$350))</f>
        <v>0</v>
      </c>
      <c r="J53" s="668">
        <f>IF(J$4="forecast",SUMIFS(Planning_Mkt!#REF!,Planning_Mkt!$B$5:$B$133,"Special Projects"),SUMIF('Dept. Cost Actuals'!$E$7:$E$176,"*Special Projects*",'Dept. Cost Actuals'!N$181:N$350))</f>
        <v>0</v>
      </c>
      <c r="K53" s="668">
        <f>IF(K$4="forecast",SUMIFS(Planning_Mkt!#REF!,Planning_Mkt!$B$5:$B$133,"Special Projects"),SUMIF('Dept. Cost Actuals'!$E$7:$E$176,"*Special Projects*",'Dept. Cost Actuals'!O$181:O$350))</f>
        <v>0</v>
      </c>
      <c r="L53" s="668">
        <f>IF(L$4="forecast",SUMIFS(Planning_Mkt!#REF!,Planning_Mkt!$B$5:$B$133,"Special Projects"),SUMIF('Dept. Cost Actuals'!$E$7:$E$176,"*Special Projects*",'Dept. Cost Actuals'!P$181:P$350))</f>
        <v>0</v>
      </c>
      <c r="M53" s="668">
        <f>IF(M$4="forecast",SUMIFS(Planning_Mkt!#REF!,Planning_Mkt!$B$5:$B$133,"Special Projects"),SUMIF('Dept. Cost Actuals'!$E$7:$E$176,"*Special Projects*",'Dept. Cost Actuals'!Q$181:Q$350))</f>
        <v>0</v>
      </c>
      <c r="N53" s="668">
        <f>IF(N$4="forecast",SUMIFS(Planning_Mkt!#REF!,Planning_Mkt!$B$5:$B$133,"Special Projects"),SUMIF('Dept. Cost Actuals'!$E$7:$E$176,"*Special Projects*",'Dept. Cost Actuals'!R$181:R$350))</f>
        <v>0</v>
      </c>
      <c r="O53" s="668">
        <f>IF(O$4="forecast",SUMIFS(Planning_Mkt!#REF!,Planning_Mkt!$B$5:$B$133,"Special Projects"),SUMIF('Dept. Cost Actuals'!$E$7:$E$176,"*Special Projects*",'Dept. Cost Actuals'!S$181:S$350))</f>
        <v>0</v>
      </c>
      <c r="P53" s="668">
        <f>IF(P$4="forecast",SUMIFS(Planning_Mkt!#REF!,Planning_Mkt!$B$5:$B$133,"Special Projects"),SUMIF('Dept. Cost Actuals'!$E$7:$E$176,"*Special Projects*",'Dept. Cost Actuals'!T$181:T$350))</f>
        <v>0</v>
      </c>
      <c r="Q53" s="668">
        <f>IF(Q$4="forecast",SUMIFS(Planning_Mkt!#REF!,Planning_Mkt!$B$5:$B$133,"Special Projects"),SUMIF('Dept. Cost Actuals'!$E$7:$E$176,"*Special Projects*",'Dept. Cost Actuals'!U$181:U$350))</f>
        <v>0</v>
      </c>
      <c r="R53" s="668">
        <f>IF(R$4="forecast",SUMIFS(Planning_Mkt!#REF!,Planning_Mkt!$B$5:$B$133,"Special Projects"),SUMIF('Dept. Cost Actuals'!$E$7:$E$176,"*Special Projects*",'Dept. Cost Actuals'!V$181:V$350))</f>
        <v>0</v>
      </c>
      <c r="S53" s="668">
        <f>IF(S$4="forecast",SUMIFS(Planning_Mkt!#REF!,Planning_Mkt!$B$5:$B$133,"Special Projects"),SUMIF('Dept. Cost Actuals'!$E$7:$E$176,"*Special Projects*",'Dept. Cost Actuals'!W$181:W$350))</f>
        <v>0</v>
      </c>
      <c r="T53" s="668">
        <f>IF(T$4="forecast",SUMIFS(Planning_Mkt!#REF!,Planning_Mkt!$B$5:$B$133,"Special Projects"),SUMIF('Dept. Cost Actuals'!$E$7:$E$176,"*Special Projects*",'Dept. Cost Actuals'!X$181:X$350))</f>
        <v>0</v>
      </c>
      <c r="U53" s="668">
        <f>IF(U$4="forecast",SUMIFS(Planning_Mkt!#REF!,Planning_Mkt!$B$5:$B$133,"Special Projects"),SUMIF('Dept. Cost Actuals'!$E$7:$E$176,"*Special Projects*",'Dept. Cost Actuals'!Y$181:Y$350))</f>
        <v>0</v>
      </c>
      <c r="V53" s="668">
        <f>IF(V$4="forecast",SUMIFS(Planning_Mkt!#REF!,Planning_Mkt!$B$5:$B$133,"Special Projects"),SUMIF('Dept. Cost Actuals'!$E$7:$E$176,"*Special Projects*",'Dept. Cost Actuals'!Z$181:Z$350))</f>
        <v>0</v>
      </c>
      <c r="W53" s="668">
        <f>IF(W$4="forecast",SUMIFS(Planning_Mkt!#REF!,Planning_Mkt!$B$5:$B$133,"Special Projects"),SUMIF('Dept. Cost Actuals'!$E$7:$E$176,"*Special Projects*",'Dept. Cost Actuals'!AA$181:AA$350))</f>
        <v>0</v>
      </c>
      <c r="X53" s="668">
        <f>IF(X$4="forecast",SUMIFS(Planning_Mkt!A$5:A$133,Planning_Mkt!$B$5:$B$133,"Special Projects"),SUMIF('Dept. Cost Actuals'!$E$7:$E$176,"*Special Projects*",'Dept. Cost Actuals'!AB$181:AB$350))</f>
        <v>0</v>
      </c>
      <c r="Y53" s="668">
        <f>IF(Y$4="forecast",SUMIFS(Planning_Mkt!B$5:B$133,Planning_Mkt!$B$5:$B$133,"Special Projects"),SUMIF('Dept. Cost Actuals'!$E$7:$E$176,"*Special Projects*",'Dept. Cost Actuals'!AC$181:AC$350))</f>
        <v>0</v>
      </c>
      <c r="Z53" s="668">
        <f>IF(Z$4="forecast",SUMIFS(Planning_Mkt!C$5:C$133,Planning_Mkt!$B$5:$B$133,"Special Projects"),SUMIF('Dept. Cost Actuals'!$E$7:$E$176,"*Special Projects*",'Dept. Cost Actuals'!AD$181:AD$350))</f>
        <v>0</v>
      </c>
      <c r="AA53" s="668">
        <f>IF(AA$4="forecast",SUMIFS(Planning_Mkt!D$5:D$133,Planning_Mkt!$B$5:$B$133,"Special Projects"),SUMIF('Dept. Cost Actuals'!E181:E350,"*Special*",'Dept. Cost Actuals'!AE181:AE350))</f>
        <v>12733.51</v>
      </c>
      <c r="AB53" s="668">
        <f>IF(AB$4="forecast",SUMIFS(Planning_Mkt!E$5:E$133,Planning_Mkt!$B$5:$B$133,"Special Projects"),SUMIF('Dept. Cost Actuals'!F181:F350,"*Special*",'Dept. Cost Actuals'!AF181:AF350))</f>
        <v>-1505.6</v>
      </c>
      <c r="AC53" s="668">
        <f>IF(AC$4="forecast",SUMIFS(Planning_Mkt!F$5:F$133,Planning_Mkt!$B$5:$B$133,"Special Projects"),SUMIF('Dept. Cost Actuals'!G181:G350,"*Special*",'Dept. Cost Actuals'!AG181:AG350))</f>
        <v>0</v>
      </c>
      <c r="AD53" s="668">
        <f>IF(AD$4="forecast",SUMIFS(Planning_Mkt!G$5:G$133,Planning_Mkt!$B$5:$B$133,"Special Projects"),SUMIF('Dept. Cost Actuals'!H181:H350,"*Special*",'Dept. Cost Actuals'!AH181:AH350))</f>
        <v>54000</v>
      </c>
      <c r="AE53" s="668">
        <f>IF(AE$4="forecast",SUMIFS(Planning_Mkt!H$5:H$133,Planning_Mkt!$B$5:$B$133,"Special Projects"),SUMIF('Dept. Cost Actuals'!I181:I350,"*Special*",'Dept. Cost Actuals'!AI181:AI350))</f>
        <v>6000</v>
      </c>
      <c r="AF53" s="668">
        <f>IF(AF$4="forecast",SUMIFS(Planning_Mkt!I$5:I$133,Planning_Mkt!$B$5:$B$133,"Special Projects"),SUMIF('Dept. Cost Actuals'!J181:J350,"*Special*",'Dept. Cost Actuals'!AJ181:AJ350))</f>
        <v>38500</v>
      </c>
      <c r="AG53" s="668">
        <f>IF(AG$4="forecast",SUMIFS(Planning_Mkt!J$5:J$133,Planning_Mkt!$B$5:$B$133,"Special Projects"),SUMIF('Dept. Cost Actuals'!K181:K350,"*Special*",'Dept. Cost Actuals'!AK181:AK350))</f>
        <v>104000</v>
      </c>
      <c r="AH53" s="668">
        <f>IF(AH$4="forecast",SUMIFS(Planning_Mkt!K$5:K$133,Planning_Mkt!$B$5:$B$133,"Special Projects"),SUMIF('Dept. Cost Actuals'!L181:L350,"*Special*",'Dept. Cost Actuals'!AL181:AL350))</f>
        <v>6000</v>
      </c>
      <c r="AI53" s="668">
        <f>IF(AI$4="forecast",SUMIFS(Planning_Mkt!L$5:L$133,Planning_Mkt!$B$5:$B$133,"Special Projects"),SUMIF('Dept. Cost Actuals'!M181:M350,"*Special*",'Dept. Cost Actuals'!AM181:AM350))</f>
        <v>26000</v>
      </c>
      <c r="AJ53" s="668">
        <f>IF(AJ$4="forecast",SUMIFS(Planning_Mkt!M$5:M$133,Planning_Mkt!$B$5:$B$133,"Special Projects"),SUMIF('Dept. Cost Actuals'!N181:N350,"*Special*",'Dept. Cost Actuals'!AN181:AN350))</f>
        <v>76000</v>
      </c>
      <c r="AK53" s="668">
        <f>IF(AK$4="forecast",SUMIFS(Planning_Mkt!N$5:N$133,Planning_Mkt!$B$5:$B$133,"Special Projects"),SUMIF('Dept. Cost Actuals'!O181:O350,"*Special*",'Dept. Cost Actuals'!AO181:AO350))</f>
        <v>6000</v>
      </c>
      <c r="AL53" s="668">
        <f>IF(AL$4="forecast",SUMIFS(Planning_Mkt!O$5:O$133,Planning_Mkt!$B$5:$B$133,"Special Projects"),SUMIF('Dept. Cost Actuals'!P181:P350,"*Special*",'Dept. Cost Actuals'!AP181:AP350))</f>
        <v>4500</v>
      </c>
      <c r="AM53" s="668">
        <f>IF(AM$4="forecast",SUMIFS(Planning_Mkt!P$5:P$133,Planning_Mkt!$B$5:$B$133,"Special Projects"),SUMIF('Dept. Cost Actuals'!Q181:Q350,"*Special*",'Dept. Cost Actuals'!AQ181:AQ350))</f>
        <v>357000</v>
      </c>
      <c r="AN53" s="668">
        <f>IF(AN$4="forecast",SUMIFS(Planning_Mkt!Q$5:Q$133,Planning_Mkt!$B$5:$B$133,"Special Projects"),SUMIF('Dept. Cost Actuals'!R181:R350,"*Special*",'Dept. Cost Actuals'!AR181:AR350))</f>
        <v>0</v>
      </c>
      <c r="AO53" s="668">
        <f>IF(AO$4="forecast",SUMIFS(Planning_Mkt!R$5:R$133,Planning_Mkt!$B$5:$B$133,"Special Projects"),SUMIF('Dept. Cost Actuals'!S181:S350,"*Special*",'Dept. Cost Actuals'!AS181:AS350))</f>
        <v>0</v>
      </c>
      <c r="AP53" s="668">
        <f>IF(AP$4="forecast",SUMIFS(Planning_Mkt!S$5:S$133,Planning_Mkt!$B$5:$B$133,"Special Projects"),SUMIF('Dept. Cost Actuals'!T181:T350,"*Special*",'Dept. Cost Actuals'!AT181:AT350))</f>
        <v>0</v>
      </c>
      <c r="AQ53" s="668">
        <f>IF(AQ$4="forecast",SUMIFS(Planning_Mkt!T$5:T$133,Planning_Mkt!$B$5:$B$133,"Special Projects"),SUMIF('Dept. Cost Actuals'!U181:U350,"*Special*",'Dept. Cost Actuals'!AU181:AU350))</f>
        <v>0</v>
      </c>
      <c r="AR53" s="668">
        <f>IF(AR$4="forecast",SUMIFS(Planning_Mkt!U$5:U$133,Planning_Mkt!$B$5:$B$133,"Special Projects"),SUMIF('Dept. Cost Actuals'!V181:V350,"*Special*",'Dept. Cost Actuals'!AV181:AV350))</f>
        <v>0</v>
      </c>
      <c r="AS53" s="668">
        <f>IF(AS$4="forecast",SUMIFS(Planning_Mkt!V$5:V$133,Planning_Mkt!$B$5:$B$133,"Special Projects"),SUMIF('Dept. Cost Actuals'!W181:W350,"*Special*",'Dept. Cost Actuals'!AW181:AW350))</f>
        <v>0</v>
      </c>
      <c r="AT53" s="668">
        <f>IF(AT$4="forecast",SUMIFS(Planning_Mkt!W$5:W$133,Planning_Mkt!$B$5:$B$133,"Special Projects"),SUMIF('Dept. Cost Actuals'!X181:X350,"*Special*",'Dept. Cost Actuals'!AX181:AX350))</f>
        <v>0</v>
      </c>
      <c r="AU53" s="668">
        <f>IF(AU$4="forecast",SUMIFS(Planning_Mkt!X$5:X$133,Planning_Mkt!$B$5:$B$133,"Special Projects"),SUMIF('Dept. Cost Actuals'!Y181:Y350,"*Special*",'Dept. Cost Actuals'!AY181:AY350))</f>
        <v>0</v>
      </c>
      <c r="AV53" s="668">
        <f>IF(AV$4="forecast",SUMIFS(Planning_Mkt!Y$5:Y$133,Planning_Mkt!$B$5:$B$133,"Special Projects"),SUMIF('Dept. Cost Actuals'!Z181:Z350,"*Special*",'Dept. Cost Actuals'!AZ181:AZ350))</f>
        <v>0</v>
      </c>
      <c r="AW53" s="668">
        <f>IF(AW$4="forecast",SUMIFS(Planning_Mkt!Z$5:Z$133,Planning_Mkt!$B$5:$B$133,"Special Projects"),SUMIF('Dept. Cost Actuals'!AA181:AA350,"*Special*",'Dept. Cost Actuals'!BA181:BA350))</f>
        <v>0</v>
      </c>
      <c r="AX53" s="668">
        <f>IF(AX$4="forecast",SUMIFS(Planning_Mkt!AA$5:AA$133,Planning_Mkt!$B$5:$B$133,"Special Projects"),SUMIF('Dept. Cost Actuals'!AB181:AB350,"*Special*",'Dept. Cost Actuals'!BB181:BB350))</f>
        <v>0</v>
      </c>
      <c r="AY53" s="668">
        <f>IF(AY$4="forecast",SUMIFS(Planning_Mkt!AB$5:AB$133,Planning_Mkt!$B$5:$B$133,"Special Projects"),SUMIF('Dept. Cost Actuals'!AC181:AC350,"*Special*",'Dept. Cost Actuals'!BC181:BC350))</f>
        <v>0</v>
      </c>
      <c r="AZ53" s="668">
        <f>IF(AZ$4="forecast",SUMIFS(Planning_Mkt!AC$5:AC$133,Planning_Mkt!$B$5:$B$133,"Special Projects"),SUMIF('Dept. Cost Actuals'!AD181:AD350,"*Special*",'Dept. Cost Actuals'!BD181:BD350))</f>
        <v>0</v>
      </c>
      <c r="BA53" s="668">
        <f>IF(BA$4="forecast",SUMIFS(Planning_Mkt!AD$5:AD$133,Planning_Mkt!$B$5:$B$133,"Special Projects"),SUMIF('Dept. Cost Actuals'!AE181:AE350,"*Special*",'Dept. Cost Actuals'!BE181:BE350))</f>
        <v>0</v>
      </c>
      <c r="BB53" s="668">
        <f>IF(BB$4="forecast",SUMIFS(Planning_Mkt!AE$5:AE$133,Planning_Mkt!$B$5:$B$133,"Special Projects"),SUMIF('Dept. Cost Actuals'!AF181:AF350,"*Special*",'Dept. Cost Actuals'!BF181:BF350))</f>
        <v>0</v>
      </c>
      <c r="BC53" s="668">
        <f>IF(BC$4="forecast",SUMIFS(Planning_Mkt!AF$5:AF$133,Planning_Mkt!$B$5:$B$133,"Special Projects"),SUMIF('Dept. Cost Actuals'!AG181:AG350,"*Special*",'Dept. Cost Actuals'!BG181:BG350))</f>
        <v>0</v>
      </c>
      <c r="BD53" s="668">
        <f>IF(BD$4="forecast",SUMIFS(Planning_Mkt!AG$5:AG$133,Planning_Mkt!$B$5:$B$133,"Special Projects"),SUMIF('Dept. Cost Actuals'!AH181:AH350,"*Special*",'Dept. Cost Actuals'!BH181:BH350))</f>
        <v>0</v>
      </c>
      <c r="BE53" s="668">
        <f>IF(BE$4="forecast",SUMIFS(Planning_Mkt!AH$5:AH$133,Planning_Mkt!$B$5:$B$133,"Special Projects"),SUMIF('Dept. Cost Actuals'!AI181:AI350,"*Special*",'Dept. Cost Actuals'!BI181:BI350))</f>
        <v>0</v>
      </c>
      <c r="BF53" s="668">
        <f>IF(BF$4="forecast",SUMIFS(Planning_Mkt!AI$5:AI$133,Planning_Mkt!$B$5:$B$133,"Special Projects"),SUMIF('Dept. Cost Actuals'!AJ181:AJ350,"*Special*",'Dept. Cost Actuals'!BJ181:BJ350))</f>
        <v>0</v>
      </c>
      <c r="BG53" s="668">
        <f>IF(BG$4="forecast",SUMIFS(Planning_Mkt!AJ$5:AJ$133,Planning_Mkt!$B$5:$B$133,"Special Projects"),SUMIF('Dept. Cost Actuals'!AK181:AK350,"*Special*",'Dept. Cost Actuals'!BK181:BK350))</f>
        <v>0</v>
      </c>
      <c r="BH53" s="668">
        <f>IF(BH$4="forecast",SUMIFS(Planning_Mkt!AK$5:AK$133,Planning_Mkt!$B$5:$B$133,"Special Projects"),SUMIF('Dept. Cost Actuals'!AL181:AL350,"*Special*",'Dept. Cost Actuals'!BL181:BL350))</f>
        <v>0</v>
      </c>
      <c r="BI53" s="668">
        <f>IF(BI$4="forecast",SUMIFS(Planning_Mkt!AL$5:AL$133,Planning_Mkt!$B$5:$B$133,"Special Projects"),SUMIF('Dept. Cost Actuals'!AM181:AM350,"*Special*",'Dept. Cost Actuals'!BM181:BM350))</f>
        <v>0</v>
      </c>
      <c r="BJ53" s="668">
        <f>IF(BJ$4="forecast",SUMIFS(Planning_Mkt!AM$5:AM$133,Planning_Mkt!$B$5:$B$133,"Special Projects"),SUMIF('Dept. Cost Actuals'!AN181:AN350,"*Special*",'Dept. Cost Actuals'!BN181:BN350))</f>
        <v>0</v>
      </c>
      <c r="BK53" s="668">
        <f>IF(BK$4="forecast",SUMIFS(Planning_Mkt!AN$5:AN$133,Planning_Mkt!$B$5:$B$133,"Special Projects"),SUMIF('Dept. Cost Actuals'!$E$7:$E$176,"*Special Projects*",'Dept. Cost Actuals'!BO$181:BO$350))</f>
        <v>0</v>
      </c>
      <c r="BL53" s="668">
        <f>IF(BL$4="forecast",SUMIFS(Planning_Mkt!AO$5:AO$133,Planning_Mkt!$B$5:$B$133,"Special Projects"),SUMIF('Dept. Cost Actuals'!$E$7:$E$176,"*Special Projects*",'Dept. Cost Actuals'!BP$181:BP$350))</f>
        <v>0</v>
      </c>
      <c r="BM53" s="668">
        <f>IF(BM$4="forecast",SUMIFS(Planning_Mkt!AP$5:AP$133,Planning_Mkt!$B$5:$B$133,"Special Projects"),SUMIF('Dept. Cost Actuals'!$E$7:$E$176,"*Special Projects*",'Dept. Cost Actuals'!BQ$181:BQ$350))</f>
        <v>0</v>
      </c>
      <c r="BN53" s="668">
        <f>IF(BN$4="forecast",SUMIFS(Planning_Mkt!AQ$5:AQ$133,Planning_Mkt!$B$5:$B$133,"Special Projects"),SUMIF('Dept. Cost Actuals'!$E$7:$E$176,"*Special Projects*",'Dept. Cost Actuals'!BR$181:BR$350))</f>
        <v>0</v>
      </c>
      <c r="BO53" s="668">
        <f>IF(BO$4="forecast",SUMIFS(Planning_Mkt!AR$5:AR$133,Planning_Mkt!$B$5:$B$133,"Special Projects"),SUMIF('Dept. Cost Actuals'!$E$7:$E$176,"*Special Projects*",'Dept. Cost Actuals'!BS$181:BS$350))</f>
        <v>0</v>
      </c>
      <c r="BP53" s="668">
        <f>IF(BP$4="forecast",SUMIFS(Planning_Mkt!AS$5:AS$133,Planning_Mkt!$B$5:$B$133,"Special Projects"),SUMIF('Dept. Cost Actuals'!$E$7:$E$176,"*Special Projects*",'Dept. Cost Actuals'!BT$181:BT$350))</f>
        <v>0</v>
      </c>
      <c r="BQ53" s="668">
        <f>IF(BQ$4="forecast",SUMIFS(Planning_Mkt!AT$5:AT$133,Planning_Mkt!$B$5:$B$133,"Special Projects"),SUMIF('Dept. Cost Actuals'!$E$7:$E$176,"*Special Projects*",'Dept. Cost Actuals'!BU$181:BU$350))</f>
        <v>0</v>
      </c>
      <c r="BR53" s="668">
        <f>IF(BR$4="forecast",SUMIFS(Planning_Mkt!AU$5:AU$133,Planning_Mkt!$B$5:$B$133,"Special Projects"),SUMIF('Dept. Cost Actuals'!$E$7:$E$176,"*Special Projects*",'Dept. Cost Actuals'!BV$181:BV$350))</f>
        <v>0</v>
      </c>
      <c r="BS53" s="668">
        <f>IF(BS$4="forecast",SUMIFS(Planning_Mkt!AV$5:AV$133,Planning_Mkt!$B$5:$B$133,"Special Projects"),SUMIF('Dept. Cost Actuals'!$E$7:$E$176,"*Special Projects*",'Dept. Cost Actuals'!BW$181:BW$350))</f>
        <v>0</v>
      </c>
      <c r="BT53" s="668">
        <f>IF(BT$4="forecast",SUMIFS(Planning_Mkt!AW$5:AW$133,Planning_Mkt!$B$5:$B$133,"Special Projects"),SUMIF('Dept. Cost Actuals'!$E$7:$E$176,"*Special Projects*",'Dept. Cost Actuals'!BX$181:BX$350))</f>
        <v>0</v>
      </c>
      <c r="BU53" s="668">
        <f>IF(BU$4="forecast",SUMIFS(Planning_Mkt!AX$5:AX$133,Planning_Mkt!$B$5:$B$133,"Special Projects"),SUMIF('Dept. Cost Actuals'!$E$7:$E$176,"*Special Projects*",'Dept. Cost Actuals'!BY$181:BY$350))</f>
        <v>0</v>
      </c>
      <c r="BV53" s="668">
        <f>IF(BV$4="forecast",SUMIFS(Planning_Mkt!AY$5:AY$133,Planning_Mkt!$B$5:$B$133,"Special Projects"),SUMIF('Dept. Cost Actuals'!$E$7:$E$176,"*Special Projects*",'Dept. Cost Actuals'!BZ$181:BZ$350))</f>
        <v>0</v>
      </c>
    </row>
    <row r="54" spans="2:74" x14ac:dyDescent="0.25">
      <c r="B54" s="854" t="s">
        <v>991</v>
      </c>
      <c r="C54" s="668">
        <f>IF(C$4="forecast",SUMIFS(Planning_Mkt!#REF!,Planning_Mkt!$B$5:$B$133,"Marketing - Other"),SUMIF('Dept. Cost Actuals'!$E$7:$E$176,"*Marketing Other*",'Dept. Cost Actuals'!G$181:G$350))</f>
        <v>0</v>
      </c>
      <c r="D54" s="668">
        <f>IF(D$4="forecast",SUMIFS(Planning_Mkt!#REF!,Planning_Mkt!$B$5:$B$133,"Marketing - Other"),SUMIF('Dept. Cost Actuals'!$E$7:$E$176,"*Marketing Other*",'Dept. Cost Actuals'!H$181:H$350))</f>
        <v>0</v>
      </c>
      <c r="E54" s="668">
        <f>IF(E$4="forecast",SUMIFS(Planning_Mkt!#REF!,Planning_Mkt!$B$5:$B$133,"Marketing - Other"),SUMIF('Dept. Cost Actuals'!$E$7:$E$176,"*Marketing Other*",'Dept. Cost Actuals'!I$181:I$350))</f>
        <v>0</v>
      </c>
      <c r="F54" s="668">
        <f>IF(F$4="forecast",SUMIFS(Planning_Mkt!#REF!,Planning_Mkt!$B$5:$B$133,"Marketing - Other"),SUMIF('Dept. Cost Actuals'!$E$7:$E$176,"*Marketing Other*",'Dept. Cost Actuals'!J$181:J$350))</f>
        <v>0</v>
      </c>
      <c r="G54" s="668">
        <f>IF(G$4="forecast",SUMIFS(Planning_Mkt!#REF!,Planning_Mkt!$B$5:$B$133,"Marketing - Other"),SUMIF('Dept. Cost Actuals'!$E$7:$E$176,"*Marketing Other*",'Dept. Cost Actuals'!K$181:K$350))</f>
        <v>0</v>
      </c>
      <c r="H54" s="668">
        <f>IF(H$4="forecast",SUMIFS(Planning_Mkt!#REF!,Planning_Mkt!$B$5:$B$133,"Marketing - Other"),SUMIF('Dept. Cost Actuals'!$E$7:$E$176,"*Marketing Other*",'Dept. Cost Actuals'!L$181:L$350))</f>
        <v>0</v>
      </c>
      <c r="I54" s="668">
        <f>IF(I$4="forecast",SUMIFS(Planning_Mkt!#REF!,Planning_Mkt!$B$5:$B$133,"Marketing - Other"),SUMIF('Dept. Cost Actuals'!$E$7:$E$176,"*Marketing Other*",'Dept. Cost Actuals'!M$181:M$350))</f>
        <v>0</v>
      </c>
      <c r="J54" s="668">
        <f>IF(J$4="forecast",SUMIFS(Planning_Mkt!#REF!,Planning_Mkt!$B$5:$B$133,"Marketing - Other"),SUMIF('Dept. Cost Actuals'!$E$7:$E$176,"*Marketing Other*",'Dept. Cost Actuals'!N$181:N$350))</f>
        <v>0</v>
      </c>
      <c r="K54" s="668">
        <f>IF(K$4="forecast",SUMIFS(Planning_Mkt!#REF!,Planning_Mkt!$B$5:$B$133,"Marketing - Other"),SUMIF('Dept. Cost Actuals'!$E$7:$E$176,"*Marketing Other*",'Dept. Cost Actuals'!O$181:O$350))</f>
        <v>0</v>
      </c>
      <c r="L54" s="668">
        <f>IF(L$4="forecast",SUMIFS(Planning_Mkt!#REF!,Planning_Mkt!$B$5:$B$133,"Marketing - Other"),SUMIF('Dept. Cost Actuals'!$E$7:$E$176,"*Marketing Other*",'Dept. Cost Actuals'!P$181:P$350))</f>
        <v>0</v>
      </c>
      <c r="M54" s="668">
        <f>IF(M$4="forecast",SUMIFS(Planning_Mkt!#REF!,Planning_Mkt!$B$5:$B$133,"Marketing - Other"),SUMIF('Dept. Cost Actuals'!$E$7:$E$176,"*Marketing Other*",'Dept. Cost Actuals'!Q$181:Q$350))</f>
        <v>0</v>
      </c>
      <c r="N54" s="668">
        <f>IF(N$4="forecast",SUMIFS(Planning_Mkt!#REF!,Planning_Mkt!$B$5:$B$133,"Marketing - Other"),SUMIF('Dept. Cost Actuals'!$E$7:$E$176,"*Marketing Other*",'Dept. Cost Actuals'!R$181:R$350))</f>
        <v>0</v>
      </c>
      <c r="O54" s="668">
        <f>IF(O$4="forecast",SUMIFS(Planning_Mkt!#REF!,Planning_Mkt!$B$5:$B$133,"Marketing - Other"),SUMIF('Dept. Cost Actuals'!$E$7:$E$176,"*Marketing Other*",'Dept. Cost Actuals'!S$181:S$350))</f>
        <v>-775</v>
      </c>
      <c r="P54" s="668">
        <f>IF(P$4="forecast",SUMIFS(Planning_Mkt!#REF!,Planning_Mkt!$B$5:$B$133,"Marketing - Other"),SUMIF('Dept. Cost Actuals'!$E$7:$E$176,"*Marketing Other*",'Dept. Cost Actuals'!T$181:T$350))</f>
        <v>71.209999999999994</v>
      </c>
      <c r="Q54" s="668">
        <f>IF(Q$4="forecast",SUMIFS(Planning_Mkt!#REF!,Planning_Mkt!$B$5:$B$133,"Marketing - Other"),SUMIF('Dept. Cost Actuals'!$E$7:$E$176,"*Marketing Other*",'Dept. Cost Actuals'!U$181:U$350))</f>
        <v>0</v>
      </c>
      <c r="R54" s="668">
        <f>IF(R$4="forecast",SUMIFS(Planning_Mkt!#REF!,Planning_Mkt!$B$5:$B$133,"Marketing - Other"),SUMIF('Dept. Cost Actuals'!$E$7:$E$176,"*Marketing Other*",'Dept. Cost Actuals'!V$181:V$350))</f>
        <v>0</v>
      </c>
      <c r="S54" s="668">
        <f>IF(S$4="forecast",SUMIFS(Planning_Mkt!#REF!,Planning_Mkt!$B$5:$B$133,"Marketing - Other"),SUMIF('Dept. Cost Actuals'!$E$7:$E$176,"*Marketing Other*",'Dept. Cost Actuals'!W$181:W$350))</f>
        <v>0</v>
      </c>
      <c r="T54" s="668">
        <f>IF(T$4="forecast",SUMIFS(Planning_Mkt!#REF!,Planning_Mkt!$B$5:$B$133,"Marketing - Other"),SUMIF('Dept. Cost Actuals'!$E$7:$E$176,"*Marketing Other*",'Dept. Cost Actuals'!X$181:X$350))</f>
        <v>0</v>
      </c>
      <c r="U54" s="668">
        <f>IF(U$4="forecast",SUMIFS(Planning_Mkt!#REF!,Planning_Mkt!$B$5:$B$133,"Marketing - Other"),SUMIF('Dept. Cost Actuals'!$E$7:$E$176,"*Marketing Other*",'Dept. Cost Actuals'!Y$181:Y$350))</f>
        <v>0</v>
      </c>
      <c r="V54" s="668">
        <f>IF(V$4="forecast",SUMIFS(Planning_Mkt!#REF!,Planning_Mkt!$B$5:$B$133,"Marketing - Other"),SUMIF('Dept. Cost Actuals'!$E$7:$E$176,"*Marketing Other*",'Dept. Cost Actuals'!Z$181:Z$350))</f>
        <v>-13333.33</v>
      </c>
      <c r="W54" s="668">
        <f>IF(W$4="forecast",SUMIFS(Planning_Mkt!#REF!,Planning_Mkt!$B$5:$B$133,"Marketing - Other"),SUMIF('Dept. Cost Actuals'!$E$7:$E$176,"*Marketing Other*",'Dept. Cost Actuals'!AA$181:AA$350))</f>
        <v>0</v>
      </c>
      <c r="X54" s="668">
        <f>IF(X$4="forecast",SUMIFS(Planning_Mkt!A$5:A$133,Planning_Mkt!$B$5:$B$133,"Marketing - Other"),SUMIF('Dept. Cost Actuals'!$E$7:$E$176,"*Marketing Other*",'Dept. Cost Actuals'!AB$181:AB$350))</f>
        <v>0</v>
      </c>
      <c r="Y54" s="668">
        <f>IF(Y$4="forecast",SUMIFS(Planning_Mkt!B$5:B$133,Planning_Mkt!$B$5:$B$133,"Marketing - Other"),SUMIF('Dept. Cost Actuals'!$E$7:$E$176,"*Marketing Other*",'Dept. Cost Actuals'!AC$181:AC$350))</f>
        <v>0</v>
      </c>
      <c r="Z54" s="668">
        <f>IF(Z$4="forecast",SUMIFS(Planning_Mkt!C$5:C$133,Planning_Mkt!$B$5:$B$133,"Marketing - Other"),SUMIF('Dept. Cost Actuals'!$E$7:$E$176,"*Marketing Other*",'Dept. Cost Actuals'!AD$181:AD$350))</f>
        <v>0</v>
      </c>
      <c r="AA54" s="668">
        <f>IF(AA$4="forecast",SUMIFS(Planning_Mkt!D$5:D$133,Planning_Mkt!$B$5:$B$133,"Special Projects"),SUMIF('Dept. Cost Actuals'!E182:E351,"*Marketing Other*",'Dept. Cost Actuals'!AE182:AE351))</f>
        <v>0</v>
      </c>
      <c r="AB54" s="668">
        <f>IF(AB$4="forecast",SUMIFS(Planning_Mkt!E$5:E$133,Planning_Mkt!$B$5:$B$133,"Special Projects"),SUMIF('Dept. Cost Actuals'!F182:F351,"*Marketing Other*",'Dept. Cost Actuals'!AF182:AF351))</f>
        <v>0</v>
      </c>
      <c r="AC54" s="668">
        <f>IF(AC$4="forecast",SUMIFS(Planning_Mkt!F$5:F$133,Planning_Mkt!$B$5:$B$133,"Special Projects"),SUMIF('Dept. Cost Actuals'!G182:G351,"*Marketing Other*",'Dept. Cost Actuals'!AG182:AG351))</f>
        <v>0</v>
      </c>
      <c r="AD54" s="668">
        <f>IF(AD$4="forecast",SUMIFS(Planning_Mkt!G$5:G$133,Planning_Mkt!$B$5:$B$133,"Special Projects"),SUMIF('Dept. Cost Actuals'!H182:H351,"*Marketing Other*",'Dept. Cost Actuals'!AH182:AH351))</f>
        <v>54000</v>
      </c>
      <c r="AE54" s="668">
        <f>IF(AE$4="forecast",SUMIFS(Planning_Mkt!H$5:H$133,Planning_Mkt!$B$5:$B$133,"Special Projects"),SUMIF('Dept. Cost Actuals'!I182:I351,"*Marketing Other*",'Dept. Cost Actuals'!AI182:AI351))</f>
        <v>6000</v>
      </c>
      <c r="AF54" s="668">
        <f>IF(AF$4="forecast",SUMIFS(Planning_Mkt!I$5:I$133,Planning_Mkt!$B$5:$B$133,"Special Projects"),SUMIF('Dept. Cost Actuals'!J182:J351,"*Marketing Other*",'Dept. Cost Actuals'!AJ182:AJ351))</f>
        <v>38500</v>
      </c>
      <c r="AG54" s="668">
        <f>IF(AG$4="forecast",SUMIFS(Planning_Mkt!J$5:J$133,Planning_Mkt!$B$5:$B$133,"Special Projects"),SUMIF('Dept. Cost Actuals'!K182:K351,"*Marketing Other*",'Dept. Cost Actuals'!AK182:AK351))</f>
        <v>104000</v>
      </c>
      <c r="AH54" s="668">
        <f>IF(AH$4="forecast",SUMIFS(Planning_Mkt!K$5:K$133,Planning_Mkt!$B$5:$B$133,"Special Projects"),SUMIF('Dept. Cost Actuals'!L182:L351,"*Marketing Other*",'Dept. Cost Actuals'!AL182:AL351))</f>
        <v>6000</v>
      </c>
      <c r="AI54" s="668">
        <f>IF(AI$4="forecast",SUMIFS(Planning_Mkt!L$5:L$133,Planning_Mkt!$B$5:$B$133,"Special Projects"),SUMIF('Dept. Cost Actuals'!M182:M351,"*Marketing Other*",'Dept. Cost Actuals'!AM182:AM351))</f>
        <v>26000</v>
      </c>
      <c r="AJ54" s="668">
        <f>IF(AJ$4="forecast",SUMIFS(Planning_Mkt!M$5:M$133,Planning_Mkt!$B$5:$B$133,"Special Projects"),SUMIF('Dept. Cost Actuals'!N182:N351,"*Marketing Other*",'Dept. Cost Actuals'!AN182:AN351))</f>
        <v>76000</v>
      </c>
      <c r="AK54" s="668">
        <f>IF(AK$4="forecast",SUMIFS(Planning_Mkt!N$5:N$133,Planning_Mkt!$B$5:$B$133,"Special Projects"),SUMIF('Dept. Cost Actuals'!O182:O351,"*Marketing Other*",'Dept. Cost Actuals'!AO182:AO351))</f>
        <v>6000</v>
      </c>
      <c r="AL54" s="668">
        <f>IF(AL$4="forecast",SUMIFS(Planning_Mkt!O$5:O$133,Planning_Mkt!$B$5:$B$133,"Special Projects"),SUMIF('Dept. Cost Actuals'!P182:P351,"*Marketing Other*",'Dept. Cost Actuals'!AP182:AP351))</f>
        <v>4500</v>
      </c>
      <c r="AM54" s="668">
        <f>IF(AM$4="forecast",SUMIFS(Planning_Mkt!P$5:P$133,Planning_Mkt!$B$5:$B$133,"Special Projects"),SUMIF('Dept. Cost Actuals'!Q182:Q351,"*Marketing Other*",'Dept. Cost Actuals'!AQ182:AQ351))</f>
        <v>357000</v>
      </c>
      <c r="AN54" s="668">
        <f>IF(AN$4="forecast",SUMIFS(Planning_Mkt!Q$5:Q$133,Planning_Mkt!$B$5:$B$133,"Special Projects"),SUMIF('Dept. Cost Actuals'!R182:R351,"*Marketing Other*",'Dept. Cost Actuals'!AR182:AR351))</f>
        <v>0</v>
      </c>
      <c r="AO54" s="668">
        <f>IF(AO$4="forecast",SUMIFS(Planning_Mkt!R$5:R$133,Planning_Mkt!$B$5:$B$133,"Special Projects"),SUMIF('Dept. Cost Actuals'!S182:S351,"*Marketing Other*",'Dept. Cost Actuals'!AS182:AS351))</f>
        <v>0</v>
      </c>
      <c r="AP54" s="668">
        <f>IF(AP$4="forecast",SUMIFS(Planning_Mkt!S$5:S$133,Planning_Mkt!$B$5:$B$133,"Special Projects"),SUMIF('Dept. Cost Actuals'!T182:T351,"*Marketing Other*",'Dept. Cost Actuals'!AT182:AT351))</f>
        <v>0</v>
      </c>
      <c r="AQ54" s="668">
        <f>IF(AQ$4="forecast",SUMIFS(Planning_Mkt!T$5:T$133,Planning_Mkt!$B$5:$B$133,"Special Projects"),SUMIF('Dept. Cost Actuals'!U182:U351,"*Marketing Other*",'Dept. Cost Actuals'!AU182:AU351))</f>
        <v>0</v>
      </c>
      <c r="AR54" s="668">
        <f>IF(AR$4="forecast",SUMIFS(Planning_Mkt!U$5:U$133,Planning_Mkt!$B$5:$B$133,"Special Projects"),SUMIF('Dept. Cost Actuals'!V182:V351,"*Marketing Other*",'Dept. Cost Actuals'!AV182:AV351))</f>
        <v>0</v>
      </c>
      <c r="AS54" s="668">
        <f>IF(AS$4="forecast",SUMIFS(Planning_Mkt!V$5:V$133,Planning_Mkt!$B$5:$B$133,"Special Projects"),SUMIF('Dept. Cost Actuals'!W182:W351,"*Marketing Other*",'Dept. Cost Actuals'!AW182:AW351))</f>
        <v>0</v>
      </c>
      <c r="AT54" s="668">
        <f>IF(AT$4="forecast",SUMIFS(Planning_Mkt!W$5:W$133,Planning_Mkt!$B$5:$B$133,"Special Projects"),SUMIF('Dept. Cost Actuals'!X182:X351,"*Marketing Other*",'Dept. Cost Actuals'!AX182:AX351))</f>
        <v>0</v>
      </c>
      <c r="AU54" s="668">
        <f>IF(AU$4="forecast",SUMIFS(Planning_Mkt!X$5:X$133,Planning_Mkt!$B$5:$B$133,"Special Projects"),SUMIF('Dept. Cost Actuals'!Y182:Y351,"*Marketing Other*",'Dept. Cost Actuals'!AY182:AY351))</f>
        <v>0</v>
      </c>
      <c r="AV54" s="668">
        <f>IF(AV$4="forecast",SUMIFS(Planning_Mkt!Y$5:Y$133,Planning_Mkt!$B$5:$B$133,"Special Projects"),SUMIF('Dept. Cost Actuals'!Z182:Z351,"*Marketing Other*",'Dept. Cost Actuals'!AZ182:AZ351))</f>
        <v>0</v>
      </c>
      <c r="AW54" s="668">
        <f>IF(AW$4="forecast",SUMIFS(Planning_Mkt!Z$5:Z$133,Planning_Mkt!$B$5:$B$133,"Special Projects"),SUMIF('Dept. Cost Actuals'!AA182:AA351,"*Marketing Other*",'Dept. Cost Actuals'!BA182:BA351))</f>
        <v>0</v>
      </c>
      <c r="AX54" s="668">
        <f>IF(AX$4="forecast",SUMIFS(Planning_Mkt!AA$5:AA$133,Planning_Mkt!$B$5:$B$133,"Special Projects"),SUMIF('Dept. Cost Actuals'!AB182:AB351,"*Marketing Other*",'Dept. Cost Actuals'!BB182:BB351))</f>
        <v>0</v>
      </c>
      <c r="AY54" s="668">
        <f>IF(AY$4="forecast",SUMIFS(Planning_Mkt!AB$5:AB$133,Planning_Mkt!$B$5:$B$133,"Special Projects"),SUMIF('Dept. Cost Actuals'!AC182:AC351,"*Marketing Other*",'Dept. Cost Actuals'!BC182:BC351))</f>
        <v>0</v>
      </c>
      <c r="AZ54" s="668">
        <f>IF(AZ$4="forecast",SUMIFS(Planning_Mkt!AC$5:AC$133,Planning_Mkt!$B$5:$B$133,"Special Projects"),SUMIF('Dept. Cost Actuals'!AD182:AD351,"*Marketing Other*",'Dept. Cost Actuals'!BD182:BD351))</f>
        <v>0</v>
      </c>
      <c r="BA54" s="668">
        <f>IF(BA$4="forecast",SUMIFS(Planning_Mkt!AD$5:AD$133,Planning_Mkt!$B$5:$B$133,"Special Projects"),SUMIF('Dept. Cost Actuals'!AE182:AE351,"*Marketing Other*",'Dept. Cost Actuals'!BE182:BE351))</f>
        <v>0</v>
      </c>
      <c r="BB54" s="668">
        <f>IF(BB$4="forecast",SUMIFS(Planning_Mkt!AE$5:AE$133,Planning_Mkt!$B$5:$B$133,"Special Projects"),SUMIF('Dept. Cost Actuals'!AF182:AF351,"*Marketing Other*",'Dept. Cost Actuals'!BF182:BF351))</f>
        <v>0</v>
      </c>
      <c r="BC54" s="668">
        <f>IF(BC$4="forecast",SUMIFS(Planning_Mkt!AF$5:AF$133,Planning_Mkt!$B$5:$B$133,"Special Projects"),SUMIF('Dept. Cost Actuals'!AG182:AG351,"*Marketing Other*",'Dept. Cost Actuals'!BG182:BG351))</f>
        <v>0</v>
      </c>
      <c r="BD54" s="668">
        <f>IF(BD$4="forecast",SUMIFS(Planning_Mkt!AG$5:AG$133,Planning_Mkt!$B$5:$B$133,"Special Projects"),SUMIF('Dept. Cost Actuals'!AH182:AH351,"*Marketing Other*",'Dept. Cost Actuals'!BH182:BH351))</f>
        <v>0</v>
      </c>
      <c r="BE54" s="668">
        <f>IF(BE$4="forecast",SUMIFS(Planning_Mkt!AH$5:AH$133,Planning_Mkt!$B$5:$B$133,"Special Projects"),SUMIF('Dept. Cost Actuals'!AI182:AI351,"*Marketing Other*",'Dept. Cost Actuals'!BI182:BI351))</f>
        <v>0</v>
      </c>
      <c r="BF54" s="668">
        <f>IF(BF$4="forecast",SUMIFS(Planning_Mkt!AI$5:AI$133,Planning_Mkt!$B$5:$B$133,"Special Projects"),SUMIF('Dept. Cost Actuals'!AJ182:AJ351,"*Marketing Other*",'Dept. Cost Actuals'!BJ182:BJ351))</f>
        <v>0</v>
      </c>
      <c r="BG54" s="668">
        <f>IF(BG$4="forecast",SUMIFS(Planning_Mkt!AJ$5:AJ$133,Planning_Mkt!$B$5:$B$133,"Special Projects"),SUMIF('Dept. Cost Actuals'!AK182:AK351,"*Marketing Other*",'Dept. Cost Actuals'!BK182:BK351))</f>
        <v>0</v>
      </c>
      <c r="BH54" s="668">
        <f>IF(BH$4="forecast",SUMIFS(Planning_Mkt!AK$5:AK$133,Planning_Mkt!$B$5:$B$133,"Special Projects"),SUMIF('Dept. Cost Actuals'!AL182:AL351,"*Marketing Other*",'Dept. Cost Actuals'!BL182:BL351))</f>
        <v>0</v>
      </c>
      <c r="BI54" s="668">
        <f>IF(BI$4="forecast",SUMIFS(Planning_Mkt!AL$5:AL$133,Planning_Mkt!$B$5:$B$133,"Special Projects"),SUMIF('Dept. Cost Actuals'!AM182:AM351,"*Marketing Other*",'Dept. Cost Actuals'!BM182:BM351))</f>
        <v>0</v>
      </c>
      <c r="BJ54" s="668">
        <f>IF(BJ$4="forecast",SUMIFS(Planning_Mkt!AM$5:AM$133,Planning_Mkt!$B$5:$B$133,"Special Projects"),SUMIF('Dept. Cost Actuals'!AN182:AN351,"*Marketing Other*",'Dept. Cost Actuals'!BN182:BN351))</f>
        <v>0</v>
      </c>
      <c r="BK54" s="668">
        <f>IF(BK$4="forecast",SUMIFS(Planning_Mkt!AN$5:AN$133,Planning_Mkt!$B$5:$B$133,"Special Projects"),SUMIF('Dept. Cost Actuals'!AO182:AO351,"*Marketing Other*",'Dept. Cost Actuals'!BO182:BO351))</f>
        <v>0</v>
      </c>
      <c r="BL54" s="668">
        <f>IF(BL$4="forecast",SUMIFS(Planning_Mkt!AO$5:AO$133,Planning_Mkt!$B$5:$B$133,"Marketing - Other"),SUMIF('Dept. Cost Actuals'!$E$7:$E$176,"*Marketing Other*",'Dept. Cost Actuals'!BP$181:BP$350))</f>
        <v>0</v>
      </c>
      <c r="BM54" s="668">
        <f>IF(BM$4="forecast",SUMIFS(Planning_Mkt!AP$5:AP$133,Planning_Mkt!$B$5:$B$133,"Marketing - Other"),SUMIF('Dept. Cost Actuals'!$E$7:$E$176,"*Marketing Other*",'Dept. Cost Actuals'!BQ$181:BQ$350))</f>
        <v>0</v>
      </c>
      <c r="BN54" s="668">
        <f>IF(BN$4="forecast",SUMIFS(Planning_Mkt!AQ$5:AQ$133,Planning_Mkt!$B$5:$B$133,"Marketing - Other"),SUMIF('Dept. Cost Actuals'!$E$7:$E$176,"*Marketing Other*",'Dept. Cost Actuals'!BR$181:BR$350))</f>
        <v>0</v>
      </c>
      <c r="BO54" s="668">
        <f>IF(BO$4="forecast",SUMIFS(Planning_Mkt!AR$5:AR$133,Planning_Mkt!$B$5:$B$133,"Marketing - Other"),SUMIF('Dept. Cost Actuals'!$E$7:$E$176,"*Marketing Other*",'Dept. Cost Actuals'!BS$181:BS$350))</f>
        <v>0</v>
      </c>
      <c r="BP54" s="668">
        <f>IF(BP$4="forecast",SUMIFS(Planning_Mkt!AS$5:AS$133,Planning_Mkt!$B$5:$B$133,"Marketing - Other"),SUMIF('Dept. Cost Actuals'!$E$7:$E$176,"*Marketing Other*",'Dept. Cost Actuals'!BT$181:BT$350))</f>
        <v>0</v>
      </c>
      <c r="BQ54" s="668">
        <f>IF(BQ$4="forecast",SUMIFS(Planning_Mkt!AT$5:AT$133,Planning_Mkt!$B$5:$B$133,"Marketing - Other"),SUMIF('Dept. Cost Actuals'!$E$7:$E$176,"*Marketing Other*",'Dept. Cost Actuals'!BU$181:BU$350))</f>
        <v>0</v>
      </c>
      <c r="BR54" s="668">
        <f>IF(BR$4="forecast",SUMIFS(Planning_Mkt!AU$5:AU$133,Planning_Mkt!$B$5:$B$133,"Marketing - Other"),SUMIF('Dept. Cost Actuals'!$E$7:$E$176,"*Marketing Other*",'Dept. Cost Actuals'!BV$181:BV$350))</f>
        <v>0</v>
      </c>
      <c r="BS54" s="668">
        <f>IF(BS$4="forecast",SUMIFS(Planning_Mkt!AV$5:AV$133,Planning_Mkt!$B$5:$B$133,"Marketing - Other"),SUMIF('Dept. Cost Actuals'!$E$7:$E$176,"*Marketing Other*",'Dept. Cost Actuals'!BW$181:BW$350))</f>
        <v>0</v>
      </c>
      <c r="BT54" s="668">
        <f>IF(BT$4="forecast",SUMIFS(Planning_Mkt!AW$5:AW$133,Planning_Mkt!$B$5:$B$133,"Marketing - Other"),SUMIF('Dept. Cost Actuals'!$E$7:$E$176,"*Marketing Other*",'Dept. Cost Actuals'!BX$181:BX$350))</f>
        <v>0</v>
      </c>
      <c r="BU54" s="668">
        <f>IF(BU$4="forecast",SUMIFS(Planning_Mkt!AX$5:AX$133,Planning_Mkt!$B$5:$B$133,"Marketing - Other"),SUMIF('Dept. Cost Actuals'!$E$7:$E$176,"*Marketing Other*",'Dept. Cost Actuals'!BY$181:BY$350))</f>
        <v>0</v>
      </c>
      <c r="BV54" s="668">
        <f>IF(BV$4="forecast",SUMIFS(Planning_Mkt!AY$5:AY$133,Planning_Mkt!$B$5:$B$133,"Marketing - Other"),SUMIF('Dept. Cost Actuals'!$E$7:$E$176,"*Marketing Other*",'Dept. Cost Actuals'!BZ$181:BZ$350))</f>
        <v>0</v>
      </c>
    </row>
    <row r="55" spans="2:74" x14ac:dyDescent="0.25">
      <c r="B55" s="799" t="s">
        <v>1061</v>
      </c>
      <c r="C55" s="800">
        <f t="shared" ref="C55:BN55" si="14">SUM(C46:C54,)</f>
        <v>91250.8</v>
      </c>
      <c r="D55" s="800">
        <f t="shared" si="14"/>
        <v>137787.19999999998</v>
      </c>
      <c r="E55" s="800">
        <f t="shared" si="14"/>
        <v>162742.02000000002</v>
      </c>
      <c r="F55" s="800">
        <f t="shared" si="14"/>
        <v>151877.41</v>
      </c>
      <c r="G55" s="800">
        <f t="shared" si="14"/>
        <v>115310.32</v>
      </c>
      <c r="H55" s="800">
        <f t="shared" si="14"/>
        <v>133316.34</v>
      </c>
      <c r="I55" s="800">
        <f t="shared" si="14"/>
        <v>125676.18150849563</v>
      </c>
      <c r="J55" s="800">
        <f t="shared" si="14"/>
        <v>142464.76</v>
      </c>
      <c r="K55" s="800">
        <f t="shared" si="14"/>
        <v>143818.17981361484</v>
      </c>
      <c r="L55" s="800">
        <f t="shared" si="14"/>
        <v>156768.36244779016</v>
      </c>
      <c r="M55" s="800">
        <f t="shared" si="14"/>
        <v>88581.16</v>
      </c>
      <c r="N55" s="800">
        <f t="shared" si="14"/>
        <v>60219.11</v>
      </c>
      <c r="O55" s="800">
        <f t="shared" si="14"/>
        <v>250571.37</v>
      </c>
      <c r="P55" s="800">
        <f t="shared" si="14"/>
        <v>177333.46</v>
      </c>
      <c r="Q55" s="800">
        <f t="shared" si="14"/>
        <v>247187.6</v>
      </c>
      <c r="R55" s="800">
        <f t="shared" si="14"/>
        <v>234009.54</v>
      </c>
      <c r="S55" s="800">
        <f t="shared" si="14"/>
        <v>267576.47000000003</v>
      </c>
      <c r="T55" s="800">
        <f t="shared" si="14"/>
        <v>440924.77</v>
      </c>
      <c r="U55" s="800">
        <f t="shared" si="14"/>
        <v>690189.71000000008</v>
      </c>
      <c r="V55" s="800">
        <f t="shared" si="14"/>
        <v>648350.92000000004</v>
      </c>
      <c r="W55" s="800">
        <f t="shared" si="14"/>
        <v>423894.22</v>
      </c>
      <c r="X55" s="800">
        <f t="shared" si="14"/>
        <v>375300.8</v>
      </c>
      <c r="Y55" s="800">
        <f t="shared" si="14"/>
        <v>414441.6</v>
      </c>
      <c r="Z55" s="800">
        <f t="shared" si="14"/>
        <v>335249.40999999997</v>
      </c>
      <c r="AA55" s="800">
        <f t="shared" si="14"/>
        <v>315411.66000000003</v>
      </c>
      <c r="AB55" s="800">
        <f t="shared" si="14"/>
        <v>313464.46000000002</v>
      </c>
      <c r="AC55" s="800">
        <f t="shared" si="14"/>
        <v>511447.38</v>
      </c>
      <c r="AD55" s="800">
        <f t="shared" si="14"/>
        <v>858706.33</v>
      </c>
      <c r="AE55" s="800">
        <f t="shared" si="14"/>
        <v>726253.83</v>
      </c>
      <c r="AF55" s="800">
        <f t="shared" si="14"/>
        <v>752088.83</v>
      </c>
      <c r="AG55" s="800">
        <f t="shared" si="14"/>
        <v>839213.83</v>
      </c>
      <c r="AH55" s="800">
        <f t="shared" si="14"/>
        <v>546138.82999999996</v>
      </c>
      <c r="AI55" s="800">
        <f t="shared" si="14"/>
        <v>586138.82999999996</v>
      </c>
      <c r="AJ55" s="800">
        <f t="shared" si="14"/>
        <v>726238.83</v>
      </c>
      <c r="AK55" s="800">
        <f t="shared" si="14"/>
        <v>546138.82999999996</v>
      </c>
      <c r="AL55" s="800">
        <f t="shared" si="14"/>
        <v>543138.82999999996</v>
      </c>
      <c r="AM55" s="800">
        <f t="shared" si="14"/>
        <v>7288317.5</v>
      </c>
      <c r="AN55" s="800">
        <f t="shared" si="14"/>
        <v>0</v>
      </c>
      <c r="AO55" s="800">
        <f t="shared" si="14"/>
        <v>0</v>
      </c>
      <c r="AP55" s="800">
        <f t="shared" si="14"/>
        <v>0</v>
      </c>
      <c r="AQ55" s="800">
        <f t="shared" si="14"/>
        <v>0</v>
      </c>
      <c r="AR55" s="800">
        <f t="shared" si="14"/>
        <v>0</v>
      </c>
      <c r="AS55" s="800">
        <f t="shared" si="14"/>
        <v>0</v>
      </c>
      <c r="AT55" s="800">
        <f t="shared" si="14"/>
        <v>0</v>
      </c>
      <c r="AU55" s="800">
        <f t="shared" si="14"/>
        <v>0</v>
      </c>
      <c r="AV55" s="800">
        <f t="shared" si="14"/>
        <v>0</v>
      </c>
      <c r="AW55" s="800">
        <f t="shared" si="14"/>
        <v>0</v>
      </c>
      <c r="AX55" s="800">
        <f t="shared" si="14"/>
        <v>0</v>
      </c>
      <c r="AY55" s="800">
        <f t="shared" si="14"/>
        <v>0</v>
      </c>
      <c r="AZ55" s="800">
        <f t="shared" si="14"/>
        <v>400000</v>
      </c>
      <c r="BA55" s="800">
        <f t="shared" si="14"/>
        <v>400000</v>
      </c>
      <c r="BB55" s="800">
        <f t="shared" si="14"/>
        <v>400000</v>
      </c>
      <c r="BC55" s="800">
        <f t="shared" si="14"/>
        <v>400000</v>
      </c>
      <c r="BD55" s="800">
        <f t="shared" si="14"/>
        <v>400000</v>
      </c>
      <c r="BE55" s="800">
        <f t="shared" si="14"/>
        <v>400000</v>
      </c>
      <c r="BF55" s="800">
        <f t="shared" si="14"/>
        <v>400000</v>
      </c>
      <c r="BG55" s="800">
        <f t="shared" si="14"/>
        <v>400000</v>
      </c>
      <c r="BH55" s="800">
        <f t="shared" si="14"/>
        <v>400000</v>
      </c>
      <c r="BI55" s="800">
        <f t="shared" si="14"/>
        <v>400000</v>
      </c>
      <c r="BJ55" s="800">
        <f t="shared" si="14"/>
        <v>400000</v>
      </c>
      <c r="BK55" s="800">
        <f t="shared" si="14"/>
        <v>0</v>
      </c>
      <c r="BL55" s="800">
        <f t="shared" si="14"/>
        <v>0</v>
      </c>
      <c r="BM55" s="800">
        <f t="shared" si="14"/>
        <v>0</v>
      </c>
      <c r="BN55" s="800">
        <f t="shared" si="14"/>
        <v>0</v>
      </c>
      <c r="BO55" s="800">
        <f t="shared" ref="BO55:BV55" si="15">SUM(BO46:BO54,)</f>
        <v>0</v>
      </c>
      <c r="BP55" s="800">
        <f t="shared" si="15"/>
        <v>0</v>
      </c>
      <c r="BQ55" s="800">
        <f t="shared" si="15"/>
        <v>0</v>
      </c>
      <c r="BR55" s="800">
        <f t="shared" si="15"/>
        <v>0</v>
      </c>
      <c r="BS55" s="800">
        <f t="shared" si="15"/>
        <v>0</v>
      </c>
      <c r="BT55" s="800">
        <f t="shared" si="15"/>
        <v>0</v>
      </c>
      <c r="BU55" s="800">
        <f t="shared" si="15"/>
        <v>0</v>
      </c>
      <c r="BV55" s="800">
        <f t="shared" si="15"/>
        <v>0</v>
      </c>
    </row>
    <row r="56" spans="2:74" x14ac:dyDescent="0.25">
      <c r="B56" s="783"/>
      <c r="C56" s="156"/>
      <c r="D56" s="156"/>
      <c r="E56" s="156"/>
      <c r="F56" s="156"/>
      <c r="G56" s="156"/>
      <c r="H56" s="156"/>
      <c r="I56" s="156"/>
      <c r="J56" s="156"/>
      <c r="K56" s="156"/>
      <c r="L56" s="156"/>
      <c r="M56" s="156"/>
      <c r="N56" s="156"/>
      <c r="O56" s="156"/>
      <c r="P56" s="156"/>
      <c r="Q56" s="156"/>
      <c r="R56" s="156"/>
      <c r="S56" s="156"/>
      <c r="T56" s="156"/>
      <c r="U56" s="156"/>
      <c r="V56" s="156"/>
      <c r="W56" s="156"/>
      <c r="X56" s="156"/>
      <c r="Y56" s="156"/>
      <c r="Z56" s="156"/>
      <c r="AA56" s="156"/>
      <c r="AB56" s="156"/>
      <c r="AC56" s="156"/>
      <c r="AD56" s="156"/>
      <c r="AE56" s="156"/>
      <c r="AF56" s="156"/>
      <c r="AG56" s="156"/>
      <c r="AH56" s="156"/>
      <c r="AI56" s="156"/>
      <c r="AJ56" s="156"/>
      <c r="AK56" s="156"/>
      <c r="AL56" s="156"/>
      <c r="AM56" s="156"/>
      <c r="AN56" s="156"/>
      <c r="AO56" s="156"/>
      <c r="AP56" s="156"/>
      <c r="AQ56" s="156"/>
      <c r="AR56" s="156"/>
      <c r="AS56" s="156"/>
      <c r="AT56" s="156"/>
      <c r="AU56" s="156"/>
      <c r="AV56" s="156"/>
      <c r="AW56" s="156"/>
      <c r="AX56" s="156"/>
      <c r="AY56" s="156"/>
      <c r="AZ56" s="156"/>
      <c r="BA56" s="156"/>
      <c r="BB56" s="156"/>
      <c r="BC56" s="156"/>
      <c r="BD56" s="156"/>
      <c r="BE56" s="156"/>
      <c r="BF56" s="156"/>
      <c r="BG56" s="156"/>
      <c r="BH56" s="156"/>
      <c r="BI56" s="156"/>
      <c r="BJ56" s="156"/>
      <c r="BK56" s="156"/>
      <c r="BL56" s="156"/>
      <c r="BM56" s="156"/>
      <c r="BN56" s="156"/>
      <c r="BO56" s="156"/>
      <c r="BP56" s="156"/>
      <c r="BQ56" s="156"/>
      <c r="BR56" s="156"/>
      <c r="BS56" s="156"/>
      <c r="BT56" s="156"/>
      <c r="BU56" s="156"/>
      <c r="BV56" s="784"/>
    </row>
    <row r="57" spans="2:74" x14ac:dyDescent="0.25">
      <c r="B57" s="855" t="s">
        <v>488</v>
      </c>
      <c r="C57" s="856">
        <f t="shared" ref="C57:AH57" si="16">C55+C43+C29</f>
        <v>122743.50469489905</v>
      </c>
      <c r="D57" s="856">
        <f t="shared" si="16"/>
        <v>165589.87689533862</v>
      </c>
      <c r="E57" s="856">
        <f t="shared" si="16"/>
        <v>193844.80628623103</v>
      </c>
      <c r="F57" s="856">
        <f t="shared" si="16"/>
        <v>185570.32024870437</v>
      </c>
      <c r="G57" s="856">
        <f t="shared" si="16"/>
        <v>149635.46804565348</v>
      </c>
      <c r="H57" s="856">
        <f t="shared" si="16"/>
        <v>169484.362908515</v>
      </c>
      <c r="I57" s="856">
        <f t="shared" si="16"/>
        <v>149358.31896689636</v>
      </c>
      <c r="J57" s="856">
        <f t="shared" si="16"/>
        <v>172621.19657647077</v>
      </c>
      <c r="K57" s="856">
        <f t="shared" si="16"/>
        <v>167594.95439927434</v>
      </c>
      <c r="L57" s="856">
        <f t="shared" si="16"/>
        <v>180125.49536517373</v>
      </c>
      <c r="M57" s="856">
        <f t="shared" si="16"/>
        <v>120151.07289570951</v>
      </c>
      <c r="N57" s="856">
        <f t="shared" si="16"/>
        <v>98639.242225204667</v>
      </c>
      <c r="O57" s="856">
        <f t="shared" si="16"/>
        <v>296216.34999999998</v>
      </c>
      <c r="P57" s="856">
        <f t="shared" si="16"/>
        <v>221717.66</v>
      </c>
      <c r="Q57" s="856">
        <f t="shared" si="16"/>
        <v>288431.05</v>
      </c>
      <c r="R57" s="856">
        <f t="shared" si="16"/>
        <v>276885.86000000004</v>
      </c>
      <c r="S57" s="856">
        <f t="shared" si="16"/>
        <v>308903.64</v>
      </c>
      <c r="T57" s="856">
        <f t="shared" si="16"/>
        <v>489734.77999999997</v>
      </c>
      <c r="U57" s="856">
        <f t="shared" si="16"/>
        <v>734273.72000000009</v>
      </c>
      <c r="V57" s="856">
        <f t="shared" si="16"/>
        <v>694948.04</v>
      </c>
      <c r="W57" s="856">
        <f t="shared" si="16"/>
        <v>478873.26</v>
      </c>
      <c r="X57" s="856">
        <f t="shared" si="16"/>
        <v>431771.88</v>
      </c>
      <c r="Y57" s="856">
        <f t="shared" si="16"/>
        <v>469217.29</v>
      </c>
      <c r="Z57" s="856">
        <f t="shared" si="16"/>
        <v>373012.05999999994</v>
      </c>
      <c r="AA57" s="856">
        <f t="shared" si="16"/>
        <v>416289.09</v>
      </c>
      <c r="AB57" s="856">
        <f t="shared" si="16"/>
        <v>420033.4</v>
      </c>
      <c r="AC57" s="856">
        <f t="shared" si="16"/>
        <v>623369.55999999994</v>
      </c>
      <c r="AD57" s="856">
        <f t="shared" si="16"/>
        <v>992824.26982257632</v>
      </c>
      <c r="AE57" s="856">
        <f t="shared" si="16"/>
        <v>856260.54917848599</v>
      </c>
      <c r="AF57" s="856">
        <f t="shared" si="16"/>
        <v>917452.69703410799</v>
      </c>
      <c r="AG57" s="856">
        <f t="shared" si="16"/>
        <v>995698.94098174374</v>
      </c>
      <c r="AH57" s="856">
        <f t="shared" si="16"/>
        <v>703139.76439230214</v>
      </c>
      <c r="AI57" s="856">
        <f t="shared" ref="AI57:BN57" si="17">AI55+AI43+AI29</f>
        <v>743646.84171212488</v>
      </c>
      <c r="AJ57" s="856">
        <f t="shared" si="17"/>
        <v>884217.69731595251</v>
      </c>
      <c r="AK57" s="856">
        <f t="shared" si="17"/>
        <v>704687.88195740036</v>
      </c>
      <c r="AL57" s="856">
        <f t="shared" si="17"/>
        <v>702454.33487068978</v>
      </c>
      <c r="AM57" s="856">
        <f t="shared" si="17"/>
        <v>7659523.7152593788</v>
      </c>
      <c r="AN57" s="856">
        <f t="shared" si="17"/>
        <v>143448.01819817346</v>
      </c>
      <c r="AO57" s="856">
        <f t="shared" si="17"/>
        <v>143915.49302760494</v>
      </c>
      <c r="AP57" s="856">
        <f t="shared" si="17"/>
        <v>144423.13972494262</v>
      </c>
      <c r="AQ57" s="856">
        <f t="shared" si="17"/>
        <v>144880.77863365723</v>
      </c>
      <c r="AR57" s="856">
        <f t="shared" si="17"/>
        <v>145436.69942233351</v>
      </c>
      <c r="AS57" s="856">
        <f t="shared" si="17"/>
        <v>145983.64780205308</v>
      </c>
      <c r="AT57" s="856">
        <f t="shared" si="17"/>
        <v>146549.6301020268</v>
      </c>
      <c r="AU57" s="856">
        <f t="shared" si="17"/>
        <v>147124.19063448117</v>
      </c>
      <c r="AV57" s="856">
        <f t="shared" si="17"/>
        <v>147704.89059482093</v>
      </c>
      <c r="AW57" s="856">
        <f t="shared" si="17"/>
        <v>148295.72773583303</v>
      </c>
      <c r="AX57" s="856">
        <f t="shared" si="17"/>
        <v>148890.08112179255</v>
      </c>
      <c r="AY57" s="856">
        <f t="shared" si="17"/>
        <v>151151.3135750308</v>
      </c>
      <c r="AZ57" s="856">
        <f t="shared" si="17"/>
        <v>553898.58887443761</v>
      </c>
      <c r="BA57" s="856">
        <f t="shared" si="17"/>
        <v>554527.43524138536</v>
      </c>
      <c r="BB57" s="856">
        <f t="shared" si="17"/>
        <v>555145.82920107374</v>
      </c>
      <c r="BC57" s="856">
        <f t="shared" si="17"/>
        <v>555783.51611000474</v>
      </c>
      <c r="BD57" s="856">
        <f t="shared" si="17"/>
        <v>556430.82226857438</v>
      </c>
      <c r="BE57" s="856">
        <f t="shared" si="17"/>
        <v>557096.43063380639</v>
      </c>
      <c r="BF57" s="856">
        <f t="shared" si="17"/>
        <v>557770.28110744513</v>
      </c>
      <c r="BG57" s="856">
        <f t="shared" si="17"/>
        <v>558454.79968813248</v>
      </c>
      <c r="BH57" s="856">
        <f t="shared" si="17"/>
        <v>559149.9607396744</v>
      </c>
      <c r="BI57" s="856">
        <f t="shared" si="17"/>
        <v>559855.84787920176</v>
      </c>
      <c r="BJ57" s="856">
        <f t="shared" si="17"/>
        <v>560572.61750566808</v>
      </c>
      <c r="BK57" s="856">
        <f t="shared" si="17"/>
        <v>163015.62621492424</v>
      </c>
      <c r="BL57" s="856">
        <f t="shared" si="17"/>
        <v>165958.47491921863</v>
      </c>
      <c r="BM57" s="856">
        <f t="shared" si="17"/>
        <v>166723.85881278952</v>
      </c>
      <c r="BN57" s="856">
        <f t="shared" si="17"/>
        <v>167502.27527709852</v>
      </c>
      <c r="BO57" s="856">
        <f t="shared" ref="BO57:BV57" si="18">BO55+BO43+BO29</f>
        <v>168294.32149610706</v>
      </c>
      <c r="BP57" s="856">
        <f t="shared" si="18"/>
        <v>169102.29697429587</v>
      </c>
      <c r="BQ57" s="856">
        <f t="shared" si="18"/>
        <v>169925.67222259211</v>
      </c>
      <c r="BR57" s="856">
        <f t="shared" si="18"/>
        <v>170765.12390291388</v>
      </c>
      <c r="BS57" s="856">
        <f t="shared" si="18"/>
        <v>171620.36800031218</v>
      </c>
      <c r="BT57" s="856">
        <f t="shared" si="18"/>
        <v>172492.33024611211</v>
      </c>
      <c r="BU57" s="856">
        <f t="shared" si="18"/>
        <v>173381.5539148477</v>
      </c>
      <c r="BV57" s="857">
        <f t="shared" si="18"/>
        <v>174288.69625644223</v>
      </c>
    </row>
    <row r="59" spans="2:74" x14ac:dyDescent="0.25">
      <c r="C59" s="405"/>
      <c r="D59" s="405"/>
      <c r="E59" s="405"/>
      <c r="F59" s="405"/>
      <c r="G59" s="405"/>
      <c r="H59" s="405"/>
      <c r="I59" s="405"/>
      <c r="J59" s="405"/>
      <c r="K59" s="405"/>
      <c r="L59" s="405"/>
      <c r="M59" s="405"/>
      <c r="N59" s="405"/>
      <c r="O59" s="405"/>
      <c r="P59" s="405"/>
      <c r="Q59" s="405"/>
      <c r="R59" s="405"/>
      <c r="S59" s="405"/>
      <c r="T59" s="405"/>
      <c r="U59" s="405"/>
      <c r="V59" s="405"/>
      <c r="W59" s="405"/>
      <c r="X59" s="405"/>
      <c r="Y59" s="405"/>
      <c r="Z59" s="405"/>
      <c r="AA59" s="405">
        <f>SUM(AA52:AC52)</f>
        <v>942839.03</v>
      </c>
      <c r="AB59" s="405"/>
      <c r="AC59" s="405"/>
      <c r="AD59" s="405"/>
      <c r="AE59" s="405"/>
      <c r="AF59" s="405"/>
      <c r="AG59" s="405"/>
      <c r="AH59" s="405"/>
      <c r="AI59" s="405"/>
      <c r="AJ59" s="405"/>
      <c r="AK59" s="405"/>
      <c r="AL59" s="405"/>
    </row>
    <row r="61" spans="2:74" x14ac:dyDescent="0.25">
      <c r="AA61" s="405"/>
    </row>
    <row r="62" spans="2:74" x14ac:dyDescent="0.25">
      <c r="B62" s="570" t="s">
        <v>849</v>
      </c>
    </row>
    <row r="63" spans="2:74" x14ac:dyDescent="0.25">
      <c r="C63" s="405">
        <f>C57-'Dept. Cost Actuals'!G351</f>
        <v>4.8990477807819843E-6</v>
      </c>
      <c r="D63" s="405">
        <f>D57-'Dept. Cost Actuals'!H351</f>
        <v>-4.6613859012722969E-6</v>
      </c>
      <c r="E63" s="405">
        <f>E57-'Dept. Cost Actuals'!I351</f>
        <v>594.13183623104123</v>
      </c>
      <c r="F63" s="405">
        <f>F57-'Dept. Cost Actuals'!J351</f>
        <v>-255.28737129562069</v>
      </c>
      <c r="G63" s="405">
        <f>G57-'Dept. Cost Actuals'!K351</f>
        <v>-4.346511559560895E-6</v>
      </c>
      <c r="H63" s="405">
        <f>H57-'Dept. Cost Actuals'!L351</f>
        <v>-317.28425148499082</v>
      </c>
      <c r="I63" s="405">
        <f>I57-'Dept. Cost Actuals'!M351</f>
        <v>-3.1036324799060822E-6</v>
      </c>
      <c r="J63" s="405">
        <f>J57-'Dept. Cost Actuals'!N351</f>
        <v>-3.5292177926748991E-6</v>
      </c>
      <c r="K63" s="405">
        <f>K57-'Dept. Cost Actuals'!O351</f>
        <v>-7.2564580477774143E-7</v>
      </c>
      <c r="L63" s="405">
        <f>L57-'Dept. Cost Actuals'!P351</f>
        <v>-4.8262591008096933E-6</v>
      </c>
      <c r="M63" s="405">
        <f>M57-'Dept. Cost Actuals'!Q351</f>
        <v>-4.2904866859316826E-6</v>
      </c>
      <c r="N63" s="405">
        <f>N57-'Dept. Cost Actuals'!R351</f>
        <v>-163.3553047953319</v>
      </c>
      <c r="O63" s="405">
        <f>O57-'Dept. Cost Actuals'!S351</f>
        <v>0</v>
      </c>
      <c r="P63" s="405">
        <f>P57-'Dept. Cost Actuals'!T351</f>
        <v>0</v>
      </c>
      <c r="Q63" s="405">
        <f>Q57-'Dept. Cost Actuals'!U351</f>
        <v>0</v>
      </c>
      <c r="R63" s="405">
        <f>R57-'Dept. Cost Actuals'!V351</f>
        <v>0</v>
      </c>
      <c r="S63" s="405">
        <f>S57-'Dept. Cost Actuals'!W351</f>
        <v>0</v>
      </c>
      <c r="T63" s="405">
        <f>T57-'Dept. Cost Actuals'!X351</f>
        <v>0</v>
      </c>
      <c r="U63" s="405">
        <f>U57-'Dept. Cost Actuals'!Y351</f>
        <v>0</v>
      </c>
      <c r="V63" s="405">
        <f>V57-'Dept. Cost Actuals'!Z351</f>
        <v>0</v>
      </c>
      <c r="W63" s="405">
        <f>W57-'Dept. Cost Actuals'!AA351</f>
        <v>0</v>
      </c>
      <c r="X63" s="405">
        <f>X57-'Dept. Cost Actuals'!AB351</f>
        <v>0</v>
      </c>
      <c r="Y63" s="405">
        <f>Y57-'Dept. Cost Actuals'!AC351</f>
        <v>0</v>
      </c>
      <c r="Z63" s="405">
        <f>Z57-'Dept. Cost Actuals'!AD351</f>
        <v>0</v>
      </c>
      <c r="AA63" s="405">
        <f>AA57-'Dept. Cost Actuals'!AE351</f>
        <v>0</v>
      </c>
      <c r="AB63" s="405">
        <f>AB57-'Dept. Cost Actuals'!AF351</f>
        <v>-1337</v>
      </c>
      <c r="AC63" s="405">
        <f>AC57-'Dept. Cost Actuals'!AG351</f>
        <v>-1184.390000000014</v>
      </c>
      <c r="AD63" s="405"/>
    </row>
    <row r="64" spans="2:74" x14ac:dyDescent="0.25">
      <c r="AD64" s="405"/>
    </row>
  </sheetData>
  <conditionalFormatting sqref="C4:BV4">
    <cfRule type="containsText" dxfId="272" priority="3" operator="containsText" text="actual">
      <formula>NOT(ISERROR(SEARCH("actual",C4)))</formula>
    </cfRule>
    <cfRule type="containsText" dxfId="271" priority="4" operator="containsText" text="forecast">
      <formula>NOT(ISERROR(SEARCH("forecast",C4)))</formula>
    </cfRule>
  </conditionalFormatting>
  <conditionalFormatting sqref="B4">
    <cfRule type="containsText" dxfId="270" priority="1" operator="containsText" text="actual">
      <formula>NOT(ISERROR(SEARCH("actual",B4)))</formula>
    </cfRule>
    <cfRule type="containsText" dxfId="269" priority="2" operator="containsText" text="forecast">
      <formula>NOT(ISERROR(SEARCH("forecast",B4)))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BW49"/>
  <sheetViews>
    <sheetView zoomScale="80" zoomScaleNormal="80" workbookViewId="0">
      <pane xSplit="2" ySplit="4" topLeftCell="O5" activePane="bottomRight" state="frozen"/>
      <selection activeCell="C39" sqref="C39"/>
      <selection pane="topRight" activeCell="C39" sqref="C39"/>
      <selection pane="bottomLeft" activeCell="C39" sqref="C39"/>
      <selection pane="bottomRight" activeCell="AX13" sqref="AX13"/>
    </sheetView>
  </sheetViews>
  <sheetFormatPr defaultColWidth="9.140625" defaultRowHeight="15" outlineLevelCol="1" x14ac:dyDescent="0.25"/>
  <cols>
    <col min="1" max="1" width="2" style="570" customWidth="1"/>
    <col min="2" max="2" width="27.42578125" style="570" bestFit="1" customWidth="1"/>
    <col min="3" max="3" width="12.7109375" style="570" customWidth="1"/>
    <col min="4" max="7" width="12.7109375" style="570" hidden="1" customWidth="1" outlineLevel="1"/>
    <col min="8" max="12" width="16.42578125" style="570" hidden="1" customWidth="1" outlineLevel="1"/>
    <col min="13" max="13" width="19.28515625" style="570" hidden="1" customWidth="1" outlineLevel="1"/>
    <col min="14" max="14" width="16.42578125" style="570" customWidth="1" collapsed="1"/>
    <col min="15" max="15" width="12.7109375" style="570" bestFit="1" customWidth="1"/>
    <col min="16" max="18" width="12.7109375" style="570" hidden="1" customWidth="1" outlineLevel="1"/>
    <col min="19" max="19" width="12.140625" style="570" hidden="1" customWidth="1" outlineLevel="1"/>
    <col min="20" max="25" width="12.28515625" style="570" hidden="1" customWidth="1" outlineLevel="1"/>
    <col min="26" max="26" width="12.28515625" style="570" bestFit="1" customWidth="1" collapsed="1"/>
    <col min="27" max="27" width="12.28515625" style="570" customWidth="1"/>
    <col min="28" max="29" width="13.28515625" style="570" customWidth="1" outlineLevel="1"/>
    <col min="30" max="35" width="10.7109375" style="570" customWidth="1" outlineLevel="1"/>
    <col min="36" max="37" width="11.85546875" style="570" customWidth="1" outlineLevel="1"/>
    <col min="38" max="39" width="13.28515625" style="570" customWidth="1"/>
    <col min="40" max="47" width="10.7109375" style="570" hidden="1" customWidth="1" outlineLevel="1"/>
    <col min="48" max="49" width="11.85546875" style="570" hidden="1" customWidth="1" outlineLevel="1"/>
    <col min="50" max="50" width="11.85546875" style="570" customWidth="1" collapsed="1"/>
    <col min="51" max="51" width="10.7109375" style="570" bestFit="1" customWidth="1"/>
    <col min="52" max="57" width="10.7109375" style="570" hidden="1" customWidth="1" outlineLevel="1"/>
    <col min="58" max="61" width="13.28515625" style="570" hidden="1" customWidth="1" outlineLevel="1"/>
    <col min="62" max="62" width="13.28515625" style="570" bestFit="1" customWidth="1" collapsed="1"/>
    <col min="63" max="63" width="13" style="570" bestFit="1" customWidth="1"/>
    <col min="64" max="73" width="13" style="570" hidden="1" customWidth="1" outlineLevel="1"/>
    <col min="74" max="74" width="13" style="570" bestFit="1" customWidth="1" collapsed="1"/>
    <col min="75" max="75" width="10.5703125" style="570" bestFit="1" customWidth="1"/>
    <col min="76" max="16384" width="9.140625" style="570"/>
  </cols>
  <sheetData>
    <row r="2" spans="2:75" x14ac:dyDescent="0.25">
      <c r="B2" s="636" t="s">
        <v>1062</v>
      </c>
      <c r="C2" s="636"/>
      <c r="D2" s="636"/>
      <c r="E2" s="636"/>
      <c r="F2" s="636"/>
      <c r="G2" s="636"/>
      <c r="H2" s="636"/>
      <c r="I2" s="636"/>
      <c r="J2" s="636"/>
      <c r="K2" s="636"/>
      <c r="L2" s="636"/>
      <c r="M2" s="636"/>
      <c r="N2" s="636"/>
    </row>
    <row r="3" spans="2:75" x14ac:dyDescent="0.25">
      <c r="B3" s="771" t="s">
        <v>924</v>
      </c>
      <c r="C3" s="1140">
        <v>40939</v>
      </c>
      <c r="D3" s="1140">
        <v>40968</v>
      </c>
      <c r="E3" s="1140">
        <v>40999</v>
      </c>
      <c r="F3" s="1140">
        <v>41029</v>
      </c>
      <c r="G3" s="1140">
        <v>41060</v>
      </c>
      <c r="H3" s="1140">
        <v>41090</v>
      </c>
      <c r="I3" s="1140">
        <v>41121</v>
      </c>
      <c r="J3" s="1140">
        <v>41152</v>
      </c>
      <c r="K3" s="1140">
        <v>41182</v>
      </c>
      <c r="L3" s="1140">
        <v>41213</v>
      </c>
      <c r="M3" s="1140">
        <v>41243</v>
      </c>
      <c r="N3" s="1140">
        <v>41274</v>
      </c>
      <c r="O3" s="1140">
        <v>41305</v>
      </c>
      <c r="P3" s="1140">
        <v>41333</v>
      </c>
      <c r="Q3" s="1140">
        <v>41364</v>
      </c>
      <c r="R3" s="1140">
        <v>41394</v>
      </c>
      <c r="S3" s="1140">
        <v>41425</v>
      </c>
      <c r="T3" s="1140">
        <v>41455</v>
      </c>
      <c r="U3" s="1140">
        <v>41486</v>
      </c>
      <c r="V3" s="1140">
        <v>41517</v>
      </c>
      <c r="W3" s="1140">
        <v>41547</v>
      </c>
      <c r="X3" s="1140">
        <v>41578</v>
      </c>
      <c r="Y3" s="1140">
        <v>41608</v>
      </c>
      <c r="Z3" s="1140">
        <v>41639</v>
      </c>
      <c r="AA3" s="1140">
        <v>41670</v>
      </c>
      <c r="AB3" s="1140">
        <v>41698</v>
      </c>
      <c r="AC3" s="1140">
        <v>41729</v>
      </c>
      <c r="AD3" s="1140">
        <v>41759</v>
      </c>
      <c r="AE3" s="1140">
        <v>41790</v>
      </c>
      <c r="AF3" s="1140">
        <v>41820</v>
      </c>
      <c r="AG3" s="1140">
        <v>41851</v>
      </c>
      <c r="AH3" s="1140">
        <v>41882</v>
      </c>
      <c r="AI3" s="1140">
        <v>41912</v>
      </c>
      <c r="AJ3" s="1140">
        <v>41943</v>
      </c>
      <c r="AK3" s="1140">
        <v>41973</v>
      </c>
      <c r="AL3" s="1140">
        <v>42004</v>
      </c>
      <c r="AM3" s="1140">
        <v>42035</v>
      </c>
      <c r="AN3" s="1140">
        <v>42063</v>
      </c>
      <c r="AO3" s="1140">
        <v>42094</v>
      </c>
      <c r="AP3" s="1140">
        <v>42124</v>
      </c>
      <c r="AQ3" s="1140">
        <v>42155</v>
      </c>
      <c r="AR3" s="1140">
        <v>42185</v>
      </c>
      <c r="AS3" s="1140">
        <v>42216</v>
      </c>
      <c r="AT3" s="1140">
        <v>42247</v>
      </c>
      <c r="AU3" s="1140">
        <v>42277</v>
      </c>
      <c r="AV3" s="1140">
        <v>42308</v>
      </c>
      <c r="AW3" s="1140">
        <v>42338</v>
      </c>
      <c r="AX3" s="1140">
        <v>42369</v>
      </c>
      <c r="AY3" s="1140">
        <v>42400</v>
      </c>
      <c r="AZ3" s="1140">
        <v>42429</v>
      </c>
      <c r="BA3" s="1140">
        <v>42460</v>
      </c>
      <c r="BB3" s="1140">
        <v>42490</v>
      </c>
      <c r="BC3" s="1140">
        <v>42521</v>
      </c>
      <c r="BD3" s="1140">
        <v>42551</v>
      </c>
      <c r="BE3" s="1140">
        <v>42582</v>
      </c>
      <c r="BF3" s="1140">
        <v>42613</v>
      </c>
      <c r="BG3" s="1140">
        <v>42643</v>
      </c>
      <c r="BH3" s="1140">
        <v>42674</v>
      </c>
      <c r="BI3" s="1140">
        <v>42704</v>
      </c>
      <c r="BJ3" s="1140">
        <v>42735</v>
      </c>
      <c r="BK3" s="1140">
        <v>42766</v>
      </c>
      <c r="BL3" s="1140">
        <v>42794</v>
      </c>
      <c r="BM3" s="1140">
        <v>42825</v>
      </c>
      <c r="BN3" s="1140">
        <v>42855</v>
      </c>
      <c r="BO3" s="1140">
        <v>42886</v>
      </c>
      <c r="BP3" s="1140">
        <v>42916</v>
      </c>
      <c r="BQ3" s="1140">
        <v>42947</v>
      </c>
      <c r="BR3" s="1140">
        <v>42978</v>
      </c>
      <c r="BS3" s="1140">
        <v>43008</v>
      </c>
      <c r="BT3" s="1140">
        <v>43039</v>
      </c>
      <c r="BU3" s="1140">
        <v>43069</v>
      </c>
      <c r="BV3" s="773">
        <v>43100</v>
      </c>
      <c r="BW3" s="305"/>
    </row>
    <row r="4" spans="2:75" x14ac:dyDescent="0.25">
      <c r="B4" s="774" t="s">
        <v>925</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4" t="str">
        <f>IF(AA3&lt;=Headcount!$U$3,"Actual","Forecast")</f>
        <v>Actual</v>
      </c>
      <c r="AB4" s="4" t="str">
        <f>IF(AB3&lt;=Headcount!$U$3,"Actual","Forecast")</f>
        <v>Actual</v>
      </c>
      <c r="AC4" s="4" t="str">
        <f>IF(AC3&lt;=Headcount!$U$3,"Actual","Forecast")</f>
        <v>Actual</v>
      </c>
      <c r="AD4" s="4" t="str">
        <f>IF(AD3&lt;=Headcount!$U$3,"Actual","Forecast")</f>
        <v>Forecast</v>
      </c>
      <c r="AE4" s="4" t="str">
        <f>IF(AE3&lt;=Headcount!$U$3,"Actual","Forecast")</f>
        <v>Forecast</v>
      </c>
      <c r="AF4" s="4" t="str">
        <f>IF(AF3&lt;=Headcount!$U$3,"Actual","Forecast")</f>
        <v>Forecast</v>
      </c>
      <c r="AG4" s="4" t="str">
        <f>IF(AG3&lt;=Headcount!$U$3,"Actual","Forecast")</f>
        <v>Forecast</v>
      </c>
      <c r="AH4" s="4" t="str">
        <f>IF(AH3&lt;=Headcount!$U$3,"Actual","Forecast")</f>
        <v>Forecast</v>
      </c>
      <c r="AI4" s="4" t="str">
        <f>IF(AI3&lt;=Headcount!$U$3,"Actual","Forecast")</f>
        <v>Forecast</v>
      </c>
      <c r="AJ4" s="4" t="str">
        <f>IF(AJ3&lt;=Headcount!$U$3,"Actual","Forecast")</f>
        <v>Forecast</v>
      </c>
      <c r="AK4" s="4" t="str">
        <f>IF(AK3&lt;=Headcount!$U$3,"Actual","Forecast")</f>
        <v>Forecast</v>
      </c>
      <c r="AL4" s="4" t="str">
        <f>IF(AL3&lt;=Headcount!$U$3,"Actual","Forecast")</f>
        <v>Forecast</v>
      </c>
      <c r="AM4" s="4" t="str">
        <f>IF(AM3&lt;=Headcount!$U$3,"Actual","Forecast")</f>
        <v>Forecast</v>
      </c>
      <c r="AN4" s="4" t="str">
        <f>IF(AN3&lt;=Headcount!$U$3,"Actual","Forecast")</f>
        <v>Forecast</v>
      </c>
      <c r="AO4" s="4" t="str">
        <f>IF(AO3&lt;=Headcount!$U$3,"Actual","Forecast")</f>
        <v>Forecast</v>
      </c>
      <c r="AP4" s="4" t="str">
        <f>IF(AP3&lt;=Headcount!$U$3,"Actual","Forecast")</f>
        <v>Forecast</v>
      </c>
      <c r="AQ4" s="4" t="str">
        <f>IF(AQ3&lt;=Headcount!$U$3,"Actual","Forecast")</f>
        <v>Forecast</v>
      </c>
      <c r="AR4" s="4" t="str">
        <f>IF(AR3&lt;=Headcount!$U$3,"Actual","Forecast")</f>
        <v>Forecast</v>
      </c>
      <c r="AS4" s="4" t="str">
        <f>IF(AS3&lt;=Headcount!$U$3,"Actual","Forecast")</f>
        <v>Forecast</v>
      </c>
      <c r="AT4" s="4" t="str">
        <f>IF(AT3&lt;=Headcount!$U$3,"Actual","Forecast")</f>
        <v>Forecast</v>
      </c>
      <c r="AU4" s="4" t="str">
        <f>IF(AU3&lt;=Headcount!$U$3,"Actual","Forecast")</f>
        <v>Forecast</v>
      </c>
      <c r="AV4" s="4" t="str">
        <f>IF(AV3&lt;=Headcount!$U$3,"Actual","Forecast")</f>
        <v>Forecast</v>
      </c>
      <c r="AW4" s="4" t="str">
        <f>IF(AW3&lt;=Headcount!$U$3,"Actual","Forecast")</f>
        <v>Forecast</v>
      </c>
      <c r="AX4" s="4" t="str">
        <f>IF(AX3&lt;=Headcount!$U$3,"Actual","Forecast")</f>
        <v>Forecast</v>
      </c>
      <c r="AY4" s="4" t="str">
        <f>IF(AY3&lt;=Headcount!$U$3,"Actual","Forecast")</f>
        <v>Forecast</v>
      </c>
      <c r="AZ4" s="4" t="str">
        <f>IF(AZ3&lt;=Headcount!$U$3,"Actual","Forecast")</f>
        <v>Forecast</v>
      </c>
      <c r="BA4" s="4" t="str">
        <f>IF(BA3&lt;=Headcount!$U$3,"Actual","Forecast")</f>
        <v>Forecast</v>
      </c>
      <c r="BB4" s="4" t="str">
        <f>IF(BB3&lt;=Headcount!$U$3,"Actual","Forecast")</f>
        <v>Forecast</v>
      </c>
      <c r="BC4" s="4" t="str">
        <f>IF(BC3&lt;=Headcount!$U$3,"Actual","Forecast")</f>
        <v>Forecast</v>
      </c>
      <c r="BD4" s="4" t="str">
        <f>IF(BD3&lt;=Headcount!$U$3,"Actual","Forecast")</f>
        <v>Forecast</v>
      </c>
      <c r="BE4" s="4" t="str">
        <f>IF(BE3&lt;=Headcount!$U$3,"Actual","Forecast")</f>
        <v>Forecast</v>
      </c>
      <c r="BF4" s="4" t="str">
        <f>IF(BF3&lt;=Headcount!$U$3,"Actual","Forecast")</f>
        <v>Forecast</v>
      </c>
      <c r="BG4" s="4" t="str">
        <f>IF(BG3&lt;=Headcount!$U$3,"Actual","Forecast")</f>
        <v>Forecast</v>
      </c>
      <c r="BH4" s="4" t="str">
        <f>IF(BH3&lt;=Headcount!$U$3,"Actual","Forecast")</f>
        <v>Forecast</v>
      </c>
      <c r="BI4" s="4" t="str">
        <f>IF(BI3&lt;=Headcount!$U$3,"Actual","Forecast")</f>
        <v>Forecast</v>
      </c>
      <c r="BJ4" s="4" t="str">
        <f>IF(BJ3&lt;=Headcount!$U$3,"Actual","Forecast")</f>
        <v>Forecast</v>
      </c>
      <c r="BK4" s="4" t="str">
        <f>IF(BK3&lt;=Headcount!$U$3,"Actual","Forecast")</f>
        <v>Forecast</v>
      </c>
      <c r="BL4" s="4" t="str">
        <f>IF(BL3&lt;=Headcount!$U$3,"Actual","Forecast")</f>
        <v>Forecast</v>
      </c>
      <c r="BM4" s="4" t="str">
        <f>IF(BM3&lt;=Headcount!$U$3,"Actual","Forecast")</f>
        <v>Forecast</v>
      </c>
      <c r="BN4" s="4" t="str">
        <f>IF(BN3&lt;=Headcount!$U$3,"Actual","Forecast")</f>
        <v>Forecast</v>
      </c>
      <c r="BO4" s="4" t="str">
        <f>IF(BO3&lt;=Headcount!$U$3,"Actual","Forecast")</f>
        <v>Forecast</v>
      </c>
      <c r="BP4" s="4" t="str">
        <f>IF(BP3&lt;=Headcount!$U$3,"Actual","Forecast")</f>
        <v>Forecast</v>
      </c>
      <c r="BQ4" s="4" t="str">
        <f>IF(BQ3&lt;=Headcount!$U$3,"Actual","Forecast")</f>
        <v>Forecast</v>
      </c>
      <c r="BR4" s="4" t="str">
        <f>IF(BR3&lt;=Headcount!$U$3,"Actual","Forecast")</f>
        <v>Forecast</v>
      </c>
      <c r="BS4" s="4" t="str">
        <f>IF(BS3&lt;=Headcount!$U$3,"Actual","Forecast")</f>
        <v>Forecast</v>
      </c>
      <c r="BT4" s="4" t="str">
        <f>IF(BT3&lt;=Headcount!$U$3,"Actual","Forecast")</f>
        <v>Forecast</v>
      </c>
      <c r="BU4" s="4" t="str">
        <f>IF(BU3&lt;=Headcount!$U$3,"Actual","Forecast")</f>
        <v>Forecast</v>
      </c>
      <c r="BV4" s="1209" t="str">
        <f>IF(BV3&lt;=Headcount!$U$3,"Actual","Forecast")</f>
        <v>Forecast</v>
      </c>
    </row>
    <row r="5" spans="2:75" x14ac:dyDescent="0.25">
      <c r="B5" s="777" t="s">
        <v>67</v>
      </c>
      <c r="C5" s="778">
        <f t="shared" ref="C5:N5" si="0">MONTH(C3)</f>
        <v>1</v>
      </c>
      <c r="D5" s="778">
        <f t="shared" si="0"/>
        <v>2</v>
      </c>
      <c r="E5" s="778">
        <f t="shared" si="0"/>
        <v>3</v>
      </c>
      <c r="F5" s="778">
        <f t="shared" si="0"/>
        <v>4</v>
      </c>
      <c r="G5" s="778">
        <f t="shared" si="0"/>
        <v>5</v>
      </c>
      <c r="H5" s="778">
        <f t="shared" si="0"/>
        <v>6</v>
      </c>
      <c r="I5" s="778">
        <f t="shared" si="0"/>
        <v>7</v>
      </c>
      <c r="J5" s="778">
        <f t="shared" si="0"/>
        <v>8</v>
      </c>
      <c r="K5" s="778">
        <f t="shared" si="0"/>
        <v>9</v>
      </c>
      <c r="L5" s="778">
        <f t="shared" si="0"/>
        <v>10</v>
      </c>
      <c r="M5" s="778">
        <f t="shared" si="0"/>
        <v>11</v>
      </c>
      <c r="N5" s="778">
        <f t="shared" si="0"/>
        <v>12</v>
      </c>
      <c r="O5" s="778">
        <f>MONTH(O3)</f>
        <v>1</v>
      </c>
      <c r="P5" s="778">
        <f t="shared" ref="P5:BV5" si="1">MONTH(P3)</f>
        <v>2</v>
      </c>
      <c r="Q5" s="778">
        <f t="shared" si="1"/>
        <v>3</v>
      </c>
      <c r="R5" s="778">
        <f t="shared" si="1"/>
        <v>4</v>
      </c>
      <c r="S5" s="778">
        <f t="shared" si="1"/>
        <v>5</v>
      </c>
      <c r="T5" s="778">
        <f t="shared" si="1"/>
        <v>6</v>
      </c>
      <c r="U5" s="778">
        <f t="shared" si="1"/>
        <v>7</v>
      </c>
      <c r="V5" s="778">
        <f t="shared" si="1"/>
        <v>8</v>
      </c>
      <c r="W5" s="778">
        <f t="shared" si="1"/>
        <v>9</v>
      </c>
      <c r="X5" s="778">
        <f t="shared" si="1"/>
        <v>10</v>
      </c>
      <c r="Y5" s="778">
        <f t="shared" si="1"/>
        <v>11</v>
      </c>
      <c r="Z5" s="778">
        <f t="shared" si="1"/>
        <v>12</v>
      </c>
      <c r="AA5" s="778">
        <f t="shared" si="1"/>
        <v>1</v>
      </c>
      <c r="AB5" s="778">
        <f t="shared" si="1"/>
        <v>2</v>
      </c>
      <c r="AC5" s="778">
        <f t="shared" si="1"/>
        <v>3</v>
      </c>
      <c r="AD5" s="778">
        <f t="shared" si="1"/>
        <v>4</v>
      </c>
      <c r="AE5" s="778">
        <f t="shared" si="1"/>
        <v>5</v>
      </c>
      <c r="AF5" s="778">
        <f t="shared" si="1"/>
        <v>6</v>
      </c>
      <c r="AG5" s="778">
        <f t="shared" si="1"/>
        <v>7</v>
      </c>
      <c r="AH5" s="778">
        <f t="shared" si="1"/>
        <v>8</v>
      </c>
      <c r="AI5" s="778">
        <f t="shared" si="1"/>
        <v>9</v>
      </c>
      <c r="AJ5" s="778">
        <f t="shared" si="1"/>
        <v>10</v>
      </c>
      <c r="AK5" s="778">
        <f t="shared" si="1"/>
        <v>11</v>
      </c>
      <c r="AL5" s="778">
        <f t="shared" si="1"/>
        <v>12</v>
      </c>
      <c r="AM5" s="778">
        <f t="shared" si="1"/>
        <v>1</v>
      </c>
      <c r="AN5" s="778">
        <f t="shared" si="1"/>
        <v>2</v>
      </c>
      <c r="AO5" s="778">
        <f t="shared" si="1"/>
        <v>3</v>
      </c>
      <c r="AP5" s="778">
        <f t="shared" si="1"/>
        <v>4</v>
      </c>
      <c r="AQ5" s="778">
        <f t="shared" si="1"/>
        <v>5</v>
      </c>
      <c r="AR5" s="778">
        <f t="shared" si="1"/>
        <v>6</v>
      </c>
      <c r="AS5" s="778">
        <f t="shared" si="1"/>
        <v>7</v>
      </c>
      <c r="AT5" s="778">
        <f t="shared" si="1"/>
        <v>8</v>
      </c>
      <c r="AU5" s="778">
        <f t="shared" si="1"/>
        <v>9</v>
      </c>
      <c r="AV5" s="778">
        <f t="shared" si="1"/>
        <v>10</v>
      </c>
      <c r="AW5" s="778">
        <f t="shared" si="1"/>
        <v>11</v>
      </c>
      <c r="AX5" s="778">
        <f t="shared" si="1"/>
        <v>12</v>
      </c>
      <c r="AY5" s="778">
        <f t="shared" si="1"/>
        <v>1</v>
      </c>
      <c r="AZ5" s="778">
        <f t="shared" si="1"/>
        <v>2</v>
      </c>
      <c r="BA5" s="778">
        <f t="shared" si="1"/>
        <v>3</v>
      </c>
      <c r="BB5" s="778">
        <f t="shared" si="1"/>
        <v>4</v>
      </c>
      <c r="BC5" s="778">
        <f t="shared" si="1"/>
        <v>5</v>
      </c>
      <c r="BD5" s="778">
        <f t="shared" si="1"/>
        <v>6</v>
      </c>
      <c r="BE5" s="778">
        <f t="shared" si="1"/>
        <v>7</v>
      </c>
      <c r="BF5" s="778">
        <f t="shared" si="1"/>
        <v>8</v>
      </c>
      <c r="BG5" s="778">
        <f t="shared" si="1"/>
        <v>9</v>
      </c>
      <c r="BH5" s="778">
        <f t="shared" si="1"/>
        <v>10</v>
      </c>
      <c r="BI5" s="778">
        <f t="shared" si="1"/>
        <v>11</v>
      </c>
      <c r="BJ5" s="778">
        <f t="shared" si="1"/>
        <v>12</v>
      </c>
      <c r="BK5" s="778">
        <f t="shared" si="1"/>
        <v>1</v>
      </c>
      <c r="BL5" s="778">
        <f t="shared" si="1"/>
        <v>2</v>
      </c>
      <c r="BM5" s="778">
        <f t="shared" si="1"/>
        <v>3</v>
      </c>
      <c r="BN5" s="778">
        <f t="shared" si="1"/>
        <v>4</v>
      </c>
      <c r="BO5" s="778">
        <f t="shared" si="1"/>
        <v>5</v>
      </c>
      <c r="BP5" s="778">
        <f t="shared" si="1"/>
        <v>6</v>
      </c>
      <c r="BQ5" s="778">
        <f t="shared" si="1"/>
        <v>7</v>
      </c>
      <c r="BR5" s="778">
        <f t="shared" si="1"/>
        <v>8</v>
      </c>
      <c r="BS5" s="778">
        <f t="shared" si="1"/>
        <v>9</v>
      </c>
      <c r="BT5" s="778">
        <f t="shared" si="1"/>
        <v>10</v>
      </c>
      <c r="BU5" s="778">
        <f t="shared" si="1"/>
        <v>11</v>
      </c>
      <c r="BV5" s="779">
        <f t="shared" si="1"/>
        <v>12</v>
      </c>
    </row>
    <row r="6" spans="2:75" x14ac:dyDescent="0.25">
      <c r="B6" s="780"/>
      <c r="C6" s="781"/>
      <c r="D6" s="781"/>
      <c r="E6" s="781"/>
      <c r="F6" s="781"/>
      <c r="G6" s="781"/>
      <c r="H6" s="781"/>
      <c r="I6" s="781"/>
      <c r="J6" s="781"/>
      <c r="K6" s="781"/>
      <c r="L6" s="781"/>
      <c r="M6" s="781"/>
      <c r="N6" s="781"/>
      <c r="O6" s="781"/>
      <c r="P6" s="781"/>
      <c r="Q6" s="781"/>
      <c r="R6" s="781"/>
      <c r="S6" s="781"/>
      <c r="T6" s="781"/>
      <c r="U6" s="781"/>
      <c r="V6" s="781"/>
      <c r="W6" s="781"/>
      <c r="X6" s="781"/>
      <c r="Y6" s="781"/>
      <c r="Z6" s="781"/>
      <c r="AA6" s="781"/>
      <c r="AB6" s="781"/>
      <c r="AC6" s="781"/>
      <c r="AD6" s="781"/>
      <c r="AE6" s="781"/>
      <c r="AF6" s="781"/>
      <c r="AG6" s="781"/>
      <c r="AH6" s="781"/>
      <c r="AI6" s="781"/>
      <c r="AJ6" s="781"/>
      <c r="AK6" s="781"/>
      <c r="AL6" s="781"/>
      <c r="AM6" s="781"/>
      <c r="AN6" s="781"/>
      <c r="AO6" s="781"/>
      <c r="AP6" s="781"/>
      <c r="AQ6" s="781"/>
      <c r="AR6" s="781"/>
      <c r="AS6" s="781"/>
      <c r="AT6" s="781"/>
      <c r="AU6" s="781"/>
      <c r="AV6" s="781"/>
      <c r="AW6" s="781"/>
      <c r="AX6" s="781"/>
      <c r="AY6" s="781"/>
      <c r="AZ6" s="781"/>
      <c r="BA6" s="781"/>
      <c r="BB6" s="781"/>
      <c r="BC6" s="781"/>
      <c r="BD6" s="781"/>
      <c r="BE6" s="781"/>
      <c r="BF6" s="781"/>
      <c r="BG6" s="781"/>
      <c r="BH6" s="781"/>
      <c r="BI6" s="781"/>
      <c r="BJ6" s="781"/>
      <c r="BK6" s="781"/>
      <c r="BL6" s="781"/>
      <c r="BM6" s="781"/>
      <c r="BN6" s="781"/>
      <c r="BO6" s="781"/>
      <c r="BP6" s="781"/>
      <c r="BQ6" s="781"/>
      <c r="BR6" s="781"/>
      <c r="BS6" s="781"/>
      <c r="BT6" s="781"/>
      <c r="BU6" s="781"/>
      <c r="BV6" s="782"/>
    </row>
    <row r="7" spans="2:75" x14ac:dyDescent="0.25">
      <c r="B7" s="777" t="s">
        <v>13</v>
      </c>
      <c r="C7" s="781">
        <f>SUMIFS(Headcount!$B$6:$B$89,Headcount!$F$6:$F$89,"Software",Headcount!$H$6:$H$89,"&gt;"&amp;C3,Headcount!$G$6:$G$89,"&lt;"&amp;C3)</f>
        <v>12</v>
      </c>
      <c r="D7" s="782">
        <f>IF(D4="forecast",IF(C4="actual",(SUMIFS(Headcount!$B$6:$B$89,Headcount!$F$6:$F$89,"Software",Headcount!$H$6:$H$89,"&gt;"&amp;D3,Headcount!$G$6:$G$89,"&lt;"&amp;D3)+D8-D9),(C7+D8-D9)),SUMIFS(Headcount!$B$6:$B$89,Headcount!$F$6:$F$89,"Software",Headcount!$H$6:$H$89,"&gt;"&amp;D3,Headcount!$G$6:$G$89,"&lt;"&amp;C3))</f>
        <v>12</v>
      </c>
      <c r="E7" s="781">
        <f>IF(E4="forecast",IF(D4="actual",(SUMIFS(Headcount!$B$6:$B$89,Headcount!$F$6:$F$89,"Software",Headcount!$H$6:$H$89,"&gt;"&amp;E3,Headcount!$G$6:$G$89,"&lt;"&amp;E3)+E8-E9),(D7+E8-E9)),SUMIFS(Headcount!$B$6:$B$89,Headcount!$F$6:$F$89,"Software",Headcount!$H$6:$H$89,"&gt;"&amp;E3,Headcount!$G$6:$G$89,"&lt;"&amp;D3))</f>
        <v>12</v>
      </c>
      <c r="F7" s="781">
        <f>IF(F4="forecast",IF(E4="actual",(SUMIFS(Headcount!$B$6:$B$89,Headcount!$F$6:$F$89,"Software",Headcount!$H$6:$H$89,"&gt;"&amp;F3,Headcount!$G$6:$G$89,"&lt;"&amp;F3)+F8-F9),(E7+F8-F9)),SUMIFS(Headcount!$B$6:$B$89,Headcount!$F$6:$F$89,"Software",Headcount!$H$6:$H$89,"&gt;"&amp;F3,Headcount!$G$6:$G$89,"&lt;"&amp;E3))</f>
        <v>12</v>
      </c>
      <c r="G7" s="781">
        <f>IF(G4="forecast",IF(F4="actual",(SUMIFS(Headcount!$B$6:$B$89,Headcount!$F$6:$F$89,"Software",Headcount!$H$6:$H$89,"&gt;"&amp;G3,Headcount!$G$6:$G$89,"&lt;"&amp;G3)+G8-G9),(F7+G8-G9)),SUMIFS(Headcount!$B$6:$B$89,Headcount!$F$6:$F$89,"Software",Headcount!$H$6:$H$89,"&gt;"&amp;G3,Headcount!$G$6:$G$89,"&lt;"&amp;F3))</f>
        <v>12</v>
      </c>
      <c r="H7" s="781">
        <f>IF(H4="forecast",IF(G4="actual",(SUMIFS(Headcount!$B$6:$B$89,Headcount!$F$6:$F$89,"Software",Headcount!$H$6:$H$89,"&gt;"&amp;H3,Headcount!$G$6:$G$89,"&lt;"&amp;H3)+H8-H9),(G7+H8-H9)),SUMIFS(Headcount!$B$6:$B$89,Headcount!$F$6:$F$89,"Software",Headcount!$H$6:$H$89,"&gt;"&amp;H3,Headcount!$G$6:$G$89,"&lt;"&amp;G3))</f>
        <v>12</v>
      </c>
      <c r="I7" s="781">
        <f>IF(I4="forecast",IF(H4="actual",(SUMIFS(Headcount!$B$6:$B$89,Headcount!$F$6:$F$89,"Software",Headcount!$H$6:$H$89,"&gt;"&amp;I3,Headcount!$G$6:$G$89,"&lt;"&amp;I3)+I8-I9),(H7+I8-I9)),SUMIFS(Headcount!$B$6:$B$89,Headcount!$F$6:$F$89,"Software",Headcount!$H$6:$H$89,"&gt;"&amp;I3,Headcount!$G$6:$G$89,"&lt;"&amp;H3))</f>
        <v>12</v>
      </c>
      <c r="J7" s="781">
        <f>IF(J4="forecast",IF(I4="actual",(SUMIFS(Headcount!$B$6:$B$89,Headcount!$F$6:$F$89,"Software",Headcount!$H$6:$H$89,"&gt;"&amp;J3,Headcount!$G$6:$G$89,"&lt;"&amp;J3)+J8-J9),(I7+J8-J9)),SUMIFS(Headcount!$B$6:$B$89,Headcount!$F$6:$F$89,"Software",Headcount!$H$6:$H$89,"&gt;"&amp;J3,Headcount!$G$6:$G$89,"&lt;"&amp;I3))</f>
        <v>15</v>
      </c>
      <c r="K7" s="781">
        <f>IF(K4="forecast",IF(J4="actual",(SUMIFS(Headcount!$B$6:$B$89,Headcount!$F$6:$F$89,"Software",Headcount!$H$6:$H$89,"&gt;"&amp;K3,Headcount!$G$6:$G$89,"&lt;"&amp;K3)+K8-K9),(J7+K8-K9)),SUMIFS(Headcount!$B$6:$B$89,Headcount!$F$6:$F$89,"Software",Headcount!$H$6:$H$89,"&gt;"&amp;K3,Headcount!$G$6:$G$89,"&lt;"&amp;J3))</f>
        <v>15</v>
      </c>
      <c r="L7" s="781">
        <f>IF(L4="forecast",IF(K4="actual",(SUMIFS(Headcount!$B$6:$B$89,Headcount!$F$6:$F$89,"Software",Headcount!$H$6:$H$89,"&gt;"&amp;L3,Headcount!$G$6:$G$89,"&lt;"&amp;L3)+L8-L9),(K7+L8-L9)),SUMIFS(Headcount!$B$6:$B$89,Headcount!$F$6:$F$89,"Software",Headcount!$H$6:$H$89,"&gt;"&amp;L3,Headcount!$G$6:$G$89,"&lt;"&amp;K3))</f>
        <v>15</v>
      </c>
      <c r="M7" s="781">
        <f>IF(M4="forecast",IF(L4="actual",(SUMIFS(Headcount!$B$6:$B$89,Headcount!$F$6:$F$89,"Software",Headcount!$H$6:$H$89,"&gt;"&amp;M3,Headcount!$G$6:$G$89,"&lt;"&amp;M3)+M8-M9),(L7+M8-M9)),SUMIFS(Headcount!$B$6:$B$89,Headcount!$F$6:$F$89,"Software",Headcount!$H$6:$H$89,"&gt;"&amp;M3,Headcount!$G$6:$G$89,"&lt;"&amp;L3))</f>
        <v>15</v>
      </c>
      <c r="N7" s="781">
        <f>IF(N4="forecast",IF(M4="actual",(SUMIFS(Headcount!$B$6:$B$89,Headcount!$F$6:$F$89,"Software",Headcount!$H$6:$H$89,"&gt;"&amp;N3,Headcount!$G$6:$G$89,"&lt;"&amp;N3)+N8-N9),(M7+N8-N9)),SUMIFS(Headcount!$B$6:$B$89,Headcount!$F$6:$F$89,"Software",Headcount!$H$6:$H$89,"&gt;"&amp;N3,Headcount!$G$6:$G$89,"&lt;"&amp;M3))</f>
        <v>16</v>
      </c>
      <c r="O7" s="781">
        <f>IF(O4="forecast",IF(N4="actual",(SUMIFS(Headcount!$B$6:$B$89,Headcount!$F$6:$F$89,"Software",Headcount!$H$6:$H$89,"&gt;"&amp;O3,Headcount!$G$6:$G$89,"&lt;"&amp;O3)+O8-O9),(N7+O8-O9)),SUMIFS(Headcount!$B$6:$B$89,Headcount!$F$6:$F$89,"Software",Headcount!$H$6:$H$89,"&gt;"&amp;O3,Headcount!$G$6:$G$89,"&lt;"&amp;N3))</f>
        <v>16</v>
      </c>
      <c r="P7" s="781">
        <f>IF(P4="forecast",IF(O4="actual",(SUMIFS(Headcount!$B$6:$B$89,Headcount!$F$6:$F$89,"Software",Headcount!$H$6:$H$89,"&gt;"&amp;P3,Headcount!$G$6:$G$89,"&lt;"&amp;P3)+P8-P9),(O7+P8-P9)),SUMIFS(Headcount!$B$6:$B$89,Headcount!$F$6:$F$89,"Software",Headcount!$H$6:$H$89,"&gt;"&amp;P3,Headcount!$G$6:$G$89,"&lt;"&amp;O3))</f>
        <v>16</v>
      </c>
      <c r="Q7" s="781">
        <f>IF(Q4="forecast",IF(P4="actual",(SUMIFS(Headcount!$B$6:$B$89,Headcount!$F$6:$F$89,"Software",Headcount!$H$6:$H$89,"&gt;"&amp;Q3,Headcount!$G$6:$G$89,"&lt;"&amp;Q3)+Q8-Q9),(P7+Q8-Q9)),SUMIFS(Headcount!$B$6:$B$89,Headcount!$F$6:$F$89,"Software",Headcount!$H$6:$H$89,"&gt;"&amp;Q3,Headcount!$G$6:$G$89,"&lt;"&amp;P3))</f>
        <v>16</v>
      </c>
      <c r="R7" s="781">
        <f>IF(R4="forecast",IF(Q4="actual",(SUMIFS(Headcount!$B$6:$B$89,Headcount!$F$6:$F$89,"Software",Headcount!$H$6:$H$89,"&gt;"&amp;R3,Headcount!$G$6:$G$89,"&lt;"&amp;R3)+R8-R9),(Q7+R8-R9)),SUMIFS(Headcount!$B$6:$B$89,Headcount!$F$6:$F$89,"Software",Headcount!$H$6:$H$89,"&gt;"&amp;R3,Headcount!$G$6:$G$89,"&lt;"&amp;Q3))</f>
        <v>20</v>
      </c>
      <c r="S7" s="781">
        <f>IF(S4="forecast",IF(R4="actual",(SUMIFS(Headcount!$B$6:$B$89,Headcount!$F$6:$F$89,"Software",Headcount!$H$6:$H$89,"&gt;"&amp;S3,Headcount!$G$6:$G$89,"&lt;"&amp;S3)+S8-S9),(R7+S8-S9)),SUMIFS(Headcount!$B$6:$B$89,Headcount!$F$6:$F$89,"Software",Headcount!$H$6:$H$89,"&gt;"&amp;S3,Headcount!$G$6:$G$89,"&lt;"&amp;R3))</f>
        <v>20</v>
      </c>
      <c r="T7" s="781">
        <f>IF(T4="forecast",IF(S4="actual",(SUMIFS(Headcount!$B$6:$B$89,Headcount!$F$6:$F$89,"Software",Headcount!$H$6:$H$89,"&gt;"&amp;T3,Headcount!$G$6:$G$89,"&lt;"&amp;T3)+T8-T9),(S7+T8-T9)),SUMIFS(Headcount!$B$6:$B$89,Headcount!$F$6:$F$89,"Software",Headcount!$H$6:$H$89,"&gt;"&amp;T3,Headcount!$G$6:$G$89,"&lt;"&amp;S3))</f>
        <v>20</v>
      </c>
      <c r="U7" s="781">
        <f>IF(U4="forecast",IF(T4="actual",(SUMIFS(Headcount!$B$6:$B$89,Headcount!$F$6:$F$89,"Software",Headcount!$H$6:$H$89,"&gt;"&amp;U3,Headcount!$G$6:$G$89,"&lt;"&amp;U3)+U8-U9),(T7+U8-U9)),SUMIFS(Headcount!$B$6:$B$89,Headcount!$F$6:$F$89,"Software",Headcount!$H$6:$H$89,"&gt;"&amp;U3,Headcount!$G$6:$G$89,"&lt;"&amp;T3))</f>
        <v>20</v>
      </c>
      <c r="V7" s="781">
        <f>IF(V4="forecast",IF(U4="actual",(SUMIFS(Headcount!$B$6:$B$89,Headcount!$F$6:$F$89,"Software",Headcount!$H$6:$H$89,"&gt;"&amp;V3,Headcount!$G$6:$G$89,"&lt;"&amp;V3)+V8-V9),(U7+V8-V9)),SUMIFS(Headcount!$B$6:$B$89,Headcount!$F$6:$F$89,"Software",Headcount!$H$6:$H$89,"&gt;"&amp;V3,Headcount!$G$6:$G$89,"&lt;"&amp;U3))</f>
        <v>20</v>
      </c>
      <c r="W7" s="781">
        <f>IF(W4="forecast",IF(V4="actual",(SUMIFS(Headcount!$B$6:$B$89,Headcount!$F$6:$F$89,"Software",Headcount!$H$6:$H$89,"&gt;"&amp;W3,Headcount!$G$6:$G$89,"&lt;"&amp;W3)+W8-W9),(V7+W8-W9)),SUMIFS(Headcount!$B$6:$B$89,Headcount!$F$6:$F$89,"Software",Headcount!$H$6:$H$89,"&gt;"&amp;W3,Headcount!$G$6:$G$89,"&lt;"&amp;V3))</f>
        <v>19</v>
      </c>
      <c r="X7" s="781">
        <f>IF(X4="forecast",IF(W4="actual",(SUMIFS(Headcount!$B$6:$B$89,Headcount!$F$6:$F$89,"Software",Headcount!$H$6:$H$89,"&gt;"&amp;X3,Headcount!$G$6:$G$89,"&lt;"&amp;X3)+X8-X9),(W7+X8-X9)),SUMIFS(Headcount!$B$6:$B$89,Headcount!$F$6:$F$89,"Software",Headcount!$H$6:$H$89,"&gt;"&amp;X3,Headcount!$G$6:$G$89,"&lt;"&amp;W3))</f>
        <v>19</v>
      </c>
      <c r="Y7" s="781">
        <f>IF(Y4="forecast",IF(X4="actual",(SUMIFS(Headcount!$B$6:$B$89,Headcount!$F$6:$F$89,"Software",Headcount!$H$6:$H$89,"&gt;"&amp;Y3,Headcount!$G$6:$G$89,"&lt;"&amp;Y3)+Y8-Y9),(X7+Y8-Y9)),SUMIFS(Headcount!$B$6:$B$89,Headcount!$F$6:$F$89,"Software",Headcount!$H$6:$H$89,"&gt;"&amp;Y3,Headcount!$G$6:$G$89,"&lt;"&amp;X3))</f>
        <v>20</v>
      </c>
      <c r="Z7" s="781">
        <f>IF(Z4="forecast",IF(Y4="actual",(SUMIFS(Headcount!$B$6:$B$89,Headcount!$F$6:$F$89,"Software",Headcount!$H$6:$H$89,"&gt;"&amp;Z3,Headcount!$G$6:$G$89,"&lt;"&amp;Z3)+Z8-Z9),(Y7+Z8-Z9)),SUMIFS(Headcount!$B$6:$B$89,Headcount!$F$6:$F$89,"Software",Headcount!$H$6:$H$89,"&gt;"&amp;Z3,Headcount!$G$6:$G$89,"&lt;"&amp;Y3))</f>
        <v>20</v>
      </c>
      <c r="AA7" s="781">
        <f>IF(AA4="forecast",IF(Z4="actual",(SUMIFS(Headcount!$B$6:$B$89,Headcount!$F$6:$F$89,"Software",Headcount!$H$6:$H$89,"&gt;"&amp;AA3,Headcount!$G$6:$G$89,"&lt;"&amp;AA3)+AA8-AA9),(Z7+AA8-AA9)),SUMIFS(Headcount!$B$6:$B$89,Headcount!$F$6:$F$89,"Software",Headcount!$H$6:$H$89,"&gt;"&amp;AA3,Headcount!$G$6:$G$89,"&lt;"&amp;Z3))</f>
        <v>20</v>
      </c>
      <c r="AB7" s="781">
        <f>IF(AB4="forecast",IF(AA4="actual",(SUMIFS(Headcount!$B$6:$B$89,Headcount!$F$6:$F$89,"Software",Headcount!$H$6:$H$89,"&gt;"&amp;AB3,Headcount!$G$6:$G$89,"&lt;"&amp;AB3)+AB8-AB9),(AA7+AB8-AB9)),SUMIFS(Headcount!$B$6:$B$89,Headcount!$F$6:$F$89,"Software",Headcount!$H$6:$H$89,"&gt;"&amp;AB3,Headcount!$G$6:$G$89,"&lt;"&amp;AA3))</f>
        <v>23</v>
      </c>
      <c r="AC7" s="781">
        <f>IF(AC4="forecast",IF(AB4="actual",(SUMIFS(Headcount!$B$6:$B$89,Headcount!$F$6:$F$89,"Software",Headcount!$H$6:$H$89,"&gt;"&amp;AC3,Headcount!$G$6:$G$89,"&lt;"&amp;AC3)+AC8-AC9),(AB7+AC8-AC9)),SUMIFS(Headcount!$B$6:$B$89,Headcount!$F$6:$F$89,"Software",Headcount!$H$6:$H$89,"&gt;"&amp;AC3,Headcount!$G$6:$G$89,"&lt;"&amp;AB3))</f>
        <v>23</v>
      </c>
      <c r="AD7" s="781">
        <f>IF(AD4="forecast",IF(AC4="actual",(SUMIFS(Headcount!$B$6:$B$89,Headcount!$F$6:$F$89,"Software",Headcount!$H$6:$H$89,"&gt;"&amp;AD3,Headcount!$G$6:$G$89,"&lt;"&amp;AD3)+AD8-AD9),(AC7+AD8-AD9)),SUMIFS(Headcount!$B$6:$B$89,Headcount!$F$6:$F$89,"Software",Headcount!$H$6:$H$89,"&gt;"&amp;AD3,Headcount!$G$6:$G$89,"&lt;"&amp;AC3))</f>
        <v>24</v>
      </c>
      <c r="AE7" s="781">
        <f>IF(AE4="forecast",IF(AD4="actual",(SUMIFS(Headcount!$B$6:$B$89,Headcount!$F$6:$F$89,"Software",Headcount!$H$6:$H$89,"&gt;"&amp;AE3,Headcount!$G$6:$G$89,"&lt;"&amp;AE3)+AE8-AE9),(AD7+AE8-AE9)),SUMIFS(Headcount!$B$6:$B$89,Headcount!$F$6:$F$89,"Software",Headcount!$H$6:$H$89,"&gt;"&amp;AE3,Headcount!$G$6:$G$89,"&lt;"&amp;AD3))</f>
        <v>24</v>
      </c>
      <c r="AF7" s="781">
        <f>IF(AF4="forecast",IF(AE4="actual",(SUMIFS(Headcount!$B$6:$B$89,Headcount!$F$6:$F$89,"Software",Headcount!$H$6:$H$89,"&gt;"&amp;AF3,Headcount!$G$6:$G$89,"&lt;"&amp;AF3)+AF8-AF9),(AE7+AF8-AF9)),SUMIFS(Headcount!$B$6:$B$89,Headcount!$F$6:$F$89,"Software",Headcount!$H$6:$H$89,"&gt;"&amp;AF3,Headcount!$G$6:$G$89,"&lt;"&amp;AE3))</f>
        <v>24</v>
      </c>
      <c r="AG7" s="781">
        <f>IF(AG4="forecast",IF(AF4="actual",(SUMIFS(Headcount!$B$6:$B$89,Headcount!$F$6:$F$89,"Software",Headcount!$H$6:$H$89,"&gt;"&amp;AG3,Headcount!$G$6:$G$89,"&lt;"&amp;AG3)+AG8-AG9),(AF7+AG8-AG9)),SUMIFS(Headcount!$B$6:$B$89,Headcount!$F$6:$F$89,"Software",Headcount!$H$6:$H$89,"&gt;"&amp;AG3,Headcount!$G$6:$G$89,"&lt;"&amp;AF3))</f>
        <v>25</v>
      </c>
      <c r="AH7" s="781">
        <f>IF(AH4="forecast",IF(AG4="actual",(SUMIFS(Headcount!$B$6:$B$89,Headcount!$F$6:$F$89,"Software",Headcount!$H$6:$H$89,"&gt;"&amp;AH3,Headcount!$G$6:$G$89,"&lt;"&amp;AH3)+AH8-AH9),(AG7+AH8-AH9)),SUMIFS(Headcount!$B$6:$B$89,Headcount!$F$6:$F$89,"Software",Headcount!$H$6:$H$89,"&gt;"&amp;AH3,Headcount!$G$6:$G$89,"&lt;"&amp;AG3))</f>
        <v>25</v>
      </c>
      <c r="AI7" s="781">
        <f>IF(AI4="forecast",IF(AH4="actual",(SUMIFS(Headcount!$B$6:$B$89,Headcount!$F$6:$F$89,"Software",Headcount!$H$6:$H$89,"&gt;"&amp;AI3,Headcount!$G$6:$G$89,"&lt;"&amp;AI3)+AI8-AI9),(AH7+AI8-AI9)),SUMIFS(Headcount!$B$6:$B$89,Headcount!$F$6:$F$89,"Software",Headcount!$H$6:$H$89,"&gt;"&amp;AI3,Headcount!$G$6:$G$89,"&lt;"&amp;AH3))</f>
        <v>25</v>
      </c>
      <c r="AJ7" s="781">
        <f>IF(AJ4="forecast",IF(AI4="actual",(SUMIFS(Headcount!$B$6:$B$89,Headcount!$F$6:$F$89,"Software",Headcount!$H$6:$H$89,"&gt;"&amp;AJ3,Headcount!$G$6:$G$89,"&lt;"&amp;AJ3)+AJ8-AJ9),(AI7+AJ8-AJ9)),SUMIFS(Headcount!$B$6:$B$89,Headcount!$F$6:$F$89,"Software",Headcount!$H$6:$H$89,"&gt;"&amp;AJ3,Headcount!$G$6:$G$89,"&lt;"&amp;AI3))</f>
        <v>26</v>
      </c>
      <c r="AK7" s="781">
        <f>IF(AK4="forecast",IF(AJ4="actual",(SUMIFS(Headcount!$B$6:$B$89,Headcount!$F$6:$F$89,"Software",Headcount!$H$6:$H$89,"&gt;"&amp;AK3,Headcount!$G$6:$G$89,"&lt;"&amp;AK3)+AK8-AK9),(AJ7+AK8-AK9)),SUMIFS(Headcount!$B$6:$B$89,Headcount!$F$6:$F$89,"Software",Headcount!$H$6:$H$89,"&gt;"&amp;AK3,Headcount!$G$6:$G$89,"&lt;"&amp;AJ3))</f>
        <v>26</v>
      </c>
      <c r="AL7" s="781">
        <f>IF(AL4="forecast",IF(AK4="actual",(SUMIFS(Headcount!$B$6:$B$89,Headcount!$F$6:$F$89,"Software",Headcount!$H$6:$H$89,"&gt;"&amp;AL3,Headcount!$G$6:$G$89,"&lt;"&amp;AL3)+AL8-AL9),(AK7+AL8-AL9)),SUMIFS(Headcount!$B$6:$B$89,Headcount!$F$6:$F$89,"Software",Headcount!$H$6:$H$89,"&gt;"&amp;AL3,Headcount!$G$6:$G$89,"&lt;"&amp;AK3))</f>
        <v>26</v>
      </c>
      <c r="AM7" s="781">
        <f>IF(AM4="forecast",IF(AL4="actual",(SUMIFS(Headcount!$B$6:$B$89,Headcount!$F$6:$F$89,"Software",Headcount!$H$6:$H$89,"&gt;"&amp;AM3,Headcount!$G$6:$G$89,"&lt;"&amp;AM3)+AM8-AM9),(AL7+AM8-AM9)),SUMIFS(Headcount!$B$6:$B$89,Headcount!$F$6:$F$89,"Software",Headcount!$H$6:$H$89,"&gt;"&amp;AM3,Headcount!$G$6:$G$89,"&lt;"&amp;AL3))</f>
        <v>26</v>
      </c>
      <c r="AN7" s="781">
        <f>IF(AN4="forecast",IF(AM4="actual",(SUMIFS(Headcount!$B$6:$B$89,Headcount!$F$6:$F$89,"Software",Headcount!$H$6:$H$89,"&gt;"&amp;AN3,Headcount!$G$6:$G$89,"&lt;"&amp;AN3)+AN8-AN9),(AM7+AN8-AN9)),SUMIFS(Headcount!$B$6:$B$89,Headcount!$F$6:$F$89,"Software",Headcount!$H$6:$H$89,"&gt;"&amp;AN3,Headcount!$G$6:$G$89,"&lt;"&amp;AM3))</f>
        <v>26</v>
      </c>
      <c r="AO7" s="781">
        <f>IF(AO4="forecast",IF(AN4="actual",(SUMIFS(Headcount!$B$6:$B$89,Headcount!$F$6:$F$89,"Software",Headcount!$H$6:$H$89,"&gt;"&amp;AO3,Headcount!$G$6:$G$89,"&lt;"&amp;AO3)+AO8-AO9),(AN7+AO8-AO9)),SUMIFS(Headcount!$B$6:$B$89,Headcount!$F$6:$F$89,"Software",Headcount!$H$6:$H$89,"&gt;"&amp;AO3,Headcount!$G$6:$G$89,"&lt;"&amp;AN3))</f>
        <v>26</v>
      </c>
      <c r="AP7" s="781">
        <f>IF(AP4="forecast",IF(AO4="actual",(SUMIFS(Headcount!$B$6:$B$89,Headcount!$F$6:$F$89,"Software",Headcount!$H$6:$H$89,"&gt;"&amp;AP3,Headcount!$G$6:$G$89,"&lt;"&amp;AP3)+AP8-AP9),(AO7+AP8-AP9)),SUMIFS(Headcount!$B$6:$B$89,Headcount!$F$6:$F$89,"Software",Headcount!$H$6:$H$89,"&gt;"&amp;AP3,Headcount!$G$6:$G$89,"&lt;"&amp;AO3))</f>
        <v>26</v>
      </c>
      <c r="AQ7" s="781">
        <f>IF(AQ4="forecast",IF(AP4="actual",(SUMIFS(Headcount!$B$6:$B$89,Headcount!$F$6:$F$89,"Software",Headcount!$H$6:$H$89,"&gt;"&amp;AQ3,Headcount!$G$6:$G$89,"&lt;"&amp;AQ3)+AQ8-AQ9),(AP7+AQ8-AQ9)),SUMIFS(Headcount!$B$6:$B$89,Headcount!$F$6:$F$89,"Software",Headcount!$H$6:$H$89,"&gt;"&amp;AQ3,Headcount!$G$6:$G$89,"&lt;"&amp;AP3))</f>
        <v>26</v>
      </c>
      <c r="AR7" s="781">
        <f>IF(AR4="forecast",IF(AQ4="actual",(SUMIFS(Headcount!$B$6:$B$89,Headcount!$F$6:$F$89,"Software",Headcount!$H$6:$H$89,"&gt;"&amp;AR3,Headcount!$G$6:$G$89,"&lt;"&amp;AR3)+AR8-AR9),(AQ7+AR8-AR9)),SUMIFS(Headcount!$B$6:$B$89,Headcount!$F$6:$F$89,"Software",Headcount!$H$6:$H$89,"&gt;"&amp;AR3,Headcount!$G$6:$G$89,"&lt;"&amp;AQ3))</f>
        <v>26</v>
      </c>
      <c r="AS7" s="781">
        <f>IF(AS4="forecast",IF(AR4="actual",(SUMIFS(Headcount!$B$6:$B$89,Headcount!$F$6:$F$89,"Software",Headcount!$H$6:$H$89,"&gt;"&amp;AS3,Headcount!$G$6:$G$89,"&lt;"&amp;AS3)+AS8-AS9),(AR7+AS8-AS9)),SUMIFS(Headcount!$B$6:$B$89,Headcount!$F$6:$F$89,"Software",Headcount!$H$6:$H$89,"&gt;"&amp;AS3,Headcount!$G$6:$G$89,"&lt;"&amp;AR3))</f>
        <v>26</v>
      </c>
      <c r="AT7" s="781">
        <f>IF(AT4="forecast",IF(AS4="actual",(SUMIFS(Headcount!$B$6:$B$89,Headcount!$F$6:$F$89,"Software",Headcount!$H$6:$H$89,"&gt;"&amp;AT3,Headcount!$G$6:$G$89,"&lt;"&amp;AT3)+AT8-AT9),(AS7+AT8-AT9)),SUMIFS(Headcount!$B$6:$B$89,Headcount!$F$6:$F$89,"Software",Headcount!$H$6:$H$89,"&gt;"&amp;AT3,Headcount!$G$6:$G$89,"&lt;"&amp;AS3))</f>
        <v>26</v>
      </c>
      <c r="AU7" s="781">
        <f>IF(AU4="forecast",IF(AT4="actual",(SUMIFS(Headcount!$B$6:$B$89,Headcount!$F$6:$F$89,"Software",Headcount!$H$6:$H$89,"&gt;"&amp;AU3,Headcount!$G$6:$G$89,"&lt;"&amp;AU3)+AU8-AU9),(AT7+AU8-AU9)),SUMIFS(Headcount!$B$6:$B$89,Headcount!$F$6:$F$89,"Software",Headcount!$H$6:$H$89,"&gt;"&amp;AU3,Headcount!$G$6:$G$89,"&lt;"&amp;AT3))</f>
        <v>26</v>
      </c>
      <c r="AV7" s="781">
        <f>IF(AV4="forecast",IF(AU4="actual",(SUMIFS(Headcount!$B$6:$B$89,Headcount!$F$6:$F$89,"Software",Headcount!$H$6:$H$89,"&gt;"&amp;AV3,Headcount!$G$6:$G$89,"&lt;"&amp;AV3)+AV8-AV9),(AU7+AV8-AV9)),SUMIFS(Headcount!$B$6:$B$89,Headcount!$F$6:$F$89,"Software",Headcount!$H$6:$H$89,"&gt;"&amp;AV3,Headcount!$G$6:$G$89,"&lt;"&amp;AU3))</f>
        <v>26</v>
      </c>
      <c r="AW7" s="781">
        <f>IF(AW4="forecast",IF(AV4="actual",(SUMIFS(Headcount!$B$6:$B$89,Headcount!$F$6:$F$89,"Software",Headcount!$H$6:$H$89,"&gt;"&amp;AW3,Headcount!$G$6:$G$89,"&lt;"&amp;AW3)+AW8-AW9),(AV7+AW8-AW9)),SUMIFS(Headcount!$B$6:$B$89,Headcount!$F$6:$F$89,"Software",Headcount!$H$6:$H$89,"&gt;"&amp;AW3,Headcount!$G$6:$G$89,"&lt;"&amp;AV3))</f>
        <v>26</v>
      </c>
      <c r="AX7" s="781">
        <f>IF(AX4="forecast",IF(AW4="actual",(SUMIFS(Headcount!$B$6:$B$89,Headcount!$F$6:$F$89,"Software",Headcount!$H$6:$H$89,"&gt;"&amp;AX3,Headcount!$G$6:$G$89,"&lt;"&amp;AX3)+AX8-AX9),(AW7+AX8-AX9)),SUMIFS(Headcount!$B$6:$B$89,Headcount!$F$6:$F$89,"Software",Headcount!$H$6:$H$89,"&gt;"&amp;AX3,Headcount!$G$6:$G$89,"&lt;"&amp;AW3))</f>
        <v>26</v>
      </c>
      <c r="AY7" s="781">
        <f>IF(AY4="forecast",IF(AX4="actual",(SUMIFS(Headcount!$B$6:$B$89,Headcount!$F$6:$F$89,"Software",Headcount!$H$6:$H$89,"&gt;"&amp;AY3,Headcount!$G$6:$G$89,"&lt;"&amp;AY3)+AY8-AY9),(AX7+AY8-AY9)),SUMIFS(Headcount!$B$6:$B$89,Headcount!$F$6:$F$89,"Software",Headcount!$H$6:$H$89,"&gt;"&amp;AY3,Headcount!$G$6:$G$89,"&lt;"&amp;AX3))</f>
        <v>26</v>
      </c>
      <c r="AZ7" s="781">
        <f>IF(AZ4="forecast",IF(AY4="actual",(SUMIFS(Headcount!$B$6:$B$89,Headcount!$F$6:$F$89,"Software",Headcount!$H$6:$H$89,"&gt;"&amp;AZ3,Headcount!$G$6:$G$89,"&lt;"&amp;AZ3)+AZ8-AZ9),(AY7+AZ8-AZ9)),SUMIFS(Headcount!$B$6:$B$89,Headcount!$F$6:$F$89,"Software",Headcount!$H$6:$H$89,"&gt;"&amp;AZ3,Headcount!$G$6:$G$89,"&lt;"&amp;AY3))</f>
        <v>26</v>
      </c>
      <c r="BA7" s="781">
        <f>IF(BA4="forecast",IF(AZ4="actual",(SUMIFS(Headcount!$B$6:$B$89,Headcount!$F$6:$F$89,"Software",Headcount!$H$6:$H$89,"&gt;"&amp;BA3,Headcount!$G$6:$G$89,"&lt;"&amp;BA3)+BA8-BA9),(AZ7+BA8-BA9)),SUMIFS(Headcount!$B$6:$B$89,Headcount!$F$6:$F$89,"Software",Headcount!$H$6:$H$89,"&gt;"&amp;BA3,Headcount!$G$6:$G$89,"&lt;"&amp;AZ3))</f>
        <v>26</v>
      </c>
      <c r="BB7" s="781">
        <f>IF(BB4="forecast",IF(BA4="actual",(SUMIFS(Headcount!$B$6:$B$89,Headcount!$F$6:$F$89,"Software",Headcount!$H$6:$H$89,"&gt;"&amp;BB3,Headcount!$G$6:$G$89,"&lt;"&amp;BB3)+BB8-BB9),(BA7+BB8-BB9)),SUMIFS(Headcount!$B$6:$B$89,Headcount!$F$6:$F$89,"Software",Headcount!$H$6:$H$89,"&gt;"&amp;BB3,Headcount!$G$6:$G$89,"&lt;"&amp;BA3))</f>
        <v>26</v>
      </c>
      <c r="BC7" s="781">
        <f>IF(BC4="forecast",IF(BB4="actual",(SUMIFS(Headcount!$B$6:$B$89,Headcount!$F$6:$F$89,"Software",Headcount!$H$6:$H$89,"&gt;"&amp;BC3,Headcount!$G$6:$G$89,"&lt;"&amp;BC3)+BC8-BC9),(BB7+BC8-BC9)),SUMIFS(Headcount!$B$6:$B$89,Headcount!$F$6:$F$89,"Software",Headcount!$H$6:$H$89,"&gt;"&amp;BC3,Headcount!$G$6:$G$89,"&lt;"&amp;BB3))</f>
        <v>26</v>
      </c>
      <c r="BD7" s="781">
        <f>IF(BD4="forecast",IF(BC4="actual",(SUMIFS(Headcount!$B$6:$B$89,Headcount!$F$6:$F$89,"Software",Headcount!$H$6:$H$89,"&gt;"&amp;BD3,Headcount!$G$6:$G$89,"&lt;"&amp;BD3)+BD8-BD9),(BC7+BD8-BD9)),SUMIFS(Headcount!$B$6:$B$89,Headcount!$F$6:$F$89,"Software",Headcount!$H$6:$H$89,"&gt;"&amp;BD3,Headcount!$G$6:$G$89,"&lt;"&amp;BC3))</f>
        <v>26</v>
      </c>
      <c r="BE7" s="781">
        <f>IF(BE4="forecast",IF(BD4="actual",(SUMIFS(Headcount!$B$6:$B$89,Headcount!$F$6:$F$89,"Software",Headcount!$H$6:$H$89,"&gt;"&amp;BE3,Headcount!$G$6:$G$89,"&lt;"&amp;BE3)+BE8-BE9),(BD7+BE8-BE9)),SUMIFS(Headcount!$B$6:$B$89,Headcount!$F$6:$F$89,"Software",Headcount!$H$6:$H$89,"&gt;"&amp;BE3,Headcount!$G$6:$G$89,"&lt;"&amp;BD3))</f>
        <v>26</v>
      </c>
      <c r="BF7" s="781">
        <f>IF(BF4="forecast",IF(BE4="actual",(SUMIFS(Headcount!$B$6:$B$89,Headcount!$F$6:$F$89,"Software",Headcount!$H$6:$H$89,"&gt;"&amp;BF3,Headcount!$G$6:$G$89,"&lt;"&amp;BF3)+BF8-BF9),(BE7+BF8-BF9)),SUMIFS(Headcount!$B$6:$B$89,Headcount!$F$6:$F$89,"Software",Headcount!$H$6:$H$89,"&gt;"&amp;BF3,Headcount!$G$6:$G$89,"&lt;"&amp;BE3))</f>
        <v>26</v>
      </c>
      <c r="BG7" s="781">
        <f>IF(BG4="forecast",IF(BF4="actual",(SUMIFS(Headcount!$B$6:$B$89,Headcount!$F$6:$F$89,"Software",Headcount!$H$6:$H$89,"&gt;"&amp;BG3,Headcount!$G$6:$G$89,"&lt;"&amp;BG3)+BG8-BG9),(BF7+BG8-BG9)),SUMIFS(Headcount!$B$6:$B$89,Headcount!$F$6:$F$89,"Software",Headcount!$H$6:$H$89,"&gt;"&amp;BG3,Headcount!$G$6:$G$89,"&lt;"&amp;BF3))</f>
        <v>26</v>
      </c>
      <c r="BH7" s="781">
        <f>IF(BH4="forecast",IF(BG4="actual",(SUMIFS(Headcount!$B$6:$B$89,Headcount!$F$6:$F$89,"Software",Headcount!$H$6:$H$89,"&gt;"&amp;BH3,Headcount!$G$6:$G$89,"&lt;"&amp;BH3)+BH8-BH9),(BG7+BH8-BH9)),SUMIFS(Headcount!$B$6:$B$89,Headcount!$F$6:$F$89,"Software",Headcount!$H$6:$H$89,"&gt;"&amp;BH3,Headcount!$G$6:$G$89,"&lt;"&amp;BG3))</f>
        <v>26</v>
      </c>
      <c r="BI7" s="781">
        <f>IF(BI4="forecast",IF(BH4="actual",(SUMIFS(Headcount!$B$6:$B$89,Headcount!$F$6:$F$89,"Software",Headcount!$H$6:$H$89,"&gt;"&amp;BI3,Headcount!$G$6:$G$89,"&lt;"&amp;BI3)+BI8-BI9),(BH7+BI8-BI9)),SUMIFS(Headcount!$B$6:$B$89,Headcount!$F$6:$F$89,"Software",Headcount!$H$6:$H$89,"&gt;"&amp;BI3,Headcount!$G$6:$G$89,"&lt;"&amp;BH3))</f>
        <v>26</v>
      </c>
      <c r="BJ7" s="781">
        <f>IF(BJ4="forecast",IF(BI4="actual",(SUMIFS(Headcount!$B$6:$B$89,Headcount!$F$6:$F$89,"Software",Headcount!$H$6:$H$89,"&gt;"&amp;BJ3,Headcount!$G$6:$G$89,"&lt;"&amp;BJ3)+BJ8-BJ9),(BI7+BJ8-BJ9)),SUMIFS(Headcount!$B$6:$B$89,Headcount!$F$6:$F$89,"Software",Headcount!$H$6:$H$89,"&gt;"&amp;BJ3,Headcount!$G$6:$G$89,"&lt;"&amp;BI3))</f>
        <v>26</v>
      </c>
      <c r="BK7" s="781">
        <f>IF(BK4="forecast",IF(BJ4="actual",(SUMIFS(Headcount!$B$6:$B$89,Headcount!$F$6:$F$89,"Software",Headcount!$H$6:$H$89,"&gt;"&amp;BK3,Headcount!$G$6:$G$89,"&lt;"&amp;BK3)+BK8-BK9),(BJ7+BK8-BK9)),SUMIFS(Headcount!$B$6:$B$89,Headcount!$F$6:$F$89,"Software",Headcount!$H$6:$H$89,"&gt;"&amp;BK3,Headcount!$G$6:$G$89,"&lt;"&amp;BJ3))</f>
        <v>26</v>
      </c>
      <c r="BL7" s="781">
        <f>IF(BL4="forecast",IF(BK4="actual",(SUMIFS(Headcount!$B$6:$B$89,Headcount!$F$6:$F$89,"Software",Headcount!$H$6:$H$89,"&gt;"&amp;BL3,Headcount!$G$6:$G$89,"&lt;"&amp;BL3)+BL8-BL9),(BK7+BL8-BL9)),SUMIFS(Headcount!$B$6:$B$89,Headcount!$F$6:$F$89,"Software",Headcount!$H$6:$H$89,"&gt;"&amp;BL3,Headcount!$G$6:$G$89,"&lt;"&amp;BK3))</f>
        <v>26</v>
      </c>
      <c r="BM7" s="781">
        <f>IF(BM4="forecast",IF(BL4="actual",(SUMIFS(Headcount!$B$6:$B$89,Headcount!$F$6:$F$89,"Software",Headcount!$H$6:$H$89,"&gt;"&amp;BM3,Headcount!$G$6:$G$89,"&lt;"&amp;BM3)+BM8-BM9),(BL7+BM8-BM9)),SUMIFS(Headcount!$B$6:$B$89,Headcount!$F$6:$F$89,"Software",Headcount!$H$6:$H$89,"&gt;"&amp;BM3,Headcount!$G$6:$G$89,"&lt;"&amp;BL3))</f>
        <v>26</v>
      </c>
      <c r="BN7" s="781">
        <f>IF(BN4="forecast",IF(BM4="actual",(SUMIFS(Headcount!$B$6:$B$89,Headcount!$F$6:$F$89,"Software",Headcount!$H$6:$H$89,"&gt;"&amp;BN3,Headcount!$G$6:$G$89,"&lt;"&amp;BN3)+BN8-BN9),(BM7+BN8-BN9)),SUMIFS(Headcount!$B$6:$B$89,Headcount!$F$6:$F$89,"Software",Headcount!$H$6:$H$89,"&gt;"&amp;BN3,Headcount!$G$6:$G$89,"&lt;"&amp;BM3))</f>
        <v>26</v>
      </c>
      <c r="BO7" s="781">
        <f>IF(BO4="forecast",IF(BN4="actual",(SUMIFS(Headcount!$B$6:$B$89,Headcount!$F$6:$F$89,"Software",Headcount!$H$6:$H$89,"&gt;"&amp;BO3,Headcount!$G$6:$G$89,"&lt;"&amp;BO3)+BO8-BO9),(BN7+BO8-BO9)),SUMIFS(Headcount!$B$6:$B$89,Headcount!$F$6:$F$89,"Software",Headcount!$H$6:$H$89,"&gt;"&amp;BO3,Headcount!$G$6:$G$89,"&lt;"&amp;BN3))</f>
        <v>26</v>
      </c>
      <c r="BP7" s="781">
        <f>IF(BP4="forecast",IF(BO4="actual",(SUMIFS(Headcount!$B$6:$B$89,Headcount!$F$6:$F$89,"Software",Headcount!$H$6:$H$89,"&gt;"&amp;BP3,Headcount!$G$6:$G$89,"&lt;"&amp;BP3)+BP8-BP9),(BO7+BP8-BP9)),SUMIFS(Headcount!$B$6:$B$89,Headcount!$F$6:$F$89,"Software",Headcount!$H$6:$H$89,"&gt;"&amp;BP3,Headcount!$G$6:$G$89,"&lt;"&amp;BO3))</f>
        <v>26</v>
      </c>
      <c r="BQ7" s="781">
        <f>IF(BQ4="forecast",IF(BP4="actual",(SUMIFS(Headcount!$B$6:$B$89,Headcount!$F$6:$F$89,"Software",Headcount!$H$6:$H$89,"&gt;"&amp;BQ3,Headcount!$G$6:$G$89,"&lt;"&amp;BQ3)+BQ8-BQ9),(BP7+BQ8-BQ9)),SUMIFS(Headcount!$B$6:$B$89,Headcount!$F$6:$F$89,"Software",Headcount!$H$6:$H$89,"&gt;"&amp;BQ3,Headcount!$G$6:$G$89,"&lt;"&amp;BP3))</f>
        <v>26</v>
      </c>
      <c r="BR7" s="781">
        <f>IF(BR4="forecast",IF(BQ4="actual",(SUMIFS(Headcount!$B$6:$B$89,Headcount!$F$6:$F$89,"Software",Headcount!$H$6:$H$89,"&gt;"&amp;BR3,Headcount!$G$6:$G$89,"&lt;"&amp;BR3)+BR8-BR9),(BQ7+BR8-BR9)),SUMIFS(Headcount!$B$6:$B$89,Headcount!$F$6:$F$89,"Software",Headcount!$H$6:$H$89,"&gt;"&amp;BR3,Headcount!$G$6:$G$89,"&lt;"&amp;BQ3))</f>
        <v>26</v>
      </c>
      <c r="BS7" s="781">
        <f>IF(BS4="forecast",IF(BR4="actual",(SUMIFS(Headcount!$B$6:$B$89,Headcount!$F$6:$F$89,"Software",Headcount!$H$6:$H$89,"&gt;"&amp;BS3,Headcount!$G$6:$G$89,"&lt;"&amp;BS3)+BS8-BS9),(BR7+BS8-BS9)),SUMIFS(Headcount!$B$6:$B$89,Headcount!$F$6:$F$89,"Software",Headcount!$H$6:$H$89,"&gt;"&amp;BS3,Headcount!$G$6:$G$89,"&lt;"&amp;BR3))</f>
        <v>26</v>
      </c>
      <c r="BT7" s="781">
        <f>IF(BT4="forecast",IF(BS4="actual",(SUMIFS(Headcount!$B$6:$B$89,Headcount!$F$6:$F$89,"Software",Headcount!$H$6:$H$89,"&gt;"&amp;BT3,Headcount!$G$6:$G$89,"&lt;"&amp;BT3)+BT8-BT9),(BS7+BT8-BT9)),SUMIFS(Headcount!$B$6:$B$89,Headcount!$F$6:$F$89,"Software",Headcount!$H$6:$H$89,"&gt;"&amp;BT3,Headcount!$G$6:$G$89,"&lt;"&amp;BS3))</f>
        <v>26</v>
      </c>
      <c r="BU7" s="781">
        <f>IF(BU4="forecast",IF(BT4="actual",(SUMIFS(Headcount!$B$6:$B$89,Headcount!$F$6:$F$89,"Software",Headcount!$H$6:$H$89,"&gt;"&amp;BU3,Headcount!$G$6:$G$89,"&lt;"&amp;BU3)+BU8-BU9),(BT7+BU8-BU9)),SUMIFS(Headcount!$B$6:$B$89,Headcount!$F$6:$F$89,"Software",Headcount!$H$6:$H$89,"&gt;"&amp;BU3,Headcount!$G$6:$G$89,"&lt;"&amp;BT3))</f>
        <v>26</v>
      </c>
      <c r="BV7" s="782">
        <f>IF(BV4="forecast",IF(BU4="actual",(SUMIFS(Headcount!$B$6:$B$89,Headcount!$F$6:$F$89,"Software",Headcount!$H$6:$H$89,"&gt;"&amp;BV3,Headcount!$G$6:$G$89,"&lt;"&amp;BV3)+BV8-BV9),(BU7+BV8-BV9)),SUMIFS(Headcount!$B$6:$B$89,Headcount!$F$6:$F$89,"Software",Headcount!$H$6:$H$89,"&gt;"&amp;BV3,Headcount!$G$6:$G$89,"&lt;"&amp;BU3))</f>
        <v>26</v>
      </c>
    </row>
    <row r="8" spans="2:75" x14ac:dyDescent="0.25">
      <c r="B8" s="777" t="s">
        <v>14</v>
      </c>
      <c r="C8" s="781">
        <f>SUMIFS('New Hires Forecast'!$B$5:$B$84,'New Hires Forecast'!$G$5:$G$84,"&gt;"&amp;Software!B3,'New Hires Forecast'!$G$5:$G$84,"&lt;="&amp;Software!C3,'New Hires Forecast'!$F$5:$F$84,"Software")</f>
        <v>0</v>
      </c>
      <c r="D8" s="781">
        <f>SUMIFS('New Hires Forecast'!$B$5:$B$84,'New Hires Forecast'!$G$5:$G$84,"&gt;"&amp;Software!C3,'New Hires Forecast'!$G$5:$G$84,"&lt;="&amp;Software!D3,'New Hires Forecast'!$F$5:$F$84,"Software")</f>
        <v>0</v>
      </c>
      <c r="E8" s="781">
        <f>SUMIFS('New Hires Forecast'!$B$5:$B$84,'New Hires Forecast'!$G$5:$G$84,"&gt;"&amp;Software!D3,'New Hires Forecast'!$G$5:$G$84,"&lt;="&amp;Software!E3,'New Hires Forecast'!$F$5:$F$84,"Software")</f>
        <v>0</v>
      </c>
      <c r="F8" s="781">
        <f>SUMIFS('New Hires Forecast'!$B$5:$B$84,'New Hires Forecast'!$G$5:$G$84,"&gt;"&amp;Software!E3,'New Hires Forecast'!$G$5:$G$84,"&lt;="&amp;Software!F3,'New Hires Forecast'!$F$5:$F$84,"Software")</f>
        <v>0</v>
      </c>
      <c r="G8" s="781">
        <f>SUMIFS('New Hires Forecast'!$B$5:$B$84,'New Hires Forecast'!$G$5:$G$84,"&gt;"&amp;Software!F3,'New Hires Forecast'!$G$5:$G$84,"&lt;="&amp;Software!G3,'New Hires Forecast'!$F$5:$F$84,"Software")</f>
        <v>0</v>
      </c>
      <c r="H8" s="781">
        <f>SUMIFS('New Hires Forecast'!$B$5:$B$84,'New Hires Forecast'!$G$5:$G$84,"&gt;"&amp;Software!G3,'New Hires Forecast'!$G$5:$G$84,"&lt;="&amp;Software!H3,'New Hires Forecast'!$F$5:$F$84,"Software")</f>
        <v>0</v>
      </c>
      <c r="I8" s="781">
        <f>SUMIFS('New Hires Forecast'!$B$5:$B$84,'New Hires Forecast'!$G$5:$G$84,"&gt;"&amp;Software!H3,'New Hires Forecast'!$G$5:$G$84,"&lt;="&amp;Software!I3,'New Hires Forecast'!$F$5:$F$84,"Software")</f>
        <v>0</v>
      </c>
      <c r="J8" s="781">
        <f>SUMIFS('New Hires Forecast'!$B$5:$B$84,'New Hires Forecast'!$G$5:$G$84,"&gt;"&amp;Software!I3,'New Hires Forecast'!$G$5:$G$84,"&lt;="&amp;Software!J3,'New Hires Forecast'!$F$5:$F$84,"Software")</f>
        <v>0</v>
      </c>
      <c r="K8" s="781">
        <f>SUMIFS('New Hires Forecast'!$B$5:$B$84,'New Hires Forecast'!$G$5:$G$84,"&gt;"&amp;Software!J3,'New Hires Forecast'!$G$5:$G$84,"&lt;="&amp;Software!K3,'New Hires Forecast'!$F$5:$F$84,"Software")</f>
        <v>0</v>
      </c>
      <c r="L8" s="781">
        <f>SUMIFS('New Hires Forecast'!$B$5:$B$84,'New Hires Forecast'!$G$5:$G$84,"&gt;"&amp;Software!K3,'New Hires Forecast'!$G$5:$G$84,"&lt;="&amp;Software!L3,'New Hires Forecast'!$F$5:$F$84,"Software")</f>
        <v>0</v>
      </c>
      <c r="M8" s="781">
        <f>SUMIFS('New Hires Forecast'!$B$5:$B$84,'New Hires Forecast'!$G$5:$G$84,"&gt;"&amp;Software!L3,'New Hires Forecast'!$G$5:$G$84,"&lt;="&amp;Software!M3,'New Hires Forecast'!$F$5:$F$84,"Software")</f>
        <v>0</v>
      </c>
      <c r="N8" s="781">
        <f>SUMIFS('New Hires Forecast'!$B$5:$B$84,'New Hires Forecast'!$G$5:$G$84,"&gt;"&amp;Software!M3,'New Hires Forecast'!$G$5:$G$84,"&lt;="&amp;Software!N3,'New Hires Forecast'!$F$5:$F$84,"Software")</f>
        <v>0</v>
      </c>
      <c r="O8" s="781">
        <f>SUMIFS('New Hires Forecast'!$B$5:$B$84,'New Hires Forecast'!$G$5:$G$84,"&gt;"&amp;Software!N3,'New Hires Forecast'!$G$5:$G$84,"&lt;="&amp;Software!O3,'New Hires Forecast'!$F$5:$F$84,"Software")</f>
        <v>0</v>
      </c>
      <c r="P8" s="781">
        <f>SUMIFS('New Hires Forecast'!$B$5:$B$84,'New Hires Forecast'!$G$5:$G$84,"&gt;"&amp;Software!O3,'New Hires Forecast'!$G$5:$G$84,"&lt;="&amp;Software!P3,'New Hires Forecast'!$F$5:$F$84,"Software")</f>
        <v>0</v>
      </c>
      <c r="Q8" s="781">
        <f>SUMIFS('New Hires Forecast'!$B$5:$B$84,'New Hires Forecast'!$G$5:$G$84,"&gt;"&amp;Software!P3,'New Hires Forecast'!$G$5:$G$84,"&lt;="&amp;Software!Q3,'New Hires Forecast'!$F$5:$F$84,"Software")</f>
        <v>0</v>
      </c>
      <c r="R8" s="781">
        <f>SUMIFS('New Hires Forecast'!$B$5:$B$84,'New Hires Forecast'!$G$5:$G$84,"&gt;"&amp;Software!Q3,'New Hires Forecast'!$G$5:$G$84,"&lt;="&amp;Software!R3,'New Hires Forecast'!$F$5:$F$84,"Software")</f>
        <v>0</v>
      </c>
      <c r="S8" s="781">
        <f>SUMIFS('New Hires Forecast'!$B$5:$B$84,'New Hires Forecast'!$G$5:$G$84,"&gt;"&amp;Software!R3,'New Hires Forecast'!$G$5:$G$84,"&lt;="&amp;Software!S3,'New Hires Forecast'!$F$5:$F$84,"Software")</f>
        <v>0</v>
      </c>
      <c r="T8" s="781">
        <f>SUMIFS('New Hires Forecast'!$B$5:$B$84,'New Hires Forecast'!$G$5:$G$84,"&gt;"&amp;Software!S3,'New Hires Forecast'!$G$5:$G$84,"&lt;="&amp;Software!T3,'New Hires Forecast'!$F$5:$F$84,"Software")</f>
        <v>0</v>
      </c>
      <c r="U8" s="781">
        <f>SUMIFS('New Hires Forecast'!$B$5:$B$84,'New Hires Forecast'!$G$5:$G$84,"&gt;"&amp;Software!T3,'New Hires Forecast'!$G$5:$G$84,"&lt;="&amp;Software!U3,'New Hires Forecast'!$F$5:$F$84,"Software")</f>
        <v>0</v>
      </c>
      <c r="V8" s="781">
        <f>SUMIFS('New Hires Forecast'!$B$5:$B$84,'New Hires Forecast'!$G$5:$G$84,"&gt;"&amp;Software!U3,'New Hires Forecast'!$G$5:$G$84,"&lt;="&amp;Software!V3,'New Hires Forecast'!$F$5:$F$84,"Software")</f>
        <v>0</v>
      </c>
      <c r="W8" s="781">
        <f>SUMIFS('New Hires Forecast'!$B$5:$B$84,'New Hires Forecast'!$G$5:$G$84,"&gt;"&amp;Software!V3,'New Hires Forecast'!$G$5:$G$84,"&lt;="&amp;Software!W3,'New Hires Forecast'!$F$5:$F$84,"Software")</f>
        <v>0</v>
      </c>
      <c r="X8" s="781">
        <f>SUMIFS('New Hires Forecast'!$B$5:$B$84,'New Hires Forecast'!$G$5:$G$84,"&gt;"&amp;Software!W3,'New Hires Forecast'!$G$5:$G$84,"&lt;="&amp;Software!X3,'New Hires Forecast'!$F$5:$F$84,"Software")</f>
        <v>0</v>
      </c>
      <c r="Y8" s="781">
        <f>SUMIFS('New Hires Forecast'!$B$5:$B$84,'New Hires Forecast'!$G$5:$G$84,"&gt;"&amp;Software!X3,'New Hires Forecast'!$G$5:$G$84,"&lt;="&amp;Software!Y3,'New Hires Forecast'!$F$5:$F$84,"Software")</f>
        <v>0</v>
      </c>
      <c r="Z8" s="781">
        <f>SUMIFS('New Hires Forecast'!$B$5:$B$84,'New Hires Forecast'!$G$5:$G$84,"&gt;"&amp;Software!Y3,'New Hires Forecast'!$G$5:$G$84,"&lt;="&amp;Software!Z3,'New Hires Forecast'!$F$5:$F$84,"Software")</f>
        <v>0</v>
      </c>
      <c r="AA8" s="781">
        <f>SUMIFS('New Hires Forecast'!$B$5:$B$84,'New Hires Forecast'!$G$5:$G$84,"&gt;"&amp;Software!Z3,'New Hires Forecast'!$G$5:$G$84,"&lt;="&amp;Software!AA3,'New Hires Forecast'!$F$5:$F$84,"Software")</f>
        <v>0</v>
      </c>
      <c r="AB8" s="781">
        <f>SUMIFS('New Hires Forecast'!$B$5:$B$84,'New Hires Forecast'!$G$5:$G$84,"&gt;"&amp;Software!AA3,'New Hires Forecast'!$G$5:$G$84,"&lt;="&amp;Software!AB3,'New Hires Forecast'!$F$5:$F$84,"Software")</f>
        <v>0</v>
      </c>
      <c r="AC8" s="781">
        <f>SUMIFS('New Hires Forecast'!$B$5:$B$84,'New Hires Forecast'!$G$5:$G$84,"&gt;"&amp;Software!AB3,'New Hires Forecast'!$G$5:$G$84,"&lt;="&amp;Software!AC3,'New Hires Forecast'!$F$5:$F$84,"Software")</f>
        <v>0</v>
      </c>
      <c r="AD8" s="781">
        <f>SUMIFS('New Hires Forecast'!$B$5:$B$84,'New Hires Forecast'!$G$5:$G$84,"&gt;"&amp;Software!AC3,'New Hires Forecast'!$G$5:$G$84,"&lt;="&amp;Software!AD3,'New Hires Forecast'!$F$5:$F$84,"Software")</f>
        <v>1</v>
      </c>
      <c r="AE8" s="781">
        <f>SUMIFS('New Hires Forecast'!$B$5:$B$84,'New Hires Forecast'!$G$5:$G$84,"&gt;"&amp;Software!AD3,'New Hires Forecast'!$G$5:$G$84,"&lt;="&amp;Software!AE3,'New Hires Forecast'!$F$5:$F$84,"Software")</f>
        <v>0</v>
      </c>
      <c r="AF8" s="781">
        <f>SUMIFS('New Hires Forecast'!$B$5:$B$84,'New Hires Forecast'!$G$5:$G$84,"&gt;"&amp;Software!AE3,'New Hires Forecast'!$G$5:$G$84,"&lt;="&amp;Software!AF3,'New Hires Forecast'!$F$5:$F$84,"Software")</f>
        <v>0</v>
      </c>
      <c r="AG8" s="781">
        <f>SUMIFS('New Hires Forecast'!$B$5:$B$84,'New Hires Forecast'!$G$5:$G$84,"&gt;"&amp;Software!AF3,'New Hires Forecast'!$G$5:$G$84,"&lt;="&amp;Software!AG3,'New Hires Forecast'!$F$5:$F$84,"Software")</f>
        <v>1</v>
      </c>
      <c r="AH8" s="781">
        <f>SUMIFS('New Hires Forecast'!$B$5:$B$84,'New Hires Forecast'!$G$5:$G$84,"&gt;"&amp;Software!AG3,'New Hires Forecast'!$G$5:$G$84,"&lt;="&amp;Software!AH3,'New Hires Forecast'!$F$5:$F$84,"Software")</f>
        <v>0</v>
      </c>
      <c r="AI8" s="781">
        <f>SUMIFS('New Hires Forecast'!$B$5:$B$84,'New Hires Forecast'!$G$5:$G$84,"&gt;"&amp;Software!AH3,'New Hires Forecast'!$G$5:$G$84,"&lt;="&amp;Software!AI3,'New Hires Forecast'!$F$5:$F$84,"Software")</f>
        <v>0</v>
      </c>
      <c r="AJ8" s="781">
        <f>SUMIFS('New Hires Forecast'!$B$5:$B$84,'New Hires Forecast'!$G$5:$G$84,"&gt;"&amp;Software!AI3,'New Hires Forecast'!$G$5:$G$84,"&lt;="&amp;Software!AJ3,'New Hires Forecast'!$F$5:$F$84,"Software")</f>
        <v>1</v>
      </c>
      <c r="AK8" s="781">
        <f>SUMIFS('New Hires Forecast'!$B$5:$B$84,'New Hires Forecast'!$G$5:$G$84,"&gt;"&amp;Software!AJ3,'New Hires Forecast'!$G$5:$G$84,"&lt;="&amp;Software!AK3,'New Hires Forecast'!$F$5:$F$84,"Software")</f>
        <v>0</v>
      </c>
      <c r="AL8" s="781">
        <f>SUMIFS('New Hires Forecast'!$B$5:$B$84,'New Hires Forecast'!$G$5:$G$84,"&gt;"&amp;Software!AK3,'New Hires Forecast'!$G$5:$G$84,"&lt;="&amp;Software!AL3,'New Hires Forecast'!$F$5:$F$84,"Software")</f>
        <v>0</v>
      </c>
      <c r="AM8" s="781">
        <f>SUMIFS('New Hires Forecast'!$B$5:$B$84,'New Hires Forecast'!$G$5:$G$84,"&gt;"&amp;Software!AL3,'New Hires Forecast'!$G$5:$G$84,"&lt;="&amp;Software!AM3,'New Hires Forecast'!$F$5:$F$84,"Software")</f>
        <v>0</v>
      </c>
      <c r="AN8" s="781">
        <f>SUMIFS('New Hires Forecast'!$B$5:$B$84,'New Hires Forecast'!$G$5:$G$84,"&gt;"&amp;Software!AM3,'New Hires Forecast'!$G$5:$G$84,"&lt;="&amp;Software!AN3,'New Hires Forecast'!$F$5:$F$84,"Software")</f>
        <v>0</v>
      </c>
      <c r="AO8" s="781">
        <f>SUMIFS('New Hires Forecast'!$B$5:$B$84,'New Hires Forecast'!$G$5:$G$84,"&gt;"&amp;Software!AN3,'New Hires Forecast'!$G$5:$G$84,"&lt;="&amp;Software!AO3,'New Hires Forecast'!$F$5:$F$84,"Software")</f>
        <v>0</v>
      </c>
      <c r="AP8" s="781">
        <f>SUMIFS('New Hires Forecast'!$B$5:$B$84,'New Hires Forecast'!$G$5:$G$84,"&gt;"&amp;Software!AO3,'New Hires Forecast'!$G$5:$G$84,"&lt;="&amp;Software!AP3,'New Hires Forecast'!$F$5:$F$84,"Software")</f>
        <v>0</v>
      </c>
      <c r="AQ8" s="781">
        <f>SUMIFS('New Hires Forecast'!$B$5:$B$84,'New Hires Forecast'!$G$5:$G$84,"&gt;"&amp;Software!AP3,'New Hires Forecast'!$G$5:$G$84,"&lt;="&amp;Software!AQ3,'New Hires Forecast'!$F$5:$F$84,"Software")</f>
        <v>0</v>
      </c>
      <c r="AR8" s="781">
        <f>SUMIFS('New Hires Forecast'!$B$5:$B$84,'New Hires Forecast'!$G$5:$G$84,"&gt;"&amp;Software!AQ3,'New Hires Forecast'!$G$5:$G$84,"&lt;="&amp;Software!AR3,'New Hires Forecast'!$F$5:$F$84,"Software")</f>
        <v>0</v>
      </c>
      <c r="AS8" s="781">
        <f>SUMIFS('New Hires Forecast'!$B$5:$B$84,'New Hires Forecast'!$G$5:$G$84,"&gt;"&amp;Software!AR3,'New Hires Forecast'!$G$5:$G$84,"&lt;="&amp;Software!AS3,'New Hires Forecast'!$F$5:$F$84,"Software")</f>
        <v>0</v>
      </c>
      <c r="AT8" s="781">
        <f>SUMIFS('New Hires Forecast'!$B$5:$B$84,'New Hires Forecast'!$G$5:$G$84,"&gt;"&amp;Software!AS3,'New Hires Forecast'!$G$5:$G$84,"&lt;="&amp;Software!AT3,'New Hires Forecast'!$F$5:$F$84,"Software")</f>
        <v>0</v>
      </c>
      <c r="AU8" s="781">
        <f>SUMIFS('New Hires Forecast'!$B$5:$B$84,'New Hires Forecast'!$G$5:$G$84,"&gt;"&amp;Software!AT3,'New Hires Forecast'!$G$5:$G$84,"&lt;="&amp;Software!AU3,'New Hires Forecast'!$F$5:$F$84,"Software")</f>
        <v>0</v>
      </c>
      <c r="AV8" s="781">
        <f>SUMIFS('New Hires Forecast'!$B$5:$B$84,'New Hires Forecast'!$G$5:$G$84,"&gt;"&amp;Software!AU3,'New Hires Forecast'!$G$5:$G$84,"&lt;="&amp;Software!AV3,'New Hires Forecast'!$F$5:$F$84,"Software")</f>
        <v>0</v>
      </c>
      <c r="AW8" s="781">
        <f>SUMIFS('New Hires Forecast'!$B$5:$B$84,'New Hires Forecast'!$G$5:$G$84,"&gt;"&amp;Software!AV3,'New Hires Forecast'!$G$5:$G$84,"&lt;="&amp;Software!AW3,'New Hires Forecast'!$F$5:$F$84,"Software")</f>
        <v>0</v>
      </c>
      <c r="AX8" s="781">
        <f>SUMIFS('New Hires Forecast'!$B$5:$B$84,'New Hires Forecast'!$G$5:$G$84,"&gt;"&amp;Software!AW3,'New Hires Forecast'!$G$5:$G$84,"&lt;="&amp;Software!AX3,'New Hires Forecast'!$F$5:$F$84,"Software")</f>
        <v>0</v>
      </c>
      <c r="AY8" s="781">
        <f>SUMIFS('New Hires Forecast'!$B$5:$B$84,'New Hires Forecast'!$G$5:$G$84,"&gt;"&amp;Software!AX3,'New Hires Forecast'!$G$5:$G$84,"&lt;="&amp;Software!AY3,'New Hires Forecast'!$F$5:$F$84,"Software")</f>
        <v>0</v>
      </c>
      <c r="AZ8" s="781">
        <f>SUMIFS('New Hires Forecast'!$B$5:$B$84,'New Hires Forecast'!$G$5:$G$84,"&gt;"&amp;Software!AY3,'New Hires Forecast'!$G$5:$G$84,"&lt;="&amp;Software!AZ3,'New Hires Forecast'!$F$5:$F$84,"Software")</f>
        <v>0</v>
      </c>
      <c r="BA8" s="781">
        <f>SUMIFS('New Hires Forecast'!$B$5:$B$84,'New Hires Forecast'!$G$5:$G$84,"&gt;"&amp;Software!AZ3,'New Hires Forecast'!$G$5:$G$84,"&lt;="&amp;Software!BA3,'New Hires Forecast'!$F$5:$F$84,"Software")</f>
        <v>0</v>
      </c>
      <c r="BB8" s="781">
        <f>SUMIFS('New Hires Forecast'!$B$5:$B$84,'New Hires Forecast'!$G$5:$G$84,"&gt;"&amp;Software!BA3,'New Hires Forecast'!$G$5:$G$84,"&lt;="&amp;Software!BB3,'New Hires Forecast'!$F$5:$F$84,"Software")</f>
        <v>0</v>
      </c>
      <c r="BC8" s="781">
        <f>SUMIFS('New Hires Forecast'!$B$5:$B$84,'New Hires Forecast'!$G$5:$G$84,"&gt;"&amp;Software!BB3,'New Hires Forecast'!$G$5:$G$84,"&lt;="&amp;Software!BC3,'New Hires Forecast'!$F$5:$F$84,"Software")</f>
        <v>0</v>
      </c>
      <c r="BD8" s="781">
        <f>SUMIFS('New Hires Forecast'!$B$5:$B$84,'New Hires Forecast'!$G$5:$G$84,"&gt;"&amp;Software!BC3,'New Hires Forecast'!$G$5:$G$84,"&lt;="&amp;Software!BD3,'New Hires Forecast'!$F$5:$F$84,"Software")</f>
        <v>0</v>
      </c>
      <c r="BE8" s="781">
        <f>SUMIFS('New Hires Forecast'!$B$5:$B$84,'New Hires Forecast'!$G$5:$G$84,"&gt;"&amp;Software!BD3,'New Hires Forecast'!$G$5:$G$84,"&lt;="&amp;Software!BE3,'New Hires Forecast'!$F$5:$F$84,"Software")</f>
        <v>0</v>
      </c>
      <c r="BF8" s="781">
        <f>SUMIFS('New Hires Forecast'!$B$5:$B$84,'New Hires Forecast'!$G$5:$G$84,"&gt;"&amp;Software!BE3,'New Hires Forecast'!$G$5:$G$84,"&lt;="&amp;Software!BF3,'New Hires Forecast'!$F$5:$F$84,"Software")</f>
        <v>0</v>
      </c>
      <c r="BG8" s="781">
        <f>SUMIFS('New Hires Forecast'!$B$5:$B$84,'New Hires Forecast'!$G$5:$G$84,"&gt;"&amp;Software!BF3,'New Hires Forecast'!$G$5:$G$84,"&lt;="&amp;Software!BG3,'New Hires Forecast'!$F$5:$F$84,"Software")</f>
        <v>0</v>
      </c>
      <c r="BH8" s="781">
        <f>SUMIFS('New Hires Forecast'!$B$5:$B$84,'New Hires Forecast'!$G$5:$G$84,"&gt;"&amp;Software!BG3,'New Hires Forecast'!$G$5:$G$84,"&lt;="&amp;Software!BH3,'New Hires Forecast'!$F$5:$F$84,"Software")</f>
        <v>0</v>
      </c>
      <c r="BI8" s="781">
        <f>SUMIFS('New Hires Forecast'!$B$5:$B$84,'New Hires Forecast'!$G$5:$G$84,"&gt;"&amp;Software!BH3,'New Hires Forecast'!$G$5:$G$84,"&lt;="&amp;Software!BI3,'New Hires Forecast'!$F$5:$F$84,"Software")</f>
        <v>0</v>
      </c>
      <c r="BJ8" s="781">
        <f>SUMIFS('New Hires Forecast'!$B$5:$B$84,'New Hires Forecast'!$G$5:$G$84,"&gt;"&amp;Software!BI3,'New Hires Forecast'!$G$5:$G$84,"&lt;="&amp;Software!BJ3,'New Hires Forecast'!$F$5:$F$84,"Software")</f>
        <v>0</v>
      </c>
      <c r="BK8" s="781">
        <f>SUMIFS('New Hires Forecast'!$B$5:$B$84,'New Hires Forecast'!$G$5:$G$84,"&gt;"&amp;Software!BJ3,'New Hires Forecast'!$G$5:$G$84,"&lt;="&amp;Software!BK3,'New Hires Forecast'!$F$5:$F$84,"Software")</f>
        <v>0</v>
      </c>
      <c r="BL8" s="781">
        <f>SUMIFS('New Hires Forecast'!$B$5:$B$84,'New Hires Forecast'!$G$5:$G$84,"&gt;"&amp;Software!BK3,'New Hires Forecast'!$G$5:$G$84,"&lt;="&amp;Software!BL3,'New Hires Forecast'!$F$5:$F$84,"Software")</f>
        <v>0</v>
      </c>
      <c r="BM8" s="781">
        <f>SUMIFS('New Hires Forecast'!$B$5:$B$84,'New Hires Forecast'!$G$5:$G$84,"&gt;"&amp;Software!BL3,'New Hires Forecast'!$G$5:$G$84,"&lt;="&amp;Software!BM3,'New Hires Forecast'!$F$5:$F$84,"Software")</f>
        <v>0</v>
      </c>
      <c r="BN8" s="781">
        <f>SUMIFS('New Hires Forecast'!$B$5:$B$84,'New Hires Forecast'!$G$5:$G$84,"&gt;"&amp;Software!BM3,'New Hires Forecast'!$G$5:$G$84,"&lt;="&amp;Software!BN3,'New Hires Forecast'!$F$5:$F$84,"Software")</f>
        <v>0</v>
      </c>
      <c r="BO8" s="781">
        <f>SUMIFS('New Hires Forecast'!$B$5:$B$84,'New Hires Forecast'!$G$5:$G$84,"&gt;"&amp;Software!BN3,'New Hires Forecast'!$G$5:$G$84,"&lt;="&amp;Software!BO3,'New Hires Forecast'!$F$5:$F$84,"Software")</f>
        <v>0</v>
      </c>
      <c r="BP8" s="781">
        <f>SUMIFS('New Hires Forecast'!$B$5:$B$84,'New Hires Forecast'!$G$5:$G$84,"&gt;"&amp;Software!BO3,'New Hires Forecast'!$G$5:$G$84,"&lt;="&amp;Software!BP3,'New Hires Forecast'!$F$5:$F$84,"Software")</f>
        <v>0</v>
      </c>
      <c r="BQ8" s="781">
        <f>SUMIFS('New Hires Forecast'!$B$5:$B$84,'New Hires Forecast'!$G$5:$G$84,"&gt;"&amp;Software!BP3,'New Hires Forecast'!$G$5:$G$84,"&lt;="&amp;Software!BQ3,'New Hires Forecast'!$F$5:$F$84,"Software")</f>
        <v>0</v>
      </c>
      <c r="BR8" s="781">
        <f>SUMIFS('New Hires Forecast'!$B$5:$B$84,'New Hires Forecast'!$G$5:$G$84,"&gt;"&amp;Software!BQ3,'New Hires Forecast'!$G$5:$G$84,"&lt;="&amp;Software!BR3,'New Hires Forecast'!$F$5:$F$84,"Software")</f>
        <v>0</v>
      </c>
      <c r="BS8" s="781">
        <f>SUMIFS('New Hires Forecast'!$B$5:$B$84,'New Hires Forecast'!$G$5:$G$84,"&gt;"&amp;Software!BR3,'New Hires Forecast'!$G$5:$G$84,"&lt;="&amp;Software!BS3,'New Hires Forecast'!$F$5:$F$84,"Software")</f>
        <v>0</v>
      </c>
      <c r="BT8" s="781">
        <f>SUMIFS('New Hires Forecast'!$B$5:$B$84,'New Hires Forecast'!$G$5:$G$84,"&gt;"&amp;Software!BS3,'New Hires Forecast'!$G$5:$G$84,"&lt;="&amp;Software!BT3,'New Hires Forecast'!$F$5:$F$84,"Software")</f>
        <v>0</v>
      </c>
      <c r="BU8" s="781">
        <f>SUMIFS('New Hires Forecast'!$B$5:$B$84,'New Hires Forecast'!$G$5:$G$84,"&gt;"&amp;Software!BT3,'New Hires Forecast'!$G$5:$G$84,"&lt;="&amp;Software!BU3,'New Hires Forecast'!$F$5:$F$84,"Software")</f>
        <v>0</v>
      </c>
      <c r="BV8" s="782">
        <f>SUMIFS('New Hires Forecast'!$B$5:$B$84,'New Hires Forecast'!$G$5:$G$84,"&gt;"&amp;Software!BU3,'New Hires Forecast'!$G$5:$G$84,"&lt;="&amp;Software!BV3,'New Hires Forecast'!$F$5:$F$84,"Software")</f>
        <v>0</v>
      </c>
    </row>
    <row r="9" spans="2:75" x14ac:dyDescent="0.25">
      <c r="B9" s="777" t="s">
        <v>149</v>
      </c>
      <c r="C9" s="781">
        <f>SUMIFS(Headcount!$B$6:$B$88,Headcount!$H$6:$H$88,"&gt;"&amp;B3,Headcount!$H$6:$H$88,"&lt;="&amp;C3,Headcount!$F$6:$F$88,"Software")</f>
        <v>0</v>
      </c>
      <c r="D9" s="781">
        <f>SUMIFS(Headcount!$B$6:$B$88,Headcount!$H$6:$H$88,"&gt;"&amp;C3,Headcount!$H$6:$H$88,"&lt;="&amp;D3,Headcount!$F$6:$F$88,"Software")</f>
        <v>0</v>
      </c>
      <c r="E9" s="781">
        <f>SUMIFS(Headcount!$B$6:$B$88,Headcount!$H$6:$H$88,"&gt;"&amp;D3,Headcount!$H$6:$H$88,"&lt;="&amp;E3,Headcount!$F$6:$F$88,"Software")</f>
        <v>0</v>
      </c>
      <c r="F9" s="781">
        <f>SUMIFS(Headcount!$B$6:$B$88,Headcount!$H$6:$H$88,"&gt;"&amp;E3,Headcount!$H$6:$H$88,"&lt;="&amp;F3,Headcount!$F$6:$F$88,"Software")</f>
        <v>0</v>
      </c>
      <c r="G9" s="781">
        <f>SUMIFS(Headcount!$B$6:$B$88,Headcount!$H$6:$H$88,"&gt;"&amp;F3,Headcount!$H$6:$H$88,"&lt;="&amp;G3,Headcount!$F$6:$F$88,"Software")</f>
        <v>0</v>
      </c>
      <c r="H9" s="781">
        <f>SUMIFS(Headcount!$B$6:$B$88,Headcount!$H$6:$H$88,"&gt;"&amp;G3,Headcount!$H$6:$H$88,"&lt;="&amp;H3,Headcount!$F$6:$F$88,"Software")</f>
        <v>0</v>
      </c>
      <c r="I9" s="781">
        <f>SUMIFS(Headcount!$B$6:$B$88,Headcount!$H$6:$H$88,"&gt;"&amp;H3,Headcount!$H$6:$H$88,"&lt;="&amp;I3,Headcount!$F$6:$F$88,"Software")</f>
        <v>0</v>
      </c>
      <c r="J9" s="781">
        <f>SUMIFS(Headcount!$B$6:$B$88,Headcount!$H$6:$H$88,"&gt;"&amp;I3,Headcount!$H$6:$H$88,"&lt;="&amp;J3,Headcount!$F$6:$F$88,"Software")</f>
        <v>0</v>
      </c>
      <c r="K9" s="781">
        <f>SUMIFS(Headcount!$B$6:$B$88,Headcount!$H$6:$H$88,"&gt;"&amp;J3,Headcount!$H$6:$H$88,"&lt;="&amp;K3,Headcount!$F$6:$F$88,"Software")</f>
        <v>0</v>
      </c>
      <c r="L9" s="781">
        <f>SUMIFS(Headcount!$B$6:$B$88,Headcount!$H$6:$H$88,"&gt;"&amp;K3,Headcount!$H$6:$H$88,"&lt;="&amp;L3,Headcount!$F$6:$F$88,"Software")</f>
        <v>0</v>
      </c>
      <c r="M9" s="781">
        <f>SUMIFS(Headcount!$B$6:$B$88,Headcount!$H$6:$H$88,"&gt;"&amp;L3,Headcount!$H$6:$H$88,"&lt;="&amp;M3,Headcount!$F$6:$F$88,"Software")</f>
        <v>0</v>
      </c>
      <c r="N9" s="781">
        <f>SUMIFS(Headcount!$B$6:$B$88,Headcount!$H$6:$H$88,"&gt;"&amp;M3,Headcount!$H$6:$H$88,"&lt;="&amp;N3,Headcount!$F$6:$F$88,"Software")</f>
        <v>0</v>
      </c>
      <c r="O9" s="781">
        <f>SUMIFS(Headcount!$B$6:$B$88,Headcount!$H$6:$H$88,"&gt;"&amp;N3,Headcount!$H$6:$H$88,"&lt;="&amp;O3,Headcount!$F$6:$F$88,"Software")</f>
        <v>0</v>
      </c>
      <c r="P9" s="781">
        <f>SUMIFS(Headcount!$B$6:$B$88,Headcount!$H$6:$H$88,"&gt;"&amp;O3,Headcount!$H$6:$H$88,"&lt;="&amp;P3,Headcount!$F$6:$F$88,"Software")</f>
        <v>0</v>
      </c>
      <c r="Q9" s="781">
        <f>SUMIFS(Headcount!$B$6:$B$88,Headcount!$H$6:$H$88,"&gt;"&amp;P3,Headcount!$H$6:$H$88,"&lt;="&amp;Q3,Headcount!$F$6:$F$88,"Software")</f>
        <v>0</v>
      </c>
      <c r="R9" s="781">
        <f>SUMIFS(Headcount!$B$6:$B$88,Headcount!$H$6:$H$88,"&gt;"&amp;Q3,Headcount!$H$6:$H$88,"&lt;="&amp;R3,Headcount!$F$6:$F$88,"Software")</f>
        <v>0</v>
      </c>
      <c r="S9" s="781">
        <f>SUMIFS(Headcount!$B$6:$B$88,Headcount!$H$6:$H$88,"&gt;"&amp;R3,Headcount!$H$6:$H$88,"&lt;="&amp;S3,Headcount!$F$6:$F$88,"Software")</f>
        <v>0</v>
      </c>
      <c r="T9" s="781">
        <f>SUMIFS(Headcount!$B$6:$B$88,Headcount!$H$6:$H$88,"&gt;"&amp;S3,Headcount!$H$6:$H$88,"&lt;="&amp;T3,Headcount!$F$6:$F$88,"Software")</f>
        <v>0</v>
      </c>
      <c r="U9" s="781">
        <f>SUMIFS(Headcount!$B$6:$B$88,Headcount!$H$6:$H$88,"&gt;"&amp;T3,Headcount!$H$6:$H$88,"&lt;="&amp;U3,Headcount!$F$6:$F$88,"Software")</f>
        <v>0</v>
      </c>
      <c r="V9" s="781">
        <f>SUMIFS(Headcount!$B$6:$B$88,Headcount!$H$6:$H$88,"&gt;"&amp;U3,Headcount!$H$6:$H$88,"&lt;="&amp;V3,Headcount!$F$6:$F$88,"Software")</f>
        <v>0</v>
      </c>
      <c r="W9" s="781">
        <f>SUMIFS(Headcount!$B$6:$B$88,Headcount!$H$6:$H$88,"&gt;"&amp;V3,Headcount!$H$6:$H$88,"&lt;="&amp;W3,Headcount!$F$6:$F$88,"Software")</f>
        <v>1</v>
      </c>
      <c r="X9" s="781">
        <f>SUMIFS(Headcount!$B$6:$B$88,Headcount!$H$6:$H$88,"&gt;"&amp;W3,Headcount!$H$6:$H$88,"&lt;="&amp;X3,Headcount!$F$6:$F$88,"Software")</f>
        <v>0</v>
      </c>
      <c r="Y9" s="781">
        <f>SUMIFS(Headcount!$B$6:$B$88,Headcount!$H$6:$H$88,"&gt;"&amp;X3,Headcount!$H$6:$H$88,"&lt;="&amp;Y3,Headcount!$F$6:$F$88,"Software")</f>
        <v>0</v>
      </c>
      <c r="Z9" s="781">
        <f>SUMIFS(Headcount!$B$6:$B$88,Headcount!$H$6:$H$88,"&gt;"&amp;Y3,Headcount!$H$6:$H$88,"&lt;="&amp;Z3,Headcount!$F$6:$F$88,"Software")</f>
        <v>0</v>
      </c>
      <c r="AA9" s="781">
        <f>SUMIFS(Headcount!$B$6:$B$88,Headcount!$H$6:$H$88,"&gt;"&amp;Z3,Headcount!$H$6:$H$88,"&lt;="&amp;AA3,Headcount!$F$6:$F$88,"Software")</f>
        <v>0</v>
      </c>
      <c r="AB9" s="781">
        <f>SUMIFS(Headcount!$B$6:$B$88,Headcount!$H$6:$H$88,"&gt;"&amp;AA3,Headcount!$H$6:$H$88,"&lt;="&amp;AB3,Headcount!$F$6:$F$88,"Software")</f>
        <v>0</v>
      </c>
      <c r="AC9" s="781">
        <f>SUMIFS(Headcount!$B$6:$B$88,Headcount!$H$6:$H$88,"&gt;"&amp;AB3,Headcount!$H$6:$H$88,"&lt;="&amp;AC3,Headcount!$F$6:$F$88,"Software")</f>
        <v>0</v>
      </c>
      <c r="AD9" s="781">
        <f>SUMIFS(Headcount!$B$6:$B$88,Headcount!$H$6:$H$88,"&gt;"&amp;AC3,Headcount!$H$6:$H$88,"&lt;="&amp;AD3,Headcount!$F$6:$F$88,"Software")</f>
        <v>0</v>
      </c>
      <c r="AE9" s="781">
        <f>SUMIFS(Headcount!$B$6:$B$88,Headcount!$H$6:$H$88,"&gt;"&amp;AD3,Headcount!$H$6:$H$88,"&lt;="&amp;AE3,Headcount!$F$6:$F$88,"Software")</f>
        <v>0</v>
      </c>
      <c r="AF9" s="781">
        <f>SUMIFS(Headcount!$B$6:$B$88,Headcount!$H$6:$H$88,"&gt;"&amp;AE3,Headcount!$H$6:$H$88,"&lt;="&amp;AF3,Headcount!$F$6:$F$88,"Software")</f>
        <v>0</v>
      </c>
      <c r="AG9" s="781">
        <f>SUMIFS(Headcount!$B$6:$B$88,Headcount!$H$6:$H$88,"&gt;"&amp;AF3,Headcount!$H$6:$H$88,"&lt;="&amp;AG3,Headcount!$F$6:$F$88,"Software")</f>
        <v>0</v>
      </c>
      <c r="AH9" s="781">
        <f>SUMIFS(Headcount!$B$6:$B$88,Headcount!$H$6:$H$88,"&gt;"&amp;AG3,Headcount!$H$6:$H$88,"&lt;="&amp;AH3,Headcount!$F$6:$F$88,"Software")</f>
        <v>0</v>
      </c>
      <c r="AI9" s="781">
        <f>SUMIFS(Headcount!$B$6:$B$88,Headcount!$H$6:$H$88,"&gt;"&amp;AH3,Headcount!$H$6:$H$88,"&lt;="&amp;AI3,Headcount!$F$6:$F$88,"Software")</f>
        <v>0</v>
      </c>
      <c r="AJ9" s="781">
        <f>SUMIFS(Headcount!$B$6:$B$88,Headcount!$H$6:$H$88,"&gt;"&amp;AI3,Headcount!$H$6:$H$88,"&lt;="&amp;AJ3,Headcount!$F$6:$F$88,"Software")</f>
        <v>0</v>
      </c>
      <c r="AK9" s="781">
        <f>SUMIFS(Headcount!$B$6:$B$88,Headcount!$H$6:$H$88,"&gt;"&amp;AJ3,Headcount!$H$6:$H$88,"&lt;="&amp;AK3,Headcount!$F$6:$F$88,"Software")</f>
        <v>0</v>
      </c>
      <c r="AL9" s="781">
        <f>SUMIFS(Headcount!$B$6:$B$88,Headcount!$H$6:$H$88,"&gt;"&amp;AK3,Headcount!$H$6:$H$88,"&lt;="&amp;AL3,Headcount!$F$6:$F$88,"Software")</f>
        <v>0</v>
      </c>
      <c r="AM9" s="781">
        <f>SUMIFS(Headcount!$B$6:$B$88,Headcount!$H$6:$H$88,"&gt;"&amp;AL3,Headcount!$H$6:$H$88,"&lt;="&amp;AM3,Headcount!$F$6:$F$88,"Software")</f>
        <v>0</v>
      </c>
      <c r="AN9" s="781">
        <f>SUMIFS(Headcount!$B$6:$B$88,Headcount!$H$6:$H$88,"&gt;"&amp;AM3,Headcount!$H$6:$H$88,"&lt;="&amp;AN3,Headcount!$F$6:$F$88,"Software")</f>
        <v>0</v>
      </c>
      <c r="AO9" s="781">
        <f>SUMIFS(Headcount!$B$6:$B$88,Headcount!$H$6:$H$88,"&gt;"&amp;AN3,Headcount!$H$6:$H$88,"&lt;="&amp;AO3,Headcount!$F$6:$F$88,"Software")</f>
        <v>0</v>
      </c>
      <c r="AP9" s="781">
        <f>SUMIFS(Headcount!$B$6:$B$88,Headcount!$H$6:$H$88,"&gt;"&amp;AO3,Headcount!$H$6:$H$88,"&lt;="&amp;AP3,Headcount!$F$6:$F$88,"Software")</f>
        <v>0</v>
      </c>
      <c r="AQ9" s="781">
        <f>SUMIFS(Headcount!$B$6:$B$88,Headcount!$H$6:$H$88,"&gt;"&amp;AP3,Headcount!$H$6:$H$88,"&lt;="&amp;AQ3,Headcount!$F$6:$F$88,"Software")</f>
        <v>0</v>
      </c>
      <c r="AR9" s="781">
        <f>SUMIFS(Headcount!$B$6:$B$88,Headcount!$H$6:$H$88,"&gt;"&amp;AQ3,Headcount!$H$6:$H$88,"&lt;="&amp;AR3,Headcount!$F$6:$F$88,"Software")</f>
        <v>0</v>
      </c>
      <c r="AS9" s="781">
        <f>SUMIFS(Headcount!$B$6:$B$88,Headcount!$H$6:$H$88,"&gt;"&amp;AR3,Headcount!$H$6:$H$88,"&lt;="&amp;AS3,Headcount!$F$6:$F$88,"Software")</f>
        <v>0</v>
      </c>
      <c r="AT9" s="781">
        <f>SUMIFS(Headcount!$B$6:$B$88,Headcount!$H$6:$H$88,"&gt;"&amp;AS3,Headcount!$H$6:$H$88,"&lt;="&amp;AT3,Headcount!$F$6:$F$88,"Software")</f>
        <v>0</v>
      </c>
      <c r="AU9" s="781">
        <f>SUMIFS(Headcount!$B$6:$B$88,Headcount!$H$6:$H$88,"&gt;"&amp;AT3,Headcount!$H$6:$H$88,"&lt;="&amp;AU3,Headcount!$F$6:$F$88,"Software")</f>
        <v>0</v>
      </c>
      <c r="AV9" s="781">
        <f>SUMIFS(Headcount!$B$6:$B$88,Headcount!$H$6:$H$88,"&gt;"&amp;AU3,Headcount!$H$6:$H$88,"&lt;="&amp;AV3,Headcount!$F$6:$F$88,"Software")</f>
        <v>0</v>
      </c>
      <c r="AW9" s="781">
        <f>SUMIFS(Headcount!$B$6:$B$88,Headcount!$H$6:$H$88,"&gt;"&amp;AV3,Headcount!$H$6:$H$88,"&lt;="&amp;AW3,Headcount!$F$6:$F$88,"Software")</f>
        <v>0</v>
      </c>
      <c r="AX9" s="781">
        <f>SUMIFS(Headcount!$B$6:$B$88,Headcount!$H$6:$H$88,"&gt;"&amp;AW3,Headcount!$H$6:$H$88,"&lt;="&amp;AX3,Headcount!$F$6:$F$88,"Software")</f>
        <v>0</v>
      </c>
      <c r="AY9" s="781">
        <f>SUMIFS(Headcount!$B$6:$B$88,Headcount!$H$6:$H$88,"&gt;"&amp;AX3,Headcount!$H$6:$H$88,"&lt;="&amp;AY3,Headcount!$F$6:$F$88,"Software")</f>
        <v>0</v>
      </c>
      <c r="AZ9" s="781">
        <f>SUMIFS(Headcount!$B$6:$B$88,Headcount!$H$6:$H$88,"&gt;"&amp;AY3,Headcount!$H$6:$H$88,"&lt;="&amp;AZ3,Headcount!$F$6:$F$88,"Software")</f>
        <v>0</v>
      </c>
      <c r="BA9" s="781">
        <f>SUMIFS(Headcount!$B$6:$B$88,Headcount!$H$6:$H$88,"&gt;"&amp;AZ3,Headcount!$H$6:$H$88,"&lt;="&amp;BA3,Headcount!$F$6:$F$88,"Software")</f>
        <v>0</v>
      </c>
      <c r="BB9" s="781">
        <f>SUMIFS(Headcount!$B$6:$B$88,Headcount!$H$6:$H$88,"&gt;"&amp;BA3,Headcount!$H$6:$H$88,"&lt;="&amp;BB3,Headcount!$F$6:$F$88,"Software")</f>
        <v>0</v>
      </c>
      <c r="BC9" s="781">
        <f>SUMIFS(Headcount!$B$6:$B$88,Headcount!$H$6:$H$88,"&gt;"&amp;BB3,Headcount!$H$6:$H$88,"&lt;="&amp;BC3,Headcount!$F$6:$F$88,"Software")</f>
        <v>0</v>
      </c>
      <c r="BD9" s="781">
        <f>SUMIFS(Headcount!$B$6:$B$88,Headcount!$H$6:$H$88,"&gt;"&amp;BC3,Headcount!$H$6:$H$88,"&lt;="&amp;BD3,Headcount!$F$6:$F$88,"Software")</f>
        <v>0</v>
      </c>
      <c r="BE9" s="781">
        <f>SUMIFS(Headcount!$B$6:$B$88,Headcount!$H$6:$H$88,"&gt;"&amp;BD3,Headcount!$H$6:$H$88,"&lt;="&amp;BE3,Headcount!$F$6:$F$88,"Software")</f>
        <v>0</v>
      </c>
      <c r="BF9" s="781">
        <f>SUMIFS(Headcount!$B$6:$B$88,Headcount!$H$6:$H$88,"&gt;"&amp;BE3,Headcount!$H$6:$H$88,"&lt;="&amp;BF3,Headcount!$F$6:$F$88,"Software")</f>
        <v>0</v>
      </c>
      <c r="BG9" s="781">
        <f>SUMIFS(Headcount!$B$6:$B$88,Headcount!$H$6:$H$88,"&gt;"&amp;BF3,Headcount!$H$6:$H$88,"&lt;="&amp;BG3,Headcount!$F$6:$F$88,"Software")</f>
        <v>0</v>
      </c>
      <c r="BH9" s="781">
        <f>SUMIFS(Headcount!$B$6:$B$88,Headcount!$H$6:$H$88,"&gt;"&amp;BG3,Headcount!$H$6:$H$88,"&lt;="&amp;BH3,Headcount!$F$6:$F$88,"Software")</f>
        <v>0</v>
      </c>
      <c r="BI9" s="781">
        <f>SUMIFS(Headcount!$B$6:$B$88,Headcount!$H$6:$H$88,"&gt;"&amp;BH3,Headcount!$H$6:$H$88,"&lt;="&amp;BI3,Headcount!$F$6:$F$88,"Software")</f>
        <v>0</v>
      </c>
      <c r="BJ9" s="781">
        <f>SUMIFS(Headcount!$B$6:$B$88,Headcount!$H$6:$H$88,"&gt;"&amp;BI3,Headcount!$H$6:$H$88,"&lt;="&amp;BJ3,Headcount!$F$6:$F$88,"Software")</f>
        <v>0</v>
      </c>
      <c r="BK9" s="781">
        <f>SUMIFS(Headcount!$B$6:$B$88,Headcount!$H$6:$H$88,"&gt;"&amp;BJ3,Headcount!$H$6:$H$88,"&lt;="&amp;BK3,Headcount!$F$6:$F$88,"Software")</f>
        <v>0</v>
      </c>
      <c r="BL9" s="781">
        <f>SUMIFS(Headcount!$B$6:$B$88,Headcount!$H$6:$H$88,"&gt;"&amp;BK3,Headcount!$H$6:$H$88,"&lt;="&amp;BL3,Headcount!$F$6:$F$88,"Software")</f>
        <v>0</v>
      </c>
      <c r="BM9" s="781">
        <f>SUMIFS(Headcount!$B$6:$B$88,Headcount!$H$6:$H$88,"&gt;"&amp;BL3,Headcount!$H$6:$H$88,"&lt;="&amp;BM3,Headcount!$F$6:$F$88,"Software")</f>
        <v>0</v>
      </c>
      <c r="BN9" s="781">
        <f>SUMIFS(Headcount!$B$6:$B$88,Headcount!$H$6:$H$88,"&gt;"&amp;BM3,Headcount!$H$6:$H$88,"&lt;="&amp;BN3,Headcount!$F$6:$F$88,"Software")</f>
        <v>0</v>
      </c>
      <c r="BO9" s="781">
        <f>SUMIFS(Headcount!$B$6:$B$88,Headcount!$H$6:$H$88,"&gt;"&amp;BN3,Headcount!$H$6:$H$88,"&lt;="&amp;BO3,Headcount!$F$6:$F$88,"Software")</f>
        <v>0</v>
      </c>
      <c r="BP9" s="781">
        <f>SUMIFS(Headcount!$B$6:$B$88,Headcount!$H$6:$H$88,"&gt;"&amp;BO3,Headcount!$H$6:$H$88,"&lt;="&amp;BP3,Headcount!$F$6:$F$88,"Software")</f>
        <v>0</v>
      </c>
      <c r="BQ9" s="781">
        <f>SUMIFS(Headcount!$B$6:$B$88,Headcount!$H$6:$H$88,"&gt;"&amp;BP3,Headcount!$H$6:$H$88,"&lt;="&amp;BQ3,Headcount!$F$6:$F$88,"Software")</f>
        <v>0</v>
      </c>
      <c r="BR9" s="781">
        <f>SUMIFS(Headcount!$B$6:$B$88,Headcount!$H$6:$H$88,"&gt;"&amp;BQ3,Headcount!$H$6:$H$88,"&lt;="&amp;BR3,Headcount!$F$6:$F$88,"Software")</f>
        <v>0</v>
      </c>
      <c r="BS9" s="781">
        <f>SUMIFS(Headcount!$B$6:$B$88,Headcount!$H$6:$H$88,"&gt;"&amp;BR3,Headcount!$H$6:$H$88,"&lt;="&amp;BS3,Headcount!$F$6:$F$88,"Software")</f>
        <v>0</v>
      </c>
      <c r="BT9" s="781">
        <f>SUMIFS(Headcount!$B$6:$B$88,Headcount!$H$6:$H$88,"&gt;"&amp;BS3,Headcount!$H$6:$H$88,"&lt;="&amp;BT3,Headcount!$F$6:$F$88,"Software")</f>
        <v>0</v>
      </c>
      <c r="BU9" s="781">
        <f>SUMIFS(Headcount!$B$6:$B$88,Headcount!$H$6:$H$88,"&gt;"&amp;BT3,Headcount!$H$6:$H$88,"&lt;="&amp;BU3,Headcount!$F$6:$F$88,"Software")</f>
        <v>0</v>
      </c>
      <c r="BV9" s="782">
        <f>SUMIFS(Headcount!$B$6:$B$88,Headcount!$H$6:$H$88,"&gt;"&amp;BU3,Headcount!$H$6:$H$88,"&lt;="&amp;BV3,Headcount!$F$6:$F$88,"Software")</f>
        <v>0</v>
      </c>
    </row>
    <row r="10" spans="2:75" x14ac:dyDescent="0.25">
      <c r="B10" s="783"/>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784"/>
    </row>
    <row r="11" spans="2:75" x14ac:dyDescent="0.25">
      <c r="B11" s="785" t="s">
        <v>926</v>
      </c>
      <c r="C11" s="786"/>
      <c r="D11" s="786"/>
      <c r="E11" s="786"/>
      <c r="F11" s="786"/>
      <c r="G11" s="786"/>
      <c r="H11" s="786"/>
      <c r="I11" s="786"/>
      <c r="J11" s="786"/>
      <c r="K11" s="786"/>
      <c r="L11" s="786"/>
      <c r="M11" s="786"/>
      <c r="N11" s="786"/>
      <c r="O11" s="787"/>
      <c r="P11" s="787"/>
      <c r="Q11" s="787"/>
      <c r="R11" s="787"/>
      <c r="S11" s="787"/>
      <c r="T11" s="787"/>
      <c r="U11" s="787"/>
      <c r="V11" s="787"/>
      <c r="W11" s="787"/>
      <c r="X11" s="787"/>
      <c r="Y11" s="787"/>
      <c r="Z11" s="787"/>
      <c r="AA11" s="787"/>
      <c r="AB11" s="787"/>
      <c r="AC11" s="787"/>
      <c r="AD11" s="787"/>
      <c r="AE11" s="787"/>
      <c r="AF11" s="787"/>
      <c r="AG11" s="787"/>
      <c r="AH11" s="787"/>
      <c r="AI11" s="787"/>
      <c r="AJ11" s="787"/>
      <c r="AK11" s="787"/>
      <c r="AL11" s="787"/>
      <c r="AM11" s="787"/>
      <c r="AN11" s="787"/>
      <c r="AO11" s="787"/>
      <c r="AP11" s="787"/>
      <c r="AQ11" s="787"/>
      <c r="AR11" s="787"/>
      <c r="AS11" s="787"/>
      <c r="AT11" s="787"/>
      <c r="AU11" s="787"/>
      <c r="AV11" s="787"/>
      <c r="AW11" s="787"/>
      <c r="AX11" s="787"/>
      <c r="AY11" s="787"/>
      <c r="AZ11" s="787"/>
      <c r="BA11" s="787"/>
      <c r="BB11" s="787"/>
      <c r="BC11" s="787"/>
      <c r="BD11" s="787"/>
      <c r="BE11" s="787"/>
      <c r="BF11" s="787"/>
      <c r="BG11" s="787"/>
      <c r="BH11" s="787"/>
      <c r="BI11" s="787"/>
      <c r="BJ11" s="787"/>
      <c r="BK11" s="787"/>
      <c r="BL11" s="787"/>
      <c r="BM11" s="787"/>
      <c r="BN11" s="787"/>
      <c r="BO11" s="787"/>
      <c r="BP11" s="787"/>
      <c r="BQ11" s="787"/>
      <c r="BR11" s="787"/>
      <c r="BS11" s="787"/>
      <c r="BT11" s="787"/>
      <c r="BU11" s="787"/>
      <c r="BV11" s="788"/>
    </row>
    <row r="12" spans="2:75" x14ac:dyDescent="0.25">
      <c r="B12" s="780" t="s">
        <v>927</v>
      </c>
      <c r="C12" s="1139">
        <f>IF(C$4="forecast",IF(YEAR(C$3)=YEAR(Headcount!$N$4),((SUMIFS(Headcount!$N$6:$N$89,Headcount!$F$6:$F$89,"Software",Headcount!$H$6:$H$89,"&gt;="&amp;Software!C$3)/12)),IF(YEAR(C$3)=YEAR(Headcount!$O$4),IF((C$5=2),((SUMIFS(Headcount!$O$6:$O$89,Headcount!$F$6:$F$89,"Software",Headcount!$H$6:$H$89,"&gt;="&amp;Software!C$3)/12)),B12),IF(YEAR(C$3)=YEAR(Headcount!$P$4),IF((C$5=2),((SUMIFS(Headcount!$P$6:$P$89,Headcount!$F$6:$F$89,"Software",Headcount!$H$6:$H$89,"&gt;="&amp;Software!C$3)/12)),B12),IF(YEAR(C$3)=YEAR(Headcount!$Q$4),IF((C$5=2),((SUMIFS(Headcount!$Q$6:$Q$89,Headcount!$F$6:$F$89,"Software",Headcount!$H$6:$H$89,"&gt;="&amp;Software!C$3)/12)),B12),IF(YEAR(C$3)=YEAR(Headcount!$R$4),IF((C$5=2),((SUMIFS(Headcount!$R$6:$R$89,Headcount!$F$6:$F$89,"Software",Headcount!$H$6:$H$89,"&gt;="&amp;Software!C$3)/12)),B12),"New Year"))))),SUMIF('Dept. Cost Actuals'!$E$7:$E$176,"*salary*",'Dept. Cost Actuals'!G$355:G$524))</f>
        <v>44281.53</v>
      </c>
      <c r="D12" s="1139">
        <f>IF(D$4="forecast",IF(YEAR(D$3)=YEAR(Headcount!$N$4),((SUMIFS(Headcount!$N$6:$N$89,Headcount!$F$6:$F$89,"Software",Headcount!$H$6:$H$89,"&gt;="&amp;Software!D$3)/12)),IF(YEAR(D$3)=YEAR(Headcount!$O$4),IF((D$5=2),((SUMIFS(Headcount!$O$6:$O$89,Headcount!$F$6:$F$89,"Software",Headcount!$H$6:$H$89,"&gt;="&amp;Software!D$3)/12)),C12),IF(YEAR(D$3)=YEAR(Headcount!$P$4),IF((D$5=2),((SUMIFS(Headcount!$P$6:$P$89,Headcount!$F$6:$F$89,"Software",Headcount!$H$6:$H$89,"&gt;="&amp;Software!D$3)/12)),C12),IF(YEAR(D$3)=YEAR(Headcount!$Q$4),IF((D$5=2),((SUMIFS(Headcount!$Q$6:$Q$89,Headcount!$F$6:$F$89,"Software",Headcount!$H$6:$H$89,"&gt;="&amp;Software!D$3)/12)),C12),IF(YEAR(D$3)=YEAR(Headcount!$R$4),IF((D$5=2),((SUMIFS(Headcount!$R$6:$R$89,Headcount!$F$6:$F$89,"Software",Headcount!$H$6:$H$89,"&gt;="&amp;Software!D$3)/12)),C12),"New Year"))))),SUMIF('Dept. Cost Actuals'!$E$7:$E$176,"*salary*",'Dept. Cost Actuals'!H$355:H$524))</f>
        <v>38178.959999999999</v>
      </c>
      <c r="E12" s="1139">
        <f>IF(E$4="forecast",IF(YEAR(E$3)=YEAR(Headcount!$N$4),((SUMIFS(Headcount!$N$6:$N$89,Headcount!$F$6:$F$89,"Software",Headcount!$H$6:$H$89,"&gt;="&amp;Software!E$3)/12)),IF(YEAR(E$3)=YEAR(Headcount!$O$4),IF((E$5=2),((SUMIFS(Headcount!$O$6:$O$89,Headcount!$F$6:$F$89,"Software",Headcount!$H$6:$H$89,"&gt;="&amp;Software!E$3)/12)),D12),IF(YEAR(E$3)=YEAR(Headcount!$P$4),IF((E$5=2),((SUMIFS(Headcount!$P$6:$P$89,Headcount!$F$6:$F$89,"Software",Headcount!$H$6:$H$89,"&gt;="&amp;Software!E$3)/12)),D12),IF(YEAR(E$3)=YEAR(Headcount!$Q$4),IF((E$5=2),((SUMIFS(Headcount!$Q$6:$Q$89,Headcount!$F$6:$F$89,"Software",Headcount!$H$6:$H$89,"&gt;="&amp;Software!E$3)/12)),D12),IF(YEAR(E$3)=YEAR(Headcount!$R$4),IF((E$5=2),((SUMIFS(Headcount!$R$6:$R$89,Headcount!$F$6:$F$89,"Software",Headcount!$H$6:$H$89,"&gt;="&amp;Software!E$3)/12)),D12),"New Year"))))),SUMIF('Dept. Cost Actuals'!$E$7:$E$176,"*salary*",'Dept. Cost Actuals'!I$355:I$524))</f>
        <v>45621.25</v>
      </c>
      <c r="F12" s="1139">
        <f>IF(F$4="forecast",IF(YEAR(F$3)=YEAR(Headcount!$N$4),((SUMIFS(Headcount!$N$6:$N$89,Headcount!$F$6:$F$89,"Software",Headcount!$H$6:$H$89,"&gt;="&amp;Software!F$3)/12)),IF(YEAR(F$3)=YEAR(Headcount!$O$4),IF((F$5=2),((SUMIFS(Headcount!$O$6:$O$89,Headcount!$F$6:$F$89,"Software",Headcount!$H$6:$H$89,"&gt;="&amp;Software!F$3)/12)),E12),IF(YEAR(F$3)=YEAR(Headcount!$P$4),IF((F$5=2),((SUMIFS(Headcount!$P$6:$P$89,Headcount!$F$6:$F$89,"Software",Headcount!$H$6:$H$89,"&gt;="&amp;Software!F$3)/12)),E12),IF(YEAR(F$3)=YEAR(Headcount!$Q$4),IF((F$5=2),((SUMIFS(Headcount!$Q$6:$Q$89,Headcount!$F$6:$F$89,"Software",Headcount!$H$6:$H$89,"&gt;="&amp;Software!F$3)/12)),E12),IF(YEAR(F$3)=YEAR(Headcount!$R$4),IF((F$5=2),((SUMIFS(Headcount!$R$6:$R$89,Headcount!$F$6:$F$89,"Software",Headcount!$H$6:$H$89,"&gt;="&amp;Software!F$3)/12)),E12),"New Year"))))),SUMIF('Dept. Cost Actuals'!$E$7:$E$176,"*salary*",'Dept. Cost Actuals'!J$355:J$524))</f>
        <v>48563.58</v>
      </c>
      <c r="G12" s="1139">
        <f>IF(G$4="forecast",IF(YEAR(G$3)=YEAR(Headcount!$N$4),((SUMIFS(Headcount!$N$6:$N$89,Headcount!$F$6:$F$89,"Software",Headcount!$H$6:$H$89,"&gt;="&amp;Software!G$3)/12)),IF(YEAR(G$3)=YEAR(Headcount!$O$4),IF((G$5=2),((SUMIFS(Headcount!$O$6:$O$89,Headcount!$F$6:$F$89,"Software",Headcount!$H$6:$H$89,"&gt;="&amp;Software!G$3)/12)),F12),IF(YEAR(G$3)=YEAR(Headcount!$P$4),IF((G$5=2),((SUMIFS(Headcount!$P$6:$P$89,Headcount!$F$6:$F$89,"Software",Headcount!$H$6:$H$89,"&gt;="&amp;Software!G$3)/12)),F12),IF(YEAR(G$3)=YEAR(Headcount!$Q$4),IF((G$5=2),((SUMIFS(Headcount!$Q$6:$Q$89,Headcount!$F$6:$F$89,"Software",Headcount!$H$6:$H$89,"&gt;="&amp;Software!G$3)/12)),F12),IF(YEAR(G$3)=YEAR(Headcount!$R$4),IF((G$5=2),((SUMIFS(Headcount!$R$6:$R$89,Headcount!$F$6:$F$89,"Software",Headcount!$H$6:$H$89,"&gt;="&amp;Software!G$3)/12)),F12),"New Year"))))),SUMIF('Dept. Cost Actuals'!$E$7:$E$176,"*salary*",'Dept. Cost Actuals'!K$355:K$524))</f>
        <v>45951.17</v>
      </c>
      <c r="H12" s="1139">
        <f>IF(H$4="forecast",IF(YEAR(H$3)=YEAR(Headcount!$N$4),((SUMIFS(Headcount!$N$6:$N$89,Headcount!$F$6:$F$89,"Software",Headcount!$H$6:$H$89,"&gt;="&amp;Software!H$3)/12)),IF(YEAR(H$3)=YEAR(Headcount!$O$4),IF((H$5=2),((SUMIFS(Headcount!$O$6:$O$89,Headcount!$F$6:$F$89,"Software",Headcount!$H$6:$H$89,"&gt;="&amp;Software!H$3)/12)),G12),IF(YEAR(H$3)=YEAR(Headcount!$P$4),IF((H$5=2),((SUMIFS(Headcount!$P$6:$P$89,Headcount!$F$6:$F$89,"Software",Headcount!$H$6:$H$89,"&gt;="&amp;Software!H$3)/12)),G12),IF(YEAR(H$3)=YEAR(Headcount!$Q$4),IF((H$5=2),((SUMIFS(Headcount!$Q$6:$Q$89,Headcount!$F$6:$F$89,"Software",Headcount!$H$6:$H$89,"&gt;="&amp;Software!H$3)/12)),G12),IF(YEAR(H$3)=YEAR(Headcount!$R$4),IF((H$5=2),((SUMIFS(Headcount!$R$6:$R$89,Headcount!$F$6:$F$89,"Software",Headcount!$H$6:$H$89,"&gt;="&amp;Software!H$3)/12)),G12),"New Year"))))),SUMIF('Dept. Cost Actuals'!$E$7:$E$176,"*salary*",'Dept. Cost Actuals'!L$355:L$524))</f>
        <v>66236.66</v>
      </c>
      <c r="I12" s="1139">
        <f>IF(I$4="forecast",IF(YEAR(I$3)=YEAR(Headcount!$N$4),((SUMIFS(Headcount!$N$6:$N$89,Headcount!$F$6:$F$89,"Software",Headcount!$H$6:$H$89,"&gt;="&amp;Software!I$3)/12)),IF(YEAR(I$3)=YEAR(Headcount!$O$4),IF((I$5=2),((SUMIFS(Headcount!$O$6:$O$89,Headcount!$F$6:$F$89,"Software",Headcount!$H$6:$H$89,"&gt;="&amp;Software!I$3)/12)),H12),IF(YEAR(I$3)=YEAR(Headcount!$P$4),IF((I$5=2),((SUMIFS(Headcount!$P$6:$P$89,Headcount!$F$6:$F$89,"Software",Headcount!$H$6:$H$89,"&gt;="&amp;Software!I$3)/12)),H12),IF(YEAR(I$3)=YEAR(Headcount!$Q$4),IF((I$5=2),((SUMIFS(Headcount!$Q$6:$Q$89,Headcount!$F$6:$F$89,"Software",Headcount!$H$6:$H$89,"&gt;="&amp;Software!I$3)/12)),H12),IF(YEAR(I$3)=YEAR(Headcount!$R$4),IF((I$5=2),((SUMIFS(Headcount!$R$6:$R$89,Headcount!$F$6:$F$89,"Software",Headcount!$H$6:$H$89,"&gt;="&amp;Software!I$3)/12)),H12),"New Year"))))),SUMIF('Dept. Cost Actuals'!$E$7:$E$176,"*salary*",'Dept. Cost Actuals'!M$355:M$524))</f>
        <v>71140.509999999995</v>
      </c>
      <c r="J12" s="1139">
        <f>IF(J$4="forecast",IF(YEAR(J$3)=YEAR(Headcount!$N$4),((SUMIFS(Headcount!$N$6:$N$89,Headcount!$F$6:$F$89,"Software",Headcount!$H$6:$H$89,"&gt;="&amp;Software!J$3)/12)),IF(YEAR(J$3)=YEAR(Headcount!$O$4),IF((J$5=2),((SUMIFS(Headcount!$O$6:$O$89,Headcount!$F$6:$F$89,"Software",Headcount!$H$6:$H$89,"&gt;="&amp;Software!J$3)/12)),I12),IF(YEAR(J$3)=YEAR(Headcount!$P$4),IF((J$5=2),((SUMIFS(Headcount!$P$6:$P$89,Headcount!$F$6:$F$89,"Software",Headcount!$H$6:$H$89,"&gt;="&amp;Software!J$3)/12)),I12),IF(YEAR(J$3)=YEAR(Headcount!$Q$4),IF((J$5=2),((SUMIFS(Headcount!$Q$6:$Q$89,Headcount!$F$6:$F$89,"Software",Headcount!$H$6:$H$89,"&gt;="&amp;Software!J$3)/12)),I12),IF(YEAR(J$3)=YEAR(Headcount!$R$4),IF((J$5=2),((SUMIFS(Headcount!$R$6:$R$89,Headcount!$F$6:$F$89,"Software",Headcount!$H$6:$H$89,"&gt;="&amp;Software!J$3)/12)),I12),"New Year"))))),SUMIF('Dept. Cost Actuals'!$E$7:$E$176,"*salary*",'Dept. Cost Actuals'!N$355:N$524))</f>
        <v>84309.07</v>
      </c>
      <c r="K12" s="1139">
        <f>IF(K$4="forecast",IF(YEAR(K$3)=YEAR(Headcount!$N$4),((SUMIFS(Headcount!$N$6:$N$89,Headcount!$F$6:$F$89,"Software",Headcount!$H$6:$H$89,"&gt;="&amp;Software!K$3)/12)),IF(YEAR(K$3)=YEAR(Headcount!$O$4),IF((K$5=2),((SUMIFS(Headcount!$O$6:$O$89,Headcount!$F$6:$F$89,"Software",Headcount!$H$6:$H$89,"&gt;="&amp;Software!K$3)/12)),J12),IF(YEAR(K$3)=YEAR(Headcount!$P$4),IF((K$5=2),((SUMIFS(Headcount!$P$6:$P$89,Headcount!$F$6:$F$89,"Software",Headcount!$H$6:$H$89,"&gt;="&amp;Software!K$3)/12)),J12),IF(YEAR(K$3)=YEAR(Headcount!$Q$4),IF((K$5=2),((SUMIFS(Headcount!$Q$6:$Q$89,Headcount!$F$6:$F$89,"Software",Headcount!$H$6:$H$89,"&gt;="&amp;Software!K$3)/12)),J12),IF(YEAR(K$3)=YEAR(Headcount!$R$4),IF((K$5=2),((SUMIFS(Headcount!$R$6:$R$89,Headcount!$F$6:$F$89,"Software",Headcount!$H$6:$H$89,"&gt;="&amp;Software!K$3)/12)),J12),"New Year"))))),SUMIF('Dept. Cost Actuals'!$E$7:$E$176,"*salary*",'Dept. Cost Actuals'!O$355:O$524))</f>
        <v>86178.98000000001</v>
      </c>
      <c r="L12" s="1139">
        <f>IF(L$4="forecast",IF(YEAR(L$3)=YEAR(Headcount!$N$4),((SUMIFS(Headcount!$N$6:$N$89,Headcount!$F$6:$F$89,"Software",Headcount!$H$6:$H$89,"&gt;="&amp;Software!L$3)/12)),IF(YEAR(L$3)=YEAR(Headcount!$O$4),IF((L$5=2),((SUMIFS(Headcount!$O$6:$O$89,Headcount!$F$6:$F$89,"Software",Headcount!$H$6:$H$89,"&gt;="&amp;Software!L$3)/12)),K12),IF(YEAR(L$3)=YEAR(Headcount!$P$4),IF((L$5=2),((SUMIFS(Headcount!$P$6:$P$89,Headcount!$F$6:$F$89,"Software",Headcount!$H$6:$H$89,"&gt;="&amp;Software!L$3)/12)),K12),IF(YEAR(L$3)=YEAR(Headcount!$Q$4),IF((L$5=2),((SUMIFS(Headcount!$Q$6:$Q$89,Headcount!$F$6:$F$89,"Software",Headcount!$H$6:$H$89,"&gt;="&amp;Software!L$3)/12)),K12),IF(YEAR(L$3)=YEAR(Headcount!$R$4),IF((L$5=2),((SUMIFS(Headcount!$R$6:$R$89,Headcount!$F$6:$F$89,"Software",Headcount!$H$6:$H$89,"&gt;="&amp;Software!L$3)/12)),K12),"New Year"))))),SUMIF('Dept. Cost Actuals'!$E$7:$E$176,"*salary*",'Dept. Cost Actuals'!P$355:P$524))</f>
        <v>86178.98000000001</v>
      </c>
      <c r="M12" s="1139">
        <f>IF(M$4="forecast",IF(YEAR(M$3)=YEAR(Headcount!$N$4),((SUMIFS(Headcount!$N$6:$N$89,Headcount!$F$6:$F$89,"Software",Headcount!$H$6:$H$89,"&gt;="&amp;Software!M$3)/12)),IF(YEAR(M$3)=YEAR(Headcount!$O$4),IF((M$5=2),((SUMIFS(Headcount!$O$6:$O$89,Headcount!$F$6:$F$89,"Software",Headcount!$H$6:$H$89,"&gt;="&amp;Software!M$3)/12)),L12),IF(YEAR(M$3)=YEAR(Headcount!$P$4),IF((M$5=2),((SUMIFS(Headcount!$P$6:$P$89,Headcount!$F$6:$F$89,"Software",Headcount!$H$6:$H$89,"&gt;="&amp;Software!M$3)/12)),L12),IF(YEAR(M$3)=YEAR(Headcount!$Q$4),IF((M$5=2),((SUMIFS(Headcount!$Q$6:$Q$89,Headcount!$F$6:$F$89,"Software",Headcount!$H$6:$H$89,"&gt;="&amp;Software!M$3)/12)),L12),IF(YEAR(M$3)=YEAR(Headcount!$R$4),IF((M$5=2),((SUMIFS(Headcount!$R$6:$R$89,Headcount!$F$6:$F$89,"Software",Headcount!$H$6:$H$89,"&gt;="&amp;Software!M$3)/12)),L12),"New Year"))))),SUMIF('Dept. Cost Actuals'!$E$7:$E$176,"*salary*",'Dept. Cost Actuals'!Q$355:Q$524))</f>
        <v>126554.75</v>
      </c>
      <c r="N12" s="1139">
        <f>IF(N$4="forecast",IF(YEAR(N$3)=YEAR(Headcount!$N$4),((SUMIFS(Headcount!$N$6:$N$89,Headcount!$F$6:$F$89,"Software",Headcount!$H$6:$H$89,"&gt;="&amp;Software!N$3)/12)),IF(YEAR(N$3)=YEAR(Headcount!$O$4),IF((N$5=2),((SUMIFS(Headcount!$O$6:$O$89,Headcount!$F$6:$F$89,"Software",Headcount!$H$6:$H$89,"&gt;="&amp;Software!N$3)/12)),M12),IF(YEAR(N$3)=YEAR(Headcount!$P$4),IF((N$5=2),((SUMIFS(Headcount!$P$6:$P$89,Headcount!$F$6:$F$89,"Software",Headcount!$H$6:$H$89,"&gt;="&amp;Software!N$3)/12)),M12),IF(YEAR(N$3)=YEAR(Headcount!$Q$4),IF((N$5=2),((SUMIFS(Headcount!$Q$6:$Q$89,Headcount!$F$6:$F$89,"Software",Headcount!$H$6:$H$89,"&gt;="&amp;Software!N$3)/12)),M12),IF(YEAR(N$3)=YEAR(Headcount!$R$4),IF((N$5=2),((SUMIFS(Headcount!$R$6:$R$89,Headcount!$F$6:$F$89,"Software",Headcount!$H$6:$H$89,"&gt;="&amp;Software!N$3)/12)),M12),"New Year"))))),SUMIF('Dept. Cost Actuals'!$E$7:$E$176,"*salary*",'Dept. Cost Actuals'!R$355:R$524))</f>
        <v>122238.36</v>
      </c>
      <c r="O12" s="1139">
        <f>IF(O$4="forecast",IF(YEAR(O$3)=YEAR(Headcount!$N$4),((SUMIFS(Headcount!$N$6:$N$89,Headcount!$F$6:$F$89,"Software",Headcount!$H$6:$H$89,"&gt;="&amp;Software!O$3)/12)),IF(YEAR(O$3)=YEAR(Headcount!$O$4),IF((O$5=2),((SUMIFS(Headcount!$O$6:$O$89,Headcount!$F$6:$F$89,"Software",Headcount!$H$6:$H$89,"&gt;="&amp;Software!O$3)/12)),N12),IF(YEAR(O$3)=YEAR(Headcount!$P$4),IF((O$5=2),((SUMIFS(Headcount!$P$6:$P$89,Headcount!$F$6:$F$89,"Software",Headcount!$H$6:$H$89,"&gt;="&amp;Software!O$3)/12)),N12),IF(YEAR(O$3)=YEAR(Headcount!$Q$4),IF((O$5=2),((SUMIFS(Headcount!$Q$6:$Q$89,Headcount!$F$6:$F$89,"Software",Headcount!$H$6:$H$89,"&gt;="&amp;Software!O$3)/12)),N12),IF(YEAR(O$3)=YEAR(Headcount!$R$4),IF((O$5=2),((SUMIFS(Headcount!$R$6:$R$89,Headcount!$F$6:$F$89,"Software",Headcount!$H$6:$H$89,"&gt;="&amp;Software!O$3)/12)),N12),"New Year"))))),SUMIF('Dept. Cost Actuals'!$E$7:$E$176,"*salary*",'Dept. Cost Actuals'!S$355:S$524))</f>
        <v>92204.25</v>
      </c>
      <c r="P12" s="1139">
        <f>IF(P$4="forecast",IF(YEAR(P$3)=YEAR(Headcount!$N$4),((SUMIFS(Headcount!$N$6:$N$89,Headcount!$F$6:$F$89,"Software",Headcount!$H$6:$H$89,"&gt;="&amp;Software!P$3)/12)),IF(YEAR(P$3)=YEAR(Headcount!$O$4),IF((P$5=2),((SUMIFS(Headcount!$O$6:$O$89,Headcount!$F$6:$F$89,"Software",Headcount!$H$6:$H$89,"&gt;="&amp;Software!P$3)/12)),O12),IF(YEAR(P$3)=YEAR(Headcount!$P$4),IF((P$5=2),((SUMIFS(Headcount!$P$6:$P$89,Headcount!$F$6:$F$89,"Software",Headcount!$H$6:$H$89,"&gt;="&amp;Software!P$3)/12)),O12),IF(YEAR(P$3)=YEAR(Headcount!$Q$4),IF((P$5=2),((SUMIFS(Headcount!$Q$6:$Q$89,Headcount!$F$6:$F$89,"Software",Headcount!$H$6:$H$89,"&gt;="&amp;Software!P$3)/12)),O12),IF(YEAR(P$3)=YEAR(Headcount!$R$4),IF((P$5=2),((SUMIFS(Headcount!$R$6:$R$89,Headcount!$F$6:$F$89,"Software",Headcount!$H$6:$H$89,"&gt;="&amp;Software!P$3)/12)),O12),"New Year"))))),SUMIF('Dept. Cost Actuals'!$E$7:$E$176,"*salary*",'Dept. Cost Actuals'!T$355:T$524))</f>
        <v>100004.98</v>
      </c>
      <c r="Q12" s="1139">
        <f>IF(Q$4="forecast",IF(YEAR(Q$3)=YEAR(Headcount!$N$4),((SUMIFS(Headcount!$N$6:$N$89,Headcount!$F$6:$F$89,"Software",Headcount!$H$6:$H$89,"&gt;="&amp;Software!Q$3)/12)),IF(YEAR(Q$3)=YEAR(Headcount!$O$4),IF((Q$5=2),((SUMIFS(Headcount!$O$6:$O$89,Headcount!$F$6:$F$89,"Software",Headcount!$H$6:$H$89,"&gt;="&amp;Software!Q$3)/12)),P12),IF(YEAR(Q$3)=YEAR(Headcount!$P$4),IF((Q$5=2),((SUMIFS(Headcount!$P$6:$P$89,Headcount!$F$6:$F$89,"Software",Headcount!$H$6:$H$89,"&gt;="&amp;Software!Q$3)/12)),P12),IF(YEAR(Q$3)=YEAR(Headcount!$Q$4),IF((Q$5=2),((SUMIFS(Headcount!$Q$6:$Q$89,Headcount!$F$6:$F$89,"Software",Headcount!$H$6:$H$89,"&gt;="&amp;Software!Q$3)/12)),P12),IF(YEAR(Q$3)=YEAR(Headcount!$R$4),IF((Q$5=2),((SUMIFS(Headcount!$R$6:$R$89,Headcount!$F$6:$F$89,"Software",Headcount!$H$6:$H$89,"&gt;="&amp;Software!Q$3)/12)),P12),"New Year"))))),SUMIF('Dept. Cost Actuals'!$E$7:$E$176,"*salary*",'Dept. Cost Actuals'!U$355:U$524))</f>
        <v>165011.1</v>
      </c>
      <c r="R12" s="1139">
        <f>IF(R$4="forecast",IF(YEAR(R$3)=YEAR(Headcount!$N$4),((SUMIFS(Headcount!$N$6:$N$89,Headcount!$F$6:$F$89,"Software",Headcount!$H$6:$H$89,"&gt;="&amp;Software!R$3)/12)),IF(YEAR(R$3)=YEAR(Headcount!$O$4),IF((R$5=2),((SUMIFS(Headcount!$O$6:$O$89,Headcount!$F$6:$F$89,"Software",Headcount!$H$6:$H$89,"&gt;="&amp;Software!R$3)/12)),Q12),IF(YEAR(R$3)=YEAR(Headcount!$P$4),IF((R$5=2),((SUMIFS(Headcount!$P$6:$P$89,Headcount!$F$6:$F$89,"Software",Headcount!$H$6:$H$89,"&gt;="&amp;Software!R$3)/12)),Q12),IF(YEAR(R$3)=YEAR(Headcount!$Q$4),IF((R$5=2),((SUMIFS(Headcount!$Q$6:$Q$89,Headcount!$F$6:$F$89,"Software",Headcount!$H$6:$H$89,"&gt;="&amp;Software!R$3)/12)),Q12),IF(YEAR(R$3)=YEAR(Headcount!$R$4),IF((R$5=2),((SUMIFS(Headcount!$R$6:$R$89,Headcount!$F$6:$F$89,"Software",Headcount!$H$6:$H$89,"&gt;="&amp;Software!R$3)/12)),Q12),"New Year"))))),SUMIF('Dept. Cost Actuals'!$E$7:$E$176,"*salary*",'Dept. Cost Actuals'!V$355:V$524))</f>
        <v>151891.85</v>
      </c>
      <c r="S12" s="1139">
        <f>IF(S$4="forecast",IF(YEAR(S$3)=YEAR(Headcount!$N$4),((SUMIFS(Headcount!$N$6:$N$89,Headcount!$F$6:$F$89,"Software",Headcount!$H$6:$H$89,"&gt;="&amp;Software!S$3)/12)),IF(YEAR(S$3)=YEAR(Headcount!$O$4),IF((S$5=2),((SUMIFS(Headcount!$O$6:$O$89,Headcount!$F$6:$F$89,"Software",Headcount!$H$6:$H$89,"&gt;="&amp;Software!S$3)/12)),R12),IF(YEAR(S$3)=YEAR(Headcount!$P$4),IF((S$5=2),((SUMIFS(Headcount!$P$6:$P$89,Headcount!$F$6:$F$89,"Software",Headcount!$H$6:$H$89,"&gt;="&amp;Software!S$3)/12)),R12),IF(YEAR(S$3)=YEAR(Headcount!$Q$4),IF((S$5=2),((SUMIFS(Headcount!$Q$6:$Q$89,Headcount!$F$6:$F$89,"Software",Headcount!$H$6:$H$89,"&gt;="&amp;Software!S$3)/12)),R12),IF(YEAR(S$3)=YEAR(Headcount!$R$4),IF((S$5=2),((SUMIFS(Headcount!$R$6:$R$89,Headcount!$F$6:$F$89,"Software",Headcount!$H$6:$H$89,"&gt;="&amp;Software!S$3)/12)),R12),"New Year"))))),SUMIF('Dept. Cost Actuals'!$E$7:$E$176,"*salary*",'Dept. Cost Actuals'!W$355:W$524))</f>
        <v>142679.44</v>
      </c>
      <c r="T12" s="1139">
        <f>IF(T$4="forecast",IF(YEAR(T$3)=YEAR(Headcount!$N$4),((SUMIFS(Headcount!$N$6:$N$89,Headcount!$F$6:$F$89,"Software",Headcount!$H$6:$H$89,"&gt;="&amp;Software!T$3)/12)),IF(YEAR(T$3)=YEAR(Headcount!$O$4),IF((T$5=2),((SUMIFS(Headcount!$O$6:$O$89,Headcount!$F$6:$F$89,"Software",Headcount!$H$6:$H$89,"&gt;="&amp;Software!T$3)/12)),S12),IF(YEAR(T$3)=YEAR(Headcount!$P$4),IF((T$5=2),((SUMIFS(Headcount!$P$6:$P$89,Headcount!$F$6:$F$89,"Software",Headcount!$H$6:$H$89,"&gt;="&amp;Software!T$3)/12)),S12),IF(YEAR(T$3)=YEAR(Headcount!$Q$4),IF((T$5=2),((SUMIFS(Headcount!$Q$6:$Q$89,Headcount!$F$6:$F$89,"Software",Headcount!$H$6:$H$89,"&gt;="&amp;Software!T$3)/12)),S12),IF(YEAR(T$3)=YEAR(Headcount!$R$4),IF((T$5=2),((SUMIFS(Headcount!$R$6:$R$89,Headcount!$F$6:$F$89,"Software",Headcount!$H$6:$H$89,"&gt;="&amp;Software!T$3)/12)),S12),"New Year"))))),SUMIF('Dept. Cost Actuals'!$E$7:$E$176,"*salary*",'Dept. Cost Actuals'!X$355:X$524))</f>
        <v>125013.02</v>
      </c>
      <c r="U12" s="1139">
        <f>IF(U$4="forecast",IF(YEAR(U$3)=YEAR(Headcount!$N$4),((SUMIFS(Headcount!$N$6:$N$89,Headcount!$F$6:$F$89,"Software",Headcount!$H$6:$H$89,"&gt;="&amp;Software!U$3)/12)),IF(YEAR(U$3)=YEAR(Headcount!$O$4),IF((U$5=2),((SUMIFS(Headcount!$O$6:$O$89,Headcount!$F$6:$F$89,"Software",Headcount!$H$6:$H$89,"&gt;="&amp;Software!U$3)/12)),T12),IF(YEAR(U$3)=YEAR(Headcount!$P$4),IF((U$5=2),((SUMIFS(Headcount!$P$6:$P$89,Headcount!$F$6:$F$89,"Software",Headcount!$H$6:$H$89,"&gt;="&amp;Software!U$3)/12)),T12),IF(YEAR(U$3)=YEAR(Headcount!$Q$4),IF((U$5=2),((SUMIFS(Headcount!$Q$6:$Q$89,Headcount!$F$6:$F$89,"Software",Headcount!$H$6:$H$89,"&gt;="&amp;Software!U$3)/12)),T12),IF(YEAR(U$3)=YEAR(Headcount!$R$4),IF((U$5=2),((SUMIFS(Headcount!$R$6:$R$89,Headcount!$F$6:$F$89,"Software",Headcount!$H$6:$H$89,"&gt;="&amp;Software!U$3)/12)),T12),"New Year"))))),SUMIF('Dept. Cost Actuals'!$E$7:$E$176,"*salary*",'Dept. Cost Actuals'!Y$355:Y$524))</f>
        <v>146830.65</v>
      </c>
      <c r="V12" s="1139">
        <f>IF(V$4="forecast",IF(YEAR(V$3)=YEAR(Headcount!$N$4),((SUMIFS(Headcount!$N$6:$N$89,Headcount!$F$6:$F$89,"Software",Headcount!$H$6:$H$89,"&gt;="&amp;Software!V$3)/12)),IF(YEAR(V$3)=YEAR(Headcount!$O$4),IF((V$5=2),((SUMIFS(Headcount!$O$6:$O$89,Headcount!$F$6:$F$89,"Software",Headcount!$H$6:$H$89,"&gt;="&amp;Software!V$3)/12)),U12),IF(YEAR(V$3)=YEAR(Headcount!$P$4),IF((V$5=2),((SUMIFS(Headcount!$P$6:$P$89,Headcount!$F$6:$F$89,"Software",Headcount!$H$6:$H$89,"&gt;="&amp;Software!V$3)/12)),U12),IF(YEAR(V$3)=YEAR(Headcount!$Q$4),IF((V$5=2),((SUMIFS(Headcount!$Q$6:$Q$89,Headcount!$F$6:$F$89,"Software",Headcount!$H$6:$H$89,"&gt;="&amp;Software!V$3)/12)),U12),IF(YEAR(V$3)=YEAR(Headcount!$R$4),IF((V$5=2),((SUMIFS(Headcount!$R$6:$R$89,Headcount!$F$6:$F$89,"Software",Headcount!$H$6:$H$89,"&gt;="&amp;Software!V$3)/12)),U12),"New Year"))))),SUMIF('Dept. Cost Actuals'!$E$7:$E$176,"*salary*",'Dept. Cost Actuals'!Z$355:Z$524))</f>
        <v>141600.19</v>
      </c>
      <c r="W12" s="1139">
        <f>IF(W$4="forecast",IF(YEAR(W$3)=YEAR(Headcount!$N$4),((SUMIFS(Headcount!$N$6:$N$89,Headcount!$F$6:$F$89,"Software",Headcount!$H$6:$H$89,"&gt;="&amp;Software!W$3)/12)),IF(YEAR(W$3)=YEAR(Headcount!$O$4),IF((W$5=2),((SUMIFS(Headcount!$O$6:$O$89,Headcount!$F$6:$F$89,"Software",Headcount!$H$6:$H$89,"&gt;="&amp;Software!W$3)/12)),V12),IF(YEAR(W$3)=YEAR(Headcount!$P$4),IF((W$5=2),((SUMIFS(Headcount!$P$6:$P$89,Headcount!$F$6:$F$89,"Software",Headcount!$H$6:$H$89,"&gt;="&amp;Software!W$3)/12)),V12),IF(YEAR(W$3)=YEAR(Headcount!$Q$4),IF((W$5=2),((SUMIFS(Headcount!$Q$6:$Q$89,Headcount!$F$6:$F$89,"Software",Headcount!$H$6:$H$89,"&gt;="&amp;Software!W$3)/12)),V12),IF(YEAR(W$3)=YEAR(Headcount!$R$4),IF((W$5=2),((SUMIFS(Headcount!$R$6:$R$89,Headcount!$F$6:$F$89,"Software",Headcount!$H$6:$H$89,"&gt;="&amp;Software!W$3)/12)),V12),"New Year"))))),SUMIF('Dept. Cost Actuals'!$E$7:$E$176,"*salary*",'Dept. Cost Actuals'!AA$355:AA$524))</f>
        <v>134490.5</v>
      </c>
      <c r="X12" s="1139">
        <f>IF(X$4="forecast",IF(YEAR(X$3)=YEAR(Headcount!$N$4),((SUMIFS(Headcount!$N$6:$N$89,Headcount!$F$6:$F$89,"Software",Headcount!$H$6:$H$89,"&gt;="&amp;Software!X$3)/12)),IF(YEAR(X$3)=YEAR(Headcount!$O$4),IF((X$5=2),((SUMIFS(Headcount!$O$6:$O$89,Headcount!$F$6:$F$89,"Software",Headcount!$H$6:$H$89,"&gt;="&amp;Software!X$3)/12)),W12),IF(YEAR(X$3)=YEAR(Headcount!$P$4),IF((X$5=2),((SUMIFS(Headcount!$P$6:$P$89,Headcount!$F$6:$F$89,"Software",Headcount!$H$6:$H$89,"&gt;="&amp;Software!X$3)/12)),W12),IF(YEAR(X$3)=YEAR(Headcount!$Q$4),IF((X$5=2),((SUMIFS(Headcount!$Q$6:$Q$89,Headcount!$F$6:$F$89,"Software",Headcount!$H$6:$H$89,"&gt;="&amp;Software!X$3)/12)),W12),IF(YEAR(X$3)=YEAR(Headcount!$R$4),IF((X$5=2),((SUMIFS(Headcount!$R$6:$R$89,Headcount!$F$6:$F$89,"Software",Headcount!$H$6:$H$89,"&gt;="&amp;Software!X$3)/12)),W12),"New Year"))))),SUMIF('Dept. Cost Actuals'!$E$7:$E$176,"*salary*",'Dept. Cost Actuals'!AB$355:AB$524))</f>
        <v>141363.04</v>
      </c>
      <c r="Y12" s="1139">
        <f>IF(Y$4="forecast",IF(YEAR(Y$3)=YEAR(Headcount!$N$4),((SUMIFS(Headcount!$N$6:$N$89,Headcount!$F$6:$F$89,"Software",Headcount!$H$6:$H$89,"&gt;="&amp;Software!Y$3)/12)),IF(YEAR(Y$3)=YEAR(Headcount!$O$4),IF((Y$5=2),((SUMIFS(Headcount!$O$6:$O$89,Headcount!$F$6:$F$89,"Software",Headcount!$H$6:$H$89,"&gt;="&amp;Software!Y$3)/12)),X12),IF(YEAR(Y$3)=YEAR(Headcount!$P$4),IF((Y$5=2),((SUMIFS(Headcount!$P$6:$P$89,Headcount!$F$6:$F$89,"Software",Headcount!$H$6:$H$89,"&gt;="&amp;Software!Y$3)/12)),X12),IF(YEAR(Y$3)=YEAR(Headcount!$Q$4),IF((Y$5=2),((SUMIFS(Headcount!$Q$6:$Q$89,Headcount!$F$6:$F$89,"Software",Headcount!$H$6:$H$89,"&gt;="&amp;Software!Y$3)/12)),X12),IF(YEAR(Y$3)=YEAR(Headcount!$R$4),IF((Y$5=2),((SUMIFS(Headcount!$R$6:$R$89,Headcount!$F$6:$F$89,"Software",Headcount!$H$6:$H$89,"&gt;="&amp;Software!Y$3)/12)),X12),"New Year"))))),SUMIF('Dept. Cost Actuals'!$E$7:$E$176,"*salary*",'Dept. Cost Actuals'!AC$355:AC$524))</f>
        <v>136176.87</v>
      </c>
      <c r="Z12" s="1139">
        <f>IF(Z$4="forecast",IF(YEAR(Z$3)=YEAR(Headcount!$N$4),((SUMIFS(Headcount!$N$6:$N$89,Headcount!$F$6:$F$89,"Software",Headcount!$H$6:$H$89,"&gt;="&amp;Software!Z$3)/12)),IF(YEAR(Z$3)=YEAR(Headcount!$O$4),IF((Z$5=2),((SUMIFS(Headcount!$O$6:$O$89,Headcount!$F$6:$F$89,"Software",Headcount!$H$6:$H$89,"&gt;="&amp;Software!Z$3)/12)),Y12),IF(YEAR(Z$3)=YEAR(Headcount!$P$4),IF((Z$5=2),((SUMIFS(Headcount!$P$6:$P$89,Headcount!$F$6:$F$89,"Software",Headcount!$H$6:$H$89,"&gt;="&amp;Software!Z$3)/12)),Y12),IF(YEAR(Z$3)=YEAR(Headcount!$Q$4),IF((Z$5=2),((SUMIFS(Headcount!$Q$6:$Q$89,Headcount!$F$6:$F$89,"Software",Headcount!$H$6:$H$89,"&gt;="&amp;Software!Z$3)/12)),Y12),IF(YEAR(Z$3)=YEAR(Headcount!$R$4),IF((Z$5=2),((SUMIFS(Headcount!$R$6:$R$89,Headcount!$F$6:$F$89,"Software",Headcount!$H$6:$H$89,"&gt;="&amp;Software!Z$3)/12)),Y12),"New Year"))))),SUMIF('Dept. Cost Actuals'!$E$7:$E$176,"*salary*",'Dept. Cost Actuals'!AD$355:AD$524))</f>
        <v>143123.01999999999</v>
      </c>
      <c r="AA12" s="1139">
        <f>IF(AA$4="forecast",IF(YEAR(AA$3)=YEAR(Headcount!$N$4),((SUMIFS(Headcount!$N$6:$N$89,Headcount!$F$6:$F$89,"Software",Headcount!$H$6:$H$89,"&gt;="&amp;Software!AA$3)/12)),IF(YEAR(AA$3)=YEAR(Headcount!$O$4),IF((AA$5=2),((SUMIFS(Headcount!$O$6:$O$89,Headcount!$F$6:$F$89,"Software",Headcount!$H$6:$H$89,"&gt;="&amp;Software!AA$3)/12)),Z12),IF(YEAR(AA$3)=YEAR(Headcount!$P$4),IF((AA$5=2),((SUMIFS(Headcount!$P$6:$P$89,Headcount!$F$6:$F$89,"Software",Headcount!$H$6:$H$89,"&gt;="&amp;Software!AA$3)/12)),Z12),IF(YEAR(AA$3)=YEAR(Headcount!$Q$4),IF((AA$5=2),((SUMIFS(Headcount!$Q$6:$Q$89,Headcount!$F$6:$F$89,"Software",Headcount!$H$6:$H$89,"&gt;="&amp;Software!AA$3)/12)),Z12),IF(YEAR(AA$3)=YEAR(Headcount!$R$4),IF((AA$5=2),((SUMIFS(Headcount!$R$6:$R$89,Headcount!$F$6:$F$89,"Software",Headcount!$H$6:$H$89,"&gt;="&amp;Software!AA$3)/12)),Z12),"New Year"))))),SUMIF('Dept. Cost Actuals'!$E$7:$E$176,"*salary*",'Dept. Cost Actuals'!AE$355:AE$524))</f>
        <v>137011.51999999999</v>
      </c>
      <c r="AB12" s="1139">
        <f>IF(AB$4="forecast",IF(YEAR(AB$3)=YEAR(Headcount!$N$4),((SUMIFS(Headcount!$N$6:$N$89,Headcount!$F$6:$F$89,"Software",Headcount!$H$6:$H$89,"&gt;="&amp;Software!AB$3)/12)),IF(YEAR(AB$3)=YEAR(Headcount!$O$4),IF((AB$5=2),((SUMIFS(Headcount!$O$6:$O$89,Headcount!$F$6:$F$89,"Software",Headcount!$H$6:$H$89,"&gt;="&amp;Software!AB$3)/12)),AA12),IF(YEAR(AB$3)=YEAR(Headcount!$P$4),IF((AB$5=2),((SUMIFS(Headcount!$P$6:$P$89,Headcount!$F$6:$F$89,"Software",Headcount!$H$6:$H$89,"&gt;="&amp;Software!AB$3)/12)),AA12),IF(YEAR(AB$3)=YEAR(Headcount!$Q$4),IF((AB$5=2),((SUMIFS(Headcount!$Q$6:$Q$89,Headcount!$F$6:$F$89,"Software",Headcount!$H$6:$H$89,"&gt;="&amp;Software!AB$3)/12)),AA12),IF(YEAR(AB$3)=YEAR(Headcount!$R$4),IF((AB$5=2),((SUMIFS(Headcount!$R$6:$R$89,Headcount!$F$6:$F$89,"Software",Headcount!$H$6:$H$89,"&gt;="&amp;Software!AB$3)/12)),AA12),"New Year"))))),SUMIF('Dept. Cost Actuals'!$E$7:$E$176,"*salary*",'Dept. Cost Actuals'!AF$355:AF$524))</f>
        <v>128923.05</v>
      </c>
      <c r="AC12" s="1139">
        <f>IF(AC$4="forecast",IF(YEAR(AC$3)=YEAR(Headcount!$N$4),((SUMIFS(Headcount!$N$6:$N$89,Headcount!$F$6:$F$89,"Software",Headcount!$H$6:$H$89,"&gt;="&amp;Software!AC$3)/12)),IF(YEAR(AC$3)=YEAR(Headcount!$O$4),IF((AC$5=2),((SUMIFS(Headcount!$O$6:$O$89,Headcount!$F$6:$F$89,"Software",Headcount!$H$6:$H$89,"&gt;="&amp;Software!AC$3)/12)),AB12),IF(YEAR(AC$3)=YEAR(Headcount!$P$4),IF((AC$5=2),((SUMIFS(Headcount!$P$6:$P$89,Headcount!$F$6:$F$89,"Software",Headcount!$H$6:$H$89,"&gt;="&amp;Software!AC$3)/12)),AB12),IF(YEAR(AC$3)=YEAR(Headcount!$Q$4),IF((AC$5=2),((SUMIFS(Headcount!$Q$6:$Q$89,Headcount!$F$6:$F$89,"Software",Headcount!$H$6:$H$89,"&gt;="&amp;Software!AC$3)/12)),AB12),IF(YEAR(AC$3)=YEAR(Headcount!$R$4),IF((AC$5=2),((SUMIFS(Headcount!$R$6:$R$89,Headcount!$F$6:$F$89,"Software",Headcount!$H$6:$H$89,"&gt;="&amp;Software!AC$3)/12)),AB12),"New Year"))))),SUMIF('Dept. Cost Actuals'!$E$7:$E$176,"*salary*",'Dept. Cost Actuals'!AG$355:AG$524))</f>
        <v>138165.35</v>
      </c>
      <c r="AD12" s="1139">
        <f>((SUMIFS(Headcount!$O$6:$O$89,Headcount!$F$6:$F$89,"Software",Headcount!$H$6:$H$89,"&gt;="&amp;Sales!AC$3)/12))</f>
        <v>212061.82499999998</v>
      </c>
      <c r="AE12" s="1139">
        <f>((SUMIFS(Headcount!$O$6:$O$89,Headcount!$F$6:$F$89,"Software",Headcount!$H$6:$H$89,"&gt;="&amp;Sales!AD$3)/12))</f>
        <v>212061.82499999998</v>
      </c>
      <c r="AF12" s="1139">
        <f>((SUMIFS(Headcount!$O$6:$O$89,Headcount!$F$6:$F$89,"Software",Headcount!$H$6:$H$89,"&gt;="&amp;Sales!AE$3)/12))</f>
        <v>212061.82499999998</v>
      </c>
      <c r="AG12" s="1139">
        <f>((SUMIFS(Headcount!$O$6:$O$89,Headcount!$F$6:$F$89,"Software",Headcount!$H$6:$H$89,"&gt;="&amp;Sales!AF$3)/12))</f>
        <v>212061.82499999998</v>
      </c>
      <c r="AH12" s="1139">
        <f>((SUMIFS(Headcount!$O$6:$O$89,Headcount!$F$6:$F$89,"Software",Headcount!$H$6:$H$89,"&gt;="&amp;Sales!AG$3)/12))</f>
        <v>212061.82499999998</v>
      </c>
      <c r="AI12" s="1139">
        <f>((SUMIFS(Headcount!$O$6:$O$89,Headcount!$F$6:$F$89,"Software",Headcount!$H$6:$H$89,"&gt;="&amp;Sales!AH$3)/12))</f>
        <v>212061.82499999998</v>
      </c>
      <c r="AJ12" s="1139">
        <f>((SUMIFS(Headcount!$O$6:$O$89,Headcount!$F$6:$F$89,"Software",Headcount!$H$6:$H$89,"&gt;="&amp;Sales!AI$3)/12))</f>
        <v>212061.82499999998</v>
      </c>
      <c r="AK12" s="1139">
        <f>((SUMIFS(Headcount!$O$6:$O$89,Headcount!$F$6:$F$89,"Software",Headcount!$H$6:$H$89,"&gt;="&amp;Sales!AJ$3)/12))</f>
        <v>212061.82499999998</v>
      </c>
      <c r="AL12" s="1139">
        <f>((SUMIFS(Headcount!$O$6:$O$89,Headcount!$F$6:$F$89,"Software",Headcount!$H$6:$H$89,"&gt;="&amp;Sales!AK$3)/12))</f>
        <v>212061.82499999998</v>
      </c>
      <c r="AM12" s="1139">
        <f>IF(AM$4="forecast",IF(YEAR(AM$3)=YEAR(Headcount!$N$4),((SUMIFS(Headcount!$N$6:$N$89,Headcount!$F$6:$F$89,"Software",Headcount!$H$6:$H$89,"&gt;="&amp;Software!AM$3)/12)),IF(YEAR(AM$3)=YEAR(Headcount!$O$4),IF((AM$5=2),((SUMIFS(Headcount!$O$6:$O$89,Headcount!$F$6:$F$89,"Software",Headcount!$H$6:$H$89,"&gt;="&amp;Software!AM$3)/12)),AL12),IF(YEAR(AM$3)=YEAR(Headcount!$P$4),IF((AM$5=2),((SUMIFS(Headcount!$P$6:$P$89,Headcount!$F$6:$F$89,"Software",Headcount!$H$6:$H$89,"&gt;="&amp;Software!AM$3)/12)),AL12),IF(YEAR(AM$3)=YEAR(Headcount!$Q$4),IF((AM$5=2),((SUMIFS(Headcount!$Q$6:$Q$89,Headcount!$F$6:$F$89,"Software",Headcount!$H$6:$H$89,"&gt;="&amp;Software!AM$3)/12)),AL12),IF(YEAR(AM$3)=YEAR(Headcount!$R$4),IF((AM$5=2),((SUMIFS(Headcount!$R$6:$R$89,Headcount!$F$6:$F$89,"Software",Headcount!$H$6:$H$89,"&gt;="&amp;Software!AM$3)/12)),AL12),"New Year"))))),SUMIF('Dept. Cost Actuals'!$E$7:$E$176,"*salary*",'Dept. Cost Actuals'!AQ$355:AQ$524))</f>
        <v>212061.82499999998</v>
      </c>
      <c r="AN12" s="1139">
        <f>IF(AN$4="forecast",IF(YEAR(AN$3)=YEAR(Headcount!$N$4),((SUMIFS(Headcount!$N$6:$N$89,Headcount!$F$6:$F$89,"Software",Headcount!$H$6:$H$89,"&gt;="&amp;Software!AN$3)/12)),IF(YEAR(AN$3)=YEAR(Headcount!$O$4),IF((AN$5=2),((SUMIFS(Headcount!$O$6:$O$89,Headcount!$F$6:$F$89,"Software",Headcount!$H$6:$H$89,"&gt;="&amp;Software!AN$3)/12)),AM12),IF(YEAR(AN$3)=YEAR(Headcount!$P$4),IF((AN$5=2),((SUMIFS(Headcount!$P$6:$P$89,Headcount!$F$6:$F$89,"Software",Headcount!$H$6:$H$89,"&gt;="&amp;Software!AN$3)/12)),AM12),IF(YEAR(AN$3)=YEAR(Headcount!$Q$4),IF((AN$5=2),((SUMIFS(Headcount!$Q$6:$Q$89,Headcount!$F$6:$F$89,"Software",Headcount!$H$6:$H$89,"&gt;="&amp;Software!AN$3)/12)),AM12),IF(YEAR(AN$3)=YEAR(Headcount!$R$4),IF((AN$5=2),((SUMIFS(Headcount!$R$6:$R$89,Headcount!$F$6:$F$89,"Software",Headcount!$H$6:$H$89,"&gt;="&amp;Software!AN$3)/12)),AM12),"New Year"))))),SUMIF('Dept. Cost Actuals'!$E$7:$E$176,"*salary*",'Dept. Cost Actuals'!AR$355:AR$524))</f>
        <v>217234.82504999998</v>
      </c>
      <c r="AO12" s="1139">
        <f>IF(AO$4="forecast",IF(YEAR(AO$3)=YEAR(Headcount!$N$4),((SUMIFS(Headcount!$N$6:$N$89,Headcount!$F$6:$F$89,"Software",Headcount!$H$6:$H$89,"&gt;="&amp;Software!AO$3)/12)),IF(YEAR(AO$3)=YEAR(Headcount!$O$4),IF((AO$5=2),((SUMIFS(Headcount!$O$6:$O$89,Headcount!$F$6:$F$89,"Software",Headcount!$H$6:$H$89,"&gt;="&amp;Software!AO$3)/12)),AN12),IF(YEAR(AO$3)=YEAR(Headcount!$P$4),IF((AO$5=2),((SUMIFS(Headcount!$P$6:$P$89,Headcount!$F$6:$F$89,"Software",Headcount!$H$6:$H$89,"&gt;="&amp;Software!AO$3)/12)),AN12),IF(YEAR(AO$3)=YEAR(Headcount!$Q$4),IF((AO$5=2),((SUMIFS(Headcount!$Q$6:$Q$89,Headcount!$F$6:$F$89,"Software",Headcount!$H$6:$H$89,"&gt;="&amp;Software!AO$3)/12)),AN12),IF(YEAR(AO$3)=YEAR(Headcount!$R$4),IF((AO$5=2),((SUMIFS(Headcount!$R$6:$R$89,Headcount!$F$6:$F$89,"Software",Headcount!$H$6:$H$89,"&gt;="&amp;Software!AO$3)/12)),AN12),"New Year"))))),SUMIF('Dept. Cost Actuals'!$E$7:$E$176,"*salary*",'Dept. Cost Actuals'!AS$355:AS$524))</f>
        <v>217234.82504999998</v>
      </c>
      <c r="AP12" s="1139">
        <f>IF(AP$4="forecast",IF(YEAR(AP$3)=YEAR(Headcount!$N$4),((SUMIFS(Headcount!$N$6:$N$89,Headcount!$F$6:$F$89,"Software",Headcount!$H$6:$H$89,"&gt;="&amp;Software!AP$3)/12)),IF(YEAR(AP$3)=YEAR(Headcount!$O$4),IF((AP$5=2),((SUMIFS(Headcount!$O$6:$O$89,Headcount!$F$6:$F$89,"Software",Headcount!$H$6:$H$89,"&gt;="&amp;Software!AP$3)/12)),AO12),IF(YEAR(AP$3)=YEAR(Headcount!$P$4),IF((AP$5=2),((SUMIFS(Headcount!$P$6:$P$89,Headcount!$F$6:$F$89,"Software",Headcount!$H$6:$H$89,"&gt;="&amp;Software!AP$3)/12)),AO12),IF(YEAR(AP$3)=YEAR(Headcount!$Q$4),IF((AP$5=2),((SUMIFS(Headcount!$Q$6:$Q$89,Headcount!$F$6:$F$89,"Software",Headcount!$H$6:$H$89,"&gt;="&amp;Software!AP$3)/12)),AO12),IF(YEAR(AP$3)=YEAR(Headcount!$R$4),IF((AP$5=2),((SUMIFS(Headcount!$R$6:$R$89,Headcount!$F$6:$F$89,"Software",Headcount!$H$6:$H$89,"&gt;="&amp;Software!AP$3)/12)),AO12),"New Year"))))),SUMIF('Dept. Cost Actuals'!$E$7:$E$176,"*salary*",'Dept. Cost Actuals'!AT$355:AT$524))</f>
        <v>217234.82504999998</v>
      </c>
      <c r="AQ12" s="1139">
        <f>IF(AQ$4="forecast",IF(YEAR(AQ$3)=YEAR(Headcount!$N$4),((SUMIFS(Headcount!$N$6:$N$89,Headcount!$F$6:$F$89,"Software",Headcount!$H$6:$H$89,"&gt;="&amp;Software!AQ$3)/12)),IF(YEAR(AQ$3)=YEAR(Headcount!$O$4),IF((AQ$5=2),((SUMIFS(Headcount!$O$6:$O$89,Headcount!$F$6:$F$89,"Software",Headcount!$H$6:$H$89,"&gt;="&amp;Software!AQ$3)/12)),AP12),IF(YEAR(AQ$3)=YEAR(Headcount!$P$4),IF((AQ$5=2),((SUMIFS(Headcount!$P$6:$P$89,Headcount!$F$6:$F$89,"Software",Headcount!$H$6:$H$89,"&gt;="&amp;Software!AQ$3)/12)),AP12),IF(YEAR(AQ$3)=YEAR(Headcount!$Q$4),IF((AQ$5=2),((SUMIFS(Headcount!$Q$6:$Q$89,Headcount!$F$6:$F$89,"Software",Headcount!$H$6:$H$89,"&gt;="&amp;Software!AQ$3)/12)),AP12),IF(YEAR(AQ$3)=YEAR(Headcount!$R$4),IF((AQ$5=2),((SUMIFS(Headcount!$R$6:$R$89,Headcount!$F$6:$F$89,"Software",Headcount!$H$6:$H$89,"&gt;="&amp;Software!AQ$3)/12)),AP12),"New Year"))))),SUMIF('Dept. Cost Actuals'!$E$7:$E$176,"*salary*",'Dept. Cost Actuals'!AU$355:AU$524))</f>
        <v>217234.82504999998</v>
      </c>
      <c r="AR12" s="1139">
        <f>IF(AR$4="forecast",IF(YEAR(AR$3)=YEAR(Headcount!$N$4),((SUMIFS(Headcount!$N$6:$N$89,Headcount!$F$6:$F$89,"Software",Headcount!$H$6:$H$89,"&gt;="&amp;Software!AR$3)/12)),IF(YEAR(AR$3)=YEAR(Headcount!$O$4),IF((AR$5=2),((SUMIFS(Headcount!$O$6:$O$89,Headcount!$F$6:$F$89,"Software",Headcount!$H$6:$H$89,"&gt;="&amp;Software!AR$3)/12)),AQ12),IF(YEAR(AR$3)=YEAR(Headcount!$P$4),IF((AR$5=2),((SUMIFS(Headcount!$P$6:$P$89,Headcount!$F$6:$F$89,"Software",Headcount!$H$6:$H$89,"&gt;="&amp;Software!AR$3)/12)),AQ12),IF(YEAR(AR$3)=YEAR(Headcount!$Q$4),IF((AR$5=2),((SUMIFS(Headcount!$Q$6:$Q$89,Headcount!$F$6:$F$89,"Software",Headcount!$H$6:$H$89,"&gt;="&amp;Software!AR$3)/12)),AQ12),IF(YEAR(AR$3)=YEAR(Headcount!$R$4),IF((AR$5=2),((SUMIFS(Headcount!$R$6:$R$89,Headcount!$F$6:$F$89,"Software",Headcount!$H$6:$H$89,"&gt;="&amp;Software!AR$3)/12)),AQ12),"New Year"))))),SUMIF('Dept. Cost Actuals'!$E$7:$E$176,"*salary*",'Dept. Cost Actuals'!AV$355:AV$524))</f>
        <v>217234.82504999998</v>
      </c>
      <c r="AS12" s="1139">
        <f>IF(AS$4="forecast",IF(YEAR(AS$3)=YEAR(Headcount!$N$4),((SUMIFS(Headcount!$N$6:$N$89,Headcount!$F$6:$F$89,"Software",Headcount!$H$6:$H$89,"&gt;="&amp;Software!AS$3)/12)),IF(YEAR(AS$3)=YEAR(Headcount!$O$4),IF((AS$5=2),((SUMIFS(Headcount!$O$6:$O$89,Headcount!$F$6:$F$89,"Software",Headcount!$H$6:$H$89,"&gt;="&amp;Software!AS$3)/12)),AR12),IF(YEAR(AS$3)=YEAR(Headcount!$P$4),IF((AS$5=2),((SUMIFS(Headcount!$P$6:$P$89,Headcount!$F$6:$F$89,"Software",Headcount!$H$6:$H$89,"&gt;="&amp;Software!AS$3)/12)),AR12),IF(YEAR(AS$3)=YEAR(Headcount!$Q$4),IF((AS$5=2),((SUMIFS(Headcount!$Q$6:$Q$89,Headcount!$F$6:$F$89,"Software",Headcount!$H$6:$H$89,"&gt;="&amp;Software!AS$3)/12)),AR12),IF(YEAR(AS$3)=YEAR(Headcount!$R$4),IF((AS$5=2),((SUMIFS(Headcount!$R$6:$R$89,Headcount!$F$6:$F$89,"Software",Headcount!$H$6:$H$89,"&gt;="&amp;Software!AS$3)/12)),AR12),"New Year"))))),SUMIF('Dept. Cost Actuals'!$E$7:$E$176,"*salary*",'Dept. Cost Actuals'!AW$355:AW$524))</f>
        <v>217234.82504999998</v>
      </c>
      <c r="AT12" s="1139">
        <f>IF(AT$4="forecast",IF(YEAR(AT$3)=YEAR(Headcount!$N$4),((SUMIFS(Headcount!$N$6:$N$89,Headcount!$F$6:$F$89,"Software",Headcount!$H$6:$H$89,"&gt;="&amp;Software!AT$3)/12)),IF(YEAR(AT$3)=YEAR(Headcount!$O$4),IF((AT$5=2),((SUMIFS(Headcount!$O$6:$O$89,Headcount!$F$6:$F$89,"Software",Headcount!$H$6:$H$89,"&gt;="&amp;Software!AT$3)/12)),AS12),IF(YEAR(AT$3)=YEAR(Headcount!$P$4),IF((AT$5=2),((SUMIFS(Headcount!$P$6:$P$89,Headcount!$F$6:$F$89,"Software",Headcount!$H$6:$H$89,"&gt;="&amp;Software!AT$3)/12)),AS12),IF(YEAR(AT$3)=YEAR(Headcount!$Q$4),IF((AT$5=2),((SUMIFS(Headcount!$Q$6:$Q$89,Headcount!$F$6:$F$89,"Software",Headcount!$H$6:$H$89,"&gt;="&amp;Software!AT$3)/12)),AS12),IF(YEAR(AT$3)=YEAR(Headcount!$R$4),IF((AT$5=2),((SUMIFS(Headcount!$R$6:$R$89,Headcount!$F$6:$F$89,"Software",Headcount!$H$6:$H$89,"&gt;="&amp;Software!AT$3)/12)),AS12),"New Year"))))),SUMIF('Dept. Cost Actuals'!$E$7:$E$176,"*salary*",'Dept. Cost Actuals'!AX$355:AX$524))</f>
        <v>217234.82504999998</v>
      </c>
      <c r="AU12" s="1139">
        <f>IF(AU$4="forecast",IF(YEAR(AU$3)=YEAR(Headcount!$N$4),((SUMIFS(Headcount!$N$6:$N$89,Headcount!$F$6:$F$89,"Software",Headcount!$H$6:$H$89,"&gt;="&amp;Software!AU$3)/12)),IF(YEAR(AU$3)=YEAR(Headcount!$O$4),IF((AU$5=2),((SUMIFS(Headcount!$O$6:$O$89,Headcount!$F$6:$F$89,"Software",Headcount!$H$6:$H$89,"&gt;="&amp;Software!AU$3)/12)),AT12),IF(YEAR(AU$3)=YEAR(Headcount!$P$4),IF((AU$5=2),((SUMIFS(Headcount!$P$6:$P$89,Headcount!$F$6:$F$89,"Software",Headcount!$H$6:$H$89,"&gt;="&amp;Software!AU$3)/12)),AT12),IF(YEAR(AU$3)=YEAR(Headcount!$Q$4),IF((AU$5=2),((SUMIFS(Headcount!$Q$6:$Q$89,Headcount!$F$6:$F$89,"Software",Headcount!$H$6:$H$89,"&gt;="&amp;Software!AU$3)/12)),AT12),IF(YEAR(AU$3)=YEAR(Headcount!$R$4),IF((AU$5=2),((SUMIFS(Headcount!$R$6:$R$89,Headcount!$F$6:$F$89,"Software",Headcount!$H$6:$H$89,"&gt;="&amp;Software!AU$3)/12)),AT12),"New Year"))))),SUMIF('Dept. Cost Actuals'!$E$7:$E$176,"*salary*",'Dept. Cost Actuals'!AY$355:AY$524))</f>
        <v>217234.82504999998</v>
      </c>
      <c r="AV12" s="1139">
        <f>IF(AV$4="forecast",IF(YEAR(AV$3)=YEAR(Headcount!$N$4),((SUMIFS(Headcount!$N$6:$N$89,Headcount!$F$6:$F$89,"Software",Headcount!$H$6:$H$89,"&gt;="&amp;Software!AV$3)/12)),IF(YEAR(AV$3)=YEAR(Headcount!$O$4),IF((AV$5=2),((SUMIFS(Headcount!$O$6:$O$89,Headcount!$F$6:$F$89,"Software",Headcount!$H$6:$H$89,"&gt;="&amp;Software!AV$3)/12)),AU12),IF(YEAR(AV$3)=YEAR(Headcount!$P$4),IF((AV$5=2),((SUMIFS(Headcount!$P$6:$P$89,Headcount!$F$6:$F$89,"Software",Headcount!$H$6:$H$89,"&gt;="&amp;Software!AV$3)/12)),AU12),IF(YEAR(AV$3)=YEAR(Headcount!$Q$4),IF((AV$5=2),((SUMIFS(Headcount!$Q$6:$Q$89,Headcount!$F$6:$F$89,"Software",Headcount!$H$6:$H$89,"&gt;="&amp;Software!AV$3)/12)),AU12),IF(YEAR(AV$3)=YEAR(Headcount!$R$4),IF((AV$5=2),((SUMIFS(Headcount!$R$6:$R$89,Headcount!$F$6:$F$89,"Software",Headcount!$H$6:$H$89,"&gt;="&amp;Software!AV$3)/12)),AU12),"New Year"))))),SUMIF('Dept. Cost Actuals'!$E$7:$E$176,"*salary*",'Dept. Cost Actuals'!AZ$355:AZ$524))</f>
        <v>217234.82504999998</v>
      </c>
      <c r="AW12" s="1139">
        <f>IF(AW$4="forecast",IF(YEAR(AW$3)=YEAR(Headcount!$N$4),((SUMIFS(Headcount!$N$6:$N$89,Headcount!$F$6:$F$89,"Software",Headcount!$H$6:$H$89,"&gt;="&amp;Software!AW$3)/12)),IF(YEAR(AW$3)=YEAR(Headcount!$O$4),IF((AW$5=2),((SUMIFS(Headcount!$O$6:$O$89,Headcount!$F$6:$F$89,"Software",Headcount!$H$6:$H$89,"&gt;="&amp;Software!AW$3)/12)),AV12),IF(YEAR(AW$3)=YEAR(Headcount!$P$4),IF((AW$5=2),((SUMIFS(Headcount!$P$6:$P$89,Headcount!$F$6:$F$89,"Software",Headcount!$H$6:$H$89,"&gt;="&amp;Software!AW$3)/12)),AV12),IF(YEAR(AW$3)=YEAR(Headcount!$Q$4),IF((AW$5=2),((SUMIFS(Headcount!$Q$6:$Q$89,Headcount!$F$6:$F$89,"Software",Headcount!$H$6:$H$89,"&gt;="&amp;Software!AW$3)/12)),AV12),IF(YEAR(AW$3)=YEAR(Headcount!$R$4),IF((AW$5=2),((SUMIFS(Headcount!$R$6:$R$89,Headcount!$F$6:$F$89,"Software",Headcount!$H$6:$H$89,"&gt;="&amp;Software!AW$3)/12)),AV12),"New Year"))))),SUMIF('Dept. Cost Actuals'!$E$7:$E$176,"*salary*",'Dept. Cost Actuals'!BA$355:BA$524))</f>
        <v>217234.82504999998</v>
      </c>
      <c r="AX12" s="1139">
        <f>IF(AX$4="forecast",IF(YEAR(AX$3)=YEAR(Headcount!$N$4),((SUMIFS(Headcount!$N$6:$N$89,Headcount!$F$6:$F$89,"Software",Headcount!$H$6:$H$89,"&gt;="&amp;Software!AX$3)/12)),IF(YEAR(AX$3)=YEAR(Headcount!$O$4),IF((AX$5=2),((SUMIFS(Headcount!$O$6:$O$89,Headcount!$F$6:$F$89,"Software",Headcount!$H$6:$H$89,"&gt;="&amp;Software!AX$3)/12)),AW12),IF(YEAR(AX$3)=YEAR(Headcount!$P$4),IF((AX$5=2),((SUMIFS(Headcount!$P$6:$P$89,Headcount!$F$6:$F$89,"Software",Headcount!$H$6:$H$89,"&gt;="&amp;Software!AX$3)/12)),AW12),IF(YEAR(AX$3)=YEAR(Headcount!$Q$4),IF((AX$5=2),((SUMIFS(Headcount!$Q$6:$Q$89,Headcount!$F$6:$F$89,"Software",Headcount!$H$6:$H$89,"&gt;="&amp;Software!AX$3)/12)),AW12),IF(YEAR(AX$3)=YEAR(Headcount!$R$4),IF((AX$5=2),((SUMIFS(Headcount!$R$6:$R$89,Headcount!$F$6:$F$89,"Software",Headcount!$H$6:$H$89,"&gt;="&amp;Software!AX$3)/12)),AW12),"New Year"))))),SUMIF('Dept. Cost Actuals'!$E$7:$E$176,"*salary*",'Dept. Cost Actuals'!BB$355:BB$524))</f>
        <v>217234.82504999998</v>
      </c>
      <c r="AY12" s="1139">
        <f>IF(AY$4="forecast",IF(YEAR(AY$3)=YEAR(Headcount!$N$4),((SUMIFS(Headcount!$N$6:$N$89,Headcount!$F$6:$F$89,"Software",Headcount!$H$6:$H$89,"&gt;="&amp;Software!AY$3)/12)),IF(YEAR(AY$3)=YEAR(Headcount!$O$4),IF((AY$5=2),((SUMIFS(Headcount!$O$6:$O$89,Headcount!$F$6:$F$89,"Software",Headcount!$H$6:$H$89,"&gt;="&amp;Software!AY$3)/12)),AX12),IF(YEAR(AY$3)=YEAR(Headcount!$P$4),IF((AY$5=2),((SUMIFS(Headcount!$P$6:$P$89,Headcount!$F$6:$F$89,"Software",Headcount!$H$6:$H$89,"&gt;="&amp;Software!AY$3)/12)),AX12),IF(YEAR(AY$3)=YEAR(Headcount!$Q$4),IF((AY$5=2),((SUMIFS(Headcount!$Q$6:$Q$89,Headcount!$F$6:$F$89,"Software",Headcount!$H$6:$H$89,"&gt;="&amp;Software!AY$3)/12)),AX12),IF(YEAR(AY$3)=YEAR(Headcount!$R$4),IF((AY$5=2),((SUMIFS(Headcount!$R$6:$R$89,Headcount!$F$6:$F$89,"Software",Headcount!$H$6:$H$89,"&gt;="&amp;Software!AY$3)/12)),AX12),"New Year"))))),SUMIF('Dept. Cost Actuals'!$E$7:$E$176,"*salary*",'Dept. Cost Actuals'!BC$355:BC$524))</f>
        <v>217234.82504999998</v>
      </c>
      <c r="AZ12" s="1139">
        <f>IF(AZ$4="forecast",IF(YEAR(AZ$3)=YEAR(Headcount!$N$4),((SUMIFS(Headcount!$N$6:$N$89,Headcount!$F$6:$F$89,"Software",Headcount!$H$6:$H$89,"&gt;="&amp;Software!AZ$3)/12)),IF(YEAR(AZ$3)=YEAR(Headcount!$O$4),IF((AZ$5=2),((SUMIFS(Headcount!$O$6:$O$89,Headcount!$F$6:$F$89,"Software",Headcount!$H$6:$H$89,"&gt;="&amp;Software!AZ$3)/12)),AY12),IF(YEAR(AZ$3)=YEAR(Headcount!$P$4),IF((AZ$5=2),((SUMIFS(Headcount!$P$6:$P$89,Headcount!$F$6:$F$89,"Software",Headcount!$H$6:$H$89,"&gt;="&amp;Software!AZ$3)/12)),AY12),IF(YEAR(AZ$3)=YEAR(Headcount!$Q$4),IF((AZ$5=2),((SUMIFS(Headcount!$Q$6:$Q$89,Headcount!$F$6:$F$89,"Software",Headcount!$H$6:$H$89,"&gt;="&amp;Software!AZ$3)/12)),AY12),IF(YEAR(AZ$3)=YEAR(Headcount!$R$4),IF((AZ$5=2),((SUMIFS(Headcount!$R$6:$R$89,Headcount!$F$6:$F$89,"Software",Headcount!$H$6:$H$89,"&gt;="&amp;Software!AZ$3)/12)),AY12),"New Year"))))),SUMIF('Dept. Cost Actuals'!$E$7:$E$176,"*salary*",'Dept. Cost Actuals'!BD$355:BD$524))</f>
        <v>223751.8698015</v>
      </c>
      <c r="BA12" s="1139">
        <f>IF(BA$4="forecast",IF(YEAR(BA$3)=YEAR(Headcount!$N$4),((SUMIFS(Headcount!$N$6:$N$89,Headcount!$F$6:$F$89,"Software",Headcount!$H$6:$H$89,"&gt;="&amp;Software!BA$3)/12)),IF(YEAR(BA$3)=YEAR(Headcount!$O$4),IF((BA$5=2),((SUMIFS(Headcount!$O$6:$O$89,Headcount!$F$6:$F$89,"Software",Headcount!$H$6:$H$89,"&gt;="&amp;Software!BA$3)/12)),AZ12),IF(YEAR(BA$3)=YEAR(Headcount!$P$4),IF((BA$5=2),((SUMIFS(Headcount!$P$6:$P$89,Headcount!$F$6:$F$89,"Software",Headcount!$H$6:$H$89,"&gt;="&amp;Software!BA$3)/12)),AZ12),IF(YEAR(BA$3)=YEAR(Headcount!$Q$4),IF((BA$5=2),((SUMIFS(Headcount!$Q$6:$Q$89,Headcount!$F$6:$F$89,"Software",Headcount!$H$6:$H$89,"&gt;="&amp;Software!BA$3)/12)),AZ12),IF(YEAR(BA$3)=YEAR(Headcount!$R$4),IF((BA$5=2),((SUMIFS(Headcount!$R$6:$R$89,Headcount!$F$6:$F$89,"Software",Headcount!$H$6:$H$89,"&gt;="&amp;Software!BA$3)/12)),AZ12),"New Year"))))),SUMIF('Dept. Cost Actuals'!$E$7:$E$176,"*salary*",'Dept. Cost Actuals'!BE$355:BE$524))</f>
        <v>223751.8698015</v>
      </c>
      <c r="BB12" s="1139">
        <f>IF(BB$4="forecast",IF(YEAR(BB$3)=YEAR(Headcount!$N$4),((SUMIFS(Headcount!$N$6:$N$89,Headcount!$F$6:$F$89,"Software",Headcount!$H$6:$H$89,"&gt;="&amp;Software!BB$3)/12)),IF(YEAR(BB$3)=YEAR(Headcount!$O$4),IF((BB$5=2),((SUMIFS(Headcount!$O$6:$O$89,Headcount!$F$6:$F$89,"Software",Headcount!$H$6:$H$89,"&gt;="&amp;Software!BB$3)/12)),BA12),IF(YEAR(BB$3)=YEAR(Headcount!$P$4),IF((BB$5=2),((SUMIFS(Headcount!$P$6:$P$89,Headcount!$F$6:$F$89,"Software",Headcount!$H$6:$H$89,"&gt;="&amp;Software!BB$3)/12)),BA12),IF(YEAR(BB$3)=YEAR(Headcount!$Q$4),IF((BB$5=2),((SUMIFS(Headcount!$Q$6:$Q$89,Headcount!$F$6:$F$89,"Software",Headcount!$H$6:$H$89,"&gt;="&amp;Software!BB$3)/12)),BA12),IF(YEAR(BB$3)=YEAR(Headcount!$R$4),IF((BB$5=2),((SUMIFS(Headcount!$R$6:$R$89,Headcount!$F$6:$F$89,"Software",Headcount!$H$6:$H$89,"&gt;="&amp;Software!BB$3)/12)),BA12),"New Year"))))),SUMIF('Dept. Cost Actuals'!$E$7:$E$176,"*salary*",'Dept. Cost Actuals'!BF$355:BF$524))</f>
        <v>223751.8698015</v>
      </c>
      <c r="BC12" s="1139">
        <f>IF(BC$4="forecast",IF(YEAR(BC$3)=YEAR(Headcount!$N$4),((SUMIFS(Headcount!$N$6:$N$89,Headcount!$F$6:$F$89,"Software",Headcount!$H$6:$H$89,"&gt;="&amp;Software!BC$3)/12)),IF(YEAR(BC$3)=YEAR(Headcount!$O$4),IF((BC$5=2),((SUMIFS(Headcount!$O$6:$O$89,Headcount!$F$6:$F$89,"Software",Headcount!$H$6:$H$89,"&gt;="&amp;Software!BC$3)/12)),BB12),IF(YEAR(BC$3)=YEAR(Headcount!$P$4),IF((BC$5=2),((SUMIFS(Headcount!$P$6:$P$89,Headcount!$F$6:$F$89,"Software",Headcount!$H$6:$H$89,"&gt;="&amp;Software!BC$3)/12)),BB12),IF(YEAR(BC$3)=YEAR(Headcount!$Q$4),IF((BC$5=2),((SUMIFS(Headcount!$Q$6:$Q$89,Headcount!$F$6:$F$89,"Software",Headcount!$H$6:$H$89,"&gt;="&amp;Software!BC$3)/12)),BB12),IF(YEAR(BC$3)=YEAR(Headcount!$R$4),IF((BC$5=2),((SUMIFS(Headcount!$R$6:$R$89,Headcount!$F$6:$F$89,"Software",Headcount!$H$6:$H$89,"&gt;="&amp;Software!BC$3)/12)),BB12),"New Year"))))),SUMIF('Dept. Cost Actuals'!$E$7:$E$176,"*salary*",'Dept. Cost Actuals'!BG$355:BG$524))</f>
        <v>223751.8698015</v>
      </c>
      <c r="BD12" s="1139">
        <f>IF(BD$4="forecast",IF(YEAR(BD$3)=YEAR(Headcount!$N$4),((SUMIFS(Headcount!$N$6:$N$89,Headcount!$F$6:$F$89,"Software",Headcount!$H$6:$H$89,"&gt;="&amp;Software!BD$3)/12)),IF(YEAR(BD$3)=YEAR(Headcount!$O$4),IF((BD$5=2),((SUMIFS(Headcount!$O$6:$O$89,Headcount!$F$6:$F$89,"Software",Headcount!$H$6:$H$89,"&gt;="&amp;Software!BD$3)/12)),BC12),IF(YEAR(BD$3)=YEAR(Headcount!$P$4),IF((BD$5=2),((SUMIFS(Headcount!$P$6:$P$89,Headcount!$F$6:$F$89,"Software",Headcount!$H$6:$H$89,"&gt;="&amp;Software!BD$3)/12)),BC12),IF(YEAR(BD$3)=YEAR(Headcount!$Q$4),IF((BD$5=2),((SUMIFS(Headcount!$Q$6:$Q$89,Headcount!$F$6:$F$89,"Software",Headcount!$H$6:$H$89,"&gt;="&amp;Software!BD$3)/12)),BC12),IF(YEAR(BD$3)=YEAR(Headcount!$R$4),IF((BD$5=2),((SUMIFS(Headcount!$R$6:$R$89,Headcount!$F$6:$F$89,"Software",Headcount!$H$6:$H$89,"&gt;="&amp;Software!BD$3)/12)),BC12),"New Year"))))),SUMIF('Dept. Cost Actuals'!$E$7:$E$176,"*salary*",'Dept. Cost Actuals'!BH$355:BH$524))</f>
        <v>223751.8698015</v>
      </c>
      <c r="BE12" s="1139">
        <f>IF(BE$4="forecast",IF(YEAR(BE$3)=YEAR(Headcount!$N$4),((SUMIFS(Headcount!$N$6:$N$89,Headcount!$F$6:$F$89,"Software",Headcount!$H$6:$H$89,"&gt;="&amp;Software!BE$3)/12)),IF(YEAR(BE$3)=YEAR(Headcount!$O$4),IF((BE$5=2),((SUMIFS(Headcount!$O$6:$O$89,Headcount!$F$6:$F$89,"Software",Headcount!$H$6:$H$89,"&gt;="&amp;Software!BE$3)/12)),BD12),IF(YEAR(BE$3)=YEAR(Headcount!$P$4),IF((BE$5=2),((SUMIFS(Headcount!$P$6:$P$89,Headcount!$F$6:$F$89,"Software",Headcount!$H$6:$H$89,"&gt;="&amp;Software!BE$3)/12)),BD12),IF(YEAR(BE$3)=YEAR(Headcount!$Q$4),IF((BE$5=2),((SUMIFS(Headcount!$Q$6:$Q$89,Headcount!$F$6:$F$89,"Software",Headcount!$H$6:$H$89,"&gt;="&amp;Software!BE$3)/12)),BD12),IF(YEAR(BE$3)=YEAR(Headcount!$R$4),IF((BE$5=2),((SUMIFS(Headcount!$R$6:$R$89,Headcount!$F$6:$F$89,"Software",Headcount!$H$6:$H$89,"&gt;="&amp;Software!BE$3)/12)),BD12),"New Year"))))),SUMIF('Dept. Cost Actuals'!$E$7:$E$176,"*salary*",'Dept. Cost Actuals'!BI$355:BI$524))</f>
        <v>223751.8698015</v>
      </c>
      <c r="BF12" s="1139">
        <f>IF(BF$4="forecast",IF(YEAR(BF$3)=YEAR(Headcount!$N$4),((SUMIFS(Headcount!$N$6:$N$89,Headcount!$F$6:$F$89,"Software",Headcount!$H$6:$H$89,"&gt;="&amp;Software!BF$3)/12)),IF(YEAR(BF$3)=YEAR(Headcount!$O$4),IF((BF$5=2),((SUMIFS(Headcount!$O$6:$O$89,Headcount!$F$6:$F$89,"Software",Headcount!$H$6:$H$89,"&gt;="&amp;Software!BF$3)/12)),BE12),IF(YEAR(BF$3)=YEAR(Headcount!$P$4),IF((BF$5=2),((SUMIFS(Headcount!$P$6:$P$89,Headcount!$F$6:$F$89,"Software",Headcount!$H$6:$H$89,"&gt;="&amp;Software!BF$3)/12)),BE12),IF(YEAR(BF$3)=YEAR(Headcount!$Q$4),IF((BF$5=2),((SUMIFS(Headcount!$Q$6:$Q$89,Headcount!$F$6:$F$89,"Software",Headcount!$H$6:$H$89,"&gt;="&amp;Software!BF$3)/12)),BE12),IF(YEAR(BF$3)=YEAR(Headcount!$R$4),IF((BF$5=2),((SUMIFS(Headcount!$R$6:$R$89,Headcount!$F$6:$F$89,"Software",Headcount!$H$6:$H$89,"&gt;="&amp;Software!BF$3)/12)),BE12),"New Year"))))),SUMIF('Dept. Cost Actuals'!$E$7:$E$176,"*salary*",'Dept. Cost Actuals'!BJ$355:BJ$524))</f>
        <v>223751.8698015</v>
      </c>
      <c r="BG12" s="1139">
        <f>IF(BG$4="forecast",IF(YEAR(BG$3)=YEAR(Headcount!$N$4),((SUMIFS(Headcount!$N$6:$N$89,Headcount!$F$6:$F$89,"Software",Headcount!$H$6:$H$89,"&gt;="&amp;Software!BG$3)/12)),IF(YEAR(BG$3)=YEAR(Headcount!$O$4),IF((BG$5=2),((SUMIFS(Headcount!$O$6:$O$89,Headcount!$F$6:$F$89,"Software",Headcount!$H$6:$H$89,"&gt;="&amp;Software!BG$3)/12)),BF12),IF(YEAR(BG$3)=YEAR(Headcount!$P$4),IF((BG$5=2),((SUMIFS(Headcount!$P$6:$P$89,Headcount!$F$6:$F$89,"Software",Headcount!$H$6:$H$89,"&gt;="&amp;Software!BG$3)/12)),BF12),IF(YEAR(BG$3)=YEAR(Headcount!$Q$4),IF((BG$5=2),((SUMIFS(Headcount!$Q$6:$Q$89,Headcount!$F$6:$F$89,"Software",Headcount!$H$6:$H$89,"&gt;="&amp;Software!BG$3)/12)),BF12),IF(YEAR(BG$3)=YEAR(Headcount!$R$4),IF((BG$5=2),((SUMIFS(Headcount!$R$6:$R$89,Headcount!$F$6:$F$89,"Software",Headcount!$H$6:$H$89,"&gt;="&amp;Software!BG$3)/12)),BF12),"New Year"))))),SUMIF('Dept. Cost Actuals'!$E$7:$E$176,"*salary*",'Dept. Cost Actuals'!BK$355:BK$524))</f>
        <v>223751.8698015</v>
      </c>
      <c r="BH12" s="1139">
        <f>IF(BH$4="forecast",IF(YEAR(BH$3)=YEAR(Headcount!$N$4),((SUMIFS(Headcount!$N$6:$N$89,Headcount!$F$6:$F$89,"Software",Headcount!$H$6:$H$89,"&gt;="&amp;Software!BH$3)/12)),IF(YEAR(BH$3)=YEAR(Headcount!$O$4),IF((BH$5=2),((SUMIFS(Headcount!$O$6:$O$89,Headcount!$F$6:$F$89,"Software",Headcount!$H$6:$H$89,"&gt;="&amp;Software!BH$3)/12)),BG12),IF(YEAR(BH$3)=YEAR(Headcount!$P$4),IF((BH$5=2),((SUMIFS(Headcount!$P$6:$P$89,Headcount!$F$6:$F$89,"Software",Headcount!$H$6:$H$89,"&gt;="&amp;Software!BH$3)/12)),BG12),IF(YEAR(BH$3)=YEAR(Headcount!$Q$4),IF((BH$5=2),((SUMIFS(Headcount!$Q$6:$Q$89,Headcount!$F$6:$F$89,"Software",Headcount!$H$6:$H$89,"&gt;="&amp;Software!BH$3)/12)),BG12),IF(YEAR(BH$3)=YEAR(Headcount!$R$4),IF((BH$5=2),((SUMIFS(Headcount!$R$6:$R$89,Headcount!$F$6:$F$89,"Software",Headcount!$H$6:$H$89,"&gt;="&amp;Software!BH$3)/12)),BG12),"New Year"))))),SUMIF('Dept. Cost Actuals'!$E$7:$E$176,"*salary*",'Dept. Cost Actuals'!BL$355:BL$524))</f>
        <v>223751.8698015</v>
      </c>
      <c r="BI12" s="1139">
        <f>IF(BI$4="forecast",IF(YEAR(BI$3)=YEAR(Headcount!$N$4),((SUMIFS(Headcount!$N$6:$N$89,Headcount!$F$6:$F$89,"Software",Headcount!$H$6:$H$89,"&gt;="&amp;Software!BI$3)/12)),IF(YEAR(BI$3)=YEAR(Headcount!$O$4),IF((BI$5=2),((SUMIFS(Headcount!$O$6:$O$89,Headcount!$F$6:$F$89,"Software",Headcount!$H$6:$H$89,"&gt;="&amp;Software!BI$3)/12)),BH12),IF(YEAR(BI$3)=YEAR(Headcount!$P$4),IF((BI$5=2),((SUMIFS(Headcount!$P$6:$P$89,Headcount!$F$6:$F$89,"Software",Headcount!$H$6:$H$89,"&gt;="&amp;Software!BI$3)/12)),BH12),IF(YEAR(BI$3)=YEAR(Headcount!$Q$4),IF((BI$5=2),((SUMIFS(Headcount!$Q$6:$Q$89,Headcount!$F$6:$F$89,"Software",Headcount!$H$6:$H$89,"&gt;="&amp;Software!BI$3)/12)),BH12),IF(YEAR(BI$3)=YEAR(Headcount!$R$4),IF((BI$5=2),((SUMIFS(Headcount!$R$6:$R$89,Headcount!$F$6:$F$89,"Software",Headcount!$H$6:$H$89,"&gt;="&amp;Software!BI$3)/12)),BH12),"New Year"))))),SUMIF('Dept. Cost Actuals'!$E$7:$E$176,"*salary*",'Dept. Cost Actuals'!BM$355:BM$524))</f>
        <v>223751.8698015</v>
      </c>
      <c r="BJ12" s="1139">
        <f>IF(BJ$4="forecast",IF(YEAR(BJ$3)=YEAR(Headcount!$N$4),((SUMIFS(Headcount!$N$6:$N$89,Headcount!$F$6:$F$89,"Software",Headcount!$H$6:$H$89,"&gt;="&amp;Software!BJ$3)/12)),IF(YEAR(BJ$3)=YEAR(Headcount!$O$4),IF((BJ$5=2),((SUMIFS(Headcount!$O$6:$O$89,Headcount!$F$6:$F$89,"Software",Headcount!$H$6:$H$89,"&gt;="&amp;Software!BJ$3)/12)),BI12),IF(YEAR(BJ$3)=YEAR(Headcount!$P$4),IF((BJ$5=2),((SUMIFS(Headcount!$P$6:$P$89,Headcount!$F$6:$F$89,"Software",Headcount!$H$6:$H$89,"&gt;="&amp;Software!BJ$3)/12)),BI12),IF(YEAR(BJ$3)=YEAR(Headcount!$Q$4),IF((BJ$5=2),((SUMIFS(Headcount!$Q$6:$Q$89,Headcount!$F$6:$F$89,"Software",Headcount!$H$6:$H$89,"&gt;="&amp;Software!BJ$3)/12)),BI12),IF(YEAR(BJ$3)=YEAR(Headcount!$R$4),IF((BJ$5=2),((SUMIFS(Headcount!$R$6:$R$89,Headcount!$F$6:$F$89,"Software",Headcount!$H$6:$H$89,"&gt;="&amp;Software!BJ$3)/12)),BI12),"New Year"))))),SUMIF('Dept. Cost Actuals'!$E$7:$E$176,"*salary*",'Dept. Cost Actuals'!BN$355:BN$524))</f>
        <v>223751.8698015</v>
      </c>
      <c r="BK12" s="1139">
        <f>IF(BK$4="forecast",IF(YEAR(BK$3)=YEAR(Headcount!$N$4),((SUMIFS(Headcount!$N$6:$N$89,Headcount!$F$6:$F$89,"Software",Headcount!$H$6:$H$89,"&gt;="&amp;Software!BK$3)/12)),IF(YEAR(BK$3)=YEAR(Headcount!$O$4),IF((BK$5=2),((SUMIFS(Headcount!$O$6:$O$89,Headcount!$F$6:$F$89,"Software",Headcount!$H$6:$H$89,"&gt;="&amp;Software!BK$3)/12)),BJ12),IF(YEAR(BK$3)=YEAR(Headcount!$P$4),IF((BK$5=2),((SUMIFS(Headcount!$P$6:$P$89,Headcount!$F$6:$F$89,"Software",Headcount!$H$6:$H$89,"&gt;="&amp;Software!BK$3)/12)),BJ12),IF(YEAR(BK$3)=YEAR(Headcount!$Q$4),IF((BK$5=2),((SUMIFS(Headcount!$Q$6:$Q$89,Headcount!$F$6:$F$89,"Software",Headcount!$H$6:$H$89,"&gt;="&amp;Software!BK$3)/12)),BJ12),IF(YEAR(BK$3)=YEAR(Headcount!$R$4),IF((BK$5=2),((SUMIFS(Headcount!$R$6:$R$89,Headcount!$F$6:$F$89,"Software",Headcount!$H$6:$H$89,"&gt;="&amp;Software!BK$3)/12)),BJ12),"New Year"))))),SUMIF('Dept. Cost Actuals'!$E$7:$E$176,"*salary*",'Dept. Cost Actuals'!BO$355:BO$524))</f>
        <v>223751.8698015</v>
      </c>
      <c r="BL12" s="1139">
        <f>IF(BL$4="forecast",IF(YEAR(BL$3)=YEAR(Headcount!$N$4),((SUMIFS(Headcount!$N$6:$N$89,Headcount!$F$6:$F$89,"Software",Headcount!$H$6:$H$89,"&gt;="&amp;Software!BL$3)/12)),IF(YEAR(BL$3)=YEAR(Headcount!$O$4),IF((BL$5=2),((SUMIFS(Headcount!$O$6:$O$89,Headcount!$F$6:$F$89,"Software",Headcount!$H$6:$H$89,"&gt;="&amp;Software!BL$3)/12)),BK12),IF(YEAR(BL$3)=YEAR(Headcount!$P$4),IF((BL$5=2),((SUMIFS(Headcount!$P$6:$P$89,Headcount!$F$6:$F$89,"Software",Headcount!$H$6:$H$89,"&gt;="&amp;Software!BL$3)/12)),BK12),IF(YEAR(BL$3)=YEAR(Headcount!$Q$4),IF((BL$5=2),((SUMIFS(Headcount!$Q$6:$Q$89,Headcount!$F$6:$F$89,"Software",Headcount!$H$6:$H$89,"&gt;="&amp;Software!BL$3)/12)),BK12),IF(YEAR(BL$3)=YEAR(Headcount!$R$4),IF((BL$5=2),((SUMIFS(Headcount!$R$6:$R$89,Headcount!$F$6:$F$89,"Software",Headcount!$H$6:$H$89,"&gt;="&amp;Software!BL$3)/12)),BK12),"New Year"))))),SUMIF('Dept. Cost Actuals'!$E$7:$E$176,"*salary*",'Dept. Cost Actuals'!BP$355:BP$524))</f>
        <v>230464.42589554502</v>
      </c>
      <c r="BM12" s="1139">
        <f>IF(BM$4="forecast",IF(YEAR(BM$3)=YEAR(Headcount!$N$4),((SUMIFS(Headcount!$N$6:$N$89,Headcount!$F$6:$F$89,"Software",Headcount!$H$6:$H$89,"&gt;="&amp;Software!BM$3)/12)),IF(YEAR(BM$3)=YEAR(Headcount!$O$4),IF((BM$5=2),((SUMIFS(Headcount!$O$6:$O$89,Headcount!$F$6:$F$89,"Software",Headcount!$H$6:$H$89,"&gt;="&amp;Software!BM$3)/12)),BL12),IF(YEAR(BM$3)=YEAR(Headcount!$P$4),IF((BM$5=2),((SUMIFS(Headcount!$P$6:$P$89,Headcount!$F$6:$F$89,"Software",Headcount!$H$6:$H$89,"&gt;="&amp;Software!BM$3)/12)),BL12),IF(YEAR(BM$3)=YEAR(Headcount!$Q$4),IF((BM$5=2),((SUMIFS(Headcount!$Q$6:$Q$89,Headcount!$F$6:$F$89,"Software",Headcount!$H$6:$H$89,"&gt;="&amp;Software!BM$3)/12)),BL12),IF(YEAR(BM$3)=YEAR(Headcount!$R$4),IF((BM$5=2),((SUMIFS(Headcount!$R$6:$R$89,Headcount!$F$6:$F$89,"Software",Headcount!$H$6:$H$89,"&gt;="&amp;Software!BM$3)/12)),BL12),"New Year"))))),SUMIF('Dept. Cost Actuals'!$E$7:$E$176,"*salary*",'Dept. Cost Actuals'!BQ$355:BQ$524))</f>
        <v>230464.42589554502</v>
      </c>
      <c r="BN12" s="1139">
        <f>IF(BN$4="forecast",IF(YEAR(BN$3)=YEAR(Headcount!$N$4),((SUMIFS(Headcount!$N$6:$N$89,Headcount!$F$6:$F$89,"Software",Headcount!$H$6:$H$89,"&gt;="&amp;Software!BN$3)/12)),IF(YEAR(BN$3)=YEAR(Headcount!$O$4),IF((BN$5=2),((SUMIFS(Headcount!$O$6:$O$89,Headcount!$F$6:$F$89,"Software",Headcount!$H$6:$H$89,"&gt;="&amp;Software!BN$3)/12)),BM12),IF(YEAR(BN$3)=YEAR(Headcount!$P$4),IF((BN$5=2),((SUMIFS(Headcount!$P$6:$P$89,Headcount!$F$6:$F$89,"Software",Headcount!$H$6:$H$89,"&gt;="&amp;Software!BN$3)/12)),BM12),IF(YEAR(BN$3)=YEAR(Headcount!$Q$4),IF((BN$5=2),((SUMIFS(Headcount!$Q$6:$Q$89,Headcount!$F$6:$F$89,"Software",Headcount!$H$6:$H$89,"&gt;="&amp;Software!BN$3)/12)),BM12),IF(YEAR(BN$3)=YEAR(Headcount!$R$4),IF((BN$5=2),((SUMIFS(Headcount!$R$6:$R$89,Headcount!$F$6:$F$89,"Software",Headcount!$H$6:$H$89,"&gt;="&amp;Software!BN$3)/12)),BM12),"New Year"))))),SUMIF('Dept. Cost Actuals'!$E$7:$E$176,"*salary*",'Dept. Cost Actuals'!BR$355:BR$524))</f>
        <v>230464.42589554502</v>
      </c>
      <c r="BO12" s="1139">
        <f>IF(BO$4="forecast",IF(YEAR(BO$3)=YEAR(Headcount!$N$4),((SUMIFS(Headcount!$N$6:$N$89,Headcount!$F$6:$F$89,"Software",Headcount!$H$6:$H$89,"&gt;="&amp;Software!BO$3)/12)),IF(YEAR(BO$3)=YEAR(Headcount!$O$4),IF((BO$5=2),((SUMIFS(Headcount!$O$6:$O$89,Headcount!$F$6:$F$89,"Software",Headcount!$H$6:$H$89,"&gt;="&amp;Software!BO$3)/12)),BN12),IF(YEAR(BO$3)=YEAR(Headcount!$P$4),IF((BO$5=2),((SUMIFS(Headcount!$P$6:$P$89,Headcount!$F$6:$F$89,"Software",Headcount!$H$6:$H$89,"&gt;="&amp;Software!BO$3)/12)),BN12),IF(YEAR(BO$3)=YEAR(Headcount!$Q$4),IF((BO$5=2),((SUMIFS(Headcount!$Q$6:$Q$89,Headcount!$F$6:$F$89,"Software",Headcount!$H$6:$H$89,"&gt;="&amp;Software!BO$3)/12)),BN12),IF(YEAR(BO$3)=YEAR(Headcount!$R$4),IF((BO$5=2),((SUMIFS(Headcount!$R$6:$R$89,Headcount!$F$6:$F$89,"Software",Headcount!$H$6:$H$89,"&gt;="&amp;Software!BO$3)/12)),BN12),"New Year"))))),SUMIF('Dept. Cost Actuals'!$E$7:$E$176,"*salary*",'Dept. Cost Actuals'!BS$355:BS$524))</f>
        <v>230464.42589554502</v>
      </c>
      <c r="BP12" s="1139">
        <f>IF(BP$4="forecast",IF(YEAR(BP$3)=YEAR(Headcount!$N$4),((SUMIFS(Headcount!$N$6:$N$89,Headcount!$F$6:$F$89,"Software",Headcount!$H$6:$H$89,"&gt;="&amp;Software!BP$3)/12)),IF(YEAR(BP$3)=YEAR(Headcount!$O$4),IF((BP$5=2),((SUMIFS(Headcount!$O$6:$O$89,Headcount!$F$6:$F$89,"Software",Headcount!$H$6:$H$89,"&gt;="&amp;Software!BP$3)/12)),BO12),IF(YEAR(BP$3)=YEAR(Headcount!$P$4),IF((BP$5=2),((SUMIFS(Headcount!$P$6:$P$89,Headcount!$F$6:$F$89,"Software",Headcount!$H$6:$H$89,"&gt;="&amp;Software!BP$3)/12)),BO12),IF(YEAR(BP$3)=YEAR(Headcount!$Q$4),IF((BP$5=2),((SUMIFS(Headcount!$Q$6:$Q$89,Headcount!$F$6:$F$89,"Software",Headcount!$H$6:$H$89,"&gt;="&amp;Software!BP$3)/12)),BO12),IF(YEAR(BP$3)=YEAR(Headcount!$R$4),IF((BP$5=2),((SUMIFS(Headcount!$R$6:$R$89,Headcount!$F$6:$F$89,"Software",Headcount!$H$6:$H$89,"&gt;="&amp;Software!BP$3)/12)),BO12),"New Year"))))),SUMIF('Dept. Cost Actuals'!$E$7:$E$176,"*salary*",'Dept. Cost Actuals'!BT$355:BT$524))</f>
        <v>230464.42589554502</v>
      </c>
      <c r="BQ12" s="1139">
        <f>IF(BQ$4="forecast",IF(YEAR(BQ$3)=YEAR(Headcount!$N$4),((SUMIFS(Headcount!$N$6:$N$89,Headcount!$F$6:$F$89,"Software",Headcount!$H$6:$H$89,"&gt;="&amp;Software!BQ$3)/12)),IF(YEAR(BQ$3)=YEAR(Headcount!$O$4),IF((BQ$5=2),((SUMIFS(Headcount!$O$6:$O$89,Headcount!$F$6:$F$89,"Software",Headcount!$H$6:$H$89,"&gt;="&amp;Software!BQ$3)/12)),BP12),IF(YEAR(BQ$3)=YEAR(Headcount!$P$4),IF((BQ$5=2),((SUMIFS(Headcount!$P$6:$P$89,Headcount!$F$6:$F$89,"Software",Headcount!$H$6:$H$89,"&gt;="&amp;Software!BQ$3)/12)),BP12),IF(YEAR(BQ$3)=YEAR(Headcount!$Q$4),IF((BQ$5=2),((SUMIFS(Headcount!$Q$6:$Q$89,Headcount!$F$6:$F$89,"Software",Headcount!$H$6:$H$89,"&gt;="&amp;Software!BQ$3)/12)),BP12),IF(YEAR(BQ$3)=YEAR(Headcount!$R$4),IF((BQ$5=2),((SUMIFS(Headcount!$R$6:$R$89,Headcount!$F$6:$F$89,"Software",Headcount!$H$6:$H$89,"&gt;="&amp;Software!BQ$3)/12)),BP12),"New Year"))))),SUMIF('Dept. Cost Actuals'!$E$7:$E$176,"*salary*",'Dept. Cost Actuals'!BU$355:BU$524))</f>
        <v>230464.42589554502</v>
      </c>
      <c r="BR12" s="1139">
        <f>IF(BR$4="forecast",IF(YEAR(BR$3)=YEAR(Headcount!$N$4),((SUMIFS(Headcount!$N$6:$N$89,Headcount!$F$6:$F$89,"Software",Headcount!$H$6:$H$89,"&gt;="&amp;Software!BR$3)/12)),IF(YEAR(BR$3)=YEAR(Headcount!$O$4),IF((BR$5=2),((SUMIFS(Headcount!$O$6:$O$89,Headcount!$F$6:$F$89,"Software",Headcount!$H$6:$H$89,"&gt;="&amp;Software!BR$3)/12)),BQ12),IF(YEAR(BR$3)=YEAR(Headcount!$P$4),IF((BR$5=2),((SUMIFS(Headcount!$P$6:$P$89,Headcount!$F$6:$F$89,"Software",Headcount!$H$6:$H$89,"&gt;="&amp;Software!BR$3)/12)),BQ12),IF(YEAR(BR$3)=YEAR(Headcount!$Q$4),IF((BR$5=2),((SUMIFS(Headcount!$Q$6:$Q$89,Headcount!$F$6:$F$89,"Software",Headcount!$H$6:$H$89,"&gt;="&amp;Software!BR$3)/12)),BQ12),IF(YEAR(BR$3)=YEAR(Headcount!$R$4),IF((BR$5=2),((SUMIFS(Headcount!$R$6:$R$89,Headcount!$F$6:$F$89,"Software",Headcount!$H$6:$H$89,"&gt;="&amp;Software!BR$3)/12)),BQ12),"New Year"))))),SUMIF('Dept. Cost Actuals'!$E$7:$E$176,"*salary*",'Dept. Cost Actuals'!BV$355:BV$524))</f>
        <v>230464.42589554502</v>
      </c>
      <c r="BS12" s="1139">
        <f>IF(BS$4="forecast",IF(YEAR(BS$3)=YEAR(Headcount!$N$4),((SUMIFS(Headcount!$N$6:$N$89,Headcount!$F$6:$F$89,"Software",Headcount!$H$6:$H$89,"&gt;="&amp;Software!BS$3)/12)),IF(YEAR(BS$3)=YEAR(Headcount!$O$4),IF((BS$5=2),((SUMIFS(Headcount!$O$6:$O$89,Headcount!$F$6:$F$89,"Software",Headcount!$H$6:$H$89,"&gt;="&amp;Software!BS$3)/12)),BR12),IF(YEAR(BS$3)=YEAR(Headcount!$P$4),IF((BS$5=2),((SUMIFS(Headcount!$P$6:$P$89,Headcount!$F$6:$F$89,"Software",Headcount!$H$6:$H$89,"&gt;="&amp;Software!BS$3)/12)),BR12),IF(YEAR(BS$3)=YEAR(Headcount!$Q$4),IF((BS$5=2),((SUMIFS(Headcount!$Q$6:$Q$89,Headcount!$F$6:$F$89,"Software",Headcount!$H$6:$H$89,"&gt;="&amp;Software!BS$3)/12)),BR12),IF(YEAR(BS$3)=YEAR(Headcount!$R$4),IF((BS$5=2),((SUMIFS(Headcount!$R$6:$R$89,Headcount!$F$6:$F$89,"Software",Headcount!$H$6:$H$89,"&gt;="&amp;Software!BS$3)/12)),BR12),"New Year"))))),SUMIF('Dept. Cost Actuals'!$E$7:$E$176,"*salary*",'Dept. Cost Actuals'!BW$355:BW$524))</f>
        <v>230464.42589554502</v>
      </c>
      <c r="BT12" s="1139">
        <f>IF(BT$4="forecast",IF(YEAR(BT$3)=YEAR(Headcount!$N$4),((SUMIFS(Headcount!$N$6:$N$89,Headcount!$F$6:$F$89,"Software",Headcount!$H$6:$H$89,"&gt;="&amp;Software!BT$3)/12)),IF(YEAR(BT$3)=YEAR(Headcount!$O$4),IF((BT$5=2),((SUMIFS(Headcount!$O$6:$O$89,Headcount!$F$6:$F$89,"Software",Headcount!$H$6:$H$89,"&gt;="&amp;Software!BT$3)/12)),BS12),IF(YEAR(BT$3)=YEAR(Headcount!$P$4),IF((BT$5=2),((SUMIFS(Headcount!$P$6:$P$89,Headcount!$F$6:$F$89,"Software",Headcount!$H$6:$H$89,"&gt;="&amp;Software!BT$3)/12)),BS12),IF(YEAR(BT$3)=YEAR(Headcount!$Q$4),IF((BT$5=2),((SUMIFS(Headcount!$Q$6:$Q$89,Headcount!$F$6:$F$89,"Software",Headcount!$H$6:$H$89,"&gt;="&amp;Software!BT$3)/12)),BS12),IF(YEAR(BT$3)=YEAR(Headcount!$R$4),IF((BT$5=2),((SUMIFS(Headcount!$R$6:$R$89,Headcount!$F$6:$F$89,"Software",Headcount!$H$6:$H$89,"&gt;="&amp;Software!BT$3)/12)),BS12),"New Year"))))),SUMIF('Dept. Cost Actuals'!$E$7:$E$176,"*salary*",'Dept. Cost Actuals'!BX$355:BX$524))</f>
        <v>230464.42589554502</v>
      </c>
      <c r="BU12" s="1139">
        <f>IF(BU$4="forecast",IF(YEAR(BU$3)=YEAR(Headcount!$N$4),((SUMIFS(Headcount!$N$6:$N$89,Headcount!$F$6:$F$89,"Software",Headcount!$H$6:$H$89,"&gt;="&amp;Software!BU$3)/12)),IF(YEAR(BU$3)=YEAR(Headcount!$O$4),IF((BU$5=2),((SUMIFS(Headcount!$O$6:$O$89,Headcount!$F$6:$F$89,"Software",Headcount!$H$6:$H$89,"&gt;="&amp;Software!BU$3)/12)),BT12),IF(YEAR(BU$3)=YEAR(Headcount!$P$4),IF((BU$5=2),((SUMIFS(Headcount!$P$6:$P$89,Headcount!$F$6:$F$89,"Software",Headcount!$H$6:$H$89,"&gt;="&amp;Software!BU$3)/12)),BT12),IF(YEAR(BU$3)=YEAR(Headcount!$Q$4),IF((BU$5=2),((SUMIFS(Headcount!$Q$6:$Q$89,Headcount!$F$6:$F$89,"Software",Headcount!$H$6:$H$89,"&gt;="&amp;Software!BU$3)/12)),BT12),IF(YEAR(BU$3)=YEAR(Headcount!$R$4),IF((BU$5=2),((SUMIFS(Headcount!$R$6:$R$89,Headcount!$F$6:$F$89,"Software",Headcount!$H$6:$H$89,"&gt;="&amp;Software!BU$3)/12)),BT12),"New Year"))))),SUMIF('Dept. Cost Actuals'!$E$7:$E$176,"*salary*",'Dept. Cost Actuals'!BY$355:BY$524))</f>
        <v>230464.42589554502</v>
      </c>
      <c r="BV12" s="789">
        <f>IF(BV$4="forecast",IF(YEAR(BV$3)=YEAR(Headcount!$N$4),((SUMIFS(Headcount!$N$6:$N$89,Headcount!$F$6:$F$89,"Software",Headcount!$H$6:$H$89,"&gt;="&amp;Software!BV$3)/12)),IF(YEAR(BV$3)=YEAR(Headcount!$O$4),IF((BV$5=2),((SUMIFS(Headcount!$O$6:$O$89,Headcount!$F$6:$F$89,"Software",Headcount!$H$6:$H$89,"&gt;="&amp;Software!BV$3)/12)),BU12),IF(YEAR(BV$3)=YEAR(Headcount!$P$4),IF((BV$5=2),((SUMIFS(Headcount!$P$6:$P$89,Headcount!$F$6:$F$89,"Software",Headcount!$H$6:$H$89,"&gt;="&amp;Software!BV$3)/12)),BU12),IF(YEAR(BV$3)=YEAR(Headcount!$Q$4),IF((BV$5=2),((SUMIFS(Headcount!$Q$6:$Q$89,Headcount!$F$6:$F$89,"Software",Headcount!$H$6:$H$89,"&gt;="&amp;Software!BV$3)/12)),BU12),IF(YEAR(BV$3)=YEAR(Headcount!$R$4),IF((BV$5=2),((SUMIFS(Headcount!$R$6:$R$89,Headcount!$F$6:$F$89,"Software",Headcount!$H$6:$H$89,"&gt;="&amp;Software!BV$3)/12)),BU12),"New Year"))))),SUMIF('Dept. Cost Actuals'!$E$7:$E$176,"*salary*",'Dept. Cost Actuals'!BZ$355:BZ$524))</f>
        <v>230464.42589554502</v>
      </c>
    </row>
    <row r="13" spans="2:75" x14ac:dyDescent="0.25">
      <c r="B13" s="780" t="s">
        <v>928</v>
      </c>
      <c r="C13" s="668">
        <f>IF(C$4="forecast",IF(YEAR(C$3)=YEAR('New Hires Forecast'!$N$3),((SUMIFS('New Hires Forecast'!$N$5:$N$82,'New Hires Forecast'!$F$5:$F$82,"Software",'New Hires Forecast'!$H$5:$H$82,"&gt;="&amp;Software!C$3,'New Hires Forecast'!$G$5:$G$82,"&lt;="&amp;Software!C$3)/12)),IF(YEAR(C$3)=YEAR('New Hires Forecast'!$O$3),((SUMIFS('New Hires Forecast'!$O$5:$O$82,'New Hires Forecast'!$F$5:$F$82,"Software",'New Hires Forecast'!$H$5:$H$82,"&gt;="&amp;Software!C$3,'New Hires Forecast'!$G$5:$G$82,"&lt;="&amp;Software!C$3)/12)),IF(YEAR(C$3)=YEAR('New Hires Forecast'!$P$3),((SUMIFS('New Hires Forecast'!$P$5:$P$82,'New Hires Forecast'!$F$5:$F$82,"Software",'New Hires Forecast'!$H$5:$H$82,"&gt;="&amp;Software!C$3,'New Hires Forecast'!$G$5:$G$82,"&lt;="&amp;Software!C$3)/12)),IF(YEAR(C$3)=YEAR('New Hires Forecast'!$Q$3),((SUMIFS('New Hires Forecast'!$Q$5:$Q$82,'New Hires Forecast'!$F$5:$F$82,"Software",'New Hires Forecast'!$H$5:$H$82,"&gt;="&amp;Software!C$3,'New Hires Forecast'!$G$5:$G$82,"&lt;="&amp;Software!C$3)/12)),IF(YEAR(C$3)=YEAR('New Hires Forecast'!$R$3),((SUMIFS('New Hires Forecast'!$R$5:$R$82,'New Hires Forecast'!$F$5:$F$82,"Software",'New Hires Forecast'!$H$5:$H$82,"&gt;="&amp;Software!C$3,'New Hires Forecast'!$G$5:$G$82,"&lt;="&amp;Software!C$3)/12))))))),0)</f>
        <v>0</v>
      </c>
      <c r="D13" s="668">
        <f>IF(D$4="forecast",IF(YEAR(D$3)=YEAR('New Hires Forecast'!$N$3),((SUMIFS('New Hires Forecast'!$N$5:$N$82,'New Hires Forecast'!$F$5:$F$82,"Software",'New Hires Forecast'!$H$5:$H$82,"&gt;="&amp;Software!D$3,'New Hires Forecast'!$G$5:$G$82,"&lt;="&amp;Software!D$3)/12)),IF(YEAR(D$3)=YEAR('New Hires Forecast'!$O$3),((SUMIFS('New Hires Forecast'!$O$5:$O$82,'New Hires Forecast'!$F$5:$F$82,"Software",'New Hires Forecast'!$H$5:$H$82,"&gt;="&amp;Software!D$3,'New Hires Forecast'!$G$5:$G$82,"&lt;="&amp;Software!D$3)/12)),IF(YEAR(D$3)=YEAR('New Hires Forecast'!$P$3),((SUMIFS('New Hires Forecast'!$P$5:$P$82,'New Hires Forecast'!$F$5:$F$82,"Software",'New Hires Forecast'!$H$5:$H$82,"&gt;="&amp;Software!D$3,'New Hires Forecast'!$G$5:$G$82,"&lt;="&amp;Software!D$3)/12)),IF(YEAR(D$3)=YEAR('New Hires Forecast'!$Q$3),((SUMIFS('New Hires Forecast'!$Q$5:$Q$82,'New Hires Forecast'!$F$5:$F$82,"Software",'New Hires Forecast'!$H$5:$H$82,"&gt;="&amp;Software!D$3,'New Hires Forecast'!$G$5:$G$82,"&lt;="&amp;Software!D$3)/12)),IF(YEAR(D$3)=YEAR('New Hires Forecast'!$R$3),((SUMIFS('New Hires Forecast'!$R$5:$R$82,'New Hires Forecast'!$F$5:$F$82,"Software",'New Hires Forecast'!$H$5:$H$82,"&gt;="&amp;Software!D$3,'New Hires Forecast'!$G$5:$G$82,"&lt;="&amp;Software!D$3)/12))))))),0)</f>
        <v>0</v>
      </c>
      <c r="E13" s="668">
        <f>IF(E$4="forecast",IF(YEAR(E$3)=YEAR('New Hires Forecast'!$N$3),((SUMIFS('New Hires Forecast'!$N$5:$N$82,'New Hires Forecast'!$F$5:$F$82,"Software",'New Hires Forecast'!$H$5:$H$82,"&gt;="&amp;Software!E$3,'New Hires Forecast'!$G$5:$G$82,"&lt;="&amp;Software!E$3)/12)),IF(YEAR(E$3)=YEAR('New Hires Forecast'!$O$3),((SUMIFS('New Hires Forecast'!$O$5:$O$82,'New Hires Forecast'!$F$5:$F$82,"Software",'New Hires Forecast'!$H$5:$H$82,"&gt;="&amp;Software!E$3,'New Hires Forecast'!$G$5:$G$82,"&lt;="&amp;Software!E$3)/12)),IF(YEAR(E$3)=YEAR('New Hires Forecast'!$P$3),((SUMIFS('New Hires Forecast'!$P$5:$P$82,'New Hires Forecast'!$F$5:$F$82,"Software",'New Hires Forecast'!$H$5:$H$82,"&gt;="&amp;Software!E$3,'New Hires Forecast'!$G$5:$G$82,"&lt;="&amp;Software!E$3)/12)),IF(YEAR(E$3)=YEAR('New Hires Forecast'!$Q$3),((SUMIFS('New Hires Forecast'!$Q$5:$Q$82,'New Hires Forecast'!$F$5:$F$82,"Software",'New Hires Forecast'!$H$5:$H$82,"&gt;="&amp;Software!E$3,'New Hires Forecast'!$G$5:$G$82,"&lt;="&amp;Software!E$3)/12)),IF(YEAR(E$3)=YEAR('New Hires Forecast'!$R$3),((SUMIFS('New Hires Forecast'!$R$5:$R$82,'New Hires Forecast'!$F$5:$F$82,"Software",'New Hires Forecast'!$H$5:$H$82,"&gt;="&amp;Software!E$3,'New Hires Forecast'!$G$5:$G$82,"&lt;="&amp;Software!E$3)/12))))))),0)</f>
        <v>0</v>
      </c>
      <c r="F13" s="668">
        <f>IF(F$4="forecast",IF(YEAR(F$3)=YEAR('New Hires Forecast'!$N$3),((SUMIFS('New Hires Forecast'!$N$5:$N$82,'New Hires Forecast'!$F$5:$F$82,"Software",'New Hires Forecast'!$H$5:$H$82,"&gt;="&amp;Software!F$3,'New Hires Forecast'!$G$5:$G$82,"&lt;="&amp;Software!F$3)/12)),IF(YEAR(F$3)=YEAR('New Hires Forecast'!$O$3),((SUMIFS('New Hires Forecast'!$O$5:$O$82,'New Hires Forecast'!$F$5:$F$82,"Software",'New Hires Forecast'!$H$5:$H$82,"&gt;="&amp;Software!F$3,'New Hires Forecast'!$G$5:$G$82,"&lt;="&amp;Software!F$3)/12)),IF(YEAR(F$3)=YEAR('New Hires Forecast'!$P$3),((SUMIFS('New Hires Forecast'!$P$5:$P$82,'New Hires Forecast'!$F$5:$F$82,"Software",'New Hires Forecast'!$H$5:$H$82,"&gt;="&amp;Software!F$3,'New Hires Forecast'!$G$5:$G$82,"&lt;="&amp;Software!F$3)/12)),IF(YEAR(F$3)=YEAR('New Hires Forecast'!$Q$3),((SUMIFS('New Hires Forecast'!$Q$5:$Q$82,'New Hires Forecast'!$F$5:$F$82,"Software",'New Hires Forecast'!$H$5:$H$82,"&gt;="&amp;Software!F$3,'New Hires Forecast'!$G$5:$G$82,"&lt;="&amp;Software!F$3)/12)),IF(YEAR(F$3)=YEAR('New Hires Forecast'!$R$3),((SUMIFS('New Hires Forecast'!$R$5:$R$82,'New Hires Forecast'!$F$5:$F$82,"Software",'New Hires Forecast'!$H$5:$H$82,"&gt;="&amp;Software!F$3,'New Hires Forecast'!$G$5:$G$82,"&lt;="&amp;Software!F$3)/12))))))),0)</f>
        <v>0</v>
      </c>
      <c r="G13" s="668">
        <f>IF(G$4="forecast",IF(YEAR(G$3)=YEAR('New Hires Forecast'!$N$3),((SUMIFS('New Hires Forecast'!$N$5:$N$82,'New Hires Forecast'!$F$5:$F$82,"Software",'New Hires Forecast'!$H$5:$H$82,"&gt;="&amp;Software!G$3,'New Hires Forecast'!$G$5:$G$82,"&lt;="&amp;Software!G$3)/12)),IF(YEAR(G$3)=YEAR('New Hires Forecast'!$O$3),((SUMIFS('New Hires Forecast'!$O$5:$O$82,'New Hires Forecast'!$F$5:$F$82,"Software",'New Hires Forecast'!$H$5:$H$82,"&gt;="&amp;Software!G$3,'New Hires Forecast'!$G$5:$G$82,"&lt;="&amp;Software!G$3)/12)),IF(YEAR(G$3)=YEAR('New Hires Forecast'!$P$3),((SUMIFS('New Hires Forecast'!$P$5:$P$82,'New Hires Forecast'!$F$5:$F$82,"Software",'New Hires Forecast'!$H$5:$H$82,"&gt;="&amp;Software!G$3,'New Hires Forecast'!$G$5:$G$82,"&lt;="&amp;Software!G$3)/12)),IF(YEAR(G$3)=YEAR('New Hires Forecast'!$Q$3),((SUMIFS('New Hires Forecast'!$Q$5:$Q$82,'New Hires Forecast'!$F$5:$F$82,"Software",'New Hires Forecast'!$H$5:$H$82,"&gt;="&amp;Software!G$3,'New Hires Forecast'!$G$5:$G$82,"&lt;="&amp;Software!G$3)/12)),IF(YEAR(G$3)=YEAR('New Hires Forecast'!$R$3),((SUMIFS('New Hires Forecast'!$R$5:$R$82,'New Hires Forecast'!$F$5:$F$82,"Software",'New Hires Forecast'!$H$5:$H$82,"&gt;="&amp;Software!G$3,'New Hires Forecast'!$G$5:$G$82,"&lt;="&amp;Software!G$3)/12))))))),0)</f>
        <v>0</v>
      </c>
      <c r="H13" s="668">
        <f>IF(H$4="forecast",IF(YEAR(H$3)=YEAR('New Hires Forecast'!$N$3),((SUMIFS('New Hires Forecast'!$N$5:$N$82,'New Hires Forecast'!$F$5:$F$82,"Software",'New Hires Forecast'!$H$5:$H$82,"&gt;="&amp;Software!H$3,'New Hires Forecast'!$G$5:$G$82,"&lt;="&amp;Software!H$3)/12)),IF(YEAR(H$3)=YEAR('New Hires Forecast'!$O$3),((SUMIFS('New Hires Forecast'!$O$5:$O$82,'New Hires Forecast'!$F$5:$F$82,"Software",'New Hires Forecast'!$H$5:$H$82,"&gt;="&amp;Software!H$3,'New Hires Forecast'!$G$5:$G$82,"&lt;="&amp;Software!H$3)/12)),IF(YEAR(H$3)=YEAR('New Hires Forecast'!$P$3),((SUMIFS('New Hires Forecast'!$P$5:$P$82,'New Hires Forecast'!$F$5:$F$82,"Software",'New Hires Forecast'!$H$5:$H$82,"&gt;="&amp;Software!H$3,'New Hires Forecast'!$G$5:$G$82,"&lt;="&amp;Software!H$3)/12)),IF(YEAR(H$3)=YEAR('New Hires Forecast'!$Q$3),((SUMIFS('New Hires Forecast'!$Q$5:$Q$82,'New Hires Forecast'!$F$5:$F$82,"Software",'New Hires Forecast'!$H$5:$H$82,"&gt;="&amp;Software!H$3,'New Hires Forecast'!$G$5:$G$82,"&lt;="&amp;Software!H$3)/12)),IF(YEAR(H$3)=YEAR('New Hires Forecast'!$R$3),((SUMIFS('New Hires Forecast'!$R$5:$R$82,'New Hires Forecast'!$F$5:$F$82,"Software",'New Hires Forecast'!$H$5:$H$82,"&gt;="&amp;Software!H$3,'New Hires Forecast'!$G$5:$G$82,"&lt;="&amp;Software!H$3)/12))))))),0)</f>
        <v>0</v>
      </c>
      <c r="I13" s="668">
        <f>IF(I$4="forecast",IF(YEAR(I$3)=YEAR('New Hires Forecast'!$N$3),((SUMIFS('New Hires Forecast'!$N$5:$N$82,'New Hires Forecast'!$F$5:$F$82,"Software",'New Hires Forecast'!$H$5:$H$82,"&gt;="&amp;Software!I$3,'New Hires Forecast'!$G$5:$G$82,"&lt;="&amp;Software!I$3)/12)),IF(YEAR(I$3)=YEAR('New Hires Forecast'!$O$3),((SUMIFS('New Hires Forecast'!$O$5:$O$82,'New Hires Forecast'!$F$5:$F$82,"Software",'New Hires Forecast'!$H$5:$H$82,"&gt;="&amp;Software!I$3,'New Hires Forecast'!$G$5:$G$82,"&lt;="&amp;Software!I$3)/12)),IF(YEAR(I$3)=YEAR('New Hires Forecast'!$P$3),((SUMIFS('New Hires Forecast'!$P$5:$P$82,'New Hires Forecast'!$F$5:$F$82,"Software",'New Hires Forecast'!$H$5:$H$82,"&gt;="&amp;Software!I$3,'New Hires Forecast'!$G$5:$G$82,"&lt;="&amp;Software!I$3)/12)),IF(YEAR(I$3)=YEAR('New Hires Forecast'!$Q$3),((SUMIFS('New Hires Forecast'!$Q$5:$Q$82,'New Hires Forecast'!$F$5:$F$82,"Software",'New Hires Forecast'!$H$5:$H$82,"&gt;="&amp;Software!I$3,'New Hires Forecast'!$G$5:$G$82,"&lt;="&amp;Software!I$3)/12)),IF(YEAR(I$3)=YEAR('New Hires Forecast'!$R$3),((SUMIFS('New Hires Forecast'!$R$5:$R$82,'New Hires Forecast'!$F$5:$F$82,"Software",'New Hires Forecast'!$H$5:$H$82,"&gt;="&amp;Software!I$3,'New Hires Forecast'!$G$5:$G$82,"&lt;="&amp;Software!I$3)/12))))))),0)</f>
        <v>0</v>
      </c>
      <c r="J13" s="668">
        <f>IF(J$4="forecast",IF(YEAR(J$3)=YEAR('New Hires Forecast'!$N$3),((SUMIFS('New Hires Forecast'!$N$5:$N$82,'New Hires Forecast'!$F$5:$F$82,"Software",'New Hires Forecast'!$H$5:$H$82,"&gt;="&amp;Software!J$3,'New Hires Forecast'!$G$5:$G$82,"&lt;="&amp;Software!J$3)/12)),IF(YEAR(J$3)=YEAR('New Hires Forecast'!$O$3),((SUMIFS('New Hires Forecast'!$O$5:$O$82,'New Hires Forecast'!$F$5:$F$82,"Software",'New Hires Forecast'!$H$5:$H$82,"&gt;="&amp;Software!J$3,'New Hires Forecast'!$G$5:$G$82,"&lt;="&amp;Software!J$3)/12)),IF(YEAR(J$3)=YEAR('New Hires Forecast'!$P$3),((SUMIFS('New Hires Forecast'!$P$5:$P$82,'New Hires Forecast'!$F$5:$F$82,"Software",'New Hires Forecast'!$H$5:$H$82,"&gt;="&amp;Software!J$3,'New Hires Forecast'!$G$5:$G$82,"&lt;="&amp;Software!J$3)/12)),IF(YEAR(J$3)=YEAR('New Hires Forecast'!$Q$3),((SUMIFS('New Hires Forecast'!$Q$5:$Q$82,'New Hires Forecast'!$F$5:$F$82,"Software",'New Hires Forecast'!$H$5:$H$82,"&gt;="&amp;Software!J$3,'New Hires Forecast'!$G$5:$G$82,"&lt;="&amp;Software!J$3)/12)),IF(YEAR(J$3)=YEAR('New Hires Forecast'!$R$3),((SUMIFS('New Hires Forecast'!$R$5:$R$82,'New Hires Forecast'!$F$5:$F$82,"Software",'New Hires Forecast'!$H$5:$H$82,"&gt;="&amp;Software!J$3,'New Hires Forecast'!$G$5:$G$82,"&lt;="&amp;Software!J$3)/12))))))),0)</f>
        <v>0</v>
      </c>
      <c r="K13" s="668">
        <f>IF(K$4="forecast",IF(YEAR(K$3)=YEAR('New Hires Forecast'!$N$3),((SUMIFS('New Hires Forecast'!$N$5:$N$82,'New Hires Forecast'!$F$5:$F$82,"Software",'New Hires Forecast'!$H$5:$H$82,"&gt;="&amp;Software!K$3,'New Hires Forecast'!$G$5:$G$82,"&lt;="&amp;Software!K$3)/12)),IF(YEAR(K$3)=YEAR('New Hires Forecast'!$O$3),((SUMIFS('New Hires Forecast'!$O$5:$O$82,'New Hires Forecast'!$F$5:$F$82,"Software",'New Hires Forecast'!$H$5:$H$82,"&gt;="&amp;Software!K$3,'New Hires Forecast'!$G$5:$G$82,"&lt;="&amp;Software!K$3)/12)),IF(YEAR(K$3)=YEAR('New Hires Forecast'!$P$3),((SUMIFS('New Hires Forecast'!$P$5:$P$82,'New Hires Forecast'!$F$5:$F$82,"Software",'New Hires Forecast'!$H$5:$H$82,"&gt;="&amp;Software!K$3,'New Hires Forecast'!$G$5:$G$82,"&lt;="&amp;Software!K$3)/12)),IF(YEAR(K$3)=YEAR('New Hires Forecast'!$Q$3),((SUMIFS('New Hires Forecast'!$Q$5:$Q$82,'New Hires Forecast'!$F$5:$F$82,"Software",'New Hires Forecast'!$H$5:$H$82,"&gt;="&amp;Software!K$3,'New Hires Forecast'!$G$5:$G$82,"&lt;="&amp;Software!K$3)/12)),IF(YEAR(K$3)=YEAR('New Hires Forecast'!$R$3),((SUMIFS('New Hires Forecast'!$R$5:$R$82,'New Hires Forecast'!$F$5:$F$82,"Software",'New Hires Forecast'!$H$5:$H$82,"&gt;="&amp;Software!K$3,'New Hires Forecast'!$G$5:$G$82,"&lt;="&amp;Software!K$3)/12))))))),0)</f>
        <v>0</v>
      </c>
      <c r="L13" s="668">
        <f>IF(L$4="forecast",IF(YEAR(L$3)=YEAR('New Hires Forecast'!$N$3),((SUMIFS('New Hires Forecast'!$N$5:$N$82,'New Hires Forecast'!$F$5:$F$82,"Software",'New Hires Forecast'!$H$5:$H$82,"&gt;="&amp;Software!L$3,'New Hires Forecast'!$G$5:$G$82,"&lt;="&amp;Software!L$3)/12)),IF(YEAR(L$3)=YEAR('New Hires Forecast'!$O$3),((SUMIFS('New Hires Forecast'!$O$5:$O$82,'New Hires Forecast'!$F$5:$F$82,"Software",'New Hires Forecast'!$H$5:$H$82,"&gt;="&amp;Software!L$3,'New Hires Forecast'!$G$5:$G$82,"&lt;="&amp;Software!L$3)/12)),IF(YEAR(L$3)=YEAR('New Hires Forecast'!$P$3),((SUMIFS('New Hires Forecast'!$P$5:$P$82,'New Hires Forecast'!$F$5:$F$82,"Software",'New Hires Forecast'!$H$5:$H$82,"&gt;="&amp;Software!L$3,'New Hires Forecast'!$G$5:$G$82,"&lt;="&amp;Software!L$3)/12)),IF(YEAR(L$3)=YEAR('New Hires Forecast'!$Q$3),((SUMIFS('New Hires Forecast'!$Q$5:$Q$82,'New Hires Forecast'!$F$5:$F$82,"Software",'New Hires Forecast'!$H$5:$H$82,"&gt;="&amp;Software!L$3,'New Hires Forecast'!$G$5:$G$82,"&lt;="&amp;Software!L$3)/12)),IF(YEAR(L$3)=YEAR('New Hires Forecast'!$R$3),((SUMIFS('New Hires Forecast'!$R$5:$R$82,'New Hires Forecast'!$F$5:$F$82,"Software",'New Hires Forecast'!$H$5:$H$82,"&gt;="&amp;Software!L$3,'New Hires Forecast'!$G$5:$G$82,"&lt;="&amp;Software!L$3)/12))))))),0)</f>
        <v>0</v>
      </c>
      <c r="M13" s="668">
        <f>IF(M$4="forecast",IF(YEAR(M$3)=YEAR('New Hires Forecast'!$N$3),((SUMIFS('New Hires Forecast'!$N$5:$N$82,'New Hires Forecast'!$F$5:$F$82,"Software",'New Hires Forecast'!$H$5:$H$82,"&gt;="&amp;Software!M$3,'New Hires Forecast'!$G$5:$G$82,"&lt;="&amp;Software!M$3)/12)),IF(YEAR(M$3)=YEAR('New Hires Forecast'!$O$3),((SUMIFS('New Hires Forecast'!$O$5:$O$82,'New Hires Forecast'!$F$5:$F$82,"Software",'New Hires Forecast'!$H$5:$H$82,"&gt;="&amp;Software!M$3,'New Hires Forecast'!$G$5:$G$82,"&lt;="&amp;Software!M$3)/12)),IF(YEAR(M$3)=YEAR('New Hires Forecast'!$P$3),((SUMIFS('New Hires Forecast'!$P$5:$P$82,'New Hires Forecast'!$F$5:$F$82,"Software",'New Hires Forecast'!$H$5:$H$82,"&gt;="&amp;Software!M$3,'New Hires Forecast'!$G$5:$G$82,"&lt;="&amp;Software!M$3)/12)),IF(YEAR(M$3)=YEAR('New Hires Forecast'!$Q$3),((SUMIFS('New Hires Forecast'!$Q$5:$Q$82,'New Hires Forecast'!$F$5:$F$82,"Software",'New Hires Forecast'!$H$5:$H$82,"&gt;="&amp;Software!M$3,'New Hires Forecast'!$G$5:$G$82,"&lt;="&amp;Software!M$3)/12)),IF(YEAR(M$3)=YEAR('New Hires Forecast'!$R$3),((SUMIFS('New Hires Forecast'!$R$5:$R$82,'New Hires Forecast'!$F$5:$F$82,"Software",'New Hires Forecast'!$H$5:$H$82,"&gt;="&amp;Software!M$3,'New Hires Forecast'!$G$5:$G$82,"&lt;="&amp;Software!M$3)/12))))))),0)</f>
        <v>0</v>
      </c>
      <c r="N13" s="668">
        <f>IF(N$4="forecast",IF(YEAR(N$3)=YEAR('New Hires Forecast'!$N$3),((SUMIFS('New Hires Forecast'!$N$5:$N$82,'New Hires Forecast'!$F$5:$F$82,"Software",'New Hires Forecast'!$H$5:$H$82,"&gt;="&amp;Software!N$3,'New Hires Forecast'!$G$5:$G$82,"&lt;="&amp;Software!N$3)/12)),IF(YEAR(N$3)=YEAR('New Hires Forecast'!$O$3),((SUMIFS('New Hires Forecast'!$O$5:$O$82,'New Hires Forecast'!$F$5:$F$82,"Software",'New Hires Forecast'!$H$5:$H$82,"&gt;="&amp;Software!N$3,'New Hires Forecast'!$G$5:$G$82,"&lt;="&amp;Software!N$3)/12)),IF(YEAR(N$3)=YEAR('New Hires Forecast'!$P$3),((SUMIFS('New Hires Forecast'!$P$5:$P$82,'New Hires Forecast'!$F$5:$F$82,"Software",'New Hires Forecast'!$H$5:$H$82,"&gt;="&amp;Software!N$3,'New Hires Forecast'!$G$5:$G$82,"&lt;="&amp;Software!N$3)/12)),IF(YEAR(N$3)=YEAR('New Hires Forecast'!$Q$3),((SUMIFS('New Hires Forecast'!$Q$5:$Q$82,'New Hires Forecast'!$F$5:$F$82,"Software",'New Hires Forecast'!$H$5:$H$82,"&gt;="&amp;Software!N$3,'New Hires Forecast'!$G$5:$G$82,"&lt;="&amp;Software!N$3)/12)),IF(YEAR(N$3)=YEAR('New Hires Forecast'!$R$3),((SUMIFS('New Hires Forecast'!$R$5:$R$82,'New Hires Forecast'!$F$5:$F$82,"Software",'New Hires Forecast'!$H$5:$H$82,"&gt;="&amp;Software!N$3,'New Hires Forecast'!$G$5:$G$82,"&lt;="&amp;Software!N$3)/12))))))),0)</f>
        <v>0</v>
      </c>
      <c r="O13" s="668">
        <f>IF(O$4="forecast",IF(YEAR(O$3)=YEAR('New Hires Forecast'!$N$3),((SUMIFS('New Hires Forecast'!$N$5:$N$82,'New Hires Forecast'!$F$5:$F$82,"Software",'New Hires Forecast'!$H$5:$H$82,"&gt;="&amp;Software!O$3,'New Hires Forecast'!$G$5:$G$82,"&lt;="&amp;Software!O$3)/12)),IF(YEAR(O$3)=YEAR('New Hires Forecast'!$O$3),((SUMIFS('New Hires Forecast'!$O$5:$O$82,'New Hires Forecast'!$F$5:$F$82,"Software",'New Hires Forecast'!$H$5:$H$82,"&gt;="&amp;Software!O$3,'New Hires Forecast'!$G$5:$G$82,"&lt;="&amp;Software!O$3)/12)),IF(YEAR(O$3)=YEAR('New Hires Forecast'!$P$3),((SUMIFS('New Hires Forecast'!$P$5:$P$82,'New Hires Forecast'!$F$5:$F$82,"Software",'New Hires Forecast'!$H$5:$H$82,"&gt;="&amp;Software!O$3,'New Hires Forecast'!$G$5:$G$82,"&lt;="&amp;Software!O$3)/12)),IF(YEAR(O$3)=YEAR('New Hires Forecast'!$Q$3),((SUMIFS('New Hires Forecast'!$Q$5:$Q$82,'New Hires Forecast'!$F$5:$F$82,"Software",'New Hires Forecast'!$H$5:$H$82,"&gt;="&amp;Software!O$3,'New Hires Forecast'!$G$5:$G$82,"&lt;="&amp;Software!O$3)/12)),IF(YEAR(O$3)=YEAR('New Hires Forecast'!$R$3),((SUMIFS('New Hires Forecast'!$R$5:$R$82,'New Hires Forecast'!$F$5:$F$82,"Software",'New Hires Forecast'!$H$5:$H$82,"&gt;="&amp;Software!O$3,'New Hires Forecast'!$G$5:$G$82,"&lt;="&amp;Software!O$3)/12))))))),0)</f>
        <v>0</v>
      </c>
      <c r="P13" s="668">
        <f>IF(P$4="forecast",IF(YEAR(P$3)=YEAR('New Hires Forecast'!$N$3),((SUMIFS('New Hires Forecast'!$N$5:$N$82,'New Hires Forecast'!$F$5:$F$82,"Software",'New Hires Forecast'!$H$5:$H$82,"&gt;="&amp;Software!P$3,'New Hires Forecast'!$G$5:$G$82,"&lt;="&amp;Software!P$3)/12)),IF(YEAR(P$3)=YEAR('New Hires Forecast'!$O$3),((SUMIFS('New Hires Forecast'!$O$5:$O$82,'New Hires Forecast'!$F$5:$F$82,"Software",'New Hires Forecast'!$H$5:$H$82,"&gt;="&amp;Software!P$3,'New Hires Forecast'!$G$5:$G$82,"&lt;="&amp;Software!P$3)/12)),IF(YEAR(P$3)=YEAR('New Hires Forecast'!$P$3),((SUMIFS('New Hires Forecast'!$P$5:$P$82,'New Hires Forecast'!$F$5:$F$82,"Software",'New Hires Forecast'!$H$5:$H$82,"&gt;="&amp;Software!P$3,'New Hires Forecast'!$G$5:$G$82,"&lt;="&amp;Software!P$3)/12)),IF(YEAR(P$3)=YEAR('New Hires Forecast'!$Q$3),((SUMIFS('New Hires Forecast'!$Q$5:$Q$82,'New Hires Forecast'!$F$5:$F$82,"Software",'New Hires Forecast'!$H$5:$H$82,"&gt;="&amp;Software!P$3,'New Hires Forecast'!$G$5:$G$82,"&lt;="&amp;Software!P$3)/12)),IF(YEAR(P$3)=YEAR('New Hires Forecast'!$R$3),((SUMIFS('New Hires Forecast'!$R$5:$R$82,'New Hires Forecast'!$F$5:$F$82,"Software",'New Hires Forecast'!$H$5:$H$82,"&gt;="&amp;Software!P$3,'New Hires Forecast'!$G$5:$G$82,"&lt;="&amp;Software!P$3)/12))))))),0)</f>
        <v>0</v>
      </c>
      <c r="Q13" s="668">
        <f>IF(Q$4="forecast",IF(YEAR(Q$3)=YEAR('New Hires Forecast'!$N$3),((SUMIFS('New Hires Forecast'!$N$5:$N$82,'New Hires Forecast'!$F$5:$F$82,"Software",'New Hires Forecast'!$H$5:$H$82,"&gt;="&amp;Software!Q$3,'New Hires Forecast'!$G$5:$G$82,"&lt;="&amp;Software!Q$3)/12)),IF(YEAR(Q$3)=YEAR('New Hires Forecast'!$O$3),((SUMIFS('New Hires Forecast'!$O$5:$O$82,'New Hires Forecast'!$F$5:$F$82,"Software",'New Hires Forecast'!$H$5:$H$82,"&gt;="&amp;Software!Q$3,'New Hires Forecast'!$G$5:$G$82,"&lt;="&amp;Software!Q$3)/12)),IF(YEAR(Q$3)=YEAR('New Hires Forecast'!$P$3),((SUMIFS('New Hires Forecast'!$P$5:$P$82,'New Hires Forecast'!$F$5:$F$82,"Software",'New Hires Forecast'!$H$5:$H$82,"&gt;="&amp;Software!Q$3,'New Hires Forecast'!$G$5:$G$82,"&lt;="&amp;Software!Q$3)/12)),IF(YEAR(Q$3)=YEAR('New Hires Forecast'!$Q$3),((SUMIFS('New Hires Forecast'!$Q$5:$Q$82,'New Hires Forecast'!$F$5:$F$82,"Software",'New Hires Forecast'!$H$5:$H$82,"&gt;="&amp;Software!Q$3,'New Hires Forecast'!$G$5:$G$82,"&lt;="&amp;Software!Q$3)/12)),IF(YEAR(Q$3)=YEAR('New Hires Forecast'!$R$3),((SUMIFS('New Hires Forecast'!$R$5:$R$82,'New Hires Forecast'!$F$5:$F$82,"Software",'New Hires Forecast'!$H$5:$H$82,"&gt;="&amp;Software!Q$3,'New Hires Forecast'!$G$5:$G$82,"&lt;="&amp;Software!Q$3)/12))))))),0)</f>
        <v>0</v>
      </c>
      <c r="R13" s="668">
        <f>IF(R$4="forecast",IF(YEAR(R$3)=YEAR('New Hires Forecast'!$N$3),((SUMIFS('New Hires Forecast'!$N$5:$N$82,'New Hires Forecast'!$F$5:$F$82,"Software",'New Hires Forecast'!$H$5:$H$82,"&gt;="&amp;Software!R$3,'New Hires Forecast'!$G$5:$G$82,"&lt;="&amp;Software!R$3)/12)),IF(YEAR(R$3)=YEAR('New Hires Forecast'!$O$3),((SUMIFS('New Hires Forecast'!$O$5:$O$82,'New Hires Forecast'!$F$5:$F$82,"Software",'New Hires Forecast'!$H$5:$H$82,"&gt;="&amp;Software!R$3,'New Hires Forecast'!$G$5:$G$82,"&lt;="&amp;Software!R$3)/12)),IF(YEAR(R$3)=YEAR('New Hires Forecast'!$P$3),((SUMIFS('New Hires Forecast'!$P$5:$P$82,'New Hires Forecast'!$F$5:$F$82,"Software",'New Hires Forecast'!$H$5:$H$82,"&gt;="&amp;Software!R$3,'New Hires Forecast'!$G$5:$G$82,"&lt;="&amp;Software!R$3)/12)),IF(YEAR(R$3)=YEAR('New Hires Forecast'!$Q$3),((SUMIFS('New Hires Forecast'!$Q$5:$Q$82,'New Hires Forecast'!$F$5:$F$82,"Software",'New Hires Forecast'!$H$5:$H$82,"&gt;="&amp;Software!R$3,'New Hires Forecast'!$G$5:$G$82,"&lt;="&amp;Software!R$3)/12)),IF(YEAR(R$3)=YEAR('New Hires Forecast'!$R$3),((SUMIFS('New Hires Forecast'!$R$5:$R$82,'New Hires Forecast'!$F$5:$F$82,"Software",'New Hires Forecast'!$H$5:$H$82,"&gt;="&amp;Software!R$3,'New Hires Forecast'!$G$5:$G$82,"&lt;="&amp;Software!R$3)/12))))))),0)</f>
        <v>0</v>
      </c>
      <c r="S13" s="668">
        <f>IF(S$4="forecast",IF(YEAR(S$3)=YEAR('New Hires Forecast'!$N$3),((SUMIFS('New Hires Forecast'!$N$5:$N$82,'New Hires Forecast'!$F$5:$F$82,"Software",'New Hires Forecast'!$H$5:$H$82,"&gt;="&amp;Software!S$3,'New Hires Forecast'!$G$5:$G$82,"&lt;="&amp;Software!S$3)/12)),IF(YEAR(S$3)=YEAR('New Hires Forecast'!$O$3),((SUMIFS('New Hires Forecast'!$O$5:$O$82,'New Hires Forecast'!$F$5:$F$82,"Software",'New Hires Forecast'!$H$5:$H$82,"&gt;="&amp;Software!S$3,'New Hires Forecast'!$G$5:$G$82,"&lt;="&amp;Software!S$3)/12)),IF(YEAR(S$3)=YEAR('New Hires Forecast'!$P$3),((SUMIFS('New Hires Forecast'!$P$5:$P$82,'New Hires Forecast'!$F$5:$F$82,"Software",'New Hires Forecast'!$H$5:$H$82,"&gt;="&amp;Software!S$3,'New Hires Forecast'!$G$5:$G$82,"&lt;="&amp;Software!S$3)/12)),IF(YEAR(S$3)=YEAR('New Hires Forecast'!$Q$3),((SUMIFS('New Hires Forecast'!$Q$5:$Q$82,'New Hires Forecast'!$F$5:$F$82,"Software",'New Hires Forecast'!$H$5:$H$82,"&gt;="&amp;Software!S$3,'New Hires Forecast'!$G$5:$G$82,"&lt;="&amp;Software!S$3)/12)),IF(YEAR(S$3)=YEAR('New Hires Forecast'!$R$3),((SUMIFS('New Hires Forecast'!$R$5:$R$82,'New Hires Forecast'!$F$5:$F$82,"Software",'New Hires Forecast'!$H$5:$H$82,"&gt;="&amp;Software!S$3,'New Hires Forecast'!$G$5:$G$82,"&lt;="&amp;Software!S$3)/12))))))),0)</f>
        <v>0</v>
      </c>
      <c r="T13" s="668">
        <f>IF(T$4="forecast",IF(YEAR(T$3)=YEAR('New Hires Forecast'!$N$3),((SUMIFS('New Hires Forecast'!$N$5:$N$82,'New Hires Forecast'!$F$5:$F$82,"Software",'New Hires Forecast'!$H$5:$H$82,"&gt;="&amp;Software!T$3,'New Hires Forecast'!$G$5:$G$82,"&lt;="&amp;Software!T$3)/12)),IF(YEAR(T$3)=YEAR('New Hires Forecast'!$O$3),((SUMIFS('New Hires Forecast'!$O$5:$O$82,'New Hires Forecast'!$F$5:$F$82,"Software",'New Hires Forecast'!$H$5:$H$82,"&gt;="&amp;Software!T$3,'New Hires Forecast'!$G$5:$G$82,"&lt;="&amp;Software!T$3)/12)),IF(YEAR(T$3)=YEAR('New Hires Forecast'!$P$3),((SUMIFS('New Hires Forecast'!$P$5:$P$82,'New Hires Forecast'!$F$5:$F$82,"Software",'New Hires Forecast'!$H$5:$H$82,"&gt;="&amp;Software!T$3,'New Hires Forecast'!$G$5:$G$82,"&lt;="&amp;Software!T$3)/12)),IF(YEAR(T$3)=YEAR('New Hires Forecast'!$Q$3),((SUMIFS('New Hires Forecast'!$Q$5:$Q$82,'New Hires Forecast'!$F$5:$F$82,"Software",'New Hires Forecast'!$H$5:$H$82,"&gt;="&amp;Software!T$3,'New Hires Forecast'!$G$5:$G$82,"&lt;="&amp;Software!T$3)/12)),IF(YEAR(T$3)=YEAR('New Hires Forecast'!$R$3),((SUMIFS('New Hires Forecast'!$R$5:$R$82,'New Hires Forecast'!$F$5:$F$82,"Software",'New Hires Forecast'!$H$5:$H$82,"&gt;="&amp;Software!T$3,'New Hires Forecast'!$G$5:$G$82,"&lt;="&amp;Software!T$3)/12))))))),0)</f>
        <v>0</v>
      </c>
      <c r="U13" s="668">
        <f>IF(U$4="forecast",IF(YEAR(U$3)=YEAR('New Hires Forecast'!$N$3),((SUMIFS('New Hires Forecast'!$N$5:$N$82,'New Hires Forecast'!$F$5:$F$82,"Software",'New Hires Forecast'!$H$5:$H$82,"&gt;="&amp;Software!U$3,'New Hires Forecast'!$G$5:$G$82,"&lt;="&amp;Software!U$3)/12)),IF(YEAR(U$3)=YEAR('New Hires Forecast'!$O$3),((SUMIFS('New Hires Forecast'!$O$5:$O$82,'New Hires Forecast'!$F$5:$F$82,"Software",'New Hires Forecast'!$H$5:$H$82,"&gt;="&amp;Software!U$3,'New Hires Forecast'!$G$5:$G$82,"&lt;="&amp;Software!U$3)/12)),IF(YEAR(U$3)=YEAR('New Hires Forecast'!$P$3),((SUMIFS('New Hires Forecast'!$P$5:$P$82,'New Hires Forecast'!$F$5:$F$82,"Software",'New Hires Forecast'!$H$5:$H$82,"&gt;="&amp;Software!U$3,'New Hires Forecast'!$G$5:$G$82,"&lt;="&amp;Software!U$3)/12)),IF(YEAR(U$3)=YEAR('New Hires Forecast'!$Q$3),((SUMIFS('New Hires Forecast'!$Q$5:$Q$82,'New Hires Forecast'!$F$5:$F$82,"Software",'New Hires Forecast'!$H$5:$H$82,"&gt;="&amp;Software!U$3,'New Hires Forecast'!$G$5:$G$82,"&lt;="&amp;Software!U$3)/12)),IF(YEAR(U$3)=YEAR('New Hires Forecast'!$R$3),((SUMIFS('New Hires Forecast'!$R$5:$R$82,'New Hires Forecast'!$F$5:$F$82,"Software",'New Hires Forecast'!$H$5:$H$82,"&gt;="&amp;Software!U$3,'New Hires Forecast'!$G$5:$G$82,"&lt;="&amp;Software!U$3)/12))))))),0)</f>
        <v>0</v>
      </c>
      <c r="V13" s="668">
        <f>IF(V$4="forecast",IF(YEAR(V$3)=YEAR('New Hires Forecast'!$N$3),((SUMIFS('New Hires Forecast'!$N$5:$N$82,'New Hires Forecast'!$F$5:$F$82,"Software",'New Hires Forecast'!$H$5:$H$82,"&gt;="&amp;Software!V$3,'New Hires Forecast'!$G$5:$G$82,"&lt;="&amp;Software!V$3)/12)),IF(YEAR(V$3)=YEAR('New Hires Forecast'!$O$3),((SUMIFS('New Hires Forecast'!$O$5:$O$82,'New Hires Forecast'!$F$5:$F$82,"Software",'New Hires Forecast'!$H$5:$H$82,"&gt;="&amp;Software!V$3,'New Hires Forecast'!$G$5:$G$82,"&lt;="&amp;Software!V$3)/12)),IF(YEAR(V$3)=YEAR('New Hires Forecast'!$P$3),((SUMIFS('New Hires Forecast'!$P$5:$P$82,'New Hires Forecast'!$F$5:$F$82,"Software",'New Hires Forecast'!$H$5:$H$82,"&gt;="&amp;Software!V$3,'New Hires Forecast'!$G$5:$G$82,"&lt;="&amp;Software!V$3)/12)),IF(YEAR(V$3)=YEAR('New Hires Forecast'!$Q$3),((SUMIFS('New Hires Forecast'!$Q$5:$Q$82,'New Hires Forecast'!$F$5:$F$82,"Software",'New Hires Forecast'!$H$5:$H$82,"&gt;="&amp;Software!V$3,'New Hires Forecast'!$G$5:$G$82,"&lt;="&amp;Software!V$3)/12)),IF(YEAR(V$3)=YEAR('New Hires Forecast'!$R$3),((SUMIFS('New Hires Forecast'!$R$5:$R$82,'New Hires Forecast'!$F$5:$F$82,"Software",'New Hires Forecast'!$H$5:$H$82,"&gt;="&amp;Software!V$3,'New Hires Forecast'!$G$5:$G$82,"&lt;="&amp;Software!V$3)/12))))))),0)</f>
        <v>0</v>
      </c>
      <c r="W13" s="668">
        <f>IF(W$4="forecast",IF(YEAR(W$3)=YEAR('New Hires Forecast'!$N$3),((SUMIFS('New Hires Forecast'!$N$5:$N$82,'New Hires Forecast'!$F$5:$F$82,"Software",'New Hires Forecast'!$H$5:$H$82,"&gt;="&amp;Software!W$3,'New Hires Forecast'!$G$5:$G$82,"&lt;="&amp;Software!W$3)/12)),IF(YEAR(W$3)=YEAR('New Hires Forecast'!$O$3),((SUMIFS('New Hires Forecast'!$O$5:$O$82,'New Hires Forecast'!$F$5:$F$82,"Software",'New Hires Forecast'!$H$5:$H$82,"&gt;="&amp;Software!W$3,'New Hires Forecast'!$G$5:$G$82,"&lt;="&amp;Software!W$3)/12)),IF(YEAR(W$3)=YEAR('New Hires Forecast'!$P$3),((SUMIFS('New Hires Forecast'!$P$5:$P$82,'New Hires Forecast'!$F$5:$F$82,"Software",'New Hires Forecast'!$H$5:$H$82,"&gt;="&amp;Software!W$3,'New Hires Forecast'!$G$5:$G$82,"&lt;="&amp;Software!W$3)/12)),IF(YEAR(W$3)=YEAR('New Hires Forecast'!$Q$3),((SUMIFS('New Hires Forecast'!$Q$5:$Q$82,'New Hires Forecast'!$F$5:$F$82,"Software",'New Hires Forecast'!$H$5:$H$82,"&gt;="&amp;Software!W$3,'New Hires Forecast'!$G$5:$G$82,"&lt;="&amp;Software!W$3)/12)),IF(YEAR(W$3)=YEAR('New Hires Forecast'!$R$3),((SUMIFS('New Hires Forecast'!$R$5:$R$82,'New Hires Forecast'!$F$5:$F$82,"Software",'New Hires Forecast'!$H$5:$H$82,"&gt;="&amp;Software!W$3,'New Hires Forecast'!$G$5:$G$82,"&lt;="&amp;Software!W$3)/12))))))),0)</f>
        <v>0</v>
      </c>
      <c r="X13" s="668">
        <f>IF(X$4="forecast",IF(YEAR(X$3)=YEAR('New Hires Forecast'!$N$3),((SUMIFS('New Hires Forecast'!$N$5:$N$82,'New Hires Forecast'!$F$5:$F$82,"Software",'New Hires Forecast'!$H$5:$H$82,"&gt;="&amp;Software!X$3,'New Hires Forecast'!$G$5:$G$82,"&lt;="&amp;Software!X$3)/12)),IF(YEAR(X$3)=YEAR('New Hires Forecast'!$O$3),((SUMIFS('New Hires Forecast'!$O$5:$O$82,'New Hires Forecast'!$F$5:$F$82,"Software",'New Hires Forecast'!$H$5:$H$82,"&gt;="&amp;Software!X$3,'New Hires Forecast'!$G$5:$G$82,"&lt;="&amp;Software!X$3)/12)),IF(YEAR(X$3)=YEAR('New Hires Forecast'!$P$3),((SUMIFS('New Hires Forecast'!$P$5:$P$82,'New Hires Forecast'!$F$5:$F$82,"Software",'New Hires Forecast'!$H$5:$H$82,"&gt;="&amp;Software!X$3,'New Hires Forecast'!$G$5:$G$82,"&lt;="&amp;Software!X$3)/12)),IF(YEAR(X$3)=YEAR('New Hires Forecast'!$Q$3),((SUMIFS('New Hires Forecast'!$Q$5:$Q$82,'New Hires Forecast'!$F$5:$F$82,"Software",'New Hires Forecast'!$H$5:$H$82,"&gt;="&amp;Software!X$3,'New Hires Forecast'!$G$5:$G$82,"&lt;="&amp;Software!X$3)/12)),IF(YEAR(X$3)=YEAR('New Hires Forecast'!$R$3),((SUMIFS('New Hires Forecast'!$R$5:$R$82,'New Hires Forecast'!$F$5:$F$82,"Software",'New Hires Forecast'!$H$5:$H$82,"&gt;="&amp;Software!X$3,'New Hires Forecast'!$G$5:$G$82,"&lt;="&amp;Software!X$3)/12))))))),0)</f>
        <v>0</v>
      </c>
      <c r="Y13" s="668">
        <f>IF(Y$4="forecast",IF(YEAR(Y$3)=YEAR('New Hires Forecast'!$N$3),((SUMIFS('New Hires Forecast'!$N$5:$N$82,'New Hires Forecast'!$F$5:$F$82,"Software",'New Hires Forecast'!$H$5:$H$82,"&gt;="&amp;Software!Y$3,'New Hires Forecast'!$G$5:$G$82,"&lt;="&amp;Software!Y$3)/12)),IF(YEAR(Y$3)=YEAR('New Hires Forecast'!$O$3),((SUMIFS('New Hires Forecast'!$O$5:$O$82,'New Hires Forecast'!$F$5:$F$82,"Software",'New Hires Forecast'!$H$5:$H$82,"&gt;="&amp;Software!Y$3,'New Hires Forecast'!$G$5:$G$82,"&lt;="&amp;Software!Y$3)/12)),IF(YEAR(Y$3)=YEAR('New Hires Forecast'!$P$3),((SUMIFS('New Hires Forecast'!$P$5:$P$82,'New Hires Forecast'!$F$5:$F$82,"Software",'New Hires Forecast'!$H$5:$H$82,"&gt;="&amp;Software!Y$3,'New Hires Forecast'!$G$5:$G$82,"&lt;="&amp;Software!Y$3)/12)),IF(YEAR(Y$3)=YEAR('New Hires Forecast'!$Q$3),((SUMIFS('New Hires Forecast'!$Q$5:$Q$82,'New Hires Forecast'!$F$5:$F$82,"Software",'New Hires Forecast'!$H$5:$H$82,"&gt;="&amp;Software!Y$3,'New Hires Forecast'!$G$5:$G$82,"&lt;="&amp;Software!Y$3)/12)),IF(YEAR(Y$3)=YEAR('New Hires Forecast'!$R$3),((SUMIFS('New Hires Forecast'!$R$5:$R$82,'New Hires Forecast'!$F$5:$F$82,"Software",'New Hires Forecast'!$H$5:$H$82,"&gt;="&amp;Software!Y$3,'New Hires Forecast'!$G$5:$G$82,"&lt;="&amp;Software!Y$3)/12))))))),0)</f>
        <v>0</v>
      </c>
      <c r="Z13" s="668">
        <f>IF(Z$4="forecast",IF(YEAR(Z$3)=YEAR('New Hires Forecast'!$N$3),((SUMIFS('New Hires Forecast'!$N$5:$N$82,'New Hires Forecast'!$F$5:$F$82,"Software",'New Hires Forecast'!$H$5:$H$82,"&gt;="&amp;Software!Z$3,'New Hires Forecast'!$G$5:$G$82,"&lt;="&amp;Software!Z$3)/12)),IF(YEAR(Z$3)=YEAR('New Hires Forecast'!$O$3),((SUMIFS('New Hires Forecast'!$O$5:$O$82,'New Hires Forecast'!$F$5:$F$82,"Software",'New Hires Forecast'!$H$5:$H$82,"&gt;="&amp;Software!Z$3,'New Hires Forecast'!$G$5:$G$82,"&lt;="&amp;Software!Z$3)/12)),IF(YEAR(Z$3)=YEAR('New Hires Forecast'!$P$3),((SUMIFS('New Hires Forecast'!$P$5:$P$82,'New Hires Forecast'!$F$5:$F$82,"Software",'New Hires Forecast'!$H$5:$H$82,"&gt;="&amp;Software!Z$3,'New Hires Forecast'!$G$5:$G$82,"&lt;="&amp;Software!Z$3)/12)),IF(YEAR(Z$3)=YEAR('New Hires Forecast'!$Q$3),((SUMIFS('New Hires Forecast'!$Q$5:$Q$82,'New Hires Forecast'!$F$5:$F$82,"Software",'New Hires Forecast'!$H$5:$H$82,"&gt;="&amp;Software!Z$3,'New Hires Forecast'!$G$5:$G$82,"&lt;="&amp;Software!Z$3)/12)),IF(YEAR(Z$3)=YEAR('New Hires Forecast'!$R$3),((SUMIFS('New Hires Forecast'!$R$5:$R$82,'New Hires Forecast'!$F$5:$F$82,"Software",'New Hires Forecast'!$H$5:$H$82,"&gt;="&amp;Software!Z$3,'New Hires Forecast'!$G$5:$G$82,"&lt;="&amp;Software!Z$3)/12))))))),0)</f>
        <v>0</v>
      </c>
      <c r="AA13" s="668">
        <f>IF(AA$4="forecast",IF(YEAR(AA$3)=YEAR('New Hires Forecast'!$N$3),((SUMIFS('New Hires Forecast'!$N$5:$N$82,'New Hires Forecast'!$F$5:$F$82,"Software",'New Hires Forecast'!$H$5:$H$82,"&gt;="&amp;Software!AA$3,'New Hires Forecast'!$G$5:$G$82,"&lt;="&amp;Software!AA$3)/12)),IF(YEAR(AA$3)=YEAR('New Hires Forecast'!$O$3),((SUMIFS('New Hires Forecast'!$O$5:$O$82,'New Hires Forecast'!$F$5:$F$82,"Software",'New Hires Forecast'!$H$5:$H$82,"&gt;="&amp;Software!AA$3,'New Hires Forecast'!$G$5:$G$82,"&lt;="&amp;Software!AA$3)/12)),IF(YEAR(AA$3)=YEAR('New Hires Forecast'!$P$3),((SUMIFS('New Hires Forecast'!$P$5:$P$82,'New Hires Forecast'!$F$5:$F$82,"Software",'New Hires Forecast'!$H$5:$H$82,"&gt;="&amp;Software!AA$3,'New Hires Forecast'!$G$5:$G$82,"&lt;="&amp;Software!AA$3)/12)),IF(YEAR(AA$3)=YEAR('New Hires Forecast'!$Q$3),((SUMIFS('New Hires Forecast'!$Q$5:$Q$82,'New Hires Forecast'!$F$5:$F$82,"Software",'New Hires Forecast'!$H$5:$H$82,"&gt;="&amp;Software!AA$3,'New Hires Forecast'!$G$5:$G$82,"&lt;="&amp;Software!AA$3)/12)),IF(YEAR(AA$3)=YEAR('New Hires Forecast'!$R$3),((SUMIFS('New Hires Forecast'!$R$5:$R$82,'New Hires Forecast'!$F$5:$F$82,"Software",'New Hires Forecast'!$H$5:$H$82,"&gt;="&amp;Software!AA$3,'New Hires Forecast'!$G$5:$G$82,"&lt;="&amp;Software!AA$3)/12))))))),0)</f>
        <v>0</v>
      </c>
      <c r="AB13" s="668">
        <f>IF(AB$4="forecast",IF(YEAR(AB$3)=YEAR('New Hires Forecast'!$N$3),((SUMIFS('New Hires Forecast'!$N$5:$N$82,'New Hires Forecast'!$F$5:$F$82,"Software",'New Hires Forecast'!$H$5:$H$82,"&gt;="&amp;Software!AB$3,'New Hires Forecast'!$G$5:$G$82,"&lt;="&amp;Software!AB$3)/12)),IF(YEAR(AB$3)=YEAR('New Hires Forecast'!$O$3),((SUMIFS('New Hires Forecast'!$O$5:$O$82,'New Hires Forecast'!$F$5:$F$82,"Software",'New Hires Forecast'!$H$5:$H$82,"&gt;="&amp;Software!AB$3,'New Hires Forecast'!$G$5:$G$82,"&lt;="&amp;Software!AB$3)/12)),IF(YEAR(AB$3)=YEAR('New Hires Forecast'!$P$3),((SUMIFS('New Hires Forecast'!$P$5:$P$82,'New Hires Forecast'!$F$5:$F$82,"Software",'New Hires Forecast'!$H$5:$H$82,"&gt;="&amp;Software!AB$3,'New Hires Forecast'!$G$5:$G$82,"&lt;="&amp;Software!AB$3)/12)),IF(YEAR(AB$3)=YEAR('New Hires Forecast'!$Q$3),((SUMIFS('New Hires Forecast'!$Q$5:$Q$82,'New Hires Forecast'!$F$5:$F$82,"Software",'New Hires Forecast'!$H$5:$H$82,"&gt;="&amp;Software!AB$3,'New Hires Forecast'!$G$5:$G$82,"&lt;="&amp;Software!AB$3)/12)),IF(YEAR(AB$3)=YEAR('New Hires Forecast'!$R$3),((SUMIFS('New Hires Forecast'!$R$5:$R$82,'New Hires Forecast'!$F$5:$F$82,"Software",'New Hires Forecast'!$H$5:$H$82,"&gt;="&amp;Software!AB$3,'New Hires Forecast'!$G$5:$G$82,"&lt;="&amp;Software!AB$3)/12))))))),0)</f>
        <v>0</v>
      </c>
      <c r="AC13" s="668">
        <f>IF(AC$4="forecast",IF(YEAR(AC$3)=YEAR('New Hires Forecast'!$N$3),((SUMIFS('New Hires Forecast'!$N$5:$N$82,'New Hires Forecast'!$F$5:$F$82,"Software",'New Hires Forecast'!$H$5:$H$82,"&gt;="&amp;Software!AC$3,'New Hires Forecast'!$G$5:$G$82,"&lt;="&amp;Software!AC$3)/12)),IF(YEAR(AC$3)=YEAR('New Hires Forecast'!$O$3),((SUMIFS('New Hires Forecast'!$O$5:$O$82,'New Hires Forecast'!$F$5:$F$82,"Software",'New Hires Forecast'!$H$5:$H$82,"&gt;="&amp;Software!AC$3,'New Hires Forecast'!$G$5:$G$82,"&lt;="&amp;Software!AC$3)/12)),IF(YEAR(AC$3)=YEAR('New Hires Forecast'!$P$3),((SUMIFS('New Hires Forecast'!$P$5:$P$82,'New Hires Forecast'!$F$5:$F$82,"Software",'New Hires Forecast'!$H$5:$H$82,"&gt;="&amp;Software!AC$3,'New Hires Forecast'!$G$5:$G$82,"&lt;="&amp;Software!AC$3)/12)),IF(YEAR(AC$3)=YEAR('New Hires Forecast'!$Q$3),((SUMIFS('New Hires Forecast'!$Q$5:$Q$82,'New Hires Forecast'!$F$5:$F$82,"Software",'New Hires Forecast'!$H$5:$H$82,"&gt;="&amp;Software!AC$3,'New Hires Forecast'!$G$5:$G$82,"&lt;="&amp;Software!AC$3)/12)),IF(YEAR(AC$3)=YEAR('New Hires Forecast'!$R$3),((SUMIFS('New Hires Forecast'!$R$5:$R$82,'New Hires Forecast'!$F$5:$F$82,"Software",'New Hires Forecast'!$H$5:$H$82,"&gt;="&amp;Software!AC$3,'New Hires Forecast'!$G$5:$G$82,"&lt;="&amp;Software!AC$3)/12))))))),0)</f>
        <v>0</v>
      </c>
      <c r="AD13" s="668">
        <f>IF(AD$4="forecast",IF(YEAR(AD$3)=YEAR('New Hires Forecast'!$N$3),((SUMIFS('New Hires Forecast'!$N$5:$N$82,'New Hires Forecast'!$F$5:$F$82,"Software",'New Hires Forecast'!$H$5:$H$82,"&gt;="&amp;Software!AD$3,'New Hires Forecast'!$G$5:$G$82,"&lt;="&amp;Software!AD$3)/12)),IF(YEAR(AD$3)=YEAR('New Hires Forecast'!$O$3),((SUMIFS('New Hires Forecast'!$O$5:$O$82,'New Hires Forecast'!$F$5:$F$82,"Software",'New Hires Forecast'!$H$5:$H$82,"&gt;="&amp;Software!AD$3,'New Hires Forecast'!$G$5:$G$82,"&lt;="&amp;Software!AD$3)/12)),IF(YEAR(AD$3)=YEAR('New Hires Forecast'!$P$3),((SUMIFS('New Hires Forecast'!$P$5:$P$82,'New Hires Forecast'!$F$5:$F$82,"Software",'New Hires Forecast'!$H$5:$H$82,"&gt;="&amp;Software!AD$3,'New Hires Forecast'!$G$5:$G$82,"&lt;="&amp;Software!AD$3)/12)),IF(YEAR(AD$3)=YEAR('New Hires Forecast'!$Q$3),((SUMIFS('New Hires Forecast'!$Q$5:$Q$82,'New Hires Forecast'!$F$5:$F$82,"Software",'New Hires Forecast'!$H$5:$H$82,"&gt;="&amp;Software!AD$3,'New Hires Forecast'!$G$5:$G$82,"&lt;="&amp;Software!AD$3)/12)),IF(YEAR(AD$3)=YEAR('New Hires Forecast'!$R$3),((SUMIFS('New Hires Forecast'!$R$5:$R$82,'New Hires Forecast'!$F$5:$F$82,"Software",'New Hires Forecast'!$H$5:$H$82,"&gt;="&amp;Software!AD$3,'New Hires Forecast'!$G$5:$G$82,"&lt;="&amp;Software!AD$3)/12))))))),0)</f>
        <v>10000</v>
      </c>
      <c r="AE13" s="668">
        <f>IF(AE$4="forecast",IF(YEAR(AE$3)=YEAR('New Hires Forecast'!$N$3),((SUMIFS('New Hires Forecast'!$N$5:$N$82,'New Hires Forecast'!$F$5:$F$82,"Software",'New Hires Forecast'!$H$5:$H$82,"&gt;="&amp;Software!AE$3,'New Hires Forecast'!$G$5:$G$82,"&lt;="&amp;Software!AE$3)/12)),IF(YEAR(AE$3)=YEAR('New Hires Forecast'!$O$3),((SUMIFS('New Hires Forecast'!$O$5:$O$82,'New Hires Forecast'!$F$5:$F$82,"Software",'New Hires Forecast'!$H$5:$H$82,"&gt;="&amp;Software!AE$3,'New Hires Forecast'!$G$5:$G$82,"&lt;="&amp;Software!AE$3)/12)),IF(YEAR(AE$3)=YEAR('New Hires Forecast'!$P$3),((SUMIFS('New Hires Forecast'!$P$5:$P$82,'New Hires Forecast'!$F$5:$F$82,"Software",'New Hires Forecast'!$H$5:$H$82,"&gt;="&amp;Software!AE$3,'New Hires Forecast'!$G$5:$G$82,"&lt;="&amp;Software!AE$3)/12)),IF(YEAR(AE$3)=YEAR('New Hires Forecast'!$Q$3),((SUMIFS('New Hires Forecast'!$Q$5:$Q$82,'New Hires Forecast'!$F$5:$F$82,"Software",'New Hires Forecast'!$H$5:$H$82,"&gt;="&amp;Software!AE$3,'New Hires Forecast'!$G$5:$G$82,"&lt;="&amp;Software!AE$3)/12)),IF(YEAR(AE$3)=YEAR('New Hires Forecast'!$R$3),((SUMIFS('New Hires Forecast'!$R$5:$R$82,'New Hires Forecast'!$F$5:$F$82,"Software",'New Hires Forecast'!$H$5:$H$82,"&gt;="&amp;Software!AE$3,'New Hires Forecast'!$G$5:$G$82,"&lt;="&amp;Software!AE$3)/12))))))),0)</f>
        <v>10000</v>
      </c>
      <c r="AF13" s="668">
        <f>IF(AF$4="forecast",IF(YEAR(AF$3)=YEAR('New Hires Forecast'!$N$3),((SUMIFS('New Hires Forecast'!$N$5:$N$82,'New Hires Forecast'!$F$5:$F$82,"Software",'New Hires Forecast'!$H$5:$H$82,"&gt;="&amp;Software!AF$3,'New Hires Forecast'!$G$5:$G$82,"&lt;="&amp;Software!AF$3)/12)),IF(YEAR(AF$3)=YEAR('New Hires Forecast'!$O$3),((SUMIFS('New Hires Forecast'!$O$5:$O$82,'New Hires Forecast'!$F$5:$F$82,"Software",'New Hires Forecast'!$H$5:$H$82,"&gt;="&amp;Software!AF$3,'New Hires Forecast'!$G$5:$G$82,"&lt;="&amp;Software!AF$3)/12)),IF(YEAR(AF$3)=YEAR('New Hires Forecast'!$P$3),((SUMIFS('New Hires Forecast'!$P$5:$P$82,'New Hires Forecast'!$F$5:$F$82,"Software",'New Hires Forecast'!$H$5:$H$82,"&gt;="&amp;Software!AF$3,'New Hires Forecast'!$G$5:$G$82,"&lt;="&amp;Software!AF$3)/12)),IF(YEAR(AF$3)=YEAR('New Hires Forecast'!$Q$3),((SUMIFS('New Hires Forecast'!$Q$5:$Q$82,'New Hires Forecast'!$F$5:$F$82,"Software",'New Hires Forecast'!$H$5:$H$82,"&gt;="&amp;Software!AF$3,'New Hires Forecast'!$G$5:$G$82,"&lt;="&amp;Software!AF$3)/12)),IF(YEAR(AF$3)=YEAR('New Hires Forecast'!$R$3),((SUMIFS('New Hires Forecast'!$R$5:$R$82,'New Hires Forecast'!$F$5:$F$82,"Software",'New Hires Forecast'!$H$5:$H$82,"&gt;="&amp;Software!AF$3,'New Hires Forecast'!$G$5:$G$82,"&lt;="&amp;Software!AF$3)/12))))))),0)</f>
        <v>10000</v>
      </c>
      <c r="AG13" s="668">
        <f>IF(AG$4="forecast",IF(YEAR(AG$3)=YEAR('New Hires Forecast'!$N$3),((SUMIFS('New Hires Forecast'!$N$5:$N$82,'New Hires Forecast'!$F$5:$F$82,"Software",'New Hires Forecast'!$H$5:$H$82,"&gt;="&amp;Software!AG$3,'New Hires Forecast'!$G$5:$G$82,"&lt;="&amp;Software!AG$3)/12)),IF(YEAR(AG$3)=YEAR('New Hires Forecast'!$O$3),((SUMIFS('New Hires Forecast'!$O$5:$O$82,'New Hires Forecast'!$F$5:$F$82,"Software",'New Hires Forecast'!$H$5:$H$82,"&gt;="&amp;Software!AG$3,'New Hires Forecast'!$G$5:$G$82,"&lt;="&amp;Software!AG$3)/12)),IF(YEAR(AG$3)=YEAR('New Hires Forecast'!$P$3),((SUMIFS('New Hires Forecast'!$P$5:$P$82,'New Hires Forecast'!$F$5:$F$82,"Software",'New Hires Forecast'!$H$5:$H$82,"&gt;="&amp;Software!AG$3,'New Hires Forecast'!$G$5:$G$82,"&lt;="&amp;Software!AG$3)/12)),IF(YEAR(AG$3)=YEAR('New Hires Forecast'!$Q$3),((SUMIFS('New Hires Forecast'!$Q$5:$Q$82,'New Hires Forecast'!$F$5:$F$82,"Software",'New Hires Forecast'!$H$5:$H$82,"&gt;="&amp;Software!AG$3,'New Hires Forecast'!$G$5:$G$82,"&lt;="&amp;Software!AG$3)/12)),IF(YEAR(AG$3)=YEAR('New Hires Forecast'!$R$3),((SUMIFS('New Hires Forecast'!$R$5:$R$82,'New Hires Forecast'!$F$5:$F$82,"Software",'New Hires Forecast'!$H$5:$H$82,"&gt;="&amp;Software!AG$3,'New Hires Forecast'!$G$5:$G$82,"&lt;="&amp;Software!AG$3)/12))))))),0)</f>
        <v>20000</v>
      </c>
      <c r="AH13" s="668">
        <f>IF(AH$4="forecast",IF(YEAR(AH$3)=YEAR('New Hires Forecast'!$N$3),((SUMIFS('New Hires Forecast'!$N$5:$N$82,'New Hires Forecast'!$F$5:$F$82,"Software",'New Hires Forecast'!$H$5:$H$82,"&gt;="&amp;Software!AH$3,'New Hires Forecast'!$G$5:$G$82,"&lt;="&amp;Software!AH$3)/12)),IF(YEAR(AH$3)=YEAR('New Hires Forecast'!$O$3),((SUMIFS('New Hires Forecast'!$O$5:$O$82,'New Hires Forecast'!$F$5:$F$82,"Software",'New Hires Forecast'!$H$5:$H$82,"&gt;="&amp;Software!AH$3,'New Hires Forecast'!$G$5:$G$82,"&lt;="&amp;Software!AH$3)/12)),IF(YEAR(AH$3)=YEAR('New Hires Forecast'!$P$3),((SUMIFS('New Hires Forecast'!$P$5:$P$82,'New Hires Forecast'!$F$5:$F$82,"Software",'New Hires Forecast'!$H$5:$H$82,"&gt;="&amp;Software!AH$3,'New Hires Forecast'!$G$5:$G$82,"&lt;="&amp;Software!AH$3)/12)),IF(YEAR(AH$3)=YEAR('New Hires Forecast'!$Q$3),((SUMIFS('New Hires Forecast'!$Q$5:$Q$82,'New Hires Forecast'!$F$5:$F$82,"Software",'New Hires Forecast'!$H$5:$H$82,"&gt;="&amp;Software!AH$3,'New Hires Forecast'!$G$5:$G$82,"&lt;="&amp;Software!AH$3)/12)),IF(YEAR(AH$3)=YEAR('New Hires Forecast'!$R$3),((SUMIFS('New Hires Forecast'!$R$5:$R$82,'New Hires Forecast'!$F$5:$F$82,"Software",'New Hires Forecast'!$H$5:$H$82,"&gt;="&amp;Software!AH$3,'New Hires Forecast'!$G$5:$G$82,"&lt;="&amp;Software!AH$3)/12))))))),0)</f>
        <v>20000</v>
      </c>
      <c r="AI13" s="668">
        <f>IF(AI$4="forecast",IF(YEAR(AI$3)=YEAR('New Hires Forecast'!$N$3),((SUMIFS('New Hires Forecast'!$N$5:$N$82,'New Hires Forecast'!$F$5:$F$82,"Software",'New Hires Forecast'!$H$5:$H$82,"&gt;="&amp;Software!AI$3,'New Hires Forecast'!$G$5:$G$82,"&lt;="&amp;Software!AI$3)/12)),IF(YEAR(AI$3)=YEAR('New Hires Forecast'!$O$3),((SUMIFS('New Hires Forecast'!$O$5:$O$82,'New Hires Forecast'!$F$5:$F$82,"Software",'New Hires Forecast'!$H$5:$H$82,"&gt;="&amp;Software!AI$3,'New Hires Forecast'!$G$5:$G$82,"&lt;="&amp;Software!AI$3)/12)),IF(YEAR(AI$3)=YEAR('New Hires Forecast'!$P$3),((SUMIFS('New Hires Forecast'!$P$5:$P$82,'New Hires Forecast'!$F$5:$F$82,"Software",'New Hires Forecast'!$H$5:$H$82,"&gt;="&amp;Software!AI$3,'New Hires Forecast'!$G$5:$G$82,"&lt;="&amp;Software!AI$3)/12)),IF(YEAR(AI$3)=YEAR('New Hires Forecast'!$Q$3),((SUMIFS('New Hires Forecast'!$Q$5:$Q$82,'New Hires Forecast'!$F$5:$F$82,"Software",'New Hires Forecast'!$H$5:$H$82,"&gt;="&amp;Software!AI$3,'New Hires Forecast'!$G$5:$G$82,"&lt;="&amp;Software!AI$3)/12)),IF(YEAR(AI$3)=YEAR('New Hires Forecast'!$R$3),((SUMIFS('New Hires Forecast'!$R$5:$R$82,'New Hires Forecast'!$F$5:$F$82,"Software",'New Hires Forecast'!$H$5:$H$82,"&gt;="&amp;Software!AI$3,'New Hires Forecast'!$G$5:$G$82,"&lt;="&amp;Software!AI$3)/12))))))),0)</f>
        <v>20000</v>
      </c>
      <c r="AJ13" s="668">
        <f>IF(AJ$4="forecast",IF(YEAR(AJ$3)=YEAR('New Hires Forecast'!$N$3),((SUMIFS('New Hires Forecast'!$N$5:$N$82,'New Hires Forecast'!$F$5:$F$82,"Software",'New Hires Forecast'!$H$5:$H$82,"&gt;="&amp;Software!AJ$3,'New Hires Forecast'!$G$5:$G$82,"&lt;="&amp;Software!AJ$3)/12)),IF(YEAR(AJ$3)=YEAR('New Hires Forecast'!$O$3),((SUMIFS('New Hires Forecast'!$O$5:$O$82,'New Hires Forecast'!$F$5:$F$82,"Software",'New Hires Forecast'!$H$5:$H$82,"&gt;="&amp;Software!AJ$3,'New Hires Forecast'!$G$5:$G$82,"&lt;="&amp;Software!AJ$3)/12)),IF(YEAR(AJ$3)=YEAR('New Hires Forecast'!$P$3),((SUMIFS('New Hires Forecast'!$P$5:$P$82,'New Hires Forecast'!$F$5:$F$82,"Software",'New Hires Forecast'!$H$5:$H$82,"&gt;="&amp;Software!AJ$3,'New Hires Forecast'!$G$5:$G$82,"&lt;="&amp;Software!AJ$3)/12)),IF(YEAR(AJ$3)=YEAR('New Hires Forecast'!$Q$3),((SUMIFS('New Hires Forecast'!$Q$5:$Q$82,'New Hires Forecast'!$F$5:$F$82,"Software",'New Hires Forecast'!$H$5:$H$82,"&gt;="&amp;Software!AJ$3,'New Hires Forecast'!$G$5:$G$82,"&lt;="&amp;Software!AJ$3)/12)),IF(YEAR(AJ$3)=YEAR('New Hires Forecast'!$R$3),((SUMIFS('New Hires Forecast'!$R$5:$R$82,'New Hires Forecast'!$F$5:$F$82,"Software",'New Hires Forecast'!$H$5:$H$82,"&gt;="&amp;Software!AJ$3,'New Hires Forecast'!$G$5:$G$82,"&lt;="&amp;Software!AJ$3)/12))))))),0)</f>
        <v>30000</v>
      </c>
      <c r="AK13" s="668">
        <f>IF(AK$4="forecast",IF(YEAR(AK$3)=YEAR('New Hires Forecast'!$N$3),((SUMIFS('New Hires Forecast'!$N$5:$N$82,'New Hires Forecast'!$F$5:$F$82,"Software",'New Hires Forecast'!$H$5:$H$82,"&gt;="&amp;Software!AK$3,'New Hires Forecast'!$G$5:$G$82,"&lt;="&amp;Software!AK$3)/12)),IF(YEAR(AK$3)=YEAR('New Hires Forecast'!$O$3),((SUMIFS('New Hires Forecast'!$O$5:$O$82,'New Hires Forecast'!$F$5:$F$82,"Software",'New Hires Forecast'!$H$5:$H$82,"&gt;="&amp;Software!AK$3,'New Hires Forecast'!$G$5:$G$82,"&lt;="&amp;Software!AK$3)/12)),IF(YEAR(AK$3)=YEAR('New Hires Forecast'!$P$3),((SUMIFS('New Hires Forecast'!$P$5:$P$82,'New Hires Forecast'!$F$5:$F$82,"Software",'New Hires Forecast'!$H$5:$H$82,"&gt;="&amp;Software!AK$3,'New Hires Forecast'!$G$5:$G$82,"&lt;="&amp;Software!AK$3)/12)),IF(YEAR(AK$3)=YEAR('New Hires Forecast'!$Q$3),((SUMIFS('New Hires Forecast'!$Q$5:$Q$82,'New Hires Forecast'!$F$5:$F$82,"Software",'New Hires Forecast'!$H$5:$H$82,"&gt;="&amp;Software!AK$3,'New Hires Forecast'!$G$5:$G$82,"&lt;="&amp;Software!AK$3)/12)),IF(YEAR(AK$3)=YEAR('New Hires Forecast'!$R$3),((SUMIFS('New Hires Forecast'!$R$5:$R$82,'New Hires Forecast'!$F$5:$F$82,"Software",'New Hires Forecast'!$H$5:$H$82,"&gt;="&amp;Software!AK$3,'New Hires Forecast'!$G$5:$G$82,"&lt;="&amp;Software!AK$3)/12))))))),0)</f>
        <v>30000</v>
      </c>
      <c r="AL13" s="668">
        <f>IF(AL$4="forecast",IF(YEAR(AL$3)=YEAR('New Hires Forecast'!$N$3),((SUMIFS('New Hires Forecast'!$N$5:$N$82,'New Hires Forecast'!$F$5:$F$82,"Software",'New Hires Forecast'!$H$5:$H$82,"&gt;="&amp;Software!AL$3,'New Hires Forecast'!$G$5:$G$82,"&lt;="&amp;Software!AL$3)/12)),IF(YEAR(AL$3)=YEAR('New Hires Forecast'!$O$3),((SUMIFS('New Hires Forecast'!$O$5:$O$82,'New Hires Forecast'!$F$5:$F$82,"Software",'New Hires Forecast'!$H$5:$H$82,"&gt;="&amp;Software!AL$3,'New Hires Forecast'!$G$5:$G$82,"&lt;="&amp;Software!AL$3)/12)),IF(YEAR(AL$3)=YEAR('New Hires Forecast'!$P$3),((SUMIFS('New Hires Forecast'!$P$5:$P$82,'New Hires Forecast'!$F$5:$F$82,"Software",'New Hires Forecast'!$H$5:$H$82,"&gt;="&amp;Software!AL$3,'New Hires Forecast'!$G$5:$G$82,"&lt;="&amp;Software!AL$3)/12)),IF(YEAR(AL$3)=YEAR('New Hires Forecast'!$Q$3),((SUMIFS('New Hires Forecast'!$Q$5:$Q$82,'New Hires Forecast'!$F$5:$F$82,"Software",'New Hires Forecast'!$H$5:$H$82,"&gt;="&amp;Software!AL$3,'New Hires Forecast'!$G$5:$G$82,"&lt;="&amp;Software!AL$3)/12)),IF(YEAR(AL$3)=YEAR('New Hires Forecast'!$R$3),((SUMIFS('New Hires Forecast'!$R$5:$R$82,'New Hires Forecast'!$F$5:$F$82,"Software",'New Hires Forecast'!$H$5:$H$82,"&gt;="&amp;Software!AL$3,'New Hires Forecast'!$G$5:$G$82,"&lt;="&amp;Software!AL$3)/12))))))),0)</f>
        <v>30000</v>
      </c>
      <c r="AM13" s="668">
        <f>IF(AM$4="forecast",IF(YEAR(AM$3)=YEAR('New Hires Forecast'!$N$3),((SUMIFS('New Hires Forecast'!$N$5:$N$82,'New Hires Forecast'!$F$5:$F$82,"Software",'New Hires Forecast'!$H$5:$H$82,"&gt;="&amp;Software!AM$3,'New Hires Forecast'!$G$5:$G$82,"&lt;="&amp;Software!AM$3)/12)),IF(YEAR(AM$3)=YEAR('New Hires Forecast'!$O$3),((SUMIFS('New Hires Forecast'!$O$5:$O$82,'New Hires Forecast'!$F$5:$F$82,"Software",'New Hires Forecast'!$H$5:$H$82,"&gt;="&amp;Software!AM$3,'New Hires Forecast'!$G$5:$G$82,"&lt;="&amp;Software!AM$3)/12)),IF(YEAR(AM$3)=YEAR('New Hires Forecast'!$P$3),((SUMIFS('New Hires Forecast'!$P$5:$P$82,'New Hires Forecast'!$F$5:$F$82,"Software",'New Hires Forecast'!$H$5:$H$82,"&gt;="&amp;Software!AM$3,'New Hires Forecast'!$G$5:$G$82,"&lt;="&amp;Software!AM$3)/12)),IF(YEAR(AM$3)=YEAR('New Hires Forecast'!$Q$3),((SUMIFS('New Hires Forecast'!$Q$5:$Q$82,'New Hires Forecast'!$F$5:$F$82,"Software",'New Hires Forecast'!$H$5:$H$82,"&gt;="&amp;Software!AM$3,'New Hires Forecast'!$G$5:$G$82,"&lt;="&amp;Software!AM$3)/12)),IF(YEAR(AM$3)=YEAR('New Hires Forecast'!$R$3),((SUMIFS('New Hires Forecast'!$R$5:$R$82,'New Hires Forecast'!$F$5:$F$82,"Software",'New Hires Forecast'!$H$5:$H$82,"&gt;="&amp;Software!AM$3,'New Hires Forecast'!$G$5:$G$82,"&lt;="&amp;Software!AM$3)/12))))))),0)</f>
        <v>30900</v>
      </c>
      <c r="AN13" s="668">
        <f>IF(AN$4="forecast",IF(YEAR(AN$3)=YEAR('New Hires Forecast'!$N$3),((SUMIFS('New Hires Forecast'!$N$5:$N$82,'New Hires Forecast'!$F$5:$F$82,"Software",'New Hires Forecast'!$H$5:$H$82,"&gt;="&amp;Software!AN$3,'New Hires Forecast'!$G$5:$G$82,"&lt;="&amp;Software!AN$3)/12)),IF(YEAR(AN$3)=YEAR('New Hires Forecast'!$O$3),((SUMIFS('New Hires Forecast'!$O$5:$O$82,'New Hires Forecast'!$F$5:$F$82,"Software",'New Hires Forecast'!$H$5:$H$82,"&gt;="&amp;Software!AN$3,'New Hires Forecast'!$G$5:$G$82,"&lt;="&amp;Software!AN$3)/12)),IF(YEAR(AN$3)=YEAR('New Hires Forecast'!$P$3),((SUMIFS('New Hires Forecast'!$P$5:$P$82,'New Hires Forecast'!$F$5:$F$82,"Software",'New Hires Forecast'!$H$5:$H$82,"&gt;="&amp;Software!AN$3,'New Hires Forecast'!$G$5:$G$82,"&lt;="&amp;Software!AN$3)/12)),IF(YEAR(AN$3)=YEAR('New Hires Forecast'!$Q$3),((SUMIFS('New Hires Forecast'!$Q$5:$Q$82,'New Hires Forecast'!$F$5:$F$82,"Software",'New Hires Forecast'!$H$5:$H$82,"&gt;="&amp;Software!AN$3,'New Hires Forecast'!$G$5:$G$82,"&lt;="&amp;Software!AN$3)/12)),IF(YEAR(AN$3)=YEAR('New Hires Forecast'!$R$3),((SUMIFS('New Hires Forecast'!$R$5:$R$82,'New Hires Forecast'!$F$5:$F$82,"Software",'New Hires Forecast'!$H$5:$H$82,"&gt;="&amp;Software!AN$3,'New Hires Forecast'!$G$5:$G$82,"&lt;="&amp;Software!AN$3)/12))))))),0)</f>
        <v>30900</v>
      </c>
      <c r="AO13" s="668">
        <f>IF(AO$4="forecast",IF(YEAR(AO$3)=YEAR('New Hires Forecast'!$N$3),((SUMIFS('New Hires Forecast'!$N$5:$N$82,'New Hires Forecast'!$F$5:$F$82,"Software",'New Hires Forecast'!$H$5:$H$82,"&gt;="&amp;Software!AO$3,'New Hires Forecast'!$G$5:$G$82,"&lt;="&amp;Software!AO$3)/12)),IF(YEAR(AO$3)=YEAR('New Hires Forecast'!$O$3),((SUMIFS('New Hires Forecast'!$O$5:$O$82,'New Hires Forecast'!$F$5:$F$82,"Software",'New Hires Forecast'!$H$5:$H$82,"&gt;="&amp;Software!AO$3,'New Hires Forecast'!$G$5:$G$82,"&lt;="&amp;Software!AO$3)/12)),IF(YEAR(AO$3)=YEAR('New Hires Forecast'!$P$3),((SUMIFS('New Hires Forecast'!$P$5:$P$82,'New Hires Forecast'!$F$5:$F$82,"Software",'New Hires Forecast'!$H$5:$H$82,"&gt;="&amp;Software!AO$3,'New Hires Forecast'!$G$5:$G$82,"&lt;="&amp;Software!AO$3)/12)),IF(YEAR(AO$3)=YEAR('New Hires Forecast'!$Q$3),((SUMIFS('New Hires Forecast'!$Q$5:$Q$82,'New Hires Forecast'!$F$5:$F$82,"Software",'New Hires Forecast'!$H$5:$H$82,"&gt;="&amp;Software!AO$3,'New Hires Forecast'!$G$5:$G$82,"&lt;="&amp;Software!AO$3)/12)),IF(YEAR(AO$3)=YEAR('New Hires Forecast'!$R$3),((SUMIFS('New Hires Forecast'!$R$5:$R$82,'New Hires Forecast'!$F$5:$F$82,"Software",'New Hires Forecast'!$H$5:$H$82,"&gt;="&amp;Software!AO$3,'New Hires Forecast'!$G$5:$G$82,"&lt;="&amp;Software!AO$3)/12))))))),0)</f>
        <v>30900</v>
      </c>
      <c r="AP13" s="668">
        <f>IF(AP$4="forecast",IF(YEAR(AP$3)=YEAR('New Hires Forecast'!$N$3),((SUMIFS('New Hires Forecast'!$N$5:$N$82,'New Hires Forecast'!$F$5:$F$82,"Software",'New Hires Forecast'!$H$5:$H$82,"&gt;="&amp;Software!AP$3,'New Hires Forecast'!$G$5:$G$82,"&lt;="&amp;Software!AP$3)/12)),IF(YEAR(AP$3)=YEAR('New Hires Forecast'!$O$3),((SUMIFS('New Hires Forecast'!$O$5:$O$82,'New Hires Forecast'!$F$5:$F$82,"Software",'New Hires Forecast'!$H$5:$H$82,"&gt;="&amp;Software!AP$3,'New Hires Forecast'!$G$5:$G$82,"&lt;="&amp;Software!AP$3)/12)),IF(YEAR(AP$3)=YEAR('New Hires Forecast'!$P$3),((SUMIFS('New Hires Forecast'!$P$5:$P$82,'New Hires Forecast'!$F$5:$F$82,"Software",'New Hires Forecast'!$H$5:$H$82,"&gt;="&amp;Software!AP$3,'New Hires Forecast'!$G$5:$G$82,"&lt;="&amp;Software!AP$3)/12)),IF(YEAR(AP$3)=YEAR('New Hires Forecast'!$Q$3),((SUMIFS('New Hires Forecast'!$Q$5:$Q$82,'New Hires Forecast'!$F$5:$F$82,"Software",'New Hires Forecast'!$H$5:$H$82,"&gt;="&amp;Software!AP$3,'New Hires Forecast'!$G$5:$G$82,"&lt;="&amp;Software!AP$3)/12)),IF(YEAR(AP$3)=YEAR('New Hires Forecast'!$R$3),((SUMIFS('New Hires Forecast'!$R$5:$R$82,'New Hires Forecast'!$F$5:$F$82,"Software",'New Hires Forecast'!$H$5:$H$82,"&gt;="&amp;Software!AP$3,'New Hires Forecast'!$G$5:$G$82,"&lt;="&amp;Software!AP$3)/12))))))),0)</f>
        <v>30900</v>
      </c>
      <c r="AQ13" s="668">
        <f>IF(AQ$4="forecast",IF(YEAR(AQ$3)=YEAR('New Hires Forecast'!$N$3),((SUMIFS('New Hires Forecast'!$N$5:$N$82,'New Hires Forecast'!$F$5:$F$82,"Software",'New Hires Forecast'!$H$5:$H$82,"&gt;="&amp;Software!AQ$3,'New Hires Forecast'!$G$5:$G$82,"&lt;="&amp;Software!AQ$3)/12)),IF(YEAR(AQ$3)=YEAR('New Hires Forecast'!$O$3),((SUMIFS('New Hires Forecast'!$O$5:$O$82,'New Hires Forecast'!$F$5:$F$82,"Software",'New Hires Forecast'!$H$5:$H$82,"&gt;="&amp;Software!AQ$3,'New Hires Forecast'!$G$5:$G$82,"&lt;="&amp;Software!AQ$3)/12)),IF(YEAR(AQ$3)=YEAR('New Hires Forecast'!$P$3),((SUMIFS('New Hires Forecast'!$P$5:$P$82,'New Hires Forecast'!$F$5:$F$82,"Software",'New Hires Forecast'!$H$5:$H$82,"&gt;="&amp;Software!AQ$3,'New Hires Forecast'!$G$5:$G$82,"&lt;="&amp;Software!AQ$3)/12)),IF(YEAR(AQ$3)=YEAR('New Hires Forecast'!$Q$3),((SUMIFS('New Hires Forecast'!$Q$5:$Q$82,'New Hires Forecast'!$F$5:$F$82,"Software",'New Hires Forecast'!$H$5:$H$82,"&gt;="&amp;Software!AQ$3,'New Hires Forecast'!$G$5:$G$82,"&lt;="&amp;Software!AQ$3)/12)),IF(YEAR(AQ$3)=YEAR('New Hires Forecast'!$R$3),((SUMIFS('New Hires Forecast'!$R$5:$R$82,'New Hires Forecast'!$F$5:$F$82,"Software",'New Hires Forecast'!$H$5:$H$82,"&gt;="&amp;Software!AQ$3,'New Hires Forecast'!$G$5:$G$82,"&lt;="&amp;Software!AQ$3)/12))))))),0)</f>
        <v>30900</v>
      </c>
      <c r="AR13" s="668">
        <f>IF(AR$4="forecast",IF(YEAR(AR$3)=YEAR('New Hires Forecast'!$N$3),((SUMIFS('New Hires Forecast'!$N$5:$N$82,'New Hires Forecast'!$F$5:$F$82,"Software",'New Hires Forecast'!$H$5:$H$82,"&gt;="&amp;Software!AR$3,'New Hires Forecast'!$G$5:$G$82,"&lt;="&amp;Software!AR$3)/12)),IF(YEAR(AR$3)=YEAR('New Hires Forecast'!$O$3),((SUMIFS('New Hires Forecast'!$O$5:$O$82,'New Hires Forecast'!$F$5:$F$82,"Software",'New Hires Forecast'!$H$5:$H$82,"&gt;="&amp;Software!AR$3,'New Hires Forecast'!$G$5:$G$82,"&lt;="&amp;Software!AR$3)/12)),IF(YEAR(AR$3)=YEAR('New Hires Forecast'!$P$3),((SUMIFS('New Hires Forecast'!$P$5:$P$82,'New Hires Forecast'!$F$5:$F$82,"Software",'New Hires Forecast'!$H$5:$H$82,"&gt;="&amp;Software!AR$3,'New Hires Forecast'!$G$5:$G$82,"&lt;="&amp;Software!AR$3)/12)),IF(YEAR(AR$3)=YEAR('New Hires Forecast'!$Q$3),((SUMIFS('New Hires Forecast'!$Q$5:$Q$82,'New Hires Forecast'!$F$5:$F$82,"Software",'New Hires Forecast'!$H$5:$H$82,"&gt;="&amp;Software!AR$3,'New Hires Forecast'!$G$5:$G$82,"&lt;="&amp;Software!AR$3)/12)),IF(YEAR(AR$3)=YEAR('New Hires Forecast'!$R$3),((SUMIFS('New Hires Forecast'!$R$5:$R$82,'New Hires Forecast'!$F$5:$F$82,"Software",'New Hires Forecast'!$H$5:$H$82,"&gt;="&amp;Software!AR$3,'New Hires Forecast'!$G$5:$G$82,"&lt;="&amp;Software!AR$3)/12))))))),0)</f>
        <v>30900</v>
      </c>
      <c r="AS13" s="668">
        <f>IF(AS$4="forecast",IF(YEAR(AS$3)=YEAR('New Hires Forecast'!$N$3),((SUMIFS('New Hires Forecast'!$N$5:$N$82,'New Hires Forecast'!$F$5:$F$82,"Software",'New Hires Forecast'!$H$5:$H$82,"&gt;="&amp;Software!AS$3,'New Hires Forecast'!$G$5:$G$82,"&lt;="&amp;Software!AS$3)/12)),IF(YEAR(AS$3)=YEAR('New Hires Forecast'!$O$3),((SUMIFS('New Hires Forecast'!$O$5:$O$82,'New Hires Forecast'!$F$5:$F$82,"Software",'New Hires Forecast'!$H$5:$H$82,"&gt;="&amp;Software!AS$3,'New Hires Forecast'!$G$5:$G$82,"&lt;="&amp;Software!AS$3)/12)),IF(YEAR(AS$3)=YEAR('New Hires Forecast'!$P$3),((SUMIFS('New Hires Forecast'!$P$5:$P$82,'New Hires Forecast'!$F$5:$F$82,"Software",'New Hires Forecast'!$H$5:$H$82,"&gt;="&amp;Software!AS$3,'New Hires Forecast'!$G$5:$G$82,"&lt;="&amp;Software!AS$3)/12)),IF(YEAR(AS$3)=YEAR('New Hires Forecast'!$Q$3),((SUMIFS('New Hires Forecast'!$Q$5:$Q$82,'New Hires Forecast'!$F$5:$F$82,"Software",'New Hires Forecast'!$H$5:$H$82,"&gt;="&amp;Software!AS$3,'New Hires Forecast'!$G$5:$G$82,"&lt;="&amp;Software!AS$3)/12)),IF(YEAR(AS$3)=YEAR('New Hires Forecast'!$R$3),((SUMIFS('New Hires Forecast'!$R$5:$R$82,'New Hires Forecast'!$F$5:$F$82,"Software",'New Hires Forecast'!$H$5:$H$82,"&gt;="&amp;Software!AS$3,'New Hires Forecast'!$G$5:$G$82,"&lt;="&amp;Software!AS$3)/12))))))),0)</f>
        <v>30900</v>
      </c>
      <c r="AT13" s="668">
        <f>IF(AT$4="forecast",IF(YEAR(AT$3)=YEAR('New Hires Forecast'!$N$3),((SUMIFS('New Hires Forecast'!$N$5:$N$82,'New Hires Forecast'!$F$5:$F$82,"Software",'New Hires Forecast'!$H$5:$H$82,"&gt;="&amp;Software!AT$3,'New Hires Forecast'!$G$5:$G$82,"&lt;="&amp;Software!AT$3)/12)),IF(YEAR(AT$3)=YEAR('New Hires Forecast'!$O$3),((SUMIFS('New Hires Forecast'!$O$5:$O$82,'New Hires Forecast'!$F$5:$F$82,"Software",'New Hires Forecast'!$H$5:$H$82,"&gt;="&amp;Software!AT$3,'New Hires Forecast'!$G$5:$G$82,"&lt;="&amp;Software!AT$3)/12)),IF(YEAR(AT$3)=YEAR('New Hires Forecast'!$P$3),((SUMIFS('New Hires Forecast'!$P$5:$P$82,'New Hires Forecast'!$F$5:$F$82,"Software",'New Hires Forecast'!$H$5:$H$82,"&gt;="&amp;Software!AT$3,'New Hires Forecast'!$G$5:$G$82,"&lt;="&amp;Software!AT$3)/12)),IF(YEAR(AT$3)=YEAR('New Hires Forecast'!$Q$3),((SUMIFS('New Hires Forecast'!$Q$5:$Q$82,'New Hires Forecast'!$F$5:$F$82,"Software",'New Hires Forecast'!$H$5:$H$82,"&gt;="&amp;Software!AT$3,'New Hires Forecast'!$G$5:$G$82,"&lt;="&amp;Software!AT$3)/12)),IF(YEAR(AT$3)=YEAR('New Hires Forecast'!$R$3),((SUMIFS('New Hires Forecast'!$R$5:$R$82,'New Hires Forecast'!$F$5:$F$82,"Software",'New Hires Forecast'!$H$5:$H$82,"&gt;="&amp;Software!AT$3,'New Hires Forecast'!$G$5:$G$82,"&lt;="&amp;Software!AT$3)/12))))))),0)</f>
        <v>30900</v>
      </c>
      <c r="AU13" s="668">
        <f>IF(AU$4="forecast",IF(YEAR(AU$3)=YEAR('New Hires Forecast'!$N$3),((SUMIFS('New Hires Forecast'!$N$5:$N$82,'New Hires Forecast'!$F$5:$F$82,"Software",'New Hires Forecast'!$H$5:$H$82,"&gt;="&amp;Software!AU$3,'New Hires Forecast'!$G$5:$G$82,"&lt;="&amp;Software!AU$3)/12)),IF(YEAR(AU$3)=YEAR('New Hires Forecast'!$O$3),((SUMIFS('New Hires Forecast'!$O$5:$O$82,'New Hires Forecast'!$F$5:$F$82,"Software",'New Hires Forecast'!$H$5:$H$82,"&gt;="&amp;Software!AU$3,'New Hires Forecast'!$G$5:$G$82,"&lt;="&amp;Software!AU$3)/12)),IF(YEAR(AU$3)=YEAR('New Hires Forecast'!$P$3),((SUMIFS('New Hires Forecast'!$P$5:$P$82,'New Hires Forecast'!$F$5:$F$82,"Software",'New Hires Forecast'!$H$5:$H$82,"&gt;="&amp;Software!AU$3,'New Hires Forecast'!$G$5:$G$82,"&lt;="&amp;Software!AU$3)/12)),IF(YEAR(AU$3)=YEAR('New Hires Forecast'!$Q$3),((SUMIFS('New Hires Forecast'!$Q$5:$Q$82,'New Hires Forecast'!$F$5:$F$82,"Software",'New Hires Forecast'!$H$5:$H$82,"&gt;="&amp;Software!AU$3,'New Hires Forecast'!$G$5:$G$82,"&lt;="&amp;Software!AU$3)/12)),IF(YEAR(AU$3)=YEAR('New Hires Forecast'!$R$3),((SUMIFS('New Hires Forecast'!$R$5:$R$82,'New Hires Forecast'!$F$5:$F$82,"Software",'New Hires Forecast'!$H$5:$H$82,"&gt;="&amp;Software!AU$3,'New Hires Forecast'!$G$5:$G$82,"&lt;="&amp;Software!AU$3)/12))))))),0)</f>
        <v>30900</v>
      </c>
      <c r="AV13" s="668">
        <f>IF(AV$4="forecast",IF(YEAR(AV$3)=YEAR('New Hires Forecast'!$N$3),((SUMIFS('New Hires Forecast'!$N$5:$N$82,'New Hires Forecast'!$F$5:$F$82,"Software",'New Hires Forecast'!$H$5:$H$82,"&gt;="&amp;Software!AV$3,'New Hires Forecast'!$G$5:$G$82,"&lt;="&amp;Software!AV$3)/12)),IF(YEAR(AV$3)=YEAR('New Hires Forecast'!$O$3),((SUMIFS('New Hires Forecast'!$O$5:$O$82,'New Hires Forecast'!$F$5:$F$82,"Software",'New Hires Forecast'!$H$5:$H$82,"&gt;="&amp;Software!AV$3,'New Hires Forecast'!$G$5:$G$82,"&lt;="&amp;Software!AV$3)/12)),IF(YEAR(AV$3)=YEAR('New Hires Forecast'!$P$3),((SUMIFS('New Hires Forecast'!$P$5:$P$82,'New Hires Forecast'!$F$5:$F$82,"Software",'New Hires Forecast'!$H$5:$H$82,"&gt;="&amp;Software!AV$3,'New Hires Forecast'!$G$5:$G$82,"&lt;="&amp;Software!AV$3)/12)),IF(YEAR(AV$3)=YEAR('New Hires Forecast'!$Q$3),((SUMIFS('New Hires Forecast'!$Q$5:$Q$82,'New Hires Forecast'!$F$5:$F$82,"Software",'New Hires Forecast'!$H$5:$H$82,"&gt;="&amp;Software!AV$3,'New Hires Forecast'!$G$5:$G$82,"&lt;="&amp;Software!AV$3)/12)),IF(YEAR(AV$3)=YEAR('New Hires Forecast'!$R$3),((SUMIFS('New Hires Forecast'!$R$5:$R$82,'New Hires Forecast'!$F$5:$F$82,"Software",'New Hires Forecast'!$H$5:$H$82,"&gt;="&amp;Software!AV$3,'New Hires Forecast'!$G$5:$G$82,"&lt;="&amp;Software!AV$3)/12))))))),0)</f>
        <v>30900</v>
      </c>
      <c r="AW13" s="668">
        <f>IF(AW$4="forecast",IF(YEAR(AW$3)=YEAR('New Hires Forecast'!$N$3),((SUMIFS('New Hires Forecast'!$N$5:$N$82,'New Hires Forecast'!$F$5:$F$82,"Software",'New Hires Forecast'!$H$5:$H$82,"&gt;="&amp;Software!AW$3,'New Hires Forecast'!$G$5:$G$82,"&lt;="&amp;Software!AW$3)/12)),IF(YEAR(AW$3)=YEAR('New Hires Forecast'!$O$3),((SUMIFS('New Hires Forecast'!$O$5:$O$82,'New Hires Forecast'!$F$5:$F$82,"Software",'New Hires Forecast'!$H$5:$H$82,"&gt;="&amp;Software!AW$3,'New Hires Forecast'!$G$5:$G$82,"&lt;="&amp;Software!AW$3)/12)),IF(YEAR(AW$3)=YEAR('New Hires Forecast'!$P$3),((SUMIFS('New Hires Forecast'!$P$5:$P$82,'New Hires Forecast'!$F$5:$F$82,"Software",'New Hires Forecast'!$H$5:$H$82,"&gt;="&amp;Software!AW$3,'New Hires Forecast'!$G$5:$G$82,"&lt;="&amp;Software!AW$3)/12)),IF(YEAR(AW$3)=YEAR('New Hires Forecast'!$Q$3),((SUMIFS('New Hires Forecast'!$Q$5:$Q$82,'New Hires Forecast'!$F$5:$F$82,"Software",'New Hires Forecast'!$H$5:$H$82,"&gt;="&amp;Software!AW$3,'New Hires Forecast'!$G$5:$G$82,"&lt;="&amp;Software!AW$3)/12)),IF(YEAR(AW$3)=YEAR('New Hires Forecast'!$R$3),((SUMIFS('New Hires Forecast'!$R$5:$R$82,'New Hires Forecast'!$F$5:$F$82,"Software",'New Hires Forecast'!$H$5:$H$82,"&gt;="&amp;Software!AW$3,'New Hires Forecast'!$G$5:$G$82,"&lt;="&amp;Software!AW$3)/12))))))),0)</f>
        <v>30900</v>
      </c>
      <c r="AX13" s="668">
        <f>IF(AX$4="forecast",IF(YEAR(AX$3)=YEAR('New Hires Forecast'!$N$3),((SUMIFS('New Hires Forecast'!$N$5:$N$82,'New Hires Forecast'!$F$5:$F$82,"Software",'New Hires Forecast'!$H$5:$H$82,"&gt;="&amp;Software!AX$3,'New Hires Forecast'!$G$5:$G$82,"&lt;="&amp;Software!AX$3)/12)),IF(YEAR(AX$3)=YEAR('New Hires Forecast'!$O$3),((SUMIFS('New Hires Forecast'!$O$5:$O$82,'New Hires Forecast'!$F$5:$F$82,"Software",'New Hires Forecast'!$H$5:$H$82,"&gt;="&amp;Software!AX$3,'New Hires Forecast'!$G$5:$G$82,"&lt;="&amp;Software!AX$3)/12)),IF(YEAR(AX$3)=YEAR('New Hires Forecast'!$P$3),((SUMIFS('New Hires Forecast'!$P$5:$P$82,'New Hires Forecast'!$F$5:$F$82,"Software",'New Hires Forecast'!$H$5:$H$82,"&gt;="&amp;Software!AX$3,'New Hires Forecast'!$G$5:$G$82,"&lt;="&amp;Software!AX$3)/12)),IF(YEAR(AX$3)=YEAR('New Hires Forecast'!$Q$3),((SUMIFS('New Hires Forecast'!$Q$5:$Q$82,'New Hires Forecast'!$F$5:$F$82,"Software",'New Hires Forecast'!$H$5:$H$82,"&gt;="&amp;Software!AX$3,'New Hires Forecast'!$G$5:$G$82,"&lt;="&amp;Software!AX$3)/12)),IF(YEAR(AX$3)=YEAR('New Hires Forecast'!$R$3),((SUMIFS('New Hires Forecast'!$R$5:$R$82,'New Hires Forecast'!$F$5:$F$82,"Software",'New Hires Forecast'!$H$5:$H$82,"&gt;="&amp;Software!AX$3,'New Hires Forecast'!$G$5:$G$82,"&lt;="&amp;Software!AX$3)/12))))))),0)</f>
        <v>30900</v>
      </c>
      <c r="AY13" s="668">
        <f>IF(AY$4="forecast",IF(YEAR(AY$3)=YEAR('New Hires Forecast'!$N$3),((SUMIFS('New Hires Forecast'!$N$5:$N$82,'New Hires Forecast'!$F$5:$F$82,"Software",'New Hires Forecast'!$H$5:$H$82,"&gt;="&amp;Software!AY$3,'New Hires Forecast'!$G$5:$G$82,"&lt;="&amp;Software!AY$3)/12)),IF(YEAR(AY$3)=YEAR('New Hires Forecast'!$O$3),((SUMIFS('New Hires Forecast'!$O$5:$O$82,'New Hires Forecast'!$F$5:$F$82,"Software",'New Hires Forecast'!$H$5:$H$82,"&gt;="&amp;Software!AY$3,'New Hires Forecast'!$G$5:$G$82,"&lt;="&amp;Software!AY$3)/12)),IF(YEAR(AY$3)=YEAR('New Hires Forecast'!$P$3),((SUMIFS('New Hires Forecast'!$P$5:$P$82,'New Hires Forecast'!$F$5:$F$82,"Software",'New Hires Forecast'!$H$5:$H$82,"&gt;="&amp;Software!AY$3,'New Hires Forecast'!$G$5:$G$82,"&lt;="&amp;Software!AY$3)/12)),IF(YEAR(AY$3)=YEAR('New Hires Forecast'!$Q$3),((SUMIFS('New Hires Forecast'!$Q$5:$Q$82,'New Hires Forecast'!$F$5:$F$82,"Software",'New Hires Forecast'!$H$5:$H$82,"&gt;="&amp;Software!AY$3,'New Hires Forecast'!$G$5:$G$82,"&lt;="&amp;Software!AY$3)/12)),IF(YEAR(AY$3)=YEAR('New Hires Forecast'!$R$3),((SUMIFS('New Hires Forecast'!$R$5:$R$82,'New Hires Forecast'!$F$5:$F$82,"Software",'New Hires Forecast'!$H$5:$H$82,"&gt;="&amp;Software!AY$3,'New Hires Forecast'!$G$5:$G$82,"&lt;="&amp;Software!AY$3)/12))))))),0)</f>
        <v>31827</v>
      </c>
      <c r="AZ13" s="668">
        <f>IF(AZ$4="forecast",IF(YEAR(AZ$3)=YEAR('New Hires Forecast'!$N$3),((SUMIFS('New Hires Forecast'!$N$5:$N$82,'New Hires Forecast'!$F$5:$F$82,"Software",'New Hires Forecast'!$H$5:$H$82,"&gt;="&amp;Software!AZ$3,'New Hires Forecast'!$G$5:$G$82,"&lt;="&amp;Software!AZ$3)/12)),IF(YEAR(AZ$3)=YEAR('New Hires Forecast'!$O$3),((SUMIFS('New Hires Forecast'!$O$5:$O$82,'New Hires Forecast'!$F$5:$F$82,"Software",'New Hires Forecast'!$H$5:$H$82,"&gt;="&amp;Software!AZ$3,'New Hires Forecast'!$G$5:$G$82,"&lt;="&amp;Software!AZ$3)/12)),IF(YEAR(AZ$3)=YEAR('New Hires Forecast'!$P$3),((SUMIFS('New Hires Forecast'!$P$5:$P$82,'New Hires Forecast'!$F$5:$F$82,"Software",'New Hires Forecast'!$H$5:$H$82,"&gt;="&amp;Software!AZ$3,'New Hires Forecast'!$G$5:$G$82,"&lt;="&amp;Software!AZ$3)/12)),IF(YEAR(AZ$3)=YEAR('New Hires Forecast'!$Q$3),((SUMIFS('New Hires Forecast'!$Q$5:$Q$82,'New Hires Forecast'!$F$5:$F$82,"Software",'New Hires Forecast'!$H$5:$H$82,"&gt;="&amp;Software!AZ$3,'New Hires Forecast'!$G$5:$G$82,"&lt;="&amp;Software!AZ$3)/12)),IF(YEAR(AZ$3)=YEAR('New Hires Forecast'!$R$3),((SUMIFS('New Hires Forecast'!$R$5:$R$82,'New Hires Forecast'!$F$5:$F$82,"Software",'New Hires Forecast'!$H$5:$H$82,"&gt;="&amp;Software!AZ$3,'New Hires Forecast'!$G$5:$G$82,"&lt;="&amp;Software!AZ$3)/12))))))),0)</f>
        <v>31827</v>
      </c>
      <c r="BA13" s="668">
        <f>IF(BA$4="forecast",IF(YEAR(BA$3)=YEAR('New Hires Forecast'!$N$3),((SUMIFS('New Hires Forecast'!$N$5:$N$82,'New Hires Forecast'!$F$5:$F$82,"Software",'New Hires Forecast'!$H$5:$H$82,"&gt;="&amp;Software!BA$3,'New Hires Forecast'!$G$5:$G$82,"&lt;="&amp;Software!BA$3)/12)),IF(YEAR(BA$3)=YEAR('New Hires Forecast'!$O$3),((SUMIFS('New Hires Forecast'!$O$5:$O$82,'New Hires Forecast'!$F$5:$F$82,"Software",'New Hires Forecast'!$H$5:$H$82,"&gt;="&amp;Software!BA$3,'New Hires Forecast'!$G$5:$G$82,"&lt;="&amp;Software!BA$3)/12)),IF(YEAR(BA$3)=YEAR('New Hires Forecast'!$P$3),((SUMIFS('New Hires Forecast'!$P$5:$P$82,'New Hires Forecast'!$F$5:$F$82,"Software",'New Hires Forecast'!$H$5:$H$82,"&gt;="&amp;Software!BA$3,'New Hires Forecast'!$G$5:$G$82,"&lt;="&amp;Software!BA$3)/12)),IF(YEAR(BA$3)=YEAR('New Hires Forecast'!$Q$3),((SUMIFS('New Hires Forecast'!$Q$5:$Q$82,'New Hires Forecast'!$F$5:$F$82,"Software",'New Hires Forecast'!$H$5:$H$82,"&gt;="&amp;Software!BA$3,'New Hires Forecast'!$G$5:$G$82,"&lt;="&amp;Software!BA$3)/12)),IF(YEAR(BA$3)=YEAR('New Hires Forecast'!$R$3),((SUMIFS('New Hires Forecast'!$R$5:$R$82,'New Hires Forecast'!$F$5:$F$82,"Software",'New Hires Forecast'!$H$5:$H$82,"&gt;="&amp;Software!BA$3,'New Hires Forecast'!$G$5:$G$82,"&lt;="&amp;Software!BA$3)/12))))))),0)</f>
        <v>31827</v>
      </c>
      <c r="BB13" s="668">
        <f>IF(BB$4="forecast",IF(YEAR(BB$3)=YEAR('New Hires Forecast'!$N$3),((SUMIFS('New Hires Forecast'!$N$5:$N$82,'New Hires Forecast'!$F$5:$F$82,"Software",'New Hires Forecast'!$H$5:$H$82,"&gt;="&amp;Software!BB$3,'New Hires Forecast'!$G$5:$G$82,"&lt;="&amp;Software!BB$3)/12)),IF(YEAR(BB$3)=YEAR('New Hires Forecast'!$O$3),((SUMIFS('New Hires Forecast'!$O$5:$O$82,'New Hires Forecast'!$F$5:$F$82,"Software",'New Hires Forecast'!$H$5:$H$82,"&gt;="&amp;Software!BB$3,'New Hires Forecast'!$G$5:$G$82,"&lt;="&amp;Software!BB$3)/12)),IF(YEAR(BB$3)=YEAR('New Hires Forecast'!$P$3),((SUMIFS('New Hires Forecast'!$P$5:$P$82,'New Hires Forecast'!$F$5:$F$82,"Software",'New Hires Forecast'!$H$5:$H$82,"&gt;="&amp;Software!BB$3,'New Hires Forecast'!$G$5:$G$82,"&lt;="&amp;Software!BB$3)/12)),IF(YEAR(BB$3)=YEAR('New Hires Forecast'!$Q$3),((SUMIFS('New Hires Forecast'!$Q$5:$Q$82,'New Hires Forecast'!$F$5:$F$82,"Software",'New Hires Forecast'!$H$5:$H$82,"&gt;="&amp;Software!BB$3,'New Hires Forecast'!$G$5:$G$82,"&lt;="&amp;Software!BB$3)/12)),IF(YEAR(BB$3)=YEAR('New Hires Forecast'!$R$3),((SUMIFS('New Hires Forecast'!$R$5:$R$82,'New Hires Forecast'!$F$5:$F$82,"Software",'New Hires Forecast'!$H$5:$H$82,"&gt;="&amp;Software!BB$3,'New Hires Forecast'!$G$5:$G$82,"&lt;="&amp;Software!BB$3)/12))))))),0)</f>
        <v>31827</v>
      </c>
      <c r="BC13" s="668">
        <f>IF(BC$4="forecast",IF(YEAR(BC$3)=YEAR('New Hires Forecast'!$N$3),((SUMIFS('New Hires Forecast'!$N$5:$N$82,'New Hires Forecast'!$F$5:$F$82,"Software",'New Hires Forecast'!$H$5:$H$82,"&gt;="&amp;Software!BC$3,'New Hires Forecast'!$G$5:$G$82,"&lt;="&amp;Software!BC$3)/12)),IF(YEAR(BC$3)=YEAR('New Hires Forecast'!$O$3),((SUMIFS('New Hires Forecast'!$O$5:$O$82,'New Hires Forecast'!$F$5:$F$82,"Software",'New Hires Forecast'!$H$5:$H$82,"&gt;="&amp;Software!BC$3,'New Hires Forecast'!$G$5:$G$82,"&lt;="&amp;Software!BC$3)/12)),IF(YEAR(BC$3)=YEAR('New Hires Forecast'!$P$3),((SUMIFS('New Hires Forecast'!$P$5:$P$82,'New Hires Forecast'!$F$5:$F$82,"Software",'New Hires Forecast'!$H$5:$H$82,"&gt;="&amp;Software!BC$3,'New Hires Forecast'!$G$5:$G$82,"&lt;="&amp;Software!BC$3)/12)),IF(YEAR(BC$3)=YEAR('New Hires Forecast'!$Q$3),((SUMIFS('New Hires Forecast'!$Q$5:$Q$82,'New Hires Forecast'!$F$5:$F$82,"Software",'New Hires Forecast'!$H$5:$H$82,"&gt;="&amp;Software!BC$3,'New Hires Forecast'!$G$5:$G$82,"&lt;="&amp;Software!BC$3)/12)),IF(YEAR(BC$3)=YEAR('New Hires Forecast'!$R$3),((SUMIFS('New Hires Forecast'!$R$5:$R$82,'New Hires Forecast'!$F$5:$F$82,"Software",'New Hires Forecast'!$H$5:$H$82,"&gt;="&amp;Software!BC$3,'New Hires Forecast'!$G$5:$G$82,"&lt;="&amp;Software!BC$3)/12))))))),0)</f>
        <v>31827</v>
      </c>
      <c r="BD13" s="668">
        <f>IF(BD$4="forecast",IF(YEAR(BD$3)=YEAR('New Hires Forecast'!$N$3),((SUMIFS('New Hires Forecast'!$N$5:$N$82,'New Hires Forecast'!$F$5:$F$82,"Software",'New Hires Forecast'!$H$5:$H$82,"&gt;="&amp;Software!BD$3,'New Hires Forecast'!$G$5:$G$82,"&lt;="&amp;Software!BD$3)/12)),IF(YEAR(BD$3)=YEAR('New Hires Forecast'!$O$3),((SUMIFS('New Hires Forecast'!$O$5:$O$82,'New Hires Forecast'!$F$5:$F$82,"Software",'New Hires Forecast'!$H$5:$H$82,"&gt;="&amp;Software!BD$3,'New Hires Forecast'!$G$5:$G$82,"&lt;="&amp;Software!BD$3)/12)),IF(YEAR(BD$3)=YEAR('New Hires Forecast'!$P$3),((SUMIFS('New Hires Forecast'!$P$5:$P$82,'New Hires Forecast'!$F$5:$F$82,"Software",'New Hires Forecast'!$H$5:$H$82,"&gt;="&amp;Software!BD$3,'New Hires Forecast'!$G$5:$G$82,"&lt;="&amp;Software!BD$3)/12)),IF(YEAR(BD$3)=YEAR('New Hires Forecast'!$Q$3),((SUMIFS('New Hires Forecast'!$Q$5:$Q$82,'New Hires Forecast'!$F$5:$F$82,"Software",'New Hires Forecast'!$H$5:$H$82,"&gt;="&amp;Software!BD$3,'New Hires Forecast'!$G$5:$G$82,"&lt;="&amp;Software!BD$3)/12)),IF(YEAR(BD$3)=YEAR('New Hires Forecast'!$R$3),((SUMIFS('New Hires Forecast'!$R$5:$R$82,'New Hires Forecast'!$F$5:$F$82,"Software",'New Hires Forecast'!$H$5:$H$82,"&gt;="&amp;Software!BD$3,'New Hires Forecast'!$G$5:$G$82,"&lt;="&amp;Software!BD$3)/12))))))),0)</f>
        <v>31827</v>
      </c>
      <c r="BE13" s="668">
        <f>IF(BE$4="forecast",IF(YEAR(BE$3)=YEAR('New Hires Forecast'!$N$3),((SUMIFS('New Hires Forecast'!$N$5:$N$82,'New Hires Forecast'!$F$5:$F$82,"Software",'New Hires Forecast'!$H$5:$H$82,"&gt;="&amp;Software!BE$3,'New Hires Forecast'!$G$5:$G$82,"&lt;="&amp;Software!BE$3)/12)),IF(YEAR(BE$3)=YEAR('New Hires Forecast'!$O$3),((SUMIFS('New Hires Forecast'!$O$5:$O$82,'New Hires Forecast'!$F$5:$F$82,"Software",'New Hires Forecast'!$H$5:$H$82,"&gt;="&amp;Software!BE$3,'New Hires Forecast'!$G$5:$G$82,"&lt;="&amp;Software!BE$3)/12)),IF(YEAR(BE$3)=YEAR('New Hires Forecast'!$P$3),((SUMIFS('New Hires Forecast'!$P$5:$P$82,'New Hires Forecast'!$F$5:$F$82,"Software",'New Hires Forecast'!$H$5:$H$82,"&gt;="&amp;Software!BE$3,'New Hires Forecast'!$G$5:$G$82,"&lt;="&amp;Software!BE$3)/12)),IF(YEAR(BE$3)=YEAR('New Hires Forecast'!$Q$3),((SUMIFS('New Hires Forecast'!$Q$5:$Q$82,'New Hires Forecast'!$F$5:$F$82,"Software",'New Hires Forecast'!$H$5:$H$82,"&gt;="&amp;Software!BE$3,'New Hires Forecast'!$G$5:$G$82,"&lt;="&amp;Software!BE$3)/12)),IF(YEAR(BE$3)=YEAR('New Hires Forecast'!$R$3),((SUMIFS('New Hires Forecast'!$R$5:$R$82,'New Hires Forecast'!$F$5:$F$82,"Software",'New Hires Forecast'!$H$5:$H$82,"&gt;="&amp;Software!BE$3,'New Hires Forecast'!$G$5:$G$82,"&lt;="&amp;Software!BE$3)/12))))))),0)</f>
        <v>31827</v>
      </c>
      <c r="BF13" s="668">
        <f>IF(BF$4="forecast",IF(YEAR(BF$3)=YEAR('New Hires Forecast'!$N$3),((SUMIFS('New Hires Forecast'!$N$5:$N$82,'New Hires Forecast'!$F$5:$F$82,"Software",'New Hires Forecast'!$H$5:$H$82,"&gt;="&amp;Software!BF$3,'New Hires Forecast'!$G$5:$G$82,"&lt;="&amp;Software!BF$3)/12)),IF(YEAR(BF$3)=YEAR('New Hires Forecast'!$O$3),((SUMIFS('New Hires Forecast'!$O$5:$O$82,'New Hires Forecast'!$F$5:$F$82,"Software",'New Hires Forecast'!$H$5:$H$82,"&gt;="&amp;Software!BF$3,'New Hires Forecast'!$G$5:$G$82,"&lt;="&amp;Software!BF$3)/12)),IF(YEAR(BF$3)=YEAR('New Hires Forecast'!$P$3),((SUMIFS('New Hires Forecast'!$P$5:$P$82,'New Hires Forecast'!$F$5:$F$82,"Software",'New Hires Forecast'!$H$5:$H$82,"&gt;="&amp;Software!BF$3,'New Hires Forecast'!$G$5:$G$82,"&lt;="&amp;Software!BF$3)/12)),IF(YEAR(BF$3)=YEAR('New Hires Forecast'!$Q$3),((SUMIFS('New Hires Forecast'!$Q$5:$Q$82,'New Hires Forecast'!$F$5:$F$82,"Software",'New Hires Forecast'!$H$5:$H$82,"&gt;="&amp;Software!BF$3,'New Hires Forecast'!$G$5:$G$82,"&lt;="&amp;Software!BF$3)/12)),IF(YEAR(BF$3)=YEAR('New Hires Forecast'!$R$3),((SUMIFS('New Hires Forecast'!$R$5:$R$82,'New Hires Forecast'!$F$5:$F$82,"Software",'New Hires Forecast'!$H$5:$H$82,"&gt;="&amp;Software!BF$3,'New Hires Forecast'!$G$5:$G$82,"&lt;="&amp;Software!BF$3)/12))))))),0)</f>
        <v>31827</v>
      </c>
      <c r="BG13" s="668">
        <f>IF(BG$4="forecast",IF(YEAR(BG$3)=YEAR('New Hires Forecast'!$N$3),((SUMIFS('New Hires Forecast'!$N$5:$N$82,'New Hires Forecast'!$F$5:$F$82,"Software",'New Hires Forecast'!$H$5:$H$82,"&gt;="&amp;Software!BG$3,'New Hires Forecast'!$G$5:$G$82,"&lt;="&amp;Software!BG$3)/12)),IF(YEAR(BG$3)=YEAR('New Hires Forecast'!$O$3),((SUMIFS('New Hires Forecast'!$O$5:$O$82,'New Hires Forecast'!$F$5:$F$82,"Software",'New Hires Forecast'!$H$5:$H$82,"&gt;="&amp;Software!BG$3,'New Hires Forecast'!$G$5:$G$82,"&lt;="&amp;Software!BG$3)/12)),IF(YEAR(BG$3)=YEAR('New Hires Forecast'!$P$3),((SUMIFS('New Hires Forecast'!$P$5:$P$82,'New Hires Forecast'!$F$5:$F$82,"Software",'New Hires Forecast'!$H$5:$H$82,"&gt;="&amp;Software!BG$3,'New Hires Forecast'!$G$5:$G$82,"&lt;="&amp;Software!BG$3)/12)),IF(YEAR(BG$3)=YEAR('New Hires Forecast'!$Q$3),((SUMIFS('New Hires Forecast'!$Q$5:$Q$82,'New Hires Forecast'!$F$5:$F$82,"Software",'New Hires Forecast'!$H$5:$H$82,"&gt;="&amp;Software!BG$3,'New Hires Forecast'!$G$5:$G$82,"&lt;="&amp;Software!BG$3)/12)),IF(YEAR(BG$3)=YEAR('New Hires Forecast'!$R$3),((SUMIFS('New Hires Forecast'!$R$5:$R$82,'New Hires Forecast'!$F$5:$F$82,"Software",'New Hires Forecast'!$H$5:$H$82,"&gt;="&amp;Software!BG$3,'New Hires Forecast'!$G$5:$G$82,"&lt;="&amp;Software!BG$3)/12))))))),0)</f>
        <v>31827</v>
      </c>
      <c r="BH13" s="668">
        <f>IF(BH$4="forecast",IF(YEAR(BH$3)=YEAR('New Hires Forecast'!$N$3),((SUMIFS('New Hires Forecast'!$N$5:$N$82,'New Hires Forecast'!$F$5:$F$82,"Software",'New Hires Forecast'!$H$5:$H$82,"&gt;="&amp;Software!BH$3,'New Hires Forecast'!$G$5:$G$82,"&lt;="&amp;Software!BH$3)/12)),IF(YEAR(BH$3)=YEAR('New Hires Forecast'!$O$3),((SUMIFS('New Hires Forecast'!$O$5:$O$82,'New Hires Forecast'!$F$5:$F$82,"Software",'New Hires Forecast'!$H$5:$H$82,"&gt;="&amp;Software!BH$3,'New Hires Forecast'!$G$5:$G$82,"&lt;="&amp;Software!BH$3)/12)),IF(YEAR(BH$3)=YEAR('New Hires Forecast'!$P$3),((SUMIFS('New Hires Forecast'!$P$5:$P$82,'New Hires Forecast'!$F$5:$F$82,"Software",'New Hires Forecast'!$H$5:$H$82,"&gt;="&amp;Software!BH$3,'New Hires Forecast'!$G$5:$G$82,"&lt;="&amp;Software!BH$3)/12)),IF(YEAR(BH$3)=YEAR('New Hires Forecast'!$Q$3),((SUMIFS('New Hires Forecast'!$Q$5:$Q$82,'New Hires Forecast'!$F$5:$F$82,"Software",'New Hires Forecast'!$H$5:$H$82,"&gt;="&amp;Software!BH$3,'New Hires Forecast'!$G$5:$G$82,"&lt;="&amp;Software!BH$3)/12)),IF(YEAR(BH$3)=YEAR('New Hires Forecast'!$R$3),((SUMIFS('New Hires Forecast'!$R$5:$R$82,'New Hires Forecast'!$F$5:$F$82,"Software",'New Hires Forecast'!$H$5:$H$82,"&gt;="&amp;Software!BH$3,'New Hires Forecast'!$G$5:$G$82,"&lt;="&amp;Software!BH$3)/12))))))),0)</f>
        <v>31827</v>
      </c>
      <c r="BI13" s="668">
        <f>IF(BI$4="forecast",IF(YEAR(BI$3)=YEAR('New Hires Forecast'!$N$3),((SUMIFS('New Hires Forecast'!$N$5:$N$82,'New Hires Forecast'!$F$5:$F$82,"Software",'New Hires Forecast'!$H$5:$H$82,"&gt;="&amp;Software!BI$3,'New Hires Forecast'!$G$5:$G$82,"&lt;="&amp;Software!BI$3)/12)),IF(YEAR(BI$3)=YEAR('New Hires Forecast'!$O$3),((SUMIFS('New Hires Forecast'!$O$5:$O$82,'New Hires Forecast'!$F$5:$F$82,"Software",'New Hires Forecast'!$H$5:$H$82,"&gt;="&amp;Software!BI$3,'New Hires Forecast'!$G$5:$G$82,"&lt;="&amp;Software!BI$3)/12)),IF(YEAR(BI$3)=YEAR('New Hires Forecast'!$P$3),((SUMIFS('New Hires Forecast'!$P$5:$P$82,'New Hires Forecast'!$F$5:$F$82,"Software",'New Hires Forecast'!$H$5:$H$82,"&gt;="&amp;Software!BI$3,'New Hires Forecast'!$G$5:$G$82,"&lt;="&amp;Software!BI$3)/12)),IF(YEAR(BI$3)=YEAR('New Hires Forecast'!$Q$3),((SUMIFS('New Hires Forecast'!$Q$5:$Q$82,'New Hires Forecast'!$F$5:$F$82,"Software",'New Hires Forecast'!$H$5:$H$82,"&gt;="&amp;Software!BI$3,'New Hires Forecast'!$G$5:$G$82,"&lt;="&amp;Software!BI$3)/12)),IF(YEAR(BI$3)=YEAR('New Hires Forecast'!$R$3),((SUMIFS('New Hires Forecast'!$R$5:$R$82,'New Hires Forecast'!$F$5:$F$82,"Software",'New Hires Forecast'!$H$5:$H$82,"&gt;="&amp;Software!BI$3,'New Hires Forecast'!$G$5:$G$82,"&lt;="&amp;Software!BI$3)/12))))))),0)</f>
        <v>31827</v>
      </c>
      <c r="BJ13" s="668">
        <f>IF(BJ$4="forecast",IF(YEAR(BJ$3)=YEAR('New Hires Forecast'!$N$3),((SUMIFS('New Hires Forecast'!$N$5:$N$82,'New Hires Forecast'!$F$5:$F$82,"Software",'New Hires Forecast'!$H$5:$H$82,"&gt;="&amp;Software!BJ$3,'New Hires Forecast'!$G$5:$G$82,"&lt;="&amp;Software!BJ$3)/12)),IF(YEAR(BJ$3)=YEAR('New Hires Forecast'!$O$3),((SUMIFS('New Hires Forecast'!$O$5:$O$82,'New Hires Forecast'!$F$5:$F$82,"Software",'New Hires Forecast'!$H$5:$H$82,"&gt;="&amp;Software!BJ$3,'New Hires Forecast'!$G$5:$G$82,"&lt;="&amp;Software!BJ$3)/12)),IF(YEAR(BJ$3)=YEAR('New Hires Forecast'!$P$3),((SUMIFS('New Hires Forecast'!$P$5:$P$82,'New Hires Forecast'!$F$5:$F$82,"Software",'New Hires Forecast'!$H$5:$H$82,"&gt;="&amp;Software!BJ$3,'New Hires Forecast'!$G$5:$G$82,"&lt;="&amp;Software!BJ$3)/12)),IF(YEAR(BJ$3)=YEAR('New Hires Forecast'!$Q$3),((SUMIFS('New Hires Forecast'!$Q$5:$Q$82,'New Hires Forecast'!$F$5:$F$82,"Software",'New Hires Forecast'!$H$5:$H$82,"&gt;="&amp;Software!BJ$3,'New Hires Forecast'!$G$5:$G$82,"&lt;="&amp;Software!BJ$3)/12)),IF(YEAR(BJ$3)=YEAR('New Hires Forecast'!$R$3),((SUMIFS('New Hires Forecast'!$R$5:$R$82,'New Hires Forecast'!$F$5:$F$82,"Software",'New Hires Forecast'!$H$5:$H$82,"&gt;="&amp;Software!BJ$3,'New Hires Forecast'!$G$5:$G$82,"&lt;="&amp;Software!BJ$3)/12))))))),0)</f>
        <v>31827</v>
      </c>
      <c r="BK13" s="668">
        <f>IF(BK$4="forecast",IF(YEAR(BK$3)=YEAR('New Hires Forecast'!$N$3),((SUMIFS('New Hires Forecast'!$N$5:$N$82,'New Hires Forecast'!$F$5:$F$82,"Software",'New Hires Forecast'!$H$5:$H$82,"&gt;="&amp;Software!BK$3,'New Hires Forecast'!$G$5:$G$82,"&lt;="&amp;Software!BK$3)/12)),IF(YEAR(BK$3)=YEAR('New Hires Forecast'!$O$3),((SUMIFS('New Hires Forecast'!$O$5:$O$82,'New Hires Forecast'!$F$5:$F$82,"Software",'New Hires Forecast'!$H$5:$H$82,"&gt;="&amp;Software!BK$3,'New Hires Forecast'!$G$5:$G$82,"&lt;="&amp;Software!BK$3)/12)),IF(YEAR(BK$3)=YEAR('New Hires Forecast'!$P$3),((SUMIFS('New Hires Forecast'!$P$5:$P$82,'New Hires Forecast'!$F$5:$F$82,"Software",'New Hires Forecast'!$H$5:$H$82,"&gt;="&amp;Software!BK$3,'New Hires Forecast'!$G$5:$G$82,"&lt;="&amp;Software!BK$3)/12)),IF(YEAR(BK$3)=YEAR('New Hires Forecast'!$Q$3),((SUMIFS('New Hires Forecast'!$Q$5:$Q$82,'New Hires Forecast'!$F$5:$F$82,"Software",'New Hires Forecast'!$H$5:$H$82,"&gt;="&amp;Software!BK$3,'New Hires Forecast'!$G$5:$G$82,"&lt;="&amp;Software!BK$3)/12)),IF(YEAR(BK$3)=YEAR('New Hires Forecast'!$R$3),((SUMIFS('New Hires Forecast'!$R$5:$R$82,'New Hires Forecast'!$F$5:$F$82,"Software",'New Hires Forecast'!$H$5:$H$82,"&gt;="&amp;Software!BK$3,'New Hires Forecast'!$G$5:$G$82,"&lt;="&amp;Software!BK$3)/12))))))),0)</f>
        <v>32781.81</v>
      </c>
      <c r="BL13" s="668">
        <f>IF(BL$4="forecast",IF(YEAR(BL$3)=YEAR('New Hires Forecast'!$N$3),((SUMIFS('New Hires Forecast'!$N$5:$N$82,'New Hires Forecast'!$F$5:$F$82,"Software",'New Hires Forecast'!$H$5:$H$82,"&gt;="&amp;Software!BL$3,'New Hires Forecast'!$G$5:$G$82,"&lt;="&amp;Software!BL$3)/12)),IF(YEAR(BL$3)=YEAR('New Hires Forecast'!$O$3),((SUMIFS('New Hires Forecast'!$O$5:$O$82,'New Hires Forecast'!$F$5:$F$82,"Software",'New Hires Forecast'!$H$5:$H$82,"&gt;="&amp;Software!BL$3,'New Hires Forecast'!$G$5:$G$82,"&lt;="&amp;Software!BL$3)/12)),IF(YEAR(BL$3)=YEAR('New Hires Forecast'!$P$3),((SUMIFS('New Hires Forecast'!$P$5:$P$82,'New Hires Forecast'!$F$5:$F$82,"Software",'New Hires Forecast'!$H$5:$H$82,"&gt;="&amp;Software!BL$3,'New Hires Forecast'!$G$5:$G$82,"&lt;="&amp;Software!BL$3)/12)),IF(YEAR(BL$3)=YEAR('New Hires Forecast'!$Q$3),((SUMIFS('New Hires Forecast'!$Q$5:$Q$82,'New Hires Forecast'!$F$5:$F$82,"Software",'New Hires Forecast'!$H$5:$H$82,"&gt;="&amp;Software!BL$3,'New Hires Forecast'!$G$5:$G$82,"&lt;="&amp;Software!BL$3)/12)),IF(YEAR(BL$3)=YEAR('New Hires Forecast'!$R$3),((SUMIFS('New Hires Forecast'!$R$5:$R$82,'New Hires Forecast'!$F$5:$F$82,"Software",'New Hires Forecast'!$H$5:$H$82,"&gt;="&amp;Software!BL$3,'New Hires Forecast'!$G$5:$G$82,"&lt;="&amp;Software!BL$3)/12))))))),0)</f>
        <v>32781.81</v>
      </c>
      <c r="BM13" s="668">
        <f>IF(BM$4="forecast",IF(YEAR(BM$3)=YEAR('New Hires Forecast'!$N$3),((SUMIFS('New Hires Forecast'!$N$5:$N$82,'New Hires Forecast'!$F$5:$F$82,"Software",'New Hires Forecast'!$H$5:$H$82,"&gt;="&amp;Software!BM$3,'New Hires Forecast'!$G$5:$G$82,"&lt;="&amp;Software!BM$3)/12)),IF(YEAR(BM$3)=YEAR('New Hires Forecast'!$O$3),((SUMIFS('New Hires Forecast'!$O$5:$O$82,'New Hires Forecast'!$F$5:$F$82,"Software",'New Hires Forecast'!$H$5:$H$82,"&gt;="&amp;Software!BM$3,'New Hires Forecast'!$G$5:$G$82,"&lt;="&amp;Software!BM$3)/12)),IF(YEAR(BM$3)=YEAR('New Hires Forecast'!$P$3),((SUMIFS('New Hires Forecast'!$P$5:$P$82,'New Hires Forecast'!$F$5:$F$82,"Software",'New Hires Forecast'!$H$5:$H$82,"&gt;="&amp;Software!BM$3,'New Hires Forecast'!$G$5:$G$82,"&lt;="&amp;Software!BM$3)/12)),IF(YEAR(BM$3)=YEAR('New Hires Forecast'!$Q$3),((SUMIFS('New Hires Forecast'!$Q$5:$Q$82,'New Hires Forecast'!$F$5:$F$82,"Software",'New Hires Forecast'!$H$5:$H$82,"&gt;="&amp;Software!BM$3,'New Hires Forecast'!$G$5:$G$82,"&lt;="&amp;Software!BM$3)/12)),IF(YEAR(BM$3)=YEAR('New Hires Forecast'!$R$3),((SUMIFS('New Hires Forecast'!$R$5:$R$82,'New Hires Forecast'!$F$5:$F$82,"Software",'New Hires Forecast'!$H$5:$H$82,"&gt;="&amp;Software!BM$3,'New Hires Forecast'!$G$5:$G$82,"&lt;="&amp;Software!BM$3)/12))))))),0)</f>
        <v>32781.81</v>
      </c>
      <c r="BN13" s="668">
        <f>IF(BN$4="forecast",IF(YEAR(BN$3)=YEAR('New Hires Forecast'!$N$3),((SUMIFS('New Hires Forecast'!$N$5:$N$82,'New Hires Forecast'!$F$5:$F$82,"Software",'New Hires Forecast'!$H$5:$H$82,"&gt;="&amp;Software!BN$3,'New Hires Forecast'!$G$5:$G$82,"&lt;="&amp;Software!BN$3)/12)),IF(YEAR(BN$3)=YEAR('New Hires Forecast'!$O$3),((SUMIFS('New Hires Forecast'!$O$5:$O$82,'New Hires Forecast'!$F$5:$F$82,"Software",'New Hires Forecast'!$H$5:$H$82,"&gt;="&amp;Software!BN$3,'New Hires Forecast'!$G$5:$G$82,"&lt;="&amp;Software!BN$3)/12)),IF(YEAR(BN$3)=YEAR('New Hires Forecast'!$P$3),((SUMIFS('New Hires Forecast'!$P$5:$P$82,'New Hires Forecast'!$F$5:$F$82,"Software",'New Hires Forecast'!$H$5:$H$82,"&gt;="&amp;Software!BN$3,'New Hires Forecast'!$G$5:$G$82,"&lt;="&amp;Software!BN$3)/12)),IF(YEAR(BN$3)=YEAR('New Hires Forecast'!$Q$3),((SUMIFS('New Hires Forecast'!$Q$5:$Q$82,'New Hires Forecast'!$F$5:$F$82,"Software",'New Hires Forecast'!$H$5:$H$82,"&gt;="&amp;Software!BN$3,'New Hires Forecast'!$G$5:$G$82,"&lt;="&amp;Software!BN$3)/12)),IF(YEAR(BN$3)=YEAR('New Hires Forecast'!$R$3),((SUMIFS('New Hires Forecast'!$R$5:$R$82,'New Hires Forecast'!$F$5:$F$82,"Software",'New Hires Forecast'!$H$5:$H$82,"&gt;="&amp;Software!BN$3,'New Hires Forecast'!$G$5:$G$82,"&lt;="&amp;Software!BN$3)/12))))))),0)</f>
        <v>32781.81</v>
      </c>
      <c r="BO13" s="668">
        <f>IF(BO$4="forecast",IF(YEAR(BO$3)=YEAR('New Hires Forecast'!$N$3),((SUMIFS('New Hires Forecast'!$N$5:$N$82,'New Hires Forecast'!$F$5:$F$82,"Software",'New Hires Forecast'!$H$5:$H$82,"&gt;="&amp;Software!BO$3,'New Hires Forecast'!$G$5:$G$82,"&lt;="&amp;Software!BO$3)/12)),IF(YEAR(BO$3)=YEAR('New Hires Forecast'!$O$3),((SUMIFS('New Hires Forecast'!$O$5:$O$82,'New Hires Forecast'!$F$5:$F$82,"Software",'New Hires Forecast'!$H$5:$H$82,"&gt;="&amp;Software!BO$3,'New Hires Forecast'!$G$5:$G$82,"&lt;="&amp;Software!BO$3)/12)),IF(YEAR(BO$3)=YEAR('New Hires Forecast'!$P$3),((SUMIFS('New Hires Forecast'!$P$5:$P$82,'New Hires Forecast'!$F$5:$F$82,"Software",'New Hires Forecast'!$H$5:$H$82,"&gt;="&amp;Software!BO$3,'New Hires Forecast'!$G$5:$G$82,"&lt;="&amp;Software!BO$3)/12)),IF(YEAR(BO$3)=YEAR('New Hires Forecast'!$Q$3),((SUMIFS('New Hires Forecast'!$Q$5:$Q$82,'New Hires Forecast'!$F$5:$F$82,"Software",'New Hires Forecast'!$H$5:$H$82,"&gt;="&amp;Software!BO$3,'New Hires Forecast'!$G$5:$G$82,"&lt;="&amp;Software!BO$3)/12)),IF(YEAR(BO$3)=YEAR('New Hires Forecast'!$R$3),((SUMIFS('New Hires Forecast'!$R$5:$R$82,'New Hires Forecast'!$F$5:$F$82,"Software",'New Hires Forecast'!$H$5:$H$82,"&gt;="&amp;Software!BO$3,'New Hires Forecast'!$G$5:$G$82,"&lt;="&amp;Software!BO$3)/12))))))),0)</f>
        <v>32781.81</v>
      </c>
      <c r="BP13" s="668">
        <f>IF(BP$4="forecast",IF(YEAR(BP$3)=YEAR('New Hires Forecast'!$N$3),((SUMIFS('New Hires Forecast'!$N$5:$N$82,'New Hires Forecast'!$F$5:$F$82,"Software",'New Hires Forecast'!$H$5:$H$82,"&gt;="&amp;Software!BP$3,'New Hires Forecast'!$G$5:$G$82,"&lt;="&amp;Software!BP$3)/12)),IF(YEAR(BP$3)=YEAR('New Hires Forecast'!$O$3),((SUMIFS('New Hires Forecast'!$O$5:$O$82,'New Hires Forecast'!$F$5:$F$82,"Software",'New Hires Forecast'!$H$5:$H$82,"&gt;="&amp;Software!BP$3,'New Hires Forecast'!$G$5:$G$82,"&lt;="&amp;Software!BP$3)/12)),IF(YEAR(BP$3)=YEAR('New Hires Forecast'!$P$3),((SUMIFS('New Hires Forecast'!$P$5:$P$82,'New Hires Forecast'!$F$5:$F$82,"Software",'New Hires Forecast'!$H$5:$H$82,"&gt;="&amp;Software!BP$3,'New Hires Forecast'!$G$5:$G$82,"&lt;="&amp;Software!BP$3)/12)),IF(YEAR(BP$3)=YEAR('New Hires Forecast'!$Q$3),((SUMIFS('New Hires Forecast'!$Q$5:$Q$82,'New Hires Forecast'!$F$5:$F$82,"Software",'New Hires Forecast'!$H$5:$H$82,"&gt;="&amp;Software!BP$3,'New Hires Forecast'!$G$5:$G$82,"&lt;="&amp;Software!BP$3)/12)),IF(YEAR(BP$3)=YEAR('New Hires Forecast'!$R$3),((SUMIFS('New Hires Forecast'!$R$5:$R$82,'New Hires Forecast'!$F$5:$F$82,"Software",'New Hires Forecast'!$H$5:$H$82,"&gt;="&amp;Software!BP$3,'New Hires Forecast'!$G$5:$G$82,"&lt;="&amp;Software!BP$3)/12))))))),0)</f>
        <v>32781.81</v>
      </c>
      <c r="BQ13" s="668">
        <f>IF(BQ$4="forecast",IF(YEAR(BQ$3)=YEAR('New Hires Forecast'!$N$3),((SUMIFS('New Hires Forecast'!$N$5:$N$82,'New Hires Forecast'!$F$5:$F$82,"Software",'New Hires Forecast'!$H$5:$H$82,"&gt;="&amp;Software!BQ$3,'New Hires Forecast'!$G$5:$G$82,"&lt;="&amp;Software!BQ$3)/12)),IF(YEAR(BQ$3)=YEAR('New Hires Forecast'!$O$3),((SUMIFS('New Hires Forecast'!$O$5:$O$82,'New Hires Forecast'!$F$5:$F$82,"Software",'New Hires Forecast'!$H$5:$H$82,"&gt;="&amp;Software!BQ$3,'New Hires Forecast'!$G$5:$G$82,"&lt;="&amp;Software!BQ$3)/12)),IF(YEAR(BQ$3)=YEAR('New Hires Forecast'!$P$3),((SUMIFS('New Hires Forecast'!$P$5:$P$82,'New Hires Forecast'!$F$5:$F$82,"Software",'New Hires Forecast'!$H$5:$H$82,"&gt;="&amp;Software!BQ$3,'New Hires Forecast'!$G$5:$G$82,"&lt;="&amp;Software!BQ$3)/12)),IF(YEAR(BQ$3)=YEAR('New Hires Forecast'!$Q$3),((SUMIFS('New Hires Forecast'!$Q$5:$Q$82,'New Hires Forecast'!$F$5:$F$82,"Software",'New Hires Forecast'!$H$5:$H$82,"&gt;="&amp;Software!BQ$3,'New Hires Forecast'!$G$5:$G$82,"&lt;="&amp;Software!BQ$3)/12)),IF(YEAR(BQ$3)=YEAR('New Hires Forecast'!$R$3),((SUMIFS('New Hires Forecast'!$R$5:$R$82,'New Hires Forecast'!$F$5:$F$82,"Software",'New Hires Forecast'!$H$5:$H$82,"&gt;="&amp;Software!BQ$3,'New Hires Forecast'!$G$5:$G$82,"&lt;="&amp;Software!BQ$3)/12))))))),0)</f>
        <v>32781.81</v>
      </c>
      <c r="BR13" s="668">
        <f>IF(BR$4="forecast",IF(YEAR(BR$3)=YEAR('New Hires Forecast'!$N$3),((SUMIFS('New Hires Forecast'!$N$5:$N$82,'New Hires Forecast'!$F$5:$F$82,"Software",'New Hires Forecast'!$H$5:$H$82,"&gt;="&amp;Software!BR$3,'New Hires Forecast'!$G$5:$G$82,"&lt;="&amp;Software!BR$3)/12)),IF(YEAR(BR$3)=YEAR('New Hires Forecast'!$O$3),((SUMIFS('New Hires Forecast'!$O$5:$O$82,'New Hires Forecast'!$F$5:$F$82,"Software",'New Hires Forecast'!$H$5:$H$82,"&gt;="&amp;Software!BR$3,'New Hires Forecast'!$G$5:$G$82,"&lt;="&amp;Software!BR$3)/12)),IF(YEAR(BR$3)=YEAR('New Hires Forecast'!$P$3),((SUMIFS('New Hires Forecast'!$P$5:$P$82,'New Hires Forecast'!$F$5:$F$82,"Software",'New Hires Forecast'!$H$5:$H$82,"&gt;="&amp;Software!BR$3,'New Hires Forecast'!$G$5:$G$82,"&lt;="&amp;Software!BR$3)/12)),IF(YEAR(BR$3)=YEAR('New Hires Forecast'!$Q$3),((SUMIFS('New Hires Forecast'!$Q$5:$Q$82,'New Hires Forecast'!$F$5:$F$82,"Software",'New Hires Forecast'!$H$5:$H$82,"&gt;="&amp;Software!BR$3,'New Hires Forecast'!$G$5:$G$82,"&lt;="&amp;Software!BR$3)/12)),IF(YEAR(BR$3)=YEAR('New Hires Forecast'!$R$3),((SUMIFS('New Hires Forecast'!$R$5:$R$82,'New Hires Forecast'!$F$5:$F$82,"Software",'New Hires Forecast'!$H$5:$H$82,"&gt;="&amp;Software!BR$3,'New Hires Forecast'!$G$5:$G$82,"&lt;="&amp;Software!BR$3)/12))))))),0)</f>
        <v>32781.81</v>
      </c>
      <c r="BS13" s="668">
        <f>IF(BS$4="forecast",IF(YEAR(BS$3)=YEAR('New Hires Forecast'!$N$3),((SUMIFS('New Hires Forecast'!$N$5:$N$82,'New Hires Forecast'!$F$5:$F$82,"Software",'New Hires Forecast'!$H$5:$H$82,"&gt;="&amp;Software!BS$3,'New Hires Forecast'!$G$5:$G$82,"&lt;="&amp;Software!BS$3)/12)),IF(YEAR(BS$3)=YEAR('New Hires Forecast'!$O$3),((SUMIFS('New Hires Forecast'!$O$5:$O$82,'New Hires Forecast'!$F$5:$F$82,"Software",'New Hires Forecast'!$H$5:$H$82,"&gt;="&amp;Software!BS$3,'New Hires Forecast'!$G$5:$G$82,"&lt;="&amp;Software!BS$3)/12)),IF(YEAR(BS$3)=YEAR('New Hires Forecast'!$P$3),((SUMIFS('New Hires Forecast'!$P$5:$P$82,'New Hires Forecast'!$F$5:$F$82,"Software",'New Hires Forecast'!$H$5:$H$82,"&gt;="&amp;Software!BS$3,'New Hires Forecast'!$G$5:$G$82,"&lt;="&amp;Software!BS$3)/12)),IF(YEAR(BS$3)=YEAR('New Hires Forecast'!$Q$3),((SUMIFS('New Hires Forecast'!$Q$5:$Q$82,'New Hires Forecast'!$F$5:$F$82,"Software",'New Hires Forecast'!$H$5:$H$82,"&gt;="&amp;Software!BS$3,'New Hires Forecast'!$G$5:$G$82,"&lt;="&amp;Software!BS$3)/12)),IF(YEAR(BS$3)=YEAR('New Hires Forecast'!$R$3),((SUMIFS('New Hires Forecast'!$R$5:$R$82,'New Hires Forecast'!$F$5:$F$82,"Software",'New Hires Forecast'!$H$5:$H$82,"&gt;="&amp;Software!BS$3,'New Hires Forecast'!$G$5:$G$82,"&lt;="&amp;Software!BS$3)/12))))))),0)</f>
        <v>32781.81</v>
      </c>
      <c r="BT13" s="668">
        <f>IF(BT$4="forecast",IF(YEAR(BT$3)=YEAR('New Hires Forecast'!$N$3),((SUMIFS('New Hires Forecast'!$N$5:$N$82,'New Hires Forecast'!$F$5:$F$82,"Software",'New Hires Forecast'!$H$5:$H$82,"&gt;="&amp;Software!BT$3,'New Hires Forecast'!$G$5:$G$82,"&lt;="&amp;Software!BT$3)/12)),IF(YEAR(BT$3)=YEAR('New Hires Forecast'!$O$3),((SUMIFS('New Hires Forecast'!$O$5:$O$82,'New Hires Forecast'!$F$5:$F$82,"Software",'New Hires Forecast'!$H$5:$H$82,"&gt;="&amp;Software!BT$3,'New Hires Forecast'!$G$5:$G$82,"&lt;="&amp;Software!BT$3)/12)),IF(YEAR(BT$3)=YEAR('New Hires Forecast'!$P$3),((SUMIFS('New Hires Forecast'!$P$5:$P$82,'New Hires Forecast'!$F$5:$F$82,"Software",'New Hires Forecast'!$H$5:$H$82,"&gt;="&amp;Software!BT$3,'New Hires Forecast'!$G$5:$G$82,"&lt;="&amp;Software!BT$3)/12)),IF(YEAR(BT$3)=YEAR('New Hires Forecast'!$Q$3),((SUMIFS('New Hires Forecast'!$Q$5:$Q$82,'New Hires Forecast'!$F$5:$F$82,"Software",'New Hires Forecast'!$H$5:$H$82,"&gt;="&amp;Software!BT$3,'New Hires Forecast'!$G$5:$G$82,"&lt;="&amp;Software!BT$3)/12)),IF(YEAR(BT$3)=YEAR('New Hires Forecast'!$R$3),((SUMIFS('New Hires Forecast'!$R$5:$R$82,'New Hires Forecast'!$F$5:$F$82,"Software",'New Hires Forecast'!$H$5:$H$82,"&gt;="&amp;Software!BT$3,'New Hires Forecast'!$G$5:$G$82,"&lt;="&amp;Software!BT$3)/12))))))),0)</f>
        <v>32781.81</v>
      </c>
      <c r="BU13" s="668">
        <f>IF(BU$4="forecast",IF(YEAR(BU$3)=YEAR('New Hires Forecast'!$N$3),((SUMIFS('New Hires Forecast'!$N$5:$N$82,'New Hires Forecast'!$F$5:$F$82,"Software",'New Hires Forecast'!$H$5:$H$82,"&gt;="&amp;Software!BU$3,'New Hires Forecast'!$G$5:$G$82,"&lt;="&amp;Software!BU$3)/12)),IF(YEAR(BU$3)=YEAR('New Hires Forecast'!$O$3),((SUMIFS('New Hires Forecast'!$O$5:$O$82,'New Hires Forecast'!$F$5:$F$82,"Software",'New Hires Forecast'!$H$5:$H$82,"&gt;="&amp;Software!BU$3,'New Hires Forecast'!$G$5:$G$82,"&lt;="&amp;Software!BU$3)/12)),IF(YEAR(BU$3)=YEAR('New Hires Forecast'!$P$3),((SUMIFS('New Hires Forecast'!$P$5:$P$82,'New Hires Forecast'!$F$5:$F$82,"Software",'New Hires Forecast'!$H$5:$H$82,"&gt;="&amp;Software!BU$3,'New Hires Forecast'!$G$5:$G$82,"&lt;="&amp;Software!BU$3)/12)),IF(YEAR(BU$3)=YEAR('New Hires Forecast'!$Q$3),((SUMIFS('New Hires Forecast'!$Q$5:$Q$82,'New Hires Forecast'!$F$5:$F$82,"Software",'New Hires Forecast'!$H$5:$H$82,"&gt;="&amp;Software!BU$3,'New Hires Forecast'!$G$5:$G$82,"&lt;="&amp;Software!BU$3)/12)),IF(YEAR(BU$3)=YEAR('New Hires Forecast'!$R$3),((SUMIFS('New Hires Forecast'!$R$5:$R$82,'New Hires Forecast'!$F$5:$F$82,"Software",'New Hires Forecast'!$H$5:$H$82,"&gt;="&amp;Software!BU$3,'New Hires Forecast'!$G$5:$G$82,"&lt;="&amp;Software!BU$3)/12))))))),0)</f>
        <v>32781.81</v>
      </c>
      <c r="BV13" s="790">
        <f>IF(BV$4="forecast",IF(YEAR(BV$3)=YEAR('New Hires Forecast'!$N$3),((SUMIFS('New Hires Forecast'!$N$5:$N$82,'New Hires Forecast'!$F$5:$F$82,"Software",'New Hires Forecast'!$H$5:$H$82,"&gt;="&amp;Software!BV$3,'New Hires Forecast'!$G$5:$G$82,"&lt;="&amp;Software!BV$3)/12)),IF(YEAR(BV$3)=YEAR('New Hires Forecast'!$O$3),((SUMIFS('New Hires Forecast'!$O$5:$O$82,'New Hires Forecast'!$F$5:$F$82,"Software",'New Hires Forecast'!$H$5:$H$82,"&gt;="&amp;Software!BV$3,'New Hires Forecast'!$G$5:$G$82,"&lt;="&amp;Software!BV$3)/12)),IF(YEAR(BV$3)=YEAR('New Hires Forecast'!$P$3),((SUMIFS('New Hires Forecast'!$P$5:$P$82,'New Hires Forecast'!$F$5:$F$82,"Software",'New Hires Forecast'!$H$5:$H$82,"&gt;="&amp;Software!BV$3,'New Hires Forecast'!$G$5:$G$82,"&lt;="&amp;Software!BV$3)/12)),IF(YEAR(BV$3)=YEAR('New Hires Forecast'!$Q$3),((SUMIFS('New Hires Forecast'!$Q$5:$Q$82,'New Hires Forecast'!$F$5:$F$82,"Software",'New Hires Forecast'!$H$5:$H$82,"&gt;="&amp;Software!BV$3,'New Hires Forecast'!$G$5:$G$82,"&lt;="&amp;Software!BV$3)/12)),IF(YEAR(BV$3)=YEAR('New Hires Forecast'!$R$3),((SUMIFS('New Hires Forecast'!$R$5:$R$82,'New Hires Forecast'!$F$5:$F$82,"Software",'New Hires Forecast'!$H$5:$H$82,"&gt;="&amp;Software!BV$3,'New Hires Forecast'!$G$5:$G$82,"&lt;="&amp;Software!BV$3)/12))))))),0)</f>
        <v>32781.81</v>
      </c>
      <c r="BW13" s="668"/>
    </row>
    <row r="14" spans="2:75" x14ac:dyDescent="0.25">
      <c r="B14" s="791" t="s">
        <v>929</v>
      </c>
      <c r="C14" s="1139">
        <f t="shared" ref="C14:Z14" si="2">SUM(C12:C13)</f>
        <v>44281.53</v>
      </c>
      <c r="D14" s="1139">
        <f t="shared" si="2"/>
        <v>38178.959999999999</v>
      </c>
      <c r="E14" s="1139">
        <f t="shared" si="2"/>
        <v>45621.25</v>
      </c>
      <c r="F14" s="1139">
        <f t="shared" si="2"/>
        <v>48563.58</v>
      </c>
      <c r="G14" s="1139">
        <f t="shared" si="2"/>
        <v>45951.17</v>
      </c>
      <c r="H14" s="1139">
        <f t="shared" si="2"/>
        <v>66236.66</v>
      </c>
      <c r="I14" s="1139">
        <f t="shared" si="2"/>
        <v>71140.509999999995</v>
      </c>
      <c r="J14" s="1139">
        <f t="shared" si="2"/>
        <v>84309.07</v>
      </c>
      <c r="K14" s="1139">
        <f t="shared" si="2"/>
        <v>86178.98000000001</v>
      </c>
      <c r="L14" s="1139">
        <f t="shared" si="2"/>
        <v>86178.98000000001</v>
      </c>
      <c r="M14" s="1139">
        <f t="shared" si="2"/>
        <v>126554.75</v>
      </c>
      <c r="N14" s="1139">
        <f t="shared" si="2"/>
        <v>122238.36</v>
      </c>
      <c r="O14" s="1139">
        <f t="shared" si="2"/>
        <v>92204.25</v>
      </c>
      <c r="P14" s="1139">
        <f t="shared" si="2"/>
        <v>100004.98</v>
      </c>
      <c r="Q14" s="1139">
        <f t="shared" si="2"/>
        <v>165011.1</v>
      </c>
      <c r="R14" s="1139">
        <f t="shared" si="2"/>
        <v>151891.85</v>
      </c>
      <c r="S14" s="1139">
        <f t="shared" si="2"/>
        <v>142679.44</v>
      </c>
      <c r="T14" s="1139">
        <f t="shared" si="2"/>
        <v>125013.02</v>
      </c>
      <c r="U14" s="1139">
        <f t="shared" si="2"/>
        <v>146830.65</v>
      </c>
      <c r="V14" s="1139">
        <f t="shared" si="2"/>
        <v>141600.19</v>
      </c>
      <c r="W14" s="1139">
        <f t="shared" si="2"/>
        <v>134490.5</v>
      </c>
      <c r="X14" s="1139">
        <f t="shared" si="2"/>
        <v>141363.04</v>
      </c>
      <c r="Y14" s="1139">
        <f t="shared" si="2"/>
        <v>136176.87</v>
      </c>
      <c r="Z14" s="1139">
        <f t="shared" si="2"/>
        <v>143123.01999999999</v>
      </c>
      <c r="AA14" s="1139">
        <f t="shared" ref="AA14" si="3">SUM(AA12:AA13)</f>
        <v>137011.51999999999</v>
      </c>
      <c r="AB14" s="1139">
        <f t="shared" ref="AB14" si="4">SUM(AB12:AB13)</f>
        <v>128923.05</v>
      </c>
      <c r="AC14" s="1139">
        <f t="shared" ref="AC14:BV14" si="5">SUM(AC12:AC13)</f>
        <v>138165.35</v>
      </c>
      <c r="AD14" s="1139">
        <f t="shared" si="5"/>
        <v>222061.82499999998</v>
      </c>
      <c r="AE14" s="1139">
        <f t="shared" si="5"/>
        <v>222061.82499999998</v>
      </c>
      <c r="AF14" s="1139">
        <f t="shared" si="5"/>
        <v>222061.82499999998</v>
      </c>
      <c r="AG14" s="1139">
        <f t="shared" si="5"/>
        <v>232061.82499999998</v>
      </c>
      <c r="AH14" s="1139">
        <f t="shared" si="5"/>
        <v>232061.82499999998</v>
      </c>
      <c r="AI14" s="1139">
        <f t="shared" si="5"/>
        <v>232061.82499999998</v>
      </c>
      <c r="AJ14" s="1139">
        <f t="shared" si="5"/>
        <v>242061.82499999998</v>
      </c>
      <c r="AK14" s="1139">
        <f t="shared" si="5"/>
        <v>242061.82499999998</v>
      </c>
      <c r="AL14" s="1139">
        <f t="shared" si="5"/>
        <v>242061.82499999998</v>
      </c>
      <c r="AM14" s="1139">
        <f t="shared" si="5"/>
        <v>242961.82499999998</v>
      </c>
      <c r="AN14" s="1139">
        <f t="shared" si="5"/>
        <v>248134.82504999998</v>
      </c>
      <c r="AO14" s="1139">
        <f t="shared" si="5"/>
        <v>248134.82504999998</v>
      </c>
      <c r="AP14" s="1139">
        <f t="shared" si="5"/>
        <v>248134.82504999998</v>
      </c>
      <c r="AQ14" s="1139">
        <f t="shared" si="5"/>
        <v>248134.82504999998</v>
      </c>
      <c r="AR14" s="1139">
        <f t="shared" si="5"/>
        <v>248134.82504999998</v>
      </c>
      <c r="AS14" s="1139">
        <f t="shared" si="5"/>
        <v>248134.82504999998</v>
      </c>
      <c r="AT14" s="1139">
        <f t="shared" si="5"/>
        <v>248134.82504999998</v>
      </c>
      <c r="AU14" s="1139">
        <f t="shared" si="5"/>
        <v>248134.82504999998</v>
      </c>
      <c r="AV14" s="1139">
        <f t="shared" si="5"/>
        <v>248134.82504999998</v>
      </c>
      <c r="AW14" s="1139">
        <f t="shared" si="5"/>
        <v>248134.82504999998</v>
      </c>
      <c r="AX14" s="1139">
        <f t="shared" si="5"/>
        <v>248134.82504999998</v>
      </c>
      <c r="AY14" s="1139">
        <f t="shared" si="5"/>
        <v>249061.82504999998</v>
      </c>
      <c r="AZ14" s="1139">
        <f t="shared" si="5"/>
        <v>255578.8698015</v>
      </c>
      <c r="BA14" s="1139">
        <f t="shared" si="5"/>
        <v>255578.8698015</v>
      </c>
      <c r="BB14" s="1139">
        <f t="shared" si="5"/>
        <v>255578.8698015</v>
      </c>
      <c r="BC14" s="1139">
        <f t="shared" si="5"/>
        <v>255578.8698015</v>
      </c>
      <c r="BD14" s="1139">
        <f t="shared" si="5"/>
        <v>255578.8698015</v>
      </c>
      <c r="BE14" s="1139">
        <f t="shared" si="5"/>
        <v>255578.8698015</v>
      </c>
      <c r="BF14" s="1139">
        <f t="shared" si="5"/>
        <v>255578.8698015</v>
      </c>
      <c r="BG14" s="1139">
        <f t="shared" si="5"/>
        <v>255578.8698015</v>
      </c>
      <c r="BH14" s="1139">
        <f t="shared" si="5"/>
        <v>255578.8698015</v>
      </c>
      <c r="BI14" s="1139">
        <f t="shared" si="5"/>
        <v>255578.8698015</v>
      </c>
      <c r="BJ14" s="1139">
        <f t="shared" si="5"/>
        <v>255578.8698015</v>
      </c>
      <c r="BK14" s="1139">
        <f t="shared" si="5"/>
        <v>256533.67980149999</v>
      </c>
      <c r="BL14" s="1139">
        <f t="shared" si="5"/>
        <v>263246.23589554499</v>
      </c>
      <c r="BM14" s="1139">
        <f t="shared" si="5"/>
        <v>263246.23589554499</v>
      </c>
      <c r="BN14" s="1139">
        <f t="shared" si="5"/>
        <v>263246.23589554499</v>
      </c>
      <c r="BO14" s="1139">
        <f t="shared" si="5"/>
        <v>263246.23589554499</v>
      </c>
      <c r="BP14" s="1139">
        <f t="shared" si="5"/>
        <v>263246.23589554499</v>
      </c>
      <c r="BQ14" s="1139">
        <f t="shared" si="5"/>
        <v>263246.23589554499</v>
      </c>
      <c r="BR14" s="1139">
        <f t="shared" si="5"/>
        <v>263246.23589554499</v>
      </c>
      <c r="BS14" s="1139">
        <f t="shared" si="5"/>
        <v>263246.23589554499</v>
      </c>
      <c r="BT14" s="1139">
        <f t="shared" si="5"/>
        <v>263246.23589554499</v>
      </c>
      <c r="BU14" s="1139">
        <f t="shared" si="5"/>
        <v>263246.23589554499</v>
      </c>
      <c r="BV14" s="789">
        <f t="shared" si="5"/>
        <v>263246.23589554499</v>
      </c>
    </row>
    <row r="15" spans="2:75" x14ac:dyDescent="0.25">
      <c r="B15" s="780" t="s">
        <v>931</v>
      </c>
      <c r="C15" s="668">
        <f>IF(C$4="forecast",IF(YEAR(C$3)=YEAR('New Hires Forecast'!$N$3),IF((C$5&lt;=12),(SUMPRODUCT(--('New Hires Forecast'!$F$5:$F$85="Software"),--('New Hires Forecast'!$H$5:$H$85&gt;=Software!C$3),'New Hires Forecast'!$N$5:$N$85,'New Hires Forecast'!$L$5:$L$85)/12),0),IF(YEAR(C$3)=YEAR('New Hires Forecast'!$O$3),IF((C$5&lt;=12),(SUMPRODUCT(--('New Hires Forecast'!$F$5:$F$85="Software"),--('New Hires Forecast'!$H$5:$H$85&gt;=Software!C$3),'New Hires Forecast'!$O$5:$O$85,'New Hires Forecast'!$L$5:$L$85)/12),0),IF(YEAR(C$3)=YEAR('New Hires Forecast'!$P$3),IF((C$5&lt;=12),(SUMPRODUCT(--('New Hires Forecast'!$F$5:$F$85="Software"),--('New Hires Forecast'!$H$5:$H$85&gt;=Software!C$3),'New Hires Forecast'!$P$5:$P$85,'New Hires Forecast'!$L$5:$L$85)/12),0),IF(YEAR(C$3)=YEAR('New Hires Forecast'!$Q$3),IF((C$5&lt;=12),(SUMPRODUCT(--('New Hires Forecast'!$F$5:$F$85="Software"),--('New Hires Forecast'!$H$5:$H$85&gt;=Software!C$3),'New Hires Forecast'!$Q$5:$Q$85,'New Hires Forecast'!$L$5:$L$85)/12),0),IF(YEAR(C$3)=YEAR('New Hires Forecast'!$R$3),IF((C$5&lt;=12),(SUMPRODUCT(--('New Hires Forecast'!$F$5:$F$85="Software"),--('New Hires Forecast'!$H$5:$H$85&gt;=Software!C$3),'New Hires Forecast'!$R$5:$R$85,'New Hires Forecast'!$L$5:$L$85)/12),0),"New Year"))))),0)</f>
        <v>0</v>
      </c>
      <c r="D15" s="668">
        <f>IF(D$4="forecast",IF(YEAR(D$3)=YEAR('New Hires Forecast'!$N$3),IF((D$5&lt;=12),(SUMPRODUCT(--('New Hires Forecast'!$F$5:$F$85="Software"),--('New Hires Forecast'!$H$5:$H$85&gt;=Software!D$3),'New Hires Forecast'!$N$5:$N$85,'New Hires Forecast'!$L$5:$L$85)/12),0),IF(YEAR(D$3)=YEAR('New Hires Forecast'!$O$3),IF((D$5&lt;=12),(SUMPRODUCT(--('New Hires Forecast'!$F$5:$F$85="Software"),--('New Hires Forecast'!$H$5:$H$85&gt;=Software!D$3),'New Hires Forecast'!$O$5:$O$85,'New Hires Forecast'!$L$5:$L$85)/12),0),IF(YEAR(D$3)=YEAR('New Hires Forecast'!$P$3),IF((D$5&lt;=12),(SUMPRODUCT(--('New Hires Forecast'!$F$5:$F$85="Software"),--('New Hires Forecast'!$H$5:$H$85&gt;=Software!D$3),'New Hires Forecast'!$P$5:$P$85,'New Hires Forecast'!$L$5:$L$85)/12),0),IF(YEAR(D$3)=YEAR('New Hires Forecast'!$Q$3),IF((D$5&lt;=12),(SUMPRODUCT(--('New Hires Forecast'!$F$5:$F$85="Software"),--('New Hires Forecast'!$H$5:$H$85&gt;=Software!D$3),'New Hires Forecast'!$Q$5:$Q$85,'New Hires Forecast'!$L$5:$L$85)/12),0),IF(YEAR(D$3)=YEAR('New Hires Forecast'!$R$3),IF((D$5&lt;=12),(SUMPRODUCT(--('New Hires Forecast'!$F$5:$F$85="Software"),--('New Hires Forecast'!$H$5:$H$85&gt;=Software!D$3),'New Hires Forecast'!$R$5:$R$85,'New Hires Forecast'!$L$5:$L$85)/12),0),"New Year"))))),0)</f>
        <v>0</v>
      </c>
      <c r="E15" s="668">
        <f>IF(E$4="forecast",IF(YEAR(E$3)=YEAR('New Hires Forecast'!$N$3),IF((E$5&lt;=12),(SUMPRODUCT(--('New Hires Forecast'!$F$5:$F$85="Software"),--('New Hires Forecast'!$H$5:$H$85&gt;=Software!E$3),'New Hires Forecast'!$N$5:$N$85,'New Hires Forecast'!$L$5:$L$85)/12),0),IF(YEAR(E$3)=YEAR('New Hires Forecast'!$O$3),IF((E$5&lt;=12),(SUMPRODUCT(--('New Hires Forecast'!$F$5:$F$85="Software"),--('New Hires Forecast'!$H$5:$H$85&gt;=Software!E$3),'New Hires Forecast'!$O$5:$O$85,'New Hires Forecast'!$L$5:$L$85)/12),0),IF(YEAR(E$3)=YEAR('New Hires Forecast'!$P$3),IF((E$5&lt;=12),(SUMPRODUCT(--('New Hires Forecast'!$F$5:$F$85="Software"),--('New Hires Forecast'!$H$5:$H$85&gt;=Software!E$3),'New Hires Forecast'!$P$5:$P$85,'New Hires Forecast'!$L$5:$L$85)/12),0),IF(YEAR(E$3)=YEAR('New Hires Forecast'!$Q$3),IF((E$5&lt;=12),(SUMPRODUCT(--('New Hires Forecast'!$F$5:$F$85="Software"),--('New Hires Forecast'!$H$5:$H$85&gt;=Software!E$3),'New Hires Forecast'!$Q$5:$Q$85,'New Hires Forecast'!$L$5:$L$85)/12),0),IF(YEAR(E$3)=YEAR('New Hires Forecast'!$R$3),IF((E$5&lt;=12),(SUMPRODUCT(--('New Hires Forecast'!$F$5:$F$85="Software"),--('New Hires Forecast'!$H$5:$H$85&gt;=Software!E$3),'New Hires Forecast'!$R$5:$R$85,'New Hires Forecast'!$L$5:$L$85)/12),0),"New Year"))))),0)</f>
        <v>0</v>
      </c>
      <c r="F15" s="668">
        <f>IF(F$4="forecast",IF(YEAR(F$3)=YEAR('New Hires Forecast'!$N$3),IF((F$5&lt;=12),(SUMPRODUCT(--('New Hires Forecast'!$F$5:$F$85="Software"),--('New Hires Forecast'!$H$5:$H$85&gt;=Software!F$3),'New Hires Forecast'!$N$5:$N$85,'New Hires Forecast'!$L$5:$L$85)/12),0),IF(YEAR(F$3)=YEAR('New Hires Forecast'!$O$3),IF((F$5&lt;=12),(SUMPRODUCT(--('New Hires Forecast'!$F$5:$F$85="Software"),--('New Hires Forecast'!$H$5:$H$85&gt;=Software!F$3),'New Hires Forecast'!$O$5:$O$85,'New Hires Forecast'!$L$5:$L$85)/12),0),IF(YEAR(F$3)=YEAR('New Hires Forecast'!$P$3),IF((F$5&lt;=12),(SUMPRODUCT(--('New Hires Forecast'!$F$5:$F$85="Software"),--('New Hires Forecast'!$H$5:$H$85&gt;=Software!F$3),'New Hires Forecast'!$P$5:$P$85,'New Hires Forecast'!$L$5:$L$85)/12),0),IF(YEAR(F$3)=YEAR('New Hires Forecast'!$Q$3),IF((F$5&lt;=12),(SUMPRODUCT(--('New Hires Forecast'!$F$5:$F$85="Software"),--('New Hires Forecast'!$H$5:$H$85&gt;=Software!F$3),'New Hires Forecast'!$Q$5:$Q$85,'New Hires Forecast'!$L$5:$L$85)/12),0),IF(YEAR(F$3)=YEAR('New Hires Forecast'!$R$3),IF((F$5&lt;=12),(SUMPRODUCT(--('New Hires Forecast'!$F$5:$F$85="Software"),--('New Hires Forecast'!$H$5:$H$85&gt;=Software!F$3),'New Hires Forecast'!$R$5:$R$85,'New Hires Forecast'!$L$5:$L$85)/12),0),"New Year"))))),0)</f>
        <v>0</v>
      </c>
      <c r="G15" s="668">
        <f>IF(G$4="forecast",IF(YEAR(G$3)=YEAR('New Hires Forecast'!$N$3),IF((G$5&lt;=12),(SUMPRODUCT(--('New Hires Forecast'!$F$5:$F$85="Software"),--('New Hires Forecast'!$H$5:$H$85&gt;=Software!G$3),'New Hires Forecast'!$N$5:$N$85,'New Hires Forecast'!$L$5:$L$85)/12),0),IF(YEAR(G$3)=YEAR('New Hires Forecast'!$O$3),IF((G$5&lt;=12),(SUMPRODUCT(--('New Hires Forecast'!$F$5:$F$85="Software"),--('New Hires Forecast'!$H$5:$H$85&gt;=Software!G$3),'New Hires Forecast'!$O$5:$O$85,'New Hires Forecast'!$L$5:$L$85)/12),0),IF(YEAR(G$3)=YEAR('New Hires Forecast'!$P$3),IF((G$5&lt;=12),(SUMPRODUCT(--('New Hires Forecast'!$F$5:$F$85="Software"),--('New Hires Forecast'!$H$5:$H$85&gt;=Software!G$3),'New Hires Forecast'!$P$5:$P$85,'New Hires Forecast'!$L$5:$L$85)/12),0),IF(YEAR(G$3)=YEAR('New Hires Forecast'!$Q$3),IF((G$5&lt;=12),(SUMPRODUCT(--('New Hires Forecast'!$F$5:$F$85="Software"),--('New Hires Forecast'!$H$5:$H$85&gt;=Software!G$3),'New Hires Forecast'!$Q$5:$Q$85,'New Hires Forecast'!$L$5:$L$85)/12),0),IF(YEAR(G$3)=YEAR('New Hires Forecast'!$R$3),IF((G$5&lt;=12),(SUMPRODUCT(--('New Hires Forecast'!$F$5:$F$85="Software"),--('New Hires Forecast'!$H$5:$H$85&gt;=Software!G$3),'New Hires Forecast'!$R$5:$R$85,'New Hires Forecast'!$L$5:$L$85)/12),0),"New Year"))))),0)</f>
        <v>0</v>
      </c>
      <c r="H15" s="668">
        <f>IF(H$4="forecast",IF(YEAR(H$3)=YEAR('New Hires Forecast'!$N$3),IF((H$5&lt;=12),(SUMPRODUCT(--('New Hires Forecast'!$F$5:$F$85="Software"),--('New Hires Forecast'!$H$5:$H$85&gt;=Software!H$3),'New Hires Forecast'!$N$5:$N$85,'New Hires Forecast'!$L$5:$L$85)/12),0),IF(YEAR(H$3)=YEAR('New Hires Forecast'!$O$3),IF((H$5&lt;=12),(SUMPRODUCT(--('New Hires Forecast'!$F$5:$F$85="Software"),--('New Hires Forecast'!$H$5:$H$85&gt;=Software!H$3),'New Hires Forecast'!$O$5:$O$85,'New Hires Forecast'!$L$5:$L$85)/12),0),IF(YEAR(H$3)=YEAR('New Hires Forecast'!$P$3),IF((H$5&lt;=12),(SUMPRODUCT(--('New Hires Forecast'!$F$5:$F$85="Software"),--('New Hires Forecast'!$H$5:$H$85&gt;=Software!H$3),'New Hires Forecast'!$P$5:$P$85,'New Hires Forecast'!$L$5:$L$85)/12),0),IF(YEAR(H$3)=YEAR('New Hires Forecast'!$Q$3),IF((H$5&lt;=12),(SUMPRODUCT(--('New Hires Forecast'!$F$5:$F$85="Software"),--('New Hires Forecast'!$H$5:$H$85&gt;=Software!H$3),'New Hires Forecast'!$Q$5:$Q$85,'New Hires Forecast'!$L$5:$L$85)/12),0),IF(YEAR(H$3)=YEAR('New Hires Forecast'!$R$3),IF((H$5&lt;=12),(SUMPRODUCT(--('New Hires Forecast'!$F$5:$F$85="Software"),--('New Hires Forecast'!$H$5:$H$85&gt;=Software!H$3),'New Hires Forecast'!$R$5:$R$85,'New Hires Forecast'!$L$5:$L$85)/12),0),"New Year"))))),0)</f>
        <v>0</v>
      </c>
      <c r="I15" s="668">
        <f>IF(I$4="forecast",IF(YEAR(I$3)=YEAR('New Hires Forecast'!$N$3),IF((I$5&lt;=12),(SUMPRODUCT(--('New Hires Forecast'!$F$5:$F$85="Software"),--('New Hires Forecast'!$H$5:$H$85&gt;=Software!I$3),'New Hires Forecast'!$N$5:$N$85,'New Hires Forecast'!$L$5:$L$85)/12),0),IF(YEAR(I$3)=YEAR('New Hires Forecast'!$O$3),IF((I$5&lt;=12),(SUMPRODUCT(--('New Hires Forecast'!$F$5:$F$85="Software"),--('New Hires Forecast'!$H$5:$H$85&gt;=Software!I$3),'New Hires Forecast'!$O$5:$O$85,'New Hires Forecast'!$L$5:$L$85)/12),0),IF(YEAR(I$3)=YEAR('New Hires Forecast'!$P$3),IF((I$5&lt;=12),(SUMPRODUCT(--('New Hires Forecast'!$F$5:$F$85="Software"),--('New Hires Forecast'!$H$5:$H$85&gt;=Software!I$3),'New Hires Forecast'!$P$5:$P$85,'New Hires Forecast'!$L$5:$L$85)/12),0),IF(YEAR(I$3)=YEAR('New Hires Forecast'!$Q$3),IF((I$5&lt;=12),(SUMPRODUCT(--('New Hires Forecast'!$F$5:$F$85="Software"),--('New Hires Forecast'!$H$5:$H$85&gt;=Software!I$3),'New Hires Forecast'!$Q$5:$Q$85,'New Hires Forecast'!$L$5:$L$85)/12),0),IF(YEAR(I$3)=YEAR('New Hires Forecast'!$R$3),IF((I$5&lt;=12),(SUMPRODUCT(--('New Hires Forecast'!$F$5:$F$85="Software"),--('New Hires Forecast'!$H$5:$H$85&gt;=Software!I$3),'New Hires Forecast'!$R$5:$R$85,'New Hires Forecast'!$L$5:$L$85)/12),0),"New Year"))))),0)</f>
        <v>0</v>
      </c>
      <c r="J15" s="668">
        <f>IF(J$4="forecast",IF(YEAR(J$3)=YEAR('New Hires Forecast'!$N$3),IF((J$5&lt;=12),(SUMPRODUCT(--('New Hires Forecast'!$F$5:$F$85="Software"),--('New Hires Forecast'!$H$5:$H$85&gt;=Software!J$3),'New Hires Forecast'!$N$5:$N$85,'New Hires Forecast'!$L$5:$L$85)/12),0),IF(YEAR(J$3)=YEAR('New Hires Forecast'!$O$3),IF((J$5&lt;=12),(SUMPRODUCT(--('New Hires Forecast'!$F$5:$F$85="Software"),--('New Hires Forecast'!$H$5:$H$85&gt;=Software!J$3),'New Hires Forecast'!$O$5:$O$85,'New Hires Forecast'!$L$5:$L$85)/12),0),IF(YEAR(J$3)=YEAR('New Hires Forecast'!$P$3),IF((J$5&lt;=12),(SUMPRODUCT(--('New Hires Forecast'!$F$5:$F$85="Software"),--('New Hires Forecast'!$H$5:$H$85&gt;=Software!J$3),'New Hires Forecast'!$P$5:$P$85,'New Hires Forecast'!$L$5:$L$85)/12),0),IF(YEAR(J$3)=YEAR('New Hires Forecast'!$Q$3),IF((J$5&lt;=12),(SUMPRODUCT(--('New Hires Forecast'!$F$5:$F$85="Software"),--('New Hires Forecast'!$H$5:$H$85&gt;=Software!J$3),'New Hires Forecast'!$Q$5:$Q$85,'New Hires Forecast'!$L$5:$L$85)/12),0),IF(YEAR(J$3)=YEAR('New Hires Forecast'!$R$3),IF((J$5&lt;=12),(SUMPRODUCT(--('New Hires Forecast'!$F$5:$F$85="Software"),--('New Hires Forecast'!$H$5:$H$85&gt;=Software!J$3),'New Hires Forecast'!$R$5:$R$85,'New Hires Forecast'!$L$5:$L$85)/12),0),"New Year"))))),0)</f>
        <v>0</v>
      </c>
      <c r="K15" s="668">
        <f>IF(K$4="forecast",IF(YEAR(K$3)=YEAR('New Hires Forecast'!$N$3),IF((K$5&lt;=12),(SUMPRODUCT(--('New Hires Forecast'!$F$5:$F$85="Software"),--('New Hires Forecast'!$H$5:$H$85&gt;=Software!K$3),'New Hires Forecast'!$N$5:$N$85,'New Hires Forecast'!$L$5:$L$85)/12),0),IF(YEAR(K$3)=YEAR('New Hires Forecast'!$O$3),IF((K$5&lt;=12),(SUMPRODUCT(--('New Hires Forecast'!$F$5:$F$85="Software"),--('New Hires Forecast'!$H$5:$H$85&gt;=Software!K$3),'New Hires Forecast'!$O$5:$O$85,'New Hires Forecast'!$L$5:$L$85)/12),0),IF(YEAR(K$3)=YEAR('New Hires Forecast'!$P$3),IF((K$5&lt;=12),(SUMPRODUCT(--('New Hires Forecast'!$F$5:$F$85="Software"),--('New Hires Forecast'!$H$5:$H$85&gt;=Software!K$3),'New Hires Forecast'!$P$5:$P$85,'New Hires Forecast'!$L$5:$L$85)/12),0),IF(YEAR(K$3)=YEAR('New Hires Forecast'!$Q$3),IF((K$5&lt;=12),(SUMPRODUCT(--('New Hires Forecast'!$F$5:$F$85="Software"),--('New Hires Forecast'!$H$5:$H$85&gt;=Software!K$3),'New Hires Forecast'!$Q$5:$Q$85,'New Hires Forecast'!$L$5:$L$85)/12),0),IF(YEAR(K$3)=YEAR('New Hires Forecast'!$R$3),IF((K$5&lt;=12),(SUMPRODUCT(--('New Hires Forecast'!$F$5:$F$85="Software"),--('New Hires Forecast'!$H$5:$H$85&gt;=Software!K$3),'New Hires Forecast'!$R$5:$R$85,'New Hires Forecast'!$L$5:$L$85)/12),0),"New Year"))))),0)</f>
        <v>0</v>
      </c>
      <c r="L15" s="668">
        <f>IF(L$4="forecast",IF(YEAR(L$3)=YEAR('New Hires Forecast'!$N$3),IF((L$5&lt;=12),(SUMPRODUCT(--('New Hires Forecast'!$F$5:$F$85="Software"),--('New Hires Forecast'!$H$5:$H$85&gt;=Software!L$3),'New Hires Forecast'!$N$5:$N$85,'New Hires Forecast'!$L$5:$L$85)/12),0),IF(YEAR(L$3)=YEAR('New Hires Forecast'!$O$3),IF((L$5&lt;=12),(SUMPRODUCT(--('New Hires Forecast'!$F$5:$F$85="Software"),--('New Hires Forecast'!$H$5:$H$85&gt;=Software!L$3),'New Hires Forecast'!$O$5:$O$85,'New Hires Forecast'!$L$5:$L$85)/12),0),IF(YEAR(L$3)=YEAR('New Hires Forecast'!$P$3),IF((L$5&lt;=12),(SUMPRODUCT(--('New Hires Forecast'!$F$5:$F$85="Software"),--('New Hires Forecast'!$H$5:$H$85&gt;=Software!L$3),'New Hires Forecast'!$P$5:$P$85,'New Hires Forecast'!$L$5:$L$85)/12),0),IF(YEAR(L$3)=YEAR('New Hires Forecast'!$Q$3),IF((L$5&lt;=12),(SUMPRODUCT(--('New Hires Forecast'!$F$5:$F$85="Software"),--('New Hires Forecast'!$H$5:$H$85&gt;=Software!L$3),'New Hires Forecast'!$Q$5:$Q$85,'New Hires Forecast'!$L$5:$L$85)/12),0),IF(YEAR(L$3)=YEAR('New Hires Forecast'!$R$3),IF((L$5&lt;=12),(SUMPRODUCT(--('New Hires Forecast'!$F$5:$F$85="Software"),--('New Hires Forecast'!$H$5:$H$85&gt;=Software!L$3),'New Hires Forecast'!$R$5:$R$85,'New Hires Forecast'!$L$5:$L$85)/12),0),"New Year"))))),0)</f>
        <v>0</v>
      </c>
      <c r="M15" s="668">
        <f>IF(M$4="forecast",IF(YEAR(M$3)=YEAR('New Hires Forecast'!$N$3),IF((M$5&lt;=12),(SUMPRODUCT(--('New Hires Forecast'!$F$5:$F$85="Software"),--('New Hires Forecast'!$H$5:$H$85&gt;=Software!M$3),'New Hires Forecast'!$N$5:$N$85,'New Hires Forecast'!$L$5:$L$85)/12),0),IF(YEAR(M$3)=YEAR('New Hires Forecast'!$O$3),IF((M$5&lt;=12),(SUMPRODUCT(--('New Hires Forecast'!$F$5:$F$85="Software"),--('New Hires Forecast'!$H$5:$H$85&gt;=Software!M$3),'New Hires Forecast'!$O$5:$O$85,'New Hires Forecast'!$L$5:$L$85)/12),0),IF(YEAR(M$3)=YEAR('New Hires Forecast'!$P$3),IF((M$5&lt;=12),(SUMPRODUCT(--('New Hires Forecast'!$F$5:$F$85="Software"),--('New Hires Forecast'!$H$5:$H$85&gt;=Software!M$3),'New Hires Forecast'!$P$5:$P$85,'New Hires Forecast'!$L$5:$L$85)/12),0),IF(YEAR(M$3)=YEAR('New Hires Forecast'!$Q$3),IF((M$5&lt;=12),(SUMPRODUCT(--('New Hires Forecast'!$F$5:$F$85="Software"),--('New Hires Forecast'!$H$5:$H$85&gt;=Software!M$3),'New Hires Forecast'!$Q$5:$Q$85,'New Hires Forecast'!$L$5:$L$85)/12),0),IF(YEAR(M$3)=YEAR('New Hires Forecast'!$R$3),IF((M$5&lt;=12),(SUMPRODUCT(--('New Hires Forecast'!$F$5:$F$85="Software"),--('New Hires Forecast'!$H$5:$H$85&gt;=Software!M$3),'New Hires Forecast'!$R$5:$R$85,'New Hires Forecast'!$L$5:$L$85)/12),0),"New Year"))))),0)</f>
        <v>0</v>
      </c>
      <c r="N15" s="668">
        <f>IF(N$4="forecast",IF(YEAR(N$3)=YEAR('New Hires Forecast'!$N$3),IF((N$5&lt;=12),(SUMPRODUCT(--('New Hires Forecast'!$F$5:$F$85="Software"),--('New Hires Forecast'!$H$5:$H$85&gt;=Software!N$3),'New Hires Forecast'!$N$5:$N$85,'New Hires Forecast'!$L$5:$L$85)/12),0),IF(YEAR(N$3)=YEAR('New Hires Forecast'!$O$3),IF((N$5&lt;=12),(SUMPRODUCT(--('New Hires Forecast'!$F$5:$F$85="Software"),--('New Hires Forecast'!$H$5:$H$85&gt;=Software!N$3),'New Hires Forecast'!$O$5:$O$85,'New Hires Forecast'!$L$5:$L$85)/12),0),IF(YEAR(N$3)=YEAR('New Hires Forecast'!$P$3),IF((N$5&lt;=12),(SUMPRODUCT(--('New Hires Forecast'!$F$5:$F$85="Software"),--('New Hires Forecast'!$H$5:$H$85&gt;=Software!N$3),'New Hires Forecast'!$P$5:$P$85,'New Hires Forecast'!$L$5:$L$85)/12),0),IF(YEAR(N$3)=YEAR('New Hires Forecast'!$Q$3),IF((N$5&lt;=12),(SUMPRODUCT(--('New Hires Forecast'!$F$5:$F$85="Software"),--('New Hires Forecast'!$H$5:$H$85&gt;=Software!N$3),'New Hires Forecast'!$Q$5:$Q$85,'New Hires Forecast'!$L$5:$L$85)/12),0),IF(YEAR(N$3)=YEAR('New Hires Forecast'!$R$3),IF((N$5&lt;=12),(SUMPRODUCT(--('New Hires Forecast'!$F$5:$F$85="Software"),--('New Hires Forecast'!$H$5:$H$85&gt;=Software!N$3),'New Hires Forecast'!$R$5:$R$85,'New Hires Forecast'!$L$5:$L$85)/12),0),"New Year"))))),0)</f>
        <v>0</v>
      </c>
      <c r="O15" s="668">
        <f>IF(O$4="forecast",IF(YEAR(O$3)=YEAR('New Hires Forecast'!$N$3),IF((O$5&lt;=12),(SUMPRODUCT(--('New Hires Forecast'!$F$5:$F$85="Software"),--('New Hires Forecast'!$H$5:$H$85&gt;=Software!O$3),'New Hires Forecast'!$N$5:$N$85,'New Hires Forecast'!$L$5:$L$85)/12),0),IF(YEAR(O$3)=YEAR('New Hires Forecast'!$O$3),IF((O$5&lt;=12),(SUMPRODUCT(--('New Hires Forecast'!$F$5:$F$85="Software"),--('New Hires Forecast'!$H$5:$H$85&gt;=Software!O$3),'New Hires Forecast'!$O$5:$O$85,'New Hires Forecast'!$L$5:$L$85)/12),0),IF(YEAR(O$3)=YEAR('New Hires Forecast'!$P$3),IF((O$5&lt;=12),(SUMPRODUCT(--('New Hires Forecast'!$F$5:$F$85="Software"),--('New Hires Forecast'!$H$5:$H$85&gt;=Software!O$3),'New Hires Forecast'!$P$5:$P$85,'New Hires Forecast'!$L$5:$L$85)/12),0),IF(YEAR(O$3)=YEAR('New Hires Forecast'!$Q$3),IF((O$5&lt;=12),(SUMPRODUCT(--('New Hires Forecast'!$F$5:$F$85="Software"),--('New Hires Forecast'!$H$5:$H$85&gt;=Software!O$3),'New Hires Forecast'!$Q$5:$Q$85,'New Hires Forecast'!$L$5:$L$85)/12),0),IF(YEAR(O$3)=YEAR('New Hires Forecast'!$R$3),IF((O$5&lt;=12),(SUMPRODUCT(--('New Hires Forecast'!$F$5:$F$85="Software"),--('New Hires Forecast'!$H$5:$H$85&gt;=Software!O$3),'New Hires Forecast'!$R$5:$R$85,'New Hires Forecast'!$L$5:$L$85)/12),0),"New Year"))))),0)</f>
        <v>0</v>
      </c>
      <c r="P15" s="668">
        <f>IF(P$4="forecast",IF(YEAR(P$3)=YEAR('New Hires Forecast'!$N$3),IF((P$5&lt;=12),(SUMPRODUCT(--('New Hires Forecast'!$F$5:$F$85="Software"),--('New Hires Forecast'!$H$5:$H$85&gt;=Software!P$3),'New Hires Forecast'!$N$5:$N$85,'New Hires Forecast'!$L$5:$L$85)/12),0),IF(YEAR(P$3)=YEAR('New Hires Forecast'!$O$3),IF((P$5&lt;=12),(SUMPRODUCT(--('New Hires Forecast'!$F$5:$F$85="Software"),--('New Hires Forecast'!$H$5:$H$85&gt;=Software!P$3),'New Hires Forecast'!$O$5:$O$85,'New Hires Forecast'!$L$5:$L$85)/12),0),IF(YEAR(P$3)=YEAR('New Hires Forecast'!$P$3),IF((P$5&lt;=12),(SUMPRODUCT(--('New Hires Forecast'!$F$5:$F$85="Software"),--('New Hires Forecast'!$H$5:$H$85&gt;=Software!P$3),'New Hires Forecast'!$P$5:$P$85,'New Hires Forecast'!$L$5:$L$85)/12),0),IF(YEAR(P$3)=YEAR('New Hires Forecast'!$Q$3),IF((P$5&lt;=12),(SUMPRODUCT(--('New Hires Forecast'!$F$5:$F$85="Software"),--('New Hires Forecast'!$H$5:$H$85&gt;=Software!P$3),'New Hires Forecast'!$Q$5:$Q$85,'New Hires Forecast'!$L$5:$L$85)/12),0),IF(YEAR(P$3)=YEAR('New Hires Forecast'!$R$3),IF((P$5&lt;=12),(SUMPRODUCT(--('New Hires Forecast'!$F$5:$F$85="Software"),--('New Hires Forecast'!$H$5:$H$85&gt;=Software!P$3),'New Hires Forecast'!$R$5:$R$85,'New Hires Forecast'!$L$5:$L$85)/12),0),"New Year"))))),0)</f>
        <v>0</v>
      </c>
      <c r="Q15" s="668">
        <f>IF(Q$4="forecast",IF(YEAR(Q$3)=YEAR('New Hires Forecast'!$N$3),IF((Q$5&lt;=12),(SUMPRODUCT(--('New Hires Forecast'!$F$5:$F$85="Software"),--('New Hires Forecast'!$H$5:$H$85&gt;=Software!Q$3),'New Hires Forecast'!$N$5:$N$85,'New Hires Forecast'!$L$5:$L$85)/12),0),IF(YEAR(Q$3)=YEAR('New Hires Forecast'!$O$3),IF((Q$5&lt;=12),(SUMPRODUCT(--('New Hires Forecast'!$F$5:$F$85="Software"),--('New Hires Forecast'!$H$5:$H$85&gt;=Software!Q$3),'New Hires Forecast'!$O$5:$O$85,'New Hires Forecast'!$L$5:$L$85)/12),0),IF(YEAR(Q$3)=YEAR('New Hires Forecast'!$P$3),IF((Q$5&lt;=12),(SUMPRODUCT(--('New Hires Forecast'!$F$5:$F$85="Software"),--('New Hires Forecast'!$H$5:$H$85&gt;=Software!Q$3),'New Hires Forecast'!$P$5:$P$85,'New Hires Forecast'!$L$5:$L$85)/12),0),IF(YEAR(Q$3)=YEAR('New Hires Forecast'!$Q$3),IF((Q$5&lt;=12),(SUMPRODUCT(--('New Hires Forecast'!$F$5:$F$85="Software"),--('New Hires Forecast'!$H$5:$H$85&gt;=Software!Q$3),'New Hires Forecast'!$Q$5:$Q$85,'New Hires Forecast'!$L$5:$L$85)/12),0),IF(YEAR(Q$3)=YEAR('New Hires Forecast'!$R$3),IF((Q$5&lt;=12),(SUMPRODUCT(--('New Hires Forecast'!$F$5:$F$85="Software"),--('New Hires Forecast'!$H$5:$H$85&gt;=Software!Q$3),'New Hires Forecast'!$R$5:$R$85,'New Hires Forecast'!$L$5:$L$85)/12),0),"New Year"))))),0)</f>
        <v>0</v>
      </c>
      <c r="R15" s="668">
        <f>IF(R$4="forecast",IF(YEAR(R$3)=YEAR('New Hires Forecast'!$N$3),IF((R$5&lt;=12),(SUMPRODUCT(--('New Hires Forecast'!$F$5:$F$85="Software"),--('New Hires Forecast'!$H$5:$H$85&gt;=Software!R$3),'New Hires Forecast'!$N$5:$N$85,'New Hires Forecast'!$L$5:$L$85)/12),0),IF(YEAR(R$3)=YEAR('New Hires Forecast'!$O$3),IF((R$5&lt;=12),(SUMPRODUCT(--('New Hires Forecast'!$F$5:$F$85="Software"),--('New Hires Forecast'!$H$5:$H$85&gt;=Software!R$3),'New Hires Forecast'!$O$5:$O$85,'New Hires Forecast'!$L$5:$L$85)/12),0),IF(YEAR(R$3)=YEAR('New Hires Forecast'!$P$3),IF((R$5&lt;=12),(SUMPRODUCT(--('New Hires Forecast'!$F$5:$F$85="Software"),--('New Hires Forecast'!$H$5:$H$85&gt;=Software!R$3),'New Hires Forecast'!$P$5:$P$85,'New Hires Forecast'!$L$5:$L$85)/12),0),IF(YEAR(R$3)=YEAR('New Hires Forecast'!$Q$3),IF((R$5&lt;=12),(SUMPRODUCT(--('New Hires Forecast'!$F$5:$F$85="Software"),--('New Hires Forecast'!$H$5:$H$85&gt;=Software!R$3),'New Hires Forecast'!$Q$5:$Q$85,'New Hires Forecast'!$L$5:$L$85)/12),0),IF(YEAR(R$3)=YEAR('New Hires Forecast'!$R$3),IF((R$5&lt;=12),(SUMPRODUCT(--('New Hires Forecast'!$F$5:$F$85="Software"),--('New Hires Forecast'!$H$5:$H$85&gt;=Software!R$3),'New Hires Forecast'!$R$5:$R$85,'New Hires Forecast'!$L$5:$L$85)/12),0),"New Year"))))),0)</f>
        <v>0</v>
      </c>
      <c r="S15" s="668">
        <f>IF(S$4="forecast",IF(YEAR(S$3)=YEAR('New Hires Forecast'!$N$3),IF((S$5&lt;=12),(SUMPRODUCT(--('New Hires Forecast'!$F$5:$F$85="Software"),--('New Hires Forecast'!$H$5:$H$85&gt;=Software!S$3),'New Hires Forecast'!$N$5:$N$85,'New Hires Forecast'!$L$5:$L$85)/12),0),IF(YEAR(S$3)=YEAR('New Hires Forecast'!$O$3),IF((S$5&lt;=12),(SUMPRODUCT(--('New Hires Forecast'!$F$5:$F$85="Software"),--('New Hires Forecast'!$H$5:$H$85&gt;=Software!S$3),'New Hires Forecast'!$O$5:$O$85,'New Hires Forecast'!$L$5:$L$85)/12),0),IF(YEAR(S$3)=YEAR('New Hires Forecast'!$P$3),IF((S$5&lt;=12),(SUMPRODUCT(--('New Hires Forecast'!$F$5:$F$85="Software"),--('New Hires Forecast'!$H$5:$H$85&gt;=Software!S$3),'New Hires Forecast'!$P$5:$P$85,'New Hires Forecast'!$L$5:$L$85)/12),0),IF(YEAR(S$3)=YEAR('New Hires Forecast'!$Q$3),IF((S$5&lt;=12),(SUMPRODUCT(--('New Hires Forecast'!$F$5:$F$85="Software"),--('New Hires Forecast'!$H$5:$H$85&gt;=Software!S$3),'New Hires Forecast'!$Q$5:$Q$85,'New Hires Forecast'!$L$5:$L$85)/12),0),IF(YEAR(S$3)=YEAR('New Hires Forecast'!$R$3),IF((S$5&lt;=12),(SUMPRODUCT(--('New Hires Forecast'!$F$5:$F$85="Software"),--('New Hires Forecast'!$H$5:$H$85&gt;=Software!S$3),'New Hires Forecast'!$R$5:$R$85,'New Hires Forecast'!$L$5:$L$85)/12),0),"New Year"))))),0)</f>
        <v>0</v>
      </c>
      <c r="T15" s="668">
        <f>IF(T$4="forecast",IF(YEAR(T$3)=YEAR('New Hires Forecast'!$N$3),IF((T$5&lt;=12),(SUMPRODUCT(--('New Hires Forecast'!$F$5:$F$85="Software"),--('New Hires Forecast'!$H$5:$H$85&gt;=Software!T$3),'New Hires Forecast'!$N$5:$N$85,'New Hires Forecast'!$L$5:$L$85)/12),0),IF(YEAR(T$3)=YEAR('New Hires Forecast'!$O$3),IF((T$5&lt;=12),(SUMPRODUCT(--('New Hires Forecast'!$F$5:$F$85="Software"),--('New Hires Forecast'!$H$5:$H$85&gt;=Software!T$3),'New Hires Forecast'!$O$5:$O$85,'New Hires Forecast'!$L$5:$L$85)/12),0),IF(YEAR(T$3)=YEAR('New Hires Forecast'!$P$3),IF((T$5&lt;=12),(SUMPRODUCT(--('New Hires Forecast'!$F$5:$F$85="Software"),--('New Hires Forecast'!$H$5:$H$85&gt;=Software!T$3),'New Hires Forecast'!$P$5:$P$85,'New Hires Forecast'!$L$5:$L$85)/12),0),IF(YEAR(T$3)=YEAR('New Hires Forecast'!$Q$3),IF((T$5&lt;=12),(SUMPRODUCT(--('New Hires Forecast'!$F$5:$F$85="Software"),--('New Hires Forecast'!$H$5:$H$85&gt;=Software!T$3),'New Hires Forecast'!$Q$5:$Q$85,'New Hires Forecast'!$L$5:$L$85)/12),0),IF(YEAR(T$3)=YEAR('New Hires Forecast'!$R$3),IF((T$5&lt;=12),(SUMPRODUCT(--('New Hires Forecast'!$F$5:$F$85="Software"),--('New Hires Forecast'!$H$5:$H$85&gt;=Software!T$3),'New Hires Forecast'!$R$5:$R$85,'New Hires Forecast'!$L$5:$L$85)/12),0),"New Year"))))),0)</f>
        <v>0</v>
      </c>
      <c r="U15" s="668">
        <f>IF(U$4="forecast",IF(YEAR(U$3)=YEAR('New Hires Forecast'!$N$3),IF((U$5&lt;=12),(SUMPRODUCT(--('New Hires Forecast'!$F$5:$F$85="Software"),--('New Hires Forecast'!$H$5:$H$85&gt;=Software!U$3),'New Hires Forecast'!$N$5:$N$85,'New Hires Forecast'!$L$5:$L$85)/12),0),IF(YEAR(U$3)=YEAR('New Hires Forecast'!$O$3),IF((U$5&lt;=12),(SUMPRODUCT(--('New Hires Forecast'!$F$5:$F$85="Software"),--('New Hires Forecast'!$H$5:$H$85&gt;=Software!U$3),'New Hires Forecast'!$O$5:$O$85,'New Hires Forecast'!$L$5:$L$85)/12),0),IF(YEAR(U$3)=YEAR('New Hires Forecast'!$P$3),IF((U$5&lt;=12),(SUMPRODUCT(--('New Hires Forecast'!$F$5:$F$85="Software"),--('New Hires Forecast'!$H$5:$H$85&gt;=Software!U$3),'New Hires Forecast'!$P$5:$P$85,'New Hires Forecast'!$L$5:$L$85)/12),0),IF(YEAR(U$3)=YEAR('New Hires Forecast'!$Q$3),IF((U$5&lt;=12),(SUMPRODUCT(--('New Hires Forecast'!$F$5:$F$85="Software"),--('New Hires Forecast'!$H$5:$H$85&gt;=Software!U$3),'New Hires Forecast'!$Q$5:$Q$85,'New Hires Forecast'!$L$5:$L$85)/12),0),IF(YEAR(U$3)=YEAR('New Hires Forecast'!$R$3),IF((U$5&lt;=12),(SUMPRODUCT(--('New Hires Forecast'!$F$5:$F$85="Software"),--('New Hires Forecast'!$H$5:$H$85&gt;=Software!U$3),'New Hires Forecast'!$R$5:$R$85,'New Hires Forecast'!$L$5:$L$85)/12),0),"New Year"))))),0)</f>
        <v>0</v>
      </c>
      <c r="V15" s="668">
        <f>IF(V$4="forecast",IF(YEAR(V$3)=YEAR('New Hires Forecast'!$N$3),IF((V$5&lt;=12),(SUMPRODUCT(--('New Hires Forecast'!$F$5:$F$85="Software"),--('New Hires Forecast'!$H$5:$H$85&gt;=Software!V$3),'New Hires Forecast'!$N$5:$N$85,'New Hires Forecast'!$L$5:$L$85)/12),0),IF(YEAR(V$3)=YEAR('New Hires Forecast'!$O$3),IF((V$5&lt;=12),(SUMPRODUCT(--('New Hires Forecast'!$F$5:$F$85="Software"),--('New Hires Forecast'!$H$5:$H$85&gt;=Software!V$3),'New Hires Forecast'!$O$5:$O$85,'New Hires Forecast'!$L$5:$L$85)/12),0),IF(YEAR(V$3)=YEAR('New Hires Forecast'!$P$3),IF((V$5&lt;=12),(SUMPRODUCT(--('New Hires Forecast'!$F$5:$F$85="Software"),--('New Hires Forecast'!$H$5:$H$85&gt;=Software!V$3),'New Hires Forecast'!$P$5:$P$85,'New Hires Forecast'!$L$5:$L$85)/12),0),IF(YEAR(V$3)=YEAR('New Hires Forecast'!$Q$3),IF((V$5&lt;=12),(SUMPRODUCT(--('New Hires Forecast'!$F$5:$F$85="Software"),--('New Hires Forecast'!$H$5:$H$85&gt;=Software!V$3),'New Hires Forecast'!$Q$5:$Q$85,'New Hires Forecast'!$L$5:$L$85)/12),0),IF(YEAR(V$3)=YEAR('New Hires Forecast'!$R$3),IF((V$5&lt;=12),(SUMPRODUCT(--('New Hires Forecast'!$F$5:$F$85="Software"),--('New Hires Forecast'!$H$5:$H$85&gt;=Software!V$3),'New Hires Forecast'!$R$5:$R$85,'New Hires Forecast'!$L$5:$L$85)/12),0),"New Year"))))),0)</f>
        <v>0</v>
      </c>
      <c r="W15" s="668">
        <f>IF(W$4="forecast",IF(YEAR(W$3)=YEAR('New Hires Forecast'!$N$3),IF((W$5&lt;=12),(SUMPRODUCT(--('New Hires Forecast'!$F$5:$F$85="Software"),--('New Hires Forecast'!$H$5:$H$85&gt;=Software!W$3),'New Hires Forecast'!$N$5:$N$85,'New Hires Forecast'!$L$5:$L$85)/12),0),IF(YEAR(W$3)=YEAR('New Hires Forecast'!$O$3),IF((W$5&lt;=12),(SUMPRODUCT(--('New Hires Forecast'!$F$5:$F$85="Software"),--('New Hires Forecast'!$H$5:$H$85&gt;=Software!W$3),'New Hires Forecast'!$O$5:$O$85,'New Hires Forecast'!$L$5:$L$85)/12),0),IF(YEAR(W$3)=YEAR('New Hires Forecast'!$P$3),IF((W$5&lt;=12),(SUMPRODUCT(--('New Hires Forecast'!$F$5:$F$85="Software"),--('New Hires Forecast'!$H$5:$H$85&gt;=Software!W$3),'New Hires Forecast'!$P$5:$P$85,'New Hires Forecast'!$L$5:$L$85)/12),0),IF(YEAR(W$3)=YEAR('New Hires Forecast'!$Q$3),IF((W$5&lt;=12),(SUMPRODUCT(--('New Hires Forecast'!$F$5:$F$85="Software"),--('New Hires Forecast'!$H$5:$H$85&gt;=Software!W$3),'New Hires Forecast'!$Q$5:$Q$85,'New Hires Forecast'!$L$5:$L$85)/12),0),IF(YEAR(W$3)=YEAR('New Hires Forecast'!$R$3),IF((W$5&lt;=12),(SUMPRODUCT(--('New Hires Forecast'!$F$5:$F$85="Software"),--('New Hires Forecast'!$H$5:$H$85&gt;=Software!W$3),'New Hires Forecast'!$R$5:$R$85,'New Hires Forecast'!$L$5:$L$85)/12),0),"New Year"))))),0)</f>
        <v>0</v>
      </c>
      <c r="X15" s="668">
        <f>IF(X$4="forecast",IF(YEAR(X$3)=YEAR('New Hires Forecast'!$N$3),IF((X$5&lt;=12),(SUMPRODUCT(--('New Hires Forecast'!$F$5:$F$85="Software"),--('New Hires Forecast'!$H$5:$H$85&gt;=Software!X$3),'New Hires Forecast'!$N$5:$N$85,'New Hires Forecast'!$L$5:$L$85)/12),0),IF(YEAR(X$3)=YEAR('New Hires Forecast'!$O$3),IF((X$5&lt;=12),(SUMPRODUCT(--('New Hires Forecast'!$F$5:$F$85="Software"),--('New Hires Forecast'!$H$5:$H$85&gt;=Software!X$3),'New Hires Forecast'!$O$5:$O$85,'New Hires Forecast'!$L$5:$L$85)/12),0),IF(YEAR(X$3)=YEAR('New Hires Forecast'!$P$3),IF((X$5&lt;=12),(SUMPRODUCT(--('New Hires Forecast'!$F$5:$F$85="Software"),--('New Hires Forecast'!$H$5:$H$85&gt;=Software!X$3),'New Hires Forecast'!$P$5:$P$85,'New Hires Forecast'!$L$5:$L$85)/12),0),IF(YEAR(X$3)=YEAR('New Hires Forecast'!$Q$3),IF((X$5&lt;=12),(SUMPRODUCT(--('New Hires Forecast'!$F$5:$F$85="Software"),--('New Hires Forecast'!$H$5:$H$85&gt;=Software!X$3),'New Hires Forecast'!$Q$5:$Q$85,'New Hires Forecast'!$L$5:$L$85)/12),0),IF(YEAR(X$3)=YEAR('New Hires Forecast'!$R$3),IF((X$5&lt;=12),(SUMPRODUCT(--('New Hires Forecast'!$F$5:$F$85="Software"),--('New Hires Forecast'!$H$5:$H$85&gt;=Software!X$3),'New Hires Forecast'!$R$5:$R$85,'New Hires Forecast'!$L$5:$L$85)/12),0),"New Year"))))),0)</f>
        <v>0</v>
      </c>
      <c r="Y15" s="668">
        <f>IF(Y$4="forecast",IF(YEAR(Y$3)=YEAR('New Hires Forecast'!$N$3),IF((Y$5&lt;=12),(SUMPRODUCT(--('New Hires Forecast'!$F$5:$F$85="Software"),--('New Hires Forecast'!$H$5:$H$85&gt;=Software!Y$3),'New Hires Forecast'!$N$5:$N$85,'New Hires Forecast'!$L$5:$L$85)/12),0),IF(YEAR(Y$3)=YEAR('New Hires Forecast'!$O$3),IF((Y$5&lt;=12),(SUMPRODUCT(--('New Hires Forecast'!$F$5:$F$85="Software"),--('New Hires Forecast'!$H$5:$H$85&gt;=Software!Y$3),'New Hires Forecast'!$O$5:$O$85,'New Hires Forecast'!$L$5:$L$85)/12),0),IF(YEAR(Y$3)=YEAR('New Hires Forecast'!$P$3),IF((Y$5&lt;=12),(SUMPRODUCT(--('New Hires Forecast'!$F$5:$F$85="Software"),--('New Hires Forecast'!$H$5:$H$85&gt;=Software!Y$3),'New Hires Forecast'!$P$5:$P$85,'New Hires Forecast'!$L$5:$L$85)/12),0),IF(YEAR(Y$3)=YEAR('New Hires Forecast'!$Q$3),IF((Y$5&lt;=12),(SUMPRODUCT(--('New Hires Forecast'!$F$5:$F$85="Software"),--('New Hires Forecast'!$H$5:$H$85&gt;=Software!Y$3),'New Hires Forecast'!$Q$5:$Q$85,'New Hires Forecast'!$L$5:$L$85)/12),0),IF(YEAR(Y$3)=YEAR('New Hires Forecast'!$R$3),IF((Y$5&lt;=12),(SUMPRODUCT(--('New Hires Forecast'!$F$5:$F$85="Software"),--('New Hires Forecast'!$H$5:$H$85&gt;=Software!Y$3),'New Hires Forecast'!$R$5:$R$85,'New Hires Forecast'!$L$5:$L$85)/12),0),"New Year"))))),0)</f>
        <v>0</v>
      </c>
      <c r="Z15" s="668">
        <f>IF(Z$4="forecast",IF(YEAR(Z$3)=YEAR('New Hires Forecast'!$N$3),IF((Z$5&lt;=12),(SUMPRODUCT(--('New Hires Forecast'!$F$5:$F$85="Software"),--('New Hires Forecast'!$H$5:$H$85&gt;=Software!Z$3),'New Hires Forecast'!$N$5:$N$85,'New Hires Forecast'!$L$5:$L$85)/12),0),IF(YEAR(Z$3)=YEAR('New Hires Forecast'!$O$3),IF((Z$5&lt;=12),(SUMPRODUCT(--('New Hires Forecast'!$F$5:$F$85="Software"),--('New Hires Forecast'!$H$5:$H$85&gt;=Software!Z$3),'New Hires Forecast'!$O$5:$O$85,'New Hires Forecast'!$L$5:$L$85)/12),0),IF(YEAR(Z$3)=YEAR('New Hires Forecast'!$P$3),IF((Z$5&lt;=12),(SUMPRODUCT(--('New Hires Forecast'!$F$5:$F$85="Software"),--('New Hires Forecast'!$H$5:$H$85&gt;=Software!Z$3),'New Hires Forecast'!$P$5:$P$85,'New Hires Forecast'!$L$5:$L$85)/12),0),IF(YEAR(Z$3)=YEAR('New Hires Forecast'!$Q$3),IF((Z$5&lt;=12),(SUMPRODUCT(--('New Hires Forecast'!$F$5:$F$85="Software"),--('New Hires Forecast'!$H$5:$H$85&gt;=Software!Z$3),'New Hires Forecast'!$Q$5:$Q$85,'New Hires Forecast'!$L$5:$L$85)/12),0),IF(YEAR(Z$3)=YEAR('New Hires Forecast'!$R$3),IF((Z$5&lt;=12),(SUMPRODUCT(--('New Hires Forecast'!$F$5:$F$85="Software"),--('New Hires Forecast'!$H$5:$H$85&gt;=Software!Z$3),'New Hires Forecast'!$R$5:$R$85,'New Hires Forecast'!$L$5:$L$85)/12),0),"New Year"))))),0)</f>
        <v>0</v>
      </c>
      <c r="AA15" s="668">
        <f>IF(AA$4="forecast",IF(YEAR(AA$3)=YEAR('New Hires Forecast'!$N$3),IF((AA$5&lt;=12),(SUMPRODUCT(--('New Hires Forecast'!$F$5:$F$85="Software"),--('New Hires Forecast'!$H$5:$H$85&gt;=Software!AA$3),'New Hires Forecast'!$N$5:$N$85,'New Hires Forecast'!$L$5:$L$85)/12),0),IF(YEAR(AA$3)=YEAR('New Hires Forecast'!$O$3),IF((AA$5&lt;=12),(SUMPRODUCT(--('New Hires Forecast'!$F$5:$F$85="Software"),--('New Hires Forecast'!$H$5:$H$85&gt;=Software!AA$3),'New Hires Forecast'!$O$5:$O$85,'New Hires Forecast'!$L$5:$L$85)/12),0),IF(YEAR(AA$3)=YEAR('New Hires Forecast'!$P$3),IF((AA$5&lt;=12),(SUMPRODUCT(--('New Hires Forecast'!$F$5:$F$85="Software"),--('New Hires Forecast'!$H$5:$H$85&gt;=Software!AA$3),'New Hires Forecast'!$P$5:$P$85,'New Hires Forecast'!$L$5:$L$85)/12),0),IF(YEAR(AA$3)=YEAR('New Hires Forecast'!$Q$3),IF((AA$5&lt;=12),(SUMPRODUCT(--('New Hires Forecast'!$F$5:$F$85="Software"),--('New Hires Forecast'!$H$5:$H$85&gt;=Software!AA$3),'New Hires Forecast'!$Q$5:$Q$85,'New Hires Forecast'!$L$5:$L$85)/12),0),IF(YEAR(AA$3)=YEAR('New Hires Forecast'!$R$3),IF((AA$5&lt;=12),(SUMPRODUCT(--('New Hires Forecast'!$F$5:$F$85="Software"),--('New Hires Forecast'!$H$5:$H$85&gt;=Software!AA$3),'New Hires Forecast'!$R$5:$R$85,'New Hires Forecast'!$L$5:$L$85)/12),0),"New Year"))))),0)</f>
        <v>0</v>
      </c>
      <c r="AB15" s="668">
        <f>IF(AB$4="forecast",IF(YEAR(AB$3)=YEAR('New Hires Forecast'!$N$3),IF((AB$5&lt;=12),(SUMPRODUCT(--('New Hires Forecast'!$F$5:$F$85="Software"),--('New Hires Forecast'!$H$5:$H$85&gt;=Software!AB$3),'New Hires Forecast'!$N$5:$N$85,'New Hires Forecast'!$L$5:$L$85)/12),0),IF(YEAR(AB$3)=YEAR('New Hires Forecast'!$O$3),IF((AB$5&lt;=12),(SUMPRODUCT(--('New Hires Forecast'!$F$5:$F$85="Software"),--('New Hires Forecast'!$H$5:$H$85&gt;=Software!AB$3),'New Hires Forecast'!$O$5:$O$85,'New Hires Forecast'!$L$5:$L$85)/12),0),IF(YEAR(AB$3)=YEAR('New Hires Forecast'!$P$3),IF((AB$5&lt;=12),(SUMPRODUCT(--('New Hires Forecast'!$F$5:$F$85="Software"),--('New Hires Forecast'!$H$5:$H$85&gt;=Software!AB$3),'New Hires Forecast'!$P$5:$P$85,'New Hires Forecast'!$L$5:$L$85)/12),0),IF(YEAR(AB$3)=YEAR('New Hires Forecast'!$Q$3),IF((AB$5&lt;=12),(SUMPRODUCT(--('New Hires Forecast'!$F$5:$F$85="Software"),--('New Hires Forecast'!$H$5:$H$85&gt;=Software!AB$3),'New Hires Forecast'!$Q$5:$Q$85,'New Hires Forecast'!$L$5:$L$85)/12),0),IF(YEAR(AB$3)=YEAR('New Hires Forecast'!$R$3),IF((AB$5&lt;=12),(SUMPRODUCT(--('New Hires Forecast'!$F$5:$F$85="Software"),--('New Hires Forecast'!$H$5:$H$85&gt;=Software!AB$3),'New Hires Forecast'!$R$5:$R$85,'New Hires Forecast'!$L$5:$L$85)/12),0),"New Year"))))),0)</f>
        <v>0</v>
      </c>
      <c r="AC15" s="668">
        <f>IF(AC$4="forecast",IF(YEAR(AC$3)=YEAR('New Hires Forecast'!$N$3),IF((AC$5&lt;=12),(SUMPRODUCT(--('New Hires Forecast'!$F$5:$F$85="Software"),--('New Hires Forecast'!$H$5:$H$85&gt;=Software!AC$3),'New Hires Forecast'!$N$5:$N$85,'New Hires Forecast'!$L$5:$L$85)/12),0),IF(YEAR(AC$3)=YEAR('New Hires Forecast'!$O$3),IF((AC$5&lt;=12),(SUMPRODUCT(--('New Hires Forecast'!$F$5:$F$85="Software"),--('New Hires Forecast'!$H$5:$H$85&gt;=Software!AC$3),'New Hires Forecast'!$O$5:$O$85,'New Hires Forecast'!$L$5:$L$85)/12),0),IF(YEAR(AC$3)=YEAR('New Hires Forecast'!$P$3),IF((AC$5&lt;=12),(SUMPRODUCT(--('New Hires Forecast'!$F$5:$F$85="Software"),--('New Hires Forecast'!$H$5:$H$85&gt;=Software!AC$3),'New Hires Forecast'!$P$5:$P$85,'New Hires Forecast'!$L$5:$L$85)/12),0),IF(YEAR(AC$3)=YEAR('New Hires Forecast'!$Q$3),IF((AC$5&lt;=12),(SUMPRODUCT(--('New Hires Forecast'!$F$5:$F$85="Software"),--('New Hires Forecast'!$H$5:$H$85&gt;=Software!AC$3),'New Hires Forecast'!$Q$5:$Q$85,'New Hires Forecast'!$L$5:$L$85)/12),0),IF(YEAR(AC$3)=YEAR('New Hires Forecast'!$R$3),IF((AC$5&lt;=12),(SUMPRODUCT(--('New Hires Forecast'!$F$5:$F$85="Software"),--('New Hires Forecast'!$H$5:$H$85&gt;=Software!AC$3),'New Hires Forecast'!$R$5:$R$85,'New Hires Forecast'!$L$5:$L$85)/12),0),"New Year"))))),0)</f>
        <v>0</v>
      </c>
      <c r="AD15" s="668">
        <f>IF(AD$4="forecast",IF(YEAR(AD$3)=YEAR('New Hires Forecast'!$N$3),IF((AD$5&lt;=12),(SUMPRODUCT(--('New Hires Forecast'!$F$5:$F$85="Software"),--('New Hires Forecast'!$H$5:$H$85&gt;=Software!AD$3),'New Hires Forecast'!$N$5:$N$85,'New Hires Forecast'!$L$5:$L$85)/12),0),IF(YEAR(AD$3)=YEAR('New Hires Forecast'!$O$3),IF((AD$5&lt;=12),(SUMPRODUCT(--('New Hires Forecast'!$F$5:$F$85="Software"),--('New Hires Forecast'!$H$5:$H$85&gt;=Software!AD$3),'New Hires Forecast'!$O$5:$O$85,'New Hires Forecast'!$L$5:$L$85)/12),0),IF(YEAR(AD$3)=YEAR('New Hires Forecast'!$P$3),IF((AD$5&lt;=12),(SUMPRODUCT(--('New Hires Forecast'!$F$5:$F$85="Software"),--('New Hires Forecast'!$H$5:$H$85&gt;=Software!AD$3),'New Hires Forecast'!$P$5:$P$85,'New Hires Forecast'!$L$5:$L$85)/12),0),IF(YEAR(AD$3)=YEAR('New Hires Forecast'!$Q$3),IF((AD$5&lt;=12),(SUMPRODUCT(--('New Hires Forecast'!$F$5:$F$85="Software"),--('New Hires Forecast'!$H$5:$H$85&gt;=Software!AD$3),'New Hires Forecast'!$Q$5:$Q$85,'New Hires Forecast'!$L$5:$L$85)/12),0),IF(YEAR(AD$3)=YEAR('New Hires Forecast'!$R$3),IF((AD$5&lt;=12),(SUMPRODUCT(--('New Hires Forecast'!$F$5:$F$85="Software"),--('New Hires Forecast'!$H$5:$H$85&gt;=Software!AD$3),'New Hires Forecast'!$R$5:$R$85,'New Hires Forecast'!$L$5:$L$85)/12),0),"New Year"))))),0)</f>
        <v>3000</v>
      </c>
      <c r="AE15" s="668">
        <f>IF(AE$4="forecast",IF(YEAR(AE$3)=YEAR('New Hires Forecast'!$N$3),IF((AE$5&lt;=12),(SUMPRODUCT(--('New Hires Forecast'!$F$5:$F$85="Software"),--('New Hires Forecast'!$H$5:$H$85&gt;=Software!AE$3),'New Hires Forecast'!$N$5:$N$85,'New Hires Forecast'!$L$5:$L$85)/12),0),IF(YEAR(AE$3)=YEAR('New Hires Forecast'!$O$3),IF((AE$5&lt;=12),(SUMPRODUCT(--('New Hires Forecast'!$F$5:$F$85="Software"),--('New Hires Forecast'!$H$5:$H$85&gt;=Software!AE$3),'New Hires Forecast'!$O$5:$O$85,'New Hires Forecast'!$L$5:$L$85)/12),0),IF(YEAR(AE$3)=YEAR('New Hires Forecast'!$P$3),IF((AE$5&lt;=12),(SUMPRODUCT(--('New Hires Forecast'!$F$5:$F$85="Software"),--('New Hires Forecast'!$H$5:$H$85&gt;=Software!AE$3),'New Hires Forecast'!$P$5:$P$85,'New Hires Forecast'!$L$5:$L$85)/12),0),IF(YEAR(AE$3)=YEAR('New Hires Forecast'!$Q$3),IF((AE$5&lt;=12),(SUMPRODUCT(--('New Hires Forecast'!$F$5:$F$85="Software"),--('New Hires Forecast'!$H$5:$H$85&gt;=Software!AE$3),'New Hires Forecast'!$Q$5:$Q$85,'New Hires Forecast'!$L$5:$L$85)/12),0),IF(YEAR(AE$3)=YEAR('New Hires Forecast'!$R$3),IF((AE$5&lt;=12),(SUMPRODUCT(--('New Hires Forecast'!$F$5:$F$85="Software"),--('New Hires Forecast'!$H$5:$H$85&gt;=Software!AE$3),'New Hires Forecast'!$R$5:$R$85,'New Hires Forecast'!$L$5:$L$85)/12),0),"New Year"))))),0)</f>
        <v>3000</v>
      </c>
      <c r="AF15" s="668">
        <f>IF(AF$4="forecast",IF(YEAR(AF$3)=YEAR('New Hires Forecast'!$N$3),IF((AF$5&lt;=12),(SUMPRODUCT(--('New Hires Forecast'!$F$5:$F$85="Software"),--('New Hires Forecast'!$H$5:$H$85&gt;=Software!AF$3),'New Hires Forecast'!$N$5:$N$85,'New Hires Forecast'!$L$5:$L$85)/12),0),IF(YEAR(AF$3)=YEAR('New Hires Forecast'!$O$3),IF((AF$5&lt;=12),(SUMPRODUCT(--('New Hires Forecast'!$F$5:$F$85="Software"),--('New Hires Forecast'!$H$5:$H$85&gt;=Software!AF$3),'New Hires Forecast'!$O$5:$O$85,'New Hires Forecast'!$L$5:$L$85)/12),0),IF(YEAR(AF$3)=YEAR('New Hires Forecast'!$P$3),IF((AF$5&lt;=12),(SUMPRODUCT(--('New Hires Forecast'!$F$5:$F$85="Software"),--('New Hires Forecast'!$H$5:$H$85&gt;=Software!AF$3),'New Hires Forecast'!$P$5:$P$85,'New Hires Forecast'!$L$5:$L$85)/12),0),IF(YEAR(AF$3)=YEAR('New Hires Forecast'!$Q$3),IF((AF$5&lt;=12),(SUMPRODUCT(--('New Hires Forecast'!$F$5:$F$85="Software"),--('New Hires Forecast'!$H$5:$H$85&gt;=Software!AF$3),'New Hires Forecast'!$Q$5:$Q$85,'New Hires Forecast'!$L$5:$L$85)/12),0),IF(YEAR(AF$3)=YEAR('New Hires Forecast'!$R$3),IF((AF$5&lt;=12),(SUMPRODUCT(--('New Hires Forecast'!$F$5:$F$85="Software"),--('New Hires Forecast'!$H$5:$H$85&gt;=Software!AF$3),'New Hires Forecast'!$R$5:$R$85,'New Hires Forecast'!$L$5:$L$85)/12),0),"New Year"))))),0)</f>
        <v>3000</v>
      </c>
      <c r="AG15" s="668">
        <f>IF(AG$4="forecast",IF(YEAR(AG$3)=YEAR('New Hires Forecast'!$N$3),IF((AG$5&lt;=12),(SUMPRODUCT(--('New Hires Forecast'!$F$5:$F$85="Software"),--('New Hires Forecast'!$H$5:$H$85&gt;=Software!AG$3),'New Hires Forecast'!$N$5:$N$85,'New Hires Forecast'!$L$5:$L$85)/12),0),IF(YEAR(AG$3)=YEAR('New Hires Forecast'!$O$3),IF((AG$5&lt;=12),(SUMPRODUCT(--('New Hires Forecast'!$F$5:$F$85="Software"),--('New Hires Forecast'!$H$5:$H$85&gt;=Software!AG$3),'New Hires Forecast'!$O$5:$O$85,'New Hires Forecast'!$L$5:$L$85)/12),0),IF(YEAR(AG$3)=YEAR('New Hires Forecast'!$P$3),IF((AG$5&lt;=12),(SUMPRODUCT(--('New Hires Forecast'!$F$5:$F$85="Software"),--('New Hires Forecast'!$H$5:$H$85&gt;=Software!AG$3),'New Hires Forecast'!$P$5:$P$85,'New Hires Forecast'!$L$5:$L$85)/12),0),IF(YEAR(AG$3)=YEAR('New Hires Forecast'!$Q$3),IF((AG$5&lt;=12),(SUMPRODUCT(--('New Hires Forecast'!$F$5:$F$85="Software"),--('New Hires Forecast'!$H$5:$H$85&gt;=Software!AG$3),'New Hires Forecast'!$Q$5:$Q$85,'New Hires Forecast'!$L$5:$L$85)/12),0),IF(YEAR(AG$3)=YEAR('New Hires Forecast'!$R$3),IF((AG$5&lt;=12),(SUMPRODUCT(--('New Hires Forecast'!$F$5:$F$85="Software"),--('New Hires Forecast'!$H$5:$H$85&gt;=Software!AG$3),'New Hires Forecast'!$R$5:$R$85,'New Hires Forecast'!$L$5:$L$85)/12),0),"New Year"))))),0)</f>
        <v>3000</v>
      </c>
      <c r="AH15" s="668">
        <f>IF(AH$4="forecast",IF(YEAR(AH$3)=YEAR('New Hires Forecast'!$N$3),IF((AH$5&lt;=12),(SUMPRODUCT(--('New Hires Forecast'!$F$5:$F$85="Software"),--('New Hires Forecast'!$H$5:$H$85&gt;=Software!AH$3),'New Hires Forecast'!$N$5:$N$85,'New Hires Forecast'!$L$5:$L$85)/12),0),IF(YEAR(AH$3)=YEAR('New Hires Forecast'!$O$3),IF((AH$5&lt;=12),(SUMPRODUCT(--('New Hires Forecast'!$F$5:$F$85="Software"),--('New Hires Forecast'!$H$5:$H$85&gt;=Software!AH$3),'New Hires Forecast'!$O$5:$O$85,'New Hires Forecast'!$L$5:$L$85)/12),0),IF(YEAR(AH$3)=YEAR('New Hires Forecast'!$P$3),IF((AH$5&lt;=12),(SUMPRODUCT(--('New Hires Forecast'!$F$5:$F$85="Software"),--('New Hires Forecast'!$H$5:$H$85&gt;=Software!AH$3),'New Hires Forecast'!$P$5:$P$85,'New Hires Forecast'!$L$5:$L$85)/12),0),IF(YEAR(AH$3)=YEAR('New Hires Forecast'!$Q$3),IF((AH$5&lt;=12),(SUMPRODUCT(--('New Hires Forecast'!$F$5:$F$85="Software"),--('New Hires Forecast'!$H$5:$H$85&gt;=Software!AH$3),'New Hires Forecast'!$Q$5:$Q$85,'New Hires Forecast'!$L$5:$L$85)/12),0),IF(YEAR(AH$3)=YEAR('New Hires Forecast'!$R$3),IF((AH$5&lt;=12),(SUMPRODUCT(--('New Hires Forecast'!$F$5:$F$85="Software"),--('New Hires Forecast'!$H$5:$H$85&gt;=Software!AH$3),'New Hires Forecast'!$R$5:$R$85,'New Hires Forecast'!$L$5:$L$85)/12),0),"New Year"))))),0)</f>
        <v>3000</v>
      </c>
      <c r="AI15" s="668">
        <f>IF(AI$4="forecast",IF(YEAR(AI$3)=YEAR('New Hires Forecast'!$N$3),IF((AI$5&lt;=12),(SUMPRODUCT(--('New Hires Forecast'!$F$5:$F$85="Software"),--('New Hires Forecast'!$H$5:$H$85&gt;=Software!AI$3),'New Hires Forecast'!$N$5:$N$85,'New Hires Forecast'!$L$5:$L$85)/12),0),IF(YEAR(AI$3)=YEAR('New Hires Forecast'!$O$3),IF((AI$5&lt;=12),(SUMPRODUCT(--('New Hires Forecast'!$F$5:$F$85="Software"),--('New Hires Forecast'!$H$5:$H$85&gt;=Software!AI$3),'New Hires Forecast'!$O$5:$O$85,'New Hires Forecast'!$L$5:$L$85)/12),0),IF(YEAR(AI$3)=YEAR('New Hires Forecast'!$P$3),IF((AI$5&lt;=12),(SUMPRODUCT(--('New Hires Forecast'!$F$5:$F$85="Software"),--('New Hires Forecast'!$H$5:$H$85&gt;=Software!AI$3),'New Hires Forecast'!$P$5:$P$85,'New Hires Forecast'!$L$5:$L$85)/12),0),IF(YEAR(AI$3)=YEAR('New Hires Forecast'!$Q$3),IF((AI$5&lt;=12),(SUMPRODUCT(--('New Hires Forecast'!$F$5:$F$85="Software"),--('New Hires Forecast'!$H$5:$H$85&gt;=Software!AI$3),'New Hires Forecast'!$Q$5:$Q$85,'New Hires Forecast'!$L$5:$L$85)/12),0),IF(YEAR(AI$3)=YEAR('New Hires Forecast'!$R$3),IF((AI$5&lt;=12),(SUMPRODUCT(--('New Hires Forecast'!$F$5:$F$85="Software"),--('New Hires Forecast'!$H$5:$H$85&gt;=Software!AI$3),'New Hires Forecast'!$R$5:$R$85,'New Hires Forecast'!$L$5:$L$85)/12),0),"New Year"))))),0)</f>
        <v>3000</v>
      </c>
      <c r="AJ15" s="668">
        <f>IF(AJ$4="forecast",IF(YEAR(AJ$3)=YEAR('New Hires Forecast'!$N$3),IF((AJ$5&lt;=12),(SUMPRODUCT(--('New Hires Forecast'!$F$5:$F$85="Software"),--('New Hires Forecast'!$H$5:$H$85&gt;=Software!AJ$3),'New Hires Forecast'!$N$5:$N$85,'New Hires Forecast'!$L$5:$L$85)/12),0),IF(YEAR(AJ$3)=YEAR('New Hires Forecast'!$O$3),IF((AJ$5&lt;=12),(SUMPRODUCT(--('New Hires Forecast'!$F$5:$F$85="Software"),--('New Hires Forecast'!$H$5:$H$85&gt;=Software!AJ$3),'New Hires Forecast'!$O$5:$O$85,'New Hires Forecast'!$L$5:$L$85)/12),0),IF(YEAR(AJ$3)=YEAR('New Hires Forecast'!$P$3),IF((AJ$5&lt;=12),(SUMPRODUCT(--('New Hires Forecast'!$F$5:$F$85="Software"),--('New Hires Forecast'!$H$5:$H$85&gt;=Software!AJ$3),'New Hires Forecast'!$P$5:$P$85,'New Hires Forecast'!$L$5:$L$85)/12),0),IF(YEAR(AJ$3)=YEAR('New Hires Forecast'!$Q$3),IF((AJ$5&lt;=12),(SUMPRODUCT(--('New Hires Forecast'!$F$5:$F$85="Software"),--('New Hires Forecast'!$H$5:$H$85&gt;=Software!AJ$3),'New Hires Forecast'!$Q$5:$Q$85,'New Hires Forecast'!$L$5:$L$85)/12),0),IF(YEAR(AJ$3)=YEAR('New Hires Forecast'!$R$3),IF((AJ$5&lt;=12),(SUMPRODUCT(--('New Hires Forecast'!$F$5:$F$85="Software"),--('New Hires Forecast'!$H$5:$H$85&gt;=Software!AJ$3),'New Hires Forecast'!$R$5:$R$85,'New Hires Forecast'!$L$5:$L$85)/12),0),"New Year"))))),0)</f>
        <v>3000</v>
      </c>
      <c r="AK15" s="668">
        <f>IF(AK$4="forecast",IF(YEAR(AK$3)=YEAR('New Hires Forecast'!$N$3),IF((AK$5&lt;=12),(SUMPRODUCT(--('New Hires Forecast'!$F$5:$F$85="Software"),--('New Hires Forecast'!$H$5:$H$85&gt;=Software!AK$3),'New Hires Forecast'!$N$5:$N$85,'New Hires Forecast'!$L$5:$L$85)/12),0),IF(YEAR(AK$3)=YEAR('New Hires Forecast'!$O$3),IF((AK$5&lt;=12),(SUMPRODUCT(--('New Hires Forecast'!$F$5:$F$85="Software"),--('New Hires Forecast'!$H$5:$H$85&gt;=Software!AK$3),'New Hires Forecast'!$O$5:$O$85,'New Hires Forecast'!$L$5:$L$85)/12),0),IF(YEAR(AK$3)=YEAR('New Hires Forecast'!$P$3),IF((AK$5&lt;=12),(SUMPRODUCT(--('New Hires Forecast'!$F$5:$F$85="Software"),--('New Hires Forecast'!$H$5:$H$85&gt;=Software!AK$3),'New Hires Forecast'!$P$5:$P$85,'New Hires Forecast'!$L$5:$L$85)/12),0),IF(YEAR(AK$3)=YEAR('New Hires Forecast'!$Q$3),IF((AK$5&lt;=12),(SUMPRODUCT(--('New Hires Forecast'!$F$5:$F$85="Software"),--('New Hires Forecast'!$H$5:$H$85&gt;=Software!AK$3),'New Hires Forecast'!$Q$5:$Q$85,'New Hires Forecast'!$L$5:$L$85)/12),0),IF(YEAR(AK$3)=YEAR('New Hires Forecast'!$R$3),IF((AK$5&lt;=12),(SUMPRODUCT(--('New Hires Forecast'!$F$5:$F$85="Software"),--('New Hires Forecast'!$H$5:$H$85&gt;=Software!AK$3),'New Hires Forecast'!$R$5:$R$85,'New Hires Forecast'!$L$5:$L$85)/12),0),"New Year"))))),0)</f>
        <v>3000</v>
      </c>
      <c r="AL15" s="668">
        <f>IF(AL$4="forecast",IF(YEAR(AL$3)=YEAR('New Hires Forecast'!$N$3),IF((AL$5&lt;=12),(SUMPRODUCT(--('New Hires Forecast'!$F$5:$F$85="Software"),--('New Hires Forecast'!$H$5:$H$85&gt;=Software!AL$3),'New Hires Forecast'!$N$5:$N$85,'New Hires Forecast'!$L$5:$L$85)/12),0),IF(YEAR(AL$3)=YEAR('New Hires Forecast'!$O$3),IF((AL$5&lt;=12),(SUMPRODUCT(--('New Hires Forecast'!$F$5:$F$85="Software"),--('New Hires Forecast'!$H$5:$H$85&gt;=Software!AL$3),'New Hires Forecast'!$O$5:$O$85,'New Hires Forecast'!$L$5:$L$85)/12),0),IF(YEAR(AL$3)=YEAR('New Hires Forecast'!$P$3),IF((AL$5&lt;=12),(SUMPRODUCT(--('New Hires Forecast'!$F$5:$F$85="Software"),--('New Hires Forecast'!$H$5:$H$85&gt;=Software!AL$3),'New Hires Forecast'!$P$5:$P$85,'New Hires Forecast'!$L$5:$L$85)/12),0),IF(YEAR(AL$3)=YEAR('New Hires Forecast'!$Q$3),IF((AL$5&lt;=12),(SUMPRODUCT(--('New Hires Forecast'!$F$5:$F$85="Software"),--('New Hires Forecast'!$H$5:$H$85&gt;=Software!AL$3),'New Hires Forecast'!$Q$5:$Q$85,'New Hires Forecast'!$L$5:$L$85)/12),0),IF(YEAR(AL$3)=YEAR('New Hires Forecast'!$R$3),IF((AL$5&lt;=12),(SUMPRODUCT(--('New Hires Forecast'!$F$5:$F$85="Software"),--('New Hires Forecast'!$H$5:$H$85&gt;=Software!AL$3),'New Hires Forecast'!$R$5:$R$85,'New Hires Forecast'!$L$5:$L$85)/12),0),"New Year"))))),0)</f>
        <v>3000</v>
      </c>
      <c r="AM15" s="668">
        <f>IF(AM$4="forecast",IF(YEAR(AM$3)=YEAR('New Hires Forecast'!$N$3),IF((AM$5&lt;=12),(SUMPRODUCT(--('New Hires Forecast'!$F$5:$F$85="Software"),--('New Hires Forecast'!$H$5:$H$85&gt;=Software!AM$3),'New Hires Forecast'!$N$5:$N$85,'New Hires Forecast'!$L$5:$L$85)/12),0),IF(YEAR(AM$3)=YEAR('New Hires Forecast'!$O$3),IF((AM$5&lt;=12),(SUMPRODUCT(--('New Hires Forecast'!$F$5:$F$85="Software"),--('New Hires Forecast'!$H$5:$H$85&gt;=Software!AM$3),'New Hires Forecast'!$O$5:$O$85,'New Hires Forecast'!$L$5:$L$85)/12),0),IF(YEAR(AM$3)=YEAR('New Hires Forecast'!$P$3),IF((AM$5&lt;=12),(SUMPRODUCT(--('New Hires Forecast'!$F$5:$F$85="Software"),--('New Hires Forecast'!$H$5:$H$85&gt;=Software!AM$3),'New Hires Forecast'!$P$5:$P$85,'New Hires Forecast'!$L$5:$L$85)/12),0),IF(YEAR(AM$3)=YEAR('New Hires Forecast'!$Q$3),IF((AM$5&lt;=12),(SUMPRODUCT(--('New Hires Forecast'!$F$5:$F$85="Software"),--('New Hires Forecast'!$H$5:$H$85&gt;=Software!AM$3),'New Hires Forecast'!$Q$5:$Q$85,'New Hires Forecast'!$L$5:$L$85)/12),0),IF(YEAR(AM$3)=YEAR('New Hires Forecast'!$R$3),IF((AM$5&lt;=12),(SUMPRODUCT(--('New Hires Forecast'!$F$5:$F$85="Software"),--('New Hires Forecast'!$H$5:$H$85&gt;=Software!AM$3),'New Hires Forecast'!$R$5:$R$85,'New Hires Forecast'!$L$5:$L$85)/12),0),"New Year"))))),0)</f>
        <v>3090</v>
      </c>
      <c r="AN15" s="668">
        <f>IF(AN$4="forecast",IF(YEAR(AN$3)=YEAR('New Hires Forecast'!$N$3),IF((AN$5&lt;=12),(SUMPRODUCT(--('New Hires Forecast'!$F$5:$F$85="Software"),--('New Hires Forecast'!$H$5:$H$85&gt;=Software!AN$3),'New Hires Forecast'!$N$5:$N$85,'New Hires Forecast'!$L$5:$L$85)/12),0),IF(YEAR(AN$3)=YEAR('New Hires Forecast'!$O$3),IF((AN$5&lt;=12),(SUMPRODUCT(--('New Hires Forecast'!$F$5:$F$85="Software"),--('New Hires Forecast'!$H$5:$H$85&gt;=Software!AN$3),'New Hires Forecast'!$O$5:$O$85,'New Hires Forecast'!$L$5:$L$85)/12),0),IF(YEAR(AN$3)=YEAR('New Hires Forecast'!$P$3),IF((AN$5&lt;=12),(SUMPRODUCT(--('New Hires Forecast'!$F$5:$F$85="Software"),--('New Hires Forecast'!$H$5:$H$85&gt;=Software!AN$3),'New Hires Forecast'!$P$5:$P$85,'New Hires Forecast'!$L$5:$L$85)/12),0),IF(YEAR(AN$3)=YEAR('New Hires Forecast'!$Q$3),IF((AN$5&lt;=12),(SUMPRODUCT(--('New Hires Forecast'!$F$5:$F$85="Software"),--('New Hires Forecast'!$H$5:$H$85&gt;=Software!AN$3),'New Hires Forecast'!$Q$5:$Q$85,'New Hires Forecast'!$L$5:$L$85)/12),0),IF(YEAR(AN$3)=YEAR('New Hires Forecast'!$R$3),IF((AN$5&lt;=12),(SUMPRODUCT(--('New Hires Forecast'!$F$5:$F$85="Software"),--('New Hires Forecast'!$H$5:$H$85&gt;=Software!AN$3),'New Hires Forecast'!$R$5:$R$85,'New Hires Forecast'!$L$5:$L$85)/12),0),"New Year"))))),0)</f>
        <v>3090</v>
      </c>
      <c r="AO15" s="668">
        <f>IF(AO$4="forecast",IF(YEAR(AO$3)=YEAR('New Hires Forecast'!$N$3),IF((AO$5&lt;=12),(SUMPRODUCT(--('New Hires Forecast'!$F$5:$F$85="Software"),--('New Hires Forecast'!$H$5:$H$85&gt;=Software!AO$3),'New Hires Forecast'!$N$5:$N$85,'New Hires Forecast'!$L$5:$L$85)/12),0),IF(YEAR(AO$3)=YEAR('New Hires Forecast'!$O$3),IF((AO$5&lt;=12),(SUMPRODUCT(--('New Hires Forecast'!$F$5:$F$85="Software"),--('New Hires Forecast'!$H$5:$H$85&gt;=Software!AO$3),'New Hires Forecast'!$O$5:$O$85,'New Hires Forecast'!$L$5:$L$85)/12),0),IF(YEAR(AO$3)=YEAR('New Hires Forecast'!$P$3),IF((AO$5&lt;=12),(SUMPRODUCT(--('New Hires Forecast'!$F$5:$F$85="Software"),--('New Hires Forecast'!$H$5:$H$85&gt;=Software!AO$3),'New Hires Forecast'!$P$5:$P$85,'New Hires Forecast'!$L$5:$L$85)/12),0),IF(YEAR(AO$3)=YEAR('New Hires Forecast'!$Q$3),IF((AO$5&lt;=12),(SUMPRODUCT(--('New Hires Forecast'!$F$5:$F$85="Software"),--('New Hires Forecast'!$H$5:$H$85&gt;=Software!AO$3),'New Hires Forecast'!$Q$5:$Q$85,'New Hires Forecast'!$L$5:$L$85)/12),0),IF(YEAR(AO$3)=YEAR('New Hires Forecast'!$R$3),IF((AO$5&lt;=12),(SUMPRODUCT(--('New Hires Forecast'!$F$5:$F$85="Software"),--('New Hires Forecast'!$H$5:$H$85&gt;=Software!AO$3),'New Hires Forecast'!$R$5:$R$85,'New Hires Forecast'!$L$5:$L$85)/12),0),"New Year"))))),0)</f>
        <v>3090</v>
      </c>
      <c r="AP15" s="668">
        <f>IF(AP$4="forecast",IF(YEAR(AP$3)=YEAR('New Hires Forecast'!$N$3),IF((AP$5&lt;=12),(SUMPRODUCT(--('New Hires Forecast'!$F$5:$F$85="Software"),--('New Hires Forecast'!$H$5:$H$85&gt;=Software!AP$3),'New Hires Forecast'!$N$5:$N$85,'New Hires Forecast'!$L$5:$L$85)/12),0),IF(YEAR(AP$3)=YEAR('New Hires Forecast'!$O$3),IF((AP$5&lt;=12),(SUMPRODUCT(--('New Hires Forecast'!$F$5:$F$85="Software"),--('New Hires Forecast'!$H$5:$H$85&gt;=Software!AP$3),'New Hires Forecast'!$O$5:$O$85,'New Hires Forecast'!$L$5:$L$85)/12),0),IF(YEAR(AP$3)=YEAR('New Hires Forecast'!$P$3),IF((AP$5&lt;=12),(SUMPRODUCT(--('New Hires Forecast'!$F$5:$F$85="Software"),--('New Hires Forecast'!$H$5:$H$85&gt;=Software!AP$3),'New Hires Forecast'!$P$5:$P$85,'New Hires Forecast'!$L$5:$L$85)/12),0),IF(YEAR(AP$3)=YEAR('New Hires Forecast'!$Q$3),IF((AP$5&lt;=12),(SUMPRODUCT(--('New Hires Forecast'!$F$5:$F$85="Software"),--('New Hires Forecast'!$H$5:$H$85&gt;=Software!AP$3),'New Hires Forecast'!$Q$5:$Q$85,'New Hires Forecast'!$L$5:$L$85)/12),0),IF(YEAR(AP$3)=YEAR('New Hires Forecast'!$R$3),IF((AP$5&lt;=12),(SUMPRODUCT(--('New Hires Forecast'!$F$5:$F$85="Software"),--('New Hires Forecast'!$H$5:$H$85&gt;=Software!AP$3),'New Hires Forecast'!$R$5:$R$85,'New Hires Forecast'!$L$5:$L$85)/12),0),"New Year"))))),0)</f>
        <v>3090</v>
      </c>
      <c r="AQ15" s="668">
        <f>IF(AQ$4="forecast",IF(YEAR(AQ$3)=YEAR('New Hires Forecast'!$N$3),IF((AQ$5&lt;=12),(SUMPRODUCT(--('New Hires Forecast'!$F$5:$F$85="Software"),--('New Hires Forecast'!$H$5:$H$85&gt;=Software!AQ$3),'New Hires Forecast'!$N$5:$N$85,'New Hires Forecast'!$L$5:$L$85)/12),0),IF(YEAR(AQ$3)=YEAR('New Hires Forecast'!$O$3),IF((AQ$5&lt;=12),(SUMPRODUCT(--('New Hires Forecast'!$F$5:$F$85="Software"),--('New Hires Forecast'!$H$5:$H$85&gt;=Software!AQ$3),'New Hires Forecast'!$O$5:$O$85,'New Hires Forecast'!$L$5:$L$85)/12),0),IF(YEAR(AQ$3)=YEAR('New Hires Forecast'!$P$3),IF((AQ$5&lt;=12),(SUMPRODUCT(--('New Hires Forecast'!$F$5:$F$85="Software"),--('New Hires Forecast'!$H$5:$H$85&gt;=Software!AQ$3),'New Hires Forecast'!$P$5:$P$85,'New Hires Forecast'!$L$5:$L$85)/12),0),IF(YEAR(AQ$3)=YEAR('New Hires Forecast'!$Q$3),IF((AQ$5&lt;=12),(SUMPRODUCT(--('New Hires Forecast'!$F$5:$F$85="Software"),--('New Hires Forecast'!$H$5:$H$85&gt;=Software!AQ$3),'New Hires Forecast'!$Q$5:$Q$85,'New Hires Forecast'!$L$5:$L$85)/12),0),IF(YEAR(AQ$3)=YEAR('New Hires Forecast'!$R$3),IF((AQ$5&lt;=12),(SUMPRODUCT(--('New Hires Forecast'!$F$5:$F$85="Software"),--('New Hires Forecast'!$H$5:$H$85&gt;=Software!AQ$3),'New Hires Forecast'!$R$5:$R$85,'New Hires Forecast'!$L$5:$L$85)/12),0),"New Year"))))),0)</f>
        <v>3090</v>
      </c>
      <c r="AR15" s="668">
        <f>IF(AR$4="forecast",IF(YEAR(AR$3)=YEAR('New Hires Forecast'!$N$3),IF((AR$5&lt;=12),(SUMPRODUCT(--('New Hires Forecast'!$F$5:$F$85="Software"),--('New Hires Forecast'!$H$5:$H$85&gt;=Software!AR$3),'New Hires Forecast'!$N$5:$N$85,'New Hires Forecast'!$L$5:$L$85)/12),0),IF(YEAR(AR$3)=YEAR('New Hires Forecast'!$O$3),IF((AR$5&lt;=12),(SUMPRODUCT(--('New Hires Forecast'!$F$5:$F$85="Software"),--('New Hires Forecast'!$H$5:$H$85&gt;=Software!AR$3),'New Hires Forecast'!$O$5:$O$85,'New Hires Forecast'!$L$5:$L$85)/12),0),IF(YEAR(AR$3)=YEAR('New Hires Forecast'!$P$3),IF((AR$5&lt;=12),(SUMPRODUCT(--('New Hires Forecast'!$F$5:$F$85="Software"),--('New Hires Forecast'!$H$5:$H$85&gt;=Software!AR$3),'New Hires Forecast'!$P$5:$P$85,'New Hires Forecast'!$L$5:$L$85)/12),0),IF(YEAR(AR$3)=YEAR('New Hires Forecast'!$Q$3),IF((AR$5&lt;=12),(SUMPRODUCT(--('New Hires Forecast'!$F$5:$F$85="Software"),--('New Hires Forecast'!$H$5:$H$85&gt;=Software!AR$3),'New Hires Forecast'!$Q$5:$Q$85,'New Hires Forecast'!$L$5:$L$85)/12),0),IF(YEAR(AR$3)=YEAR('New Hires Forecast'!$R$3),IF((AR$5&lt;=12),(SUMPRODUCT(--('New Hires Forecast'!$F$5:$F$85="Software"),--('New Hires Forecast'!$H$5:$H$85&gt;=Software!AR$3),'New Hires Forecast'!$R$5:$R$85,'New Hires Forecast'!$L$5:$L$85)/12),0),"New Year"))))),0)</f>
        <v>3090</v>
      </c>
      <c r="AS15" s="668">
        <f>IF(AS$4="forecast",IF(YEAR(AS$3)=YEAR('New Hires Forecast'!$N$3),IF((AS$5&lt;=12),(SUMPRODUCT(--('New Hires Forecast'!$F$5:$F$85="Software"),--('New Hires Forecast'!$H$5:$H$85&gt;=Software!AS$3),'New Hires Forecast'!$N$5:$N$85,'New Hires Forecast'!$L$5:$L$85)/12),0),IF(YEAR(AS$3)=YEAR('New Hires Forecast'!$O$3),IF((AS$5&lt;=12),(SUMPRODUCT(--('New Hires Forecast'!$F$5:$F$85="Software"),--('New Hires Forecast'!$H$5:$H$85&gt;=Software!AS$3),'New Hires Forecast'!$O$5:$O$85,'New Hires Forecast'!$L$5:$L$85)/12),0),IF(YEAR(AS$3)=YEAR('New Hires Forecast'!$P$3),IF((AS$5&lt;=12),(SUMPRODUCT(--('New Hires Forecast'!$F$5:$F$85="Software"),--('New Hires Forecast'!$H$5:$H$85&gt;=Software!AS$3),'New Hires Forecast'!$P$5:$P$85,'New Hires Forecast'!$L$5:$L$85)/12),0),IF(YEAR(AS$3)=YEAR('New Hires Forecast'!$Q$3),IF((AS$5&lt;=12),(SUMPRODUCT(--('New Hires Forecast'!$F$5:$F$85="Software"),--('New Hires Forecast'!$H$5:$H$85&gt;=Software!AS$3),'New Hires Forecast'!$Q$5:$Q$85,'New Hires Forecast'!$L$5:$L$85)/12),0),IF(YEAR(AS$3)=YEAR('New Hires Forecast'!$R$3),IF((AS$5&lt;=12),(SUMPRODUCT(--('New Hires Forecast'!$F$5:$F$85="Software"),--('New Hires Forecast'!$H$5:$H$85&gt;=Software!AS$3),'New Hires Forecast'!$R$5:$R$85,'New Hires Forecast'!$L$5:$L$85)/12),0),"New Year"))))),0)</f>
        <v>3090</v>
      </c>
      <c r="AT15" s="668">
        <f>IF(AT$4="forecast",IF(YEAR(AT$3)=YEAR('New Hires Forecast'!$N$3),IF((AT$5&lt;=12),(SUMPRODUCT(--('New Hires Forecast'!$F$5:$F$85="Software"),--('New Hires Forecast'!$H$5:$H$85&gt;=Software!AT$3),'New Hires Forecast'!$N$5:$N$85,'New Hires Forecast'!$L$5:$L$85)/12),0),IF(YEAR(AT$3)=YEAR('New Hires Forecast'!$O$3),IF((AT$5&lt;=12),(SUMPRODUCT(--('New Hires Forecast'!$F$5:$F$85="Software"),--('New Hires Forecast'!$H$5:$H$85&gt;=Software!AT$3),'New Hires Forecast'!$O$5:$O$85,'New Hires Forecast'!$L$5:$L$85)/12),0),IF(YEAR(AT$3)=YEAR('New Hires Forecast'!$P$3),IF((AT$5&lt;=12),(SUMPRODUCT(--('New Hires Forecast'!$F$5:$F$85="Software"),--('New Hires Forecast'!$H$5:$H$85&gt;=Software!AT$3),'New Hires Forecast'!$P$5:$P$85,'New Hires Forecast'!$L$5:$L$85)/12),0),IF(YEAR(AT$3)=YEAR('New Hires Forecast'!$Q$3),IF((AT$5&lt;=12),(SUMPRODUCT(--('New Hires Forecast'!$F$5:$F$85="Software"),--('New Hires Forecast'!$H$5:$H$85&gt;=Software!AT$3),'New Hires Forecast'!$Q$5:$Q$85,'New Hires Forecast'!$L$5:$L$85)/12),0),IF(YEAR(AT$3)=YEAR('New Hires Forecast'!$R$3),IF((AT$5&lt;=12),(SUMPRODUCT(--('New Hires Forecast'!$F$5:$F$85="Software"),--('New Hires Forecast'!$H$5:$H$85&gt;=Software!AT$3),'New Hires Forecast'!$R$5:$R$85,'New Hires Forecast'!$L$5:$L$85)/12),0),"New Year"))))),0)</f>
        <v>3090</v>
      </c>
      <c r="AU15" s="668">
        <f>IF(AU$4="forecast",IF(YEAR(AU$3)=YEAR('New Hires Forecast'!$N$3),IF((AU$5&lt;=12),(SUMPRODUCT(--('New Hires Forecast'!$F$5:$F$85="Software"),--('New Hires Forecast'!$H$5:$H$85&gt;=Software!AU$3),'New Hires Forecast'!$N$5:$N$85,'New Hires Forecast'!$L$5:$L$85)/12),0),IF(YEAR(AU$3)=YEAR('New Hires Forecast'!$O$3),IF((AU$5&lt;=12),(SUMPRODUCT(--('New Hires Forecast'!$F$5:$F$85="Software"),--('New Hires Forecast'!$H$5:$H$85&gt;=Software!AU$3),'New Hires Forecast'!$O$5:$O$85,'New Hires Forecast'!$L$5:$L$85)/12),0),IF(YEAR(AU$3)=YEAR('New Hires Forecast'!$P$3),IF((AU$5&lt;=12),(SUMPRODUCT(--('New Hires Forecast'!$F$5:$F$85="Software"),--('New Hires Forecast'!$H$5:$H$85&gt;=Software!AU$3),'New Hires Forecast'!$P$5:$P$85,'New Hires Forecast'!$L$5:$L$85)/12),0),IF(YEAR(AU$3)=YEAR('New Hires Forecast'!$Q$3),IF((AU$5&lt;=12),(SUMPRODUCT(--('New Hires Forecast'!$F$5:$F$85="Software"),--('New Hires Forecast'!$H$5:$H$85&gt;=Software!AU$3),'New Hires Forecast'!$Q$5:$Q$85,'New Hires Forecast'!$L$5:$L$85)/12),0),IF(YEAR(AU$3)=YEAR('New Hires Forecast'!$R$3),IF((AU$5&lt;=12),(SUMPRODUCT(--('New Hires Forecast'!$F$5:$F$85="Software"),--('New Hires Forecast'!$H$5:$H$85&gt;=Software!AU$3),'New Hires Forecast'!$R$5:$R$85,'New Hires Forecast'!$L$5:$L$85)/12),0),"New Year"))))),0)</f>
        <v>3090</v>
      </c>
      <c r="AV15" s="668">
        <f>IF(AV$4="forecast",IF(YEAR(AV$3)=YEAR('New Hires Forecast'!$N$3),IF((AV$5&lt;=12),(SUMPRODUCT(--('New Hires Forecast'!$F$5:$F$85="Software"),--('New Hires Forecast'!$H$5:$H$85&gt;=Software!AV$3),'New Hires Forecast'!$N$5:$N$85,'New Hires Forecast'!$L$5:$L$85)/12),0),IF(YEAR(AV$3)=YEAR('New Hires Forecast'!$O$3),IF((AV$5&lt;=12),(SUMPRODUCT(--('New Hires Forecast'!$F$5:$F$85="Software"),--('New Hires Forecast'!$H$5:$H$85&gt;=Software!AV$3),'New Hires Forecast'!$O$5:$O$85,'New Hires Forecast'!$L$5:$L$85)/12),0),IF(YEAR(AV$3)=YEAR('New Hires Forecast'!$P$3),IF((AV$5&lt;=12),(SUMPRODUCT(--('New Hires Forecast'!$F$5:$F$85="Software"),--('New Hires Forecast'!$H$5:$H$85&gt;=Software!AV$3),'New Hires Forecast'!$P$5:$P$85,'New Hires Forecast'!$L$5:$L$85)/12),0),IF(YEAR(AV$3)=YEAR('New Hires Forecast'!$Q$3),IF((AV$5&lt;=12),(SUMPRODUCT(--('New Hires Forecast'!$F$5:$F$85="Software"),--('New Hires Forecast'!$H$5:$H$85&gt;=Software!AV$3),'New Hires Forecast'!$Q$5:$Q$85,'New Hires Forecast'!$L$5:$L$85)/12),0),IF(YEAR(AV$3)=YEAR('New Hires Forecast'!$R$3),IF((AV$5&lt;=12),(SUMPRODUCT(--('New Hires Forecast'!$F$5:$F$85="Software"),--('New Hires Forecast'!$H$5:$H$85&gt;=Software!AV$3),'New Hires Forecast'!$R$5:$R$85,'New Hires Forecast'!$L$5:$L$85)/12),0),"New Year"))))),0)</f>
        <v>3090</v>
      </c>
      <c r="AW15" s="668">
        <f>IF(AW$4="forecast",IF(YEAR(AW$3)=YEAR('New Hires Forecast'!$N$3),IF((AW$5&lt;=12),(SUMPRODUCT(--('New Hires Forecast'!$F$5:$F$85="Software"),--('New Hires Forecast'!$H$5:$H$85&gt;=Software!AW$3),'New Hires Forecast'!$N$5:$N$85,'New Hires Forecast'!$L$5:$L$85)/12),0),IF(YEAR(AW$3)=YEAR('New Hires Forecast'!$O$3),IF((AW$5&lt;=12),(SUMPRODUCT(--('New Hires Forecast'!$F$5:$F$85="Software"),--('New Hires Forecast'!$H$5:$H$85&gt;=Software!AW$3),'New Hires Forecast'!$O$5:$O$85,'New Hires Forecast'!$L$5:$L$85)/12),0),IF(YEAR(AW$3)=YEAR('New Hires Forecast'!$P$3),IF((AW$5&lt;=12),(SUMPRODUCT(--('New Hires Forecast'!$F$5:$F$85="Software"),--('New Hires Forecast'!$H$5:$H$85&gt;=Software!AW$3),'New Hires Forecast'!$P$5:$P$85,'New Hires Forecast'!$L$5:$L$85)/12),0),IF(YEAR(AW$3)=YEAR('New Hires Forecast'!$Q$3),IF((AW$5&lt;=12),(SUMPRODUCT(--('New Hires Forecast'!$F$5:$F$85="Software"),--('New Hires Forecast'!$H$5:$H$85&gt;=Software!AW$3),'New Hires Forecast'!$Q$5:$Q$85,'New Hires Forecast'!$L$5:$L$85)/12),0),IF(YEAR(AW$3)=YEAR('New Hires Forecast'!$R$3),IF((AW$5&lt;=12),(SUMPRODUCT(--('New Hires Forecast'!$F$5:$F$85="Software"),--('New Hires Forecast'!$H$5:$H$85&gt;=Software!AW$3),'New Hires Forecast'!$R$5:$R$85,'New Hires Forecast'!$L$5:$L$85)/12),0),"New Year"))))),0)</f>
        <v>3090</v>
      </c>
      <c r="AX15" s="668">
        <f>IF(AX$4="forecast",IF(YEAR(AX$3)=YEAR('New Hires Forecast'!$N$3),IF((AX$5&lt;=12),(SUMPRODUCT(--('New Hires Forecast'!$F$5:$F$85="Software"),--('New Hires Forecast'!$H$5:$H$85&gt;=Software!AX$3),'New Hires Forecast'!$N$5:$N$85,'New Hires Forecast'!$L$5:$L$85)/12),0),IF(YEAR(AX$3)=YEAR('New Hires Forecast'!$O$3),IF((AX$5&lt;=12),(SUMPRODUCT(--('New Hires Forecast'!$F$5:$F$85="Software"),--('New Hires Forecast'!$H$5:$H$85&gt;=Software!AX$3),'New Hires Forecast'!$O$5:$O$85,'New Hires Forecast'!$L$5:$L$85)/12),0),IF(YEAR(AX$3)=YEAR('New Hires Forecast'!$P$3),IF((AX$5&lt;=12),(SUMPRODUCT(--('New Hires Forecast'!$F$5:$F$85="Software"),--('New Hires Forecast'!$H$5:$H$85&gt;=Software!AX$3),'New Hires Forecast'!$P$5:$P$85,'New Hires Forecast'!$L$5:$L$85)/12),0),IF(YEAR(AX$3)=YEAR('New Hires Forecast'!$Q$3),IF((AX$5&lt;=12),(SUMPRODUCT(--('New Hires Forecast'!$F$5:$F$85="Software"),--('New Hires Forecast'!$H$5:$H$85&gt;=Software!AX$3),'New Hires Forecast'!$Q$5:$Q$85,'New Hires Forecast'!$L$5:$L$85)/12),0),IF(YEAR(AX$3)=YEAR('New Hires Forecast'!$R$3),IF((AX$5&lt;=12),(SUMPRODUCT(--('New Hires Forecast'!$F$5:$F$85="Software"),--('New Hires Forecast'!$H$5:$H$85&gt;=Software!AX$3),'New Hires Forecast'!$R$5:$R$85,'New Hires Forecast'!$L$5:$L$85)/12),0),"New Year"))))),0)</f>
        <v>3090</v>
      </c>
      <c r="AY15" s="668">
        <f>IF(AY$4="forecast",IF(YEAR(AY$3)=YEAR('New Hires Forecast'!$N$3),IF((AY$5&lt;=12),(SUMPRODUCT(--('New Hires Forecast'!$F$5:$F$85="Software"),--('New Hires Forecast'!$H$5:$H$85&gt;=Software!AY$3),'New Hires Forecast'!$N$5:$N$85,'New Hires Forecast'!$L$5:$L$85)/12),0),IF(YEAR(AY$3)=YEAR('New Hires Forecast'!$O$3),IF((AY$5&lt;=12),(SUMPRODUCT(--('New Hires Forecast'!$F$5:$F$85="Software"),--('New Hires Forecast'!$H$5:$H$85&gt;=Software!AY$3),'New Hires Forecast'!$O$5:$O$85,'New Hires Forecast'!$L$5:$L$85)/12),0),IF(YEAR(AY$3)=YEAR('New Hires Forecast'!$P$3),IF((AY$5&lt;=12),(SUMPRODUCT(--('New Hires Forecast'!$F$5:$F$85="Software"),--('New Hires Forecast'!$H$5:$H$85&gt;=Software!AY$3),'New Hires Forecast'!$P$5:$P$85,'New Hires Forecast'!$L$5:$L$85)/12),0),IF(YEAR(AY$3)=YEAR('New Hires Forecast'!$Q$3),IF((AY$5&lt;=12),(SUMPRODUCT(--('New Hires Forecast'!$F$5:$F$85="Software"),--('New Hires Forecast'!$H$5:$H$85&gt;=Software!AY$3),'New Hires Forecast'!$Q$5:$Q$85,'New Hires Forecast'!$L$5:$L$85)/12),0),IF(YEAR(AY$3)=YEAR('New Hires Forecast'!$R$3),IF((AY$5&lt;=12),(SUMPRODUCT(--('New Hires Forecast'!$F$5:$F$85="Software"),--('New Hires Forecast'!$H$5:$H$85&gt;=Software!AY$3),'New Hires Forecast'!$R$5:$R$85,'New Hires Forecast'!$L$5:$L$85)/12),0),"New Year"))))),0)</f>
        <v>3182.7000000000003</v>
      </c>
      <c r="AZ15" s="668">
        <f>IF(AZ$4="forecast",IF(YEAR(AZ$3)=YEAR('New Hires Forecast'!$N$3),IF((AZ$5&lt;=12),(SUMPRODUCT(--('New Hires Forecast'!$F$5:$F$85="Software"),--('New Hires Forecast'!$H$5:$H$85&gt;=Software!AZ$3),'New Hires Forecast'!$N$5:$N$85,'New Hires Forecast'!$L$5:$L$85)/12),0),IF(YEAR(AZ$3)=YEAR('New Hires Forecast'!$O$3),IF((AZ$5&lt;=12),(SUMPRODUCT(--('New Hires Forecast'!$F$5:$F$85="Software"),--('New Hires Forecast'!$H$5:$H$85&gt;=Software!AZ$3),'New Hires Forecast'!$O$5:$O$85,'New Hires Forecast'!$L$5:$L$85)/12),0),IF(YEAR(AZ$3)=YEAR('New Hires Forecast'!$P$3),IF((AZ$5&lt;=12),(SUMPRODUCT(--('New Hires Forecast'!$F$5:$F$85="Software"),--('New Hires Forecast'!$H$5:$H$85&gt;=Software!AZ$3),'New Hires Forecast'!$P$5:$P$85,'New Hires Forecast'!$L$5:$L$85)/12),0),IF(YEAR(AZ$3)=YEAR('New Hires Forecast'!$Q$3),IF((AZ$5&lt;=12),(SUMPRODUCT(--('New Hires Forecast'!$F$5:$F$85="Software"),--('New Hires Forecast'!$H$5:$H$85&gt;=Software!AZ$3),'New Hires Forecast'!$Q$5:$Q$85,'New Hires Forecast'!$L$5:$L$85)/12),0),IF(YEAR(AZ$3)=YEAR('New Hires Forecast'!$R$3),IF((AZ$5&lt;=12),(SUMPRODUCT(--('New Hires Forecast'!$F$5:$F$85="Software"),--('New Hires Forecast'!$H$5:$H$85&gt;=Software!AZ$3),'New Hires Forecast'!$R$5:$R$85,'New Hires Forecast'!$L$5:$L$85)/12),0),"New Year"))))),0)</f>
        <v>3182.7000000000003</v>
      </c>
      <c r="BA15" s="668">
        <f>IF(BA$4="forecast",IF(YEAR(BA$3)=YEAR('New Hires Forecast'!$N$3),IF((BA$5&lt;=12),(SUMPRODUCT(--('New Hires Forecast'!$F$5:$F$85="Software"),--('New Hires Forecast'!$H$5:$H$85&gt;=Software!BA$3),'New Hires Forecast'!$N$5:$N$85,'New Hires Forecast'!$L$5:$L$85)/12),0),IF(YEAR(BA$3)=YEAR('New Hires Forecast'!$O$3),IF((BA$5&lt;=12),(SUMPRODUCT(--('New Hires Forecast'!$F$5:$F$85="Software"),--('New Hires Forecast'!$H$5:$H$85&gt;=Software!BA$3),'New Hires Forecast'!$O$5:$O$85,'New Hires Forecast'!$L$5:$L$85)/12),0),IF(YEAR(BA$3)=YEAR('New Hires Forecast'!$P$3),IF((BA$5&lt;=12),(SUMPRODUCT(--('New Hires Forecast'!$F$5:$F$85="Software"),--('New Hires Forecast'!$H$5:$H$85&gt;=Software!BA$3),'New Hires Forecast'!$P$5:$P$85,'New Hires Forecast'!$L$5:$L$85)/12),0),IF(YEAR(BA$3)=YEAR('New Hires Forecast'!$Q$3),IF((BA$5&lt;=12),(SUMPRODUCT(--('New Hires Forecast'!$F$5:$F$85="Software"),--('New Hires Forecast'!$H$5:$H$85&gt;=Software!BA$3),'New Hires Forecast'!$Q$5:$Q$85,'New Hires Forecast'!$L$5:$L$85)/12),0),IF(YEAR(BA$3)=YEAR('New Hires Forecast'!$R$3),IF((BA$5&lt;=12),(SUMPRODUCT(--('New Hires Forecast'!$F$5:$F$85="Software"),--('New Hires Forecast'!$H$5:$H$85&gt;=Software!BA$3),'New Hires Forecast'!$R$5:$R$85,'New Hires Forecast'!$L$5:$L$85)/12),0),"New Year"))))),0)</f>
        <v>3182.7000000000003</v>
      </c>
      <c r="BB15" s="668">
        <f>IF(BB$4="forecast",IF(YEAR(BB$3)=YEAR('New Hires Forecast'!$N$3),IF((BB$5&lt;=12),(SUMPRODUCT(--('New Hires Forecast'!$F$5:$F$85="Software"),--('New Hires Forecast'!$H$5:$H$85&gt;=Software!BB$3),'New Hires Forecast'!$N$5:$N$85,'New Hires Forecast'!$L$5:$L$85)/12),0),IF(YEAR(BB$3)=YEAR('New Hires Forecast'!$O$3),IF((BB$5&lt;=12),(SUMPRODUCT(--('New Hires Forecast'!$F$5:$F$85="Software"),--('New Hires Forecast'!$H$5:$H$85&gt;=Software!BB$3),'New Hires Forecast'!$O$5:$O$85,'New Hires Forecast'!$L$5:$L$85)/12),0),IF(YEAR(BB$3)=YEAR('New Hires Forecast'!$P$3),IF((BB$5&lt;=12),(SUMPRODUCT(--('New Hires Forecast'!$F$5:$F$85="Software"),--('New Hires Forecast'!$H$5:$H$85&gt;=Software!BB$3),'New Hires Forecast'!$P$5:$P$85,'New Hires Forecast'!$L$5:$L$85)/12),0),IF(YEAR(BB$3)=YEAR('New Hires Forecast'!$Q$3),IF((BB$5&lt;=12),(SUMPRODUCT(--('New Hires Forecast'!$F$5:$F$85="Software"),--('New Hires Forecast'!$H$5:$H$85&gt;=Software!BB$3),'New Hires Forecast'!$Q$5:$Q$85,'New Hires Forecast'!$L$5:$L$85)/12),0),IF(YEAR(BB$3)=YEAR('New Hires Forecast'!$R$3),IF((BB$5&lt;=12),(SUMPRODUCT(--('New Hires Forecast'!$F$5:$F$85="Software"),--('New Hires Forecast'!$H$5:$H$85&gt;=Software!BB$3),'New Hires Forecast'!$R$5:$R$85,'New Hires Forecast'!$L$5:$L$85)/12),0),"New Year"))))),0)</f>
        <v>3182.7000000000003</v>
      </c>
      <c r="BC15" s="668">
        <f>IF(BC$4="forecast",IF(YEAR(BC$3)=YEAR('New Hires Forecast'!$N$3),IF((BC$5&lt;=12),(SUMPRODUCT(--('New Hires Forecast'!$F$5:$F$85="Software"),--('New Hires Forecast'!$H$5:$H$85&gt;=Software!BC$3),'New Hires Forecast'!$N$5:$N$85,'New Hires Forecast'!$L$5:$L$85)/12),0),IF(YEAR(BC$3)=YEAR('New Hires Forecast'!$O$3),IF((BC$5&lt;=12),(SUMPRODUCT(--('New Hires Forecast'!$F$5:$F$85="Software"),--('New Hires Forecast'!$H$5:$H$85&gt;=Software!BC$3),'New Hires Forecast'!$O$5:$O$85,'New Hires Forecast'!$L$5:$L$85)/12),0),IF(YEAR(BC$3)=YEAR('New Hires Forecast'!$P$3),IF((BC$5&lt;=12),(SUMPRODUCT(--('New Hires Forecast'!$F$5:$F$85="Software"),--('New Hires Forecast'!$H$5:$H$85&gt;=Software!BC$3),'New Hires Forecast'!$P$5:$P$85,'New Hires Forecast'!$L$5:$L$85)/12),0),IF(YEAR(BC$3)=YEAR('New Hires Forecast'!$Q$3),IF((BC$5&lt;=12),(SUMPRODUCT(--('New Hires Forecast'!$F$5:$F$85="Software"),--('New Hires Forecast'!$H$5:$H$85&gt;=Software!BC$3),'New Hires Forecast'!$Q$5:$Q$85,'New Hires Forecast'!$L$5:$L$85)/12),0),IF(YEAR(BC$3)=YEAR('New Hires Forecast'!$R$3),IF((BC$5&lt;=12),(SUMPRODUCT(--('New Hires Forecast'!$F$5:$F$85="Software"),--('New Hires Forecast'!$H$5:$H$85&gt;=Software!BC$3),'New Hires Forecast'!$R$5:$R$85,'New Hires Forecast'!$L$5:$L$85)/12),0),"New Year"))))),0)</f>
        <v>3182.7000000000003</v>
      </c>
      <c r="BD15" s="668">
        <f>IF(BD$4="forecast",IF(YEAR(BD$3)=YEAR('New Hires Forecast'!$N$3),IF((BD$5&lt;=12),(SUMPRODUCT(--('New Hires Forecast'!$F$5:$F$85="Software"),--('New Hires Forecast'!$H$5:$H$85&gt;=Software!BD$3),'New Hires Forecast'!$N$5:$N$85,'New Hires Forecast'!$L$5:$L$85)/12),0),IF(YEAR(BD$3)=YEAR('New Hires Forecast'!$O$3),IF((BD$5&lt;=12),(SUMPRODUCT(--('New Hires Forecast'!$F$5:$F$85="Software"),--('New Hires Forecast'!$H$5:$H$85&gt;=Software!BD$3),'New Hires Forecast'!$O$5:$O$85,'New Hires Forecast'!$L$5:$L$85)/12),0),IF(YEAR(BD$3)=YEAR('New Hires Forecast'!$P$3),IF((BD$5&lt;=12),(SUMPRODUCT(--('New Hires Forecast'!$F$5:$F$85="Software"),--('New Hires Forecast'!$H$5:$H$85&gt;=Software!BD$3),'New Hires Forecast'!$P$5:$P$85,'New Hires Forecast'!$L$5:$L$85)/12),0),IF(YEAR(BD$3)=YEAR('New Hires Forecast'!$Q$3),IF((BD$5&lt;=12),(SUMPRODUCT(--('New Hires Forecast'!$F$5:$F$85="Software"),--('New Hires Forecast'!$H$5:$H$85&gt;=Software!BD$3),'New Hires Forecast'!$Q$5:$Q$85,'New Hires Forecast'!$L$5:$L$85)/12),0),IF(YEAR(BD$3)=YEAR('New Hires Forecast'!$R$3),IF((BD$5&lt;=12),(SUMPRODUCT(--('New Hires Forecast'!$F$5:$F$85="Software"),--('New Hires Forecast'!$H$5:$H$85&gt;=Software!BD$3),'New Hires Forecast'!$R$5:$R$85,'New Hires Forecast'!$L$5:$L$85)/12),0),"New Year"))))),0)</f>
        <v>3182.7000000000003</v>
      </c>
      <c r="BE15" s="668">
        <f>IF(BE$4="forecast",IF(YEAR(BE$3)=YEAR('New Hires Forecast'!$N$3),IF((BE$5&lt;=12),(SUMPRODUCT(--('New Hires Forecast'!$F$5:$F$85="Software"),--('New Hires Forecast'!$H$5:$H$85&gt;=Software!BE$3),'New Hires Forecast'!$N$5:$N$85,'New Hires Forecast'!$L$5:$L$85)/12),0),IF(YEAR(BE$3)=YEAR('New Hires Forecast'!$O$3),IF((BE$5&lt;=12),(SUMPRODUCT(--('New Hires Forecast'!$F$5:$F$85="Software"),--('New Hires Forecast'!$H$5:$H$85&gt;=Software!BE$3),'New Hires Forecast'!$O$5:$O$85,'New Hires Forecast'!$L$5:$L$85)/12),0),IF(YEAR(BE$3)=YEAR('New Hires Forecast'!$P$3),IF((BE$5&lt;=12),(SUMPRODUCT(--('New Hires Forecast'!$F$5:$F$85="Software"),--('New Hires Forecast'!$H$5:$H$85&gt;=Software!BE$3),'New Hires Forecast'!$P$5:$P$85,'New Hires Forecast'!$L$5:$L$85)/12),0),IF(YEAR(BE$3)=YEAR('New Hires Forecast'!$Q$3),IF((BE$5&lt;=12),(SUMPRODUCT(--('New Hires Forecast'!$F$5:$F$85="Software"),--('New Hires Forecast'!$H$5:$H$85&gt;=Software!BE$3),'New Hires Forecast'!$Q$5:$Q$85,'New Hires Forecast'!$L$5:$L$85)/12),0),IF(YEAR(BE$3)=YEAR('New Hires Forecast'!$R$3),IF((BE$5&lt;=12),(SUMPRODUCT(--('New Hires Forecast'!$F$5:$F$85="Software"),--('New Hires Forecast'!$H$5:$H$85&gt;=Software!BE$3),'New Hires Forecast'!$R$5:$R$85,'New Hires Forecast'!$L$5:$L$85)/12),0),"New Year"))))),0)</f>
        <v>3182.7000000000003</v>
      </c>
      <c r="BF15" s="668">
        <f>IF(BF$4="forecast",IF(YEAR(BF$3)=YEAR('New Hires Forecast'!$N$3),IF((BF$5&lt;=12),(SUMPRODUCT(--('New Hires Forecast'!$F$5:$F$85="Software"),--('New Hires Forecast'!$H$5:$H$85&gt;=Software!BF$3),'New Hires Forecast'!$N$5:$N$85,'New Hires Forecast'!$L$5:$L$85)/12),0),IF(YEAR(BF$3)=YEAR('New Hires Forecast'!$O$3),IF((BF$5&lt;=12),(SUMPRODUCT(--('New Hires Forecast'!$F$5:$F$85="Software"),--('New Hires Forecast'!$H$5:$H$85&gt;=Software!BF$3),'New Hires Forecast'!$O$5:$O$85,'New Hires Forecast'!$L$5:$L$85)/12),0),IF(YEAR(BF$3)=YEAR('New Hires Forecast'!$P$3),IF((BF$5&lt;=12),(SUMPRODUCT(--('New Hires Forecast'!$F$5:$F$85="Software"),--('New Hires Forecast'!$H$5:$H$85&gt;=Software!BF$3),'New Hires Forecast'!$P$5:$P$85,'New Hires Forecast'!$L$5:$L$85)/12),0),IF(YEAR(BF$3)=YEAR('New Hires Forecast'!$Q$3),IF((BF$5&lt;=12),(SUMPRODUCT(--('New Hires Forecast'!$F$5:$F$85="Software"),--('New Hires Forecast'!$H$5:$H$85&gt;=Software!BF$3),'New Hires Forecast'!$Q$5:$Q$85,'New Hires Forecast'!$L$5:$L$85)/12),0),IF(YEAR(BF$3)=YEAR('New Hires Forecast'!$R$3),IF((BF$5&lt;=12),(SUMPRODUCT(--('New Hires Forecast'!$F$5:$F$85="Software"),--('New Hires Forecast'!$H$5:$H$85&gt;=Software!BF$3),'New Hires Forecast'!$R$5:$R$85,'New Hires Forecast'!$L$5:$L$85)/12),0),"New Year"))))),0)</f>
        <v>3182.7000000000003</v>
      </c>
      <c r="BG15" s="668">
        <f>IF(BG$4="forecast",IF(YEAR(BG$3)=YEAR('New Hires Forecast'!$N$3),IF((BG$5&lt;=12),(SUMPRODUCT(--('New Hires Forecast'!$F$5:$F$85="Software"),--('New Hires Forecast'!$H$5:$H$85&gt;=Software!BG$3),'New Hires Forecast'!$N$5:$N$85,'New Hires Forecast'!$L$5:$L$85)/12),0),IF(YEAR(BG$3)=YEAR('New Hires Forecast'!$O$3),IF((BG$5&lt;=12),(SUMPRODUCT(--('New Hires Forecast'!$F$5:$F$85="Software"),--('New Hires Forecast'!$H$5:$H$85&gt;=Software!BG$3),'New Hires Forecast'!$O$5:$O$85,'New Hires Forecast'!$L$5:$L$85)/12),0),IF(YEAR(BG$3)=YEAR('New Hires Forecast'!$P$3),IF((BG$5&lt;=12),(SUMPRODUCT(--('New Hires Forecast'!$F$5:$F$85="Software"),--('New Hires Forecast'!$H$5:$H$85&gt;=Software!BG$3),'New Hires Forecast'!$P$5:$P$85,'New Hires Forecast'!$L$5:$L$85)/12),0),IF(YEAR(BG$3)=YEAR('New Hires Forecast'!$Q$3),IF((BG$5&lt;=12),(SUMPRODUCT(--('New Hires Forecast'!$F$5:$F$85="Software"),--('New Hires Forecast'!$H$5:$H$85&gt;=Software!BG$3),'New Hires Forecast'!$Q$5:$Q$85,'New Hires Forecast'!$L$5:$L$85)/12),0),IF(YEAR(BG$3)=YEAR('New Hires Forecast'!$R$3),IF((BG$5&lt;=12),(SUMPRODUCT(--('New Hires Forecast'!$F$5:$F$85="Software"),--('New Hires Forecast'!$H$5:$H$85&gt;=Software!BG$3),'New Hires Forecast'!$R$5:$R$85,'New Hires Forecast'!$L$5:$L$85)/12),0),"New Year"))))),0)</f>
        <v>3182.7000000000003</v>
      </c>
      <c r="BH15" s="668">
        <f>IF(BH$4="forecast",IF(YEAR(BH$3)=YEAR('New Hires Forecast'!$N$3),IF((BH$5&lt;=12),(SUMPRODUCT(--('New Hires Forecast'!$F$5:$F$85="Software"),--('New Hires Forecast'!$H$5:$H$85&gt;=Software!BH$3),'New Hires Forecast'!$N$5:$N$85,'New Hires Forecast'!$L$5:$L$85)/12),0),IF(YEAR(BH$3)=YEAR('New Hires Forecast'!$O$3),IF((BH$5&lt;=12),(SUMPRODUCT(--('New Hires Forecast'!$F$5:$F$85="Software"),--('New Hires Forecast'!$H$5:$H$85&gt;=Software!BH$3),'New Hires Forecast'!$O$5:$O$85,'New Hires Forecast'!$L$5:$L$85)/12),0),IF(YEAR(BH$3)=YEAR('New Hires Forecast'!$P$3),IF((BH$5&lt;=12),(SUMPRODUCT(--('New Hires Forecast'!$F$5:$F$85="Software"),--('New Hires Forecast'!$H$5:$H$85&gt;=Software!BH$3),'New Hires Forecast'!$P$5:$P$85,'New Hires Forecast'!$L$5:$L$85)/12),0),IF(YEAR(BH$3)=YEAR('New Hires Forecast'!$Q$3),IF((BH$5&lt;=12),(SUMPRODUCT(--('New Hires Forecast'!$F$5:$F$85="Software"),--('New Hires Forecast'!$H$5:$H$85&gt;=Software!BH$3),'New Hires Forecast'!$Q$5:$Q$85,'New Hires Forecast'!$L$5:$L$85)/12),0),IF(YEAR(BH$3)=YEAR('New Hires Forecast'!$R$3),IF((BH$5&lt;=12),(SUMPRODUCT(--('New Hires Forecast'!$F$5:$F$85="Software"),--('New Hires Forecast'!$H$5:$H$85&gt;=Software!BH$3),'New Hires Forecast'!$R$5:$R$85,'New Hires Forecast'!$L$5:$L$85)/12),0),"New Year"))))),0)</f>
        <v>3182.7000000000003</v>
      </c>
      <c r="BI15" s="668">
        <f>IF(BI$4="forecast",IF(YEAR(BI$3)=YEAR('New Hires Forecast'!$N$3),IF((BI$5&lt;=12),(SUMPRODUCT(--('New Hires Forecast'!$F$5:$F$85="Software"),--('New Hires Forecast'!$H$5:$H$85&gt;=Software!BI$3),'New Hires Forecast'!$N$5:$N$85,'New Hires Forecast'!$L$5:$L$85)/12),0),IF(YEAR(BI$3)=YEAR('New Hires Forecast'!$O$3),IF((BI$5&lt;=12),(SUMPRODUCT(--('New Hires Forecast'!$F$5:$F$85="Software"),--('New Hires Forecast'!$H$5:$H$85&gt;=Software!BI$3),'New Hires Forecast'!$O$5:$O$85,'New Hires Forecast'!$L$5:$L$85)/12),0),IF(YEAR(BI$3)=YEAR('New Hires Forecast'!$P$3),IF((BI$5&lt;=12),(SUMPRODUCT(--('New Hires Forecast'!$F$5:$F$85="Software"),--('New Hires Forecast'!$H$5:$H$85&gt;=Software!BI$3),'New Hires Forecast'!$P$5:$P$85,'New Hires Forecast'!$L$5:$L$85)/12),0),IF(YEAR(BI$3)=YEAR('New Hires Forecast'!$Q$3),IF((BI$5&lt;=12),(SUMPRODUCT(--('New Hires Forecast'!$F$5:$F$85="Software"),--('New Hires Forecast'!$H$5:$H$85&gt;=Software!BI$3),'New Hires Forecast'!$Q$5:$Q$85,'New Hires Forecast'!$L$5:$L$85)/12),0),IF(YEAR(BI$3)=YEAR('New Hires Forecast'!$R$3),IF((BI$5&lt;=12),(SUMPRODUCT(--('New Hires Forecast'!$F$5:$F$85="Software"),--('New Hires Forecast'!$H$5:$H$85&gt;=Software!BI$3),'New Hires Forecast'!$R$5:$R$85,'New Hires Forecast'!$L$5:$L$85)/12),0),"New Year"))))),0)</f>
        <v>3182.7000000000003</v>
      </c>
      <c r="BJ15" s="668">
        <f>IF(BJ$4="forecast",IF(YEAR(BJ$3)=YEAR('New Hires Forecast'!$N$3),IF((BJ$5&lt;=12),(SUMPRODUCT(--('New Hires Forecast'!$F$5:$F$85="Software"),--('New Hires Forecast'!$H$5:$H$85&gt;=Software!BJ$3),'New Hires Forecast'!$N$5:$N$85,'New Hires Forecast'!$L$5:$L$85)/12),0),IF(YEAR(BJ$3)=YEAR('New Hires Forecast'!$O$3),IF((BJ$5&lt;=12),(SUMPRODUCT(--('New Hires Forecast'!$F$5:$F$85="Software"),--('New Hires Forecast'!$H$5:$H$85&gt;=Software!BJ$3),'New Hires Forecast'!$O$5:$O$85,'New Hires Forecast'!$L$5:$L$85)/12),0),IF(YEAR(BJ$3)=YEAR('New Hires Forecast'!$P$3),IF((BJ$5&lt;=12),(SUMPRODUCT(--('New Hires Forecast'!$F$5:$F$85="Software"),--('New Hires Forecast'!$H$5:$H$85&gt;=Software!BJ$3),'New Hires Forecast'!$P$5:$P$85,'New Hires Forecast'!$L$5:$L$85)/12),0),IF(YEAR(BJ$3)=YEAR('New Hires Forecast'!$Q$3),IF((BJ$5&lt;=12),(SUMPRODUCT(--('New Hires Forecast'!$F$5:$F$85="Software"),--('New Hires Forecast'!$H$5:$H$85&gt;=Software!BJ$3),'New Hires Forecast'!$Q$5:$Q$85,'New Hires Forecast'!$L$5:$L$85)/12),0),IF(YEAR(BJ$3)=YEAR('New Hires Forecast'!$R$3),IF((BJ$5&lt;=12),(SUMPRODUCT(--('New Hires Forecast'!$F$5:$F$85="Software"),--('New Hires Forecast'!$H$5:$H$85&gt;=Software!BJ$3),'New Hires Forecast'!$R$5:$R$85,'New Hires Forecast'!$L$5:$L$85)/12),0),"New Year"))))),0)</f>
        <v>3182.7000000000003</v>
      </c>
      <c r="BK15" s="668">
        <f>IF(BK$4="forecast",IF(YEAR(BK$3)=YEAR('New Hires Forecast'!$N$3),IF((BK$5&lt;=12),(SUMPRODUCT(--('New Hires Forecast'!$F$5:$F$85="Software"),--('New Hires Forecast'!$H$5:$H$85&gt;=Software!BK$3),'New Hires Forecast'!$N$5:$N$85,'New Hires Forecast'!$L$5:$L$85)/12),0),IF(YEAR(BK$3)=YEAR('New Hires Forecast'!$O$3),IF((BK$5&lt;=12),(SUMPRODUCT(--('New Hires Forecast'!$F$5:$F$85="Software"),--('New Hires Forecast'!$H$5:$H$85&gt;=Software!BK$3),'New Hires Forecast'!$O$5:$O$85,'New Hires Forecast'!$L$5:$L$85)/12),0),IF(YEAR(BK$3)=YEAR('New Hires Forecast'!$P$3),IF((BK$5&lt;=12),(SUMPRODUCT(--('New Hires Forecast'!$F$5:$F$85="Software"),--('New Hires Forecast'!$H$5:$H$85&gt;=Software!BK$3),'New Hires Forecast'!$P$5:$P$85,'New Hires Forecast'!$L$5:$L$85)/12),0),IF(YEAR(BK$3)=YEAR('New Hires Forecast'!$Q$3),IF((BK$5&lt;=12),(SUMPRODUCT(--('New Hires Forecast'!$F$5:$F$85="Software"),--('New Hires Forecast'!$H$5:$H$85&gt;=Software!BK$3),'New Hires Forecast'!$Q$5:$Q$85,'New Hires Forecast'!$L$5:$L$85)/12),0),IF(YEAR(BK$3)=YEAR('New Hires Forecast'!$R$3),IF((BK$5&lt;=12),(SUMPRODUCT(--('New Hires Forecast'!$F$5:$F$85="Software"),--('New Hires Forecast'!$H$5:$H$85&gt;=Software!BK$3),'New Hires Forecast'!$R$5:$R$85,'New Hires Forecast'!$L$5:$L$85)/12),0),"New Year"))))),0)</f>
        <v>3278.181</v>
      </c>
      <c r="BL15" s="668">
        <f>IF(BL$4="forecast",IF(YEAR(BL$3)=YEAR('New Hires Forecast'!$N$3),IF((BL$5&lt;=12),(SUMPRODUCT(--('New Hires Forecast'!$F$5:$F$85="Software"),--('New Hires Forecast'!$H$5:$H$85&gt;=Software!BL$3),'New Hires Forecast'!$N$5:$N$85,'New Hires Forecast'!$L$5:$L$85)/12),0),IF(YEAR(BL$3)=YEAR('New Hires Forecast'!$O$3),IF((BL$5&lt;=12),(SUMPRODUCT(--('New Hires Forecast'!$F$5:$F$85="Software"),--('New Hires Forecast'!$H$5:$H$85&gt;=Software!BL$3),'New Hires Forecast'!$O$5:$O$85,'New Hires Forecast'!$L$5:$L$85)/12),0),IF(YEAR(BL$3)=YEAR('New Hires Forecast'!$P$3),IF((BL$5&lt;=12),(SUMPRODUCT(--('New Hires Forecast'!$F$5:$F$85="Software"),--('New Hires Forecast'!$H$5:$H$85&gt;=Software!BL$3),'New Hires Forecast'!$P$5:$P$85,'New Hires Forecast'!$L$5:$L$85)/12),0),IF(YEAR(BL$3)=YEAR('New Hires Forecast'!$Q$3),IF((BL$5&lt;=12),(SUMPRODUCT(--('New Hires Forecast'!$F$5:$F$85="Software"),--('New Hires Forecast'!$H$5:$H$85&gt;=Software!BL$3),'New Hires Forecast'!$Q$5:$Q$85,'New Hires Forecast'!$L$5:$L$85)/12),0),IF(YEAR(BL$3)=YEAR('New Hires Forecast'!$R$3),IF((BL$5&lt;=12),(SUMPRODUCT(--('New Hires Forecast'!$F$5:$F$85="Software"),--('New Hires Forecast'!$H$5:$H$85&gt;=Software!BL$3),'New Hires Forecast'!$R$5:$R$85,'New Hires Forecast'!$L$5:$L$85)/12),0),"New Year"))))),0)</f>
        <v>3278.181</v>
      </c>
      <c r="BM15" s="668">
        <f>IF(BM$4="forecast",IF(YEAR(BM$3)=YEAR('New Hires Forecast'!$N$3),IF((BM$5&lt;=12),(SUMPRODUCT(--('New Hires Forecast'!$F$5:$F$85="Software"),--('New Hires Forecast'!$H$5:$H$85&gt;=Software!BM$3),'New Hires Forecast'!$N$5:$N$85,'New Hires Forecast'!$L$5:$L$85)/12),0),IF(YEAR(BM$3)=YEAR('New Hires Forecast'!$O$3),IF((BM$5&lt;=12),(SUMPRODUCT(--('New Hires Forecast'!$F$5:$F$85="Software"),--('New Hires Forecast'!$H$5:$H$85&gt;=Software!BM$3),'New Hires Forecast'!$O$5:$O$85,'New Hires Forecast'!$L$5:$L$85)/12),0),IF(YEAR(BM$3)=YEAR('New Hires Forecast'!$P$3),IF((BM$5&lt;=12),(SUMPRODUCT(--('New Hires Forecast'!$F$5:$F$85="Software"),--('New Hires Forecast'!$H$5:$H$85&gt;=Software!BM$3),'New Hires Forecast'!$P$5:$P$85,'New Hires Forecast'!$L$5:$L$85)/12),0),IF(YEAR(BM$3)=YEAR('New Hires Forecast'!$Q$3),IF((BM$5&lt;=12),(SUMPRODUCT(--('New Hires Forecast'!$F$5:$F$85="Software"),--('New Hires Forecast'!$H$5:$H$85&gt;=Software!BM$3),'New Hires Forecast'!$Q$5:$Q$85,'New Hires Forecast'!$L$5:$L$85)/12),0),IF(YEAR(BM$3)=YEAR('New Hires Forecast'!$R$3),IF((BM$5&lt;=12),(SUMPRODUCT(--('New Hires Forecast'!$F$5:$F$85="Software"),--('New Hires Forecast'!$H$5:$H$85&gt;=Software!BM$3),'New Hires Forecast'!$R$5:$R$85,'New Hires Forecast'!$L$5:$L$85)/12),0),"New Year"))))),0)</f>
        <v>3278.181</v>
      </c>
      <c r="BN15" s="668">
        <f>IF(BN$4="forecast",IF(YEAR(BN$3)=YEAR('New Hires Forecast'!$N$3),IF((BN$5&lt;=12),(SUMPRODUCT(--('New Hires Forecast'!$F$5:$F$85="Software"),--('New Hires Forecast'!$H$5:$H$85&gt;=Software!BN$3),'New Hires Forecast'!$N$5:$N$85,'New Hires Forecast'!$L$5:$L$85)/12),0),IF(YEAR(BN$3)=YEAR('New Hires Forecast'!$O$3),IF((BN$5&lt;=12),(SUMPRODUCT(--('New Hires Forecast'!$F$5:$F$85="Software"),--('New Hires Forecast'!$H$5:$H$85&gt;=Software!BN$3),'New Hires Forecast'!$O$5:$O$85,'New Hires Forecast'!$L$5:$L$85)/12),0),IF(YEAR(BN$3)=YEAR('New Hires Forecast'!$P$3),IF((BN$5&lt;=12),(SUMPRODUCT(--('New Hires Forecast'!$F$5:$F$85="Software"),--('New Hires Forecast'!$H$5:$H$85&gt;=Software!BN$3),'New Hires Forecast'!$P$5:$P$85,'New Hires Forecast'!$L$5:$L$85)/12),0),IF(YEAR(BN$3)=YEAR('New Hires Forecast'!$Q$3),IF((BN$5&lt;=12),(SUMPRODUCT(--('New Hires Forecast'!$F$5:$F$85="Software"),--('New Hires Forecast'!$H$5:$H$85&gt;=Software!BN$3),'New Hires Forecast'!$Q$5:$Q$85,'New Hires Forecast'!$L$5:$L$85)/12),0),IF(YEAR(BN$3)=YEAR('New Hires Forecast'!$R$3),IF((BN$5&lt;=12),(SUMPRODUCT(--('New Hires Forecast'!$F$5:$F$85="Software"),--('New Hires Forecast'!$H$5:$H$85&gt;=Software!BN$3),'New Hires Forecast'!$R$5:$R$85,'New Hires Forecast'!$L$5:$L$85)/12),0),"New Year"))))),0)</f>
        <v>3278.181</v>
      </c>
      <c r="BO15" s="668">
        <f>IF(BO$4="forecast",IF(YEAR(BO$3)=YEAR('New Hires Forecast'!$N$3),IF((BO$5&lt;=12),(SUMPRODUCT(--('New Hires Forecast'!$F$5:$F$85="Software"),--('New Hires Forecast'!$H$5:$H$85&gt;=Software!BO$3),'New Hires Forecast'!$N$5:$N$85,'New Hires Forecast'!$L$5:$L$85)/12),0),IF(YEAR(BO$3)=YEAR('New Hires Forecast'!$O$3),IF((BO$5&lt;=12),(SUMPRODUCT(--('New Hires Forecast'!$F$5:$F$85="Software"),--('New Hires Forecast'!$H$5:$H$85&gt;=Software!BO$3),'New Hires Forecast'!$O$5:$O$85,'New Hires Forecast'!$L$5:$L$85)/12),0),IF(YEAR(BO$3)=YEAR('New Hires Forecast'!$P$3),IF((BO$5&lt;=12),(SUMPRODUCT(--('New Hires Forecast'!$F$5:$F$85="Software"),--('New Hires Forecast'!$H$5:$H$85&gt;=Software!BO$3),'New Hires Forecast'!$P$5:$P$85,'New Hires Forecast'!$L$5:$L$85)/12),0),IF(YEAR(BO$3)=YEAR('New Hires Forecast'!$Q$3),IF((BO$5&lt;=12),(SUMPRODUCT(--('New Hires Forecast'!$F$5:$F$85="Software"),--('New Hires Forecast'!$H$5:$H$85&gt;=Software!BO$3),'New Hires Forecast'!$Q$5:$Q$85,'New Hires Forecast'!$L$5:$L$85)/12),0),IF(YEAR(BO$3)=YEAR('New Hires Forecast'!$R$3),IF((BO$5&lt;=12),(SUMPRODUCT(--('New Hires Forecast'!$F$5:$F$85="Software"),--('New Hires Forecast'!$H$5:$H$85&gt;=Software!BO$3),'New Hires Forecast'!$R$5:$R$85,'New Hires Forecast'!$L$5:$L$85)/12),0),"New Year"))))),0)</f>
        <v>3278.181</v>
      </c>
      <c r="BP15" s="668">
        <f>IF(BP$4="forecast",IF(YEAR(BP$3)=YEAR('New Hires Forecast'!$N$3),IF((BP$5&lt;=12),(SUMPRODUCT(--('New Hires Forecast'!$F$5:$F$85="Software"),--('New Hires Forecast'!$H$5:$H$85&gt;=Software!BP$3),'New Hires Forecast'!$N$5:$N$85,'New Hires Forecast'!$L$5:$L$85)/12),0),IF(YEAR(BP$3)=YEAR('New Hires Forecast'!$O$3),IF((BP$5&lt;=12),(SUMPRODUCT(--('New Hires Forecast'!$F$5:$F$85="Software"),--('New Hires Forecast'!$H$5:$H$85&gt;=Software!BP$3),'New Hires Forecast'!$O$5:$O$85,'New Hires Forecast'!$L$5:$L$85)/12),0),IF(YEAR(BP$3)=YEAR('New Hires Forecast'!$P$3),IF((BP$5&lt;=12),(SUMPRODUCT(--('New Hires Forecast'!$F$5:$F$85="Software"),--('New Hires Forecast'!$H$5:$H$85&gt;=Software!BP$3),'New Hires Forecast'!$P$5:$P$85,'New Hires Forecast'!$L$5:$L$85)/12),0),IF(YEAR(BP$3)=YEAR('New Hires Forecast'!$Q$3),IF((BP$5&lt;=12),(SUMPRODUCT(--('New Hires Forecast'!$F$5:$F$85="Software"),--('New Hires Forecast'!$H$5:$H$85&gt;=Software!BP$3),'New Hires Forecast'!$Q$5:$Q$85,'New Hires Forecast'!$L$5:$L$85)/12),0),IF(YEAR(BP$3)=YEAR('New Hires Forecast'!$R$3),IF((BP$5&lt;=12),(SUMPRODUCT(--('New Hires Forecast'!$F$5:$F$85="Software"),--('New Hires Forecast'!$H$5:$H$85&gt;=Software!BP$3),'New Hires Forecast'!$R$5:$R$85,'New Hires Forecast'!$L$5:$L$85)/12),0),"New Year"))))),0)</f>
        <v>3278.181</v>
      </c>
      <c r="BQ15" s="668">
        <f>IF(BQ$4="forecast",IF(YEAR(BQ$3)=YEAR('New Hires Forecast'!$N$3),IF((BQ$5&lt;=12),(SUMPRODUCT(--('New Hires Forecast'!$F$5:$F$85="Software"),--('New Hires Forecast'!$H$5:$H$85&gt;=Software!BQ$3),'New Hires Forecast'!$N$5:$N$85,'New Hires Forecast'!$L$5:$L$85)/12),0),IF(YEAR(BQ$3)=YEAR('New Hires Forecast'!$O$3),IF((BQ$5&lt;=12),(SUMPRODUCT(--('New Hires Forecast'!$F$5:$F$85="Software"),--('New Hires Forecast'!$H$5:$H$85&gt;=Software!BQ$3),'New Hires Forecast'!$O$5:$O$85,'New Hires Forecast'!$L$5:$L$85)/12),0),IF(YEAR(BQ$3)=YEAR('New Hires Forecast'!$P$3),IF((BQ$5&lt;=12),(SUMPRODUCT(--('New Hires Forecast'!$F$5:$F$85="Software"),--('New Hires Forecast'!$H$5:$H$85&gt;=Software!BQ$3),'New Hires Forecast'!$P$5:$P$85,'New Hires Forecast'!$L$5:$L$85)/12),0),IF(YEAR(BQ$3)=YEAR('New Hires Forecast'!$Q$3),IF((BQ$5&lt;=12),(SUMPRODUCT(--('New Hires Forecast'!$F$5:$F$85="Software"),--('New Hires Forecast'!$H$5:$H$85&gt;=Software!BQ$3),'New Hires Forecast'!$Q$5:$Q$85,'New Hires Forecast'!$L$5:$L$85)/12),0),IF(YEAR(BQ$3)=YEAR('New Hires Forecast'!$R$3),IF((BQ$5&lt;=12),(SUMPRODUCT(--('New Hires Forecast'!$F$5:$F$85="Software"),--('New Hires Forecast'!$H$5:$H$85&gt;=Software!BQ$3),'New Hires Forecast'!$R$5:$R$85,'New Hires Forecast'!$L$5:$L$85)/12),0),"New Year"))))),0)</f>
        <v>3278.181</v>
      </c>
      <c r="BR15" s="668">
        <f>IF(BR$4="forecast",IF(YEAR(BR$3)=YEAR('New Hires Forecast'!$N$3),IF((BR$5&lt;=12),(SUMPRODUCT(--('New Hires Forecast'!$F$5:$F$85="Software"),--('New Hires Forecast'!$H$5:$H$85&gt;=Software!BR$3),'New Hires Forecast'!$N$5:$N$85,'New Hires Forecast'!$L$5:$L$85)/12),0),IF(YEAR(BR$3)=YEAR('New Hires Forecast'!$O$3),IF((BR$5&lt;=12),(SUMPRODUCT(--('New Hires Forecast'!$F$5:$F$85="Software"),--('New Hires Forecast'!$H$5:$H$85&gt;=Software!BR$3),'New Hires Forecast'!$O$5:$O$85,'New Hires Forecast'!$L$5:$L$85)/12),0),IF(YEAR(BR$3)=YEAR('New Hires Forecast'!$P$3),IF((BR$5&lt;=12),(SUMPRODUCT(--('New Hires Forecast'!$F$5:$F$85="Software"),--('New Hires Forecast'!$H$5:$H$85&gt;=Software!BR$3),'New Hires Forecast'!$P$5:$P$85,'New Hires Forecast'!$L$5:$L$85)/12),0),IF(YEAR(BR$3)=YEAR('New Hires Forecast'!$Q$3),IF((BR$5&lt;=12),(SUMPRODUCT(--('New Hires Forecast'!$F$5:$F$85="Software"),--('New Hires Forecast'!$H$5:$H$85&gt;=Software!BR$3),'New Hires Forecast'!$Q$5:$Q$85,'New Hires Forecast'!$L$5:$L$85)/12),0),IF(YEAR(BR$3)=YEAR('New Hires Forecast'!$R$3),IF((BR$5&lt;=12),(SUMPRODUCT(--('New Hires Forecast'!$F$5:$F$85="Software"),--('New Hires Forecast'!$H$5:$H$85&gt;=Software!BR$3),'New Hires Forecast'!$R$5:$R$85,'New Hires Forecast'!$L$5:$L$85)/12),0),"New Year"))))),0)</f>
        <v>3278.181</v>
      </c>
      <c r="BS15" s="668">
        <f>IF(BS$4="forecast",IF(YEAR(BS$3)=YEAR('New Hires Forecast'!$N$3),IF((BS$5&lt;=12),(SUMPRODUCT(--('New Hires Forecast'!$F$5:$F$85="Software"),--('New Hires Forecast'!$H$5:$H$85&gt;=Software!BS$3),'New Hires Forecast'!$N$5:$N$85,'New Hires Forecast'!$L$5:$L$85)/12),0),IF(YEAR(BS$3)=YEAR('New Hires Forecast'!$O$3),IF((BS$5&lt;=12),(SUMPRODUCT(--('New Hires Forecast'!$F$5:$F$85="Software"),--('New Hires Forecast'!$H$5:$H$85&gt;=Software!BS$3),'New Hires Forecast'!$O$5:$O$85,'New Hires Forecast'!$L$5:$L$85)/12),0),IF(YEAR(BS$3)=YEAR('New Hires Forecast'!$P$3),IF((BS$5&lt;=12),(SUMPRODUCT(--('New Hires Forecast'!$F$5:$F$85="Software"),--('New Hires Forecast'!$H$5:$H$85&gt;=Software!BS$3),'New Hires Forecast'!$P$5:$P$85,'New Hires Forecast'!$L$5:$L$85)/12),0),IF(YEAR(BS$3)=YEAR('New Hires Forecast'!$Q$3),IF((BS$5&lt;=12),(SUMPRODUCT(--('New Hires Forecast'!$F$5:$F$85="Software"),--('New Hires Forecast'!$H$5:$H$85&gt;=Software!BS$3),'New Hires Forecast'!$Q$5:$Q$85,'New Hires Forecast'!$L$5:$L$85)/12),0),IF(YEAR(BS$3)=YEAR('New Hires Forecast'!$R$3),IF((BS$5&lt;=12),(SUMPRODUCT(--('New Hires Forecast'!$F$5:$F$85="Software"),--('New Hires Forecast'!$H$5:$H$85&gt;=Software!BS$3),'New Hires Forecast'!$R$5:$R$85,'New Hires Forecast'!$L$5:$L$85)/12),0),"New Year"))))),0)</f>
        <v>3278.181</v>
      </c>
      <c r="BT15" s="668">
        <f>IF(BT$4="forecast",IF(YEAR(BT$3)=YEAR('New Hires Forecast'!$N$3),IF((BT$5&lt;=12),(SUMPRODUCT(--('New Hires Forecast'!$F$5:$F$85="Software"),--('New Hires Forecast'!$H$5:$H$85&gt;=Software!BT$3),'New Hires Forecast'!$N$5:$N$85,'New Hires Forecast'!$L$5:$L$85)/12),0),IF(YEAR(BT$3)=YEAR('New Hires Forecast'!$O$3),IF((BT$5&lt;=12),(SUMPRODUCT(--('New Hires Forecast'!$F$5:$F$85="Software"),--('New Hires Forecast'!$H$5:$H$85&gt;=Software!BT$3),'New Hires Forecast'!$O$5:$O$85,'New Hires Forecast'!$L$5:$L$85)/12),0),IF(YEAR(BT$3)=YEAR('New Hires Forecast'!$P$3),IF((BT$5&lt;=12),(SUMPRODUCT(--('New Hires Forecast'!$F$5:$F$85="Software"),--('New Hires Forecast'!$H$5:$H$85&gt;=Software!BT$3),'New Hires Forecast'!$P$5:$P$85,'New Hires Forecast'!$L$5:$L$85)/12),0),IF(YEAR(BT$3)=YEAR('New Hires Forecast'!$Q$3),IF((BT$5&lt;=12),(SUMPRODUCT(--('New Hires Forecast'!$F$5:$F$85="Software"),--('New Hires Forecast'!$H$5:$H$85&gt;=Software!BT$3),'New Hires Forecast'!$Q$5:$Q$85,'New Hires Forecast'!$L$5:$L$85)/12),0),IF(YEAR(BT$3)=YEAR('New Hires Forecast'!$R$3),IF((BT$5&lt;=12),(SUMPRODUCT(--('New Hires Forecast'!$F$5:$F$85="Software"),--('New Hires Forecast'!$H$5:$H$85&gt;=Software!BT$3),'New Hires Forecast'!$R$5:$R$85,'New Hires Forecast'!$L$5:$L$85)/12),0),"New Year"))))),0)</f>
        <v>3278.181</v>
      </c>
      <c r="BU15" s="668">
        <f>IF(BU$4="forecast",IF(YEAR(BU$3)=YEAR('New Hires Forecast'!$N$3),IF((BU$5&lt;=12),(SUMPRODUCT(--('New Hires Forecast'!$F$5:$F$85="Software"),--('New Hires Forecast'!$H$5:$H$85&gt;=Software!BU$3),'New Hires Forecast'!$N$5:$N$85,'New Hires Forecast'!$L$5:$L$85)/12),0),IF(YEAR(BU$3)=YEAR('New Hires Forecast'!$O$3),IF((BU$5&lt;=12),(SUMPRODUCT(--('New Hires Forecast'!$F$5:$F$85="Software"),--('New Hires Forecast'!$H$5:$H$85&gt;=Software!BU$3),'New Hires Forecast'!$O$5:$O$85,'New Hires Forecast'!$L$5:$L$85)/12),0),IF(YEAR(BU$3)=YEAR('New Hires Forecast'!$P$3),IF((BU$5&lt;=12),(SUMPRODUCT(--('New Hires Forecast'!$F$5:$F$85="Software"),--('New Hires Forecast'!$H$5:$H$85&gt;=Software!BU$3),'New Hires Forecast'!$P$5:$P$85,'New Hires Forecast'!$L$5:$L$85)/12),0),IF(YEAR(BU$3)=YEAR('New Hires Forecast'!$Q$3),IF((BU$5&lt;=12),(SUMPRODUCT(--('New Hires Forecast'!$F$5:$F$85="Software"),--('New Hires Forecast'!$H$5:$H$85&gt;=Software!BU$3),'New Hires Forecast'!$Q$5:$Q$85,'New Hires Forecast'!$L$5:$L$85)/12),0),IF(YEAR(BU$3)=YEAR('New Hires Forecast'!$R$3),IF((BU$5&lt;=12),(SUMPRODUCT(--('New Hires Forecast'!$F$5:$F$85="Software"),--('New Hires Forecast'!$H$5:$H$85&gt;=Software!BU$3),'New Hires Forecast'!$R$5:$R$85,'New Hires Forecast'!$L$5:$L$85)/12),0),"New Year"))))),0)</f>
        <v>3278.181</v>
      </c>
      <c r="BV15" s="790">
        <f>IF(BV$4="forecast",IF(YEAR(BV$3)=YEAR('New Hires Forecast'!$N$3),IF((BV$5&lt;=12),(SUMPRODUCT(--('New Hires Forecast'!$F$5:$F$85="Software"),--('New Hires Forecast'!$H$5:$H$85&gt;=Software!BV$3),'New Hires Forecast'!$N$5:$N$85,'New Hires Forecast'!$L$5:$L$85)/12),0),IF(YEAR(BV$3)=YEAR('New Hires Forecast'!$O$3),IF((BV$5&lt;=12),(SUMPRODUCT(--('New Hires Forecast'!$F$5:$F$85="Software"),--('New Hires Forecast'!$H$5:$H$85&gt;=Software!BV$3),'New Hires Forecast'!$O$5:$O$85,'New Hires Forecast'!$L$5:$L$85)/12),0),IF(YEAR(BV$3)=YEAR('New Hires Forecast'!$P$3),IF((BV$5&lt;=12),(SUMPRODUCT(--('New Hires Forecast'!$F$5:$F$85="Software"),--('New Hires Forecast'!$H$5:$H$85&gt;=Software!BV$3),'New Hires Forecast'!$P$5:$P$85,'New Hires Forecast'!$L$5:$L$85)/12),0),IF(YEAR(BV$3)=YEAR('New Hires Forecast'!$Q$3),IF((BV$5&lt;=12),(SUMPRODUCT(--('New Hires Forecast'!$F$5:$F$85="Software"),--('New Hires Forecast'!$H$5:$H$85&gt;=Software!BV$3),'New Hires Forecast'!$Q$5:$Q$85,'New Hires Forecast'!$L$5:$L$85)/12),0),IF(YEAR(BV$3)=YEAR('New Hires Forecast'!$R$3),IF((BV$5&lt;=12),(SUMPRODUCT(--('New Hires Forecast'!$F$5:$F$85="Software"),--('New Hires Forecast'!$H$5:$H$85&gt;=Software!BV$3),'New Hires Forecast'!$R$5:$R$85,'New Hires Forecast'!$L$5:$L$85)/12),0),"New Year"))))),0)</f>
        <v>3278.181</v>
      </c>
    </row>
    <row r="16" spans="2:75" x14ac:dyDescent="0.25">
      <c r="B16" s="780" t="s">
        <v>930</v>
      </c>
      <c r="C16" s="668">
        <f>IF(C$4="forecast",IF(YEAR(C$3)=YEAR(Headcount!$N$4),IF((C$5&lt;12),(SUMPRODUCT(--(Headcount!$F$6:$F$92="Software"),--(Headcount!$H$6:$H$92&gt;=Software!C$3),Headcount!$N$6:$N$92,Headcount!$L$6:$L$92)/12),0),IF(YEAR(C$3)=YEAR(Headcount!$O$4),IF((C$5&lt;=12),(SUMPRODUCT(--(Headcount!$F$6:$F$92="Software"),--(Headcount!$H$6:$H$92&gt;=Software!C$3),Headcount!$O$6:$O$92,Headcount!$L$6:$L$92)/12),0),IF(YEAR(C$3)=YEAR(Headcount!$P$4),IF((C$5&lt;=12),(SUMPRODUCT(--(Headcount!$F$6:$F$92="Software"),--(Headcount!$H$6:$H$92&gt;=Software!C$3),Headcount!$P$6:$P$92,Headcount!$L$6:$L$92)/12),0),IF(YEAR(C$3)=YEAR(Headcount!$Q$4),IF((C$5&lt;=12),(SUMPRODUCT(--(Headcount!$F$6:$F$92="Software"),--(Headcount!$H$6:$H$92&gt;=Software!C$3),Headcount!$Q$6:$Q$92,Headcount!$L$6:$L$92)/12),0),IF(YEAR(C$3)=YEAR(Headcount!$R$4),IF((C$5&lt;=12),(SUMPRODUCT(--(Headcount!$F$6:$F$92="Software"),--(Headcount!$H$6:$H$92&gt;=Software!C$3),Headcount!$R$6:$R$92,Headcount!$L$6:$L$92)/12),0),"New Year"))))),SUMIF('Dept. Cost Actuals'!$E$7:$E$176,"*bonus*",'Dept. Cost Actuals'!G$355:G$524))</f>
        <v>0</v>
      </c>
      <c r="D16" s="668">
        <f>IF(D$4="forecast",IF(YEAR(D$3)=YEAR(Headcount!$N$4),IF((D$5&lt;12),(SUMPRODUCT(--(Headcount!$F$6:$F$92="Software"),--(Headcount!$H$6:$H$92&gt;=Software!D$3),Headcount!$N$6:$N$92,Headcount!$L$6:$L$92)/12),0),IF(YEAR(D$3)=YEAR(Headcount!$O$4),IF((D$5&lt;=12),(SUMPRODUCT(--(Headcount!$F$6:$F$92="Software"),--(Headcount!$H$6:$H$92&gt;=Software!D$3),Headcount!$O$6:$O$92,Headcount!$L$6:$L$92)/12),0),IF(YEAR(D$3)=YEAR(Headcount!$P$4),IF((D$5&lt;=12),(SUMPRODUCT(--(Headcount!$F$6:$F$92="Software"),--(Headcount!$H$6:$H$92&gt;=Software!D$3),Headcount!$P$6:$P$92,Headcount!$L$6:$L$92)/12),0),IF(YEAR(D$3)=YEAR(Headcount!$Q$4),IF((D$5&lt;=12),(SUMPRODUCT(--(Headcount!$F$6:$F$92="Software"),--(Headcount!$H$6:$H$92&gt;=Software!D$3),Headcount!$Q$6:$Q$92,Headcount!$L$6:$L$92)/12),0),IF(YEAR(D$3)=YEAR(Headcount!$R$4),IF((D$5&lt;=12),(SUMPRODUCT(--(Headcount!$F$6:$F$92="Software"),--(Headcount!$H$6:$H$92&gt;=Software!D$3),Headcount!$R$6:$R$92,Headcount!$L$6:$L$92)/12),0),"New Year"))))),SUMIF('Dept. Cost Actuals'!$E$7:$E$176,"*bonus*",'Dept. Cost Actuals'!H$355:H$524))</f>
        <v>0</v>
      </c>
      <c r="E16" s="668">
        <f>IF(E$4="forecast",IF(YEAR(E$3)=YEAR(Headcount!$N$4),IF((E$5&lt;12),(SUMPRODUCT(--(Headcount!$F$6:$F$92="Software"),--(Headcount!$H$6:$H$92&gt;=Software!E$3),Headcount!$N$6:$N$92,Headcount!$L$6:$L$92)/12),0),IF(YEAR(E$3)=YEAR(Headcount!$O$4),IF((E$5&lt;=12),(SUMPRODUCT(--(Headcount!$F$6:$F$92="Software"),--(Headcount!$H$6:$H$92&gt;=Software!E$3),Headcount!$O$6:$O$92,Headcount!$L$6:$L$92)/12),0),IF(YEAR(E$3)=YEAR(Headcount!$P$4),IF((E$5&lt;=12),(SUMPRODUCT(--(Headcount!$F$6:$F$92="Software"),--(Headcount!$H$6:$H$92&gt;=Software!E$3),Headcount!$P$6:$P$92,Headcount!$L$6:$L$92)/12),0),IF(YEAR(E$3)=YEAR(Headcount!$Q$4),IF((E$5&lt;=12),(SUMPRODUCT(--(Headcount!$F$6:$F$92="Software"),--(Headcount!$H$6:$H$92&gt;=Software!E$3),Headcount!$Q$6:$Q$92,Headcount!$L$6:$L$92)/12),0),IF(YEAR(E$3)=YEAR(Headcount!$R$4),IF((E$5&lt;=12),(SUMPRODUCT(--(Headcount!$F$6:$F$92="Software"),--(Headcount!$H$6:$H$92&gt;=Software!E$3),Headcount!$R$6:$R$92,Headcount!$L$6:$L$92)/12),0),"New Year"))))),SUMIF('Dept. Cost Actuals'!$E$7:$E$176,"*bonus*",'Dept. Cost Actuals'!I$355:I$524))</f>
        <v>0</v>
      </c>
      <c r="F16" s="668">
        <f>IF(F$4="forecast",IF(YEAR(F$3)=YEAR(Headcount!$N$4),IF((F$5&lt;12),(SUMPRODUCT(--(Headcount!$F$6:$F$92="Software"),--(Headcount!$H$6:$H$92&gt;=Software!F$3),Headcount!$N$6:$N$92,Headcount!$L$6:$L$92)/12),0),IF(YEAR(F$3)=YEAR(Headcount!$O$4),IF((F$5&lt;=12),(SUMPRODUCT(--(Headcount!$F$6:$F$92="Software"),--(Headcount!$H$6:$H$92&gt;=Software!F$3),Headcount!$O$6:$O$92,Headcount!$L$6:$L$92)/12),0),IF(YEAR(F$3)=YEAR(Headcount!$P$4),IF((F$5&lt;=12),(SUMPRODUCT(--(Headcount!$F$6:$F$92="Software"),--(Headcount!$H$6:$H$92&gt;=Software!F$3),Headcount!$P$6:$P$92,Headcount!$L$6:$L$92)/12),0),IF(YEAR(F$3)=YEAR(Headcount!$Q$4),IF((F$5&lt;=12),(SUMPRODUCT(--(Headcount!$F$6:$F$92="Software"),--(Headcount!$H$6:$H$92&gt;=Software!F$3),Headcount!$Q$6:$Q$92,Headcount!$L$6:$L$92)/12),0),IF(YEAR(F$3)=YEAR(Headcount!$R$4),IF((F$5&lt;=12),(SUMPRODUCT(--(Headcount!$F$6:$F$92="Software"),--(Headcount!$H$6:$H$92&gt;=Software!F$3),Headcount!$R$6:$R$92,Headcount!$L$6:$L$92)/12),0),"New Year"))))),SUMIF('Dept. Cost Actuals'!$E$7:$E$176,"*bonus*",'Dept. Cost Actuals'!J$355:J$524))</f>
        <v>0</v>
      </c>
      <c r="G16" s="668">
        <f>IF(G$4="forecast",IF(YEAR(G$3)=YEAR(Headcount!$N$4),IF((G$5&lt;12),(SUMPRODUCT(--(Headcount!$F$6:$F$92="Software"),--(Headcount!$H$6:$H$92&gt;=Software!G$3),Headcount!$N$6:$N$92,Headcount!$L$6:$L$92)/12),0),IF(YEAR(G$3)=YEAR(Headcount!$O$4),IF((G$5&lt;=12),(SUMPRODUCT(--(Headcount!$F$6:$F$92="Software"),--(Headcount!$H$6:$H$92&gt;=Software!G$3),Headcount!$O$6:$O$92,Headcount!$L$6:$L$92)/12),0),IF(YEAR(G$3)=YEAR(Headcount!$P$4),IF((G$5&lt;=12),(SUMPRODUCT(--(Headcount!$F$6:$F$92="Software"),--(Headcount!$H$6:$H$92&gt;=Software!G$3),Headcount!$P$6:$P$92,Headcount!$L$6:$L$92)/12),0),IF(YEAR(G$3)=YEAR(Headcount!$Q$4),IF((G$5&lt;=12),(SUMPRODUCT(--(Headcount!$F$6:$F$92="Software"),--(Headcount!$H$6:$H$92&gt;=Software!G$3),Headcount!$Q$6:$Q$92,Headcount!$L$6:$L$92)/12),0),IF(YEAR(G$3)=YEAR(Headcount!$R$4),IF((G$5&lt;=12),(SUMPRODUCT(--(Headcount!$F$6:$F$92="Software"),--(Headcount!$H$6:$H$92&gt;=Software!G$3),Headcount!$R$6:$R$92,Headcount!$L$6:$L$92)/12),0),"New Year"))))),SUMIF('Dept. Cost Actuals'!$E$7:$E$176,"*bonus*",'Dept. Cost Actuals'!K$355:K$524))</f>
        <v>0</v>
      </c>
      <c r="H16" s="668">
        <f>IF(H$4="forecast",IF(YEAR(H$3)=YEAR(Headcount!$N$4),IF((H$5&lt;12),(SUMPRODUCT(--(Headcount!$F$6:$F$92="Software"),--(Headcount!$H$6:$H$92&gt;=Software!H$3),Headcount!$N$6:$N$92,Headcount!$L$6:$L$92)/12),0),IF(YEAR(H$3)=YEAR(Headcount!$O$4),IF((H$5&lt;=12),(SUMPRODUCT(--(Headcount!$F$6:$F$92="Software"),--(Headcount!$H$6:$H$92&gt;=Software!H$3),Headcount!$O$6:$O$92,Headcount!$L$6:$L$92)/12),0),IF(YEAR(H$3)=YEAR(Headcount!$P$4),IF((H$5&lt;=12),(SUMPRODUCT(--(Headcount!$F$6:$F$92="Software"),--(Headcount!$H$6:$H$92&gt;=Software!H$3),Headcount!$P$6:$P$92,Headcount!$L$6:$L$92)/12),0),IF(YEAR(H$3)=YEAR(Headcount!$Q$4),IF((H$5&lt;=12),(SUMPRODUCT(--(Headcount!$F$6:$F$92="Software"),--(Headcount!$H$6:$H$92&gt;=Software!H$3),Headcount!$Q$6:$Q$92,Headcount!$L$6:$L$92)/12),0),IF(YEAR(H$3)=YEAR(Headcount!$R$4),IF((H$5&lt;=12),(SUMPRODUCT(--(Headcount!$F$6:$F$92="Software"),--(Headcount!$H$6:$H$92&gt;=Software!H$3),Headcount!$R$6:$R$92,Headcount!$L$6:$L$92)/12),0),"New Year"))))),SUMIF('Dept. Cost Actuals'!$E$7:$E$176,"*bonus*",'Dept. Cost Actuals'!L$355:L$524))</f>
        <v>0</v>
      </c>
      <c r="I16" s="668">
        <f>IF(I$4="forecast",IF(YEAR(I$3)=YEAR(Headcount!$N$4),IF((I$5&lt;12),(SUMPRODUCT(--(Headcount!$F$6:$F$92="Software"),--(Headcount!$H$6:$H$92&gt;=Software!I$3),Headcount!$N$6:$N$92,Headcount!$L$6:$L$92)/12),0),IF(YEAR(I$3)=YEAR(Headcount!$O$4),IF((I$5&lt;=12),(SUMPRODUCT(--(Headcount!$F$6:$F$92="Software"),--(Headcount!$H$6:$H$92&gt;=Software!I$3),Headcount!$O$6:$O$92,Headcount!$L$6:$L$92)/12),0),IF(YEAR(I$3)=YEAR(Headcount!$P$4),IF((I$5&lt;=12),(SUMPRODUCT(--(Headcount!$F$6:$F$92="Software"),--(Headcount!$H$6:$H$92&gt;=Software!I$3),Headcount!$P$6:$P$92,Headcount!$L$6:$L$92)/12),0),IF(YEAR(I$3)=YEAR(Headcount!$Q$4),IF((I$5&lt;=12),(SUMPRODUCT(--(Headcount!$F$6:$F$92="Software"),--(Headcount!$H$6:$H$92&gt;=Software!I$3),Headcount!$Q$6:$Q$92,Headcount!$L$6:$L$92)/12),0),IF(YEAR(I$3)=YEAR(Headcount!$R$4),IF((I$5&lt;=12),(SUMPRODUCT(--(Headcount!$F$6:$F$92="Software"),--(Headcount!$H$6:$H$92&gt;=Software!I$3),Headcount!$R$6:$R$92,Headcount!$L$6:$L$92)/12),0),"New Year"))))),SUMIF('Dept. Cost Actuals'!$E$7:$E$176,"*bonus*",'Dept. Cost Actuals'!M$355:M$524))</f>
        <v>0</v>
      </c>
      <c r="J16" s="668">
        <f>IF(J$4="forecast",IF(YEAR(J$3)=YEAR(Headcount!$N$4),IF((J$5&lt;12),(SUMPRODUCT(--(Headcount!$F$6:$F$92="Software"),--(Headcount!$H$6:$H$92&gt;=Software!J$3),Headcount!$N$6:$N$92,Headcount!$L$6:$L$92)/12),0),IF(YEAR(J$3)=YEAR(Headcount!$O$4),IF((J$5&lt;=12),(SUMPRODUCT(--(Headcount!$F$6:$F$92="Software"),--(Headcount!$H$6:$H$92&gt;=Software!J$3),Headcount!$O$6:$O$92,Headcount!$L$6:$L$92)/12),0),IF(YEAR(J$3)=YEAR(Headcount!$P$4),IF((J$5&lt;=12),(SUMPRODUCT(--(Headcount!$F$6:$F$92="Software"),--(Headcount!$H$6:$H$92&gt;=Software!J$3),Headcount!$P$6:$P$92,Headcount!$L$6:$L$92)/12),0),IF(YEAR(J$3)=YEAR(Headcount!$Q$4),IF((J$5&lt;=12),(SUMPRODUCT(--(Headcount!$F$6:$F$92="Software"),--(Headcount!$H$6:$H$92&gt;=Software!J$3),Headcount!$Q$6:$Q$92,Headcount!$L$6:$L$92)/12),0),IF(YEAR(J$3)=YEAR(Headcount!$R$4),IF((J$5&lt;=12),(SUMPRODUCT(--(Headcount!$F$6:$F$92="Software"),--(Headcount!$H$6:$H$92&gt;=Software!J$3),Headcount!$R$6:$R$92,Headcount!$L$6:$L$92)/12),0),"New Year"))))),SUMIF('Dept. Cost Actuals'!$E$7:$E$176,"*bonus*",'Dept. Cost Actuals'!N$355:N$524))</f>
        <v>0</v>
      </c>
      <c r="K16" s="668">
        <f>IF(K$4="forecast",IF(YEAR(K$3)=YEAR(Headcount!$N$4),IF((K$5&lt;12),(SUMPRODUCT(--(Headcount!$F$6:$F$92="Software"),--(Headcount!$H$6:$H$92&gt;=Software!K$3),Headcount!$N$6:$N$92,Headcount!$L$6:$L$92)/12),0),IF(YEAR(K$3)=YEAR(Headcount!$O$4),IF((K$5&lt;=12),(SUMPRODUCT(--(Headcount!$F$6:$F$92="Software"),--(Headcount!$H$6:$H$92&gt;=Software!K$3),Headcount!$O$6:$O$92,Headcount!$L$6:$L$92)/12),0),IF(YEAR(K$3)=YEAR(Headcount!$P$4),IF((K$5&lt;=12),(SUMPRODUCT(--(Headcount!$F$6:$F$92="Software"),--(Headcount!$H$6:$H$92&gt;=Software!K$3),Headcount!$P$6:$P$92,Headcount!$L$6:$L$92)/12),0),IF(YEAR(K$3)=YEAR(Headcount!$Q$4),IF((K$5&lt;=12),(SUMPRODUCT(--(Headcount!$F$6:$F$92="Software"),--(Headcount!$H$6:$H$92&gt;=Software!K$3),Headcount!$Q$6:$Q$92,Headcount!$L$6:$L$92)/12),0),IF(YEAR(K$3)=YEAR(Headcount!$R$4),IF((K$5&lt;=12),(SUMPRODUCT(--(Headcount!$F$6:$F$92="Software"),--(Headcount!$H$6:$H$92&gt;=Software!K$3),Headcount!$R$6:$R$92,Headcount!$L$6:$L$92)/12),0),"New Year"))))),SUMIF('Dept. Cost Actuals'!$E$7:$E$176,"*bonus*",'Dept. Cost Actuals'!O$355:O$524))</f>
        <v>0</v>
      </c>
      <c r="L16" s="668">
        <f>IF(L$4="forecast",IF(YEAR(L$3)=YEAR(Headcount!$N$4),IF((L$5&lt;12),(SUMPRODUCT(--(Headcount!$F$6:$F$92="Software"),--(Headcount!$H$6:$H$92&gt;=Software!L$3),Headcount!$N$6:$N$92,Headcount!$L$6:$L$92)/12),0),IF(YEAR(L$3)=YEAR(Headcount!$O$4),IF((L$5&lt;=12),(SUMPRODUCT(--(Headcount!$F$6:$F$92="Software"),--(Headcount!$H$6:$H$92&gt;=Software!L$3),Headcount!$O$6:$O$92,Headcount!$L$6:$L$92)/12),0),IF(YEAR(L$3)=YEAR(Headcount!$P$4),IF((L$5&lt;=12),(SUMPRODUCT(--(Headcount!$F$6:$F$92="Software"),--(Headcount!$H$6:$H$92&gt;=Software!L$3),Headcount!$P$6:$P$92,Headcount!$L$6:$L$92)/12),0),IF(YEAR(L$3)=YEAR(Headcount!$Q$4),IF((L$5&lt;=12),(SUMPRODUCT(--(Headcount!$F$6:$F$92="Software"),--(Headcount!$H$6:$H$92&gt;=Software!L$3),Headcount!$Q$6:$Q$92,Headcount!$L$6:$L$92)/12),0),IF(YEAR(L$3)=YEAR(Headcount!$R$4),IF((L$5&lt;=12),(SUMPRODUCT(--(Headcount!$F$6:$F$92="Software"),--(Headcount!$H$6:$H$92&gt;=Software!L$3),Headcount!$R$6:$R$92,Headcount!$L$6:$L$92)/12),0),"New Year"))))),SUMIF('Dept. Cost Actuals'!$E$7:$E$176,"*bonus*",'Dept. Cost Actuals'!P$355:P$524))</f>
        <v>0</v>
      </c>
      <c r="M16" s="668">
        <f>IF(M$4="forecast",IF(YEAR(M$3)=YEAR(Headcount!$N$4),IF((M$5&lt;12),(SUMPRODUCT(--(Headcount!$F$6:$F$92="Software"),--(Headcount!$H$6:$H$92&gt;=Software!M$3),Headcount!$N$6:$N$92,Headcount!$L$6:$L$92)/12),0),IF(YEAR(M$3)=YEAR(Headcount!$O$4),IF((M$5&lt;=12),(SUMPRODUCT(--(Headcount!$F$6:$F$92="Software"),--(Headcount!$H$6:$H$92&gt;=Software!M$3),Headcount!$O$6:$O$92,Headcount!$L$6:$L$92)/12),0),IF(YEAR(M$3)=YEAR(Headcount!$P$4),IF((M$5&lt;=12),(SUMPRODUCT(--(Headcount!$F$6:$F$92="Software"),--(Headcount!$H$6:$H$92&gt;=Software!M$3),Headcount!$P$6:$P$92,Headcount!$L$6:$L$92)/12),0),IF(YEAR(M$3)=YEAR(Headcount!$Q$4),IF((M$5&lt;=12),(SUMPRODUCT(--(Headcount!$F$6:$F$92="Software"),--(Headcount!$H$6:$H$92&gt;=Software!M$3),Headcount!$Q$6:$Q$92,Headcount!$L$6:$L$92)/12),0),IF(YEAR(M$3)=YEAR(Headcount!$R$4),IF((M$5&lt;=12),(SUMPRODUCT(--(Headcount!$F$6:$F$92="Software"),--(Headcount!$H$6:$H$92&gt;=Software!M$3),Headcount!$R$6:$R$92,Headcount!$L$6:$L$92)/12),0),"New Year"))))),SUMIF('Dept. Cost Actuals'!$E$7:$E$176,"*bonus*",'Dept. Cost Actuals'!Q$355:Q$524))</f>
        <v>0</v>
      </c>
      <c r="N16" s="668">
        <f>IF(N$4="forecast",IF(YEAR(N$3)=YEAR(Headcount!$N$4),IF((N$5&lt;12),(SUMPRODUCT(--(Headcount!$F$6:$F$92="Software"),--(Headcount!$H$6:$H$92&gt;=Software!N$3),Headcount!$N$6:$N$92,Headcount!$L$6:$L$92)/12),0),IF(YEAR(N$3)=YEAR(Headcount!$O$4),IF((N$5&lt;=12),(SUMPRODUCT(--(Headcount!$F$6:$F$92="Software"),--(Headcount!$H$6:$H$92&gt;=Software!N$3),Headcount!$O$6:$O$92,Headcount!$L$6:$L$92)/12),0),IF(YEAR(N$3)=YEAR(Headcount!$P$4),IF((N$5&lt;=12),(SUMPRODUCT(--(Headcount!$F$6:$F$92="Software"),--(Headcount!$H$6:$H$92&gt;=Software!N$3),Headcount!$P$6:$P$92,Headcount!$L$6:$L$92)/12),0),IF(YEAR(N$3)=YEAR(Headcount!$Q$4),IF((N$5&lt;=12),(SUMPRODUCT(--(Headcount!$F$6:$F$92="Software"),--(Headcount!$H$6:$H$92&gt;=Software!N$3),Headcount!$Q$6:$Q$92,Headcount!$L$6:$L$92)/12),0),IF(YEAR(N$3)=YEAR(Headcount!$R$4),IF((N$5&lt;=12),(SUMPRODUCT(--(Headcount!$F$6:$F$92="Software"),--(Headcount!$H$6:$H$92&gt;=Software!N$3),Headcount!$R$6:$R$92,Headcount!$L$6:$L$92)/12),0),"New Year"))))),SUMIF('Dept. Cost Actuals'!$E$7:$E$176,"*bonus*",'Dept. Cost Actuals'!R$355:R$524))</f>
        <v>0</v>
      </c>
      <c r="O16" s="668">
        <f>IF(O$4="forecast",IF(YEAR(O$3)=YEAR(Headcount!$N$4),IF((O$5&lt;12),(SUMPRODUCT(--(Headcount!$F$6:$F$92="Software"),--(Headcount!$H$6:$H$92&gt;=Software!O$3),Headcount!$N$6:$N$92,Headcount!$L$6:$L$92)/12),0),IF(YEAR(O$3)=YEAR(Headcount!$O$4),IF((O$5&lt;=12),(SUMPRODUCT(--(Headcount!$F$6:$F$92="Software"),--(Headcount!$H$6:$H$92&gt;=Software!O$3),Headcount!$O$6:$O$92,Headcount!$L$6:$L$92)/12),0),IF(YEAR(O$3)=YEAR(Headcount!$P$4),IF((O$5&lt;=12),(SUMPRODUCT(--(Headcount!$F$6:$F$92="Software"),--(Headcount!$H$6:$H$92&gt;=Software!O$3),Headcount!$P$6:$P$92,Headcount!$L$6:$L$92)/12),0),IF(YEAR(O$3)=YEAR(Headcount!$Q$4),IF((O$5&lt;=12),(SUMPRODUCT(--(Headcount!$F$6:$F$92="Software"),--(Headcount!$H$6:$H$92&gt;=Software!O$3),Headcount!$Q$6:$Q$92,Headcount!$L$6:$L$92)/12),0),IF(YEAR(O$3)=YEAR(Headcount!$R$4),IF((O$5&lt;=12),(SUMPRODUCT(--(Headcount!$F$6:$F$92="Software"),--(Headcount!$H$6:$H$92&gt;=Software!O$3),Headcount!$R$6:$R$92,Headcount!$L$6:$L$92)/12),0),"New Year"))))),SUMIF('Dept. Cost Actuals'!$E$7:$E$176,"*bonus*",'Dept. Cost Actuals'!S$355:S$524))</f>
        <v>19932.419999999998</v>
      </c>
      <c r="P16" s="668">
        <f>IF(P$4="forecast",IF(YEAR(P$3)=YEAR(Headcount!$N$4),IF((P$5&lt;12),(SUMPRODUCT(--(Headcount!$F$6:$F$92="Software"),--(Headcount!$H$6:$H$92&gt;=Software!P$3),Headcount!$N$6:$N$92,Headcount!$L$6:$L$92)/12),0),IF(YEAR(P$3)=YEAR(Headcount!$O$4),IF((P$5&lt;=12),(SUMPRODUCT(--(Headcount!$F$6:$F$92="Software"),--(Headcount!$H$6:$H$92&gt;=Software!P$3),Headcount!$O$6:$O$92,Headcount!$L$6:$L$92)/12),0),IF(YEAR(P$3)=YEAR(Headcount!$P$4),IF((P$5&lt;=12),(SUMPRODUCT(--(Headcount!$F$6:$F$92="Software"),--(Headcount!$H$6:$H$92&gt;=Software!P$3),Headcount!$P$6:$P$92,Headcount!$L$6:$L$92)/12),0),IF(YEAR(P$3)=YEAR(Headcount!$Q$4),IF((P$5&lt;=12),(SUMPRODUCT(--(Headcount!$F$6:$F$92="Software"),--(Headcount!$H$6:$H$92&gt;=Software!P$3),Headcount!$Q$6:$Q$92,Headcount!$L$6:$L$92)/12),0),IF(YEAR(P$3)=YEAR(Headcount!$R$4),IF((P$5&lt;=12),(SUMPRODUCT(--(Headcount!$F$6:$F$92="Software"),--(Headcount!$H$6:$H$92&gt;=Software!P$3),Headcount!$R$6:$R$92,Headcount!$L$6:$L$92)/12),0),"New Year"))))),SUMIF('Dept. Cost Actuals'!$E$7:$E$176,"*bonus*",'Dept. Cost Actuals'!T$355:T$524))</f>
        <v>19967.419999999998</v>
      </c>
      <c r="Q16" s="668">
        <f>IF(Q$4="forecast",IF(YEAR(Q$3)=YEAR(Headcount!$N$4),IF((Q$5&lt;12),(SUMPRODUCT(--(Headcount!$F$6:$F$92="Software"),--(Headcount!$H$6:$H$92&gt;=Software!Q$3),Headcount!$N$6:$N$92,Headcount!$L$6:$L$92)/12),0),IF(YEAR(Q$3)=YEAR(Headcount!$O$4),IF((Q$5&lt;=12),(SUMPRODUCT(--(Headcount!$F$6:$F$92="Software"),--(Headcount!$H$6:$H$92&gt;=Software!Q$3),Headcount!$O$6:$O$92,Headcount!$L$6:$L$92)/12),0),IF(YEAR(Q$3)=YEAR(Headcount!$P$4),IF((Q$5&lt;=12),(SUMPRODUCT(--(Headcount!$F$6:$F$92="Software"),--(Headcount!$H$6:$H$92&gt;=Software!Q$3),Headcount!$P$6:$P$92,Headcount!$L$6:$L$92)/12),0),IF(YEAR(Q$3)=YEAR(Headcount!$Q$4),IF((Q$5&lt;=12),(SUMPRODUCT(--(Headcount!$F$6:$F$92="Software"),--(Headcount!$H$6:$H$92&gt;=Software!Q$3),Headcount!$Q$6:$Q$92,Headcount!$L$6:$L$92)/12),0),IF(YEAR(Q$3)=YEAR(Headcount!$R$4),IF((Q$5&lt;=12),(SUMPRODUCT(--(Headcount!$F$6:$F$92="Software"),--(Headcount!$H$6:$H$92&gt;=Software!Q$3),Headcount!$R$6:$R$92,Headcount!$L$6:$L$92)/12),0),"New Year"))))),SUMIF('Dept. Cost Actuals'!$E$7:$E$176,"*bonus*",'Dept. Cost Actuals'!U$355:U$524))</f>
        <v>22043.54</v>
      </c>
      <c r="R16" s="668">
        <f>IF(R$4="forecast",IF(YEAR(R$3)=YEAR(Headcount!$N$4),IF((R$5&lt;12),(SUMPRODUCT(--(Headcount!$F$6:$F$92="Software"),--(Headcount!$H$6:$H$92&gt;=Software!R$3),Headcount!$N$6:$N$92,Headcount!$L$6:$L$92)/12),0),IF(YEAR(R$3)=YEAR(Headcount!$O$4),IF((R$5&lt;=12),(SUMPRODUCT(--(Headcount!$F$6:$F$92="Software"),--(Headcount!$H$6:$H$92&gt;=Software!R$3),Headcount!$O$6:$O$92,Headcount!$L$6:$L$92)/12),0),IF(YEAR(R$3)=YEAR(Headcount!$P$4),IF((R$5&lt;=12),(SUMPRODUCT(--(Headcount!$F$6:$F$92="Software"),--(Headcount!$H$6:$H$92&gt;=Software!R$3),Headcount!$P$6:$P$92,Headcount!$L$6:$L$92)/12),0),IF(YEAR(R$3)=YEAR(Headcount!$Q$4),IF((R$5&lt;=12),(SUMPRODUCT(--(Headcount!$F$6:$F$92="Software"),--(Headcount!$H$6:$H$92&gt;=Software!R$3),Headcount!$Q$6:$Q$92,Headcount!$L$6:$L$92)/12),0),IF(YEAR(R$3)=YEAR(Headcount!$R$4),IF((R$5&lt;=12),(SUMPRODUCT(--(Headcount!$F$6:$F$92="Software"),--(Headcount!$H$6:$H$92&gt;=Software!R$3),Headcount!$R$6:$R$92,Headcount!$L$6:$L$92)/12),0),"New Year"))))),SUMIF('Dept. Cost Actuals'!$E$7:$E$176,"*bonus*",'Dept. Cost Actuals'!V$355:V$524))</f>
        <v>26060.61</v>
      </c>
      <c r="S16" s="668">
        <f>IF(S$4="forecast",IF(YEAR(S$3)=YEAR(Headcount!$N$4),IF((S$5&lt;12),(SUMPRODUCT(--(Headcount!$F$6:$F$92="Software"),--(Headcount!$H$6:$H$92&gt;=Software!S$3),Headcount!$N$6:$N$92,Headcount!$L$6:$L$92)/12),0),IF(YEAR(S$3)=YEAR(Headcount!$O$4),IF((S$5&lt;=12),(SUMPRODUCT(--(Headcount!$F$6:$F$92="Software"),--(Headcount!$H$6:$H$92&gt;=Software!S$3),Headcount!$O$6:$O$92,Headcount!$L$6:$L$92)/12),0),IF(YEAR(S$3)=YEAR(Headcount!$P$4),IF((S$5&lt;=12),(SUMPRODUCT(--(Headcount!$F$6:$F$92="Software"),--(Headcount!$H$6:$H$92&gt;=Software!S$3),Headcount!$P$6:$P$92,Headcount!$L$6:$L$92)/12),0),IF(YEAR(S$3)=YEAR(Headcount!$Q$4),IF((S$5&lt;=12),(SUMPRODUCT(--(Headcount!$F$6:$F$92="Software"),--(Headcount!$H$6:$H$92&gt;=Software!S$3),Headcount!$Q$6:$Q$92,Headcount!$L$6:$L$92)/12),0),IF(YEAR(S$3)=YEAR(Headcount!$R$4),IF((S$5&lt;=12),(SUMPRODUCT(--(Headcount!$F$6:$F$92="Software"),--(Headcount!$H$6:$H$92&gt;=Software!S$3),Headcount!$R$6:$R$92,Headcount!$L$6:$L$92)/12),0),"New Year"))))),SUMIF('Dept. Cost Actuals'!$E$7:$E$176,"*bonus*",'Dept. Cost Actuals'!W$355:W$524))</f>
        <v>19932.419999999998</v>
      </c>
      <c r="T16" s="668">
        <f>IF(T$4="forecast",IF(YEAR(T$3)=YEAR(Headcount!$N$4),IF((T$5&lt;12),(SUMPRODUCT(--(Headcount!$F$6:$F$92="Software"),--(Headcount!$H$6:$H$92&gt;=Software!T$3),Headcount!$N$6:$N$92,Headcount!$L$6:$L$92)/12),0),IF(YEAR(T$3)=YEAR(Headcount!$O$4),IF((T$5&lt;=12),(SUMPRODUCT(--(Headcount!$F$6:$F$92="Software"),--(Headcount!$H$6:$H$92&gt;=Software!T$3),Headcount!$O$6:$O$92,Headcount!$L$6:$L$92)/12),0),IF(YEAR(T$3)=YEAR(Headcount!$P$4),IF((T$5&lt;=12),(SUMPRODUCT(--(Headcount!$F$6:$F$92="Software"),--(Headcount!$H$6:$H$92&gt;=Software!T$3),Headcount!$P$6:$P$92,Headcount!$L$6:$L$92)/12),0),IF(YEAR(T$3)=YEAR(Headcount!$Q$4),IF((T$5&lt;=12),(SUMPRODUCT(--(Headcount!$F$6:$F$92="Software"),--(Headcount!$H$6:$H$92&gt;=Software!T$3),Headcount!$Q$6:$Q$92,Headcount!$L$6:$L$92)/12),0),IF(YEAR(T$3)=YEAR(Headcount!$R$4),IF((T$5&lt;=12),(SUMPRODUCT(--(Headcount!$F$6:$F$92="Software"),--(Headcount!$H$6:$H$92&gt;=Software!T$3),Headcount!$R$6:$R$92,Headcount!$L$6:$L$92)/12),0),"New Year"))))),SUMIF('Dept. Cost Actuals'!$E$7:$E$176,"*bonus*",'Dept. Cost Actuals'!X$355:X$524))</f>
        <v>22432.42</v>
      </c>
      <c r="U16" s="668">
        <f>IF(U$4="forecast",IF(YEAR(U$3)=YEAR(Headcount!$N$4),IF((U$5&lt;12),(SUMPRODUCT(--(Headcount!$F$6:$F$92="Software"),--(Headcount!$H$6:$H$92&gt;=Software!U$3),Headcount!$N$6:$N$92,Headcount!$L$6:$L$92)/12),0),IF(YEAR(U$3)=YEAR(Headcount!$O$4),IF((U$5&lt;=12),(SUMPRODUCT(--(Headcount!$F$6:$F$92="Software"),--(Headcount!$H$6:$H$92&gt;=Software!U$3),Headcount!$O$6:$O$92,Headcount!$L$6:$L$92)/12),0),IF(YEAR(U$3)=YEAR(Headcount!$P$4),IF((U$5&lt;=12),(SUMPRODUCT(--(Headcount!$F$6:$F$92="Software"),--(Headcount!$H$6:$H$92&gt;=Software!U$3),Headcount!$P$6:$P$92,Headcount!$L$6:$L$92)/12),0),IF(YEAR(U$3)=YEAR(Headcount!$Q$4),IF((U$5&lt;=12),(SUMPRODUCT(--(Headcount!$F$6:$F$92="Software"),--(Headcount!$H$6:$H$92&gt;=Software!U$3),Headcount!$Q$6:$Q$92,Headcount!$L$6:$L$92)/12),0),IF(YEAR(U$3)=YEAR(Headcount!$R$4),IF((U$5&lt;=12),(SUMPRODUCT(--(Headcount!$F$6:$F$92="Software"),--(Headcount!$H$6:$H$92&gt;=Software!U$3),Headcount!$R$6:$R$92,Headcount!$L$6:$L$92)/12),0),"New Year"))))),SUMIF('Dept. Cost Actuals'!$E$7:$E$176,"*bonus*",'Dept. Cost Actuals'!Y$355:Y$524))</f>
        <v>29226.23</v>
      </c>
      <c r="V16" s="668">
        <f>IF(V$4="forecast",IF(YEAR(V$3)=YEAR(Headcount!$N$4),IF((V$5&lt;12),(SUMPRODUCT(--(Headcount!$F$6:$F$92="Software"),--(Headcount!$H$6:$H$92&gt;=Software!V$3),Headcount!$N$6:$N$92,Headcount!$L$6:$L$92)/12),0),IF(YEAR(V$3)=YEAR(Headcount!$O$4),IF((V$5&lt;=12),(SUMPRODUCT(--(Headcount!$F$6:$F$92="Software"),--(Headcount!$H$6:$H$92&gt;=Software!V$3),Headcount!$O$6:$O$92,Headcount!$L$6:$L$92)/12),0),IF(YEAR(V$3)=YEAR(Headcount!$P$4),IF((V$5&lt;=12),(SUMPRODUCT(--(Headcount!$F$6:$F$92="Software"),--(Headcount!$H$6:$H$92&gt;=Software!V$3),Headcount!$P$6:$P$92,Headcount!$L$6:$L$92)/12),0),IF(YEAR(V$3)=YEAR(Headcount!$Q$4),IF((V$5&lt;=12),(SUMPRODUCT(--(Headcount!$F$6:$F$92="Software"),--(Headcount!$H$6:$H$92&gt;=Software!V$3),Headcount!$Q$6:$Q$92,Headcount!$L$6:$L$92)/12),0),IF(YEAR(V$3)=YEAR(Headcount!$R$4),IF((V$5&lt;=12),(SUMPRODUCT(--(Headcount!$F$6:$F$92="Software"),--(Headcount!$H$6:$H$92&gt;=Software!V$3),Headcount!$R$6:$R$92,Headcount!$L$6:$L$92)/12),0),"New Year"))))),SUMIF('Dept. Cost Actuals'!$E$7:$E$176,"*bonus*",'Dept. Cost Actuals'!Z$355:Z$524))</f>
        <v>20109.419999999998</v>
      </c>
      <c r="W16" s="668">
        <f>IF(W$4="forecast",IF(YEAR(W$3)=YEAR(Headcount!$N$4),IF((W$5&lt;12),(SUMPRODUCT(--(Headcount!$F$6:$F$92="Software"),--(Headcount!$H$6:$H$92&gt;=Software!W$3),Headcount!$N$6:$N$92,Headcount!$L$6:$L$92)/12),0),IF(YEAR(W$3)=YEAR(Headcount!$O$4),IF((W$5&lt;=12),(SUMPRODUCT(--(Headcount!$F$6:$F$92="Software"),--(Headcount!$H$6:$H$92&gt;=Software!W$3),Headcount!$O$6:$O$92,Headcount!$L$6:$L$92)/12),0),IF(YEAR(W$3)=YEAR(Headcount!$P$4),IF((W$5&lt;=12),(SUMPRODUCT(--(Headcount!$F$6:$F$92="Software"),--(Headcount!$H$6:$H$92&gt;=Software!W$3),Headcount!$P$6:$P$92,Headcount!$L$6:$L$92)/12),0),IF(YEAR(W$3)=YEAR(Headcount!$Q$4),IF((W$5&lt;=12),(SUMPRODUCT(--(Headcount!$F$6:$F$92="Software"),--(Headcount!$H$6:$H$92&gt;=Software!W$3),Headcount!$Q$6:$Q$92,Headcount!$L$6:$L$92)/12),0),IF(YEAR(W$3)=YEAR(Headcount!$R$4),IF((W$5&lt;=12),(SUMPRODUCT(--(Headcount!$F$6:$F$92="Software"),--(Headcount!$H$6:$H$92&gt;=Software!W$3),Headcount!$R$6:$R$92,Headcount!$L$6:$L$92)/12),0),"New Year"))))),SUMIF('Dept. Cost Actuals'!$E$7:$E$176,"*bonus*",'Dept. Cost Actuals'!AA$355:AA$524))</f>
        <v>20153.919999999998</v>
      </c>
      <c r="X16" s="668">
        <f>IF(X$4="forecast",IF(YEAR(X$3)=YEAR(Headcount!$N$4),IF((X$5&lt;12),(SUMPRODUCT(--(Headcount!$F$6:$F$92="Software"),--(Headcount!$H$6:$H$92&gt;=Software!X$3),Headcount!$N$6:$N$92,Headcount!$L$6:$L$92)/12),0),IF(YEAR(X$3)=YEAR(Headcount!$O$4),IF((X$5&lt;=12),(SUMPRODUCT(--(Headcount!$F$6:$F$92="Software"),--(Headcount!$H$6:$H$92&gt;=Software!X$3),Headcount!$O$6:$O$92,Headcount!$L$6:$L$92)/12),0),IF(YEAR(X$3)=YEAR(Headcount!$P$4),IF((X$5&lt;=12),(SUMPRODUCT(--(Headcount!$F$6:$F$92="Software"),--(Headcount!$H$6:$H$92&gt;=Software!X$3),Headcount!$P$6:$P$92,Headcount!$L$6:$L$92)/12),0),IF(YEAR(X$3)=YEAR(Headcount!$Q$4),IF((X$5&lt;=12),(SUMPRODUCT(--(Headcount!$F$6:$F$92="Software"),--(Headcount!$H$6:$H$92&gt;=Software!X$3),Headcount!$Q$6:$Q$92,Headcount!$L$6:$L$92)/12),0),IF(YEAR(X$3)=YEAR(Headcount!$R$4),IF((X$5&lt;=12),(SUMPRODUCT(--(Headcount!$F$6:$F$92="Software"),--(Headcount!$H$6:$H$92&gt;=Software!X$3),Headcount!$R$6:$R$92,Headcount!$L$6:$L$92)/12),0),"New Year"))))),SUMIF('Dept. Cost Actuals'!$E$7:$E$176,"*bonus*",'Dept. Cost Actuals'!AB$355:AB$524))</f>
        <v>25509.81</v>
      </c>
      <c r="Y16" s="668">
        <f>IF(Y$4="forecast",IF(YEAR(Y$3)=YEAR(Headcount!$N$4),IF((Y$5&lt;12),(SUMPRODUCT(--(Headcount!$F$6:$F$92="Software"),--(Headcount!$H$6:$H$92&gt;=Software!Y$3),Headcount!$N$6:$N$92,Headcount!$L$6:$L$92)/12),0),IF(YEAR(Y$3)=YEAR(Headcount!$O$4),IF((Y$5&lt;=12),(SUMPRODUCT(--(Headcount!$F$6:$F$92="Software"),--(Headcount!$H$6:$H$92&gt;=Software!Y$3),Headcount!$O$6:$O$92,Headcount!$L$6:$L$92)/12),0),IF(YEAR(Y$3)=YEAR(Headcount!$P$4),IF((Y$5&lt;=12),(SUMPRODUCT(--(Headcount!$F$6:$F$92="Software"),--(Headcount!$H$6:$H$92&gt;=Software!Y$3),Headcount!$P$6:$P$92,Headcount!$L$6:$L$92)/12),0),IF(YEAR(Y$3)=YEAR(Headcount!$Q$4),IF((Y$5&lt;=12),(SUMPRODUCT(--(Headcount!$F$6:$F$92="Software"),--(Headcount!$H$6:$H$92&gt;=Software!Y$3),Headcount!$Q$6:$Q$92,Headcount!$L$6:$L$92)/12),0),IF(YEAR(Y$3)=YEAR(Headcount!$R$4),IF((Y$5&lt;=12),(SUMPRODUCT(--(Headcount!$F$6:$F$92="Software"),--(Headcount!$H$6:$H$92&gt;=Software!Y$3),Headcount!$R$6:$R$92,Headcount!$L$6:$L$92)/12),0),"New Year"))))),SUMIF('Dept. Cost Actuals'!$E$7:$E$176,"*bonus*",'Dept. Cost Actuals'!AC$355:AC$524))</f>
        <v>20282.400000000001</v>
      </c>
      <c r="Z16" s="668">
        <f>IF(Z$4="forecast",IF(YEAR(Z$3)=YEAR(Headcount!$N$4),IF((Z$5&lt;12),(SUMPRODUCT(--(Headcount!$F$6:$F$92="Software"),--(Headcount!$H$6:$H$92&gt;=Software!Z$3),Headcount!$N$6:$N$92,Headcount!$L$6:$L$92)/12),0),IF(YEAR(Z$3)=YEAR(Headcount!$O$4),IF((Z$5&lt;=12),(SUMPRODUCT(--(Headcount!$F$6:$F$92="Software"),--(Headcount!$H$6:$H$92&gt;=Software!Z$3),Headcount!$O$6:$O$92,Headcount!$L$6:$L$92)/12),0),IF(YEAR(Z$3)=YEAR(Headcount!$P$4),IF((Z$5&lt;=12),(SUMPRODUCT(--(Headcount!$F$6:$F$92="Software"),--(Headcount!$H$6:$H$92&gt;=Software!Z$3),Headcount!$P$6:$P$92,Headcount!$L$6:$L$92)/12),0),IF(YEAR(Z$3)=YEAR(Headcount!$Q$4),IF((Z$5&lt;=12),(SUMPRODUCT(--(Headcount!$F$6:$F$92="Software"),--(Headcount!$H$6:$H$92&gt;=Software!Z$3),Headcount!$Q$6:$Q$92,Headcount!$L$6:$L$92)/12),0),IF(YEAR(Z$3)=YEAR(Headcount!$R$4),IF((Z$5&lt;=12),(SUMPRODUCT(--(Headcount!$F$6:$F$92="Software"),--(Headcount!$H$6:$H$92&gt;=Software!Z$3),Headcount!$R$6:$R$92,Headcount!$L$6:$L$92)/12),0),"New Year"))))),SUMIF('Dept. Cost Actuals'!$E$7:$E$176,"*bonus*",'Dept. Cost Actuals'!AD$355:AD$524))</f>
        <v>-19772.349999999999</v>
      </c>
      <c r="AA16" s="668">
        <f>IF(AA$4="forecast",IF(YEAR(AA$3)=YEAR(Headcount!$N$4),IF((AA$5&lt;12),(SUMPRODUCT(--(Headcount!$F$6:$F$92="Software"),--(Headcount!$H$6:$H$92&gt;=Software!AA$3),Headcount!$N$6:$N$92,Headcount!$L$6:$L$92)/12),0),IF(YEAR(AA$3)=YEAR(Headcount!$O$4),IF((AA$5&lt;=12),(SUMPRODUCT(--(Headcount!$F$6:$F$92="Software"),--(Headcount!$H$6:$H$92&gt;=Software!AA$3),Headcount!$O$6:$O$92,Headcount!$L$6:$L$92)/12),0),IF(YEAR(AA$3)=YEAR(Headcount!$P$4),IF((AA$5&lt;=12),(SUMPRODUCT(--(Headcount!$F$6:$F$92="Software"),--(Headcount!$H$6:$H$92&gt;=Software!AA$3),Headcount!$P$6:$P$92,Headcount!$L$6:$L$92)/12),0),IF(YEAR(AA$3)=YEAR(Headcount!$Q$4),IF((AA$5&lt;=12),(SUMPRODUCT(--(Headcount!$F$6:$F$92="Software"),--(Headcount!$H$6:$H$92&gt;=Software!AA$3),Headcount!$Q$6:$Q$92,Headcount!$L$6:$L$92)/12),0),IF(YEAR(AA$3)=YEAR(Headcount!$R$4),IF((AA$5&lt;=12),(SUMPRODUCT(--(Headcount!$F$6:$F$92="Software"),--(Headcount!$H$6:$H$92&gt;=Software!AA$3),Headcount!$R$6:$R$92,Headcount!$L$6:$L$92)/12),0),"New Year"))))),SUMIF('Dept. Cost Actuals'!$E$7:$E$176,"*bonus*",'Dept. Cost Actuals'!AE$355:AE$524))</f>
        <v>20769.52</v>
      </c>
      <c r="AB16" s="668">
        <f>IF(AB$4="forecast",IF(YEAR(AB$3)=YEAR(Headcount!$N$4),IF((AB$5&lt;12),(SUMPRODUCT(--(Headcount!$F$6:$F$92="Software"),--(Headcount!$H$6:$H$92&gt;=Software!AB$3),Headcount!$N$6:$N$92,Headcount!$L$6:$L$92)/12),0),IF(YEAR(AB$3)=YEAR(Headcount!$O$4),IF((AB$5&lt;=12),(SUMPRODUCT(--(Headcount!$F$6:$F$92="Software"),--(Headcount!$H$6:$H$92&gt;=Software!AB$3),Headcount!$O$6:$O$92,Headcount!$L$6:$L$92)/12),0),IF(YEAR(AB$3)=YEAR(Headcount!$P$4),IF((AB$5&lt;=12),(SUMPRODUCT(--(Headcount!$F$6:$F$92="Software"),--(Headcount!$H$6:$H$92&gt;=Software!AB$3),Headcount!$P$6:$P$92,Headcount!$L$6:$L$92)/12),0),IF(YEAR(AB$3)=YEAR(Headcount!$Q$4),IF((AB$5&lt;=12),(SUMPRODUCT(--(Headcount!$F$6:$F$92="Software"),--(Headcount!$H$6:$H$92&gt;=Software!AB$3),Headcount!$Q$6:$Q$92,Headcount!$L$6:$L$92)/12),0),IF(YEAR(AB$3)=YEAR(Headcount!$R$4),IF((AB$5&lt;=12),(SUMPRODUCT(--(Headcount!$F$6:$F$92="Software"),--(Headcount!$H$6:$H$92&gt;=Software!AB$3),Headcount!$R$6:$R$92,Headcount!$L$6:$L$92)/12),0),"New Year"))))),SUMIF('Dept. Cost Actuals'!$E$7:$E$176,"*bonus*",'Dept. Cost Actuals'!AF$355:AF$524))</f>
        <v>28457.200000000001</v>
      </c>
      <c r="AC16" s="668">
        <f>IF(AC$4="forecast",IF(YEAR(AC$3)=YEAR(Headcount!$N$4),IF((AC$5&lt;12),(SUMPRODUCT(--(Headcount!$F$6:$F$92="Software"),--(Headcount!$H$6:$H$92&gt;=Software!AC$3),Headcount!$N$6:$N$92,Headcount!$L$6:$L$92)/12),0),IF(YEAR(AC$3)=YEAR(Headcount!$O$4),IF((AC$5&lt;=12),(SUMPRODUCT(--(Headcount!$F$6:$F$92="Software"),--(Headcount!$H$6:$H$92&gt;=Software!AC$3),Headcount!$O$6:$O$92,Headcount!$L$6:$L$92)/12),0),IF(YEAR(AC$3)=YEAR(Headcount!$P$4),IF((AC$5&lt;=12),(SUMPRODUCT(--(Headcount!$F$6:$F$92="Software"),--(Headcount!$H$6:$H$92&gt;=Software!AC$3),Headcount!$P$6:$P$92,Headcount!$L$6:$L$92)/12),0),IF(YEAR(AC$3)=YEAR(Headcount!$Q$4),IF((AC$5&lt;=12),(SUMPRODUCT(--(Headcount!$F$6:$F$92="Software"),--(Headcount!$H$6:$H$92&gt;=Software!AC$3),Headcount!$Q$6:$Q$92,Headcount!$L$6:$L$92)/12),0),IF(YEAR(AC$3)=YEAR(Headcount!$R$4),IF((AC$5&lt;=12),(SUMPRODUCT(--(Headcount!$F$6:$F$92="Software"),--(Headcount!$H$6:$H$92&gt;=Software!AC$3),Headcount!$R$6:$R$92,Headcount!$L$6:$L$92)/12),0),"New Year"))))),SUMIF('Dept. Cost Actuals'!$E$7:$E$176,"*bonus*",'Dept. Cost Actuals'!AG$355:AG$524))</f>
        <v>21158.880000000001</v>
      </c>
      <c r="AD16" s="668">
        <f>IF(AD$4="forecast",IF(YEAR(AD$3)=YEAR(Headcount!$N$4),IF((AD$5&lt;12),(SUMPRODUCT(--(Headcount!$F$6:$F$92="Software"),--(Headcount!$H$6:$H$92&gt;=Software!AD$3),Headcount!$N$6:$N$92,Headcount!$L$6:$L$92)/12),0),IF(YEAR(AD$3)=YEAR(Headcount!$O$4),IF((AD$5&lt;=12),(SUMPRODUCT(--(Headcount!$F$6:$F$92="Software"),--(Headcount!$H$6:$H$92&gt;=Software!AD$3),Headcount!$O$6:$O$92,Headcount!$L$6:$L$92)/12),0),IF(YEAR(AD$3)=YEAR(Headcount!$P$4),IF((AD$5&lt;=12),(SUMPRODUCT(--(Headcount!$F$6:$F$92="Software"),--(Headcount!$H$6:$H$92&gt;=Software!AD$3),Headcount!$P$6:$P$92,Headcount!$L$6:$L$92)/12),0),IF(YEAR(AD$3)=YEAR(Headcount!$Q$4),IF((AD$5&lt;=12),(SUMPRODUCT(--(Headcount!$F$6:$F$92="Software"),--(Headcount!$H$6:$H$92&gt;=Software!AD$3),Headcount!$Q$6:$Q$92,Headcount!$L$6:$L$92)/12),0),IF(YEAR(AD$3)=YEAR(Headcount!$R$4),IF((AD$5&lt;=12),(SUMPRODUCT(--(Headcount!$F$6:$F$92="Software"),--(Headcount!$H$6:$H$92&gt;=Software!AD$3),Headcount!$R$6:$R$92,Headcount!$L$6:$L$92)/12),0),"New Year"))))),SUMIF('Dept. Cost Actuals'!$E$7:$E$176,"*bonus*",'Dept. Cost Actuals'!AH$355:AH$524))</f>
        <v>36747.849166666667</v>
      </c>
      <c r="AE16" s="668">
        <f>IF(AE$4="forecast",IF(YEAR(AE$3)=YEAR(Headcount!$N$4),IF((AE$5&lt;12),(SUMPRODUCT(--(Headcount!$F$6:$F$92="Software"),--(Headcount!$H$6:$H$92&gt;=Software!AE$3),Headcount!$N$6:$N$92,Headcount!$L$6:$L$92)/12),0),IF(YEAR(AE$3)=YEAR(Headcount!$O$4),IF((AE$5&lt;=12),(SUMPRODUCT(--(Headcount!$F$6:$F$92="Software"),--(Headcount!$H$6:$H$92&gt;=Software!AE$3),Headcount!$O$6:$O$92,Headcount!$L$6:$L$92)/12),0),IF(YEAR(AE$3)=YEAR(Headcount!$P$4),IF((AE$5&lt;=12),(SUMPRODUCT(--(Headcount!$F$6:$F$92="Software"),--(Headcount!$H$6:$H$92&gt;=Software!AE$3),Headcount!$P$6:$P$92,Headcount!$L$6:$L$92)/12),0),IF(YEAR(AE$3)=YEAR(Headcount!$Q$4),IF((AE$5&lt;=12),(SUMPRODUCT(--(Headcount!$F$6:$F$92="Software"),--(Headcount!$H$6:$H$92&gt;=Software!AE$3),Headcount!$Q$6:$Q$92,Headcount!$L$6:$L$92)/12),0),IF(YEAR(AE$3)=YEAR(Headcount!$R$4),IF((AE$5&lt;=12),(SUMPRODUCT(--(Headcount!$F$6:$F$92="Software"),--(Headcount!$H$6:$H$92&gt;=Software!AE$3),Headcount!$R$6:$R$92,Headcount!$L$6:$L$92)/12),0),"New Year"))))),SUMIF('Dept. Cost Actuals'!$E$7:$E$176,"*bonus*",'Dept. Cost Actuals'!AI$355:AI$524))</f>
        <v>36747.849166666667</v>
      </c>
      <c r="AF16" s="668">
        <f>IF(AF$4="forecast",IF(YEAR(AF$3)=YEAR(Headcount!$N$4),IF((AF$5&lt;12),(SUMPRODUCT(--(Headcount!$F$6:$F$92="Software"),--(Headcount!$H$6:$H$92&gt;=Software!AF$3),Headcount!$N$6:$N$92,Headcount!$L$6:$L$92)/12),0),IF(YEAR(AF$3)=YEAR(Headcount!$O$4),IF((AF$5&lt;=12),(SUMPRODUCT(--(Headcount!$F$6:$F$92="Software"),--(Headcount!$H$6:$H$92&gt;=Software!AF$3),Headcount!$O$6:$O$92,Headcount!$L$6:$L$92)/12),0),IF(YEAR(AF$3)=YEAR(Headcount!$P$4),IF((AF$5&lt;=12),(SUMPRODUCT(--(Headcount!$F$6:$F$92="Software"),--(Headcount!$H$6:$H$92&gt;=Software!AF$3),Headcount!$P$6:$P$92,Headcount!$L$6:$L$92)/12),0),IF(YEAR(AF$3)=YEAR(Headcount!$Q$4),IF((AF$5&lt;=12),(SUMPRODUCT(--(Headcount!$F$6:$F$92="Software"),--(Headcount!$H$6:$H$92&gt;=Software!AF$3),Headcount!$Q$6:$Q$92,Headcount!$L$6:$L$92)/12),0),IF(YEAR(AF$3)=YEAR(Headcount!$R$4),IF((AF$5&lt;=12),(SUMPRODUCT(--(Headcount!$F$6:$F$92="Software"),--(Headcount!$H$6:$H$92&gt;=Software!AF$3),Headcount!$R$6:$R$92,Headcount!$L$6:$L$92)/12),0),"New Year"))))),SUMIF('Dept. Cost Actuals'!$E$7:$E$176,"*bonus*",'Dept. Cost Actuals'!AJ$355:AJ$524))</f>
        <v>36747.849166666667</v>
      </c>
      <c r="AG16" s="668">
        <f>IF(AG$4="forecast",IF(YEAR(AG$3)=YEAR(Headcount!$N$4),IF((AG$5&lt;12),(SUMPRODUCT(--(Headcount!$F$6:$F$92="Software"),--(Headcount!$H$6:$H$92&gt;=Software!AG$3),Headcount!$N$6:$N$92,Headcount!$L$6:$L$92)/12),0),IF(YEAR(AG$3)=YEAR(Headcount!$O$4),IF((AG$5&lt;=12),(SUMPRODUCT(--(Headcount!$F$6:$F$92="Software"),--(Headcount!$H$6:$H$92&gt;=Software!AG$3),Headcount!$O$6:$O$92,Headcount!$L$6:$L$92)/12),0),IF(YEAR(AG$3)=YEAR(Headcount!$P$4),IF((AG$5&lt;=12),(SUMPRODUCT(--(Headcount!$F$6:$F$92="Software"),--(Headcount!$H$6:$H$92&gt;=Software!AG$3),Headcount!$P$6:$P$92,Headcount!$L$6:$L$92)/12),0),IF(YEAR(AG$3)=YEAR(Headcount!$Q$4),IF((AG$5&lt;=12),(SUMPRODUCT(--(Headcount!$F$6:$F$92="Software"),--(Headcount!$H$6:$H$92&gt;=Software!AG$3),Headcount!$Q$6:$Q$92,Headcount!$L$6:$L$92)/12),0),IF(YEAR(AG$3)=YEAR(Headcount!$R$4),IF((AG$5&lt;=12),(SUMPRODUCT(--(Headcount!$F$6:$F$92="Software"),--(Headcount!$H$6:$H$92&gt;=Software!AG$3),Headcount!$R$6:$R$92,Headcount!$L$6:$L$92)/12),0),"New Year"))))),SUMIF('Dept. Cost Actuals'!$E$7:$E$176,"*bonus*",'Dept. Cost Actuals'!AK$355:AK$524))</f>
        <v>36747.849166666667</v>
      </c>
      <c r="AH16" s="668">
        <f>IF(AH$4="forecast",IF(YEAR(AH$3)=YEAR(Headcount!$N$4),IF((AH$5&lt;12),(SUMPRODUCT(--(Headcount!$F$6:$F$92="Software"),--(Headcount!$H$6:$H$92&gt;=Software!AH$3),Headcount!$N$6:$N$92,Headcount!$L$6:$L$92)/12),0),IF(YEAR(AH$3)=YEAR(Headcount!$O$4),IF((AH$5&lt;=12),(SUMPRODUCT(--(Headcount!$F$6:$F$92="Software"),--(Headcount!$H$6:$H$92&gt;=Software!AH$3),Headcount!$O$6:$O$92,Headcount!$L$6:$L$92)/12),0),IF(YEAR(AH$3)=YEAR(Headcount!$P$4),IF((AH$5&lt;=12),(SUMPRODUCT(--(Headcount!$F$6:$F$92="Software"),--(Headcount!$H$6:$H$92&gt;=Software!AH$3),Headcount!$P$6:$P$92,Headcount!$L$6:$L$92)/12),0),IF(YEAR(AH$3)=YEAR(Headcount!$Q$4),IF((AH$5&lt;=12),(SUMPRODUCT(--(Headcount!$F$6:$F$92="Software"),--(Headcount!$H$6:$H$92&gt;=Software!AH$3),Headcount!$Q$6:$Q$92,Headcount!$L$6:$L$92)/12),0),IF(YEAR(AH$3)=YEAR(Headcount!$R$4),IF((AH$5&lt;=12),(SUMPRODUCT(--(Headcount!$F$6:$F$92="Software"),--(Headcount!$H$6:$H$92&gt;=Software!AH$3),Headcount!$R$6:$R$92,Headcount!$L$6:$L$92)/12),0),"New Year"))))),SUMIF('Dept. Cost Actuals'!$E$7:$E$176,"*bonus*",'Dept. Cost Actuals'!AL$355:AL$524))</f>
        <v>36747.849166666667</v>
      </c>
      <c r="AI16" s="668">
        <f>IF(AI$4="forecast",IF(YEAR(AI$3)=YEAR(Headcount!$N$4),IF((AI$5&lt;12),(SUMPRODUCT(--(Headcount!$F$6:$F$92="Software"),--(Headcount!$H$6:$H$92&gt;=Software!AI$3),Headcount!$N$6:$N$92,Headcount!$L$6:$L$92)/12),0),IF(YEAR(AI$3)=YEAR(Headcount!$O$4),IF((AI$5&lt;=12),(SUMPRODUCT(--(Headcount!$F$6:$F$92="Software"),--(Headcount!$H$6:$H$92&gt;=Software!AI$3),Headcount!$O$6:$O$92,Headcount!$L$6:$L$92)/12),0),IF(YEAR(AI$3)=YEAR(Headcount!$P$4),IF((AI$5&lt;=12),(SUMPRODUCT(--(Headcount!$F$6:$F$92="Software"),--(Headcount!$H$6:$H$92&gt;=Software!AI$3),Headcount!$P$6:$P$92,Headcount!$L$6:$L$92)/12),0),IF(YEAR(AI$3)=YEAR(Headcount!$Q$4),IF((AI$5&lt;=12),(SUMPRODUCT(--(Headcount!$F$6:$F$92="Software"),--(Headcount!$H$6:$H$92&gt;=Software!AI$3),Headcount!$Q$6:$Q$92,Headcount!$L$6:$L$92)/12),0),IF(YEAR(AI$3)=YEAR(Headcount!$R$4),IF((AI$5&lt;=12),(SUMPRODUCT(--(Headcount!$F$6:$F$92="Software"),--(Headcount!$H$6:$H$92&gt;=Software!AI$3),Headcount!$R$6:$R$92,Headcount!$L$6:$L$92)/12),0),"New Year"))))),SUMIF('Dept. Cost Actuals'!$E$7:$E$176,"*bonus*",'Dept. Cost Actuals'!AM$355:AM$524))</f>
        <v>36747.849166666667</v>
      </c>
      <c r="AJ16" s="668">
        <f>IF(AJ$4="forecast",IF(YEAR(AJ$3)=YEAR(Headcount!$N$4),IF((AJ$5&lt;12),(SUMPRODUCT(--(Headcount!$F$6:$F$92="Software"),--(Headcount!$H$6:$H$92&gt;=Software!AJ$3),Headcount!$N$6:$N$92,Headcount!$L$6:$L$92)/12),0),IF(YEAR(AJ$3)=YEAR(Headcount!$O$4),IF((AJ$5&lt;=12),(SUMPRODUCT(--(Headcount!$F$6:$F$92="Software"),--(Headcount!$H$6:$H$92&gt;=Software!AJ$3),Headcount!$O$6:$O$92,Headcount!$L$6:$L$92)/12),0),IF(YEAR(AJ$3)=YEAR(Headcount!$P$4),IF((AJ$5&lt;=12),(SUMPRODUCT(--(Headcount!$F$6:$F$92="Software"),--(Headcount!$H$6:$H$92&gt;=Software!AJ$3),Headcount!$P$6:$P$92,Headcount!$L$6:$L$92)/12),0),IF(YEAR(AJ$3)=YEAR(Headcount!$Q$4),IF((AJ$5&lt;=12),(SUMPRODUCT(--(Headcount!$F$6:$F$92="Software"),--(Headcount!$H$6:$H$92&gt;=Software!AJ$3),Headcount!$Q$6:$Q$92,Headcount!$L$6:$L$92)/12),0),IF(YEAR(AJ$3)=YEAR(Headcount!$R$4),IF((AJ$5&lt;=12),(SUMPRODUCT(--(Headcount!$F$6:$F$92="Software"),--(Headcount!$H$6:$H$92&gt;=Software!AJ$3),Headcount!$R$6:$R$92,Headcount!$L$6:$L$92)/12),0),"New Year"))))),SUMIF('Dept. Cost Actuals'!$E$7:$E$176,"*bonus*",'Dept. Cost Actuals'!AN$355:AN$524))</f>
        <v>36747.849166666667</v>
      </c>
      <c r="AK16" s="668">
        <f>IF(AK$4="forecast",IF(YEAR(AK$3)=YEAR(Headcount!$N$4),IF((AK$5&lt;12),(SUMPRODUCT(--(Headcount!$F$6:$F$92="Software"),--(Headcount!$H$6:$H$92&gt;=Software!AK$3),Headcount!$N$6:$N$92,Headcount!$L$6:$L$92)/12),0),IF(YEAR(AK$3)=YEAR(Headcount!$O$4),IF((AK$5&lt;=12),(SUMPRODUCT(--(Headcount!$F$6:$F$92="Software"),--(Headcount!$H$6:$H$92&gt;=Software!AK$3),Headcount!$O$6:$O$92,Headcount!$L$6:$L$92)/12),0),IF(YEAR(AK$3)=YEAR(Headcount!$P$4),IF((AK$5&lt;=12),(SUMPRODUCT(--(Headcount!$F$6:$F$92="Software"),--(Headcount!$H$6:$H$92&gt;=Software!AK$3),Headcount!$P$6:$P$92,Headcount!$L$6:$L$92)/12),0),IF(YEAR(AK$3)=YEAR(Headcount!$Q$4),IF((AK$5&lt;=12),(SUMPRODUCT(--(Headcount!$F$6:$F$92="Software"),--(Headcount!$H$6:$H$92&gt;=Software!AK$3),Headcount!$Q$6:$Q$92,Headcount!$L$6:$L$92)/12),0),IF(YEAR(AK$3)=YEAR(Headcount!$R$4),IF((AK$5&lt;=12),(SUMPRODUCT(--(Headcount!$F$6:$F$92="Software"),--(Headcount!$H$6:$H$92&gt;=Software!AK$3),Headcount!$R$6:$R$92,Headcount!$L$6:$L$92)/12),0),"New Year"))))),SUMIF('Dept. Cost Actuals'!$E$7:$E$176,"*bonus*",'Dept. Cost Actuals'!AO$355:AO$524))</f>
        <v>36747.849166666667</v>
      </c>
      <c r="AL16" s="668">
        <f>IF(AL$4="forecast",IF(YEAR(AL$3)=YEAR(Headcount!$N$4),IF((AL$5&lt;12),(SUMPRODUCT(--(Headcount!$F$6:$F$92="Software"),--(Headcount!$H$6:$H$92&gt;=Software!AL$3),Headcount!$N$6:$N$92,Headcount!$L$6:$L$92)/12),0),IF(YEAR(AL$3)=YEAR(Headcount!$O$4),IF((AL$5&lt;=12),(SUMPRODUCT(--(Headcount!$F$6:$F$92="Software"),--(Headcount!$H$6:$H$92&gt;=Software!AL$3),Headcount!$O$6:$O$92,Headcount!$L$6:$L$92)/12),0),IF(YEAR(AL$3)=YEAR(Headcount!$P$4),IF((AL$5&lt;=12),(SUMPRODUCT(--(Headcount!$F$6:$F$92="Software"),--(Headcount!$H$6:$H$92&gt;=Software!AL$3),Headcount!$P$6:$P$92,Headcount!$L$6:$L$92)/12),0),IF(YEAR(AL$3)=YEAR(Headcount!$Q$4),IF((AL$5&lt;=12),(SUMPRODUCT(--(Headcount!$F$6:$F$92="Software"),--(Headcount!$H$6:$H$92&gt;=Software!AL$3),Headcount!$Q$6:$Q$92,Headcount!$L$6:$L$92)/12),0),IF(YEAR(AL$3)=YEAR(Headcount!$R$4),IF((AL$5&lt;=12),(SUMPRODUCT(--(Headcount!$F$6:$F$92="Software"),--(Headcount!$H$6:$H$92&gt;=Software!AL$3),Headcount!$R$6:$R$92,Headcount!$L$6:$L$92)/12),0),"New Year"))))),SUMIF('Dept. Cost Actuals'!$E$7:$E$176,"*bonus*",'Dept. Cost Actuals'!AP$355:AP$524))</f>
        <v>36747.849166666667</v>
      </c>
      <c r="AM16" s="668">
        <f>IF(AM$4="forecast",IF(YEAR(AM$3)=YEAR(Headcount!$N$4),IF((AM$5&lt;12),(SUMPRODUCT(--(Headcount!$F$6:$F$92="Software"),--(Headcount!$H$6:$H$92&gt;=Software!AM$3),Headcount!$N$6:$N$92,Headcount!$L$6:$L$92)/12),0),IF(YEAR(AM$3)=YEAR(Headcount!$O$4),IF((AM$5&lt;=12),(SUMPRODUCT(--(Headcount!$F$6:$F$92="Software"),--(Headcount!$H$6:$H$92&gt;=Software!AM$3),Headcount!$O$6:$O$92,Headcount!$L$6:$L$92)/12),0),IF(YEAR(AM$3)=YEAR(Headcount!$P$4),IF((AM$5&lt;=12),(SUMPRODUCT(--(Headcount!$F$6:$F$92="Software"),--(Headcount!$H$6:$H$92&gt;=Software!AM$3),Headcount!$P$6:$P$92,Headcount!$L$6:$L$92)/12),0),IF(YEAR(AM$3)=YEAR(Headcount!$Q$4),IF((AM$5&lt;=12),(SUMPRODUCT(--(Headcount!$F$6:$F$92="Software"),--(Headcount!$H$6:$H$92&gt;=Software!AM$3),Headcount!$Q$6:$Q$92,Headcount!$L$6:$L$92)/12),0),IF(YEAR(AM$3)=YEAR(Headcount!$R$4),IF((AM$5&lt;=12),(SUMPRODUCT(--(Headcount!$F$6:$F$92="Software"),--(Headcount!$H$6:$H$92&gt;=Software!AM$3),Headcount!$R$6:$R$92,Headcount!$L$6:$L$92)/12),0),"New Year"))))),SUMIF('Dept. Cost Actuals'!$E$7:$E$176,"*bonus*",'Dept. Cost Actuals'!AQ$355:AQ$524))</f>
        <v>37731.399171666671</v>
      </c>
      <c r="AN16" s="668">
        <f>IF(AN$4="forecast",IF(YEAR(AN$3)=YEAR(Headcount!$N$4),IF((AN$5&lt;12),(SUMPRODUCT(--(Headcount!$F$6:$F$92="Software"),--(Headcount!$H$6:$H$92&gt;=Software!AN$3),Headcount!$N$6:$N$92,Headcount!$L$6:$L$92)/12),0),IF(YEAR(AN$3)=YEAR(Headcount!$O$4),IF((AN$5&lt;=12),(SUMPRODUCT(--(Headcount!$F$6:$F$92="Software"),--(Headcount!$H$6:$H$92&gt;=Software!AN$3),Headcount!$O$6:$O$92,Headcount!$L$6:$L$92)/12),0),IF(YEAR(AN$3)=YEAR(Headcount!$P$4),IF((AN$5&lt;=12),(SUMPRODUCT(--(Headcount!$F$6:$F$92="Software"),--(Headcount!$H$6:$H$92&gt;=Software!AN$3),Headcount!$P$6:$P$92,Headcount!$L$6:$L$92)/12),0),IF(YEAR(AN$3)=YEAR(Headcount!$Q$4),IF((AN$5&lt;=12),(SUMPRODUCT(--(Headcount!$F$6:$F$92="Software"),--(Headcount!$H$6:$H$92&gt;=Software!AN$3),Headcount!$Q$6:$Q$92,Headcount!$L$6:$L$92)/12),0),IF(YEAR(AN$3)=YEAR(Headcount!$R$4),IF((AN$5&lt;=12),(SUMPRODUCT(--(Headcount!$F$6:$F$92="Software"),--(Headcount!$H$6:$H$92&gt;=Software!AN$3),Headcount!$R$6:$R$92,Headcount!$L$6:$L$92)/12),0),"New Year"))))),SUMIF('Dept. Cost Actuals'!$E$7:$E$176,"*bonus*",'Dept. Cost Actuals'!AR$355:AR$524))</f>
        <v>37731.399171666671</v>
      </c>
      <c r="AO16" s="668">
        <f>IF(AO$4="forecast",IF(YEAR(AO$3)=YEAR(Headcount!$N$4),IF((AO$5&lt;12),(SUMPRODUCT(--(Headcount!$F$6:$F$92="Software"),--(Headcount!$H$6:$H$92&gt;=Software!AO$3),Headcount!$N$6:$N$92,Headcount!$L$6:$L$92)/12),0),IF(YEAR(AO$3)=YEAR(Headcount!$O$4),IF((AO$5&lt;=12),(SUMPRODUCT(--(Headcount!$F$6:$F$92="Software"),--(Headcount!$H$6:$H$92&gt;=Software!AO$3),Headcount!$O$6:$O$92,Headcount!$L$6:$L$92)/12),0),IF(YEAR(AO$3)=YEAR(Headcount!$P$4),IF((AO$5&lt;=12),(SUMPRODUCT(--(Headcount!$F$6:$F$92="Software"),--(Headcount!$H$6:$H$92&gt;=Software!AO$3),Headcount!$P$6:$P$92,Headcount!$L$6:$L$92)/12),0),IF(YEAR(AO$3)=YEAR(Headcount!$Q$4),IF((AO$5&lt;=12),(SUMPRODUCT(--(Headcount!$F$6:$F$92="Software"),--(Headcount!$H$6:$H$92&gt;=Software!AO$3),Headcount!$Q$6:$Q$92,Headcount!$L$6:$L$92)/12),0),IF(YEAR(AO$3)=YEAR(Headcount!$R$4),IF((AO$5&lt;=12),(SUMPRODUCT(--(Headcount!$F$6:$F$92="Software"),--(Headcount!$H$6:$H$92&gt;=Software!AO$3),Headcount!$R$6:$R$92,Headcount!$L$6:$L$92)/12),0),"New Year"))))),SUMIF('Dept. Cost Actuals'!$E$7:$E$176,"*bonus*",'Dept. Cost Actuals'!AS$355:AS$524))</f>
        <v>37731.399171666671</v>
      </c>
      <c r="AP16" s="668">
        <f>IF(AP$4="forecast",IF(YEAR(AP$3)=YEAR(Headcount!$N$4),IF((AP$5&lt;12),(SUMPRODUCT(--(Headcount!$F$6:$F$92="Software"),--(Headcount!$H$6:$H$92&gt;=Software!AP$3),Headcount!$N$6:$N$92,Headcount!$L$6:$L$92)/12),0),IF(YEAR(AP$3)=YEAR(Headcount!$O$4),IF((AP$5&lt;=12),(SUMPRODUCT(--(Headcount!$F$6:$F$92="Software"),--(Headcount!$H$6:$H$92&gt;=Software!AP$3),Headcount!$O$6:$O$92,Headcount!$L$6:$L$92)/12),0),IF(YEAR(AP$3)=YEAR(Headcount!$P$4),IF((AP$5&lt;=12),(SUMPRODUCT(--(Headcount!$F$6:$F$92="Software"),--(Headcount!$H$6:$H$92&gt;=Software!AP$3),Headcount!$P$6:$P$92,Headcount!$L$6:$L$92)/12),0),IF(YEAR(AP$3)=YEAR(Headcount!$Q$4),IF((AP$5&lt;=12),(SUMPRODUCT(--(Headcount!$F$6:$F$92="Software"),--(Headcount!$H$6:$H$92&gt;=Software!AP$3),Headcount!$Q$6:$Q$92,Headcount!$L$6:$L$92)/12),0),IF(YEAR(AP$3)=YEAR(Headcount!$R$4),IF((AP$5&lt;=12),(SUMPRODUCT(--(Headcount!$F$6:$F$92="Software"),--(Headcount!$H$6:$H$92&gt;=Software!AP$3),Headcount!$R$6:$R$92,Headcount!$L$6:$L$92)/12),0),"New Year"))))),SUMIF('Dept. Cost Actuals'!$E$7:$E$176,"*bonus*",'Dept. Cost Actuals'!AT$355:AT$524))</f>
        <v>37731.399171666671</v>
      </c>
      <c r="AQ16" s="668">
        <f>IF(AQ$4="forecast",IF(YEAR(AQ$3)=YEAR(Headcount!$N$4),IF((AQ$5&lt;12),(SUMPRODUCT(--(Headcount!$F$6:$F$92="Software"),--(Headcount!$H$6:$H$92&gt;=Software!AQ$3),Headcount!$N$6:$N$92,Headcount!$L$6:$L$92)/12),0),IF(YEAR(AQ$3)=YEAR(Headcount!$O$4),IF((AQ$5&lt;=12),(SUMPRODUCT(--(Headcount!$F$6:$F$92="Software"),--(Headcount!$H$6:$H$92&gt;=Software!AQ$3),Headcount!$O$6:$O$92,Headcount!$L$6:$L$92)/12),0),IF(YEAR(AQ$3)=YEAR(Headcount!$P$4),IF((AQ$5&lt;=12),(SUMPRODUCT(--(Headcount!$F$6:$F$92="Software"),--(Headcount!$H$6:$H$92&gt;=Software!AQ$3),Headcount!$P$6:$P$92,Headcount!$L$6:$L$92)/12),0),IF(YEAR(AQ$3)=YEAR(Headcount!$Q$4),IF((AQ$5&lt;=12),(SUMPRODUCT(--(Headcount!$F$6:$F$92="Software"),--(Headcount!$H$6:$H$92&gt;=Software!AQ$3),Headcount!$Q$6:$Q$92,Headcount!$L$6:$L$92)/12),0),IF(YEAR(AQ$3)=YEAR(Headcount!$R$4),IF((AQ$5&lt;=12),(SUMPRODUCT(--(Headcount!$F$6:$F$92="Software"),--(Headcount!$H$6:$H$92&gt;=Software!AQ$3),Headcount!$R$6:$R$92,Headcount!$L$6:$L$92)/12),0),"New Year"))))),SUMIF('Dept. Cost Actuals'!$E$7:$E$176,"*bonus*",'Dept. Cost Actuals'!AU$355:AU$524))</f>
        <v>37731.399171666671</v>
      </c>
      <c r="AR16" s="668">
        <f>IF(AR$4="forecast",IF(YEAR(AR$3)=YEAR(Headcount!$N$4),IF((AR$5&lt;12),(SUMPRODUCT(--(Headcount!$F$6:$F$92="Software"),--(Headcount!$H$6:$H$92&gt;=Software!AR$3),Headcount!$N$6:$N$92,Headcount!$L$6:$L$92)/12),0),IF(YEAR(AR$3)=YEAR(Headcount!$O$4),IF((AR$5&lt;=12),(SUMPRODUCT(--(Headcount!$F$6:$F$92="Software"),--(Headcount!$H$6:$H$92&gt;=Software!AR$3),Headcount!$O$6:$O$92,Headcount!$L$6:$L$92)/12),0),IF(YEAR(AR$3)=YEAR(Headcount!$P$4),IF((AR$5&lt;=12),(SUMPRODUCT(--(Headcount!$F$6:$F$92="Software"),--(Headcount!$H$6:$H$92&gt;=Software!AR$3),Headcount!$P$6:$P$92,Headcount!$L$6:$L$92)/12),0),IF(YEAR(AR$3)=YEAR(Headcount!$Q$4),IF((AR$5&lt;=12),(SUMPRODUCT(--(Headcount!$F$6:$F$92="Software"),--(Headcount!$H$6:$H$92&gt;=Software!AR$3),Headcount!$Q$6:$Q$92,Headcount!$L$6:$L$92)/12),0),IF(YEAR(AR$3)=YEAR(Headcount!$R$4),IF((AR$5&lt;=12),(SUMPRODUCT(--(Headcount!$F$6:$F$92="Software"),--(Headcount!$H$6:$H$92&gt;=Software!AR$3),Headcount!$R$6:$R$92,Headcount!$L$6:$L$92)/12),0),"New Year"))))),SUMIF('Dept. Cost Actuals'!$E$7:$E$176,"*bonus*",'Dept. Cost Actuals'!AV$355:AV$524))</f>
        <v>37731.399171666671</v>
      </c>
      <c r="AS16" s="668">
        <f>IF(AS$4="forecast",IF(YEAR(AS$3)=YEAR(Headcount!$N$4),IF((AS$5&lt;12),(SUMPRODUCT(--(Headcount!$F$6:$F$92="Software"),--(Headcount!$H$6:$H$92&gt;=Software!AS$3),Headcount!$N$6:$N$92,Headcount!$L$6:$L$92)/12),0),IF(YEAR(AS$3)=YEAR(Headcount!$O$4),IF((AS$5&lt;=12),(SUMPRODUCT(--(Headcount!$F$6:$F$92="Software"),--(Headcount!$H$6:$H$92&gt;=Software!AS$3),Headcount!$O$6:$O$92,Headcount!$L$6:$L$92)/12),0),IF(YEAR(AS$3)=YEAR(Headcount!$P$4),IF((AS$5&lt;=12),(SUMPRODUCT(--(Headcount!$F$6:$F$92="Software"),--(Headcount!$H$6:$H$92&gt;=Software!AS$3),Headcount!$P$6:$P$92,Headcount!$L$6:$L$92)/12),0),IF(YEAR(AS$3)=YEAR(Headcount!$Q$4),IF((AS$5&lt;=12),(SUMPRODUCT(--(Headcount!$F$6:$F$92="Software"),--(Headcount!$H$6:$H$92&gt;=Software!AS$3),Headcount!$Q$6:$Q$92,Headcount!$L$6:$L$92)/12),0),IF(YEAR(AS$3)=YEAR(Headcount!$R$4),IF((AS$5&lt;=12),(SUMPRODUCT(--(Headcount!$F$6:$F$92="Software"),--(Headcount!$H$6:$H$92&gt;=Software!AS$3),Headcount!$R$6:$R$92,Headcount!$L$6:$L$92)/12),0),"New Year"))))),SUMIF('Dept. Cost Actuals'!$E$7:$E$176,"*bonus*",'Dept. Cost Actuals'!AW$355:AW$524))</f>
        <v>37731.399171666671</v>
      </c>
      <c r="AT16" s="668">
        <f>IF(AT$4="forecast",IF(YEAR(AT$3)=YEAR(Headcount!$N$4),IF((AT$5&lt;12),(SUMPRODUCT(--(Headcount!$F$6:$F$92="Software"),--(Headcount!$H$6:$H$92&gt;=Software!AT$3),Headcount!$N$6:$N$92,Headcount!$L$6:$L$92)/12),0),IF(YEAR(AT$3)=YEAR(Headcount!$O$4),IF((AT$5&lt;=12),(SUMPRODUCT(--(Headcount!$F$6:$F$92="Software"),--(Headcount!$H$6:$H$92&gt;=Software!AT$3),Headcount!$O$6:$O$92,Headcount!$L$6:$L$92)/12),0),IF(YEAR(AT$3)=YEAR(Headcount!$P$4),IF((AT$5&lt;=12),(SUMPRODUCT(--(Headcount!$F$6:$F$92="Software"),--(Headcount!$H$6:$H$92&gt;=Software!AT$3),Headcount!$P$6:$P$92,Headcount!$L$6:$L$92)/12),0),IF(YEAR(AT$3)=YEAR(Headcount!$Q$4),IF((AT$5&lt;=12),(SUMPRODUCT(--(Headcount!$F$6:$F$92="Software"),--(Headcount!$H$6:$H$92&gt;=Software!AT$3),Headcount!$Q$6:$Q$92,Headcount!$L$6:$L$92)/12),0),IF(YEAR(AT$3)=YEAR(Headcount!$R$4),IF((AT$5&lt;=12),(SUMPRODUCT(--(Headcount!$F$6:$F$92="Software"),--(Headcount!$H$6:$H$92&gt;=Software!AT$3),Headcount!$R$6:$R$92,Headcount!$L$6:$L$92)/12),0),"New Year"))))),SUMIF('Dept. Cost Actuals'!$E$7:$E$176,"*bonus*",'Dept. Cost Actuals'!AX$355:AX$524))</f>
        <v>37731.399171666671</v>
      </c>
      <c r="AU16" s="668">
        <f>IF(AU$4="forecast",IF(YEAR(AU$3)=YEAR(Headcount!$N$4),IF((AU$5&lt;12),(SUMPRODUCT(--(Headcount!$F$6:$F$92="Software"),--(Headcount!$H$6:$H$92&gt;=Software!AU$3),Headcount!$N$6:$N$92,Headcount!$L$6:$L$92)/12),0),IF(YEAR(AU$3)=YEAR(Headcount!$O$4),IF((AU$5&lt;=12),(SUMPRODUCT(--(Headcount!$F$6:$F$92="Software"),--(Headcount!$H$6:$H$92&gt;=Software!AU$3),Headcount!$O$6:$O$92,Headcount!$L$6:$L$92)/12),0),IF(YEAR(AU$3)=YEAR(Headcount!$P$4),IF((AU$5&lt;=12),(SUMPRODUCT(--(Headcount!$F$6:$F$92="Software"),--(Headcount!$H$6:$H$92&gt;=Software!AU$3),Headcount!$P$6:$P$92,Headcount!$L$6:$L$92)/12),0),IF(YEAR(AU$3)=YEAR(Headcount!$Q$4),IF((AU$5&lt;=12),(SUMPRODUCT(--(Headcount!$F$6:$F$92="Software"),--(Headcount!$H$6:$H$92&gt;=Software!AU$3),Headcount!$Q$6:$Q$92,Headcount!$L$6:$L$92)/12),0),IF(YEAR(AU$3)=YEAR(Headcount!$R$4),IF((AU$5&lt;=12),(SUMPRODUCT(--(Headcount!$F$6:$F$92="Software"),--(Headcount!$H$6:$H$92&gt;=Software!AU$3),Headcount!$R$6:$R$92,Headcount!$L$6:$L$92)/12),0),"New Year"))))),SUMIF('Dept. Cost Actuals'!$E$7:$E$176,"*bonus*",'Dept. Cost Actuals'!AY$355:AY$524))</f>
        <v>37731.399171666671</v>
      </c>
      <c r="AV16" s="668">
        <f>IF(AV$4="forecast",IF(YEAR(AV$3)=YEAR(Headcount!$N$4),IF((AV$5&lt;12),(SUMPRODUCT(--(Headcount!$F$6:$F$92="Software"),--(Headcount!$H$6:$H$92&gt;=Software!AV$3),Headcount!$N$6:$N$92,Headcount!$L$6:$L$92)/12),0),IF(YEAR(AV$3)=YEAR(Headcount!$O$4),IF((AV$5&lt;=12),(SUMPRODUCT(--(Headcount!$F$6:$F$92="Software"),--(Headcount!$H$6:$H$92&gt;=Software!AV$3),Headcount!$O$6:$O$92,Headcount!$L$6:$L$92)/12),0),IF(YEAR(AV$3)=YEAR(Headcount!$P$4),IF((AV$5&lt;=12),(SUMPRODUCT(--(Headcount!$F$6:$F$92="Software"),--(Headcount!$H$6:$H$92&gt;=Software!AV$3),Headcount!$P$6:$P$92,Headcount!$L$6:$L$92)/12),0),IF(YEAR(AV$3)=YEAR(Headcount!$Q$4),IF((AV$5&lt;=12),(SUMPRODUCT(--(Headcount!$F$6:$F$92="Software"),--(Headcount!$H$6:$H$92&gt;=Software!AV$3),Headcount!$Q$6:$Q$92,Headcount!$L$6:$L$92)/12),0),IF(YEAR(AV$3)=YEAR(Headcount!$R$4),IF((AV$5&lt;=12),(SUMPRODUCT(--(Headcount!$F$6:$F$92="Software"),--(Headcount!$H$6:$H$92&gt;=Software!AV$3),Headcount!$R$6:$R$92,Headcount!$L$6:$L$92)/12),0),"New Year"))))),SUMIF('Dept. Cost Actuals'!$E$7:$E$176,"*bonus*",'Dept. Cost Actuals'!AZ$355:AZ$524))</f>
        <v>37731.399171666671</v>
      </c>
      <c r="AW16" s="668">
        <f>IF(AW$4="forecast",IF(YEAR(AW$3)=YEAR(Headcount!$N$4),IF((AW$5&lt;12),(SUMPRODUCT(--(Headcount!$F$6:$F$92="Software"),--(Headcount!$H$6:$H$92&gt;=Software!AW$3),Headcount!$N$6:$N$92,Headcount!$L$6:$L$92)/12),0),IF(YEAR(AW$3)=YEAR(Headcount!$O$4),IF((AW$5&lt;=12),(SUMPRODUCT(--(Headcount!$F$6:$F$92="Software"),--(Headcount!$H$6:$H$92&gt;=Software!AW$3),Headcount!$O$6:$O$92,Headcount!$L$6:$L$92)/12),0),IF(YEAR(AW$3)=YEAR(Headcount!$P$4),IF((AW$5&lt;=12),(SUMPRODUCT(--(Headcount!$F$6:$F$92="Software"),--(Headcount!$H$6:$H$92&gt;=Software!AW$3),Headcount!$P$6:$P$92,Headcount!$L$6:$L$92)/12),0),IF(YEAR(AW$3)=YEAR(Headcount!$Q$4),IF((AW$5&lt;=12),(SUMPRODUCT(--(Headcount!$F$6:$F$92="Software"),--(Headcount!$H$6:$H$92&gt;=Software!AW$3),Headcount!$Q$6:$Q$92,Headcount!$L$6:$L$92)/12),0),IF(YEAR(AW$3)=YEAR(Headcount!$R$4),IF((AW$5&lt;=12),(SUMPRODUCT(--(Headcount!$F$6:$F$92="Software"),--(Headcount!$H$6:$H$92&gt;=Software!AW$3),Headcount!$R$6:$R$92,Headcount!$L$6:$L$92)/12),0),"New Year"))))),SUMIF('Dept. Cost Actuals'!$E$7:$E$176,"*bonus*",'Dept. Cost Actuals'!BA$355:BA$524))</f>
        <v>37731.399171666671</v>
      </c>
      <c r="AX16" s="668">
        <f>IF(AX$4="forecast",IF(YEAR(AX$3)=YEAR(Headcount!$N$4),IF((AX$5&lt;12),(SUMPRODUCT(--(Headcount!$F$6:$F$92="Software"),--(Headcount!$H$6:$H$92&gt;=Software!AX$3),Headcount!$N$6:$N$92,Headcount!$L$6:$L$92)/12),0),IF(YEAR(AX$3)=YEAR(Headcount!$O$4),IF((AX$5&lt;=12),(SUMPRODUCT(--(Headcount!$F$6:$F$92="Software"),--(Headcount!$H$6:$H$92&gt;=Software!AX$3),Headcount!$O$6:$O$92,Headcount!$L$6:$L$92)/12),0),IF(YEAR(AX$3)=YEAR(Headcount!$P$4),IF((AX$5&lt;=12),(SUMPRODUCT(--(Headcount!$F$6:$F$92="Software"),--(Headcount!$H$6:$H$92&gt;=Software!AX$3),Headcount!$P$6:$P$92,Headcount!$L$6:$L$92)/12),0),IF(YEAR(AX$3)=YEAR(Headcount!$Q$4),IF((AX$5&lt;=12),(SUMPRODUCT(--(Headcount!$F$6:$F$92="Software"),--(Headcount!$H$6:$H$92&gt;=Software!AX$3),Headcount!$Q$6:$Q$92,Headcount!$L$6:$L$92)/12),0),IF(YEAR(AX$3)=YEAR(Headcount!$R$4),IF((AX$5&lt;=12),(SUMPRODUCT(--(Headcount!$F$6:$F$92="Software"),--(Headcount!$H$6:$H$92&gt;=Software!AX$3),Headcount!$R$6:$R$92,Headcount!$L$6:$L$92)/12),0),"New Year"))))),SUMIF('Dept. Cost Actuals'!$E$7:$E$176,"*bonus*",'Dept. Cost Actuals'!BB$355:BB$524))</f>
        <v>37731.399171666671</v>
      </c>
      <c r="AY16" s="668">
        <f>IF(AY$4="forecast",IF(YEAR(AY$3)=YEAR(Headcount!$N$4),IF((AY$5&lt;12),(SUMPRODUCT(--(Headcount!$F$6:$F$92="Software"),--(Headcount!$H$6:$H$92&gt;=Software!AY$3),Headcount!$N$6:$N$92,Headcount!$L$6:$L$92)/12),0),IF(YEAR(AY$3)=YEAR(Headcount!$O$4),IF((AY$5&lt;=12),(SUMPRODUCT(--(Headcount!$F$6:$F$92="Software"),--(Headcount!$H$6:$H$92&gt;=Software!AY$3),Headcount!$O$6:$O$92,Headcount!$L$6:$L$92)/12),0),IF(YEAR(AY$3)=YEAR(Headcount!$P$4),IF((AY$5&lt;=12),(SUMPRODUCT(--(Headcount!$F$6:$F$92="Software"),--(Headcount!$H$6:$H$92&gt;=Software!AY$3),Headcount!$P$6:$P$92,Headcount!$L$6:$L$92)/12),0),IF(YEAR(AY$3)=YEAR(Headcount!$Q$4),IF((AY$5&lt;=12),(SUMPRODUCT(--(Headcount!$F$6:$F$92="Software"),--(Headcount!$H$6:$H$92&gt;=Software!AY$3),Headcount!$Q$6:$Q$92,Headcount!$L$6:$L$92)/12),0),IF(YEAR(AY$3)=YEAR(Headcount!$R$4),IF((AY$5&lt;=12),(SUMPRODUCT(--(Headcount!$F$6:$F$92="Software"),--(Headcount!$H$6:$H$92&gt;=Software!AY$3),Headcount!$R$6:$R$92,Headcount!$L$6:$L$92)/12),0),"New Year"))))),SUMIF('Dept. Cost Actuals'!$E$7:$E$176,"*bonus*",'Dept. Cost Actuals'!BC$355:BC$524))</f>
        <v>38863.341146816667</v>
      </c>
      <c r="AZ16" s="668">
        <f>IF(AZ$4="forecast",IF(YEAR(AZ$3)=YEAR(Headcount!$N$4),IF((AZ$5&lt;12),(SUMPRODUCT(--(Headcount!$F$6:$F$92="Software"),--(Headcount!$H$6:$H$92&gt;=Software!AZ$3),Headcount!$N$6:$N$92,Headcount!$L$6:$L$92)/12),0),IF(YEAR(AZ$3)=YEAR(Headcount!$O$4),IF((AZ$5&lt;=12),(SUMPRODUCT(--(Headcount!$F$6:$F$92="Software"),--(Headcount!$H$6:$H$92&gt;=Software!AZ$3),Headcount!$O$6:$O$92,Headcount!$L$6:$L$92)/12),0),IF(YEAR(AZ$3)=YEAR(Headcount!$P$4),IF((AZ$5&lt;=12),(SUMPRODUCT(--(Headcount!$F$6:$F$92="Software"),--(Headcount!$H$6:$H$92&gt;=Software!AZ$3),Headcount!$P$6:$P$92,Headcount!$L$6:$L$92)/12),0),IF(YEAR(AZ$3)=YEAR(Headcount!$Q$4),IF((AZ$5&lt;=12),(SUMPRODUCT(--(Headcount!$F$6:$F$92="Software"),--(Headcount!$H$6:$H$92&gt;=Software!AZ$3),Headcount!$Q$6:$Q$92,Headcount!$L$6:$L$92)/12),0),IF(YEAR(AZ$3)=YEAR(Headcount!$R$4),IF((AZ$5&lt;=12),(SUMPRODUCT(--(Headcount!$F$6:$F$92="Software"),--(Headcount!$H$6:$H$92&gt;=Software!AZ$3),Headcount!$R$6:$R$92,Headcount!$L$6:$L$92)/12),0),"New Year"))))),SUMIF('Dept. Cost Actuals'!$E$7:$E$176,"*bonus*",'Dept. Cost Actuals'!BD$355:BD$524))</f>
        <v>38863.341146816667</v>
      </c>
      <c r="BA16" s="668">
        <f>IF(BA$4="forecast",IF(YEAR(BA$3)=YEAR(Headcount!$N$4),IF((BA$5&lt;12),(SUMPRODUCT(--(Headcount!$F$6:$F$92="Software"),--(Headcount!$H$6:$H$92&gt;=Software!BA$3),Headcount!$N$6:$N$92,Headcount!$L$6:$L$92)/12),0),IF(YEAR(BA$3)=YEAR(Headcount!$O$4),IF((BA$5&lt;=12),(SUMPRODUCT(--(Headcount!$F$6:$F$92="Software"),--(Headcount!$H$6:$H$92&gt;=Software!BA$3),Headcount!$O$6:$O$92,Headcount!$L$6:$L$92)/12),0),IF(YEAR(BA$3)=YEAR(Headcount!$P$4),IF((BA$5&lt;=12),(SUMPRODUCT(--(Headcount!$F$6:$F$92="Software"),--(Headcount!$H$6:$H$92&gt;=Software!BA$3),Headcount!$P$6:$P$92,Headcount!$L$6:$L$92)/12),0),IF(YEAR(BA$3)=YEAR(Headcount!$Q$4),IF((BA$5&lt;=12),(SUMPRODUCT(--(Headcount!$F$6:$F$92="Software"),--(Headcount!$H$6:$H$92&gt;=Software!BA$3),Headcount!$Q$6:$Q$92,Headcount!$L$6:$L$92)/12),0),IF(YEAR(BA$3)=YEAR(Headcount!$R$4),IF((BA$5&lt;=12),(SUMPRODUCT(--(Headcount!$F$6:$F$92="Software"),--(Headcount!$H$6:$H$92&gt;=Software!BA$3),Headcount!$R$6:$R$92,Headcount!$L$6:$L$92)/12),0),"New Year"))))),SUMIF('Dept. Cost Actuals'!$E$7:$E$176,"*bonus*",'Dept. Cost Actuals'!BE$355:BE$524))</f>
        <v>38863.341146816667</v>
      </c>
      <c r="BB16" s="668">
        <f>IF(BB$4="forecast",IF(YEAR(BB$3)=YEAR(Headcount!$N$4),IF((BB$5&lt;12),(SUMPRODUCT(--(Headcount!$F$6:$F$92="Software"),--(Headcount!$H$6:$H$92&gt;=Software!BB$3),Headcount!$N$6:$N$92,Headcount!$L$6:$L$92)/12),0),IF(YEAR(BB$3)=YEAR(Headcount!$O$4),IF((BB$5&lt;=12),(SUMPRODUCT(--(Headcount!$F$6:$F$92="Software"),--(Headcount!$H$6:$H$92&gt;=Software!BB$3),Headcount!$O$6:$O$92,Headcount!$L$6:$L$92)/12),0),IF(YEAR(BB$3)=YEAR(Headcount!$P$4),IF((BB$5&lt;=12),(SUMPRODUCT(--(Headcount!$F$6:$F$92="Software"),--(Headcount!$H$6:$H$92&gt;=Software!BB$3),Headcount!$P$6:$P$92,Headcount!$L$6:$L$92)/12),0),IF(YEAR(BB$3)=YEAR(Headcount!$Q$4),IF((BB$5&lt;=12),(SUMPRODUCT(--(Headcount!$F$6:$F$92="Software"),--(Headcount!$H$6:$H$92&gt;=Software!BB$3),Headcount!$Q$6:$Q$92,Headcount!$L$6:$L$92)/12),0),IF(YEAR(BB$3)=YEAR(Headcount!$R$4),IF((BB$5&lt;=12),(SUMPRODUCT(--(Headcount!$F$6:$F$92="Software"),--(Headcount!$H$6:$H$92&gt;=Software!BB$3),Headcount!$R$6:$R$92,Headcount!$L$6:$L$92)/12),0),"New Year"))))),SUMIF('Dept. Cost Actuals'!$E$7:$E$176,"*bonus*",'Dept. Cost Actuals'!BF$355:BF$524))</f>
        <v>38863.341146816667</v>
      </c>
      <c r="BC16" s="668">
        <f>IF(BC$4="forecast",IF(YEAR(BC$3)=YEAR(Headcount!$N$4),IF((BC$5&lt;12),(SUMPRODUCT(--(Headcount!$F$6:$F$92="Software"),--(Headcount!$H$6:$H$92&gt;=Software!BC$3),Headcount!$N$6:$N$92,Headcount!$L$6:$L$92)/12),0),IF(YEAR(BC$3)=YEAR(Headcount!$O$4),IF((BC$5&lt;=12),(SUMPRODUCT(--(Headcount!$F$6:$F$92="Software"),--(Headcount!$H$6:$H$92&gt;=Software!BC$3),Headcount!$O$6:$O$92,Headcount!$L$6:$L$92)/12),0),IF(YEAR(BC$3)=YEAR(Headcount!$P$4),IF((BC$5&lt;=12),(SUMPRODUCT(--(Headcount!$F$6:$F$92="Software"),--(Headcount!$H$6:$H$92&gt;=Software!BC$3),Headcount!$P$6:$P$92,Headcount!$L$6:$L$92)/12),0),IF(YEAR(BC$3)=YEAR(Headcount!$Q$4),IF((BC$5&lt;=12),(SUMPRODUCT(--(Headcount!$F$6:$F$92="Software"),--(Headcount!$H$6:$H$92&gt;=Software!BC$3),Headcount!$Q$6:$Q$92,Headcount!$L$6:$L$92)/12),0),IF(YEAR(BC$3)=YEAR(Headcount!$R$4),IF((BC$5&lt;=12),(SUMPRODUCT(--(Headcount!$F$6:$F$92="Software"),--(Headcount!$H$6:$H$92&gt;=Software!BC$3),Headcount!$R$6:$R$92,Headcount!$L$6:$L$92)/12),0),"New Year"))))),SUMIF('Dept. Cost Actuals'!$E$7:$E$176,"*bonus*",'Dept. Cost Actuals'!BG$355:BG$524))</f>
        <v>38863.341146816667</v>
      </c>
      <c r="BD16" s="668">
        <f>IF(BD$4="forecast",IF(YEAR(BD$3)=YEAR(Headcount!$N$4),IF((BD$5&lt;12),(SUMPRODUCT(--(Headcount!$F$6:$F$92="Software"),--(Headcount!$H$6:$H$92&gt;=Software!BD$3),Headcount!$N$6:$N$92,Headcount!$L$6:$L$92)/12),0),IF(YEAR(BD$3)=YEAR(Headcount!$O$4),IF((BD$5&lt;=12),(SUMPRODUCT(--(Headcount!$F$6:$F$92="Software"),--(Headcount!$H$6:$H$92&gt;=Software!BD$3),Headcount!$O$6:$O$92,Headcount!$L$6:$L$92)/12),0),IF(YEAR(BD$3)=YEAR(Headcount!$P$4),IF((BD$5&lt;=12),(SUMPRODUCT(--(Headcount!$F$6:$F$92="Software"),--(Headcount!$H$6:$H$92&gt;=Software!BD$3),Headcount!$P$6:$P$92,Headcount!$L$6:$L$92)/12),0),IF(YEAR(BD$3)=YEAR(Headcount!$Q$4),IF((BD$5&lt;=12),(SUMPRODUCT(--(Headcount!$F$6:$F$92="Software"),--(Headcount!$H$6:$H$92&gt;=Software!BD$3),Headcount!$Q$6:$Q$92,Headcount!$L$6:$L$92)/12),0),IF(YEAR(BD$3)=YEAR(Headcount!$R$4),IF((BD$5&lt;=12),(SUMPRODUCT(--(Headcount!$F$6:$F$92="Software"),--(Headcount!$H$6:$H$92&gt;=Software!BD$3),Headcount!$R$6:$R$92,Headcount!$L$6:$L$92)/12),0),"New Year"))))),SUMIF('Dept. Cost Actuals'!$E$7:$E$176,"*bonus*",'Dept. Cost Actuals'!BH$355:BH$524))</f>
        <v>38863.341146816667</v>
      </c>
      <c r="BE16" s="668">
        <f>IF(BE$4="forecast",IF(YEAR(BE$3)=YEAR(Headcount!$N$4),IF((BE$5&lt;12),(SUMPRODUCT(--(Headcount!$F$6:$F$92="Software"),--(Headcount!$H$6:$H$92&gt;=Software!BE$3),Headcount!$N$6:$N$92,Headcount!$L$6:$L$92)/12),0),IF(YEAR(BE$3)=YEAR(Headcount!$O$4),IF((BE$5&lt;=12),(SUMPRODUCT(--(Headcount!$F$6:$F$92="Software"),--(Headcount!$H$6:$H$92&gt;=Software!BE$3),Headcount!$O$6:$O$92,Headcount!$L$6:$L$92)/12),0),IF(YEAR(BE$3)=YEAR(Headcount!$P$4),IF((BE$5&lt;=12),(SUMPRODUCT(--(Headcount!$F$6:$F$92="Software"),--(Headcount!$H$6:$H$92&gt;=Software!BE$3),Headcount!$P$6:$P$92,Headcount!$L$6:$L$92)/12),0),IF(YEAR(BE$3)=YEAR(Headcount!$Q$4),IF((BE$5&lt;=12),(SUMPRODUCT(--(Headcount!$F$6:$F$92="Software"),--(Headcount!$H$6:$H$92&gt;=Software!BE$3),Headcount!$Q$6:$Q$92,Headcount!$L$6:$L$92)/12),0),IF(YEAR(BE$3)=YEAR(Headcount!$R$4),IF((BE$5&lt;=12),(SUMPRODUCT(--(Headcount!$F$6:$F$92="Software"),--(Headcount!$H$6:$H$92&gt;=Software!BE$3),Headcount!$R$6:$R$92,Headcount!$L$6:$L$92)/12),0),"New Year"))))),SUMIF('Dept. Cost Actuals'!$E$7:$E$176,"*bonus*",'Dept. Cost Actuals'!BI$355:BI$524))</f>
        <v>38863.341146816667</v>
      </c>
      <c r="BF16" s="668">
        <f>IF(BF$4="forecast",IF(YEAR(BF$3)=YEAR(Headcount!$N$4),IF((BF$5&lt;12),(SUMPRODUCT(--(Headcount!$F$6:$F$92="Software"),--(Headcount!$H$6:$H$92&gt;=Software!BF$3),Headcount!$N$6:$N$92,Headcount!$L$6:$L$92)/12),0),IF(YEAR(BF$3)=YEAR(Headcount!$O$4),IF((BF$5&lt;=12),(SUMPRODUCT(--(Headcount!$F$6:$F$92="Software"),--(Headcount!$H$6:$H$92&gt;=Software!BF$3),Headcount!$O$6:$O$92,Headcount!$L$6:$L$92)/12),0),IF(YEAR(BF$3)=YEAR(Headcount!$P$4),IF((BF$5&lt;=12),(SUMPRODUCT(--(Headcount!$F$6:$F$92="Software"),--(Headcount!$H$6:$H$92&gt;=Software!BF$3),Headcount!$P$6:$P$92,Headcount!$L$6:$L$92)/12),0),IF(YEAR(BF$3)=YEAR(Headcount!$Q$4),IF((BF$5&lt;=12),(SUMPRODUCT(--(Headcount!$F$6:$F$92="Software"),--(Headcount!$H$6:$H$92&gt;=Software!BF$3),Headcount!$Q$6:$Q$92,Headcount!$L$6:$L$92)/12),0),IF(YEAR(BF$3)=YEAR(Headcount!$R$4),IF((BF$5&lt;=12),(SUMPRODUCT(--(Headcount!$F$6:$F$92="Software"),--(Headcount!$H$6:$H$92&gt;=Software!BF$3),Headcount!$R$6:$R$92,Headcount!$L$6:$L$92)/12),0),"New Year"))))),SUMIF('Dept. Cost Actuals'!$E$7:$E$176,"*bonus*",'Dept. Cost Actuals'!BJ$355:BJ$524))</f>
        <v>38863.341146816667</v>
      </c>
      <c r="BG16" s="668">
        <f>IF(BG$4="forecast",IF(YEAR(BG$3)=YEAR(Headcount!$N$4),IF((BG$5&lt;12),(SUMPRODUCT(--(Headcount!$F$6:$F$92="Software"),--(Headcount!$H$6:$H$92&gt;=Software!BG$3),Headcount!$N$6:$N$92,Headcount!$L$6:$L$92)/12),0),IF(YEAR(BG$3)=YEAR(Headcount!$O$4),IF((BG$5&lt;=12),(SUMPRODUCT(--(Headcount!$F$6:$F$92="Software"),--(Headcount!$H$6:$H$92&gt;=Software!BG$3),Headcount!$O$6:$O$92,Headcount!$L$6:$L$92)/12),0),IF(YEAR(BG$3)=YEAR(Headcount!$P$4),IF((BG$5&lt;=12),(SUMPRODUCT(--(Headcount!$F$6:$F$92="Software"),--(Headcount!$H$6:$H$92&gt;=Software!BG$3),Headcount!$P$6:$P$92,Headcount!$L$6:$L$92)/12),0),IF(YEAR(BG$3)=YEAR(Headcount!$Q$4),IF((BG$5&lt;=12),(SUMPRODUCT(--(Headcount!$F$6:$F$92="Software"),--(Headcount!$H$6:$H$92&gt;=Software!BG$3),Headcount!$Q$6:$Q$92,Headcount!$L$6:$L$92)/12),0),IF(YEAR(BG$3)=YEAR(Headcount!$R$4),IF((BG$5&lt;=12),(SUMPRODUCT(--(Headcount!$F$6:$F$92="Software"),--(Headcount!$H$6:$H$92&gt;=Software!BG$3),Headcount!$R$6:$R$92,Headcount!$L$6:$L$92)/12),0),"New Year"))))),SUMIF('Dept. Cost Actuals'!$E$7:$E$176,"*bonus*",'Dept. Cost Actuals'!BK$355:BK$524))</f>
        <v>38863.341146816667</v>
      </c>
      <c r="BH16" s="668">
        <f>IF(BH$4="forecast",IF(YEAR(BH$3)=YEAR(Headcount!$N$4),IF((BH$5&lt;12),(SUMPRODUCT(--(Headcount!$F$6:$F$92="Software"),--(Headcount!$H$6:$H$92&gt;=Software!BH$3),Headcount!$N$6:$N$92,Headcount!$L$6:$L$92)/12),0),IF(YEAR(BH$3)=YEAR(Headcount!$O$4),IF((BH$5&lt;=12),(SUMPRODUCT(--(Headcount!$F$6:$F$92="Software"),--(Headcount!$H$6:$H$92&gt;=Software!BH$3),Headcount!$O$6:$O$92,Headcount!$L$6:$L$92)/12),0),IF(YEAR(BH$3)=YEAR(Headcount!$P$4),IF((BH$5&lt;=12),(SUMPRODUCT(--(Headcount!$F$6:$F$92="Software"),--(Headcount!$H$6:$H$92&gt;=Software!BH$3),Headcount!$P$6:$P$92,Headcount!$L$6:$L$92)/12),0),IF(YEAR(BH$3)=YEAR(Headcount!$Q$4),IF((BH$5&lt;=12),(SUMPRODUCT(--(Headcount!$F$6:$F$92="Software"),--(Headcount!$H$6:$H$92&gt;=Software!BH$3),Headcount!$Q$6:$Q$92,Headcount!$L$6:$L$92)/12),0),IF(YEAR(BH$3)=YEAR(Headcount!$R$4),IF((BH$5&lt;=12),(SUMPRODUCT(--(Headcount!$F$6:$F$92="Software"),--(Headcount!$H$6:$H$92&gt;=Software!BH$3),Headcount!$R$6:$R$92,Headcount!$L$6:$L$92)/12),0),"New Year"))))),SUMIF('Dept. Cost Actuals'!$E$7:$E$176,"*bonus*",'Dept. Cost Actuals'!BL$355:BL$524))</f>
        <v>38863.341146816667</v>
      </c>
      <c r="BI16" s="668">
        <f>IF(BI$4="forecast",IF(YEAR(BI$3)=YEAR(Headcount!$N$4),IF((BI$5&lt;12),(SUMPRODUCT(--(Headcount!$F$6:$F$92="Software"),--(Headcount!$H$6:$H$92&gt;=Software!BI$3),Headcount!$N$6:$N$92,Headcount!$L$6:$L$92)/12),0),IF(YEAR(BI$3)=YEAR(Headcount!$O$4),IF((BI$5&lt;=12),(SUMPRODUCT(--(Headcount!$F$6:$F$92="Software"),--(Headcount!$H$6:$H$92&gt;=Software!BI$3),Headcount!$O$6:$O$92,Headcount!$L$6:$L$92)/12),0),IF(YEAR(BI$3)=YEAR(Headcount!$P$4),IF((BI$5&lt;=12),(SUMPRODUCT(--(Headcount!$F$6:$F$92="Software"),--(Headcount!$H$6:$H$92&gt;=Software!BI$3),Headcount!$P$6:$P$92,Headcount!$L$6:$L$92)/12),0),IF(YEAR(BI$3)=YEAR(Headcount!$Q$4),IF((BI$5&lt;=12),(SUMPRODUCT(--(Headcount!$F$6:$F$92="Software"),--(Headcount!$H$6:$H$92&gt;=Software!BI$3),Headcount!$Q$6:$Q$92,Headcount!$L$6:$L$92)/12),0),IF(YEAR(BI$3)=YEAR(Headcount!$R$4),IF((BI$5&lt;=12),(SUMPRODUCT(--(Headcount!$F$6:$F$92="Software"),--(Headcount!$H$6:$H$92&gt;=Software!BI$3),Headcount!$R$6:$R$92,Headcount!$L$6:$L$92)/12),0),"New Year"))))),SUMIF('Dept. Cost Actuals'!$E$7:$E$176,"*bonus*",'Dept. Cost Actuals'!BM$355:BM$524))</f>
        <v>38863.341146816667</v>
      </c>
      <c r="BJ16" s="668">
        <f>IF(BJ$4="forecast",IF(YEAR(BJ$3)=YEAR(Headcount!$N$4),IF((BJ$5&lt;12),(SUMPRODUCT(--(Headcount!$F$6:$F$92="Software"),--(Headcount!$H$6:$H$92&gt;=Software!BJ$3),Headcount!$N$6:$N$92,Headcount!$L$6:$L$92)/12),0),IF(YEAR(BJ$3)=YEAR(Headcount!$O$4),IF((BJ$5&lt;=12),(SUMPRODUCT(--(Headcount!$F$6:$F$92="Software"),--(Headcount!$H$6:$H$92&gt;=Software!BJ$3),Headcount!$O$6:$O$92,Headcount!$L$6:$L$92)/12),0),IF(YEAR(BJ$3)=YEAR(Headcount!$P$4),IF((BJ$5&lt;=12),(SUMPRODUCT(--(Headcount!$F$6:$F$92="Software"),--(Headcount!$H$6:$H$92&gt;=Software!BJ$3),Headcount!$P$6:$P$92,Headcount!$L$6:$L$92)/12),0),IF(YEAR(BJ$3)=YEAR(Headcount!$Q$4),IF((BJ$5&lt;=12),(SUMPRODUCT(--(Headcount!$F$6:$F$92="Software"),--(Headcount!$H$6:$H$92&gt;=Software!BJ$3),Headcount!$Q$6:$Q$92,Headcount!$L$6:$L$92)/12),0),IF(YEAR(BJ$3)=YEAR(Headcount!$R$4),IF((BJ$5&lt;=12),(SUMPRODUCT(--(Headcount!$F$6:$F$92="Software"),--(Headcount!$H$6:$H$92&gt;=Software!BJ$3),Headcount!$R$6:$R$92,Headcount!$L$6:$L$92)/12),0),"New Year"))))),SUMIF('Dept. Cost Actuals'!$E$7:$E$176,"*bonus*",'Dept. Cost Actuals'!BN$355:BN$524))</f>
        <v>38863.341146816667</v>
      </c>
      <c r="BK16" s="668">
        <f>IF(BK$4="forecast",IF(YEAR(BK$3)=YEAR(Headcount!$N$4),IF((BK$5&lt;12),(SUMPRODUCT(--(Headcount!$F$6:$F$92="Software"),--(Headcount!$H$6:$H$92&gt;=Software!BK$3),Headcount!$N$6:$N$92,Headcount!$L$6:$L$92)/12),0),IF(YEAR(BK$3)=YEAR(Headcount!$O$4),IF((BK$5&lt;=12),(SUMPRODUCT(--(Headcount!$F$6:$F$92="Software"),--(Headcount!$H$6:$H$92&gt;=Software!BK$3),Headcount!$O$6:$O$92,Headcount!$L$6:$L$92)/12),0),IF(YEAR(BK$3)=YEAR(Headcount!$P$4),IF((BK$5&lt;=12),(SUMPRODUCT(--(Headcount!$F$6:$F$92="Software"),--(Headcount!$H$6:$H$92&gt;=Software!BK$3),Headcount!$P$6:$P$92,Headcount!$L$6:$L$92)/12),0),IF(YEAR(BK$3)=YEAR(Headcount!$Q$4),IF((BK$5&lt;=12),(SUMPRODUCT(--(Headcount!$F$6:$F$92="Software"),--(Headcount!$H$6:$H$92&gt;=Software!BK$3),Headcount!$Q$6:$Q$92,Headcount!$L$6:$L$92)/12),0),IF(YEAR(BK$3)=YEAR(Headcount!$R$4),IF((BK$5&lt;=12),(SUMPRODUCT(--(Headcount!$F$6:$F$92="Software"),--(Headcount!$H$6:$H$92&gt;=Software!BK$3),Headcount!$R$6:$R$92,Headcount!$L$6:$L$92)/12),0),"New Year"))))),SUMIF('Dept. Cost Actuals'!$E$7:$E$176,"*bonus*",'Dept. Cost Actuals'!BO$355:BO$524))</f>
        <v>40029.241381221167</v>
      </c>
      <c r="BL16" s="668">
        <f>IF(BL$4="forecast",IF(YEAR(BL$3)=YEAR(Headcount!$N$4),IF((BL$5&lt;12),(SUMPRODUCT(--(Headcount!$F$6:$F$92="Software"),--(Headcount!$H$6:$H$92&gt;=Software!BL$3),Headcount!$N$6:$N$92,Headcount!$L$6:$L$92)/12),0),IF(YEAR(BL$3)=YEAR(Headcount!$O$4),IF((BL$5&lt;=12),(SUMPRODUCT(--(Headcount!$F$6:$F$92="Software"),--(Headcount!$H$6:$H$92&gt;=Software!BL$3),Headcount!$O$6:$O$92,Headcount!$L$6:$L$92)/12),0),IF(YEAR(BL$3)=YEAR(Headcount!$P$4),IF((BL$5&lt;=12),(SUMPRODUCT(--(Headcount!$F$6:$F$92="Software"),--(Headcount!$H$6:$H$92&gt;=Software!BL$3),Headcount!$P$6:$P$92,Headcount!$L$6:$L$92)/12),0),IF(YEAR(BL$3)=YEAR(Headcount!$Q$4),IF((BL$5&lt;=12),(SUMPRODUCT(--(Headcount!$F$6:$F$92="Software"),--(Headcount!$H$6:$H$92&gt;=Software!BL$3),Headcount!$Q$6:$Q$92,Headcount!$L$6:$L$92)/12),0),IF(YEAR(BL$3)=YEAR(Headcount!$R$4),IF((BL$5&lt;=12),(SUMPRODUCT(--(Headcount!$F$6:$F$92="Software"),--(Headcount!$H$6:$H$92&gt;=Software!BL$3),Headcount!$R$6:$R$92,Headcount!$L$6:$L$92)/12),0),"New Year"))))),SUMIF('Dept. Cost Actuals'!$E$7:$E$176,"*bonus*",'Dept. Cost Actuals'!BP$355:BP$524))</f>
        <v>40029.241381221167</v>
      </c>
      <c r="BM16" s="668">
        <f>IF(BM$4="forecast",IF(YEAR(BM$3)=YEAR(Headcount!$N$4),IF((BM$5&lt;12),(SUMPRODUCT(--(Headcount!$F$6:$F$92="Software"),--(Headcount!$H$6:$H$92&gt;=Software!BM$3),Headcount!$N$6:$N$92,Headcount!$L$6:$L$92)/12),0),IF(YEAR(BM$3)=YEAR(Headcount!$O$4),IF((BM$5&lt;=12),(SUMPRODUCT(--(Headcount!$F$6:$F$92="Software"),--(Headcount!$H$6:$H$92&gt;=Software!BM$3),Headcount!$O$6:$O$92,Headcount!$L$6:$L$92)/12),0),IF(YEAR(BM$3)=YEAR(Headcount!$P$4),IF((BM$5&lt;=12),(SUMPRODUCT(--(Headcount!$F$6:$F$92="Software"),--(Headcount!$H$6:$H$92&gt;=Software!BM$3),Headcount!$P$6:$P$92,Headcount!$L$6:$L$92)/12),0),IF(YEAR(BM$3)=YEAR(Headcount!$Q$4),IF((BM$5&lt;=12),(SUMPRODUCT(--(Headcount!$F$6:$F$92="Software"),--(Headcount!$H$6:$H$92&gt;=Software!BM$3),Headcount!$Q$6:$Q$92,Headcount!$L$6:$L$92)/12),0),IF(YEAR(BM$3)=YEAR(Headcount!$R$4),IF((BM$5&lt;=12),(SUMPRODUCT(--(Headcount!$F$6:$F$92="Software"),--(Headcount!$H$6:$H$92&gt;=Software!BM$3),Headcount!$R$6:$R$92,Headcount!$L$6:$L$92)/12),0),"New Year"))))),SUMIF('Dept. Cost Actuals'!$E$7:$E$176,"*bonus*",'Dept. Cost Actuals'!BQ$355:BQ$524))</f>
        <v>40029.241381221167</v>
      </c>
      <c r="BN16" s="668">
        <f>IF(BN$4="forecast",IF(YEAR(BN$3)=YEAR(Headcount!$N$4),IF((BN$5&lt;12),(SUMPRODUCT(--(Headcount!$F$6:$F$92="Software"),--(Headcount!$H$6:$H$92&gt;=Software!BN$3),Headcount!$N$6:$N$92,Headcount!$L$6:$L$92)/12),0),IF(YEAR(BN$3)=YEAR(Headcount!$O$4),IF((BN$5&lt;=12),(SUMPRODUCT(--(Headcount!$F$6:$F$92="Software"),--(Headcount!$H$6:$H$92&gt;=Software!BN$3),Headcount!$O$6:$O$92,Headcount!$L$6:$L$92)/12),0),IF(YEAR(BN$3)=YEAR(Headcount!$P$4),IF((BN$5&lt;=12),(SUMPRODUCT(--(Headcount!$F$6:$F$92="Software"),--(Headcount!$H$6:$H$92&gt;=Software!BN$3),Headcount!$P$6:$P$92,Headcount!$L$6:$L$92)/12),0),IF(YEAR(BN$3)=YEAR(Headcount!$Q$4),IF((BN$5&lt;=12),(SUMPRODUCT(--(Headcount!$F$6:$F$92="Software"),--(Headcount!$H$6:$H$92&gt;=Software!BN$3),Headcount!$Q$6:$Q$92,Headcount!$L$6:$L$92)/12),0),IF(YEAR(BN$3)=YEAR(Headcount!$R$4),IF((BN$5&lt;=12),(SUMPRODUCT(--(Headcount!$F$6:$F$92="Software"),--(Headcount!$H$6:$H$92&gt;=Software!BN$3),Headcount!$R$6:$R$92,Headcount!$L$6:$L$92)/12),0),"New Year"))))),SUMIF('Dept. Cost Actuals'!$E$7:$E$176,"*bonus*",'Dept. Cost Actuals'!BR$355:BR$524))</f>
        <v>40029.241381221167</v>
      </c>
      <c r="BO16" s="668">
        <f>IF(BO$4="forecast",IF(YEAR(BO$3)=YEAR(Headcount!$N$4),IF((BO$5&lt;12),(SUMPRODUCT(--(Headcount!$F$6:$F$92="Software"),--(Headcount!$H$6:$H$92&gt;=Software!BO$3),Headcount!$N$6:$N$92,Headcount!$L$6:$L$92)/12),0),IF(YEAR(BO$3)=YEAR(Headcount!$O$4),IF((BO$5&lt;=12),(SUMPRODUCT(--(Headcount!$F$6:$F$92="Software"),--(Headcount!$H$6:$H$92&gt;=Software!BO$3),Headcount!$O$6:$O$92,Headcount!$L$6:$L$92)/12),0),IF(YEAR(BO$3)=YEAR(Headcount!$P$4),IF((BO$5&lt;=12),(SUMPRODUCT(--(Headcount!$F$6:$F$92="Software"),--(Headcount!$H$6:$H$92&gt;=Software!BO$3),Headcount!$P$6:$P$92,Headcount!$L$6:$L$92)/12),0),IF(YEAR(BO$3)=YEAR(Headcount!$Q$4),IF((BO$5&lt;=12),(SUMPRODUCT(--(Headcount!$F$6:$F$92="Software"),--(Headcount!$H$6:$H$92&gt;=Software!BO$3),Headcount!$Q$6:$Q$92,Headcount!$L$6:$L$92)/12),0),IF(YEAR(BO$3)=YEAR(Headcount!$R$4),IF((BO$5&lt;=12),(SUMPRODUCT(--(Headcount!$F$6:$F$92="Software"),--(Headcount!$H$6:$H$92&gt;=Software!BO$3),Headcount!$R$6:$R$92,Headcount!$L$6:$L$92)/12),0),"New Year"))))),SUMIF('Dept. Cost Actuals'!$E$7:$E$176,"*bonus*",'Dept. Cost Actuals'!BS$355:BS$524))</f>
        <v>40029.241381221167</v>
      </c>
      <c r="BP16" s="668">
        <f>IF(BP$4="forecast",IF(YEAR(BP$3)=YEAR(Headcount!$N$4),IF((BP$5&lt;12),(SUMPRODUCT(--(Headcount!$F$6:$F$92="Software"),--(Headcount!$H$6:$H$92&gt;=Software!BP$3),Headcount!$N$6:$N$92,Headcount!$L$6:$L$92)/12),0),IF(YEAR(BP$3)=YEAR(Headcount!$O$4),IF((BP$5&lt;=12),(SUMPRODUCT(--(Headcount!$F$6:$F$92="Software"),--(Headcount!$H$6:$H$92&gt;=Software!BP$3),Headcount!$O$6:$O$92,Headcount!$L$6:$L$92)/12),0),IF(YEAR(BP$3)=YEAR(Headcount!$P$4),IF((BP$5&lt;=12),(SUMPRODUCT(--(Headcount!$F$6:$F$92="Software"),--(Headcount!$H$6:$H$92&gt;=Software!BP$3),Headcount!$P$6:$P$92,Headcount!$L$6:$L$92)/12),0),IF(YEAR(BP$3)=YEAR(Headcount!$Q$4),IF((BP$5&lt;=12),(SUMPRODUCT(--(Headcount!$F$6:$F$92="Software"),--(Headcount!$H$6:$H$92&gt;=Software!BP$3),Headcount!$Q$6:$Q$92,Headcount!$L$6:$L$92)/12),0),IF(YEAR(BP$3)=YEAR(Headcount!$R$4),IF((BP$5&lt;=12),(SUMPRODUCT(--(Headcount!$F$6:$F$92="Software"),--(Headcount!$H$6:$H$92&gt;=Software!BP$3),Headcount!$R$6:$R$92,Headcount!$L$6:$L$92)/12),0),"New Year"))))),SUMIF('Dept. Cost Actuals'!$E$7:$E$176,"*bonus*",'Dept. Cost Actuals'!BT$355:BT$524))</f>
        <v>40029.241381221167</v>
      </c>
      <c r="BQ16" s="668">
        <f>IF(BQ$4="forecast",IF(YEAR(BQ$3)=YEAR(Headcount!$N$4),IF((BQ$5&lt;12),(SUMPRODUCT(--(Headcount!$F$6:$F$92="Software"),--(Headcount!$H$6:$H$92&gt;=Software!BQ$3),Headcount!$N$6:$N$92,Headcount!$L$6:$L$92)/12),0),IF(YEAR(BQ$3)=YEAR(Headcount!$O$4),IF((BQ$5&lt;=12),(SUMPRODUCT(--(Headcount!$F$6:$F$92="Software"),--(Headcount!$H$6:$H$92&gt;=Software!BQ$3),Headcount!$O$6:$O$92,Headcount!$L$6:$L$92)/12),0),IF(YEAR(BQ$3)=YEAR(Headcount!$P$4),IF((BQ$5&lt;=12),(SUMPRODUCT(--(Headcount!$F$6:$F$92="Software"),--(Headcount!$H$6:$H$92&gt;=Software!BQ$3),Headcount!$P$6:$P$92,Headcount!$L$6:$L$92)/12),0),IF(YEAR(BQ$3)=YEAR(Headcount!$Q$4),IF((BQ$5&lt;=12),(SUMPRODUCT(--(Headcount!$F$6:$F$92="Software"),--(Headcount!$H$6:$H$92&gt;=Software!BQ$3),Headcount!$Q$6:$Q$92,Headcount!$L$6:$L$92)/12),0),IF(YEAR(BQ$3)=YEAR(Headcount!$R$4),IF((BQ$5&lt;=12),(SUMPRODUCT(--(Headcount!$F$6:$F$92="Software"),--(Headcount!$H$6:$H$92&gt;=Software!BQ$3),Headcount!$R$6:$R$92,Headcount!$L$6:$L$92)/12),0),"New Year"))))),SUMIF('Dept. Cost Actuals'!$E$7:$E$176,"*bonus*",'Dept. Cost Actuals'!BU$355:BU$524))</f>
        <v>40029.241381221167</v>
      </c>
      <c r="BR16" s="668">
        <f>IF(BR$4="forecast",IF(YEAR(BR$3)=YEAR(Headcount!$N$4),IF((BR$5&lt;12),(SUMPRODUCT(--(Headcount!$F$6:$F$92="Software"),--(Headcount!$H$6:$H$92&gt;=Software!BR$3),Headcount!$N$6:$N$92,Headcount!$L$6:$L$92)/12),0),IF(YEAR(BR$3)=YEAR(Headcount!$O$4),IF((BR$5&lt;=12),(SUMPRODUCT(--(Headcount!$F$6:$F$92="Software"),--(Headcount!$H$6:$H$92&gt;=Software!BR$3),Headcount!$O$6:$O$92,Headcount!$L$6:$L$92)/12),0),IF(YEAR(BR$3)=YEAR(Headcount!$P$4),IF((BR$5&lt;=12),(SUMPRODUCT(--(Headcount!$F$6:$F$92="Software"),--(Headcount!$H$6:$H$92&gt;=Software!BR$3),Headcount!$P$6:$P$92,Headcount!$L$6:$L$92)/12),0),IF(YEAR(BR$3)=YEAR(Headcount!$Q$4),IF((BR$5&lt;=12),(SUMPRODUCT(--(Headcount!$F$6:$F$92="Software"),--(Headcount!$H$6:$H$92&gt;=Software!BR$3),Headcount!$Q$6:$Q$92,Headcount!$L$6:$L$92)/12),0),IF(YEAR(BR$3)=YEAR(Headcount!$R$4),IF((BR$5&lt;=12),(SUMPRODUCT(--(Headcount!$F$6:$F$92="Software"),--(Headcount!$H$6:$H$92&gt;=Software!BR$3),Headcount!$R$6:$R$92,Headcount!$L$6:$L$92)/12),0),"New Year"))))),SUMIF('Dept. Cost Actuals'!$E$7:$E$176,"*bonus*",'Dept. Cost Actuals'!BV$355:BV$524))</f>
        <v>40029.241381221167</v>
      </c>
      <c r="BS16" s="668">
        <f>IF(BS$4="forecast",IF(YEAR(BS$3)=YEAR(Headcount!$N$4),IF((BS$5&lt;12),(SUMPRODUCT(--(Headcount!$F$6:$F$92="Software"),--(Headcount!$H$6:$H$92&gt;=Software!BS$3),Headcount!$N$6:$N$92,Headcount!$L$6:$L$92)/12),0),IF(YEAR(BS$3)=YEAR(Headcount!$O$4),IF((BS$5&lt;=12),(SUMPRODUCT(--(Headcount!$F$6:$F$92="Software"),--(Headcount!$H$6:$H$92&gt;=Software!BS$3),Headcount!$O$6:$O$92,Headcount!$L$6:$L$92)/12),0),IF(YEAR(BS$3)=YEAR(Headcount!$P$4),IF((BS$5&lt;=12),(SUMPRODUCT(--(Headcount!$F$6:$F$92="Software"),--(Headcount!$H$6:$H$92&gt;=Software!BS$3),Headcount!$P$6:$P$92,Headcount!$L$6:$L$92)/12),0),IF(YEAR(BS$3)=YEAR(Headcount!$Q$4),IF((BS$5&lt;=12),(SUMPRODUCT(--(Headcount!$F$6:$F$92="Software"),--(Headcount!$H$6:$H$92&gt;=Software!BS$3),Headcount!$Q$6:$Q$92,Headcount!$L$6:$L$92)/12),0),IF(YEAR(BS$3)=YEAR(Headcount!$R$4),IF((BS$5&lt;=12),(SUMPRODUCT(--(Headcount!$F$6:$F$92="Software"),--(Headcount!$H$6:$H$92&gt;=Software!BS$3),Headcount!$R$6:$R$92,Headcount!$L$6:$L$92)/12),0),"New Year"))))),SUMIF('Dept. Cost Actuals'!$E$7:$E$176,"*bonus*",'Dept. Cost Actuals'!BW$355:BW$524))</f>
        <v>40029.241381221167</v>
      </c>
      <c r="BT16" s="668">
        <f>IF(BT$4="forecast",IF(YEAR(BT$3)=YEAR(Headcount!$N$4),IF((BT$5&lt;12),(SUMPRODUCT(--(Headcount!$F$6:$F$92="Software"),--(Headcount!$H$6:$H$92&gt;=Software!BT$3),Headcount!$N$6:$N$92,Headcount!$L$6:$L$92)/12),0),IF(YEAR(BT$3)=YEAR(Headcount!$O$4),IF((BT$5&lt;=12),(SUMPRODUCT(--(Headcount!$F$6:$F$92="Software"),--(Headcount!$H$6:$H$92&gt;=Software!BT$3),Headcount!$O$6:$O$92,Headcount!$L$6:$L$92)/12),0),IF(YEAR(BT$3)=YEAR(Headcount!$P$4),IF((BT$5&lt;=12),(SUMPRODUCT(--(Headcount!$F$6:$F$92="Software"),--(Headcount!$H$6:$H$92&gt;=Software!BT$3),Headcount!$P$6:$P$92,Headcount!$L$6:$L$92)/12),0),IF(YEAR(BT$3)=YEAR(Headcount!$Q$4),IF((BT$5&lt;=12),(SUMPRODUCT(--(Headcount!$F$6:$F$92="Software"),--(Headcount!$H$6:$H$92&gt;=Software!BT$3),Headcount!$Q$6:$Q$92,Headcount!$L$6:$L$92)/12),0),IF(YEAR(BT$3)=YEAR(Headcount!$R$4),IF((BT$5&lt;=12),(SUMPRODUCT(--(Headcount!$F$6:$F$92="Software"),--(Headcount!$H$6:$H$92&gt;=Software!BT$3),Headcount!$R$6:$R$92,Headcount!$L$6:$L$92)/12),0),"New Year"))))),SUMIF('Dept. Cost Actuals'!$E$7:$E$176,"*bonus*",'Dept. Cost Actuals'!BX$355:BX$524))</f>
        <v>40029.241381221167</v>
      </c>
      <c r="BU16" s="668">
        <f>IF(BU$4="forecast",IF(YEAR(BU$3)=YEAR(Headcount!$N$4),IF((BU$5&lt;12),(SUMPRODUCT(--(Headcount!$F$6:$F$92="Software"),--(Headcount!$H$6:$H$92&gt;=Software!BU$3),Headcount!$N$6:$N$92,Headcount!$L$6:$L$92)/12),0),IF(YEAR(BU$3)=YEAR(Headcount!$O$4),IF((BU$5&lt;=12),(SUMPRODUCT(--(Headcount!$F$6:$F$92="Software"),--(Headcount!$H$6:$H$92&gt;=Software!BU$3),Headcount!$O$6:$O$92,Headcount!$L$6:$L$92)/12),0),IF(YEAR(BU$3)=YEAR(Headcount!$P$4),IF((BU$5&lt;=12),(SUMPRODUCT(--(Headcount!$F$6:$F$92="Software"),--(Headcount!$H$6:$H$92&gt;=Software!BU$3),Headcount!$P$6:$P$92,Headcount!$L$6:$L$92)/12),0),IF(YEAR(BU$3)=YEAR(Headcount!$Q$4),IF((BU$5&lt;=12),(SUMPRODUCT(--(Headcount!$F$6:$F$92="Software"),--(Headcount!$H$6:$H$92&gt;=Software!BU$3),Headcount!$Q$6:$Q$92,Headcount!$L$6:$L$92)/12),0),IF(YEAR(BU$3)=YEAR(Headcount!$R$4),IF((BU$5&lt;=12),(SUMPRODUCT(--(Headcount!$F$6:$F$92="Software"),--(Headcount!$H$6:$H$92&gt;=Software!BU$3),Headcount!$R$6:$R$92,Headcount!$L$6:$L$92)/12),0),"New Year"))))),SUMIF('Dept. Cost Actuals'!$E$7:$E$176,"*bonus*",'Dept. Cost Actuals'!BY$355:BY$524))</f>
        <v>40029.241381221167</v>
      </c>
      <c r="BV16" s="790">
        <f>IF(BV$4="forecast",IF(YEAR(BV$3)=YEAR(Headcount!$N$4),IF((BV$5&lt;12),(SUMPRODUCT(--(Headcount!$F$6:$F$92="Software"),--(Headcount!$H$6:$H$92&gt;=Software!BV$3),Headcount!$N$6:$N$92,Headcount!$L$6:$L$92)/12),0),IF(YEAR(BV$3)=YEAR(Headcount!$O$4),IF((BV$5&lt;=12),(SUMPRODUCT(--(Headcount!$F$6:$F$92="Software"),--(Headcount!$H$6:$H$92&gt;=Software!BV$3),Headcount!$O$6:$O$92,Headcount!$L$6:$L$92)/12),0),IF(YEAR(BV$3)=YEAR(Headcount!$P$4),IF((BV$5&lt;=12),(SUMPRODUCT(--(Headcount!$F$6:$F$92="Software"),--(Headcount!$H$6:$H$92&gt;=Software!BV$3),Headcount!$P$6:$P$92,Headcount!$L$6:$L$92)/12),0),IF(YEAR(BV$3)=YEAR(Headcount!$Q$4),IF((BV$5&lt;=12),(SUMPRODUCT(--(Headcount!$F$6:$F$92="Software"),--(Headcount!$H$6:$H$92&gt;=Software!BV$3),Headcount!$Q$6:$Q$92,Headcount!$L$6:$L$92)/12),0),IF(YEAR(BV$3)=YEAR(Headcount!$R$4),IF((BV$5&lt;=12),(SUMPRODUCT(--(Headcount!$F$6:$F$92="Software"),--(Headcount!$H$6:$H$92&gt;=Software!BV$3),Headcount!$R$6:$R$92,Headcount!$L$6:$L$92)/12),0),"New Year"))))),SUMIF('Dept. Cost Actuals'!$E$7:$E$176,"*bonus*",'Dept. Cost Actuals'!BZ$355:BZ$524))</f>
        <v>40029.241381221167</v>
      </c>
    </row>
    <row r="17" spans="2:75" s="626" customFormat="1" ht="12.75" x14ac:dyDescent="0.2">
      <c r="B17" s="791" t="s">
        <v>932</v>
      </c>
      <c r="C17" s="1210">
        <f t="shared" ref="C17" si="6">SUM(C15:C16)</f>
        <v>0</v>
      </c>
      <c r="D17" s="1210">
        <f t="shared" ref="D17:Z17" si="7">SUM(D15:D16)</f>
        <v>0</v>
      </c>
      <c r="E17" s="1210">
        <f t="shared" si="7"/>
        <v>0</v>
      </c>
      <c r="F17" s="1210">
        <f t="shared" si="7"/>
        <v>0</v>
      </c>
      <c r="G17" s="1210">
        <f t="shared" si="7"/>
        <v>0</v>
      </c>
      <c r="H17" s="1210">
        <f t="shared" si="7"/>
        <v>0</v>
      </c>
      <c r="I17" s="1210">
        <f t="shared" si="7"/>
        <v>0</v>
      </c>
      <c r="J17" s="1210">
        <f t="shared" si="7"/>
        <v>0</v>
      </c>
      <c r="K17" s="1210">
        <f t="shared" si="7"/>
        <v>0</v>
      </c>
      <c r="L17" s="1210">
        <f t="shared" si="7"/>
        <v>0</v>
      </c>
      <c r="M17" s="1210">
        <f t="shared" si="7"/>
        <v>0</v>
      </c>
      <c r="N17" s="1210">
        <f t="shared" si="7"/>
        <v>0</v>
      </c>
      <c r="O17" s="1210">
        <f t="shared" si="7"/>
        <v>19932.419999999998</v>
      </c>
      <c r="P17" s="1210">
        <f t="shared" si="7"/>
        <v>19967.419999999998</v>
      </c>
      <c r="Q17" s="1210">
        <f t="shared" si="7"/>
        <v>22043.54</v>
      </c>
      <c r="R17" s="1210">
        <f t="shared" si="7"/>
        <v>26060.61</v>
      </c>
      <c r="S17" s="1210">
        <f t="shared" si="7"/>
        <v>19932.419999999998</v>
      </c>
      <c r="T17" s="1210">
        <f t="shared" si="7"/>
        <v>22432.42</v>
      </c>
      <c r="U17" s="1210">
        <f t="shared" si="7"/>
        <v>29226.23</v>
      </c>
      <c r="V17" s="1210">
        <f t="shared" si="7"/>
        <v>20109.419999999998</v>
      </c>
      <c r="W17" s="1210">
        <f t="shared" si="7"/>
        <v>20153.919999999998</v>
      </c>
      <c r="X17" s="1210">
        <f t="shared" si="7"/>
        <v>25509.81</v>
      </c>
      <c r="Y17" s="1210">
        <f t="shared" si="7"/>
        <v>20282.400000000001</v>
      </c>
      <c r="Z17" s="1210">
        <f t="shared" si="7"/>
        <v>-19772.349999999999</v>
      </c>
      <c r="AA17" s="1210">
        <f t="shared" ref="AA17" si="8">SUM(AA15:AA16)</f>
        <v>20769.52</v>
      </c>
      <c r="AB17" s="1210">
        <f t="shared" ref="AB17" si="9">SUM(AB15:AB16)</f>
        <v>28457.200000000001</v>
      </c>
      <c r="AC17" s="1210">
        <f t="shared" ref="AC17:BV17" si="10">SUM(AC15:AC16)</f>
        <v>21158.880000000001</v>
      </c>
      <c r="AD17" s="1210">
        <f t="shared" si="10"/>
        <v>39747.849166666667</v>
      </c>
      <c r="AE17" s="1210">
        <f t="shared" si="10"/>
        <v>39747.849166666667</v>
      </c>
      <c r="AF17" s="1210">
        <f t="shared" si="10"/>
        <v>39747.849166666667</v>
      </c>
      <c r="AG17" s="1210">
        <f t="shared" si="10"/>
        <v>39747.849166666667</v>
      </c>
      <c r="AH17" s="1210">
        <f t="shared" si="10"/>
        <v>39747.849166666667</v>
      </c>
      <c r="AI17" s="1210">
        <f t="shared" si="10"/>
        <v>39747.849166666667</v>
      </c>
      <c r="AJ17" s="1210">
        <f t="shared" si="10"/>
        <v>39747.849166666667</v>
      </c>
      <c r="AK17" s="1210">
        <f t="shared" si="10"/>
        <v>39747.849166666667</v>
      </c>
      <c r="AL17" s="1210">
        <f t="shared" si="10"/>
        <v>39747.849166666667</v>
      </c>
      <c r="AM17" s="1210">
        <f t="shared" si="10"/>
        <v>40821.399171666671</v>
      </c>
      <c r="AN17" s="1210">
        <f t="shared" si="10"/>
        <v>40821.399171666671</v>
      </c>
      <c r="AO17" s="1210">
        <f t="shared" si="10"/>
        <v>40821.399171666671</v>
      </c>
      <c r="AP17" s="1210">
        <f t="shared" si="10"/>
        <v>40821.399171666671</v>
      </c>
      <c r="AQ17" s="1210">
        <f t="shared" si="10"/>
        <v>40821.399171666671</v>
      </c>
      <c r="AR17" s="1210">
        <f t="shared" si="10"/>
        <v>40821.399171666671</v>
      </c>
      <c r="AS17" s="1210">
        <f t="shared" si="10"/>
        <v>40821.399171666671</v>
      </c>
      <c r="AT17" s="1210">
        <f t="shared" si="10"/>
        <v>40821.399171666671</v>
      </c>
      <c r="AU17" s="1210">
        <f t="shared" si="10"/>
        <v>40821.399171666671</v>
      </c>
      <c r="AV17" s="1210">
        <f t="shared" si="10"/>
        <v>40821.399171666671</v>
      </c>
      <c r="AW17" s="1210">
        <f t="shared" si="10"/>
        <v>40821.399171666671</v>
      </c>
      <c r="AX17" s="1210">
        <f t="shared" si="10"/>
        <v>40821.399171666671</v>
      </c>
      <c r="AY17" s="1210">
        <f t="shared" si="10"/>
        <v>42046.041146816664</v>
      </c>
      <c r="AZ17" s="1210">
        <f t="shared" si="10"/>
        <v>42046.041146816664</v>
      </c>
      <c r="BA17" s="1210">
        <f t="shared" si="10"/>
        <v>42046.041146816664</v>
      </c>
      <c r="BB17" s="1210">
        <f t="shared" si="10"/>
        <v>42046.041146816664</v>
      </c>
      <c r="BC17" s="1210">
        <f t="shared" si="10"/>
        <v>42046.041146816664</v>
      </c>
      <c r="BD17" s="1210">
        <f t="shared" si="10"/>
        <v>42046.041146816664</v>
      </c>
      <c r="BE17" s="1210">
        <f t="shared" si="10"/>
        <v>42046.041146816664</v>
      </c>
      <c r="BF17" s="1210">
        <f t="shared" si="10"/>
        <v>42046.041146816664</v>
      </c>
      <c r="BG17" s="1210">
        <f t="shared" si="10"/>
        <v>42046.041146816664</v>
      </c>
      <c r="BH17" s="1210">
        <f t="shared" si="10"/>
        <v>42046.041146816664</v>
      </c>
      <c r="BI17" s="1210">
        <f t="shared" si="10"/>
        <v>42046.041146816664</v>
      </c>
      <c r="BJ17" s="1210">
        <f t="shared" si="10"/>
        <v>42046.041146816664</v>
      </c>
      <c r="BK17" s="1210">
        <f t="shared" si="10"/>
        <v>43307.422381221164</v>
      </c>
      <c r="BL17" s="1210">
        <f t="shared" si="10"/>
        <v>43307.422381221164</v>
      </c>
      <c r="BM17" s="1210">
        <f t="shared" si="10"/>
        <v>43307.422381221164</v>
      </c>
      <c r="BN17" s="1210">
        <f t="shared" si="10"/>
        <v>43307.422381221164</v>
      </c>
      <c r="BO17" s="1210">
        <f t="shared" si="10"/>
        <v>43307.422381221164</v>
      </c>
      <c r="BP17" s="1210">
        <f t="shared" si="10"/>
        <v>43307.422381221164</v>
      </c>
      <c r="BQ17" s="1210">
        <f t="shared" si="10"/>
        <v>43307.422381221164</v>
      </c>
      <c r="BR17" s="1210">
        <f t="shared" si="10"/>
        <v>43307.422381221164</v>
      </c>
      <c r="BS17" s="1210">
        <f t="shared" si="10"/>
        <v>43307.422381221164</v>
      </c>
      <c r="BT17" s="1210">
        <f t="shared" si="10"/>
        <v>43307.422381221164</v>
      </c>
      <c r="BU17" s="1210">
        <f t="shared" si="10"/>
        <v>43307.422381221164</v>
      </c>
      <c r="BV17" s="974">
        <f t="shared" si="10"/>
        <v>43307.422381221164</v>
      </c>
    </row>
    <row r="18" spans="2:75" s="626" customFormat="1" ht="12.75" x14ac:dyDescent="0.2">
      <c r="B18" s="794" t="s">
        <v>1344</v>
      </c>
      <c r="C18" s="991">
        <f>IF(C$4="forecast",C14*0.12,SUMIF('Dept. Cost Actuals'!$E$7:$E$176,"*payroll taxes*",'Dept. Cost Actuals'!G$355:G$524))</f>
        <v>4241.5936311661462</v>
      </c>
      <c r="D18" s="991">
        <f>IF(D$4="forecast",D14*0.12,SUMIF('Dept. Cost Actuals'!$E$7:$E$176,"*payroll taxes*",'Dept. Cost Actuals'!H$355:H$524))</f>
        <v>2509.5118324297018</v>
      </c>
      <c r="E18" s="991">
        <f>IF(E$4="forecast",E14*0.12,SUMIF('Dept. Cost Actuals'!$E$7:$E$176,"*payroll taxes*",'Dept. Cost Actuals'!I$355:I$524))</f>
        <v>3041.6596527474453</v>
      </c>
      <c r="F18" s="991">
        <f>IF(F$4="forecast",F14*0.12,SUMIF('Dept. Cost Actuals'!$E$7:$E$176,"*payroll taxes*",'Dept. Cost Actuals'!J$355:J$524))</f>
        <v>3273.7284275491593</v>
      </c>
      <c r="G18" s="991">
        <f>IF(G$4="forecast",G14*0.12,SUMIF('Dept. Cost Actuals'!$E$7:$E$176,"*payroll taxes*",'Dept. Cost Actuals'!K$355:K$524))</f>
        <v>2705.4840857339209</v>
      </c>
      <c r="H18" s="991">
        <f>IF(H$4="forecast",H14*0.12,SUMIF('Dept. Cost Actuals'!$E$7:$E$176,"*payroll taxes*",'Dept. Cost Actuals'!L$355:L$524))</f>
        <v>4643.7623132824692</v>
      </c>
      <c r="I18" s="991">
        <f>IF(I$4="forecast",I14*0.12,SUMIF('Dept. Cost Actuals'!$E$7:$E$176,"*payroll taxes*",'Dept. Cost Actuals'!M$355:M$524))</f>
        <v>5397.5291196317567</v>
      </c>
      <c r="J18" s="991">
        <f>IF(J$4="forecast",J14*0.12,SUMIF('Dept. Cost Actuals'!$E$7:$E$176,"*payroll taxes*",'Dept. Cost Actuals'!N$355:N$524))</f>
        <v>6243.3643184587963</v>
      </c>
      <c r="K18" s="991">
        <f>IF(K$4="forecast",K14*0.12,SUMIF('Dept. Cost Actuals'!$E$7:$E$176,"*payroll taxes*",'Dept. Cost Actuals'!O$355:O$524))</f>
        <v>5551.4297776393587</v>
      </c>
      <c r="L18" s="991">
        <f>IF(L$4="forecast",L14*0.12,SUMIF('Dept. Cost Actuals'!$E$7:$E$176,"*payroll taxes*",'Dept. Cost Actuals'!P$355:P$524))</f>
        <v>5051.8735629275907</v>
      </c>
      <c r="M18" s="991">
        <f>IF(M$4="forecast",M14*0.12,SUMIF('Dept. Cost Actuals'!$E$7:$E$176,"*payroll taxes*",'Dept. Cost Actuals'!Q$355:Q$524))</f>
        <v>7606.9648773333984</v>
      </c>
      <c r="N18" s="991">
        <f>IF(N$4="forecast",N14*0.12,SUMIF('Dept. Cost Actuals'!$E$7:$E$176,"*payroll taxes*",'Dept. Cost Actuals'!R$355:R$524))</f>
        <v>6338.2563158951643</v>
      </c>
      <c r="O18" s="991">
        <f>IF(O$4="forecast",O14*0.12,SUMIF('Dept. Cost Actuals'!$E$7:$E$176,"*payroll taxes*",'Dept. Cost Actuals'!S$355:S$524))</f>
        <v>10463.219999999999</v>
      </c>
      <c r="P18" s="991">
        <f>IF(P$4="forecast",P14*0.12,SUMIF('Dept. Cost Actuals'!$E$7:$E$176,"*payroll taxes*",'Dept. Cost Actuals'!T$355:T$524))</f>
        <v>8837.76</v>
      </c>
      <c r="Q18" s="991">
        <f>IF(Q$4="forecast",Q14*0.12,SUMIF('Dept. Cost Actuals'!$E$7:$E$176,"*payroll taxes*",'Dept. Cost Actuals'!U$355:U$524))</f>
        <v>13840.73</v>
      </c>
      <c r="R18" s="991">
        <f>IF(R$4="forecast",R14*0.12,SUMIF('Dept. Cost Actuals'!$E$7:$E$176,"*payroll taxes*",'Dept. Cost Actuals'!V$355:V$524))</f>
        <v>13594.689999999999</v>
      </c>
      <c r="S18" s="991">
        <f>IF(S$4="forecast",S14*0.12,SUMIF('Dept. Cost Actuals'!$E$7:$E$176,"*payroll taxes*",'Dept. Cost Actuals'!W$355:W$524))</f>
        <v>12188.949999999999</v>
      </c>
      <c r="T18" s="991">
        <f>IF(T$4="forecast",T14*0.12,SUMIF('Dept. Cost Actuals'!$E$7:$E$176,"*payroll taxes*",'Dept. Cost Actuals'!X$355:X$524))</f>
        <v>8500.57</v>
      </c>
      <c r="U18" s="991">
        <f>IF(U$4="forecast",U14*0.12,SUMIF('Dept. Cost Actuals'!$E$7:$E$176,"*payroll taxes*",'Dept. Cost Actuals'!Y$355:Y$524))</f>
        <v>9120.68</v>
      </c>
      <c r="V18" s="991">
        <f>IF(V$4="forecast",V14*0.12,SUMIF('Dept. Cost Actuals'!$E$7:$E$176,"*payroll taxes*",'Dept. Cost Actuals'!Z$355:Z$524))</f>
        <v>7268.6900000000005</v>
      </c>
      <c r="W18" s="991">
        <f>IF(W$4="forecast",W14*0.12,SUMIF('Dept. Cost Actuals'!$E$7:$E$176,"*payroll taxes*",'Dept. Cost Actuals'!AA$355:AA$524))</f>
        <v>8395.06</v>
      </c>
      <c r="X18" s="991">
        <f>IF(X$4="forecast",X14*0.12,SUMIF('Dept. Cost Actuals'!$E$7:$E$176,"*payroll taxes*",'Dept. Cost Actuals'!AB$355:AB$524))</f>
        <v>8165.8399999999992</v>
      </c>
      <c r="Y18" s="991">
        <f>IF(Y$4="forecast",Y14*0.12,SUMIF('Dept. Cost Actuals'!$E$7:$E$176,"*payroll taxes*",'Dept. Cost Actuals'!AC$355:AC$524))</f>
        <v>7588.2099999999991</v>
      </c>
      <c r="Z18" s="991">
        <f>IF(Z$4="forecast",Z14*0.12,SUMIF('Dept. Cost Actuals'!$E$7:$E$176,"*payroll taxes*",'Dept. Cost Actuals'!AD$355:AD$524))</f>
        <v>-370.41000000000042</v>
      </c>
      <c r="AA18" s="991">
        <f>IF(AA$4="forecast",AA14*0.12,SUMIF('Dept. Cost Actuals'!$E$7:$E$176,"*payroll taxes*",'Dept. Cost Actuals'!AE$355:AE$524))</f>
        <v>14925.279999999999</v>
      </c>
      <c r="AB18" s="991">
        <f>IF(AB$4="forecast",AB14*0.12,SUMIF('Dept. Cost Actuals'!$E$7:$E$176,"*payroll taxes*",'Dept. Cost Actuals'!AF$355:AF$524))</f>
        <v>11417.49</v>
      </c>
      <c r="AC18" s="991">
        <f>IF(AC$4="forecast",AC14*0.12,SUMIF('Dept. Cost Actuals'!$E$7:$E$176,"*payroll taxes*",'Dept. Cost Actuals'!AG$355:AG$524))</f>
        <v>11187.780000000002</v>
      </c>
      <c r="AD18" s="991">
        <f>IF(AD$4="forecast",AD14*0.12,SUMIF('Dept. Cost Actuals'!$E$7:$E$176,"*payroll taxes*",'Dept. Cost Actuals'!AH$355:AH$524))</f>
        <v>26647.418999999998</v>
      </c>
      <c r="AE18" s="991">
        <f>IF(AE$4="forecast",AE14*0.12,SUMIF('Dept. Cost Actuals'!$E$7:$E$176,"*payroll taxes*",'Dept. Cost Actuals'!AI$355:AI$524))</f>
        <v>26647.418999999998</v>
      </c>
      <c r="AF18" s="991">
        <f>IF(AF$4="forecast",AF14*0.12,SUMIF('Dept. Cost Actuals'!$E$7:$E$176,"*payroll taxes*",'Dept. Cost Actuals'!AJ$355:AJ$524))</f>
        <v>26647.418999999998</v>
      </c>
      <c r="AG18" s="991">
        <f>IF(AG$4="forecast",AG14*0.12,SUMIF('Dept. Cost Actuals'!$E$7:$E$176,"*payroll taxes*",'Dept. Cost Actuals'!AK$355:AK$524))</f>
        <v>27847.418999999998</v>
      </c>
      <c r="AH18" s="991">
        <f>IF(AH$4="forecast",AH14*0.12,SUMIF('Dept. Cost Actuals'!$E$7:$E$176,"*payroll taxes*",'Dept. Cost Actuals'!AL$355:AL$524))</f>
        <v>27847.418999999998</v>
      </c>
      <c r="AI18" s="991">
        <f>IF(AI$4="forecast",AI14*0.12,SUMIF('Dept. Cost Actuals'!$E$7:$E$176,"*payroll taxes*",'Dept. Cost Actuals'!AM$355:AM$524))</f>
        <v>27847.418999999998</v>
      </c>
      <c r="AJ18" s="991">
        <f>IF(AJ$4="forecast",AJ14*0.12,SUMIF('Dept. Cost Actuals'!$E$7:$E$176,"*payroll taxes*",'Dept. Cost Actuals'!AN$355:AN$524))</f>
        <v>29047.418999999998</v>
      </c>
      <c r="AK18" s="991">
        <f>IF(AK$4="forecast",AK14*0.12,SUMIF('Dept. Cost Actuals'!$E$7:$E$176,"*payroll taxes*",'Dept. Cost Actuals'!AO$355:AO$524))</f>
        <v>29047.418999999998</v>
      </c>
      <c r="AL18" s="991">
        <f>IF(AL$4="forecast",AL14*0.12,SUMIF('Dept. Cost Actuals'!$E$7:$E$176,"*payroll taxes*",'Dept. Cost Actuals'!AP$355:AP$524))</f>
        <v>29047.418999999998</v>
      </c>
      <c r="AM18" s="991">
        <f>IF(AM$4="forecast",AM14*0.12,SUMIF('Dept. Cost Actuals'!$E$7:$E$176,"*payroll taxes*",'Dept. Cost Actuals'!AQ$355:AQ$524))</f>
        <v>29155.418999999998</v>
      </c>
      <c r="AN18" s="991">
        <f>IF(AN$4="forecast",AN14*0.12,SUMIF('Dept. Cost Actuals'!$E$7:$E$176,"*payroll taxes*",'Dept. Cost Actuals'!AR$355:AR$524))</f>
        <v>29776.179005999998</v>
      </c>
      <c r="AO18" s="991">
        <f>IF(AO$4="forecast",AO14*0.12,SUMIF('Dept. Cost Actuals'!$E$7:$E$176,"*payroll taxes*",'Dept. Cost Actuals'!AS$355:AS$524))</f>
        <v>29776.179005999998</v>
      </c>
      <c r="AP18" s="991">
        <f>IF(AP$4="forecast",AP14*0.12,SUMIF('Dept. Cost Actuals'!$E$7:$E$176,"*payroll taxes*",'Dept. Cost Actuals'!AT$355:AT$524))</f>
        <v>29776.179005999998</v>
      </c>
      <c r="AQ18" s="991">
        <f>IF(AQ$4="forecast",AQ14*0.12,SUMIF('Dept. Cost Actuals'!$E$7:$E$176,"*payroll taxes*",'Dept. Cost Actuals'!AU$355:AU$524))</f>
        <v>29776.179005999998</v>
      </c>
      <c r="AR18" s="991">
        <f>IF(AR$4="forecast",AR14*0.12,SUMIF('Dept. Cost Actuals'!$E$7:$E$176,"*payroll taxes*",'Dept. Cost Actuals'!AV$355:AV$524))</f>
        <v>29776.179005999998</v>
      </c>
      <c r="AS18" s="991">
        <f>IF(AS$4="forecast",AS14*0.12,SUMIF('Dept. Cost Actuals'!$E$7:$E$176,"*payroll taxes*",'Dept. Cost Actuals'!AW$355:AW$524))</f>
        <v>29776.179005999998</v>
      </c>
      <c r="AT18" s="991">
        <f>IF(AT$4="forecast",AT14*0.12,SUMIF('Dept. Cost Actuals'!$E$7:$E$176,"*payroll taxes*",'Dept. Cost Actuals'!AX$355:AX$524))</f>
        <v>29776.179005999998</v>
      </c>
      <c r="AU18" s="991">
        <f>IF(AU$4="forecast",AU14*0.12,SUMIF('Dept. Cost Actuals'!$E$7:$E$176,"*payroll taxes*",'Dept. Cost Actuals'!AY$355:AY$524))</f>
        <v>29776.179005999998</v>
      </c>
      <c r="AV18" s="991">
        <f>IF(AV$4="forecast",AV14*0.12,SUMIF('Dept. Cost Actuals'!$E$7:$E$176,"*payroll taxes*",'Dept. Cost Actuals'!AZ$355:AZ$524))</f>
        <v>29776.179005999998</v>
      </c>
      <c r="AW18" s="991">
        <f>IF(AW$4="forecast",AW14*0.12,SUMIF('Dept. Cost Actuals'!$E$7:$E$176,"*payroll taxes*",'Dept. Cost Actuals'!BA$355:BA$524))</f>
        <v>29776.179005999998</v>
      </c>
      <c r="AX18" s="991">
        <f>IF(AX$4="forecast",AX14*0.12,SUMIF('Dept. Cost Actuals'!$E$7:$E$176,"*payroll taxes*",'Dept. Cost Actuals'!BB$355:BB$524))</f>
        <v>29776.179005999998</v>
      </c>
      <c r="AY18" s="991">
        <f>IF(AY$4="forecast",AY14*0.12,SUMIF('Dept. Cost Actuals'!$E$7:$E$176,"*payroll taxes*",'Dept. Cost Actuals'!BC$355:BC$524))</f>
        <v>29887.419005999996</v>
      </c>
      <c r="AZ18" s="991">
        <f>IF(AZ$4="forecast",AZ14*0.12,SUMIF('Dept. Cost Actuals'!$E$7:$E$176,"*payroll taxes*",'Dept. Cost Actuals'!BD$355:BD$524))</f>
        <v>30669.46437618</v>
      </c>
      <c r="BA18" s="991">
        <f>IF(BA$4="forecast",BA14*0.12,SUMIF('Dept. Cost Actuals'!$E$7:$E$176,"*payroll taxes*",'Dept. Cost Actuals'!BE$355:BE$524))</f>
        <v>30669.46437618</v>
      </c>
      <c r="BB18" s="991">
        <f>IF(BB$4="forecast",BB14*0.12,SUMIF('Dept. Cost Actuals'!$E$7:$E$176,"*payroll taxes*",'Dept. Cost Actuals'!BF$355:BF$524))</f>
        <v>30669.46437618</v>
      </c>
      <c r="BC18" s="991">
        <f>IF(BC$4="forecast",BC14*0.12,SUMIF('Dept. Cost Actuals'!$E$7:$E$176,"*payroll taxes*",'Dept. Cost Actuals'!BG$355:BG$524))</f>
        <v>30669.46437618</v>
      </c>
      <c r="BD18" s="991">
        <f>IF(BD$4="forecast",BD14*0.12,SUMIF('Dept. Cost Actuals'!$E$7:$E$176,"*payroll taxes*",'Dept. Cost Actuals'!BH$355:BH$524))</f>
        <v>30669.46437618</v>
      </c>
      <c r="BE18" s="991">
        <f>IF(BE$4="forecast",BE14*0.12,SUMIF('Dept. Cost Actuals'!$E$7:$E$176,"*payroll taxes*",'Dept. Cost Actuals'!BI$355:BI$524))</f>
        <v>30669.46437618</v>
      </c>
      <c r="BF18" s="991">
        <f>IF(BF$4="forecast",BF14*0.12,SUMIF('Dept. Cost Actuals'!$E$7:$E$176,"*payroll taxes*",'Dept. Cost Actuals'!BJ$355:BJ$524))</f>
        <v>30669.46437618</v>
      </c>
      <c r="BG18" s="991">
        <f>IF(BG$4="forecast",BG14*0.12,SUMIF('Dept. Cost Actuals'!$E$7:$E$176,"*payroll taxes*",'Dept. Cost Actuals'!BK$355:BK$524))</f>
        <v>30669.46437618</v>
      </c>
      <c r="BH18" s="991">
        <f>IF(BH$4="forecast",BH14*0.12,SUMIF('Dept. Cost Actuals'!$E$7:$E$176,"*payroll taxes*",'Dept. Cost Actuals'!BL$355:BL$524))</f>
        <v>30669.46437618</v>
      </c>
      <c r="BI18" s="991">
        <f>IF(BI$4="forecast",BI14*0.12,SUMIF('Dept. Cost Actuals'!$E$7:$E$176,"*payroll taxes*",'Dept. Cost Actuals'!BM$355:BM$524))</f>
        <v>30669.46437618</v>
      </c>
      <c r="BJ18" s="991">
        <f>IF(BJ$4="forecast",BJ14*0.12,SUMIF('Dept. Cost Actuals'!$E$7:$E$176,"*payroll taxes*",'Dept. Cost Actuals'!BN$355:BN$524))</f>
        <v>30669.46437618</v>
      </c>
      <c r="BK18" s="991">
        <f>IF(BK$4="forecast",BK14*0.12,SUMIF('Dept. Cost Actuals'!$E$7:$E$176,"*payroll taxes*",'Dept. Cost Actuals'!BO$355:BO$524))</f>
        <v>30784.04157618</v>
      </c>
      <c r="BL18" s="991">
        <f>IF(BL$4="forecast",BL14*0.12,SUMIF('Dept. Cost Actuals'!$E$7:$E$176,"*payroll taxes*",'Dept. Cost Actuals'!BP$355:BP$524))</f>
        <v>31589.548307465397</v>
      </c>
      <c r="BM18" s="991">
        <f>IF(BM$4="forecast",BM14*0.12,SUMIF('Dept. Cost Actuals'!$E$7:$E$176,"*payroll taxes*",'Dept. Cost Actuals'!BQ$355:BQ$524))</f>
        <v>31589.548307465397</v>
      </c>
      <c r="BN18" s="991">
        <f>IF(BN$4="forecast",BN14*0.12,SUMIF('Dept. Cost Actuals'!$E$7:$E$176,"*payroll taxes*",'Dept. Cost Actuals'!BR$355:BR$524))</f>
        <v>31589.548307465397</v>
      </c>
      <c r="BO18" s="991">
        <f>IF(BO$4="forecast",BO14*0.12,SUMIF('Dept. Cost Actuals'!$E$7:$E$176,"*payroll taxes*",'Dept. Cost Actuals'!BS$355:BS$524))</f>
        <v>31589.548307465397</v>
      </c>
      <c r="BP18" s="991">
        <f>IF(BP$4="forecast",BP14*0.12,SUMIF('Dept. Cost Actuals'!$E$7:$E$176,"*payroll taxes*",'Dept. Cost Actuals'!BT$355:BT$524))</f>
        <v>31589.548307465397</v>
      </c>
      <c r="BQ18" s="991">
        <f>IF(BQ$4="forecast",BQ14*0.12,SUMIF('Dept. Cost Actuals'!$E$7:$E$176,"*payroll taxes*",'Dept. Cost Actuals'!BU$355:BU$524))</f>
        <v>31589.548307465397</v>
      </c>
      <c r="BR18" s="991">
        <f>IF(BR$4="forecast",BR14*0.12,SUMIF('Dept. Cost Actuals'!$E$7:$E$176,"*payroll taxes*",'Dept. Cost Actuals'!BV$355:BV$524))</f>
        <v>31589.548307465397</v>
      </c>
      <c r="BS18" s="991">
        <f>IF(BS$4="forecast",BS14*0.12,SUMIF('Dept. Cost Actuals'!$E$7:$E$176,"*payroll taxes*",'Dept. Cost Actuals'!BW$355:BW$524))</f>
        <v>31589.548307465397</v>
      </c>
      <c r="BT18" s="991">
        <f>IF(BT$4="forecast",BT14*0.12,SUMIF('Dept. Cost Actuals'!$E$7:$E$176,"*payroll taxes*",'Dept. Cost Actuals'!BX$355:BX$524))</f>
        <v>31589.548307465397</v>
      </c>
      <c r="BU18" s="991">
        <f>IF(BU$4="forecast",BU14*0.12,SUMIF('Dept. Cost Actuals'!$E$7:$E$176,"*payroll taxes*",'Dept. Cost Actuals'!BY$355:BY$524))</f>
        <v>31589.548307465397</v>
      </c>
      <c r="BV18" s="992">
        <f>IF(BV$4="forecast",BV14*0.12,SUMIF('Dept. Cost Actuals'!$E$7:$E$176,"*payroll taxes*",'Dept. Cost Actuals'!BZ$355:BZ$524))</f>
        <v>31589.548307465397</v>
      </c>
    </row>
    <row r="19" spans="2:75" s="626" customFormat="1" ht="12.75" x14ac:dyDescent="0.2">
      <c r="B19" s="794" t="s">
        <v>1349</v>
      </c>
      <c r="C19" s="991">
        <f>IF(C$4="forecast",((C14/251)+B$19),SUMIF('Dept. Cost Actuals'!$E$7:$E$176,"*vacation*",'Dept. Cost Actuals'!G$355:G$524))</f>
        <v>0</v>
      </c>
      <c r="D19" s="991">
        <f>IF(D$4="forecast",((D14/251)+C$19),SUMIF('Dept. Cost Actuals'!$E$7:$E$176,"*vacation*",'Dept. Cost Actuals'!H$355:H$524))</f>
        <v>0</v>
      </c>
      <c r="E19" s="991">
        <f>IF(E$4="forecast",((E14/251)+D$19),SUMIF('Dept. Cost Actuals'!$E$7:$E$176,"*vacation*",'Dept. Cost Actuals'!I$355:I$524))</f>
        <v>0</v>
      </c>
      <c r="F19" s="991">
        <f>IF(F$4="forecast",((F14/251)+E$19),SUMIF('Dept. Cost Actuals'!$E$7:$E$176,"*vacation*",'Dept. Cost Actuals'!J$355:J$524))</f>
        <v>0</v>
      </c>
      <c r="G19" s="991">
        <f>IF(G$4="forecast",((G14/251)+F$19),SUMIF('Dept. Cost Actuals'!$E$7:$E$176,"*vacation*",'Dept. Cost Actuals'!K$355:K$524))</f>
        <v>0</v>
      </c>
      <c r="H19" s="991">
        <f>IF(H$4="forecast",((H14/251)+G$19),SUMIF('Dept. Cost Actuals'!$E$7:$E$176,"*vacation*",'Dept. Cost Actuals'!L$355:L$524))</f>
        <v>0</v>
      </c>
      <c r="I19" s="991">
        <f>IF(I$4="forecast",((I14/251)+H$19),SUMIF('Dept. Cost Actuals'!$E$7:$E$176,"*vacation*",'Dept. Cost Actuals'!M$355:M$524))</f>
        <v>0</v>
      </c>
      <c r="J19" s="991">
        <f>IF(J$4="forecast",((J14/251)+I$19),SUMIF('Dept. Cost Actuals'!$E$7:$E$176,"*vacation*",'Dept. Cost Actuals'!N$355:N$524))</f>
        <v>0</v>
      </c>
      <c r="K19" s="991">
        <f>IF(K$4="forecast",((K14/251)+J$19),SUMIF('Dept. Cost Actuals'!$E$7:$E$176,"*vacation*",'Dept. Cost Actuals'!O$355:O$524))</f>
        <v>0</v>
      </c>
      <c r="L19" s="991">
        <f>IF(L$4="forecast",((L14/251)+K$19),SUMIF('Dept. Cost Actuals'!$E$7:$E$176,"*vacation*",'Dept. Cost Actuals'!P$355:P$524))</f>
        <v>0</v>
      </c>
      <c r="M19" s="991">
        <f>IF(M$4="forecast",((M14/251)+L$19),SUMIF('Dept. Cost Actuals'!$E$7:$E$176,"*vacation*",'Dept. Cost Actuals'!Q$355:Q$524))</f>
        <v>0</v>
      </c>
      <c r="N19" s="991">
        <f>IF(N$4="forecast",((N14/251)+M$19),SUMIF('Dept. Cost Actuals'!$E$7:$E$176,"*vacation*",'Dept. Cost Actuals'!R$355:R$524))</f>
        <v>0</v>
      </c>
      <c r="O19" s="991">
        <f>IF(O$4="forecast",((O14/251)+N$19),SUMIF('Dept. Cost Actuals'!$E$7:$E$176,"*vacation*",'Dept. Cost Actuals'!S$355:S$524))</f>
        <v>5224.3599999999997</v>
      </c>
      <c r="P19" s="991">
        <f>IF(P$4="forecast",((P14/251)+O$19),SUMIF('Dept. Cost Actuals'!$E$7:$E$176,"*vacation*",'Dept. Cost Actuals'!T$355:T$524))</f>
        <v>3846.16</v>
      </c>
      <c r="Q19" s="991">
        <f>IF(Q$4="forecast",((Q14/251)+P$19),SUMIF('Dept. Cost Actuals'!$E$7:$E$176,"*vacation*",'Dept. Cost Actuals'!U$355:U$524))</f>
        <v>612.16999999999996</v>
      </c>
      <c r="R19" s="991">
        <f>IF(R$4="forecast",((R14/251)+Q$19),SUMIF('Dept. Cost Actuals'!$E$7:$E$176,"*vacation*",'Dept. Cost Actuals'!V$355:V$524))</f>
        <v>3860.86</v>
      </c>
      <c r="S19" s="991">
        <f>IF(S$4="forecast",((S14/251)+R$19),SUMIF('Dept. Cost Actuals'!$E$7:$E$176,"*vacation*",'Dept. Cost Actuals'!W$355:W$524))</f>
        <v>570.84</v>
      </c>
      <c r="T19" s="991">
        <f>IF(T$4="forecast",((T14/251)+S$19),SUMIF('Dept. Cost Actuals'!$E$7:$E$176,"*vacation*",'Dept. Cost Actuals'!X$355:X$524))</f>
        <v>8969.32</v>
      </c>
      <c r="U19" s="991">
        <f>IF(U$4="forecast",((U14/251)+T$19),SUMIF('Dept. Cost Actuals'!$E$7:$E$176,"*vacation*",'Dept. Cost Actuals'!Y$355:Y$524))</f>
        <v>-7133.96</v>
      </c>
      <c r="V19" s="991">
        <f>IF(V$4="forecast",((V14/251)+U$19),SUMIF('Dept. Cost Actuals'!$E$7:$E$176,"*vacation*",'Dept. Cost Actuals'!Z$355:Z$524))</f>
        <v>2982.19</v>
      </c>
      <c r="W19" s="991">
        <f>IF(W$4="forecast",((W14/251)+V$19),SUMIF('Dept. Cost Actuals'!$E$7:$E$176,"*vacation*",'Dept. Cost Actuals'!AA$355:AA$524))</f>
        <v>6099.94</v>
      </c>
      <c r="X19" s="991">
        <f>IF(X$4="forecast",((X14/251)+W$19),SUMIF('Dept. Cost Actuals'!$E$7:$E$176,"*vacation*",'Dept. Cost Actuals'!AB$355:AB$524))</f>
        <v>3549.75</v>
      </c>
      <c r="Y19" s="991">
        <f>IF(Y$4="forecast",((Y14/251)+X$19),SUMIF('Dept. Cost Actuals'!$E$7:$E$176,"*vacation*",'Dept. Cost Actuals'!AC$355:AC$524))</f>
        <v>3219.27</v>
      </c>
      <c r="Z19" s="991">
        <f>IF(Z$4="forecast",((Z14/251)+Y$19),SUMIF('Dept. Cost Actuals'!$E$7:$E$176,"*vacation*",'Dept. Cost Actuals'!AD$355:AD$524))</f>
        <v>-1688.99</v>
      </c>
      <c r="AA19" s="991">
        <f>IF(AA$4="forecast",((AA14/251)+Z$19),SUMIF('Dept. Cost Actuals'!$E$7:$E$176,"*vacation*",'Dept. Cost Actuals'!AE$355:AE$524))</f>
        <v>-28942.91</v>
      </c>
      <c r="AB19" s="991">
        <f>IF(AB$4="forecast",((AB14/251)+AA$19),SUMIF('Dept. Cost Actuals'!$E$7:$E$176,"*vacation*",'Dept. Cost Actuals'!AF$355:AF$524))</f>
        <v>3155.32</v>
      </c>
      <c r="AC19" s="991">
        <f>IF(AC$4="forecast",((AC14/251)+AB$19),SUMIF('Dept. Cost Actuals'!$E$7:$E$176,"*vacation*",'Dept. Cost Actuals'!AG$355:AG$524))</f>
        <v>5174.66</v>
      </c>
      <c r="AD19" s="991">
        <f>IF(AD$4="forecast",((AD14/251)+AC$19),SUMIF('Dept. Cost Actuals'!$E$7:$E$176,"*vacation*",'Dept. Cost Actuals'!AH$355:AH$524))</f>
        <v>6059.3684661354582</v>
      </c>
      <c r="AE19" s="991">
        <f>IF(AE$4="forecast",((AE14/251)+AD$19),SUMIF('Dept. Cost Actuals'!$E$7:$E$176,"*vacation*",'Dept. Cost Actuals'!AI$355:AI$524))</f>
        <v>6944.0769322709166</v>
      </c>
      <c r="AF19" s="991">
        <f>IF(AF$4="forecast",((AF14/251)+AE$19),SUMIF('Dept. Cost Actuals'!$E$7:$E$176,"*vacation*",'Dept. Cost Actuals'!AJ$355:AJ$524))</f>
        <v>7828.785398406375</v>
      </c>
      <c r="AG19" s="991">
        <f>IF(AG$4="forecast",((AG14/251)+AF$19),SUMIF('Dept. Cost Actuals'!$E$7:$E$176,"*vacation*",'Dept. Cost Actuals'!AK$355:AK$524))</f>
        <v>8753.3345019920325</v>
      </c>
      <c r="AH19" s="991">
        <f>IF(AH$4="forecast",((AH14/251)+AG$19),SUMIF('Dept. Cost Actuals'!$E$7:$E$176,"*vacation*",'Dept. Cost Actuals'!AL$355:AL$524))</f>
        <v>9677.8836055776901</v>
      </c>
      <c r="AI19" s="991">
        <f>IF(AI$4="forecast",((AI14/251)+AH$19),SUMIF('Dept. Cost Actuals'!$E$7:$E$176,"*vacation*",'Dept. Cost Actuals'!AM$355:AM$524))</f>
        <v>10602.432709163348</v>
      </c>
      <c r="AJ19" s="991">
        <f>IF(AJ$4="forecast",((AJ14/251)+AI$19),SUMIF('Dept. Cost Actuals'!$E$7:$E$176,"*vacation*",'Dept. Cost Actuals'!AN$355:AN$524))</f>
        <v>11566.822450199204</v>
      </c>
      <c r="AK19" s="991">
        <f>IF(AK$4="forecast",((AK14/251)+AJ$19),SUMIF('Dept. Cost Actuals'!$E$7:$E$176,"*vacation*",'Dept. Cost Actuals'!AO$355:AO$524))</f>
        <v>12531.212191235061</v>
      </c>
      <c r="AL19" s="991">
        <f>IF(AL$4="forecast",((AL14/251)+AK$19),SUMIF('Dept. Cost Actuals'!$E$7:$E$176,"*vacation*",'Dept. Cost Actuals'!AP$355:AP$524))</f>
        <v>13495.601932270918</v>
      </c>
      <c r="AM19" s="991">
        <f>IF(AM$4="forecast",((AM14/251)+AL$19),SUMIF('Dept. Cost Actuals'!$E$7:$E$176,"*vacation*",'Dept. Cost Actuals'!AQ$355:AQ$524))</f>
        <v>14463.577330677292</v>
      </c>
      <c r="AN19" s="991">
        <f>IF(AN$4="forecast",((AN14/251)+AM$19),SUMIF('Dept. Cost Actuals'!$E$7:$E$176,"*vacation*",'Dept. Cost Actuals'!AR$355:AR$524))</f>
        <v>15452.162291035856</v>
      </c>
      <c r="AO19" s="991">
        <f>IF(AO$4="forecast",((AO14/251)+AN$19),SUMIF('Dept. Cost Actuals'!$E$7:$E$176,"*vacation*",'Dept. Cost Actuals'!AS$355:AS$524))</f>
        <v>16440.747251394423</v>
      </c>
      <c r="AP19" s="991">
        <f>IF(AP$4="forecast",((AP14/251)+AO$19),SUMIF('Dept. Cost Actuals'!$E$7:$E$176,"*vacation*",'Dept. Cost Actuals'!AT$355:AT$524))</f>
        <v>17429.33221175299</v>
      </c>
      <c r="AQ19" s="991">
        <f>IF(AQ$4="forecast",((AQ14/251)+AP$19),SUMIF('Dept. Cost Actuals'!$E$7:$E$176,"*vacation*",'Dept. Cost Actuals'!AU$355:AU$524))</f>
        <v>18417.917172111556</v>
      </c>
      <c r="AR19" s="991">
        <f>IF(AR$4="forecast",((AR14/251)+AQ$19),SUMIF('Dept. Cost Actuals'!$E$7:$E$176,"*vacation*",'Dept. Cost Actuals'!AV$355:AV$524))</f>
        <v>19406.502132470123</v>
      </c>
      <c r="AS19" s="991">
        <f>IF(AS$4="forecast",((AS14/251)+AR$19),SUMIF('Dept. Cost Actuals'!$E$7:$E$176,"*vacation*",'Dept. Cost Actuals'!AW$355:AW$524))</f>
        <v>20395.087092828689</v>
      </c>
      <c r="AT19" s="991">
        <f>IF(AT$4="forecast",((AT14/251)+AS$19),SUMIF('Dept. Cost Actuals'!$E$7:$E$176,"*vacation*",'Dept. Cost Actuals'!AX$355:AX$524))</f>
        <v>21383.672053187256</v>
      </c>
      <c r="AU19" s="991">
        <f>IF(AU$4="forecast",((AU14/251)+AT$19),SUMIF('Dept. Cost Actuals'!$E$7:$E$176,"*vacation*",'Dept. Cost Actuals'!AY$355:AY$524))</f>
        <v>22372.257013545823</v>
      </c>
      <c r="AV19" s="991">
        <f>IF(AV$4="forecast",((AV14/251)+AU$19),SUMIF('Dept. Cost Actuals'!$E$7:$E$176,"*vacation*",'Dept. Cost Actuals'!AZ$355:AZ$524))</f>
        <v>23360.841973904389</v>
      </c>
      <c r="AW19" s="991">
        <f>IF(AW$4="forecast",((AW14/251)+AV$19),SUMIF('Dept. Cost Actuals'!$E$7:$E$176,"*vacation*",'Dept. Cost Actuals'!BA$355:BA$524))</f>
        <v>24349.426934262956</v>
      </c>
      <c r="AX19" s="991">
        <f>IF(AX$4="forecast",((AX14/251)+AW$19),SUMIF('Dept. Cost Actuals'!$E$7:$E$176,"*vacation*",'Dept. Cost Actuals'!BB$355:BB$524))</f>
        <v>25338.011894621523</v>
      </c>
      <c r="AY19" s="991">
        <f>IF(AY$4="forecast",((AY14/251)+AX$19),SUMIF('Dept. Cost Actuals'!$E$7:$E$176,"*vacation*",'Dept. Cost Actuals'!BC$355:BC$524))</f>
        <v>26330.290082071722</v>
      </c>
      <c r="AZ19" s="991">
        <f>IF(AZ$4="forecast",((AZ14/251)+AY$19),SUMIF('Dept. Cost Actuals'!$E$7:$E$176,"*vacation*",'Dept. Cost Actuals'!BD$355:BD$524))</f>
        <v>27348.532591241044</v>
      </c>
      <c r="BA19" s="991">
        <f>IF(BA$4="forecast",((BA14/251)+AZ$19),SUMIF('Dept. Cost Actuals'!$E$7:$E$176,"*vacation*",'Dept. Cost Actuals'!BE$355:BE$524))</f>
        <v>28366.775100410367</v>
      </c>
      <c r="BB19" s="991">
        <f>IF(BB$4="forecast",((BB14/251)+BA$19),SUMIF('Dept. Cost Actuals'!$E$7:$E$176,"*vacation*",'Dept. Cost Actuals'!BF$355:BF$524))</f>
        <v>29385.017609579689</v>
      </c>
      <c r="BC19" s="991">
        <f>IF(BC$4="forecast",((BC14/251)+BB$19),SUMIF('Dept. Cost Actuals'!$E$7:$E$176,"*vacation*",'Dept. Cost Actuals'!BG$355:BG$524))</f>
        <v>30403.260118749011</v>
      </c>
      <c r="BD19" s="991">
        <f>IF(BD$4="forecast",((BD14/251)+BC$19),SUMIF('Dept. Cost Actuals'!$E$7:$E$176,"*vacation*",'Dept. Cost Actuals'!BH$355:BH$524))</f>
        <v>31421.502627918333</v>
      </c>
      <c r="BE19" s="991">
        <f>IF(BE$4="forecast",((BE14/251)+BD$19),SUMIF('Dept. Cost Actuals'!$E$7:$E$176,"*vacation*",'Dept. Cost Actuals'!BI$355:BI$524))</f>
        <v>32439.745137087655</v>
      </c>
      <c r="BF19" s="991">
        <f>IF(BF$4="forecast",((BF14/251)+BE$19),SUMIF('Dept. Cost Actuals'!$E$7:$E$176,"*vacation*",'Dept. Cost Actuals'!BJ$355:BJ$524))</f>
        <v>33457.987646256981</v>
      </c>
      <c r="BG19" s="991">
        <f>IF(BG$4="forecast",((BG14/251)+BF$19),SUMIF('Dept. Cost Actuals'!$E$7:$E$176,"*vacation*",'Dept. Cost Actuals'!BK$355:BK$524))</f>
        <v>34476.230155426303</v>
      </c>
      <c r="BH19" s="991">
        <f>IF(BH$4="forecast",((BH14/251)+BG$19),SUMIF('Dept. Cost Actuals'!$E$7:$E$176,"*vacation*",'Dept. Cost Actuals'!BL$355:BL$524))</f>
        <v>35494.472664595625</v>
      </c>
      <c r="BI19" s="991">
        <f>IF(BI$4="forecast",((BI14/251)+BH$19),SUMIF('Dept. Cost Actuals'!$E$7:$E$176,"*vacation*",'Dept. Cost Actuals'!BM$355:BM$524))</f>
        <v>36512.715173764947</v>
      </c>
      <c r="BJ19" s="991">
        <f>IF(BJ$4="forecast",((BJ14/251)+BI$19),SUMIF('Dept. Cost Actuals'!$E$7:$E$176,"*vacation*",'Dept. Cost Actuals'!BN$355:BN$524))</f>
        <v>37530.95768293427</v>
      </c>
      <c r="BK19" s="991">
        <f>IF(BK$4="forecast",((BK14/251)+BJ$19),SUMIF('Dept. Cost Actuals'!$E$7:$E$176,"*vacation*",'Dept. Cost Actuals'!BO$355:BO$524))</f>
        <v>38553.004216007976</v>
      </c>
      <c r="BL19" s="991">
        <f>IF(BL$4="forecast",((BL14/251)+BK$19),SUMIF('Dept. Cost Actuals'!$E$7:$E$176,"*vacation*",'Dept. Cost Actuals'!BP$355:BP$524))</f>
        <v>39601.794000452377</v>
      </c>
      <c r="BM19" s="991">
        <f>IF(BM$4="forecast",((BM14/251)+BL$19),SUMIF('Dept. Cost Actuals'!$E$7:$E$176,"*vacation*",'Dept. Cost Actuals'!BQ$355:BQ$524))</f>
        <v>40650.583784896779</v>
      </c>
      <c r="BN19" s="991">
        <f>IF(BN$4="forecast",((BN14/251)+BM$19),SUMIF('Dept. Cost Actuals'!$E$7:$E$176,"*vacation*",'Dept. Cost Actuals'!BR$355:BR$524))</f>
        <v>41699.37356934118</v>
      </c>
      <c r="BO19" s="991">
        <f>IF(BO$4="forecast",((BO14/251)+BN$19),SUMIF('Dept. Cost Actuals'!$E$7:$E$176,"*vacation*",'Dept. Cost Actuals'!BS$355:BS$524))</f>
        <v>42748.163353785581</v>
      </c>
      <c r="BP19" s="991">
        <f>IF(BP$4="forecast",((BP14/251)+BO$19),SUMIF('Dept. Cost Actuals'!$E$7:$E$176,"*vacation*",'Dept. Cost Actuals'!BT$355:BT$524))</f>
        <v>43796.953138229983</v>
      </c>
      <c r="BQ19" s="991">
        <f>IF(BQ$4="forecast",((BQ14/251)+BP$19),SUMIF('Dept. Cost Actuals'!$E$7:$E$176,"*vacation*",'Dept. Cost Actuals'!BU$355:BU$524))</f>
        <v>44845.742922674384</v>
      </c>
      <c r="BR19" s="991">
        <f>IF(BR$4="forecast",((BR14/251)+BQ$19),SUMIF('Dept. Cost Actuals'!$E$7:$E$176,"*vacation*",'Dept. Cost Actuals'!BV$355:BV$524))</f>
        <v>45894.532707118786</v>
      </c>
      <c r="BS19" s="991">
        <f>IF(BS$4="forecast",((BS14/251)+BR$19),SUMIF('Dept. Cost Actuals'!$E$7:$E$176,"*vacation*",'Dept. Cost Actuals'!BW$355:BW$524))</f>
        <v>46943.322491563187</v>
      </c>
      <c r="BT19" s="991">
        <f>IF(BT$4="forecast",((BT14/251)+BS$19),SUMIF('Dept. Cost Actuals'!$E$7:$E$176,"*vacation*",'Dept. Cost Actuals'!BX$355:BX$524))</f>
        <v>47992.112276007589</v>
      </c>
      <c r="BU19" s="991">
        <f>IF(BU$4="forecast",((BU14/251)+BT$19),SUMIF('Dept. Cost Actuals'!$E$7:$E$176,"*vacation*",'Dept. Cost Actuals'!BY$355:BY$524))</f>
        <v>49040.90206045199</v>
      </c>
      <c r="BV19" s="992">
        <f>IF(BV$4="forecast",((BV14/251)+BU$19),SUMIF('Dept. Cost Actuals'!$E$7:$E$176,"*vacation*",'Dept. Cost Actuals'!BZ$355:BZ$524))</f>
        <v>50089.691844896392</v>
      </c>
    </row>
    <row r="20" spans="2:75" s="626" customFormat="1" ht="12.75" x14ac:dyDescent="0.2">
      <c r="B20" s="794" t="s">
        <v>657</v>
      </c>
      <c r="C20" s="668">
        <f>IF(C$4="forecast",(((SUM(#REF!)/12)*1.03)),SUMIF('Dept. Cost Actuals'!$E$7:$E$176,"*Health Insurance*",'Dept. Cost Actuals'!G$355:G$524))</f>
        <v>0</v>
      </c>
      <c r="D20" s="668">
        <f>IF(D$4="forecast",(((SUM(#REF!)/12)*1.03)),SUMIF('Dept. Cost Actuals'!$E$7:$E$176,"*Health Insurance*",'Dept. Cost Actuals'!H$355:H$524))</f>
        <v>0</v>
      </c>
      <c r="E20" s="668">
        <f>IF(E$4="forecast",(((SUM(#REF!)/12)*1.03)),SUMIF('Dept. Cost Actuals'!$E$7:$E$176,"*Health Insurance*",'Dept. Cost Actuals'!I$355:I$524))</f>
        <v>0</v>
      </c>
      <c r="F20" s="668">
        <f>IF(F$4="forecast",(((SUM(#REF!)/12)*1.03)),SUMIF('Dept. Cost Actuals'!$E$7:$E$176,"*Health Insurance*",'Dept. Cost Actuals'!J$355:J$524))</f>
        <v>0</v>
      </c>
      <c r="G20" s="668">
        <f>IF(G$4="forecast",(((SUM(#REF!)/12)*1.03)),SUMIF('Dept. Cost Actuals'!$E$7:$E$176,"*Health Insurance*",'Dept. Cost Actuals'!K$355:K$524))</f>
        <v>0</v>
      </c>
      <c r="H20" s="668">
        <f>IF(H$4="forecast",(((SUM(#REF!)/12)*1.03)),SUMIF('Dept. Cost Actuals'!$E$7:$E$176,"*Health Insurance*",'Dept. Cost Actuals'!L$355:L$524))</f>
        <v>0</v>
      </c>
      <c r="I20" s="668">
        <f>IF(I$4="forecast",(((SUM(#REF!)/12)*1.03)),SUMIF('Dept. Cost Actuals'!$E$7:$E$176,"*Health Insurance*",'Dept. Cost Actuals'!M$355:M$524))</f>
        <v>0</v>
      </c>
      <c r="J20" s="668">
        <f>IF(J$4="forecast",(((SUM(#REF!)/12)*1.03)),SUMIF('Dept. Cost Actuals'!$E$7:$E$176,"*Health Insurance*",'Dept. Cost Actuals'!N$355:N$524))</f>
        <v>0</v>
      </c>
      <c r="K20" s="668">
        <f>IF(K$4="forecast",(((SUM(#REF!)/12)*1.03)),SUMIF('Dept. Cost Actuals'!$E$7:$E$176,"*Health Insurance*",'Dept. Cost Actuals'!O$355:O$524))</f>
        <v>0</v>
      </c>
      <c r="L20" s="668">
        <f>IF(L$4="forecast",(((SUM(#REF!)/12)*1.03)),SUMIF('Dept. Cost Actuals'!$E$7:$E$176,"*Health Insurance*",'Dept. Cost Actuals'!P$355:P$524))</f>
        <v>0</v>
      </c>
      <c r="M20" s="668">
        <f>IF(M$4="forecast",(((SUM(#REF!)/12)*1.03)),SUMIF('Dept. Cost Actuals'!$E$7:$E$176,"*Health Insurance*",'Dept. Cost Actuals'!Q$355:Q$524))</f>
        <v>0</v>
      </c>
      <c r="N20" s="668">
        <f>IF(N$4="forecast",(((SUM(#REF!)/12)*1.03)),SUMIF('Dept. Cost Actuals'!$E$7:$E$176,"*Health Insurance*",'Dept. Cost Actuals'!R$355:R$524))</f>
        <v>0</v>
      </c>
      <c r="O20" s="668">
        <f>IF(O$4="forecast",(((SUM(#REF!)/12)*1.03)),SUMIF('Dept. Cost Actuals'!$E$7:$E$176,"*Health Insurance*",'Dept. Cost Actuals'!S$355:S$524))</f>
        <v>14023.9</v>
      </c>
      <c r="P20" s="668">
        <f>IF(P$4="forecast",(((SUM(#REF!)/12)*1.03)),SUMIF('Dept. Cost Actuals'!$E$7:$E$176,"*Health Insurance*",'Dept. Cost Actuals'!T$355:T$524))</f>
        <v>6178.38</v>
      </c>
      <c r="Q20" s="668">
        <f>IF(Q$4="forecast",(((SUM(#REF!)/12)*1.03)),SUMIF('Dept. Cost Actuals'!$E$7:$E$176,"*Health Insurance*",'Dept. Cost Actuals'!U$355:U$524))</f>
        <v>5372.79</v>
      </c>
      <c r="R20" s="668">
        <f>IF(R$4="forecast",(((SUM(#REF!)/12)*1.03)),SUMIF('Dept. Cost Actuals'!$E$7:$E$176,"*Health Insurance*",'Dept. Cost Actuals'!V$355:V$524))</f>
        <v>5001.71</v>
      </c>
      <c r="S20" s="668">
        <f>IF(S$4="forecast",(((SUM(#REF!)/12)*1.03)),SUMIF('Dept. Cost Actuals'!$E$7:$E$176,"*Health Insurance*",'Dept. Cost Actuals'!W$355:W$524))</f>
        <v>7441.31</v>
      </c>
      <c r="T20" s="668">
        <f>IF(T$4="forecast",(((SUM(#REF!)/12)*1.03)),SUMIF('Dept. Cost Actuals'!$E$7:$E$176,"*Health Insurance*",'Dept. Cost Actuals'!X$355:X$524))</f>
        <v>9473.3700000000008</v>
      </c>
      <c r="U20" s="668">
        <f>IF(U$4="forecast",(((SUM(#REF!)/12)*1.03)),SUMIF('Dept. Cost Actuals'!$E$7:$E$176,"*Health Insurance*",'Dept. Cost Actuals'!Y$355:Y$524))</f>
        <v>7438.7</v>
      </c>
      <c r="V20" s="668">
        <f>IF(V$4="forecast",(((SUM(#REF!)/12)*1.03)),SUMIF('Dept. Cost Actuals'!$E$7:$E$176,"*Health Insurance*",'Dept. Cost Actuals'!Z$355:Z$524))</f>
        <v>7323.23</v>
      </c>
      <c r="W20" s="668">
        <f>IF(W$4="forecast",(((SUM(#REF!)/12)*1.03)),SUMIF('Dept. Cost Actuals'!$E$7:$E$176,"*Health Insurance*",'Dept. Cost Actuals'!AA$355:AA$524))</f>
        <v>6715.82</v>
      </c>
      <c r="X20" s="668">
        <f>IF(X$4="forecast",(((SUM(#REF!)/12)*1.03)),SUMIF('Dept. Cost Actuals'!$E$7:$E$176,"*Health Insurance*",'Dept. Cost Actuals'!AB$355:AB$524))</f>
        <v>7897.72</v>
      </c>
      <c r="Y20" s="668">
        <f>IF(Y$4="forecast",(((SUM(#REF!)/12)*1.03)),SUMIF('Dept. Cost Actuals'!$E$7:$E$176,"*Health Insurance*",'Dept. Cost Actuals'!AC$355:AC$524))</f>
        <v>0</v>
      </c>
      <c r="Z20" s="668">
        <f>IF(Z$4="forecast",(((SUM(#REF!)/12)*1.03)),SUMIF('Dept. Cost Actuals'!$E$7:$E$176,"*Health Insurance*",'Dept. Cost Actuals'!AD$355:AD$524))</f>
        <v>6939.57</v>
      </c>
      <c r="AA20" s="668">
        <f>IF(AA$4="forecast",(((SUM(#REF!)/12)*1.03)),SUMIF('Dept. Cost Actuals'!$E$7:$E$176,"*Health Insurance*",'Dept. Cost Actuals'!AE$355:AE$524))</f>
        <v>8591.7900000000009</v>
      </c>
      <c r="AB20" s="668">
        <f>IF(AB$4="forecast",(((SUM(P$20:AA$20)/12)*1.03)),SUMIF('Dept. Cost Actuals'!$E$7:$E$176,"*Health Insurance*",'Dept. Cost Actuals'!AF$355:AF$524))</f>
        <v>6753.97</v>
      </c>
      <c r="AC20" s="668">
        <f>IF(AC$4="forecast",(((SUM(Q$20:AB$20)/12)*1.03)),SUMIF('Dept. Cost Actuals'!$E$7:$E$176,"*Health Insurance*",'Dept. Cost Actuals'!AG$355:AG$524))</f>
        <v>11708.69</v>
      </c>
      <c r="AD20" s="668">
        <f>IF(AD$4="forecast",(((SUM(R$20:AC$20)/12)*1.03)),SUMIF('Dept. Cost Actuals'!$E$7:$E$176,"*Health Insurance*",'Dept. Cost Actuals'!AH$355:AH$524))</f>
        <v>7320.3713666666672</v>
      </c>
      <c r="AE20" s="668">
        <f>IF(AE$4="forecast",(((SUM(S$20:AD$20)/12)*1.03)),SUMIF('Dept. Cost Actuals'!$E$7:$E$176,"*Health Insurance*",'Dept. Cost Actuals'!AI$355:AI$524))</f>
        <v>7519.389800638889</v>
      </c>
      <c r="AF20" s="668">
        <f>IF(AF$4="forecast",(((SUM(T$20:AE$20)/12)*1.03)),SUMIF('Dept. Cost Actuals'!$E$7:$E$176,"*Health Insurance*",'Dept. Cost Actuals'!AJ$355:AJ$524))</f>
        <v>7526.0916501937272</v>
      </c>
      <c r="AG20" s="668">
        <f>IF(AG$4="forecast",(((SUM(U$20:AF$20)/12)*1.03)),SUMIF('Dept. Cost Actuals'!$E$7:$E$176,"*Health Insurance*",'Dept. Cost Actuals'!AK$355:AK$524))</f>
        <v>7358.9502585020236</v>
      </c>
      <c r="AH20" s="668">
        <f>IF(AH$4="forecast",(((SUM(V$20:AG$20)/12)*1.03)),SUMIF('Dept. Cost Actuals'!$E$7:$E$176,"*Health Insurance*",'Dept. Cost Actuals'!AL$355:AL$524))</f>
        <v>7352.1050723567796</v>
      </c>
      <c r="AI20" s="668">
        <f>IF(AI$4="forecast",(((SUM(W$20:AH$20)/12)*1.03)),SUMIF('Dept. Cost Actuals'!$E$7:$E$176,"*Health Insurance*",'Dept. Cost Actuals'!AM$355:AM$524))</f>
        <v>7354.5835160674033</v>
      </c>
      <c r="AJ20" s="668">
        <f>IF(AJ$4="forecast",(((SUM(X$20:AI$20)/12)*1.03)),SUMIF('Dept. Cost Actuals'!$E$7:$E$176,"*Health Insurance*",'Dept. Cost Actuals'!AN$355:AN$524))</f>
        <v>7409.4107178631875</v>
      </c>
      <c r="AK20" s="668">
        <f>IF(AK$4="forecast",(((SUM(Y$20:AJ$20)/12)*1.03)),SUMIF('Dept. Cost Actuals'!$E$7:$E$176,"*Health Insurance*",'Dept. Cost Actuals'!AO$355:AO$524))</f>
        <v>7367.4975044797775</v>
      </c>
      <c r="AL20" s="668">
        <f>IF(AL$4="forecast",(((SUM(Z$20:AK$20)/12)*1.03)),SUMIF('Dept. Cost Actuals'!$E$7:$E$176,"*Health Insurance*",'Dept. Cost Actuals'!AP$355:AP$524))</f>
        <v>7999.8743736142924</v>
      </c>
      <c r="AM20" s="668">
        <f>IF(AM$4="forecast",(((SUM(AA$20:AL$20)/12)*1.03)),SUMIF('Dept. Cost Actuals'!$E$7:$E$176,"*Health Insurance*",'Dept. Cost Actuals'!AQ$355:AQ$524))</f>
        <v>8090.8838323495193</v>
      </c>
      <c r="AN20" s="668">
        <f>IF(AN$4="forecast",(((SUM(AB$20:AM$20)/12)*1.03)),SUMIF('Dept. Cost Actuals'!$E$7:$E$176,"*Health Insurance*",'Dept. Cost Actuals'!AR$355:AR$524))</f>
        <v>8047.8893862928517</v>
      </c>
      <c r="AO20" s="668">
        <f>IF(AO$4="forecast",(((SUM(AC$20:AN$20)/12)*1.03)),SUMIF('Dept. Cost Actuals'!$E$7:$E$176,"*Health Insurance*",'Dept. Cost Actuals'!AS$355:AS$524))</f>
        <v>8158.9508002829898</v>
      </c>
      <c r="AP20" s="668">
        <f>IF(AP$4="forecast",(((SUM(AD$20:AO$20)/12)*1.03)),SUMIF('Dept. Cost Actuals'!$E$7:$E$176,"*Health Insurance*",'Dept. Cost Actuals'!AT$355:AT$524))</f>
        <v>7854.2648523072803</v>
      </c>
      <c r="AQ20" s="668">
        <f>IF(AQ$4="forecast",(((SUM(AE$20:AP$20)/12)*1.03)),SUMIF('Dept. Cost Actuals'!$E$7:$E$176,"*Health Insurance*",'Dept. Cost Actuals'!AU$355:AU$524))</f>
        <v>7900.0907098247671</v>
      </c>
      <c r="AR20" s="668">
        <f>IF(AR$4="forecast",(((SUM(AF$20:AQ$20)/12)*1.03)),SUMIF('Dept. Cost Actuals'!$E$7:$E$176,"*Health Insurance*",'Dept. Cost Actuals'!AV$355:AV$524))</f>
        <v>7932.7675378632212</v>
      </c>
      <c r="AS20" s="668">
        <f>IF(AS$4="forecast",(((SUM(AG$20:AR$20)/12)*1.03)),SUMIF('Dept. Cost Actuals'!$E$7:$E$176,"*Health Insurance*",'Dept. Cost Actuals'!AW$355:AW$524))</f>
        <v>7967.6738848881869</v>
      </c>
      <c r="AT20" s="668">
        <f>IF(AT$4="forecast",(((SUM(AH$20:AS$20)/12)*1.03)),SUMIF('Dept. Cost Actuals'!$E$7:$E$176,"*Health Insurance*",'Dept. Cost Actuals'!AX$355:AX$524))</f>
        <v>8019.9226628196639</v>
      </c>
      <c r="AU20" s="668">
        <f>IF(AU$4="forecast",(((SUM(AI$20:AT$20)/12)*1.03)),SUMIF('Dept. Cost Actuals'!$E$7:$E$176,"*Health Insurance*",'Dept. Cost Actuals'!AY$355:AY$524))</f>
        <v>8077.2436726677297</v>
      </c>
      <c r="AV20" s="668">
        <f>IF(AV$4="forecast",(((SUM(AJ$20:AU$20)/12)*1.03)),SUMIF('Dept. Cost Actuals'!$E$7:$E$176,"*Health Insurance*",'Dept. Cost Actuals'!AZ$355:AZ$524))</f>
        <v>8139.2720027759224</v>
      </c>
      <c r="AW20" s="668">
        <f>IF(AW$4="forecast",(((SUM(AK$20:AV$20)/12)*1.03)),SUMIF('Dept. Cost Actuals'!$E$7:$E$176,"*Health Insurance*",'Dept. Cost Actuals'!BA$355:BA$524))</f>
        <v>8201.918429730933</v>
      </c>
      <c r="AX20" s="668">
        <f>IF(AX$4="forecast",(((SUM(AL$20:AW$20)/12)*1.03)),SUMIF('Dept. Cost Actuals'!$E$7:$E$176,"*Health Insurance*",'Dept. Cost Actuals'!BB$355:BB$524))</f>
        <v>8273.539559148323</v>
      </c>
      <c r="AY20" s="668">
        <f>IF(AY$4="forecast",(((SUM(AM$20:AX$20)/12)*1.03)),SUMIF('Dept. Cost Actuals'!$E$7:$E$176,"*Health Insurance*",'Dept. Cost Actuals'!BC$355:BC$524))</f>
        <v>8297.0291542399937</v>
      </c>
      <c r="AZ20" s="668">
        <f>IF(AZ$4="forecast",(((SUM(AN$20:AY$20)/12)*1.03)),SUMIF('Dept. Cost Actuals'!$E$7:$E$176,"*Health Insurance*",'Dept. Cost Actuals'!BD$355:BD$524))</f>
        <v>8314.7232943689269</v>
      </c>
      <c r="BA20" s="668">
        <f>IF(BA$4="forecast",(((SUM(AO$20:AZ$20)/12)*1.03)),SUMIF('Dept. Cost Actuals'!$E$7:$E$176,"*Health Insurance*",'Dept. Cost Actuals'!BE$355:BE$524))</f>
        <v>8337.6265381454577</v>
      </c>
      <c r="BB20" s="668">
        <f>IF(BB$4="forecast",(((SUM(AP$20:BA$20)/12)*1.03)),SUMIF('Dept. Cost Actuals'!$E$7:$E$176,"*Health Insurance*",'Dept. Cost Actuals'!BF$355:BF$524))</f>
        <v>8352.962872311984</v>
      </c>
      <c r="BC20" s="668">
        <f>IF(BC$4="forecast",(((SUM(AQ$20:BB$20)/12)*1.03)),SUMIF('Dept. Cost Actuals'!$E$7:$E$176,"*Health Insurance*",'Dept. Cost Actuals'!BG$355:BG$524))</f>
        <v>8395.7677856957216</v>
      </c>
      <c r="BD20" s="668">
        <f>IF(BD$4="forecast",(((SUM(AR$20:BC$20)/12)*1.03)),SUMIF('Dept. Cost Actuals'!$E$7:$E$176,"*Health Insurance*",'Dept. Cost Actuals'!BH$355:BH$524))</f>
        <v>8438.3134013746439</v>
      </c>
      <c r="BE20" s="668">
        <f>IF(BE$4="forecast",(((SUM(AS$20:BD$20)/12)*1.03)),SUMIF('Dept. Cost Actuals'!$E$7:$E$176,"*Health Insurance*",'Dept. Cost Actuals'!BI$355:BI$524))</f>
        <v>8481.7060879927103</v>
      </c>
      <c r="BF20" s="668">
        <f>IF(BF$4="forecast",(((SUM(AT$20:BE$20)/12)*1.03)),SUMIF('Dept. Cost Actuals'!$E$7:$E$176,"*Health Insurance*",'Dept. Cost Actuals'!BJ$355:BJ$524))</f>
        <v>8525.8271854258492</v>
      </c>
      <c r="BG20" s="668">
        <f>IF(BG$4="forecast",(((SUM(AU$20:BF$20)/12)*1.03)),SUMIF('Dept. Cost Actuals'!$E$7:$E$176,"*Health Insurance*",'Dept. Cost Actuals'!BK$355:BK$524))</f>
        <v>8569.2506569495454</v>
      </c>
      <c r="BH20" s="668">
        <f>IF(BH$4="forecast",(((SUM(AV$20:BG$20)/12)*1.03)),SUMIF('Dept. Cost Actuals'!$E$7:$E$176,"*Health Insurance*",'Dept. Cost Actuals'!BL$355:BL$524))</f>
        <v>8611.4812564337335</v>
      </c>
      <c r="BI20" s="668">
        <f>IF(BI$4="forecast",(((SUM(AW$20:BH$20)/12)*1.03)),SUMIF('Dept. Cost Actuals'!$E$7:$E$176,"*Health Insurance*",'Dept. Cost Actuals'!BM$355:BM$524))</f>
        <v>8652.0125507060293</v>
      </c>
      <c r="BJ20" s="668">
        <f>IF(BJ$4="forecast",(((SUM(AX$20:BI$20)/12)*1.03)),SUMIF('Dept. Cost Actuals'!$E$7:$E$176,"*Health Insurance*",'Dept. Cost Actuals'!BN$355:BN$524))</f>
        <v>8690.6456294230593</v>
      </c>
      <c r="BK20" s="668">
        <f>IF(BK$4="forecast",(((SUM(AY$20:BJ$20)/12)*1.03)),SUMIF('Dept. Cost Actuals'!$E$7:$E$176,"*Health Insurance*",'Dept. Cost Actuals'!BO$355:BO$524))</f>
        <v>8726.4472337883071</v>
      </c>
      <c r="BL20" s="668">
        <f>IF(BL$4="forecast",(((SUM(AZ$20:BK$20)/12)*1.03)),SUMIF('Dept. Cost Actuals'!$E$7:$E$176,"*Health Insurance*",'Dept. Cost Actuals'!BP$355:BP$524))</f>
        <v>8763.3056189495383</v>
      </c>
      <c r="BM20" s="668">
        <f>IF(BM$4="forecast",(((SUM(BA$20:BL$20)/12)*1.03)),SUMIF('Dept. Cost Actuals'!$E$7:$E$176,"*Health Insurance*",'Dept. Cost Actuals'!BQ$355:BQ$524))</f>
        <v>8801.8089351427061</v>
      </c>
      <c r="BN20" s="668">
        <f>IF(BN$4="forecast",(((SUM(BB$20:BM$20)/12)*1.03)),SUMIF('Dept. Cost Actuals'!$E$7:$E$176,"*Health Insurance*",'Dept. Cost Actuals'!BR$355:BR$524))</f>
        <v>8841.6512575516372</v>
      </c>
      <c r="BO20" s="668">
        <f>IF(BO$4="forecast",(((SUM(BC$20:BN$20)/12)*1.03)),SUMIF('Dept. Cost Actuals'!$E$7:$E$176,"*Health Insurance*",'Dept. Cost Actuals'!BS$355:BS$524))</f>
        <v>8883.5970106180412</v>
      </c>
      <c r="BP20" s="668">
        <f>IF(BP$4="forecast",(((SUM(BD$20:BO$20)/12)*1.03)),SUMIF('Dept. Cost Actuals'!$E$7:$E$176,"*Health Insurance*",'Dept. Cost Actuals'!BT$355:BT$524))</f>
        <v>8925.4690190905421</v>
      </c>
      <c r="BQ20" s="668">
        <f>IF(BQ$4="forecast",(((SUM(BE$20:BP$20)/12)*1.03)),SUMIF('Dept. Cost Actuals'!$E$7:$E$176,"*Health Insurance*",'Dept. Cost Actuals'!BU$355:BU$524))</f>
        <v>8967.2832096111524</v>
      </c>
      <c r="BR20" s="668">
        <f>IF(BR$4="forecast",(((SUM(BF$20:BQ$20)/12)*1.03)),SUMIF('Dept. Cost Actuals'!$E$7:$E$176,"*Health Insurance*",'Dept. Cost Actuals'!BV$355:BV$524))</f>
        <v>9008.9619125500703</v>
      </c>
      <c r="BS20" s="668">
        <f>IF(BS$4="forecast",(((SUM(BG$20:BR$20)/12)*1.03)),SUMIF('Dept. Cost Actuals'!$E$7:$E$176,"*Health Insurance*",'Dept. Cost Actuals'!BW$355:BW$524))</f>
        <v>9050.4309766282349</v>
      </c>
      <c r="BT20" s="668">
        <f>IF(BT$4="forecast",(((SUM(BH$20:BS$20)/12)*1.03)),SUMIF('Dept. Cost Actuals'!$E$7:$E$176,"*Health Insurance*",'Dept. Cost Actuals'!BX$355:BX$524))</f>
        <v>9091.732287400655</v>
      </c>
      <c r="BU20" s="668">
        <f>IF(BU$4="forecast",(((SUM(BI$20:BT$20)/12)*1.03)),SUMIF('Dept. Cost Actuals'!$E$7:$E$176,"*Health Insurance*",'Dept. Cost Actuals'!BY$355:BY$524))</f>
        <v>9132.9538342253163</v>
      </c>
      <c r="BV20" s="790">
        <f>IF(BV$4="forecast",(((SUM(BJ$20:BU$20)/12)*1.03)),SUMIF('Dept. Cost Actuals'!$E$7:$E$176,"*Health Insurance*",'Dept. Cost Actuals'!BZ$355:BZ$524))</f>
        <v>9174.2346277273864</v>
      </c>
    </row>
    <row r="21" spans="2:75" s="626" customFormat="1" ht="12.75" x14ac:dyDescent="0.2">
      <c r="B21" s="794" t="s">
        <v>1348</v>
      </c>
      <c r="C21" s="668">
        <f>IF(C$4="forecast",(((400/12)*C$7)),(SUMIF('Dept. Cost Actuals'!$E$7:$E$176,"*Employee*",'Dept. Cost Actuals'!G$355:G$524)))</f>
        <v>852.34152445065149</v>
      </c>
      <c r="D21" s="668">
        <f>IF(D$4="forecast",(((400/12)*D$7)),(SUMIF('Dept. Cost Actuals'!$E$7:$E$176,"*Employee*",'Dept. Cost Actuals'!H$355:H$524)))</f>
        <v>488.22973669307771</v>
      </c>
      <c r="E21" s="668">
        <f>IF(E$4="forecast",(((400/12)*E$7)),(SUMIF('Dept. Cost Actuals'!$E$7:$E$176,"*Employee*",'Dept. Cost Actuals'!I$355:I$524)))</f>
        <v>851.81754500492298</v>
      </c>
      <c r="F21" s="668">
        <f>IF(F$4="forecast",(((400/12)*F$7)),(SUMIF('Dept. Cost Actuals'!$E$7:$E$176,"*Employee*",'Dept. Cost Actuals'!J$355:J$524)))</f>
        <v>1828.524242780155</v>
      </c>
      <c r="G21" s="668">
        <f>IF(G$4="forecast",(((400/12)*G$7)),(SUMIF('Dept. Cost Actuals'!$E$7:$E$176,"*Employee*",'Dept. Cost Actuals'!K$355:K$524)))</f>
        <v>935.83366029895365</v>
      </c>
      <c r="H21" s="668">
        <f>IF(H$4="forecast",(((400/12)*H$7)),(SUMIF('Dept. Cost Actuals'!$E$7:$E$176,"*Employee*",'Dept. Cost Actuals'!L$355:L$524)))</f>
        <v>1121.8058209802803</v>
      </c>
      <c r="I21" s="668">
        <f>IF(I$4="forecast",(((400/12)*I$7)),(SUMIF('Dept. Cost Actuals'!$E$7:$E$176,"*Employee*",'Dept. Cost Actuals'!M$355:M$524)))</f>
        <v>1018.7029400407547</v>
      </c>
      <c r="J21" s="668">
        <f>IF(J$4="forecast",(((400/12)*J$7)),(SUMIF('Dept. Cost Actuals'!$E$7:$E$176,"*Employee*",'Dept. Cost Actuals'!N$355:N$524)))</f>
        <v>1351.0560354649642</v>
      </c>
      <c r="K21" s="668">
        <f>IF(K$4="forecast",(((400/12)*K$7)),(SUMIF('Dept. Cost Actuals'!$E$7:$E$176,"*Employee*",'Dept. Cost Actuals'!O$355:O$524)))</f>
        <v>1858.9638199068484</v>
      </c>
      <c r="L21" s="668">
        <f>IF(L$4="forecast",(((400/12)*L$7)),(SUMIF('Dept. Cost Actuals'!$E$7:$E$176,"*Employee*",'Dept. Cost Actuals'!P$355:P$524)))</f>
        <v>577.90996933157385</v>
      </c>
      <c r="M21" s="668">
        <f>IF(M$4="forecast",(((400/12)*M$7)),(SUMIF('Dept. Cost Actuals'!$E$7:$E$176,"*Employee*",'Dept. Cost Actuals'!Q$355:Q$524)))</f>
        <v>985.72769216041388</v>
      </c>
      <c r="N21" s="668">
        <f>IF(N$4="forecast",(((400/12)*N$7)),(SUMIF('Dept. Cost Actuals'!$E$7:$E$176,"*Employee*",'Dept. Cost Actuals'!R$355:R$524)))</f>
        <v>9943.7617819453189</v>
      </c>
      <c r="O21" s="668">
        <f>IF(O$4="forecast",(((400/12)*O$7)),(SUMIF('Dept. Cost Actuals'!$E$7:$E$176,"*Employee*",'Dept. Cost Actuals'!S$355:S$524)))</f>
        <v>0</v>
      </c>
      <c r="P21" s="668">
        <f>IF(P$4="forecast",(((400/12)*P$7)),(SUMIF('Dept. Cost Actuals'!$E$7:$E$176,"*Employee*",'Dept. Cost Actuals'!T$355:T$524)))</f>
        <v>0</v>
      </c>
      <c r="Q21" s="668">
        <f>IF(Q$4="forecast",(((400/12)*Q$7)),(SUMIF('Dept. Cost Actuals'!$E$7:$E$176,"*Employee*",'Dept. Cost Actuals'!U$355:U$524)))</f>
        <v>0</v>
      </c>
      <c r="R21" s="668">
        <f>IF(R$4="forecast",(((400/12)*R$7)),(SUMIF('Dept. Cost Actuals'!$E$7:$E$176,"*Employee*",'Dept. Cost Actuals'!V$355:V$524)))</f>
        <v>0</v>
      </c>
      <c r="S21" s="668">
        <f>IF(S$4="forecast",(((400/12)*S$7)),(SUMIF('Dept. Cost Actuals'!$E$7:$E$176,"*Employee*",'Dept. Cost Actuals'!W$355:W$524)))</f>
        <v>310</v>
      </c>
      <c r="T21" s="668">
        <f>IF(T$4="forecast",(((400/12)*T$7)),(SUMIF('Dept. Cost Actuals'!$E$7:$E$176,"*Employee*",'Dept. Cost Actuals'!X$355:X$524)))</f>
        <v>60</v>
      </c>
      <c r="U21" s="668">
        <f>IF(U$4="forecast",(((400/12)*U$7)),(SUMIF('Dept. Cost Actuals'!$E$7:$E$176,"*Employee*",'Dept. Cost Actuals'!Y$355:Y$524)))</f>
        <v>60</v>
      </c>
      <c r="V21" s="668">
        <f>IF(V$4="forecast",(((400/12)*V$7)),(SUMIF('Dept. Cost Actuals'!$E$7:$E$176,"*Employee*",'Dept. Cost Actuals'!Z$355:Z$524)))</f>
        <v>352.86</v>
      </c>
      <c r="W21" s="668">
        <f>IF(W$4="forecast",(((400/12)*W$7)),(SUMIF('Dept. Cost Actuals'!$E$7:$E$176,"*Employee*",'Dept. Cost Actuals'!AA$355:AA$524)))</f>
        <v>397.51</v>
      </c>
      <c r="X21" s="668">
        <f>IF(X$4="forecast",(((400/12)*X$7)),(SUMIF('Dept. Cost Actuals'!$E$7:$E$176,"*Employee*",'Dept. Cost Actuals'!AB$355:AB$524)))</f>
        <v>319.88</v>
      </c>
      <c r="Y21" s="668">
        <f>IF(Y$4="forecast",(((400/12)*Y$7)),(SUMIF('Dept. Cost Actuals'!$E$7:$E$176,"*Employee*",'Dept. Cost Actuals'!AC$355:AC$524)))</f>
        <v>7478.18</v>
      </c>
      <c r="Z21" s="668">
        <f>IF(Z$4="forecast",(((400/12)*Z$7)),(SUMIF('Dept. Cost Actuals'!$E$7:$E$176,"*Employee*",'Dept. Cost Actuals'!AD$355:AD$524)))</f>
        <v>0</v>
      </c>
      <c r="AA21" s="668">
        <f>IF(AA$4="forecast",(((400/12)*AA$7)),(SUMIF('Dept. Cost Actuals'!$E$7:$E$176,"*Employee*",'Dept. Cost Actuals'!AE$355:AE$524)))</f>
        <v>149.53</v>
      </c>
      <c r="AB21" s="668">
        <f>IF(AB$4="forecast",(((400/12)*AB$7)),(SUMIF('Dept. Cost Actuals'!$E$7:$E$176,"*Employee*",'Dept. Cost Actuals'!AF$355:AF$524)))</f>
        <v>326.18</v>
      </c>
      <c r="AC21" s="668">
        <f>IF(AC$4="forecast",(((400/12)*AC$7)),(SUMIF('Dept. Cost Actuals'!$E$7:$E$176,"*Employee*",'Dept. Cost Actuals'!AG$355:AG$524)))</f>
        <v>325.47000000000003</v>
      </c>
      <c r="AD21" s="668">
        <f>IF(AD$4="forecast",(((400/12)*AD$7)),(SUMIF('Dept. Cost Actuals'!$E$7:$E$176,"*Employee*",'Dept. Cost Actuals'!AH$355:AH$524)))</f>
        <v>800</v>
      </c>
      <c r="AE21" s="668">
        <f>IF(AE$4="forecast",(((400/12)*AE$7)),(SUMIF('Dept. Cost Actuals'!$E$7:$E$176,"*Employee*",'Dept. Cost Actuals'!AI$355:AI$524)))</f>
        <v>800</v>
      </c>
      <c r="AF21" s="668">
        <f>IF(AF$4="forecast",(((400/12)*AF$7)),(SUMIF('Dept. Cost Actuals'!$E$7:$E$176,"*Employee*",'Dept. Cost Actuals'!AJ$355:AJ$524)))</f>
        <v>800</v>
      </c>
      <c r="AG21" s="668">
        <f>IF(AG$4="forecast",(((400/12)*AG$7)),(SUMIF('Dept. Cost Actuals'!$E$7:$E$176,"*Employee*",'Dept. Cost Actuals'!AK$355:AK$524)))</f>
        <v>833.33333333333337</v>
      </c>
      <c r="AH21" s="668">
        <f>IF(AH$4="forecast",(((400/12)*AH$7)),(SUMIF('Dept. Cost Actuals'!$E$7:$E$176,"*Employee*",'Dept. Cost Actuals'!AL$355:AL$524)))</f>
        <v>833.33333333333337</v>
      </c>
      <c r="AI21" s="668">
        <f>IF(AI$4="forecast",(((400/12)*AI$7)),(SUMIF('Dept. Cost Actuals'!$E$7:$E$176,"*Employee*",'Dept. Cost Actuals'!AM$355:AM$524)))</f>
        <v>833.33333333333337</v>
      </c>
      <c r="AJ21" s="668">
        <f>IF(AJ$4="forecast",(((400/12)*AJ$7)),(SUMIF('Dept. Cost Actuals'!$E$7:$E$176,"*Employee*",'Dept. Cost Actuals'!AN$355:AN$524)))</f>
        <v>866.66666666666674</v>
      </c>
      <c r="AK21" s="668">
        <f>IF(AK$4="forecast",(((400/12)*AK$7)),(SUMIF('Dept. Cost Actuals'!$E$7:$E$176,"*Employee*",'Dept. Cost Actuals'!AO$355:AO$524)))</f>
        <v>866.66666666666674</v>
      </c>
      <c r="AL21" s="668">
        <f>IF(AL$4="forecast",(((400/12)*AL$7)),(SUMIF('Dept. Cost Actuals'!$E$7:$E$176,"*Employee*",'Dept. Cost Actuals'!AP$355:AP$524)))</f>
        <v>866.66666666666674</v>
      </c>
      <c r="AM21" s="668">
        <f>IF(AM$4="forecast",(((400/12)*AM$7)),(SUMIF('Dept. Cost Actuals'!$E$7:$E$176,"*Employee*",'Dept. Cost Actuals'!AQ$355:AQ$524)))</f>
        <v>866.66666666666674</v>
      </c>
      <c r="AN21" s="668">
        <f>IF(AN$4="forecast",(((400/12)*AN$7)),(SUMIF('Dept. Cost Actuals'!$E$7:$E$176,"*Employee*",'Dept. Cost Actuals'!AR$355:AR$524)))</f>
        <v>866.66666666666674</v>
      </c>
      <c r="AO21" s="668">
        <f>IF(AO$4="forecast",(((400/12)*AO$7)),(SUMIF('Dept. Cost Actuals'!$E$7:$E$176,"*Employee*",'Dept. Cost Actuals'!AS$355:AS$524)))</f>
        <v>866.66666666666674</v>
      </c>
      <c r="AP21" s="668">
        <f>IF(AP$4="forecast",(((400/12)*AP$7)),(SUMIF('Dept. Cost Actuals'!$E$7:$E$176,"*Employee*",'Dept. Cost Actuals'!AT$355:AT$524)))</f>
        <v>866.66666666666674</v>
      </c>
      <c r="AQ21" s="668">
        <f>IF(AQ$4="forecast",(((400/12)*AQ$7)),(SUMIF('Dept. Cost Actuals'!$E$7:$E$176,"*Employee*",'Dept. Cost Actuals'!AU$355:AU$524)))</f>
        <v>866.66666666666674</v>
      </c>
      <c r="AR21" s="668">
        <f>IF(AR$4="forecast",(((400/12)*AR$7)),(SUMIF('Dept. Cost Actuals'!$E$7:$E$176,"*Employee*",'Dept. Cost Actuals'!AV$355:AV$524)))</f>
        <v>866.66666666666674</v>
      </c>
      <c r="AS21" s="668">
        <f>IF(AS$4="forecast",(((400/12)*AS$7)),(SUMIF('Dept. Cost Actuals'!$E$7:$E$176,"*Employee*",'Dept. Cost Actuals'!AW$355:AW$524)))</f>
        <v>866.66666666666674</v>
      </c>
      <c r="AT21" s="668">
        <f>IF(AT$4="forecast",(((400/12)*AT$7)),(SUMIF('Dept. Cost Actuals'!$E$7:$E$176,"*Employee*",'Dept. Cost Actuals'!AX$355:AX$524)))</f>
        <v>866.66666666666674</v>
      </c>
      <c r="AU21" s="668">
        <f>IF(AU$4="forecast",(((400/12)*AU$7)),(SUMIF('Dept. Cost Actuals'!$E$7:$E$176,"*Employee*",'Dept. Cost Actuals'!AY$355:AY$524)))</f>
        <v>866.66666666666674</v>
      </c>
      <c r="AV21" s="668">
        <f>IF(AV$4="forecast",(((400/12)*AV$7)),(SUMIF('Dept. Cost Actuals'!$E$7:$E$176,"*Employee*",'Dept. Cost Actuals'!AZ$355:AZ$524)))</f>
        <v>866.66666666666674</v>
      </c>
      <c r="AW21" s="668">
        <f>IF(AW$4="forecast",(((400/12)*AW$7)),(SUMIF('Dept. Cost Actuals'!$E$7:$E$176,"*Employee*",'Dept. Cost Actuals'!BA$355:BA$524)))</f>
        <v>866.66666666666674</v>
      </c>
      <c r="AX21" s="668">
        <f>IF(AX$4="forecast",(((400/12)*AX$7)),(SUMIF('Dept. Cost Actuals'!$E$7:$E$176,"*Employee*",'Dept. Cost Actuals'!BB$355:BB$524)))</f>
        <v>866.66666666666674</v>
      </c>
      <c r="AY21" s="668">
        <f>IF(AY$4="forecast",(((400/12)*AY$7)),(SUMIF('Dept. Cost Actuals'!$E$7:$E$176,"*Employee*",'Dept. Cost Actuals'!BC$355:BC$524)))</f>
        <v>866.66666666666674</v>
      </c>
      <c r="AZ21" s="668">
        <f>IF(AZ$4="forecast",(((400/12)*AZ$7)),(SUMIF('Dept. Cost Actuals'!$E$7:$E$176,"*Employee*",'Dept. Cost Actuals'!BD$355:BD$524)))</f>
        <v>866.66666666666674</v>
      </c>
      <c r="BA21" s="668">
        <f>IF(BA$4="forecast",(((400/12)*BA$7)),(SUMIF('Dept. Cost Actuals'!$E$7:$E$176,"*Employee*",'Dept. Cost Actuals'!BE$355:BE$524)))</f>
        <v>866.66666666666674</v>
      </c>
      <c r="BB21" s="668">
        <f>IF(BB$4="forecast",(((400/12)*BB$7)),(SUMIF('Dept. Cost Actuals'!$E$7:$E$176,"*Employee*",'Dept. Cost Actuals'!BF$355:BF$524)))</f>
        <v>866.66666666666674</v>
      </c>
      <c r="BC21" s="668">
        <f>IF(BC$4="forecast",(((400/12)*BC$7)),(SUMIF('Dept. Cost Actuals'!$E$7:$E$176,"*Employee*",'Dept. Cost Actuals'!BG$355:BG$524)))</f>
        <v>866.66666666666674</v>
      </c>
      <c r="BD21" s="668">
        <f>IF(BD$4="forecast",(((400/12)*BD$7)),(SUMIF('Dept. Cost Actuals'!$E$7:$E$176,"*Employee*",'Dept. Cost Actuals'!BH$355:BH$524)))</f>
        <v>866.66666666666674</v>
      </c>
      <c r="BE21" s="668">
        <f>IF(BE$4="forecast",(((400/12)*BE$7)),(SUMIF('Dept. Cost Actuals'!$E$7:$E$176,"*Employee*",'Dept. Cost Actuals'!BI$355:BI$524)))</f>
        <v>866.66666666666674</v>
      </c>
      <c r="BF21" s="668">
        <f>IF(BF$4="forecast",(((400/12)*BF$7)),(SUMIF('Dept. Cost Actuals'!$E$7:$E$176,"*Employee*",'Dept. Cost Actuals'!BJ$355:BJ$524)))</f>
        <v>866.66666666666674</v>
      </c>
      <c r="BG21" s="668">
        <f>IF(BG$4="forecast",(((400/12)*BG$7)),(SUMIF('Dept. Cost Actuals'!$E$7:$E$176,"*Employee*",'Dept. Cost Actuals'!BK$355:BK$524)))</f>
        <v>866.66666666666674</v>
      </c>
      <c r="BH21" s="668">
        <f>IF(BH$4="forecast",(((400/12)*BH$7)),(SUMIF('Dept. Cost Actuals'!$E$7:$E$176,"*Employee*",'Dept. Cost Actuals'!BL$355:BL$524)))</f>
        <v>866.66666666666674</v>
      </c>
      <c r="BI21" s="668">
        <f>IF(BI$4="forecast",(((400/12)*BI$7)),(SUMIF('Dept. Cost Actuals'!$E$7:$E$176,"*Employee*",'Dept. Cost Actuals'!BM$355:BM$524)))</f>
        <v>866.66666666666674</v>
      </c>
      <c r="BJ21" s="668">
        <f>IF(BJ$4="forecast",(((400/12)*BJ$7)),(SUMIF('Dept. Cost Actuals'!$E$7:$E$176,"*Employee*",'Dept. Cost Actuals'!BN$355:BN$524)))</f>
        <v>866.66666666666674</v>
      </c>
      <c r="BK21" s="668">
        <f>IF(BK$4="forecast",(((400/12)*BK$7)),(SUMIF('Dept. Cost Actuals'!$E$7:$E$176,"*Employee*",'Dept. Cost Actuals'!BO$355:BO$524)))</f>
        <v>866.66666666666674</v>
      </c>
      <c r="BL21" s="668">
        <f>IF(BL$4="forecast",(((400/12)*BL$7)),(SUMIF('Dept. Cost Actuals'!$E$7:$E$176,"*Employee*",'Dept. Cost Actuals'!BP$355:BP$524)))</f>
        <v>866.66666666666674</v>
      </c>
      <c r="BM21" s="668">
        <f>IF(BM$4="forecast",(((400/12)*BM$7)),(SUMIF('Dept. Cost Actuals'!$E$7:$E$176,"*Employee*",'Dept. Cost Actuals'!BQ$355:BQ$524)))</f>
        <v>866.66666666666674</v>
      </c>
      <c r="BN21" s="668">
        <f>IF(BN$4="forecast",(((400/12)*BN$7)),(SUMIF('Dept. Cost Actuals'!$E$7:$E$176,"*Employee*",'Dept. Cost Actuals'!BR$355:BR$524)))</f>
        <v>866.66666666666674</v>
      </c>
      <c r="BO21" s="668">
        <f>IF(BO$4="forecast",(((400/12)*BO$7)),(SUMIF('Dept. Cost Actuals'!$E$7:$E$176,"*Employee*",'Dept. Cost Actuals'!BS$355:BS$524)))</f>
        <v>866.66666666666674</v>
      </c>
      <c r="BP21" s="668">
        <f>IF(BP$4="forecast",(((400/12)*BP$7)),(SUMIF('Dept. Cost Actuals'!$E$7:$E$176,"*Employee*",'Dept. Cost Actuals'!BT$355:BT$524)))</f>
        <v>866.66666666666674</v>
      </c>
      <c r="BQ21" s="668">
        <f>IF(BQ$4="forecast",(((400/12)*BQ$7)),(SUMIF('Dept. Cost Actuals'!$E$7:$E$176,"*Employee*",'Dept. Cost Actuals'!BU$355:BU$524)))</f>
        <v>866.66666666666674</v>
      </c>
      <c r="BR21" s="668">
        <f>IF(BR$4="forecast",(((400/12)*BR$7)),(SUMIF('Dept. Cost Actuals'!$E$7:$E$176,"*Employee*",'Dept. Cost Actuals'!BV$355:BV$524)))</f>
        <v>866.66666666666674</v>
      </c>
      <c r="BS21" s="668">
        <f>IF(BS$4="forecast",(((400/12)*BS$7)),(SUMIF('Dept. Cost Actuals'!$E$7:$E$176,"*Employee*",'Dept. Cost Actuals'!BW$355:BW$524)))</f>
        <v>866.66666666666674</v>
      </c>
      <c r="BT21" s="668">
        <f>IF(BT$4="forecast",(((400/12)*BT$7)),(SUMIF('Dept. Cost Actuals'!$E$7:$E$176,"*Employee*",'Dept. Cost Actuals'!BX$355:BX$524)))</f>
        <v>866.66666666666674</v>
      </c>
      <c r="BU21" s="668">
        <f>IF(BU$4="forecast",(((400/12)*BU$7)),(SUMIF('Dept. Cost Actuals'!$E$7:$E$176,"*Employee*",'Dept. Cost Actuals'!BY$355:BY$524)))</f>
        <v>866.66666666666674</v>
      </c>
      <c r="BV21" s="790">
        <f>IF(BV$4="forecast",(((400/12)*BV$7)),(SUMIF('Dept. Cost Actuals'!$E$7:$E$176,"*Employee*",'Dept. Cost Actuals'!BZ$355:BZ$524)))</f>
        <v>866.66666666666674</v>
      </c>
    </row>
    <row r="22" spans="2:75" x14ac:dyDescent="0.25">
      <c r="B22" s="794" t="s">
        <v>934</v>
      </c>
      <c r="C22" s="668">
        <f>IF(C$4="forecast",C$8*'Direct People Department Costs'!$H$8,SUMIF('Dept. Cost Actuals'!$E$7:$E$176,"*Board*",'Dept. Cost Actuals'!G$355:G$524))</f>
        <v>0</v>
      </c>
      <c r="D22" s="668">
        <f>IF(D$4="forecast",D$8*'Direct People Department Costs'!$H$8,SUMIF('Dept. Cost Actuals'!$E$7:$E$176,"*Board*",'Dept. Cost Actuals'!H$355:H$524))</f>
        <v>0</v>
      </c>
      <c r="E22" s="668">
        <f>IF(E$4="forecast",E$8*'Direct People Department Costs'!$H$8,SUMIF('Dept. Cost Actuals'!$E$7:$E$176,"*Board*",'Dept. Cost Actuals'!I$355:I$524))</f>
        <v>0</v>
      </c>
      <c r="F22" s="668">
        <f>IF(F$4="forecast",F$8*'Direct People Department Costs'!$H$8,SUMIF('Dept. Cost Actuals'!$E$7:$E$176,"*Board*",'Dept. Cost Actuals'!J$355:J$524))</f>
        <v>0</v>
      </c>
      <c r="G22" s="668">
        <f>IF(G$4="forecast",G$8*'Direct People Department Costs'!$H$8,SUMIF('Dept. Cost Actuals'!$E$7:$E$176,"*Board*",'Dept. Cost Actuals'!K$355:K$524))</f>
        <v>0</v>
      </c>
      <c r="H22" s="668">
        <f>IF(H$4="forecast",H$8*'Direct People Department Costs'!$H$8,SUMIF('Dept. Cost Actuals'!$E$7:$E$176,"*Board*",'Dept. Cost Actuals'!L$355:L$524))</f>
        <v>0</v>
      </c>
      <c r="I22" s="668">
        <f>IF(I$4="forecast",I$8*'Direct People Department Costs'!$H$8,SUMIF('Dept. Cost Actuals'!$E$7:$E$176,"*Board*",'Dept. Cost Actuals'!M$355:M$524))</f>
        <v>0</v>
      </c>
      <c r="J22" s="668">
        <f>IF(J$4="forecast",J$8*'Direct People Department Costs'!$H$8,SUMIF('Dept. Cost Actuals'!$E$7:$E$176,"*Board*",'Dept. Cost Actuals'!N$355:N$524))</f>
        <v>0</v>
      </c>
      <c r="K22" s="668">
        <f>IF(K$4="forecast",K$8*'Direct People Department Costs'!$H$8,SUMIF('Dept. Cost Actuals'!$E$7:$E$176,"*Board*",'Dept. Cost Actuals'!O$355:O$524))</f>
        <v>0</v>
      </c>
      <c r="L22" s="668">
        <f>IF(L$4="forecast",L$8*'Direct People Department Costs'!$H$8,SUMIF('Dept. Cost Actuals'!$E$7:$E$176,"*Board*",'Dept. Cost Actuals'!P$355:P$524))</f>
        <v>0</v>
      </c>
      <c r="M22" s="668">
        <f>IF(M$4="forecast",M$8*'Direct People Department Costs'!$H$8,SUMIF('Dept. Cost Actuals'!$E$7:$E$176,"*Board*",'Dept. Cost Actuals'!Q$355:Q$524))</f>
        <v>0</v>
      </c>
      <c r="N22" s="668">
        <f>IF(N$4="forecast",N$8*'Direct People Department Costs'!$H$8,SUMIF('Dept. Cost Actuals'!$E$7:$E$176,"*Board*",'Dept. Cost Actuals'!R$355:R$524))</f>
        <v>0</v>
      </c>
      <c r="O22" s="668">
        <f>IF(O$4="forecast",O$8*'Direct People Department Costs'!$H$8,SUMIF('Dept. Cost Actuals'!$E$7:$E$176,"*Board*",'Dept. Cost Actuals'!S$355:S$524))</f>
        <v>0</v>
      </c>
      <c r="P22" s="668">
        <f>IF(P$4="forecast",P$8*'Direct People Department Costs'!$H$8,SUMIF('Dept. Cost Actuals'!$E$7:$E$176,"*Board*",'Dept. Cost Actuals'!T$355:T$524))</f>
        <v>0</v>
      </c>
      <c r="Q22" s="668">
        <f>IF(Q$4="forecast",Q$8*'Direct People Department Costs'!$H$8,SUMIF('Dept. Cost Actuals'!$E$7:$E$176,"*Board*",'Dept. Cost Actuals'!U$355:U$524))</f>
        <v>1196.54</v>
      </c>
      <c r="R22" s="668">
        <f>IF(R$4="forecast",R$8*'Direct People Department Costs'!$H$8,SUMIF('Dept. Cost Actuals'!$E$7:$E$176,"*Board*",'Dept. Cost Actuals'!V$355:V$524))</f>
        <v>2136.38</v>
      </c>
      <c r="S22" s="668">
        <f>IF(S$4="forecast",S$8*'Direct People Department Costs'!$H$8,SUMIF('Dept. Cost Actuals'!$E$7:$E$176,"*Board*",'Dept. Cost Actuals'!W$355:W$524))</f>
        <v>3416.44</v>
      </c>
      <c r="T22" s="668">
        <f>IF(T$4="forecast",T$8*'Direct People Department Costs'!$H$8,SUMIF('Dept. Cost Actuals'!$E$7:$E$176,"*Board*",'Dept. Cost Actuals'!X$355:X$524))</f>
        <v>372.23</v>
      </c>
      <c r="U22" s="668">
        <f>IF(U$4="forecast",U$8*'Direct People Department Costs'!$H$8,SUMIF('Dept. Cost Actuals'!$E$7:$E$176,"*Board*",'Dept. Cost Actuals'!Y$355:Y$524))</f>
        <v>5107.42</v>
      </c>
      <c r="V22" s="668">
        <f>IF(V$4="forecast",V$8*'Direct People Department Costs'!$H$8,SUMIF('Dept. Cost Actuals'!$E$7:$E$176,"*Board*",'Dept. Cost Actuals'!Z$355:Z$524))</f>
        <v>101.46</v>
      </c>
      <c r="W22" s="668">
        <f>IF(W$4="forecast",W$8*'Direct People Department Costs'!$H$8,SUMIF('Dept. Cost Actuals'!$E$7:$E$176,"*Board*",'Dept. Cost Actuals'!AA$355:AA$524))</f>
        <v>397.41</v>
      </c>
      <c r="X22" s="668">
        <f>IF(X$4="forecast",X$8*'Direct People Department Costs'!$H$8,SUMIF('Dept. Cost Actuals'!$E$7:$E$176,"*Board*",'Dept. Cost Actuals'!AB$355:AB$524))</f>
        <v>0</v>
      </c>
      <c r="Y22" s="668">
        <f>IF(Y$4="forecast",Y$8*'Direct People Department Costs'!$H$8,SUMIF('Dept. Cost Actuals'!$E$7:$E$176,"*Board*",'Dept. Cost Actuals'!AC$355:AC$524))</f>
        <v>1345.67</v>
      </c>
      <c r="Z22" s="668">
        <f>IF(Z$4="forecast",Z$8*'Direct People Department Costs'!$H$8,SUMIF('Dept. Cost Actuals'!$E$7:$E$176,"*Board*",'Dept. Cost Actuals'!AD$355:AD$524))</f>
        <v>120.09</v>
      </c>
      <c r="AA22" s="668">
        <f>IF(AA$4="forecast",AA$8*'Direct People Department Costs'!$H$8,SUMIF('Dept. Cost Actuals'!$E$7:$E$176,"*Board*",'Dept. Cost Actuals'!AE$355:AE$524))</f>
        <v>280.7</v>
      </c>
      <c r="AB22" s="668">
        <f>IF(AB$4="forecast",AB$8*'Direct People Department Costs'!$H$8,SUMIF('Dept. Cost Actuals'!$E$7:$E$176,"*Board*",'Dept. Cost Actuals'!AF$355:AF$524))</f>
        <v>0</v>
      </c>
      <c r="AC22" s="668">
        <f>IF(AC$4="forecast",AC$8*'Direct People Department Costs'!$H$8,SUMIF('Dept. Cost Actuals'!$E$7:$E$176,"*Board*",'Dept. Cost Actuals'!AG$355:AG$524))</f>
        <v>0</v>
      </c>
      <c r="AD22" s="668">
        <f>IF(AD$4="forecast",AD$8*'Direct People Department Costs'!$H$8,SUMIF('Dept. Cost Actuals'!$E$7:$E$176,"*Board*",'Dept. Cost Actuals'!AH$355:AH$524))</f>
        <v>3600</v>
      </c>
      <c r="AE22" s="668">
        <f>IF(AE$4="forecast",AE$8*'Direct People Department Costs'!$H$8,SUMIF('Dept. Cost Actuals'!$E$7:$E$176,"*Board*",'Dept. Cost Actuals'!AI$355:AI$524))</f>
        <v>0</v>
      </c>
      <c r="AF22" s="668">
        <f>IF(AF$4="forecast",AF$8*'Direct People Department Costs'!$H$8,SUMIF('Dept. Cost Actuals'!$E$7:$E$176,"*Board*",'Dept. Cost Actuals'!AJ$355:AJ$524))</f>
        <v>0</v>
      </c>
      <c r="AG22" s="668">
        <f>IF(AG$4="forecast",AG$8*'Direct People Department Costs'!$H$8,SUMIF('Dept. Cost Actuals'!$E$7:$E$176,"*Board*",'Dept. Cost Actuals'!AK$355:AK$524))</f>
        <v>3600</v>
      </c>
      <c r="AH22" s="668">
        <f>IF(AH$4="forecast",AH$8*'Direct People Department Costs'!$H$8,SUMIF('Dept. Cost Actuals'!$E$7:$E$176,"*Board*",'Dept. Cost Actuals'!AL$355:AL$524))</f>
        <v>0</v>
      </c>
      <c r="AI22" s="668">
        <f>IF(AI$4="forecast",AI$8*'Direct People Department Costs'!$H$8,SUMIF('Dept. Cost Actuals'!$E$7:$E$176,"*Board*",'Dept. Cost Actuals'!AM$355:AM$524))</f>
        <v>0</v>
      </c>
      <c r="AJ22" s="668">
        <f>IF(AJ$4="forecast",AJ$8*'Direct People Department Costs'!$H$8,SUMIF('Dept. Cost Actuals'!$E$7:$E$176,"*Board*",'Dept. Cost Actuals'!AN$355:AN$524))</f>
        <v>3600</v>
      </c>
      <c r="AK22" s="668">
        <f>IF(AK$4="forecast",AK$8*'Direct People Department Costs'!$H$8,SUMIF('Dept. Cost Actuals'!$E$7:$E$176,"*Board*",'Dept. Cost Actuals'!AO$355:AO$524))</f>
        <v>0</v>
      </c>
      <c r="AL22" s="668">
        <f>IF(AL$4="forecast",AL$8*'Direct People Department Costs'!$H$8,SUMIF('Dept. Cost Actuals'!$E$7:$E$176,"*Board*",'Dept. Cost Actuals'!AP$355:AP$524))</f>
        <v>0</v>
      </c>
      <c r="AM22" s="668">
        <f>IF(AM$4="forecast",AM$8*'Direct People Department Costs'!$H$8,SUMIF('Dept. Cost Actuals'!$E$7:$E$176,"*Board*",'Dept. Cost Actuals'!AQ$355:AQ$524))</f>
        <v>0</v>
      </c>
      <c r="AN22" s="668">
        <f>IF(AN$4="forecast",AN$8*'Direct People Department Costs'!$H$8,SUMIF('Dept. Cost Actuals'!$E$7:$E$176,"*Board*",'Dept. Cost Actuals'!AR$355:AR$524))</f>
        <v>0</v>
      </c>
      <c r="AO22" s="668">
        <f>IF(AO$4="forecast",AO$8*'Direct People Department Costs'!$H$8,SUMIF('Dept. Cost Actuals'!$E$7:$E$176,"*Board*",'Dept. Cost Actuals'!AS$355:AS$524))</f>
        <v>0</v>
      </c>
      <c r="AP22" s="668">
        <f>IF(AP$4="forecast",AP$8*'Direct People Department Costs'!$H$8,SUMIF('Dept. Cost Actuals'!$E$7:$E$176,"*Board*",'Dept. Cost Actuals'!AT$355:AT$524))</f>
        <v>0</v>
      </c>
      <c r="AQ22" s="668">
        <f>IF(AQ$4="forecast",AQ$8*'Direct People Department Costs'!$H$8,SUMIF('Dept. Cost Actuals'!$E$7:$E$176,"*Board*",'Dept. Cost Actuals'!AU$355:AU$524))</f>
        <v>0</v>
      </c>
      <c r="AR22" s="668">
        <f>IF(AR$4="forecast",AR$8*'Direct People Department Costs'!$H$8,SUMIF('Dept. Cost Actuals'!$E$7:$E$176,"*Board*",'Dept. Cost Actuals'!AV$355:AV$524))</f>
        <v>0</v>
      </c>
      <c r="AS22" s="668">
        <f>IF(AS$4="forecast",AS$8*'Direct People Department Costs'!$H$8,SUMIF('Dept. Cost Actuals'!$E$7:$E$176,"*Board*",'Dept. Cost Actuals'!AW$355:AW$524))</f>
        <v>0</v>
      </c>
      <c r="AT22" s="668">
        <f>IF(AT$4="forecast",AT$8*'Direct People Department Costs'!$H$8,SUMIF('Dept. Cost Actuals'!$E$7:$E$176,"*Board*",'Dept. Cost Actuals'!AX$355:AX$524))</f>
        <v>0</v>
      </c>
      <c r="AU22" s="668">
        <f>IF(AU$4="forecast",AU$8*'Direct People Department Costs'!$H$8,SUMIF('Dept. Cost Actuals'!$E$7:$E$176,"*Board*",'Dept. Cost Actuals'!AY$355:AY$524))</f>
        <v>0</v>
      </c>
      <c r="AV22" s="668">
        <f>IF(AV$4="forecast",AV$8*'Direct People Department Costs'!$H$8,SUMIF('Dept. Cost Actuals'!$E$7:$E$176,"*Board*",'Dept. Cost Actuals'!AZ$355:AZ$524))</f>
        <v>0</v>
      </c>
      <c r="AW22" s="668">
        <f>IF(AW$4="forecast",AW$8*'Direct People Department Costs'!$H$8,SUMIF('Dept. Cost Actuals'!$E$7:$E$176,"*Board*",'Dept. Cost Actuals'!BA$355:BA$524))</f>
        <v>0</v>
      </c>
      <c r="AX22" s="668">
        <f>IF(AX$4="forecast",AX$8*'Direct People Department Costs'!$H$8,SUMIF('Dept. Cost Actuals'!$E$7:$E$176,"*Board*",'Dept. Cost Actuals'!BB$355:BB$524))</f>
        <v>0</v>
      </c>
      <c r="AY22" s="668">
        <f>IF(AY$4="forecast",AY$8*'Direct People Department Costs'!$H$8,SUMIF('Dept. Cost Actuals'!$E$7:$E$176,"*Board*",'Dept. Cost Actuals'!BC$355:BC$524))</f>
        <v>0</v>
      </c>
      <c r="AZ22" s="668">
        <f>IF(AZ$4="forecast",AZ$8*'Direct People Department Costs'!$H$8,SUMIF('Dept. Cost Actuals'!$E$7:$E$176,"*Board*",'Dept. Cost Actuals'!BD$355:BD$524))</f>
        <v>0</v>
      </c>
      <c r="BA22" s="668">
        <f>IF(BA$4="forecast",BA$8*'Direct People Department Costs'!$H$8,SUMIF('Dept. Cost Actuals'!$E$7:$E$176,"*Board*",'Dept. Cost Actuals'!BE$355:BE$524))</f>
        <v>0</v>
      </c>
      <c r="BB22" s="668">
        <f>IF(BB$4="forecast",BB$8*'Direct People Department Costs'!$H$8,SUMIF('Dept. Cost Actuals'!$E$7:$E$176,"*Board*",'Dept. Cost Actuals'!BF$355:BF$524))</f>
        <v>0</v>
      </c>
      <c r="BC22" s="668">
        <f>IF(BC$4="forecast",BC$8*'Direct People Department Costs'!$H$8,SUMIF('Dept. Cost Actuals'!$E$7:$E$176,"*Board*",'Dept. Cost Actuals'!BG$355:BG$524))</f>
        <v>0</v>
      </c>
      <c r="BD22" s="668">
        <f>IF(BD$4="forecast",BD$8*'Direct People Department Costs'!$H$8,SUMIF('Dept. Cost Actuals'!$E$7:$E$176,"*Board*",'Dept. Cost Actuals'!BH$355:BH$524))</f>
        <v>0</v>
      </c>
      <c r="BE22" s="668">
        <f>IF(BE$4="forecast",BE$8*'Direct People Department Costs'!$H$8,SUMIF('Dept. Cost Actuals'!$E$7:$E$176,"*Board*",'Dept. Cost Actuals'!BI$355:BI$524))</f>
        <v>0</v>
      </c>
      <c r="BF22" s="668">
        <f>IF(BF$4="forecast",BF$8*'Direct People Department Costs'!$H$8,SUMIF('Dept. Cost Actuals'!$E$7:$E$176,"*Board*",'Dept. Cost Actuals'!BJ$355:BJ$524))</f>
        <v>0</v>
      </c>
      <c r="BG22" s="668">
        <f>IF(BG$4="forecast",BG$8*'Direct People Department Costs'!$H$8,SUMIF('Dept. Cost Actuals'!$E$7:$E$176,"*Board*",'Dept. Cost Actuals'!BK$355:BK$524))</f>
        <v>0</v>
      </c>
      <c r="BH22" s="668">
        <f>IF(BH$4="forecast",BH$8*'Direct People Department Costs'!$H$8,SUMIF('Dept. Cost Actuals'!$E$7:$E$176,"*Board*",'Dept. Cost Actuals'!BL$355:BL$524))</f>
        <v>0</v>
      </c>
      <c r="BI22" s="668">
        <f>IF(BI$4="forecast",BI$8*'Direct People Department Costs'!$H$8,SUMIF('Dept. Cost Actuals'!$E$7:$E$176,"*Board*",'Dept. Cost Actuals'!BM$355:BM$524))</f>
        <v>0</v>
      </c>
      <c r="BJ22" s="668">
        <f>IF(BJ$4="forecast",BJ$8*'Direct People Department Costs'!$H$8,SUMIF('Dept. Cost Actuals'!$E$7:$E$176,"*Board*",'Dept. Cost Actuals'!BN$355:BN$524))</f>
        <v>0</v>
      </c>
      <c r="BK22" s="668">
        <f>IF(BK$4="forecast",BK$8*'Direct People Department Costs'!$H$8,SUMIF('Dept. Cost Actuals'!$E$7:$E$176,"*Board*",'Dept. Cost Actuals'!BO$355:BO$524))</f>
        <v>0</v>
      </c>
      <c r="BL22" s="668">
        <f>IF(BL$4="forecast",BL$8*'Direct People Department Costs'!$H$8,SUMIF('Dept. Cost Actuals'!$E$7:$E$176,"*Board*",'Dept. Cost Actuals'!BP$355:BP$524))</f>
        <v>0</v>
      </c>
      <c r="BM22" s="668">
        <f>IF(BM$4="forecast",BM$8*'Direct People Department Costs'!$H$8,SUMIF('Dept. Cost Actuals'!$E$7:$E$176,"*Board*",'Dept. Cost Actuals'!BQ$355:BQ$524))</f>
        <v>0</v>
      </c>
      <c r="BN22" s="668">
        <f>IF(BN$4="forecast",BN$8*'Direct People Department Costs'!$H$8,SUMIF('Dept. Cost Actuals'!$E$7:$E$176,"*Board*",'Dept. Cost Actuals'!BR$355:BR$524))</f>
        <v>0</v>
      </c>
      <c r="BO22" s="668">
        <f>IF(BO$4="forecast",BO$8*'Direct People Department Costs'!$H$8,SUMIF('Dept. Cost Actuals'!$E$7:$E$176,"*Board*",'Dept. Cost Actuals'!BS$355:BS$524))</f>
        <v>0</v>
      </c>
      <c r="BP22" s="668">
        <f>IF(BP$4="forecast",BP$8*'Direct People Department Costs'!$H$8,SUMIF('Dept. Cost Actuals'!$E$7:$E$176,"*Board*",'Dept. Cost Actuals'!BT$355:BT$524))</f>
        <v>0</v>
      </c>
      <c r="BQ22" s="668">
        <f>IF(BQ$4="forecast",BQ$8*'Direct People Department Costs'!$H$8,SUMIF('Dept. Cost Actuals'!$E$7:$E$176,"*Board*",'Dept. Cost Actuals'!BU$355:BU$524))</f>
        <v>0</v>
      </c>
      <c r="BR22" s="668">
        <f>IF(BR$4="forecast",BR$8*'Direct People Department Costs'!$H$8,SUMIF('Dept. Cost Actuals'!$E$7:$E$176,"*Board*",'Dept. Cost Actuals'!BV$355:BV$524))</f>
        <v>0</v>
      </c>
      <c r="BS22" s="668">
        <f>IF(BS$4="forecast",BS$8*'Direct People Department Costs'!$H$8,SUMIF('Dept. Cost Actuals'!$E$7:$E$176,"*Board*",'Dept. Cost Actuals'!BW$355:BW$524))</f>
        <v>0</v>
      </c>
      <c r="BT22" s="668">
        <f>IF(BT$4="forecast",BT$8*'Direct People Department Costs'!$H$8,SUMIF('Dept. Cost Actuals'!$E$7:$E$176,"*Board*",'Dept. Cost Actuals'!BX$355:BX$524))</f>
        <v>0</v>
      </c>
      <c r="BU22" s="668">
        <f>IF(BU$4="forecast",BU$8*'Direct People Department Costs'!$H$8,SUMIF('Dept. Cost Actuals'!$E$7:$E$176,"*Board*",'Dept. Cost Actuals'!BY$355:BY$524))</f>
        <v>0</v>
      </c>
      <c r="BV22" s="668">
        <f>IF(BV$4="forecast",BV$8*'Direct People Department Costs'!$H$8,SUMIF('Dept. Cost Actuals'!$E$7:$E$176,"*Board*",'Dept. Cost Actuals'!BZ$355:BZ$524))</f>
        <v>0</v>
      </c>
      <c r="BW22" s="668"/>
    </row>
    <row r="23" spans="2:75" x14ac:dyDescent="0.25">
      <c r="B23" s="794" t="s">
        <v>918</v>
      </c>
      <c r="C23" s="668">
        <f>IF(C$4="forecast",C$8*'Direct People Department Costs'!$H$9,SUMIF('Dept. Cost Actuals'!$E$7:$E$176,"*Recruiting*",'Dept. Cost Actuals'!G$355:G$524))</f>
        <v>284.77944363416213</v>
      </c>
      <c r="D23" s="668">
        <f>IF(D$4="forecast",D$8*'Direct People Department Costs'!$H$9,SUMIF('Dept. Cost Actuals'!$E$7:$E$176,"*Recruiting*",'Dept. Cost Actuals'!H$355:H$524))</f>
        <v>45.578906960820568</v>
      </c>
      <c r="E23" s="668">
        <f>IF(E$4="forecast",E$8*'Direct People Department Costs'!$H$9,SUMIF('Dept. Cost Actuals'!$E$7:$E$176,"*Recruiting*",'Dept. Cost Actuals'!I$355:I$524))</f>
        <v>36.345817700261549</v>
      </c>
      <c r="F23" s="668">
        <f>IF(F$4="forecast",F$8*'Direct People Department Costs'!$H$9,SUMIF('Dept. Cost Actuals'!$E$7:$E$176,"*Recruiting*",'Dept. Cost Actuals'!J$355:J$524))</f>
        <v>3954.0683445792706</v>
      </c>
      <c r="G23" s="668">
        <f>IF(G$4="forecast",G$8*'Direct People Department Costs'!$H$9,SUMIF('Dept. Cost Actuals'!$E$7:$E$176,"*Recruiting*",'Dept. Cost Actuals'!K$355:K$524))</f>
        <v>170.53019257797948</v>
      </c>
      <c r="H23" s="668">
        <f>IF(H$4="forecast",H$8*'Direct People Department Costs'!$H$9,SUMIF('Dept. Cost Actuals'!$E$7:$E$176,"*Recruiting*",'Dept. Cost Actuals'!L$355:L$524))</f>
        <v>2876.6241612598556</v>
      </c>
      <c r="I23" s="668">
        <f>IF(I$4="forecast",I$8*'Direct People Department Costs'!$H$9,SUMIF('Dept. Cost Actuals'!$E$7:$E$176,"*Recruiting*",'Dept. Cost Actuals'!M$355:M$524))</f>
        <v>3996.6512989751841</v>
      </c>
      <c r="J23" s="668">
        <f>IF(J$4="forecast",J$8*'Direct People Department Costs'!$H$9,SUMIF('Dept. Cost Actuals'!$E$7:$E$176,"*Recruiting*",'Dept. Cost Actuals'!N$355:N$524))</f>
        <v>5072.4053966338033</v>
      </c>
      <c r="K23" s="668">
        <f>IF(K$4="forecast",K$8*'Direct People Department Costs'!$H$9,SUMIF('Dept. Cost Actuals'!$E$7:$E$176,"*Recruiting*",'Dept. Cost Actuals'!O$355:O$524))</f>
        <v>34.837241077225869</v>
      </c>
      <c r="L23" s="668">
        <f>IF(L$4="forecast",L$8*'Direct People Department Costs'!$H$9,SUMIF('Dept. Cost Actuals'!$E$7:$E$176,"*Recruiting*",'Dept. Cost Actuals'!P$355:P$524))</f>
        <v>3049.0058019342564</v>
      </c>
      <c r="M23" s="668">
        <f>IF(M$4="forecast",M$8*'Direct People Department Costs'!$H$9,SUMIF('Dept. Cost Actuals'!$E$7:$E$176,"*Recruiting*",'Dept. Cost Actuals'!Q$355:Q$524))</f>
        <v>0</v>
      </c>
      <c r="N23" s="668">
        <f>IF(N$4="forecast",N$8*'Direct People Department Costs'!$H$9,SUMIF('Dept. Cost Actuals'!$E$7:$E$176,"*Recruiting*",'Dept. Cost Actuals'!R$355:R$524))</f>
        <v>0</v>
      </c>
      <c r="O23" s="668">
        <f>IF(O$4="forecast",O$8*'Direct People Department Costs'!$H$9,SUMIF('Dept. Cost Actuals'!$E$7:$E$176,"*Recruiting*",'Dept. Cost Actuals'!S$355:S$524))</f>
        <v>575</v>
      </c>
      <c r="P23" s="668">
        <f>IF(P$4="forecast",P$8*'Direct People Department Costs'!$H$9,SUMIF('Dept. Cost Actuals'!$E$7:$E$176,"*Recruiting*",'Dept. Cost Actuals'!T$355:T$524))</f>
        <v>0</v>
      </c>
      <c r="Q23" s="668">
        <f>IF(Q$4="forecast",Q$8*'Direct People Department Costs'!$H$9,SUMIF('Dept. Cost Actuals'!$E$7:$E$176,"*Recruiting*",'Dept. Cost Actuals'!U$355:U$524))</f>
        <v>19550</v>
      </c>
      <c r="R23" s="668">
        <f>IF(R$4="forecast",R$8*'Direct People Department Costs'!$H$9,SUMIF('Dept. Cost Actuals'!$E$7:$E$176,"*Recruiting*",'Dept. Cost Actuals'!V$355:V$524))</f>
        <v>0</v>
      </c>
      <c r="S23" s="668">
        <f>IF(S$4="forecast",S$8*'Direct People Department Costs'!$H$9,SUMIF('Dept. Cost Actuals'!$E$7:$E$176,"*Recruiting*",'Dept. Cost Actuals'!W$355:W$524))</f>
        <v>0</v>
      </c>
      <c r="T23" s="668">
        <f>IF(T$4="forecast",T$8*'Direct People Department Costs'!$H$9,SUMIF('Dept. Cost Actuals'!$E$7:$E$176,"*Recruiting*",'Dept. Cost Actuals'!X$355:X$524))</f>
        <v>0</v>
      </c>
      <c r="U23" s="668">
        <f>IF(U$4="forecast",U$8*'Direct People Department Costs'!$H$9,SUMIF('Dept. Cost Actuals'!$E$7:$E$176,"*Recruiting*",'Dept. Cost Actuals'!Y$355:Y$524))</f>
        <v>0</v>
      </c>
      <c r="V23" s="668">
        <f>IF(V$4="forecast",V$8*'Direct People Department Costs'!$H$9,SUMIF('Dept. Cost Actuals'!$E$7:$E$176,"*Recruiting*",'Dept. Cost Actuals'!Z$355:Z$524))</f>
        <v>1557</v>
      </c>
      <c r="W23" s="668">
        <f>IF(W$4="forecast",W$8*'Direct People Department Costs'!$H$9,SUMIF('Dept. Cost Actuals'!$E$7:$E$176,"*Recruiting*",'Dept. Cost Actuals'!AA$355:AA$524))</f>
        <v>1166.9000000000001</v>
      </c>
      <c r="X23" s="668">
        <f>IF(X$4="forecast",X$8*'Direct People Department Costs'!$H$9,SUMIF('Dept. Cost Actuals'!$E$7:$E$176,"*Recruiting*",'Dept. Cost Actuals'!AB$355:AB$524))</f>
        <v>500</v>
      </c>
      <c r="Y23" s="668">
        <f>IF(Y$4="forecast",Y$8*'Direct People Department Costs'!$H$9,SUMIF('Dept. Cost Actuals'!$E$7:$E$176,"*Recruiting*",'Dept. Cost Actuals'!AC$355:AC$524))</f>
        <v>0</v>
      </c>
      <c r="Z23" s="668">
        <f>IF(Z$4="forecast",Z$8*'Direct People Department Costs'!$H$9,SUMIF('Dept. Cost Actuals'!$E$7:$E$176,"*Recruiting*",'Dept. Cost Actuals'!AD$355:AD$524))</f>
        <v>0</v>
      </c>
      <c r="AA23" s="668">
        <f>IF(AA$4="forecast",AA$8*'Direct People Department Costs'!$H$9,SUMIF('Dept. Cost Actuals'!$E$7:$E$176,"*Recruiting*",'Dept. Cost Actuals'!AE$355:AE$524))</f>
        <v>500</v>
      </c>
      <c r="AB23" s="668">
        <f>IF(AB$4="forecast",AB$8*'Direct People Department Costs'!$H$9+7500,SUMIF('Dept. Cost Actuals'!$E$7:$E$176,"*Recruiting*",'Dept. Cost Actuals'!AF$355:AF$524))</f>
        <v>0</v>
      </c>
      <c r="AC23" s="668">
        <f>IF(AC$4="forecast",AC$8*'Direct People Department Costs'!$H$9,SUMIF('Dept. Cost Actuals'!$E$7:$E$176,"*Recruiting*",'Dept. Cost Actuals'!AG$355:AG$524))</f>
        <v>0</v>
      </c>
      <c r="AD23" s="668">
        <f>IF(AD$4="forecast",AD$8*'Direct People Department Costs'!$H$9+5000,SUMIF('Dept. Cost Actuals'!$E$7:$E$176,"*Recruiting*",'Dept. Cost Actuals'!AH$355:AH$524))</f>
        <v>6000</v>
      </c>
      <c r="AE23" s="668">
        <f>IF(AE$4="forecast",AE$8*'Direct People Department Costs'!$H$9,SUMIF('Dept. Cost Actuals'!$E$7:$E$176,"*Recruiting*",'Dept. Cost Actuals'!AI$355:AI$524))</f>
        <v>0</v>
      </c>
      <c r="AF23" s="668">
        <f>IF(AF$4="forecast",AF$8*'Direct People Department Costs'!$H$9,SUMIF('Dept. Cost Actuals'!$E$7:$E$176,"*Recruiting*",'Dept. Cost Actuals'!AJ$355:AJ$524))</f>
        <v>0</v>
      </c>
      <c r="AG23" s="668">
        <f>IF(AG$4="forecast",AG$8*'Direct People Department Costs'!$H$9,SUMIF('Dept. Cost Actuals'!$E$7:$E$176,"*Recruiting*",'Dept. Cost Actuals'!AK$355:AK$524))</f>
        <v>1000</v>
      </c>
      <c r="AH23" s="668">
        <f>IF(AH$4="forecast",AH$8*'Direct People Department Costs'!$H$9,SUMIF('Dept. Cost Actuals'!$E$7:$E$176,"*Recruiting*",'Dept. Cost Actuals'!AL$355:AL$524))</f>
        <v>0</v>
      </c>
      <c r="AI23" s="668">
        <f>IF(AI$4="forecast",AI$8*'Direct People Department Costs'!$H$9,SUMIF('Dept. Cost Actuals'!$E$7:$E$176,"*Recruiting*",'Dept. Cost Actuals'!AM$355:AM$524))</f>
        <v>0</v>
      </c>
      <c r="AJ23" s="668">
        <f>IF(AJ$4="forecast",AJ$8*'Direct People Department Costs'!$H$9,SUMIF('Dept. Cost Actuals'!$E$7:$E$176,"*Recruiting*",'Dept. Cost Actuals'!AN$355:AN$524))</f>
        <v>1000</v>
      </c>
      <c r="AK23" s="668">
        <f>IF(AK$4="forecast",AK$8*'Direct People Department Costs'!$H$9,SUMIF('Dept. Cost Actuals'!$E$7:$E$176,"*Recruiting*",'Dept. Cost Actuals'!AO$355:AO$524))</f>
        <v>0</v>
      </c>
      <c r="AL23" s="668">
        <f>IF(AL$4="forecast",AL$8*'Direct People Department Costs'!$H$9,SUMIF('Dept. Cost Actuals'!$E$7:$E$176,"*Recruiting*",'Dept. Cost Actuals'!AP$355:AP$524))</f>
        <v>0</v>
      </c>
      <c r="AM23" s="668">
        <f>IF(AM$4="forecast",AM$8*'Direct People Department Costs'!$H$9,SUMIF('Dept. Cost Actuals'!$E$7:$E$176,"*Recruiting*",'Dept. Cost Actuals'!AQ$355:AQ$524))</f>
        <v>0</v>
      </c>
      <c r="AN23" s="668">
        <f>IF(AN$4="forecast",AN$8*'Direct People Department Costs'!$H$9,SUMIF('Dept. Cost Actuals'!$E$7:$E$176,"*Recruiting*",'Dept. Cost Actuals'!AR$355:AR$524))</f>
        <v>0</v>
      </c>
      <c r="AO23" s="668">
        <f>IF(AO$4="forecast",AO$8*'Direct People Department Costs'!$H$9,SUMIF('Dept. Cost Actuals'!$E$7:$E$176,"*Recruiting*",'Dept. Cost Actuals'!AS$355:AS$524))</f>
        <v>0</v>
      </c>
      <c r="AP23" s="668">
        <f>IF(AP$4="forecast",AP$8*'Direct People Department Costs'!$H$9,SUMIF('Dept. Cost Actuals'!$E$7:$E$176,"*Recruiting*",'Dept. Cost Actuals'!AT$355:AT$524))</f>
        <v>0</v>
      </c>
      <c r="AQ23" s="668">
        <f>IF(AQ$4="forecast",AQ$8*'Direct People Department Costs'!$H$9,SUMIF('Dept. Cost Actuals'!$E$7:$E$176,"*Recruiting*",'Dept. Cost Actuals'!AU$355:AU$524))</f>
        <v>0</v>
      </c>
      <c r="AR23" s="668">
        <f>IF(AR$4="forecast",AR$8*'Direct People Department Costs'!$H$9,SUMIF('Dept. Cost Actuals'!$E$7:$E$176,"*Recruiting*",'Dept. Cost Actuals'!AV$355:AV$524))</f>
        <v>0</v>
      </c>
      <c r="AS23" s="668">
        <f>IF(AS$4="forecast",AS$8*'Direct People Department Costs'!$H$9,SUMIF('Dept. Cost Actuals'!$E$7:$E$176,"*Recruiting*",'Dept. Cost Actuals'!AW$355:AW$524))</f>
        <v>0</v>
      </c>
      <c r="AT23" s="668">
        <f>IF(AT$4="forecast",AT$8*'Direct People Department Costs'!$H$9,SUMIF('Dept. Cost Actuals'!$E$7:$E$176,"*Recruiting*",'Dept. Cost Actuals'!AX$355:AX$524))</f>
        <v>0</v>
      </c>
      <c r="AU23" s="668">
        <f>IF(AU$4="forecast",AU$8*'Direct People Department Costs'!$H$9,SUMIF('Dept. Cost Actuals'!$E$7:$E$176,"*Recruiting*",'Dept. Cost Actuals'!AY$355:AY$524))</f>
        <v>0</v>
      </c>
      <c r="AV23" s="668">
        <f>IF(AV$4="forecast",AV$8*'Direct People Department Costs'!$H$9,SUMIF('Dept. Cost Actuals'!$E$7:$E$176,"*Recruiting*",'Dept. Cost Actuals'!AZ$355:AZ$524))</f>
        <v>0</v>
      </c>
      <c r="AW23" s="668">
        <f>IF(AW$4="forecast",AW$8*'Direct People Department Costs'!$H$9,SUMIF('Dept. Cost Actuals'!$E$7:$E$176,"*Recruiting*",'Dept. Cost Actuals'!BA$355:BA$524))</f>
        <v>0</v>
      </c>
      <c r="AX23" s="668">
        <f>IF(AX$4="forecast",AX$8*'Direct People Department Costs'!$H$9,SUMIF('Dept. Cost Actuals'!$E$7:$E$176,"*Recruiting*",'Dept. Cost Actuals'!BB$355:BB$524))</f>
        <v>0</v>
      </c>
      <c r="AY23" s="668">
        <f>IF(AY$4="forecast",AY$8*'Direct People Department Costs'!$H$9,SUMIF('Dept. Cost Actuals'!$E$7:$E$176,"*Recruiting*",'Dept. Cost Actuals'!BC$355:BC$524))</f>
        <v>0</v>
      </c>
      <c r="AZ23" s="668">
        <f>IF(AZ$4="forecast",AZ$8*'Direct People Department Costs'!$H$9,SUMIF('Dept. Cost Actuals'!$E$7:$E$176,"*Recruiting*",'Dept. Cost Actuals'!BD$355:BD$524))</f>
        <v>0</v>
      </c>
      <c r="BA23" s="668">
        <f>IF(BA$4="forecast",BA$8*'Direct People Department Costs'!$H$9,SUMIF('Dept. Cost Actuals'!$E$7:$E$176,"*Recruiting*",'Dept. Cost Actuals'!BE$355:BE$524))</f>
        <v>0</v>
      </c>
      <c r="BB23" s="668">
        <f>IF(BB$4="forecast",BB$8*'Direct People Department Costs'!$H$9,SUMIF('Dept. Cost Actuals'!$E$7:$E$176,"*Recruiting*",'Dept. Cost Actuals'!BF$355:BF$524))</f>
        <v>0</v>
      </c>
      <c r="BC23" s="668">
        <f>IF(BC$4="forecast",BC$8*'Direct People Department Costs'!$H$9,SUMIF('Dept. Cost Actuals'!$E$7:$E$176,"*Recruiting*",'Dept. Cost Actuals'!BG$355:BG$524))</f>
        <v>0</v>
      </c>
      <c r="BD23" s="668">
        <f>IF(BD$4="forecast",BD$8*'Direct People Department Costs'!$H$9,SUMIF('Dept. Cost Actuals'!$E$7:$E$176,"*Recruiting*",'Dept. Cost Actuals'!BH$355:BH$524))</f>
        <v>0</v>
      </c>
      <c r="BE23" s="668">
        <f>IF(BE$4="forecast",BE$8*'Direct People Department Costs'!$H$9,SUMIF('Dept. Cost Actuals'!$E$7:$E$176,"*Recruiting*",'Dept. Cost Actuals'!BI$355:BI$524))</f>
        <v>0</v>
      </c>
      <c r="BF23" s="668">
        <f>IF(BF$4="forecast",BF$8*'Direct People Department Costs'!$H$9,SUMIF('Dept. Cost Actuals'!$E$7:$E$176,"*Recruiting*",'Dept. Cost Actuals'!BJ$355:BJ$524))</f>
        <v>0</v>
      </c>
      <c r="BG23" s="668">
        <f>IF(BG$4="forecast",BG$8*'Direct People Department Costs'!$H$9,SUMIF('Dept. Cost Actuals'!$E$7:$E$176,"*Recruiting*",'Dept. Cost Actuals'!BK$355:BK$524))</f>
        <v>0</v>
      </c>
      <c r="BH23" s="668">
        <f>IF(BH$4="forecast",BH$8*'Direct People Department Costs'!$H$9,SUMIF('Dept. Cost Actuals'!$E$7:$E$176,"*Recruiting*",'Dept. Cost Actuals'!BL$355:BL$524))</f>
        <v>0</v>
      </c>
      <c r="BI23" s="668">
        <f>IF(BI$4="forecast",BI$8*'Direct People Department Costs'!$H$9,SUMIF('Dept. Cost Actuals'!$E$7:$E$176,"*Recruiting*",'Dept. Cost Actuals'!BM$355:BM$524))</f>
        <v>0</v>
      </c>
      <c r="BJ23" s="668">
        <f>IF(BJ$4="forecast",BJ$8*'Direct People Department Costs'!$H$9,SUMIF('Dept. Cost Actuals'!$E$7:$E$176,"*Recruiting*",'Dept. Cost Actuals'!BN$355:BN$524))</f>
        <v>0</v>
      </c>
      <c r="BK23" s="668">
        <f>IF(BK$4="forecast",BK$8*'Direct People Department Costs'!$H$9,SUMIF('Dept. Cost Actuals'!$E$7:$E$176,"*Recruiting*",'Dept. Cost Actuals'!BO$355:BO$524))</f>
        <v>0</v>
      </c>
      <c r="BL23" s="668">
        <f>IF(BL$4="forecast",BL$8*'Direct People Department Costs'!$H$9,SUMIF('Dept. Cost Actuals'!$E$7:$E$176,"*Recruiting*",'Dept. Cost Actuals'!BP$355:BP$524))</f>
        <v>0</v>
      </c>
      <c r="BM23" s="668">
        <f>IF(BM$4="forecast",BM$8*'Direct People Department Costs'!$H$9,SUMIF('Dept. Cost Actuals'!$E$7:$E$176,"*Recruiting*",'Dept. Cost Actuals'!BQ$355:BQ$524))</f>
        <v>0</v>
      </c>
      <c r="BN23" s="668">
        <f>IF(BN$4="forecast",BN$8*'Direct People Department Costs'!$H$9,SUMIF('Dept. Cost Actuals'!$E$7:$E$176,"*Recruiting*",'Dept. Cost Actuals'!BR$355:BR$524))</f>
        <v>0</v>
      </c>
      <c r="BO23" s="668">
        <f>IF(BO$4="forecast",BO$8*'Direct People Department Costs'!$H$9,SUMIF('Dept. Cost Actuals'!$E$7:$E$176,"*Recruiting*",'Dept. Cost Actuals'!BS$355:BS$524))</f>
        <v>0</v>
      </c>
      <c r="BP23" s="668">
        <f>IF(BP$4="forecast",BP$8*'Direct People Department Costs'!$H$9,SUMIF('Dept. Cost Actuals'!$E$7:$E$176,"*Recruiting*",'Dept. Cost Actuals'!BT$355:BT$524))</f>
        <v>0</v>
      </c>
      <c r="BQ23" s="668">
        <f>IF(BQ$4="forecast",BQ$8*'Direct People Department Costs'!$H$9,SUMIF('Dept. Cost Actuals'!$E$7:$E$176,"*Recruiting*",'Dept. Cost Actuals'!BU$355:BU$524))</f>
        <v>0</v>
      </c>
      <c r="BR23" s="668">
        <f>IF(BR$4="forecast",BR$8*'Direct People Department Costs'!$H$9,SUMIF('Dept. Cost Actuals'!$E$7:$E$176,"*Recruiting*",'Dept. Cost Actuals'!BV$355:BV$524))</f>
        <v>0</v>
      </c>
      <c r="BS23" s="668">
        <f>IF(BS$4="forecast",BS$8*'Direct People Department Costs'!$H$9,SUMIF('Dept. Cost Actuals'!$E$7:$E$176,"*Recruiting*",'Dept. Cost Actuals'!BW$355:BW$524))</f>
        <v>0</v>
      </c>
      <c r="BT23" s="668">
        <f>IF(BT$4="forecast",BT$8*'Direct People Department Costs'!$H$9,SUMIF('Dept. Cost Actuals'!$E$7:$E$176,"*Recruiting*",'Dept. Cost Actuals'!BX$355:BX$524))</f>
        <v>0</v>
      </c>
      <c r="BU23" s="668">
        <f>IF(BU$4="forecast",BU$8*'Direct People Department Costs'!$H$9,SUMIF('Dept. Cost Actuals'!$E$7:$E$176,"*Recruiting*",'Dept. Cost Actuals'!BY$355:BY$524))</f>
        <v>0</v>
      </c>
      <c r="BV23" s="790">
        <f>IF(BV$4="forecast",BV$8*'Direct People Department Costs'!$H$9,SUMIF('Dept. Cost Actuals'!$E$7:$E$176,"*Recruiting*",'Dept. Cost Actuals'!BZ$355:BZ$524))</f>
        <v>0</v>
      </c>
    </row>
    <row r="24" spans="2:75" x14ac:dyDescent="0.25">
      <c r="B24" s="794" t="s">
        <v>431</v>
      </c>
      <c r="C24" s="668">
        <f>IF(C$4="forecast",(120000/12),SUMIF('Dept. Cost Actuals'!$E$7:$E$176,"*Travel*",'Dept. Cost Actuals'!G$355:G$524))</f>
        <v>111.24657689588867</v>
      </c>
      <c r="D24" s="668">
        <f>IF(D$4="forecast",(120000/12),SUMIF('Dept. Cost Actuals'!$E$7:$E$176,"*Travel*",'Dept. Cost Actuals'!H$355:H$524))</f>
        <v>310.23786789748925</v>
      </c>
      <c r="E24" s="668">
        <f>IF(E$4="forecast",(120000/12),SUMIF('Dept. Cost Actuals'!$E$7:$E$176,"*Travel*",'Dept. Cost Actuals'!I$355:I$524))</f>
        <v>278.19331173231518</v>
      </c>
      <c r="F24" s="668">
        <f>IF(F$4="forecast",(120000/12),SUMIF('Dept. Cost Actuals'!$E$7:$E$176,"*Travel*",'Dept. Cost Actuals'!J$355:J$524))</f>
        <v>682.97162386959712</v>
      </c>
      <c r="G24" s="668">
        <f>IF(G$4="forecast",(120000/12),SUMIF('Dept. Cost Actuals'!$E$7:$E$176,"*Travel*",'Dept. Cost Actuals'!K$355:K$524))</f>
        <v>504.40643030020044</v>
      </c>
      <c r="H24" s="668">
        <f>IF(H$4="forecast",(120000/12),SUMIF('Dept. Cost Actuals'!$E$7:$E$176,"*Travel*",'Dept. Cost Actuals'!L$355:L$524))</f>
        <v>561.68373186851807</v>
      </c>
      <c r="I24" s="668">
        <f>IF(I$4="forecast",(120000/12),SUMIF('Dept. Cost Actuals'!$E$7:$E$176,"*Travel*",'Dept. Cost Actuals'!M$355:M$524))</f>
        <v>381.54693317346693</v>
      </c>
      <c r="J24" s="668">
        <f>IF(J$4="forecast",(120000/12),SUMIF('Dept. Cost Actuals'!$E$7:$E$176,"*Travel*",'Dept. Cost Actuals'!N$355:N$524))</f>
        <v>1060.8412692608422</v>
      </c>
      <c r="K24" s="668">
        <f>IF(K$4="forecast",(120000/12),SUMIF('Dept. Cost Actuals'!$E$7:$E$176,"*Travel*",'Dept. Cost Actuals'!O$355:O$524))</f>
        <v>2133.1895171561737</v>
      </c>
      <c r="L24" s="668">
        <f>IF(L$4="forecast",(120000/12),SUMIF('Dept. Cost Actuals'!$E$7:$E$176,"*Travel*",'Dept. Cost Actuals'!P$355:P$524))</f>
        <v>1560.6073788224332</v>
      </c>
      <c r="M24" s="668">
        <f>IF(M$4="forecast",(120000/12),SUMIF('Dept. Cost Actuals'!$E$7:$E$176,"*Travel*",'Dept. Cost Actuals'!Q$355:Q$524))</f>
        <v>697.21280793559595</v>
      </c>
      <c r="N24" s="668">
        <f>IF(N$4="forecast",(120000/12),SUMIF('Dept. Cost Actuals'!$E$7:$E$176,"*Travel*",'Dept. Cost Actuals'!R$355:R$524))</f>
        <v>195.41037126893255</v>
      </c>
      <c r="O24" s="668">
        <f>IF(O$4="forecast",(120000/12),SUMIF('Dept. Cost Actuals'!$E$7:$E$176,"*Travel*",'Dept. Cost Actuals'!S$355:S$524))</f>
        <v>3620.4</v>
      </c>
      <c r="P24" s="668">
        <f>IF(P$4="forecast",(120000/12),SUMIF('Dept. Cost Actuals'!$E$7:$E$176,"*Travel*",'Dept. Cost Actuals'!T$355:T$524))</f>
        <v>6180.12</v>
      </c>
      <c r="Q24" s="668">
        <f>IF(Q$4="forecast",(120000/12),SUMIF('Dept. Cost Actuals'!$E$7:$E$176,"*Travel*",'Dept. Cost Actuals'!U$355:U$524))</f>
        <v>635.97</v>
      </c>
      <c r="R24" s="668">
        <f>IF(R$4="forecast",(120000/12),SUMIF('Dept. Cost Actuals'!$E$7:$E$176,"*Travel*",'Dept. Cost Actuals'!V$355:V$524))</f>
        <v>13565.36</v>
      </c>
      <c r="S24" s="668">
        <f>IF(S$4="forecast",(120000/12),SUMIF('Dept. Cost Actuals'!$E$7:$E$176,"*Travel*",'Dept. Cost Actuals'!W$355:W$524))</f>
        <v>2247.19</v>
      </c>
      <c r="T24" s="668">
        <f>IF(T$4="forecast",(120000/12),SUMIF('Dept. Cost Actuals'!$E$7:$E$176,"*Travel*",'Dept. Cost Actuals'!X$355:X$524))</f>
        <v>2060.0500000000002</v>
      </c>
      <c r="U24" s="668">
        <f>IF(U$4="forecast",(120000/12),SUMIF('Dept. Cost Actuals'!$E$7:$E$176,"*Travel*",'Dept. Cost Actuals'!Y$355:Y$524))</f>
        <v>1426.5</v>
      </c>
      <c r="V24" s="668">
        <f>IF(V$4="forecast",(120000/12),SUMIF('Dept. Cost Actuals'!$E$7:$E$176,"*Travel*",'Dept. Cost Actuals'!Z$355:Z$524))</f>
        <v>2824.62</v>
      </c>
      <c r="W24" s="668">
        <f>IF(W$4="forecast",(120000/12),SUMIF('Dept. Cost Actuals'!$E$7:$E$176,"*Travel*",'Dept. Cost Actuals'!AA$355:AA$524))</f>
        <v>4415.6000000000004</v>
      </c>
      <c r="X24" s="668">
        <f>IF(X$4="forecast",(120000/12),SUMIF('Dept. Cost Actuals'!$E$7:$E$176,"*Travel*",'Dept. Cost Actuals'!AB$355:AB$524))</f>
        <v>5955</v>
      </c>
      <c r="Y24" s="668">
        <f>IF(Y$4="forecast",(120000/12),SUMIF('Dept. Cost Actuals'!$E$7:$E$176,"*Travel*",'Dept. Cost Actuals'!AC$355:AC$524))</f>
        <v>101.34</v>
      </c>
      <c r="Z24" s="668">
        <f>IF(Z$4="forecast",(120000/12),SUMIF('Dept. Cost Actuals'!$E$7:$E$176,"*Travel*",'Dept. Cost Actuals'!AD$355:AD$524))</f>
        <v>1013.4</v>
      </c>
      <c r="AA24" s="668">
        <f>IF(AA$4="forecast",(120000/12),SUMIF('Dept. Cost Actuals'!$E$7:$E$176,"*Travel*",'Dept. Cost Actuals'!AE$355:AE$524))</f>
        <v>0</v>
      </c>
      <c r="AB24" s="668">
        <f>IF(AB$4="forecast",(120000/12),SUMIF('Dept. Cost Actuals'!$E$7:$E$176,"*Travel*",'Dept. Cost Actuals'!AF$355:AF$524))</f>
        <v>-4</v>
      </c>
      <c r="AC24" s="668">
        <f>IF(AC$4="forecast",(120000/12),SUMIF('Dept. Cost Actuals'!$E$7:$E$176,"*Travel*",'Dept. Cost Actuals'!AG$355:AG$524))</f>
        <v>3236.76</v>
      </c>
      <c r="AD24" s="668">
        <f>IF(AD$4="forecast",(120000/12),SUMIF('Dept. Cost Actuals'!$E$7:$E$176,"*Travel*",'Dept. Cost Actuals'!AH$355:AH$524))</f>
        <v>10000</v>
      </c>
      <c r="AE24" s="668">
        <f>IF(AE$4="forecast",(120000/12),SUMIF('Dept. Cost Actuals'!$E$7:$E$176,"*Travel*",'Dept. Cost Actuals'!AI$355:AI$524))</f>
        <v>10000</v>
      </c>
      <c r="AF24" s="668">
        <f>IF(AF$4="forecast",(120000/12),SUMIF('Dept. Cost Actuals'!$E$7:$E$176,"*Travel*",'Dept. Cost Actuals'!AJ$355:AJ$524))</f>
        <v>10000</v>
      </c>
      <c r="AG24" s="668">
        <f>IF(AG$4="forecast",(120000/12),SUMIF('Dept. Cost Actuals'!$E$7:$E$176,"*Travel*",'Dept. Cost Actuals'!AK$355:AK$524))</f>
        <v>10000</v>
      </c>
      <c r="AH24" s="668">
        <f>IF(AH$4="forecast",(120000/12),SUMIF('Dept. Cost Actuals'!$E$7:$E$176,"*Travel*",'Dept. Cost Actuals'!AL$355:AL$524))</f>
        <v>10000</v>
      </c>
      <c r="AI24" s="668">
        <f>IF(AI$4="forecast",(120000/12),SUMIF('Dept. Cost Actuals'!$E$7:$E$176,"*Travel*",'Dept. Cost Actuals'!AM$355:AM$524))</f>
        <v>10000</v>
      </c>
      <c r="AJ24" s="668">
        <f>IF(AJ$4="forecast",(120000/12),SUMIF('Dept. Cost Actuals'!$E$7:$E$176,"*Travel*",'Dept. Cost Actuals'!AN$355:AN$524))</f>
        <v>10000</v>
      </c>
      <c r="AK24" s="668">
        <f>IF(AK$4="forecast",(120000/12),SUMIF('Dept. Cost Actuals'!$E$7:$E$176,"*Travel*",'Dept. Cost Actuals'!AO$355:AO$524))</f>
        <v>10000</v>
      </c>
      <c r="AL24" s="668">
        <f>IF(AL$4="forecast",(120000/12),SUMIF('Dept. Cost Actuals'!$E$7:$E$176,"*Travel*",'Dept. Cost Actuals'!AP$355:AP$524))</f>
        <v>10000</v>
      </c>
      <c r="AM24" s="668">
        <f>IF(AM$4="forecast",(120000/12),SUMIF('Dept. Cost Actuals'!$E$7:$E$176,"*Travel*",'Dept. Cost Actuals'!AQ$355:AQ$524))</f>
        <v>10000</v>
      </c>
      <c r="AN24" s="668">
        <f>IF(AN$4="forecast",(120000/12),SUMIF('Dept. Cost Actuals'!$E$7:$E$176,"*Travel*",'Dept. Cost Actuals'!AR$355:AR$524))</f>
        <v>10000</v>
      </c>
      <c r="AO24" s="668">
        <f>IF(AO$4="forecast",(120000/12),SUMIF('Dept. Cost Actuals'!$E$7:$E$176,"*Travel*",'Dept. Cost Actuals'!AS$355:AS$524))</f>
        <v>10000</v>
      </c>
      <c r="AP24" s="668">
        <f>IF(AP$4="forecast",(120000/12),SUMIF('Dept. Cost Actuals'!$E$7:$E$176,"*Travel*",'Dept. Cost Actuals'!AT$355:AT$524))</f>
        <v>10000</v>
      </c>
      <c r="AQ24" s="668">
        <f>IF(AQ$4="forecast",(120000/12),SUMIF('Dept. Cost Actuals'!$E$7:$E$176,"*Travel*",'Dept. Cost Actuals'!AU$355:AU$524))</f>
        <v>10000</v>
      </c>
      <c r="AR24" s="668">
        <f>IF(AR$4="forecast",(120000/12),SUMIF('Dept. Cost Actuals'!$E$7:$E$176,"*Travel*",'Dept. Cost Actuals'!AV$355:AV$524))</f>
        <v>10000</v>
      </c>
      <c r="AS24" s="668">
        <f>IF(AS$4="forecast",(120000/12),SUMIF('Dept. Cost Actuals'!$E$7:$E$176,"*Travel*",'Dept. Cost Actuals'!AW$355:AW$524))</f>
        <v>10000</v>
      </c>
      <c r="AT24" s="668">
        <f>IF(AT$4="forecast",(120000/12),SUMIF('Dept. Cost Actuals'!$E$7:$E$176,"*Travel*",'Dept. Cost Actuals'!AX$355:AX$524))</f>
        <v>10000</v>
      </c>
      <c r="AU24" s="668">
        <f>IF(AU$4="forecast",(120000/12),SUMIF('Dept. Cost Actuals'!$E$7:$E$176,"*Travel*",'Dept. Cost Actuals'!AY$355:AY$524))</f>
        <v>10000</v>
      </c>
      <c r="AV24" s="668">
        <f>IF(AV$4="forecast",(120000/12),SUMIF('Dept. Cost Actuals'!$E$7:$E$176,"*Travel*",'Dept. Cost Actuals'!AZ$355:AZ$524))</f>
        <v>10000</v>
      </c>
      <c r="AW24" s="668">
        <f>IF(AW$4="forecast",(120000/12),SUMIF('Dept. Cost Actuals'!$E$7:$E$176,"*Travel*",'Dept. Cost Actuals'!BA$355:BA$524))</f>
        <v>10000</v>
      </c>
      <c r="AX24" s="668">
        <f>IF(AX$4="forecast",(120000/12),SUMIF('Dept. Cost Actuals'!$E$7:$E$176,"*Travel*",'Dept. Cost Actuals'!BB$355:BB$524))</f>
        <v>10000</v>
      </c>
      <c r="AY24" s="668">
        <f>IF(AY$4="forecast",(120000/12),SUMIF('Dept. Cost Actuals'!$E$7:$E$176,"*Travel*",'Dept. Cost Actuals'!BC$355:BC$524))</f>
        <v>10000</v>
      </c>
      <c r="AZ24" s="668">
        <f>IF(AZ$4="forecast",(120000/12),SUMIF('Dept. Cost Actuals'!$E$7:$E$176,"*Travel*",'Dept. Cost Actuals'!BD$355:BD$524))</f>
        <v>10000</v>
      </c>
      <c r="BA24" s="668">
        <f>IF(BA$4="forecast",(120000/12),SUMIF('Dept. Cost Actuals'!$E$7:$E$176,"*Travel*",'Dept. Cost Actuals'!BE$355:BE$524))</f>
        <v>10000</v>
      </c>
      <c r="BB24" s="668">
        <f>IF(BB$4="forecast",(120000/12),SUMIF('Dept. Cost Actuals'!$E$7:$E$176,"*Travel*",'Dept. Cost Actuals'!BF$355:BF$524))</f>
        <v>10000</v>
      </c>
      <c r="BC24" s="668">
        <f>IF(BC$4="forecast",(120000/12),SUMIF('Dept. Cost Actuals'!$E$7:$E$176,"*Travel*",'Dept. Cost Actuals'!BG$355:BG$524))</f>
        <v>10000</v>
      </c>
      <c r="BD24" s="668">
        <f>IF(BD$4="forecast",(120000/12),SUMIF('Dept. Cost Actuals'!$E$7:$E$176,"*Travel*",'Dept. Cost Actuals'!BH$355:BH$524))</f>
        <v>10000</v>
      </c>
      <c r="BE24" s="668">
        <f>IF(BE$4="forecast",(120000/12),SUMIF('Dept. Cost Actuals'!$E$7:$E$176,"*Travel*",'Dept. Cost Actuals'!BI$355:BI$524))</f>
        <v>10000</v>
      </c>
      <c r="BF24" s="668">
        <f>IF(BF$4="forecast",(120000/12),SUMIF('Dept. Cost Actuals'!$E$7:$E$176,"*Travel*",'Dept. Cost Actuals'!BJ$355:BJ$524))</f>
        <v>10000</v>
      </c>
      <c r="BG24" s="668">
        <f>IF(BG$4="forecast",(120000/12),SUMIF('Dept. Cost Actuals'!$E$7:$E$176,"*Travel*",'Dept. Cost Actuals'!BK$355:BK$524))</f>
        <v>10000</v>
      </c>
      <c r="BH24" s="668">
        <f>IF(BH$4="forecast",(120000/12),SUMIF('Dept. Cost Actuals'!$E$7:$E$176,"*Travel*",'Dept. Cost Actuals'!BL$355:BL$524))</f>
        <v>10000</v>
      </c>
      <c r="BI24" s="668">
        <f>IF(BI$4="forecast",(120000/12),SUMIF('Dept. Cost Actuals'!$E$7:$E$176,"*Travel*",'Dept. Cost Actuals'!BM$355:BM$524))</f>
        <v>10000</v>
      </c>
      <c r="BJ24" s="668">
        <f>IF(BJ$4="forecast",(120000/12),SUMIF('Dept. Cost Actuals'!$E$7:$E$176,"*Travel*",'Dept. Cost Actuals'!BN$355:BN$524))</f>
        <v>10000</v>
      </c>
      <c r="BK24" s="668">
        <f>IF(BK$4="forecast",(120000/12),SUMIF('Dept. Cost Actuals'!$E$7:$E$176,"*Travel*",'Dept. Cost Actuals'!BO$355:BO$524))</f>
        <v>10000</v>
      </c>
      <c r="BL24" s="668">
        <f>IF(BL$4="forecast",(120000/12),SUMIF('Dept. Cost Actuals'!$E$7:$E$176,"*Travel*",'Dept. Cost Actuals'!BP$355:BP$524))</f>
        <v>10000</v>
      </c>
      <c r="BM24" s="668">
        <f>IF(BM$4="forecast",(120000/12),SUMIF('Dept. Cost Actuals'!$E$7:$E$176,"*Travel*",'Dept. Cost Actuals'!BQ$355:BQ$524))</f>
        <v>10000</v>
      </c>
      <c r="BN24" s="668">
        <f>IF(BN$4="forecast",(120000/12),SUMIF('Dept. Cost Actuals'!$E$7:$E$176,"*Travel*",'Dept. Cost Actuals'!BR$355:BR$524))</f>
        <v>10000</v>
      </c>
      <c r="BO24" s="668">
        <f>IF(BO$4="forecast",(120000/12),SUMIF('Dept. Cost Actuals'!$E$7:$E$176,"*Travel*",'Dept. Cost Actuals'!BS$355:BS$524))</f>
        <v>10000</v>
      </c>
      <c r="BP24" s="668">
        <f>IF(BP$4="forecast",(120000/12),SUMIF('Dept. Cost Actuals'!$E$7:$E$176,"*Travel*",'Dept. Cost Actuals'!BT$355:BT$524))</f>
        <v>10000</v>
      </c>
      <c r="BQ24" s="668">
        <f>IF(BQ$4="forecast",(120000/12),SUMIF('Dept. Cost Actuals'!$E$7:$E$176,"*Travel*",'Dept. Cost Actuals'!BU$355:BU$524))</f>
        <v>10000</v>
      </c>
      <c r="BR24" s="668">
        <f>IF(BR$4="forecast",(120000/12),SUMIF('Dept. Cost Actuals'!$E$7:$E$176,"*Travel*",'Dept. Cost Actuals'!BV$355:BV$524))</f>
        <v>10000</v>
      </c>
      <c r="BS24" s="668">
        <f>IF(BS$4="forecast",(120000/12),SUMIF('Dept. Cost Actuals'!$E$7:$E$176,"*Travel*",'Dept. Cost Actuals'!BW$355:BW$524))</f>
        <v>10000</v>
      </c>
      <c r="BT24" s="668">
        <f>IF(BT$4="forecast",(120000/12),SUMIF('Dept. Cost Actuals'!$E$7:$E$176,"*Travel*",'Dept. Cost Actuals'!BX$355:BX$524))</f>
        <v>10000</v>
      </c>
      <c r="BU24" s="668">
        <f>IF(BU$4="forecast",(120000/12),SUMIF('Dept. Cost Actuals'!$E$7:$E$176,"*Travel*",'Dept. Cost Actuals'!BY$355:BY$524))</f>
        <v>10000</v>
      </c>
      <c r="BV24" s="790">
        <f>IF(BV$4="forecast",(120000/12),SUMIF('Dept. Cost Actuals'!$E$7:$E$176,"*Travel*",'Dept. Cost Actuals'!BZ$355:BZ$524))</f>
        <v>10000</v>
      </c>
    </row>
    <row r="25" spans="2:75" x14ac:dyDescent="0.25">
      <c r="B25" s="794" t="s">
        <v>1338</v>
      </c>
      <c r="C25" s="668">
        <f>IF(C$4="forecast",(AVERAGE(#REF!)),SUMIF('Dept. Cost Actuals'!$E$7:$E$176,"*Meals and Entertainment*",'Dept. Cost Actuals'!G$355:G$524))</f>
        <v>304.4426266305021</v>
      </c>
      <c r="D25" s="668">
        <f>IF(D$4="forecast",(AVERAGE(#REF!)),SUMIF('Dept. Cost Actuals'!$E$7:$E$176,"*Meals and Entertainment*",'Dept. Cost Actuals'!H$355:H$524))</f>
        <v>160.57976678061894</v>
      </c>
      <c r="E25" s="668">
        <f>IF(E$4="forecast",(AVERAGE(#REF!)),SUMIF('Dept. Cost Actuals'!$E$7:$E$176,"*Meals and Entertainment*",'Dept. Cost Actuals'!I$355:I$524))</f>
        <v>221.92029371425696</v>
      </c>
      <c r="F25" s="668">
        <f>IF(F$4="forecast",(AVERAGE(#REF!)),SUMIF('Dept. Cost Actuals'!$E$7:$E$176,"*Meals and Entertainment*",'Dept. Cost Actuals'!J$355:J$524))</f>
        <v>351.62574187244627</v>
      </c>
      <c r="G25" s="668">
        <f>IF(G$4="forecast",(AVERAGE(#REF!)),SUMIF('Dept. Cost Actuals'!$E$7:$E$176,"*Meals and Entertainment*",'Dept. Cost Actuals'!K$355:K$524))</f>
        <v>445.84185759779763</v>
      </c>
      <c r="H25" s="668">
        <f>IF(H$4="forecast",(AVERAGE(#REF!)),SUMIF('Dept. Cost Actuals'!$E$7:$E$176,"*Meals and Entertainment*",'Dept. Cost Actuals'!L$355:L$524))</f>
        <v>690.34191265521838</v>
      </c>
      <c r="I25" s="668">
        <f>IF(I$4="forecast",(AVERAGE(#REF!)),SUMIF('Dept. Cost Actuals'!$E$7:$E$176,"*Meals and Entertainment*",'Dept. Cost Actuals'!M$355:M$524))</f>
        <v>755.93976806544742</v>
      </c>
      <c r="J25" s="668">
        <f>IF(J$4="forecast",(AVERAGE(#REF!)),SUMIF('Dept. Cost Actuals'!$E$7:$E$176,"*Meals and Entertainment*",'Dept. Cost Actuals'!N$355:N$524))</f>
        <v>584.48937922277253</v>
      </c>
      <c r="K25" s="668">
        <f>IF(K$4="forecast",(AVERAGE(#REF!)),SUMIF('Dept. Cost Actuals'!$E$7:$E$176,"*Meals and Entertainment*",'Dept. Cost Actuals'!O$355:O$524))</f>
        <v>984.20645112808234</v>
      </c>
      <c r="L25" s="668">
        <f>IF(L$4="forecast",(AVERAGE(#REF!)),SUMIF('Dept. Cost Actuals'!$E$7:$E$176,"*Meals and Entertainment*",'Dept. Cost Actuals'!P$355:P$524))</f>
        <v>883.10419890229639</v>
      </c>
      <c r="M25" s="668">
        <f>IF(M$4="forecast",(AVERAGE(A25:L25)),SUMIF('Dept. Cost Actuals'!$E$7:$E$176,"*Meals and Entertainment*",'Dept. Cost Actuals'!Q$355:Q$524))</f>
        <v>271.04885618884373</v>
      </c>
      <c r="N25" s="668">
        <f>IF(N$4="forecast",(AVERAGE(B25:M25)),SUMIF('Dept. Cost Actuals'!$E$7:$E$176,"*Meals and Entertainment*",'Dept. Cost Actuals'!R$355:R$524))</f>
        <v>64.764339013570037</v>
      </c>
      <c r="O25" s="668">
        <f>IF(O$4="forecast",(AVERAGE(C25:N25)),SUMIF('Dept. Cost Actuals'!$E$7:$E$176,"*Meals and Entertainment*",'Dept. Cost Actuals'!S$355:S$524))</f>
        <v>839.45</v>
      </c>
      <c r="P25" s="668">
        <f>IF(P$4="forecast",(AVERAGE(D25:O25)),SUMIF('Dept. Cost Actuals'!$E$7:$E$176,"*Meals and Entertainment*",'Dept. Cost Actuals'!T$355:T$524))</f>
        <v>1700.66</v>
      </c>
      <c r="Q25" s="668">
        <f>IF(Q$4="forecast",(AVERAGE(E25:P25)),SUMIF('Dept. Cost Actuals'!$E$7:$E$176,"*Meals and Entertainment*",'Dept. Cost Actuals'!U$355:U$524))</f>
        <v>97.11</v>
      </c>
      <c r="R25" s="668">
        <f>IF(R$4="forecast",(AVERAGE(F25:Q25)),SUMIF('Dept. Cost Actuals'!$E$7:$E$176,"*Meals and Entertainment*",'Dept. Cost Actuals'!V$355:V$524))</f>
        <v>1527.89</v>
      </c>
      <c r="S25" s="668">
        <f>IF(S$4="forecast",(AVERAGE(G25:R25)),SUMIF('Dept. Cost Actuals'!$E$7:$E$176,"*Meals and Entertainment*",'Dept. Cost Actuals'!W$355:W$524))</f>
        <v>1410.19</v>
      </c>
      <c r="T25" s="668">
        <f>IF(T$4="forecast",(AVERAGE(H25:S25)),SUMIF('Dept. Cost Actuals'!$E$7:$E$176,"*Meals and Entertainment*",'Dept. Cost Actuals'!X$355:X$524))</f>
        <v>155.78</v>
      </c>
      <c r="U25" s="668">
        <f>IF(U$4="forecast",(AVERAGE(I25:T25)),SUMIF('Dept. Cost Actuals'!$E$7:$E$176,"*Meals and Entertainment*",'Dept. Cost Actuals'!Y$355:Y$524))</f>
        <v>635.14</v>
      </c>
      <c r="V25" s="668">
        <f>IF(V$4="forecast",(AVERAGE(J25:U25)),SUMIF('Dept. Cost Actuals'!$E$7:$E$176,"*Meals and Entertainment*",'Dept. Cost Actuals'!Z$355:Z$524))</f>
        <v>0</v>
      </c>
      <c r="W25" s="668">
        <f>IF(W$4="forecast",(AVERAGE(K25:V25)),SUMIF('Dept. Cost Actuals'!$E$7:$E$176,"*Meals and Entertainment*",'Dept. Cost Actuals'!AA$355:AA$524))</f>
        <v>1108.6300000000001</v>
      </c>
      <c r="X25" s="668">
        <f>IF(X$4="forecast",(AVERAGE(L25:W25)),SUMIF('Dept. Cost Actuals'!$E$7:$E$176,"*Meals and Entertainment*",'Dept. Cost Actuals'!AB$355:AB$524))</f>
        <v>4068.05</v>
      </c>
      <c r="Y25" s="668">
        <f>IF(Y$4="forecast",(AVERAGE(M25:X25)),SUMIF('Dept. Cost Actuals'!$E$7:$E$176,"*Meals and Entertainment*",'Dept. Cost Actuals'!AC$355:AC$524))</f>
        <v>395.27</v>
      </c>
      <c r="Z25" s="668">
        <f>IF(Z$4="forecast",(AVERAGE(N25:Y25)),SUMIF('Dept. Cost Actuals'!$E$7:$E$176,"*Meals and Entertainment*",'Dept. Cost Actuals'!AD$355:AD$524))</f>
        <v>17.760000000000002</v>
      </c>
      <c r="AA25" s="668">
        <f>IF(AA$4="forecast",(AVERAGE(O25:Z25)),SUMIF('Dept. Cost Actuals'!$E$7:$E$176,"*Meals and Entertainment*",'Dept. Cost Actuals'!AE$355:AE$524))</f>
        <v>867.01</v>
      </c>
      <c r="AB25" s="668">
        <f>IF(AB$4="forecast",(AVERAGE(P25:AA25)),SUMIF('Dept. Cost Actuals'!$E$7:$E$176,"*Meals and Entertainment*",'Dept. Cost Actuals'!AF$355:AF$524))</f>
        <v>0</v>
      </c>
      <c r="AC25" s="668">
        <f>IF(AC$4="forecast",(AVERAGE(Q25:AB25)),SUMIF('Dept. Cost Actuals'!$E$7:$E$176,"*Meals and Entertainment*",'Dept. Cost Actuals'!AG$355:AG$524))</f>
        <v>6943.86</v>
      </c>
      <c r="AD25" s="668">
        <f>IF(AD$4="forecast",(AVERAGE(R25:AC25)),SUMIF('Dept. Cost Actuals'!$E$7:$E$176,"*Meals and Entertainment*",'Dept. Cost Actuals'!AH$355:AH$524))</f>
        <v>1427.4650000000001</v>
      </c>
      <c r="AE25" s="668">
        <f>IF(AE$4="forecast",(AVERAGE(S25:AD25)),SUMIF('Dept. Cost Actuals'!$E$7:$E$176,"*Meals and Entertainment*",'Dept. Cost Actuals'!AI$355:AI$524))</f>
        <v>1419.0962500000003</v>
      </c>
      <c r="AF25" s="668">
        <f>IF(AF$4="forecast",(AVERAGE(T25:AE25)),SUMIF('Dept. Cost Actuals'!$E$7:$E$176,"*Meals and Entertainment*",'Dept. Cost Actuals'!AJ$355:AJ$524))</f>
        <v>1419.8384374999998</v>
      </c>
      <c r="AG25" s="668">
        <f>IF(AG$4="forecast",(AVERAGE(U25:AF25)),SUMIF('Dept. Cost Actuals'!$E$7:$E$176,"*Meals and Entertainment*",'Dept. Cost Actuals'!AK$355:AK$524))</f>
        <v>1525.1766406249999</v>
      </c>
      <c r="AH25" s="668">
        <f>IF(AH$4="forecast",(AVERAGE(V25:AG25)),SUMIF('Dept. Cost Actuals'!$E$7:$E$176,"*Meals and Entertainment*",'Dept. Cost Actuals'!AL$355:AL$524))</f>
        <v>1599.3463606770836</v>
      </c>
      <c r="AI25" s="668">
        <f>IF(AI$4="forecast",(AVERAGE(W25:AH25)),SUMIF('Dept. Cost Actuals'!$E$7:$E$176,"*Meals and Entertainment*",'Dept. Cost Actuals'!AM$355:AM$524))</f>
        <v>1732.6252240668402</v>
      </c>
      <c r="AJ25" s="668">
        <f>IF(AJ$4="forecast",(AVERAGE(X25:AI25)),SUMIF('Dept. Cost Actuals'!$E$7:$E$176,"*Meals and Entertainment*",'Dept. Cost Actuals'!AN$355:AN$524))</f>
        <v>1784.6248260724103</v>
      </c>
      <c r="AK25" s="668">
        <f>IF(AK$4="forecast",(AVERAGE(Y25:AJ25)),SUMIF('Dept. Cost Actuals'!$E$7:$E$176,"*Meals and Entertainment*",'Dept. Cost Actuals'!AO$355:AO$524))</f>
        <v>1594.3393949117781</v>
      </c>
      <c r="AL25" s="668">
        <f>IF(AL$4="forecast",(AVERAGE(Z25:AK25)),SUMIF('Dept. Cost Actuals'!$E$7:$E$176,"*Meals and Entertainment*",'Dept. Cost Actuals'!AP$355:AP$524))</f>
        <v>1694.2618444877596</v>
      </c>
      <c r="AM25" s="668">
        <f>IF(AM$4="forecast",(AVERAGE(AA25:AL25)),SUMIF('Dept. Cost Actuals'!$E$7:$E$176,"*Meals and Entertainment*",'Dept. Cost Actuals'!AQ$355:AQ$524))</f>
        <v>1833.9703315284059</v>
      </c>
      <c r="AN25" s="668">
        <f>IF(AN$4="forecast",(AVERAGE(AB25:AM25)),SUMIF('Dept. Cost Actuals'!$E$7:$E$176,"*Meals and Entertainment*",'Dept. Cost Actuals'!AR$355:AR$524))</f>
        <v>1914.5503591557733</v>
      </c>
      <c r="AO25" s="668">
        <f>IF(AO$4="forecast",(AVERAGE(AC25:AN25)),SUMIF('Dept. Cost Actuals'!$E$7:$E$176,"*Meals and Entertainment*",'Dept. Cost Actuals'!AS$355:AS$524))</f>
        <v>2074.0962224187542</v>
      </c>
      <c r="AP25" s="668">
        <f>IF(AP$4="forecast",(AVERAGE(AD25:AO25)),SUMIF('Dept. Cost Actuals'!$E$7:$E$176,"*Meals and Entertainment*",'Dept. Cost Actuals'!AT$355:AT$524))</f>
        <v>1668.2825742869836</v>
      </c>
      <c r="AQ25" s="668">
        <f>IF(AQ$4="forecast",(AVERAGE(AE25:AP25)),SUMIF('Dept. Cost Actuals'!$E$7:$E$176,"*Meals and Entertainment*",'Dept. Cost Actuals'!AU$355:AU$524))</f>
        <v>1688.3507054775655</v>
      </c>
      <c r="AR25" s="668">
        <f>IF(AR$4="forecast",(AVERAGE(AF25:AQ25)),SUMIF('Dept. Cost Actuals'!$E$7:$E$176,"*Meals and Entertainment*",'Dept. Cost Actuals'!AV$355:AV$524))</f>
        <v>1710.7885767673627</v>
      </c>
      <c r="AS25" s="668">
        <f>IF(AS$4="forecast",(AVERAGE(AG25:AR25)),SUMIF('Dept. Cost Actuals'!$E$7:$E$176,"*Meals and Entertainment*",'Dept. Cost Actuals'!AW$355:AW$524))</f>
        <v>1735.0344217063096</v>
      </c>
      <c r="AT25" s="668">
        <f>IF(AT$4="forecast",(AVERAGE(AH25:AS25)),SUMIF('Dept. Cost Actuals'!$E$7:$E$176,"*Meals and Entertainment*",'Dept. Cost Actuals'!AX$355:AX$524))</f>
        <v>1752.5225701297522</v>
      </c>
      <c r="AU25" s="668">
        <f>IF(AU$4="forecast",(AVERAGE(AI25:AT25)),SUMIF('Dept. Cost Actuals'!$E$7:$E$176,"*Meals and Entertainment*",'Dept. Cost Actuals'!AY$355:AY$524))</f>
        <v>1765.2872542508078</v>
      </c>
      <c r="AV25" s="668">
        <f>IF(AV$4="forecast",(AVERAGE(AJ25:AU25)),SUMIF('Dept. Cost Actuals'!$E$7:$E$176,"*Meals and Entertainment*",'Dept. Cost Actuals'!AZ$355:AZ$524))</f>
        <v>1768.0090900994719</v>
      </c>
      <c r="AW25" s="668">
        <f>IF(AW$4="forecast",(AVERAGE(AK25:AV25)),SUMIF('Dept. Cost Actuals'!$E$7:$E$176,"*Meals and Entertainment*",'Dept. Cost Actuals'!BA$355:BA$524))</f>
        <v>1766.6244454350606</v>
      </c>
      <c r="AX25" s="668">
        <f>IF(AX$4="forecast",(AVERAGE(AL25:AW25)),SUMIF('Dept. Cost Actuals'!$E$7:$E$176,"*Meals and Entertainment*",'Dept. Cost Actuals'!BB$355:BB$524))</f>
        <v>1780.9815329786672</v>
      </c>
      <c r="AY25" s="668">
        <f>IF(AY$4="forecast",(AVERAGE(AM25:AX25)),SUMIF('Dept. Cost Actuals'!$E$7:$E$176,"*Meals and Entertainment*",'Dept. Cost Actuals'!BC$355:BC$524))</f>
        <v>1788.2081736862431</v>
      </c>
      <c r="AZ25" s="668">
        <f>IF(AZ$4="forecast",(AVERAGE(AN25:AY25)),SUMIF('Dept. Cost Actuals'!$E$7:$E$176,"*Meals and Entertainment*",'Dept. Cost Actuals'!BD$355:BD$524))</f>
        <v>1784.3946605327294</v>
      </c>
      <c r="BA25" s="668">
        <f>IF(BA$4="forecast",(AVERAGE(AO25:AZ25)),SUMIF('Dept. Cost Actuals'!$E$7:$E$176,"*Meals and Entertainment*",'Dept. Cost Actuals'!BE$355:BE$524))</f>
        <v>1773.5483523141422</v>
      </c>
      <c r="BB25" s="668">
        <f>IF(BB$4="forecast",(AVERAGE(AP25:BA25)),SUMIF('Dept. Cost Actuals'!$E$7:$E$176,"*Meals and Entertainment*",'Dept. Cost Actuals'!BF$355:BF$524))</f>
        <v>1748.5026964720912</v>
      </c>
      <c r="BC25" s="668">
        <f>IF(BC$4="forecast",(AVERAGE(AQ25:BB25)),SUMIF('Dept. Cost Actuals'!$E$7:$E$176,"*Meals and Entertainment*",'Dept. Cost Actuals'!BG$355:BG$524))</f>
        <v>1755.1877066541836</v>
      </c>
      <c r="BD25" s="668">
        <f>IF(BD$4="forecast",(AVERAGE(AR25:BC25)),SUMIF('Dept. Cost Actuals'!$E$7:$E$176,"*Meals and Entertainment*",'Dept. Cost Actuals'!BH$355:BH$524))</f>
        <v>1760.7574567522352</v>
      </c>
      <c r="BE25" s="668">
        <f>IF(BE$4="forecast",(AVERAGE(AS25:BD25)),SUMIF('Dept. Cost Actuals'!$E$7:$E$176,"*Meals and Entertainment*",'Dept. Cost Actuals'!BI$355:BI$524))</f>
        <v>1764.9215300843077</v>
      </c>
      <c r="BF25" s="668">
        <f>IF(BF$4="forecast",(AVERAGE(AT25:BE25)),SUMIF('Dept. Cost Actuals'!$E$7:$E$176,"*Meals and Entertainment*",'Dept. Cost Actuals'!BJ$355:BJ$524))</f>
        <v>1767.412122449141</v>
      </c>
      <c r="BG25" s="668">
        <f>IF(BG$4="forecast",(AVERAGE(AU25:BF25)),SUMIF('Dept. Cost Actuals'!$E$7:$E$176,"*Meals and Entertainment*",'Dept. Cost Actuals'!BK$355:BK$524))</f>
        <v>1768.6529184757565</v>
      </c>
      <c r="BH25" s="668">
        <f>IF(BH$4="forecast",(AVERAGE(AV25:BG25)),SUMIF('Dept. Cost Actuals'!$E$7:$E$176,"*Meals and Entertainment*",'Dept. Cost Actuals'!BL$355:BL$524))</f>
        <v>1768.9333904945024</v>
      </c>
      <c r="BI25" s="668">
        <f>IF(BI$4="forecast",(AVERAGE(AW25:BH25)),SUMIF('Dept. Cost Actuals'!$E$7:$E$176,"*Meals and Entertainment*",'Dept. Cost Actuals'!BM$355:BM$524))</f>
        <v>1769.0104155274219</v>
      </c>
      <c r="BJ25" s="668">
        <f>IF(BJ$4="forecast",(AVERAGE(AX25:BI25)),SUMIF('Dept. Cost Actuals'!$E$7:$E$176,"*Meals and Entertainment*",'Dept. Cost Actuals'!BN$355:BN$524))</f>
        <v>1769.2092463684514</v>
      </c>
      <c r="BK25" s="668">
        <f>IF(BK$4="forecast",(AVERAGE(AY25:BJ25)),SUMIF('Dept. Cost Actuals'!$E$7:$E$176,"*Meals and Entertainment*",'Dept. Cost Actuals'!BO$355:BO$524))</f>
        <v>1768.2282224842672</v>
      </c>
      <c r="BL25" s="668">
        <f>IF(BL$4="forecast",(AVERAGE(AZ25:BK25)),SUMIF('Dept. Cost Actuals'!$E$7:$E$176,"*Meals and Entertainment*",'Dept. Cost Actuals'!BP$355:BP$524))</f>
        <v>1766.5632265507693</v>
      </c>
      <c r="BM25" s="668">
        <f>IF(BM$4="forecast",(AVERAGE(BA25:BL25)),SUMIF('Dept. Cost Actuals'!$E$7:$E$176,"*Meals and Entertainment*",'Dept. Cost Actuals'!BQ$355:BQ$524))</f>
        <v>1765.0772737189391</v>
      </c>
      <c r="BN25" s="668">
        <f>IF(BN$4="forecast",(AVERAGE(BB25:BM25)),SUMIF('Dept. Cost Actuals'!$E$7:$E$176,"*Meals and Entertainment*",'Dept. Cost Actuals'!BR$355:BR$524))</f>
        <v>1764.3713505026724</v>
      </c>
      <c r="BO25" s="668">
        <f>IF(BO$4="forecast",(AVERAGE(BC25:BN25)),SUMIF('Dept. Cost Actuals'!$E$7:$E$176,"*Meals and Entertainment*",'Dept. Cost Actuals'!BS$355:BS$524))</f>
        <v>1765.6937383385541</v>
      </c>
      <c r="BP25" s="668">
        <f>IF(BP$4="forecast",(AVERAGE(BD25:BO25)),SUMIF('Dept. Cost Actuals'!$E$7:$E$176,"*Meals and Entertainment*",'Dept. Cost Actuals'!BT$355:BT$524))</f>
        <v>1766.5692409789183</v>
      </c>
      <c r="BQ25" s="668">
        <f>IF(BQ$4="forecast",(AVERAGE(BE25:BP25)),SUMIF('Dept. Cost Actuals'!$E$7:$E$176,"*Meals and Entertainment*",'Dept. Cost Actuals'!BU$355:BU$524))</f>
        <v>1767.0535563311421</v>
      </c>
      <c r="BR25" s="668">
        <f>IF(BR$4="forecast",(AVERAGE(BF25:BQ25)),SUMIF('Dept. Cost Actuals'!$E$7:$E$176,"*Meals and Entertainment*",'Dept. Cost Actuals'!BV$355:BV$524))</f>
        <v>1767.2312251850451</v>
      </c>
      <c r="BS25" s="668">
        <f>IF(BS$4="forecast",(AVERAGE(BG25:BR25)),SUMIF('Dept. Cost Actuals'!$E$7:$E$176,"*Meals and Entertainment*",'Dept. Cost Actuals'!BW$355:BW$524))</f>
        <v>1767.2161504130365</v>
      </c>
      <c r="BT25" s="668">
        <f>IF(BT$4="forecast",(AVERAGE(BH25:BS25)),SUMIF('Dept. Cost Actuals'!$E$7:$E$176,"*Meals and Entertainment*",'Dept. Cost Actuals'!BX$355:BX$524))</f>
        <v>1767.0964197411433</v>
      </c>
      <c r="BU25" s="668">
        <f>IF(BU$4="forecast",(AVERAGE(BI25:BT25)),SUMIF('Dept. Cost Actuals'!$E$7:$E$176,"*Meals and Entertainment*",'Dept. Cost Actuals'!BY$355:BY$524))</f>
        <v>1766.9433388450304</v>
      </c>
      <c r="BV25" s="790">
        <f>IF(BV$4="forecast",(AVERAGE(BJ25:BU25)),SUMIF('Dept. Cost Actuals'!$E$7:$E$176,"*Meals and Entertainment*",'Dept. Cost Actuals'!BZ$355:BZ$524))</f>
        <v>1766.771082454831</v>
      </c>
    </row>
    <row r="26" spans="2:75" x14ac:dyDescent="0.25">
      <c r="B26" s="794" t="s">
        <v>1076</v>
      </c>
      <c r="C26" s="668">
        <f>IF(C$4="forecast",(AVERAGE(#REF!)),SUMIF('Dept. Cost Actuals'!$E$7:$E$176,"*Telephone*",'Dept. Cost Actuals'!G$355:G$524))</f>
        <v>174.06724698838696</v>
      </c>
      <c r="D26" s="668">
        <f>IF(D$4="forecast",(AVERAGE(#REF!)),SUMIF('Dept. Cost Actuals'!$E$7:$E$176,"*Telephone*",'Dept. Cost Actuals'!H$355:H$524))</f>
        <v>95.374102704501041</v>
      </c>
      <c r="E26" s="668">
        <f>IF(E$4="forecast",(AVERAGE(#REF!)),SUMIF('Dept. Cost Actuals'!$E$7:$E$176,"*Telephone*",'Dept. Cost Actuals'!I$355:I$524))</f>
        <v>66.184522504919599</v>
      </c>
      <c r="F26" s="668">
        <f>IF(F$4="forecast",(AVERAGE(#REF!)),SUMIF('Dept. Cost Actuals'!$E$7:$E$176,"*Telephone*",'Dept. Cost Actuals'!J$355:J$524))</f>
        <v>27.127552183081775</v>
      </c>
      <c r="G26" s="668">
        <f>IF(G$4="forecast",(AVERAGE(#REF!)),SUMIF('Dept. Cost Actuals'!$E$7:$E$176,"*Telephone*",'Dept. Cost Actuals'!K$355:K$524))</f>
        <v>28.488194812932644</v>
      </c>
      <c r="H26" s="668">
        <f>IF(H$4="forecast",(AVERAGE(#REF!)),SUMIF('Dept. Cost Actuals'!$E$7:$E$176,"*Telephone*",'Dept. Cost Actuals'!L$355:L$524))</f>
        <v>31.660962601229642</v>
      </c>
      <c r="I26" s="668">
        <f>IF(I$4="forecast",(AVERAGE(#REF!)),SUMIF('Dept. Cost Actuals'!$E$7:$E$176,"*Telephone*",'Dept. Cost Actuals'!M$355:M$524))</f>
        <v>206.53780807699039</v>
      </c>
      <c r="J26" s="668">
        <f>IF(J$4="forecast",(AVERAGE(#REF!)),SUMIF('Dept. Cost Actuals'!$E$7:$E$176,"*Telephone*",'Dept. Cost Actuals'!N$355:N$524))</f>
        <v>38.604712006647205</v>
      </c>
      <c r="K26" s="668">
        <f>IF(K$4="forecast",(AVERAGE(#REF!)),SUMIF('Dept. Cost Actuals'!$E$7:$E$176,"*Telephone*",'Dept. Cost Actuals'!O$355:O$524))</f>
        <v>44.881389688614433</v>
      </c>
      <c r="L26" s="668">
        <f>IF(L$4="forecast",(AVERAGE(#REF!)),SUMIF('Dept. Cost Actuals'!$E$7:$E$176,"*Telephone*",'Dept. Cost Actuals'!P$355:P$524))</f>
        <v>346.49855428965691</v>
      </c>
      <c r="M26" s="668">
        <f>IF(M$4="forecast",(AVERAGE(#REF!)),SUMIF('Dept. Cost Actuals'!$E$7:$E$176,"*Telephone*",'Dept. Cost Actuals'!Q$355:Q$524))</f>
        <v>44.767327939326613</v>
      </c>
      <c r="N26" s="668">
        <f>IF(N$4="forecast",(AVERAGE(#REF!)),SUMIF('Dept. Cost Actuals'!$E$7:$E$176,"*Telephone*",'Dept. Cost Actuals'!R$355:R$524))</f>
        <v>39.969293495838301</v>
      </c>
      <c r="O26" s="668">
        <f>IF(O$4="forecast",(AVERAGE(#REF!)),SUMIF('Dept. Cost Actuals'!$E$7:$E$176,"*Telephone*",'Dept. Cost Actuals'!S$355:S$524))</f>
        <v>0</v>
      </c>
      <c r="P26" s="668">
        <f>IF(P$4="forecast",(AVERAGE(#REF!)),SUMIF('Dept. Cost Actuals'!$E$7:$E$176,"*Telephone*",'Dept. Cost Actuals'!T$355:T$524))</f>
        <v>43.26</v>
      </c>
      <c r="Q26" s="668">
        <f>IF(Q$4="forecast",(AVERAGE(#REF!)),SUMIF('Dept. Cost Actuals'!$E$7:$E$176,"*Telephone*",'Dept. Cost Actuals'!U$355:U$524))</f>
        <v>26.51</v>
      </c>
      <c r="R26" s="668">
        <f>IF(R$4="forecast",(AVERAGE(#REF!)),SUMIF('Dept. Cost Actuals'!$E$7:$E$176,"*Telephone*",'Dept. Cost Actuals'!V$355:V$524))</f>
        <v>0</v>
      </c>
      <c r="S26" s="668">
        <f>IF(S$4="forecast",(AVERAGE(#REF!)),SUMIF('Dept. Cost Actuals'!$E$7:$E$176,"*Telephone*",'Dept. Cost Actuals'!W$355:W$524))</f>
        <v>50</v>
      </c>
      <c r="T26" s="668">
        <f>IF(T$4="forecast",(AVERAGE(#REF!)),SUMIF('Dept. Cost Actuals'!$E$7:$E$176,"*Telephone*",'Dept. Cost Actuals'!X$355:X$524))</f>
        <v>0</v>
      </c>
      <c r="U26" s="668">
        <f>IF(U$4="forecast",(AVERAGE(#REF!)),SUMIF('Dept. Cost Actuals'!$E$7:$E$176,"*Telephone*",'Dept. Cost Actuals'!Y$355:Y$524))</f>
        <v>0</v>
      </c>
      <c r="V26" s="668">
        <f>IF(V$4="forecast",(AVERAGE(#REF!)),SUMIF('Dept. Cost Actuals'!$E$7:$E$176,"*Telephone*",'Dept. Cost Actuals'!Z$355:Z$524))</f>
        <v>0</v>
      </c>
      <c r="W26" s="668">
        <f>IF(W$4="forecast",(AVERAGE(#REF!)),SUMIF('Dept. Cost Actuals'!$E$7:$E$176,"*Telephone*",'Dept. Cost Actuals'!AA$355:AA$524))</f>
        <v>0</v>
      </c>
      <c r="X26" s="668">
        <f>IF(X$4="forecast",(AVERAGE(#REF!)),SUMIF('Dept. Cost Actuals'!$E$7:$E$176,"*Telephone*",'Dept. Cost Actuals'!AB$355:AB$524))</f>
        <v>0</v>
      </c>
      <c r="Y26" s="668">
        <f>IF(Y$4="forecast",(AVERAGE(#REF!)),SUMIF('Dept. Cost Actuals'!$E$7:$E$176,"*Telephone*",'Dept. Cost Actuals'!AC$355:AC$524))</f>
        <v>0</v>
      </c>
      <c r="Z26" s="668">
        <f>IF(Z$4="forecast",(AVERAGE(#REF!)),SUMIF('Dept. Cost Actuals'!$E$7:$E$176,"*Telephone*",'Dept. Cost Actuals'!AD$355:AD$524))</f>
        <v>0</v>
      </c>
      <c r="AA26" s="668">
        <f>IF(AA$4="forecast",(AVERAGE(#REF!)),SUMIF('Dept. Cost Actuals'!$E$7:$E$176,"*Telephone*",'Dept. Cost Actuals'!AE$355:AE$524))</f>
        <v>0</v>
      </c>
      <c r="AB26" s="668">
        <f>IF(AB$4="forecast",(AVERAGE(P26:AA26)),SUMIF('Dept. Cost Actuals'!$E$7:$E$176,"*Telephone*",'Dept. Cost Actuals'!AF$355:AF$524))</f>
        <v>0</v>
      </c>
      <c r="AC26" s="668">
        <f>IF(AC$4="forecast",(AVERAGE(Q26:AB26)),SUMIF('Dept. Cost Actuals'!$E$7:$E$176,"*Telephone*",'Dept. Cost Actuals'!AG$355:AG$524))</f>
        <v>0</v>
      </c>
      <c r="AD26" s="668">
        <f>IF(AD$4="forecast",(AVERAGE(R26:AC26)),SUMIF('Dept. Cost Actuals'!$E$7:$E$176,"*Telephone*",'Dept. Cost Actuals'!AH$355:AH$524))</f>
        <v>4.166666666666667</v>
      </c>
      <c r="AE26" s="668">
        <f>IF(AE$4="forecast",(AVERAGE(S26:AD26)),SUMIF('Dept. Cost Actuals'!$E$7:$E$176,"*Telephone*",'Dept. Cost Actuals'!AI$355:AI$524))</f>
        <v>4.5138888888888884</v>
      </c>
      <c r="AF26" s="668">
        <f>IF(AF$4="forecast",(AVERAGE(T26:AE26)),SUMIF('Dept. Cost Actuals'!$E$7:$E$176,"*Telephone*",'Dept. Cost Actuals'!AJ$355:AJ$524))</f>
        <v>0.72337962962962965</v>
      </c>
      <c r="AG26" s="668">
        <f>IF(AG$4="forecast",(AVERAGE(U26:AF26)),SUMIF('Dept. Cost Actuals'!$E$7:$E$176,"*Telephone*",'Dept. Cost Actuals'!AK$355:AK$524))</f>
        <v>0.7836612654320988</v>
      </c>
      <c r="AH26" s="668">
        <f>IF(AH$4="forecast",(AVERAGE(V26:AG26)),SUMIF('Dept. Cost Actuals'!$E$7:$E$176,"*Telephone*",'Dept. Cost Actuals'!AL$355:AL$524))</f>
        <v>0.84896637088477356</v>
      </c>
      <c r="AI26" s="668">
        <f>IF(AI$4="forecast",(AVERAGE(W26:AH26)),SUMIF('Dept. Cost Actuals'!$E$7:$E$176,"*Telephone*",'Dept. Cost Actuals'!AM$355:AM$524))</f>
        <v>0.91971356845850483</v>
      </c>
      <c r="AJ26" s="668">
        <f>IF(AJ$4="forecast",(AVERAGE(X26:AI26)),SUMIF('Dept. Cost Actuals'!$E$7:$E$176,"*Telephone*",'Dept. Cost Actuals'!AN$355:AN$524))</f>
        <v>0.99635636583004683</v>
      </c>
      <c r="AK26" s="668">
        <f>IF(AK$4="forecast",(AVERAGE(Y26:AJ26)),SUMIF('Dept. Cost Actuals'!$E$7:$E$176,"*Telephone*",'Dept. Cost Actuals'!AO$355:AO$524))</f>
        <v>1.0793860629825509</v>
      </c>
      <c r="AL26" s="668">
        <f>IF(AL$4="forecast",(AVERAGE(Z26:AK26)),SUMIF('Dept. Cost Actuals'!$E$7:$E$176,"*Telephone*",'Dept. Cost Actuals'!AP$355:AP$524))</f>
        <v>1.1693349015644301</v>
      </c>
      <c r="AM26" s="668">
        <f>IF(AM$4="forecast",(AVERAGE(AA26:AL26)),SUMIF('Dept. Cost Actuals'!$E$7:$E$176,"*Telephone*",'Dept. Cost Actuals'!AQ$355:AQ$524))</f>
        <v>1.2667794766947991</v>
      </c>
      <c r="AN26" s="668">
        <f>IF(AN$4="forecast",(AVERAGE(AB26:AM26)),SUMIF('Dept. Cost Actuals'!$E$7:$E$176,"*Telephone*",'Dept. Cost Actuals'!AR$355:AR$524))</f>
        <v>1.3723444330860326</v>
      </c>
      <c r="AO26" s="668">
        <f>IF(AO$4="forecast",(AVERAGE(AC26:AN26)),SUMIF('Dept. Cost Actuals'!$E$7:$E$176,"*Telephone*",'Dept. Cost Actuals'!AS$355:AS$524))</f>
        <v>1.486706469176535</v>
      </c>
      <c r="AP26" s="668">
        <f>IF(AP$4="forecast",(AVERAGE(AD26:AO26)),SUMIF('Dept. Cost Actuals'!$E$7:$E$176,"*Telephone*",'Dept. Cost Actuals'!AT$355:AT$524))</f>
        <v>1.6105986749412464</v>
      </c>
      <c r="AQ26" s="668">
        <f>IF(AQ$4="forecast",(AVERAGE(AE26:AP26)),SUMIF('Dept. Cost Actuals'!$E$7:$E$176,"*Telephone*",'Dept. Cost Actuals'!AU$355:AU$524))</f>
        <v>1.397593008964128</v>
      </c>
      <c r="AR26" s="668">
        <f>IF(AR$4="forecast",(AVERAGE(AF26:AQ26)),SUMIF('Dept. Cost Actuals'!$E$7:$E$176,"*Telephone*",'Dept. Cost Actuals'!AV$355:AV$524))</f>
        <v>1.1379016856370645</v>
      </c>
      <c r="AS26" s="668">
        <f>IF(AS$4="forecast",(AVERAGE(AG26:AR26)),SUMIF('Dept. Cost Actuals'!$E$7:$E$176,"*Telephone*",'Dept. Cost Actuals'!AW$355:AW$524))</f>
        <v>1.1724451903043509</v>
      </c>
      <c r="AT26" s="668">
        <f>IF(AT$4="forecast",(AVERAGE(AH26:AS26)),SUMIF('Dept. Cost Actuals'!$E$7:$E$176,"*Telephone*",'Dept. Cost Actuals'!AX$355:AX$524))</f>
        <v>1.204843850710372</v>
      </c>
      <c r="AU26" s="668">
        <f>IF(AU$4="forecast",(AVERAGE(AI26:AT26)),SUMIF('Dept. Cost Actuals'!$E$7:$E$176,"*Telephone*",'Dept. Cost Actuals'!AY$355:AY$524))</f>
        <v>1.2345003073625052</v>
      </c>
      <c r="AV26" s="668">
        <f>IF(AV$4="forecast",(AVERAGE(AJ26:AU26)),SUMIF('Dept. Cost Actuals'!$E$7:$E$176,"*Telephone*",'Dept. Cost Actuals'!AZ$355:AZ$524))</f>
        <v>1.2607325356045052</v>
      </c>
      <c r="AW26" s="668">
        <f>IF(AW$4="forecast",(AVERAGE(AK26:AV26)),SUMIF('Dept. Cost Actuals'!$E$7:$E$176,"*Telephone*",'Dept. Cost Actuals'!BA$355:BA$524))</f>
        <v>1.2827638830857102</v>
      </c>
      <c r="AX26" s="668">
        <f>IF(AX$4="forecast",(AVERAGE(AL26:AW26)),SUMIF('Dept. Cost Actuals'!$E$7:$E$176,"*Telephone*",'Dept. Cost Actuals'!BB$355:BB$524))</f>
        <v>1.2997120347609734</v>
      </c>
      <c r="AY26" s="668">
        <f>IF(AY$4="forecast",(AVERAGE(AM26:AX26)),SUMIF('Dept. Cost Actuals'!$E$7:$E$176,"*Telephone*",'Dept. Cost Actuals'!BC$355:BC$524))</f>
        <v>1.3105767958606853</v>
      </c>
      <c r="AZ26" s="668">
        <f>IF(AZ$4="forecast",(AVERAGE(AN26:AY26)),SUMIF('Dept. Cost Actuals'!$E$7:$E$176,"*Telephone*",'Dept. Cost Actuals'!BD$355:BD$524))</f>
        <v>1.3142265724578426</v>
      </c>
      <c r="BA26" s="668">
        <f>IF(BA$4="forecast",(AVERAGE(AO26:AZ26)),SUMIF('Dept. Cost Actuals'!$E$7:$E$176,"*Telephone*",'Dept. Cost Actuals'!BE$355:BE$524))</f>
        <v>1.3093834174054935</v>
      </c>
      <c r="BB26" s="668">
        <f>IF(BB$4="forecast",(AVERAGE(AP26:BA26)),SUMIF('Dept. Cost Actuals'!$E$7:$E$176,"*Telephone*",'Dept. Cost Actuals'!BF$355:BF$524))</f>
        <v>1.2946064964245731</v>
      </c>
      <c r="BC26" s="668">
        <f>IF(BC$4="forecast",(AVERAGE(AQ26:BB26)),SUMIF('Dept. Cost Actuals'!$E$7:$E$176,"*Telephone*",'Dept. Cost Actuals'!BG$355:BG$524))</f>
        <v>1.2682738148815169</v>
      </c>
      <c r="BD26" s="668">
        <f>IF(BD$4="forecast",(AVERAGE(AR26:BC26)),SUMIF('Dept. Cost Actuals'!$E$7:$E$176,"*Telephone*",'Dept. Cost Actuals'!BH$355:BH$524))</f>
        <v>1.2574972153746329</v>
      </c>
      <c r="BE26" s="668">
        <f>IF(BE$4="forecast",(AVERAGE(AS26:BD26)),SUMIF('Dept. Cost Actuals'!$E$7:$E$176,"*Telephone*",'Dept. Cost Actuals'!BI$355:BI$524))</f>
        <v>1.2674635095194302</v>
      </c>
      <c r="BF26" s="668">
        <f>IF(BF$4="forecast",(AVERAGE(AT26:BE26)),SUMIF('Dept. Cost Actuals'!$E$7:$E$176,"*Telephone*",'Dept. Cost Actuals'!BJ$355:BJ$524))</f>
        <v>1.2753817027873533</v>
      </c>
      <c r="BG26" s="668">
        <f>IF(BG$4="forecast",(AVERAGE(AU26:BF26)),SUMIF('Dept. Cost Actuals'!$E$7:$E$176,"*Telephone*",'Dept. Cost Actuals'!BK$355:BK$524))</f>
        <v>1.2812598571271019</v>
      </c>
      <c r="BH26" s="668">
        <f>IF(BH$4="forecast",(AVERAGE(AV26:BG26)),SUMIF('Dept. Cost Actuals'!$E$7:$E$176,"*Telephone*",'Dept. Cost Actuals'!BL$355:BL$524))</f>
        <v>1.2851564862741516</v>
      </c>
      <c r="BI26" s="668">
        <f>IF(BI$4="forecast",(AVERAGE(AW26:BH26)),SUMIF('Dept. Cost Actuals'!$E$7:$E$176,"*Telephone*",'Dept. Cost Actuals'!BM$355:BM$524))</f>
        <v>1.2871918154966222</v>
      </c>
      <c r="BJ26" s="668">
        <f>IF(BJ$4="forecast",(AVERAGE(AX26:BI26)),SUMIF('Dept. Cost Actuals'!$E$7:$E$176,"*Telephone*",'Dept. Cost Actuals'!BN$355:BN$524))</f>
        <v>1.2875608098641982</v>
      </c>
      <c r="BK26" s="668">
        <f>IF(BK$4="forecast",(AVERAGE(AY26:BJ26)),SUMIF('Dept. Cost Actuals'!$E$7:$E$176,"*Telephone*",'Dept. Cost Actuals'!BO$355:BO$524))</f>
        <v>1.2865482077894668</v>
      </c>
      <c r="BL26" s="668">
        <f>IF(BL$4="forecast",(AVERAGE(AZ26:BK26)),SUMIF('Dept. Cost Actuals'!$E$7:$E$176,"*Telephone*",'Dept. Cost Actuals'!BP$355:BP$524))</f>
        <v>1.2845458254501987</v>
      </c>
      <c r="BM26" s="668">
        <f>IF(BM$4="forecast",(AVERAGE(BA26:BL26)),SUMIF('Dept. Cost Actuals'!$E$7:$E$176,"*Telephone*",'Dept. Cost Actuals'!BQ$355:BQ$524))</f>
        <v>1.2820724298662283</v>
      </c>
      <c r="BN26" s="668">
        <f>IF(BN$4="forecast",(AVERAGE(BB26:BM26)),SUMIF('Dept. Cost Actuals'!$E$7:$E$176,"*Telephone*",'Dept. Cost Actuals'!BR$355:BR$524))</f>
        <v>1.2797965142379564</v>
      </c>
      <c r="BO26" s="668">
        <f>IF(BO$4="forecast",(AVERAGE(BC26:BN26)),SUMIF('Dept. Cost Actuals'!$E$7:$E$176,"*Telephone*",'Dept. Cost Actuals'!BS$355:BS$524))</f>
        <v>1.2785623490557383</v>
      </c>
      <c r="BP26" s="668">
        <f>IF(BP$4="forecast",(AVERAGE(BD26:BO26)),SUMIF('Dept. Cost Actuals'!$E$7:$E$176,"*Telephone*",'Dept. Cost Actuals'!BT$355:BT$524))</f>
        <v>1.2794197269035898</v>
      </c>
      <c r="BQ26" s="668">
        <f>IF(BQ$4="forecast",(AVERAGE(BE26:BP26)),SUMIF('Dept. Cost Actuals'!$E$7:$E$176,"*Telephone*",'Dept. Cost Actuals'!BU$355:BU$524))</f>
        <v>1.2812466028643363</v>
      </c>
      <c r="BR26" s="668">
        <f>IF(BR$4="forecast",(AVERAGE(BF26:BQ26)),SUMIF('Dept. Cost Actuals'!$E$7:$E$176,"*Telephone*",'Dept. Cost Actuals'!BV$355:BV$524))</f>
        <v>1.2823951939764118</v>
      </c>
      <c r="BS26" s="668">
        <f>IF(BS$4="forecast",(AVERAGE(BG26:BR26)),SUMIF('Dept. Cost Actuals'!$E$7:$E$176,"*Telephone*",'Dept. Cost Actuals'!BW$355:BW$524))</f>
        <v>1.2829796515754999</v>
      </c>
      <c r="BT26" s="668">
        <f>IF(BT$4="forecast",(AVERAGE(BH26:BS26)),SUMIF('Dept. Cost Actuals'!$E$7:$E$176,"*Telephone*",'Dept. Cost Actuals'!BX$355:BX$524))</f>
        <v>1.2831229677795331</v>
      </c>
      <c r="BU26" s="668">
        <f>IF(BU$4="forecast",(AVERAGE(BI26:BT26)),SUMIF('Dept. Cost Actuals'!$E$7:$E$176,"*Telephone*",'Dept. Cost Actuals'!BY$355:BY$524))</f>
        <v>1.2829535079049816</v>
      </c>
      <c r="BV26" s="790">
        <f>IF(BV$4="forecast",(AVERAGE(BJ26:BU26)),SUMIF('Dept. Cost Actuals'!$E$7:$E$176,"*Telephone*",'Dept. Cost Actuals'!BZ$355:BZ$524))</f>
        <v>1.2826003156056782</v>
      </c>
    </row>
    <row r="27" spans="2:75" x14ac:dyDescent="0.25">
      <c r="B27" s="1208" t="s">
        <v>936</v>
      </c>
      <c r="C27" s="668">
        <f>IF(C$4="forecast",C$7*'Direct People Department Costs'!$H$13+(20000/12),SUMIF('Dept. Cost Actuals'!$E$7:$E$176,"*Software*",'Dept. Cost Actuals'!G$355:G$524))</f>
        <v>0</v>
      </c>
      <c r="D27" s="668">
        <f>IF(D$4="forecast",D$7*'Direct People Department Costs'!$H$13+(20000/12),SUMIF('Dept. Cost Actuals'!$E$7:$E$176,"*Software*",'Dept. Cost Actuals'!H$355:H$524))</f>
        <v>0</v>
      </c>
      <c r="E27" s="668">
        <f>IF(E$4="forecast",E$7*'Direct People Department Costs'!$H$13+(20000/12),SUMIF('Dept. Cost Actuals'!$E$7:$E$176,"*Software*",'Dept. Cost Actuals'!I$355:I$524))</f>
        <v>0</v>
      </c>
      <c r="F27" s="668">
        <f>IF(F$4="forecast",F$7*'Direct People Department Costs'!$H$13+(20000/12),SUMIF('Dept. Cost Actuals'!$E$7:$E$176,"*Software*",'Dept. Cost Actuals'!J$355:J$524))</f>
        <v>0</v>
      </c>
      <c r="G27" s="668">
        <f>IF(G$4="forecast",G$7*'Direct People Department Costs'!$H$13+(20000/12),SUMIF('Dept. Cost Actuals'!$E$7:$E$176,"*Software*",'Dept. Cost Actuals'!K$355:K$524))</f>
        <v>0</v>
      </c>
      <c r="H27" s="668">
        <f>IF(H$4="forecast",H$7*'Direct People Department Costs'!$H$13+(20000/12),SUMIF('Dept. Cost Actuals'!$E$7:$E$176,"*Software*",'Dept. Cost Actuals'!L$355:L$524))</f>
        <v>0</v>
      </c>
      <c r="I27" s="668">
        <f>IF(I$4="forecast",I$7*'Direct People Department Costs'!$H$13+(20000/12),SUMIF('Dept. Cost Actuals'!$E$7:$E$176,"*Software*",'Dept. Cost Actuals'!M$355:M$524))</f>
        <v>0</v>
      </c>
      <c r="J27" s="668">
        <f>IF(J$4="forecast",J$7*'Direct People Department Costs'!$H$13+(20000/12),SUMIF('Dept. Cost Actuals'!$E$7:$E$176,"*Software*",'Dept. Cost Actuals'!N$355:N$524))</f>
        <v>0</v>
      </c>
      <c r="K27" s="668">
        <f>IF(K$4="forecast",K$7*'Direct People Department Costs'!$H$13+(20000/12),SUMIF('Dept. Cost Actuals'!$E$7:$E$176,"*Software*",'Dept. Cost Actuals'!O$355:O$524))</f>
        <v>0</v>
      </c>
      <c r="L27" s="668">
        <f>IF(L$4="forecast",L$7*'Direct People Department Costs'!$H$13+(20000/12),SUMIF('Dept. Cost Actuals'!$E$7:$E$176,"*Software*",'Dept. Cost Actuals'!P$355:P$524))</f>
        <v>0</v>
      </c>
      <c r="M27" s="668">
        <f>IF(M$4="forecast",M$7*'Direct People Department Costs'!$H$13+(20000/12),SUMIF('Dept. Cost Actuals'!$E$7:$E$176,"*Software*",'Dept. Cost Actuals'!Q$355:Q$524))</f>
        <v>0</v>
      </c>
      <c r="N27" s="668">
        <f>IF(N$4="forecast",N$7*'Direct People Department Costs'!$H$13+(20000/12),SUMIF('Dept. Cost Actuals'!$E$7:$E$176,"*Software*",'Dept. Cost Actuals'!R$355:R$524))</f>
        <v>0</v>
      </c>
      <c r="O27" s="668">
        <f>IF(O$4="forecast",O$7*'Direct People Department Costs'!$H$13+(20000/12),SUMIF('Dept. Cost Actuals'!$E$7:$E$176,"*Software*",'Dept. Cost Actuals'!S$355:S$524))</f>
        <v>423.38</v>
      </c>
      <c r="P27" s="668">
        <f>IF(P$4="forecast",P$7*'Direct People Department Costs'!$H$13+(20000/12),SUMIF('Dept. Cost Actuals'!$E$7:$E$176,"*Software*",'Dept. Cost Actuals'!T$355:T$524))</f>
        <v>872.95</v>
      </c>
      <c r="Q27" s="668">
        <f>IF(Q$4="forecast",Q$7*'Direct People Department Costs'!$H$13+(20000/12),SUMIF('Dept. Cost Actuals'!$E$7:$E$176,"*Software*",'Dept. Cost Actuals'!U$355:U$524))</f>
        <v>-1600</v>
      </c>
      <c r="R27" s="668">
        <f>IF(R$4="forecast",R$7*'Direct People Department Costs'!$H$13+(20000/12),SUMIF('Dept. Cost Actuals'!$E$7:$E$176,"*Software*",'Dept. Cost Actuals'!V$355:V$524))</f>
        <v>49</v>
      </c>
      <c r="S27" s="668">
        <f>IF(S$4="forecast",S$7*'Direct People Department Costs'!$H$13+(20000/12),SUMIF('Dept. Cost Actuals'!$E$7:$E$176,"*Software*",'Dept. Cost Actuals'!W$355:W$524))</f>
        <v>0</v>
      </c>
      <c r="T27" s="668">
        <f>IF(T$4="forecast",T$7*'Direct People Department Costs'!$H$13+(20000/12),SUMIF('Dept. Cost Actuals'!$E$7:$E$176,"*Software*",'Dept. Cost Actuals'!X$355:X$524))</f>
        <v>258.04000000000002</v>
      </c>
      <c r="U27" s="668">
        <f>IF(U$4="forecast",U$7*'Direct People Department Costs'!$H$13+(20000/12),SUMIF('Dept. Cost Actuals'!$E$7:$E$176,"*Software*",'Dept. Cost Actuals'!Y$355:Y$524))</f>
        <v>239.29</v>
      </c>
      <c r="V27" s="668">
        <f>IF(V$4="forecast",V$7*'Direct People Department Costs'!$H$13+(20000/12),SUMIF('Dept. Cost Actuals'!$E$7:$E$176,"*Software*",'Dept. Cost Actuals'!Z$355:Z$524))</f>
        <v>167.29</v>
      </c>
      <c r="W27" s="668">
        <f>IF(W$4="forecast",W$7*'Direct People Department Costs'!$H$13+(20000/12),SUMIF('Dept. Cost Actuals'!$E$7:$E$176,"*Software*",'Dept. Cost Actuals'!AA$355:AA$524))</f>
        <v>167.29</v>
      </c>
      <c r="X27" s="668">
        <f>IF(X$4="forecast",X$7*'Direct People Department Costs'!$H$13+(20000/12),SUMIF('Dept. Cost Actuals'!$E$7:$E$176,"*Software*",'Dept. Cost Actuals'!AB$355:AB$524))</f>
        <v>167.29</v>
      </c>
      <c r="Y27" s="668">
        <f>IF(Y$4="forecast",Y$7*'Direct People Department Costs'!$H$13+(20000/12),SUMIF('Dept. Cost Actuals'!$E$7:$E$176,"*Software*",'Dept. Cost Actuals'!AC$355:AC$524))</f>
        <v>167.29</v>
      </c>
      <c r="Z27" s="668">
        <f>IF(Z$4="forecast",Z$7*'Direct People Department Costs'!$H$13+(20000/12),SUMIF('Dept. Cost Actuals'!$E$7:$E$176,"*Software*",'Dept. Cost Actuals'!AD$355:AD$524))</f>
        <v>167.29</v>
      </c>
      <c r="AA27" s="668">
        <f>IF(AA$4="forecast",(AVERAGE(O$27:Z$27))+(20000/12),SUMIF('Dept. Cost Actuals'!$E$7:$E$176,"*Software*",'Dept. Cost Actuals'!AE$355:AE$524))</f>
        <v>892.13</v>
      </c>
      <c r="AB27" s="668">
        <f>IF(AB$4="forecast",(AVERAGE(P$27:AA$27))+(20000/12),SUMIF('Dept. Cost Actuals'!$E$7:$E$176,"*Software*",'Dept. Cost Actuals'!AF$355:AF$524))</f>
        <v>167.29</v>
      </c>
      <c r="AC27" s="668">
        <f>IF(AC$4="forecast",(AVERAGE(Q$27:AB$27))+(20000/12),SUMIF('Dept. Cost Actuals'!$E$7:$E$176,"*Software*",'Dept. Cost Actuals'!AG$355:AG$524))</f>
        <v>167.29</v>
      </c>
      <c r="AD27" s="668">
        <f>IF(AD$4="forecast",(AVERAGE(R$27:AC$27)*1.3)+(20000/12),SUMIF('Dept. Cost Actuals'!$E$7:$E$176,"*Software*",'Dept. Cost Actuals'!AH$355:AH$524))</f>
        <v>1949.3614166666666</v>
      </c>
      <c r="AE27" s="668">
        <f>IF(AE$4="forecast",(AVERAGE(S$27:AD$27)*1.3)+(20000/12),SUMIF('Dept. Cost Actuals'!$E$7:$E$176,"*Software*",'Dept. Cost Actuals'!AI$355:AI$524))</f>
        <v>2155.2339034722222</v>
      </c>
      <c r="AF27" s="668">
        <f>IF(AF$4="forecast",(AVERAGE(T$27:AE$27)*1.3)+(20000/12),SUMIF('Dept. Cost Actuals'!$E$7:$E$176,"*Software*",'Dept. Cost Actuals'!AJ$355:AJ$524))</f>
        <v>2388.7175763483797</v>
      </c>
      <c r="AG27" s="668">
        <f>IF(AG$4="forecast",(AVERAGE(U$27:AF$27)*1.3)+(20000/12),SUMIF('Dept. Cost Actuals'!$E$7:$E$176,"*Software*",'Dept. Cost Actuals'!AK$355:AK$524))</f>
        <v>2619.5409804527872</v>
      </c>
      <c r="AH27" s="668">
        <f>IF(AH$4="forecast",(AVERAGE(V$27:AG$27)*1.3)+(20000/12),SUMIF('Dept. Cost Actuals'!$E$7:$E$176,"*Software*",'Dept. Cost Actuals'!AL$355:AL$524))</f>
        <v>2877.4015033351725</v>
      </c>
      <c r="AI27" s="668">
        <f>IF(AI$4="forecast",(AVERAGE(W$27:AH$27)*1.3)+(20000/12),SUMIF('Dept. Cost Actuals'!$E$7:$E$176,"*Software*",'Dept. Cost Actuals'!AM$355:AM$524))</f>
        <v>3170.9969161964827</v>
      </c>
      <c r="AJ27" s="668">
        <f>IF(AJ$4="forecast",(AVERAGE(X$27:AI$27)*1.3)+(20000/12),SUMIF('Dept. Cost Actuals'!$E$7:$E$176,"*Software*",'Dept. Cost Actuals'!AN$355:AN$524))</f>
        <v>3496.3984987844356</v>
      </c>
      <c r="AK27" s="668">
        <f>IF(AK$4="forecast",(AVERAGE(Y$27:AJ$27)*1.3)+(20000/12),SUMIF('Dept. Cost Actuals'!$E$7:$E$176,"*Software*",'Dept. Cost Actuals'!AO$355:AO$524))</f>
        <v>3857.0519194860826</v>
      </c>
      <c r="AL27" s="668">
        <f>IF(AL$4="forecast",(AVERAGE(Z$27:AK$27)*1.3)+(20000/12),SUMIF('Dept. Cost Actuals'!$E$7:$E$176,"*Software*",'Dept. Cost Actuals'!AP$355:AP$524))</f>
        <v>4256.7761274304075</v>
      </c>
      <c r="AM27" s="668">
        <f>IF(AM$4="forecast",(AVERAGE(AA$27:AL$27)*1.3)+(20000/12),SUMIF('Dept. Cost Actuals'!$E$7:$E$176,"*Software*",'Dept. Cost Actuals'!AQ$355:AQ$524))</f>
        <v>4699.8037912353684</v>
      </c>
      <c r="AN27" s="668">
        <f>IF(AN$4="forecast",(AVERAGE(AB$27:AM$27)*1.3)+(20000/12),SUMIF('Dept. Cost Actuals'!$E$7:$E$176,"*Software*",'Dept. Cost Actuals'!AR$355:AR$524))</f>
        <v>5112.3017852858675</v>
      </c>
      <c r="AO27" s="668">
        <f>IF(AO$4="forecast",(AVERAGE(AC$27:AN$27)*1.3)+(20000/12),SUMIF('Dept. Cost Actuals'!$E$7:$E$176,"*Software*",'Dept. Cost Actuals'!AS$355:AS$524))</f>
        <v>5648.0113953585033</v>
      </c>
      <c r="AP27" s="668">
        <f>IF(AP$4="forecast",(AVERAGE(AD$27:AO$27)*1.3)+(20000/12),SUMIF('Dept. Cost Actuals'!$E$7:$E$176,"*Software*",'Dept. Cost Actuals'!AT$355:AT$524))</f>
        <v>6241.7562131890081</v>
      </c>
      <c r="AQ27" s="668">
        <f>IF(AQ$4="forecast",(AVERAGE(AE$27:AP$27)*1.3)+(20000/12),SUMIF('Dept. Cost Actuals'!$E$7:$E$176,"*Software*",'Dept. Cost Actuals'!AU$355:AU$524))</f>
        <v>6706.765649478928</v>
      </c>
      <c r="AR27" s="668">
        <f>IF(AR$4="forecast",(AVERAGE(AF$27:AQ$27)*1.3)+(20000/12),SUMIF('Dept. Cost Actuals'!$E$7:$E$176,"*Software*",'Dept. Cost Actuals'!AV$355:AV$524))</f>
        <v>7199.8482552963214</v>
      </c>
      <c r="AS27" s="668">
        <f>IF(AS$4="forecast",(AVERAGE(AG$27:AR$27)*1.3)+(20000/12),SUMIF('Dept. Cost Actuals'!$E$7:$E$176,"*Software*",'Dept. Cost Actuals'!AW$355:AW$524))</f>
        <v>7721.0540788490152</v>
      </c>
      <c r="AT27" s="668">
        <f>IF(AT$4="forecast",(AVERAGE(AH$27:AS$27)*1.3)+(20000/12),SUMIF('Dept. Cost Actuals'!$E$7:$E$176,"*Software*",'Dept. Cost Actuals'!AX$355:AX$524))</f>
        <v>8273.7179978419408</v>
      </c>
      <c r="AU27" s="668">
        <f>IF(AU$4="forecast",(AVERAGE(AI$27:AT$27)*1.3)+(20000/12),SUMIF('Dept. Cost Actuals'!$E$7:$E$176,"*Software*",'Dept. Cost Actuals'!AY$355:AY$524))</f>
        <v>8858.3189514135065</v>
      </c>
      <c r="AV27" s="668">
        <f>IF(AV$4="forecast",(AVERAGE(AJ$27:AU$27)*1.3)+(20000/12),SUMIF('Dept. Cost Actuals'!$E$7:$E$176,"*Software*",'Dept. Cost Actuals'!AZ$355:AZ$524))</f>
        <v>9474.445505228683</v>
      </c>
      <c r="AW27" s="668">
        <f>IF(AW$4="forecast",(AVERAGE(AK$27:AV$27)*1.3)+(20000/12),SUMIF('Dept. Cost Actuals'!$E$7:$E$176,"*Software*",'Dept. Cost Actuals'!BA$355:BA$524))</f>
        <v>10122.067264260144</v>
      </c>
      <c r="AX27" s="668">
        <f>IF(AX$4="forecast",(AVERAGE(AL$27:AW$27)*1.3)+(20000/12),SUMIF('Dept. Cost Actuals'!$E$7:$E$176,"*Software*",'Dept. Cost Actuals'!BB$355:BB$524))</f>
        <v>10800.777259944001</v>
      </c>
      <c r="AY27" s="668">
        <f>IF(AY$4="forecast",(AVERAGE(AM$27:AX$27)*1.3)+(20000/12),SUMIF('Dept. Cost Actuals'!$E$7:$E$176,"*Software*",'Dept. Cost Actuals'!BC$355:BC$524))</f>
        <v>11509.710715966308</v>
      </c>
      <c r="AZ27" s="668">
        <f>IF(AZ$4="forecast",(AVERAGE(AN$27:AY$27)*1.3)+(20000/12),SUMIF('Dept. Cost Actuals'!$E$7:$E$176,"*Software*",'Dept. Cost Actuals'!BD$355:BD$524))</f>
        <v>12247.450632812161</v>
      </c>
      <c r="BA27" s="668">
        <f>IF(BA$4="forecast",(AVERAGE(AO$27:AZ$27)*1.3)+(20000/12),SUMIF('Dept. Cost Actuals'!$E$7:$E$176,"*Software*",'Dept. Cost Actuals'!BE$355:BE$524))</f>
        <v>13020.425091294173</v>
      </c>
      <c r="BB27" s="668">
        <f>IF(BB$4="forecast",(AVERAGE(AP$27:BA$27)*1.3)+(20000/12),SUMIF('Dept. Cost Actuals'!$E$7:$E$176,"*Software*",'Dept. Cost Actuals'!BF$355:BF$524))</f>
        <v>13819.103241687206</v>
      </c>
      <c r="BC27" s="668">
        <f>IF(BC$4="forecast",(AVERAGE(AQ$27:BB$27)*1.3)+(20000/12),SUMIF('Dept. Cost Actuals'!$E$7:$E$176,"*Software*",'Dept. Cost Actuals'!BG$355:BG$524))</f>
        <v>14639.982503107844</v>
      </c>
      <c r="BD27" s="668">
        <f>IF(BD$4="forecast",(AVERAGE(AR$27:BC$27)*1.3)+(20000/12),SUMIF('Dept. Cost Actuals'!$E$7:$E$176,"*Software*",'Dept. Cost Actuals'!BH$355:BH$524))</f>
        <v>15499.414328917641</v>
      </c>
      <c r="BE27" s="668">
        <f>IF(BE$4="forecast",(AVERAGE(AS$27:BD$27)*1.3)+(20000/12),SUMIF('Dept. Cost Actuals'!$E$7:$E$176,"*Software*",'Dept. Cost Actuals'!BI$355:BI$524))</f>
        <v>16398.533986893282</v>
      </c>
      <c r="BF27" s="668">
        <f>IF(BF$4="forecast",(AVERAGE(AT$27:BE$27)*1.3)+(20000/12),SUMIF('Dept. Cost Actuals'!$E$7:$E$176,"*Software*",'Dept. Cost Actuals'!BJ$355:BJ$524))</f>
        <v>17338.594310264747</v>
      </c>
      <c r="BG27" s="668">
        <f>IF(BG$4="forecast",(AVERAGE(AU$27:BF$27)*1.3)+(20000/12),SUMIF('Dept. Cost Actuals'!$E$7:$E$176,"*Software*",'Dept. Cost Actuals'!BK$355:BK$524))</f>
        <v>18320.622577443886</v>
      </c>
      <c r="BH27" s="668">
        <f>IF(BH$4="forecast",(AVERAGE(AV$27:BG$27)*1.3)+(20000/12),SUMIF('Dept. Cost Actuals'!$E$7:$E$176,"*Software*",'Dept. Cost Actuals'!BL$355:BL$524))</f>
        <v>19345.705470263845</v>
      </c>
      <c r="BI27" s="668">
        <f>IF(BI$4="forecast",(AVERAGE(AW$27:BH$27)*1.3)+(20000/12),SUMIF('Dept. Cost Actuals'!$E$7:$E$176,"*Software*",'Dept. Cost Actuals'!BM$355:BM$524))</f>
        <v>20415.091966475989</v>
      </c>
      <c r="BJ27" s="668">
        <f>IF(BJ$4="forecast",(AVERAGE(AX$27:BI$27)*1.3)+(20000/12),SUMIF('Dept. Cost Actuals'!$E$7:$E$176,"*Software*",'Dept. Cost Actuals'!BN$355:BN$524))</f>
        <v>21530.169642549368</v>
      </c>
      <c r="BK27" s="668">
        <f>IF(BK$4="forecast",(AVERAGE(AY$27:BJ$27)*1.3)+(20000/12),SUMIF('Dept. Cost Actuals'!$E$7:$E$176,"*Software*",'Dept. Cost Actuals'!BO$355:BO$524))</f>
        <v>22692.520483998283</v>
      </c>
      <c r="BL27" s="668">
        <f>IF(BL$4="forecast",(AVERAGE(AZ$27:BK$27)*1.3)+(20000/12),SUMIF('Dept. Cost Actuals'!$E$7:$E$176,"*Software*",'Dept. Cost Actuals'!BP$355:BP$524))</f>
        <v>23903.991542201748</v>
      </c>
      <c r="BM27" s="668">
        <f>IF(BM$4="forecast",(AVERAGE(BA$27:BL$27)*1.3)+(20000/12),SUMIF('Dept. Cost Actuals'!$E$7:$E$176,"*Software*",'Dept. Cost Actuals'!BQ$355:BQ$524))</f>
        <v>25166.783474052289</v>
      </c>
      <c r="BN27" s="668">
        <f>IF(BN$4="forecast",(AVERAGE(BB$27:BM$27)*1.3)+(20000/12),SUMIF('Dept. Cost Actuals'!$E$7:$E$176,"*Software*",'Dept. Cost Actuals'!BR$355:BR$524))</f>
        <v>26482.638965517752</v>
      </c>
      <c r="BO27" s="668">
        <f>IF(BO$4="forecast",(AVERAGE(BC$27:BN$27)*1.3)+(20000/12),SUMIF('Dept. Cost Actuals'!$E$7:$E$176,"*Software*",'Dept. Cost Actuals'!BS$355:BS$524))</f>
        <v>27854.522002266058</v>
      </c>
      <c r="BP27" s="668">
        <f>IF(BP$4="forecast",(AVERAGE(BD$27:BO$27)*1.3)+(20000/12),SUMIF('Dept. Cost Actuals'!$E$7:$E$176,"*Software*",'Dept. Cost Actuals'!BT$355:BT$524))</f>
        <v>29286.097114674863</v>
      </c>
      <c r="BQ27" s="668">
        <f>IF(BQ$4="forecast",(AVERAGE(BE$27:BP$27)*1.3)+(20000/12),SUMIF('Dept. Cost Actuals'!$E$7:$E$176,"*Software*",'Dept. Cost Actuals'!BU$355:BU$524))</f>
        <v>30779.65441646523</v>
      </c>
      <c r="BR27" s="668">
        <f>IF(BR$4="forecast",(AVERAGE(BF$27:BQ$27)*1.3)+(20000/12),SUMIF('Dept. Cost Actuals'!$E$7:$E$176,"*Software*",'Dept. Cost Actuals'!BV$355:BV$524))</f>
        <v>32337.609129668861</v>
      </c>
      <c r="BS27" s="668">
        <f>IF(BS$4="forecast",(AVERAGE(BG$27:BR$27)*1.3)+(20000/12),SUMIF('Dept. Cost Actuals'!$E$7:$E$176,"*Software*",'Dept. Cost Actuals'!BW$355:BW$524))</f>
        <v>33962.502401770973</v>
      </c>
      <c r="BT27" s="668">
        <f>IF(BT$4="forecast",(AVERAGE(BH$27:BS$27)*1.3)+(20000/12),SUMIF('Dept. Cost Actuals'!$E$7:$E$176,"*Software*",'Dept. Cost Actuals'!BX$355:BX$524))</f>
        <v>35657.039382739735</v>
      </c>
      <c r="BU27" s="668">
        <f>IF(BU$4="forecast",(AVERAGE(BI$27:BT$27)*1.3)+(20000/12),SUMIF('Dept. Cost Actuals'!$E$7:$E$176,"*Software*",'Dept. Cost Actuals'!BY$355:BY$524))</f>
        <v>37424.100556591293</v>
      </c>
      <c r="BV27" s="668">
        <f>IF(BV$4="forecast",(AVERAGE(BJ$27:BU$27)*1.3)+(20000/12),SUMIF('Dept. Cost Actuals'!$E$7:$E$176,"*Software*",'Dept. Cost Actuals'!BZ$355:BZ$524))</f>
        <v>39266.743153853786</v>
      </c>
    </row>
    <row r="28" spans="2:75" x14ac:dyDescent="0.25">
      <c r="B28" s="794" t="s">
        <v>1075</v>
      </c>
      <c r="C28" s="668">
        <f>IF(C$4="forecast",(AVERAGE(#REF!)),SUMIF('Dept. Cost Actuals'!$E$7:$E$176,"*Parking*",'Dept. Cost Actuals'!G$355:G$524))</f>
        <v>0</v>
      </c>
      <c r="D28" s="668">
        <f>IF(D$4="forecast",(AVERAGE(#REF!)),SUMIF('Dept. Cost Actuals'!$E$7:$E$176,"*Parking*",'Dept. Cost Actuals'!H$355:H$524))</f>
        <v>0</v>
      </c>
      <c r="E28" s="668">
        <f>IF(E$4="forecast",(AVERAGE(#REF!)),SUMIF('Dept. Cost Actuals'!$E$7:$E$176,"*Parking*",'Dept. Cost Actuals'!I$355:I$524))</f>
        <v>9</v>
      </c>
      <c r="F28" s="668">
        <f>IF(F$4="forecast",(AVERAGE(#REF!)),SUMIF('Dept. Cost Actuals'!$E$7:$E$176,"*Parking*",'Dept. Cost Actuals'!J$355:J$524))</f>
        <v>0</v>
      </c>
      <c r="G28" s="668">
        <f>IF(G$4="forecast",(AVERAGE(#REF!)),SUMIF('Dept. Cost Actuals'!$E$7:$E$176,"*Parking*",'Dept. Cost Actuals'!K$355:K$524))</f>
        <v>0</v>
      </c>
      <c r="H28" s="668">
        <f>IF(H$4="forecast",(AVERAGE(#REF!)),SUMIF('Dept. Cost Actuals'!$E$7:$E$176,"*Parking*",'Dept. Cost Actuals'!L$355:L$524))</f>
        <v>0</v>
      </c>
      <c r="I28" s="668">
        <f>IF(I$4="forecast",(AVERAGE(#REF!)),SUMIF('Dept. Cost Actuals'!$E$7:$E$176,"*Parking*",'Dept. Cost Actuals'!M$355:M$524))</f>
        <v>0</v>
      </c>
      <c r="J28" s="668">
        <f>IF(J$4="forecast",(AVERAGE(#REF!)),SUMIF('Dept. Cost Actuals'!$E$7:$E$176,"*Parking*",'Dept. Cost Actuals'!N$355:N$524))</f>
        <v>0</v>
      </c>
      <c r="K28" s="668">
        <f>IF(K$4="forecast",(AVERAGE(#REF!)),SUMIF('Dept. Cost Actuals'!$E$7:$E$176,"*Parking*",'Dept. Cost Actuals'!O$355:O$524))</f>
        <v>0</v>
      </c>
      <c r="L28" s="668">
        <f>IF(L$4="forecast",(AVERAGE(#REF!)),SUMIF('Dept. Cost Actuals'!$E$7:$E$176,"*Parking*",'Dept. Cost Actuals'!P$355:P$524))</f>
        <v>0</v>
      </c>
      <c r="M28" s="668">
        <f>IF(M$4="forecast",(AVERAGE(#REF!)),SUMIF('Dept. Cost Actuals'!$E$7:$E$176,"*Parking*",'Dept. Cost Actuals'!Q$355:Q$524))</f>
        <v>0</v>
      </c>
      <c r="N28" s="668">
        <f>IF(N$4="forecast",(AVERAGE(#REF!)),SUMIF('Dept. Cost Actuals'!$E$7:$E$176,"*Parking*",'Dept. Cost Actuals'!R$355:R$524))</f>
        <v>0</v>
      </c>
      <c r="O28" s="668">
        <f>IF(O$4="forecast",(AVERAGE(#REF!)),SUMIF('Dept. Cost Actuals'!$E$7:$E$176,"*Parking*",'Dept. Cost Actuals'!S$355:S$524))</f>
        <v>43.14</v>
      </c>
      <c r="P28" s="668">
        <f>IF(P$4="forecast",(AVERAGE(#REF!)),SUMIF('Dept. Cost Actuals'!$E$7:$E$176,"*Parking*",'Dept. Cost Actuals'!T$355:T$524))</f>
        <v>0</v>
      </c>
      <c r="Q28" s="668">
        <f>IF(Q$4="forecast",(AVERAGE(#REF!)),SUMIF('Dept. Cost Actuals'!$E$7:$E$176,"*Parking*",'Dept. Cost Actuals'!U$355:U$524))</f>
        <v>0</v>
      </c>
      <c r="R28" s="668">
        <f>IF(R$4="forecast",(AVERAGE(#REF!)),SUMIF('Dept. Cost Actuals'!$E$7:$E$176,"*Parking*",'Dept. Cost Actuals'!V$355:V$524))</f>
        <v>28</v>
      </c>
      <c r="S28" s="668">
        <f>IF(S$4="forecast",(AVERAGE(#REF!)),SUMIF('Dept. Cost Actuals'!$E$7:$E$176,"*Parking*",'Dept. Cost Actuals'!W$355:W$524))</f>
        <v>0</v>
      </c>
      <c r="T28" s="668">
        <f>IF(T$4="forecast",(AVERAGE(#REF!)),SUMIF('Dept. Cost Actuals'!$E$7:$E$176,"*Parking*",'Dept. Cost Actuals'!X$355:X$524))</f>
        <v>191.16</v>
      </c>
      <c r="U28" s="668">
        <f>IF(U$4="forecast",(AVERAGE(#REF!)),SUMIF('Dept. Cost Actuals'!$E$7:$E$176,"*Parking*",'Dept. Cost Actuals'!Y$355:Y$524))</f>
        <v>175</v>
      </c>
      <c r="V28" s="668">
        <f>IF(V$4="forecast",(AVERAGE(#REF!)),SUMIF('Dept. Cost Actuals'!$E$7:$E$176,"*Parking*",'Dept. Cost Actuals'!Z$355:Z$524))</f>
        <v>257</v>
      </c>
      <c r="W28" s="668">
        <f>IF(W$4="forecast",(AVERAGE(#REF!)),SUMIF('Dept. Cost Actuals'!$E$7:$E$176,"*Parking*",'Dept. Cost Actuals'!AA$355:AA$524))</f>
        <v>144.5</v>
      </c>
      <c r="X28" s="668">
        <f>IF(X$4="forecast",(AVERAGE(#REF!)),SUMIF('Dept. Cost Actuals'!$E$7:$E$176,"*Parking*",'Dept. Cost Actuals'!AB$355:AB$524))</f>
        <v>0</v>
      </c>
      <c r="Y28" s="668">
        <f>IF(Y$4="forecast",(AVERAGE(#REF!)),SUMIF('Dept. Cost Actuals'!$E$7:$E$176,"*Parking*",'Dept. Cost Actuals'!AC$355:AC$524))</f>
        <v>0</v>
      </c>
      <c r="Z28" s="668">
        <f>IF(Z$4="forecast",(AVERAGE(#REF!)),SUMIF('Dept. Cost Actuals'!$E$7:$E$176,"*Parking*",'Dept. Cost Actuals'!AD$355:AD$524))</f>
        <v>0</v>
      </c>
      <c r="AA28" s="668">
        <f>IF(AA$4="forecast",(AVERAGE(#REF!)),SUMIF('Dept. Cost Actuals'!$E$7:$E$176,"*Parking*",'Dept. Cost Actuals'!AE$355:AE$524))</f>
        <v>141</v>
      </c>
      <c r="AB28" s="668">
        <f>IF(AB$4="forecast",(AVERAGE(P28:AA28)),SUMIF('Dept. Cost Actuals'!$E$7:$E$176,"*Parking*",'Dept. Cost Actuals'!AF$355:AF$524))</f>
        <v>0</v>
      </c>
      <c r="AC28" s="668">
        <f>IF(AC$4="forecast",(AVERAGE(Q28:AB28)),SUMIF('Dept. Cost Actuals'!$E$7:$E$176,"*Parking*",'Dept. Cost Actuals'!AG$355:AG$524))</f>
        <v>106</v>
      </c>
      <c r="AD28" s="668">
        <f>IF(AD$4="forecast",(AVERAGE(R28:AC28)),SUMIF('Dept. Cost Actuals'!$E$7:$E$176,"*Parking*",'Dept. Cost Actuals'!AH$355:AH$524))</f>
        <v>86.888333333333321</v>
      </c>
      <c r="AE28" s="668">
        <f>IF(AE$4="forecast",(AVERAGE(S28:AD28)),SUMIF('Dept. Cost Actuals'!$E$7:$E$176,"*Parking*",'Dept. Cost Actuals'!AI$355:AI$524))</f>
        <v>91.795694444444436</v>
      </c>
      <c r="AF28" s="668">
        <f>IF(AF$4="forecast",(AVERAGE(T28:AE28)),SUMIF('Dept. Cost Actuals'!$E$7:$E$176,"*Parking*",'Dept. Cost Actuals'!AJ$355:AJ$524))</f>
        <v>99.445335648148145</v>
      </c>
      <c r="AG28" s="668">
        <f>IF(AG$4="forecast",(AVERAGE(U28:AF28)),SUMIF('Dept. Cost Actuals'!$E$7:$E$176,"*Parking*",'Dept. Cost Actuals'!AK$355:AK$524))</f>
        <v>91.802446952160494</v>
      </c>
      <c r="AH28" s="668">
        <f>IF(AH$4="forecast",(AVERAGE(V28:AG28)),SUMIF('Dept. Cost Actuals'!$E$7:$E$176,"*Parking*",'Dept. Cost Actuals'!AL$355:AL$524))</f>
        <v>84.869317531507193</v>
      </c>
      <c r="AI28" s="668">
        <f>IF(AI$4="forecast",(AVERAGE(W28:AH28)),SUMIF('Dept. Cost Actuals'!$E$7:$E$176,"*Parking*",'Dept. Cost Actuals'!AM$355:AM$524))</f>
        <v>70.525093992466125</v>
      </c>
      <c r="AJ28" s="668">
        <f>IF(AJ$4="forecast",(AVERAGE(X28:AI28)),SUMIF('Dept. Cost Actuals'!$E$7:$E$176,"*Parking*",'Dept. Cost Actuals'!AN$355:AN$524))</f>
        <v>64.360518491838306</v>
      </c>
      <c r="AK28" s="668">
        <f>IF(AK$4="forecast",(AVERAGE(Y28:AJ28)),SUMIF('Dept. Cost Actuals'!$E$7:$E$176,"*Parking*",'Dept. Cost Actuals'!AO$355:AO$524))</f>
        <v>69.723895032824842</v>
      </c>
      <c r="AL28" s="668">
        <f>IF(AL$4="forecast",(AVERAGE(Z28:AK28)),SUMIF('Dept. Cost Actuals'!$E$7:$E$176,"*Parking*",'Dept. Cost Actuals'!AP$355:AP$524))</f>
        <v>75.534219618893573</v>
      </c>
      <c r="AM28" s="668">
        <f>IF(AM$4="forecast",(AVERAGE(AA28:AL28)),SUMIF('Dept. Cost Actuals'!$E$7:$E$176,"*Parking*",'Dept. Cost Actuals'!AQ$355:AQ$524))</f>
        <v>81.828737920468043</v>
      </c>
      <c r="AN28" s="668">
        <f>IF(AN$4="forecast",(AVERAGE(AB28:AM28)),SUMIF('Dept. Cost Actuals'!$E$7:$E$176,"*Parking*",'Dept. Cost Actuals'!AR$355:AR$524))</f>
        <v>76.897799413840374</v>
      </c>
      <c r="AO28" s="668">
        <f>IF(AO$4="forecast",(AVERAGE(AC28:AN28)),SUMIF('Dept. Cost Actuals'!$E$7:$E$176,"*Parking*",'Dept. Cost Actuals'!AS$355:AS$524))</f>
        <v>83.305949364993737</v>
      </c>
      <c r="AP28" s="668">
        <f>IF(AP$4="forecast",(AVERAGE(AD28:AO28)),SUMIF('Dept. Cost Actuals'!$E$7:$E$176,"*Parking*",'Dept. Cost Actuals'!AT$355:AT$524))</f>
        <v>81.414778478743216</v>
      </c>
      <c r="AQ28" s="668">
        <f>IF(AQ$4="forecast",(AVERAGE(AE28:AP28)),SUMIF('Dept. Cost Actuals'!$E$7:$E$176,"*Parking*",'Dept. Cost Actuals'!AU$355:AU$524))</f>
        <v>80.958648907527376</v>
      </c>
      <c r="AR28" s="668">
        <f>IF(AR$4="forecast",(AVERAGE(AF28:AQ28)),SUMIF('Dept. Cost Actuals'!$E$7:$E$176,"*Parking*",'Dept. Cost Actuals'!AV$355:AV$524))</f>
        <v>80.05556177945094</v>
      </c>
      <c r="AS28" s="668">
        <f>IF(AS$4="forecast",(AVERAGE(AG28:AR28)),SUMIF('Dept. Cost Actuals'!$E$7:$E$176,"*Parking*",'Dept. Cost Actuals'!AW$355:AW$524))</f>
        <v>78.439747290392845</v>
      </c>
      <c r="AT28" s="668">
        <f>IF(AT$4="forecast",(AVERAGE(AH28:AS28)),SUMIF('Dept. Cost Actuals'!$E$7:$E$176,"*Parking*",'Dept. Cost Actuals'!AX$355:AX$524))</f>
        <v>77.326188985245537</v>
      </c>
      <c r="AU28" s="668">
        <f>IF(AU$4="forecast",(AVERAGE(AI28:AT28)),SUMIF('Dept. Cost Actuals'!$E$7:$E$176,"*Parking*",'Dept. Cost Actuals'!AY$355:AY$524))</f>
        <v>76.697594939723729</v>
      </c>
      <c r="AV28" s="668">
        <f>IF(AV$4="forecast",(AVERAGE(AJ28:AU28)),SUMIF('Dept. Cost Actuals'!$E$7:$E$176,"*Parking*",'Dept. Cost Actuals'!AZ$355:AZ$524))</f>
        <v>77.211970018661873</v>
      </c>
      <c r="AW28" s="668">
        <f>IF(AW$4="forecast",(AVERAGE(AK28:AV28)),SUMIF('Dept. Cost Actuals'!$E$7:$E$176,"*Parking*",'Dept. Cost Actuals'!BA$355:BA$524))</f>
        <v>78.282924312563836</v>
      </c>
      <c r="AX28" s="668">
        <f>IF(AX$4="forecast",(AVERAGE(AL28:AW28)),SUMIF('Dept. Cost Actuals'!$E$7:$E$176,"*Parking*",'Dept. Cost Actuals'!BB$355:BB$524))</f>
        <v>78.996176752542084</v>
      </c>
      <c r="AY28" s="668">
        <f>IF(AY$4="forecast",(AVERAGE(AM28:AX28)),SUMIF('Dept. Cost Actuals'!$E$7:$E$176,"*Parking*",'Dept. Cost Actuals'!BC$355:BC$524))</f>
        <v>79.284673180346132</v>
      </c>
      <c r="AZ28" s="668">
        <f>IF(AZ$4="forecast",(AVERAGE(AN28:AY28)),SUMIF('Dept. Cost Actuals'!$E$7:$E$176,"*Parking*",'Dept. Cost Actuals'!BD$355:BD$524))</f>
        <v>79.072667785335966</v>
      </c>
      <c r="BA28" s="668">
        <f>IF(BA$4="forecast",(AVERAGE(AO28:AZ28)),SUMIF('Dept. Cost Actuals'!$E$7:$E$176,"*Parking*",'Dept. Cost Actuals'!BE$355:BE$524))</f>
        <v>79.253906816293934</v>
      </c>
      <c r="BB28" s="668">
        <f>IF(BB$4="forecast",(AVERAGE(AP28:BA28)),SUMIF('Dept. Cost Actuals'!$E$7:$E$176,"*Parking*",'Dept. Cost Actuals'!BF$355:BF$524))</f>
        <v>78.916236603902291</v>
      </c>
      <c r="BC28" s="668">
        <f>IF(BC$4="forecast",(AVERAGE(AQ28:BB28)),SUMIF('Dept. Cost Actuals'!$E$7:$E$176,"*Parking*",'Dept. Cost Actuals'!BG$355:BG$524))</f>
        <v>78.708024780998869</v>
      </c>
      <c r="BD28" s="668">
        <f>IF(BD$4="forecast",(AVERAGE(AR28:BC28)),SUMIF('Dept. Cost Actuals'!$E$7:$E$176,"*Parking*",'Dept. Cost Actuals'!BH$355:BH$524))</f>
        <v>78.52047277045483</v>
      </c>
      <c r="BE28" s="668">
        <f>IF(BE$4="forecast",(AVERAGE(AS28:BD28)),SUMIF('Dept. Cost Actuals'!$E$7:$E$176,"*Parking*",'Dept. Cost Actuals'!BI$355:BI$524))</f>
        <v>78.392548686371825</v>
      </c>
      <c r="BF28" s="668">
        <f>IF(BF$4="forecast",(AVERAGE(AT28:BE28)),SUMIF('Dept. Cost Actuals'!$E$7:$E$176,"*Parking*",'Dept. Cost Actuals'!BJ$355:BJ$524))</f>
        <v>78.388615469370066</v>
      </c>
      <c r="BG28" s="668">
        <f>IF(BG$4="forecast",(AVERAGE(AU28:BF28)),SUMIF('Dept. Cost Actuals'!$E$7:$E$176,"*Parking*",'Dept. Cost Actuals'!BK$355:BK$524))</f>
        <v>78.477151009713779</v>
      </c>
      <c r="BH28" s="668">
        <f>IF(BH$4="forecast",(AVERAGE(AV28:BG28)),SUMIF('Dept. Cost Actuals'!$E$7:$E$176,"*Parking*",'Dept. Cost Actuals'!BL$355:BL$524))</f>
        <v>78.625447348879618</v>
      </c>
      <c r="BI28" s="668">
        <f>IF(BI$4="forecast",(AVERAGE(AW28:BH28)),SUMIF('Dept. Cost Actuals'!$E$7:$E$176,"*Parking*",'Dept. Cost Actuals'!BM$355:BM$524))</f>
        <v>78.743237126397773</v>
      </c>
      <c r="BJ28" s="668">
        <f>IF(BJ$4="forecast",(AVERAGE(AX28:BI28)),SUMIF('Dept. Cost Actuals'!$E$7:$E$176,"*Parking*",'Dept. Cost Actuals'!BN$355:BN$524))</f>
        <v>78.78159652755059</v>
      </c>
      <c r="BK28" s="668">
        <f>IF(BK$4="forecast",(AVERAGE(AY28:BJ28)),SUMIF('Dept. Cost Actuals'!$E$7:$E$176,"*Parking*",'Dept. Cost Actuals'!BO$355:BO$524))</f>
        <v>78.763714842134647</v>
      </c>
      <c r="BL28" s="668">
        <f>IF(BL$4="forecast",(AVERAGE(AZ28:BK28)),SUMIF('Dept. Cost Actuals'!$E$7:$E$176,"*Parking*",'Dept. Cost Actuals'!BP$355:BP$524))</f>
        <v>78.720301647283677</v>
      </c>
      <c r="BM28" s="668">
        <f>IF(BM$4="forecast",(AVERAGE(BA28:BL28)),SUMIF('Dept. Cost Actuals'!$E$7:$E$176,"*Parking*",'Dept. Cost Actuals'!BQ$355:BQ$524))</f>
        <v>78.690937802445987</v>
      </c>
      <c r="BN28" s="668">
        <f>IF(BN$4="forecast",(AVERAGE(BB28:BM28)),SUMIF('Dept. Cost Actuals'!$E$7:$E$176,"*Parking*",'Dept. Cost Actuals'!BR$355:BR$524))</f>
        <v>78.64402371795866</v>
      </c>
      <c r="BO28" s="668">
        <f>IF(BO$4="forecast",(AVERAGE(BC28:BN28)),SUMIF('Dept. Cost Actuals'!$E$7:$E$176,"*Parking*",'Dept. Cost Actuals'!BS$355:BS$524))</f>
        <v>78.621339310796699</v>
      </c>
      <c r="BP28" s="668">
        <f>IF(BP$4="forecast",(AVERAGE(BD28:BO28)),SUMIF('Dept. Cost Actuals'!$E$7:$E$176,"*Parking*",'Dept. Cost Actuals'!BT$355:BT$524))</f>
        <v>78.614115521613186</v>
      </c>
      <c r="BQ28" s="668">
        <f>IF(BQ$4="forecast",(AVERAGE(BE28:BP28)),SUMIF('Dept. Cost Actuals'!$E$7:$E$176,"*Parking*",'Dept. Cost Actuals'!BU$355:BU$524))</f>
        <v>78.621919084209708</v>
      </c>
      <c r="BR28" s="668">
        <f>IF(BR$4="forecast",(AVERAGE(BF28:BQ28)),SUMIF('Dept. Cost Actuals'!$E$7:$E$176,"*Parking*",'Dept. Cost Actuals'!BV$355:BV$524))</f>
        <v>78.641033284029533</v>
      </c>
      <c r="BS28" s="668">
        <f>IF(BS$4="forecast",(AVERAGE(BG28:BR28)),SUMIF('Dept. Cost Actuals'!$E$7:$E$176,"*Parking*",'Dept. Cost Actuals'!BW$355:BW$524))</f>
        <v>78.662068101917825</v>
      </c>
      <c r="BT28" s="668">
        <f>IF(BT$4="forecast",(AVERAGE(BH28:BS28)),SUMIF('Dept. Cost Actuals'!$E$7:$E$176,"*Parking*",'Dept. Cost Actuals'!BX$355:BX$524))</f>
        <v>78.677477859601495</v>
      </c>
      <c r="BU28" s="668">
        <f>IF(BU$4="forecast",(AVERAGE(BI28:BT28)),SUMIF('Dept. Cost Actuals'!$E$7:$E$176,"*Parking*",'Dept. Cost Actuals'!BY$355:BY$524))</f>
        <v>78.68181373549497</v>
      </c>
      <c r="BV28" s="790">
        <f>IF(BV$4="forecast",(AVERAGE(BJ28:BU28)),SUMIF('Dept. Cost Actuals'!$E$7:$E$176,"*Parking*",'Dept. Cost Actuals'!BZ$355:BZ$524))</f>
        <v>78.676695119586412</v>
      </c>
    </row>
    <row r="29" spans="2:75" x14ac:dyDescent="0.25">
      <c r="B29" s="795" t="s">
        <v>937</v>
      </c>
      <c r="C29" s="1156">
        <f t="shared" ref="C29:BN29" si="11">SUM(C17:C28,C14)</f>
        <v>50250.001049765735</v>
      </c>
      <c r="D29" s="1156">
        <f t="shared" si="11"/>
        <v>41788.472213466208</v>
      </c>
      <c r="E29" s="1156">
        <f t="shared" si="11"/>
        <v>50126.371143404118</v>
      </c>
      <c r="F29" s="1156">
        <f t="shared" si="11"/>
        <v>58681.625932833711</v>
      </c>
      <c r="G29" s="1156">
        <f t="shared" si="11"/>
        <v>50741.754421321784</v>
      </c>
      <c r="H29" s="1156">
        <f t="shared" si="11"/>
        <v>76162.538902647575</v>
      </c>
      <c r="I29" s="1156">
        <f t="shared" si="11"/>
        <v>82897.417867963595</v>
      </c>
      <c r="J29" s="1156">
        <f t="shared" si="11"/>
        <v>98659.831111047824</v>
      </c>
      <c r="K29" s="1156">
        <f t="shared" si="11"/>
        <v>96786.488196596314</v>
      </c>
      <c r="L29" s="1156">
        <f t="shared" si="11"/>
        <v>97647.97946620782</v>
      </c>
      <c r="M29" s="1156">
        <f t="shared" si="11"/>
        <v>136160.47156155758</v>
      </c>
      <c r="N29" s="1156">
        <f t="shared" si="11"/>
        <v>138820.52210161882</v>
      </c>
      <c r="O29" s="1156">
        <f t="shared" si="11"/>
        <v>147349.51999999999</v>
      </c>
      <c r="P29" s="1156">
        <f t="shared" si="11"/>
        <v>147631.69</v>
      </c>
      <c r="Q29" s="1156">
        <f t="shared" si="11"/>
        <v>226786.46000000002</v>
      </c>
      <c r="R29" s="1156">
        <f t="shared" si="11"/>
        <v>217716.35</v>
      </c>
      <c r="S29" s="1156">
        <f t="shared" si="11"/>
        <v>190246.78</v>
      </c>
      <c r="T29" s="1156">
        <f t="shared" si="11"/>
        <v>177485.96000000002</v>
      </c>
      <c r="U29" s="1156">
        <f t="shared" si="11"/>
        <v>193125.65</v>
      </c>
      <c r="V29" s="1156">
        <f t="shared" si="11"/>
        <v>184543.95</v>
      </c>
      <c r="W29" s="1156">
        <f t="shared" si="11"/>
        <v>183653.08000000002</v>
      </c>
      <c r="X29" s="1156">
        <f t="shared" si="11"/>
        <v>197496.38</v>
      </c>
      <c r="Y29" s="1156">
        <f t="shared" si="11"/>
        <v>176754.5</v>
      </c>
      <c r="Z29" s="1156">
        <f t="shared" si="11"/>
        <v>129549.37999999999</v>
      </c>
      <c r="AA29" s="1156">
        <f t="shared" si="11"/>
        <v>155185.57</v>
      </c>
      <c r="AB29" s="1156">
        <f t="shared" si="11"/>
        <v>179196.5</v>
      </c>
      <c r="AC29" s="1156">
        <f t="shared" si="11"/>
        <v>198174.74000000002</v>
      </c>
      <c r="AD29" s="1156">
        <f t="shared" si="11"/>
        <v>325704.71441613545</v>
      </c>
      <c r="AE29" s="1156">
        <f t="shared" si="11"/>
        <v>317391.19963638199</v>
      </c>
      <c r="AF29" s="1156">
        <f t="shared" si="11"/>
        <v>318520.69494439289</v>
      </c>
      <c r="AG29" s="1156">
        <f t="shared" si="11"/>
        <v>335440.0149897894</v>
      </c>
      <c r="AH29" s="1156">
        <f t="shared" si="11"/>
        <v>332082.8813258491</v>
      </c>
      <c r="AI29" s="1156">
        <f t="shared" si="11"/>
        <v>333422.50967305497</v>
      </c>
      <c r="AJ29" s="1156">
        <f t="shared" si="11"/>
        <v>350646.37320111023</v>
      </c>
      <c r="AK29" s="1156">
        <f t="shared" si="11"/>
        <v>347144.6641245418</v>
      </c>
      <c r="AL29" s="1156">
        <f t="shared" si="11"/>
        <v>349246.97766565718</v>
      </c>
      <c r="AM29" s="1156">
        <f t="shared" si="11"/>
        <v>352976.64064152108</v>
      </c>
      <c r="AN29" s="1156">
        <f t="shared" si="11"/>
        <v>360204.24385995057</v>
      </c>
      <c r="AO29" s="1156">
        <f t="shared" si="11"/>
        <v>362005.66821962217</v>
      </c>
      <c r="AP29" s="1156">
        <f t="shared" si="11"/>
        <v>362875.73112302332</v>
      </c>
      <c r="AQ29" s="1156">
        <f t="shared" si="11"/>
        <v>364394.55037314264</v>
      </c>
      <c r="AR29" s="1156">
        <f t="shared" si="11"/>
        <v>365930.16986019543</v>
      </c>
      <c r="AS29" s="1156">
        <f t="shared" si="11"/>
        <v>367497.53156508622</v>
      </c>
      <c r="AT29" s="1156">
        <f t="shared" si="11"/>
        <v>369107.43621114787</v>
      </c>
      <c r="AU29" s="1156">
        <f t="shared" si="11"/>
        <v>370750.10888145829</v>
      </c>
      <c r="AV29" s="1156">
        <f t="shared" si="11"/>
        <v>372420.11116889608</v>
      </c>
      <c r="AW29" s="1156">
        <f t="shared" si="11"/>
        <v>374118.67265621806</v>
      </c>
      <c r="AX29" s="1156">
        <f t="shared" si="11"/>
        <v>375872.67602981313</v>
      </c>
      <c r="AY29" s="1156">
        <f t="shared" si="11"/>
        <v>379867.78524542379</v>
      </c>
      <c r="AZ29" s="1156">
        <f t="shared" si="11"/>
        <v>388936.53006447601</v>
      </c>
      <c r="BA29" s="1156">
        <f t="shared" si="11"/>
        <v>390739.98036356119</v>
      </c>
      <c r="BB29" s="1156">
        <f t="shared" si="11"/>
        <v>392546.83925431466</v>
      </c>
      <c r="BC29" s="1156">
        <f t="shared" si="11"/>
        <v>394435.21640396595</v>
      </c>
      <c r="BD29" s="1156">
        <f t="shared" si="11"/>
        <v>396360.80777611199</v>
      </c>
      <c r="BE29" s="1156">
        <f t="shared" si="11"/>
        <v>398325.60874541721</v>
      </c>
      <c r="BF29" s="1156">
        <f t="shared" si="11"/>
        <v>400330.52725273219</v>
      </c>
      <c r="BG29" s="1156">
        <f t="shared" si="11"/>
        <v>402375.55671032565</v>
      </c>
      <c r="BH29" s="1156">
        <f t="shared" si="11"/>
        <v>404461.54537678621</v>
      </c>
      <c r="BI29" s="1156">
        <f t="shared" si="11"/>
        <v>406589.90252657962</v>
      </c>
      <c r="BJ29" s="1156">
        <f t="shared" si="11"/>
        <v>408762.09334977588</v>
      </c>
      <c r="BK29" s="1156">
        <f t="shared" si="11"/>
        <v>413312.06084489659</v>
      </c>
      <c r="BL29" s="1156">
        <f t="shared" si="11"/>
        <v>423125.53248652536</v>
      </c>
      <c r="BM29" s="1156">
        <f t="shared" si="11"/>
        <v>425474.09972894122</v>
      </c>
      <c r="BN29" s="1156">
        <f t="shared" si="11"/>
        <v>427877.83221404365</v>
      </c>
      <c r="BO29" s="1156">
        <f t="shared" ref="BO29:BV29" si="12">SUM(BO17:BO28,BO14)</f>
        <v>430341.74925756635</v>
      </c>
      <c r="BP29" s="1156">
        <f t="shared" si="12"/>
        <v>432864.855299121</v>
      </c>
      <c r="BQ29" s="1156">
        <f t="shared" si="12"/>
        <v>435449.51052166719</v>
      </c>
      <c r="BR29" s="1156">
        <f t="shared" si="12"/>
        <v>438098.13165389898</v>
      </c>
      <c r="BS29" s="1156">
        <f t="shared" si="12"/>
        <v>440813.29031902715</v>
      </c>
      <c r="BT29" s="1156">
        <f t="shared" si="12"/>
        <v>443597.81421761471</v>
      </c>
      <c r="BU29" s="1156">
        <f t="shared" si="12"/>
        <v>446454.73780825525</v>
      </c>
      <c r="BV29" s="1156">
        <f t="shared" si="12"/>
        <v>449387.27325526578</v>
      </c>
    </row>
    <row r="30" spans="2:75" x14ac:dyDescent="0.25">
      <c r="B30" s="783"/>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c r="AK30" s="156"/>
      <c r="AL30" s="156"/>
      <c r="AM30" s="156"/>
      <c r="AN30" s="156"/>
      <c r="AO30" s="156"/>
      <c r="AP30" s="156"/>
      <c r="AQ30" s="156"/>
      <c r="AR30" s="156"/>
      <c r="AS30" s="156"/>
      <c r="AT30" s="156"/>
      <c r="AU30" s="156"/>
      <c r="AV30" s="156"/>
      <c r="AW30" s="156"/>
      <c r="AX30" s="156"/>
      <c r="AY30" s="156"/>
      <c r="AZ30" s="156"/>
      <c r="BA30" s="156"/>
      <c r="BB30" s="156"/>
      <c r="BC30" s="156"/>
      <c r="BD30" s="156"/>
      <c r="BE30" s="156"/>
      <c r="BF30" s="156"/>
      <c r="BG30" s="156"/>
      <c r="BH30" s="156"/>
      <c r="BI30" s="156"/>
      <c r="BJ30" s="156"/>
      <c r="BK30" s="156"/>
      <c r="BL30" s="156"/>
      <c r="BM30" s="156"/>
      <c r="BN30" s="156"/>
      <c r="BO30" s="156"/>
      <c r="BP30" s="156"/>
      <c r="BQ30" s="156"/>
      <c r="BR30" s="156"/>
      <c r="BS30" s="156"/>
      <c r="BT30" s="156"/>
      <c r="BU30" s="156"/>
      <c r="BV30" s="784"/>
    </row>
    <row r="31" spans="2:75" x14ac:dyDescent="0.25">
      <c r="B31" s="855" t="s">
        <v>938</v>
      </c>
      <c r="C31" s="858"/>
      <c r="D31" s="858"/>
      <c r="E31" s="858"/>
      <c r="F31" s="858"/>
      <c r="G31" s="858"/>
      <c r="H31" s="858"/>
      <c r="I31" s="858"/>
      <c r="J31" s="858"/>
      <c r="K31" s="858"/>
      <c r="L31" s="858"/>
      <c r="M31" s="858"/>
      <c r="N31" s="858"/>
      <c r="O31" s="859"/>
      <c r="P31" s="859"/>
      <c r="Q31" s="859"/>
      <c r="R31" s="859"/>
      <c r="S31" s="859"/>
      <c r="T31" s="859"/>
      <c r="U31" s="859"/>
      <c r="V31" s="859"/>
      <c r="W31" s="859"/>
      <c r="X31" s="859"/>
      <c r="Y31" s="859"/>
      <c r="Z31" s="859"/>
      <c r="AA31" s="859"/>
      <c r="AB31" s="859"/>
      <c r="AC31" s="859"/>
      <c r="AD31" s="859"/>
      <c r="AE31" s="859"/>
      <c r="AF31" s="859"/>
      <c r="AG31" s="859"/>
      <c r="AH31" s="859"/>
      <c r="AI31" s="859"/>
      <c r="AJ31" s="859"/>
      <c r="AK31" s="859"/>
      <c r="AL31" s="859"/>
      <c r="AM31" s="859"/>
      <c r="AN31" s="859"/>
      <c r="AO31" s="859"/>
      <c r="AP31" s="859"/>
      <c r="AQ31" s="859"/>
      <c r="AR31" s="859"/>
      <c r="AS31" s="859"/>
      <c r="AT31" s="859"/>
      <c r="AU31" s="859"/>
      <c r="AV31" s="859"/>
      <c r="AW31" s="859"/>
      <c r="AX31" s="859"/>
      <c r="AY31" s="859"/>
      <c r="AZ31" s="859"/>
      <c r="BA31" s="859"/>
      <c r="BB31" s="859"/>
      <c r="BC31" s="859"/>
      <c r="BD31" s="859"/>
      <c r="BE31" s="859"/>
      <c r="BF31" s="859"/>
      <c r="BG31" s="859"/>
      <c r="BH31" s="859"/>
      <c r="BI31" s="859"/>
      <c r="BJ31" s="859"/>
      <c r="BK31" s="859"/>
      <c r="BL31" s="859"/>
      <c r="BM31" s="859"/>
      <c r="BN31" s="859"/>
      <c r="BO31" s="859"/>
      <c r="BP31" s="859"/>
      <c r="BQ31" s="859"/>
      <c r="BR31" s="859"/>
      <c r="BS31" s="859"/>
      <c r="BT31" s="859"/>
      <c r="BU31" s="859"/>
      <c r="BV31" s="860"/>
    </row>
    <row r="32" spans="2:75" x14ac:dyDescent="0.25">
      <c r="B32" s="793" t="s">
        <v>939</v>
      </c>
      <c r="C32" s="668">
        <f>IF(C$4="forecast",(40000/12),SUMIF('Dept. Cost Actuals'!$E$7:$E$176,"*Professional Fees*",'Dept. Cost Actuals'!G$355:G$524))</f>
        <v>8616</v>
      </c>
      <c r="D32" s="668">
        <f>IF(D$4="forecast",(40000/12),SUMIF('Dept. Cost Actuals'!$E$7:$E$176,"*Professional Fees*",'Dept. Cost Actuals'!H$355:H$524))</f>
        <v>11985.015593601727</v>
      </c>
      <c r="E32" s="668">
        <f>IF(E$4="forecast",(40000/12),SUMIF('Dept. Cost Actuals'!$E$7:$E$176,"*Professional Fees*",'Dept. Cost Actuals'!I$355:I$524))</f>
        <v>25778.66</v>
      </c>
      <c r="F32" s="668">
        <f>IF(F$4="forecast",(40000/12),SUMIF('Dept. Cost Actuals'!$E$7:$E$176,"*Professional Fees*",'Dept. Cost Actuals'!J$355:J$524))</f>
        <v>25840.583282245014</v>
      </c>
      <c r="G32" s="668">
        <f>IF(G$4="forecast",(40000/12),SUMIF('Dept. Cost Actuals'!$E$7:$E$176,"*Professional Fees*",'Dept. Cost Actuals'!K$355:K$524))</f>
        <v>27893.584481330963</v>
      </c>
      <c r="H32" s="668">
        <f>IF(H$4="forecast",(40000/12),SUMIF('Dept. Cost Actuals'!$E$7:$E$176,"*Professional Fees*",'Dept. Cost Actuals'!L$355:L$524))</f>
        <v>28219.524840046091</v>
      </c>
      <c r="I32" s="668">
        <f>IF(I$4="forecast",(40000/12),SUMIF('Dept. Cost Actuals'!$E$7:$E$176,"*Professional Fees*",'Dept. Cost Actuals'!M$355:M$524))</f>
        <v>31195.597507979561</v>
      </c>
      <c r="J32" s="668">
        <f>IF(J$4="forecast",(40000/12),SUMIF('Dept. Cost Actuals'!$E$7:$E$176,"*Professional Fees*",'Dept. Cost Actuals'!N$355:N$524))</f>
        <v>30369.671742454055</v>
      </c>
      <c r="K32" s="668">
        <f>IF(K$4="forecast",(40000/12),SUMIF('Dept. Cost Actuals'!$E$7:$E$176,"*Professional Fees*",'Dept. Cost Actuals'!O$355:O$524))</f>
        <v>36046.392632001538</v>
      </c>
      <c r="L32" s="668">
        <f>IF(L$4="forecast",(40000/12),SUMIF('Dept. Cost Actuals'!$E$7:$E$176,"*Professional Fees*",'Dept. Cost Actuals'!P$355:P$524))</f>
        <v>33708.99267757449</v>
      </c>
      <c r="M32" s="668">
        <f>IF(M$4="forecast",(40000/12),SUMIF('Dept. Cost Actuals'!$E$7:$E$176,"*Professional Fees*",'Dept. Cost Actuals'!Q$355:Q$524))</f>
        <v>41161.854995015412</v>
      </c>
      <c r="N32" s="668">
        <f>IF(N$4="forecast",(40000/12),SUMIF('Dept. Cost Actuals'!$E$7:$E$176,"*Professional Fees*",'Dept. Cost Actuals'!R$355:R$524))</f>
        <v>68064.846210471078</v>
      </c>
      <c r="O32" s="668">
        <f>IF(O$4="forecast",(40000/12),SUMIF('Dept. Cost Actuals'!$E$7:$E$176,"*Professional Fees*",'Dept. Cost Actuals'!S$355:S$524))</f>
        <v>25275.3</v>
      </c>
      <c r="P32" s="668">
        <f>IF(P$4="forecast",(40000/12),SUMIF('Dept. Cost Actuals'!$E$7:$E$176,"*Professional Fees*",'Dept. Cost Actuals'!T$355:T$524))</f>
        <v>33285.94</v>
      </c>
      <c r="Q32" s="668">
        <f>IF(Q$4="forecast",(40000/12),SUMIF('Dept. Cost Actuals'!$E$7:$E$176,"*Professional Fees*",'Dept. Cost Actuals'!U$355:U$524))</f>
        <v>22569.81</v>
      </c>
      <c r="R32" s="668">
        <f>IF(R$4="forecast",(40000/12),SUMIF('Dept. Cost Actuals'!$E$7:$E$176,"*Professional Fees*",'Dept. Cost Actuals'!V$355:V$524))</f>
        <v>44332.59</v>
      </c>
      <c r="S32" s="668">
        <f>IF(S$4="forecast",(40000/12),SUMIF('Dept. Cost Actuals'!$E$7:$E$176,"*Professional Fees*",'Dept. Cost Actuals'!W$355:W$524))</f>
        <v>38551.74</v>
      </c>
      <c r="T32" s="668">
        <f>IF(T$4="forecast",(40000/12),SUMIF('Dept. Cost Actuals'!$E$7:$E$176,"*Professional Fees*",'Dept. Cost Actuals'!X$355:X$524))</f>
        <v>13441.7</v>
      </c>
      <c r="U32" s="668">
        <f>IF(U$4="forecast",(40000/12),SUMIF('Dept. Cost Actuals'!$E$7:$E$176,"*Professional Fees*",'Dept. Cost Actuals'!Y$355:Y$524))</f>
        <v>92442.89</v>
      </c>
      <c r="V32" s="668">
        <f>IF(V$4="forecast",(40000/12),SUMIF('Dept. Cost Actuals'!$E$7:$E$176,"*Professional Fees*",'Dept. Cost Actuals'!Z$355:Z$524))</f>
        <v>64219.5</v>
      </c>
      <c r="W32" s="668">
        <f>IF(W$4="forecast",(40000/12),SUMIF('Dept. Cost Actuals'!$E$7:$E$176,"*Professional Fees*",'Dept. Cost Actuals'!AA$355:AA$524))</f>
        <v>57772.639999999999</v>
      </c>
      <c r="X32" s="668">
        <f>IF(X$4="forecast",(40000/12),SUMIF('Dept. Cost Actuals'!$E$7:$E$176,"*Professional Fees*",'Dept. Cost Actuals'!AB$355:AB$524))</f>
        <v>60730.34</v>
      </c>
      <c r="Y32" s="668">
        <f>IF(Y$4="forecast",(40000/12),SUMIF('Dept. Cost Actuals'!$E$7:$E$176,"*Professional Fees*",'Dept. Cost Actuals'!AC$355:AC$524))</f>
        <v>67048.78</v>
      </c>
      <c r="Z32" s="668">
        <f>IF(Z$4="forecast",(40000/12),SUMIF('Dept. Cost Actuals'!$E$7:$E$176,"*Professional Fees*",'Dept. Cost Actuals'!AD$355:AD$524))</f>
        <v>90162.65</v>
      </c>
      <c r="AA32" s="668">
        <f>IF(AA$4="forecast",(40000/12),SUMIF('Dept. Cost Actuals'!$E$7:$E$176,"*Professional Fees*",'Dept. Cost Actuals'!AE$355:AE$524))</f>
        <v>51846.7</v>
      </c>
      <c r="AB32" s="668">
        <f>IF(AB$4="forecast",(40000/12),SUMIF('Dept. Cost Actuals'!$E$7:$E$176,"*Professional Fees*",'Dept. Cost Actuals'!AF$355:AF$524))</f>
        <v>38032.089999999997</v>
      </c>
      <c r="AC32" s="668">
        <f>IF(AC$4="forecast",(40000/12),SUMIF('Dept. Cost Actuals'!$E$7:$E$176,"*Professional Fees*",'Dept. Cost Actuals'!AG$355:AG$524))</f>
        <v>53508.07</v>
      </c>
      <c r="AD32" s="668">
        <f>IF(AD$4="forecast",(40000/12),SUMIF('Dept. Cost Actuals'!$E$7:$E$176,"*Professional Fees*",'Dept. Cost Actuals'!AH$355:AH$524))</f>
        <v>3333.3333333333335</v>
      </c>
      <c r="AE32" s="668">
        <f>IF(AE$4="forecast",(40000/12),SUMIF('Dept. Cost Actuals'!$E$7:$E$176,"*Professional Fees*",'Dept. Cost Actuals'!AI$355:AI$524))</f>
        <v>3333.3333333333335</v>
      </c>
      <c r="AF32" s="668">
        <f>IF(AF$4="forecast",(40000/12),SUMIF('Dept. Cost Actuals'!$E$7:$E$176,"*Professional Fees*",'Dept. Cost Actuals'!AJ$355:AJ$524))</f>
        <v>3333.3333333333335</v>
      </c>
      <c r="AG32" s="668">
        <f>IF(AG$4="forecast",(40000/12),SUMIF('Dept. Cost Actuals'!$E$7:$E$176,"*Professional Fees*",'Dept. Cost Actuals'!AK$355:AK$524))</f>
        <v>3333.3333333333335</v>
      </c>
      <c r="AH32" s="668">
        <f>IF(AH$4="forecast",(40000/12),SUMIF('Dept. Cost Actuals'!$E$7:$E$176,"*Professional Fees*",'Dept. Cost Actuals'!AL$355:AL$524))</f>
        <v>3333.3333333333335</v>
      </c>
      <c r="AI32" s="668">
        <f>IF(AI$4="forecast",(40000/12),SUMIF('Dept. Cost Actuals'!$E$7:$E$176,"*Professional Fees*",'Dept. Cost Actuals'!AM$355:AM$524))</f>
        <v>3333.3333333333335</v>
      </c>
      <c r="AJ32" s="668">
        <f>IF(AJ$4="forecast",(40000/12),SUMIF('Dept. Cost Actuals'!$E$7:$E$176,"*Professional Fees*",'Dept. Cost Actuals'!AN$355:AN$524))</f>
        <v>3333.3333333333335</v>
      </c>
      <c r="AK32" s="668">
        <f>IF(AK$4="forecast",(40000/12),SUMIF('Dept. Cost Actuals'!$E$7:$E$176,"*Professional Fees*",'Dept. Cost Actuals'!AO$355:AO$524))</f>
        <v>3333.3333333333335</v>
      </c>
      <c r="AL32" s="668">
        <f>IF(AL$4="forecast",(40000/12),SUMIF('Dept. Cost Actuals'!$E$7:$E$176,"*Professional Fees*",'Dept. Cost Actuals'!AP$355:AP$524))</f>
        <v>3333.3333333333335</v>
      </c>
      <c r="AM32" s="668">
        <f>IF(AM$4="forecast",(40000/12),SUMIF('Dept. Cost Actuals'!$E$7:$E$176,"*Professional Fees*",'Dept. Cost Actuals'!AQ$355:AQ$524))</f>
        <v>3333.3333333333335</v>
      </c>
      <c r="AN32" s="668">
        <f>IF(AN$4="forecast",(40000/12),SUMIF('Dept. Cost Actuals'!$E$7:$E$176,"*Professional Fees*",'Dept. Cost Actuals'!AR$355:AR$524))</f>
        <v>3333.3333333333335</v>
      </c>
      <c r="AO32" s="668">
        <f>IF(AO$4="forecast",(40000/12),SUMIF('Dept. Cost Actuals'!$E$7:$E$176,"*Professional Fees*",'Dept. Cost Actuals'!AS$355:AS$524))</f>
        <v>3333.3333333333335</v>
      </c>
      <c r="AP32" s="668">
        <f>IF(AP$4="forecast",(40000/12),SUMIF('Dept. Cost Actuals'!$E$7:$E$176,"*Professional Fees*",'Dept. Cost Actuals'!AT$355:AT$524))</f>
        <v>3333.3333333333335</v>
      </c>
      <c r="AQ32" s="668">
        <f>IF(AQ$4="forecast",(40000/12),SUMIF('Dept. Cost Actuals'!$E$7:$E$176,"*Professional Fees*",'Dept. Cost Actuals'!AU$355:AU$524))</f>
        <v>3333.3333333333335</v>
      </c>
      <c r="AR32" s="668">
        <f>IF(AR$4="forecast",(40000/12),SUMIF('Dept. Cost Actuals'!$E$7:$E$176,"*Professional Fees*",'Dept. Cost Actuals'!AV$355:AV$524))</f>
        <v>3333.3333333333335</v>
      </c>
      <c r="AS32" s="668">
        <f>IF(AS$4="forecast",(40000/12),SUMIF('Dept. Cost Actuals'!$E$7:$E$176,"*Professional Fees*",'Dept. Cost Actuals'!AW$355:AW$524))</f>
        <v>3333.3333333333335</v>
      </c>
      <c r="AT32" s="668">
        <f>IF(AT$4="forecast",(40000/12),SUMIF('Dept. Cost Actuals'!$E$7:$E$176,"*Professional Fees*",'Dept. Cost Actuals'!AX$355:AX$524))</f>
        <v>3333.3333333333335</v>
      </c>
      <c r="AU32" s="668">
        <f>IF(AU$4="forecast",(40000/12),SUMIF('Dept. Cost Actuals'!$E$7:$E$176,"*Professional Fees*",'Dept. Cost Actuals'!AY$355:AY$524))</f>
        <v>3333.3333333333335</v>
      </c>
      <c r="AV32" s="668">
        <f>IF(AV$4="forecast",(40000/12),SUMIF('Dept. Cost Actuals'!$E$7:$E$176,"*Professional Fees*",'Dept. Cost Actuals'!AZ$355:AZ$524))</f>
        <v>3333.3333333333335</v>
      </c>
      <c r="AW32" s="668">
        <f>IF(AW$4="forecast",(40000/12),SUMIF('Dept. Cost Actuals'!$E$7:$E$176,"*Professional Fees*",'Dept. Cost Actuals'!BA$355:BA$524))</f>
        <v>3333.3333333333335</v>
      </c>
      <c r="AX32" s="668">
        <f>IF(AX$4="forecast",(40000/12),SUMIF('Dept. Cost Actuals'!$E$7:$E$176,"*Professional Fees*",'Dept. Cost Actuals'!BB$355:BB$524))</f>
        <v>3333.3333333333335</v>
      </c>
      <c r="AY32" s="668">
        <f>IF(AY$4="forecast",(40000/12),SUMIF('Dept. Cost Actuals'!$E$7:$E$176,"*Professional Fees*",'Dept. Cost Actuals'!BC$355:BC$524))</f>
        <v>3333.3333333333335</v>
      </c>
      <c r="AZ32" s="668">
        <f>IF(AZ$4="forecast",(40000/12),SUMIF('Dept. Cost Actuals'!$E$7:$E$176,"*Professional Fees*",'Dept. Cost Actuals'!BD$355:BD$524))</f>
        <v>3333.3333333333335</v>
      </c>
      <c r="BA32" s="668">
        <f>IF(BA$4="forecast",(40000/12),SUMIF('Dept. Cost Actuals'!$E$7:$E$176,"*Professional Fees*",'Dept. Cost Actuals'!BE$355:BE$524))</f>
        <v>3333.3333333333335</v>
      </c>
      <c r="BB32" s="668">
        <f>IF(BB$4="forecast",(40000/12),SUMIF('Dept. Cost Actuals'!$E$7:$E$176,"*Professional Fees*",'Dept. Cost Actuals'!BF$355:BF$524))</f>
        <v>3333.3333333333335</v>
      </c>
      <c r="BC32" s="668">
        <f>IF(BC$4="forecast",(40000/12),SUMIF('Dept. Cost Actuals'!$E$7:$E$176,"*Professional Fees*",'Dept. Cost Actuals'!BG$355:BG$524))</f>
        <v>3333.3333333333335</v>
      </c>
      <c r="BD32" s="668">
        <f>IF(BD$4="forecast",(40000/12),SUMIF('Dept. Cost Actuals'!$E$7:$E$176,"*Professional Fees*",'Dept. Cost Actuals'!BH$355:BH$524))</f>
        <v>3333.3333333333335</v>
      </c>
      <c r="BE32" s="668">
        <f>IF(BE$4="forecast",(40000/12),SUMIF('Dept. Cost Actuals'!$E$7:$E$176,"*Professional Fees*",'Dept. Cost Actuals'!BI$355:BI$524))</f>
        <v>3333.3333333333335</v>
      </c>
      <c r="BF32" s="668">
        <f>IF(BF$4="forecast",(40000/12),SUMIF('Dept. Cost Actuals'!$E$7:$E$176,"*Professional Fees*",'Dept. Cost Actuals'!BJ$355:BJ$524))</f>
        <v>3333.3333333333335</v>
      </c>
      <c r="BG32" s="668">
        <f>IF(BG$4="forecast",(40000/12),SUMIF('Dept. Cost Actuals'!$E$7:$E$176,"*Professional Fees*",'Dept. Cost Actuals'!BK$355:BK$524))</f>
        <v>3333.3333333333335</v>
      </c>
      <c r="BH32" s="668">
        <f>IF(BH$4="forecast",(40000/12),SUMIF('Dept. Cost Actuals'!$E$7:$E$176,"*Professional Fees*",'Dept. Cost Actuals'!BL$355:BL$524))</f>
        <v>3333.3333333333335</v>
      </c>
      <c r="BI32" s="668">
        <f>IF(BI$4="forecast",(40000/12),SUMIF('Dept. Cost Actuals'!$E$7:$E$176,"*Professional Fees*",'Dept. Cost Actuals'!BM$355:BM$524))</f>
        <v>3333.3333333333335</v>
      </c>
      <c r="BJ32" s="668">
        <f>IF(BJ$4="forecast",(40000/12),SUMIF('Dept. Cost Actuals'!$E$7:$E$176,"*Professional Fees*",'Dept. Cost Actuals'!BN$355:BN$524))</f>
        <v>3333.3333333333335</v>
      </c>
      <c r="BK32" s="668">
        <f>IF(BK$4="forecast",(40000/12),SUMIF('Dept. Cost Actuals'!$E$7:$E$176,"*Professional Fees*",'Dept. Cost Actuals'!BO$355:BO$524))</f>
        <v>3333.3333333333335</v>
      </c>
      <c r="BL32" s="668">
        <f>IF(BL$4="forecast",(40000/12),SUMIF('Dept. Cost Actuals'!$E$7:$E$176,"*Professional Fees*",'Dept. Cost Actuals'!BP$355:BP$524))</f>
        <v>3333.3333333333335</v>
      </c>
      <c r="BM32" s="668">
        <f>IF(BM$4="forecast",(40000/12),SUMIF('Dept. Cost Actuals'!$E$7:$E$176,"*Professional Fees*",'Dept. Cost Actuals'!BQ$355:BQ$524))</f>
        <v>3333.3333333333335</v>
      </c>
      <c r="BN32" s="668">
        <f>IF(BN$4="forecast",(40000/12),SUMIF('Dept. Cost Actuals'!$E$7:$E$176,"*Professional Fees*",'Dept. Cost Actuals'!BR$355:BR$524))</f>
        <v>3333.3333333333335</v>
      </c>
      <c r="BO32" s="668">
        <f>IF(BO$4="forecast",(40000/12),SUMIF('Dept. Cost Actuals'!$E$7:$E$176,"*Professional Fees*",'Dept. Cost Actuals'!BS$355:BS$524))</f>
        <v>3333.3333333333335</v>
      </c>
      <c r="BP32" s="668">
        <f>IF(BP$4="forecast",(40000/12),SUMIF('Dept. Cost Actuals'!$E$7:$E$176,"*Professional Fees*",'Dept. Cost Actuals'!BT$355:BT$524))</f>
        <v>3333.3333333333335</v>
      </c>
      <c r="BQ32" s="668">
        <f>IF(BQ$4="forecast",(40000/12),SUMIF('Dept. Cost Actuals'!$E$7:$E$176,"*Professional Fees*",'Dept. Cost Actuals'!BU$355:BU$524))</f>
        <v>3333.3333333333335</v>
      </c>
      <c r="BR32" s="668">
        <f>IF(BR$4="forecast",(40000/12),SUMIF('Dept. Cost Actuals'!$E$7:$E$176,"*Professional Fees*",'Dept. Cost Actuals'!BV$355:BV$524))</f>
        <v>3333.3333333333335</v>
      </c>
      <c r="BS32" s="668">
        <f>IF(BS$4="forecast",(40000/12),SUMIF('Dept. Cost Actuals'!$E$7:$E$176,"*Professional Fees*",'Dept. Cost Actuals'!BW$355:BW$524))</f>
        <v>3333.3333333333335</v>
      </c>
      <c r="BT32" s="668">
        <f>IF(BT$4="forecast",(40000/12),SUMIF('Dept. Cost Actuals'!$E$7:$E$176,"*Professional Fees*",'Dept. Cost Actuals'!BX$355:BX$524))</f>
        <v>3333.3333333333335</v>
      </c>
      <c r="BU32" s="668">
        <f>IF(BU$4="forecast",(40000/12),SUMIF('Dept. Cost Actuals'!$E$7:$E$176,"*Professional Fees*",'Dept. Cost Actuals'!BY$355:BY$524))</f>
        <v>3333.3333333333335</v>
      </c>
      <c r="BV32" s="790">
        <f>IF(BV$4="forecast",(40000/12),SUMIF('Dept. Cost Actuals'!$E$7:$E$176,"*Professional Fees*",'Dept. Cost Actuals'!BZ$355:BZ$524))</f>
        <v>3333.3333333333335</v>
      </c>
    </row>
    <row r="33" spans="2:74" x14ac:dyDescent="0.25">
      <c r="B33" s="794" t="s">
        <v>919</v>
      </c>
      <c r="C33" s="668">
        <f>IF(C$4="forecast",AVERAGE(#REF!),SUMIF('Dept. Cost Actuals'!$E$7:$E$176,"*Conferences*",'Dept. Cost Actuals'!G$355:G$524))</f>
        <v>0</v>
      </c>
      <c r="D33" s="668">
        <f>IF(D$4="forecast",AVERAGE(#REF!),SUMIF('Dept. Cost Actuals'!$E$7:$E$176,"*Conferences*",'Dept. Cost Actuals'!H$355:H$524))</f>
        <v>0</v>
      </c>
      <c r="E33" s="668">
        <f>IF(E$4="forecast",AVERAGE(#REF!),SUMIF('Dept. Cost Actuals'!$E$7:$E$176,"*Conferences*",'Dept. Cost Actuals'!I$355:I$524))</f>
        <v>0</v>
      </c>
      <c r="F33" s="668">
        <f>IF(F$4="forecast",AVERAGE(#REF!),SUMIF('Dept. Cost Actuals'!$E$7:$E$176,"*Conferences*",'Dept. Cost Actuals'!J$355:J$524))</f>
        <v>0</v>
      </c>
      <c r="G33" s="668">
        <f>IF(G$4="forecast",AVERAGE(#REF!),SUMIF('Dept. Cost Actuals'!$E$7:$E$176,"*Conferences*",'Dept. Cost Actuals'!K$355:K$524))</f>
        <v>0</v>
      </c>
      <c r="H33" s="668">
        <f>IF(H$4="forecast",AVERAGE(#REF!),SUMIF('Dept. Cost Actuals'!$E$7:$E$176,"*Conferences*",'Dept. Cost Actuals'!L$355:L$524))</f>
        <v>0</v>
      </c>
      <c r="I33" s="668">
        <f>IF(I$4="forecast",AVERAGE(#REF!),SUMIF('Dept. Cost Actuals'!$E$7:$E$176,"*Conferences*",'Dept. Cost Actuals'!M$355:M$524))</f>
        <v>230.12647538393063</v>
      </c>
      <c r="J33" s="668">
        <f>IF(J$4="forecast",AVERAGE(#REF!),SUMIF('Dept. Cost Actuals'!$E$7:$E$176,"*Conferences*",'Dept. Cost Actuals'!N$355:N$524))</f>
        <v>0</v>
      </c>
      <c r="K33" s="668">
        <f>IF(K$4="forecast",AVERAGE(#REF!),SUMIF('Dept. Cost Actuals'!$E$7:$E$176,"*Conferences*",'Dept. Cost Actuals'!O$355:O$524))</f>
        <v>181.30232150520879</v>
      </c>
      <c r="L33" s="668">
        <f>IF(L$4="forecast",AVERAGE(#REF!),SUMIF('Dept. Cost Actuals'!$E$7:$E$176,"*Conferences*",'Dept. Cost Actuals'!P$355:P$524))</f>
        <v>158.69493582128018</v>
      </c>
      <c r="M33" s="668">
        <f>IF(M$4="forecast",AVERAGE(#REF!),SUMIF('Dept. Cost Actuals'!$E$7:$E$176,"*Conferences*",'Dept. Cost Actuals'!Q$355:Q$524))</f>
        <v>0</v>
      </c>
      <c r="N33" s="668">
        <f>IF(N$4="forecast",AVERAGE(#REF!),SUMIF('Dept. Cost Actuals'!$E$7:$E$176,"*Conferences*",'Dept. Cost Actuals'!R$355:R$524))</f>
        <v>0</v>
      </c>
      <c r="O33" s="668">
        <f>IF(O$4="forecast",AVERAGE(#REF!),SUMIF('Dept. Cost Actuals'!$E$7:$E$176,"*Conferences*",'Dept. Cost Actuals'!S$355:S$524))</f>
        <v>0</v>
      </c>
      <c r="P33" s="668">
        <f>IF(P$4="forecast",AVERAGE(#REF!),SUMIF('Dept. Cost Actuals'!$E$7:$E$176,"*Conferences*",'Dept. Cost Actuals'!T$355:T$524))</f>
        <v>0</v>
      </c>
      <c r="Q33" s="668">
        <f>IF(Q$4="forecast",AVERAGE(#REF!),SUMIF('Dept. Cost Actuals'!$E$7:$E$176,"*Conferences*",'Dept. Cost Actuals'!U$355:U$524))</f>
        <v>0</v>
      </c>
      <c r="R33" s="668">
        <f>IF(R$4="forecast",AVERAGE(#REF!),SUMIF('Dept. Cost Actuals'!$E$7:$E$176,"*Conferences*",'Dept. Cost Actuals'!V$355:V$524))</f>
        <v>0</v>
      </c>
      <c r="S33" s="668">
        <f>IF(S$4="forecast",AVERAGE(#REF!),SUMIF('Dept. Cost Actuals'!$E$7:$E$176,"*Conferences*",'Dept. Cost Actuals'!W$355:W$524))</f>
        <v>414.62</v>
      </c>
      <c r="T33" s="668">
        <f>IF(T$4="forecast",AVERAGE(#REF!),SUMIF('Dept. Cost Actuals'!$E$7:$E$176,"*Conferences*",'Dept. Cost Actuals'!X$355:X$524))</f>
        <v>525.26</v>
      </c>
      <c r="U33" s="668">
        <f>IF(U$4="forecast",AVERAGE(#REF!),SUMIF('Dept. Cost Actuals'!$E$7:$E$176,"*Conferences*",'Dept. Cost Actuals'!Y$355:Y$524))</f>
        <v>1122.46</v>
      </c>
      <c r="V33" s="668">
        <f>IF(V$4="forecast",AVERAGE(#REF!),SUMIF('Dept. Cost Actuals'!$E$7:$E$176,"*Conferences*",'Dept. Cost Actuals'!Z$355:Z$524))</f>
        <v>0</v>
      </c>
      <c r="W33" s="668">
        <f>IF(W$4="forecast",AVERAGE(#REF!),SUMIF('Dept. Cost Actuals'!$E$7:$E$176,"*Conferences*",'Dept. Cost Actuals'!AA$355:AA$524))</f>
        <v>0</v>
      </c>
      <c r="X33" s="668">
        <f>IF(X$4="forecast",AVERAGE(#REF!),SUMIF('Dept. Cost Actuals'!$E$7:$E$176,"*Conferences*",'Dept. Cost Actuals'!AB$355:AB$524))</f>
        <v>990</v>
      </c>
      <c r="Y33" s="668">
        <f>IF(Y$4="forecast",AVERAGE(#REF!),SUMIF('Dept. Cost Actuals'!$E$7:$E$176,"*Conferences*",'Dept. Cost Actuals'!AC$355:AC$524))</f>
        <v>1267.72</v>
      </c>
      <c r="Z33" s="668">
        <f>IF(Z$4="forecast",AVERAGE(#REF!),SUMIF('Dept. Cost Actuals'!$E$7:$E$176,"*Conferences*",'Dept. Cost Actuals'!AD$355:AD$524))</f>
        <v>0</v>
      </c>
      <c r="AA33" s="668">
        <f>IF(AA$4="forecast",AVERAGE(O33:Z33),SUMIF('Dept. Cost Actuals'!$E$7:$E$176,"*Conferences*",'Dept. Cost Actuals'!AE$355:AE$524))</f>
        <v>0</v>
      </c>
      <c r="AB33" s="668">
        <f>IF(AB$4="forecast",AVERAGE(P33:AA33),SUMIF('Dept. Cost Actuals'!$E$7:$E$176,"*Conferences*",'Dept. Cost Actuals'!AF$355:AF$524))</f>
        <v>0</v>
      </c>
      <c r="AC33" s="668">
        <f>IF(AC$4="forecast",AVERAGE(Q33:AB33),SUMIF('Dept. Cost Actuals'!$E$7:$E$176,"*Conferences*",'Dept. Cost Actuals'!AG$355:AG$524))</f>
        <v>0</v>
      </c>
      <c r="AD33" s="668">
        <f>IF(AD$4="forecast",AVERAGE(R33:AC33)+1000,SUMIF('Dept. Cost Actuals'!$E$7:$E$176,"*Conferences*",'Dept. Cost Actuals'!AH$355:AH$524))</f>
        <v>1360.0050000000001</v>
      </c>
      <c r="AE33" s="668">
        <f>IF(AE$4="forecast",AVERAGE(S33:AD33),SUMIF('Dept. Cost Actuals'!$E$7:$E$176,"*Conferences*",'Dept. Cost Actuals'!AI$355:AI$524))</f>
        <v>473.33875000000006</v>
      </c>
      <c r="AF33" s="668">
        <f>IF(AF$4="forecast",AVERAGE(T33:AE33),SUMIF('Dept. Cost Actuals'!$E$7:$E$176,"*Conferences*",'Dept. Cost Actuals'!AJ$355:AJ$524))</f>
        <v>478.23197916666669</v>
      </c>
      <c r="AG33" s="668">
        <f>IF(AG$4="forecast",AVERAGE(U33:AF33),SUMIF('Dept. Cost Actuals'!$E$7:$E$176,"*Conferences*",'Dept. Cost Actuals'!AK$355:AK$524))</f>
        <v>474.31297743055558</v>
      </c>
      <c r="AH33" s="668">
        <f>IF(AH$4="forecast",AVERAGE(V33:AG33),SUMIF('Dept. Cost Actuals'!$E$7:$E$176,"*Conferences*",'Dept. Cost Actuals'!AL$355:AL$524))</f>
        <v>420.30072554976852</v>
      </c>
      <c r="AI33" s="668">
        <f>IF(AI$4="forecast",AVERAGE(W33:AH33),SUMIF('Dept. Cost Actuals'!$E$7:$E$176,"*Conferences*",'Dept. Cost Actuals'!AM$355:AM$524))</f>
        <v>455.32578601224924</v>
      </c>
      <c r="AJ33" s="668">
        <f>IF(AJ$4="forecast",AVERAGE(X33:AI33),SUMIF('Dept. Cost Actuals'!$E$7:$E$176,"*Conferences*",'Dept. Cost Actuals'!AN$355:AN$524))</f>
        <v>493.26960151327006</v>
      </c>
      <c r="AK33" s="668">
        <f>IF(AK$4="forecast",AVERAGE(Y33:AJ33),SUMIF('Dept. Cost Actuals'!$E$7:$E$176,"*Conferences*",'Dept. Cost Actuals'!AO$355:AO$524))</f>
        <v>451.87540163937587</v>
      </c>
      <c r="AL33" s="668">
        <f>IF(AL$4="forecast",AVERAGE(Z33:AK33),SUMIF('Dept. Cost Actuals'!$E$7:$E$176,"*Conferences*",'Dept. Cost Actuals'!AP$355:AP$524))</f>
        <v>383.88835177599054</v>
      </c>
      <c r="AM33" s="668">
        <f>IF(AM$4="forecast",AVERAGE(AA33:AL33),SUMIF('Dept. Cost Actuals'!$E$7:$E$176,"*Conferences*",'Dept. Cost Actuals'!AQ$355:AQ$524))</f>
        <v>415.87904775732312</v>
      </c>
      <c r="AN33" s="668">
        <f>IF(AN$4="forecast",AVERAGE(AB33:AM33),SUMIF('Dept. Cost Actuals'!$E$7:$E$176,"*Conferences*",'Dept. Cost Actuals'!AR$355:AR$524))</f>
        <v>450.53563507043333</v>
      </c>
      <c r="AO33" s="668">
        <f>IF(AO$4="forecast",AVERAGE(AC33:AN33),SUMIF('Dept. Cost Actuals'!$E$7:$E$176,"*Conferences*",'Dept. Cost Actuals'!AS$355:AS$524))</f>
        <v>488.08027132630281</v>
      </c>
      <c r="AP33" s="668">
        <f>IF(AP$4="forecast",AVERAGE(AD33:AO33),SUMIF('Dept. Cost Actuals'!$E$7:$E$176,"*Conferences*",'Dept. Cost Actuals'!AT$355:AT$524))</f>
        <v>528.75362727016136</v>
      </c>
      <c r="AQ33" s="668">
        <f>IF(AQ$4="forecast",AVERAGE(AE33:AP33),SUMIF('Dept. Cost Actuals'!$E$7:$E$176,"*Conferences*",'Dept. Cost Actuals'!AU$355:AU$524))</f>
        <v>459.48267954267476</v>
      </c>
      <c r="AR33" s="668">
        <f>IF(AR$4="forecast",AVERAGE(AF33:AQ33),SUMIF('Dept. Cost Actuals'!$E$7:$E$176,"*Conferences*",'Dept. Cost Actuals'!AV$355:AV$524))</f>
        <v>458.3280070045642</v>
      </c>
      <c r="AS33" s="668">
        <f>IF(AS$4="forecast",AVERAGE(AG33:AR33),SUMIF('Dept. Cost Actuals'!$E$7:$E$176,"*Conferences*",'Dept. Cost Actuals'!AW$355:AW$524))</f>
        <v>456.66934265772244</v>
      </c>
      <c r="AT33" s="668">
        <f>IF(AT$4="forecast",AVERAGE(AH33:AS33),SUMIF('Dept. Cost Actuals'!$E$7:$E$176,"*Conferences*",'Dept. Cost Actuals'!AX$355:AX$524))</f>
        <v>455.19903975998631</v>
      </c>
      <c r="AU33" s="668">
        <f>IF(AU$4="forecast",AVERAGE(AI33:AT33),SUMIF('Dept. Cost Actuals'!$E$7:$E$176,"*Conferences*",'Dept. Cost Actuals'!AY$355:AY$524))</f>
        <v>458.1072326108378</v>
      </c>
      <c r="AV33" s="668">
        <f>IF(AV$4="forecast",AVERAGE(AJ33:AU33),SUMIF('Dept. Cost Actuals'!$E$7:$E$176,"*Conferences*",'Dept. Cost Actuals'!AZ$355:AZ$524))</f>
        <v>458.33901982738689</v>
      </c>
      <c r="AW33" s="668">
        <f>IF(AW$4="forecast",AVERAGE(AK33:AV33),SUMIF('Dept. Cost Actuals'!$E$7:$E$176,"*Conferences*",'Dept. Cost Actuals'!BA$355:BA$524))</f>
        <v>455.42813802022994</v>
      </c>
      <c r="AX33" s="668">
        <f>IF(AX$4="forecast",AVERAGE(AL33:AW33),SUMIF('Dept. Cost Actuals'!$E$7:$E$176,"*Conferences*",'Dept. Cost Actuals'!BB$355:BB$524))</f>
        <v>455.72419938530112</v>
      </c>
      <c r="AY33" s="668">
        <f>IF(AY$4="forecast",AVERAGE(AM33:AX33),SUMIF('Dept. Cost Actuals'!$E$7:$E$176,"*Conferences*",'Dept. Cost Actuals'!BC$355:BC$524))</f>
        <v>461.7105200194103</v>
      </c>
      <c r="AZ33" s="668">
        <f>IF(AZ$4="forecast",AVERAGE(AN33:AY33),SUMIF('Dept. Cost Actuals'!$E$7:$E$176,"*Conferences*",'Dept. Cost Actuals'!BD$355:BD$524))</f>
        <v>465.52980937458432</v>
      </c>
      <c r="BA33" s="668">
        <f>IF(BA$4="forecast",AVERAGE(AO33:AZ33),SUMIF('Dept. Cost Actuals'!$E$7:$E$176,"*Conferences*",'Dept. Cost Actuals'!BE$355:BE$524))</f>
        <v>466.77932389993015</v>
      </c>
      <c r="BB33" s="668">
        <f>IF(BB$4="forecast",AVERAGE(AP33:BA33),SUMIF('Dept. Cost Actuals'!$E$7:$E$176,"*Conferences*",'Dept. Cost Actuals'!BF$355:BF$524))</f>
        <v>465.00424494773239</v>
      </c>
      <c r="BC33" s="668">
        <f>IF(BC$4="forecast",AVERAGE(AQ33:BB33),SUMIF('Dept. Cost Actuals'!$E$7:$E$176,"*Conferences*",'Dept. Cost Actuals'!BG$355:BG$524))</f>
        <v>459.69179642086334</v>
      </c>
      <c r="BD33" s="668">
        <f>IF(BD$4="forecast",AVERAGE(AR33:BC33),SUMIF('Dept. Cost Actuals'!$E$7:$E$176,"*Conferences*",'Dept. Cost Actuals'!BH$355:BH$524))</f>
        <v>459.70922282737911</v>
      </c>
      <c r="BE33" s="668">
        <f>IF(BE$4="forecast",AVERAGE(AS33:BD33),SUMIF('Dept. Cost Actuals'!$E$7:$E$176,"*Conferences*",'Dept. Cost Actuals'!BI$355:BI$524))</f>
        <v>459.82432414594706</v>
      </c>
      <c r="BF33" s="668">
        <f>IF(BF$4="forecast",AVERAGE(AT33:BE33),SUMIF('Dept. Cost Actuals'!$E$7:$E$176,"*Conferences*",'Dept. Cost Actuals'!BJ$355:BJ$524))</f>
        <v>460.08723926996566</v>
      </c>
      <c r="BG33" s="668">
        <f>IF(BG$4="forecast",AVERAGE(AU33:BF33),SUMIF('Dept. Cost Actuals'!$E$7:$E$176,"*Conferences*",'Dept. Cost Actuals'!BK$355:BK$524))</f>
        <v>460.49458922913067</v>
      </c>
      <c r="BH33" s="668">
        <f>IF(BH$4="forecast",AVERAGE(AV33:BG33),SUMIF('Dept. Cost Actuals'!$E$7:$E$176,"*Conferences*",'Dept. Cost Actuals'!BL$355:BL$524))</f>
        <v>460.69353561398839</v>
      </c>
      <c r="BI33" s="668">
        <f>IF(BI$4="forecast",AVERAGE(AW33:BH33),SUMIF('Dept. Cost Actuals'!$E$7:$E$176,"*Conferences*",'Dept. Cost Actuals'!BM$355:BM$524))</f>
        <v>460.88974526287188</v>
      </c>
      <c r="BJ33" s="668">
        <f>IF(BJ$4="forecast",AVERAGE(AX33:BI33),SUMIF('Dept. Cost Actuals'!$E$7:$E$176,"*Conferences*",'Dept. Cost Actuals'!BN$355:BN$524))</f>
        <v>461.34487919975868</v>
      </c>
      <c r="BK33" s="668">
        <f>IF(BK$4="forecast",AVERAGE(AY33:BJ33),SUMIF('Dept. Cost Actuals'!$E$7:$E$176,"*Conferences*",'Dept. Cost Actuals'!BO$355:BO$524))</f>
        <v>461.81326918429681</v>
      </c>
      <c r="BL33" s="668">
        <f>IF(BL$4="forecast",AVERAGE(AZ33:BK33),SUMIF('Dept. Cost Actuals'!$E$7:$E$176,"*Conferences*",'Dept. Cost Actuals'!BP$355:BP$524))</f>
        <v>461.82183161470408</v>
      </c>
      <c r="BM33" s="668">
        <f>IF(BM$4="forecast",AVERAGE(BA33:BL33),SUMIF('Dept. Cost Actuals'!$E$7:$E$176,"*Conferences*",'Dept. Cost Actuals'!BQ$355:BQ$524))</f>
        <v>461.51283346804735</v>
      </c>
      <c r="BN33" s="668">
        <f>IF(BN$4="forecast",AVERAGE(BB33:BM33),SUMIF('Dept. Cost Actuals'!$E$7:$E$176,"*Conferences*",'Dept. Cost Actuals'!BR$355:BR$524))</f>
        <v>461.07395926539044</v>
      </c>
      <c r="BO33" s="668">
        <f>IF(BO$4="forecast",AVERAGE(BC33:BN33),SUMIF('Dept. Cost Actuals'!$E$7:$E$176,"*Conferences*",'Dept. Cost Actuals'!BS$355:BS$524))</f>
        <v>460.74643545852865</v>
      </c>
      <c r="BP33" s="668">
        <f>IF(BP$4="forecast",AVERAGE(BD33:BO33),SUMIF('Dept. Cost Actuals'!$E$7:$E$176,"*Conferences*",'Dept. Cost Actuals'!BT$355:BT$524))</f>
        <v>460.83432204500082</v>
      </c>
      <c r="BQ33" s="668">
        <f>IF(BQ$4="forecast",AVERAGE(BE33:BP33),SUMIF('Dept. Cost Actuals'!$E$7:$E$176,"*Conferences*",'Dept. Cost Actuals'!BU$355:BU$524))</f>
        <v>460.92808031313592</v>
      </c>
      <c r="BR33" s="668">
        <f>IF(BR$4="forecast",AVERAGE(BF33:BQ33),SUMIF('Dept. Cost Actuals'!$E$7:$E$176,"*Conferences*",'Dept. Cost Actuals'!BV$355:BV$524))</f>
        <v>461.020059993735</v>
      </c>
      <c r="BS33" s="668">
        <f>IF(BS$4="forecast",AVERAGE(BG33:BR33),SUMIF('Dept. Cost Actuals'!$E$7:$E$176,"*Conferences*",'Dept. Cost Actuals'!BW$355:BW$524))</f>
        <v>461.09779505404907</v>
      </c>
      <c r="BT33" s="668">
        <f>IF(BT$4="forecast",AVERAGE(BH33:BS33),SUMIF('Dept. Cost Actuals'!$E$7:$E$176,"*Conferences*",'Dept. Cost Actuals'!BX$355:BX$524))</f>
        <v>461.14806220612559</v>
      </c>
      <c r="BU33" s="668">
        <f>IF(BU$4="forecast",AVERAGE(BI33:BT33),SUMIF('Dept. Cost Actuals'!$E$7:$E$176,"*Conferences*",'Dept. Cost Actuals'!BY$355:BY$524))</f>
        <v>461.18593942213698</v>
      </c>
      <c r="BV33" s="790">
        <f>IF(BV$4="forecast",AVERAGE(BJ33:BU33),SUMIF('Dept. Cost Actuals'!$E$7:$E$176,"*Conferences*",'Dept. Cost Actuals'!BZ$355:BZ$524))</f>
        <v>461.2106222687425</v>
      </c>
    </row>
    <row r="34" spans="2:74" x14ac:dyDescent="0.25">
      <c r="B34" s="794" t="s">
        <v>940</v>
      </c>
      <c r="C34" s="668">
        <f>IF(C$4="forecast",AVERAGE(#REF!),SUMIF('Dept. Cost Actuals'!$E$7:$E$176,"*Books and Periodicals*",'Dept. Cost Actuals'!G$355:G$524))</f>
        <v>0</v>
      </c>
      <c r="D34" s="668">
        <f>IF(D$4="forecast",AVERAGE(#REF!),SUMIF('Dept. Cost Actuals'!$E$7:$E$176,"*Books and Periodicals*",'Dept. Cost Actuals'!H$355:H$524))</f>
        <v>13.24091236110238</v>
      </c>
      <c r="E34" s="668">
        <f>IF(E$4="forecast",AVERAGE(#REF!),SUMIF('Dept. Cost Actuals'!$E$7:$E$176,"*Books and Periodicals*",'Dept. Cost Actuals'!I$355:I$524))</f>
        <v>3.1257403222224931</v>
      </c>
      <c r="F34" s="668">
        <f>IF(F$4="forecast",AVERAGE(#REF!),SUMIF('Dept. Cost Actuals'!$E$7:$E$176,"*Books and Periodicals*",'Dept. Cost Actuals'!J$355:J$524))</f>
        <v>32.352611487768627</v>
      </c>
      <c r="G34" s="668">
        <f>IF(G$4="forecast",AVERAGE(#REF!),SUMIF('Dept. Cost Actuals'!$E$7:$E$176,"*Books and Periodicals*",'Dept. Cost Actuals'!K$355:K$524))</f>
        <v>5.6912038609798126</v>
      </c>
      <c r="H34" s="668">
        <f>IF(H$4="forecast",AVERAGE(#REF!),SUMIF('Dept. Cost Actuals'!$E$7:$E$176,"*Books and Periodicals*",'Dept. Cost Actuals'!L$355:L$524))</f>
        <v>53.233676764225166</v>
      </c>
      <c r="I34" s="668">
        <f>IF(I$4="forecast",AVERAGE(#REF!),SUMIF('Dept. Cost Actuals'!$E$7:$E$176,"*Books and Periodicals*",'Dept. Cost Actuals'!M$355:M$524))</f>
        <v>2.4895910782827846</v>
      </c>
      <c r="J34" s="668">
        <f>IF(J$4="forecast",AVERAGE(#REF!),SUMIF('Dept. Cost Actuals'!$E$7:$E$176,"*Books and Periodicals*",'Dept. Cost Actuals'!N$355:N$524))</f>
        <v>21.143625085320924</v>
      </c>
      <c r="K34" s="668">
        <f>IF(K$4="forecast",AVERAGE(#REF!),SUMIF('Dept. Cost Actuals'!$E$7:$E$176,"*Books and Periodicals*",'Dept. Cost Actuals'!O$355:O$524))</f>
        <v>26.284304060217647</v>
      </c>
      <c r="L34" s="668">
        <f>IF(L$4="forecast",AVERAGE(#REF!),SUMIF('Dept. Cost Actuals'!$E$7:$E$176,"*Books and Periodicals*",'Dept. Cost Actuals'!P$355:P$524))</f>
        <v>126.33358851741201</v>
      </c>
      <c r="M34" s="668">
        <f>IF(M$4="forecast",AVERAGE(#REF!),SUMIF('Dept. Cost Actuals'!$E$7:$E$176,"*Books and Periodicals*",'Dept. Cost Actuals'!Q$355:Q$524))</f>
        <v>0</v>
      </c>
      <c r="N34" s="668">
        <f>IF(N$4="forecast",AVERAGE(#REF!),SUMIF('Dept. Cost Actuals'!$E$7:$E$176,"*Books and Periodicals*",'Dept. Cost Actuals'!R$355:R$524))</f>
        <v>0</v>
      </c>
      <c r="O34" s="668">
        <f>IF(O$4="forecast",AVERAGE(#REF!),SUMIF('Dept. Cost Actuals'!$E$7:$E$176,"*Books and Periodicals*",'Dept. Cost Actuals'!S$355:S$524))</f>
        <v>0</v>
      </c>
      <c r="P34" s="668">
        <f>IF(P$4="forecast",AVERAGE(#REF!),SUMIF('Dept. Cost Actuals'!$E$7:$E$176,"*Books and Periodicals*",'Dept. Cost Actuals'!T$355:T$524))</f>
        <v>0</v>
      </c>
      <c r="Q34" s="668">
        <f>IF(Q$4="forecast",AVERAGE(#REF!),SUMIF('Dept. Cost Actuals'!$E$7:$E$176,"*Books and Periodicals*",'Dept. Cost Actuals'!U$355:U$524))</f>
        <v>65.22</v>
      </c>
      <c r="R34" s="668">
        <f>IF(R$4="forecast",AVERAGE(#REF!),SUMIF('Dept. Cost Actuals'!$E$7:$E$176,"*Books and Periodicals*",'Dept. Cost Actuals'!V$355:V$524))</f>
        <v>0</v>
      </c>
      <c r="S34" s="668">
        <f>IF(S$4="forecast",AVERAGE(#REF!),SUMIF('Dept. Cost Actuals'!$E$7:$E$176,"*Books and Periodicals*",'Dept. Cost Actuals'!W$355:W$524))</f>
        <v>131.72999999999999</v>
      </c>
      <c r="T34" s="668">
        <f>IF(T$4="forecast",AVERAGE(#REF!),SUMIF('Dept. Cost Actuals'!$E$7:$E$176,"*Books and Periodicals*",'Dept. Cost Actuals'!X$355:X$524))</f>
        <v>173.78</v>
      </c>
      <c r="U34" s="668">
        <f>IF(U$4="forecast",AVERAGE(#REF!),SUMIF('Dept. Cost Actuals'!$E$7:$E$176,"*Books and Periodicals*",'Dept. Cost Actuals'!Y$355:Y$524))</f>
        <v>28.81</v>
      </c>
      <c r="V34" s="668">
        <f>IF(V$4="forecast",AVERAGE(#REF!),SUMIF('Dept. Cost Actuals'!$E$7:$E$176,"*Books and Periodicals*",'Dept. Cost Actuals'!Z$355:Z$524))</f>
        <v>31.19</v>
      </c>
      <c r="W34" s="668">
        <f>IF(W$4="forecast",AVERAGE(#REF!),SUMIF('Dept. Cost Actuals'!$E$7:$E$176,"*Books and Periodicals*",'Dept. Cost Actuals'!AA$355:AA$524))</f>
        <v>0</v>
      </c>
      <c r="X34" s="668">
        <f>IF(X$4="forecast",AVERAGE(#REF!),SUMIF('Dept. Cost Actuals'!$E$7:$E$176,"*Books and Periodicals*",'Dept. Cost Actuals'!AB$355:AB$524))</f>
        <v>0</v>
      </c>
      <c r="Y34" s="668">
        <f>IF(Y$4="forecast",AVERAGE(#REF!),SUMIF('Dept. Cost Actuals'!$E$7:$E$176,"*Books and Periodicals*",'Dept. Cost Actuals'!AC$355:AC$524))</f>
        <v>0</v>
      </c>
      <c r="Z34" s="668">
        <f>IF(Z$4="forecast",AVERAGE(#REF!),SUMIF('Dept. Cost Actuals'!$E$7:$E$176,"*Books and Periodicals*",'Dept. Cost Actuals'!AD$355:AD$524))</f>
        <v>0</v>
      </c>
      <c r="AA34" s="668">
        <f>IF(AA$4="forecast",AVERAGE(O34:Z34),SUMIF('Dept. Cost Actuals'!$E$7:$E$176,"*Books and Periodicals*",'Dept. Cost Actuals'!AE$355:AE$524))</f>
        <v>0</v>
      </c>
      <c r="AB34" s="668">
        <f>IF(AB$4="forecast",AVERAGE(P34:AA34),SUMIF('Dept. Cost Actuals'!$E$7:$E$176,"*Books and Periodicals*",'Dept. Cost Actuals'!AF$355:AF$524))</f>
        <v>0</v>
      </c>
      <c r="AC34" s="668">
        <f>IF(AC$4="forecast",AVERAGE(Q34:AB34),SUMIF('Dept. Cost Actuals'!$E$7:$E$176,"*Books and Periodicals*",'Dept. Cost Actuals'!AG$355:AG$524))</f>
        <v>0</v>
      </c>
      <c r="AD34" s="668">
        <f>IF(AD$4="forecast",AVERAGE(R34:AC34),SUMIF('Dept. Cost Actuals'!$E$7:$E$176,"*Books and Periodicals*",'Dept. Cost Actuals'!AH$355:AH$524))</f>
        <v>30.459166666666665</v>
      </c>
      <c r="AE34" s="668">
        <f>IF(AE$4="forecast",AVERAGE(S34:AD34),SUMIF('Dept. Cost Actuals'!$E$7:$E$176,"*Books and Periodicals*",'Dept. Cost Actuals'!AI$355:AI$524))</f>
        <v>32.997430555555553</v>
      </c>
      <c r="AF34" s="668">
        <f>IF(AF$4="forecast",AVERAGE(T34:AE34),SUMIF('Dept. Cost Actuals'!$E$7:$E$176,"*Books and Periodicals*",'Dept. Cost Actuals'!AJ$355:AJ$524))</f>
        <v>24.769716435185188</v>
      </c>
      <c r="AG34" s="668">
        <f>IF(AG$4="forecast",AVERAGE(U34:AF34),SUMIF('Dept. Cost Actuals'!$E$7:$E$176,"*Books and Periodicals*",'Dept. Cost Actuals'!AK$355:AK$524))</f>
        <v>12.352192804783948</v>
      </c>
      <c r="AH34" s="668">
        <f>IF(AH$4="forecast",AVERAGE(V34:AG34),SUMIF('Dept. Cost Actuals'!$E$7:$E$176,"*Books and Periodicals*",'Dept. Cost Actuals'!AL$355:AL$524))</f>
        <v>10.980708871849281</v>
      </c>
      <c r="AI34" s="668">
        <f>IF(AI$4="forecast",AVERAGE(W34:AH34),SUMIF('Dept. Cost Actuals'!$E$7:$E$176,"*Books and Periodicals*",'Dept. Cost Actuals'!AM$355:AM$524))</f>
        <v>9.2966012778367197</v>
      </c>
      <c r="AJ34" s="668">
        <f>IF(AJ$4="forecast",AVERAGE(X34:AI34),SUMIF('Dept. Cost Actuals'!$E$7:$E$176,"*Books and Periodicals*",'Dept. Cost Actuals'!AN$355:AN$524))</f>
        <v>10.071318050989779</v>
      </c>
      <c r="AK34" s="668">
        <f>IF(AK$4="forecast",AVERAGE(Y34:AJ34),SUMIF('Dept. Cost Actuals'!$E$7:$E$176,"*Books and Periodicals*",'Dept. Cost Actuals'!AO$355:AO$524))</f>
        <v>10.910594555238928</v>
      </c>
      <c r="AL34" s="668">
        <f>IF(AL$4="forecast",AVERAGE(Z34:AK34),SUMIF('Dept. Cost Actuals'!$E$7:$E$176,"*Books and Periodicals*",'Dept. Cost Actuals'!AP$355:AP$524))</f>
        <v>11.819810768175506</v>
      </c>
      <c r="AM34" s="668">
        <f>IF(AM$4="forecast",AVERAGE(AA34:AL34),SUMIF('Dept. Cost Actuals'!$E$7:$E$176,"*Books and Periodicals*",'Dept. Cost Actuals'!AQ$355:AQ$524))</f>
        <v>12.804794998856798</v>
      </c>
      <c r="AN34" s="668">
        <f>IF(AN$4="forecast",AVERAGE(AB34:AM34),SUMIF('Dept. Cost Actuals'!$E$7:$E$176,"*Books and Periodicals*",'Dept. Cost Actuals'!AR$355:AR$524))</f>
        <v>13.871861248761531</v>
      </c>
      <c r="AO34" s="668">
        <f>IF(AO$4="forecast",AVERAGE(AC34:AN34),SUMIF('Dept. Cost Actuals'!$E$7:$E$176,"*Books and Periodicals*",'Dept. Cost Actuals'!AS$355:AS$524))</f>
        <v>15.027849686158325</v>
      </c>
      <c r="AP34" s="668">
        <f>IF(AP$4="forecast",AVERAGE(AD34:AO34),SUMIF('Dept. Cost Actuals'!$E$7:$E$176,"*Books and Periodicals*",'Dept. Cost Actuals'!AT$355:AT$524))</f>
        <v>16.280170493338186</v>
      </c>
      <c r="AQ34" s="668">
        <f>IF(AQ$4="forecast",AVERAGE(AE34:AP34),SUMIF('Dept. Cost Actuals'!$E$7:$E$176,"*Books and Periodicals*",'Dept. Cost Actuals'!AU$355:AU$524))</f>
        <v>15.098587478894144</v>
      </c>
      <c r="AR34" s="668">
        <f>IF(AR$4="forecast",AVERAGE(AF34:AQ34),SUMIF('Dept. Cost Actuals'!$E$7:$E$176,"*Books and Periodicals*",'Dept. Cost Actuals'!AV$355:AV$524))</f>
        <v>13.607017222505691</v>
      </c>
      <c r="AS34" s="668">
        <f>IF(AS$4="forecast",AVERAGE(AG34:AR34),SUMIF('Dept. Cost Actuals'!$E$7:$E$176,"*Books and Periodicals*",'Dept. Cost Actuals'!AW$355:AW$524))</f>
        <v>12.676792288115736</v>
      </c>
      <c r="AT34" s="668">
        <f>IF(AT$4="forecast",AVERAGE(AH34:AS34),SUMIF('Dept. Cost Actuals'!$E$7:$E$176,"*Books and Periodicals*",'Dept. Cost Actuals'!AX$355:AX$524))</f>
        <v>12.703842245060052</v>
      </c>
      <c r="AU34" s="668">
        <f>IF(AU$4="forecast",AVERAGE(AI34:AT34),SUMIF('Dept. Cost Actuals'!$E$7:$E$176,"*Books and Periodicals*",'Dept. Cost Actuals'!AY$355:AY$524))</f>
        <v>12.847436692827616</v>
      </c>
      <c r="AV34" s="668">
        <f>IF(AV$4="forecast",AVERAGE(AJ34:AU34),SUMIF('Dept. Cost Actuals'!$E$7:$E$176,"*Books and Periodicals*",'Dept. Cost Actuals'!AZ$355:AZ$524))</f>
        <v>13.143339644076859</v>
      </c>
      <c r="AW34" s="668">
        <f>IF(AW$4="forecast",AVERAGE(AK34:AV34),SUMIF('Dept. Cost Actuals'!$E$7:$E$176,"*Books and Periodicals*",'Dept. Cost Actuals'!BA$355:BA$524))</f>
        <v>13.399341443500781</v>
      </c>
      <c r="AX34" s="668">
        <f>IF(AX$4="forecast",AVERAGE(AL34:AW34),SUMIF('Dept. Cost Actuals'!$E$7:$E$176,"*Books and Periodicals*",'Dept. Cost Actuals'!BB$355:BB$524))</f>
        <v>13.606737017522603</v>
      </c>
      <c r="AY34" s="668">
        <f>IF(AY$4="forecast",AVERAGE(AM34:AX34),SUMIF('Dept. Cost Actuals'!$E$7:$E$176,"*Books and Periodicals*",'Dept. Cost Actuals'!BC$355:BC$524))</f>
        <v>13.755647538301526</v>
      </c>
      <c r="AZ34" s="668">
        <f>IF(AZ$4="forecast",AVERAGE(AN34:AY34),SUMIF('Dept. Cost Actuals'!$E$7:$E$176,"*Books and Periodicals*",'Dept. Cost Actuals'!BD$355:BD$524))</f>
        <v>13.834885249921919</v>
      </c>
      <c r="BA34" s="668">
        <f>IF(BA$4="forecast",AVERAGE(AO34:AZ34),SUMIF('Dept. Cost Actuals'!$E$7:$E$176,"*Books and Periodicals*",'Dept. Cost Actuals'!BE$355:BE$524))</f>
        <v>13.831803916685287</v>
      </c>
      <c r="BB34" s="668">
        <f>IF(BB$4="forecast",AVERAGE(AP34:BA34),SUMIF('Dept. Cost Actuals'!$E$7:$E$176,"*Books and Periodicals*",'Dept. Cost Actuals'!BF$355:BF$524))</f>
        <v>13.732133435895866</v>
      </c>
      <c r="BC34" s="668">
        <f>IF(BC$4="forecast",AVERAGE(AQ34:BB34),SUMIF('Dept. Cost Actuals'!$E$7:$E$176,"*Books and Periodicals*",'Dept. Cost Actuals'!BG$355:BG$524))</f>
        <v>13.519797014442341</v>
      </c>
      <c r="BD34" s="668">
        <f>IF(BD$4="forecast",AVERAGE(AR34:BC34),SUMIF('Dept. Cost Actuals'!$E$7:$E$176,"*Books and Periodicals*",'Dept. Cost Actuals'!BH$355:BH$524))</f>
        <v>13.38823114240469</v>
      </c>
      <c r="BE34" s="668">
        <f>IF(BE$4="forecast",AVERAGE(AS34:BD34),SUMIF('Dept. Cost Actuals'!$E$7:$E$176,"*Books and Periodicals*",'Dept. Cost Actuals'!BI$355:BI$524))</f>
        <v>13.369998969062941</v>
      </c>
      <c r="BF34" s="668">
        <f>IF(BF$4="forecast",AVERAGE(AT34:BE34),SUMIF('Dept. Cost Actuals'!$E$7:$E$176,"*Books and Periodicals*",'Dept. Cost Actuals'!BJ$355:BJ$524))</f>
        <v>13.427766192475209</v>
      </c>
      <c r="BG34" s="668">
        <f>IF(BG$4="forecast",AVERAGE(AU34:BF34),SUMIF('Dept. Cost Actuals'!$E$7:$E$176,"*Books and Periodicals*",'Dept. Cost Actuals'!BK$355:BK$524))</f>
        <v>13.488093188093139</v>
      </c>
      <c r="BH34" s="668">
        <f>IF(BH$4="forecast",AVERAGE(AV34:BG34),SUMIF('Dept. Cost Actuals'!$E$7:$E$176,"*Books and Periodicals*",'Dept. Cost Actuals'!BL$355:BL$524))</f>
        <v>13.541481229365266</v>
      </c>
      <c r="BI34" s="668">
        <f>IF(BI$4="forecast",AVERAGE(AW34:BH34),SUMIF('Dept. Cost Actuals'!$E$7:$E$176,"*Books and Periodicals*",'Dept. Cost Actuals'!BM$355:BM$524))</f>
        <v>13.574659694805964</v>
      </c>
      <c r="BJ34" s="668">
        <f>IF(BJ$4="forecast",AVERAGE(AX34:BI34),SUMIF('Dept. Cost Actuals'!$E$7:$E$176,"*Books and Periodicals*",'Dept. Cost Actuals'!BN$355:BN$524))</f>
        <v>13.589269549081399</v>
      </c>
      <c r="BK34" s="668">
        <f>IF(BK$4="forecast",AVERAGE(AY34:BJ34),SUMIF('Dept. Cost Actuals'!$E$7:$E$176,"*Books and Periodicals*",'Dept. Cost Actuals'!BO$355:BO$524))</f>
        <v>13.587813926711297</v>
      </c>
      <c r="BL34" s="668">
        <f>IF(BL$4="forecast",AVERAGE(AZ34:BK34),SUMIF('Dept. Cost Actuals'!$E$7:$E$176,"*Books and Periodicals*",'Dept. Cost Actuals'!BP$355:BP$524))</f>
        <v>13.573827792412109</v>
      </c>
      <c r="BM34" s="668">
        <f>IF(BM$4="forecast",AVERAGE(BA34:BL34),SUMIF('Dept. Cost Actuals'!$E$7:$E$176,"*Books and Periodicals*",'Dept. Cost Actuals'!BQ$355:BQ$524))</f>
        <v>13.552073004286292</v>
      </c>
      <c r="BN34" s="668">
        <f>IF(BN$4="forecast",AVERAGE(BB34:BM34),SUMIF('Dept. Cost Actuals'!$E$7:$E$176,"*Books and Periodicals*",'Dept. Cost Actuals'!BR$355:BR$524))</f>
        <v>13.528762094919708</v>
      </c>
      <c r="BO34" s="668">
        <f>IF(BO$4="forecast",AVERAGE(BC34:BN34),SUMIF('Dept. Cost Actuals'!$E$7:$E$176,"*Books and Periodicals*",'Dept. Cost Actuals'!BS$355:BS$524))</f>
        <v>13.511814483171692</v>
      </c>
      <c r="BP34" s="668">
        <f>IF(BP$4="forecast",AVERAGE(BD34:BO34),SUMIF('Dept. Cost Actuals'!$E$7:$E$176,"*Books and Periodicals*",'Dept. Cost Actuals'!BT$355:BT$524))</f>
        <v>13.511149272232473</v>
      </c>
      <c r="BQ34" s="668">
        <f>IF(BQ$4="forecast",AVERAGE(BE34:BP34),SUMIF('Dept. Cost Actuals'!$E$7:$E$176,"*Books and Periodicals*",'Dept. Cost Actuals'!BU$355:BU$524))</f>
        <v>13.521392449718121</v>
      </c>
      <c r="BR34" s="668">
        <f>IF(BR$4="forecast",AVERAGE(BF34:BQ34),SUMIF('Dept. Cost Actuals'!$E$7:$E$176,"*Books and Periodicals*",'Dept. Cost Actuals'!BV$355:BV$524))</f>
        <v>13.534008573106057</v>
      </c>
      <c r="BS34" s="668">
        <f>IF(BS$4="forecast",AVERAGE(BG34:BR34),SUMIF('Dept. Cost Actuals'!$E$7:$E$176,"*Books and Periodicals*",'Dept. Cost Actuals'!BW$355:BW$524))</f>
        <v>13.542862104825295</v>
      </c>
      <c r="BT34" s="668">
        <f>IF(BT$4="forecast",AVERAGE(BH34:BS34),SUMIF('Dept. Cost Actuals'!$E$7:$E$176,"*Books and Periodicals*",'Dept. Cost Actuals'!BX$355:BX$524))</f>
        <v>13.54742618121964</v>
      </c>
      <c r="BU34" s="668">
        <f>IF(BU$4="forecast",AVERAGE(BI34:BT34),SUMIF('Dept. Cost Actuals'!$E$7:$E$176,"*Books and Periodicals*",'Dept. Cost Actuals'!BY$355:BY$524))</f>
        <v>13.547921593874172</v>
      </c>
      <c r="BV34" s="790">
        <f>IF(BV$4="forecast",AVERAGE(BJ34:BU34),SUMIF('Dept. Cost Actuals'!$E$7:$E$176,"*Books and Periodicals*",'Dept. Cost Actuals'!BZ$355:BZ$524))</f>
        <v>13.545693418796523</v>
      </c>
    </row>
    <row r="35" spans="2:74" x14ac:dyDescent="0.25">
      <c r="B35" s="794" t="s">
        <v>941</v>
      </c>
      <c r="C35" s="668">
        <f>IF(C$4="forecast",AVERAGE(#REF!),SUMIF('Dept. Cost Actuals'!$E$7:$E$176,"*Postage and Delivery*",'Dept. Cost Actuals'!G$355:G$524))</f>
        <v>8.5249564038485364</v>
      </c>
      <c r="D35" s="668">
        <f>IF(D$4="forecast",AVERAGE(#REF!),SUMIF('Dept. Cost Actuals'!$E$7:$E$176,"*Postage and Delivery*",'Dept. Cost Actuals'!H$355:H$524))</f>
        <v>4.5473355807858669</v>
      </c>
      <c r="E35" s="668">
        <f>IF(E$4="forecast",AVERAGE(#REF!),SUMIF('Dept. Cost Actuals'!$E$7:$E$176,"*Postage and Delivery*",'Dept. Cost Actuals'!I$355:I$524))</f>
        <v>0</v>
      </c>
      <c r="F35" s="668">
        <f>IF(F$4="forecast",AVERAGE(#REF!),SUMIF('Dept. Cost Actuals'!$E$7:$E$176,"*Postage and Delivery*",'Dept. Cost Actuals'!J$355:J$524))</f>
        <v>8.1966152943318669</v>
      </c>
      <c r="G35" s="668">
        <f>IF(G$4="forecast",AVERAGE(#REF!),SUMIF('Dept. Cost Actuals'!$E$7:$E$176,"*Postage and Delivery*",'Dept. Cost Actuals'!K$355:K$524))</f>
        <v>72.416772421020156</v>
      </c>
      <c r="H35" s="668">
        <f>IF(H$4="forecast",AVERAGE(#REF!),SUMIF('Dept. Cost Actuals'!$E$7:$E$176,"*Postage and Delivery*",'Dept. Cost Actuals'!L$355:L$524))</f>
        <v>2.7908917915224842</v>
      </c>
      <c r="I35" s="668">
        <f>IF(I$4="forecast",AVERAGE(#REF!),SUMIF('Dept. Cost Actuals'!$E$7:$E$176,"*Postage and Delivery*",'Dept. Cost Actuals'!M$355:M$524))</f>
        <v>0</v>
      </c>
      <c r="J35" s="668">
        <f>IF(J$4="forecast",AVERAGE(#REF!),SUMIF('Dept. Cost Actuals'!$E$7:$E$176,"*Postage and Delivery*",'Dept. Cost Actuals'!N$355:N$524))</f>
        <v>6.5148266907367001</v>
      </c>
      <c r="K35" s="668">
        <f>IF(K$4="forecast",AVERAGE(#REF!),SUMIF('Dept. Cost Actuals'!$E$7:$E$176,"*Postage and Delivery*",'Dept. Cost Actuals'!O$355:O$524))</f>
        <v>1.9467336771621795</v>
      </c>
      <c r="L35" s="668">
        <f>IF(L$4="forecast",AVERAGE(#REF!),SUMIF('Dept. Cost Actuals'!$E$7:$E$176,"*Postage and Delivery*",'Dept. Cost Actuals'!P$355:P$524))</f>
        <v>30.407329659320947</v>
      </c>
      <c r="M35" s="668">
        <f>IF(M$4="forecast",AVERAGE(#REF!),SUMIF('Dept. Cost Actuals'!$E$7:$E$176,"*Postage and Delivery*",'Dept. Cost Actuals'!Q$355:Q$524))</f>
        <v>124.23246415520586</v>
      </c>
      <c r="N35" s="668">
        <f>IF(N$4="forecast",AVERAGE(#REF!),SUMIF('Dept. Cost Actuals'!$E$7:$E$176,"*Postage and Delivery*",'Dept. Cost Actuals'!R$355:R$524))</f>
        <v>53.037673067672721</v>
      </c>
      <c r="O35" s="668">
        <f>IF(O$4="forecast",AVERAGE(#REF!),SUMIF('Dept. Cost Actuals'!$E$7:$E$176,"*Postage and Delivery*",'Dept. Cost Actuals'!S$355:S$524))</f>
        <v>2.19</v>
      </c>
      <c r="P35" s="668">
        <f>IF(P$4="forecast",AVERAGE(#REF!),SUMIF('Dept. Cost Actuals'!$E$7:$E$176,"*Postage and Delivery*",'Dept. Cost Actuals'!T$355:T$524))</f>
        <v>0</v>
      </c>
      <c r="Q35" s="668">
        <f>IF(Q$4="forecast",AVERAGE(#REF!),SUMIF('Dept. Cost Actuals'!$E$7:$E$176,"*Postage and Delivery*",'Dept. Cost Actuals'!U$355:U$524))</f>
        <v>0</v>
      </c>
      <c r="R35" s="668">
        <f>IF(R$4="forecast",AVERAGE(#REF!),SUMIF('Dept. Cost Actuals'!$E$7:$E$176,"*Postage and Delivery*",'Dept. Cost Actuals'!V$355:V$524))</f>
        <v>127.04</v>
      </c>
      <c r="S35" s="668">
        <f>IF(S$4="forecast",AVERAGE(#REF!),SUMIF('Dept. Cost Actuals'!$E$7:$E$176,"*Postage and Delivery*",'Dept. Cost Actuals'!W$355:W$524))</f>
        <v>0</v>
      </c>
      <c r="T35" s="668">
        <f>IF(T$4="forecast",AVERAGE(#REF!),SUMIF('Dept. Cost Actuals'!$E$7:$E$176,"*Postage and Delivery*",'Dept. Cost Actuals'!X$355:X$524))</f>
        <v>0</v>
      </c>
      <c r="U35" s="668">
        <f>IF(U$4="forecast",AVERAGE(#REF!),SUMIF('Dept. Cost Actuals'!$E$7:$E$176,"*Postage and Delivery*",'Dept. Cost Actuals'!Y$355:Y$524))</f>
        <v>0</v>
      </c>
      <c r="V35" s="668">
        <f>IF(V$4="forecast",AVERAGE(#REF!),SUMIF('Dept. Cost Actuals'!$E$7:$E$176,"*Postage and Delivery*",'Dept. Cost Actuals'!Z$355:Z$524))</f>
        <v>18.39</v>
      </c>
      <c r="W35" s="668">
        <f>IF(W$4="forecast",AVERAGE(#REF!),SUMIF('Dept. Cost Actuals'!$E$7:$E$176,"*Postage and Delivery*",'Dept. Cost Actuals'!AA$355:AA$524))</f>
        <v>0</v>
      </c>
      <c r="X35" s="668">
        <f>IF(X$4="forecast",AVERAGE(#REF!),SUMIF('Dept. Cost Actuals'!$E$7:$E$176,"*Postage and Delivery*",'Dept. Cost Actuals'!AB$355:AB$524))</f>
        <v>0</v>
      </c>
      <c r="Y35" s="668">
        <f>IF(Y$4="forecast",AVERAGE(#REF!),SUMIF('Dept. Cost Actuals'!$E$7:$E$176,"*Postage and Delivery*",'Dept. Cost Actuals'!AC$355:AC$524))</f>
        <v>0</v>
      </c>
      <c r="Z35" s="668">
        <f>IF(Z$4="forecast",AVERAGE(#REF!),SUMIF('Dept. Cost Actuals'!$E$7:$E$176,"*Postage and Delivery*",'Dept. Cost Actuals'!AD$355:AD$524))</f>
        <v>0</v>
      </c>
      <c r="AA35" s="668">
        <f>IF(AA$4="forecast",AVERAGE(O35:Z35),SUMIF('Dept. Cost Actuals'!$E$7:$E$176,"*Postage and Delivery*",'Dept. Cost Actuals'!AE$355:AE$524))</f>
        <v>0</v>
      </c>
      <c r="AB35" s="668">
        <f>IF(AB$4="forecast",AVERAGE(P35:AA35),SUMIF('Dept. Cost Actuals'!$E$7:$E$176,"*Postage and Delivery*",'Dept. Cost Actuals'!AF$355:AF$524))</f>
        <v>0</v>
      </c>
      <c r="AC35" s="668">
        <f>IF(AC$4="forecast",AVERAGE(Q35:AB35),SUMIF('Dept. Cost Actuals'!$E$7:$E$176,"*Postage and Delivery*",'Dept. Cost Actuals'!AG$355:AG$524))</f>
        <v>0</v>
      </c>
      <c r="AD35" s="668">
        <f>IF(AD$4="forecast",AVERAGE(R35:AC35),SUMIF('Dept. Cost Actuals'!$E$7:$E$176,"*Postage and Delivery*",'Dept. Cost Actuals'!AH$355:AH$524))</f>
        <v>12.119166666666667</v>
      </c>
      <c r="AE35" s="668">
        <f>IF(AE$4="forecast",AVERAGE(S35:AD35),SUMIF('Dept. Cost Actuals'!$E$7:$E$176,"*Postage and Delivery*",'Dept. Cost Actuals'!AI$355:AI$524))</f>
        <v>2.5424305555555553</v>
      </c>
      <c r="AF35" s="668">
        <f>IF(AF$4="forecast",AVERAGE(T35:AE35),SUMIF('Dept. Cost Actuals'!$E$7:$E$176,"*Postage and Delivery*",'Dept. Cost Actuals'!AJ$355:AJ$524))</f>
        <v>2.7542997685185182</v>
      </c>
      <c r="AG35" s="668">
        <f>IF(AG$4="forecast",AVERAGE(U35:AF35),SUMIF('Dept. Cost Actuals'!$E$7:$E$176,"*Postage and Delivery*",'Dept. Cost Actuals'!AK$355:AK$524))</f>
        <v>2.9838247492283951</v>
      </c>
      <c r="AH35" s="668">
        <f>IF(AH$4="forecast",AVERAGE(V35:AG35),SUMIF('Dept. Cost Actuals'!$E$7:$E$176,"*Postage and Delivery*",'Dept. Cost Actuals'!AL$355:AL$524))</f>
        <v>3.2324768116640947</v>
      </c>
      <c r="AI35" s="668">
        <f>IF(AI$4="forecast",AVERAGE(W35:AH35),SUMIF('Dept. Cost Actuals'!$E$7:$E$176,"*Postage and Delivery*",'Dept. Cost Actuals'!AM$355:AM$524))</f>
        <v>1.9693498793027695</v>
      </c>
      <c r="AJ35" s="668">
        <f>IF(AJ$4="forecast",AVERAGE(X35:AI35),SUMIF('Dept. Cost Actuals'!$E$7:$E$176,"*Postage and Delivery*",'Dept. Cost Actuals'!AN$355:AN$524))</f>
        <v>2.133462369244667</v>
      </c>
      <c r="AK35" s="668">
        <f>IF(AK$4="forecast",AVERAGE(Y35:AJ35),SUMIF('Dept. Cost Actuals'!$E$7:$E$176,"*Postage and Delivery*",'Dept. Cost Actuals'!AO$355:AO$524))</f>
        <v>2.3112509000150561</v>
      </c>
      <c r="AL35" s="668">
        <f>IF(AL$4="forecast",AVERAGE(Z35:AK35),SUMIF('Dept. Cost Actuals'!$E$7:$E$176,"*Postage and Delivery*",'Dept. Cost Actuals'!AP$355:AP$524))</f>
        <v>2.5038551416829775</v>
      </c>
      <c r="AM35" s="668">
        <f>IF(AM$4="forecast",AVERAGE(AA35:AL35),SUMIF('Dept. Cost Actuals'!$E$7:$E$176,"*Postage and Delivery*",'Dept. Cost Actuals'!AQ$355:AQ$524))</f>
        <v>2.7125097368232254</v>
      </c>
      <c r="AN35" s="668">
        <f>IF(AN$4="forecast",AVERAGE(AB35:AM35),SUMIF('Dept. Cost Actuals'!$E$7:$E$176,"*Postage and Delivery*",'Dept. Cost Actuals'!AR$355:AR$524))</f>
        <v>2.9385522148918271</v>
      </c>
      <c r="AO35" s="668">
        <f>IF(AO$4="forecast",AVERAGE(AC35:AN35),SUMIF('Dept. Cost Actuals'!$E$7:$E$176,"*Postage and Delivery*",'Dept. Cost Actuals'!AS$355:AS$524))</f>
        <v>3.1834315661328128</v>
      </c>
      <c r="AP35" s="668">
        <f>IF(AP$4="forecast",AVERAGE(AD35:AO35),SUMIF('Dept. Cost Actuals'!$E$7:$E$176,"*Postage and Delivery*",'Dept. Cost Actuals'!AT$355:AT$524))</f>
        <v>3.4487175299772139</v>
      </c>
      <c r="AQ35" s="668">
        <f>IF(AQ$4="forecast",AVERAGE(AE35:AP35),SUMIF('Dept. Cost Actuals'!$E$7:$E$176,"*Postage and Delivery*",'Dept. Cost Actuals'!AU$355:AU$524))</f>
        <v>2.7261801019197596</v>
      </c>
      <c r="AR35" s="668">
        <f>IF(AR$4="forecast",AVERAGE(AF35:AQ35),SUMIF('Dept. Cost Actuals'!$E$7:$E$176,"*Postage and Delivery*",'Dept. Cost Actuals'!AV$355:AV$524))</f>
        <v>2.741492564116776</v>
      </c>
      <c r="AS35" s="668">
        <f>IF(AS$4="forecast",AVERAGE(AG35:AR35),SUMIF('Dept. Cost Actuals'!$E$7:$E$176,"*Postage and Delivery*",'Dept. Cost Actuals'!AW$355:AW$524))</f>
        <v>2.7404252970832981</v>
      </c>
      <c r="AT35" s="668">
        <f>IF(AT$4="forecast",AVERAGE(AH35:AS35),SUMIF('Dept. Cost Actuals'!$E$7:$E$176,"*Postage and Delivery*",'Dept. Cost Actuals'!AX$355:AX$524))</f>
        <v>2.7201420094045399</v>
      </c>
      <c r="AU35" s="668">
        <f>IF(AU$4="forecast",AVERAGE(AI35:AT35),SUMIF('Dept. Cost Actuals'!$E$7:$E$176,"*Postage and Delivery*",'Dept. Cost Actuals'!AY$355:AY$524))</f>
        <v>2.6774474425495765</v>
      </c>
      <c r="AV35" s="668">
        <f>IF(AV$4="forecast",AVERAGE(AJ35:AU35),SUMIF('Dept. Cost Actuals'!$E$7:$E$176,"*Postage and Delivery*",'Dept. Cost Actuals'!AZ$355:AZ$524))</f>
        <v>2.7364555728201441</v>
      </c>
      <c r="AW35" s="668">
        <f>IF(AW$4="forecast",AVERAGE(AK35:AV35),SUMIF('Dept. Cost Actuals'!$E$7:$E$176,"*Postage and Delivery*",'Dept. Cost Actuals'!BA$355:BA$524))</f>
        <v>2.7867050064514332</v>
      </c>
      <c r="AX35" s="668">
        <f>IF(AX$4="forecast",AVERAGE(AL35:AW35),SUMIF('Dept. Cost Actuals'!$E$7:$E$176,"*Postage and Delivery*",'Dept. Cost Actuals'!BB$355:BB$524))</f>
        <v>2.8263261819877985</v>
      </c>
      <c r="AY35" s="668">
        <f>IF(AY$4="forecast",AVERAGE(AM35:AX35),SUMIF('Dept. Cost Actuals'!$E$7:$E$176,"*Postage and Delivery*",'Dept. Cost Actuals'!BC$355:BC$524))</f>
        <v>2.8531987686798672</v>
      </c>
      <c r="AZ35" s="668">
        <f>IF(AZ$4="forecast",AVERAGE(AN35:AY35),SUMIF('Dept. Cost Actuals'!$E$7:$E$176,"*Postage and Delivery*",'Dept. Cost Actuals'!BD$355:BD$524))</f>
        <v>2.8649228546679204</v>
      </c>
      <c r="BA35" s="668">
        <f>IF(BA$4="forecast",AVERAGE(AO35:AZ35),SUMIF('Dept. Cost Actuals'!$E$7:$E$176,"*Postage and Delivery*",'Dept. Cost Actuals'!BE$355:BE$524))</f>
        <v>2.8587870746492619</v>
      </c>
      <c r="BB35" s="668">
        <f>IF(BB$4="forecast",AVERAGE(AP35:BA35),SUMIF('Dept. Cost Actuals'!$E$7:$E$176,"*Postage and Delivery*",'Dept. Cost Actuals'!BF$355:BF$524))</f>
        <v>2.8317333670256328</v>
      </c>
      <c r="BC35" s="668">
        <f>IF(BC$4="forecast",AVERAGE(AQ35:BB35),SUMIF('Dept. Cost Actuals'!$E$7:$E$176,"*Postage and Delivery*",'Dept. Cost Actuals'!BG$355:BG$524))</f>
        <v>2.7803180201130004</v>
      </c>
      <c r="BD35" s="668">
        <f>IF(BD$4="forecast",AVERAGE(AR35:BC35),SUMIF('Dept. Cost Actuals'!$E$7:$E$176,"*Postage and Delivery*",'Dept. Cost Actuals'!BH$355:BH$524))</f>
        <v>2.7848295132957706</v>
      </c>
      <c r="BE35" s="668">
        <f>IF(BE$4="forecast",AVERAGE(AS35:BD35),SUMIF('Dept. Cost Actuals'!$E$7:$E$176,"*Postage and Delivery*",'Dept. Cost Actuals'!BI$355:BI$524))</f>
        <v>2.7884409257273535</v>
      </c>
      <c r="BF35" s="668">
        <f>IF(BF$4="forecast",AVERAGE(AT35:BE35),SUMIF('Dept. Cost Actuals'!$E$7:$E$176,"*Postage and Delivery*",'Dept. Cost Actuals'!BJ$355:BJ$524))</f>
        <v>2.7924422281143575</v>
      </c>
      <c r="BG35" s="668">
        <f>IF(BG$4="forecast",AVERAGE(AU35:BF35),SUMIF('Dept. Cost Actuals'!$E$7:$E$176,"*Postage and Delivery*",'Dept. Cost Actuals'!BK$355:BK$524))</f>
        <v>2.7984672463401759</v>
      </c>
      <c r="BH35" s="668">
        <f>IF(BH$4="forecast",AVERAGE(AV35:BG35),SUMIF('Dept. Cost Actuals'!$E$7:$E$176,"*Postage and Delivery*",'Dept. Cost Actuals'!BL$355:BL$524))</f>
        <v>2.808552229989393</v>
      </c>
      <c r="BI35" s="668">
        <f>IF(BI$4="forecast",AVERAGE(AW35:BH35),SUMIF('Dept. Cost Actuals'!$E$7:$E$176,"*Postage and Delivery*",'Dept. Cost Actuals'!BM$355:BM$524))</f>
        <v>2.814560284753497</v>
      </c>
      <c r="BJ35" s="668">
        <f>IF(BJ$4="forecast",AVERAGE(AX35:BI35),SUMIF('Dept. Cost Actuals'!$E$7:$E$176,"*Postage and Delivery*",'Dept. Cost Actuals'!BN$355:BN$524))</f>
        <v>2.8168815579453361</v>
      </c>
      <c r="BK35" s="668">
        <f>IF(BK$4="forecast",AVERAGE(AY35:BJ35),SUMIF('Dept. Cost Actuals'!$E$7:$E$176,"*Postage and Delivery*",'Dept. Cost Actuals'!BO$355:BO$524))</f>
        <v>2.816094505941797</v>
      </c>
      <c r="BL35" s="668">
        <f>IF(BL$4="forecast",AVERAGE(AZ35:BK35),SUMIF('Dept. Cost Actuals'!$E$7:$E$176,"*Postage and Delivery*",'Dept. Cost Actuals'!BP$355:BP$524))</f>
        <v>2.8130024840469581</v>
      </c>
      <c r="BM35" s="668">
        <f>IF(BM$4="forecast",AVERAGE(BA35:BL35),SUMIF('Dept. Cost Actuals'!$E$7:$E$176,"*Postage and Delivery*",'Dept. Cost Actuals'!BQ$355:BQ$524))</f>
        <v>2.8086757864952112</v>
      </c>
      <c r="BN35" s="668">
        <f>IF(BN$4="forecast",AVERAGE(BB35:BM35),SUMIF('Dept. Cost Actuals'!$E$7:$E$176,"*Postage and Delivery*",'Dept. Cost Actuals'!BR$355:BR$524))</f>
        <v>2.8044998458157071</v>
      </c>
      <c r="BO35" s="668">
        <f>IF(BO$4="forecast",AVERAGE(BC35:BN35),SUMIF('Dept. Cost Actuals'!$E$7:$E$176,"*Postage and Delivery*",'Dept. Cost Actuals'!BS$355:BS$524))</f>
        <v>2.8022303857148798</v>
      </c>
      <c r="BP35" s="668">
        <f>IF(BP$4="forecast",AVERAGE(BD35:BO35),SUMIF('Dept. Cost Actuals'!$E$7:$E$176,"*Postage and Delivery*",'Dept. Cost Actuals'!BT$355:BT$524))</f>
        <v>2.804056416181703</v>
      </c>
      <c r="BQ35" s="668">
        <f>IF(BQ$4="forecast",AVERAGE(BE35:BP35),SUMIF('Dept. Cost Actuals'!$E$7:$E$176,"*Postage and Delivery*",'Dept. Cost Actuals'!BU$355:BU$524))</f>
        <v>2.8056586580888641</v>
      </c>
      <c r="BR35" s="668">
        <f>IF(BR$4="forecast",AVERAGE(BF35:BQ35),SUMIF('Dept. Cost Actuals'!$E$7:$E$176,"*Postage and Delivery*",'Dept. Cost Actuals'!BV$355:BV$524))</f>
        <v>2.8070934691189904</v>
      </c>
      <c r="BS35" s="668">
        <f>IF(BS$4="forecast",AVERAGE(BG35:BR35),SUMIF('Dept. Cost Actuals'!$E$7:$E$176,"*Postage and Delivery*",'Dept. Cost Actuals'!BW$355:BW$524))</f>
        <v>2.8083144058693761</v>
      </c>
      <c r="BT35" s="668">
        <f>IF(BT$4="forecast",AVERAGE(BH35:BS35),SUMIF('Dept. Cost Actuals'!$E$7:$E$176,"*Postage and Delivery*",'Dept. Cost Actuals'!BX$355:BX$524))</f>
        <v>2.8091350024968089</v>
      </c>
      <c r="BU35" s="668">
        <f>IF(BU$4="forecast",AVERAGE(BI35:BT35),SUMIF('Dept. Cost Actuals'!$E$7:$E$176,"*Postage and Delivery*",'Dept. Cost Actuals'!BY$355:BY$524))</f>
        <v>2.8091835668724268</v>
      </c>
      <c r="BV35" s="790">
        <f>IF(BV$4="forecast",AVERAGE(BJ35:BU35),SUMIF('Dept. Cost Actuals'!$E$7:$E$176,"*Postage and Delivery*",'Dept. Cost Actuals'!BZ$355:BZ$524))</f>
        <v>2.8087355070490041</v>
      </c>
    </row>
    <row r="36" spans="2:74" x14ac:dyDescent="0.25">
      <c r="B36" s="794" t="s">
        <v>942</v>
      </c>
      <c r="C36" s="668">
        <f>IF(C$4="forecast",AVERAGE(#REF!),SUMIF('Dept. Cost Actuals'!$E$7:$E$176,"*Computer Supplies*",'Dept. Cost Actuals'!G$355:G$524))</f>
        <v>854.72362073799138</v>
      </c>
      <c r="D36" s="668">
        <f>IF(D$4="forecast",AVERAGE(#REF!),SUMIF('Dept. Cost Actuals'!$E$7:$E$176,"*Computer Supplies*",'Dept. Cost Actuals'!H$355:H$524))</f>
        <v>270.35776364067527</v>
      </c>
      <c r="E36" s="668">
        <f>IF(E$4="forecast",AVERAGE(#REF!),SUMIF('Dept. Cost Actuals'!$E$7:$E$176,"*Computer Supplies*",'Dept. Cost Actuals'!I$355:I$524))</f>
        <v>1220.3338483041584</v>
      </c>
      <c r="F36" s="668">
        <f>IF(F$4="forecast",AVERAGE(#REF!),SUMIF('Dept. Cost Actuals'!$E$7:$E$176,"*Computer Supplies*",'Dept. Cost Actuals'!J$355:J$524))</f>
        <v>358.63021367199036</v>
      </c>
      <c r="G36" s="668">
        <f>IF(G$4="forecast",AVERAGE(#REF!),SUMIF('Dept. Cost Actuals'!$E$7:$E$176,"*Computer Supplies*",'Dept. Cost Actuals'!K$355:K$524))</f>
        <v>539.5626773980124</v>
      </c>
      <c r="H36" s="668">
        <f>IF(H$4="forecast",AVERAGE(#REF!),SUMIF('Dept. Cost Actuals'!$E$7:$E$176,"*Computer Supplies*",'Dept. Cost Actuals'!L$355:L$524))</f>
        <v>1086.892674909438</v>
      </c>
      <c r="I36" s="668">
        <f>IF(I$4="forecast",AVERAGE(#REF!),SUMIF('Dept. Cost Actuals'!$E$7:$E$176,"*Computer Supplies*",'Dept. Cost Actuals'!M$355:M$524))</f>
        <v>1601.992741494852</v>
      </c>
      <c r="J36" s="668">
        <f>IF(J$4="forecast",AVERAGE(#REF!),SUMIF('Dept. Cost Actuals'!$E$7:$E$176,"*Computer Supplies*",'Dept. Cost Actuals'!N$355:N$524))</f>
        <v>737.87779225851887</v>
      </c>
      <c r="K36" s="668">
        <f>IF(K$4="forecast",AVERAGE(#REF!),SUMIF('Dept. Cost Actuals'!$E$7:$E$176,"*Computer Supplies*",'Dept. Cost Actuals'!O$355:O$524))</f>
        <v>846.20139027733626</v>
      </c>
      <c r="L36" s="668">
        <f>IF(L$4="forecast",AVERAGE(#REF!),SUMIF('Dept. Cost Actuals'!$E$7:$E$176,"*Computer Supplies*",'Dept. Cost Actuals'!P$355:P$524))</f>
        <v>1779.9969177935168</v>
      </c>
      <c r="M36" s="668">
        <f>IF(M$4="forecast",AVERAGE(#REF!),SUMIF('Dept. Cost Actuals'!$E$7:$E$176,"*Computer Supplies*",'Dept. Cost Actuals'!Q$355:Q$524))</f>
        <v>929.95049335584963</v>
      </c>
      <c r="N36" s="668">
        <f>IF(N$4="forecast",AVERAGE(#REF!),SUMIF('Dept. Cost Actuals'!$E$7:$E$176,"*Computer Supplies*",'Dept. Cost Actuals'!R$355:R$524))</f>
        <v>126.08553875528162</v>
      </c>
      <c r="O36" s="668">
        <f>IF(O$4="forecast",AVERAGE(#REF!),SUMIF('Dept. Cost Actuals'!$E$7:$E$176,"*Computer Supplies*",'Dept. Cost Actuals'!S$355:S$524))</f>
        <v>0</v>
      </c>
      <c r="P36" s="668">
        <f>IF(P$4="forecast",AVERAGE(#REF!),SUMIF('Dept. Cost Actuals'!$E$7:$E$176,"*Computer Supplies*",'Dept. Cost Actuals'!T$355:T$524))</f>
        <v>0</v>
      </c>
      <c r="Q36" s="668">
        <f>IF(Q$4="forecast",AVERAGE(#REF!),SUMIF('Dept. Cost Actuals'!$E$7:$E$176,"*Computer Supplies*",'Dept. Cost Actuals'!U$355:U$524))</f>
        <v>0</v>
      </c>
      <c r="R36" s="668">
        <f>IF(R$4="forecast",AVERAGE(#REF!),SUMIF('Dept. Cost Actuals'!$E$7:$E$176,"*Computer Supplies*",'Dept. Cost Actuals'!V$355:V$524))</f>
        <v>0</v>
      </c>
      <c r="S36" s="668">
        <f>IF(S$4="forecast",AVERAGE(#REF!),SUMIF('Dept. Cost Actuals'!$E$7:$E$176,"*Computer Supplies*",'Dept. Cost Actuals'!W$355:W$524))</f>
        <v>23</v>
      </c>
      <c r="T36" s="668">
        <f>IF(T$4="forecast",AVERAGE(#REF!),SUMIF('Dept. Cost Actuals'!$E$7:$E$176,"*Computer Supplies*",'Dept. Cost Actuals'!X$355:X$524))</f>
        <v>0</v>
      </c>
      <c r="U36" s="668">
        <f>IF(U$4="forecast",AVERAGE(#REF!),SUMIF('Dept. Cost Actuals'!$E$7:$E$176,"*Computer Supplies*",'Dept. Cost Actuals'!Y$355:Y$524))</f>
        <v>0</v>
      </c>
      <c r="V36" s="668">
        <f>IF(V$4="forecast",AVERAGE(#REF!),SUMIF('Dept. Cost Actuals'!$E$7:$E$176,"*Computer Supplies*",'Dept. Cost Actuals'!Z$355:Z$524))</f>
        <v>170.05</v>
      </c>
      <c r="W36" s="668">
        <f>IF(W$4="forecast",AVERAGE(#REF!),SUMIF('Dept. Cost Actuals'!$E$7:$E$176,"*Computer Supplies*",'Dept. Cost Actuals'!AA$355:AA$524))</f>
        <v>0</v>
      </c>
      <c r="X36" s="668">
        <f>IF(X$4="forecast",AVERAGE(#REF!),SUMIF('Dept. Cost Actuals'!$E$7:$E$176,"*Computer Supplies*",'Dept. Cost Actuals'!AB$355:AB$524))</f>
        <v>0</v>
      </c>
      <c r="Y36" s="668">
        <f>IF(Y$4="forecast",AVERAGE(#REF!),SUMIF('Dept. Cost Actuals'!$E$7:$E$176,"*Computer Supplies*",'Dept. Cost Actuals'!AC$355:AC$524))</f>
        <v>0</v>
      </c>
      <c r="Z36" s="668">
        <f>IF(Z$4="forecast",AVERAGE(#REF!),SUMIF('Dept. Cost Actuals'!$E$7:$E$176,"*Computer Supplies*",'Dept. Cost Actuals'!AD$355:AD$524))</f>
        <v>0</v>
      </c>
      <c r="AA36" s="668">
        <f>IF(AA$4="forecast",AVERAGE(O36:Z36),SUMIF('Dept. Cost Actuals'!$E$7:$E$176,"*Computer Supplies*",'Dept. Cost Actuals'!AE$355:AE$524))</f>
        <v>58.9</v>
      </c>
      <c r="AB36" s="668">
        <f>IF(AB$4="forecast",AVERAGE(P36:AA36),SUMIF('Dept. Cost Actuals'!$E$7:$E$176,"*Computer Supplies*",'Dept. Cost Actuals'!AF$355:AF$524))</f>
        <v>0</v>
      </c>
      <c r="AC36" s="668">
        <f>IF(AC$4="forecast",AVERAGE(Q36:AB36),SUMIF('Dept. Cost Actuals'!$E$7:$E$176,"*Computer Supplies*",'Dept. Cost Actuals'!AG$355:AG$524))</f>
        <v>0</v>
      </c>
      <c r="AD36" s="668">
        <f>IF(AD$4="forecast",AVERAGE(R36:AC36),SUMIF('Dept. Cost Actuals'!$E$7:$E$176,"*Computer Supplies*",'Dept. Cost Actuals'!AH$355:AH$524))</f>
        <v>20.995833333333334</v>
      </c>
      <c r="AE36" s="668">
        <f>IF(AE$4="forecast",AVERAGE(S36:AD36),SUMIF('Dept. Cost Actuals'!$E$7:$E$176,"*Computer Supplies*",'Dept. Cost Actuals'!AI$355:AI$524))</f>
        <v>22.745486111111109</v>
      </c>
      <c r="AF36" s="668">
        <f>IF(AF$4="forecast",AVERAGE(T36:AE36),SUMIF('Dept. Cost Actuals'!$E$7:$E$176,"*Computer Supplies*",'Dept. Cost Actuals'!AJ$355:AJ$524))</f>
        <v>22.724276620370372</v>
      </c>
      <c r="AG36" s="668">
        <f>IF(AG$4="forecast",AVERAGE(U36:AF36),SUMIF('Dept. Cost Actuals'!$E$7:$E$176,"*Computer Supplies*",'Dept. Cost Actuals'!AK$355:AK$524))</f>
        <v>24.617966338734565</v>
      </c>
      <c r="AH36" s="668">
        <f>IF(AH$4="forecast",AVERAGE(V36:AG36),SUMIF('Dept. Cost Actuals'!$E$7:$E$176,"*Computer Supplies*",'Dept. Cost Actuals'!AL$355:AL$524))</f>
        <v>26.669463533629113</v>
      </c>
      <c r="AI36" s="668">
        <f>IF(AI$4="forecast",AVERAGE(W36:AH36),SUMIF('Dept. Cost Actuals'!$E$7:$E$176,"*Computer Supplies*",'Dept. Cost Actuals'!AM$355:AM$524))</f>
        <v>14.721085494764873</v>
      </c>
      <c r="AJ36" s="668">
        <f>IF(AJ$4="forecast",AVERAGE(X36:AI36),SUMIF('Dept. Cost Actuals'!$E$7:$E$176,"*Computer Supplies*",'Dept. Cost Actuals'!AN$355:AN$524))</f>
        <v>15.947842619328613</v>
      </c>
      <c r="AK36" s="668">
        <f>IF(AK$4="forecast",AVERAGE(Y36:AJ36),SUMIF('Dept. Cost Actuals'!$E$7:$E$176,"*Computer Supplies*",'Dept. Cost Actuals'!AO$355:AO$524))</f>
        <v>17.276829504272666</v>
      </c>
      <c r="AL36" s="668">
        <f>IF(AL$4="forecast",AVERAGE(Z36:AK36),SUMIF('Dept. Cost Actuals'!$E$7:$E$176,"*Computer Supplies*",'Dept. Cost Actuals'!AP$355:AP$524))</f>
        <v>18.716565296295386</v>
      </c>
      <c r="AM36" s="668">
        <f>IF(AM$4="forecast",AVERAGE(AA36:AL36),SUMIF('Dept. Cost Actuals'!$E$7:$E$176,"*Computer Supplies*",'Dept. Cost Actuals'!AQ$355:AQ$524))</f>
        <v>20.276279070986668</v>
      </c>
      <c r="AN36" s="668">
        <f>IF(AN$4="forecast",AVERAGE(AB36:AM36),SUMIF('Dept. Cost Actuals'!$E$7:$E$176,"*Computer Supplies*",'Dept. Cost Actuals'!AR$355:AR$524))</f>
        <v>17.057635660235558</v>
      </c>
      <c r="AO36" s="668">
        <f>IF(AO$4="forecast",AVERAGE(AC36:AN36),SUMIF('Dept. Cost Actuals'!$E$7:$E$176,"*Computer Supplies*",'Dept. Cost Actuals'!AS$355:AS$524))</f>
        <v>18.479105298588518</v>
      </c>
      <c r="AP36" s="668">
        <f>IF(AP$4="forecast",AVERAGE(AD36:AO36),SUMIF('Dept. Cost Actuals'!$E$7:$E$176,"*Computer Supplies*",'Dept. Cost Actuals'!AT$355:AT$524))</f>
        <v>20.019030740137563</v>
      </c>
      <c r="AQ36" s="668">
        <f>IF(AQ$4="forecast",AVERAGE(AE36:AP36),SUMIF('Dept. Cost Actuals'!$E$7:$E$176,"*Computer Supplies*",'Dept. Cost Actuals'!AU$355:AU$524))</f>
        <v>19.937630524037917</v>
      </c>
      <c r="AR36" s="668">
        <f>IF(AR$4="forecast",AVERAGE(AF36:AQ36),SUMIF('Dept. Cost Actuals'!$E$7:$E$176,"*Computer Supplies*",'Dept. Cost Actuals'!AV$355:AV$524))</f>
        <v>19.703642558448486</v>
      </c>
      <c r="AS36" s="668">
        <f>IF(AS$4="forecast",AVERAGE(AG36:AR36),SUMIF('Dept. Cost Actuals'!$E$7:$E$176,"*Computer Supplies*",'Dept. Cost Actuals'!AW$355:AW$524))</f>
        <v>19.451923053288326</v>
      </c>
      <c r="AT36" s="668">
        <f>IF(AT$4="forecast",AVERAGE(AH36:AS36),SUMIF('Dept. Cost Actuals'!$E$7:$E$176,"*Computer Supplies*",'Dept. Cost Actuals'!AX$355:AX$524))</f>
        <v>19.021419446167808</v>
      </c>
      <c r="AU36" s="668">
        <f>IF(AU$4="forecast",AVERAGE(AI36:AT36),SUMIF('Dept. Cost Actuals'!$E$7:$E$176,"*Computer Supplies*",'Dept. Cost Actuals'!AY$355:AY$524))</f>
        <v>18.384082438879368</v>
      </c>
      <c r="AV36" s="668">
        <f>IF(AV$4="forecast",AVERAGE(AJ36:AU36),SUMIF('Dept. Cost Actuals'!$E$7:$E$176,"*Computer Supplies*",'Dept. Cost Actuals'!AZ$355:AZ$524))</f>
        <v>18.689332184222241</v>
      </c>
      <c r="AW36" s="668">
        <f>IF(AW$4="forecast",AVERAGE(AK36:AV36),SUMIF('Dept. Cost Actuals'!$E$7:$E$176,"*Computer Supplies*",'Dept. Cost Actuals'!BA$355:BA$524))</f>
        <v>18.917789647963378</v>
      </c>
      <c r="AX36" s="668">
        <f>IF(AX$4="forecast",AVERAGE(AL36:AW36),SUMIF('Dept. Cost Actuals'!$E$7:$E$176,"*Computer Supplies*",'Dept. Cost Actuals'!BB$355:BB$524))</f>
        <v>19.054536326604268</v>
      </c>
      <c r="AY36" s="668">
        <f>IF(AY$4="forecast",AVERAGE(AM36:AX36),SUMIF('Dept. Cost Actuals'!$E$7:$E$176,"*Computer Supplies*",'Dept. Cost Actuals'!BC$355:BC$524))</f>
        <v>19.082700579130012</v>
      </c>
      <c r="AZ36" s="668">
        <f>IF(AZ$4="forecast",AVERAGE(AN36:AY36),SUMIF('Dept. Cost Actuals'!$E$7:$E$176,"*Computer Supplies*",'Dept. Cost Actuals'!BD$355:BD$524))</f>
        <v>18.983235704808621</v>
      </c>
      <c r="BA36" s="668">
        <f>IF(BA$4="forecast",AVERAGE(AO36:AZ36),SUMIF('Dept. Cost Actuals'!$E$7:$E$176,"*Computer Supplies*",'Dept. Cost Actuals'!BE$355:BE$524))</f>
        <v>19.143702375189708</v>
      </c>
      <c r="BB36" s="668">
        <f>IF(BB$4="forecast",AVERAGE(AP36:BA36),SUMIF('Dept. Cost Actuals'!$E$7:$E$176,"*Computer Supplies*",'Dept. Cost Actuals'!BF$355:BF$524))</f>
        <v>19.199085464906478</v>
      </c>
      <c r="BC36" s="668">
        <f>IF(BC$4="forecast",AVERAGE(AQ36:BB36),SUMIF('Dept. Cost Actuals'!$E$7:$E$176,"*Computer Supplies*",'Dept. Cost Actuals'!BG$355:BG$524))</f>
        <v>19.13075669197055</v>
      </c>
      <c r="BD36" s="668">
        <f>IF(BD$4="forecast",AVERAGE(AR36:BC36),SUMIF('Dept. Cost Actuals'!$E$7:$E$176,"*Computer Supplies*",'Dept. Cost Actuals'!BH$355:BH$524))</f>
        <v>19.063517205964938</v>
      </c>
      <c r="BE36" s="668">
        <f>IF(BE$4="forecast",AVERAGE(AS36:BD36),SUMIF('Dept. Cost Actuals'!$E$7:$E$176,"*Computer Supplies*",'Dept. Cost Actuals'!BI$355:BI$524))</f>
        <v>19.010173426591308</v>
      </c>
      <c r="BF36" s="668">
        <f>IF(BF$4="forecast",AVERAGE(AT36:BE36),SUMIF('Dept. Cost Actuals'!$E$7:$E$176,"*Computer Supplies*",'Dept. Cost Actuals'!BJ$355:BJ$524))</f>
        <v>18.973360957699889</v>
      </c>
      <c r="BG36" s="668">
        <f>IF(BG$4="forecast",AVERAGE(AU36:BF36),SUMIF('Dept. Cost Actuals'!$E$7:$E$176,"*Computer Supplies*",'Dept. Cost Actuals'!BK$355:BK$524))</f>
        <v>18.969356083660898</v>
      </c>
      <c r="BH36" s="668">
        <f>IF(BH$4="forecast",AVERAGE(AV36:BG36),SUMIF('Dept. Cost Actuals'!$E$7:$E$176,"*Computer Supplies*",'Dept. Cost Actuals'!BL$355:BL$524))</f>
        <v>19.018128887392692</v>
      </c>
      <c r="BI36" s="668">
        <f>IF(BI$4="forecast",AVERAGE(AW36:BH36),SUMIF('Dept. Cost Actuals'!$E$7:$E$176,"*Computer Supplies*",'Dept. Cost Actuals'!BM$355:BM$524))</f>
        <v>19.045528612656895</v>
      </c>
      <c r="BJ36" s="668">
        <f>IF(BJ$4="forecast",AVERAGE(AX36:BI36),SUMIF('Dept. Cost Actuals'!$E$7:$E$176,"*Computer Supplies*",'Dept. Cost Actuals'!BN$355:BN$524))</f>
        <v>19.056173526381354</v>
      </c>
      <c r="BK36" s="668">
        <f>IF(BK$4="forecast",AVERAGE(AY36:BJ36),SUMIF('Dept. Cost Actuals'!$E$7:$E$176,"*Computer Supplies*",'Dept. Cost Actuals'!BO$355:BO$524))</f>
        <v>19.056309959696112</v>
      </c>
      <c r="BL36" s="668">
        <f>IF(BL$4="forecast",AVERAGE(AZ36:BK36),SUMIF('Dept. Cost Actuals'!$E$7:$E$176,"*Computer Supplies*",'Dept. Cost Actuals'!BP$355:BP$524))</f>
        <v>19.054110741409954</v>
      </c>
      <c r="BM36" s="668">
        <f>IF(BM$4="forecast",AVERAGE(BA36:BL36),SUMIF('Dept. Cost Actuals'!$E$7:$E$176,"*Computer Supplies*",'Dept. Cost Actuals'!BQ$355:BQ$524))</f>
        <v>19.06001699446006</v>
      </c>
      <c r="BN36" s="668">
        <f>IF(BN$4="forecast",AVERAGE(BB36:BM36),SUMIF('Dept. Cost Actuals'!$E$7:$E$176,"*Computer Supplies*",'Dept. Cost Actuals'!BR$355:BR$524))</f>
        <v>19.053043212732589</v>
      </c>
      <c r="BO36" s="668">
        <f>IF(BO$4="forecast",AVERAGE(BC36:BN36),SUMIF('Dept. Cost Actuals'!$E$7:$E$176,"*Computer Supplies*",'Dept. Cost Actuals'!BS$355:BS$524))</f>
        <v>19.040873025051436</v>
      </c>
      <c r="BP36" s="668">
        <f>IF(BP$4="forecast",AVERAGE(BD36:BO36),SUMIF('Dept. Cost Actuals'!$E$7:$E$176,"*Computer Supplies*",'Dept. Cost Actuals'!BT$355:BT$524))</f>
        <v>19.033382719474844</v>
      </c>
      <c r="BQ36" s="668">
        <f>IF(BQ$4="forecast",AVERAGE(BE36:BP36),SUMIF('Dept. Cost Actuals'!$E$7:$E$176,"*Computer Supplies*",'Dept. Cost Actuals'!BU$355:BU$524))</f>
        <v>19.030871512267336</v>
      </c>
      <c r="BR36" s="668">
        <f>IF(BR$4="forecast",AVERAGE(BF36:BQ36),SUMIF('Dept. Cost Actuals'!$E$7:$E$176,"*Computer Supplies*",'Dept. Cost Actuals'!BV$355:BV$524))</f>
        <v>19.032596352740338</v>
      </c>
      <c r="BS36" s="668">
        <f>IF(BS$4="forecast",AVERAGE(BG36:BR36),SUMIF('Dept. Cost Actuals'!$E$7:$E$176,"*Computer Supplies*",'Dept. Cost Actuals'!BW$355:BW$524))</f>
        <v>19.03753263566038</v>
      </c>
      <c r="BT36" s="668">
        <f>IF(BT$4="forecast",AVERAGE(BH36:BS36),SUMIF('Dept. Cost Actuals'!$E$7:$E$176,"*Computer Supplies*",'Dept. Cost Actuals'!BX$355:BX$524))</f>
        <v>19.043214014993666</v>
      </c>
      <c r="BU36" s="668">
        <f>IF(BU$4="forecast",AVERAGE(BI36:BT36),SUMIF('Dept. Cost Actuals'!$E$7:$E$176,"*Computer Supplies*",'Dept. Cost Actuals'!BY$355:BY$524))</f>
        <v>19.045304442293745</v>
      </c>
      <c r="BV36" s="790">
        <f>IF(BV$4="forecast",AVERAGE(BJ36:BU36),SUMIF('Dept. Cost Actuals'!$E$7:$E$176,"*Computer Supplies*",'Dept. Cost Actuals'!BZ$355:BZ$524))</f>
        <v>19.045285761430151</v>
      </c>
    </row>
    <row r="37" spans="2:74" x14ac:dyDescent="0.25">
      <c r="B37" s="794" t="s">
        <v>943</v>
      </c>
      <c r="C37" s="668">
        <f>IF(C$4="forecast",AVERAGE(#REF!),SUMIF('Dept. Cost Actuals'!$E$7:$E$176,"*Printing and Reproduction*",'Dept. Cost Actuals'!G$355:G$524))</f>
        <v>0</v>
      </c>
      <c r="D37" s="668">
        <f>IF(D$4="forecast",AVERAGE(#REF!),SUMIF('Dept. Cost Actuals'!$E$7:$E$176,"*Printing and Reproduction*",'Dept. Cost Actuals'!H$355:H$524))</f>
        <v>0</v>
      </c>
      <c r="E37" s="668">
        <f>IF(E$4="forecast",AVERAGE(#REF!),SUMIF('Dept. Cost Actuals'!$E$7:$E$176,"*Printing and Reproduction*",'Dept. Cost Actuals'!I$355:I$524))</f>
        <v>0</v>
      </c>
      <c r="F37" s="668">
        <f>IF(F$4="forecast",AVERAGE(#REF!),SUMIF('Dept. Cost Actuals'!$E$7:$E$176,"*Printing and Reproduction*",'Dept. Cost Actuals'!J$355:J$524))</f>
        <v>195.66746752636712</v>
      </c>
      <c r="G37" s="668">
        <f>IF(G$4="forecast",AVERAGE(#REF!),SUMIF('Dept. Cost Actuals'!$E$7:$E$176,"*Printing and Reproduction*",'Dept. Cost Actuals'!K$355:K$524))</f>
        <v>15.444243856118895</v>
      </c>
      <c r="H37" s="668">
        <f>IF(H$4="forecast",AVERAGE(#REF!),SUMIF('Dept. Cost Actuals'!$E$7:$E$176,"*Printing and Reproduction*",'Dept. Cost Actuals'!L$355:L$524))</f>
        <v>0</v>
      </c>
      <c r="I37" s="668">
        <f>IF(I$4="forecast",AVERAGE(#REF!),SUMIF('Dept. Cost Actuals'!$E$7:$E$176,"*Printing and Reproduction*",'Dept. Cost Actuals'!M$355:M$524))</f>
        <v>0</v>
      </c>
      <c r="J37" s="668">
        <f>IF(J$4="forecast",AVERAGE(#REF!),SUMIF('Dept. Cost Actuals'!$E$7:$E$176,"*Printing and Reproduction*",'Dept. Cost Actuals'!N$355:N$524))</f>
        <v>0</v>
      </c>
      <c r="K37" s="668">
        <f>IF(K$4="forecast",AVERAGE(#REF!),SUMIF('Dept. Cost Actuals'!$E$7:$E$176,"*Printing and Reproduction*",'Dept. Cost Actuals'!O$355:O$524))</f>
        <v>29.065028416303786</v>
      </c>
      <c r="L37" s="668">
        <f>IF(L$4="forecast",AVERAGE(#REF!),SUMIF('Dept. Cost Actuals'!$E$7:$E$176,"*Printing and Reproduction*",'Dept. Cost Actuals'!P$355:P$524))</f>
        <v>0.56716190106561881</v>
      </c>
      <c r="M37" s="668">
        <f>IF(M$4="forecast",AVERAGE(#REF!),SUMIF('Dept. Cost Actuals'!$E$7:$E$176,"*Printing and Reproduction*",'Dept. Cost Actuals'!Q$355:Q$524))</f>
        <v>44.266668167404973</v>
      </c>
      <c r="N37" s="668">
        <f>IF(N$4="forecast",AVERAGE(#REF!),SUMIF('Dept. Cost Actuals'!$E$7:$E$176,"*Printing and Reproduction*",'Dept. Cost Actuals'!R$355:R$524))</f>
        <v>0</v>
      </c>
      <c r="O37" s="668">
        <f>IF(O$4="forecast",AVERAGE(#REF!),SUMIF('Dept. Cost Actuals'!$E$7:$E$176,"*Printing and Reproduction*",'Dept. Cost Actuals'!S$355:S$524))</f>
        <v>0</v>
      </c>
      <c r="P37" s="668">
        <f>IF(P$4="forecast",AVERAGE(#REF!),SUMIF('Dept. Cost Actuals'!$E$7:$E$176,"*Printing and Reproduction*",'Dept. Cost Actuals'!T$355:T$524))</f>
        <v>0</v>
      </c>
      <c r="Q37" s="668">
        <f>IF(Q$4="forecast",AVERAGE(#REF!),SUMIF('Dept. Cost Actuals'!$E$7:$E$176,"*Printing and Reproduction*",'Dept. Cost Actuals'!U$355:U$524))</f>
        <v>0</v>
      </c>
      <c r="R37" s="668">
        <f>IF(R$4="forecast",AVERAGE(#REF!),SUMIF('Dept. Cost Actuals'!$E$7:$E$176,"*Printing and Reproduction*",'Dept. Cost Actuals'!V$355:V$524))</f>
        <v>71.25</v>
      </c>
      <c r="S37" s="668">
        <f>IF(S$4="forecast",AVERAGE(#REF!),SUMIF('Dept. Cost Actuals'!$E$7:$E$176,"*Printing and Reproduction*",'Dept. Cost Actuals'!W$355:W$524))</f>
        <v>0</v>
      </c>
      <c r="T37" s="668">
        <f>IF(T$4="forecast",AVERAGE(#REF!),SUMIF('Dept. Cost Actuals'!$E$7:$E$176,"*Printing and Reproduction*",'Dept. Cost Actuals'!X$355:X$524))</f>
        <v>0</v>
      </c>
      <c r="U37" s="668">
        <f>IF(U$4="forecast",AVERAGE(#REF!),SUMIF('Dept. Cost Actuals'!$E$7:$E$176,"*Printing and Reproduction*",'Dept. Cost Actuals'!Y$355:Y$524))</f>
        <v>0</v>
      </c>
      <c r="V37" s="668">
        <f>IF(V$4="forecast",AVERAGE(#REF!),SUMIF('Dept. Cost Actuals'!$E$7:$E$176,"*Printing and Reproduction*",'Dept. Cost Actuals'!Z$355:Z$524))</f>
        <v>0</v>
      </c>
      <c r="W37" s="668">
        <f>IF(W$4="forecast",AVERAGE(#REF!),SUMIF('Dept. Cost Actuals'!$E$7:$E$176,"*Printing and Reproduction*",'Dept. Cost Actuals'!AA$355:AA$524))</f>
        <v>0</v>
      </c>
      <c r="X37" s="668">
        <f>IF(X$4="forecast",AVERAGE(#REF!),SUMIF('Dept. Cost Actuals'!$E$7:$E$176,"*Printing and Reproduction*",'Dept. Cost Actuals'!AB$355:AB$524))</f>
        <v>0</v>
      </c>
      <c r="Y37" s="668">
        <f>IF(Y$4="forecast",AVERAGE(#REF!),SUMIF('Dept. Cost Actuals'!$E$7:$E$176,"*Printing and Reproduction*",'Dept. Cost Actuals'!AC$355:AC$524))</f>
        <v>0</v>
      </c>
      <c r="Z37" s="668">
        <f>IF(Z$4="forecast",AVERAGE(#REF!),SUMIF('Dept. Cost Actuals'!$E$7:$E$176,"*Printing and Reproduction*",'Dept. Cost Actuals'!AD$355:AD$524))</f>
        <v>0</v>
      </c>
      <c r="AA37" s="668">
        <f>IF(AA$4="forecast",AVERAGE(O37:Z37),SUMIF('Dept. Cost Actuals'!$E$7:$E$176,"*Printing and Reproduction*",'Dept. Cost Actuals'!AE$355:AE$524))</f>
        <v>0</v>
      </c>
      <c r="AB37" s="668">
        <f>IF(AB$4="forecast",AVERAGE(P37:AA37),SUMIF('Dept. Cost Actuals'!$E$7:$E$176,"*Printing and Reproduction*",'Dept. Cost Actuals'!AF$355:AF$524))</f>
        <v>0</v>
      </c>
      <c r="AC37" s="668">
        <f>IF(AC$4="forecast",AVERAGE(Q37:AB37),SUMIF('Dept. Cost Actuals'!$E$7:$E$176,"*Printing and Reproduction*",'Dept. Cost Actuals'!AG$355:AG$524))</f>
        <v>0</v>
      </c>
      <c r="AD37" s="668">
        <f>IF(AD$4="forecast",AVERAGE(R37:AC37),SUMIF('Dept. Cost Actuals'!$E$7:$E$176,"*Printing and Reproduction*",'Dept. Cost Actuals'!AH$355:AH$524))</f>
        <v>5.9375</v>
      </c>
      <c r="AE37" s="668">
        <f>IF(AE$4="forecast",AVERAGE(S37:AD37),SUMIF('Dept. Cost Actuals'!$E$7:$E$176,"*Printing and Reproduction*",'Dept. Cost Actuals'!AI$355:AI$524))</f>
        <v>0.49479166666666669</v>
      </c>
      <c r="AF37" s="668">
        <f>IF(AF$4="forecast",AVERAGE(T37:AE37),SUMIF('Dept. Cost Actuals'!$E$7:$E$176,"*Printing and Reproduction*",'Dept. Cost Actuals'!AJ$355:AJ$524))</f>
        <v>0.53602430555555558</v>
      </c>
      <c r="AG37" s="668">
        <f>IF(AG$4="forecast",AVERAGE(U37:AF37),SUMIF('Dept. Cost Actuals'!$E$7:$E$176,"*Printing and Reproduction*",'Dept. Cost Actuals'!AK$355:AK$524))</f>
        <v>0.58069299768518523</v>
      </c>
      <c r="AH37" s="668">
        <f>IF(AH$4="forecast",AVERAGE(V37:AG37),SUMIF('Dept. Cost Actuals'!$E$7:$E$176,"*Printing and Reproduction*",'Dept. Cost Actuals'!AL$355:AL$524))</f>
        <v>0.62908408082561729</v>
      </c>
      <c r="AI37" s="668">
        <f>IF(AI$4="forecast",AVERAGE(W37:AH37),SUMIF('Dept. Cost Actuals'!$E$7:$E$176,"*Printing and Reproduction*",'Dept. Cost Actuals'!AM$355:AM$524))</f>
        <v>0.68150775422775212</v>
      </c>
      <c r="AJ37" s="668">
        <f>IF(AJ$4="forecast",AVERAGE(X37:AI37),SUMIF('Dept. Cost Actuals'!$E$7:$E$176,"*Printing and Reproduction*",'Dept. Cost Actuals'!AN$355:AN$524))</f>
        <v>0.73830006708006479</v>
      </c>
      <c r="AK37" s="668">
        <f>IF(AK$4="forecast",AVERAGE(Y37:AJ37),SUMIF('Dept. Cost Actuals'!$E$7:$E$176,"*Printing and Reproduction*",'Dept. Cost Actuals'!AO$355:AO$524))</f>
        <v>0.79982507267007019</v>
      </c>
      <c r="AL37" s="668">
        <f>IF(AL$4="forecast",AVERAGE(Z37:AK37),SUMIF('Dept. Cost Actuals'!$E$7:$E$176,"*Printing and Reproduction*",'Dept. Cost Actuals'!AP$355:AP$524))</f>
        <v>0.86647716205924274</v>
      </c>
      <c r="AM37" s="668">
        <f>IF(AM$4="forecast",AVERAGE(AA37:AL37),SUMIF('Dept. Cost Actuals'!$E$7:$E$176,"*Printing and Reproduction*",'Dept. Cost Actuals'!AQ$355:AQ$524))</f>
        <v>0.9386835922308463</v>
      </c>
      <c r="AN37" s="668">
        <f>IF(AN$4="forecast",AVERAGE(AB37:AM37),SUMIF('Dept. Cost Actuals'!$E$7:$E$176,"*Printing and Reproduction*",'Dept. Cost Actuals'!AR$355:AR$524))</f>
        <v>1.0169072249167501</v>
      </c>
      <c r="AO37" s="668">
        <f>IF(AO$4="forecast",AVERAGE(AC37:AN37),SUMIF('Dept. Cost Actuals'!$E$7:$E$176,"*Printing and Reproduction*",'Dept. Cost Actuals'!AS$355:AS$524))</f>
        <v>1.1016494936598127</v>
      </c>
      <c r="AP37" s="668">
        <f>IF(AP$4="forecast",AVERAGE(AD37:AO37),SUMIF('Dept. Cost Actuals'!$E$7:$E$176,"*Printing and Reproduction*",'Dept. Cost Actuals'!AT$355:AT$524))</f>
        <v>1.1934536181314639</v>
      </c>
      <c r="AQ37" s="668">
        <f>IF(AQ$4="forecast",AVERAGE(AE37:AP37),SUMIF('Dept. Cost Actuals'!$E$7:$E$176,"*Printing and Reproduction*",'Dept. Cost Actuals'!AU$355:AU$524))</f>
        <v>0.79811641964241886</v>
      </c>
      <c r="AR37" s="668">
        <f>IF(AR$4="forecast",AVERAGE(AF37:AQ37),SUMIF('Dept. Cost Actuals'!$E$7:$E$176,"*Printing and Reproduction*",'Dept. Cost Actuals'!AV$355:AV$524))</f>
        <v>0.82339348239039822</v>
      </c>
      <c r="AS37" s="668">
        <f>IF(AS$4="forecast",AVERAGE(AG37:AR37),SUMIF('Dept. Cost Actuals'!$E$7:$E$176,"*Printing and Reproduction*",'Dept. Cost Actuals'!AW$355:AW$524))</f>
        <v>0.8473409137933019</v>
      </c>
      <c r="AT37" s="668">
        <f>IF(AT$4="forecast",AVERAGE(AH37:AS37),SUMIF('Dept. Cost Actuals'!$E$7:$E$176,"*Printing and Reproduction*",'Dept. Cost Actuals'!AX$355:AX$524))</f>
        <v>0.86956157346897822</v>
      </c>
      <c r="AU37" s="668">
        <f>IF(AU$4="forecast",AVERAGE(AI37:AT37),SUMIF('Dept. Cost Actuals'!$E$7:$E$176,"*Printing and Reproduction*",'Dept. Cost Actuals'!AY$355:AY$524))</f>
        <v>0.88960136452259164</v>
      </c>
      <c r="AV37" s="668">
        <f>IF(AV$4="forecast",AVERAGE(AJ37:AU37),SUMIF('Dept. Cost Actuals'!$E$7:$E$176,"*Printing and Reproduction*",'Dept. Cost Actuals'!AZ$355:AZ$524))</f>
        <v>0.90694249871382837</v>
      </c>
      <c r="AW37" s="668">
        <f>IF(AW$4="forecast",AVERAGE(AK37:AV37),SUMIF('Dept. Cost Actuals'!$E$7:$E$176,"*Printing and Reproduction*",'Dept. Cost Actuals'!BA$355:BA$524))</f>
        <v>0.92099603468330871</v>
      </c>
      <c r="AX37" s="668">
        <f>IF(AX$4="forecast",AVERAGE(AL37:AW37),SUMIF('Dept. Cost Actuals'!$E$7:$E$176,"*Printing and Reproduction*",'Dept. Cost Actuals'!BB$355:BB$524))</f>
        <v>0.93109361485107855</v>
      </c>
      <c r="AY37" s="668">
        <f>IF(AY$4="forecast",AVERAGE(AM37:AX37),SUMIF('Dept. Cost Actuals'!$E$7:$E$176,"*Printing and Reproduction*",'Dept. Cost Actuals'!BC$355:BC$524))</f>
        <v>0.93647831925039826</v>
      </c>
      <c r="AZ37" s="668">
        <f>IF(AZ$4="forecast",AVERAGE(AN37:AY37),SUMIF('Dept. Cost Actuals'!$E$7:$E$176,"*Printing and Reproduction*",'Dept. Cost Actuals'!BD$355:BD$524))</f>
        <v>0.93629454650202748</v>
      </c>
      <c r="BA37" s="668">
        <f>IF(BA$4="forecast",AVERAGE(AO37:AZ37),SUMIF('Dept. Cost Actuals'!$E$7:$E$176,"*Printing and Reproduction*",'Dept. Cost Actuals'!BE$355:BE$524))</f>
        <v>0.92957682330080049</v>
      </c>
      <c r="BB37" s="668">
        <f>IF(BB$4="forecast",AVERAGE(AP37:BA37),SUMIF('Dept. Cost Actuals'!$E$7:$E$176,"*Printing and Reproduction*",'Dept. Cost Actuals'!BF$355:BF$524))</f>
        <v>0.91523743410421632</v>
      </c>
      <c r="BC37" s="668">
        <f>IF(BC$4="forecast",AVERAGE(AQ37:BB37),SUMIF('Dept. Cost Actuals'!$E$7:$E$176,"*Printing and Reproduction*",'Dept. Cost Actuals'!BG$355:BG$524))</f>
        <v>0.89205275210194568</v>
      </c>
      <c r="BD37" s="668">
        <f>IF(BD$4="forecast",AVERAGE(AR37:BC37),SUMIF('Dept. Cost Actuals'!$E$7:$E$176,"*Printing and Reproduction*",'Dept. Cost Actuals'!BH$355:BH$524))</f>
        <v>0.89988077980690606</v>
      </c>
      <c r="BE37" s="668">
        <f>IF(BE$4="forecast",AVERAGE(AS37:BD37),SUMIF('Dept. Cost Actuals'!$E$7:$E$176,"*Printing and Reproduction*",'Dept. Cost Actuals'!BI$355:BI$524))</f>
        <v>0.90625472125828177</v>
      </c>
      <c r="BF37" s="668">
        <f>IF(BF$4="forecast",AVERAGE(AT37:BE37),SUMIF('Dept. Cost Actuals'!$E$7:$E$176,"*Printing and Reproduction*",'Dept. Cost Actuals'!BJ$355:BJ$524))</f>
        <v>0.91116420521369701</v>
      </c>
      <c r="BG37" s="668">
        <f>IF(BG$4="forecast",AVERAGE(AU37:BF37),SUMIF('Dept. Cost Actuals'!$E$7:$E$176,"*Printing and Reproduction*",'Dept. Cost Actuals'!BK$355:BK$524))</f>
        <v>0.91463109119242336</v>
      </c>
      <c r="BH37" s="668">
        <f>IF(BH$4="forecast",AVERAGE(AV37:BG37),SUMIF('Dept. Cost Actuals'!$E$7:$E$176,"*Printing and Reproduction*",'Dept. Cost Actuals'!BL$355:BL$524))</f>
        <v>0.91671690174824272</v>
      </c>
      <c r="BI37" s="668">
        <f>IF(BI$4="forecast",AVERAGE(AW37:BH37),SUMIF('Dept. Cost Actuals'!$E$7:$E$176,"*Printing and Reproduction*",'Dept. Cost Actuals'!BM$355:BM$524))</f>
        <v>0.91753143533444359</v>
      </c>
      <c r="BJ37" s="668">
        <f>IF(BJ$4="forecast",AVERAGE(AX37:BI37),SUMIF('Dept. Cost Actuals'!$E$7:$E$176,"*Printing and Reproduction*",'Dept. Cost Actuals'!BN$355:BN$524))</f>
        <v>0.91724271872203855</v>
      </c>
      <c r="BK37" s="668">
        <f>IF(BK$4="forecast",AVERAGE(AY37:BJ37),SUMIF('Dept. Cost Actuals'!$E$7:$E$176,"*Printing and Reproduction*",'Dept. Cost Actuals'!BO$355:BO$524))</f>
        <v>0.91608847737795174</v>
      </c>
      <c r="BL37" s="668">
        <f>IF(BL$4="forecast",AVERAGE(AZ37:BK37),SUMIF('Dept. Cost Actuals'!$E$7:$E$176,"*Printing and Reproduction*",'Dept. Cost Actuals'!BP$355:BP$524))</f>
        <v>0.9143893238885813</v>
      </c>
      <c r="BM37" s="668">
        <f>IF(BM$4="forecast",AVERAGE(BA37:BL37),SUMIF('Dept. Cost Actuals'!$E$7:$E$176,"*Printing and Reproduction*",'Dept. Cost Actuals'!BQ$355:BQ$524))</f>
        <v>0.91256388867079419</v>
      </c>
      <c r="BN37" s="668">
        <f>IF(BN$4="forecast",AVERAGE(BB37:BM37),SUMIF('Dept. Cost Actuals'!$E$7:$E$176,"*Printing and Reproduction*",'Dept. Cost Actuals'!BR$355:BR$524))</f>
        <v>0.91114614411829364</v>
      </c>
      <c r="BO37" s="668">
        <f>IF(BO$4="forecast",AVERAGE(BC37:BN37),SUMIF('Dept. Cost Actuals'!$E$7:$E$176,"*Printing and Reproduction*",'Dept. Cost Actuals'!BS$355:BS$524))</f>
        <v>0.91080520328613324</v>
      </c>
      <c r="BP37" s="668">
        <f>IF(BP$4="forecast",AVERAGE(BD37:BO37),SUMIF('Dept. Cost Actuals'!$E$7:$E$176,"*Printing and Reproduction*",'Dept. Cost Actuals'!BT$355:BT$524))</f>
        <v>0.91236790755148212</v>
      </c>
      <c r="BQ37" s="668">
        <f>IF(BQ$4="forecast",AVERAGE(BE37:BP37),SUMIF('Dept. Cost Actuals'!$E$7:$E$176,"*Printing and Reproduction*",'Dept. Cost Actuals'!BU$355:BU$524))</f>
        <v>0.91340850153019681</v>
      </c>
      <c r="BR37" s="668">
        <f>IF(BR$4="forecast",AVERAGE(BF37:BQ37),SUMIF('Dept. Cost Actuals'!$E$7:$E$176,"*Printing and Reproduction*",'Dept. Cost Actuals'!BV$355:BV$524))</f>
        <v>0.9140046498861899</v>
      </c>
      <c r="BS37" s="668">
        <f>IF(BS$4="forecast",AVERAGE(BG37:BR37),SUMIF('Dept. Cost Actuals'!$E$7:$E$176,"*Printing and Reproduction*",'Dept. Cost Actuals'!BW$355:BW$524))</f>
        <v>0.91424135360889769</v>
      </c>
      <c r="BT37" s="668">
        <f>IF(BT$4="forecast",AVERAGE(BH37:BS37),SUMIF('Dept. Cost Actuals'!$E$7:$E$176,"*Printing and Reproduction*",'Dept. Cost Actuals'!BX$355:BX$524))</f>
        <v>0.91420887547693719</v>
      </c>
      <c r="BU37" s="668">
        <f>IF(BU$4="forecast",AVERAGE(BI37:BT37),SUMIF('Dept. Cost Actuals'!$E$7:$E$176,"*Printing and Reproduction*",'Dept. Cost Actuals'!BY$355:BY$524))</f>
        <v>0.91399987328766175</v>
      </c>
      <c r="BV37" s="790">
        <f>IF(BV$4="forecast",AVERAGE(BJ37:BU37),SUMIF('Dept. Cost Actuals'!$E$7:$E$176,"*Printing and Reproduction*",'Dept. Cost Actuals'!BZ$355:BZ$524))</f>
        <v>0.91370557645042982</v>
      </c>
    </row>
    <row r="38" spans="2:74" x14ac:dyDescent="0.25">
      <c r="B38" s="794" t="s">
        <v>921</v>
      </c>
      <c r="C38" s="668">
        <f>IF(C$4="forecast",AVERAGE(#REF!),SUMIF('Dept. Cost Actuals'!$E$7:$E$176,"*Office Supplies*",'Dept. Cost Actuals'!G$355:G$524))</f>
        <v>208.08498911708659</v>
      </c>
      <c r="D38" s="668">
        <f>IF(D$4="forecast",AVERAGE(#REF!),SUMIF('Dept. Cost Actuals'!$E$7:$E$176,"*Office Supplies*",'Dept. Cost Actuals'!H$355:H$524))</f>
        <v>151.19530972637</v>
      </c>
      <c r="E38" s="668">
        <f>IF(E$4="forecast",AVERAGE(#REF!),SUMIF('Dept. Cost Actuals'!$E$7:$E$176,"*Office Supplies*",'Dept. Cost Actuals'!I$355:I$524))</f>
        <v>415.08569080758139</v>
      </c>
      <c r="F38" s="668">
        <f>IF(F$4="forecast",AVERAGE(#REF!),SUMIF('Dept. Cost Actuals'!$E$7:$E$176,"*Office Supplies*",'Dept. Cost Actuals'!J$355:J$524))</f>
        <v>354.64885681070547</v>
      </c>
      <c r="G38" s="668">
        <f>IF(G$4="forecast",AVERAGE(#REF!),SUMIF('Dept. Cost Actuals'!$E$7:$E$176,"*Office Supplies*",'Dept. Cost Actuals'!K$355:K$524))</f>
        <v>141.4010616450179</v>
      </c>
      <c r="H38" s="668">
        <f>IF(H$4="forecast",AVERAGE(#REF!),SUMIF('Dept. Cost Actuals'!$E$7:$E$176,"*Office Supplies*",'Dept. Cost Actuals'!L$355:L$524))</f>
        <v>463.27723792200788</v>
      </c>
      <c r="I38" s="668">
        <f>IF(I$4="forecast",AVERAGE(#REF!),SUMIF('Dept. Cost Actuals'!$E$7:$E$176,"*Office Supplies*",'Dept. Cost Actuals'!M$355:M$524))</f>
        <v>997.39178980647125</v>
      </c>
      <c r="J38" s="668">
        <f>IF(J$4="forecast",AVERAGE(#REF!),SUMIF('Dept. Cost Actuals'!$E$7:$E$176,"*Office Supplies*",'Dept. Cost Actuals'!N$355:N$524))</f>
        <v>444.15126580693186</v>
      </c>
      <c r="K38" s="668">
        <f>IF(K$4="forecast",AVERAGE(#REF!),SUMIF('Dept. Cost Actuals'!$E$7:$E$176,"*Office Supplies*",'Dept. Cost Actuals'!O$355:O$524))</f>
        <v>410.21916519572301</v>
      </c>
      <c r="L38" s="668">
        <f>IF(L$4="forecast",AVERAGE(#REF!),SUMIF('Dept. Cost Actuals'!$E$7:$E$176,"*Office Supplies*",'Dept. Cost Actuals'!P$355:P$524))</f>
        <v>517.60078263065111</v>
      </c>
      <c r="M38" s="668">
        <f>IF(M$4="forecast",AVERAGE(#REF!),SUMIF('Dept. Cost Actuals'!$E$7:$E$176,"*Office Supplies*",'Dept. Cost Actuals'!Q$355:Q$524))</f>
        <v>398.17054444451406</v>
      </c>
      <c r="N38" s="668">
        <f>IF(N$4="forecast",AVERAGE(#REF!),SUMIF('Dept. Cost Actuals'!$E$7:$E$176,"*Office Supplies*",'Dept. Cost Actuals'!R$355:R$524))</f>
        <v>184.52116564915823</v>
      </c>
      <c r="O38" s="668">
        <f>IF(O$4="forecast",AVERAGE(#REF!),SUMIF('Dept. Cost Actuals'!$E$7:$E$176,"*Office Supplies*",'Dept. Cost Actuals'!S$355:S$524))</f>
        <v>641.36</v>
      </c>
      <c r="P38" s="668">
        <f>IF(P$4="forecast",AVERAGE(#REF!),SUMIF('Dept. Cost Actuals'!$E$7:$E$176,"*Office Supplies*",'Dept. Cost Actuals'!T$355:T$524))</f>
        <v>3606.17</v>
      </c>
      <c r="Q38" s="668">
        <f>IF(Q$4="forecast",AVERAGE(#REF!),SUMIF('Dept. Cost Actuals'!$E$7:$E$176,"*Office Supplies*",'Dept. Cost Actuals'!U$355:U$524))</f>
        <v>226.9</v>
      </c>
      <c r="R38" s="668">
        <f>IF(R$4="forecast",AVERAGE(#REF!),SUMIF('Dept. Cost Actuals'!$E$7:$E$176,"*Office Supplies*",'Dept. Cost Actuals'!V$355:V$524))</f>
        <v>47.95</v>
      </c>
      <c r="S38" s="668">
        <f>IF(S$4="forecast",AVERAGE(#REF!),SUMIF('Dept. Cost Actuals'!$E$7:$E$176,"*Office Supplies*",'Dept. Cost Actuals'!W$355:W$524))</f>
        <v>0</v>
      </c>
      <c r="T38" s="668">
        <f>IF(T$4="forecast",AVERAGE(#REF!),SUMIF('Dept. Cost Actuals'!$E$7:$E$176,"*Office Supplies*",'Dept. Cost Actuals'!X$355:X$524))</f>
        <v>87.31</v>
      </c>
      <c r="U38" s="668">
        <f>IF(U$4="forecast",AVERAGE(#REF!),SUMIF('Dept. Cost Actuals'!$E$7:$E$176,"*Office Supplies*",'Dept. Cost Actuals'!Y$355:Y$524))</f>
        <v>476.52</v>
      </c>
      <c r="V38" s="668">
        <f>IF(V$4="forecast",AVERAGE(#REF!),SUMIF('Dept. Cost Actuals'!$E$7:$E$176,"*Office Supplies*",'Dept. Cost Actuals'!Z$355:Z$524))</f>
        <v>14.95</v>
      </c>
      <c r="W38" s="668">
        <f>IF(W$4="forecast",AVERAGE(#REF!),SUMIF('Dept. Cost Actuals'!$E$7:$E$176,"*Office Supplies*",'Dept. Cost Actuals'!AA$355:AA$524))</f>
        <v>31.58</v>
      </c>
      <c r="X38" s="668">
        <f>IF(X$4="forecast",AVERAGE(#REF!),SUMIF('Dept. Cost Actuals'!$E$7:$E$176,"*Office Supplies*",'Dept. Cost Actuals'!AB$355:AB$524))</f>
        <v>0</v>
      </c>
      <c r="Y38" s="668">
        <f>IF(Y$4="forecast",AVERAGE(#REF!),SUMIF('Dept. Cost Actuals'!$E$7:$E$176,"*Office Supplies*",'Dept. Cost Actuals'!AC$355:AC$524))</f>
        <v>353.69</v>
      </c>
      <c r="Z38" s="668">
        <f>IF(Z$4="forecast",AVERAGE(#REF!),SUMIF('Dept. Cost Actuals'!$E$7:$E$176,"*Office Supplies*",'Dept. Cost Actuals'!AD$355:AD$524))</f>
        <v>65.66</v>
      </c>
      <c r="AA38" s="668">
        <f>IF(AA$4="forecast",AVERAGE(O38:Z38),SUMIF('Dept. Cost Actuals'!$E$7:$E$176,"*Office Supplies*",'Dept. Cost Actuals'!AE$355:AE$524))</f>
        <v>368.01</v>
      </c>
      <c r="AB38" s="668">
        <f>IF(AB$4="forecast",AVERAGE(P38:AA38),SUMIF('Dept. Cost Actuals'!$E$7:$E$176,"*Office Supplies*",'Dept. Cost Actuals'!AF$355:AF$524))</f>
        <v>14.22</v>
      </c>
      <c r="AC38" s="668">
        <f>IF(AC$4="forecast",AVERAGE(Q38:AB38),SUMIF('Dept. Cost Actuals'!$E$7:$E$176,"*Office Supplies*",'Dept. Cost Actuals'!AG$355:AG$524))</f>
        <v>0</v>
      </c>
      <c r="AD38" s="668">
        <f>IF(AD$4="forecast",AVERAGE(R38:AC38),SUMIF('Dept. Cost Actuals'!$E$7:$E$176,"*Office Supplies*",'Dept. Cost Actuals'!AH$355:AH$524))</f>
        <v>121.65750000000001</v>
      </c>
      <c r="AE38" s="668">
        <f>IF(AE$4="forecast",AVERAGE(S38:AD38),SUMIF('Dept. Cost Actuals'!$E$7:$E$176,"*Office Supplies*",'Dept. Cost Actuals'!AI$355:AI$524))</f>
        <v>127.79979166666668</v>
      </c>
      <c r="AF38" s="668">
        <f>IF(AF$4="forecast",AVERAGE(T38:AE38),SUMIF('Dept. Cost Actuals'!$E$7:$E$176,"*Office Supplies*",'Dept. Cost Actuals'!AJ$355:AJ$524))</f>
        <v>138.44977430555556</v>
      </c>
      <c r="AG38" s="668">
        <f>IF(AG$4="forecast",AVERAGE(U38:AF38),SUMIF('Dept. Cost Actuals'!$E$7:$E$176,"*Office Supplies*",'Dept. Cost Actuals'!AK$355:AK$524))</f>
        <v>142.71142216435183</v>
      </c>
      <c r="AH38" s="668">
        <f>IF(AH$4="forecast",AVERAGE(V38:AG38),SUMIF('Dept. Cost Actuals'!$E$7:$E$176,"*Office Supplies*",'Dept. Cost Actuals'!AL$355:AL$524))</f>
        <v>114.89404067804786</v>
      </c>
      <c r="AI38" s="668">
        <f>IF(AI$4="forecast",AVERAGE(W38:AH38),SUMIF('Dept. Cost Actuals'!$E$7:$E$176,"*Office Supplies*",'Dept. Cost Actuals'!AM$355:AM$524))</f>
        <v>123.22271073455182</v>
      </c>
      <c r="AJ38" s="668">
        <f>IF(AJ$4="forecast",AVERAGE(X38:AI38),SUMIF('Dept. Cost Actuals'!$E$7:$E$176,"*Office Supplies*",'Dept. Cost Actuals'!AN$355:AN$524))</f>
        <v>130.85960329576449</v>
      </c>
      <c r="AK38" s="668">
        <f>IF(AK$4="forecast",AVERAGE(Y38:AJ38),SUMIF('Dept. Cost Actuals'!$E$7:$E$176,"*Office Supplies*",'Dept. Cost Actuals'!AO$355:AO$524))</f>
        <v>141.76457023707817</v>
      </c>
      <c r="AL38" s="668">
        <f>IF(AL$4="forecast",AVERAGE(Z38:AK38),SUMIF('Dept. Cost Actuals'!$E$7:$E$176,"*Office Supplies*",'Dept. Cost Actuals'!AP$355:AP$524))</f>
        <v>124.1041177568347</v>
      </c>
      <c r="AM38" s="668">
        <f>IF(AM$4="forecast",AVERAGE(AA38:AL38),SUMIF('Dept. Cost Actuals'!$E$7:$E$176,"*Office Supplies*",'Dept. Cost Actuals'!AQ$355:AQ$524))</f>
        <v>128.9744609032376</v>
      </c>
      <c r="AN38" s="668">
        <f>IF(AN$4="forecast",AVERAGE(AB38:AM38),SUMIF('Dept. Cost Actuals'!$E$7:$E$176,"*Office Supplies*",'Dept. Cost Actuals'!AR$355:AR$524))</f>
        <v>109.05483264517405</v>
      </c>
      <c r="AO38" s="668">
        <f>IF(AO$4="forecast",AVERAGE(AC38:AN38),SUMIF('Dept. Cost Actuals'!$E$7:$E$176,"*Office Supplies*",'Dept. Cost Actuals'!AS$355:AS$524))</f>
        <v>116.95773536560523</v>
      </c>
      <c r="AP38" s="668">
        <f>IF(AP$4="forecast",AVERAGE(AD38:AO38),SUMIF('Dept. Cost Actuals'!$E$7:$E$176,"*Office Supplies*",'Dept. Cost Actuals'!AT$355:AT$524))</f>
        <v>126.704213312739</v>
      </c>
      <c r="AQ38" s="668">
        <f>IF(AQ$4="forecast",AVERAGE(AE38:AP38),SUMIF('Dept. Cost Actuals'!$E$7:$E$176,"*Office Supplies*",'Dept. Cost Actuals'!AU$355:AU$524))</f>
        <v>127.12477275546723</v>
      </c>
      <c r="AR38" s="668">
        <f>IF(AR$4="forecast",AVERAGE(AF38:AQ38),SUMIF('Dept. Cost Actuals'!$E$7:$E$176,"*Office Supplies*",'Dept. Cost Actuals'!AV$355:AV$524))</f>
        <v>127.06852117953395</v>
      </c>
      <c r="AS38" s="668">
        <f>IF(AS$4="forecast",AVERAGE(AG38:AR38),SUMIF('Dept. Cost Actuals'!$E$7:$E$176,"*Office Supplies*",'Dept. Cost Actuals'!AW$355:AW$524))</f>
        <v>126.12008341903216</v>
      </c>
      <c r="AT38" s="668">
        <f>IF(AT$4="forecast",AVERAGE(AH38:AS38),SUMIF('Dept. Cost Actuals'!$E$7:$E$176,"*Office Supplies*",'Dept. Cost Actuals'!AX$355:AX$524))</f>
        <v>124.73747185692218</v>
      </c>
      <c r="AU38" s="668">
        <f>IF(AU$4="forecast",AVERAGE(AI38:AT38),SUMIF('Dept. Cost Actuals'!$E$7:$E$176,"*Office Supplies*",'Dept. Cost Actuals'!AY$355:AY$524))</f>
        <v>125.55775778849507</v>
      </c>
      <c r="AV38" s="668">
        <f>IF(AV$4="forecast",AVERAGE(AJ38:AU38),SUMIF('Dept. Cost Actuals'!$E$7:$E$176,"*Office Supplies*",'Dept. Cost Actuals'!AZ$355:AZ$524))</f>
        <v>125.75234504299033</v>
      </c>
      <c r="AW38" s="668">
        <f>IF(AW$4="forecast",AVERAGE(AK38:AV38),SUMIF('Dept. Cost Actuals'!$E$7:$E$176,"*Office Supplies*",'Dept. Cost Actuals'!BA$355:BA$524))</f>
        <v>125.32674018859247</v>
      </c>
      <c r="AX38" s="668">
        <f>IF(AX$4="forecast",AVERAGE(AL38:AW38),SUMIF('Dept. Cost Actuals'!$E$7:$E$176,"*Office Supplies*",'Dept. Cost Actuals'!BB$355:BB$524))</f>
        <v>123.95692101788535</v>
      </c>
      <c r="AY38" s="668">
        <f>IF(AY$4="forecast",AVERAGE(AM38:AX38),SUMIF('Dept. Cost Actuals'!$E$7:$E$176,"*Office Supplies*",'Dept. Cost Actuals'!BC$355:BC$524))</f>
        <v>123.94465462297291</v>
      </c>
      <c r="AZ38" s="668">
        <f>IF(AZ$4="forecast",AVERAGE(AN38:AY38),SUMIF('Dept. Cost Actuals'!$E$7:$E$176,"*Office Supplies*",'Dept. Cost Actuals'!BD$355:BD$524))</f>
        <v>123.52550409961752</v>
      </c>
      <c r="BA38" s="668">
        <f>IF(BA$4="forecast",AVERAGE(AO38:AZ38),SUMIF('Dept. Cost Actuals'!$E$7:$E$176,"*Office Supplies*",'Dept. Cost Actuals'!BE$355:BE$524))</f>
        <v>124.7313933874878</v>
      </c>
      <c r="BB38" s="668">
        <f>IF(BB$4="forecast",AVERAGE(AP38:BA38),SUMIF('Dept. Cost Actuals'!$E$7:$E$176,"*Office Supplies*",'Dept. Cost Actuals'!BF$355:BF$524))</f>
        <v>125.37919822264466</v>
      </c>
      <c r="BC38" s="668">
        <f>IF(BC$4="forecast",AVERAGE(AQ38:BB38),SUMIF('Dept. Cost Actuals'!$E$7:$E$176,"*Office Supplies*",'Dept. Cost Actuals'!BG$355:BG$524))</f>
        <v>125.26878029847012</v>
      </c>
      <c r="BD38" s="668">
        <f>IF(BD$4="forecast",AVERAGE(AR38:BC38),SUMIF('Dept. Cost Actuals'!$E$7:$E$176,"*Office Supplies*",'Dept. Cost Actuals'!BH$355:BH$524))</f>
        <v>125.11411426038704</v>
      </c>
      <c r="BE38" s="668">
        <f>IF(BE$4="forecast",AVERAGE(AS38:BD38),SUMIF('Dept. Cost Actuals'!$E$7:$E$176,"*Office Supplies*",'Dept. Cost Actuals'!BI$355:BI$524))</f>
        <v>124.95124701712479</v>
      </c>
      <c r="BF38" s="668">
        <f>IF(BF$4="forecast",AVERAGE(AT38:BE38),SUMIF('Dept. Cost Actuals'!$E$7:$E$176,"*Office Supplies*",'Dept. Cost Actuals'!BJ$355:BJ$524))</f>
        <v>124.8538439836325</v>
      </c>
      <c r="BG38" s="668">
        <f>IF(BG$4="forecast",AVERAGE(AU38:BF38),SUMIF('Dept. Cost Actuals'!$E$7:$E$176,"*Office Supplies*",'Dept. Cost Actuals'!BK$355:BK$524))</f>
        <v>124.86354166085836</v>
      </c>
      <c r="BH38" s="668">
        <f>IF(BH$4="forecast",AVERAGE(AV38:BG38),SUMIF('Dept. Cost Actuals'!$E$7:$E$176,"*Office Supplies*",'Dept. Cost Actuals'!BL$355:BL$524))</f>
        <v>124.80569031688863</v>
      </c>
      <c r="BI38" s="668">
        <f>IF(BI$4="forecast",AVERAGE(AW38:BH38),SUMIF('Dept. Cost Actuals'!$E$7:$E$176,"*Office Supplies*",'Dept. Cost Actuals'!BM$355:BM$524))</f>
        <v>124.72680242304683</v>
      </c>
      <c r="BJ38" s="668">
        <f>IF(BJ$4="forecast",AVERAGE(AX38:BI38),SUMIF('Dept. Cost Actuals'!$E$7:$E$176,"*Office Supplies*",'Dept. Cost Actuals'!BN$355:BN$524))</f>
        <v>124.67680760925136</v>
      </c>
      <c r="BK38" s="668">
        <f>IF(BK$4="forecast",AVERAGE(AY38:BJ38),SUMIF('Dept. Cost Actuals'!$E$7:$E$176,"*Office Supplies*",'Dept. Cost Actuals'!BO$355:BO$524))</f>
        <v>124.73679815853188</v>
      </c>
      <c r="BL38" s="668">
        <f>IF(BL$4="forecast",AVERAGE(AZ38:BK38),SUMIF('Dept. Cost Actuals'!$E$7:$E$176,"*Office Supplies*",'Dept. Cost Actuals'!BP$355:BP$524))</f>
        <v>124.80281011982845</v>
      </c>
      <c r="BM38" s="668">
        <f>IF(BM$4="forecast",AVERAGE(BA38:BL38),SUMIF('Dept. Cost Actuals'!$E$7:$E$176,"*Office Supplies*",'Dept. Cost Actuals'!BQ$355:BQ$524))</f>
        <v>124.90925228817939</v>
      </c>
      <c r="BN38" s="668">
        <f>IF(BN$4="forecast",AVERAGE(BB38:BM38),SUMIF('Dept. Cost Actuals'!$E$7:$E$176,"*Office Supplies*",'Dept. Cost Actuals'!BR$355:BR$524))</f>
        <v>124.92407386323701</v>
      </c>
      <c r="BO38" s="668">
        <f>IF(BO$4="forecast",AVERAGE(BC38:BN38),SUMIF('Dept. Cost Actuals'!$E$7:$E$176,"*Office Supplies*",'Dept. Cost Actuals'!BS$355:BS$524))</f>
        <v>124.88614683328636</v>
      </c>
      <c r="BP38" s="668">
        <f>IF(BP$4="forecast",AVERAGE(BD38:BO38),SUMIF('Dept. Cost Actuals'!$E$7:$E$176,"*Office Supplies*",'Dept. Cost Actuals'!BT$355:BT$524))</f>
        <v>124.85426071118771</v>
      </c>
      <c r="BQ38" s="668">
        <f>IF(BQ$4="forecast",AVERAGE(BE38:BP38),SUMIF('Dept. Cost Actuals'!$E$7:$E$176,"*Office Supplies*",'Dept. Cost Actuals'!BU$355:BU$524))</f>
        <v>124.83260624875443</v>
      </c>
      <c r="BR38" s="668">
        <f>IF(BR$4="forecast",AVERAGE(BF38:BQ38),SUMIF('Dept. Cost Actuals'!$E$7:$E$176,"*Office Supplies*",'Dept. Cost Actuals'!BV$355:BV$524))</f>
        <v>124.8227195180569</v>
      </c>
      <c r="BS38" s="668">
        <f>IF(BS$4="forecast",AVERAGE(BG38:BR38),SUMIF('Dept. Cost Actuals'!$E$7:$E$176,"*Office Supplies*",'Dept. Cost Actuals'!BW$355:BW$524))</f>
        <v>124.82012581259227</v>
      </c>
      <c r="BT38" s="668">
        <f>IF(BT$4="forecast",AVERAGE(BH38:BS38),SUMIF('Dept. Cost Actuals'!$E$7:$E$176,"*Office Supplies*",'Dept. Cost Actuals'!BX$355:BX$524))</f>
        <v>124.81650782523677</v>
      </c>
      <c r="BU38" s="668">
        <f>IF(BU$4="forecast",AVERAGE(BI38:BT38),SUMIF('Dept. Cost Actuals'!$E$7:$E$176,"*Office Supplies*",'Dept. Cost Actuals'!BY$355:BY$524))</f>
        <v>124.81740928426579</v>
      </c>
      <c r="BV38" s="790">
        <f>IF(BV$4="forecast",AVERAGE(BJ38:BU38),SUMIF('Dept. Cost Actuals'!$E$7:$E$176,"*Office Supplies*",'Dept. Cost Actuals'!BZ$355:BZ$524))</f>
        <v>124.82495985603403</v>
      </c>
    </row>
    <row r="39" spans="2:74" x14ac:dyDescent="0.25">
      <c r="B39" s="794" t="s">
        <v>922</v>
      </c>
      <c r="C39" s="668">
        <f>IF(C$4="forecast",AVERAGE(#REF!),SUMIF('Dept. Cost Actuals'!$E$7:$E$176,"*Development*",'Dept. Cost Actuals'!G$355:G$524))</f>
        <v>0</v>
      </c>
      <c r="D39" s="668">
        <f>IF(D$4="forecast",AVERAGE(#REF!),SUMIF('Dept. Cost Actuals'!$E$7:$E$176,"*Development*",'Dept. Cost Actuals'!H$355:H$524))</f>
        <v>45.376440658320917</v>
      </c>
      <c r="E39" s="668">
        <f>IF(E$4="forecast",AVERAGE(#REF!),SUMIF('Dept. Cost Actuals'!$E$7:$E$176,"*Development*",'Dept. Cost Actuals'!I$355:I$524))</f>
        <v>59.364835577093857</v>
      </c>
      <c r="F39" s="668">
        <f>IF(F$4="forecast",AVERAGE(#REF!),SUMIF('Dept. Cost Actuals'!$E$7:$E$176,"*Development*",'Dept. Cost Actuals'!J$355:J$524))</f>
        <v>50.301413282183894</v>
      </c>
      <c r="G39" s="668">
        <f>IF(G$4="forecast",AVERAGE(#REF!),SUMIF('Dept. Cost Actuals'!$E$7:$E$176,"*Development*",'Dept. Cost Actuals'!K$355:K$524))</f>
        <v>83.656320887310684</v>
      </c>
      <c r="H39" s="668">
        <f>IF(H$4="forecast",AVERAGE(#REF!),SUMIF('Dept. Cost Actuals'!$E$7:$E$176,"*Development*",'Dept. Cost Actuals'!L$355:L$524))</f>
        <v>0</v>
      </c>
      <c r="I39" s="668">
        <f>IF(I$4="forecast",AVERAGE(#REF!),SUMIF('Dept. Cost Actuals'!$E$7:$E$176,"*Development*",'Dept. Cost Actuals'!M$355:M$524))</f>
        <v>16.652783132326316</v>
      </c>
      <c r="J39" s="668">
        <f>IF(J$4="forecast",AVERAGE(#REF!),SUMIF('Dept. Cost Actuals'!$E$7:$E$176,"*Development*",'Dept. Cost Actuals'!N$355:N$524))</f>
        <v>0</v>
      </c>
      <c r="K39" s="668">
        <f>IF(K$4="forecast",AVERAGE(#REF!),SUMIF('Dept. Cost Actuals'!$E$7:$E$176,"*Development*",'Dept. Cost Actuals'!O$355:O$524))</f>
        <v>0</v>
      </c>
      <c r="L39" s="668">
        <f>IF(L$4="forecast",AVERAGE(#REF!),SUMIF('Dept. Cost Actuals'!$E$7:$E$176,"*Development*",'Dept. Cost Actuals'!P$355:P$524))</f>
        <v>4.9664615132242389</v>
      </c>
      <c r="M39" s="668">
        <f>IF(M$4="forecast",AVERAGE(A39:L39),SUMIF('Dept. Cost Actuals'!$E$7:$E$176,"*Development*",'Dept. Cost Actuals'!Q$355:Q$524))</f>
        <v>0</v>
      </c>
      <c r="N39" s="668">
        <f>IF(N$4="forecast",AVERAGE(B39:M39),SUMIF('Dept. Cost Actuals'!$E$7:$E$176,"*Development*",'Dept. Cost Actuals'!R$355:R$524))</f>
        <v>0</v>
      </c>
      <c r="O39" s="668">
        <f>IF(O$4="forecast",AVERAGE(C39:N39),SUMIF('Dept. Cost Actuals'!$E$7:$E$176,"*Development*",'Dept. Cost Actuals'!S$355:S$524))</f>
        <v>0</v>
      </c>
      <c r="P39" s="668">
        <f>IF(P$4="forecast",AVERAGE(D39:O39),SUMIF('Dept. Cost Actuals'!$E$7:$E$176,"*Development*",'Dept. Cost Actuals'!T$355:T$524))</f>
        <v>0</v>
      </c>
      <c r="Q39" s="668">
        <f>IF(Q$4="forecast",AVERAGE(E39:P39),SUMIF('Dept. Cost Actuals'!$E$7:$E$176,"*Development*",'Dept. Cost Actuals'!U$355:U$524))</f>
        <v>0</v>
      </c>
      <c r="R39" s="668">
        <f>IF(R$4="forecast",AVERAGE(F39:Q39),SUMIF('Dept. Cost Actuals'!$E$7:$E$176,"*Development*",'Dept. Cost Actuals'!V$355:V$524))</f>
        <v>0</v>
      </c>
      <c r="S39" s="668">
        <f>IF(S$4="forecast",AVERAGE(G39:R39),SUMIF('Dept. Cost Actuals'!$E$7:$E$176,"*Development*",'Dept. Cost Actuals'!W$355:W$524))</f>
        <v>0</v>
      </c>
      <c r="T39" s="668">
        <f>IF(T$4="forecast",AVERAGE(H39:S39),SUMIF('Dept. Cost Actuals'!$E$7:$E$176,"*Development*",'Dept. Cost Actuals'!X$355:X$524))</f>
        <v>17.95</v>
      </c>
      <c r="U39" s="668">
        <f>IF(U$4="forecast",AVERAGE(I39:T39),SUMIF('Dept. Cost Actuals'!$E$7:$E$176,"*Development*",'Dept. Cost Actuals'!Y$355:Y$524))</f>
        <v>71.849999999999994</v>
      </c>
      <c r="V39" s="668">
        <f>IF(V$4="forecast",AVERAGE(J39:U39),SUMIF('Dept. Cost Actuals'!$E$7:$E$176,"*Development*",'Dept. Cost Actuals'!Z$355:Z$524))</f>
        <v>0</v>
      </c>
      <c r="W39" s="668">
        <f>IF(W$4="forecast",AVERAGE(K39:V39),SUMIF('Dept. Cost Actuals'!$E$7:$E$176,"*Development*",'Dept. Cost Actuals'!AA$355:AA$524))</f>
        <v>0</v>
      </c>
      <c r="X39" s="668">
        <f>IF(X$4="forecast",AVERAGE(L39:W39),SUMIF('Dept. Cost Actuals'!$E$7:$E$176,"*Development*",'Dept. Cost Actuals'!AB$355:AB$524))</f>
        <v>0</v>
      </c>
      <c r="Y39" s="668">
        <f>IF(Y$4="forecast",AVERAGE(M39:X39),SUMIF('Dept. Cost Actuals'!$E$7:$E$176,"*Development*",'Dept. Cost Actuals'!AC$355:AC$524))</f>
        <v>0</v>
      </c>
      <c r="Z39" s="668">
        <f>IF(Z$4="forecast",AVERAGE(N39:Y39),SUMIF('Dept. Cost Actuals'!$E$7:$E$176,"*Development*",'Dept. Cost Actuals'!AD$355:AD$524))</f>
        <v>0</v>
      </c>
      <c r="AA39" s="668">
        <f>IF(AA$4="forecast",AVERAGE(O39:Z39),SUMIF('Dept. Cost Actuals'!$E$7:$E$176,"*Development*",'Dept. Cost Actuals'!AE$355:AE$524))</f>
        <v>0</v>
      </c>
      <c r="AB39" s="668">
        <f>IF(AB$4="forecast",AVERAGE(P39:AA39),SUMIF('Dept. Cost Actuals'!$E$7:$E$176,"*Development*",'Dept. Cost Actuals'!AF$355:AF$524))</f>
        <v>27.48</v>
      </c>
      <c r="AC39" s="668">
        <f>IF(AC$4="forecast",AVERAGE(Q39:AB39),SUMIF('Dept. Cost Actuals'!$E$7:$E$176,"*Development*",'Dept. Cost Actuals'!AG$355:AG$524))</f>
        <v>0</v>
      </c>
      <c r="AD39" s="668">
        <f>IF(AD$4="forecast",AVERAGE(R39:AC39),SUMIF('Dept. Cost Actuals'!$E$7:$E$176,"*Development*",'Dept. Cost Actuals'!AH$355:AH$524))</f>
        <v>9.7733333333333334</v>
      </c>
      <c r="AE39" s="668">
        <f>IF(AE$4="forecast",AVERAGE(S39:AD39),SUMIF('Dept. Cost Actuals'!$E$7:$E$176,"*Development*",'Dept. Cost Actuals'!AI$355:AI$524))</f>
        <v>10.587777777777779</v>
      </c>
      <c r="AF39" s="668">
        <f>IF(AF$4="forecast",AVERAGE(T39:AE39),SUMIF('Dept. Cost Actuals'!$E$7:$E$176,"*Development*",'Dept. Cost Actuals'!AJ$355:AJ$524))</f>
        <v>11.470092592592593</v>
      </c>
      <c r="AG39" s="668">
        <f>IF(AG$4="forecast",AVERAGE(U39:AF39),SUMIF('Dept. Cost Actuals'!$E$7:$E$176,"*Development*",'Dept. Cost Actuals'!AK$355:AK$524))</f>
        <v>10.930100308641974</v>
      </c>
      <c r="AH39" s="668">
        <f>IF(AH$4="forecast",AVERAGE(V39:AG39),SUMIF('Dept. Cost Actuals'!$E$7:$E$176,"*Development*",'Dept. Cost Actuals'!AL$355:AL$524))</f>
        <v>5.8534420010288066</v>
      </c>
      <c r="AI39" s="668">
        <f>IF(AI$4="forecast",AVERAGE(W39:AH39),SUMIF('Dept. Cost Actuals'!$E$7:$E$176,"*Development*",'Dept. Cost Actuals'!AM$355:AM$524))</f>
        <v>6.3412288344478744</v>
      </c>
      <c r="AJ39" s="668">
        <f>IF(AJ$4="forecast",AVERAGE(X39:AI39),SUMIF('Dept. Cost Actuals'!$E$7:$E$176,"*Development*",'Dept. Cost Actuals'!AN$355:AN$524))</f>
        <v>6.8696645706518638</v>
      </c>
      <c r="AK39" s="668">
        <f>IF(AK$4="forecast",AVERAGE(Y39:AJ39),SUMIF('Dept. Cost Actuals'!$E$7:$E$176,"*Development*",'Dept. Cost Actuals'!AO$355:AO$524))</f>
        <v>7.4421366182061854</v>
      </c>
      <c r="AL39" s="668">
        <f>IF(AL$4="forecast",AVERAGE(Z39:AK39),SUMIF('Dept. Cost Actuals'!$E$7:$E$176,"*Development*",'Dept. Cost Actuals'!AP$355:AP$524))</f>
        <v>8.062314669723369</v>
      </c>
      <c r="AM39" s="668">
        <f>IF(AM$4="forecast",AVERAGE(AA39:AL39),SUMIF('Dept. Cost Actuals'!$E$7:$E$176,"*Development*",'Dept. Cost Actuals'!AQ$355:AQ$524))</f>
        <v>8.7341742255336481</v>
      </c>
      <c r="AN39" s="668">
        <f>IF(AN$4="forecast",AVERAGE(AB39:AM39),SUMIF('Dept. Cost Actuals'!$E$7:$E$176,"*Development*",'Dept. Cost Actuals'!AR$355:AR$524))</f>
        <v>9.4620220776614534</v>
      </c>
      <c r="AO39" s="668">
        <f>IF(AO$4="forecast",AVERAGE(AC39:AN39),SUMIF('Dept. Cost Actuals'!$E$7:$E$176,"*Development*",'Dept. Cost Actuals'!AS$355:AS$524))</f>
        <v>7.9605239174665741</v>
      </c>
      <c r="AP39" s="668">
        <f>IF(AP$4="forecast",AVERAGE(AD39:AO39),SUMIF('Dept. Cost Actuals'!$E$7:$E$176,"*Development*",'Dept. Cost Actuals'!AT$355:AT$524))</f>
        <v>8.6239009105887892</v>
      </c>
      <c r="AQ39" s="668">
        <f>IF(AQ$4="forecast",AVERAGE(AE39:AP39),SUMIF('Dept. Cost Actuals'!$E$7:$E$176,"*Development*",'Dept. Cost Actuals'!AU$355:AU$524))</f>
        <v>8.5281148753600764</v>
      </c>
      <c r="AR39" s="668">
        <f>IF(AR$4="forecast",AVERAGE(AF39:AQ39),SUMIF('Dept. Cost Actuals'!$E$7:$E$176,"*Development*",'Dept. Cost Actuals'!AV$355:AV$524))</f>
        <v>8.3564763001586009</v>
      </c>
      <c r="AS39" s="668">
        <f>IF(AS$4="forecast",AVERAGE(AG39:AR39),SUMIF('Dept. Cost Actuals'!$E$7:$E$176,"*Development*",'Dept. Cost Actuals'!AW$355:AW$524))</f>
        <v>8.0970082757891024</v>
      </c>
      <c r="AT39" s="668">
        <f>IF(AT$4="forecast",AVERAGE(AH39:AS39),SUMIF('Dept. Cost Actuals'!$E$7:$E$176,"*Development*",'Dept. Cost Actuals'!AX$355:AX$524))</f>
        <v>7.8609172730513626</v>
      </c>
      <c r="AU39" s="668">
        <f>IF(AU$4="forecast",AVERAGE(AI39:AT39),SUMIF('Dept. Cost Actuals'!$E$7:$E$176,"*Development*",'Dept. Cost Actuals'!AY$355:AY$524))</f>
        <v>8.0282068790532417</v>
      </c>
      <c r="AV39" s="668">
        <f>IF(AV$4="forecast",AVERAGE(AJ39:AU39),SUMIF('Dept. Cost Actuals'!$E$7:$E$176,"*Development*",'Dept. Cost Actuals'!AZ$355:AZ$524))</f>
        <v>8.1687883827703569</v>
      </c>
      <c r="AW39" s="668">
        <f>IF(AW$4="forecast",AVERAGE(AK39:AV39),SUMIF('Dept. Cost Actuals'!$E$7:$E$176,"*Development*",'Dept. Cost Actuals'!BA$355:BA$524))</f>
        <v>8.2770487004468958</v>
      </c>
      <c r="AX39" s="668">
        <f>IF(AX$4="forecast",AVERAGE(AL39:AW39),SUMIF('Dept. Cost Actuals'!$E$7:$E$176,"*Development*",'Dept. Cost Actuals'!BB$355:BB$524))</f>
        <v>8.3466247073002897</v>
      </c>
      <c r="AY39" s="668">
        <f>IF(AY$4="forecast",AVERAGE(AM39:AX39),SUMIF('Dept. Cost Actuals'!$E$7:$E$176,"*Development*",'Dept. Cost Actuals'!BC$355:BC$524))</f>
        <v>8.3703172104316987</v>
      </c>
      <c r="AZ39" s="668">
        <f>IF(AZ$4="forecast",AVERAGE(AN39:AY39),SUMIF('Dept. Cost Actuals'!$E$7:$E$176,"*Development*",'Dept. Cost Actuals'!BD$355:BD$524))</f>
        <v>8.3399957925065369</v>
      </c>
      <c r="BA39" s="668">
        <f>IF(BA$4="forecast",AVERAGE(AO39:AZ39),SUMIF('Dept. Cost Actuals'!$E$7:$E$176,"*Development*",'Dept. Cost Actuals'!BE$355:BE$524))</f>
        <v>8.2464936020769617</v>
      </c>
      <c r="BB39" s="668">
        <f>IF(BB$4="forecast",AVERAGE(AP39:BA39),SUMIF('Dept. Cost Actuals'!$E$7:$E$176,"*Development*",'Dept. Cost Actuals'!BF$355:BF$524))</f>
        <v>8.2703244091278272</v>
      </c>
      <c r="BC39" s="668">
        <f>IF(BC$4="forecast",AVERAGE(AQ39:BB39),SUMIF('Dept. Cost Actuals'!$E$7:$E$176,"*Development*",'Dept. Cost Actuals'!BG$355:BG$524))</f>
        <v>8.2408597006727469</v>
      </c>
      <c r="BD39" s="668">
        <f>IF(BD$4="forecast",AVERAGE(AR39:BC39),SUMIF('Dept. Cost Actuals'!$E$7:$E$176,"*Development*",'Dept. Cost Actuals'!BH$355:BH$524))</f>
        <v>8.2169217694488026</v>
      </c>
      <c r="BE39" s="668">
        <f>IF(BE$4="forecast",AVERAGE(AS39:BD39),SUMIF('Dept. Cost Actuals'!$E$7:$E$176,"*Development*",'Dept. Cost Actuals'!BI$355:BI$524))</f>
        <v>8.2052922252229852</v>
      </c>
      <c r="BF39" s="668">
        <f>IF(BF$4="forecast",AVERAGE(AT39:BE39),SUMIF('Dept. Cost Actuals'!$E$7:$E$176,"*Development*",'Dept. Cost Actuals'!BJ$355:BJ$524))</f>
        <v>8.2143158876758093</v>
      </c>
      <c r="BG39" s="668">
        <f>IF(BG$4="forecast",AVERAGE(AU39:BF39),SUMIF('Dept. Cost Actuals'!$E$7:$E$176,"*Development*",'Dept. Cost Actuals'!BK$355:BK$524))</f>
        <v>8.2437657722278459</v>
      </c>
      <c r="BH39" s="668">
        <f>IF(BH$4="forecast",AVERAGE(AV39:BG39),SUMIF('Dept. Cost Actuals'!$E$7:$E$176,"*Development*",'Dept. Cost Actuals'!BL$355:BL$524))</f>
        <v>8.2617290133257288</v>
      </c>
      <c r="BI39" s="668">
        <f>IF(BI$4="forecast",AVERAGE(AW39:BH39),SUMIF('Dept. Cost Actuals'!$E$7:$E$176,"*Development*",'Dept. Cost Actuals'!BM$355:BM$524))</f>
        <v>8.2694740658720107</v>
      </c>
      <c r="BJ39" s="668">
        <f>IF(BJ$4="forecast",AVERAGE(AX39:BI39),SUMIF('Dept. Cost Actuals'!$E$7:$E$176,"*Development*",'Dept. Cost Actuals'!BN$355:BN$524))</f>
        <v>8.2688428463241035</v>
      </c>
      <c r="BK39" s="668">
        <f>IF(BK$4="forecast",AVERAGE(AY39:BJ39),SUMIF('Dept. Cost Actuals'!$E$7:$E$176,"*Development*",'Dept. Cost Actuals'!BO$355:BO$524))</f>
        <v>8.262361024576089</v>
      </c>
      <c r="BL39" s="668">
        <f>IF(BL$4="forecast",AVERAGE(AZ39:BK39),SUMIF('Dept. Cost Actuals'!$E$7:$E$176,"*Development*",'Dept. Cost Actuals'!BP$355:BP$524))</f>
        <v>8.2533646757547903</v>
      </c>
      <c r="BM39" s="668">
        <f>IF(BM$4="forecast",AVERAGE(BA39:BL39),SUMIF('Dept. Cost Actuals'!$E$7:$E$176,"*Development*",'Dept. Cost Actuals'!BQ$355:BQ$524))</f>
        <v>8.2461454160254757</v>
      </c>
      <c r="BN39" s="668">
        <f>IF(BN$4="forecast",AVERAGE(BB39:BM39),SUMIF('Dept. Cost Actuals'!$E$7:$E$176,"*Development*",'Dept. Cost Actuals'!BR$355:BR$524))</f>
        <v>8.2461164005211849</v>
      </c>
      <c r="BO39" s="668">
        <f>IF(BO$4="forecast",AVERAGE(BC39:BN39),SUMIF('Dept. Cost Actuals'!$E$7:$E$176,"*Development*",'Dept. Cost Actuals'!BS$355:BS$524))</f>
        <v>8.244099066470632</v>
      </c>
      <c r="BP39" s="668">
        <f>IF(BP$4="forecast",AVERAGE(BD39:BO39),SUMIF('Dept. Cost Actuals'!$E$7:$E$176,"*Development*",'Dept. Cost Actuals'!BT$355:BT$524))</f>
        <v>8.2443690136204548</v>
      </c>
      <c r="BQ39" s="668">
        <f>IF(BQ$4="forecast",AVERAGE(BE39:BP39),SUMIF('Dept. Cost Actuals'!$E$7:$E$176,"*Development*",'Dept. Cost Actuals'!BU$355:BU$524))</f>
        <v>8.2466562839680932</v>
      </c>
      <c r="BR39" s="668">
        <f>IF(BR$4="forecast",AVERAGE(BF39:BQ39),SUMIF('Dept. Cost Actuals'!$E$7:$E$176,"*Development*",'Dept. Cost Actuals'!BV$355:BV$524))</f>
        <v>8.2501032888635191</v>
      </c>
      <c r="BS39" s="668">
        <f>IF(BS$4="forecast",AVERAGE(BG39:BR39),SUMIF('Dept. Cost Actuals'!$E$7:$E$176,"*Development*",'Dept. Cost Actuals'!BW$355:BW$524))</f>
        <v>8.2530855722958272</v>
      </c>
      <c r="BT39" s="668">
        <f>IF(BT$4="forecast",AVERAGE(BH39:BS39),SUMIF('Dept. Cost Actuals'!$E$7:$E$176,"*Development*",'Dept. Cost Actuals'!BX$355:BX$524))</f>
        <v>8.2538622223014926</v>
      </c>
      <c r="BU39" s="668">
        <f>IF(BU$4="forecast",AVERAGE(BI39:BT39),SUMIF('Dept. Cost Actuals'!$E$7:$E$176,"*Development*",'Dept. Cost Actuals'!BY$355:BY$524))</f>
        <v>8.2532066563828064</v>
      </c>
      <c r="BV39" s="668">
        <f>IF(BV$4="forecast",AVERAGE(BJ39:BU39),SUMIF('Dept. Cost Actuals'!$E$7:$E$176,"*Development*",'Dept. Cost Actuals'!BZ$355:BZ$524))</f>
        <v>8.2518510389253716</v>
      </c>
    </row>
    <row r="40" spans="2:74" x14ac:dyDescent="0.25">
      <c r="B40" s="1207" t="s">
        <v>944</v>
      </c>
      <c r="C40" s="668">
        <f>IF(C$4="forecast",AVERAGE(#REF!),SUMIF('Dept. Cost Actuals'!$E$7:$E$176,"*Dues and Subscriptions*",'Dept. Cost Actuals'!G$355:G$524))</f>
        <v>22.11061103839592</v>
      </c>
      <c r="D40" s="668">
        <f>IF(D$4="forecast",AVERAGE(#REF!),SUMIF('Dept. Cost Actuals'!$E$7:$E$176,"*Dues and Subscriptions*",'Dept. Cost Actuals'!H$355:H$524))</f>
        <v>33.584457760604629</v>
      </c>
      <c r="E40" s="668">
        <f>IF(E$4="forecast",AVERAGE(#REF!),SUMIF('Dept. Cost Actuals'!$E$7:$E$176,"*Dues and Subscriptions*",'Dept. Cost Actuals'!I$355:I$524))</f>
        <v>5.8153308320418473</v>
      </c>
      <c r="F40" s="668">
        <f>IF(F$4="forecast",AVERAGE(#REF!),SUMIF('Dept. Cost Actuals'!$E$7:$E$176,"*Dues and Subscriptions*",'Dept. Cost Actuals'!J$355:J$524))</f>
        <v>6.0361695938620672</v>
      </c>
      <c r="G40" s="668">
        <f>IF(G$4="forecast",AVERAGE(#REF!),SUMIF('Dept. Cost Actuals'!$E$7:$E$176,"*Dues and Subscriptions*",'Dept. Cost Actuals'!K$355:K$524))</f>
        <v>235.13861270941018</v>
      </c>
      <c r="H40" s="668">
        <f>IF(H$4="forecast",AVERAGE(#REF!),SUMIF('Dept. Cost Actuals'!$E$7:$E$176,"*Dues and Subscriptions*",'Dept. Cost Actuals'!L$355:L$524))</f>
        <v>0</v>
      </c>
      <c r="I40" s="668">
        <f>IF(I$4="forecast",AVERAGE(#REF!),SUMIF('Dept. Cost Actuals'!$E$7:$E$176,"*Dues and Subscriptions*",'Dept. Cost Actuals'!M$355:M$524))</f>
        <v>0</v>
      </c>
      <c r="J40" s="668">
        <f>IF(J$4="forecast",AVERAGE(#REF!),SUMIF('Dept. Cost Actuals'!$E$7:$E$176,"*Dues and Subscriptions*",'Dept. Cost Actuals'!N$355:N$524))</f>
        <v>17.943458128332715</v>
      </c>
      <c r="K40" s="668">
        <f>IF(K$4="forecast",AVERAGE(#REF!),SUMIF('Dept. Cost Actuals'!$E$7:$E$176,"*Dues and Subscriptions*",'Dept. Cost Actuals'!O$355:O$524))</f>
        <v>0</v>
      </c>
      <c r="L40" s="668">
        <f>IF(L$4="forecast",AVERAGE(#REF!),SUMIF('Dept. Cost Actuals'!$E$7:$E$176,"*Dues and Subscriptions*",'Dept. Cost Actuals'!P$355:P$524))</f>
        <v>253.41937397005296</v>
      </c>
      <c r="M40" s="668">
        <f>IF(M$4="forecast",AVERAGE(#REF!),SUMIF('Dept. Cost Actuals'!$E$7:$E$176,"*Dues and Subscriptions*",'Dept. Cost Actuals'!Q$355:Q$524))</f>
        <v>0</v>
      </c>
      <c r="N40" s="668">
        <f>IF(N$4="forecast",AVERAGE(A40:L40),SUMIF('Dept. Cost Actuals'!$E$7:$E$176,"*Dues and Subscriptions*",'Dept. Cost Actuals'!R$355:R$524))</f>
        <v>0</v>
      </c>
      <c r="O40" s="668">
        <f>IF(O$4="forecast",AVERAGE(B40:M40),SUMIF('Dept. Cost Actuals'!$E$7:$E$176,"*Dues and Subscriptions*",'Dept. Cost Actuals'!S$355:S$524))</f>
        <v>0</v>
      </c>
      <c r="P40" s="668">
        <f>IF(P$4="forecast",AVERAGE(C40:N40),SUMIF('Dept. Cost Actuals'!$E$7:$E$176,"*Dues and Subscriptions*",'Dept. Cost Actuals'!T$355:T$524))</f>
        <v>439.75</v>
      </c>
      <c r="Q40" s="668">
        <f>IF(Q$4="forecast",AVERAGE(D40:O40),SUMIF('Dept. Cost Actuals'!$E$7:$E$176,"*Dues and Subscriptions*",'Dept. Cost Actuals'!U$355:U$524))</f>
        <v>0</v>
      </c>
      <c r="R40" s="668">
        <f>IF(R$4="forecast",AVERAGE(E40:P40),SUMIF('Dept. Cost Actuals'!$E$7:$E$176,"*Dues and Subscriptions*",'Dept. Cost Actuals'!V$355:V$524))</f>
        <v>210.83</v>
      </c>
      <c r="S40" s="668">
        <f>IF(S$4="forecast",AVERAGE(F40:Q40),SUMIF('Dept. Cost Actuals'!$E$7:$E$176,"*Dues and Subscriptions*",'Dept. Cost Actuals'!W$355:W$524))</f>
        <v>0</v>
      </c>
      <c r="T40" s="668">
        <f>IF(T$4="forecast",AVERAGE(G40:R40),SUMIF('Dept. Cost Actuals'!$E$7:$E$176,"*Dues and Subscriptions*",'Dept. Cost Actuals'!X$355:X$524))</f>
        <v>0</v>
      </c>
      <c r="U40" s="668">
        <f>IF(U$4="forecast",AVERAGE(H40:S40),SUMIF('Dept. Cost Actuals'!$E$7:$E$176,"*Dues and Subscriptions*",'Dept. Cost Actuals'!Y$355:Y$524))</f>
        <v>152.82</v>
      </c>
      <c r="V40" s="668">
        <f>IF(V$4="forecast",AVERAGE(I40:T40),SUMIF('Dept. Cost Actuals'!$E$7:$E$176,"*Dues and Subscriptions*",'Dept. Cost Actuals'!Z$355:Z$524))</f>
        <v>252</v>
      </c>
      <c r="W40" s="668">
        <f>IF(W$4="forecast",AVERAGE(J40:U40),SUMIF('Dept. Cost Actuals'!$E$7:$E$176,"*Dues and Subscriptions*",'Dept. Cost Actuals'!AA$355:AA$524))</f>
        <v>276.14999999999998</v>
      </c>
      <c r="X40" s="668">
        <f>IF(X$4="forecast",AVERAGE(K40:V40),SUMIF('Dept. Cost Actuals'!$E$7:$E$176,"*Dues and Subscriptions*",'Dept. Cost Actuals'!AB$355:AB$524))</f>
        <v>288</v>
      </c>
      <c r="Y40" s="668">
        <f>IF(Y$4="forecast",AVERAGE(L40:W40),SUMIF('Dept. Cost Actuals'!$E$7:$E$176,"*Dues and Subscriptions*",'Dept. Cost Actuals'!AC$355:AC$524))</f>
        <v>288</v>
      </c>
      <c r="Z40" s="668">
        <f>IF(Z$4="forecast",AVERAGE(M40:X40),SUMIF('Dept. Cost Actuals'!$E$7:$E$176,"*Dues and Subscriptions*",'Dept. Cost Actuals'!AD$355:AD$524))</f>
        <v>288</v>
      </c>
      <c r="AA40" s="668">
        <f>IF(AA$4="forecast",AVERAGE(N40:Y40),SUMIF('Dept. Cost Actuals'!$E$7:$E$176,"*Dues and Subscriptions*",'Dept. Cost Actuals'!AE$355:AE$524))</f>
        <v>288</v>
      </c>
      <c r="AB40" s="668">
        <f>IF(AB$4="forecast",AVERAGE(O40:Z40),SUMIF('Dept. Cost Actuals'!$E$7:$E$176,"*Dues and Subscriptions*",'Dept. Cost Actuals'!AF$355:AF$524))</f>
        <v>288</v>
      </c>
      <c r="AC40" s="668">
        <f>IF(AC$4="forecast",AVERAGE(P40:AA40),SUMIF('Dept. Cost Actuals'!$E$7:$E$176,"*Dues and Subscriptions*",'Dept. Cost Actuals'!AG$355:AG$524))</f>
        <v>288</v>
      </c>
      <c r="AD40" s="668">
        <f>IF(AD$4="forecast",AVERAGE(Q40:AB40),SUMIF('Dept. Cost Actuals'!$E$7:$E$176,"*Dues and Subscriptions*",'Dept. Cost Actuals'!AH$355:AH$524))</f>
        <v>194.31666666666669</v>
      </c>
      <c r="AE40" s="668">
        <f>IF(AE$4="forecast",AVERAGE(R40:AC40),SUMIF('Dept. Cost Actuals'!$E$7:$E$176,"*Dues and Subscriptions*",'Dept. Cost Actuals'!AI$355:AI$524))</f>
        <v>218.31666666666669</v>
      </c>
      <c r="AF40" s="668">
        <f>IF(AF$4="forecast",AVERAGE(S40:AD40),SUMIF('Dept. Cost Actuals'!$E$7:$E$176,"*Dues and Subscriptions*",'Dept. Cost Actuals'!AJ$355:AJ$524))</f>
        <v>216.94055555555556</v>
      </c>
      <c r="AG40" s="668">
        <f>IF(AG$4="forecast",AVERAGE(T40:AE40),SUMIF('Dept. Cost Actuals'!$E$7:$E$176,"*Dues and Subscriptions*",'Dept. Cost Actuals'!AK$355:AK$524))</f>
        <v>235.13361111111112</v>
      </c>
      <c r="AH40" s="668">
        <f>IF(AH$4="forecast",AVERAGE(U40:AF40),SUMIF('Dept. Cost Actuals'!$E$7:$E$176,"*Dues and Subscriptions*",'Dept. Cost Actuals'!AL$355:AL$524))</f>
        <v>253.21199074074073</v>
      </c>
      <c r="AI40" s="668">
        <f>IF(AI$4="forecast",AVERAGE(V40:AG40),SUMIF('Dept. Cost Actuals'!$E$7:$E$176,"*Dues and Subscriptions*",'Dept. Cost Actuals'!AM$355:AM$524))</f>
        <v>260.07145833333334</v>
      </c>
      <c r="AJ40" s="668">
        <f>IF(AJ$4="forecast",AVERAGE(W40:AH40),SUMIF('Dept. Cost Actuals'!$E$7:$E$176,"*Dues and Subscriptions*",'Dept. Cost Actuals'!AN$355:AN$524))</f>
        <v>260.17245756172844</v>
      </c>
      <c r="AK40" s="668">
        <f>IF(AK$4="forecast",AVERAGE(X40:AI40),SUMIF('Dept. Cost Actuals'!$E$7:$E$176,"*Dues and Subscriptions*",'Dept. Cost Actuals'!AO$355:AO$524))</f>
        <v>258.83257908950617</v>
      </c>
      <c r="AL40" s="668">
        <f>IF(AL$4="forecast",AVERAGE(Y40:AJ40),SUMIF('Dept. Cost Actuals'!$E$7:$E$176,"*Dues and Subscriptions*",'Dept. Cost Actuals'!AP$355:AP$524))</f>
        <v>256.5136172196502</v>
      </c>
      <c r="AM40" s="668">
        <f>IF(AM$4="forecast",AVERAGE(Z40:AK40),SUMIF('Dept. Cost Actuals'!$E$7:$E$176,"*Dues and Subscriptions*",'Dept. Cost Actuals'!AQ$355:AQ$524))</f>
        <v>254.0829988104424</v>
      </c>
      <c r="AN40" s="668">
        <f>IF(AN$4="forecast",AVERAGE(AA40:AL40),SUMIF('Dept. Cost Actuals'!$E$7:$E$176,"*Dues and Subscriptions*",'Dept. Cost Actuals'!AR$355:AR$524))</f>
        <v>251.45913357874656</v>
      </c>
      <c r="AO40" s="668">
        <f>IF(AO$4="forecast",AVERAGE(AB40:AM40),SUMIF('Dept. Cost Actuals'!$E$7:$E$176,"*Dues and Subscriptions*",'Dept. Cost Actuals'!AS$355:AS$524))</f>
        <v>248.63271681295012</v>
      </c>
      <c r="AP40" s="668">
        <f>IF(AP$4="forecast",AVERAGE(AC40:AN40),SUMIF('Dept. Cost Actuals'!$E$7:$E$176,"*Dues and Subscriptions*",'Dept. Cost Actuals'!AT$355:AT$524))</f>
        <v>245.58764461117894</v>
      </c>
      <c r="AQ40" s="668">
        <f>IF(AQ$4="forecast",AVERAGE(AD40:AO40),SUMIF('Dept. Cost Actuals'!$E$7:$E$176,"*Dues and Subscriptions*",'Dept. Cost Actuals'!AU$355:AU$524))</f>
        <v>242.30703767892487</v>
      </c>
      <c r="AR40" s="668">
        <f>IF(AR$4="forecast",AVERAGE(AE40:AP40),SUMIF('Dept. Cost Actuals'!$E$7:$E$176,"*Dues and Subscriptions*",'Dept. Cost Actuals'!AV$355:AV$524))</f>
        <v>246.5796191743008</v>
      </c>
      <c r="AS40" s="668">
        <f>IF(AS$4="forecast",AVERAGE(AF40:AQ40),SUMIF('Dept. Cost Actuals'!$E$7:$E$176,"*Dues and Subscriptions*",'Dept. Cost Actuals'!AW$355:AW$524))</f>
        <v>248.57881675865565</v>
      </c>
      <c r="AT40" s="668">
        <f>IF(AT$4="forecast",AVERAGE(AG40:AR40),SUMIF('Dept. Cost Actuals'!$E$7:$E$176,"*Dues and Subscriptions*",'Dept. Cost Actuals'!AX$355:AX$524))</f>
        <v>251.04873872688447</v>
      </c>
      <c r="AU40" s="668">
        <f>IF(AU$4="forecast",AVERAGE(AH40:AS40),SUMIF('Dept. Cost Actuals'!$E$7:$E$176,"*Dues and Subscriptions*",'Dept. Cost Actuals'!AY$355:AY$524))</f>
        <v>252.16917253084648</v>
      </c>
      <c r="AV40" s="668">
        <f>IF(AV$4="forecast",AVERAGE(AI40:AT40),SUMIF('Dept. Cost Actuals'!$E$7:$E$176,"*Dues and Subscriptions*",'Dept. Cost Actuals'!AZ$355:AZ$524))</f>
        <v>251.98890152969182</v>
      </c>
      <c r="AW40" s="668">
        <f>IF(AW$4="forecast",AVERAGE(AJ40:AU40),SUMIF('Dept. Cost Actuals'!$E$7:$E$176,"*Dues and Subscriptions*",'Dept. Cost Actuals'!BA$355:BA$524))</f>
        <v>251.33037771281795</v>
      </c>
      <c r="AX40" s="668">
        <f>IF(AX$4="forecast",AVERAGE(AK40:AV40),SUMIF('Dept. Cost Actuals'!$E$7:$E$176,"*Dues and Subscriptions*",'Dept. Cost Actuals'!BB$355:BB$524))</f>
        <v>250.64841471014822</v>
      </c>
      <c r="AY40" s="668">
        <f>IF(AY$4="forecast",AVERAGE(AL40:AW40),SUMIF('Dept. Cost Actuals'!$E$7:$E$176,"*Dues and Subscriptions*",'Dept. Cost Actuals'!BC$355:BC$524))</f>
        <v>250.02323126209083</v>
      </c>
      <c r="AZ40" s="668">
        <f>IF(AZ$4="forecast",AVERAGE(AM40:AX40),SUMIF('Dept. Cost Actuals'!$E$7:$E$176,"*Dues and Subscriptions*",'Dept. Cost Actuals'!BD$355:BD$524))</f>
        <v>249.53446438629899</v>
      </c>
      <c r="BA40" s="668">
        <f>IF(BA$4="forecast",AVERAGE(AN40:AY40),SUMIF('Dept. Cost Actuals'!$E$7:$E$176,"*Dues and Subscriptions*",'Dept. Cost Actuals'!BE$355:BE$524))</f>
        <v>249.19615042393642</v>
      </c>
      <c r="BB40" s="668">
        <f>IF(BB$4="forecast",AVERAGE(AO40:AZ40),SUMIF('Dept. Cost Actuals'!$E$7:$E$176,"*Dues and Subscriptions*",'Dept. Cost Actuals'!BF$355:BF$524))</f>
        <v>249.03576132456578</v>
      </c>
      <c r="BC40" s="668">
        <f>IF(BC$4="forecast",AVERAGE(AP40:BA40),SUMIF('Dept. Cost Actuals'!$E$7:$E$176,"*Dues and Subscriptions*",'Dept. Cost Actuals'!BG$355:BG$524))</f>
        <v>249.08271412548132</v>
      </c>
      <c r="BD40" s="668">
        <f>IF(BD$4="forecast",AVERAGE(AQ40:BB40),SUMIF('Dept. Cost Actuals'!$E$7:$E$176,"*Dues and Subscriptions*",'Dept. Cost Actuals'!BH$355:BH$524))</f>
        <v>249.37005718493023</v>
      </c>
      <c r="BE40" s="668">
        <f>IF(BE$4="forecast",AVERAGE(AR40:BC40),SUMIF('Dept. Cost Actuals'!$E$7:$E$176,"*Dues and Subscriptions*",'Dept. Cost Actuals'!BI$355:BI$524))</f>
        <v>249.93469688880987</v>
      </c>
      <c r="BF40" s="668">
        <f>IF(BF$4="forecast",AVERAGE(AS40:BD40),SUMIF('Dept. Cost Actuals'!$E$7:$E$176,"*Dues and Subscriptions*",'Dept. Cost Actuals'!BJ$355:BJ$524))</f>
        <v>250.16723338969572</v>
      </c>
      <c r="BG40" s="668">
        <f>IF(BG$4="forecast",AVERAGE(AT40:BE40),SUMIF('Dept. Cost Actuals'!$E$7:$E$176,"*Dues and Subscriptions*",'Dept. Cost Actuals'!BK$355:BK$524))</f>
        <v>250.28022340054187</v>
      </c>
      <c r="BH40" s="668">
        <f>IF(BH$4="forecast",AVERAGE(AU40:BF40),SUMIF('Dept. Cost Actuals'!$E$7:$E$176,"*Dues and Subscriptions*",'Dept. Cost Actuals'!BL$355:BL$524))</f>
        <v>250.20676462244285</v>
      </c>
      <c r="BI40" s="668">
        <f>IF(BI$4="forecast",AVERAGE(AV40:BG40),SUMIF('Dept. Cost Actuals'!$E$7:$E$176,"*Dues and Subscriptions*",'Dept. Cost Actuals'!BM$355:BM$524))</f>
        <v>250.04935219491742</v>
      </c>
      <c r="BJ40" s="668">
        <f>IF(BJ$4="forecast",AVERAGE(AW40:BH40),SUMIF('Dept. Cost Actuals'!$E$7:$E$176,"*Dues and Subscriptions*",'Dept. Cost Actuals'!BN$355:BN$524))</f>
        <v>249.90084078597997</v>
      </c>
      <c r="BK40" s="668">
        <f>IF(BK$4="forecast",AVERAGE(AX40:BI40),SUMIF('Dept. Cost Actuals'!$E$7:$E$176,"*Dues and Subscriptions*",'Dept. Cost Actuals'!BO$355:BO$524))</f>
        <v>249.79408865948824</v>
      </c>
      <c r="BL40" s="668">
        <f>IF(BL$4="forecast",AVERAGE(AY40:BJ40),SUMIF('Dept. Cost Actuals'!$E$7:$E$176,"*Dues and Subscriptions*",'Dept. Cost Actuals'!BP$355:BP$524))</f>
        <v>249.73179083247427</v>
      </c>
      <c r="BM40" s="668">
        <f>IF(BM$4="forecast",AVERAGE(AZ40:BK40),SUMIF('Dept. Cost Actuals'!$E$7:$E$176,"*Dues and Subscriptions*",'Dept. Cost Actuals'!BQ$355:BQ$524))</f>
        <v>249.71269561559075</v>
      </c>
      <c r="BN40" s="668">
        <f>IF(BN$4="forecast",AVERAGE(BA40:BL40),SUMIF('Dept. Cost Actuals'!$E$7:$E$176,"*Dues and Subscriptions*",'Dept. Cost Actuals'!BR$355:BR$524))</f>
        <v>249.72913948610537</v>
      </c>
      <c r="BO40" s="668">
        <f>IF(BO$4="forecast",AVERAGE(BB40:BM40),SUMIF('Dept. Cost Actuals'!$E$7:$E$176,"*Dues and Subscriptions*",'Dept. Cost Actuals'!BS$355:BS$524))</f>
        <v>249.77218491874325</v>
      </c>
      <c r="BP40" s="668">
        <f>IF(BP$4="forecast",AVERAGE(BC40:BN40),SUMIF('Dept. Cost Actuals'!$E$7:$E$176,"*Dues and Subscriptions*",'Dept. Cost Actuals'!BT$355:BT$524))</f>
        <v>249.82996643220483</v>
      </c>
      <c r="BQ40" s="668">
        <f>IF(BQ$4="forecast",AVERAGE(BD40:BO40),SUMIF('Dept. Cost Actuals'!$E$7:$E$176,"*Dues and Subscriptions*",'Dept. Cost Actuals'!BU$355:BU$524))</f>
        <v>249.88742233164331</v>
      </c>
      <c r="BR40" s="668">
        <f>IF(BR$4="forecast",AVERAGE(BE40:BP40),SUMIF('Dept. Cost Actuals'!$E$7:$E$176,"*Dues and Subscriptions*",'Dept. Cost Actuals'!BV$355:BV$524))</f>
        <v>249.92574810224951</v>
      </c>
      <c r="BS40" s="668">
        <f>IF(BS$4="forecast",AVERAGE(BF40:BQ40),SUMIF('Dept. Cost Actuals'!$E$7:$E$176,"*Dues and Subscriptions*",'Dept. Cost Actuals'!BW$355:BW$524))</f>
        <v>249.92180855581898</v>
      </c>
      <c r="BT40" s="668">
        <f>IF(BT$4="forecast",AVERAGE(BG40:BR40),SUMIF('Dept. Cost Actuals'!$E$7:$E$176,"*Dues and Subscriptions*",'Dept. Cost Actuals'!BX$355:BX$524))</f>
        <v>249.90168478186513</v>
      </c>
      <c r="BU40" s="668">
        <f>IF(BU$4="forecast",AVERAGE(BH40:BS40),SUMIF('Dept. Cost Actuals'!$E$7:$E$176,"*Dues and Subscriptions*",'Dept. Cost Actuals'!BY$355:BY$524))</f>
        <v>249.87181687813825</v>
      </c>
      <c r="BV40" s="668">
        <f>IF(BV$4="forecast",AVERAGE(BI40:BT40),SUMIF('Dept. Cost Actuals'!$E$7:$E$176,"*Dues and Subscriptions*",'Dept. Cost Actuals'!BZ$355:BZ$524))</f>
        <v>249.84639355809011</v>
      </c>
    </row>
    <row r="41" spans="2:74" x14ac:dyDescent="0.25">
      <c r="B41" s="794" t="s">
        <v>945</v>
      </c>
      <c r="C41" s="668">
        <f>IF(C$4="forecast",SUM($O$41:$Z$41)/12+4200,SUMIF('Dept. Cost Actuals'!$E$7:$E$176,"*Miscellaneous*",'Dept. Cost Actuals'!G$355:G$524))</f>
        <v>991.58131636906182</v>
      </c>
      <c r="D41" s="668">
        <f>IF(D$4="forecast",SUM($O$41:$Z$41)/12+4200,SUMIF('Dept. Cost Actuals'!$E$7:$E$176,"*Miscellaneous*",'Dept. Cost Actuals'!H$355:H$524))</f>
        <v>282.10729957163312</v>
      </c>
      <c r="E41" s="668">
        <f>IF(E$4="forecast",SUM($O$41:$Z$41)/12+4200,SUMIF('Dept. Cost Actuals'!$E$7:$E$176,"*Miscellaneous*",'Dept. Cost Actuals'!I$355:I$524))</f>
        <v>337.82131900452077</v>
      </c>
      <c r="F41" s="668">
        <f>IF(F$4="forecast",SUM($O$41:$Z$41)/12+4200,SUMIF('Dept. Cost Actuals'!$E$7:$E$176,"*Miscellaneous*",'Dept. Cost Actuals'!J$355:J$524))</f>
        <v>232.07963685410141</v>
      </c>
      <c r="G41" s="668">
        <f>IF(G$4="forecast",SUM($O$41:$Z$41)/12+4200,SUMIF('Dept. Cost Actuals'!$E$7:$E$176,"*Miscellaneous*",'Dept. Cost Actuals'!K$355:K$524))</f>
        <v>100.7009039874536</v>
      </c>
      <c r="H41" s="668">
        <f>IF(H$4="forecast",SUM($O$41:$Z$41)/12+4200,SUMIF('Dept. Cost Actuals'!$E$7:$E$176,"*Miscellaneous*",'Dept. Cost Actuals'!L$355:L$524))</f>
        <v>223.11530832003945</v>
      </c>
      <c r="I41" s="668">
        <f>IF(I$4="forecast",SUM($O$41:$Z$41)/12+4200,SUMIF('Dept. Cost Actuals'!$E$7:$E$176,"*Miscellaneous*",'Dept. Cost Actuals'!M$355:M$524))</f>
        <v>431.32293075351333</v>
      </c>
      <c r="J41" s="668">
        <f>IF(J$4="forecast",SUM($O$41:$Z$41)/12+4200,SUMIF('Dept. Cost Actuals'!$E$7:$E$176,"*Miscellaneous*",'Dept. Cost Actuals'!N$355:N$524))</f>
        <v>83.65644743828598</v>
      </c>
      <c r="K41" s="668">
        <f>IF(K$4="forecast",SUM($O$41:$Z$41)/12+4200,SUMIF('Dept. Cost Actuals'!$E$7:$E$176,"*Miscellaneous*",'Dept. Cost Actuals'!O$355:O$524))</f>
        <v>579.98205661012616</v>
      </c>
      <c r="L41" s="668">
        <f>IF(L$4="forecast",SUM($O$41:$Z$41)/12+4200,SUMIF('Dept. Cost Actuals'!$E$7:$E$176,"*Miscellaneous*",'Dept. Cost Actuals'!P$355:P$524))</f>
        <v>1382.7292906976822</v>
      </c>
      <c r="M41" s="668">
        <f>IF(M$4="forecast",SUM($O$41:$Z$41)/12+4200,SUMIF('Dept. Cost Actuals'!$E$7:$E$176,"*Miscellaneous*",'Dept. Cost Actuals'!Q$355:Q$524))</f>
        <v>471.1551748851108</v>
      </c>
      <c r="N41" s="668">
        <f>IF(N$4="forecast",SUM($O$41:$Z$41)/12+4200,SUMIF('Dept. Cost Actuals'!$E$7:$E$176,"*Miscellaneous*",'Dept. Cost Actuals'!R$355:R$524))</f>
        <v>726.52500267384448</v>
      </c>
      <c r="O41" s="668">
        <f>IF(O$4="forecast",SUM($O$41:$Z$41)/12+4200,SUMIF('Dept. Cost Actuals'!$E$7:$E$176,"*Miscellaneous*",'Dept. Cost Actuals'!S$355:S$524))</f>
        <v>200</v>
      </c>
      <c r="P41" s="668">
        <f>IF(P$4="forecast",SUM($O$41:$Z$41)/12+4200,SUMIF('Dept. Cost Actuals'!$E$7:$E$176,"*Miscellaneous*",'Dept. Cost Actuals'!T$355:T$524))</f>
        <v>0</v>
      </c>
      <c r="Q41" s="668">
        <f>IF(Q$4="forecast",SUM($O$41:$Z$41)/12+4200,SUMIF('Dept. Cost Actuals'!$E$7:$E$176,"*Miscellaneous*",'Dept. Cost Actuals'!U$355:U$524))</f>
        <v>0</v>
      </c>
      <c r="R41" s="668">
        <f>IF(R$4="forecast",SUM($O$41:$Z$41)/12+4200,SUMIF('Dept. Cost Actuals'!$E$7:$E$176,"*Miscellaneous*",'Dept. Cost Actuals'!V$355:V$524))</f>
        <v>85</v>
      </c>
      <c r="S41" s="668">
        <f>IF(S$4="forecast",SUM($O$41:$Z$41)/12+4200,SUMIF('Dept. Cost Actuals'!$E$7:$E$176,"*Miscellaneous*",'Dept. Cost Actuals'!W$355:W$524))</f>
        <v>0</v>
      </c>
      <c r="T41" s="668">
        <f>IF(T$4="forecast",SUM($O$41:$Z$41)/12+4200,SUMIF('Dept. Cost Actuals'!$E$7:$E$176,"*Miscellaneous*",'Dept. Cost Actuals'!X$355:X$524))</f>
        <v>0</v>
      </c>
      <c r="U41" s="668">
        <f>IF(U$4="forecast",SUM($O$41:$Z$41)/12+4200,SUMIF('Dept. Cost Actuals'!$E$7:$E$176,"*Miscellaneous*",'Dept. Cost Actuals'!Y$355:Y$524))</f>
        <v>0</v>
      </c>
      <c r="V41" s="668">
        <f>IF(V$4="forecast",SUM($O$41:$Z$41)/12+4200,SUMIF('Dept. Cost Actuals'!$E$7:$E$176,"*Miscellaneous*",'Dept. Cost Actuals'!Z$355:Z$524))</f>
        <v>0</v>
      </c>
      <c r="W41" s="668">
        <f>IF(W$4="forecast",SUM($O$41:$Z$41)/12+4200,SUMIF('Dept. Cost Actuals'!$E$7:$E$176,"*Miscellaneous*",'Dept. Cost Actuals'!AA$355:AA$524))</f>
        <v>0</v>
      </c>
      <c r="X41" s="668">
        <f>IF(X$4="forecast",SUM($O$41:$Z$41)/12+4200,SUMIF('Dept. Cost Actuals'!$E$7:$E$176,"*Miscellaneous*",'Dept. Cost Actuals'!AB$355:AB$524))</f>
        <v>0</v>
      </c>
      <c r="Y41" s="668">
        <f>IF(Y$4="forecast",SUM($O$41:$Z$41)/12+4200,SUMIF('Dept. Cost Actuals'!$E$7:$E$176,"*Miscellaneous*",'Dept. Cost Actuals'!AC$355:AC$524))</f>
        <v>0</v>
      </c>
      <c r="Z41" s="668">
        <f>IF(Z$4="forecast",SUM($O$41:$Z$41)/12+4200,SUMIF('Dept. Cost Actuals'!$E$7:$E$176,"*Miscellaneous*",'Dept. Cost Actuals'!AD$355:AD$524))</f>
        <v>0</v>
      </c>
      <c r="AA41" s="668">
        <f>IF(AA$4="forecast",SUM($O$41:$Z$41)/12+4200,SUMIF('Dept. Cost Actuals'!$E$7:$E$176,"*Miscellaneous*",'Dept. Cost Actuals'!AE$355:AE$524))</f>
        <v>0</v>
      </c>
      <c r="AB41" s="668">
        <f>IF(AB$4="forecast",SUM($O$41:$Z$41)/12+4200,SUMIF('Dept. Cost Actuals'!$E$7:$E$176,"*Miscellaneous*",'Dept. Cost Actuals'!AF$355:AF$524))</f>
        <v>0</v>
      </c>
      <c r="AC41" s="668">
        <f>IF(AC$4="forecast",SUM($O$41:$Z$41)/12+4200,SUMIF('Dept. Cost Actuals'!$E$7:$E$176,"*Miscellaneous*",'Dept. Cost Actuals'!AG$355:AG$524))</f>
        <v>0</v>
      </c>
      <c r="AD41" s="668">
        <f>IF(AD$4="forecast",SUM($O$41:$Z$41)/12+4200,SUMIF('Dept. Cost Actuals'!$E$7:$E$176,"*Miscellaneous*",'Dept. Cost Actuals'!AH$355:AH$524))</f>
        <v>4223.75</v>
      </c>
      <c r="AE41" s="668">
        <f>IF(AE$4="forecast",SUM($O$41:$Z$41)/12+4200,SUMIF('Dept. Cost Actuals'!$E$7:$E$176,"*Miscellaneous*",'Dept. Cost Actuals'!AI$355:AI$524))</f>
        <v>4223.75</v>
      </c>
      <c r="AF41" s="668">
        <f>IF(AF$4="forecast",SUM($O$41:$Z$41)/12+4200,SUMIF('Dept. Cost Actuals'!$E$7:$E$176,"*Miscellaneous*",'Dept. Cost Actuals'!AJ$355:AJ$524))</f>
        <v>4223.75</v>
      </c>
      <c r="AG41" s="668">
        <f>IF(AG$4="forecast",SUM($O$41:$Z$41)/12+4200,SUMIF('Dept. Cost Actuals'!$E$7:$E$176,"*Miscellaneous*",'Dept. Cost Actuals'!AK$355:AK$524))</f>
        <v>4223.75</v>
      </c>
      <c r="AH41" s="668">
        <f>IF(AH$4="forecast",SUM($O$41:$Z$41)/12+4200,SUMIF('Dept. Cost Actuals'!$E$7:$E$176,"*Miscellaneous*",'Dept. Cost Actuals'!AL$355:AL$524))</f>
        <v>4223.75</v>
      </c>
      <c r="AI41" s="668">
        <f>IF(AI$4="forecast",SUM($O$41:$Z$41)/12+4200,SUMIF('Dept. Cost Actuals'!$E$7:$E$176,"*Miscellaneous*",'Dept. Cost Actuals'!AM$355:AM$524))</f>
        <v>4223.75</v>
      </c>
      <c r="AJ41" s="668">
        <f>IF(AJ$4="forecast",SUM($O$41:$Z$41)/12+4200,SUMIF('Dept. Cost Actuals'!$E$7:$E$176,"*Miscellaneous*",'Dept. Cost Actuals'!AN$355:AN$524))</f>
        <v>4223.75</v>
      </c>
      <c r="AK41" s="668">
        <f>IF(AK$4="forecast",SUM($O$41:$Z$41)/12+4200,SUMIF('Dept. Cost Actuals'!$E$7:$E$176,"*Miscellaneous*",'Dept. Cost Actuals'!AO$355:AO$524))</f>
        <v>4223.75</v>
      </c>
      <c r="AL41" s="668">
        <f>IF(AL$4="forecast",SUM($O$41:$Z$41)/12+4200,SUMIF('Dept. Cost Actuals'!$E$7:$E$176,"*Miscellaneous*",'Dept. Cost Actuals'!AP$355:AP$524))</f>
        <v>4223.75</v>
      </c>
      <c r="AM41" s="668">
        <f>IF(AM$4="forecast",SUM($O$41:$Z$41)/12+4200,SUMIF('Dept. Cost Actuals'!$E$7:$E$176,"*Miscellaneous*",'Dept. Cost Actuals'!AQ$355:AQ$524))</f>
        <v>4223.75</v>
      </c>
      <c r="AN41" s="668">
        <f>IF(AN$4="forecast",SUM($O$41:$Z$41)/12+4200,SUMIF('Dept. Cost Actuals'!$E$7:$E$176,"*Miscellaneous*",'Dept. Cost Actuals'!AR$355:AR$524))</f>
        <v>4223.75</v>
      </c>
      <c r="AO41" s="668">
        <f>IF(AO$4="forecast",SUM($O$41:$Z$41)/12+4200,SUMIF('Dept. Cost Actuals'!$E$7:$E$176,"*Miscellaneous*",'Dept. Cost Actuals'!AS$355:AS$524))</f>
        <v>4223.75</v>
      </c>
      <c r="AP41" s="668">
        <f>IF(AP$4="forecast",SUM($O$41:$Z$41)/12+4200,SUMIF('Dept. Cost Actuals'!$E$7:$E$176,"*Miscellaneous*",'Dept. Cost Actuals'!AT$355:AT$524))</f>
        <v>4223.75</v>
      </c>
      <c r="AQ41" s="668">
        <f>IF(AQ$4="forecast",SUM($O$41:$Z$41)/12+4200,SUMIF('Dept. Cost Actuals'!$E$7:$E$176,"*Miscellaneous*",'Dept. Cost Actuals'!AU$355:AU$524))</f>
        <v>4223.75</v>
      </c>
      <c r="AR41" s="668">
        <f>IF(AR$4="forecast",SUM($O$41:$Z$41)/12+4200,SUMIF('Dept. Cost Actuals'!$E$7:$E$176,"*Miscellaneous*",'Dept. Cost Actuals'!AV$355:AV$524))</f>
        <v>4223.75</v>
      </c>
      <c r="AS41" s="668">
        <f>IF(AS$4="forecast",SUM($O$41:$Z$41)/12+4200,SUMIF('Dept. Cost Actuals'!$E$7:$E$176,"*Miscellaneous*",'Dept. Cost Actuals'!AW$355:AW$524))</f>
        <v>4223.75</v>
      </c>
      <c r="AT41" s="668">
        <f>IF(AT$4="forecast",SUM($O$41:$Z$41)/12+4200,SUMIF('Dept. Cost Actuals'!$E$7:$E$176,"*Miscellaneous*",'Dept. Cost Actuals'!AX$355:AX$524))</f>
        <v>4223.75</v>
      </c>
      <c r="AU41" s="668">
        <f>IF(AU$4="forecast",SUM($O$41:$Z$41)/12+4200,SUMIF('Dept. Cost Actuals'!$E$7:$E$176,"*Miscellaneous*",'Dept. Cost Actuals'!AY$355:AY$524))</f>
        <v>4223.75</v>
      </c>
      <c r="AV41" s="668">
        <f>IF(AV$4="forecast",SUM($O$41:$Z$41)/12+4200,SUMIF('Dept. Cost Actuals'!$E$7:$E$176,"*Miscellaneous*",'Dept. Cost Actuals'!AZ$355:AZ$524))</f>
        <v>4223.75</v>
      </c>
      <c r="AW41" s="668">
        <f>IF(AW$4="forecast",SUM($O$41:$Z$41)/12+4200,SUMIF('Dept. Cost Actuals'!$E$7:$E$176,"*Miscellaneous*",'Dept. Cost Actuals'!BA$355:BA$524))</f>
        <v>4223.75</v>
      </c>
      <c r="AX41" s="668">
        <f>IF(AX$4="forecast",SUM($O$41:$Z$41)/12+4200,SUMIF('Dept. Cost Actuals'!$E$7:$E$176,"*Miscellaneous*",'Dept. Cost Actuals'!BB$355:BB$524))</f>
        <v>4223.75</v>
      </c>
      <c r="AY41" s="668">
        <f>IF(AY$4="forecast",SUM($O$41:$Z$41)/12+4200,SUMIF('Dept. Cost Actuals'!$E$7:$E$176,"*Miscellaneous*",'Dept. Cost Actuals'!BC$355:BC$524))</f>
        <v>4223.75</v>
      </c>
      <c r="AZ41" s="668">
        <f>IF(AZ$4="forecast",SUM($O$41:$Z$41)/12+4200,SUMIF('Dept. Cost Actuals'!$E$7:$E$176,"*Miscellaneous*",'Dept. Cost Actuals'!BD$355:BD$524))</f>
        <v>4223.75</v>
      </c>
      <c r="BA41" s="668">
        <f>IF(BA$4="forecast",SUM($O$41:$Z$41)/12+4200,SUMIF('Dept. Cost Actuals'!$E$7:$E$176,"*Miscellaneous*",'Dept. Cost Actuals'!BE$355:BE$524))</f>
        <v>4223.75</v>
      </c>
      <c r="BB41" s="668">
        <f>IF(BB$4="forecast",SUM($O$41:$Z$41)/12+4200,SUMIF('Dept. Cost Actuals'!$E$7:$E$176,"*Miscellaneous*",'Dept. Cost Actuals'!BF$355:BF$524))</f>
        <v>4223.75</v>
      </c>
      <c r="BC41" s="668">
        <f>IF(BC$4="forecast",SUM($O$41:$Z$41)/12+4200,SUMIF('Dept. Cost Actuals'!$E$7:$E$176,"*Miscellaneous*",'Dept. Cost Actuals'!BG$355:BG$524))</f>
        <v>4223.75</v>
      </c>
      <c r="BD41" s="668">
        <f>IF(BD$4="forecast",SUM($O$41:$Z$41)/12+4200,SUMIF('Dept. Cost Actuals'!$E$7:$E$176,"*Miscellaneous*",'Dept. Cost Actuals'!BH$355:BH$524))</f>
        <v>4223.75</v>
      </c>
      <c r="BE41" s="668">
        <f>IF(BE$4="forecast",SUM($O$41:$Z$41)/12+4200,SUMIF('Dept. Cost Actuals'!$E$7:$E$176,"*Miscellaneous*",'Dept. Cost Actuals'!BI$355:BI$524))</f>
        <v>4223.75</v>
      </c>
      <c r="BF41" s="668">
        <f>IF(BF$4="forecast",SUM($O$41:$Z$41)/12+4200,SUMIF('Dept. Cost Actuals'!$E$7:$E$176,"*Miscellaneous*",'Dept. Cost Actuals'!BJ$355:BJ$524))</f>
        <v>4223.75</v>
      </c>
      <c r="BG41" s="668">
        <f>IF(BG$4="forecast",SUM($O$41:$Z$41)/12+4200,SUMIF('Dept. Cost Actuals'!$E$7:$E$176,"*Miscellaneous*",'Dept. Cost Actuals'!BK$355:BK$524))</f>
        <v>4223.75</v>
      </c>
      <c r="BH41" s="668">
        <f>IF(BH$4="forecast",SUM($O$41:$Z$41)/12+4200,SUMIF('Dept. Cost Actuals'!$E$7:$E$176,"*Miscellaneous*",'Dept. Cost Actuals'!BL$355:BL$524))</f>
        <v>4223.75</v>
      </c>
      <c r="BI41" s="668">
        <f>IF(BI$4="forecast",SUM($O$41:$Z$41)/12+4200,SUMIF('Dept. Cost Actuals'!$E$7:$E$176,"*Miscellaneous*",'Dept. Cost Actuals'!BM$355:BM$524))</f>
        <v>4223.75</v>
      </c>
      <c r="BJ41" s="668">
        <f>IF(BJ$4="forecast",SUM($O$41:$Z$41)/12+4200,SUMIF('Dept. Cost Actuals'!$E$7:$E$176,"*Miscellaneous*",'Dept. Cost Actuals'!BN$355:BN$524))</f>
        <v>4223.75</v>
      </c>
      <c r="BK41" s="668">
        <f>IF(BK$4="forecast",SUM($O$41:$Z$41)/12+4200,SUMIF('Dept. Cost Actuals'!$E$7:$E$176,"*Miscellaneous*",'Dept. Cost Actuals'!BO$355:BO$524))</f>
        <v>4223.75</v>
      </c>
      <c r="BL41" s="668">
        <f>IF(BL$4="forecast",SUM($O$41:$Z$41)/12+4200,SUMIF('Dept. Cost Actuals'!$E$7:$E$176,"*Miscellaneous*",'Dept. Cost Actuals'!BP$355:BP$524))</f>
        <v>4223.75</v>
      </c>
      <c r="BM41" s="668">
        <f>IF(BM$4="forecast",SUM($O$41:$Z$41)/12+4200,SUMIF('Dept. Cost Actuals'!$E$7:$E$176,"*Miscellaneous*",'Dept. Cost Actuals'!BQ$355:BQ$524))</f>
        <v>4223.75</v>
      </c>
      <c r="BN41" s="668">
        <f>IF(BN$4="forecast",SUM($O$41:$Z$41)/12+4200,SUMIF('Dept. Cost Actuals'!$E$7:$E$176,"*Miscellaneous*",'Dept. Cost Actuals'!BR$355:BR$524))</f>
        <v>4223.75</v>
      </c>
      <c r="BO41" s="668">
        <f>IF(BO$4="forecast",SUM($O$41:$Z$41)/12+4200,SUMIF('Dept. Cost Actuals'!$E$7:$E$176,"*Miscellaneous*",'Dept. Cost Actuals'!BS$355:BS$524))</f>
        <v>4223.75</v>
      </c>
      <c r="BP41" s="668">
        <f>IF(BP$4="forecast",SUM($O$41:$Z$41)/12+4200,SUMIF('Dept. Cost Actuals'!$E$7:$E$176,"*Miscellaneous*",'Dept. Cost Actuals'!BT$355:BT$524))</f>
        <v>4223.75</v>
      </c>
      <c r="BQ41" s="668">
        <f>IF(BQ$4="forecast",SUM($O$41:$Z$41)/12+4200,SUMIF('Dept. Cost Actuals'!$E$7:$E$176,"*Miscellaneous*",'Dept. Cost Actuals'!BU$355:BU$524))</f>
        <v>4223.75</v>
      </c>
      <c r="BR41" s="668">
        <f>IF(BR$4="forecast",SUM($O$41:$Z$41)/12+4200,SUMIF('Dept. Cost Actuals'!$E$7:$E$176,"*Miscellaneous*",'Dept. Cost Actuals'!BV$355:BV$524))</f>
        <v>4223.75</v>
      </c>
      <c r="BS41" s="668">
        <f>IF(BS$4="forecast",SUM($O$41:$Z$41)/12+4200,SUMIF('Dept. Cost Actuals'!$E$7:$E$176,"*Miscellaneous*",'Dept. Cost Actuals'!BW$355:BW$524))</f>
        <v>4223.75</v>
      </c>
      <c r="BT41" s="668">
        <f>IF(BT$4="forecast",SUM($O$41:$Z$41)/12+4200,SUMIF('Dept. Cost Actuals'!$E$7:$E$176,"*Miscellaneous*",'Dept. Cost Actuals'!BX$355:BX$524))</f>
        <v>4223.75</v>
      </c>
      <c r="BU41" s="668">
        <f>IF(BU$4="forecast",SUM($O$41:$Z$41)/12+4200,SUMIF('Dept. Cost Actuals'!$E$7:$E$176,"*Miscellaneous*",'Dept. Cost Actuals'!BY$355:BY$524))</f>
        <v>4223.75</v>
      </c>
      <c r="BV41" s="790">
        <f>IF(BV$4="forecast",SUM($O$41:$Z$41)/12+4200,SUMIF('Dept. Cost Actuals'!$E$7:$E$176,"*Miscellaneous*",'Dept. Cost Actuals'!BZ$355:BZ$524))</f>
        <v>4223.75</v>
      </c>
    </row>
    <row r="42" spans="2:74" x14ac:dyDescent="0.25">
      <c r="B42" s="797" t="s">
        <v>1336</v>
      </c>
      <c r="C42" s="792">
        <f>IF(C$4="forecast",AVERAGE(#REF!),SUMIF('Dept. Cost Actuals'!$E$7:$E$176,"*Liscenses and Permits*",'Dept. Cost Actuals'!G$355:G$524))</f>
        <v>0</v>
      </c>
      <c r="D42" s="792">
        <f>IF(D$4="forecast",AVERAGE(#REF!),SUMIF('Dept. Cost Actuals'!$E$7:$E$176,"*Liscenses and Permits*",'Dept. Cost Actuals'!H$355:H$524))</f>
        <v>0</v>
      </c>
      <c r="E42" s="792">
        <f>IF(E$4="forecast",AVERAGE(#REF!),SUMIF('Dept. Cost Actuals'!$E$7:$E$176,"*Liscenses and Permits*",'Dept. Cost Actuals'!I$355:I$524))</f>
        <v>0</v>
      </c>
      <c r="F42" s="792">
        <f>IF(F$4="forecast",AVERAGE(#REF!),SUMIF('Dept. Cost Actuals'!$E$7:$E$176,"*Liscenses and Permits*",'Dept. Cost Actuals'!J$355:J$524))</f>
        <v>0</v>
      </c>
      <c r="G42" s="792">
        <f>IF(G$4="forecast",AVERAGE(#REF!),SUMIF('Dept. Cost Actuals'!$E$7:$E$176,"*Liscenses and Permits*",'Dept. Cost Actuals'!K$355:K$524))</f>
        <v>0</v>
      </c>
      <c r="H42" s="792">
        <f>IF(H$4="forecast",AVERAGE(#REF!),SUMIF('Dept. Cost Actuals'!$E$7:$E$176,"*Liscenses and Permits*",'Dept. Cost Actuals'!L$355:L$524))</f>
        <v>0</v>
      </c>
      <c r="I42" s="792">
        <f>IF(I$4="forecast",AVERAGE(#REF!),SUMIF('Dept. Cost Actuals'!$E$7:$E$176,"*Liscenses and Permits*",'Dept. Cost Actuals'!M$355:M$524))</f>
        <v>0</v>
      </c>
      <c r="J42" s="792">
        <f>IF(J$4="forecast",AVERAGE(#REF!),SUMIF('Dept. Cost Actuals'!$E$7:$E$176,"*Liscenses and Permits*",'Dept. Cost Actuals'!N$355:N$524))</f>
        <v>0</v>
      </c>
      <c r="K42" s="792">
        <f>IF(K$4="forecast",AVERAGE(#REF!),SUMIF('Dept. Cost Actuals'!$E$7:$E$176,"*Liscenses and Permits*",'Dept. Cost Actuals'!O$355:O$524))</f>
        <v>0</v>
      </c>
      <c r="L42" s="792">
        <f>IF(L$4="forecast",AVERAGE(#REF!),SUMIF('Dept. Cost Actuals'!$E$7:$E$176,"*Liscenses and Permits*",'Dept. Cost Actuals'!P$355:P$524))</f>
        <v>0</v>
      </c>
      <c r="M42" s="792">
        <f>IF(M$4="forecast",AVERAGE(#REF!),SUMIF('Dept. Cost Actuals'!$E$7:$E$176,"*Liscenses and Permits*",'Dept. Cost Actuals'!Q$355:Q$524))</f>
        <v>0</v>
      </c>
      <c r="N42" s="792">
        <f>IF(N$4="forecast",AVERAGE(#REF!),SUMIF('Dept. Cost Actuals'!$E$7:$E$176,"*Liscenses and Permits*",'Dept. Cost Actuals'!R$355:R$524))</f>
        <v>0</v>
      </c>
      <c r="O42" s="792">
        <f>IF(O$4="forecast",AVERAGE(#REF!),SUMIF('Dept. Cost Actuals'!$E$7:$E$176,"*Liscenses and Permits*",'Dept. Cost Actuals'!S$355:S$524))</f>
        <v>0</v>
      </c>
      <c r="P42" s="792">
        <f>IF(P$4="forecast",AVERAGE(#REF!),SUMIF('Dept. Cost Actuals'!$E$7:$E$176,"*Liscenses and Permits*",'Dept. Cost Actuals'!T$355:T$524))</f>
        <v>0</v>
      </c>
      <c r="Q42" s="792">
        <f>IF(Q$4="forecast",AVERAGE(#REF!),SUMIF('Dept. Cost Actuals'!$E$7:$E$176,"*Liscenses and Permits*",'Dept. Cost Actuals'!U$355:U$524))</f>
        <v>0</v>
      </c>
      <c r="R42" s="792">
        <f>IF(R$4="forecast",AVERAGE(#REF!),SUMIF('Dept. Cost Actuals'!$E$7:$E$176,"*Liscenses and Permits*",'Dept. Cost Actuals'!V$355:V$524))</f>
        <v>0</v>
      </c>
      <c r="S42" s="792">
        <f>IF(S$4="forecast",AVERAGE(#REF!),SUMIF('Dept. Cost Actuals'!$E$7:$E$176,"*Liscenses and Permits*",'Dept. Cost Actuals'!W$355:W$524))</f>
        <v>0</v>
      </c>
      <c r="T42" s="792">
        <f>IF(T$4="forecast",AVERAGE(#REF!),SUMIF('Dept. Cost Actuals'!$E$7:$E$176,"*Liscenses and Permits*",'Dept. Cost Actuals'!X$355:X$524))</f>
        <v>0</v>
      </c>
      <c r="U42" s="792">
        <f>IF(U$4="forecast",AVERAGE(#REF!),SUMIF('Dept. Cost Actuals'!$E$7:$E$176,"*Liscenses and Permits*",'Dept. Cost Actuals'!Y$355:Y$524))</f>
        <v>0</v>
      </c>
      <c r="V42" s="792">
        <f>IF(V$4="forecast",AVERAGE(#REF!),SUMIF('Dept. Cost Actuals'!$E$7:$E$176,"*Liscenses and Permits*",'Dept. Cost Actuals'!Z$355:Z$524))</f>
        <v>0</v>
      </c>
      <c r="W42" s="792">
        <f>IF(W$4="forecast",AVERAGE(#REF!),SUMIF('Dept. Cost Actuals'!$E$7:$E$176,"*Liscenses and Permits*",'Dept. Cost Actuals'!AA$355:AA$524))</f>
        <v>0</v>
      </c>
      <c r="X42" s="792">
        <f>IF(X$4="forecast",AVERAGE(#REF!),SUMIF('Dept. Cost Actuals'!$E$7:$E$176,"*Liscenses and Permits*",'Dept. Cost Actuals'!AB$355:AB$524))</f>
        <v>0</v>
      </c>
      <c r="Y42" s="792">
        <f>IF(Y$4="forecast",AVERAGE(#REF!),SUMIF('Dept. Cost Actuals'!$E$7:$E$176,"*Liscenses and Permits*",'Dept. Cost Actuals'!AC$355:AC$524))</f>
        <v>0</v>
      </c>
      <c r="Z42" s="792">
        <f>IF(Z$4="forecast",AVERAGE(#REF!),SUMIF('Dept. Cost Actuals'!$E$7:$E$176,"*Liscenses and Permits*",'Dept. Cost Actuals'!AD$355:AD$524))</f>
        <v>0</v>
      </c>
      <c r="AA42" s="792">
        <f>IF(AA$4="forecast",AVERAGE(O42:Z42),SUMIF('Dept. Cost Actuals'!$E$7:$E$176,"*Liscenses and Permits*",'Dept. Cost Actuals'!AE$355:AE$524))</f>
        <v>0</v>
      </c>
      <c r="AB42" s="792">
        <f>IF(AB$4="forecast",AVERAGE(P42:AA42),SUMIF('Dept. Cost Actuals'!$E$7:$E$176,"*Liscenses and Permits*",'Dept. Cost Actuals'!AF$355:AF$524))</f>
        <v>0</v>
      </c>
      <c r="AC42" s="792">
        <f>IF(AC$4="forecast",AVERAGE(Q42:AB42),SUMIF('Dept. Cost Actuals'!$E$7:$E$176,"*Liscenses and Permits*",'Dept. Cost Actuals'!AG$355:AG$524))</f>
        <v>0</v>
      </c>
      <c r="AD42" s="792">
        <f>IF(AD$4="forecast",AVERAGE(R42:AC42),SUMIF('Dept. Cost Actuals'!$E$7:$E$176,"*Liscenses and Permits*",'Dept. Cost Actuals'!AH$355:AH$524))</f>
        <v>0</v>
      </c>
      <c r="AE42" s="792">
        <f>IF(AE$4="forecast",AVERAGE(S42:AD42),SUMIF('Dept. Cost Actuals'!$E$7:$E$176,"*Liscenses and Permits*",'Dept. Cost Actuals'!AI$355:AI$524))</f>
        <v>0</v>
      </c>
      <c r="AF42" s="792">
        <f>IF(AF$4="forecast",AVERAGE(T42:AE42),SUMIF('Dept. Cost Actuals'!$E$7:$E$176,"*Liscenses and Permits*",'Dept. Cost Actuals'!AJ$355:AJ$524))</f>
        <v>0</v>
      </c>
      <c r="AG42" s="792">
        <f>IF(AG$4="forecast",AVERAGE(U42:AF42),SUMIF('Dept. Cost Actuals'!$E$7:$E$176,"*Liscenses and Permits*",'Dept. Cost Actuals'!AK$355:AK$524))</f>
        <v>0</v>
      </c>
      <c r="AH42" s="792">
        <f>IF(AH$4="forecast",AVERAGE(V42:AG42),SUMIF('Dept. Cost Actuals'!$E$7:$E$176,"*Liscenses and Permits*",'Dept. Cost Actuals'!AL$355:AL$524))</f>
        <v>0</v>
      </c>
      <c r="AI42" s="792">
        <f>IF(AI$4="forecast",AVERAGE(W42:AH42),SUMIF('Dept. Cost Actuals'!$E$7:$E$176,"*Liscenses and Permits*",'Dept. Cost Actuals'!AM$355:AM$524))</f>
        <v>0</v>
      </c>
      <c r="AJ42" s="792">
        <f>IF(AJ$4="forecast",AVERAGE(X42:AI42),SUMIF('Dept. Cost Actuals'!$E$7:$E$176,"*Liscenses and Permits*",'Dept. Cost Actuals'!AN$355:AN$524))</f>
        <v>0</v>
      </c>
      <c r="AK42" s="792">
        <f>IF(AK$4="forecast",AVERAGE(Y42:AJ42),SUMIF('Dept. Cost Actuals'!$E$7:$E$176,"*Liscenses and Permits*",'Dept. Cost Actuals'!AO$355:AO$524))</f>
        <v>0</v>
      </c>
      <c r="AL42" s="792">
        <f>IF(AL$4="forecast",AVERAGE(Z42:AK42),SUMIF('Dept. Cost Actuals'!$E$7:$E$176,"*Liscenses and Permits*",'Dept. Cost Actuals'!AP$355:AP$524))</f>
        <v>0</v>
      </c>
      <c r="AM42" s="792">
        <f>IF(AM$4="forecast",AVERAGE(AA42:AL42),SUMIF('Dept. Cost Actuals'!$E$7:$E$176,"*Liscenses and Permits*",'Dept. Cost Actuals'!AQ$355:AQ$524))</f>
        <v>0</v>
      </c>
      <c r="AN42" s="792">
        <f>IF(AN$4="forecast",AVERAGE(AB42:AM42),SUMIF('Dept. Cost Actuals'!$E$7:$E$176,"*Liscenses and Permits*",'Dept. Cost Actuals'!AR$355:AR$524))</f>
        <v>0</v>
      </c>
      <c r="AO42" s="792">
        <f>IF(AO$4="forecast",AVERAGE(AC42:AN42),SUMIF('Dept. Cost Actuals'!$E$7:$E$176,"*Liscenses and Permits*",'Dept. Cost Actuals'!AS$355:AS$524))</f>
        <v>0</v>
      </c>
      <c r="AP42" s="792">
        <f>IF(AP$4="forecast",AVERAGE(AD42:AO42),SUMIF('Dept. Cost Actuals'!$E$7:$E$176,"*Liscenses and Permits*",'Dept. Cost Actuals'!AT$355:AT$524))</f>
        <v>0</v>
      </c>
      <c r="AQ42" s="792">
        <f>IF(AQ$4="forecast",AVERAGE(AE42:AP42),SUMIF('Dept. Cost Actuals'!$E$7:$E$176,"*Liscenses and Permits*",'Dept. Cost Actuals'!AU$355:AU$524))</f>
        <v>0</v>
      </c>
      <c r="AR42" s="792">
        <f>IF(AR$4="forecast",AVERAGE(AF42:AQ42),SUMIF('Dept. Cost Actuals'!$E$7:$E$176,"*Liscenses and Permits*",'Dept. Cost Actuals'!AV$355:AV$524))</f>
        <v>0</v>
      </c>
      <c r="AS42" s="792">
        <f>IF(AS$4="forecast",AVERAGE(AG42:AR42),SUMIF('Dept. Cost Actuals'!$E$7:$E$176,"*Liscenses and Permits*",'Dept. Cost Actuals'!AW$355:AW$524))</f>
        <v>0</v>
      </c>
      <c r="AT42" s="792">
        <f>IF(AT$4="forecast",AVERAGE(AH42:AS42),SUMIF('Dept. Cost Actuals'!$E$7:$E$176,"*Liscenses and Permits*",'Dept. Cost Actuals'!AX$355:AX$524))</f>
        <v>0</v>
      </c>
      <c r="AU42" s="792">
        <f>IF(AU$4="forecast",AVERAGE(AI42:AT42),SUMIF('Dept. Cost Actuals'!$E$7:$E$176,"*Liscenses and Permits*",'Dept. Cost Actuals'!AY$355:AY$524))</f>
        <v>0</v>
      </c>
      <c r="AV42" s="792">
        <f>IF(AV$4="forecast",AVERAGE(AJ42:AU42),SUMIF('Dept. Cost Actuals'!$E$7:$E$176,"*Liscenses and Permits*",'Dept. Cost Actuals'!AZ$355:AZ$524))</f>
        <v>0</v>
      </c>
      <c r="AW42" s="792">
        <f>IF(AW$4="forecast",AVERAGE(AK42:AV42),SUMIF('Dept. Cost Actuals'!$E$7:$E$176,"*Liscenses and Permits*",'Dept. Cost Actuals'!BA$355:BA$524))</f>
        <v>0</v>
      </c>
      <c r="AX42" s="792">
        <f>IF(AX$4="forecast",AVERAGE(AL42:AW42),SUMIF('Dept. Cost Actuals'!$E$7:$E$176,"*Liscenses and Permits*",'Dept. Cost Actuals'!BB$355:BB$524))</f>
        <v>0</v>
      </c>
      <c r="AY42" s="792">
        <f>IF(AY$4="forecast",AVERAGE(AM42:AX42),SUMIF('Dept. Cost Actuals'!$E$7:$E$176,"*Liscenses and Permits*",'Dept. Cost Actuals'!BC$355:BC$524))</f>
        <v>0</v>
      </c>
      <c r="AZ42" s="792">
        <f>IF(AZ$4="forecast",AVERAGE(AN42:AY42),SUMIF('Dept. Cost Actuals'!$E$7:$E$176,"*Liscenses and Permits*",'Dept. Cost Actuals'!BD$355:BD$524))</f>
        <v>0</v>
      </c>
      <c r="BA42" s="792">
        <f>IF(BA$4="forecast",AVERAGE(AO42:AZ42),SUMIF('Dept. Cost Actuals'!$E$7:$E$176,"*Liscenses and Permits*",'Dept. Cost Actuals'!BE$355:BE$524))</f>
        <v>0</v>
      </c>
      <c r="BB42" s="792">
        <f>IF(BB$4="forecast",AVERAGE(AP42:BA42),SUMIF('Dept. Cost Actuals'!$E$7:$E$176,"*Liscenses and Permits*",'Dept. Cost Actuals'!BF$355:BF$524))</f>
        <v>0</v>
      </c>
      <c r="BC42" s="792">
        <f>IF(BC$4="forecast",AVERAGE(AQ42:BB42),SUMIF('Dept. Cost Actuals'!$E$7:$E$176,"*Liscenses and Permits*",'Dept. Cost Actuals'!BG$355:BG$524))</f>
        <v>0</v>
      </c>
      <c r="BD42" s="792">
        <f>IF(BD$4="forecast",AVERAGE(AR42:BC42),SUMIF('Dept. Cost Actuals'!$E$7:$E$176,"*Liscenses and Permits*",'Dept. Cost Actuals'!BH$355:BH$524))</f>
        <v>0</v>
      </c>
      <c r="BE42" s="792">
        <f>IF(BE$4="forecast",AVERAGE(AS42:BD42),SUMIF('Dept. Cost Actuals'!$E$7:$E$176,"*Liscenses and Permits*",'Dept. Cost Actuals'!BI$355:BI$524))</f>
        <v>0</v>
      </c>
      <c r="BF42" s="792">
        <f>IF(BF$4="forecast",AVERAGE(AT42:BE42),SUMIF('Dept. Cost Actuals'!$E$7:$E$176,"*Liscenses and Permits*",'Dept. Cost Actuals'!BJ$355:BJ$524))</f>
        <v>0</v>
      </c>
      <c r="BG42" s="792">
        <f>IF(BG$4="forecast",AVERAGE(AU42:BF42),SUMIF('Dept. Cost Actuals'!$E$7:$E$176,"*Liscenses and Permits*",'Dept. Cost Actuals'!BK$355:BK$524))</f>
        <v>0</v>
      </c>
      <c r="BH42" s="792">
        <f>IF(BH$4="forecast",AVERAGE(AV42:BG42),SUMIF('Dept. Cost Actuals'!$E$7:$E$176,"*Liscenses and Permits*",'Dept. Cost Actuals'!BL$355:BL$524))</f>
        <v>0</v>
      </c>
      <c r="BI42" s="792">
        <f>IF(BI$4="forecast",AVERAGE(AW42:BH42),SUMIF('Dept. Cost Actuals'!$E$7:$E$176,"*Liscenses and Permits*",'Dept. Cost Actuals'!BM$355:BM$524))</f>
        <v>0</v>
      </c>
      <c r="BJ42" s="792">
        <f>IF(BJ$4="forecast",AVERAGE(AX42:BI42),SUMIF('Dept. Cost Actuals'!$E$7:$E$176,"*Liscenses and Permits*",'Dept. Cost Actuals'!BN$355:BN$524))</f>
        <v>0</v>
      </c>
      <c r="BK42" s="792">
        <f>IF(BK$4="forecast",AVERAGE(AY42:BJ42),SUMIF('Dept. Cost Actuals'!$E$7:$E$176,"*Liscenses and Permits*",'Dept. Cost Actuals'!BO$355:BO$524))</f>
        <v>0</v>
      </c>
      <c r="BL42" s="792">
        <f>IF(BL$4="forecast",AVERAGE(AZ42:BK42),SUMIF('Dept. Cost Actuals'!$E$7:$E$176,"*Liscenses and Permits*",'Dept. Cost Actuals'!BP$355:BP$524))</f>
        <v>0</v>
      </c>
      <c r="BM42" s="792">
        <f>IF(BM$4="forecast",AVERAGE(BA42:BL42),SUMIF('Dept. Cost Actuals'!$E$7:$E$176,"*Liscenses and Permits*",'Dept. Cost Actuals'!BQ$355:BQ$524))</f>
        <v>0</v>
      </c>
      <c r="BN42" s="792">
        <f>IF(BN$4="forecast",AVERAGE(BB42:BM42),SUMIF('Dept. Cost Actuals'!$E$7:$E$176,"*Liscenses and Permits*",'Dept. Cost Actuals'!BR$355:BR$524))</f>
        <v>0</v>
      </c>
      <c r="BO42" s="792">
        <f>IF(BO$4="forecast",AVERAGE(BC42:BN42),SUMIF('Dept. Cost Actuals'!$E$7:$E$176,"*Liscenses and Permits*",'Dept. Cost Actuals'!BS$355:BS$524))</f>
        <v>0</v>
      </c>
      <c r="BP42" s="792">
        <f>IF(BP$4="forecast",AVERAGE(BD42:BO42),SUMIF('Dept. Cost Actuals'!$E$7:$E$176,"*Liscenses and Permits*",'Dept. Cost Actuals'!BT$355:BT$524))</f>
        <v>0</v>
      </c>
      <c r="BQ42" s="792">
        <f>IF(BQ$4="forecast",AVERAGE(BE42:BP42),SUMIF('Dept. Cost Actuals'!$E$7:$E$176,"*Liscenses and Permits*",'Dept. Cost Actuals'!BU$355:BU$524))</f>
        <v>0</v>
      </c>
      <c r="BR42" s="792">
        <f>IF(BR$4="forecast",AVERAGE(BF42:BQ42),SUMIF('Dept. Cost Actuals'!$E$7:$E$176,"*Liscenses and Permits*",'Dept. Cost Actuals'!BV$355:BV$524))</f>
        <v>0</v>
      </c>
      <c r="BS42" s="792">
        <f>IF(BS$4="forecast",AVERAGE(BG42:BR42),SUMIF('Dept. Cost Actuals'!$E$7:$E$176,"*Liscenses and Permits*",'Dept. Cost Actuals'!BW$355:BW$524))</f>
        <v>0</v>
      </c>
      <c r="BT42" s="792">
        <f>IF(BT$4="forecast",AVERAGE(BH42:BS42),SUMIF('Dept. Cost Actuals'!$E$7:$E$176,"*Liscenses and Permits*",'Dept. Cost Actuals'!BX$355:BX$524))</f>
        <v>0</v>
      </c>
      <c r="BU42" s="792">
        <f>IF(BU$4="forecast",AVERAGE(BI42:BT42),SUMIF('Dept. Cost Actuals'!$E$7:$E$176,"*Liscenses and Permits*",'Dept. Cost Actuals'!BY$355:BY$524))</f>
        <v>0</v>
      </c>
      <c r="BV42" s="798">
        <f>IF(BV$4="forecast",AVERAGE(BJ42:BU42),SUMIF('Dept. Cost Actuals'!$E$7:$E$176,"*Liscenses and Permits*",'Dept. Cost Actuals'!BZ$355:BZ$524))</f>
        <v>0</v>
      </c>
    </row>
    <row r="43" spans="2:74" x14ac:dyDescent="0.25">
      <c r="B43" s="799" t="s">
        <v>946</v>
      </c>
      <c r="C43" s="800">
        <f>SUM(C32:C42)</f>
        <v>10701.025493666384</v>
      </c>
      <c r="D43" s="800">
        <f t="shared" ref="D43:BO43" si="13">SUM(D32:D42)</f>
        <v>12785.425112901221</v>
      </c>
      <c r="E43" s="800">
        <f t="shared" si="13"/>
        <v>27820.206764847619</v>
      </c>
      <c r="F43" s="800">
        <f t="shared" si="13"/>
        <v>27078.496266766324</v>
      </c>
      <c r="G43" s="800">
        <f t="shared" si="13"/>
        <v>29087.596278096291</v>
      </c>
      <c r="H43" s="800">
        <f t="shared" si="13"/>
        <v>30048.834629753328</v>
      </c>
      <c r="I43" s="800">
        <f t="shared" si="13"/>
        <v>34475.573819628939</v>
      </c>
      <c r="J43" s="800">
        <f t="shared" si="13"/>
        <v>31680.959157862184</v>
      </c>
      <c r="K43" s="800">
        <f t="shared" si="13"/>
        <v>38121.393631743624</v>
      </c>
      <c r="L43" s="800">
        <f t="shared" si="13"/>
        <v>37963.708520078697</v>
      </c>
      <c r="M43" s="800">
        <f t="shared" si="13"/>
        <v>43129.63034002349</v>
      </c>
      <c r="N43" s="800">
        <f t="shared" si="13"/>
        <v>69155.015590617055</v>
      </c>
      <c r="O43" s="800">
        <f t="shared" si="13"/>
        <v>26118.85</v>
      </c>
      <c r="P43" s="800">
        <f t="shared" si="13"/>
        <v>37331.86</v>
      </c>
      <c r="Q43" s="800">
        <f t="shared" si="13"/>
        <v>22861.930000000004</v>
      </c>
      <c r="R43" s="800">
        <f t="shared" si="13"/>
        <v>44874.659999999996</v>
      </c>
      <c r="S43" s="800">
        <f t="shared" si="13"/>
        <v>39121.090000000004</v>
      </c>
      <c r="T43" s="800">
        <f t="shared" si="13"/>
        <v>14246.000000000002</v>
      </c>
      <c r="U43" s="800">
        <f t="shared" si="13"/>
        <v>94295.35000000002</v>
      </c>
      <c r="V43" s="800">
        <f t="shared" si="13"/>
        <v>64706.080000000002</v>
      </c>
      <c r="W43" s="800">
        <f t="shared" si="13"/>
        <v>58080.37</v>
      </c>
      <c r="X43" s="800">
        <f t="shared" si="13"/>
        <v>62008.34</v>
      </c>
      <c r="Y43" s="800">
        <f t="shared" si="13"/>
        <v>68958.19</v>
      </c>
      <c r="Z43" s="800">
        <f t="shared" si="13"/>
        <v>90516.31</v>
      </c>
      <c r="AA43" s="800">
        <f t="shared" si="13"/>
        <v>52561.61</v>
      </c>
      <c r="AB43" s="800">
        <f t="shared" si="13"/>
        <v>38361.79</v>
      </c>
      <c r="AC43" s="800">
        <f t="shared" si="13"/>
        <v>53796.07</v>
      </c>
      <c r="AD43" s="800">
        <f t="shared" si="13"/>
        <v>9312.3474999999999</v>
      </c>
      <c r="AE43" s="800">
        <f t="shared" si="13"/>
        <v>8445.9064583333347</v>
      </c>
      <c r="AF43" s="800">
        <f t="shared" si="13"/>
        <v>8452.9600520833337</v>
      </c>
      <c r="AG43" s="800">
        <f t="shared" si="13"/>
        <v>8460.7061212384269</v>
      </c>
      <c r="AH43" s="800">
        <f t="shared" si="13"/>
        <v>8392.8552656008869</v>
      </c>
      <c r="AI43" s="800">
        <f t="shared" si="13"/>
        <v>8428.7130616540489</v>
      </c>
      <c r="AJ43" s="800">
        <f t="shared" si="13"/>
        <v>8477.1455833813925</v>
      </c>
      <c r="AK43" s="800">
        <f t="shared" si="13"/>
        <v>8448.2965209496979</v>
      </c>
      <c r="AL43" s="800">
        <f t="shared" si="13"/>
        <v>8363.5584431237439</v>
      </c>
      <c r="AM43" s="800">
        <f t="shared" si="13"/>
        <v>8401.4862824287684</v>
      </c>
      <c r="AN43" s="800">
        <f t="shared" si="13"/>
        <v>8412.4799130541542</v>
      </c>
      <c r="AO43" s="800">
        <f t="shared" si="13"/>
        <v>8456.5066168001977</v>
      </c>
      <c r="AP43" s="800">
        <f t="shared" si="13"/>
        <v>8507.6940918195869</v>
      </c>
      <c r="AQ43" s="800">
        <f t="shared" si="13"/>
        <v>8433.0864527102549</v>
      </c>
      <c r="AR43" s="800">
        <f t="shared" si="13"/>
        <v>8434.2915028193529</v>
      </c>
      <c r="AS43" s="800">
        <f t="shared" si="13"/>
        <v>8432.2650659968131</v>
      </c>
      <c r="AT43" s="800">
        <f t="shared" si="13"/>
        <v>8431.2444662242779</v>
      </c>
      <c r="AU43" s="800">
        <f t="shared" si="13"/>
        <v>8435.7442710813448</v>
      </c>
      <c r="AV43" s="800">
        <f t="shared" si="13"/>
        <v>8436.8084580160066</v>
      </c>
      <c r="AW43" s="800">
        <f t="shared" si="13"/>
        <v>8433.4704700880193</v>
      </c>
      <c r="AX43" s="800">
        <f t="shared" si="13"/>
        <v>8432.1781862949338</v>
      </c>
      <c r="AY43" s="800">
        <f t="shared" si="13"/>
        <v>8437.7600816536014</v>
      </c>
      <c r="AZ43" s="800">
        <f t="shared" si="13"/>
        <v>8440.6324453422421</v>
      </c>
      <c r="BA43" s="800">
        <f t="shared" si="13"/>
        <v>8442.8005648365906</v>
      </c>
      <c r="BB43" s="800">
        <f t="shared" si="13"/>
        <v>8441.451051939337</v>
      </c>
      <c r="BC43" s="800">
        <f t="shared" si="13"/>
        <v>8435.6904083574482</v>
      </c>
      <c r="BD43" s="800">
        <f t="shared" si="13"/>
        <v>8435.6301080169505</v>
      </c>
      <c r="BE43" s="800">
        <f t="shared" si="13"/>
        <v>8436.0737616530787</v>
      </c>
      <c r="BF43" s="800">
        <f t="shared" si="13"/>
        <v>8436.5106994478047</v>
      </c>
      <c r="BG43" s="800">
        <f t="shared" si="13"/>
        <v>8437.1360010053795</v>
      </c>
      <c r="BH43" s="800">
        <f t="shared" si="13"/>
        <v>8437.335932148475</v>
      </c>
      <c r="BI43" s="800">
        <f t="shared" si="13"/>
        <v>8437.3709873075932</v>
      </c>
      <c r="BJ43" s="800">
        <f t="shared" si="13"/>
        <v>8437.6542711267775</v>
      </c>
      <c r="BK43" s="800">
        <f t="shared" si="13"/>
        <v>8438.0661572299541</v>
      </c>
      <c r="BL43" s="800">
        <f t="shared" si="13"/>
        <v>8438.0484609178529</v>
      </c>
      <c r="BM43" s="800">
        <f t="shared" si="13"/>
        <v>8437.7975897950892</v>
      </c>
      <c r="BN43" s="800">
        <f t="shared" si="13"/>
        <v>8437.3540736461728</v>
      </c>
      <c r="BO43" s="800">
        <f t="shared" si="13"/>
        <v>8436.9979227075855</v>
      </c>
      <c r="BP43" s="800">
        <f t="shared" ref="BP43:BV43" si="14">SUM(BP32:BP42)</f>
        <v>8437.1072078507877</v>
      </c>
      <c r="BQ43" s="800">
        <f t="shared" si="14"/>
        <v>8437.2494296324403</v>
      </c>
      <c r="BR43" s="800">
        <f t="shared" si="14"/>
        <v>8437.3896672810897</v>
      </c>
      <c r="BS43" s="800">
        <f t="shared" si="14"/>
        <v>8437.4790988280529</v>
      </c>
      <c r="BT43" s="800">
        <f t="shared" si="14"/>
        <v>8437.5174344430488</v>
      </c>
      <c r="BU43" s="800">
        <f t="shared" si="14"/>
        <v>8437.5281150505853</v>
      </c>
      <c r="BV43" s="800">
        <f t="shared" si="14"/>
        <v>8437.5305803188512</v>
      </c>
    </row>
    <row r="44" spans="2:74" x14ac:dyDescent="0.25">
      <c r="B44" s="783"/>
      <c r="C44" s="156"/>
      <c r="D44" s="156"/>
      <c r="E44" s="156"/>
      <c r="F44" s="156"/>
      <c r="G44" s="156"/>
      <c r="H44" s="156"/>
      <c r="I44" s="156"/>
      <c r="J44" s="156"/>
      <c r="K44" s="156"/>
      <c r="L44" s="156"/>
      <c r="M44" s="156"/>
      <c r="N44" s="156"/>
      <c r="O44" s="156"/>
      <c r="P44" s="156"/>
      <c r="Q44" s="156"/>
      <c r="R44" s="156"/>
      <c r="S44" s="156"/>
      <c r="T44" s="156"/>
      <c r="U44" s="156"/>
      <c r="V44" s="156"/>
      <c r="W44" s="156"/>
      <c r="X44" s="156"/>
      <c r="Y44" s="156"/>
      <c r="Z44" s="156"/>
      <c r="AA44" s="156"/>
      <c r="AB44" s="156"/>
      <c r="AC44" s="156"/>
      <c r="AD44" s="156"/>
      <c r="AE44" s="156"/>
      <c r="AF44" s="156"/>
      <c r="AG44" s="156"/>
      <c r="AH44" s="156"/>
      <c r="AI44" s="156"/>
      <c r="AJ44" s="156"/>
      <c r="AK44" s="156"/>
      <c r="AL44" s="156"/>
      <c r="AM44" s="156"/>
      <c r="AN44" s="156"/>
      <c r="AO44" s="156"/>
      <c r="AP44" s="156"/>
      <c r="AQ44" s="156"/>
      <c r="AR44" s="156"/>
      <c r="AS44" s="156"/>
      <c r="AT44" s="156"/>
      <c r="AU44" s="156"/>
      <c r="AV44" s="156"/>
      <c r="AW44" s="156"/>
      <c r="AX44" s="156"/>
      <c r="AY44" s="156"/>
      <c r="AZ44" s="156"/>
      <c r="BA44" s="156"/>
      <c r="BB44" s="156"/>
      <c r="BC44" s="156"/>
      <c r="BD44" s="156"/>
      <c r="BE44" s="156"/>
      <c r="BF44" s="156"/>
      <c r="BG44" s="156"/>
      <c r="BH44" s="156"/>
      <c r="BI44" s="156"/>
      <c r="BJ44" s="156"/>
      <c r="BK44" s="156"/>
      <c r="BL44" s="156"/>
      <c r="BM44" s="156"/>
      <c r="BN44" s="156"/>
      <c r="BO44" s="156"/>
      <c r="BP44" s="156"/>
      <c r="BQ44" s="156"/>
      <c r="BR44" s="156"/>
      <c r="BS44" s="156"/>
      <c r="BT44" s="156"/>
      <c r="BU44" s="156"/>
      <c r="BV44" s="784"/>
    </row>
    <row r="45" spans="2:74" x14ac:dyDescent="0.25">
      <c r="B45" s="855" t="s">
        <v>488</v>
      </c>
      <c r="C45" s="856">
        <f t="shared" ref="C45:BN45" si="15">C43+C29</f>
        <v>60951.026543432119</v>
      </c>
      <c r="D45" s="856">
        <f t="shared" si="15"/>
        <v>54573.897326367427</v>
      </c>
      <c r="E45" s="856">
        <f t="shared" si="15"/>
        <v>77946.57790825174</v>
      </c>
      <c r="F45" s="856">
        <f t="shared" si="15"/>
        <v>85760.122199600039</v>
      </c>
      <c r="G45" s="856">
        <f t="shared" si="15"/>
        <v>79829.350699418079</v>
      </c>
      <c r="H45" s="856">
        <f t="shared" si="15"/>
        <v>106211.3735324009</v>
      </c>
      <c r="I45" s="856">
        <f t="shared" si="15"/>
        <v>117372.99168759253</v>
      </c>
      <c r="J45" s="856">
        <f t="shared" si="15"/>
        <v>130340.79026891</v>
      </c>
      <c r="K45" s="856">
        <f t="shared" si="15"/>
        <v>134907.88182833995</v>
      </c>
      <c r="L45" s="856">
        <f t="shared" si="15"/>
        <v>135611.68798628653</v>
      </c>
      <c r="M45" s="856">
        <f t="shared" si="15"/>
        <v>179290.10190158107</v>
      </c>
      <c r="N45" s="856">
        <f t="shared" si="15"/>
        <v>207975.53769223587</v>
      </c>
      <c r="O45" s="856">
        <f t="shared" si="15"/>
        <v>173468.37</v>
      </c>
      <c r="P45" s="856">
        <f t="shared" si="15"/>
        <v>184963.55</v>
      </c>
      <c r="Q45" s="856">
        <f t="shared" si="15"/>
        <v>249648.39</v>
      </c>
      <c r="R45" s="856">
        <f t="shared" si="15"/>
        <v>262591.01</v>
      </c>
      <c r="S45" s="856">
        <f t="shared" si="15"/>
        <v>229367.87</v>
      </c>
      <c r="T45" s="856">
        <f t="shared" si="15"/>
        <v>191731.96000000002</v>
      </c>
      <c r="U45" s="856">
        <f t="shared" si="15"/>
        <v>287421</v>
      </c>
      <c r="V45" s="856">
        <f t="shared" si="15"/>
        <v>249250.03000000003</v>
      </c>
      <c r="W45" s="856">
        <f t="shared" si="15"/>
        <v>241733.45</v>
      </c>
      <c r="X45" s="856">
        <f t="shared" si="15"/>
        <v>259504.72</v>
      </c>
      <c r="Y45" s="856">
        <f t="shared" si="15"/>
        <v>245712.69</v>
      </c>
      <c r="Z45" s="856">
        <f t="shared" si="15"/>
        <v>220065.69</v>
      </c>
      <c r="AA45" s="856">
        <f t="shared" si="15"/>
        <v>207747.18</v>
      </c>
      <c r="AB45" s="856">
        <f t="shared" si="15"/>
        <v>217558.29</v>
      </c>
      <c r="AC45" s="856">
        <f t="shared" si="15"/>
        <v>251970.81000000003</v>
      </c>
      <c r="AD45" s="856">
        <f t="shared" si="15"/>
        <v>335017.06191613543</v>
      </c>
      <c r="AE45" s="856">
        <f t="shared" si="15"/>
        <v>325837.1060947153</v>
      </c>
      <c r="AF45" s="856">
        <f t="shared" si="15"/>
        <v>326973.65499647625</v>
      </c>
      <c r="AG45" s="856">
        <f t="shared" si="15"/>
        <v>343900.72111102781</v>
      </c>
      <c r="AH45" s="856">
        <f t="shared" si="15"/>
        <v>340475.73659145</v>
      </c>
      <c r="AI45" s="856">
        <f t="shared" si="15"/>
        <v>341851.22273470904</v>
      </c>
      <c r="AJ45" s="856">
        <f t="shared" si="15"/>
        <v>359123.51878449164</v>
      </c>
      <c r="AK45" s="856">
        <f t="shared" si="15"/>
        <v>355592.96064549149</v>
      </c>
      <c r="AL45" s="856">
        <f t="shared" si="15"/>
        <v>357610.53610878094</v>
      </c>
      <c r="AM45" s="856">
        <f t="shared" si="15"/>
        <v>361378.12692394987</v>
      </c>
      <c r="AN45" s="856">
        <f t="shared" si="15"/>
        <v>368616.72377300472</v>
      </c>
      <c r="AO45" s="856">
        <f t="shared" si="15"/>
        <v>370462.17483642237</v>
      </c>
      <c r="AP45" s="856">
        <f t="shared" si="15"/>
        <v>371383.42521484289</v>
      </c>
      <c r="AQ45" s="856">
        <f t="shared" si="15"/>
        <v>372827.63682585291</v>
      </c>
      <c r="AR45" s="856">
        <f t="shared" si="15"/>
        <v>374364.46136301477</v>
      </c>
      <c r="AS45" s="856">
        <f t="shared" si="15"/>
        <v>375929.79663108301</v>
      </c>
      <c r="AT45" s="856">
        <f t="shared" si="15"/>
        <v>377538.68067737215</v>
      </c>
      <c r="AU45" s="856">
        <f t="shared" si="15"/>
        <v>379185.85315253964</v>
      </c>
      <c r="AV45" s="856">
        <f t="shared" si="15"/>
        <v>380856.9196269121</v>
      </c>
      <c r="AW45" s="856">
        <f t="shared" si="15"/>
        <v>382552.14312630607</v>
      </c>
      <c r="AX45" s="856">
        <f t="shared" si="15"/>
        <v>384304.85421610804</v>
      </c>
      <c r="AY45" s="856">
        <f t="shared" si="15"/>
        <v>388305.54532707739</v>
      </c>
      <c r="AZ45" s="856">
        <f t="shared" si="15"/>
        <v>397377.16250981827</v>
      </c>
      <c r="BA45" s="856">
        <f t="shared" si="15"/>
        <v>399182.78092839778</v>
      </c>
      <c r="BB45" s="856">
        <f t="shared" si="15"/>
        <v>400988.290306254</v>
      </c>
      <c r="BC45" s="856">
        <f t="shared" si="15"/>
        <v>402870.90681232337</v>
      </c>
      <c r="BD45" s="856">
        <f t="shared" si="15"/>
        <v>404796.43788412894</v>
      </c>
      <c r="BE45" s="856">
        <f t="shared" si="15"/>
        <v>406761.68250707031</v>
      </c>
      <c r="BF45" s="856">
        <f t="shared" si="15"/>
        <v>408767.03795218002</v>
      </c>
      <c r="BG45" s="856">
        <f t="shared" si="15"/>
        <v>410812.69271133101</v>
      </c>
      <c r="BH45" s="856">
        <f t="shared" si="15"/>
        <v>412898.88130893465</v>
      </c>
      <c r="BI45" s="856">
        <f t="shared" si="15"/>
        <v>415027.27351388719</v>
      </c>
      <c r="BJ45" s="856">
        <f t="shared" si="15"/>
        <v>417199.74762090266</v>
      </c>
      <c r="BK45" s="856">
        <f t="shared" si="15"/>
        <v>421750.12700212654</v>
      </c>
      <c r="BL45" s="856">
        <f t="shared" si="15"/>
        <v>431563.5809474432</v>
      </c>
      <c r="BM45" s="856">
        <f t="shared" si="15"/>
        <v>433911.8973187363</v>
      </c>
      <c r="BN45" s="856">
        <f t="shared" si="15"/>
        <v>436315.18628768984</v>
      </c>
      <c r="BO45" s="856">
        <f t="shared" ref="BO45:BV45" si="16">BO43+BO29</f>
        <v>438778.74718027393</v>
      </c>
      <c r="BP45" s="856">
        <f t="shared" si="16"/>
        <v>441301.96250697179</v>
      </c>
      <c r="BQ45" s="856">
        <f t="shared" si="16"/>
        <v>443886.75995129964</v>
      </c>
      <c r="BR45" s="856">
        <f t="shared" si="16"/>
        <v>446535.52132118004</v>
      </c>
      <c r="BS45" s="856">
        <f t="shared" si="16"/>
        <v>449250.76941785519</v>
      </c>
      <c r="BT45" s="856">
        <f t="shared" si="16"/>
        <v>452035.33165205776</v>
      </c>
      <c r="BU45" s="856">
        <f t="shared" si="16"/>
        <v>454892.26592330582</v>
      </c>
      <c r="BV45" s="856">
        <f t="shared" si="16"/>
        <v>457824.80383558461</v>
      </c>
    </row>
    <row r="46" spans="2:74" x14ac:dyDescent="0.25">
      <c r="O46" s="612"/>
      <c r="P46" s="612"/>
      <c r="Q46" s="612"/>
      <c r="R46" s="612"/>
      <c r="S46" s="612"/>
      <c r="T46" s="612"/>
      <c r="U46" s="612"/>
      <c r="V46" s="612"/>
      <c r="W46" s="612"/>
      <c r="X46" s="612"/>
      <c r="Y46" s="612"/>
      <c r="Z46" s="612"/>
      <c r="AA46" s="612"/>
      <c r="AB46" s="612"/>
      <c r="AC46" s="612"/>
      <c r="AD46" s="612"/>
      <c r="AE46" s="612"/>
      <c r="AF46" s="612"/>
      <c r="AG46" s="612"/>
      <c r="AH46" s="612"/>
      <c r="AI46" s="612"/>
      <c r="AJ46" s="612"/>
      <c r="AK46" s="612"/>
      <c r="AL46" s="612"/>
      <c r="AM46" s="612"/>
      <c r="AN46" s="612"/>
      <c r="AO46" s="612"/>
      <c r="AP46" s="612"/>
      <c r="AQ46" s="612"/>
      <c r="AR46" s="612"/>
      <c r="AS46" s="612"/>
      <c r="AT46" s="612"/>
      <c r="AU46" s="612"/>
      <c r="AV46" s="612"/>
      <c r="AW46" s="612"/>
      <c r="AX46" s="612"/>
      <c r="AY46" s="612"/>
      <c r="AZ46" s="612"/>
      <c r="BA46" s="612"/>
    </row>
    <row r="47" spans="2:74" x14ac:dyDescent="0.25">
      <c r="O47" s="571"/>
      <c r="P47" s="571"/>
      <c r="Q47" s="571"/>
      <c r="R47" s="571"/>
      <c r="S47" s="571"/>
      <c r="T47" s="571"/>
      <c r="U47" s="571"/>
      <c r="V47" s="571"/>
      <c r="W47" s="571"/>
      <c r="X47" s="571"/>
      <c r="Y47" s="571"/>
      <c r="Z47" s="571"/>
      <c r="AA47" s="571"/>
      <c r="AB47" s="571"/>
      <c r="AC47" s="571"/>
      <c r="AD47" s="571"/>
      <c r="AE47" s="571"/>
      <c r="AF47" s="571"/>
      <c r="AG47" s="571"/>
      <c r="AH47" s="571"/>
      <c r="AI47" s="571"/>
      <c r="AJ47" s="571"/>
      <c r="AK47" s="571"/>
      <c r="AL47" s="571"/>
      <c r="AM47" s="571"/>
      <c r="AN47" s="571"/>
      <c r="AO47" s="571"/>
      <c r="AP47" s="571"/>
      <c r="AQ47" s="571"/>
      <c r="AR47" s="571"/>
      <c r="AS47" s="571"/>
      <c r="AT47" s="571"/>
      <c r="AU47" s="571"/>
      <c r="AV47" s="571"/>
      <c r="AW47" s="571"/>
      <c r="AX47" s="571"/>
      <c r="AY47" s="571"/>
      <c r="AZ47" s="571"/>
      <c r="BA47" s="571"/>
      <c r="BB47" s="571"/>
      <c r="BC47" s="571"/>
      <c r="BD47" s="571"/>
      <c r="BE47" s="571"/>
      <c r="BF47" s="571"/>
      <c r="BG47" s="571"/>
      <c r="BH47" s="571"/>
      <c r="BI47" s="571"/>
      <c r="BJ47" s="571"/>
    </row>
    <row r="48" spans="2:74" x14ac:dyDescent="0.25">
      <c r="B48" s="570" t="s">
        <v>849</v>
      </c>
      <c r="M48" s="151"/>
      <c r="N48" s="151"/>
      <c r="O48" s="151"/>
      <c r="P48" s="151"/>
      <c r="Q48" s="151"/>
      <c r="R48" s="151"/>
      <c r="S48" s="151"/>
      <c r="T48" s="151"/>
      <c r="U48" s="151"/>
      <c r="V48" s="151"/>
      <c r="W48" s="151"/>
      <c r="X48" s="151"/>
      <c r="Y48" s="151"/>
      <c r="Z48" s="151"/>
      <c r="AA48" s="151"/>
      <c r="AB48" s="151"/>
      <c r="AC48" s="151"/>
      <c r="AD48" s="151"/>
      <c r="AE48" s="151"/>
      <c r="AF48" s="151"/>
      <c r="AG48" s="151"/>
      <c r="AH48" s="151"/>
      <c r="AI48" s="151"/>
      <c r="AJ48" s="151"/>
      <c r="AK48" s="151"/>
      <c r="AL48" s="151"/>
      <c r="AM48" s="151"/>
      <c r="AN48" s="151"/>
      <c r="AO48" s="151"/>
      <c r="AP48" s="151"/>
    </row>
    <row r="49" spans="3:40" x14ac:dyDescent="0.25">
      <c r="C49" s="405">
        <f>C45-'Dept. Cost Actuals'!G525</f>
        <v>3.4321201383136213E-6</v>
      </c>
      <c r="D49" s="405">
        <f>D45-'Dept. Cost Actuals'!H525</f>
        <v>-3.6325727705843747E-6</v>
      </c>
      <c r="E49" s="405">
        <f>E45-'Dept. Cost Actuals'!I525</f>
        <v>1070.2631782517419</v>
      </c>
      <c r="F49" s="405">
        <f>F45-'Dept. Cost Actuals'!J525</f>
        <v>-477.863430399957</v>
      </c>
      <c r="G49" s="405">
        <f>G45-'Dept. Cost Actuals'!K525</f>
        <v>-5.8191653806716204E-7</v>
      </c>
      <c r="H49" s="405">
        <f>H45-'Dept. Cost Actuals'!L525</f>
        <v>-779.10467759909807</v>
      </c>
      <c r="I49" s="405">
        <f>I45-'Dept. Cost Actuals'!M525</f>
        <v>-2.407468855381012E-6</v>
      </c>
      <c r="J49" s="405">
        <f>J45-'Dept. Cost Actuals'!N525</f>
        <v>-1.0899966582655907E-6</v>
      </c>
      <c r="K49" s="405">
        <f>K45-'Dept. Cost Actuals'!O525</f>
        <v>-1.6600533854216337E-6</v>
      </c>
      <c r="L49" s="405">
        <f>L45-'Dept. Cost Actuals'!P525</f>
        <v>-3.7134741432964802E-6</v>
      </c>
      <c r="M49" s="405">
        <f>M45-'Dept. Cost Actuals'!Q525</f>
        <v>1.5810655895620584E-6</v>
      </c>
      <c r="N49" s="405">
        <f>N45-'Dept. Cost Actuals'!R525</f>
        <v>-844.12446776413708</v>
      </c>
      <c r="O49" s="405">
        <f>O45-'Dept. Cost Actuals'!S525</f>
        <v>0</v>
      </c>
      <c r="P49" s="405">
        <f>P45-'Dept. Cost Actuals'!T525</f>
        <v>-812.26000000000931</v>
      </c>
      <c r="Q49" s="405">
        <f>Q45-'Dept. Cost Actuals'!U525</f>
        <v>1597</v>
      </c>
      <c r="R49" s="405">
        <f>R45-'Dept. Cost Actuals'!V525</f>
        <v>0</v>
      </c>
      <c r="S49" s="405">
        <f>S45-'Dept. Cost Actuals'!W525</f>
        <v>0</v>
      </c>
      <c r="T49" s="405">
        <f>T45-'Dept. Cost Actuals'!X525</f>
        <v>0</v>
      </c>
      <c r="U49" s="405">
        <f>U45-'Dept. Cost Actuals'!Y525</f>
        <v>545</v>
      </c>
      <c r="V49" s="405">
        <f>V45-'Dept. Cost Actuals'!Z525</f>
        <v>-599.9999999999709</v>
      </c>
      <c r="W49" s="405">
        <f>W45-'Dept. Cost Actuals'!AA525</f>
        <v>-610</v>
      </c>
      <c r="X49" s="405">
        <f>X45-'Dept. Cost Actuals'!AB525</f>
        <v>0</v>
      </c>
      <c r="Y49" s="405">
        <f>Y45-'Dept. Cost Actuals'!AC525</f>
        <v>0</v>
      </c>
      <c r="Z49" s="405">
        <f>Z45-'Dept. Cost Actuals'!AD525</f>
        <v>0</v>
      </c>
      <c r="AA49" s="405">
        <f>AA45-'Dept. Cost Actuals'!AE525</f>
        <v>0</v>
      </c>
      <c r="AB49" s="405">
        <f>AB45-'Dept. Cost Actuals'!AF525</f>
        <v>0</v>
      </c>
      <c r="AC49" s="405">
        <f>AC45-'Dept. Cost Actuals'!AG525</f>
        <v>0</v>
      </c>
      <c r="AN49" s="151"/>
    </row>
  </sheetData>
  <conditionalFormatting sqref="C4:BV4">
    <cfRule type="containsText" dxfId="268" priority="3" operator="containsText" text="actual">
      <formula>NOT(ISERROR(SEARCH("actual",C4)))</formula>
    </cfRule>
    <cfRule type="containsText" dxfId="267" priority="4" operator="containsText" text="forecast">
      <formula>NOT(ISERROR(SEARCH("forecast",C4)))</formula>
    </cfRule>
  </conditionalFormatting>
  <conditionalFormatting sqref="B4">
    <cfRule type="containsText" dxfId="266" priority="1" operator="containsText" text="actual">
      <formula>NOT(ISERROR(SEARCH("actual",B4)))</formula>
    </cfRule>
    <cfRule type="containsText" dxfId="265" priority="2" operator="containsText" text="forecast">
      <formula>NOT(ISERROR(SEARCH("forecast",B4)))</formula>
    </cfRule>
  </conditionalFormatting>
  <pageMargins left="0.7" right="0.7" top="0.75" bottom="0.75" header="0.3" footer="0.3"/>
  <pageSetup orientation="portrait" horizontalDpi="0" verticalDpi="0"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V49"/>
  <sheetViews>
    <sheetView zoomScale="80" zoomScaleNormal="80" workbookViewId="0">
      <pane xSplit="2" ySplit="4" topLeftCell="Z5" activePane="bottomRight" state="frozen"/>
      <selection activeCell="AD39" sqref="AD39:BV39"/>
      <selection pane="topRight" activeCell="AD39" sqref="AD39:BV39"/>
      <selection pane="bottomLeft" activeCell="AD39" sqref="AD39:BV39"/>
      <selection pane="bottomRight" activeCell="AD13" sqref="AD13"/>
    </sheetView>
  </sheetViews>
  <sheetFormatPr defaultColWidth="9.140625" defaultRowHeight="15" outlineLevelCol="1" x14ac:dyDescent="0.25"/>
  <cols>
    <col min="1" max="1" width="2" style="570" customWidth="1"/>
    <col min="2" max="2" width="27.42578125" style="570" bestFit="1" customWidth="1"/>
    <col min="3" max="3" width="12.7109375" style="570" customWidth="1"/>
    <col min="4" max="7" width="12.7109375" style="570" hidden="1" customWidth="1" outlineLevel="1"/>
    <col min="8" max="12" width="16.42578125" style="570" hidden="1" customWidth="1" outlineLevel="1"/>
    <col min="13" max="13" width="19.28515625" style="570" hidden="1" customWidth="1" outlineLevel="1"/>
    <col min="14" max="14" width="16.42578125" style="570" customWidth="1" collapsed="1"/>
    <col min="15" max="15" width="12.7109375" style="570" bestFit="1" customWidth="1"/>
    <col min="16" max="18" width="12.7109375" style="570" hidden="1" customWidth="1" outlineLevel="1"/>
    <col min="19" max="19" width="12.140625" style="570" hidden="1" customWidth="1" outlineLevel="1"/>
    <col min="20" max="25" width="12.28515625" style="570" hidden="1" customWidth="1" outlineLevel="1"/>
    <col min="26" max="26" width="12.28515625" style="570" bestFit="1" customWidth="1" collapsed="1"/>
    <col min="27" max="27" width="12.28515625" style="570" customWidth="1"/>
    <col min="28" max="29" width="13.28515625" style="570" customWidth="1" outlineLevel="1"/>
    <col min="30" max="35" width="10.7109375" style="570" customWidth="1" outlineLevel="1"/>
    <col min="36" max="37" width="11.85546875" style="570" customWidth="1" outlineLevel="1"/>
    <col min="38" max="39" width="13.28515625" style="570" customWidth="1"/>
    <col min="40" max="47" width="10.7109375" style="570" hidden="1" customWidth="1" outlineLevel="1"/>
    <col min="48" max="49" width="11.85546875" style="570" hidden="1" customWidth="1" outlineLevel="1"/>
    <col min="50" max="50" width="11.85546875" style="570" customWidth="1" collapsed="1"/>
    <col min="51" max="51" width="10.7109375" style="570" bestFit="1" customWidth="1"/>
    <col min="52" max="57" width="10.7109375" style="570" hidden="1" customWidth="1" outlineLevel="1"/>
    <col min="58" max="61" width="13.28515625" style="570" hidden="1" customWidth="1" outlineLevel="1"/>
    <col min="62" max="62" width="13.28515625" style="570" bestFit="1" customWidth="1" collapsed="1"/>
    <col min="63" max="63" width="13" style="570" bestFit="1" customWidth="1"/>
    <col min="64" max="73" width="13" style="570" hidden="1" customWidth="1" outlineLevel="1"/>
    <col min="74" max="74" width="13" style="570" bestFit="1" customWidth="1" collapsed="1"/>
    <col min="75" max="16384" width="9.140625" style="570"/>
  </cols>
  <sheetData>
    <row r="2" spans="2:74" x14ac:dyDescent="0.25">
      <c r="B2" s="636" t="s">
        <v>1072</v>
      </c>
      <c r="C2" s="636"/>
      <c r="D2" s="636"/>
      <c r="E2" s="636"/>
      <c r="F2" s="636"/>
      <c r="G2" s="636"/>
      <c r="H2" s="636"/>
      <c r="I2" s="636"/>
      <c r="J2" s="636"/>
      <c r="K2" s="636"/>
      <c r="L2" s="636"/>
      <c r="M2" s="636"/>
      <c r="N2" s="636"/>
    </row>
    <row r="3" spans="2:74" x14ac:dyDescent="0.25">
      <c r="B3" s="771" t="s">
        <v>924</v>
      </c>
      <c r="C3" s="1140">
        <v>40939</v>
      </c>
      <c r="D3" s="1140">
        <v>40968</v>
      </c>
      <c r="E3" s="1140">
        <v>40999</v>
      </c>
      <c r="F3" s="1140">
        <v>41029</v>
      </c>
      <c r="G3" s="1140">
        <v>41060</v>
      </c>
      <c r="H3" s="1140">
        <v>41090</v>
      </c>
      <c r="I3" s="1140">
        <v>41121</v>
      </c>
      <c r="J3" s="1140">
        <v>41152</v>
      </c>
      <c r="K3" s="1140">
        <v>41182</v>
      </c>
      <c r="L3" s="1140">
        <v>41213</v>
      </c>
      <c r="M3" s="1140">
        <v>41243</v>
      </c>
      <c r="N3" s="1140">
        <v>41274</v>
      </c>
      <c r="O3" s="1140">
        <v>41305</v>
      </c>
      <c r="P3" s="1140">
        <v>41333</v>
      </c>
      <c r="Q3" s="1140">
        <v>41364</v>
      </c>
      <c r="R3" s="1140">
        <v>41394</v>
      </c>
      <c r="S3" s="1140">
        <v>41425</v>
      </c>
      <c r="T3" s="1140">
        <v>41455</v>
      </c>
      <c r="U3" s="1140">
        <v>41486</v>
      </c>
      <c r="V3" s="1140">
        <v>41517</v>
      </c>
      <c r="W3" s="1140">
        <v>41547</v>
      </c>
      <c r="X3" s="1140">
        <v>41578</v>
      </c>
      <c r="Y3" s="1140">
        <v>41608</v>
      </c>
      <c r="Z3" s="1140">
        <v>41639</v>
      </c>
      <c r="AA3" s="1140">
        <v>41670</v>
      </c>
      <c r="AB3" s="1140">
        <v>41698</v>
      </c>
      <c r="AC3" s="1140">
        <v>41729</v>
      </c>
      <c r="AD3" s="1140">
        <v>41759</v>
      </c>
      <c r="AE3" s="1140">
        <v>41790</v>
      </c>
      <c r="AF3" s="1140">
        <v>41820</v>
      </c>
      <c r="AG3" s="1140">
        <v>41851</v>
      </c>
      <c r="AH3" s="1140">
        <v>41882</v>
      </c>
      <c r="AI3" s="1140">
        <v>41912</v>
      </c>
      <c r="AJ3" s="1140">
        <v>41943</v>
      </c>
      <c r="AK3" s="1140">
        <v>41973</v>
      </c>
      <c r="AL3" s="1140">
        <v>42004</v>
      </c>
      <c r="AM3" s="1140">
        <v>42035</v>
      </c>
      <c r="AN3" s="1140">
        <v>42063</v>
      </c>
      <c r="AO3" s="1140">
        <v>42094</v>
      </c>
      <c r="AP3" s="1140">
        <v>42124</v>
      </c>
      <c r="AQ3" s="1140">
        <v>42155</v>
      </c>
      <c r="AR3" s="1140">
        <v>42185</v>
      </c>
      <c r="AS3" s="1140">
        <v>42216</v>
      </c>
      <c r="AT3" s="1140">
        <v>42247</v>
      </c>
      <c r="AU3" s="1140">
        <v>42277</v>
      </c>
      <c r="AV3" s="1140">
        <v>42308</v>
      </c>
      <c r="AW3" s="1140">
        <v>42338</v>
      </c>
      <c r="AX3" s="1140">
        <v>42369</v>
      </c>
      <c r="AY3" s="1140">
        <v>42400</v>
      </c>
      <c r="AZ3" s="1140">
        <v>42429</v>
      </c>
      <c r="BA3" s="1140">
        <v>42460</v>
      </c>
      <c r="BB3" s="1140">
        <v>42490</v>
      </c>
      <c r="BC3" s="1140">
        <v>42521</v>
      </c>
      <c r="BD3" s="1140">
        <v>42551</v>
      </c>
      <c r="BE3" s="1140">
        <v>42582</v>
      </c>
      <c r="BF3" s="1140">
        <v>42613</v>
      </c>
      <c r="BG3" s="1140">
        <v>42643</v>
      </c>
      <c r="BH3" s="1140">
        <v>42674</v>
      </c>
      <c r="BI3" s="1140">
        <v>42704</v>
      </c>
      <c r="BJ3" s="1140">
        <v>42735</v>
      </c>
      <c r="BK3" s="1140">
        <v>42766</v>
      </c>
      <c r="BL3" s="1140">
        <v>42794</v>
      </c>
      <c r="BM3" s="1140">
        <v>42825</v>
      </c>
      <c r="BN3" s="1140">
        <v>42855</v>
      </c>
      <c r="BO3" s="1140">
        <v>42886</v>
      </c>
      <c r="BP3" s="1140">
        <v>42916</v>
      </c>
      <c r="BQ3" s="1140">
        <v>42947</v>
      </c>
      <c r="BR3" s="1140">
        <v>42978</v>
      </c>
      <c r="BS3" s="1140">
        <v>43008</v>
      </c>
      <c r="BT3" s="1140">
        <v>43039</v>
      </c>
      <c r="BU3" s="1140">
        <v>43069</v>
      </c>
      <c r="BV3" s="773">
        <v>43100</v>
      </c>
    </row>
    <row r="4" spans="2:74" x14ac:dyDescent="0.25">
      <c r="B4" s="774" t="s">
        <v>925</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4" t="str">
        <f>IF(AA3&lt;=Headcount!$U$3,"Actual","Forecast")</f>
        <v>Actual</v>
      </c>
      <c r="AB4" s="4" t="str">
        <f>IF(AB3&lt;=Headcount!$U$3,"Actual","Forecast")</f>
        <v>Actual</v>
      </c>
      <c r="AC4" s="4" t="str">
        <f>IF(AC3&lt;=Headcount!$U$3,"Actual","Forecast")</f>
        <v>Actual</v>
      </c>
      <c r="AD4" s="4" t="str">
        <f>IF(AD3&lt;=Headcount!$U$3,"Actual","Forecast")</f>
        <v>Forecast</v>
      </c>
      <c r="AE4" s="4" t="str">
        <f>IF(AE3&lt;=Headcount!$U$3,"Actual","Forecast")</f>
        <v>Forecast</v>
      </c>
      <c r="AF4" s="4" t="str">
        <f>IF(AF3&lt;=Headcount!$U$3,"Actual","Forecast")</f>
        <v>Forecast</v>
      </c>
      <c r="AG4" s="4" t="str">
        <f>IF(AG3&lt;=Headcount!$U$3,"Actual","Forecast")</f>
        <v>Forecast</v>
      </c>
      <c r="AH4" s="4" t="str">
        <f>IF(AH3&lt;=Headcount!$U$3,"Actual","Forecast")</f>
        <v>Forecast</v>
      </c>
      <c r="AI4" s="4" t="str">
        <f>IF(AI3&lt;=Headcount!$U$3,"Actual","Forecast")</f>
        <v>Forecast</v>
      </c>
      <c r="AJ4" s="4" t="str">
        <f>IF(AJ3&lt;=Headcount!$U$3,"Actual","Forecast")</f>
        <v>Forecast</v>
      </c>
      <c r="AK4" s="4" t="str">
        <f>IF(AK3&lt;=Headcount!$U$3,"Actual","Forecast")</f>
        <v>Forecast</v>
      </c>
      <c r="AL4" s="4" t="str">
        <f>IF(AL3&lt;=Headcount!$U$3,"Actual","Forecast")</f>
        <v>Forecast</v>
      </c>
      <c r="AM4" s="4" t="str">
        <f>IF(AM3&lt;=Headcount!$U$3,"Actual","Forecast")</f>
        <v>Forecast</v>
      </c>
      <c r="AN4" s="4" t="str">
        <f>IF(AN3&lt;=Headcount!$U$3,"Actual","Forecast")</f>
        <v>Forecast</v>
      </c>
      <c r="AO4" s="4" t="str">
        <f>IF(AO3&lt;=Headcount!$U$3,"Actual","Forecast")</f>
        <v>Forecast</v>
      </c>
      <c r="AP4" s="4" t="str">
        <f>IF(AP3&lt;=Headcount!$U$3,"Actual","Forecast")</f>
        <v>Forecast</v>
      </c>
      <c r="AQ4" s="4" t="str">
        <f>IF(AQ3&lt;=Headcount!$U$3,"Actual","Forecast")</f>
        <v>Forecast</v>
      </c>
      <c r="AR4" s="4" t="str">
        <f>IF(AR3&lt;=Headcount!$U$3,"Actual","Forecast")</f>
        <v>Forecast</v>
      </c>
      <c r="AS4" s="4" t="str">
        <f>IF(AS3&lt;=Headcount!$U$3,"Actual","Forecast")</f>
        <v>Forecast</v>
      </c>
      <c r="AT4" s="4" t="str">
        <f>IF(AT3&lt;=Headcount!$U$3,"Actual","Forecast")</f>
        <v>Forecast</v>
      </c>
      <c r="AU4" s="4" t="str">
        <f>IF(AU3&lt;=Headcount!$U$3,"Actual","Forecast")</f>
        <v>Forecast</v>
      </c>
      <c r="AV4" s="4" t="str">
        <f>IF(AV3&lt;=Headcount!$U$3,"Actual","Forecast")</f>
        <v>Forecast</v>
      </c>
      <c r="AW4" s="4" t="str">
        <f>IF(AW3&lt;=Headcount!$U$3,"Actual","Forecast")</f>
        <v>Forecast</v>
      </c>
      <c r="AX4" s="4" t="str">
        <f>IF(AX3&lt;=Headcount!$U$3,"Actual","Forecast")</f>
        <v>Forecast</v>
      </c>
      <c r="AY4" s="4" t="str">
        <f>IF(AY3&lt;=Headcount!$U$3,"Actual","Forecast")</f>
        <v>Forecast</v>
      </c>
      <c r="AZ4" s="4" t="str">
        <f>IF(AZ3&lt;=Headcount!$U$3,"Actual","Forecast")</f>
        <v>Forecast</v>
      </c>
      <c r="BA4" s="4" t="str">
        <f>IF(BA3&lt;=Headcount!$U$3,"Actual","Forecast")</f>
        <v>Forecast</v>
      </c>
      <c r="BB4" s="4" t="str">
        <f>IF(BB3&lt;=Headcount!$U$3,"Actual","Forecast")</f>
        <v>Forecast</v>
      </c>
      <c r="BC4" s="4" t="str">
        <f>IF(BC3&lt;=Headcount!$U$3,"Actual","Forecast")</f>
        <v>Forecast</v>
      </c>
      <c r="BD4" s="4" t="str">
        <f>IF(BD3&lt;=Headcount!$U$3,"Actual","Forecast")</f>
        <v>Forecast</v>
      </c>
      <c r="BE4" s="4" t="str">
        <f>IF(BE3&lt;=Headcount!$U$3,"Actual","Forecast")</f>
        <v>Forecast</v>
      </c>
      <c r="BF4" s="4" t="str">
        <f>IF(BF3&lt;=Headcount!$U$3,"Actual","Forecast")</f>
        <v>Forecast</v>
      </c>
      <c r="BG4" s="4" t="str">
        <f>IF(BG3&lt;=Headcount!$U$3,"Actual","Forecast")</f>
        <v>Forecast</v>
      </c>
      <c r="BH4" s="4" t="str">
        <f>IF(BH3&lt;=Headcount!$U$3,"Actual","Forecast")</f>
        <v>Forecast</v>
      </c>
      <c r="BI4" s="4" t="str">
        <f>IF(BI3&lt;=Headcount!$U$3,"Actual","Forecast")</f>
        <v>Forecast</v>
      </c>
      <c r="BJ4" s="4" t="str">
        <f>IF(BJ3&lt;=Headcount!$U$3,"Actual","Forecast")</f>
        <v>Forecast</v>
      </c>
      <c r="BK4" s="4" t="str">
        <f>IF(BK3&lt;=Headcount!$U$3,"Actual","Forecast")</f>
        <v>Forecast</v>
      </c>
      <c r="BL4" s="4" t="str">
        <f>IF(BL3&lt;=Headcount!$U$3,"Actual","Forecast")</f>
        <v>Forecast</v>
      </c>
      <c r="BM4" s="4" t="str">
        <f>IF(BM3&lt;=Headcount!$U$3,"Actual","Forecast")</f>
        <v>Forecast</v>
      </c>
      <c r="BN4" s="4" t="str">
        <f>IF(BN3&lt;=Headcount!$U$3,"Actual","Forecast")</f>
        <v>Forecast</v>
      </c>
      <c r="BO4" s="4" t="str">
        <f>IF(BO3&lt;=Headcount!$U$3,"Actual","Forecast")</f>
        <v>Forecast</v>
      </c>
      <c r="BP4" s="4" t="str">
        <f>IF(BP3&lt;=Headcount!$U$3,"Actual","Forecast")</f>
        <v>Forecast</v>
      </c>
      <c r="BQ4" s="4" t="str">
        <f>IF(BQ3&lt;=Headcount!$U$3,"Actual","Forecast")</f>
        <v>Forecast</v>
      </c>
      <c r="BR4" s="4" t="str">
        <f>IF(BR3&lt;=Headcount!$U$3,"Actual","Forecast")</f>
        <v>Forecast</v>
      </c>
      <c r="BS4" s="4" t="str">
        <f>IF(BS3&lt;=Headcount!$U$3,"Actual","Forecast")</f>
        <v>Forecast</v>
      </c>
      <c r="BT4" s="4" t="str">
        <f>IF(BT3&lt;=Headcount!$U$3,"Actual","Forecast")</f>
        <v>Forecast</v>
      </c>
      <c r="BU4" s="4" t="str">
        <f>IF(BU3&lt;=Headcount!$U$3,"Actual","Forecast")</f>
        <v>Forecast</v>
      </c>
      <c r="BV4" s="1209" t="str">
        <f>IF(BV3&lt;=Headcount!$U$3,"Actual","Forecast")</f>
        <v>Forecast</v>
      </c>
    </row>
    <row r="5" spans="2:74" x14ac:dyDescent="0.25">
      <c r="B5" s="777" t="s">
        <v>67</v>
      </c>
      <c r="C5" s="778">
        <f t="shared" ref="C5:N5" si="0">MONTH(C3)</f>
        <v>1</v>
      </c>
      <c r="D5" s="778">
        <f t="shared" si="0"/>
        <v>2</v>
      </c>
      <c r="E5" s="778">
        <f t="shared" si="0"/>
        <v>3</v>
      </c>
      <c r="F5" s="778">
        <f t="shared" si="0"/>
        <v>4</v>
      </c>
      <c r="G5" s="778">
        <f t="shared" si="0"/>
        <v>5</v>
      </c>
      <c r="H5" s="778">
        <f t="shared" si="0"/>
        <v>6</v>
      </c>
      <c r="I5" s="778">
        <f t="shared" si="0"/>
        <v>7</v>
      </c>
      <c r="J5" s="778">
        <f t="shared" si="0"/>
        <v>8</v>
      </c>
      <c r="K5" s="778">
        <f t="shared" si="0"/>
        <v>9</v>
      </c>
      <c r="L5" s="778">
        <f t="shared" si="0"/>
        <v>10</v>
      </c>
      <c r="M5" s="778">
        <f t="shared" si="0"/>
        <v>11</v>
      </c>
      <c r="N5" s="778">
        <f t="shared" si="0"/>
        <v>12</v>
      </c>
      <c r="O5" s="778">
        <f>MONTH(O3)</f>
        <v>1</v>
      </c>
      <c r="P5" s="778">
        <f t="shared" ref="P5:BV5" si="1">MONTH(P3)</f>
        <v>2</v>
      </c>
      <c r="Q5" s="778">
        <f t="shared" si="1"/>
        <v>3</v>
      </c>
      <c r="R5" s="778">
        <f t="shared" si="1"/>
        <v>4</v>
      </c>
      <c r="S5" s="778">
        <f t="shared" si="1"/>
        <v>5</v>
      </c>
      <c r="T5" s="778">
        <f t="shared" si="1"/>
        <v>6</v>
      </c>
      <c r="U5" s="778">
        <f t="shared" si="1"/>
        <v>7</v>
      </c>
      <c r="V5" s="778">
        <f t="shared" si="1"/>
        <v>8</v>
      </c>
      <c r="W5" s="778">
        <f t="shared" si="1"/>
        <v>9</v>
      </c>
      <c r="X5" s="778">
        <f t="shared" si="1"/>
        <v>10</v>
      </c>
      <c r="Y5" s="778">
        <f t="shared" si="1"/>
        <v>11</v>
      </c>
      <c r="Z5" s="778">
        <f t="shared" si="1"/>
        <v>12</v>
      </c>
      <c r="AA5" s="778">
        <f t="shared" si="1"/>
        <v>1</v>
      </c>
      <c r="AB5" s="778">
        <f t="shared" si="1"/>
        <v>2</v>
      </c>
      <c r="AC5" s="778">
        <f t="shared" si="1"/>
        <v>3</v>
      </c>
      <c r="AD5" s="778">
        <f t="shared" si="1"/>
        <v>4</v>
      </c>
      <c r="AE5" s="778">
        <f t="shared" si="1"/>
        <v>5</v>
      </c>
      <c r="AF5" s="778">
        <f t="shared" si="1"/>
        <v>6</v>
      </c>
      <c r="AG5" s="778">
        <f t="shared" si="1"/>
        <v>7</v>
      </c>
      <c r="AH5" s="778">
        <f t="shared" si="1"/>
        <v>8</v>
      </c>
      <c r="AI5" s="778">
        <f t="shared" si="1"/>
        <v>9</v>
      </c>
      <c r="AJ5" s="778">
        <f t="shared" si="1"/>
        <v>10</v>
      </c>
      <c r="AK5" s="778">
        <f t="shared" si="1"/>
        <v>11</v>
      </c>
      <c r="AL5" s="778">
        <f t="shared" si="1"/>
        <v>12</v>
      </c>
      <c r="AM5" s="778">
        <f t="shared" si="1"/>
        <v>1</v>
      </c>
      <c r="AN5" s="778">
        <f t="shared" si="1"/>
        <v>2</v>
      </c>
      <c r="AO5" s="778">
        <f t="shared" si="1"/>
        <v>3</v>
      </c>
      <c r="AP5" s="778">
        <f t="shared" si="1"/>
        <v>4</v>
      </c>
      <c r="AQ5" s="778">
        <f t="shared" si="1"/>
        <v>5</v>
      </c>
      <c r="AR5" s="778">
        <f t="shared" si="1"/>
        <v>6</v>
      </c>
      <c r="AS5" s="778">
        <f t="shared" si="1"/>
        <v>7</v>
      </c>
      <c r="AT5" s="778">
        <f t="shared" si="1"/>
        <v>8</v>
      </c>
      <c r="AU5" s="778">
        <f t="shared" si="1"/>
        <v>9</v>
      </c>
      <c r="AV5" s="778">
        <f t="shared" si="1"/>
        <v>10</v>
      </c>
      <c r="AW5" s="778">
        <f t="shared" si="1"/>
        <v>11</v>
      </c>
      <c r="AX5" s="778">
        <f t="shared" si="1"/>
        <v>12</v>
      </c>
      <c r="AY5" s="778">
        <f t="shared" si="1"/>
        <v>1</v>
      </c>
      <c r="AZ5" s="778">
        <f t="shared" si="1"/>
        <v>2</v>
      </c>
      <c r="BA5" s="778">
        <f t="shared" si="1"/>
        <v>3</v>
      </c>
      <c r="BB5" s="778">
        <f t="shared" si="1"/>
        <v>4</v>
      </c>
      <c r="BC5" s="778">
        <f t="shared" si="1"/>
        <v>5</v>
      </c>
      <c r="BD5" s="778">
        <f t="shared" si="1"/>
        <v>6</v>
      </c>
      <c r="BE5" s="778">
        <f t="shared" si="1"/>
        <v>7</v>
      </c>
      <c r="BF5" s="778">
        <f t="shared" si="1"/>
        <v>8</v>
      </c>
      <c r="BG5" s="778">
        <f t="shared" si="1"/>
        <v>9</v>
      </c>
      <c r="BH5" s="778">
        <f t="shared" si="1"/>
        <v>10</v>
      </c>
      <c r="BI5" s="778">
        <f t="shared" si="1"/>
        <v>11</v>
      </c>
      <c r="BJ5" s="778">
        <f t="shared" si="1"/>
        <v>12</v>
      </c>
      <c r="BK5" s="778">
        <f t="shared" si="1"/>
        <v>1</v>
      </c>
      <c r="BL5" s="778">
        <f t="shared" si="1"/>
        <v>2</v>
      </c>
      <c r="BM5" s="778">
        <f t="shared" si="1"/>
        <v>3</v>
      </c>
      <c r="BN5" s="778">
        <f t="shared" si="1"/>
        <v>4</v>
      </c>
      <c r="BO5" s="778">
        <f t="shared" si="1"/>
        <v>5</v>
      </c>
      <c r="BP5" s="778">
        <f t="shared" si="1"/>
        <v>6</v>
      </c>
      <c r="BQ5" s="778">
        <f t="shared" si="1"/>
        <v>7</v>
      </c>
      <c r="BR5" s="778">
        <f t="shared" si="1"/>
        <v>8</v>
      </c>
      <c r="BS5" s="778">
        <f t="shared" si="1"/>
        <v>9</v>
      </c>
      <c r="BT5" s="778">
        <f t="shared" si="1"/>
        <v>10</v>
      </c>
      <c r="BU5" s="778">
        <f t="shared" si="1"/>
        <v>11</v>
      </c>
      <c r="BV5" s="779">
        <f t="shared" si="1"/>
        <v>12</v>
      </c>
    </row>
    <row r="6" spans="2:74" x14ac:dyDescent="0.25">
      <c r="B6" s="780"/>
      <c r="C6" s="781"/>
      <c r="D6" s="781"/>
      <c r="E6" s="781"/>
      <c r="F6" s="781"/>
      <c r="G6" s="781"/>
      <c r="H6" s="781"/>
      <c r="I6" s="781"/>
      <c r="J6" s="781"/>
      <c r="K6" s="781"/>
      <c r="L6" s="781"/>
      <c r="M6" s="781"/>
      <c r="N6" s="781"/>
      <c r="O6" s="781"/>
      <c r="P6" s="781"/>
      <c r="Q6" s="781"/>
      <c r="R6" s="781"/>
      <c r="S6" s="781"/>
      <c r="T6" s="781"/>
      <c r="U6" s="781"/>
      <c r="V6" s="781"/>
      <c r="W6" s="781"/>
      <c r="X6" s="781"/>
      <c r="Y6" s="781"/>
      <c r="Z6" s="781"/>
      <c r="AA6" s="781"/>
      <c r="AB6" s="781"/>
      <c r="AC6" s="781"/>
      <c r="AD6" s="781"/>
      <c r="AE6" s="781"/>
      <c r="AF6" s="781"/>
      <c r="AG6" s="781"/>
      <c r="AH6" s="781"/>
      <c r="AI6" s="781"/>
      <c r="AJ6" s="781"/>
      <c r="AK6" s="781"/>
      <c r="AL6" s="781"/>
      <c r="AM6" s="781"/>
      <c r="AN6" s="781"/>
      <c r="AO6" s="781"/>
      <c r="AP6" s="781"/>
      <c r="AQ6" s="781"/>
      <c r="AR6" s="781"/>
      <c r="AS6" s="781"/>
      <c r="AT6" s="781"/>
      <c r="AU6" s="781"/>
      <c r="AV6" s="781"/>
      <c r="AW6" s="781"/>
      <c r="AX6" s="781"/>
      <c r="AY6" s="781"/>
      <c r="AZ6" s="781"/>
      <c r="BA6" s="781"/>
      <c r="BB6" s="781"/>
      <c r="BC6" s="781"/>
      <c r="BD6" s="781"/>
      <c r="BE6" s="781"/>
      <c r="BF6" s="781"/>
      <c r="BG6" s="781"/>
      <c r="BH6" s="781"/>
      <c r="BI6" s="781"/>
      <c r="BJ6" s="781"/>
      <c r="BK6" s="781"/>
      <c r="BL6" s="781"/>
      <c r="BM6" s="781"/>
      <c r="BN6" s="781"/>
      <c r="BO6" s="781"/>
      <c r="BP6" s="781"/>
      <c r="BQ6" s="781"/>
      <c r="BR6" s="781"/>
      <c r="BS6" s="781"/>
      <c r="BT6" s="781"/>
      <c r="BU6" s="781"/>
      <c r="BV6" s="782"/>
    </row>
    <row r="7" spans="2:74" x14ac:dyDescent="0.25">
      <c r="B7" s="777" t="s">
        <v>13</v>
      </c>
      <c r="C7" s="781">
        <f>SUMIFS(Headcount!$B$6:$B$89,Headcount!$F$6:$F$89,"Finance",Headcount!$H$6:$H$89,"&gt;"&amp;C3,Headcount!$G$6:$G$89,"&lt;"&amp;C3)</f>
        <v>2</v>
      </c>
      <c r="D7" s="782">
        <f>IF(D4="forecast",IF(C4="actual",(SUMIFS(Headcount!$B$6:$B$89,Headcount!$F$6:$F$89,"Finance",Headcount!$H$6:$H$89,"&gt;"&amp;D3,Headcount!$G$6:$G$89,"&lt;"&amp;D3)+D8-D9),(C7+D8-D9)),SUMIFS(Headcount!$B$6:$B$89,Headcount!$F$6:$F$89,"Finance",Headcount!$H$6:$H$89,"&gt;"&amp;D3,Headcount!$G$6:$G$89,"&lt;"&amp;C3))</f>
        <v>2</v>
      </c>
      <c r="E7" s="781">
        <f>IF(E4="forecast",IF(D4="actual",(SUMIFS(Headcount!$B$6:$B$89,Headcount!$F$6:$F$89,"Finance",Headcount!$H$6:$H$89,"&gt;"&amp;E3,Headcount!$G$6:$G$89,"&lt;"&amp;E3)+E8-E9),(D7+E8-E9)),SUMIFS(Headcount!$B$6:$B$89,Headcount!$F$6:$F$89,"Finance",Headcount!$H$6:$H$89,"&gt;"&amp;E3,Headcount!$G$6:$G$89,"&lt;"&amp;D3))</f>
        <v>2</v>
      </c>
      <c r="F7" s="781">
        <f>IF(F4="forecast",IF(E4="actual",(SUMIFS(Headcount!$B$6:$B$89,Headcount!$F$6:$F$89,"Finance",Headcount!$H$6:$H$89,"&gt;"&amp;F3,Headcount!$G$6:$G$89,"&lt;"&amp;F3)+F8-F9),(E7+F8-F9)),SUMIFS(Headcount!$B$6:$B$89,Headcount!$F$6:$F$89,"Finance",Headcount!$H$6:$H$89,"&gt;"&amp;F3,Headcount!$G$6:$G$89,"&lt;"&amp;E3))</f>
        <v>2</v>
      </c>
      <c r="G7" s="781">
        <f>IF(G4="forecast",IF(F4="actual",(SUMIFS(Headcount!$B$6:$B$89,Headcount!$F$6:$F$89,"Finance",Headcount!$H$6:$H$89,"&gt;"&amp;G3,Headcount!$G$6:$G$89,"&lt;"&amp;G3)+G8-G9),(F7+G8-G9)),SUMIFS(Headcount!$B$6:$B$89,Headcount!$F$6:$F$89,"Finance",Headcount!$H$6:$H$89,"&gt;"&amp;G3,Headcount!$G$6:$G$89,"&lt;"&amp;F3))</f>
        <v>2</v>
      </c>
      <c r="H7" s="781">
        <f>IF(H4="forecast",IF(G4="actual",(SUMIFS(Headcount!$B$6:$B$89,Headcount!$F$6:$F$89,"Finance",Headcount!$H$6:$H$89,"&gt;"&amp;H3,Headcount!$G$6:$G$89,"&lt;"&amp;H3)+H8-H9),(G7+H8-H9)),SUMIFS(Headcount!$B$6:$B$89,Headcount!$F$6:$F$89,"Finance",Headcount!$H$6:$H$89,"&gt;"&amp;H3,Headcount!$G$6:$G$89,"&lt;"&amp;G3))</f>
        <v>2</v>
      </c>
      <c r="I7" s="781">
        <f>IF(I4="forecast",IF(H4="actual",(SUMIFS(Headcount!$B$6:$B$89,Headcount!$F$6:$F$89,"Finance",Headcount!$H$6:$H$89,"&gt;"&amp;I3,Headcount!$G$6:$G$89,"&lt;"&amp;I3)+I8-I9),(H7+I8-I9)),SUMIFS(Headcount!$B$6:$B$89,Headcount!$F$6:$F$89,"Finance",Headcount!$H$6:$H$89,"&gt;"&amp;I3,Headcount!$G$6:$G$89,"&lt;"&amp;H3))</f>
        <v>2</v>
      </c>
      <c r="J7" s="781">
        <f>IF(J4="forecast",IF(I4="actual",(SUMIFS(Headcount!$B$6:$B$89,Headcount!$F$6:$F$89,"Finance",Headcount!$H$6:$H$89,"&gt;"&amp;J3,Headcount!$G$6:$G$89,"&lt;"&amp;J3)+J8-J9),(I7+J8-J9)),SUMIFS(Headcount!$B$6:$B$89,Headcount!$F$6:$F$89,"Finance",Headcount!$H$6:$H$89,"&gt;"&amp;J3,Headcount!$G$6:$G$89,"&lt;"&amp;I3))</f>
        <v>2</v>
      </c>
      <c r="K7" s="781">
        <f>IF(K4="forecast",IF(J4="actual",(SUMIFS(Headcount!$B$6:$B$89,Headcount!$F$6:$F$89,"Finance",Headcount!$H$6:$H$89,"&gt;"&amp;K3,Headcount!$G$6:$G$89,"&lt;"&amp;K3)+K8-K9),(J7+K8-K9)),SUMIFS(Headcount!$B$6:$B$89,Headcount!$F$6:$F$89,"Finance",Headcount!$H$6:$H$89,"&gt;"&amp;K3,Headcount!$G$6:$G$89,"&lt;"&amp;J3))</f>
        <v>2</v>
      </c>
      <c r="L7" s="781">
        <f>IF(L4="forecast",IF(K4="actual",(SUMIFS(Headcount!$B$6:$B$89,Headcount!$F$6:$F$89,"Finance",Headcount!$H$6:$H$89,"&gt;"&amp;L3,Headcount!$G$6:$G$89,"&lt;"&amp;L3)+L8-L9),(K7+L8-L9)),SUMIFS(Headcount!$B$6:$B$89,Headcount!$F$6:$F$89,"Finance",Headcount!$H$6:$H$89,"&gt;"&amp;L3,Headcount!$G$6:$G$89,"&lt;"&amp;K3))</f>
        <v>2</v>
      </c>
      <c r="M7" s="781">
        <f>IF(M4="forecast",IF(L4="actual",(SUMIFS(Headcount!$B$6:$B$89,Headcount!$F$6:$F$89,"Finance",Headcount!$H$6:$H$89,"&gt;"&amp;M3,Headcount!$G$6:$G$89,"&lt;"&amp;M3)+M8-M9),(L7+M8-M9)),SUMIFS(Headcount!$B$6:$B$89,Headcount!$F$6:$F$89,"Finance",Headcount!$H$6:$H$89,"&gt;"&amp;M3,Headcount!$G$6:$G$89,"&lt;"&amp;L3))</f>
        <v>2</v>
      </c>
      <c r="N7" s="781">
        <f>IF(N4="forecast",IF(M4="actual",(SUMIFS(Headcount!$B$6:$B$89,Headcount!$F$6:$F$89,"Finance",Headcount!$H$6:$H$89,"&gt;"&amp;N3,Headcount!$G$6:$G$89,"&lt;"&amp;N3)+N8-N9),(M7+N8-N9)),SUMIFS(Headcount!$B$6:$B$89,Headcount!$F$6:$F$89,"Finance",Headcount!$H$6:$H$89,"&gt;"&amp;N3,Headcount!$G$6:$G$89,"&lt;"&amp;M3))</f>
        <v>2</v>
      </c>
      <c r="O7" s="781">
        <f>IF(O4="forecast",IF(N4="actual",(SUMIFS(Headcount!$B$6:$B$89,Headcount!$F$6:$F$89,"Finance",Headcount!$H$6:$H$89,"&gt;"&amp;O3,Headcount!$G$6:$G$89,"&lt;"&amp;O3)+O8-O9),(N7+O8-O9)),SUMIFS(Headcount!$B$6:$B$89,Headcount!$F$6:$F$89,"Finance",Headcount!$H$6:$H$89,"&gt;"&amp;O3,Headcount!$G$6:$G$89,"&lt;"&amp;N3))</f>
        <v>2</v>
      </c>
      <c r="P7" s="781">
        <f>IF(P4="forecast",IF(O4="actual",(SUMIFS(Headcount!$B$6:$B$89,Headcount!$F$6:$F$89,"Finance",Headcount!$H$6:$H$89,"&gt;"&amp;P3,Headcount!$G$6:$G$89,"&lt;"&amp;P3)+P8-P9),(O7+P8-P9)),SUMIFS(Headcount!$B$6:$B$89,Headcount!$F$6:$F$89,"Finance",Headcount!$H$6:$H$89,"&gt;"&amp;P3,Headcount!$G$6:$G$89,"&lt;"&amp;O3))</f>
        <v>2</v>
      </c>
      <c r="Q7" s="781">
        <f>IF(Q4="forecast",IF(P4="actual",(SUMIFS(Headcount!$B$6:$B$89,Headcount!$F$6:$F$89,"Finance",Headcount!$H$6:$H$89,"&gt;"&amp;Q3,Headcount!$G$6:$G$89,"&lt;"&amp;Q3)+Q8-Q9),(P7+Q8-Q9)),SUMIFS(Headcount!$B$6:$B$89,Headcount!$F$6:$F$89,"Finance",Headcount!$H$6:$H$89,"&gt;"&amp;Q3,Headcount!$G$6:$G$89,"&lt;"&amp;P3))</f>
        <v>3</v>
      </c>
      <c r="R7" s="781">
        <f>IF(R4="forecast",IF(Q4="actual",(SUMIFS(Headcount!$B$6:$B$89,Headcount!$F$6:$F$89,"Finance",Headcount!$H$6:$H$89,"&gt;"&amp;R3,Headcount!$G$6:$G$89,"&lt;"&amp;R3)+R8-R9),(Q7+R8-R9)),SUMIFS(Headcount!$B$6:$B$89,Headcount!$F$6:$F$89,"Finance",Headcount!$H$6:$H$89,"&gt;"&amp;R3,Headcount!$G$6:$G$89,"&lt;"&amp;Q3))</f>
        <v>3</v>
      </c>
      <c r="S7" s="781">
        <f>IF(S4="forecast",IF(R4="actual",(SUMIFS(Headcount!$B$6:$B$89,Headcount!$F$6:$F$89,"Finance",Headcount!$H$6:$H$89,"&gt;"&amp;S3,Headcount!$G$6:$G$89,"&lt;"&amp;S3)+S8-S9),(R7+S8-S9)),SUMIFS(Headcount!$B$6:$B$89,Headcount!$F$6:$F$89,"Finance",Headcount!$H$6:$H$89,"&gt;"&amp;S3,Headcount!$G$6:$G$89,"&lt;"&amp;R3))</f>
        <v>3</v>
      </c>
      <c r="T7" s="781">
        <f>IF(T4="forecast",IF(S4="actual",(SUMIFS(Headcount!$B$6:$B$89,Headcount!$F$6:$F$89,"Finance",Headcount!$H$6:$H$89,"&gt;"&amp;T3,Headcount!$G$6:$G$89,"&lt;"&amp;T3)+T8-T9),(S7+T8-T9)),SUMIFS(Headcount!$B$6:$B$89,Headcount!$F$6:$F$89,"Finance",Headcount!$H$6:$H$89,"&gt;"&amp;T3,Headcount!$G$6:$G$89,"&lt;"&amp;S3))</f>
        <v>3</v>
      </c>
      <c r="U7" s="781">
        <f>IF(U4="forecast",IF(T4="actual",(SUMIFS(Headcount!$B$6:$B$89,Headcount!$F$6:$F$89,"Finance",Headcount!$H$6:$H$89,"&gt;"&amp;U3,Headcount!$G$6:$G$89,"&lt;"&amp;U3)+U8-U9),(T7+U8-U9)),SUMIFS(Headcount!$B$6:$B$89,Headcount!$F$6:$F$89,"Finance",Headcount!$H$6:$H$89,"&gt;"&amp;U3,Headcount!$G$6:$G$89,"&lt;"&amp;T3))</f>
        <v>3</v>
      </c>
      <c r="V7" s="781">
        <f>IF(V4="forecast",IF(U4="actual",(SUMIFS(Headcount!$B$6:$B$89,Headcount!$F$6:$F$89,"Finance",Headcount!$H$6:$H$89,"&gt;"&amp;V3,Headcount!$G$6:$G$89,"&lt;"&amp;V3)+V8-V9),(U7+V8-V9)),SUMIFS(Headcount!$B$6:$B$89,Headcount!$F$6:$F$89,"Finance",Headcount!$H$6:$H$89,"&gt;"&amp;V3,Headcount!$G$6:$G$89,"&lt;"&amp;U3))</f>
        <v>3</v>
      </c>
      <c r="W7" s="781">
        <f>IF(W4="forecast",IF(V4="actual",(SUMIFS(Headcount!$B$6:$B$89,Headcount!$F$6:$F$89,"Finance",Headcount!$H$6:$H$89,"&gt;"&amp;W3,Headcount!$G$6:$G$89,"&lt;"&amp;W3)+W8-W9),(V7+W8-W9)),SUMIFS(Headcount!$B$6:$B$89,Headcount!$F$6:$F$89,"Finance",Headcount!$H$6:$H$89,"&gt;"&amp;W3,Headcount!$G$6:$G$89,"&lt;"&amp;V3))</f>
        <v>4</v>
      </c>
      <c r="X7" s="781">
        <f>IF(X4="forecast",IF(W4="actual",(SUMIFS(Headcount!$B$6:$B$89,Headcount!$F$6:$F$89,"Finance",Headcount!$H$6:$H$89,"&gt;"&amp;X3,Headcount!$G$6:$G$89,"&lt;"&amp;X3)+X8-X9),(W7+X8-X9)),SUMIFS(Headcount!$B$6:$B$89,Headcount!$F$6:$F$89,"Finance",Headcount!$H$6:$H$89,"&gt;"&amp;X3,Headcount!$G$6:$G$89,"&lt;"&amp;W3))</f>
        <v>4</v>
      </c>
      <c r="Y7" s="781">
        <f>IF(Y4="forecast",IF(X4="actual",(SUMIFS(Headcount!$B$6:$B$89,Headcount!$F$6:$F$89,"Finance",Headcount!$H$6:$H$89,"&gt;"&amp;Y3,Headcount!$G$6:$G$89,"&lt;"&amp;Y3)+Y8-Y9),(X7+Y8-Y9)),SUMIFS(Headcount!$B$6:$B$89,Headcount!$F$6:$F$89,"Finance",Headcount!$H$6:$H$89,"&gt;"&amp;Y3,Headcount!$G$6:$G$89,"&lt;"&amp;X3))</f>
        <v>4</v>
      </c>
      <c r="Z7" s="781">
        <f>IF(Z4="forecast",IF(Y4="actual",(SUMIFS(Headcount!$B$6:$B$89,Headcount!$F$6:$F$89,"Finance",Headcount!$H$6:$H$89,"&gt;"&amp;Z3,Headcount!$G$6:$G$89,"&lt;"&amp;Z3)+Z8-Z9),(Y7+Z8-Z9)),SUMIFS(Headcount!$B$6:$B$89,Headcount!$F$6:$F$89,"Finance",Headcount!$H$6:$H$89,"&gt;"&amp;Z3,Headcount!$G$6:$G$89,"&lt;"&amp;Y3))</f>
        <v>4</v>
      </c>
      <c r="AA7" s="781">
        <f>IF(AA4="forecast",IF(Z4="actual",(SUMIFS(Headcount!$B$6:$B$89,Headcount!$F$6:$F$89,"Finance",Headcount!$H$6:$H$89,"&gt;"&amp;AA3,Headcount!$G$6:$G$89,"&lt;"&amp;AA3)+AA8-AA9),(Z7+AA8-AA9)),SUMIFS(Headcount!$B$6:$B$89,Headcount!$F$6:$F$89,"Finance",Headcount!$H$6:$H$89,"&gt;"&amp;AA3,Headcount!$G$6:$G$89,"&lt;"&amp;Z3))</f>
        <v>4</v>
      </c>
      <c r="AB7" s="781">
        <f>IF(AB4="forecast",IF(AA4="actual",(SUMIFS(Headcount!$B$6:$B$89,Headcount!$F$6:$F$89,"Finance",Headcount!$H$6:$H$89,"&gt;"&amp;AB3,Headcount!$G$6:$G$89,"&lt;"&amp;AB3)+AB8-AB9),(AA7+AB8-AB9)),SUMIFS(Headcount!$B$6:$B$89,Headcount!$F$6:$F$89,"Finance",Headcount!$H$6:$H$89,"&gt;"&amp;AB3,Headcount!$G$6:$G$89,"&lt;"&amp;AA3))</f>
        <v>4</v>
      </c>
      <c r="AC7" s="781">
        <f>IF(AC4="forecast",IF(AB4="actual",(SUMIFS(Headcount!$B$6:$B$89,Headcount!$F$6:$F$89,"Finance",Headcount!$H$6:$H$89,"&gt;"&amp;AC3,Headcount!$G$6:$G$89,"&lt;"&amp;AC3)+AC8-AC9),(AB7+AC8-AC9)),SUMIFS(Headcount!$B$6:$B$89,Headcount!$F$6:$F$89,"Finance",Headcount!$H$6:$H$89,"&gt;"&amp;AC3,Headcount!$G$6:$G$89,"&lt;"&amp;AB3))</f>
        <v>4</v>
      </c>
      <c r="AD7" s="781">
        <f>IF(AD4="forecast",IF(AC4="actual",(SUMIFS(Headcount!$B$6:$B$89,Headcount!$F$6:$F$89,"Finance",Headcount!$H$6:$H$89,"&gt;"&amp;AD3,Headcount!$G$6:$G$89,"&lt;"&amp;AD3)+AD8-AD9),(AC7+AD8-AD9)),SUMIFS(Headcount!$B$6:$B$89,Headcount!$F$6:$F$89,"Finance",Headcount!$H$6:$H$89,"&gt;"&amp;AD3,Headcount!$G$6:$G$89,"&lt;"&amp;AC3))</f>
        <v>5</v>
      </c>
      <c r="AE7" s="781">
        <f>IF(AE4="forecast",IF(AD4="actual",(SUMIFS(Headcount!$B$6:$B$89,Headcount!$F$6:$F$89,"Finance",Headcount!$H$6:$H$89,"&gt;"&amp;AE3,Headcount!$G$6:$G$89,"&lt;"&amp;AE3)+AE8-AE9),(AD7+AE8-AE9)),SUMIFS(Headcount!$B$6:$B$89,Headcount!$F$6:$F$89,"Finance",Headcount!$H$6:$H$89,"&gt;"&amp;AE3,Headcount!$G$6:$G$89,"&lt;"&amp;AD3))</f>
        <v>6</v>
      </c>
      <c r="AF7" s="781">
        <f>IF(AF4="forecast",IF(AE4="actual",(SUMIFS(Headcount!$B$6:$B$89,Headcount!$F$6:$F$89,"Finance",Headcount!$H$6:$H$89,"&gt;"&amp;AF3,Headcount!$G$6:$G$89,"&lt;"&amp;AF3)+AF8-AF9),(AE7+AF8-AF9)),SUMIFS(Headcount!$B$6:$B$89,Headcount!$F$6:$F$89,"Finance",Headcount!$H$6:$H$89,"&gt;"&amp;AF3,Headcount!$G$6:$G$89,"&lt;"&amp;AE3))</f>
        <v>6</v>
      </c>
      <c r="AG7" s="781">
        <f>IF(AG4="forecast",IF(AF4="actual",(SUMIFS(Headcount!$B$6:$B$89,Headcount!$F$6:$F$89,"Finance",Headcount!$H$6:$H$89,"&gt;"&amp;AG3,Headcount!$G$6:$G$89,"&lt;"&amp;AG3)+AG8-AG9),(AF7+AG8-AG9)),SUMIFS(Headcount!$B$6:$B$89,Headcount!$F$6:$F$89,"Finance",Headcount!$H$6:$H$89,"&gt;"&amp;AG3,Headcount!$G$6:$G$89,"&lt;"&amp;AF3))</f>
        <v>6</v>
      </c>
      <c r="AH7" s="781">
        <f>IF(AH4="forecast",IF(AG4="actual",(SUMIFS(Headcount!$B$6:$B$89,Headcount!$F$6:$F$89,"Finance",Headcount!$H$6:$H$89,"&gt;"&amp;AH3,Headcount!$G$6:$G$89,"&lt;"&amp;AH3)+AH8-AH9),(AG7+AH8-AH9)),SUMIFS(Headcount!$B$6:$B$89,Headcount!$F$6:$F$89,"Finance",Headcount!$H$6:$H$89,"&gt;"&amp;AH3,Headcount!$G$6:$G$89,"&lt;"&amp;AG3))</f>
        <v>6</v>
      </c>
      <c r="AI7" s="781">
        <f>IF(AI4="forecast",IF(AH4="actual",(SUMIFS(Headcount!$B$6:$B$89,Headcount!$F$6:$F$89,"Finance",Headcount!$H$6:$H$89,"&gt;"&amp;AI3,Headcount!$G$6:$G$89,"&lt;"&amp;AI3)+AI8-AI9),(AH7+AI8-AI9)),SUMIFS(Headcount!$B$6:$B$89,Headcount!$F$6:$F$89,"Finance",Headcount!$H$6:$H$89,"&gt;"&amp;AI3,Headcount!$G$6:$G$89,"&lt;"&amp;AH3))</f>
        <v>6</v>
      </c>
      <c r="AJ7" s="781">
        <f>IF(AJ4="forecast",IF(AI4="actual",(SUMIFS(Headcount!$B$6:$B$89,Headcount!$F$6:$F$89,"Finance",Headcount!$H$6:$H$89,"&gt;"&amp;AJ3,Headcount!$G$6:$G$89,"&lt;"&amp;AJ3)+AJ8-AJ9),(AI7+AJ8-AJ9)),SUMIFS(Headcount!$B$6:$B$89,Headcount!$F$6:$F$89,"Finance",Headcount!$H$6:$H$89,"&gt;"&amp;AJ3,Headcount!$G$6:$G$89,"&lt;"&amp;AI3))</f>
        <v>6</v>
      </c>
      <c r="AK7" s="781">
        <f>IF(AK4="forecast",IF(AJ4="actual",(SUMIFS(Headcount!$B$6:$B$89,Headcount!$F$6:$F$89,"Finance",Headcount!$H$6:$H$89,"&gt;"&amp;AK3,Headcount!$G$6:$G$89,"&lt;"&amp;AK3)+AK8-AK9),(AJ7+AK8-AK9)),SUMIFS(Headcount!$B$6:$B$89,Headcount!$F$6:$F$89,"Finance",Headcount!$H$6:$H$89,"&gt;"&amp;AK3,Headcount!$G$6:$G$89,"&lt;"&amp;AJ3))</f>
        <v>6</v>
      </c>
      <c r="AL7" s="781">
        <f>IF(AL4="forecast",IF(AK4="actual",(SUMIFS(Headcount!$B$6:$B$89,Headcount!$F$6:$F$89,"Finance",Headcount!$H$6:$H$89,"&gt;"&amp;AL3,Headcount!$G$6:$G$89,"&lt;"&amp;AL3)+AL8-AL9),(AK7+AL8-AL9)),SUMIFS(Headcount!$B$6:$B$89,Headcount!$F$6:$F$89,"Finance",Headcount!$H$6:$H$89,"&gt;"&amp;AL3,Headcount!$G$6:$G$89,"&lt;"&amp;AK3))</f>
        <v>6</v>
      </c>
      <c r="AM7" s="781">
        <f>IF(AM4="forecast",IF(AL4="actual",(SUMIFS(Headcount!$B$6:$B$89,Headcount!$F$6:$F$89,"Finance",Headcount!$H$6:$H$89,"&gt;"&amp;AM3,Headcount!$G$6:$G$89,"&lt;"&amp;AM3)+AM8-AM9),(AL7+AM8-AM9)),SUMIFS(Headcount!$B$6:$B$89,Headcount!$F$6:$F$89,"Finance",Headcount!$H$6:$H$89,"&gt;"&amp;AM3,Headcount!$G$6:$G$89,"&lt;"&amp;AL3))</f>
        <v>6</v>
      </c>
      <c r="AN7" s="781">
        <f>IF(AN4="forecast",IF(AM4="actual",(SUMIFS(Headcount!$B$6:$B$89,Headcount!$F$6:$F$89,"Finance",Headcount!$H$6:$H$89,"&gt;"&amp;AN3,Headcount!$G$6:$G$89,"&lt;"&amp;AN3)+AN8-AN9),(AM7+AN8-AN9)),SUMIFS(Headcount!$B$6:$B$89,Headcount!$F$6:$F$89,"Finance",Headcount!$H$6:$H$89,"&gt;"&amp;AN3,Headcount!$G$6:$G$89,"&lt;"&amp;AM3))</f>
        <v>6</v>
      </c>
      <c r="AO7" s="781">
        <f>IF(AO4="forecast",IF(AN4="actual",(SUMIFS(Headcount!$B$6:$B$89,Headcount!$F$6:$F$89,"Finance",Headcount!$H$6:$H$89,"&gt;"&amp;AO3,Headcount!$G$6:$G$89,"&lt;"&amp;AO3)+AO8-AO9),(AN7+AO8-AO9)),SUMIFS(Headcount!$B$6:$B$89,Headcount!$F$6:$F$89,"Finance",Headcount!$H$6:$H$89,"&gt;"&amp;AO3,Headcount!$G$6:$G$89,"&lt;"&amp;AN3))</f>
        <v>6</v>
      </c>
      <c r="AP7" s="781">
        <f>IF(AP4="forecast",IF(AO4="actual",(SUMIFS(Headcount!$B$6:$B$89,Headcount!$F$6:$F$89,"Finance",Headcount!$H$6:$H$89,"&gt;"&amp;AP3,Headcount!$G$6:$G$89,"&lt;"&amp;AP3)+AP8-AP9),(AO7+AP8-AP9)),SUMIFS(Headcount!$B$6:$B$89,Headcount!$F$6:$F$89,"Finance",Headcount!$H$6:$H$89,"&gt;"&amp;AP3,Headcount!$G$6:$G$89,"&lt;"&amp;AO3))</f>
        <v>6</v>
      </c>
      <c r="AQ7" s="781">
        <f>IF(AQ4="forecast",IF(AP4="actual",(SUMIFS(Headcount!$B$6:$B$89,Headcount!$F$6:$F$89,"Finance",Headcount!$H$6:$H$89,"&gt;"&amp;AQ3,Headcount!$G$6:$G$89,"&lt;"&amp;AQ3)+AQ8-AQ9),(AP7+AQ8-AQ9)),SUMIFS(Headcount!$B$6:$B$89,Headcount!$F$6:$F$89,"Finance",Headcount!$H$6:$H$89,"&gt;"&amp;AQ3,Headcount!$G$6:$G$89,"&lt;"&amp;AP3))</f>
        <v>6</v>
      </c>
      <c r="AR7" s="781">
        <f>IF(AR4="forecast",IF(AQ4="actual",(SUMIFS(Headcount!$B$6:$B$89,Headcount!$F$6:$F$89,"Finance",Headcount!$H$6:$H$89,"&gt;"&amp;AR3,Headcount!$G$6:$G$89,"&lt;"&amp;AR3)+AR8-AR9),(AQ7+AR8-AR9)),SUMIFS(Headcount!$B$6:$B$89,Headcount!$F$6:$F$89,"Finance",Headcount!$H$6:$H$89,"&gt;"&amp;AR3,Headcount!$G$6:$G$89,"&lt;"&amp;AQ3))</f>
        <v>6</v>
      </c>
      <c r="AS7" s="781">
        <f>IF(AS4="forecast",IF(AR4="actual",(SUMIFS(Headcount!$B$6:$B$89,Headcount!$F$6:$F$89,"Finance",Headcount!$H$6:$H$89,"&gt;"&amp;AS3,Headcount!$G$6:$G$89,"&lt;"&amp;AS3)+AS8-AS9),(AR7+AS8-AS9)),SUMIFS(Headcount!$B$6:$B$89,Headcount!$F$6:$F$89,"Finance",Headcount!$H$6:$H$89,"&gt;"&amp;AS3,Headcount!$G$6:$G$89,"&lt;"&amp;AR3))</f>
        <v>6</v>
      </c>
      <c r="AT7" s="781">
        <f>IF(AT4="forecast",IF(AS4="actual",(SUMIFS(Headcount!$B$6:$B$89,Headcount!$F$6:$F$89,"Finance",Headcount!$H$6:$H$89,"&gt;"&amp;AT3,Headcount!$G$6:$G$89,"&lt;"&amp;AT3)+AT8-AT9),(AS7+AT8-AT9)),SUMIFS(Headcount!$B$6:$B$89,Headcount!$F$6:$F$89,"Finance",Headcount!$H$6:$H$89,"&gt;"&amp;AT3,Headcount!$G$6:$G$89,"&lt;"&amp;AS3))</f>
        <v>6</v>
      </c>
      <c r="AU7" s="781">
        <f>IF(AU4="forecast",IF(AT4="actual",(SUMIFS(Headcount!$B$6:$B$89,Headcount!$F$6:$F$89,"Finance",Headcount!$H$6:$H$89,"&gt;"&amp;AU3,Headcount!$G$6:$G$89,"&lt;"&amp;AU3)+AU8-AU9),(AT7+AU8-AU9)),SUMIFS(Headcount!$B$6:$B$89,Headcount!$F$6:$F$89,"Finance",Headcount!$H$6:$H$89,"&gt;"&amp;AU3,Headcount!$G$6:$G$89,"&lt;"&amp;AT3))</f>
        <v>6</v>
      </c>
      <c r="AV7" s="781">
        <f>IF(AV4="forecast",IF(AU4="actual",(SUMIFS(Headcount!$B$6:$B$89,Headcount!$F$6:$F$89,"Finance",Headcount!$H$6:$H$89,"&gt;"&amp;AV3,Headcount!$G$6:$G$89,"&lt;"&amp;AV3)+AV8-AV9),(AU7+AV8-AV9)),SUMIFS(Headcount!$B$6:$B$89,Headcount!$F$6:$F$89,"Finance",Headcount!$H$6:$H$89,"&gt;"&amp;AV3,Headcount!$G$6:$G$89,"&lt;"&amp;AU3))</f>
        <v>6</v>
      </c>
      <c r="AW7" s="781">
        <f>IF(AW4="forecast",IF(AV4="actual",(SUMIFS(Headcount!$B$6:$B$89,Headcount!$F$6:$F$89,"Finance",Headcount!$H$6:$H$89,"&gt;"&amp;AW3,Headcount!$G$6:$G$89,"&lt;"&amp;AW3)+AW8-AW9),(AV7+AW8-AW9)),SUMIFS(Headcount!$B$6:$B$89,Headcount!$F$6:$F$89,"Finance",Headcount!$H$6:$H$89,"&gt;"&amp;AW3,Headcount!$G$6:$G$89,"&lt;"&amp;AV3))</f>
        <v>6</v>
      </c>
      <c r="AX7" s="781">
        <f>IF(AX4="forecast",IF(AW4="actual",(SUMIFS(Headcount!$B$6:$B$89,Headcount!$F$6:$F$89,"Finance",Headcount!$H$6:$H$89,"&gt;"&amp;AX3,Headcount!$G$6:$G$89,"&lt;"&amp;AX3)+AX8-AX9),(AW7+AX8-AX9)),SUMIFS(Headcount!$B$6:$B$89,Headcount!$F$6:$F$89,"Finance",Headcount!$H$6:$H$89,"&gt;"&amp;AX3,Headcount!$G$6:$G$89,"&lt;"&amp;AW3))</f>
        <v>6</v>
      </c>
      <c r="AY7" s="781">
        <f>IF(AY4="forecast",IF(AX4="actual",(SUMIFS(Headcount!$B$6:$B$89,Headcount!$F$6:$F$89,"Finance",Headcount!$H$6:$H$89,"&gt;"&amp;AY3,Headcount!$G$6:$G$89,"&lt;"&amp;AY3)+AY8-AY9),(AX7+AY8-AY9)),SUMIFS(Headcount!$B$6:$B$89,Headcount!$F$6:$F$89,"Finance",Headcount!$H$6:$H$89,"&gt;"&amp;AY3,Headcount!$G$6:$G$89,"&lt;"&amp;AX3))</f>
        <v>6</v>
      </c>
      <c r="AZ7" s="781">
        <f>IF(AZ4="forecast",IF(AY4="actual",(SUMIFS(Headcount!$B$6:$B$89,Headcount!$F$6:$F$89,"Finance",Headcount!$H$6:$H$89,"&gt;"&amp;AZ3,Headcount!$G$6:$G$89,"&lt;"&amp;AZ3)+AZ8-AZ9),(AY7+AZ8-AZ9)),SUMIFS(Headcount!$B$6:$B$89,Headcount!$F$6:$F$89,"Finance",Headcount!$H$6:$H$89,"&gt;"&amp;AZ3,Headcount!$G$6:$G$89,"&lt;"&amp;AY3))</f>
        <v>6</v>
      </c>
      <c r="BA7" s="781">
        <f>IF(BA4="forecast",IF(AZ4="actual",(SUMIFS(Headcount!$B$6:$B$89,Headcount!$F$6:$F$89,"Finance",Headcount!$H$6:$H$89,"&gt;"&amp;BA3,Headcount!$G$6:$G$89,"&lt;"&amp;BA3)+BA8-BA9),(AZ7+BA8-BA9)),SUMIFS(Headcount!$B$6:$B$89,Headcount!$F$6:$F$89,"Finance",Headcount!$H$6:$H$89,"&gt;"&amp;BA3,Headcount!$G$6:$G$89,"&lt;"&amp;AZ3))</f>
        <v>6</v>
      </c>
      <c r="BB7" s="781">
        <f>IF(BB4="forecast",IF(BA4="actual",(SUMIFS(Headcount!$B$6:$B$89,Headcount!$F$6:$F$89,"Finance",Headcount!$H$6:$H$89,"&gt;"&amp;BB3,Headcount!$G$6:$G$89,"&lt;"&amp;BB3)+BB8-BB9),(BA7+BB8-BB9)),SUMIFS(Headcount!$B$6:$B$89,Headcount!$F$6:$F$89,"Finance",Headcount!$H$6:$H$89,"&gt;"&amp;BB3,Headcount!$G$6:$G$89,"&lt;"&amp;BA3))</f>
        <v>6</v>
      </c>
      <c r="BC7" s="781">
        <f>IF(BC4="forecast",IF(BB4="actual",(SUMIFS(Headcount!$B$6:$B$89,Headcount!$F$6:$F$89,"Finance",Headcount!$H$6:$H$89,"&gt;"&amp;BC3,Headcount!$G$6:$G$89,"&lt;"&amp;BC3)+BC8-BC9),(BB7+BC8-BC9)),SUMIFS(Headcount!$B$6:$B$89,Headcount!$F$6:$F$89,"Finance",Headcount!$H$6:$H$89,"&gt;"&amp;BC3,Headcount!$G$6:$G$89,"&lt;"&amp;BB3))</f>
        <v>6</v>
      </c>
      <c r="BD7" s="781">
        <f>IF(BD4="forecast",IF(BC4="actual",(SUMIFS(Headcount!$B$6:$B$89,Headcount!$F$6:$F$89,"Finance",Headcount!$H$6:$H$89,"&gt;"&amp;BD3,Headcount!$G$6:$G$89,"&lt;"&amp;BD3)+BD8-BD9),(BC7+BD8-BD9)),SUMIFS(Headcount!$B$6:$B$89,Headcount!$F$6:$F$89,"Finance",Headcount!$H$6:$H$89,"&gt;"&amp;BD3,Headcount!$G$6:$G$89,"&lt;"&amp;BC3))</f>
        <v>6</v>
      </c>
      <c r="BE7" s="781">
        <f>IF(BE4="forecast",IF(BD4="actual",(SUMIFS(Headcount!$B$6:$B$89,Headcount!$F$6:$F$89,"Finance",Headcount!$H$6:$H$89,"&gt;"&amp;BE3,Headcount!$G$6:$G$89,"&lt;"&amp;BE3)+BE8-BE9),(BD7+BE8-BE9)),SUMIFS(Headcount!$B$6:$B$89,Headcount!$F$6:$F$89,"Finance",Headcount!$H$6:$H$89,"&gt;"&amp;BE3,Headcount!$G$6:$G$89,"&lt;"&amp;BD3))</f>
        <v>6</v>
      </c>
      <c r="BF7" s="781">
        <f>IF(BF4="forecast",IF(BE4="actual",(SUMIFS(Headcount!$B$6:$B$89,Headcount!$F$6:$F$89,"Finance",Headcount!$H$6:$H$89,"&gt;"&amp;BF3,Headcount!$G$6:$G$89,"&lt;"&amp;BF3)+BF8-BF9),(BE7+BF8-BF9)),SUMIFS(Headcount!$B$6:$B$89,Headcount!$F$6:$F$89,"Finance",Headcount!$H$6:$H$89,"&gt;"&amp;BF3,Headcount!$G$6:$G$89,"&lt;"&amp;BE3))</f>
        <v>6</v>
      </c>
      <c r="BG7" s="781">
        <f>IF(BG4="forecast",IF(BF4="actual",(SUMIFS(Headcount!$B$6:$B$89,Headcount!$F$6:$F$89,"Finance",Headcount!$H$6:$H$89,"&gt;"&amp;BG3,Headcount!$G$6:$G$89,"&lt;"&amp;BG3)+BG8-BG9),(BF7+BG8-BG9)),SUMIFS(Headcount!$B$6:$B$89,Headcount!$F$6:$F$89,"Finance",Headcount!$H$6:$H$89,"&gt;"&amp;BG3,Headcount!$G$6:$G$89,"&lt;"&amp;BF3))</f>
        <v>6</v>
      </c>
      <c r="BH7" s="781">
        <f>IF(BH4="forecast",IF(BG4="actual",(SUMIFS(Headcount!$B$6:$B$89,Headcount!$F$6:$F$89,"Finance",Headcount!$H$6:$H$89,"&gt;"&amp;BH3,Headcount!$G$6:$G$89,"&lt;"&amp;BH3)+BH8-BH9),(BG7+BH8-BH9)),SUMIFS(Headcount!$B$6:$B$89,Headcount!$F$6:$F$89,"Finance",Headcount!$H$6:$H$89,"&gt;"&amp;BH3,Headcount!$G$6:$G$89,"&lt;"&amp;BG3))</f>
        <v>6</v>
      </c>
      <c r="BI7" s="781">
        <f>IF(BI4="forecast",IF(BH4="actual",(SUMIFS(Headcount!$B$6:$B$89,Headcount!$F$6:$F$89,"Finance",Headcount!$H$6:$H$89,"&gt;"&amp;BI3,Headcount!$G$6:$G$89,"&lt;"&amp;BI3)+BI8-BI9),(BH7+BI8-BI9)),SUMIFS(Headcount!$B$6:$B$89,Headcount!$F$6:$F$89,"Finance",Headcount!$H$6:$H$89,"&gt;"&amp;BI3,Headcount!$G$6:$G$89,"&lt;"&amp;BH3))</f>
        <v>6</v>
      </c>
      <c r="BJ7" s="781">
        <f>IF(BJ4="forecast",IF(BI4="actual",(SUMIFS(Headcount!$B$6:$B$89,Headcount!$F$6:$F$89,"Finance",Headcount!$H$6:$H$89,"&gt;"&amp;BJ3,Headcount!$G$6:$G$89,"&lt;"&amp;BJ3)+BJ8-BJ9),(BI7+BJ8-BJ9)),SUMIFS(Headcount!$B$6:$B$89,Headcount!$F$6:$F$89,"Finance",Headcount!$H$6:$H$89,"&gt;"&amp;BJ3,Headcount!$G$6:$G$89,"&lt;"&amp;BI3))</f>
        <v>6</v>
      </c>
      <c r="BK7" s="781">
        <f>IF(BK4="forecast",IF(BJ4="actual",(SUMIFS(Headcount!$B$6:$B$89,Headcount!$F$6:$F$89,"Finance",Headcount!$H$6:$H$89,"&gt;"&amp;BK3,Headcount!$G$6:$G$89,"&lt;"&amp;BK3)+BK8-BK9),(BJ7+BK8-BK9)),SUMIFS(Headcount!$B$6:$B$89,Headcount!$F$6:$F$89,"Finance",Headcount!$H$6:$H$89,"&gt;"&amp;BK3,Headcount!$G$6:$G$89,"&lt;"&amp;BJ3))</f>
        <v>6</v>
      </c>
      <c r="BL7" s="781">
        <f>IF(BL4="forecast",IF(BK4="actual",(SUMIFS(Headcount!$B$6:$B$89,Headcount!$F$6:$F$89,"Finance",Headcount!$H$6:$H$89,"&gt;"&amp;BL3,Headcount!$G$6:$G$89,"&lt;"&amp;BL3)+BL8-BL9),(BK7+BL8-BL9)),SUMIFS(Headcount!$B$6:$B$89,Headcount!$F$6:$F$89,"Finance",Headcount!$H$6:$H$89,"&gt;"&amp;BL3,Headcount!$G$6:$G$89,"&lt;"&amp;BK3))</f>
        <v>6</v>
      </c>
      <c r="BM7" s="781">
        <f>IF(BM4="forecast",IF(BL4="actual",(SUMIFS(Headcount!$B$6:$B$89,Headcount!$F$6:$F$89,"Finance",Headcount!$H$6:$H$89,"&gt;"&amp;BM3,Headcount!$G$6:$G$89,"&lt;"&amp;BM3)+BM8-BM9),(BL7+BM8-BM9)),SUMIFS(Headcount!$B$6:$B$89,Headcount!$F$6:$F$89,"Finance",Headcount!$H$6:$H$89,"&gt;"&amp;BM3,Headcount!$G$6:$G$89,"&lt;"&amp;BL3))</f>
        <v>6</v>
      </c>
      <c r="BN7" s="781">
        <f>IF(BN4="forecast",IF(BM4="actual",(SUMIFS(Headcount!$B$6:$B$89,Headcount!$F$6:$F$89,"Finance",Headcount!$H$6:$H$89,"&gt;"&amp;BN3,Headcount!$G$6:$G$89,"&lt;"&amp;BN3)+BN8-BN9),(BM7+BN8-BN9)),SUMIFS(Headcount!$B$6:$B$89,Headcount!$F$6:$F$89,"Finance",Headcount!$H$6:$H$89,"&gt;"&amp;BN3,Headcount!$G$6:$G$89,"&lt;"&amp;BM3))</f>
        <v>6</v>
      </c>
      <c r="BO7" s="781">
        <f>IF(BO4="forecast",IF(BN4="actual",(SUMIFS(Headcount!$B$6:$B$89,Headcount!$F$6:$F$89,"Finance",Headcount!$H$6:$H$89,"&gt;"&amp;BO3,Headcount!$G$6:$G$89,"&lt;"&amp;BO3)+BO8-BO9),(BN7+BO8-BO9)),SUMIFS(Headcount!$B$6:$B$89,Headcount!$F$6:$F$89,"Finance",Headcount!$H$6:$H$89,"&gt;"&amp;BO3,Headcount!$G$6:$G$89,"&lt;"&amp;BN3))</f>
        <v>6</v>
      </c>
      <c r="BP7" s="781">
        <f>IF(BP4="forecast",IF(BO4="actual",(SUMIFS(Headcount!$B$6:$B$89,Headcount!$F$6:$F$89,"Finance",Headcount!$H$6:$H$89,"&gt;"&amp;BP3,Headcount!$G$6:$G$89,"&lt;"&amp;BP3)+BP8-BP9),(BO7+BP8-BP9)),SUMIFS(Headcount!$B$6:$B$89,Headcount!$F$6:$F$89,"Finance",Headcount!$H$6:$H$89,"&gt;"&amp;BP3,Headcount!$G$6:$G$89,"&lt;"&amp;BO3))</f>
        <v>6</v>
      </c>
      <c r="BQ7" s="781">
        <f>IF(BQ4="forecast",IF(BP4="actual",(SUMIFS(Headcount!$B$6:$B$89,Headcount!$F$6:$F$89,"Finance",Headcount!$H$6:$H$89,"&gt;"&amp;BQ3,Headcount!$G$6:$G$89,"&lt;"&amp;BQ3)+BQ8-BQ9),(BP7+BQ8-BQ9)),SUMIFS(Headcount!$B$6:$B$89,Headcount!$F$6:$F$89,"Finance",Headcount!$H$6:$H$89,"&gt;"&amp;BQ3,Headcount!$G$6:$G$89,"&lt;"&amp;BP3))</f>
        <v>6</v>
      </c>
      <c r="BR7" s="781">
        <f>IF(BR4="forecast",IF(BQ4="actual",(SUMIFS(Headcount!$B$6:$B$89,Headcount!$F$6:$F$89,"Finance",Headcount!$H$6:$H$89,"&gt;"&amp;BR3,Headcount!$G$6:$G$89,"&lt;"&amp;BR3)+BR8-BR9),(BQ7+BR8-BR9)),SUMIFS(Headcount!$B$6:$B$89,Headcount!$F$6:$F$89,"Finance",Headcount!$H$6:$H$89,"&gt;"&amp;BR3,Headcount!$G$6:$G$89,"&lt;"&amp;BQ3))</f>
        <v>6</v>
      </c>
      <c r="BS7" s="781">
        <f>IF(BS4="forecast",IF(BR4="actual",(SUMIFS(Headcount!$B$6:$B$89,Headcount!$F$6:$F$89,"Finance",Headcount!$H$6:$H$89,"&gt;"&amp;BS3,Headcount!$G$6:$G$89,"&lt;"&amp;BS3)+BS8-BS9),(BR7+BS8-BS9)),SUMIFS(Headcount!$B$6:$B$89,Headcount!$F$6:$F$89,"Finance",Headcount!$H$6:$H$89,"&gt;"&amp;BS3,Headcount!$G$6:$G$89,"&lt;"&amp;BR3))</f>
        <v>6</v>
      </c>
      <c r="BT7" s="781">
        <f>IF(BT4="forecast",IF(BS4="actual",(SUMIFS(Headcount!$B$6:$B$89,Headcount!$F$6:$F$89,"Finance",Headcount!$H$6:$H$89,"&gt;"&amp;BT3,Headcount!$G$6:$G$89,"&lt;"&amp;BT3)+BT8-BT9),(BS7+BT8-BT9)),SUMIFS(Headcount!$B$6:$B$89,Headcount!$F$6:$F$89,"Finance",Headcount!$H$6:$H$89,"&gt;"&amp;BT3,Headcount!$G$6:$G$89,"&lt;"&amp;BS3))</f>
        <v>6</v>
      </c>
      <c r="BU7" s="781">
        <f>IF(BU4="forecast",IF(BT4="actual",(SUMIFS(Headcount!$B$6:$B$89,Headcount!$F$6:$F$89,"Finance",Headcount!$H$6:$H$89,"&gt;"&amp;BU3,Headcount!$G$6:$G$89,"&lt;"&amp;BU3)+BU8-BU9),(BT7+BU8-BU9)),SUMIFS(Headcount!$B$6:$B$89,Headcount!$F$6:$F$89,"Finance",Headcount!$H$6:$H$89,"&gt;"&amp;BU3,Headcount!$G$6:$G$89,"&lt;"&amp;BT3))</f>
        <v>6</v>
      </c>
      <c r="BV7" s="782">
        <f>IF(BV4="forecast",IF(BU4="actual",(SUMIFS(Headcount!$B$6:$B$89,Headcount!$F$6:$F$89,"Finance",Headcount!$H$6:$H$89,"&gt;"&amp;BV3,Headcount!$G$6:$G$89,"&lt;"&amp;BV3)+BV8-BV9),(BU7+BV8-BV9)),SUMIFS(Headcount!$B$6:$B$89,Headcount!$F$6:$F$89,"Finance",Headcount!$H$6:$H$89,"&gt;"&amp;BV3,Headcount!$G$6:$G$89,"&lt;"&amp;BU3))</f>
        <v>6</v>
      </c>
    </row>
    <row r="8" spans="2:74" x14ac:dyDescent="0.25">
      <c r="B8" s="777" t="s">
        <v>14</v>
      </c>
      <c r="C8" s="781">
        <f>SUMIFS('New Hires Forecast'!$B$5:$B$84,'New Hires Forecast'!$G$5:$G$84,"&gt;"&amp;Finance!B3,'New Hires Forecast'!$G$5:$G$84,"&lt;="&amp;Finance!C3,'New Hires Forecast'!$F$5:$F$84,"Finance")</f>
        <v>0</v>
      </c>
      <c r="D8" s="781">
        <f>SUMIFS('New Hires Forecast'!$B$5:$B$84,'New Hires Forecast'!$G$5:$G$84,"&gt;"&amp;Finance!C3,'New Hires Forecast'!$G$5:$G$84,"&lt;="&amp;Finance!D3,'New Hires Forecast'!$F$5:$F$84,"Finance")</f>
        <v>0</v>
      </c>
      <c r="E8" s="781">
        <f>SUMIFS('New Hires Forecast'!$B$5:$B$84,'New Hires Forecast'!$G$5:$G$84,"&gt;"&amp;Finance!D3,'New Hires Forecast'!$G$5:$G$84,"&lt;="&amp;Finance!E3,'New Hires Forecast'!$F$5:$F$84,"Finance")</f>
        <v>0</v>
      </c>
      <c r="F8" s="781">
        <f>SUMIFS('New Hires Forecast'!$B$5:$B$84,'New Hires Forecast'!$G$5:$G$84,"&gt;"&amp;Finance!E3,'New Hires Forecast'!$G$5:$G$84,"&lt;="&amp;Finance!F3,'New Hires Forecast'!$F$5:$F$84,"Finance")</f>
        <v>0</v>
      </c>
      <c r="G8" s="781">
        <f>SUMIFS('New Hires Forecast'!$B$5:$B$84,'New Hires Forecast'!$G$5:$G$84,"&gt;"&amp;Finance!F3,'New Hires Forecast'!$G$5:$G$84,"&lt;="&amp;Finance!G3,'New Hires Forecast'!$F$5:$F$84,"Finance")</f>
        <v>0</v>
      </c>
      <c r="H8" s="781">
        <f>SUMIFS('New Hires Forecast'!$B$5:$B$84,'New Hires Forecast'!$G$5:$G$84,"&gt;"&amp;Finance!G3,'New Hires Forecast'!$G$5:$G$84,"&lt;="&amp;Finance!H3,'New Hires Forecast'!$F$5:$F$84,"Finance")</f>
        <v>0</v>
      </c>
      <c r="I8" s="781">
        <f>SUMIFS('New Hires Forecast'!$B$5:$B$84,'New Hires Forecast'!$G$5:$G$84,"&gt;"&amp;Finance!H3,'New Hires Forecast'!$G$5:$G$84,"&lt;="&amp;Finance!I3,'New Hires Forecast'!$F$5:$F$84,"Finance")</f>
        <v>0</v>
      </c>
      <c r="J8" s="781">
        <f>SUMIFS('New Hires Forecast'!$B$5:$B$84,'New Hires Forecast'!$G$5:$G$84,"&gt;"&amp;Finance!I3,'New Hires Forecast'!$G$5:$G$84,"&lt;="&amp;Finance!J3,'New Hires Forecast'!$F$5:$F$84,"Finance")</f>
        <v>0</v>
      </c>
      <c r="K8" s="781">
        <f>SUMIFS('New Hires Forecast'!$B$5:$B$84,'New Hires Forecast'!$G$5:$G$84,"&gt;"&amp;Finance!J3,'New Hires Forecast'!$G$5:$G$84,"&lt;="&amp;Finance!K3,'New Hires Forecast'!$F$5:$F$84,"Finance")</f>
        <v>0</v>
      </c>
      <c r="L8" s="781">
        <f>SUMIFS('New Hires Forecast'!$B$5:$B$84,'New Hires Forecast'!$G$5:$G$84,"&gt;"&amp;Finance!K3,'New Hires Forecast'!$G$5:$G$84,"&lt;="&amp;Finance!L3,'New Hires Forecast'!$F$5:$F$84,"Finance")</f>
        <v>0</v>
      </c>
      <c r="M8" s="781">
        <f>SUMIFS('New Hires Forecast'!$B$5:$B$84,'New Hires Forecast'!$G$5:$G$84,"&gt;"&amp;Finance!L3,'New Hires Forecast'!$G$5:$G$84,"&lt;="&amp;Finance!M3,'New Hires Forecast'!$F$5:$F$84,"Finance")</f>
        <v>0</v>
      </c>
      <c r="N8" s="781">
        <f>SUMIFS('New Hires Forecast'!$B$5:$B$84,'New Hires Forecast'!$G$5:$G$84,"&gt;"&amp;Finance!M3,'New Hires Forecast'!$G$5:$G$84,"&lt;="&amp;Finance!N3,'New Hires Forecast'!$F$5:$F$84,"Finance")</f>
        <v>0</v>
      </c>
      <c r="O8" s="781">
        <f>SUMIFS('New Hires Forecast'!$B$5:$B$84,'New Hires Forecast'!$G$5:$G$84,"&gt;"&amp;Finance!N3,'New Hires Forecast'!$G$5:$G$84,"&lt;="&amp;Finance!O3,'New Hires Forecast'!$F$5:$F$84,"Finance")</f>
        <v>0</v>
      </c>
      <c r="P8" s="781">
        <f>SUMIFS('New Hires Forecast'!$B$5:$B$84,'New Hires Forecast'!$G$5:$G$84,"&gt;"&amp;Finance!O3,'New Hires Forecast'!$G$5:$G$84,"&lt;="&amp;Finance!P3,'New Hires Forecast'!$F$5:$F$84,"Finance")</f>
        <v>0</v>
      </c>
      <c r="Q8" s="781">
        <f>SUMIFS('New Hires Forecast'!$B$5:$B$84,'New Hires Forecast'!$G$5:$G$84,"&gt;"&amp;Finance!P3,'New Hires Forecast'!$G$5:$G$84,"&lt;="&amp;Finance!Q3,'New Hires Forecast'!$F$5:$F$84,"Finance")</f>
        <v>0</v>
      </c>
      <c r="R8" s="781">
        <f>SUMIFS('New Hires Forecast'!$B$5:$B$84,'New Hires Forecast'!$G$5:$G$84,"&gt;"&amp;Finance!Q3,'New Hires Forecast'!$G$5:$G$84,"&lt;="&amp;Finance!R3,'New Hires Forecast'!$F$5:$F$84,"Finance")</f>
        <v>0</v>
      </c>
      <c r="S8" s="781">
        <f>SUMIFS('New Hires Forecast'!$B$5:$B$84,'New Hires Forecast'!$G$5:$G$84,"&gt;"&amp;Finance!R3,'New Hires Forecast'!$G$5:$G$84,"&lt;="&amp;Finance!S3,'New Hires Forecast'!$F$5:$F$84,"Finance")</f>
        <v>0</v>
      </c>
      <c r="T8" s="781">
        <f>SUMIFS('New Hires Forecast'!$B$5:$B$84,'New Hires Forecast'!$G$5:$G$84,"&gt;"&amp;Finance!S3,'New Hires Forecast'!$G$5:$G$84,"&lt;="&amp;Finance!T3,'New Hires Forecast'!$F$5:$F$84,"Finance")</f>
        <v>0</v>
      </c>
      <c r="U8" s="781">
        <f>SUMIFS('New Hires Forecast'!$B$5:$B$84,'New Hires Forecast'!$G$5:$G$84,"&gt;"&amp;Finance!T3,'New Hires Forecast'!$G$5:$G$84,"&lt;="&amp;Finance!U3,'New Hires Forecast'!$F$5:$F$84,"Finance")</f>
        <v>0</v>
      </c>
      <c r="V8" s="781">
        <f>SUMIFS('New Hires Forecast'!$B$5:$B$84,'New Hires Forecast'!$G$5:$G$84,"&gt;"&amp;Finance!U3,'New Hires Forecast'!$G$5:$G$84,"&lt;="&amp;Finance!V3,'New Hires Forecast'!$F$5:$F$84,"Finance")</f>
        <v>0</v>
      </c>
      <c r="W8" s="781">
        <f>SUMIFS('New Hires Forecast'!$B$5:$B$84,'New Hires Forecast'!$G$5:$G$84,"&gt;"&amp;Finance!V3,'New Hires Forecast'!$G$5:$G$84,"&lt;="&amp;Finance!W3,'New Hires Forecast'!$F$5:$F$84,"Finance")</f>
        <v>0</v>
      </c>
      <c r="X8" s="781">
        <f>SUMIFS('New Hires Forecast'!$B$5:$B$84,'New Hires Forecast'!$G$5:$G$84,"&gt;"&amp;Finance!W3,'New Hires Forecast'!$G$5:$G$84,"&lt;="&amp;Finance!X3,'New Hires Forecast'!$F$5:$F$84,"Finance")</f>
        <v>0</v>
      </c>
      <c r="Y8" s="781">
        <f>SUMIFS('New Hires Forecast'!$B$5:$B$84,'New Hires Forecast'!$G$5:$G$84,"&gt;"&amp;Finance!X3,'New Hires Forecast'!$G$5:$G$84,"&lt;="&amp;Finance!Y3,'New Hires Forecast'!$F$5:$F$84,"Finance")</f>
        <v>0</v>
      </c>
      <c r="Z8" s="781">
        <f>SUMIFS('New Hires Forecast'!$B$5:$B$84,'New Hires Forecast'!$G$5:$G$84,"&gt;"&amp;Finance!Y3,'New Hires Forecast'!$G$5:$G$84,"&lt;="&amp;Finance!Z3,'New Hires Forecast'!$F$5:$F$84,"Finance")</f>
        <v>0</v>
      </c>
      <c r="AA8" s="781">
        <f>SUMIFS('New Hires Forecast'!$B$5:$B$84,'New Hires Forecast'!$G$5:$G$84,"&gt;"&amp;Finance!Z3,'New Hires Forecast'!$G$5:$G$84,"&lt;="&amp;Finance!AA3,'New Hires Forecast'!$F$5:$F$84,"Finance")</f>
        <v>0</v>
      </c>
      <c r="AB8" s="781">
        <f>SUMIFS('New Hires Forecast'!$B$5:$B$84,'New Hires Forecast'!$G$5:$G$84,"&gt;"&amp;Finance!AA3,'New Hires Forecast'!$G$5:$G$84,"&lt;="&amp;Finance!AB3,'New Hires Forecast'!$F$5:$F$84,"Finance")</f>
        <v>0</v>
      </c>
      <c r="AC8" s="781">
        <f>SUMIFS('New Hires Forecast'!$B$5:$B$84,'New Hires Forecast'!$G$5:$G$84,"&gt;"&amp;Finance!AB3,'New Hires Forecast'!$G$5:$G$84,"&lt;="&amp;Finance!AC3,'New Hires Forecast'!$F$5:$F$84,"Finance")</f>
        <v>0</v>
      </c>
      <c r="AD8" s="781">
        <f>SUMIFS('New Hires Forecast'!$B$5:$B$84,'New Hires Forecast'!$G$5:$G$84,"&gt;"&amp;Finance!AC3,'New Hires Forecast'!$G$5:$G$84,"&lt;="&amp;Finance!AD3,'New Hires Forecast'!$F$5:$F$84,"Finance")</f>
        <v>1</v>
      </c>
      <c r="AE8" s="781">
        <f>SUMIFS('New Hires Forecast'!$B$5:$B$84,'New Hires Forecast'!$G$5:$G$84,"&gt;"&amp;Finance!AD3,'New Hires Forecast'!$G$5:$G$84,"&lt;="&amp;Finance!AE3,'New Hires Forecast'!$F$5:$F$84,"Finance")</f>
        <v>1</v>
      </c>
      <c r="AF8" s="781">
        <f>SUMIFS('New Hires Forecast'!$B$5:$B$84,'New Hires Forecast'!$G$5:$G$84,"&gt;"&amp;Finance!AE3,'New Hires Forecast'!$G$5:$G$84,"&lt;="&amp;Finance!AF3,'New Hires Forecast'!$F$5:$F$84,"Finance")</f>
        <v>0</v>
      </c>
      <c r="AG8" s="781">
        <f>SUMIFS('New Hires Forecast'!$B$5:$B$84,'New Hires Forecast'!$G$5:$G$84,"&gt;"&amp;Finance!AF3,'New Hires Forecast'!$G$5:$G$84,"&lt;="&amp;Finance!AG3,'New Hires Forecast'!$F$5:$F$84,"Finance")</f>
        <v>0</v>
      </c>
      <c r="AH8" s="781">
        <f>SUMIFS('New Hires Forecast'!$B$5:$B$84,'New Hires Forecast'!$G$5:$G$84,"&gt;"&amp;Finance!AG3,'New Hires Forecast'!$G$5:$G$84,"&lt;="&amp;Finance!AH3,'New Hires Forecast'!$F$5:$F$84,"Finance")</f>
        <v>0</v>
      </c>
      <c r="AI8" s="781">
        <f>SUMIFS('New Hires Forecast'!$B$5:$B$84,'New Hires Forecast'!$G$5:$G$84,"&gt;"&amp;Finance!AH3,'New Hires Forecast'!$G$5:$G$84,"&lt;="&amp;Finance!AI3,'New Hires Forecast'!$F$5:$F$84,"Finance")</f>
        <v>0</v>
      </c>
      <c r="AJ8" s="781">
        <f>SUMIFS('New Hires Forecast'!$B$5:$B$84,'New Hires Forecast'!$G$5:$G$84,"&gt;"&amp;Finance!AI3,'New Hires Forecast'!$G$5:$G$84,"&lt;="&amp;Finance!AJ3,'New Hires Forecast'!$F$5:$F$84,"Finance")</f>
        <v>0</v>
      </c>
      <c r="AK8" s="781">
        <f>SUMIFS('New Hires Forecast'!$B$5:$B$84,'New Hires Forecast'!$G$5:$G$84,"&gt;"&amp;Finance!AJ3,'New Hires Forecast'!$G$5:$G$84,"&lt;="&amp;Finance!AK3,'New Hires Forecast'!$F$5:$F$84,"Finance")</f>
        <v>0</v>
      </c>
      <c r="AL8" s="781">
        <f>SUMIFS('New Hires Forecast'!$B$5:$B$84,'New Hires Forecast'!$G$5:$G$84,"&gt;"&amp;Finance!AK3,'New Hires Forecast'!$G$5:$G$84,"&lt;="&amp;Finance!AL3,'New Hires Forecast'!$F$5:$F$84,"Finance")</f>
        <v>0</v>
      </c>
      <c r="AM8" s="781">
        <f>SUMIFS('New Hires Forecast'!$B$5:$B$84,'New Hires Forecast'!$G$5:$G$84,"&gt;"&amp;Finance!AL3,'New Hires Forecast'!$G$5:$G$84,"&lt;="&amp;Finance!AM3,'New Hires Forecast'!$F$5:$F$84,"Finance")</f>
        <v>0</v>
      </c>
      <c r="AN8" s="781">
        <f>SUMIFS('New Hires Forecast'!$B$5:$B$84,'New Hires Forecast'!$G$5:$G$84,"&gt;"&amp;Finance!AM3,'New Hires Forecast'!$G$5:$G$84,"&lt;="&amp;Finance!AN3,'New Hires Forecast'!$F$5:$F$84,"Finance")</f>
        <v>0</v>
      </c>
      <c r="AO8" s="781">
        <f>SUMIFS('New Hires Forecast'!$B$5:$B$84,'New Hires Forecast'!$G$5:$G$84,"&gt;"&amp;Finance!AN3,'New Hires Forecast'!$G$5:$G$84,"&lt;="&amp;Finance!AO3,'New Hires Forecast'!$F$5:$F$84,"Finance")</f>
        <v>0</v>
      </c>
      <c r="AP8" s="781">
        <f>SUMIFS('New Hires Forecast'!$B$5:$B$84,'New Hires Forecast'!$G$5:$G$84,"&gt;"&amp;Finance!AO3,'New Hires Forecast'!$G$5:$G$84,"&lt;="&amp;Finance!AP3,'New Hires Forecast'!$F$5:$F$84,"Finance")</f>
        <v>0</v>
      </c>
      <c r="AQ8" s="781">
        <f>SUMIFS('New Hires Forecast'!$B$5:$B$84,'New Hires Forecast'!$G$5:$G$84,"&gt;"&amp;Finance!AP3,'New Hires Forecast'!$G$5:$G$84,"&lt;="&amp;Finance!AQ3,'New Hires Forecast'!$F$5:$F$84,"Finance")</f>
        <v>0</v>
      </c>
      <c r="AR8" s="781">
        <f>SUMIFS('New Hires Forecast'!$B$5:$B$84,'New Hires Forecast'!$G$5:$G$84,"&gt;"&amp;Finance!AQ3,'New Hires Forecast'!$G$5:$G$84,"&lt;="&amp;Finance!AR3,'New Hires Forecast'!$F$5:$F$84,"Finance")</f>
        <v>0</v>
      </c>
      <c r="AS8" s="781">
        <f>SUMIFS('New Hires Forecast'!$B$5:$B$84,'New Hires Forecast'!$G$5:$G$84,"&gt;"&amp;Finance!AR3,'New Hires Forecast'!$G$5:$G$84,"&lt;="&amp;Finance!AS3,'New Hires Forecast'!$F$5:$F$84,"Finance")</f>
        <v>0</v>
      </c>
      <c r="AT8" s="781">
        <f>SUMIFS('New Hires Forecast'!$B$5:$B$84,'New Hires Forecast'!$G$5:$G$84,"&gt;"&amp;Finance!AS3,'New Hires Forecast'!$G$5:$G$84,"&lt;="&amp;Finance!AT3,'New Hires Forecast'!$F$5:$F$84,"Finance")</f>
        <v>0</v>
      </c>
      <c r="AU8" s="781">
        <f>SUMIFS('New Hires Forecast'!$B$5:$B$84,'New Hires Forecast'!$G$5:$G$84,"&gt;"&amp;Finance!AT3,'New Hires Forecast'!$G$5:$G$84,"&lt;="&amp;Finance!AU3,'New Hires Forecast'!$F$5:$F$84,"Finance")</f>
        <v>0</v>
      </c>
      <c r="AV8" s="781">
        <f>SUMIFS('New Hires Forecast'!$B$5:$B$84,'New Hires Forecast'!$G$5:$G$84,"&gt;"&amp;Finance!AU3,'New Hires Forecast'!$G$5:$G$84,"&lt;="&amp;Finance!AV3,'New Hires Forecast'!$F$5:$F$84,"Finance")</f>
        <v>0</v>
      </c>
      <c r="AW8" s="781">
        <f>SUMIFS('New Hires Forecast'!$B$5:$B$84,'New Hires Forecast'!$G$5:$G$84,"&gt;"&amp;Finance!AV3,'New Hires Forecast'!$G$5:$G$84,"&lt;="&amp;Finance!AW3,'New Hires Forecast'!$F$5:$F$84,"Finance")</f>
        <v>0</v>
      </c>
      <c r="AX8" s="781">
        <f>SUMIFS('New Hires Forecast'!$B$5:$B$84,'New Hires Forecast'!$G$5:$G$84,"&gt;"&amp;Finance!AW3,'New Hires Forecast'!$G$5:$G$84,"&lt;="&amp;Finance!AX3,'New Hires Forecast'!$F$5:$F$84,"Finance")</f>
        <v>0</v>
      </c>
      <c r="AY8" s="781">
        <f>SUMIFS('New Hires Forecast'!$B$5:$B$84,'New Hires Forecast'!$G$5:$G$84,"&gt;"&amp;Finance!AX3,'New Hires Forecast'!$G$5:$G$84,"&lt;="&amp;Finance!AY3,'New Hires Forecast'!$F$5:$F$84,"Finance")</f>
        <v>0</v>
      </c>
      <c r="AZ8" s="781">
        <f>SUMIFS('New Hires Forecast'!$B$5:$B$84,'New Hires Forecast'!$G$5:$G$84,"&gt;"&amp;Finance!AY3,'New Hires Forecast'!$G$5:$G$84,"&lt;="&amp;Finance!AZ3,'New Hires Forecast'!$F$5:$F$84,"Finance")</f>
        <v>0</v>
      </c>
      <c r="BA8" s="781">
        <f>SUMIFS('New Hires Forecast'!$B$5:$B$84,'New Hires Forecast'!$G$5:$G$84,"&gt;"&amp;Finance!AZ3,'New Hires Forecast'!$G$5:$G$84,"&lt;="&amp;Finance!BA3,'New Hires Forecast'!$F$5:$F$84,"Finance")</f>
        <v>0</v>
      </c>
      <c r="BB8" s="781">
        <f>SUMIFS('New Hires Forecast'!$B$5:$B$84,'New Hires Forecast'!$G$5:$G$84,"&gt;"&amp;Finance!BA3,'New Hires Forecast'!$G$5:$G$84,"&lt;="&amp;Finance!BB3,'New Hires Forecast'!$F$5:$F$84,"Finance")</f>
        <v>0</v>
      </c>
      <c r="BC8" s="781">
        <f>SUMIFS('New Hires Forecast'!$B$5:$B$84,'New Hires Forecast'!$G$5:$G$84,"&gt;"&amp;Finance!BB3,'New Hires Forecast'!$G$5:$G$84,"&lt;="&amp;Finance!BC3,'New Hires Forecast'!$F$5:$F$84,"Finance")</f>
        <v>0</v>
      </c>
      <c r="BD8" s="781">
        <f>SUMIFS('New Hires Forecast'!$B$5:$B$84,'New Hires Forecast'!$G$5:$G$84,"&gt;"&amp;Finance!BC3,'New Hires Forecast'!$G$5:$G$84,"&lt;="&amp;Finance!BD3,'New Hires Forecast'!$F$5:$F$84,"Finance")</f>
        <v>0</v>
      </c>
      <c r="BE8" s="781">
        <f>SUMIFS('New Hires Forecast'!$B$5:$B$84,'New Hires Forecast'!$G$5:$G$84,"&gt;"&amp;Finance!BD3,'New Hires Forecast'!$G$5:$G$84,"&lt;="&amp;Finance!BE3,'New Hires Forecast'!$F$5:$F$84,"Finance")</f>
        <v>0</v>
      </c>
      <c r="BF8" s="781">
        <f>SUMIFS('New Hires Forecast'!$B$5:$B$84,'New Hires Forecast'!$G$5:$G$84,"&gt;"&amp;Finance!BE3,'New Hires Forecast'!$G$5:$G$84,"&lt;="&amp;Finance!BF3,'New Hires Forecast'!$F$5:$F$84,"Finance")</f>
        <v>0</v>
      </c>
      <c r="BG8" s="781">
        <f>SUMIFS('New Hires Forecast'!$B$5:$B$84,'New Hires Forecast'!$G$5:$G$84,"&gt;"&amp;Finance!BF3,'New Hires Forecast'!$G$5:$G$84,"&lt;="&amp;Finance!BG3,'New Hires Forecast'!$F$5:$F$84,"Finance")</f>
        <v>0</v>
      </c>
      <c r="BH8" s="781">
        <f>SUMIFS('New Hires Forecast'!$B$5:$B$84,'New Hires Forecast'!$G$5:$G$84,"&gt;"&amp;Finance!BG3,'New Hires Forecast'!$G$5:$G$84,"&lt;="&amp;Finance!BH3,'New Hires Forecast'!$F$5:$F$84,"Finance")</f>
        <v>0</v>
      </c>
      <c r="BI8" s="781">
        <f>SUMIFS('New Hires Forecast'!$B$5:$B$84,'New Hires Forecast'!$G$5:$G$84,"&gt;"&amp;Finance!BH3,'New Hires Forecast'!$G$5:$G$84,"&lt;="&amp;Finance!BI3,'New Hires Forecast'!$F$5:$F$84,"Finance")</f>
        <v>0</v>
      </c>
      <c r="BJ8" s="781">
        <f>SUMIFS('New Hires Forecast'!$B$5:$B$84,'New Hires Forecast'!$G$5:$G$84,"&gt;"&amp;Finance!BI3,'New Hires Forecast'!$G$5:$G$84,"&lt;="&amp;Finance!BJ3,'New Hires Forecast'!$F$5:$F$84,"Finance")</f>
        <v>0</v>
      </c>
      <c r="BK8" s="781">
        <f>SUMIFS('New Hires Forecast'!$B$5:$B$84,'New Hires Forecast'!$G$5:$G$84,"&gt;"&amp;Finance!BJ3,'New Hires Forecast'!$G$5:$G$84,"&lt;="&amp;Finance!BK3,'New Hires Forecast'!$F$5:$F$84,"Finance")</f>
        <v>0</v>
      </c>
      <c r="BL8" s="781">
        <f>SUMIFS('New Hires Forecast'!$B$5:$B$84,'New Hires Forecast'!$G$5:$G$84,"&gt;"&amp;Finance!BK3,'New Hires Forecast'!$G$5:$G$84,"&lt;="&amp;Finance!BL3,'New Hires Forecast'!$F$5:$F$84,"Finance")</f>
        <v>0</v>
      </c>
      <c r="BM8" s="781">
        <f>SUMIFS('New Hires Forecast'!$B$5:$B$84,'New Hires Forecast'!$G$5:$G$84,"&gt;"&amp;Finance!BL3,'New Hires Forecast'!$G$5:$G$84,"&lt;="&amp;Finance!BM3,'New Hires Forecast'!$F$5:$F$84,"Finance")</f>
        <v>0</v>
      </c>
      <c r="BN8" s="781">
        <f>SUMIFS('New Hires Forecast'!$B$5:$B$84,'New Hires Forecast'!$G$5:$G$84,"&gt;"&amp;Finance!BM3,'New Hires Forecast'!$G$5:$G$84,"&lt;="&amp;Finance!BN3,'New Hires Forecast'!$F$5:$F$84,"Finance")</f>
        <v>0</v>
      </c>
      <c r="BO8" s="781">
        <f>SUMIFS('New Hires Forecast'!$B$5:$B$84,'New Hires Forecast'!$G$5:$G$84,"&gt;"&amp;Finance!BN3,'New Hires Forecast'!$G$5:$G$84,"&lt;="&amp;Finance!BO3,'New Hires Forecast'!$F$5:$F$84,"Finance")</f>
        <v>0</v>
      </c>
      <c r="BP8" s="781">
        <f>SUMIFS('New Hires Forecast'!$B$5:$B$84,'New Hires Forecast'!$G$5:$G$84,"&gt;"&amp;Finance!BO3,'New Hires Forecast'!$G$5:$G$84,"&lt;="&amp;Finance!BP3,'New Hires Forecast'!$F$5:$F$84,"Finance")</f>
        <v>0</v>
      </c>
      <c r="BQ8" s="781">
        <f>SUMIFS('New Hires Forecast'!$B$5:$B$84,'New Hires Forecast'!$G$5:$G$84,"&gt;"&amp;Finance!BP3,'New Hires Forecast'!$G$5:$G$84,"&lt;="&amp;Finance!BQ3,'New Hires Forecast'!$F$5:$F$84,"Finance")</f>
        <v>0</v>
      </c>
      <c r="BR8" s="781">
        <f>SUMIFS('New Hires Forecast'!$B$5:$B$84,'New Hires Forecast'!$G$5:$G$84,"&gt;"&amp;Finance!BQ3,'New Hires Forecast'!$G$5:$G$84,"&lt;="&amp;Finance!BR3,'New Hires Forecast'!$F$5:$F$84,"Finance")</f>
        <v>0</v>
      </c>
      <c r="BS8" s="781">
        <f>SUMIFS('New Hires Forecast'!$B$5:$B$84,'New Hires Forecast'!$G$5:$G$84,"&gt;"&amp;Finance!BR3,'New Hires Forecast'!$G$5:$G$84,"&lt;="&amp;Finance!BS3,'New Hires Forecast'!$F$5:$F$84,"Finance")</f>
        <v>0</v>
      </c>
      <c r="BT8" s="781">
        <f>SUMIFS('New Hires Forecast'!$B$5:$B$84,'New Hires Forecast'!$G$5:$G$84,"&gt;"&amp;Finance!BS3,'New Hires Forecast'!$G$5:$G$84,"&lt;="&amp;Finance!BT3,'New Hires Forecast'!$F$5:$F$84,"Finance")</f>
        <v>0</v>
      </c>
      <c r="BU8" s="781">
        <f>SUMIFS('New Hires Forecast'!$B$5:$B$84,'New Hires Forecast'!$G$5:$G$84,"&gt;"&amp;Finance!BT3,'New Hires Forecast'!$G$5:$G$84,"&lt;="&amp;Finance!BU3,'New Hires Forecast'!$F$5:$F$84,"Finance")</f>
        <v>0</v>
      </c>
      <c r="BV8" s="781">
        <f>SUMIFS('New Hires Forecast'!$B$5:$B$84,'New Hires Forecast'!$G$5:$G$84,"&gt;"&amp;Finance!BU3,'New Hires Forecast'!$G$5:$G$84,"&lt;="&amp;Finance!BV3,'New Hires Forecast'!$F$5:$F$84,"Finance")</f>
        <v>0</v>
      </c>
    </row>
    <row r="9" spans="2:74" x14ac:dyDescent="0.25">
      <c r="B9" s="777" t="s">
        <v>149</v>
      </c>
      <c r="C9" s="781">
        <f>SUMIFS(Headcount!$B$6:$B$88,Headcount!$H$6:$H$88,"&gt;"&amp;B3,Headcount!$H$6:$H$88,"&lt;="&amp;C3,Headcount!$F$6:$F$88,"Finance")</f>
        <v>0</v>
      </c>
      <c r="D9" s="781">
        <f>SUMIFS(Headcount!$B$6:$B$88,Headcount!$H$6:$H$88,"&gt;"&amp;C3,Headcount!$H$6:$H$88,"&lt;="&amp;D3,Headcount!$F$6:$F$88,"Finance")</f>
        <v>0</v>
      </c>
      <c r="E9" s="781">
        <f>SUMIFS(Headcount!$B$6:$B$88,Headcount!$H$6:$H$88,"&gt;"&amp;D3,Headcount!$H$6:$H$88,"&lt;="&amp;E3,Headcount!$F$6:$F$88,"Finance")</f>
        <v>0</v>
      </c>
      <c r="F9" s="781">
        <f>SUMIFS(Headcount!$B$6:$B$88,Headcount!$H$6:$H$88,"&gt;"&amp;E3,Headcount!$H$6:$H$88,"&lt;="&amp;F3,Headcount!$F$6:$F$88,"Finance")</f>
        <v>0</v>
      </c>
      <c r="G9" s="781">
        <f>SUMIFS(Headcount!$B$6:$B$88,Headcount!$H$6:$H$88,"&gt;"&amp;F3,Headcount!$H$6:$H$88,"&lt;="&amp;G3,Headcount!$F$6:$F$88,"Finance")</f>
        <v>0</v>
      </c>
      <c r="H9" s="781">
        <f>SUMIFS(Headcount!$B$6:$B$88,Headcount!$H$6:$H$88,"&gt;"&amp;G3,Headcount!$H$6:$H$88,"&lt;="&amp;H3,Headcount!$F$6:$F$88,"Finance")</f>
        <v>0</v>
      </c>
      <c r="I9" s="781">
        <f>SUMIFS(Headcount!$B$6:$B$88,Headcount!$H$6:$H$88,"&gt;"&amp;H3,Headcount!$H$6:$H$88,"&lt;="&amp;I3,Headcount!$F$6:$F$88,"Finance")</f>
        <v>0</v>
      </c>
      <c r="J9" s="781">
        <f>SUMIFS(Headcount!$B$6:$B$88,Headcount!$H$6:$H$88,"&gt;"&amp;I3,Headcount!$H$6:$H$88,"&lt;="&amp;J3,Headcount!$F$6:$F$88,"Finance")</f>
        <v>0</v>
      </c>
      <c r="K9" s="781">
        <f>SUMIFS(Headcount!$B$6:$B$88,Headcount!$H$6:$H$88,"&gt;"&amp;J3,Headcount!$H$6:$H$88,"&lt;="&amp;K3,Headcount!$F$6:$F$88,"Finance")</f>
        <v>0</v>
      </c>
      <c r="L9" s="781">
        <f>SUMIFS(Headcount!$B$6:$B$88,Headcount!$H$6:$H$88,"&gt;"&amp;K3,Headcount!$H$6:$H$88,"&lt;="&amp;L3,Headcount!$F$6:$F$88,"Finance")</f>
        <v>0</v>
      </c>
      <c r="M9" s="781">
        <f>SUMIFS(Headcount!$B$6:$B$88,Headcount!$H$6:$H$88,"&gt;"&amp;L3,Headcount!$H$6:$H$88,"&lt;="&amp;M3,Headcount!$F$6:$F$88,"Finance")</f>
        <v>0</v>
      </c>
      <c r="N9" s="781">
        <f>SUMIFS(Headcount!$B$6:$B$88,Headcount!$H$6:$H$88,"&gt;"&amp;M3,Headcount!$H$6:$H$88,"&lt;="&amp;N3,Headcount!$F$6:$F$88,"Finance")</f>
        <v>0</v>
      </c>
      <c r="O9" s="781">
        <f>SUMIFS(Headcount!$B$6:$B$88,Headcount!$H$6:$H$88,"&gt;"&amp;N3,Headcount!$H$6:$H$88,"&lt;="&amp;O3,Headcount!$F$6:$F$88,"Finance")</f>
        <v>0</v>
      </c>
      <c r="P9" s="781">
        <f>SUMIFS(Headcount!$B$6:$B$88,Headcount!$H$6:$H$88,"&gt;"&amp;O3,Headcount!$H$6:$H$88,"&lt;="&amp;P3,Headcount!$F$6:$F$88,"Finance")</f>
        <v>0</v>
      </c>
      <c r="Q9" s="781">
        <f>SUMIFS(Headcount!$B$6:$B$88,Headcount!$H$6:$H$88,"&gt;"&amp;P3,Headcount!$H$6:$H$88,"&lt;="&amp;Q3,Headcount!$F$6:$F$88,"Finance")</f>
        <v>0</v>
      </c>
      <c r="R9" s="781">
        <f>SUMIFS(Headcount!$B$6:$B$88,Headcount!$H$6:$H$88,"&gt;"&amp;Q3,Headcount!$H$6:$H$88,"&lt;="&amp;R3,Headcount!$F$6:$F$88,"Finance")</f>
        <v>0</v>
      </c>
      <c r="S9" s="781">
        <f>SUMIFS(Headcount!$B$6:$B$88,Headcount!$H$6:$H$88,"&gt;"&amp;R3,Headcount!$H$6:$H$88,"&lt;="&amp;S3,Headcount!$F$6:$F$88,"Finance")</f>
        <v>0</v>
      </c>
      <c r="T9" s="781">
        <f>SUMIFS(Headcount!$B$6:$B$88,Headcount!$H$6:$H$88,"&gt;"&amp;S3,Headcount!$H$6:$H$88,"&lt;="&amp;T3,Headcount!$F$6:$F$88,"Finance")</f>
        <v>0</v>
      </c>
      <c r="U9" s="781">
        <f>SUMIFS(Headcount!$B$6:$B$88,Headcount!$H$6:$H$88,"&gt;"&amp;T3,Headcount!$H$6:$H$88,"&lt;="&amp;U3,Headcount!$F$6:$F$88,"Finance")</f>
        <v>0</v>
      </c>
      <c r="V9" s="781">
        <f>SUMIFS(Headcount!$B$6:$B$88,Headcount!$H$6:$H$88,"&gt;"&amp;U3,Headcount!$H$6:$H$88,"&lt;="&amp;V3,Headcount!$F$6:$F$88,"Finance")</f>
        <v>0</v>
      </c>
      <c r="W9" s="781">
        <f>SUMIFS(Headcount!$B$6:$B$88,Headcount!$H$6:$H$88,"&gt;"&amp;V3,Headcount!$H$6:$H$88,"&lt;="&amp;W3,Headcount!$F$6:$F$88,"Finance")</f>
        <v>0</v>
      </c>
      <c r="X9" s="781">
        <f>SUMIFS(Headcount!$B$6:$B$88,Headcount!$H$6:$H$88,"&gt;"&amp;W3,Headcount!$H$6:$H$88,"&lt;="&amp;X3,Headcount!$F$6:$F$88,"Finance")</f>
        <v>0</v>
      </c>
      <c r="Y9" s="781">
        <f>SUMIFS(Headcount!$B$6:$B$88,Headcount!$H$6:$H$88,"&gt;"&amp;X3,Headcount!$H$6:$H$88,"&lt;="&amp;Y3,Headcount!$F$6:$F$88,"Finance")</f>
        <v>0</v>
      </c>
      <c r="Z9" s="781">
        <f>SUMIFS(Headcount!$B$6:$B$88,Headcount!$H$6:$H$88,"&gt;"&amp;Y3,Headcount!$H$6:$H$88,"&lt;="&amp;Z3,Headcount!$F$6:$F$88,"Finance")</f>
        <v>0</v>
      </c>
      <c r="AA9" s="781">
        <f>SUMIFS(Headcount!$B$6:$B$88,Headcount!$H$6:$H$88,"&gt;"&amp;Z3,Headcount!$H$6:$H$88,"&lt;="&amp;AA3,Headcount!$F$6:$F$88,"Finance")</f>
        <v>0</v>
      </c>
      <c r="AB9" s="781">
        <f>SUMIFS(Headcount!$B$6:$B$88,Headcount!$H$6:$H$88,"&gt;"&amp;AA3,Headcount!$H$6:$H$88,"&lt;="&amp;AB3,Headcount!$F$6:$F$88,"Finance")</f>
        <v>0</v>
      </c>
      <c r="AC9" s="781">
        <f>SUMIFS(Headcount!$B$6:$B$88,Headcount!$H$6:$H$88,"&gt;"&amp;AB3,Headcount!$H$6:$H$88,"&lt;="&amp;AC3,Headcount!$F$6:$F$88,"Finance")</f>
        <v>0</v>
      </c>
      <c r="AD9" s="781">
        <f>SUMIFS(Headcount!$B$6:$B$88,Headcount!$H$6:$H$88,"&gt;"&amp;AC3,Headcount!$H$6:$H$88,"&lt;="&amp;AD3,Headcount!$F$6:$F$88,"Finance")</f>
        <v>0</v>
      </c>
      <c r="AE9" s="781">
        <f>SUMIFS(Headcount!$B$6:$B$88,Headcount!$H$6:$H$88,"&gt;"&amp;AD3,Headcount!$H$6:$H$88,"&lt;="&amp;AE3,Headcount!$F$6:$F$88,"Finance")</f>
        <v>0</v>
      </c>
      <c r="AF9" s="781">
        <f>SUMIFS(Headcount!$B$6:$B$88,Headcount!$H$6:$H$88,"&gt;"&amp;AE3,Headcount!$H$6:$H$88,"&lt;="&amp;AF3,Headcount!$F$6:$F$88,"Finance")</f>
        <v>0</v>
      </c>
      <c r="AG9" s="781">
        <f>SUMIFS(Headcount!$B$6:$B$88,Headcount!$H$6:$H$88,"&gt;"&amp;AF3,Headcount!$H$6:$H$88,"&lt;="&amp;AG3,Headcount!$F$6:$F$88,"Finance")</f>
        <v>0</v>
      </c>
      <c r="AH9" s="781">
        <f>SUMIFS(Headcount!$B$6:$B$88,Headcount!$H$6:$H$88,"&gt;"&amp;AG3,Headcount!$H$6:$H$88,"&lt;="&amp;AH3,Headcount!$F$6:$F$88,"Finance")</f>
        <v>0</v>
      </c>
      <c r="AI9" s="781">
        <f>SUMIFS(Headcount!$B$6:$B$88,Headcount!$H$6:$H$88,"&gt;"&amp;AH3,Headcount!$H$6:$H$88,"&lt;="&amp;AI3,Headcount!$F$6:$F$88,"Finance")</f>
        <v>0</v>
      </c>
      <c r="AJ9" s="781">
        <f>SUMIFS(Headcount!$B$6:$B$88,Headcount!$H$6:$H$88,"&gt;"&amp;AI3,Headcount!$H$6:$H$88,"&lt;="&amp;AJ3,Headcount!$F$6:$F$88,"Finance")</f>
        <v>0</v>
      </c>
      <c r="AK9" s="781">
        <f>SUMIFS(Headcount!$B$6:$B$88,Headcount!$H$6:$H$88,"&gt;"&amp;AJ3,Headcount!$H$6:$H$88,"&lt;="&amp;AK3,Headcount!$F$6:$F$88,"Finance")</f>
        <v>0</v>
      </c>
      <c r="AL9" s="781">
        <f>SUMIFS(Headcount!$B$6:$B$88,Headcount!$H$6:$H$88,"&gt;"&amp;AK3,Headcount!$H$6:$H$88,"&lt;="&amp;AL3,Headcount!$F$6:$F$88,"Finance")</f>
        <v>0</v>
      </c>
      <c r="AM9" s="781">
        <f>SUMIFS(Headcount!$B$6:$B$88,Headcount!$H$6:$H$88,"&gt;"&amp;AL3,Headcount!$H$6:$H$88,"&lt;="&amp;AM3,Headcount!$F$6:$F$88,"Finance")</f>
        <v>0</v>
      </c>
      <c r="AN9" s="781">
        <f>SUMIFS(Headcount!$B$6:$B$88,Headcount!$H$6:$H$88,"&gt;"&amp;AM3,Headcount!$H$6:$H$88,"&lt;="&amp;AN3,Headcount!$F$6:$F$88,"Finance")</f>
        <v>0</v>
      </c>
      <c r="AO9" s="781">
        <f>SUMIFS(Headcount!$B$6:$B$88,Headcount!$H$6:$H$88,"&gt;"&amp;AN3,Headcount!$H$6:$H$88,"&lt;="&amp;AO3,Headcount!$F$6:$F$88,"Finance")</f>
        <v>0</v>
      </c>
      <c r="AP9" s="781">
        <f>SUMIFS(Headcount!$B$6:$B$88,Headcount!$H$6:$H$88,"&gt;"&amp;AO3,Headcount!$H$6:$H$88,"&lt;="&amp;AP3,Headcount!$F$6:$F$88,"Finance")</f>
        <v>0</v>
      </c>
      <c r="AQ9" s="781">
        <f>SUMIFS(Headcount!$B$6:$B$88,Headcount!$H$6:$H$88,"&gt;"&amp;AP3,Headcount!$H$6:$H$88,"&lt;="&amp;AQ3,Headcount!$F$6:$F$88,"Finance")</f>
        <v>0</v>
      </c>
      <c r="AR9" s="781">
        <f>SUMIFS(Headcount!$B$6:$B$88,Headcount!$H$6:$H$88,"&gt;"&amp;AQ3,Headcount!$H$6:$H$88,"&lt;="&amp;AR3,Headcount!$F$6:$F$88,"Finance")</f>
        <v>0</v>
      </c>
      <c r="AS9" s="781">
        <f>SUMIFS(Headcount!$B$6:$B$88,Headcount!$H$6:$H$88,"&gt;"&amp;AR3,Headcount!$H$6:$H$88,"&lt;="&amp;AS3,Headcount!$F$6:$F$88,"Finance")</f>
        <v>0</v>
      </c>
      <c r="AT9" s="781">
        <f>SUMIFS(Headcount!$B$6:$B$88,Headcount!$H$6:$H$88,"&gt;"&amp;AS3,Headcount!$H$6:$H$88,"&lt;="&amp;AT3,Headcount!$F$6:$F$88,"Finance")</f>
        <v>0</v>
      </c>
      <c r="AU9" s="781">
        <f>SUMIFS(Headcount!$B$6:$B$88,Headcount!$H$6:$H$88,"&gt;"&amp;AT3,Headcount!$H$6:$H$88,"&lt;="&amp;AU3,Headcount!$F$6:$F$88,"Finance")</f>
        <v>0</v>
      </c>
      <c r="AV9" s="781">
        <f>SUMIFS(Headcount!$B$6:$B$88,Headcount!$H$6:$H$88,"&gt;"&amp;AU3,Headcount!$H$6:$H$88,"&lt;="&amp;AV3,Headcount!$F$6:$F$88,"Finance")</f>
        <v>0</v>
      </c>
      <c r="AW9" s="781">
        <f>SUMIFS(Headcount!$B$6:$B$88,Headcount!$H$6:$H$88,"&gt;"&amp;AV3,Headcount!$H$6:$H$88,"&lt;="&amp;AW3,Headcount!$F$6:$F$88,"Finance")</f>
        <v>0</v>
      </c>
      <c r="AX9" s="781">
        <f>SUMIFS(Headcount!$B$6:$B$88,Headcount!$H$6:$H$88,"&gt;"&amp;AW3,Headcount!$H$6:$H$88,"&lt;="&amp;AX3,Headcount!$F$6:$F$88,"Finance")</f>
        <v>0</v>
      </c>
      <c r="AY9" s="781">
        <f>SUMIFS(Headcount!$B$6:$B$88,Headcount!$H$6:$H$88,"&gt;"&amp;AX3,Headcount!$H$6:$H$88,"&lt;="&amp;AY3,Headcount!$F$6:$F$88,"Finance")</f>
        <v>0</v>
      </c>
      <c r="AZ9" s="781">
        <f>SUMIFS(Headcount!$B$6:$B$88,Headcount!$H$6:$H$88,"&gt;"&amp;AY3,Headcount!$H$6:$H$88,"&lt;="&amp;AZ3,Headcount!$F$6:$F$88,"Finance")</f>
        <v>0</v>
      </c>
      <c r="BA9" s="781">
        <f>SUMIFS(Headcount!$B$6:$B$88,Headcount!$H$6:$H$88,"&gt;"&amp;AZ3,Headcount!$H$6:$H$88,"&lt;="&amp;BA3,Headcount!$F$6:$F$88,"Finance")</f>
        <v>0</v>
      </c>
      <c r="BB9" s="781">
        <f>SUMIFS(Headcount!$B$6:$B$88,Headcount!$H$6:$H$88,"&gt;"&amp;BA3,Headcount!$H$6:$H$88,"&lt;="&amp;BB3,Headcount!$F$6:$F$88,"Finance")</f>
        <v>0</v>
      </c>
      <c r="BC9" s="781">
        <f>SUMIFS(Headcount!$B$6:$B$88,Headcount!$H$6:$H$88,"&gt;"&amp;BB3,Headcount!$H$6:$H$88,"&lt;="&amp;BC3,Headcount!$F$6:$F$88,"Finance")</f>
        <v>0</v>
      </c>
      <c r="BD9" s="781">
        <f>SUMIFS(Headcount!$B$6:$B$88,Headcount!$H$6:$H$88,"&gt;"&amp;BC3,Headcount!$H$6:$H$88,"&lt;="&amp;BD3,Headcount!$F$6:$F$88,"Finance")</f>
        <v>0</v>
      </c>
      <c r="BE9" s="781">
        <f>SUMIFS(Headcount!$B$6:$B$88,Headcount!$H$6:$H$88,"&gt;"&amp;BD3,Headcount!$H$6:$H$88,"&lt;="&amp;BE3,Headcount!$F$6:$F$88,"Finance")</f>
        <v>0</v>
      </c>
      <c r="BF9" s="781">
        <f>SUMIFS(Headcount!$B$6:$B$88,Headcount!$H$6:$H$88,"&gt;"&amp;BE3,Headcount!$H$6:$H$88,"&lt;="&amp;BF3,Headcount!$F$6:$F$88,"Finance")</f>
        <v>0</v>
      </c>
      <c r="BG9" s="781">
        <f>SUMIFS(Headcount!$B$6:$B$88,Headcount!$H$6:$H$88,"&gt;"&amp;BF3,Headcount!$H$6:$H$88,"&lt;="&amp;BG3,Headcount!$F$6:$F$88,"Finance")</f>
        <v>0</v>
      </c>
      <c r="BH9" s="781">
        <f>SUMIFS(Headcount!$B$6:$B$88,Headcount!$H$6:$H$88,"&gt;"&amp;BG3,Headcount!$H$6:$H$88,"&lt;="&amp;BH3,Headcount!$F$6:$F$88,"Finance")</f>
        <v>0</v>
      </c>
      <c r="BI9" s="781">
        <f>SUMIFS(Headcount!$B$6:$B$88,Headcount!$H$6:$H$88,"&gt;"&amp;BH3,Headcount!$H$6:$H$88,"&lt;="&amp;BI3,Headcount!$F$6:$F$88,"Finance")</f>
        <v>0</v>
      </c>
      <c r="BJ9" s="781">
        <f>SUMIFS(Headcount!$B$6:$B$88,Headcount!$H$6:$H$88,"&gt;"&amp;BI3,Headcount!$H$6:$H$88,"&lt;="&amp;BJ3,Headcount!$F$6:$F$88,"Finance")</f>
        <v>0</v>
      </c>
      <c r="BK9" s="781">
        <f>SUMIFS(Headcount!$B$6:$B$88,Headcount!$H$6:$H$88,"&gt;"&amp;BJ3,Headcount!$H$6:$H$88,"&lt;="&amp;BK3,Headcount!$F$6:$F$88,"Finance")</f>
        <v>0</v>
      </c>
      <c r="BL9" s="781">
        <f>SUMIFS(Headcount!$B$6:$B$88,Headcount!$H$6:$H$88,"&gt;"&amp;BK3,Headcount!$H$6:$H$88,"&lt;="&amp;BL3,Headcount!$F$6:$F$88,"Finance")</f>
        <v>0</v>
      </c>
      <c r="BM9" s="781">
        <f>SUMIFS(Headcount!$B$6:$B$88,Headcount!$H$6:$H$88,"&gt;"&amp;BL3,Headcount!$H$6:$H$88,"&lt;="&amp;BM3,Headcount!$F$6:$F$88,"Finance")</f>
        <v>0</v>
      </c>
      <c r="BN9" s="781">
        <f>SUMIFS(Headcount!$B$6:$B$88,Headcount!$H$6:$H$88,"&gt;"&amp;BM3,Headcount!$H$6:$H$88,"&lt;="&amp;BN3,Headcount!$F$6:$F$88,"Finance")</f>
        <v>0</v>
      </c>
      <c r="BO9" s="781">
        <f>SUMIFS(Headcount!$B$6:$B$88,Headcount!$H$6:$H$88,"&gt;"&amp;BN3,Headcount!$H$6:$H$88,"&lt;="&amp;BO3,Headcount!$F$6:$F$88,"Finance")</f>
        <v>0</v>
      </c>
      <c r="BP9" s="781">
        <f>SUMIFS(Headcount!$B$6:$B$88,Headcount!$H$6:$H$88,"&gt;"&amp;BO3,Headcount!$H$6:$H$88,"&lt;="&amp;BP3,Headcount!$F$6:$F$88,"Finance")</f>
        <v>0</v>
      </c>
      <c r="BQ9" s="781">
        <f>SUMIFS(Headcount!$B$6:$B$88,Headcount!$H$6:$H$88,"&gt;"&amp;BP3,Headcount!$H$6:$H$88,"&lt;="&amp;BQ3,Headcount!$F$6:$F$88,"Finance")</f>
        <v>0</v>
      </c>
      <c r="BR9" s="781">
        <f>SUMIFS(Headcount!$B$6:$B$88,Headcount!$H$6:$H$88,"&gt;"&amp;BQ3,Headcount!$H$6:$H$88,"&lt;="&amp;BR3,Headcount!$F$6:$F$88,"Finance")</f>
        <v>0</v>
      </c>
      <c r="BS9" s="781">
        <f>SUMIFS(Headcount!$B$6:$B$88,Headcount!$H$6:$H$88,"&gt;"&amp;BR3,Headcount!$H$6:$H$88,"&lt;="&amp;BS3,Headcount!$F$6:$F$88,"Finance")</f>
        <v>0</v>
      </c>
      <c r="BT9" s="781">
        <f>SUMIFS(Headcount!$B$6:$B$88,Headcount!$H$6:$H$88,"&gt;"&amp;BS3,Headcount!$H$6:$H$88,"&lt;="&amp;BT3,Headcount!$F$6:$F$88,"Finance")</f>
        <v>0</v>
      </c>
      <c r="BU9" s="781">
        <f>SUMIFS(Headcount!$B$6:$B$88,Headcount!$H$6:$H$88,"&gt;"&amp;BT3,Headcount!$H$6:$H$88,"&lt;="&amp;BU3,Headcount!$F$6:$F$88,"Finance")</f>
        <v>0</v>
      </c>
      <c r="BV9" s="781">
        <f>SUMIFS(Headcount!$B$6:$B$88,Headcount!$H$6:$H$88,"&gt;"&amp;BU3,Headcount!$H$6:$H$88,"&lt;="&amp;BV3,Headcount!$F$6:$F$88,"Finance")</f>
        <v>0</v>
      </c>
    </row>
    <row r="10" spans="2:74" x14ac:dyDescent="0.25">
      <c r="B10" s="783"/>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784"/>
    </row>
    <row r="11" spans="2:74" x14ac:dyDescent="0.25">
      <c r="B11" s="785" t="s">
        <v>926</v>
      </c>
      <c r="C11" s="786"/>
      <c r="D11" s="786"/>
      <c r="E11" s="786"/>
      <c r="F11" s="786"/>
      <c r="G11" s="786"/>
      <c r="H11" s="786"/>
      <c r="I11" s="786"/>
      <c r="J11" s="786"/>
      <c r="K11" s="786"/>
      <c r="L11" s="786"/>
      <c r="M11" s="786"/>
      <c r="N11" s="786"/>
      <c r="O11" s="787"/>
      <c r="P11" s="787"/>
      <c r="Q11" s="787"/>
      <c r="R11" s="787"/>
      <c r="S11" s="787"/>
      <c r="T11" s="787"/>
      <c r="U11" s="787"/>
      <c r="V11" s="787"/>
      <c r="W11" s="787"/>
      <c r="X11" s="787"/>
      <c r="Y11" s="787"/>
      <c r="Z11" s="787"/>
      <c r="AA11" s="787"/>
      <c r="AB11" s="787"/>
      <c r="AC11" s="787"/>
      <c r="AD11" s="787"/>
      <c r="AE11" s="787"/>
      <c r="AF11" s="787"/>
      <c r="AG11" s="787"/>
      <c r="AH11" s="787"/>
      <c r="AI11" s="787"/>
      <c r="AJ11" s="787"/>
      <c r="AK11" s="787"/>
      <c r="AL11" s="787"/>
      <c r="AM11" s="787"/>
      <c r="AN11" s="787"/>
      <c r="AO11" s="787"/>
      <c r="AP11" s="787"/>
      <c r="AQ11" s="787"/>
      <c r="AR11" s="787"/>
      <c r="AS11" s="787"/>
      <c r="AT11" s="787"/>
      <c r="AU11" s="787"/>
      <c r="AV11" s="787"/>
      <c r="AW11" s="787"/>
      <c r="AX11" s="787"/>
      <c r="AY11" s="787"/>
      <c r="AZ11" s="787"/>
      <c r="BA11" s="787"/>
      <c r="BB11" s="787"/>
      <c r="BC11" s="787"/>
      <c r="BD11" s="787"/>
      <c r="BE11" s="787"/>
      <c r="BF11" s="787"/>
      <c r="BG11" s="787"/>
      <c r="BH11" s="787"/>
      <c r="BI11" s="787"/>
      <c r="BJ11" s="787"/>
      <c r="BK11" s="787"/>
      <c r="BL11" s="787"/>
      <c r="BM11" s="787"/>
      <c r="BN11" s="787"/>
      <c r="BO11" s="787"/>
      <c r="BP11" s="787"/>
      <c r="BQ11" s="787"/>
      <c r="BR11" s="787"/>
      <c r="BS11" s="787"/>
      <c r="BT11" s="787"/>
      <c r="BU11" s="787"/>
      <c r="BV11" s="788"/>
    </row>
    <row r="12" spans="2:74" x14ac:dyDescent="0.25">
      <c r="B12" s="780" t="s">
        <v>927</v>
      </c>
      <c r="C12" s="1139">
        <f ca="1">IF(C$4="forecast",IF(YEAR(C$3)=YEAR(Headcount!$N$4),((SUMIFS(Headcount!$N$6:$N$89,Headcount!$F$6:$F$89,"Finance",Headcount!$H$6:$H$89,"&gt;="&amp;Finance!C$3)/12)),IF(YEAR(C$3)=YEAR(Headcount!$O$4),IF((C$5=2),((SUMIFS(Headcount!$O$6:$O$89,Headcount!$F$6:$F$89,"Finance",Headcount!$H$6:$H$89,"&gt;="&amp;Finance!C$3)/12)),B12),IF(YEAR(C$3)=YEAR(Headcount!$P$4),IF((C$5=2),((SUMIFS(Headcount!$P$6:$P$89,Headcount!$F$6:$F$89,"Finance",Headcount!$H$6:$H$89,"&gt;="&amp;Finance!C$3)/12)),B12),IF(YEAR(C$3)=YEAR(Headcount!$Q$4),IF((C$5=2),((SUMIFS(Headcount!$Q$6:$Q$89,Headcount!$F$6:$F$89,"Finance",Headcount!$H$6:$H$89,"&gt;="&amp;Finance!C$3)/12)),B12),IF(YEAR(C$3)=YEAR(Headcount!$R$4),IF((C$5=2),((SUMIFS(Headcount!$R$6:$R$89,Headcount!$F$6:$F$89,"Finance",Headcount!$H$6:$H$89,"&gt;="&amp;Finance!C$3)/12)),B12),"New Year"))))),SUMIF('Dept. Cost Actuals'!$E$7:$E$176,"*salary*",'Dept. Cost Actuals'!G$529:G$628))</f>
        <v>8393.34</v>
      </c>
      <c r="D12" s="1139">
        <f ca="1">IF(D$4="forecast",IF(YEAR(D$3)=YEAR(Headcount!$N$4),((SUMIFS(Headcount!$N$6:$N$89,Headcount!$F$6:$F$89,"Finance",Headcount!$H$6:$H$89,"&gt;="&amp;Finance!D$3)/12)),IF(YEAR(D$3)=YEAR(Headcount!$O$4),IF((D$5=2),((SUMIFS(Headcount!$O$6:$O$89,Headcount!$F$6:$F$89,"Finance",Headcount!$H$6:$H$89,"&gt;="&amp;Finance!D$3)/12)),C12),IF(YEAR(D$3)=YEAR(Headcount!$P$4),IF((D$5=2),((SUMIFS(Headcount!$P$6:$P$89,Headcount!$F$6:$F$89,"Finance",Headcount!$H$6:$H$89,"&gt;="&amp;Finance!D$3)/12)),C12),IF(YEAR(D$3)=YEAR(Headcount!$Q$4),IF((D$5=2),((SUMIFS(Headcount!$Q$6:$Q$89,Headcount!$F$6:$F$89,"Finance",Headcount!$H$6:$H$89,"&gt;="&amp;Finance!D$3)/12)),C12),IF(YEAR(D$3)=YEAR(Headcount!$R$4),IF((D$5=2),((SUMIFS(Headcount!$R$6:$R$89,Headcount!$F$6:$F$89,"Finance",Headcount!$H$6:$H$89,"&gt;="&amp;Finance!D$3)/12)),C12),"New Year"))))),SUMIF('Dept. Cost Actuals'!$E$7:$E$176,"*salary*",'Dept. Cost Actuals'!H$529:H$628))</f>
        <v>8393.34</v>
      </c>
      <c r="E12" s="1139">
        <f ca="1">IF(E$4="forecast",IF(YEAR(E$3)=YEAR(Headcount!$N$4),((SUMIFS(Headcount!$N$6:$N$89,Headcount!$F$6:$F$89,"Finance",Headcount!$H$6:$H$89,"&gt;="&amp;Finance!E$3)/12)),IF(YEAR(E$3)=YEAR(Headcount!$O$4),IF((E$5=2),((SUMIFS(Headcount!$O$6:$O$89,Headcount!$F$6:$F$89,"Finance",Headcount!$H$6:$H$89,"&gt;="&amp;Finance!E$3)/12)),D12),IF(YEAR(E$3)=YEAR(Headcount!$P$4),IF((E$5=2),((SUMIFS(Headcount!$P$6:$P$89,Headcount!$F$6:$F$89,"Finance",Headcount!$H$6:$H$89,"&gt;="&amp;Finance!E$3)/12)),D12),IF(YEAR(E$3)=YEAR(Headcount!$Q$4),IF((E$5=2),((SUMIFS(Headcount!$Q$6:$Q$89,Headcount!$F$6:$F$89,"Finance",Headcount!$H$6:$H$89,"&gt;="&amp;Finance!E$3)/12)),D12),IF(YEAR(E$3)=YEAR(Headcount!$R$4),IF((E$5=2),((SUMIFS(Headcount!$R$6:$R$89,Headcount!$F$6:$F$89,"Finance",Headcount!$H$6:$H$89,"&gt;="&amp;Finance!E$3)/12)),D12),"New Year"))))),SUMIF('Dept. Cost Actuals'!$E$7:$E$176,"*salary*",'Dept. Cost Actuals'!I$529:I$628))</f>
        <v>8503.34</v>
      </c>
      <c r="F12" s="1139">
        <f ca="1">IF(F$4="forecast",IF(YEAR(F$3)=YEAR(Headcount!$N$4),((SUMIFS(Headcount!$N$6:$N$89,Headcount!$F$6:$F$89,"Finance",Headcount!$H$6:$H$89,"&gt;="&amp;Finance!F$3)/12)),IF(YEAR(F$3)=YEAR(Headcount!$O$4),IF((F$5=2),((SUMIFS(Headcount!$O$6:$O$89,Headcount!$F$6:$F$89,"Finance",Headcount!$H$6:$H$89,"&gt;="&amp;Finance!F$3)/12)),E12),IF(YEAR(F$3)=YEAR(Headcount!$P$4),IF((F$5=2),((SUMIFS(Headcount!$P$6:$P$89,Headcount!$F$6:$F$89,"Finance",Headcount!$H$6:$H$89,"&gt;="&amp;Finance!F$3)/12)),E12),IF(YEAR(F$3)=YEAR(Headcount!$Q$4),IF((F$5=2),((SUMIFS(Headcount!$Q$6:$Q$89,Headcount!$F$6:$F$89,"Finance",Headcount!$H$6:$H$89,"&gt;="&amp;Finance!F$3)/12)),E12),IF(YEAR(F$3)=YEAR(Headcount!$R$4),IF((F$5=2),((SUMIFS(Headcount!$R$6:$R$89,Headcount!$F$6:$F$89,"Finance",Headcount!$H$6:$H$89,"&gt;="&amp;Finance!F$3)/12)),E12),"New Year"))))),SUMIF('Dept. Cost Actuals'!$E$7:$E$176,"*salary*",'Dept. Cost Actuals'!J$529:J$628))</f>
        <v>9153.34</v>
      </c>
      <c r="G12" s="1139">
        <f ca="1">IF(G$4="forecast",IF(YEAR(G$3)=YEAR(Headcount!$N$4),((SUMIFS(Headcount!$N$6:$N$89,Headcount!$F$6:$F$89,"Finance",Headcount!$H$6:$H$89,"&gt;="&amp;Finance!G$3)/12)),IF(YEAR(G$3)=YEAR(Headcount!$O$4),IF((G$5=2),((SUMIFS(Headcount!$O$6:$O$89,Headcount!$F$6:$F$89,"Finance",Headcount!$H$6:$H$89,"&gt;="&amp;Finance!G$3)/12)),F12),IF(YEAR(G$3)=YEAR(Headcount!$P$4),IF((G$5=2),((SUMIFS(Headcount!$P$6:$P$89,Headcount!$F$6:$F$89,"Finance",Headcount!$H$6:$H$89,"&gt;="&amp;Finance!G$3)/12)),F12),IF(YEAR(G$3)=YEAR(Headcount!$Q$4),IF((G$5=2),((SUMIFS(Headcount!$Q$6:$Q$89,Headcount!$F$6:$F$89,"Finance",Headcount!$H$6:$H$89,"&gt;="&amp;Finance!G$3)/12)),F12),IF(YEAR(G$3)=YEAR(Headcount!$R$4),IF((G$5=2),((SUMIFS(Headcount!$R$6:$R$89,Headcount!$F$6:$F$89,"Finance",Headcount!$H$6:$H$89,"&gt;="&amp;Finance!G$3)/12)),F12),"New Year"))))),SUMIF('Dept. Cost Actuals'!$E$7:$E$176,"*salary*",'Dept. Cost Actuals'!K$529:K$628))</f>
        <v>6460.67</v>
      </c>
      <c r="H12" s="1139">
        <f ca="1">IF(H$4="forecast",IF(YEAR(H$3)=YEAR(Headcount!$N$4),((SUMIFS(Headcount!$N$6:$N$89,Headcount!$F$6:$F$89,"Finance",Headcount!$H$6:$H$89,"&gt;="&amp;Finance!H$3)/12)),IF(YEAR(H$3)=YEAR(Headcount!$O$4),IF((H$5=2),((SUMIFS(Headcount!$O$6:$O$89,Headcount!$F$6:$F$89,"Finance",Headcount!$H$6:$H$89,"&gt;="&amp;Finance!H$3)/12)),G12),IF(YEAR(H$3)=YEAR(Headcount!$P$4),IF((H$5=2),((SUMIFS(Headcount!$P$6:$P$89,Headcount!$F$6:$F$89,"Finance",Headcount!$H$6:$H$89,"&gt;="&amp;Finance!H$3)/12)),G12),IF(YEAR(H$3)=YEAR(Headcount!$Q$4),IF((H$5=2),((SUMIFS(Headcount!$Q$6:$Q$89,Headcount!$F$6:$F$89,"Finance",Headcount!$H$6:$H$89,"&gt;="&amp;Finance!H$3)/12)),G12),IF(YEAR(H$3)=YEAR(Headcount!$R$4),IF((H$5=2),((SUMIFS(Headcount!$R$6:$R$89,Headcount!$F$6:$F$89,"Finance",Headcount!$H$6:$H$89,"&gt;="&amp;Finance!H$3)/12)),G12),"New Year"))))),SUMIF('Dept. Cost Actuals'!$E$7:$E$176,"*salary*",'Dept. Cost Actuals'!L$529:L$628))</f>
        <v>9833.34</v>
      </c>
      <c r="I12" s="1139">
        <f ca="1">IF(I$4="forecast",IF(YEAR(I$3)=YEAR(Headcount!$N$4),((SUMIFS(Headcount!$N$6:$N$89,Headcount!$F$6:$F$89,"Finance",Headcount!$H$6:$H$89,"&gt;="&amp;Finance!I$3)/12)),IF(YEAR(I$3)=YEAR(Headcount!$O$4),IF((I$5=2),((SUMIFS(Headcount!$O$6:$O$89,Headcount!$F$6:$F$89,"Finance",Headcount!$H$6:$H$89,"&gt;="&amp;Finance!I$3)/12)),H12),IF(YEAR(I$3)=YEAR(Headcount!$P$4),IF((I$5=2),((SUMIFS(Headcount!$P$6:$P$89,Headcount!$F$6:$F$89,"Finance",Headcount!$H$6:$H$89,"&gt;="&amp;Finance!I$3)/12)),H12),IF(YEAR(I$3)=YEAR(Headcount!$Q$4),IF((I$5=2),((SUMIFS(Headcount!$Q$6:$Q$89,Headcount!$F$6:$F$89,"Finance",Headcount!$H$6:$H$89,"&gt;="&amp;Finance!I$3)/12)),H12),IF(YEAR(I$3)=YEAR(Headcount!$R$4),IF((I$5=2),((SUMIFS(Headcount!$R$6:$R$89,Headcount!$F$6:$F$89,"Finance",Headcount!$H$6:$H$89,"&gt;="&amp;Finance!I$3)/12)),H12),"New Year"))))),SUMIF('Dept. Cost Actuals'!$E$7:$E$176,"*salary*",'Dept. Cost Actuals'!M$529:M$628))</f>
        <v>8893.34</v>
      </c>
      <c r="J12" s="1139">
        <f ca="1">IF(J$4="forecast",IF(YEAR(J$3)=YEAR(Headcount!$N$4),((SUMIFS(Headcount!$N$6:$N$89,Headcount!$F$6:$F$89,"Finance",Headcount!$H$6:$H$89,"&gt;="&amp;Finance!J$3)/12)),IF(YEAR(J$3)=YEAR(Headcount!$O$4),IF((J$5=2),((SUMIFS(Headcount!$O$6:$O$89,Headcount!$F$6:$F$89,"Finance",Headcount!$H$6:$H$89,"&gt;="&amp;Finance!J$3)/12)),I12),IF(YEAR(J$3)=YEAR(Headcount!$P$4),IF((J$5=2),((SUMIFS(Headcount!$P$6:$P$89,Headcount!$F$6:$F$89,"Finance",Headcount!$H$6:$H$89,"&gt;="&amp;Finance!J$3)/12)),I12),IF(YEAR(J$3)=YEAR(Headcount!$Q$4),IF((J$5=2),((SUMIFS(Headcount!$Q$6:$Q$89,Headcount!$F$6:$F$89,"Finance",Headcount!$H$6:$H$89,"&gt;="&amp;Finance!J$3)/12)),I12),IF(YEAR(J$3)=YEAR(Headcount!$R$4),IF((J$5=2),((SUMIFS(Headcount!$R$6:$R$89,Headcount!$F$6:$F$89,"Finance",Headcount!$H$6:$H$89,"&gt;="&amp;Finance!J$3)/12)),I12),"New Year"))))),SUMIF('Dept. Cost Actuals'!$E$7:$E$176,"*salary*",'Dept. Cost Actuals'!N$529:N$628))</f>
        <v>11018.35</v>
      </c>
      <c r="K12" s="1139">
        <f ca="1">IF(K$4="forecast",IF(YEAR(K$3)=YEAR(Headcount!$N$4),((SUMIFS(Headcount!$N$6:$N$89,Headcount!$F$6:$F$89,"Finance",Headcount!$H$6:$H$89,"&gt;="&amp;Finance!K$3)/12)),IF(YEAR(K$3)=YEAR(Headcount!$O$4),IF((K$5=2),((SUMIFS(Headcount!$O$6:$O$89,Headcount!$F$6:$F$89,"Finance",Headcount!$H$6:$H$89,"&gt;="&amp;Finance!K$3)/12)),J12),IF(YEAR(K$3)=YEAR(Headcount!$P$4),IF((K$5=2),((SUMIFS(Headcount!$P$6:$P$89,Headcount!$F$6:$F$89,"Finance",Headcount!$H$6:$H$89,"&gt;="&amp;Finance!K$3)/12)),J12),IF(YEAR(K$3)=YEAR(Headcount!$Q$4),IF((K$5=2),((SUMIFS(Headcount!$Q$6:$Q$89,Headcount!$F$6:$F$89,"Finance",Headcount!$H$6:$H$89,"&gt;="&amp;Finance!K$3)/12)),J12),IF(YEAR(K$3)=YEAR(Headcount!$R$4),IF((K$5=2),((SUMIFS(Headcount!$R$6:$R$89,Headcount!$F$6:$F$89,"Finance",Headcount!$H$6:$H$89,"&gt;="&amp;Finance!K$3)/12)),J12),"New Year"))))),SUMIF('Dept. Cost Actuals'!$E$7:$E$176,"*salary*",'Dept. Cost Actuals'!O$529:O$628))</f>
        <v>9073.34</v>
      </c>
      <c r="L12" s="1139">
        <f ca="1">IF(L$4="forecast",IF(YEAR(L$3)=YEAR(Headcount!$N$4),((SUMIFS(Headcount!$N$6:$N$89,Headcount!$F$6:$F$89,"Finance",Headcount!$H$6:$H$89,"&gt;="&amp;Finance!L$3)/12)),IF(YEAR(L$3)=YEAR(Headcount!$O$4),IF((L$5=2),((SUMIFS(Headcount!$O$6:$O$89,Headcount!$F$6:$F$89,"Finance",Headcount!$H$6:$H$89,"&gt;="&amp;Finance!L$3)/12)),K12),IF(YEAR(L$3)=YEAR(Headcount!$P$4),IF((L$5=2),((SUMIFS(Headcount!$P$6:$P$89,Headcount!$F$6:$F$89,"Finance",Headcount!$H$6:$H$89,"&gt;="&amp;Finance!L$3)/12)),K12),IF(YEAR(L$3)=YEAR(Headcount!$Q$4),IF((L$5=2),((SUMIFS(Headcount!$Q$6:$Q$89,Headcount!$F$6:$F$89,"Finance",Headcount!$H$6:$H$89,"&gt;="&amp;Finance!L$3)/12)),K12),IF(YEAR(L$3)=YEAR(Headcount!$R$4),IF((L$5=2),((SUMIFS(Headcount!$R$6:$R$89,Headcount!$F$6:$F$89,"Finance",Headcount!$H$6:$H$89,"&gt;="&amp;Finance!L$3)/12)),K12),"New Year"))))),SUMIF('Dept. Cost Actuals'!$E$7:$E$176,"*salary*",'Dept. Cost Actuals'!P$529:P$628))</f>
        <v>10033.34</v>
      </c>
      <c r="M12" s="1139">
        <f ca="1">IF(M$4="forecast",IF(YEAR(M$3)=YEAR(Headcount!$N$4),((SUMIFS(Headcount!$N$6:$N$89,Headcount!$F$6:$F$89,"Finance",Headcount!$H$6:$H$89,"&gt;="&amp;Finance!M$3)/12)),IF(YEAR(M$3)=YEAR(Headcount!$O$4),IF((M$5=2),((SUMIFS(Headcount!$O$6:$O$89,Headcount!$F$6:$F$89,"Finance",Headcount!$H$6:$H$89,"&gt;="&amp;Finance!M$3)/12)),L12),IF(YEAR(M$3)=YEAR(Headcount!$P$4),IF((M$5=2),((SUMIFS(Headcount!$P$6:$P$89,Headcount!$F$6:$F$89,"Finance",Headcount!$H$6:$H$89,"&gt;="&amp;Finance!M$3)/12)),L12),IF(YEAR(M$3)=YEAR(Headcount!$Q$4),IF((M$5=2),((SUMIFS(Headcount!$Q$6:$Q$89,Headcount!$F$6:$F$89,"Finance",Headcount!$H$6:$H$89,"&gt;="&amp;Finance!M$3)/12)),L12),IF(YEAR(M$3)=YEAR(Headcount!$R$4),IF((M$5=2),((SUMIFS(Headcount!$R$6:$R$89,Headcount!$F$6:$F$89,"Finance",Headcount!$H$6:$H$89,"&gt;="&amp;Finance!M$3)/12)),L12),"New Year"))))),SUMIF('Dept. Cost Actuals'!$E$7:$E$176,"*salary*",'Dept. Cost Actuals'!Q$529:Q$628))</f>
        <v>13806.810000000001</v>
      </c>
      <c r="N12" s="1139">
        <f ca="1">IF(N$4="forecast",IF(YEAR(N$3)=YEAR(Headcount!$N$4),((SUMIFS(Headcount!$N$6:$N$89,Headcount!$F$6:$F$89,"Finance",Headcount!$H$6:$H$89,"&gt;="&amp;Finance!N$3)/12)),IF(YEAR(N$3)=YEAR(Headcount!$O$4),IF((N$5=2),((SUMIFS(Headcount!$O$6:$O$89,Headcount!$F$6:$F$89,"Finance",Headcount!$H$6:$H$89,"&gt;="&amp;Finance!N$3)/12)),M12),IF(YEAR(N$3)=YEAR(Headcount!$P$4),IF((N$5=2),((SUMIFS(Headcount!$P$6:$P$89,Headcount!$F$6:$F$89,"Finance",Headcount!$H$6:$H$89,"&gt;="&amp;Finance!N$3)/12)),M12),IF(YEAR(N$3)=YEAR(Headcount!$Q$4),IF((N$5=2),((SUMIFS(Headcount!$Q$6:$Q$89,Headcount!$F$6:$F$89,"Finance",Headcount!$H$6:$H$89,"&gt;="&amp;Finance!N$3)/12)),M12),IF(YEAR(N$3)=YEAR(Headcount!$R$4),IF((N$5=2),((SUMIFS(Headcount!$R$6:$R$89,Headcount!$F$6:$F$89,"Finance",Headcount!$H$6:$H$89,"&gt;="&amp;Finance!N$3)/12)),M12),"New Year"))))),SUMIF('Dept. Cost Actuals'!$E$7:$E$176,"*salary*",'Dept. Cost Actuals'!R$529:R$628))</f>
        <v>11515.74</v>
      </c>
      <c r="O12" s="1139">
        <f ca="1">IF(O$4="forecast",IF(YEAR(O$3)=YEAR(Headcount!$N$4),((SUMIFS(Headcount!$N$6:$N$89,Headcount!$F$6:$F$89,"Finance",Headcount!$H$6:$H$89,"&gt;="&amp;Finance!O$3)/12)),IF(YEAR(O$3)=YEAR(Headcount!$O$4),IF((O$5=2),((SUMIFS(Headcount!$O$6:$O$89,Headcount!$F$6:$F$89,"Finance",Headcount!$H$6:$H$89,"&gt;="&amp;Finance!O$3)/12)),N12),IF(YEAR(O$3)=YEAR(Headcount!$P$4),IF((O$5=2),((SUMIFS(Headcount!$P$6:$P$89,Headcount!$F$6:$F$89,"Finance",Headcount!$H$6:$H$89,"&gt;="&amp;Finance!O$3)/12)),N12),IF(YEAR(O$3)=YEAR(Headcount!$Q$4),IF((O$5=2),((SUMIFS(Headcount!$Q$6:$Q$89,Headcount!$F$6:$F$89,"Finance",Headcount!$H$6:$H$89,"&gt;="&amp;Finance!O$3)/12)),N12),IF(YEAR(O$3)=YEAR(Headcount!$R$4),IF((O$5=2),((SUMIFS(Headcount!$R$6:$R$89,Headcount!$F$6:$F$89,"Finance",Headcount!$H$6:$H$89,"&gt;="&amp;Finance!O$3)/12)),N12),"New Year"))))),SUMIF('Dept. Cost Actuals'!$E$7:$E$176,"*salary*",'Dept. Cost Actuals'!S$529:S$628))</f>
        <v>5644.4</v>
      </c>
      <c r="P12" s="1139">
        <f ca="1">IF(P$4="forecast",IF(YEAR(P$3)=YEAR(Headcount!$N$4),((SUMIFS(Headcount!$N$6:$N$89,Headcount!$F$6:$F$89,"Finance",Headcount!$H$6:$H$89,"&gt;="&amp;Finance!P$3)/12)),IF(YEAR(P$3)=YEAR(Headcount!$O$4),IF((P$5=2),((SUMIFS(Headcount!$O$6:$O$89,Headcount!$F$6:$F$89,"Finance",Headcount!$H$6:$H$89,"&gt;="&amp;Finance!P$3)/12)),O12),IF(YEAR(P$3)=YEAR(Headcount!$P$4),IF((P$5=2),((SUMIFS(Headcount!$P$6:$P$89,Headcount!$F$6:$F$89,"Finance",Headcount!$H$6:$H$89,"&gt;="&amp;Finance!P$3)/12)),O12),IF(YEAR(P$3)=YEAR(Headcount!$Q$4),IF((P$5=2),((SUMIFS(Headcount!$Q$6:$Q$89,Headcount!$F$6:$F$89,"Finance",Headcount!$H$6:$H$89,"&gt;="&amp;Finance!P$3)/12)),O12),IF(YEAR(P$3)=YEAR(Headcount!$R$4),IF((P$5=2),((SUMIFS(Headcount!$R$6:$R$89,Headcount!$F$6:$F$89,"Finance",Headcount!$H$6:$H$89,"&gt;="&amp;Finance!P$3)/12)),O12),"New Year"))))),SUMIF('Dept. Cost Actuals'!$E$7:$E$176,"*salary*",'Dept. Cost Actuals'!T$529:T$628))</f>
        <v>3940</v>
      </c>
      <c r="Q12" s="1139">
        <f ca="1">IF(Q$4="forecast",IF(YEAR(Q$3)=YEAR(Headcount!$N$4),((SUMIFS(Headcount!$N$6:$N$89,Headcount!$F$6:$F$89,"Finance",Headcount!$H$6:$H$89,"&gt;="&amp;Finance!Q$3)/12)),IF(YEAR(Q$3)=YEAR(Headcount!$O$4),IF((Q$5=2),((SUMIFS(Headcount!$O$6:$O$89,Headcount!$F$6:$F$89,"Finance",Headcount!$H$6:$H$89,"&gt;="&amp;Finance!Q$3)/12)),P12),IF(YEAR(Q$3)=YEAR(Headcount!$P$4),IF((Q$5=2),((SUMIFS(Headcount!$P$6:$P$89,Headcount!$F$6:$F$89,"Finance",Headcount!$H$6:$H$89,"&gt;="&amp;Finance!Q$3)/12)),P12),IF(YEAR(Q$3)=YEAR(Headcount!$Q$4),IF((Q$5=2),((SUMIFS(Headcount!$Q$6:$Q$89,Headcount!$F$6:$F$89,"Finance",Headcount!$H$6:$H$89,"&gt;="&amp;Finance!Q$3)/12)),P12),IF(YEAR(Q$3)=YEAR(Headcount!$R$4),IF((Q$5=2),((SUMIFS(Headcount!$R$6:$R$89,Headcount!$F$6:$F$89,"Finance",Headcount!$H$6:$H$89,"&gt;="&amp;Finance!Q$3)/12)),P12),"New Year"))))),SUMIF('Dept. Cost Actuals'!$E$7:$E$176,"*salary*",'Dept. Cost Actuals'!U$529:U$628))</f>
        <v>5967</v>
      </c>
      <c r="R12" s="1139">
        <f ca="1">IF(R$4="forecast",IF(YEAR(R$3)=YEAR(Headcount!$N$4),((SUMIFS(Headcount!$N$6:$N$89,Headcount!$F$6:$F$89,"Finance",Headcount!$H$6:$H$89,"&gt;="&amp;Finance!R$3)/12)),IF(YEAR(R$3)=YEAR(Headcount!$O$4),IF((R$5=2),((SUMIFS(Headcount!$O$6:$O$89,Headcount!$F$6:$F$89,"Finance",Headcount!$H$6:$H$89,"&gt;="&amp;Finance!R$3)/12)),Q12),IF(YEAR(R$3)=YEAR(Headcount!$P$4),IF((R$5=2),((SUMIFS(Headcount!$P$6:$P$89,Headcount!$F$6:$F$89,"Finance",Headcount!$H$6:$H$89,"&gt;="&amp;Finance!R$3)/12)),Q12),IF(YEAR(R$3)=YEAR(Headcount!$Q$4),IF((R$5=2),((SUMIFS(Headcount!$Q$6:$Q$89,Headcount!$F$6:$F$89,"Finance",Headcount!$H$6:$H$89,"&gt;="&amp;Finance!R$3)/12)),Q12),IF(YEAR(R$3)=YEAR(Headcount!$R$4),IF((R$5=2),((SUMIFS(Headcount!$R$6:$R$89,Headcount!$F$6:$F$89,"Finance",Headcount!$H$6:$H$89,"&gt;="&amp;Finance!R$3)/12)),Q12),"New Year"))))),SUMIF('Dept. Cost Actuals'!$E$7:$E$176,"*salary*",'Dept. Cost Actuals'!V$529:V$628))</f>
        <v>2182.81</v>
      </c>
      <c r="S12" s="1139">
        <f ca="1">IF(S$4="forecast",IF(YEAR(S$3)=YEAR(Headcount!$N$4),((SUMIFS(Headcount!$N$6:$N$89,Headcount!$F$6:$F$89,"Finance",Headcount!$H$6:$H$89,"&gt;="&amp;Finance!S$3)/12)),IF(YEAR(S$3)=YEAR(Headcount!$O$4),IF((S$5=2),((SUMIFS(Headcount!$O$6:$O$89,Headcount!$F$6:$F$89,"Finance",Headcount!$H$6:$H$89,"&gt;="&amp;Finance!S$3)/12)),R12),IF(YEAR(S$3)=YEAR(Headcount!$P$4),IF((S$5=2),((SUMIFS(Headcount!$P$6:$P$89,Headcount!$F$6:$F$89,"Finance",Headcount!$H$6:$H$89,"&gt;="&amp;Finance!S$3)/12)),R12),IF(YEAR(S$3)=YEAR(Headcount!$Q$4),IF((S$5=2),((SUMIFS(Headcount!$Q$6:$Q$89,Headcount!$F$6:$F$89,"Finance",Headcount!$H$6:$H$89,"&gt;="&amp;Finance!S$3)/12)),R12),IF(YEAR(S$3)=YEAR(Headcount!$R$4),IF((S$5=2),((SUMIFS(Headcount!$R$6:$R$89,Headcount!$F$6:$F$89,"Finance",Headcount!$H$6:$H$89,"&gt;="&amp;Finance!S$3)/12)),R12),"New Year"))))),SUMIF('Dept. Cost Actuals'!$E$7:$E$176,"*salary*",'Dept. Cost Actuals'!W$529:W$628))</f>
        <v>13981.74</v>
      </c>
      <c r="T12" s="1139">
        <f ca="1">IF(T$4="forecast",IF(YEAR(T$3)=YEAR(Headcount!$N$4),((SUMIFS(Headcount!$N$6:$N$89,Headcount!$F$6:$F$89,"Finance",Headcount!$H$6:$H$89,"&gt;="&amp;Finance!T$3)/12)),IF(YEAR(T$3)=YEAR(Headcount!$O$4),IF((T$5=2),((SUMIFS(Headcount!$O$6:$O$89,Headcount!$F$6:$F$89,"Finance",Headcount!$H$6:$H$89,"&gt;="&amp;Finance!T$3)/12)),S12),IF(YEAR(T$3)=YEAR(Headcount!$P$4),IF((T$5=2),((SUMIFS(Headcount!$P$6:$P$89,Headcount!$F$6:$F$89,"Finance",Headcount!$H$6:$H$89,"&gt;="&amp;Finance!T$3)/12)),S12),IF(YEAR(T$3)=YEAR(Headcount!$Q$4),IF((T$5=2),((SUMIFS(Headcount!$Q$6:$Q$89,Headcount!$F$6:$F$89,"Finance",Headcount!$H$6:$H$89,"&gt;="&amp;Finance!T$3)/12)),S12),IF(YEAR(T$3)=YEAR(Headcount!$R$4),IF((T$5=2),((SUMIFS(Headcount!$R$6:$R$89,Headcount!$F$6:$F$89,"Finance",Headcount!$H$6:$H$89,"&gt;="&amp;Finance!T$3)/12)),S12),"New Year"))))),SUMIF('Dept. Cost Actuals'!$E$7:$E$176,"*salary*",'Dept. Cost Actuals'!X$529:X$628))</f>
        <v>12692.32</v>
      </c>
      <c r="U12" s="1139">
        <f ca="1">IF(U$4="forecast",IF(YEAR(U$3)=YEAR(Headcount!$N$4),((SUMIFS(Headcount!$N$6:$N$89,Headcount!$F$6:$F$89,"Finance",Headcount!$H$6:$H$89,"&gt;="&amp;Finance!U$3)/12)),IF(YEAR(U$3)=YEAR(Headcount!$O$4),IF((U$5=2),((SUMIFS(Headcount!$O$6:$O$89,Headcount!$F$6:$F$89,"Finance",Headcount!$H$6:$H$89,"&gt;="&amp;Finance!U$3)/12)),T12),IF(YEAR(U$3)=YEAR(Headcount!$P$4),IF((U$5=2),((SUMIFS(Headcount!$P$6:$P$89,Headcount!$F$6:$F$89,"Finance",Headcount!$H$6:$H$89,"&gt;="&amp;Finance!U$3)/12)),T12),IF(YEAR(U$3)=YEAR(Headcount!$Q$4),IF((U$5=2),((SUMIFS(Headcount!$Q$6:$Q$89,Headcount!$F$6:$F$89,"Finance",Headcount!$H$6:$H$89,"&gt;="&amp;Finance!U$3)/12)),T12),IF(YEAR(U$3)=YEAR(Headcount!$R$4),IF((U$5=2),((SUMIFS(Headcount!$R$6:$R$89,Headcount!$F$6:$F$89,"Finance",Headcount!$H$6:$H$89,"&gt;="&amp;Finance!U$3)/12)),T12),"New Year"))))),SUMIF('Dept. Cost Actuals'!$E$7:$E$176,"*salary*",'Dept. Cost Actuals'!Y$529:Y$628))</f>
        <v>14596.17</v>
      </c>
      <c r="V12" s="1139">
        <f ca="1">IF(V$4="forecast",IF(YEAR(V$3)=YEAR(Headcount!$N$4),((SUMIFS(Headcount!$N$6:$N$89,Headcount!$F$6:$F$89,"Finance",Headcount!$H$6:$H$89,"&gt;="&amp;Finance!V$3)/12)),IF(YEAR(V$3)=YEAR(Headcount!$O$4),IF((V$5=2),((SUMIFS(Headcount!$O$6:$O$89,Headcount!$F$6:$F$89,"Finance",Headcount!$H$6:$H$89,"&gt;="&amp;Finance!V$3)/12)),U12),IF(YEAR(V$3)=YEAR(Headcount!$P$4),IF((V$5=2),((SUMIFS(Headcount!$P$6:$P$89,Headcount!$F$6:$F$89,"Finance",Headcount!$H$6:$H$89,"&gt;="&amp;Finance!V$3)/12)),U12),IF(YEAR(V$3)=YEAR(Headcount!$Q$4),IF((V$5=2),((SUMIFS(Headcount!$Q$6:$Q$89,Headcount!$F$6:$F$89,"Finance",Headcount!$H$6:$H$89,"&gt;="&amp;Finance!V$3)/12)),U12),IF(YEAR(V$3)=YEAR(Headcount!$R$4),IF((V$5=2),((SUMIFS(Headcount!$R$6:$R$89,Headcount!$F$6:$F$89,"Finance",Headcount!$H$6:$H$89,"&gt;="&amp;Finance!V$3)/12)),U12),"New Year"))))),SUMIF('Dept. Cost Actuals'!$E$7:$E$176,"*salary*",'Dept. Cost Actuals'!Z$529:Z$628))</f>
        <v>20596.169999999998</v>
      </c>
      <c r="W12" s="1139">
        <f ca="1">IF(W$4="forecast",IF(YEAR(W$3)=YEAR(Headcount!$N$4),((SUMIFS(Headcount!$N$6:$N$89,Headcount!$F$6:$F$89,"Finance",Headcount!$H$6:$H$89,"&gt;="&amp;Finance!W$3)/12)),IF(YEAR(W$3)=YEAR(Headcount!$O$4),IF((W$5=2),((SUMIFS(Headcount!$O$6:$O$89,Headcount!$F$6:$F$89,"Finance",Headcount!$H$6:$H$89,"&gt;="&amp;Finance!W$3)/12)),V12),IF(YEAR(W$3)=YEAR(Headcount!$P$4),IF((W$5=2),((SUMIFS(Headcount!$P$6:$P$89,Headcount!$F$6:$F$89,"Finance",Headcount!$H$6:$H$89,"&gt;="&amp;Finance!W$3)/12)),V12),IF(YEAR(W$3)=YEAR(Headcount!$Q$4),IF((W$5=2),((SUMIFS(Headcount!$Q$6:$Q$89,Headcount!$F$6:$F$89,"Finance",Headcount!$H$6:$H$89,"&gt;="&amp;Finance!W$3)/12)),V12),IF(YEAR(W$3)=YEAR(Headcount!$R$4),IF((W$5=2),((SUMIFS(Headcount!$R$6:$R$89,Headcount!$F$6:$F$89,"Finance",Headcount!$H$6:$H$89,"&gt;="&amp;Finance!W$3)/12)),V12),"New Year"))))),SUMIF('Dept. Cost Actuals'!$E$7:$E$176,"*salary*",'Dept. Cost Actuals'!AA$529:AA$628))</f>
        <v>22615.41</v>
      </c>
      <c r="X12" s="1139">
        <f ca="1">IF(X$4="forecast",IF(YEAR(X$3)=YEAR(Headcount!$N$4),((SUMIFS(Headcount!$N$6:$N$89,Headcount!$F$6:$F$89,"Finance",Headcount!$H$6:$H$89,"&gt;="&amp;Finance!X$3)/12)),IF(YEAR(X$3)=YEAR(Headcount!$O$4),IF((X$5=2),((SUMIFS(Headcount!$O$6:$O$89,Headcount!$F$6:$F$89,"Finance",Headcount!$H$6:$H$89,"&gt;="&amp;Finance!X$3)/12)),W12),IF(YEAR(X$3)=YEAR(Headcount!$P$4),IF((X$5=2),((SUMIFS(Headcount!$P$6:$P$89,Headcount!$F$6:$F$89,"Finance",Headcount!$H$6:$H$89,"&gt;="&amp;Finance!X$3)/12)),W12),IF(YEAR(X$3)=YEAR(Headcount!$Q$4),IF((X$5=2),((SUMIFS(Headcount!$Q$6:$Q$89,Headcount!$F$6:$F$89,"Finance",Headcount!$H$6:$H$89,"&gt;="&amp;Finance!X$3)/12)),W12),IF(YEAR(X$3)=YEAR(Headcount!$R$4),IF((X$5=2),((SUMIFS(Headcount!$R$6:$R$89,Headcount!$F$6:$F$89,"Finance",Headcount!$H$6:$H$89,"&gt;="&amp;Finance!X$3)/12)),W12),"New Year"))))),SUMIF('Dept. Cost Actuals'!$E$7:$E$176,"*salary*",'Dept. Cost Actuals'!AB$529:AB$628))</f>
        <v>24769.24</v>
      </c>
      <c r="Y12" s="1139">
        <f ca="1">IF(Y$4="forecast",IF(YEAR(Y$3)=YEAR(Headcount!$N$4),((SUMIFS(Headcount!$N$6:$N$89,Headcount!$F$6:$F$89,"Finance",Headcount!$H$6:$H$89,"&gt;="&amp;Finance!Y$3)/12)),IF(YEAR(Y$3)=YEAR(Headcount!$O$4),IF((Y$5=2),((SUMIFS(Headcount!$O$6:$O$89,Headcount!$F$6:$F$89,"Finance",Headcount!$H$6:$H$89,"&gt;="&amp;Finance!Y$3)/12)),X12),IF(YEAR(Y$3)=YEAR(Headcount!$P$4),IF((Y$5=2),((SUMIFS(Headcount!$P$6:$P$89,Headcount!$F$6:$F$89,"Finance",Headcount!$H$6:$H$89,"&gt;="&amp;Finance!Y$3)/12)),X12),IF(YEAR(Y$3)=YEAR(Headcount!$Q$4),IF((Y$5=2),((SUMIFS(Headcount!$Q$6:$Q$89,Headcount!$F$6:$F$89,"Finance",Headcount!$H$6:$H$89,"&gt;="&amp;Finance!Y$3)/12)),X12),IF(YEAR(Y$3)=YEAR(Headcount!$R$4),IF((Y$5=2),((SUMIFS(Headcount!$R$6:$R$89,Headcount!$F$6:$F$89,"Finance",Headcount!$H$6:$H$89,"&gt;="&amp;Finance!Y$3)/12)),X12),"New Year"))))),SUMIF('Dept. Cost Actuals'!$E$7:$E$176,"*salary*",'Dept. Cost Actuals'!AC$529:AC$628))</f>
        <v>22615.41</v>
      </c>
      <c r="Z12" s="1139">
        <f ca="1">IF(Z$4="forecast",IF(YEAR(Z$3)=YEAR(Headcount!$N$4),((SUMIFS(Headcount!$N$6:$N$89,Headcount!$F$6:$F$89,"Finance",Headcount!$H$6:$H$89,"&gt;="&amp;Finance!Z$3)/12)),IF(YEAR(Z$3)=YEAR(Headcount!$O$4),IF((Z$5=2),((SUMIFS(Headcount!$O$6:$O$89,Headcount!$F$6:$F$89,"Finance",Headcount!$H$6:$H$89,"&gt;="&amp;Finance!Z$3)/12)),Y12),IF(YEAR(Z$3)=YEAR(Headcount!$P$4),IF((Z$5=2),((SUMIFS(Headcount!$P$6:$P$89,Headcount!$F$6:$F$89,"Finance",Headcount!$H$6:$H$89,"&gt;="&amp;Finance!Z$3)/12)),Y12),IF(YEAR(Z$3)=YEAR(Headcount!$Q$4),IF((Z$5=2),((SUMIFS(Headcount!$Q$6:$Q$89,Headcount!$F$6:$F$89,"Finance",Headcount!$H$6:$H$89,"&gt;="&amp;Finance!Z$3)/12)),Y12),IF(YEAR(Z$3)=YEAR(Headcount!$R$4),IF((Z$5=2),((SUMIFS(Headcount!$R$6:$R$89,Headcount!$F$6:$F$89,"Finance",Headcount!$H$6:$H$89,"&gt;="&amp;Finance!Z$3)/12)),Y12),"New Year"))))),SUMIF('Dept. Cost Actuals'!$E$7:$E$176,"*salary*",'Dept. Cost Actuals'!AD$529:AD$628))</f>
        <v>23692.34</v>
      </c>
      <c r="AA12" s="1139">
        <f ca="1">IF(AA$4="forecast",IF(YEAR(AA$3)=YEAR(Headcount!$N$4),((SUMIFS(Headcount!$N$6:$N$89,Headcount!$F$6:$F$89,"Finance",Headcount!$H$6:$H$89,"&gt;="&amp;Finance!AA$3)/12)),IF(YEAR(AA$3)=YEAR(Headcount!$O$4),IF((AA$5=2),((SUMIFS(Headcount!$O$6:$O$89,Headcount!$F$6:$F$89,"Finance",Headcount!$H$6:$H$89,"&gt;="&amp;Finance!AA$3)/12)),Z12),IF(YEAR(AA$3)=YEAR(Headcount!$P$4),IF((AA$5=2),((SUMIFS(Headcount!$P$6:$P$89,Headcount!$F$6:$F$89,"Finance",Headcount!$H$6:$H$89,"&gt;="&amp;Finance!AA$3)/12)),Z12),IF(YEAR(AA$3)=YEAR(Headcount!$Q$4),IF((AA$5=2),((SUMIFS(Headcount!$Q$6:$Q$89,Headcount!$F$6:$F$89,"Finance",Headcount!$H$6:$H$89,"&gt;="&amp;Finance!AA$3)/12)),Z12),IF(YEAR(AA$3)=YEAR(Headcount!$R$4),IF((AA$5=2),((SUMIFS(Headcount!$R$6:$R$89,Headcount!$F$6:$F$89,"Finance",Headcount!$H$6:$H$89,"&gt;="&amp;Finance!AA$3)/12)),Z12),"New Year"))))),SUMIF('Dept. Cost Actuals'!$E$7:$E$176,"*salary*",'Dept. Cost Actuals'!AE$529:AE$628))</f>
        <v>24769.24</v>
      </c>
      <c r="AB12" s="1139">
        <f ca="1">IF(AB$4="forecast",IF(YEAR(AB$3)=YEAR(Headcount!$N$4),((SUMIFS(Headcount!$N$6:$N$89,Headcount!$F$6:$F$89,"Finance",Headcount!$H$6:$H$89,"&gt;="&amp;Finance!AB$3)/12)),IF(YEAR(AB$3)=YEAR(Headcount!$O$4),IF((AB$5=2),((SUMIFS(Headcount!$O$6:$O$89,Headcount!$F$6:$F$89,"Finance",Headcount!$H$6:$H$89,"&gt;="&amp;Finance!AB$3)/12)),AA12),IF(YEAR(AB$3)=YEAR(Headcount!$P$4),IF((AB$5=2),((SUMIFS(Headcount!$P$6:$P$89,Headcount!$F$6:$F$89,"Finance",Headcount!$H$6:$H$89,"&gt;="&amp;Finance!AB$3)/12)),AA12),IF(YEAR(AB$3)=YEAR(Headcount!$Q$4),IF((AB$5=2),((SUMIFS(Headcount!$Q$6:$Q$89,Headcount!$F$6:$F$89,"Finance",Headcount!$H$6:$H$89,"&gt;="&amp;Finance!AB$3)/12)),AA12),IF(YEAR(AB$3)=YEAR(Headcount!$R$4),IF((AB$5=2),((SUMIFS(Headcount!$R$6:$R$89,Headcount!$F$6:$F$89,"Finance",Headcount!$H$6:$H$89,"&gt;="&amp;Finance!AB$3)/12)),AA12),"New Year"))))),SUMIF('Dept. Cost Actuals'!$E$7:$E$176,"*salary*",'Dept. Cost Actuals'!AF$529:AF$628))</f>
        <v>21538.48</v>
      </c>
      <c r="AC12" s="1139">
        <f ca="1">IF(AC$4="forecast",IF(YEAR(AC$3)=YEAR(Headcount!$N$4),((SUMIFS(Headcount!$N$6:$N$89,Headcount!$F$6:$F$89,"Finance",Headcount!$H$6:$H$89,"&gt;="&amp;Finance!AC$3)/12)),IF(YEAR(AC$3)=YEAR(Headcount!$O$4),IF((AC$5=2),((SUMIFS(Headcount!$O$6:$O$89,Headcount!$F$6:$F$89,"Finance",Headcount!$H$6:$H$89,"&gt;="&amp;Finance!AC$3)/12)),AB12),IF(YEAR(AC$3)=YEAR(Headcount!$P$4),IF((AC$5=2),((SUMIFS(Headcount!$P$6:$P$89,Headcount!$F$6:$F$89,"Finance",Headcount!$H$6:$H$89,"&gt;="&amp;Finance!AC$3)/12)),AB12),IF(YEAR(AC$3)=YEAR(Headcount!$Q$4),IF((AC$5=2),((SUMIFS(Headcount!$Q$6:$Q$89,Headcount!$F$6:$F$89,"Finance",Headcount!$H$6:$H$89,"&gt;="&amp;Finance!AC$3)/12)),AB12),IF(YEAR(AC$3)=YEAR(Headcount!$R$4),IF((AC$5=2),((SUMIFS(Headcount!$R$6:$R$89,Headcount!$F$6:$F$89,"Finance",Headcount!$H$6:$H$89,"&gt;="&amp;Finance!AC$3)/12)),AB12),"New Year"))))),SUMIF('Dept. Cost Actuals'!$E$7:$E$176,"*salary*",'Dept. Cost Actuals'!AG$529:AG$628))</f>
        <v>22615.4</v>
      </c>
      <c r="AD12" s="1139">
        <f>((SUMIFS(Headcount!$O$6:$O$89,Headcount!$F$6:$F$89,"Finance",Headcount!$H$6:$H$89,"&gt;="&amp;Sales!AC$3)/12))</f>
        <v>29583.333333333332</v>
      </c>
      <c r="AE12" s="1139">
        <f>((SUMIFS(Headcount!$O$6:$O$89,Headcount!$F$6:$F$89,"Finance",Headcount!$H$6:$H$89,"&gt;="&amp;Sales!AD$3)/12))</f>
        <v>29583.333333333332</v>
      </c>
      <c r="AF12" s="1139">
        <f>((SUMIFS(Headcount!$O$6:$O$89,Headcount!$F$6:$F$89,"Finance",Headcount!$H$6:$H$89,"&gt;="&amp;Sales!AE$3)/12))</f>
        <v>29583.333333333332</v>
      </c>
      <c r="AG12" s="1139">
        <f>((SUMIFS(Headcount!$O$6:$O$89,Headcount!$F$6:$F$89,"Finance",Headcount!$H$6:$H$89,"&gt;="&amp;Sales!AF$3)/12))</f>
        <v>29583.333333333332</v>
      </c>
      <c r="AH12" s="1139">
        <f>((SUMIFS(Headcount!$O$6:$O$89,Headcount!$F$6:$F$89,"Finance",Headcount!$H$6:$H$89,"&gt;="&amp;Sales!AG$3)/12))</f>
        <v>29583.333333333332</v>
      </c>
      <c r="AI12" s="1139">
        <f>((SUMIFS(Headcount!$O$6:$O$89,Headcount!$F$6:$F$89,"Finance",Headcount!$H$6:$H$89,"&gt;="&amp;Sales!AH$3)/12))</f>
        <v>29583.333333333332</v>
      </c>
      <c r="AJ12" s="1139">
        <f>((SUMIFS(Headcount!$O$6:$O$89,Headcount!$F$6:$F$89,"Finance",Headcount!$H$6:$H$89,"&gt;="&amp;Sales!AI$3)/12))</f>
        <v>29583.333333333332</v>
      </c>
      <c r="AK12" s="1139">
        <f>((SUMIFS(Headcount!$O$6:$O$89,Headcount!$F$6:$F$89,"Finance",Headcount!$H$6:$H$89,"&gt;="&amp;Sales!AJ$3)/12))</f>
        <v>29583.333333333332</v>
      </c>
      <c r="AL12" s="1139">
        <f>((SUMIFS(Headcount!$O$6:$O$89,Headcount!$F$6:$F$89,"Finance",Headcount!$H$6:$H$89,"&gt;="&amp;Sales!AK$3)/12))</f>
        <v>29583.333333333332</v>
      </c>
      <c r="AM12" s="1139">
        <f>IF(AM$4="forecast",IF(YEAR(AM$3)=YEAR(Headcount!$N$4),((SUMIFS(Headcount!$N$6:$N$89,Headcount!$F$6:$F$89,"Finance",Headcount!$H$6:$H$89,"&gt;="&amp;Finance!AM$3)/12)),IF(YEAR(AM$3)=YEAR(Headcount!$O$4),IF((AM$5=2),((SUMIFS(Headcount!$O$6:$O$89,Headcount!$F$6:$F$89,"Finance",Headcount!$H$6:$H$89,"&gt;="&amp;Finance!AM$3)/12)),AL12),IF(YEAR(AM$3)=YEAR(Headcount!$P$4),IF((AM$5=2),((SUMIFS(Headcount!$P$6:$P$89,Headcount!$F$6:$F$89,"Finance",Headcount!$H$6:$H$89,"&gt;="&amp;Finance!AM$3)/12)),AL12),IF(YEAR(AM$3)=YEAR(Headcount!$Q$4),IF((AM$5=2),((SUMIFS(Headcount!$Q$6:$Q$89,Headcount!$F$6:$F$89,"Finance",Headcount!$H$6:$H$89,"&gt;="&amp;Finance!AM$3)/12)),AL12),IF(YEAR(AM$3)=YEAR(Headcount!$R$4),IF((AM$5=2),((SUMIFS(Headcount!$R$6:$R$89,Headcount!$F$6:$F$89,"Finance",Headcount!$H$6:$H$89,"&gt;="&amp;Finance!AM$3)/12)),AL12),"New Year"))))),SUMIF('Dept. Cost Actuals'!$E$7:$E$176,"*salary*",'Dept. Cost Actuals'!AQ$529:AQ$628))</f>
        <v>29583.333333333332</v>
      </c>
      <c r="AN12" s="1139">
        <f>IF(AN$4="forecast",IF(YEAR(AN$3)=YEAR(Headcount!$N$4),((SUMIFS(Headcount!$N$6:$N$89,Headcount!$F$6:$F$89,"Finance",Headcount!$H$6:$H$89,"&gt;="&amp;Finance!AN$3)/12)),IF(YEAR(AN$3)=YEAR(Headcount!$O$4),IF((AN$5=2),((SUMIFS(Headcount!$O$6:$O$89,Headcount!$F$6:$F$89,"Finance",Headcount!$H$6:$H$89,"&gt;="&amp;Finance!AN$3)/12)),AM12),IF(YEAR(AN$3)=YEAR(Headcount!$P$4),IF((AN$5=2),((SUMIFS(Headcount!$P$6:$P$89,Headcount!$F$6:$F$89,"Finance",Headcount!$H$6:$H$89,"&gt;="&amp;Finance!AN$3)/12)),AM12),IF(YEAR(AN$3)=YEAR(Headcount!$Q$4),IF((AN$5=2),((SUMIFS(Headcount!$Q$6:$Q$89,Headcount!$F$6:$F$89,"Finance",Headcount!$H$6:$H$89,"&gt;="&amp;Finance!AN$3)/12)),AM12),IF(YEAR(AN$3)=YEAR(Headcount!$R$4),IF((AN$5=2),((SUMIFS(Headcount!$R$6:$R$89,Headcount!$F$6:$F$89,"Finance",Headcount!$H$6:$H$89,"&gt;="&amp;Finance!AN$3)/12)),AM12),"New Year"))))),SUMIF('Dept. Cost Actuals'!$E$7:$E$176,"*salary*",'Dept. Cost Actuals'!AR$529:AR$628))</f>
        <v>30470.833333333332</v>
      </c>
      <c r="AO12" s="1139">
        <f>IF(AO$4="forecast",IF(YEAR(AO$3)=YEAR(Headcount!$N$4),((SUMIFS(Headcount!$N$6:$N$89,Headcount!$F$6:$F$89,"Finance",Headcount!$H$6:$H$89,"&gt;="&amp;Finance!AO$3)/12)),IF(YEAR(AO$3)=YEAR(Headcount!$O$4),IF((AO$5=2),((SUMIFS(Headcount!$O$6:$O$89,Headcount!$F$6:$F$89,"Finance",Headcount!$H$6:$H$89,"&gt;="&amp;Finance!AO$3)/12)),AN12),IF(YEAR(AO$3)=YEAR(Headcount!$P$4),IF((AO$5=2),((SUMIFS(Headcount!$P$6:$P$89,Headcount!$F$6:$F$89,"Finance",Headcount!$H$6:$H$89,"&gt;="&amp;Finance!AO$3)/12)),AN12),IF(YEAR(AO$3)=YEAR(Headcount!$Q$4),IF((AO$5=2),((SUMIFS(Headcount!$Q$6:$Q$89,Headcount!$F$6:$F$89,"Finance",Headcount!$H$6:$H$89,"&gt;="&amp;Finance!AO$3)/12)),AN12),IF(YEAR(AO$3)=YEAR(Headcount!$R$4),IF((AO$5=2),((SUMIFS(Headcount!$R$6:$R$89,Headcount!$F$6:$F$89,"Finance",Headcount!$H$6:$H$89,"&gt;="&amp;Finance!AO$3)/12)),AN12),"New Year"))))),SUMIF('Dept. Cost Actuals'!$E$7:$E$176,"*salary*",'Dept. Cost Actuals'!AS$529:AS$628))</f>
        <v>30470.833333333332</v>
      </c>
      <c r="AP12" s="1139">
        <f>IF(AP$4="forecast",IF(YEAR(AP$3)=YEAR(Headcount!$N$4),((SUMIFS(Headcount!$N$6:$N$89,Headcount!$F$6:$F$89,"Finance",Headcount!$H$6:$H$89,"&gt;="&amp;Finance!AP$3)/12)),IF(YEAR(AP$3)=YEAR(Headcount!$O$4),IF((AP$5=2),((SUMIFS(Headcount!$O$6:$O$89,Headcount!$F$6:$F$89,"Finance",Headcount!$H$6:$H$89,"&gt;="&amp;Finance!AP$3)/12)),AO12),IF(YEAR(AP$3)=YEAR(Headcount!$P$4),IF((AP$5=2),((SUMIFS(Headcount!$P$6:$P$89,Headcount!$F$6:$F$89,"Finance",Headcount!$H$6:$H$89,"&gt;="&amp;Finance!AP$3)/12)),AO12),IF(YEAR(AP$3)=YEAR(Headcount!$Q$4),IF((AP$5=2),((SUMIFS(Headcount!$Q$6:$Q$89,Headcount!$F$6:$F$89,"Finance",Headcount!$H$6:$H$89,"&gt;="&amp;Finance!AP$3)/12)),AO12),IF(YEAR(AP$3)=YEAR(Headcount!$R$4),IF((AP$5=2),((SUMIFS(Headcount!$R$6:$R$89,Headcount!$F$6:$F$89,"Finance",Headcount!$H$6:$H$89,"&gt;="&amp;Finance!AP$3)/12)),AO12),"New Year"))))),SUMIF('Dept. Cost Actuals'!$E$7:$E$176,"*salary*",'Dept. Cost Actuals'!AT$529:AT$628))</f>
        <v>30470.833333333332</v>
      </c>
      <c r="AQ12" s="1139">
        <f>IF(AQ$4="forecast",IF(YEAR(AQ$3)=YEAR(Headcount!$N$4),((SUMIFS(Headcount!$N$6:$N$89,Headcount!$F$6:$F$89,"Finance",Headcount!$H$6:$H$89,"&gt;="&amp;Finance!AQ$3)/12)),IF(YEAR(AQ$3)=YEAR(Headcount!$O$4),IF((AQ$5=2),((SUMIFS(Headcount!$O$6:$O$89,Headcount!$F$6:$F$89,"Finance",Headcount!$H$6:$H$89,"&gt;="&amp;Finance!AQ$3)/12)),AP12),IF(YEAR(AQ$3)=YEAR(Headcount!$P$4),IF((AQ$5=2),((SUMIFS(Headcount!$P$6:$P$89,Headcount!$F$6:$F$89,"Finance",Headcount!$H$6:$H$89,"&gt;="&amp;Finance!AQ$3)/12)),AP12),IF(YEAR(AQ$3)=YEAR(Headcount!$Q$4),IF((AQ$5=2),((SUMIFS(Headcount!$Q$6:$Q$89,Headcount!$F$6:$F$89,"Finance",Headcount!$H$6:$H$89,"&gt;="&amp;Finance!AQ$3)/12)),AP12),IF(YEAR(AQ$3)=YEAR(Headcount!$R$4),IF((AQ$5=2),((SUMIFS(Headcount!$R$6:$R$89,Headcount!$F$6:$F$89,"Finance",Headcount!$H$6:$H$89,"&gt;="&amp;Finance!AQ$3)/12)),AP12),"New Year"))))),SUMIF('Dept. Cost Actuals'!$E$7:$E$176,"*salary*",'Dept. Cost Actuals'!AU$529:AU$628))</f>
        <v>30470.833333333332</v>
      </c>
      <c r="AR12" s="1139">
        <f>IF(AR$4="forecast",IF(YEAR(AR$3)=YEAR(Headcount!$N$4),((SUMIFS(Headcount!$N$6:$N$89,Headcount!$F$6:$F$89,"Finance",Headcount!$H$6:$H$89,"&gt;="&amp;Finance!AR$3)/12)),IF(YEAR(AR$3)=YEAR(Headcount!$O$4),IF((AR$5=2),((SUMIFS(Headcount!$O$6:$O$89,Headcount!$F$6:$F$89,"Finance",Headcount!$H$6:$H$89,"&gt;="&amp;Finance!AR$3)/12)),AQ12),IF(YEAR(AR$3)=YEAR(Headcount!$P$4),IF((AR$5=2),((SUMIFS(Headcount!$P$6:$P$89,Headcount!$F$6:$F$89,"Finance",Headcount!$H$6:$H$89,"&gt;="&amp;Finance!AR$3)/12)),AQ12),IF(YEAR(AR$3)=YEAR(Headcount!$Q$4),IF((AR$5=2),((SUMIFS(Headcount!$Q$6:$Q$89,Headcount!$F$6:$F$89,"Finance",Headcount!$H$6:$H$89,"&gt;="&amp;Finance!AR$3)/12)),AQ12),IF(YEAR(AR$3)=YEAR(Headcount!$R$4),IF((AR$5=2),((SUMIFS(Headcount!$R$6:$R$89,Headcount!$F$6:$F$89,"Finance",Headcount!$H$6:$H$89,"&gt;="&amp;Finance!AR$3)/12)),AQ12),"New Year"))))),SUMIF('Dept. Cost Actuals'!$E$7:$E$176,"*salary*",'Dept. Cost Actuals'!AV$529:AV$628))</f>
        <v>30470.833333333332</v>
      </c>
      <c r="AS12" s="1139">
        <f>IF(AS$4="forecast",IF(YEAR(AS$3)=YEAR(Headcount!$N$4),((SUMIFS(Headcount!$N$6:$N$89,Headcount!$F$6:$F$89,"Finance",Headcount!$H$6:$H$89,"&gt;="&amp;Finance!AS$3)/12)),IF(YEAR(AS$3)=YEAR(Headcount!$O$4),IF((AS$5=2),((SUMIFS(Headcount!$O$6:$O$89,Headcount!$F$6:$F$89,"Finance",Headcount!$H$6:$H$89,"&gt;="&amp;Finance!AS$3)/12)),AR12),IF(YEAR(AS$3)=YEAR(Headcount!$P$4),IF((AS$5=2),((SUMIFS(Headcount!$P$6:$P$89,Headcount!$F$6:$F$89,"Finance",Headcount!$H$6:$H$89,"&gt;="&amp;Finance!AS$3)/12)),AR12),IF(YEAR(AS$3)=YEAR(Headcount!$Q$4),IF((AS$5=2),((SUMIFS(Headcount!$Q$6:$Q$89,Headcount!$F$6:$F$89,"Finance",Headcount!$H$6:$H$89,"&gt;="&amp;Finance!AS$3)/12)),AR12),IF(YEAR(AS$3)=YEAR(Headcount!$R$4),IF((AS$5=2),((SUMIFS(Headcount!$R$6:$R$89,Headcount!$F$6:$F$89,"Finance",Headcount!$H$6:$H$89,"&gt;="&amp;Finance!AS$3)/12)),AR12),"New Year"))))),SUMIF('Dept. Cost Actuals'!$E$7:$E$176,"*salary*",'Dept. Cost Actuals'!AW$529:AW$628))</f>
        <v>30470.833333333332</v>
      </c>
      <c r="AT12" s="1139">
        <f>IF(AT$4="forecast",IF(YEAR(AT$3)=YEAR(Headcount!$N$4),((SUMIFS(Headcount!$N$6:$N$89,Headcount!$F$6:$F$89,"Finance",Headcount!$H$6:$H$89,"&gt;="&amp;Finance!AT$3)/12)),IF(YEAR(AT$3)=YEAR(Headcount!$O$4),IF((AT$5=2),((SUMIFS(Headcount!$O$6:$O$89,Headcount!$F$6:$F$89,"Finance",Headcount!$H$6:$H$89,"&gt;="&amp;Finance!AT$3)/12)),AS12),IF(YEAR(AT$3)=YEAR(Headcount!$P$4),IF((AT$5=2),((SUMIFS(Headcount!$P$6:$P$89,Headcount!$F$6:$F$89,"Finance",Headcount!$H$6:$H$89,"&gt;="&amp;Finance!AT$3)/12)),AS12),IF(YEAR(AT$3)=YEAR(Headcount!$Q$4),IF((AT$5=2),((SUMIFS(Headcount!$Q$6:$Q$89,Headcount!$F$6:$F$89,"Finance",Headcount!$H$6:$H$89,"&gt;="&amp;Finance!AT$3)/12)),AS12),IF(YEAR(AT$3)=YEAR(Headcount!$R$4),IF((AT$5=2),((SUMIFS(Headcount!$R$6:$R$89,Headcount!$F$6:$F$89,"Finance",Headcount!$H$6:$H$89,"&gt;="&amp;Finance!AT$3)/12)),AS12),"New Year"))))),SUMIF('Dept. Cost Actuals'!$E$7:$E$176,"*salary*",'Dept. Cost Actuals'!AX$529:AX$628))</f>
        <v>30470.833333333332</v>
      </c>
      <c r="AU12" s="1139">
        <f>IF(AU$4="forecast",IF(YEAR(AU$3)=YEAR(Headcount!$N$4),((SUMIFS(Headcount!$N$6:$N$89,Headcount!$F$6:$F$89,"Finance",Headcount!$H$6:$H$89,"&gt;="&amp;Finance!AU$3)/12)),IF(YEAR(AU$3)=YEAR(Headcount!$O$4),IF((AU$5=2),((SUMIFS(Headcount!$O$6:$O$89,Headcount!$F$6:$F$89,"Finance",Headcount!$H$6:$H$89,"&gt;="&amp;Finance!AU$3)/12)),AT12),IF(YEAR(AU$3)=YEAR(Headcount!$P$4),IF((AU$5=2),((SUMIFS(Headcount!$P$6:$P$89,Headcount!$F$6:$F$89,"Finance",Headcount!$H$6:$H$89,"&gt;="&amp;Finance!AU$3)/12)),AT12),IF(YEAR(AU$3)=YEAR(Headcount!$Q$4),IF((AU$5=2),((SUMIFS(Headcount!$Q$6:$Q$89,Headcount!$F$6:$F$89,"Finance",Headcount!$H$6:$H$89,"&gt;="&amp;Finance!AU$3)/12)),AT12),IF(YEAR(AU$3)=YEAR(Headcount!$R$4),IF((AU$5=2),((SUMIFS(Headcount!$R$6:$R$89,Headcount!$F$6:$F$89,"Finance",Headcount!$H$6:$H$89,"&gt;="&amp;Finance!AU$3)/12)),AT12),"New Year"))))),SUMIF('Dept. Cost Actuals'!$E$7:$E$176,"*salary*",'Dept. Cost Actuals'!AY$529:AY$628))</f>
        <v>30470.833333333332</v>
      </c>
      <c r="AV12" s="1139">
        <f>IF(AV$4="forecast",IF(YEAR(AV$3)=YEAR(Headcount!$N$4),((SUMIFS(Headcount!$N$6:$N$89,Headcount!$F$6:$F$89,"Finance",Headcount!$H$6:$H$89,"&gt;="&amp;Finance!AV$3)/12)),IF(YEAR(AV$3)=YEAR(Headcount!$O$4),IF((AV$5=2),((SUMIFS(Headcount!$O$6:$O$89,Headcount!$F$6:$F$89,"Finance",Headcount!$H$6:$H$89,"&gt;="&amp;Finance!AV$3)/12)),AU12),IF(YEAR(AV$3)=YEAR(Headcount!$P$4),IF((AV$5=2),((SUMIFS(Headcount!$P$6:$P$89,Headcount!$F$6:$F$89,"Finance",Headcount!$H$6:$H$89,"&gt;="&amp;Finance!AV$3)/12)),AU12),IF(YEAR(AV$3)=YEAR(Headcount!$Q$4),IF((AV$5=2),((SUMIFS(Headcount!$Q$6:$Q$89,Headcount!$F$6:$F$89,"Finance",Headcount!$H$6:$H$89,"&gt;="&amp;Finance!AV$3)/12)),AU12),IF(YEAR(AV$3)=YEAR(Headcount!$R$4),IF((AV$5=2),((SUMIFS(Headcount!$R$6:$R$89,Headcount!$F$6:$F$89,"Finance",Headcount!$H$6:$H$89,"&gt;="&amp;Finance!AV$3)/12)),AU12),"New Year"))))),SUMIF('Dept. Cost Actuals'!$E$7:$E$176,"*salary*",'Dept. Cost Actuals'!AZ$529:AZ$628))</f>
        <v>30470.833333333332</v>
      </c>
      <c r="AW12" s="1139">
        <f>IF(AW$4="forecast",IF(YEAR(AW$3)=YEAR(Headcount!$N$4),((SUMIFS(Headcount!$N$6:$N$89,Headcount!$F$6:$F$89,"Finance",Headcount!$H$6:$H$89,"&gt;="&amp;Finance!AW$3)/12)),IF(YEAR(AW$3)=YEAR(Headcount!$O$4),IF((AW$5=2),((SUMIFS(Headcount!$O$6:$O$89,Headcount!$F$6:$F$89,"Finance",Headcount!$H$6:$H$89,"&gt;="&amp;Finance!AW$3)/12)),AV12),IF(YEAR(AW$3)=YEAR(Headcount!$P$4),IF((AW$5=2),((SUMIFS(Headcount!$P$6:$P$89,Headcount!$F$6:$F$89,"Finance",Headcount!$H$6:$H$89,"&gt;="&amp;Finance!AW$3)/12)),AV12),IF(YEAR(AW$3)=YEAR(Headcount!$Q$4),IF((AW$5=2),((SUMIFS(Headcount!$Q$6:$Q$89,Headcount!$F$6:$F$89,"Finance",Headcount!$H$6:$H$89,"&gt;="&amp;Finance!AW$3)/12)),AV12),IF(YEAR(AW$3)=YEAR(Headcount!$R$4),IF((AW$5=2),((SUMIFS(Headcount!$R$6:$R$89,Headcount!$F$6:$F$89,"Finance",Headcount!$H$6:$H$89,"&gt;="&amp;Finance!AW$3)/12)),AV12),"New Year"))))),SUMIF('Dept. Cost Actuals'!$E$7:$E$176,"*salary*",'Dept. Cost Actuals'!BA$529:BA$628))</f>
        <v>30470.833333333332</v>
      </c>
      <c r="AX12" s="1139">
        <f>IF(AX$4="forecast",IF(YEAR(AX$3)=YEAR(Headcount!$N$4),((SUMIFS(Headcount!$N$6:$N$89,Headcount!$F$6:$F$89,"Finance",Headcount!$H$6:$H$89,"&gt;="&amp;Finance!AX$3)/12)),IF(YEAR(AX$3)=YEAR(Headcount!$O$4),IF((AX$5=2),((SUMIFS(Headcount!$O$6:$O$89,Headcount!$F$6:$F$89,"Finance",Headcount!$H$6:$H$89,"&gt;="&amp;Finance!AX$3)/12)),AW12),IF(YEAR(AX$3)=YEAR(Headcount!$P$4),IF((AX$5=2),((SUMIFS(Headcount!$P$6:$P$89,Headcount!$F$6:$F$89,"Finance",Headcount!$H$6:$H$89,"&gt;="&amp;Finance!AX$3)/12)),AW12),IF(YEAR(AX$3)=YEAR(Headcount!$Q$4),IF((AX$5=2),((SUMIFS(Headcount!$Q$6:$Q$89,Headcount!$F$6:$F$89,"Finance",Headcount!$H$6:$H$89,"&gt;="&amp;Finance!AX$3)/12)),AW12),IF(YEAR(AX$3)=YEAR(Headcount!$R$4),IF((AX$5=2),((SUMIFS(Headcount!$R$6:$R$89,Headcount!$F$6:$F$89,"Finance",Headcount!$H$6:$H$89,"&gt;="&amp;Finance!AX$3)/12)),AW12),"New Year"))))),SUMIF('Dept. Cost Actuals'!$E$7:$E$176,"*salary*",'Dept. Cost Actuals'!BB$529:BB$628))</f>
        <v>30470.833333333332</v>
      </c>
      <c r="AY12" s="1139">
        <f>IF(AY$4="forecast",IF(YEAR(AY$3)=YEAR(Headcount!$N$4),((SUMIFS(Headcount!$N$6:$N$89,Headcount!$F$6:$F$89,"Finance",Headcount!$H$6:$H$89,"&gt;="&amp;Finance!AY$3)/12)),IF(YEAR(AY$3)=YEAR(Headcount!$O$4),IF((AY$5=2),((SUMIFS(Headcount!$O$6:$O$89,Headcount!$F$6:$F$89,"Finance",Headcount!$H$6:$H$89,"&gt;="&amp;Finance!AY$3)/12)),AX12),IF(YEAR(AY$3)=YEAR(Headcount!$P$4),IF((AY$5=2),((SUMIFS(Headcount!$P$6:$P$89,Headcount!$F$6:$F$89,"Finance",Headcount!$H$6:$H$89,"&gt;="&amp;Finance!AY$3)/12)),AX12),IF(YEAR(AY$3)=YEAR(Headcount!$Q$4),IF((AY$5=2),((SUMIFS(Headcount!$Q$6:$Q$89,Headcount!$F$6:$F$89,"Finance",Headcount!$H$6:$H$89,"&gt;="&amp;Finance!AY$3)/12)),AX12),IF(YEAR(AY$3)=YEAR(Headcount!$R$4),IF((AY$5=2),((SUMIFS(Headcount!$R$6:$R$89,Headcount!$F$6:$F$89,"Finance",Headcount!$H$6:$H$89,"&gt;="&amp;Finance!AY$3)/12)),AX12),"New Year"))))),SUMIF('Dept. Cost Actuals'!$E$7:$E$176,"*salary*",'Dept. Cost Actuals'!BC$529:BC$628))</f>
        <v>30470.833333333332</v>
      </c>
      <c r="AZ12" s="1139">
        <f>IF(AZ$4="forecast",IF(YEAR(AZ$3)=YEAR(Headcount!$N$4),((SUMIFS(Headcount!$N$6:$N$89,Headcount!$F$6:$F$89,"Finance",Headcount!$H$6:$H$89,"&gt;="&amp;Finance!AZ$3)/12)),IF(YEAR(AZ$3)=YEAR(Headcount!$O$4),IF((AZ$5=2),((SUMIFS(Headcount!$O$6:$O$89,Headcount!$F$6:$F$89,"Finance",Headcount!$H$6:$H$89,"&gt;="&amp;Finance!AZ$3)/12)),AY12),IF(YEAR(AZ$3)=YEAR(Headcount!$P$4),IF((AZ$5=2),((SUMIFS(Headcount!$P$6:$P$89,Headcount!$F$6:$F$89,"Finance",Headcount!$H$6:$H$89,"&gt;="&amp;Finance!AZ$3)/12)),AY12),IF(YEAR(AZ$3)=YEAR(Headcount!$Q$4),IF((AZ$5=2),((SUMIFS(Headcount!$Q$6:$Q$89,Headcount!$F$6:$F$89,"Finance",Headcount!$H$6:$H$89,"&gt;="&amp;Finance!AZ$3)/12)),AY12),IF(YEAR(AZ$3)=YEAR(Headcount!$R$4),IF((AZ$5=2),((SUMIFS(Headcount!$R$6:$R$89,Headcount!$F$6:$F$89,"Finance",Headcount!$H$6:$H$89,"&gt;="&amp;Finance!AZ$3)/12)),AY12),"New Year"))))),SUMIF('Dept. Cost Actuals'!$E$7:$E$176,"*salary*",'Dept. Cost Actuals'!BD$529:BD$628))</f>
        <v>31384.958333333332</v>
      </c>
      <c r="BA12" s="1139">
        <f>IF(BA$4="forecast",IF(YEAR(BA$3)=YEAR(Headcount!$N$4),((SUMIFS(Headcount!$N$6:$N$89,Headcount!$F$6:$F$89,"Finance",Headcount!$H$6:$H$89,"&gt;="&amp;Finance!BA$3)/12)),IF(YEAR(BA$3)=YEAR(Headcount!$O$4),IF((BA$5=2),((SUMIFS(Headcount!$O$6:$O$89,Headcount!$F$6:$F$89,"Finance",Headcount!$H$6:$H$89,"&gt;="&amp;Finance!BA$3)/12)),AZ12),IF(YEAR(BA$3)=YEAR(Headcount!$P$4),IF((BA$5=2),((SUMIFS(Headcount!$P$6:$P$89,Headcount!$F$6:$F$89,"Finance",Headcount!$H$6:$H$89,"&gt;="&amp;Finance!BA$3)/12)),AZ12),IF(YEAR(BA$3)=YEAR(Headcount!$Q$4),IF((BA$5=2),((SUMIFS(Headcount!$Q$6:$Q$89,Headcount!$F$6:$F$89,"Finance",Headcount!$H$6:$H$89,"&gt;="&amp;Finance!BA$3)/12)),AZ12),IF(YEAR(BA$3)=YEAR(Headcount!$R$4),IF((BA$5=2),((SUMIFS(Headcount!$R$6:$R$89,Headcount!$F$6:$F$89,"Finance",Headcount!$H$6:$H$89,"&gt;="&amp;Finance!BA$3)/12)),AZ12),"New Year"))))),SUMIF('Dept. Cost Actuals'!$E$7:$E$176,"*salary*",'Dept. Cost Actuals'!BE$529:BE$628))</f>
        <v>31384.958333333332</v>
      </c>
      <c r="BB12" s="1139">
        <f>IF(BB$4="forecast",IF(YEAR(BB$3)=YEAR(Headcount!$N$4),((SUMIFS(Headcount!$N$6:$N$89,Headcount!$F$6:$F$89,"Finance",Headcount!$H$6:$H$89,"&gt;="&amp;Finance!BB$3)/12)),IF(YEAR(BB$3)=YEAR(Headcount!$O$4),IF((BB$5=2),((SUMIFS(Headcount!$O$6:$O$89,Headcount!$F$6:$F$89,"Finance",Headcount!$H$6:$H$89,"&gt;="&amp;Finance!BB$3)/12)),BA12),IF(YEAR(BB$3)=YEAR(Headcount!$P$4),IF((BB$5=2),((SUMIFS(Headcount!$P$6:$P$89,Headcount!$F$6:$F$89,"Finance",Headcount!$H$6:$H$89,"&gt;="&amp;Finance!BB$3)/12)),BA12),IF(YEAR(BB$3)=YEAR(Headcount!$Q$4),IF((BB$5=2),((SUMIFS(Headcount!$Q$6:$Q$89,Headcount!$F$6:$F$89,"Finance",Headcount!$H$6:$H$89,"&gt;="&amp;Finance!BB$3)/12)),BA12),IF(YEAR(BB$3)=YEAR(Headcount!$R$4),IF((BB$5=2),((SUMIFS(Headcount!$R$6:$R$89,Headcount!$F$6:$F$89,"Finance",Headcount!$H$6:$H$89,"&gt;="&amp;Finance!BB$3)/12)),BA12),"New Year"))))),SUMIF('Dept. Cost Actuals'!$E$7:$E$176,"*salary*",'Dept. Cost Actuals'!BF$529:BF$628))</f>
        <v>31384.958333333332</v>
      </c>
      <c r="BC12" s="1139">
        <f>IF(BC$4="forecast",IF(YEAR(BC$3)=YEAR(Headcount!$N$4),((SUMIFS(Headcount!$N$6:$N$89,Headcount!$F$6:$F$89,"Finance",Headcount!$H$6:$H$89,"&gt;="&amp;Finance!BC$3)/12)),IF(YEAR(BC$3)=YEAR(Headcount!$O$4),IF((BC$5=2),((SUMIFS(Headcount!$O$6:$O$89,Headcount!$F$6:$F$89,"Finance",Headcount!$H$6:$H$89,"&gt;="&amp;Finance!BC$3)/12)),BB12),IF(YEAR(BC$3)=YEAR(Headcount!$P$4),IF((BC$5=2),((SUMIFS(Headcount!$P$6:$P$89,Headcount!$F$6:$F$89,"Finance",Headcount!$H$6:$H$89,"&gt;="&amp;Finance!BC$3)/12)),BB12),IF(YEAR(BC$3)=YEAR(Headcount!$Q$4),IF((BC$5=2),((SUMIFS(Headcount!$Q$6:$Q$89,Headcount!$F$6:$F$89,"Finance",Headcount!$H$6:$H$89,"&gt;="&amp;Finance!BC$3)/12)),BB12),IF(YEAR(BC$3)=YEAR(Headcount!$R$4),IF((BC$5=2),((SUMIFS(Headcount!$R$6:$R$89,Headcount!$F$6:$F$89,"Finance",Headcount!$H$6:$H$89,"&gt;="&amp;Finance!BC$3)/12)),BB12),"New Year"))))),SUMIF('Dept. Cost Actuals'!$E$7:$E$176,"*salary*",'Dept. Cost Actuals'!BG$529:BG$628))</f>
        <v>31384.958333333332</v>
      </c>
      <c r="BD12" s="1139">
        <f>IF(BD$4="forecast",IF(YEAR(BD$3)=YEAR(Headcount!$N$4),((SUMIFS(Headcount!$N$6:$N$89,Headcount!$F$6:$F$89,"Finance",Headcount!$H$6:$H$89,"&gt;="&amp;Finance!BD$3)/12)),IF(YEAR(BD$3)=YEAR(Headcount!$O$4),IF((BD$5=2),((SUMIFS(Headcount!$O$6:$O$89,Headcount!$F$6:$F$89,"Finance",Headcount!$H$6:$H$89,"&gt;="&amp;Finance!BD$3)/12)),BC12),IF(YEAR(BD$3)=YEAR(Headcount!$P$4),IF((BD$5=2),((SUMIFS(Headcount!$P$6:$P$89,Headcount!$F$6:$F$89,"Finance",Headcount!$H$6:$H$89,"&gt;="&amp;Finance!BD$3)/12)),BC12),IF(YEAR(BD$3)=YEAR(Headcount!$Q$4),IF((BD$5=2),((SUMIFS(Headcount!$Q$6:$Q$89,Headcount!$F$6:$F$89,"Finance",Headcount!$H$6:$H$89,"&gt;="&amp;Finance!BD$3)/12)),BC12),IF(YEAR(BD$3)=YEAR(Headcount!$R$4),IF((BD$5=2),((SUMIFS(Headcount!$R$6:$R$89,Headcount!$F$6:$F$89,"Finance",Headcount!$H$6:$H$89,"&gt;="&amp;Finance!BD$3)/12)),BC12),"New Year"))))),SUMIF('Dept. Cost Actuals'!$E$7:$E$176,"*salary*",'Dept. Cost Actuals'!BH$529:BH$628))</f>
        <v>31384.958333333332</v>
      </c>
      <c r="BE12" s="1139">
        <f>IF(BE$4="forecast",IF(YEAR(BE$3)=YEAR(Headcount!$N$4),((SUMIFS(Headcount!$N$6:$N$89,Headcount!$F$6:$F$89,"Finance",Headcount!$H$6:$H$89,"&gt;="&amp;Finance!BE$3)/12)),IF(YEAR(BE$3)=YEAR(Headcount!$O$4),IF((BE$5=2),((SUMIFS(Headcount!$O$6:$O$89,Headcount!$F$6:$F$89,"Finance",Headcount!$H$6:$H$89,"&gt;="&amp;Finance!BE$3)/12)),BD12),IF(YEAR(BE$3)=YEAR(Headcount!$P$4),IF((BE$5=2),((SUMIFS(Headcount!$P$6:$P$89,Headcount!$F$6:$F$89,"Finance",Headcount!$H$6:$H$89,"&gt;="&amp;Finance!BE$3)/12)),BD12),IF(YEAR(BE$3)=YEAR(Headcount!$Q$4),IF((BE$5=2),((SUMIFS(Headcount!$Q$6:$Q$89,Headcount!$F$6:$F$89,"Finance",Headcount!$H$6:$H$89,"&gt;="&amp;Finance!BE$3)/12)),BD12),IF(YEAR(BE$3)=YEAR(Headcount!$R$4),IF((BE$5=2),((SUMIFS(Headcount!$R$6:$R$89,Headcount!$F$6:$F$89,"Finance",Headcount!$H$6:$H$89,"&gt;="&amp;Finance!BE$3)/12)),BD12),"New Year"))))),SUMIF('Dept. Cost Actuals'!$E$7:$E$176,"*salary*",'Dept. Cost Actuals'!BI$529:BI$628))</f>
        <v>31384.958333333332</v>
      </c>
      <c r="BF12" s="1139">
        <f>IF(BF$4="forecast",IF(YEAR(BF$3)=YEAR(Headcount!$N$4),((SUMIFS(Headcount!$N$6:$N$89,Headcount!$F$6:$F$89,"Finance",Headcount!$H$6:$H$89,"&gt;="&amp;Finance!BF$3)/12)),IF(YEAR(BF$3)=YEAR(Headcount!$O$4),IF((BF$5=2),((SUMIFS(Headcount!$O$6:$O$89,Headcount!$F$6:$F$89,"Finance",Headcount!$H$6:$H$89,"&gt;="&amp;Finance!BF$3)/12)),BE12),IF(YEAR(BF$3)=YEAR(Headcount!$P$4),IF((BF$5=2),((SUMIFS(Headcount!$P$6:$P$89,Headcount!$F$6:$F$89,"Finance",Headcount!$H$6:$H$89,"&gt;="&amp;Finance!BF$3)/12)),BE12),IF(YEAR(BF$3)=YEAR(Headcount!$Q$4),IF((BF$5=2),((SUMIFS(Headcount!$Q$6:$Q$89,Headcount!$F$6:$F$89,"Finance",Headcount!$H$6:$H$89,"&gt;="&amp;Finance!BF$3)/12)),BE12),IF(YEAR(BF$3)=YEAR(Headcount!$R$4),IF((BF$5=2),((SUMIFS(Headcount!$R$6:$R$89,Headcount!$F$6:$F$89,"Finance",Headcount!$H$6:$H$89,"&gt;="&amp;Finance!BF$3)/12)),BE12),"New Year"))))),SUMIF('Dept. Cost Actuals'!$E$7:$E$176,"*salary*",'Dept. Cost Actuals'!BJ$529:BJ$628))</f>
        <v>31384.958333333332</v>
      </c>
      <c r="BG12" s="1139">
        <f>IF(BG$4="forecast",IF(YEAR(BG$3)=YEAR(Headcount!$N$4),((SUMIFS(Headcount!$N$6:$N$89,Headcount!$F$6:$F$89,"Finance",Headcount!$H$6:$H$89,"&gt;="&amp;Finance!BG$3)/12)),IF(YEAR(BG$3)=YEAR(Headcount!$O$4),IF((BG$5=2),((SUMIFS(Headcount!$O$6:$O$89,Headcount!$F$6:$F$89,"Finance",Headcount!$H$6:$H$89,"&gt;="&amp;Finance!BG$3)/12)),BF12),IF(YEAR(BG$3)=YEAR(Headcount!$P$4),IF((BG$5=2),((SUMIFS(Headcount!$P$6:$P$89,Headcount!$F$6:$F$89,"Finance",Headcount!$H$6:$H$89,"&gt;="&amp;Finance!BG$3)/12)),BF12),IF(YEAR(BG$3)=YEAR(Headcount!$Q$4),IF((BG$5=2),((SUMIFS(Headcount!$Q$6:$Q$89,Headcount!$F$6:$F$89,"Finance",Headcount!$H$6:$H$89,"&gt;="&amp;Finance!BG$3)/12)),BF12),IF(YEAR(BG$3)=YEAR(Headcount!$R$4),IF((BG$5=2),((SUMIFS(Headcount!$R$6:$R$89,Headcount!$F$6:$F$89,"Finance",Headcount!$H$6:$H$89,"&gt;="&amp;Finance!BG$3)/12)),BF12),"New Year"))))),SUMIF('Dept. Cost Actuals'!$E$7:$E$176,"*salary*",'Dept. Cost Actuals'!BK$529:BK$628))</f>
        <v>31384.958333333332</v>
      </c>
      <c r="BH12" s="1139">
        <f>IF(BH$4="forecast",IF(YEAR(BH$3)=YEAR(Headcount!$N$4),((SUMIFS(Headcount!$N$6:$N$89,Headcount!$F$6:$F$89,"Finance",Headcount!$H$6:$H$89,"&gt;="&amp;Finance!BH$3)/12)),IF(YEAR(BH$3)=YEAR(Headcount!$O$4),IF((BH$5=2),((SUMIFS(Headcount!$O$6:$O$89,Headcount!$F$6:$F$89,"Finance",Headcount!$H$6:$H$89,"&gt;="&amp;Finance!BH$3)/12)),BG12),IF(YEAR(BH$3)=YEAR(Headcount!$P$4),IF((BH$5=2),((SUMIFS(Headcount!$P$6:$P$89,Headcount!$F$6:$F$89,"Finance",Headcount!$H$6:$H$89,"&gt;="&amp;Finance!BH$3)/12)),BG12),IF(YEAR(BH$3)=YEAR(Headcount!$Q$4),IF((BH$5=2),((SUMIFS(Headcount!$Q$6:$Q$89,Headcount!$F$6:$F$89,"Finance",Headcount!$H$6:$H$89,"&gt;="&amp;Finance!BH$3)/12)),BG12),IF(YEAR(BH$3)=YEAR(Headcount!$R$4),IF((BH$5=2),((SUMIFS(Headcount!$R$6:$R$89,Headcount!$F$6:$F$89,"Finance",Headcount!$H$6:$H$89,"&gt;="&amp;Finance!BH$3)/12)),BG12),"New Year"))))),SUMIF('Dept. Cost Actuals'!$E$7:$E$176,"*salary*",'Dept. Cost Actuals'!BL$529:BL$628))</f>
        <v>31384.958333333332</v>
      </c>
      <c r="BI12" s="1139">
        <f>IF(BI$4="forecast",IF(YEAR(BI$3)=YEAR(Headcount!$N$4),((SUMIFS(Headcount!$N$6:$N$89,Headcount!$F$6:$F$89,"Finance",Headcount!$H$6:$H$89,"&gt;="&amp;Finance!BI$3)/12)),IF(YEAR(BI$3)=YEAR(Headcount!$O$4),IF((BI$5=2),((SUMIFS(Headcount!$O$6:$O$89,Headcount!$F$6:$F$89,"Finance",Headcount!$H$6:$H$89,"&gt;="&amp;Finance!BI$3)/12)),BH12),IF(YEAR(BI$3)=YEAR(Headcount!$P$4),IF((BI$5=2),((SUMIFS(Headcount!$P$6:$P$89,Headcount!$F$6:$F$89,"Finance",Headcount!$H$6:$H$89,"&gt;="&amp;Finance!BI$3)/12)),BH12),IF(YEAR(BI$3)=YEAR(Headcount!$Q$4),IF((BI$5=2),((SUMIFS(Headcount!$Q$6:$Q$89,Headcount!$F$6:$F$89,"Finance",Headcount!$H$6:$H$89,"&gt;="&amp;Finance!BI$3)/12)),BH12),IF(YEAR(BI$3)=YEAR(Headcount!$R$4),IF((BI$5=2),((SUMIFS(Headcount!$R$6:$R$89,Headcount!$F$6:$F$89,"Finance",Headcount!$H$6:$H$89,"&gt;="&amp;Finance!BI$3)/12)),BH12),"New Year"))))),SUMIF('Dept. Cost Actuals'!$E$7:$E$176,"*salary*",'Dept. Cost Actuals'!BM$529:BM$628))</f>
        <v>31384.958333333332</v>
      </c>
      <c r="BJ12" s="1139">
        <f>IF(BJ$4="forecast",IF(YEAR(BJ$3)=YEAR(Headcount!$N$4),((SUMIFS(Headcount!$N$6:$N$89,Headcount!$F$6:$F$89,"Finance",Headcount!$H$6:$H$89,"&gt;="&amp;Finance!BJ$3)/12)),IF(YEAR(BJ$3)=YEAR(Headcount!$O$4),IF((BJ$5=2),((SUMIFS(Headcount!$O$6:$O$89,Headcount!$F$6:$F$89,"Finance",Headcount!$H$6:$H$89,"&gt;="&amp;Finance!BJ$3)/12)),BI12),IF(YEAR(BJ$3)=YEAR(Headcount!$P$4),IF((BJ$5=2),((SUMIFS(Headcount!$P$6:$P$89,Headcount!$F$6:$F$89,"Finance",Headcount!$H$6:$H$89,"&gt;="&amp;Finance!BJ$3)/12)),BI12),IF(YEAR(BJ$3)=YEAR(Headcount!$Q$4),IF((BJ$5=2),((SUMIFS(Headcount!$Q$6:$Q$89,Headcount!$F$6:$F$89,"Finance",Headcount!$H$6:$H$89,"&gt;="&amp;Finance!BJ$3)/12)),BI12),IF(YEAR(BJ$3)=YEAR(Headcount!$R$4),IF((BJ$5=2),((SUMIFS(Headcount!$R$6:$R$89,Headcount!$F$6:$F$89,"Finance",Headcount!$H$6:$H$89,"&gt;="&amp;Finance!BJ$3)/12)),BI12),"New Year"))))),SUMIF('Dept. Cost Actuals'!$E$7:$E$176,"*salary*",'Dept. Cost Actuals'!BN$529:BN$628))</f>
        <v>31384.958333333332</v>
      </c>
      <c r="BK12" s="1139">
        <f>IF(BK$4="forecast",IF(YEAR(BK$3)=YEAR(Headcount!$N$4),((SUMIFS(Headcount!$N$6:$N$89,Headcount!$F$6:$F$89,"Finance",Headcount!$H$6:$H$89,"&gt;="&amp;Finance!BK$3)/12)),IF(YEAR(BK$3)=YEAR(Headcount!$O$4),IF((BK$5=2),((SUMIFS(Headcount!$O$6:$O$89,Headcount!$F$6:$F$89,"Finance",Headcount!$H$6:$H$89,"&gt;="&amp;Finance!BK$3)/12)),BJ12),IF(YEAR(BK$3)=YEAR(Headcount!$P$4),IF((BK$5=2),((SUMIFS(Headcount!$P$6:$P$89,Headcount!$F$6:$F$89,"Finance",Headcount!$H$6:$H$89,"&gt;="&amp;Finance!BK$3)/12)),BJ12),IF(YEAR(BK$3)=YEAR(Headcount!$Q$4),IF((BK$5=2),((SUMIFS(Headcount!$Q$6:$Q$89,Headcount!$F$6:$F$89,"Finance",Headcount!$H$6:$H$89,"&gt;="&amp;Finance!BK$3)/12)),BJ12),IF(YEAR(BK$3)=YEAR(Headcount!$R$4),IF((BK$5=2),((SUMIFS(Headcount!$R$6:$R$89,Headcount!$F$6:$F$89,"Finance",Headcount!$H$6:$H$89,"&gt;="&amp;Finance!BK$3)/12)),BJ12),"New Year"))))),SUMIF('Dept. Cost Actuals'!$E$7:$E$176,"*salary*",'Dept. Cost Actuals'!BO$529:BO$628))</f>
        <v>31384.958333333332</v>
      </c>
      <c r="BL12" s="1139">
        <f>IF(BL$4="forecast",IF(YEAR(BL$3)=YEAR(Headcount!$N$4),((SUMIFS(Headcount!$N$6:$N$89,Headcount!$F$6:$F$89,"Finance",Headcount!$H$6:$H$89,"&gt;="&amp;Finance!BL$3)/12)),IF(YEAR(BL$3)=YEAR(Headcount!$O$4),IF((BL$5=2),((SUMIFS(Headcount!$O$6:$O$89,Headcount!$F$6:$F$89,"Finance",Headcount!$H$6:$H$89,"&gt;="&amp;Finance!BL$3)/12)),BK12),IF(YEAR(BL$3)=YEAR(Headcount!$P$4),IF((BL$5=2),((SUMIFS(Headcount!$P$6:$P$89,Headcount!$F$6:$F$89,"Finance",Headcount!$H$6:$H$89,"&gt;="&amp;Finance!BL$3)/12)),BK12),IF(YEAR(BL$3)=YEAR(Headcount!$Q$4),IF((BL$5=2),((SUMIFS(Headcount!$Q$6:$Q$89,Headcount!$F$6:$F$89,"Finance",Headcount!$H$6:$H$89,"&gt;="&amp;Finance!BL$3)/12)),BK12),IF(YEAR(BL$3)=YEAR(Headcount!$R$4),IF((BL$5=2),((SUMIFS(Headcount!$R$6:$R$89,Headcount!$F$6:$F$89,"Finance",Headcount!$H$6:$H$89,"&gt;="&amp;Finance!BL$3)/12)),BK12),"New Year"))))),SUMIF('Dept. Cost Actuals'!$E$7:$E$176,"*salary*",'Dept. Cost Actuals'!BP$529:BP$628))</f>
        <v>32326.50708333333</v>
      </c>
      <c r="BM12" s="1139">
        <f>IF(BM$4="forecast",IF(YEAR(BM$3)=YEAR(Headcount!$N$4),((SUMIFS(Headcount!$N$6:$N$89,Headcount!$F$6:$F$89,"Finance",Headcount!$H$6:$H$89,"&gt;="&amp;Finance!BM$3)/12)),IF(YEAR(BM$3)=YEAR(Headcount!$O$4),IF((BM$5=2),((SUMIFS(Headcount!$O$6:$O$89,Headcount!$F$6:$F$89,"Finance",Headcount!$H$6:$H$89,"&gt;="&amp;Finance!BM$3)/12)),BL12),IF(YEAR(BM$3)=YEAR(Headcount!$P$4),IF((BM$5=2),((SUMIFS(Headcount!$P$6:$P$89,Headcount!$F$6:$F$89,"Finance",Headcount!$H$6:$H$89,"&gt;="&amp;Finance!BM$3)/12)),BL12),IF(YEAR(BM$3)=YEAR(Headcount!$Q$4),IF((BM$5=2),((SUMIFS(Headcount!$Q$6:$Q$89,Headcount!$F$6:$F$89,"Finance",Headcount!$H$6:$H$89,"&gt;="&amp;Finance!BM$3)/12)),BL12),IF(YEAR(BM$3)=YEAR(Headcount!$R$4),IF((BM$5=2),((SUMIFS(Headcount!$R$6:$R$89,Headcount!$F$6:$F$89,"Finance",Headcount!$H$6:$H$89,"&gt;="&amp;Finance!BM$3)/12)),BL12),"New Year"))))),SUMIF('Dept. Cost Actuals'!$E$7:$E$176,"*salary*",'Dept. Cost Actuals'!BQ$529:BQ$628))</f>
        <v>32326.50708333333</v>
      </c>
      <c r="BN12" s="1139">
        <f>IF(BN$4="forecast",IF(YEAR(BN$3)=YEAR(Headcount!$N$4),((SUMIFS(Headcount!$N$6:$N$89,Headcount!$F$6:$F$89,"Finance",Headcount!$H$6:$H$89,"&gt;="&amp;Finance!BN$3)/12)),IF(YEAR(BN$3)=YEAR(Headcount!$O$4),IF((BN$5=2),((SUMIFS(Headcount!$O$6:$O$89,Headcount!$F$6:$F$89,"Finance",Headcount!$H$6:$H$89,"&gt;="&amp;Finance!BN$3)/12)),BM12),IF(YEAR(BN$3)=YEAR(Headcount!$P$4),IF((BN$5=2),((SUMIFS(Headcount!$P$6:$P$89,Headcount!$F$6:$F$89,"Finance",Headcount!$H$6:$H$89,"&gt;="&amp;Finance!BN$3)/12)),BM12),IF(YEAR(BN$3)=YEAR(Headcount!$Q$4),IF((BN$5=2),((SUMIFS(Headcount!$Q$6:$Q$89,Headcount!$F$6:$F$89,"Finance",Headcount!$H$6:$H$89,"&gt;="&amp;Finance!BN$3)/12)),BM12),IF(YEAR(BN$3)=YEAR(Headcount!$R$4),IF((BN$5=2),((SUMIFS(Headcount!$R$6:$R$89,Headcount!$F$6:$F$89,"Finance",Headcount!$H$6:$H$89,"&gt;="&amp;Finance!BN$3)/12)),BM12),"New Year"))))),SUMIF('Dept. Cost Actuals'!$E$7:$E$176,"*salary*",'Dept. Cost Actuals'!BR$529:BR$628))</f>
        <v>32326.50708333333</v>
      </c>
      <c r="BO12" s="1139">
        <f>IF(BO$4="forecast",IF(YEAR(BO$3)=YEAR(Headcount!$N$4),((SUMIFS(Headcount!$N$6:$N$89,Headcount!$F$6:$F$89,"Finance",Headcount!$H$6:$H$89,"&gt;="&amp;Finance!BO$3)/12)),IF(YEAR(BO$3)=YEAR(Headcount!$O$4),IF((BO$5=2),((SUMIFS(Headcount!$O$6:$O$89,Headcount!$F$6:$F$89,"Finance",Headcount!$H$6:$H$89,"&gt;="&amp;Finance!BO$3)/12)),BN12),IF(YEAR(BO$3)=YEAR(Headcount!$P$4),IF((BO$5=2),((SUMIFS(Headcount!$P$6:$P$89,Headcount!$F$6:$F$89,"Finance",Headcount!$H$6:$H$89,"&gt;="&amp;Finance!BO$3)/12)),BN12),IF(YEAR(BO$3)=YEAR(Headcount!$Q$4),IF((BO$5=2),((SUMIFS(Headcount!$Q$6:$Q$89,Headcount!$F$6:$F$89,"Finance",Headcount!$H$6:$H$89,"&gt;="&amp;Finance!BO$3)/12)),BN12),IF(YEAR(BO$3)=YEAR(Headcount!$R$4),IF((BO$5=2),((SUMIFS(Headcount!$R$6:$R$89,Headcount!$F$6:$F$89,"Finance",Headcount!$H$6:$H$89,"&gt;="&amp;Finance!BO$3)/12)),BN12),"New Year"))))),SUMIF('Dept. Cost Actuals'!$E$7:$E$176,"*salary*",'Dept. Cost Actuals'!BS$529:BS$628))</f>
        <v>32326.50708333333</v>
      </c>
      <c r="BP12" s="1139">
        <f>IF(BP$4="forecast",IF(YEAR(BP$3)=YEAR(Headcount!$N$4),((SUMIFS(Headcount!$N$6:$N$89,Headcount!$F$6:$F$89,"Finance",Headcount!$H$6:$H$89,"&gt;="&amp;Finance!BP$3)/12)),IF(YEAR(BP$3)=YEAR(Headcount!$O$4),IF((BP$5=2),((SUMIFS(Headcount!$O$6:$O$89,Headcount!$F$6:$F$89,"Finance",Headcount!$H$6:$H$89,"&gt;="&amp;Finance!BP$3)/12)),BO12),IF(YEAR(BP$3)=YEAR(Headcount!$P$4),IF((BP$5=2),((SUMIFS(Headcount!$P$6:$P$89,Headcount!$F$6:$F$89,"Finance",Headcount!$H$6:$H$89,"&gt;="&amp;Finance!BP$3)/12)),BO12),IF(YEAR(BP$3)=YEAR(Headcount!$Q$4),IF((BP$5=2),((SUMIFS(Headcount!$Q$6:$Q$89,Headcount!$F$6:$F$89,"Finance",Headcount!$H$6:$H$89,"&gt;="&amp;Finance!BP$3)/12)),BO12),IF(YEAR(BP$3)=YEAR(Headcount!$R$4),IF((BP$5=2),((SUMIFS(Headcount!$R$6:$R$89,Headcount!$F$6:$F$89,"Finance",Headcount!$H$6:$H$89,"&gt;="&amp;Finance!BP$3)/12)),BO12),"New Year"))))),SUMIF('Dept. Cost Actuals'!$E$7:$E$176,"*salary*",'Dept. Cost Actuals'!BT$529:BT$628))</f>
        <v>32326.50708333333</v>
      </c>
      <c r="BQ12" s="1139">
        <f>IF(BQ$4="forecast",IF(YEAR(BQ$3)=YEAR(Headcount!$N$4),((SUMIFS(Headcount!$N$6:$N$89,Headcount!$F$6:$F$89,"Finance",Headcount!$H$6:$H$89,"&gt;="&amp;Finance!BQ$3)/12)),IF(YEAR(BQ$3)=YEAR(Headcount!$O$4),IF((BQ$5=2),((SUMIFS(Headcount!$O$6:$O$89,Headcount!$F$6:$F$89,"Finance",Headcount!$H$6:$H$89,"&gt;="&amp;Finance!BQ$3)/12)),BP12),IF(YEAR(BQ$3)=YEAR(Headcount!$P$4),IF((BQ$5=2),((SUMIFS(Headcount!$P$6:$P$89,Headcount!$F$6:$F$89,"Finance",Headcount!$H$6:$H$89,"&gt;="&amp;Finance!BQ$3)/12)),BP12),IF(YEAR(BQ$3)=YEAR(Headcount!$Q$4),IF((BQ$5=2),((SUMIFS(Headcount!$Q$6:$Q$89,Headcount!$F$6:$F$89,"Finance",Headcount!$H$6:$H$89,"&gt;="&amp;Finance!BQ$3)/12)),BP12),IF(YEAR(BQ$3)=YEAR(Headcount!$R$4),IF((BQ$5=2),((SUMIFS(Headcount!$R$6:$R$89,Headcount!$F$6:$F$89,"Finance",Headcount!$H$6:$H$89,"&gt;="&amp;Finance!BQ$3)/12)),BP12),"New Year"))))),SUMIF('Dept. Cost Actuals'!$E$7:$E$176,"*salary*",'Dept. Cost Actuals'!BU$529:BU$628))</f>
        <v>32326.50708333333</v>
      </c>
      <c r="BR12" s="1139">
        <f>IF(BR$4="forecast",IF(YEAR(BR$3)=YEAR(Headcount!$N$4),((SUMIFS(Headcount!$N$6:$N$89,Headcount!$F$6:$F$89,"Finance",Headcount!$H$6:$H$89,"&gt;="&amp;Finance!BR$3)/12)),IF(YEAR(BR$3)=YEAR(Headcount!$O$4),IF((BR$5=2),((SUMIFS(Headcount!$O$6:$O$89,Headcount!$F$6:$F$89,"Finance",Headcount!$H$6:$H$89,"&gt;="&amp;Finance!BR$3)/12)),BQ12),IF(YEAR(BR$3)=YEAR(Headcount!$P$4),IF((BR$5=2),((SUMIFS(Headcount!$P$6:$P$89,Headcount!$F$6:$F$89,"Finance",Headcount!$H$6:$H$89,"&gt;="&amp;Finance!BR$3)/12)),BQ12),IF(YEAR(BR$3)=YEAR(Headcount!$Q$4),IF((BR$5=2),((SUMIFS(Headcount!$Q$6:$Q$89,Headcount!$F$6:$F$89,"Finance",Headcount!$H$6:$H$89,"&gt;="&amp;Finance!BR$3)/12)),BQ12),IF(YEAR(BR$3)=YEAR(Headcount!$R$4),IF((BR$5=2),((SUMIFS(Headcount!$R$6:$R$89,Headcount!$F$6:$F$89,"Finance",Headcount!$H$6:$H$89,"&gt;="&amp;Finance!BR$3)/12)),BQ12),"New Year"))))),SUMIF('Dept. Cost Actuals'!$E$7:$E$176,"*salary*",'Dept. Cost Actuals'!BV$529:BV$628))</f>
        <v>32326.50708333333</v>
      </c>
      <c r="BS12" s="1139">
        <f>IF(BS$4="forecast",IF(YEAR(BS$3)=YEAR(Headcount!$N$4),((SUMIFS(Headcount!$N$6:$N$89,Headcount!$F$6:$F$89,"Finance",Headcount!$H$6:$H$89,"&gt;="&amp;Finance!BS$3)/12)),IF(YEAR(BS$3)=YEAR(Headcount!$O$4),IF((BS$5=2),((SUMIFS(Headcount!$O$6:$O$89,Headcount!$F$6:$F$89,"Finance",Headcount!$H$6:$H$89,"&gt;="&amp;Finance!BS$3)/12)),BR12),IF(YEAR(BS$3)=YEAR(Headcount!$P$4),IF((BS$5=2),((SUMIFS(Headcount!$P$6:$P$89,Headcount!$F$6:$F$89,"Finance",Headcount!$H$6:$H$89,"&gt;="&amp;Finance!BS$3)/12)),BR12),IF(YEAR(BS$3)=YEAR(Headcount!$Q$4),IF((BS$5=2),((SUMIFS(Headcount!$Q$6:$Q$89,Headcount!$F$6:$F$89,"Finance",Headcount!$H$6:$H$89,"&gt;="&amp;Finance!BS$3)/12)),BR12),IF(YEAR(BS$3)=YEAR(Headcount!$R$4),IF((BS$5=2),((SUMIFS(Headcount!$R$6:$R$89,Headcount!$F$6:$F$89,"Finance",Headcount!$H$6:$H$89,"&gt;="&amp;Finance!BS$3)/12)),BR12),"New Year"))))),SUMIF('Dept. Cost Actuals'!$E$7:$E$176,"*salary*",'Dept. Cost Actuals'!BW$529:BW$628))</f>
        <v>32326.50708333333</v>
      </c>
      <c r="BT12" s="1139">
        <f>IF(BT$4="forecast",IF(YEAR(BT$3)=YEAR(Headcount!$N$4),((SUMIFS(Headcount!$N$6:$N$89,Headcount!$F$6:$F$89,"Finance",Headcount!$H$6:$H$89,"&gt;="&amp;Finance!BT$3)/12)),IF(YEAR(BT$3)=YEAR(Headcount!$O$4),IF((BT$5=2),((SUMIFS(Headcount!$O$6:$O$89,Headcount!$F$6:$F$89,"Finance",Headcount!$H$6:$H$89,"&gt;="&amp;Finance!BT$3)/12)),BS12),IF(YEAR(BT$3)=YEAR(Headcount!$P$4),IF((BT$5=2),((SUMIFS(Headcount!$P$6:$P$89,Headcount!$F$6:$F$89,"Finance",Headcount!$H$6:$H$89,"&gt;="&amp;Finance!BT$3)/12)),BS12),IF(YEAR(BT$3)=YEAR(Headcount!$Q$4),IF((BT$5=2),((SUMIFS(Headcount!$Q$6:$Q$89,Headcount!$F$6:$F$89,"Finance",Headcount!$H$6:$H$89,"&gt;="&amp;Finance!BT$3)/12)),BS12),IF(YEAR(BT$3)=YEAR(Headcount!$R$4),IF((BT$5=2),((SUMIFS(Headcount!$R$6:$R$89,Headcount!$F$6:$F$89,"Finance",Headcount!$H$6:$H$89,"&gt;="&amp;Finance!BT$3)/12)),BS12),"New Year"))))),SUMIF('Dept. Cost Actuals'!$E$7:$E$176,"*salary*",'Dept. Cost Actuals'!BX$529:BX$628))</f>
        <v>32326.50708333333</v>
      </c>
      <c r="BU12" s="1139">
        <f>IF(BU$4="forecast",IF(YEAR(BU$3)=YEAR(Headcount!$N$4),((SUMIFS(Headcount!$N$6:$N$89,Headcount!$F$6:$F$89,"Finance",Headcount!$H$6:$H$89,"&gt;="&amp;Finance!BU$3)/12)),IF(YEAR(BU$3)=YEAR(Headcount!$O$4),IF((BU$5=2),((SUMIFS(Headcount!$O$6:$O$89,Headcount!$F$6:$F$89,"Finance",Headcount!$H$6:$H$89,"&gt;="&amp;Finance!BU$3)/12)),BT12),IF(YEAR(BU$3)=YEAR(Headcount!$P$4),IF((BU$5=2),((SUMIFS(Headcount!$P$6:$P$89,Headcount!$F$6:$F$89,"Finance",Headcount!$H$6:$H$89,"&gt;="&amp;Finance!BU$3)/12)),BT12),IF(YEAR(BU$3)=YEAR(Headcount!$Q$4),IF((BU$5=2),((SUMIFS(Headcount!$Q$6:$Q$89,Headcount!$F$6:$F$89,"Finance",Headcount!$H$6:$H$89,"&gt;="&amp;Finance!BU$3)/12)),BT12),IF(YEAR(BU$3)=YEAR(Headcount!$R$4),IF((BU$5=2),((SUMIFS(Headcount!$R$6:$R$89,Headcount!$F$6:$F$89,"Finance",Headcount!$H$6:$H$89,"&gt;="&amp;Finance!BU$3)/12)),BT12),"New Year"))))),SUMIF('Dept. Cost Actuals'!$E$7:$E$176,"*salary*",'Dept. Cost Actuals'!BY$529:BY$628))</f>
        <v>32326.50708333333</v>
      </c>
      <c r="BV12" s="789">
        <f>IF(BV$4="forecast",IF(YEAR(BV$3)=YEAR(Headcount!$N$4),((SUMIFS(Headcount!$N$6:$N$89,Headcount!$F$6:$F$89,"Finance",Headcount!$H$6:$H$89,"&gt;="&amp;Finance!BV$3)/12)),IF(YEAR(BV$3)=YEAR(Headcount!$O$4),IF((BV$5=2),((SUMIFS(Headcount!$O$6:$O$89,Headcount!$F$6:$F$89,"Finance",Headcount!$H$6:$H$89,"&gt;="&amp;Finance!BV$3)/12)),BU12),IF(YEAR(BV$3)=YEAR(Headcount!$P$4),IF((BV$5=2),((SUMIFS(Headcount!$P$6:$P$89,Headcount!$F$6:$F$89,"Finance",Headcount!$H$6:$H$89,"&gt;="&amp;Finance!BV$3)/12)),BU12),IF(YEAR(BV$3)=YEAR(Headcount!$Q$4),IF((BV$5=2),((SUMIFS(Headcount!$Q$6:$Q$89,Headcount!$F$6:$F$89,"Finance",Headcount!$H$6:$H$89,"&gt;="&amp;Finance!BV$3)/12)),BU12),IF(YEAR(BV$3)=YEAR(Headcount!$R$4),IF((BV$5=2),((SUMIFS(Headcount!$R$6:$R$89,Headcount!$F$6:$F$89,"Finance",Headcount!$H$6:$H$89,"&gt;="&amp;Finance!BV$3)/12)),BU12),"New Year"))))),SUMIF('Dept. Cost Actuals'!$E$7:$E$176,"*salary*",'Dept. Cost Actuals'!BZ$529:BZ$628))</f>
        <v>32326.50708333333</v>
      </c>
    </row>
    <row r="13" spans="2:74" x14ac:dyDescent="0.25">
      <c r="B13" s="780" t="s">
        <v>928</v>
      </c>
      <c r="C13" s="668">
        <f>IF(C$4="forecast",IF(YEAR(C$3)=YEAR('New Hires Forecast'!$N$3),((SUMIFS('New Hires Forecast'!$N$5:$N$82,'New Hires Forecast'!$F$5:$F$82,"Finance",'New Hires Forecast'!$H$5:$H$82,"&gt;="&amp;Finance!C$3,'New Hires Forecast'!$G$5:$G$82,"&lt;="&amp;Finance!C$3)/12)),IF(YEAR(C$3)=YEAR('New Hires Forecast'!$O$3),((SUMIFS('New Hires Forecast'!$O$5:$O$82,'New Hires Forecast'!$F$5:$F$82,"Finance",'New Hires Forecast'!$H$5:$H$82,"&gt;="&amp;Finance!C$3,'New Hires Forecast'!$G$5:$G$82,"&lt;="&amp;Finance!C$3)/12)),IF(YEAR(C$3)=YEAR('New Hires Forecast'!$P$3),((SUMIFS('New Hires Forecast'!$P$5:$P$82,'New Hires Forecast'!$F$5:$F$82,"Finance",'New Hires Forecast'!$H$5:$H$82,"&gt;="&amp;Finance!C$3,'New Hires Forecast'!$G$5:$G$82,"&lt;="&amp;Finance!C$3)/12)),IF(YEAR(C$3)=YEAR('New Hires Forecast'!$Q$3),((SUMIFS('New Hires Forecast'!$Q$5:$Q$82,'New Hires Forecast'!$F$5:$F$82,"Finance",'New Hires Forecast'!$H$5:$H$82,"&gt;="&amp;Finance!C$3,'New Hires Forecast'!$G$5:$G$82,"&lt;="&amp;Finance!C$3)/12)),IF(YEAR(C$3)=YEAR('New Hires Forecast'!$R$3),((SUMIFS('New Hires Forecast'!$R$5:$R$82,'New Hires Forecast'!$F$5:$F$82,"Finance",'New Hires Forecast'!$H$5:$H$82,"&gt;="&amp;Finance!C$3,'New Hires Forecast'!$G$5:$G$82,"&lt;="&amp;Finance!C$3)/12))))))),0)</f>
        <v>0</v>
      </c>
      <c r="D13" s="668">
        <f>IF(D$4="forecast",IF(YEAR(D$3)=YEAR('New Hires Forecast'!$N$3),((SUMIFS('New Hires Forecast'!$N$5:$N$82,'New Hires Forecast'!$F$5:$F$82,"Finance",'New Hires Forecast'!$H$5:$H$82,"&gt;="&amp;Finance!D$3,'New Hires Forecast'!$G$5:$G$82,"&lt;="&amp;Finance!D$3)/12)),IF(YEAR(D$3)=YEAR('New Hires Forecast'!$O$3),((SUMIFS('New Hires Forecast'!$O$5:$O$82,'New Hires Forecast'!$F$5:$F$82,"Finance",'New Hires Forecast'!$H$5:$H$82,"&gt;="&amp;Finance!D$3,'New Hires Forecast'!$G$5:$G$82,"&lt;="&amp;Finance!D$3)/12)),IF(YEAR(D$3)=YEAR('New Hires Forecast'!$P$3),((SUMIFS('New Hires Forecast'!$P$5:$P$82,'New Hires Forecast'!$F$5:$F$82,"Finance",'New Hires Forecast'!$H$5:$H$82,"&gt;="&amp;Finance!D$3,'New Hires Forecast'!$G$5:$G$82,"&lt;="&amp;Finance!D$3)/12)),IF(YEAR(D$3)=YEAR('New Hires Forecast'!$Q$3),((SUMIFS('New Hires Forecast'!$Q$5:$Q$82,'New Hires Forecast'!$F$5:$F$82,"Finance",'New Hires Forecast'!$H$5:$H$82,"&gt;="&amp;Finance!D$3,'New Hires Forecast'!$G$5:$G$82,"&lt;="&amp;Finance!D$3)/12)),IF(YEAR(D$3)=YEAR('New Hires Forecast'!$R$3),((SUMIFS('New Hires Forecast'!$R$5:$R$82,'New Hires Forecast'!$F$5:$F$82,"Finance",'New Hires Forecast'!$H$5:$H$82,"&gt;="&amp;Finance!D$3,'New Hires Forecast'!$G$5:$G$82,"&lt;="&amp;Finance!D$3)/12))))))),0)</f>
        <v>0</v>
      </c>
      <c r="E13" s="668">
        <f>IF(E$4="forecast",IF(YEAR(E$3)=YEAR('New Hires Forecast'!$N$3),((SUMIFS('New Hires Forecast'!$N$5:$N$82,'New Hires Forecast'!$F$5:$F$82,"Finance",'New Hires Forecast'!$H$5:$H$82,"&gt;="&amp;Finance!E$3,'New Hires Forecast'!$G$5:$G$82,"&lt;="&amp;Finance!E$3)/12)),IF(YEAR(E$3)=YEAR('New Hires Forecast'!$O$3),((SUMIFS('New Hires Forecast'!$O$5:$O$82,'New Hires Forecast'!$F$5:$F$82,"Finance",'New Hires Forecast'!$H$5:$H$82,"&gt;="&amp;Finance!E$3,'New Hires Forecast'!$G$5:$G$82,"&lt;="&amp;Finance!E$3)/12)),IF(YEAR(E$3)=YEAR('New Hires Forecast'!$P$3),((SUMIFS('New Hires Forecast'!$P$5:$P$82,'New Hires Forecast'!$F$5:$F$82,"Finance",'New Hires Forecast'!$H$5:$H$82,"&gt;="&amp;Finance!E$3,'New Hires Forecast'!$G$5:$G$82,"&lt;="&amp;Finance!E$3)/12)),IF(YEAR(E$3)=YEAR('New Hires Forecast'!$Q$3),((SUMIFS('New Hires Forecast'!$Q$5:$Q$82,'New Hires Forecast'!$F$5:$F$82,"Finance",'New Hires Forecast'!$H$5:$H$82,"&gt;="&amp;Finance!E$3,'New Hires Forecast'!$G$5:$G$82,"&lt;="&amp;Finance!E$3)/12)),IF(YEAR(E$3)=YEAR('New Hires Forecast'!$R$3),((SUMIFS('New Hires Forecast'!$R$5:$R$82,'New Hires Forecast'!$F$5:$F$82,"Finance",'New Hires Forecast'!$H$5:$H$82,"&gt;="&amp;Finance!E$3,'New Hires Forecast'!$G$5:$G$82,"&lt;="&amp;Finance!E$3)/12))))))),0)</f>
        <v>0</v>
      </c>
      <c r="F13" s="668">
        <f>IF(F$4="forecast",IF(YEAR(F$3)=YEAR('New Hires Forecast'!$N$3),((SUMIFS('New Hires Forecast'!$N$5:$N$82,'New Hires Forecast'!$F$5:$F$82,"Finance",'New Hires Forecast'!$H$5:$H$82,"&gt;="&amp;Finance!F$3,'New Hires Forecast'!$G$5:$G$82,"&lt;="&amp;Finance!F$3)/12)),IF(YEAR(F$3)=YEAR('New Hires Forecast'!$O$3),((SUMIFS('New Hires Forecast'!$O$5:$O$82,'New Hires Forecast'!$F$5:$F$82,"Finance",'New Hires Forecast'!$H$5:$H$82,"&gt;="&amp;Finance!F$3,'New Hires Forecast'!$G$5:$G$82,"&lt;="&amp;Finance!F$3)/12)),IF(YEAR(F$3)=YEAR('New Hires Forecast'!$P$3),((SUMIFS('New Hires Forecast'!$P$5:$P$82,'New Hires Forecast'!$F$5:$F$82,"Finance",'New Hires Forecast'!$H$5:$H$82,"&gt;="&amp;Finance!F$3,'New Hires Forecast'!$G$5:$G$82,"&lt;="&amp;Finance!F$3)/12)),IF(YEAR(F$3)=YEAR('New Hires Forecast'!$Q$3),((SUMIFS('New Hires Forecast'!$Q$5:$Q$82,'New Hires Forecast'!$F$5:$F$82,"Finance",'New Hires Forecast'!$H$5:$H$82,"&gt;="&amp;Finance!F$3,'New Hires Forecast'!$G$5:$G$82,"&lt;="&amp;Finance!F$3)/12)),IF(YEAR(F$3)=YEAR('New Hires Forecast'!$R$3),((SUMIFS('New Hires Forecast'!$R$5:$R$82,'New Hires Forecast'!$F$5:$F$82,"Finance",'New Hires Forecast'!$H$5:$H$82,"&gt;="&amp;Finance!F$3,'New Hires Forecast'!$G$5:$G$82,"&lt;="&amp;Finance!F$3)/12))))))),0)</f>
        <v>0</v>
      </c>
      <c r="G13" s="668">
        <f>IF(G$4="forecast",IF(YEAR(G$3)=YEAR('New Hires Forecast'!$N$3),((SUMIFS('New Hires Forecast'!$N$5:$N$82,'New Hires Forecast'!$F$5:$F$82,"Finance",'New Hires Forecast'!$H$5:$H$82,"&gt;="&amp;Finance!G$3,'New Hires Forecast'!$G$5:$G$82,"&lt;="&amp;Finance!G$3)/12)),IF(YEAR(G$3)=YEAR('New Hires Forecast'!$O$3),((SUMIFS('New Hires Forecast'!$O$5:$O$82,'New Hires Forecast'!$F$5:$F$82,"Finance",'New Hires Forecast'!$H$5:$H$82,"&gt;="&amp;Finance!G$3,'New Hires Forecast'!$G$5:$G$82,"&lt;="&amp;Finance!G$3)/12)),IF(YEAR(G$3)=YEAR('New Hires Forecast'!$P$3),((SUMIFS('New Hires Forecast'!$P$5:$P$82,'New Hires Forecast'!$F$5:$F$82,"Finance",'New Hires Forecast'!$H$5:$H$82,"&gt;="&amp;Finance!G$3,'New Hires Forecast'!$G$5:$G$82,"&lt;="&amp;Finance!G$3)/12)),IF(YEAR(G$3)=YEAR('New Hires Forecast'!$Q$3),((SUMIFS('New Hires Forecast'!$Q$5:$Q$82,'New Hires Forecast'!$F$5:$F$82,"Finance",'New Hires Forecast'!$H$5:$H$82,"&gt;="&amp;Finance!G$3,'New Hires Forecast'!$G$5:$G$82,"&lt;="&amp;Finance!G$3)/12)),IF(YEAR(G$3)=YEAR('New Hires Forecast'!$R$3),((SUMIFS('New Hires Forecast'!$R$5:$R$82,'New Hires Forecast'!$F$5:$F$82,"Finance",'New Hires Forecast'!$H$5:$H$82,"&gt;="&amp;Finance!G$3,'New Hires Forecast'!$G$5:$G$82,"&lt;="&amp;Finance!G$3)/12))))))),0)</f>
        <v>0</v>
      </c>
      <c r="H13" s="668">
        <f>IF(H$4="forecast",IF(YEAR(H$3)=YEAR('New Hires Forecast'!$N$3),((SUMIFS('New Hires Forecast'!$N$5:$N$82,'New Hires Forecast'!$F$5:$F$82,"Finance",'New Hires Forecast'!$H$5:$H$82,"&gt;="&amp;Finance!H$3,'New Hires Forecast'!$G$5:$G$82,"&lt;="&amp;Finance!H$3)/12)),IF(YEAR(H$3)=YEAR('New Hires Forecast'!$O$3),((SUMIFS('New Hires Forecast'!$O$5:$O$82,'New Hires Forecast'!$F$5:$F$82,"Finance",'New Hires Forecast'!$H$5:$H$82,"&gt;="&amp;Finance!H$3,'New Hires Forecast'!$G$5:$G$82,"&lt;="&amp;Finance!H$3)/12)),IF(YEAR(H$3)=YEAR('New Hires Forecast'!$P$3),((SUMIFS('New Hires Forecast'!$P$5:$P$82,'New Hires Forecast'!$F$5:$F$82,"Finance",'New Hires Forecast'!$H$5:$H$82,"&gt;="&amp;Finance!H$3,'New Hires Forecast'!$G$5:$G$82,"&lt;="&amp;Finance!H$3)/12)),IF(YEAR(H$3)=YEAR('New Hires Forecast'!$Q$3),((SUMIFS('New Hires Forecast'!$Q$5:$Q$82,'New Hires Forecast'!$F$5:$F$82,"Finance",'New Hires Forecast'!$H$5:$H$82,"&gt;="&amp;Finance!H$3,'New Hires Forecast'!$G$5:$G$82,"&lt;="&amp;Finance!H$3)/12)),IF(YEAR(H$3)=YEAR('New Hires Forecast'!$R$3),((SUMIFS('New Hires Forecast'!$R$5:$R$82,'New Hires Forecast'!$F$5:$F$82,"Finance",'New Hires Forecast'!$H$5:$H$82,"&gt;="&amp;Finance!H$3,'New Hires Forecast'!$G$5:$G$82,"&lt;="&amp;Finance!H$3)/12))))))),0)</f>
        <v>0</v>
      </c>
      <c r="I13" s="668">
        <f>IF(I$4="forecast",IF(YEAR(I$3)=YEAR('New Hires Forecast'!$N$3),((SUMIFS('New Hires Forecast'!$N$5:$N$82,'New Hires Forecast'!$F$5:$F$82,"Finance",'New Hires Forecast'!$H$5:$H$82,"&gt;="&amp;Finance!I$3,'New Hires Forecast'!$G$5:$G$82,"&lt;="&amp;Finance!I$3)/12)),IF(YEAR(I$3)=YEAR('New Hires Forecast'!$O$3),((SUMIFS('New Hires Forecast'!$O$5:$O$82,'New Hires Forecast'!$F$5:$F$82,"Finance",'New Hires Forecast'!$H$5:$H$82,"&gt;="&amp;Finance!I$3,'New Hires Forecast'!$G$5:$G$82,"&lt;="&amp;Finance!I$3)/12)),IF(YEAR(I$3)=YEAR('New Hires Forecast'!$P$3),((SUMIFS('New Hires Forecast'!$P$5:$P$82,'New Hires Forecast'!$F$5:$F$82,"Finance",'New Hires Forecast'!$H$5:$H$82,"&gt;="&amp;Finance!I$3,'New Hires Forecast'!$G$5:$G$82,"&lt;="&amp;Finance!I$3)/12)),IF(YEAR(I$3)=YEAR('New Hires Forecast'!$Q$3),((SUMIFS('New Hires Forecast'!$Q$5:$Q$82,'New Hires Forecast'!$F$5:$F$82,"Finance",'New Hires Forecast'!$H$5:$H$82,"&gt;="&amp;Finance!I$3,'New Hires Forecast'!$G$5:$G$82,"&lt;="&amp;Finance!I$3)/12)),IF(YEAR(I$3)=YEAR('New Hires Forecast'!$R$3),((SUMIFS('New Hires Forecast'!$R$5:$R$82,'New Hires Forecast'!$F$5:$F$82,"Finance",'New Hires Forecast'!$H$5:$H$82,"&gt;="&amp;Finance!I$3,'New Hires Forecast'!$G$5:$G$82,"&lt;="&amp;Finance!I$3)/12))))))),0)</f>
        <v>0</v>
      </c>
      <c r="J13" s="668">
        <f>IF(J$4="forecast",IF(YEAR(J$3)=YEAR('New Hires Forecast'!$N$3),((SUMIFS('New Hires Forecast'!$N$5:$N$82,'New Hires Forecast'!$F$5:$F$82,"Finance",'New Hires Forecast'!$H$5:$H$82,"&gt;="&amp;Finance!J$3,'New Hires Forecast'!$G$5:$G$82,"&lt;="&amp;Finance!J$3)/12)),IF(YEAR(J$3)=YEAR('New Hires Forecast'!$O$3),((SUMIFS('New Hires Forecast'!$O$5:$O$82,'New Hires Forecast'!$F$5:$F$82,"Finance",'New Hires Forecast'!$H$5:$H$82,"&gt;="&amp;Finance!J$3,'New Hires Forecast'!$G$5:$G$82,"&lt;="&amp;Finance!J$3)/12)),IF(YEAR(J$3)=YEAR('New Hires Forecast'!$P$3),((SUMIFS('New Hires Forecast'!$P$5:$P$82,'New Hires Forecast'!$F$5:$F$82,"Finance",'New Hires Forecast'!$H$5:$H$82,"&gt;="&amp;Finance!J$3,'New Hires Forecast'!$G$5:$G$82,"&lt;="&amp;Finance!J$3)/12)),IF(YEAR(J$3)=YEAR('New Hires Forecast'!$Q$3),((SUMIFS('New Hires Forecast'!$Q$5:$Q$82,'New Hires Forecast'!$F$5:$F$82,"Finance",'New Hires Forecast'!$H$5:$H$82,"&gt;="&amp;Finance!J$3,'New Hires Forecast'!$G$5:$G$82,"&lt;="&amp;Finance!J$3)/12)),IF(YEAR(J$3)=YEAR('New Hires Forecast'!$R$3),((SUMIFS('New Hires Forecast'!$R$5:$R$82,'New Hires Forecast'!$F$5:$F$82,"Finance",'New Hires Forecast'!$H$5:$H$82,"&gt;="&amp;Finance!J$3,'New Hires Forecast'!$G$5:$G$82,"&lt;="&amp;Finance!J$3)/12))))))),0)</f>
        <v>0</v>
      </c>
      <c r="K13" s="668">
        <f>IF(K$4="forecast",IF(YEAR(K$3)=YEAR('New Hires Forecast'!$N$3),((SUMIFS('New Hires Forecast'!$N$5:$N$82,'New Hires Forecast'!$F$5:$F$82,"Finance",'New Hires Forecast'!$H$5:$H$82,"&gt;="&amp;Finance!K$3,'New Hires Forecast'!$G$5:$G$82,"&lt;="&amp;Finance!K$3)/12)),IF(YEAR(K$3)=YEAR('New Hires Forecast'!$O$3),((SUMIFS('New Hires Forecast'!$O$5:$O$82,'New Hires Forecast'!$F$5:$F$82,"Finance",'New Hires Forecast'!$H$5:$H$82,"&gt;="&amp;Finance!K$3,'New Hires Forecast'!$G$5:$G$82,"&lt;="&amp;Finance!K$3)/12)),IF(YEAR(K$3)=YEAR('New Hires Forecast'!$P$3),((SUMIFS('New Hires Forecast'!$P$5:$P$82,'New Hires Forecast'!$F$5:$F$82,"Finance",'New Hires Forecast'!$H$5:$H$82,"&gt;="&amp;Finance!K$3,'New Hires Forecast'!$G$5:$G$82,"&lt;="&amp;Finance!K$3)/12)),IF(YEAR(K$3)=YEAR('New Hires Forecast'!$Q$3),((SUMIFS('New Hires Forecast'!$Q$5:$Q$82,'New Hires Forecast'!$F$5:$F$82,"Finance",'New Hires Forecast'!$H$5:$H$82,"&gt;="&amp;Finance!K$3,'New Hires Forecast'!$G$5:$G$82,"&lt;="&amp;Finance!K$3)/12)),IF(YEAR(K$3)=YEAR('New Hires Forecast'!$R$3),((SUMIFS('New Hires Forecast'!$R$5:$R$82,'New Hires Forecast'!$F$5:$F$82,"Finance",'New Hires Forecast'!$H$5:$H$82,"&gt;="&amp;Finance!K$3,'New Hires Forecast'!$G$5:$G$82,"&lt;="&amp;Finance!K$3)/12))))))),0)</f>
        <v>0</v>
      </c>
      <c r="L13" s="668">
        <f>IF(L$4="forecast",IF(YEAR(L$3)=YEAR('New Hires Forecast'!$N$3),((SUMIFS('New Hires Forecast'!$N$5:$N$82,'New Hires Forecast'!$F$5:$F$82,"Finance",'New Hires Forecast'!$H$5:$H$82,"&gt;="&amp;Finance!L$3,'New Hires Forecast'!$G$5:$G$82,"&lt;="&amp;Finance!L$3)/12)),IF(YEAR(L$3)=YEAR('New Hires Forecast'!$O$3),((SUMIFS('New Hires Forecast'!$O$5:$O$82,'New Hires Forecast'!$F$5:$F$82,"Finance",'New Hires Forecast'!$H$5:$H$82,"&gt;="&amp;Finance!L$3,'New Hires Forecast'!$G$5:$G$82,"&lt;="&amp;Finance!L$3)/12)),IF(YEAR(L$3)=YEAR('New Hires Forecast'!$P$3),((SUMIFS('New Hires Forecast'!$P$5:$P$82,'New Hires Forecast'!$F$5:$F$82,"Finance",'New Hires Forecast'!$H$5:$H$82,"&gt;="&amp;Finance!L$3,'New Hires Forecast'!$G$5:$G$82,"&lt;="&amp;Finance!L$3)/12)),IF(YEAR(L$3)=YEAR('New Hires Forecast'!$Q$3),((SUMIFS('New Hires Forecast'!$Q$5:$Q$82,'New Hires Forecast'!$F$5:$F$82,"Finance",'New Hires Forecast'!$H$5:$H$82,"&gt;="&amp;Finance!L$3,'New Hires Forecast'!$G$5:$G$82,"&lt;="&amp;Finance!L$3)/12)),IF(YEAR(L$3)=YEAR('New Hires Forecast'!$R$3),((SUMIFS('New Hires Forecast'!$R$5:$R$82,'New Hires Forecast'!$F$5:$F$82,"Finance",'New Hires Forecast'!$H$5:$H$82,"&gt;="&amp;Finance!L$3,'New Hires Forecast'!$G$5:$G$82,"&lt;="&amp;Finance!L$3)/12))))))),0)</f>
        <v>0</v>
      </c>
      <c r="M13" s="668">
        <f>IF(M$4="forecast",IF(YEAR(M$3)=YEAR('New Hires Forecast'!$N$3),((SUMIFS('New Hires Forecast'!$N$5:$N$82,'New Hires Forecast'!$F$5:$F$82,"Finance",'New Hires Forecast'!$H$5:$H$82,"&gt;="&amp;Finance!M$3,'New Hires Forecast'!$G$5:$G$82,"&lt;="&amp;Finance!M$3)/12)),IF(YEAR(M$3)=YEAR('New Hires Forecast'!$O$3),((SUMIFS('New Hires Forecast'!$O$5:$O$82,'New Hires Forecast'!$F$5:$F$82,"Finance",'New Hires Forecast'!$H$5:$H$82,"&gt;="&amp;Finance!M$3,'New Hires Forecast'!$G$5:$G$82,"&lt;="&amp;Finance!M$3)/12)),IF(YEAR(M$3)=YEAR('New Hires Forecast'!$P$3),((SUMIFS('New Hires Forecast'!$P$5:$P$82,'New Hires Forecast'!$F$5:$F$82,"Finance",'New Hires Forecast'!$H$5:$H$82,"&gt;="&amp;Finance!M$3,'New Hires Forecast'!$G$5:$G$82,"&lt;="&amp;Finance!M$3)/12)),IF(YEAR(M$3)=YEAR('New Hires Forecast'!$Q$3),((SUMIFS('New Hires Forecast'!$Q$5:$Q$82,'New Hires Forecast'!$F$5:$F$82,"Finance",'New Hires Forecast'!$H$5:$H$82,"&gt;="&amp;Finance!M$3,'New Hires Forecast'!$G$5:$G$82,"&lt;="&amp;Finance!M$3)/12)),IF(YEAR(M$3)=YEAR('New Hires Forecast'!$R$3),((SUMIFS('New Hires Forecast'!$R$5:$R$82,'New Hires Forecast'!$F$5:$F$82,"Finance",'New Hires Forecast'!$H$5:$H$82,"&gt;="&amp;Finance!M$3,'New Hires Forecast'!$G$5:$G$82,"&lt;="&amp;Finance!M$3)/12))))))),0)</f>
        <v>0</v>
      </c>
      <c r="N13" s="668">
        <f>IF(N$4="forecast",IF(YEAR(N$3)=YEAR('New Hires Forecast'!$N$3),((SUMIFS('New Hires Forecast'!$N$5:$N$82,'New Hires Forecast'!$F$5:$F$82,"Finance",'New Hires Forecast'!$H$5:$H$82,"&gt;="&amp;Finance!N$3,'New Hires Forecast'!$G$5:$G$82,"&lt;="&amp;Finance!N$3)/12)),IF(YEAR(N$3)=YEAR('New Hires Forecast'!$O$3),((SUMIFS('New Hires Forecast'!$O$5:$O$82,'New Hires Forecast'!$F$5:$F$82,"Finance",'New Hires Forecast'!$H$5:$H$82,"&gt;="&amp;Finance!N$3,'New Hires Forecast'!$G$5:$G$82,"&lt;="&amp;Finance!N$3)/12)),IF(YEAR(N$3)=YEAR('New Hires Forecast'!$P$3),((SUMIFS('New Hires Forecast'!$P$5:$P$82,'New Hires Forecast'!$F$5:$F$82,"Finance",'New Hires Forecast'!$H$5:$H$82,"&gt;="&amp;Finance!N$3,'New Hires Forecast'!$G$5:$G$82,"&lt;="&amp;Finance!N$3)/12)),IF(YEAR(N$3)=YEAR('New Hires Forecast'!$Q$3),((SUMIFS('New Hires Forecast'!$Q$5:$Q$82,'New Hires Forecast'!$F$5:$F$82,"Finance",'New Hires Forecast'!$H$5:$H$82,"&gt;="&amp;Finance!N$3,'New Hires Forecast'!$G$5:$G$82,"&lt;="&amp;Finance!N$3)/12)),IF(YEAR(N$3)=YEAR('New Hires Forecast'!$R$3),((SUMIFS('New Hires Forecast'!$R$5:$R$82,'New Hires Forecast'!$F$5:$F$82,"Finance",'New Hires Forecast'!$H$5:$H$82,"&gt;="&amp;Finance!N$3,'New Hires Forecast'!$G$5:$G$82,"&lt;="&amp;Finance!N$3)/12))))))),0)</f>
        <v>0</v>
      </c>
      <c r="O13" s="668">
        <f>IF(O$4="forecast",IF(YEAR(O$3)=YEAR('New Hires Forecast'!$N$3),((SUMIFS('New Hires Forecast'!$N$5:$N$82,'New Hires Forecast'!$F$5:$F$82,"Finance",'New Hires Forecast'!$H$5:$H$82,"&gt;="&amp;Finance!O$3,'New Hires Forecast'!$G$5:$G$82,"&lt;="&amp;Finance!O$3)/12)),IF(YEAR(O$3)=YEAR('New Hires Forecast'!$O$3),((SUMIFS('New Hires Forecast'!$O$5:$O$82,'New Hires Forecast'!$F$5:$F$82,"Finance",'New Hires Forecast'!$H$5:$H$82,"&gt;="&amp;Finance!O$3,'New Hires Forecast'!$G$5:$G$82,"&lt;="&amp;Finance!O$3)/12)),IF(YEAR(O$3)=YEAR('New Hires Forecast'!$P$3),((SUMIFS('New Hires Forecast'!$P$5:$P$82,'New Hires Forecast'!$F$5:$F$82,"Finance",'New Hires Forecast'!$H$5:$H$82,"&gt;="&amp;Finance!O$3,'New Hires Forecast'!$G$5:$G$82,"&lt;="&amp;Finance!O$3)/12)),IF(YEAR(O$3)=YEAR('New Hires Forecast'!$Q$3),((SUMIFS('New Hires Forecast'!$Q$5:$Q$82,'New Hires Forecast'!$F$5:$F$82,"Finance",'New Hires Forecast'!$H$5:$H$82,"&gt;="&amp;Finance!O$3,'New Hires Forecast'!$G$5:$G$82,"&lt;="&amp;Finance!O$3)/12)),IF(YEAR(O$3)=YEAR('New Hires Forecast'!$R$3),((SUMIFS('New Hires Forecast'!$R$5:$R$82,'New Hires Forecast'!$F$5:$F$82,"Finance",'New Hires Forecast'!$H$5:$H$82,"&gt;="&amp;Finance!O$3,'New Hires Forecast'!$G$5:$G$82,"&lt;="&amp;Finance!O$3)/12))))))),0)</f>
        <v>0</v>
      </c>
      <c r="P13" s="668">
        <f>IF(P$4="forecast",IF(YEAR(P$3)=YEAR('New Hires Forecast'!$N$3),((SUMIFS('New Hires Forecast'!$N$5:$N$82,'New Hires Forecast'!$F$5:$F$82,"Finance",'New Hires Forecast'!$H$5:$H$82,"&gt;="&amp;Finance!P$3,'New Hires Forecast'!$G$5:$G$82,"&lt;="&amp;Finance!P$3)/12)),IF(YEAR(P$3)=YEAR('New Hires Forecast'!$O$3),((SUMIFS('New Hires Forecast'!$O$5:$O$82,'New Hires Forecast'!$F$5:$F$82,"Finance",'New Hires Forecast'!$H$5:$H$82,"&gt;="&amp;Finance!P$3,'New Hires Forecast'!$G$5:$G$82,"&lt;="&amp;Finance!P$3)/12)),IF(YEAR(P$3)=YEAR('New Hires Forecast'!$P$3),((SUMIFS('New Hires Forecast'!$P$5:$P$82,'New Hires Forecast'!$F$5:$F$82,"Finance",'New Hires Forecast'!$H$5:$H$82,"&gt;="&amp;Finance!P$3,'New Hires Forecast'!$G$5:$G$82,"&lt;="&amp;Finance!P$3)/12)),IF(YEAR(P$3)=YEAR('New Hires Forecast'!$Q$3),((SUMIFS('New Hires Forecast'!$Q$5:$Q$82,'New Hires Forecast'!$F$5:$F$82,"Finance",'New Hires Forecast'!$H$5:$H$82,"&gt;="&amp;Finance!P$3,'New Hires Forecast'!$G$5:$G$82,"&lt;="&amp;Finance!P$3)/12)),IF(YEAR(P$3)=YEAR('New Hires Forecast'!$R$3),((SUMIFS('New Hires Forecast'!$R$5:$R$82,'New Hires Forecast'!$F$5:$F$82,"Finance",'New Hires Forecast'!$H$5:$H$82,"&gt;="&amp;Finance!P$3,'New Hires Forecast'!$G$5:$G$82,"&lt;="&amp;Finance!P$3)/12))))))),0)</f>
        <v>0</v>
      </c>
      <c r="Q13" s="668">
        <f>IF(Q$4="forecast",IF(YEAR(Q$3)=YEAR('New Hires Forecast'!$N$3),((SUMIFS('New Hires Forecast'!$N$5:$N$82,'New Hires Forecast'!$F$5:$F$82,"Finance",'New Hires Forecast'!$H$5:$H$82,"&gt;="&amp;Finance!Q$3,'New Hires Forecast'!$G$5:$G$82,"&lt;="&amp;Finance!Q$3)/12)),IF(YEAR(Q$3)=YEAR('New Hires Forecast'!$O$3),((SUMIFS('New Hires Forecast'!$O$5:$O$82,'New Hires Forecast'!$F$5:$F$82,"Finance",'New Hires Forecast'!$H$5:$H$82,"&gt;="&amp;Finance!Q$3,'New Hires Forecast'!$G$5:$G$82,"&lt;="&amp;Finance!Q$3)/12)),IF(YEAR(Q$3)=YEAR('New Hires Forecast'!$P$3),((SUMIFS('New Hires Forecast'!$P$5:$P$82,'New Hires Forecast'!$F$5:$F$82,"Finance",'New Hires Forecast'!$H$5:$H$82,"&gt;="&amp;Finance!Q$3,'New Hires Forecast'!$G$5:$G$82,"&lt;="&amp;Finance!Q$3)/12)),IF(YEAR(Q$3)=YEAR('New Hires Forecast'!$Q$3),((SUMIFS('New Hires Forecast'!$Q$5:$Q$82,'New Hires Forecast'!$F$5:$F$82,"Finance",'New Hires Forecast'!$H$5:$H$82,"&gt;="&amp;Finance!Q$3,'New Hires Forecast'!$G$5:$G$82,"&lt;="&amp;Finance!Q$3)/12)),IF(YEAR(Q$3)=YEAR('New Hires Forecast'!$R$3),((SUMIFS('New Hires Forecast'!$R$5:$R$82,'New Hires Forecast'!$F$5:$F$82,"Finance",'New Hires Forecast'!$H$5:$H$82,"&gt;="&amp;Finance!Q$3,'New Hires Forecast'!$G$5:$G$82,"&lt;="&amp;Finance!Q$3)/12))))))),0)</f>
        <v>0</v>
      </c>
      <c r="R13" s="668">
        <f>IF(R$4="forecast",IF(YEAR(R$3)=YEAR('New Hires Forecast'!$N$3),((SUMIFS('New Hires Forecast'!$N$5:$N$82,'New Hires Forecast'!$F$5:$F$82,"Finance",'New Hires Forecast'!$H$5:$H$82,"&gt;="&amp;Finance!R$3,'New Hires Forecast'!$G$5:$G$82,"&lt;="&amp;Finance!R$3)/12)),IF(YEAR(R$3)=YEAR('New Hires Forecast'!$O$3),((SUMIFS('New Hires Forecast'!$O$5:$O$82,'New Hires Forecast'!$F$5:$F$82,"Finance",'New Hires Forecast'!$H$5:$H$82,"&gt;="&amp;Finance!R$3,'New Hires Forecast'!$G$5:$G$82,"&lt;="&amp;Finance!R$3)/12)),IF(YEAR(R$3)=YEAR('New Hires Forecast'!$P$3),((SUMIFS('New Hires Forecast'!$P$5:$P$82,'New Hires Forecast'!$F$5:$F$82,"Finance",'New Hires Forecast'!$H$5:$H$82,"&gt;="&amp;Finance!R$3,'New Hires Forecast'!$G$5:$G$82,"&lt;="&amp;Finance!R$3)/12)),IF(YEAR(R$3)=YEAR('New Hires Forecast'!$Q$3),((SUMIFS('New Hires Forecast'!$Q$5:$Q$82,'New Hires Forecast'!$F$5:$F$82,"Finance",'New Hires Forecast'!$H$5:$H$82,"&gt;="&amp;Finance!R$3,'New Hires Forecast'!$G$5:$G$82,"&lt;="&amp;Finance!R$3)/12)),IF(YEAR(R$3)=YEAR('New Hires Forecast'!$R$3),((SUMIFS('New Hires Forecast'!$R$5:$R$82,'New Hires Forecast'!$F$5:$F$82,"Finance",'New Hires Forecast'!$H$5:$H$82,"&gt;="&amp;Finance!R$3,'New Hires Forecast'!$G$5:$G$82,"&lt;="&amp;Finance!R$3)/12))))))),0)</f>
        <v>0</v>
      </c>
      <c r="S13" s="668">
        <f>IF(S$4="forecast",IF(YEAR(S$3)=YEAR('New Hires Forecast'!$N$3),((SUMIFS('New Hires Forecast'!$N$5:$N$82,'New Hires Forecast'!$F$5:$F$82,"Finance",'New Hires Forecast'!$H$5:$H$82,"&gt;="&amp;Finance!S$3,'New Hires Forecast'!$G$5:$G$82,"&lt;="&amp;Finance!S$3)/12)),IF(YEAR(S$3)=YEAR('New Hires Forecast'!$O$3),((SUMIFS('New Hires Forecast'!$O$5:$O$82,'New Hires Forecast'!$F$5:$F$82,"Finance",'New Hires Forecast'!$H$5:$H$82,"&gt;="&amp;Finance!S$3,'New Hires Forecast'!$G$5:$G$82,"&lt;="&amp;Finance!S$3)/12)),IF(YEAR(S$3)=YEAR('New Hires Forecast'!$P$3),((SUMIFS('New Hires Forecast'!$P$5:$P$82,'New Hires Forecast'!$F$5:$F$82,"Finance",'New Hires Forecast'!$H$5:$H$82,"&gt;="&amp;Finance!S$3,'New Hires Forecast'!$G$5:$G$82,"&lt;="&amp;Finance!S$3)/12)),IF(YEAR(S$3)=YEAR('New Hires Forecast'!$Q$3),((SUMIFS('New Hires Forecast'!$Q$5:$Q$82,'New Hires Forecast'!$F$5:$F$82,"Finance",'New Hires Forecast'!$H$5:$H$82,"&gt;="&amp;Finance!S$3,'New Hires Forecast'!$G$5:$G$82,"&lt;="&amp;Finance!S$3)/12)),IF(YEAR(S$3)=YEAR('New Hires Forecast'!$R$3),((SUMIFS('New Hires Forecast'!$R$5:$R$82,'New Hires Forecast'!$F$5:$F$82,"Finance",'New Hires Forecast'!$H$5:$H$82,"&gt;="&amp;Finance!S$3,'New Hires Forecast'!$G$5:$G$82,"&lt;="&amp;Finance!S$3)/12))))))),0)</f>
        <v>0</v>
      </c>
      <c r="T13" s="668">
        <f>IF(T$4="forecast",IF(YEAR(T$3)=YEAR('New Hires Forecast'!$N$3),((SUMIFS('New Hires Forecast'!$N$5:$N$82,'New Hires Forecast'!$F$5:$F$82,"Finance",'New Hires Forecast'!$H$5:$H$82,"&gt;="&amp;Finance!T$3,'New Hires Forecast'!$G$5:$G$82,"&lt;="&amp;Finance!T$3)/12)),IF(YEAR(T$3)=YEAR('New Hires Forecast'!$O$3),((SUMIFS('New Hires Forecast'!$O$5:$O$82,'New Hires Forecast'!$F$5:$F$82,"Finance",'New Hires Forecast'!$H$5:$H$82,"&gt;="&amp;Finance!T$3,'New Hires Forecast'!$G$5:$G$82,"&lt;="&amp;Finance!T$3)/12)),IF(YEAR(T$3)=YEAR('New Hires Forecast'!$P$3),((SUMIFS('New Hires Forecast'!$P$5:$P$82,'New Hires Forecast'!$F$5:$F$82,"Finance",'New Hires Forecast'!$H$5:$H$82,"&gt;="&amp;Finance!T$3,'New Hires Forecast'!$G$5:$G$82,"&lt;="&amp;Finance!T$3)/12)),IF(YEAR(T$3)=YEAR('New Hires Forecast'!$Q$3),((SUMIFS('New Hires Forecast'!$Q$5:$Q$82,'New Hires Forecast'!$F$5:$F$82,"Finance",'New Hires Forecast'!$H$5:$H$82,"&gt;="&amp;Finance!T$3,'New Hires Forecast'!$G$5:$G$82,"&lt;="&amp;Finance!T$3)/12)),IF(YEAR(T$3)=YEAR('New Hires Forecast'!$R$3),((SUMIFS('New Hires Forecast'!$R$5:$R$82,'New Hires Forecast'!$F$5:$F$82,"Finance",'New Hires Forecast'!$H$5:$H$82,"&gt;="&amp;Finance!T$3,'New Hires Forecast'!$G$5:$G$82,"&lt;="&amp;Finance!T$3)/12))))))),0)</f>
        <v>0</v>
      </c>
      <c r="U13" s="668">
        <f>IF(U$4="forecast",IF(YEAR(U$3)=YEAR('New Hires Forecast'!$N$3),((SUMIFS('New Hires Forecast'!$N$5:$N$82,'New Hires Forecast'!$F$5:$F$82,"Finance",'New Hires Forecast'!$H$5:$H$82,"&gt;="&amp;Finance!U$3,'New Hires Forecast'!$G$5:$G$82,"&lt;="&amp;Finance!U$3)/12)),IF(YEAR(U$3)=YEAR('New Hires Forecast'!$O$3),((SUMIFS('New Hires Forecast'!$O$5:$O$82,'New Hires Forecast'!$F$5:$F$82,"Finance",'New Hires Forecast'!$H$5:$H$82,"&gt;="&amp;Finance!U$3,'New Hires Forecast'!$G$5:$G$82,"&lt;="&amp;Finance!U$3)/12)),IF(YEAR(U$3)=YEAR('New Hires Forecast'!$P$3),((SUMIFS('New Hires Forecast'!$P$5:$P$82,'New Hires Forecast'!$F$5:$F$82,"Finance",'New Hires Forecast'!$H$5:$H$82,"&gt;="&amp;Finance!U$3,'New Hires Forecast'!$G$5:$G$82,"&lt;="&amp;Finance!U$3)/12)),IF(YEAR(U$3)=YEAR('New Hires Forecast'!$Q$3),((SUMIFS('New Hires Forecast'!$Q$5:$Q$82,'New Hires Forecast'!$F$5:$F$82,"Finance",'New Hires Forecast'!$H$5:$H$82,"&gt;="&amp;Finance!U$3,'New Hires Forecast'!$G$5:$G$82,"&lt;="&amp;Finance!U$3)/12)),IF(YEAR(U$3)=YEAR('New Hires Forecast'!$R$3),((SUMIFS('New Hires Forecast'!$R$5:$R$82,'New Hires Forecast'!$F$5:$F$82,"Finance",'New Hires Forecast'!$H$5:$H$82,"&gt;="&amp;Finance!U$3,'New Hires Forecast'!$G$5:$G$82,"&lt;="&amp;Finance!U$3)/12))))))),0)</f>
        <v>0</v>
      </c>
      <c r="V13" s="668">
        <f>IF(V$4="forecast",IF(YEAR(V$3)=YEAR('New Hires Forecast'!$N$3),((SUMIFS('New Hires Forecast'!$N$5:$N$82,'New Hires Forecast'!$F$5:$F$82,"Finance",'New Hires Forecast'!$H$5:$H$82,"&gt;="&amp;Finance!V$3,'New Hires Forecast'!$G$5:$G$82,"&lt;="&amp;Finance!V$3)/12)),IF(YEAR(V$3)=YEAR('New Hires Forecast'!$O$3),((SUMIFS('New Hires Forecast'!$O$5:$O$82,'New Hires Forecast'!$F$5:$F$82,"Finance",'New Hires Forecast'!$H$5:$H$82,"&gt;="&amp;Finance!V$3,'New Hires Forecast'!$G$5:$G$82,"&lt;="&amp;Finance!V$3)/12)),IF(YEAR(V$3)=YEAR('New Hires Forecast'!$P$3),((SUMIFS('New Hires Forecast'!$P$5:$P$82,'New Hires Forecast'!$F$5:$F$82,"Finance",'New Hires Forecast'!$H$5:$H$82,"&gt;="&amp;Finance!V$3,'New Hires Forecast'!$G$5:$G$82,"&lt;="&amp;Finance!V$3)/12)),IF(YEAR(V$3)=YEAR('New Hires Forecast'!$Q$3),((SUMIFS('New Hires Forecast'!$Q$5:$Q$82,'New Hires Forecast'!$F$5:$F$82,"Finance",'New Hires Forecast'!$H$5:$H$82,"&gt;="&amp;Finance!V$3,'New Hires Forecast'!$G$5:$G$82,"&lt;="&amp;Finance!V$3)/12)),IF(YEAR(V$3)=YEAR('New Hires Forecast'!$R$3),((SUMIFS('New Hires Forecast'!$R$5:$R$82,'New Hires Forecast'!$F$5:$F$82,"Finance",'New Hires Forecast'!$H$5:$H$82,"&gt;="&amp;Finance!V$3,'New Hires Forecast'!$G$5:$G$82,"&lt;="&amp;Finance!V$3)/12))))))),0)</f>
        <v>0</v>
      </c>
      <c r="W13" s="668">
        <f>IF(W$4="forecast",IF(YEAR(W$3)=YEAR('New Hires Forecast'!$N$3),((SUMIFS('New Hires Forecast'!$N$5:$N$82,'New Hires Forecast'!$F$5:$F$82,"Finance",'New Hires Forecast'!$H$5:$H$82,"&gt;="&amp;Finance!W$3,'New Hires Forecast'!$G$5:$G$82,"&lt;="&amp;Finance!W$3)/12)),IF(YEAR(W$3)=YEAR('New Hires Forecast'!$O$3),((SUMIFS('New Hires Forecast'!$O$5:$O$82,'New Hires Forecast'!$F$5:$F$82,"Finance",'New Hires Forecast'!$H$5:$H$82,"&gt;="&amp;Finance!W$3,'New Hires Forecast'!$G$5:$G$82,"&lt;="&amp;Finance!W$3)/12)),IF(YEAR(W$3)=YEAR('New Hires Forecast'!$P$3),((SUMIFS('New Hires Forecast'!$P$5:$P$82,'New Hires Forecast'!$F$5:$F$82,"Finance",'New Hires Forecast'!$H$5:$H$82,"&gt;="&amp;Finance!W$3,'New Hires Forecast'!$G$5:$G$82,"&lt;="&amp;Finance!W$3)/12)),IF(YEAR(W$3)=YEAR('New Hires Forecast'!$Q$3),((SUMIFS('New Hires Forecast'!$Q$5:$Q$82,'New Hires Forecast'!$F$5:$F$82,"Finance",'New Hires Forecast'!$H$5:$H$82,"&gt;="&amp;Finance!W$3,'New Hires Forecast'!$G$5:$G$82,"&lt;="&amp;Finance!W$3)/12)),IF(YEAR(W$3)=YEAR('New Hires Forecast'!$R$3),((SUMIFS('New Hires Forecast'!$R$5:$R$82,'New Hires Forecast'!$F$5:$F$82,"Finance",'New Hires Forecast'!$H$5:$H$82,"&gt;="&amp;Finance!W$3,'New Hires Forecast'!$G$5:$G$82,"&lt;="&amp;Finance!W$3)/12))))))),0)</f>
        <v>0</v>
      </c>
      <c r="X13" s="668">
        <f>IF(X$4="forecast",IF(YEAR(X$3)=YEAR('New Hires Forecast'!$N$3),((SUMIFS('New Hires Forecast'!$N$5:$N$82,'New Hires Forecast'!$F$5:$F$82,"Finance",'New Hires Forecast'!$H$5:$H$82,"&gt;="&amp;Finance!X$3,'New Hires Forecast'!$G$5:$G$82,"&lt;="&amp;Finance!X$3)/12)),IF(YEAR(X$3)=YEAR('New Hires Forecast'!$O$3),((SUMIFS('New Hires Forecast'!$O$5:$O$82,'New Hires Forecast'!$F$5:$F$82,"Finance",'New Hires Forecast'!$H$5:$H$82,"&gt;="&amp;Finance!X$3,'New Hires Forecast'!$G$5:$G$82,"&lt;="&amp;Finance!X$3)/12)),IF(YEAR(X$3)=YEAR('New Hires Forecast'!$P$3),((SUMIFS('New Hires Forecast'!$P$5:$P$82,'New Hires Forecast'!$F$5:$F$82,"Finance",'New Hires Forecast'!$H$5:$H$82,"&gt;="&amp;Finance!X$3,'New Hires Forecast'!$G$5:$G$82,"&lt;="&amp;Finance!X$3)/12)),IF(YEAR(X$3)=YEAR('New Hires Forecast'!$Q$3),((SUMIFS('New Hires Forecast'!$Q$5:$Q$82,'New Hires Forecast'!$F$5:$F$82,"Finance",'New Hires Forecast'!$H$5:$H$82,"&gt;="&amp;Finance!X$3,'New Hires Forecast'!$G$5:$G$82,"&lt;="&amp;Finance!X$3)/12)),IF(YEAR(X$3)=YEAR('New Hires Forecast'!$R$3),((SUMIFS('New Hires Forecast'!$R$5:$R$82,'New Hires Forecast'!$F$5:$F$82,"Finance",'New Hires Forecast'!$H$5:$H$82,"&gt;="&amp;Finance!X$3,'New Hires Forecast'!$G$5:$G$82,"&lt;="&amp;Finance!X$3)/12))))))),0)</f>
        <v>0</v>
      </c>
      <c r="Y13" s="668">
        <f>IF(Y$4="forecast",IF(YEAR(Y$3)=YEAR('New Hires Forecast'!$N$3),((SUMIFS('New Hires Forecast'!$N$5:$N$82,'New Hires Forecast'!$F$5:$F$82,"Finance",'New Hires Forecast'!$H$5:$H$82,"&gt;="&amp;Finance!Y$3,'New Hires Forecast'!$G$5:$G$82,"&lt;="&amp;Finance!Y$3)/12)),IF(YEAR(Y$3)=YEAR('New Hires Forecast'!$O$3),((SUMIFS('New Hires Forecast'!$O$5:$O$82,'New Hires Forecast'!$F$5:$F$82,"Finance",'New Hires Forecast'!$H$5:$H$82,"&gt;="&amp;Finance!Y$3,'New Hires Forecast'!$G$5:$G$82,"&lt;="&amp;Finance!Y$3)/12)),IF(YEAR(Y$3)=YEAR('New Hires Forecast'!$P$3),((SUMIFS('New Hires Forecast'!$P$5:$P$82,'New Hires Forecast'!$F$5:$F$82,"Finance",'New Hires Forecast'!$H$5:$H$82,"&gt;="&amp;Finance!Y$3,'New Hires Forecast'!$G$5:$G$82,"&lt;="&amp;Finance!Y$3)/12)),IF(YEAR(Y$3)=YEAR('New Hires Forecast'!$Q$3),((SUMIFS('New Hires Forecast'!$Q$5:$Q$82,'New Hires Forecast'!$F$5:$F$82,"Finance",'New Hires Forecast'!$H$5:$H$82,"&gt;="&amp;Finance!Y$3,'New Hires Forecast'!$G$5:$G$82,"&lt;="&amp;Finance!Y$3)/12)),IF(YEAR(Y$3)=YEAR('New Hires Forecast'!$R$3),((SUMIFS('New Hires Forecast'!$R$5:$R$82,'New Hires Forecast'!$F$5:$F$82,"Finance",'New Hires Forecast'!$H$5:$H$82,"&gt;="&amp;Finance!Y$3,'New Hires Forecast'!$G$5:$G$82,"&lt;="&amp;Finance!Y$3)/12))))))),0)</f>
        <v>0</v>
      </c>
      <c r="Z13" s="668">
        <f>IF(Z$4="forecast",IF(YEAR(Z$3)=YEAR('New Hires Forecast'!$N$3),((SUMIFS('New Hires Forecast'!$N$5:$N$82,'New Hires Forecast'!$F$5:$F$82,"Finance",'New Hires Forecast'!$H$5:$H$82,"&gt;="&amp;Finance!Z$3,'New Hires Forecast'!$G$5:$G$82,"&lt;="&amp;Finance!Z$3)/12)),IF(YEAR(Z$3)=YEAR('New Hires Forecast'!$O$3),((SUMIFS('New Hires Forecast'!$O$5:$O$82,'New Hires Forecast'!$F$5:$F$82,"Finance",'New Hires Forecast'!$H$5:$H$82,"&gt;="&amp;Finance!Z$3,'New Hires Forecast'!$G$5:$G$82,"&lt;="&amp;Finance!Z$3)/12)),IF(YEAR(Z$3)=YEAR('New Hires Forecast'!$P$3),((SUMIFS('New Hires Forecast'!$P$5:$P$82,'New Hires Forecast'!$F$5:$F$82,"Finance",'New Hires Forecast'!$H$5:$H$82,"&gt;="&amp;Finance!Z$3,'New Hires Forecast'!$G$5:$G$82,"&lt;="&amp;Finance!Z$3)/12)),IF(YEAR(Z$3)=YEAR('New Hires Forecast'!$Q$3),((SUMIFS('New Hires Forecast'!$Q$5:$Q$82,'New Hires Forecast'!$F$5:$F$82,"Finance",'New Hires Forecast'!$H$5:$H$82,"&gt;="&amp;Finance!Z$3,'New Hires Forecast'!$G$5:$G$82,"&lt;="&amp;Finance!Z$3)/12)),IF(YEAR(Z$3)=YEAR('New Hires Forecast'!$R$3),((SUMIFS('New Hires Forecast'!$R$5:$R$82,'New Hires Forecast'!$F$5:$F$82,"Finance",'New Hires Forecast'!$H$5:$H$82,"&gt;="&amp;Finance!Z$3,'New Hires Forecast'!$G$5:$G$82,"&lt;="&amp;Finance!Z$3)/12))))))),0)</f>
        <v>0</v>
      </c>
      <c r="AA13" s="668">
        <f>IF(AA$4="forecast",IF(YEAR(AA$3)=YEAR('New Hires Forecast'!$N$3),((SUMIFS('New Hires Forecast'!$N$5:$N$82,'New Hires Forecast'!$F$5:$F$82,"Finance",'New Hires Forecast'!$H$5:$H$82,"&gt;="&amp;Finance!AA$3,'New Hires Forecast'!$G$5:$G$82,"&lt;="&amp;Finance!AA$3)/12)),IF(YEAR(AA$3)=YEAR('New Hires Forecast'!$O$3),((SUMIFS('New Hires Forecast'!$O$5:$O$82,'New Hires Forecast'!$F$5:$F$82,"Finance",'New Hires Forecast'!$H$5:$H$82,"&gt;="&amp;Finance!AA$3,'New Hires Forecast'!$G$5:$G$82,"&lt;="&amp;Finance!AA$3)/12)),IF(YEAR(AA$3)=YEAR('New Hires Forecast'!$P$3),((SUMIFS('New Hires Forecast'!$P$5:$P$82,'New Hires Forecast'!$F$5:$F$82,"Finance",'New Hires Forecast'!$H$5:$H$82,"&gt;="&amp;Finance!AA$3,'New Hires Forecast'!$G$5:$G$82,"&lt;="&amp;Finance!AA$3)/12)),IF(YEAR(AA$3)=YEAR('New Hires Forecast'!$Q$3),((SUMIFS('New Hires Forecast'!$Q$5:$Q$82,'New Hires Forecast'!$F$5:$F$82,"Finance",'New Hires Forecast'!$H$5:$H$82,"&gt;="&amp;Finance!AA$3,'New Hires Forecast'!$G$5:$G$82,"&lt;="&amp;Finance!AA$3)/12)),IF(YEAR(AA$3)=YEAR('New Hires Forecast'!$R$3),((SUMIFS('New Hires Forecast'!$R$5:$R$82,'New Hires Forecast'!$F$5:$F$82,"Finance",'New Hires Forecast'!$H$5:$H$82,"&gt;="&amp;Finance!AA$3,'New Hires Forecast'!$G$5:$G$82,"&lt;="&amp;Finance!AA$3)/12))))))),0)</f>
        <v>0</v>
      </c>
      <c r="AB13" s="668">
        <f>IF(AB$4="forecast",IF(YEAR(AB$3)=YEAR('New Hires Forecast'!$N$3),((SUMIFS('New Hires Forecast'!$N$5:$N$82,'New Hires Forecast'!$F$5:$F$82,"Finance",'New Hires Forecast'!$H$5:$H$82,"&gt;="&amp;Finance!AB$3,'New Hires Forecast'!$G$5:$G$82,"&lt;="&amp;Finance!AB$3)/12)),IF(YEAR(AB$3)=YEAR('New Hires Forecast'!$O$3),((SUMIFS('New Hires Forecast'!$O$5:$O$82,'New Hires Forecast'!$F$5:$F$82,"Finance",'New Hires Forecast'!$H$5:$H$82,"&gt;="&amp;Finance!AB$3,'New Hires Forecast'!$G$5:$G$82,"&lt;="&amp;Finance!AB$3)/12)),IF(YEAR(AB$3)=YEAR('New Hires Forecast'!$P$3),((SUMIFS('New Hires Forecast'!$P$5:$P$82,'New Hires Forecast'!$F$5:$F$82,"Finance",'New Hires Forecast'!$H$5:$H$82,"&gt;="&amp;Finance!AB$3,'New Hires Forecast'!$G$5:$G$82,"&lt;="&amp;Finance!AB$3)/12)),IF(YEAR(AB$3)=YEAR('New Hires Forecast'!$Q$3),((SUMIFS('New Hires Forecast'!$Q$5:$Q$82,'New Hires Forecast'!$F$5:$F$82,"Finance",'New Hires Forecast'!$H$5:$H$82,"&gt;="&amp;Finance!AB$3,'New Hires Forecast'!$G$5:$G$82,"&lt;="&amp;Finance!AB$3)/12)),IF(YEAR(AB$3)=YEAR('New Hires Forecast'!$R$3),((SUMIFS('New Hires Forecast'!$R$5:$R$82,'New Hires Forecast'!$F$5:$F$82,"Finance",'New Hires Forecast'!$H$5:$H$82,"&gt;="&amp;Finance!AB$3,'New Hires Forecast'!$G$5:$G$82,"&lt;="&amp;Finance!AB$3)/12))))))),0)</f>
        <v>0</v>
      </c>
      <c r="AC13" s="668">
        <f>IF(AC$4="forecast",IF(YEAR(AC$3)=YEAR('New Hires Forecast'!$N$3),((SUMIFS('New Hires Forecast'!$N$5:$N$82,'New Hires Forecast'!$F$5:$F$82,"Finance",'New Hires Forecast'!$H$5:$H$82,"&gt;="&amp;Finance!AC$3,'New Hires Forecast'!$G$5:$G$82,"&lt;="&amp;Finance!AC$3)/12)),IF(YEAR(AC$3)=YEAR('New Hires Forecast'!$O$3),((SUMIFS('New Hires Forecast'!$O$5:$O$82,'New Hires Forecast'!$F$5:$F$82,"Finance",'New Hires Forecast'!$H$5:$H$82,"&gt;="&amp;Finance!AC$3,'New Hires Forecast'!$G$5:$G$82,"&lt;="&amp;Finance!AC$3)/12)),IF(YEAR(AC$3)=YEAR('New Hires Forecast'!$P$3),((SUMIFS('New Hires Forecast'!$P$5:$P$82,'New Hires Forecast'!$F$5:$F$82,"Finance",'New Hires Forecast'!$H$5:$H$82,"&gt;="&amp;Finance!AC$3,'New Hires Forecast'!$G$5:$G$82,"&lt;="&amp;Finance!AC$3)/12)),IF(YEAR(AC$3)=YEAR('New Hires Forecast'!$Q$3),((SUMIFS('New Hires Forecast'!$Q$5:$Q$82,'New Hires Forecast'!$F$5:$F$82,"Finance",'New Hires Forecast'!$H$5:$H$82,"&gt;="&amp;Finance!AC$3,'New Hires Forecast'!$G$5:$G$82,"&lt;="&amp;Finance!AC$3)/12)),IF(YEAR(AC$3)=YEAR('New Hires Forecast'!$R$3),((SUMIFS('New Hires Forecast'!$R$5:$R$82,'New Hires Forecast'!$F$5:$F$82,"Finance",'New Hires Forecast'!$H$5:$H$82,"&gt;="&amp;Finance!AC$3,'New Hires Forecast'!$G$5:$G$82,"&lt;="&amp;Finance!AC$3)/12))))))),0)</f>
        <v>0</v>
      </c>
      <c r="AD13" s="668">
        <f>IF(AD$4="forecast",IF(YEAR(AD$3)=YEAR('New Hires Forecast'!$N$3),((SUMIFS('New Hires Forecast'!$N$5:$N$82,'New Hires Forecast'!$F$5:$F$82,"Finance",'New Hires Forecast'!$H$5:$H$82,"&gt;="&amp;Finance!AD$3,'New Hires Forecast'!$G$5:$G$82,"&lt;="&amp;Finance!AD$3)/12)),IF(YEAR(AD$3)=YEAR('New Hires Forecast'!$O$3),((SUMIFS('New Hires Forecast'!$O$5:$O$82,'New Hires Forecast'!$F$5:$F$82,"Finance",'New Hires Forecast'!$H$5:$H$82,"&gt;="&amp;Finance!AD$3,'New Hires Forecast'!$G$5:$G$82,"&lt;="&amp;Finance!AD$3)/12)),IF(YEAR(AD$3)=YEAR('New Hires Forecast'!$P$3),((SUMIFS('New Hires Forecast'!$P$5:$P$82,'New Hires Forecast'!$F$5:$F$82,"Finance",'New Hires Forecast'!$H$5:$H$82,"&gt;="&amp;Finance!AD$3,'New Hires Forecast'!$G$5:$G$82,"&lt;="&amp;Finance!AD$3)/12)),IF(YEAR(AD$3)=YEAR('New Hires Forecast'!$Q$3),((SUMIFS('New Hires Forecast'!$Q$5:$Q$82,'New Hires Forecast'!$F$5:$F$82,"Finance",'New Hires Forecast'!$H$5:$H$82,"&gt;="&amp;Finance!AD$3,'New Hires Forecast'!$G$5:$G$82,"&lt;="&amp;Finance!AD$3)/12)),IF(YEAR(AD$3)=YEAR('New Hires Forecast'!$R$3),((SUMIFS('New Hires Forecast'!$R$5:$R$82,'New Hires Forecast'!$F$5:$F$82,"Finance",'New Hires Forecast'!$H$5:$H$82,"&gt;="&amp;Finance!AD$3,'New Hires Forecast'!$G$5:$G$82,"&lt;="&amp;Finance!AD$3)/12))))))),0)</f>
        <v>5416.666666666667</v>
      </c>
      <c r="AE13" s="668">
        <f>IF(AE$4="forecast",IF(YEAR(AE$3)=YEAR('New Hires Forecast'!$N$3),((SUMIFS('New Hires Forecast'!$N$5:$N$82,'New Hires Forecast'!$F$5:$F$82,"Finance",'New Hires Forecast'!$H$5:$H$82,"&gt;="&amp;Finance!AE$3,'New Hires Forecast'!$G$5:$G$82,"&lt;="&amp;Finance!AE$3)/12)),IF(YEAR(AE$3)=YEAR('New Hires Forecast'!$O$3),((SUMIFS('New Hires Forecast'!$O$5:$O$82,'New Hires Forecast'!$F$5:$F$82,"Finance",'New Hires Forecast'!$H$5:$H$82,"&gt;="&amp;Finance!AE$3,'New Hires Forecast'!$G$5:$G$82,"&lt;="&amp;Finance!AE$3)/12)),IF(YEAR(AE$3)=YEAR('New Hires Forecast'!$P$3),((SUMIFS('New Hires Forecast'!$P$5:$P$82,'New Hires Forecast'!$F$5:$F$82,"Finance",'New Hires Forecast'!$H$5:$H$82,"&gt;="&amp;Finance!AE$3,'New Hires Forecast'!$G$5:$G$82,"&lt;="&amp;Finance!AE$3)/12)),IF(YEAR(AE$3)=YEAR('New Hires Forecast'!$Q$3),((SUMIFS('New Hires Forecast'!$Q$5:$Q$82,'New Hires Forecast'!$F$5:$F$82,"Finance",'New Hires Forecast'!$H$5:$H$82,"&gt;="&amp;Finance!AE$3,'New Hires Forecast'!$G$5:$G$82,"&lt;="&amp;Finance!AE$3)/12)),IF(YEAR(AE$3)=YEAR('New Hires Forecast'!$R$3),((SUMIFS('New Hires Forecast'!$R$5:$R$82,'New Hires Forecast'!$F$5:$F$82,"Finance",'New Hires Forecast'!$H$5:$H$82,"&gt;="&amp;Finance!AE$3,'New Hires Forecast'!$G$5:$G$82,"&lt;="&amp;Finance!AE$3)/12))))))),0)</f>
        <v>28333.333333333332</v>
      </c>
      <c r="AF13" s="668">
        <f>IF(AF$4="forecast",IF(YEAR(AF$3)=YEAR('New Hires Forecast'!$N$3),((SUMIFS('New Hires Forecast'!$N$5:$N$82,'New Hires Forecast'!$F$5:$F$82,"Finance",'New Hires Forecast'!$H$5:$H$82,"&gt;="&amp;Finance!AF$3,'New Hires Forecast'!$G$5:$G$82,"&lt;="&amp;Finance!AF$3)/12)),IF(YEAR(AF$3)=YEAR('New Hires Forecast'!$O$3),((SUMIFS('New Hires Forecast'!$O$5:$O$82,'New Hires Forecast'!$F$5:$F$82,"Finance",'New Hires Forecast'!$H$5:$H$82,"&gt;="&amp;Finance!AF$3,'New Hires Forecast'!$G$5:$G$82,"&lt;="&amp;Finance!AF$3)/12)),IF(YEAR(AF$3)=YEAR('New Hires Forecast'!$P$3),((SUMIFS('New Hires Forecast'!$P$5:$P$82,'New Hires Forecast'!$F$5:$F$82,"Finance",'New Hires Forecast'!$H$5:$H$82,"&gt;="&amp;Finance!AF$3,'New Hires Forecast'!$G$5:$G$82,"&lt;="&amp;Finance!AF$3)/12)),IF(YEAR(AF$3)=YEAR('New Hires Forecast'!$Q$3),((SUMIFS('New Hires Forecast'!$Q$5:$Q$82,'New Hires Forecast'!$F$5:$F$82,"Finance",'New Hires Forecast'!$H$5:$H$82,"&gt;="&amp;Finance!AF$3,'New Hires Forecast'!$G$5:$G$82,"&lt;="&amp;Finance!AF$3)/12)),IF(YEAR(AF$3)=YEAR('New Hires Forecast'!$R$3),((SUMIFS('New Hires Forecast'!$R$5:$R$82,'New Hires Forecast'!$F$5:$F$82,"Finance",'New Hires Forecast'!$H$5:$H$82,"&gt;="&amp;Finance!AF$3,'New Hires Forecast'!$G$5:$G$82,"&lt;="&amp;Finance!AF$3)/12))))))),0)</f>
        <v>28333.333333333332</v>
      </c>
      <c r="AG13" s="668">
        <f>IF(AG$4="forecast",IF(YEAR(AG$3)=YEAR('New Hires Forecast'!$N$3),((SUMIFS('New Hires Forecast'!$N$5:$N$82,'New Hires Forecast'!$F$5:$F$82,"Finance",'New Hires Forecast'!$H$5:$H$82,"&gt;="&amp;Finance!AG$3,'New Hires Forecast'!$G$5:$G$82,"&lt;="&amp;Finance!AG$3)/12)),IF(YEAR(AG$3)=YEAR('New Hires Forecast'!$O$3),((SUMIFS('New Hires Forecast'!$O$5:$O$82,'New Hires Forecast'!$F$5:$F$82,"Finance",'New Hires Forecast'!$H$5:$H$82,"&gt;="&amp;Finance!AG$3,'New Hires Forecast'!$G$5:$G$82,"&lt;="&amp;Finance!AG$3)/12)),IF(YEAR(AG$3)=YEAR('New Hires Forecast'!$P$3),((SUMIFS('New Hires Forecast'!$P$5:$P$82,'New Hires Forecast'!$F$5:$F$82,"Finance",'New Hires Forecast'!$H$5:$H$82,"&gt;="&amp;Finance!AG$3,'New Hires Forecast'!$G$5:$G$82,"&lt;="&amp;Finance!AG$3)/12)),IF(YEAR(AG$3)=YEAR('New Hires Forecast'!$Q$3),((SUMIFS('New Hires Forecast'!$Q$5:$Q$82,'New Hires Forecast'!$F$5:$F$82,"Finance",'New Hires Forecast'!$H$5:$H$82,"&gt;="&amp;Finance!AG$3,'New Hires Forecast'!$G$5:$G$82,"&lt;="&amp;Finance!AG$3)/12)),IF(YEAR(AG$3)=YEAR('New Hires Forecast'!$R$3),((SUMIFS('New Hires Forecast'!$R$5:$R$82,'New Hires Forecast'!$F$5:$F$82,"Finance",'New Hires Forecast'!$H$5:$H$82,"&gt;="&amp;Finance!AG$3,'New Hires Forecast'!$G$5:$G$82,"&lt;="&amp;Finance!AG$3)/12))))))),0)</f>
        <v>28333.333333333332</v>
      </c>
      <c r="AH13" s="668">
        <f>IF(AH$4="forecast",IF(YEAR(AH$3)=YEAR('New Hires Forecast'!$N$3),((SUMIFS('New Hires Forecast'!$N$5:$N$82,'New Hires Forecast'!$F$5:$F$82,"Finance",'New Hires Forecast'!$H$5:$H$82,"&gt;="&amp;Finance!AH$3,'New Hires Forecast'!$G$5:$G$82,"&lt;="&amp;Finance!AH$3)/12)),IF(YEAR(AH$3)=YEAR('New Hires Forecast'!$O$3),((SUMIFS('New Hires Forecast'!$O$5:$O$82,'New Hires Forecast'!$F$5:$F$82,"Finance",'New Hires Forecast'!$H$5:$H$82,"&gt;="&amp;Finance!AH$3,'New Hires Forecast'!$G$5:$G$82,"&lt;="&amp;Finance!AH$3)/12)),IF(YEAR(AH$3)=YEAR('New Hires Forecast'!$P$3),((SUMIFS('New Hires Forecast'!$P$5:$P$82,'New Hires Forecast'!$F$5:$F$82,"Finance",'New Hires Forecast'!$H$5:$H$82,"&gt;="&amp;Finance!AH$3,'New Hires Forecast'!$G$5:$G$82,"&lt;="&amp;Finance!AH$3)/12)),IF(YEAR(AH$3)=YEAR('New Hires Forecast'!$Q$3),((SUMIFS('New Hires Forecast'!$Q$5:$Q$82,'New Hires Forecast'!$F$5:$F$82,"Finance",'New Hires Forecast'!$H$5:$H$82,"&gt;="&amp;Finance!AH$3,'New Hires Forecast'!$G$5:$G$82,"&lt;="&amp;Finance!AH$3)/12)),IF(YEAR(AH$3)=YEAR('New Hires Forecast'!$R$3),((SUMIFS('New Hires Forecast'!$R$5:$R$82,'New Hires Forecast'!$F$5:$F$82,"Finance",'New Hires Forecast'!$H$5:$H$82,"&gt;="&amp;Finance!AH$3,'New Hires Forecast'!$G$5:$G$82,"&lt;="&amp;Finance!AH$3)/12))))))),0)</f>
        <v>28333.333333333332</v>
      </c>
      <c r="AI13" s="668">
        <f>IF(AI$4="forecast",IF(YEAR(AI$3)=YEAR('New Hires Forecast'!$N$3),((SUMIFS('New Hires Forecast'!$N$5:$N$82,'New Hires Forecast'!$F$5:$F$82,"Finance",'New Hires Forecast'!$H$5:$H$82,"&gt;="&amp;Finance!AI$3,'New Hires Forecast'!$G$5:$G$82,"&lt;="&amp;Finance!AI$3)/12)),IF(YEAR(AI$3)=YEAR('New Hires Forecast'!$O$3),((SUMIFS('New Hires Forecast'!$O$5:$O$82,'New Hires Forecast'!$F$5:$F$82,"Finance",'New Hires Forecast'!$H$5:$H$82,"&gt;="&amp;Finance!AI$3,'New Hires Forecast'!$G$5:$G$82,"&lt;="&amp;Finance!AI$3)/12)),IF(YEAR(AI$3)=YEAR('New Hires Forecast'!$P$3),((SUMIFS('New Hires Forecast'!$P$5:$P$82,'New Hires Forecast'!$F$5:$F$82,"Finance",'New Hires Forecast'!$H$5:$H$82,"&gt;="&amp;Finance!AI$3,'New Hires Forecast'!$G$5:$G$82,"&lt;="&amp;Finance!AI$3)/12)),IF(YEAR(AI$3)=YEAR('New Hires Forecast'!$Q$3),((SUMIFS('New Hires Forecast'!$Q$5:$Q$82,'New Hires Forecast'!$F$5:$F$82,"Finance",'New Hires Forecast'!$H$5:$H$82,"&gt;="&amp;Finance!AI$3,'New Hires Forecast'!$G$5:$G$82,"&lt;="&amp;Finance!AI$3)/12)),IF(YEAR(AI$3)=YEAR('New Hires Forecast'!$R$3),((SUMIFS('New Hires Forecast'!$R$5:$R$82,'New Hires Forecast'!$F$5:$F$82,"Finance",'New Hires Forecast'!$H$5:$H$82,"&gt;="&amp;Finance!AI$3,'New Hires Forecast'!$G$5:$G$82,"&lt;="&amp;Finance!AI$3)/12))))))),0)</f>
        <v>28333.333333333332</v>
      </c>
      <c r="AJ13" s="668">
        <f>IF(AJ$4="forecast",IF(YEAR(AJ$3)=YEAR('New Hires Forecast'!$N$3),((SUMIFS('New Hires Forecast'!$N$5:$N$82,'New Hires Forecast'!$F$5:$F$82,"Finance",'New Hires Forecast'!$H$5:$H$82,"&gt;="&amp;Finance!AJ$3,'New Hires Forecast'!$G$5:$G$82,"&lt;="&amp;Finance!AJ$3)/12)),IF(YEAR(AJ$3)=YEAR('New Hires Forecast'!$O$3),((SUMIFS('New Hires Forecast'!$O$5:$O$82,'New Hires Forecast'!$F$5:$F$82,"Finance",'New Hires Forecast'!$H$5:$H$82,"&gt;="&amp;Finance!AJ$3,'New Hires Forecast'!$G$5:$G$82,"&lt;="&amp;Finance!AJ$3)/12)),IF(YEAR(AJ$3)=YEAR('New Hires Forecast'!$P$3),((SUMIFS('New Hires Forecast'!$P$5:$P$82,'New Hires Forecast'!$F$5:$F$82,"Finance",'New Hires Forecast'!$H$5:$H$82,"&gt;="&amp;Finance!AJ$3,'New Hires Forecast'!$G$5:$G$82,"&lt;="&amp;Finance!AJ$3)/12)),IF(YEAR(AJ$3)=YEAR('New Hires Forecast'!$Q$3),((SUMIFS('New Hires Forecast'!$Q$5:$Q$82,'New Hires Forecast'!$F$5:$F$82,"Finance",'New Hires Forecast'!$H$5:$H$82,"&gt;="&amp;Finance!AJ$3,'New Hires Forecast'!$G$5:$G$82,"&lt;="&amp;Finance!AJ$3)/12)),IF(YEAR(AJ$3)=YEAR('New Hires Forecast'!$R$3),((SUMIFS('New Hires Forecast'!$R$5:$R$82,'New Hires Forecast'!$F$5:$F$82,"Finance",'New Hires Forecast'!$H$5:$H$82,"&gt;="&amp;Finance!AJ$3,'New Hires Forecast'!$G$5:$G$82,"&lt;="&amp;Finance!AJ$3)/12))))))),0)</f>
        <v>28333.333333333332</v>
      </c>
      <c r="AK13" s="668">
        <f>IF(AK$4="forecast",IF(YEAR(AK$3)=YEAR('New Hires Forecast'!$N$3),((SUMIFS('New Hires Forecast'!$N$5:$N$82,'New Hires Forecast'!$F$5:$F$82,"Finance",'New Hires Forecast'!$H$5:$H$82,"&gt;="&amp;Finance!AK$3,'New Hires Forecast'!$G$5:$G$82,"&lt;="&amp;Finance!AK$3)/12)),IF(YEAR(AK$3)=YEAR('New Hires Forecast'!$O$3),((SUMIFS('New Hires Forecast'!$O$5:$O$82,'New Hires Forecast'!$F$5:$F$82,"Finance",'New Hires Forecast'!$H$5:$H$82,"&gt;="&amp;Finance!AK$3,'New Hires Forecast'!$G$5:$G$82,"&lt;="&amp;Finance!AK$3)/12)),IF(YEAR(AK$3)=YEAR('New Hires Forecast'!$P$3),((SUMIFS('New Hires Forecast'!$P$5:$P$82,'New Hires Forecast'!$F$5:$F$82,"Finance",'New Hires Forecast'!$H$5:$H$82,"&gt;="&amp;Finance!AK$3,'New Hires Forecast'!$G$5:$G$82,"&lt;="&amp;Finance!AK$3)/12)),IF(YEAR(AK$3)=YEAR('New Hires Forecast'!$Q$3),((SUMIFS('New Hires Forecast'!$Q$5:$Q$82,'New Hires Forecast'!$F$5:$F$82,"Finance",'New Hires Forecast'!$H$5:$H$82,"&gt;="&amp;Finance!AK$3,'New Hires Forecast'!$G$5:$G$82,"&lt;="&amp;Finance!AK$3)/12)),IF(YEAR(AK$3)=YEAR('New Hires Forecast'!$R$3),((SUMIFS('New Hires Forecast'!$R$5:$R$82,'New Hires Forecast'!$F$5:$F$82,"Finance",'New Hires Forecast'!$H$5:$H$82,"&gt;="&amp;Finance!AK$3,'New Hires Forecast'!$G$5:$G$82,"&lt;="&amp;Finance!AK$3)/12))))))),0)</f>
        <v>28333.333333333332</v>
      </c>
      <c r="AL13" s="668">
        <f>IF(AL$4="forecast",IF(YEAR(AL$3)=YEAR('New Hires Forecast'!$N$3),((SUMIFS('New Hires Forecast'!$N$5:$N$82,'New Hires Forecast'!$F$5:$F$82,"Finance",'New Hires Forecast'!$H$5:$H$82,"&gt;="&amp;Finance!AL$3,'New Hires Forecast'!$G$5:$G$82,"&lt;="&amp;Finance!AL$3)/12)),IF(YEAR(AL$3)=YEAR('New Hires Forecast'!$O$3),((SUMIFS('New Hires Forecast'!$O$5:$O$82,'New Hires Forecast'!$F$5:$F$82,"Finance",'New Hires Forecast'!$H$5:$H$82,"&gt;="&amp;Finance!AL$3,'New Hires Forecast'!$G$5:$G$82,"&lt;="&amp;Finance!AL$3)/12)),IF(YEAR(AL$3)=YEAR('New Hires Forecast'!$P$3),((SUMIFS('New Hires Forecast'!$P$5:$P$82,'New Hires Forecast'!$F$5:$F$82,"Finance",'New Hires Forecast'!$H$5:$H$82,"&gt;="&amp;Finance!AL$3,'New Hires Forecast'!$G$5:$G$82,"&lt;="&amp;Finance!AL$3)/12)),IF(YEAR(AL$3)=YEAR('New Hires Forecast'!$Q$3),((SUMIFS('New Hires Forecast'!$Q$5:$Q$82,'New Hires Forecast'!$F$5:$F$82,"Finance",'New Hires Forecast'!$H$5:$H$82,"&gt;="&amp;Finance!AL$3,'New Hires Forecast'!$G$5:$G$82,"&lt;="&amp;Finance!AL$3)/12)),IF(YEAR(AL$3)=YEAR('New Hires Forecast'!$R$3),((SUMIFS('New Hires Forecast'!$R$5:$R$82,'New Hires Forecast'!$F$5:$F$82,"Finance",'New Hires Forecast'!$H$5:$H$82,"&gt;="&amp;Finance!AL$3,'New Hires Forecast'!$G$5:$G$82,"&lt;="&amp;Finance!AL$3)/12))))))),0)</f>
        <v>28333.333333333332</v>
      </c>
      <c r="AM13" s="668">
        <f>IF(AM$4="forecast",IF(YEAR(AM$3)=YEAR('New Hires Forecast'!$N$3),((SUMIFS('New Hires Forecast'!$N$5:$N$82,'New Hires Forecast'!$F$5:$F$82,"Finance",'New Hires Forecast'!$H$5:$H$82,"&gt;="&amp;Finance!AM$3,'New Hires Forecast'!$G$5:$G$82,"&lt;="&amp;Finance!AM$3)/12)),IF(YEAR(AM$3)=YEAR('New Hires Forecast'!$O$3),((SUMIFS('New Hires Forecast'!$O$5:$O$82,'New Hires Forecast'!$F$5:$F$82,"Finance",'New Hires Forecast'!$H$5:$H$82,"&gt;="&amp;Finance!AM$3,'New Hires Forecast'!$G$5:$G$82,"&lt;="&amp;Finance!AM$3)/12)),IF(YEAR(AM$3)=YEAR('New Hires Forecast'!$P$3),((SUMIFS('New Hires Forecast'!$P$5:$P$82,'New Hires Forecast'!$F$5:$F$82,"Finance",'New Hires Forecast'!$H$5:$H$82,"&gt;="&amp;Finance!AM$3,'New Hires Forecast'!$G$5:$G$82,"&lt;="&amp;Finance!AM$3)/12)),IF(YEAR(AM$3)=YEAR('New Hires Forecast'!$Q$3),((SUMIFS('New Hires Forecast'!$Q$5:$Q$82,'New Hires Forecast'!$F$5:$F$82,"Finance",'New Hires Forecast'!$H$5:$H$82,"&gt;="&amp;Finance!AM$3,'New Hires Forecast'!$G$5:$G$82,"&lt;="&amp;Finance!AM$3)/12)),IF(YEAR(AM$3)=YEAR('New Hires Forecast'!$R$3),((SUMIFS('New Hires Forecast'!$R$5:$R$82,'New Hires Forecast'!$F$5:$F$82,"Finance",'New Hires Forecast'!$H$5:$H$82,"&gt;="&amp;Finance!AM$3,'New Hires Forecast'!$G$5:$G$82,"&lt;="&amp;Finance!AM$3)/12))))))),0)</f>
        <v>29183.333333333332</v>
      </c>
      <c r="AN13" s="668">
        <f>IF(AN$4="forecast",IF(YEAR(AN$3)=YEAR('New Hires Forecast'!$N$3),((SUMIFS('New Hires Forecast'!$N$5:$N$82,'New Hires Forecast'!$F$5:$F$82,"Finance",'New Hires Forecast'!$H$5:$H$82,"&gt;="&amp;Finance!AN$3,'New Hires Forecast'!$G$5:$G$82,"&lt;="&amp;Finance!AN$3)/12)),IF(YEAR(AN$3)=YEAR('New Hires Forecast'!$O$3),((SUMIFS('New Hires Forecast'!$O$5:$O$82,'New Hires Forecast'!$F$5:$F$82,"Finance",'New Hires Forecast'!$H$5:$H$82,"&gt;="&amp;Finance!AN$3,'New Hires Forecast'!$G$5:$G$82,"&lt;="&amp;Finance!AN$3)/12)),IF(YEAR(AN$3)=YEAR('New Hires Forecast'!$P$3),((SUMIFS('New Hires Forecast'!$P$5:$P$82,'New Hires Forecast'!$F$5:$F$82,"Finance",'New Hires Forecast'!$H$5:$H$82,"&gt;="&amp;Finance!AN$3,'New Hires Forecast'!$G$5:$G$82,"&lt;="&amp;Finance!AN$3)/12)),IF(YEAR(AN$3)=YEAR('New Hires Forecast'!$Q$3),((SUMIFS('New Hires Forecast'!$Q$5:$Q$82,'New Hires Forecast'!$F$5:$F$82,"Finance",'New Hires Forecast'!$H$5:$H$82,"&gt;="&amp;Finance!AN$3,'New Hires Forecast'!$G$5:$G$82,"&lt;="&amp;Finance!AN$3)/12)),IF(YEAR(AN$3)=YEAR('New Hires Forecast'!$R$3),((SUMIFS('New Hires Forecast'!$R$5:$R$82,'New Hires Forecast'!$F$5:$F$82,"Finance",'New Hires Forecast'!$H$5:$H$82,"&gt;="&amp;Finance!AN$3,'New Hires Forecast'!$G$5:$G$82,"&lt;="&amp;Finance!AN$3)/12))))))),0)</f>
        <v>29183.333333333332</v>
      </c>
      <c r="AO13" s="668">
        <f>IF(AO$4="forecast",IF(YEAR(AO$3)=YEAR('New Hires Forecast'!$N$3),((SUMIFS('New Hires Forecast'!$N$5:$N$82,'New Hires Forecast'!$F$5:$F$82,"Finance",'New Hires Forecast'!$H$5:$H$82,"&gt;="&amp;Finance!AO$3,'New Hires Forecast'!$G$5:$G$82,"&lt;="&amp;Finance!AO$3)/12)),IF(YEAR(AO$3)=YEAR('New Hires Forecast'!$O$3),((SUMIFS('New Hires Forecast'!$O$5:$O$82,'New Hires Forecast'!$F$5:$F$82,"Finance",'New Hires Forecast'!$H$5:$H$82,"&gt;="&amp;Finance!AO$3,'New Hires Forecast'!$G$5:$G$82,"&lt;="&amp;Finance!AO$3)/12)),IF(YEAR(AO$3)=YEAR('New Hires Forecast'!$P$3),((SUMIFS('New Hires Forecast'!$P$5:$P$82,'New Hires Forecast'!$F$5:$F$82,"Finance",'New Hires Forecast'!$H$5:$H$82,"&gt;="&amp;Finance!AO$3,'New Hires Forecast'!$G$5:$G$82,"&lt;="&amp;Finance!AO$3)/12)),IF(YEAR(AO$3)=YEAR('New Hires Forecast'!$Q$3),((SUMIFS('New Hires Forecast'!$Q$5:$Q$82,'New Hires Forecast'!$F$5:$F$82,"Finance",'New Hires Forecast'!$H$5:$H$82,"&gt;="&amp;Finance!AO$3,'New Hires Forecast'!$G$5:$G$82,"&lt;="&amp;Finance!AO$3)/12)),IF(YEAR(AO$3)=YEAR('New Hires Forecast'!$R$3),((SUMIFS('New Hires Forecast'!$R$5:$R$82,'New Hires Forecast'!$F$5:$F$82,"Finance",'New Hires Forecast'!$H$5:$H$82,"&gt;="&amp;Finance!AO$3,'New Hires Forecast'!$G$5:$G$82,"&lt;="&amp;Finance!AO$3)/12))))))),0)</f>
        <v>29183.333333333332</v>
      </c>
      <c r="AP13" s="668">
        <f>IF(AP$4="forecast",IF(YEAR(AP$3)=YEAR('New Hires Forecast'!$N$3),((SUMIFS('New Hires Forecast'!$N$5:$N$82,'New Hires Forecast'!$F$5:$F$82,"Finance",'New Hires Forecast'!$H$5:$H$82,"&gt;="&amp;Finance!AP$3,'New Hires Forecast'!$G$5:$G$82,"&lt;="&amp;Finance!AP$3)/12)),IF(YEAR(AP$3)=YEAR('New Hires Forecast'!$O$3),((SUMIFS('New Hires Forecast'!$O$5:$O$82,'New Hires Forecast'!$F$5:$F$82,"Finance",'New Hires Forecast'!$H$5:$H$82,"&gt;="&amp;Finance!AP$3,'New Hires Forecast'!$G$5:$G$82,"&lt;="&amp;Finance!AP$3)/12)),IF(YEAR(AP$3)=YEAR('New Hires Forecast'!$P$3),((SUMIFS('New Hires Forecast'!$P$5:$P$82,'New Hires Forecast'!$F$5:$F$82,"Finance",'New Hires Forecast'!$H$5:$H$82,"&gt;="&amp;Finance!AP$3,'New Hires Forecast'!$G$5:$G$82,"&lt;="&amp;Finance!AP$3)/12)),IF(YEAR(AP$3)=YEAR('New Hires Forecast'!$Q$3),((SUMIFS('New Hires Forecast'!$Q$5:$Q$82,'New Hires Forecast'!$F$5:$F$82,"Finance",'New Hires Forecast'!$H$5:$H$82,"&gt;="&amp;Finance!AP$3,'New Hires Forecast'!$G$5:$G$82,"&lt;="&amp;Finance!AP$3)/12)),IF(YEAR(AP$3)=YEAR('New Hires Forecast'!$R$3),((SUMIFS('New Hires Forecast'!$R$5:$R$82,'New Hires Forecast'!$F$5:$F$82,"Finance",'New Hires Forecast'!$H$5:$H$82,"&gt;="&amp;Finance!AP$3,'New Hires Forecast'!$G$5:$G$82,"&lt;="&amp;Finance!AP$3)/12))))))),0)</f>
        <v>29183.333333333332</v>
      </c>
      <c r="AQ13" s="668">
        <f>IF(AQ$4="forecast",IF(YEAR(AQ$3)=YEAR('New Hires Forecast'!$N$3),((SUMIFS('New Hires Forecast'!$N$5:$N$82,'New Hires Forecast'!$F$5:$F$82,"Finance",'New Hires Forecast'!$H$5:$H$82,"&gt;="&amp;Finance!AQ$3,'New Hires Forecast'!$G$5:$G$82,"&lt;="&amp;Finance!AQ$3)/12)),IF(YEAR(AQ$3)=YEAR('New Hires Forecast'!$O$3),((SUMIFS('New Hires Forecast'!$O$5:$O$82,'New Hires Forecast'!$F$5:$F$82,"Finance",'New Hires Forecast'!$H$5:$H$82,"&gt;="&amp;Finance!AQ$3,'New Hires Forecast'!$G$5:$G$82,"&lt;="&amp;Finance!AQ$3)/12)),IF(YEAR(AQ$3)=YEAR('New Hires Forecast'!$P$3),((SUMIFS('New Hires Forecast'!$P$5:$P$82,'New Hires Forecast'!$F$5:$F$82,"Finance",'New Hires Forecast'!$H$5:$H$82,"&gt;="&amp;Finance!AQ$3,'New Hires Forecast'!$G$5:$G$82,"&lt;="&amp;Finance!AQ$3)/12)),IF(YEAR(AQ$3)=YEAR('New Hires Forecast'!$Q$3),((SUMIFS('New Hires Forecast'!$Q$5:$Q$82,'New Hires Forecast'!$F$5:$F$82,"Finance",'New Hires Forecast'!$H$5:$H$82,"&gt;="&amp;Finance!AQ$3,'New Hires Forecast'!$G$5:$G$82,"&lt;="&amp;Finance!AQ$3)/12)),IF(YEAR(AQ$3)=YEAR('New Hires Forecast'!$R$3),((SUMIFS('New Hires Forecast'!$R$5:$R$82,'New Hires Forecast'!$F$5:$F$82,"Finance",'New Hires Forecast'!$H$5:$H$82,"&gt;="&amp;Finance!AQ$3,'New Hires Forecast'!$G$5:$G$82,"&lt;="&amp;Finance!AQ$3)/12))))))),0)</f>
        <v>29183.333333333332</v>
      </c>
      <c r="AR13" s="668">
        <f>IF(AR$4="forecast",IF(YEAR(AR$3)=YEAR('New Hires Forecast'!$N$3),((SUMIFS('New Hires Forecast'!$N$5:$N$82,'New Hires Forecast'!$F$5:$F$82,"Finance",'New Hires Forecast'!$H$5:$H$82,"&gt;="&amp;Finance!AR$3,'New Hires Forecast'!$G$5:$G$82,"&lt;="&amp;Finance!AR$3)/12)),IF(YEAR(AR$3)=YEAR('New Hires Forecast'!$O$3),((SUMIFS('New Hires Forecast'!$O$5:$O$82,'New Hires Forecast'!$F$5:$F$82,"Finance",'New Hires Forecast'!$H$5:$H$82,"&gt;="&amp;Finance!AR$3,'New Hires Forecast'!$G$5:$G$82,"&lt;="&amp;Finance!AR$3)/12)),IF(YEAR(AR$3)=YEAR('New Hires Forecast'!$P$3),((SUMIFS('New Hires Forecast'!$P$5:$P$82,'New Hires Forecast'!$F$5:$F$82,"Finance",'New Hires Forecast'!$H$5:$H$82,"&gt;="&amp;Finance!AR$3,'New Hires Forecast'!$G$5:$G$82,"&lt;="&amp;Finance!AR$3)/12)),IF(YEAR(AR$3)=YEAR('New Hires Forecast'!$Q$3),((SUMIFS('New Hires Forecast'!$Q$5:$Q$82,'New Hires Forecast'!$F$5:$F$82,"Finance",'New Hires Forecast'!$H$5:$H$82,"&gt;="&amp;Finance!AR$3,'New Hires Forecast'!$G$5:$G$82,"&lt;="&amp;Finance!AR$3)/12)),IF(YEAR(AR$3)=YEAR('New Hires Forecast'!$R$3),((SUMIFS('New Hires Forecast'!$R$5:$R$82,'New Hires Forecast'!$F$5:$F$82,"Finance",'New Hires Forecast'!$H$5:$H$82,"&gt;="&amp;Finance!AR$3,'New Hires Forecast'!$G$5:$G$82,"&lt;="&amp;Finance!AR$3)/12))))))),0)</f>
        <v>29183.333333333332</v>
      </c>
      <c r="AS13" s="668">
        <f>IF(AS$4="forecast",IF(YEAR(AS$3)=YEAR('New Hires Forecast'!$N$3),((SUMIFS('New Hires Forecast'!$N$5:$N$82,'New Hires Forecast'!$F$5:$F$82,"Finance",'New Hires Forecast'!$H$5:$H$82,"&gt;="&amp;Finance!AS$3,'New Hires Forecast'!$G$5:$G$82,"&lt;="&amp;Finance!AS$3)/12)),IF(YEAR(AS$3)=YEAR('New Hires Forecast'!$O$3),((SUMIFS('New Hires Forecast'!$O$5:$O$82,'New Hires Forecast'!$F$5:$F$82,"Finance",'New Hires Forecast'!$H$5:$H$82,"&gt;="&amp;Finance!AS$3,'New Hires Forecast'!$G$5:$G$82,"&lt;="&amp;Finance!AS$3)/12)),IF(YEAR(AS$3)=YEAR('New Hires Forecast'!$P$3),((SUMIFS('New Hires Forecast'!$P$5:$P$82,'New Hires Forecast'!$F$5:$F$82,"Finance",'New Hires Forecast'!$H$5:$H$82,"&gt;="&amp;Finance!AS$3,'New Hires Forecast'!$G$5:$G$82,"&lt;="&amp;Finance!AS$3)/12)),IF(YEAR(AS$3)=YEAR('New Hires Forecast'!$Q$3),((SUMIFS('New Hires Forecast'!$Q$5:$Q$82,'New Hires Forecast'!$F$5:$F$82,"Finance",'New Hires Forecast'!$H$5:$H$82,"&gt;="&amp;Finance!AS$3,'New Hires Forecast'!$G$5:$G$82,"&lt;="&amp;Finance!AS$3)/12)),IF(YEAR(AS$3)=YEAR('New Hires Forecast'!$R$3),((SUMIFS('New Hires Forecast'!$R$5:$R$82,'New Hires Forecast'!$F$5:$F$82,"Finance",'New Hires Forecast'!$H$5:$H$82,"&gt;="&amp;Finance!AS$3,'New Hires Forecast'!$G$5:$G$82,"&lt;="&amp;Finance!AS$3)/12))))))),0)</f>
        <v>29183.333333333332</v>
      </c>
      <c r="AT13" s="668">
        <f>IF(AT$4="forecast",IF(YEAR(AT$3)=YEAR('New Hires Forecast'!$N$3),((SUMIFS('New Hires Forecast'!$N$5:$N$82,'New Hires Forecast'!$F$5:$F$82,"Finance",'New Hires Forecast'!$H$5:$H$82,"&gt;="&amp;Finance!AT$3,'New Hires Forecast'!$G$5:$G$82,"&lt;="&amp;Finance!AT$3)/12)),IF(YEAR(AT$3)=YEAR('New Hires Forecast'!$O$3),((SUMIFS('New Hires Forecast'!$O$5:$O$82,'New Hires Forecast'!$F$5:$F$82,"Finance",'New Hires Forecast'!$H$5:$H$82,"&gt;="&amp;Finance!AT$3,'New Hires Forecast'!$G$5:$G$82,"&lt;="&amp;Finance!AT$3)/12)),IF(YEAR(AT$3)=YEAR('New Hires Forecast'!$P$3),((SUMIFS('New Hires Forecast'!$P$5:$P$82,'New Hires Forecast'!$F$5:$F$82,"Finance",'New Hires Forecast'!$H$5:$H$82,"&gt;="&amp;Finance!AT$3,'New Hires Forecast'!$G$5:$G$82,"&lt;="&amp;Finance!AT$3)/12)),IF(YEAR(AT$3)=YEAR('New Hires Forecast'!$Q$3),((SUMIFS('New Hires Forecast'!$Q$5:$Q$82,'New Hires Forecast'!$F$5:$F$82,"Finance",'New Hires Forecast'!$H$5:$H$82,"&gt;="&amp;Finance!AT$3,'New Hires Forecast'!$G$5:$G$82,"&lt;="&amp;Finance!AT$3)/12)),IF(YEAR(AT$3)=YEAR('New Hires Forecast'!$R$3),((SUMIFS('New Hires Forecast'!$R$5:$R$82,'New Hires Forecast'!$F$5:$F$82,"Finance",'New Hires Forecast'!$H$5:$H$82,"&gt;="&amp;Finance!AT$3,'New Hires Forecast'!$G$5:$G$82,"&lt;="&amp;Finance!AT$3)/12))))))),0)</f>
        <v>29183.333333333332</v>
      </c>
      <c r="AU13" s="668">
        <f>IF(AU$4="forecast",IF(YEAR(AU$3)=YEAR('New Hires Forecast'!$N$3),((SUMIFS('New Hires Forecast'!$N$5:$N$82,'New Hires Forecast'!$F$5:$F$82,"Finance",'New Hires Forecast'!$H$5:$H$82,"&gt;="&amp;Finance!AU$3,'New Hires Forecast'!$G$5:$G$82,"&lt;="&amp;Finance!AU$3)/12)),IF(YEAR(AU$3)=YEAR('New Hires Forecast'!$O$3),((SUMIFS('New Hires Forecast'!$O$5:$O$82,'New Hires Forecast'!$F$5:$F$82,"Finance",'New Hires Forecast'!$H$5:$H$82,"&gt;="&amp;Finance!AU$3,'New Hires Forecast'!$G$5:$G$82,"&lt;="&amp;Finance!AU$3)/12)),IF(YEAR(AU$3)=YEAR('New Hires Forecast'!$P$3),((SUMIFS('New Hires Forecast'!$P$5:$P$82,'New Hires Forecast'!$F$5:$F$82,"Finance",'New Hires Forecast'!$H$5:$H$82,"&gt;="&amp;Finance!AU$3,'New Hires Forecast'!$G$5:$G$82,"&lt;="&amp;Finance!AU$3)/12)),IF(YEAR(AU$3)=YEAR('New Hires Forecast'!$Q$3),((SUMIFS('New Hires Forecast'!$Q$5:$Q$82,'New Hires Forecast'!$F$5:$F$82,"Finance",'New Hires Forecast'!$H$5:$H$82,"&gt;="&amp;Finance!AU$3,'New Hires Forecast'!$G$5:$G$82,"&lt;="&amp;Finance!AU$3)/12)),IF(YEAR(AU$3)=YEAR('New Hires Forecast'!$R$3),((SUMIFS('New Hires Forecast'!$R$5:$R$82,'New Hires Forecast'!$F$5:$F$82,"Finance",'New Hires Forecast'!$H$5:$H$82,"&gt;="&amp;Finance!AU$3,'New Hires Forecast'!$G$5:$G$82,"&lt;="&amp;Finance!AU$3)/12))))))),0)</f>
        <v>29183.333333333332</v>
      </c>
      <c r="AV13" s="668">
        <f>IF(AV$4="forecast",IF(YEAR(AV$3)=YEAR('New Hires Forecast'!$N$3),((SUMIFS('New Hires Forecast'!$N$5:$N$82,'New Hires Forecast'!$F$5:$F$82,"Finance",'New Hires Forecast'!$H$5:$H$82,"&gt;="&amp;Finance!AV$3,'New Hires Forecast'!$G$5:$G$82,"&lt;="&amp;Finance!AV$3)/12)),IF(YEAR(AV$3)=YEAR('New Hires Forecast'!$O$3),((SUMIFS('New Hires Forecast'!$O$5:$O$82,'New Hires Forecast'!$F$5:$F$82,"Finance",'New Hires Forecast'!$H$5:$H$82,"&gt;="&amp;Finance!AV$3,'New Hires Forecast'!$G$5:$G$82,"&lt;="&amp;Finance!AV$3)/12)),IF(YEAR(AV$3)=YEAR('New Hires Forecast'!$P$3),((SUMIFS('New Hires Forecast'!$P$5:$P$82,'New Hires Forecast'!$F$5:$F$82,"Finance",'New Hires Forecast'!$H$5:$H$82,"&gt;="&amp;Finance!AV$3,'New Hires Forecast'!$G$5:$G$82,"&lt;="&amp;Finance!AV$3)/12)),IF(YEAR(AV$3)=YEAR('New Hires Forecast'!$Q$3),((SUMIFS('New Hires Forecast'!$Q$5:$Q$82,'New Hires Forecast'!$F$5:$F$82,"Finance",'New Hires Forecast'!$H$5:$H$82,"&gt;="&amp;Finance!AV$3,'New Hires Forecast'!$G$5:$G$82,"&lt;="&amp;Finance!AV$3)/12)),IF(YEAR(AV$3)=YEAR('New Hires Forecast'!$R$3),((SUMIFS('New Hires Forecast'!$R$5:$R$82,'New Hires Forecast'!$F$5:$F$82,"Finance",'New Hires Forecast'!$H$5:$H$82,"&gt;="&amp;Finance!AV$3,'New Hires Forecast'!$G$5:$G$82,"&lt;="&amp;Finance!AV$3)/12))))))),0)</f>
        <v>29183.333333333332</v>
      </c>
      <c r="AW13" s="668">
        <f>IF(AW$4="forecast",IF(YEAR(AW$3)=YEAR('New Hires Forecast'!$N$3),((SUMIFS('New Hires Forecast'!$N$5:$N$82,'New Hires Forecast'!$F$5:$F$82,"Finance",'New Hires Forecast'!$H$5:$H$82,"&gt;="&amp;Finance!AW$3,'New Hires Forecast'!$G$5:$G$82,"&lt;="&amp;Finance!AW$3)/12)),IF(YEAR(AW$3)=YEAR('New Hires Forecast'!$O$3),((SUMIFS('New Hires Forecast'!$O$5:$O$82,'New Hires Forecast'!$F$5:$F$82,"Finance",'New Hires Forecast'!$H$5:$H$82,"&gt;="&amp;Finance!AW$3,'New Hires Forecast'!$G$5:$G$82,"&lt;="&amp;Finance!AW$3)/12)),IF(YEAR(AW$3)=YEAR('New Hires Forecast'!$P$3),((SUMIFS('New Hires Forecast'!$P$5:$P$82,'New Hires Forecast'!$F$5:$F$82,"Finance",'New Hires Forecast'!$H$5:$H$82,"&gt;="&amp;Finance!AW$3,'New Hires Forecast'!$G$5:$G$82,"&lt;="&amp;Finance!AW$3)/12)),IF(YEAR(AW$3)=YEAR('New Hires Forecast'!$Q$3),((SUMIFS('New Hires Forecast'!$Q$5:$Q$82,'New Hires Forecast'!$F$5:$F$82,"Finance",'New Hires Forecast'!$H$5:$H$82,"&gt;="&amp;Finance!AW$3,'New Hires Forecast'!$G$5:$G$82,"&lt;="&amp;Finance!AW$3)/12)),IF(YEAR(AW$3)=YEAR('New Hires Forecast'!$R$3),((SUMIFS('New Hires Forecast'!$R$5:$R$82,'New Hires Forecast'!$F$5:$F$82,"Finance",'New Hires Forecast'!$H$5:$H$82,"&gt;="&amp;Finance!AW$3,'New Hires Forecast'!$G$5:$G$82,"&lt;="&amp;Finance!AW$3)/12))))))),0)</f>
        <v>29183.333333333332</v>
      </c>
      <c r="AX13" s="668">
        <f>IF(AX$4="forecast",IF(YEAR(AX$3)=YEAR('New Hires Forecast'!$N$3),((SUMIFS('New Hires Forecast'!$N$5:$N$82,'New Hires Forecast'!$F$5:$F$82,"Finance",'New Hires Forecast'!$H$5:$H$82,"&gt;="&amp;Finance!AX$3,'New Hires Forecast'!$G$5:$G$82,"&lt;="&amp;Finance!AX$3)/12)),IF(YEAR(AX$3)=YEAR('New Hires Forecast'!$O$3),((SUMIFS('New Hires Forecast'!$O$5:$O$82,'New Hires Forecast'!$F$5:$F$82,"Finance",'New Hires Forecast'!$H$5:$H$82,"&gt;="&amp;Finance!AX$3,'New Hires Forecast'!$G$5:$G$82,"&lt;="&amp;Finance!AX$3)/12)),IF(YEAR(AX$3)=YEAR('New Hires Forecast'!$P$3),((SUMIFS('New Hires Forecast'!$P$5:$P$82,'New Hires Forecast'!$F$5:$F$82,"Finance",'New Hires Forecast'!$H$5:$H$82,"&gt;="&amp;Finance!AX$3,'New Hires Forecast'!$G$5:$G$82,"&lt;="&amp;Finance!AX$3)/12)),IF(YEAR(AX$3)=YEAR('New Hires Forecast'!$Q$3),((SUMIFS('New Hires Forecast'!$Q$5:$Q$82,'New Hires Forecast'!$F$5:$F$82,"Finance",'New Hires Forecast'!$H$5:$H$82,"&gt;="&amp;Finance!AX$3,'New Hires Forecast'!$G$5:$G$82,"&lt;="&amp;Finance!AX$3)/12)),IF(YEAR(AX$3)=YEAR('New Hires Forecast'!$R$3),((SUMIFS('New Hires Forecast'!$R$5:$R$82,'New Hires Forecast'!$F$5:$F$82,"Finance",'New Hires Forecast'!$H$5:$H$82,"&gt;="&amp;Finance!AX$3,'New Hires Forecast'!$G$5:$G$82,"&lt;="&amp;Finance!AX$3)/12))))))),0)</f>
        <v>29183.333333333332</v>
      </c>
      <c r="AY13" s="668">
        <f>IF(AY$4="forecast",IF(YEAR(AY$3)=YEAR('New Hires Forecast'!$N$3),((SUMIFS('New Hires Forecast'!$N$5:$N$82,'New Hires Forecast'!$F$5:$F$82,"Finance",'New Hires Forecast'!$H$5:$H$82,"&gt;="&amp;Finance!AY$3,'New Hires Forecast'!$G$5:$G$82,"&lt;="&amp;Finance!AY$3)/12)),IF(YEAR(AY$3)=YEAR('New Hires Forecast'!$O$3),((SUMIFS('New Hires Forecast'!$O$5:$O$82,'New Hires Forecast'!$F$5:$F$82,"Finance",'New Hires Forecast'!$H$5:$H$82,"&gt;="&amp;Finance!AY$3,'New Hires Forecast'!$G$5:$G$82,"&lt;="&amp;Finance!AY$3)/12)),IF(YEAR(AY$3)=YEAR('New Hires Forecast'!$P$3),((SUMIFS('New Hires Forecast'!$P$5:$P$82,'New Hires Forecast'!$F$5:$F$82,"Finance",'New Hires Forecast'!$H$5:$H$82,"&gt;="&amp;Finance!AY$3,'New Hires Forecast'!$G$5:$G$82,"&lt;="&amp;Finance!AY$3)/12)),IF(YEAR(AY$3)=YEAR('New Hires Forecast'!$Q$3),((SUMIFS('New Hires Forecast'!$Q$5:$Q$82,'New Hires Forecast'!$F$5:$F$82,"Finance",'New Hires Forecast'!$H$5:$H$82,"&gt;="&amp;Finance!AY$3,'New Hires Forecast'!$G$5:$G$82,"&lt;="&amp;Finance!AY$3)/12)),IF(YEAR(AY$3)=YEAR('New Hires Forecast'!$R$3),((SUMIFS('New Hires Forecast'!$R$5:$R$82,'New Hires Forecast'!$F$5:$F$82,"Finance",'New Hires Forecast'!$H$5:$H$82,"&gt;="&amp;Finance!AY$3,'New Hires Forecast'!$G$5:$G$82,"&lt;="&amp;Finance!AY$3)/12))))))),0)</f>
        <v>30058.833333333332</v>
      </c>
      <c r="AZ13" s="668">
        <f>IF(AZ$4="forecast",IF(YEAR(AZ$3)=YEAR('New Hires Forecast'!$N$3),((SUMIFS('New Hires Forecast'!$N$5:$N$82,'New Hires Forecast'!$F$5:$F$82,"Finance",'New Hires Forecast'!$H$5:$H$82,"&gt;="&amp;Finance!AZ$3,'New Hires Forecast'!$G$5:$G$82,"&lt;="&amp;Finance!AZ$3)/12)),IF(YEAR(AZ$3)=YEAR('New Hires Forecast'!$O$3),((SUMIFS('New Hires Forecast'!$O$5:$O$82,'New Hires Forecast'!$F$5:$F$82,"Finance",'New Hires Forecast'!$H$5:$H$82,"&gt;="&amp;Finance!AZ$3,'New Hires Forecast'!$G$5:$G$82,"&lt;="&amp;Finance!AZ$3)/12)),IF(YEAR(AZ$3)=YEAR('New Hires Forecast'!$P$3),((SUMIFS('New Hires Forecast'!$P$5:$P$82,'New Hires Forecast'!$F$5:$F$82,"Finance",'New Hires Forecast'!$H$5:$H$82,"&gt;="&amp;Finance!AZ$3,'New Hires Forecast'!$G$5:$G$82,"&lt;="&amp;Finance!AZ$3)/12)),IF(YEAR(AZ$3)=YEAR('New Hires Forecast'!$Q$3),((SUMIFS('New Hires Forecast'!$Q$5:$Q$82,'New Hires Forecast'!$F$5:$F$82,"Finance",'New Hires Forecast'!$H$5:$H$82,"&gt;="&amp;Finance!AZ$3,'New Hires Forecast'!$G$5:$G$82,"&lt;="&amp;Finance!AZ$3)/12)),IF(YEAR(AZ$3)=YEAR('New Hires Forecast'!$R$3),((SUMIFS('New Hires Forecast'!$R$5:$R$82,'New Hires Forecast'!$F$5:$F$82,"Finance",'New Hires Forecast'!$H$5:$H$82,"&gt;="&amp;Finance!AZ$3,'New Hires Forecast'!$G$5:$G$82,"&lt;="&amp;Finance!AZ$3)/12))))))),0)</f>
        <v>30058.833333333332</v>
      </c>
      <c r="BA13" s="668">
        <f>IF(BA$4="forecast",IF(YEAR(BA$3)=YEAR('New Hires Forecast'!$N$3),((SUMIFS('New Hires Forecast'!$N$5:$N$82,'New Hires Forecast'!$F$5:$F$82,"Finance",'New Hires Forecast'!$H$5:$H$82,"&gt;="&amp;Finance!BA$3,'New Hires Forecast'!$G$5:$G$82,"&lt;="&amp;Finance!BA$3)/12)),IF(YEAR(BA$3)=YEAR('New Hires Forecast'!$O$3),((SUMIFS('New Hires Forecast'!$O$5:$O$82,'New Hires Forecast'!$F$5:$F$82,"Finance",'New Hires Forecast'!$H$5:$H$82,"&gt;="&amp;Finance!BA$3,'New Hires Forecast'!$G$5:$G$82,"&lt;="&amp;Finance!BA$3)/12)),IF(YEAR(BA$3)=YEAR('New Hires Forecast'!$P$3),((SUMIFS('New Hires Forecast'!$P$5:$P$82,'New Hires Forecast'!$F$5:$F$82,"Finance",'New Hires Forecast'!$H$5:$H$82,"&gt;="&amp;Finance!BA$3,'New Hires Forecast'!$G$5:$G$82,"&lt;="&amp;Finance!BA$3)/12)),IF(YEAR(BA$3)=YEAR('New Hires Forecast'!$Q$3),((SUMIFS('New Hires Forecast'!$Q$5:$Q$82,'New Hires Forecast'!$F$5:$F$82,"Finance",'New Hires Forecast'!$H$5:$H$82,"&gt;="&amp;Finance!BA$3,'New Hires Forecast'!$G$5:$G$82,"&lt;="&amp;Finance!BA$3)/12)),IF(YEAR(BA$3)=YEAR('New Hires Forecast'!$R$3),((SUMIFS('New Hires Forecast'!$R$5:$R$82,'New Hires Forecast'!$F$5:$F$82,"Finance",'New Hires Forecast'!$H$5:$H$82,"&gt;="&amp;Finance!BA$3,'New Hires Forecast'!$G$5:$G$82,"&lt;="&amp;Finance!BA$3)/12))))))),0)</f>
        <v>30058.833333333332</v>
      </c>
      <c r="BB13" s="668">
        <f>IF(BB$4="forecast",IF(YEAR(BB$3)=YEAR('New Hires Forecast'!$N$3),((SUMIFS('New Hires Forecast'!$N$5:$N$82,'New Hires Forecast'!$F$5:$F$82,"Finance",'New Hires Forecast'!$H$5:$H$82,"&gt;="&amp;Finance!BB$3,'New Hires Forecast'!$G$5:$G$82,"&lt;="&amp;Finance!BB$3)/12)),IF(YEAR(BB$3)=YEAR('New Hires Forecast'!$O$3),((SUMIFS('New Hires Forecast'!$O$5:$O$82,'New Hires Forecast'!$F$5:$F$82,"Finance",'New Hires Forecast'!$H$5:$H$82,"&gt;="&amp;Finance!BB$3,'New Hires Forecast'!$G$5:$G$82,"&lt;="&amp;Finance!BB$3)/12)),IF(YEAR(BB$3)=YEAR('New Hires Forecast'!$P$3),((SUMIFS('New Hires Forecast'!$P$5:$P$82,'New Hires Forecast'!$F$5:$F$82,"Finance",'New Hires Forecast'!$H$5:$H$82,"&gt;="&amp;Finance!BB$3,'New Hires Forecast'!$G$5:$G$82,"&lt;="&amp;Finance!BB$3)/12)),IF(YEAR(BB$3)=YEAR('New Hires Forecast'!$Q$3),((SUMIFS('New Hires Forecast'!$Q$5:$Q$82,'New Hires Forecast'!$F$5:$F$82,"Finance",'New Hires Forecast'!$H$5:$H$82,"&gt;="&amp;Finance!BB$3,'New Hires Forecast'!$G$5:$G$82,"&lt;="&amp;Finance!BB$3)/12)),IF(YEAR(BB$3)=YEAR('New Hires Forecast'!$R$3),((SUMIFS('New Hires Forecast'!$R$5:$R$82,'New Hires Forecast'!$F$5:$F$82,"Finance",'New Hires Forecast'!$H$5:$H$82,"&gt;="&amp;Finance!BB$3,'New Hires Forecast'!$G$5:$G$82,"&lt;="&amp;Finance!BB$3)/12))))))),0)</f>
        <v>30058.833333333332</v>
      </c>
      <c r="BC13" s="668">
        <f>IF(BC$4="forecast",IF(YEAR(BC$3)=YEAR('New Hires Forecast'!$N$3),((SUMIFS('New Hires Forecast'!$N$5:$N$82,'New Hires Forecast'!$F$5:$F$82,"Finance",'New Hires Forecast'!$H$5:$H$82,"&gt;="&amp;Finance!BC$3,'New Hires Forecast'!$G$5:$G$82,"&lt;="&amp;Finance!BC$3)/12)),IF(YEAR(BC$3)=YEAR('New Hires Forecast'!$O$3),((SUMIFS('New Hires Forecast'!$O$5:$O$82,'New Hires Forecast'!$F$5:$F$82,"Finance",'New Hires Forecast'!$H$5:$H$82,"&gt;="&amp;Finance!BC$3,'New Hires Forecast'!$G$5:$G$82,"&lt;="&amp;Finance!BC$3)/12)),IF(YEAR(BC$3)=YEAR('New Hires Forecast'!$P$3),((SUMIFS('New Hires Forecast'!$P$5:$P$82,'New Hires Forecast'!$F$5:$F$82,"Finance",'New Hires Forecast'!$H$5:$H$82,"&gt;="&amp;Finance!BC$3,'New Hires Forecast'!$G$5:$G$82,"&lt;="&amp;Finance!BC$3)/12)),IF(YEAR(BC$3)=YEAR('New Hires Forecast'!$Q$3),((SUMIFS('New Hires Forecast'!$Q$5:$Q$82,'New Hires Forecast'!$F$5:$F$82,"Finance",'New Hires Forecast'!$H$5:$H$82,"&gt;="&amp;Finance!BC$3,'New Hires Forecast'!$G$5:$G$82,"&lt;="&amp;Finance!BC$3)/12)),IF(YEAR(BC$3)=YEAR('New Hires Forecast'!$R$3),((SUMIFS('New Hires Forecast'!$R$5:$R$82,'New Hires Forecast'!$F$5:$F$82,"Finance",'New Hires Forecast'!$H$5:$H$82,"&gt;="&amp;Finance!BC$3,'New Hires Forecast'!$G$5:$G$82,"&lt;="&amp;Finance!BC$3)/12))))))),0)</f>
        <v>30058.833333333332</v>
      </c>
      <c r="BD13" s="668">
        <f>IF(BD$4="forecast",IF(YEAR(BD$3)=YEAR('New Hires Forecast'!$N$3),((SUMIFS('New Hires Forecast'!$N$5:$N$82,'New Hires Forecast'!$F$5:$F$82,"Finance",'New Hires Forecast'!$H$5:$H$82,"&gt;="&amp;Finance!BD$3,'New Hires Forecast'!$G$5:$G$82,"&lt;="&amp;Finance!BD$3)/12)),IF(YEAR(BD$3)=YEAR('New Hires Forecast'!$O$3),((SUMIFS('New Hires Forecast'!$O$5:$O$82,'New Hires Forecast'!$F$5:$F$82,"Finance",'New Hires Forecast'!$H$5:$H$82,"&gt;="&amp;Finance!BD$3,'New Hires Forecast'!$G$5:$G$82,"&lt;="&amp;Finance!BD$3)/12)),IF(YEAR(BD$3)=YEAR('New Hires Forecast'!$P$3),((SUMIFS('New Hires Forecast'!$P$5:$P$82,'New Hires Forecast'!$F$5:$F$82,"Finance",'New Hires Forecast'!$H$5:$H$82,"&gt;="&amp;Finance!BD$3,'New Hires Forecast'!$G$5:$G$82,"&lt;="&amp;Finance!BD$3)/12)),IF(YEAR(BD$3)=YEAR('New Hires Forecast'!$Q$3),((SUMIFS('New Hires Forecast'!$Q$5:$Q$82,'New Hires Forecast'!$F$5:$F$82,"Finance",'New Hires Forecast'!$H$5:$H$82,"&gt;="&amp;Finance!BD$3,'New Hires Forecast'!$G$5:$G$82,"&lt;="&amp;Finance!BD$3)/12)),IF(YEAR(BD$3)=YEAR('New Hires Forecast'!$R$3),((SUMIFS('New Hires Forecast'!$R$5:$R$82,'New Hires Forecast'!$F$5:$F$82,"Finance",'New Hires Forecast'!$H$5:$H$82,"&gt;="&amp;Finance!BD$3,'New Hires Forecast'!$G$5:$G$82,"&lt;="&amp;Finance!BD$3)/12))))))),0)</f>
        <v>30058.833333333332</v>
      </c>
      <c r="BE13" s="668">
        <f>IF(BE$4="forecast",IF(YEAR(BE$3)=YEAR('New Hires Forecast'!$N$3),((SUMIFS('New Hires Forecast'!$N$5:$N$82,'New Hires Forecast'!$F$5:$F$82,"Finance",'New Hires Forecast'!$H$5:$H$82,"&gt;="&amp;Finance!BE$3,'New Hires Forecast'!$G$5:$G$82,"&lt;="&amp;Finance!BE$3)/12)),IF(YEAR(BE$3)=YEAR('New Hires Forecast'!$O$3),((SUMIFS('New Hires Forecast'!$O$5:$O$82,'New Hires Forecast'!$F$5:$F$82,"Finance",'New Hires Forecast'!$H$5:$H$82,"&gt;="&amp;Finance!BE$3,'New Hires Forecast'!$G$5:$G$82,"&lt;="&amp;Finance!BE$3)/12)),IF(YEAR(BE$3)=YEAR('New Hires Forecast'!$P$3),((SUMIFS('New Hires Forecast'!$P$5:$P$82,'New Hires Forecast'!$F$5:$F$82,"Finance",'New Hires Forecast'!$H$5:$H$82,"&gt;="&amp;Finance!BE$3,'New Hires Forecast'!$G$5:$G$82,"&lt;="&amp;Finance!BE$3)/12)),IF(YEAR(BE$3)=YEAR('New Hires Forecast'!$Q$3),((SUMIFS('New Hires Forecast'!$Q$5:$Q$82,'New Hires Forecast'!$F$5:$F$82,"Finance",'New Hires Forecast'!$H$5:$H$82,"&gt;="&amp;Finance!BE$3,'New Hires Forecast'!$G$5:$G$82,"&lt;="&amp;Finance!BE$3)/12)),IF(YEAR(BE$3)=YEAR('New Hires Forecast'!$R$3),((SUMIFS('New Hires Forecast'!$R$5:$R$82,'New Hires Forecast'!$F$5:$F$82,"Finance",'New Hires Forecast'!$H$5:$H$82,"&gt;="&amp;Finance!BE$3,'New Hires Forecast'!$G$5:$G$82,"&lt;="&amp;Finance!BE$3)/12))))))),0)</f>
        <v>30058.833333333332</v>
      </c>
      <c r="BF13" s="668">
        <f>IF(BF$4="forecast",IF(YEAR(BF$3)=YEAR('New Hires Forecast'!$N$3),((SUMIFS('New Hires Forecast'!$N$5:$N$82,'New Hires Forecast'!$F$5:$F$82,"Finance",'New Hires Forecast'!$H$5:$H$82,"&gt;="&amp;Finance!BF$3,'New Hires Forecast'!$G$5:$G$82,"&lt;="&amp;Finance!BF$3)/12)),IF(YEAR(BF$3)=YEAR('New Hires Forecast'!$O$3),((SUMIFS('New Hires Forecast'!$O$5:$O$82,'New Hires Forecast'!$F$5:$F$82,"Finance",'New Hires Forecast'!$H$5:$H$82,"&gt;="&amp;Finance!BF$3,'New Hires Forecast'!$G$5:$G$82,"&lt;="&amp;Finance!BF$3)/12)),IF(YEAR(BF$3)=YEAR('New Hires Forecast'!$P$3),((SUMIFS('New Hires Forecast'!$P$5:$P$82,'New Hires Forecast'!$F$5:$F$82,"Finance",'New Hires Forecast'!$H$5:$H$82,"&gt;="&amp;Finance!BF$3,'New Hires Forecast'!$G$5:$G$82,"&lt;="&amp;Finance!BF$3)/12)),IF(YEAR(BF$3)=YEAR('New Hires Forecast'!$Q$3),((SUMIFS('New Hires Forecast'!$Q$5:$Q$82,'New Hires Forecast'!$F$5:$F$82,"Finance",'New Hires Forecast'!$H$5:$H$82,"&gt;="&amp;Finance!BF$3,'New Hires Forecast'!$G$5:$G$82,"&lt;="&amp;Finance!BF$3)/12)),IF(YEAR(BF$3)=YEAR('New Hires Forecast'!$R$3),((SUMIFS('New Hires Forecast'!$R$5:$R$82,'New Hires Forecast'!$F$5:$F$82,"Finance",'New Hires Forecast'!$H$5:$H$82,"&gt;="&amp;Finance!BF$3,'New Hires Forecast'!$G$5:$G$82,"&lt;="&amp;Finance!BF$3)/12))))))),0)</f>
        <v>30058.833333333332</v>
      </c>
      <c r="BG13" s="668">
        <f>IF(BG$4="forecast",IF(YEAR(BG$3)=YEAR('New Hires Forecast'!$N$3),((SUMIFS('New Hires Forecast'!$N$5:$N$82,'New Hires Forecast'!$F$5:$F$82,"Finance",'New Hires Forecast'!$H$5:$H$82,"&gt;="&amp;Finance!BG$3,'New Hires Forecast'!$G$5:$G$82,"&lt;="&amp;Finance!BG$3)/12)),IF(YEAR(BG$3)=YEAR('New Hires Forecast'!$O$3),((SUMIFS('New Hires Forecast'!$O$5:$O$82,'New Hires Forecast'!$F$5:$F$82,"Finance",'New Hires Forecast'!$H$5:$H$82,"&gt;="&amp;Finance!BG$3,'New Hires Forecast'!$G$5:$G$82,"&lt;="&amp;Finance!BG$3)/12)),IF(YEAR(BG$3)=YEAR('New Hires Forecast'!$P$3),((SUMIFS('New Hires Forecast'!$P$5:$P$82,'New Hires Forecast'!$F$5:$F$82,"Finance",'New Hires Forecast'!$H$5:$H$82,"&gt;="&amp;Finance!BG$3,'New Hires Forecast'!$G$5:$G$82,"&lt;="&amp;Finance!BG$3)/12)),IF(YEAR(BG$3)=YEAR('New Hires Forecast'!$Q$3),((SUMIFS('New Hires Forecast'!$Q$5:$Q$82,'New Hires Forecast'!$F$5:$F$82,"Finance",'New Hires Forecast'!$H$5:$H$82,"&gt;="&amp;Finance!BG$3,'New Hires Forecast'!$G$5:$G$82,"&lt;="&amp;Finance!BG$3)/12)),IF(YEAR(BG$3)=YEAR('New Hires Forecast'!$R$3),((SUMIFS('New Hires Forecast'!$R$5:$R$82,'New Hires Forecast'!$F$5:$F$82,"Finance",'New Hires Forecast'!$H$5:$H$82,"&gt;="&amp;Finance!BG$3,'New Hires Forecast'!$G$5:$G$82,"&lt;="&amp;Finance!BG$3)/12))))))),0)</f>
        <v>30058.833333333332</v>
      </c>
      <c r="BH13" s="668">
        <f>IF(BH$4="forecast",IF(YEAR(BH$3)=YEAR('New Hires Forecast'!$N$3),((SUMIFS('New Hires Forecast'!$N$5:$N$82,'New Hires Forecast'!$F$5:$F$82,"Finance",'New Hires Forecast'!$H$5:$H$82,"&gt;="&amp;Finance!BH$3,'New Hires Forecast'!$G$5:$G$82,"&lt;="&amp;Finance!BH$3)/12)),IF(YEAR(BH$3)=YEAR('New Hires Forecast'!$O$3),((SUMIFS('New Hires Forecast'!$O$5:$O$82,'New Hires Forecast'!$F$5:$F$82,"Finance",'New Hires Forecast'!$H$5:$H$82,"&gt;="&amp;Finance!BH$3,'New Hires Forecast'!$G$5:$G$82,"&lt;="&amp;Finance!BH$3)/12)),IF(YEAR(BH$3)=YEAR('New Hires Forecast'!$P$3),((SUMIFS('New Hires Forecast'!$P$5:$P$82,'New Hires Forecast'!$F$5:$F$82,"Finance",'New Hires Forecast'!$H$5:$H$82,"&gt;="&amp;Finance!BH$3,'New Hires Forecast'!$G$5:$G$82,"&lt;="&amp;Finance!BH$3)/12)),IF(YEAR(BH$3)=YEAR('New Hires Forecast'!$Q$3),((SUMIFS('New Hires Forecast'!$Q$5:$Q$82,'New Hires Forecast'!$F$5:$F$82,"Finance",'New Hires Forecast'!$H$5:$H$82,"&gt;="&amp;Finance!BH$3,'New Hires Forecast'!$G$5:$G$82,"&lt;="&amp;Finance!BH$3)/12)),IF(YEAR(BH$3)=YEAR('New Hires Forecast'!$R$3),((SUMIFS('New Hires Forecast'!$R$5:$R$82,'New Hires Forecast'!$F$5:$F$82,"Finance",'New Hires Forecast'!$H$5:$H$82,"&gt;="&amp;Finance!BH$3,'New Hires Forecast'!$G$5:$G$82,"&lt;="&amp;Finance!BH$3)/12))))))),0)</f>
        <v>30058.833333333332</v>
      </c>
      <c r="BI13" s="668">
        <f>IF(BI$4="forecast",IF(YEAR(BI$3)=YEAR('New Hires Forecast'!$N$3),((SUMIFS('New Hires Forecast'!$N$5:$N$82,'New Hires Forecast'!$F$5:$F$82,"Finance",'New Hires Forecast'!$H$5:$H$82,"&gt;="&amp;Finance!BI$3,'New Hires Forecast'!$G$5:$G$82,"&lt;="&amp;Finance!BI$3)/12)),IF(YEAR(BI$3)=YEAR('New Hires Forecast'!$O$3),((SUMIFS('New Hires Forecast'!$O$5:$O$82,'New Hires Forecast'!$F$5:$F$82,"Finance",'New Hires Forecast'!$H$5:$H$82,"&gt;="&amp;Finance!BI$3,'New Hires Forecast'!$G$5:$G$82,"&lt;="&amp;Finance!BI$3)/12)),IF(YEAR(BI$3)=YEAR('New Hires Forecast'!$P$3),((SUMIFS('New Hires Forecast'!$P$5:$P$82,'New Hires Forecast'!$F$5:$F$82,"Finance",'New Hires Forecast'!$H$5:$H$82,"&gt;="&amp;Finance!BI$3,'New Hires Forecast'!$G$5:$G$82,"&lt;="&amp;Finance!BI$3)/12)),IF(YEAR(BI$3)=YEAR('New Hires Forecast'!$Q$3),((SUMIFS('New Hires Forecast'!$Q$5:$Q$82,'New Hires Forecast'!$F$5:$F$82,"Finance",'New Hires Forecast'!$H$5:$H$82,"&gt;="&amp;Finance!BI$3,'New Hires Forecast'!$G$5:$G$82,"&lt;="&amp;Finance!BI$3)/12)),IF(YEAR(BI$3)=YEAR('New Hires Forecast'!$R$3),((SUMIFS('New Hires Forecast'!$R$5:$R$82,'New Hires Forecast'!$F$5:$F$82,"Finance",'New Hires Forecast'!$H$5:$H$82,"&gt;="&amp;Finance!BI$3,'New Hires Forecast'!$G$5:$G$82,"&lt;="&amp;Finance!BI$3)/12))))))),0)</f>
        <v>30058.833333333332</v>
      </c>
      <c r="BJ13" s="668">
        <f>IF(BJ$4="forecast",IF(YEAR(BJ$3)=YEAR('New Hires Forecast'!$N$3),((SUMIFS('New Hires Forecast'!$N$5:$N$82,'New Hires Forecast'!$F$5:$F$82,"Finance",'New Hires Forecast'!$H$5:$H$82,"&gt;="&amp;Finance!BJ$3,'New Hires Forecast'!$G$5:$G$82,"&lt;="&amp;Finance!BJ$3)/12)),IF(YEAR(BJ$3)=YEAR('New Hires Forecast'!$O$3),((SUMIFS('New Hires Forecast'!$O$5:$O$82,'New Hires Forecast'!$F$5:$F$82,"Finance",'New Hires Forecast'!$H$5:$H$82,"&gt;="&amp;Finance!BJ$3,'New Hires Forecast'!$G$5:$G$82,"&lt;="&amp;Finance!BJ$3)/12)),IF(YEAR(BJ$3)=YEAR('New Hires Forecast'!$P$3),((SUMIFS('New Hires Forecast'!$P$5:$P$82,'New Hires Forecast'!$F$5:$F$82,"Finance",'New Hires Forecast'!$H$5:$H$82,"&gt;="&amp;Finance!BJ$3,'New Hires Forecast'!$G$5:$G$82,"&lt;="&amp;Finance!BJ$3)/12)),IF(YEAR(BJ$3)=YEAR('New Hires Forecast'!$Q$3),((SUMIFS('New Hires Forecast'!$Q$5:$Q$82,'New Hires Forecast'!$F$5:$F$82,"Finance",'New Hires Forecast'!$H$5:$H$82,"&gt;="&amp;Finance!BJ$3,'New Hires Forecast'!$G$5:$G$82,"&lt;="&amp;Finance!BJ$3)/12)),IF(YEAR(BJ$3)=YEAR('New Hires Forecast'!$R$3),((SUMIFS('New Hires Forecast'!$R$5:$R$82,'New Hires Forecast'!$F$5:$F$82,"Finance",'New Hires Forecast'!$H$5:$H$82,"&gt;="&amp;Finance!BJ$3,'New Hires Forecast'!$G$5:$G$82,"&lt;="&amp;Finance!BJ$3)/12))))))),0)</f>
        <v>30058.833333333332</v>
      </c>
      <c r="BK13" s="668">
        <f>IF(BK$4="forecast",IF(YEAR(BK$3)=YEAR('New Hires Forecast'!$N$3),((SUMIFS('New Hires Forecast'!$N$5:$N$82,'New Hires Forecast'!$F$5:$F$82,"Finance",'New Hires Forecast'!$H$5:$H$82,"&gt;="&amp;Finance!BK$3,'New Hires Forecast'!$G$5:$G$82,"&lt;="&amp;Finance!BK$3)/12)),IF(YEAR(BK$3)=YEAR('New Hires Forecast'!$O$3),((SUMIFS('New Hires Forecast'!$O$5:$O$82,'New Hires Forecast'!$F$5:$F$82,"Finance",'New Hires Forecast'!$H$5:$H$82,"&gt;="&amp;Finance!BK$3,'New Hires Forecast'!$G$5:$G$82,"&lt;="&amp;Finance!BK$3)/12)),IF(YEAR(BK$3)=YEAR('New Hires Forecast'!$P$3),((SUMIFS('New Hires Forecast'!$P$5:$P$82,'New Hires Forecast'!$F$5:$F$82,"Finance",'New Hires Forecast'!$H$5:$H$82,"&gt;="&amp;Finance!BK$3,'New Hires Forecast'!$G$5:$G$82,"&lt;="&amp;Finance!BK$3)/12)),IF(YEAR(BK$3)=YEAR('New Hires Forecast'!$Q$3),((SUMIFS('New Hires Forecast'!$Q$5:$Q$82,'New Hires Forecast'!$F$5:$F$82,"Finance",'New Hires Forecast'!$H$5:$H$82,"&gt;="&amp;Finance!BK$3,'New Hires Forecast'!$G$5:$G$82,"&lt;="&amp;Finance!BK$3)/12)),IF(YEAR(BK$3)=YEAR('New Hires Forecast'!$R$3),((SUMIFS('New Hires Forecast'!$R$5:$R$82,'New Hires Forecast'!$F$5:$F$82,"Finance",'New Hires Forecast'!$H$5:$H$82,"&gt;="&amp;Finance!BK$3,'New Hires Forecast'!$G$5:$G$82,"&lt;="&amp;Finance!BK$3)/12))))))),0)</f>
        <v>30960.598333333332</v>
      </c>
      <c r="BL13" s="668">
        <f>IF(BL$4="forecast",IF(YEAR(BL$3)=YEAR('New Hires Forecast'!$N$3),((SUMIFS('New Hires Forecast'!$N$5:$N$82,'New Hires Forecast'!$F$5:$F$82,"Finance",'New Hires Forecast'!$H$5:$H$82,"&gt;="&amp;Finance!BL$3,'New Hires Forecast'!$G$5:$G$82,"&lt;="&amp;Finance!BL$3)/12)),IF(YEAR(BL$3)=YEAR('New Hires Forecast'!$O$3),((SUMIFS('New Hires Forecast'!$O$5:$O$82,'New Hires Forecast'!$F$5:$F$82,"Finance",'New Hires Forecast'!$H$5:$H$82,"&gt;="&amp;Finance!BL$3,'New Hires Forecast'!$G$5:$G$82,"&lt;="&amp;Finance!BL$3)/12)),IF(YEAR(BL$3)=YEAR('New Hires Forecast'!$P$3),((SUMIFS('New Hires Forecast'!$P$5:$P$82,'New Hires Forecast'!$F$5:$F$82,"Finance",'New Hires Forecast'!$H$5:$H$82,"&gt;="&amp;Finance!BL$3,'New Hires Forecast'!$G$5:$G$82,"&lt;="&amp;Finance!BL$3)/12)),IF(YEAR(BL$3)=YEAR('New Hires Forecast'!$Q$3),((SUMIFS('New Hires Forecast'!$Q$5:$Q$82,'New Hires Forecast'!$F$5:$F$82,"Finance",'New Hires Forecast'!$H$5:$H$82,"&gt;="&amp;Finance!BL$3,'New Hires Forecast'!$G$5:$G$82,"&lt;="&amp;Finance!BL$3)/12)),IF(YEAR(BL$3)=YEAR('New Hires Forecast'!$R$3),((SUMIFS('New Hires Forecast'!$R$5:$R$82,'New Hires Forecast'!$F$5:$F$82,"Finance",'New Hires Forecast'!$H$5:$H$82,"&gt;="&amp;Finance!BL$3,'New Hires Forecast'!$G$5:$G$82,"&lt;="&amp;Finance!BL$3)/12))))))),0)</f>
        <v>30960.598333333332</v>
      </c>
      <c r="BM13" s="668">
        <f>IF(BM$4="forecast",IF(YEAR(BM$3)=YEAR('New Hires Forecast'!$N$3),((SUMIFS('New Hires Forecast'!$N$5:$N$82,'New Hires Forecast'!$F$5:$F$82,"Finance",'New Hires Forecast'!$H$5:$H$82,"&gt;="&amp;Finance!BM$3,'New Hires Forecast'!$G$5:$G$82,"&lt;="&amp;Finance!BM$3)/12)),IF(YEAR(BM$3)=YEAR('New Hires Forecast'!$O$3),((SUMIFS('New Hires Forecast'!$O$5:$O$82,'New Hires Forecast'!$F$5:$F$82,"Finance",'New Hires Forecast'!$H$5:$H$82,"&gt;="&amp;Finance!BM$3,'New Hires Forecast'!$G$5:$G$82,"&lt;="&amp;Finance!BM$3)/12)),IF(YEAR(BM$3)=YEAR('New Hires Forecast'!$P$3),((SUMIFS('New Hires Forecast'!$P$5:$P$82,'New Hires Forecast'!$F$5:$F$82,"Finance",'New Hires Forecast'!$H$5:$H$82,"&gt;="&amp;Finance!BM$3,'New Hires Forecast'!$G$5:$G$82,"&lt;="&amp;Finance!BM$3)/12)),IF(YEAR(BM$3)=YEAR('New Hires Forecast'!$Q$3),((SUMIFS('New Hires Forecast'!$Q$5:$Q$82,'New Hires Forecast'!$F$5:$F$82,"Finance",'New Hires Forecast'!$H$5:$H$82,"&gt;="&amp;Finance!BM$3,'New Hires Forecast'!$G$5:$G$82,"&lt;="&amp;Finance!BM$3)/12)),IF(YEAR(BM$3)=YEAR('New Hires Forecast'!$R$3),((SUMIFS('New Hires Forecast'!$R$5:$R$82,'New Hires Forecast'!$F$5:$F$82,"Finance",'New Hires Forecast'!$H$5:$H$82,"&gt;="&amp;Finance!BM$3,'New Hires Forecast'!$G$5:$G$82,"&lt;="&amp;Finance!BM$3)/12))))))),0)</f>
        <v>30960.598333333332</v>
      </c>
      <c r="BN13" s="668">
        <f>IF(BN$4="forecast",IF(YEAR(BN$3)=YEAR('New Hires Forecast'!$N$3),((SUMIFS('New Hires Forecast'!$N$5:$N$82,'New Hires Forecast'!$F$5:$F$82,"Finance",'New Hires Forecast'!$H$5:$H$82,"&gt;="&amp;Finance!BN$3,'New Hires Forecast'!$G$5:$G$82,"&lt;="&amp;Finance!BN$3)/12)),IF(YEAR(BN$3)=YEAR('New Hires Forecast'!$O$3),((SUMIFS('New Hires Forecast'!$O$5:$O$82,'New Hires Forecast'!$F$5:$F$82,"Finance",'New Hires Forecast'!$H$5:$H$82,"&gt;="&amp;Finance!BN$3,'New Hires Forecast'!$G$5:$G$82,"&lt;="&amp;Finance!BN$3)/12)),IF(YEAR(BN$3)=YEAR('New Hires Forecast'!$P$3),((SUMIFS('New Hires Forecast'!$P$5:$P$82,'New Hires Forecast'!$F$5:$F$82,"Finance",'New Hires Forecast'!$H$5:$H$82,"&gt;="&amp;Finance!BN$3,'New Hires Forecast'!$G$5:$G$82,"&lt;="&amp;Finance!BN$3)/12)),IF(YEAR(BN$3)=YEAR('New Hires Forecast'!$Q$3),((SUMIFS('New Hires Forecast'!$Q$5:$Q$82,'New Hires Forecast'!$F$5:$F$82,"Finance",'New Hires Forecast'!$H$5:$H$82,"&gt;="&amp;Finance!BN$3,'New Hires Forecast'!$G$5:$G$82,"&lt;="&amp;Finance!BN$3)/12)),IF(YEAR(BN$3)=YEAR('New Hires Forecast'!$R$3),((SUMIFS('New Hires Forecast'!$R$5:$R$82,'New Hires Forecast'!$F$5:$F$82,"Finance",'New Hires Forecast'!$H$5:$H$82,"&gt;="&amp;Finance!BN$3,'New Hires Forecast'!$G$5:$G$82,"&lt;="&amp;Finance!BN$3)/12))))))),0)</f>
        <v>30960.598333333332</v>
      </c>
      <c r="BO13" s="668">
        <f>IF(BO$4="forecast",IF(YEAR(BO$3)=YEAR('New Hires Forecast'!$N$3),((SUMIFS('New Hires Forecast'!$N$5:$N$82,'New Hires Forecast'!$F$5:$F$82,"Finance",'New Hires Forecast'!$H$5:$H$82,"&gt;="&amp;Finance!BO$3,'New Hires Forecast'!$G$5:$G$82,"&lt;="&amp;Finance!BO$3)/12)),IF(YEAR(BO$3)=YEAR('New Hires Forecast'!$O$3),((SUMIFS('New Hires Forecast'!$O$5:$O$82,'New Hires Forecast'!$F$5:$F$82,"Finance",'New Hires Forecast'!$H$5:$H$82,"&gt;="&amp;Finance!BO$3,'New Hires Forecast'!$G$5:$G$82,"&lt;="&amp;Finance!BO$3)/12)),IF(YEAR(BO$3)=YEAR('New Hires Forecast'!$P$3),((SUMIFS('New Hires Forecast'!$P$5:$P$82,'New Hires Forecast'!$F$5:$F$82,"Finance",'New Hires Forecast'!$H$5:$H$82,"&gt;="&amp;Finance!BO$3,'New Hires Forecast'!$G$5:$G$82,"&lt;="&amp;Finance!BO$3)/12)),IF(YEAR(BO$3)=YEAR('New Hires Forecast'!$Q$3),((SUMIFS('New Hires Forecast'!$Q$5:$Q$82,'New Hires Forecast'!$F$5:$F$82,"Finance",'New Hires Forecast'!$H$5:$H$82,"&gt;="&amp;Finance!BO$3,'New Hires Forecast'!$G$5:$G$82,"&lt;="&amp;Finance!BO$3)/12)),IF(YEAR(BO$3)=YEAR('New Hires Forecast'!$R$3),((SUMIFS('New Hires Forecast'!$R$5:$R$82,'New Hires Forecast'!$F$5:$F$82,"Finance",'New Hires Forecast'!$H$5:$H$82,"&gt;="&amp;Finance!BO$3,'New Hires Forecast'!$G$5:$G$82,"&lt;="&amp;Finance!BO$3)/12))))))),0)</f>
        <v>30960.598333333332</v>
      </c>
      <c r="BP13" s="668">
        <f>IF(BP$4="forecast",IF(YEAR(BP$3)=YEAR('New Hires Forecast'!$N$3),((SUMIFS('New Hires Forecast'!$N$5:$N$82,'New Hires Forecast'!$F$5:$F$82,"Finance",'New Hires Forecast'!$H$5:$H$82,"&gt;="&amp;Finance!BP$3,'New Hires Forecast'!$G$5:$G$82,"&lt;="&amp;Finance!BP$3)/12)),IF(YEAR(BP$3)=YEAR('New Hires Forecast'!$O$3),((SUMIFS('New Hires Forecast'!$O$5:$O$82,'New Hires Forecast'!$F$5:$F$82,"Finance",'New Hires Forecast'!$H$5:$H$82,"&gt;="&amp;Finance!BP$3,'New Hires Forecast'!$G$5:$G$82,"&lt;="&amp;Finance!BP$3)/12)),IF(YEAR(BP$3)=YEAR('New Hires Forecast'!$P$3),((SUMIFS('New Hires Forecast'!$P$5:$P$82,'New Hires Forecast'!$F$5:$F$82,"Finance",'New Hires Forecast'!$H$5:$H$82,"&gt;="&amp;Finance!BP$3,'New Hires Forecast'!$G$5:$G$82,"&lt;="&amp;Finance!BP$3)/12)),IF(YEAR(BP$3)=YEAR('New Hires Forecast'!$Q$3),((SUMIFS('New Hires Forecast'!$Q$5:$Q$82,'New Hires Forecast'!$F$5:$F$82,"Finance",'New Hires Forecast'!$H$5:$H$82,"&gt;="&amp;Finance!BP$3,'New Hires Forecast'!$G$5:$G$82,"&lt;="&amp;Finance!BP$3)/12)),IF(YEAR(BP$3)=YEAR('New Hires Forecast'!$R$3),((SUMIFS('New Hires Forecast'!$R$5:$R$82,'New Hires Forecast'!$F$5:$F$82,"Finance",'New Hires Forecast'!$H$5:$H$82,"&gt;="&amp;Finance!BP$3,'New Hires Forecast'!$G$5:$G$82,"&lt;="&amp;Finance!BP$3)/12))))))),0)</f>
        <v>30960.598333333332</v>
      </c>
      <c r="BQ13" s="668">
        <f>IF(BQ$4="forecast",IF(YEAR(BQ$3)=YEAR('New Hires Forecast'!$N$3),((SUMIFS('New Hires Forecast'!$N$5:$N$82,'New Hires Forecast'!$F$5:$F$82,"Finance",'New Hires Forecast'!$H$5:$H$82,"&gt;="&amp;Finance!BQ$3,'New Hires Forecast'!$G$5:$G$82,"&lt;="&amp;Finance!BQ$3)/12)),IF(YEAR(BQ$3)=YEAR('New Hires Forecast'!$O$3),((SUMIFS('New Hires Forecast'!$O$5:$O$82,'New Hires Forecast'!$F$5:$F$82,"Finance",'New Hires Forecast'!$H$5:$H$82,"&gt;="&amp;Finance!BQ$3,'New Hires Forecast'!$G$5:$G$82,"&lt;="&amp;Finance!BQ$3)/12)),IF(YEAR(BQ$3)=YEAR('New Hires Forecast'!$P$3),((SUMIFS('New Hires Forecast'!$P$5:$P$82,'New Hires Forecast'!$F$5:$F$82,"Finance",'New Hires Forecast'!$H$5:$H$82,"&gt;="&amp;Finance!BQ$3,'New Hires Forecast'!$G$5:$G$82,"&lt;="&amp;Finance!BQ$3)/12)),IF(YEAR(BQ$3)=YEAR('New Hires Forecast'!$Q$3),((SUMIFS('New Hires Forecast'!$Q$5:$Q$82,'New Hires Forecast'!$F$5:$F$82,"Finance",'New Hires Forecast'!$H$5:$H$82,"&gt;="&amp;Finance!BQ$3,'New Hires Forecast'!$G$5:$G$82,"&lt;="&amp;Finance!BQ$3)/12)),IF(YEAR(BQ$3)=YEAR('New Hires Forecast'!$R$3),((SUMIFS('New Hires Forecast'!$R$5:$R$82,'New Hires Forecast'!$F$5:$F$82,"Finance",'New Hires Forecast'!$H$5:$H$82,"&gt;="&amp;Finance!BQ$3,'New Hires Forecast'!$G$5:$G$82,"&lt;="&amp;Finance!BQ$3)/12))))))),0)</f>
        <v>30960.598333333332</v>
      </c>
      <c r="BR13" s="668">
        <f>IF(BR$4="forecast",IF(YEAR(BR$3)=YEAR('New Hires Forecast'!$N$3),((SUMIFS('New Hires Forecast'!$N$5:$N$82,'New Hires Forecast'!$F$5:$F$82,"Finance",'New Hires Forecast'!$H$5:$H$82,"&gt;="&amp;Finance!BR$3,'New Hires Forecast'!$G$5:$G$82,"&lt;="&amp;Finance!BR$3)/12)),IF(YEAR(BR$3)=YEAR('New Hires Forecast'!$O$3),((SUMIFS('New Hires Forecast'!$O$5:$O$82,'New Hires Forecast'!$F$5:$F$82,"Finance",'New Hires Forecast'!$H$5:$H$82,"&gt;="&amp;Finance!BR$3,'New Hires Forecast'!$G$5:$G$82,"&lt;="&amp;Finance!BR$3)/12)),IF(YEAR(BR$3)=YEAR('New Hires Forecast'!$P$3),((SUMIFS('New Hires Forecast'!$P$5:$P$82,'New Hires Forecast'!$F$5:$F$82,"Finance",'New Hires Forecast'!$H$5:$H$82,"&gt;="&amp;Finance!BR$3,'New Hires Forecast'!$G$5:$G$82,"&lt;="&amp;Finance!BR$3)/12)),IF(YEAR(BR$3)=YEAR('New Hires Forecast'!$Q$3),((SUMIFS('New Hires Forecast'!$Q$5:$Q$82,'New Hires Forecast'!$F$5:$F$82,"Finance",'New Hires Forecast'!$H$5:$H$82,"&gt;="&amp;Finance!BR$3,'New Hires Forecast'!$G$5:$G$82,"&lt;="&amp;Finance!BR$3)/12)),IF(YEAR(BR$3)=YEAR('New Hires Forecast'!$R$3),((SUMIFS('New Hires Forecast'!$R$5:$R$82,'New Hires Forecast'!$F$5:$F$82,"Finance",'New Hires Forecast'!$H$5:$H$82,"&gt;="&amp;Finance!BR$3,'New Hires Forecast'!$G$5:$G$82,"&lt;="&amp;Finance!BR$3)/12))))))),0)</f>
        <v>30960.598333333332</v>
      </c>
      <c r="BS13" s="668">
        <f>IF(BS$4="forecast",IF(YEAR(BS$3)=YEAR('New Hires Forecast'!$N$3),((SUMIFS('New Hires Forecast'!$N$5:$N$82,'New Hires Forecast'!$F$5:$F$82,"Finance",'New Hires Forecast'!$H$5:$H$82,"&gt;="&amp;Finance!BS$3,'New Hires Forecast'!$G$5:$G$82,"&lt;="&amp;Finance!BS$3)/12)),IF(YEAR(BS$3)=YEAR('New Hires Forecast'!$O$3),((SUMIFS('New Hires Forecast'!$O$5:$O$82,'New Hires Forecast'!$F$5:$F$82,"Finance",'New Hires Forecast'!$H$5:$H$82,"&gt;="&amp;Finance!BS$3,'New Hires Forecast'!$G$5:$G$82,"&lt;="&amp;Finance!BS$3)/12)),IF(YEAR(BS$3)=YEAR('New Hires Forecast'!$P$3),((SUMIFS('New Hires Forecast'!$P$5:$P$82,'New Hires Forecast'!$F$5:$F$82,"Finance",'New Hires Forecast'!$H$5:$H$82,"&gt;="&amp;Finance!BS$3,'New Hires Forecast'!$G$5:$G$82,"&lt;="&amp;Finance!BS$3)/12)),IF(YEAR(BS$3)=YEAR('New Hires Forecast'!$Q$3),((SUMIFS('New Hires Forecast'!$Q$5:$Q$82,'New Hires Forecast'!$F$5:$F$82,"Finance",'New Hires Forecast'!$H$5:$H$82,"&gt;="&amp;Finance!BS$3,'New Hires Forecast'!$G$5:$G$82,"&lt;="&amp;Finance!BS$3)/12)),IF(YEAR(BS$3)=YEAR('New Hires Forecast'!$R$3),((SUMIFS('New Hires Forecast'!$R$5:$R$82,'New Hires Forecast'!$F$5:$F$82,"Finance",'New Hires Forecast'!$H$5:$H$82,"&gt;="&amp;Finance!BS$3,'New Hires Forecast'!$G$5:$G$82,"&lt;="&amp;Finance!BS$3)/12))))))),0)</f>
        <v>30960.598333333332</v>
      </c>
      <c r="BT13" s="668">
        <f>IF(BT$4="forecast",IF(YEAR(BT$3)=YEAR('New Hires Forecast'!$N$3),((SUMIFS('New Hires Forecast'!$N$5:$N$82,'New Hires Forecast'!$F$5:$F$82,"Finance",'New Hires Forecast'!$H$5:$H$82,"&gt;="&amp;Finance!BT$3,'New Hires Forecast'!$G$5:$G$82,"&lt;="&amp;Finance!BT$3)/12)),IF(YEAR(BT$3)=YEAR('New Hires Forecast'!$O$3),((SUMIFS('New Hires Forecast'!$O$5:$O$82,'New Hires Forecast'!$F$5:$F$82,"Finance",'New Hires Forecast'!$H$5:$H$82,"&gt;="&amp;Finance!BT$3,'New Hires Forecast'!$G$5:$G$82,"&lt;="&amp;Finance!BT$3)/12)),IF(YEAR(BT$3)=YEAR('New Hires Forecast'!$P$3),((SUMIFS('New Hires Forecast'!$P$5:$P$82,'New Hires Forecast'!$F$5:$F$82,"Finance",'New Hires Forecast'!$H$5:$H$82,"&gt;="&amp;Finance!BT$3,'New Hires Forecast'!$G$5:$G$82,"&lt;="&amp;Finance!BT$3)/12)),IF(YEAR(BT$3)=YEAR('New Hires Forecast'!$Q$3),((SUMIFS('New Hires Forecast'!$Q$5:$Q$82,'New Hires Forecast'!$F$5:$F$82,"Finance",'New Hires Forecast'!$H$5:$H$82,"&gt;="&amp;Finance!BT$3,'New Hires Forecast'!$G$5:$G$82,"&lt;="&amp;Finance!BT$3)/12)),IF(YEAR(BT$3)=YEAR('New Hires Forecast'!$R$3),((SUMIFS('New Hires Forecast'!$R$5:$R$82,'New Hires Forecast'!$F$5:$F$82,"Finance",'New Hires Forecast'!$H$5:$H$82,"&gt;="&amp;Finance!BT$3,'New Hires Forecast'!$G$5:$G$82,"&lt;="&amp;Finance!BT$3)/12))))))),0)</f>
        <v>30960.598333333332</v>
      </c>
      <c r="BU13" s="668">
        <f>IF(BU$4="forecast",IF(YEAR(BU$3)=YEAR('New Hires Forecast'!$N$3),((SUMIFS('New Hires Forecast'!$N$5:$N$82,'New Hires Forecast'!$F$5:$F$82,"Finance",'New Hires Forecast'!$H$5:$H$82,"&gt;="&amp;Finance!BU$3,'New Hires Forecast'!$G$5:$G$82,"&lt;="&amp;Finance!BU$3)/12)),IF(YEAR(BU$3)=YEAR('New Hires Forecast'!$O$3),((SUMIFS('New Hires Forecast'!$O$5:$O$82,'New Hires Forecast'!$F$5:$F$82,"Finance",'New Hires Forecast'!$H$5:$H$82,"&gt;="&amp;Finance!BU$3,'New Hires Forecast'!$G$5:$G$82,"&lt;="&amp;Finance!BU$3)/12)),IF(YEAR(BU$3)=YEAR('New Hires Forecast'!$P$3),((SUMIFS('New Hires Forecast'!$P$5:$P$82,'New Hires Forecast'!$F$5:$F$82,"Finance",'New Hires Forecast'!$H$5:$H$82,"&gt;="&amp;Finance!BU$3,'New Hires Forecast'!$G$5:$G$82,"&lt;="&amp;Finance!BU$3)/12)),IF(YEAR(BU$3)=YEAR('New Hires Forecast'!$Q$3),((SUMIFS('New Hires Forecast'!$Q$5:$Q$82,'New Hires Forecast'!$F$5:$F$82,"Finance",'New Hires Forecast'!$H$5:$H$82,"&gt;="&amp;Finance!BU$3,'New Hires Forecast'!$G$5:$G$82,"&lt;="&amp;Finance!BU$3)/12)),IF(YEAR(BU$3)=YEAR('New Hires Forecast'!$R$3),((SUMIFS('New Hires Forecast'!$R$5:$R$82,'New Hires Forecast'!$F$5:$F$82,"Finance",'New Hires Forecast'!$H$5:$H$82,"&gt;="&amp;Finance!BU$3,'New Hires Forecast'!$G$5:$G$82,"&lt;="&amp;Finance!BU$3)/12))))))),0)</f>
        <v>30960.598333333332</v>
      </c>
      <c r="BV13" s="790">
        <f>IF(BV$4="forecast",IF(YEAR(BV$3)=YEAR('New Hires Forecast'!$N$3),((SUMIFS('New Hires Forecast'!$N$5:$N$82,'New Hires Forecast'!$F$5:$F$82,"Finance",'New Hires Forecast'!$H$5:$H$82,"&gt;="&amp;Finance!BV$3,'New Hires Forecast'!$G$5:$G$82,"&lt;="&amp;Finance!BV$3)/12)),IF(YEAR(BV$3)=YEAR('New Hires Forecast'!$O$3),((SUMIFS('New Hires Forecast'!$O$5:$O$82,'New Hires Forecast'!$F$5:$F$82,"Finance",'New Hires Forecast'!$H$5:$H$82,"&gt;="&amp;Finance!BV$3,'New Hires Forecast'!$G$5:$G$82,"&lt;="&amp;Finance!BV$3)/12)),IF(YEAR(BV$3)=YEAR('New Hires Forecast'!$P$3),((SUMIFS('New Hires Forecast'!$P$5:$P$82,'New Hires Forecast'!$F$5:$F$82,"Finance",'New Hires Forecast'!$H$5:$H$82,"&gt;="&amp;Finance!BV$3,'New Hires Forecast'!$G$5:$G$82,"&lt;="&amp;Finance!BV$3)/12)),IF(YEAR(BV$3)=YEAR('New Hires Forecast'!$Q$3),((SUMIFS('New Hires Forecast'!$Q$5:$Q$82,'New Hires Forecast'!$F$5:$F$82,"Finance",'New Hires Forecast'!$H$5:$H$82,"&gt;="&amp;Finance!BV$3,'New Hires Forecast'!$G$5:$G$82,"&lt;="&amp;Finance!BV$3)/12)),IF(YEAR(BV$3)=YEAR('New Hires Forecast'!$R$3),((SUMIFS('New Hires Forecast'!$R$5:$R$82,'New Hires Forecast'!$F$5:$F$82,"Finance",'New Hires Forecast'!$H$5:$H$82,"&gt;="&amp;Finance!BV$3,'New Hires Forecast'!$G$5:$G$82,"&lt;="&amp;Finance!BV$3)/12))))))),0)</f>
        <v>30960.598333333332</v>
      </c>
    </row>
    <row r="14" spans="2:74" x14ac:dyDescent="0.25">
      <c r="B14" s="791" t="s">
        <v>929</v>
      </c>
      <c r="C14" s="1139">
        <f t="shared" ref="C14:AA14" ca="1" si="2">SUM(C12:C13)</f>
        <v>8393.34</v>
      </c>
      <c r="D14" s="1139">
        <f t="shared" ca="1" si="2"/>
        <v>8393.34</v>
      </c>
      <c r="E14" s="1139">
        <f t="shared" ca="1" si="2"/>
        <v>8503.34</v>
      </c>
      <c r="F14" s="1139">
        <f t="shared" ca="1" si="2"/>
        <v>9153.34</v>
      </c>
      <c r="G14" s="1139">
        <f t="shared" ca="1" si="2"/>
        <v>6460.67</v>
      </c>
      <c r="H14" s="1139">
        <f t="shared" ca="1" si="2"/>
        <v>9833.34</v>
      </c>
      <c r="I14" s="1139">
        <f t="shared" ca="1" si="2"/>
        <v>8893.34</v>
      </c>
      <c r="J14" s="1139">
        <f t="shared" ca="1" si="2"/>
        <v>11018.35</v>
      </c>
      <c r="K14" s="1139">
        <f t="shared" ca="1" si="2"/>
        <v>9073.34</v>
      </c>
      <c r="L14" s="1139">
        <f t="shared" ca="1" si="2"/>
        <v>10033.34</v>
      </c>
      <c r="M14" s="1139">
        <f t="shared" ca="1" si="2"/>
        <v>13806.810000000001</v>
      </c>
      <c r="N14" s="1139">
        <f t="shared" ca="1" si="2"/>
        <v>11515.74</v>
      </c>
      <c r="O14" s="1139">
        <f t="shared" ca="1" si="2"/>
        <v>5644.4</v>
      </c>
      <c r="P14" s="1139">
        <f t="shared" ca="1" si="2"/>
        <v>3940</v>
      </c>
      <c r="Q14" s="1139">
        <f t="shared" ca="1" si="2"/>
        <v>5967</v>
      </c>
      <c r="R14" s="1139">
        <f t="shared" ca="1" si="2"/>
        <v>2182.81</v>
      </c>
      <c r="S14" s="1139">
        <f t="shared" ca="1" si="2"/>
        <v>13981.74</v>
      </c>
      <c r="T14" s="1139">
        <f t="shared" ca="1" si="2"/>
        <v>12692.32</v>
      </c>
      <c r="U14" s="1139">
        <f t="shared" ca="1" si="2"/>
        <v>14596.17</v>
      </c>
      <c r="V14" s="1139">
        <f t="shared" ca="1" si="2"/>
        <v>20596.169999999998</v>
      </c>
      <c r="W14" s="1139">
        <f t="shared" ca="1" si="2"/>
        <v>22615.41</v>
      </c>
      <c r="X14" s="1139">
        <f t="shared" ca="1" si="2"/>
        <v>24769.24</v>
      </c>
      <c r="Y14" s="1139">
        <f t="shared" ca="1" si="2"/>
        <v>22615.41</v>
      </c>
      <c r="Z14" s="1139">
        <f t="shared" ca="1" si="2"/>
        <v>23692.34</v>
      </c>
      <c r="AA14" s="1139">
        <f t="shared" ca="1" si="2"/>
        <v>24769.24</v>
      </c>
      <c r="AB14" s="1139">
        <f t="shared" ref="AB14" ca="1" si="3">SUM(AB12:AB13)</f>
        <v>21538.48</v>
      </c>
      <c r="AC14" s="1139">
        <f t="shared" ref="AC14:BV14" ca="1" si="4">SUM(AC12:AC13)</f>
        <v>22615.4</v>
      </c>
      <c r="AD14" s="1139">
        <f t="shared" si="4"/>
        <v>35000</v>
      </c>
      <c r="AE14" s="1139">
        <f t="shared" si="4"/>
        <v>57916.666666666664</v>
      </c>
      <c r="AF14" s="1139">
        <f t="shared" si="4"/>
        <v>57916.666666666664</v>
      </c>
      <c r="AG14" s="1139">
        <f t="shared" si="4"/>
        <v>57916.666666666664</v>
      </c>
      <c r="AH14" s="1139">
        <f t="shared" si="4"/>
        <v>57916.666666666664</v>
      </c>
      <c r="AI14" s="1139">
        <f t="shared" si="4"/>
        <v>57916.666666666664</v>
      </c>
      <c r="AJ14" s="1139">
        <f t="shared" si="4"/>
        <v>57916.666666666664</v>
      </c>
      <c r="AK14" s="1139">
        <f t="shared" si="4"/>
        <v>57916.666666666664</v>
      </c>
      <c r="AL14" s="1139">
        <f t="shared" si="4"/>
        <v>57916.666666666664</v>
      </c>
      <c r="AM14" s="1139">
        <f t="shared" si="4"/>
        <v>58766.666666666664</v>
      </c>
      <c r="AN14" s="1139">
        <f t="shared" si="4"/>
        <v>59654.166666666664</v>
      </c>
      <c r="AO14" s="1139">
        <f t="shared" si="4"/>
        <v>59654.166666666664</v>
      </c>
      <c r="AP14" s="1139">
        <f t="shared" si="4"/>
        <v>59654.166666666664</v>
      </c>
      <c r="AQ14" s="1139">
        <f t="shared" si="4"/>
        <v>59654.166666666664</v>
      </c>
      <c r="AR14" s="1139">
        <f t="shared" si="4"/>
        <v>59654.166666666664</v>
      </c>
      <c r="AS14" s="1139">
        <f t="shared" si="4"/>
        <v>59654.166666666664</v>
      </c>
      <c r="AT14" s="1139">
        <f t="shared" si="4"/>
        <v>59654.166666666664</v>
      </c>
      <c r="AU14" s="1139">
        <f t="shared" si="4"/>
        <v>59654.166666666664</v>
      </c>
      <c r="AV14" s="1139">
        <f t="shared" si="4"/>
        <v>59654.166666666664</v>
      </c>
      <c r="AW14" s="1139">
        <f t="shared" si="4"/>
        <v>59654.166666666664</v>
      </c>
      <c r="AX14" s="1139">
        <f t="shared" si="4"/>
        <v>59654.166666666664</v>
      </c>
      <c r="AY14" s="1139">
        <f t="shared" si="4"/>
        <v>60529.666666666664</v>
      </c>
      <c r="AZ14" s="1139">
        <f t="shared" si="4"/>
        <v>61443.791666666664</v>
      </c>
      <c r="BA14" s="1139">
        <f t="shared" si="4"/>
        <v>61443.791666666664</v>
      </c>
      <c r="BB14" s="1139">
        <f t="shared" si="4"/>
        <v>61443.791666666664</v>
      </c>
      <c r="BC14" s="1139">
        <f t="shared" si="4"/>
        <v>61443.791666666664</v>
      </c>
      <c r="BD14" s="1139">
        <f t="shared" si="4"/>
        <v>61443.791666666664</v>
      </c>
      <c r="BE14" s="1139">
        <f t="shared" si="4"/>
        <v>61443.791666666664</v>
      </c>
      <c r="BF14" s="1139">
        <f t="shared" si="4"/>
        <v>61443.791666666664</v>
      </c>
      <c r="BG14" s="1139">
        <f t="shared" si="4"/>
        <v>61443.791666666664</v>
      </c>
      <c r="BH14" s="1139">
        <f t="shared" si="4"/>
        <v>61443.791666666664</v>
      </c>
      <c r="BI14" s="1139">
        <f t="shared" si="4"/>
        <v>61443.791666666664</v>
      </c>
      <c r="BJ14" s="1139">
        <f t="shared" si="4"/>
        <v>61443.791666666664</v>
      </c>
      <c r="BK14" s="1139">
        <f t="shared" si="4"/>
        <v>62345.556666666664</v>
      </c>
      <c r="BL14" s="1139">
        <f t="shared" si="4"/>
        <v>63287.105416666658</v>
      </c>
      <c r="BM14" s="1139">
        <f t="shared" si="4"/>
        <v>63287.105416666658</v>
      </c>
      <c r="BN14" s="1139">
        <f t="shared" si="4"/>
        <v>63287.105416666658</v>
      </c>
      <c r="BO14" s="1139">
        <f t="shared" si="4"/>
        <v>63287.105416666658</v>
      </c>
      <c r="BP14" s="1139">
        <f t="shared" si="4"/>
        <v>63287.105416666658</v>
      </c>
      <c r="BQ14" s="1139">
        <f t="shared" si="4"/>
        <v>63287.105416666658</v>
      </c>
      <c r="BR14" s="1139">
        <f t="shared" si="4"/>
        <v>63287.105416666658</v>
      </c>
      <c r="BS14" s="1139">
        <f t="shared" si="4"/>
        <v>63287.105416666658</v>
      </c>
      <c r="BT14" s="1139">
        <f t="shared" si="4"/>
        <v>63287.105416666658</v>
      </c>
      <c r="BU14" s="1139">
        <f t="shared" si="4"/>
        <v>63287.105416666658</v>
      </c>
      <c r="BV14" s="789">
        <f t="shared" si="4"/>
        <v>63287.105416666658</v>
      </c>
    </row>
    <row r="15" spans="2:74" x14ac:dyDescent="0.25">
      <c r="B15" s="780" t="s">
        <v>931</v>
      </c>
      <c r="C15" s="668">
        <f>IF(C$4="forecast",IF(YEAR(C$3)=YEAR('New Hires Forecast'!$N$3),IF((C$5&lt;=12),(SUMPRODUCT(--('New Hires Forecast'!$F$5:$F$85="Finance"),--('New Hires Forecast'!$H$5:$H$85&gt;=Finance!C$3),'New Hires Forecast'!$N$5:$N$85,'New Hires Forecast'!$L$5:$L$85)/12),0),IF(YEAR(C$3)=YEAR('New Hires Forecast'!$O$3),IF((C$5&lt;=12),(SUMPRODUCT(--('New Hires Forecast'!$F$5:$F$85="Finance"),--('New Hires Forecast'!$H$5:$H$85&gt;=Finance!C$3),'New Hires Forecast'!$O$5:$O$85,'New Hires Forecast'!$L$5:$L$85)/12),0),IF(YEAR(C$3)=YEAR('New Hires Forecast'!$P$3),IF((C$5&lt;=12),(SUMPRODUCT(--('New Hires Forecast'!$F$5:$F$85="Finance"),--('New Hires Forecast'!$H$5:$H$85&gt;=Finance!C$3),'New Hires Forecast'!$P$5:$P$85,'New Hires Forecast'!$L$5:$L$85)/12),0),IF(YEAR(C$3)=YEAR('New Hires Forecast'!$Q$3),IF((C$5&lt;=12),(SUMPRODUCT(--('New Hires Forecast'!$F$5:$F$85="Finance"),--('New Hires Forecast'!$H$5:$H$85&gt;=Finance!C$3),'New Hires Forecast'!$Q$5:$Q$85,'New Hires Forecast'!$L$5:$L$85)/12),0),IF(YEAR(C$3)=YEAR('New Hires Forecast'!$R$3),IF((C$5&lt;=12),(SUMPRODUCT(--('New Hires Forecast'!$F$5:$F$85="Finance"),--('New Hires Forecast'!$H$5:$H$85&gt;=Finance!C$3),'New Hires Forecast'!$R$5:$R$85,'New Hires Forecast'!$L$5:$L$85)/12),0),"New Year"))))),0)</f>
        <v>0</v>
      </c>
      <c r="D15" s="668">
        <f>IF(D$4="forecast",IF(YEAR(D$3)=YEAR('New Hires Forecast'!$N$3),IF((D$5&lt;=12),(SUMPRODUCT(--('New Hires Forecast'!$F$5:$F$85="Finance"),--('New Hires Forecast'!$H$5:$H$85&gt;=Finance!D$3),'New Hires Forecast'!$N$5:$N$85,'New Hires Forecast'!$L$5:$L$85)/12),0),IF(YEAR(D$3)=YEAR('New Hires Forecast'!$O$3),IF((D$5&lt;=12),(SUMPRODUCT(--('New Hires Forecast'!$F$5:$F$85="Finance"),--('New Hires Forecast'!$H$5:$H$85&gt;=Finance!D$3),'New Hires Forecast'!$O$5:$O$85,'New Hires Forecast'!$L$5:$L$85)/12),0),IF(YEAR(D$3)=YEAR('New Hires Forecast'!$P$3),IF((D$5&lt;=12),(SUMPRODUCT(--('New Hires Forecast'!$F$5:$F$85="Finance"),--('New Hires Forecast'!$H$5:$H$85&gt;=Finance!D$3),'New Hires Forecast'!$P$5:$P$85,'New Hires Forecast'!$L$5:$L$85)/12),0),IF(YEAR(D$3)=YEAR('New Hires Forecast'!$Q$3),IF((D$5&lt;=12),(SUMPRODUCT(--('New Hires Forecast'!$F$5:$F$85="Finance"),--('New Hires Forecast'!$H$5:$H$85&gt;=Finance!D$3),'New Hires Forecast'!$Q$5:$Q$85,'New Hires Forecast'!$L$5:$L$85)/12),0),IF(YEAR(D$3)=YEAR('New Hires Forecast'!$R$3),IF((D$5&lt;=12),(SUMPRODUCT(--('New Hires Forecast'!$F$5:$F$85="Finance"),--('New Hires Forecast'!$H$5:$H$85&gt;=Finance!D$3),'New Hires Forecast'!$R$5:$R$85,'New Hires Forecast'!$L$5:$L$85)/12),0),"New Year"))))),0)</f>
        <v>0</v>
      </c>
      <c r="E15" s="668">
        <f>IF(E$4="forecast",IF(YEAR(E$3)=YEAR('New Hires Forecast'!$N$3),IF((E$5&lt;=12),(SUMPRODUCT(--('New Hires Forecast'!$F$5:$F$85="Finance"),--('New Hires Forecast'!$H$5:$H$85&gt;=Finance!E$3),'New Hires Forecast'!$N$5:$N$85,'New Hires Forecast'!$L$5:$L$85)/12),0),IF(YEAR(E$3)=YEAR('New Hires Forecast'!$O$3),IF((E$5&lt;=12),(SUMPRODUCT(--('New Hires Forecast'!$F$5:$F$85="Finance"),--('New Hires Forecast'!$H$5:$H$85&gt;=Finance!E$3),'New Hires Forecast'!$O$5:$O$85,'New Hires Forecast'!$L$5:$L$85)/12),0),IF(YEAR(E$3)=YEAR('New Hires Forecast'!$P$3),IF((E$5&lt;=12),(SUMPRODUCT(--('New Hires Forecast'!$F$5:$F$85="Finance"),--('New Hires Forecast'!$H$5:$H$85&gt;=Finance!E$3),'New Hires Forecast'!$P$5:$P$85,'New Hires Forecast'!$L$5:$L$85)/12),0),IF(YEAR(E$3)=YEAR('New Hires Forecast'!$Q$3),IF((E$5&lt;=12),(SUMPRODUCT(--('New Hires Forecast'!$F$5:$F$85="Finance"),--('New Hires Forecast'!$H$5:$H$85&gt;=Finance!E$3),'New Hires Forecast'!$Q$5:$Q$85,'New Hires Forecast'!$L$5:$L$85)/12),0),IF(YEAR(E$3)=YEAR('New Hires Forecast'!$R$3),IF((E$5&lt;=12),(SUMPRODUCT(--('New Hires Forecast'!$F$5:$F$85="Finance"),--('New Hires Forecast'!$H$5:$H$85&gt;=Finance!E$3),'New Hires Forecast'!$R$5:$R$85,'New Hires Forecast'!$L$5:$L$85)/12),0),"New Year"))))),0)</f>
        <v>0</v>
      </c>
      <c r="F15" s="668">
        <f>IF(F$4="forecast",IF(YEAR(F$3)=YEAR('New Hires Forecast'!$N$3),IF((F$5&lt;=12),(SUMPRODUCT(--('New Hires Forecast'!$F$5:$F$85="Finance"),--('New Hires Forecast'!$H$5:$H$85&gt;=Finance!F$3),'New Hires Forecast'!$N$5:$N$85,'New Hires Forecast'!$L$5:$L$85)/12),0),IF(YEAR(F$3)=YEAR('New Hires Forecast'!$O$3),IF((F$5&lt;=12),(SUMPRODUCT(--('New Hires Forecast'!$F$5:$F$85="Finance"),--('New Hires Forecast'!$H$5:$H$85&gt;=Finance!F$3),'New Hires Forecast'!$O$5:$O$85,'New Hires Forecast'!$L$5:$L$85)/12),0),IF(YEAR(F$3)=YEAR('New Hires Forecast'!$P$3),IF((F$5&lt;=12),(SUMPRODUCT(--('New Hires Forecast'!$F$5:$F$85="Finance"),--('New Hires Forecast'!$H$5:$H$85&gt;=Finance!F$3),'New Hires Forecast'!$P$5:$P$85,'New Hires Forecast'!$L$5:$L$85)/12),0),IF(YEAR(F$3)=YEAR('New Hires Forecast'!$Q$3),IF((F$5&lt;=12),(SUMPRODUCT(--('New Hires Forecast'!$F$5:$F$85="Finance"),--('New Hires Forecast'!$H$5:$H$85&gt;=Finance!F$3),'New Hires Forecast'!$Q$5:$Q$85,'New Hires Forecast'!$L$5:$L$85)/12),0),IF(YEAR(F$3)=YEAR('New Hires Forecast'!$R$3),IF((F$5&lt;=12),(SUMPRODUCT(--('New Hires Forecast'!$F$5:$F$85="Finance"),--('New Hires Forecast'!$H$5:$H$85&gt;=Finance!F$3),'New Hires Forecast'!$R$5:$R$85,'New Hires Forecast'!$L$5:$L$85)/12),0),"New Year"))))),0)</f>
        <v>0</v>
      </c>
      <c r="G15" s="668">
        <f>IF(G$4="forecast",IF(YEAR(G$3)=YEAR('New Hires Forecast'!$N$3),IF((G$5&lt;=12),(SUMPRODUCT(--('New Hires Forecast'!$F$5:$F$85="Finance"),--('New Hires Forecast'!$H$5:$H$85&gt;=Finance!G$3),'New Hires Forecast'!$N$5:$N$85,'New Hires Forecast'!$L$5:$L$85)/12),0),IF(YEAR(G$3)=YEAR('New Hires Forecast'!$O$3),IF((G$5&lt;=12),(SUMPRODUCT(--('New Hires Forecast'!$F$5:$F$85="Finance"),--('New Hires Forecast'!$H$5:$H$85&gt;=Finance!G$3),'New Hires Forecast'!$O$5:$O$85,'New Hires Forecast'!$L$5:$L$85)/12),0),IF(YEAR(G$3)=YEAR('New Hires Forecast'!$P$3),IF((G$5&lt;=12),(SUMPRODUCT(--('New Hires Forecast'!$F$5:$F$85="Finance"),--('New Hires Forecast'!$H$5:$H$85&gt;=Finance!G$3),'New Hires Forecast'!$P$5:$P$85,'New Hires Forecast'!$L$5:$L$85)/12),0),IF(YEAR(G$3)=YEAR('New Hires Forecast'!$Q$3),IF((G$5&lt;=12),(SUMPRODUCT(--('New Hires Forecast'!$F$5:$F$85="Finance"),--('New Hires Forecast'!$H$5:$H$85&gt;=Finance!G$3),'New Hires Forecast'!$Q$5:$Q$85,'New Hires Forecast'!$L$5:$L$85)/12),0),IF(YEAR(G$3)=YEAR('New Hires Forecast'!$R$3),IF((G$5&lt;=12),(SUMPRODUCT(--('New Hires Forecast'!$F$5:$F$85="Finance"),--('New Hires Forecast'!$H$5:$H$85&gt;=Finance!G$3),'New Hires Forecast'!$R$5:$R$85,'New Hires Forecast'!$L$5:$L$85)/12),0),"New Year"))))),0)</f>
        <v>0</v>
      </c>
      <c r="H15" s="668">
        <f>IF(H$4="forecast",IF(YEAR(H$3)=YEAR('New Hires Forecast'!$N$3),IF((H$5&lt;=12),(SUMPRODUCT(--('New Hires Forecast'!$F$5:$F$85="Finance"),--('New Hires Forecast'!$H$5:$H$85&gt;=Finance!H$3),'New Hires Forecast'!$N$5:$N$85,'New Hires Forecast'!$L$5:$L$85)/12),0),IF(YEAR(H$3)=YEAR('New Hires Forecast'!$O$3),IF((H$5&lt;=12),(SUMPRODUCT(--('New Hires Forecast'!$F$5:$F$85="Finance"),--('New Hires Forecast'!$H$5:$H$85&gt;=Finance!H$3),'New Hires Forecast'!$O$5:$O$85,'New Hires Forecast'!$L$5:$L$85)/12),0),IF(YEAR(H$3)=YEAR('New Hires Forecast'!$P$3),IF((H$5&lt;=12),(SUMPRODUCT(--('New Hires Forecast'!$F$5:$F$85="Finance"),--('New Hires Forecast'!$H$5:$H$85&gt;=Finance!H$3),'New Hires Forecast'!$P$5:$P$85,'New Hires Forecast'!$L$5:$L$85)/12),0),IF(YEAR(H$3)=YEAR('New Hires Forecast'!$Q$3),IF((H$5&lt;=12),(SUMPRODUCT(--('New Hires Forecast'!$F$5:$F$85="Finance"),--('New Hires Forecast'!$H$5:$H$85&gt;=Finance!H$3),'New Hires Forecast'!$Q$5:$Q$85,'New Hires Forecast'!$L$5:$L$85)/12),0),IF(YEAR(H$3)=YEAR('New Hires Forecast'!$R$3),IF((H$5&lt;=12),(SUMPRODUCT(--('New Hires Forecast'!$F$5:$F$85="Finance"),--('New Hires Forecast'!$H$5:$H$85&gt;=Finance!H$3),'New Hires Forecast'!$R$5:$R$85,'New Hires Forecast'!$L$5:$L$85)/12),0),"New Year"))))),0)</f>
        <v>0</v>
      </c>
      <c r="I15" s="668">
        <f>IF(I$4="forecast",IF(YEAR(I$3)=YEAR('New Hires Forecast'!$N$3),IF((I$5&lt;=12),(SUMPRODUCT(--('New Hires Forecast'!$F$5:$F$85="Finance"),--('New Hires Forecast'!$H$5:$H$85&gt;=Finance!I$3),'New Hires Forecast'!$N$5:$N$85,'New Hires Forecast'!$L$5:$L$85)/12),0),IF(YEAR(I$3)=YEAR('New Hires Forecast'!$O$3),IF((I$5&lt;=12),(SUMPRODUCT(--('New Hires Forecast'!$F$5:$F$85="Finance"),--('New Hires Forecast'!$H$5:$H$85&gt;=Finance!I$3),'New Hires Forecast'!$O$5:$O$85,'New Hires Forecast'!$L$5:$L$85)/12),0),IF(YEAR(I$3)=YEAR('New Hires Forecast'!$P$3),IF((I$5&lt;=12),(SUMPRODUCT(--('New Hires Forecast'!$F$5:$F$85="Finance"),--('New Hires Forecast'!$H$5:$H$85&gt;=Finance!I$3),'New Hires Forecast'!$P$5:$P$85,'New Hires Forecast'!$L$5:$L$85)/12),0),IF(YEAR(I$3)=YEAR('New Hires Forecast'!$Q$3),IF((I$5&lt;=12),(SUMPRODUCT(--('New Hires Forecast'!$F$5:$F$85="Finance"),--('New Hires Forecast'!$H$5:$H$85&gt;=Finance!I$3),'New Hires Forecast'!$Q$5:$Q$85,'New Hires Forecast'!$L$5:$L$85)/12),0),IF(YEAR(I$3)=YEAR('New Hires Forecast'!$R$3),IF((I$5&lt;=12),(SUMPRODUCT(--('New Hires Forecast'!$F$5:$F$85="Finance"),--('New Hires Forecast'!$H$5:$H$85&gt;=Finance!I$3),'New Hires Forecast'!$R$5:$R$85,'New Hires Forecast'!$L$5:$L$85)/12),0),"New Year"))))),0)</f>
        <v>0</v>
      </c>
      <c r="J15" s="668">
        <f>IF(J$4="forecast",IF(YEAR(J$3)=YEAR('New Hires Forecast'!$N$3),IF((J$5&lt;=12),(SUMPRODUCT(--('New Hires Forecast'!$F$5:$F$85="Finance"),--('New Hires Forecast'!$H$5:$H$85&gt;=Finance!J$3),'New Hires Forecast'!$N$5:$N$85,'New Hires Forecast'!$L$5:$L$85)/12),0),IF(YEAR(J$3)=YEAR('New Hires Forecast'!$O$3),IF((J$5&lt;=12),(SUMPRODUCT(--('New Hires Forecast'!$F$5:$F$85="Finance"),--('New Hires Forecast'!$H$5:$H$85&gt;=Finance!J$3),'New Hires Forecast'!$O$5:$O$85,'New Hires Forecast'!$L$5:$L$85)/12),0),IF(YEAR(J$3)=YEAR('New Hires Forecast'!$P$3),IF((J$5&lt;=12),(SUMPRODUCT(--('New Hires Forecast'!$F$5:$F$85="Finance"),--('New Hires Forecast'!$H$5:$H$85&gt;=Finance!J$3),'New Hires Forecast'!$P$5:$P$85,'New Hires Forecast'!$L$5:$L$85)/12),0),IF(YEAR(J$3)=YEAR('New Hires Forecast'!$Q$3),IF((J$5&lt;=12),(SUMPRODUCT(--('New Hires Forecast'!$F$5:$F$85="Finance"),--('New Hires Forecast'!$H$5:$H$85&gt;=Finance!J$3),'New Hires Forecast'!$Q$5:$Q$85,'New Hires Forecast'!$L$5:$L$85)/12),0),IF(YEAR(J$3)=YEAR('New Hires Forecast'!$R$3),IF((J$5&lt;=12),(SUMPRODUCT(--('New Hires Forecast'!$F$5:$F$85="Finance"),--('New Hires Forecast'!$H$5:$H$85&gt;=Finance!J$3),'New Hires Forecast'!$R$5:$R$85,'New Hires Forecast'!$L$5:$L$85)/12),0),"New Year"))))),0)</f>
        <v>0</v>
      </c>
      <c r="K15" s="668">
        <f>IF(K$4="forecast",IF(YEAR(K$3)=YEAR('New Hires Forecast'!$N$3),IF((K$5&lt;=12),(SUMPRODUCT(--('New Hires Forecast'!$F$5:$F$85="Finance"),--('New Hires Forecast'!$H$5:$H$85&gt;=Finance!K$3),'New Hires Forecast'!$N$5:$N$85,'New Hires Forecast'!$L$5:$L$85)/12),0),IF(YEAR(K$3)=YEAR('New Hires Forecast'!$O$3),IF((K$5&lt;=12),(SUMPRODUCT(--('New Hires Forecast'!$F$5:$F$85="Finance"),--('New Hires Forecast'!$H$5:$H$85&gt;=Finance!K$3),'New Hires Forecast'!$O$5:$O$85,'New Hires Forecast'!$L$5:$L$85)/12),0),IF(YEAR(K$3)=YEAR('New Hires Forecast'!$P$3),IF((K$5&lt;=12),(SUMPRODUCT(--('New Hires Forecast'!$F$5:$F$85="Finance"),--('New Hires Forecast'!$H$5:$H$85&gt;=Finance!K$3),'New Hires Forecast'!$P$5:$P$85,'New Hires Forecast'!$L$5:$L$85)/12),0),IF(YEAR(K$3)=YEAR('New Hires Forecast'!$Q$3),IF((K$5&lt;=12),(SUMPRODUCT(--('New Hires Forecast'!$F$5:$F$85="Finance"),--('New Hires Forecast'!$H$5:$H$85&gt;=Finance!K$3),'New Hires Forecast'!$Q$5:$Q$85,'New Hires Forecast'!$L$5:$L$85)/12),0),IF(YEAR(K$3)=YEAR('New Hires Forecast'!$R$3),IF((K$5&lt;=12),(SUMPRODUCT(--('New Hires Forecast'!$F$5:$F$85="Finance"),--('New Hires Forecast'!$H$5:$H$85&gt;=Finance!K$3),'New Hires Forecast'!$R$5:$R$85,'New Hires Forecast'!$L$5:$L$85)/12),0),"New Year"))))),0)</f>
        <v>0</v>
      </c>
      <c r="L15" s="668">
        <f>IF(L$4="forecast",IF(YEAR(L$3)=YEAR('New Hires Forecast'!$N$3),IF((L$5&lt;=12),(SUMPRODUCT(--('New Hires Forecast'!$F$5:$F$85="Finance"),--('New Hires Forecast'!$H$5:$H$85&gt;=Finance!L$3),'New Hires Forecast'!$N$5:$N$85,'New Hires Forecast'!$L$5:$L$85)/12),0),IF(YEAR(L$3)=YEAR('New Hires Forecast'!$O$3),IF((L$5&lt;=12),(SUMPRODUCT(--('New Hires Forecast'!$F$5:$F$85="Finance"),--('New Hires Forecast'!$H$5:$H$85&gt;=Finance!L$3),'New Hires Forecast'!$O$5:$O$85,'New Hires Forecast'!$L$5:$L$85)/12),0),IF(YEAR(L$3)=YEAR('New Hires Forecast'!$P$3),IF((L$5&lt;=12),(SUMPRODUCT(--('New Hires Forecast'!$F$5:$F$85="Finance"),--('New Hires Forecast'!$H$5:$H$85&gt;=Finance!L$3),'New Hires Forecast'!$P$5:$P$85,'New Hires Forecast'!$L$5:$L$85)/12),0),IF(YEAR(L$3)=YEAR('New Hires Forecast'!$Q$3),IF((L$5&lt;=12),(SUMPRODUCT(--('New Hires Forecast'!$F$5:$F$85="Finance"),--('New Hires Forecast'!$H$5:$H$85&gt;=Finance!L$3),'New Hires Forecast'!$Q$5:$Q$85,'New Hires Forecast'!$L$5:$L$85)/12),0),IF(YEAR(L$3)=YEAR('New Hires Forecast'!$R$3),IF((L$5&lt;=12),(SUMPRODUCT(--('New Hires Forecast'!$F$5:$F$85="Finance"),--('New Hires Forecast'!$H$5:$H$85&gt;=Finance!L$3),'New Hires Forecast'!$R$5:$R$85,'New Hires Forecast'!$L$5:$L$85)/12),0),"New Year"))))),0)</f>
        <v>0</v>
      </c>
      <c r="M15" s="668">
        <f>IF(M$4="forecast",IF(YEAR(M$3)=YEAR('New Hires Forecast'!$N$3),IF((M$5&lt;=12),(SUMPRODUCT(--('New Hires Forecast'!$F$5:$F$85="Finance"),--('New Hires Forecast'!$H$5:$H$85&gt;=Finance!M$3),'New Hires Forecast'!$N$5:$N$85,'New Hires Forecast'!$L$5:$L$85)/12),0),IF(YEAR(M$3)=YEAR('New Hires Forecast'!$O$3),IF((M$5&lt;=12),(SUMPRODUCT(--('New Hires Forecast'!$F$5:$F$85="Finance"),--('New Hires Forecast'!$H$5:$H$85&gt;=Finance!M$3),'New Hires Forecast'!$O$5:$O$85,'New Hires Forecast'!$L$5:$L$85)/12),0),IF(YEAR(M$3)=YEAR('New Hires Forecast'!$P$3),IF((M$5&lt;=12),(SUMPRODUCT(--('New Hires Forecast'!$F$5:$F$85="Finance"),--('New Hires Forecast'!$H$5:$H$85&gt;=Finance!M$3),'New Hires Forecast'!$P$5:$P$85,'New Hires Forecast'!$L$5:$L$85)/12),0),IF(YEAR(M$3)=YEAR('New Hires Forecast'!$Q$3),IF((M$5&lt;=12),(SUMPRODUCT(--('New Hires Forecast'!$F$5:$F$85="Finance"),--('New Hires Forecast'!$H$5:$H$85&gt;=Finance!M$3),'New Hires Forecast'!$Q$5:$Q$85,'New Hires Forecast'!$L$5:$L$85)/12),0),IF(YEAR(M$3)=YEAR('New Hires Forecast'!$R$3),IF((M$5&lt;=12),(SUMPRODUCT(--('New Hires Forecast'!$F$5:$F$85="Finance"),--('New Hires Forecast'!$H$5:$H$85&gt;=Finance!M$3),'New Hires Forecast'!$R$5:$R$85,'New Hires Forecast'!$L$5:$L$85)/12),0),"New Year"))))),0)</f>
        <v>0</v>
      </c>
      <c r="N15" s="668">
        <f>IF(N$4="forecast",IF(YEAR(N$3)=YEAR('New Hires Forecast'!$N$3),IF((N$5&lt;=12),(SUMPRODUCT(--('New Hires Forecast'!$F$5:$F$85="Finance"),--('New Hires Forecast'!$H$5:$H$85&gt;=Finance!N$3),'New Hires Forecast'!$N$5:$N$85,'New Hires Forecast'!$L$5:$L$85)/12),0),IF(YEAR(N$3)=YEAR('New Hires Forecast'!$O$3),IF((N$5&lt;=12),(SUMPRODUCT(--('New Hires Forecast'!$F$5:$F$85="Finance"),--('New Hires Forecast'!$H$5:$H$85&gt;=Finance!N$3),'New Hires Forecast'!$O$5:$O$85,'New Hires Forecast'!$L$5:$L$85)/12),0),IF(YEAR(N$3)=YEAR('New Hires Forecast'!$P$3),IF((N$5&lt;=12),(SUMPRODUCT(--('New Hires Forecast'!$F$5:$F$85="Finance"),--('New Hires Forecast'!$H$5:$H$85&gt;=Finance!N$3),'New Hires Forecast'!$P$5:$P$85,'New Hires Forecast'!$L$5:$L$85)/12),0),IF(YEAR(N$3)=YEAR('New Hires Forecast'!$Q$3),IF((N$5&lt;=12),(SUMPRODUCT(--('New Hires Forecast'!$F$5:$F$85="Finance"),--('New Hires Forecast'!$H$5:$H$85&gt;=Finance!N$3),'New Hires Forecast'!$Q$5:$Q$85,'New Hires Forecast'!$L$5:$L$85)/12),0),IF(YEAR(N$3)=YEAR('New Hires Forecast'!$R$3),IF((N$5&lt;=12),(SUMPRODUCT(--('New Hires Forecast'!$F$5:$F$85="Finance"),--('New Hires Forecast'!$H$5:$H$85&gt;=Finance!N$3),'New Hires Forecast'!$R$5:$R$85,'New Hires Forecast'!$L$5:$L$85)/12),0),"New Year"))))),0)</f>
        <v>0</v>
      </c>
      <c r="O15" s="668">
        <f>IF(O$4="forecast",IF(YEAR(O$3)=YEAR('New Hires Forecast'!$N$3),IF((O$5&lt;=12),(SUMPRODUCT(--('New Hires Forecast'!$F$5:$F$85="Finance"),--('New Hires Forecast'!$H$5:$H$85&gt;=Finance!O$3),'New Hires Forecast'!$N$5:$N$85,'New Hires Forecast'!$L$5:$L$85)/12),0),IF(YEAR(O$3)=YEAR('New Hires Forecast'!$O$3),IF((O$5&lt;=12),(SUMPRODUCT(--('New Hires Forecast'!$F$5:$F$85="Finance"),--('New Hires Forecast'!$H$5:$H$85&gt;=Finance!O$3),'New Hires Forecast'!$O$5:$O$85,'New Hires Forecast'!$L$5:$L$85)/12),0),IF(YEAR(O$3)=YEAR('New Hires Forecast'!$P$3),IF((O$5&lt;=12),(SUMPRODUCT(--('New Hires Forecast'!$F$5:$F$85="Finance"),--('New Hires Forecast'!$H$5:$H$85&gt;=Finance!O$3),'New Hires Forecast'!$P$5:$P$85,'New Hires Forecast'!$L$5:$L$85)/12),0),IF(YEAR(O$3)=YEAR('New Hires Forecast'!$Q$3),IF((O$5&lt;=12),(SUMPRODUCT(--('New Hires Forecast'!$F$5:$F$85="Finance"),--('New Hires Forecast'!$H$5:$H$85&gt;=Finance!O$3),'New Hires Forecast'!$Q$5:$Q$85,'New Hires Forecast'!$L$5:$L$85)/12),0),IF(YEAR(O$3)=YEAR('New Hires Forecast'!$R$3),IF((O$5&lt;=12),(SUMPRODUCT(--('New Hires Forecast'!$F$5:$F$85="Finance"),--('New Hires Forecast'!$H$5:$H$85&gt;=Finance!O$3),'New Hires Forecast'!$R$5:$R$85,'New Hires Forecast'!$L$5:$L$85)/12),0),"New Year"))))),0)</f>
        <v>0</v>
      </c>
      <c r="P15" s="668">
        <f>IF(P$4="forecast",IF(YEAR(P$3)=YEAR('New Hires Forecast'!$N$3),IF((P$5&lt;=12),(SUMPRODUCT(--('New Hires Forecast'!$F$5:$F$85="Finance"),--('New Hires Forecast'!$H$5:$H$85&gt;=Finance!P$3),'New Hires Forecast'!$N$5:$N$85,'New Hires Forecast'!$L$5:$L$85)/12),0),IF(YEAR(P$3)=YEAR('New Hires Forecast'!$O$3),IF((P$5&lt;=12),(SUMPRODUCT(--('New Hires Forecast'!$F$5:$F$85="Finance"),--('New Hires Forecast'!$H$5:$H$85&gt;=Finance!P$3),'New Hires Forecast'!$O$5:$O$85,'New Hires Forecast'!$L$5:$L$85)/12),0),IF(YEAR(P$3)=YEAR('New Hires Forecast'!$P$3),IF((P$5&lt;=12),(SUMPRODUCT(--('New Hires Forecast'!$F$5:$F$85="Finance"),--('New Hires Forecast'!$H$5:$H$85&gt;=Finance!P$3),'New Hires Forecast'!$P$5:$P$85,'New Hires Forecast'!$L$5:$L$85)/12),0),IF(YEAR(P$3)=YEAR('New Hires Forecast'!$Q$3),IF((P$5&lt;=12),(SUMPRODUCT(--('New Hires Forecast'!$F$5:$F$85="Finance"),--('New Hires Forecast'!$H$5:$H$85&gt;=Finance!P$3),'New Hires Forecast'!$Q$5:$Q$85,'New Hires Forecast'!$L$5:$L$85)/12),0),IF(YEAR(P$3)=YEAR('New Hires Forecast'!$R$3),IF((P$5&lt;=12),(SUMPRODUCT(--('New Hires Forecast'!$F$5:$F$85="Finance"),--('New Hires Forecast'!$H$5:$H$85&gt;=Finance!P$3),'New Hires Forecast'!$R$5:$R$85,'New Hires Forecast'!$L$5:$L$85)/12),0),"New Year"))))),0)</f>
        <v>0</v>
      </c>
      <c r="Q15" s="668">
        <f>IF(Q$4="forecast",IF(YEAR(Q$3)=YEAR('New Hires Forecast'!$N$3),IF((Q$5&lt;=12),(SUMPRODUCT(--('New Hires Forecast'!$F$5:$F$85="Finance"),--('New Hires Forecast'!$H$5:$H$85&gt;=Finance!Q$3),'New Hires Forecast'!$N$5:$N$85,'New Hires Forecast'!$L$5:$L$85)/12),0),IF(YEAR(Q$3)=YEAR('New Hires Forecast'!$O$3),IF((Q$5&lt;=12),(SUMPRODUCT(--('New Hires Forecast'!$F$5:$F$85="Finance"),--('New Hires Forecast'!$H$5:$H$85&gt;=Finance!Q$3),'New Hires Forecast'!$O$5:$O$85,'New Hires Forecast'!$L$5:$L$85)/12),0),IF(YEAR(Q$3)=YEAR('New Hires Forecast'!$P$3),IF((Q$5&lt;=12),(SUMPRODUCT(--('New Hires Forecast'!$F$5:$F$85="Finance"),--('New Hires Forecast'!$H$5:$H$85&gt;=Finance!Q$3),'New Hires Forecast'!$P$5:$P$85,'New Hires Forecast'!$L$5:$L$85)/12),0),IF(YEAR(Q$3)=YEAR('New Hires Forecast'!$Q$3),IF((Q$5&lt;=12),(SUMPRODUCT(--('New Hires Forecast'!$F$5:$F$85="Finance"),--('New Hires Forecast'!$H$5:$H$85&gt;=Finance!Q$3),'New Hires Forecast'!$Q$5:$Q$85,'New Hires Forecast'!$L$5:$L$85)/12),0),IF(YEAR(Q$3)=YEAR('New Hires Forecast'!$R$3),IF((Q$5&lt;=12),(SUMPRODUCT(--('New Hires Forecast'!$F$5:$F$85="Finance"),--('New Hires Forecast'!$H$5:$H$85&gt;=Finance!Q$3),'New Hires Forecast'!$R$5:$R$85,'New Hires Forecast'!$L$5:$L$85)/12),0),"New Year"))))),0)</f>
        <v>0</v>
      </c>
      <c r="R15" s="668">
        <f>IF(R$4="forecast",IF(YEAR(R$3)=YEAR('New Hires Forecast'!$N$3),IF((R$5&lt;=12),(SUMPRODUCT(--('New Hires Forecast'!$F$5:$F$85="Finance"),--('New Hires Forecast'!$H$5:$H$85&gt;=Finance!R$3),'New Hires Forecast'!$N$5:$N$85,'New Hires Forecast'!$L$5:$L$85)/12),0),IF(YEAR(R$3)=YEAR('New Hires Forecast'!$O$3),IF((R$5&lt;=12),(SUMPRODUCT(--('New Hires Forecast'!$F$5:$F$85="Finance"),--('New Hires Forecast'!$H$5:$H$85&gt;=Finance!R$3),'New Hires Forecast'!$O$5:$O$85,'New Hires Forecast'!$L$5:$L$85)/12),0),IF(YEAR(R$3)=YEAR('New Hires Forecast'!$P$3),IF((R$5&lt;=12),(SUMPRODUCT(--('New Hires Forecast'!$F$5:$F$85="Finance"),--('New Hires Forecast'!$H$5:$H$85&gt;=Finance!R$3),'New Hires Forecast'!$P$5:$P$85,'New Hires Forecast'!$L$5:$L$85)/12),0),IF(YEAR(R$3)=YEAR('New Hires Forecast'!$Q$3),IF((R$5&lt;=12),(SUMPRODUCT(--('New Hires Forecast'!$F$5:$F$85="Finance"),--('New Hires Forecast'!$H$5:$H$85&gt;=Finance!R$3),'New Hires Forecast'!$Q$5:$Q$85,'New Hires Forecast'!$L$5:$L$85)/12),0),IF(YEAR(R$3)=YEAR('New Hires Forecast'!$R$3),IF((R$5&lt;=12),(SUMPRODUCT(--('New Hires Forecast'!$F$5:$F$85="Finance"),--('New Hires Forecast'!$H$5:$H$85&gt;=Finance!R$3),'New Hires Forecast'!$R$5:$R$85,'New Hires Forecast'!$L$5:$L$85)/12),0),"New Year"))))),0)</f>
        <v>0</v>
      </c>
      <c r="S15" s="668">
        <f>IF(S$4="forecast",IF(YEAR(S$3)=YEAR('New Hires Forecast'!$N$3),IF((S$5&lt;=12),(SUMPRODUCT(--('New Hires Forecast'!$F$5:$F$85="Finance"),--('New Hires Forecast'!$H$5:$H$85&gt;=Finance!S$3),'New Hires Forecast'!$N$5:$N$85,'New Hires Forecast'!$L$5:$L$85)/12),0),IF(YEAR(S$3)=YEAR('New Hires Forecast'!$O$3),IF((S$5&lt;=12),(SUMPRODUCT(--('New Hires Forecast'!$F$5:$F$85="Finance"),--('New Hires Forecast'!$H$5:$H$85&gt;=Finance!S$3),'New Hires Forecast'!$O$5:$O$85,'New Hires Forecast'!$L$5:$L$85)/12),0),IF(YEAR(S$3)=YEAR('New Hires Forecast'!$P$3),IF((S$5&lt;=12),(SUMPRODUCT(--('New Hires Forecast'!$F$5:$F$85="Finance"),--('New Hires Forecast'!$H$5:$H$85&gt;=Finance!S$3),'New Hires Forecast'!$P$5:$P$85,'New Hires Forecast'!$L$5:$L$85)/12),0),IF(YEAR(S$3)=YEAR('New Hires Forecast'!$Q$3),IF((S$5&lt;=12),(SUMPRODUCT(--('New Hires Forecast'!$F$5:$F$85="Finance"),--('New Hires Forecast'!$H$5:$H$85&gt;=Finance!S$3),'New Hires Forecast'!$Q$5:$Q$85,'New Hires Forecast'!$L$5:$L$85)/12),0),IF(YEAR(S$3)=YEAR('New Hires Forecast'!$R$3),IF((S$5&lt;=12),(SUMPRODUCT(--('New Hires Forecast'!$F$5:$F$85="Finance"),--('New Hires Forecast'!$H$5:$H$85&gt;=Finance!S$3),'New Hires Forecast'!$R$5:$R$85,'New Hires Forecast'!$L$5:$L$85)/12),0),"New Year"))))),0)</f>
        <v>0</v>
      </c>
      <c r="T15" s="668">
        <f>IF(T$4="forecast",IF(YEAR(T$3)=YEAR('New Hires Forecast'!$N$3),IF((T$5&lt;=12),(SUMPRODUCT(--('New Hires Forecast'!$F$5:$F$85="Finance"),--('New Hires Forecast'!$H$5:$H$85&gt;=Finance!T$3),'New Hires Forecast'!$N$5:$N$85,'New Hires Forecast'!$L$5:$L$85)/12),0),IF(YEAR(T$3)=YEAR('New Hires Forecast'!$O$3),IF((T$5&lt;=12),(SUMPRODUCT(--('New Hires Forecast'!$F$5:$F$85="Finance"),--('New Hires Forecast'!$H$5:$H$85&gt;=Finance!T$3),'New Hires Forecast'!$O$5:$O$85,'New Hires Forecast'!$L$5:$L$85)/12),0),IF(YEAR(T$3)=YEAR('New Hires Forecast'!$P$3),IF((T$5&lt;=12),(SUMPRODUCT(--('New Hires Forecast'!$F$5:$F$85="Finance"),--('New Hires Forecast'!$H$5:$H$85&gt;=Finance!T$3),'New Hires Forecast'!$P$5:$P$85,'New Hires Forecast'!$L$5:$L$85)/12),0),IF(YEAR(T$3)=YEAR('New Hires Forecast'!$Q$3),IF((T$5&lt;=12),(SUMPRODUCT(--('New Hires Forecast'!$F$5:$F$85="Finance"),--('New Hires Forecast'!$H$5:$H$85&gt;=Finance!T$3),'New Hires Forecast'!$Q$5:$Q$85,'New Hires Forecast'!$L$5:$L$85)/12),0),IF(YEAR(T$3)=YEAR('New Hires Forecast'!$R$3),IF((T$5&lt;=12),(SUMPRODUCT(--('New Hires Forecast'!$F$5:$F$85="Finance"),--('New Hires Forecast'!$H$5:$H$85&gt;=Finance!T$3),'New Hires Forecast'!$R$5:$R$85,'New Hires Forecast'!$L$5:$L$85)/12),0),"New Year"))))),0)</f>
        <v>0</v>
      </c>
      <c r="U15" s="668">
        <f>IF(U$4="forecast",IF(YEAR(U$3)=YEAR('New Hires Forecast'!$N$3),IF((U$5&lt;=12),(SUMPRODUCT(--('New Hires Forecast'!$F$5:$F$85="Finance"),--('New Hires Forecast'!$H$5:$H$85&gt;=Finance!U$3),'New Hires Forecast'!$N$5:$N$85,'New Hires Forecast'!$L$5:$L$85)/12),0),IF(YEAR(U$3)=YEAR('New Hires Forecast'!$O$3),IF((U$5&lt;=12),(SUMPRODUCT(--('New Hires Forecast'!$F$5:$F$85="Finance"),--('New Hires Forecast'!$H$5:$H$85&gt;=Finance!U$3),'New Hires Forecast'!$O$5:$O$85,'New Hires Forecast'!$L$5:$L$85)/12),0),IF(YEAR(U$3)=YEAR('New Hires Forecast'!$P$3),IF((U$5&lt;=12),(SUMPRODUCT(--('New Hires Forecast'!$F$5:$F$85="Finance"),--('New Hires Forecast'!$H$5:$H$85&gt;=Finance!U$3),'New Hires Forecast'!$P$5:$P$85,'New Hires Forecast'!$L$5:$L$85)/12),0),IF(YEAR(U$3)=YEAR('New Hires Forecast'!$Q$3),IF((U$5&lt;=12),(SUMPRODUCT(--('New Hires Forecast'!$F$5:$F$85="Finance"),--('New Hires Forecast'!$H$5:$H$85&gt;=Finance!U$3),'New Hires Forecast'!$Q$5:$Q$85,'New Hires Forecast'!$L$5:$L$85)/12),0),IF(YEAR(U$3)=YEAR('New Hires Forecast'!$R$3),IF((U$5&lt;=12),(SUMPRODUCT(--('New Hires Forecast'!$F$5:$F$85="Finance"),--('New Hires Forecast'!$H$5:$H$85&gt;=Finance!U$3),'New Hires Forecast'!$R$5:$R$85,'New Hires Forecast'!$L$5:$L$85)/12),0),"New Year"))))),0)</f>
        <v>0</v>
      </c>
      <c r="V15" s="668">
        <f>IF(V$4="forecast",IF(YEAR(V$3)=YEAR('New Hires Forecast'!$N$3),IF((V$5&lt;=12),(SUMPRODUCT(--('New Hires Forecast'!$F$5:$F$85="Finance"),--('New Hires Forecast'!$H$5:$H$85&gt;=Finance!V$3),'New Hires Forecast'!$N$5:$N$85,'New Hires Forecast'!$L$5:$L$85)/12),0),IF(YEAR(V$3)=YEAR('New Hires Forecast'!$O$3),IF((V$5&lt;=12),(SUMPRODUCT(--('New Hires Forecast'!$F$5:$F$85="Finance"),--('New Hires Forecast'!$H$5:$H$85&gt;=Finance!V$3),'New Hires Forecast'!$O$5:$O$85,'New Hires Forecast'!$L$5:$L$85)/12),0),IF(YEAR(V$3)=YEAR('New Hires Forecast'!$P$3),IF((V$5&lt;=12),(SUMPRODUCT(--('New Hires Forecast'!$F$5:$F$85="Finance"),--('New Hires Forecast'!$H$5:$H$85&gt;=Finance!V$3),'New Hires Forecast'!$P$5:$P$85,'New Hires Forecast'!$L$5:$L$85)/12),0),IF(YEAR(V$3)=YEAR('New Hires Forecast'!$Q$3),IF((V$5&lt;=12),(SUMPRODUCT(--('New Hires Forecast'!$F$5:$F$85="Finance"),--('New Hires Forecast'!$H$5:$H$85&gt;=Finance!V$3),'New Hires Forecast'!$Q$5:$Q$85,'New Hires Forecast'!$L$5:$L$85)/12),0),IF(YEAR(V$3)=YEAR('New Hires Forecast'!$R$3),IF((V$5&lt;=12),(SUMPRODUCT(--('New Hires Forecast'!$F$5:$F$85="Finance"),--('New Hires Forecast'!$H$5:$H$85&gt;=Finance!V$3),'New Hires Forecast'!$R$5:$R$85,'New Hires Forecast'!$L$5:$L$85)/12),0),"New Year"))))),0)</f>
        <v>0</v>
      </c>
      <c r="W15" s="668">
        <f>IF(W$4="forecast",IF(YEAR(W$3)=YEAR('New Hires Forecast'!$N$3),IF((W$5&lt;=12),(SUMPRODUCT(--('New Hires Forecast'!$F$5:$F$85="Finance"),--('New Hires Forecast'!$H$5:$H$85&gt;=Finance!W$3),'New Hires Forecast'!$N$5:$N$85,'New Hires Forecast'!$L$5:$L$85)/12),0),IF(YEAR(W$3)=YEAR('New Hires Forecast'!$O$3),IF((W$5&lt;=12),(SUMPRODUCT(--('New Hires Forecast'!$F$5:$F$85="Finance"),--('New Hires Forecast'!$H$5:$H$85&gt;=Finance!W$3),'New Hires Forecast'!$O$5:$O$85,'New Hires Forecast'!$L$5:$L$85)/12),0),IF(YEAR(W$3)=YEAR('New Hires Forecast'!$P$3),IF((W$5&lt;=12),(SUMPRODUCT(--('New Hires Forecast'!$F$5:$F$85="Finance"),--('New Hires Forecast'!$H$5:$H$85&gt;=Finance!W$3),'New Hires Forecast'!$P$5:$P$85,'New Hires Forecast'!$L$5:$L$85)/12),0),IF(YEAR(W$3)=YEAR('New Hires Forecast'!$Q$3),IF((W$5&lt;=12),(SUMPRODUCT(--('New Hires Forecast'!$F$5:$F$85="Finance"),--('New Hires Forecast'!$H$5:$H$85&gt;=Finance!W$3),'New Hires Forecast'!$Q$5:$Q$85,'New Hires Forecast'!$L$5:$L$85)/12),0),IF(YEAR(W$3)=YEAR('New Hires Forecast'!$R$3),IF((W$5&lt;=12),(SUMPRODUCT(--('New Hires Forecast'!$F$5:$F$85="Finance"),--('New Hires Forecast'!$H$5:$H$85&gt;=Finance!W$3),'New Hires Forecast'!$R$5:$R$85,'New Hires Forecast'!$L$5:$L$85)/12),0),"New Year"))))),0)</f>
        <v>0</v>
      </c>
      <c r="X15" s="668">
        <f>IF(X$4="forecast",IF(YEAR(X$3)=YEAR('New Hires Forecast'!$N$3),IF((X$5&lt;=12),(SUMPRODUCT(--('New Hires Forecast'!$F$5:$F$85="Finance"),--('New Hires Forecast'!$H$5:$H$85&gt;=Finance!X$3),'New Hires Forecast'!$N$5:$N$85,'New Hires Forecast'!$L$5:$L$85)/12),0),IF(YEAR(X$3)=YEAR('New Hires Forecast'!$O$3),IF((X$5&lt;=12),(SUMPRODUCT(--('New Hires Forecast'!$F$5:$F$85="Finance"),--('New Hires Forecast'!$H$5:$H$85&gt;=Finance!X$3),'New Hires Forecast'!$O$5:$O$85,'New Hires Forecast'!$L$5:$L$85)/12),0),IF(YEAR(X$3)=YEAR('New Hires Forecast'!$P$3),IF((X$5&lt;=12),(SUMPRODUCT(--('New Hires Forecast'!$F$5:$F$85="Finance"),--('New Hires Forecast'!$H$5:$H$85&gt;=Finance!X$3),'New Hires Forecast'!$P$5:$P$85,'New Hires Forecast'!$L$5:$L$85)/12),0),IF(YEAR(X$3)=YEAR('New Hires Forecast'!$Q$3),IF((X$5&lt;=12),(SUMPRODUCT(--('New Hires Forecast'!$F$5:$F$85="Finance"),--('New Hires Forecast'!$H$5:$H$85&gt;=Finance!X$3),'New Hires Forecast'!$Q$5:$Q$85,'New Hires Forecast'!$L$5:$L$85)/12),0),IF(YEAR(X$3)=YEAR('New Hires Forecast'!$R$3),IF((X$5&lt;=12),(SUMPRODUCT(--('New Hires Forecast'!$F$5:$F$85="Finance"),--('New Hires Forecast'!$H$5:$H$85&gt;=Finance!X$3),'New Hires Forecast'!$R$5:$R$85,'New Hires Forecast'!$L$5:$L$85)/12),0),"New Year"))))),0)</f>
        <v>0</v>
      </c>
      <c r="Y15" s="668">
        <f>IF(Y$4="forecast",IF(YEAR(Y$3)=YEAR('New Hires Forecast'!$N$3),IF((Y$5&lt;=12),(SUMPRODUCT(--('New Hires Forecast'!$F$5:$F$85="Finance"),--('New Hires Forecast'!$H$5:$H$85&gt;=Finance!Y$3),'New Hires Forecast'!$N$5:$N$85,'New Hires Forecast'!$L$5:$L$85)/12),0),IF(YEAR(Y$3)=YEAR('New Hires Forecast'!$O$3),IF((Y$5&lt;=12),(SUMPRODUCT(--('New Hires Forecast'!$F$5:$F$85="Finance"),--('New Hires Forecast'!$H$5:$H$85&gt;=Finance!Y$3),'New Hires Forecast'!$O$5:$O$85,'New Hires Forecast'!$L$5:$L$85)/12),0),IF(YEAR(Y$3)=YEAR('New Hires Forecast'!$P$3),IF((Y$5&lt;=12),(SUMPRODUCT(--('New Hires Forecast'!$F$5:$F$85="Finance"),--('New Hires Forecast'!$H$5:$H$85&gt;=Finance!Y$3),'New Hires Forecast'!$P$5:$P$85,'New Hires Forecast'!$L$5:$L$85)/12),0),IF(YEAR(Y$3)=YEAR('New Hires Forecast'!$Q$3),IF((Y$5&lt;=12),(SUMPRODUCT(--('New Hires Forecast'!$F$5:$F$85="Finance"),--('New Hires Forecast'!$H$5:$H$85&gt;=Finance!Y$3),'New Hires Forecast'!$Q$5:$Q$85,'New Hires Forecast'!$L$5:$L$85)/12),0),IF(YEAR(Y$3)=YEAR('New Hires Forecast'!$R$3),IF((Y$5&lt;=12),(SUMPRODUCT(--('New Hires Forecast'!$F$5:$F$85="Finance"),--('New Hires Forecast'!$H$5:$H$85&gt;=Finance!Y$3),'New Hires Forecast'!$R$5:$R$85,'New Hires Forecast'!$L$5:$L$85)/12),0),"New Year"))))),0)</f>
        <v>0</v>
      </c>
      <c r="Z15" s="668">
        <f>IF(Z$4="forecast",IF(YEAR(Z$3)=YEAR('New Hires Forecast'!$N$3),IF((Z$5&lt;=12),(SUMPRODUCT(--('New Hires Forecast'!$F$5:$F$85="Finance"),--('New Hires Forecast'!$H$5:$H$85&gt;=Finance!Z$3),'New Hires Forecast'!$N$5:$N$85,'New Hires Forecast'!$L$5:$L$85)/12),0),IF(YEAR(Z$3)=YEAR('New Hires Forecast'!$O$3),IF((Z$5&lt;=12),(SUMPRODUCT(--('New Hires Forecast'!$F$5:$F$85="Finance"),--('New Hires Forecast'!$H$5:$H$85&gt;=Finance!Z$3),'New Hires Forecast'!$O$5:$O$85,'New Hires Forecast'!$L$5:$L$85)/12),0),IF(YEAR(Z$3)=YEAR('New Hires Forecast'!$P$3),IF((Z$5&lt;=12),(SUMPRODUCT(--('New Hires Forecast'!$F$5:$F$85="Finance"),--('New Hires Forecast'!$H$5:$H$85&gt;=Finance!Z$3),'New Hires Forecast'!$P$5:$P$85,'New Hires Forecast'!$L$5:$L$85)/12),0),IF(YEAR(Z$3)=YEAR('New Hires Forecast'!$Q$3),IF((Z$5&lt;=12),(SUMPRODUCT(--('New Hires Forecast'!$F$5:$F$85="Finance"),--('New Hires Forecast'!$H$5:$H$85&gt;=Finance!Z$3),'New Hires Forecast'!$Q$5:$Q$85,'New Hires Forecast'!$L$5:$L$85)/12),0),IF(YEAR(Z$3)=YEAR('New Hires Forecast'!$R$3),IF((Z$5&lt;=12),(SUMPRODUCT(--('New Hires Forecast'!$F$5:$F$85="Finance"),--('New Hires Forecast'!$H$5:$H$85&gt;=Finance!Z$3),'New Hires Forecast'!$R$5:$R$85,'New Hires Forecast'!$L$5:$L$85)/12),0),"New Year"))))),0)</f>
        <v>0</v>
      </c>
      <c r="AA15" s="668">
        <f>IF(AA$4="forecast",IF(YEAR(AA$3)=YEAR('New Hires Forecast'!$N$3),IF((AA$5&lt;=12),(SUMPRODUCT(--('New Hires Forecast'!$F$5:$F$85="Finance"),--('New Hires Forecast'!$H$5:$H$85&gt;=Finance!AA$3),'New Hires Forecast'!$N$5:$N$85,'New Hires Forecast'!$L$5:$L$85)/12),0),IF(YEAR(AA$3)=YEAR('New Hires Forecast'!$O$3),IF((AA$5&lt;=12),(SUMPRODUCT(--('New Hires Forecast'!$F$5:$F$85="Finance"),--('New Hires Forecast'!$H$5:$H$85&gt;=Finance!AA$3),'New Hires Forecast'!$O$5:$O$85,'New Hires Forecast'!$L$5:$L$85)/12),0),IF(YEAR(AA$3)=YEAR('New Hires Forecast'!$P$3),IF((AA$5&lt;=12),(SUMPRODUCT(--('New Hires Forecast'!$F$5:$F$85="Finance"),--('New Hires Forecast'!$H$5:$H$85&gt;=Finance!AA$3),'New Hires Forecast'!$P$5:$P$85,'New Hires Forecast'!$L$5:$L$85)/12),0),IF(YEAR(AA$3)=YEAR('New Hires Forecast'!$Q$3),IF((AA$5&lt;=12),(SUMPRODUCT(--('New Hires Forecast'!$F$5:$F$85="Finance"),--('New Hires Forecast'!$H$5:$H$85&gt;=Finance!AA$3),'New Hires Forecast'!$Q$5:$Q$85,'New Hires Forecast'!$L$5:$L$85)/12),0),IF(YEAR(AA$3)=YEAR('New Hires Forecast'!$R$3),IF((AA$5&lt;=12),(SUMPRODUCT(--('New Hires Forecast'!$F$5:$F$85="Finance"),--('New Hires Forecast'!$H$5:$H$85&gt;=Finance!AA$3),'New Hires Forecast'!$R$5:$R$85,'New Hires Forecast'!$L$5:$L$85)/12),0),"New Year"))))),0)</f>
        <v>0</v>
      </c>
      <c r="AB15" s="668">
        <f>IF(AB$4="forecast",IF(YEAR(AB$3)=YEAR('New Hires Forecast'!$N$3),IF((AB$5&lt;=12),(SUMPRODUCT(--('New Hires Forecast'!$F$5:$F$85="Finance"),--('New Hires Forecast'!$H$5:$H$85&gt;=Finance!AB$3),'New Hires Forecast'!$N$5:$N$85,'New Hires Forecast'!$L$5:$L$85)/12),0),IF(YEAR(AB$3)=YEAR('New Hires Forecast'!$O$3),IF((AB$5&lt;=12),(SUMPRODUCT(--('New Hires Forecast'!$F$5:$F$85="Finance"),--('New Hires Forecast'!$H$5:$H$85&gt;=Finance!AB$3),'New Hires Forecast'!$O$5:$O$85,'New Hires Forecast'!$L$5:$L$85)/12),0),IF(YEAR(AB$3)=YEAR('New Hires Forecast'!$P$3),IF((AB$5&lt;=12),(SUMPRODUCT(--('New Hires Forecast'!$F$5:$F$85="Finance"),--('New Hires Forecast'!$H$5:$H$85&gt;=Finance!AB$3),'New Hires Forecast'!$P$5:$P$85,'New Hires Forecast'!$L$5:$L$85)/12),0),IF(YEAR(AB$3)=YEAR('New Hires Forecast'!$Q$3),IF((AB$5&lt;=12),(SUMPRODUCT(--('New Hires Forecast'!$F$5:$F$85="Finance"),--('New Hires Forecast'!$H$5:$H$85&gt;=Finance!AB$3),'New Hires Forecast'!$Q$5:$Q$85,'New Hires Forecast'!$L$5:$L$85)/12),0),IF(YEAR(AB$3)=YEAR('New Hires Forecast'!$R$3),IF((AB$5&lt;=12),(SUMPRODUCT(--('New Hires Forecast'!$F$5:$F$85="Finance"),--('New Hires Forecast'!$H$5:$H$85&gt;=Finance!AB$3),'New Hires Forecast'!$R$5:$R$85,'New Hires Forecast'!$L$5:$L$85)/12),0),"New Year"))))),0)</f>
        <v>0</v>
      </c>
      <c r="AC15" s="668">
        <f>IF(AC$4="forecast",IF(YEAR(AC$3)=YEAR('New Hires Forecast'!$N$3),IF((AC$5&lt;=12),(SUMPRODUCT(--('New Hires Forecast'!$F$5:$F$85="Finance"),--('New Hires Forecast'!$H$5:$H$85&gt;=Finance!AC$3),'New Hires Forecast'!$N$5:$N$85,'New Hires Forecast'!$L$5:$L$85)/12),0),IF(YEAR(AC$3)=YEAR('New Hires Forecast'!$O$3),IF((AC$5&lt;=12),(SUMPRODUCT(--('New Hires Forecast'!$F$5:$F$85="Finance"),--('New Hires Forecast'!$H$5:$H$85&gt;=Finance!AC$3),'New Hires Forecast'!$O$5:$O$85,'New Hires Forecast'!$L$5:$L$85)/12),0),IF(YEAR(AC$3)=YEAR('New Hires Forecast'!$P$3),IF((AC$5&lt;=12),(SUMPRODUCT(--('New Hires Forecast'!$F$5:$F$85="Finance"),--('New Hires Forecast'!$H$5:$H$85&gt;=Finance!AC$3),'New Hires Forecast'!$P$5:$P$85,'New Hires Forecast'!$L$5:$L$85)/12),0),IF(YEAR(AC$3)=YEAR('New Hires Forecast'!$Q$3),IF((AC$5&lt;=12),(SUMPRODUCT(--('New Hires Forecast'!$F$5:$F$85="Finance"),--('New Hires Forecast'!$H$5:$H$85&gt;=Finance!AC$3),'New Hires Forecast'!$Q$5:$Q$85,'New Hires Forecast'!$L$5:$L$85)/12),0),IF(YEAR(AC$3)=YEAR('New Hires Forecast'!$R$3),IF((AC$5&lt;=12),(SUMPRODUCT(--('New Hires Forecast'!$F$5:$F$85="Finance"),--('New Hires Forecast'!$H$5:$H$85&gt;=Finance!AC$3),'New Hires Forecast'!$R$5:$R$85,'New Hires Forecast'!$L$5:$L$85)/12),0),"New Year"))))),0)</f>
        <v>0</v>
      </c>
      <c r="AD15" s="668">
        <f>IF(AD$4="forecast",IF(YEAR(AD$3)=YEAR('New Hires Forecast'!$N$3),IF((AD$5&lt;=12),(SUMPRODUCT(--('New Hires Forecast'!$F$5:$F$85="Finance"),--('New Hires Forecast'!$H$5:$H$85&gt;=Finance!AD$3),'New Hires Forecast'!$N$5:$N$85,'New Hires Forecast'!$L$5:$L$85)/12),0),IF(YEAR(AD$3)=YEAR('New Hires Forecast'!$O$3),IF((AD$5&lt;=12),(SUMPRODUCT(--('New Hires Forecast'!$F$5:$F$85="Finance"),--('New Hires Forecast'!$H$5:$H$85&gt;=Finance!AD$3),'New Hires Forecast'!$O$5:$O$85,'New Hires Forecast'!$L$5:$L$85)/12),0),IF(YEAR(AD$3)=YEAR('New Hires Forecast'!$P$3),IF((AD$5&lt;=12),(SUMPRODUCT(--('New Hires Forecast'!$F$5:$F$85="Finance"),--('New Hires Forecast'!$H$5:$H$85&gt;=Finance!AD$3),'New Hires Forecast'!$P$5:$P$85,'New Hires Forecast'!$L$5:$L$85)/12),0),IF(YEAR(AD$3)=YEAR('New Hires Forecast'!$Q$3),IF((AD$5&lt;=12),(SUMPRODUCT(--('New Hires Forecast'!$F$5:$F$85="Finance"),--('New Hires Forecast'!$H$5:$H$85&gt;=Finance!AD$3),'New Hires Forecast'!$Q$5:$Q$85,'New Hires Forecast'!$L$5:$L$85)/12),0),IF(YEAR(AD$3)=YEAR('New Hires Forecast'!$R$3),IF((AD$5&lt;=12),(SUMPRODUCT(--('New Hires Forecast'!$F$5:$F$85="Finance"),--('New Hires Forecast'!$H$5:$H$85&gt;=Finance!AD$3),'New Hires Forecast'!$R$5:$R$85,'New Hires Forecast'!$L$5:$L$85)/12),0),"New Year"))))),0)</f>
        <v>10854.166666666666</v>
      </c>
      <c r="AE15" s="668">
        <f>IF(AE$4="forecast",IF(YEAR(AE$3)=YEAR('New Hires Forecast'!$N$3),IF((AE$5&lt;=12),(SUMPRODUCT(--('New Hires Forecast'!$F$5:$F$85="Finance"),--('New Hires Forecast'!$H$5:$H$85&gt;=Finance!AE$3),'New Hires Forecast'!$N$5:$N$85,'New Hires Forecast'!$L$5:$L$85)/12),0),IF(YEAR(AE$3)=YEAR('New Hires Forecast'!$O$3),IF((AE$5&lt;=12),(SUMPRODUCT(--('New Hires Forecast'!$F$5:$F$85="Finance"),--('New Hires Forecast'!$H$5:$H$85&gt;=Finance!AE$3),'New Hires Forecast'!$O$5:$O$85,'New Hires Forecast'!$L$5:$L$85)/12),0),IF(YEAR(AE$3)=YEAR('New Hires Forecast'!$P$3),IF((AE$5&lt;=12),(SUMPRODUCT(--('New Hires Forecast'!$F$5:$F$85="Finance"),--('New Hires Forecast'!$H$5:$H$85&gt;=Finance!AE$3),'New Hires Forecast'!$P$5:$P$85,'New Hires Forecast'!$L$5:$L$85)/12),0),IF(YEAR(AE$3)=YEAR('New Hires Forecast'!$Q$3),IF((AE$5&lt;=12),(SUMPRODUCT(--('New Hires Forecast'!$F$5:$F$85="Finance"),--('New Hires Forecast'!$H$5:$H$85&gt;=Finance!AE$3),'New Hires Forecast'!$Q$5:$Q$85,'New Hires Forecast'!$L$5:$L$85)/12),0),IF(YEAR(AE$3)=YEAR('New Hires Forecast'!$R$3),IF((AE$5&lt;=12),(SUMPRODUCT(--('New Hires Forecast'!$F$5:$F$85="Finance"),--('New Hires Forecast'!$H$5:$H$85&gt;=Finance!AE$3),'New Hires Forecast'!$R$5:$R$85,'New Hires Forecast'!$L$5:$L$85)/12),0),"New Year"))))),0)</f>
        <v>10854.166666666666</v>
      </c>
      <c r="AF15" s="668">
        <f>IF(AF$4="forecast",IF(YEAR(AF$3)=YEAR('New Hires Forecast'!$N$3),IF((AF$5&lt;=12),(SUMPRODUCT(--('New Hires Forecast'!$F$5:$F$85="Finance"),--('New Hires Forecast'!$H$5:$H$85&gt;=Finance!AF$3),'New Hires Forecast'!$N$5:$N$85,'New Hires Forecast'!$L$5:$L$85)/12),0),IF(YEAR(AF$3)=YEAR('New Hires Forecast'!$O$3),IF((AF$5&lt;=12),(SUMPRODUCT(--('New Hires Forecast'!$F$5:$F$85="Finance"),--('New Hires Forecast'!$H$5:$H$85&gt;=Finance!AF$3),'New Hires Forecast'!$O$5:$O$85,'New Hires Forecast'!$L$5:$L$85)/12),0),IF(YEAR(AF$3)=YEAR('New Hires Forecast'!$P$3),IF((AF$5&lt;=12),(SUMPRODUCT(--('New Hires Forecast'!$F$5:$F$85="Finance"),--('New Hires Forecast'!$H$5:$H$85&gt;=Finance!AF$3),'New Hires Forecast'!$P$5:$P$85,'New Hires Forecast'!$L$5:$L$85)/12),0),IF(YEAR(AF$3)=YEAR('New Hires Forecast'!$Q$3),IF((AF$5&lt;=12),(SUMPRODUCT(--('New Hires Forecast'!$F$5:$F$85="Finance"),--('New Hires Forecast'!$H$5:$H$85&gt;=Finance!AF$3),'New Hires Forecast'!$Q$5:$Q$85,'New Hires Forecast'!$L$5:$L$85)/12),0),IF(YEAR(AF$3)=YEAR('New Hires Forecast'!$R$3),IF((AF$5&lt;=12),(SUMPRODUCT(--('New Hires Forecast'!$F$5:$F$85="Finance"),--('New Hires Forecast'!$H$5:$H$85&gt;=Finance!AF$3),'New Hires Forecast'!$R$5:$R$85,'New Hires Forecast'!$L$5:$L$85)/12),0),"New Year"))))),0)</f>
        <v>10854.166666666666</v>
      </c>
      <c r="AG15" s="668">
        <f>IF(AG$4="forecast",IF(YEAR(AG$3)=YEAR('New Hires Forecast'!$N$3),IF((AG$5&lt;=12),(SUMPRODUCT(--('New Hires Forecast'!$F$5:$F$85="Finance"),--('New Hires Forecast'!$H$5:$H$85&gt;=Finance!AG$3),'New Hires Forecast'!$N$5:$N$85,'New Hires Forecast'!$L$5:$L$85)/12),0),IF(YEAR(AG$3)=YEAR('New Hires Forecast'!$O$3),IF((AG$5&lt;=12),(SUMPRODUCT(--('New Hires Forecast'!$F$5:$F$85="Finance"),--('New Hires Forecast'!$H$5:$H$85&gt;=Finance!AG$3),'New Hires Forecast'!$O$5:$O$85,'New Hires Forecast'!$L$5:$L$85)/12),0),IF(YEAR(AG$3)=YEAR('New Hires Forecast'!$P$3),IF((AG$5&lt;=12),(SUMPRODUCT(--('New Hires Forecast'!$F$5:$F$85="Finance"),--('New Hires Forecast'!$H$5:$H$85&gt;=Finance!AG$3),'New Hires Forecast'!$P$5:$P$85,'New Hires Forecast'!$L$5:$L$85)/12),0),IF(YEAR(AG$3)=YEAR('New Hires Forecast'!$Q$3),IF((AG$5&lt;=12),(SUMPRODUCT(--('New Hires Forecast'!$F$5:$F$85="Finance"),--('New Hires Forecast'!$H$5:$H$85&gt;=Finance!AG$3),'New Hires Forecast'!$Q$5:$Q$85,'New Hires Forecast'!$L$5:$L$85)/12),0),IF(YEAR(AG$3)=YEAR('New Hires Forecast'!$R$3),IF((AG$5&lt;=12),(SUMPRODUCT(--('New Hires Forecast'!$F$5:$F$85="Finance"),--('New Hires Forecast'!$H$5:$H$85&gt;=Finance!AG$3),'New Hires Forecast'!$R$5:$R$85,'New Hires Forecast'!$L$5:$L$85)/12),0),"New Year"))))),0)</f>
        <v>10854.166666666666</v>
      </c>
      <c r="AH15" s="668">
        <f>IF(AH$4="forecast",IF(YEAR(AH$3)=YEAR('New Hires Forecast'!$N$3),IF((AH$5&lt;=12),(SUMPRODUCT(--('New Hires Forecast'!$F$5:$F$85="Finance"),--('New Hires Forecast'!$H$5:$H$85&gt;=Finance!AH$3),'New Hires Forecast'!$N$5:$N$85,'New Hires Forecast'!$L$5:$L$85)/12),0),IF(YEAR(AH$3)=YEAR('New Hires Forecast'!$O$3),IF((AH$5&lt;=12),(SUMPRODUCT(--('New Hires Forecast'!$F$5:$F$85="Finance"),--('New Hires Forecast'!$H$5:$H$85&gt;=Finance!AH$3),'New Hires Forecast'!$O$5:$O$85,'New Hires Forecast'!$L$5:$L$85)/12),0),IF(YEAR(AH$3)=YEAR('New Hires Forecast'!$P$3),IF((AH$5&lt;=12),(SUMPRODUCT(--('New Hires Forecast'!$F$5:$F$85="Finance"),--('New Hires Forecast'!$H$5:$H$85&gt;=Finance!AH$3),'New Hires Forecast'!$P$5:$P$85,'New Hires Forecast'!$L$5:$L$85)/12),0),IF(YEAR(AH$3)=YEAR('New Hires Forecast'!$Q$3),IF((AH$5&lt;=12),(SUMPRODUCT(--('New Hires Forecast'!$F$5:$F$85="Finance"),--('New Hires Forecast'!$H$5:$H$85&gt;=Finance!AH$3),'New Hires Forecast'!$Q$5:$Q$85,'New Hires Forecast'!$L$5:$L$85)/12),0),IF(YEAR(AH$3)=YEAR('New Hires Forecast'!$R$3),IF((AH$5&lt;=12),(SUMPRODUCT(--('New Hires Forecast'!$F$5:$F$85="Finance"),--('New Hires Forecast'!$H$5:$H$85&gt;=Finance!AH$3),'New Hires Forecast'!$R$5:$R$85,'New Hires Forecast'!$L$5:$L$85)/12),0),"New Year"))))),0)</f>
        <v>10854.166666666666</v>
      </c>
      <c r="AI15" s="668">
        <f>IF(AI$4="forecast",IF(YEAR(AI$3)=YEAR('New Hires Forecast'!$N$3),IF((AI$5&lt;=12),(SUMPRODUCT(--('New Hires Forecast'!$F$5:$F$85="Finance"),--('New Hires Forecast'!$H$5:$H$85&gt;=Finance!AI$3),'New Hires Forecast'!$N$5:$N$85,'New Hires Forecast'!$L$5:$L$85)/12),0),IF(YEAR(AI$3)=YEAR('New Hires Forecast'!$O$3),IF((AI$5&lt;=12),(SUMPRODUCT(--('New Hires Forecast'!$F$5:$F$85="Finance"),--('New Hires Forecast'!$H$5:$H$85&gt;=Finance!AI$3),'New Hires Forecast'!$O$5:$O$85,'New Hires Forecast'!$L$5:$L$85)/12),0),IF(YEAR(AI$3)=YEAR('New Hires Forecast'!$P$3),IF((AI$5&lt;=12),(SUMPRODUCT(--('New Hires Forecast'!$F$5:$F$85="Finance"),--('New Hires Forecast'!$H$5:$H$85&gt;=Finance!AI$3),'New Hires Forecast'!$P$5:$P$85,'New Hires Forecast'!$L$5:$L$85)/12),0),IF(YEAR(AI$3)=YEAR('New Hires Forecast'!$Q$3),IF((AI$5&lt;=12),(SUMPRODUCT(--('New Hires Forecast'!$F$5:$F$85="Finance"),--('New Hires Forecast'!$H$5:$H$85&gt;=Finance!AI$3),'New Hires Forecast'!$Q$5:$Q$85,'New Hires Forecast'!$L$5:$L$85)/12),0),IF(YEAR(AI$3)=YEAR('New Hires Forecast'!$R$3),IF((AI$5&lt;=12),(SUMPRODUCT(--('New Hires Forecast'!$F$5:$F$85="Finance"),--('New Hires Forecast'!$H$5:$H$85&gt;=Finance!AI$3),'New Hires Forecast'!$R$5:$R$85,'New Hires Forecast'!$L$5:$L$85)/12),0),"New Year"))))),0)</f>
        <v>10854.166666666666</v>
      </c>
      <c r="AJ15" s="668">
        <f>IF(AJ$4="forecast",IF(YEAR(AJ$3)=YEAR('New Hires Forecast'!$N$3),IF((AJ$5&lt;=12),(SUMPRODUCT(--('New Hires Forecast'!$F$5:$F$85="Finance"),--('New Hires Forecast'!$H$5:$H$85&gt;=Finance!AJ$3),'New Hires Forecast'!$N$5:$N$85,'New Hires Forecast'!$L$5:$L$85)/12),0),IF(YEAR(AJ$3)=YEAR('New Hires Forecast'!$O$3),IF((AJ$5&lt;=12),(SUMPRODUCT(--('New Hires Forecast'!$F$5:$F$85="Finance"),--('New Hires Forecast'!$H$5:$H$85&gt;=Finance!AJ$3),'New Hires Forecast'!$O$5:$O$85,'New Hires Forecast'!$L$5:$L$85)/12),0),IF(YEAR(AJ$3)=YEAR('New Hires Forecast'!$P$3),IF((AJ$5&lt;=12),(SUMPRODUCT(--('New Hires Forecast'!$F$5:$F$85="Finance"),--('New Hires Forecast'!$H$5:$H$85&gt;=Finance!AJ$3),'New Hires Forecast'!$P$5:$P$85,'New Hires Forecast'!$L$5:$L$85)/12),0),IF(YEAR(AJ$3)=YEAR('New Hires Forecast'!$Q$3),IF((AJ$5&lt;=12),(SUMPRODUCT(--('New Hires Forecast'!$F$5:$F$85="Finance"),--('New Hires Forecast'!$H$5:$H$85&gt;=Finance!AJ$3),'New Hires Forecast'!$Q$5:$Q$85,'New Hires Forecast'!$L$5:$L$85)/12),0),IF(YEAR(AJ$3)=YEAR('New Hires Forecast'!$R$3),IF((AJ$5&lt;=12),(SUMPRODUCT(--('New Hires Forecast'!$F$5:$F$85="Finance"),--('New Hires Forecast'!$H$5:$H$85&gt;=Finance!AJ$3),'New Hires Forecast'!$R$5:$R$85,'New Hires Forecast'!$L$5:$L$85)/12),0),"New Year"))))),0)</f>
        <v>10854.166666666666</v>
      </c>
      <c r="AK15" s="668">
        <f>IF(AK$4="forecast",IF(YEAR(AK$3)=YEAR('New Hires Forecast'!$N$3),IF((AK$5&lt;=12),(SUMPRODUCT(--('New Hires Forecast'!$F$5:$F$85="Finance"),--('New Hires Forecast'!$H$5:$H$85&gt;=Finance!AK$3),'New Hires Forecast'!$N$5:$N$85,'New Hires Forecast'!$L$5:$L$85)/12),0),IF(YEAR(AK$3)=YEAR('New Hires Forecast'!$O$3),IF((AK$5&lt;=12),(SUMPRODUCT(--('New Hires Forecast'!$F$5:$F$85="Finance"),--('New Hires Forecast'!$H$5:$H$85&gt;=Finance!AK$3),'New Hires Forecast'!$O$5:$O$85,'New Hires Forecast'!$L$5:$L$85)/12),0),IF(YEAR(AK$3)=YEAR('New Hires Forecast'!$P$3),IF((AK$5&lt;=12),(SUMPRODUCT(--('New Hires Forecast'!$F$5:$F$85="Finance"),--('New Hires Forecast'!$H$5:$H$85&gt;=Finance!AK$3),'New Hires Forecast'!$P$5:$P$85,'New Hires Forecast'!$L$5:$L$85)/12),0),IF(YEAR(AK$3)=YEAR('New Hires Forecast'!$Q$3),IF((AK$5&lt;=12),(SUMPRODUCT(--('New Hires Forecast'!$F$5:$F$85="Finance"),--('New Hires Forecast'!$H$5:$H$85&gt;=Finance!AK$3),'New Hires Forecast'!$Q$5:$Q$85,'New Hires Forecast'!$L$5:$L$85)/12),0),IF(YEAR(AK$3)=YEAR('New Hires Forecast'!$R$3),IF((AK$5&lt;=12),(SUMPRODUCT(--('New Hires Forecast'!$F$5:$F$85="Finance"),--('New Hires Forecast'!$H$5:$H$85&gt;=Finance!AK$3),'New Hires Forecast'!$R$5:$R$85,'New Hires Forecast'!$L$5:$L$85)/12),0),"New Year"))))),0)</f>
        <v>10854.166666666666</v>
      </c>
      <c r="AL15" s="668">
        <f>IF(AL$4="forecast",IF(YEAR(AL$3)=YEAR('New Hires Forecast'!$N$3),IF((AL$5&lt;=12),(SUMPRODUCT(--('New Hires Forecast'!$F$5:$F$85="Finance"),--('New Hires Forecast'!$H$5:$H$85&gt;=Finance!AL$3),'New Hires Forecast'!$N$5:$N$85,'New Hires Forecast'!$L$5:$L$85)/12),0),IF(YEAR(AL$3)=YEAR('New Hires Forecast'!$O$3),IF((AL$5&lt;=12),(SUMPRODUCT(--('New Hires Forecast'!$F$5:$F$85="Finance"),--('New Hires Forecast'!$H$5:$H$85&gt;=Finance!AL$3),'New Hires Forecast'!$O$5:$O$85,'New Hires Forecast'!$L$5:$L$85)/12),0),IF(YEAR(AL$3)=YEAR('New Hires Forecast'!$P$3),IF((AL$5&lt;=12),(SUMPRODUCT(--('New Hires Forecast'!$F$5:$F$85="Finance"),--('New Hires Forecast'!$H$5:$H$85&gt;=Finance!AL$3),'New Hires Forecast'!$P$5:$P$85,'New Hires Forecast'!$L$5:$L$85)/12),0),IF(YEAR(AL$3)=YEAR('New Hires Forecast'!$Q$3),IF((AL$5&lt;=12),(SUMPRODUCT(--('New Hires Forecast'!$F$5:$F$85="Finance"),--('New Hires Forecast'!$H$5:$H$85&gt;=Finance!AL$3),'New Hires Forecast'!$Q$5:$Q$85,'New Hires Forecast'!$L$5:$L$85)/12),0),IF(YEAR(AL$3)=YEAR('New Hires Forecast'!$R$3),IF((AL$5&lt;=12),(SUMPRODUCT(--('New Hires Forecast'!$F$5:$F$85="Finance"),--('New Hires Forecast'!$H$5:$H$85&gt;=Finance!AL$3),'New Hires Forecast'!$R$5:$R$85,'New Hires Forecast'!$L$5:$L$85)/12),0),"New Year"))))),0)</f>
        <v>10854.166666666666</v>
      </c>
      <c r="AM15" s="668">
        <f>IF(AM$4="forecast",IF(YEAR(AM$3)=YEAR('New Hires Forecast'!$N$3),IF((AM$5&lt;=12),(SUMPRODUCT(--('New Hires Forecast'!$F$5:$F$85="Finance"),--('New Hires Forecast'!$H$5:$H$85&gt;=Finance!AM$3),'New Hires Forecast'!$N$5:$N$85,'New Hires Forecast'!$L$5:$L$85)/12),0),IF(YEAR(AM$3)=YEAR('New Hires Forecast'!$O$3),IF((AM$5&lt;=12),(SUMPRODUCT(--('New Hires Forecast'!$F$5:$F$85="Finance"),--('New Hires Forecast'!$H$5:$H$85&gt;=Finance!AM$3),'New Hires Forecast'!$O$5:$O$85,'New Hires Forecast'!$L$5:$L$85)/12),0),IF(YEAR(AM$3)=YEAR('New Hires Forecast'!$P$3),IF((AM$5&lt;=12),(SUMPRODUCT(--('New Hires Forecast'!$F$5:$F$85="Finance"),--('New Hires Forecast'!$H$5:$H$85&gt;=Finance!AM$3),'New Hires Forecast'!$P$5:$P$85,'New Hires Forecast'!$L$5:$L$85)/12),0),IF(YEAR(AM$3)=YEAR('New Hires Forecast'!$Q$3),IF((AM$5&lt;=12),(SUMPRODUCT(--('New Hires Forecast'!$F$5:$F$85="Finance"),--('New Hires Forecast'!$H$5:$H$85&gt;=Finance!AM$3),'New Hires Forecast'!$Q$5:$Q$85,'New Hires Forecast'!$L$5:$L$85)/12),0),IF(YEAR(AM$3)=YEAR('New Hires Forecast'!$R$3),IF((AM$5&lt;=12),(SUMPRODUCT(--('New Hires Forecast'!$F$5:$F$85="Finance"),--('New Hires Forecast'!$H$5:$H$85&gt;=Finance!AM$3),'New Hires Forecast'!$R$5:$R$85,'New Hires Forecast'!$L$5:$L$85)/12),0),"New Year"))))),0)</f>
        <v>11179.791666666666</v>
      </c>
      <c r="AN15" s="668">
        <f>IF(AN$4="forecast",IF(YEAR(AN$3)=YEAR('New Hires Forecast'!$N$3),IF((AN$5&lt;=12),(SUMPRODUCT(--('New Hires Forecast'!$F$5:$F$85="Finance"),--('New Hires Forecast'!$H$5:$H$85&gt;=Finance!AN$3),'New Hires Forecast'!$N$5:$N$85,'New Hires Forecast'!$L$5:$L$85)/12),0),IF(YEAR(AN$3)=YEAR('New Hires Forecast'!$O$3),IF((AN$5&lt;=12),(SUMPRODUCT(--('New Hires Forecast'!$F$5:$F$85="Finance"),--('New Hires Forecast'!$H$5:$H$85&gt;=Finance!AN$3),'New Hires Forecast'!$O$5:$O$85,'New Hires Forecast'!$L$5:$L$85)/12),0),IF(YEAR(AN$3)=YEAR('New Hires Forecast'!$P$3),IF((AN$5&lt;=12),(SUMPRODUCT(--('New Hires Forecast'!$F$5:$F$85="Finance"),--('New Hires Forecast'!$H$5:$H$85&gt;=Finance!AN$3),'New Hires Forecast'!$P$5:$P$85,'New Hires Forecast'!$L$5:$L$85)/12),0),IF(YEAR(AN$3)=YEAR('New Hires Forecast'!$Q$3),IF((AN$5&lt;=12),(SUMPRODUCT(--('New Hires Forecast'!$F$5:$F$85="Finance"),--('New Hires Forecast'!$H$5:$H$85&gt;=Finance!AN$3),'New Hires Forecast'!$Q$5:$Q$85,'New Hires Forecast'!$L$5:$L$85)/12),0),IF(YEAR(AN$3)=YEAR('New Hires Forecast'!$R$3),IF((AN$5&lt;=12),(SUMPRODUCT(--('New Hires Forecast'!$F$5:$F$85="Finance"),--('New Hires Forecast'!$H$5:$H$85&gt;=Finance!AN$3),'New Hires Forecast'!$R$5:$R$85,'New Hires Forecast'!$L$5:$L$85)/12),0),"New Year"))))),0)</f>
        <v>11179.791666666666</v>
      </c>
      <c r="AO15" s="668">
        <f>IF(AO$4="forecast",IF(YEAR(AO$3)=YEAR('New Hires Forecast'!$N$3),IF((AO$5&lt;=12),(SUMPRODUCT(--('New Hires Forecast'!$F$5:$F$85="Finance"),--('New Hires Forecast'!$H$5:$H$85&gt;=Finance!AO$3),'New Hires Forecast'!$N$5:$N$85,'New Hires Forecast'!$L$5:$L$85)/12),0),IF(YEAR(AO$3)=YEAR('New Hires Forecast'!$O$3),IF((AO$5&lt;=12),(SUMPRODUCT(--('New Hires Forecast'!$F$5:$F$85="Finance"),--('New Hires Forecast'!$H$5:$H$85&gt;=Finance!AO$3),'New Hires Forecast'!$O$5:$O$85,'New Hires Forecast'!$L$5:$L$85)/12),0),IF(YEAR(AO$3)=YEAR('New Hires Forecast'!$P$3),IF((AO$5&lt;=12),(SUMPRODUCT(--('New Hires Forecast'!$F$5:$F$85="Finance"),--('New Hires Forecast'!$H$5:$H$85&gt;=Finance!AO$3),'New Hires Forecast'!$P$5:$P$85,'New Hires Forecast'!$L$5:$L$85)/12),0),IF(YEAR(AO$3)=YEAR('New Hires Forecast'!$Q$3),IF((AO$5&lt;=12),(SUMPRODUCT(--('New Hires Forecast'!$F$5:$F$85="Finance"),--('New Hires Forecast'!$H$5:$H$85&gt;=Finance!AO$3),'New Hires Forecast'!$Q$5:$Q$85,'New Hires Forecast'!$L$5:$L$85)/12),0),IF(YEAR(AO$3)=YEAR('New Hires Forecast'!$R$3),IF((AO$5&lt;=12),(SUMPRODUCT(--('New Hires Forecast'!$F$5:$F$85="Finance"),--('New Hires Forecast'!$H$5:$H$85&gt;=Finance!AO$3),'New Hires Forecast'!$R$5:$R$85,'New Hires Forecast'!$L$5:$L$85)/12),0),"New Year"))))),0)</f>
        <v>11179.791666666666</v>
      </c>
      <c r="AP15" s="668">
        <f>IF(AP$4="forecast",IF(YEAR(AP$3)=YEAR('New Hires Forecast'!$N$3),IF((AP$5&lt;=12),(SUMPRODUCT(--('New Hires Forecast'!$F$5:$F$85="Finance"),--('New Hires Forecast'!$H$5:$H$85&gt;=Finance!AP$3),'New Hires Forecast'!$N$5:$N$85,'New Hires Forecast'!$L$5:$L$85)/12),0),IF(YEAR(AP$3)=YEAR('New Hires Forecast'!$O$3),IF((AP$5&lt;=12),(SUMPRODUCT(--('New Hires Forecast'!$F$5:$F$85="Finance"),--('New Hires Forecast'!$H$5:$H$85&gt;=Finance!AP$3),'New Hires Forecast'!$O$5:$O$85,'New Hires Forecast'!$L$5:$L$85)/12),0),IF(YEAR(AP$3)=YEAR('New Hires Forecast'!$P$3),IF((AP$5&lt;=12),(SUMPRODUCT(--('New Hires Forecast'!$F$5:$F$85="Finance"),--('New Hires Forecast'!$H$5:$H$85&gt;=Finance!AP$3),'New Hires Forecast'!$P$5:$P$85,'New Hires Forecast'!$L$5:$L$85)/12),0),IF(YEAR(AP$3)=YEAR('New Hires Forecast'!$Q$3),IF((AP$5&lt;=12),(SUMPRODUCT(--('New Hires Forecast'!$F$5:$F$85="Finance"),--('New Hires Forecast'!$H$5:$H$85&gt;=Finance!AP$3),'New Hires Forecast'!$Q$5:$Q$85,'New Hires Forecast'!$L$5:$L$85)/12),0),IF(YEAR(AP$3)=YEAR('New Hires Forecast'!$R$3),IF((AP$5&lt;=12),(SUMPRODUCT(--('New Hires Forecast'!$F$5:$F$85="Finance"),--('New Hires Forecast'!$H$5:$H$85&gt;=Finance!AP$3),'New Hires Forecast'!$R$5:$R$85,'New Hires Forecast'!$L$5:$L$85)/12),0),"New Year"))))),0)</f>
        <v>11179.791666666666</v>
      </c>
      <c r="AQ15" s="668">
        <f>IF(AQ$4="forecast",IF(YEAR(AQ$3)=YEAR('New Hires Forecast'!$N$3),IF((AQ$5&lt;=12),(SUMPRODUCT(--('New Hires Forecast'!$F$5:$F$85="Finance"),--('New Hires Forecast'!$H$5:$H$85&gt;=Finance!AQ$3),'New Hires Forecast'!$N$5:$N$85,'New Hires Forecast'!$L$5:$L$85)/12),0),IF(YEAR(AQ$3)=YEAR('New Hires Forecast'!$O$3),IF((AQ$5&lt;=12),(SUMPRODUCT(--('New Hires Forecast'!$F$5:$F$85="Finance"),--('New Hires Forecast'!$H$5:$H$85&gt;=Finance!AQ$3),'New Hires Forecast'!$O$5:$O$85,'New Hires Forecast'!$L$5:$L$85)/12),0),IF(YEAR(AQ$3)=YEAR('New Hires Forecast'!$P$3),IF((AQ$5&lt;=12),(SUMPRODUCT(--('New Hires Forecast'!$F$5:$F$85="Finance"),--('New Hires Forecast'!$H$5:$H$85&gt;=Finance!AQ$3),'New Hires Forecast'!$P$5:$P$85,'New Hires Forecast'!$L$5:$L$85)/12),0),IF(YEAR(AQ$3)=YEAR('New Hires Forecast'!$Q$3),IF((AQ$5&lt;=12),(SUMPRODUCT(--('New Hires Forecast'!$F$5:$F$85="Finance"),--('New Hires Forecast'!$H$5:$H$85&gt;=Finance!AQ$3),'New Hires Forecast'!$Q$5:$Q$85,'New Hires Forecast'!$L$5:$L$85)/12),0),IF(YEAR(AQ$3)=YEAR('New Hires Forecast'!$R$3),IF((AQ$5&lt;=12),(SUMPRODUCT(--('New Hires Forecast'!$F$5:$F$85="Finance"),--('New Hires Forecast'!$H$5:$H$85&gt;=Finance!AQ$3),'New Hires Forecast'!$R$5:$R$85,'New Hires Forecast'!$L$5:$L$85)/12),0),"New Year"))))),0)</f>
        <v>11179.791666666666</v>
      </c>
      <c r="AR15" s="668">
        <f>IF(AR$4="forecast",IF(YEAR(AR$3)=YEAR('New Hires Forecast'!$N$3),IF((AR$5&lt;=12),(SUMPRODUCT(--('New Hires Forecast'!$F$5:$F$85="Finance"),--('New Hires Forecast'!$H$5:$H$85&gt;=Finance!AR$3),'New Hires Forecast'!$N$5:$N$85,'New Hires Forecast'!$L$5:$L$85)/12),0),IF(YEAR(AR$3)=YEAR('New Hires Forecast'!$O$3),IF((AR$5&lt;=12),(SUMPRODUCT(--('New Hires Forecast'!$F$5:$F$85="Finance"),--('New Hires Forecast'!$H$5:$H$85&gt;=Finance!AR$3),'New Hires Forecast'!$O$5:$O$85,'New Hires Forecast'!$L$5:$L$85)/12),0),IF(YEAR(AR$3)=YEAR('New Hires Forecast'!$P$3),IF((AR$5&lt;=12),(SUMPRODUCT(--('New Hires Forecast'!$F$5:$F$85="Finance"),--('New Hires Forecast'!$H$5:$H$85&gt;=Finance!AR$3),'New Hires Forecast'!$P$5:$P$85,'New Hires Forecast'!$L$5:$L$85)/12),0),IF(YEAR(AR$3)=YEAR('New Hires Forecast'!$Q$3),IF((AR$5&lt;=12),(SUMPRODUCT(--('New Hires Forecast'!$F$5:$F$85="Finance"),--('New Hires Forecast'!$H$5:$H$85&gt;=Finance!AR$3),'New Hires Forecast'!$Q$5:$Q$85,'New Hires Forecast'!$L$5:$L$85)/12),0),IF(YEAR(AR$3)=YEAR('New Hires Forecast'!$R$3),IF((AR$5&lt;=12),(SUMPRODUCT(--('New Hires Forecast'!$F$5:$F$85="Finance"),--('New Hires Forecast'!$H$5:$H$85&gt;=Finance!AR$3),'New Hires Forecast'!$R$5:$R$85,'New Hires Forecast'!$L$5:$L$85)/12),0),"New Year"))))),0)</f>
        <v>11179.791666666666</v>
      </c>
      <c r="AS15" s="668">
        <f>IF(AS$4="forecast",IF(YEAR(AS$3)=YEAR('New Hires Forecast'!$N$3),IF((AS$5&lt;=12),(SUMPRODUCT(--('New Hires Forecast'!$F$5:$F$85="Finance"),--('New Hires Forecast'!$H$5:$H$85&gt;=Finance!AS$3),'New Hires Forecast'!$N$5:$N$85,'New Hires Forecast'!$L$5:$L$85)/12),0),IF(YEAR(AS$3)=YEAR('New Hires Forecast'!$O$3),IF((AS$5&lt;=12),(SUMPRODUCT(--('New Hires Forecast'!$F$5:$F$85="Finance"),--('New Hires Forecast'!$H$5:$H$85&gt;=Finance!AS$3),'New Hires Forecast'!$O$5:$O$85,'New Hires Forecast'!$L$5:$L$85)/12),0),IF(YEAR(AS$3)=YEAR('New Hires Forecast'!$P$3),IF((AS$5&lt;=12),(SUMPRODUCT(--('New Hires Forecast'!$F$5:$F$85="Finance"),--('New Hires Forecast'!$H$5:$H$85&gt;=Finance!AS$3),'New Hires Forecast'!$P$5:$P$85,'New Hires Forecast'!$L$5:$L$85)/12),0),IF(YEAR(AS$3)=YEAR('New Hires Forecast'!$Q$3),IF((AS$5&lt;=12),(SUMPRODUCT(--('New Hires Forecast'!$F$5:$F$85="Finance"),--('New Hires Forecast'!$H$5:$H$85&gt;=Finance!AS$3),'New Hires Forecast'!$Q$5:$Q$85,'New Hires Forecast'!$L$5:$L$85)/12),0),IF(YEAR(AS$3)=YEAR('New Hires Forecast'!$R$3),IF((AS$5&lt;=12),(SUMPRODUCT(--('New Hires Forecast'!$F$5:$F$85="Finance"),--('New Hires Forecast'!$H$5:$H$85&gt;=Finance!AS$3),'New Hires Forecast'!$R$5:$R$85,'New Hires Forecast'!$L$5:$L$85)/12),0),"New Year"))))),0)</f>
        <v>11179.791666666666</v>
      </c>
      <c r="AT15" s="668">
        <f>IF(AT$4="forecast",IF(YEAR(AT$3)=YEAR('New Hires Forecast'!$N$3),IF((AT$5&lt;=12),(SUMPRODUCT(--('New Hires Forecast'!$F$5:$F$85="Finance"),--('New Hires Forecast'!$H$5:$H$85&gt;=Finance!AT$3),'New Hires Forecast'!$N$5:$N$85,'New Hires Forecast'!$L$5:$L$85)/12),0),IF(YEAR(AT$3)=YEAR('New Hires Forecast'!$O$3),IF((AT$5&lt;=12),(SUMPRODUCT(--('New Hires Forecast'!$F$5:$F$85="Finance"),--('New Hires Forecast'!$H$5:$H$85&gt;=Finance!AT$3),'New Hires Forecast'!$O$5:$O$85,'New Hires Forecast'!$L$5:$L$85)/12),0),IF(YEAR(AT$3)=YEAR('New Hires Forecast'!$P$3),IF((AT$5&lt;=12),(SUMPRODUCT(--('New Hires Forecast'!$F$5:$F$85="Finance"),--('New Hires Forecast'!$H$5:$H$85&gt;=Finance!AT$3),'New Hires Forecast'!$P$5:$P$85,'New Hires Forecast'!$L$5:$L$85)/12),0),IF(YEAR(AT$3)=YEAR('New Hires Forecast'!$Q$3),IF((AT$5&lt;=12),(SUMPRODUCT(--('New Hires Forecast'!$F$5:$F$85="Finance"),--('New Hires Forecast'!$H$5:$H$85&gt;=Finance!AT$3),'New Hires Forecast'!$Q$5:$Q$85,'New Hires Forecast'!$L$5:$L$85)/12),0),IF(YEAR(AT$3)=YEAR('New Hires Forecast'!$R$3),IF((AT$5&lt;=12),(SUMPRODUCT(--('New Hires Forecast'!$F$5:$F$85="Finance"),--('New Hires Forecast'!$H$5:$H$85&gt;=Finance!AT$3),'New Hires Forecast'!$R$5:$R$85,'New Hires Forecast'!$L$5:$L$85)/12),0),"New Year"))))),0)</f>
        <v>11179.791666666666</v>
      </c>
      <c r="AU15" s="668">
        <f>IF(AU$4="forecast",IF(YEAR(AU$3)=YEAR('New Hires Forecast'!$N$3),IF((AU$5&lt;=12),(SUMPRODUCT(--('New Hires Forecast'!$F$5:$F$85="Finance"),--('New Hires Forecast'!$H$5:$H$85&gt;=Finance!AU$3),'New Hires Forecast'!$N$5:$N$85,'New Hires Forecast'!$L$5:$L$85)/12),0),IF(YEAR(AU$3)=YEAR('New Hires Forecast'!$O$3),IF((AU$5&lt;=12),(SUMPRODUCT(--('New Hires Forecast'!$F$5:$F$85="Finance"),--('New Hires Forecast'!$H$5:$H$85&gt;=Finance!AU$3),'New Hires Forecast'!$O$5:$O$85,'New Hires Forecast'!$L$5:$L$85)/12),0),IF(YEAR(AU$3)=YEAR('New Hires Forecast'!$P$3),IF((AU$5&lt;=12),(SUMPRODUCT(--('New Hires Forecast'!$F$5:$F$85="Finance"),--('New Hires Forecast'!$H$5:$H$85&gt;=Finance!AU$3),'New Hires Forecast'!$P$5:$P$85,'New Hires Forecast'!$L$5:$L$85)/12),0),IF(YEAR(AU$3)=YEAR('New Hires Forecast'!$Q$3),IF((AU$5&lt;=12),(SUMPRODUCT(--('New Hires Forecast'!$F$5:$F$85="Finance"),--('New Hires Forecast'!$H$5:$H$85&gt;=Finance!AU$3),'New Hires Forecast'!$Q$5:$Q$85,'New Hires Forecast'!$L$5:$L$85)/12),0),IF(YEAR(AU$3)=YEAR('New Hires Forecast'!$R$3),IF((AU$5&lt;=12),(SUMPRODUCT(--('New Hires Forecast'!$F$5:$F$85="Finance"),--('New Hires Forecast'!$H$5:$H$85&gt;=Finance!AU$3),'New Hires Forecast'!$R$5:$R$85,'New Hires Forecast'!$L$5:$L$85)/12),0),"New Year"))))),0)</f>
        <v>11179.791666666666</v>
      </c>
      <c r="AV15" s="668">
        <f>IF(AV$4="forecast",IF(YEAR(AV$3)=YEAR('New Hires Forecast'!$N$3),IF((AV$5&lt;=12),(SUMPRODUCT(--('New Hires Forecast'!$F$5:$F$85="Finance"),--('New Hires Forecast'!$H$5:$H$85&gt;=Finance!AV$3),'New Hires Forecast'!$N$5:$N$85,'New Hires Forecast'!$L$5:$L$85)/12),0),IF(YEAR(AV$3)=YEAR('New Hires Forecast'!$O$3),IF((AV$5&lt;=12),(SUMPRODUCT(--('New Hires Forecast'!$F$5:$F$85="Finance"),--('New Hires Forecast'!$H$5:$H$85&gt;=Finance!AV$3),'New Hires Forecast'!$O$5:$O$85,'New Hires Forecast'!$L$5:$L$85)/12),0),IF(YEAR(AV$3)=YEAR('New Hires Forecast'!$P$3),IF((AV$5&lt;=12),(SUMPRODUCT(--('New Hires Forecast'!$F$5:$F$85="Finance"),--('New Hires Forecast'!$H$5:$H$85&gt;=Finance!AV$3),'New Hires Forecast'!$P$5:$P$85,'New Hires Forecast'!$L$5:$L$85)/12),0),IF(YEAR(AV$3)=YEAR('New Hires Forecast'!$Q$3),IF((AV$5&lt;=12),(SUMPRODUCT(--('New Hires Forecast'!$F$5:$F$85="Finance"),--('New Hires Forecast'!$H$5:$H$85&gt;=Finance!AV$3),'New Hires Forecast'!$Q$5:$Q$85,'New Hires Forecast'!$L$5:$L$85)/12),0),IF(YEAR(AV$3)=YEAR('New Hires Forecast'!$R$3),IF((AV$5&lt;=12),(SUMPRODUCT(--('New Hires Forecast'!$F$5:$F$85="Finance"),--('New Hires Forecast'!$H$5:$H$85&gt;=Finance!AV$3),'New Hires Forecast'!$R$5:$R$85,'New Hires Forecast'!$L$5:$L$85)/12),0),"New Year"))))),0)</f>
        <v>11179.791666666666</v>
      </c>
      <c r="AW15" s="668">
        <f>IF(AW$4="forecast",IF(YEAR(AW$3)=YEAR('New Hires Forecast'!$N$3),IF((AW$5&lt;=12),(SUMPRODUCT(--('New Hires Forecast'!$F$5:$F$85="Finance"),--('New Hires Forecast'!$H$5:$H$85&gt;=Finance!AW$3),'New Hires Forecast'!$N$5:$N$85,'New Hires Forecast'!$L$5:$L$85)/12),0),IF(YEAR(AW$3)=YEAR('New Hires Forecast'!$O$3),IF((AW$5&lt;=12),(SUMPRODUCT(--('New Hires Forecast'!$F$5:$F$85="Finance"),--('New Hires Forecast'!$H$5:$H$85&gt;=Finance!AW$3),'New Hires Forecast'!$O$5:$O$85,'New Hires Forecast'!$L$5:$L$85)/12),0),IF(YEAR(AW$3)=YEAR('New Hires Forecast'!$P$3),IF((AW$5&lt;=12),(SUMPRODUCT(--('New Hires Forecast'!$F$5:$F$85="Finance"),--('New Hires Forecast'!$H$5:$H$85&gt;=Finance!AW$3),'New Hires Forecast'!$P$5:$P$85,'New Hires Forecast'!$L$5:$L$85)/12),0),IF(YEAR(AW$3)=YEAR('New Hires Forecast'!$Q$3),IF((AW$5&lt;=12),(SUMPRODUCT(--('New Hires Forecast'!$F$5:$F$85="Finance"),--('New Hires Forecast'!$H$5:$H$85&gt;=Finance!AW$3),'New Hires Forecast'!$Q$5:$Q$85,'New Hires Forecast'!$L$5:$L$85)/12),0),IF(YEAR(AW$3)=YEAR('New Hires Forecast'!$R$3),IF((AW$5&lt;=12),(SUMPRODUCT(--('New Hires Forecast'!$F$5:$F$85="Finance"),--('New Hires Forecast'!$H$5:$H$85&gt;=Finance!AW$3),'New Hires Forecast'!$R$5:$R$85,'New Hires Forecast'!$L$5:$L$85)/12),0),"New Year"))))),0)</f>
        <v>11179.791666666666</v>
      </c>
      <c r="AX15" s="668">
        <f>IF(AX$4="forecast",IF(YEAR(AX$3)=YEAR('New Hires Forecast'!$N$3),IF((AX$5&lt;=12),(SUMPRODUCT(--('New Hires Forecast'!$F$5:$F$85="Finance"),--('New Hires Forecast'!$H$5:$H$85&gt;=Finance!AX$3),'New Hires Forecast'!$N$5:$N$85,'New Hires Forecast'!$L$5:$L$85)/12),0),IF(YEAR(AX$3)=YEAR('New Hires Forecast'!$O$3),IF((AX$5&lt;=12),(SUMPRODUCT(--('New Hires Forecast'!$F$5:$F$85="Finance"),--('New Hires Forecast'!$H$5:$H$85&gt;=Finance!AX$3),'New Hires Forecast'!$O$5:$O$85,'New Hires Forecast'!$L$5:$L$85)/12),0),IF(YEAR(AX$3)=YEAR('New Hires Forecast'!$P$3),IF((AX$5&lt;=12),(SUMPRODUCT(--('New Hires Forecast'!$F$5:$F$85="Finance"),--('New Hires Forecast'!$H$5:$H$85&gt;=Finance!AX$3),'New Hires Forecast'!$P$5:$P$85,'New Hires Forecast'!$L$5:$L$85)/12),0),IF(YEAR(AX$3)=YEAR('New Hires Forecast'!$Q$3),IF((AX$5&lt;=12),(SUMPRODUCT(--('New Hires Forecast'!$F$5:$F$85="Finance"),--('New Hires Forecast'!$H$5:$H$85&gt;=Finance!AX$3),'New Hires Forecast'!$Q$5:$Q$85,'New Hires Forecast'!$L$5:$L$85)/12),0),IF(YEAR(AX$3)=YEAR('New Hires Forecast'!$R$3),IF((AX$5&lt;=12),(SUMPRODUCT(--('New Hires Forecast'!$F$5:$F$85="Finance"),--('New Hires Forecast'!$H$5:$H$85&gt;=Finance!AX$3),'New Hires Forecast'!$R$5:$R$85,'New Hires Forecast'!$L$5:$L$85)/12),0),"New Year"))))),0)</f>
        <v>11179.791666666666</v>
      </c>
      <c r="AY15" s="668">
        <f>IF(AY$4="forecast",IF(YEAR(AY$3)=YEAR('New Hires Forecast'!$N$3),IF((AY$5&lt;=12),(SUMPRODUCT(--('New Hires Forecast'!$F$5:$F$85="Finance"),--('New Hires Forecast'!$H$5:$H$85&gt;=Finance!AY$3),'New Hires Forecast'!$N$5:$N$85,'New Hires Forecast'!$L$5:$L$85)/12),0),IF(YEAR(AY$3)=YEAR('New Hires Forecast'!$O$3),IF((AY$5&lt;=12),(SUMPRODUCT(--('New Hires Forecast'!$F$5:$F$85="Finance"),--('New Hires Forecast'!$H$5:$H$85&gt;=Finance!AY$3),'New Hires Forecast'!$O$5:$O$85,'New Hires Forecast'!$L$5:$L$85)/12),0),IF(YEAR(AY$3)=YEAR('New Hires Forecast'!$P$3),IF((AY$5&lt;=12),(SUMPRODUCT(--('New Hires Forecast'!$F$5:$F$85="Finance"),--('New Hires Forecast'!$H$5:$H$85&gt;=Finance!AY$3),'New Hires Forecast'!$P$5:$P$85,'New Hires Forecast'!$L$5:$L$85)/12),0),IF(YEAR(AY$3)=YEAR('New Hires Forecast'!$Q$3),IF((AY$5&lt;=12),(SUMPRODUCT(--('New Hires Forecast'!$F$5:$F$85="Finance"),--('New Hires Forecast'!$H$5:$H$85&gt;=Finance!AY$3),'New Hires Forecast'!$Q$5:$Q$85,'New Hires Forecast'!$L$5:$L$85)/12),0),IF(YEAR(AY$3)=YEAR('New Hires Forecast'!$R$3),IF((AY$5&lt;=12),(SUMPRODUCT(--('New Hires Forecast'!$F$5:$F$85="Finance"),--('New Hires Forecast'!$H$5:$H$85&gt;=Finance!AY$3),'New Hires Forecast'!$R$5:$R$85,'New Hires Forecast'!$L$5:$L$85)/12),0),"New Year"))))),0)</f>
        <v>11515.185416666667</v>
      </c>
      <c r="AZ15" s="668">
        <f>IF(AZ$4="forecast",IF(YEAR(AZ$3)=YEAR('New Hires Forecast'!$N$3),IF((AZ$5&lt;=12),(SUMPRODUCT(--('New Hires Forecast'!$F$5:$F$85="Finance"),--('New Hires Forecast'!$H$5:$H$85&gt;=Finance!AZ$3),'New Hires Forecast'!$N$5:$N$85,'New Hires Forecast'!$L$5:$L$85)/12),0),IF(YEAR(AZ$3)=YEAR('New Hires Forecast'!$O$3),IF((AZ$5&lt;=12),(SUMPRODUCT(--('New Hires Forecast'!$F$5:$F$85="Finance"),--('New Hires Forecast'!$H$5:$H$85&gt;=Finance!AZ$3),'New Hires Forecast'!$O$5:$O$85,'New Hires Forecast'!$L$5:$L$85)/12),0),IF(YEAR(AZ$3)=YEAR('New Hires Forecast'!$P$3),IF((AZ$5&lt;=12),(SUMPRODUCT(--('New Hires Forecast'!$F$5:$F$85="Finance"),--('New Hires Forecast'!$H$5:$H$85&gt;=Finance!AZ$3),'New Hires Forecast'!$P$5:$P$85,'New Hires Forecast'!$L$5:$L$85)/12),0),IF(YEAR(AZ$3)=YEAR('New Hires Forecast'!$Q$3),IF((AZ$5&lt;=12),(SUMPRODUCT(--('New Hires Forecast'!$F$5:$F$85="Finance"),--('New Hires Forecast'!$H$5:$H$85&gt;=Finance!AZ$3),'New Hires Forecast'!$Q$5:$Q$85,'New Hires Forecast'!$L$5:$L$85)/12),0),IF(YEAR(AZ$3)=YEAR('New Hires Forecast'!$R$3),IF((AZ$5&lt;=12),(SUMPRODUCT(--('New Hires Forecast'!$F$5:$F$85="Finance"),--('New Hires Forecast'!$H$5:$H$85&gt;=Finance!AZ$3),'New Hires Forecast'!$R$5:$R$85,'New Hires Forecast'!$L$5:$L$85)/12),0),"New Year"))))),0)</f>
        <v>11515.185416666667</v>
      </c>
      <c r="BA15" s="668">
        <f>IF(BA$4="forecast",IF(YEAR(BA$3)=YEAR('New Hires Forecast'!$N$3),IF((BA$5&lt;=12),(SUMPRODUCT(--('New Hires Forecast'!$F$5:$F$85="Finance"),--('New Hires Forecast'!$H$5:$H$85&gt;=Finance!BA$3),'New Hires Forecast'!$N$5:$N$85,'New Hires Forecast'!$L$5:$L$85)/12),0),IF(YEAR(BA$3)=YEAR('New Hires Forecast'!$O$3),IF((BA$5&lt;=12),(SUMPRODUCT(--('New Hires Forecast'!$F$5:$F$85="Finance"),--('New Hires Forecast'!$H$5:$H$85&gt;=Finance!BA$3),'New Hires Forecast'!$O$5:$O$85,'New Hires Forecast'!$L$5:$L$85)/12),0),IF(YEAR(BA$3)=YEAR('New Hires Forecast'!$P$3),IF((BA$5&lt;=12),(SUMPRODUCT(--('New Hires Forecast'!$F$5:$F$85="Finance"),--('New Hires Forecast'!$H$5:$H$85&gt;=Finance!BA$3),'New Hires Forecast'!$P$5:$P$85,'New Hires Forecast'!$L$5:$L$85)/12),0),IF(YEAR(BA$3)=YEAR('New Hires Forecast'!$Q$3),IF((BA$5&lt;=12),(SUMPRODUCT(--('New Hires Forecast'!$F$5:$F$85="Finance"),--('New Hires Forecast'!$H$5:$H$85&gt;=Finance!BA$3),'New Hires Forecast'!$Q$5:$Q$85,'New Hires Forecast'!$L$5:$L$85)/12),0),IF(YEAR(BA$3)=YEAR('New Hires Forecast'!$R$3),IF((BA$5&lt;=12),(SUMPRODUCT(--('New Hires Forecast'!$F$5:$F$85="Finance"),--('New Hires Forecast'!$H$5:$H$85&gt;=Finance!BA$3),'New Hires Forecast'!$R$5:$R$85,'New Hires Forecast'!$L$5:$L$85)/12),0),"New Year"))))),0)</f>
        <v>11515.185416666667</v>
      </c>
      <c r="BB15" s="668">
        <f>IF(BB$4="forecast",IF(YEAR(BB$3)=YEAR('New Hires Forecast'!$N$3),IF((BB$5&lt;=12),(SUMPRODUCT(--('New Hires Forecast'!$F$5:$F$85="Finance"),--('New Hires Forecast'!$H$5:$H$85&gt;=Finance!BB$3),'New Hires Forecast'!$N$5:$N$85,'New Hires Forecast'!$L$5:$L$85)/12),0),IF(YEAR(BB$3)=YEAR('New Hires Forecast'!$O$3),IF((BB$5&lt;=12),(SUMPRODUCT(--('New Hires Forecast'!$F$5:$F$85="Finance"),--('New Hires Forecast'!$H$5:$H$85&gt;=Finance!BB$3),'New Hires Forecast'!$O$5:$O$85,'New Hires Forecast'!$L$5:$L$85)/12),0),IF(YEAR(BB$3)=YEAR('New Hires Forecast'!$P$3),IF((BB$5&lt;=12),(SUMPRODUCT(--('New Hires Forecast'!$F$5:$F$85="Finance"),--('New Hires Forecast'!$H$5:$H$85&gt;=Finance!BB$3),'New Hires Forecast'!$P$5:$P$85,'New Hires Forecast'!$L$5:$L$85)/12),0),IF(YEAR(BB$3)=YEAR('New Hires Forecast'!$Q$3),IF((BB$5&lt;=12),(SUMPRODUCT(--('New Hires Forecast'!$F$5:$F$85="Finance"),--('New Hires Forecast'!$H$5:$H$85&gt;=Finance!BB$3),'New Hires Forecast'!$Q$5:$Q$85,'New Hires Forecast'!$L$5:$L$85)/12),0),IF(YEAR(BB$3)=YEAR('New Hires Forecast'!$R$3),IF((BB$5&lt;=12),(SUMPRODUCT(--('New Hires Forecast'!$F$5:$F$85="Finance"),--('New Hires Forecast'!$H$5:$H$85&gt;=Finance!BB$3),'New Hires Forecast'!$R$5:$R$85,'New Hires Forecast'!$L$5:$L$85)/12),0),"New Year"))))),0)</f>
        <v>11515.185416666667</v>
      </c>
      <c r="BC15" s="668">
        <f>IF(BC$4="forecast",IF(YEAR(BC$3)=YEAR('New Hires Forecast'!$N$3),IF((BC$5&lt;=12),(SUMPRODUCT(--('New Hires Forecast'!$F$5:$F$85="Finance"),--('New Hires Forecast'!$H$5:$H$85&gt;=Finance!BC$3),'New Hires Forecast'!$N$5:$N$85,'New Hires Forecast'!$L$5:$L$85)/12),0),IF(YEAR(BC$3)=YEAR('New Hires Forecast'!$O$3),IF((BC$5&lt;=12),(SUMPRODUCT(--('New Hires Forecast'!$F$5:$F$85="Finance"),--('New Hires Forecast'!$H$5:$H$85&gt;=Finance!BC$3),'New Hires Forecast'!$O$5:$O$85,'New Hires Forecast'!$L$5:$L$85)/12),0),IF(YEAR(BC$3)=YEAR('New Hires Forecast'!$P$3),IF((BC$5&lt;=12),(SUMPRODUCT(--('New Hires Forecast'!$F$5:$F$85="Finance"),--('New Hires Forecast'!$H$5:$H$85&gt;=Finance!BC$3),'New Hires Forecast'!$P$5:$P$85,'New Hires Forecast'!$L$5:$L$85)/12),0),IF(YEAR(BC$3)=YEAR('New Hires Forecast'!$Q$3),IF((BC$5&lt;=12),(SUMPRODUCT(--('New Hires Forecast'!$F$5:$F$85="Finance"),--('New Hires Forecast'!$H$5:$H$85&gt;=Finance!BC$3),'New Hires Forecast'!$Q$5:$Q$85,'New Hires Forecast'!$L$5:$L$85)/12),0),IF(YEAR(BC$3)=YEAR('New Hires Forecast'!$R$3),IF((BC$5&lt;=12),(SUMPRODUCT(--('New Hires Forecast'!$F$5:$F$85="Finance"),--('New Hires Forecast'!$H$5:$H$85&gt;=Finance!BC$3),'New Hires Forecast'!$R$5:$R$85,'New Hires Forecast'!$L$5:$L$85)/12),0),"New Year"))))),0)</f>
        <v>11515.185416666667</v>
      </c>
      <c r="BD15" s="668">
        <f>IF(BD$4="forecast",IF(YEAR(BD$3)=YEAR('New Hires Forecast'!$N$3),IF((BD$5&lt;=12),(SUMPRODUCT(--('New Hires Forecast'!$F$5:$F$85="Finance"),--('New Hires Forecast'!$H$5:$H$85&gt;=Finance!BD$3),'New Hires Forecast'!$N$5:$N$85,'New Hires Forecast'!$L$5:$L$85)/12),0),IF(YEAR(BD$3)=YEAR('New Hires Forecast'!$O$3),IF((BD$5&lt;=12),(SUMPRODUCT(--('New Hires Forecast'!$F$5:$F$85="Finance"),--('New Hires Forecast'!$H$5:$H$85&gt;=Finance!BD$3),'New Hires Forecast'!$O$5:$O$85,'New Hires Forecast'!$L$5:$L$85)/12),0),IF(YEAR(BD$3)=YEAR('New Hires Forecast'!$P$3),IF((BD$5&lt;=12),(SUMPRODUCT(--('New Hires Forecast'!$F$5:$F$85="Finance"),--('New Hires Forecast'!$H$5:$H$85&gt;=Finance!BD$3),'New Hires Forecast'!$P$5:$P$85,'New Hires Forecast'!$L$5:$L$85)/12),0),IF(YEAR(BD$3)=YEAR('New Hires Forecast'!$Q$3),IF((BD$5&lt;=12),(SUMPRODUCT(--('New Hires Forecast'!$F$5:$F$85="Finance"),--('New Hires Forecast'!$H$5:$H$85&gt;=Finance!BD$3),'New Hires Forecast'!$Q$5:$Q$85,'New Hires Forecast'!$L$5:$L$85)/12),0),IF(YEAR(BD$3)=YEAR('New Hires Forecast'!$R$3),IF((BD$5&lt;=12),(SUMPRODUCT(--('New Hires Forecast'!$F$5:$F$85="Finance"),--('New Hires Forecast'!$H$5:$H$85&gt;=Finance!BD$3),'New Hires Forecast'!$R$5:$R$85,'New Hires Forecast'!$L$5:$L$85)/12),0),"New Year"))))),0)</f>
        <v>11515.185416666667</v>
      </c>
      <c r="BE15" s="668">
        <f>IF(BE$4="forecast",IF(YEAR(BE$3)=YEAR('New Hires Forecast'!$N$3),IF((BE$5&lt;=12),(SUMPRODUCT(--('New Hires Forecast'!$F$5:$F$85="Finance"),--('New Hires Forecast'!$H$5:$H$85&gt;=Finance!BE$3),'New Hires Forecast'!$N$5:$N$85,'New Hires Forecast'!$L$5:$L$85)/12),0),IF(YEAR(BE$3)=YEAR('New Hires Forecast'!$O$3),IF((BE$5&lt;=12),(SUMPRODUCT(--('New Hires Forecast'!$F$5:$F$85="Finance"),--('New Hires Forecast'!$H$5:$H$85&gt;=Finance!BE$3),'New Hires Forecast'!$O$5:$O$85,'New Hires Forecast'!$L$5:$L$85)/12),0),IF(YEAR(BE$3)=YEAR('New Hires Forecast'!$P$3),IF((BE$5&lt;=12),(SUMPRODUCT(--('New Hires Forecast'!$F$5:$F$85="Finance"),--('New Hires Forecast'!$H$5:$H$85&gt;=Finance!BE$3),'New Hires Forecast'!$P$5:$P$85,'New Hires Forecast'!$L$5:$L$85)/12),0),IF(YEAR(BE$3)=YEAR('New Hires Forecast'!$Q$3),IF((BE$5&lt;=12),(SUMPRODUCT(--('New Hires Forecast'!$F$5:$F$85="Finance"),--('New Hires Forecast'!$H$5:$H$85&gt;=Finance!BE$3),'New Hires Forecast'!$Q$5:$Q$85,'New Hires Forecast'!$L$5:$L$85)/12),0),IF(YEAR(BE$3)=YEAR('New Hires Forecast'!$R$3),IF((BE$5&lt;=12),(SUMPRODUCT(--('New Hires Forecast'!$F$5:$F$85="Finance"),--('New Hires Forecast'!$H$5:$H$85&gt;=Finance!BE$3),'New Hires Forecast'!$R$5:$R$85,'New Hires Forecast'!$L$5:$L$85)/12),0),"New Year"))))),0)</f>
        <v>11515.185416666667</v>
      </c>
      <c r="BF15" s="668">
        <f>IF(BF$4="forecast",IF(YEAR(BF$3)=YEAR('New Hires Forecast'!$N$3),IF((BF$5&lt;=12),(SUMPRODUCT(--('New Hires Forecast'!$F$5:$F$85="Finance"),--('New Hires Forecast'!$H$5:$H$85&gt;=Finance!BF$3),'New Hires Forecast'!$N$5:$N$85,'New Hires Forecast'!$L$5:$L$85)/12),0),IF(YEAR(BF$3)=YEAR('New Hires Forecast'!$O$3),IF((BF$5&lt;=12),(SUMPRODUCT(--('New Hires Forecast'!$F$5:$F$85="Finance"),--('New Hires Forecast'!$H$5:$H$85&gt;=Finance!BF$3),'New Hires Forecast'!$O$5:$O$85,'New Hires Forecast'!$L$5:$L$85)/12),0),IF(YEAR(BF$3)=YEAR('New Hires Forecast'!$P$3),IF((BF$5&lt;=12),(SUMPRODUCT(--('New Hires Forecast'!$F$5:$F$85="Finance"),--('New Hires Forecast'!$H$5:$H$85&gt;=Finance!BF$3),'New Hires Forecast'!$P$5:$P$85,'New Hires Forecast'!$L$5:$L$85)/12),0),IF(YEAR(BF$3)=YEAR('New Hires Forecast'!$Q$3),IF((BF$5&lt;=12),(SUMPRODUCT(--('New Hires Forecast'!$F$5:$F$85="Finance"),--('New Hires Forecast'!$H$5:$H$85&gt;=Finance!BF$3),'New Hires Forecast'!$Q$5:$Q$85,'New Hires Forecast'!$L$5:$L$85)/12),0),IF(YEAR(BF$3)=YEAR('New Hires Forecast'!$R$3),IF((BF$5&lt;=12),(SUMPRODUCT(--('New Hires Forecast'!$F$5:$F$85="Finance"),--('New Hires Forecast'!$H$5:$H$85&gt;=Finance!BF$3),'New Hires Forecast'!$R$5:$R$85,'New Hires Forecast'!$L$5:$L$85)/12),0),"New Year"))))),0)</f>
        <v>11515.185416666667</v>
      </c>
      <c r="BG15" s="668">
        <f>IF(BG$4="forecast",IF(YEAR(BG$3)=YEAR('New Hires Forecast'!$N$3),IF((BG$5&lt;=12),(SUMPRODUCT(--('New Hires Forecast'!$F$5:$F$85="Finance"),--('New Hires Forecast'!$H$5:$H$85&gt;=Finance!BG$3),'New Hires Forecast'!$N$5:$N$85,'New Hires Forecast'!$L$5:$L$85)/12),0),IF(YEAR(BG$3)=YEAR('New Hires Forecast'!$O$3),IF((BG$5&lt;=12),(SUMPRODUCT(--('New Hires Forecast'!$F$5:$F$85="Finance"),--('New Hires Forecast'!$H$5:$H$85&gt;=Finance!BG$3),'New Hires Forecast'!$O$5:$O$85,'New Hires Forecast'!$L$5:$L$85)/12),0),IF(YEAR(BG$3)=YEAR('New Hires Forecast'!$P$3),IF((BG$5&lt;=12),(SUMPRODUCT(--('New Hires Forecast'!$F$5:$F$85="Finance"),--('New Hires Forecast'!$H$5:$H$85&gt;=Finance!BG$3),'New Hires Forecast'!$P$5:$P$85,'New Hires Forecast'!$L$5:$L$85)/12),0),IF(YEAR(BG$3)=YEAR('New Hires Forecast'!$Q$3),IF((BG$5&lt;=12),(SUMPRODUCT(--('New Hires Forecast'!$F$5:$F$85="Finance"),--('New Hires Forecast'!$H$5:$H$85&gt;=Finance!BG$3),'New Hires Forecast'!$Q$5:$Q$85,'New Hires Forecast'!$L$5:$L$85)/12),0),IF(YEAR(BG$3)=YEAR('New Hires Forecast'!$R$3),IF((BG$5&lt;=12),(SUMPRODUCT(--('New Hires Forecast'!$F$5:$F$85="Finance"),--('New Hires Forecast'!$H$5:$H$85&gt;=Finance!BG$3),'New Hires Forecast'!$R$5:$R$85,'New Hires Forecast'!$L$5:$L$85)/12),0),"New Year"))))),0)</f>
        <v>11515.185416666667</v>
      </c>
      <c r="BH15" s="668">
        <f>IF(BH$4="forecast",IF(YEAR(BH$3)=YEAR('New Hires Forecast'!$N$3),IF((BH$5&lt;=12),(SUMPRODUCT(--('New Hires Forecast'!$F$5:$F$85="Finance"),--('New Hires Forecast'!$H$5:$H$85&gt;=Finance!BH$3),'New Hires Forecast'!$N$5:$N$85,'New Hires Forecast'!$L$5:$L$85)/12),0),IF(YEAR(BH$3)=YEAR('New Hires Forecast'!$O$3),IF((BH$5&lt;=12),(SUMPRODUCT(--('New Hires Forecast'!$F$5:$F$85="Finance"),--('New Hires Forecast'!$H$5:$H$85&gt;=Finance!BH$3),'New Hires Forecast'!$O$5:$O$85,'New Hires Forecast'!$L$5:$L$85)/12),0),IF(YEAR(BH$3)=YEAR('New Hires Forecast'!$P$3),IF((BH$5&lt;=12),(SUMPRODUCT(--('New Hires Forecast'!$F$5:$F$85="Finance"),--('New Hires Forecast'!$H$5:$H$85&gt;=Finance!BH$3),'New Hires Forecast'!$P$5:$P$85,'New Hires Forecast'!$L$5:$L$85)/12),0),IF(YEAR(BH$3)=YEAR('New Hires Forecast'!$Q$3),IF((BH$5&lt;=12),(SUMPRODUCT(--('New Hires Forecast'!$F$5:$F$85="Finance"),--('New Hires Forecast'!$H$5:$H$85&gt;=Finance!BH$3),'New Hires Forecast'!$Q$5:$Q$85,'New Hires Forecast'!$L$5:$L$85)/12),0),IF(YEAR(BH$3)=YEAR('New Hires Forecast'!$R$3),IF((BH$5&lt;=12),(SUMPRODUCT(--('New Hires Forecast'!$F$5:$F$85="Finance"),--('New Hires Forecast'!$H$5:$H$85&gt;=Finance!BH$3),'New Hires Forecast'!$R$5:$R$85,'New Hires Forecast'!$L$5:$L$85)/12),0),"New Year"))))),0)</f>
        <v>11515.185416666667</v>
      </c>
      <c r="BI15" s="668">
        <f>IF(BI$4="forecast",IF(YEAR(BI$3)=YEAR('New Hires Forecast'!$N$3),IF((BI$5&lt;=12),(SUMPRODUCT(--('New Hires Forecast'!$F$5:$F$85="Finance"),--('New Hires Forecast'!$H$5:$H$85&gt;=Finance!BI$3),'New Hires Forecast'!$N$5:$N$85,'New Hires Forecast'!$L$5:$L$85)/12),0),IF(YEAR(BI$3)=YEAR('New Hires Forecast'!$O$3),IF((BI$5&lt;=12),(SUMPRODUCT(--('New Hires Forecast'!$F$5:$F$85="Finance"),--('New Hires Forecast'!$H$5:$H$85&gt;=Finance!BI$3),'New Hires Forecast'!$O$5:$O$85,'New Hires Forecast'!$L$5:$L$85)/12),0),IF(YEAR(BI$3)=YEAR('New Hires Forecast'!$P$3),IF((BI$5&lt;=12),(SUMPRODUCT(--('New Hires Forecast'!$F$5:$F$85="Finance"),--('New Hires Forecast'!$H$5:$H$85&gt;=Finance!BI$3),'New Hires Forecast'!$P$5:$P$85,'New Hires Forecast'!$L$5:$L$85)/12),0),IF(YEAR(BI$3)=YEAR('New Hires Forecast'!$Q$3),IF((BI$5&lt;=12),(SUMPRODUCT(--('New Hires Forecast'!$F$5:$F$85="Finance"),--('New Hires Forecast'!$H$5:$H$85&gt;=Finance!BI$3),'New Hires Forecast'!$Q$5:$Q$85,'New Hires Forecast'!$L$5:$L$85)/12),0),IF(YEAR(BI$3)=YEAR('New Hires Forecast'!$R$3),IF((BI$5&lt;=12),(SUMPRODUCT(--('New Hires Forecast'!$F$5:$F$85="Finance"),--('New Hires Forecast'!$H$5:$H$85&gt;=Finance!BI$3),'New Hires Forecast'!$R$5:$R$85,'New Hires Forecast'!$L$5:$L$85)/12),0),"New Year"))))),0)</f>
        <v>11515.185416666667</v>
      </c>
      <c r="BJ15" s="668">
        <f>IF(BJ$4="forecast",IF(YEAR(BJ$3)=YEAR('New Hires Forecast'!$N$3),IF((BJ$5&lt;=12),(SUMPRODUCT(--('New Hires Forecast'!$F$5:$F$85="Finance"),--('New Hires Forecast'!$H$5:$H$85&gt;=Finance!BJ$3),'New Hires Forecast'!$N$5:$N$85,'New Hires Forecast'!$L$5:$L$85)/12),0),IF(YEAR(BJ$3)=YEAR('New Hires Forecast'!$O$3),IF((BJ$5&lt;=12),(SUMPRODUCT(--('New Hires Forecast'!$F$5:$F$85="Finance"),--('New Hires Forecast'!$H$5:$H$85&gt;=Finance!BJ$3),'New Hires Forecast'!$O$5:$O$85,'New Hires Forecast'!$L$5:$L$85)/12),0),IF(YEAR(BJ$3)=YEAR('New Hires Forecast'!$P$3),IF((BJ$5&lt;=12),(SUMPRODUCT(--('New Hires Forecast'!$F$5:$F$85="Finance"),--('New Hires Forecast'!$H$5:$H$85&gt;=Finance!BJ$3),'New Hires Forecast'!$P$5:$P$85,'New Hires Forecast'!$L$5:$L$85)/12),0),IF(YEAR(BJ$3)=YEAR('New Hires Forecast'!$Q$3),IF((BJ$5&lt;=12),(SUMPRODUCT(--('New Hires Forecast'!$F$5:$F$85="Finance"),--('New Hires Forecast'!$H$5:$H$85&gt;=Finance!BJ$3),'New Hires Forecast'!$Q$5:$Q$85,'New Hires Forecast'!$L$5:$L$85)/12),0),IF(YEAR(BJ$3)=YEAR('New Hires Forecast'!$R$3),IF((BJ$5&lt;=12),(SUMPRODUCT(--('New Hires Forecast'!$F$5:$F$85="Finance"),--('New Hires Forecast'!$H$5:$H$85&gt;=Finance!BJ$3),'New Hires Forecast'!$R$5:$R$85,'New Hires Forecast'!$L$5:$L$85)/12),0),"New Year"))))),0)</f>
        <v>11515.185416666667</v>
      </c>
      <c r="BK15" s="668">
        <f>IF(BK$4="forecast",IF(YEAR(BK$3)=YEAR('New Hires Forecast'!$N$3),IF((BK$5&lt;=12),(SUMPRODUCT(--('New Hires Forecast'!$F$5:$F$85="Finance"),--('New Hires Forecast'!$H$5:$H$85&gt;=Finance!BK$3),'New Hires Forecast'!$N$5:$N$85,'New Hires Forecast'!$L$5:$L$85)/12),0),IF(YEAR(BK$3)=YEAR('New Hires Forecast'!$O$3),IF((BK$5&lt;=12),(SUMPRODUCT(--('New Hires Forecast'!$F$5:$F$85="Finance"),--('New Hires Forecast'!$H$5:$H$85&gt;=Finance!BK$3),'New Hires Forecast'!$O$5:$O$85,'New Hires Forecast'!$L$5:$L$85)/12),0),IF(YEAR(BK$3)=YEAR('New Hires Forecast'!$P$3),IF((BK$5&lt;=12),(SUMPRODUCT(--('New Hires Forecast'!$F$5:$F$85="Finance"),--('New Hires Forecast'!$H$5:$H$85&gt;=Finance!BK$3),'New Hires Forecast'!$P$5:$P$85,'New Hires Forecast'!$L$5:$L$85)/12),0),IF(YEAR(BK$3)=YEAR('New Hires Forecast'!$Q$3),IF((BK$5&lt;=12),(SUMPRODUCT(--('New Hires Forecast'!$F$5:$F$85="Finance"),--('New Hires Forecast'!$H$5:$H$85&gt;=Finance!BK$3),'New Hires Forecast'!$Q$5:$Q$85,'New Hires Forecast'!$L$5:$L$85)/12),0),IF(YEAR(BK$3)=YEAR('New Hires Forecast'!$R$3),IF((BK$5&lt;=12),(SUMPRODUCT(--('New Hires Forecast'!$F$5:$F$85="Finance"),--('New Hires Forecast'!$H$5:$H$85&gt;=Finance!BK$3),'New Hires Forecast'!$R$5:$R$85,'New Hires Forecast'!$L$5:$L$85)/12),0),"New Year"))))),0)</f>
        <v>11860.640979166667</v>
      </c>
      <c r="BL15" s="668">
        <f>IF(BL$4="forecast",IF(YEAR(BL$3)=YEAR('New Hires Forecast'!$N$3),IF((BL$5&lt;=12),(SUMPRODUCT(--('New Hires Forecast'!$F$5:$F$85="Finance"),--('New Hires Forecast'!$H$5:$H$85&gt;=Finance!BL$3),'New Hires Forecast'!$N$5:$N$85,'New Hires Forecast'!$L$5:$L$85)/12),0),IF(YEAR(BL$3)=YEAR('New Hires Forecast'!$O$3),IF((BL$5&lt;=12),(SUMPRODUCT(--('New Hires Forecast'!$F$5:$F$85="Finance"),--('New Hires Forecast'!$H$5:$H$85&gt;=Finance!BL$3),'New Hires Forecast'!$O$5:$O$85,'New Hires Forecast'!$L$5:$L$85)/12),0),IF(YEAR(BL$3)=YEAR('New Hires Forecast'!$P$3),IF((BL$5&lt;=12),(SUMPRODUCT(--('New Hires Forecast'!$F$5:$F$85="Finance"),--('New Hires Forecast'!$H$5:$H$85&gt;=Finance!BL$3),'New Hires Forecast'!$P$5:$P$85,'New Hires Forecast'!$L$5:$L$85)/12),0),IF(YEAR(BL$3)=YEAR('New Hires Forecast'!$Q$3),IF((BL$5&lt;=12),(SUMPRODUCT(--('New Hires Forecast'!$F$5:$F$85="Finance"),--('New Hires Forecast'!$H$5:$H$85&gt;=Finance!BL$3),'New Hires Forecast'!$Q$5:$Q$85,'New Hires Forecast'!$L$5:$L$85)/12),0),IF(YEAR(BL$3)=YEAR('New Hires Forecast'!$R$3),IF((BL$5&lt;=12),(SUMPRODUCT(--('New Hires Forecast'!$F$5:$F$85="Finance"),--('New Hires Forecast'!$H$5:$H$85&gt;=Finance!BL$3),'New Hires Forecast'!$R$5:$R$85,'New Hires Forecast'!$L$5:$L$85)/12),0),"New Year"))))),0)</f>
        <v>11860.640979166667</v>
      </c>
      <c r="BM15" s="668">
        <f>IF(BM$4="forecast",IF(YEAR(BM$3)=YEAR('New Hires Forecast'!$N$3),IF((BM$5&lt;=12),(SUMPRODUCT(--('New Hires Forecast'!$F$5:$F$85="Finance"),--('New Hires Forecast'!$H$5:$H$85&gt;=Finance!BM$3),'New Hires Forecast'!$N$5:$N$85,'New Hires Forecast'!$L$5:$L$85)/12),0),IF(YEAR(BM$3)=YEAR('New Hires Forecast'!$O$3),IF((BM$5&lt;=12),(SUMPRODUCT(--('New Hires Forecast'!$F$5:$F$85="Finance"),--('New Hires Forecast'!$H$5:$H$85&gt;=Finance!BM$3),'New Hires Forecast'!$O$5:$O$85,'New Hires Forecast'!$L$5:$L$85)/12),0),IF(YEAR(BM$3)=YEAR('New Hires Forecast'!$P$3),IF((BM$5&lt;=12),(SUMPRODUCT(--('New Hires Forecast'!$F$5:$F$85="Finance"),--('New Hires Forecast'!$H$5:$H$85&gt;=Finance!BM$3),'New Hires Forecast'!$P$5:$P$85,'New Hires Forecast'!$L$5:$L$85)/12),0),IF(YEAR(BM$3)=YEAR('New Hires Forecast'!$Q$3),IF((BM$5&lt;=12),(SUMPRODUCT(--('New Hires Forecast'!$F$5:$F$85="Finance"),--('New Hires Forecast'!$H$5:$H$85&gt;=Finance!BM$3),'New Hires Forecast'!$Q$5:$Q$85,'New Hires Forecast'!$L$5:$L$85)/12),0),IF(YEAR(BM$3)=YEAR('New Hires Forecast'!$R$3),IF((BM$5&lt;=12),(SUMPRODUCT(--('New Hires Forecast'!$F$5:$F$85="Finance"),--('New Hires Forecast'!$H$5:$H$85&gt;=Finance!BM$3),'New Hires Forecast'!$R$5:$R$85,'New Hires Forecast'!$L$5:$L$85)/12),0),"New Year"))))),0)</f>
        <v>11860.640979166667</v>
      </c>
      <c r="BN15" s="668">
        <f>IF(BN$4="forecast",IF(YEAR(BN$3)=YEAR('New Hires Forecast'!$N$3),IF((BN$5&lt;=12),(SUMPRODUCT(--('New Hires Forecast'!$F$5:$F$85="Finance"),--('New Hires Forecast'!$H$5:$H$85&gt;=Finance!BN$3),'New Hires Forecast'!$N$5:$N$85,'New Hires Forecast'!$L$5:$L$85)/12),0),IF(YEAR(BN$3)=YEAR('New Hires Forecast'!$O$3),IF((BN$5&lt;=12),(SUMPRODUCT(--('New Hires Forecast'!$F$5:$F$85="Finance"),--('New Hires Forecast'!$H$5:$H$85&gt;=Finance!BN$3),'New Hires Forecast'!$O$5:$O$85,'New Hires Forecast'!$L$5:$L$85)/12),0),IF(YEAR(BN$3)=YEAR('New Hires Forecast'!$P$3),IF((BN$5&lt;=12),(SUMPRODUCT(--('New Hires Forecast'!$F$5:$F$85="Finance"),--('New Hires Forecast'!$H$5:$H$85&gt;=Finance!BN$3),'New Hires Forecast'!$P$5:$P$85,'New Hires Forecast'!$L$5:$L$85)/12),0),IF(YEAR(BN$3)=YEAR('New Hires Forecast'!$Q$3),IF((BN$5&lt;=12),(SUMPRODUCT(--('New Hires Forecast'!$F$5:$F$85="Finance"),--('New Hires Forecast'!$H$5:$H$85&gt;=Finance!BN$3),'New Hires Forecast'!$Q$5:$Q$85,'New Hires Forecast'!$L$5:$L$85)/12),0),IF(YEAR(BN$3)=YEAR('New Hires Forecast'!$R$3),IF((BN$5&lt;=12),(SUMPRODUCT(--('New Hires Forecast'!$F$5:$F$85="Finance"),--('New Hires Forecast'!$H$5:$H$85&gt;=Finance!BN$3),'New Hires Forecast'!$R$5:$R$85,'New Hires Forecast'!$L$5:$L$85)/12),0),"New Year"))))),0)</f>
        <v>11860.640979166667</v>
      </c>
      <c r="BO15" s="668">
        <f>IF(BO$4="forecast",IF(YEAR(BO$3)=YEAR('New Hires Forecast'!$N$3),IF((BO$5&lt;=12),(SUMPRODUCT(--('New Hires Forecast'!$F$5:$F$85="Finance"),--('New Hires Forecast'!$H$5:$H$85&gt;=Finance!BO$3),'New Hires Forecast'!$N$5:$N$85,'New Hires Forecast'!$L$5:$L$85)/12),0),IF(YEAR(BO$3)=YEAR('New Hires Forecast'!$O$3),IF((BO$5&lt;=12),(SUMPRODUCT(--('New Hires Forecast'!$F$5:$F$85="Finance"),--('New Hires Forecast'!$H$5:$H$85&gt;=Finance!BO$3),'New Hires Forecast'!$O$5:$O$85,'New Hires Forecast'!$L$5:$L$85)/12),0),IF(YEAR(BO$3)=YEAR('New Hires Forecast'!$P$3),IF((BO$5&lt;=12),(SUMPRODUCT(--('New Hires Forecast'!$F$5:$F$85="Finance"),--('New Hires Forecast'!$H$5:$H$85&gt;=Finance!BO$3),'New Hires Forecast'!$P$5:$P$85,'New Hires Forecast'!$L$5:$L$85)/12),0),IF(YEAR(BO$3)=YEAR('New Hires Forecast'!$Q$3),IF((BO$5&lt;=12),(SUMPRODUCT(--('New Hires Forecast'!$F$5:$F$85="Finance"),--('New Hires Forecast'!$H$5:$H$85&gt;=Finance!BO$3),'New Hires Forecast'!$Q$5:$Q$85,'New Hires Forecast'!$L$5:$L$85)/12),0),IF(YEAR(BO$3)=YEAR('New Hires Forecast'!$R$3),IF((BO$5&lt;=12),(SUMPRODUCT(--('New Hires Forecast'!$F$5:$F$85="Finance"),--('New Hires Forecast'!$H$5:$H$85&gt;=Finance!BO$3),'New Hires Forecast'!$R$5:$R$85,'New Hires Forecast'!$L$5:$L$85)/12),0),"New Year"))))),0)</f>
        <v>11860.640979166667</v>
      </c>
      <c r="BP15" s="668">
        <f>IF(BP$4="forecast",IF(YEAR(BP$3)=YEAR('New Hires Forecast'!$N$3),IF((BP$5&lt;=12),(SUMPRODUCT(--('New Hires Forecast'!$F$5:$F$85="Finance"),--('New Hires Forecast'!$H$5:$H$85&gt;=Finance!BP$3),'New Hires Forecast'!$N$5:$N$85,'New Hires Forecast'!$L$5:$L$85)/12),0),IF(YEAR(BP$3)=YEAR('New Hires Forecast'!$O$3),IF((BP$5&lt;=12),(SUMPRODUCT(--('New Hires Forecast'!$F$5:$F$85="Finance"),--('New Hires Forecast'!$H$5:$H$85&gt;=Finance!BP$3),'New Hires Forecast'!$O$5:$O$85,'New Hires Forecast'!$L$5:$L$85)/12),0),IF(YEAR(BP$3)=YEAR('New Hires Forecast'!$P$3),IF((BP$5&lt;=12),(SUMPRODUCT(--('New Hires Forecast'!$F$5:$F$85="Finance"),--('New Hires Forecast'!$H$5:$H$85&gt;=Finance!BP$3),'New Hires Forecast'!$P$5:$P$85,'New Hires Forecast'!$L$5:$L$85)/12),0),IF(YEAR(BP$3)=YEAR('New Hires Forecast'!$Q$3),IF((BP$5&lt;=12),(SUMPRODUCT(--('New Hires Forecast'!$F$5:$F$85="Finance"),--('New Hires Forecast'!$H$5:$H$85&gt;=Finance!BP$3),'New Hires Forecast'!$Q$5:$Q$85,'New Hires Forecast'!$L$5:$L$85)/12),0),IF(YEAR(BP$3)=YEAR('New Hires Forecast'!$R$3),IF((BP$5&lt;=12),(SUMPRODUCT(--('New Hires Forecast'!$F$5:$F$85="Finance"),--('New Hires Forecast'!$H$5:$H$85&gt;=Finance!BP$3),'New Hires Forecast'!$R$5:$R$85,'New Hires Forecast'!$L$5:$L$85)/12),0),"New Year"))))),0)</f>
        <v>11860.640979166667</v>
      </c>
      <c r="BQ15" s="668">
        <f>IF(BQ$4="forecast",IF(YEAR(BQ$3)=YEAR('New Hires Forecast'!$N$3),IF((BQ$5&lt;=12),(SUMPRODUCT(--('New Hires Forecast'!$F$5:$F$85="Finance"),--('New Hires Forecast'!$H$5:$H$85&gt;=Finance!BQ$3),'New Hires Forecast'!$N$5:$N$85,'New Hires Forecast'!$L$5:$L$85)/12),0),IF(YEAR(BQ$3)=YEAR('New Hires Forecast'!$O$3),IF((BQ$5&lt;=12),(SUMPRODUCT(--('New Hires Forecast'!$F$5:$F$85="Finance"),--('New Hires Forecast'!$H$5:$H$85&gt;=Finance!BQ$3),'New Hires Forecast'!$O$5:$O$85,'New Hires Forecast'!$L$5:$L$85)/12),0),IF(YEAR(BQ$3)=YEAR('New Hires Forecast'!$P$3),IF((BQ$5&lt;=12),(SUMPRODUCT(--('New Hires Forecast'!$F$5:$F$85="Finance"),--('New Hires Forecast'!$H$5:$H$85&gt;=Finance!BQ$3),'New Hires Forecast'!$P$5:$P$85,'New Hires Forecast'!$L$5:$L$85)/12),0),IF(YEAR(BQ$3)=YEAR('New Hires Forecast'!$Q$3),IF((BQ$5&lt;=12),(SUMPRODUCT(--('New Hires Forecast'!$F$5:$F$85="Finance"),--('New Hires Forecast'!$H$5:$H$85&gt;=Finance!BQ$3),'New Hires Forecast'!$Q$5:$Q$85,'New Hires Forecast'!$L$5:$L$85)/12),0),IF(YEAR(BQ$3)=YEAR('New Hires Forecast'!$R$3),IF((BQ$5&lt;=12),(SUMPRODUCT(--('New Hires Forecast'!$F$5:$F$85="Finance"),--('New Hires Forecast'!$H$5:$H$85&gt;=Finance!BQ$3),'New Hires Forecast'!$R$5:$R$85,'New Hires Forecast'!$L$5:$L$85)/12),0),"New Year"))))),0)</f>
        <v>11860.640979166667</v>
      </c>
      <c r="BR15" s="668">
        <f>IF(BR$4="forecast",IF(YEAR(BR$3)=YEAR('New Hires Forecast'!$N$3),IF((BR$5&lt;=12),(SUMPRODUCT(--('New Hires Forecast'!$F$5:$F$85="Finance"),--('New Hires Forecast'!$H$5:$H$85&gt;=Finance!BR$3),'New Hires Forecast'!$N$5:$N$85,'New Hires Forecast'!$L$5:$L$85)/12),0),IF(YEAR(BR$3)=YEAR('New Hires Forecast'!$O$3),IF((BR$5&lt;=12),(SUMPRODUCT(--('New Hires Forecast'!$F$5:$F$85="Finance"),--('New Hires Forecast'!$H$5:$H$85&gt;=Finance!BR$3),'New Hires Forecast'!$O$5:$O$85,'New Hires Forecast'!$L$5:$L$85)/12),0),IF(YEAR(BR$3)=YEAR('New Hires Forecast'!$P$3),IF((BR$5&lt;=12),(SUMPRODUCT(--('New Hires Forecast'!$F$5:$F$85="Finance"),--('New Hires Forecast'!$H$5:$H$85&gt;=Finance!BR$3),'New Hires Forecast'!$P$5:$P$85,'New Hires Forecast'!$L$5:$L$85)/12),0),IF(YEAR(BR$3)=YEAR('New Hires Forecast'!$Q$3),IF((BR$5&lt;=12),(SUMPRODUCT(--('New Hires Forecast'!$F$5:$F$85="Finance"),--('New Hires Forecast'!$H$5:$H$85&gt;=Finance!BR$3),'New Hires Forecast'!$Q$5:$Q$85,'New Hires Forecast'!$L$5:$L$85)/12),0),IF(YEAR(BR$3)=YEAR('New Hires Forecast'!$R$3),IF((BR$5&lt;=12),(SUMPRODUCT(--('New Hires Forecast'!$F$5:$F$85="Finance"),--('New Hires Forecast'!$H$5:$H$85&gt;=Finance!BR$3),'New Hires Forecast'!$R$5:$R$85,'New Hires Forecast'!$L$5:$L$85)/12),0),"New Year"))))),0)</f>
        <v>11860.640979166667</v>
      </c>
      <c r="BS15" s="668">
        <f>IF(BS$4="forecast",IF(YEAR(BS$3)=YEAR('New Hires Forecast'!$N$3),IF((BS$5&lt;=12),(SUMPRODUCT(--('New Hires Forecast'!$F$5:$F$85="Finance"),--('New Hires Forecast'!$H$5:$H$85&gt;=Finance!BS$3),'New Hires Forecast'!$N$5:$N$85,'New Hires Forecast'!$L$5:$L$85)/12),0),IF(YEAR(BS$3)=YEAR('New Hires Forecast'!$O$3),IF((BS$5&lt;=12),(SUMPRODUCT(--('New Hires Forecast'!$F$5:$F$85="Finance"),--('New Hires Forecast'!$H$5:$H$85&gt;=Finance!BS$3),'New Hires Forecast'!$O$5:$O$85,'New Hires Forecast'!$L$5:$L$85)/12),0),IF(YEAR(BS$3)=YEAR('New Hires Forecast'!$P$3),IF((BS$5&lt;=12),(SUMPRODUCT(--('New Hires Forecast'!$F$5:$F$85="Finance"),--('New Hires Forecast'!$H$5:$H$85&gt;=Finance!BS$3),'New Hires Forecast'!$P$5:$P$85,'New Hires Forecast'!$L$5:$L$85)/12),0),IF(YEAR(BS$3)=YEAR('New Hires Forecast'!$Q$3),IF((BS$5&lt;=12),(SUMPRODUCT(--('New Hires Forecast'!$F$5:$F$85="Finance"),--('New Hires Forecast'!$H$5:$H$85&gt;=Finance!BS$3),'New Hires Forecast'!$Q$5:$Q$85,'New Hires Forecast'!$L$5:$L$85)/12),0),IF(YEAR(BS$3)=YEAR('New Hires Forecast'!$R$3),IF((BS$5&lt;=12),(SUMPRODUCT(--('New Hires Forecast'!$F$5:$F$85="Finance"),--('New Hires Forecast'!$H$5:$H$85&gt;=Finance!BS$3),'New Hires Forecast'!$R$5:$R$85,'New Hires Forecast'!$L$5:$L$85)/12),0),"New Year"))))),0)</f>
        <v>11860.640979166667</v>
      </c>
      <c r="BT15" s="668">
        <f>IF(BT$4="forecast",IF(YEAR(BT$3)=YEAR('New Hires Forecast'!$N$3),IF((BT$5&lt;=12),(SUMPRODUCT(--('New Hires Forecast'!$F$5:$F$85="Finance"),--('New Hires Forecast'!$H$5:$H$85&gt;=Finance!BT$3),'New Hires Forecast'!$N$5:$N$85,'New Hires Forecast'!$L$5:$L$85)/12),0),IF(YEAR(BT$3)=YEAR('New Hires Forecast'!$O$3),IF((BT$5&lt;=12),(SUMPRODUCT(--('New Hires Forecast'!$F$5:$F$85="Finance"),--('New Hires Forecast'!$H$5:$H$85&gt;=Finance!BT$3),'New Hires Forecast'!$O$5:$O$85,'New Hires Forecast'!$L$5:$L$85)/12),0),IF(YEAR(BT$3)=YEAR('New Hires Forecast'!$P$3),IF((BT$5&lt;=12),(SUMPRODUCT(--('New Hires Forecast'!$F$5:$F$85="Finance"),--('New Hires Forecast'!$H$5:$H$85&gt;=Finance!BT$3),'New Hires Forecast'!$P$5:$P$85,'New Hires Forecast'!$L$5:$L$85)/12),0),IF(YEAR(BT$3)=YEAR('New Hires Forecast'!$Q$3),IF((BT$5&lt;=12),(SUMPRODUCT(--('New Hires Forecast'!$F$5:$F$85="Finance"),--('New Hires Forecast'!$H$5:$H$85&gt;=Finance!BT$3),'New Hires Forecast'!$Q$5:$Q$85,'New Hires Forecast'!$L$5:$L$85)/12),0),IF(YEAR(BT$3)=YEAR('New Hires Forecast'!$R$3),IF((BT$5&lt;=12),(SUMPRODUCT(--('New Hires Forecast'!$F$5:$F$85="Finance"),--('New Hires Forecast'!$H$5:$H$85&gt;=Finance!BT$3),'New Hires Forecast'!$R$5:$R$85,'New Hires Forecast'!$L$5:$L$85)/12),0),"New Year"))))),0)</f>
        <v>11860.640979166667</v>
      </c>
      <c r="BU15" s="668">
        <f>IF(BU$4="forecast",IF(YEAR(BU$3)=YEAR('New Hires Forecast'!$N$3),IF((BU$5&lt;=12),(SUMPRODUCT(--('New Hires Forecast'!$F$5:$F$85="Finance"),--('New Hires Forecast'!$H$5:$H$85&gt;=Finance!BU$3),'New Hires Forecast'!$N$5:$N$85,'New Hires Forecast'!$L$5:$L$85)/12),0),IF(YEAR(BU$3)=YEAR('New Hires Forecast'!$O$3),IF((BU$5&lt;=12),(SUMPRODUCT(--('New Hires Forecast'!$F$5:$F$85="Finance"),--('New Hires Forecast'!$H$5:$H$85&gt;=Finance!BU$3),'New Hires Forecast'!$O$5:$O$85,'New Hires Forecast'!$L$5:$L$85)/12),0),IF(YEAR(BU$3)=YEAR('New Hires Forecast'!$P$3),IF((BU$5&lt;=12),(SUMPRODUCT(--('New Hires Forecast'!$F$5:$F$85="Finance"),--('New Hires Forecast'!$H$5:$H$85&gt;=Finance!BU$3),'New Hires Forecast'!$P$5:$P$85,'New Hires Forecast'!$L$5:$L$85)/12),0),IF(YEAR(BU$3)=YEAR('New Hires Forecast'!$Q$3),IF((BU$5&lt;=12),(SUMPRODUCT(--('New Hires Forecast'!$F$5:$F$85="Finance"),--('New Hires Forecast'!$H$5:$H$85&gt;=Finance!BU$3),'New Hires Forecast'!$Q$5:$Q$85,'New Hires Forecast'!$L$5:$L$85)/12),0),IF(YEAR(BU$3)=YEAR('New Hires Forecast'!$R$3),IF((BU$5&lt;=12),(SUMPRODUCT(--('New Hires Forecast'!$F$5:$F$85="Finance"),--('New Hires Forecast'!$H$5:$H$85&gt;=Finance!BU$3),'New Hires Forecast'!$R$5:$R$85,'New Hires Forecast'!$L$5:$L$85)/12),0),"New Year"))))),0)</f>
        <v>11860.640979166667</v>
      </c>
      <c r="BV15" s="790">
        <f>IF(BV$4="forecast",IF(YEAR(BV$3)=YEAR('New Hires Forecast'!$N$3),IF((BV$5&lt;=12),(SUMPRODUCT(--('New Hires Forecast'!$F$5:$F$85="Finance"),--('New Hires Forecast'!$H$5:$H$85&gt;=Finance!BV$3),'New Hires Forecast'!$N$5:$N$85,'New Hires Forecast'!$L$5:$L$85)/12),0),IF(YEAR(BV$3)=YEAR('New Hires Forecast'!$O$3),IF((BV$5&lt;=12),(SUMPRODUCT(--('New Hires Forecast'!$F$5:$F$85="Finance"),--('New Hires Forecast'!$H$5:$H$85&gt;=Finance!BV$3),'New Hires Forecast'!$O$5:$O$85,'New Hires Forecast'!$L$5:$L$85)/12),0),IF(YEAR(BV$3)=YEAR('New Hires Forecast'!$P$3),IF((BV$5&lt;=12),(SUMPRODUCT(--('New Hires Forecast'!$F$5:$F$85="Finance"),--('New Hires Forecast'!$H$5:$H$85&gt;=Finance!BV$3),'New Hires Forecast'!$P$5:$P$85,'New Hires Forecast'!$L$5:$L$85)/12),0),IF(YEAR(BV$3)=YEAR('New Hires Forecast'!$Q$3),IF((BV$5&lt;=12),(SUMPRODUCT(--('New Hires Forecast'!$F$5:$F$85="Finance"),--('New Hires Forecast'!$H$5:$H$85&gt;=Finance!BV$3),'New Hires Forecast'!$Q$5:$Q$85,'New Hires Forecast'!$L$5:$L$85)/12),0),IF(YEAR(BV$3)=YEAR('New Hires Forecast'!$R$3),IF((BV$5&lt;=12),(SUMPRODUCT(--('New Hires Forecast'!$F$5:$F$85="Finance"),--('New Hires Forecast'!$H$5:$H$85&gt;=Finance!BV$3),'New Hires Forecast'!$R$5:$R$85,'New Hires Forecast'!$L$5:$L$85)/12),0),"New Year"))))),0)</f>
        <v>11860.640979166667</v>
      </c>
    </row>
    <row r="16" spans="2:74" x14ac:dyDescent="0.25">
      <c r="B16" s="780" t="s">
        <v>930</v>
      </c>
      <c r="C16" s="668">
        <f ca="1">IF(C$4="forecast",IF(YEAR(C$3)=YEAR(Headcount!$N$4),IF((C$5&lt;12),(SUMPRODUCT(--(Headcount!$F$6:$F$92="Finance"),--(Headcount!$H$6:$H$92&gt;=Finance!C$3),Headcount!$N$6:$N$92,Headcount!$L$6:$L$92)/12),0),IF(YEAR(C$3)=YEAR(Headcount!$O$4),IF((C$5&lt;=12),(SUMPRODUCT(--(Headcount!$F$6:$F$92="Finance"),--(Headcount!$H$6:$H$92&gt;=Finance!C$3),Headcount!$O$6:$O$92,Headcount!$L$6:$L$92)/12),0),IF(YEAR(C$3)=YEAR(Headcount!$P$4),IF((C$5&lt;=12),(SUMPRODUCT(--(Headcount!$F$6:$F$92="Finance"),--(Headcount!$H$6:$H$92&gt;=Finance!C$3),Headcount!$P$6:$P$92,Headcount!$L$6:$L$92)/12),0),IF(YEAR(C$3)=YEAR(Headcount!$Q$4),IF((C$5&lt;=12),(SUMPRODUCT(--(Headcount!$F$6:$F$92="Finance"),--(Headcount!$H$6:$H$92&gt;=Finance!C$3),Headcount!$Q$6:$Q$92,Headcount!$L$6:$L$92)/12),0),IF(YEAR(C$3)=YEAR(Headcount!$R$4),IF((C$5&lt;=12),(SUMPRODUCT(--(Headcount!$F$6:$F$92="Finance"),--(Headcount!$H$6:$H$92&gt;=Finance!C$3),Headcount!$R$6:$R$92,Headcount!$L$6:$L$92)/12),0),"New Year"))))),SUMIF('Dept. Cost Actuals'!$E$7:$E$176,"*bonus*",'Dept. Cost Actuals'!G$529:G$628))</f>
        <v>0</v>
      </c>
      <c r="D16" s="668">
        <f ca="1">IF(D$4="forecast",IF(YEAR(D$3)=YEAR(Headcount!$N$4),IF((D$5&lt;12),(SUMPRODUCT(--(Headcount!$F$6:$F$92="Finance"),--(Headcount!$H$6:$H$92&gt;=Finance!D$3),Headcount!$N$6:$N$92,Headcount!$L$6:$L$92)/12),0),IF(YEAR(D$3)=YEAR(Headcount!$O$4),IF((D$5&lt;=12),(SUMPRODUCT(--(Headcount!$F$6:$F$92="Finance"),--(Headcount!$H$6:$H$92&gt;=Finance!D$3),Headcount!$O$6:$O$92,Headcount!$L$6:$L$92)/12),0),IF(YEAR(D$3)=YEAR(Headcount!$P$4),IF((D$5&lt;=12),(SUMPRODUCT(--(Headcount!$F$6:$F$92="Finance"),--(Headcount!$H$6:$H$92&gt;=Finance!D$3),Headcount!$P$6:$P$92,Headcount!$L$6:$L$92)/12),0),IF(YEAR(D$3)=YEAR(Headcount!$Q$4),IF((D$5&lt;=12),(SUMPRODUCT(--(Headcount!$F$6:$F$92="Finance"),--(Headcount!$H$6:$H$92&gt;=Finance!D$3),Headcount!$Q$6:$Q$92,Headcount!$L$6:$L$92)/12),0),IF(YEAR(D$3)=YEAR(Headcount!$R$4),IF((D$5&lt;=12),(SUMPRODUCT(--(Headcount!$F$6:$F$92="Finance"),--(Headcount!$H$6:$H$92&gt;=Finance!D$3),Headcount!$R$6:$R$92,Headcount!$L$6:$L$92)/12),0),"New Year"))))),SUMIF('Dept. Cost Actuals'!$E$7:$E$176,"*bonus*",'Dept. Cost Actuals'!H$529:H$628))</f>
        <v>0</v>
      </c>
      <c r="E16" s="668">
        <f ca="1">IF(E$4="forecast",IF(YEAR(E$3)=YEAR(Headcount!$N$4),IF((E$5&lt;12),(SUMPRODUCT(--(Headcount!$F$6:$F$92="Finance"),--(Headcount!$H$6:$H$92&gt;=Finance!E$3),Headcount!$N$6:$N$92,Headcount!$L$6:$L$92)/12),0),IF(YEAR(E$3)=YEAR(Headcount!$O$4),IF((E$5&lt;=12),(SUMPRODUCT(--(Headcount!$F$6:$F$92="Finance"),--(Headcount!$H$6:$H$92&gt;=Finance!E$3),Headcount!$O$6:$O$92,Headcount!$L$6:$L$92)/12),0),IF(YEAR(E$3)=YEAR(Headcount!$P$4),IF((E$5&lt;=12),(SUMPRODUCT(--(Headcount!$F$6:$F$92="Finance"),--(Headcount!$H$6:$H$92&gt;=Finance!E$3),Headcount!$P$6:$P$92,Headcount!$L$6:$L$92)/12),0),IF(YEAR(E$3)=YEAR(Headcount!$Q$4),IF((E$5&lt;=12),(SUMPRODUCT(--(Headcount!$F$6:$F$92="Finance"),--(Headcount!$H$6:$H$92&gt;=Finance!E$3),Headcount!$Q$6:$Q$92,Headcount!$L$6:$L$92)/12),0),IF(YEAR(E$3)=YEAR(Headcount!$R$4),IF((E$5&lt;=12),(SUMPRODUCT(--(Headcount!$F$6:$F$92="Finance"),--(Headcount!$H$6:$H$92&gt;=Finance!E$3),Headcount!$R$6:$R$92,Headcount!$L$6:$L$92)/12),0),"New Year"))))),SUMIF('Dept. Cost Actuals'!$E$7:$E$176,"*bonus*",'Dept. Cost Actuals'!I$529:I$628))</f>
        <v>0</v>
      </c>
      <c r="F16" s="668">
        <f ca="1">IF(F$4="forecast",IF(YEAR(F$3)=YEAR(Headcount!$N$4),IF((F$5&lt;12),(SUMPRODUCT(--(Headcount!$F$6:$F$92="Finance"),--(Headcount!$H$6:$H$92&gt;=Finance!F$3),Headcount!$N$6:$N$92,Headcount!$L$6:$L$92)/12),0),IF(YEAR(F$3)=YEAR(Headcount!$O$4),IF((F$5&lt;=12),(SUMPRODUCT(--(Headcount!$F$6:$F$92="Finance"),--(Headcount!$H$6:$H$92&gt;=Finance!F$3),Headcount!$O$6:$O$92,Headcount!$L$6:$L$92)/12),0),IF(YEAR(F$3)=YEAR(Headcount!$P$4),IF((F$5&lt;=12),(SUMPRODUCT(--(Headcount!$F$6:$F$92="Finance"),--(Headcount!$H$6:$H$92&gt;=Finance!F$3),Headcount!$P$6:$P$92,Headcount!$L$6:$L$92)/12),0),IF(YEAR(F$3)=YEAR(Headcount!$Q$4),IF((F$5&lt;=12),(SUMPRODUCT(--(Headcount!$F$6:$F$92="Finance"),--(Headcount!$H$6:$H$92&gt;=Finance!F$3),Headcount!$Q$6:$Q$92,Headcount!$L$6:$L$92)/12),0),IF(YEAR(F$3)=YEAR(Headcount!$R$4),IF((F$5&lt;=12),(SUMPRODUCT(--(Headcount!$F$6:$F$92="Finance"),--(Headcount!$H$6:$H$92&gt;=Finance!F$3),Headcount!$R$6:$R$92,Headcount!$L$6:$L$92)/12),0),"New Year"))))),SUMIF('Dept. Cost Actuals'!$E$7:$E$176,"*bonus*",'Dept. Cost Actuals'!J$529:J$628))</f>
        <v>0</v>
      </c>
      <c r="G16" s="668">
        <f ca="1">IF(G$4="forecast",IF(YEAR(G$3)=YEAR(Headcount!$N$4),IF((G$5&lt;12),(SUMPRODUCT(--(Headcount!$F$6:$F$92="Finance"),--(Headcount!$H$6:$H$92&gt;=Finance!G$3),Headcount!$N$6:$N$92,Headcount!$L$6:$L$92)/12),0),IF(YEAR(G$3)=YEAR(Headcount!$O$4),IF((G$5&lt;=12),(SUMPRODUCT(--(Headcount!$F$6:$F$92="Finance"),--(Headcount!$H$6:$H$92&gt;=Finance!G$3),Headcount!$O$6:$O$92,Headcount!$L$6:$L$92)/12),0),IF(YEAR(G$3)=YEAR(Headcount!$P$4),IF((G$5&lt;=12),(SUMPRODUCT(--(Headcount!$F$6:$F$92="Finance"),--(Headcount!$H$6:$H$92&gt;=Finance!G$3),Headcount!$P$6:$P$92,Headcount!$L$6:$L$92)/12),0),IF(YEAR(G$3)=YEAR(Headcount!$Q$4),IF((G$5&lt;=12),(SUMPRODUCT(--(Headcount!$F$6:$F$92="Finance"),--(Headcount!$H$6:$H$92&gt;=Finance!G$3),Headcount!$Q$6:$Q$92,Headcount!$L$6:$L$92)/12),0),IF(YEAR(G$3)=YEAR(Headcount!$R$4),IF((G$5&lt;=12),(SUMPRODUCT(--(Headcount!$F$6:$F$92="Finance"),--(Headcount!$H$6:$H$92&gt;=Finance!G$3),Headcount!$R$6:$R$92,Headcount!$L$6:$L$92)/12),0),"New Year"))))),SUMIF('Dept. Cost Actuals'!$E$7:$E$176,"*bonus*",'Dept. Cost Actuals'!K$529:K$628))</f>
        <v>0</v>
      </c>
      <c r="H16" s="668">
        <f ca="1">IF(H$4="forecast",IF(YEAR(H$3)=YEAR(Headcount!$N$4),IF((H$5&lt;12),(SUMPRODUCT(--(Headcount!$F$6:$F$92="Finance"),--(Headcount!$H$6:$H$92&gt;=Finance!H$3),Headcount!$N$6:$N$92,Headcount!$L$6:$L$92)/12),0),IF(YEAR(H$3)=YEAR(Headcount!$O$4),IF((H$5&lt;=12),(SUMPRODUCT(--(Headcount!$F$6:$F$92="Finance"),--(Headcount!$H$6:$H$92&gt;=Finance!H$3),Headcount!$O$6:$O$92,Headcount!$L$6:$L$92)/12),0),IF(YEAR(H$3)=YEAR(Headcount!$P$4),IF((H$5&lt;=12),(SUMPRODUCT(--(Headcount!$F$6:$F$92="Finance"),--(Headcount!$H$6:$H$92&gt;=Finance!H$3),Headcount!$P$6:$P$92,Headcount!$L$6:$L$92)/12),0),IF(YEAR(H$3)=YEAR(Headcount!$Q$4),IF((H$5&lt;=12),(SUMPRODUCT(--(Headcount!$F$6:$F$92="Finance"),--(Headcount!$H$6:$H$92&gt;=Finance!H$3),Headcount!$Q$6:$Q$92,Headcount!$L$6:$L$92)/12),0),IF(YEAR(H$3)=YEAR(Headcount!$R$4),IF((H$5&lt;=12),(SUMPRODUCT(--(Headcount!$F$6:$F$92="Finance"),--(Headcount!$H$6:$H$92&gt;=Finance!H$3),Headcount!$R$6:$R$92,Headcount!$L$6:$L$92)/12),0),"New Year"))))),SUMIF('Dept. Cost Actuals'!$E$7:$E$176,"*bonus*",'Dept. Cost Actuals'!L$529:L$628))</f>
        <v>0</v>
      </c>
      <c r="I16" s="668">
        <f ca="1">IF(I$4="forecast",IF(YEAR(I$3)=YEAR(Headcount!$N$4),IF((I$5&lt;12),(SUMPRODUCT(--(Headcount!$F$6:$F$92="Finance"),--(Headcount!$H$6:$H$92&gt;=Finance!I$3),Headcount!$N$6:$N$92,Headcount!$L$6:$L$92)/12),0),IF(YEAR(I$3)=YEAR(Headcount!$O$4),IF((I$5&lt;=12),(SUMPRODUCT(--(Headcount!$F$6:$F$92="Finance"),--(Headcount!$H$6:$H$92&gt;=Finance!I$3),Headcount!$O$6:$O$92,Headcount!$L$6:$L$92)/12),0),IF(YEAR(I$3)=YEAR(Headcount!$P$4),IF((I$5&lt;=12),(SUMPRODUCT(--(Headcount!$F$6:$F$92="Finance"),--(Headcount!$H$6:$H$92&gt;=Finance!I$3),Headcount!$P$6:$P$92,Headcount!$L$6:$L$92)/12),0),IF(YEAR(I$3)=YEAR(Headcount!$Q$4),IF((I$5&lt;=12),(SUMPRODUCT(--(Headcount!$F$6:$F$92="Finance"),--(Headcount!$H$6:$H$92&gt;=Finance!I$3),Headcount!$Q$6:$Q$92,Headcount!$L$6:$L$92)/12),0),IF(YEAR(I$3)=YEAR(Headcount!$R$4),IF((I$5&lt;=12),(SUMPRODUCT(--(Headcount!$F$6:$F$92="Finance"),--(Headcount!$H$6:$H$92&gt;=Finance!I$3),Headcount!$R$6:$R$92,Headcount!$L$6:$L$92)/12),0),"New Year"))))),SUMIF('Dept. Cost Actuals'!$E$7:$E$176,"*bonus*",'Dept. Cost Actuals'!M$529:M$628))</f>
        <v>0</v>
      </c>
      <c r="J16" s="668">
        <f ca="1">IF(J$4="forecast",IF(YEAR(J$3)=YEAR(Headcount!$N$4),IF((J$5&lt;12),(SUMPRODUCT(--(Headcount!$F$6:$F$92="Finance"),--(Headcount!$H$6:$H$92&gt;=Finance!J$3),Headcount!$N$6:$N$92,Headcount!$L$6:$L$92)/12),0),IF(YEAR(J$3)=YEAR(Headcount!$O$4),IF((J$5&lt;=12),(SUMPRODUCT(--(Headcount!$F$6:$F$92="Finance"),--(Headcount!$H$6:$H$92&gt;=Finance!J$3),Headcount!$O$6:$O$92,Headcount!$L$6:$L$92)/12),0),IF(YEAR(J$3)=YEAR(Headcount!$P$4),IF((J$5&lt;=12),(SUMPRODUCT(--(Headcount!$F$6:$F$92="Finance"),--(Headcount!$H$6:$H$92&gt;=Finance!J$3),Headcount!$P$6:$P$92,Headcount!$L$6:$L$92)/12),0),IF(YEAR(J$3)=YEAR(Headcount!$Q$4),IF((J$5&lt;=12),(SUMPRODUCT(--(Headcount!$F$6:$F$92="Finance"),--(Headcount!$H$6:$H$92&gt;=Finance!J$3),Headcount!$Q$6:$Q$92,Headcount!$L$6:$L$92)/12),0),IF(YEAR(J$3)=YEAR(Headcount!$R$4),IF((J$5&lt;=12),(SUMPRODUCT(--(Headcount!$F$6:$F$92="Finance"),--(Headcount!$H$6:$H$92&gt;=Finance!J$3),Headcount!$R$6:$R$92,Headcount!$L$6:$L$92)/12),0),"New Year"))))),SUMIF('Dept. Cost Actuals'!$E$7:$E$176,"*bonus*",'Dept. Cost Actuals'!N$529:N$628))</f>
        <v>0</v>
      </c>
      <c r="K16" s="668">
        <f ca="1">IF(K$4="forecast",IF(YEAR(K$3)=YEAR(Headcount!$N$4),IF((K$5&lt;12),(SUMPRODUCT(--(Headcount!$F$6:$F$92="Finance"),--(Headcount!$H$6:$H$92&gt;=Finance!K$3),Headcount!$N$6:$N$92,Headcount!$L$6:$L$92)/12),0),IF(YEAR(K$3)=YEAR(Headcount!$O$4),IF((K$5&lt;=12),(SUMPRODUCT(--(Headcount!$F$6:$F$92="Finance"),--(Headcount!$H$6:$H$92&gt;=Finance!K$3),Headcount!$O$6:$O$92,Headcount!$L$6:$L$92)/12),0),IF(YEAR(K$3)=YEAR(Headcount!$P$4),IF((K$5&lt;=12),(SUMPRODUCT(--(Headcount!$F$6:$F$92="Finance"),--(Headcount!$H$6:$H$92&gt;=Finance!K$3),Headcount!$P$6:$P$92,Headcount!$L$6:$L$92)/12),0),IF(YEAR(K$3)=YEAR(Headcount!$Q$4),IF((K$5&lt;=12),(SUMPRODUCT(--(Headcount!$F$6:$F$92="Finance"),--(Headcount!$H$6:$H$92&gt;=Finance!K$3),Headcount!$Q$6:$Q$92,Headcount!$L$6:$L$92)/12),0),IF(YEAR(K$3)=YEAR(Headcount!$R$4),IF((K$5&lt;=12),(SUMPRODUCT(--(Headcount!$F$6:$F$92="Finance"),--(Headcount!$H$6:$H$92&gt;=Finance!K$3),Headcount!$R$6:$R$92,Headcount!$L$6:$L$92)/12),0),"New Year"))))),SUMIF('Dept. Cost Actuals'!$E$7:$E$176,"*bonus*",'Dept. Cost Actuals'!O$529:O$628))</f>
        <v>0</v>
      </c>
      <c r="L16" s="668">
        <f ca="1">IF(L$4="forecast",IF(YEAR(L$3)=YEAR(Headcount!$N$4),IF((L$5&lt;12),(SUMPRODUCT(--(Headcount!$F$6:$F$92="Finance"),--(Headcount!$H$6:$H$92&gt;=Finance!L$3),Headcount!$N$6:$N$92,Headcount!$L$6:$L$92)/12),0),IF(YEAR(L$3)=YEAR(Headcount!$O$4),IF((L$5&lt;=12),(SUMPRODUCT(--(Headcount!$F$6:$F$92="Finance"),--(Headcount!$H$6:$H$92&gt;=Finance!L$3),Headcount!$O$6:$O$92,Headcount!$L$6:$L$92)/12),0),IF(YEAR(L$3)=YEAR(Headcount!$P$4),IF((L$5&lt;=12),(SUMPRODUCT(--(Headcount!$F$6:$F$92="Finance"),--(Headcount!$H$6:$H$92&gt;=Finance!L$3),Headcount!$P$6:$P$92,Headcount!$L$6:$L$92)/12),0),IF(YEAR(L$3)=YEAR(Headcount!$Q$4),IF((L$5&lt;=12),(SUMPRODUCT(--(Headcount!$F$6:$F$92="Finance"),--(Headcount!$H$6:$H$92&gt;=Finance!L$3),Headcount!$Q$6:$Q$92,Headcount!$L$6:$L$92)/12),0),IF(YEAR(L$3)=YEAR(Headcount!$R$4),IF((L$5&lt;=12),(SUMPRODUCT(--(Headcount!$F$6:$F$92="Finance"),--(Headcount!$H$6:$H$92&gt;=Finance!L$3),Headcount!$R$6:$R$92,Headcount!$L$6:$L$92)/12),0),"New Year"))))),SUMIF('Dept. Cost Actuals'!$E$7:$E$176,"*bonus*",'Dept. Cost Actuals'!P$529:P$628))</f>
        <v>0</v>
      </c>
      <c r="M16" s="668">
        <f ca="1">IF(M$4="forecast",IF(YEAR(M$3)=YEAR(Headcount!$N$4),IF((M$5&lt;12),(SUMPRODUCT(--(Headcount!$F$6:$F$92="Finance"),--(Headcount!$H$6:$H$92&gt;=Finance!M$3),Headcount!$N$6:$N$92,Headcount!$L$6:$L$92)/12),0),IF(YEAR(M$3)=YEAR(Headcount!$O$4),IF((M$5&lt;=12),(SUMPRODUCT(--(Headcount!$F$6:$F$92="Finance"),--(Headcount!$H$6:$H$92&gt;=Finance!M$3),Headcount!$O$6:$O$92,Headcount!$L$6:$L$92)/12),0),IF(YEAR(M$3)=YEAR(Headcount!$P$4),IF((M$5&lt;=12),(SUMPRODUCT(--(Headcount!$F$6:$F$92="Finance"),--(Headcount!$H$6:$H$92&gt;=Finance!M$3),Headcount!$P$6:$P$92,Headcount!$L$6:$L$92)/12),0),IF(YEAR(M$3)=YEAR(Headcount!$Q$4),IF((M$5&lt;=12),(SUMPRODUCT(--(Headcount!$F$6:$F$92="Finance"),--(Headcount!$H$6:$H$92&gt;=Finance!M$3),Headcount!$Q$6:$Q$92,Headcount!$L$6:$L$92)/12),0),IF(YEAR(M$3)=YEAR(Headcount!$R$4),IF((M$5&lt;=12),(SUMPRODUCT(--(Headcount!$F$6:$F$92="Finance"),--(Headcount!$H$6:$H$92&gt;=Finance!M$3),Headcount!$R$6:$R$92,Headcount!$L$6:$L$92)/12),0),"New Year"))))),SUMIF('Dept. Cost Actuals'!$E$7:$E$176,"*bonus*",'Dept. Cost Actuals'!Q$529:Q$628))</f>
        <v>0</v>
      </c>
      <c r="N16" s="668">
        <f ca="1">IF(N$4="forecast",IF(YEAR(N$3)=YEAR(Headcount!$N$4),IF((N$5&lt;12),(SUMPRODUCT(--(Headcount!$F$6:$F$92="Finance"),--(Headcount!$H$6:$H$92&gt;=Finance!N$3),Headcount!$N$6:$N$92,Headcount!$L$6:$L$92)/12),0),IF(YEAR(N$3)=YEAR(Headcount!$O$4),IF((N$5&lt;=12),(SUMPRODUCT(--(Headcount!$F$6:$F$92="Finance"),--(Headcount!$H$6:$H$92&gt;=Finance!N$3),Headcount!$O$6:$O$92,Headcount!$L$6:$L$92)/12),0),IF(YEAR(N$3)=YEAR(Headcount!$P$4),IF((N$5&lt;=12),(SUMPRODUCT(--(Headcount!$F$6:$F$92="Finance"),--(Headcount!$H$6:$H$92&gt;=Finance!N$3),Headcount!$P$6:$P$92,Headcount!$L$6:$L$92)/12),0),IF(YEAR(N$3)=YEAR(Headcount!$Q$4),IF((N$5&lt;=12),(SUMPRODUCT(--(Headcount!$F$6:$F$92="Finance"),--(Headcount!$H$6:$H$92&gt;=Finance!N$3),Headcount!$Q$6:$Q$92,Headcount!$L$6:$L$92)/12),0),IF(YEAR(N$3)=YEAR(Headcount!$R$4),IF((N$5&lt;=12),(SUMPRODUCT(--(Headcount!$F$6:$F$92="Finance"),--(Headcount!$H$6:$H$92&gt;=Finance!N$3),Headcount!$R$6:$R$92,Headcount!$L$6:$L$92)/12),0),"New Year"))))),SUMIF('Dept. Cost Actuals'!$E$7:$E$176,"*bonus*",'Dept. Cost Actuals'!R$529:R$628))</f>
        <v>0</v>
      </c>
      <c r="O16" s="668">
        <f ca="1">IF(O$4="forecast",IF(YEAR(O$3)=YEAR(Headcount!$N$4),IF((O$5&lt;12),(SUMPRODUCT(--(Headcount!$F$6:$F$92="Finance"),--(Headcount!$H$6:$H$92&gt;=Finance!O$3),Headcount!$N$6:$N$92,Headcount!$L$6:$L$92)/12),0),IF(YEAR(O$3)=YEAR(Headcount!$O$4),IF((O$5&lt;=12),(SUMPRODUCT(--(Headcount!$F$6:$F$92="Finance"),--(Headcount!$H$6:$H$92&gt;=Finance!O$3),Headcount!$O$6:$O$92,Headcount!$L$6:$L$92)/12),0),IF(YEAR(O$3)=YEAR(Headcount!$P$4),IF((O$5&lt;=12),(SUMPRODUCT(--(Headcount!$F$6:$F$92="Finance"),--(Headcount!$H$6:$H$92&gt;=Finance!O$3),Headcount!$P$6:$P$92,Headcount!$L$6:$L$92)/12),0),IF(YEAR(O$3)=YEAR(Headcount!$Q$4),IF((O$5&lt;=12),(SUMPRODUCT(--(Headcount!$F$6:$F$92="Finance"),--(Headcount!$H$6:$H$92&gt;=Finance!O$3),Headcount!$Q$6:$Q$92,Headcount!$L$6:$L$92)/12),0),IF(YEAR(O$3)=YEAR(Headcount!$R$4),IF((O$5&lt;=12),(SUMPRODUCT(--(Headcount!$F$6:$F$92="Finance"),--(Headcount!$H$6:$H$92&gt;=Finance!O$3),Headcount!$R$6:$R$92,Headcount!$L$6:$L$92)/12),0),"New Year"))))),SUMIF('Dept. Cost Actuals'!$E$7:$E$176,"*bonus*",'Dept. Cost Actuals'!S$529:S$628))</f>
        <v>3770.83</v>
      </c>
      <c r="P16" s="668">
        <f ca="1">IF(P$4="forecast",IF(YEAR(P$3)=YEAR(Headcount!$N$4),IF((P$5&lt;12),(SUMPRODUCT(--(Headcount!$F$6:$F$92="Finance"),--(Headcount!$H$6:$H$92&gt;=Finance!P$3),Headcount!$N$6:$N$92,Headcount!$L$6:$L$92)/12),0),IF(YEAR(P$3)=YEAR(Headcount!$O$4),IF((P$5&lt;=12),(SUMPRODUCT(--(Headcount!$F$6:$F$92="Finance"),--(Headcount!$H$6:$H$92&gt;=Finance!P$3),Headcount!$O$6:$O$92,Headcount!$L$6:$L$92)/12),0),IF(YEAR(P$3)=YEAR(Headcount!$P$4),IF((P$5&lt;=12),(SUMPRODUCT(--(Headcount!$F$6:$F$92="Finance"),--(Headcount!$H$6:$H$92&gt;=Finance!P$3),Headcount!$P$6:$P$92,Headcount!$L$6:$L$92)/12),0),IF(YEAR(P$3)=YEAR(Headcount!$Q$4),IF((P$5&lt;=12),(SUMPRODUCT(--(Headcount!$F$6:$F$92="Finance"),--(Headcount!$H$6:$H$92&gt;=Finance!P$3),Headcount!$Q$6:$Q$92,Headcount!$L$6:$L$92)/12),0),IF(YEAR(P$3)=YEAR(Headcount!$R$4),IF((P$5&lt;=12),(SUMPRODUCT(--(Headcount!$F$6:$F$92="Finance"),--(Headcount!$H$6:$H$92&gt;=Finance!P$3),Headcount!$R$6:$R$92,Headcount!$L$6:$L$92)/12),0),"New Year"))))),SUMIF('Dept. Cost Actuals'!$E$7:$E$176,"*bonus*",'Dept. Cost Actuals'!T$529:T$628))</f>
        <v>3770.83</v>
      </c>
      <c r="Q16" s="668">
        <f ca="1">IF(Q$4="forecast",IF(YEAR(Q$3)=YEAR(Headcount!$N$4),IF((Q$5&lt;12),(SUMPRODUCT(--(Headcount!$F$6:$F$92="Finance"),--(Headcount!$H$6:$H$92&gt;=Finance!Q$3),Headcount!$N$6:$N$92,Headcount!$L$6:$L$92)/12),0),IF(YEAR(Q$3)=YEAR(Headcount!$O$4),IF((Q$5&lt;=12),(SUMPRODUCT(--(Headcount!$F$6:$F$92="Finance"),--(Headcount!$H$6:$H$92&gt;=Finance!Q$3),Headcount!$O$6:$O$92,Headcount!$L$6:$L$92)/12),0),IF(YEAR(Q$3)=YEAR(Headcount!$P$4),IF((Q$5&lt;=12),(SUMPRODUCT(--(Headcount!$F$6:$F$92="Finance"),--(Headcount!$H$6:$H$92&gt;=Finance!Q$3),Headcount!$P$6:$P$92,Headcount!$L$6:$L$92)/12),0),IF(YEAR(Q$3)=YEAR(Headcount!$Q$4),IF((Q$5&lt;=12),(SUMPRODUCT(--(Headcount!$F$6:$F$92="Finance"),--(Headcount!$H$6:$H$92&gt;=Finance!Q$3),Headcount!$Q$6:$Q$92,Headcount!$L$6:$L$92)/12),0),IF(YEAR(Q$3)=YEAR(Headcount!$R$4),IF((Q$5&lt;=12),(SUMPRODUCT(--(Headcount!$F$6:$F$92="Finance"),--(Headcount!$H$6:$H$92&gt;=Finance!Q$3),Headcount!$R$6:$R$92,Headcount!$L$6:$L$92)/12),0),"New Year"))))),SUMIF('Dept. Cost Actuals'!$E$7:$E$176,"*bonus*",'Dept. Cost Actuals'!U$529:U$628))</f>
        <v>4025.97</v>
      </c>
      <c r="R16" s="668">
        <f ca="1">IF(R$4="forecast",IF(YEAR(R$3)=YEAR(Headcount!$N$4),IF((R$5&lt;12),(SUMPRODUCT(--(Headcount!$F$6:$F$92="Finance"),--(Headcount!$H$6:$H$92&gt;=Finance!R$3),Headcount!$N$6:$N$92,Headcount!$L$6:$L$92)/12),0),IF(YEAR(R$3)=YEAR(Headcount!$O$4),IF((R$5&lt;=12),(SUMPRODUCT(--(Headcount!$F$6:$F$92="Finance"),--(Headcount!$H$6:$H$92&gt;=Finance!R$3),Headcount!$O$6:$O$92,Headcount!$L$6:$L$92)/12),0),IF(YEAR(R$3)=YEAR(Headcount!$P$4),IF((R$5&lt;=12),(SUMPRODUCT(--(Headcount!$F$6:$F$92="Finance"),--(Headcount!$H$6:$H$92&gt;=Finance!R$3),Headcount!$P$6:$P$92,Headcount!$L$6:$L$92)/12),0),IF(YEAR(R$3)=YEAR(Headcount!$Q$4),IF((R$5&lt;=12),(SUMPRODUCT(--(Headcount!$F$6:$F$92="Finance"),--(Headcount!$H$6:$H$92&gt;=Finance!R$3),Headcount!$Q$6:$Q$92,Headcount!$L$6:$L$92)/12),0),IF(YEAR(R$3)=YEAR(Headcount!$R$4),IF((R$5&lt;=12),(SUMPRODUCT(--(Headcount!$F$6:$F$92="Finance"),--(Headcount!$H$6:$H$92&gt;=Finance!R$3),Headcount!$R$6:$R$92,Headcount!$L$6:$L$92)/12),0),"New Year"))))),SUMIF('Dept. Cost Actuals'!$E$7:$E$176,"*bonus*",'Dept. Cost Actuals'!V$529:V$628))</f>
        <v>4451.74</v>
      </c>
      <c r="S16" s="668">
        <f ca="1">IF(S$4="forecast",IF(YEAR(S$3)=YEAR(Headcount!$N$4),IF((S$5&lt;12),(SUMPRODUCT(--(Headcount!$F$6:$F$92="Finance"),--(Headcount!$H$6:$H$92&gt;=Finance!S$3),Headcount!$N$6:$N$92,Headcount!$L$6:$L$92)/12),0),IF(YEAR(S$3)=YEAR(Headcount!$O$4),IF((S$5&lt;=12),(SUMPRODUCT(--(Headcount!$F$6:$F$92="Finance"),--(Headcount!$H$6:$H$92&gt;=Finance!S$3),Headcount!$O$6:$O$92,Headcount!$L$6:$L$92)/12),0),IF(YEAR(S$3)=YEAR(Headcount!$P$4),IF((S$5&lt;=12),(SUMPRODUCT(--(Headcount!$F$6:$F$92="Finance"),--(Headcount!$H$6:$H$92&gt;=Finance!S$3),Headcount!$P$6:$P$92,Headcount!$L$6:$L$92)/12),0),IF(YEAR(S$3)=YEAR(Headcount!$Q$4),IF((S$5&lt;=12),(SUMPRODUCT(--(Headcount!$F$6:$F$92="Finance"),--(Headcount!$H$6:$H$92&gt;=Finance!S$3),Headcount!$Q$6:$Q$92,Headcount!$L$6:$L$92)/12),0),IF(YEAR(S$3)=YEAR(Headcount!$R$4),IF((S$5&lt;=12),(SUMPRODUCT(--(Headcount!$F$6:$F$92="Finance"),--(Headcount!$H$6:$H$92&gt;=Finance!S$3),Headcount!$R$6:$R$92,Headcount!$L$6:$L$92)/12),0),"New Year"))))),SUMIF('Dept. Cost Actuals'!$E$7:$E$176,"*bonus*",'Dept. Cost Actuals'!W$529:W$628))</f>
        <v>3770.83</v>
      </c>
      <c r="T16" s="668">
        <f ca="1">IF(T$4="forecast",IF(YEAR(T$3)=YEAR(Headcount!$N$4),IF((T$5&lt;12),(SUMPRODUCT(--(Headcount!$F$6:$F$92="Finance"),--(Headcount!$H$6:$H$92&gt;=Finance!T$3),Headcount!$N$6:$N$92,Headcount!$L$6:$L$92)/12),0),IF(YEAR(T$3)=YEAR(Headcount!$O$4),IF((T$5&lt;=12),(SUMPRODUCT(--(Headcount!$F$6:$F$92="Finance"),--(Headcount!$H$6:$H$92&gt;=Finance!T$3),Headcount!$O$6:$O$92,Headcount!$L$6:$L$92)/12),0),IF(YEAR(T$3)=YEAR(Headcount!$P$4),IF((T$5&lt;=12),(SUMPRODUCT(--(Headcount!$F$6:$F$92="Finance"),--(Headcount!$H$6:$H$92&gt;=Finance!T$3),Headcount!$P$6:$P$92,Headcount!$L$6:$L$92)/12),0),IF(YEAR(T$3)=YEAR(Headcount!$Q$4),IF((T$5&lt;=12),(SUMPRODUCT(--(Headcount!$F$6:$F$92="Finance"),--(Headcount!$H$6:$H$92&gt;=Finance!T$3),Headcount!$Q$6:$Q$92,Headcount!$L$6:$L$92)/12),0),IF(YEAR(T$3)=YEAR(Headcount!$R$4),IF((T$5&lt;=12),(SUMPRODUCT(--(Headcount!$F$6:$F$92="Finance"),--(Headcount!$H$6:$H$92&gt;=Finance!T$3),Headcount!$R$6:$R$92,Headcount!$L$6:$L$92)/12),0),"New Year"))))),SUMIF('Dept. Cost Actuals'!$E$7:$E$176,"*bonus*",'Dept. Cost Actuals'!X$529:X$628))</f>
        <v>3770.83</v>
      </c>
      <c r="U16" s="668">
        <f ca="1">IF(U$4="forecast",IF(YEAR(U$3)=YEAR(Headcount!$N$4),IF((U$5&lt;12),(SUMPRODUCT(--(Headcount!$F$6:$F$92="Finance"),--(Headcount!$H$6:$H$92&gt;=Finance!U$3),Headcount!$N$6:$N$92,Headcount!$L$6:$L$92)/12),0),IF(YEAR(U$3)=YEAR(Headcount!$O$4),IF((U$5&lt;=12),(SUMPRODUCT(--(Headcount!$F$6:$F$92="Finance"),--(Headcount!$H$6:$H$92&gt;=Finance!U$3),Headcount!$O$6:$O$92,Headcount!$L$6:$L$92)/12),0),IF(YEAR(U$3)=YEAR(Headcount!$P$4),IF((U$5&lt;=12),(SUMPRODUCT(--(Headcount!$F$6:$F$92="Finance"),--(Headcount!$H$6:$H$92&gt;=Finance!U$3),Headcount!$P$6:$P$92,Headcount!$L$6:$L$92)/12),0),IF(YEAR(U$3)=YEAR(Headcount!$Q$4),IF((U$5&lt;=12),(SUMPRODUCT(--(Headcount!$F$6:$F$92="Finance"),--(Headcount!$H$6:$H$92&gt;=Finance!U$3),Headcount!$Q$6:$Q$92,Headcount!$L$6:$L$92)/12),0),IF(YEAR(U$3)=YEAR(Headcount!$R$4),IF((U$5&lt;=12),(SUMPRODUCT(--(Headcount!$F$6:$F$92="Finance"),--(Headcount!$H$6:$H$92&gt;=Finance!U$3),Headcount!$R$6:$R$92,Headcount!$L$6:$L$92)/12),0),"New Year"))))),SUMIF('Dept. Cost Actuals'!$E$7:$E$176,"*bonus*",'Dept. Cost Actuals'!Y$529:Y$628))</f>
        <v>4763.42</v>
      </c>
      <c r="V16" s="668">
        <f ca="1">IF(V$4="forecast",IF(YEAR(V$3)=YEAR(Headcount!$N$4),IF((V$5&lt;12),(SUMPRODUCT(--(Headcount!$F$6:$F$92="Finance"),--(Headcount!$H$6:$H$92&gt;=Finance!V$3),Headcount!$N$6:$N$92,Headcount!$L$6:$L$92)/12),0),IF(YEAR(V$3)=YEAR(Headcount!$O$4),IF((V$5&lt;=12),(SUMPRODUCT(--(Headcount!$F$6:$F$92="Finance"),--(Headcount!$H$6:$H$92&gt;=Finance!V$3),Headcount!$O$6:$O$92,Headcount!$L$6:$L$92)/12),0),IF(YEAR(V$3)=YEAR(Headcount!$P$4),IF((V$5&lt;=12),(SUMPRODUCT(--(Headcount!$F$6:$F$92="Finance"),--(Headcount!$H$6:$H$92&gt;=Finance!V$3),Headcount!$P$6:$P$92,Headcount!$L$6:$L$92)/12),0),IF(YEAR(V$3)=YEAR(Headcount!$Q$4),IF((V$5&lt;=12),(SUMPRODUCT(--(Headcount!$F$6:$F$92="Finance"),--(Headcount!$H$6:$H$92&gt;=Finance!V$3),Headcount!$Q$6:$Q$92,Headcount!$L$6:$L$92)/12),0),IF(YEAR(V$3)=YEAR(Headcount!$R$4),IF((V$5&lt;=12),(SUMPRODUCT(--(Headcount!$F$6:$F$92="Finance"),--(Headcount!$H$6:$H$92&gt;=Finance!V$3),Headcount!$R$6:$R$92,Headcount!$L$6:$L$92)/12),0),"New Year"))))),SUMIF('Dept. Cost Actuals'!$E$7:$E$176,"*bonus*",'Dept. Cost Actuals'!Z$529:Z$628))</f>
        <v>3770.83</v>
      </c>
      <c r="W16" s="668">
        <f ca="1">IF(W$4="forecast",IF(YEAR(W$3)=YEAR(Headcount!$N$4),IF((W$5&lt;12),(SUMPRODUCT(--(Headcount!$F$6:$F$92="Finance"),--(Headcount!$H$6:$H$92&gt;=Finance!W$3),Headcount!$N$6:$N$92,Headcount!$L$6:$L$92)/12),0),IF(YEAR(W$3)=YEAR(Headcount!$O$4),IF((W$5&lt;=12),(SUMPRODUCT(--(Headcount!$F$6:$F$92="Finance"),--(Headcount!$H$6:$H$92&gt;=Finance!W$3),Headcount!$O$6:$O$92,Headcount!$L$6:$L$92)/12),0),IF(YEAR(W$3)=YEAR(Headcount!$P$4),IF((W$5&lt;=12),(SUMPRODUCT(--(Headcount!$F$6:$F$92="Finance"),--(Headcount!$H$6:$H$92&gt;=Finance!W$3),Headcount!$P$6:$P$92,Headcount!$L$6:$L$92)/12),0),IF(YEAR(W$3)=YEAR(Headcount!$Q$4),IF((W$5&lt;=12),(SUMPRODUCT(--(Headcount!$F$6:$F$92="Finance"),--(Headcount!$H$6:$H$92&gt;=Finance!W$3),Headcount!$Q$6:$Q$92,Headcount!$L$6:$L$92)/12),0),IF(YEAR(W$3)=YEAR(Headcount!$R$4),IF((W$5&lt;=12),(SUMPRODUCT(--(Headcount!$F$6:$F$92="Finance"),--(Headcount!$H$6:$H$92&gt;=Finance!W$3),Headcount!$R$6:$R$92,Headcount!$L$6:$L$92)/12),0),"New Year"))))),SUMIF('Dept. Cost Actuals'!$E$7:$E$176,"*bonus*",'Dept. Cost Actuals'!AA$529:AA$628))</f>
        <v>4015.82</v>
      </c>
      <c r="X16" s="668">
        <f ca="1">IF(X$4="forecast",IF(YEAR(X$3)=YEAR(Headcount!$N$4),IF((X$5&lt;12),(SUMPRODUCT(--(Headcount!$F$6:$F$92="Finance"),--(Headcount!$H$6:$H$92&gt;=Finance!X$3),Headcount!$N$6:$N$92,Headcount!$L$6:$L$92)/12),0),IF(YEAR(X$3)=YEAR(Headcount!$O$4),IF((X$5&lt;=12),(SUMPRODUCT(--(Headcount!$F$6:$F$92="Finance"),--(Headcount!$H$6:$H$92&gt;=Finance!X$3),Headcount!$O$6:$O$92,Headcount!$L$6:$L$92)/12),0),IF(YEAR(X$3)=YEAR(Headcount!$P$4),IF((X$5&lt;=12),(SUMPRODUCT(--(Headcount!$F$6:$F$92="Finance"),--(Headcount!$H$6:$H$92&gt;=Finance!X$3),Headcount!$P$6:$P$92,Headcount!$L$6:$L$92)/12),0),IF(YEAR(X$3)=YEAR(Headcount!$Q$4),IF((X$5&lt;=12),(SUMPRODUCT(--(Headcount!$F$6:$F$92="Finance"),--(Headcount!$H$6:$H$92&gt;=Finance!X$3),Headcount!$Q$6:$Q$92,Headcount!$L$6:$L$92)/12),0),IF(YEAR(X$3)=YEAR(Headcount!$R$4),IF((X$5&lt;=12),(SUMPRODUCT(--(Headcount!$F$6:$F$92="Finance"),--(Headcount!$H$6:$H$92&gt;=Finance!X$3),Headcount!$R$6:$R$92,Headcount!$L$6:$L$92)/12),0),"New Year"))))),SUMIF('Dept. Cost Actuals'!$E$7:$E$176,"*bonus*",'Dept. Cost Actuals'!AB$529:AB$628))</f>
        <v>4763.42</v>
      </c>
      <c r="Y16" s="668">
        <f ca="1">IF(Y$4="forecast",IF(YEAR(Y$3)=YEAR(Headcount!$N$4),IF((Y$5&lt;12),(SUMPRODUCT(--(Headcount!$F$6:$F$92="Finance"),--(Headcount!$H$6:$H$92&gt;=Finance!Y$3),Headcount!$N$6:$N$92,Headcount!$L$6:$L$92)/12),0),IF(YEAR(Y$3)=YEAR(Headcount!$O$4),IF((Y$5&lt;=12),(SUMPRODUCT(--(Headcount!$F$6:$F$92="Finance"),--(Headcount!$H$6:$H$92&gt;=Finance!Y$3),Headcount!$O$6:$O$92,Headcount!$L$6:$L$92)/12),0),IF(YEAR(Y$3)=YEAR(Headcount!$P$4),IF((Y$5&lt;=12),(SUMPRODUCT(--(Headcount!$F$6:$F$92="Finance"),--(Headcount!$H$6:$H$92&gt;=Finance!Y$3),Headcount!$P$6:$P$92,Headcount!$L$6:$L$92)/12),0),IF(YEAR(Y$3)=YEAR(Headcount!$Q$4),IF((Y$5&lt;=12),(SUMPRODUCT(--(Headcount!$F$6:$F$92="Finance"),--(Headcount!$H$6:$H$92&gt;=Finance!Y$3),Headcount!$Q$6:$Q$92,Headcount!$L$6:$L$92)/12),0),IF(YEAR(Y$3)=YEAR(Headcount!$R$4),IF((Y$5&lt;=12),(SUMPRODUCT(--(Headcount!$F$6:$F$92="Finance"),--(Headcount!$H$6:$H$92&gt;=Finance!Y$3),Headcount!$R$6:$R$92,Headcount!$L$6:$L$92)/12),0),"New Year"))))),SUMIF('Dept. Cost Actuals'!$E$7:$E$176,"*bonus*",'Dept. Cost Actuals'!AC$529:AC$628))</f>
        <v>3815.83</v>
      </c>
      <c r="Z16" s="668">
        <f ca="1">IF(Z$4="forecast",IF(YEAR(Z$3)=YEAR(Headcount!$N$4),IF((Z$5&lt;12),(SUMPRODUCT(--(Headcount!$F$6:$F$92="Finance"),--(Headcount!$H$6:$H$92&gt;=Finance!Z$3),Headcount!$N$6:$N$92,Headcount!$L$6:$L$92)/12),0),IF(YEAR(Z$3)=YEAR(Headcount!$O$4),IF((Z$5&lt;=12),(SUMPRODUCT(--(Headcount!$F$6:$F$92="Finance"),--(Headcount!$H$6:$H$92&gt;=Finance!Z$3),Headcount!$O$6:$O$92,Headcount!$L$6:$L$92)/12),0),IF(YEAR(Z$3)=YEAR(Headcount!$P$4),IF((Z$5&lt;=12),(SUMPRODUCT(--(Headcount!$F$6:$F$92="Finance"),--(Headcount!$H$6:$H$92&gt;=Finance!Z$3),Headcount!$P$6:$P$92,Headcount!$L$6:$L$92)/12),0),IF(YEAR(Z$3)=YEAR(Headcount!$Q$4),IF((Z$5&lt;=12),(SUMPRODUCT(--(Headcount!$F$6:$F$92="Finance"),--(Headcount!$H$6:$H$92&gt;=Finance!Z$3),Headcount!$Q$6:$Q$92,Headcount!$L$6:$L$92)/12),0),IF(YEAR(Z$3)=YEAR(Headcount!$R$4),IF((Z$5&lt;=12),(SUMPRODUCT(--(Headcount!$F$6:$F$92="Finance"),--(Headcount!$H$6:$H$92&gt;=Finance!Z$3),Headcount!$R$6:$R$92,Headcount!$L$6:$L$92)/12),0),"New Year"))))),SUMIF('Dept. Cost Actuals'!$E$7:$E$176,"*bonus*",'Dept. Cost Actuals'!AD$529:AD$628))</f>
        <v>-15197.26</v>
      </c>
      <c r="AA16" s="668">
        <f ca="1">IF(AA$4="forecast",IF(YEAR(AA$3)=YEAR(Headcount!$N$4),IF((AA$5&lt;12),(SUMPRODUCT(--(Headcount!$F$6:$F$92="Finance"),--(Headcount!$H$6:$H$92&gt;=Finance!AA$3),Headcount!$N$6:$N$92,Headcount!$L$6:$L$92)/12),0),IF(YEAR(AA$3)=YEAR(Headcount!$O$4),IF((AA$5&lt;=12),(SUMPRODUCT(--(Headcount!$F$6:$F$92="Finance"),--(Headcount!$H$6:$H$92&gt;=Finance!AA$3),Headcount!$O$6:$O$92,Headcount!$L$6:$L$92)/12),0),IF(YEAR(AA$3)=YEAR(Headcount!$P$4),IF((AA$5&lt;=12),(SUMPRODUCT(--(Headcount!$F$6:$F$92="Finance"),--(Headcount!$H$6:$H$92&gt;=Finance!AA$3),Headcount!$P$6:$P$92,Headcount!$L$6:$L$92)/12),0),IF(YEAR(AA$3)=YEAR(Headcount!$Q$4),IF((AA$5&lt;=12),(SUMPRODUCT(--(Headcount!$F$6:$F$92="Finance"),--(Headcount!$H$6:$H$92&gt;=Finance!AA$3),Headcount!$Q$6:$Q$92,Headcount!$L$6:$L$92)/12),0),IF(YEAR(AA$3)=YEAR(Headcount!$R$4),IF((AA$5&lt;=12),(SUMPRODUCT(--(Headcount!$F$6:$F$92="Finance"),--(Headcount!$H$6:$H$92&gt;=Finance!AA$3),Headcount!$R$6:$R$92,Headcount!$L$6:$L$92)/12),0),"New Year"))))),SUMIF('Dept. Cost Actuals'!$E$7:$E$176,"*bonus*",'Dept. Cost Actuals'!AE$529:AE$628))</f>
        <v>3994.72</v>
      </c>
      <c r="AB16" s="668">
        <f ca="1">IF(AB$4="forecast",IF(YEAR(AB$3)=YEAR(Headcount!$N$4),IF((AB$5&lt;12),(SUMPRODUCT(--(Headcount!$F$6:$F$92="Finance"),--(Headcount!$H$6:$H$92&gt;=Finance!AB$3),Headcount!$N$6:$N$92,Headcount!$L$6:$L$92)/12),0),IF(YEAR(AB$3)=YEAR(Headcount!$O$4),IF((AB$5&lt;=12),(SUMPRODUCT(--(Headcount!$F$6:$F$92="Finance"),--(Headcount!$H$6:$H$92&gt;=Finance!AB$3),Headcount!$O$6:$O$92,Headcount!$L$6:$L$92)/12),0),IF(YEAR(AB$3)=YEAR(Headcount!$P$4),IF((AB$5&lt;=12),(SUMPRODUCT(--(Headcount!$F$6:$F$92="Finance"),--(Headcount!$H$6:$H$92&gt;=Finance!AB$3),Headcount!$P$6:$P$92,Headcount!$L$6:$L$92)/12),0),IF(YEAR(AB$3)=YEAR(Headcount!$Q$4),IF((AB$5&lt;=12),(SUMPRODUCT(--(Headcount!$F$6:$F$92="Finance"),--(Headcount!$H$6:$H$92&gt;=Finance!AB$3),Headcount!$Q$6:$Q$92,Headcount!$L$6:$L$92)/12),0),IF(YEAR(AB$3)=YEAR(Headcount!$R$4),IF((AB$5&lt;=12),(SUMPRODUCT(--(Headcount!$F$6:$F$92="Finance"),--(Headcount!$H$6:$H$92&gt;=Finance!AB$3),Headcount!$R$6:$R$92,Headcount!$L$6:$L$92)/12),0),"New Year"))))),SUMIF('Dept. Cost Actuals'!$E$7:$E$176,"*bonus*",'Dept. Cost Actuals'!AF$529:AF$628))</f>
        <v>3994.72</v>
      </c>
      <c r="AC16" s="668">
        <f ca="1">IF(AC$4="forecast",IF(YEAR(AC$3)=YEAR(Headcount!$N$4),IF((AC$5&lt;12),(SUMPRODUCT(--(Headcount!$F$6:$F$92="Finance"),--(Headcount!$H$6:$H$92&gt;=Finance!AC$3),Headcount!$N$6:$N$92,Headcount!$L$6:$L$92)/12),0),IF(YEAR(AC$3)=YEAR(Headcount!$O$4),IF((AC$5&lt;=12),(SUMPRODUCT(--(Headcount!$F$6:$F$92="Finance"),--(Headcount!$H$6:$H$92&gt;=Finance!AC$3),Headcount!$O$6:$O$92,Headcount!$L$6:$L$92)/12),0),IF(YEAR(AC$3)=YEAR(Headcount!$P$4),IF((AC$5&lt;=12),(SUMPRODUCT(--(Headcount!$F$6:$F$92="Finance"),--(Headcount!$H$6:$H$92&gt;=Finance!AC$3),Headcount!$P$6:$P$92,Headcount!$L$6:$L$92)/12),0),IF(YEAR(AC$3)=YEAR(Headcount!$Q$4),IF((AC$5&lt;=12),(SUMPRODUCT(--(Headcount!$F$6:$F$92="Finance"),--(Headcount!$H$6:$H$92&gt;=Finance!AC$3),Headcount!$Q$6:$Q$92,Headcount!$L$6:$L$92)/12),0),IF(YEAR(AC$3)=YEAR(Headcount!$R$4),IF((AC$5&lt;=12),(SUMPRODUCT(--(Headcount!$F$6:$F$92="Finance"),--(Headcount!$H$6:$H$92&gt;=Finance!AC$3),Headcount!$R$6:$R$92,Headcount!$L$6:$L$92)/12),0),"New Year"))))),SUMIF('Dept. Cost Actuals'!$E$7:$E$176,"*bonus*",'Dept. Cost Actuals'!AG$529:AG$628))</f>
        <v>3994.72</v>
      </c>
      <c r="AD16" s="668">
        <f>IF(AD$4="forecast",IF(YEAR(AD$3)=YEAR(Headcount!$N$4),IF((AD$5&lt;12),(SUMPRODUCT(--(Headcount!$F$6:$F$92="Finance"),--(Headcount!$H$6:$H$92&gt;=Finance!AD$3),Headcount!$N$6:$N$92,Headcount!$L$6:$L$92)/12),0),IF(YEAR(AD$3)=YEAR(Headcount!$O$4),IF((AD$5&lt;=12),(SUMPRODUCT(--(Headcount!$F$6:$F$92="Finance"),--(Headcount!$H$6:$H$92&gt;=Finance!AD$3),Headcount!$O$6:$O$92,Headcount!$L$6:$L$92)/12),0),IF(YEAR(AD$3)=YEAR(Headcount!$P$4),IF((AD$5&lt;=12),(SUMPRODUCT(--(Headcount!$F$6:$F$92="Finance"),--(Headcount!$H$6:$H$92&gt;=Finance!AD$3),Headcount!$P$6:$P$92,Headcount!$L$6:$L$92)/12),0),IF(YEAR(AD$3)=YEAR(Headcount!$Q$4),IF((AD$5&lt;=12),(SUMPRODUCT(--(Headcount!$F$6:$F$92="Finance"),--(Headcount!$H$6:$H$92&gt;=Finance!AD$3),Headcount!$Q$6:$Q$92,Headcount!$L$6:$L$92)/12),0),IF(YEAR(AD$3)=YEAR(Headcount!$R$4),IF((AD$5&lt;=12),(SUMPRODUCT(--(Headcount!$F$6:$F$92="Finance"),--(Headcount!$H$6:$H$92&gt;=Finance!AD$3),Headcount!$R$6:$R$92,Headcount!$L$6:$L$92)/12),0),"New Year"))))),SUMIF('Dept. Cost Actuals'!$E$7:$E$176,"*bonus*",'Dept. Cost Actuals'!AH$529:AH$628))</f>
        <v>2958.3333333333335</v>
      </c>
      <c r="AE16" s="668">
        <f>IF(AE$4="forecast",IF(YEAR(AE$3)=YEAR(Headcount!$N$4),IF((AE$5&lt;12),(SUMPRODUCT(--(Headcount!$F$6:$F$92="Finance"),--(Headcount!$H$6:$H$92&gt;=Finance!AE$3),Headcount!$N$6:$N$92,Headcount!$L$6:$L$92)/12),0),IF(YEAR(AE$3)=YEAR(Headcount!$O$4),IF((AE$5&lt;=12),(SUMPRODUCT(--(Headcount!$F$6:$F$92="Finance"),--(Headcount!$H$6:$H$92&gt;=Finance!AE$3),Headcount!$O$6:$O$92,Headcount!$L$6:$L$92)/12),0),IF(YEAR(AE$3)=YEAR(Headcount!$P$4),IF((AE$5&lt;=12),(SUMPRODUCT(--(Headcount!$F$6:$F$92="Finance"),--(Headcount!$H$6:$H$92&gt;=Finance!AE$3),Headcount!$P$6:$P$92,Headcount!$L$6:$L$92)/12),0),IF(YEAR(AE$3)=YEAR(Headcount!$Q$4),IF((AE$5&lt;=12),(SUMPRODUCT(--(Headcount!$F$6:$F$92="Finance"),--(Headcount!$H$6:$H$92&gt;=Finance!AE$3),Headcount!$Q$6:$Q$92,Headcount!$L$6:$L$92)/12),0),IF(YEAR(AE$3)=YEAR(Headcount!$R$4),IF((AE$5&lt;=12),(SUMPRODUCT(--(Headcount!$F$6:$F$92="Finance"),--(Headcount!$H$6:$H$92&gt;=Finance!AE$3),Headcount!$R$6:$R$92,Headcount!$L$6:$L$92)/12),0),"New Year"))))),SUMIF('Dept. Cost Actuals'!$E$7:$E$176,"*bonus*",'Dept. Cost Actuals'!AI$529:AI$628))</f>
        <v>2958.3333333333335</v>
      </c>
      <c r="AF16" s="668">
        <f>IF(AF$4="forecast",IF(YEAR(AF$3)=YEAR(Headcount!$N$4),IF((AF$5&lt;12),(SUMPRODUCT(--(Headcount!$F$6:$F$92="Finance"),--(Headcount!$H$6:$H$92&gt;=Finance!AF$3),Headcount!$N$6:$N$92,Headcount!$L$6:$L$92)/12),0),IF(YEAR(AF$3)=YEAR(Headcount!$O$4),IF((AF$5&lt;=12),(SUMPRODUCT(--(Headcount!$F$6:$F$92="Finance"),--(Headcount!$H$6:$H$92&gt;=Finance!AF$3),Headcount!$O$6:$O$92,Headcount!$L$6:$L$92)/12),0),IF(YEAR(AF$3)=YEAR(Headcount!$P$4),IF((AF$5&lt;=12),(SUMPRODUCT(--(Headcount!$F$6:$F$92="Finance"),--(Headcount!$H$6:$H$92&gt;=Finance!AF$3),Headcount!$P$6:$P$92,Headcount!$L$6:$L$92)/12),0),IF(YEAR(AF$3)=YEAR(Headcount!$Q$4),IF((AF$5&lt;=12),(SUMPRODUCT(--(Headcount!$F$6:$F$92="Finance"),--(Headcount!$H$6:$H$92&gt;=Finance!AF$3),Headcount!$Q$6:$Q$92,Headcount!$L$6:$L$92)/12),0),IF(YEAR(AF$3)=YEAR(Headcount!$R$4),IF((AF$5&lt;=12),(SUMPRODUCT(--(Headcount!$F$6:$F$92="Finance"),--(Headcount!$H$6:$H$92&gt;=Finance!AF$3),Headcount!$R$6:$R$92,Headcount!$L$6:$L$92)/12),0),"New Year"))))),SUMIF('Dept. Cost Actuals'!$E$7:$E$176,"*bonus*",'Dept. Cost Actuals'!AJ$529:AJ$628))</f>
        <v>2958.3333333333335</v>
      </c>
      <c r="AG16" s="668">
        <f>IF(AG$4="forecast",IF(YEAR(AG$3)=YEAR(Headcount!$N$4),IF((AG$5&lt;12),(SUMPRODUCT(--(Headcount!$F$6:$F$92="Finance"),--(Headcount!$H$6:$H$92&gt;=Finance!AG$3),Headcount!$N$6:$N$92,Headcount!$L$6:$L$92)/12),0),IF(YEAR(AG$3)=YEAR(Headcount!$O$4),IF((AG$5&lt;=12),(SUMPRODUCT(--(Headcount!$F$6:$F$92="Finance"),--(Headcount!$H$6:$H$92&gt;=Finance!AG$3),Headcount!$O$6:$O$92,Headcount!$L$6:$L$92)/12),0),IF(YEAR(AG$3)=YEAR(Headcount!$P$4),IF((AG$5&lt;=12),(SUMPRODUCT(--(Headcount!$F$6:$F$92="Finance"),--(Headcount!$H$6:$H$92&gt;=Finance!AG$3),Headcount!$P$6:$P$92,Headcount!$L$6:$L$92)/12),0),IF(YEAR(AG$3)=YEAR(Headcount!$Q$4),IF((AG$5&lt;=12),(SUMPRODUCT(--(Headcount!$F$6:$F$92="Finance"),--(Headcount!$H$6:$H$92&gt;=Finance!AG$3),Headcount!$Q$6:$Q$92,Headcount!$L$6:$L$92)/12),0),IF(YEAR(AG$3)=YEAR(Headcount!$R$4),IF((AG$5&lt;=12),(SUMPRODUCT(--(Headcount!$F$6:$F$92="Finance"),--(Headcount!$H$6:$H$92&gt;=Finance!AG$3),Headcount!$R$6:$R$92,Headcount!$L$6:$L$92)/12),0),"New Year"))))),SUMIF('Dept. Cost Actuals'!$E$7:$E$176,"*bonus*",'Dept. Cost Actuals'!AK$529:AK$628))</f>
        <v>2958.3333333333335</v>
      </c>
      <c r="AH16" s="668">
        <f>IF(AH$4="forecast",IF(YEAR(AH$3)=YEAR(Headcount!$N$4),IF((AH$5&lt;12),(SUMPRODUCT(--(Headcount!$F$6:$F$92="Finance"),--(Headcount!$H$6:$H$92&gt;=Finance!AH$3),Headcount!$N$6:$N$92,Headcount!$L$6:$L$92)/12),0),IF(YEAR(AH$3)=YEAR(Headcount!$O$4),IF((AH$5&lt;=12),(SUMPRODUCT(--(Headcount!$F$6:$F$92="Finance"),--(Headcount!$H$6:$H$92&gt;=Finance!AH$3),Headcount!$O$6:$O$92,Headcount!$L$6:$L$92)/12),0),IF(YEAR(AH$3)=YEAR(Headcount!$P$4),IF((AH$5&lt;=12),(SUMPRODUCT(--(Headcount!$F$6:$F$92="Finance"),--(Headcount!$H$6:$H$92&gt;=Finance!AH$3),Headcount!$P$6:$P$92,Headcount!$L$6:$L$92)/12),0),IF(YEAR(AH$3)=YEAR(Headcount!$Q$4),IF((AH$5&lt;=12),(SUMPRODUCT(--(Headcount!$F$6:$F$92="Finance"),--(Headcount!$H$6:$H$92&gt;=Finance!AH$3),Headcount!$Q$6:$Q$92,Headcount!$L$6:$L$92)/12),0),IF(YEAR(AH$3)=YEAR(Headcount!$R$4),IF((AH$5&lt;=12),(SUMPRODUCT(--(Headcount!$F$6:$F$92="Finance"),--(Headcount!$H$6:$H$92&gt;=Finance!AH$3),Headcount!$R$6:$R$92,Headcount!$L$6:$L$92)/12),0),"New Year"))))),SUMIF('Dept. Cost Actuals'!$E$7:$E$176,"*bonus*",'Dept. Cost Actuals'!AL$529:AL$628))</f>
        <v>2958.3333333333335</v>
      </c>
      <c r="AI16" s="668">
        <f>IF(AI$4="forecast",IF(YEAR(AI$3)=YEAR(Headcount!$N$4),IF((AI$5&lt;12),(SUMPRODUCT(--(Headcount!$F$6:$F$92="Finance"),--(Headcount!$H$6:$H$92&gt;=Finance!AI$3),Headcount!$N$6:$N$92,Headcount!$L$6:$L$92)/12),0),IF(YEAR(AI$3)=YEAR(Headcount!$O$4),IF((AI$5&lt;=12),(SUMPRODUCT(--(Headcount!$F$6:$F$92="Finance"),--(Headcount!$H$6:$H$92&gt;=Finance!AI$3),Headcount!$O$6:$O$92,Headcount!$L$6:$L$92)/12),0),IF(YEAR(AI$3)=YEAR(Headcount!$P$4),IF((AI$5&lt;=12),(SUMPRODUCT(--(Headcount!$F$6:$F$92="Finance"),--(Headcount!$H$6:$H$92&gt;=Finance!AI$3),Headcount!$P$6:$P$92,Headcount!$L$6:$L$92)/12),0),IF(YEAR(AI$3)=YEAR(Headcount!$Q$4),IF((AI$5&lt;=12),(SUMPRODUCT(--(Headcount!$F$6:$F$92="Finance"),--(Headcount!$H$6:$H$92&gt;=Finance!AI$3),Headcount!$Q$6:$Q$92,Headcount!$L$6:$L$92)/12),0),IF(YEAR(AI$3)=YEAR(Headcount!$R$4),IF((AI$5&lt;=12),(SUMPRODUCT(--(Headcount!$F$6:$F$92="Finance"),--(Headcount!$H$6:$H$92&gt;=Finance!AI$3),Headcount!$R$6:$R$92,Headcount!$L$6:$L$92)/12),0),"New Year"))))),SUMIF('Dept. Cost Actuals'!$E$7:$E$176,"*bonus*",'Dept. Cost Actuals'!AM$529:AM$628))</f>
        <v>2958.3333333333335</v>
      </c>
      <c r="AJ16" s="668">
        <f>IF(AJ$4="forecast",IF(YEAR(AJ$3)=YEAR(Headcount!$N$4),IF((AJ$5&lt;12),(SUMPRODUCT(--(Headcount!$F$6:$F$92="Finance"),--(Headcount!$H$6:$H$92&gt;=Finance!AJ$3),Headcount!$N$6:$N$92,Headcount!$L$6:$L$92)/12),0),IF(YEAR(AJ$3)=YEAR(Headcount!$O$4),IF((AJ$5&lt;=12),(SUMPRODUCT(--(Headcount!$F$6:$F$92="Finance"),--(Headcount!$H$6:$H$92&gt;=Finance!AJ$3),Headcount!$O$6:$O$92,Headcount!$L$6:$L$92)/12),0),IF(YEAR(AJ$3)=YEAR(Headcount!$P$4),IF((AJ$5&lt;=12),(SUMPRODUCT(--(Headcount!$F$6:$F$92="Finance"),--(Headcount!$H$6:$H$92&gt;=Finance!AJ$3),Headcount!$P$6:$P$92,Headcount!$L$6:$L$92)/12),0),IF(YEAR(AJ$3)=YEAR(Headcount!$Q$4),IF((AJ$5&lt;=12),(SUMPRODUCT(--(Headcount!$F$6:$F$92="Finance"),--(Headcount!$H$6:$H$92&gt;=Finance!AJ$3),Headcount!$Q$6:$Q$92,Headcount!$L$6:$L$92)/12),0),IF(YEAR(AJ$3)=YEAR(Headcount!$R$4),IF((AJ$5&lt;=12),(SUMPRODUCT(--(Headcount!$F$6:$F$92="Finance"),--(Headcount!$H$6:$H$92&gt;=Finance!AJ$3),Headcount!$R$6:$R$92,Headcount!$L$6:$L$92)/12),0),"New Year"))))),SUMIF('Dept. Cost Actuals'!$E$7:$E$176,"*bonus*",'Dept. Cost Actuals'!AN$529:AN$628))</f>
        <v>2958.3333333333335</v>
      </c>
      <c r="AK16" s="668">
        <f>IF(AK$4="forecast",IF(YEAR(AK$3)=YEAR(Headcount!$N$4),IF((AK$5&lt;12),(SUMPRODUCT(--(Headcount!$F$6:$F$92="Finance"),--(Headcount!$H$6:$H$92&gt;=Finance!AK$3),Headcount!$N$6:$N$92,Headcount!$L$6:$L$92)/12),0),IF(YEAR(AK$3)=YEAR(Headcount!$O$4),IF((AK$5&lt;=12),(SUMPRODUCT(--(Headcount!$F$6:$F$92="Finance"),--(Headcount!$H$6:$H$92&gt;=Finance!AK$3),Headcount!$O$6:$O$92,Headcount!$L$6:$L$92)/12),0),IF(YEAR(AK$3)=YEAR(Headcount!$P$4),IF((AK$5&lt;=12),(SUMPRODUCT(--(Headcount!$F$6:$F$92="Finance"),--(Headcount!$H$6:$H$92&gt;=Finance!AK$3),Headcount!$P$6:$P$92,Headcount!$L$6:$L$92)/12),0),IF(YEAR(AK$3)=YEAR(Headcount!$Q$4),IF((AK$5&lt;=12),(SUMPRODUCT(--(Headcount!$F$6:$F$92="Finance"),--(Headcount!$H$6:$H$92&gt;=Finance!AK$3),Headcount!$Q$6:$Q$92,Headcount!$L$6:$L$92)/12),0),IF(YEAR(AK$3)=YEAR(Headcount!$R$4),IF((AK$5&lt;=12),(SUMPRODUCT(--(Headcount!$F$6:$F$92="Finance"),--(Headcount!$H$6:$H$92&gt;=Finance!AK$3),Headcount!$R$6:$R$92,Headcount!$L$6:$L$92)/12),0),"New Year"))))),SUMIF('Dept. Cost Actuals'!$E$7:$E$176,"*bonus*",'Dept. Cost Actuals'!AO$529:AO$628))</f>
        <v>2958.3333333333335</v>
      </c>
      <c r="AL16" s="668">
        <f>IF(AL$4="forecast",IF(YEAR(AL$3)=YEAR(Headcount!$N$4),IF((AL$5&lt;12),(SUMPRODUCT(--(Headcount!$F$6:$F$92="Finance"),--(Headcount!$H$6:$H$92&gt;=Finance!AL$3),Headcount!$N$6:$N$92,Headcount!$L$6:$L$92)/12),0),IF(YEAR(AL$3)=YEAR(Headcount!$O$4),IF((AL$5&lt;=12),(SUMPRODUCT(--(Headcount!$F$6:$F$92="Finance"),--(Headcount!$H$6:$H$92&gt;=Finance!AL$3),Headcount!$O$6:$O$92,Headcount!$L$6:$L$92)/12),0),IF(YEAR(AL$3)=YEAR(Headcount!$P$4),IF((AL$5&lt;=12),(SUMPRODUCT(--(Headcount!$F$6:$F$92="Finance"),--(Headcount!$H$6:$H$92&gt;=Finance!AL$3),Headcount!$P$6:$P$92,Headcount!$L$6:$L$92)/12),0),IF(YEAR(AL$3)=YEAR(Headcount!$Q$4),IF((AL$5&lt;=12),(SUMPRODUCT(--(Headcount!$F$6:$F$92="Finance"),--(Headcount!$H$6:$H$92&gt;=Finance!AL$3),Headcount!$Q$6:$Q$92,Headcount!$L$6:$L$92)/12),0),IF(YEAR(AL$3)=YEAR(Headcount!$R$4),IF((AL$5&lt;=12),(SUMPRODUCT(--(Headcount!$F$6:$F$92="Finance"),--(Headcount!$H$6:$H$92&gt;=Finance!AL$3),Headcount!$R$6:$R$92,Headcount!$L$6:$L$92)/12),0),"New Year"))))),SUMIF('Dept. Cost Actuals'!$E$7:$E$176,"*bonus*",'Dept. Cost Actuals'!AP$529:AP$628))</f>
        <v>2958.3333333333335</v>
      </c>
      <c r="AM16" s="668">
        <f>IF(AM$4="forecast",IF(YEAR(AM$3)=YEAR(Headcount!$N$4),IF((AM$5&lt;12),(SUMPRODUCT(--(Headcount!$F$6:$F$92="Finance"),--(Headcount!$H$6:$H$92&gt;=Finance!AM$3),Headcount!$N$6:$N$92,Headcount!$L$6:$L$92)/12),0),IF(YEAR(AM$3)=YEAR(Headcount!$O$4),IF((AM$5&lt;=12),(SUMPRODUCT(--(Headcount!$F$6:$F$92="Finance"),--(Headcount!$H$6:$H$92&gt;=Finance!AM$3),Headcount!$O$6:$O$92,Headcount!$L$6:$L$92)/12),0),IF(YEAR(AM$3)=YEAR(Headcount!$P$4),IF((AM$5&lt;=12),(SUMPRODUCT(--(Headcount!$F$6:$F$92="Finance"),--(Headcount!$H$6:$H$92&gt;=Finance!AM$3),Headcount!$P$6:$P$92,Headcount!$L$6:$L$92)/12),0),IF(YEAR(AM$3)=YEAR(Headcount!$Q$4),IF((AM$5&lt;=12),(SUMPRODUCT(--(Headcount!$F$6:$F$92="Finance"),--(Headcount!$H$6:$H$92&gt;=Finance!AM$3),Headcount!$Q$6:$Q$92,Headcount!$L$6:$L$92)/12),0),IF(YEAR(AM$3)=YEAR(Headcount!$R$4),IF((AM$5&lt;=12),(SUMPRODUCT(--(Headcount!$F$6:$F$92="Finance"),--(Headcount!$H$6:$H$92&gt;=Finance!AM$3),Headcount!$R$6:$R$92,Headcount!$L$6:$L$92)/12),0),"New Year"))))),SUMIF('Dept. Cost Actuals'!$E$7:$E$176,"*bonus*",'Dept. Cost Actuals'!AQ$529:AQ$628))</f>
        <v>3047.0833333333335</v>
      </c>
      <c r="AN16" s="668">
        <f>IF(AN$4="forecast",IF(YEAR(AN$3)=YEAR(Headcount!$N$4),IF((AN$5&lt;12),(SUMPRODUCT(--(Headcount!$F$6:$F$92="Finance"),--(Headcount!$H$6:$H$92&gt;=Finance!AN$3),Headcount!$N$6:$N$92,Headcount!$L$6:$L$92)/12),0),IF(YEAR(AN$3)=YEAR(Headcount!$O$4),IF((AN$5&lt;=12),(SUMPRODUCT(--(Headcount!$F$6:$F$92="Finance"),--(Headcount!$H$6:$H$92&gt;=Finance!AN$3),Headcount!$O$6:$O$92,Headcount!$L$6:$L$92)/12),0),IF(YEAR(AN$3)=YEAR(Headcount!$P$4),IF((AN$5&lt;=12),(SUMPRODUCT(--(Headcount!$F$6:$F$92="Finance"),--(Headcount!$H$6:$H$92&gt;=Finance!AN$3),Headcount!$P$6:$P$92,Headcount!$L$6:$L$92)/12),0),IF(YEAR(AN$3)=YEAR(Headcount!$Q$4),IF((AN$5&lt;=12),(SUMPRODUCT(--(Headcount!$F$6:$F$92="Finance"),--(Headcount!$H$6:$H$92&gt;=Finance!AN$3),Headcount!$Q$6:$Q$92,Headcount!$L$6:$L$92)/12),0),IF(YEAR(AN$3)=YEAR(Headcount!$R$4),IF((AN$5&lt;=12),(SUMPRODUCT(--(Headcount!$F$6:$F$92="Finance"),--(Headcount!$H$6:$H$92&gt;=Finance!AN$3),Headcount!$R$6:$R$92,Headcount!$L$6:$L$92)/12),0),"New Year"))))),SUMIF('Dept. Cost Actuals'!$E$7:$E$176,"*bonus*",'Dept. Cost Actuals'!AR$529:AR$628))</f>
        <v>3047.0833333333335</v>
      </c>
      <c r="AO16" s="668">
        <f>IF(AO$4="forecast",IF(YEAR(AO$3)=YEAR(Headcount!$N$4),IF((AO$5&lt;12),(SUMPRODUCT(--(Headcount!$F$6:$F$92="Finance"),--(Headcount!$H$6:$H$92&gt;=Finance!AO$3),Headcount!$N$6:$N$92,Headcount!$L$6:$L$92)/12),0),IF(YEAR(AO$3)=YEAR(Headcount!$O$4),IF((AO$5&lt;=12),(SUMPRODUCT(--(Headcount!$F$6:$F$92="Finance"),--(Headcount!$H$6:$H$92&gt;=Finance!AO$3),Headcount!$O$6:$O$92,Headcount!$L$6:$L$92)/12),0),IF(YEAR(AO$3)=YEAR(Headcount!$P$4),IF((AO$5&lt;=12),(SUMPRODUCT(--(Headcount!$F$6:$F$92="Finance"),--(Headcount!$H$6:$H$92&gt;=Finance!AO$3),Headcount!$P$6:$P$92,Headcount!$L$6:$L$92)/12),0),IF(YEAR(AO$3)=YEAR(Headcount!$Q$4),IF((AO$5&lt;=12),(SUMPRODUCT(--(Headcount!$F$6:$F$92="Finance"),--(Headcount!$H$6:$H$92&gt;=Finance!AO$3),Headcount!$Q$6:$Q$92,Headcount!$L$6:$L$92)/12),0),IF(YEAR(AO$3)=YEAR(Headcount!$R$4),IF((AO$5&lt;=12),(SUMPRODUCT(--(Headcount!$F$6:$F$92="Finance"),--(Headcount!$H$6:$H$92&gt;=Finance!AO$3),Headcount!$R$6:$R$92,Headcount!$L$6:$L$92)/12),0),"New Year"))))),SUMIF('Dept. Cost Actuals'!$E$7:$E$176,"*bonus*",'Dept. Cost Actuals'!AS$529:AS$628))</f>
        <v>3047.0833333333335</v>
      </c>
      <c r="AP16" s="668">
        <f>IF(AP$4="forecast",IF(YEAR(AP$3)=YEAR(Headcount!$N$4),IF((AP$5&lt;12),(SUMPRODUCT(--(Headcount!$F$6:$F$92="Finance"),--(Headcount!$H$6:$H$92&gt;=Finance!AP$3),Headcount!$N$6:$N$92,Headcount!$L$6:$L$92)/12),0),IF(YEAR(AP$3)=YEAR(Headcount!$O$4),IF((AP$5&lt;=12),(SUMPRODUCT(--(Headcount!$F$6:$F$92="Finance"),--(Headcount!$H$6:$H$92&gt;=Finance!AP$3),Headcount!$O$6:$O$92,Headcount!$L$6:$L$92)/12),0),IF(YEAR(AP$3)=YEAR(Headcount!$P$4),IF((AP$5&lt;=12),(SUMPRODUCT(--(Headcount!$F$6:$F$92="Finance"),--(Headcount!$H$6:$H$92&gt;=Finance!AP$3),Headcount!$P$6:$P$92,Headcount!$L$6:$L$92)/12),0),IF(YEAR(AP$3)=YEAR(Headcount!$Q$4),IF((AP$5&lt;=12),(SUMPRODUCT(--(Headcount!$F$6:$F$92="Finance"),--(Headcount!$H$6:$H$92&gt;=Finance!AP$3),Headcount!$Q$6:$Q$92,Headcount!$L$6:$L$92)/12),0),IF(YEAR(AP$3)=YEAR(Headcount!$R$4),IF((AP$5&lt;=12),(SUMPRODUCT(--(Headcount!$F$6:$F$92="Finance"),--(Headcount!$H$6:$H$92&gt;=Finance!AP$3),Headcount!$R$6:$R$92,Headcount!$L$6:$L$92)/12),0),"New Year"))))),SUMIF('Dept. Cost Actuals'!$E$7:$E$176,"*bonus*",'Dept. Cost Actuals'!AT$529:AT$628))</f>
        <v>3047.0833333333335</v>
      </c>
      <c r="AQ16" s="668">
        <f>IF(AQ$4="forecast",IF(YEAR(AQ$3)=YEAR(Headcount!$N$4),IF((AQ$5&lt;12),(SUMPRODUCT(--(Headcount!$F$6:$F$92="Finance"),--(Headcount!$H$6:$H$92&gt;=Finance!AQ$3),Headcount!$N$6:$N$92,Headcount!$L$6:$L$92)/12),0),IF(YEAR(AQ$3)=YEAR(Headcount!$O$4),IF((AQ$5&lt;=12),(SUMPRODUCT(--(Headcount!$F$6:$F$92="Finance"),--(Headcount!$H$6:$H$92&gt;=Finance!AQ$3),Headcount!$O$6:$O$92,Headcount!$L$6:$L$92)/12),0),IF(YEAR(AQ$3)=YEAR(Headcount!$P$4),IF((AQ$5&lt;=12),(SUMPRODUCT(--(Headcount!$F$6:$F$92="Finance"),--(Headcount!$H$6:$H$92&gt;=Finance!AQ$3),Headcount!$P$6:$P$92,Headcount!$L$6:$L$92)/12),0),IF(YEAR(AQ$3)=YEAR(Headcount!$Q$4),IF((AQ$5&lt;=12),(SUMPRODUCT(--(Headcount!$F$6:$F$92="Finance"),--(Headcount!$H$6:$H$92&gt;=Finance!AQ$3),Headcount!$Q$6:$Q$92,Headcount!$L$6:$L$92)/12),0),IF(YEAR(AQ$3)=YEAR(Headcount!$R$4),IF((AQ$5&lt;=12),(SUMPRODUCT(--(Headcount!$F$6:$F$92="Finance"),--(Headcount!$H$6:$H$92&gt;=Finance!AQ$3),Headcount!$R$6:$R$92,Headcount!$L$6:$L$92)/12),0),"New Year"))))),SUMIF('Dept. Cost Actuals'!$E$7:$E$176,"*bonus*",'Dept. Cost Actuals'!AU$529:AU$628))</f>
        <v>3047.0833333333335</v>
      </c>
      <c r="AR16" s="668">
        <f>IF(AR$4="forecast",IF(YEAR(AR$3)=YEAR(Headcount!$N$4),IF((AR$5&lt;12),(SUMPRODUCT(--(Headcount!$F$6:$F$92="Finance"),--(Headcount!$H$6:$H$92&gt;=Finance!AR$3),Headcount!$N$6:$N$92,Headcount!$L$6:$L$92)/12),0),IF(YEAR(AR$3)=YEAR(Headcount!$O$4),IF((AR$5&lt;=12),(SUMPRODUCT(--(Headcount!$F$6:$F$92="Finance"),--(Headcount!$H$6:$H$92&gt;=Finance!AR$3),Headcount!$O$6:$O$92,Headcount!$L$6:$L$92)/12),0),IF(YEAR(AR$3)=YEAR(Headcount!$P$4),IF((AR$5&lt;=12),(SUMPRODUCT(--(Headcount!$F$6:$F$92="Finance"),--(Headcount!$H$6:$H$92&gt;=Finance!AR$3),Headcount!$P$6:$P$92,Headcount!$L$6:$L$92)/12),0),IF(YEAR(AR$3)=YEAR(Headcount!$Q$4),IF((AR$5&lt;=12),(SUMPRODUCT(--(Headcount!$F$6:$F$92="Finance"),--(Headcount!$H$6:$H$92&gt;=Finance!AR$3),Headcount!$Q$6:$Q$92,Headcount!$L$6:$L$92)/12),0),IF(YEAR(AR$3)=YEAR(Headcount!$R$4),IF((AR$5&lt;=12),(SUMPRODUCT(--(Headcount!$F$6:$F$92="Finance"),--(Headcount!$H$6:$H$92&gt;=Finance!AR$3),Headcount!$R$6:$R$92,Headcount!$L$6:$L$92)/12),0),"New Year"))))),SUMIF('Dept. Cost Actuals'!$E$7:$E$176,"*bonus*",'Dept. Cost Actuals'!AV$529:AV$628))</f>
        <v>3047.0833333333335</v>
      </c>
      <c r="AS16" s="668">
        <f>IF(AS$4="forecast",IF(YEAR(AS$3)=YEAR(Headcount!$N$4),IF((AS$5&lt;12),(SUMPRODUCT(--(Headcount!$F$6:$F$92="Finance"),--(Headcount!$H$6:$H$92&gt;=Finance!AS$3),Headcount!$N$6:$N$92,Headcount!$L$6:$L$92)/12),0),IF(YEAR(AS$3)=YEAR(Headcount!$O$4),IF((AS$5&lt;=12),(SUMPRODUCT(--(Headcount!$F$6:$F$92="Finance"),--(Headcount!$H$6:$H$92&gt;=Finance!AS$3),Headcount!$O$6:$O$92,Headcount!$L$6:$L$92)/12),0),IF(YEAR(AS$3)=YEAR(Headcount!$P$4),IF((AS$5&lt;=12),(SUMPRODUCT(--(Headcount!$F$6:$F$92="Finance"),--(Headcount!$H$6:$H$92&gt;=Finance!AS$3),Headcount!$P$6:$P$92,Headcount!$L$6:$L$92)/12),0),IF(YEAR(AS$3)=YEAR(Headcount!$Q$4),IF((AS$5&lt;=12),(SUMPRODUCT(--(Headcount!$F$6:$F$92="Finance"),--(Headcount!$H$6:$H$92&gt;=Finance!AS$3),Headcount!$Q$6:$Q$92,Headcount!$L$6:$L$92)/12),0),IF(YEAR(AS$3)=YEAR(Headcount!$R$4),IF((AS$5&lt;=12),(SUMPRODUCT(--(Headcount!$F$6:$F$92="Finance"),--(Headcount!$H$6:$H$92&gt;=Finance!AS$3),Headcount!$R$6:$R$92,Headcount!$L$6:$L$92)/12),0),"New Year"))))),SUMIF('Dept. Cost Actuals'!$E$7:$E$176,"*bonus*",'Dept. Cost Actuals'!AW$529:AW$628))</f>
        <v>3047.0833333333335</v>
      </c>
      <c r="AT16" s="668">
        <f>IF(AT$4="forecast",IF(YEAR(AT$3)=YEAR(Headcount!$N$4),IF((AT$5&lt;12),(SUMPRODUCT(--(Headcount!$F$6:$F$92="Finance"),--(Headcount!$H$6:$H$92&gt;=Finance!AT$3),Headcount!$N$6:$N$92,Headcount!$L$6:$L$92)/12),0),IF(YEAR(AT$3)=YEAR(Headcount!$O$4),IF((AT$5&lt;=12),(SUMPRODUCT(--(Headcount!$F$6:$F$92="Finance"),--(Headcount!$H$6:$H$92&gt;=Finance!AT$3),Headcount!$O$6:$O$92,Headcount!$L$6:$L$92)/12),0),IF(YEAR(AT$3)=YEAR(Headcount!$P$4),IF((AT$5&lt;=12),(SUMPRODUCT(--(Headcount!$F$6:$F$92="Finance"),--(Headcount!$H$6:$H$92&gt;=Finance!AT$3),Headcount!$P$6:$P$92,Headcount!$L$6:$L$92)/12),0),IF(YEAR(AT$3)=YEAR(Headcount!$Q$4),IF((AT$5&lt;=12),(SUMPRODUCT(--(Headcount!$F$6:$F$92="Finance"),--(Headcount!$H$6:$H$92&gt;=Finance!AT$3),Headcount!$Q$6:$Q$92,Headcount!$L$6:$L$92)/12),0),IF(YEAR(AT$3)=YEAR(Headcount!$R$4),IF((AT$5&lt;=12),(SUMPRODUCT(--(Headcount!$F$6:$F$92="Finance"),--(Headcount!$H$6:$H$92&gt;=Finance!AT$3),Headcount!$R$6:$R$92,Headcount!$L$6:$L$92)/12),0),"New Year"))))),SUMIF('Dept. Cost Actuals'!$E$7:$E$176,"*bonus*",'Dept. Cost Actuals'!AX$529:AX$628))</f>
        <v>3047.0833333333335</v>
      </c>
      <c r="AU16" s="668">
        <f>IF(AU$4="forecast",IF(YEAR(AU$3)=YEAR(Headcount!$N$4),IF((AU$5&lt;12),(SUMPRODUCT(--(Headcount!$F$6:$F$92="Finance"),--(Headcount!$H$6:$H$92&gt;=Finance!AU$3),Headcount!$N$6:$N$92,Headcount!$L$6:$L$92)/12),0),IF(YEAR(AU$3)=YEAR(Headcount!$O$4),IF((AU$5&lt;=12),(SUMPRODUCT(--(Headcount!$F$6:$F$92="Finance"),--(Headcount!$H$6:$H$92&gt;=Finance!AU$3),Headcount!$O$6:$O$92,Headcount!$L$6:$L$92)/12),0),IF(YEAR(AU$3)=YEAR(Headcount!$P$4),IF((AU$5&lt;=12),(SUMPRODUCT(--(Headcount!$F$6:$F$92="Finance"),--(Headcount!$H$6:$H$92&gt;=Finance!AU$3),Headcount!$P$6:$P$92,Headcount!$L$6:$L$92)/12),0),IF(YEAR(AU$3)=YEAR(Headcount!$Q$4),IF((AU$5&lt;=12),(SUMPRODUCT(--(Headcount!$F$6:$F$92="Finance"),--(Headcount!$H$6:$H$92&gt;=Finance!AU$3),Headcount!$Q$6:$Q$92,Headcount!$L$6:$L$92)/12),0),IF(YEAR(AU$3)=YEAR(Headcount!$R$4),IF((AU$5&lt;=12),(SUMPRODUCT(--(Headcount!$F$6:$F$92="Finance"),--(Headcount!$H$6:$H$92&gt;=Finance!AU$3),Headcount!$R$6:$R$92,Headcount!$L$6:$L$92)/12),0),"New Year"))))),SUMIF('Dept. Cost Actuals'!$E$7:$E$176,"*bonus*",'Dept. Cost Actuals'!AY$529:AY$628))</f>
        <v>3047.0833333333335</v>
      </c>
      <c r="AV16" s="668">
        <f>IF(AV$4="forecast",IF(YEAR(AV$3)=YEAR(Headcount!$N$4),IF((AV$5&lt;12),(SUMPRODUCT(--(Headcount!$F$6:$F$92="Finance"),--(Headcount!$H$6:$H$92&gt;=Finance!AV$3),Headcount!$N$6:$N$92,Headcount!$L$6:$L$92)/12),0),IF(YEAR(AV$3)=YEAR(Headcount!$O$4),IF((AV$5&lt;=12),(SUMPRODUCT(--(Headcount!$F$6:$F$92="Finance"),--(Headcount!$H$6:$H$92&gt;=Finance!AV$3),Headcount!$O$6:$O$92,Headcount!$L$6:$L$92)/12),0),IF(YEAR(AV$3)=YEAR(Headcount!$P$4),IF((AV$5&lt;=12),(SUMPRODUCT(--(Headcount!$F$6:$F$92="Finance"),--(Headcount!$H$6:$H$92&gt;=Finance!AV$3),Headcount!$P$6:$P$92,Headcount!$L$6:$L$92)/12),0),IF(YEAR(AV$3)=YEAR(Headcount!$Q$4),IF((AV$5&lt;=12),(SUMPRODUCT(--(Headcount!$F$6:$F$92="Finance"),--(Headcount!$H$6:$H$92&gt;=Finance!AV$3),Headcount!$Q$6:$Q$92,Headcount!$L$6:$L$92)/12),0),IF(YEAR(AV$3)=YEAR(Headcount!$R$4),IF((AV$5&lt;=12),(SUMPRODUCT(--(Headcount!$F$6:$F$92="Finance"),--(Headcount!$H$6:$H$92&gt;=Finance!AV$3),Headcount!$R$6:$R$92,Headcount!$L$6:$L$92)/12),0),"New Year"))))),SUMIF('Dept. Cost Actuals'!$E$7:$E$176,"*bonus*",'Dept. Cost Actuals'!AZ$529:AZ$628))</f>
        <v>3047.0833333333335</v>
      </c>
      <c r="AW16" s="668">
        <f>IF(AW$4="forecast",IF(YEAR(AW$3)=YEAR(Headcount!$N$4),IF((AW$5&lt;12),(SUMPRODUCT(--(Headcount!$F$6:$F$92="Finance"),--(Headcount!$H$6:$H$92&gt;=Finance!AW$3),Headcount!$N$6:$N$92,Headcount!$L$6:$L$92)/12),0),IF(YEAR(AW$3)=YEAR(Headcount!$O$4),IF((AW$5&lt;=12),(SUMPRODUCT(--(Headcount!$F$6:$F$92="Finance"),--(Headcount!$H$6:$H$92&gt;=Finance!AW$3),Headcount!$O$6:$O$92,Headcount!$L$6:$L$92)/12),0),IF(YEAR(AW$3)=YEAR(Headcount!$P$4),IF((AW$5&lt;=12),(SUMPRODUCT(--(Headcount!$F$6:$F$92="Finance"),--(Headcount!$H$6:$H$92&gt;=Finance!AW$3),Headcount!$P$6:$P$92,Headcount!$L$6:$L$92)/12),0),IF(YEAR(AW$3)=YEAR(Headcount!$Q$4),IF((AW$5&lt;=12),(SUMPRODUCT(--(Headcount!$F$6:$F$92="Finance"),--(Headcount!$H$6:$H$92&gt;=Finance!AW$3),Headcount!$Q$6:$Q$92,Headcount!$L$6:$L$92)/12),0),IF(YEAR(AW$3)=YEAR(Headcount!$R$4),IF((AW$5&lt;=12),(SUMPRODUCT(--(Headcount!$F$6:$F$92="Finance"),--(Headcount!$H$6:$H$92&gt;=Finance!AW$3),Headcount!$R$6:$R$92,Headcount!$L$6:$L$92)/12),0),"New Year"))))),SUMIF('Dept. Cost Actuals'!$E$7:$E$176,"*bonus*",'Dept. Cost Actuals'!BA$529:BA$628))</f>
        <v>3047.0833333333335</v>
      </c>
      <c r="AX16" s="668">
        <f>IF(AX$4="forecast",IF(YEAR(AX$3)=YEAR(Headcount!$N$4),IF((AX$5&lt;12),(SUMPRODUCT(--(Headcount!$F$6:$F$92="Finance"),--(Headcount!$H$6:$H$92&gt;=Finance!AX$3),Headcount!$N$6:$N$92,Headcount!$L$6:$L$92)/12),0),IF(YEAR(AX$3)=YEAR(Headcount!$O$4),IF((AX$5&lt;=12),(SUMPRODUCT(--(Headcount!$F$6:$F$92="Finance"),--(Headcount!$H$6:$H$92&gt;=Finance!AX$3),Headcount!$O$6:$O$92,Headcount!$L$6:$L$92)/12),0),IF(YEAR(AX$3)=YEAR(Headcount!$P$4),IF((AX$5&lt;=12),(SUMPRODUCT(--(Headcount!$F$6:$F$92="Finance"),--(Headcount!$H$6:$H$92&gt;=Finance!AX$3),Headcount!$P$6:$P$92,Headcount!$L$6:$L$92)/12),0),IF(YEAR(AX$3)=YEAR(Headcount!$Q$4),IF((AX$5&lt;=12),(SUMPRODUCT(--(Headcount!$F$6:$F$92="Finance"),--(Headcount!$H$6:$H$92&gt;=Finance!AX$3),Headcount!$Q$6:$Q$92,Headcount!$L$6:$L$92)/12),0),IF(YEAR(AX$3)=YEAR(Headcount!$R$4),IF((AX$5&lt;=12),(SUMPRODUCT(--(Headcount!$F$6:$F$92="Finance"),--(Headcount!$H$6:$H$92&gt;=Finance!AX$3),Headcount!$R$6:$R$92,Headcount!$L$6:$L$92)/12),0),"New Year"))))),SUMIF('Dept. Cost Actuals'!$E$7:$E$176,"*bonus*",'Dept. Cost Actuals'!BB$529:BB$628))</f>
        <v>3047.0833333333335</v>
      </c>
      <c r="AY16" s="668">
        <f>IF(AY$4="forecast",IF(YEAR(AY$3)=YEAR(Headcount!$N$4),IF((AY$5&lt;12),(SUMPRODUCT(--(Headcount!$F$6:$F$92="Finance"),--(Headcount!$H$6:$H$92&gt;=Finance!AY$3),Headcount!$N$6:$N$92,Headcount!$L$6:$L$92)/12),0),IF(YEAR(AY$3)=YEAR(Headcount!$O$4),IF((AY$5&lt;=12),(SUMPRODUCT(--(Headcount!$F$6:$F$92="Finance"),--(Headcount!$H$6:$H$92&gt;=Finance!AY$3),Headcount!$O$6:$O$92,Headcount!$L$6:$L$92)/12),0),IF(YEAR(AY$3)=YEAR(Headcount!$P$4),IF((AY$5&lt;=12),(SUMPRODUCT(--(Headcount!$F$6:$F$92="Finance"),--(Headcount!$H$6:$H$92&gt;=Finance!AY$3),Headcount!$P$6:$P$92,Headcount!$L$6:$L$92)/12),0),IF(YEAR(AY$3)=YEAR(Headcount!$Q$4),IF((AY$5&lt;=12),(SUMPRODUCT(--(Headcount!$F$6:$F$92="Finance"),--(Headcount!$H$6:$H$92&gt;=Finance!AY$3),Headcount!$Q$6:$Q$92,Headcount!$L$6:$L$92)/12),0),IF(YEAR(AY$3)=YEAR(Headcount!$R$4),IF((AY$5&lt;=12),(SUMPRODUCT(--(Headcount!$F$6:$F$92="Finance"),--(Headcount!$H$6:$H$92&gt;=Finance!AY$3),Headcount!$R$6:$R$92,Headcount!$L$6:$L$92)/12),0),"New Year"))))),SUMIF('Dept. Cost Actuals'!$E$7:$E$176,"*bonus*",'Dept. Cost Actuals'!BC$529:BC$628))</f>
        <v>3138.4958333333329</v>
      </c>
      <c r="AZ16" s="668">
        <f>IF(AZ$4="forecast",IF(YEAR(AZ$3)=YEAR(Headcount!$N$4),IF((AZ$5&lt;12),(SUMPRODUCT(--(Headcount!$F$6:$F$92="Finance"),--(Headcount!$H$6:$H$92&gt;=Finance!AZ$3),Headcount!$N$6:$N$92,Headcount!$L$6:$L$92)/12),0),IF(YEAR(AZ$3)=YEAR(Headcount!$O$4),IF((AZ$5&lt;=12),(SUMPRODUCT(--(Headcount!$F$6:$F$92="Finance"),--(Headcount!$H$6:$H$92&gt;=Finance!AZ$3),Headcount!$O$6:$O$92,Headcount!$L$6:$L$92)/12),0),IF(YEAR(AZ$3)=YEAR(Headcount!$P$4),IF((AZ$5&lt;=12),(SUMPRODUCT(--(Headcount!$F$6:$F$92="Finance"),--(Headcount!$H$6:$H$92&gt;=Finance!AZ$3),Headcount!$P$6:$P$92,Headcount!$L$6:$L$92)/12),0),IF(YEAR(AZ$3)=YEAR(Headcount!$Q$4),IF((AZ$5&lt;=12),(SUMPRODUCT(--(Headcount!$F$6:$F$92="Finance"),--(Headcount!$H$6:$H$92&gt;=Finance!AZ$3),Headcount!$Q$6:$Q$92,Headcount!$L$6:$L$92)/12),0),IF(YEAR(AZ$3)=YEAR(Headcount!$R$4),IF((AZ$5&lt;=12),(SUMPRODUCT(--(Headcount!$F$6:$F$92="Finance"),--(Headcount!$H$6:$H$92&gt;=Finance!AZ$3),Headcount!$R$6:$R$92,Headcount!$L$6:$L$92)/12),0),"New Year"))))),SUMIF('Dept. Cost Actuals'!$E$7:$E$176,"*bonus*",'Dept. Cost Actuals'!BD$529:BD$628))</f>
        <v>3138.4958333333329</v>
      </c>
      <c r="BA16" s="668">
        <f>IF(BA$4="forecast",IF(YEAR(BA$3)=YEAR(Headcount!$N$4),IF((BA$5&lt;12),(SUMPRODUCT(--(Headcount!$F$6:$F$92="Finance"),--(Headcount!$H$6:$H$92&gt;=Finance!BA$3),Headcount!$N$6:$N$92,Headcount!$L$6:$L$92)/12),0),IF(YEAR(BA$3)=YEAR(Headcount!$O$4),IF((BA$5&lt;=12),(SUMPRODUCT(--(Headcount!$F$6:$F$92="Finance"),--(Headcount!$H$6:$H$92&gt;=Finance!BA$3),Headcount!$O$6:$O$92,Headcount!$L$6:$L$92)/12),0),IF(YEAR(BA$3)=YEAR(Headcount!$P$4),IF((BA$5&lt;=12),(SUMPRODUCT(--(Headcount!$F$6:$F$92="Finance"),--(Headcount!$H$6:$H$92&gt;=Finance!BA$3),Headcount!$P$6:$P$92,Headcount!$L$6:$L$92)/12),0),IF(YEAR(BA$3)=YEAR(Headcount!$Q$4),IF((BA$5&lt;=12),(SUMPRODUCT(--(Headcount!$F$6:$F$92="Finance"),--(Headcount!$H$6:$H$92&gt;=Finance!BA$3),Headcount!$Q$6:$Q$92,Headcount!$L$6:$L$92)/12),0),IF(YEAR(BA$3)=YEAR(Headcount!$R$4),IF((BA$5&lt;=12),(SUMPRODUCT(--(Headcount!$F$6:$F$92="Finance"),--(Headcount!$H$6:$H$92&gt;=Finance!BA$3),Headcount!$R$6:$R$92,Headcount!$L$6:$L$92)/12),0),"New Year"))))),SUMIF('Dept. Cost Actuals'!$E$7:$E$176,"*bonus*",'Dept. Cost Actuals'!BE$529:BE$628))</f>
        <v>3138.4958333333329</v>
      </c>
      <c r="BB16" s="668">
        <f>IF(BB$4="forecast",IF(YEAR(BB$3)=YEAR(Headcount!$N$4),IF((BB$5&lt;12),(SUMPRODUCT(--(Headcount!$F$6:$F$92="Finance"),--(Headcount!$H$6:$H$92&gt;=Finance!BB$3),Headcount!$N$6:$N$92,Headcount!$L$6:$L$92)/12),0),IF(YEAR(BB$3)=YEAR(Headcount!$O$4),IF((BB$5&lt;=12),(SUMPRODUCT(--(Headcount!$F$6:$F$92="Finance"),--(Headcount!$H$6:$H$92&gt;=Finance!BB$3),Headcount!$O$6:$O$92,Headcount!$L$6:$L$92)/12),0),IF(YEAR(BB$3)=YEAR(Headcount!$P$4),IF((BB$5&lt;=12),(SUMPRODUCT(--(Headcount!$F$6:$F$92="Finance"),--(Headcount!$H$6:$H$92&gt;=Finance!BB$3),Headcount!$P$6:$P$92,Headcount!$L$6:$L$92)/12),0),IF(YEAR(BB$3)=YEAR(Headcount!$Q$4),IF((BB$5&lt;=12),(SUMPRODUCT(--(Headcount!$F$6:$F$92="Finance"),--(Headcount!$H$6:$H$92&gt;=Finance!BB$3),Headcount!$Q$6:$Q$92,Headcount!$L$6:$L$92)/12),0),IF(YEAR(BB$3)=YEAR(Headcount!$R$4),IF((BB$5&lt;=12),(SUMPRODUCT(--(Headcount!$F$6:$F$92="Finance"),--(Headcount!$H$6:$H$92&gt;=Finance!BB$3),Headcount!$R$6:$R$92,Headcount!$L$6:$L$92)/12),0),"New Year"))))),SUMIF('Dept. Cost Actuals'!$E$7:$E$176,"*bonus*",'Dept. Cost Actuals'!BF$529:BF$628))</f>
        <v>3138.4958333333329</v>
      </c>
      <c r="BC16" s="668">
        <f>IF(BC$4="forecast",IF(YEAR(BC$3)=YEAR(Headcount!$N$4),IF((BC$5&lt;12),(SUMPRODUCT(--(Headcount!$F$6:$F$92="Finance"),--(Headcount!$H$6:$H$92&gt;=Finance!BC$3),Headcount!$N$6:$N$92,Headcount!$L$6:$L$92)/12),0),IF(YEAR(BC$3)=YEAR(Headcount!$O$4),IF((BC$5&lt;=12),(SUMPRODUCT(--(Headcount!$F$6:$F$92="Finance"),--(Headcount!$H$6:$H$92&gt;=Finance!BC$3),Headcount!$O$6:$O$92,Headcount!$L$6:$L$92)/12),0),IF(YEAR(BC$3)=YEAR(Headcount!$P$4),IF((BC$5&lt;=12),(SUMPRODUCT(--(Headcount!$F$6:$F$92="Finance"),--(Headcount!$H$6:$H$92&gt;=Finance!BC$3),Headcount!$P$6:$P$92,Headcount!$L$6:$L$92)/12),0),IF(YEAR(BC$3)=YEAR(Headcount!$Q$4),IF((BC$5&lt;=12),(SUMPRODUCT(--(Headcount!$F$6:$F$92="Finance"),--(Headcount!$H$6:$H$92&gt;=Finance!BC$3),Headcount!$Q$6:$Q$92,Headcount!$L$6:$L$92)/12),0),IF(YEAR(BC$3)=YEAR(Headcount!$R$4),IF((BC$5&lt;=12),(SUMPRODUCT(--(Headcount!$F$6:$F$92="Finance"),--(Headcount!$H$6:$H$92&gt;=Finance!BC$3),Headcount!$R$6:$R$92,Headcount!$L$6:$L$92)/12),0),"New Year"))))),SUMIF('Dept. Cost Actuals'!$E$7:$E$176,"*bonus*",'Dept. Cost Actuals'!BG$529:BG$628))</f>
        <v>3138.4958333333329</v>
      </c>
      <c r="BD16" s="668">
        <f>IF(BD$4="forecast",IF(YEAR(BD$3)=YEAR(Headcount!$N$4),IF((BD$5&lt;12),(SUMPRODUCT(--(Headcount!$F$6:$F$92="Finance"),--(Headcount!$H$6:$H$92&gt;=Finance!BD$3),Headcount!$N$6:$N$92,Headcount!$L$6:$L$92)/12),0),IF(YEAR(BD$3)=YEAR(Headcount!$O$4),IF((BD$5&lt;=12),(SUMPRODUCT(--(Headcount!$F$6:$F$92="Finance"),--(Headcount!$H$6:$H$92&gt;=Finance!BD$3),Headcount!$O$6:$O$92,Headcount!$L$6:$L$92)/12),0),IF(YEAR(BD$3)=YEAR(Headcount!$P$4),IF((BD$5&lt;=12),(SUMPRODUCT(--(Headcount!$F$6:$F$92="Finance"),--(Headcount!$H$6:$H$92&gt;=Finance!BD$3),Headcount!$P$6:$P$92,Headcount!$L$6:$L$92)/12),0),IF(YEAR(BD$3)=YEAR(Headcount!$Q$4),IF((BD$5&lt;=12),(SUMPRODUCT(--(Headcount!$F$6:$F$92="Finance"),--(Headcount!$H$6:$H$92&gt;=Finance!BD$3),Headcount!$Q$6:$Q$92,Headcount!$L$6:$L$92)/12),0),IF(YEAR(BD$3)=YEAR(Headcount!$R$4),IF((BD$5&lt;=12),(SUMPRODUCT(--(Headcount!$F$6:$F$92="Finance"),--(Headcount!$H$6:$H$92&gt;=Finance!BD$3),Headcount!$R$6:$R$92,Headcount!$L$6:$L$92)/12),0),"New Year"))))),SUMIF('Dept. Cost Actuals'!$E$7:$E$176,"*bonus*",'Dept. Cost Actuals'!BH$529:BH$628))</f>
        <v>3138.4958333333329</v>
      </c>
      <c r="BE16" s="668">
        <f>IF(BE$4="forecast",IF(YEAR(BE$3)=YEAR(Headcount!$N$4),IF((BE$5&lt;12),(SUMPRODUCT(--(Headcount!$F$6:$F$92="Finance"),--(Headcount!$H$6:$H$92&gt;=Finance!BE$3),Headcount!$N$6:$N$92,Headcount!$L$6:$L$92)/12),0),IF(YEAR(BE$3)=YEAR(Headcount!$O$4),IF((BE$5&lt;=12),(SUMPRODUCT(--(Headcount!$F$6:$F$92="Finance"),--(Headcount!$H$6:$H$92&gt;=Finance!BE$3),Headcount!$O$6:$O$92,Headcount!$L$6:$L$92)/12),0),IF(YEAR(BE$3)=YEAR(Headcount!$P$4),IF((BE$5&lt;=12),(SUMPRODUCT(--(Headcount!$F$6:$F$92="Finance"),--(Headcount!$H$6:$H$92&gt;=Finance!BE$3),Headcount!$P$6:$P$92,Headcount!$L$6:$L$92)/12),0),IF(YEAR(BE$3)=YEAR(Headcount!$Q$4),IF((BE$5&lt;=12),(SUMPRODUCT(--(Headcount!$F$6:$F$92="Finance"),--(Headcount!$H$6:$H$92&gt;=Finance!BE$3),Headcount!$Q$6:$Q$92,Headcount!$L$6:$L$92)/12),0),IF(YEAR(BE$3)=YEAR(Headcount!$R$4),IF((BE$5&lt;=12),(SUMPRODUCT(--(Headcount!$F$6:$F$92="Finance"),--(Headcount!$H$6:$H$92&gt;=Finance!BE$3),Headcount!$R$6:$R$92,Headcount!$L$6:$L$92)/12),0),"New Year"))))),SUMIF('Dept. Cost Actuals'!$E$7:$E$176,"*bonus*",'Dept. Cost Actuals'!BI$529:BI$628))</f>
        <v>3138.4958333333329</v>
      </c>
      <c r="BF16" s="668">
        <f>IF(BF$4="forecast",IF(YEAR(BF$3)=YEAR(Headcount!$N$4),IF((BF$5&lt;12),(SUMPRODUCT(--(Headcount!$F$6:$F$92="Finance"),--(Headcount!$H$6:$H$92&gt;=Finance!BF$3),Headcount!$N$6:$N$92,Headcount!$L$6:$L$92)/12),0),IF(YEAR(BF$3)=YEAR(Headcount!$O$4),IF((BF$5&lt;=12),(SUMPRODUCT(--(Headcount!$F$6:$F$92="Finance"),--(Headcount!$H$6:$H$92&gt;=Finance!BF$3),Headcount!$O$6:$O$92,Headcount!$L$6:$L$92)/12),0),IF(YEAR(BF$3)=YEAR(Headcount!$P$4),IF((BF$5&lt;=12),(SUMPRODUCT(--(Headcount!$F$6:$F$92="Finance"),--(Headcount!$H$6:$H$92&gt;=Finance!BF$3),Headcount!$P$6:$P$92,Headcount!$L$6:$L$92)/12),0),IF(YEAR(BF$3)=YEAR(Headcount!$Q$4),IF((BF$5&lt;=12),(SUMPRODUCT(--(Headcount!$F$6:$F$92="Finance"),--(Headcount!$H$6:$H$92&gt;=Finance!BF$3),Headcount!$Q$6:$Q$92,Headcount!$L$6:$L$92)/12),0),IF(YEAR(BF$3)=YEAR(Headcount!$R$4),IF((BF$5&lt;=12),(SUMPRODUCT(--(Headcount!$F$6:$F$92="Finance"),--(Headcount!$H$6:$H$92&gt;=Finance!BF$3),Headcount!$R$6:$R$92,Headcount!$L$6:$L$92)/12),0),"New Year"))))),SUMIF('Dept. Cost Actuals'!$E$7:$E$176,"*bonus*",'Dept. Cost Actuals'!BJ$529:BJ$628))</f>
        <v>3138.4958333333329</v>
      </c>
      <c r="BG16" s="668">
        <f>IF(BG$4="forecast",IF(YEAR(BG$3)=YEAR(Headcount!$N$4),IF((BG$5&lt;12),(SUMPRODUCT(--(Headcount!$F$6:$F$92="Finance"),--(Headcount!$H$6:$H$92&gt;=Finance!BG$3),Headcount!$N$6:$N$92,Headcount!$L$6:$L$92)/12),0),IF(YEAR(BG$3)=YEAR(Headcount!$O$4),IF((BG$5&lt;=12),(SUMPRODUCT(--(Headcount!$F$6:$F$92="Finance"),--(Headcount!$H$6:$H$92&gt;=Finance!BG$3),Headcount!$O$6:$O$92,Headcount!$L$6:$L$92)/12),0),IF(YEAR(BG$3)=YEAR(Headcount!$P$4),IF((BG$5&lt;=12),(SUMPRODUCT(--(Headcount!$F$6:$F$92="Finance"),--(Headcount!$H$6:$H$92&gt;=Finance!BG$3),Headcount!$P$6:$P$92,Headcount!$L$6:$L$92)/12),0),IF(YEAR(BG$3)=YEAR(Headcount!$Q$4),IF((BG$5&lt;=12),(SUMPRODUCT(--(Headcount!$F$6:$F$92="Finance"),--(Headcount!$H$6:$H$92&gt;=Finance!BG$3),Headcount!$Q$6:$Q$92,Headcount!$L$6:$L$92)/12),0),IF(YEAR(BG$3)=YEAR(Headcount!$R$4),IF((BG$5&lt;=12),(SUMPRODUCT(--(Headcount!$F$6:$F$92="Finance"),--(Headcount!$H$6:$H$92&gt;=Finance!BG$3),Headcount!$R$6:$R$92,Headcount!$L$6:$L$92)/12),0),"New Year"))))),SUMIF('Dept. Cost Actuals'!$E$7:$E$176,"*bonus*",'Dept. Cost Actuals'!BK$529:BK$628))</f>
        <v>3138.4958333333329</v>
      </c>
      <c r="BH16" s="668">
        <f>IF(BH$4="forecast",IF(YEAR(BH$3)=YEAR(Headcount!$N$4),IF((BH$5&lt;12),(SUMPRODUCT(--(Headcount!$F$6:$F$92="Finance"),--(Headcount!$H$6:$H$92&gt;=Finance!BH$3),Headcount!$N$6:$N$92,Headcount!$L$6:$L$92)/12),0),IF(YEAR(BH$3)=YEAR(Headcount!$O$4),IF((BH$5&lt;=12),(SUMPRODUCT(--(Headcount!$F$6:$F$92="Finance"),--(Headcount!$H$6:$H$92&gt;=Finance!BH$3),Headcount!$O$6:$O$92,Headcount!$L$6:$L$92)/12),0),IF(YEAR(BH$3)=YEAR(Headcount!$P$4),IF((BH$5&lt;=12),(SUMPRODUCT(--(Headcount!$F$6:$F$92="Finance"),--(Headcount!$H$6:$H$92&gt;=Finance!BH$3),Headcount!$P$6:$P$92,Headcount!$L$6:$L$92)/12),0),IF(YEAR(BH$3)=YEAR(Headcount!$Q$4),IF((BH$5&lt;=12),(SUMPRODUCT(--(Headcount!$F$6:$F$92="Finance"),--(Headcount!$H$6:$H$92&gt;=Finance!BH$3),Headcount!$Q$6:$Q$92,Headcount!$L$6:$L$92)/12),0),IF(YEAR(BH$3)=YEAR(Headcount!$R$4),IF((BH$5&lt;=12),(SUMPRODUCT(--(Headcount!$F$6:$F$92="Finance"),--(Headcount!$H$6:$H$92&gt;=Finance!BH$3),Headcount!$R$6:$R$92,Headcount!$L$6:$L$92)/12),0),"New Year"))))),SUMIF('Dept. Cost Actuals'!$E$7:$E$176,"*bonus*",'Dept. Cost Actuals'!BL$529:BL$628))</f>
        <v>3138.4958333333329</v>
      </c>
      <c r="BI16" s="668">
        <f>IF(BI$4="forecast",IF(YEAR(BI$3)=YEAR(Headcount!$N$4),IF((BI$5&lt;12),(SUMPRODUCT(--(Headcount!$F$6:$F$92="Finance"),--(Headcount!$H$6:$H$92&gt;=Finance!BI$3),Headcount!$N$6:$N$92,Headcount!$L$6:$L$92)/12),0),IF(YEAR(BI$3)=YEAR(Headcount!$O$4),IF((BI$5&lt;=12),(SUMPRODUCT(--(Headcount!$F$6:$F$92="Finance"),--(Headcount!$H$6:$H$92&gt;=Finance!BI$3),Headcount!$O$6:$O$92,Headcount!$L$6:$L$92)/12),0),IF(YEAR(BI$3)=YEAR(Headcount!$P$4),IF((BI$5&lt;=12),(SUMPRODUCT(--(Headcount!$F$6:$F$92="Finance"),--(Headcount!$H$6:$H$92&gt;=Finance!BI$3),Headcount!$P$6:$P$92,Headcount!$L$6:$L$92)/12),0),IF(YEAR(BI$3)=YEAR(Headcount!$Q$4),IF((BI$5&lt;=12),(SUMPRODUCT(--(Headcount!$F$6:$F$92="Finance"),--(Headcount!$H$6:$H$92&gt;=Finance!BI$3),Headcount!$Q$6:$Q$92,Headcount!$L$6:$L$92)/12),0),IF(YEAR(BI$3)=YEAR(Headcount!$R$4),IF((BI$5&lt;=12),(SUMPRODUCT(--(Headcount!$F$6:$F$92="Finance"),--(Headcount!$H$6:$H$92&gt;=Finance!BI$3),Headcount!$R$6:$R$92,Headcount!$L$6:$L$92)/12),0),"New Year"))))),SUMIF('Dept. Cost Actuals'!$E$7:$E$176,"*bonus*",'Dept. Cost Actuals'!BM$529:BM$628))</f>
        <v>3138.4958333333329</v>
      </c>
      <c r="BJ16" s="668">
        <f>IF(BJ$4="forecast",IF(YEAR(BJ$3)=YEAR(Headcount!$N$4),IF((BJ$5&lt;12),(SUMPRODUCT(--(Headcount!$F$6:$F$92="Finance"),--(Headcount!$H$6:$H$92&gt;=Finance!BJ$3),Headcount!$N$6:$N$92,Headcount!$L$6:$L$92)/12),0),IF(YEAR(BJ$3)=YEAR(Headcount!$O$4),IF((BJ$5&lt;=12),(SUMPRODUCT(--(Headcount!$F$6:$F$92="Finance"),--(Headcount!$H$6:$H$92&gt;=Finance!BJ$3),Headcount!$O$6:$O$92,Headcount!$L$6:$L$92)/12),0),IF(YEAR(BJ$3)=YEAR(Headcount!$P$4),IF((BJ$5&lt;=12),(SUMPRODUCT(--(Headcount!$F$6:$F$92="Finance"),--(Headcount!$H$6:$H$92&gt;=Finance!BJ$3),Headcount!$P$6:$P$92,Headcount!$L$6:$L$92)/12),0),IF(YEAR(BJ$3)=YEAR(Headcount!$Q$4),IF((BJ$5&lt;=12),(SUMPRODUCT(--(Headcount!$F$6:$F$92="Finance"),--(Headcount!$H$6:$H$92&gt;=Finance!BJ$3),Headcount!$Q$6:$Q$92,Headcount!$L$6:$L$92)/12),0),IF(YEAR(BJ$3)=YEAR(Headcount!$R$4),IF((BJ$5&lt;=12),(SUMPRODUCT(--(Headcount!$F$6:$F$92="Finance"),--(Headcount!$H$6:$H$92&gt;=Finance!BJ$3),Headcount!$R$6:$R$92,Headcount!$L$6:$L$92)/12),0),"New Year"))))),SUMIF('Dept. Cost Actuals'!$E$7:$E$176,"*bonus*",'Dept. Cost Actuals'!BN$529:BN$628))</f>
        <v>3138.4958333333329</v>
      </c>
      <c r="BK16" s="668">
        <f>IF(BK$4="forecast",IF(YEAR(BK$3)=YEAR(Headcount!$N$4),IF((BK$5&lt;12),(SUMPRODUCT(--(Headcount!$F$6:$F$92="Finance"),--(Headcount!$H$6:$H$92&gt;=Finance!BK$3),Headcount!$N$6:$N$92,Headcount!$L$6:$L$92)/12),0),IF(YEAR(BK$3)=YEAR(Headcount!$O$4),IF((BK$5&lt;=12),(SUMPRODUCT(--(Headcount!$F$6:$F$92="Finance"),--(Headcount!$H$6:$H$92&gt;=Finance!BK$3),Headcount!$O$6:$O$92,Headcount!$L$6:$L$92)/12),0),IF(YEAR(BK$3)=YEAR(Headcount!$P$4),IF((BK$5&lt;=12),(SUMPRODUCT(--(Headcount!$F$6:$F$92="Finance"),--(Headcount!$H$6:$H$92&gt;=Finance!BK$3),Headcount!$P$6:$P$92,Headcount!$L$6:$L$92)/12),0),IF(YEAR(BK$3)=YEAR(Headcount!$Q$4),IF((BK$5&lt;=12),(SUMPRODUCT(--(Headcount!$F$6:$F$92="Finance"),--(Headcount!$H$6:$H$92&gt;=Finance!BK$3),Headcount!$Q$6:$Q$92,Headcount!$L$6:$L$92)/12),0),IF(YEAR(BK$3)=YEAR(Headcount!$R$4),IF((BK$5&lt;=12),(SUMPRODUCT(--(Headcount!$F$6:$F$92="Finance"),--(Headcount!$H$6:$H$92&gt;=Finance!BK$3),Headcount!$R$6:$R$92,Headcount!$L$6:$L$92)/12),0),"New Year"))))),SUMIF('Dept. Cost Actuals'!$E$7:$E$176,"*bonus*",'Dept. Cost Actuals'!BO$529:BO$628))</f>
        <v>3232.650708333334</v>
      </c>
      <c r="BL16" s="668">
        <f>IF(BL$4="forecast",IF(YEAR(BL$3)=YEAR(Headcount!$N$4),IF((BL$5&lt;12),(SUMPRODUCT(--(Headcount!$F$6:$F$92="Finance"),--(Headcount!$H$6:$H$92&gt;=Finance!BL$3),Headcount!$N$6:$N$92,Headcount!$L$6:$L$92)/12),0),IF(YEAR(BL$3)=YEAR(Headcount!$O$4),IF((BL$5&lt;=12),(SUMPRODUCT(--(Headcount!$F$6:$F$92="Finance"),--(Headcount!$H$6:$H$92&gt;=Finance!BL$3),Headcount!$O$6:$O$92,Headcount!$L$6:$L$92)/12),0),IF(YEAR(BL$3)=YEAR(Headcount!$P$4),IF((BL$5&lt;=12),(SUMPRODUCT(--(Headcount!$F$6:$F$92="Finance"),--(Headcount!$H$6:$H$92&gt;=Finance!BL$3),Headcount!$P$6:$P$92,Headcount!$L$6:$L$92)/12),0),IF(YEAR(BL$3)=YEAR(Headcount!$Q$4),IF((BL$5&lt;=12),(SUMPRODUCT(--(Headcount!$F$6:$F$92="Finance"),--(Headcount!$H$6:$H$92&gt;=Finance!BL$3),Headcount!$Q$6:$Q$92,Headcount!$L$6:$L$92)/12),0),IF(YEAR(BL$3)=YEAR(Headcount!$R$4),IF((BL$5&lt;=12),(SUMPRODUCT(--(Headcount!$F$6:$F$92="Finance"),--(Headcount!$H$6:$H$92&gt;=Finance!BL$3),Headcount!$R$6:$R$92,Headcount!$L$6:$L$92)/12),0),"New Year"))))),SUMIF('Dept. Cost Actuals'!$E$7:$E$176,"*bonus*",'Dept. Cost Actuals'!BP$529:BP$628))</f>
        <v>3232.650708333334</v>
      </c>
      <c r="BM16" s="668">
        <f>IF(BM$4="forecast",IF(YEAR(BM$3)=YEAR(Headcount!$N$4),IF((BM$5&lt;12),(SUMPRODUCT(--(Headcount!$F$6:$F$92="Finance"),--(Headcount!$H$6:$H$92&gt;=Finance!BM$3),Headcount!$N$6:$N$92,Headcount!$L$6:$L$92)/12),0),IF(YEAR(BM$3)=YEAR(Headcount!$O$4),IF((BM$5&lt;=12),(SUMPRODUCT(--(Headcount!$F$6:$F$92="Finance"),--(Headcount!$H$6:$H$92&gt;=Finance!BM$3),Headcount!$O$6:$O$92,Headcount!$L$6:$L$92)/12),0),IF(YEAR(BM$3)=YEAR(Headcount!$P$4),IF((BM$5&lt;=12),(SUMPRODUCT(--(Headcount!$F$6:$F$92="Finance"),--(Headcount!$H$6:$H$92&gt;=Finance!BM$3),Headcount!$P$6:$P$92,Headcount!$L$6:$L$92)/12),0),IF(YEAR(BM$3)=YEAR(Headcount!$Q$4),IF((BM$5&lt;=12),(SUMPRODUCT(--(Headcount!$F$6:$F$92="Finance"),--(Headcount!$H$6:$H$92&gt;=Finance!BM$3),Headcount!$Q$6:$Q$92,Headcount!$L$6:$L$92)/12),0),IF(YEAR(BM$3)=YEAR(Headcount!$R$4),IF((BM$5&lt;=12),(SUMPRODUCT(--(Headcount!$F$6:$F$92="Finance"),--(Headcount!$H$6:$H$92&gt;=Finance!BM$3),Headcount!$R$6:$R$92,Headcount!$L$6:$L$92)/12),0),"New Year"))))),SUMIF('Dept. Cost Actuals'!$E$7:$E$176,"*bonus*",'Dept. Cost Actuals'!BQ$529:BQ$628))</f>
        <v>3232.650708333334</v>
      </c>
      <c r="BN16" s="668">
        <f>IF(BN$4="forecast",IF(YEAR(BN$3)=YEAR(Headcount!$N$4),IF((BN$5&lt;12),(SUMPRODUCT(--(Headcount!$F$6:$F$92="Finance"),--(Headcount!$H$6:$H$92&gt;=Finance!BN$3),Headcount!$N$6:$N$92,Headcount!$L$6:$L$92)/12),0),IF(YEAR(BN$3)=YEAR(Headcount!$O$4),IF((BN$5&lt;=12),(SUMPRODUCT(--(Headcount!$F$6:$F$92="Finance"),--(Headcount!$H$6:$H$92&gt;=Finance!BN$3),Headcount!$O$6:$O$92,Headcount!$L$6:$L$92)/12),0),IF(YEAR(BN$3)=YEAR(Headcount!$P$4),IF((BN$5&lt;=12),(SUMPRODUCT(--(Headcount!$F$6:$F$92="Finance"),--(Headcount!$H$6:$H$92&gt;=Finance!BN$3),Headcount!$P$6:$P$92,Headcount!$L$6:$L$92)/12),0),IF(YEAR(BN$3)=YEAR(Headcount!$Q$4),IF((BN$5&lt;=12),(SUMPRODUCT(--(Headcount!$F$6:$F$92="Finance"),--(Headcount!$H$6:$H$92&gt;=Finance!BN$3),Headcount!$Q$6:$Q$92,Headcount!$L$6:$L$92)/12),0),IF(YEAR(BN$3)=YEAR(Headcount!$R$4),IF((BN$5&lt;=12),(SUMPRODUCT(--(Headcount!$F$6:$F$92="Finance"),--(Headcount!$H$6:$H$92&gt;=Finance!BN$3),Headcount!$R$6:$R$92,Headcount!$L$6:$L$92)/12),0),"New Year"))))),SUMIF('Dept. Cost Actuals'!$E$7:$E$176,"*bonus*",'Dept. Cost Actuals'!BR$529:BR$628))</f>
        <v>3232.650708333334</v>
      </c>
      <c r="BO16" s="668">
        <f>IF(BO$4="forecast",IF(YEAR(BO$3)=YEAR(Headcount!$N$4),IF((BO$5&lt;12),(SUMPRODUCT(--(Headcount!$F$6:$F$92="Finance"),--(Headcount!$H$6:$H$92&gt;=Finance!BO$3),Headcount!$N$6:$N$92,Headcount!$L$6:$L$92)/12),0),IF(YEAR(BO$3)=YEAR(Headcount!$O$4),IF((BO$5&lt;=12),(SUMPRODUCT(--(Headcount!$F$6:$F$92="Finance"),--(Headcount!$H$6:$H$92&gt;=Finance!BO$3),Headcount!$O$6:$O$92,Headcount!$L$6:$L$92)/12),0),IF(YEAR(BO$3)=YEAR(Headcount!$P$4),IF((BO$5&lt;=12),(SUMPRODUCT(--(Headcount!$F$6:$F$92="Finance"),--(Headcount!$H$6:$H$92&gt;=Finance!BO$3),Headcount!$P$6:$P$92,Headcount!$L$6:$L$92)/12),0),IF(YEAR(BO$3)=YEAR(Headcount!$Q$4),IF((BO$5&lt;=12),(SUMPRODUCT(--(Headcount!$F$6:$F$92="Finance"),--(Headcount!$H$6:$H$92&gt;=Finance!BO$3),Headcount!$Q$6:$Q$92,Headcount!$L$6:$L$92)/12),0),IF(YEAR(BO$3)=YEAR(Headcount!$R$4),IF((BO$5&lt;=12),(SUMPRODUCT(--(Headcount!$F$6:$F$92="Finance"),--(Headcount!$H$6:$H$92&gt;=Finance!BO$3),Headcount!$R$6:$R$92,Headcount!$L$6:$L$92)/12),0),"New Year"))))),SUMIF('Dept. Cost Actuals'!$E$7:$E$176,"*bonus*",'Dept. Cost Actuals'!BS$529:BS$628))</f>
        <v>3232.650708333334</v>
      </c>
      <c r="BP16" s="668">
        <f>IF(BP$4="forecast",IF(YEAR(BP$3)=YEAR(Headcount!$N$4),IF((BP$5&lt;12),(SUMPRODUCT(--(Headcount!$F$6:$F$92="Finance"),--(Headcount!$H$6:$H$92&gt;=Finance!BP$3),Headcount!$N$6:$N$92,Headcount!$L$6:$L$92)/12),0),IF(YEAR(BP$3)=YEAR(Headcount!$O$4),IF((BP$5&lt;=12),(SUMPRODUCT(--(Headcount!$F$6:$F$92="Finance"),--(Headcount!$H$6:$H$92&gt;=Finance!BP$3),Headcount!$O$6:$O$92,Headcount!$L$6:$L$92)/12),0),IF(YEAR(BP$3)=YEAR(Headcount!$P$4),IF((BP$5&lt;=12),(SUMPRODUCT(--(Headcount!$F$6:$F$92="Finance"),--(Headcount!$H$6:$H$92&gt;=Finance!BP$3),Headcount!$P$6:$P$92,Headcount!$L$6:$L$92)/12),0),IF(YEAR(BP$3)=YEAR(Headcount!$Q$4),IF((BP$5&lt;=12),(SUMPRODUCT(--(Headcount!$F$6:$F$92="Finance"),--(Headcount!$H$6:$H$92&gt;=Finance!BP$3),Headcount!$Q$6:$Q$92,Headcount!$L$6:$L$92)/12),0),IF(YEAR(BP$3)=YEAR(Headcount!$R$4),IF((BP$5&lt;=12),(SUMPRODUCT(--(Headcount!$F$6:$F$92="Finance"),--(Headcount!$H$6:$H$92&gt;=Finance!BP$3),Headcount!$R$6:$R$92,Headcount!$L$6:$L$92)/12),0),"New Year"))))),SUMIF('Dept. Cost Actuals'!$E$7:$E$176,"*bonus*",'Dept. Cost Actuals'!BT$529:BT$628))</f>
        <v>3232.650708333334</v>
      </c>
      <c r="BQ16" s="668">
        <f>IF(BQ$4="forecast",IF(YEAR(BQ$3)=YEAR(Headcount!$N$4),IF((BQ$5&lt;12),(SUMPRODUCT(--(Headcount!$F$6:$F$92="Finance"),--(Headcount!$H$6:$H$92&gt;=Finance!BQ$3),Headcount!$N$6:$N$92,Headcount!$L$6:$L$92)/12),0),IF(YEAR(BQ$3)=YEAR(Headcount!$O$4),IF((BQ$5&lt;=12),(SUMPRODUCT(--(Headcount!$F$6:$F$92="Finance"),--(Headcount!$H$6:$H$92&gt;=Finance!BQ$3),Headcount!$O$6:$O$92,Headcount!$L$6:$L$92)/12),0),IF(YEAR(BQ$3)=YEAR(Headcount!$P$4),IF((BQ$5&lt;=12),(SUMPRODUCT(--(Headcount!$F$6:$F$92="Finance"),--(Headcount!$H$6:$H$92&gt;=Finance!BQ$3),Headcount!$P$6:$P$92,Headcount!$L$6:$L$92)/12),0),IF(YEAR(BQ$3)=YEAR(Headcount!$Q$4),IF((BQ$5&lt;=12),(SUMPRODUCT(--(Headcount!$F$6:$F$92="Finance"),--(Headcount!$H$6:$H$92&gt;=Finance!BQ$3),Headcount!$Q$6:$Q$92,Headcount!$L$6:$L$92)/12),0),IF(YEAR(BQ$3)=YEAR(Headcount!$R$4),IF((BQ$5&lt;=12),(SUMPRODUCT(--(Headcount!$F$6:$F$92="Finance"),--(Headcount!$H$6:$H$92&gt;=Finance!BQ$3),Headcount!$R$6:$R$92,Headcount!$L$6:$L$92)/12),0),"New Year"))))),SUMIF('Dept. Cost Actuals'!$E$7:$E$176,"*bonus*",'Dept. Cost Actuals'!BU$529:BU$628))</f>
        <v>3232.650708333334</v>
      </c>
      <c r="BR16" s="668">
        <f>IF(BR$4="forecast",IF(YEAR(BR$3)=YEAR(Headcount!$N$4),IF((BR$5&lt;12),(SUMPRODUCT(--(Headcount!$F$6:$F$92="Finance"),--(Headcount!$H$6:$H$92&gt;=Finance!BR$3),Headcount!$N$6:$N$92,Headcount!$L$6:$L$92)/12),0),IF(YEAR(BR$3)=YEAR(Headcount!$O$4),IF((BR$5&lt;=12),(SUMPRODUCT(--(Headcount!$F$6:$F$92="Finance"),--(Headcount!$H$6:$H$92&gt;=Finance!BR$3),Headcount!$O$6:$O$92,Headcount!$L$6:$L$92)/12),0),IF(YEAR(BR$3)=YEAR(Headcount!$P$4),IF((BR$5&lt;=12),(SUMPRODUCT(--(Headcount!$F$6:$F$92="Finance"),--(Headcount!$H$6:$H$92&gt;=Finance!BR$3),Headcount!$P$6:$P$92,Headcount!$L$6:$L$92)/12),0),IF(YEAR(BR$3)=YEAR(Headcount!$Q$4),IF((BR$5&lt;=12),(SUMPRODUCT(--(Headcount!$F$6:$F$92="Finance"),--(Headcount!$H$6:$H$92&gt;=Finance!BR$3),Headcount!$Q$6:$Q$92,Headcount!$L$6:$L$92)/12),0),IF(YEAR(BR$3)=YEAR(Headcount!$R$4),IF((BR$5&lt;=12),(SUMPRODUCT(--(Headcount!$F$6:$F$92="Finance"),--(Headcount!$H$6:$H$92&gt;=Finance!BR$3),Headcount!$R$6:$R$92,Headcount!$L$6:$L$92)/12),0),"New Year"))))),SUMIF('Dept. Cost Actuals'!$E$7:$E$176,"*bonus*",'Dept. Cost Actuals'!BV$529:BV$628))</f>
        <v>3232.650708333334</v>
      </c>
      <c r="BS16" s="668">
        <f>IF(BS$4="forecast",IF(YEAR(BS$3)=YEAR(Headcount!$N$4),IF((BS$5&lt;12),(SUMPRODUCT(--(Headcount!$F$6:$F$92="Finance"),--(Headcount!$H$6:$H$92&gt;=Finance!BS$3),Headcount!$N$6:$N$92,Headcount!$L$6:$L$92)/12),0),IF(YEAR(BS$3)=YEAR(Headcount!$O$4),IF((BS$5&lt;=12),(SUMPRODUCT(--(Headcount!$F$6:$F$92="Finance"),--(Headcount!$H$6:$H$92&gt;=Finance!BS$3),Headcount!$O$6:$O$92,Headcount!$L$6:$L$92)/12),0),IF(YEAR(BS$3)=YEAR(Headcount!$P$4),IF((BS$5&lt;=12),(SUMPRODUCT(--(Headcount!$F$6:$F$92="Finance"),--(Headcount!$H$6:$H$92&gt;=Finance!BS$3),Headcount!$P$6:$P$92,Headcount!$L$6:$L$92)/12),0),IF(YEAR(BS$3)=YEAR(Headcount!$Q$4),IF((BS$5&lt;=12),(SUMPRODUCT(--(Headcount!$F$6:$F$92="Finance"),--(Headcount!$H$6:$H$92&gt;=Finance!BS$3),Headcount!$Q$6:$Q$92,Headcount!$L$6:$L$92)/12),0),IF(YEAR(BS$3)=YEAR(Headcount!$R$4),IF((BS$5&lt;=12),(SUMPRODUCT(--(Headcount!$F$6:$F$92="Finance"),--(Headcount!$H$6:$H$92&gt;=Finance!BS$3),Headcount!$R$6:$R$92,Headcount!$L$6:$L$92)/12),0),"New Year"))))),SUMIF('Dept. Cost Actuals'!$E$7:$E$176,"*bonus*",'Dept. Cost Actuals'!BW$529:BW$628))</f>
        <v>3232.650708333334</v>
      </c>
      <c r="BT16" s="668">
        <f>IF(BT$4="forecast",IF(YEAR(BT$3)=YEAR(Headcount!$N$4),IF((BT$5&lt;12),(SUMPRODUCT(--(Headcount!$F$6:$F$92="Finance"),--(Headcount!$H$6:$H$92&gt;=Finance!BT$3),Headcount!$N$6:$N$92,Headcount!$L$6:$L$92)/12),0),IF(YEAR(BT$3)=YEAR(Headcount!$O$4),IF((BT$5&lt;=12),(SUMPRODUCT(--(Headcount!$F$6:$F$92="Finance"),--(Headcount!$H$6:$H$92&gt;=Finance!BT$3),Headcount!$O$6:$O$92,Headcount!$L$6:$L$92)/12),0),IF(YEAR(BT$3)=YEAR(Headcount!$P$4),IF((BT$5&lt;=12),(SUMPRODUCT(--(Headcount!$F$6:$F$92="Finance"),--(Headcount!$H$6:$H$92&gt;=Finance!BT$3),Headcount!$P$6:$P$92,Headcount!$L$6:$L$92)/12),0),IF(YEAR(BT$3)=YEAR(Headcount!$Q$4),IF((BT$5&lt;=12),(SUMPRODUCT(--(Headcount!$F$6:$F$92="Finance"),--(Headcount!$H$6:$H$92&gt;=Finance!BT$3),Headcount!$Q$6:$Q$92,Headcount!$L$6:$L$92)/12),0),IF(YEAR(BT$3)=YEAR(Headcount!$R$4),IF((BT$5&lt;=12),(SUMPRODUCT(--(Headcount!$F$6:$F$92="Finance"),--(Headcount!$H$6:$H$92&gt;=Finance!BT$3),Headcount!$R$6:$R$92,Headcount!$L$6:$L$92)/12),0),"New Year"))))),SUMIF('Dept. Cost Actuals'!$E$7:$E$176,"*bonus*",'Dept. Cost Actuals'!BX$529:BX$628))</f>
        <v>3232.650708333334</v>
      </c>
      <c r="BU16" s="668">
        <f>IF(BU$4="forecast",IF(YEAR(BU$3)=YEAR(Headcount!$N$4),IF((BU$5&lt;12),(SUMPRODUCT(--(Headcount!$F$6:$F$92="Finance"),--(Headcount!$H$6:$H$92&gt;=Finance!BU$3),Headcount!$N$6:$N$92,Headcount!$L$6:$L$92)/12),0),IF(YEAR(BU$3)=YEAR(Headcount!$O$4),IF((BU$5&lt;=12),(SUMPRODUCT(--(Headcount!$F$6:$F$92="Finance"),--(Headcount!$H$6:$H$92&gt;=Finance!BU$3),Headcount!$O$6:$O$92,Headcount!$L$6:$L$92)/12),0),IF(YEAR(BU$3)=YEAR(Headcount!$P$4),IF((BU$5&lt;=12),(SUMPRODUCT(--(Headcount!$F$6:$F$92="Finance"),--(Headcount!$H$6:$H$92&gt;=Finance!BU$3),Headcount!$P$6:$P$92,Headcount!$L$6:$L$92)/12),0),IF(YEAR(BU$3)=YEAR(Headcount!$Q$4),IF((BU$5&lt;=12),(SUMPRODUCT(--(Headcount!$F$6:$F$92="Finance"),--(Headcount!$H$6:$H$92&gt;=Finance!BU$3),Headcount!$Q$6:$Q$92,Headcount!$L$6:$L$92)/12),0),IF(YEAR(BU$3)=YEAR(Headcount!$R$4),IF((BU$5&lt;=12),(SUMPRODUCT(--(Headcount!$F$6:$F$92="Finance"),--(Headcount!$H$6:$H$92&gt;=Finance!BU$3),Headcount!$R$6:$R$92,Headcount!$L$6:$L$92)/12),0),"New Year"))))),SUMIF('Dept. Cost Actuals'!$E$7:$E$176,"*bonus*",'Dept. Cost Actuals'!BY$529:BY$628))</f>
        <v>3232.650708333334</v>
      </c>
      <c r="BV16" s="790">
        <f>IF(BV$4="forecast",IF(YEAR(BV$3)=YEAR(Headcount!$N$4),IF((BV$5&lt;12),(SUMPRODUCT(--(Headcount!$F$6:$F$92="Finance"),--(Headcount!$H$6:$H$92&gt;=Finance!BV$3),Headcount!$N$6:$N$92,Headcount!$L$6:$L$92)/12),0),IF(YEAR(BV$3)=YEAR(Headcount!$O$4),IF((BV$5&lt;=12),(SUMPRODUCT(--(Headcount!$F$6:$F$92="Finance"),--(Headcount!$H$6:$H$92&gt;=Finance!BV$3),Headcount!$O$6:$O$92,Headcount!$L$6:$L$92)/12),0),IF(YEAR(BV$3)=YEAR(Headcount!$P$4),IF((BV$5&lt;=12),(SUMPRODUCT(--(Headcount!$F$6:$F$92="Finance"),--(Headcount!$H$6:$H$92&gt;=Finance!BV$3),Headcount!$P$6:$P$92,Headcount!$L$6:$L$92)/12),0),IF(YEAR(BV$3)=YEAR(Headcount!$Q$4),IF((BV$5&lt;=12),(SUMPRODUCT(--(Headcount!$F$6:$F$92="Finance"),--(Headcount!$H$6:$H$92&gt;=Finance!BV$3),Headcount!$Q$6:$Q$92,Headcount!$L$6:$L$92)/12),0),IF(YEAR(BV$3)=YEAR(Headcount!$R$4),IF((BV$5&lt;=12),(SUMPRODUCT(--(Headcount!$F$6:$F$92="Finance"),--(Headcount!$H$6:$H$92&gt;=Finance!BV$3),Headcount!$R$6:$R$92,Headcount!$L$6:$L$92)/12),0),"New Year"))))),SUMIF('Dept. Cost Actuals'!$E$7:$E$176,"*bonus*",'Dept. Cost Actuals'!BZ$529:BZ$628))</f>
        <v>3232.650708333334</v>
      </c>
    </row>
    <row r="17" spans="2:74" s="626" customFormat="1" ht="12.75" x14ac:dyDescent="0.2">
      <c r="B17" s="791" t="s">
        <v>932</v>
      </c>
      <c r="C17" s="1210">
        <f t="shared" ref="C17:AA17" ca="1" si="5">SUM(C15:C16)</f>
        <v>0</v>
      </c>
      <c r="D17" s="1210">
        <f t="shared" ca="1" si="5"/>
        <v>0</v>
      </c>
      <c r="E17" s="1210">
        <f t="shared" ca="1" si="5"/>
        <v>0</v>
      </c>
      <c r="F17" s="1210">
        <f t="shared" ca="1" si="5"/>
        <v>0</v>
      </c>
      <c r="G17" s="1210">
        <f t="shared" ca="1" si="5"/>
        <v>0</v>
      </c>
      <c r="H17" s="1210">
        <f t="shared" ca="1" si="5"/>
        <v>0</v>
      </c>
      <c r="I17" s="1210">
        <f t="shared" ca="1" si="5"/>
        <v>0</v>
      </c>
      <c r="J17" s="1210">
        <f t="shared" ca="1" si="5"/>
        <v>0</v>
      </c>
      <c r="K17" s="1210">
        <f t="shared" ca="1" si="5"/>
        <v>0</v>
      </c>
      <c r="L17" s="1210">
        <f t="shared" ca="1" si="5"/>
        <v>0</v>
      </c>
      <c r="M17" s="1210">
        <f t="shared" ca="1" si="5"/>
        <v>0</v>
      </c>
      <c r="N17" s="1210">
        <f t="shared" ca="1" si="5"/>
        <v>0</v>
      </c>
      <c r="O17" s="1210">
        <f t="shared" ca="1" si="5"/>
        <v>3770.83</v>
      </c>
      <c r="P17" s="1210">
        <f t="shared" ca="1" si="5"/>
        <v>3770.83</v>
      </c>
      <c r="Q17" s="1210">
        <f t="shared" ca="1" si="5"/>
        <v>4025.97</v>
      </c>
      <c r="R17" s="1210">
        <f t="shared" ca="1" si="5"/>
        <v>4451.74</v>
      </c>
      <c r="S17" s="1210">
        <f t="shared" ca="1" si="5"/>
        <v>3770.83</v>
      </c>
      <c r="T17" s="1210">
        <f t="shared" ca="1" si="5"/>
        <v>3770.83</v>
      </c>
      <c r="U17" s="1210">
        <f t="shared" ca="1" si="5"/>
        <v>4763.42</v>
      </c>
      <c r="V17" s="1210">
        <f t="shared" ca="1" si="5"/>
        <v>3770.83</v>
      </c>
      <c r="W17" s="1210">
        <f t="shared" ca="1" si="5"/>
        <v>4015.82</v>
      </c>
      <c r="X17" s="1210">
        <f t="shared" ca="1" si="5"/>
        <v>4763.42</v>
      </c>
      <c r="Y17" s="1210">
        <f t="shared" ca="1" si="5"/>
        <v>3815.83</v>
      </c>
      <c r="Z17" s="1210">
        <f t="shared" ca="1" si="5"/>
        <v>-15197.26</v>
      </c>
      <c r="AA17" s="1210">
        <f t="shared" ca="1" si="5"/>
        <v>3994.72</v>
      </c>
      <c r="AB17" s="1210">
        <f t="shared" ref="AB17" ca="1" si="6">SUM(AB15:AB16)</f>
        <v>3994.72</v>
      </c>
      <c r="AC17" s="1210">
        <f t="shared" ref="AC17:BV17" ca="1" si="7">SUM(AC15:AC16)</f>
        <v>3994.72</v>
      </c>
      <c r="AD17" s="1210">
        <f t="shared" si="7"/>
        <v>13812.5</v>
      </c>
      <c r="AE17" s="1210">
        <f t="shared" si="7"/>
        <v>13812.5</v>
      </c>
      <c r="AF17" s="1210">
        <f t="shared" si="7"/>
        <v>13812.5</v>
      </c>
      <c r="AG17" s="1210">
        <f t="shared" si="7"/>
        <v>13812.5</v>
      </c>
      <c r="AH17" s="1210">
        <f t="shared" si="7"/>
        <v>13812.5</v>
      </c>
      <c r="AI17" s="1210">
        <f t="shared" si="7"/>
        <v>13812.5</v>
      </c>
      <c r="AJ17" s="1210">
        <f t="shared" si="7"/>
        <v>13812.5</v>
      </c>
      <c r="AK17" s="1210">
        <f t="shared" si="7"/>
        <v>13812.5</v>
      </c>
      <c r="AL17" s="1210">
        <f t="shared" si="7"/>
        <v>13812.5</v>
      </c>
      <c r="AM17" s="1210">
        <f t="shared" si="7"/>
        <v>14226.875</v>
      </c>
      <c r="AN17" s="1210">
        <f t="shared" si="7"/>
        <v>14226.875</v>
      </c>
      <c r="AO17" s="1210">
        <f t="shared" si="7"/>
        <v>14226.875</v>
      </c>
      <c r="AP17" s="1210">
        <f t="shared" si="7"/>
        <v>14226.875</v>
      </c>
      <c r="AQ17" s="1210">
        <f t="shared" si="7"/>
        <v>14226.875</v>
      </c>
      <c r="AR17" s="1210">
        <f t="shared" si="7"/>
        <v>14226.875</v>
      </c>
      <c r="AS17" s="1210">
        <f t="shared" si="7"/>
        <v>14226.875</v>
      </c>
      <c r="AT17" s="1210">
        <f t="shared" si="7"/>
        <v>14226.875</v>
      </c>
      <c r="AU17" s="1210">
        <f t="shared" si="7"/>
        <v>14226.875</v>
      </c>
      <c r="AV17" s="1210">
        <f t="shared" si="7"/>
        <v>14226.875</v>
      </c>
      <c r="AW17" s="1210">
        <f t="shared" si="7"/>
        <v>14226.875</v>
      </c>
      <c r="AX17" s="1210">
        <f t="shared" si="7"/>
        <v>14226.875</v>
      </c>
      <c r="AY17" s="1210">
        <f t="shared" si="7"/>
        <v>14653.68125</v>
      </c>
      <c r="AZ17" s="1210">
        <f t="shared" si="7"/>
        <v>14653.68125</v>
      </c>
      <c r="BA17" s="1210">
        <f t="shared" si="7"/>
        <v>14653.68125</v>
      </c>
      <c r="BB17" s="1210">
        <f t="shared" si="7"/>
        <v>14653.68125</v>
      </c>
      <c r="BC17" s="1210">
        <f t="shared" si="7"/>
        <v>14653.68125</v>
      </c>
      <c r="BD17" s="1210">
        <f t="shared" si="7"/>
        <v>14653.68125</v>
      </c>
      <c r="BE17" s="1210">
        <f t="shared" si="7"/>
        <v>14653.68125</v>
      </c>
      <c r="BF17" s="1210">
        <f t="shared" si="7"/>
        <v>14653.68125</v>
      </c>
      <c r="BG17" s="1210">
        <f t="shared" si="7"/>
        <v>14653.68125</v>
      </c>
      <c r="BH17" s="1210">
        <f t="shared" si="7"/>
        <v>14653.68125</v>
      </c>
      <c r="BI17" s="1210">
        <f t="shared" si="7"/>
        <v>14653.68125</v>
      </c>
      <c r="BJ17" s="1210">
        <f t="shared" si="7"/>
        <v>14653.68125</v>
      </c>
      <c r="BK17" s="1210">
        <f t="shared" si="7"/>
        <v>15093.291687500001</v>
      </c>
      <c r="BL17" s="1210">
        <f t="shared" si="7"/>
        <v>15093.291687500001</v>
      </c>
      <c r="BM17" s="1210">
        <f t="shared" si="7"/>
        <v>15093.291687500001</v>
      </c>
      <c r="BN17" s="1210">
        <f t="shared" si="7"/>
        <v>15093.291687500001</v>
      </c>
      <c r="BO17" s="1210">
        <f t="shared" si="7"/>
        <v>15093.291687500001</v>
      </c>
      <c r="BP17" s="1210">
        <f t="shared" si="7"/>
        <v>15093.291687500001</v>
      </c>
      <c r="BQ17" s="1210">
        <f t="shared" si="7"/>
        <v>15093.291687500001</v>
      </c>
      <c r="BR17" s="1210">
        <f t="shared" si="7"/>
        <v>15093.291687500001</v>
      </c>
      <c r="BS17" s="1210">
        <f t="shared" si="7"/>
        <v>15093.291687500001</v>
      </c>
      <c r="BT17" s="1210">
        <f t="shared" si="7"/>
        <v>15093.291687500001</v>
      </c>
      <c r="BU17" s="1210">
        <f t="shared" si="7"/>
        <v>15093.291687500001</v>
      </c>
      <c r="BV17" s="974">
        <f t="shared" si="7"/>
        <v>15093.291687500001</v>
      </c>
    </row>
    <row r="18" spans="2:74" s="626" customFormat="1" ht="12.75" x14ac:dyDescent="0.2">
      <c r="B18" s="794" t="s">
        <v>1344</v>
      </c>
      <c r="C18" s="991">
        <f ca="1">IF(C$4="forecast",C14*0.12,SUMIF('Dept. Cost Actuals'!$E$7:$E$176,"*payroll taxes*",'Dept. Cost Actuals'!G$529:G$628))</f>
        <v>647.48502524795185</v>
      </c>
      <c r="D18" s="991">
        <f ca="1">IF(D$4="forecast",D14*0.12,SUMIF('Dept. Cost Actuals'!$E$7:$E$176,"*payroll taxes*",'Dept. Cost Actuals'!H$529:H$628))</f>
        <v>567.98781123560491</v>
      </c>
      <c r="E18" s="991">
        <f ca="1">IF(E$4="forecast",E14*0.12,SUMIF('Dept. Cost Actuals'!$E$7:$E$176,"*payroll taxes*",'Dept. Cost Actuals'!I$529:I$628))</f>
        <v>483.76489939748262</v>
      </c>
      <c r="F18" s="991">
        <f ca="1">IF(F$4="forecast",F14*0.12,SUMIF('Dept. Cost Actuals'!$E$7:$E$176,"*payroll taxes*",'Dept. Cost Actuals'!J$529:J$628))</f>
        <v>348.93037782828418</v>
      </c>
      <c r="G18" s="991">
        <f ca="1">IF(G$4="forecast",G14*0.12,SUMIF('Dept. Cost Actuals'!$E$7:$E$176,"*payroll taxes*",'Dept. Cost Actuals'!K$529:K$628))</f>
        <v>146.98486452232405</v>
      </c>
      <c r="H18" s="991">
        <f ca="1">IF(H$4="forecast",H14*0.12,SUMIF('Dept. Cost Actuals'!$E$7:$E$176,"*payroll taxes*",'Dept. Cost Actuals'!L$529:L$628))</f>
        <v>339.33401443279348</v>
      </c>
      <c r="I18" s="991">
        <f ca="1">IF(I$4="forecast",I14*0.12,SUMIF('Dept. Cost Actuals'!$E$7:$E$176,"*payroll taxes*",'Dept. Cost Actuals'!M$529:M$628))</f>
        <v>325.3248696523367</v>
      </c>
      <c r="J18" s="991">
        <f ca="1">IF(J$4="forecast",J14*0.12,SUMIF('Dept. Cost Actuals'!$E$7:$E$176,"*payroll taxes*",'Dept. Cost Actuals'!N$529:N$628))</f>
        <v>489.50498386607944</v>
      </c>
      <c r="K18" s="991">
        <f ca="1">IF(K$4="forecast",K14*0.12,SUMIF('Dept. Cost Actuals'!$E$7:$E$176,"*payroll taxes*",'Dept. Cost Actuals'!O$529:O$628))</f>
        <v>341.10004171152525</v>
      </c>
      <c r="L18" s="991">
        <f ca="1">IF(L$4="forecast",L14*0.12,SUMIF('Dept. Cost Actuals'!$E$7:$E$176,"*payroll taxes*",'Dept. Cost Actuals'!P$529:P$628))</f>
        <v>414.56456151665077</v>
      </c>
      <c r="M18" s="991">
        <f ca="1">IF(M$4="forecast",M14*0.12,SUMIF('Dept. Cost Actuals'!$E$7:$E$176,"*payroll taxes*",'Dept. Cost Actuals'!Q$529:Q$628))</f>
        <v>679.6212555026276</v>
      </c>
      <c r="N18" s="991">
        <f ca="1">IF(N$4="forecast",N14*0.12,SUMIF('Dept. Cost Actuals'!$E$7:$E$176,"*payroll taxes*",'Dept. Cost Actuals'!R$529:R$628))</f>
        <v>456.44717565552685</v>
      </c>
      <c r="O18" s="991">
        <f ca="1">IF(O$4="forecast",O14*0.12,SUMIF('Dept. Cost Actuals'!$E$7:$E$176,"*payroll taxes*",'Dept. Cost Actuals'!S$529:S$628))</f>
        <v>985.0100000000001</v>
      </c>
      <c r="P18" s="991">
        <f ca="1">IF(P$4="forecast",P14*0.12,SUMIF('Dept. Cost Actuals'!$E$7:$E$176,"*payroll taxes*",'Dept. Cost Actuals'!T$529:T$628))</f>
        <v>589.88</v>
      </c>
      <c r="Q18" s="991">
        <f ca="1">IF(Q$4="forecast",Q14*0.12,SUMIF('Dept. Cost Actuals'!$E$7:$E$176,"*payroll taxes*",'Dept. Cost Actuals'!U$529:U$628))</f>
        <v>764.45999999999992</v>
      </c>
      <c r="R18" s="991">
        <f ca="1">IF(R$4="forecast",R14*0.12,SUMIF('Dept. Cost Actuals'!$E$7:$E$176,"*payroll taxes*",'Dept. Cost Actuals'!V$529:V$628))</f>
        <v>611.54000000000008</v>
      </c>
      <c r="S18" s="991">
        <f ca="1">IF(S$4="forecast",S14*0.12,SUMIF('Dept. Cost Actuals'!$E$7:$E$176,"*payroll taxes*",'Dept. Cost Actuals'!W$529:W$628))</f>
        <v>1558.75</v>
      </c>
      <c r="T18" s="991">
        <f ca="1">IF(T$4="forecast",T14*0.12,SUMIF('Dept. Cost Actuals'!$E$7:$E$176,"*payroll taxes*",'Dept. Cost Actuals'!X$529:X$628))</f>
        <v>1259.18</v>
      </c>
      <c r="U18" s="991">
        <f ca="1">IF(U$4="forecast",U14*0.12,SUMIF('Dept. Cost Actuals'!$E$7:$E$176,"*payroll taxes*",'Dept. Cost Actuals'!Y$529:Y$628))</f>
        <v>1418.07</v>
      </c>
      <c r="V18" s="991">
        <f ca="1">IF(V$4="forecast",V14*0.12,SUMIF('Dept. Cost Actuals'!$E$7:$E$176,"*payroll taxes*",'Dept. Cost Actuals'!Z$529:Z$628))</f>
        <v>2149.02</v>
      </c>
      <c r="W18" s="991">
        <f ca="1">IF(W$4="forecast",W14*0.12,SUMIF('Dept. Cost Actuals'!$E$7:$E$176,"*payroll taxes*",'Dept. Cost Actuals'!AA$529:AA$628))</f>
        <v>2437.5499999999997</v>
      </c>
      <c r="X18" s="991">
        <f ca="1">IF(X$4="forecast",X14*0.12,SUMIF('Dept. Cost Actuals'!$E$7:$E$176,"*payroll taxes*",'Dept. Cost Actuals'!AB$529:AB$628))</f>
        <v>2643.3700000000003</v>
      </c>
      <c r="Y18" s="991">
        <f ca="1">IF(Y$4="forecast",Y14*0.12,SUMIF('Dept. Cost Actuals'!$E$7:$E$176,"*payroll taxes*",'Dept. Cost Actuals'!AC$529:AC$628))</f>
        <v>2221.9899999999998</v>
      </c>
      <c r="Z18" s="991">
        <f ca="1">IF(Z$4="forecast",Z14*0.12,SUMIF('Dept. Cost Actuals'!$E$7:$E$176,"*payroll taxes*",'Dept. Cost Actuals'!AD$529:AD$628))</f>
        <v>454.34999999999991</v>
      </c>
      <c r="AA18" s="991">
        <f ca="1">IF(AA$4="forecast",AA14*0.12,SUMIF('Dept. Cost Actuals'!$E$7:$E$176,"*payroll taxes*",'Dept. Cost Actuals'!AE$529:AE$628))</f>
        <v>2950.25</v>
      </c>
      <c r="AB18" s="991">
        <f ca="1">IF(AB$4="forecast",AB14*0.12,SUMIF('Dept. Cost Actuals'!$E$7:$E$176,"*payroll taxes*",'Dept. Cost Actuals'!AF$529:AF$628))</f>
        <v>2145.7200000000003</v>
      </c>
      <c r="AC18" s="991">
        <f ca="1">IF(AC$4="forecast",AC14*0.12,SUMIF('Dept. Cost Actuals'!$E$7:$E$176,"*payroll taxes*",'Dept. Cost Actuals'!AG$529:AG$628))</f>
        <v>2140.1999999999998</v>
      </c>
      <c r="AD18" s="991">
        <f>IF(AD$4="forecast",AD14*0.12,SUMIF('Dept. Cost Actuals'!$E$7:$E$176,"*payroll taxes*",'Dept. Cost Actuals'!AH$529:AH$628))</f>
        <v>4200</v>
      </c>
      <c r="AE18" s="991">
        <f>IF(AE$4="forecast",AE14*0.12,SUMIF('Dept. Cost Actuals'!$E$7:$E$176,"*payroll taxes*",'Dept. Cost Actuals'!AI$529:AI$628))</f>
        <v>6949.9999999999991</v>
      </c>
      <c r="AF18" s="991">
        <f>IF(AF$4="forecast",AF14*0.12,SUMIF('Dept. Cost Actuals'!$E$7:$E$176,"*payroll taxes*",'Dept. Cost Actuals'!AJ$529:AJ$628))</f>
        <v>6949.9999999999991</v>
      </c>
      <c r="AG18" s="991">
        <f>IF(AG$4="forecast",AG14*0.12,SUMIF('Dept. Cost Actuals'!$E$7:$E$176,"*payroll taxes*",'Dept. Cost Actuals'!AK$529:AK$628))</f>
        <v>6949.9999999999991</v>
      </c>
      <c r="AH18" s="991">
        <f>IF(AH$4="forecast",AH14*0.12,SUMIF('Dept. Cost Actuals'!$E$7:$E$176,"*payroll taxes*",'Dept. Cost Actuals'!AL$529:AL$628))</f>
        <v>6949.9999999999991</v>
      </c>
      <c r="AI18" s="991">
        <f>IF(AI$4="forecast",AI14*0.12,SUMIF('Dept. Cost Actuals'!$E$7:$E$176,"*payroll taxes*",'Dept. Cost Actuals'!AM$529:AM$628))</f>
        <v>6949.9999999999991</v>
      </c>
      <c r="AJ18" s="991">
        <f>IF(AJ$4="forecast",AJ14*0.12,SUMIF('Dept. Cost Actuals'!$E$7:$E$176,"*payroll taxes*",'Dept. Cost Actuals'!AN$529:AN$628))</f>
        <v>6949.9999999999991</v>
      </c>
      <c r="AK18" s="991">
        <f>IF(AK$4="forecast",AK14*0.12,SUMIF('Dept. Cost Actuals'!$E$7:$E$176,"*payroll taxes*",'Dept. Cost Actuals'!AO$529:AO$628))</f>
        <v>6949.9999999999991</v>
      </c>
      <c r="AL18" s="991">
        <f>IF(AL$4="forecast",AL14*0.12,SUMIF('Dept. Cost Actuals'!$E$7:$E$176,"*payroll taxes*",'Dept. Cost Actuals'!AP$529:AP$628))</f>
        <v>6949.9999999999991</v>
      </c>
      <c r="AM18" s="991">
        <f>IF(AM$4="forecast",AM14*0.12,SUMIF('Dept. Cost Actuals'!$E$7:$E$176,"*payroll taxes*",'Dept. Cost Actuals'!AQ$529:AQ$628))</f>
        <v>7051.9999999999991</v>
      </c>
      <c r="AN18" s="991">
        <f>IF(AN$4="forecast",AN14*0.12,SUMIF('Dept. Cost Actuals'!$E$7:$E$176,"*payroll taxes*",'Dept. Cost Actuals'!AR$529:AR$628))</f>
        <v>7158.4999999999991</v>
      </c>
      <c r="AO18" s="991">
        <f>IF(AO$4="forecast",AO14*0.12,SUMIF('Dept. Cost Actuals'!$E$7:$E$176,"*payroll taxes*",'Dept. Cost Actuals'!AS$529:AS$628))</f>
        <v>7158.4999999999991</v>
      </c>
      <c r="AP18" s="991">
        <f>IF(AP$4="forecast",AP14*0.12,SUMIF('Dept. Cost Actuals'!$E$7:$E$176,"*payroll taxes*",'Dept. Cost Actuals'!AT$529:AT$628))</f>
        <v>7158.4999999999991</v>
      </c>
      <c r="AQ18" s="991">
        <f>IF(AQ$4="forecast",AQ14*0.12,SUMIF('Dept. Cost Actuals'!$E$7:$E$176,"*payroll taxes*",'Dept. Cost Actuals'!AU$529:AU$628))</f>
        <v>7158.4999999999991</v>
      </c>
      <c r="AR18" s="991">
        <f>IF(AR$4="forecast",AR14*0.12,SUMIF('Dept. Cost Actuals'!$E$7:$E$176,"*payroll taxes*",'Dept. Cost Actuals'!AV$529:AV$628))</f>
        <v>7158.4999999999991</v>
      </c>
      <c r="AS18" s="991">
        <f>IF(AS$4="forecast",AS14*0.12,SUMIF('Dept. Cost Actuals'!$E$7:$E$176,"*payroll taxes*",'Dept. Cost Actuals'!AW$529:AW$628))</f>
        <v>7158.4999999999991</v>
      </c>
      <c r="AT18" s="991">
        <f>IF(AT$4="forecast",AT14*0.12,SUMIF('Dept. Cost Actuals'!$E$7:$E$176,"*payroll taxes*",'Dept. Cost Actuals'!AX$529:AX$628))</f>
        <v>7158.4999999999991</v>
      </c>
      <c r="AU18" s="991">
        <f>IF(AU$4="forecast",AU14*0.12,SUMIF('Dept. Cost Actuals'!$E$7:$E$176,"*payroll taxes*",'Dept. Cost Actuals'!AY$529:AY$628))</f>
        <v>7158.4999999999991</v>
      </c>
      <c r="AV18" s="991">
        <f>IF(AV$4="forecast",AV14*0.12,SUMIF('Dept. Cost Actuals'!$E$7:$E$176,"*payroll taxes*",'Dept. Cost Actuals'!AZ$529:AZ$628))</f>
        <v>7158.4999999999991</v>
      </c>
      <c r="AW18" s="991">
        <f>IF(AW$4="forecast",AW14*0.12,SUMIF('Dept. Cost Actuals'!$E$7:$E$176,"*payroll taxes*",'Dept. Cost Actuals'!BA$529:BA$628))</f>
        <v>7158.4999999999991</v>
      </c>
      <c r="AX18" s="991">
        <f>IF(AX$4="forecast",AX14*0.12,SUMIF('Dept. Cost Actuals'!$E$7:$E$176,"*payroll taxes*",'Dept. Cost Actuals'!BB$529:BB$628))</f>
        <v>7158.4999999999991</v>
      </c>
      <c r="AY18" s="991">
        <f>IF(AY$4="forecast",AY14*0.12,SUMIF('Dept. Cost Actuals'!$E$7:$E$176,"*payroll taxes*",'Dept. Cost Actuals'!BC$529:BC$628))</f>
        <v>7263.5599999999995</v>
      </c>
      <c r="AZ18" s="991">
        <f>IF(AZ$4="forecast",AZ14*0.12,SUMIF('Dept. Cost Actuals'!$E$7:$E$176,"*payroll taxes*",'Dept. Cost Actuals'!BD$529:BD$628))</f>
        <v>7373.2549999999992</v>
      </c>
      <c r="BA18" s="991">
        <f>IF(BA$4="forecast",BA14*0.12,SUMIF('Dept. Cost Actuals'!$E$7:$E$176,"*payroll taxes*",'Dept. Cost Actuals'!BE$529:BE$628))</f>
        <v>7373.2549999999992</v>
      </c>
      <c r="BB18" s="991">
        <f>IF(BB$4="forecast",BB14*0.12,SUMIF('Dept. Cost Actuals'!$E$7:$E$176,"*payroll taxes*",'Dept. Cost Actuals'!BF$529:BF$628))</f>
        <v>7373.2549999999992</v>
      </c>
      <c r="BC18" s="991">
        <f>IF(BC$4="forecast",BC14*0.12,SUMIF('Dept. Cost Actuals'!$E$7:$E$176,"*payroll taxes*",'Dept. Cost Actuals'!BG$529:BG$628))</f>
        <v>7373.2549999999992</v>
      </c>
      <c r="BD18" s="991">
        <f>IF(BD$4="forecast",BD14*0.12,SUMIF('Dept. Cost Actuals'!$E$7:$E$176,"*payroll taxes*",'Dept. Cost Actuals'!BH$529:BH$628))</f>
        <v>7373.2549999999992</v>
      </c>
      <c r="BE18" s="991">
        <f>IF(BE$4="forecast",BE14*0.12,SUMIF('Dept. Cost Actuals'!$E$7:$E$176,"*payroll taxes*",'Dept. Cost Actuals'!BI$529:BI$628))</f>
        <v>7373.2549999999992</v>
      </c>
      <c r="BF18" s="991">
        <f>IF(BF$4="forecast",BF14*0.12,SUMIF('Dept. Cost Actuals'!$E$7:$E$176,"*payroll taxes*",'Dept. Cost Actuals'!BJ$529:BJ$628))</f>
        <v>7373.2549999999992</v>
      </c>
      <c r="BG18" s="991">
        <f>IF(BG$4="forecast",BG14*0.12,SUMIF('Dept. Cost Actuals'!$E$7:$E$176,"*payroll taxes*",'Dept. Cost Actuals'!BK$529:BK$628))</f>
        <v>7373.2549999999992</v>
      </c>
      <c r="BH18" s="991">
        <f>IF(BH$4="forecast",BH14*0.12,SUMIF('Dept. Cost Actuals'!$E$7:$E$176,"*payroll taxes*",'Dept. Cost Actuals'!BL$529:BL$628))</f>
        <v>7373.2549999999992</v>
      </c>
      <c r="BI18" s="991">
        <f>IF(BI$4="forecast",BI14*0.12,SUMIF('Dept. Cost Actuals'!$E$7:$E$176,"*payroll taxes*",'Dept. Cost Actuals'!BM$529:BM$628))</f>
        <v>7373.2549999999992</v>
      </c>
      <c r="BJ18" s="991">
        <f>IF(BJ$4="forecast",BJ14*0.12,SUMIF('Dept. Cost Actuals'!$E$7:$E$176,"*payroll taxes*",'Dept. Cost Actuals'!BN$529:BN$628))</f>
        <v>7373.2549999999992</v>
      </c>
      <c r="BK18" s="991">
        <f>IF(BK$4="forecast",BK14*0.12,SUMIF('Dept. Cost Actuals'!$E$7:$E$176,"*payroll taxes*",'Dept. Cost Actuals'!BO$529:BO$628))</f>
        <v>7481.4667999999992</v>
      </c>
      <c r="BL18" s="991">
        <f>IF(BL$4="forecast",BL14*0.12,SUMIF('Dept. Cost Actuals'!$E$7:$E$176,"*payroll taxes*",'Dept. Cost Actuals'!BP$529:BP$628))</f>
        <v>7594.4526499999984</v>
      </c>
      <c r="BM18" s="991">
        <f>IF(BM$4="forecast",BM14*0.12,SUMIF('Dept. Cost Actuals'!$E$7:$E$176,"*payroll taxes*",'Dept. Cost Actuals'!BQ$529:BQ$628))</f>
        <v>7594.4526499999984</v>
      </c>
      <c r="BN18" s="991">
        <f>IF(BN$4="forecast",BN14*0.12,SUMIF('Dept. Cost Actuals'!$E$7:$E$176,"*payroll taxes*",'Dept. Cost Actuals'!BR$529:BR$628))</f>
        <v>7594.4526499999984</v>
      </c>
      <c r="BO18" s="991">
        <f>IF(BO$4="forecast",BO14*0.12,SUMIF('Dept. Cost Actuals'!$E$7:$E$176,"*payroll taxes*",'Dept. Cost Actuals'!BS$529:BS$628))</f>
        <v>7594.4526499999984</v>
      </c>
      <c r="BP18" s="991">
        <f>IF(BP$4="forecast",BP14*0.12,SUMIF('Dept. Cost Actuals'!$E$7:$E$176,"*payroll taxes*",'Dept. Cost Actuals'!BT$529:BT$628))</f>
        <v>7594.4526499999984</v>
      </c>
      <c r="BQ18" s="991">
        <f>IF(BQ$4="forecast",BQ14*0.12,SUMIF('Dept. Cost Actuals'!$E$7:$E$176,"*payroll taxes*",'Dept. Cost Actuals'!BU$529:BU$628))</f>
        <v>7594.4526499999984</v>
      </c>
      <c r="BR18" s="991">
        <f>IF(BR$4="forecast",BR14*0.12,SUMIF('Dept. Cost Actuals'!$E$7:$E$176,"*payroll taxes*",'Dept. Cost Actuals'!BV$529:BV$628))</f>
        <v>7594.4526499999984</v>
      </c>
      <c r="BS18" s="991">
        <f>IF(BS$4="forecast",BS14*0.12,SUMIF('Dept. Cost Actuals'!$E$7:$E$176,"*payroll taxes*",'Dept. Cost Actuals'!BW$529:BW$628))</f>
        <v>7594.4526499999984</v>
      </c>
      <c r="BT18" s="991">
        <f>IF(BT$4="forecast",BT14*0.12,SUMIF('Dept. Cost Actuals'!$E$7:$E$176,"*payroll taxes*",'Dept. Cost Actuals'!BX$529:BX$628))</f>
        <v>7594.4526499999984</v>
      </c>
      <c r="BU18" s="991">
        <f>IF(BU$4="forecast",BU14*0.12,SUMIF('Dept. Cost Actuals'!$E$7:$E$176,"*payroll taxes*",'Dept. Cost Actuals'!BY$529:BY$628))</f>
        <v>7594.4526499999984</v>
      </c>
      <c r="BV18" s="992">
        <f>IF(BV$4="forecast",BV14*0.12,SUMIF('Dept. Cost Actuals'!$E$7:$E$176,"*payroll taxes*",'Dept. Cost Actuals'!BZ$529:BZ$628))</f>
        <v>7594.4526499999984</v>
      </c>
    </row>
    <row r="19" spans="2:74" s="626" customFormat="1" ht="12.75" x14ac:dyDescent="0.2">
      <c r="B19" s="794" t="s">
        <v>1349</v>
      </c>
      <c r="C19" s="991">
        <f ca="1">IF(C$4="forecast",((C14/251)+B$19),SUMIF('Dept. Cost Actuals'!$E$7:$E$176,"*vacation*",'Dept. Cost Actuals'!G$529:G$628))</f>
        <v>0</v>
      </c>
      <c r="D19" s="991">
        <f ca="1">IF(D$4="forecast",((D14/251)+C$19),SUMIF('Dept. Cost Actuals'!$E$7:$E$176,"*vacation*",'Dept. Cost Actuals'!H$529:H$628))</f>
        <v>0</v>
      </c>
      <c r="E19" s="991">
        <f ca="1">IF(E$4="forecast",((E14/251)+D$19),SUMIF('Dept. Cost Actuals'!$E$7:$E$176,"*vacation*",'Dept. Cost Actuals'!I$529:I$628))</f>
        <v>0</v>
      </c>
      <c r="F19" s="991">
        <f ca="1">IF(F$4="forecast",((F14/251)+E$19),SUMIF('Dept. Cost Actuals'!$E$7:$E$176,"*vacation*",'Dept. Cost Actuals'!J$529:J$628))</f>
        <v>0</v>
      </c>
      <c r="G19" s="991">
        <f ca="1">IF(G$4="forecast",((G14/251)+F$19),SUMIF('Dept. Cost Actuals'!$E$7:$E$176,"*vacation*",'Dept. Cost Actuals'!K$529:K$628))</f>
        <v>0</v>
      </c>
      <c r="H19" s="991">
        <f ca="1">IF(H$4="forecast",((H14/251)+G$19),SUMIF('Dept. Cost Actuals'!$E$7:$E$176,"*vacation*",'Dept. Cost Actuals'!L$529:L$628))</f>
        <v>0</v>
      </c>
      <c r="I19" s="991">
        <f ca="1">IF(I$4="forecast",((I14/251)+H$19),SUMIF('Dept. Cost Actuals'!$E$7:$E$176,"*vacation*",'Dept. Cost Actuals'!M$529:M$628))</f>
        <v>0</v>
      </c>
      <c r="J19" s="991">
        <f ca="1">IF(J$4="forecast",((J14/251)+I$19),SUMIF('Dept. Cost Actuals'!$E$7:$E$176,"*vacation*",'Dept. Cost Actuals'!N$529:N$628))</f>
        <v>0</v>
      </c>
      <c r="K19" s="991">
        <f ca="1">IF(K$4="forecast",((K14/251)+J$19),SUMIF('Dept. Cost Actuals'!$E$7:$E$176,"*vacation*",'Dept. Cost Actuals'!O$529:O$628))</f>
        <v>0</v>
      </c>
      <c r="L19" s="991">
        <f ca="1">IF(L$4="forecast",((L14/251)+K$19),SUMIF('Dept. Cost Actuals'!$E$7:$E$176,"*vacation*",'Dept. Cost Actuals'!P$529:P$628))</f>
        <v>0</v>
      </c>
      <c r="M19" s="991">
        <f ca="1">IF(M$4="forecast",((M14/251)+L$19),SUMIF('Dept. Cost Actuals'!$E$7:$E$176,"*vacation*",'Dept. Cost Actuals'!Q$529:Q$628))</f>
        <v>0</v>
      </c>
      <c r="N19" s="991">
        <f ca="1">IF(N$4="forecast",((N14/251)+M$19),SUMIF('Dept. Cost Actuals'!$E$7:$E$176,"*vacation*",'Dept. Cost Actuals'!R$529:R$628))</f>
        <v>0</v>
      </c>
      <c r="O19" s="991">
        <f ca="1">IF(O$4="forecast",((O14/251)+N$19),SUMIF('Dept. Cost Actuals'!$E$7:$E$176,"*vacation*",'Dept. Cost Actuals'!S$529:S$628))</f>
        <v>0</v>
      </c>
      <c r="P19" s="991">
        <f ca="1">IF(P$4="forecast",((P14/251)+O$19),SUMIF('Dept. Cost Actuals'!$E$7:$E$176,"*vacation*",'Dept. Cost Actuals'!T$529:T$628))</f>
        <v>0</v>
      </c>
      <c r="Q19" s="991">
        <f ca="1">IF(Q$4="forecast",((Q14/251)+P$19),SUMIF('Dept. Cost Actuals'!$E$7:$E$176,"*vacation*",'Dept. Cost Actuals'!U$529:U$628))</f>
        <v>0</v>
      </c>
      <c r="R19" s="991">
        <f ca="1">IF(R$4="forecast",((R14/251)+Q$19),SUMIF('Dept. Cost Actuals'!$E$7:$E$176,"*vacation*",'Dept. Cost Actuals'!V$529:V$628))</f>
        <v>1381.53</v>
      </c>
      <c r="S19" s="991">
        <f ca="1">IF(S$4="forecast",((S14/251)+R$19),SUMIF('Dept. Cost Actuals'!$E$7:$E$176,"*vacation*",'Dept. Cost Actuals'!W$529:W$628))</f>
        <v>-1256.6600000000001</v>
      </c>
      <c r="T19" s="991">
        <f ca="1">IF(T$4="forecast",((T14/251)+S$19),SUMIF('Dept. Cost Actuals'!$E$7:$E$176,"*vacation*",'Dept. Cost Actuals'!X$529:X$628))</f>
        <v>703.37</v>
      </c>
      <c r="U19" s="991">
        <f ca="1">IF(U$4="forecast",((U14/251)+T$19),SUMIF('Dept. Cost Actuals'!$E$7:$E$176,"*vacation*",'Dept. Cost Actuals'!Y$529:Y$628))</f>
        <v>726.82</v>
      </c>
      <c r="V19" s="991">
        <f ca="1">IF(V$4="forecast",((V14/251)+U$19),SUMIF('Dept. Cost Actuals'!$E$7:$E$176,"*vacation*",'Dept. Cost Actuals'!Z$529:Z$628))</f>
        <v>84.56</v>
      </c>
      <c r="W19" s="991">
        <f ca="1">IF(W$4="forecast",((W14/251)+V$19),SUMIF('Dept. Cost Actuals'!$E$7:$E$176,"*vacation*",'Dept. Cost Actuals'!AA$529:AA$628))</f>
        <v>682.3</v>
      </c>
      <c r="X19" s="991">
        <f ca="1">IF(X$4="forecast",((X14/251)+W$19),SUMIF('Dept. Cost Actuals'!$E$7:$E$176,"*vacation*",'Dept. Cost Actuals'!AB$529:AB$628))</f>
        <v>-842.47</v>
      </c>
      <c r="Y19" s="991">
        <f ca="1">IF(Y$4="forecast",((Y14/251)+X$19),SUMIF('Dept. Cost Actuals'!$E$7:$E$176,"*vacation*",'Dept. Cost Actuals'!AC$529:AC$628))</f>
        <v>521.6</v>
      </c>
      <c r="Z19" s="991">
        <f ca="1">IF(Z$4="forecast",((Z14/251)+Y$19),SUMIF('Dept. Cost Actuals'!$E$7:$E$176,"*vacation*",'Dept. Cost Actuals'!AD$529:AD$628))</f>
        <v>598.27</v>
      </c>
      <c r="AA19" s="991">
        <f ca="1">IF(AA$4="forecast",((AA14/251)+Z$19),SUMIF('Dept. Cost Actuals'!$E$7:$E$176,"*vacation*",'Dept. Cost Actuals'!AE$529:AE$628))</f>
        <v>-760.54</v>
      </c>
      <c r="AB19" s="991">
        <f ca="1">IF(AB$4="forecast",((AB14/251)+AA$19),SUMIF('Dept. Cost Actuals'!$E$7:$E$176,"*vacation*",'Dept. Cost Actuals'!AF$529:AF$628))</f>
        <v>3217.02</v>
      </c>
      <c r="AC19" s="991">
        <f ca="1">IF(AC$4="forecast",((AC14/251)+AB$19),SUMIF('Dept. Cost Actuals'!$E$7:$E$176,"*vacation*",'Dept. Cost Actuals'!AG$529:AG$628))</f>
        <v>1365.43</v>
      </c>
      <c r="AD19" s="991">
        <f ca="1">IF(AD$4="forecast",((AD14/251)+AC$19),SUMIF('Dept. Cost Actuals'!$E$7:$E$176,"*vacation*",'Dept. Cost Actuals'!AH$529:AH$628))</f>
        <v>1504.8722310756973</v>
      </c>
      <c r="AE19" s="991">
        <f ca="1">IF(AE$4="forecast",((AE14/251)+AD$19),SUMIF('Dept. Cost Actuals'!$E$7:$E$176,"*vacation*",'Dept. Cost Actuals'!AI$529:AI$628))</f>
        <v>1735.6159229747677</v>
      </c>
      <c r="AF19" s="991">
        <f ca="1">IF(AF$4="forecast",((AF14/251)+AE$19),SUMIF('Dept. Cost Actuals'!$E$7:$E$176,"*vacation*",'Dept. Cost Actuals'!AJ$529:AJ$628))</f>
        <v>1966.3596148738382</v>
      </c>
      <c r="AG19" s="991">
        <f ca="1">IF(AG$4="forecast",((AG14/251)+AF$19),SUMIF('Dept. Cost Actuals'!$E$7:$E$176,"*vacation*",'Dept. Cost Actuals'!AK$529:AK$628))</f>
        <v>2197.1033067729086</v>
      </c>
      <c r="AH19" s="991">
        <f ca="1">IF(AH$4="forecast",((AH14/251)+AG$19),SUMIF('Dept. Cost Actuals'!$E$7:$E$176,"*vacation*",'Dept. Cost Actuals'!AL$529:AL$628))</f>
        <v>2427.8469986719788</v>
      </c>
      <c r="AI19" s="991">
        <f ca="1">IF(AI$4="forecast",((AI14/251)+AH$19),SUMIF('Dept. Cost Actuals'!$E$7:$E$176,"*vacation*",'Dept. Cost Actuals'!AM$529:AM$628))</f>
        <v>2658.590690571049</v>
      </c>
      <c r="AJ19" s="991">
        <f ca="1">IF(AJ$4="forecast",((AJ14/251)+AI$19),SUMIF('Dept. Cost Actuals'!$E$7:$E$176,"*vacation*",'Dept. Cost Actuals'!AN$529:AN$628))</f>
        <v>2889.3343824701192</v>
      </c>
      <c r="AK19" s="991">
        <f ca="1">IF(AK$4="forecast",((AK14/251)+AJ$19),SUMIF('Dept. Cost Actuals'!$E$7:$E$176,"*vacation*",'Dept. Cost Actuals'!AO$529:AO$628))</f>
        <v>3120.0780743691894</v>
      </c>
      <c r="AL19" s="991">
        <f ca="1">IF(AL$4="forecast",((AL14/251)+AK$19),SUMIF('Dept. Cost Actuals'!$E$7:$E$176,"*vacation*",'Dept. Cost Actuals'!AP$529:AP$628))</f>
        <v>3350.8217662682596</v>
      </c>
      <c r="AM19" s="991">
        <f ca="1">IF(AM$4="forecast",((AM14/251)+AL$19),SUMIF('Dept. Cost Actuals'!$E$7:$E$176,"*vacation*",'Dept. Cost Actuals'!AQ$529:AQ$628))</f>
        <v>3584.951912350597</v>
      </c>
      <c r="AN19" s="991">
        <f ca="1">IF(AN$4="forecast",((AN14/251)+AM$19),SUMIF('Dept. Cost Actuals'!$E$7:$E$176,"*vacation*",'Dept. Cost Actuals'!AR$529:AR$628))</f>
        <v>3822.6179150066396</v>
      </c>
      <c r="AO19" s="991">
        <f ca="1">IF(AO$4="forecast",((AO14/251)+AN$19),SUMIF('Dept. Cost Actuals'!$E$7:$E$176,"*vacation*",'Dept. Cost Actuals'!AS$529:AS$628))</f>
        <v>4060.2839176626821</v>
      </c>
      <c r="AP19" s="991">
        <f ca="1">IF(AP$4="forecast",((AP14/251)+AO$19),SUMIF('Dept. Cost Actuals'!$E$7:$E$176,"*vacation*",'Dept. Cost Actuals'!AT$529:AT$628))</f>
        <v>4297.9499203187243</v>
      </c>
      <c r="AQ19" s="991">
        <f ca="1">IF(AQ$4="forecast",((AQ14/251)+AP$19),SUMIF('Dept. Cost Actuals'!$E$7:$E$176,"*vacation*",'Dept. Cost Actuals'!AU$529:AU$628))</f>
        <v>4535.6159229747664</v>
      </c>
      <c r="AR19" s="991">
        <f ca="1">IF(AR$4="forecast",((AR14/251)+AQ$19),SUMIF('Dept. Cost Actuals'!$E$7:$E$176,"*vacation*",'Dept. Cost Actuals'!AV$529:AV$628))</f>
        <v>4773.2819256308085</v>
      </c>
      <c r="AS19" s="991">
        <f ca="1">IF(AS$4="forecast",((AS14/251)+AR$19),SUMIF('Dept. Cost Actuals'!$E$7:$E$176,"*vacation*",'Dept. Cost Actuals'!AW$529:AW$628))</f>
        <v>5010.9479282868506</v>
      </c>
      <c r="AT19" s="991">
        <f ca="1">IF(AT$4="forecast",((AT14/251)+AS$19),SUMIF('Dept. Cost Actuals'!$E$7:$E$176,"*vacation*",'Dept. Cost Actuals'!AX$529:AX$628))</f>
        <v>5248.6139309428927</v>
      </c>
      <c r="AU19" s="991">
        <f ca="1">IF(AU$4="forecast",((AU14/251)+AT$19),SUMIF('Dept. Cost Actuals'!$E$7:$E$176,"*vacation*",'Dept. Cost Actuals'!AY$529:AY$628))</f>
        <v>5486.2799335989348</v>
      </c>
      <c r="AV19" s="991">
        <f ca="1">IF(AV$4="forecast",((AV14/251)+AU$19),SUMIF('Dept. Cost Actuals'!$E$7:$E$176,"*vacation*",'Dept. Cost Actuals'!AZ$529:AZ$628))</f>
        <v>5723.9459362549769</v>
      </c>
      <c r="AW19" s="991">
        <f ca="1">IF(AW$4="forecast",((AW14/251)+AV$19),SUMIF('Dept. Cost Actuals'!$E$7:$E$176,"*vacation*",'Dept. Cost Actuals'!BA$529:BA$628))</f>
        <v>5961.611938911019</v>
      </c>
      <c r="AX19" s="991">
        <f ca="1">IF(AX$4="forecast",((AX14/251)+AW$19),SUMIF('Dept. Cost Actuals'!$E$7:$E$176,"*vacation*",'Dept. Cost Actuals'!BB$529:BB$628))</f>
        <v>6199.2779415670611</v>
      </c>
      <c r="AY19" s="991">
        <f ca="1">IF(AY$4="forecast",((AY14/251)+AX$19),SUMIF('Dept. Cost Actuals'!$E$7:$E$176,"*vacation*",'Dept. Cost Actuals'!BC$529:BC$628))</f>
        <v>6440.4319920318685</v>
      </c>
      <c r="AZ19" s="991">
        <f ca="1">IF(AZ$4="forecast",((AZ14/251)+AY$19),SUMIF('Dept. Cost Actuals'!$E$7:$E$176,"*vacation*",'Dept. Cost Actuals'!BD$529:BD$628))</f>
        <v>6685.2279747675921</v>
      </c>
      <c r="BA19" s="991">
        <f ca="1">IF(BA$4="forecast",((BA14/251)+AZ$19),SUMIF('Dept. Cost Actuals'!$E$7:$E$176,"*vacation*",'Dept. Cost Actuals'!BE$529:BE$628))</f>
        <v>6930.0239575033156</v>
      </c>
      <c r="BB19" s="991">
        <f ca="1">IF(BB$4="forecast",((BB14/251)+BA$19),SUMIF('Dept. Cost Actuals'!$E$7:$E$176,"*vacation*",'Dept. Cost Actuals'!BF$529:BF$628))</f>
        <v>7174.8199402390392</v>
      </c>
      <c r="BC19" s="991">
        <f ca="1">IF(BC$4="forecast",((BC14/251)+BB$19),SUMIF('Dept. Cost Actuals'!$E$7:$E$176,"*vacation*",'Dept. Cost Actuals'!BG$529:BG$628))</f>
        <v>7419.6159229747627</v>
      </c>
      <c r="BD19" s="991">
        <f ca="1">IF(BD$4="forecast",((BD14/251)+BC$19),SUMIF('Dept. Cost Actuals'!$E$7:$E$176,"*vacation*",'Dept. Cost Actuals'!BH$529:BH$628))</f>
        <v>7664.4119057104863</v>
      </c>
      <c r="BE19" s="991">
        <f ca="1">IF(BE$4="forecast",((BE14/251)+BD$19),SUMIF('Dept. Cost Actuals'!$E$7:$E$176,"*vacation*",'Dept. Cost Actuals'!BI$529:BI$628))</f>
        <v>7909.2078884462098</v>
      </c>
      <c r="BF19" s="991">
        <f ca="1">IF(BF$4="forecast",((BF14/251)+BE$19),SUMIF('Dept. Cost Actuals'!$E$7:$E$176,"*vacation*",'Dept. Cost Actuals'!BJ$529:BJ$628))</f>
        <v>8154.0038711819334</v>
      </c>
      <c r="BG19" s="991">
        <f ca="1">IF(BG$4="forecast",((BG14/251)+BF$19),SUMIF('Dept. Cost Actuals'!$E$7:$E$176,"*vacation*",'Dept. Cost Actuals'!BK$529:BK$628))</f>
        <v>8398.7998539176569</v>
      </c>
      <c r="BH19" s="991">
        <f ca="1">IF(BH$4="forecast",((BH14/251)+BG$19),SUMIF('Dept. Cost Actuals'!$E$7:$E$176,"*vacation*",'Dept. Cost Actuals'!BL$529:BL$628))</f>
        <v>8643.5958366533814</v>
      </c>
      <c r="BI19" s="991">
        <f ca="1">IF(BI$4="forecast",((BI14/251)+BH$19),SUMIF('Dept. Cost Actuals'!$E$7:$E$176,"*vacation*",'Dept. Cost Actuals'!BM$529:BM$628))</f>
        <v>8888.3918193891059</v>
      </c>
      <c r="BJ19" s="991">
        <f ca="1">IF(BJ$4="forecast",((BJ14/251)+BI$19),SUMIF('Dept. Cost Actuals'!$E$7:$E$176,"*vacation*",'Dept. Cost Actuals'!BN$529:BN$628))</f>
        <v>9133.1878021248303</v>
      </c>
      <c r="BK19" s="991">
        <f ca="1">IF(BK$4="forecast",((BK14/251)+BJ$19),SUMIF('Dept. Cost Actuals'!$E$7:$E$176,"*vacation*",'Dept. Cost Actuals'!BO$529:BO$628))</f>
        <v>9381.5764741035819</v>
      </c>
      <c r="BL19" s="991">
        <f ca="1">IF(BL$4="forecast",((BL14/251)+BK$19),SUMIF('Dept. Cost Actuals'!$E$7:$E$176,"*vacation*",'Dept. Cost Actuals'!BP$529:BP$628))</f>
        <v>9633.7163363213767</v>
      </c>
      <c r="BM19" s="991">
        <f ca="1">IF(BM$4="forecast",((BM14/251)+BL$19),SUMIF('Dept. Cost Actuals'!$E$7:$E$176,"*vacation*",'Dept. Cost Actuals'!BQ$529:BQ$628))</f>
        <v>9885.8561985391716</v>
      </c>
      <c r="BN19" s="991">
        <f ca="1">IF(BN$4="forecast",((BN14/251)+BM$19),SUMIF('Dept. Cost Actuals'!$E$7:$E$176,"*vacation*",'Dept. Cost Actuals'!BR$529:BR$628))</f>
        <v>10137.996060756966</v>
      </c>
      <c r="BO19" s="991">
        <f ca="1">IF(BO$4="forecast",((BO14/251)+BN$19),SUMIF('Dept. Cost Actuals'!$E$7:$E$176,"*vacation*",'Dept. Cost Actuals'!BS$529:BS$628))</f>
        <v>10390.135922974761</v>
      </c>
      <c r="BP19" s="991">
        <f ca="1">IF(BP$4="forecast",((BP14/251)+BO$19),SUMIF('Dept. Cost Actuals'!$E$7:$E$176,"*vacation*",'Dept. Cost Actuals'!BT$529:BT$628))</f>
        <v>10642.275785192556</v>
      </c>
      <c r="BQ19" s="991">
        <f ca="1">IF(BQ$4="forecast",((BQ14/251)+BP$19),SUMIF('Dept. Cost Actuals'!$E$7:$E$176,"*vacation*",'Dept. Cost Actuals'!BU$529:BU$628))</f>
        <v>10894.415647410351</v>
      </c>
      <c r="BR19" s="991">
        <f ca="1">IF(BR$4="forecast",((BR14/251)+BQ$19),SUMIF('Dept. Cost Actuals'!$E$7:$E$176,"*vacation*",'Dept. Cost Actuals'!BV$529:BV$628))</f>
        <v>11146.555509628146</v>
      </c>
      <c r="BS19" s="991">
        <f ca="1">IF(BS$4="forecast",((BS14/251)+BR$19),SUMIF('Dept. Cost Actuals'!$E$7:$E$176,"*vacation*",'Dept. Cost Actuals'!BW$529:BW$628))</f>
        <v>11398.695371845941</v>
      </c>
      <c r="BT19" s="991">
        <f ca="1">IF(BT$4="forecast",((BT14/251)+BS$19),SUMIF('Dept. Cost Actuals'!$E$7:$E$176,"*vacation*",'Dept. Cost Actuals'!BX$529:BX$628))</f>
        <v>11650.835234063736</v>
      </c>
      <c r="BU19" s="991">
        <f ca="1">IF(BU$4="forecast",((BU14/251)+BT$19),SUMIF('Dept. Cost Actuals'!$E$7:$E$176,"*vacation*",'Dept. Cost Actuals'!BY$529:BY$628))</f>
        <v>11902.975096281531</v>
      </c>
      <c r="BV19" s="992">
        <f ca="1">IF(BV$4="forecast",((BV14/251)+BU$19),SUMIF('Dept. Cost Actuals'!$E$7:$E$176,"*vacation*",'Dept. Cost Actuals'!BZ$529:BZ$628))</f>
        <v>12155.114958499325</v>
      </c>
    </row>
    <row r="20" spans="2:74" s="626" customFormat="1" ht="12.75" x14ac:dyDescent="0.2">
      <c r="B20" s="794" t="s">
        <v>657</v>
      </c>
      <c r="C20" s="668">
        <f ca="1">IF(C$4="forecast",(((SUM($O$20:$Z$20)/12)*1.03)),SUMIF('Dept. Cost Actuals'!$E$7:$E$176,"*Health Insurance*",'Dept. Cost Actuals'!G$529:G$628))</f>
        <v>79.635799496401887</v>
      </c>
      <c r="D20" s="668">
        <f ca="1">IF(D$4="forecast",(((SUM($O$20:$Z$20)/12)*1.03)),SUMIF('Dept. Cost Actuals'!$E$7:$E$176,"*Health Insurance*",'Dept. Cost Actuals'!H$529:H$628))</f>
        <v>47.571414196631828</v>
      </c>
      <c r="E20" s="668">
        <f ca="1">IF(E$4="forecast",(((SUM($O$20:$Z$20)/12)*1.03)),SUMIF('Dept. Cost Actuals'!$E$7:$E$176,"*Health Insurance*",'Dept. Cost Actuals'!I$529:I$628))</f>
        <v>67.085710893335957</v>
      </c>
      <c r="F20" s="668">
        <f ca="1">IF(F$4="forecast",(((SUM($O$20:$Z$20)/12)*1.03)),SUMIF('Dept. Cost Actuals'!$E$7:$E$176,"*Health Insurance*",'Dept. Cost Actuals'!J$529:J$628))</f>
        <v>-103.00110200944022</v>
      </c>
      <c r="G20" s="668">
        <f ca="1">IF(G$4="forecast",(((SUM($O$20:$Z$20)/12)*1.03)),SUMIF('Dept. Cost Actuals'!$E$7:$E$176,"*Health Insurance*",'Dept. Cost Actuals'!K$529:K$628))</f>
        <v>16.603381458639483</v>
      </c>
      <c r="H20" s="668">
        <f ca="1">IF(H$4="forecast",(((SUM($O$20:$Z$20)/12)*1.03)),SUMIF('Dept. Cost Actuals'!$E$7:$E$176,"*Health Insurance*",'Dept. Cost Actuals'!L$529:L$628))</f>
        <v>-127.04875876313812</v>
      </c>
      <c r="I20" s="668">
        <f ca="1">IF(I$4="forecast",(((SUM($O$20:$Z$20)/12)*1.03)),SUMIF('Dept. Cost Actuals'!$E$7:$E$176,"*Health Insurance*",'Dept. Cost Actuals'!M$529:M$628))</f>
        <v>-50.816661372038567</v>
      </c>
      <c r="J20" s="668">
        <f ca="1">IF(J$4="forecast",(((SUM($O$20:$Z$20)/12)*1.03)),SUMIF('Dept. Cost Actuals'!$E$7:$E$176,"*Health Insurance*",'Dept. Cost Actuals'!N$529:N$628))</f>
        <v>-294.42966602875572</v>
      </c>
      <c r="K20" s="668">
        <f ca="1">IF(K$4="forecast",(((SUM($O$20:$Z$20)/12)*1.03)),SUMIF('Dept. Cost Actuals'!$E$7:$E$176,"*Health Insurance*",'Dept. Cost Actuals'!O$529:O$628))</f>
        <v>-28.104562373952291</v>
      </c>
      <c r="L20" s="668">
        <f ca="1">IF(L$4="forecast",(((SUM($O$20:$Z$20)/12)*1.03)),SUMIF('Dept. Cost Actuals'!$E$7:$E$176,"*Health Insurance*",'Dept. Cost Actuals'!P$529:P$628))</f>
        <v>-69.853372363127178</v>
      </c>
      <c r="M20" s="668">
        <f ca="1">IF(M$4="forecast",(((SUM($O$20:$Z$20)/12)*1.03)),SUMIF('Dept. Cost Actuals'!$E$7:$E$176,"*Health Insurance*",'Dept. Cost Actuals'!Q$529:Q$628))</f>
        <v>-19.216115292375406</v>
      </c>
      <c r="N20" s="668">
        <f ca="1">IF(N$4="forecast",(((SUM($O$20:$Z$20)/12)*1.03)),SUMIF('Dept. Cost Actuals'!$E$7:$E$176,"*Health Insurance*",'Dept. Cost Actuals'!R$529:R$628))</f>
        <v>341.17510993168139</v>
      </c>
      <c r="O20" s="668">
        <f ca="1">IF(O$4="forecast",(((SUM($O$20:$Z$20)/12)*1.03)),SUMIF('Dept. Cost Actuals'!$E$7:$E$176,"*Health Insurance*",'Dept. Cost Actuals'!S$529:S$628))</f>
        <v>606.96</v>
      </c>
      <c r="P20" s="668">
        <f ca="1">IF(P$4="forecast",(((SUM($O$20:$Z$20)/12)*1.03)),SUMIF('Dept. Cost Actuals'!$E$7:$E$176,"*Health Insurance*",'Dept. Cost Actuals'!T$529:T$628))</f>
        <v>346.91</v>
      </c>
      <c r="Q20" s="668">
        <f ca="1">IF(Q$4="forecast",(((SUM($O$20:$Z$20)/12)*1.03)),SUMIF('Dept. Cost Actuals'!$E$7:$E$176,"*Health Insurance*",'Dept. Cost Actuals'!U$529:U$628))</f>
        <v>346.92</v>
      </c>
      <c r="R20" s="668">
        <f ca="1">IF(R$4="forecast",(((SUM($O$20:$Z$20)/12)*1.03)),SUMIF('Dept. Cost Actuals'!$E$7:$E$176,"*Health Insurance*",'Dept. Cost Actuals'!V$529:V$628))</f>
        <v>346.91</v>
      </c>
      <c r="S20" s="668">
        <f ca="1">IF(S$4="forecast",(((SUM($O$20:$Z$20)/12)*1.03)),SUMIF('Dept. Cost Actuals'!$E$7:$E$176,"*Health Insurance*",'Dept. Cost Actuals'!W$529:W$628))</f>
        <v>951.81</v>
      </c>
      <c r="T20" s="668">
        <f ca="1">IF(T$4="forecast",(((SUM($O$20:$Z$20)/12)*1.03)),SUMIF('Dept. Cost Actuals'!$E$7:$E$176,"*Health Insurance*",'Dept. Cost Actuals'!X$529:X$628))</f>
        <v>1112.57</v>
      </c>
      <c r="U20" s="668">
        <f ca="1">IF(U$4="forecast",(((SUM($O$20:$Z$20)/12)*1.03)),SUMIF('Dept. Cost Actuals'!$E$7:$E$176,"*Health Insurance*",'Dept. Cost Actuals'!Y$529:Y$628))</f>
        <v>1086.55</v>
      </c>
      <c r="V20" s="668">
        <f ca="1">IF(V$4="forecast",(((SUM($O$20:$Z$20)/12)*1.03)),SUMIF('Dept. Cost Actuals'!$E$7:$E$176,"*Health Insurance*",'Dept. Cost Actuals'!Z$529:Z$628))</f>
        <v>1038.47</v>
      </c>
      <c r="W20" s="668">
        <f ca="1">IF(W$4="forecast",(((SUM($O$20:$Z$20)/12)*1.03)),SUMIF('Dept. Cost Actuals'!$E$7:$E$176,"*Health Insurance*",'Dept. Cost Actuals'!AA$529:AA$628))</f>
        <v>1044.44</v>
      </c>
      <c r="X20" s="668">
        <f ca="1">IF(X$4="forecast",(((SUM($O$20:$Z$20)/12)*1.03)),SUMIF('Dept. Cost Actuals'!$E$7:$E$176,"*Health Insurance*",'Dept. Cost Actuals'!AB$529:AB$628))</f>
        <v>1403.81</v>
      </c>
      <c r="Y20" s="668">
        <f ca="1">IF(Y$4="forecast",(((SUM($O$20:$Z$20)/12)*1.03)),SUMIF('Dept. Cost Actuals'!$E$7:$E$176,"*Health Insurance*",'Dept. Cost Actuals'!AC$529:AC$628))</f>
        <v>0</v>
      </c>
      <c r="Z20" s="668">
        <f ca="1">IF(Z$4="forecast",(((SUM($O$20:$Z$20)/12)*1.03)),SUMIF('Dept. Cost Actuals'!$E$7:$E$176,"*Health Insurance*",'Dept. Cost Actuals'!AD$529:AD$628))</f>
        <v>1461.53</v>
      </c>
      <c r="AA20" s="668">
        <f ca="1">IF(AA$4="forecast",(((SUM($O$20:$Z$20)/12)*1.03)),SUMIF('Dept. Cost Actuals'!$E$7:$E$176,"*Health Insurance*",'Dept. Cost Actuals'!AE$529:AE$628))</f>
        <v>1798.63</v>
      </c>
      <c r="AB20" s="668">
        <f ca="1">IF(AB$4="forecast",(((SUM($O$20:$Z$20)/12)*1.03)),SUMIF('Dept. Cost Actuals'!$E$7:$E$176,"*Health Insurance*",'Dept. Cost Actuals'!AF$529:AF$628))</f>
        <v>1785.19</v>
      </c>
      <c r="AC20" s="668">
        <f ca="1">IF(AC$4="forecast",(((SUM($O$20:$Z$20)/12)*1.03)),SUMIF('Dept. Cost Actuals'!$E$7:$E$176,"*Health Insurance*",'Dept. Cost Actuals'!AG$529:AG$628))</f>
        <v>1755.69</v>
      </c>
      <c r="AD20" s="668">
        <f ca="1">IF(AD$4="forecast",(((SUM($O$20:$Z$20)/12)*1.03)),SUMIF('Dept. Cost Actuals'!$E$7:$E$176,"*Health Insurance*",'Dept. Cost Actuals'!AH$529:AH$628))</f>
        <v>836.60720000000015</v>
      </c>
      <c r="AE20" s="668">
        <f ca="1">IF(AE$4="forecast",(((SUM($O$20:$Z$20)/12)*1.03)),SUMIF('Dept. Cost Actuals'!$E$7:$E$176,"*Health Insurance*",'Dept. Cost Actuals'!AI$529:AI$628))</f>
        <v>836.60720000000015</v>
      </c>
      <c r="AF20" s="668">
        <f ca="1">IF(AF$4="forecast",(((SUM($O$20:$Z$20)/12)*1.03)),SUMIF('Dept. Cost Actuals'!$E$7:$E$176,"*Health Insurance*",'Dept. Cost Actuals'!AJ$529:AJ$628))</f>
        <v>836.60720000000015</v>
      </c>
      <c r="AG20" s="668">
        <f ca="1">IF(AG$4="forecast",(((SUM($O$20:$Z$20)/12)*1.03)),SUMIF('Dept. Cost Actuals'!$E$7:$E$176,"*Health Insurance*",'Dept. Cost Actuals'!AK$529:AK$628))</f>
        <v>836.60720000000015</v>
      </c>
      <c r="AH20" s="668">
        <f ca="1">IF(AH$4="forecast",(((SUM($O$20:$Z$20)/12)*1.03)),SUMIF('Dept. Cost Actuals'!$E$7:$E$176,"*Health Insurance*",'Dept. Cost Actuals'!AL$529:AL$628))</f>
        <v>836.60720000000015</v>
      </c>
      <c r="AI20" s="668">
        <f ca="1">IF(AI$4="forecast",(((SUM($O$20:$Z$20)/12)*1.03)),SUMIF('Dept. Cost Actuals'!$E$7:$E$176,"*Health Insurance*",'Dept. Cost Actuals'!AM$529:AM$628))</f>
        <v>836.60720000000015</v>
      </c>
      <c r="AJ20" s="668">
        <f ca="1">IF(AJ$4="forecast",(((SUM($O$20:$Z$20)/12)*1.03)),SUMIF('Dept. Cost Actuals'!$E$7:$E$176,"*Health Insurance*",'Dept. Cost Actuals'!AN$529:AN$628))</f>
        <v>836.60720000000015</v>
      </c>
      <c r="AK20" s="668">
        <f ca="1">IF(AK$4="forecast",(((SUM($O$20:$Z$20)/12)*1.03)),SUMIF('Dept. Cost Actuals'!$E$7:$E$176,"*Health Insurance*",'Dept. Cost Actuals'!AO$529:AO$628))</f>
        <v>836.60720000000015</v>
      </c>
      <c r="AL20" s="668">
        <f ca="1">IF(AL$4="forecast",(((SUM($O$20:$Z$20)/12)*1.03)),SUMIF('Dept. Cost Actuals'!$E$7:$E$176,"*Health Insurance*",'Dept. Cost Actuals'!AP$529:AP$628))</f>
        <v>836.60720000000015</v>
      </c>
      <c r="AM20" s="668">
        <f ca="1">IF(AM$4="forecast",(((SUM($O$20:$Z$20)/12)*1.03)),SUMIF('Dept. Cost Actuals'!$E$7:$E$176,"*Health Insurance*",'Dept. Cost Actuals'!AQ$529:AQ$628))</f>
        <v>836.60720000000015</v>
      </c>
      <c r="AN20" s="668">
        <f ca="1">IF(AN$4="forecast",(((SUM($O$20:$Z$20)/12)*1.03)),SUMIF('Dept. Cost Actuals'!$E$7:$E$176,"*Health Insurance*",'Dept. Cost Actuals'!AR$529:AR$628))</f>
        <v>836.60720000000015</v>
      </c>
      <c r="AO20" s="668">
        <f ca="1">IF(AO$4="forecast",(((SUM($O$20:$Z$20)/12)*1.03)),SUMIF('Dept. Cost Actuals'!$E$7:$E$176,"*Health Insurance*",'Dept. Cost Actuals'!AS$529:AS$628))</f>
        <v>836.60720000000015</v>
      </c>
      <c r="AP20" s="668">
        <f ca="1">IF(AP$4="forecast",(((SUM($O$20:$Z$20)/12)*1.03)),SUMIF('Dept. Cost Actuals'!$E$7:$E$176,"*Health Insurance*",'Dept. Cost Actuals'!AT$529:AT$628))</f>
        <v>836.60720000000015</v>
      </c>
      <c r="AQ20" s="668">
        <f ca="1">IF(AQ$4="forecast",(((SUM($O$20:$Z$20)/12)*1.03)),SUMIF('Dept. Cost Actuals'!$E$7:$E$176,"*Health Insurance*",'Dept. Cost Actuals'!AU$529:AU$628))</f>
        <v>836.60720000000015</v>
      </c>
      <c r="AR20" s="668">
        <f ca="1">IF(AR$4="forecast",(((SUM($O$20:$Z$20)/12)*1.03)),SUMIF('Dept. Cost Actuals'!$E$7:$E$176,"*Health Insurance*",'Dept. Cost Actuals'!AV$529:AV$628))</f>
        <v>836.60720000000015</v>
      </c>
      <c r="AS20" s="668">
        <f ca="1">IF(AS$4="forecast",(((SUM($O$20:$Z$20)/12)*1.03)),SUMIF('Dept. Cost Actuals'!$E$7:$E$176,"*Health Insurance*",'Dept. Cost Actuals'!AW$529:AW$628))</f>
        <v>836.60720000000015</v>
      </c>
      <c r="AT20" s="668">
        <f ca="1">IF(AT$4="forecast",(((SUM($O$20:$Z$20)/12)*1.03)),SUMIF('Dept. Cost Actuals'!$E$7:$E$176,"*Health Insurance*",'Dept. Cost Actuals'!AX$529:AX$628))</f>
        <v>836.60720000000015</v>
      </c>
      <c r="AU20" s="668">
        <f ca="1">IF(AU$4="forecast",(((SUM($O$20:$Z$20)/12)*1.03)),SUMIF('Dept. Cost Actuals'!$E$7:$E$176,"*Health Insurance*",'Dept. Cost Actuals'!AY$529:AY$628))</f>
        <v>836.60720000000015</v>
      </c>
      <c r="AV20" s="668">
        <f ca="1">IF(AV$4="forecast",(((SUM($O$20:$Z$20)/12)*1.03)),SUMIF('Dept. Cost Actuals'!$E$7:$E$176,"*Health Insurance*",'Dept. Cost Actuals'!AZ$529:AZ$628))</f>
        <v>836.60720000000015</v>
      </c>
      <c r="AW20" s="668">
        <f ca="1">IF(AW$4="forecast",(((SUM($O$20:$Z$20)/12)*1.03)),SUMIF('Dept. Cost Actuals'!$E$7:$E$176,"*Health Insurance*",'Dept. Cost Actuals'!BA$529:BA$628))</f>
        <v>836.60720000000015</v>
      </c>
      <c r="AX20" s="668">
        <f ca="1">IF(AX$4="forecast",(((SUM($O$20:$Z$20)/12)*1.03)),SUMIF('Dept. Cost Actuals'!$E$7:$E$176,"*Health Insurance*",'Dept. Cost Actuals'!BB$529:BB$628))</f>
        <v>836.60720000000015</v>
      </c>
      <c r="AY20" s="668">
        <f ca="1">IF(AY$4="forecast",(((SUM($O$20:$Z$20)/12)*1.03)),SUMIF('Dept. Cost Actuals'!$E$7:$E$176,"*Health Insurance*",'Dept. Cost Actuals'!BC$529:BC$628))</f>
        <v>836.60720000000015</v>
      </c>
      <c r="AZ20" s="668">
        <f ca="1">IF(AZ$4="forecast",(((SUM($O$20:$Z$20)/12)*1.03)),SUMIF('Dept. Cost Actuals'!$E$7:$E$176,"*Health Insurance*",'Dept. Cost Actuals'!BD$529:BD$628))</f>
        <v>836.60720000000015</v>
      </c>
      <c r="BA20" s="668">
        <f ca="1">IF(BA$4="forecast",(((SUM($O$20:$Z$20)/12)*1.03)),SUMIF('Dept. Cost Actuals'!$E$7:$E$176,"*Health Insurance*",'Dept. Cost Actuals'!BE$529:BE$628))</f>
        <v>836.60720000000015</v>
      </c>
      <c r="BB20" s="668">
        <f ca="1">IF(BB$4="forecast",(((SUM($O$20:$Z$20)/12)*1.03)),SUMIF('Dept. Cost Actuals'!$E$7:$E$176,"*Health Insurance*",'Dept. Cost Actuals'!BF$529:BF$628))</f>
        <v>836.60720000000015</v>
      </c>
      <c r="BC20" s="668">
        <f ca="1">IF(BC$4="forecast",(((SUM($O$20:$Z$20)/12)*1.03)),SUMIF('Dept. Cost Actuals'!$E$7:$E$176,"*Health Insurance*",'Dept. Cost Actuals'!BG$529:BG$628))</f>
        <v>836.60720000000015</v>
      </c>
      <c r="BD20" s="668">
        <f ca="1">IF(BD$4="forecast",(((SUM($O$20:$Z$20)/12)*1.03)),SUMIF('Dept. Cost Actuals'!$E$7:$E$176,"*Health Insurance*",'Dept. Cost Actuals'!BH$529:BH$628))</f>
        <v>836.60720000000015</v>
      </c>
      <c r="BE20" s="668">
        <f ca="1">IF(BE$4="forecast",(((SUM($O$20:$Z$20)/12)*1.03)),SUMIF('Dept. Cost Actuals'!$E$7:$E$176,"*Health Insurance*",'Dept. Cost Actuals'!BI$529:BI$628))</f>
        <v>836.60720000000015</v>
      </c>
      <c r="BF20" s="668">
        <f ca="1">IF(BF$4="forecast",(((SUM($O$20:$Z$20)/12)*1.03)),SUMIF('Dept. Cost Actuals'!$E$7:$E$176,"*Health Insurance*",'Dept. Cost Actuals'!BJ$529:BJ$628))</f>
        <v>836.60720000000015</v>
      </c>
      <c r="BG20" s="668">
        <f ca="1">IF(BG$4="forecast",(((SUM($O$20:$Z$20)/12)*1.03)),SUMIF('Dept. Cost Actuals'!$E$7:$E$176,"*Health Insurance*",'Dept. Cost Actuals'!BK$529:BK$628))</f>
        <v>836.60720000000015</v>
      </c>
      <c r="BH20" s="668">
        <f ca="1">IF(BH$4="forecast",(((SUM($O$20:$Z$20)/12)*1.03)),SUMIF('Dept. Cost Actuals'!$E$7:$E$176,"*Health Insurance*",'Dept. Cost Actuals'!BL$529:BL$628))</f>
        <v>836.60720000000015</v>
      </c>
      <c r="BI20" s="668">
        <f ca="1">IF(BI$4="forecast",(((SUM($O$20:$Z$20)/12)*1.03)),SUMIF('Dept. Cost Actuals'!$E$7:$E$176,"*Health Insurance*",'Dept. Cost Actuals'!BM$529:BM$628))</f>
        <v>836.60720000000015</v>
      </c>
      <c r="BJ20" s="668">
        <f ca="1">IF(BJ$4="forecast",(((SUM($O$20:$Z$20)/12)*1.03)),SUMIF('Dept. Cost Actuals'!$E$7:$E$176,"*Health Insurance*",'Dept. Cost Actuals'!BN$529:BN$628))</f>
        <v>836.60720000000015</v>
      </c>
      <c r="BK20" s="668">
        <f ca="1">IF(BK$4="forecast",(((SUM($O$20:$Z$20)/12)*1.03)),SUMIF('Dept. Cost Actuals'!$E$7:$E$176,"*Health Insurance*",'Dept. Cost Actuals'!BO$529:BO$628))</f>
        <v>836.60720000000015</v>
      </c>
      <c r="BL20" s="668">
        <f ca="1">IF(BL$4="forecast",(((SUM($O$20:$Z$20)/12)*1.03)),SUMIF('Dept. Cost Actuals'!$E$7:$E$176,"*Health Insurance*",'Dept. Cost Actuals'!BP$529:BP$628))</f>
        <v>836.60720000000015</v>
      </c>
      <c r="BM20" s="668">
        <f ca="1">IF(BM$4="forecast",(((SUM($O$20:$Z$20)/12)*1.03)),SUMIF('Dept. Cost Actuals'!$E$7:$E$176,"*Health Insurance*",'Dept. Cost Actuals'!BQ$529:BQ$628))</f>
        <v>836.60720000000015</v>
      </c>
      <c r="BN20" s="668">
        <f ca="1">IF(BN$4="forecast",(((SUM($O$20:$Z$20)/12)*1.03)),SUMIF('Dept. Cost Actuals'!$E$7:$E$176,"*Health Insurance*",'Dept. Cost Actuals'!BR$529:BR$628))</f>
        <v>836.60720000000015</v>
      </c>
      <c r="BO20" s="668">
        <f ca="1">IF(BO$4="forecast",(((SUM($O$20:$Z$20)/12)*1.03)),SUMIF('Dept. Cost Actuals'!$E$7:$E$176,"*Health Insurance*",'Dept. Cost Actuals'!BS$529:BS$628))</f>
        <v>836.60720000000015</v>
      </c>
      <c r="BP20" s="668">
        <f ca="1">IF(BP$4="forecast",(((SUM($O$20:$Z$20)/12)*1.03)),SUMIF('Dept. Cost Actuals'!$E$7:$E$176,"*Health Insurance*",'Dept. Cost Actuals'!BT$529:BT$628))</f>
        <v>836.60720000000015</v>
      </c>
      <c r="BQ20" s="668">
        <f ca="1">IF(BQ$4="forecast",(((SUM($O$20:$Z$20)/12)*1.03)),SUMIF('Dept. Cost Actuals'!$E$7:$E$176,"*Health Insurance*",'Dept. Cost Actuals'!BU$529:BU$628))</f>
        <v>836.60720000000015</v>
      </c>
      <c r="BR20" s="668">
        <f ca="1">IF(BR$4="forecast",(((SUM($O$20:$Z$20)/12)*1.03)),SUMIF('Dept. Cost Actuals'!$E$7:$E$176,"*Health Insurance*",'Dept. Cost Actuals'!BV$529:BV$628))</f>
        <v>836.60720000000015</v>
      </c>
      <c r="BS20" s="668">
        <f ca="1">IF(BS$4="forecast",(((SUM($O$20:$Z$20)/12)*1.03)),SUMIF('Dept. Cost Actuals'!$E$7:$E$176,"*Health Insurance*",'Dept. Cost Actuals'!BW$529:BW$628))</f>
        <v>836.60720000000015</v>
      </c>
      <c r="BT20" s="668">
        <f ca="1">IF(BT$4="forecast",(((SUM($O$20:$Z$20)/12)*1.03)),SUMIF('Dept. Cost Actuals'!$E$7:$E$176,"*Health Insurance*",'Dept. Cost Actuals'!BX$529:BX$628))</f>
        <v>836.60720000000015</v>
      </c>
      <c r="BU20" s="668">
        <f ca="1">IF(BU$4="forecast",(((SUM($O$20:$Z$20)/12)*1.03)),SUMIF('Dept. Cost Actuals'!$E$7:$E$176,"*Health Insurance*",'Dept. Cost Actuals'!BY$529:BY$628))</f>
        <v>836.60720000000015</v>
      </c>
      <c r="BV20" s="790">
        <f ca="1">IF(BV$4="forecast",(((SUM($O$20:$Z$20)/12)*1.03)),SUMIF('Dept. Cost Actuals'!$E$7:$E$176,"*Health Insurance*",'Dept. Cost Actuals'!BZ$529:BZ$628))</f>
        <v>836.60720000000015</v>
      </c>
    </row>
    <row r="21" spans="2:74" s="626" customFormat="1" ht="12.75" x14ac:dyDescent="0.2">
      <c r="B21" s="794" t="s">
        <v>1348</v>
      </c>
      <c r="C21" s="668">
        <f ca="1">IF(C$4="forecast",(((400/12)*C$7)),(SUMIF('Dept. Cost Actuals'!$E$7:$E$176,"*Employee*",'Dept. Cost Actuals'!G$529:G$628)))</f>
        <v>0</v>
      </c>
      <c r="D21" s="668">
        <f ca="1">IF(D$4="forecast",(((400/12)*D$7)),(SUMIF('Dept. Cost Actuals'!$E$7:$E$176,"*Employee*",'Dept. Cost Actuals'!H$529:H$628)))</f>
        <v>0</v>
      </c>
      <c r="E21" s="668">
        <f ca="1">IF(E$4="forecast",(((400/12)*E$7)),(SUMIF('Dept. Cost Actuals'!$E$7:$E$176,"*Employee*",'Dept. Cost Actuals'!I$529:I$628)))</f>
        <v>0</v>
      </c>
      <c r="F21" s="668">
        <f ca="1">IF(F$4="forecast",(((400/12)*F$7)),(SUMIF('Dept. Cost Actuals'!$E$7:$E$176,"*Employee*",'Dept. Cost Actuals'!J$529:J$628)))</f>
        <v>0</v>
      </c>
      <c r="G21" s="668">
        <f ca="1">IF(G$4="forecast",(((400/12)*G$7)),(SUMIF('Dept. Cost Actuals'!$E$7:$E$176,"*Employee*",'Dept. Cost Actuals'!K$529:K$628)))</f>
        <v>0</v>
      </c>
      <c r="H21" s="668">
        <f ca="1">IF(H$4="forecast",(((400/12)*H$7)),(SUMIF('Dept. Cost Actuals'!$E$7:$E$176,"*Employee*",'Dept. Cost Actuals'!L$529:L$628)))</f>
        <v>0</v>
      </c>
      <c r="I21" s="668">
        <f ca="1">IF(I$4="forecast",(((400/12)*I$7)),(SUMIF('Dept. Cost Actuals'!$E$7:$E$176,"*Employee*",'Dept. Cost Actuals'!M$529:M$628)))</f>
        <v>0</v>
      </c>
      <c r="J21" s="668">
        <f ca="1">IF(J$4="forecast",(((400/12)*J$7)),(SUMIF('Dept. Cost Actuals'!$E$7:$E$176,"*Employee*",'Dept. Cost Actuals'!N$529:N$628)))</f>
        <v>0</v>
      </c>
      <c r="K21" s="668">
        <f ca="1">IF(K$4="forecast",(((400/12)*K$7)),(SUMIF('Dept. Cost Actuals'!$E$7:$E$176,"*Employee*",'Dept. Cost Actuals'!O$529:O$628)))</f>
        <v>0</v>
      </c>
      <c r="L21" s="668">
        <f ca="1">IF(L$4="forecast",(((400/12)*L$7)),(SUMIF('Dept. Cost Actuals'!$E$7:$E$176,"*Employee*",'Dept. Cost Actuals'!P$529:P$628)))</f>
        <v>0</v>
      </c>
      <c r="M21" s="668">
        <f ca="1">IF(M$4="forecast",(((400/12)*M$7)),(SUMIF('Dept. Cost Actuals'!$E$7:$E$176,"*Employee*",'Dept. Cost Actuals'!Q$529:Q$628)))</f>
        <v>0</v>
      </c>
      <c r="N21" s="668">
        <f ca="1">IF(N$4="forecast",(((400/12)*N$7)),(SUMIF('Dept. Cost Actuals'!$E$7:$E$176,"*Employee*",'Dept. Cost Actuals'!R$529:R$628)))</f>
        <v>0</v>
      </c>
      <c r="O21" s="668">
        <f ca="1">IF(O$4="forecast",(((400/12)*O$7)),(SUMIF('Dept. Cost Actuals'!$E$7:$E$176,"*Employee*",'Dept. Cost Actuals'!S$529:S$628)))</f>
        <v>0</v>
      </c>
      <c r="P21" s="668">
        <f ca="1">IF(P$4="forecast",(((400/12)*P$7)),(SUMIF('Dept. Cost Actuals'!$E$7:$E$176,"*Employee*",'Dept. Cost Actuals'!T$529:T$628)))</f>
        <v>0</v>
      </c>
      <c r="Q21" s="668">
        <f ca="1">IF(Q$4="forecast",(((400/12)*Q$7)),(SUMIF('Dept. Cost Actuals'!$E$7:$E$176,"*Employee*",'Dept. Cost Actuals'!U$529:U$628)))</f>
        <v>0</v>
      </c>
      <c r="R21" s="668">
        <f ca="1">IF(R$4="forecast",(((400/12)*R$7)),(SUMIF('Dept. Cost Actuals'!$E$7:$E$176,"*Employee*",'Dept. Cost Actuals'!V$529:V$628)))</f>
        <v>0</v>
      </c>
      <c r="S21" s="668">
        <f ca="1">IF(S$4="forecast",(((400/12)*S$7)),(SUMIF('Dept. Cost Actuals'!$E$7:$E$176,"*Employee*",'Dept. Cost Actuals'!W$529:W$628)))</f>
        <v>0</v>
      </c>
      <c r="T21" s="668">
        <f ca="1">IF(T$4="forecast",(((400/12)*T$7)),(SUMIF('Dept. Cost Actuals'!$E$7:$E$176,"*Employee*",'Dept. Cost Actuals'!X$529:X$628)))</f>
        <v>0</v>
      </c>
      <c r="U21" s="668">
        <f ca="1">IF(U$4="forecast",(((400/12)*U$7)),(SUMIF('Dept. Cost Actuals'!$E$7:$E$176,"*Employee*",'Dept. Cost Actuals'!Y$529:Y$628)))</f>
        <v>0</v>
      </c>
      <c r="V21" s="668">
        <f ca="1">IF(V$4="forecast",(((400/12)*V$7)),(SUMIF('Dept. Cost Actuals'!$E$7:$E$176,"*Employee*",'Dept. Cost Actuals'!Z$529:Z$628)))</f>
        <v>51.26</v>
      </c>
      <c r="W21" s="668">
        <f ca="1">IF(W$4="forecast",(((400/12)*W$7)),(SUMIF('Dept. Cost Actuals'!$E$7:$E$176,"*Employee*",'Dept. Cost Actuals'!AA$529:AA$628)))</f>
        <v>77</v>
      </c>
      <c r="X21" s="668">
        <f ca="1">IF(X$4="forecast",(((400/12)*X$7)),(SUMIF('Dept. Cost Actuals'!$E$7:$E$176,"*Employee*",'Dept. Cost Actuals'!AB$529:AB$628)))</f>
        <v>70.709999999999994</v>
      </c>
      <c r="Y21" s="668">
        <f ca="1">IF(Y$4="forecast",(((400/12)*Y$7)),(SUMIF('Dept. Cost Actuals'!$E$7:$E$176,"*Employee*",'Dept. Cost Actuals'!AC$529:AC$628)))</f>
        <v>1611.6399999999999</v>
      </c>
      <c r="Z21" s="668">
        <f ca="1">IF(Z$4="forecast",(((400/12)*Z$7)),(SUMIF('Dept. Cost Actuals'!$E$7:$E$176,"*Employee*",'Dept. Cost Actuals'!AD$529:AD$628)))</f>
        <v>0</v>
      </c>
      <c r="AA21" s="668">
        <f ca="1">IF(AA$4="forecast",(((400/12)*AA$7)),(SUMIF('Dept. Cost Actuals'!$E$7:$E$176,"*Employee*",'Dept. Cost Actuals'!AE$529:AE$628)))</f>
        <v>84.64</v>
      </c>
      <c r="AB21" s="668">
        <f ca="1">IF(AB$4="forecast",(((400/12)*AB$7)),(SUMIF('Dept. Cost Actuals'!$E$7:$E$176,"*Employee*",'Dept. Cost Actuals'!AF$529:AF$628)))</f>
        <v>58.54</v>
      </c>
      <c r="AC21" s="668">
        <f ca="1">IF(AC$4="forecast",(((400/12)*AC$7)),(SUMIF('Dept. Cost Actuals'!$E$7:$E$176,"*Employee*",'Dept. Cost Actuals'!AG$529:AG$628)))</f>
        <v>131.72</v>
      </c>
      <c r="AD21" s="668">
        <f>IF(AD$4="forecast",(((400/12)*AD$7)),(SUMIF('Dept. Cost Actuals'!$E$7:$E$176,"*Employee*",'Dept. Cost Actuals'!AH$529:AH$628)))</f>
        <v>166.66666666666669</v>
      </c>
      <c r="AE21" s="668">
        <f>IF(AE$4="forecast",(((400/12)*AE$7)),(SUMIF('Dept. Cost Actuals'!$E$7:$E$176,"*Employee*",'Dept. Cost Actuals'!AI$529:AI$628)))</f>
        <v>200</v>
      </c>
      <c r="AF21" s="668">
        <f>IF(AF$4="forecast",(((400/12)*AF$7)),(SUMIF('Dept. Cost Actuals'!$E$7:$E$176,"*Employee*",'Dept. Cost Actuals'!AJ$529:AJ$628)))</f>
        <v>200</v>
      </c>
      <c r="AG21" s="668">
        <f>IF(AG$4="forecast",(((400/12)*AG$7)),(SUMIF('Dept. Cost Actuals'!$E$7:$E$176,"*Employee*",'Dept. Cost Actuals'!AK$529:AK$628)))</f>
        <v>200</v>
      </c>
      <c r="AH21" s="668">
        <f>IF(AH$4="forecast",(((400/12)*AH$7)),(SUMIF('Dept. Cost Actuals'!$E$7:$E$176,"*Employee*",'Dept. Cost Actuals'!AL$529:AL$628)))</f>
        <v>200</v>
      </c>
      <c r="AI21" s="668">
        <f>IF(AI$4="forecast",(((400/12)*AI$7)),(SUMIF('Dept. Cost Actuals'!$E$7:$E$176,"*Employee*",'Dept. Cost Actuals'!AM$529:AM$628)))</f>
        <v>200</v>
      </c>
      <c r="AJ21" s="668">
        <f>IF(AJ$4="forecast",(((400/12)*AJ$7)),(SUMIF('Dept. Cost Actuals'!$E$7:$E$176,"*Employee*",'Dept. Cost Actuals'!AN$529:AN$628)))</f>
        <v>200</v>
      </c>
      <c r="AK21" s="668">
        <f>IF(AK$4="forecast",(((400/12)*AK$7)),(SUMIF('Dept. Cost Actuals'!$E$7:$E$176,"*Employee*",'Dept. Cost Actuals'!AO$529:AO$628)))</f>
        <v>200</v>
      </c>
      <c r="AL21" s="668">
        <f>IF(AL$4="forecast",(((400/12)*AL$7)),(SUMIF('Dept. Cost Actuals'!$E$7:$E$176,"*Employee*",'Dept. Cost Actuals'!AP$529:AP$628)))</f>
        <v>200</v>
      </c>
      <c r="AM21" s="668">
        <f>IF(AM$4="forecast",(((400/12)*AM$7)),(SUMIF('Dept. Cost Actuals'!$E$7:$E$176,"*Employee*",'Dept. Cost Actuals'!AQ$529:AQ$628)))</f>
        <v>200</v>
      </c>
      <c r="AN21" s="668">
        <f>IF(AN$4="forecast",(((400/12)*AN$7)),(SUMIF('Dept. Cost Actuals'!$E$7:$E$176,"*Employee*",'Dept. Cost Actuals'!AR$529:AR$628)))</f>
        <v>200</v>
      </c>
      <c r="AO21" s="668">
        <f>IF(AO$4="forecast",(((400/12)*AO$7)),(SUMIF('Dept. Cost Actuals'!$E$7:$E$176,"*Employee*",'Dept. Cost Actuals'!AS$529:AS$628)))</f>
        <v>200</v>
      </c>
      <c r="AP21" s="668">
        <f>IF(AP$4="forecast",(((400/12)*AP$7)),(SUMIF('Dept. Cost Actuals'!$E$7:$E$176,"*Employee*",'Dept. Cost Actuals'!AT$529:AT$628)))</f>
        <v>200</v>
      </c>
      <c r="AQ21" s="668">
        <f>IF(AQ$4="forecast",(((400/12)*AQ$7)),(SUMIF('Dept. Cost Actuals'!$E$7:$E$176,"*Employee*",'Dept. Cost Actuals'!AU$529:AU$628)))</f>
        <v>200</v>
      </c>
      <c r="AR21" s="668">
        <f>IF(AR$4="forecast",(((400/12)*AR$7)),(SUMIF('Dept. Cost Actuals'!$E$7:$E$176,"*Employee*",'Dept. Cost Actuals'!AV$529:AV$628)))</f>
        <v>200</v>
      </c>
      <c r="AS21" s="668">
        <f>IF(AS$4="forecast",(((400/12)*AS$7)),(SUMIF('Dept. Cost Actuals'!$E$7:$E$176,"*Employee*",'Dept. Cost Actuals'!AW$529:AW$628)))</f>
        <v>200</v>
      </c>
      <c r="AT21" s="668">
        <f>IF(AT$4="forecast",(((400/12)*AT$7)),(SUMIF('Dept. Cost Actuals'!$E$7:$E$176,"*Employee*",'Dept. Cost Actuals'!AX$529:AX$628)))</f>
        <v>200</v>
      </c>
      <c r="AU21" s="668">
        <f>IF(AU$4="forecast",(((400/12)*AU$7)),(SUMIF('Dept. Cost Actuals'!$E$7:$E$176,"*Employee*",'Dept. Cost Actuals'!AY$529:AY$628)))</f>
        <v>200</v>
      </c>
      <c r="AV21" s="668">
        <f>IF(AV$4="forecast",(((400/12)*AV$7)),(SUMIF('Dept. Cost Actuals'!$E$7:$E$176,"*Employee*",'Dept. Cost Actuals'!AZ$529:AZ$628)))</f>
        <v>200</v>
      </c>
      <c r="AW21" s="668">
        <f>IF(AW$4="forecast",(((400/12)*AW$7)),(SUMIF('Dept. Cost Actuals'!$E$7:$E$176,"*Employee*",'Dept. Cost Actuals'!BA$529:BA$628)))</f>
        <v>200</v>
      </c>
      <c r="AX21" s="668">
        <f>IF(AX$4="forecast",(((400/12)*AX$7)),(SUMIF('Dept. Cost Actuals'!$E$7:$E$176,"*Employee*",'Dept. Cost Actuals'!BB$529:BB$628)))</f>
        <v>200</v>
      </c>
      <c r="AY21" s="668">
        <f>IF(AY$4="forecast",(((400/12)*AY$7)),(SUMIF('Dept. Cost Actuals'!$E$7:$E$176,"*Employee*",'Dept. Cost Actuals'!BC$529:BC$628)))</f>
        <v>200</v>
      </c>
      <c r="AZ21" s="668">
        <f>IF(AZ$4="forecast",(((400/12)*AZ$7)),(SUMIF('Dept. Cost Actuals'!$E$7:$E$176,"*Employee*",'Dept. Cost Actuals'!BD$529:BD$628)))</f>
        <v>200</v>
      </c>
      <c r="BA21" s="668">
        <f>IF(BA$4="forecast",(((400/12)*BA$7)),(SUMIF('Dept. Cost Actuals'!$E$7:$E$176,"*Employee*",'Dept. Cost Actuals'!BE$529:BE$628)))</f>
        <v>200</v>
      </c>
      <c r="BB21" s="668">
        <f>IF(BB$4="forecast",(((400/12)*BB$7)),(SUMIF('Dept. Cost Actuals'!$E$7:$E$176,"*Employee*",'Dept. Cost Actuals'!BF$529:BF$628)))</f>
        <v>200</v>
      </c>
      <c r="BC21" s="668">
        <f>IF(BC$4="forecast",(((400/12)*BC$7)),(SUMIF('Dept. Cost Actuals'!$E$7:$E$176,"*Employee*",'Dept. Cost Actuals'!BG$529:BG$628)))</f>
        <v>200</v>
      </c>
      <c r="BD21" s="668">
        <f>IF(BD$4="forecast",(((400/12)*BD$7)),(SUMIF('Dept. Cost Actuals'!$E$7:$E$176,"*Employee*",'Dept. Cost Actuals'!BH$529:BH$628)))</f>
        <v>200</v>
      </c>
      <c r="BE21" s="668">
        <f>IF(BE$4="forecast",(((400/12)*BE$7)),(SUMIF('Dept. Cost Actuals'!$E$7:$E$176,"*Employee*",'Dept. Cost Actuals'!BI$529:BI$628)))</f>
        <v>200</v>
      </c>
      <c r="BF21" s="668">
        <f>IF(BF$4="forecast",(((400/12)*BF$7)),(SUMIF('Dept. Cost Actuals'!$E$7:$E$176,"*Employee*",'Dept. Cost Actuals'!BJ$529:BJ$628)))</f>
        <v>200</v>
      </c>
      <c r="BG21" s="668">
        <f>IF(BG$4="forecast",(((400/12)*BG$7)),(SUMIF('Dept. Cost Actuals'!$E$7:$E$176,"*Employee*",'Dept. Cost Actuals'!BK$529:BK$628)))</f>
        <v>200</v>
      </c>
      <c r="BH21" s="668">
        <f>IF(BH$4="forecast",(((400/12)*BH$7)),(SUMIF('Dept. Cost Actuals'!$E$7:$E$176,"*Employee*",'Dept. Cost Actuals'!BL$529:BL$628)))</f>
        <v>200</v>
      </c>
      <c r="BI21" s="668">
        <f>IF(BI$4="forecast",(((400/12)*BI$7)),(SUMIF('Dept. Cost Actuals'!$E$7:$E$176,"*Employee*",'Dept. Cost Actuals'!BM$529:BM$628)))</f>
        <v>200</v>
      </c>
      <c r="BJ21" s="668">
        <f>IF(BJ$4="forecast",(((400/12)*BJ$7)),(SUMIF('Dept. Cost Actuals'!$E$7:$E$176,"*Employee*",'Dept. Cost Actuals'!BN$529:BN$628)))</f>
        <v>200</v>
      </c>
      <c r="BK21" s="668">
        <f>IF(BK$4="forecast",(((400/12)*BK$7)),(SUMIF('Dept. Cost Actuals'!$E$7:$E$176,"*Employee*",'Dept. Cost Actuals'!BO$529:BO$628)))</f>
        <v>200</v>
      </c>
      <c r="BL21" s="668">
        <f>IF(BL$4="forecast",(((400/12)*BL$7)),(SUMIF('Dept. Cost Actuals'!$E$7:$E$176,"*Employee*",'Dept. Cost Actuals'!BP$529:BP$628)))</f>
        <v>200</v>
      </c>
      <c r="BM21" s="668">
        <f>IF(BM$4="forecast",(((400/12)*BM$7)),(SUMIF('Dept. Cost Actuals'!$E$7:$E$176,"*Employee*",'Dept. Cost Actuals'!BQ$529:BQ$628)))</f>
        <v>200</v>
      </c>
      <c r="BN21" s="668">
        <f>IF(BN$4="forecast",(((400/12)*BN$7)),(SUMIF('Dept. Cost Actuals'!$E$7:$E$176,"*Employee*",'Dept. Cost Actuals'!BR$529:BR$628)))</f>
        <v>200</v>
      </c>
      <c r="BO21" s="668">
        <f>IF(BO$4="forecast",(((400/12)*BO$7)),(SUMIF('Dept. Cost Actuals'!$E$7:$E$176,"*Employee*",'Dept. Cost Actuals'!BS$529:BS$628)))</f>
        <v>200</v>
      </c>
      <c r="BP21" s="668">
        <f>IF(BP$4="forecast",(((400/12)*BP$7)),(SUMIF('Dept. Cost Actuals'!$E$7:$E$176,"*Employee*",'Dept. Cost Actuals'!BT$529:BT$628)))</f>
        <v>200</v>
      </c>
      <c r="BQ21" s="668">
        <f>IF(BQ$4="forecast",(((400/12)*BQ$7)),(SUMIF('Dept. Cost Actuals'!$E$7:$E$176,"*Employee*",'Dept. Cost Actuals'!BU$529:BU$628)))</f>
        <v>200</v>
      </c>
      <c r="BR21" s="668">
        <f>IF(BR$4="forecast",(((400/12)*BR$7)),(SUMIF('Dept. Cost Actuals'!$E$7:$E$176,"*Employee*",'Dept. Cost Actuals'!BV$529:BV$628)))</f>
        <v>200</v>
      </c>
      <c r="BS21" s="668">
        <f>IF(BS$4="forecast",(((400/12)*BS$7)),(SUMIF('Dept. Cost Actuals'!$E$7:$E$176,"*Employee*",'Dept. Cost Actuals'!BW$529:BW$628)))</f>
        <v>200</v>
      </c>
      <c r="BT21" s="668">
        <f>IF(BT$4="forecast",(((400/12)*BT$7)),(SUMIF('Dept. Cost Actuals'!$E$7:$E$176,"*Employee*",'Dept. Cost Actuals'!BX$529:BX$628)))</f>
        <v>200</v>
      </c>
      <c r="BU21" s="668">
        <f>IF(BU$4="forecast",(((400/12)*BU$7)),(SUMIF('Dept. Cost Actuals'!$E$7:$E$176,"*Employee*",'Dept. Cost Actuals'!BY$529:BY$628)))</f>
        <v>200</v>
      </c>
      <c r="BV21" s="790">
        <f>IF(BV$4="forecast",(((400/12)*BV$7)),(SUMIF('Dept. Cost Actuals'!$E$7:$E$176,"*Employee*",'Dept. Cost Actuals'!BZ$529:BZ$628)))</f>
        <v>200</v>
      </c>
    </row>
    <row r="22" spans="2:74" x14ac:dyDescent="0.25">
      <c r="B22" s="794" t="s">
        <v>1385</v>
      </c>
      <c r="C22" s="668">
        <f>IF(C$4="forecast",C$8*'Direct People Department Costs'!$H$8,SUMIF('Dept. Cost Actuals'!$E$7:$E$176,"*Board*",'Dept. Cost Actuals'!G$7:G$176))</f>
        <v>0</v>
      </c>
      <c r="D22" s="668">
        <f>IF(D$4="forecast",D$8*'Direct People Department Costs'!$H$8,SUMIF('Dept. Cost Actuals'!$E$7:$E$176,"*Board*",'Dept. Cost Actuals'!H$7:H$176))</f>
        <v>0</v>
      </c>
      <c r="E22" s="668">
        <f>IF(E$4="forecast",E$8*'Direct People Department Costs'!$H$8,SUMIF('Dept. Cost Actuals'!$E$7:$E$176,"*Board*",'Dept. Cost Actuals'!I$7:I$176))</f>
        <v>0</v>
      </c>
      <c r="F22" s="668">
        <f>IF(F$4="forecast",F$8*'Direct People Department Costs'!$H$8,SUMIF('Dept. Cost Actuals'!$E$7:$E$176,"*Board*",'Dept. Cost Actuals'!J$7:J$176))</f>
        <v>0</v>
      </c>
      <c r="G22" s="668">
        <f>IF(G$4="forecast",G$8*'Direct People Department Costs'!$H$8,SUMIF('Dept. Cost Actuals'!$E$7:$E$176,"*Board*",'Dept. Cost Actuals'!K$7:K$176))</f>
        <v>0</v>
      </c>
      <c r="H22" s="668">
        <f>IF(H$4="forecast",H$8*'Direct People Department Costs'!$H$8,SUMIF('Dept. Cost Actuals'!$E$7:$E$176,"*Board*",'Dept. Cost Actuals'!L$7:L$176))</f>
        <v>0</v>
      </c>
      <c r="I22" s="668">
        <f>IF(I$4="forecast",I$8*'Direct People Department Costs'!$H$8,SUMIF('Dept. Cost Actuals'!$E$7:$E$176,"*Board*",'Dept. Cost Actuals'!M$7:M$176))</f>
        <v>0</v>
      </c>
      <c r="J22" s="668">
        <f>IF(J$4="forecast",J$8*'Direct People Department Costs'!$H$8,SUMIF('Dept. Cost Actuals'!$E$7:$E$176,"*Board*",'Dept. Cost Actuals'!N$7:N$176))</f>
        <v>0</v>
      </c>
      <c r="K22" s="668">
        <f>IF(K$4="forecast",K$8*'Direct People Department Costs'!$H$8,SUMIF('Dept. Cost Actuals'!$E$7:$E$176,"*Board*",'Dept. Cost Actuals'!O$7:O$176))</f>
        <v>0</v>
      </c>
      <c r="L22" s="668">
        <f>IF(L$4="forecast",L$8*'Direct People Department Costs'!$H$8,SUMIF('Dept. Cost Actuals'!$E$7:$E$176,"*Board*",'Dept. Cost Actuals'!P$7:P$176))</f>
        <v>0</v>
      </c>
      <c r="M22" s="668">
        <f>IF(M$4="forecast",M$8*'Direct People Department Costs'!$H$8,SUMIF('Dept. Cost Actuals'!$E$7:$E$176,"*Board*",'Dept. Cost Actuals'!Q$7:Q$176))</f>
        <v>0</v>
      </c>
      <c r="N22" s="668">
        <f ca="1">IF(N$4="forecast",N$8*'Direct People Department Costs'!$H$8,SUMIF('Dept. Cost Actuals'!$E$7:$E$176,"*Board*",'Dept. Cost Actuals'!R$529:R$628))</f>
        <v>0</v>
      </c>
      <c r="O22" s="668">
        <f ca="1">IF(O$4="forecast",O$8*'Direct People Department Costs'!$H$8,SUMIF('Dept. Cost Actuals'!$E$7:$E$176,"*Board*",'Dept. Cost Actuals'!S$529:S$628))</f>
        <v>0</v>
      </c>
      <c r="P22" s="668">
        <f ca="1">IF(P$4="forecast",P$8*'Direct People Department Costs'!$H$8,SUMIF('Dept. Cost Actuals'!$E$7:$E$176,"*Board*",'Dept. Cost Actuals'!T$529:T$628))</f>
        <v>0</v>
      </c>
      <c r="Q22" s="668">
        <f ca="1">IF(Q$4="forecast",Q$8*'Direct People Department Costs'!$H$8,SUMIF('Dept. Cost Actuals'!$E$7:$E$176,"*Board*",'Dept. Cost Actuals'!U$529:U$628))</f>
        <v>0</v>
      </c>
      <c r="R22" s="668">
        <f ca="1">IF(R$4="forecast",R$8*'Direct People Department Costs'!$H$8,SUMIF('Dept. Cost Actuals'!$E$7:$E$176,"*Board*",'Dept. Cost Actuals'!V$529:V$628))</f>
        <v>34.21</v>
      </c>
      <c r="S22" s="668">
        <f ca="1">IF(S$4="forecast",S$8*'Direct People Department Costs'!$H$8,SUMIF('Dept. Cost Actuals'!$E$7:$E$176,"*Board*",'Dept. Cost Actuals'!W$529:W$628))</f>
        <v>0</v>
      </c>
      <c r="T22" s="668">
        <f ca="1">IF(T$4="forecast",T$8*'Direct People Department Costs'!$H$8,SUMIF('Dept. Cost Actuals'!$E$7:$E$176,"*Board*",'Dept. Cost Actuals'!X$529:X$628))</f>
        <v>197.09</v>
      </c>
      <c r="U22" s="668">
        <f ca="1">IF(U$4="forecast",U$8*'Direct People Department Costs'!$H$8,SUMIF('Dept. Cost Actuals'!$E$7:$E$176,"*Board*",'Dept. Cost Actuals'!Y$529:Y$628))</f>
        <v>0</v>
      </c>
      <c r="V22" s="668">
        <f ca="1">IF(V$4="forecast",V$8*'Direct People Department Costs'!$H$8,SUMIF('Dept. Cost Actuals'!$E$7:$E$176,"*Board*",'Dept. Cost Actuals'!Z$529:Z$628))</f>
        <v>647.39</v>
      </c>
      <c r="W22" s="668">
        <f ca="1">IF(W$4="forecast",W$8*'Direct People Department Costs'!$H$8,SUMIF('Dept. Cost Actuals'!$E$7:$E$176,"*Board*",'Dept. Cost Actuals'!AA$529:AA$628))</f>
        <v>845.51</v>
      </c>
      <c r="X22" s="668">
        <f ca="1">IF(X$4="forecast",X$8*'Direct People Department Costs'!$H$8,SUMIF('Dept. Cost Actuals'!$E$7:$E$176,"*Board*",'Dept. Cost Actuals'!AB$529:AB$628))</f>
        <v>1116.5</v>
      </c>
      <c r="Y22" s="668">
        <f ca="1">IF(Y$4="forecast",Y$8*'Direct People Department Costs'!$H$8,SUMIF('Dept. Cost Actuals'!$E$7:$E$176,"*Board*",'Dept. Cost Actuals'!AC$529:AC$628))</f>
        <v>0</v>
      </c>
      <c r="Z22" s="668">
        <f ca="1">IF(Z$4="forecast",Z$8*'Direct People Department Costs'!$H$8,SUMIF('Dept. Cost Actuals'!$E$7:$E$176,"*Board*",'Dept. Cost Actuals'!AD$529:AD$628))</f>
        <v>0</v>
      </c>
      <c r="AA22" s="668">
        <f ca="1">IF(AA$4="forecast",AA$8*'Direct People Department Costs'!$H$8,SUMIF('Dept. Cost Actuals'!$E$7:$E$176,"*Board*",'Dept. Cost Actuals'!AE$529:AE$628))</f>
        <v>0</v>
      </c>
      <c r="AB22" s="668">
        <f ca="1">IF(AB$4="forecast",AB$8*'Direct People Department Costs'!$H$8,SUMIF('Dept. Cost Actuals'!$E$7:$E$176,"*Board*",'Dept. Cost Actuals'!AF$529:AF$628))</f>
        <v>0</v>
      </c>
      <c r="AC22" s="668">
        <f ca="1">IF(AC$4="forecast",AC$8*'Direct People Department Costs'!$H$8,SUMIF('Dept. Cost Actuals'!$E$7:$E$176,"*Board*",'Dept. Cost Actuals'!AG$529:AG$628))</f>
        <v>139</v>
      </c>
      <c r="AD22" s="668">
        <f>IF(AD$4="forecast",AD$8*'Direct People Department Costs'!$H$8,SUMIF('Dept. Cost Actuals'!$E$7:$E$176,"*Board*",'Dept. Cost Actuals'!AH$529:AH$628))</f>
        <v>3600</v>
      </c>
      <c r="AE22" s="668">
        <f>IF(AE$4="forecast",AE$8*'Direct People Department Costs'!$H$8,SUMIF('Dept. Cost Actuals'!$E$7:$E$176,"*Board*",'Dept. Cost Actuals'!AI$529:AI$628))</f>
        <v>3600</v>
      </c>
      <c r="AF22" s="668">
        <f>IF(AF$4="forecast",AF$8*'Direct People Department Costs'!$H$8,SUMIF('Dept. Cost Actuals'!$E$7:$E$176,"*Board*",'Dept. Cost Actuals'!AJ$529:AJ$628))</f>
        <v>0</v>
      </c>
      <c r="AG22" s="668">
        <f>IF(AG$4="forecast",AG$8*'Direct People Department Costs'!$H$8,SUMIF('Dept. Cost Actuals'!$E$7:$E$176,"*Board*",'Dept. Cost Actuals'!AK$529:AK$628))</f>
        <v>0</v>
      </c>
      <c r="AH22" s="668">
        <f>IF(AH$4="forecast",AH$8*'Direct People Department Costs'!$H$8,SUMIF('Dept. Cost Actuals'!$E$7:$E$176,"*Board*",'Dept. Cost Actuals'!AL$529:AL$628))</f>
        <v>0</v>
      </c>
      <c r="AI22" s="668">
        <f>IF(AI$4="forecast",AI$8*'Direct People Department Costs'!$H$8,SUMIF('Dept. Cost Actuals'!$E$7:$E$176,"*Board*",'Dept. Cost Actuals'!AM$529:AM$628))</f>
        <v>0</v>
      </c>
      <c r="AJ22" s="668">
        <f>IF(AJ$4="forecast",AJ$8*'Direct People Department Costs'!$H$8,SUMIF('Dept. Cost Actuals'!$E$7:$E$176,"*Board*",'Dept. Cost Actuals'!AN$529:AN$628))</f>
        <v>0</v>
      </c>
      <c r="AK22" s="668">
        <f>IF(AK$4="forecast",AK$8*'Direct People Department Costs'!$H$8,SUMIF('Dept. Cost Actuals'!$E$7:$E$176,"*Board*",'Dept. Cost Actuals'!AO$529:AO$628))</f>
        <v>0</v>
      </c>
      <c r="AL22" s="668">
        <f>IF(AL$4="forecast",AL$8*'Direct People Department Costs'!$H$8,SUMIF('Dept. Cost Actuals'!$E$7:$E$176,"*Board*",'Dept. Cost Actuals'!AP$529:AP$628))</f>
        <v>0</v>
      </c>
      <c r="AM22" s="668">
        <f>IF(AM$4="forecast",AM$8*'Direct People Department Costs'!$H$8,SUMIF('Dept. Cost Actuals'!$E$7:$E$176,"*Board*",'Dept. Cost Actuals'!AQ$529:AQ$628))</f>
        <v>0</v>
      </c>
      <c r="AN22" s="668">
        <f>IF(AN$4="forecast",AN$8*'Direct People Department Costs'!$H$8,SUMIF('Dept. Cost Actuals'!$E$7:$E$176,"*Board*",'Dept. Cost Actuals'!AR$529:AR$628))</f>
        <v>0</v>
      </c>
      <c r="AO22" s="668">
        <f>IF(AO$4="forecast",AO$8*'Direct People Department Costs'!$H$8,SUMIF('Dept. Cost Actuals'!$E$7:$E$176,"*Board*",'Dept. Cost Actuals'!AS$529:AS$628))</f>
        <v>0</v>
      </c>
      <c r="AP22" s="668">
        <f>IF(AP$4="forecast",AP$8*'Direct People Department Costs'!$H$8,SUMIF('Dept. Cost Actuals'!$E$7:$E$176,"*Board*",'Dept. Cost Actuals'!AT$529:AT$628))</f>
        <v>0</v>
      </c>
      <c r="AQ22" s="668">
        <f>IF(AQ$4="forecast",AQ$8*'Direct People Department Costs'!$H$8,SUMIF('Dept. Cost Actuals'!$E$7:$E$176,"*Board*",'Dept. Cost Actuals'!AU$529:AU$628))</f>
        <v>0</v>
      </c>
      <c r="AR22" s="668">
        <f>IF(AR$4="forecast",AR$8*'Direct People Department Costs'!$H$8,SUMIF('Dept. Cost Actuals'!$E$7:$E$176,"*Board*",'Dept. Cost Actuals'!AV$529:AV$628))</f>
        <v>0</v>
      </c>
      <c r="AS22" s="668">
        <f>IF(AS$4="forecast",AS$8*'Direct People Department Costs'!$H$8,SUMIF('Dept. Cost Actuals'!$E$7:$E$176,"*Board*",'Dept. Cost Actuals'!AW$529:AW$628))</f>
        <v>0</v>
      </c>
      <c r="AT22" s="668">
        <f>IF(AT$4="forecast",AT$8*'Direct People Department Costs'!$H$8,SUMIF('Dept. Cost Actuals'!$E$7:$E$176,"*Board*",'Dept. Cost Actuals'!AX$529:AX$628))</f>
        <v>0</v>
      </c>
      <c r="AU22" s="668">
        <f>IF(AU$4="forecast",AU$8*'Direct People Department Costs'!$H$8,SUMIF('Dept. Cost Actuals'!$E$7:$E$176,"*Board*",'Dept. Cost Actuals'!AY$529:AY$628))</f>
        <v>0</v>
      </c>
      <c r="AV22" s="668">
        <f>IF(AV$4="forecast",AV$8*'Direct People Department Costs'!$H$8,SUMIF('Dept. Cost Actuals'!$E$7:$E$176,"*Board*",'Dept. Cost Actuals'!AZ$529:AZ$628))</f>
        <v>0</v>
      </c>
      <c r="AW22" s="668">
        <f>IF(AW$4="forecast",AW$8*'Direct People Department Costs'!$H$8,SUMIF('Dept. Cost Actuals'!$E$7:$E$176,"*Board*",'Dept. Cost Actuals'!BA$529:BA$628))</f>
        <v>0</v>
      </c>
      <c r="AX22" s="668">
        <f>IF(AX$4="forecast",AX$8*'Direct People Department Costs'!$H$8,SUMIF('Dept. Cost Actuals'!$E$7:$E$176,"*Board*",'Dept. Cost Actuals'!BB$529:BB$628))</f>
        <v>0</v>
      </c>
      <c r="AY22" s="668">
        <f>IF(AY$4="forecast",AY$8*'Direct People Department Costs'!$H$8,SUMIF('Dept. Cost Actuals'!$E$7:$E$176,"*Board*",'Dept. Cost Actuals'!BC$529:BC$628))</f>
        <v>0</v>
      </c>
      <c r="AZ22" s="668">
        <f>IF(AZ$4="forecast",AZ$8*'Direct People Department Costs'!$H$8,SUMIF('Dept. Cost Actuals'!$E$7:$E$176,"*Board*",'Dept. Cost Actuals'!BD$529:BD$628))</f>
        <v>0</v>
      </c>
      <c r="BA22" s="668">
        <f>IF(BA$4="forecast",BA$8*'Direct People Department Costs'!$H$8,SUMIF('Dept. Cost Actuals'!$E$7:$E$176,"*Board*",'Dept. Cost Actuals'!BE$529:BE$628))</f>
        <v>0</v>
      </c>
      <c r="BB22" s="668">
        <f>IF(BB$4="forecast",BB$8*'Direct People Department Costs'!$H$8,SUMIF('Dept. Cost Actuals'!$E$7:$E$176,"*Board*",'Dept. Cost Actuals'!BF$529:BF$628))</f>
        <v>0</v>
      </c>
      <c r="BC22" s="668">
        <f>IF(BC$4="forecast",BC$8*'Direct People Department Costs'!$H$8,SUMIF('Dept. Cost Actuals'!$E$7:$E$176,"*Board*",'Dept. Cost Actuals'!BG$529:BG$628))</f>
        <v>0</v>
      </c>
      <c r="BD22" s="668">
        <f>IF(BD$4="forecast",BD$8*'Direct People Department Costs'!$H$8,SUMIF('Dept. Cost Actuals'!$E$7:$E$176,"*Board*",'Dept. Cost Actuals'!BH$529:BH$628))</f>
        <v>0</v>
      </c>
      <c r="BE22" s="668">
        <f>IF(BE$4="forecast",BE$8*'Direct People Department Costs'!$H$8,SUMIF('Dept. Cost Actuals'!$E$7:$E$176,"*Board*",'Dept. Cost Actuals'!BI$529:BI$628))</f>
        <v>0</v>
      </c>
      <c r="BF22" s="668">
        <f>IF(BF$4="forecast",BF$8*'Direct People Department Costs'!$H$8,SUMIF('Dept. Cost Actuals'!$E$7:$E$176,"*Board*",'Dept. Cost Actuals'!BJ$529:BJ$628))</f>
        <v>0</v>
      </c>
      <c r="BG22" s="668">
        <f>IF(BG$4="forecast",BG$8*'Direct People Department Costs'!$H$8,SUMIF('Dept. Cost Actuals'!$E$7:$E$176,"*Board*",'Dept. Cost Actuals'!BK$529:BK$628))</f>
        <v>0</v>
      </c>
      <c r="BH22" s="668">
        <f>IF(BH$4="forecast",BH$8*'Direct People Department Costs'!$H$8,SUMIF('Dept. Cost Actuals'!$E$7:$E$176,"*Board*",'Dept. Cost Actuals'!BL$529:BL$628))</f>
        <v>0</v>
      </c>
      <c r="BI22" s="668">
        <f>IF(BI$4="forecast",BI$8*'Direct People Department Costs'!$H$8,SUMIF('Dept. Cost Actuals'!$E$7:$E$176,"*Board*",'Dept. Cost Actuals'!BM$529:BM$628))</f>
        <v>0</v>
      </c>
      <c r="BJ22" s="668">
        <f>IF(BJ$4="forecast",BJ$8*'Direct People Department Costs'!$H$8,SUMIF('Dept. Cost Actuals'!$E$7:$E$176,"*Board*",'Dept. Cost Actuals'!BN$529:BN$628))</f>
        <v>0</v>
      </c>
      <c r="BK22" s="668">
        <f>IF(BK$4="forecast",BK$8*'Direct People Department Costs'!$H$8,SUMIF('Dept. Cost Actuals'!$E$7:$E$176,"*Board*",'Dept. Cost Actuals'!BO$529:BO$628))</f>
        <v>0</v>
      </c>
      <c r="BL22" s="668">
        <f>IF(BL$4="forecast",BL$8*'Direct People Department Costs'!$H$8,SUMIF('Dept. Cost Actuals'!$E$7:$E$176,"*Board*",'Dept. Cost Actuals'!BP$529:BP$628))</f>
        <v>0</v>
      </c>
      <c r="BM22" s="668">
        <f>IF(BM$4="forecast",BM$8*'Direct People Department Costs'!$H$8,SUMIF('Dept. Cost Actuals'!$E$7:$E$176,"*Board*",'Dept. Cost Actuals'!BQ$529:BQ$628))</f>
        <v>0</v>
      </c>
      <c r="BN22" s="668">
        <f>IF(BN$4="forecast",BN$8*'Direct People Department Costs'!$H$8,SUMIF('Dept. Cost Actuals'!$E$7:$E$176,"*Board*",'Dept. Cost Actuals'!BR$529:BR$628))</f>
        <v>0</v>
      </c>
      <c r="BO22" s="668">
        <f>IF(BO$4="forecast",BO$8*'Direct People Department Costs'!$H$8,SUMIF('Dept. Cost Actuals'!$E$7:$E$176,"*Board*",'Dept. Cost Actuals'!BS$529:BS$628))</f>
        <v>0</v>
      </c>
      <c r="BP22" s="668">
        <f>IF(BP$4="forecast",BP$8*'Direct People Department Costs'!$H$8,SUMIF('Dept. Cost Actuals'!$E$7:$E$176,"*Board*",'Dept. Cost Actuals'!BT$529:BT$628))</f>
        <v>0</v>
      </c>
      <c r="BQ22" s="668">
        <f>IF(BQ$4="forecast",BQ$8*'Direct People Department Costs'!$H$8,SUMIF('Dept. Cost Actuals'!$E$7:$E$176,"*Board*",'Dept. Cost Actuals'!BU$529:BU$628))</f>
        <v>0</v>
      </c>
      <c r="BR22" s="668">
        <f>IF(BR$4="forecast",BR$8*'Direct People Department Costs'!$H$8,SUMIF('Dept. Cost Actuals'!$E$7:$E$176,"*Board*",'Dept. Cost Actuals'!BV$529:BV$628))</f>
        <v>0</v>
      </c>
      <c r="BS22" s="668">
        <f>IF(BS$4="forecast",BS$8*'Direct People Department Costs'!$H$8,SUMIF('Dept. Cost Actuals'!$E$7:$E$176,"*Board*",'Dept. Cost Actuals'!BW$529:BW$628))</f>
        <v>0</v>
      </c>
      <c r="BT22" s="668">
        <f>IF(BT$4="forecast",BT$8*'Direct People Department Costs'!$H$8,SUMIF('Dept. Cost Actuals'!$E$7:$E$176,"*Board*",'Dept. Cost Actuals'!BX$529:BX$628))</f>
        <v>0</v>
      </c>
      <c r="BU22" s="668">
        <f>IF(BU$4="forecast",BU$8*'Direct People Department Costs'!$H$8,SUMIF('Dept. Cost Actuals'!$E$7:$E$176,"*Board*",'Dept. Cost Actuals'!BY$529:BY$628))</f>
        <v>0</v>
      </c>
      <c r="BV22" s="668">
        <f>IF(BV$4="forecast",BV$8*'Direct People Department Costs'!$H$8,SUMIF('Dept. Cost Actuals'!$E$7:$E$176,"*Board*",'Dept. Cost Actuals'!BZ$529:BZ$628))</f>
        <v>0</v>
      </c>
    </row>
    <row r="23" spans="2:74" x14ac:dyDescent="0.25">
      <c r="B23" s="794" t="s">
        <v>918</v>
      </c>
      <c r="C23" s="668">
        <f ca="1">IF(C$4="forecast",C$8*'Direct People Department Costs'!$H$9,SUMIF('Dept. Cost Actuals'!$E$7:$E$176,"*Recruiting*",'Dept. Cost Actuals'!G$529:G$628))</f>
        <v>26.607454903201837</v>
      </c>
      <c r="D23" s="668">
        <f ca="1">IF(D$4="forecast",D$8*'Direct People Department Costs'!$H$9,SUMIF('Dept. Cost Actuals'!$E$7:$E$176,"*Recruiting*",'Dept. Cost Actuals'!H$529:H$628))</f>
        <v>4.4410507978255289</v>
      </c>
      <c r="E23" s="668">
        <f ca="1">IF(E$4="forecast",E$8*'Direct People Department Costs'!$H$9,SUMIF('Dept. Cost Actuals'!$E$7:$E$176,"*Recruiting*",'Dept. Cost Actuals'!I$529:I$628))</f>
        <v>2.8624498670164709</v>
      </c>
      <c r="F23" s="668">
        <f ca="1">IF(F$4="forecast",F$8*'Direct People Department Costs'!$H$9,SUMIF('Dept. Cost Actuals'!$E$7:$E$176,"*Recruiting*",'Dept. Cost Actuals'!J$529:J$628))</f>
        <v>229.64994950926402</v>
      </c>
      <c r="G23" s="668">
        <f ca="1">IF(G$4="forecast",G$8*'Direct People Department Costs'!$H$9,SUMIF('Dept. Cost Actuals'!$E$7:$E$176,"*Recruiting*",'Dept. Cost Actuals'!K$529:K$628))</f>
        <v>3.0255139964541948</v>
      </c>
      <c r="H23" s="668">
        <f ca="1">IF(H$4="forecast",H$8*'Direct People Department Costs'!$H$9,SUMIF('Dept. Cost Actuals'!$E$7:$E$176,"*Recruiting*",'Dept. Cost Actuals'!L$529:L$628))</f>
        <v>156.62940150208703</v>
      </c>
      <c r="I23" s="668">
        <f ca="1">IF(I$4="forecast",I$8*'Direct People Department Costs'!$H$9,SUMIF('Dept. Cost Actuals'!$E$7:$E$176,"*Recruiting*",'Dept. Cost Actuals'!M$529:M$628))</f>
        <v>199.60031021708457</v>
      </c>
      <c r="J23" s="668">
        <f ca="1">IF(J$4="forecast",J$8*'Direct People Department Costs'!$H$9,SUMIF('Dept. Cost Actuals'!$E$7:$E$176,"*Recruiting*",'Dept. Cost Actuals'!N$529:N$628))</f>
        <v>354.0390160186235</v>
      </c>
      <c r="K23" s="668">
        <f ca="1">IF(K$4="forecast",K$8*'Direct People Department Costs'!$H$9,SUMIF('Dept. Cost Actuals'!$E$7:$E$176,"*Recruiting*",'Dept. Cost Actuals'!O$529:O$628))</f>
        <v>1.4973695308665793</v>
      </c>
      <c r="L23" s="668">
        <f ca="1">IF(L$4="forecast",L$8*'Direct People Department Costs'!$H$9,SUMIF('Dept. Cost Actuals'!$E$7:$E$176,"*Recruiting*",'Dept. Cost Actuals'!P$529:P$628))</f>
        <v>170.93455212005998</v>
      </c>
      <c r="M23" s="668">
        <f ca="1">IF(M$4="forecast",M$8*'Direct People Department Costs'!$H$9,SUMIF('Dept. Cost Actuals'!$E$7:$E$176,"*Recruiting*",'Dept. Cost Actuals'!Q$529:Q$628))</f>
        <v>0</v>
      </c>
      <c r="N23" s="668">
        <f ca="1">IF(N$4="forecast",N$8*'Direct People Department Costs'!$H$9,SUMIF('Dept. Cost Actuals'!$E$7:$E$176,"*Recruiting*",'Dept. Cost Actuals'!R$529:R$628))</f>
        <v>0</v>
      </c>
      <c r="O23" s="668">
        <f ca="1">IF(O$4="forecast",O$8*'Direct People Department Costs'!$H$9,SUMIF('Dept. Cost Actuals'!$E$7:$E$176,"*Recruiting*",'Dept. Cost Actuals'!S$529:S$628))</f>
        <v>0</v>
      </c>
      <c r="P23" s="668">
        <f ca="1">IF(P$4="forecast",P$8*'Direct People Department Costs'!$H$9,SUMIF('Dept. Cost Actuals'!$E$7:$E$176,"*Recruiting*",'Dept. Cost Actuals'!T$529:T$628))</f>
        <v>0</v>
      </c>
      <c r="Q23" s="668">
        <f ca="1">IF(Q$4="forecast",Q$8*'Direct People Department Costs'!$H$9,SUMIF('Dept. Cost Actuals'!$E$7:$E$176,"*Recruiting*",'Dept. Cost Actuals'!U$529:U$628))</f>
        <v>0</v>
      </c>
      <c r="R23" s="668">
        <f ca="1">IF(R$4="forecast",R$8*'Direct People Department Costs'!$H$9,SUMIF('Dept. Cost Actuals'!$E$7:$E$176,"*Recruiting*",'Dept. Cost Actuals'!V$529:V$628))</f>
        <v>0</v>
      </c>
      <c r="S23" s="668">
        <f ca="1">IF(S$4="forecast",S$8*'Direct People Department Costs'!$H$9,SUMIF('Dept. Cost Actuals'!$E$7:$E$176,"*Recruiting*",'Dept. Cost Actuals'!W$529:W$628))</f>
        <v>720.25</v>
      </c>
      <c r="T23" s="668">
        <f ca="1">IF(T$4="forecast",T$8*'Direct People Department Costs'!$H$9,SUMIF('Dept. Cost Actuals'!$E$7:$E$176,"*Recruiting*",'Dept. Cost Actuals'!X$529:X$628))</f>
        <v>0</v>
      </c>
      <c r="U23" s="668">
        <f ca="1">IF(U$4="forecast",U$8*'Direct People Department Costs'!$H$9,SUMIF('Dept. Cost Actuals'!$E$7:$E$176,"*Recruiting*",'Dept. Cost Actuals'!Y$529:Y$628))</f>
        <v>0</v>
      </c>
      <c r="V23" s="668">
        <f ca="1">IF(V$4="forecast",V$8*'Direct People Department Costs'!$H$9,SUMIF('Dept. Cost Actuals'!$E$7:$E$176,"*Recruiting*",'Dept. Cost Actuals'!Z$529:Z$628))</f>
        <v>0</v>
      </c>
      <c r="W23" s="668">
        <f ca="1">IF(W$4="forecast",W$8*'Direct People Department Costs'!$H$9,SUMIF('Dept. Cost Actuals'!$E$7:$E$176,"*Recruiting*",'Dept. Cost Actuals'!AA$529:AA$628))</f>
        <v>0</v>
      </c>
      <c r="X23" s="668">
        <f ca="1">IF(X$4="forecast",X$8*'Direct People Department Costs'!$H$9,SUMIF('Dept. Cost Actuals'!$E$7:$E$176,"*Recruiting*",'Dept. Cost Actuals'!AB$529:AB$628))</f>
        <v>0</v>
      </c>
      <c r="Y23" s="668">
        <f ca="1">IF(Y$4="forecast",Y$8*'Direct People Department Costs'!$H$9,SUMIF('Dept. Cost Actuals'!$E$7:$E$176,"*Recruiting*",'Dept. Cost Actuals'!AC$529:AC$628))</f>
        <v>0</v>
      </c>
      <c r="Z23" s="668">
        <f ca="1">IF(Z$4="forecast",Z$8*'Direct People Department Costs'!$H$9,SUMIF('Dept. Cost Actuals'!$E$7:$E$176,"*Recruiting*",'Dept. Cost Actuals'!AD$529:AD$628))</f>
        <v>0</v>
      </c>
      <c r="AA23" s="668">
        <f ca="1">IF(AA$4="forecast",AA$8*'Direct People Department Costs'!$H$9,SUMIF('Dept. Cost Actuals'!$E$7:$E$176,"*Recruiting*",'Dept. Cost Actuals'!AE$529:AE$628))</f>
        <v>4722.22</v>
      </c>
      <c r="AB23" s="668">
        <f ca="1">IF(AB$4="forecast",AB$8*'Direct People Department Costs'!$H$9,SUMIF('Dept. Cost Actuals'!$E$7:$E$176,"*Recruiting*",'Dept. Cost Actuals'!AF$529:AF$628))</f>
        <v>4722.2299999999996</v>
      </c>
      <c r="AC23" s="668">
        <f ca="1">IF(AC$4="forecast",AC$8*'Direct People Department Costs'!$H$9,SUMIF('Dept. Cost Actuals'!$E$7:$E$176,"*Recruiting*",'Dept. Cost Actuals'!AG$529:AG$628))</f>
        <v>4781.22</v>
      </c>
      <c r="AD23" s="668">
        <f>IF(AD$4="forecast",AD$8*'Direct People Department Costs'!$H$9,SUMIF('Dept. Cost Actuals'!$E$7:$E$176,"*Recruiting*",'Dept. Cost Actuals'!AH$529:AH$628))</f>
        <v>1000</v>
      </c>
      <c r="AE23" s="668">
        <f>IF(AE$4="forecast",AE$8*'Direct People Department Costs'!$H$9,SUMIF('Dept. Cost Actuals'!$E$7:$E$176,"*Recruiting*",'Dept. Cost Actuals'!AI$529:AI$628))</f>
        <v>1000</v>
      </c>
      <c r="AF23" s="668">
        <f>IF(AF$4="forecast",AF$8*'Direct People Department Costs'!$H$9,SUMIF('Dept. Cost Actuals'!$E$7:$E$176,"*Recruiting*",'Dept. Cost Actuals'!AJ$529:AJ$628))</f>
        <v>0</v>
      </c>
      <c r="AG23" s="668">
        <f>IF(AG$4="forecast",AG$8*'Direct People Department Costs'!$H$9,SUMIF('Dept. Cost Actuals'!$E$7:$E$176,"*Recruiting*",'Dept. Cost Actuals'!AK$529:AK$628))</f>
        <v>0</v>
      </c>
      <c r="AH23" s="668">
        <f>IF(AH$4="forecast",AH$8*'Direct People Department Costs'!$H$9,SUMIF('Dept. Cost Actuals'!$E$7:$E$176,"*Recruiting*",'Dept. Cost Actuals'!AL$529:AL$628))</f>
        <v>0</v>
      </c>
      <c r="AI23" s="668">
        <f>IF(AI$4="forecast",AI$8*'Direct People Department Costs'!$H$9,SUMIF('Dept. Cost Actuals'!$E$7:$E$176,"*Recruiting*",'Dept. Cost Actuals'!AM$529:AM$628))</f>
        <v>0</v>
      </c>
      <c r="AJ23" s="668">
        <f>IF(AJ$4="forecast",AJ$8*'Direct People Department Costs'!$H$9,SUMIF('Dept. Cost Actuals'!$E$7:$E$176,"*Recruiting*",'Dept. Cost Actuals'!AN$529:AN$628))</f>
        <v>0</v>
      </c>
      <c r="AK23" s="668">
        <f>IF(AK$4="forecast",AK$8*'Direct People Department Costs'!$H$9,SUMIF('Dept. Cost Actuals'!$E$7:$E$176,"*Recruiting*",'Dept. Cost Actuals'!AO$529:AO$628))</f>
        <v>0</v>
      </c>
      <c r="AL23" s="668">
        <f>IF(AL$4="forecast",AL$8*'Direct People Department Costs'!$H$9,SUMIF('Dept. Cost Actuals'!$E$7:$E$176,"*Recruiting*",'Dept. Cost Actuals'!AP$529:AP$628))</f>
        <v>0</v>
      </c>
      <c r="AM23" s="668">
        <f>IF(AM$4="forecast",AM$8*'Direct People Department Costs'!$H$9,SUMIF('Dept. Cost Actuals'!$E$7:$E$176,"*Recruiting*",'Dept. Cost Actuals'!AQ$529:AQ$628))</f>
        <v>0</v>
      </c>
      <c r="AN23" s="668">
        <f>IF(AN$4="forecast",AN$8*'Direct People Department Costs'!$H$9,SUMIF('Dept. Cost Actuals'!$E$7:$E$176,"*Recruiting*",'Dept. Cost Actuals'!AR$529:AR$628))</f>
        <v>0</v>
      </c>
      <c r="AO23" s="668">
        <f>IF(AO$4="forecast",AO$8*'Direct People Department Costs'!$H$9,SUMIF('Dept. Cost Actuals'!$E$7:$E$176,"*Recruiting*",'Dept. Cost Actuals'!AS$529:AS$628))</f>
        <v>0</v>
      </c>
      <c r="AP23" s="668">
        <f>IF(AP$4="forecast",AP$8*'Direct People Department Costs'!$H$9,SUMIF('Dept. Cost Actuals'!$E$7:$E$176,"*Recruiting*",'Dept. Cost Actuals'!AT$529:AT$628))</f>
        <v>0</v>
      </c>
      <c r="AQ23" s="668">
        <f>IF(AQ$4="forecast",AQ$8*'Direct People Department Costs'!$H$9,SUMIF('Dept. Cost Actuals'!$E$7:$E$176,"*Recruiting*",'Dept. Cost Actuals'!AU$529:AU$628))</f>
        <v>0</v>
      </c>
      <c r="AR23" s="668">
        <f>IF(AR$4="forecast",AR$8*'Direct People Department Costs'!$H$9,SUMIF('Dept. Cost Actuals'!$E$7:$E$176,"*Recruiting*",'Dept. Cost Actuals'!AV$529:AV$628))</f>
        <v>0</v>
      </c>
      <c r="AS23" s="668">
        <f>IF(AS$4="forecast",AS$8*'Direct People Department Costs'!$H$9,SUMIF('Dept. Cost Actuals'!$E$7:$E$176,"*Recruiting*",'Dept. Cost Actuals'!AW$529:AW$628))</f>
        <v>0</v>
      </c>
      <c r="AT23" s="668">
        <f>IF(AT$4="forecast",AT$8*'Direct People Department Costs'!$H$9,SUMIF('Dept. Cost Actuals'!$E$7:$E$176,"*Recruiting*",'Dept. Cost Actuals'!AX$529:AX$628))</f>
        <v>0</v>
      </c>
      <c r="AU23" s="668">
        <f>IF(AU$4="forecast",AU$8*'Direct People Department Costs'!$H$9,SUMIF('Dept. Cost Actuals'!$E$7:$E$176,"*Recruiting*",'Dept. Cost Actuals'!AY$529:AY$628))</f>
        <v>0</v>
      </c>
      <c r="AV23" s="668">
        <f>IF(AV$4="forecast",AV$8*'Direct People Department Costs'!$H$9,SUMIF('Dept. Cost Actuals'!$E$7:$E$176,"*Recruiting*",'Dept. Cost Actuals'!AZ$529:AZ$628))</f>
        <v>0</v>
      </c>
      <c r="AW23" s="668">
        <f>IF(AW$4="forecast",AW$8*'Direct People Department Costs'!$H$9,SUMIF('Dept. Cost Actuals'!$E$7:$E$176,"*Recruiting*",'Dept. Cost Actuals'!BA$529:BA$628))</f>
        <v>0</v>
      </c>
      <c r="AX23" s="668">
        <f>IF(AX$4="forecast",AX$8*'Direct People Department Costs'!$H$9,SUMIF('Dept. Cost Actuals'!$E$7:$E$176,"*Recruiting*",'Dept. Cost Actuals'!BB$529:BB$628))</f>
        <v>0</v>
      </c>
      <c r="AY23" s="668">
        <f>IF(AY$4="forecast",AY$8*'Direct People Department Costs'!$H$9,SUMIF('Dept. Cost Actuals'!$E$7:$E$176,"*Recruiting*",'Dept. Cost Actuals'!BC$529:BC$628))</f>
        <v>0</v>
      </c>
      <c r="AZ23" s="668">
        <f>IF(AZ$4="forecast",AZ$8*'Direct People Department Costs'!$H$9,SUMIF('Dept. Cost Actuals'!$E$7:$E$176,"*Recruiting*",'Dept. Cost Actuals'!BD$529:BD$628))</f>
        <v>0</v>
      </c>
      <c r="BA23" s="668">
        <f>IF(BA$4="forecast",BA$8*'Direct People Department Costs'!$H$9,SUMIF('Dept. Cost Actuals'!$E$7:$E$176,"*Recruiting*",'Dept. Cost Actuals'!BE$529:BE$628))</f>
        <v>0</v>
      </c>
      <c r="BB23" s="668">
        <f>IF(BB$4="forecast",BB$8*'Direct People Department Costs'!$H$9,SUMIF('Dept. Cost Actuals'!$E$7:$E$176,"*Recruiting*",'Dept. Cost Actuals'!BF$529:BF$628))</f>
        <v>0</v>
      </c>
      <c r="BC23" s="668">
        <f>IF(BC$4="forecast",BC$8*'Direct People Department Costs'!$H$9,SUMIF('Dept. Cost Actuals'!$E$7:$E$176,"*Recruiting*",'Dept. Cost Actuals'!BG$529:BG$628))</f>
        <v>0</v>
      </c>
      <c r="BD23" s="668">
        <f>IF(BD$4="forecast",BD$8*'Direct People Department Costs'!$H$9,SUMIF('Dept. Cost Actuals'!$E$7:$E$176,"*Recruiting*",'Dept. Cost Actuals'!BH$529:BH$628))</f>
        <v>0</v>
      </c>
      <c r="BE23" s="668">
        <f>IF(BE$4="forecast",BE$8*'Direct People Department Costs'!$H$9,SUMIF('Dept. Cost Actuals'!$E$7:$E$176,"*Recruiting*",'Dept. Cost Actuals'!BI$529:BI$628))</f>
        <v>0</v>
      </c>
      <c r="BF23" s="668">
        <f>IF(BF$4="forecast",BF$8*'Direct People Department Costs'!$H$9,SUMIF('Dept. Cost Actuals'!$E$7:$E$176,"*Recruiting*",'Dept. Cost Actuals'!BJ$529:BJ$628))</f>
        <v>0</v>
      </c>
      <c r="BG23" s="668">
        <f>IF(BG$4="forecast",BG$8*'Direct People Department Costs'!$H$9,SUMIF('Dept. Cost Actuals'!$E$7:$E$176,"*Recruiting*",'Dept. Cost Actuals'!BK$529:BK$628))</f>
        <v>0</v>
      </c>
      <c r="BH23" s="668">
        <f>IF(BH$4="forecast",BH$8*'Direct People Department Costs'!$H$9,SUMIF('Dept. Cost Actuals'!$E$7:$E$176,"*Recruiting*",'Dept. Cost Actuals'!BL$529:BL$628))</f>
        <v>0</v>
      </c>
      <c r="BI23" s="668">
        <f>IF(BI$4="forecast",BI$8*'Direct People Department Costs'!$H$9,SUMIF('Dept. Cost Actuals'!$E$7:$E$176,"*Recruiting*",'Dept. Cost Actuals'!BM$529:BM$628))</f>
        <v>0</v>
      </c>
      <c r="BJ23" s="668">
        <f>IF(BJ$4="forecast",BJ$8*'Direct People Department Costs'!$H$9,SUMIF('Dept. Cost Actuals'!$E$7:$E$176,"*Recruiting*",'Dept. Cost Actuals'!BN$529:BN$628))</f>
        <v>0</v>
      </c>
      <c r="BK23" s="668">
        <f>IF(BK$4="forecast",BK$8*'Direct People Department Costs'!$H$9,SUMIF('Dept. Cost Actuals'!$E$7:$E$176,"*Recruiting*",'Dept. Cost Actuals'!BO$529:BO$628))</f>
        <v>0</v>
      </c>
      <c r="BL23" s="668">
        <f>IF(BL$4="forecast",BL$8*'Direct People Department Costs'!$H$9,SUMIF('Dept. Cost Actuals'!$E$7:$E$176,"*Recruiting*",'Dept. Cost Actuals'!BP$529:BP$628))</f>
        <v>0</v>
      </c>
      <c r="BM23" s="668">
        <f>IF(BM$4="forecast",BM$8*'Direct People Department Costs'!$H$9,SUMIF('Dept. Cost Actuals'!$E$7:$E$176,"*Recruiting*",'Dept. Cost Actuals'!BQ$529:BQ$628))</f>
        <v>0</v>
      </c>
      <c r="BN23" s="668">
        <f>IF(BN$4="forecast",BN$8*'Direct People Department Costs'!$H$9,SUMIF('Dept. Cost Actuals'!$E$7:$E$176,"*Recruiting*",'Dept. Cost Actuals'!BR$529:BR$628))</f>
        <v>0</v>
      </c>
      <c r="BO23" s="668">
        <f>IF(BO$4="forecast",BO$8*'Direct People Department Costs'!$H$9,SUMIF('Dept. Cost Actuals'!$E$7:$E$176,"*Recruiting*",'Dept. Cost Actuals'!BS$529:BS$628))</f>
        <v>0</v>
      </c>
      <c r="BP23" s="668">
        <f>IF(BP$4="forecast",BP$8*'Direct People Department Costs'!$H$9,SUMIF('Dept. Cost Actuals'!$E$7:$E$176,"*Recruiting*",'Dept. Cost Actuals'!BT$529:BT$628))</f>
        <v>0</v>
      </c>
      <c r="BQ23" s="668">
        <f>IF(BQ$4="forecast",BQ$8*'Direct People Department Costs'!$H$9,SUMIF('Dept. Cost Actuals'!$E$7:$E$176,"*Recruiting*",'Dept. Cost Actuals'!BU$529:BU$628))</f>
        <v>0</v>
      </c>
      <c r="BR23" s="668">
        <f>IF(BR$4="forecast",BR$8*'Direct People Department Costs'!$H$9,SUMIF('Dept. Cost Actuals'!$E$7:$E$176,"*Recruiting*",'Dept. Cost Actuals'!BV$529:BV$628))</f>
        <v>0</v>
      </c>
      <c r="BS23" s="668">
        <f>IF(BS$4="forecast",BS$8*'Direct People Department Costs'!$H$9,SUMIF('Dept. Cost Actuals'!$E$7:$E$176,"*Recruiting*",'Dept. Cost Actuals'!BW$529:BW$628))</f>
        <v>0</v>
      </c>
      <c r="BT23" s="668">
        <f>IF(BT$4="forecast",BT$8*'Direct People Department Costs'!$H$9,SUMIF('Dept. Cost Actuals'!$E$7:$E$176,"*Recruiting*",'Dept. Cost Actuals'!BX$529:BX$628))</f>
        <v>0</v>
      </c>
      <c r="BU23" s="668">
        <f>IF(BU$4="forecast",BU$8*'Direct People Department Costs'!$H$9,SUMIF('Dept. Cost Actuals'!$E$7:$E$176,"*Recruiting*",'Dept. Cost Actuals'!BY$529:BY$628))</f>
        <v>0</v>
      </c>
      <c r="BV23" s="790">
        <f>IF(BV$4="forecast",BV$8*'Direct People Department Costs'!$H$9,SUMIF('Dept. Cost Actuals'!$E$7:$E$176,"*Recruiting*",'Dept. Cost Actuals'!BZ$529:BZ$628))</f>
        <v>0</v>
      </c>
    </row>
    <row r="24" spans="2:74" x14ac:dyDescent="0.25">
      <c r="B24" s="794" t="s">
        <v>431</v>
      </c>
      <c r="C24" s="668">
        <f>IF(C$4="forecast",(AVERAGE(#REF!)),'Dept. Cost Actuals'!G639)</f>
        <v>10.393967486274889</v>
      </c>
      <c r="D24" s="668">
        <f>IF(D$4="forecast",(AVERAGE(#REF!)),'Dept. Cost Actuals'!H639)</f>
        <v>30.22850310838238</v>
      </c>
      <c r="E24" s="668">
        <f>IF(E$4="forecast",(AVERAGE(#REF!)),'Dept. Cost Actuals'!I639)</f>
        <v>21.909382112135201</v>
      </c>
      <c r="F24" s="668">
        <f>IF(F$4="forecast",(AVERAGE(#REF!)),'Dept. Cost Actuals'!J639)</f>
        <v>34.787917454110463</v>
      </c>
      <c r="G24" s="668">
        <f>IF(G$4="forecast",(AVERAGE(#REF!)),'Dept. Cost Actuals'!K639)</f>
        <v>8.9490822223572462</v>
      </c>
      <c r="H24" s="668">
        <f>IF(H$4="forecast",(AVERAGE(#REF!)),'Dept. Cost Actuals'!L639)</f>
        <v>26.00941688436674</v>
      </c>
      <c r="I24" s="668">
        <f>IF(I$4="forecast",(AVERAGE(#REF!)),'Dept. Cost Actuals'!M639)</f>
        <v>14.86005551217214</v>
      </c>
      <c r="J24" s="668">
        <f>IF(J$4="forecast",(AVERAGE(#REF!)),'Dept. Cost Actuals'!N639)</f>
        <v>74.043608456512857</v>
      </c>
      <c r="K24" s="668">
        <f>IF(K$4="forecast",(AVERAGE(#REF!)),'Dept. Cost Actuals'!O639)</f>
        <v>91.688460044035168</v>
      </c>
      <c r="L24" s="668">
        <f>IF(L$4="forecast",(AVERAGE(#REF!)),'Dept. Cost Actuals'!P639)</f>
        <v>87.491379375218841</v>
      </c>
      <c r="M24" s="668">
        <f>IF(M$4="forecast",(AVERAGE(A24:L24)),'Dept. Cost Actuals'!Q639)</f>
        <v>24.231139868680788</v>
      </c>
      <c r="N24" s="668">
        <f>IF(N$4="forecast",(AVERAGE(B24:M24)),'Dept. Cost Actuals'!R639)</f>
        <v>30.119668132164151</v>
      </c>
      <c r="O24" s="668">
        <f>IF(O$4="forecast",(AVERAGE(C24:N24)),'Dept. Cost Actuals'!S639)</f>
        <v>0</v>
      </c>
      <c r="P24" s="668">
        <f>IF(P$4="forecast",(AVERAGE(D24:O24)),'Dept. Cost Actuals'!T639)</f>
        <v>0</v>
      </c>
      <c r="Q24" s="668">
        <f>IF(Q$4="forecast",(AVERAGE(E24:P24)),'Dept. Cost Actuals'!U639)</f>
        <v>0</v>
      </c>
      <c r="R24" s="668">
        <f>IF(R$4="forecast",(AVERAGE(F24:Q24)),'Dept. Cost Actuals'!V639)</f>
        <v>0</v>
      </c>
      <c r="S24" s="668">
        <f>IF(S$4="forecast",(AVERAGE(G24:R24)),'Dept. Cost Actuals'!W639)</f>
        <v>0</v>
      </c>
      <c r="T24" s="668">
        <f>IF(T$4="forecast",(AVERAGE(H24:S24)),'Dept. Cost Actuals'!X639)</f>
        <v>886.6</v>
      </c>
      <c r="U24" s="668">
        <f>IF(U$4="forecast",(AVERAGE(I24:T24)),'Dept. Cost Actuals'!Y639)</f>
        <v>220.23</v>
      </c>
      <c r="V24" s="668">
        <f>IF(V$4="forecast",(AVERAGE(J24:U24)),'Dept. Cost Actuals'!Z639)</f>
        <v>3060.93</v>
      </c>
      <c r="W24" s="668">
        <f>IF(W$4="forecast",(AVERAGE(K24:V24)),'Dept. Cost Actuals'!AA639)</f>
        <v>207.07</v>
      </c>
      <c r="X24" s="668">
        <f>IF(X$4="forecast",(AVERAGE(L24:W24)),'Dept. Cost Actuals'!AB639)</f>
        <v>5293.32</v>
      </c>
      <c r="Y24" s="668">
        <f>IF(Y$4="forecast",(AVERAGE(M24:X24)),'Dept. Cost Actuals'!AC639)</f>
        <v>2625.87</v>
      </c>
      <c r="Z24" s="668">
        <f>IF(Z$4="forecast",(AVERAGE(N24:Y24)),'Dept. Cost Actuals'!AD639)</f>
        <v>851.01</v>
      </c>
      <c r="AA24" s="668">
        <f>IF(AA$4="forecast",(AVERAGE(O24:Z24)),'Dept. Cost Actuals'!AE639)</f>
        <v>2894.29</v>
      </c>
      <c r="AB24" s="668">
        <f>IF(AB$4="forecast",(AVERAGE(P24:AA24)),'Dept. Cost Actuals'!AF639)</f>
        <v>494.95</v>
      </c>
      <c r="AC24" s="668">
        <f>IF(AC$4="forecast",(AVERAGE(Q24:AB24)),'Dept. Cost Actuals'!AG639)</f>
        <v>2654.03</v>
      </c>
      <c r="AD24" s="668">
        <f>IF(AD$4="forecast",(AVERAGE(R24:AC24)),'Dept. Cost Actuals'!AH639)</f>
        <v>1599.0249999999999</v>
      </c>
      <c r="AE24" s="668">
        <f>IF(AE$4="forecast",(AVERAGE(S24:AD24)),'Dept. Cost Actuals'!AI639)</f>
        <v>1732.2770833333334</v>
      </c>
      <c r="AF24" s="668">
        <f>IF(AF$4="forecast",(AVERAGE(T24:AE24)),'Dept. Cost Actuals'!AJ639)</f>
        <v>1876.6335069444447</v>
      </c>
      <c r="AG24" s="668">
        <f>IF(AG$4="forecast",(AVERAGE(U24:AF24)),'Dept. Cost Actuals'!AK639)</f>
        <v>1959.1362991898147</v>
      </c>
      <c r="AH24" s="668">
        <f>IF(AH$4="forecast",(AVERAGE(V24:AG24)),'Dept. Cost Actuals'!AL639)</f>
        <v>2104.0451574556323</v>
      </c>
      <c r="AI24" s="668">
        <f>IF(AI$4="forecast",(AVERAGE(W24:AH24)),'Dept. Cost Actuals'!AM639)</f>
        <v>2024.3047539102683</v>
      </c>
      <c r="AJ24" s="668">
        <f>IF(AJ$4="forecast",(AVERAGE(X24:AI24)),'Dept. Cost Actuals'!AN639)</f>
        <v>2175.7409834027908</v>
      </c>
      <c r="AK24" s="668">
        <f>IF(AK$4="forecast",(AVERAGE(Y24:AJ24)),'Dept. Cost Actuals'!AO639)</f>
        <v>1915.9427320196903</v>
      </c>
      <c r="AL24" s="668">
        <f>IF(AL$4="forecast",(AVERAGE(Z24:AK24)),'Dept. Cost Actuals'!AP639)</f>
        <v>1856.7821263546648</v>
      </c>
      <c r="AM24" s="668">
        <f>IF(AM$4="forecast",(AVERAGE(AA24:AL24)),'Dept. Cost Actuals'!AQ639)</f>
        <v>1940.5964702175534</v>
      </c>
      <c r="AN24" s="668">
        <f>IF(AN$4="forecast",(AVERAGE(AB24:AM24)),'Dept. Cost Actuals'!AR639)</f>
        <v>1861.1220094023495</v>
      </c>
      <c r="AO24" s="668">
        <f>IF(AO$4="forecast",(AVERAGE(AC24:AN24)),'Dept. Cost Actuals'!AS639)</f>
        <v>1974.9696768525448</v>
      </c>
      <c r="AP24" s="668">
        <f>IF(AP$4="forecast",(AVERAGE(AD24:AO24)),'Dept. Cost Actuals'!AT639)</f>
        <v>1918.3813165902573</v>
      </c>
      <c r="AQ24" s="668">
        <f>IF(AQ$4="forecast",(AVERAGE(AE24:AP24)),'Dept. Cost Actuals'!AU639)</f>
        <v>1944.9943429727789</v>
      </c>
      <c r="AR24" s="668">
        <f>IF(AR$4="forecast",(AVERAGE(AF24:AQ24)),'Dept. Cost Actuals'!AV639)</f>
        <v>1962.720781276066</v>
      </c>
      <c r="AS24" s="668">
        <f>IF(AS$4="forecast",(AVERAGE(AG24:AR24)),'Dept. Cost Actuals'!AW639)</f>
        <v>1969.8947208037009</v>
      </c>
      <c r="AT24" s="668">
        <f>IF(AT$4="forecast",(AVERAGE(AH24:AS24)),'Dept. Cost Actuals'!AX639)</f>
        <v>1970.7912559381914</v>
      </c>
      <c r="AU24" s="668">
        <f>IF(AU$4="forecast",(AVERAGE(AI24:AT24)),'Dept. Cost Actuals'!AY639)</f>
        <v>1959.6867641450715</v>
      </c>
      <c r="AV24" s="668">
        <f>IF(AV$4="forecast",(AVERAGE(AJ24:AU24)),'Dept. Cost Actuals'!AZ639)</f>
        <v>1954.3019316646385</v>
      </c>
      <c r="AW24" s="668">
        <f>IF(AW$4="forecast",(AVERAGE(AK24:AV24)),'Dept. Cost Actuals'!BA639)</f>
        <v>1935.8486773531256</v>
      </c>
      <c r="AX24" s="668">
        <f>IF(AX$4="forecast",(AVERAGE(AL24:AW24)),'Dept. Cost Actuals'!BB639)</f>
        <v>1937.5075061309117</v>
      </c>
      <c r="AY24" s="668">
        <f>IF(AY$4="forecast",(AVERAGE(AM24:AX24)),'Dept. Cost Actuals'!BC639)</f>
        <v>1944.2346211122656</v>
      </c>
      <c r="AZ24" s="668">
        <f>IF(AZ$4="forecast",(AVERAGE(AN24:AY24)),'Dept. Cost Actuals'!BD639)</f>
        <v>1944.5378003534915</v>
      </c>
      <c r="BA24" s="668">
        <f>IF(BA$4="forecast",(AVERAGE(AO24:AZ24)),'Dept. Cost Actuals'!BE639)</f>
        <v>1951.4891162660867</v>
      </c>
      <c r="BB24" s="668">
        <f>IF(BB$4="forecast",(AVERAGE(AP24:BA24)),'Dept. Cost Actuals'!BF639)</f>
        <v>1949.5324028838822</v>
      </c>
      <c r="BC24" s="668">
        <f>IF(BC$4="forecast",(AVERAGE(AQ24:BB24)),'Dept. Cost Actuals'!BG639)</f>
        <v>1952.1283267416838</v>
      </c>
      <c r="BD24" s="668">
        <f>IF(BD$4="forecast",(AVERAGE(AR24:BC24)),'Dept. Cost Actuals'!BH639)</f>
        <v>1952.7228253890933</v>
      </c>
      <c r="BE24" s="668">
        <f>IF(BE$4="forecast",(AVERAGE(AS24:BD24)),'Dept. Cost Actuals'!BI639)</f>
        <v>1951.889662398512</v>
      </c>
      <c r="BF24" s="668">
        <f>IF(BF$4="forecast",(AVERAGE(AT24:BE24)),'Dept. Cost Actuals'!BJ639)</f>
        <v>1950.3892408647464</v>
      </c>
      <c r="BG24" s="668">
        <f>IF(BG$4="forecast",(AVERAGE(AU24:BF24)),'Dept. Cost Actuals'!BK639)</f>
        <v>1948.6890729419592</v>
      </c>
      <c r="BH24" s="668">
        <f>IF(BH$4="forecast",(AVERAGE(AV24:BG24)),'Dept. Cost Actuals'!BL639)</f>
        <v>1947.7725986750331</v>
      </c>
      <c r="BI24" s="668">
        <f>IF(BI$4="forecast",(AVERAGE(AW24:BH24)),'Dept. Cost Actuals'!BM639)</f>
        <v>1947.2284875925661</v>
      </c>
      <c r="BJ24" s="668">
        <f>IF(BJ$4="forecast",(AVERAGE(AX24:BI24)),'Dept. Cost Actuals'!BN639)</f>
        <v>1948.1768051125193</v>
      </c>
      <c r="BK24" s="668">
        <f>IF(BK$4="forecast",(AVERAGE(AY24:BJ24)),'Dept. Cost Actuals'!BO639)</f>
        <v>1949.0659133609868</v>
      </c>
      <c r="BL24" s="668">
        <f>IF(BL$4="forecast",(AVERAGE(AZ24:BK24)),'Dept. Cost Actuals'!BP639)</f>
        <v>1949.4685210483801</v>
      </c>
      <c r="BM24" s="668">
        <f>IF(BM$4="forecast",(AVERAGE(BA24:BL24)),'Dept. Cost Actuals'!BQ639)</f>
        <v>1949.8794144396209</v>
      </c>
      <c r="BN24" s="668">
        <f>IF(BN$4="forecast",(AVERAGE(BB24:BM24)),'Dept. Cost Actuals'!BR639)</f>
        <v>1949.7452726207487</v>
      </c>
      <c r="BO24" s="668">
        <f>IF(BO$4="forecast",(AVERAGE(BC24:BN24)),'Dept. Cost Actuals'!BS639)</f>
        <v>1949.7630117654874</v>
      </c>
      <c r="BP24" s="668">
        <f>IF(BP$4="forecast",(AVERAGE(BD24:BO24)),'Dept. Cost Actuals'!BT639)</f>
        <v>1949.5659021841377</v>
      </c>
      <c r="BQ24" s="668">
        <f>IF(BQ$4="forecast",(AVERAGE(BE24:BP24)),'Dept. Cost Actuals'!BU639)</f>
        <v>1949.3028252503916</v>
      </c>
      <c r="BR24" s="668">
        <f>IF(BR$4="forecast",(AVERAGE(BF24:BQ24)),'Dept. Cost Actuals'!BV639)</f>
        <v>1949.0872554880482</v>
      </c>
      <c r="BS24" s="668">
        <f>IF(BS$4="forecast",(AVERAGE(BG24:BR24)),'Dept. Cost Actuals'!BW639)</f>
        <v>1948.9787567066567</v>
      </c>
      <c r="BT24" s="668">
        <f>IF(BT$4="forecast",(AVERAGE(BH24:BS24)),'Dept. Cost Actuals'!BX639)</f>
        <v>1949.0028970203812</v>
      </c>
      <c r="BU24" s="668">
        <f>IF(BU$4="forecast",(AVERAGE(BI24:BT24)),'Dept. Cost Actuals'!BY639)</f>
        <v>1949.1054218824938</v>
      </c>
      <c r="BV24" s="790">
        <f>IF(BV$4="forecast",(AVERAGE(BJ24:BU24)),'Dept. Cost Actuals'!BZ639)</f>
        <v>1949.2618330733212</v>
      </c>
    </row>
    <row r="25" spans="2:74" x14ac:dyDescent="0.25">
      <c r="B25" s="794" t="s">
        <v>1338</v>
      </c>
      <c r="C25" s="668">
        <f>IF(C$4="forecast",(AVERAGE(#REF!)),'Dept. Cost Actuals'!G608)</f>
        <v>28.444621407047624</v>
      </c>
      <c r="D25" s="668">
        <f>IF(D$4="forecast",(AVERAGE(#REF!)),'Dept. Cost Actuals'!H608)</f>
        <v>15.646336187673825</v>
      </c>
      <c r="E25" s="668">
        <f>IF(E$4="forecast",(AVERAGE(#REF!)),'Dept. Cost Actuals'!I608)</f>
        <v>17.477546398029169</v>
      </c>
      <c r="F25" s="668">
        <f>IF(F$4="forecast",(AVERAGE(#REF!)),'Dept. Cost Actuals'!J608)</f>
        <v>20.422215002395721</v>
      </c>
      <c r="G25" s="668">
        <f>IF(G$4="forecast",(AVERAGE(#REF!)),'Dept. Cost Actuals'!K608)</f>
        <v>7.9100407967372339</v>
      </c>
      <c r="H25" s="668">
        <f>IF(H$4="forecast",(AVERAGE(#REF!)),'Dept. Cost Actuals'!L608)</f>
        <v>36.220144833106495</v>
      </c>
      <c r="I25" s="668">
        <f>IF(I$4="forecast",(AVERAGE(#REF!)),'Dept. Cost Actuals'!M608)</f>
        <v>37.753058979647335</v>
      </c>
      <c r="J25" s="668">
        <f>IF(J$4="forecast",(AVERAGE(#REF!)),'Dept. Cost Actuals'!N608)</f>
        <v>40.795643981983893</v>
      </c>
      <c r="K25" s="668">
        <f>IF(K$4="forecast",(AVERAGE(#REF!)),'Dept. Cost Actuals'!O608)</f>
        <v>42.30302706045606</v>
      </c>
      <c r="L25" s="668">
        <f>IF(L$4="forecast",(AVERAGE(#REF!)),'Dept. Cost Actuals'!P608)</f>
        <v>91.508931934122728</v>
      </c>
      <c r="M25" s="668">
        <f>IF(M$4="forecast",(AVERAGE(A25:L25)),'Dept. Cost Actuals'!Q608)</f>
        <v>86.689903434239923</v>
      </c>
      <c r="N25" s="668">
        <f>IF(N$4="forecast",(AVERAGE(B25:M25)),'Dept. Cost Actuals'!R608)</f>
        <v>3.353934662527803</v>
      </c>
      <c r="O25" s="668">
        <f>IF(O$4="forecast",(AVERAGE(C25:N25)),'Dept. Cost Actuals'!S608)</f>
        <v>0</v>
      </c>
      <c r="P25" s="668">
        <f>IF(P$4="forecast",(AVERAGE(D25:O25)),'Dept. Cost Actuals'!T608)</f>
        <v>0</v>
      </c>
      <c r="Q25" s="668">
        <f>IF(Q$4="forecast",(AVERAGE(E25:P25)),'Dept. Cost Actuals'!U608)</f>
        <v>0</v>
      </c>
      <c r="R25" s="668">
        <f>IF(R$4="forecast",(AVERAGE(F25:Q25)),'Dept. Cost Actuals'!V608)</f>
        <v>0</v>
      </c>
      <c r="S25" s="668">
        <f>IF(S$4="forecast",(AVERAGE(G25:R25)),'Dept. Cost Actuals'!W608)</f>
        <v>0</v>
      </c>
      <c r="T25" s="668">
        <f>IF(T$4="forecast",(AVERAGE(H25:S25)),'Dept. Cost Actuals'!X608)</f>
        <v>0</v>
      </c>
      <c r="U25" s="668">
        <f>IF(U$4="forecast",(AVERAGE(I25:T25)),'Dept. Cost Actuals'!Y608)</f>
        <v>7</v>
      </c>
      <c r="V25" s="668">
        <f>IF(V$4="forecast",(AVERAGE(J25:U25)),'Dept. Cost Actuals'!Z608)</f>
        <v>48.48</v>
      </c>
      <c r="W25" s="668">
        <f>IF(W$4="forecast",(AVERAGE(K25:V25)),'Dept. Cost Actuals'!AA608)</f>
        <v>4.9800000000000004</v>
      </c>
      <c r="X25" s="668">
        <f>IF(X$4="forecast",(AVERAGE(L25:W25)),'Dept. Cost Actuals'!AB608)</f>
        <v>166.3</v>
      </c>
      <c r="Y25" s="668">
        <f>IF(Y$4="forecast",(AVERAGE(M25:X25)),'Dept. Cost Actuals'!AC608)</f>
        <v>482.11</v>
      </c>
      <c r="Z25" s="668">
        <f>IF(Z$4="forecast",(AVERAGE(N25:Y25)),'Dept. Cost Actuals'!AD608)</f>
        <v>37.270000000000003</v>
      </c>
      <c r="AA25" s="668">
        <f>IF(AA$4="forecast",(AVERAGE(O25:Z25)),'Dept. Cost Actuals'!AE608)</f>
        <v>378.3</v>
      </c>
      <c r="AB25" s="668">
        <f>IF(AB$4="forecast",(AVERAGE(P25:AA25)),'Dept. Cost Actuals'!AF608)</f>
        <v>243.71</v>
      </c>
      <c r="AC25" s="668">
        <f>IF(AC$4="forecast",(AVERAGE(Q25:AB25)),'Dept. Cost Actuals'!AG608)</f>
        <v>0</v>
      </c>
      <c r="AD25" s="668">
        <f>IF(AD$4="forecast",(AVERAGE(R25:AC25)),'Dept. Cost Actuals'!AH608)</f>
        <v>114.0125</v>
      </c>
      <c r="AE25" s="668">
        <f>IF(AE$4="forecast",(AVERAGE(S25:AD25)),'Dept. Cost Actuals'!AI608)</f>
        <v>123.51354166666668</v>
      </c>
      <c r="AF25" s="668">
        <f>IF(AF$4="forecast",(AVERAGE(T25:AE25)),'Dept. Cost Actuals'!AJ608)</f>
        <v>133.80633680555556</v>
      </c>
      <c r="AG25" s="668">
        <f>IF(AG$4="forecast",(AVERAGE(U25:AF25)),'Dept. Cost Actuals'!AK608)</f>
        <v>144.9568648726852</v>
      </c>
      <c r="AH25" s="668">
        <f>IF(AH$4="forecast",(AVERAGE(V25:AG25)),'Dept. Cost Actuals'!AL608)</f>
        <v>156.45327027874228</v>
      </c>
      <c r="AI25" s="668">
        <f>IF(AI$4="forecast",(AVERAGE(W25:AH25)),'Dept. Cost Actuals'!AM608)</f>
        <v>165.45104280197083</v>
      </c>
      <c r="AJ25" s="668">
        <f>IF(AJ$4="forecast",(AVERAGE(X25:AI25)),'Dept. Cost Actuals'!AN608)</f>
        <v>178.82362970213504</v>
      </c>
      <c r="AK25" s="668">
        <f>IF(AK$4="forecast",(AVERAGE(Y25:AJ25)),'Dept. Cost Actuals'!AO608)</f>
        <v>179.86726551064632</v>
      </c>
      <c r="AL25" s="668">
        <f>IF(AL$4="forecast",(AVERAGE(Z25:AK25)),'Dept. Cost Actuals'!AP608)</f>
        <v>154.68037096986683</v>
      </c>
      <c r="AM25" s="668">
        <f>IF(AM$4="forecast",(AVERAGE(AA25:AL25)),'Dept. Cost Actuals'!AQ608)</f>
        <v>164.46456855068908</v>
      </c>
      <c r="AN25" s="668">
        <f>IF(AN$4="forecast",(AVERAGE(AB25:AM25)),'Dept. Cost Actuals'!AR608)</f>
        <v>146.6449492632465</v>
      </c>
      <c r="AO25" s="668">
        <f>IF(AO$4="forecast",(AVERAGE(AC25:AN25)),'Dept. Cost Actuals'!AS608)</f>
        <v>138.55619503518366</v>
      </c>
      <c r="AP25" s="668">
        <f>IF(AP$4="forecast",(AVERAGE(AD25:AO25)),'Dept. Cost Actuals'!AT608)</f>
        <v>150.10254462144897</v>
      </c>
      <c r="AQ25" s="668">
        <f>IF(AQ$4="forecast",(AVERAGE(AE25:AP25)),'Dept. Cost Actuals'!AU608)</f>
        <v>153.11004833990307</v>
      </c>
      <c r="AR25" s="668">
        <f>IF(AR$4="forecast",(AVERAGE(AF25:AQ25)),'Dept. Cost Actuals'!AV608)</f>
        <v>155.5764238960061</v>
      </c>
      <c r="AS25" s="668">
        <f>IF(AS$4="forecast",(AVERAGE(AG25:AR25)),'Dept. Cost Actuals'!AW608)</f>
        <v>157.39059782021033</v>
      </c>
      <c r="AT25" s="668">
        <f>IF(AT$4="forecast",(AVERAGE(AH25:AS25)),'Dept. Cost Actuals'!AX608)</f>
        <v>158.4267422325041</v>
      </c>
      <c r="AU25" s="668">
        <f>IF(AU$4="forecast",(AVERAGE(AI25:AT25)),'Dept. Cost Actuals'!AY608)</f>
        <v>158.59119822865088</v>
      </c>
      <c r="AV25" s="668">
        <f>IF(AV$4="forecast",(AVERAGE(AJ25:AU25)),'Dept. Cost Actuals'!AZ608)</f>
        <v>158.01954451420761</v>
      </c>
      <c r="AW25" s="668">
        <f>IF(AW$4="forecast",(AVERAGE(AK25:AV25)),'Dept. Cost Actuals'!BA608)</f>
        <v>156.28587074854696</v>
      </c>
      <c r="AX25" s="668">
        <f>IF(AX$4="forecast",(AVERAGE(AL25:AW25)),'Dept. Cost Actuals'!BB608)</f>
        <v>154.32075451837201</v>
      </c>
      <c r="AY25" s="668">
        <f>IF(AY$4="forecast",(AVERAGE(AM25:AX25)),'Dept. Cost Actuals'!BC608)</f>
        <v>154.29078648074744</v>
      </c>
      <c r="AZ25" s="668">
        <f>IF(AZ$4="forecast",(AVERAGE(AN25:AY25)),'Dept. Cost Actuals'!BD608)</f>
        <v>153.44297130825234</v>
      </c>
      <c r="BA25" s="668">
        <f>IF(BA$4="forecast",(AVERAGE(AO25:AZ25)),'Dept. Cost Actuals'!BE608)</f>
        <v>154.0094731453361</v>
      </c>
      <c r="BB25" s="668">
        <f>IF(BB$4="forecast",(AVERAGE(AP25:BA25)),'Dept. Cost Actuals'!BF608)</f>
        <v>155.29724632118217</v>
      </c>
      <c r="BC25" s="668">
        <f>IF(BC$4="forecast",(AVERAGE(AQ25:BB25)),'Dept. Cost Actuals'!BG608)</f>
        <v>155.73013812949327</v>
      </c>
      <c r="BD25" s="668">
        <f>IF(BD$4="forecast",(AVERAGE(AR25:BC25)),'Dept. Cost Actuals'!BH608)</f>
        <v>155.94847894529246</v>
      </c>
      <c r="BE25" s="668">
        <f>IF(BE$4="forecast",(AVERAGE(AS25:BD25)),'Dept. Cost Actuals'!BI608)</f>
        <v>155.97948353273298</v>
      </c>
      <c r="BF25" s="668">
        <f>IF(BF$4="forecast",(AVERAGE(AT25:BE25)),'Dept. Cost Actuals'!BJ608)</f>
        <v>155.86189067544322</v>
      </c>
      <c r="BG25" s="668">
        <f>IF(BG$4="forecast",(AVERAGE(AU25:BF25)),'Dept. Cost Actuals'!BK608)</f>
        <v>155.64815304568813</v>
      </c>
      <c r="BH25" s="668">
        <f>IF(BH$4="forecast",(AVERAGE(AV25:BG25)),'Dept. Cost Actuals'!BL608)</f>
        <v>155.40289928044123</v>
      </c>
      <c r="BI25" s="668">
        <f>IF(BI$4="forecast",(AVERAGE(AW25:BH25)),'Dept. Cost Actuals'!BM608)</f>
        <v>155.18484551096068</v>
      </c>
      <c r="BJ25" s="668">
        <f>IF(BJ$4="forecast",(AVERAGE(AX25:BI25)),'Dept. Cost Actuals'!BN608)</f>
        <v>155.09309340782849</v>
      </c>
      <c r="BK25" s="668">
        <f>IF(BK$4="forecast",(AVERAGE(AY25:BJ25)),'Dept. Cost Actuals'!BO608)</f>
        <v>155.15745498194988</v>
      </c>
      <c r="BL25" s="668">
        <f>IF(BL$4="forecast",(AVERAGE(AZ25:BK25)),'Dept. Cost Actuals'!BP608)</f>
        <v>155.22967735705009</v>
      </c>
      <c r="BM25" s="668">
        <f>IF(BM$4="forecast",(AVERAGE(BA25:BL25)),'Dept. Cost Actuals'!BQ608)</f>
        <v>155.37856952778324</v>
      </c>
      <c r="BN25" s="668">
        <f>IF(BN$4="forecast",(AVERAGE(BB25:BM25)),'Dept. Cost Actuals'!BR608)</f>
        <v>155.49266089298715</v>
      </c>
      <c r="BO25" s="668">
        <f>IF(BO$4="forecast",(AVERAGE(BC25:BN25)),'Dept. Cost Actuals'!BS608)</f>
        <v>155.50894544063758</v>
      </c>
      <c r="BP25" s="668">
        <f>IF(BP$4="forecast",(AVERAGE(BD25:BO25)),'Dept. Cost Actuals'!BT608)</f>
        <v>155.49051271656626</v>
      </c>
      <c r="BQ25" s="668">
        <f>IF(BQ$4="forecast",(AVERAGE(BE25:BP25)),'Dept. Cost Actuals'!BU608)</f>
        <v>155.45234886417242</v>
      </c>
      <c r="BR25" s="668">
        <f>IF(BR$4="forecast",(AVERAGE(BF25:BQ25)),'Dept. Cost Actuals'!BV608)</f>
        <v>155.40842097512567</v>
      </c>
      <c r="BS25" s="668">
        <f>IF(BS$4="forecast",(AVERAGE(BG25:BR25)),'Dept. Cost Actuals'!BW608)</f>
        <v>155.37063183343253</v>
      </c>
      <c r="BT25" s="668">
        <f>IF(BT$4="forecast",(AVERAGE(BH25:BS25)),'Dept. Cost Actuals'!BX608)</f>
        <v>155.34750506574457</v>
      </c>
      <c r="BU25" s="668">
        <f>IF(BU$4="forecast",(AVERAGE(BI25:BT25)),'Dept. Cost Actuals'!BY608)</f>
        <v>155.34288888118652</v>
      </c>
      <c r="BV25" s="790">
        <f>IF(BV$4="forecast",(AVERAGE(BJ25:BU25)),'Dept. Cost Actuals'!BZ608)</f>
        <v>155.35605916203869</v>
      </c>
    </row>
    <row r="26" spans="2:74" x14ac:dyDescent="0.25">
      <c r="B26" s="794" t="s">
        <v>1076</v>
      </c>
      <c r="C26" s="668">
        <f ca="1">IF(C$4="forecast",(AVERAGE(#REF!)),SUMIF('Dept. Cost Actuals'!$E$7:$E$176,"*Telephone*",'Dept. Cost Actuals'!G$529:G$628))</f>
        <v>16.263415523480607</v>
      </c>
      <c r="D26" s="668">
        <f ca="1">IF(D$4="forecast",(AVERAGE(#REF!)),SUMIF('Dept. Cost Actuals'!$E$7:$E$176,"*Telephone*",'Dept. Cost Actuals'!H$529:H$628))</f>
        <v>9.2929221684014873</v>
      </c>
      <c r="E26" s="668">
        <f ca="1">IF(E$4="forecast",(AVERAGE(#REF!)),SUMIF('Dept. Cost Actuals'!$E$7:$E$176,"*Telephone*",'Dept. Cost Actuals'!I$529:I$628))</f>
        <v>5.2124257928414259</v>
      </c>
      <c r="F26" s="668">
        <f ca="1">IF(F$4="forecast",(AVERAGE(#REF!)),SUMIF('Dept. Cost Actuals'!$E$7:$E$176,"*Telephone*",'Dept. Cost Actuals'!J$529:J$628))</f>
        <v>1.5755521772139565</v>
      </c>
      <c r="G26" s="668">
        <f ca="1">IF(G$4="forecast",(AVERAGE(#REF!)),SUMIF('Dept. Cost Actuals'!$E$7:$E$176,"*Telephone*",'Dept. Cost Actuals'!K$529:K$628))</f>
        <v>0.5054320929170838</v>
      </c>
      <c r="H26" s="668">
        <f ca="1">IF(H$4="forecast",(AVERAGE(#REF!)),SUMIF('Dept. Cost Actuals'!$E$7:$E$176,"*Telephone*",'Dept. Cost Actuals'!L$529:L$628))</f>
        <v>1.7239087712586976</v>
      </c>
      <c r="I26" s="668">
        <f ca="1">IF(I$4="forecast",(AVERAGE(#REF!)),SUMIF('Dept. Cost Actuals'!$E$7:$E$176,"*Telephone*",'Dept. Cost Actuals'!M$529:M$628))</f>
        <v>10.314888009943427</v>
      </c>
      <c r="J26" s="668">
        <f ca="1">IF(J$4="forecast",(AVERAGE(#REF!)),SUMIF('Dept. Cost Actuals'!$E$7:$E$176,"*Telephone*",'Dept. Cost Actuals'!N$529:N$628))</f>
        <v>2.6944956453176867</v>
      </c>
      <c r="K26" s="668">
        <f ca="1">IF(K$4="forecast",(AVERAGE(#REF!)),SUMIF('Dept. Cost Actuals'!$E$7:$E$176,"*Telephone*",'Dept. Cost Actuals'!O$529:O$628))</f>
        <v>1.9290857526204614</v>
      </c>
      <c r="L26" s="668">
        <f ca="1">IF(L$4="forecast",(AVERAGE(#REF!)),SUMIF('Dept. Cost Actuals'!$E$7:$E$176,"*Telephone*",'Dept. Cost Actuals'!P$529:P$628))</f>
        <v>1.520891588407423</v>
      </c>
      <c r="M26" s="668">
        <f ca="1">IF(M$4="forecast",(AVERAGE(A26:L26)),SUMIF('Dept. Cost Actuals'!$E$7:$E$176,"*Telephone*",'Dept. Cost Actuals'!Q$529:Q$628))</f>
        <v>3.1083576616906448</v>
      </c>
      <c r="N26" s="668">
        <f ca="1">IF(N$4="forecast",(AVERAGE(B26:M26)),SUMIF('Dept. Cost Actuals'!$E$7:$E$176,"*Telephone*",'Dept. Cost Actuals'!R$529:R$628))</f>
        <v>2.0698798279150323</v>
      </c>
      <c r="O26" s="668">
        <f ca="1">IF(O$4="forecast",(AVERAGE(C26:N26)),SUMIF('Dept. Cost Actuals'!$E$7:$E$176,"*Telephone*",'Dept. Cost Actuals'!S$529:S$628))</f>
        <v>0</v>
      </c>
      <c r="P26" s="668">
        <f ca="1">IF(P$4="forecast",(AVERAGE(D26:O26)),SUMIF('Dept. Cost Actuals'!$E$7:$E$176,"*Telephone*",'Dept. Cost Actuals'!T$529:T$628))</f>
        <v>0</v>
      </c>
      <c r="Q26" s="668">
        <f ca="1">IF(Q$4="forecast",(AVERAGE(E26:P26)),SUMIF('Dept. Cost Actuals'!$E$7:$E$176,"*Telephone*",'Dept. Cost Actuals'!U$529:U$628))</f>
        <v>0</v>
      </c>
      <c r="R26" s="668">
        <f ca="1">IF(R$4="forecast",(AVERAGE(F26:Q26)),SUMIF('Dept. Cost Actuals'!$E$7:$E$176,"*Telephone*",'Dept. Cost Actuals'!V$529:V$628))</f>
        <v>0</v>
      </c>
      <c r="S26" s="668">
        <f ca="1">IF(S$4="forecast",(AVERAGE(G26:R26)),SUMIF('Dept. Cost Actuals'!$E$7:$E$176,"*Telephone*",'Dept. Cost Actuals'!W$529:W$628))</f>
        <v>0</v>
      </c>
      <c r="T26" s="668">
        <f ca="1">IF(T$4="forecast",(AVERAGE(H26:S26)),SUMIF('Dept. Cost Actuals'!$E$7:$E$176,"*Telephone*",'Dept. Cost Actuals'!X$529:X$628))</f>
        <v>0</v>
      </c>
      <c r="U26" s="668">
        <f ca="1">IF(U$4="forecast",(AVERAGE(I26:T26)),SUMIF('Dept. Cost Actuals'!$E$7:$E$176,"*Telephone*",'Dept. Cost Actuals'!Y$529:Y$628))</f>
        <v>0</v>
      </c>
      <c r="V26" s="668">
        <f ca="1">IF(V$4="forecast",(AVERAGE(J26:U26)),SUMIF('Dept. Cost Actuals'!$E$7:$E$176,"*Telephone*",'Dept. Cost Actuals'!Z$529:Z$628))</f>
        <v>-1.72</v>
      </c>
      <c r="W26" s="668">
        <f ca="1">IF(W$4="forecast",(AVERAGE(K26:V26)),SUMIF('Dept. Cost Actuals'!$E$7:$E$176,"*Telephone*",'Dept. Cost Actuals'!AA$529:AA$628))</f>
        <v>0</v>
      </c>
      <c r="X26" s="668">
        <f ca="1">IF(X$4="forecast",(AVERAGE(L26:W26)),SUMIF('Dept. Cost Actuals'!$E$7:$E$176,"*Telephone*",'Dept. Cost Actuals'!AB$529:AB$628))</f>
        <v>0</v>
      </c>
      <c r="Y26" s="668">
        <f ca="1">IF(Y$4="forecast",(AVERAGE(M26:X26)),SUMIF('Dept. Cost Actuals'!$E$7:$E$176,"*Telephone*",'Dept. Cost Actuals'!AC$529:AC$628))</f>
        <v>0</v>
      </c>
      <c r="Z26" s="668">
        <f ca="1">IF(Z$4="forecast",(AVERAGE(N26:Y26)),SUMIF('Dept. Cost Actuals'!$E$7:$E$176,"*Telephone*",'Dept. Cost Actuals'!AD$529:AD$628))</f>
        <v>0</v>
      </c>
      <c r="AA26" s="668">
        <f ca="1">IF(AA$4="forecast",(AVERAGE(O26:Z26)),SUMIF('Dept. Cost Actuals'!$E$7:$E$176,"*Telephone*",'Dept. Cost Actuals'!AE$529:AE$628))</f>
        <v>253.7</v>
      </c>
      <c r="AB26" s="668">
        <f ca="1">IF(AB$4="forecast",(AVERAGE(P26:AA26)),SUMIF('Dept. Cost Actuals'!$E$7:$E$176,"*Telephone*",'Dept. Cost Actuals'!AF$529:AF$628))</f>
        <v>0</v>
      </c>
      <c r="AC26" s="668">
        <f ca="1">IF(AC$4="forecast",(AVERAGE(Q26:AB26)),SUMIF('Dept. Cost Actuals'!$E$7:$E$176,"*Telephone*",'Dept. Cost Actuals'!AG$529:AG$628))</f>
        <v>0</v>
      </c>
      <c r="AD26" s="668">
        <f ca="1">IF(AD$4="forecast",(AVERAGE(R26:AC26)),SUMIF('Dept. Cost Actuals'!$E$7:$E$176,"*Telephone*",'Dept. Cost Actuals'!AH$529:AH$628))</f>
        <v>20.998333333333331</v>
      </c>
      <c r="AE26" s="668">
        <f ca="1">IF(AE$4="forecast",(AVERAGE(S26:AD26)),SUMIF('Dept. Cost Actuals'!$E$7:$E$176,"*Telephone*",'Dept. Cost Actuals'!AI$529:AI$628))</f>
        <v>22.74819444444444</v>
      </c>
      <c r="AF26" s="668">
        <f ca="1">IF(AF$4="forecast",(AVERAGE(T26:AE26)),SUMIF('Dept. Cost Actuals'!$E$7:$E$176,"*Telephone*",'Dept. Cost Actuals'!AJ$529:AJ$628))</f>
        <v>24.643877314814812</v>
      </c>
      <c r="AG26" s="668">
        <f ca="1">IF(AG$4="forecast",(AVERAGE(U26:AF26)),SUMIF('Dept. Cost Actuals'!$E$7:$E$176,"*Telephone*",'Dept. Cost Actuals'!AK$529:AK$628))</f>
        <v>26.697533757716045</v>
      </c>
      <c r="AH26" s="668">
        <f ca="1">IF(AH$4="forecast",(AVERAGE(V26:AG26)),SUMIF('Dept. Cost Actuals'!$E$7:$E$176,"*Telephone*",'Dept. Cost Actuals'!AL$529:AL$628))</f>
        <v>28.922328237525715</v>
      </c>
      <c r="AI26" s="668">
        <f ca="1">IF(AI$4="forecast",(AVERAGE(W26:AH26)),SUMIF('Dept. Cost Actuals'!$E$7:$E$176,"*Telephone*",'Dept. Cost Actuals'!AM$529:AM$628))</f>
        <v>31.475855590652859</v>
      </c>
      <c r="AJ26" s="668">
        <f ca="1">IF(AJ$4="forecast",(AVERAGE(X26:AI26)),SUMIF('Dept. Cost Actuals'!$E$7:$E$176,"*Telephone*",'Dept. Cost Actuals'!AN$529:AN$628))</f>
        <v>34.098843556540601</v>
      </c>
      <c r="AK26" s="668">
        <f ca="1">IF(AK$4="forecast",(AVERAGE(Y26:AJ26)),SUMIF('Dept. Cost Actuals'!$E$7:$E$176,"*Telephone*",'Dept. Cost Actuals'!AO$529:AO$628))</f>
        <v>36.940413852918986</v>
      </c>
      <c r="AL26" s="668">
        <f ca="1">IF(AL$4="forecast",(AVERAGE(Z26:AK26)),SUMIF('Dept. Cost Actuals'!$E$7:$E$176,"*Telephone*",'Dept. Cost Actuals'!AP$529:AP$628))</f>
        <v>40.018781673995569</v>
      </c>
      <c r="AM26" s="668">
        <f ca="1">IF(AM$4="forecast",(AVERAGE(AA26:AL26)),SUMIF('Dept. Cost Actuals'!$E$7:$E$176,"*Telephone*",'Dept. Cost Actuals'!AQ$529:AQ$628))</f>
        <v>43.35368014682853</v>
      </c>
      <c r="AN26" s="668">
        <f ca="1">IF(AN$4="forecast",(AVERAGE(AB26:AM26)),SUMIF('Dept. Cost Actuals'!$E$7:$E$176,"*Telephone*",'Dept. Cost Actuals'!AR$529:AR$628))</f>
        <v>25.824820159064245</v>
      </c>
      <c r="AO26" s="668">
        <f ca="1">IF(AO$4="forecast",(AVERAGE(AC26:AN26)),SUMIF('Dept. Cost Actuals'!$E$7:$E$176,"*Telephone*",'Dept. Cost Actuals'!AS$529:AS$628))</f>
        <v>27.976888505652934</v>
      </c>
      <c r="AP26" s="668">
        <f ca="1">IF(AP$4="forecast",(AVERAGE(AD26:AO26)),SUMIF('Dept. Cost Actuals'!$E$7:$E$176,"*Telephone*",'Dept. Cost Actuals'!AT$529:AT$628))</f>
        <v>30.30829588112401</v>
      </c>
      <c r="AQ26" s="668">
        <f ca="1">IF(AQ$4="forecast",(AVERAGE(AE26:AP26)),SUMIF('Dept. Cost Actuals'!$E$7:$E$176,"*Telephone*",'Dept. Cost Actuals'!AU$529:AU$628))</f>
        <v>31.084126093439895</v>
      </c>
      <c r="AR26" s="668">
        <f ca="1">IF(AR$4="forecast",(AVERAGE(AF26:AQ26)),SUMIF('Dept. Cost Actuals'!$E$7:$E$176,"*Telephone*",'Dept. Cost Actuals'!AV$529:AV$628))</f>
        <v>31.778787064189519</v>
      </c>
      <c r="AS26" s="668">
        <f ca="1">IF(AS$4="forecast",(AVERAGE(AG26:AR26)),SUMIF('Dept. Cost Actuals'!$E$7:$E$176,"*Telephone*",'Dept. Cost Actuals'!AW$529:AW$628))</f>
        <v>32.373362876637415</v>
      </c>
      <c r="AT26" s="668">
        <f ca="1">IF(AT$4="forecast",(AVERAGE(AH26:AS26)),SUMIF('Dept. Cost Actuals'!$E$7:$E$176,"*Telephone*",'Dept. Cost Actuals'!AX$529:AX$628))</f>
        <v>32.846348636547525</v>
      </c>
      <c r="AU26" s="668">
        <f ca="1">IF(AU$4="forecast",(AVERAGE(AI26:AT26)),SUMIF('Dept. Cost Actuals'!$E$7:$E$176,"*Telephone*",'Dept. Cost Actuals'!AY$529:AY$628))</f>
        <v>33.173350336466015</v>
      </c>
      <c r="AV26" s="668">
        <f ca="1">IF(AV$4="forecast",(AVERAGE(AJ26:AU26)),SUMIF('Dept. Cost Actuals'!$E$7:$E$176,"*Telephone*",'Dept. Cost Actuals'!AZ$529:AZ$628))</f>
        <v>33.314808231950444</v>
      </c>
      <c r="AW26" s="668">
        <f ca="1">IF(AW$4="forecast",(AVERAGE(AK26:AV26)),SUMIF('Dept. Cost Actuals'!$E$7:$E$176,"*Telephone*",'Dept. Cost Actuals'!BA$529:BA$628))</f>
        <v>33.24947195490126</v>
      </c>
      <c r="AX26" s="668">
        <f ca="1">IF(AX$4="forecast",(AVERAGE(AL26:AW26)),SUMIF('Dept. Cost Actuals'!$E$7:$E$176,"*Telephone*",'Dept. Cost Actuals'!BB$529:BB$628))</f>
        <v>32.941893463399779</v>
      </c>
      <c r="AY26" s="668">
        <f ca="1">IF(AY$4="forecast",(AVERAGE(AM26:AX26)),SUMIF('Dept. Cost Actuals'!$E$7:$E$176,"*Telephone*",'Dept. Cost Actuals'!BC$529:BC$628))</f>
        <v>32.352152779183463</v>
      </c>
      <c r="AZ26" s="668">
        <f ca="1">IF(AZ$4="forecast",(AVERAGE(AN26:AY26)),SUMIF('Dept. Cost Actuals'!$E$7:$E$176,"*Telephone*",'Dept. Cost Actuals'!BD$529:BD$628))</f>
        <v>31.435358831879711</v>
      </c>
      <c r="BA26" s="668">
        <f ca="1">IF(BA$4="forecast",(AVERAGE(AO26:AZ26)),SUMIF('Dept. Cost Actuals'!$E$7:$E$176,"*Telephone*",'Dept. Cost Actuals'!BE$529:BE$628))</f>
        <v>31.902903721280996</v>
      </c>
      <c r="BB26" s="668">
        <f ca="1">IF(BB$4="forecast",(AVERAGE(AP26:BA26)),SUMIF('Dept. Cost Actuals'!$E$7:$E$176,"*Telephone*",'Dept. Cost Actuals'!BF$529:BF$628))</f>
        <v>32.230071655916667</v>
      </c>
      <c r="BC26" s="668">
        <f ca="1">IF(BC$4="forecast",(AVERAGE(AQ26:BB26)),SUMIF('Dept. Cost Actuals'!$E$7:$E$176,"*Telephone*",'Dept. Cost Actuals'!BG$529:BG$628))</f>
        <v>32.390219637149393</v>
      </c>
      <c r="BD26" s="668">
        <f ca="1">IF(BD$4="forecast",(AVERAGE(AR26:BC26)),SUMIF('Dept. Cost Actuals'!$E$7:$E$176,"*Telephone*",'Dept. Cost Actuals'!BH$529:BH$628))</f>
        <v>32.499060765791846</v>
      </c>
      <c r="BE26" s="668">
        <f ca="1">IF(BE$4="forecast",(AVERAGE(AS26:BD26)),SUMIF('Dept. Cost Actuals'!$E$7:$E$176,"*Telephone*",'Dept. Cost Actuals'!BI$529:BI$628))</f>
        <v>32.559083574258715</v>
      </c>
      <c r="BF26" s="668">
        <f ca="1">IF(BF$4="forecast",(AVERAGE(AT26:BE26)),SUMIF('Dept. Cost Actuals'!$E$7:$E$176,"*Telephone*",'Dept. Cost Actuals'!BJ$529:BJ$628))</f>
        <v>32.574560299060487</v>
      </c>
      <c r="BG26" s="668">
        <f ca="1">IF(BG$4="forecast",(AVERAGE(AU26:BF26)),SUMIF('Dept. Cost Actuals'!$E$7:$E$176,"*Telephone*",'Dept. Cost Actuals'!BK$529:BK$628))</f>
        <v>32.551911270936564</v>
      </c>
      <c r="BH26" s="668">
        <f ca="1">IF(BH$4="forecast",(AVERAGE(AV26:BG26)),SUMIF('Dept. Cost Actuals'!$E$7:$E$176,"*Telephone*",'Dept. Cost Actuals'!BL$529:BL$628))</f>
        <v>32.500124682142442</v>
      </c>
      <c r="BI26" s="668">
        <f ca="1">IF(BI$4="forecast",(AVERAGE(AW26:BH26)),SUMIF('Dept. Cost Actuals'!$E$7:$E$176,"*Telephone*",'Dept. Cost Actuals'!BM$529:BM$628))</f>
        <v>32.432234386325106</v>
      </c>
      <c r="BJ26" s="668">
        <f ca="1">IF(BJ$4="forecast",(AVERAGE(AX26:BI26)),SUMIF('Dept. Cost Actuals'!$E$7:$E$176,"*Telephone*",'Dept. Cost Actuals'!BN$529:BN$628))</f>
        <v>32.364131255610424</v>
      </c>
      <c r="BK26" s="668">
        <f ca="1">IF(BK$4="forecast",(AVERAGE(AY26:BJ26)),SUMIF('Dept. Cost Actuals'!$E$7:$E$176,"*Telephone*",'Dept. Cost Actuals'!BO$529:BO$628))</f>
        <v>32.315984404961313</v>
      </c>
      <c r="BL26" s="668">
        <f ca="1">IF(BL$4="forecast",(AVERAGE(AZ26:BK26)),SUMIF('Dept. Cost Actuals'!$E$7:$E$176,"*Telephone*",'Dept. Cost Actuals'!BP$529:BP$628))</f>
        <v>32.312970373776132</v>
      </c>
      <c r="BM26" s="668">
        <f ca="1">IF(BM$4="forecast",(AVERAGE(BA26:BL26)),SUMIF('Dept. Cost Actuals'!$E$7:$E$176,"*Telephone*",'Dept. Cost Actuals'!BQ$529:BQ$628))</f>
        <v>32.386104668934173</v>
      </c>
      <c r="BN26" s="668">
        <f ca="1">IF(BN$4="forecast",(AVERAGE(BB26:BM26)),SUMIF('Dept. Cost Actuals'!$E$7:$E$176,"*Telephone*",'Dept. Cost Actuals'!BR$529:BR$628))</f>
        <v>32.426371414571939</v>
      </c>
      <c r="BO26" s="668">
        <f ca="1">IF(BO$4="forecast",(AVERAGE(BC26:BN26)),SUMIF('Dept. Cost Actuals'!$E$7:$E$176,"*Telephone*",'Dept. Cost Actuals'!BS$529:BS$628))</f>
        <v>32.442729727793214</v>
      </c>
      <c r="BP26" s="668">
        <f ca="1">IF(BP$4="forecast",(AVERAGE(BD26:BO26)),SUMIF('Dept. Cost Actuals'!$E$7:$E$176,"*Telephone*",'Dept. Cost Actuals'!BT$529:BT$628))</f>
        <v>32.447105568680193</v>
      </c>
      <c r="BQ26" s="668">
        <f ca="1">IF(BQ$4="forecast",(AVERAGE(BE26:BP26)),SUMIF('Dept. Cost Actuals'!$E$7:$E$176,"*Telephone*",'Dept. Cost Actuals'!BU$529:BU$628))</f>
        <v>32.442775968920891</v>
      </c>
      <c r="BR26" s="668">
        <f ca="1">IF(BR$4="forecast",(AVERAGE(BF26:BQ26)),SUMIF('Dept. Cost Actuals'!$E$7:$E$176,"*Telephone*",'Dept. Cost Actuals'!BV$529:BV$628))</f>
        <v>32.433083668476073</v>
      </c>
      <c r="BS26" s="668">
        <f ca="1">IF(BS$4="forecast",(AVERAGE(BG26:BR26)),SUMIF('Dept. Cost Actuals'!$E$7:$E$176,"*Telephone*",'Dept. Cost Actuals'!BW$529:BW$628))</f>
        <v>32.421293949260701</v>
      </c>
      <c r="BT26" s="668">
        <f ca="1">IF(BT$4="forecast",(AVERAGE(BH26:BS26)),SUMIF('Dept. Cost Actuals'!$E$7:$E$176,"*Telephone*",'Dept. Cost Actuals'!BX$529:BX$628))</f>
        <v>32.410409172454379</v>
      </c>
      <c r="BU26" s="668">
        <f ca="1">IF(BU$4="forecast",(AVERAGE(BI26:BT26)),SUMIF('Dept. Cost Actuals'!$E$7:$E$176,"*Telephone*",'Dept. Cost Actuals'!BY$529:BY$628))</f>
        <v>32.402932879980376</v>
      </c>
      <c r="BV26" s="790">
        <f ca="1">IF(BV$4="forecast",(AVERAGE(BJ26:BU26)),SUMIF('Dept. Cost Actuals'!$E$7:$E$176,"*Telephone*",'Dept. Cost Actuals'!BZ$529:BZ$628))</f>
        <v>32.400491087784978</v>
      </c>
    </row>
    <row r="27" spans="2:74" x14ac:dyDescent="0.25">
      <c r="B27" s="1208" t="s">
        <v>1386</v>
      </c>
      <c r="C27" s="668">
        <f ca="1">IF(C$4="forecast",C$7*'Direct People Department Costs'!$H$13,SUMIF('Dept. Cost Actuals'!$E$7:$E$176,"*Finance*",'Dept. Cost Actuals'!G$529:G$628))</f>
        <v>0</v>
      </c>
      <c r="D27" s="668">
        <f ca="1">IF(D$4="forecast",D$7*'Direct People Department Costs'!$H$13,SUMIF('Dept. Cost Actuals'!$E$7:$E$176,"*Finance*",'Dept. Cost Actuals'!H$529:H$628))</f>
        <v>0</v>
      </c>
      <c r="E27" s="668">
        <f ca="1">IF(E$4="forecast",E$7*'Direct People Department Costs'!$H$13,SUMIF('Dept. Cost Actuals'!$E$7:$E$176,"*Finance*",'Dept. Cost Actuals'!I$529:I$628))</f>
        <v>0</v>
      </c>
      <c r="F27" s="668">
        <f ca="1">IF(F$4="forecast",F$7*'Direct People Department Costs'!$H$13,SUMIF('Dept. Cost Actuals'!$E$7:$E$176,"*Finance*",'Dept. Cost Actuals'!J$529:J$628))</f>
        <v>0</v>
      </c>
      <c r="G27" s="668">
        <f ca="1">IF(G$4="forecast",G$7*'Direct People Department Costs'!$H$13,SUMIF('Dept. Cost Actuals'!$E$7:$E$176,"*Finance*",'Dept. Cost Actuals'!K$529:K$628))</f>
        <v>0</v>
      </c>
      <c r="H27" s="668">
        <f ca="1">IF(H$4="forecast",H$7*'Direct People Department Costs'!$H$13,SUMIF('Dept. Cost Actuals'!$E$7:$E$176,"*Finance*",'Dept. Cost Actuals'!L$529:L$628))</f>
        <v>0</v>
      </c>
      <c r="I27" s="668">
        <f ca="1">IF(I$4="forecast",I$7*'Direct People Department Costs'!$H$13,SUMIF('Dept. Cost Actuals'!$E$7:$E$176,"*Finance*",'Dept. Cost Actuals'!M$529:M$628))</f>
        <v>0</v>
      </c>
      <c r="J27" s="668">
        <f ca="1">IF(J$4="forecast",J$7*'Direct People Department Costs'!$H$13,SUMIF('Dept. Cost Actuals'!$E$7:$E$176,"*Finance*",'Dept. Cost Actuals'!N$529:N$628))</f>
        <v>0</v>
      </c>
      <c r="K27" s="668">
        <f ca="1">IF(K$4="forecast",K$7*'Direct People Department Costs'!$H$13,SUMIF('Dept. Cost Actuals'!$E$7:$E$176,"*Finance*",'Dept. Cost Actuals'!O$529:O$628))</f>
        <v>0</v>
      </c>
      <c r="L27" s="668">
        <f ca="1">IF(L$4="forecast",L$7*'Direct People Department Costs'!$H$13,SUMIF('Dept. Cost Actuals'!$E$7:$E$176,"*Finance*",'Dept. Cost Actuals'!P$529:P$628))</f>
        <v>0</v>
      </c>
      <c r="M27" s="668">
        <f ca="1">IF(M$4="forecast",M$7*'Direct People Department Costs'!$H$13,SUMIF('Dept. Cost Actuals'!$E$7:$E$176,"*Finance*",'Dept. Cost Actuals'!Q$529:Q$628))</f>
        <v>0</v>
      </c>
      <c r="N27" s="668">
        <f ca="1">IF(N$4="forecast",N$7*'Direct People Department Costs'!$H$13,SUMIF('Dept. Cost Actuals'!$E$7:$E$176,"*Finance*",'Dept. Cost Actuals'!R$529:R$628))</f>
        <v>0</v>
      </c>
      <c r="O27" s="668">
        <f ca="1">IF(O$4="forecast",O$7*'Direct People Department Costs'!$H$13,SUMIF('Dept. Cost Actuals'!$E$7:$E$176,"*Finance*",'Dept. Cost Actuals'!S$529:S$628))</f>
        <v>0</v>
      </c>
      <c r="P27" s="668">
        <f ca="1">IF(P$4="forecast",P$7*'Direct People Department Costs'!$H$13,SUMIF('Dept. Cost Actuals'!$E$7:$E$176,"*Finance*",'Dept. Cost Actuals'!T$529:T$628))</f>
        <v>0</v>
      </c>
      <c r="Q27" s="668">
        <f ca="1">IF(Q$4="forecast",Q$7*'Direct People Department Costs'!$H$13,SUMIF('Dept. Cost Actuals'!$E$7:$E$176,"*Finance*",'Dept. Cost Actuals'!U$529:U$628))</f>
        <v>0</v>
      </c>
      <c r="R27" s="668">
        <f ca="1">IF(R$4="forecast",R$7*'Direct People Department Costs'!$H$13,SUMIF('Dept. Cost Actuals'!$E$7:$E$176,"*Finance*",'Dept. Cost Actuals'!V$529:V$628))</f>
        <v>0</v>
      </c>
      <c r="S27" s="668">
        <f ca="1">IF(S$4="forecast",S$7*'Direct People Department Costs'!$H$13,SUMIF('Dept. Cost Actuals'!$E$7:$E$176,"*Finance*",'Dept. Cost Actuals'!W$529:W$628))</f>
        <v>0</v>
      </c>
      <c r="T27" s="668">
        <f ca="1">IF(T$4="forecast",T$7*'Direct People Department Costs'!$H$13,SUMIF('Dept. Cost Actuals'!$E$7:$E$176,"*Finance*",'Dept. Cost Actuals'!X$529:X$628))</f>
        <v>0</v>
      </c>
      <c r="U27" s="668">
        <f ca="1">IF(U$4="forecast",U$7*'Direct People Department Costs'!$H$13,SUMIF('Dept. Cost Actuals'!$E$7:$E$176,"*Finance*",'Dept. Cost Actuals'!Y$529:Y$628))</f>
        <v>0</v>
      </c>
      <c r="V27" s="668">
        <f ca="1">IF(V$4="forecast",V$7*'Direct People Department Costs'!$H$13,SUMIF('Dept. Cost Actuals'!$E$7:$E$176,"*Finance*",'Dept. Cost Actuals'!Z$529:Z$628))</f>
        <v>0</v>
      </c>
      <c r="W27" s="668">
        <f ca="1">IF(W$4="forecast",W$7*'Direct People Department Costs'!$H$13,SUMIF('Dept. Cost Actuals'!$E$7:$E$176,"*Finance*",'Dept. Cost Actuals'!AA$529:AA$628))</f>
        <v>0</v>
      </c>
      <c r="X27" s="668">
        <f ca="1">IF(X$4="forecast",X$7*'Direct People Department Costs'!$H$13,SUMIF('Dept. Cost Actuals'!$E$7:$E$176,"*Finance*",'Dept. Cost Actuals'!AB$529:AB$628))</f>
        <v>0</v>
      </c>
      <c r="Y27" s="668">
        <f ca="1">IF(Y$4="forecast",Y$7*'Direct People Department Costs'!$H$13,SUMIF('Dept. Cost Actuals'!$E$7:$E$176,"*Finance*",'Dept. Cost Actuals'!AC$529:AC$628))</f>
        <v>0</v>
      </c>
      <c r="Z27" s="668">
        <f ca="1">IF(Z$4="forecast",Z$7*'Direct People Department Costs'!$H$13,SUMIF('Dept. Cost Actuals'!$E$7:$E$176,"*Finance*",'Dept. Cost Actuals'!AD$529:AD$628))</f>
        <v>0</v>
      </c>
      <c r="AA27" s="668">
        <f ca="1">IF(AA$4="forecast",AA$7*'Direct People Department Costs'!$H$13,SUMIF('Dept. Cost Actuals'!$E$7:$E$176,"*Finance*",'Dept. Cost Actuals'!AE$529:AE$628))</f>
        <v>0</v>
      </c>
      <c r="AB27" s="668">
        <f>IF(AB$4="forecast",(SUM(O$27:Z$27)/12)*1.1,SUMIF('Dept. Cost Actuals'!$E$7:$E$176,"*Finance*",'Dept. Cost Actuals'!AF$7:AF$176))</f>
        <v>0</v>
      </c>
      <c r="AC27" s="668">
        <f>IF(AC$4="forecast",(SUM(P$27:AA$27)/12)*1.1,SUMIF('Dept. Cost Actuals'!$E$7:$E$176,"*Finance*",'Dept. Cost Actuals'!AG$7:AG$176))</f>
        <v>0</v>
      </c>
      <c r="AD27" s="668">
        <f ca="1">IF(AD$4="forecast",(SUM(Q$27:AB$27)/12)*1.3,SUMIF('Dept. Cost Actuals'!$E$7:$E$176,"*Finance*",'Dept. Cost Actuals'!AH$7:AH$176))</f>
        <v>0</v>
      </c>
      <c r="AE27" s="668">
        <f ca="1">IF(AE$4="forecast",(SUM(R$27:AC$27)/12)*1.3,SUMIF('Dept. Cost Actuals'!$E$7:$E$176,"*Finance*",'Dept. Cost Actuals'!AI$7:AI$176))</f>
        <v>0</v>
      </c>
      <c r="AF27" s="668">
        <f ca="1">IF(AF$4="forecast",(SUM(S$27:AD$27)/12)*1.3,SUMIF('Dept. Cost Actuals'!$E$7:$E$176,"*Finance*",'Dept. Cost Actuals'!AJ$7:AJ$176))</f>
        <v>0</v>
      </c>
      <c r="AG27" s="668">
        <f ca="1">IF(AG$4="forecast",(SUM(T$27:AE$27)/12)*1.3,SUMIF('Dept. Cost Actuals'!$E$7:$E$176,"*Finance*",'Dept. Cost Actuals'!AK$7:AK$176))</f>
        <v>0</v>
      </c>
      <c r="AH27" s="668">
        <f ca="1">IF(AH$4="forecast",(SUM(U$27:AF$27)/12)*1.3,SUMIF('Dept. Cost Actuals'!$E$7:$E$176,"*Finance*",'Dept. Cost Actuals'!AL$7:AL$176))</f>
        <v>0</v>
      </c>
      <c r="AI27" s="668">
        <f ca="1">IF(AI$4="forecast",(SUM(V$27:AG$27)/12)*1.3,SUMIF('Dept. Cost Actuals'!$E$7:$E$176,"*Finance*",'Dept. Cost Actuals'!AM$7:AM$176))</f>
        <v>0</v>
      </c>
      <c r="AJ27" s="668">
        <f ca="1">IF(AJ$4="forecast",(SUM(W$27:AH$27)/12)*1.3,SUMIF('Dept. Cost Actuals'!$E$7:$E$176,"*Finance*",'Dept. Cost Actuals'!AN$7:AN$176))</f>
        <v>0</v>
      </c>
      <c r="AK27" s="668">
        <f ca="1">IF(AK$4="forecast",(SUM(X$27:AI$27)/12)*1.3,SUMIF('Dept. Cost Actuals'!$E$7:$E$176,"*Finance*",'Dept. Cost Actuals'!AO$7:AO$176))</f>
        <v>0</v>
      </c>
      <c r="AL27" s="668">
        <f ca="1">IF(AL$4="forecast",(SUM(Y$27:AJ$27)/12)*1.3,SUMIF('Dept. Cost Actuals'!$E$7:$E$176,"*Finance*",'Dept. Cost Actuals'!AP$7:AP$176))</f>
        <v>0</v>
      </c>
      <c r="AM27" s="668">
        <f ca="1">IF(AM$4="forecast",(SUM(Z$27:AK$27)/12)*1.3,SUMIF('Dept. Cost Actuals'!$E$7:$E$176,"*Finance*",'Dept. Cost Actuals'!AQ$7:AQ$176))</f>
        <v>0</v>
      </c>
      <c r="AN27" s="668">
        <f ca="1">IF(AN$4="forecast",(SUM(AA$27:AL$27)/12)*1.3,SUMIF('Dept. Cost Actuals'!$E$7:$E$176,"*Finance*",'Dept. Cost Actuals'!AR$7:AR$176))</f>
        <v>0</v>
      </c>
      <c r="AO27" s="668">
        <f ca="1">IF(AO$4="forecast",(SUM(AB$27:AM$27)/12)*1.3,SUMIF('Dept. Cost Actuals'!$E$7:$E$176,"*Finance*",'Dept. Cost Actuals'!AS$7:AS$176))</f>
        <v>0</v>
      </c>
      <c r="AP27" s="668">
        <f ca="1">IF(AP$4="forecast",(SUM(AC$27:AN$27)/12)*1.3,SUMIF('Dept. Cost Actuals'!$E$7:$E$176,"*Finance*",'Dept. Cost Actuals'!AT$7:AT$176))</f>
        <v>0</v>
      </c>
      <c r="AQ27" s="668">
        <f ca="1">IF(AQ$4="forecast",(SUM(AD$27:AO$27)/12)*1.3,SUMIF('Dept. Cost Actuals'!$E$7:$E$176,"*Finance*",'Dept. Cost Actuals'!AU$7:AU$176))</f>
        <v>0</v>
      </c>
      <c r="AR27" s="668">
        <f ca="1">IF(AR$4="forecast",(SUM(AE$27:AP$27)/12)*1.3,SUMIF('Dept. Cost Actuals'!$E$7:$E$176,"*Finance*",'Dept. Cost Actuals'!AV$7:AV$176))</f>
        <v>0</v>
      </c>
      <c r="AS27" s="668">
        <f ca="1">IF(AS$4="forecast",(SUM(AF$27:AQ$27)/12)*1.3,SUMIF('Dept. Cost Actuals'!$E$7:$E$176,"*Finance*",'Dept. Cost Actuals'!AW$7:AW$176))</f>
        <v>0</v>
      </c>
      <c r="AT27" s="668">
        <f ca="1">IF(AT$4="forecast",(SUM(AG$27:AR$27)/12)*1.3,SUMIF('Dept. Cost Actuals'!$E$7:$E$176,"*Finance*",'Dept. Cost Actuals'!AX$7:AX$176))</f>
        <v>0</v>
      </c>
      <c r="AU27" s="668">
        <f ca="1">IF(AU$4="forecast",(SUM(AH$27:AS$27)/12)*1.3,SUMIF('Dept. Cost Actuals'!$E$7:$E$176,"*Finance*",'Dept. Cost Actuals'!AY$7:AY$176))</f>
        <v>0</v>
      </c>
      <c r="AV27" s="668">
        <f ca="1">IF(AV$4="forecast",(SUM(AI$27:AT$27)/12)*1.3,SUMIF('Dept. Cost Actuals'!$E$7:$E$176,"*Finance*",'Dept. Cost Actuals'!AZ$7:AZ$176))</f>
        <v>0</v>
      </c>
      <c r="AW27" s="668">
        <f ca="1">IF(AW$4="forecast",(SUM(AJ$27:AU$27)/12)*1.3,SUMIF('Dept. Cost Actuals'!$E$7:$E$176,"*Finance*",'Dept. Cost Actuals'!BA$7:BA$176))</f>
        <v>0</v>
      </c>
      <c r="AX27" s="668">
        <f ca="1">IF(AX$4="forecast",(SUM(AK$27:AV$27)/12)*1.3,SUMIF('Dept. Cost Actuals'!$E$7:$E$176,"*Finance*",'Dept. Cost Actuals'!BB$7:BB$176))</f>
        <v>0</v>
      </c>
      <c r="AY27" s="668">
        <f ca="1">IF(AY$4="forecast",(SUM(AL$27:AW$27)/12)*1.3,SUMIF('Dept. Cost Actuals'!$E$7:$E$176,"*Finance*",'Dept. Cost Actuals'!BC$7:BC$176))</f>
        <v>0</v>
      </c>
      <c r="AZ27" s="668">
        <f ca="1">IF(AZ$4="forecast",(SUM(AM$27:AX$27)/12)*1.3,SUMIF('Dept. Cost Actuals'!$E$7:$E$176,"*Finance*",'Dept. Cost Actuals'!BD$7:BD$176))</f>
        <v>0</v>
      </c>
      <c r="BA27" s="668">
        <f ca="1">IF(BA$4="forecast",(SUM(AN$27:AY$27)/12)*1.3,SUMIF('Dept. Cost Actuals'!$E$7:$E$176,"*Finance*",'Dept. Cost Actuals'!BE$7:BE$176))</f>
        <v>0</v>
      </c>
      <c r="BB27" s="668">
        <f ca="1">IF(BB$4="forecast",(SUM(AO$27:AZ$27)/12)*1.3,SUMIF('Dept. Cost Actuals'!$E$7:$E$176,"*Finance*",'Dept. Cost Actuals'!BF$7:BF$176))</f>
        <v>0</v>
      </c>
      <c r="BC27" s="668">
        <f ca="1">IF(BC$4="forecast",(SUM(AP$27:BA$27)/12)*1.3,SUMIF('Dept. Cost Actuals'!$E$7:$E$176,"*Finance*",'Dept. Cost Actuals'!BG$7:BG$176))</f>
        <v>0</v>
      </c>
      <c r="BD27" s="668">
        <f ca="1">IF(BD$4="forecast",(SUM(AQ$27:BB$27)/12)*1.3,SUMIF('Dept. Cost Actuals'!$E$7:$E$176,"*Finance*",'Dept. Cost Actuals'!BH$7:BH$176))</f>
        <v>0</v>
      </c>
      <c r="BE27" s="668">
        <f ca="1">IF(BE$4="forecast",(SUM(AR$27:BC$27)/12)*1.3,SUMIF('Dept. Cost Actuals'!$E$7:$E$176,"*Finance*",'Dept. Cost Actuals'!BI$7:BI$176))</f>
        <v>0</v>
      </c>
      <c r="BF27" s="668">
        <f ca="1">IF(BF$4="forecast",(SUM(AS$27:BD$27)/12)*1.3,SUMIF('Dept. Cost Actuals'!$E$7:$E$176,"*Finance*",'Dept. Cost Actuals'!BJ$7:BJ$176))</f>
        <v>0</v>
      </c>
      <c r="BG27" s="668">
        <f ca="1">IF(BG$4="forecast",(SUM(AT$27:BE$27)/12)*1.3,SUMIF('Dept. Cost Actuals'!$E$7:$E$176,"*Finance*",'Dept. Cost Actuals'!BK$7:BK$176))</f>
        <v>0</v>
      </c>
      <c r="BH27" s="668">
        <f ca="1">IF(BH$4="forecast",(SUM(AU$27:BF$27)/12)*1.3,SUMIF('Dept. Cost Actuals'!$E$7:$E$176,"*Finance*",'Dept. Cost Actuals'!BL$7:BL$176))</f>
        <v>0</v>
      </c>
      <c r="BI27" s="668">
        <f ca="1">IF(BI$4="forecast",(SUM(AV$27:BG$27)/12)*1.3,SUMIF('Dept. Cost Actuals'!$E$7:$E$176,"*Finance*",'Dept. Cost Actuals'!BM$7:BM$176))</f>
        <v>0</v>
      </c>
      <c r="BJ27" s="668">
        <f ca="1">IF(BJ$4="forecast",(SUM(AW$27:BH$27)/12)*1.3,SUMIF('Dept. Cost Actuals'!$E$7:$E$176,"*Finance*",'Dept. Cost Actuals'!BN$7:BN$176))</f>
        <v>0</v>
      </c>
      <c r="BK27" s="668">
        <f ca="1">IF(BK$4="forecast",(SUM(AX$27:BI$27)/12)*1.3,SUMIF('Dept. Cost Actuals'!$E$7:$E$176,"*Finance*",'Dept. Cost Actuals'!BO$7:BO$176))</f>
        <v>0</v>
      </c>
      <c r="BL27" s="668">
        <f ca="1">IF(BL$4="forecast",(SUM(AY$27:BJ$27)/12)*1.3,SUMIF('Dept. Cost Actuals'!$E$7:$E$176,"*Finance*",'Dept. Cost Actuals'!BP$7:BP$176))</f>
        <v>0</v>
      </c>
      <c r="BM27" s="668">
        <f ca="1">IF(BM$4="forecast",(SUM(AZ$27:BK$27)/12)*1.3,SUMIF('Dept. Cost Actuals'!$E$7:$E$176,"*Finance*",'Dept. Cost Actuals'!BQ$7:BQ$176))</f>
        <v>0</v>
      </c>
      <c r="BN27" s="668">
        <f ca="1">IF(BN$4="forecast",(SUM(BA$27:BL$27)/12)*1.3,SUMIF('Dept. Cost Actuals'!$E$7:$E$176,"*Finance*",'Dept. Cost Actuals'!BR$7:BR$176))</f>
        <v>0</v>
      </c>
      <c r="BO27" s="668">
        <f ca="1">IF(BO$4="forecast",(SUM(BB$27:BM$27)/12)*1.3,SUMIF('Dept. Cost Actuals'!$E$7:$E$176,"*Finance*",'Dept. Cost Actuals'!BS$7:BS$176))</f>
        <v>0</v>
      </c>
      <c r="BP27" s="668">
        <f ca="1">IF(BP$4="forecast",(SUM(BC$27:BN$27)/12)*1.3,SUMIF('Dept. Cost Actuals'!$E$7:$E$176,"*Finance*",'Dept. Cost Actuals'!BT$7:BT$176))</f>
        <v>0</v>
      </c>
      <c r="BQ27" s="668">
        <f ca="1">IF(BQ$4="forecast",(SUM(BD$27:BO$27)/12)*1.3,SUMIF('Dept. Cost Actuals'!$E$7:$E$176,"*Finance*",'Dept. Cost Actuals'!BU$7:BU$176))</f>
        <v>0</v>
      </c>
      <c r="BR27" s="668">
        <f ca="1">IF(BR$4="forecast",(SUM(BE$27:BP$27)/12)*1.3,SUMIF('Dept. Cost Actuals'!$E$7:$E$176,"*Finance*",'Dept. Cost Actuals'!BV$7:BV$176))</f>
        <v>0</v>
      </c>
      <c r="BS27" s="668">
        <f ca="1">IF(BS$4="forecast",(SUM(BF$27:BQ$27)/12)*1.3,SUMIF('Dept. Cost Actuals'!$E$7:$E$176,"*Finance*",'Dept. Cost Actuals'!BW$7:BW$176))</f>
        <v>0</v>
      </c>
      <c r="BT27" s="668">
        <f ca="1">IF(BT$4="forecast",(SUM(BG$27:BR$27)/12)*1.3,SUMIF('Dept. Cost Actuals'!$E$7:$E$176,"*Finance*",'Dept. Cost Actuals'!BX$7:BX$176))</f>
        <v>0</v>
      </c>
      <c r="BU27" s="668">
        <f ca="1">IF(BU$4="forecast",(SUM(BH$27:BS$27)/12)*1.3,SUMIF('Dept. Cost Actuals'!$E$7:$E$176,"*Finance*",'Dept. Cost Actuals'!BY$7:BY$176))</f>
        <v>0</v>
      </c>
      <c r="BV27" s="790">
        <f ca="1">IF(BV$4="forecast",(SUM(BI$27:BT$27)/12)*1.3,SUMIF('Dept. Cost Actuals'!$E$7:$E$176,"*Finance*",'Dept. Cost Actuals'!BZ$7:BZ$176))</f>
        <v>0</v>
      </c>
    </row>
    <row r="28" spans="2:74" x14ac:dyDescent="0.25">
      <c r="B28" s="794" t="s">
        <v>1075</v>
      </c>
      <c r="C28" s="668">
        <f ca="1">IF(C$4="forecast",(AVERAGE(#REF!)),SUMIF('Dept. Cost Actuals'!$E$7:$E$176,"*Parking*",'Dept. Cost Actuals'!G$529:G$628))</f>
        <v>0</v>
      </c>
      <c r="D28" s="668">
        <f ca="1">IF(D$4="forecast",(AVERAGE(#REF!)),SUMIF('Dept. Cost Actuals'!$E$7:$E$176,"*Parking*",'Dept. Cost Actuals'!H$529:H$628))</f>
        <v>0</v>
      </c>
      <c r="E28" s="668">
        <f ca="1">IF(E$4="forecast",(AVERAGE(#REF!)),SUMIF('Dept. Cost Actuals'!$E$7:$E$176,"*Parking*",'Dept. Cost Actuals'!I$529:I$628))</f>
        <v>0</v>
      </c>
      <c r="F28" s="668">
        <f ca="1">IF(F$4="forecast",(AVERAGE(#REF!)),SUMIF('Dept. Cost Actuals'!$E$7:$E$176,"*Parking*",'Dept. Cost Actuals'!J$529:J$628))</f>
        <v>0</v>
      </c>
      <c r="G28" s="668">
        <f ca="1">IF(G$4="forecast",(AVERAGE(#REF!)),SUMIF('Dept. Cost Actuals'!$E$7:$E$176,"*Parking*",'Dept. Cost Actuals'!K$529:K$628))</f>
        <v>0</v>
      </c>
      <c r="H28" s="668">
        <f ca="1">IF(H$4="forecast",(AVERAGE(#REF!)),SUMIF('Dept. Cost Actuals'!$E$7:$E$176,"*Parking*",'Dept. Cost Actuals'!L$529:L$628))</f>
        <v>0</v>
      </c>
      <c r="I28" s="668">
        <f ca="1">IF(I$4="forecast",(AVERAGE(#REF!)),SUMIF('Dept. Cost Actuals'!$E$7:$E$176,"*Parking*",'Dept. Cost Actuals'!M$529:M$628))</f>
        <v>0</v>
      </c>
      <c r="J28" s="668">
        <f ca="1">IF(J$4="forecast",(AVERAGE(#REF!)),SUMIF('Dept. Cost Actuals'!$E$7:$E$176,"*Parking*",'Dept. Cost Actuals'!N$529:N$628))</f>
        <v>0</v>
      </c>
      <c r="K28" s="668">
        <f ca="1">IF(K$4="forecast",(AVERAGE(#REF!)),SUMIF('Dept. Cost Actuals'!$E$7:$E$176,"*Parking*",'Dept. Cost Actuals'!O$529:O$628))</f>
        <v>81</v>
      </c>
      <c r="L28" s="668">
        <f ca="1">IF(L$4="forecast",(AVERAGE(#REF!)),SUMIF('Dept. Cost Actuals'!$E$7:$E$176,"*Parking*",'Dept. Cost Actuals'!P$529:P$628))</f>
        <v>296</v>
      </c>
      <c r="M28" s="668">
        <f ca="1">IF(M$4="forecast",(AVERAGE(A28:L28)),SUMIF('Dept. Cost Actuals'!$E$7:$E$176,"*Parking*",'Dept. Cost Actuals'!Q$529:Q$628))</f>
        <v>308</v>
      </c>
      <c r="N28" s="668">
        <f ca="1">IF(N$4="forecast",(AVERAGE(B28:M28)),SUMIF('Dept. Cost Actuals'!$E$7:$E$176,"*Parking*",'Dept. Cost Actuals'!R$529:R$628))</f>
        <v>28</v>
      </c>
      <c r="O28" s="668">
        <f ca="1">IF(O$4="forecast",(AVERAGE(C28:N28)),SUMIF('Dept. Cost Actuals'!$E$7:$E$176,"*Parking*",'Dept. Cost Actuals'!S$529:S$628))</f>
        <v>0</v>
      </c>
      <c r="P28" s="668">
        <f ca="1">IF(P$4="forecast",(AVERAGE(D28:O28)),SUMIF('Dept. Cost Actuals'!$E$7:$E$176,"*Parking*",'Dept. Cost Actuals'!T$529:T$628))</f>
        <v>0</v>
      </c>
      <c r="Q28" s="668">
        <f ca="1">IF(Q$4="forecast",(AVERAGE(E28:P28)),SUMIF('Dept. Cost Actuals'!$E$7:$E$176,"*Parking*",'Dept. Cost Actuals'!U$529:U$628))</f>
        <v>0</v>
      </c>
      <c r="R28" s="668">
        <f ca="1">IF(R$4="forecast",(AVERAGE(F28:Q28)),SUMIF('Dept. Cost Actuals'!$E$7:$E$176,"*Parking*",'Dept. Cost Actuals'!V$529:V$628))</f>
        <v>14</v>
      </c>
      <c r="S28" s="668">
        <f ca="1">IF(S$4="forecast",(AVERAGE(G28:R28)),SUMIF('Dept. Cost Actuals'!$E$7:$E$176,"*Parking*",'Dept. Cost Actuals'!W$529:W$628))</f>
        <v>14</v>
      </c>
      <c r="T28" s="668">
        <f ca="1">IF(T$4="forecast",(AVERAGE(H28:S28)),SUMIF('Dept. Cost Actuals'!$E$7:$E$176,"*Parking*",'Dept. Cost Actuals'!X$529:X$628))</f>
        <v>0</v>
      </c>
      <c r="U28" s="668">
        <f ca="1">IF(U$4="forecast",(AVERAGE(I28:T28)),SUMIF('Dept. Cost Actuals'!$E$7:$E$176,"*Parking*",'Dept. Cost Actuals'!Y$529:Y$628))</f>
        <v>660</v>
      </c>
      <c r="V28" s="668">
        <f ca="1">IF(V$4="forecast",(AVERAGE(J28:U28)),SUMIF('Dept. Cost Actuals'!$E$7:$E$176,"*Parking*",'Dept. Cost Actuals'!Z$529:Z$628))</f>
        <v>0</v>
      </c>
      <c r="W28" s="668">
        <f ca="1">IF(W$4="forecast",(AVERAGE(K28:V28)),SUMIF('Dept. Cost Actuals'!$E$7:$E$176,"*Parking*",'Dept. Cost Actuals'!AA$529:AA$628))</f>
        <v>0</v>
      </c>
      <c r="X28" s="668">
        <f ca="1">IF(X$4="forecast",(AVERAGE(L28:W28)),SUMIF('Dept. Cost Actuals'!$E$7:$E$176,"*Parking*",'Dept. Cost Actuals'!AB$529:AB$628))</f>
        <v>106</v>
      </c>
      <c r="Y28" s="668">
        <f ca="1">IF(Y$4="forecast",(AVERAGE(M28:X28)),SUMIF('Dept. Cost Actuals'!$E$7:$E$176,"*Parking*",'Dept. Cost Actuals'!AC$529:AC$628))</f>
        <v>0</v>
      </c>
      <c r="Z28" s="668">
        <f ca="1">IF(Z$4="forecast",(AVERAGE(N28:Y28)),SUMIF('Dept. Cost Actuals'!$E$7:$E$176,"*Parking*",'Dept. Cost Actuals'!AD$529:AD$628))</f>
        <v>125</v>
      </c>
      <c r="AA28" s="668">
        <f ca="1">IF(AA$4="forecast",(AVERAGE(O28:Z28)),SUMIF('Dept. Cost Actuals'!$E$7:$E$176,"*Parking*",'Dept. Cost Actuals'!AE$529:AE$628))</f>
        <v>0</v>
      </c>
      <c r="AB28" s="668">
        <f ca="1">IF(AB$4="forecast",(AVERAGE(P28:AA28)),SUMIF('Dept. Cost Actuals'!$E$7:$E$176,"*Parking*",'Dept. Cost Actuals'!AF$529:AF$628))</f>
        <v>150</v>
      </c>
      <c r="AC28" s="668">
        <f ca="1">IF(AC$4="forecast",(AVERAGE(Q28:AB28)),SUMIF('Dept. Cost Actuals'!$E$7:$E$176,"*Parking*",'Dept. Cost Actuals'!AG$529:AG$628))</f>
        <v>300</v>
      </c>
      <c r="AD28" s="668">
        <f ca="1">IF(AD$4="forecast",(AVERAGE(R28:AC28)),SUMIF('Dept. Cost Actuals'!$E$7:$E$176,"*Parking*",'Dept. Cost Actuals'!AH$529:AH$628))</f>
        <v>114.08333333333333</v>
      </c>
      <c r="AE28" s="668">
        <f ca="1">IF(AE$4="forecast",(AVERAGE(S28:AD28)),SUMIF('Dept. Cost Actuals'!$E$7:$E$176,"*Parking*",'Dept. Cost Actuals'!AI$529:AI$628))</f>
        <v>122.4236111111111</v>
      </c>
      <c r="AF28" s="668">
        <f ca="1">IF(AF$4="forecast",(AVERAGE(T28:AE28)),SUMIF('Dept. Cost Actuals'!$E$7:$E$176,"*Parking*",'Dept. Cost Actuals'!AJ$529:AJ$628))</f>
        <v>131.45891203703704</v>
      </c>
      <c r="AG28" s="668">
        <f ca="1">IF(AG$4="forecast",(AVERAGE(U28:AF28)),SUMIF('Dept. Cost Actuals'!$E$7:$E$176,"*Parking*",'Dept. Cost Actuals'!AK$529:AK$628))</f>
        <v>142.41382137345678</v>
      </c>
      <c r="AH28" s="668">
        <f ca="1">IF(AH$4="forecast",(AVERAGE(V28:AG28)),SUMIF('Dept. Cost Actuals'!$E$7:$E$176,"*Parking*",'Dept. Cost Actuals'!AL$529:AL$628))</f>
        <v>99.281639821244866</v>
      </c>
      <c r="AI28" s="668">
        <f ca="1">IF(AI$4="forecast",(AVERAGE(W28:AH28)),SUMIF('Dept. Cost Actuals'!$E$7:$E$176,"*Parking*",'Dept. Cost Actuals'!AM$529:AM$628))</f>
        <v>107.5551098063486</v>
      </c>
      <c r="AJ28" s="668">
        <f ca="1">IF(AJ$4="forecast",(AVERAGE(X28:AI28)),SUMIF('Dept. Cost Actuals'!$E$7:$E$176,"*Parking*",'Dept. Cost Actuals'!AN$529:AN$628))</f>
        <v>116.51803562354432</v>
      </c>
      <c r="AK28" s="668">
        <f ca="1">IF(AK$4="forecast",(AVERAGE(Y28:AJ28)),SUMIF('Dept. Cost Actuals'!$E$7:$E$176,"*Parking*",'Dept. Cost Actuals'!AO$529:AO$628))</f>
        <v>117.39453859217302</v>
      </c>
      <c r="AL28" s="668">
        <f ca="1">IF(AL$4="forecast",(AVERAGE(Z28:AK28)),SUMIF('Dept. Cost Actuals'!$E$7:$E$176,"*Parking*",'Dept. Cost Actuals'!AP$529:AP$628))</f>
        <v>127.17741680818743</v>
      </c>
      <c r="AM28" s="668">
        <f ca="1">IF(AM$4="forecast",(AVERAGE(AA28:AL28)),SUMIF('Dept. Cost Actuals'!$E$7:$E$176,"*Parking*",'Dept. Cost Actuals'!AQ$529:AQ$628))</f>
        <v>127.35886820886971</v>
      </c>
      <c r="AN28" s="668">
        <f ca="1">IF(AN$4="forecast",(AVERAGE(AB28:AM28)),SUMIF('Dept. Cost Actuals'!$E$7:$E$176,"*Parking*",'Dept. Cost Actuals'!AR$529:AR$628))</f>
        <v>137.97210722627554</v>
      </c>
      <c r="AO28" s="668">
        <f ca="1">IF(AO$4="forecast",(AVERAGE(AC28:AN28)),SUMIF('Dept. Cost Actuals'!$E$7:$E$176,"*Parking*",'Dept. Cost Actuals'!AS$529:AS$628))</f>
        <v>136.96978282846516</v>
      </c>
      <c r="AP28" s="668">
        <f ca="1">IF(AP$4="forecast",(AVERAGE(AD28:AO28)),SUMIF('Dept. Cost Actuals'!$E$7:$E$176,"*Parking*",'Dept. Cost Actuals'!AT$529:AT$628))</f>
        <v>123.3839313975039</v>
      </c>
      <c r="AQ28" s="668">
        <f ca="1">IF(AQ$4="forecast",(AVERAGE(AE28:AP28)),SUMIF('Dept. Cost Actuals'!$E$7:$E$176,"*Parking*",'Dept. Cost Actuals'!AU$529:AU$628))</f>
        <v>124.15898123618479</v>
      </c>
      <c r="AR28" s="668">
        <f ca="1">IF(AR$4="forecast",(AVERAGE(AF28:AQ28)),SUMIF('Dept. Cost Actuals'!$E$7:$E$176,"*Parking*",'Dept. Cost Actuals'!AV$529:AV$628))</f>
        <v>124.30359541327425</v>
      </c>
      <c r="AS28" s="668">
        <f ca="1">IF(AS$4="forecast",(AVERAGE(AG28:AR28)),SUMIF('Dept. Cost Actuals'!$E$7:$E$176,"*Parking*",'Dept. Cost Actuals'!AW$529:AW$628))</f>
        <v>123.70731902796069</v>
      </c>
      <c r="AT28" s="668">
        <f ca="1">IF(AT$4="forecast",(AVERAGE(AH28:AS28)),SUMIF('Dept. Cost Actuals'!$E$7:$E$176,"*Parking*",'Dept. Cost Actuals'!AX$529:AX$628))</f>
        <v>122.14844383250268</v>
      </c>
      <c r="AU28" s="668">
        <f ca="1">IF(AU$4="forecast",(AVERAGE(AI28:AT28)),SUMIF('Dept. Cost Actuals'!$E$7:$E$176,"*Parking*",'Dept. Cost Actuals'!AY$529:AY$628))</f>
        <v>124.05401083344084</v>
      </c>
      <c r="AV28" s="668">
        <f ca="1">IF(AV$4="forecast",(AVERAGE(AJ28:AU28)),SUMIF('Dept. Cost Actuals'!$E$7:$E$176,"*Parking*",'Dept. Cost Actuals'!AZ$529:AZ$628))</f>
        <v>125.42891925236518</v>
      </c>
      <c r="AW28" s="668">
        <f ca="1">IF(AW$4="forecast",(AVERAGE(AK28:AV28)),SUMIF('Dept. Cost Actuals'!$E$7:$E$176,"*Parking*",'Dept. Cost Actuals'!BA$529:BA$628))</f>
        <v>126.17149288810026</v>
      </c>
      <c r="AX28" s="668">
        <f ca="1">IF(AX$4="forecast",(AVERAGE(AL28:AW28)),SUMIF('Dept. Cost Actuals'!$E$7:$E$176,"*Parking*",'Dept. Cost Actuals'!BB$529:BB$628))</f>
        <v>126.90290574609419</v>
      </c>
      <c r="AY28" s="668">
        <f ca="1">IF(AY$4="forecast",(AVERAGE(AM28:AX28)),SUMIF('Dept. Cost Actuals'!$E$7:$E$176,"*Parking*",'Dept. Cost Actuals'!BC$529:BC$628))</f>
        <v>126.88002982425309</v>
      </c>
      <c r="AZ28" s="668">
        <f ca="1">IF(AZ$4="forecast",(AVERAGE(AN28:AY28)),SUMIF('Dept. Cost Actuals'!$E$7:$E$176,"*Parking*",'Dept. Cost Actuals'!BD$529:BD$628))</f>
        <v>126.84012662553506</v>
      </c>
      <c r="BA28" s="668">
        <f ca="1">IF(BA$4="forecast",(AVERAGE(AO28:AZ28)),SUMIF('Dept. Cost Actuals'!$E$7:$E$176,"*Parking*",'Dept. Cost Actuals'!BE$529:BE$628))</f>
        <v>125.91246157547334</v>
      </c>
      <c r="BB28" s="668">
        <f ca="1">IF(BB$4="forecast",(AVERAGE(AP28:BA28)),SUMIF('Dept. Cost Actuals'!$E$7:$E$176,"*Parking*",'Dept. Cost Actuals'!BF$529:BF$628))</f>
        <v>124.99101813772403</v>
      </c>
      <c r="BC28" s="668">
        <f ca="1">IF(BC$4="forecast",(AVERAGE(AQ28:BB28)),SUMIF('Dept. Cost Actuals'!$E$7:$E$176,"*Parking*",'Dept. Cost Actuals'!BG$529:BG$628))</f>
        <v>125.12494203274237</v>
      </c>
      <c r="BD28" s="668">
        <f ca="1">IF(BD$4="forecast",(AVERAGE(AR28:BC28)),SUMIF('Dept. Cost Actuals'!$E$7:$E$176,"*Parking*",'Dept. Cost Actuals'!BH$529:BH$628))</f>
        <v>125.20543876578883</v>
      </c>
      <c r="BE28" s="668">
        <f ca="1">IF(BE$4="forecast",(AVERAGE(AS28:BD28)),SUMIF('Dept. Cost Actuals'!$E$7:$E$176,"*Parking*",'Dept. Cost Actuals'!BI$529:BI$628))</f>
        <v>125.28059237849838</v>
      </c>
      <c r="BF28" s="668">
        <f ca="1">IF(BF$4="forecast",(AVERAGE(AT28:BE28)),SUMIF('Dept. Cost Actuals'!$E$7:$E$176,"*Parking*",'Dept. Cost Actuals'!BJ$529:BJ$628))</f>
        <v>125.41169849104318</v>
      </c>
      <c r="BG28" s="668">
        <f ca="1">IF(BG$4="forecast",(AVERAGE(AU28:BF28)),SUMIF('Dept. Cost Actuals'!$E$7:$E$176,"*Parking*",'Dept. Cost Actuals'!BK$529:BK$628))</f>
        <v>125.68363637925489</v>
      </c>
      <c r="BH28" s="668">
        <f ca="1">IF(BH$4="forecast",(AVERAGE(AV28:BG28)),SUMIF('Dept. Cost Actuals'!$E$7:$E$176,"*Parking*",'Dept. Cost Actuals'!BL$529:BL$628))</f>
        <v>125.81943850807274</v>
      </c>
      <c r="BI28" s="668">
        <f ca="1">IF(BI$4="forecast",(AVERAGE(AW28:BH28)),SUMIF('Dept. Cost Actuals'!$E$7:$E$176,"*Parking*",'Dept. Cost Actuals'!BM$529:BM$628))</f>
        <v>125.85198177938172</v>
      </c>
      <c r="BJ28" s="668">
        <f ca="1">IF(BJ$4="forecast",(AVERAGE(AX28:BI28)),SUMIF('Dept. Cost Actuals'!$E$7:$E$176,"*Parking*",'Dept. Cost Actuals'!BN$529:BN$628))</f>
        <v>125.82535585365515</v>
      </c>
      <c r="BK28" s="668">
        <f ca="1">IF(BK$4="forecast",(AVERAGE(AY28:BJ28)),SUMIF('Dept. Cost Actuals'!$E$7:$E$176,"*Parking*",'Dept. Cost Actuals'!BO$529:BO$628))</f>
        <v>125.73556002928524</v>
      </c>
      <c r="BL28" s="668">
        <f ca="1">IF(BL$4="forecast",(AVERAGE(AZ28:BK28)),SUMIF('Dept. Cost Actuals'!$E$7:$E$176,"*Parking*",'Dept. Cost Actuals'!BP$529:BP$628))</f>
        <v>125.64018754637125</v>
      </c>
      <c r="BM28" s="668">
        <f ca="1">IF(BM$4="forecast",(AVERAGE(BA28:BL28)),SUMIF('Dept. Cost Actuals'!$E$7:$E$176,"*Parking*",'Dept. Cost Actuals'!BQ$529:BQ$628))</f>
        <v>125.54019262310756</v>
      </c>
      <c r="BN28" s="668">
        <f ca="1">IF(BN$4="forecast",(AVERAGE(BB28:BM28)),SUMIF('Dept. Cost Actuals'!$E$7:$E$176,"*Parking*",'Dept. Cost Actuals'!BR$529:BR$628))</f>
        <v>125.50917021041043</v>
      </c>
      <c r="BO28" s="668">
        <f ca="1">IF(BO$4="forecast",(AVERAGE(BC28:BN28)),SUMIF('Dept. Cost Actuals'!$E$7:$E$176,"*Parking*",'Dept. Cost Actuals'!BS$529:BS$628))</f>
        <v>125.55234954980097</v>
      </c>
      <c r="BP28" s="668">
        <f ca="1">IF(BP$4="forecast",(AVERAGE(BD28:BO28)),SUMIF('Dept. Cost Actuals'!$E$7:$E$176,"*Parking*",'Dept. Cost Actuals'!BT$529:BT$628))</f>
        <v>125.5879668428892</v>
      </c>
      <c r="BQ28" s="668">
        <f ca="1">IF(BQ$4="forecast",(AVERAGE(BE28:BP28)),SUMIF('Dept. Cost Actuals'!$E$7:$E$176,"*Parking*",'Dept. Cost Actuals'!BU$529:BU$628))</f>
        <v>125.61984418264757</v>
      </c>
      <c r="BR28" s="668">
        <f ca="1">IF(BR$4="forecast",(AVERAGE(BF28:BQ28)),SUMIF('Dept. Cost Actuals'!$E$7:$E$176,"*Parking*",'Dept. Cost Actuals'!BV$529:BV$628))</f>
        <v>125.64811516632666</v>
      </c>
      <c r="BS28" s="668">
        <f ca="1">IF(BS$4="forecast",(AVERAGE(BG28:BR28)),SUMIF('Dept. Cost Actuals'!$E$7:$E$176,"*Parking*",'Dept. Cost Actuals'!BW$529:BW$628))</f>
        <v>125.66781655593361</v>
      </c>
      <c r="BT28" s="668">
        <f ca="1">IF(BT$4="forecast",(AVERAGE(BH28:BS28)),SUMIF('Dept. Cost Actuals'!$E$7:$E$176,"*Parking*",'Dept. Cost Actuals'!BX$529:BX$628))</f>
        <v>125.66649823732349</v>
      </c>
      <c r="BU28" s="668">
        <f ca="1">IF(BU$4="forecast",(AVERAGE(BI28:BT28)),SUMIF('Dept. Cost Actuals'!$E$7:$E$176,"*Parking*",'Dept. Cost Actuals'!BY$529:BY$628))</f>
        <v>125.65375321476108</v>
      </c>
      <c r="BV28" s="790">
        <f ca="1">IF(BV$4="forecast",(AVERAGE(BJ28:BU28)),SUMIF('Dept. Cost Actuals'!$E$7:$E$176,"*Parking*",'Dept. Cost Actuals'!BZ$529:BZ$628))</f>
        <v>125.63723416770937</v>
      </c>
    </row>
    <row r="29" spans="2:74" x14ac:dyDescent="0.25">
      <c r="B29" s="795" t="s">
        <v>937</v>
      </c>
      <c r="C29" s="1156">
        <f t="shared" ref="C29:BN29" ca="1" si="8">SUM(C17:C28,C14)</f>
        <v>9202.1702840643593</v>
      </c>
      <c r="D29" s="1156">
        <f t="shared" ca="1" si="8"/>
        <v>9068.5080376945207</v>
      </c>
      <c r="E29" s="1156">
        <f t="shared" ca="1" si="8"/>
        <v>9101.6524144608411</v>
      </c>
      <c r="F29" s="1156">
        <f t="shared" ca="1" si="8"/>
        <v>9685.7049099618289</v>
      </c>
      <c r="G29" s="1156">
        <f t="shared" ca="1" si="8"/>
        <v>6644.6483150894292</v>
      </c>
      <c r="H29" s="1156">
        <f t="shared" ca="1" si="8"/>
        <v>10266.208127660475</v>
      </c>
      <c r="I29" s="1156">
        <f t="shared" ca="1" si="8"/>
        <v>9430.3765209991452</v>
      </c>
      <c r="J29" s="1156">
        <f t="shared" ca="1" si="8"/>
        <v>11684.998081939762</v>
      </c>
      <c r="K29" s="1156">
        <f t="shared" ca="1" si="8"/>
        <v>9604.7534217255507</v>
      </c>
      <c r="L29" s="1156">
        <f t="shared" ca="1" si="8"/>
        <v>11025.506944171333</v>
      </c>
      <c r="M29" s="1156">
        <f t="shared" ca="1" si="8"/>
        <v>14889.244541174865</v>
      </c>
      <c r="N29" s="1156">
        <f t="shared" ca="1" si="8"/>
        <v>12376.905768209816</v>
      </c>
      <c r="O29" s="1156">
        <f t="shared" ca="1" si="8"/>
        <v>11007.2</v>
      </c>
      <c r="P29" s="1156">
        <f t="shared" ca="1" si="8"/>
        <v>8647.619999999999</v>
      </c>
      <c r="Q29" s="1156">
        <f t="shared" ca="1" si="8"/>
        <v>11104.349999999999</v>
      </c>
      <c r="R29" s="1156">
        <f t="shared" ca="1" si="8"/>
        <v>9022.74</v>
      </c>
      <c r="S29" s="1156">
        <f t="shared" ca="1" si="8"/>
        <v>19740.72</v>
      </c>
      <c r="T29" s="1156">
        <f t="shared" ca="1" si="8"/>
        <v>20621.96</v>
      </c>
      <c r="U29" s="1156">
        <f t="shared" ca="1" si="8"/>
        <v>23478.260000000002</v>
      </c>
      <c r="V29" s="1156">
        <f t="shared" ca="1" si="8"/>
        <v>31445.39</v>
      </c>
      <c r="W29" s="1156">
        <f t="shared" ca="1" si="8"/>
        <v>31930.080000000002</v>
      </c>
      <c r="X29" s="1156">
        <f t="shared" ca="1" si="8"/>
        <v>39490.199999999997</v>
      </c>
      <c r="Y29" s="1156">
        <f t="shared" ca="1" si="8"/>
        <v>33894.449999999997</v>
      </c>
      <c r="Z29" s="1156">
        <f t="shared" ca="1" si="8"/>
        <v>12022.510000000002</v>
      </c>
      <c r="AA29" s="1156">
        <f t="shared" ca="1" si="8"/>
        <v>41085.449999999997</v>
      </c>
      <c r="AB29" s="1156">
        <f t="shared" ca="1" si="8"/>
        <v>38350.559999999998</v>
      </c>
      <c r="AC29" s="1156">
        <f t="shared" ca="1" si="8"/>
        <v>39877.410000000003</v>
      </c>
      <c r="AD29" s="1156">
        <f t="shared" ca="1" si="8"/>
        <v>61968.765264409027</v>
      </c>
      <c r="AE29" s="1156">
        <f t="shared" ca="1" si="8"/>
        <v>88052.35222019699</v>
      </c>
      <c r="AF29" s="1156">
        <f t="shared" ca="1" si="8"/>
        <v>83848.676114642352</v>
      </c>
      <c r="AG29" s="1156">
        <f t="shared" ca="1" si="8"/>
        <v>84186.081692633248</v>
      </c>
      <c r="AH29" s="1156">
        <f t="shared" ca="1" si="8"/>
        <v>84532.323261131794</v>
      </c>
      <c r="AI29" s="1156">
        <f t="shared" ca="1" si="8"/>
        <v>84703.151319346958</v>
      </c>
      <c r="AJ29" s="1156">
        <f t="shared" ca="1" si="8"/>
        <v>85110.289741421788</v>
      </c>
      <c r="AK29" s="1156">
        <f t="shared" ca="1" si="8"/>
        <v>85085.99689101128</v>
      </c>
      <c r="AL29" s="1156">
        <f t="shared" ca="1" si="8"/>
        <v>85245.254328741634</v>
      </c>
      <c r="AM29" s="1156">
        <f t="shared" ca="1" si="8"/>
        <v>86942.874366141201</v>
      </c>
      <c r="AN29" s="1156">
        <f t="shared" ca="1" si="8"/>
        <v>88070.330667724236</v>
      </c>
      <c r="AO29" s="1156">
        <f t="shared" ca="1" si="8"/>
        <v>88414.905327551198</v>
      </c>
      <c r="AP29" s="1156">
        <f t="shared" ca="1" si="8"/>
        <v>88596.274875475719</v>
      </c>
      <c r="AQ29" s="1156">
        <f t="shared" ca="1" si="8"/>
        <v>88865.112288283737</v>
      </c>
      <c r="AR29" s="1156">
        <f t="shared" ca="1" si="8"/>
        <v>89123.810379947012</v>
      </c>
      <c r="AS29" s="1156">
        <f t="shared" ca="1" si="8"/>
        <v>89370.462795482017</v>
      </c>
      <c r="AT29" s="1156">
        <f t="shared" ca="1" si="8"/>
        <v>89608.975588249305</v>
      </c>
      <c r="AU29" s="1156">
        <f t="shared" ca="1" si="8"/>
        <v>89837.934123809231</v>
      </c>
      <c r="AV29" s="1156">
        <f t="shared" ca="1" si="8"/>
        <v>90071.160006584803</v>
      </c>
      <c r="AW29" s="1156">
        <f t="shared" ca="1" si="8"/>
        <v>90289.316318522353</v>
      </c>
      <c r="AX29" s="1156">
        <f t="shared" ca="1" si="8"/>
        <v>90527.099868092497</v>
      </c>
      <c r="AY29" s="1156">
        <f t="shared" ca="1" si="8"/>
        <v>92181.704698894973</v>
      </c>
      <c r="AZ29" s="1156">
        <f t="shared" ca="1" si="8"/>
        <v>93448.819348553414</v>
      </c>
      <c r="BA29" s="1156">
        <f t="shared" ca="1" si="8"/>
        <v>93700.673028878155</v>
      </c>
      <c r="BB29" s="1156">
        <f t="shared" ca="1" si="8"/>
        <v>93944.205795904403</v>
      </c>
      <c r="BC29" s="1156">
        <f t="shared" ca="1" si="8"/>
        <v>94192.324666182496</v>
      </c>
      <c r="BD29" s="1156">
        <f t="shared" ca="1" si="8"/>
        <v>94438.12282624311</v>
      </c>
      <c r="BE29" s="1156">
        <f t="shared" ca="1" si="8"/>
        <v>94682.251826996886</v>
      </c>
      <c r="BF29" s="1156">
        <f t="shared" ca="1" si="8"/>
        <v>94925.576378178885</v>
      </c>
      <c r="BG29" s="1156">
        <f t="shared" ca="1" si="8"/>
        <v>95168.707744222163</v>
      </c>
      <c r="BH29" s="1156">
        <f t="shared" ca="1" si="8"/>
        <v>95412.426014465716</v>
      </c>
      <c r="BI29" s="1156">
        <f t="shared" ca="1" si="8"/>
        <v>95656.424485324998</v>
      </c>
      <c r="BJ29" s="1156">
        <f t="shared" ca="1" si="8"/>
        <v>95901.982304421108</v>
      </c>
      <c r="BK29" s="1156">
        <f t="shared" ca="1" si="8"/>
        <v>97600.773741047422</v>
      </c>
      <c r="BL29" s="1156">
        <f t="shared" ca="1" si="8"/>
        <v>98907.82464681362</v>
      </c>
      <c r="BM29" s="1156">
        <f t="shared" ca="1" si="8"/>
        <v>99160.497433965269</v>
      </c>
      <c r="BN29" s="1156">
        <f t="shared" ca="1" si="8"/>
        <v>99412.626490062336</v>
      </c>
      <c r="BO29" s="1156">
        <f t="shared" ref="BO29:BV29" ca="1" si="9">SUM(BO17:BO28,BO14)</f>
        <v>99664.859913625143</v>
      </c>
      <c r="BP29" s="1156">
        <f t="shared" ca="1" si="9"/>
        <v>99916.824226671481</v>
      </c>
      <c r="BQ29" s="1156">
        <f t="shared" ca="1" si="9"/>
        <v>100168.69039584315</v>
      </c>
      <c r="BR29" s="1156">
        <f t="shared" ca="1" si="9"/>
        <v>100420.58933909278</v>
      </c>
      <c r="BS29" s="1156">
        <f t="shared" ca="1" si="9"/>
        <v>100672.59082505788</v>
      </c>
      <c r="BT29" s="1156">
        <f t="shared" ca="1" si="9"/>
        <v>100924.7194977263</v>
      </c>
      <c r="BU29" s="1156">
        <f t="shared" ca="1" si="9"/>
        <v>101176.93704730661</v>
      </c>
      <c r="BV29" s="1156">
        <f t="shared" ca="1" si="9"/>
        <v>101429.22753015684</v>
      </c>
    </row>
    <row r="30" spans="2:74" x14ac:dyDescent="0.25">
      <c r="B30" s="783"/>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c r="AK30" s="156"/>
      <c r="AL30" s="156"/>
      <c r="AM30" s="156"/>
      <c r="AN30" s="156"/>
      <c r="AO30" s="156"/>
      <c r="AP30" s="156"/>
      <c r="AQ30" s="156"/>
      <c r="AR30" s="156"/>
      <c r="AS30" s="156"/>
      <c r="AT30" s="156"/>
      <c r="AU30" s="156"/>
      <c r="AV30" s="156"/>
      <c r="AW30" s="156"/>
      <c r="AX30" s="156"/>
      <c r="AY30" s="156"/>
      <c r="AZ30" s="156"/>
      <c r="BA30" s="156"/>
      <c r="BB30" s="156"/>
      <c r="BC30" s="156"/>
      <c r="BD30" s="156"/>
      <c r="BE30" s="156"/>
      <c r="BF30" s="156"/>
      <c r="BG30" s="156"/>
      <c r="BH30" s="156"/>
      <c r="BI30" s="156"/>
      <c r="BJ30" s="156"/>
      <c r="BK30" s="156"/>
      <c r="BL30" s="156"/>
      <c r="BM30" s="156"/>
      <c r="BN30" s="156"/>
      <c r="BO30" s="156"/>
      <c r="BP30" s="156"/>
      <c r="BQ30" s="156"/>
      <c r="BR30" s="156"/>
      <c r="BS30" s="156"/>
      <c r="BT30" s="156"/>
      <c r="BU30" s="156"/>
      <c r="BV30" s="784"/>
    </row>
    <row r="31" spans="2:74" x14ac:dyDescent="0.25">
      <c r="B31" s="855" t="s">
        <v>938</v>
      </c>
      <c r="C31" s="858"/>
      <c r="D31" s="858"/>
      <c r="E31" s="858"/>
      <c r="F31" s="858"/>
      <c r="G31" s="858"/>
      <c r="H31" s="858"/>
      <c r="I31" s="858"/>
      <c r="J31" s="858"/>
      <c r="K31" s="858"/>
      <c r="L31" s="858"/>
      <c r="M31" s="858"/>
      <c r="N31" s="858"/>
      <c r="O31" s="859"/>
      <c r="P31" s="859"/>
      <c r="Q31" s="859"/>
      <c r="R31" s="859"/>
      <c r="S31" s="859"/>
      <c r="T31" s="859"/>
      <c r="U31" s="859"/>
      <c r="V31" s="859"/>
      <c r="W31" s="859"/>
      <c r="X31" s="859"/>
      <c r="Y31" s="859"/>
      <c r="Z31" s="859"/>
      <c r="AA31" s="859"/>
      <c r="AB31" s="859"/>
      <c r="AC31" s="859"/>
      <c r="AD31" s="859"/>
      <c r="AE31" s="859"/>
      <c r="AF31" s="859"/>
      <c r="AG31" s="859"/>
      <c r="AH31" s="859"/>
      <c r="AI31" s="859"/>
      <c r="AJ31" s="859"/>
      <c r="AK31" s="859"/>
      <c r="AL31" s="859"/>
      <c r="AM31" s="859"/>
      <c r="AN31" s="859"/>
      <c r="AO31" s="859"/>
      <c r="AP31" s="859"/>
      <c r="AQ31" s="859"/>
      <c r="AR31" s="859"/>
      <c r="AS31" s="859"/>
      <c r="AT31" s="859"/>
      <c r="AU31" s="859"/>
      <c r="AV31" s="859"/>
      <c r="AW31" s="859"/>
      <c r="AX31" s="859"/>
      <c r="AY31" s="859"/>
      <c r="AZ31" s="859"/>
      <c r="BA31" s="859"/>
      <c r="BB31" s="859"/>
      <c r="BC31" s="859"/>
      <c r="BD31" s="859"/>
      <c r="BE31" s="859"/>
      <c r="BF31" s="859"/>
      <c r="BG31" s="859"/>
      <c r="BH31" s="859"/>
      <c r="BI31" s="859"/>
      <c r="BJ31" s="859"/>
      <c r="BK31" s="859"/>
      <c r="BL31" s="859"/>
      <c r="BM31" s="859"/>
      <c r="BN31" s="859"/>
      <c r="BO31" s="859"/>
      <c r="BP31" s="859"/>
      <c r="BQ31" s="859"/>
      <c r="BR31" s="859"/>
      <c r="BS31" s="859"/>
      <c r="BT31" s="859"/>
      <c r="BU31" s="859"/>
      <c r="BV31" s="860"/>
    </row>
    <row r="32" spans="2:74" x14ac:dyDescent="0.25">
      <c r="B32" s="793" t="s">
        <v>939</v>
      </c>
      <c r="C32" s="668">
        <f ca="1">IF(C$4="forecast",(AVERAGE(#REF!)),SUMIF('Dept. Cost Actuals'!$E$7:$E$176,"*Professional Fees*",'Dept. Cost Actuals'!G$529:G$628))</f>
        <v>0</v>
      </c>
      <c r="D32" s="668">
        <f ca="1">IF(D$4="forecast",(AVERAGE(#REF!)),SUMIF('Dept. Cost Actuals'!$E$7:$E$176,"*Professional Fees*",'Dept. Cost Actuals'!H$529:H$628))</f>
        <v>9.3495806270011137</v>
      </c>
      <c r="E32" s="668">
        <f ca="1">IF(E$4="forecast",(AVERAGE(#REF!)),SUMIF('Dept. Cost Actuals'!$E$7:$E$176,"*Professional Fees*",'Dept. Cost Actuals'!I$529:I$628))</f>
        <v>0</v>
      </c>
      <c r="F32" s="668">
        <f ca="1">IF(F$4="forecast",(AVERAGE(#REF!)),SUMIF('Dept. Cost Actuals'!$E$7:$E$176,"*Professional Fees*",'Dept. Cost Actuals'!J$529:J$628))</f>
        <v>8.8520732374527871</v>
      </c>
      <c r="G32" s="668">
        <f ca="1">IF(G$4="forecast",(AVERAGE(#REF!)),SUMIF('Dept. Cost Actuals'!$E$7:$E$176,"*Professional Fees*",'Dept. Cost Actuals'!K$529:K$628))</f>
        <v>2.2263216200323321</v>
      </c>
      <c r="H32" s="668">
        <f ca="1">IF(H$4="forecast",(AVERAGE(#REF!)),SUMIF('Dept. Cost Actuals'!$E$7:$E$176,"*Professional Fees*",'Dept. Cost Actuals'!L$529:L$628))</f>
        <v>80.327831717967527</v>
      </c>
      <c r="I32" s="668">
        <f ca="1">IF(I$4="forecast",(AVERAGE(#REF!)),SUMIF('Dept. Cost Actuals'!$E$7:$E$176,"*Professional Fees*",'Dept. Cost Actuals'!M$529:M$628))</f>
        <v>245.65353318073815</v>
      </c>
      <c r="J32" s="668">
        <f ca="1">IF(J$4="forecast",(AVERAGE(#REF!)),SUMIF('Dept. Cost Actuals'!$E$7:$E$176,"*Professional Fees*",'Dept. Cost Actuals'!N$529:N$628))</f>
        <v>370.414548674434</v>
      </c>
      <c r="K32" s="668">
        <f ca="1">IF(K$4="forecast",(AVERAGE(#REF!)),SUMIF('Dept. Cost Actuals'!$E$7:$E$176,"*Professional Fees*",'Dept. Cost Actuals'!O$529:O$628))</f>
        <v>303.38974374427841</v>
      </c>
      <c r="L32" s="668">
        <f ca="1">IF(L$4="forecast",(AVERAGE(#REF!)),SUMIF('Dept. Cost Actuals'!$E$7:$E$176,"*Professional Fees*",'Dept. Cost Actuals'!P$529:P$628))</f>
        <v>109.48887636673307</v>
      </c>
      <c r="M32" s="668">
        <f ca="1">IF(M$4="forecast",(AVERAGE(A32:L32)),SUMIF('Dept. Cost Actuals'!$E$7:$E$176,"*Professional Fees*",'Dept. Cost Actuals'!Q$529:Q$628))</f>
        <v>539.92867835979177</v>
      </c>
      <c r="N32" s="668">
        <f ca="1">IF(N$4="forecast",(AVERAGE(B32:M32)),SUMIF('Dept. Cost Actuals'!$E$7:$E$176,"*Professional Fees*",'Dept. Cost Actuals'!R$529:R$628))</f>
        <v>138.04567295604059</v>
      </c>
      <c r="O32" s="668">
        <f ca="1">IF(O$4="forecast",(AVERAGE(C32:N32)),SUMIF('Dept. Cost Actuals'!$E$7:$E$176,"*Professional Fees*",'Dept. Cost Actuals'!S$529:S$628))</f>
        <v>913.25</v>
      </c>
      <c r="P32" s="668">
        <f ca="1">IF(P$4="forecast",(AVERAGE(D32:O32)),SUMIF('Dept. Cost Actuals'!$E$7:$E$176,"*Professional Fees*",'Dept. Cost Actuals'!T$529:T$628))</f>
        <v>26824.45</v>
      </c>
      <c r="Q32" s="668">
        <f ca="1">IF(Q$4="forecast",(AVERAGE(E32:P32)),SUMIF('Dept. Cost Actuals'!$E$7:$E$176,"*Professional Fees*",'Dept. Cost Actuals'!U$529:U$628))</f>
        <v>9090.2999999999993</v>
      </c>
      <c r="R32" s="668">
        <f ca="1">IF(R$4="forecast",(AVERAGE(F32:Q32)),SUMIF('Dept. Cost Actuals'!$E$7:$E$176,"*Professional Fees*",'Dept. Cost Actuals'!V$529:V$628))</f>
        <v>3861.65</v>
      </c>
      <c r="S32" s="668">
        <f ca="1">IF(S$4="forecast",(AVERAGE(G32:R32)),SUMIF('Dept. Cost Actuals'!$E$7:$E$176,"*Professional Fees*",'Dept. Cost Actuals'!W$529:W$628))</f>
        <v>12899.98</v>
      </c>
      <c r="T32" s="668">
        <f ca="1">IF(T$4="forecast",(AVERAGE(H32:S32)),SUMIF('Dept. Cost Actuals'!$E$7:$E$176,"*Professional Fees*",'Dept. Cost Actuals'!X$529:X$628))</f>
        <v>886.25</v>
      </c>
      <c r="U32" s="668">
        <f ca="1">IF(U$4="forecast",(AVERAGE(I32:T32)),SUMIF('Dept. Cost Actuals'!$E$7:$E$176,"*Professional Fees*",'Dept. Cost Actuals'!Y$529:Y$628))</f>
        <v>29941.45</v>
      </c>
      <c r="V32" s="668">
        <f ca="1">IF(V$4="forecast",(AVERAGE(J32:U32)),SUMIF('Dept. Cost Actuals'!$E$7:$E$176,"*Professional Fees*",'Dept. Cost Actuals'!Z$529:Z$628))</f>
        <v>17414.11</v>
      </c>
      <c r="W32" s="668">
        <f ca="1">IF(W$4="forecast",(AVERAGE(K32:V32)),SUMIF('Dept. Cost Actuals'!$E$7:$E$176,"*Professional Fees*",'Dept. Cost Actuals'!AA$529:AA$628))</f>
        <v>12672.75</v>
      </c>
      <c r="X32" s="668">
        <f ca="1">IF(X$4="forecast",(AVERAGE(L32:W32)),SUMIF('Dept. Cost Actuals'!$E$7:$E$176,"*Professional Fees*",'Dept. Cost Actuals'!AB$529:AB$628))</f>
        <v>21.550000000000011</v>
      </c>
      <c r="Y32" s="668">
        <f ca="1">IF(Y$4="forecast",(AVERAGE(M32:X32)),SUMIF('Dept. Cost Actuals'!$E$7:$E$176,"*Professional Fees*",'Dept. Cost Actuals'!AC$529:AC$628))</f>
        <v>3204.5</v>
      </c>
      <c r="Z32" s="668">
        <f ca="1">IF(Z$4="forecast",(AVERAGE(N32:Y32)),SUMIF('Dept. Cost Actuals'!$E$7:$E$176,"*Professional Fees*",'Dept. Cost Actuals'!AD$529:AD$628))</f>
        <v>62074.35</v>
      </c>
      <c r="AA32" s="668">
        <f ca="1">IF(AA$4="forecast",(AVERAGE(O32:Z32)),SUMIF('Dept. Cost Actuals'!$E$7:$E$176,"*Professional Fees*",'Dept. Cost Actuals'!AE$529:AE$628))</f>
        <v>6960.12</v>
      </c>
      <c r="AB32" s="668">
        <f ca="1">IF(AB$4="forecast",(AVERAGE(P32:AA32)),SUMIF('Dept. Cost Actuals'!$E$7:$E$176,"*Professional Fees*",'Dept. Cost Actuals'!AF$529:AF$628))</f>
        <v>-63648.67</v>
      </c>
      <c r="AC32" s="668">
        <f ca="1">IF(AC$4="forecast",(AVERAGE(Q32:AB32)),SUMIF('Dept. Cost Actuals'!$E$7:$E$176,"*Professional Fees*",'Dept. Cost Actuals'!AG$529:AG$628))</f>
        <v>2178.65</v>
      </c>
      <c r="AD32" s="668">
        <f ca="1">IF(AD$4="forecast",(AVERAGE(R32:AC32)),SUMIF('Dept. Cost Actuals'!$E$7:$E$176,"*Professional Fees*",'Dept. Cost Actuals'!AH$529:AH$628))</f>
        <v>7372.224166666666</v>
      </c>
      <c r="AE32" s="668">
        <f ca="1">IF(AE$4="forecast",(AVERAGE(S32:AD32)),SUMIF('Dept. Cost Actuals'!$E$7:$E$176,"*Professional Fees*",'Dept. Cost Actuals'!AI$529:AI$628))</f>
        <v>7664.7720138888881</v>
      </c>
      <c r="AF32" s="668">
        <f ca="1">IF(AF$4="forecast",(AVERAGE(T32:AE32)),SUMIF('Dept. Cost Actuals'!$E$7:$E$176,"*Professional Fees*",'Dept. Cost Actuals'!AJ$529:AJ$628))</f>
        <v>7228.5046817129614</v>
      </c>
      <c r="AG32" s="668">
        <f ca="1">IF(AG$4="forecast",(AVERAGE(U32:AF32)),SUMIF('Dept. Cost Actuals'!$E$7:$E$176,"*Professional Fees*",'Dept. Cost Actuals'!AK$529:AK$628))</f>
        <v>7757.0259051890416</v>
      </c>
      <c r="AH32" s="668">
        <f ca="1">IF(AH$4="forecast",(AVERAGE(V32:AG32)),SUMIF('Dept. Cost Actuals'!$E$7:$E$176,"*Professional Fees*",'Dept. Cost Actuals'!AL$529:AL$628))</f>
        <v>5908.3238972881309</v>
      </c>
      <c r="AI32" s="668">
        <f ca="1">IF(AI$4="forecast",(AVERAGE(W32:AH32)),SUMIF('Dept. Cost Actuals'!$E$7:$E$176,"*Professional Fees*",'Dept. Cost Actuals'!AM$529:AM$628))</f>
        <v>4949.5083887288065</v>
      </c>
      <c r="AJ32" s="668">
        <f ca="1">IF(AJ$4="forecast",(AVERAGE(X32:AI32)),SUMIF('Dept. Cost Actuals'!$E$7:$E$176,"*Professional Fees*",'Dept. Cost Actuals'!AN$529:AN$628))</f>
        <v>4305.9049211228748</v>
      </c>
      <c r="AK32" s="668">
        <f ca="1">IF(AK$4="forecast",(AVERAGE(Y32:AJ32)),SUMIF('Dept. Cost Actuals'!$E$7:$E$176,"*Professional Fees*",'Dept. Cost Actuals'!AO$529:AO$628))</f>
        <v>4662.9344978831141</v>
      </c>
      <c r="AL32" s="668">
        <f ca="1">IF(AL$4="forecast",(AVERAGE(Z32:AK32)),SUMIF('Dept. Cost Actuals'!$E$7:$E$176,"*Professional Fees*",'Dept. Cost Actuals'!AP$529:AP$628))</f>
        <v>4784.4707060400406</v>
      </c>
      <c r="AM32" s="668">
        <f ca="1">IF(AM$4="forecast",(AVERAGE(AA32:AL32)),SUMIF('Dept. Cost Actuals'!$E$7:$E$176,"*Professional Fees*",'Dept. Cost Actuals'!AQ$529:AQ$628))</f>
        <v>10.314098210044373</v>
      </c>
      <c r="AN32" s="668">
        <f ca="1">IF(AN$4="forecast",(AVERAGE(AB32:AM32)),SUMIF('Dept. Cost Actuals'!$E$7:$E$176,"*Professional Fees*",'Dept. Cost Actuals'!AR$529:AR$628))</f>
        <v>-568.83639360578547</v>
      </c>
      <c r="AO32" s="668">
        <f ca="1">IF(AO$4="forecast",(AVERAGE(AC32:AN32)),SUMIF('Dept. Cost Actuals'!$E$7:$E$176,"*Professional Fees*",'Dept. Cost Actuals'!AS$529:AS$628))</f>
        <v>4687.8164069270651</v>
      </c>
      <c r="AP32" s="668">
        <f ca="1">IF(AP$4="forecast",(AVERAGE(AD32:AO32)),SUMIF('Dept. Cost Actuals'!$E$7:$E$176,"*Professional Fees*",'Dept. Cost Actuals'!AT$529:AT$628))</f>
        <v>4896.9136075043207</v>
      </c>
      <c r="AQ32" s="668">
        <f ca="1">IF(AQ$4="forecast",(AVERAGE(AE32:AP32)),SUMIF('Dept. Cost Actuals'!$E$7:$E$176,"*Professional Fees*",'Dept. Cost Actuals'!AU$529:AU$628))</f>
        <v>4690.6377275741252</v>
      </c>
      <c r="AR32" s="668">
        <f ca="1">IF(AR$4="forecast",(AVERAGE(AF32:AQ32)),SUMIF('Dept. Cost Actuals'!$E$7:$E$176,"*Professional Fees*",'Dept. Cost Actuals'!AV$529:AV$628))</f>
        <v>4442.7932037145611</v>
      </c>
      <c r="AS32" s="668">
        <f ca="1">IF(AS$4="forecast",(AVERAGE(AG32:AR32)),SUMIF('Dept. Cost Actuals'!$E$7:$E$176,"*Professional Fees*",'Dept. Cost Actuals'!AW$529:AW$628))</f>
        <v>4210.6505805480274</v>
      </c>
      <c r="AT32" s="668">
        <f ca="1">IF(AT$4="forecast",(AVERAGE(AH32:AS32)),SUMIF('Dept. Cost Actuals'!$E$7:$E$176,"*Professional Fees*",'Dept. Cost Actuals'!AX$529:AX$628))</f>
        <v>3915.11930349461</v>
      </c>
      <c r="AU32" s="668">
        <f ca="1">IF(AU$4="forecast",(AVERAGE(AI32:AT32)),SUMIF('Dept. Cost Actuals'!$E$7:$E$176,"*Professional Fees*",'Dept. Cost Actuals'!AY$529:AY$628))</f>
        <v>3749.0189206784835</v>
      </c>
      <c r="AV32" s="668">
        <f ca="1">IF(AV$4="forecast",(AVERAGE(AJ32:AU32)),SUMIF('Dept. Cost Actuals'!$E$7:$E$176,"*Professional Fees*",'Dept. Cost Actuals'!AZ$529:AZ$628))</f>
        <v>3648.9781316742906</v>
      </c>
      <c r="AW32" s="668">
        <f ca="1">IF(AW$4="forecast",(AVERAGE(AK32:AV32)),SUMIF('Dept. Cost Actuals'!$E$7:$E$176,"*Professional Fees*",'Dept. Cost Actuals'!BA$529:BA$628))</f>
        <v>3594.2342325535751</v>
      </c>
      <c r="AX32" s="668">
        <f ca="1">IF(AX$4="forecast",(AVERAGE(AL32:AW32)),SUMIF('Dept. Cost Actuals'!$E$7:$E$176,"*Professional Fees*",'Dept. Cost Actuals'!BB$529:BB$628))</f>
        <v>3505.175877109446</v>
      </c>
      <c r="AY32" s="668">
        <f ca="1">IF(AY$4="forecast",(AVERAGE(AM32:AX32)),SUMIF('Dept. Cost Actuals'!$E$7:$E$176,"*Professional Fees*",'Dept. Cost Actuals'!BC$529:BC$628))</f>
        <v>3398.5679746985629</v>
      </c>
      <c r="AZ32" s="668">
        <f ca="1">IF(AZ$4="forecast",(AVERAGE(AN32:AY32)),SUMIF('Dept. Cost Actuals'!$E$7:$E$176,"*Professional Fees*",'Dept. Cost Actuals'!BD$529:BD$628))</f>
        <v>3680.9224644059395</v>
      </c>
      <c r="BA32" s="668">
        <f ca="1">IF(BA$4="forecast",(AVERAGE(AO32:AZ32)),SUMIF('Dept. Cost Actuals'!$E$7:$E$176,"*Professional Fees*",'Dept. Cost Actuals'!BE$529:BE$628))</f>
        <v>4035.0690359069172</v>
      </c>
      <c r="BB32" s="668">
        <f ca="1">IF(BB$4="forecast",(AVERAGE(AP32:BA32)),SUMIF('Dept. Cost Actuals'!$E$7:$E$176,"*Professional Fees*",'Dept. Cost Actuals'!BF$529:BF$628))</f>
        <v>3980.6734216552391</v>
      </c>
      <c r="BC32" s="668">
        <f ca="1">IF(BC$4="forecast",(AVERAGE(AQ32:BB32)),SUMIF('Dept. Cost Actuals'!$E$7:$E$176,"*Professional Fees*",'Dept. Cost Actuals'!BG$529:BG$628))</f>
        <v>3904.3200728344818</v>
      </c>
      <c r="BD32" s="668">
        <f ca="1">IF(BD$4="forecast",(AVERAGE(AR32:BC32)),SUMIF('Dept. Cost Actuals'!$E$7:$E$176,"*Professional Fees*",'Dept. Cost Actuals'!BH$529:BH$628))</f>
        <v>3838.7936016061781</v>
      </c>
      <c r="BE32" s="668">
        <f ca="1">IF(BE$4="forecast",(AVERAGE(AS32:BD32)),SUMIF('Dept. Cost Actuals'!$E$7:$E$176,"*Professional Fees*",'Dept. Cost Actuals'!BI$529:BI$628))</f>
        <v>3788.4603014304789</v>
      </c>
      <c r="BF32" s="668">
        <f ca="1">IF(BF$4="forecast",(AVERAGE(AT32:BE32)),SUMIF('Dept. Cost Actuals'!$E$7:$E$176,"*Professional Fees*",'Dept. Cost Actuals'!BJ$529:BJ$628))</f>
        <v>3753.2777781706832</v>
      </c>
      <c r="BG32" s="668">
        <f ca="1">IF(BG$4="forecast",(AVERAGE(AU32:BF32)),SUMIF('Dept. Cost Actuals'!$E$7:$E$176,"*Professional Fees*",'Dept. Cost Actuals'!BK$529:BK$628))</f>
        <v>3739.79098439369</v>
      </c>
      <c r="BH32" s="668">
        <f ca="1">IF(BH$4="forecast",(AVERAGE(AV32:BG32)),SUMIF('Dept. Cost Actuals'!$E$7:$E$176,"*Professional Fees*",'Dept. Cost Actuals'!BL$529:BL$628))</f>
        <v>3739.0219897032898</v>
      </c>
      <c r="BI32" s="668">
        <f ca="1">IF(BI$4="forecast",(AVERAGE(AW32:BH32)),SUMIF('Dept. Cost Actuals'!$E$7:$E$176,"*Professional Fees*",'Dept. Cost Actuals'!BM$529:BM$628))</f>
        <v>3746.5256445390401</v>
      </c>
      <c r="BJ32" s="668">
        <f ca="1">IF(BJ$4="forecast",(AVERAGE(AX32:BI32)),SUMIF('Dept. Cost Actuals'!$E$7:$E$176,"*Professional Fees*",'Dept. Cost Actuals'!BN$529:BN$628))</f>
        <v>3759.2165955378282</v>
      </c>
      <c r="BK32" s="668">
        <f ca="1">IF(BK$4="forecast",(AVERAGE(AY32:BJ32)),SUMIF('Dept. Cost Actuals'!$E$7:$E$176,"*Professional Fees*",'Dept. Cost Actuals'!BO$529:BO$628))</f>
        <v>3780.3866554068609</v>
      </c>
      <c r="BL32" s="668">
        <f ca="1">IF(BL$4="forecast",(AVERAGE(AZ32:BK32)),SUMIF('Dept. Cost Actuals'!$E$7:$E$176,"*Professional Fees*",'Dept. Cost Actuals'!BP$529:BP$628))</f>
        <v>3812.2048787992189</v>
      </c>
      <c r="BM32" s="668">
        <f ca="1">IF(BM$4="forecast",(AVERAGE(BA32:BL32)),SUMIF('Dept. Cost Actuals'!$E$7:$E$176,"*Professional Fees*",'Dept. Cost Actuals'!BQ$529:BQ$628))</f>
        <v>3823.1450799986583</v>
      </c>
      <c r="BN32" s="668">
        <f ca="1">IF(BN$4="forecast",(AVERAGE(BB32:BM32)),SUMIF('Dept. Cost Actuals'!$E$7:$E$176,"*Professional Fees*",'Dept. Cost Actuals'!BR$529:BR$628))</f>
        <v>3805.4847503396372</v>
      </c>
      <c r="BO32" s="668">
        <f ca="1">IF(BO$4="forecast",(AVERAGE(BC32:BN32)),SUMIF('Dept. Cost Actuals'!$E$7:$E$176,"*Professional Fees*",'Dept. Cost Actuals'!BS$529:BS$628))</f>
        <v>3790.8856943966707</v>
      </c>
      <c r="BP32" s="668">
        <f ca="1">IF(BP$4="forecast",(AVERAGE(BD32:BO32)),SUMIF('Dept. Cost Actuals'!$E$7:$E$176,"*Professional Fees*",'Dept. Cost Actuals'!BT$529:BT$628))</f>
        <v>3781.4328295268529</v>
      </c>
      <c r="BQ32" s="668">
        <f ca="1">IF(BQ$4="forecast",(AVERAGE(BE32:BP32)),SUMIF('Dept. Cost Actuals'!$E$7:$E$176,"*Professional Fees*",'Dept. Cost Actuals'!BU$529:BU$628))</f>
        <v>3776.6527651869087</v>
      </c>
      <c r="BR32" s="668">
        <f ca="1">IF(BR$4="forecast",(AVERAGE(BF32:BQ32)),SUMIF('Dept. Cost Actuals'!$E$7:$E$176,"*Professional Fees*",'Dept. Cost Actuals'!BV$529:BV$628))</f>
        <v>3775.6688038332777</v>
      </c>
      <c r="BS32" s="668">
        <f ca="1">IF(BS$4="forecast",(AVERAGE(BG32:BR32)),SUMIF('Dept. Cost Actuals'!$E$7:$E$176,"*Professional Fees*",'Dept. Cost Actuals'!BW$529:BW$628))</f>
        <v>3777.5347226384947</v>
      </c>
      <c r="BT32" s="668">
        <f ca="1">IF(BT$4="forecast",(AVERAGE(BH32:BS32)),SUMIF('Dept. Cost Actuals'!$E$7:$E$176,"*Professional Fees*",'Dept. Cost Actuals'!BX$529:BX$628))</f>
        <v>3780.6800341588955</v>
      </c>
      <c r="BU32" s="668">
        <f ca="1">IF(BU$4="forecast",(AVERAGE(BI32:BT32)),SUMIF('Dept. Cost Actuals'!$E$7:$E$176,"*Professional Fees*",'Dept. Cost Actuals'!BY$529:BY$628))</f>
        <v>3784.151537863529</v>
      </c>
      <c r="BV32" s="790">
        <f ca="1">IF(BV$4="forecast",(AVERAGE(BJ32:BU32)),SUMIF('Dept. Cost Actuals'!$E$7:$E$176,"*Professional Fees*",'Dept. Cost Actuals'!BZ$529:BZ$628))</f>
        <v>3787.2870289739035</v>
      </c>
    </row>
    <row r="33" spans="2:74" x14ac:dyDescent="0.25">
      <c r="B33" s="794" t="s">
        <v>919</v>
      </c>
      <c r="C33" s="668">
        <f ca="1">IF(C$4="forecast",AVERAGE(#REF!),SUMIF('Dept. Cost Actuals'!$E$7:$E$176,"*Conferences*",'Dept. Cost Actuals'!G$529:G$628))</f>
        <v>0</v>
      </c>
      <c r="D33" s="668">
        <f ca="1">IF(D$4="forecast",AVERAGE(#REF!),SUMIF('Dept. Cost Actuals'!$E$7:$E$176,"*Conferences*",'Dept. Cost Actuals'!H$529:H$628))</f>
        <v>0</v>
      </c>
      <c r="E33" s="668">
        <f ca="1">IF(E$4="forecast",AVERAGE(#REF!),SUMIF('Dept. Cost Actuals'!$E$7:$E$176,"*Conferences*",'Dept. Cost Actuals'!I$529:I$628))</f>
        <v>0</v>
      </c>
      <c r="F33" s="668">
        <f ca="1">IF(F$4="forecast",AVERAGE(#REF!),SUMIF('Dept. Cost Actuals'!$E$7:$E$176,"*Conferences*",'Dept. Cost Actuals'!J$529:J$628))</f>
        <v>0</v>
      </c>
      <c r="G33" s="668">
        <f ca="1">IF(G$4="forecast",AVERAGE(#REF!),SUMIF('Dept. Cost Actuals'!$E$7:$E$176,"*Conferences*",'Dept. Cost Actuals'!K$529:K$628))</f>
        <v>0</v>
      </c>
      <c r="H33" s="668">
        <f ca="1">IF(H$4="forecast",AVERAGE(#REF!),SUMIF('Dept. Cost Actuals'!$E$7:$E$176,"*Conferences*",'Dept. Cost Actuals'!L$529:L$628))</f>
        <v>0</v>
      </c>
      <c r="I33" s="668">
        <f ca="1">IF(I$4="forecast",AVERAGE(#REF!),SUMIF('Dept. Cost Actuals'!$E$7:$E$176,"*Conferences*",'Dept. Cost Actuals'!M$529:M$628))</f>
        <v>11.492950582797899</v>
      </c>
      <c r="J33" s="668">
        <f ca="1">IF(J$4="forecast",AVERAGE(#REF!),SUMIF('Dept. Cost Actuals'!$E$7:$E$176,"*Conferences*",'Dept. Cost Actuals'!N$529:N$628))</f>
        <v>0</v>
      </c>
      <c r="K33" s="668">
        <f ca="1">IF(K$4="forecast",AVERAGE(#REF!),SUMIF('Dept. Cost Actuals'!$E$7:$E$176,"*Conferences*",'Dept. Cost Actuals'!O$529:O$628))</f>
        <v>7.7927115840050964</v>
      </c>
      <c r="L33" s="668">
        <f ca="1">IF(L$4="forecast",AVERAGE(#REF!),SUMIF('Dept. Cost Actuals'!$E$7:$E$176,"*Conferences*",'Dept. Cost Actuals'!P$529:P$628))</f>
        <v>8.8968173694925294</v>
      </c>
      <c r="M33" s="668">
        <f ca="1">IF(M$4="forecast",AVERAGE(A33:L33),SUMIF('Dept. Cost Actuals'!$E$7:$E$176,"*Conferences*",'Dept. Cost Actuals'!Q$529:Q$628))</f>
        <v>0</v>
      </c>
      <c r="N33" s="668">
        <f ca="1">IF(N$4="forecast",AVERAGE(B33:M33),SUMIF('Dept. Cost Actuals'!$E$7:$E$176,"*Conferences*",'Dept. Cost Actuals'!R$529:R$628))</f>
        <v>0</v>
      </c>
      <c r="O33" s="668">
        <f ca="1">IF(O$4="forecast",AVERAGE(C33:N33),SUMIF('Dept. Cost Actuals'!$E$7:$E$176,"*Conferences*",'Dept. Cost Actuals'!S$529:S$628))</f>
        <v>0</v>
      </c>
      <c r="P33" s="668">
        <f ca="1">IF(P$4="forecast",AVERAGE(D33:O33),SUMIF('Dept. Cost Actuals'!$E$7:$E$176,"*Conferences*",'Dept. Cost Actuals'!T$529:T$628))</f>
        <v>0</v>
      </c>
      <c r="Q33" s="668">
        <f ca="1">IF(Q$4="forecast",AVERAGE(E33:P33),SUMIF('Dept. Cost Actuals'!$E$7:$E$176,"*Conferences*",'Dept. Cost Actuals'!U$529:U$628))</f>
        <v>0</v>
      </c>
      <c r="R33" s="668">
        <f ca="1">IF(R$4="forecast",AVERAGE(F33:Q33),SUMIF('Dept. Cost Actuals'!$E$7:$E$176,"*Conferences*",'Dept. Cost Actuals'!V$529:V$628))</f>
        <v>0</v>
      </c>
      <c r="S33" s="668">
        <f ca="1">IF(S$4="forecast",AVERAGE(G33:R33),SUMIF('Dept. Cost Actuals'!$E$7:$E$176,"*Conferences*",'Dept. Cost Actuals'!W$529:W$628))</f>
        <v>0</v>
      </c>
      <c r="T33" s="668">
        <f ca="1">IF(T$4="forecast",AVERAGE(H33:S33),SUMIF('Dept. Cost Actuals'!$E$7:$E$176,"*Conferences*",'Dept. Cost Actuals'!X$529:X$628))</f>
        <v>23.99</v>
      </c>
      <c r="U33" s="668">
        <f ca="1">IF(U$4="forecast",AVERAGE(I33:T33),SUMIF('Dept. Cost Actuals'!$E$7:$E$176,"*Conferences*",'Dept. Cost Actuals'!Y$529:Y$628))</f>
        <v>0</v>
      </c>
      <c r="V33" s="668">
        <f ca="1">IF(V$4="forecast",AVERAGE(J33:U33),SUMIF('Dept. Cost Actuals'!$E$7:$E$176,"*Conferences*",'Dept. Cost Actuals'!Z$529:Z$628))</f>
        <v>0</v>
      </c>
      <c r="W33" s="668">
        <f ca="1">IF(W$4="forecast",AVERAGE(K33:V33),SUMIF('Dept. Cost Actuals'!$E$7:$E$176,"*Conferences*",'Dept. Cost Actuals'!AA$529:AA$628))</f>
        <v>0</v>
      </c>
      <c r="X33" s="668">
        <f ca="1">IF(X$4="forecast",AVERAGE(L33:W33),SUMIF('Dept. Cost Actuals'!$E$7:$E$176,"*Conferences*",'Dept. Cost Actuals'!AB$529:AB$628))</f>
        <v>0</v>
      </c>
      <c r="Y33" s="668">
        <f ca="1">IF(Y$4="forecast",AVERAGE(M33:X33),SUMIF('Dept. Cost Actuals'!$E$7:$E$176,"*Conferences*",'Dept. Cost Actuals'!AC$529:AC$628))</f>
        <v>0</v>
      </c>
      <c r="Z33" s="668">
        <f ca="1">IF(Z$4="forecast",AVERAGE(N33:Y33),SUMIF('Dept. Cost Actuals'!$E$7:$E$176,"*Conferences*",'Dept. Cost Actuals'!AD$529:AD$628))</f>
        <v>0</v>
      </c>
      <c r="AA33" s="668">
        <f ca="1">IF(AA$4="forecast",AVERAGE(O33:Z33),SUMIF('Dept. Cost Actuals'!$E$7:$E$176,"*Conferences*",'Dept. Cost Actuals'!AE$529:AE$628))</f>
        <v>0</v>
      </c>
      <c r="AB33" s="668">
        <f ca="1">IF(AB$4="forecast",AVERAGE(P33:AA33),SUMIF('Dept. Cost Actuals'!$E$7:$E$176,"*Conferences*",'Dept. Cost Actuals'!AF$529:AF$628))</f>
        <v>0</v>
      </c>
      <c r="AC33" s="668">
        <f ca="1">IF(AC$4="forecast",AVERAGE(Q33:AB33),SUMIF('Dept. Cost Actuals'!$E$7:$E$176,"*Conferences*",'Dept. Cost Actuals'!AG$529:AG$628))</f>
        <v>0</v>
      </c>
      <c r="AD33" s="668">
        <f ca="1">IF(AD$4="forecast",AVERAGE(R33:AC33),SUMIF('Dept. Cost Actuals'!$E$7:$E$176,"*Conferences*",'Dept. Cost Actuals'!AH$529:AH$628))</f>
        <v>1.9991666666666665</v>
      </c>
      <c r="AE33" s="668">
        <f ca="1">IF(AE$4="forecast",AVERAGE(S33:AD33),SUMIF('Dept. Cost Actuals'!$E$7:$E$176,"*Conferences*",'Dept. Cost Actuals'!AI$529:AI$628))</f>
        <v>2.1657638888888888</v>
      </c>
      <c r="AF33" s="668">
        <f ca="1">IF(AF$4="forecast",AVERAGE(T33:AE33),SUMIF('Dept. Cost Actuals'!$E$7:$E$176,"*Conferences*",'Dept. Cost Actuals'!AJ$529:AJ$628))</f>
        <v>2.3462442129629628</v>
      </c>
      <c r="AG33" s="668">
        <f ca="1">IF(AG$4="forecast",AVERAGE(U33:AF33),SUMIF('Dept. Cost Actuals'!$E$7:$E$176,"*Conferences*",'Dept. Cost Actuals'!AK$529:AK$628))</f>
        <v>0.54259789737654318</v>
      </c>
      <c r="AH33" s="668">
        <f ca="1">IF(AH$4="forecast",AVERAGE(V33:AG33),SUMIF('Dept. Cost Actuals'!$E$7:$E$176,"*Conferences*",'Dept. Cost Actuals'!AL$529:AL$628))</f>
        <v>0.58781438882458847</v>
      </c>
      <c r="AI33" s="668">
        <f ca="1">IF(AI$4="forecast",AVERAGE(W33:AH33),SUMIF('Dept. Cost Actuals'!$E$7:$E$176,"*Conferences*",'Dept. Cost Actuals'!AM$529:AM$628))</f>
        <v>0.6367989212266375</v>
      </c>
      <c r="AJ33" s="668">
        <f ca="1">IF(AJ$4="forecast",AVERAGE(X33:AI33),SUMIF('Dept. Cost Actuals'!$E$7:$E$176,"*Conferences*",'Dept. Cost Actuals'!AN$529:AN$628))</f>
        <v>0.68986549799552399</v>
      </c>
      <c r="AK33" s="668">
        <f ca="1">IF(AK$4="forecast",AVERAGE(Y33:AJ33),SUMIF('Dept. Cost Actuals'!$E$7:$E$176,"*Conferences*",'Dept. Cost Actuals'!AO$529:AO$628))</f>
        <v>0.74735428949515093</v>
      </c>
      <c r="AL33" s="668">
        <f ca="1">IF(AL$4="forecast",AVERAGE(Z33:AK33),SUMIF('Dept. Cost Actuals'!$E$7:$E$176,"*Conferences*",'Dept. Cost Actuals'!AP$529:AP$628))</f>
        <v>0.80963381361974684</v>
      </c>
      <c r="AM33" s="668">
        <f ca="1">IF(AM$4="forecast",AVERAGE(AA33:AL33),SUMIF('Dept. Cost Actuals'!$E$7:$E$176,"*Conferences*",'Dept. Cost Actuals'!AQ$529:AQ$628))</f>
        <v>0.87710329808805909</v>
      </c>
      <c r="AN33" s="668">
        <f ca="1">IF(AN$4="forecast",AVERAGE(AB33:AM33),SUMIF('Dept. Cost Actuals'!$E$7:$E$176,"*Conferences*",'Dept. Cost Actuals'!AR$529:AR$628))</f>
        <v>0.95019523959539731</v>
      </c>
      <c r="AO33" s="668">
        <f ca="1">IF(AO$4="forecast",AVERAGE(AC33:AN33),SUMIF('Dept. Cost Actuals'!$E$7:$E$176,"*Conferences*",'Dept. Cost Actuals'!AS$529:AS$628))</f>
        <v>1.0293781762283472</v>
      </c>
      <c r="AP33" s="668">
        <f ca="1">IF(AP$4="forecast",AVERAGE(AD33:AO33),SUMIF('Dept. Cost Actuals'!$E$7:$E$176,"*Conferences*",'Dept. Cost Actuals'!AT$529:AT$628))</f>
        <v>1.1151596909140427</v>
      </c>
      <c r="AQ33" s="668">
        <f ca="1">IF(AQ$4="forecast",AVERAGE(AE33:AP33),SUMIF('Dept. Cost Actuals'!$E$7:$E$176,"*Conferences*",'Dept. Cost Actuals'!AU$529:AU$628))</f>
        <v>1.0414924429346575</v>
      </c>
      <c r="AR33" s="668">
        <f ca="1">IF(AR$4="forecast",AVERAGE(AF33:AQ33),SUMIF('Dept. Cost Actuals'!$E$7:$E$176,"*Conferences*",'Dept. Cost Actuals'!AV$529:AV$628))</f>
        <v>0.94780315577180474</v>
      </c>
      <c r="AS33" s="668">
        <f ca="1">IF(AS$4="forecast",AVERAGE(AG33:AR33),SUMIF('Dept. Cost Actuals'!$E$7:$E$176,"*Conferences*",'Dept. Cost Actuals'!AW$529:AW$628))</f>
        <v>0.83126640100587501</v>
      </c>
      <c r="AT33" s="668">
        <f ca="1">IF(AT$4="forecast",AVERAGE(AH33:AS33),SUMIF('Dept. Cost Actuals'!$E$7:$E$176,"*Conferences*",'Dept. Cost Actuals'!AX$529:AX$628))</f>
        <v>0.85532210964165267</v>
      </c>
      <c r="AU33" s="668">
        <f ca="1">IF(AU$4="forecast",AVERAGE(AI33:AT33),SUMIF('Dept. Cost Actuals'!$E$7:$E$176,"*Conferences*",'Dept. Cost Actuals'!AY$529:AY$628))</f>
        <v>0.87761441970974141</v>
      </c>
      <c r="AV33" s="668">
        <f ca="1">IF(AV$4="forecast",AVERAGE(AJ33:AU33),SUMIF('Dept. Cost Actuals'!$E$7:$E$176,"*Conferences*",'Dept. Cost Actuals'!AZ$529:AZ$628))</f>
        <v>0.89768237791666661</v>
      </c>
      <c r="AW33" s="668">
        <f ca="1">IF(AW$4="forecast",AVERAGE(AK33:AV33),SUMIF('Dept. Cost Actuals'!$E$7:$E$176,"*Conferences*",'Dept. Cost Actuals'!BA$529:BA$628))</f>
        <v>0.91500045124342855</v>
      </c>
      <c r="AX33" s="668">
        <f ca="1">IF(AX$4="forecast",AVERAGE(AL33:AW33),SUMIF('Dept. Cost Actuals'!$E$7:$E$176,"*Conferences*",'Dept. Cost Actuals'!BB$529:BB$628))</f>
        <v>0.92897096472245178</v>
      </c>
      <c r="AY33" s="668">
        <f ca="1">IF(AY$4="forecast",AVERAGE(AM33:AX33),SUMIF('Dept. Cost Actuals'!$E$7:$E$176,"*Conferences*",'Dept. Cost Actuals'!BC$529:BC$628))</f>
        <v>0.93891572731434392</v>
      </c>
      <c r="AZ33" s="668">
        <f ca="1">IF(AZ$4="forecast",AVERAGE(AN33:AY33),SUMIF('Dept. Cost Actuals'!$E$7:$E$176,"*Conferences*",'Dept. Cost Actuals'!BD$529:BD$628))</f>
        <v>0.94406676308320092</v>
      </c>
      <c r="BA33" s="668">
        <f ca="1">IF(BA$4="forecast",AVERAGE(AO33:AZ33),SUMIF('Dept. Cost Actuals'!$E$7:$E$176,"*Conferences*",'Dept. Cost Actuals'!BE$529:BE$628))</f>
        <v>0.94355605670718445</v>
      </c>
      <c r="BB33" s="668">
        <f ca="1">IF(BB$4="forecast",AVERAGE(AP33:BA33),SUMIF('Dept. Cost Actuals'!$E$7:$E$176,"*Conferences*",'Dept. Cost Actuals'!BF$529:BF$628))</f>
        <v>0.93640421341375413</v>
      </c>
      <c r="BC33" s="668">
        <f ca="1">IF(BC$4="forecast",AVERAGE(AQ33:BB33),SUMIF('Dept. Cost Actuals'!$E$7:$E$176,"*Conferences*",'Dept. Cost Actuals'!BG$529:BG$628))</f>
        <v>0.92150792362206346</v>
      </c>
      <c r="BD33" s="668">
        <f ca="1">IF(BD$4="forecast",AVERAGE(AR33:BC33),SUMIF('Dept. Cost Actuals'!$E$7:$E$176,"*Conferences*",'Dept. Cost Actuals'!BH$529:BH$628))</f>
        <v>0.91150921367934723</v>
      </c>
      <c r="BE33" s="668">
        <f ca="1">IF(BE$4="forecast",AVERAGE(AS33:BD33),SUMIF('Dept. Cost Actuals'!$E$7:$E$176,"*Conferences*",'Dept. Cost Actuals'!BI$529:BI$628))</f>
        <v>0.9084847185049757</v>
      </c>
      <c r="BF33" s="668">
        <f ca="1">IF(BF$4="forecast",AVERAGE(AT33:BE33),SUMIF('Dept. Cost Actuals'!$E$7:$E$176,"*Conferences*",'Dept. Cost Actuals'!BJ$529:BJ$628))</f>
        <v>0.91491957829656767</v>
      </c>
      <c r="BG33" s="668">
        <f ca="1">IF(BG$4="forecast",AVERAGE(AU33:BF33),SUMIF('Dept. Cost Actuals'!$E$7:$E$176,"*Conferences*",'Dept. Cost Actuals'!BK$529:BK$628))</f>
        <v>0.91988603401781044</v>
      </c>
      <c r="BH33" s="668">
        <f ca="1">IF(BH$4="forecast",AVERAGE(AV33:BG33),SUMIF('Dept. Cost Actuals'!$E$7:$E$176,"*Conferences*",'Dept. Cost Actuals'!BL$529:BL$628))</f>
        <v>0.92340866854348291</v>
      </c>
      <c r="BI33" s="668">
        <f ca="1">IF(BI$4="forecast",AVERAGE(AW33:BH33),SUMIF('Dept. Cost Actuals'!$E$7:$E$176,"*Conferences*",'Dept. Cost Actuals'!BM$529:BM$628))</f>
        <v>0.92555252609571748</v>
      </c>
      <c r="BJ33" s="668">
        <f ca="1">IF(BJ$4="forecast",AVERAGE(AX33:BI33),SUMIF('Dept. Cost Actuals'!$E$7:$E$176,"*Conferences*",'Dept. Cost Actuals'!BN$529:BN$628))</f>
        <v>0.92643186566674174</v>
      </c>
      <c r="BK33" s="668">
        <f ca="1">IF(BK$4="forecast",AVERAGE(AY33:BJ33),SUMIF('Dept. Cost Actuals'!$E$7:$E$176,"*Conferences*",'Dept. Cost Actuals'!BO$529:BO$628))</f>
        <v>0.92622027407876573</v>
      </c>
      <c r="BL33" s="668">
        <f ca="1">IF(BL$4="forecast",AVERAGE(AZ33:BK33),SUMIF('Dept. Cost Actuals'!$E$7:$E$176,"*Conferences*",'Dept. Cost Actuals'!BP$529:BP$628))</f>
        <v>0.92516231964246753</v>
      </c>
      <c r="BM33" s="668">
        <f ca="1">IF(BM$4="forecast",AVERAGE(BA33:BL33),SUMIF('Dept. Cost Actuals'!$E$7:$E$176,"*Conferences*",'Dept. Cost Actuals'!BQ$529:BQ$628))</f>
        <v>0.92358694935573971</v>
      </c>
      <c r="BN33" s="668">
        <f ca="1">IF(BN$4="forecast",AVERAGE(BB33:BM33),SUMIF('Dept. Cost Actuals'!$E$7:$E$176,"*Conferences*",'Dept. Cost Actuals'!BR$529:BR$628))</f>
        <v>0.92192285707645283</v>
      </c>
      <c r="BO33" s="668">
        <f ca="1">IF(BO$4="forecast",AVERAGE(BC33:BN33),SUMIF('Dept. Cost Actuals'!$E$7:$E$176,"*Conferences*",'Dept. Cost Actuals'!BS$529:BS$628))</f>
        <v>0.92071607738167771</v>
      </c>
      <c r="BP33" s="668">
        <f ca="1">IF(BP$4="forecast",AVERAGE(BD33:BO33),SUMIF('Dept. Cost Actuals'!$E$7:$E$176,"*Conferences*",'Dept. Cost Actuals'!BT$529:BT$628))</f>
        <v>0.9206500901949789</v>
      </c>
      <c r="BQ33" s="668">
        <f ca="1">IF(BQ$4="forecast",AVERAGE(BE33:BP33),SUMIF('Dept. Cost Actuals'!$E$7:$E$176,"*Conferences*",'Dept. Cost Actuals'!BU$529:BU$628))</f>
        <v>0.9214118299046149</v>
      </c>
      <c r="BR33" s="668">
        <f ca="1">IF(BR$4="forecast",AVERAGE(BF33:BQ33),SUMIF('Dept. Cost Actuals'!$E$7:$E$176,"*Conferences*",'Dept. Cost Actuals'!BV$529:BV$628))</f>
        <v>0.92248908918791817</v>
      </c>
      <c r="BS33" s="668">
        <f ca="1">IF(BS$4="forecast",AVERAGE(BG33:BR33),SUMIF('Dept. Cost Actuals'!$E$7:$E$176,"*Conferences*",'Dept. Cost Actuals'!BW$529:BW$628))</f>
        <v>0.92311988176219739</v>
      </c>
      <c r="BT33" s="668">
        <f ca="1">IF(BT$4="forecast",AVERAGE(BH33:BS33),SUMIF('Dept. Cost Actuals'!$E$7:$E$176,"*Conferences*",'Dept. Cost Actuals'!BX$529:BX$628))</f>
        <v>0.92338936907422964</v>
      </c>
      <c r="BU33" s="668">
        <f ca="1">IF(BU$4="forecast",AVERAGE(BI33:BT33),SUMIF('Dept. Cost Actuals'!$E$7:$E$176,"*Conferences*",'Dept. Cost Actuals'!BY$529:BY$628))</f>
        <v>0.92338776078512508</v>
      </c>
      <c r="BV33" s="790">
        <f ca="1">IF(BV$4="forecast",AVERAGE(BJ33:BU33),SUMIF('Dept. Cost Actuals'!$E$7:$E$176,"*Conferences*",'Dept. Cost Actuals'!BZ$529:BZ$628))</f>
        <v>0.92320736367590917</v>
      </c>
    </row>
    <row r="34" spans="2:74" x14ac:dyDescent="0.25">
      <c r="B34" s="794" t="s">
        <v>940</v>
      </c>
      <c r="C34" s="668">
        <f ca="1">IF(C$4="forecast",AVERAGE(#REF!),SUMIF('Dept. Cost Actuals'!$E$7:$E$176,"*Books and Periodicals*",'Dept. Cost Actuals'!G$529:G$628))</f>
        <v>0</v>
      </c>
      <c r="D34" s="668">
        <f ca="1">IF(D$4="forecast",AVERAGE(#REF!),SUMIF('Dept. Cost Actuals'!$E$7:$E$176,"*Books and Periodicals*",'Dept. Cost Actuals'!H$529:H$628))</f>
        <v>1.2901486307198837</v>
      </c>
      <c r="E34" s="668">
        <f ca="1">IF(E$4="forecast",AVERAGE(#REF!),SUMIF('Dept. Cost Actuals'!$E$7:$E$176,"*Books and Periodicals*",'Dept. Cost Actuals'!I$529:I$628))</f>
        <v>0.24617068856341651</v>
      </c>
      <c r="F34" s="668">
        <f ca="1">IF(F$4="forecast",AVERAGE(#REF!),SUMIF('Dept. Cost Actuals'!$E$7:$E$176,"*Books and Periodicals*",'Dept. Cost Actuals'!J$529:J$628))</f>
        <v>1.8790205295375235</v>
      </c>
      <c r="G34" s="668">
        <f ca="1">IF(G$4="forecast",AVERAGE(#REF!),SUMIF('Dept. Cost Actuals'!$E$7:$E$176,"*Books and Periodicals*",'Dept. Cost Actuals'!K$529:K$628))</f>
        <v>0.10097224824392792</v>
      </c>
      <c r="H34" s="668">
        <f ca="1">IF(H$4="forecast",AVERAGE(#REF!),SUMIF('Dept. Cost Actuals'!$E$7:$E$176,"*Books and Periodicals*",'Dept. Cost Actuals'!L$529:L$628))</f>
        <v>2.8985221787487263</v>
      </c>
      <c r="I34" s="668">
        <f ca="1">IF(I$4="forecast",AVERAGE(#REF!),SUMIF('Dept. Cost Actuals'!$E$7:$E$176,"*Books and Periodicals*",'Dept. Cost Actuals'!M$529:M$628))</f>
        <v>0.12433487796805044</v>
      </c>
      <c r="J34" s="668">
        <f ca="1">IF(J$4="forecast",AVERAGE(#REF!),SUMIF('Dept. Cost Actuals'!$E$7:$E$176,"*Books and Periodicals*",'Dept. Cost Actuals'!N$529:N$628))</f>
        <v>1.4757630029416444</v>
      </c>
      <c r="K34" s="668">
        <f ca="1">IF(K$4="forecast",AVERAGE(#REF!),SUMIF('Dept. Cost Actuals'!$E$7:$E$176,"*Books and Periodicals*",'Dept. Cost Actuals'!O$529:O$628))</f>
        <v>1.1297483618911388</v>
      </c>
      <c r="L34" s="668">
        <f ca="1">IF(L$4="forecast",AVERAGE(#REF!),SUMIF('Dept. Cost Actuals'!$E$7:$E$176,"*Books and Periodicals*",'Dept. Cost Actuals'!P$529:P$628))</f>
        <v>7.0825628987797531</v>
      </c>
      <c r="M34" s="668">
        <f ca="1">IF(M$4="forecast",AVERAGE(A34:L34),SUMIF('Dept. Cost Actuals'!$E$7:$E$176,"*Books and Periodicals*",'Dept. Cost Actuals'!Q$529:Q$628))</f>
        <v>0</v>
      </c>
      <c r="N34" s="668">
        <f ca="1">IF(N$4="forecast",AVERAGE(B34:M34),SUMIF('Dept. Cost Actuals'!$E$7:$E$176,"*Books and Periodicals*",'Dept. Cost Actuals'!R$529:R$628))</f>
        <v>0</v>
      </c>
      <c r="O34" s="668">
        <f ca="1">IF(O$4="forecast",AVERAGE(C34:N34),SUMIF('Dept. Cost Actuals'!$E$7:$E$176,"*Books and Periodicals*",'Dept. Cost Actuals'!S$529:S$628))</f>
        <v>0</v>
      </c>
      <c r="P34" s="668">
        <f ca="1">IF(P$4="forecast",AVERAGE(D34:O34),SUMIF('Dept. Cost Actuals'!$E$7:$E$176,"*Books and Periodicals*",'Dept. Cost Actuals'!T$529:T$628))</f>
        <v>54.99</v>
      </c>
      <c r="Q34" s="668">
        <f ca="1">IF(Q$4="forecast",AVERAGE(E34:P34),SUMIF('Dept. Cost Actuals'!$E$7:$E$176,"*Books and Periodicals*",'Dept. Cost Actuals'!U$529:U$628))</f>
        <v>0</v>
      </c>
      <c r="R34" s="668">
        <f ca="1">IF(R$4="forecast",AVERAGE(F34:Q34),SUMIF('Dept. Cost Actuals'!$E$7:$E$176,"*Books and Periodicals*",'Dept. Cost Actuals'!V$529:V$628))</f>
        <v>0</v>
      </c>
      <c r="S34" s="668">
        <f ca="1">IF(S$4="forecast",AVERAGE(G34:R34),SUMIF('Dept. Cost Actuals'!$E$7:$E$176,"*Books and Periodicals*",'Dept. Cost Actuals'!W$529:W$628))</f>
        <v>0</v>
      </c>
      <c r="T34" s="668">
        <f ca="1">IF(T$4="forecast",AVERAGE(H34:S34),SUMIF('Dept. Cost Actuals'!$E$7:$E$176,"*Books and Periodicals*",'Dept. Cost Actuals'!X$529:X$628))</f>
        <v>0</v>
      </c>
      <c r="U34" s="668">
        <f ca="1">IF(U$4="forecast",AVERAGE(I34:T34),SUMIF('Dept. Cost Actuals'!$E$7:$E$176,"*Books and Periodicals*",'Dept. Cost Actuals'!Y$529:Y$628))</f>
        <v>0</v>
      </c>
      <c r="V34" s="668">
        <f ca="1">IF(V$4="forecast",AVERAGE(J34:U34),SUMIF('Dept. Cost Actuals'!$E$7:$E$176,"*Books and Periodicals*",'Dept. Cost Actuals'!Z$529:Z$628))</f>
        <v>0</v>
      </c>
      <c r="W34" s="668">
        <f ca="1">IF(W$4="forecast",AVERAGE(K34:V34),SUMIF('Dept. Cost Actuals'!$E$7:$E$176,"*Books and Periodicals*",'Dept. Cost Actuals'!AA$529:AA$628))</f>
        <v>0</v>
      </c>
      <c r="X34" s="668">
        <f ca="1">IF(X$4="forecast",AVERAGE(L34:W34),SUMIF('Dept. Cost Actuals'!$E$7:$E$176,"*Books and Periodicals*",'Dept. Cost Actuals'!AB$529:AB$628))</f>
        <v>0</v>
      </c>
      <c r="Y34" s="668">
        <f ca="1">IF(Y$4="forecast",AVERAGE(M34:X34),SUMIF('Dept. Cost Actuals'!$E$7:$E$176,"*Books and Periodicals*",'Dept. Cost Actuals'!AC$529:AC$628))</f>
        <v>0</v>
      </c>
      <c r="Z34" s="668">
        <f ca="1">IF(Z$4="forecast",AVERAGE(N34:Y34),SUMIF('Dept. Cost Actuals'!$E$7:$E$176,"*Books and Periodicals*",'Dept. Cost Actuals'!AD$529:AD$628))</f>
        <v>0</v>
      </c>
      <c r="AA34" s="668">
        <f ca="1">IF(AA$4="forecast",AVERAGE(O34:Z34),SUMIF('Dept. Cost Actuals'!$E$7:$E$176,"*Books and Periodicals*",'Dept. Cost Actuals'!AE$529:AE$628))</f>
        <v>0</v>
      </c>
      <c r="AB34" s="668">
        <f ca="1">IF(AB$4="forecast",AVERAGE(P34:AA34),SUMIF('Dept. Cost Actuals'!$E$7:$E$176,"*Books and Periodicals*",'Dept. Cost Actuals'!AF$529:AF$628))</f>
        <v>0</v>
      </c>
      <c r="AC34" s="668">
        <f ca="1">IF(AC$4="forecast",AVERAGE(Q34:AB34),SUMIF('Dept. Cost Actuals'!$E$7:$E$176,"*Books and Periodicals*",'Dept. Cost Actuals'!AG$529:AG$628))</f>
        <v>0</v>
      </c>
      <c r="AD34" s="668">
        <f ca="1">IF(AD$4="forecast",AVERAGE(R34:AC34),SUMIF('Dept. Cost Actuals'!$E$7:$E$176,"*Books and Periodicals*",'Dept. Cost Actuals'!AH$529:AH$628))</f>
        <v>0</v>
      </c>
      <c r="AE34" s="668">
        <f ca="1">IF(AE$4="forecast",AVERAGE(S34:AD34),SUMIF('Dept. Cost Actuals'!$E$7:$E$176,"*Books and Periodicals*",'Dept. Cost Actuals'!AI$529:AI$628))</f>
        <v>0</v>
      </c>
      <c r="AF34" s="668">
        <f ca="1">IF(AF$4="forecast",AVERAGE(T34:AE34),SUMIF('Dept. Cost Actuals'!$E$7:$E$176,"*Books and Periodicals*",'Dept. Cost Actuals'!AJ$529:AJ$628))</f>
        <v>0</v>
      </c>
      <c r="AG34" s="668">
        <f ca="1">IF(AG$4="forecast",AVERAGE(U34:AF34),SUMIF('Dept. Cost Actuals'!$E$7:$E$176,"*Books and Periodicals*",'Dept. Cost Actuals'!AK$529:AK$628))</f>
        <v>0</v>
      </c>
      <c r="AH34" s="668">
        <f ca="1">IF(AH$4="forecast",AVERAGE(V34:AG34),SUMIF('Dept. Cost Actuals'!$E$7:$E$176,"*Books and Periodicals*",'Dept. Cost Actuals'!AL$529:AL$628))</f>
        <v>0</v>
      </c>
      <c r="AI34" s="668">
        <f ca="1">IF(AI$4="forecast",AVERAGE(W34:AH34),SUMIF('Dept. Cost Actuals'!$E$7:$E$176,"*Books and Periodicals*",'Dept. Cost Actuals'!AM$529:AM$628))</f>
        <v>0</v>
      </c>
      <c r="AJ34" s="668">
        <f ca="1">IF(AJ$4="forecast",AVERAGE(X34:AI34),SUMIF('Dept. Cost Actuals'!$E$7:$E$176,"*Books and Periodicals*",'Dept. Cost Actuals'!AN$529:AN$628))</f>
        <v>0</v>
      </c>
      <c r="AK34" s="668">
        <f ca="1">IF(AK$4="forecast",AVERAGE(Y34:AJ34),SUMIF('Dept. Cost Actuals'!$E$7:$E$176,"*Books and Periodicals*",'Dept. Cost Actuals'!AO$529:AO$628))</f>
        <v>0</v>
      </c>
      <c r="AL34" s="668">
        <f ca="1">IF(AL$4="forecast",AVERAGE(Z34:AK34),SUMIF('Dept. Cost Actuals'!$E$7:$E$176,"*Books and Periodicals*",'Dept. Cost Actuals'!AP$529:AP$628))</f>
        <v>0</v>
      </c>
      <c r="AM34" s="668">
        <f ca="1">IF(AM$4="forecast",AVERAGE(AA34:AL34),SUMIF('Dept. Cost Actuals'!$E$7:$E$176,"*Books and Periodicals*",'Dept. Cost Actuals'!AQ$529:AQ$628))</f>
        <v>0</v>
      </c>
      <c r="AN34" s="668">
        <f ca="1">IF(AN$4="forecast",AVERAGE(AB34:AM34),SUMIF('Dept. Cost Actuals'!$E$7:$E$176,"*Books and Periodicals*",'Dept. Cost Actuals'!AR$529:AR$628))</f>
        <v>0</v>
      </c>
      <c r="AO34" s="668">
        <f ca="1">IF(AO$4="forecast",AVERAGE(AC34:AN34),SUMIF('Dept. Cost Actuals'!$E$7:$E$176,"*Books and Periodicals*",'Dept. Cost Actuals'!AS$529:AS$628))</f>
        <v>0</v>
      </c>
      <c r="AP34" s="668">
        <f ca="1">IF(AP$4="forecast",AVERAGE(AD34:AO34),SUMIF('Dept. Cost Actuals'!$E$7:$E$176,"*Books and Periodicals*",'Dept. Cost Actuals'!AT$529:AT$628))</f>
        <v>0</v>
      </c>
      <c r="AQ34" s="668">
        <f ca="1">IF(AQ$4="forecast",AVERAGE(AE34:AP34),SUMIF('Dept. Cost Actuals'!$E$7:$E$176,"*Books and Periodicals*",'Dept. Cost Actuals'!AU$529:AU$628))</f>
        <v>0</v>
      </c>
      <c r="AR34" s="668">
        <f ca="1">IF(AR$4="forecast",AVERAGE(AF34:AQ34),SUMIF('Dept. Cost Actuals'!$E$7:$E$176,"*Books and Periodicals*",'Dept. Cost Actuals'!AV$529:AV$628))</f>
        <v>0</v>
      </c>
      <c r="AS34" s="668">
        <f ca="1">IF(AS$4="forecast",AVERAGE(AG34:AR34),SUMIF('Dept. Cost Actuals'!$E$7:$E$176,"*Books and Periodicals*",'Dept. Cost Actuals'!AW$529:AW$628))</f>
        <v>0</v>
      </c>
      <c r="AT34" s="668">
        <f ca="1">IF(AT$4="forecast",AVERAGE(AH34:AS34),SUMIF('Dept. Cost Actuals'!$E$7:$E$176,"*Books and Periodicals*",'Dept. Cost Actuals'!AX$529:AX$628))</f>
        <v>0</v>
      </c>
      <c r="AU34" s="668">
        <f ca="1">IF(AU$4="forecast",AVERAGE(AI34:AT34),SUMIF('Dept. Cost Actuals'!$E$7:$E$176,"*Books and Periodicals*",'Dept. Cost Actuals'!AY$529:AY$628))</f>
        <v>0</v>
      </c>
      <c r="AV34" s="668">
        <f ca="1">IF(AV$4="forecast",AVERAGE(AJ34:AU34),SUMIF('Dept. Cost Actuals'!$E$7:$E$176,"*Books and Periodicals*",'Dept. Cost Actuals'!AZ$529:AZ$628))</f>
        <v>0</v>
      </c>
      <c r="AW34" s="668">
        <f ca="1">IF(AW$4="forecast",AVERAGE(AK34:AV34),SUMIF('Dept. Cost Actuals'!$E$7:$E$176,"*Books and Periodicals*",'Dept. Cost Actuals'!BA$529:BA$628))</f>
        <v>0</v>
      </c>
      <c r="AX34" s="668">
        <f ca="1">IF(AX$4="forecast",AVERAGE(AL34:AW34),SUMIF('Dept. Cost Actuals'!$E$7:$E$176,"*Books and Periodicals*",'Dept. Cost Actuals'!BB$529:BB$628))</f>
        <v>0</v>
      </c>
      <c r="AY34" s="668">
        <f ca="1">IF(AY$4="forecast",AVERAGE(AM34:AX34),SUMIF('Dept. Cost Actuals'!$E$7:$E$176,"*Books and Periodicals*",'Dept. Cost Actuals'!BC$529:BC$628))</f>
        <v>0</v>
      </c>
      <c r="AZ34" s="668">
        <f ca="1">IF(AZ$4="forecast",AVERAGE(AN34:AY34),SUMIF('Dept. Cost Actuals'!$E$7:$E$176,"*Books and Periodicals*",'Dept. Cost Actuals'!BD$529:BD$628))</f>
        <v>0</v>
      </c>
      <c r="BA34" s="668">
        <f ca="1">IF(BA$4="forecast",AVERAGE(AO34:AZ34),SUMIF('Dept. Cost Actuals'!$E$7:$E$176,"*Books and Periodicals*",'Dept. Cost Actuals'!BE$529:BE$628))</f>
        <v>0</v>
      </c>
      <c r="BB34" s="668">
        <f ca="1">IF(BB$4="forecast",AVERAGE(AP34:BA34),SUMIF('Dept. Cost Actuals'!$E$7:$E$176,"*Books and Periodicals*",'Dept. Cost Actuals'!BF$529:BF$628))</f>
        <v>0</v>
      </c>
      <c r="BC34" s="668">
        <f ca="1">IF(BC$4="forecast",AVERAGE(AQ34:BB34),SUMIF('Dept. Cost Actuals'!$E$7:$E$176,"*Books and Periodicals*",'Dept. Cost Actuals'!BG$529:BG$628))</f>
        <v>0</v>
      </c>
      <c r="BD34" s="668">
        <f ca="1">IF(BD$4="forecast",AVERAGE(AR34:BC34),SUMIF('Dept. Cost Actuals'!$E$7:$E$176,"*Books and Periodicals*",'Dept. Cost Actuals'!BH$529:BH$628))</f>
        <v>0</v>
      </c>
      <c r="BE34" s="668">
        <f ca="1">IF(BE$4="forecast",AVERAGE(AS34:BD34),SUMIF('Dept. Cost Actuals'!$E$7:$E$176,"*Books and Periodicals*",'Dept. Cost Actuals'!BI$529:BI$628))</f>
        <v>0</v>
      </c>
      <c r="BF34" s="668">
        <f ca="1">IF(BF$4="forecast",AVERAGE(AT34:BE34),SUMIF('Dept. Cost Actuals'!$E$7:$E$176,"*Books and Periodicals*",'Dept. Cost Actuals'!BJ$529:BJ$628))</f>
        <v>0</v>
      </c>
      <c r="BG34" s="668">
        <f ca="1">IF(BG$4="forecast",AVERAGE(AU34:BF34),SUMIF('Dept. Cost Actuals'!$E$7:$E$176,"*Books and Periodicals*",'Dept. Cost Actuals'!BK$529:BK$628))</f>
        <v>0</v>
      </c>
      <c r="BH34" s="668">
        <f ca="1">IF(BH$4="forecast",AVERAGE(AV34:BG34),SUMIF('Dept. Cost Actuals'!$E$7:$E$176,"*Books and Periodicals*",'Dept. Cost Actuals'!BL$529:BL$628))</f>
        <v>0</v>
      </c>
      <c r="BI34" s="668">
        <f ca="1">IF(BI$4="forecast",AVERAGE(AW34:BH34),SUMIF('Dept. Cost Actuals'!$E$7:$E$176,"*Books and Periodicals*",'Dept. Cost Actuals'!BM$529:BM$628))</f>
        <v>0</v>
      </c>
      <c r="BJ34" s="668">
        <f ca="1">IF(BJ$4="forecast",AVERAGE(AX34:BI34),SUMIF('Dept. Cost Actuals'!$E$7:$E$176,"*Books and Periodicals*",'Dept. Cost Actuals'!BN$529:BN$628))</f>
        <v>0</v>
      </c>
      <c r="BK34" s="668">
        <f ca="1">IF(BK$4="forecast",AVERAGE(AY34:BJ34),SUMIF('Dept. Cost Actuals'!$E$7:$E$176,"*Books and Periodicals*",'Dept. Cost Actuals'!BO$529:BO$628))</f>
        <v>0</v>
      </c>
      <c r="BL34" s="668">
        <f ca="1">IF(BL$4="forecast",AVERAGE(AZ34:BK34),SUMIF('Dept. Cost Actuals'!$E$7:$E$176,"*Books and Periodicals*",'Dept. Cost Actuals'!BP$529:BP$628))</f>
        <v>0</v>
      </c>
      <c r="BM34" s="668">
        <f ca="1">IF(BM$4="forecast",AVERAGE(BA34:BL34),SUMIF('Dept. Cost Actuals'!$E$7:$E$176,"*Books and Periodicals*",'Dept. Cost Actuals'!BQ$529:BQ$628))</f>
        <v>0</v>
      </c>
      <c r="BN34" s="668">
        <f ca="1">IF(BN$4="forecast",AVERAGE(BB34:BM34),SUMIF('Dept. Cost Actuals'!$E$7:$E$176,"*Books and Periodicals*",'Dept. Cost Actuals'!BR$529:BR$628))</f>
        <v>0</v>
      </c>
      <c r="BO34" s="668">
        <f ca="1">IF(BO$4="forecast",AVERAGE(BC34:BN34),SUMIF('Dept. Cost Actuals'!$E$7:$E$176,"*Books and Periodicals*",'Dept. Cost Actuals'!BS$529:BS$628))</f>
        <v>0</v>
      </c>
      <c r="BP34" s="668">
        <f ca="1">IF(BP$4="forecast",AVERAGE(BD34:BO34),SUMIF('Dept. Cost Actuals'!$E$7:$E$176,"*Books and Periodicals*",'Dept. Cost Actuals'!BT$529:BT$628))</f>
        <v>0</v>
      </c>
      <c r="BQ34" s="668">
        <f ca="1">IF(BQ$4="forecast",AVERAGE(BE34:BP34),SUMIF('Dept. Cost Actuals'!$E$7:$E$176,"*Books and Periodicals*",'Dept. Cost Actuals'!BU$529:BU$628))</f>
        <v>0</v>
      </c>
      <c r="BR34" s="668">
        <f ca="1">IF(BR$4="forecast",AVERAGE(BF34:BQ34),SUMIF('Dept. Cost Actuals'!$E$7:$E$176,"*Books and Periodicals*",'Dept. Cost Actuals'!BV$529:BV$628))</f>
        <v>0</v>
      </c>
      <c r="BS34" s="668">
        <f ca="1">IF(BS$4="forecast",AVERAGE(BG34:BR34),SUMIF('Dept. Cost Actuals'!$E$7:$E$176,"*Books and Periodicals*",'Dept. Cost Actuals'!BW$529:BW$628))</f>
        <v>0</v>
      </c>
      <c r="BT34" s="668">
        <f ca="1">IF(BT$4="forecast",AVERAGE(BH34:BS34),SUMIF('Dept. Cost Actuals'!$E$7:$E$176,"*Books and Periodicals*",'Dept. Cost Actuals'!BX$529:BX$628))</f>
        <v>0</v>
      </c>
      <c r="BU34" s="668">
        <f ca="1">IF(BU$4="forecast",AVERAGE(BI34:BT34),SUMIF('Dept. Cost Actuals'!$E$7:$E$176,"*Books and Periodicals*",'Dept. Cost Actuals'!BY$529:BY$628))</f>
        <v>0</v>
      </c>
      <c r="BV34" s="790">
        <f ca="1">IF(BV$4="forecast",AVERAGE(BJ34:BU34),SUMIF('Dept. Cost Actuals'!$E$7:$E$176,"*Books and Periodicals*",'Dept. Cost Actuals'!BZ$529:BZ$628))</f>
        <v>0</v>
      </c>
    </row>
    <row r="35" spans="2:74" x14ac:dyDescent="0.25">
      <c r="B35" s="794" t="s">
        <v>941</v>
      </c>
      <c r="C35" s="668">
        <f ca="1">IF(C$4="forecast",AVERAGE(#REF!),SUMIF('Dept. Cost Actuals'!$E$7:$E$176,"*Postage and Delivery*",'Dept. Cost Actuals'!G$529:G$628))</f>
        <v>0.79650198824937746</v>
      </c>
      <c r="D35" s="668">
        <f ca="1">IF(D$4="forecast",AVERAGE(#REF!),SUMIF('Dept. Cost Actuals'!$E$7:$E$176,"*Postage and Delivery*",'Dept. Cost Actuals'!H$529:H$628))</f>
        <v>22.043076625913585</v>
      </c>
      <c r="E35" s="668">
        <f ca="1">IF(E$4="forecast",AVERAGE(#REF!),SUMIF('Dept. Cost Actuals'!$E$7:$E$176,"*Postage and Delivery*",'Dept. Cost Actuals'!I$529:I$628))</f>
        <v>0</v>
      </c>
      <c r="F35" s="668">
        <f ca="1">IF(F$4="forecast",AVERAGE(#REF!),SUMIF('Dept. Cost Actuals'!$E$7:$E$176,"*Postage and Delivery*",'Dept. Cost Actuals'!J$529:J$628))</f>
        <v>0.47605456569073662</v>
      </c>
      <c r="G35" s="668">
        <f ca="1">IF(G$4="forecast",AVERAGE(#REF!),SUMIF('Dept. Cost Actuals'!$E$7:$E$176,"*Postage and Delivery*",'Dept. Cost Actuals'!K$529:K$628))</f>
        <v>1.2848044984036844</v>
      </c>
      <c r="H35" s="668">
        <f ca="1">IF(H$4="forecast",AVERAGE(#REF!),SUMIF('Dept. Cost Actuals'!$E$7:$E$176,"*Postage and Delivery*",'Dept. Cost Actuals'!L$529:L$628))</f>
        <v>0.15196135694410798</v>
      </c>
      <c r="I35" s="668">
        <f ca="1">IF(I$4="forecast",AVERAGE(#REF!),SUMIF('Dept. Cost Actuals'!$E$7:$E$176,"*Postage and Delivery*",'Dept. Cost Actuals'!M$529:M$628))</f>
        <v>0</v>
      </c>
      <c r="J35" s="668">
        <f ca="1">IF(J$4="forecast",AVERAGE(#REF!),SUMIF('Dept. Cost Actuals'!$E$7:$E$176,"*Postage and Delivery*",'Dept. Cost Actuals'!N$529:N$628))</f>
        <v>0.45471579078654661</v>
      </c>
      <c r="K35" s="668">
        <f ca="1">IF(K$4="forecast",AVERAGE(#REF!),SUMIF('Dept. Cost Actuals'!$E$7:$E$176,"*Postage and Delivery*",'Dept. Cost Actuals'!O$529:O$628))</f>
        <v>8.3674240633254723E-2</v>
      </c>
      <c r="L35" s="668">
        <f ca="1">IF(L$4="forecast",AVERAGE(#REF!),SUMIF('Dept. Cost Actuals'!$E$7:$E$176,"*Postage and Delivery*",'Dept. Cost Actuals'!P$529:P$628))</f>
        <v>55.70470757162407</v>
      </c>
      <c r="M35" s="668">
        <f ca="1">IF(M$4="forecast",AVERAGE(A35:L35),SUMIF('Dept. Cost Actuals'!$E$7:$E$176,"*Postage and Delivery*",'Dept. Cost Actuals'!Q$529:Q$628))</f>
        <v>8.6259097775705023</v>
      </c>
      <c r="N35" s="668">
        <f ca="1">IF(N$4="forecast",AVERAGE(B35:M35),SUMIF('Dept. Cost Actuals'!$E$7:$E$176,"*Postage and Delivery*",'Dept. Cost Actuals'!R$529:R$628))</f>
        <v>2.7466487395820209</v>
      </c>
      <c r="O35" s="668">
        <f ca="1">IF(O$4="forecast",AVERAGE(C35:N35),SUMIF('Dept. Cost Actuals'!$E$7:$E$176,"*Postage and Delivery*",'Dept. Cost Actuals'!S$529:S$628))</f>
        <v>43.21</v>
      </c>
      <c r="P35" s="668">
        <f ca="1">IF(P$4="forecast",AVERAGE(D35:O35),SUMIF('Dept. Cost Actuals'!$E$7:$E$176,"*Postage and Delivery*",'Dept. Cost Actuals'!T$529:T$628))</f>
        <v>0</v>
      </c>
      <c r="Q35" s="668">
        <f ca="1">IF(Q$4="forecast",AVERAGE(E35:P35),SUMIF('Dept. Cost Actuals'!$E$7:$E$176,"*Postage and Delivery*",'Dept. Cost Actuals'!U$529:U$628))</f>
        <v>0</v>
      </c>
      <c r="R35" s="668">
        <f ca="1">IF(R$4="forecast",AVERAGE(F35:Q35),SUMIF('Dept. Cost Actuals'!$E$7:$E$176,"*Postage and Delivery*",'Dept. Cost Actuals'!V$529:V$628))</f>
        <v>0</v>
      </c>
      <c r="S35" s="668">
        <f ca="1">IF(S$4="forecast",AVERAGE(G35:R35),SUMIF('Dept. Cost Actuals'!$E$7:$E$176,"*Postage and Delivery*",'Dept. Cost Actuals'!W$529:W$628))</f>
        <v>0</v>
      </c>
      <c r="T35" s="668">
        <f ca="1">IF(T$4="forecast",AVERAGE(H35:S35),SUMIF('Dept. Cost Actuals'!$E$7:$E$176,"*Postage and Delivery*",'Dept. Cost Actuals'!X$529:X$628))</f>
        <v>46</v>
      </c>
      <c r="U35" s="668">
        <f ca="1">IF(U$4="forecast",AVERAGE(I35:T35),SUMIF('Dept. Cost Actuals'!$E$7:$E$176,"*Postage and Delivery*",'Dept. Cost Actuals'!Y$529:Y$628))</f>
        <v>0</v>
      </c>
      <c r="V35" s="668">
        <f ca="1">IF(V$4="forecast",AVERAGE(J35:U35),SUMIF('Dept. Cost Actuals'!$E$7:$E$176,"*Postage and Delivery*",'Dept. Cost Actuals'!Z$529:Z$628))</f>
        <v>51.64</v>
      </c>
      <c r="W35" s="668">
        <f ca="1">IF(W$4="forecast",AVERAGE(K35:V35),SUMIF('Dept. Cost Actuals'!$E$7:$E$176,"*Postage and Delivery*",'Dept. Cost Actuals'!AA$529:AA$628))</f>
        <v>0</v>
      </c>
      <c r="X35" s="668">
        <f ca="1">IF(X$4="forecast",AVERAGE(L35:W35),SUMIF('Dept. Cost Actuals'!$E$7:$E$176,"*Postage and Delivery*",'Dept. Cost Actuals'!AB$529:AB$628))</f>
        <v>0</v>
      </c>
      <c r="Y35" s="668">
        <f ca="1">IF(Y$4="forecast",AVERAGE(M35:X35),SUMIF('Dept. Cost Actuals'!$E$7:$E$176,"*Postage and Delivery*",'Dept. Cost Actuals'!AC$529:AC$628))</f>
        <v>64.540000000000006</v>
      </c>
      <c r="Z35" s="668">
        <f ca="1">IF(Z$4="forecast",AVERAGE(N35:Y35),SUMIF('Dept. Cost Actuals'!$E$7:$E$176,"*Postage and Delivery*",'Dept. Cost Actuals'!AD$529:AD$628))</f>
        <v>8.3000000000000007</v>
      </c>
      <c r="AA35" s="668">
        <f ca="1">IF(AA$4="forecast",AVERAGE(O35:Z35),SUMIF('Dept. Cost Actuals'!$E$7:$E$176,"*Postage and Delivery*",'Dept. Cost Actuals'!AE$529:AE$628))</f>
        <v>52.78</v>
      </c>
      <c r="AB35" s="668">
        <f ca="1">IF(AB$4="forecast",AVERAGE(P35:AA35),SUMIF('Dept. Cost Actuals'!$E$7:$E$176,"*Postage and Delivery*",'Dept. Cost Actuals'!AF$529:AF$628))</f>
        <v>49.48</v>
      </c>
      <c r="AC35" s="668">
        <f ca="1">IF(AC$4="forecast",AVERAGE(Q35:AB35),SUMIF('Dept. Cost Actuals'!$E$7:$E$176,"*Postage and Delivery*",'Dept. Cost Actuals'!AG$529:AG$628))</f>
        <v>10.64</v>
      </c>
      <c r="AD35" s="668">
        <f ca="1">IF(AD$4="forecast",AVERAGE(R35:AC35),SUMIF('Dept. Cost Actuals'!$E$7:$E$176,"*Postage and Delivery*",'Dept. Cost Actuals'!AH$529:AH$628))</f>
        <v>23.614999999999998</v>
      </c>
      <c r="AE35" s="668">
        <f ca="1">IF(AE$4="forecast",AVERAGE(S35:AD35),SUMIF('Dept. Cost Actuals'!$E$7:$E$176,"*Postage and Delivery*",'Dept. Cost Actuals'!AI$529:AI$628))</f>
        <v>25.582916666666666</v>
      </c>
      <c r="AF35" s="668">
        <f ca="1">IF(AF$4="forecast",AVERAGE(T35:AE35),SUMIF('Dept. Cost Actuals'!$E$7:$E$176,"*Postage and Delivery*",'Dept. Cost Actuals'!AJ$529:AJ$628))</f>
        <v>27.714826388888891</v>
      </c>
      <c r="AG35" s="668">
        <f ca="1">IF(AG$4="forecast",AVERAGE(U35:AF35),SUMIF('Dept. Cost Actuals'!$E$7:$E$176,"*Postage and Delivery*",'Dept. Cost Actuals'!AK$529:AK$628))</f>
        <v>26.191061921296296</v>
      </c>
      <c r="AH35" s="668">
        <f ca="1">IF(AH$4="forecast",AVERAGE(V35:AG35),SUMIF('Dept. Cost Actuals'!$E$7:$E$176,"*Postage and Delivery*",'Dept. Cost Actuals'!AL$529:AL$628))</f>
        <v>28.373650414737654</v>
      </c>
      <c r="AI35" s="668">
        <f ca="1">IF(AI$4="forecast",AVERAGE(W35:AH35),SUMIF('Dept. Cost Actuals'!$E$7:$E$176,"*Postage and Delivery*",'Dept. Cost Actuals'!AM$529:AM$628))</f>
        <v>26.434787949299125</v>
      </c>
      <c r="AJ35" s="668">
        <f ca="1">IF(AJ$4="forecast",AVERAGE(X35:AI35),SUMIF('Dept. Cost Actuals'!$E$7:$E$176,"*Postage and Delivery*",'Dept. Cost Actuals'!AN$529:AN$628))</f>
        <v>28.637686945074051</v>
      </c>
      <c r="AK35" s="668">
        <f ca="1">IF(AK$4="forecast",AVERAGE(Y35:AJ35),SUMIF('Dept. Cost Actuals'!$E$7:$E$176,"*Postage and Delivery*",'Dept. Cost Actuals'!AO$529:AO$628))</f>
        <v>31.024160857163555</v>
      </c>
      <c r="AL35" s="668">
        <f ca="1">IF(AL$4="forecast",AVERAGE(Z35:AK35),SUMIF('Dept. Cost Actuals'!$E$7:$E$176,"*Postage and Delivery*",'Dept. Cost Actuals'!AP$529:AP$628))</f>
        <v>28.23117426192719</v>
      </c>
      <c r="AM35" s="668">
        <f ca="1">IF(AM$4="forecast",AVERAGE(AA35:AL35),SUMIF('Dept. Cost Actuals'!$E$7:$E$176,"*Postage and Delivery*",'Dept. Cost Actuals'!AQ$529:AQ$628))</f>
        <v>29.892105450421123</v>
      </c>
      <c r="AN35" s="668">
        <f ca="1">IF(AN$4="forecast",AVERAGE(AB35:AM35),SUMIF('Dept. Cost Actuals'!$E$7:$E$176,"*Postage and Delivery*",'Dept. Cost Actuals'!AR$529:AR$628))</f>
        <v>27.98478090462288</v>
      </c>
      <c r="AO35" s="668">
        <f ca="1">IF(AO$4="forecast",AVERAGE(AC35:AN35),SUMIF('Dept. Cost Actuals'!$E$7:$E$176,"*Postage and Delivery*",'Dept. Cost Actuals'!AS$529:AS$628))</f>
        <v>26.193512646674787</v>
      </c>
      <c r="AP35" s="668">
        <f ca="1">IF(AP$4="forecast",AVERAGE(AD35:AO35),SUMIF('Dept. Cost Actuals'!$E$7:$E$176,"*Postage and Delivery*",'Dept. Cost Actuals'!AT$529:AT$628))</f>
        <v>27.489638700564353</v>
      </c>
      <c r="AQ35" s="668">
        <f ca="1">IF(AQ$4="forecast",AVERAGE(AE35:AP35),SUMIF('Dept. Cost Actuals'!$E$7:$E$176,"*Postage and Delivery*",'Dept. Cost Actuals'!AU$529:AU$628))</f>
        <v>27.812525258944714</v>
      </c>
      <c r="AR35" s="668">
        <f ca="1">IF(AR$4="forecast",AVERAGE(AF35:AQ35),SUMIF('Dept. Cost Actuals'!$E$7:$E$176,"*Postage and Delivery*",'Dept. Cost Actuals'!AV$529:AV$628))</f>
        <v>27.998325974967887</v>
      </c>
      <c r="AS35" s="668">
        <f ca="1">IF(AS$4="forecast",AVERAGE(AG35:AR35),SUMIF('Dept. Cost Actuals'!$E$7:$E$176,"*Postage and Delivery*",'Dept. Cost Actuals'!AW$529:AW$628))</f>
        <v>28.021950940474468</v>
      </c>
      <c r="AT35" s="668">
        <f ca="1">IF(AT$4="forecast",AVERAGE(AH35:AS35),SUMIF('Dept. Cost Actuals'!$E$7:$E$176,"*Postage and Delivery*",'Dept. Cost Actuals'!AX$529:AX$628))</f>
        <v>28.17452502540598</v>
      </c>
      <c r="AU35" s="668">
        <f ca="1">IF(AU$4="forecast",AVERAGE(AI35:AT35),SUMIF('Dept. Cost Actuals'!$E$7:$E$176,"*Postage and Delivery*",'Dept. Cost Actuals'!AY$529:AY$628))</f>
        <v>28.15793124296167</v>
      </c>
      <c r="AV35" s="668">
        <f ca="1">IF(AV$4="forecast",AVERAGE(AJ35:AU35),SUMIF('Dept. Cost Actuals'!$E$7:$E$176,"*Postage and Delivery*",'Dept. Cost Actuals'!AZ$529:AZ$628))</f>
        <v>28.301526517433555</v>
      </c>
      <c r="AW35" s="668">
        <f ca="1">IF(AW$4="forecast",AVERAGE(AK35:AV35),SUMIF('Dept. Cost Actuals'!$E$7:$E$176,"*Postage and Delivery*",'Dept. Cost Actuals'!BA$529:BA$628))</f>
        <v>28.273513148463511</v>
      </c>
      <c r="AX35" s="668">
        <f ca="1">IF(AX$4="forecast",AVERAGE(AL35:AW35),SUMIF('Dept. Cost Actuals'!$E$7:$E$176,"*Postage and Delivery*",'Dept. Cost Actuals'!BB$529:BB$628))</f>
        <v>28.044292506071841</v>
      </c>
      <c r="AY35" s="668">
        <f ca="1">IF(AY$4="forecast",AVERAGE(AM35:AX35),SUMIF('Dept. Cost Actuals'!$E$7:$E$176,"*Postage and Delivery*",'Dept. Cost Actuals'!BC$529:BC$628))</f>
        <v>28.028719026417232</v>
      </c>
      <c r="AZ35" s="668">
        <f ca="1">IF(AZ$4="forecast",AVERAGE(AN35:AY35),SUMIF('Dept. Cost Actuals'!$E$7:$E$176,"*Postage and Delivery*",'Dept. Cost Actuals'!BD$529:BD$628))</f>
        <v>27.873436824416903</v>
      </c>
      <c r="BA35" s="668">
        <f ca="1">IF(BA$4="forecast",AVERAGE(AO35:AZ35),SUMIF('Dept. Cost Actuals'!$E$7:$E$176,"*Postage and Delivery*",'Dept. Cost Actuals'!BE$529:BE$628))</f>
        <v>27.864158151066405</v>
      </c>
      <c r="BB35" s="668">
        <f ca="1">IF(BB$4="forecast",AVERAGE(AP35:BA35),SUMIF('Dept. Cost Actuals'!$E$7:$E$176,"*Postage and Delivery*",'Dept. Cost Actuals'!BF$529:BF$628))</f>
        <v>28.003378609765708</v>
      </c>
      <c r="BC35" s="668">
        <f ca="1">IF(BC$4="forecast",AVERAGE(AQ35:BB35),SUMIF('Dept. Cost Actuals'!$E$7:$E$176,"*Postage and Delivery*",'Dept. Cost Actuals'!BG$529:BG$628))</f>
        <v>28.046190268865828</v>
      </c>
      <c r="BD35" s="668">
        <f ca="1">IF(BD$4="forecast",AVERAGE(AR35:BC35),SUMIF('Dept. Cost Actuals'!$E$7:$E$176,"*Postage and Delivery*",'Dept. Cost Actuals'!BH$529:BH$628))</f>
        <v>28.065662353025914</v>
      </c>
      <c r="BE35" s="668">
        <f ca="1">IF(BE$4="forecast",AVERAGE(AS35:BD35),SUMIF('Dept. Cost Actuals'!$E$7:$E$176,"*Postage and Delivery*",'Dept. Cost Actuals'!BI$529:BI$628))</f>
        <v>28.071273717864084</v>
      </c>
      <c r="BF35" s="668">
        <f ca="1">IF(BF$4="forecast",AVERAGE(AT35:BE35),SUMIF('Dept. Cost Actuals'!$E$7:$E$176,"*Postage and Delivery*",'Dept. Cost Actuals'!BJ$529:BJ$628))</f>
        <v>28.075383949313217</v>
      </c>
      <c r="BG35" s="668">
        <f ca="1">IF(BG$4="forecast",AVERAGE(AU35:BF35),SUMIF('Dept. Cost Actuals'!$E$7:$E$176,"*Postage and Delivery*",'Dept. Cost Actuals'!BK$529:BK$628))</f>
        <v>28.067122192972153</v>
      </c>
      <c r="BH35" s="668">
        <f ca="1">IF(BH$4="forecast",AVERAGE(AV35:BG35),SUMIF('Dept. Cost Actuals'!$E$7:$E$176,"*Postage and Delivery*",'Dept. Cost Actuals'!BL$529:BL$628))</f>
        <v>28.059554772139695</v>
      </c>
      <c r="BI35" s="668">
        <f ca="1">IF(BI$4="forecast",AVERAGE(AW35:BH35),SUMIF('Dept. Cost Actuals'!$E$7:$E$176,"*Postage and Delivery*",'Dept. Cost Actuals'!BM$529:BM$628))</f>
        <v>28.039390460031871</v>
      </c>
      <c r="BJ35" s="668">
        <f ca="1">IF(BJ$4="forecast",AVERAGE(AX35:BI35),SUMIF('Dept. Cost Actuals'!$E$7:$E$176,"*Postage and Delivery*",'Dept. Cost Actuals'!BN$529:BN$628))</f>
        <v>28.019880235995902</v>
      </c>
      <c r="BK35" s="668">
        <f ca="1">IF(BK$4="forecast",AVERAGE(AY35:BJ35),SUMIF('Dept. Cost Actuals'!$E$7:$E$176,"*Postage and Delivery*",'Dept. Cost Actuals'!BO$529:BO$628))</f>
        <v>28.017845880156244</v>
      </c>
      <c r="BL35" s="668">
        <f ca="1">IF(BL$4="forecast",AVERAGE(AZ35:BK35),SUMIF('Dept. Cost Actuals'!$E$7:$E$176,"*Postage and Delivery*",'Dept. Cost Actuals'!BP$529:BP$628))</f>
        <v>28.016939784634499</v>
      </c>
      <c r="BM35" s="668">
        <f ca="1">IF(BM$4="forecast",AVERAGE(BA35:BL35),SUMIF('Dept. Cost Actuals'!$E$7:$E$176,"*Postage and Delivery*",'Dept. Cost Actuals'!BQ$529:BQ$628))</f>
        <v>28.02889836465263</v>
      </c>
      <c r="BN35" s="668">
        <f ca="1">IF(BN$4="forecast",AVERAGE(BB35:BM35),SUMIF('Dept. Cost Actuals'!$E$7:$E$176,"*Postage and Delivery*",'Dept. Cost Actuals'!BR$529:BR$628))</f>
        <v>28.042626715784809</v>
      </c>
      <c r="BO35" s="668">
        <f ca="1">IF(BO$4="forecast",AVERAGE(BC35:BN35),SUMIF('Dept. Cost Actuals'!$E$7:$E$176,"*Postage and Delivery*",'Dept. Cost Actuals'!BS$529:BS$628))</f>
        <v>28.045897391286406</v>
      </c>
      <c r="BP35" s="668">
        <f ca="1">IF(BP$4="forecast",AVERAGE(BD35:BO35),SUMIF('Dept. Cost Actuals'!$E$7:$E$176,"*Postage and Delivery*",'Dept. Cost Actuals'!BT$529:BT$628))</f>
        <v>28.045872984821457</v>
      </c>
      <c r="BQ35" s="668">
        <f ca="1">IF(BQ$4="forecast",AVERAGE(BE35:BP35),SUMIF('Dept. Cost Actuals'!$E$7:$E$176,"*Postage and Delivery*",'Dept. Cost Actuals'!BU$529:BU$628))</f>
        <v>28.044223870804416</v>
      </c>
      <c r="BR35" s="668">
        <f ca="1">IF(BR$4="forecast",AVERAGE(BF35:BQ35),SUMIF('Dept. Cost Actuals'!$E$7:$E$176,"*Postage and Delivery*",'Dept. Cost Actuals'!BV$529:BV$628))</f>
        <v>28.041969716882779</v>
      </c>
      <c r="BS35" s="668">
        <f ca="1">IF(BS$4="forecast",AVERAGE(BG35:BR35),SUMIF('Dept. Cost Actuals'!$E$7:$E$176,"*Postage and Delivery*",'Dept. Cost Actuals'!BW$529:BW$628))</f>
        <v>28.039185197513572</v>
      </c>
      <c r="BT35" s="668">
        <f ca="1">IF(BT$4="forecast",AVERAGE(BH35:BS35),SUMIF('Dept. Cost Actuals'!$E$7:$E$176,"*Postage and Delivery*",'Dept. Cost Actuals'!BX$529:BX$628))</f>
        <v>28.036857114558696</v>
      </c>
      <c r="BU35" s="668">
        <f ca="1">IF(BU$4="forecast",AVERAGE(BI35:BT35),SUMIF('Dept. Cost Actuals'!$E$7:$E$176,"*Postage and Delivery*",'Dept. Cost Actuals'!BY$529:BY$628))</f>
        <v>28.03496564309361</v>
      </c>
      <c r="BV35" s="790">
        <f ca="1">IF(BV$4="forecast",AVERAGE(BJ35:BU35),SUMIF('Dept. Cost Actuals'!$E$7:$E$176,"*Postage and Delivery*",'Dept. Cost Actuals'!BZ$529:BZ$628))</f>
        <v>28.03459690834875</v>
      </c>
    </row>
    <row r="36" spans="2:74" x14ac:dyDescent="0.25">
      <c r="B36" s="794" t="s">
        <v>942</v>
      </c>
      <c r="C36" s="668">
        <f ca="1">IF(C$4="forecast",AVERAGE(#REF!),SUMIF('Dept. Cost Actuals'!$E$7:$E$176,"*Computer Supplies*",'Dept. Cost Actuals'!G$529:G$628))</f>
        <v>79.858363030945156</v>
      </c>
      <c r="D36" s="668">
        <f ca="1">IF(D$4="forecast",AVERAGE(#REF!),SUMIF('Dept. Cost Actuals'!$E$7:$E$176,"*Computer Supplies*",'Dept. Cost Actuals'!H$529:H$628))</f>
        <v>26.34272390399445</v>
      </c>
      <c r="E36" s="668">
        <f ca="1">IF(E$4="forecast",AVERAGE(#REF!),SUMIF('Dept. Cost Actuals'!$E$7:$E$176,"*Computer Supplies*",'Dept. Cost Actuals'!I$529:I$628))</f>
        <v>96.10856716999379</v>
      </c>
      <c r="F36" s="668">
        <f ca="1">IF(F$4="forecast",AVERAGE(#REF!),SUMIF('Dept. Cost Actuals'!$E$7:$E$176,"*Computer Supplies*",'Dept. Cost Actuals'!J$529:J$628))</f>
        <v>20.829030579397472</v>
      </c>
      <c r="G36" s="668">
        <f ca="1">IF(G$4="forecast",AVERAGE(#REF!),SUMIF('Dept. Cost Actuals'!$E$7:$E$176,"*Computer Supplies*",'Dept. Cost Actuals'!K$529:K$628))</f>
        <v>9.5728176210526641</v>
      </c>
      <c r="H36" s="668">
        <f ca="1">IF(H$4="forecast",AVERAGE(#REF!),SUMIF('Dept. Cost Actuals'!$E$7:$E$176,"*Computer Supplies*",'Dept. Cost Actuals'!L$529:L$628))</f>
        <v>59.180254223238229</v>
      </c>
      <c r="I36" s="668">
        <f ca="1">IF(I$4="forecast",AVERAGE(#REF!),SUMIF('Dept. Cost Actuals'!$E$7:$E$176,"*Computer Supplies*",'Dept. Cost Actuals'!M$529:M$628))</f>
        <v>80.006541538883369</v>
      </c>
      <c r="J36" s="668">
        <f ca="1">IF(J$4="forecast",AVERAGE(#REF!),SUMIF('Dept. Cost Actuals'!$E$7:$E$176,"*Computer Supplies*",'Dept. Cost Actuals'!N$529:N$628))</f>
        <v>51.501705223830335</v>
      </c>
      <c r="K36" s="668">
        <f ca="1">IF(K$4="forecast",AVERAGE(#REF!),SUMIF('Dept. Cost Actuals'!$E$7:$E$176,"*Computer Supplies*",'Dept. Cost Actuals'!O$529:O$628))</f>
        <v>36.371312411606183</v>
      </c>
      <c r="L36" s="668">
        <f ca="1">IF(L$4="forecast",AVERAGE(#REF!),SUMIF('Dept. Cost Actuals'!$E$7:$E$176,"*Computer Supplies*",'Dept. Cost Actuals'!P$529:P$628))</f>
        <v>99.790881252210411</v>
      </c>
      <c r="M36" s="668">
        <f ca="1">IF(M$4="forecast",AVERAGE(A36:L36),SUMIF('Dept. Cost Actuals'!$E$7:$E$176,"*Computer Supplies*",'Dept. Cost Actuals'!Q$529:Q$628))</f>
        <v>64.569829696633235</v>
      </c>
      <c r="N36" s="668">
        <f ca="1">IF(N$4="forecast",AVERAGE(B36:M36),SUMIF('Dept. Cost Actuals'!$E$7:$E$176,"*Computer Supplies*",'Dept. Cost Actuals'!R$529:R$628))</f>
        <v>6.5295603308207211</v>
      </c>
      <c r="O36" s="668">
        <f ca="1">IF(O$4="forecast",AVERAGE(C36:N36),SUMIF('Dept. Cost Actuals'!$E$7:$E$176,"*Computer Supplies*",'Dept. Cost Actuals'!S$529:S$628))</f>
        <v>0</v>
      </c>
      <c r="P36" s="668">
        <f ca="1">IF(P$4="forecast",AVERAGE(D36:O36),SUMIF('Dept. Cost Actuals'!$E$7:$E$176,"*Computer Supplies*",'Dept. Cost Actuals'!T$529:T$628))</f>
        <v>0</v>
      </c>
      <c r="Q36" s="668">
        <f ca="1">IF(Q$4="forecast",AVERAGE(E36:P36),SUMIF('Dept. Cost Actuals'!$E$7:$E$176,"*Computer Supplies*",'Dept. Cost Actuals'!U$529:U$628))</f>
        <v>0</v>
      </c>
      <c r="R36" s="668">
        <f ca="1">IF(R$4="forecast",AVERAGE(F36:Q36),SUMIF('Dept. Cost Actuals'!$E$7:$E$176,"*Computer Supplies*",'Dept. Cost Actuals'!V$529:V$628))</f>
        <v>0</v>
      </c>
      <c r="S36" s="668">
        <f ca="1">IF(S$4="forecast",AVERAGE(G36:R36),SUMIF('Dept. Cost Actuals'!$E$7:$E$176,"*Computer Supplies*",'Dept. Cost Actuals'!W$529:W$628))</f>
        <v>0</v>
      </c>
      <c r="T36" s="668">
        <f ca="1">IF(T$4="forecast",AVERAGE(H36:S36),SUMIF('Dept. Cost Actuals'!$E$7:$E$176,"*Computer Supplies*",'Dept. Cost Actuals'!X$529:X$628))</f>
        <v>0</v>
      </c>
      <c r="U36" s="668">
        <f ca="1">IF(U$4="forecast",AVERAGE(I36:T36),SUMIF('Dept. Cost Actuals'!$E$7:$E$176,"*Computer Supplies*",'Dept. Cost Actuals'!Y$529:Y$628))</f>
        <v>0</v>
      </c>
      <c r="V36" s="668">
        <f ca="1">IF(V$4="forecast",AVERAGE(J36:U36),SUMIF('Dept. Cost Actuals'!$E$7:$E$176,"*Computer Supplies*",'Dept. Cost Actuals'!Z$529:Z$628))</f>
        <v>0</v>
      </c>
      <c r="W36" s="668">
        <f ca="1">IF(W$4="forecast",AVERAGE(K36:V36),SUMIF('Dept. Cost Actuals'!$E$7:$E$176,"*Computer Supplies*",'Dept. Cost Actuals'!AA$529:AA$628))</f>
        <v>0</v>
      </c>
      <c r="X36" s="668">
        <f ca="1">IF(X$4="forecast",AVERAGE(L36:W36),SUMIF('Dept. Cost Actuals'!$E$7:$E$176,"*Computer Supplies*",'Dept. Cost Actuals'!AB$529:AB$628))</f>
        <v>39.950000000000003</v>
      </c>
      <c r="Y36" s="668">
        <f ca="1">IF(Y$4="forecast",AVERAGE(M36:X36),SUMIF('Dept. Cost Actuals'!$E$7:$E$176,"*Computer Supplies*",'Dept. Cost Actuals'!AC$529:AC$628))</f>
        <v>0</v>
      </c>
      <c r="Z36" s="668">
        <f ca="1">IF(Z$4="forecast",AVERAGE(N36:Y36),SUMIF('Dept. Cost Actuals'!$E$7:$E$176,"*Computer Supplies*",'Dept. Cost Actuals'!AD$529:AD$628))</f>
        <v>0</v>
      </c>
      <c r="AA36" s="668">
        <f ca="1">IF(AA$4="forecast",AVERAGE(O36:Z36),SUMIF('Dept. Cost Actuals'!$E$7:$E$176,"*Computer Supplies*",'Dept. Cost Actuals'!AE$529:AE$628))</f>
        <v>0</v>
      </c>
      <c r="AB36" s="668">
        <f ca="1">IF(AB$4="forecast",AVERAGE(P36:AA36),SUMIF('Dept. Cost Actuals'!$E$7:$E$176,"*Computer Supplies*",'Dept. Cost Actuals'!AF$529:AF$628))</f>
        <v>0</v>
      </c>
      <c r="AC36" s="668">
        <f ca="1">IF(AC$4="forecast",AVERAGE(Q36:AB36),SUMIF('Dept. Cost Actuals'!$E$7:$E$176,"*Computer Supplies*",'Dept. Cost Actuals'!AG$529:AG$628))</f>
        <v>14</v>
      </c>
      <c r="AD36" s="668">
        <f ca="1">IF(AD$4="forecast",AVERAGE(R36:AC36),SUMIF('Dept. Cost Actuals'!$E$7:$E$176,"*Computer Supplies*",'Dept. Cost Actuals'!AH$529:AH$628))</f>
        <v>4.4958333333333336</v>
      </c>
      <c r="AE36" s="668">
        <f ca="1">IF(AE$4="forecast",AVERAGE(S36:AD36),SUMIF('Dept. Cost Actuals'!$E$7:$E$176,"*Computer Supplies*",'Dept. Cost Actuals'!AI$529:AI$628))</f>
        <v>4.870486111111112</v>
      </c>
      <c r="AF36" s="668">
        <f ca="1">IF(AF$4="forecast",AVERAGE(T36:AE36),SUMIF('Dept. Cost Actuals'!$E$7:$E$176,"*Computer Supplies*",'Dept. Cost Actuals'!AJ$529:AJ$628))</f>
        <v>5.2763599537037047</v>
      </c>
      <c r="AG36" s="668">
        <f ca="1">IF(AG$4="forecast",AVERAGE(U36:AF36),SUMIF('Dept. Cost Actuals'!$E$7:$E$176,"*Computer Supplies*",'Dept. Cost Actuals'!AK$529:AK$628))</f>
        <v>5.716056616512347</v>
      </c>
      <c r="AH36" s="668">
        <f ca="1">IF(AH$4="forecast",AVERAGE(V36:AG36),SUMIF('Dept. Cost Actuals'!$E$7:$E$176,"*Computer Supplies*",'Dept. Cost Actuals'!AL$529:AL$628))</f>
        <v>6.1923946678883759</v>
      </c>
      <c r="AI36" s="668">
        <f ca="1">IF(AI$4="forecast",AVERAGE(W36:AH36),SUMIF('Dept. Cost Actuals'!$E$7:$E$176,"*Computer Supplies*",'Dept. Cost Actuals'!AM$529:AM$628))</f>
        <v>6.7084275568790739</v>
      </c>
      <c r="AJ36" s="668">
        <f ca="1">IF(AJ$4="forecast",AVERAGE(X36:AI36),SUMIF('Dept. Cost Actuals'!$E$7:$E$176,"*Computer Supplies*",'Dept. Cost Actuals'!AN$529:AN$628))</f>
        <v>7.2674631866189969</v>
      </c>
      <c r="AK36" s="668">
        <f ca="1">IF(AK$4="forecast",AVERAGE(Y36:AJ36),SUMIF('Dept. Cost Actuals'!$E$7:$E$176,"*Computer Supplies*",'Dept. Cost Actuals'!AO$529:AO$628))</f>
        <v>4.5439184521705789</v>
      </c>
      <c r="AL36" s="668">
        <f ca="1">IF(AL$4="forecast",AVERAGE(Z36:AK36),SUMIF('Dept. Cost Actuals'!$E$7:$E$176,"*Computer Supplies*",'Dept. Cost Actuals'!AP$529:AP$628))</f>
        <v>4.9225783231847933</v>
      </c>
      <c r="AM36" s="668">
        <f ca="1">IF(AM$4="forecast",AVERAGE(AA36:AL36),SUMIF('Dept. Cost Actuals'!$E$7:$E$176,"*Computer Supplies*",'Dept. Cost Actuals'!AQ$529:AQ$628))</f>
        <v>5.3327931834501934</v>
      </c>
      <c r="AN36" s="668">
        <f ca="1">IF(AN$4="forecast",AVERAGE(AB36:AM36),SUMIF('Dept. Cost Actuals'!$E$7:$E$176,"*Computer Supplies*",'Dept. Cost Actuals'!AR$529:AR$628))</f>
        <v>5.7771926154043767</v>
      </c>
      <c r="AO36" s="668">
        <f ca="1">IF(AO$4="forecast",AVERAGE(AC36:AN36),SUMIF('Dept. Cost Actuals'!$E$7:$E$176,"*Computer Supplies*",'Dept. Cost Actuals'!AS$529:AS$628))</f>
        <v>6.2586253333547406</v>
      </c>
      <c r="AP36" s="668">
        <f ca="1">IF(AP$4="forecast",AVERAGE(AD36:AO36),SUMIF('Dept. Cost Actuals'!$E$7:$E$176,"*Computer Supplies*",'Dept. Cost Actuals'!AT$529:AT$628))</f>
        <v>5.6135107778009683</v>
      </c>
      <c r="AQ36" s="668">
        <f ca="1">IF(AQ$4="forecast",AVERAGE(AE36:AP36),SUMIF('Dept. Cost Actuals'!$E$7:$E$176,"*Computer Supplies*",'Dept. Cost Actuals'!AU$529:AU$628))</f>
        <v>5.7066505648399373</v>
      </c>
      <c r="AR36" s="668">
        <f ca="1">IF(AR$4="forecast",AVERAGE(AF36:AQ36),SUMIF('Dept. Cost Actuals'!$E$7:$E$176,"*Computer Supplies*",'Dept. Cost Actuals'!AV$529:AV$628))</f>
        <v>5.7763309359840065</v>
      </c>
      <c r="AS36" s="668">
        <f ca="1">IF(AS$4="forecast",AVERAGE(AG36:AR36),SUMIF('Dept. Cost Actuals'!$E$7:$E$176,"*Computer Supplies*",'Dept. Cost Actuals'!AW$529:AW$628))</f>
        <v>5.8179951845073647</v>
      </c>
      <c r="AT36" s="668">
        <f ca="1">IF(AT$4="forecast",AVERAGE(AH36:AS36),SUMIF('Dept. Cost Actuals'!$E$7:$E$176,"*Computer Supplies*",'Dept. Cost Actuals'!AX$529:AX$628))</f>
        <v>5.8264900651736182</v>
      </c>
      <c r="AU36" s="668">
        <f ca="1">IF(AU$4="forecast",AVERAGE(AI36:AT36),SUMIF('Dept. Cost Actuals'!$E$7:$E$176,"*Computer Supplies*",'Dept. Cost Actuals'!AY$529:AY$628))</f>
        <v>5.7959980149473873</v>
      </c>
      <c r="AV36" s="668">
        <f ca="1">IF(AV$4="forecast",AVERAGE(AJ36:AU36),SUMIF('Dept. Cost Actuals'!$E$7:$E$176,"*Computer Supplies*",'Dept. Cost Actuals'!AZ$529:AZ$628))</f>
        <v>5.7199622197864137</v>
      </c>
      <c r="AW36" s="668">
        <f ca="1">IF(AW$4="forecast",AVERAGE(AK36:AV36),SUMIF('Dept. Cost Actuals'!$E$7:$E$176,"*Computer Supplies*",'Dept. Cost Actuals'!BA$529:BA$628))</f>
        <v>5.5910038058836982</v>
      </c>
      <c r="AX36" s="668">
        <f ca="1">IF(AX$4="forecast",AVERAGE(AL36:AW36),SUMIF('Dept. Cost Actuals'!$E$7:$E$176,"*Computer Supplies*",'Dept. Cost Actuals'!BB$529:BB$628))</f>
        <v>5.6782609186931259</v>
      </c>
      <c r="AY36" s="668">
        <f ca="1">IF(AY$4="forecast",AVERAGE(AM36:AX36),SUMIF('Dept. Cost Actuals'!$E$7:$E$176,"*Computer Supplies*",'Dept. Cost Actuals'!BC$529:BC$628))</f>
        <v>5.7412344683188188</v>
      </c>
      <c r="AZ36" s="668">
        <f ca="1">IF(AZ$4="forecast",AVERAGE(AN36:AY36),SUMIF('Dept. Cost Actuals'!$E$7:$E$176,"*Computer Supplies*",'Dept. Cost Actuals'!BD$529:BD$628))</f>
        <v>5.7752712420578716</v>
      </c>
      <c r="BA36" s="668">
        <f ca="1">IF(BA$4="forecast",AVERAGE(AO36:AZ36),SUMIF('Dept. Cost Actuals'!$E$7:$E$176,"*Computer Supplies*",'Dept. Cost Actuals'!BE$529:BE$628))</f>
        <v>5.7751111276123295</v>
      </c>
      <c r="BB36" s="668">
        <f ca="1">IF(BB$4="forecast",AVERAGE(AP36:BA36),SUMIF('Dept. Cost Actuals'!$E$7:$E$176,"*Computer Supplies*",'Dept. Cost Actuals'!BF$529:BF$628))</f>
        <v>5.7348182771337965</v>
      </c>
      <c r="BC36" s="668">
        <f ca="1">IF(BC$4="forecast",AVERAGE(AQ36:BB36),SUMIF('Dept. Cost Actuals'!$E$7:$E$176,"*Computer Supplies*",'Dept. Cost Actuals'!BG$529:BG$628))</f>
        <v>5.7449272354115299</v>
      </c>
      <c r="BD36" s="668">
        <f ca="1">IF(BD$4="forecast",AVERAGE(AR36:BC36),SUMIF('Dept. Cost Actuals'!$E$7:$E$176,"*Computer Supplies*",'Dept. Cost Actuals'!BH$529:BH$628))</f>
        <v>5.7481169579591631</v>
      </c>
      <c r="BE36" s="668">
        <f ca="1">IF(BE$4="forecast",AVERAGE(AS36:BD36),SUMIF('Dept. Cost Actuals'!$E$7:$E$176,"*Computer Supplies*",'Dept. Cost Actuals'!BI$529:BI$628))</f>
        <v>5.74576579312376</v>
      </c>
      <c r="BF36" s="668">
        <f ca="1">IF(BF$4="forecast",AVERAGE(AT36:BE36),SUMIF('Dept. Cost Actuals'!$E$7:$E$176,"*Computer Supplies*",'Dept. Cost Actuals'!BJ$529:BJ$628))</f>
        <v>5.739746677175126</v>
      </c>
      <c r="BG36" s="668">
        <f ca="1">IF(BG$4="forecast",AVERAGE(AU36:BF36),SUMIF('Dept. Cost Actuals'!$E$7:$E$176,"*Computer Supplies*",'Dept. Cost Actuals'!BK$529:BK$628))</f>
        <v>5.7325180615085847</v>
      </c>
      <c r="BH36" s="668">
        <f ca="1">IF(BH$4="forecast",AVERAGE(AV36:BG36),SUMIF('Dept. Cost Actuals'!$E$7:$E$176,"*Computer Supplies*",'Dept. Cost Actuals'!BL$529:BL$628))</f>
        <v>5.727228065388684</v>
      </c>
      <c r="BI36" s="668">
        <f ca="1">IF(BI$4="forecast",AVERAGE(AW36:BH36),SUMIF('Dept. Cost Actuals'!$E$7:$E$176,"*Computer Supplies*",'Dept. Cost Actuals'!BM$529:BM$628))</f>
        <v>5.7278335525222071</v>
      </c>
      <c r="BJ36" s="668">
        <f ca="1">IF(BJ$4="forecast",AVERAGE(AX36:BI36),SUMIF('Dept. Cost Actuals'!$E$7:$E$176,"*Computer Supplies*",'Dept. Cost Actuals'!BN$529:BN$628))</f>
        <v>5.7392360314087503</v>
      </c>
      <c r="BK36" s="668">
        <f ca="1">IF(BK$4="forecast",AVERAGE(AY36:BJ36),SUMIF('Dept. Cost Actuals'!$E$7:$E$176,"*Computer Supplies*",'Dept. Cost Actuals'!BO$529:BO$628))</f>
        <v>5.7443172908017184</v>
      </c>
      <c r="BL36" s="668">
        <f ca="1">IF(BL$4="forecast",AVERAGE(AZ36:BK36),SUMIF('Dept. Cost Actuals'!$E$7:$E$176,"*Computer Supplies*",'Dept. Cost Actuals'!BP$529:BP$628))</f>
        <v>5.7445741926752945</v>
      </c>
      <c r="BM36" s="668">
        <f ca="1">IF(BM$4="forecast",AVERAGE(BA36:BL36),SUMIF('Dept. Cost Actuals'!$E$7:$E$176,"*Computer Supplies*",'Dept. Cost Actuals'!BQ$529:BQ$628))</f>
        <v>5.742016105226746</v>
      </c>
      <c r="BN36" s="668">
        <f ca="1">IF(BN$4="forecast",AVERAGE(BB36:BM36),SUMIF('Dept. Cost Actuals'!$E$7:$E$176,"*Computer Supplies*",'Dept. Cost Actuals'!BR$529:BR$628))</f>
        <v>5.7392581866946131</v>
      </c>
      <c r="BO36" s="668">
        <f ca="1">IF(BO$4="forecast",AVERAGE(BC36:BN36),SUMIF('Dept. Cost Actuals'!$E$7:$E$176,"*Computer Supplies*",'Dept. Cost Actuals'!BS$529:BS$628))</f>
        <v>5.7396281791580153</v>
      </c>
      <c r="BP36" s="668">
        <f ca="1">IF(BP$4="forecast",AVERAGE(BD36:BO36),SUMIF('Dept. Cost Actuals'!$E$7:$E$176,"*Computer Supplies*",'Dept. Cost Actuals'!BT$529:BT$628))</f>
        <v>5.7391865911368889</v>
      </c>
      <c r="BQ36" s="668">
        <f ca="1">IF(BQ$4="forecast",AVERAGE(BE36:BP36),SUMIF('Dept. Cost Actuals'!$E$7:$E$176,"*Computer Supplies*",'Dept. Cost Actuals'!BU$529:BU$628))</f>
        <v>5.7384423939016989</v>
      </c>
      <c r="BR36" s="668">
        <f ca="1">IF(BR$4="forecast",AVERAGE(BF36:BQ36),SUMIF('Dept. Cost Actuals'!$E$7:$E$176,"*Computer Supplies*",'Dept. Cost Actuals'!BV$529:BV$628))</f>
        <v>5.7378321106331933</v>
      </c>
      <c r="BS36" s="668">
        <f ca="1">IF(BS$4="forecast",AVERAGE(BG36:BR36),SUMIF('Dept. Cost Actuals'!$E$7:$E$176,"*Computer Supplies*",'Dept. Cost Actuals'!BW$529:BW$628))</f>
        <v>5.7376725634213672</v>
      </c>
      <c r="BT36" s="668">
        <f ca="1">IF(BT$4="forecast",AVERAGE(BH36:BS36),SUMIF('Dept. Cost Actuals'!$E$7:$E$176,"*Computer Supplies*",'Dept. Cost Actuals'!BX$529:BX$628))</f>
        <v>5.7381021052474308</v>
      </c>
      <c r="BU36" s="668">
        <f ca="1">IF(BU$4="forecast",AVERAGE(BI36:BT36),SUMIF('Dept. Cost Actuals'!$E$7:$E$176,"*Computer Supplies*",'Dept. Cost Actuals'!BY$529:BY$628))</f>
        <v>5.739008275235661</v>
      </c>
      <c r="BV36" s="790">
        <f ca="1">IF(BV$4="forecast",AVERAGE(BJ36:BU36),SUMIF('Dept. Cost Actuals'!$E$7:$E$176,"*Computer Supplies*",'Dept. Cost Actuals'!BZ$529:BZ$628))</f>
        <v>5.7399395021284478</v>
      </c>
    </row>
    <row r="37" spans="2:74" x14ac:dyDescent="0.25">
      <c r="B37" s="794" t="s">
        <v>943</v>
      </c>
      <c r="C37" s="668">
        <f ca="1">IF(C$4="forecast",AVERAGE(#REF!),SUMIF('Dept. Cost Actuals'!$E$7:$E$176,"*Printing and Reproduction*",'Dept. Cost Actuals'!G$529:G$628))</f>
        <v>0</v>
      </c>
      <c r="D37" s="668">
        <f ca="1">IF(D$4="forecast",AVERAGE(#REF!),SUMIF('Dept. Cost Actuals'!$E$7:$E$176,"*Printing and Reproduction*",'Dept. Cost Actuals'!H$529:H$628))</f>
        <v>0</v>
      </c>
      <c r="E37" s="668">
        <f ca="1">IF(E$4="forecast",AVERAGE(#REF!),SUMIF('Dept. Cost Actuals'!$E$7:$E$176,"*Printing and Reproduction*",'Dept. Cost Actuals'!I$529:I$628))</f>
        <v>0</v>
      </c>
      <c r="F37" s="668">
        <f ca="1">IF(F$4="forecast",AVERAGE(#REF!),SUMIF('Dept. Cost Actuals'!$E$7:$E$176,"*Printing and Reproduction*",'Dept. Cost Actuals'!J$529:J$628))</f>
        <v>11.364250721573466</v>
      </c>
      <c r="G37" s="668">
        <f ca="1">IF(G$4="forecast",AVERAGE(#REF!),SUMIF('Dept. Cost Actuals'!$E$7:$E$176,"*Printing and Reproduction*",'Dept. Cost Actuals'!K$529:K$628))</f>
        <v>0.2740088147732101</v>
      </c>
      <c r="H37" s="668">
        <f ca="1">IF(H$4="forecast",AVERAGE(#REF!),SUMIF('Dept. Cost Actuals'!$E$7:$E$176,"*Printing and Reproduction*",'Dept. Cost Actuals'!L$529:L$628))</f>
        <v>0</v>
      </c>
      <c r="I37" s="668">
        <f ca="1">IF(I$4="forecast",AVERAGE(#REF!),SUMIF('Dept. Cost Actuals'!$E$7:$E$176,"*Printing and Reproduction*",'Dept. Cost Actuals'!M$529:M$628))</f>
        <v>0</v>
      </c>
      <c r="J37" s="668">
        <f ca="1">IF(J$4="forecast",AVERAGE(#REF!),SUMIF('Dept. Cost Actuals'!$E$7:$E$176,"*Printing and Reproduction*",'Dept. Cost Actuals'!N$529:N$628))</f>
        <v>0</v>
      </c>
      <c r="K37" s="668">
        <f ca="1">IF(K$4="forecast",AVERAGE(#REF!),SUMIF('Dept. Cost Actuals'!$E$7:$E$176,"*Printing and Reproduction*",'Dept. Cost Actuals'!O$529:O$628))</f>
        <v>1.2492690758108169</v>
      </c>
      <c r="L37" s="668">
        <f ca="1">IF(L$4="forecast",AVERAGE(#REF!),SUMIF('Dept. Cost Actuals'!$E$7:$E$176,"*Printing and Reproduction*",'Dept. Cost Actuals'!P$529:P$628))</f>
        <v>3.1796451642273307E-2</v>
      </c>
      <c r="M37" s="668">
        <f ca="1">IF(M$4="forecast",AVERAGE(A37:L37),SUMIF('Dept. Cost Actuals'!$E$7:$E$176,"*Printing and Reproduction*",'Dept. Cost Actuals'!Q$529:Q$628))</f>
        <v>3.0735950410566395</v>
      </c>
      <c r="N37" s="668">
        <f ca="1">IF(N$4="forecast",AVERAGE(B37:M37),SUMIF('Dept. Cost Actuals'!$E$7:$E$176,"*Printing and Reproduction*",'Dept. Cost Actuals'!R$529:R$628))</f>
        <v>0</v>
      </c>
      <c r="O37" s="668">
        <f ca="1">IF(O$4="forecast",AVERAGE(C37:N37),SUMIF('Dept. Cost Actuals'!$E$7:$E$176,"*Printing and Reproduction*",'Dept. Cost Actuals'!S$529:S$628))</f>
        <v>0</v>
      </c>
      <c r="P37" s="668">
        <f ca="1">IF(P$4="forecast",AVERAGE(D37:O37),SUMIF('Dept. Cost Actuals'!$E$7:$E$176,"*Printing and Reproduction*",'Dept. Cost Actuals'!T$529:T$628))</f>
        <v>0</v>
      </c>
      <c r="Q37" s="668">
        <f ca="1">IF(Q$4="forecast",AVERAGE(E37:P37),SUMIF('Dept. Cost Actuals'!$E$7:$E$176,"*Printing and Reproduction*",'Dept. Cost Actuals'!U$529:U$628))</f>
        <v>615.75</v>
      </c>
      <c r="R37" s="668">
        <f ca="1">IF(R$4="forecast",AVERAGE(F37:Q37),SUMIF('Dept. Cost Actuals'!$E$7:$E$176,"*Printing and Reproduction*",'Dept. Cost Actuals'!V$529:V$628))</f>
        <v>0</v>
      </c>
      <c r="S37" s="668">
        <f ca="1">IF(S$4="forecast",AVERAGE(G37:R37),SUMIF('Dept. Cost Actuals'!$E$7:$E$176,"*Printing and Reproduction*",'Dept. Cost Actuals'!W$529:W$628))</f>
        <v>0</v>
      </c>
      <c r="T37" s="668">
        <f ca="1">IF(T$4="forecast",AVERAGE(H37:S37),SUMIF('Dept. Cost Actuals'!$E$7:$E$176,"*Printing and Reproduction*",'Dept. Cost Actuals'!X$529:X$628))</f>
        <v>0</v>
      </c>
      <c r="U37" s="668">
        <f ca="1">IF(U$4="forecast",AVERAGE(I37:T37),SUMIF('Dept. Cost Actuals'!$E$7:$E$176,"*Printing and Reproduction*",'Dept. Cost Actuals'!Y$529:Y$628))</f>
        <v>0</v>
      </c>
      <c r="V37" s="668">
        <f ca="1">IF(V$4="forecast",AVERAGE(J37:U37),SUMIF('Dept. Cost Actuals'!$E$7:$E$176,"*Printing and Reproduction*",'Dept. Cost Actuals'!Z$529:Z$628))</f>
        <v>0</v>
      </c>
      <c r="W37" s="668">
        <f ca="1">IF(W$4="forecast",AVERAGE(K37:V37),SUMIF('Dept. Cost Actuals'!$E$7:$E$176,"*Printing and Reproduction*",'Dept. Cost Actuals'!AA$529:AA$628))</f>
        <v>0</v>
      </c>
      <c r="X37" s="668">
        <f ca="1">IF(X$4="forecast",AVERAGE(L37:W37),SUMIF('Dept. Cost Actuals'!$E$7:$E$176,"*Printing and Reproduction*",'Dept. Cost Actuals'!AB$529:AB$628))</f>
        <v>0</v>
      </c>
      <c r="Y37" s="668">
        <f ca="1">IF(Y$4="forecast",AVERAGE(M37:X37),SUMIF('Dept. Cost Actuals'!$E$7:$E$176,"*Printing and Reproduction*",'Dept. Cost Actuals'!AC$529:AC$628))</f>
        <v>0</v>
      </c>
      <c r="Z37" s="668">
        <f ca="1">IF(Z$4="forecast",AVERAGE(N37:Y37),SUMIF('Dept. Cost Actuals'!$E$7:$E$176,"*Printing and Reproduction*",'Dept. Cost Actuals'!AD$529:AD$628))</f>
        <v>0</v>
      </c>
      <c r="AA37" s="668">
        <f ca="1">IF(AA$4="forecast",AVERAGE(O37:Z37),SUMIF('Dept. Cost Actuals'!$E$7:$E$176,"*Printing and Reproduction*",'Dept. Cost Actuals'!AE$529:AE$628))</f>
        <v>0</v>
      </c>
      <c r="AB37" s="668">
        <f ca="1">IF(AB$4="forecast",AVERAGE(P37:AA37),SUMIF('Dept. Cost Actuals'!$E$7:$E$176,"*Printing and Reproduction*",'Dept. Cost Actuals'!AF$529:AF$628))</f>
        <v>0</v>
      </c>
      <c r="AC37" s="668">
        <f ca="1">IF(AC$4="forecast",AVERAGE(Q37:AB37),SUMIF('Dept. Cost Actuals'!$E$7:$E$176,"*Printing and Reproduction*",'Dept. Cost Actuals'!AG$529:AG$628))</f>
        <v>0</v>
      </c>
      <c r="AD37" s="668">
        <f ca="1">IF(AD$4="forecast",AVERAGE(R37:AC37),SUMIF('Dept. Cost Actuals'!$E$7:$E$176,"*Printing and Reproduction*",'Dept. Cost Actuals'!AH$529:AH$628))</f>
        <v>0</v>
      </c>
      <c r="AE37" s="668">
        <f ca="1">IF(AE$4="forecast",AVERAGE(S37:AD37),SUMIF('Dept. Cost Actuals'!$E$7:$E$176,"*Printing and Reproduction*",'Dept. Cost Actuals'!AI$529:AI$628))</f>
        <v>0</v>
      </c>
      <c r="AF37" s="668">
        <f ca="1">IF(AF$4="forecast",AVERAGE(T37:AE37),SUMIF('Dept. Cost Actuals'!$E$7:$E$176,"*Printing and Reproduction*",'Dept. Cost Actuals'!AJ$529:AJ$628))</f>
        <v>0</v>
      </c>
      <c r="AG37" s="668">
        <f ca="1">IF(AG$4="forecast",AVERAGE(U37:AF37),SUMIF('Dept. Cost Actuals'!$E$7:$E$176,"*Printing and Reproduction*",'Dept. Cost Actuals'!AK$529:AK$628))</f>
        <v>0</v>
      </c>
      <c r="AH37" s="668">
        <f ca="1">IF(AH$4="forecast",AVERAGE(V37:AG37),SUMIF('Dept. Cost Actuals'!$E$7:$E$176,"*Printing and Reproduction*",'Dept. Cost Actuals'!AL$529:AL$628))</f>
        <v>0</v>
      </c>
      <c r="AI37" s="668">
        <f ca="1">IF(AI$4="forecast",AVERAGE(W37:AH37),SUMIF('Dept. Cost Actuals'!$E$7:$E$176,"*Printing and Reproduction*",'Dept. Cost Actuals'!AM$529:AM$628))</f>
        <v>0</v>
      </c>
      <c r="AJ37" s="668">
        <f ca="1">IF(AJ$4="forecast",AVERAGE(X37:AI37),SUMIF('Dept. Cost Actuals'!$E$7:$E$176,"*Printing and Reproduction*",'Dept. Cost Actuals'!AN$529:AN$628))</f>
        <v>0</v>
      </c>
      <c r="AK37" s="668">
        <f ca="1">IF(AK$4="forecast",AVERAGE(Y37:AJ37),SUMIF('Dept. Cost Actuals'!$E$7:$E$176,"*Printing and Reproduction*",'Dept. Cost Actuals'!AO$529:AO$628))</f>
        <v>0</v>
      </c>
      <c r="AL37" s="668">
        <f ca="1">IF(AL$4="forecast",AVERAGE(Z37:AK37),SUMIF('Dept. Cost Actuals'!$E$7:$E$176,"*Printing and Reproduction*",'Dept. Cost Actuals'!AP$529:AP$628))</f>
        <v>0</v>
      </c>
      <c r="AM37" s="668">
        <f ca="1">IF(AM$4="forecast",AVERAGE(AA37:AL37),SUMIF('Dept. Cost Actuals'!$E$7:$E$176,"*Printing and Reproduction*",'Dept. Cost Actuals'!AQ$529:AQ$628))</f>
        <v>0</v>
      </c>
      <c r="AN37" s="668">
        <f ca="1">IF(AN$4="forecast",AVERAGE(AB37:AM37),SUMIF('Dept. Cost Actuals'!$E$7:$E$176,"*Printing and Reproduction*",'Dept. Cost Actuals'!AR$529:AR$628))</f>
        <v>0</v>
      </c>
      <c r="AO37" s="668">
        <f ca="1">IF(AO$4="forecast",AVERAGE(AC37:AN37),SUMIF('Dept. Cost Actuals'!$E$7:$E$176,"*Printing and Reproduction*",'Dept. Cost Actuals'!AS$529:AS$628))</f>
        <v>0</v>
      </c>
      <c r="AP37" s="668">
        <f ca="1">IF(AP$4="forecast",AVERAGE(AD37:AO37),SUMIF('Dept. Cost Actuals'!$E$7:$E$176,"*Printing and Reproduction*",'Dept. Cost Actuals'!AT$529:AT$628))</f>
        <v>0</v>
      </c>
      <c r="AQ37" s="668">
        <f ca="1">IF(AQ$4="forecast",AVERAGE(AE37:AP37),SUMIF('Dept. Cost Actuals'!$E$7:$E$176,"*Printing and Reproduction*",'Dept. Cost Actuals'!AU$529:AU$628))</f>
        <v>0</v>
      </c>
      <c r="AR37" s="668">
        <f ca="1">IF(AR$4="forecast",AVERAGE(AF37:AQ37),SUMIF('Dept. Cost Actuals'!$E$7:$E$176,"*Printing and Reproduction*",'Dept. Cost Actuals'!AV$529:AV$628))</f>
        <v>0</v>
      </c>
      <c r="AS37" s="668">
        <f ca="1">IF(AS$4="forecast",AVERAGE(AG37:AR37),SUMIF('Dept. Cost Actuals'!$E$7:$E$176,"*Printing and Reproduction*",'Dept. Cost Actuals'!AW$529:AW$628))</f>
        <v>0</v>
      </c>
      <c r="AT37" s="668">
        <f ca="1">IF(AT$4="forecast",AVERAGE(AH37:AS37),SUMIF('Dept. Cost Actuals'!$E$7:$E$176,"*Printing and Reproduction*",'Dept. Cost Actuals'!AX$529:AX$628))</f>
        <v>0</v>
      </c>
      <c r="AU37" s="668">
        <f ca="1">IF(AU$4="forecast",AVERAGE(AI37:AT37),SUMIF('Dept. Cost Actuals'!$E$7:$E$176,"*Printing and Reproduction*",'Dept. Cost Actuals'!AY$529:AY$628))</f>
        <v>0</v>
      </c>
      <c r="AV37" s="668">
        <f ca="1">IF(AV$4="forecast",AVERAGE(AJ37:AU37),SUMIF('Dept. Cost Actuals'!$E$7:$E$176,"*Printing and Reproduction*",'Dept. Cost Actuals'!AZ$529:AZ$628))</f>
        <v>0</v>
      </c>
      <c r="AW37" s="668">
        <f ca="1">IF(AW$4="forecast",AVERAGE(AK37:AV37),SUMIF('Dept. Cost Actuals'!$E$7:$E$176,"*Printing and Reproduction*",'Dept. Cost Actuals'!BA$529:BA$628))</f>
        <v>0</v>
      </c>
      <c r="AX37" s="668">
        <f ca="1">IF(AX$4="forecast",AVERAGE(AL37:AW37),SUMIF('Dept. Cost Actuals'!$E$7:$E$176,"*Printing and Reproduction*",'Dept. Cost Actuals'!BB$529:BB$628))</f>
        <v>0</v>
      </c>
      <c r="AY37" s="668">
        <f ca="1">IF(AY$4="forecast",AVERAGE(AM37:AX37),SUMIF('Dept. Cost Actuals'!$E$7:$E$176,"*Printing and Reproduction*",'Dept. Cost Actuals'!BC$529:BC$628))</f>
        <v>0</v>
      </c>
      <c r="AZ37" s="668">
        <f ca="1">IF(AZ$4="forecast",AVERAGE(AN37:AY37),SUMIF('Dept. Cost Actuals'!$E$7:$E$176,"*Printing and Reproduction*",'Dept. Cost Actuals'!BD$529:BD$628))</f>
        <v>0</v>
      </c>
      <c r="BA37" s="668">
        <f ca="1">IF(BA$4="forecast",AVERAGE(AO37:AZ37),SUMIF('Dept. Cost Actuals'!$E$7:$E$176,"*Printing and Reproduction*",'Dept. Cost Actuals'!BE$529:BE$628))</f>
        <v>0</v>
      </c>
      <c r="BB37" s="668">
        <f ca="1">IF(BB$4="forecast",AVERAGE(AP37:BA37),SUMIF('Dept. Cost Actuals'!$E$7:$E$176,"*Printing and Reproduction*",'Dept. Cost Actuals'!BF$529:BF$628))</f>
        <v>0</v>
      </c>
      <c r="BC37" s="668">
        <f ca="1">IF(BC$4="forecast",AVERAGE(AQ37:BB37),SUMIF('Dept. Cost Actuals'!$E$7:$E$176,"*Printing and Reproduction*",'Dept. Cost Actuals'!BG$529:BG$628))</f>
        <v>0</v>
      </c>
      <c r="BD37" s="668">
        <f ca="1">IF(BD$4="forecast",AVERAGE(AR37:BC37),SUMIF('Dept. Cost Actuals'!$E$7:$E$176,"*Printing and Reproduction*",'Dept. Cost Actuals'!BH$529:BH$628))</f>
        <v>0</v>
      </c>
      <c r="BE37" s="668">
        <f ca="1">IF(BE$4="forecast",AVERAGE(AS37:BD37),SUMIF('Dept. Cost Actuals'!$E$7:$E$176,"*Printing and Reproduction*",'Dept. Cost Actuals'!BI$529:BI$628))</f>
        <v>0</v>
      </c>
      <c r="BF37" s="668">
        <f ca="1">IF(BF$4="forecast",AVERAGE(AT37:BE37),SUMIF('Dept. Cost Actuals'!$E$7:$E$176,"*Printing and Reproduction*",'Dept. Cost Actuals'!BJ$529:BJ$628))</f>
        <v>0</v>
      </c>
      <c r="BG37" s="668">
        <f ca="1">IF(BG$4="forecast",AVERAGE(AU37:BF37),SUMIF('Dept. Cost Actuals'!$E$7:$E$176,"*Printing and Reproduction*",'Dept. Cost Actuals'!BK$529:BK$628))</f>
        <v>0</v>
      </c>
      <c r="BH37" s="668">
        <f ca="1">IF(BH$4="forecast",AVERAGE(AV37:BG37),SUMIF('Dept. Cost Actuals'!$E$7:$E$176,"*Printing and Reproduction*",'Dept. Cost Actuals'!BL$529:BL$628))</f>
        <v>0</v>
      </c>
      <c r="BI37" s="668">
        <f ca="1">IF(BI$4="forecast",AVERAGE(AW37:BH37),SUMIF('Dept. Cost Actuals'!$E$7:$E$176,"*Printing and Reproduction*",'Dept. Cost Actuals'!BM$529:BM$628))</f>
        <v>0</v>
      </c>
      <c r="BJ37" s="668">
        <f ca="1">IF(BJ$4="forecast",AVERAGE(AX37:BI37),SUMIF('Dept. Cost Actuals'!$E$7:$E$176,"*Printing and Reproduction*",'Dept. Cost Actuals'!BN$529:BN$628))</f>
        <v>0</v>
      </c>
      <c r="BK37" s="668">
        <f ca="1">IF(BK$4="forecast",AVERAGE(AY37:BJ37),SUMIF('Dept. Cost Actuals'!$E$7:$E$176,"*Printing and Reproduction*",'Dept. Cost Actuals'!BO$529:BO$628))</f>
        <v>0</v>
      </c>
      <c r="BL37" s="668">
        <f ca="1">IF(BL$4="forecast",AVERAGE(AZ37:BK37),SUMIF('Dept. Cost Actuals'!$E$7:$E$176,"*Printing and Reproduction*",'Dept. Cost Actuals'!BP$529:BP$628))</f>
        <v>0</v>
      </c>
      <c r="BM37" s="668">
        <f ca="1">IF(BM$4="forecast",AVERAGE(BA37:BL37),SUMIF('Dept. Cost Actuals'!$E$7:$E$176,"*Printing and Reproduction*",'Dept. Cost Actuals'!BQ$529:BQ$628))</f>
        <v>0</v>
      </c>
      <c r="BN37" s="668">
        <f ca="1">IF(BN$4="forecast",AVERAGE(BB37:BM37),SUMIF('Dept. Cost Actuals'!$E$7:$E$176,"*Printing and Reproduction*",'Dept. Cost Actuals'!BR$529:BR$628))</f>
        <v>0</v>
      </c>
      <c r="BO37" s="668">
        <f ca="1">IF(BO$4="forecast",AVERAGE(BC37:BN37),SUMIF('Dept. Cost Actuals'!$E$7:$E$176,"*Printing and Reproduction*",'Dept. Cost Actuals'!BS$529:BS$628))</f>
        <v>0</v>
      </c>
      <c r="BP37" s="668">
        <f ca="1">IF(BP$4="forecast",AVERAGE(BD37:BO37),SUMIF('Dept. Cost Actuals'!$E$7:$E$176,"*Printing and Reproduction*",'Dept. Cost Actuals'!BT$529:BT$628))</f>
        <v>0</v>
      </c>
      <c r="BQ37" s="668">
        <f ca="1">IF(BQ$4="forecast",AVERAGE(BE37:BP37),SUMIF('Dept. Cost Actuals'!$E$7:$E$176,"*Printing and Reproduction*",'Dept. Cost Actuals'!BU$529:BU$628))</f>
        <v>0</v>
      </c>
      <c r="BR37" s="668">
        <f ca="1">IF(BR$4="forecast",AVERAGE(BF37:BQ37),SUMIF('Dept. Cost Actuals'!$E$7:$E$176,"*Printing and Reproduction*",'Dept. Cost Actuals'!BV$529:BV$628))</f>
        <v>0</v>
      </c>
      <c r="BS37" s="668">
        <f ca="1">IF(BS$4="forecast",AVERAGE(BG37:BR37),SUMIF('Dept. Cost Actuals'!$E$7:$E$176,"*Printing and Reproduction*",'Dept. Cost Actuals'!BW$529:BW$628))</f>
        <v>0</v>
      </c>
      <c r="BT37" s="668">
        <f ca="1">IF(BT$4="forecast",AVERAGE(BH37:BS37),SUMIF('Dept. Cost Actuals'!$E$7:$E$176,"*Printing and Reproduction*",'Dept. Cost Actuals'!BX$529:BX$628))</f>
        <v>0</v>
      </c>
      <c r="BU37" s="668">
        <f ca="1">IF(BU$4="forecast",AVERAGE(BI37:BT37),SUMIF('Dept. Cost Actuals'!$E$7:$E$176,"*Printing and Reproduction*",'Dept. Cost Actuals'!BY$529:BY$628))</f>
        <v>0</v>
      </c>
      <c r="BV37" s="790">
        <f ca="1">IF(BV$4="forecast",AVERAGE(BJ37:BU37),SUMIF('Dept. Cost Actuals'!$E$7:$E$176,"*Printing and Reproduction*",'Dept. Cost Actuals'!BZ$529:BZ$628))</f>
        <v>0</v>
      </c>
    </row>
    <row r="38" spans="2:74" x14ac:dyDescent="0.25">
      <c r="B38" s="794" t="s">
        <v>921</v>
      </c>
      <c r="C38" s="668">
        <f ca="1">IF(C$4="forecast",AVERAGE(#REF!),SUMIF('Dept. Cost Actuals'!$E$7:$E$176,"*Office Supplies*",'Dept. Cost Actuals'!G$529:G$628))</f>
        <v>0</v>
      </c>
      <c r="D38" s="668">
        <f ca="1">IF(D$4="forecast",AVERAGE(#REF!),SUMIF('Dept. Cost Actuals'!$E$7:$E$176,"*Office Supplies*",'Dept. Cost Actuals'!H$529:H$628))</f>
        <v>0</v>
      </c>
      <c r="E38" s="668">
        <f ca="1">IF(E$4="forecast",AVERAGE(#REF!),SUMIF('Dept. Cost Actuals'!$E$7:$E$176,"*Office Supplies*",'Dept. Cost Actuals'!I$529:I$628))</f>
        <v>0</v>
      </c>
      <c r="F38" s="668">
        <f ca="1">IF(F$4="forecast",AVERAGE(#REF!),SUMIF('Dept. Cost Actuals'!$E$7:$E$176,"*Office Supplies*",'Dept. Cost Actuals'!J$529:J$628))</f>
        <v>0</v>
      </c>
      <c r="G38" s="668">
        <f ca="1">IF(G$4="forecast",AVERAGE(#REF!),SUMIF('Dept. Cost Actuals'!$E$7:$E$176,"*Office Supplies*",'Dept. Cost Actuals'!K$529:K$628))</f>
        <v>0</v>
      </c>
      <c r="H38" s="668">
        <f ca="1">IF(H$4="forecast",AVERAGE(#REF!),SUMIF('Dept. Cost Actuals'!$E$7:$E$176,"*Office Supplies*",'Dept. Cost Actuals'!L$529:L$628))</f>
        <v>0</v>
      </c>
      <c r="I38" s="668">
        <f ca="1">IF(I$4="forecast",AVERAGE(#REF!),SUMIF('Dept. Cost Actuals'!$E$7:$E$176,"*Office Supplies*",'Dept. Cost Actuals'!M$529:M$628))</f>
        <v>0</v>
      </c>
      <c r="J38" s="668">
        <f ca="1">IF(J$4="forecast",AVERAGE(#REF!),SUMIF('Dept. Cost Actuals'!$E$7:$E$176,"*Office Supplies*",'Dept. Cost Actuals'!N$529:N$628))</f>
        <v>0</v>
      </c>
      <c r="K38" s="668">
        <f ca="1">IF(K$4="forecast",AVERAGE(#REF!),SUMIF('Dept. Cost Actuals'!$E$7:$E$176,"*Office Supplies*",'Dept. Cost Actuals'!O$529:O$628))</f>
        <v>0</v>
      </c>
      <c r="L38" s="668">
        <f ca="1">IF(L$4="forecast",AVERAGE(#REF!),SUMIF('Dept. Cost Actuals'!$E$7:$E$176,"*Office Supplies*",'Dept. Cost Actuals'!P$529:P$628))</f>
        <v>0</v>
      </c>
      <c r="M38" s="668">
        <f ca="1">IF(M$4="forecast",AVERAGE(A38:L38),SUMIF('Dept. Cost Actuals'!$E$7:$E$176,"*Office Supplies*",'Dept. Cost Actuals'!Q$529:Q$628))</f>
        <v>0</v>
      </c>
      <c r="N38" s="668">
        <f ca="1">IF(N$4="forecast",AVERAGE(B38:M38),SUMIF('Dept. Cost Actuals'!$E$7:$E$176,"*Office Supplies*",'Dept. Cost Actuals'!R$529:R$628))</f>
        <v>0</v>
      </c>
      <c r="O38" s="668">
        <f ca="1">IF(O$4="forecast",AVERAGE(C38:N38),SUMIF('Dept. Cost Actuals'!$E$7:$E$176,"*Office Supplies*",'Dept. Cost Actuals'!S$529:S$628))</f>
        <v>0</v>
      </c>
      <c r="P38" s="668">
        <f ca="1">IF(P$4="forecast",AVERAGE(D38:O38),SUMIF('Dept. Cost Actuals'!$E$7:$E$176,"*Office Supplies*",'Dept. Cost Actuals'!T$529:T$628))</f>
        <v>100</v>
      </c>
      <c r="Q38" s="668">
        <f ca="1">IF(Q$4="forecast",AVERAGE(E38:P38),SUMIF('Dept. Cost Actuals'!$E$7:$E$176,"*Office Supplies*",'Dept. Cost Actuals'!U$529:U$628))</f>
        <v>0</v>
      </c>
      <c r="R38" s="668">
        <f ca="1">IF(R$4="forecast",AVERAGE(F38:Q38),SUMIF('Dept. Cost Actuals'!$E$7:$E$176,"*Office Supplies*",'Dept. Cost Actuals'!V$529:V$628))</f>
        <v>25.46</v>
      </c>
      <c r="S38" s="668">
        <f ca="1">IF(S$4="forecast",AVERAGE(G38:R38),SUMIF('Dept. Cost Actuals'!$E$7:$E$176,"*Office Supplies*",'Dept. Cost Actuals'!W$529:W$628))</f>
        <v>0</v>
      </c>
      <c r="T38" s="668">
        <f ca="1">IF(T$4="forecast",AVERAGE(H38:S38),SUMIF('Dept. Cost Actuals'!$E$7:$E$176,"*Office Supplies*",'Dept. Cost Actuals'!X$529:X$628))</f>
        <v>0</v>
      </c>
      <c r="U38" s="668">
        <f ca="1">IF(U$4="forecast",AVERAGE(I38:T38),SUMIF('Dept. Cost Actuals'!$E$7:$E$176,"*Office Supplies*",'Dept. Cost Actuals'!Y$529:Y$628))</f>
        <v>0</v>
      </c>
      <c r="V38" s="668">
        <f ca="1">IF(V$4="forecast",AVERAGE(J38:U38),SUMIF('Dept. Cost Actuals'!$E$7:$E$176,"*Office Supplies*",'Dept. Cost Actuals'!Z$529:Z$628))</f>
        <v>161.55000000000001</v>
      </c>
      <c r="W38" s="668">
        <f ca="1">IF(W$4="forecast",AVERAGE(K38:V38),SUMIF('Dept. Cost Actuals'!$E$7:$E$176,"*Office Supplies*",'Dept. Cost Actuals'!AA$529:AA$628))</f>
        <v>0</v>
      </c>
      <c r="X38" s="668">
        <f ca="1">IF(X$4="forecast",AVERAGE(L38:W38),SUMIF('Dept. Cost Actuals'!$E$7:$E$176,"*Office Supplies*",'Dept. Cost Actuals'!AB$529:AB$628))</f>
        <v>0</v>
      </c>
      <c r="Y38" s="668">
        <f ca="1">IF(Y$4="forecast",AVERAGE(M38:X38),SUMIF('Dept. Cost Actuals'!$E$7:$E$176,"*Office Supplies*",'Dept. Cost Actuals'!AC$529:AC$628))</f>
        <v>198.9</v>
      </c>
      <c r="Z38" s="668">
        <f ca="1">IF(Z$4="forecast",AVERAGE(N38:Y38),SUMIF('Dept. Cost Actuals'!$E$7:$E$176,"*Office Supplies*",'Dept. Cost Actuals'!AD$529:AD$628))</f>
        <v>0</v>
      </c>
      <c r="AA38" s="668">
        <f ca="1">IF(AA$4="forecast",AVERAGE(O38:Z38),SUMIF('Dept. Cost Actuals'!$E$7:$E$176,"*Office Supplies*",'Dept. Cost Actuals'!AE$529:AE$628))</f>
        <v>0</v>
      </c>
      <c r="AB38" s="668">
        <f ca="1">IF(AB$4="forecast",AVERAGE(P38:AA38),SUMIF('Dept. Cost Actuals'!$E$7:$E$176,"*Office Supplies*",'Dept. Cost Actuals'!AF$529:AF$628))</f>
        <v>116.36</v>
      </c>
      <c r="AC38" s="668">
        <f ca="1">IF(AC$4="forecast",AVERAGE(Q38:AB38),SUMIF('Dept. Cost Actuals'!$E$7:$E$176,"*Office Supplies*",'Dept. Cost Actuals'!AG$529:AG$628))</f>
        <v>41.49</v>
      </c>
      <c r="AD38" s="668">
        <f ca="1">IF(AD$4="forecast",AVERAGE(R38:AC38),SUMIF('Dept. Cost Actuals'!$E$7:$E$176,"*Office Supplies*",'Dept. Cost Actuals'!AH$529:AH$628))</f>
        <v>45.313333333333333</v>
      </c>
      <c r="AE38" s="668">
        <f ca="1">IF(AE$4="forecast",AVERAGE(S38:AD38),SUMIF('Dept. Cost Actuals'!$E$7:$E$176,"*Office Supplies*",'Dept. Cost Actuals'!AI$529:AI$628))</f>
        <v>46.967777777777791</v>
      </c>
      <c r="AF38" s="668">
        <f ca="1">IF(AF$4="forecast",AVERAGE(T38:AE38),SUMIF('Dept. Cost Actuals'!$E$7:$E$176,"*Office Supplies*",'Dept. Cost Actuals'!AJ$529:AJ$628))</f>
        <v>50.881759259259269</v>
      </c>
      <c r="AG38" s="668">
        <f ca="1">IF(AG$4="forecast",AVERAGE(U38:AF38),SUMIF('Dept. Cost Actuals'!$E$7:$E$176,"*Office Supplies*",'Dept. Cost Actuals'!AK$529:AK$628))</f>
        <v>55.121905864197544</v>
      </c>
      <c r="AH38" s="668">
        <f ca="1">IF(AH$4="forecast",AVERAGE(V38:AG38),SUMIF('Dept. Cost Actuals'!$E$7:$E$176,"*Office Supplies*",'Dept. Cost Actuals'!AL$529:AL$628))</f>
        <v>59.715398019547337</v>
      </c>
      <c r="AI38" s="668">
        <f ca="1">IF(AI$4="forecast",AVERAGE(W38:AH38),SUMIF('Dept. Cost Actuals'!$E$7:$E$176,"*Office Supplies*",'Dept. Cost Actuals'!AM$529:AM$628))</f>
        <v>51.229181187842933</v>
      </c>
      <c r="AJ38" s="668">
        <f ca="1">IF(AJ$4="forecast",AVERAGE(X38:AI38),SUMIF('Dept. Cost Actuals'!$E$7:$E$176,"*Office Supplies*",'Dept. Cost Actuals'!AN$529:AN$628))</f>
        <v>55.498279620163181</v>
      </c>
      <c r="AK38" s="668">
        <f ca="1">IF(AK$4="forecast",AVERAGE(Y38:AJ38),SUMIF('Dept. Cost Actuals'!$E$7:$E$176,"*Office Supplies*",'Dept. Cost Actuals'!AO$529:AO$628))</f>
        <v>60.123136255176782</v>
      </c>
      <c r="AL38" s="668">
        <f ca="1">IF(AL$4="forecast",AVERAGE(Z38:AK38),SUMIF('Dept. Cost Actuals'!$E$7:$E$176,"*Office Supplies*",'Dept. Cost Actuals'!AP$529:AP$628))</f>
        <v>48.558397609774836</v>
      </c>
      <c r="AM38" s="668">
        <f ca="1">IF(AM$4="forecast",AVERAGE(AA38:AL38),SUMIF('Dept. Cost Actuals'!$E$7:$E$176,"*Office Supplies*",'Dept. Cost Actuals'!AQ$529:AQ$628))</f>
        <v>52.604930743922743</v>
      </c>
      <c r="AN38" s="668">
        <f ca="1">IF(AN$4="forecast",AVERAGE(AB38:AM38),SUMIF('Dept. Cost Actuals'!$E$7:$E$176,"*Office Supplies*",'Dept. Cost Actuals'!AR$529:AR$628))</f>
        <v>56.98867497258297</v>
      </c>
      <c r="AO38" s="668">
        <f ca="1">IF(AO$4="forecast",AVERAGE(AC38:AN38),SUMIF('Dept. Cost Actuals'!$E$7:$E$176,"*Office Supplies*",'Dept. Cost Actuals'!AS$529:AS$628))</f>
        <v>52.041064553631571</v>
      </c>
      <c r="AP38" s="668">
        <f ca="1">IF(AP$4="forecast",AVERAGE(AD38:AO38),SUMIF('Dept. Cost Actuals'!$E$7:$E$176,"*Office Supplies*",'Dept. Cost Actuals'!AT$529:AT$628))</f>
        <v>52.920319933100863</v>
      </c>
      <c r="AQ38" s="668">
        <f ca="1">IF(AQ$4="forecast",AVERAGE(AE38:AP38),SUMIF('Dept. Cost Actuals'!$E$7:$E$176,"*Office Supplies*",'Dept. Cost Actuals'!AU$529:AU$628))</f>
        <v>53.554235483081492</v>
      </c>
      <c r="AR38" s="668">
        <f ca="1">IF(AR$4="forecast",AVERAGE(AF38:AQ38),SUMIF('Dept. Cost Actuals'!$E$7:$E$176,"*Office Supplies*",'Dept. Cost Actuals'!AV$529:AV$628))</f>
        <v>54.103106958523455</v>
      </c>
      <c r="AS38" s="668">
        <f ca="1">IF(AS$4="forecast",AVERAGE(AG38:AR38),SUMIF('Dept. Cost Actuals'!$E$7:$E$176,"*Office Supplies*",'Dept. Cost Actuals'!AW$529:AW$628))</f>
        <v>54.371552600128801</v>
      </c>
      <c r="AT38" s="668">
        <f ca="1">IF(AT$4="forecast",AVERAGE(AH38:AS38),SUMIF('Dept. Cost Actuals'!$E$7:$E$176,"*Office Supplies*",'Dept. Cost Actuals'!AX$529:AX$628))</f>
        <v>54.309023161456416</v>
      </c>
      <c r="AU38" s="668">
        <f ca="1">IF(AU$4="forecast",AVERAGE(AI38:AT38),SUMIF('Dept. Cost Actuals'!$E$7:$E$176,"*Office Supplies*",'Dept. Cost Actuals'!AY$529:AY$628))</f>
        <v>53.858491923282166</v>
      </c>
      <c r="AV38" s="668">
        <f ca="1">IF(AV$4="forecast",AVERAGE(AJ38:AU38),SUMIF('Dept. Cost Actuals'!$E$7:$E$176,"*Office Supplies*",'Dept. Cost Actuals'!AZ$529:AZ$628))</f>
        <v>54.077601151235434</v>
      </c>
      <c r="AW38" s="668">
        <f ca="1">IF(AW$4="forecast",AVERAGE(AK38:AV38),SUMIF('Dept. Cost Actuals'!$E$7:$E$176,"*Office Supplies*",'Dept. Cost Actuals'!BA$529:BA$628))</f>
        <v>53.959211278824789</v>
      </c>
      <c r="AX38" s="668">
        <f ca="1">IF(AX$4="forecast",AVERAGE(AL38:AW38),SUMIF('Dept. Cost Actuals'!$E$7:$E$176,"*Office Supplies*",'Dept. Cost Actuals'!BB$529:BB$628))</f>
        <v>53.445550864128791</v>
      </c>
      <c r="AY38" s="668">
        <f ca="1">IF(AY$4="forecast",AVERAGE(AM38:AX38),SUMIF('Dept. Cost Actuals'!$E$7:$E$176,"*Office Supplies*",'Dept. Cost Actuals'!BC$529:BC$628))</f>
        <v>53.852813635324956</v>
      </c>
      <c r="AZ38" s="668">
        <f ca="1">IF(AZ$4="forecast",AVERAGE(AN38:AY38),SUMIF('Dept. Cost Actuals'!$E$7:$E$176,"*Office Supplies*",'Dept. Cost Actuals'!BD$529:BD$628))</f>
        <v>53.956803876275139</v>
      </c>
      <c r="BA38" s="668">
        <f ca="1">IF(BA$4="forecast",AVERAGE(AO38:AZ38),SUMIF('Dept. Cost Actuals'!$E$7:$E$176,"*Office Supplies*",'Dept. Cost Actuals'!BE$529:BE$628))</f>
        <v>53.704147951582826</v>
      </c>
      <c r="BB38" s="668">
        <f ca="1">IF(BB$4="forecast",AVERAGE(AP38:BA38),SUMIF('Dept. Cost Actuals'!$E$7:$E$176,"*Office Supplies*",'Dept. Cost Actuals'!BF$529:BF$628))</f>
        <v>53.842738234745433</v>
      </c>
      <c r="BC38" s="668">
        <f ca="1">IF(BC$4="forecast",AVERAGE(AQ38:BB38),SUMIF('Dept. Cost Actuals'!$E$7:$E$176,"*Office Supplies*",'Dept. Cost Actuals'!BG$529:BG$628))</f>
        <v>53.919606426549144</v>
      </c>
      <c r="BD38" s="668">
        <f ca="1">IF(BD$4="forecast",AVERAGE(AR38:BC38),SUMIF('Dept. Cost Actuals'!$E$7:$E$176,"*Office Supplies*",'Dept. Cost Actuals'!BH$529:BH$628))</f>
        <v>53.950054005171445</v>
      </c>
      <c r="BE38" s="668">
        <f ca="1">IF(BE$4="forecast",AVERAGE(AS38:BD38),SUMIF('Dept. Cost Actuals'!$E$7:$E$176,"*Office Supplies*",'Dept. Cost Actuals'!BI$529:BI$628))</f>
        <v>53.937299592392115</v>
      </c>
      <c r="BF38" s="668">
        <f ca="1">IF(BF$4="forecast",AVERAGE(AT38:BE38),SUMIF('Dept. Cost Actuals'!$E$7:$E$176,"*Office Supplies*",'Dept. Cost Actuals'!BJ$529:BJ$628))</f>
        <v>53.901111841747394</v>
      </c>
      <c r="BG38" s="668">
        <f ca="1">IF(BG$4="forecast",AVERAGE(AU38:BF38),SUMIF('Dept. Cost Actuals'!$E$7:$E$176,"*Office Supplies*",'Dept. Cost Actuals'!BK$529:BK$628))</f>
        <v>53.867119231771632</v>
      </c>
      <c r="BH38" s="668">
        <f ca="1">IF(BH$4="forecast",AVERAGE(AV38:BG38),SUMIF('Dept. Cost Actuals'!$E$7:$E$176,"*Office Supplies*",'Dept. Cost Actuals'!BL$529:BL$628))</f>
        <v>53.86783817414576</v>
      </c>
      <c r="BI38" s="668">
        <f ca="1">IF(BI$4="forecast",AVERAGE(AW38:BH38),SUMIF('Dept. Cost Actuals'!$E$7:$E$176,"*Office Supplies*",'Dept. Cost Actuals'!BM$529:BM$628))</f>
        <v>53.850357926054954</v>
      </c>
      <c r="BJ38" s="668">
        <f ca="1">IF(BJ$4="forecast",AVERAGE(AX38:BI38),SUMIF('Dept. Cost Actuals'!$E$7:$E$176,"*Office Supplies*",'Dept. Cost Actuals'!BN$529:BN$628))</f>
        <v>53.841286813324132</v>
      </c>
      <c r="BK38" s="668">
        <f ca="1">IF(BK$4="forecast",AVERAGE(AY38:BJ38),SUMIF('Dept. Cost Actuals'!$E$7:$E$176,"*Office Supplies*",'Dept. Cost Actuals'!BO$529:BO$628))</f>
        <v>53.874264809090413</v>
      </c>
      <c r="BL38" s="668">
        <f ca="1">IF(BL$4="forecast",AVERAGE(AZ38:BK38),SUMIF('Dept. Cost Actuals'!$E$7:$E$176,"*Office Supplies*",'Dept. Cost Actuals'!BP$529:BP$628))</f>
        <v>53.876052406904194</v>
      </c>
      <c r="BM38" s="668">
        <f ca="1">IF(BM$4="forecast",AVERAGE(BA38:BL38),SUMIF('Dept. Cost Actuals'!$E$7:$E$176,"*Office Supplies*",'Dept. Cost Actuals'!BQ$529:BQ$628))</f>
        <v>53.869323117789953</v>
      </c>
      <c r="BN38" s="668">
        <f ca="1">IF(BN$4="forecast",AVERAGE(BB38:BM38),SUMIF('Dept. Cost Actuals'!$E$7:$E$176,"*Office Supplies*",'Dept. Cost Actuals'!BR$529:BR$628))</f>
        <v>53.883087714973875</v>
      </c>
      <c r="BO38" s="668">
        <f ca="1">IF(BO$4="forecast",AVERAGE(BC38:BN38),SUMIF('Dept. Cost Actuals'!$E$7:$E$176,"*Office Supplies*",'Dept. Cost Actuals'!BS$529:BS$628))</f>
        <v>53.886450171659583</v>
      </c>
      <c r="BP38" s="668">
        <f ca="1">IF(BP$4="forecast",AVERAGE(BD38:BO38),SUMIF('Dept. Cost Actuals'!$E$7:$E$176,"*Office Supplies*",'Dept. Cost Actuals'!BT$529:BT$628))</f>
        <v>53.88368715041878</v>
      </c>
      <c r="BQ38" s="668">
        <f ca="1">IF(BQ$4="forecast",AVERAGE(BE38:BP38),SUMIF('Dept. Cost Actuals'!$E$7:$E$176,"*Office Supplies*",'Dept. Cost Actuals'!BU$529:BU$628))</f>
        <v>53.878156579189387</v>
      </c>
      <c r="BR38" s="668">
        <f ca="1">IF(BR$4="forecast",AVERAGE(BF38:BQ38),SUMIF('Dept. Cost Actuals'!$E$7:$E$176,"*Office Supplies*",'Dept. Cost Actuals'!BV$529:BV$628))</f>
        <v>53.873227994755837</v>
      </c>
      <c r="BS38" s="668">
        <f ca="1">IF(BS$4="forecast",AVERAGE(BG38:BR38),SUMIF('Dept. Cost Actuals'!$E$7:$E$176,"*Office Supplies*",'Dept. Cost Actuals'!BW$529:BW$628))</f>
        <v>53.870904340839878</v>
      </c>
      <c r="BT38" s="668">
        <f ca="1">IF(BT$4="forecast",AVERAGE(BH38:BS38),SUMIF('Dept. Cost Actuals'!$E$7:$E$176,"*Office Supplies*",'Dept. Cost Actuals'!BX$529:BX$628))</f>
        <v>53.871219766595551</v>
      </c>
      <c r="BU38" s="668">
        <f ca="1">IF(BU$4="forecast",AVERAGE(BI38:BT38),SUMIF('Dept. Cost Actuals'!$E$7:$E$176,"*Office Supplies*",'Dept. Cost Actuals'!BY$529:BY$628))</f>
        <v>53.871501565966383</v>
      </c>
      <c r="BV38" s="790">
        <f ca="1">IF(BV$4="forecast",AVERAGE(BJ38:BU38),SUMIF('Dept. Cost Actuals'!$E$7:$E$176,"*Office Supplies*",'Dept. Cost Actuals'!BZ$529:BZ$628))</f>
        <v>53.873263535959005</v>
      </c>
    </row>
    <row r="39" spans="2:74" x14ac:dyDescent="0.25">
      <c r="B39" s="794" t="s">
        <v>922</v>
      </c>
      <c r="C39" s="668">
        <f ca="1">IF(C$4="forecast",AVERAGE(#REF!),SUMIF('Dept. Cost Actuals'!$E$7:$E$176,"*Development*",'Dept. Cost Actuals'!G$529:G$628))</f>
        <v>0</v>
      </c>
      <c r="D39" s="668">
        <f ca="1">IF(D$4="forecast",AVERAGE(#REF!),SUMIF('Dept. Cost Actuals'!$E$7:$E$176,"*Development*",'Dept. Cost Actuals'!H$529:H$628))</f>
        <v>4.4213231827025563</v>
      </c>
      <c r="E39" s="668">
        <f ca="1">IF(E$4="forecast",AVERAGE(#REF!),SUMIF('Dept. Cost Actuals'!$E$7:$E$176,"*Development*",'Dept. Cost Actuals'!I$529:I$628))</f>
        <v>4.675334782793569</v>
      </c>
      <c r="F39" s="668">
        <f ca="1">IF(F$4="forecast",AVERAGE(#REF!),SUMIF('Dept. Cost Actuals'!$E$7:$E$176,"*Development*",'Dept. Cost Actuals'!J$529:J$628))</f>
        <v>2.9214763159910189</v>
      </c>
      <c r="G39" s="668">
        <f ca="1">IF(G$4="forecast",AVERAGE(#REF!),SUMIF('Dept. Cost Actuals'!$E$7:$E$176,"*Development*",'Dept. Cost Actuals'!K$529:K$628))</f>
        <v>1.484214413354888</v>
      </c>
      <c r="H39" s="668">
        <f ca="1">IF(H$4="forecast",AVERAGE(#REF!),SUMIF('Dept. Cost Actuals'!$E$7:$E$176,"*Development*",'Dept. Cost Actuals'!L$529:L$628))</f>
        <v>0</v>
      </c>
      <c r="I39" s="668">
        <f ca="1">IF(I$4="forecast",AVERAGE(#REF!),SUMIF('Dept. Cost Actuals'!$E$7:$E$176,"*Development*",'Dept. Cost Actuals'!M$529:M$628))</f>
        <v>0.83167142453545451</v>
      </c>
      <c r="J39" s="668">
        <f ca="1">IF(J$4="forecast",AVERAGE(#REF!),SUMIF('Dept. Cost Actuals'!$E$7:$E$176,"*Development*",'Dept. Cost Actuals'!N$529:N$628))</f>
        <v>0</v>
      </c>
      <c r="K39" s="668">
        <f ca="1">IF(K$4="forecast",AVERAGE(#REF!),SUMIF('Dept. Cost Actuals'!$E$7:$E$176,"*Development*",'Dept. Cost Actuals'!O$529:O$628))</f>
        <v>0</v>
      </c>
      <c r="L39" s="668">
        <f ca="1">IF(L$4="forecast",AVERAGE(#REF!),SUMIF('Dept. Cost Actuals'!$E$7:$E$176,"*Development*",'Dept. Cost Actuals'!P$529:P$628))</f>
        <v>0.27843170185046623</v>
      </c>
      <c r="M39" s="668">
        <f ca="1">IF(M$4="forecast",AVERAGE(A39:L39),SUMIF('Dept. Cost Actuals'!$E$7:$E$176,"*Development*",'Dept. Cost Actuals'!Q$529:Q$628))</f>
        <v>0</v>
      </c>
      <c r="N39" s="668">
        <f ca="1">IF(N$4="forecast",AVERAGE(B39:M39),SUMIF('Dept. Cost Actuals'!$E$7:$E$176,"*Development*",'Dept. Cost Actuals'!R$529:R$628))</f>
        <v>0</v>
      </c>
      <c r="O39" s="668">
        <f ca="1">IF(O$4="forecast",AVERAGE(C39:N39),SUMIF('Dept. Cost Actuals'!$E$7:$E$176,"*Development*",'Dept. Cost Actuals'!S$529:S$628))</f>
        <v>0</v>
      </c>
      <c r="P39" s="668">
        <f ca="1">IF(P$4="forecast",AVERAGE(D39:O39),SUMIF('Dept. Cost Actuals'!$E$7:$E$176,"*Development*",'Dept. Cost Actuals'!T$529:T$628))</f>
        <v>0</v>
      </c>
      <c r="Q39" s="668">
        <f ca="1">IF(Q$4="forecast",AVERAGE(E39:P39),SUMIF('Dept. Cost Actuals'!$E$7:$E$176,"*Development*",'Dept. Cost Actuals'!U$529:U$628))</f>
        <v>0</v>
      </c>
      <c r="R39" s="668">
        <f ca="1">IF(R$4="forecast",AVERAGE(F39:Q39),SUMIF('Dept. Cost Actuals'!$E$7:$E$176,"*Development*",'Dept. Cost Actuals'!V$529:V$628))</f>
        <v>0</v>
      </c>
      <c r="S39" s="668">
        <f ca="1">IF(S$4="forecast",AVERAGE(G39:R39),SUMIF('Dept. Cost Actuals'!$E$7:$E$176,"*Development*",'Dept. Cost Actuals'!W$529:W$628))</f>
        <v>0</v>
      </c>
      <c r="T39" s="668">
        <f ca="1">IF(T$4="forecast",AVERAGE(H39:S39),SUMIF('Dept. Cost Actuals'!$E$7:$E$176,"*Development*",'Dept. Cost Actuals'!X$529:X$628))</f>
        <v>0</v>
      </c>
      <c r="U39" s="668">
        <f ca="1">IF(U$4="forecast",AVERAGE(I39:T39),SUMIF('Dept. Cost Actuals'!$E$7:$E$176,"*Development*",'Dept. Cost Actuals'!Y$529:Y$628))</f>
        <v>0</v>
      </c>
      <c r="V39" s="668">
        <f ca="1">IF(V$4="forecast",AVERAGE(J39:U39),SUMIF('Dept. Cost Actuals'!$E$7:$E$176,"*Development*",'Dept. Cost Actuals'!Z$529:Z$628))</f>
        <v>0</v>
      </c>
      <c r="W39" s="668">
        <f ca="1">IF(W$4="forecast",AVERAGE(K39:V39),SUMIF('Dept. Cost Actuals'!$E$7:$E$176,"*Development*",'Dept. Cost Actuals'!AA$529:AA$628))</f>
        <v>0</v>
      </c>
      <c r="X39" s="668">
        <f ca="1">IF(X$4="forecast",AVERAGE(L39:W39),SUMIF('Dept. Cost Actuals'!$E$7:$E$176,"*Development*",'Dept. Cost Actuals'!AB$529:AB$628))</f>
        <v>0</v>
      </c>
      <c r="Y39" s="668">
        <f ca="1">IF(Y$4="forecast",AVERAGE(M39:X39),SUMIF('Dept. Cost Actuals'!$E$7:$E$176,"*Development*",'Dept. Cost Actuals'!AC$529:AC$628))</f>
        <v>0</v>
      </c>
      <c r="Z39" s="668">
        <f ca="1">IF(Z$4="forecast",AVERAGE(N39:Y39),SUMIF('Dept. Cost Actuals'!$E$7:$E$176,"*Development*",'Dept. Cost Actuals'!AD$529:AD$628))</f>
        <v>0</v>
      </c>
      <c r="AA39" s="668">
        <f ca="1">IF(AA$4="forecast",AVERAGE(O39:Z39),SUMIF('Dept. Cost Actuals'!$E$7:$E$176,"*Development*",'Dept. Cost Actuals'!AE$529:AE$628))</f>
        <v>458</v>
      </c>
      <c r="AB39" s="668">
        <f ca="1">IF(AB$4="forecast",AVERAGE(P39:AA39),SUMIF('Dept. Cost Actuals'!$E$7:$E$176,"*Development*",'Dept. Cost Actuals'!AF$529:AF$628))</f>
        <v>0</v>
      </c>
      <c r="AC39" s="668">
        <f ca="1">IF(AC$4="forecast",AVERAGE(Q39:AB39),SUMIF('Dept. Cost Actuals'!$E$7:$E$176,"*Development*",'Dept. Cost Actuals'!AG$529:AG$628))</f>
        <v>0</v>
      </c>
      <c r="AD39" s="668">
        <f ca="1">IF(AD$4="forecast",AVERAGE(R39:AC39),SUMIF('Dept. Cost Actuals'!$E$7:$E$176,"*Development*",'Dept. Cost Actuals'!AH$529:AH$628))</f>
        <v>38.166666666666664</v>
      </c>
      <c r="AE39" s="668">
        <f ca="1">IF(AE$4="forecast",AVERAGE(S39:AD39),SUMIF('Dept. Cost Actuals'!$E$7:$E$176,"*Development*",'Dept. Cost Actuals'!AI$529:AI$628))</f>
        <v>41.347222222222221</v>
      </c>
      <c r="AF39" s="668">
        <f ca="1">IF(AF$4="forecast",AVERAGE(T39:AE39),SUMIF('Dept. Cost Actuals'!$E$7:$E$176,"*Development*",'Dept. Cost Actuals'!AJ$529:AJ$628))</f>
        <v>44.792824074074076</v>
      </c>
      <c r="AG39" s="668">
        <f ca="1">IF(AG$4="forecast",AVERAGE(U39:AF39),SUMIF('Dept. Cost Actuals'!$E$7:$E$176,"*Development*",'Dept. Cost Actuals'!AK$529:AK$628))</f>
        <v>48.525559413580254</v>
      </c>
      <c r="AH39" s="668">
        <f ca="1">IF(AH$4="forecast",AVERAGE(V39:AG39),SUMIF('Dept. Cost Actuals'!$E$7:$E$176,"*Development*",'Dept. Cost Actuals'!AL$529:AL$628))</f>
        <v>52.569356031378611</v>
      </c>
      <c r="AI39" s="668">
        <f ca="1">IF(AI$4="forecast",AVERAGE(W39:AH39),SUMIF('Dept. Cost Actuals'!$E$7:$E$176,"*Development*",'Dept. Cost Actuals'!AM$529:AM$628))</f>
        <v>56.950135700660155</v>
      </c>
      <c r="AJ39" s="668">
        <f ca="1">IF(AJ$4="forecast",AVERAGE(X39:AI39),SUMIF('Dept. Cost Actuals'!$E$7:$E$176,"*Development*",'Dept. Cost Actuals'!AN$529:AN$628))</f>
        <v>61.695980342381837</v>
      </c>
      <c r="AK39" s="668">
        <f ca="1">IF(AK$4="forecast",AVERAGE(Y39:AJ39),SUMIF('Dept. Cost Actuals'!$E$7:$E$176,"*Development*",'Dept. Cost Actuals'!AO$529:AO$628))</f>
        <v>66.837312037580332</v>
      </c>
      <c r="AL39" s="668">
        <f ca="1">IF(AL$4="forecast",AVERAGE(Z39:AK39),SUMIF('Dept. Cost Actuals'!$E$7:$E$176,"*Development*",'Dept. Cost Actuals'!AP$529:AP$628))</f>
        <v>72.407088040712026</v>
      </c>
      <c r="AM39" s="668">
        <f ca="1">IF(AM$4="forecast",AVERAGE(AA39:AL39),SUMIF('Dept. Cost Actuals'!$E$7:$E$176,"*Development*",'Dept. Cost Actuals'!AQ$529:AQ$628))</f>
        <v>78.441012044104681</v>
      </c>
      <c r="AN39" s="668">
        <f ca="1">IF(AN$4="forecast",AVERAGE(AB39:AM39),SUMIF('Dept. Cost Actuals'!$E$7:$E$176,"*Development*",'Dept. Cost Actuals'!AR$529:AR$628))</f>
        <v>46.811096381113401</v>
      </c>
      <c r="AO39" s="668">
        <f ca="1">IF(AO$4="forecast",AVERAGE(AC39:AN39),SUMIF('Dept. Cost Actuals'!$E$7:$E$176,"*Development*",'Dept. Cost Actuals'!AS$529:AS$628))</f>
        <v>50.712021079539518</v>
      </c>
      <c r="AP39" s="668">
        <f ca="1">IF(AP$4="forecast",AVERAGE(AD39:AO39),SUMIF('Dept. Cost Actuals'!$E$7:$E$176,"*Development*",'Dept. Cost Actuals'!AT$529:AT$628))</f>
        <v>54.938022836167818</v>
      </c>
      <c r="AQ39" s="668">
        <f ca="1">IF(AQ$4="forecast",AVERAGE(AE39:AP39),SUMIF('Dept. Cost Actuals'!$E$7:$E$176,"*Development*",'Dept. Cost Actuals'!AU$529:AU$628))</f>
        <v>56.33563585029291</v>
      </c>
      <c r="AR39" s="668">
        <f ca="1">IF(AR$4="forecast",AVERAGE(AF39:AQ39),SUMIF('Dept. Cost Actuals'!$E$7:$E$176,"*Development*",'Dept. Cost Actuals'!AV$529:AV$628))</f>
        <v>57.584670319298802</v>
      </c>
      <c r="AS39" s="668">
        <f ca="1">IF(AS$4="forecast",AVERAGE(AG39:AR39),SUMIF('Dept. Cost Actuals'!$E$7:$E$176,"*Development*",'Dept. Cost Actuals'!AW$529:AW$628))</f>
        <v>58.650657506400854</v>
      </c>
      <c r="AT39" s="668">
        <f ca="1">IF(AT$4="forecast",AVERAGE(AH39:AS39),SUMIF('Dept. Cost Actuals'!$E$7:$E$176,"*Development*",'Dept. Cost Actuals'!AX$529:AX$628))</f>
        <v>59.494415680802575</v>
      </c>
      <c r="AU39" s="668">
        <f ca="1">IF(AU$4="forecast",AVERAGE(AI39:AT39),SUMIF('Dept. Cost Actuals'!$E$7:$E$176,"*Development*",'Dept. Cost Actuals'!AY$529:AY$628))</f>
        <v>60.071503984921243</v>
      </c>
      <c r="AV39" s="668">
        <f ca="1">IF(AV$4="forecast",AVERAGE(AJ39:AU39),SUMIF('Dept. Cost Actuals'!$E$7:$E$176,"*Development*",'Dept. Cost Actuals'!AZ$529:AZ$628))</f>
        <v>60.331618008609674</v>
      </c>
      <c r="AW39" s="668">
        <f ca="1">IF(AW$4="forecast",AVERAGE(AK39:AV39),SUMIF('Dept. Cost Actuals'!$E$7:$E$176,"*Development*",'Dept. Cost Actuals'!BA$529:BA$628))</f>
        <v>60.217921147461993</v>
      </c>
      <c r="AX39" s="668">
        <f ca="1">IF(AX$4="forecast",AVERAGE(AL39:AW39),SUMIF('Dept. Cost Actuals'!$E$7:$E$176,"*Development*",'Dept. Cost Actuals'!BB$529:BB$628))</f>
        <v>59.666305239952131</v>
      </c>
      <c r="AY39" s="668">
        <f ca="1">IF(AY$4="forecast",AVERAGE(AM39:AX39),SUMIF('Dept. Cost Actuals'!$E$7:$E$176,"*Development*",'Dept. Cost Actuals'!BC$529:BC$628))</f>
        <v>58.604573339888809</v>
      </c>
      <c r="AZ39" s="668">
        <f ca="1">IF(AZ$4="forecast",AVERAGE(AN39:AY39),SUMIF('Dept. Cost Actuals'!$E$7:$E$176,"*Development*",'Dept. Cost Actuals'!BD$529:BD$628))</f>
        <v>56.951536781204148</v>
      </c>
      <c r="BA39" s="668">
        <f ca="1">IF(BA$4="forecast",AVERAGE(AO39:AZ39),SUMIF('Dept. Cost Actuals'!$E$7:$E$176,"*Development*",'Dept. Cost Actuals'!BE$529:BE$628))</f>
        <v>57.796573481211709</v>
      </c>
      <c r="BB39" s="668">
        <f ca="1">IF(BB$4="forecast",AVERAGE(AP39:BA39),SUMIF('Dept. Cost Actuals'!$E$7:$E$176,"*Development*",'Dept. Cost Actuals'!BF$529:BF$628))</f>
        <v>58.386952848017721</v>
      </c>
      <c r="BC39" s="668">
        <f ca="1">IF(BC$4="forecast",AVERAGE(AQ39:BB39),SUMIF('Dept. Cost Actuals'!$E$7:$E$176,"*Development*",'Dept. Cost Actuals'!BG$529:BG$628))</f>
        <v>58.674363682338537</v>
      </c>
      <c r="BD39" s="668">
        <f ca="1">IF(BD$4="forecast",AVERAGE(AR39:BC39),SUMIF('Dept. Cost Actuals'!$E$7:$E$176,"*Development*",'Dept. Cost Actuals'!BH$529:BH$628))</f>
        <v>58.869257668342357</v>
      </c>
      <c r="BE39" s="668">
        <f ca="1">IF(BE$4="forecast",AVERAGE(AS39:BD39),SUMIF('Dept. Cost Actuals'!$E$7:$E$176,"*Development*",'Dept. Cost Actuals'!BI$529:BI$628))</f>
        <v>58.976306614095968</v>
      </c>
      <c r="BF39" s="668">
        <f ca="1">IF(BF$4="forecast",AVERAGE(AT39:BE39),SUMIF('Dept. Cost Actuals'!$E$7:$E$176,"*Development*",'Dept. Cost Actuals'!BJ$529:BJ$628))</f>
        <v>59.003444039737225</v>
      </c>
      <c r="BG39" s="668">
        <f ca="1">IF(BG$4="forecast",AVERAGE(AU39:BF39),SUMIF('Dept. Cost Actuals'!$E$7:$E$176,"*Development*",'Dept. Cost Actuals'!BK$529:BK$628))</f>
        <v>58.962529736315133</v>
      </c>
      <c r="BH39" s="668">
        <f ca="1">IF(BH$4="forecast",AVERAGE(AV39:BG39),SUMIF('Dept. Cost Actuals'!$E$7:$E$176,"*Development*",'Dept. Cost Actuals'!BL$529:BL$628))</f>
        <v>58.870115215597941</v>
      </c>
      <c r="BI39" s="668">
        <f ca="1">IF(BI$4="forecast",AVERAGE(AW39:BH39),SUMIF('Dept. Cost Actuals'!$E$7:$E$176,"*Development*",'Dept. Cost Actuals'!BM$529:BM$628))</f>
        <v>58.748323316180311</v>
      </c>
      <c r="BJ39" s="668">
        <f ca="1">IF(BJ$4="forecast",AVERAGE(AX39:BI39),SUMIF('Dept. Cost Actuals'!$E$7:$E$176,"*Development*",'Dept. Cost Actuals'!BN$529:BN$628))</f>
        <v>58.62585683024016</v>
      </c>
      <c r="BK39" s="668">
        <f ca="1">IF(BK$4="forecast",AVERAGE(AY39:BJ39),SUMIF('Dept. Cost Actuals'!$E$7:$E$176,"*Development*",'Dept. Cost Actuals'!BO$529:BO$628))</f>
        <v>58.539152796097504</v>
      </c>
      <c r="BL39" s="668">
        <f ca="1">IF(BL$4="forecast",AVERAGE(AZ39:BK39),SUMIF('Dept. Cost Actuals'!$E$7:$E$176,"*Development*",'Dept. Cost Actuals'!BP$529:BP$628))</f>
        <v>58.533701084114888</v>
      </c>
      <c r="BM39" s="668">
        <f ca="1">IF(BM$4="forecast",AVERAGE(BA39:BL39),SUMIF('Dept. Cost Actuals'!$E$7:$E$176,"*Development*",'Dept. Cost Actuals'!BQ$529:BQ$628))</f>
        <v>58.665548109357452</v>
      </c>
      <c r="BN39" s="668">
        <f ca="1">IF(BN$4="forecast",AVERAGE(BB39:BM39),SUMIF('Dept. Cost Actuals'!$E$7:$E$176,"*Development*",'Dept. Cost Actuals'!BR$529:BR$628))</f>
        <v>58.737962661702937</v>
      </c>
      <c r="BO39" s="668">
        <f ca="1">IF(BO$4="forecast",AVERAGE(BC39:BN39),SUMIF('Dept. Cost Actuals'!$E$7:$E$176,"*Development*",'Dept. Cost Actuals'!BS$529:BS$628))</f>
        <v>58.767213479510026</v>
      </c>
      <c r="BP39" s="668">
        <f ca="1">IF(BP$4="forecast",AVERAGE(BD39:BO39),SUMIF('Dept. Cost Actuals'!$E$7:$E$176,"*Development*",'Dept. Cost Actuals'!BT$529:BT$628))</f>
        <v>58.774950962607647</v>
      </c>
      <c r="BQ39" s="668">
        <f ca="1">IF(BQ$4="forecast",AVERAGE(BE39:BP39),SUMIF('Dept. Cost Actuals'!$E$7:$E$176,"*Development*",'Dept. Cost Actuals'!BU$529:BU$628))</f>
        <v>58.767092070463093</v>
      </c>
      <c r="BR39" s="668">
        <f ca="1">IF(BR$4="forecast",AVERAGE(BF39:BQ39),SUMIF('Dept. Cost Actuals'!$E$7:$E$176,"*Development*",'Dept. Cost Actuals'!BV$529:BV$628))</f>
        <v>58.749657525160366</v>
      </c>
      <c r="BS39" s="668">
        <f ca="1">IF(BS$4="forecast",AVERAGE(BG39:BR39),SUMIF('Dept. Cost Actuals'!$E$7:$E$176,"*Development*",'Dept. Cost Actuals'!BW$529:BW$628))</f>
        <v>58.728508648945642</v>
      </c>
      <c r="BT39" s="668">
        <f ca="1">IF(BT$4="forecast",AVERAGE(BH39:BS39),SUMIF('Dept. Cost Actuals'!$E$7:$E$176,"*Development*",'Dept. Cost Actuals'!BX$529:BX$628))</f>
        <v>58.709006891664842</v>
      </c>
      <c r="BU39" s="668">
        <f ca="1">IF(BU$4="forecast",AVERAGE(BI39:BT39),SUMIF('Dept. Cost Actuals'!$E$7:$E$176,"*Development*",'Dept. Cost Actuals'!BY$529:BY$628))</f>
        <v>58.695581198003744</v>
      </c>
      <c r="BV39" s="668">
        <f ca="1">IF(BV$4="forecast",AVERAGE(BJ39:BU39),SUMIF('Dept. Cost Actuals'!$E$7:$E$176,"*Development*",'Dept. Cost Actuals'!BZ$529:BZ$628))</f>
        <v>58.691186021489024</v>
      </c>
    </row>
    <row r="40" spans="2:74" x14ac:dyDescent="0.25">
      <c r="B40" s="794" t="s">
        <v>944</v>
      </c>
      <c r="C40" s="668">
        <f ca="1">IF(C$4="forecast",700,SUMIF('Dept. Cost Actuals'!$E$7:$E$176,"*Dues and Subscriptions*",'Dept. Cost Actuals'!G$529:G$628))</f>
        <v>2.0658341015727122</v>
      </c>
      <c r="D40" s="668">
        <f ca="1">IF(D$4="forecast",700,SUMIF('Dept. Cost Actuals'!$E$7:$E$176,"*Dues and Subscriptions*",'Dept. Cost Actuals'!H$529:H$628))</f>
        <v>3.2723532194503897</v>
      </c>
      <c r="E40" s="668">
        <f ca="1">IF(E$4="forecast",700,SUMIF('Dept. Cost Actuals'!$E$7:$E$176,"*Dues and Subscriptions*",'Dept. Cost Actuals'!I$529:I$628))</f>
        <v>0.45799197872263536</v>
      </c>
      <c r="F40" s="668">
        <f ca="1">IF(F$4="forecast",700,SUMIF('Dept. Cost Actuals'!$E$7:$E$176,"*Dues and Subscriptions*",'Dept. Cost Actuals'!J$529:J$628))</f>
        <v>0.3505771579189223</v>
      </c>
      <c r="G40" s="668">
        <f ca="1">IF(G$4="forecast",700,SUMIF('Dept. Cost Actuals'!$E$7:$E$176,"*Dues and Subscriptions*",'Dept. Cost Actuals'!K$529:K$628))</f>
        <v>4.1717842049221243</v>
      </c>
      <c r="H40" s="668">
        <f ca="1">IF(H$4="forecast",700,SUMIF('Dept. Cost Actuals'!$E$7:$E$176,"*Dues and Subscriptions*",'Dept. Cost Actuals'!L$529:L$628))</f>
        <v>0</v>
      </c>
      <c r="I40" s="668">
        <f ca="1">IF(I$4="forecast",700,SUMIF('Dept. Cost Actuals'!$E$7:$E$176,"*Dues and Subscriptions*",'Dept. Cost Actuals'!M$529:M$628))</f>
        <v>0</v>
      </c>
      <c r="J40" s="668">
        <f ca="1">IF(J$4="forecast",700,SUMIF('Dept. Cost Actuals'!$E$7:$E$176,"*Dues and Subscriptions*",'Dept. Cost Actuals'!N$529:N$628))</f>
        <v>1.2524007375163888</v>
      </c>
      <c r="K40" s="668">
        <f ca="1">IF(K$4="forecast",700,SUMIF('Dept. Cost Actuals'!$E$7:$E$176,"*Dues and Subscriptions*",'Dept. Cost Actuals'!O$529:O$628))</f>
        <v>0</v>
      </c>
      <c r="L40" s="668">
        <f ca="1">IF(L$4="forecast",700,SUMIF('Dept. Cost Actuals'!$E$7:$E$176,"*Dues and Subscriptions*",'Dept. Cost Actuals'!P$529:P$628))</f>
        <v>17.595824655165014</v>
      </c>
      <c r="M40" s="668">
        <f ca="1">IF(M$4="forecast",700,SUMIF('Dept. Cost Actuals'!$E$7:$E$176,"*Dues and Subscriptions*",'Dept. Cost Actuals'!Q$529:Q$628))</f>
        <v>0</v>
      </c>
      <c r="N40" s="668">
        <f ca="1">IF(N$4="forecast",700,SUMIF('Dept. Cost Actuals'!$E$7:$E$176,"*Dues and Subscriptions*",'Dept. Cost Actuals'!R$529:R$628))</f>
        <v>0</v>
      </c>
      <c r="O40" s="668">
        <f ca="1">IF(O$4="forecast",700,SUMIF('Dept. Cost Actuals'!$E$7:$E$176,"*Dues and Subscriptions*",'Dept. Cost Actuals'!S$529:S$628))</f>
        <v>0</v>
      </c>
      <c r="P40" s="668">
        <f ca="1">IF(P$4="forecast",700,SUMIF('Dept. Cost Actuals'!$E$7:$E$176,"*Dues and Subscriptions*",'Dept. Cost Actuals'!T$529:T$628))</f>
        <v>420</v>
      </c>
      <c r="Q40" s="668">
        <f ca="1">IF(Q$4="forecast",700,SUMIF('Dept. Cost Actuals'!$E$7:$E$176,"*Dues and Subscriptions*",'Dept. Cost Actuals'!U$529:U$628))</f>
        <v>0</v>
      </c>
      <c r="R40" s="668">
        <f ca="1">IF(R$4="forecast",700,SUMIF('Dept. Cost Actuals'!$E$7:$E$176,"*Dues and Subscriptions*",'Dept. Cost Actuals'!V$529:V$628))</f>
        <v>125</v>
      </c>
      <c r="S40" s="668">
        <f ca="1">IF(S$4="forecast",700,SUMIF('Dept. Cost Actuals'!$E$7:$E$176,"*Dues and Subscriptions*",'Dept. Cost Actuals'!W$529:W$628))</f>
        <v>0</v>
      </c>
      <c r="T40" s="668">
        <f ca="1">IF(T$4="forecast",700,SUMIF('Dept. Cost Actuals'!$E$7:$E$176,"*Dues and Subscriptions*",'Dept. Cost Actuals'!X$529:X$628))</f>
        <v>125</v>
      </c>
      <c r="U40" s="668">
        <f ca="1">IF(U$4="forecast",700,SUMIF('Dept. Cost Actuals'!$E$7:$E$176,"*Dues and Subscriptions*",'Dept. Cost Actuals'!Y$529:Y$628))</f>
        <v>125</v>
      </c>
      <c r="V40" s="668">
        <f ca="1">IF(V$4="forecast",700,SUMIF('Dept. Cost Actuals'!$E$7:$E$176,"*Dues and Subscriptions*",'Dept. Cost Actuals'!Z$529:Z$628))</f>
        <v>125</v>
      </c>
      <c r="W40" s="668">
        <f ca="1">IF(W$4="forecast",700,SUMIF('Dept. Cost Actuals'!$E$7:$E$176,"*Dues and Subscriptions*",'Dept. Cost Actuals'!AA$529:AA$628))</f>
        <v>125</v>
      </c>
      <c r="X40" s="668">
        <f ca="1">IF(X$4="forecast",700,SUMIF('Dept. Cost Actuals'!$E$7:$E$176,"*Dues and Subscriptions*",'Dept. Cost Actuals'!AB$529:AB$628))</f>
        <v>0</v>
      </c>
      <c r="Y40" s="668">
        <f ca="1">IF(Y$4="forecast",700,SUMIF('Dept. Cost Actuals'!$E$7:$E$176,"*Dues and Subscriptions*",'Dept. Cost Actuals'!AC$529:AC$628))</f>
        <v>0</v>
      </c>
      <c r="Z40" s="668">
        <f ca="1">IF(Z$4="forecast",700,SUMIF('Dept. Cost Actuals'!$E$7:$E$176,"*Dues and Subscriptions*",'Dept. Cost Actuals'!AD$529:AD$628))</f>
        <v>45</v>
      </c>
      <c r="AA40" s="668">
        <f ca="1">IF(AA$4="forecast",700,SUMIF('Dept. Cost Actuals'!$E$7:$E$176,"*Dues and Subscriptions*",'Dept. Cost Actuals'!AE$529:AE$628))</f>
        <v>0</v>
      </c>
      <c r="AB40" s="668">
        <f ca="1">IF(AB$4="forecast",700,SUMIF('Dept. Cost Actuals'!$E$7:$E$176,"*Dues and Subscriptions*",'Dept. Cost Actuals'!AF$529:AF$628))</f>
        <v>0</v>
      </c>
      <c r="AC40" s="668">
        <f ca="1">IF(AC$4="forecast",700,SUMIF('Dept. Cost Actuals'!$E$7:$E$176,"*Dues and Subscriptions*",'Dept. Cost Actuals'!AG$529:AG$628))</f>
        <v>0</v>
      </c>
      <c r="AD40" s="668">
        <f>IF(AD$4="forecast",700,SUMIF('Dept. Cost Actuals'!$E$7:$E$176,"*Dues and Subscriptions*",'Dept. Cost Actuals'!AH$529:AH$628))</f>
        <v>700</v>
      </c>
      <c r="AE40" s="668">
        <f>IF(AE$4="forecast",700,SUMIF('Dept. Cost Actuals'!$E$7:$E$176,"*Dues and Subscriptions*",'Dept. Cost Actuals'!AI$529:AI$628))</f>
        <v>700</v>
      </c>
      <c r="AF40" s="668">
        <f>IF(AF$4="forecast",700,SUMIF('Dept. Cost Actuals'!$E$7:$E$176,"*Dues and Subscriptions*",'Dept. Cost Actuals'!AJ$529:AJ$628))</f>
        <v>700</v>
      </c>
      <c r="AG40" s="668">
        <f>IF(AG$4="forecast",700,SUMIF('Dept. Cost Actuals'!$E$7:$E$176,"*Dues and Subscriptions*",'Dept. Cost Actuals'!AK$529:AK$628))</f>
        <v>700</v>
      </c>
      <c r="AH40" s="668">
        <f>IF(AH$4="forecast",700,SUMIF('Dept. Cost Actuals'!$E$7:$E$176,"*Dues and Subscriptions*",'Dept. Cost Actuals'!AL$529:AL$628))</f>
        <v>700</v>
      </c>
      <c r="AI40" s="668">
        <f>IF(AI$4="forecast",700,SUMIF('Dept. Cost Actuals'!$E$7:$E$176,"*Dues and Subscriptions*",'Dept. Cost Actuals'!AM$529:AM$628))</f>
        <v>700</v>
      </c>
      <c r="AJ40" s="668">
        <f>IF(AJ$4="forecast",700,SUMIF('Dept. Cost Actuals'!$E$7:$E$176,"*Dues and Subscriptions*",'Dept. Cost Actuals'!AN$529:AN$628))</f>
        <v>700</v>
      </c>
      <c r="AK40" s="668">
        <f>IF(AK$4="forecast",700,SUMIF('Dept. Cost Actuals'!$E$7:$E$176,"*Dues and Subscriptions*",'Dept. Cost Actuals'!AO$529:AO$628))</f>
        <v>700</v>
      </c>
      <c r="AL40" s="668">
        <f>IF(AL$4="forecast",700,SUMIF('Dept. Cost Actuals'!$E$7:$E$176,"*Dues and Subscriptions*",'Dept. Cost Actuals'!AP$529:AP$628))</f>
        <v>700</v>
      </c>
      <c r="AM40" s="668">
        <f>IF(AM$4="forecast",700,SUMIF('Dept. Cost Actuals'!$E$7:$E$176,"*Dues and Subscriptions*",'Dept. Cost Actuals'!AQ$529:AQ$628))</f>
        <v>700</v>
      </c>
      <c r="AN40" s="668">
        <f>IF(AN$4="forecast",700,SUMIF('Dept. Cost Actuals'!$E$7:$E$176,"*Dues and Subscriptions*",'Dept. Cost Actuals'!AR$529:AR$628))</f>
        <v>700</v>
      </c>
      <c r="AO40" s="668">
        <f>IF(AO$4="forecast",700,SUMIF('Dept. Cost Actuals'!$E$7:$E$176,"*Dues and Subscriptions*",'Dept. Cost Actuals'!AS$529:AS$628))</f>
        <v>700</v>
      </c>
      <c r="AP40" s="668">
        <f>IF(AP$4="forecast",700,SUMIF('Dept. Cost Actuals'!$E$7:$E$176,"*Dues and Subscriptions*",'Dept. Cost Actuals'!AT$529:AT$628))</f>
        <v>700</v>
      </c>
      <c r="AQ40" s="668">
        <f>IF(AQ$4="forecast",700,SUMIF('Dept. Cost Actuals'!$E$7:$E$176,"*Dues and Subscriptions*",'Dept. Cost Actuals'!AU$529:AU$628))</f>
        <v>700</v>
      </c>
      <c r="AR40" s="668">
        <f>IF(AR$4="forecast",700,SUMIF('Dept. Cost Actuals'!$E$7:$E$176,"*Dues and Subscriptions*",'Dept. Cost Actuals'!AV$529:AV$628))</f>
        <v>700</v>
      </c>
      <c r="AS40" s="668">
        <f>IF(AS$4="forecast",700,SUMIF('Dept. Cost Actuals'!$E$7:$E$176,"*Dues and Subscriptions*",'Dept. Cost Actuals'!AW$529:AW$628))</f>
        <v>700</v>
      </c>
      <c r="AT40" s="668">
        <f>IF(AT$4="forecast",700,SUMIF('Dept. Cost Actuals'!$E$7:$E$176,"*Dues and Subscriptions*",'Dept. Cost Actuals'!AX$529:AX$628))</f>
        <v>700</v>
      </c>
      <c r="AU40" s="668">
        <f>IF(AU$4="forecast",700,SUMIF('Dept. Cost Actuals'!$E$7:$E$176,"*Dues and Subscriptions*",'Dept. Cost Actuals'!AY$529:AY$628))</f>
        <v>700</v>
      </c>
      <c r="AV40" s="668">
        <f>IF(AV$4="forecast",700,SUMIF('Dept. Cost Actuals'!$E$7:$E$176,"*Dues and Subscriptions*",'Dept. Cost Actuals'!AZ$529:AZ$628))</f>
        <v>700</v>
      </c>
      <c r="AW40" s="668">
        <f>IF(AW$4="forecast",700,SUMIF('Dept. Cost Actuals'!$E$7:$E$176,"*Dues and Subscriptions*",'Dept. Cost Actuals'!BA$529:BA$628))</f>
        <v>700</v>
      </c>
      <c r="AX40" s="668">
        <f>IF(AX$4="forecast",700,SUMIF('Dept. Cost Actuals'!$E$7:$E$176,"*Dues and Subscriptions*",'Dept. Cost Actuals'!BB$529:BB$628))</f>
        <v>700</v>
      </c>
      <c r="AY40" s="668">
        <f>IF(AY$4="forecast",700,SUMIF('Dept. Cost Actuals'!$E$7:$E$176,"*Dues and Subscriptions*",'Dept. Cost Actuals'!BC$529:BC$628))</f>
        <v>700</v>
      </c>
      <c r="AZ40" s="668">
        <f>IF(AZ$4="forecast",700,SUMIF('Dept. Cost Actuals'!$E$7:$E$176,"*Dues and Subscriptions*",'Dept. Cost Actuals'!BD$529:BD$628))</f>
        <v>700</v>
      </c>
      <c r="BA40" s="668">
        <f>IF(BA$4="forecast",700,SUMIF('Dept. Cost Actuals'!$E$7:$E$176,"*Dues and Subscriptions*",'Dept. Cost Actuals'!BE$529:BE$628))</f>
        <v>700</v>
      </c>
      <c r="BB40" s="668">
        <f>IF(BB$4="forecast",700,SUMIF('Dept. Cost Actuals'!$E$7:$E$176,"*Dues and Subscriptions*",'Dept. Cost Actuals'!BF$529:BF$628))</f>
        <v>700</v>
      </c>
      <c r="BC40" s="668">
        <f>IF(BC$4="forecast",700,SUMIF('Dept. Cost Actuals'!$E$7:$E$176,"*Dues and Subscriptions*",'Dept. Cost Actuals'!BG$529:BG$628))</f>
        <v>700</v>
      </c>
      <c r="BD40" s="668">
        <f>IF(BD$4="forecast",700,SUMIF('Dept. Cost Actuals'!$E$7:$E$176,"*Dues and Subscriptions*",'Dept. Cost Actuals'!BH$529:BH$628))</f>
        <v>700</v>
      </c>
      <c r="BE40" s="668">
        <f>IF(BE$4="forecast",700,SUMIF('Dept. Cost Actuals'!$E$7:$E$176,"*Dues and Subscriptions*",'Dept. Cost Actuals'!BI$529:BI$628))</f>
        <v>700</v>
      </c>
      <c r="BF40" s="668">
        <f>IF(BF$4="forecast",700,SUMIF('Dept. Cost Actuals'!$E$7:$E$176,"*Dues and Subscriptions*",'Dept. Cost Actuals'!BJ$529:BJ$628))</f>
        <v>700</v>
      </c>
      <c r="BG40" s="668">
        <f>IF(BG$4="forecast",700,SUMIF('Dept. Cost Actuals'!$E$7:$E$176,"*Dues and Subscriptions*",'Dept. Cost Actuals'!BK$529:BK$628))</f>
        <v>700</v>
      </c>
      <c r="BH40" s="668">
        <f>IF(BH$4="forecast",700,SUMIF('Dept. Cost Actuals'!$E$7:$E$176,"*Dues and Subscriptions*",'Dept. Cost Actuals'!BL$529:BL$628))</f>
        <v>700</v>
      </c>
      <c r="BI40" s="668">
        <f>IF(BI$4="forecast",700,SUMIF('Dept. Cost Actuals'!$E$7:$E$176,"*Dues and Subscriptions*",'Dept. Cost Actuals'!BM$529:BM$628))</f>
        <v>700</v>
      </c>
      <c r="BJ40" s="668">
        <f>IF(BJ$4="forecast",700,SUMIF('Dept. Cost Actuals'!$E$7:$E$176,"*Dues and Subscriptions*",'Dept. Cost Actuals'!BN$529:BN$628))</f>
        <v>700</v>
      </c>
      <c r="BK40" s="668">
        <f>IF(BK$4="forecast",700,SUMIF('Dept. Cost Actuals'!$E$7:$E$176,"*Dues and Subscriptions*",'Dept. Cost Actuals'!BO$529:BO$628))</f>
        <v>700</v>
      </c>
      <c r="BL40" s="668">
        <f>IF(BL$4="forecast",700,SUMIF('Dept. Cost Actuals'!$E$7:$E$176,"*Dues and Subscriptions*",'Dept. Cost Actuals'!BP$529:BP$628))</f>
        <v>700</v>
      </c>
      <c r="BM40" s="668">
        <f>IF(BM$4="forecast",700,SUMIF('Dept. Cost Actuals'!$E$7:$E$176,"*Dues and Subscriptions*",'Dept. Cost Actuals'!BQ$529:BQ$628))</f>
        <v>700</v>
      </c>
      <c r="BN40" s="668">
        <f>IF(BN$4="forecast",700,SUMIF('Dept. Cost Actuals'!$E$7:$E$176,"*Dues and Subscriptions*",'Dept. Cost Actuals'!BR$529:BR$628))</f>
        <v>700</v>
      </c>
      <c r="BO40" s="668">
        <f>IF(BO$4="forecast",700,SUMIF('Dept. Cost Actuals'!$E$7:$E$176,"*Dues and Subscriptions*",'Dept. Cost Actuals'!BS$529:BS$628))</f>
        <v>700</v>
      </c>
      <c r="BP40" s="668">
        <f>IF(BP$4="forecast",700,SUMIF('Dept. Cost Actuals'!$E$7:$E$176,"*Dues and Subscriptions*",'Dept. Cost Actuals'!BT$529:BT$628))</f>
        <v>700</v>
      </c>
      <c r="BQ40" s="668">
        <f>IF(BQ$4="forecast",700,SUMIF('Dept. Cost Actuals'!$E$7:$E$176,"*Dues and Subscriptions*",'Dept. Cost Actuals'!BU$529:BU$628))</f>
        <v>700</v>
      </c>
      <c r="BR40" s="668">
        <f>IF(BR$4="forecast",700,SUMIF('Dept. Cost Actuals'!$E$7:$E$176,"*Dues and Subscriptions*",'Dept. Cost Actuals'!BV$529:BV$628))</f>
        <v>700</v>
      </c>
      <c r="BS40" s="668">
        <f>IF(BS$4="forecast",700,SUMIF('Dept. Cost Actuals'!$E$7:$E$176,"*Dues and Subscriptions*",'Dept. Cost Actuals'!BW$529:BW$628))</f>
        <v>700</v>
      </c>
      <c r="BT40" s="668">
        <f>IF(BT$4="forecast",700,SUMIF('Dept. Cost Actuals'!$E$7:$E$176,"*Dues and Subscriptions*",'Dept. Cost Actuals'!BX$529:BX$628))</f>
        <v>700</v>
      </c>
      <c r="BU40" s="668">
        <f>IF(BU$4="forecast",700,SUMIF('Dept. Cost Actuals'!$E$7:$E$176,"*Dues and Subscriptions*",'Dept. Cost Actuals'!BY$529:BY$628))</f>
        <v>700</v>
      </c>
      <c r="BV40" s="790">
        <f>IF(BV$4="forecast",700,SUMIF('Dept. Cost Actuals'!$E$7:$E$176,"*Dues and Subscriptions*",'Dept. Cost Actuals'!BZ$529:BZ$628))</f>
        <v>700</v>
      </c>
    </row>
    <row r="41" spans="2:74" x14ac:dyDescent="0.25">
      <c r="B41" s="794" t="s">
        <v>945</v>
      </c>
      <c r="C41" s="668">
        <f ca="1">IF(C$4="forecast",AVERAGE(#REF!)+4200,SUMIF('Dept. Cost Actuals'!$E$7:$E$176,"*Miscellaneous*",'Dept. Cost Actuals'!G$529:G$628))</f>
        <v>350.15136637896001</v>
      </c>
      <c r="D41" s="668">
        <f ca="1">IF(D$4="forecast",AVERAGE(#REF!)+4200,SUMIF('Dept. Cost Actuals'!$E$7:$E$176,"*Miscellaneous*",'Dept. Cost Actuals'!H$529:H$628))</f>
        <v>141.920530196031</v>
      </c>
      <c r="E41" s="668">
        <f ca="1">IF(E$4="forecast",AVERAGE(#REF!)+4200,SUMIF('Dept. Cost Actuals'!$E$7:$E$176,"*Miscellaneous*",'Dept. Cost Actuals'!I$529:I$628))</f>
        <v>189.18027592355156</v>
      </c>
      <c r="F41" s="668">
        <f ca="1">IF(F$4="forecast",AVERAGE(#REF!)+4200,SUMIF('Dept. Cost Actuals'!$E$7:$E$176,"*Miscellaneous*",'Dept. Cost Actuals'!J$529:J$628))</f>
        <v>130.09497615084274</v>
      </c>
      <c r="G41" s="668">
        <f ca="1">IF(G$4="forecast",AVERAGE(#REF!)+4200,SUMIF('Dept. Cost Actuals'!$E$7:$E$176,"*Miscellaneous*",'Dept. Cost Actuals'!K$529:K$628))</f>
        <v>44.730483990785793</v>
      </c>
      <c r="H41" s="668">
        <f ca="1">IF(H$4="forecast",AVERAGE(#REF!)+4200,SUMIF('Dept. Cost Actuals'!$E$7:$E$176,"*Miscellaneous*",'Dept. Cost Actuals'!L$529:L$628))</f>
        <v>68.620082854432638</v>
      </c>
      <c r="I41" s="668">
        <f ca="1">IF(I$4="forecast",AVERAGE(#REF!)+4200,SUMIF('Dept. Cost Actuals'!$E$7:$E$176,"*Miscellaneous*",'Dept. Cost Actuals'!M$529:M$628))</f>
        <v>52.808063912904061</v>
      </c>
      <c r="J41" s="668">
        <f ca="1">IF(J$4="forecast",AVERAGE(#REF!)+4200,SUMIF('Dept. Cost Actuals'!$E$7:$E$176,"*Miscellaneous*",'Dept. Cost Actuals'!N$529:N$628))</f>
        <v>43.116374396562549</v>
      </c>
      <c r="K41" s="668">
        <f ca="1">IF(K$4="forecast",AVERAGE(#REF!)+4200,SUMIF('Dept. Cost Actuals'!$E$7:$E$176,"*Miscellaneous*",'Dept. Cost Actuals'!O$529:O$628))</f>
        <v>309.27802933323164</v>
      </c>
      <c r="L41" s="668">
        <f ca="1">IF(L$4="forecast",AVERAGE(#REF!)+4200,SUMIF('Dept. Cost Actuals'!$E$7:$E$176,"*Miscellaneous*",'Dept. Cost Actuals'!P$529:P$628))</f>
        <v>326.60451800381531</v>
      </c>
      <c r="M41" s="668">
        <f ca="1">IF(M$4="forecast",AVERAGE(A41:L41)+4200,SUMIF('Dept. Cost Actuals'!$E$7:$E$176,"*Miscellaneous*",'Dept. Cost Actuals'!Q$529:Q$628))</f>
        <v>205.84280030188651</v>
      </c>
      <c r="N41" s="668">
        <f ca="1">IF(N$4="forecast",AVERAGE(B41:M41)+4200,SUMIF('Dept. Cost Actuals'!$E$7:$E$176,"*Miscellaneous*",'Dept. Cost Actuals'!R$529:R$628))</f>
        <v>144.93419166527286</v>
      </c>
      <c r="O41" s="668">
        <f ca="1">IF(O$4="forecast",AVERAGE(C41:N41)+4200,SUMIF('Dept. Cost Actuals'!$E$7:$E$176,"*Miscellaneous*",'Dept. Cost Actuals'!S$529:S$628))</f>
        <v>3803.8</v>
      </c>
      <c r="P41" s="668">
        <f ca="1">IF(P$4="forecast",AVERAGE(D41:O41)+4200,SUMIF('Dept. Cost Actuals'!$E$7:$E$176,"*Miscellaneous*",'Dept. Cost Actuals'!T$529:T$628))</f>
        <v>3803.8</v>
      </c>
      <c r="Q41" s="668">
        <f ca="1">IF(Q$4="forecast",AVERAGE(E41:P41)+4200,SUMIF('Dept. Cost Actuals'!$E$7:$E$176,"*Miscellaneous*",'Dept. Cost Actuals'!U$529:U$628))</f>
        <v>0</v>
      </c>
      <c r="R41" s="668">
        <f ca="1">IF(R$4="forecast",AVERAGE(F41:Q41)+4200,SUMIF('Dept. Cost Actuals'!$E$7:$E$176,"*Miscellaneous*",'Dept. Cost Actuals'!V$529:V$628))</f>
        <v>0</v>
      </c>
      <c r="S41" s="668">
        <f ca="1">IF(S$4="forecast",AVERAGE(G41:R41)+4200,SUMIF('Dept. Cost Actuals'!$E$7:$E$176,"*Miscellaneous*",'Dept. Cost Actuals'!W$529:W$628))</f>
        <v>0</v>
      </c>
      <c r="T41" s="668">
        <f ca="1">IF(T$4="forecast",AVERAGE(H41:S41)+4200,SUMIF('Dept. Cost Actuals'!$E$7:$E$176,"*Miscellaneous*",'Dept. Cost Actuals'!X$529:X$628))</f>
        <v>102.6</v>
      </c>
      <c r="U41" s="668">
        <f ca="1">IF(U$4="forecast",AVERAGE(I41:T41)+4200,SUMIF('Dept. Cost Actuals'!$E$7:$E$176,"*Miscellaneous*",'Dept. Cost Actuals'!Y$529:Y$628))</f>
        <v>0</v>
      </c>
      <c r="V41" s="668">
        <f ca="1">IF(V$4="forecast",AVERAGE(J41:U41)+4200,SUMIF('Dept. Cost Actuals'!$E$7:$E$176,"*Miscellaneous*",'Dept. Cost Actuals'!Z$529:Z$628))</f>
        <v>0</v>
      </c>
      <c r="W41" s="668">
        <f ca="1">IF(W$4="forecast",AVERAGE(K41:V41)+4200,SUMIF('Dept. Cost Actuals'!$E$7:$E$176,"*Miscellaneous*",'Dept. Cost Actuals'!AA$529:AA$628))</f>
        <v>-3619.17</v>
      </c>
      <c r="X41" s="668">
        <f ca="1">IF(X$4="forecast",AVERAGE(L41:W41)+4200,SUMIF('Dept. Cost Actuals'!$E$7:$E$176,"*Miscellaneous*",'Dept. Cost Actuals'!AB$529:AB$628))</f>
        <v>0</v>
      </c>
      <c r="Y41" s="668">
        <f ca="1">IF(Y$4="forecast",AVERAGE(M41:X41)+4200,SUMIF('Dept. Cost Actuals'!$E$7:$E$176,"*Miscellaneous*",'Dept. Cost Actuals'!AC$529:AC$628))</f>
        <v>0</v>
      </c>
      <c r="Z41" s="668">
        <f ca="1">IF(Z$4="forecast",AVERAGE(N41:Y41)+4200,SUMIF('Dept. Cost Actuals'!$E$7:$E$176,"*Miscellaneous*",'Dept. Cost Actuals'!AD$529:AD$628))</f>
        <v>0</v>
      </c>
      <c r="AA41" s="668">
        <f ca="1">IF(AA$4="forecast",AVERAGE(O41:Z41)+4200,SUMIF('Dept. Cost Actuals'!$E$7:$E$176,"*Miscellaneous*",'Dept. Cost Actuals'!AE$529:AE$628))</f>
        <v>0</v>
      </c>
      <c r="AB41" s="668">
        <f ca="1">IF(AB$4="forecast",AVERAGE(P41:AA41)+4200,SUMIF('Dept. Cost Actuals'!$E$7:$E$176,"*Miscellaneous*",'Dept. Cost Actuals'!AF$529:AF$628))</f>
        <v>494.83</v>
      </c>
      <c r="AC41" s="668">
        <f ca="1">IF(AC$4="forecast",AVERAGE(Q41:AB41)+4200,SUMIF('Dept. Cost Actuals'!$E$7:$E$176,"*Miscellaneous*",'Dept. Cost Actuals'!AG$529:AG$628))</f>
        <v>257.91000000000003</v>
      </c>
      <c r="AD41" s="668">
        <f ca="1">IF(AD$4="forecast",AVERAGE(R41:AC41)+4200,SUMIF('Dept. Cost Actuals'!$E$7:$E$176,"*Miscellaneous*",'Dept. Cost Actuals'!AH$529:AH$628))</f>
        <v>3969.6808333333333</v>
      </c>
      <c r="AE41" s="668">
        <f ca="1">IF(AE$4="forecast",AVERAGE(S41:AD41)+4200,SUMIF('Dept. Cost Actuals'!$E$7:$E$176,"*Miscellaneous*",'Dept. Cost Actuals'!AI$529:AI$628))</f>
        <v>4300.4875694444445</v>
      </c>
      <c r="AF41" s="668">
        <f ca="1">IF(AF$4="forecast",AVERAGE(T41:AE41)+4200,SUMIF('Dept. Cost Actuals'!$E$7:$E$176,"*Miscellaneous*",'Dept. Cost Actuals'!AJ$529:AJ$628))</f>
        <v>4658.8615335648146</v>
      </c>
      <c r="AG41" s="668">
        <f ca="1">IF(AG$4="forecast",AVERAGE(U41:AF41)+4200,SUMIF('Dept. Cost Actuals'!$E$7:$E$176,"*Miscellaneous*",'Dept. Cost Actuals'!AK$529:AK$628))</f>
        <v>5038.5499946952159</v>
      </c>
      <c r="AH41" s="668">
        <f ca="1">IF(AH$4="forecast",AVERAGE(V41:AG41)+4200,SUMIF('Dept. Cost Actuals'!$E$7:$E$176,"*Miscellaneous*",'Dept. Cost Actuals'!AL$529:AL$628))</f>
        <v>5458.4291609198171</v>
      </c>
      <c r="AI41" s="668">
        <f ca="1">IF(AI$4="forecast",AVERAGE(W41:AH41)+4200,SUMIF('Dept. Cost Actuals'!$E$7:$E$176,"*Miscellaneous*",'Dept. Cost Actuals'!AM$529:AM$628))</f>
        <v>5913.2982576631357</v>
      </c>
      <c r="AJ41" s="668">
        <f ca="1">IF(AJ$4="forecast",AVERAGE(X41:AI41)+4200,SUMIF('Dept. Cost Actuals'!$E$7:$E$176,"*Miscellaneous*",'Dept. Cost Actuals'!AN$529:AN$628))</f>
        <v>6707.6706124683969</v>
      </c>
      <c r="AK41" s="668">
        <f ca="1">IF(AK$4="forecast",AVERAGE(Y41:AJ41)+4200,SUMIF('Dept. Cost Actuals'!$E$7:$E$176,"*Miscellaneous*",'Dept. Cost Actuals'!AO$529:AO$628))</f>
        <v>7266.6431635074296</v>
      </c>
      <c r="AL41" s="668">
        <f ca="1">IF(AL$4="forecast",AVERAGE(Z41:AK41)+4200,SUMIF('Dept. Cost Actuals'!$E$7:$E$176,"*Miscellaneous*",'Dept. Cost Actuals'!AP$529:AP$628))</f>
        <v>7872.1967604663823</v>
      </c>
      <c r="AM41" s="668">
        <f ca="1">IF(AM$4="forecast",AVERAGE(AA41:AL41)+4200,SUMIF('Dept. Cost Actuals'!$E$7:$E$176,"*Miscellaneous*",'Dept. Cost Actuals'!AQ$529:AQ$628))</f>
        <v>8528.2131571719146</v>
      </c>
      <c r="AN41" s="668">
        <f ca="1">IF(AN$4="forecast",AVERAGE(AB41:AM41)+4200,SUMIF('Dept. Cost Actuals'!$E$7:$E$176,"*Miscellaneous*",'Dept. Cost Actuals'!AR$529:AR$628))</f>
        <v>9238.8975869362403</v>
      </c>
      <c r="AO41" s="668">
        <f ca="1">IF(AO$4="forecast",AVERAGE(AC41:AN41)+4200,SUMIF('Dept. Cost Actuals'!$E$7:$E$176,"*Miscellaneous*",'Dept. Cost Actuals'!AS$529:AS$628))</f>
        <v>9967.5698858475916</v>
      </c>
      <c r="AP41" s="668">
        <f ca="1">IF(AP$4="forecast",AVERAGE(AD41:AO41)+4200,SUMIF('Dept. Cost Actuals'!$E$7:$E$176,"*Miscellaneous*",'Dept. Cost Actuals'!AT$529:AT$628))</f>
        <v>10776.708209668228</v>
      </c>
      <c r="AQ41" s="668">
        <f ca="1">IF(AQ$4="forecast",AVERAGE(AE41:AP41)+4200,SUMIF('Dept. Cost Actuals'!$E$7:$E$176,"*Miscellaneous*",'Dept. Cost Actuals'!AU$529:AU$628))</f>
        <v>11343.960491029469</v>
      </c>
      <c r="AR41" s="668">
        <f ca="1">IF(AR$4="forecast",AVERAGE(AF41:AQ41)+4200,SUMIF('Dept. Cost Actuals'!$E$7:$E$176,"*Miscellaneous*",'Dept. Cost Actuals'!AV$529:AV$628))</f>
        <v>11930.916567828219</v>
      </c>
      <c r="AS41" s="668">
        <f ca="1">IF(AS$4="forecast",AVERAGE(AG41:AR41)+4200,SUMIF('Dept. Cost Actuals'!$E$7:$E$176,"*Miscellaneous*",'Dept. Cost Actuals'!AW$529:AW$628))</f>
        <v>12536.921154016838</v>
      </c>
      <c r="AT41" s="668">
        <f ca="1">IF(AT$4="forecast",AVERAGE(AH41:AS41)+4200,SUMIF('Dept. Cost Actuals'!$E$7:$E$176,"*Miscellaneous*",'Dept. Cost Actuals'!AX$529:AX$628))</f>
        <v>13161.785417293639</v>
      </c>
      <c r="AU41" s="668">
        <f ca="1">IF(AU$4="forecast",AVERAGE(AI41:AT41)+4200,SUMIF('Dept. Cost Actuals'!$E$7:$E$176,"*Miscellaneous*",'Dept. Cost Actuals'!AY$529:AY$628))</f>
        <v>13803.731771991455</v>
      </c>
      <c r="AV41" s="668">
        <f ca="1">IF(AV$4="forecast",AVERAGE(AJ41:AU41)+4200,SUMIF('Dept. Cost Actuals'!$E$7:$E$176,"*Miscellaneous*",'Dept. Cost Actuals'!AZ$529:AZ$628))</f>
        <v>14461.267898185482</v>
      </c>
      <c r="AW41" s="668">
        <f ca="1">IF(AW$4="forecast",AVERAGE(AK41:AV41)+4200,SUMIF('Dept. Cost Actuals'!$E$7:$E$176,"*Miscellaneous*",'Dept. Cost Actuals'!BA$529:BA$628))</f>
        <v>15107.401005328573</v>
      </c>
      <c r="AX41" s="668">
        <f ca="1">IF(AX$4="forecast",AVERAGE(AL41:AW41)+4200,SUMIF('Dept. Cost Actuals'!$E$7:$E$176,"*Miscellaneous*",'Dept. Cost Actuals'!BB$529:BB$628))</f>
        <v>15760.797492147001</v>
      </c>
      <c r="AY41" s="668">
        <f ca="1">IF(AY$4="forecast",AVERAGE(AM41:AX41)+4200,SUMIF('Dept. Cost Actuals'!$E$7:$E$176,"*Miscellaneous*",'Dept. Cost Actuals'!BC$529:BC$628))</f>
        <v>16418.180886453723</v>
      </c>
      <c r="AZ41" s="668">
        <f ca="1">IF(AZ$4="forecast",AVERAGE(AN41:AY41)+4200,SUMIF('Dept. Cost Actuals'!$E$7:$E$176,"*Miscellaneous*",'Dept. Cost Actuals'!BD$529:BD$628))</f>
        <v>17075.678197227207</v>
      </c>
      <c r="BA41" s="668">
        <f ca="1">IF(BA$4="forecast",AVERAGE(AO41:AZ41)+4200,SUMIF('Dept. Cost Actuals'!$E$7:$E$176,"*Miscellaneous*",'Dept. Cost Actuals'!BE$529:BE$628))</f>
        <v>17728.743248084786</v>
      </c>
      <c r="BB41" s="668">
        <f ca="1">IF(BB$4="forecast",AVERAGE(AP41:BA41)+4200,SUMIF('Dept. Cost Actuals'!$E$7:$E$176,"*Miscellaneous*",'Dept. Cost Actuals'!BF$529:BF$628))</f>
        <v>18375.507694937885</v>
      </c>
      <c r="BC41" s="668">
        <f ca="1">IF(BC$4="forecast",AVERAGE(AQ41:BB41)+4200,SUMIF('Dept. Cost Actuals'!$E$7:$E$176,"*Miscellaneous*",'Dept. Cost Actuals'!BG$529:BG$628))</f>
        <v>19008.74098537703</v>
      </c>
      <c r="BD41" s="668">
        <f ca="1">IF(BD$4="forecast",AVERAGE(AR41:BC41)+4200,SUMIF('Dept. Cost Actuals'!$E$7:$E$176,"*Miscellaneous*",'Dept. Cost Actuals'!BH$529:BH$628))</f>
        <v>19647.472693239324</v>
      </c>
      <c r="BE41" s="668">
        <f ca="1">IF(BE$4="forecast",AVERAGE(AS41:BD41)+4200,SUMIF('Dept. Cost Actuals'!$E$7:$E$176,"*Miscellaneous*",'Dept. Cost Actuals'!BI$529:BI$628))</f>
        <v>20290.51903702358</v>
      </c>
      <c r="BF41" s="668">
        <f ca="1">IF(BF$4="forecast",AVERAGE(AT41:BE41)+4200,SUMIF('Dept. Cost Actuals'!$E$7:$E$176,"*Miscellaneous*",'Dept. Cost Actuals'!BJ$529:BJ$628))</f>
        <v>20936.652193940809</v>
      </c>
      <c r="BG41" s="668">
        <f ca="1">IF(BG$4="forecast",AVERAGE(AU41:BF41)+4200,SUMIF('Dept. Cost Actuals'!$E$7:$E$176,"*Miscellaneous*",'Dept. Cost Actuals'!BK$529:BK$628))</f>
        <v>21584.557758661405</v>
      </c>
      <c r="BH41" s="668">
        <f ca="1">IF(BH$4="forecast",AVERAGE(AV41:BG41)+4200,SUMIF('Dept. Cost Actuals'!$E$7:$E$176,"*Miscellaneous*",'Dept. Cost Actuals'!BL$529:BL$628))</f>
        <v>22232.959924217233</v>
      </c>
      <c r="BI41" s="668">
        <f ca="1">IF(BI$4="forecast",AVERAGE(AW41:BH41)+4200,SUMIF('Dept. Cost Actuals'!$E$7:$E$176,"*Miscellaneous*",'Dept. Cost Actuals'!BM$529:BM$628))</f>
        <v>22880.600926386545</v>
      </c>
      <c r="BJ41" s="668">
        <f ca="1">IF(BJ$4="forecast",AVERAGE(AX41:BI41)+4200,SUMIF('Dept. Cost Actuals'!$E$7:$E$176,"*Miscellaneous*",'Dept. Cost Actuals'!BN$529:BN$628))</f>
        <v>23528.367586474709</v>
      </c>
      <c r="BK41" s="668">
        <f ca="1">IF(BK$4="forecast",AVERAGE(AY41:BJ41)+4200,SUMIF('Dept. Cost Actuals'!$E$7:$E$176,"*Miscellaneous*",'Dept. Cost Actuals'!BO$529:BO$628))</f>
        <v>24175.665094335349</v>
      </c>
      <c r="BL41" s="668">
        <f ca="1">IF(BL$4="forecast",AVERAGE(AZ41:BK41)+4200,SUMIF('Dept. Cost Actuals'!$E$7:$E$176,"*Miscellaneous*",'Dept. Cost Actuals'!BP$529:BP$628))</f>
        <v>24822.12211165882</v>
      </c>
      <c r="BM41" s="668">
        <f ca="1">IF(BM$4="forecast",AVERAGE(BA41:BL41)+4200,SUMIF('Dept. Cost Actuals'!$E$7:$E$176,"*Miscellaneous*",'Dept. Cost Actuals'!BQ$529:BQ$628))</f>
        <v>25467.659104528124</v>
      </c>
      <c r="BN41" s="668">
        <f ca="1">IF(BN$4="forecast",AVERAGE(BB41:BM41)+4200,SUMIF('Dept. Cost Actuals'!$E$7:$E$176,"*Miscellaneous*",'Dept. Cost Actuals'!BR$529:BR$628))</f>
        <v>26112.568759231737</v>
      </c>
      <c r="BO41" s="668">
        <f ca="1">IF(BO$4="forecast",AVERAGE(BC41:BN41)+4200,SUMIF('Dept. Cost Actuals'!$E$7:$E$176,"*Miscellaneous*",'Dept. Cost Actuals'!BS$529:BS$628))</f>
        <v>26757.323847922889</v>
      </c>
      <c r="BP41" s="668">
        <f ca="1">IF(BP$4="forecast",AVERAGE(BD41:BO41)+4200,SUMIF('Dept. Cost Actuals'!$E$7:$E$176,"*Miscellaneous*",'Dept. Cost Actuals'!BT$529:BT$628))</f>
        <v>27403.039086468376</v>
      </c>
      <c r="BQ41" s="668">
        <f ca="1">IF(BQ$4="forecast",AVERAGE(BE41:BP41)+4200,SUMIF('Dept. Cost Actuals'!$E$7:$E$176,"*Miscellaneous*",'Dept. Cost Actuals'!BU$529:BU$628))</f>
        <v>28049.336285904137</v>
      </c>
      <c r="BR41" s="668">
        <f ca="1">IF(BR$4="forecast",AVERAGE(BF41:BQ41)+4200,SUMIF('Dept. Cost Actuals'!$E$7:$E$176,"*Miscellaneous*",'Dept. Cost Actuals'!BV$529:BV$628))</f>
        <v>28695.904389977513</v>
      </c>
      <c r="BS41" s="668">
        <f ca="1">IF(BS$4="forecast",AVERAGE(BG41:BR41)+4200,SUMIF('Dept. Cost Actuals'!$E$7:$E$176,"*Miscellaneous*",'Dept. Cost Actuals'!BW$529:BW$628))</f>
        <v>29342.508739647234</v>
      </c>
      <c r="BT41" s="668">
        <f ca="1">IF(BT$4="forecast",AVERAGE(BH41:BS41)+4200,SUMIF('Dept. Cost Actuals'!$E$7:$E$176,"*Miscellaneous*",'Dept. Cost Actuals'!BX$529:BX$628))</f>
        <v>29989.004654729386</v>
      </c>
      <c r="BU41" s="668">
        <f ca="1">IF(BU$4="forecast",AVERAGE(BI41:BT41)+4200,SUMIF('Dept. Cost Actuals'!$E$7:$E$176,"*Miscellaneous*",'Dept. Cost Actuals'!BY$529:BY$628))</f>
        <v>30635.341715605402</v>
      </c>
      <c r="BV41" s="790">
        <f ca="1">IF(BV$4="forecast",AVERAGE(BJ41:BU41)+4200,SUMIF('Dept. Cost Actuals'!$E$7:$E$176,"*Miscellaneous*",'Dept. Cost Actuals'!BZ$529:BZ$628))</f>
        <v>31281.570114706974</v>
      </c>
    </row>
    <row r="42" spans="2:74" x14ac:dyDescent="0.25">
      <c r="B42" s="797" t="s">
        <v>1336</v>
      </c>
      <c r="C42" s="792">
        <f ca="1">IF(C$4="forecast",AVERAGE(#REF!),SUMIF('Dept. Cost Actuals'!$E$7:$E$176,"*Liscenses and Permits*",'Dept. Cost Actuals'!G$529:G$628))</f>
        <v>0</v>
      </c>
      <c r="D42" s="792">
        <f ca="1">IF(D$4="forecast",AVERAGE(#REF!),SUMIF('Dept. Cost Actuals'!$E$7:$E$176,"*Liscenses and Permits*",'Dept. Cost Actuals'!H$529:H$628))</f>
        <v>0</v>
      </c>
      <c r="E42" s="792">
        <f ca="1">IF(E$4="forecast",AVERAGE(#REF!),SUMIF('Dept. Cost Actuals'!$E$7:$E$176,"*Liscenses and Permits*",'Dept. Cost Actuals'!I$529:I$628))</f>
        <v>0</v>
      </c>
      <c r="F42" s="792">
        <f ca="1">IF(F$4="forecast",AVERAGE(#REF!),SUMIF('Dept. Cost Actuals'!$E$7:$E$176,"*Liscenses and Permits*",'Dept. Cost Actuals'!J$529:J$628))</f>
        <v>0</v>
      </c>
      <c r="G42" s="792">
        <f ca="1">IF(G$4="forecast",AVERAGE(#REF!),SUMIF('Dept. Cost Actuals'!$E$7:$E$176,"*Liscenses and Permits*",'Dept. Cost Actuals'!K$529:K$628))</f>
        <v>0</v>
      </c>
      <c r="H42" s="792">
        <f ca="1">IF(H$4="forecast",AVERAGE(#REF!),SUMIF('Dept. Cost Actuals'!$E$7:$E$176,"*Liscenses and Permits*",'Dept. Cost Actuals'!L$529:L$628))</f>
        <v>0</v>
      </c>
      <c r="I42" s="792">
        <f ca="1">IF(I$4="forecast",AVERAGE(#REF!),SUMIF('Dept. Cost Actuals'!$E$7:$E$176,"*Liscenses and Permits*",'Dept. Cost Actuals'!M$529:M$628))</f>
        <v>0</v>
      </c>
      <c r="J42" s="792">
        <f ca="1">IF(J$4="forecast",AVERAGE(#REF!),SUMIF('Dept. Cost Actuals'!$E$7:$E$176,"*Liscenses and Permits*",'Dept. Cost Actuals'!N$529:N$628))</f>
        <v>0</v>
      </c>
      <c r="K42" s="792">
        <f ca="1">IF(K$4="forecast",AVERAGE(#REF!),SUMIF('Dept. Cost Actuals'!$E$7:$E$176,"*Liscenses and Permits*",'Dept. Cost Actuals'!O$529:O$628))</f>
        <v>0</v>
      </c>
      <c r="L42" s="792">
        <f ca="1">IF(L$4="forecast",AVERAGE(#REF!),SUMIF('Dept. Cost Actuals'!$E$7:$E$176,"*Liscenses and Permits*",'Dept. Cost Actuals'!P$529:P$628))</f>
        <v>0</v>
      </c>
      <c r="M42" s="792">
        <f ca="1">IF(M$4="forecast",AVERAGE(A42:L42),SUMIF('Dept. Cost Actuals'!$E$7:$E$176,"*Liscenses and Permits*",'Dept. Cost Actuals'!Q$529:Q$628))</f>
        <v>0</v>
      </c>
      <c r="N42" s="792">
        <f ca="1">IF(N$4="forecast",AVERAGE(B42:M42),SUMIF('Dept. Cost Actuals'!$E$7:$E$176,"*Liscenses and Permits*",'Dept. Cost Actuals'!R$529:R$628))</f>
        <v>0</v>
      </c>
      <c r="O42" s="792">
        <f ca="1">IF(O$4="forecast",AVERAGE(C42:N42),SUMIF('Dept. Cost Actuals'!$E$7:$E$176,"*Liscenses and Permits*",'Dept. Cost Actuals'!S$529:S$628))</f>
        <v>0</v>
      </c>
      <c r="P42" s="792">
        <f ca="1">IF(P$4="forecast",AVERAGE(D42:O42),SUMIF('Dept. Cost Actuals'!$E$7:$E$176,"*Liscenses and Permits*",'Dept. Cost Actuals'!T$529:T$628))</f>
        <v>0</v>
      </c>
      <c r="Q42" s="792">
        <f ca="1">IF(Q$4="forecast",AVERAGE(E42:P42),SUMIF('Dept. Cost Actuals'!$E$7:$E$176,"*Liscenses and Permits*",'Dept. Cost Actuals'!U$529:U$628))</f>
        <v>0</v>
      </c>
      <c r="R42" s="792">
        <f ca="1">IF(R$4="forecast",AVERAGE(F42:Q42),SUMIF('Dept. Cost Actuals'!$E$7:$E$176,"*Liscenses and Permits*",'Dept. Cost Actuals'!V$529:V$628))</f>
        <v>0</v>
      </c>
      <c r="S42" s="792">
        <f ca="1">IF(S$4="forecast",AVERAGE(G42:R42),SUMIF('Dept. Cost Actuals'!$E$7:$E$176,"*Liscenses and Permits*",'Dept. Cost Actuals'!W$529:W$628))</f>
        <v>0</v>
      </c>
      <c r="T42" s="792">
        <f ca="1">IF(T$4="forecast",AVERAGE(H42:S42),SUMIF('Dept. Cost Actuals'!$E$7:$E$176,"*Liscenses and Permits*",'Dept. Cost Actuals'!X$529:X$628))</f>
        <v>0</v>
      </c>
      <c r="U42" s="792">
        <f ca="1">IF(U$4="forecast",AVERAGE(I42:T42),SUMIF('Dept. Cost Actuals'!$E$7:$E$176,"*Liscenses and Permits*",'Dept. Cost Actuals'!Y$529:Y$628))</f>
        <v>0</v>
      </c>
      <c r="V42" s="792">
        <f ca="1">IF(V$4="forecast",AVERAGE(J42:U42),SUMIF('Dept. Cost Actuals'!$E$7:$E$176,"*Liscenses and Permits*",'Dept. Cost Actuals'!Z$529:Z$628))</f>
        <v>0</v>
      </c>
      <c r="W42" s="792">
        <f ca="1">IF(W$4="forecast",AVERAGE(K42:V42),SUMIF('Dept. Cost Actuals'!$E$7:$E$176,"*Liscenses and Permits*",'Dept. Cost Actuals'!AA$529:AA$628))</f>
        <v>0</v>
      </c>
      <c r="X42" s="792">
        <f ca="1">IF(X$4="forecast",AVERAGE(L42:W42),SUMIF('Dept. Cost Actuals'!$E$7:$E$176,"*Liscenses and Permits*",'Dept. Cost Actuals'!AB$529:AB$628))</f>
        <v>0</v>
      </c>
      <c r="Y42" s="792">
        <f ca="1">IF(Y$4="forecast",AVERAGE(M42:X42),SUMIF('Dept. Cost Actuals'!$E$7:$E$176,"*Liscenses and Permits*",'Dept. Cost Actuals'!AC$529:AC$628))</f>
        <v>0</v>
      </c>
      <c r="Z42" s="792">
        <f ca="1">IF(Z$4="forecast",AVERAGE(N42:Y42),SUMIF('Dept. Cost Actuals'!$E$7:$E$176,"*Liscenses and Permits*",'Dept. Cost Actuals'!AD$529:AD$628))</f>
        <v>0</v>
      </c>
      <c r="AA42" s="792">
        <f ca="1">IF(AA$4="forecast",AVERAGE(O42:Z42),SUMIF('Dept. Cost Actuals'!$E$7:$E$176,"*Liscenses and Permits*",'Dept. Cost Actuals'!AE$529:AE$628))</f>
        <v>0</v>
      </c>
      <c r="AB42" s="792">
        <f ca="1">IF(AB$4="forecast",AVERAGE(P42:AA42),SUMIF('Dept. Cost Actuals'!$E$7:$E$176,"*Liscenses and Permits*",'Dept. Cost Actuals'!AF$529:AF$628))</f>
        <v>0</v>
      </c>
      <c r="AC42" s="792">
        <f ca="1">IF(AC$4="forecast",AVERAGE(Q42:AB42),SUMIF('Dept. Cost Actuals'!$E$7:$E$176,"*Liscenses and Permits*",'Dept. Cost Actuals'!AG$529:AG$628))</f>
        <v>0</v>
      </c>
      <c r="AD42" s="792">
        <f ca="1">IF(AD$4="forecast",AVERAGE(R42:AC42),SUMIF('Dept. Cost Actuals'!$E$7:$E$176,"*Liscenses and Permits*",'Dept. Cost Actuals'!AH$529:AH$628))</f>
        <v>0</v>
      </c>
      <c r="AE42" s="792">
        <f ca="1">IF(AE$4="forecast",AVERAGE(S42:AD42),SUMIF('Dept. Cost Actuals'!$E$7:$E$176,"*Liscenses and Permits*",'Dept. Cost Actuals'!AI$529:AI$628))</f>
        <v>0</v>
      </c>
      <c r="AF42" s="792">
        <f ca="1">IF(AF$4="forecast",AVERAGE(T42:AE42),SUMIF('Dept. Cost Actuals'!$E$7:$E$176,"*Liscenses and Permits*",'Dept. Cost Actuals'!AJ$529:AJ$628))</f>
        <v>0</v>
      </c>
      <c r="AG42" s="792">
        <f ca="1">IF(AG$4="forecast",AVERAGE(U42:AF42),SUMIF('Dept. Cost Actuals'!$E$7:$E$176,"*Liscenses and Permits*",'Dept. Cost Actuals'!AK$529:AK$628))</f>
        <v>0</v>
      </c>
      <c r="AH42" s="792">
        <f ca="1">IF(AH$4="forecast",AVERAGE(V42:AG42),SUMIF('Dept. Cost Actuals'!$E$7:$E$176,"*Liscenses and Permits*",'Dept. Cost Actuals'!AL$529:AL$628))</f>
        <v>0</v>
      </c>
      <c r="AI42" s="792">
        <f ca="1">IF(AI$4="forecast",AVERAGE(W42:AH42),SUMIF('Dept. Cost Actuals'!$E$7:$E$176,"*Liscenses and Permits*",'Dept. Cost Actuals'!AM$529:AM$628))</f>
        <v>0</v>
      </c>
      <c r="AJ42" s="792">
        <f ca="1">IF(AJ$4="forecast",AVERAGE(X42:AI42),SUMIF('Dept. Cost Actuals'!$E$7:$E$176,"*Liscenses and Permits*",'Dept. Cost Actuals'!AN$529:AN$628))</f>
        <v>0</v>
      </c>
      <c r="AK42" s="792">
        <f ca="1">IF(AK$4="forecast",AVERAGE(Y42:AJ42),SUMIF('Dept. Cost Actuals'!$E$7:$E$176,"*Liscenses and Permits*",'Dept. Cost Actuals'!AO$529:AO$628))</f>
        <v>0</v>
      </c>
      <c r="AL42" s="792">
        <f ca="1">IF(AL$4="forecast",AVERAGE(Z42:AK42),SUMIF('Dept. Cost Actuals'!$E$7:$E$176,"*Liscenses and Permits*",'Dept. Cost Actuals'!AP$529:AP$628))</f>
        <v>0</v>
      </c>
      <c r="AM42" s="792">
        <f ca="1">IF(AM$4="forecast",AVERAGE(AA42:AL42),SUMIF('Dept. Cost Actuals'!$E$7:$E$176,"*Liscenses and Permits*",'Dept. Cost Actuals'!AQ$529:AQ$628))</f>
        <v>0</v>
      </c>
      <c r="AN42" s="792">
        <f ca="1">IF(AN$4="forecast",AVERAGE(AB42:AM42),SUMIF('Dept. Cost Actuals'!$E$7:$E$176,"*Liscenses and Permits*",'Dept. Cost Actuals'!AR$529:AR$628))</f>
        <v>0</v>
      </c>
      <c r="AO42" s="792">
        <f ca="1">IF(AO$4="forecast",AVERAGE(AC42:AN42),SUMIF('Dept. Cost Actuals'!$E$7:$E$176,"*Liscenses and Permits*",'Dept. Cost Actuals'!AS$529:AS$628))</f>
        <v>0</v>
      </c>
      <c r="AP42" s="792">
        <f ca="1">IF(AP$4="forecast",AVERAGE(AD42:AO42),SUMIF('Dept. Cost Actuals'!$E$7:$E$176,"*Liscenses and Permits*",'Dept. Cost Actuals'!AT$529:AT$628))</f>
        <v>0</v>
      </c>
      <c r="AQ42" s="792">
        <f ca="1">IF(AQ$4="forecast",AVERAGE(AE42:AP42),SUMIF('Dept. Cost Actuals'!$E$7:$E$176,"*Liscenses and Permits*",'Dept. Cost Actuals'!AU$529:AU$628))</f>
        <v>0</v>
      </c>
      <c r="AR42" s="792">
        <f ca="1">IF(AR$4="forecast",AVERAGE(AF42:AQ42),SUMIF('Dept. Cost Actuals'!$E$7:$E$176,"*Liscenses and Permits*",'Dept. Cost Actuals'!AV$529:AV$628))</f>
        <v>0</v>
      </c>
      <c r="AS42" s="792">
        <f ca="1">IF(AS$4="forecast",AVERAGE(AG42:AR42),SUMIF('Dept. Cost Actuals'!$E$7:$E$176,"*Liscenses and Permits*",'Dept. Cost Actuals'!AW$529:AW$628))</f>
        <v>0</v>
      </c>
      <c r="AT42" s="792">
        <f ca="1">IF(AT$4="forecast",AVERAGE(AH42:AS42),SUMIF('Dept. Cost Actuals'!$E$7:$E$176,"*Liscenses and Permits*",'Dept. Cost Actuals'!AX$529:AX$628))</f>
        <v>0</v>
      </c>
      <c r="AU42" s="792">
        <f ca="1">IF(AU$4="forecast",AVERAGE(AI42:AT42),SUMIF('Dept. Cost Actuals'!$E$7:$E$176,"*Liscenses and Permits*",'Dept. Cost Actuals'!AY$529:AY$628))</f>
        <v>0</v>
      </c>
      <c r="AV42" s="792">
        <f ca="1">IF(AV$4="forecast",AVERAGE(AJ42:AU42),SUMIF('Dept. Cost Actuals'!$E$7:$E$176,"*Liscenses and Permits*",'Dept. Cost Actuals'!AZ$529:AZ$628))</f>
        <v>0</v>
      </c>
      <c r="AW42" s="792">
        <f ca="1">IF(AW$4="forecast",AVERAGE(AK42:AV42),SUMIF('Dept. Cost Actuals'!$E$7:$E$176,"*Liscenses and Permits*",'Dept. Cost Actuals'!BA$529:BA$628))</f>
        <v>0</v>
      </c>
      <c r="AX42" s="792">
        <f ca="1">IF(AX$4="forecast",AVERAGE(AL42:AW42),SUMIF('Dept. Cost Actuals'!$E$7:$E$176,"*Liscenses and Permits*",'Dept. Cost Actuals'!BB$529:BB$628))</f>
        <v>0</v>
      </c>
      <c r="AY42" s="792">
        <f ca="1">IF(AY$4="forecast",AVERAGE(AM42:AX42),SUMIF('Dept. Cost Actuals'!$E$7:$E$176,"*Liscenses and Permits*",'Dept. Cost Actuals'!BC$529:BC$628))</f>
        <v>0</v>
      </c>
      <c r="AZ42" s="792">
        <f ca="1">IF(AZ$4="forecast",AVERAGE(AN42:AY42),SUMIF('Dept. Cost Actuals'!$E$7:$E$176,"*Liscenses and Permits*",'Dept. Cost Actuals'!BD$529:BD$628))</f>
        <v>0</v>
      </c>
      <c r="BA42" s="792">
        <f ca="1">IF(BA$4="forecast",AVERAGE(AO42:AZ42),SUMIF('Dept. Cost Actuals'!$E$7:$E$176,"*Liscenses and Permits*",'Dept. Cost Actuals'!BE$529:BE$628))</f>
        <v>0</v>
      </c>
      <c r="BB42" s="792">
        <f ca="1">IF(BB$4="forecast",AVERAGE(AP42:BA42),SUMIF('Dept. Cost Actuals'!$E$7:$E$176,"*Liscenses and Permits*",'Dept. Cost Actuals'!BF$529:BF$628))</f>
        <v>0</v>
      </c>
      <c r="BC42" s="792">
        <f ca="1">IF(BC$4="forecast",AVERAGE(AQ42:BB42),SUMIF('Dept. Cost Actuals'!$E$7:$E$176,"*Liscenses and Permits*",'Dept. Cost Actuals'!BG$529:BG$628))</f>
        <v>0</v>
      </c>
      <c r="BD42" s="792">
        <f ca="1">IF(BD$4="forecast",AVERAGE(AR42:BC42),SUMIF('Dept. Cost Actuals'!$E$7:$E$176,"*Liscenses and Permits*",'Dept. Cost Actuals'!BH$529:BH$628))</f>
        <v>0</v>
      </c>
      <c r="BE42" s="792">
        <f ca="1">IF(BE$4="forecast",AVERAGE(AS42:BD42),SUMIF('Dept. Cost Actuals'!$E$7:$E$176,"*Liscenses and Permits*",'Dept. Cost Actuals'!BI$529:BI$628))</f>
        <v>0</v>
      </c>
      <c r="BF42" s="792">
        <f ca="1">IF(BF$4="forecast",AVERAGE(AT42:BE42),SUMIF('Dept. Cost Actuals'!$E$7:$E$176,"*Liscenses and Permits*",'Dept. Cost Actuals'!BJ$529:BJ$628))</f>
        <v>0</v>
      </c>
      <c r="BG42" s="792">
        <f ca="1">IF(BG$4="forecast",AVERAGE(AU42:BF42),SUMIF('Dept. Cost Actuals'!$E$7:$E$176,"*Liscenses and Permits*",'Dept. Cost Actuals'!BK$529:BK$628))</f>
        <v>0</v>
      </c>
      <c r="BH42" s="792">
        <f ca="1">IF(BH$4="forecast",AVERAGE(AV42:BG42),SUMIF('Dept. Cost Actuals'!$E$7:$E$176,"*Liscenses and Permits*",'Dept. Cost Actuals'!BL$529:BL$628))</f>
        <v>0</v>
      </c>
      <c r="BI42" s="792">
        <f ca="1">IF(BI$4="forecast",AVERAGE(AW42:BH42),SUMIF('Dept. Cost Actuals'!$E$7:$E$176,"*Liscenses and Permits*",'Dept. Cost Actuals'!BM$529:BM$628))</f>
        <v>0</v>
      </c>
      <c r="BJ42" s="792">
        <f ca="1">IF(BJ$4="forecast",AVERAGE(AX42:BI42),SUMIF('Dept. Cost Actuals'!$E$7:$E$176,"*Liscenses and Permits*",'Dept. Cost Actuals'!BN$529:BN$628))</f>
        <v>0</v>
      </c>
      <c r="BK42" s="792">
        <f ca="1">IF(BK$4="forecast",AVERAGE(AY42:BJ42),SUMIF('Dept. Cost Actuals'!$E$7:$E$176,"*Liscenses and Permits*",'Dept. Cost Actuals'!BO$529:BO$628))</f>
        <v>0</v>
      </c>
      <c r="BL42" s="792">
        <f ca="1">IF(BL$4="forecast",AVERAGE(AZ42:BK42),SUMIF('Dept. Cost Actuals'!$E$7:$E$176,"*Liscenses and Permits*",'Dept. Cost Actuals'!BP$529:BP$628))</f>
        <v>0</v>
      </c>
      <c r="BM42" s="792">
        <f ca="1">IF(BM$4="forecast",AVERAGE(BA42:BL42),SUMIF('Dept. Cost Actuals'!$E$7:$E$176,"*Liscenses and Permits*",'Dept. Cost Actuals'!BQ$529:BQ$628))</f>
        <v>0</v>
      </c>
      <c r="BN42" s="792">
        <f ca="1">IF(BN$4="forecast",AVERAGE(BB42:BM42),SUMIF('Dept. Cost Actuals'!$E$7:$E$176,"*Liscenses and Permits*",'Dept. Cost Actuals'!BR$529:BR$628))</f>
        <v>0</v>
      </c>
      <c r="BO42" s="792">
        <f ca="1">IF(BO$4="forecast",AVERAGE(BC42:BN42),SUMIF('Dept. Cost Actuals'!$E$7:$E$176,"*Liscenses and Permits*",'Dept. Cost Actuals'!BS$529:BS$628))</f>
        <v>0</v>
      </c>
      <c r="BP42" s="792">
        <f ca="1">IF(BP$4="forecast",AVERAGE(BD42:BO42),SUMIF('Dept. Cost Actuals'!$E$7:$E$176,"*Liscenses and Permits*",'Dept. Cost Actuals'!BT$529:BT$628))</f>
        <v>0</v>
      </c>
      <c r="BQ42" s="792">
        <f ca="1">IF(BQ$4="forecast",AVERAGE(BE42:BP42),SUMIF('Dept. Cost Actuals'!$E$7:$E$176,"*Liscenses and Permits*",'Dept. Cost Actuals'!BU$529:BU$628))</f>
        <v>0</v>
      </c>
      <c r="BR42" s="792">
        <f ca="1">IF(BR$4="forecast",AVERAGE(BF42:BQ42),SUMIF('Dept. Cost Actuals'!$E$7:$E$176,"*Liscenses and Permits*",'Dept. Cost Actuals'!BV$529:BV$628))</f>
        <v>0</v>
      </c>
      <c r="BS42" s="792">
        <f ca="1">IF(BS$4="forecast",AVERAGE(BG42:BR42),SUMIF('Dept. Cost Actuals'!$E$7:$E$176,"*Liscenses and Permits*",'Dept. Cost Actuals'!BW$529:BW$628))</f>
        <v>0</v>
      </c>
      <c r="BT42" s="792">
        <f ca="1">IF(BT$4="forecast",AVERAGE(BH42:BS42),SUMIF('Dept. Cost Actuals'!$E$7:$E$176,"*Liscenses and Permits*",'Dept. Cost Actuals'!BX$529:BX$628))</f>
        <v>0</v>
      </c>
      <c r="BU42" s="792">
        <f ca="1">IF(BU$4="forecast",AVERAGE(BI42:BT42),SUMIF('Dept. Cost Actuals'!$E$7:$E$176,"*Liscenses and Permits*",'Dept. Cost Actuals'!BY$529:BY$628))</f>
        <v>0</v>
      </c>
      <c r="BV42" s="798">
        <f ca="1">IF(BV$4="forecast",AVERAGE(BJ42:BU42),SUMIF('Dept. Cost Actuals'!$E$7:$E$176,"*Liscenses and Permits*",'Dept. Cost Actuals'!BZ$529:BZ$628))</f>
        <v>0</v>
      </c>
    </row>
    <row r="43" spans="2:74" x14ac:dyDescent="0.25">
      <c r="B43" s="799" t="s">
        <v>946</v>
      </c>
      <c r="C43" s="800">
        <f ca="1">SUM(C32:C42)</f>
        <v>432.87206549972723</v>
      </c>
      <c r="D43" s="800">
        <f t="shared" ref="D43:BO43" ca="1" si="10">SUM(D32:D42)</f>
        <v>208.63973638581297</v>
      </c>
      <c r="E43" s="800">
        <f t="shared" ca="1" si="10"/>
        <v>290.66834054362494</v>
      </c>
      <c r="F43" s="800">
        <f t="shared" ca="1" si="10"/>
        <v>176.76745925840467</v>
      </c>
      <c r="G43" s="800">
        <f t="shared" ca="1" si="10"/>
        <v>63.845407411568623</v>
      </c>
      <c r="H43" s="800">
        <f t="shared" ca="1" si="10"/>
        <v>211.17865233133122</v>
      </c>
      <c r="I43" s="800">
        <f t="shared" ca="1" si="10"/>
        <v>390.91709551782697</v>
      </c>
      <c r="J43" s="800">
        <f t="shared" ca="1" si="10"/>
        <v>468.21550782607147</v>
      </c>
      <c r="K43" s="800">
        <f t="shared" ca="1" si="10"/>
        <v>659.29448875145658</v>
      </c>
      <c r="L43" s="800">
        <f t="shared" ca="1" si="10"/>
        <v>625.47441627131298</v>
      </c>
      <c r="M43" s="800">
        <f t="shared" ca="1" si="10"/>
        <v>822.04081317693863</v>
      </c>
      <c r="N43" s="800">
        <f t="shared" ca="1" si="10"/>
        <v>292.25607369171621</v>
      </c>
      <c r="O43" s="800">
        <f t="shared" ca="1" si="10"/>
        <v>4760.26</v>
      </c>
      <c r="P43" s="800">
        <f t="shared" ca="1" si="10"/>
        <v>31203.24</v>
      </c>
      <c r="Q43" s="800">
        <f t="shared" ca="1" si="10"/>
        <v>9706.0499999999993</v>
      </c>
      <c r="R43" s="800">
        <f t="shared" ca="1" si="10"/>
        <v>4012.11</v>
      </c>
      <c r="S43" s="800">
        <f t="shared" ca="1" si="10"/>
        <v>12899.98</v>
      </c>
      <c r="T43" s="800">
        <f t="shared" ca="1" si="10"/>
        <v>1183.8399999999999</v>
      </c>
      <c r="U43" s="800">
        <f t="shared" ca="1" si="10"/>
        <v>30066.45</v>
      </c>
      <c r="V43" s="800">
        <f t="shared" ca="1" si="10"/>
        <v>17752.3</v>
      </c>
      <c r="W43" s="800">
        <f t="shared" ca="1" si="10"/>
        <v>9178.58</v>
      </c>
      <c r="X43" s="800">
        <f t="shared" ca="1" si="10"/>
        <v>61.500000000000014</v>
      </c>
      <c r="Y43" s="800">
        <f t="shared" ca="1" si="10"/>
        <v>3467.94</v>
      </c>
      <c r="Z43" s="800">
        <f t="shared" ca="1" si="10"/>
        <v>62127.65</v>
      </c>
      <c r="AA43" s="800">
        <f t="shared" ca="1" si="10"/>
        <v>7470.9</v>
      </c>
      <c r="AB43" s="800">
        <f t="shared" ca="1" si="10"/>
        <v>-62987.999999999993</v>
      </c>
      <c r="AC43" s="800">
        <f t="shared" ca="1" si="10"/>
        <v>2502.6899999999996</v>
      </c>
      <c r="AD43" s="800">
        <f t="shared" ca="1" si="10"/>
        <v>12155.494999999999</v>
      </c>
      <c r="AE43" s="800">
        <f t="shared" ca="1" si="10"/>
        <v>12786.193749999999</v>
      </c>
      <c r="AF43" s="800">
        <f t="shared" ca="1" si="10"/>
        <v>12718.378229166665</v>
      </c>
      <c r="AG43" s="800">
        <f t="shared" ca="1" si="10"/>
        <v>13631.673081597219</v>
      </c>
      <c r="AH43" s="800">
        <f t="shared" ca="1" si="10"/>
        <v>12214.191671730325</v>
      </c>
      <c r="AI43" s="800">
        <f t="shared" ca="1" si="10"/>
        <v>11704.76597770785</v>
      </c>
      <c r="AJ43" s="800">
        <f t="shared" ca="1" si="10"/>
        <v>11867.364809183506</v>
      </c>
      <c r="AK43" s="800">
        <f t="shared" ca="1" si="10"/>
        <v>12792.85354328213</v>
      </c>
      <c r="AL43" s="800">
        <f t="shared" ca="1" si="10"/>
        <v>13511.596338555642</v>
      </c>
      <c r="AM43" s="800">
        <f t="shared" ca="1" si="10"/>
        <v>9405.6752001019449</v>
      </c>
      <c r="AN43" s="800">
        <f t="shared" ca="1" si="10"/>
        <v>9508.5731334437733</v>
      </c>
      <c r="AO43" s="800">
        <f t="shared" ca="1" si="10"/>
        <v>15491.620894564086</v>
      </c>
      <c r="AP43" s="800">
        <f t="shared" ca="1" si="10"/>
        <v>16515.698469111096</v>
      </c>
      <c r="AQ43" s="800">
        <f t="shared" ca="1" si="10"/>
        <v>16879.048758203688</v>
      </c>
      <c r="AR43" s="800">
        <f t="shared" ca="1" si="10"/>
        <v>17220.120008887327</v>
      </c>
      <c r="AS43" s="800">
        <f t="shared" ca="1" si="10"/>
        <v>17595.265157197384</v>
      </c>
      <c r="AT43" s="800">
        <f t="shared" ca="1" si="10"/>
        <v>17925.564496830728</v>
      </c>
      <c r="AU43" s="800">
        <f t="shared" ca="1" si="10"/>
        <v>18401.512232255762</v>
      </c>
      <c r="AV43" s="800">
        <f t="shared" ca="1" si="10"/>
        <v>18959.574420134755</v>
      </c>
      <c r="AW43" s="800">
        <f t="shared" ca="1" si="10"/>
        <v>19550.591887714025</v>
      </c>
      <c r="AX43" s="800">
        <f t="shared" ca="1" si="10"/>
        <v>20113.736749750016</v>
      </c>
      <c r="AY43" s="800">
        <f t="shared" ca="1" si="10"/>
        <v>20663.915117349548</v>
      </c>
      <c r="AZ43" s="800">
        <f t="shared" ca="1" si="10"/>
        <v>21602.101777120184</v>
      </c>
      <c r="BA43" s="800">
        <f t="shared" ca="1" si="10"/>
        <v>22609.895830759884</v>
      </c>
      <c r="BB43" s="800">
        <f t="shared" ca="1" si="10"/>
        <v>23203.085408776202</v>
      </c>
      <c r="BC43" s="800">
        <f t="shared" ca="1" si="10"/>
        <v>23760.367653748297</v>
      </c>
      <c r="BD43" s="800">
        <f t="shared" ca="1" si="10"/>
        <v>24333.81089504368</v>
      </c>
      <c r="BE43" s="800">
        <f t="shared" ca="1" si="10"/>
        <v>24926.618468890039</v>
      </c>
      <c r="BF43" s="800">
        <f t="shared" ca="1" si="10"/>
        <v>25537.564578197762</v>
      </c>
      <c r="BG43" s="800">
        <f t="shared" ca="1" si="10"/>
        <v>26171.897918311683</v>
      </c>
      <c r="BH43" s="800">
        <f t="shared" ca="1" si="10"/>
        <v>26819.430058816339</v>
      </c>
      <c r="BI43" s="800">
        <f t="shared" ca="1" si="10"/>
        <v>27474.41802870647</v>
      </c>
      <c r="BJ43" s="800">
        <f t="shared" ca="1" si="10"/>
        <v>28134.736873789174</v>
      </c>
      <c r="BK43" s="800">
        <f t="shared" ca="1" si="10"/>
        <v>28803.153550792435</v>
      </c>
      <c r="BL43" s="800">
        <f t="shared" ca="1" si="10"/>
        <v>29481.42342024601</v>
      </c>
      <c r="BM43" s="800">
        <f t="shared" ca="1" si="10"/>
        <v>30138.033557173163</v>
      </c>
      <c r="BN43" s="800">
        <f t="shared" ca="1" si="10"/>
        <v>30765.378367707606</v>
      </c>
      <c r="BO43" s="800">
        <f t="shared" ca="1" si="10"/>
        <v>31395.569447618556</v>
      </c>
      <c r="BP43" s="800">
        <f t="shared" ref="BP43:BV43" ca="1" si="11">SUM(BP32:BP42)</f>
        <v>32031.836263774407</v>
      </c>
      <c r="BQ43" s="800">
        <f t="shared" ca="1" si="11"/>
        <v>32673.338377835309</v>
      </c>
      <c r="BR43" s="800">
        <f t="shared" ca="1" si="11"/>
        <v>33318.898370247407</v>
      </c>
      <c r="BS43" s="800">
        <f t="shared" ca="1" si="11"/>
        <v>33967.342852918213</v>
      </c>
      <c r="BT43" s="800">
        <f t="shared" ca="1" si="11"/>
        <v>34616.963264135426</v>
      </c>
      <c r="BU43" s="800">
        <f t="shared" ca="1" si="11"/>
        <v>35266.757697912013</v>
      </c>
      <c r="BV43" s="800">
        <f t="shared" ca="1" si="11"/>
        <v>35916.119337012482</v>
      </c>
    </row>
    <row r="44" spans="2:74" x14ac:dyDescent="0.25">
      <c r="B44" s="783"/>
      <c r="C44" s="156"/>
      <c r="D44" s="156"/>
      <c r="E44" s="156"/>
      <c r="F44" s="156"/>
      <c r="G44" s="156"/>
      <c r="H44" s="156"/>
      <c r="I44" s="156"/>
      <c r="J44" s="156"/>
      <c r="K44" s="156"/>
      <c r="L44" s="156"/>
      <c r="M44" s="156"/>
      <c r="N44" s="156"/>
      <c r="O44" s="156"/>
      <c r="P44" s="156"/>
      <c r="Q44" s="156"/>
      <c r="R44" s="156"/>
      <c r="S44" s="156"/>
      <c r="T44" s="156"/>
      <c r="U44" s="156"/>
      <c r="V44" s="156"/>
      <c r="W44" s="156"/>
      <c r="X44" s="156"/>
      <c r="Y44" s="156"/>
      <c r="Z44" s="156"/>
      <c r="AA44" s="156"/>
      <c r="AB44" s="156"/>
      <c r="AC44" s="156"/>
      <c r="AD44" s="156"/>
      <c r="AE44" s="156"/>
      <c r="AF44" s="156"/>
      <c r="AG44" s="156"/>
      <c r="AH44" s="156"/>
      <c r="AI44" s="156"/>
      <c r="AJ44" s="156"/>
      <c r="AK44" s="156"/>
      <c r="AL44" s="156"/>
      <c r="AM44" s="156"/>
      <c r="AN44" s="156"/>
      <c r="AO44" s="156"/>
      <c r="AP44" s="156"/>
      <c r="AQ44" s="156"/>
      <c r="AR44" s="156"/>
      <c r="AS44" s="156"/>
      <c r="AT44" s="156"/>
      <c r="AU44" s="156"/>
      <c r="AV44" s="156"/>
      <c r="AW44" s="156"/>
      <c r="AX44" s="156"/>
      <c r="AY44" s="156"/>
      <c r="AZ44" s="156"/>
      <c r="BA44" s="156"/>
      <c r="BB44" s="156"/>
      <c r="BC44" s="156"/>
      <c r="BD44" s="156"/>
      <c r="BE44" s="156"/>
      <c r="BF44" s="156"/>
      <c r="BG44" s="156"/>
      <c r="BH44" s="156"/>
      <c r="BI44" s="156"/>
      <c r="BJ44" s="156"/>
      <c r="BK44" s="156"/>
      <c r="BL44" s="156"/>
      <c r="BM44" s="156"/>
      <c r="BN44" s="156"/>
      <c r="BO44" s="156"/>
      <c r="BP44" s="156"/>
      <c r="BQ44" s="156"/>
      <c r="BR44" s="156"/>
      <c r="BS44" s="156"/>
      <c r="BT44" s="156"/>
      <c r="BU44" s="156"/>
      <c r="BV44" s="784"/>
    </row>
    <row r="45" spans="2:74" x14ac:dyDescent="0.25">
      <c r="B45" s="855" t="s">
        <v>488</v>
      </c>
      <c r="C45" s="856">
        <f t="shared" ref="C45:BN45" ca="1" si="12">C43+C29</f>
        <v>9635.0423495640862</v>
      </c>
      <c r="D45" s="856">
        <f t="shared" ca="1" si="12"/>
        <v>9277.147774080333</v>
      </c>
      <c r="E45" s="856">
        <f t="shared" ca="1" si="12"/>
        <v>9392.3207550044663</v>
      </c>
      <c r="F45" s="856">
        <f t="shared" ca="1" si="12"/>
        <v>9862.4723692202333</v>
      </c>
      <c r="G45" s="856">
        <f t="shared" ca="1" si="12"/>
        <v>6708.493722500998</v>
      </c>
      <c r="H45" s="856">
        <f t="shared" ca="1" si="12"/>
        <v>10477.386779991806</v>
      </c>
      <c r="I45" s="856">
        <f t="shared" ca="1" si="12"/>
        <v>9821.2936165169722</v>
      </c>
      <c r="J45" s="856">
        <f t="shared" ca="1" si="12"/>
        <v>12153.213589765834</v>
      </c>
      <c r="K45" s="856">
        <f t="shared" ca="1" si="12"/>
        <v>10264.047910477007</v>
      </c>
      <c r="L45" s="856">
        <f t="shared" ca="1" si="12"/>
        <v>11650.981360442645</v>
      </c>
      <c r="M45" s="856">
        <f t="shared" ca="1" si="12"/>
        <v>15711.285354351803</v>
      </c>
      <c r="N45" s="856">
        <f t="shared" ca="1" si="12"/>
        <v>12669.161841901532</v>
      </c>
      <c r="O45" s="856">
        <f t="shared" ca="1" si="12"/>
        <v>15767.460000000001</v>
      </c>
      <c r="P45" s="856">
        <f t="shared" ca="1" si="12"/>
        <v>39850.86</v>
      </c>
      <c r="Q45" s="856">
        <f t="shared" ca="1" si="12"/>
        <v>20810.399999999998</v>
      </c>
      <c r="R45" s="856">
        <f t="shared" ca="1" si="12"/>
        <v>13034.85</v>
      </c>
      <c r="S45" s="856">
        <f t="shared" ca="1" si="12"/>
        <v>32640.7</v>
      </c>
      <c r="T45" s="856">
        <f t="shared" ca="1" si="12"/>
        <v>21805.8</v>
      </c>
      <c r="U45" s="856">
        <f t="shared" ca="1" si="12"/>
        <v>53544.710000000006</v>
      </c>
      <c r="V45" s="856">
        <f t="shared" ca="1" si="12"/>
        <v>49197.69</v>
      </c>
      <c r="W45" s="856">
        <f t="shared" ca="1" si="12"/>
        <v>41108.660000000003</v>
      </c>
      <c r="X45" s="856">
        <f t="shared" ca="1" si="12"/>
        <v>39551.699999999997</v>
      </c>
      <c r="Y45" s="856">
        <f t="shared" ca="1" si="12"/>
        <v>37362.39</v>
      </c>
      <c r="Z45" s="856">
        <f t="shared" ca="1" si="12"/>
        <v>74150.16</v>
      </c>
      <c r="AA45" s="856">
        <f t="shared" ca="1" si="12"/>
        <v>48556.35</v>
      </c>
      <c r="AB45" s="856">
        <f t="shared" ca="1" si="12"/>
        <v>-24637.439999999995</v>
      </c>
      <c r="AC45" s="856">
        <f t="shared" ca="1" si="12"/>
        <v>42380.100000000006</v>
      </c>
      <c r="AD45" s="856">
        <f t="shared" ca="1" si="12"/>
        <v>74124.260264409022</v>
      </c>
      <c r="AE45" s="856">
        <f t="shared" ca="1" si="12"/>
        <v>100838.54597019698</v>
      </c>
      <c r="AF45" s="856">
        <f t="shared" ca="1" si="12"/>
        <v>96567.054343809024</v>
      </c>
      <c r="AG45" s="856">
        <f t="shared" ca="1" si="12"/>
        <v>97817.754774230474</v>
      </c>
      <c r="AH45" s="856">
        <f t="shared" ca="1" si="12"/>
        <v>96746.514932862119</v>
      </c>
      <c r="AI45" s="856">
        <f t="shared" ca="1" si="12"/>
        <v>96407.91729705481</v>
      </c>
      <c r="AJ45" s="856">
        <f t="shared" ca="1" si="12"/>
        <v>96977.654550605293</v>
      </c>
      <c r="AK45" s="856">
        <f t="shared" ca="1" si="12"/>
        <v>97878.850434293417</v>
      </c>
      <c r="AL45" s="856">
        <f t="shared" ca="1" si="12"/>
        <v>98756.850667297273</v>
      </c>
      <c r="AM45" s="856">
        <f t="shared" ca="1" si="12"/>
        <v>96348.549566243149</v>
      </c>
      <c r="AN45" s="856">
        <f t="shared" ca="1" si="12"/>
        <v>97578.90380116801</v>
      </c>
      <c r="AO45" s="856">
        <f t="shared" ca="1" si="12"/>
        <v>103906.52622211528</v>
      </c>
      <c r="AP45" s="856">
        <f t="shared" ca="1" si="12"/>
        <v>105111.97334458682</v>
      </c>
      <c r="AQ45" s="856">
        <f t="shared" ca="1" si="12"/>
        <v>105744.16104648742</v>
      </c>
      <c r="AR45" s="856">
        <f t="shared" ca="1" si="12"/>
        <v>106343.93038883434</v>
      </c>
      <c r="AS45" s="856">
        <f t="shared" ca="1" si="12"/>
        <v>106965.7279526794</v>
      </c>
      <c r="AT45" s="856">
        <f t="shared" ca="1" si="12"/>
        <v>107534.54008508004</v>
      </c>
      <c r="AU45" s="856">
        <f t="shared" ca="1" si="12"/>
        <v>108239.44635606499</v>
      </c>
      <c r="AV45" s="856">
        <f t="shared" ca="1" si="12"/>
        <v>109030.73442671956</v>
      </c>
      <c r="AW45" s="856">
        <f t="shared" ca="1" si="12"/>
        <v>109839.90820623637</v>
      </c>
      <c r="AX45" s="856">
        <f t="shared" ca="1" si="12"/>
        <v>110640.83661784252</v>
      </c>
      <c r="AY45" s="856">
        <f t="shared" ca="1" si="12"/>
        <v>112845.61981624452</v>
      </c>
      <c r="AZ45" s="856">
        <f t="shared" ca="1" si="12"/>
        <v>115050.9211256736</v>
      </c>
      <c r="BA45" s="856">
        <f t="shared" ca="1" si="12"/>
        <v>116310.56885963804</v>
      </c>
      <c r="BB45" s="856">
        <f t="shared" ca="1" si="12"/>
        <v>117147.2912046806</v>
      </c>
      <c r="BC45" s="856">
        <f t="shared" ca="1" si="12"/>
        <v>117952.69231993079</v>
      </c>
      <c r="BD45" s="856">
        <f t="shared" ca="1" si="12"/>
        <v>118771.9337212868</v>
      </c>
      <c r="BE45" s="856">
        <f t="shared" ca="1" si="12"/>
        <v>119608.87029588693</v>
      </c>
      <c r="BF45" s="856">
        <f t="shared" ca="1" si="12"/>
        <v>120463.14095637665</v>
      </c>
      <c r="BG45" s="856">
        <f t="shared" ca="1" si="12"/>
        <v>121340.60566253384</v>
      </c>
      <c r="BH45" s="856">
        <f t="shared" ca="1" si="12"/>
        <v>122231.85607328205</v>
      </c>
      <c r="BI45" s="856">
        <f t="shared" ca="1" si="12"/>
        <v>123130.84251403146</v>
      </c>
      <c r="BJ45" s="856">
        <f t="shared" ca="1" si="12"/>
        <v>124036.71917821027</v>
      </c>
      <c r="BK45" s="856">
        <f t="shared" ca="1" si="12"/>
        <v>126403.92729183985</v>
      </c>
      <c r="BL45" s="856">
        <f t="shared" ca="1" si="12"/>
        <v>128389.24806705963</v>
      </c>
      <c r="BM45" s="856">
        <f t="shared" ca="1" si="12"/>
        <v>129298.53099113842</v>
      </c>
      <c r="BN45" s="856">
        <f t="shared" ca="1" si="12"/>
        <v>130178.00485776993</v>
      </c>
      <c r="BO45" s="856">
        <f t="shared" ref="BO45:BV45" ca="1" si="13">BO43+BO29</f>
        <v>131060.4293612437</v>
      </c>
      <c r="BP45" s="856">
        <f t="shared" ca="1" si="13"/>
        <v>131948.66049044588</v>
      </c>
      <c r="BQ45" s="856">
        <f t="shared" ca="1" si="13"/>
        <v>132842.02877367847</v>
      </c>
      <c r="BR45" s="856">
        <f t="shared" ca="1" si="13"/>
        <v>133739.48770934017</v>
      </c>
      <c r="BS45" s="856">
        <f t="shared" ca="1" si="13"/>
        <v>134639.93367797608</v>
      </c>
      <c r="BT45" s="856">
        <f t="shared" ca="1" si="13"/>
        <v>135541.68276186171</v>
      </c>
      <c r="BU45" s="856">
        <f t="shared" ca="1" si="13"/>
        <v>136443.69474521861</v>
      </c>
      <c r="BV45" s="856">
        <f t="shared" ca="1" si="13"/>
        <v>137345.34686716931</v>
      </c>
    </row>
    <row r="46" spans="2:74" x14ac:dyDescent="0.25">
      <c r="O46" s="612"/>
      <c r="P46" s="612"/>
      <c r="Q46" s="612"/>
      <c r="R46" s="612"/>
      <c r="S46" s="612"/>
      <c r="T46" s="612"/>
      <c r="U46" s="612"/>
      <c r="V46" s="612"/>
      <c r="W46" s="612"/>
      <c r="X46" s="612"/>
      <c r="Y46" s="612"/>
      <c r="Z46" s="612"/>
      <c r="AA46" s="612"/>
      <c r="AB46" s="612"/>
      <c r="AC46" s="612"/>
      <c r="AD46" s="612"/>
      <c r="AE46" s="612"/>
      <c r="AF46" s="612"/>
      <c r="AG46" s="612"/>
      <c r="AH46" s="612"/>
      <c r="AI46" s="612"/>
      <c r="AJ46" s="612"/>
      <c r="AK46" s="612"/>
      <c r="AL46" s="612"/>
      <c r="AM46" s="612"/>
      <c r="AN46" s="612"/>
      <c r="AO46" s="612"/>
      <c r="AP46" s="612"/>
      <c r="AQ46" s="612"/>
      <c r="AR46" s="612"/>
      <c r="AS46" s="612"/>
      <c r="AT46" s="612"/>
      <c r="AU46" s="612"/>
      <c r="AV46" s="612"/>
      <c r="AW46" s="612"/>
      <c r="AX46" s="612"/>
      <c r="AY46" s="612"/>
      <c r="AZ46" s="612"/>
      <c r="BA46" s="612"/>
    </row>
    <row r="47" spans="2:74" x14ac:dyDescent="0.25">
      <c r="O47" s="571"/>
      <c r="P47" s="571"/>
      <c r="Q47" s="571"/>
      <c r="R47" s="571"/>
      <c r="S47" s="571"/>
      <c r="T47" s="571"/>
      <c r="U47" s="571"/>
      <c r="V47" s="571"/>
      <c r="W47" s="571"/>
      <c r="X47" s="571"/>
      <c r="Y47" s="571"/>
      <c r="Z47" s="571"/>
      <c r="AA47" s="571"/>
      <c r="AB47" s="571"/>
      <c r="AC47" s="571"/>
      <c r="AD47" s="571"/>
      <c r="AE47" s="571"/>
      <c r="AF47" s="571"/>
      <c r="AG47" s="571"/>
      <c r="AH47" s="571"/>
      <c r="AI47" s="571"/>
      <c r="AJ47" s="571"/>
      <c r="AK47" s="571"/>
      <c r="AL47" s="571"/>
      <c r="AM47" s="571"/>
      <c r="AN47" s="571"/>
      <c r="AO47" s="571"/>
      <c r="AP47" s="571"/>
      <c r="AQ47" s="571"/>
      <c r="AR47" s="571"/>
      <c r="AS47" s="571"/>
      <c r="AT47" s="571"/>
      <c r="AU47" s="571"/>
      <c r="AV47" s="571"/>
      <c r="AW47" s="571"/>
      <c r="AX47" s="571"/>
      <c r="AY47" s="571"/>
      <c r="AZ47" s="571"/>
      <c r="BA47" s="571"/>
      <c r="BB47" s="571"/>
      <c r="BC47" s="571"/>
      <c r="BD47" s="571"/>
      <c r="BE47" s="571"/>
      <c r="BF47" s="571"/>
      <c r="BG47" s="571"/>
      <c r="BH47" s="571"/>
      <c r="BI47" s="571"/>
      <c r="BJ47" s="571"/>
    </row>
    <row r="48" spans="2:74" x14ac:dyDescent="0.25">
      <c r="B48" s="570" t="s">
        <v>849</v>
      </c>
      <c r="M48" s="151"/>
      <c r="N48" s="151"/>
      <c r="O48" s="151"/>
      <c r="P48" s="151"/>
      <c r="Q48" s="151"/>
      <c r="R48" s="151"/>
      <c r="S48" s="151"/>
      <c r="T48" s="151"/>
      <c r="U48" s="151"/>
      <c r="V48" s="151"/>
      <c r="W48" s="151"/>
      <c r="X48" s="151"/>
      <c r="Y48" s="151"/>
      <c r="Z48" s="151"/>
      <c r="AA48" s="151"/>
      <c r="AB48" s="151"/>
      <c r="AC48" s="151"/>
      <c r="AD48" s="151"/>
      <c r="AE48" s="151"/>
      <c r="AF48" s="151"/>
      <c r="AG48" s="151"/>
      <c r="AH48" s="151"/>
      <c r="AI48" s="151"/>
      <c r="AJ48" s="151"/>
      <c r="AK48" s="151"/>
      <c r="AL48" s="151"/>
      <c r="AM48" s="151"/>
      <c r="AN48" s="151"/>
      <c r="AO48" s="151"/>
      <c r="AP48" s="151"/>
    </row>
    <row r="49" spans="3:40" x14ac:dyDescent="0.25">
      <c r="C49" s="405">
        <f ca="1">C45-'Dept. Cost Actuals'!G699</f>
        <v>-4.3591353460215032E-7</v>
      </c>
      <c r="D49" s="405">
        <f ca="1">D45-'Dept. Cost Actuals'!H699</f>
        <v>4.0803333831718192E-6</v>
      </c>
      <c r="E49" s="405">
        <f ca="1">E45-'Dept. Cost Actuals'!I699</f>
        <v>84.289605004465557</v>
      </c>
      <c r="F49" s="405">
        <f ca="1">F45-'Dept. Cost Actuals'!J699</f>
        <v>-7.797661965014413E-7</v>
      </c>
      <c r="G49" s="405">
        <f ca="1">G45-'Dept. Cost Actuals'!K699</f>
        <v>2.5009976525325328E-6</v>
      </c>
      <c r="H49" s="405">
        <f ca="1">H45-'Dept. Cost Actuals'!L699</f>
        <v>-8.1945472629740834E-9</v>
      </c>
      <c r="I49" s="405">
        <f ca="1">I45-'Dept. Cost Actuals'!M699</f>
        <v>-3.4830281947506592E-6</v>
      </c>
      <c r="J49" s="405">
        <f ca="1">J45-'Dept. Cost Actuals'!N699</f>
        <v>-2.3416578187607229E-7</v>
      </c>
      <c r="K49" s="405">
        <f ca="1">K45-'Dept. Cost Actuals'!O699</f>
        <v>4.7700814320705831E-7</v>
      </c>
      <c r="L49" s="405">
        <f ca="1">L45-'Dept. Cost Actuals'!P699</f>
        <v>4.4264561438467354E-7</v>
      </c>
      <c r="M49" s="405">
        <f ca="1">M45-'Dept. Cost Actuals'!Q699</f>
        <v>4.3518029997358099E-6</v>
      </c>
      <c r="N49" s="405">
        <f ca="1">N45-'Dept. Cost Actuals'!R699</f>
        <v>1.9015315046999604E-6</v>
      </c>
      <c r="O49" s="405">
        <f ca="1">O45-'Dept. Cost Actuals'!S699</f>
        <v>-2984.3599999999988</v>
      </c>
      <c r="P49" s="405">
        <f ca="1">P45-'Dept. Cost Actuals'!T699</f>
        <v>-2378.3300000000017</v>
      </c>
      <c r="Q49" s="405">
        <f ca="1">Q45-'Dept. Cost Actuals'!U699</f>
        <v>-485.09000000000378</v>
      </c>
      <c r="R49" s="405">
        <f ca="1">R45-'Dept. Cost Actuals'!V699</f>
        <v>-317.97999999999956</v>
      </c>
      <c r="S49" s="405">
        <f ca="1">S45-'Dept. Cost Actuals'!W699</f>
        <v>-121.34999999999854</v>
      </c>
      <c r="T49" s="405">
        <f ca="1">T45-'Dept. Cost Actuals'!X699</f>
        <v>76.959999999999127</v>
      </c>
      <c r="U49" s="405">
        <f ca="1">U45-'Dept. Cost Actuals'!Y699</f>
        <v>-62.999999999992724</v>
      </c>
      <c r="V49" s="405">
        <f ca="1">V45-'Dept. Cost Actuals'!Z699</f>
        <v>-2349.4399999999951</v>
      </c>
      <c r="W49" s="405">
        <f ca="1">W45-'Dept. Cost Actuals'!AA699</f>
        <v>-852.43999999999505</v>
      </c>
      <c r="X49" s="405">
        <f ca="1">X45-'Dept. Cost Actuals'!AB699</f>
        <v>-1158.2300000000032</v>
      </c>
      <c r="Y49" s="405">
        <f ca="1">Y45-'Dept. Cost Actuals'!AC699</f>
        <v>-6194.7799999999988</v>
      </c>
      <c r="Z49" s="405">
        <f ca="1">Z45-'Dept. Cost Actuals'!AD699</f>
        <v>-691.42999999999302</v>
      </c>
      <c r="AA49" s="405">
        <f ca="1">AA45-'Dept. Cost Actuals'!AE699</f>
        <v>-935.56000000000495</v>
      </c>
      <c r="AB49" s="405">
        <f ca="1">AB45-'Dept. Cost Actuals'!AF699</f>
        <v>-885.57999999999447</v>
      </c>
      <c r="AC49" s="405">
        <f ca="1">AC45-'Dept. Cost Actuals'!AG699</f>
        <v>-10610.029999999992</v>
      </c>
      <c r="AN49" s="151"/>
    </row>
  </sheetData>
  <conditionalFormatting sqref="C4:BV4">
    <cfRule type="containsText" dxfId="264" priority="3" operator="containsText" text="actual">
      <formula>NOT(ISERROR(SEARCH("actual",C4)))</formula>
    </cfRule>
    <cfRule type="containsText" dxfId="263" priority="4" operator="containsText" text="forecast">
      <formula>NOT(ISERROR(SEARCH("forecast",C4)))</formula>
    </cfRule>
  </conditionalFormatting>
  <conditionalFormatting sqref="B4">
    <cfRule type="containsText" dxfId="262" priority="1" operator="containsText" text="actual">
      <formula>NOT(ISERROR(SEARCH("actual",B4)))</formula>
    </cfRule>
    <cfRule type="containsText" dxfId="261" priority="2" operator="containsText" text="forecast">
      <formula>NOT(ISERROR(SEARCH("forecast",B4)))</formula>
    </cfRule>
  </conditionalFormatting>
  <pageMargins left="0.7" right="0.7" top="0.75" bottom="0.75" header="0.3" footer="0.3"/>
  <pageSetup orientation="portrait" horizontalDpi="0" verticalDpi="0"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BV57"/>
  <sheetViews>
    <sheetView zoomScale="80" zoomScaleNormal="80" workbookViewId="0">
      <pane xSplit="2" ySplit="4" topLeftCell="C32" activePane="bottomRight" state="frozen"/>
      <selection activeCell="AC45" sqref="AA45:AC45"/>
      <selection pane="topRight" activeCell="AC45" sqref="AA45:AC45"/>
      <selection pane="bottomLeft" activeCell="AC45" sqref="AA45:AC45"/>
      <selection pane="bottomRight" activeCell="AG58" sqref="AG58"/>
    </sheetView>
  </sheetViews>
  <sheetFormatPr defaultColWidth="9.140625" defaultRowHeight="15" outlineLevelCol="1" x14ac:dyDescent="0.25"/>
  <cols>
    <col min="1" max="1" width="2" style="570" customWidth="1"/>
    <col min="2" max="2" width="27.42578125" style="570" bestFit="1" customWidth="1"/>
    <col min="3" max="3" width="12.7109375" style="570" customWidth="1"/>
    <col min="4" max="7" width="12.7109375" style="570" hidden="1" customWidth="1" outlineLevel="1"/>
    <col min="8" max="12" width="16.42578125" style="570" hidden="1" customWidth="1" outlineLevel="1"/>
    <col min="13" max="13" width="19.28515625" style="570" hidden="1" customWidth="1" outlineLevel="1"/>
    <col min="14" max="14" width="16.42578125" style="570" customWidth="1" collapsed="1"/>
    <col min="15" max="15" width="12.7109375" style="570" bestFit="1" customWidth="1"/>
    <col min="16" max="18" width="12.7109375" style="570" hidden="1" customWidth="1" outlineLevel="1"/>
    <col min="19" max="19" width="12.140625" style="570" hidden="1" customWidth="1" outlineLevel="1"/>
    <col min="20" max="25" width="12.28515625" style="570" hidden="1" customWidth="1" outlineLevel="1"/>
    <col min="26" max="26" width="12.28515625" style="570" bestFit="1" customWidth="1" collapsed="1"/>
    <col min="27" max="27" width="12.28515625" style="570" customWidth="1"/>
    <col min="28" max="29" width="13.28515625" style="570" customWidth="1" outlineLevel="1"/>
    <col min="30" max="35" width="10.7109375" style="570" customWidth="1" outlineLevel="1"/>
    <col min="36" max="37" width="11.85546875" style="570" customWidth="1" outlineLevel="1"/>
    <col min="38" max="39" width="13.28515625" style="570" customWidth="1"/>
    <col min="40" max="47" width="10.7109375" style="570" hidden="1" customWidth="1" outlineLevel="1"/>
    <col min="48" max="49" width="11.85546875" style="570" hidden="1" customWidth="1" outlineLevel="1"/>
    <col min="50" max="50" width="11.85546875" style="570" customWidth="1" collapsed="1"/>
    <col min="51" max="51" width="10.7109375" style="570" bestFit="1" customWidth="1"/>
    <col min="52" max="57" width="10.7109375" style="570" hidden="1" customWidth="1" outlineLevel="1"/>
    <col min="58" max="61" width="13.28515625" style="570" hidden="1" customWidth="1" outlineLevel="1"/>
    <col min="62" max="62" width="13.28515625" style="570" bestFit="1" customWidth="1" collapsed="1"/>
    <col min="63" max="63" width="13" style="570" bestFit="1" customWidth="1"/>
    <col min="64" max="73" width="13" style="570" hidden="1" customWidth="1" outlineLevel="1"/>
    <col min="74" max="74" width="13" style="570" bestFit="1" customWidth="1" collapsed="1"/>
    <col min="75" max="16384" width="9.140625" style="570"/>
  </cols>
  <sheetData>
    <row r="2" spans="2:74" x14ac:dyDescent="0.25">
      <c r="B2" s="636" t="s">
        <v>1073</v>
      </c>
      <c r="C2" s="636"/>
      <c r="D2" s="636"/>
      <c r="E2" s="636"/>
      <c r="F2" s="636"/>
      <c r="G2" s="636"/>
      <c r="H2" s="636"/>
      <c r="I2" s="636"/>
      <c r="J2" s="636"/>
      <c r="K2" s="636"/>
      <c r="L2" s="636"/>
      <c r="M2" s="636"/>
      <c r="N2" s="636"/>
    </row>
    <row r="3" spans="2:74" x14ac:dyDescent="0.25">
      <c r="B3" s="771" t="s">
        <v>924</v>
      </c>
      <c r="C3" s="1140">
        <v>40939</v>
      </c>
      <c r="D3" s="1140">
        <v>40968</v>
      </c>
      <c r="E3" s="1140">
        <v>40999</v>
      </c>
      <c r="F3" s="1140">
        <v>41029</v>
      </c>
      <c r="G3" s="1140">
        <v>41060</v>
      </c>
      <c r="H3" s="1140">
        <v>41090</v>
      </c>
      <c r="I3" s="1140">
        <v>41121</v>
      </c>
      <c r="J3" s="1140">
        <v>41152</v>
      </c>
      <c r="K3" s="1140">
        <v>41182</v>
      </c>
      <c r="L3" s="1140">
        <v>41213</v>
      </c>
      <c r="M3" s="1140">
        <v>41243</v>
      </c>
      <c r="N3" s="1140">
        <v>41274</v>
      </c>
      <c r="O3" s="1140">
        <v>41305</v>
      </c>
      <c r="P3" s="1140">
        <v>41333</v>
      </c>
      <c r="Q3" s="1140">
        <v>41364</v>
      </c>
      <c r="R3" s="1140">
        <v>41394</v>
      </c>
      <c r="S3" s="1140">
        <v>41425</v>
      </c>
      <c r="T3" s="1140">
        <v>41455</v>
      </c>
      <c r="U3" s="1140">
        <v>41486</v>
      </c>
      <c r="V3" s="1140">
        <v>41517</v>
      </c>
      <c r="W3" s="1140">
        <v>41547</v>
      </c>
      <c r="X3" s="1140">
        <v>41578</v>
      </c>
      <c r="Y3" s="1140">
        <v>41608</v>
      </c>
      <c r="Z3" s="1140">
        <v>41639</v>
      </c>
      <c r="AA3" s="1140">
        <v>41670</v>
      </c>
      <c r="AB3" s="1140">
        <v>41698</v>
      </c>
      <c r="AC3" s="1140">
        <v>41729</v>
      </c>
      <c r="AD3" s="1140">
        <v>41759</v>
      </c>
      <c r="AE3" s="1140">
        <v>41790</v>
      </c>
      <c r="AF3" s="1140">
        <v>41820</v>
      </c>
      <c r="AG3" s="1140">
        <v>41851</v>
      </c>
      <c r="AH3" s="1140">
        <v>41882</v>
      </c>
      <c r="AI3" s="1140">
        <v>41912</v>
      </c>
      <c r="AJ3" s="1140">
        <v>41943</v>
      </c>
      <c r="AK3" s="1140">
        <v>41973</v>
      </c>
      <c r="AL3" s="1140">
        <v>42004</v>
      </c>
      <c r="AM3" s="1140">
        <v>42035</v>
      </c>
      <c r="AN3" s="1140">
        <v>42063</v>
      </c>
      <c r="AO3" s="1140">
        <v>42094</v>
      </c>
      <c r="AP3" s="1140">
        <v>42124</v>
      </c>
      <c r="AQ3" s="1140">
        <v>42155</v>
      </c>
      <c r="AR3" s="1140">
        <v>42185</v>
      </c>
      <c r="AS3" s="1140">
        <v>42216</v>
      </c>
      <c r="AT3" s="1140">
        <v>42247</v>
      </c>
      <c r="AU3" s="1140">
        <v>42277</v>
      </c>
      <c r="AV3" s="1140">
        <v>42308</v>
      </c>
      <c r="AW3" s="1140">
        <v>42338</v>
      </c>
      <c r="AX3" s="1140">
        <v>42369</v>
      </c>
      <c r="AY3" s="1140">
        <v>42400</v>
      </c>
      <c r="AZ3" s="1140">
        <v>42429</v>
      </c>
      <c r="BA3" s="1140">
        <v>42460</v>
      </c>
      <c r="BB3" s="1140">
        <v>42490</v>
      </c>
      <c r="BC3" s="1140">
        <v>42521</v>
      </c>
      <c r="BD3" s="1140">
        <v>42551</v>
      </c>
      <c r="BE3" s="1140">
        <v>42582</v>
      </c>
      <c r="BF3" s="1140">
        <v>42613</v>
      </c>
      <c r="BG3" s="1140">
        <v>42643</v>
      </c>
      <c r="BH3" s="1140">
        <v>42674</v>
      </c>
      <c r="BI3" s="1140">
        <v>42704</v>
      </c>
      <c r="BJ3" s="1140">
        <v>42735</v>
      </c>
      <c r="BK3" s="1140">
        <v>42766</v>
      </c>
      <c r="BL3" s="1140">
        <v>42794</v>
      </c>
      <c r="BM3" s="1140">
        <v>42825</v>
      </c>
      <c r="BN3" s="1140">
        <v>42855</v>
      </c>
      <c r="BO3" s="1140">
        <v>42886</v>
      </c>
      <c r="BP3" s="1140">
        <v>42916</v>
      </c>
      <c r="BQ3" s="1140">
        <v>42947</v>
      </c>
      <c r="BR3" s="1140">
        <v>42978</v>
      </c>
      <c r="BS3" s="1140">
        <v>43008</v>
      </c>
      <c r="BT3" s="1140">
        <v>43039</v>
      </c>
      <c r="BU3" s="1140">
        <v>43069</v>
      </c>
      <c r="BV3" s="773">
        <v>43100</v>
      </c>
    </row>
    <row r="4" spans="2:74" x14ac:dyDescent="0.25">
      <c r="B4" s="774" t="s">
        <v>925</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4" t="str">
        <f>IF(AA3&lt;=Headcount!$U$3,"Actual","Forecast")</f>
        <v>Actual</v>
      </c>
      <c r="AB4" s="4" t="str">
        <f>IF(AB3&lt;=Headcount!$U$3,"Actual","Forecast")</f>
        <v>Actual</v>
      </c>
      <c r="AC4" s="4" t="str">
        <f>IF(AC3&lt;=Headcount!$U$3,"Actual","Forecast")</f>
        <v>Actual</v>
      </c>
      <c r="AD4" s="4" t="str">
        <f>IF(AD3&lt;=Headcount!$U$3,"Actual","Forecast")</f>
        <v>Forecast</v>
      </c>
      <c r="AE4" s="4" t="str">
        <f>IF(AE3&lt;=Headcount!$U$3,"Actual","Forecast")</f>
        <v>Forecast</v>
      </c>
      <c r="AF4" s="4" t="str">
        <f>IF(AF3&lt;=Headcount!$U$3,"Actual","Forecast")</f>
        <v>Forecast</v>
      </c>
      <c r="AG4" s="4" t="str">
        <f>IF(AG3&lt;=Headcount!$U$3,"Actual","Forecast")</f>
        <v>Forecast</v>
      </c>
      <c r="AH4" s="4" t="str">
        <f>IF(AH3&lt;=Headcount!$U$3,"Actual","Forecast")</f>
        <v>Forecast</v>
      </c>
      <c r="AI4" s="4" t="str">
        <f>IF(AI3&lt;=Headcount!$U$3,"Actual","Forecast")</f>
        <v>Forecast</v>
      </c>
      <c r="AJ4" s="4" t="str">
        <f>IF(AJ3&lt;=Headcount!$U$3,"Actual","Forecast")</f>
        <v>Forecast</v>
      </c>
      <c r="AK4" s="4" t="str">
        <f>IF(AK3&lt;=Headcount!$U$3,"Actual","Forecast")</f>
        <v>Forecast</v>
      </c>
      <c r="AL4" s="4" t="str">
        <f>IF(AL3&lt;=Headcount!$U$3,"Actual","Forecast")</f>
        <v>Forecast</v>
      </c>
      <c r="AM4" s="4" t="str">
        <f>IF(AM3&lt;=Headcount!$U$3,"Actual","Forecast")</f>
        <v>Forecast</v>
      </c>
      <c r="AN4" s="4" t="str">
        <f>IF(AN3&lt;=Headcount!$U$3,"Actual","Forecast")</f>
        <v>Forecast</v>
      </c>
      <c r="AO4" s="4" t="str">
        <f>IF(AO3&lt;=Headcount!$U$3,"Actual","Forecast")</f>
        <v>Forecast</v>
      </c>
      <c r="AP4" s="4" t="str">
        <f>IF(AP3&lt;=Headcount!$U$3,"Actual","Forecast")</f>
        <v>Forecast</v>
      </c>
      <c r="AQ4" s="4" t="str">
        <f>IF(AQ3&lt;=Headcount!$U$3,"Actual","Forecast")</f>
        <v>Forecast</v>
      </c>
      <c r="AR4" s="4" t="str">
        <f>IF(AR3&lt;=Headcount!$U$3,"Actual","Forecast")</f>
        <v>Forecast</v>
      </c>
      <c r="AS4" s="4" t="str">
        <f>IF(AS3&lt;=Headcount!$U$3,"Actual","Forecast")</f>
        <v>Forecast</v>
      </c>
      <c r="AT4" s="4" t="str">
        <f>IF(AT3&lt;=Headcount!$U$3,"Actual","Forecast")</f>
        <v>Forecast</v>
      </c>
      <c r="AU4" s="4" t="str">
        <f>IF(AU3&lt;=Headcount!$U$3,"Actual","Forecast")</f>
        <v>Forecast</v>
      </c>
      <c r="AV4" s="4" t="str">
        <f>IF(AV3&lt;=Headcount!$U$3,"Actual","Forecast")</f>
        <v>Forecast</v>
      </c>
      <c r="AW4" s="4" t="str">
        <f>IF(AW3&lt;=Headcount!$U$3,"Actual","Forecast")</f>
        <v>Forecast</v>
      </c>
      <c r="AX4" s="4" t="str">
        <f>IF(AX3&lt;=Headcount!$U$3,"Actual","Forecast")</f>
        <v>Forecast</v>
      </c>
      <c r="AY4" s="4" t="str">
        <f>IF(AY3&lt;=Headcount!$U$3,"Actual","Forecast")</f>
        <v>Forecast</v>
      </c>
      <c r="AZ4" s="4" t="str">
        <f>IF(AZ3&lt;=Headcount!$U$3,"Actual","Forecast")</f>
        <v>Forecast</v>
      </c>
      <c r="BA4" s="4" t="str">
        <f>IF(BA3&lt;=Headcount!$U$3,"Actual","Forecast")</f>
        <v>Forecast</v>
      </c>
      <c r="BB4" s="4" t="str">
        <f>IF(BB3&lt;=Headcount!$U$3,"Actual","Forecast")</f>
        <v>Forecast</v>
      </c>
      <c r="BC4" s="4" t="str">
        <f>IF(BC3&lt;=Headcount!$U$3,"Actual","Forecast")</f>
        <v>Forecast</v>
      </c>
      <c r="BD4" s="4" t="str">
        <f>IF(BD3&lt;=Headcount!$U$3,"Actual","Forecast")</f>
        <v>Forecast</v>
      </c>
      <c r="BE4" s="4" t="str">
        <f>IF(BE3&lt;=Headcount!$U$3,"Actual","Forecast")</f>
        <v>Forecast</v>
      </c>
      <c r="BF4" s="4" t="str">
        <f>IF(BF3&lt;=Headcount!$U$3,"Actual","Forecast")</f>
        <v>Forecast</v>
      </c>
      <c r="BG4" s="4" t="str">
        <f>IF(BG3&lt;=Headcount!$U$3,"Actual","Forecast")</f>
        <v>Forecast</v>
      </c>
      <c r="BH4" s="4" t="str">
        <f>IF(BH3&lt;=Headcount!$U$3,"Actual","Forecast")</f>
        <v>Forecast</v>
      </c>
      <c r="BI4" s="4" t="str">
        <f>IF(BI3&lt;=Headcount!$U$3,"Actual","Forecast")</f>
        <v>Forecast</v>
      </c>
      <c r="BJ4" s="4" t="str">
        <f>IF(BJ3&lt;=Headcount!$U$3,"Actual","Forecast")</f>
        <v>Forecast</v>
      </c>
      <c r="BK4" s="4" t="str">
        <f>IF(BK3&lt;=Headcount!$U$3,"Actual","Forecast")</f>
        <v>Forecast</v>
      </c>
      <c r="BL4" s="4" t="str">
        <f>IF(BL3&lt;=Headcount!$U$3,"Actual","Forecast")</f>
        <v>Forecast</v>
      </c>
      <c r="BM4" s="4" t="str">
        <f>IF(BM3&lt;=Headcount!$U$3,"Actual","Forecast")</f>
        <v>Forecast</v>
      </c>
      <c r="BN4" s="4" t="str">
        <f>IF(BN3&lt;=Headcount!$U$3,"Actual","Forecast")</f>
        <v>Forecast</v>
      </c>
      <c r="BO4" s="4" t="str">
        <f>IF(BO3&lt;=Headcount!$U$3,"Actual","Forecast")</f>
        <v>Forecast</v>
      </c>
      <c r="BP4" s="4" t="str">
        <f>IF(BP3&lt;=Headcount!$U$3,"Actual","Forecast")</f>
        <v>Forecast</v>
      </c>
      <c r="BQ4" s="4" t="str">
        <f>IF(BQ3&lt;=Headcount!$U$3,"Actual","Forecast")</f>
        <v>Forecast</v>
      </c>
      <c r="BR4" s="4" t="str">
        <f>IF(BR3&lt;=Headcount!$U$3,"Actual","Forecast")</f>
        <v>Forecast</v>
      </c>
      <c r="BS4" s="4" t="str">
        <f>IF(BS3&lt;=Headcount!$U$3,"Actual","Forecast")</f>
        <v>Forecast</v>
      </c>
      <c r="BT4" s="4" t="str">
        <f>IF(BT3&lt;=Headcount!$U$3,"Actual","Forecast")</f>
        <v>Forecast</v>
      </c>
      <c r="BU4" s="4" t="str">
        <f>IF(BU3&lt;=Headcount!$U$3,"Actual","Forecast")</f>
        <v>Forecast</v>
      </c>
      <c r="BV4" s="1209" t="str">
        <f>IF(BV3&lt;=Headcount!$U$3,"Actual","Forecast")</f>
        <v>Forecast</v>
      </c>
    </row>
    <row r="5" spans="2:74" x14ac:dyDescent="0.25">
      <c r="B5" s="777" t="s">
        <v>67</v>
      </c>
      <c r="C5" s="778">
        <f t="shared" ref="C5:N5" si="0">MONTH(C3)</f>
        <v>1</v>
      </c>
      <c r="D5" s="778">
        <f t="shared" si="0"/>
        <v>2</v>
      </c>
      <c r="E5" s="778">
        <f t="shared" si="0"/>
        <v>3</v>
      </c>
      <c r="F5" s="778">
        <f t="shared" si="0"/>
        <v>4</v>
      </c>
      <c r="G5" s="778">
        <f t="shared" si="0"/>
        <v>5</v>
      </c>
      <c r="H5" s="778">
        <f t="shared" si="0"/>
        <v>6</v>
      </c>
      <c r="I5" s="778">
        <f t="shared" si="0"/>
        <v>7</v>
      </c>
      <c r="J5" s="778">
        <f t="shared" si="0"/>
        <v>8</v>
      </c>
      <c r="K5" s="778">
        <f t="shared" si="0"/>
        <v>9</v>
      </c>
      <c r="L5" s="778">
        <f t="shared" si="0"/>
        <v>10</v>
      </c>
      <c r="M5" s="778">
        <f t="shared" si="0"/>
        <v>11</v>
      </c>
      <c r="N5" s="778">
        <f t="shared" si="0"/>
        <v>12</v>
      </c>
      <c r="O5" s="778">
        <f>MONTH(O3)</f>
        <v>1</v>
      </c>
      <c r="P5" s="778">
        <f t="shared" ref="P5:BV5" si="1">MONTH(P3)</f>
        <v>2</v>
      </c>
      <c r="Q5" s="778">
        <f t="shared" si="1"/>
        <v>3</v>
      </c>
      <c r="R5" s="778">
        <f t="shared" si="1"/>
        <v>4</v>
      </c>
      <c r="S5" s="778">
        <f t="shared" si="1"/>
        <v>5</v>
      </c>
      <c r="T5" s="778">
        <f t="shared" si="1"/>
        <v>6</v>
      </c>
      <c r="U5" s="778">
        <f t="shared" si="1"/>
        <v>7</v>
      </c>
      <c r="V5" s="778">
        <f t="shared" si="1"/>
        <v>8</v>
      </c>
      <c r="W5" s="778">
        <f t="shared" si="1"/>
        <v>9</v>
      </c>
      <c r="X5" s="778">
        <f t="shared" si="1"/>
        <v>10</v>
      </c>
      <c r="Y5" s="778">
        <f t="shared" si="1"/>
        <v>11</v>
      </c>
      <c r="Z5" s="778">
        <f t="shared" si="1"/>
        <v>12</v>
      </c>
      <c r="AA5" s="778">
        <f t="shared" si="1"/>
        <v>1</v>
      </c>
      <c r="AB5" s="778">
        <f t="shared" si="1"/>
        <v>2</v>
      </c>
      <c r="AC5" s="778">
        <f t="shared" si="1"/>
        <v>3</v>
      </c>
      <c r="AD5" s="778">
        <f t="shared" si="1"/>
        <v>4</v>
      </c>
      <c r="AE5" s="778">
        <f t="shared" si="1"/>
        <v>5</v>
      </c>
      <c r="AF5" s="778">
        <f t="shared" si="1"/>
        <v>6</v>
      </c>
      <c r="AG5" s="778">
        <f t="shared" si="1"/>
        <v>7</v>
      </c>
      <c r="AH5" s="778">
        <f t="shared" si="1"/>
        <v>8</v>
      </c>
      <c r="AI5" s="778">
        <f t="shared" si="1"/>
        <v>9</v>
      </c>
      <c r="AJ5" s="778">
        <f t="shared" si="1"/>
        <v>10</v>
      </c>
      <c r="AK5" s="778">
        <f t="shared" si="1"/>
        <v>11</v>
      </c>
      <c r="AL5" s="778">
        <f t="shared" si="1"/>
        <v>12</v>
      </c>
      <c r="AM5" s="778">
        <f t="shared" si="1"/>
        <v>1</v>
      </c>
      <c r="AN5" s="778">
        <f t="shared" si="1"/>
        <v>2</v>
      </c>
      <c r="AO5" s="778">
        <f t="shared" si="1"/>
        <v>3</v>
      </c>
      <c r="AP5" s="778">
        <f t="shared" si="1"/>
        <v>4</v>
      </c>
      <c r="AQ5" s="778">
        <f t="shared" si="1"/>
        <v>5</v>
      </c>
      <c r="AR5" s="778">
        <f t="shared" si="1"/>
        <v>6</v>
      </c>
      <c r="AS5" s="778">
        <f t="shared" si="1"/>
        <v>7</v>
      </c>
      <c r="AT5" s="778">
        <f t="shared" si="1"/>
        <v>8</v>
      </c>
      <c r="AU5" s="778">
        <f t="shared" si="1"/>
        <v>9</v>
      </c>
      <c r="AV5" s="778">
        <f t="shared" si="1"/>
        <v>10</v>
      </c>
      <c r="AW5" s="778">
        <f t="shared" si="1"/>
        <v>11</v>
      </c>
      <c r="AX5" s="778">
        <f t="shared" si="1"/>
        <v>12</v>
      </c>
      <c r="AY5" s="778">
        <f t="shared" si="1"/>
        <v>1</v>
      </c>
      <c r="AZ5" s="778">
        <f t="shared" si="1"/>
        <v>2</v>
      </c>
      <c r="BA5" s="778">
        <f t="shared" si="1"/>
        <v>3</v>
      </c>
      <c r="BB5" s="778">
        <f t="shared" si="1"/>
        <v>4</v>
      </c>
      <c r="BC5" s="778">
        <f t="shared" si="1"/>
        <v>5</v>
      </c>
      <c r="BD5" s="778">
        <f t="shared" si="1"/>
        <v>6</v>
      </c>
      <c r="BE5" s="778">
        <f t="shared" si="1"/>
        <v>7</v>
      </c>
      <c r="BF5" s="778">
        <f t="shared" si="1"/>
        <v>8</v>
      </c>
      <c r="BG5" s="778">
        <f t="shared" si="1"/>
        <v>9</v>
      </c>
      <c r="BH5" s="778">
        <f t="shared" si="1"/>
        <v>10</v>
      </c>
      <c r="BI5" s="778">
        <f t="shared" si="1"/>
        <v>11</v>
      </c>
      <c r="BJ5" s="778">
        <f t="shared" si="1"/>
        <v>12</v>
      </c>
      <c r="BK5" s="778">
        <f t="shared" si="1"/>
        <v>1</v>
      </c>
      <c r="BL5" s="778">
        <f t="shared" si="1"/>
        <v>2</v>
      </c>
      <c r="BM5" s="778">
        <f t="shared" si="1"/>
        <v>3</v>
      </c>
      <c r="BN5" s="778">
        <f t="shared" si="1"/>
        <v>4</v>
      </c>
      <c r="BO5" s="778">
        <f t="shared" si="1"/>
        <v>5</v>
      </c>
      <c r="BP5" s="778">
        <f t="shared" si="1"/>
        <v>6</v>
      </c>
      <c r="BQ5" s="778">
        <f t="shared" si="1"/>
        <v>7</v>
      </c>
      <c r="BR5" s="778">
        <f t="shared" si="1"/>
        <v>8</v>
      </c>
      <c r="BS5" s="778">
        <f t="shared" si="1"/>
        <v>9</v>
      </c>
      <c r="BT5" s="778">
        <f t="shared" si="1"/>
        <v>10</v>
      </c>
      <c r="BU5" s="778">
        <f t="shared" si="1"/>
        <v>11</v>
      </c>
      <c r="BV5" s="779">
        <f t="shared" si="1"/>
        <v>12</v>
      </c>
    </row>
    <row r="6" spans="2:74" x14ac:dyDescent="0.25">
      <c r="B6" s="780"/>
      <c r="C6" s="781"/>
      <c r="D6" s="781"/>
      <c r="E6" s="781"/>
      <c r="F6" s="781"/>
      <c r="G6" s="781"/>
      <c r="H6" s="781"/>
      <c r="I6" s="781"/>
      <c r="J6" s="781"/>
      <c r="K6" s="781"/>
      <c r="L6" s="781"/>
      <c r="M6" s="781"/>
      <c r="N6" s="781"/>
      <c r="O6" s="781"/>
      <c r="P6" s="781"/>
      <c r="Q6" s="781"/>
      <c r="R6" s="781"/>
      <c r="S6" s="781"/>
      <c r="T6" s="781"/>
      <c r="U6" s="781"/>
      <c r="V6" s="781"/>
      <c r="W6" s="781"/>
      <c r="X6" s="781"/>
      <c r="Y6" s="781"/>
      <c r="Z6" s="781"/>
      <c r="AA6" s="781"/>
      <c r="AB6" s="781"/>
      <c r="AC6" s="781"/>
      <c r="AD6" s="781"/>
      <c r="AE6" s="781"/>
      <c r="AF6" s="781"/>
      <c r="AG6" s="781"/>
      <c r="AH6" s="781"/>
      <c r="AI6" s="781"/>
      <c r="AJ6" s="781"/>
      <c r="AK6" s="781"/>
      <c r="AL6" s="781"/>
      <c r="AM6" s="781"/>
      <c r="AN6" s="781"/>
      <c r="AO6" s="781"/>
      <c r="AP6" s="781"/>
      <c r="AQ6" s="781"/>
      <c r="AR6" s="781"/>
      <c r="AS6" s="781"/>
      <c r="AT6" s="781"/>
      <c r="AU6" s="781"/>
      <c r="AV6" s="781"/>
      <c r="AW6" s="781"/>
      <c r="AX6" s="781"/>
      <c r="AY6" s="781"/>
      <c r="AZ6" s="781"/>
      <c r="BA6" s="781"/>
      <c r="BB6" s="781"/>
      <c r="BC6" s="781"/>
      <c r="BD6" s="781"/>
      <c r="BE6" s="781"/>
      <c r="BF6" s="781"/>
      <c r="BG6" s="781"/>
      <c r="BH6" s="781"/>
      <c r="BI6" s="781"/>
      <c r="BJ6" s="781"/>
      <c r="BK6" s="781"/>
      <c r="BL6" s="781"/>
      <c r="BM6" s="781"/>
      <c r="BN6" s="781"/>
      <c r="BO6" s="781"/>
      <c r="BP6" s="781"/>
      <c r="BQ6" s="781"/>
      <c r="BR6" s="781"/>
      <c r="BS6" s="781"/>
      <c r="BT6" s="781"/>
      <c r="BU6" s="781"/>
      <c r="BV6" s="782"/>
    </row>
    <row r="7" spans="2:74" x14ac:dyDescent="0.25">
      <c r="B7" s="777" t="s">
        <v>13</v>
      </c>
      <c r="C7" s="781">
        <v>5</v>
      </c>
      <c r="D7" s="782">
        <f>IF(D4="forecast",IF(C4="actual",(SUMIFS(Headcount!$B$6:$B$89,Headcount!$F$6:$F$89,"Development Operations",Headcount!$H$6:$H$89,"&gt;"&amp;D3,Headcount!$G$6:$G$89,"&lt;"&amp;D3)+D8-D9),(C7+D8-D9)),SUMIFS(Headcount!$B$6:$B$89,Headcount!$F$6:$F$89,"Development Operations",Headcount!$H$6:$H$89,"&gt;"&amp;D3,Headcount!$G$6:$G$89,"&lt;"&amp;C3))</f>
        <v>11</v>
      </c>
      <c r="E7" s="781">
        <f>IF(E4="forecast",IF(D4="actual",(SUMIFS(Headcount!$B$6:$B$89,Headcount!$F$6:$F$89,"Development Operations",Headcount!$H$6:$H$89,"&gt;"&amp;E3,Headcount!$G$6:$G$89,"&lt;"&amp;E3)+E8-E9),(D7+E8-E9)),SUMIFS(Headcount!$B$6:$B$89,Headcount!$F$6:$F$89,"Development Operations",Headcount!$H$6:$H$89,"&gt;"&amp;E3,Headcount!$G$6:$G$89,"&lt;"&amp;D3))</f>
        <v>11</v>
      </c>
      <c r="F7" s="781">
        <f>IF(F4="forecast",IF(E4="actual",(SUMIFS(Headcount!$B$6:$B$89,Headcount!$F$6:$F$89,"Development Operations",Headcount!$H$6:$H$89,"&gt;"&amp;F3,Headcount!$G$6:$G$89,"&lt;"&amp;F3)+F8-F9),(E7+F8-F9)),SUMIFS(Headcount!$B$6:$B$89,Headcount!$F$6:$F$89,"Development Operations",Headcount!$H$6:$H$89,"&gt;"&amp;F3,Headcount!$G$6:$G$89,"&lt;"&amp;E3))</f>
        <v>11</v>
      </c>
      <c r="G7" s="781">
        <f>IF(G4="forecast",IF(F4="actual",(SUMIFS(Headcount!$B$6:$B$89,Headcount!$F$6:$F$89,"Development Operations",Headcount!$H$6:$H$89,"&gt;"&amp;G3,Headcount!$G$6:$G$89,"&lt;"&amp;G3)+G8-G9),(F7+G8-G9)),SUMIFS(Headcount!$B$6:$B$89,Headcount!$F$6:$F$89,"Development Operations",Headcount!$H$6:$H$89,"&gt;"&amp;G3,Headcount!$G$6:$G$89,"&lt;"&amp;F3))</f>
        <v>11</v>
      </c>
      <c r="H7" s="781">
        <f>IF(H4="forecast",IF(G4="actual",(SUMIFS(Headcount!$B$6:$B$89,Headcount!$F$6:$F$89,"Development Operations",Headcount!$H$6:$H$89,"&gt;"&amp;H3,Headcount!$G$6:$G$89,"&lt;"&amp;H3)+H8-H9),(G7+H8-H9)),SUMIFS(Headcount!$B$6:$B$89,Headcount!$F$6:$F$89,"Development Operations",Headcount!$H$6:$H$89,"&gt;"&amp;H3,Headcount!$G$6:$G$89,"&lt;"&amp;G3))</f>
        <v>12</v>
      </c>
      <c r="I7" s="781">
        <f>IF(I4="forecast",IF(H4="actual",(SUMIFS(Headcount!$B$6:$B$89,Headcount!$F$6:$F$89,"Development Operations",Headcount!$H$6:$H$89,"&gt;"&amp;I3,Headcount!$G$6:$G$89,"&lt;"&amp;I3)+I8-I9),(H7+I8-I9)),SUMIFS(Headcount!$B$6:$B$89,Headcount!$F$6:$F$89,"Development Operations",Headcount!$H$6:$H$89,"&gt;"&amp;I3,Headcount!$G$6:$G$89,"&lt;"&amp;H3))</f>
        <v>12</v>
      </c>
      <c r="J7" s="781">
        <f>IF(J4="forecast",IF(I4="actual",(SUMIFS(Headcount!$B$6:$B$89,Headcount!$F$6:$F$89,"Development Operations",Headcount!$H$6:$H$89,"&gt;"&amp;J3,Headcount!$G$6:$G$89,"&lt;"&amp;J3)+J8-J9),(I7+J8-J9)),SUMIFS(Headcount!$B$6:$B$89,Headcount!$F$6:$F$89,"Development Operations",Headcount!$H$6:$H$89,"&gt;"&amp;J3,Headcount!$G$6:$G$89,"&lt;"&amp;I3))</f>
        <v>13</v>
      </c>
      <c r="K7" s="781">
        <f>IF(K4="forecast",IF(J4="actual",(SUMIFS(Headcount!$B$6:$B$89,Headcount!$F$6:$F$89,"Development Operations",Headcount!$H$6:$H$89,"&gt;"&amp;K3,Headcount!$G$6:$G$89,"&lt;"&amp;K3)+K8-K9),(J7+K8-K9)),SUMIFS(Headcount!$B$6:$B$89,Headcount!$F$6:$F$89,"Development Operations",Headcount!$H$6:$H$89,"&gt;"&amp;K3,Headcount!$G$6:$G$89,"&lt;"&amp;J3))</f>
        <v>13</v>
      </c>
      <c r="L7" s="781">
        <f>IF(L4="forecast",IF(K4="actual",(SUMIFS(Headcount!$B$6:$B$89,Headcount!$F$6:$F$89,"Development Operations",Headcount!$H$6:$H$89,"&gt;"&amp;L3,Headcount!$G$6:$G$89,"&lt;"&amp;L3)+L8-L9),(K7+L8-L9)),SUMIFS(Headcount!$B$6:$B$89,Headcount!$F$6:$F$89,"Development Operations",Headcount!$H$6:$H$89,"&gt;"&amp;L3,Headcount!$G$6:$G$89,"&lt;"&amp;K3))</f>
        <v>13</v>
      </c>
      <c r="M7" s="781">
        <f>IF(M4="forecast",IF(L4="actual",(SUMIFS(Headcount!$B$6:$B$89,Headcount!$F$6:$F$89,"Development Operations",Headcount!$H$6:$H$89,"&gt;"&amp;M3,Headcount!$G$6:$G$89,"&lt;"&amp;M3)+M8-M9),(L7+M8-M9)),SUMIFS(Headcount!$B$6:$B$89,Headcount!$F$6:$F$89,"Development Operations",Headcount!$H$6:$H$89,"&gt;"&amp;M3,Headcount!$G$6:$G$89,"&lt;"&amp;L3))</f>
        <v>13</v>
      </c>
      <c r="N7" s="781">
        <f>IF(N4="forecast",IF(M4="actual",(SUMIFS(Headcount!$B$6:$B$89,Headcount!$F$6:$F$89,"Development Operations",Headcount!$H$6:$H$89,"&gt;"&amp;N3,Headcount!$G$6:$G$89,"&lt;"&amp;N3)+N8-N9),(M7+N8-N9)),SUMIFS(Headcount!$B$6:$B$89,Headcount!$F$6:$F$89,"Development Operations",Headcount!$H$6:$H$89,"&gt;"&amp;N3,Headcount!$G$6:$G$89,"&lt;"&amp;M3))</f>
        <v>13</v>
      </c>
      <c r="O7" s="781">
        <f>IF(O4="forecast",IF(N4="actual",(SUMIFS(Headcount!$B$6:$B$89,Headcount!$F$6:$F$89,"Development Operations",Headcount!$H$6:$H$89,"&gt;"&amp;O3,Headcount!$G$6:$G$89,"&lt;"&amp;O3)+O8-O9),(N7+O8-O9)),SUMIFS(Headcount!$B$6:$B$89,Headcount!$F$6:$F$89,"Development Operations",Headcount!$H$6:$H$89,"&gt;"&amp;O3,Headcount!$G$6:$G$89,"&lt;"&amp;N3))</f>
        <v>13</v>
      </c>
      <c r="P7" s="781">
        <f>IF(P4="forecast",IF(O4="actual",(SUMIFS(Headcount!$B$6:$B$89,Headcount!$F$6:$F$89,"Development Operations",Headcount!$H$6:$H$89,"&gt;"&amp;P3,Headcount!$G$6:$G$89,"&lt;"&amp;P3)+P8-P9),(O7+P8-P9)),SUMIFS(Headcount!$B$6:$B$89,Headcount!$F$6:$F$89,"Development Operations",Headcount!$H$6:$H$89,"&gt;"&amp;P3,Headcount!$G$6:$G$89,"&lt;"&amp;O3))</f>
        <v>13</v>
      </c>
      <c r="Q7" s="781">
        <f>IF(Q4="forecast",IF(P4="actual",(SUMIFS(Headcount!$B$6:$B$89,Headcount!$F$6:$F$89,"Development Operations",Headcount!$H$6:$H$89,"&gt;"&amp;Q3,Headcount!$G$6:$G$89,"&lt;"&amp;Q3)+Q8-Q9),(P7+Q8-Q9)),SUMIFS(Headcount!$B$6:$B$89,Headcount!$F$6:$F$89,"Development Operations",Headcount!$H$6:$H$89,"&gt;"&amp;Q3,Headcount!$G$6:$G$89,"&lt;"&amp;P3))</f>
        <v>13</v>
      </c>
      <c r="R7" s="781">
        <f>IF(R4="forecast",IF(Q4="actual",(SUMIFS(Headcount!$B$6:$B$89,Headcount!$F$6:$F$89,"Development Operations",Headcount!$H$6:$H$89,"&gt;"&amp;R3,Headcount!$G$6:$G$89,"&lt;"&amp;R3)+R8-R9),(Q7+R8-R9)),SUMIFS(Headcount!$B$6:$B$89,Headcount!$F$6:$F$89,"Development Operations",Headcount!$H$6:$H$89,"&gt;"&amp;R3,Headcount!$G$6:$G$89,"&lt;"&amp;Q3))</f>
        <v>15</v>
      </c>
      <c r="S7" s="781">
        <f>IF(S4="forecast",IF(R4="actual",(SUMIFS(Headcount!$B$6:$B$89,Headcount!$F$6:$F$89,"Development Operations",Headcount!$H$6:$H$89,"&gt;"&amp;S3,Headcount!$G$6:$G$89,"&lt;"&amp;S3)+S8-S9),(R7+S8-S9)),SUMIFS(Headcount!$B$6:$B$89,Headcount!$F$6:$F$89,"Development Operations",Headcount!$H$6:$H$89,"&gt;"&amp;S3,Headcount!$G$6:$G$89,"&lt;"&amp;R3))</f>
        <v>15</v>
      </c>
      <c r="T7" s="781">
        <f>IF(T4="forecast",IF(S4="actual",(SUMIFS(Headcount!$B$6:$B$89,Headcount!$F$6:$F$89,"Development Operations",Headcount!$H$6:$H$89,"&gt;"&amp;T3,Headcount!$G$6:$G$89,"&lt;"&amp;T3)+T8-T9),(S7+T8-T9)),SUMIFS(Headcount!$B$6:$B$89,Headcount!$F$6:$F$89,"Development Operations",Headcount!$H$6:$H$89,"&gt;"&amp;T3,Headcount!$G$6:$G$89,"&lt;"&amp;S3))</f>
        <v>15</v>
      </c>
      <c r="U7" s="781">
        <f>IF(U4="forecast",IF(T4="actual",(SUMIFS(Headcount!$B$6:$B$89,Headcount!$F$6:$F$89,"Development Operations",Headcount!$H$6:$H$89,"&gt;"&amp;U3,Headcount!$G$6:$G$89,"&lt;"&amp;U3)+U8-U9),(T7+U8-U9)),SUMIFS(Headcount!$B$6:$B$89,Headcount!$F$6:$F$89,"Development Operations",Headcount!$H$6:$H$89,"&gt;"&amp;U3,Headcount!$G$6:$G$89,"&lt;"&amp;T3))</f>
        <v>15</v>
      </c>
      <c r="V7" s="781">
        <f>IF(V4="forecast",IF(U4="actual",(SUMIFS(Headcount!$B$6:$B$89,Headcount!$F$6:$F$89,"Development Operations",Headcount!$H$6:$H$89,"&gt;"&amp;V3,Headcount!$G$6:$G$89,"&lt;"&amp;V3)+V8-V9),(U7+V8-V9)),SUMIFS(Headcount!$B$6:$B$89,Headcount!$F$6:$F$89,"Development Operations",Headcount!$H$6:$H$89,"&gt;"&amp;V3,Headcount!$G$6:$G$89,"&lt;"&amp;U3))</f>
        <v>15</v>
      </c>
      <c r="W7" s="781">
        <f>IF(W4="forecast",IF(V4="actual",(SUMIFS(Headcount!$B$6:$B$89,Headcount!$F$6:$F$89,"Development Operations",Headcount!$H$6:$H$89,"&gt;"&amp;W3,Headcount!$G$6:$G$89,"&lt;"&amp;W3)+W8-W9),(V7+W8-W9)),SUMIFS(Headcount!$B$6:$B$89,Headcount!$F$6:$F$89,"Development Operations",Headcount!$H$6:$H$89,"&gt;"&amp;W3,Headcount!$G$6:$G$89,"&lt;"&amp;V3))</f>
        <v>15</v>
      </c>
      <c r="X7" s="781">
        <f>IF(X4="forecast",IF(W4="actual",(SUMIFS(Headcount!$B$6:$B$89,Headcount!$F$6:$F$89,"Development Operations",Headcount!$H$6:$H$89,"&gt;"&amp;X3,Headcount!$G$6:$G$89,"&lt;"&amp;X3)+X8-X9),(W7+X8-X9)),SUMIFS(Headcount!$B$6:$B$89,Headcount!$F$6:$F$89,"Development Operations",Headcount!$H$6:$H$89,"&gt;"&amp;X3,Headcount!$G$6:$G$89,"&lt;"&amp;W3))</f>
        <v>15</v>
      </c>
      <c r="Y7" s="781">
        <f>IF(Y4="forecast",IF(X4="actual",(SUMIFS(Headcount!$B$6:$B$89,Headcount!$F$6:$F$89,"Development Operations",Headcount!$H$6:$H$89,"&gt;"&amp;Y3,Headcount!$G$6:$G$89,"&lt;"&amp;Y3)+Y8-Y9),(X7+Y8-Y9)),SUMIFS(Headcount!$B$6:$B$89,Headcount!$F$6:$F$89,"Development Operations",Headcount!$H$6:$H$89,"&gt;"&amp;Y3,Headcount!$G$6:$G$89,"&lt;"&amp;X3))</f>
        <v>15</v>
      </c>
      <c r="Z7" s="781">
        <f>IF(Z4="forecast",IF(Y4="actual",(SUMIFS(Headcount!$B$6:$B$89,Headcount!$F$6:$F$89,"Development Operations",Headcount!$H$6:$H$89,"&gt;"&amp;Z3,Headcount!$G$6:$G$89,"&lt;"&amp;Z3)+Z8-Z9),(Y7+Z8-Z9)),SUMIFS(Headcount!$B$6:$B$89,Headcount!$F$6:$F$89,"Development Operations",Headcount!$H$6:$H$89,"&gt;"&amp;Z3,Headcount!$G$6:$G$89,"&lt;"&amp;Y3))</f>
        <v>15</v>
      </c>
      <c r="AA7" s="781">
        <f>IF(AA4="forecast",IF(Z4="actual",(SUMIFS(Headcount!$B$6:$B$89,Headcount!$F$6:$F$89,"Development Operations",Headcount!$H$6:$H$89,"&gt;"&amp;AA3,Headcount!$G$6:$G$89,"&lt;"&amp;AA3)+AA8-AA9),(Z7+AA8-AA9)),SUMIFS(Headcount!$B$6:$B$89,Headcount!$F$6:$F$89,"Development Operations",Headcount!$H$6:$H$89,"&gt;"&amp;AA3,Headcount!$G$6:$G$89,"&lt;"&amp;Z3))</f>
        <v>16</v>
      </c>
      <c r="AB7" s="781">
        <f>IF(AB4="forecast",IF(AA4="actual",(SUMIFS(Headcount!$B$6:$B$89,Headcount!$F$6:$F$89,"Development Operations",Headcount!$H$6:$H$89,"&gt;"&amp;AB3,Headcount!$G$6:$G$89,"&lt;"&amp;AB3)+AB8-AB9),(AA7+AB8-AB9)),SUMIFS(Headcount!$B$6:$B$89,Headcount!$F$6:$F$89,"Development Operations",Headcount!$H$6:$H$89,"&gt;"&amp;AB3,Headcount!$G$6:$G$89,"&lt;"&amp;AA3))</f>
        <v>17</v>
      </c>
      <c r="AC7" s="781">
        <f>IF(AC4="forecast",IF(AB4="actual",(SUMIFS(Headcount!$B$6:$B$89,Headcount!$F$6:$F$89,"Development Operations",Headcount!$H$6:$H$89,"&gt;"&amp;AC3,Headcount!$G$6:$G$89,"&lt;"&amp;AC3)+AC8-AC9),(AB7+AC8-AC9)),SUMIFS(Headcount!$B$6:$B$89,Headcount!$F$6:$F$89,"Development Operations",Headcount!$H$6:$H$89,"&gt;"&amp;AC3,Headcount!$G$6:$G$89,"&lt;"&amp;AB3))</f>
        <v>16</v>
      </c>
      <c r="AD7" s="781">
        <f>IF(AD4="forecast",IF(AC4="actual",(SUMIFS(Headcount!$B$6:$B$89,Headcount!$F$6:$F$89,"Development Operations",Headcount!$H$6:$H$89,"&gt;"&amp;AD3,Headcount!$G$6:$G$89,"&lt;"&amp;AD3)+AD8-AD9),(AC7+AD8-AD9)),SUMIFS(Headcount!$B$6:$B$89,Headcount!$F$6:$F$89,"Development Operations",Headcount!$H$6:$H$89,"&gt;"&amp;AD3,Headcount!$G$6:$G$89,"&lt;"&amp;AC3))</f>
        <v>19</v>
      </c>
      <c r="AE7" s="781">
        <f>IF(AE4="forecast",IF(AD4="actual",(SUMIFS(Headcount!$B$6:$B$89,Headcount!$F$6:$F$89,"Development Operations",Headcount!$H$6:$H$89,"&gt;"&amp;AE3,Headcount!$G$6:$G$89,"&lt;"&amp;AE3)+AE8-AE9),(AD7+AE8-AE9)),SUMIFS(Headcount!$B$6:$B$89,Headcount!$F$6:$F$89,"Development Operations",Headcount!$H$6:$H$89,"&gt;"&amp;AE3,Headcount!$G$6:$G$89,"&lt;"&amp;AD3))</f>
        <v>20</v>
      </c>
      <c r="AF7" s="781">
        <f>IF(AF4="forecast",IF(AE4="actual",(SUMIFS(Headcount!$B$6:$B$89,Headcount!$F$6:$F$89,"Development Operations",Headcount!$H$6:$H$89,"&gt;"&amp;AF3,Headcount!$G$6:$G$89,"&lt;"&amp;AF3)+AF8-AF9),(AE7+AF8-AF9)),SUMIFS(Headcount!$B$6:$B$89,Headcount!$F$6:$F$89,"Development Operations",Headcount!$H$6:$H$89,"&gt;"&amp;AF3,Headcount!$G$6:$G$89,"&lt;"&amp;AE3))</f>
        <v>21</v>
      </c>
      <c r="AG7" s="781">
        <f>IF(AG4="forecast",IF(AF4="actual",(SUMIFS(Headcount!$B$6:$B$89,Headcount!$F$6:$F$89,"Development Operations",Headcount!$H$6:$H$89,"&gt;"&amp;AG3,Headcount!$G$6:$G$89,"&lt;"&amp;AG3)+AG8-AG9),(AF7+AG8-AG9)),SUMIFS(Headcount!$B$6:$B$89,Headcount!$F$6:$F$89,"Development Operations",Headcount!$H$6:$H$89,"&gt;"&amp;AG3,Headcount!$G$6:$G$89,"&lt;"&amp;AF3))</f>
        <v>21</v>
      </c>
      <c r="AH7" s="781">
        <f>IF(AH4="forecast",IF(AG4="actual",(SUMIFS(Headcount!$B$6:$B$89,Headcount!$F$6:$F$89,"Development Operations",Headcount!$H$6:$H$89,"&gt;"&amp;AH3,Headcount!$G$6:$G$89,"&lt;"&amp;AH3)+AH8-AH9),(AG7+AH8-AH9)),SUMIFS(Headcount!$B$6:$B$89,Headcount!$F$6:$F$89,"Development Operations",Headcount!$H$6:$H$89,"&gt;"&amp;AH3,Headcount!$G$6:$G$89,"&lt;"&amp;AG3))</f>
        <v>21</v>
      </c>
      <c r="AI7" s="781">
        <f>IF(AI4="forecast",IF(AH4="actual",(SUMIFS(Headcount!$B$6:$B$89,Headcount!$F$6:$F$89,"Development Operations",Headcount!$H$6:$H$89,"&gt;"&amp;AI3,Headcount!$G$6:$G$89,"&lt;"&amp;AI3)+AI8-AI9),(AH7+AI8-AI9)),SUMIFS(Headcount!$B$6:$B$89,Headcount!$F$6:$F$89,"Development Operations",Headcount!$H$6:$H$89,"&gt;"&amp;AI3,Headcount!$G$6:$G$89,"&lt;"&amp;AH3))</f>
        <v>21</v>
      </c>
      <c r="AJ7" s="781">
        <f>IF(AJ4="forecast",IF(AI4="actual",(SUMIFS(Headcount!$B$6:$B$89,Headcount!$F$6:$F$89,"Development Operations",Headcount!$H$6:$H$89,"&gt;"&amp;AJ3,Headcount!$G$6:$G$89,"&lt;"&amp;AJ3)+AJ8-AJ9),(AI7+AJ8-AJ9)),SUMIFS(Headcount!$B$6:$B$89,Headcount!$F$6:$F$89,"Development Operations",Headcount!$H$6:$H$89,"&gt;"&amp;AJ3,Headcount!$G$6:$G$89,"&lt;"&amp;AI3))</f>
        <v>21</v>
      </c>
      <c r="AK7" s="781">
        <f>IF(AK4="forecast",IF(AJ4="actual",(SUMIFS(Headcount!$B$6:$B$89,Headcount!$F$6:$F$89,"Development Operations",Headcount!$H$6:$H$89,"&gt;"&amp;AK3,Headcount!$G$6:$G$89,"&lt;"&amp;AK3)+AK8-AK9),(AJ7+AK8-AK9)),SUMIFS(Headcount!$B$6:$B$89,Headcount!$F$6:$F$89,"Development Operations",Headcount!$H$6:$H$89,"&gt;"&amp;AK3,Headcount!$G$6:$G$89,"&lt;"&amp;AJ3))</f>
        <v>21</v>
      </c>
      <c r="AL7" s="781">
        <f>IF(AL4="forecast",IF(AK4="actual",(SUMIFS(Headcount!$B$6:$B$89,Headcount!$F$6:$F$89,"Development Operations",Headcount!$H$6:$H$89,"&gt;"&amp;AL3,Headcount!$G$6:$G$89,"&lt;"&amp;AL3)+AL8-AL9),(AK7+AL8-AL9)),SUMIFS(Headcount!$B$6:$B$89,Headcount!$F$6:$F$89,"Development Operations",Headcount!$H$6:$H$89,"&gt;"&amp;AL3,Headcount!$G$6:$G$89,"&lt;"&amp;AK3))</f>
        <v>21</v>
      </c>
      <c r="AM7" s="781">
        <f>IF(AM4="forecast",IF(AL4="actual",(SUMIFS(Headcount!$B$6:$B$89,Headcount!$F$6:$F$89,"Development Operations",Headcount!$H$6:$H$89,"&gt;"&amp;AM3,Headcount!$G$6:$G$89,"&lt;"&amp;AM3)+AM8-AM9),(AL7+AM8-AM9)),SUMIFS(Headcount!$B$6:$B$89,Headcount!$F$6:$F$89,"Development Operations",Headcount!$H$6:$H$89,"&gt;"&amp;AM3,Headcount!$G$6:$G$89,"&lt;"&amp;AL3))</f>
        <v>18</v>
      </c>
      <c r="AN7" s="781">
        <f>IF(AN4="forecast",IF(AM4="actual",(SUMIFS(Headcount!$B$6:$B$89,Headcount!$F$6:$F$89,"Development Operations",Headcount!$H$6:$H$89,"&gt;"&amp;AN3,Headcount!$G$6:$G$89,"&lt;"&amp;AN3)+AN8-AN9),(AM7+AN8-AN9)),SUMIFS(Headcount!$B$6:$B$89,Headcount!$F$6:$F$89,"Development Operations",Headcount!$H$6:$H$89,"&gt;"&amp;AN3,Headcount!$G$6:$G$89,"&lt;"&amp;AM3))</f>
        <v>18</v>
      </c>
      <c r="AO7" s="781">
        <f>IF(AO4="forecast",IF(AN4="actual",(SUMIFS(Headcount!$B$6:$B$89,Headcount!$F$6:$F$89,"Development Operations",Headcount!$H$6:$H$89,"&gt;"&amp;AO3,Headcount!$G$6:$G$89,"&lt;"&amp;AO3)+AO8-AO9),(AN7+AO8-AO9)),SUMIFS(Headcount!$B$6:$B$89,Headcount!$F$6:$F$89,"Development Operations",Headcount!$H$6:$H$89,"&gt;"&amp;AO3,Headcount!$G$6:$G$89,"&lt;"&amp;AN3))</f>
        <v>18</v>
      </c>
      <c r="AP7" s="781">
        <f>IF(AP4="forecast",IF(AO4="actual",(SUMIFS(Headcount!$B$6:$B$89,Headcount!$F$6:$F$89,"Development Operations",Headcount!$H$6:$H$89,"&gt;"&amp;AP3,Headcount!$G$6:$G$89,"&lt;"&amp;AP3)+AP8-AP9),(AO7+AP8-AP9)),SUMIFS(Headcount!$B$6:$B$89,Headcount!$F$6:$F$89,"Development Operations",Headcount!$H$6:$H$89,"&gt;"&amp;AP3,Headcount!$G$6:$G$89,"&lt;"&amp;AO3))</f>
        <v>18</v>
      </c>
      <c r="AQ7" s="781">
        <f>IF(AQ4="forecast",IF(AP4="actual",(SUMIFS(Headcount!$B$6:$B$89,Headcount!$F$6:$F$89,"Development Operations",Headcount!$H$6:$H$89,"&gt;"&amp;AQ3,Headcount!$G$6:$G$89,"&lt;"&amp;AQ3)+AQ8-AQ9),(AP7+AQ8-AQ9)),SUMIFS(Headcount!$B$6:$B$89,Headcount!$F$6:$F$89,"Development Operations",Headcount!$H$6:$H$89,"&gt;"&amp;AQ3,Headcount!$G$6:$G$89,"&lt;"&amp;AP3))</f>
        <v>18</v>
      </c>
      <c r="AR7" s="781">
        <f>IF(AR4="forecast",IF(AQ4="actual",(SUMIFS(Headcount!$B$6:$B$89,Headcount!$F$6:$F$89,"Development Operations",Headcount!$H$6:$H$89,"&gt;"&amp;AR3,Headcount!$G$6:$G$89,"&lt;"&amp;AR3)+AR8-AR9),(AQ7+AR8-AR9)),SUMIFS(Headcount!$B$6:$B$89,Headcount!$F$6:$F$89,"Development Operations",Headcount!$H$6:$H$89,"&gt;"&amp;AR3,Headcount!$G$6:$G$89,"&lt;"&amp;AQ3))</f>
        <v>18</v>
      </c>
      <c r="AS7" s="781">
        <f>IF(AS4="forecast",IF(AR4="actual",(SUMIFS(Headcount!$B$6:$B$89,Headcount!$F$6:$F$89,"Development Operations",Headcount!$H$6:$H$89,"&gt;"&amp;AS3,Headcount!$G$6:$G$89,"&lt;"&amp;AS3)+AS8-AS9),(AR7+AS8-AS9)),SUMIFS(Headcount!$B$6:$B$89,Headcount!$F$6:$F$89,"Development Operations",Headcount!$H$6:$H$89,"&gt;"&amp;AS3,Headcount!$G$6:$G$89,"&lt;"&amp;AR3))</f>
        <v>18</v>
      </c>
      <c r="AT7" s="781">
        <f>IF(AT4="forecast",IF(AS4="actual",(SUMIFS(Headcount!$B$6:$B$89,Headcount!$F$6:$F$89,"Development Operations",Headcount!$H$6:$H$89,"&gt;"&amp;AT3,Headcount!$G$6:$G$89,"&lt;"&amp;AT3)+AT8-AT9),(AS7+AT8-AT9)),SUMIFS(Headcount!$B$6:$B$89,Headcount!$F$6:$F$89,"Development Operations",Headcount!$H$6:$H$89,"&gt;"&amp;AT3,Headcount!$G$6:$G$89,"&lt;"&amp;AS3))</f>
        <v>18</v>
      </c>
      <c r="AU7" s="781">
        <f>IF(AU4="forecast",IF(AT4="actual",(SUMIFS(Headcount!$B$6:$B$89,Headcount!$F$6:$F$89,"Development Operations",Headcount!$H$6:$H$89,"&gt;"&amp;AU3,Headcount!$G$6:$G$89,"&lt;"&amp;AU3)+AU8-AU9),(AT7+AU8-AU9)),SUMIFS(Headcount!$B$6:$B$89,Headcount!$F$6:$F$89,"Development Operations",Headcount!$H$6:$H$89,"&gt;"&amp;AU3,Headcount!$G$6:$G$89,"&lt;"&amp;AT3))</f>
        <v>18</v>
      </c>
      <c r="AV7" s="781">
        <f>IF(AV4="forecast",IF(AU4="actual",(SUMIFS(Headcount!$B$6:$B$89,Headcount!$F$6:$F$89,"Development Operations",Headcount!$H$6:$H$89,"&gt;"&amp;AV3,Headcount!$G$6:$G$89,"&lt;"&amp;AV3)+AV8-AV9),(AU7+AV8-AV9)),SUMIFS(Headcount!$B$6:$B$89,Headcount!$F$6:$F$89,"Development Operations",Headcount!$H$6:$H$89,"&gt;"&amp;AV3,Headcount!$G$6:$G$89,"&lt;"&amp;AU3))</f>
        <v>18</v>
      </c>
      <c r="AW7" s="781">
        <f>IF(AW4="forecast",IF(AV4="actual",(SUMIFS(Headcount!$B$6:$B$89,Headcount!$F$6:$F$89,"Development Operations",Headcount!$H$6:$H$89,"&gt;"&amp;AW3,Headcount!$G$6:$G$89,"&lt;"&amp;AW3)+AW8-AW9),(AV7+AW8-AW9)),SUMIFS(Headcount!$B$6:$B$89,Headcount!$F$6:$F$89,"Development Operations",Headcount!$H$6:$H$89,"&gt;"&amp;AW3,Headcount!$G$6:$G$89,"&lt;"&amp;AV3))</f>
        <v>18</v>
      </c>
      <c r="AX7" s="781">
        <f>IF(AX4="forecast",IF(AW4="actual",(SUMIFS(Headcount!$B$6:$B$89,Headcount!$F$6:$F$89,"Development Operations",Headcount!$H$6:$H$89,"&gt;"&amp;AX3,Headcount!$G$6:$G$89,"&lt;"&amp;AX3)+AX8-AX9),(AW7+AX8-AX9)),SUMIFS(Headcount!$B$6:$B$89,Headcount!$F$6:$F$89,"Development Operations",Headcount!$H$6:$H$89,"&gt;"&amp;AX3,Headcount!$G$6:$G$89,"&lt;"&amp;AW3))</f>
        <v>18</v>
      </c>
      <c r="AY7" s="781">
        <f>IF(AY4="forecast",IF(AX4="actual",(SUMIFS(Headcount!$B$6:$B$89,Headcount!$F$6:$F$89,"Development Operations",Headcount!$H$6:$H$89,"&gt;"&amp;AY3,Headcount!$G$6:$G$89,"&lt;"&amp;AY3)+AY8-AY9),(AX7+AY8-AY9)),SUMIFS(Headcount!$B$6:$B$89,Headcount!$F$6:$F$89,"Development Operations",Headcount!$H$6:$H$89,"&gt;"&amp;AY3,Headcount!$G$6:$G$89,"&lt;"&amp;AX3))</f>
        <v>18</v>
      </c>
      <c r="AZ7" s="781">
        <f>IF(AZ4="forecast",IF(AY4="actual",(SUMIFS(Headcount!$B$6:$B$89,Headcount!$F$6:$F$89,"Development Operations",Headcount!$H$6:$H$89,"&gt;"&amp;AZ3,Headcount!$G$6:$G$89,"&lt;"&amp;AZ3)+AZ8-AZ9),(AY7+AZ8-AZ9)),SUMIFS(Headcount!$B$6:$B$89,Headcount!$F$6:$F$89,"Development Operations",Headcount!$H$6:$H$89,"&gt;"&amp;AZ3,Headcount!$G$6:$G$89,"&lt;"&amp;AY3))</f>
        <v>18</v>
      </c>
      <c r="BA7" s="781">
        <f>IF(BA4="forecast",IF(AZ4="actual",(SUMIFS(Headcount!$B$6:$B$89,Headcount!$F$6:$F$89,"Development Operations",Headcount!$H$6:$H$89,"&gt;"&amp;BA3,Headcount!$G$6:$G$89,"&lt;"&amp;BA3)+BA8-BA9),(AZ7+BA8-BA9)),SUMIFS(Headcount!$B$6:$B$89,Headcount!$F$6:$F$89,"Development Operations",Headcount!$H$6:$H$89,"&gt;"&amp;BA3,Headcount!$G$6:$G$89,"&lt;"&amp;AZ3))</f>
        <v>18</v>
      </c>
      <c r="BB7" s="781">
        <f>IF(BB4="forecast",IF(BA4="actual",(SUMIFS(Headcount!$B$6:$B$89,Headcount!$F$6:$F$89,"Development Operations",Headcount!$H$6:$H$89,"&gt;"&amp;BB3,Headcount!$G$6:$G$89,"&lt;"&amp;BB3)+BB8-BB9),(BA7+BB8-BB9)),SUMIFS(Headcount!$B$6:$B$89,Headcount!$F$6:$F$89,"Development Operations",Headcount!$H$6:$H$89,"&gt;"&amp;BB3,Headcount!$G$6:$G$89,"&lt;"&amp;BA3))</f>
        <v>18</v>
      </c>
      <c r="BC7" s="781">
        <f>IF(BC4="forecast",IF(BB4="actual",(SUMIFS(Headcount!$B$6:$B$89,Headcount!$F$6:$F$89,"Development Operations",Headcount!$H$6:$H$89,"&gt;"&amp;BC3,Headcount!$G$6:$G$89,"&lt;"&amp;BC3)+BC8-BC9),(BB7+BC8-BC9)),SUMIFS(Headcount!$B$6:$B$89,Headcount!$F$6:$F$89,"Development Operations",Headcount!$H$6:$H$89,"&gt;"&amp;BC3,Headcount!$G$6:$G$89,"&lt;"&amp;BB3))</f>
        <v>18</v>
      </c>
      <c r="BD7" s="781">
        <f>IF(BD4="forecast",IF(BC4="actual",(SUMIFS(Headcount!$B$6:$B$89,Headcount!$F$6:$F$89,"Development Operations",Headcount!$H$6:$H$89,"&gt;"&amp;BD3,Headcount!$G$6:$G$89,"&lt;"&amp;BD3)+BD8-BD9),(BC7+BD8-BD9)),SUMIFS(Headcount!$B$6:$B$89,Headcount!$F$6:$F$89,"Development Operations",Headcount!$H$6:$H$89,"&gt;"&amp;BD3,Headcount!$G$6:$G$89,"&lt;"&amp;BC3))</f>
        <v>18</v>
      </c>
      <c r="BE7" s="781">
        <f>IF(BE4="forecast",IF(BD4="actual",(SUMIFS(Headcount!$B$6:$B$89,Headcount!$F$6:$F$89,"Development Operations",Headcount!$H$6:$H$89,"&gt;"&amp;BE3,Headcount!$G$6:$G$89,"&lt;"&amp;BE3)+BE8-BE9),(BD7+BE8-BE9)),SUMIFS(Headcount!$B$6:$B$89,Headcount!$F$6:$F$89,"Development Operations",Headcount!$H$6:$H$89,"&gt;"&amp;BE3,Headcount!$G$6:$G$89,"&lt;"&amp;BD3))</f>
        <v>18</v>
      </c>
      <c r="BF7" s="781">
        <f>IF(BF4="forecast",IF(BE4="actual",(SUMIFS(Headcount!$B$6:$B$89,Headcount!$F$6:$F$89,"Development Operations",Headcount!$H$6:$H$89,"&gt;"&amp;BF3,Headcount!$G$6:$G$89,"&lt;"&amp;BF3)+BF8-BF9),(BE7+BF8-BF9)),SUMIFS(Headcount!$B$6:$B$89,Headcount!$F$6:$F$89,"Development Operations",Headcount!$H$6:$H$89,"&gt;"&amp;BF3,Headcount!$G$6:$G$89,"&lt;"&amp;BE3))</f>
        <v>18</v>
      </c>
      <c r="BG7" s="781">
        <f>IF(BG4="forecast",IF(BF4="actual",(SUMIFS(Headcount!$B$6:$B$89,Headcount!$F$6:$F$89,"Development Operations",Headcount!$H$6:$H$89,"&gt;"&amp;BG3,Headcount!$G$6:$G$89,"&lt;"&amp;BG3)+BG8-BG9),(BF7+BG8-BG9)),SUMIFS(Headcount!$B$6:$B$89,Headcount!$F$6:$F$89,"Development Operations",Headcount!$H$6:$H$89,"&gt;"&amp;BG3,Headcount!$G$6:$G$89,"&lt;"&amp;BF3))</f>
        <v>18</v>
      </c>
      <c r="BH7" s="781">
        <f>IF(BH4="forecast",IF(BG4="actual",(SUMIFS(Headcount!$B$6:$B$89,Headcount!$F$6:$F$89,"Development Operations",Headcount!$H$6:$H$89,"&gt;"&amp;BH3,Headcount!$G$6:$G$89,"&lt;"&amp;BH3)+BH8-BH9),(BG7+BH8-BH9)),SUMIFS(Headcount!$B$6:$B$89,Headcount!$F$6:$F$89,"Development Operations",Headcount!$H$6:$H$89,"&gt;"&amp;BH3,Headcount!$G$6:$G$89,"&lt;"&amp;BG3))</f>
        <v>18</v>
      </c>
      <c r="BI7" s="781">
        <f>IF(BI4="forecast",IF(BH4="actual",(SUMIFS(Headcount!$B$6:$B$89,Headcount!$F$6:$F$89,"Development Operations",Headcount!$H$6:$H$89,"&gt;"&amp;BI3,Headcount!$G$6:$G$89,"&lt;"&amp;BI3)+BI8-BI9),(BH7+BI8-BI9)),SUMIFS(Headcount!$B$6:$B$89,Headcount!$F$6:$F$89,"Development Operations",Headcount!$H$6:$H$89,"&gt;"&amp;BI3,Headcount!$G$6:$G$89,"&lt;"&amp;BH3))</f>
        <v>18</v>
      </c>
      <c r="BJ7" s="781">
        <f>IF(BJ4="forecast",IF(BI4="actual",(SUMIFS(Headcount!$B$6:$B$89,Headcount!$F$6:$F$89,"Development Operations",Headcount!$H$6:$H$89,"&gt;"&amp;BJ3,Headcount!$G$6:$G$89,"&lt;"&amp;BJ3)+BJ8-BJ9),(BI7+BJ8-BJ9)),SUMIFS(Headcount!$B$6:$B$89,Headcount!$F$6:$F$89,"Development Operations",Headcount!$H$6:$H$89,"&gt;"&amp;BJ3,Headcount!$G$6:$G$89,"&lt;"&amp;BI3))</f>
        <v>18</v>
      </c>
      <c r="BK7" s="781">
        <f>IF(BK4="forecast",IF(BJ4="actual",(SUMIFS(Headcount!$B$6:$B$89,Headcount!$F$6:$F$89,"Development Operations",Headcount!$H$6:$H$89,"&gt;"&amp;BK3,Headcount!$G$6:$G$89,"&lt;"&amp;BK3)+BK8-BK9),(BJ7+BK8-BK9)),SUMIFS(Headcount!$B$6:$B$89,Headcount!$F$6:$F$89,"Development Operations",Headcount!$H$6:$H$89,"&gt;"&amp;BK3,Headcount!$G$6:$G$89,"&lt;"&amp;BJ3))</f>
        <v>18</v>
      </c>
      <c r="BL7" s="781">
        <f>IF(BL4="forecast",IF(BK4="actual",(SUMIFS(Headcount!$B$6:$B$89,Headcount!$F$6:$F$89,"Development Operations",Headcount!$H$6:$H$89,"&gt;"&amp;BL3,Headcount!$G$6:$G$89,"&lt;"&amp;BL3)+BL8-BL9),(BK7+BL8-BL9)),SUMIFS(Headcount!$B$6:$B$89,Headcount!$F$6:$F$89,"Development Operations",Headcount!$H$6:$H$89,"&gt;"&amp;BL3,Headcount!$G$6:$G$89,"&lt;"&amp;BK3))</f>
        <v>18</v>
      </c>
      <c r="BM7" s="781">
        <f>IF(BM4="forecast",IF(BL4="actual",(SUMIFS(Headcount!$B$6:$B$89,Headcount!$F$6:$F$89,"Development Operations",Headcount!$H$6:$H$89,"&gt;"&amp;BM3,Headcount!$G$6:$G$89,"&lt;"&amp;BM3)+BM8-BM9),(BL7+BM8-BM9)),SUMIFS(Headcount!$B$6:$B$89,Headcount!$F$6:$F$89,"Development Operations",Headcount!$H$6:$H$89,"&gt;"&amp;BM3,Headcount!$G$6:$G$89,"&lt;"&amp;BL3))</f>
        <v>18</v>
      </c>
      <c r="BN7" s="781">
        <f>IF(BN4="forecast",IF(BM4="actual",(SUMIFS(Headcount!$B$6:$B$89,Headcount!$F$6:$F$89,"Development Operations",Headcount!$H$6:$H$89,"&gt;"&amp;BN3,Headcount!$G$6:$G$89,"&lt;"&amp;BN3)+BN8-BN9),(BM7+BN8-BN9)),SUMIFS(Headcount!$B$6:$B$89,Headcount!$F$6:$F$89,"Development Operations",Headcount!$H$6:$H$89,"&gt;"&amp;BN3,Headcount!$G$6:$G$89,"&lt;"&amp;BM3))</f>
        <v>18</v>
      </c>
      <c r="BO7" s="781">
        <f>IF(BO4="forecast",IF(BN4="actual",(SUMIFS(Headcount!$B$6:$B$89,Headcount!$F$6:$F$89,"Development Operations",Headcount!$H$6:$H$89,"&gt;"&amp;BO3,Headcount!$G$6:$G$89,"&lt;"&amp;BO3)+BO8-BO9),(BN7+BO8-BO9)),SUMIFS(Headcount!$B$6:$B$89,Headcount!$F$6:$F$89,"Development Operations",Headcount!$H$6:$H$89,"&gt;"&amp;BO3,Headcount!$G$6:$G$89,"&lt;"&amp;BN3))</f>
        <v>18</v>
      </c>
      <c r="BP7" s="781">
        <f>IF(BP4="forecast",IF(BO4="actual",(SUMIFS(Headcount!$B$6:$B$89,Headcount!$F$6:$F$89,"Development Operations",Headcount!$H$6:$H$89,"&gt;"&amp;BP3,Headcount!$G$6:$G$89,"&lt;"&amp;BP3)+BP8-BP9),(BO7+BP8-BP9)),SUMIFS(Headcount!$B$6:$B$89,Headcount!$F$6:$F$89,"Development Operations",Headcount!$H$6:$H$89,"&gt;"&amp;BP3,Headcount!$G$6:$G$89,"&lt;"&amp;BO3))</f>
        <v>18</v>
      </c>
      <c r="BQ7" s="781">
        <f>IF(BQ4="forecast",IF(BP4="actual",(SUMIFS(Headcount!$B$6:$B$89,Headcount!$F$6:$F$89,"Development Operations",Headcount!$H$6:$H$89,"&gt;"&amp;BQ3,Headcount!$G$6:$G$89,"&lt;"&amp;BQ3)+BQ8-BQ9),(BP7+BQ8-BQ9)),SUMIFS(Headcount!$B$6:$B$89,Headcount!$F$6:$F$89,"Development Operations",Headcount!$H$6:$H$89,"&gt;"&amp;BQ3,Headcount!$G$6:$G$89,"&lt;"&amp;BP3))</f>
        <v>18</v>
      </c>
      <c r="BR7" s="781">
        <f>IF(BR4="forecast",IF(BQ4="actual",(SUMIFS(Headcount!$B$6:$B$89,Headcount!$F$6:$F$89,"Development Operations",Headcount!$H$6:$H$89,"&gt;"&amp;BR3,Headcount!$G$6:$G$89,"&lt;"&amp;BR3)+BR8-BR9),(BQ7+BR8-BR9)),SUMIFS(Headcount!$B$6:$B$89,Headcount!$F$6:$F$89,"Development Operations",Headcount!$H$6:$H$89,"&gt;"&amp;BR3,Headcount!$G$6:$G$89,"&lt;"&amp;BQ3))</f>
        <v>18</v>
      </c>
      <c r="BS7" s="781">
        <f>IF(BS4="forecast",IF(BR4="actual",(SUMIFS(Headcount!$B$6:$B$89,Headcount!$F$6:$F$89,"Development Operations",Headcount!$H$6:$H$89,"&gt;"&amp;BS3,Headcount!$G$6:$G$89,"&lt;"&amp;BS3)+BS8-BS9),(BR7+BS8-BS9)),SUMIFS(Headcount!$B$6:$B$89,Headcount!$F$6:$F$89,"Development Operations",Headcount!$H$6:$H$89,"&gt;"&amp;BS3,Headcount!$G$6:$G$89,"&lt;"&amp;BR3))</f>
        <v>18</v>
      </c>
      <c r="BT7" s="781">
        <f>IF(BT4="forecast",IF(BS4="actual",(SUMIFS(Headcount!$B$6:$B$89,Headcount!$F$6:$F$89,"Development Operations",Headcount!$H$6:$H$89,"&gt;"&amp;BT3,Headcount!$G$6:$G$89,"&lt;"&amp;BT3)+BT8-BT9),(BS7+BT8-BT9)),SUMIFS(Headcount!$B$6:$B$89,Headcount!$F$6:$F$89,"Development Operations",Headcount!$H$6:$H$89,"&gt;"&amp;BT3,Headcount!$G$6:$G$89,"&lt;"&amp;BS3))</f>
        <v>18</v>
      </c>
      <c r="BU7" s="781">
        <f>IF(BU4="forecast",IF(BT4="actual",(SUMIFS(Headcount!$B$6:$B$89,Headcount!$F$6:$F$89,"Development Operations",Headcount!$H$6:$H$89,"&gt;"&amp;BU3,Headcount!$G$6:$G$89,"&lt;"&amp;BU3)+BU8-BU9),(BT7+BU8-BU9)),SUMIFS(Headcount!$B$6:$B$89,Headcount!$F$6:$F$89,"Development Operations",Headcount!$H$6:$H$89,"&gt;"&amp;BU3,Headcount!$G$6:$G$89,"&lt;"&amp;BT3))</f>
        <v>18</v>
      </c>
      <c r="BV7" s="782">
        <f>IF(BV4="forecast",IF(BU4="actual",(SUMIFS(Headcount!$B$6:$B$89,Headcount!$F$6:$F$89,"Development Operations",Headcount!$H$6:$H$89,"&gt;"&amp;BV3,Headcount!$G$6:$G$89,"&lt;"&amp;BV3)+BV8-BV9),(BU7+BV8-BV9)),SUMIFS(Headcount!$B$6:$B$89,Headcount!$F$6:$F$89,"Development Operations",Headcount!$H$6:$H$89,"&gt;"&amp;BV3,Headcount!$G$6:$G$89,"&lt;"&amp;BU3))</f>
        <v>18</v>
      </c>
    </row>
    <row r="8" spans="2:74" x14ac:dyDescent="0.25">
      <c r="B8" s="777" t="s">
        <v>14</v>
      </c>
      <c r="C8" s="781">
        <f>SUMIFS('New Hires Forecast'!$B$5:$B$84,'New Hires Forecast'!$G$5:$G$84,"&gt;"&amp;'Dev Ops'!B3,'New Hires Forecast'!$G$5:$G$84,"&lt;="&amp;'Dev Ops'!C3,'New Hires Forecast'!$F$5:$F$84,"Dev Ops")</f>
        <v>0</v>
      </c>
      <c r="D8" s="781">
        <f>SUMIFS('New Hires Forecast'!$B$5:$B$84,'New Hires Forecast'!$G$5:$G$84,"&gt;"&amp;'Dev Ops'!C3,'New Hires Forecast'!$G$5:$G$84,"&lt;="&amp;'Dev Ops'!D3,'New Hires Forecast'!$F$5:$F$84,"Dev Ops")</f>
        <v>0</v>
      </c>
      <c r="E8" s="781">
        <f>SUMIFS('New Hires Forecast'!$B$5:$B$84,'New Hires Forecast'!$G$5:$G$84,"&gt;"&amp;'Dev Ops'!D3,'New Hires Forecast'!$G$5:$G$84,"&lt;="&amp;'Dev Ops'!E3,'New Hires Forecast'!$F$5:$F$84,"Dev Ops")</f>
        <v>0</v>
      </c>
      <c r="F8" s="781">
        <f>SUMIFS('New Hires Forecast'!$B$5:$B$84,'New Hires Forecast'!$G$5:$G$84,"&gt;"&amp;'Dev Ops'!E3,'New Hires Forecast'!$G$5:$G$84,"&lt;="&amp;'Dev Ops'!F3,'New Hires Forecast'!$F$5:$F$84,"Dev Ops")</f>
        <v>0</v>
      </c>
      <c r="G8" s="781">
        <f>SUMIFS('New Hires Forecast'!$B$5:$B$84,'New Hires Forecast'!$G$5:$G$84,"&gt;"&amp;'Dev Ops'!F3,'New Hires Forecast'!$G$5:$G$84,"&lt;="&amp;'Dev Ops'!G3,'New Hires Forecast'!$F$5:$F$84,"Dev Ops")</f>
        <v>0</v>
      </c>
      <c r="H8" s="781">
        <f>SUMIFS('New Hires Forecast'!$B$5:$B$84,'New Hires Forecast'!$G$5:$G$84,"&gt;"&amp;'Dev Ops'!G3,'New Hires Forecast'!$G$5:$G$84,"&lt;="&amp;'Dev Ops'!H3,'New Hires Forecast'!$F$5:$F$84,"Dev Ops")</f>
        <v>0</v>
      </c>
      <c r="I8" s="781">
        <f>SUMIFS('New Hires Forecast'!$B$5:$B$84,'New Hires Forecast'!$G$5:$G$84,"&gt;"&amp;'Dev Ops'!H3,'New Hires Forecast'!$G$5:$G$84,"&lt;="&amp;'Dev Ops'!I3,'New Hires Forecast'!$F$5:$F$84,"Dev Ops")</f>
        <v>0</v>
      </c>
      <c r="J8" s="781">
        <f>SUMIFS('New Hires Forecast'!$B$5:$B$84,'New Hires Forecast'!$G$5:$G$84,"&gt;"&amp;'Dev Ops'!I3,'New Hires Forecast'!$G$5:$G$84,"&lt;="&amp;'Dev Ops'!J3,'New Hires Forecast'!$F$5:$F$84,"Dev Ops")</f>
        <v>0</v>
      </c>
      <c r="K8" s="781">
        <f>SUMIFS('New Hires Forecast'!$B$5:$B$84,'New Hires Forecast'!$G$5:$G$84,"&gt;"&amp;'Dev Ops'!J3,'New Hires Forecast'!$G$5:$G$84,"&lt;="&amp;'Dev Ops'!K3,'New Hires Forecast'!$F$5:$F$84,"Dev Ops")</f>
        <v>0</v>
      </c>
      <c r="L8" s="781">
        <f>SUMIFS('New Hires Forecast'!$B$5:$B$84,'New Hires Forecast'!$G$5:$G$84,"&gt;"&amp;'Dev Ops'!K3,'New Hires Forecast'!$G$5:$G$84,"&lt;="&amp;'Dev Ops'!L3,'New Hires Forecast'!$F$5:$F$84,"Dev Ops")</f>
        <v>0</v>
      </c>
      <c r="M8" s="781">
        <f>SUMIFS('New Hires Forecast'!$B$5:$B$84,'New Hires Forecast'!$G$5:$G$84,"&gt;"&amp;'Dev Ops'!L3,'New Hires Forecast'!$G$5:$G$84,"&lt;="&amp;'Dev Ops'!M3,'New Hires Forecast'!$F$5:$F$84,"Dev Ops")</f>
        <v>0</v>
      </c>
      <c r="N8" s="781">
        <f>SUMIFS('New Hires Forecast'!$B$5:$B$84,'New Hires Forecast'!$G$5:$G$84,"&gt;"&amp;'Dev Ops'!M3,'New Hires Forecast'!$G$5:$G$84,"&lt;="&amp;'Dev Ops'!N3,'New Hires Forecast'!$F$5:$F$84,"Dev Ops")</f>
        <v>0</v>
      </c>
      <c r="O8" s="781">
        <f>SUMIFS('New Hires Forecast'!$B$5:$B$84,'New Hires Forecast'!$G$5:$G$84,"&gt;"&amp;'Dev Ops'!N3,'New Hires Forecast'!$G$5:$G$84,"&lt;="&amp;'Dev Ops'!O3,'New Hires Forecast'!$F$5:$F$84,"Dev Ops")</f>
        <v>0</v>
      </c>
      <c r="P8" s="781">
        <f>SUMIFS('New Hires Forecast'!$B$5:$B$84,'New Hires Forecast'!$G$5:$G$84,"&gt;"&amp;'Dev Ops'!O3,'New Hires Forecast'!$G$5:$G$84,"&lt;="&amp;'Dev Ops'!P3,'New Hires Forecast'!$F$5:$F$84,"Dev Ops")</f>
        <v>0</v>
      </c>
      <c r="Q8" s="781">
        <f>SUMIFS('New Hires Forecast'!$B$5:$B$84,'New Hires Forecast'!$G$5:$G$84,"&gt;"&amp;'Dev Ops'!P3,'New Hires Forecast'!$G$5:$G$84,"&lt;="&amp;'Dev Ops'!Q3,'New Hires Forecast'!$F$5:$F$84,"Dev Ops")</f>
        <v>0</v>
      </c>
      <c r="R8" s="781">
        <f>SUMIFS('New Hires Forecast'!$B$5:$B$84,'New Hires Forecast'!$G$5:$G$84,"&gt;"&amp;'Dev Ops'!Q3,'New Hires Forecast'!$G$5:$G$84,"&lt;="&amp;'Dev Ops'!R3,'New Hires Forecast'!$F$5:$F$84,"Dev Ops")</f>
        <v>0</v>
      </c>
      <c r="S8" s="781">
        <f>SUMIFS('New Hires Forecast'!$B$5:$B$84,'New Hires Forecast'!$G$5:$G$84,"&gt;"&amp;'Dev Ops'!R3,'New Hires Forecast'!$G$5:$G$84,"&lt;="&amp;'Dev Ops'!S3,'New Hires Forecast'!$F$5:$F$84,"Dev Ops")</f>
        <v>0</v>
      </c>
      <c r="T8" s="781">
        <f>SUMIFS('New Hires Forecast'!$B$5:$B$84,'New Hires Forecast'!$G$5:$G$84,"&gt;"&amp;'Dev Ops'!S3,'New Hires Forecast'!$G$5:$G$84,"&lt;="&amp;'Dev Ops'!T3,'New Hires Forecast'!$F$5:$F$84,"Dev Ops")</f>
        <v>0</v>
      </c>
      <c r="U8" s="781">
        <f>SUMIFS('New Hires Forecast'!$B$5:$B$84,'New Hires Forecast'!$G$5:$G$84,"&gt;"&amp;'Dev Ops'!T3,'New Hires Forecast'!$G$5:$G$84,"&lt;="&amp;'Dev Ops'!U3,'New Hires Forecast'!$F$5:$F$84,"Dev Ops")</f>
        <v>0</v>
      </c>
      <c r="V8" s="781">
        <f>SUMIFS('New Hires Forecast'!$B$5:$B$84,'New Hires Forecast'!$G$5:$G$84,"&gt;"&amp;'Dev Ops'!U3,'New Hires Forecast'!$G$5:$G$84,"&lt;="&amp;'Dev Ops'!V3,'New Hires Forecast'!$F$5:$F$84,"Dev Ops")</f>
        <v>0</v>
      </c>
      <c r="W8" s="781">
        <f>SUMIFS('New Hires Forecast'!$B$5:$B$84,'New Hires Forecast'!$G$5:$G$84,"&gt;"&amp;'Dev Ops'!V3,'New Hires Forecast'!$G$5:$G$84,"&lt;="&amp;'Dev Ops'!W3,'New Hires Forecast'!$F$5:$F$84,"Dev Ops")</f>
        <v>0</v>
      </c>
      <c r="X8" s="781">
        <f>SUMIFS('New Hires Forecast'!$B$5:$B$84,'New Hires Forecast'!$G$5:$G$84,"&gt;"&amp;'Dev Ops'!W3,'New Hires Forecast'!$G$5:$G$84,"&lt;="&amp;'Dev Ops'!X3,'New Hires Forecast'!$F$5:$F$84,"Dev Ops")</f>
        <v>0</v>
      </c>
      <c r="Y8" s="781">
        <f>SUMIFS('New Hires Forecast'!$B$5:$B$84,'New Hires Forecast'!$G$5:$G$84,"&gt;"&amp;'Dev Ops'!X3,'New Hires Forecast'!$G$5:$G$84,"&lt;="&amp;'Dev Ops'!Y3,'New Hires Forecast'!$F$5:$F$84,"Dev Ops")</f>
        <v>0</v>
      </c>
      <c r="Z8" s="781">
        <f>SUMIFS('New Hires Forecast'!$B$5:$B$84,'New Hires Forecast'!$G$5:$G$84,"&gt;"&amp;'Dev Ops'!Y3,'New Hires Forecast'!$G$5:$G$84,"&lt;="&amp;'Dev Ops'!Z3,'New Hires Forecast'!$F$5:$F$84,"Dev Ops")</f>
        <v>0</v>
      </c>
      <c r="AA8" s="781">
        <f>SUMIFS('New Hires Forecast'!$B$5:$B$84,'New Hires Forecast'!$G$5:$G$84,"&gt;"&amp;'Dev Ops'!Z3,'New Hires Forecast'!$G$5:$G$84,"&lt;="&amp;'Dev Ops'!AA3,'New Hires Forecast'!$F$5:$F$84,"Dev Ops")</f>
        <v>0</v>
      </c>
      <c r="AB8" s="781">
        <f>SUMIFS('New Hires Forecast'!$B$5:$B$84,'New Hires Forecast'!$G$5:$G$84,"&gt;"&amp;'Dev Ops'!AA3,'New Hires Forecast'!$G$5:$G$84,"&lt;="&amp;'Dev Ops'!AB3,'New Hires Forecast'!$F$5:$F$84,"Dev Ops")</f>
        <v>0</v>
      </c>
      <c r="AC8" s="781">
        <f>SUMIFS('New Hires Forecast'!$B$5:$B$84,'New Hires Forecast'!$G$5:$G$84,"&gt;"&amp;'Dev Ops'!AB3,'New Hires Forecast'!$G$5:$G$84,"&lt;="&amp;'Dev Ops'!AC3,'New Hires Forecast'!$F$5:$F$84,"Dev Ops")</f>
        <v>0</v>
      </c>
      <c r="AD8" s="781">
        <f>SUMIFS('New Hires Forecast'!$B$5:$B$84,'New Hires Forecast'!$G$5:$G$84,"&gt;"&amp;'Dev Ops'!AC3,'New Hires Forecast'!$G$5:$G$84,"&lt;="&amp;'Dev Ops'!AD3,'New Hires Forecast'!$F$5:$F$84,"Dev Ops")</f>
        <v>1</v>
      </c>
      <c r="AE8" s="781">
        <f>SUMIFS('New Hires Forecast'!$B$5:$B$84,'New Hires Forecast'!$G$5:$G$84,"&gt;"&amp;'Dev Ops'!AD3,'New Hires Forecast'!$G$5:$G$84,"&lt;="&amp;'Dev Ops'!AE3,'New Hires Forecast'!$F$5:$F$84,"Dev Ops")</f>
        <v>1</v>
      </c>
      <c r="AF8" s="781">
        <f>SUMIFS('New Hires Forecast'!$B$5:$B$84,'New Hires Forecast'!$G$5:$G$84,"&gt;"&amp;'Dev Ops'!AE3,'New Hires Forecast'!$G$5:$G$84,"&lt;="&amp;'Dev Ops'!AF3,'New Hires Forecast'!$F$5:$F$84,"Dev Ops")</f>
        <v>1</v>
      </c>
      <c r="AG8" s="781">
        <f>SUMIFS('New Hires Forecast'!$B$5:$B$84,'New Hires Forecast'!$G$5:$G$84,"&gt;"&amp;'Dev Ops'!AF3,'New Hires Forecast'!$G$5:$G$84,"&lt;="&amp;'Dev Ops'!AG3,'New Hires Forecast'!$F$5:$F$84,"Dev Ops")</f>
        <v>0</v>
      </c>
      <c r="AH8" s="781">
        <f>SUMIFS('New Hires Forecast'!$B$5:$B$84,'New Hires Forecast'!$G$5:$G$84,"&gt;"&amp;'Dev Ops'!AG3,'New Hires Forecast'!$G$5:$G$84,"&lt;="&amp;'Dev Ops'!AH3,'New Hires Forecast'!$F$5:$F$84,"Dev Ops")</f>
        <v>0</v>
      </c>
      <c r="AI8" s="781">
        <f>SUMIFS('New Hires Forecast'!$B$5:$B$84,'New Hires Forecast'!$G$5:$G$84,"&gt;"&amp;'Dev Ops'!AH3,'New Hires Forecast'!$G$5:$G$84,"&lt;="&amp;'Dev Ops'!AI3,'New Hires Forecast'!$F$5:$F$84,"Dev Ops")</f>
        <v>0</v>
      </c>
      <c r="AJ8" s="781">
        <f>SUMIFS('New Hires Forecast'!$B$5:$B$84,'New Hires Forecast'!$G$5:$G$84,"&gt;"&amp;'Dev Ops'!AI3,'New Hires Forecast'!$G$5:$G$84,"&lt;="&amp;'Dev Ops'!AJ3,'New Hires Forecast'!$F$5:$F$84,"Dev Ops")</f>
        <v>0</v>
      </c>
      <c r="AK8" s="781">
        <f>SUMIFS('New Hires Forecast'!$B$5:$B$84,'New Hires Forecast'!$G$5:$G$84,"&gt;"&amp;'Dev Ops'!AJ3,'New Hires Forecast'!$G$5:$G$84,"&lt;="&amp;'Dev Ops'!AK3,'New Hires Forecast'!$F$5:$F$84,"Dev Ops")</f>
        <v>0</v>
      </c>
      <c r="AL8" s="781">
        <f>SUMIFS('New Hires Forecast'!$B$5:$B$84,'New Hires Forecast'!$G$5:$G$84,"&gt;"&amp;'Dev Ops'!AK3,'New Hires Forecast'!$G$5:$G$84,"&lt;="&amp;'Dev Ops'!AL3,'New Hires Forecast'!$F$5:$F$84,"Dev Ops")</f>
        <v>0</v>
      </c>
      <c r="AM8" s="781">
        <f>SUMIFS('New Hires Forecast'!$B$5:$B$84,'New Hires Forecast'!$G$5:$G$84,"&gt;"&amp;'Dev Ops'!AL3,'New Hires Forecast'!$G$5:$G$84,"&lt;="&amp;'Dev Ops'!AM3,'New Hires Forecast'!$F$5:$F$84,"Dev Ops")</f>
        <v>0</v>
      </c>
      <c r="AN8" s="781">
        <f>SUMIFS('New Hires Forecast'!$B$5:$B$84,'New Hires Forecast'!$G$5:$G$84,"&gt;"&amp;'Dev Ops'!AM3,'New Hires Forecast'!$G$5:$G$84,"&lt;="&amp;'Dev Ops'!AN3,'New Hires Forecast'!$F$5:$F$84,"Dev Ops")</f>
        <v>0</v>
      </c>
      <c r="AO8" s="781">
        <f>SUMIFS('New Hires Forecast'!$B$5:$B$84,'New Hires Forecast'!$G$5:$G$84,"&gt;"&amp;'Dev Ops'!AN3,'New Hires Forecast'!$G$5:$G$84,"&lt;="&amp;'Dev Ops'!AO3,'New Hires Forecast'!$F$5:$F$84,"Dev Ops")</f>
        <v>0</v>
      </c>
      <c r="AP8" s="781">
        <f>SUMIFS('New Hires Forecast'!$B$5:$B$84,'New Hires Forecast'!$G$5:$G$84,"&gt;"&amp;'Dev Ops'!AO3,'New Hires Forecast'!$G$5:$G$84,"&lt;="&amp;'Dev Ops'!AP3,'New Hires Forecast'!$F$5:$F$84,"Dev Ops")</f>
        <v>0</v>
      </c>
      <c r="AQ8" s="781">
        <f>SUMIFS('New Hires Forecast'!$B$5:$B$84,'New Hires Forecast'!$G$5:$G$84,"&gt;"&amp;'Dev Ops'!AP3,'New Hires Forecast'!$G$5:$G$84,"&lt;="&amp;'Dev Ops'!AQ3,'New Hires Forecast'!$F$5:$F$84,"Dev Ops")</f>
        <v>0</v>
      </c>
      <c r="AR8" s="781">
        <f>SUMIFS('New Hires Forecast'!$B$5:$B$84,'New Hires Forecast'!$G$5:$G$84,"&gt;"&amp;'Dev Ops'!AQ3,'New Hires Forecast'!$G$5:$G$84,"&lt;="&amp;'Dev Ops'!AR3,'New Hires Forecast'!$F$5:$F$84,"Dev Ops")</f>
        <v>0</v>
      </c>
      <c r="AS8" s="781">
        <f>SUMIFS('New Hires Forecast'!$B$5:$B$84,'New Hires Forecast'!$G$5:$G$84,"&gt;"&amp;'Dev Ops'!AR3,'New Hires Forecast'!$G$5:$G$84,"&lt;="&amp;'Dev Ops'!AS3,'New Hires Forecast'!$F$5:$F$84,"Dev Ops")</f>
        <v>0</v>
      </c>
      <c r="AT8" s="781">
        <f>SUMIFS('New Hires Forecast'!$B$5:$B$84,'New Hires Forecast'!$G$5:$G$84,"&gt;"&amp;'Dev Ops'!AS3,'New Hires Forecast'!$G$5:$G$84,"&lt;="&amp;'Dev Ops'!AT3,'New Hires Forecast'!$F$5:$F$84,"Dev Ops")</f>
        <v>0</v>
      </c>
      <c r="AU8" s="781">
        <f>SUMIFS('New Hires Forecast'!$B$5:$B$84,'New Hires Forecast'!$G$5:$G$84,"&gt;"&amp;'Dev Ops'!AT3,'New Hires Forecast'!$G$5:$G$84,"&lt;="&amp;'Dev Ops'!AU3,'New Hires Forecast'!$F$5:$F$84,"Dev Ops")</f>
        <v>0</v>
      </c>
      <c r="AV8" s="781">
        <f>SUMIFS('New Hires Forecast'!$B$5:$B$84,'New Hires Forecast'!$G$5:$G$84,"&gt;"&amp;'Dev Ops'!AU3,'New Hires Forecast'!$G$5:$G$84,"&lt;="&amp;'Dev Ops'!AV3,'New Hires Forecast'!$F$5:$F$84,"Dev Ops")</f>
        <v>0</v>
      </c>
      <c r="AW8" s="781">
        <f>SUMIFS('New Hires Forecast'!$B$5:$B$84,'New Hires Forecast'!$G$5:$G$84,"&gt;"&amp;'Dev Ops'!AV3,'New Hires Forecast'!$G$5:$G$84,"&lt;="&amp;'Dev Ops'!AW3,'New Hires Forecast'!$F$5:$F$84,"Dev Ops")</f>
        <v>0</v>
      </c>
      <c r="AX8" s="781">
        <f>SUMIFS('New Hires Forecast'!$B$5:$B$84,'New Hires Forecast'!$G$5:$G$84,"&gt;"&amp;'Dev Ops'!AW3,'New Hires Forecast'!$G$5:$G$84,"&lt;="&amp;'Dev Ops'!AX3,'New Hires Forecast'!$F$5:$F$84,"Dev Ops")</f>
        <v>0</v>
      </c>
      <c r="AY8" s="781">
        <f>SUMIFS('New Hires Forecast'!$B$5:$B$84,'New Hires Forecast'!$G$5:$G$84,"&gt;"&amp;'Dev Ops'!AX3,'New Hires Forecast'!$G$5:$G$84,"&lt;="&amp;'Dev Ops'!AY3,'New Hires Forecast'!$F$5:$F$84,"Dev Ops")</f>
        <v>0</v>
      </c>
      <c r="AZ8" s="781">
        <f>SUMIFS('New Hires Forecast'!$B$5:$B$84,'New Hires Forecast'!$G$5:$G$84,"&gt;"&amp;'Dev Ops'!AY3,'New Hires Forecast'!$G$5:$G$84,"&lt;="&amp;'Dev Ops'!AZ3,'New Hires Forecast'!$F$5:$F$84,"Dev Ops")</f>
        <v>0</v>
      </c>
      <c r="BA8" s="781">
        <f>SUMIFS('New Hires Forecast'!$B$5:$B$84,'New Hires Forecast'!$G$5:$G$84,"&gt;"&amp;'Dev Ops'!AZ3,'New Hires Forecast'!$G$5:$G$84,"&lt;="&amp;'Dev Ops'!BA3,'New Hires Forecast'!$F$5:$F$84,"Dev Ops")</f>
        <v>0</v>
      </c>
      <c r="BB8" s="781">
        <f>SUMIFS('New Hires Forecast'!$B$5:$B$84,'New Hires Forecast'!$G$5:$G$84,"&gt;"&amp;'Dev Ops'!BA3,'New Hires Forecast'!$G$5:$G$84,"&lt;="&amp;'Dev Ops'!BB3,'New Hires Forecast'!$F$5:$F$84,"Dev Ops")</f>
        <v>0</v>
      </c>
      <c r="BC8" s="781">
        <f>SUMIFS('New Hires Forecast'!$B$5:$B$84,'New Hires Forecast'!$G$5:$G$84,"&gt;"&amp;'Dev Ops'!BB3,'New Hires Forecast'!$G$5:$G$84,"&lt;="&amp;'Dev Ops'!BC3,'New Hires Forecast'!$F$5:$F$84,"Dev Ops")</f>
        <v>0</v>
      </c>
      <c r="BD8" s="781">
        <f>SUMIFS('New Hires Forecast'!$B$5:$B$84,'New Hires Forecast'!$G$5:$G$84,"&gt;"&amp;'Dev Ops'!BC3,'New Hires Forecast'!$G$5:$G$84,"&lt;="&amp;'Dev Ops'!BD3,'New Hires Forecast'!$F$5:$F$84,"Dev Ops")</f>
        <v>0</v>
      </c>
      <c r="BE8" s="781">
        <f>SUMIFS('New Hires Forecast'!$B$5:$B$84,'New Hires Forecast'!$G$5:$G$84,"&gt;"&amp;'Dev Ops'!BD3,'New Hires Forecast'!$G$5:$G$84,"&lt;="&amp;'Dev Ops'!BE3,'New Hires Forecast'!$F$5:$F$84,"Dev Ops")</f>
        <v>0</v>
      </c>
      <c r="BF8" s="781">
        <f>SUMIFS('New Hires Forecast'!$B$5:$B$84,'New Hires Forecast'!$G$5:$G$84,"&gt;"&amp;'Dev Ops'!BE3,'New Hires Forecast'!$G$5:$G$84,"&lt;="&amp;'Dev Ops'!BF3,'New Hires Forecast'!$F$5:$F$84,"Dev Ops")</f>
        <v>0</v>
      </c>
      <c r="BG8" s="781">
        <f>SUMIFS('New Hires Forecast'!$B$5:$B$84,'New Hires Forecast'!$G$5:$G$84,"&gt;"&amp;'Dev Ops'!BF3,'New Hires Forecast'!$G$5:$G$84,"&lt;="&amp;'Dev Ops'!BG3,'New Hires Forecast'!$F$5:$F$84,"Dev Ops")</f>
        <v>0</v>
      </c>
      <c r="BH8" s="781">
        <f>SUMIFS('New Hires Forecast'!$B$5:$B$84,'New Hires Forecast'!$G$5:$G$84,"&gt;"&amp;'Dev Ops'!BG3,'New Hires Forecast'!$G$5:$G$84,"&lt;="&amp;'Dev Ops'!BH3,'New Hires Forecast'!$F$5:$F$84,"Dev Ops")</f>
        <v>0</v>
      </c>
      <c r="BI8" s="781">
        <f>SUMIFS('New Hires Forecast'!$B$5:$B$84,'New Hires Forecast'!$G$5:$G$84,"&gt;"&amp;'Dev Ops'!BH3,'New Hires Forecast'!$G$5:$G$84,"&lt;="&amp;'Dev Ops'!BI3,'New Hires Forecast'!$F$5:$F$84,"Dev Ops")</f>
        <v>0</v>
      </c>
      <c r="BJ8" s="781">
        <f>SUMIFS('New Hires Forecast'!$B$5:$B$84,'New Hires Forecast'!$G$5:$G$84,"&gt;"&amp;'Dev Ops'!BI3,'New Hires Forecast'!$G$5:$G$84,"&lt;="&amp;'Dev Ops'!BJ3,'New Hires Forecast'!$F$5:$F$84,"Dev Ops")</f>
        <v>0</v>
      </c>
      <c r="BK8" s="781">
        <f>SUMIFS('New Hires Forecast'!$B$5:$B$84,'New Hires Forecast'!$G$5:$G$84,"&gt;"&amp;'Dev Ops'!BJ3,'New Hires Forecast'!$G$5:$G$84,"&lt;="&amp;'Dev Ops'!BK3,'New Hires Forecast'!$F$5:$F$84,"Dev Ops")</f>
        <v>0</v>
      </c>
      <c r="BL8" s="781">
        <f>SUMIFS('New Hires Forecast'!$B$5:$B$84,'New Hires Forecast'!$G$5:$G$84,"&gt;"&amp;'Dev Ops'!BK3,'New Hires Forecast'!$G$5:$G$84,"&lt;="&amp;'Dev Ops'!BL3,'New Hires Forecast'!$F$5:$F$84,"Dev Ops")</f>
        <v>0</v>
      </c>
      <c r="BM8" s="781">
        <f>SUMIFS('New Hires Forecast'!$B$5:$B$84,'New Hires Forecast'!$G$5:$G$84,"&gt;"&amp;'Dev Ops'!BL3,'New Hires Forecast'!$G$5:$G$84,"&lt;="&amp;'Dev Ops'!BM3,'New Hires Forecast'!$F$5:$F$84,"Dev Ops")</f>
        <v>0</v>
      </c>
      <c r="BN8" s="781">
        <f>SUMIFS('New Hires Forecast'!$B$5:$B$84,'New Hires Forecast'!$G$5:$G$84,"&gt;"&amp;'Dev Ops'!BM3,'New Hires Forecast'!$G$5:$G$84,"&lt;="&amp;'Dev Ops'!BN3,'New Hires Forecast'!$F$5:$F$84,"Dev Ops")</f>
        <v>0</v>
      </c>
      <c r="BO8" s="781">
        <f>SUMIFS('New Hires Forecast'!$B$5:$B$84,'New Hires Forecast'!$G$5:$G$84,"&gt;"&amp;'Dev Ops'!BN3,'New Hires Forecast'!$G$5:$G$84,"&lt;="&amp;'Dev Ops'!BO3,'New Hires Forecast'!$F$5:$F$84,"Dev Ops")</f>
        <v>0</v>
      </c>
      <c r="BP8" s="781">
        <f>SUMIFS('New Hires Forecast'!$B$5:$B$84,'New Hires Forecast'!$G$5:$G$84,"&gt;"&amp;'Dev Ops'!BO3,'New Hires Forecast'!$G$5:$G$84,"&lt;="&amp;'Dev Ops'!BP3,'New Hires Forecast'!$F$5:$F$84,"Dev Ops")</f>
        <v>0</v>
      </c>
      <c r="BQ8" s="781">
        <f>SUMIFS('New Hires Forecast'!$B$5:$B$84,'New Hires Forecast'!$G$5:$G$84,"&gt;"&amp;'Dev Ops'!BP3,'New Hires Forecast'!$G$5:$G$84,"&lt;="&amp;'Dev Ops'!BQ3,'New Hires Forecast'!$F$5:$F$84,"Dev Ops")</f>
        <v>0</v>
      </c>
      <c r="BR8" s="781">
        <f>SUMIFS('New Hires Forecast'!$B$5:$B$84,'New Hires Forecast'!$G$5:$G$84,"&gt;"&amp;'Dev Ops'!BQ3,'New Hires Forecast'!$G$5:$G$84,"&lt;="&amp;'Dev Ops'!BR3,'New Hires Forecast'!$F$5:$F$84,"Dev Ops")</f>
        <v>0</v>
      </c>
      <c r="BS8" s="781">
        <f>SUMIFS('New Hires Forecast'!$B$5:$B$84,'New Hires Forecast'!$G$5:$G$84,"&gt;"&amp;'Dev Ops'!BR3,'New Hires Forecast'!$G$5:$G$84,"&lt;="&amp;'Dev Ops'!BS3,'New Hires Forecast'!$F$5:$F$84,"Dev Ops")</f>
        <v>0</v>
      </c>
      <c r="BT8" s="781">
        <f>SUMIFS('New Hires Forecast'!$B$5:$B$84,'New Hires Forecast'!$G$5:$G$84,"&gt;"&amp;'Dev Ops'!BS3,'New Hires Forecast'!$G$5:$G$84,"&lt;="&amp;'Dev Ops'!BT3,'New Hires Forecast'!$F$5:$F$84,"Dev Ops")</f>
        <v>0</v>
      </c>
      <c r="BU8" s="781">
        <f>SUMIFS('New Hires Forecast'!$B$5:$B$84,'New Hires Forecast'!$G$5:$G$84,"&gt;"&amp;'Dev Ops'!BT3,'New Hires Forecast'!$G$5:$G$84,"&lt;="&amp;'Dev Ops'!BU3,'New Hires Forecast'!$F$5:$F$84,"Dev Ops")</f>
        <v>0</v>
      </c>
      <c r="BV8" s="781">
        <f>SUMIFS('New Hires Forecast'!$B$5:$B$84,'New Hires Forecast'!$G$5:$G$84,"&gt;"&amp;'Dev Ops'!BU3,'New Hires Forecast'!$G$5:$G$84,"&lt;="&amp;'Dev Ops'!BV3,'New Hires Forecast'!$F$5:$F$84,"Dev Ops")</f>
        <v>0</v>
      </c>
    </row>
    <row r="9" spans="2:74" x14ac:dyDescent="0.25">
      <c r="B9" s="777" t="s">
        <v>149</v>
      </c>
      <c r="C9" s="781">
        <f>SUMIFS(Headcount!$B$6:$B$88,Headcount!$H$6:$H$88,"&gt;"&amp;B3,Headcount!$H$6:$H$88,"&lt;="&amp;C3,Headcount!$F$6:$F$88,"Development Operations")</f>
        <v>0</v>
      </c>
      <c r="D9" s="781">
        <f>SUMIFS(Headcount!$B$6:$B$88,Headcount!$H$6:$H$88,"&gt;"&amp;C3,Headcount!$H$6:$H$88,"&lt;="&amp;D3,Headcount!$F$6:$F$88,"Development Operations")</f>
        <v>0</v>
      </c>
      <c r="E9" s="781">
        <f>SUMIFS(Headcount!$B$6:$B$88,Headcount!$H$6:$H$88,"&gt;"&amp;D3,Headcount!$H$6:$H$88,"&lt;="&amp;E3,Headcount!$F$6:$F$88,"Development Operations")</f>
        <v>0</v>
      </c>
      <c r="F9" s="781">
        <f>SUMIFS(Headcount!$B$6:$B$88,Headcount!$H$6:$H$88,"&gt;"&amp;E3,Headcount!$H$6:$H$88,"&lt;="&amp;F3,Headcount!$F$6:$F$88,"Development Operations")</f>
        <v>0</v>
      </c>
      <c r="G9" s="781">
        <f>SUMIFS(Headcount!$B$6:$B$88,Headcount!$H$6:$H$88,"&gt;"&amp;F3,Headcount!$H$6:$H$88,"&lt;="&amp;G3,Headcount!$F$6:$F$88,"Development Operations")</f>
        <v>0</v>
      </c>
      <c r="H9" s="781">
        <f>SUMIFS(Headcount!$B$6:$B$88,Headcount!$H$6:$H$88,"&gt;"&amp;G3,Headcount!$H$6:$H$88,"&lt;="&amp;H3,Headcount!$F$6:$F$88,"Development Operations")</f>
        <v>0</v>
      </c>
      <c r="I9" s="781">
        <f>SUMIFS(Headcount!$B$6:$B$88,Headcount!$H$6:$H$88,"&gt;"&amp;H3,Headcount!$H$6:$H$88,"&lt;="&amp;I3,Headcount!$F$6:$F$88,"Development Operations")</f>
        <v>0</v>
      </c>
      <c r="J9" s="781">
        <f>SUMIFS(Headcount!$B$6:$B$88,Headcount!$H$6:$H$88,"&gt;"&amp;I3,Headcount!$H$6:$H$88,"&lt;="&amp;J3,Headcount!$F$6:$F$88,"Development Operations")</f>
        <v>0</v>
      </c>
      <c r="K9" s="781">
        <f>SUMIFS(Headcount!$B$6:$B$88,Headcount!$H$6:$H$88,"&gt;"&amp;J3,Headcount!$H$6:$H$88,"&lt;="&amp;K3,Headcount!$F$6:$F$88,"Development Operations")</f>
        <v>0</v>
      </c>
      <c r="L9" s="781">
        <f>SUMIFS(Headcount!$B$6:$B$88,Headcount!$H$6:$H$88,"&gt;"&amp;K3,Headcount!$H$6:$H$88,"&lt;="&amp;L3,Headcount!$F$6:$F$88,"Development Operations")</f>
        <v>0</v>
      </c>
      <c r="M9" s="781">
        <f>SUMIFS(Headcount!$B$6:$B$88,Headcount!$H$6:$H$88,"&gt;"&amp;L3,Headcount!$H$6:$H$88,"&lt;="&amp;M3,Headcount!$F$6:$F$88,"Development Operations")</f>
        <v>0</v>
      </c>
      <c r="N9" s="781">
        <f>SUMIFS(Headcount!$B$6:$B$88,Headcount!$H$6:$H$88,"&gt;"&amp;M3,Headcount!$H$6:$H$88,"&lt;="&amp;N3,Headcount!$F$6:$F$88,"Development Operations")</f>
        <v>0</v>
      </c>
      <c r="O9" s="781">
        <f>SUMIFS(Headcount!$B$6:$B$88,Headcount!$H$6:$H$88,"&gt;"&amp;N3,Headcount!$H$6:$H$88,"&lt;="&amp;O3,Headcount!$F$6:$F$88,"Development Operations")</f>
        <v>0</v>
      </c>
      <c r="P9" s="781">
        <f>SUMIFS(Headcount!$B$6:$B$88,Headcount!$H$6:$H$88,"&gt;"&amp;O3,Headcount!$H$6:$H$88,"&lt;="&amp;P3,Headcount!$F$6:$F$88,"Development Operations")</f>
        <v>0</v>
      </c>
      <c r="Q9" s="781">
        <f>SUMIFS(Headcount!$B$6:$B$88,Headcount!$H$6:$H$88,"&gt;"&amp;P3,Headcount!$H$6:$H$88,"&lt;="&amp;Q3,Headcount!$F$6:$F$88,"Development Operations")</f>
        <v>0</v>
      </c>
      <c r="R9" s="781">
        <f>SUMIFS(Headcount!$B$6:$B$88,Headcount!$H$6:$H$88,"&gt;"&amp;Q3,Headcount!$H$6:$H$88,"&lt;="&amp;R3,Headcount!$F$6:$F$88,"Development Operations")</f>
        <v>0</v>
      </c>
      <c r="S9" s="781">
        <f>SUMIFS(Headcount!$B$6:$B$88,Headcount!$H$6:$H$88,"&gt;"&amp;R3,Headcount!$H$6:$H$88,"&lt;="&amp;S3,Headcount!$F$6:$F$88,"Development Operations")</f>
        <v>0</v>
      </c>
      <c r="T9" s="781">
        <f>SUMIFS(Headcount!$B$6:$B$88,Headcount!$H$6:$H$88,"&gt;"&amp;S3,Headcount!$H$6:$H$88,"&lt;="&amp;T3,Headcount!$F$6:$F$88,"Development Operations")</f>
        <v>1</v>
      </c>
      <c r="U9" s="781">
        <f>SUMIFS(Headcount!$B$6:$B$88,Headcount!$H$6:$H$88,"&gt;"&amp;T3,Headcount!$H$6:$H$88,"&lt;="&amp;U3,Headcount!$F$6:$F$88,"Development Operations")</f>
        <v>0</v>
      </c>
      <c r="V9" s="781">
        <f>SUMIFS(Headcount!$B$6:$B$88,Headcount!$H$6:$H$88,"&gt;"&amp;U3,Headcount!$H$6:$H$88,"&lt;="&amp;V3,Headcount!$F$6:$F$88,"Development Operations")</f>
        <v>0</v>
      </c>
      <c r="W9" s="781">
        <f>SUMIFS(Headcount!$B$6:$B$88,Headcount!$H$6:$H$88,"&gt;"&amp;V3,Headcount!$H$6:$H$88,"&lt;="&amp;W3,Headcount!$F$6:$F$88,"Development Operations")</f>
        <v>0</v>
      </c>
      <c r="X9" s="781">
        <f>SUMIFS(Headcount!$B$6:$B$88,Headcount!$H$6:$H$88,"&gt;"&amp;W3,Headcount!$H$6:$H$88,"&lt;="&amp;X3,Headcount!$F$6:$F$88,"Development Operations")</f>
        <v>0</v>
      </c>
      <c r="Y9" s="781">
        <f>SUMIFS(Headcount!$B$6:$B$88,Headcount!$H$6:$H$88,"&gt;"&amp;X3,Headcount!$H$6:$H$88,"&lt;="&amp;Y3,Headcount!$F$6:$F$88,"Development Operations")</f>
        <v>0</v>
      </c>
      <c r="Z9" s="781">
        <f>SUMIFS(Headcount!$B$6:$B$88,Headcount!$H$6:$H$88,"&gt;"&amp;Y3,Headcount!$H$6:$H$88,"&lt;="&amp;Z3,Headcount!$F$6:$F$88,"Development Operations")</f>
        <v>0</v>
      </c>
      <c r="AA9" s="781">
        <f>SUMIFS(Headcount!$B$6:$B$88,Headcount!$H$6:$H$88,"&gt;"&amp;Z3,Headcount!$H$6:$H$88,"&lt;="&amp;AA3,Headcount!$F$6:$F$88,"Development Operations")</f>
        <v>0</v>
      </c>
      <c r="AB9" s="781">
        <f>SUMIFS(Headcount!$B$6:$B$88,Headcount!$H$6:$H$88,"&gt;"&amp;AA3,Headcount!$H$6:$H$88,"&lt;="&amp;AB3,Headcount!$F$6:$F$88,"Development Operations")</f>
        <v>0</v>
      </c>
      <c r="AC9" s="781">
        <f>SUMIFS(Headcount!$B$6:$B$88,Headcount!$H$6:$H$88,"&gt;"&amp;AB3,Headcount!$H$6:$H$88,"&lt;="&amp;AC3,Headcount!$F$6:$F$88,"Development Operations")</f>
        <v>1</v>
      </c>
      <c r="AD9" s="781">
        <f>SUMIFS(Headcount!$B$6:$B$88,Headcount!$H$6:$H$88,"&gt;"&amp;AC3,Headcount!$H$6:$H$88,"&lt;="&amp;AD3,Headcount!$F$6:$F$88,"Development Operations")</f>
        <v>0</v>
      </c>
      <c r="AE9" s="781">
        <f>SUMIFS(Headcount!$B$6:$B$88,Headcount!$H$6:$H$88,"&gt;"&amp;AD3,Headcount!$H$6:$H$88,"&lt;="&amp;AE3,Headcount!$F$6:$F$88,"Development Operations")</f>
        <v>0</v>
      </c>
      <c r="AF9" s="781">
        <f>SUMIFS(Headcount!$B$6:$B$88,Headcount!$H$6:$H$88,"&gt;"&amp;AE3,Headcount!$H$6:$H$88,"&lt;="&amp;AF3,Headcount!$F$6:$F$88,"Development Operations")</f>
        <v>0</v>
      </c>
      <c r="AG9" s="781">
        <f>SUMIFS(Headcount!$B$6:$B$88,Headcount!$H$6:$H$88,"&gt;"&amp;AF3,Headcount!$H$6:$H$88,"&lt;="&amp;AG3,Headcount!$F$6:$F$88,"Development Operations")</f>
        <v>0</v>
      </c>
      <c r="AH9" s="781">
        <f>SUMIFS(Headcount!$B$6:$B$88,Headcount!$H$6:$H$88,"&gt;"&amp;AG3,Headcount!$H$6:$H$88,"&lt;="&amp;AH3,Headcount!$F$6:$F$88,"Development Operations")</f>
        <v>0</v>
      </c>
      <c r="AI9" s="781">
        <f>SUMIFS(Headcount!$B$6:$B$88,Headcount!$H$6:$H$88,"&gt;"&amp;AH3,Headcount!$H$6:$H$88,"&lt;="&amp;AI3,Headcount!$F$6:$F$88,"Development Operations")</f>
        <v>0</v>
      </c>
      <c r="AJ9" s="781">
        <f>SUMIFS(Headcount!$B$6:$B$88,Headcount!$H$6:$H$88,"&gt;"&amp;AI3,Headcount!$H$6:$H$88,"&lt;="&amp;AJ3,Headcount!$F$6:$F$88,"Development Operations")</f>
        <v>0</v>
      </c>
      <c r="AK9" s="781">
        <f>SUMIFS(Headcount!$B$6:$B$88,Headcount!$H$6:$H$88,"&gt;"&amp;AJ3,Headcount!$H$6:$H$88,"&lt;="&amp;AK3,Headcount!$F$6:$F$88,"Development Operations")</f>
        <v>0</v>
      </c>
      <c r="AL9" s="781">
        <f>SUMIFS(Headcount!$B$6:$B$88,Headcount!$H$6:$H$88,"&gt;"&amp;AK3,Headcount!$H$6:$H$88,"&lt;="&amp;AL3,Headcount!$F$6:$F$88,"Development Operations")</f>
        <v>0</v>
      </c>
      <c r="AM9" s="781">
        <f>SUMIFS(Headcount!$B$6:$B$88,Headcount!$H$6:$H$88,"&gt;"&amp;AL3,Headcount!$H$6:$H$88,"&lt;="&amp;AM3,Headcount!$F$6:$F$88,"Development Operations")</f>
        <v>3</v>
      </c>
      <c r="AN9" s="781">
        <f>SUMIFS(Headcount!$B$6:$B$88,Headcount!$H$6:$H$88,"&gt;"&amp;AM3,Headcount!$H$6:$H$88,"&lt;="&amp;AN3,Headcount!$F$6:$F$88,"Development Operations")</f>
        <v>0</v>
      </c>
      <c r="AO9" s="781">
        <f>SUMIFS(Headcount!$B$6:$B$88,Headcount!$H$6:$H$88,"&gt;"&amp;AN3,Headcount!$H$6:$H$88,"&lt;="&amp;AO3,Headcount!$F$6:$F$88,"Development Operations")</f>
        <v>0</v>
      </c>
      <c r="AP9" s="781">
        <f>SUMIFS(Headcount!$B$6:$B$88,Headcount!$H$6:$H$88,"&gt;"&amp;AO3,Headcount!$H$6:$H$88,"&lt;="&amp;AP3,Headcount!$F$6:$F$88,"Development Operations")</f>
        <v>0</v>
      </c>
      <c r="AQ9" s="781">
        <f>SUMIFS(Headcount!$B$6:$B$88,Headcount!$H$6:$H$88,"&gt;"&amp;AP3,Headcount!$H$6:$H$88,"&lt;="&amp;AQ3,Headcount!$F$6:$F$88,"Development Operations")</f>
        <v>0</v>
      </c>
      <c r="AR9" s="781">
        <f>SUMIFS(Headcount!$B$6:$B$88,Headcount!$H$6:$H$88,"&gt;"&amp;AQ3,Headcount!$H$6:$H$88,"&lt;="&amp;AR3,Headcount!$F$6:$F$88,"Development Operations")</f>
        <v>0</v>
      </c>
      <c r="AS9" s="781">
        <f>SUMIFS(Headcount!$B$6:$B$88,Headcount!$H$6:$H$88,"&gt;"&amp;AR3,Headcount!$H$6:$H$88,"&lt;="&amp;AS3,Headcount!$F$6:$F$88,"Development Operations")</f>
        <v>0</v>
      </c>
      <c r="AT9" s="781">
        <f>SUMIFS(Headcount!$B$6:$B$88,Headcount!$H$6:$H$88,"&gt;"&amp;AS3,Headcount!$H$6:$H$88,"&lt;="&amp;AT3,Headcount!$F$6:$F$88,"Development Operations")</f>
        <v>0</v>
      </c>
      <c r="AU9" s="781">
        <f>SUMIFS(Headcount!$B$6:$B$88,Headcount!$H$6:$H$88,"&gt;"&amp;AT3,Headcount!$H$6:$H$88,"&lt;="&amp;AU3,Headcount!$F$6:$F$88,"Development Operations")</f>
        <v>0</v>
      </c>
      <c r="AV9" s="781">
        <f>SUMIFS(Headcount!$B$6:$B$88,Headcount!$H$6:$H$88,"&gt;"&amp;AU3,Headcount!$H$6:$H$88,"&lt;="&amp;AV3,Headcount!$F$6:$F$88,"Development Operations")</f>
        <v>0</v>
      </c>
      <c r="AW9" s="781">
        <f>SUMIFS(Headcount!$B$6:$B$88,Headcount!$H$6:$H$88,"&gt;"&amp;AV3,Headcount!$H$6:$H$88,"&lt;="&amp;AW3,Headcount!$F$6:$F$88,"Development Operations")</f>
        <v>0</v>
      </c>
      <c r="AX9" s="781">
        <f>SUMIFS(Headcount!$B$6:$B$88,Headcount!$H$6:$H$88,"&gt;"&amp;AW3,Headcount!$H$6:$H$88,"&lt;="&amp;AX3,Headcount!$F$6:$F$88,"Development Operations")</f>
        <v>0</v>
      </c>
      <c r="AY9" s="781">
        <f>SUMIFS(Headcount!$B$6:$B$88,Headcount!$H$6:$H$88,"&gt;"&amp;AX3,Headcount!$H$6:$H$88,"&lt;="&amp;AY3,Headcount!$F$6:$F$88,"Development Operations")</f>
        <v>0</v>
      </c>
      <c r="AZ9" s="781">
        <f>SUMIFS(Headcount!$B$6:$B$88,Headcount!$H$6:$H$88,"&gt;"&amp;AY3,Headcount!$H$6:$H$88,"&lt;="&amp;AZ3,Headcount!$F$6:$F$88,"Development Operations")</f>
        <v>0</v>
      </c>
      <c r="BA9" s="781">
        <f>SUMIFS(Headcount!$B$6:$B$88,Headcount!$H$6:$H$88,"&gt;"&amp;AZ3,Headcount!$H$6:$H$88,"&lt;="&amp;BA3,Headcount!$F$6:$F$88,"Development Operations")</f>
        <v>0</v>
      </c>
      <c r="BB9" s="781">
        <f>SUMIFS(Headcount!$B$6:$B$88,Headcount!$H$6:$H$88,"&gt;"&amp;BA3,Headcount!$H$6:$H$88,"&lt;="&amp;BB3,Headcount!$F$6:$F$88,"Development Operations")</f>
        <v>0</v>
      </c>
      <c r="BC9" s="781">
        <f>SUMIFS(Headcount!$B$6:$B$88,Headcount!$H$6:$H$88,"&gt;"&amp;BB3,Headcount!$H$6:$H$88,"&lt;="&amp;BC3,Headcount!$F$6:$F$88,"Development Operations")</f>
        <v>0</v>
      </c>
      <c r="BD9" s="781">
        <f>SUMIFS(Headcount!$B$6:$B$88,Headcount!$H$6:$H$88,"&gt;"&amp;BC3,Headcount!$H$6:$H$88,"&lt;="&amp;BD3,Headcount!$F$6:$F$88,"Development Operations")</f>
        <v>0</v>
      </c>
      <c r="BE9" s="781">
        <f>SUMIFS(Headcount!$B$6:$B$88,Headcount!$H$6:$H$88,"&gt;"&amp;BD3,Headcount!$H$6:$H$88,"&lt;="&amp;BE3,Headcount!$F$6:$F$88,"Development Operations")</f>
        <v>0</v>
      </c>
      <c r="BF9" s="781">
        <f>SUMIFS(Headcount!$B$6:$B$88,Headcount!$H$6:$H$88,"&gt;"&amp;BE3,Headcount!$H$6:$H$88,"&lt;="&amp;BF3,Headcount!$F$6:$F$88,"Development Operations")</f>
        <v>0</v>
      </c>
      <c r="BG9" s="781">
        <f>SUMIFS(Headcount!$B$6:$B$88,Headcount!$H$6:$H$88,"&gt;"&amp;BF3,Headcount!$H$6:$H$88,"&lt;="&amp;BG3,Headcount!$F$6:$F$88,"Development Operations")</f>
        <v>0</v>
      </c>
      <c r="BH9" s="781">
        <f>SUMIFS(Headcount!$B$6:$B$88,Headcount!$H$6:$H$88,"&gt;"&amp;BG3,Headcount!$H$6:$H$88,"&lt;="&amp;BH3,Headcount!$F$6:$F$88,"Development Operations")</f>
        <v>0</v>
      </c>
      <c r="BI9" s="781">
        <f>SUMIFS(Headcount!$B$6:$B$88,Headcount!$H$6:$H$88,"&gt;"&amp;BH3,Headcount!$H$6:$H$88,"&lt;="&amp;BI3,Headcount!$F$6:$F$88,"Development Operations")</f>
        <v>0</v>
      </c>
      <c r="BJ9" s="781">
        <f>SUMIFS(Headcount!$B$6:$B$88,Headcount!$H$6:$H$88,"&gt;"&amp;BI3,Headcount!$H$6:$H$88,"&lt;="&amp;BJ3,Headcount!$F$6:$F$88,"Development Operations")</f>
        <v>0</v>
      </c>
      <c r="BK9" s="781">
        <f>SUMIFS(Headcount!$B$6:$B$88,Headcount!$H$6:$H$88,"&gt;"&amp;BJ3,Headcount!$H$6:$H$88,"&lt;="&amp;BK3,Headcount!$F$6:$F$88,"Development Operations")</f>
        <v>0</v>
      </c>
      <c r="BL9" s="781">
        <f>SUMIFS(Headcount!$B$6:$B$88,Headcount!$H$6:$H$88,"&gt;"&amp;BK3,Headcount!$H$6:$H$88,"&lt;="&amp;BL3,Headcount!$F$6:$F$88,"Development Operations")</f>
        <v>0</v>
      </c>
      <c r="BM9" s="781">
        <f>SUMIFS(Headcount!$B$6:$B$88,Headcount!$H$6:$H$88,"&gt;"&amp;BL3,Headcount!$H$6:$H$88,"&lt;="&amp;BM3,Headcount!$F$6:$F$88,"Development Operations")</f>
        <v>0</v>
      </c>
      <c r="BN9" s="781">
        <f>SUMIFS(Headcount!$B$6:$B$88,Headcount!$H$6:$H$88,"&gt;"&amp;BM3,Headcount!$H$6:$H$88,"&lt;="&amp;BN3,Headcount!$F$6:$F$88,"Development Operations")</f>
        <v>0</v>
      </c>
      <c r="BO9" s="781">
        <f>SUMIFS(Headcount!$B$6:$B$88,Headcount!$H$6:$H$88,"&gt;"&amp;BN3,Headcount!$H$6:$H$88,"&lt;="&amp;BO3,Headcount!$F$6:$F$88,"Development Operations")</f>
        <v>0</v>
      </c>
      <c r="BP9" s="781">
        <f>SUMIFS(Headcount!$B$6:$B$88,Headcount!$H$6:$H$88,"&gt;"&amp;BO3,Headcount!$H$6:$H$88,"&lt;="&amp;BP3,Headcount!$F$6:$F$88,"Development Operations")</f>
        <v>0</v>
      </c>
      <c r="BQ9" s="781">
        <f>SUMIFS(Headcount!$B$6:$B$88,Headcount!$H$6:$H$88,"&gt;"&amp;BP3,Headcount!$H$6:$H$88,"&lt;="&amp;BQ3,Headcount!$F$6:$F$88,"Development Operations")</f>
        <v>0</v>
      </c>
      <c r="BR9" s="781">
        <f>SUMIFS(Headcount!$B$6:$B$88,Headcount!$H$6:$H$88,"&gt;"&amp;BQ3,Headcount!$H$6:$H$88,"&lt;="&amp;BR3,Headcount!$F$6:$F$88,"Development Operations")</f>
        <v>0</v>
      </c>
      <c r="BS9" s="781">
        <f>SUMIFS(Headcount!$B$6:$B$88,Headcount!$H$6:$H$88,"&gt;"&amp;BR3,Headcount!$H$6:$H$88,"&lt;="&amp;BS3,Headcount!$F$6:$F$88,"Development Operations")</f>
        <v>0</v>
      </c>
      <c r="BT9" s="781">
        <f>SUMIFS(Headcount!$B$6:$B$88,Headcount!$H$6:$H$88,"&gt;"&amp;BS3,Headcount!$H$6:$H$88,"&lt;="&amp;BT3,Headcount!$F$6:$F$88,"Development Operations")</f>
        <v>0</v>
      </c>
      <c r="BU9" s="781">
        <f>SUMIFS(Headcount!$B$6:$B$88,Headcount!$H$6:$H$88,"&gt;"&amp;BT3,Headcount!$H$6:$H$88,"&lt;="&amp;BU3,Headcount!$F$6:$F$88,"Development Operations")</f>
        <v>0</v>
      </c>
      <c r="BV9" s="781">
        <f>SUMIFS(Headcount!$B$6:$B$88,Headcount!$H$6:$H$88,"&gt;"&amp;BU3,Headcount!$H$6:$H$88,"&lt;="&amp;BV3,Headcount!$F$6:$F$88,"Development Operations")</f>
        <v>0</v>
      </c>
    </row>
    <row r="10" spans="2:74" x14ac:dyDescent="0.25">
      <c r="B10" s="783"/>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784"/>
    </row>
    <row r="11" spans="2:74" x14ac:dyDescent="0.25">
      <c r="B11" s="785" t="s">
        <v>926</v>
      </c>
      <c r="C11" s="786"/>
      <c r="D11" s="786"/>
      <c r="E11" s="786"/>
      <c r="F11" s="786"/>
      <c r="G11" s="786"/>
      <c r="H11" s="786"/>
      <c r="I11" s="786"/>
      <c r="J11" s="786"/>
      <c r="K11" s="786"/>
      <c r="L11" s="786"/>
      <c r="M11" s="786"/>
      <c r="N11" s="786"/>
      <c r="O11" s="787"/>
      <c r="P11" s="787"/>
      <c r="Q11" s="787"/>
      <c r="R11" s="787"/>
      <c r="S11" s="787"/>
      <c r="T11" s="787"/>
      <c r="U11" s="787"/>
      <c r="V11" s="787"/>
      <c r="W11" s="787"/>
      <c r="X11" s="787"/>
      <c r="Y11" s="787"/>
      <c r="Z11" s="787"/>
      <c r="AA11" s="787"/>
      <c r="AB11" s="787"/>
      <c r="AC11" s="787"/>
      <c r="AD11" s="787"/>
      <c r="AE11" s="787"/>
      <c r="AF11" s="787"/>
      <c r="AG11" s="787"/>
      <c r="AH11" s="787"/>
      <c r="AI11" s="787"/>
      <c r="AJ11" s="787"/>
      <c r="AK11" s="787"/>
      <c r="AL11" s="787"/>
      <c r="AM11" s="787"/>
      <c r="AN11" s="787"/>
      <c r="AO11" s="787"/>
      <c r="AP11" s="787"/>
      <c r="AQ11" s="787"/>
      <c r="AR11" s="787"/>
      <c r="AS11" s="787"/>
      <c r="AT11" s="787"/>
      <c r="AU11" s="787"/>
      <c r="AV11" s="787"/>
      <c r="AW11" s="787"/>
      <c r="AX11" s="787"/>
      <c r="AY11" s="787"/>
      <c r="AZ11" s="787"/>
      <c r="BA11" s="787"/>
      <c r="BB11" s="787"/>
      <c r="BC11" s="787"/>
      <c r="BD11" s="787"/>
      <c r="BE11" s="787"/>
      <c r="BF11" s="787"/>
      <c r="BG11" s="787"/>
      <c r="BH11" s="787"/>
      <c r="BI11" s="787"/>
      <c r="BJ11" s="787"/>
      <c r="BK11" s="787"/>
      <c r="BL11" s="787"/>
      <c r="BM11" s="787"/>
      <c r="BN11" s="787"/>
      <c r="BO11" s="787"/>
      <c r="BP11" s="787"/>
      <c r="BQ11" s="787"/>
      <c r="BR11" s="787"/>
      <c r="BS11" s="787"/>
      <c r="BT11" s="787"/>
      <c r="BU11" s="787"/>
      <c r="BV11" s="788"/>
    </row>
    <row r="12" spans="2:74" x14ac:dyDescent="0.25">
      <c r="B12" s="780" t="s">
        <v>927</v>
      </c>
      <c r="C12" s="1139">
        <f>IF(C$4="forecast",IF(YEAR(C$3)=YEAR(Headcount!$N$4),((SUMIFS(Headcount!$N$6:$N$89,Headcount!$F$6:$F$89,"Development Operations",Headcount!$H$6:$H$89,"&gt;="&amp;Sales!C$3)/12)),IF(YEAR(C$3)=YEAR(Headcount!$O$4),IF((C$5=2),((SUMIFS(Headcount!$O$6:$O$89,Headcount!$F$6:$F$89,"Development Operations",Headcount!$H$6:$H$89,"&gt;="&amp;Sales!C$3)/12)),B12),IF(YEAR(C$3)=YEAR(Headcount!$P$4),IF((C$5=2),((SUMIFS(Headcount!$P$6:$P$89,Headcount!$F$6:$F$89,"Development Operations",Headcount!$H$6:$H$89,"&gt;="&amp;Sales!C$3)/12)),B12),IF(YEAR(C$3)=YEAR(Headcount!$Q$4),IF((C$5=2),((SUMIFS(Headcount!$Q$6:$Q$89,Headcount!$F$6:$F$89,"Development Operations",Headcount!$H$6:$H$89,"&gt;="&amp;Sales!C$3)/12)),B12),IF(YEAR(C$3)=YEAR(Headcount!$R$4),IF((C$5=2),((SUMIFS(Headcount!$R$6:$R$89,Headcount!$F$6:$F$89,"Development Operations",Headcount!$H$6:$H$89,"&gt;="&amp;Sales!C$3)/12)),B12),"New Year"))))),SUMIF('Dept. Cost Actuals'!$E$7:$E$176,"*salary*",'Dept. Cost Actuals'!G$703:G$872))</f>
        <v>18307.68</v>
      </c>
      <c r="D12" s="1139">
        <f>IF(D$4="forecast",IF(YEAR(D$3)=YEAR(Headcount!$N$4),((SUMIFS(Headcount!$N$6:$N$89,Headcount!$F$6:$F$89,"Development Operations",Headcount!$H$6:$H$89,"&gt;="&amp;Sales!D$3)/12)),IF(YEAR(D$3)=YEAR(Headcount!$O$4),IF((D$5=2),((SUMIFS(Headcount!$O$6:$O$89,Headcount!$F$6:$F$89,"Development Operations",Headcount!$H$6:$H$89,"&gt;="&amp;Sales!D$3)/12)),C12),IF(YEAR(D$3)=YEAR(Headcount!$P$4),IF((D$5=2),((SUMIFS(Headcount!$P$6:$P$89,Headcount!$F$6:$F$89,"Development Operations",Headcount!$H$6:$H$89,"&gt;="&amp;Sales!D$3)/12)),C12),IF(YEAR(D$3)=YEAR(Headcount!$Q$4),IF((D$5=2),((SUMIFS(Headcount!$Q$6:$Q$89,Headcount!$F$6:$F$89,"Development Operations",Headcount!$H$6:$H$89,"&gt;="&amp;Sales!D$3)/12)),C12),IF(YEAR(D$3)=YEAR(Headcount!$R$4),IF((D$5=2),((SUMIFS(Headcount!$R$6:$R$89,Headcount!$F$6:$F$89,"Development Operations",Headcount!$H$6:$H$89,"&gt;="&amp;Sales!D$3)/12)),C12),"New Year"))))),SUMIF('Dept. Cost Actuals'!$E$7:$E$176,"*salary*",'Dept. Cost Actuals'!H$703:H$872))</f>
        <v>18307.68</v>
      </c>
      <c r="E12" s="1139">
        <f>IF(E$4="forecast",IF(YEAR(E$3)=YEAR(Headcount!$N$4),((SUMIFS(Headcount!$N$6:$N$89,Headcount!$F$6:$F$89,"Development Operations",Headcount!$H$6:$H$89,"&gt;="&amp;Sales!E$3)/12)),IF(YEAR(E$3)=YEAR(Headcount!$O$4),IF((E$5=2),((SUMIFS(Headcount!$O$6:$O$89,Headcount!$F$6:$F$89,"Development Operations",Headcount!$H$6:$H$89,"&gt;="&amp;Sales!E$3)/12)),D12),IF(YEAR(E$3)=YEAR(Headcount!$P$4),IF((E$5=2),((SUMIFS(Headcount!$P$6:$P$89,Headcount!$F$6:$F$89,"Development Operations",Headcount!$H$6:$H$89,"&gt;="&amp;Sales!E$3)/12)),D12),IF(YEAR(E$3)=YEAR(Headcount!$Q$4),IF((E$5=2),((SUMIFS(Headcount!$Q$6:$Q$89,Headcount!$F$6:$F$89,"Development Operations",Headcount!$H$6:$H$89,"&gt;="&amp;Sales!E$3)/12)),D12),IF(YEAR(E$3)=YEAR(Headcount!$R$4),IF((E$5=2),((SUMIFS(Headcount!$R$6:$R$89,Headcount!$F$6:$F$89,"Development Operations",Headcount!$H$6:$H$89,"&gt;="&amp;Sales!E$3)/12)),D12),"New Year"))))),SUMIF('Dept. Cost Actuals'!$E$7:$E$176,"*salary*",'Dept. Cost Actuals'!I$703:I$872))</f>
        <v>18307.68</v>
      </c>
      <c r="F12" s="1139">
        <f>IF(F$4="forecast",IF(YEAR(F$3)=YEAR(Headcount!$N$4),((SUMIFS(Headcount!$N$6:$N$89,Headcount!$F$6:$F$89,"Development Operations",Headcount!$H$6:$H$89,"&gt;="&amp;Sales!F$3)/12)),IF(YEAR(F$3)=YEAR(Headcount!$O$4),IF((F$5=2),((SUMIFS(Headcount!$O$6:$O$89,Headcount!$F$6:$F$89,"Development Operations",Headcount!$H$6:$H$89,"&gt;="&amp;Sales!F$3)/12)),E12),IF(YEAR(F$3)=YEAR(Headcount!$P$4),IF((F$5=2),((SUMIFS(Headcount!$P$6:$P$89,Headcount!$F$6:$F$89,"Development Operations",Headcount!$H$6:$H$89,"&gt;="&amp;Sales!F$3)/12)),E12),IF(YEAR(F$3)=YEAR(Headcount!$Q$4),IF((F$5=2),((SUMIFS(Headcount!$Q$6:$Q$89,Headcount!$F$6:$F$89,"Development Operations",Headcount!$H$6:$H$89,"&gt;="&amp;Sales!F$3)/12)),E12),IF(YEAR(F$3)=YEAR(Headcount!$R$4),IF((F$5=2),((SUMIFS(Headcount!$R$6:$R$89,Headcount!$F$6:$F$89,"Development Operations",Headcount!$H$6:$H$89,"&gt;="&amp;Sales!F$3)/12)),E12),"New Year"))))),SUMIF('Dept. Cost Actuals'!$E$7:$E$176,"*salary*",'Dept. Cost Actuals'!J$703:J$872))</f>
        <v>20442.310000000001</v>
      </c>
      <c r="G12" s="1139">
        <f>IF(G$4="forecast",IF(YEAR(G$3)=YEAR(Headcount!$N$4),((SUMIFS(Headcount!$N$6:$N$89,Headcount!$F$6:$F$89,"Development Operations",Headcount!$H$6:$H$89,"&gt;="&amp;Sales!G$3)/12)),IF(YEAR(G$3)=YEAR(Headcount!$O$4),IF((G$5=2),((SUMIFS(Headcount!$O$6:$O$89,Headcount!$F$6:$F$89,"Development Operations",Headcount!$H$6:$H$89,"&gt;="&amp;Sales!G$3)/12)),F12),IF(YEAR(G$3)=YEAR(Headcount!$P$4),IF((G$5=2),((SUMIFS(Headcount!$P$6:$P$89,Headcount!$F$6:$F$89,"Development Operations",Headcount!$H$6:$H$89,"&gt;="&amp;Sales!G$3)/12)),F12),IF(YEAR(G$3)=YEAR(Headcount!$Q$4),IF((G$5=2),((SUMIFS(Headcount!$Q$6:$Q$89,Headcount!$F$6:$F$89,"Development Operations",Headcount!$H$6:$H$89,"&gt;="&amp;Sales!G$3)/12)),F12),IF(YEAR(G$3)=YEAR(Headcount!$R$4),IF((G$5=2),((SUMIFS(Headcount!$R$6:$R$89,Headcount!$F$6:$F$89,"Development Operations",Headcount!$H$6:$H$89,"&gt;="&amp;Sales!G$3)/12)),F12),"New Year"))))),SUMIF('Dept. Cost Actuals'!$E$7:$E$176,"*salary*",'Dept. Cost Actuals'!K$703:K$872))</f>
        <v>20486.919999999998</v>
      </c>
      <c r="H12" s="1139">
        <f>IF(H$4="forecast",IF(YEAR(H$3)=YEAR(Headcount!$N$4),((SUMIFS(Headcount!$N$6:$N$89,Headcount!$F$6:$F$89,"Development Operations",Headcount!$H$6:$H$89,"&gt;="&amp;Sales!H$3)/12)),IF(YEAR(H$3)=YEAR(Headcount!$O$4),IF((H$5=2),((SUMIFS(Headcount!$O$6:$O$89,Headcount!$F$6:$F$89,"Development Operations",Headcount!$H$6:$H$89,"&gt;="&amp;Sales!H$3)/12)),G12),IF(YEAR(H$3)=YEAR(Headcount!$P$4),IF((H$5=2),((SUMIFS(Headcount!$P$6:$P$89,Headcount!$F$6:$F$89,"Development Operations",Headcount!$H$6:$H$89,"&gt;="&amp;Sales!H$3)/12)),G12),IF(YEAR(H$3)=YEAR(Headcount!$Q$4),IF((H$5=2),((SUMIFS(Headcount!$Q$6:$Q$89,Headcount!$F$6:$F$89,"Development Operations",Headcount!$H$6:$H$89,"&gt;="&amp;Sales!H$3)/12)),G12),IF(YEAR(H$3)=YEAR(Headcount!$R$4),IF((H$5=2),((SUMIFS(Headcount!$R$6:$R$89,Headcount!$F$6:$F$89,"Development Operations",Headcount!$H$6:$H$89,"&gt;="&amp;Sales!H$3)/12)),G12),"New Year"))))),SUMIF('Dept. Cost Actuals'!$E$7:$E$176,"*salary*",'Dept. Cost Actuals'!L$703:L$872))</f>
        <v>28730.76</v>
      </c>
      <c r="I12" s="1139">
        <f>IF(I$4="forecast",IF(YEAR(I$3)=YEAR(Headcount!$N$4),((SUMIFS(Headcount!$N$6:$N$89,Headcount!$F$6:$F$89,"Development Operations",Headcount!$H$6:$H$89,"&gt;="&amp;Sales!I$3)/12)),IF(YEAR(I$3)=YEAR(Headcount!$O$4),IF((I$5=2),((SUMIFS(Headcount!$O$6:$O$89,Headcount!$F$6:$F$89,"Development Operations",Headcount!$H$6:$H$89,"&gt;="&amp;Sales!I$3)/12)),H12),IF(YEAR(I$3)=YEAR(Headcount!$P$4),IF((I$5=2),((SUMIFS(Headcount!$P$6:$P$89,Headcount!$F$6:$F$89,"Development Operations",Headcount!$H$6:$H$89,"&gt;="&amp;Sales!I$3)/12)),H12),IF(YEAR(I$3)=YEAR(Headcount!$Q$4),IF((I$5=2),((SUMIFS(Headcount!$Q$6:$Q$89,Headcount!$F$6:$F$89,"Development Operations",Headcount!$H$6:$H$89,"&gt;="&amp;Sales!I$3)/12)),H12),IF(YEAR(I$3)=YEAR(Headcount!$R$4),IF((I$5=2),((SUMIFS(Headcount!$R$6:$R$89,Headcount!$F$6:$F$89,"Development Operations",Headcount!$H$6:$H$89,"&gt;="&amp;Sales!I$3)/12)),H12),"New Year"))))),SUMIF('Dept. Cost Actuals'!$E$7:$E$176,"*salary*",'Dept. Cost Actuals'!M$703:M$872))</f>
        <v>19153.84</v>
      </c>
      <c r="J12" s="1139">
        <f>IF(J$4="forecast",IF(YEAR(J$3)=YEAR(Headcount!$N$4),((SUMIFS(Headcount!$N$6:$N$89,Headcount!$F$6:$F$89,"Development Operations",Headcount!$H$6:$H$89,"&gt;="&amp;Sales!J$3)/12)),IF(YEAR(J$3)=YEAR(Headcount!$O$4),IF((J$5=2),((SUMIFS(Headcount!$O$6:$O$89,Headcount!$F$6:$F$89,"Development Operations",Headcount!$H$6:$H$89,"&gt;="&amp;Sales!J$3)/12)),I12),IF(YEAR(J$3)=YEAR(Headcount!$P$4),IF((J$5=2),((SUMIFS(Headcount!$P$6:$P$89,Headcount!$F$6:$F$89,"Development Operations",Headcount!$H$6:$H$89,"&gt;="&amp;Sales!J$3)/12)),I12),IF(YEAR(J$3)=YEAR(Headcount!$Q$4),IF((J$5=2),((SUMIFS(Headcount!$Q$6:$Q$89,Headcount!$F$6:$F$89,"Development Operations",Headcount!$H$6:$H$89,"&gt;="&amp;Sales!J$3)/12)),I12),IF(YEAR(J$3)=YEAR(Headcount!$R$4),IF((J$5=2),((SUMIFS(Headcount!$R$6:$R$89,Headcount!$F$6:$F$89,"Development Operations",Headcount!$H$6:$H$89,"&gt;="&amp;Sales!J$3)/12)),I12),"New Year"))))),SUMIF('Dept. Cost Actuals'!$E$7:$E$176,"*salary*",'Dept. Cost Actuals'!N$703:N$872))</f>
        <v>22990.11</v>
      </c>
      <c r="K12" s="1139">
        <f>IF(K$4="forecast",IF(YEAR(K$3)=YEAR(Headcount!$N$4),((SUMIFS(Headcount!$N$6:$N$89,Headcount!$F$6:$F$89,"Development Operations",Headcount!$H$6:$H$89,"&gt;="&amp;Sales!K$3)/12)),IF(YEAR(K$3)=YEAR(Headcount!$O$4),IF((K$5=2),((SUMIFS(Headcount!$O$6:$O$89,Headcount!$F$6:$F$89,"Development Operations",Headcount!$H$6:$H$89,"&gt;="&amp;Sales!K$3)/12)),J12),IF(YEAR(K$3)=YEAR(Headcount!$P$4),IF((K$5=2),((SUMIFS(Headcount!$P$6:$P$89,Headcount!$F$6:$F$89,"Development Operations",Headcount!$H$6:$H$89,"&gt;="&amp;Sales!K$3)/12)),J12),IF(YEAR(K$3)=YEAR(Headcount!$Q$4),IF((K$5=2),((SUMIFS(Headcount!$Q$6:$Q$89,Headcount!$F$6:$F$89,"Development Operations",Headcount!$H$6:$H$89,"&gt;="&amp;Sales!K$3)/12)),J12),IF(YEAR(K$3)=YEAR(Headcount!$R$4),IF((K$5=2),((SUMIFS(Headcount!$R$6:$R$89,Headcount!$F$6:$F$89,"Development Operations",Headcount!$H$6:$H$89,"&gt;="&amp;Sales!K$3)/12)),J12),"New Year"))))),SUMIF('Dept. Cost Actuals'!$E$7:$E$176,"*salary*",'Dept. Cost Actuals'!O$703:O$872))</f>
        <v>20576.919999999998</v>
      </c>
      <c r="L12" s="1139">
        <f>IF(L$4="forecast",IF(YEAR(L$3)=YEAR(Headcount!$N$4),((SUMIFS(Headcount!$N$6:$N$89,Headcount!$F$6:$F$89,"Development Operations",Headcount!$H$6:$H$89,"&gt;="&amp;Sales!L$3)/12)),IF(YEAR(L$3)=YEAR(Headcount!$O$4),IF((L$5=2),((SUMIFS(Headcount!$O$6:$O$89,Headcount!$F$6:$F$89,"Development Operations",Headcount!$H$6:$H$89,"&gt;="&amp;Sales!L$3)/12)),K12),IF(YEAR(L$3)=YEAR(Headcount!$P$4),IF((L$5=2),((SUMIFS(Headcount!$P$6:$P$89,Headcount!$F$6:$F$89,"Development Operations",Headcount!$H$6:$H$89,"&gt;="&amp;Sales!L$3)/12)),K12),IF(YEAR(L$3)=YEAR(Headcount!$Q$4),IF((L$5=2),((SUMIFS(Headcount!$Q$6:$Q$89,Headcount!$F$6:$F$89,"Development Operations",Headcount!$H$6:$H$89,"&gt;="&amp;Sales!L$3)/12)),K12),IF(YEAR(L$3)=YEAR(Headcount!$R$4),IF((L$5=2),((SUMIFS(Headcount!$R$6:$R$89,Headcount!$F$6:$F$89,"Development Operations",Headcount!$H$6:$H$89,"&gt;="&amp;Sales!L$3)/12)),K12),"New Year"))))),SUMIF('Dept. Cost Actuals'!$E$7:$E$176,"*salary*",'Dept. Cost Actuals'!P$703:P$872))</f>
        <v>24538.46</v>
      </c>
      <c r="M12" s="1139">
        <f>IF(M$4="forecast",IF(YEAR(M$3)=YEAR(Headcount!$N$4),((SUMIFS(Headcount!$N$6:$N$89,Headcount!$F$6:$F$89,"Development Operations",Headcount!$H$6:$H$89,"&gt;="&amp;Sales!M$3)/12)),IF(YEAR(M$3)=YEAR(Headcount!$O$4),IF((M$5=2),((SUMIFS(Headcount!$O$6:$O$89,Headcount!$F$6:$F$89,"Development Operations",Headcount!$H$6:$H$89,"&gt;="&amp;Sales!M$3)/12)),L12),IF(YEAR(M$3)=YEAR(Headcount!$P$4),IF((M$5=2),((SUMIFS(Headcount!$P$6:$P$89,Headcount!$F$6:$F$89,"Development Operations",Headcount!$H$6:$H$89,"&gt;="&amp;Sales!M$3)/12)),L12),IF(YEAR(M$3)=YEAR(Headcount!$Q$4),IF((M$5=2),((SUMIFS(Headcount!$Q$6:$Q$89,Headcount!$F$6:$F$89,"Development Operations",Headcount!$H$6:$H$89,"&gt;="&amp;Sales!M$3)/12)),L12),IF(YEAR(M$3)=YEAR(Headcount!$R$4),IF((M$5=2),((SUMIFS(Headcount!$R$6:$R$89,Headcount!$F$6:$F$89,"Development Operations",Headcount!$H$6:$H$89,"&gt;="&amp;Sales!M$3)/12)),L12),"New Year"))))),SUMIF('Dept. Cost Actuals'!$E$7:$E$176,"*salary*",'Dept. Cost Actuals'!Q$703:Q$872))</f>
        <v>49386.07</v>
      </c>
      <c r="N12" s="1139">
        <f>IF(N$4="forecast",IF(YEAR(N$3)=YEAR(Headcount!$N$4),((SUMIFS(Headcount!$N$6:$N$89,Headcount!$F$6:$F$89,"Development Operations",Headcount!$H$6:$H$89,"&gt;="&amp;Sales!N$3)/12)),IF(YEAR(N$3)=YEAR(Headcount!$O$4),IF((N$5=2),((SUMIFS(Headcount!$O$6:$O$89,Headcount!$F$6:$F$89,"Development Operations",Headcount!$H$6:$H$89,"&gt;="&amp;Sales!N$3)/12)),M12),IF(YEAR(N$3)=YEAR(Headcount!$P$4),IF((N$5=2),((SUMIFS(Headcount!$P$6:$P$89,Headcount!$F$6:$F$89,"Development Operations",Headcount!$H$6:$H$89,"&gt;="&amp;Sales!N$3)/12)),M12),IF(YEAR(N$3)=YEAR(Headcount!$Q$4),IF((N$5=2),((SUMIFS(Headcount!$Q$6:$Q$89,Headcount!$F$6:$F$89,"Development Operations",Headcount!$H$6:$H$89,"&gt;="&amp;Sales!N$3)/12)),M12),IF(YEAR(N$3)=YEAR(Headcount!$R$4),IF((N$5=2),((SUMIFS(Headcount!$R$6:$R$89,Headcount!$F$6:$F$89,"Development Operations",Headcount!$H$6:$H$89,"&gt;="&amp;Sales!N$3)/12)),M12),"New Year"))))),SUMIF('Dept. Cost Actuals'!$E$7:$E$176,"*salary*",'Dept. Cost Actuals'!R$703:R$872))</f>
        <v>44541.54</v>
      </c>
      <c r="O12" s="1139">
        <f>IF(O$4="forecast",IF(YEAR(O$3)=YEAR(Headcount!$N$4),((SUMIFS(Headcount!$N$6:$N$89,Headcount!$F$6:$F$89,"Development Operations",Headcount!$H$6:$H$89,"&gt;="&amp;Sales!O$3)/12)),IF(YEAR(O$3)=YEAR(Headcount!$O$4),IF((O$5=2),((SUMIFS(Headcount!$O$6:$O$89,Headcount!$F$6:$F$89,"Development Operations",Headcount!$H$6:$H$89,"&gt;="&amp;Sales!O$3)/12)),N12),IF(YEAR(O$3)=YEAR(Headcount!$P$4),IF((O$5=2),((SUMIFS(Headcount!$P$6:$P$89,Headcount!$F$6:$F$89,"Development Operations",Headcount!$H$6:$H$89,"&gt;="&amp;Sales!O$3)/12)),N12),IF(YEAR(O$3)=YEAR(Headcount!$Q$4),IF((O$5=2),((SUMIFS(Headcount!$Q$6:$Q$89,Headcount!$F$6:$F$89,"Development Operations",Headcount!$H$6:$H$89,"&gt;="&amp;Sales!O$3)/12)),N12),IF(YEAR(O$3)=YEAR(Headcount!$R$4),IF((O$5=2),((SUMIFS(Headcount!$R$6:$R$89,Headcount!$F$6:$F$89,"Development Operations",Headcount!$H$6:$H$89,"&gt;="&amp;Sales!O$3)/12)),N12),"New Year"))))),SUMIF('Dept. Cost Actuals'!$E$7:$E$176,"*salary*",'Dept. Cost Actuals'!S$703:S$872))</f>
        <v>29538.269999999997</v>
      </c>
      <c r="P12" s="1139">
        <f>IF(P$4="forecast",IF(YEAR(P$3)=YEAR(Headcount!$N$4),((SUMIFS(Headcount!$N$6:$N$89,Headcount!$F$6:$F$89,"Development Operations",Headcount!$H$6:$H$89,"&gt;="&amp;Sales!P$3)/12)),IF(YEAR(P$3)=YEAR(Headcount!$O$4),IF((P$5=2),((SUMIFS(Headcount!$O$6:$O$89,Headcount!$F$6:$F$89,"Development Operations",Headcount!$H$6:$H$89,"&gt;="&amp;Sales!P$3)/12)),O12),IF(YEAR(P$3)=YEAR(Headcount!$P$4),IF((P$5=2),((SUMIFS(Headcount!$P$6:$P$89,Headcount!$F$6:$F$89,"Development Operations",Headcount!$H$6:$H$89,"&gt;="&amp;Sales!P$3)/12)),O12),IF(YEAR(P$3)=YEAR(Headcount!$Q$4),IF((P$5=2),((SUMIFS(Headcount!$Q$6:$Q$89,Headcount!$F$6:$F$89,"Development Operations",Headcount!$H$6:$H$89,"&gt;="&amp;Sales!P$3)/12)),O12),IF(YEAR(P$3)=YEAR(Headcount!$R$4),IF((P$5=2),((SUMIFS(Headcount!$R$6:$R$89,Headcount!$F$6:$F$89,"Development Operations",Headcount!$H$6:$H$89,"&gt;="&amp;Sales!P$3)/12)),O12),"New Year"))))),SUMIF('Dept. Cost Actuals'!$E$7:$E$176,"*salary*",'Dept. Cost Actuals'!T$703:T$872))</f>
        <v>20332.050000000003</v>
      </c>
      <c r="Q12" s="1139">
        <f>IF(Q$4="forecast",IF(YEAR(Q$3)=YEAR(Headcount!$N$4),((SUMIFS(Headcount!$N$6:$N$89,Headcount!$F$6:$F$89,"Development Operations",Headcount!$H$6:$H$89,"&gt;="&amp;Sales!Q$3)/12)),IF(YEAR(Q$3)=YEAR(Headcount!$O$4),IF((Q$5=2),((SUMIFS(Headcount!$O$6:$O$89,Headcount!$F$6:$F$89,"Development Operations",Headcount!$H$6:$H$89,"&gt;="&amp;Sales!Q$3)/12)),P12),IF(YEAR(Q$3)=YEAR(Headcount!$P$4),IF((Q$5=2),((SUMIFS(Headcount!$P$6:$P$89,Headcount!$F$6:$F$89,"Development Operations",Headcount!$H$6:$H$89,"&gt;="&amp;Sales!Q$3)/12)),P12),IF(YEAR(Q$3)=YEAR(Headcount!$Q$4),IF((Q$5=2),((SUMIFS(Headcount!$Q$6:$Q$89,Headcount!$F$6:$F$89,"Development Operations",Headcount!$H$6:$H$89,"&gt;="&amp;Sales!Q$3)/12)),P12),IF(YEAR(Q$3)=YEAR(Headcount!$R$4),IF((Q$5=2),((SUMIFS(Headcount!$R$6:$R$89,Headcount!$F$6:$F$89,"Development Operations",Headcount!$H$6:$H$89,"&gt;="&amp;Sales!Q$3)/12)),P12),"New Year"))))),SUMIF('Dept. Cost Actuals'!$E$7:$E$176,"*salary*",'Dept. Cost Actuals'!U$703:U$872))</f>
        <v>40678.21</v>
      </c>
      <c r="R12" s="1139">
        <f>IF(R$4="forecast",IF(YEAR(R$3)=YEAR(Headcount!$N$4),((SUMIFS(Headcount!$N$6:$N$89,Headcount!$F$6:$F$89,"Development Operations",Headcount!$H$6:$H$89,"&gt;="&amp;Sales!R$3)/12)),IF(YEAR(R$3)=YEAR(Headcount!$O$4),IF((R$5=2),((SUMIFS(Headcount!$O$6:$O$89,Headcount!$F$6:$F$89,"Development Operations",Headcount!$H$6:$H$89,"&gt;="&amp;Sales!R$3)/12)),Q12),IF(YEAR(R$3)=YEAR(Headcount!$P$4),IF((R$5=2),((SUMIFS(Headcount!$P$6:$P$89,Headcount!$F$6:$F$89,"Development Operations",Headcount!$H$6:$H$89,"&gt;="&amp;Sales!R$3)/12)),Q12),IF(YEAR(R$3)=YEAR(Headcount!$Q$4),IF((R$5=2),((SUMIFS(Headcount!$Q$6:$Q$89,Headcount!$F$6:$F$89,"Development Operations",Headcount!$H$6:$H$89,"&gt;="&amp;Sales!R$3)/12)),Q12),IF(YEAR(R$3)=YEAR(Headcount!$R$4),IF((R$5=2),((SUMIFS(Headcount!$R$6:$R$89,Headcount!$F$6:$F$89,"Development Operations",Headcount!$H$6:$H$89,"&gt;="&amp;Sales!R$3)/12)),Q12),"New Year"))))),SUMIF('Dept. Cost Actuals'!$E$7:$E$176,"*salary*",'Dept. Cost Actuals'!V$703:V$872))</f>
        <v>25620.519999999997</v>
      </c>
      <c r="S12" s="1139">
        <f>IF(S$4="forecast",IF(YEAR(S$3)=YEAR(Headcount!$N$4),((SUMIFS(Headcount!$N$6:$N$89,Headcount!$F$6:$F$89,"Development Operations",Headcount!$H$6:$H$89,"&gt;="&amp;Sales!S$3)/12)),IF(YEAR(S$3)=YEAR(Headcount!$O$4),IF((S$5=2),((SUMIFS(Headcount!$O$6:$O$89,Headcount!$F$6:$F$89,"Development Operations",Headcount!$H$6:$H$89,"&gt;="&amp;Sales!S$3)/12)),R12),IF(YEAR(S$3)=YEAR(Headcount!$P$4),IF((S$5=2),((SUMIFS(Headcount!$P$6:$P$89,Headcount!$F$6:$F$89,"Development Operations",Headcount!$H$6:$H$89,"&gt;="&amp;Sales!S$3)/12)),R12),IF(YEAR(S$3)=YEAR(Headcount!$Q$4),IF((S$5=2),((SUMIFS(Headcount!$Q$6:$Q$89,Headcount!$F$6:$F$89,"Development Operations",Headcount!$H$6:$H$89,"&gt;="&amp;Sales!S$3)/12)),R12),IF(YEAR(S$3)=YEAR(Headcount!$R$4),IF((S$5=2),((SUMIFS(Headcount!$R$6:$R$89,Headcount!$F$6:$F$89,"Development Operations",Headcount!$H$6:$H$89,"&gt;="&amp;Sales!S$3)/12)),R12),"New Year"))))),SUMIF('Dept. Cost Actuals'!$E$7:$E$176,"*salary*",'Dept. Cost Actuals'!W$703:W$872))</f>
        <v>57920.53</v>
      </c>
      <c r="T12" s="1139">
        <f>IF(T$4="forecast",IF(YEAR(T$3)=YEAR(Headcount!$N$4),((SUMIFS(Headcount!$N$6:$N$89,Headcount!$F$6:$F$89,"Development Operations",Headcount!$H$6:$H$89,"&gt;="&amp;Sales!T$3)/12)),IF(YEAR(T$3)=YEAR(Headcount!$O$4),IF((T$5=2),((SUMIFS(Headcount!$O$6:$O$89,Headcount!$F$6:$F$89,"Development Operations",Headcount!$H$6:$H$89,"&gt;="&amp;Sales!T$3)/12)),S12),IF(YEAR(T$3)=YEAR(Headcount!$P$4),IF((T$5=2),((SUMIFS(Headcount!$P$6:$P$89,Headcount!$F$6:$F$89,"Development Operations",Headcount!$H$6:$H$89,"&gt;="&amp;Sales!T$3)/12)),S12),IF(YEAR(T$3)=YEAR(Headcount!$Q$4),IF((T$5=2),((SUMIFS(Headcount!$Q$6:$Q$89,Headcount!$F$6:$F$89,"Development Operations",Headcount!$H$6:$H$89,"&gt;="&amp;Sales!T$3)/12)),S12),IF(YEAR(T$3)=YEAR(Headcount!$R$4),IF((T$5=2),((SUMIFS(Headcount!$R$6:$R$89,Headcount!$F$6:$F$89,"Development Operations",Headcount!$H$6:$H$89,"&gt;="&amp;Sales!T$3)/12)),S12),"New Year"))))),SUMIF('Dept. Cost Actuals'!$E$7:$E$176,"*salary*",'Dept. Cost Actuals'!X$703:X$872))</f>
        <v>62197.45</v>
      </c>
      <c r="U12" s="1139">
        <f>IF(U$4="forecast",IF(YEAR(U$3)=YEAR(Headcount!$N$4),((SUMIFS(Headcount!$N$6:$N$89,Headcount!$F$6:$F$89,"Development Operations",Headcount!$H$6:$H$89,"&gt;="&amp;Sales!U$3)/12)),IF(YEAR(U$3)=YEAR(Headcount!$O$4),IF((U$5=2),((SUMIFS(Headcount!$O$6:$O$89,Headcount!$F$6:$F$89,"Development Operations",Headcount!$H$6:$H$89,"&gt;="&amp;Sales!U$3)/12)),T12),IF(YEAR(U$3)=YEAR(Headcount!$P$4),IF((U$5=2),((SUMIFS(Headcount!$P$6:$P$89,Headcount!$F$6:$F$89,"Development Operations",Headcount!$H$6:$H$89,"&gt;="&amp;Sales!U$3)/12)),T12),IF(YEAR(U$3)=YEAR(Headcount!$Q$4),IF((U$5=2),((SUMIFS(Headcount!$Q$6:$Q$89,Headcount!$F$6:$F$89,"Development Operations",Headcount!$H$6:$H$89,"&gt;="&amp;Sales!U$3)/12)),T12),IF(YEAR(U$3)=YEAR(Headcount!$R$4),IF((U$5=2),((SUMIFS(Headcount!$R$6:$R$89,Headcount!$F$6:$F$89,"Development Operations",Headcount!$H$6:$H$89,"&gt;="&amp;Sales!U$3)/12)),T12),"New Year"))))),SUMIF('Dept. Cost Actuals'!$E$7:$E$176,"*salary*",'Dept. Cost Actuals'!Y$703:Y$872))</f>
        <v>52135.909999999996</v>
      </c>
      <c r="V12" s="1139">
        <f>IF(V$4="forecast",IF(YEAR(V$3)=YEAR(Headcount!$N$4),((SUMIFS(Headcount!$N$6:$N$89,Headcount!$F$6:$F$89,"Development Operations",Headcount!$H$6:$H$89,"&gt;="&amp;Sales!V$3)/12)),IF(YEAR(V$3)=YEAR(Headcount!$O$4),IF((V$5=2),((SUMIFS(Headcount!$O$6:$O$89,Headcount!$F$6:$F$89,"Development Operations",Headcount!$H$6:$H$89,"&gt;="&amp;Sales!V$3)/12)),U12),IF(YEAR(V$3)=YEAR(Headcount!$P$4),IF((V$5=2),((SUMIFS(Headcount!$P$6:$P$89,Headcount!$F$6:$F$89,"Development Operations",Headcount!$H$6:$H$89,"&gt;="&amp;Sales!V$3)/12)),U12),IF(YEAR(V$3)=YEAR(Headcount!$Q$4),IF((V$5=2),((SUMIFS(Headcount!$Q$6:$Q$89,Headcount!$F$6:$F$89,"Development Operations",Headcount!$H$6:$H$89,"&gt;="&amp;Sales!V$3)/12)),U12),IF(YEAR(V$3)=YEAR(Headcount!$R$4),IF((V$5=2),((SUMIFS(Headcount!$R$6:$R$89,Headcount!$F$6:$F$89,"Development Operations",Headcount!$H$6:$H$89,"&gt;="&amp;Sales!V$3)/12)),U12),"New Year"))))),SUMIF('Dept. Cost Actuals'!$E$7:$E$176,"*salary*",'Dept. Cost Actuals'!Z$703:Z$872))</f>
        <v>52605.15</v>
      </c>
      <c r="W12" s="1139">
        <f>IF(W$4="forecast",IF(YEAR(W$3)=YEAR(Headcount!$N$4),((SUMIFS(Headcount!$N$6:$N$89,Headcount!$F$6:$F$89,"Development Operations",Headcount!$H$6:$H$89,"&gt;="&amp;Sales!W$3)/12)),IF(YEAR(W$3)=YEAR(Headcount!$O$4),IF((W$5=2),((SUMIFS(Headcount!$O$6:$O$89,Headcount!$F$6:$F$89,"Development Operations",Headcount!$H$6:$H$89,"&gt;="&amp;Sales!W$3)/12)),V12),IF(YEAR(W$3)=YEAR(Headcount!$P$4),IF((W$5=2),((SUMIFS(Headcount!$P$6:$P$89,Headcount!$F$6:$F$89,"Development Operations",Headcount!$H$6:$H$89,"&gt;="&amp;Sales!W$3)/12)),V12),IF(YEAR(W$3)=YEAR(Headcount!$Q$4),IF((W$5=2),((SUMIFS(Headcount!$Q$6:$Q$89,Headcount!$F$6:$F$89,"Development Operations",Headcount!$H$6:$H$89,"&gt;="&amp;Sales!W$3)/12)),V12),IF(YEAR(W$3)=YEAR(Headcount!$R$4),IF((W$5=2),((SUMIFS(Headcount!$R$6:$R$89,Headcount!$F$6:$F$89,"Development Operations",Headcount!$H$6:$H$89,"&gt;="&amp;Sales!W$3)/12)),V12),"New Year"))))),SUMIF('Dept. Cost Actuals'!$E$7:$E$176,"*salary*",'Dept. Cost Actuals'!AA$703:AA$872))</f>
        <v>49093.61</v>
      </c>
      <c r="X12" s="1139">
        <f>IF(X$4="forecast",IF(YEAR(X$3)=YEAR(Headcount!$N$4),((SUMIFS(Headcount!$N$6:$N$89,Headcount!$F$6:$F$89,"Development Operations",Headcount!$H$6:$H$89,"&gt;="&amp;Sales!X$3)/12)),IF(YEAR(X$3)=YEAR(Headcount!$O$4),IF((X$5=2),((SUMIFS(Headcount!$O$6:$O$89,Headcount!$F$6:$F$89,"Development Operations",Headcount!$H$6:$H$89,"&gt;="&amp;Sales!X$3)/12)),W12),IF(YEAR(X$3)=YEAR(Headcount!$P$4),IF((X$5=2),((SUMIFS(Headcount!$P$6:$P$89,Headcount!$F$6:$F$89,"Development Operations",Headcount!$H$6:$H$89,"&gt;="&amp;Sales!X$3)/12)),W12),IF(YEAR(X$3)=YEAR(Headcount!$Q$4),IF((X$5=2),((SUMIFS(Headcount!$Q$6:$Q$89,Headcount!$F$6:$F$89,"Development Operations",Headcount!$H$6:$H$89,"&gt;="&amp;Sales!X$3)/12)),W12),IF(YEAR(X$3)=YEAR(Headcount!$R$4),IF((X$5=2),((SUMIFS(Headcount!$R$6:$R$89,Headcount!$F$6:$F$89,"Development Operations",Headcount!$H$6:$H$89,"&gt;="&amp;Sales!X$3)/12)),W12),"New Year"))))),SUMIF('Dept. Cost Actuals'!$E$7:$E$176,"*salary*",'Dept. Cost Actuals'!AB$703:AB$872))</f>
        <v>53462.83</v>
      </c>
      <c r="Y12" s="1139">
        <f>IF(Y$4="forecast",IF(YEAR(Y$3)=YEAR(Headcount!$N$4),((SUMIFS(Headcount!$N$6:$N$89,Headcount!$F$6:$F$89,"Development Operations",Headcount!$H$6:$H$89,"&gt;="&amp;Sales!Y$3)/12)),IF(YEAR(Y$3)=YEAR(Headcount!$O$4),IF((Y$5=2),((SUMIFS(Headcount!$O$6:$O$89,Headcount!$F$6:$F$89,"Development Operations",Headcount!$H$6:$H$89,"&gt;="&amp;Sales!Y$3)/12)),X12),IF(YEAR(Y$3)=YEAR(Headcount!$P$4),IF((Y$5=2),((SUMIFS(Headcount!$P$6:$P$89,Headcount!$F$6:$F$89,"Development Operations",Headcount!$H$6:$H$89,"&gt;="&amp;Sales!Y$3)/12)),X12),IF(YEAR(Y$3)=YEAR(Headcount!$Q$4),IF((Y$5=2),((SUMIFS(Headcount!$Q$6:$Q$89,Headcount!$F$6:$F$89,"Development Operations",Headcount!$H$6:$H$89,"&gt;="&amp;Sales!Y$3)/12)),X12),IF(YEAR(Y$3)=YEAR(Headcount!$R$4),IF((Y$5=2),((SUMIFS(Headcount!$R$6:$R$89,Headcount!$F$6:$F$89,"Development Operations",Headcount!$H$6:$H$89,"&gt;="&amp;Sales!Y$3)/12)),X12),"New Year"))))),SUMIF('Dept. Cost Actuals'!$E$7:$E$176,"*salary*",'Dept. Cost Actuals'!AC$703:AC$872))</f>
        <v>50439.759999999995</v>
      </c>
      <c r="Z12" s="1139">
        <f>IF(Z$4="forecast",IF(YEAR(Z$3)=YEAR(Headcount!$N$4),((SUMIFS(Headcount!$N$6:$N$89,Headcount!$F$6:$F$89,"Development Operations",Headcount!$H$6:$H$89,"&gt;="&amp;Sales!Z$3)/12)),IF(YEAR(Z$3)=YEAR(Headcount!$O$4),IF((Z$5=2),((SUMIFS(Headcount!$O$6:$O$89,Headcount!$F$6:$F$89,"Development Operations",Headcount!$H$6:$H$89,"&gt;="&amp;Sales!Z$3)/12)),Y12),IF(YEAR(Z$3)=YEAR(Headcount!$P$4),IF((Z$5=2),((SUMIFS(Headcount!$P$6:$P$89,Headcount!$F$6:$F$89,"Development Operations",Headcount!$H$6:$H$89,"&gt;="&amp;Sales!Z$3)/12)),Y12),IF(YEAR(Z$3)=YEAR(Headcount!$Q$4),IF((Z$5=2),((SUMIFS(Headcount!$Q$6:$Q$89,Headcount!$F$6:$F$89,"Development Operations",Headcount!$H$6:$H$89,"&gt;="&amp;Sales!Z$3)/12)),Y12),IF(YEAR(Z$3)=YEAR(Headcount!$R$4),IF((Z$5=2),((SUMIFS(Headcount!$R$6:$R$89,Headcount!$F$6:$F$89,"Development Operations",Headcount!$H$6:$H$89,"&gt;="&amp;Sales!Z$3)/12)),Y12),"New Year"))))),SUMIF('Dept. Cost Actuals'!$E$7:$E$176,"*salary*",'Dept. Cost Actuals'!AD$703:AD$872))</f>
        <v>22332.009999999995</v>
      </c>
      <c r="AA12" s="1139">
        <f>IF(AA$4="forecast",IF(YEAR(AA$3)=YEAR(Headcount!$N$4),((SUMIFS(Headcount!$N$6:$N$89,Headcount!$F$6:$F$89,"Development Operations",Headcount!$H$6:$H$89,"&gt;="&amp;Sales!AA$3)/12)),IF(YEAR(AA$3)=YEAR(Headcount!$O$4),IF((AA$5=2),((SUMIFS(Headcount!$O$6:$O$89,Headcount!$F$6:$F$89,"Development Operations",Headcount!$H$6:$H$89,"&gt;="&amp;Sales!AA$3)/12)),Z12),IF(YEAR(AA$3)=YEAR(Headcount!$P$4),IF((AA$5=2),((SUMIFS(Headcount!$P$6:$P$89,Headcount!$F$6:$F$89,"Development Operations",Headcount!$H$6:$H$89,"&gt;="&amp;Sales!AA$3)/12)),Z12),IF(YEAR(AA$3)=YEAR(Headcount!$Q$4),IF((AA$5=2),((SUMIFS(Headcount!$Q$6:$Q$89,Headcount!$F$6:$F$89,"Development Operations",Headcount!$H$6:$H$89,"&gt;="&amp;Sales!AA$3)/12)),Z12),IF(YEAR(AA$3)=YEAR(Headcount!$R$4),IF((AA$5=2),((SUMIFS(Headcount!$R$6:$R$89,Headcount!$F$6:$F$89,"Development Operations",Headcount!$H$6:$H$89,"&gt;="&amp;Sales!AA$3)/12)),Z12),"New Year"))))),SUMIF('Dept. Cost Actuals'!$E$7:$E$176,"*salary*",'Dept. Cost Actuals'!AE$703:AE$872))</f>
        <v>91948.07</v>
      </c>
      <c r="AB12" s="1139">
        <f>IF(AB$4="forecast",IF(YEAR(AB$3)=YEAR(Headcount!$N$4),((SUMIFS(Headcount!$N$6:$N$89,Headcount!$F$6:$F$89,"Development Operations",Headcount!$H$6:$H$89,"&gt;="&amp;Sales!AB$3)/12)),IF(YEAR(AB$3)=YEAR(Headcount!$O$4),IF((AB$5=2),((SUMIFS(Headcount!$O$6:$O$89,Headcount!$F$6:$F$89,"Development Operations",Headcount!$H$6:$H$89,"&gt;="&amp;Sales!AB$3)/12)),AA12),IF(YEAR(AB$3)=YEAR(Headcount!$P$4),IF((AB$5=2),((SUMIFS(Headcount!$P$6:$P$89,Headcount!$F$6:$F$89,"Development Operations",Headcount!$H$6:$H$89,"&gt;="&amp;Sales!AB$3)/12)),AA12),IF(YEAR(AB$3)=YEAR(Headcount!$Q$4),IF((AB$5=2),((SUMIFS(Headcount!$Q$6:$Q$89,Headcount!$F$6:$F$89,"Development Operations",Headcount!$H$6:$H$89,"&gt;="&amp;Sales!AB$3)/12)),AA12),IF(YEAR(AB$3)=YEAR(Headcount!$R$4),IF((AB$5=2),((SUMIFS(Headcount!$R$6:$R$89,Headcount!$F$6:$F$89,"Development Operations",Headcount!$H$6:$H$89,"&gt;="&amp;Sales!AB$3)/12)),AA12),"New Year"))))),SUMIF('Dept. Cost Actuals'!$E$7:$E$176,"*salary*",'Dept. Cost Actuals'!AF$703:AF$872))</f>
        <v>81163.44</v>
      </c>
      <c r="AC12" s="1139">
        <f>IF(AC$4="forecast",IF(YEAR(AC$3)=YEAR(Headcount!$N$4),((SUMIFS(Headcount!$N$6:$N$89,Headcount!$F$6:$F$89,"Development Operations",Headcount!$H$6:$H$89,"&gt;="&amp;Sales!AC$3)/12)),IF(YEAR(AC$3)=YEAR(Headcount!$O$4),IF((AC$5=2),((SUMIFS(Headcount!$O$6:$O$89,Headcount!$F$6:$F$89,"Development Operations",Headcount!$H$6:$H$89,"&gt;="&amp;Sales!AC$3)/12)),AB12),IF(YEAR(AC$3)=YEAR(Headcount!$P$4),IF((AC$5=2),((SUMIFS(Headcount!$P$6:$P$89,Headcount!$F$6:$F$89,"Development Operations",Headcount!$H$6:$H$89,"&gt;="&amp;Sales!AC$3)/12)),AB12),IF(YEAR(AC$3)=YEAR(Headcount!$Q$4),IF((AC$5=2),((SUMIFS(Headcount!$Q$6:$Q$89,Headcount!$F$6:$F$89,"Development Operations",Headcount!$H$6:$H$89,"&gt;="&amp;Sales!AC$3)/12)),AB12),IF(YEAR(AC$3)=YEAR(Headcount!$R$4),IF((AC$5=2),((SUMIFS(Headcount!$R$6:$R$89,Headcount!$F$6:$F$89,"Development Operations",Headcount!$H$6:$H$89,"&gt;="&amp;Sales!AC$3)/12)),AB12),"New Year"))))),SUMIF('Dept. Cost Actuals'!$E$7:$E$176,"*salary*",'Dept. Cost Actuals'!AG$703:AG$872))</f>
        <v>80107.679999999993</v>
      </c>
      <c r="AD12" s="1139">
        <f>((SUMIFS(Headcount!$O$6:$O$89,Headcount!$F$6:$F$89,"Development Operations",Headcount!$H$6:$H$89,"&gt;="&amp;Sales!AC$3)/12))</f>
        <v>148048.69999999998</v>
      </c>
      <c r="AE12" s="1139">
        <f>((SUMIFS(Headcount!$O$6:$O$89,Headcount!$F$6:$F$89,"Development Operations",Headcount!$H$6:$H$89,"&gt;="&amp;Sales!AD$3)/12))</f>
        <v>148048.69999999998</v>
      </c>
      <c r="AF12" s="1139">
        <f>((SUMIFS(Headcount!$O$6:$O$89,Headcount!$F$6:$F$89,"Development Operations",Headcount!$H$6:$H$89,"&gt;="&amp;Sales!AE$3)/12))</f>
        <v>148048.69999999998</v>
      </c>
      <c r="AG12" s="1139">
        <f>((SUMIFS(Headcount!$O$6:$O$89,Headcount!$F$6:$F$89,"Development Operations",Headcount!$H$6:$H$89,"&gt;="&amp;Sales!AF$3)/12))</f>
        <v>148048.69999999998</v>
      </c>
      <c r="AH12" s="1139">
        <f>((SUMIFS(Headcount!$O$6:$O$89,Headcount!$F$6:$F$89,"Development Operations",Headcount!$H$6:$H$89,"&gt;="&amp;Sales!AG$3)/12))</f>
        <v>148048.69999999998</v>
      </c>
      <c r="AI12" s="1139">
        <f>((SUMIFS(Headcount!$O$6:$O$89,Headcount!$F$6:$F$89,"Development Operations",Headcount!$H$6:$H$89,"&gt;="&amp;Sales!AH$3)/12))</f>
        <v>148048.69999999998</v>
      </c>
      <c r="AJ12" s="1139">
        <f>((SUMIFS(Headcount!$O$6:$O$89,Headcount!$F$6:$F$89,"Development Operations",Headcount!$H$6:$H$89,"&gt;="&amp;Sales!AI$3)/12))</f>
        <v>148048.69999999998</v>
      </c>
      <c r="AK12" s="1139">
        <f>((SUMIFS(Headcount!$O$6:$O$89,Headcount!$F$6:$F$89,"Development Operations",Headcount!$H$6:$H$89,"&gt;="&amp;Sales!AJ$3)/12))</f>
        <v>148048.69999999998</v>
      </c>
      <c r="AL12" s="1139">
        <f>((SUMIFS(Headcount!$O$6:$O$89,Headcount!$F$6:$F$89,"Development Operations",Headcount!$H$6:$H$89,"&gt;="&amp;Sales!AK$3)/12))</f>
        <v>148048.69999999998</v>
      </c>
      <c r="AM12" s="1139">
        <f>((SUMIFS(Headcount!$N$6:$N$89,Headcount!$F$6:$F$89,"Development Operations",Headcount!$H$6:$H$89,"&gt;="&amp;Sales!AL$3)/12))</f>
        <v>142340.36666666667</v>
      </c>
      <c r="AN12" s="1139">
        <f>IF(AN$4="forecast",IF(YEAR(AN$3)=YEAR(Headcount!$N$4),((SUMIFS(Headcount!$N$6:$N$89,Headcount!$F$6:$F$89,"Development Operations",Headcount!$H$6:$H$89,"&gt;="&amp;Sales!AN$3)/12)),IF(YEAR(AN$3)=YEAR(Headcount!$O$4),IF((AN$5=2),((SUMIFS(Headcount!$O$6:$O$89,Headcount!$F$6:$F$89,"Development Operations",Headcount!$H$6:$H$89,"&gt;="&amp;Sales!AN$3)/12)),AM12),IF(YEAR(AN$3)=YEAR(Headcount!$P$4),IF((AN$5=2),((SUMIFS(Headcount!$P$6:$P$89,Headcount!$F$6:$F$89,"Development Operations",Headcount!$H$6:$H$89,"&gt;="&amp;Sales!AN$3)/12)),AM12),IF(YEAR(AN$3)=YEAR(Headcount!$Q$4),IF((AN$5=2),((SUMIFS(Headcount!$Q$6:$Q$89,Headcount!$F$6:$F$89,"Development Operations",Headcount!$H$6:$H$89,"&gt;="&amp;Sales!AN$3)/12)),AM12),IF(YEAR(AN$3)=YEAR(Headcount!$R$4),IF((AN$5=2),((SUMIFS(Headcount!$R$6:$R$89,Headcount!$F$6:$F$89,"Development Operations",Headcount!$H$6:$H$89,"&gt;="&amp;Sales!AN$3)/12)),AM12),"New Year"))))),SUMIF('Dept. Cost Actuals'!$E$7:$E$176,"*salary*",'Dept. Cost Actuals'!AR$703:AR$872))</f>
        <v>112560.78333333333</v>
      </c>
      <c r="AO12" s="1139">
        <f>IF(AO$4="forecast",IF(YEAR(AO$3)=YEAR(Headcount!$N$4),((SUMIFS(Headcount!$N$6:$N$89,Headcount!$F$6:$F$89,"Development Operations",Headcount!$H$6:$H$89,"&gt;="&amp;Sales!AO$3)/12)),IF(YEAR(AO$3)=YEAR(Headcount!$O$4),IF((AO$5=2),((SUMIFS(Headcount!$O$6:$O$89,Headcount!$F$6:$F$89,"Development Operations",Headcount!$H$6:$H$89,"&gt;="&amp;Sales!AO$3)/12)),AN12),IF(YEAR(AO$3)=YEAR(Headcount!$P$4),IF((AO$5=2),((SUMIFS(Headcount!$P$6:$P$89,Headcount!$F$6:$F$89,"Development Operations",Headcount!$H$6:$H$89,"&gt;="&amp;Sales!AO$3)/12)),AN12),IF(YEAR(AO$3)=YEAR(Headcount!$Q$4),IF((AO$5=2),((SUMIFS(Headcount!$Q$6:$Q$89,Headcount!$F$6:$F$89,"Development Operations",Headcount!$H$6:$H$89,"&gt;="&amp;Sales!AO$3)/12)),AN12),IF(YEAR(AO$3)=YEAR(Headcount!$R$4),IF((AO$5=2),((SUMIFS(Headcount!$R$6:$R$89,Headcount!$F$6:$F$89,"Development Operations",Headcount!$H$6:$H$89,"&gt;="&amp;Sales!AO$3)/12)),AN12),"New Year"))))),SUMIF('Dept. Cost Actuals'!$E$7:$E$176,"*salary*",'Dept. Cost Actuals'!AS$703:AS$872))</f>
        <v>112560.78333333333</v>
      </c>
      <c r="AP12" s="1139">
        <f>IF(AP$4="forecast",IF(YEAR(AP$3)=YEAR(Headcount!$N$4),((SUMIFS(Headcount!$N$6:$N$89,Headcount!$F$6:$F$89,"Development Operations",Headcount!$H$6:$H$89,"&gt;="&amp;Sales!AP$3)/12)),IF(YEAR(AP$3)=YEAR(Headcount!$O$4),IF((AP$5=2),((SUMIFS(Headcount!$O$6:$O$89,Headcount!$F$6:$F$89,"Development Operations",Headcount!$H$6:$H$89,"&gt;="&amp;Sales!AP$3)/12)),AO12),IF(YEAR(AP$3)=YEAR(Headcount!$P$4),IF((AP$5=2),((SUMIFS(Headcount!$P$6:$P$89,Headcount!$F$6:$F$89,"Development Operations",Headcount!$H$6:$H$89,"&gt;="&amp;Sales!AP$3)/12)),AO12),IF(YEAR(AP$3)=YEAR(Headcount!$Q$4),IF((AP$5=2),((SUMIFS(Headcount!$Q$6:$Q$89,Headcount!$F$6:$F$89,"Development Operations",Headcount!$H$6:$H$89,"&gt;="&amp;Sales!AP$3)/12)),AO12),IF(YEAR(AP$3)=YEAR(Headcount!$R$4),IF((AP$5=2),((SUMIFS(Headcount!$R$6:$R$89,Headcount!$F$6:$F$89,"Development Operations",Headcount!$H$6:$H$89,"&gt;="&amp;Sales!AP$3)/12)),AO12),"New Year"))))),SUMIF('Dept. Cost Actuals'!$E$7:$E$176,"*salary*",'Dept. Cost Actuals'!AT$703:AT$872))</f>
        <v>112560.78333333333</v>
      </c>
      <c r="AQ12" s="1139">
        <f>IF(AQ$4="forecast",IF(YEAR(AQ$3)=YEAR(Headcount!$N$4),((SUMIFS(Headcount!$N$6:$N$89,Headcount!$F$6:$F$89,"Development Operations",Headcount!$H$6:$H$89,"&gt;="&amp;Sales!AQ$3)/12)),IF(YEAR(AQ$3)=YEAR(Headcount!$O$4),IF((AQ$5=2),((SUMIFS(Headcount!$O$6:$O$89,Headcount!$F$6:$F$89,"Development Operations",Headcount!$H$6:$H$89,"&gt;="&amp;Sales!AQ$3)/12)),AP12),IF(YEAR(AQ$3)=YEAR(Headcount!$P$4),IF((AQ$5=2),((SUMIFS(Headcount!$P$6:$P$89,Headcount!$F$6:$F$89,"Development Operations",Headcount!$H$6:$H$89,"&gt;="&amp;Sales!AQ$3)/12)),AP12),IF(YEAR(AQ$3)=YEAR(Headcount!$Q$4),IF((AQ$5=2),((SUMIFS(Headcount!$Q$6:$Q$89,Headcount!$F$6:$F$89,"Development Operations",Headcount!$H$6:$H$89,"&gt;="&amp;Sales!AQ$3)/12)),AP12),IF(YEAR(AQ$3)=YEAR(Headcount!$R$4),IF((AQ$5=2),((SUMIFS(Headcount!$R$6:$R$89,Headcount!$F$6:$F$89,"Development Operations",Headcount!$H$6:$H$89,"&gt;="&amp;Sales!AQ$3)/12)),AP12),"New Year"))))),SUMIF('Dept. Cost Actuals'!$E$7:$E$176,"*salary*",'Dept. Cost Actuals'!AU$703:AU$872))</f>
        <v>112560.78333333333</v>
      </c>
      <c r="AR12" s="1139">
        <f>IF(AR$4="forecast",IF(YEAR(AR$3)=YEAR(Headcount!$N$4),((SUMIFS(Headcount!$N$6:$N$89,Headcount!$F$6:$F$89,"Development Operations",Headcount!$H$6:$H$89,"&gt;="&amp;Sales!AR$3)/12)),IF(YEAR(AR$3)=YEAR(Headcount!$O$4),IF((AR$5=2),((SUMIFS(Headcount!$O$6:$O$89,Headcount!$F$6:$F$89,"Development Operations",Headcount!$H$6:$H$89,"&gt;="&amp;Sales!AR$3)/12)),AQ12),IF(YEAR(AR$3)=YEAR(Headcount!$P$4),IF((AR$5=2),((SUMIFS(Headcount!$P$6:$P$89,Headcount!$F$6:$F$89,"Development Operations",Headcount!$H$6:$H$89,"&gt;="&amp;Sales!AR$3)/12)),AQ12),IF(YEAR(AR$3)=YEAR(Headcount!$Q$4),IF((AR$5=2),((SUMIFS(Headcount!$Q$6:$Q$89,Headcount!$F$6:$F$89,"Development Operations",Headcount!$H$6:$H$89,"&gt;="&amp;Sales!AR$3)/12)),AQ12),IF(YEAR(AR$3)=YEAR(Headcount!$R$4),IF((AR$5=2),((SUMIFS(Headcount!$R$6:$R$89,Headcount!$F$6:$F$89,"Development Operations",Headcount!$H$6:$H$89,"&gt;="&amp;Sales!AR$3)/12)),AQ12),"New Year"))))),SUMIF('Dept. Cost Actuals'!$E$7:$E$176,"*salary*",'Dept. Cost Actuals'!AV$703:AV$872))</f>
        <v>112560.78333333333</v>
      </c>
      <c r="AS12" s="1139">
        <f>IF(AS$4="forecast",IF(YEAR(AS$3)=YEAR(Headcount!$N$4),((SUMIFS(Headcount!$N$6:$N$89,Headcount!$F$6:$F$89,"Development Operations",Headcount!$H$6:$H$89,"&gt;="&amp;Sales!AS$3)/12)),IF(YEAR(AS$3)=YEAR(Headcount!$O$4),IF((AS$5=2),((SUMIFS(Headcount!$O$6:$O$89,Headcount!$F$6:$F$89,"Development Operations",Headcount!$H$6:$H$89,"&gt;="&amp;Sales!AS$3)/12)),AR12),IF(YEAR(AS$3)=YEAR(Headcount!$P$4),IF((AS$5=2),((SUMIFS(Headcount!$P$6:$P$89,Headcount!$F$6:$F$89,"Development Operations",Headcount!$H$6:$H$89,"&gt;="&amp;Sales!AS$3)/12)),AR12),IF(YEAR(AS$3)=YEAR(Headcount!$Q$4),IF((AS$5=2),((SUMIFS(Headcount!$Q$6:$Q$89,Headcount!$F$6:$F$89,"Development Operations",Headcount!$H$6:$H$89,"&gt;="&amp;Sales!AS$3)/12)),AR12),IF(YEAR(AS$3)=YEAR(Headcount!$R$4),IF((AS$5=2),((SUMIFS(Headcount!$R$6:$R$89,Headcount!$F$6:$F$89,"Development Operations",Headcount!$H$6:$H$89,"&gt;="&amp;Sales!AS$3)/12)),AR12),"New Year"))))),SUMIF('Dept. Cost Actuals'!$E$7:$E$176,"*salary*",'Dept. Cost Actuals'!AW$703:AW$872))</f>
        <v>112560.78333333333</v>
      </c>
      <c r="AT12" s="1139">
        <f>IF(AT$4="forecast",IF(YEAR(AT$3)=YEAR(Headcount!$N$4),((SUMIFS(Headcount!$N$6:$N$89,Headcount!$F$6:$F$89,"Development Operations",Headcount!$H$6:$H$89,"&gt;="&amp;Sales!AT$3)/12)),IF(YEAR(AT$3)=YEAR(Headcount!$O$4),IF((AT$5=2),((SUMIFS(Headcount!$O$6:$O$89,Headcount!$F$6:$F$89,"Development Operations",Headcount!$H$6:$H$89,"&gt;="&amp;Sales!AT$3)/12)),AS12),IF(YEAR(AT$3)=YEAR(Headcount!$P$4),IF((AT$5=2),((SUMIFS(Headcount!$P$6:$P$89,Headcount!$F$6:$F$89,"Development Operations",Headcount!$H$6:$H$89,"&gt;="&amp;Sales!AT$3)/12)),AS12),IF(YEAR(AT$3)=YEAR(Headcount!$Q$4),IF((AT$5=2),((SUMIFS(Headcount!$Q$6:$Q$89,Headcount!$F$6:$F$89,"Development Operations",Headcount!$H$6:$H$89,"&gt;="&amp;Sales!AT$3)/12)),AS12),IF(YEAR(AT$3)=YEAR(Headcount!$R$4),IF((AT$5=2),((SUMIFS(Headcount!$R$6:$R$89,Headcount!$F$6:$F$89,"Development Operations",Headcount!$H$6:$H$89,"&gt;="&amp;Sales!AT$3)/12)),AS12),"New Year"))))),SUMIF('Dept. Cost Actuals'!$E$7:$E$176,"*salary*",'Dept. Cost Actuals'!AX$703:AX$872))</f>
        <v>112560.78333333333</v>
      </c>
      <c r="AU12" s="1139">
        <f>IF(AU$4="forecast",IF(YEAR(AU$3)=YEAR(Headcount!$N$4),((SUMIFS(Headcount!$N$6:$N$89,Headcount!$F$6:$F$89,"Development Operations",Headcount!$H$6:$H$89,"&gt;="&amp;Sales!AU$3)/12)),IF(YEAR(AU$3)=YEAR(Headcount!$O$4),IF((AU$5=2),((SUMIFS(Headcount!$O$6:$O$89,Headcount!$F$6:$F$89,"Development Operations",Headcount!$H$6:$H$89,"&gt;="&amp;Sales!AU$3)/12)),AT12),IF(YEAR(AU$3)=YEAR(Headcount!$P$4),IF((AU$5=2),((SUMIFS(Headcount!$P$6:$P$89,Headcount!$F$6:$F$89,"Development Operations",Headcount!$H$6:$H$89,"&gt;="&amp;Sales!AU$3)/12)),AT12),IF(YEAR(AU$3)=YEAR(Headcount!$Q$4),IF((AU$5=2),((SUMIFS(Headcount!$Q$6:$Q$89,Headcount!$F$6:$F$89,"Development Operations",Headcount!$H$6:$H$89,"&gt;="&amp;Sales!AU$3)/12)),AT12),IF(YEAR(AU$3)=YEAR(Headcount!$R$4),IF((AU$5=2),((SUMIFS(Headcount!$R$6:$R$89,Headcount!$F$6:$F$89,"Development Operations",Headcount!$H$6:$H$89,"&gt;="&amp;Sales!AU$3)/12)),AT12),"New Year"))))),SUMIF('Dept. Cost Actuals'!$E$7:$E$176,"*salary*",'Dept. Cost Actuals'!AY$703:AY$872))</f>
        <v>112560.78333333333</v>
      </c>
      <c r="AV12" s="1139">
        <f>IF(AV$4="forecast",IF(YEAR(AV$3)=YEAR(Headcount!$N$4),((SUMIFS(Headcount!$N$6:$N$89,Headcount!$F$6:$F$89,"Development Operations",Headcount!$H$6:$H$89,"&gt;="&amp;Sales!AV$3)/12)),IF(YEAR(AV$3)=YEAR(Headcount!$O$4),IF((AV$5=2),((SUMIFS(Headcount!$O$6:$O$89,Headcount!$F$6:$F$89,"Development Operations",Headcount!$H$6:$H$89,"&gt;="&amp;Sales!AV$3)/12)),AU12),IF(YEAR(AV$3)=YEAR(Headcount!$P$4),IF((AV$5=2),((SUMIFS(Headcount!$P$6:$P$89,Headcount!$F$6:$F$89,"Development Operations",Headcount!$H$6:$H$89,"&gt;="&amp;Sales!AV$3)/12)),AU12),IF(YEAR(AV$3)=YEAR(Headcount!$Q$4),IF((AV$5=2),((SUMIFS(Headcount!$Q$6:$Q$89,Headcount!$F$6:$F$89,"Development Operations",Headcount!$H$6:$H$89,"&gt;="&amp;Sales!AV$3)/12)),AU12),IF(YEAR(AV$3)=YEAR(Headcount!$R$4),IF((AV$5=2),((SUMIFS(Headcount!$R$6:$R$89,Headcount!$F$6:$F$89,"Development Operations",Headcount!$H$6:$H$89,"&gt;="&amp;Sales!AV$3)/12)),AU12),"New Year"))))),SUMIF('Dept. Cost Actuals'!$E$7:$E$176,"*salary*",'Dept. Cost Actuals'!AZ$703:AZ$872))</f>
        <v>112560.78333333333</v>
      </c>
      <c r="AW12" s="1139">
        <f>IF(AW$4="forecast",IF(YEAR(AW$3)=YEAR(Headcount!$N$4),((SUMIFS(Headcount!$N$6:$N$89,Headcount!$F$6:$F$89,"Development Operations",Headcount!$H$6:$H$89,"&gt;="&amp;Sales!AW$3)/12)),IF(YEAR(AW$3)=YEAR(Headcount!$O$4),IF((AW$5=2),((SUMIFS(Headcount!$O$6:$O$89,Headcount!$F$6:$F$89,"Development Operations",Headcount!$H$6:$H$89,"&gt;="&amp;Sales!AW$3)/12)),AV12),IF(YEAR(AW$3)=YEAR(Headcount!$P$4),IF((AW$5=2),((SUMIFS(Headcount!$P$6:$P$89,Headcount!$F$6:$F$89,"Development Operations",Headcount!$H$6:$H$89,"&gt;="&amp;Sales!AW$3)/12)),AV12),IF(YEAR(AW$3)=YEAR(Headcount!$Q$4),IF((AW$5=2),((SUMIFS(Headcount!$Q$6:$Q$89,Headcount!$F$6:$F$89,"Development Operations",Headcount!$H$6:$H$89,"&gt;="&amp;Sales!AW$3)/12)),AV12),IF(YEAR(AW$3)=YEAR(Headcount!$R$4),IF((AW$5=2),((SUMIFS(Headcount!$R$6:$R$89,Headcount!$F$6:$F$89,"Development Operations",Headcount!$H$6:$H$89,"&gt;="&amp;Sales!AW$3)/12)),AV12),"New Year"))))),SUMIF('Dept. Cost Actuals'!$E$7:$E$176,"*salary*",'Dept. Cost Actuals'!BA$703:BA$872))</f>
        <v>112560.78333333333</v>
      </c>
      <c r="AX12" s="1139">
        <f>IF(AX$4="forecast",IF(YEAR(AX$3)=YEAR(Headcount!$N$4),((SUMIFS(Headcount!$N$6:$N$89,Headcount!$F$6:$F$89,"Development Operations",Headcount!$H$6:$H$89,"&gt;="&amp;Sales!AX$3)/12)),IF(YEAR(AX$3)=YEAR(Headcount!$O$4),IF((AX$5=2),((SUMIFS(Headcount!$O$6:$O$89,Headcount!$F$6:$F$89,"Development Operations",Headcount!$H$6:$H$89,"&gt;="&amp;Sales!AX$3)/12)),AW12),IF(YEAR(AX$3)=YEAR(Headcount!$P$4),IF((AX$5=2),((SUMIFS(Headcount!$P$6:$P$89,Headcount!$F$6:$F$89,"Development Operations",Headcount!$H$6:$H$89,"&gt;="&amp;Sales!AX$3)/12)),AW12),IF(YEAR(AX$3)=YEAR(Headcount!$Q$4),IF((AX$5=2),((SUMIFS(Headcount!$Q$6:$Q$89,Headcount!$F$6:$F$89,"Development Operations",Headcount!$H$6:$H$89,"&gt;="&amp;Sales!AX$3)/12)),AW12),IF(YEAR(AX$3)=YEAR(Headcount!$R$4),IF((AX$5=2),((SUMIFS(Headcount!$R$6:$R$89,Headcount!$F$6:$F$89,"Development Operations",Headcount!$H$6:$H$89,"&gt;="&amp;Sales!AX$3)/12)),AW12),"New Year"))))),SUMIF('Dept. Cost Actuals'!$E$7:$E$176,"*salary*",'Dept. Cost Actuals'!BB$703:BB$872))</f>
        <v>112560.78333333333</v>
      </c>
      <c r="AY12" s="1139">
        <f>IF(AY$4="forecast",IF(YEAR(AY$3)=YEAR(Headcount!$N$4),((SUMIFS(Headcount!$N$6:$N$89,Headcount!$F$6:$F$89,"Development Operations",Headcount!$H$6:$H$89,"&gt;="&amp;Sales!AY$3)/12)),IF(YEAR(AY$3)=YEAR(Headcount!$O$4),IF((AY$5=2),((SUMIFS(Headcount!$O$6:$O$89,Headcount!$F$6:$F$89,"Development Operations",Headcount!$H$6:$H$89,"&gt;="&amp;Sales!AY$3)/12)),AX12),IF(YEAR(AY$3)=YEAR(Headcount!$P$4),IF((AY$5=2),((SUMIFS(Headcount!$P$6:$P$89,Headcount!$F$6:$F$89,"Development Operations",Headcount!$H$6:$H$89,"&gt;="&amp;Sales!AY$3)/12)),AX12),IF(YEAR(AY$3)=YEAR(Headcount!$Q$4),IF((AY$5=2),((SUMIFS(Headcount!$Q$6:$Q$89,Headcount!$F$6:$F$89,"Development Operations",Headcount!$H$6:$H$89,"&gt;="&amp;Sales!AY$3)/12)),AX12),IF(YEAR(AY$3)=YEAR(Headcount!$R$4),IF((AY$5=2),((SUMIFS(Headcount!$R$6:$R$89,Headcount!$F$6:$F$89,"Development Operations",Headcount!$H$6:$H$89,"&gt;="&amp;Sales!AY$3)/12)),AX12),"New Year"))))),SUMIF('Dept. Cost Actuals'!$E$7:$E$176,"*salary*",'Dept. Cost Actuals'!BC$703:BC$872))</f>
        <v>112560.78333333333</v>
      </c>
      <c r="AZ12" s="1139">
        <f>IF(AZ$4="forecast",IF(YEAR(AZ$3)=YEAR(Headcount!$N$4),((SUMIFS(Headcount!$N$6:$N$89,Headcount!$F$6:$F$89,"Development Operations",Headcount!$H$6:$H$89,"&gt;="&amp;Sales!AZ$3)/12)),IF(YEAR(AZ$3)=YEAR(Headcount!$O$4),IF((AZ$5=2),((SUMIFS(Headcount!$O$6:$O$89,Headcount!$F$6:$F$89,"Development Operations",Headcount!$H$6:$H$89,"&gt;="&amp;Sales!AZ$3)/12)),AY12),IF(YEAR(AZ$3)=YEAR(Headcount!$P$4),IF((AZ$5=2),((SUMIFS(Headcount!$P$6:$P$89,Headcount!$F$6:$F$89,"Development Operations",Headcount!$H$6:$H$89,"&gt;="&amp;Sales!AZ$3)/12)),AY12),IF(YEAR(AZ$3)=YEAR(Headcount!$Q$4),IF((AZ$5=2),((SUMIFS(Headcount!$Q$6:$Q$89,Headcount!$F$6:$F$89,"Development Operations",Headcount!$H$6:$H$89,"&gt;="&amp;Sales!AZ$3)/12)),AY12),IF(YEAR(AZ$3)=YEAR(Headcount!$R$4),IF((AZ$5=2),((SUMIFS(Headcount!$R$6:$R$89,Headcount!$F$6:$F$89,"Development Operations",Headcount!$H$6:$H$89,"&gt;="&amp;Sales!AZ$3)/12)),AY12),"New Year"))))),SUMIF('Dept. Cost Actuals'!$E$7:$E$176,"*salary*",'Dept. Cost Actuals'!BD$703:BD$872))</f>
        <v>116290.5235</v>
      </c>
      <c r="BA12" s="1139">
        <f>IF(BA$4="forecast",IF(YEAR(BA$3)=YEAR(Headcount!$N$4),((SUMIFS(Headcount!$N$6:$N$89,Headcount!$F$6:$F$89,"Development Operations",Headcount!$H$6:$H$89,"&gt;="&amp;Sales!BA$3)/12)),IF(YEAR(BA$3)=YEAR(Headcount!$O$4),IF((BA$5=2),((SUMIFS(Headcount!$O$6:$O$89,Headcount!$F$6:$F$89,"Development Operations",Headcount!$H$6:$H$89,"&gt;="&amp;Sales!BA$3)/12)),AZ12),IF(YEAR(BA$3)=YEAR(Headcount!$P$4),IF((BA$5=2),((SUMIFS(Headcount!$P$6:$P$89,Headcount!$F$6:$F$89,"Development Operations",Headcount!$H$6:$H$89,"&gt;="&amp;Sales!BA$3)/12)),AZ12),IF(YEAR(BA$3)=YEAR(Headcount!$Q$4),IF((BA$5=2),((SUMIFS(Headcount!$Q$6:$Q$89,Headcount!$F$6:$F$89,"Development Operations",Headcount!$H$6:$H$89,"&gt;="&amp;Sales!BA$3)/12)),AZ12),IF(YEAR(BA$3)=YEAR(Headcount!$R$4),IF((BA$5=2),((SUMIFS(Headcount!$R$6:$R$89,Headcount!$F$6:$F$89,"Development Operations",Headcount!$H$6:$H$89,"&gt;="&amp;Sales!BA$3)/12)),AZ12),"New Year"))))),SUMIF('Dept. Cost Actuals'!$E$7:$E$176,"*salary*",'Dept. Cost Actuals'!BE$703:BE$872))</f>
        <v>116290.5235</v>
      </c>
      <c r="BB12" s="1139">
        <f>IF(BB$4="forecast",IF(YEAR(BB$3)=YEAR(Headcount!$N$4),((SUMIFS(Headcount!$N$6:$N$89,Headcount!$F$6:$F$89,"Development Operations",Headcount!$H$6:$H$89,"&gt;="&amp;Sales!BB$3)/12)),IF(YEAR(BB$3)=YEAR(Headcount!$O$4),IF((BB$5=2),((SUMIFS(Headcount!$O$6:$O$89,Headcount!$F$6:$F$89,"Development Operations",Headcount!$H$6:$H$89,"&gt;="&amp;Sales!BB$3)/12)),BA12),IF(YEAR(BB$3)=YEAR(Headcount!$P$4),IF((BB$5=2),((SUMIFS(Headcount!$P$6:$P$89,Headcount!$F$6:$F$89,"Development Operations",Headcount!$H$6:$H$89,"&gt;="&amp;Sales!BB$3)/12)),BA12),IF(YEAR(BB$3)=YEAR(Headcount!$Q$4),IF((BB$5=2),((SUMIFS(Headcount!$Q$6:$Q$89,Headcount!$F$6:$F$89,"Development Operations",Headcount!$H$6:$H$89,"&gt;="&amp;Sales!BB$3)/12)),BA12),IF(YEAR(BB$3)=YEAR(Headcount!$R$4),IF((BB$5=2),((SUMIFS(Headcount!$R$6:$R$89,Headcount!$F$6:$F$89,"Development Operations",Headcount!$H$6:$H$89,"&gt;="&amp;Sales!BB$3)/12)),BA12),"New Year"))))),SUMIF('Dept. Cost Actuals'!$E$7:$E$176,"*salary*",'Dept. Cost Actuals'!BF$703:BF$872))</f>
        <v>116290.5235</v>
      </c>
      <c r="BC12" s="1139">
        <f>IF(BC$4="forecast",IF(YEAR(BC$3)=YEAR(Headcount!$N$4),((SUMIFS(Headcount!$N$6:$N$89,Headcount!$F$6:$F$89,"Development Operations",Headcount!$H$6:$H$89,"&gt;="&amp;Sales!BC$3)/12)),IF(YEAR(BC$3)=YEAR(Headcount!$O$4),IF((BC$5=2),((SUMIFS(Headcount!$O$6:$O$89,Headcount!$F$6:$F$89,"Development Operations",Headcount!$H$6:$H$89,"&gt;="&amp;Sales!BC$3)/12)),BB12),IF(YEAR(BC$3)=YEAR(Headcount!$P$4),IF((BC$5=2),((SUMIFS(Headcount!$P$6:$P$89,Headcount!$F$6:$F$89,"Development Operations",Headcount!$H$6:$H$89,"&gt;="&amp;Sales!BC$3)/12)),BB12),IF(YEAR(BC$3)=YEAR(Headcount!$Q$4),IF((BC$5=2),((SUMIFS(Headcount!$Q$6:$Q$89,Headcount!$F$6:$F$89,"Development Operations",Headcount!$H$6:$H$89,"&gt;="&amp;Sales!BC$3)/12)),BB12),IF(YEAR(BC$3)=YEAR(Headcount!$R$4),IF((BC$5=2),((SUMIFS(Headcount!$R$6:$R$89,Headcount!$F$6:$F$89,"Development Operations",Headcount!$H$6:$H$89,"&gt;="&amp;Sales!BC$3)/12)),BB12),"New Year"))))),SUMIF('Dept. Cost Actuals'!$E$7:$E$176,"*salary*",'Dept. Cost Actuals'!BG$703:BG$872))</f>
        <v>116290.5235</v>
      </c>
      <c r="BD12" s="1139">
        <f>IF(BD$4="forecast",IF(YEAR(BD$3)=YEAR(Headcount!$N$4),((SUMIFS(Headcount!$N$6:$N$89,Headcount!$F$6:$F$89,"Development Operations",Headcount!$H$6:$H$89,"&gt;="&amp;Sales!BD$3)/12)),IF(YEAR(BD$3)=YEAR(Headcount!$O$4),IF((BD$5=2),((SUMIFS(Headcount!$O$6:$O$89,Headcount!$F$6:$F$89,"Development Operations",Headcount!$H$6:$H$89,"&gt;="&amp;Sales!BD$3)/12)),BC12),IF(YEAR(BD$3)=YEAR(Headcount!$P$4),IF((BD$5=2),((SUMIFS(Headcount!$P$6:$P$89,Headcount!$F$6:$F$89,"Development Operations",Headcount!$H$6:$H$89,"&gt;="&amp;Sales!BD$3)/12)),BC12),IF(YEAR(BD$3)=YEAR(Headcount!$Q$4),IF((BD$5=2),((SUMIFS(Headcount!$Q$6:$Q$89,Headcount!$F$6:$F$89,"Development Operations",Headcount!$H$6:$H$89,"&gt;="&amp;Sales!BD$3)/12)),BC12),IF(YEAR(BD$3)=YEAR(Headcount!$R$4),IF((BD$5=2),((SUMIFS(Headcount!$R$6:$R$89,Headcount!$F$6:$F$89,"Development Operations",Headcount!$H$6:$H$89,"&gt;="&amp;Sales!BD$3)/12)),BC12),"New Year"))))),SUMIF('Dept. Cost Actuals'!$E$7:$E$176,"*salary*",'Dept. Cost Actuals'!BH$703:BH$872))</f>
        <v>116290.5235</v>
      </c>
      <c r="BE12" s="1139">
        <f>IF(BE$4="forecast",IF(YEAR(BE$3)=YEAR(Headcount!$N$4),((SUMIFS(Headcount!$N$6:$N$89,Headcount!$F$6:$F$89,"Development Operations",Headcount!$H$6:$H$89,"&gt;="&amp;Sales!BE$3)/12)),IF(YEAR(BE$3)=YEAR(Headcount!$O$4),IF((BE$5=2),((SUMIFS(Headcount!$O$6:$O$89,Headcount!$F$6:$F$89,"Development Operations",Headcount!$H$6:$H$89,"&gt;="&amp;Sales!BE$3)/12)),BD12),IF(YEAR(BE$3)=YEAR(Headcount!$P$4),IF((BE$5=2),((SUMIFS(Headcount!$P$6:$P$89,Headcount!$F$6:$F$89,"Development Operations",Headcount!$H$6:$H$89,"&gt;="&amp;Sales!BE$3)/12)),BD12),IF(YEAR(BE$3)=YEAR(Headcount!$Q$4),IF((BE$5=2),((SUMIFS(Headcount!$Q$6:$Q$89,Headcount!$F$6:$F$89,"Development Operations",Headcount!$H$6:$H$89,"&gt;="&amp;Sales!BE$3)/12)),BD12),IF(YEAR(BE$3)=YEAR(Headcount!$R$4),IF((BE$5=2),((SUMIFS(Headcount!$R$6:$R$89,Headcount!$F$6:$F$89,"Development Operations",Headcount!$H$6:$H$89,"&gt;="&amp;Sales!BE$3)/12)),BD12),"New Year"))))),SUMIF('Dept. Cost Actuals'!$E$7:$E$176,"*salary*",'Dept. Cost Actuals'!BI$703:BI$872))</f>
        <v>116290.5235</v>
      </c>
      <c r="BF12" s="1139">
        <f>IF(BF$4="forecast",IF(YEAR(BF$3)=YEAR(Headcount!$N$4),((SUMIFS(Headcount!$N$6:$N$89,Headcount!$F$6:$F$89,"Development Operations",Headcount!$H$6:$H$89,"&gt;="&amp;Sales!BF$3)/12)),IF(YEAR(BF$3)=YEAR(Headcount!$O$4),IF((BF$5=2),((SUMIFS(Headcount!$O$6:$O$89,Headcount!$F$6:$F$89,"Development Operations",Headcount!$H$6:$H$89,"&gt;="&amp;Sales!BF$3)/12)),BE12),IF(YEAR(BF$3)=YEAR(Headcount!$P$4),IF((BF$5=2),((SUMIFS(Headcount!$P$6:$P$89,Headcount!$F$6:$F$89,"Development Operations",Headcount!$H$6:$H$89,"&gt;="&amp;Sales!BF$3)/12)),BE12),IF(YEAR(BF$3)=YEAR(Headcount!$Q$4),IF((BF$5=2),((SUMIFS(Headcount!$Q$6:$Q$89,Headcount!$F$6:$F$89,"Development Operations",Headcount!$H$6:$H$89,"&gt;="&amp;Sales!BF$3)/12)),BE12),IF(YEAR(BF$3)=YEAR(Headcount!$R$4),IF((BF$5=2),((SUMIFS(Headcount!$R$6:$R$89,Headcount!$F$6:$F$89,"Development Operations",Headcount!$H$6:$H$89,"&gt;="&amp;Sales!BF$3)/12)),BE12),"New Year"))))),SUMIF('Dept. Cost Actuals'!$E$7:$E$176,"*salary*",'Dept. Cost Actuals'!BJ$703:BJ$872))</f>
        <v>116290.5235</v>
      </c>
      <c r="BG12" s="1139">
        <f>IF(BG$4="forecast",IF(YEAR(BG$3)=YEAR(Headcount!$N$4),((SUMIFS(Headcount!$N$6:$N$89,Headcount!$F$6:$F$89,"Development Operations",Headcount!$H$6:$H$89,"&gt;="&amp;Sales!BG$3)/12)),IF(YEAR(BG$3)=YEAR(Headcount!$O$4),IF((BG$5=2),((SUMIFS(Headcount!$O$6:$O$89,Headcount!$F$6:$F$89,"Development Operations",Headcount!$H$6:$H$89,"&gt;="&amp;Sales!BG$3)/12)),BF12),IF(YEAR(BG$3)=YEAR(Headcount!$P$4),IF((BG$5=2),((SUMIFS(Headcount!$P$6:$P$89,Headcount!$F$6:$F$89,"Development Operations",Headcount!$H$6:$H$89,"&gt;="&amp;Sales!BG$3)/12)),BF12),IF(YEAR(BG$3)=YEAR(Headcount!$Q$4),IF((BG$5=2),((SUMIFS(Headcount!$Q$6:$Q$89,Headcount!$F$6:$F$89,"Development Operations",Headcount!$H$6:$H$89,"&gt;="&amp;Sales!BG$3)/12)),BF12),IF(YEAR(BG$3)=YEAR(Headcount!$R$4),IF((BG$5=2),((SUMIFS(Headcount!$R$6:$R$89,Headcount!$F$6:$F$89,"Development Operations",Headcount!$H$6:$H$89,"&gt;="&amp;Sales!BG$3)/12)),BF12),"New Year"))))),SUMIF('Dept. Cost Actuals'!$E$7:$E$176,"*salary*",'Dept. Cost Actuals'!BK$703:BK$872))</f>
        <v>116290.5235</v>
      </c>
      <c r="BH12" s="1139">
        <f>IF(BH$4="forecast",IF(YEAR(BH$3)=YEAR(Headcount!$N$4),((SUMIFS(Headcount!$N$6:$N$89,Headcount!$F$6:$F$89,"Development Operations",Headcount!$H$6:$H$89,"&gt;="&amp;Sales!BH$3)/12)),IF(YEAR(BH$3)=YEAR(Headcount!$O$4),IF((BH$5=2),((SUMIFS(Headcount!$O$6:$O$89,Headcount!$F$6:$F$89,"Development Operations",Headcount!$H$6:$H$89,"&gt;="&amp;Sales!BH$3)/12)),BG12),IF(YEAR(BH$3)=YEAR(Headcount!$P$4),IF((BH$5=2),((SUMIFS(Headcount!$P$6:$P$89,Headcount!$F$6:$F$89,"Development Operations",Headcount!$H$6:$H$89,"&gt;="&amp;Sales!BH$3)/12)),BG12),IF(YEAR(BH$3)=YEAR(Headcount!$Q$4),IF((BH$5=2),((SUMIFS(Headcount!$Q$6:$Q$89,Headcount!$F$6:$F$89,"Development Operations",Headcount!$H$6:$H$89,"&gt;="&amp;Sales!BH$3)/12)),BG12),IF(YEAR(BH$3)=YEAR(Headcount!$R$4),IF((BH$5=2),((SUMIFS(Headcount!$R$6:$R$89,Headcount!$F$6:$F$89,"Development Operations",Headcount!$H$6:$H$89,"&gt;="&amp;Sales!BH$3)/12)),BG12),"New Year"))))),SUMIF('Dept. Cost Actuals'!$E$7:$E$176,"*salary*",'Dept. Cost Actuals'!BL$703:BL$872))</f>
        <v>116290.5235</v>
      </c>
      <c r="BI12" s="1139">
        <f>IF(BI$4="forecast",IF(YEAR(BI$3)=YEAR(Headcount!$N$4),((SUMIFS(Headcount!$N$6:$N$89,Headcount!$F$6:$F$89,"Development Operations",Headcount!$H$6:$H$89,"&gt;="&amp;Sales!BI$3)/12)),IF(YEAR(BI$3)=YEAR(Headcount!$O$4),IF((BI$5=2),((SUMIFS(Headcount!$O$6:$O$89,Headcount!$F$6:$F$89,"Development Operations",Headcount!$H$6:$H$89,"&gt;="&amp;Sales!BI$3)/12)),BH12),IF(YEAR(BI$3)=YEAR(Headcount!$P$4),IF((BI$5=2),((SUMIFS(Headcount!$P$6:$P$89,Headcount!$F$6:$F$89,"Development Operations",Headcount!$H$6:$H$89,"&gt;="&amp;Sales!BI$3)/12)),BH12),IF(YEAR(BI$3)=YEAR(Headcount!$Q$4),IF((BI$5=2),((SUMIFS(Headcount!$Q$6:$Q$89,Headcount!$F$6:$F$89,"Development Operations",Headcount!$H$6:$H$89,"&gt;="&amp;Sales!BI$3)/12)),BH12),IF(YEAR(BI$3)=YEAR(Headcount!$R$4),IF((BI$5=2),((SUMIFS(Headcount!$R$6:$R$89,Headcount!$F$6:$F$89,"Development Operations",Headcount!$H$6:$H$89,"&gt;="&amp;Sales!BI$3)/12)),BH12),"New Year"))))),SUMIF('Dept. Cost Actuals'!$E$7:$E$176,"*salary*",'Dept. Cost Actuals'!BM$703:BM$872))</f>
        <v>116290.5235</v>
      </c>
      <c r="BJ12" s="1139">
        <f>IF(BJ$4="forecast",IF(YEAR(BJ$3)=YEAR(Headcount!$N$4),((SUMIFS(Headcount!$N$6:$N$89,Headcount!$F$6:$F$89,"Development Operations",Headcount!$H$6:$H$89,"&gt;="&amp;Sales!BJ$3)/12)),IF(YEAR(BJ$3)=YEAR(Headcount!$O$4),IF((BJ$5=2),((SUMIFS(Headcount!$O$6:$O$89,Headcount!$F$6:$F$89,"Development Operations",Headcount!$H$6:$H$89,"&gt;="&amp;Sales!BJ$3)/12)),BI12),IF(YEAR(BJ$3)=YEAR(Headcount!$P$4),IF((BJ$5=2),((SUMIFS(Headcount!$P$6:$P$89,Headcount!$F$6:$F$89,"Development Operations",Headcount!$H$6:$H$89,"&gt;="&amp;Sales!BJ$3)/12)),BI12),IF(YEAR(BJ$3)=YEAR(Headcount!$Q$4),IF((BJ$5=2),((SUMIFS(Headcount!$Q$6:$Q$89,Headcount!$F$6:$F$89,"Development Operations",Headcount!$H$6:$H$89,"&gt;="&amp;Sales!BJ$3)/12)),BI12),IF(YEAR(BJ$3)=YEAR(Headcount!$R$4),IF((BJ$5=2),((SUMIFS(Headcount!$R$6:$R$89,Headcount!$F$6:$F$89,"Development Operations",Headcount!$H$6:$H$89,"&gt;="&amp;Sales!BJ$3)/12)),BI12),"New Year"))))),SUMIF('Dept. Cost Actuals'!$E$7:$E$176,"*salary*",'Dept. Cost Actuals'!BN$703:BN$872))</f>
        <v>116290.5235</v>
      </c>
      <c r="BK12" s="1139">
        <f>IF(BK$4="forecast",IF(YEAR(BK$3)=YEAR(Headcount!$N$4),((SUMIFS(Headcount!$N$6:$N$89,Headcount!$F$6:$F$89,"Development Operations",Headcount!$H$6:$H$89,"&gt;="&amp;Sales!BK$3)/12)),IF(YEAR(BK$3)=YEAR(Headcount!$O$4),IF((BK$5=2),((SUMIFS(Headcount!$O$6:$O$89,Headcount!$F$6:$F$89,"Development Operations",Headcount!$H$6:$H$89,"&gt;="&amp;Sales!BK$3)/12)),BJ12),IF(YEAR(BK$3)=YEAR(Headcount!$P$4),IF((BK$5=2),((SUMIFS(Headcount!$P$6:$P$89,Headcount!$F$6:$F$89,"Development Operations",Headcount!$H$6:$H$89,"&gt;="&amp;Sales!BK$3)/12)),BJ12),IF(YEAR(BK$3)=YEAR(Headcount!$Q$4),IF((BK$5=2),((SUMIFS(Headcount!$Q$6:$Q$89,Headcount!$F$6:$F$89,"Development Operations",Headcount!$H$6:$H$89,"&gt;="&amp;Sales!BK$3)/12)),BJ12),IF(YEAR(BK$3)=YEAR(Headcount!$R$4),IF((BK$5=2),((SUMIFS(Headcount!$R$6:$R$89,Headcount!$F$6:$F$89,"Development Operations",Headcount!$H$6:$H$89,"&gt;="&amp;Sales!BK$3)/12)),BJ12),"New Year"))))),SUMIF('Dept. Cost Actuals'!$E$7:$E$176,"*salary*",'Dept. Cost Actuals'!BO$703:BO$872))</f>
        <v>116290.5235</v>
      </c>
      <c r="BL12" s="1139">
        <f>IF(BL$4="forecast",IF(YEAR(BL$3)=YEAR(Headcount!$N$4),((SUMIFS(Headcount!$N$6:$N$89,Headcount!$F$6:$F$89,"Development Operations",Headcount!$H$6:$H$89,"&gt;="&amp;Sales!BL$3)/12)),IF(YEAR(BL$3)=YEAR(Headcount!$O$4),IF((BL$5=2),((SUMIFS(Headcount!$O$6:$O$89,Headcount!$F$6:$F$89,"Development Operations",Headcount!$H$6:$H$89,"&gt;="&amp;Sales!BL$3)/12)),BK12),IF(YEAR(BL$3)=YEAR(Headcount!$P$4),IF((BL$5=2),((SUMIFS(Headcount!$P$6:$P$89,Headcount!$F$6:$F$89,"Development Operations",Headcount!$H$6:$H$89,"&gt;="&amp;Sales!BL$3)/12)),BK12),IF(YEAR(BL$3)=YEAR(Headcount!$Q$4),IF((BL$5=2),((SUMIFS(Headcount!$Q$6:$Q$89,Headcount!$F$6:$F$89,"Development Operations",Headcount!$H$6:$H$89,"&gt;="&amp;Sales!BL$3)/12)),BK12),IF(YEAR(BL$3)=YEAR(Headcount!$R$4),IF((BL$5=2),((SUMIFS(Headcount!$R$6:$R$89,Headcount!$F$6:$F$89,"Development Operations",Headcount!$H$6:$H$89,"&gt;="&amp;Sales!BL$3)/12)),BK12),"New Year"))))),SUMIF('Dept. Cost Actuals'!$E$7:$E$176,"*salary*",'Dept. Cost Actuals'!BP$703:BP$872))</f>
        <v>120167.44753833336</v>
      </c>
      <c r="BM12" s="1139">
        <f>IF(BM$4="forecast",IF(YEAR(BM$3)=YEAR(Headcount!$N$4),((SUMIFS(Headcount!$N$6:$N$89,Headcount!$F$6:$F$89,"Development Operations",Headcount!$H$6:$H$89,"&gt;="&amp;Sales!BM$3)/12)),IF(YEAR(BM$3)=YEAR(Headcount!$O$4),IF((BM$5=2),((SUMIFS(Headcount!$O$6:$O$89,Headcount!$F$6:$F$89,"Development Operations",Headcount!$H$6:$H$89,"&gt;="&amp;Sales!BM$3)/12)),BL12),IF(YEAR(BM$3)=YEAR(Headcount!$P$4),IF((BM$5=2),((SUMIFS(Headcount!$P$6:$P$89,Headcount!$F$6:$F$89,"Development Operations",Headcount!$H$6:$H$89,"&gt;="&amp;Sales!BM$3)/12)),BL12),IF(YEAR(BM$3)=YEAR(Headcount!$Q$4),IF((BM$5=2),((SUMIFS(Headcount!$Q$6:$Q$89,Headcount!$F$6:$F$89,"Development Operations",Headcount!$H$6:$H$89,"&gt;="&amp;Sales!BM$3)/12)),BL12),IF(YEAR(BM$3)=YEAR(Headcount!$R$4),IF((BM$5=2),((SUMIFS(Headcount!$R$6:$R$89,Headcount!$F$6:$F$89,"Development Operations",Headcount!$H$6:$H$89,"&gt;="&amp;Sales!BM$3)/12)),BL12),"New Year"))))),SUMIF('Dept. Cost Actuals'!$E$7:$E$176,"*salary*",'Dept. Cost Actuals'!BQ$703:BQ$872))</f>
        <v>120167.44753833336</v>
      </c>
      <c r="BN12" s="1139">
        <f>IF(BN$4="forecast",IF(YEAR(BN$3)=YEAR(Headcount!$N$4),((SUMIFS(Headcount!$N$6:$N$89,Headcount!$F$6:$F$89,"Development Operations",Headcount!$H$6:$H$89,"&gt;="&amp;Sales!BN$3)/12)),IF(YEAR(BN$3)=YEAR(Headcount!$O$4),IF((BN$5=2),((SUMIFS(Headcount!$O$6:$O$89,Headcount!$F$6:$F$89,"Development Operations",Headcount!$H$6:$H$89,"&gt;="&amp;Sales!BN$3)/12)),BM12),IF(YEAR(BN$3)=YEAR(Headcount!$P$4),IF((BN$5=2),((SUMIFS(Headcount!$P$6:$P$89,Headcount!$F$6:$F$89,"Development Operations",Headcount!$H$6:$H$89,"&gt;="&amp;Sales!BN$3)/12)),BM12),IF(YEAR(BN$3)=YEAR(Headcount!$Q$4),IF((BN$5=2),((SUMIFS(Headcount!$Q$6:$Q$89,Headcount!$F$6:$F$89,"Development Operations",Headcount!$H$6:$H$89,"&gt;="&amp;Sales!BN$3)/12)),BM12),IF(YEAR(BN$3)=YEAR(Headcount!$R$4),IF((BN$5=2),((SUMIFS(Headcount!$R$6:$R$89,Headcount!$F$6:$F$89,"Development Operations",Headcount!$H$6:$H$89,"&gt;="&amp;Sales!BN$3)/12)),BM12),"New Year"))))),SUMIF('Dept. Cost Actuals'!$E$7:$E$176,"*salary*",'Dept. Cost Actuals'!BR$703:BR$872))</f>
        <v>120167.44753833336</v>
      </c>
      <c r="BO12" s="1139">
        <f>IF(BO$4="forecast",IF(YEAR(BO$3)=YEAR(Headcount!$N$4),((SUMIFS(Headcount!$N$6:$N$89,Headcount!$F$6:$F$89,"Development Operations",Headcount!$H$6:$H$89,"&gt;="&amp;Sales!BO$3)/12)),IF(YEAR(BO$3)=YEAR(Headcount!$O$4),IF((BO$5=2),((SUMIFS(Headcount!$O$6:$O$89,Headcount!$F$6:$F$89,"Development Operations",Headcount!$H$6:$H$89,"&gt;="&amp;Sales!BO$3)/12)),BN12),IF(YEAR(BO$3)=YEAR(Headcount!$P$4),IF((BO$5=2),((SUMIFS(Headcount!$P$6:$P$89,Headcount!$F$6:$F$89,"Development Operations",Headcount!$H$6:$H$89,"&gt;="&amp;Sales!BO$3)/12)),BN12),IF(YEAR(BO$3)=YEAR(Headcount!$Q$4),IF((BO$5=2),((SUMIFS(Headcount!$Q$6:$Q$89,Headcount!$F$6:$F$89,"Development Operations",Headcount!$H$6:$H$89,"&gt;="&amp;Sales!BO$3)/12)),BN12),IF(YEAR(BO$3)=YEAR(Headcount!$R$4),IF((BO$5=2),((SUMIFS(Headcount!$R$6:$R$89,Headcount!$F$6:$F$89,"Development Operations",Headcount!$H$6:$H$89,"&gt;="&amp;Sales!BO$3)/12)),BN12),"New Year"))))),SUMIF('Dept. Cost Actuals'!$E$7:$E$176,"*salary*",'Dept. Cost Actuals'!BS$703:BS$872))</f>
        <v>120167.44753833336</v>
      </c>
      <c r="BP12" s="1139">
        <f>IF(BP$4="forecast",IF(YEAR(BP$3)=YEAR(Headcount!$N$4),((SUMIFS(Headcount!$N$6:$N$89,Headcount!$F$6:$F$89,"Development Operations",Headcount!$H$6:$H$89,"&gt;="&amp;Sales!BP$3)/12)),IF(YEAR(BP$3)=YEAR(Headcount!$O$4),IF((BP$5=2),((SUMIFS(Headcount!$O$6:$O$89,Headcount!$F$6:$F$89,"Development Operations",Headcount!$H$6:$H$89,"&gt;="&amp;Sales!BP$3)/12)),BO12),IF(YEAR(BP$3)=YEAR(Headcount!$P$4),IF((BP$5=2),((SUMIFS(Headcount!$P$6:$P$89,Headcount!$F$6:$F$89,"Development Operations",Headcount!$H$6:$H$89,"&gt;="&amp;Sales!BP$3)/12)),BO12),IF(YEAR(BP$3)=YEAR(Headcount!$Q$4),IF((BP$5=2),((SUMIFS(Headcount!$Q$6:$Q$89,Headcount!$F$6:$F$89,"Development Operations",Headcount!$H$6:$H$89,"&gt;="&amp;Sales!BP$3)/12)),BO12),IF(YEAR(BP$3)=YEAR(Headcount!$R$4),IF((BP$5=2),((SUMIFS(Headcount!$R$6:$R$89,Headcount!$F$6:$F$89,"Development Operations",Headcount!$H$6:$H$89,"&gt;="&amp;Sales!BP$3)/12)),BO12),"New Year"))))),SUMIF('Dept. Cost Actuals'!$E$7:$E$176,"*salary*",'Dept. Cost Actuals'!BT$703:BT$872))</f>
        <v>120167.44753833336</v>
      </c>
      <c r="BQ12" s="1139">
        <f>IF(BQ$4="forecast",IF(YEAR(BQ$3)=YEAR(Headcount!$N$4),((SUMIFS(Headcount!$N$6:$N$89,Headcount!$F$6:$F$89,"Development Operations",Headcount!$H$6:$H$89,"&gt;="&amp;Sales!BQ$3)/12)),IF(YEAR(BQ$3)=YEAR(Headcount!$O$4),IF((BQ$5=2),((SUMIFS(Headcount!$O$6:$O$89,Headcount!$F$6:$F$89,"Development Operations",Headcount!$H$6:$H$89,"&gt;="&amp;Sales!BQ$3)/12)),BP12),IF(YEAR(BQ$3)=YEAR(Headcount!$P$4),IF((BQ$5=2),((SUMIFS(Headcount!$P$6:$P$89,Headcount!$F$6:$F$89,"Development Operations",Headcount!$H$6:$H$89,"&gt;="&amp;Sales!BQ$3)/12)),BP12),IF(YEAR(BQ$3)=YEAR(Headcount!$Q$4),IF((BQ$5=2),((SUMIFS(Headcount!$Q$6:$Q$89,Headcount!$F$6:$F$89,"Development Operations",Headcount!$H$6:$H$89,"&gt;="&amp;Sales!BQ$3)/12)),BP12),IF(YEAR(BQ$3)=YEAR(Headcount!$R$4),IF((BQ$5=2),((SUMIFS(Headcount!$R$6:$R$89,Headcount!$F$6:$F$89,"Development Operations",Headcount!$H$6:$H$89,"&gt;="&amp;Sales!BQ$3)/12)),BP12),"New Year"))))),SUMIF('Dept. Cost Actuals'!$E$7:$E$176,"*salary*",'Dept. Cost Actuals'!BU$703:BU$872))</f>
        <v>120167.44753833336</v>
      </c>
      <c r="BR12" s="1139">
        <f>IF(BR$4="forecast",IF(YEAR(BR$3)=YEAR(Headcount!$N$4),((SUMIFS(Headcount!$N$6:$N$89,Headcount!$F$6:$F$89,"Development Operations",Headcount!$H$6:$H$89,"&gt;="&amp;Sales!BR$3)/12)),IF(YEAR(BR$3)=YEAR(Headcount!$O$4),IF((BR$5=2),((SUMIFS(Headcount!$O$6:$O$89,Headcount!$F$6:$F$89,"Development Operations",Headcount!$H$6:$H$89,"&gt;="&amp;Sales!BR$3)/12)),BQ12),IF(YEAR(BR$3)=YEAR(Headcount!$P$4),IF((BR$5=2),((SUMIFS(Headcount!$P$6:$P$89,Headcount!$F$6:$F$89,"Development Operations",Headcount!$H$6:$H$89,"&gt;="&amp;Sales!BR$3)/12)),BQ12),IF(YEAR(BR$3)=YEAR(Headcount!$Q$4),IF((BR$5=2),((SUMIFS(Headcount!$Q$6:$Q$89,Headcount!$F$6:$F$89,"Development Operations",Headcount!$H$6:$H$89,"&gt;="&amp;Sales!BR$3)/12)),BQ12),IF(YEAR(BR$3)=YEAR(Headcount!$R$4),IF((BR$5=2),((SUMIFS(Headcount!$R$6:$R$89,Headcount!$F$6:$F$89,"Development Operations",Headcount!$H$6:$H$89,"&gt;="&amp;Sales!BR$3)/12)),BQ12),"New Year"))))),SUMIF('Dept. Cost Actuals'!$E$7:$E$176,"*salary*",'Dept. Cost Actuals'!BV$703:BV$872))</f>
        <v>120167.44753833336</v>
      </c>
      <c r="BS12" s="1139">
        <f>IF(BS$4="forecast",IF(YEAR(BS$3)=YEAR(Headcount!$N$4),((SUMIFS(Headcount!$N$6:$N$89,Headcount!$F$6:$F$89,"Development Operations",Headcount!$H$6:$H$89,"&gt;="&amp;Sales!BS$3)/12)),IF(YEAR(BS$3)=YEAR(Headcount!$O$4),IF((BS$5=2),((SUMIFS(Headcount!$O$6:$O$89,Headcount!$F$6:$F$89,"Development Operations",Headcount!$H$6:$H$89,"&gt;="&amp;Sales!BS$3)/12)),BR12),IF(YEAR(BS$3)=YEAR(Headcount!$P$4),IF((BS$5=2),((SUMIFS(Headcount!$P$6:$P$89,Headcount!$F$6:$F$89,"Development Operations",Headcount!$H$6:$H$89,"&gt;="&amp;Sales!BS$3)/12)),BR12),IF(YEAR(BS$3)=YEAR(Headcount!$Q$4),IF((BS$5=2),((SUMIFS(Headcount!$Q$6:$Q$89,Headcount!$F$6:$F$89,"Development Operations",Headcount!$H$6:$H$89,"&gt;="&amp;Sales!BS$3)/12)),BR12),IF(YEAR(BS$3)=YEAR(Headcount!$R$4),IF((BS$5=2),((SUMIFS(Headcount!$R$6:$R$89,Headcount!$F$6:$F$89,"Development Operations",Headcount!$H$6:$H$89,"&gt;="&amp;Sales!BS$3)/12)),BR12),"New Year"))))),SUMIF('Dept. Cost Actuals'!$E$7:$E$176,"*salary*",'Dept. Cost Actuals'!BW$703:BW$872))</f>
        <v>120167.44753833336</v>
      </c>
      <c r="BT12" s="1139">
        <f>IF(BT$4="forecast",IF(YEAR(BT$3)=YEAR(Headcount!$N$4),((SUMIFS(Headcount!$N$6:$N$89,Headcount!$F$6:$F$89,"Development Operations",Headcount!$H$6:$H$89,"&gt;="&amp;Sales!BT$3)/12)),IF(YEAR(BT$3)=YEAR(Headcount!$O$4),IF((BT$5=2),((SUMIFS(Headcount!$O$6:$O$89,Headcount!$F$6:$F$89,"Development Operations",Headcount!$H$6:$H$89,"&gt;="&amp;Sales!BT$3)/12)),BS12),IF(YEAR(BT$3)=YEAR(Headcount!$P$4),IF((BT$5=2),((SUMIFS(Headcount!$P$6:$P$89,Headcount!$F$6:$F$89,"Development Operations",Headcount!$H$6:$H$89,"&gt;="&amp;Sales!BT$3)/12)),BS12),IF(YEAR(BT$3)=YEAR(Headcount!$Q$4),IF((BT$5=2),((SUMIFS(Headcount!$Q$6:$Q$89,Headcount!$F$6:$F$89,"Development Operations",Headcount!$H$6:$H$89,"&gt;="&amp;Sales!BT$3)/12)),BS12),IF(YEAR(BT$3)=YEAR(Headcount!$R$4),IF((BT$5=2),((SUMIFS(Headcount!$R$6:$R$89,Headcount!$F$6:$F$89,"Development Operations",Headcount!$H$6:$H$89,"&gt;="&amp;Sales!BT$3)/12)),BS12),"New Year"))))),SUMIF('Dept. Cost Actuals'!$E$7:$E$176,"*salary*",'Dept. Cost Actuals'!BX$703:BX$872))</f>
        <v>120167.44753833336</v>
      </c>
      <c r="BU12" s="1139">
        <f>IF(BU$4="forecast",IF(YEAR(BU$3)=YEAR(Headcount!$N$4),((SUMIFS(Headcount!$N$6:$N$89,Headcount!$F$6:$F$89,"Development Operations",Headcount!$H$6:$H$89,"&gt;="&amp;Sales!BU$3)/12)),IF(YEAR(BU$3)=YEAR(Headcount!$O$4),IF((BU$5=2),((SUMIFS(Headcount!$O$6:$O$89,Headcount!$F$6:$F$89,"Development Operations",Headcount!$H$6:$H$89,"&gt;="&amp;Sales!BU$3)/12)),BT12),IF(YEAR(BU$3)=YEAR(Headcount!$P$4),IF((BU$5=2),((SUMIFS(Headcount!$P$6:$P$89,Headcount!$F$6:$F$89,"Development Operations",Headcount!$H$6:$H$89,"&gt;="&amp;Sales!BU$3)/12)),BT12),IF(YEAR(BU$3)=YEAR(Headcount!$Q$4),IF((BU$5=2),((SUMIFS(Headcount!$Q$6:$Q$89,Headcount!$F$6:$F$89,"Development Operations",Headcount!$H$6:$H$89,"&gt;="&amp;Sales!BU$3)/12)),BT12),IF(YEAR(BU$3)=YEAR(Headcount!$R$4),IF((BU$5=2),((SUMIFS(Headcount!$R$6:$R$89,Headcount!$F$6:$F$89,"Development Operations",Headcount!$H$6:$H$89,"&gt;="&amp;Sales!BU$3)/12)),BT12),"New Year"))))),SUMIF('Dept. Cost Actuals'!$E$7:$E$176,"*salary*",'Dept. Cost Actuals'!BY$703:BY$872))</f>
        <v>120167.44753833336</v>
      </c>
      <c r="BV12" s="1139">
        <f>IF(BV$4="forecast",IF(YEAR(BV$3)=YEAR(Headcount!$N$4),((SUMIFS(Headcount!$N$6:$N$89,Headcount!$F$6:$F$89,"Development Operations",Headcount!$H$6:$H$89,"&gt;="&amp;Sales!BV$3)/12)),IF(YEAR(BV$3)=YEAR(Headcount!$O$4),IF((BV$5=2),((SUMIFS(Headcount!$O$6:$O$89,Headcount!$F$6:$F$89,"Development Operations",Headcount!$H$6:$H$89,"&gt;="&amp;Sales!BV$3)/12)),BU12),IF(YEAR(BV$3)=YEAR(Headcount!$P$4),IF((BV$5=2),((SUMIFS(Headcount!$P$6:$P$89,Headcount!$F$6:$F$89,"Development Operations",Headcount!$H$6:$H$89,"&gt;="&amp;Sales!BV$3)/12)),BU12),IF(YEAR(BV$3)=YEAR(Headcount!$Q$4),IF((BV$5=2),((SUMIFS(Headcount!$Q$6:$Q$89,Headcount!$F$6:$F$89,"Development Operations",Headcount!$H$6:$H$89,"&gt;="&amp;Sales!BV$3)/12)),BU12),IF(YEAR(BV$3)=YEAR(Headcount!$R$4),IF((BV$5=2),((SUMIFS(Headcount!$R$6:$R$89,Headcount!$F$6:$F$89,"Development Operations",Headcount!$H$6:$H$89,"&gt;="&amp;Sales!BV$3)/12)),BU12),"New Year"))))),SUMIF('Dept. Cost Actuals'!$E$7:$E$176,"*salary*",'Dept. Cost Actuals'!BZ$703:BZ$872))</f>
        <v>120167.44753833336</v>
      </c>
    </row>
    <row r="13" spans="2:74" x14ac:dyDescent="0.25">
      <c r="B13" s="780" t="s">
        <v>928</v>
      </c>
      <c r="C13" s="668">
        <f>IF(C$4="forecast",IF(YEAR(C$3)=YEAR('New Hires Forecast'!$N$3),((SUMIFS('New Hires Forecast'!$N$5:$N$82,'New Hires Forecast'!$F$5:$F$82,"Dev Ops",'New Hires Forecast'!$H$5:$H$82,"&gt;="&amp;'Dev Ops'!C3,'New Hires Forecast'!$G$5:$G$82,"&lt;="&amp;'Dev Ops'!C3)/12)),IF(YEAR(C$3)=YEAR('New Hires Forecast'!$O$3),((SUMIFS('New Hires Forecast'!$O$5:$O$82,'New Hires Forecast'!$F$5:$F$82,"Dev Ops",'New Hires Forecast'!$H$5:$H$82,"&gt;="&amp;'Dev Ops'!C3,'New Hires Forecast'!$G$5:$G$82,"&lt;="&amp;'Dev Ops'!C3)/12)),IF(YEAR(C$3)=YEAR('New Hires Forecast'!$P$3),((SUMIFS('New Hires Forecast'!$P$5:$P$82,'New Hires Forecast'!$F$5:$F$82,"Dev Ops",'New Hires Forecast'!$H$5:$H$82,"&gt;="&amp;'Dev Ops'!C3,'New Hires Forecast'!$G$5:$G$82,"&lt;="&amp;'Dev Ops'!C3)/12)),IF(YEAR(C$3)=YEAR('New Hires Forecast'!$Q$3),((SUMIFS('New Hires Forecast'!$Q$5:$Q$82,'New Hires Forecast'!$F$5:$F$82,"Dev Ops",'New Hires Forecast'!$H$5:$H$82,"&gt;="&amp;'Dev Ops'!C3,'New Hires Forecast'!$G$5:$G$82,"&lt;="&amp;'Dev Ops'!C3)/12)),IF(YEAR(C$3)=YEAR('New Hires Forecast'!$R$3),((SUMIFS('New Hires Forecast'!$R$5:$R$82,'New Hires Forecast'!$F$5:$F$82,"Dev Ops",'New Hires Forecast'!$H$5:$H$82,"&gt;="&amp;'Dev Ops'!C3,'New Hires Forecast'!$G$5:$G$82,"&lt;="&amp;'Dev Ops'!C3)/12))))))),0)</f>
        <v>0</v>
      </c>
      <c r="D13" s="668">
        <f>IF(D$4="forecast",IF(YEAR(D$3)=YEAR('New Hires Forecast'!$N$3),((SUMIFS('New Hires Forecast'!$N$5:$N$82,'New Hires Forecast'!$F$5:$F$82,"Dev Ops",'New Hires Forecast'!$H$5:$H$82,"&gt;="&amp;'Dev Ops'!D3,'New Hires Forecast'!$G$5:$G$82,"&lt;="&amp;'Dev Ops'!D3)/12)),IF(YEAR(D$3)=YEAR('New Hires Forecast'!$O$3),((SUMIFS('New Hires Forecast'!$O$5:$O$82,'New Hires Forecast'!$F$5:$F$82,"Dev Ops",'New Hires Forecast'!$H$5:$H$82,"&gt;="&amp;'Dev Ops'!D3,'New Hires Forecast'!$G$5:$G$82,"&lt;="&amp;'Dev Ops'!D3)/12)),IF(YEAR(D$3)=YEAR('New Hires Forecast'!$P$3),((SUMIFS('New Hires Forecast'!$P$5:$P$82,'New Hires Forecast'!$F$5:$F$82,"Dev Ops",'New Hires Forecast'!$H$5:$H$82,"&gt;="&amp;'Dev Ops'!D3,'New Hires Forecast'!$G$5:$G$82,"&lt;="&amp;'Dev Ops'!D3)/12)),IF(YEAR(D$3)=YEAR('New Hires Forecast'!$Q$3),((SUMIFS('New Hires Forecast'!$Q$5:$Q$82,'New Hires Forecast'!$F$5:$F$82,"Dev Ops",'New Hires Forecast'!$H$5:$H$82,"&gt;="&amp;'Dev Ops'!D3,'New Hires Forecast'!$G$5:$G$82,"&lt;="&amp;'Dev Ops'!D3)/12)),IF(YEAR(D$3)=YEAR('New Hires Forecast'!$R$3),((SUMIFS('New Hires Forecast'!$R$5:$R$82,'New Hires Forecast'!$F$5:$F$82,"Dev Ops",'New Hires Forecast'!$H$5:$H$82,"&gt;="&amp;'Dev Ops'!D3,'New Hires Forecast'!$G$5:$G$82,"&lt;="&amp;'Dev Ops'!D3)/12))))))),0)</f>
        <v>0</v>
      </c>
      <c r="E13" s="668">
        <f>IF(E$4="forecast",IF(YEAR(E$3)=YEAR('New Hires Forecast'!$N$3),((SUMIFS('New Hires Forecast'!$N$5:$N$82,'New Hires Forecast'!$F$5:$F$82,"Dev Ops",'New Hires Forecast'!$H$5:$H$82,"&gt;="&amp;'Dev Ops'!E3,'New Hires Forecast'!$G$5:$G$82,"&lt;="&amp;'Dev Ops'!E3)/12)),IF(YEAR(E$3)=YEAR('New Hires Forecast'!$O$3),((SUMIFS('New Hires Forecast'!$O$5:$O$82,'New Hires Forecast'!$F$5:$F$82,"Dev Ops",'New Hires Forecast'!$H$5:$H$82,"&gt;="&amp;'Dev Ops'!E3,'New Hires Forecast'!$G$5:$G$82,"&lt;="&amp;'Dev Ops'!E3)/12)),IF(YEAR(E$3)=YEAR('New Hires Forecast'!$P$3),((SUMIFS('New Hires Forecast'!$P$5:$P$82,'New Hires Forecast'!$F$5:$F$82,"Dev Ops",'New Hires Forecast'!$H$5:$H$82,"&gt;="&amp;'Dev Ops'!E3,'New Hires Forecast'!$G$5:$G$82,"&lt;="&amp;'Dev Ops'!E3)/12)),IF(YEAR(E$3)=YEAR('New Hires Forecast'!$Q$3),((SUMIFS('New Hires Forecast'!$Q$5:$Q$82,'New Hires Forecast'!$F$5:$F$82,"Dev Ops",'New Hires Forecast'!$H$5:$H$82,"&gt;="&amp;'Dev Ops'!E3,'New Hires Forecast'!$G$5:$G$82,"&lt;="&amp;'Dev Ops'!E3)/12)),IF(YEAR(E$3)=YEAR('New Hires Forecast'!$R$3),((SUMIFS('New Hires Forecast'!$R$5:$R$82,'New Hires Forecast'!$F$5:$F$82,"Dev Ops",'New Hires Forecast'!$H$5:$H$82,"&gt;="&amp;'Dev Ops'!E3,'New Hires Forecast'!$G$5:$G$82,"&lt;="&amp;'Dev Ops'!E3)/12))))))),0)</f>
        <v>0</v>
      </c>
      <c r="F13" s="668">
        <f>IF(F$4="forecast",IF(YEAR(F$3)=YEAR('New Hires Forecast'!$N$3),((SUMIFS('New Hires Forecast'!$N$5:$N$82,'New Hires Forecast'!$F$5:$F$82,"Dev Ops",'New Hires Forecast'!$H$5:$H$82,"&gt;="&amp;'Dev Ops'!F3,'New Hires Forecast'!$G$5:$G$82,"&lt;="&amp;'Dev Ops'!F3)/12)),IF(YEAR(F$3)=YEAR('New Hires Forecast'!$O$3),((SUMIFS('New Hires Forecast'!$O$5:$O$82,'New Hires Forecast'!$F$5:$F$82,"Dev Ops",'New Hires Forecast'!$H$5:$H$82,"&gt;="&amp;'Dev Ops'!F3,'New Hires Forecast'!$G$5:$G$82,"&lt;="&amp;'Dev Ops'!F3)/12)),IF(YEAR(F$3)=YEAR('New Hires Forecast'!$P$3),((SUMIFS('New Hires Forecast'!$P$5:$P$82,'New Hires Forecast'!$F$5:$F$82,"Dev Ops",'New Hires Forecast'!$H$5:$H$82,"&gt;="&amp;'Dev Ops'!F3,'New Hires Forecast'!$G$5:$G$82,"&lt;="&amp;'Dev Ops'!F3)/12)),IF(YEAR(F$3)=YEAR('New Hires Forecast'!$Q$3),((SUMIFS('New Hires Forecast'!$Q$5:$Q$82,'New Hires Forecast'!$F$5:$F$82,"Dev Ops",'New Hires Forecast'!$H$5:$H$82,"&gt;="&amp;'Dev Ops'!F3,'New Hires Forecast'!$G$5:$G$82,"&lt;="&amp;'Dev Ops'!F3)/12)),IF(YEAR(F$3)=YEAR('New Hires Forecast'!$R$3),((SUMIFS('New Hires Forecast'!$R$5:$R$82,'New Hires Forecast'!$F$5:$F$82,"Dev Ops",'New Hires Forecast'!$H$5:$H$82,"&gt;="&amp;'Dev Ops'!F3,'New Hires Forecast'!$G$5:$G$82,"&lt;="&amp;'Dev Ops'!F3)/12))))))),0)</f>
        <v>0</v>
      </c>
      <c r="G13" s="668">
        <f>IF(G$4="forecast",IF(YEAR(G$3)=YEAR('New Hires Forecast'!$N$3),((SUMIFS('New Hires Forecast'!$N$5:$N$82,'New Hires Forecast'!$F$5:$F$82,"Dev Ops",'New Hires Forecast'!$H$5:$H$82,"&gt;="&amp;'Dev Ops'!G3,'New Hires Forecast'!$G$5:$G$82,"&lt;="&amp;'Dev Ops'!G3)/12)),IF(YEAR(G$3)=YEAR('New Hires Forecast'!$O$3),((SUMIFS('New Hires Forecast'!$O$5:$O$82,'New Hires Forecast'!$F$5:$F$82,"Dev Ops",'New Hires Forecast'!$H$5:$H$82,"&gt;="&amp;'Dev Ops'!G3,'New Hires Forecast'!$G$5:$G$82,"&lt;="&amp;'Dev Ops'!G3)/12)),IF(YEAR(G$3)=YEAR('New Hires Forecast'!$P$3),((SUMIFS('New Hires Forecast'!$P$5:$P$82,'New Hires Forecast'!$F$5:$F$82,"Dev Ops",'New Hires Forecast'!$H$5:$H$82,"&gt;="&amp;'Dev Ops'!G3,'New Hires Forecast'!$G$5:$G$82,"&lt;="&amp;'Dev Ops'!G3)/12)),IF(YEAR(G$3)=YEAR('New Hires Forecast'!$Q$3),((SUMIFS('New Hires Forecast'!$Q$5:$Q$82,'New Hires Forecast'!$F$5:$F$82,"Dev Ops",'New Hires Forecast'!$H$5:$H$82,"&gt;="&amp;'Dev Ops'!G3,'New Hires Forecast'!$G$5:$G$82,"&lt;="&amp;'Dev Ops'!G3)/12)),IF(YEAR(G$3)=YEAR('New Hires Forecast'!$R$3),((SUMIFS('New Hires Forecast'!$R$5:$R$82,'New Hires Forecast'!$F$5:$F$82,"Dev Ops",'New Hires Forecast'!$H$5:$H$82,"&gt;="&amp;'Dev Ops'!G3,'New Hires Forecast'!$G$5:$G$82,"&lt;="&amp;'Dev Ops'!G3)/12))))))),0)</f>
        <v>0</v>
      </c>
      <c r="H13" s="668">
        <f>IF(H$4="forecast",IF(YEAR(H$3)=YEAR('New Hires Forecast'!$N$3),((SUMIFS('New Hires Forecast'!$N$5:$N$82,'New Hires Forecast'!$F$5:$F$82,"Dev Ops",'New Hires Forecast'!$H$5:$H$82,"&gt;="&amp;'Dev Ops'!H3,'New Hires Forecast'!$G$5:$G$82,"&lt;="&amp;'Dev Ops'!H3)/12)),IF(YEAR(H$3)=YEAR('New Hires Forecast'!$O$3),((SUMIFS('New Hires Forecast'!$O$5:$O$82,'New Hires Forecast'!$F$5:$F$82,"Dev Ops",'New Hires Forecast'!$H$5:$H$82,"&gt;="&amp;'Dev Ops'!H3,'New Hires Forecast'!$G$5:$G$82,"&lt;="&amp;'Dev Ops'!H3)/12)),IF(YEAR(H$3)=YEAR('New Hires Forecast'!$P$3),((SUMIFS('New Hires Forecast'!$P$5:$P$82,'New Hires Forecast'!$F$5:$F$82,"Dev Ops",'New Hires Forecast'!$H$5:$H$82,"&gt;="&amp;'Dev Ops'!H3,'New Hires Forecast'!$G$5:$G$82,"&lt;="&amp;'Dev Ops'!H3)/12)),IF(YEAR(H$3)=YEAR('New Hires Forecast'!$Q$3),((SUMIFS('New Hires Forecast'!$Q$5:$Q$82,'New Hires Forecast'!$F$5:$F$82,"Dev Ops",'New Hires Forecast'!$H$5:$H$82,"&gt;="&amp;'Dev Ops'!H3,'New Hires Forecast'!$G$5:$G$82,"&lt;="&amp;'Dev Ops'!H3)/12)),IF(YEAR(H$3)=YEAR('New Hires Forecast'!$R$3),((SUMIFS('New Hires Forecast'!$R$5:$R$82,'New Hires Forecast'!$F$5:$F$82,"Dev Ops",'New Hires Forecast'!$H$5:$H$82,"&gt;="&amp;'Dev Ops'!H3,'New Hires Forecast'!$G$5:$G$82,"&lt;="&amp;'Dev Ops'!H3)/12))))))),0)</f>
        <v>0</v>
      </c>
      <c r="I13" s="668">
        <f>IF(I$4="forecast",IF(YEAR(I$3)=YEAR('New Hires Forecast'!$N$3),((SUMIFS('New Hires Forecast'!$N$5:$N$82,'New Hires Forecast'!$F$5:$F$82,"Dev Ops",'New Hires Forecast'!$H$5:$H$82,"&gt;="&amp;'Dev Ops'!I3,'New Hires Forecast'!$G$5:$G$82,"&lt;="&amp;'Dev Ops'!I3)/12)),IF(YEAR(I$3)=YEAR('New Hires Forecast'!$O$3),((SUMIFS('New Hires Forecast'!$O$5:$O$82,'New Hires Forecast'!$F$5:$F$82,"Dev Ops",'New Hires Forecast'!$H$5:$H$82,"&gt;="&amp;'Dev Ops'!I3,'New Hires Forecast'!$G$5:$G$82,"&lt;="&amp;'Dev Ops'!I3)/12)),IF(YEAR(I$3)=YEAR('New Hires Forecast'!$P$3),((SUMIFS('New Hires Forecast'!$P$5:$P$82,'New Hires Forecast'!$F$5:$F$82,"Dev Ops",'New Hires Forecast'!$H$5:$H$82,"&gt;="&amp;'Dev Ops'!I3,'New Hires Forecast'!$G$5:$G$82,"&lt;="&amp;'Dev Ops'!I3)/12)),IF(YEAR(I$3)=YEAR('New Hires Forecast'!$Q$3),((SUMIFS('New Hires Forecast'!$Q$5:$Q$82,'New Hires Forecast'!$F$5:$F$82,"Dev Ops",'New Hires Forecast'!$H$5:$H$82,"&gt;="&amp;'Dev Ops'!I3,'New Hires Forecast'!$G$5:$G$82,"&lt;="&amp;'Dev Ops'!I3)/12)),IF(YEAR(I$3)=YEAR('New Hires Forecast'!$R$3),((SUMIFS('New Hires Forecast'!$R$5:$R$82,'New Hires Forecast'!$F$5:$F$82,"Dev Ops",'New Hires Forecast'!$H$5:$H$82,"&gt;="&amp;'Dev Ops'!I3,'New Hires Forecast'!$G$5:$G$82,"&lt;="&amp;'Dev Ops'!I3)/12))))))),0)</f>
        <v>0</v>
      </c>
      <c r="J13" s="668">
        <f>IF(J$4="forecast",IF(YEAR(J$3)=YEAR('New Hires Forecast'!$N$3),((SUMIFS('New Hires Forecast'!$N$5:$N$82,'New Hires Forecast'!$F$5:$F$82,"Dev Ops",'New Hires Forecast'!$H$5:$H$82,"&gt;="&amp;'Dev Ops'!J3,'New Hires Forecast'!$G$5:$G$82,"&lt;="&amp;'Dev Ops'!J3)/12)),IF(YEAR(J$3)=YEAR('New Hires Forecast'!$O$3),((SUMIFS('New Hires Forecast'!$O$5:$O$82,'New Hires Forecast'!$F$5:$F$82,"Dev Ops",'New Hires Forecast'!$H$5:$H$82,"&gt;="&amp;'Dev Ops'!J3,'New Hires Forecast'!$G$5:$G$82,"&lt;="&amp;'Dev Ops'!J3)/12)),IF(YEAR(J$3)=YEAR('New Hires Forecast'!$P$3),((SUMIFS('New Hires Forecast'!$P$5:$P$82,'New Hires Forecast'!$F$5:$F$82,"Dev Ops",'New Hires Forecast'!$H$5:$H$82,"&gt;="&amp;'Dev Ops'!J3,'New Hires Forecast'!$G$5:$G$82,"&lt;="&amp;'Dev Ops'!J3)/12)),IF(YEAR(J$3)=YEAR('New Hires Forecast'!$Q$3),((SUMIFS('New Hires Forecast'!$Q$5:$Q$82,'New Hires Forecast'!$F$5:$F$82,"Dev Ops",'New Hires Forecast'!$H$5:$H$82,"&gt;="&amp;'Dev Ops'!J3,'New Hires Forecast'!$G$5:$G$82,"&lt;="&amp;'Dev Ops'!J3)/12)),IF(YEAR(J$3)=YEAR('New Hires Forecast'!$R$3),((SUMIFS('New Hires Forecast'!$R$5:$R$82,'New Hires Forecast'!$F$5:$F$82,"Dev Ops",'New Hires Forecast'!$H$5:$H$82,"&gt;="&amp;'Dev Ops'!J3,'New Hires Forecast'!$G$5:$G$82,"&lt;="&amp;'Dev Ops'!J3)/12))))))),0)</f>
        <v>0</v>
      </c>
      <c r="K13" s="668">
        <f>IF(K$4="forecast",IF(YEAR(K$3)=YEAR('New Hires Forecast'!$N$3),((SUMIFS('New Hires Forecast'!$N$5:$N$82,'New Hires Forecast'!$F$5:$F$82,"Dev Ops",'New Hires Forecast'!$H$5:$H$82,"&gt;="&amp;'Dev Ops'!K3,'New Hires Forecast'!$G$5:$G$82,"&lt;="&amp;'Dev Ops'!K3)/12)),IF(YEAR(K$3)=YEAR('New Hires Forecast'!$O$3),((SUMIFS('New Hires Forecast'!$O$5:$O$82,'New Hires Forecast'!$F$5:$F$82,"Dev Ops",'New Hires Forecast'!$H$5:$H$82,"&gt;="&amp;'Dev Ops'!K3,'New Hires Forecast'!$G$5:$G$82,"&lt;="&amp;'Dev Ops'!K3)/12)),IF(YEAR(K$3)=YEAR('New Hires Forecast'!$P$3),((SUMIFS('New Hires Forecast'!$P$5:$P$82,'New Hires Forecast'!$F$5:$F$82,"Dev Ops",'New Hires Forecast'!$H$5:$H$82,"&gt;="&amp;'Dev Ops'!K3,'New Hires Forecast'!$G$5:$G$82,"&lt;="&amp;'Dev Ops'!K3)/12)),IF(YEAR(K$3)=YEAR('New Hires Forecast'!$Q$3),((SUMIFS('New Hires Forecast'!$Q$5:$Q$82,'New Hires Forecast'!$F$5:$F$82,"Dev Ops",'New Hires Forecast'!$H$5:$H$82,"&gt;="&amp;'Dev Ops'!K3,'New Hires Forecast'!$G$5:$G$82,"&lt;="&amp;'Dev Ops'!K3)/12)),IF(YEAR(K$3)=YEAR('New Hires Forecast'!$R$3),((SUMIFS('New Hires Forecast'!$R$5:$R$82,'New Hires Forecast'!$F$5:$F$82,"Dev Ops",'New Hires Forecast'!$H$5:$H$82,"&gt;="&amp;'Dev Ops'!K3,'New Hires Forecast'!$G$5:$G$82,"&lt;="&amp;'Dev Ops'!K3)/12))))))),0)</f>
        <v>0</v>
      </c>
      <c r="L13" s="668">
        <f>IF(L$4="forecast",IF(YEAR(L$3)=YEAR('New Hires Forecast'!$N$3),((SUMIFS('New Hires Forecast'!$N$5:$N$82,'New Hires Forecast'!$F$5:$F$82,"Dev Ops",'New Hires Forecast'!$H$5:$H$82,"&gt;="&amp;'Dev Ops'!L3,'New Hires Forecast'!$G$5:$G$82,"&lt;="&amp;'Dev Ops'!L3)/12)),IF(YEAR(L$3)=YEAR('New Hires Forecast'!$O$3),((SUMIFS('New Hires Forecast'!$O$5:$O$82,'New Hires Forecast'!$F$5:$F$82,"Dev Ops",'New Hires Forecast'!$H$5:$H$82,"&gt;="&amp;'Dev Ops'!L3,'New Hires Forecast'!$G$5:$G$82,"&lt;="&amp;'Dev Ops'!L3)/12)),IF(YEAR(L$3)=YEAR('New Hires Forecast'!$P$3),((SUMIFS('New Hires Forecast'!$P$5:$P$82,'New Hires Forecast'!$F$5:$F$82,"Dev Ops",'New Hires Forecast'!$H$5:$H$82,"&gt;="&amp;'Dev Ops'!L3,'New Hires Forecast'!$G$5:$G$82,"&lt;="&amp;'Dev Ops'!L3)/12)),IF(YEAR(L$3)=YEAR('New Hires Forecast'!$Q$3),((SUMIFS('New Hires Forecast'!$Q$5:$Q$82,'New Hires Forecast'!$F$5:$F$82,"Dev Ops",'New Hires Forecast'!$H$5:$H$82,"&gt;="&amp;'Dev Ops'!L3,'New Hires Forecast'!$G$5:$G$82,"&lt;="&amp;'Dev Ops'!L3)/12)),IF(YEAR(L$3)=YEAR('New Hires Forecast'!$R$3),((SUMIFS('New Hires Forecast'!$R$5:$R$82,'New Hires Forecast'!$F$5:$F$82,"Dev Ops",'New Hires Forecast'!$H$5:$H$82,"&gt;="&amp;'Dev Ops'!L3,'New Hires Forecast'!$G$5:$G$82,"&lt;="&amp;'Dev Ops'!L3)/12))))))),0)</f>
        <v>0</v>
      </c>
      <c r="M13" s="668">
        <f>IF(M$4="forecast",IF(YEAR(M$3)=YEAR('New Hires Forecast'!$N$3),((SUMIFS('New Hires Forecast'!$N$5:$N$82,'New Hires Forecast'!$F$5:$F$82,"Dev Ops",'New Hires Forecast'!$H$5:$H$82,"&gt;="&amp;'Dev Ops'!M3,'New Hires Forecast'!$G$5:$G$82,"&lt;="&amp;'Dev Ops'!M3)/12)),IF(YEAR(M$3)=YEAR('New Hires Forecast'!$O$3),((SUMIFS('New Hires Forecast'!$O$5:$O$82,'New Hires Forecast'!$F$5:$F$82,"Dev Ops",'New Hires Forecast'!$H$5:$H$82,"&gt;="&amp;'Dev Ops'!M3,'New Hires Forecast'!$G$5:$G$82,"&lt;="&amp;'Dev Ops'!M3)/12)),IF(YEAR(M$3)=YEAR('New Hires Forecast'!$P$3),((SUMIFS('New Hires Forecast'!$P$5:$P$82,'New Hires Forecast'!$F$5:$F$82,"Dev Ops",'New Hires Forecast'!$H$5:$H$82,"&gt;="&amp;'Dev Ops'!M3,'New Hires Forecast'!$G$5:$G$82,"&lt;="&amp;'Dev Ops'!M3)/12)),IF(YEAR(M$3)=YEAR('New Hires Forecast'!$Q$3),((SUMIFS('New Hires Forecast'!$Q$5:$Q$82,'New Hires Forecast'!$F$5:$F$82,"Dev Ops",'New Hires Forecast'!$H$5:$H$82,"&gt;="&amp;'Dev Ops'!M3,'New Hires Forecast'!$G$5:$G$82,"&lt;="&amp;'Dev Ops'!M3)/12)),IF(YEAR(M$3)=YEAR('New Hires Forecast'!$R$3),((SUMIFS('New Hires Forecast'!$R$5:$R$82,'New Hires Forecast'!$F$5:$F$82,"Dev Ops",'New Hires Forecast'!$H$5:$H$82,"&gt;="&amp;'Dev Ops'!M3,'New Hires Forecast'!$G$5:$G$82,"&lt;="&amp;'Dev Ops'!M3)/12))))))),0)</f>
        <v>0</v>
      </c>
      <c r="N13" s="668">
        <f>IF(N$4="forecast",IF(YEAR(N$3)=YEAR('New Hires Forecast'!$N$3),((SUMIFS('New Hires Forecast'!$N$5:$N$82,'New Hires Forecast'!$F$5:$F$82,"Dev Ops",'New Hires Forecast'!$H$5:$H$82,"&gt;="&amp;'Dev Ops'!N3,'New Hires Forecast'!$G$5:$G$82,"&lt;="&amp;'Dev Ops'!N3)/12)),IF(YEAR(N$3)=YEAR('New Hires Forecast'!$O$3),((SUMIFS('New Hires Forecast'!$O$5:$O$82,'New Hires Forecast'!$F$5:$F$82,"Dev Ops",'New Hires Forecast'!$H$5:$H$82,"&gt;="&amp;'Dev Ops'!N3,'New Hires Forecast'!$G$5:$G$82,"&lt;="&amp;'Dev Ops'!N3)/12)),IF(YEAR(N$3)=YEAR('New Hires Forecast'!$P$3),((SUMIFS('New Hires Forecast'!$P$5:$P$82,'New Hires Forecast'!$F$5:$F$82,"Dev Ops",'New Hires Forecast'!$H$5:$H$82,"&gt;="&amp;'Dev Ops'!N3,'New Hires Forecast'!$G$5:$G$82,"&lt;="&amp;'Dev Ops'!N3)/12)),IF(YEAR(N$3)=YEAR('New Hires Forecast'!$Q$3),((SUMIFS('New Hires Forecast'!$Q$5:$Q$82,'New Hires Forecast'!$F$5:$F$82,"Dev Ops",'New Hires Forecast'!$H$5:$H$82,"&gt;="&amp;'Dev Ops'!N3,'New Hires Forecast'!$G$5:$G$82,"&lt;="&amp;'Dev Ops'!N3)/12)),IF(YEAR(N$3)=YEAR('New Hires Forecast'!$R$3),((SUMIFS('New Hires Forecast'!$R$5:$R$82,'New Hires Forecast'!$F$5:$F$82,"Dev Ops",'New Hires Forecast'!$H$5:$H$82,"&gt;="&amp;'Dev Ops'!N3,'New Hires Forecast'!$G$5:$G$82,"&lt;="&amp;'Dev Ops'!N3)/12))))))),0)</f>
        <v>0</v>
      </c>
      <c r="O13" s="668">
        <f>IF(O$4="forecast",IF(YEAR(O$3)=YEAR('New Hires Forecast'!$N$3),((SUMIFS('New Hires Forecast'!$N$5:$N$82,'New Hires Forecast'!$F$5:$F$82,"Dev Ops",'New Hires Forecast'!$H$5:$H$82,"&gt;="&amp;'Dev Ops'!O3,'New Hires Forecast'!$G$5:$G$82,"&lt;="&amp;'Dev Ops'!O3)/12)),IF(YEAR(O$3)=YEAR('New Hires Forecast'!$O$3),((SUMIFS('New Hires Forecast'!$O$5:$O$82,'New Hires Forecast'!$F$5:$F$82,"Dev Ops",'New Hires Forecast'!$H$5:$H$82,"&gt;="&amp;'Dev Ops'!O3,'New Hires Forecast'!$G$5:$G$82,"&lt;="&amp;'Dev Ops'!O3)/12)),IF(YEAR(O$3)=YEAR('New Hires Forecast'!$P$3),((SUMIFS('New Hires Forecast'!$P$5:$P$82,'New Hires Forecast'!$F$5:$F$82,"Dev Ops",'New Hires Forecast'!$H$5:$H$82,"&gt;="&amp;'Dev Ops'!O3,'New Hires Forecast'!$G$5:$G$82,"&lt;="&amp;'Dev Ops'!O3)/12)),IF(YEAR(O$3)=YEAR('New Hires Forecast'!$Q$3),((SUMIFS('New Hires Forecast'!$Q$5:$Q$82,'New Hires Forecast'!$F$5:$F$82,"Dev Ops",'New Hires Forecast'!$H$5:$H$82,"&gt;="&amp;'Dev Ops'!O3,'New Hires Forecast'!$G$5:$G$82,"&lt;="&amp;'Dev Ops'!O3)/12)),IF(YEAR(O$3)=YEAR('New Hires Forecast'!$R$3),((SUMIFS('New Hires Forecast'!$R$5:$R$82,'New Hires Forecast'!$F$5:$F$82,"Dev Ops",'New Hires Forecast'!$H$5:$H$82,"&gt;="&amp;'Dev Ops'!O3,'New Hires Forecast'!$G$5:$G$82,"&lt;="&amp;'Dev Ops'!O3)/12))))))),0)</f>
        <v>0</v>
      </c>
      <c r="P13" s="668">
        <f>IF(P$4="forecast",IF(YEAR(P$3)=YEAR('New Hires Forecast'!$N$3),((SUMIFS('New Hires Forecast'!$N$5:$N$82,'New Hires Forecast'!$F$5:$F$82,"Dev Ops",'New Hires Forecast'!$H$5:$H$82,"&gt;="&amp;'Dev Ops'!P3,'New Hires Forecast'!$G$5:$G$82,"&lt;="&amp;'Dev Ops'!P3)/12)),IF(YEAR(P$3)=YEAR('New Hires Forecast'!$O$3),((SUMIFS('New Hires Forecast'!$O$5:$O$82,'New Hires Forecast'!$F$5:$F$82,"Dev Ops",'New Hires Forecast'!$H$5:$H$82,"&gt;="&amp;'Dev Ops'!P3,'New Hires Forecast'!$G$5:$G$82,"&lt;="&amp;'Dev Ops'!P3)/12)),IF(YEAR(P$3)=YEAR('New Hires Forecast'!$P$3),((SUMIFS('New Hires Forecast'!$P$5:$P$82,'New Hires Forecast'!$F$5:$F$82,"Dev Ops",'New Hires Forecast'!$H$5:$H$82,"&gt;="&amp;'Dev Ops'!P3,'New Hires Forecast'!$G$5:$G$82,"&lt;="&amp;'Dev Ops'!P3)/12)),IF(YEAR(P$3)=YEAR('New Hires Forecast'!$Q$3),((SUMIFS('New Hires Forecast'!$Q$5:$Q$82,'New Hires Forecast'!$F$5:$F$82,"Dev Ops",'New Hires Forecast'!$H$5:$H$82,"&gt;="&amp;'Dev Ops'!P3,'New Hires Forecast'!$G$5:$G$82,"&lt;="&amp;'Dev Ops'!P3)/12)),IF(YEAR(P$3)=YEAR('New Hires Forecast'!$R$3),((SUMIFS('New Hires Forecast'!$R$5:$R$82,'New Hires Forecast'!$F$5:$F$82,"Dev Ops",'New Hires Forecast'!$H$5:$H$82,"&gt;="&amp;'Dev Ops'!P3,'New Hires Forecast'!$G$5:$G$82,"&lt;="&amp;'Dev Ops'!P3)/12))))))),0)</f>
        <v>0</v>
      </c>
      <c r="Q13" s="668">
        <f>IF(Q$4="forecast",IF(YEAR(Q$3)=YEAR('New Hires Forecast'!$N$3),((SUMIFS('New Hires Forecast'!$N$5:$N$82,'New Hires Forecast'!$F$5:$F$82,"Dev Ops",'New Hires Forecast'!$H$5:$H$82,"&gt;="&amp;'Dev Ops'!Q3,'New Hires Forecast'!$G$5:$G$82,"&lt;="&amp;'Dev Ops'!Q3)/12)),IF(YEAR(Q$3)=YEAR('New Hires Forecast'!$O$3),((SUMIFS('New Hires Forecast'!$O$5:$O$82,'New Hires Forecast'!$F$5:$F$82,"Dev Ops",'New Hires Forecast'!$H$5:$H$82,"&gt;="&amp;'Dev Ops'!Q3,'New Hires Forecast'!$G$5:$G$82,"&lt;="&amp;'Dev Ops'!Q3)/12)),IF(YEAR(Q$3)=YEAR('New Hires Forecast'!$P$3),((SUMIFS('New Hires Forecast'!$P$5:$P$82,'New Hires Forecast'!$F$5:$F$82,"Dev Ops",'New Hires Forecast'!$H$5:$H$82,"&gt;="&amp;'Dev Ops'!Q3,'New Hires Forecast'!$G$5:$G$82,"&lt;="&amp;'Dev Ops'!Q3)/12)),IF(YEAR(Q$3)=YEAR('New Hires Forecast'!$Q$3),((SUMIFS('New Hires Forecast'!$Q$5:$Q$82,'New Hires Forecast'!$F$5:$F$82,"Dev Ops",'New Hires Forecast'!$H$5:$H$82,"&gt;="&amp;'Dev Ops'!Q3,'New Hires Forecast'!$G$5:$G$82,"&lt;="&amp;'Dev Ops'!Q3)/12)),IF(YEAR(Q$3)=YEAR('New Hires Forecast'!$R$3),((SUMIFS('New Hires Forecast'!$R$5:$R$82,'New Hires Forecast'!$F$5:$F$82,"Dev Ops",'New Hires Forecast'!$H$5:$H$82,"&gt;="&amp;'Dev Ops'!Q3,'New Hires Forecast'!$G$5:$G$82,"&lt;="&amp;'Dev Ops'!Q3)/12))))))),0)</f>
        <v>0</v>
      </c>
      <c r="R13" s="668">
        <f>IF(R$4="forecast",IF(YEAR(R$3)=YEAR('New Hires Forecast'!$N$3),((SUMIFS('New Hires Forecast'!$N$5:$N$82,'New Hires Forecast'!$F$5:$F$82,"Dev Ops",'New Hires Forecast'!$H$5:$H$82,"&gt;="&amp;'Dev Ops'!R3,'New Hires Forecast'!$G$5:$G$82,"&lt;="&amp;'Dev Ops'!R3)/12)),IF(YEAR(R$3)=YEAR('New Hires Forecast'!$O$3),((SUMIFS('New Hires Forecast'!$O$5:$O$82,'New Hires Forecast'!$F$5:$F$82,"Dev Ops",'New Hires Forecast'!$H$5:$H$82,"&gt;="&amp;'Dev Ops'!R3,'New Hires Forecast'!$G$5:$G$82,"&lt;="&amp;'Dev Ops'!R3)/12)),IF(YEAR(R$3)=YEAR('New Hires Forecast'!$P$3),((SUMIFS('New Hires Forecast'!$P$5:$P$82,'New Hires Forecast'!$F$5:$F$82,"Dev Ops",'New Hires Forecast'!$H$5:$H$82,"&gt;="&amp;'Dev Ops'!R3,'New Hires Forecast'!$G$5:$G$82,"&lt;="&amp;'Dev Ops'!R3)/12)),IF(YEAR(R$3)=YEAR('New Hires Forecast'!$Q$3),((SUMIFS('New Hires Forecast'!$Q$5:$Q$82,'New Hires Forecast'!$F$5:$F$82,"Dev Ops",'New Hires Forecast'!$H$5:$H$82,"&gt;="&amp;'Dev Ops'!R3,'New Hires Forecast'!$G$5:$G$82,"&lt;="&amp;'Dev Ops'!R3)/12)),IF(YEAR(R$3)=YEAR('New Hires Forecast'!$R$3),((SUMIFS('New Hires Forecast'!$R$5:$R$82,'New Hires Forecast'!$F$5:$F$82,"Dev Ops",'New Hires Forecast'!$H$5:$H$82,"&gt;="&amp;'Dev Ops'!R3,'New Hires Forecast'!$G$5:$G$82,"&lt;="&amp;'Dev Ops'!R3)/12))))))),0)</f>
        <v>0</v>
      </c>
      <c r="S13" s="668">
        <f>IF(S$4="forecast",IF(YEAR(S$3)=YEAR('New Hires Forecast'!$N$3),((SUMIFS('New Hires Forecast'!$N$5:$N$82,'New Hires Forecast'!$F$5:$F$82,"Dev Ops",'New Hires Forecast'!$H$5:$H$82,"&gt;="&amp;'Dev Ops'!S3,'New Hires Forecast'!$G$5:$G$82,"&lt;="&amp;'Dev Ops'!S3)/12)),IF(YEAR(S$3)=YEAR('New Hires Forecast'!$O$3),((SUMIFS('New Hires Forecast'!$O$5:$O$82,'New Hires Forecast'!$F$5:$F$82,"Dev Ops",'New Hires Forecast'!$H$5:$H$82,"&gt;="&amp;'Dev Ops'!S3,'New Hires Forecast'!$G$5:$G$82,"&lt;="&amp;'Dev Ops'!S3)/12)),IF(YEAR(S$3)=YEAR('New Hires Forecast'!$P$3),((SUMIFS('New Hires Forecast'!$P$5:$P$82,'New Hires Forecast'!$F$5:$F$82,"Dev Ops",'New Hires Forecast'!$H$5:$H$82,"&gt;="&amp;'Dev Ops'!S3,'New Hires Forecast'!$G$5:$G$82,"&lt;="&amp;'Dev Ops'!S3)/12)),IF(YEAR(S$3)=YEAR('New Hires Forecast'!$Q$3),((SUMIFS('New Hires Forecast'!$Q$5:$Q$82,'New Hires Forecast'!$F$5:$F$82,"Dev Ops",'New Hires Forecast'!$H$5:$H$82,"&gt;="&amp;'Dev Ops'!S3,'New Hires Forecast'!$G$5:$G$82,"&lt;="&amp;'Dev Ops'!S3)/12)),IF(YEAR(S$3)=YEAR('New Hires Forecast'!$R$3),((SUMIFS('New Hires Forecast'!$R$5:$R$82,'New Hires Forecast'!$F$5:$F$82,"Dev Ops",'New Hires Forecast'!$H$5:$H$82,"&gt;="&amp;'Dev Ops'!S3,'New Hires Forecast'!$G$5:$G$82,"&lt;="&amp;'Dev Ops'!S3)/12))))))),0)</f>
        <v>0</v>
      </c>
      <c r="T13" s="668">
        <f>IF(T$4="forecast",IF(YEAR(T$3)=YEAR('New Hires Forecast'!$N$3),((SUMIFS('New Hires Forecast'!$N$5:$N$82,'New Hires Forecast'!$F$5:$F$82,"Dev Ops",'New Hires Forecast'!$H$5:$H$82,"&gt;="&amp;'Dev Ops'!T3,'New Hires Forecast'!$G$5:$G$82,"&lt;="&amp;'Dev Ops'!T3)/12)),IF(YEAR(T$3)=YEAR('New Hires Forecast'!$O$3),((SUMIFS('New Hires Forecast'!$O$5:$O$82,'New Hires Forecast'!$F$5:$F$82,"Dev Ops",'New Hires Forecast'!$H$5:$H$82,"&gt;="&amp;'Dev Ops'!T3,'New Hires Forecast'!$G$5:$G$82,"&lt;="&amp;'Dev Ops'!T3)/12)),IF(YEAR(T$3)=YEAR('New Hires Forecast'!$P$3),((SUMIFS('New Hires Forecast'!$P$5:$P$82,'New Hires Forecast'!$F$5:$F$82,"Dev Ops",'New Hires Forecast'!$H$5:$H$82,"&gt;="&amp;'Dev Ops'!T3,'New Hires Forecast'!$G$5:$G$82,"&lt;="&amp;'Dev Ops'!T3)/12)),IF(YEAR(T$3)=YEAR('New Hires Forecast'!$Q$3),((SUMIFS('New Hires Forecast'!$Q$5:$Q$82,'New Hires Forecast'!$F$5:$F$82,"Dev Ops",'New Hires Forecast'!$H$5:$H$82,"&gt;="&amp;'Dev Ops'!T3,'New Hires Forecast'!$G$5:$G$82,"&lt;="&amp;'Dev Ops'!T3)/12)),IF(YEAR(T$3)=YEAR('New Hires Forecast'!$R$3),((SUMIFS('New Hires Forecast'!$R$5:$R$82,'New Hires Forecast'!$F$5:$F$82,"Dev Ops",'New Hires Forecast'!$H$5:$H$82,"&gt;="&amp;'Dev Ops'!T3,'New Hires Forecast'!$G$5:$G$82,"&lt;="&amp;'Dev Ops'!T3)/12))))))),0)</f>
        <v>0</v>
      </c>
      <c r="U13" s="668">
        <f>IF(U$4="forecast",IF(YEAR(U$3)=YEAR('New Hires Forecast'!$N$3),((SUMIFS('New Hires Forecast'!$N$5:$N$82,'New Hires Forecast'!$F$5:$F$82,"Dev Ops",'New Hires Forecast'!$H$5:$H$82,"&gt;="&amp;'Dev Ops'!U3,'New Hires Forecast'!$G$5:$G$82,"&lt;="&amp;'Dev Ops'!U3)/12)),IF(YEAR(U$3)=YEAR('New Hires Forecast'!$O$3),((SUMIFS('New Hires Forecast'!$O$5:$O$82,'New Hires Forecast'!$F$5:$F$82,"Dev Ops",'New Hires Forecast'!$H$5:$H$82,"&gt;="&amp;'Dev Ops'!U3,'New Hires Forecast'!$G$5:$G$82,"&lt;="&amp;'Dev Ops'!U3)/12)),IF(YEAR(U$3)=YEAR('New Hires Forecast'!$P$3),((SUMIFS('New Hires Forecast'!$P$5:$P$82,'New Hires Forecast'!$F$5:$F$82,"Dev Ops",'New Hires Forecast'!$H$5:$H$82,"&gt;="&amp;'Dev Ops'!U3,'New Hires Forecast'!$G$5:$G$82,"&lt;="&amp;'Dev Ops'!U3)/12)),IF(YEAR(U$3)=YEAR('New Hires Forecast'!$Q$3),((SUMIFS('New Hires Forecast'!$Q$5:$Q$82,'New Hires Forecast'!$F$5:$F$82,"Dev Ops",'New Hires Forecast'!$H$5:$H$82,"&gt;="&amp;'Dev Ops'!U3,'New Hires Forecast'!$G$5:$G$82,"&lt;="&amp;'Dev Ops'!U3)/12)),IF(YEAR(U$3)=YEAR('New Hires Forecast'!$R$3),((SUMIFS('New Hires Forecast'!$R$5:$R$82,'New Hires Forecast'!$F$5:$F$82,"Dev Ops",'New Hires Forecast'!$H$5:$H$82,"&gt;="&amp;'Dev Ops'!U3,'New Hires Forecast'!$G$5:$G$82,"&lt;="&amp;'Dev Ops'!U3)/12))))))),0)</f>
        <v>0</v>
      </c>
      <c r="V13" s="668">
        <f>IF(V$4="forecast",IF(YEAR(V$3)=YEAR('New Hires Forecast'!$N$3),((SUMIFS('New Hires Forecast'!$N$5:$N$82,'New Hires Forecast'!$F$5:$F$82,"Dev Ops",'New Hires Forecast'!$H$5:$H$82,"&gt;="&amp;'Dev Ops'!V3,'New Hires Forecast'!$G$5:$G$82,"&lt;="&amp;'Dev Ops'!V3)/12)),IF(YEAR(V$3)=YEAR('New Hires Forecast'!$O$3),((SUMIFS('New Hires Forecast'!$O$5:$O$82,'New Hires Forecast'!$F$5:$F$82,"Dev Ops",'New Hires Forecast'!$H$5:$H$82,"&gt;="&amp;'Dev Ops'!V3,'New Hires Forecast'!$G$5:$G$82,"&lt;="&amp;'Dev Ops'!V3)/12)),IF(YEAR(V$3)=YEAR('New Hires Forecast'!$P$3),((SUMIFS('New Hires Forecast'!$P$5:$P$82,'New Hires Forecast'!$F$5:$F$82,"Dev Ops",'New Hires Forecast'!$H$5:$H$82,"&gt;="&amp;'Dev Ops'!V3,'New Hires Forecast'!$G$5:$G$82,"&lt;="&amp;'Dev Ops'!V3)/12)),IF(YEAR(V$3)=YEAR('New Hires Forecast'!$Q$3),((SUMIFS('New Hires Forecast'!$Q$5:$Q$82,'New Hires Forecast'!$F$5:$F$82,"Dev Ops",'New Hires Forecast'!$H$5:$H$82,"&gt;="&amp;'Dev Ops'!V3,'New Hires Forecast'!$G$5:$G$82,"&lt;="&amp;'Dev Ops'!V3)/12)),IF(YEAR(V$3)=YEAR('New Hires Forecast'!$R$3),((SUMIFS('New Hires Forecast'!$R$5:$R$82,'New Hires Forecast'!$F$5:$F$82,"Dev Ops",'New Hires Forecast'!$H$5:$H$82,"&gt;="&amp;'Dev Ops'!V3,'New Hires Forecast'!$G$5:$G$82,"&lt;="&amp;'Dev Ops'!V3)/12))))))),0)</f>
        <v>0</v>
      </c>
      <c r="W13" s="668">
        <f>IF(W$4="forecast",IF(YEAR(W$3)=YEAR('New Hires Forecast'!$N$3),((SUMIFS('New Hires Forecast'!$N$5:$N$82,'New Hires Forecast'!$F$5:$F$82,"Dev Ops",'New Hires Forecast'!$H$5:$H$82,"&gt;="&amp;'Dev Ops'!W3,'New Hires Forecast'!$G$5:$G$82,"&lt;="&amp;'Dev Ops'!W3)/12)),IF(YEAR(W$3)=YEAR('New Hires Forecast'!$O$3),((SUMIFS('New Hires Forecast'!$O$5:$O$82,'New Hires Forecast'!$F$5:$F$82,"Dev Ops",'New Hires Forecast'!$H$5:$H$82,"&gt;="&amp;'Dev Ops'!W3,'New Hires Forecast'!$G$5:$G$82,"&lt;="&amp;'Dev Ops'!W3)/12)),IF(YEAR(W$3)=YEAR('New Hires Forecast'!$P$3),((SUMIFS('New Hires Forecast'!$P$5:$P$82,'New Hires Forecast'!$F$5:$F$82,"Dev Ops",'New Hires Forecast'!$H$5:$H$82,"&gt;="&amp;'Dev Ops'!W3,'New Hires Forecast'!$G$5:$G$82,"&lt;="&amp;'Dev Ops'!W3)/12)),IF(YEAR(W$3)=YEAR('New Hires Forecast'!$Q$3),((SUMIFS('New Hires Forecast'!$Q$5:$Q$82,'New Hires Forecast'!$F$5:$F$82,"Dev Ops",'New Hires Forecast'!$H$5:$H$82,"&gt;="&amp;'Dev Ops'!W3,'New Hires Forecast'!$G$5:$G$82,"&lt;="&amp;'Dev Ops'!W3)/12)),IF(YEAR(W$3)=YEAR('New Hires Forecast'!$R$3),((SUMIFS('New Hires Forecast'!$R$5:$R$82,'New Hires Forecast'!$F$5:$F$82,"Dev Ops",'New Hires Forecast'!$H$5:$H$82,"&gt;="&amp;'Dev Ops'!W3,'New Hires Forecast'!$G$5:$G$82,"&lt;="&amp;'Dev Ops'!W3)/12))))))),0)</f>
        <v>0</v>
      </c>
      <c r="X13" s="668">
        <f>IF(X$4="forecast",IF(YEAR(X$3)=YEAR('New Hires Forecast'!$N$3),((SUMIFS('New Hires Forecast'!$N$5:$N$82,'New Hires Forecast'!$F$5:$F$82,"Dev Ops",'New Hires Forecast'!$H$5:$H$82,"&gt;="&amp;'Dev Ops'!X3,'New Hires Forecast'!$G$5:$G$82,"&lt;="&amp;'Dev Ops'!X3)/12)),IF(YEAR(X$3)=YEAR('New Hires Forecast'!$O$3),((SUMIFS('New Hires Forecast'!$O$5:$O$82,'New Hires Forecast'!$F$5:$F$82,"Dev Ops",'New Hires Forecast'!$H$5:$H$82,"&gt;="&amp;'Dev Ops'!X3,'New Hires Forecast'!$G$5:$G$82,"&lt;="&amp;'Dev Ops'!X3)/12)),IF(YEAR(X$3)=YEAR('New Hires Forecast'!$P$3),((SUMIFS('New Hires Forecast'!$P$5:$P$82,'New Hires Forecast'!$F$5:$F$82,"Dev Ops",'New Hires Forecast'!$H$5:$H$82,"&gt;="&amp;'Dev Ops'!X3,'New Hires Forecast'!$G$5:$G$82,"&lt;="&amp;'Dev Ops'!X3)/12)),IF(YEAR(X$3)=YEAR('New Hires Forecast'!$Q$3),((SUMIFS('New Hires Forecast'!$Q$5:$Q$82,'New Hires Forecast'!$F$5:$F$82,"Dev Ops",'New Hires Forecast'!$H$5:$H$82,"&gt;="&amp;'Dev Ops'!X3,'New Hires Forecast'!$G$5:$G$82,"&lt;="&amp;'Dev Ops'!X3)/12)),IF(YEAR(X$3)=YEAR('New Hires Forecast'!$R$3),((SUMIFS('New Hires Forecast'!$R$5:$R$82,'New Hires Forecast'!$F$5:$F$82,"Dev Ops",'New Hires Forecast'!$H$5:$H$82,"&gt;="&amp;'Dev Ops'!X3,'New Hires Forecast'!$G$5:$G$82,"&lt;="&amp;'Dev Ops'!X3)/12))))))),0)</f>
        <v>0</v>
      </c>
      <c r="Y13" s="668">
        <f>IF(Y$4="forecast",IF(YEAR(Y$3)=YEAR('New Hires Forecast'!$N$3),((SUMIFS('New Hires Forecast'!$N$5:$N$82,'New Hires Forecast'!$F$5:$F$82,"Dev Ops",'New Hires Forecast'!$H$5:$H$82,"&gt;="&amp;'Dev Ops'!Y3,'New Hires Forecast'!$G$5:$G$82,"&lt;="&amp;'Dev Ops'!Y3)/12)),IF(YEAR(Y$3)=YEAR('New Hires Forecast'!$O$3),((SUMIFS('New Hires Forecast'!$O$5:$O$82,'New Hires Forecast'!$F$5:$F$82,"Dev Ops",'New Hires Forecast'!$H$5:$H$82,"&gt;="&amp;'Dev Ops'!Y3,'New Hires Forecast'!$G$5:$G$82,"&lt;="&amp;'Dev Ops'!Y3)/12)),IF(YEAR(Y$3)=YEAR('New Hires Forecast'!$P$3),((SUMIFS('New Hires Forecast'!$P$5:$P$82,'New Hires Forecast'!$F$5:$F$82,"Dev Ops",'New Hires Forecast'!$H$5:$H$82,"&gt;="&amp;'Dev Ops'!Y3,'New Hires Forecast'!$G$5:$G$82,"&lt;="&amp;'Dev Ops'!Y3)/12)),IF(YEAR(Y$3)=YEAR('New Hires Forecast'!$Q$3),((SUMIFS('New Hires Forecast'!$Q$5:$Q$82,'New Hires Forecast'!$F$5:$F$82,"Dev Ops",'New Hires Forecast'!$H$5:$H$82,"&gt;="&amp;'Dev Ops'!Y3,'New Hires Forecast'!$G$5:$G$82,"&lt;="&amp;'Dev Ops'!Y3)/12)),IF(YEAR(Y$3)=YEAR('New Hires Forecast'!$R$3),((SUMIFS('New Hires Forecast'!$R$5:$R$82,'New Hires Forecast'!$F$5:$F$82,"Dev Ops",'New Hires Forecast'!$H$5:$H$82,"&gt;="&amp;'Dev Ops'!Y3,'New Hires Forecast'!$G$5:$G$82,"&lt;="&amp;'Dev Ops'!Y3)/12))))))),0)</f>
        <v>0</v>
      </c>
      <c r="Z13" s="668">
        <f>IF(Z$4="forecast",IF(YEAR(Z$3)=YEAR('New Hires Forecast'!$N$3),((SUMIFS('New Hires Forecast'!$N$5:$N$82,'New Hires Forecast'!$F$5:$F$82,"Dev Ops",'New Hires Forecast'!$H$5:$H$82,"&gt;="&amp;'Dev Ops'!Z3,'New Hires Forecast'!$G$5:$G$82,"&lt;="&amp;'Dev Ops'!Z3)/12)),IF(YEAR(Z$3)=YEAR('New Hires Forecast'!$O$3),((SUMIFS('New Hires Forecast'!$O$5:$O$82,'New Hires Forecast'!$F$5:$F$82,"Dev Ops",'New Hires Forecast'!$H$5:$H$82,"&gt;="&amp;'Dev Ops'!Z3,'New Hires Forecast'!$G$5:$G$82,"&lt;="&amp;'Dev Ops'!Z3)/12)),IF(YEAR(Z$3)=YEAR('New Hires Forecast'!$P$3),((SUMIFS('New Hires Forecast'!$P$5:$P$82,'New Hires Forecast'!$F$5:$F$82,"Dev Ops",'New Hires Forecast'!$H$5:$H$82,"&gt;="&amp;'Dev Ops'!Z3,'New Hires Forecast'!$G$5:$G$82,"&lt;="&amp;'Dev Ops'!Z3)/12)),IF(YEAR(Z$3)=YEAR('New Hires Forecast'!$Q$3),((SUMIFS('New Hires Forecast'!$Q$5:$Q$82,'New Hires Forecast'!$F$5:$F$82,"Dev Ops",'New Hires Forecast'!$H$5:$H$82,"&gt;="&amp;'Dev Ops'!Z3,'New Hires Forecast'!$G$5:$G$82,"&lt;="&amp;'Dev Ops'!Z3)/12)),IF(YEAR(Z$3)=YEAR('New Hires Forecast'!$R$3),((SUMIFS('New Hires Forecast'!$R$5:$R$82,'New Hires Forecast'!$F$5:$F$82,"Dev Ops",'New Hires Forecast'!$H$5:$H$82,"&gt;="&amp;'Dev Ops'!Z3,'New Hires Forecast'!$G$5:$G$82,"&lt;="&amp;'Dev Ops'!Z3)/12))))))),0)</f>
        <v>0</v>
      </c>
      <c r="AA13" s="668">
        <f>IF(AA$4="forecast",IF(YEAR(AA$3)=YEAR('New Hires Forecast'!$N$3),((SUMIFS('New Hires Forecast'!$N$5:$N$82,'New Hires Forecast'!$F$5:$F$82,"Dev Ops",'New Hires Forecast'!$H$5:$H$82,"&gt;="&amp;'Dev Ops'!AA3,'New Hires Forecast'!$G$5:$G$82,"&lt;="&amp;'Dev Ops'!AA3)/12)),IF(YEAR(AA$3)=YEAR('New Hires Forecast'!$O$3),((SUMIFS('New Hires Forecast'!$O$5:$O$82,'New Hires Forecast'!$F$5:$F$82,"Dev Ops",'New Hires Forecast'!$H$5:$H$82,"&gt;="&amp;'Dev Ops'!AA3,'New Hires Forecast'!$G$5:$G$82,"&lt;="&amp;'Dev Ops'!AA3)/12)),IF(YEAR(AA$3)=YEAR('New Hires Forecast'!$P$3),((SUMIFS('New Hires Forecast'!$P$5:$P$82,'New Hires Forecast'!$F$5:$F$82,"Dev Ops",'New Hires Forecast'!$H$5:$H$82,"&gt;="&amp;'Dev Ops'!AA3,'New Hires Forecast'!$G$5:$G$82,"&lt;="&amp;'Dev Ops'!AA3)/12)),IF(YEAR(AA$3)=YEAR('New Hires Forecast'!$Q$3),((SUMIFS('New Hires Forecast'!$Q$5:$Q$82,'New Hires Forecast'!$F$5:$F$82,"Dev Ops",'New Hires Forecast'!$H$5:$H$82,"&gt;="&amp;'Dev Ops'!AA3,'New Hires Forecast'!$G$5:$G$82,"&lt;="&amp;'Dev Ops'!AA3)/12)),IF(YEAR(AA$3)=YEAR('New Hires Forecast'!$R$3),((SUMIFS('New Hires Forecast'!$R$5:$R$82,'New Hires Forecast'!$F$5:$F$82,"Dev Ops",'New Hires Forecast'!$H$5:$H$82,"&gt;="&amp;'Dev Ops'!AA3,'New Hires Forecast'!$G$5:$G$82,"&lt;="&amp;'Dev Ops'!AA3)/12))))))),0)</f>
        <v>0</v>
      </c>
      <c r="AB13" s="668">
        <f>IF(AB$4="forecast",IF(YEAR(AB$3)=YEAR('New Hires Forecast'!$N$3),((SUMIFS('New Hires Forecast'!$N$5:$N$82,'New Hires Forecast'!$F$5:$F$82,"Dev Ops",'New Hires Forecast'!$H$5:$H$82,"&gt;="&amp;'Dev Ops'!AB3,'New Hires Forecast'!$G$5:$G$82,"&lt;="&amp;'Dev Ops'!AB3)/12)),IF(YEAR(AB$3)=YEAR('New Hires Forecast'!$O$3),((SUMIFS('New Hires Forecast'!$O$5:$O$82,'New Hires Forecast'!$F$5:$F$82,"Dev Ops",'New Hires Forecast'!$H$5:$H$82,"&gt;="&amp;'Dev Ops'!AB3,'New Hires Forecast'!$G$5:$G$82,"&lt;="&amp;'Dev Ops'!AB3)/12)),IF(YEAR(AB$3)=YEAR('New Hires Forecast'!$P$3),((SUMIFS('New Hires Forecast'!$P$5:$P$82,'New Hires Forecast'!$F$5:$F$82,"Dev Ops",'New Hires Forecast'!$H$5:$H$82,"&gt;="&amp;'Dev Ops'!AB3,'New Hires Forecast'!$G$5:$G$82,"&lt;="&amp;'Dev Ops'!AB3)/12)),IF(YEAR(AB$3)=YEAR('New Hires Forecast'!$Q$3),((SUMIFS('New Hires Forecast'!$Q$5:$Q$82,'New Hires Forecast'!$F$5:$F$82,"Dev Ops",'New Hires Forecast'!$H$5:$H$82,"&gt;="&amp;'Dev Ops'!AB3,'New Hires Forecast'!$G$5:$G$82,"&lt;="&amp;'Dev Ops'!AB3)/12)),IF(YEAR(AB$3)=YEAR('New Hires Forecast'!$R$3),((SUMIFS('New Hires Forecast'!$R$5:$R$82,'New Hires Forecast'!$F$5:$F$82,"Dev Ops",'New Hires Forecast'!$H$5:$H$82,"&gt;="&amp;'Dev Ops'!AB3,'New Hires Forecast'!$G$5:$G$82,"&lt;="&amp;'Dev Ops'!AB3)/12))))))),0)</f>
        <v>0</v>
      </c>
      <c r="AC13" s="668">
        <f>IF(AC$4="forecast",IF(YEAR(AC$3)=YEAR('New Hires Forecast'!$N$3),((SUMIFS('New Hires Forecast'!$N$5:$N$82,'New Hires Forecast'!$F$5:$F$82,"Dev Ops",'New Hires Forecast'!$H$5:$H$82,"&gt;="&amp;'Dev Ops'!AC3,'New Hires Forecast'!$G$5:$G$82,"&lt;="&amp;'Dev Ops'!AC3)/12)),IF(YEAR(AC$3)=YEAR('New Hires Forecast'!$O$3),((SUMIFS('New Hires Forecast'!$O$5:$O$82,'New Hires Forecast'!$F$5:$F$82,"Dev Ops",'New Hires Forecast'!$H$5:$H$82,"&gt;="&amp;'Dev Ops'!AC3,'New Hires Forecast'!$G$5:$G$82,"&lt;="&amp;'Dev Ops'!AC3)/12)),IF(YEAR(AC$3)=YEAR('New Hires Forecast'!$P$3),((SUMIFS('New Hires Forecast'!$P$5:$P$82,'New Hires Forecast'!$F$5:$F$82,"Dev Ops",'New Hires Forecast'!$H$5:$H$82,"&gt;="&amp;'Dev Ops'!AC3,'New Hires Forecast'!$G$5:$G$82,"&lt;="&amp;'Dev Ops'!AC3)/12)),IF(YEAR(AC$3)=YEAR('New Hires Forecast'!$Q$3),((SUMIFS('New Hires Forecast'!$Q$5:$Q$82,'New Hires Forecast'!$F$5:$F$82,"Dev Ops",'New Hires Forecast'!$H$5:$H$82,"&gt;="&amp;'Dev Ops'!AC3,'New Hires Forecast'!$G$5:$G$82,"&lt;="&amp;'Dev Ops'!AC3)/12)),IF(YEAR(AC$3)=YEAR('New Hires Forecast'!$R$3),((SUMIFS('New Hires Forecast'!$R$5:$R$82,'New Hires Forecast'!$F$5:$F$82,"Dev Ops",'New Hires Forecast'!$H$5:$H$82,"&gt;="&amp;'Dev Ops'!AC3,'New Hires Forecast'!$G$5:$G$82,"&lt;="&amp;'Dev Ops'!AC3)/12))))))),0)</f>
        <v>0</v>
      </c>
      <c r="AD13" s="668">
        <f>IF(AD$4="forecast",IF(YEAR(AD$3)=YEAR('New Hires Forecast'!$N$3),((SUMIFS('New Hires Forecast'!$N$5:$N$82,'New Hires Forecast'!$F$5:$F$82,"Dev Ops",'New Hires Forecast'!$H$5:$H$82,"&gt;="&amp;'Dev Ops'!AD3,'New Hires Forecast'!$G$5:$G$82,"&lt;="&amp;'Dev Ops'!AD3)/12)),IF(YEAR(AD$3)=YEAR('New Hires Forecast'!$O$3),((SUMIFS('New Hires Forecast'!$O$5:$O$82,'New Hires Forecast'!$F$5:$F$82,"Dev Ops",'New Hires Forecast'!$H$5:$H$82,"&gt;="&amp;'Dev Ops'!AD3,'New Hires Forecast'!$G$5:$G$82,"&lt;="&amp;'Dev Ops'!AD3)/12)),IF(YEAR(AD$3)=YEAR('New Hires Forecast'!$P$3),((SUMIFS('New Hires Forecast'!$P$5:$P$82,'New Hires Forecast'!$F$5:$F$82,"Dev Ops",'New Hires Forecast'!$H$5:$H$82,"&gt;="&amp;'Dev Ops'!AD3,'New Hires Forecast'!$G$5:$G$82,"&lt;="&amp;'Dev Ops'!AD3)/12)),IF(YEAR(AD$3)=YEAR('New Hires Forecast'!$Q$3),((SUMIFS('New Hires Forecast'!$Q$5:$Q$82,'New Hires Forecast'!$F$5:$F$82,"Dev Ops",'New Hires Forecast'!$H$5:$H$82,"&gt;="&amp;'Dev Ops'!AD3,'New Hires Forecast'!$G$5:$G$82,"&lt;="&amp;'Dev Ops'!AD3)/12)),IF(YEAR(AD$3)=YEAR('New Hires Forecast'!$R$3),((SUMIFS('New Hires Forecast'!$R$5:$R$82,'New Hires Forecast'!$F$5:$F$82,"Dev Ops",'New Hires Forecast'!$H$5:$H$82,"&gt;="&amp;'Dev Ops'!AD3,'New Hires Forecast'!$G$5:$G$82,"&lt;="&amp;'Dev Ops'!AD3)/12))))))),0)</f>
        <v>10000</v>
      </c>
      <c r="AE13" s="668">
        <f>IF(AE$4="forecast",IF(YEAR(AE$3)=YEAR('New Hires Forecast'!$N$3),((SUMIFS('New Hires Forecast'!$N$5:$N$82,'New Hires Forecast'!$F$5:$F$82,"Dev Ops",'New Hires Forecast'!$H$5:$H$82,"&gt;="&amp;'Dev Ops'!AE3,'New Hires Forecast'!$G$5:$G$82,"&lt;="&amp;'Dev Ops'!AE3)/12)),IF(YEAR(AE$3)=YEAR('New Hires Forecast'!$O$3),((SUMIFS('New Hires Forecast'!$O$5:$O$82,'New Hires Forecast'!$F$5:$F$82,"Dev Ops",'New Hires Forecast'!$H$5:$H$82,"&gt;="&amp;'Dev Ops'!AE3,'New Hires Forecast'!$G$5:$G$82,"&lt;="&amp;'Dev Ops'!AE3)/12)),IF(YEAR(AE$3)=YEAR('New Hires Forecast'!$P$3),((SUMIFS('New Hires Forecast'!$P$5:$P$82,'New Hires Forecast'!$F$5:$F$82,"Dev Ops",'New Hires Forecast'!$H$5:$H$82,"&gt;="&amp;'Dev Ops'!AE3,'New Hires Forecast'!$G$5:$G$82,"&lt;="&amp;'Dev Ops'!AE3)/12)),IF(YEAR(AE$3)=YEAR('New Hires Forecast'!$Q$3),((SUMIFS('New Hires Forecast'!$Q$5:$Q$82,'New Hires Forecast'!$F$5:$F$82,"Dev Ops",'New Hires Forecast'!$H$5:$H$82,"&gt;="&amp;'Dev Ops'!AE3,'New Hires Forecast'!$G$5:$G$82,"&lt;="&amp;'Dev Ops'!AE3)/12)),IF(YEAR(AE$3)=YEAR('New Hires Forecast'!$R$3),((SUMIFS('New Hires Forecast'!$R$5:$R$82,'New Hires Forecast'!$F$5:$F$82,"Dev Ops",'New Hires Forecast'!$H$5:$H$82,"&gt;="&amp;'Dev Ops'!AE3,'New Hires Forecast'!$G$5:$G$82,"&lt;="&amp;'Dev Ops'!AE3)/12))))))),0)</f>
        <v>20833.333333333332</v>
      </c>
      <c r="AF13" s="668">
        <f>IF(AF$4="forecast",IF(YEAR(AF$3)=YEAR('New Hires Forecast'!$N$3),((SUMIFS('New Hires Forecast'!$N$5:$N$82,'New Hires Forecast'!$F$5:$F$82,"Dev Ops",'New Hires Forecast'!$H$5:$H$82,"&gt;="&amp;'Dev Ops'!AF3,'New Hires Forecast'!$G$5:$G$82,"&lt;="&amp;'Dev Ops'!AF3)/12)),IF(YEAR(AF$3)=YEAR('New Hires Forecast'!$O$3),((SUMIFS('New Hires Forecast'!$O$5:$O$82,'New Hires Forecast'!$F$5:$F$82,"Dev Ops",'New Hires Forecast'!$H$5:$H$82,"&gt;="&amp;'Dev Ops'!AF3,'New Hires Forecast'!$G$5:$G$82,"&lt;="&amp;'Dev Ops'!AF3)/12)),IF(YEAR(AF$3)=YEAR('New Hires Forecast'!$P$3),((SUMIFS('New Hires Forecast'!$P$5:$P$82,'New Hires Forecast'!$F$5:$F$82,"Dev Ops",'New Hires Forecast'!$H$5:$H$82,"&gt;="&amp;'Dev Ops'!AF3,'New Hires Forecast'!$G$5:$G$82,"&lt;="&amp;'Dev Ops'!AF3)/12)),IF(YEAR(AF$3)=YEAR('New Hires Forecast'!$Q$3),((SUMIFS('New Hires Forecast'!$Q$5:$Q$82,'New Hires Forecast'!$F$5:$F$82,"Dev Ops",'New Hires Forecast'!$H$5:$H$82,"&gt;="&amp;'Dev Ops'!AF3,'New Hires Forecast'!$G$5:$G$82,"&lt;="&amp;'Dev Ops'!AF3)/12)),IF(YEAR(AF$3)=YEAR('New Hires Forecast'!$R$3),((SUMIFS('New Hires Forecast'!$R$5:$R$82,'New Hires Forecast'!$F$5:$F$82,"Dev Ops",'New Hires Forecast'!$H$5:$H$82,"&gt;="&amp;'Dev Ops'!AF3,'New Hires Forecast'!$G$5:$G$82,"&lt;="&amp;'Dev Ops'!AF3)/12))))))),0)</f>
        <v>23833.333333333332</v>
      </c>
      <c r="AG13" s="668">
        <f>IF(AG$4="forecast",IF(YEAR(AG$3)=YEAR('New Hires Forecast'!$N$3),((SUMIFS('New Hires Forecast'!$N$5:$N$82,'New Hires Forecast'!$F$5:$F$82,"Dev Ops",'New Hires Forecast'!$H$5:$H$82,"&gt;="&amp;'Dev Ops'!AG3,'New Hires Forecast'!$G$5:$G$82,"&lt;="&amp;'Dev Ops'!AG3)/12)),IF(YEAR(AG$3)=YEAR('New Hires Forecast'!$O$3),((SUMIFS('New Hires Forecast'!$O$5:$O$82,'New Hires Forecast'!$F$5:$F$82,"Dev Ops",'New Hires Forecast'!$H$5:$H$82,"&gt;="&amp;'Dev Ops'!AG3,'New Hires Forecast'!$G$5:$G$82,"&lt;="&amp;'Dev Ops'!AG3)/12)),IF(YEAR(AG$3)=YEAR('New Hires Forecast'!$P$3),((SUMIFS('New Hires Forecast'!$P$5:$P$82,'New Hires Forecast'!$F$5:$F$82,"Dev Ops",'New Hires Forecast'!$H$5:$H$82,"&gt;="&amp;'Dev Ops'!AG3,'New Hires Forecast'!$G$5:$G$82,"&lt;="&amp;'Dev Ops'!AG3)/12)),IF(YEAR(AG$3)=YEAR('New Hires Forecast'!$Q$3),((SUMIFS('New Hires Forecast'!$Q$5:$Q$82,'New Hires Forecast'!$F$5:$F$82,"Dev Ops",'New Hires Forecast'!$H$5:$H$82,"&gt;="&amp;'Dev Ops'!AG3,'New Hires Forecast'!$G$5:$G$82,"&lt;="&amp;'Dev Ops'!AG3)/12)),IF(YEAR(AG$3)=YEAR('New Hires Forecast'!$R$3),((SUMIFS('New Hires Forecast'!$R$5:$R$82,'New Hires Forecast'!$F$5:$F$82,"Dev Ops",'New Hires Forecast'!$H$5:$H$82,"&gt;="&amp;'Dev Ops'!AG3,'New Hires Forecast'!$G$5:$G$82,"&lt;="&amp;'Dev Ops'!AG3)/12))))))),0)</f>
        <v>23833.333333333332</v>
      </c>
      <c r="AH13" s="668">
        <f>IF(AH$4="forecast",IF(YEAR(AH$3)=YEAR('New Hires Forecast'!$N$3),((SUMIFS('New Hires Forecast'!$N$5:$N$82,'New Hires Forecast'!$F$5:$F$82,"Dev Ops",'New Hires Forecast'!$H$5:$H$82,"&gt;="&amp;'Dev Ops'!AH3,'New Hires Forecast'!$G$5:$G$82,"&lt;="&amp;'Dev Ops'!AH3)/12)),IF(YEAR(AH$3)=YEAR('New Hires Forecast'!$O$3),((SUMIFS('New Hires Forecast'!$O$5:$O$82,'New Hires Forecast'!$F$5:$F$82,"Dev Ops",'New Hires Forecast'!$H$5:$H$82,"&gt;="&amp;'Dev Ops'!AH3,'New Hires Forecast'!$G$5:$G$82,"&lt;="&amp;'Dev Ops'!AH3)/12)),IF(YEAR(AH$3)=YEAR('New Hires Forecast'!$P$3),((SUMIFS('New Hires Forecast'!$P$5:$P$82,'New Hires Forecast'!$F$5:$F$82,"Dev Ops",'New Hires Forecast'!$H$5:$H$82,"&gt;="&amp;'Dev Ops'!AH3,'New Hires Forecast'!$G$5:$G$82,"&lt;="&amp;'Dev Ops'!AH3)/12)),IF(YEAR(AH$3)=YEAR('New Hires Forecast'!$Q$3),((SUMIFS('New Hires Forecast'!$Q$5:$Q$82,'New Hires Forecast'!$F$5:$F$82,"Dev Ops",'New Hires Forecast'!$H$5:$H$82,"&gt;="&amp;'Dev Ops'!AH3,'New Hires Forecast'!$G$5:$G$82,"&lt;="&amp;'Dev Ops'!AH3)/12)),IF(YEAR(AH$3)=YEAR('New Hires Forecast'!$R$3),((SUMIFS('New Hires Forecast'!$R$5:$R$82,'New Hires Forecast'!$F$5:$F$82,"Dev Ops",'New Hires Forecast'!$H$5:$H$82,"&gt;="&amp;'Dev Ops'!AH3,'New Hires Forecast'!$G$5:$G$82,"&lt;="&amp;'Dev Ops'!AH3)/12))))))),0)</f>
        <v>23833.333333333332</v>
      </c>
      <c r="AI13" s="668">
        <f>IF(AI$4="forecast",IF(YEAR(AI$3)=YEAR('New Hires Forecast'!$N$3),((SUMIFS('New Hires Forecast'!$N$5:$N$82,'New Hires Forecast'!$F$5:$F$82,"Dev Ops",'New Hires Forecast'!$H$5:$H$82,"&gt;="&amp;'Dev Ops'!AI3,'New Hires Forecast'!$G$5:$G$82,"&lt;="&amp;'Dev Ops'!AI3)/12)),IF(YEAR(AI$3)=YEAR('New Hires Forecast'!$O$3),((SUMIFS('New Hires Forecast'!$O$5:$O$82,'New Hires Forecast'!$F$5:$F$82,"Dev Ops",'New Hires Forecast'!$H$5:$H$82,"&gt;="&amp;'Dev Ops'!AI3,'New Hires Forecast'!$G$5:$G$82,"&lt;="&amp;'Dev Ops'!AI3)/12)),IF(YEAR(AI$3)=YEAR('New Hires Forecast'!$P$3),((SUMIFS('New Hires Forecast'!$P$5:$P$82,'New Hires Forecast'!$F$5:$F$82,"Dev Ops",'New Hires Forecast'!$H$5:$H$82,"&gt;="&amp;'Dev Ops'!AI3,'New Hires Forecast'!$G$5:$G$82,"&lt;="&amp;'Dev Ops'!AI3)/12)),IF(YEAR(AI$3)=YEAR('New Hires Forecast'!$Q$3),((SUMIFS('New Hires Forecast'!$Q$5:$Q$82,'New Hires Forecast'!$F$5:$F$82,"Dev Ops",'New Hires Forecast'!$H$5:$H$82,"&gt;="&amp;'Dev Ops'!AI3,'New Hires Forecast'!$G$5:$G$82,"&lt;="&amp;'Dev Ops'!AI3)/12)),IF(YEAR(AI$3)=YEAR('New Hires Forecast'!$R$3),((SUMIFS('New Hires Forecast'!$R$5:$R$82,'New Hires Forecast'!$F$5:$F$82,"Dev Ops",'New Hires Forecast'!$H$5:$H$82,"&gt;="&amp;'Dev Ops'!AI3,'New Hires Forecast'!$G$5:$G$82,"&lt;="&amp;'Dev Ops'!AI3)/12))))))),0)</f>
        <v>20833.333333333332</v>
      </c>
      <c r="AJ13" s="668">
        <f>IF(AJ$4="forecast",IF(YEAR(AJ$3)=YEAR('New Hires Forecast'!$N$3),((SUMIFS('New Hires Forecast'!$N$5:$N$82,'New Hires Forecast'!$F$5:$F$82,"Dev Ops",'New Hires Forecast'!$H$5:$H$82,"&gt;="&amp;'Dev Ops'!AJ3,'New Hires Forecast'!$G$5:$G$82,"&lt;="&amp;'Dev Ops'!AJ3)/12)),IF(YEAR(AJ$3)=YEAR('New Hires Forecast'!$O$3),((SUMIFS('New Hires Forecast'!$O$5:$O$82,'New Hires Forecast'!$F$5:$F$82,"Dev Ops",'New Hires Forecast'!$H$5:$H$82,"&gt;="&amp;'Dev Ops'!AJ3,'New Hires Forecast'!$G$5:$G$82,"&lt;="&amp;'Dev Ops'!AJ3)/12)),IF(YEAR(AJ$3)=YEAR('New Hires Forecast'!$P$3),((SUMIFS('New Hires Forecast'!$P$5:$P$82,'New Hires Forecast'!$F$5:$F$82,"Dev Ops",'New Hires Forecast'!$H$5:$H$82,"&gt;="&amp;'Dev Ops'!AJ3,'New Hires Forecast'!$G$5:$G$82,"&lt;="&amp;'Dev Ops'!AJ3)/12)),IF(YEAR(AJ$3)=YEAR('New Hires Forecast'!$Q$3),((SUMIFS('New Hires Forecast'!$Q$5:$Q$82,'New Hires Forecast'!$F$5:$F$82,"Dev Ops",'New Hires Forecast'!$H$5:$H$82,"&gt;="&amp;'Dev Ops'!AJ3,'New Hires Forecast'!$G$5:$G$82,"&lt;="&amp;'Dev Ops'!AJ3)/12)),IF(YEAR(AJ$3)=YEAR('New Hires Forecast'!$R$3),((SUMIFS('New Hires Forecast'!$R$5:$R$82,'New Hires Forecast'!$F$5:$F$82,"Dev Ops",'New Hires Forecast'!$H$5:$H$82,"&gt;="&amp;'Dev Ops'!AJ3,'New Hires Forecast'!$G$5:$G$82,"&lt;="&amp;'Dev Ops'!AJ3)/12))))))),0)</f>
        <v>20833.333333333332</v>
      </c>
      <c r="AK13" s="668">
        <f>IF(AK$4="forecast",IF(YEAR(AK$3)=YEAR('New Hires Forecast'!$N$3),((SUMIFS('New Hires Forecast'!$N$5:$N$82,'New Hires Forecast'!$F$5:$F$82,"Dev Ops",'New Hires Forecast'!$H$5:$H$82,"&gt;="&amp;'Dev Ops'!AK3,'New Hires Forecast'!$G$5:$G$82,"&lt;="&amp;'Dev Ops'!AK3)/12)),IF(YEAR(AK$3)=YEAR('New Hires Forecast'!$O$3),((SUMIFS('New Hires Forecast'!$O$5:$O$82,'New Hires Forecast'!$F$5:$F$82,"Dev Ops",'New Hires Forecast'!$H$5:$H$82,"&gt;="&amp;'Dev Ops'!AK3,'New Hires Forecast'!$G$5:$G$82,"&lt;="&amp;'Dev Ops'!AK3)/12)),IF(YEAR(AK$3)=YEAR('New Hires Forecast'!$P$3),((SUMIFS('New Hires Forecast'!$P$5:$P$82,'New Hires Forecast'!$F$5:$F$82,"Dev Ops",'New Hires Forecast'!$H$5:$H$82,"&gt;="&amp;'Dev Ops'!AK3,'New Hires Forecast'!$G$5:$G$82,"&lt;="&amp;'Dev Ops'!AK3)/12)),IF(YEAR(AK$3)=YEAR('New Hires Forecast'!$Q$3),((SUMIFS('New Hires Forecast'!$Q$5:$Q$82,'New Hires Forecast'!$F$5:$F$82,"Dev Ops",'New Hires Forecast'!$H$5:$H$82,"&gt;="&amp;'Dev Ops'!AK3,'New Hires Forecast'!$G$5:$G$82,"&lt;="&amp;'Dev Ops'!AK3)/12)),IF(YEAR(AK$3)=YEAR('New Hires Forecast'!$R$3),((SUMIFS('New Hires Forecast'!$R$5:$R$82,'New Hires Forecast'!$F$5:$F$82,"Dev Ops",'New Hires Forecast'!$H$5:$H$82,"&gt;="&amp;'Dev Ops'!AK3,'New Hires Forecast'!$G$5:$G$82,"&lt;="&amp;'Dev Ops'!AK3)/12))))))),0)</f>
        <v>20833.333333333332</v>
      </c>
      <c r="AL13" s="668">
        <f>IF(AL$4="forecast",IF(YEAR(AL$3)=YEAR('New Hires Forecast'!$N$3),((SUMIFS('New Hires Forecast'!$N$5:$N$82,'New Hires Forecast'!$F$5:$F$82,"Dev Ops",'New Hires Forecast'!$H$5:$H$82,"&gt;="&amp;'Dev Ops'!AL3,'New Hires Forecast'!$G$5:$G$82,"&lt;="&amp;'Dev Ops'!AL3)/12)),IF(YEAR(AL$3)=YEAR('New Hires Forecast'!$O$3),((SUMIFS('New Hires Forecast'!$O$5:$O$82,'New Hires Forecast'!$F$5:$F$82,"Dev Ops",'New Hires Forecast'!$H$5:$H$82,"&gt;="&amp;'Dev Ops'!AL3,'New Hires Forecast'!$G$5:$G$82,"&lt;="&amp;'Dev Ops'!AL3)/12)),IF(YEAR(AL$3)=YEAR('New Hires Forecast'!$P$3),((SUMIFS('New Hires Forecast'!$P$5:$P$82,'New Hires Forecast'!$F$5:$F$82,"Dev Ops",'New Hires Forecast'!$H$5:$H$82,"&gt;="&amp;'Dev Ops'!AL3,'New Hires Forecast'!$G$5:$G$82,"&lt;="&amp;'Dev Ops'!AL3)/12)),IF(YEAR(AL$3)=YEAR('New Hires Forecast'!$Q$3),((SUMIFS('New Hires Forecast'!$Q$5:$Q$82,'New Hires Forecast'!$F$5:$F$82,"Dev Ops",'New Hires Forecast'!$H$5:$H$82,"&gt;="&amp;'Dev Ops'!AL3,'New Hires Forecast'!$G$5:$G$82,"&lt;="&amp;'Dev Ops'!AL3)/12)),IF(YEAR(AL$3)=YEAR('New Hires Forecast'!$R$3),((SUMIFS('New Hires Forecast'!$R$5:$R$82,'New Hires Forecast'!$F$5:$F$82,"Dev Ops",'New Hires Forecast'!$H$5:$H$82,"&gt;="&amp;'Dev Ops'!AL3,'New Hires Forecast'!$G$5:$G$82,"&lt;="&amp;'Dev Ops'!AL3)/12))))))),0)</f>
        <v>20833.333333333332</v>
      </c>
      <c r="AM13" s="668">
        <f>IF(AM$4="forecast",IF(YEAR(AM$3)=YEAR('New Hires Forecast'!$N$3),((SUMIFS('New Hires Forecast'!$N$5:$N$82,'New Hires Forecast'!$F$5:$F$82,"Dev Ops",'New Hires Forecast'!$H$5:$H$82,"&gt;="&amp;'Dev Ops'!AM3,'New Hires Forecast'!$G$5:$G$82,"&lt;="&amp;'Dev Ops'!AM3)/12)),IF(YEAR(AM$3)=YEAR('New Hires Forecast'!$O$3),((SUMIFS('New Hires Forecast'!$O$5:$O$82,'New Hires Forecast'!$F$5:$F$82,"Dev Ops",'New Hires Forecast'!$H$5:$H$82,"&gt;="&amp;'Dev Ops'!AM3,'New Hires Forecast'!$G$5:$G$82,"&lt;="&amp;'Dev Ops'!AM3)/12)),IF(YEAR(AM$3)=YEAR('New Hires Forecast'!$P$3),((SUMIFS('New Hires Forecast'!$P$5:$P$82,'New Hires Forecast'!$F$5:$F$82,"Dev Ops",'New Hires Forecast'!$H$5:$H$82,"&gt;="&amp;'Dev Ops'!AM3,'New Hires Forecast'!$G$5:$G$82,"&lt;="&amp;'Dev Ops'!AM3)/12)),IF(YEAR(AM$3)=YEAR('New Hires Forecast'!$Q$3),((SUMIFS('New Hires Forecast'!$Q$5:$Q$82,'New Hires Forecast'!$F$5:$F$82,"Dev Ops",'New Hires Forecast'!$H$5:$H$82,"&gt;="&amp;'Dev Ops'!AM3,'New Hires Forecast'!$G$5:$G$82,"&lt;="&amp;'Dev Ops'!AM3)/12)),IF(YEAR(AM$3)=YEAR('New Hires Forecast'!$R$3),((SUMIFS('New Hires Forecast'!$R$5:$R$82,'New Hires Forecast'!$F$5:$F$82,"Dev Ops",'New Hires Forecast'!$H$5:$H$82,"&gt;="&amp;'Dev Ops'!AM3,'New Hires Forecast'!$G$5:$G$82,"&lt;="&amp;'Dev Ops'!AM3)/12))))))),0)</f>
        <v>21458.333333333332</v>
      </c>
      <c r="AN13" s="668">
        <f>IF(AN$4="forecast",IF(YEAR(AN$3)=YEAR('New Hires Forecast'!$N$3),((SUMIFS('New Hires Forecast'!$N$5:$N$82,'New Hires Forecast'!$F$5:$F$82,"Dev Ops",'New Hires Forecast'!$H$5:$H$82,"&gt;="&amp;'Dev Ops'!AN3,'New Hires Forecast'!$G$5:$G$82,"&lt;="&amp;'Dev Ops'!AN3)/12)),IF(YEAR(AN$3)=YEAR('New Hires Forecast'!$O$3),((SUMIFS('New Hires Forecast'!$O$5:$O$82,'New Hires Forecast'!$F$5:$F$82,"Dev Ops",'New Hires Forecast'!$H$5:$H$82,"&gt;="&amp;'Dev Ops'!AN3,'New Hires Forecast'!$G$5:$G$82,"&lt;="&amp;'Dev Ops'!AN3)/12)),IF(YEAR(AN$3)=YEAR('New Hires Forecast'!$P$3),((SUMIFS('New Hires Forecast'!$P$5:$P$82,'New Hires Forecast'!$F$5:$F$82,"Dev Ops",'New Hires Forecast'!$H$5:$H$82,"&gt;="&amp;'Dev Ops'!AN3,'New Hires Forecast'!$G$5:$G$82,"&lt;="&amp;'Dev Ops'!AN3)/12)),IF(YEAR(AN$3)=YEAR('New Hires Forecast'!$Q$3),((SUMIFS('New Hires Forecast'!$Q$5:$Q$82,'New Hires Forecast'!$F$5:$F$82,"Dev Ops",'New Hires Forecast'!$H$5:$H$82,"&gt;="&amp;'Dev Ops'!AN3,'New Hires Forecast'!$G$5:$G$82,"&lt;="&amp;'Dev Ops'!AN3)/12)),IF(YEAR(AN$3)=YEAR('New Hires Forecast'!$R$3),((SUMIFS('New Hires Forecast'!$R$5:$R$82,'New Hires Forecast'!$F$5:$F$82,"Dev Ops",'New Hires Forecast'!$H$5:$H$82,"&gt;="&amp;'Dev Ops'!AN3,'New Hires Forecast'!$G$5:$G$82,"&lt;="&amp;'Dev Ops'!AN3)/12))))))),0)</f>
        <v>21458.333333333332</v>
      </c>
      <c r="AO13" s="668">
        <f>IF(AO$4="forecast",IF(YEAR(AO$3)=YEAR('New Hires Forecast'!$N$3),((SUMIFS('New Hires Forecast'!$N$5:$N$82,'New Hires Forecast'!$F$5:$F$82,"Dev Ops",'New Hires Forecast'!$H$5:$H$82,"&gt;="&amp;'Dev Ops'!AO3,'New Hires Forecast'!$G$5:$G$82,"&lt;="&amp;'Dev Ops'!AO3)/12)),IF(YEAR(AO$3)=YEAR('New Hires Forecast'!$O$3),((SUMIFS('New Hires Forecast'!$O$5:$O$82,'New Hires Forecast'!$F$5:$F$82,"Dev Ops",'New Hires Forecast'!$H$5:$H$82,"&gt;="&amp;'Dev Ops'!AO3,'New Hires Forecast'!$G$5:$G$82,"&lt;="&amp;'Dev Ops'!AO3)/12)),IF(YEAR(AO$3)=YEAR('New Hires Forecast'!$P$3),((SUMIFS('New Hires Forecast'!$P$5:$P$82,'New Hires Forecast'!$F$5:$F$82,"Dev Ops",'New Hires Forecast'!$H$5:$H$82,"&gt;="&amp;'Dev Ops'!AO3,'New Hires Forecast'!$G$5:$G$82,"&lt;="&amp;'Dev Ops'!AO3)/12)),IF(YEAR(AO$3)=YEAR('New Hires Forecast'!$Q$3),((SUMIFS('New Hires Forecast'!$Q$5:$Q$82,'New Hires Forecast'!$F$5:$F$82,"Dev Ops",'New Hires Forecast'!$H$5:$H$82,"&gt;="&amp;'Dev Ops'!AO3,'New Hires Forecast'!$G$5:$G$82,"&lt;="&amp;'Dev Ops'!AO3)/12)),IF(YEAR(AO$3)=YEAR('New Hires Forecast'!$R$3),((SUMIFS('New Hires Forecast'!$R$5:$R$82,'New Hires Forecast'!$F$5:$F$82,"Dev Ops",'New Hires Forecast'!$H$5:$H$82,"&gt;="&amp;'Dev Ops'!AO3,'New Hires Forecast'!$G$5:$G$82,"&lt;="&amp;'Dev Ops'!AO3)/12))))))),0)</f>
        <v>21458.333333333332</v>
      </c>
      <c r="AP13" s="668">
        <f>IF(AP$4="forecast",IF(YEAR(AP$3)=YEAR('New Hires Forecast'!$N$3),((SUMIFS('New Hires Forecast'!$N$5:$N$82,'New Hires Forecast'!$F$5:$F$82,"Dev Ops",'New Hires Forecast'!$H$5:$H$82,"&gt;="&amp;'Dev Ops'!AP3,'New Hires Forecast'!$G$5:$G$82,"&lt;="&amp;'Dev Ops'!AP3)/12)),IF(YEAR(AP$3)=YEAR('New Hires Forecast'!$O$3),((SUMIFS('New Hires Forecast'!$O$5:$O$82,'New Hires Forecast'!$F$5:$F$82,"Dev Ops",'New Hires Forecast'!$H$5:$H$82,"&gt;="&amp;'Dev Ops'!AP3,'New Hires Forecast'!$G$5:$G$82,"&lt;="&amp;'Dev Ops'!AP3)/12)),IF(YEAR(AP$3)=YEAR('New Hires Forecast'!$P$3),((SUMIFS('New Hires Forecast'!$P$5:$P$82,'New Hires Forecast'!$F$5:$F$82,"Dev Ops",'New Hires Forecast'!$H$5:$H$82,"&gt;="&amp;'Dev Ops'!AP3,'New Hires Forecast'!$G$5:$G$82,"&lt;="&amp;'Dev Ops'!AP3)/12)),IF(YEAR(AP$3)=YEAR('New Hires Forecast'!$Q$3),((SUMIFS('New Hires Forecast'!$Q$5:$Q$82,'New Hires Forecast'!$F$5:$F$82,"Dev Ops",'New Hires Forecast'!$H$5:$H$82,"&gt;="&amp;'Dev Ops'!AP3,'New Hires Forecast'!$G$5:$G$82,"&lt;="&amp;'Dev Ops'!AP3)/12)),IF(YEAR(AP$3)=YEAR('New Hires Forecast'!$R$3),((SUMIFS('New Hires Forecast'!$R$5:$R$82,'New Hires Forecast'!$F$5:$F$82,"Dev Ops",'New Hires Forecast'!$H$5:$H$82,"&gt;="&amp;'Dev Ops'!AP3,'New Hires Forecast'!$G$5:$G$82,"&lt;="&amp;'Dev Ops'!AP3)/12))))))),0)</f>
        <v>21458.333333333332</v>
      </c>
      <c r="AQ13" s="668">
        <f>IF(AQ$4="forecast",IF(YEAR(AQ$3)=YEAR('New Hires Forecast'!$N$3),((SUMIFS('New Hires Forecast'!$N$5:$N$82,'New Hires Forecast'!$F$5:$F$82,"Dev Ops",'New Hires Forecast'!$H$5:$H$82,"&gt;="&amp;'Dev Ops'!AQ3,'New Hires Forecast'!$G$5:$G$82,"&lt;="&amp;'Dev Ops'!AQ3)/12)),IF(YEAR(AQ$3)=YEAR('New Hires Forecast'!$O$3),((SUMIFS('New Hires Forecast'!$O$5:$O$82,'New Hires Forecast'!$F$5:$F$82,"Dev Ops",'New Hires Forecast'!$H$5:$H$82,"&gt;="&amp;'Dev Ops'!AQ3,'New Hires Forecast'!$G$5:$G$82,"&lt;="&amp;'Dev Ops'!AQ3)/12)),IF(YEAR(AQ$3)=YEAR('New Hires Forecast'!$P$3),((SUMIFS('New Hires Forecast'!$P$5:$P$82,'New Hires Forecast'!$F$5:$F$82,"Dev Ops",'New Hires Forecast'!$H$5:$H$82,"&gt;="&amp;'Dev Ops'!AQ3,'New Hires Forecast'!$G$5:$G$82,"&lt;="&amp;'Dev Ops'!AQ3)/12)),IF(YEAR(AQ$3)=YEAR('New Hires Forecast'!$Q$3),((SUMIFS('New Hires Forecast'!$Q$5:$Q$82,'New Hires Forecast'!$F$5:$F$82,"Dev Ops",'New Hires Forecast'!$H$5:$H$82,"&gt;="&amp;'Dev Ops'!AQ3,'New Hires Forecast'!$G$5:$G$82,"&lt;="&amp;'Dev Ops'!AQ3)/12)),IF(YEAR(AQ$3)=YEAR('New Hires Forecast'!$R$3),((SUMIFS('New Hires Forecast'!$R$5:$R$82,'New Hires Forecast'!$F$5:$F$82,"Dev Ops",'New Hires Forecast'!$H$5:$H$82,"&gt;="&amp;'Dev Ops'!AQ3,'New Hires Forecast'!$G$5:$G$82,"&lt;="&amp;'Dev Ops'!AQ3)/12))))))),0)</f>
        <v>21458.333333333332</v>
      </c>
      <c r="AR13" s="668">
        <f>IF(AR$4="forecast",IF(YEAR(AR$3)=YEAR('New Hires Forecast'!$N$3),((SUMIFS('New Hires Forecast'!$N$5:$N$82,'New Hires Forecast'!$F$5:$F$82,"Dev Ops",'New Hires Forecast'!$H$5:$H$82,"&gt;="&amp;'Dev Ops'!AR3,'New Hires Forecast'!$G$5:$G$82,"&lt;="&amp;'Dev Ops'!AR3)/12)),IF(YEAR(AR$3)=YEAR('New Hires Forecast'!$O$3),((SUMIFS('New Hires Forecast'!$O$5:$O$82,'New Hires Forecast'!$F$5:$F$82,"Dev Ops",'New Hires Forecast'!$H$5:$H$82,"&gt;="&amp;'Dev Ops'!AR3,'New Hires Forecast'!$G$5:$G$82,"&lt;="&amp;'Dev Ops'!AR3)/12)),IF(YEAR(AR$3)=YEAR('New Hires Forecast'!$P$3),((SUMIFS('New Hires Forecast'!$P$5:$P$82,'New Hires Forecast'!$F$5:$F$82,"Dev Ops",'New Hires Forecast'!$H$5:$H$82,"&gt;="&amp;'Dev Ops'!AR3,'New Hires Forecast'!$G$5:$G$82,"&lt;="&amp;'Dev Ops'!AR3)/12)),IF(YEAR(AR$3)=YEAR('New Hires Forecast'!$Q$3),((SUMIFS('New Hires Forecast'!$Q$5:$Q$82,'New Hires Forecast'!$F$5:$F$82,"Dev Ops",'New Hires Forecast'!$H$5:$H$82,"&gt;="&amp;'Dev Ops'!AR3,'New Hires Forecast'!$G$5:$G$82,"&lt;="&amp;'Dev Ops'!AR3)/12)),IF(YEAR(AR$3)=YEAR('New Hires Forecast'!$R$3),((SUMIFS('New Hires Forecast'!$R$5:$R$82,'New Hires Forecast'!$F$5:$F$82,"Dev Ops",'New Hires Forecast'!$H$5:$H$82,"&gt;="&amp;'Dev Ops'!AR3,'New Hires Forecast'!$G$5:$G$82,"&lt;="&amp;'Dev Ops'!AR3)/12))))))),0)</f>
        <v>21458.333333333332</v>
      </c>
      <c r="AS13" s="668">
        <f>IF(AS$4="forecast",IF(YEAR(AS$3)=YEAR('New Hires Forecast'!$N$3),((SUMIFS('New Hires Forecast'!$N$5:$N$82,'New Hires Forecast'!$F$5:$F$82,"Dev Ops",'New Hires Forecast'!$H$5:$H$82,"&gt;="&amp;'Dev Ops'!AS3,'New Hires Forecast'!$G$5:$G$82,"&lt;="&amp;'Dev Ops'!AS3)/12)),IF(YEAR(AS$3)=YEAR('New Hires Forecast'!$O$3),((SUMIFS('New Hires Forecast'!$O$5:$O$82,'New Hires Forecast'!$F$5:$F$82,"Dev Ops",'New Hires Forecast'!$H$5:$H$82,"&gt;="&amp;'Dev Ops'!AS3,'New Hires Forecast'!$G$5:$G$82,"&lt;="&amp;'Dev Ops'!AS3)/12)),IF(YEAR(AS$3)=YEAR('New Hires Forecast'!$P$3),((SUMIFS('New Hires Forecast'!$P$5:$P$82,'New Hires Forecast'!$F$5:$F$82,"Dev Ops",'New Hires Forecast'!$H$5:$H$82,"&gt;="&amp;'Dev Ops'!AS3,'New Hires Forecast'!$G$5:$G$82,"&lt;="&amp;'Dev Ops'!AS3)/12)),IF(YEAR(AS$3)=YEAR('New Hires Forecast'!$Q$3),((SUMIFS('New Hires Forecast'!$Q$5:$Q$82,'New Hires Forecast'!$F$5:$F$82,"Dev Ops",'New Hires Forecast'!$H$5:$H$82,"&gt;="&amp;'Dev Ops'!AS3,'New Hires Forecast'!$G$5:$G$82,"&lt;="&amp;'Dev Ops'!AS3)/12)),IF(YEAR(AS$3)=YEAR('New Hires Forecast'!$R$3),((SUMIFS('New Hires Forecast'!$R$5:$R$82,'New Hires Forecast'!$F$5:$F$82,"Dev Ops",'New Hires Forecast'!$H$5:$H$82,"&gt;="&amp;'Dev Ops'!AS3,'New Hires Forecast'!$G$5:$G$82,"&lt;="&amp;'Dev Ops'!AS3)/12))))))),0)</f>
        <v>21458.333333333332</v>
      </c>
      <c r="AT13" s="668">
        <f>IF(AT$4="forecast",IF(YEAR(AT$3)=YEAR('New Hires Forecast'!$N$3),((SUMIFS('New Hires Forecast'!$N$5:$N$82,'New Hires Forecast'!$F$5:$F$82,"Dev Ops",'New Hires Forecast'!$H$5:$H$82,"&gt;="&amp;'Dev Ops'!AT3,'New Hires Forecast'!$G$5:$G$82,"&lt;="&amp;'Dev Ops'!AT3)/12)),IF(YEAR(AT$3)=YEAR('New Hires Forecast'!$O$3),((SUMIFS('New Hires Forecast'!$O$5:$O$82,'New Hires Forecast'!$F$5:$F$82,"Dev Ops",'New Hires Forecast'!$H$5:$H$82,"&gt;="&amp;'Dev Ops'!AT3,'New Hires Forecast'!$G$5:$G$82,"&lt;="&amp;'Dev Ops'!AT3)/12)),IF(YEAR(AT$3)=YEAR('New Hires Forecast'!$P$3),((SUMIFS('New Hires Forecast'!$P$5:$P$82,'New Hires Forecast'!$F$5:$F$82,"Dev Ops",'New Hires Forecast'!$H$5:$H$82,"&gt;="&amp;'Dev Ops'!AT3,'New Hires Forecast'!$G$5:$G$82,"&lt;="&amp;'Dev Ops'!AT3)/12)),IF(YEAR(AT$3)=YEAR('New Hires Forecast'!$Q$3),((SUMIFS('New Hires Forecast'!$Q$5:$Q$82,'New Hires Forecast'!$F$5:$F$82,"Dev Ops",'New Hires Forecast'!$H$5:$H$82,"&gt;="&amp;'Dev Ops'!AT3,'New Hires Forecast'!$G$5:$G$82,"&lt;="&amp;'Dev Ops'!AT3)/12)),IF(YEAR(AT$3)=YEAR('New Hires Forecast'!$R$3),((SUMIFS('New Hires Forecast'!$R$5:$R$82,'New Hires Forecast'!$F$5:$F$82,"Dev Ops",'New Hires Forecast'!$H$5:$H$82,"&gt;="&amp;'Dev Ops'!AT3,'New Hires Forecast'!$G$5:$G$82,"&lt;="&amp;'Dev Ops'!AT3)/12))))))),0)</f>
        <v>21458.333333333332</v>
      </c>
      <c r="AU13" s="668">
        <f>IF(AU$4="forecast",IF(YEAR(AU$3)=YEAR('New Hires Forecast'!$N$3),((SUMIFS('New Hires Forecast'!$N$5:$N$82,'New Hires Forecast'!$F$5:$F$82,"Dev Ops",'New Hires Forecast'!$H$5:$H$82,"&gt;="&amp;'Dev Ops'!AU3,'New Hires Forecast'!$G$5:$G$82,"&lt;="&amp;'Dev Ops'!AU3)/12)),IF(YEAR(AU$3)=YEAR('New Hires Forecast'!$O$3),((SUMIFS('New Hires Forecast'!$O$5:$O$82,'New Hires Forecast'!$F$5:$F$82,"Dev Ops",'New Hires Forecast'!$H$5:$H$82,"&gt;="&amp;'Dev Ops'!AU3,'New Hires Forecast'!$G$5:$G$82,"&lt;="&amp;'Dev Ops'!AU3)/12)),IF(YEAR(AU$3)=YEAR('New Hires Forecast'!$P$3),((SUMIFS('New Hires Forecast'!$P$5:$P$82,'New Hires Forecast'!$F$5:$F$82,"Dev Ops",'New Hires Forecast'!$H$5:$H$82,"&gt;="&amp;'Dev Ops'!AU3,'New Hires Forecast'!$G$5:$G$82,"&lt;="&amp;'Dev Ops'!AU3)/12)),IF(YEAR(AU$3)=YEAR('New Hires Forecast'!$Q$3),((SUMIFS('New Hires Forecast'!$Q$5:$Q$82,'New Hires Forecast'!$F$5:$F$82,"Dev Ops",'New Hires Forecast'!$H$5:$H$82,"&gt;="&amp;'Dev Ops'!AU3,'New Hires Forecast'!$G$5:$G$82,"&lt;="&amp;'Dev Ops'!AU3)/12)),IF(YEAR(AU$3)=YEAR('New Hires Forecast'!$R$3),((SUMIFS('New Hires Forecast'!$R$5:$R$82,'New Hires Forecast'!$F$5:$F$82,"Dev Ops",'New Hires Forecast'!$H$5:$H$82,"&gt;="&amp;'Dev Ops'!AU3,'New Hires Forecast'!$G$5:$G$82,"&lt;="&amp;'Dev Ops'!AU3)/12))))))),0)</f>
        <v>21458.333333333332</v>
      </c>
      <c r="AV13" s="668">
        <f>IF(AV$4="forecast",IF(YEAR(AV$3)=YEAR('New Hires Forecast'!$N$3),((SUMIFS('New Hires Forecast'!$N$5:$N$82,'New Hires Forecast'!$F$5:$F$82,"Dev Ops",'New Hires Forecast'!$H$5:$H$82,"&gt;="&amp;'Dev Ops'!AV3,'New Hires Forecast'!$G$5:$G$82,"&lt;="&amp;'Dev Ops'!AV3)/12)),IF(YEAR(AV$3)=YEAR('New Hires Forecast'!$O$3),((SUMIFS('New Hires Forecast'!$O$5:$O$82,'New Hires Forecast'!$F$5:$F$82,"Dev Ops",'New Hires Forecast'!$H$5:$H$82,"&gt;="&amp;'Dev Ops'!AV3,'New Hires Forecast'!$G$5:$G$82,"&lt;="&amp;'Dev Ops'!AV3)/12)),IF(YEAR(AV$3)=YEAR('New Hires Forecast'!$P$3),((SUMIFS('New Hires Forecast'!$P$5:$P$82,'New Hires Forecast'!$F$5:$F$82,"Dev Ops",'New Hires Forecast'!$H$5:$H$82,"&gt;="&amp;'Dev Ops'!AV3,'New Hires Forecast'!$G$5:$G$82,"&lt;="&amp;'Dev Ops'!AV3)/12)),IF(YEAR(AV$3)=YEAR('New Hires Forecast'!$Q$3),((SUMIFS('New Hires Forecast'!$Q$5:$Q$82,'New Hires Forecast'!$F$5:$F$82,"Dev Ops",'New Hires Forecast'!$H$5:$H$82,"&gt;="&amp;'Dev Ops'!AV3,'New Hires Forecast'!$G$5:$G$82,"&lt;="&amp;'Dev Ops'!AV3)/12)),IF(YEAR(AV$3)=YEAR('New Hires Forecast'!$R$3),((SUMIFS('New Hires Forecast'!$R$5:$R$82,'New Hires Forecast'!$F$5:$F$82,"Dev Ops",'New Hires Forecast'!$H$5:$H$82,"&gt;="&amp;'Dev Ops'!AV3,'New Hires Forecast'!$G$5:$G$82,"&lt;="&amp;'Dev Ops'!AV3)/12))))))),0)</f>
        <v>21458.333333333332</v>
      </c>
      <c r="AW13" s="668">
        <f>IF(AW$4="forecast",IF(YEAR(AW$3)=YEAR('New Hires Forecast'!$N$3),((SUMIFS('New Hires Forecast'!$N$5:$N$82,'New Hires Forecast'!$F$5:$F$82,"Dev Ops",'New Hires Forecast'!$H$5:$H$82,"&gt;="&amp;'Dev Ops'!AW3,'New Hires Forecast'!$G$5:$G$82,"&lt;="&amp;'Dev Ops'!AW3)/12)),IF(YEAR(AW$3)=YEAR('New Hires Forecast'!$O$3),((SUMIFS('New Hires Forecast'!$O$5:$O$82,'New Hires Forecast'!$F$5:$F$82,"Dev Ops",'New Hires Forecast'!$H$5:$H$82,"&gt;="&amp;'Dev Ops'!AW3,'New Hires Forecast'!$G$5:$G$82,"&lt;="&amp;'Dev Ops'!AW3)/12)),IF(YEAR(AW$3)=YEAR('New Hires Forecast'!$P$3),((SUMIFS('New Hires Forecast'!$P$5:$P$82,'New Hires Forecast'!$F$5:$F$82,"Dev Ops",'New Hires Forecast'!$H$5:$H$82,"&gt;="&amp;'Dev Ops'!AW3,'New Hires Forecast'!$G$5:$G$82,"&lt;="&amp;'Dev Ops'!AW3)/12)),IF(YEAR(AW$3)=YEAR('New Hires Forecast'!$Q$3),((SUMIFS('New Hires Forecast'!$Q$5:$Q$82,'New Hires Forecast'!$F$5:$F$82,"Dev Ops",'New Hires Forecast'!$H$5:$H$82,"&gt;="&amp;'Dev Ops'!AW3,'New Hires Forecast'!$G$5:$G$82,"&lt;="&amp;'Dev Ops'!AW3)/12)),IF(YEAR(AW$3)=YEAR('New Hires Forecast'!$R$3),((SUMIFS('New Hires Forecast'!$R$5:$R$82,'New Hires Forecast'!$F$5:$F$82,"Dev Ops",'New Hires Forecast'!$H$5:$H$82,"&gt;="&amp;'Dev Ops'!AW3,'New Hires Forecast'!$G$5:$G$82,"&lt;="&amp;'Dev Ops'!AW3)/12))))))),0)</f>
        <v>21458.333333333332</v>
      </c>
      <c r="AX13" s="668">
        <f>IF(AX$4="forecast",IF(YEAR(AX$3)=YEAR('New Hires Forecast'!$N$3),((SUMIFS('New Hires Forecast'!$N$5:$N$82,'New Hires Forecast'!$F$5:$F$82,"Dev Ops",'New Hires Forecast'!$H$5:$H$82,"&gt;="&amp;'Dev Ops'!AX3,'New Hires Forecast'!$G$5:$G$82,"&lt;="&amp;'Dev Ops'!AX3)/12)),IF(YEAR(AX$3)=YEAR('New Hires Forecast'!$O$3),((SUMIFS('New Hires Forecast'!$O$5:$O$82,'New Hires Forecast'!$F$5:$F$82,"Dev Ops",'New Hires Forecast'!$H$5:$H$82,"&gt;="&amp;'Dev Ops'!AX3,'New Hires Forecast'!$G$5:$G$82,"&lt;="&amp;'Dev Ops'!AX3)/12)),IF(YEAR(AX$3)=YEAR('New Hires Forecast'!$P$3),((SUMIFS('New Hires Forecast'!$P$5:$P$82,'New Hires Forecast'!$F$5:$F$82,"Dev Ops",'New Hires Forecast'!$H$5:$H$82,"&gt;="&amp;'Dev Ops'!AX3,'New Hires Forecast'!$G$5:$G$82,"&lt;="&amp;'Dev Ops'!AX3)/12)),IF(YEAR(AX$3)=YEAR('New Hires Forecast'!$Q$3),((SUMIFS('New Hires Forecast'!$Q$5:$Q$82,'New Hires Forecast'!$F$5:$F$82,"Dev Ops",'New Hires Forecast'!$H$5:$H$82,"&gt;="&amp;'Dev Ops'!AX3,'New Hires Forecast'!$G$5:$G$82,"&lt;="&amp;'Dev Ops'!AX3)/12)),IF(YEAR(AX$3)=YEAR('New Hires Forecast'!$R$3),((SUMIFS('New Hires Forecast'!$R$5:$R$82,'New Hires Forecast'!$F$5:$F$82,"Dev Ops",'New Hires Forecast'!$H$5:$H$82,"&gt;="&amp;'Dev Ops'!AX3,'New Hires Forecast'!$G$5:$G$82,"&lt;="&amp;'Dev Ops'!AX3)/12))))))),0)</f>
        <v>21458.333333333332</v>
      </c>
      <c r="AY13" s="668">
        <f>IF(AY$4="forecast",IF(YEAR(AY$3)=YEAR('New Hires Forecast'!$N$3),((SUMIFS('New Hires Forecast'!$N$5:$N$82,'New Hires Forecast'!$F$5:$F$82,"Dev Ops",'New Hires Forecast'!$H$5:$H$82,"&gt;="&amp;'Dev Ops'!AY3,'New Hires Forecast'!$G$5:$G$82,"&lt;="&amp;'Dev Ops'!AY3)/12)),IF(YEAR(AY$3)=YEAR('New Hires Forecast'!$O$3),((SUMIFS('New Hires Forecast'!$O$5:$O$82,'New Hires Forecast'!$F$5:$F$82,"Dev Ops",'New Hires Forecast'!$H$5:$H$82,"&gt;="&amp;'Dev Ops'!AY3,'New Hires Forecast'!$G$5:$G$82,"&lt;="&amp;'Dev Ops'!AY3)/12)),IF(YEAR(AY$3)=YEAR('New Hires Forecast'!$P$3),((SUMIFS('New Hires Forecast'!$P$5:$P$82,'New Hires Forecast'!$F$5:$F$82,"Dev Ops",'New Hires Forecast'!$H$5:$H$82,"&gt;="&amp;'Dev Ops'!AY3,'New Hires Forecast'!$G$5:$G$82,"&lt;="&amp;'Dev Ops'!AY3)/12)),IF(YEAR(AY$3)=YEAR('New Hires Forecast'!$Q$3),((SUMIFS('New Hires Forecast'!$Q$5:$Q$82,'New Hires Forecast'!$F$5:$F$82,"Dev Ops",'New Hires Forecast'!$H$5:$H$82,"&gt;="&amp;'Dev Ops'!AY3,'New Hires Forecast'!$G$5:$G$82,"&lt;="&amp;'Dev Ops'!AY3)/12)),IF(YEAR(AY$3)=YEAR('New Hires Forecast'!$R$3),((SUMIFS('New Hires Forecast'!$R$5:$R$82,'New Hires Forecast'!$F$5:$F$82,"Dev Ops",'New Hires Forecast'!$H$5:$H$82,"&gt;="&amp;'Dev Ops'!AY3,'New Hires Forecast'!$G$5:$G$82,"&lt;="&amp;'Dev Ops'!AY3)/12))))))),0)</f>
        <v>22102.083333333332</v>
      </c>
      <c r="AZ13" s="668">
        <f>IF(AZ$4="forecast",IF(YEAR(AZ$3)=YEAR('New Hires Forecast'!$N$3),((SUMIFS('New Hires Forecast'!$N$5:$N$82,'New Hires Forecast'!$F$5:$F$82,"Dev Ops",'New Hires Forecast'!$H$5:$H$82,"&gt;="&amp;'Dev Ops'!AZ3,'New Hires Forecast'!$G$5:$G$82,"&lt;="&amp;'Dev Ops'!AZ3)/12)),IF(YEAR(AZ$3)=YEAR('New Hires Forecast'!$O$3),((SUMIFS('New Hires Forecast'!$O$5:$O$82,'New Hires Forecast'!$F$5:$F$82,"Dev Ops",'New Hires Forecast'!$H$5:$H$82,"&gt;="&amp;'Dev Ops'!AZ3,'New Hires Forecast'!$G$5:$G$82,"&lt;="&amp;'Dev Ops'!AZ3)/12)),IF(YEAR(AZ$3)=YEAR('New Hires Forecast'!$P$3),((SUMIFS('New Hires Forecast'!$P$5:$P$82,'New Hires Forecast'!$F$5:$F$82,"Dev Ops",'New Hires Forecast'!$H$5:$H$82,"&gt;="&amp;'Dev Ops'!AZ3,'New Hires Forecast'!$G$5:$G$82,"&lt;="&amp;'Dev Ops'!AZ3)/12)),IF(YEAR(AZ$3)=YEAR('New Hires Forecast'!$Q$3),((SUMIFS('New Hires Forecast'!$Q$5:$Q$82,'New Hires Forecast'!$F$5:$F$82,"Dev Ops",'New Hires Forecast'!$H$5:$H$82,"&gt;="&amp;'Dev Ops'!AZ3,'New Hires Forecast'!$G$5:$G$82,"&lt;="&amp;'Dev Ops'!AZ3)/12)),IF(YEAR(AZ$3)=YEAR('New Hires Forecast'!$R$3),((SUMIFS('New Hires Forecast'!$R$5:$R$82,'New Hires Forecast'!$F$5:$F$82,"Dev Ops",'New Hires Forecast'!$H$5:$H$82,"&gt;="&amp;'Dev Ops'!AZ3,'New Hires Forecast'!$G$5:$G$82,"&lt;="&amp;'Dev Ops'!AZ3)/12))))))),0)</f>
        <v>22102.083333333332</v>
      </c>
      <c r="BA13" s="668">
        <f>IF(BA$4="forecast",IF(YEAR(BA$3)=YEAR('New Hires Forecast'!$N$3),((SUMIFS('New Hires Forecast'!$N$5:$N$82,'New Hires Forecast'!$F$5:$F$82,"Dev Ops",'New Hires Forecast'!$H$5:$H$82,"&gt;="&amp;'Dev Ops'!BA3,'New Hires Forecast'!$G$5:$G$82,"&lt;="&amp;'Dev Ops'!BA3)/12)),IF(YEAR(BA$3)=YEAR('New Hires Forecast'!$O$3),((SUMIFS('New Hires Forecast'!$O$5:$O$82,'New Hires Forecast'!$F$5:$F$82,"Dev Ops",'New Hires Forecast'!$H$5:$H$82,"&gt;="&amp;'Dev Ops'!BA3,'New Hires Forecast'!$G$5:$G$82,"&lt;="&amp;'Dev Ops'!BA3)/12)),IF(YEAR(BA$3)=YEAR('New Hires Forecast'!$P$3),((SUMIFS('New Hires Forecast'!$P$5:$P$82,'New Hires Forecast'!$F$5:$F$82,"Dev Ops",'New Hires Forecast'!$H$5:$H$82,"&gt;="&amp;'Dev Ops'!BA3,'New Hires Forecast'!$G$5:$G$82,"&lt;="&amp;'Dev Ops'!BA3)/12)),IF(YEAR(BA$3)=YEAR('New Hires Forecast'!$Q$3),((SUMIFS('New Hires Forecast'!$Q$5:$Q$82,'New Hires Forecast'!$F$5:$F$82,"Dev Ops",'New Hires Forecast'!$H$5:$H$82,"&gt;="&amp;'Dev Ops'!BA3,'New Hires Forecast'!$G$5:$G$82,"&lt;="&amp;'Dev Ops'!BA3)/12)),IF(YEAR(BA$3)=YEAR('New Hires Forecast'!$R$3),((SUMIFS('New Hires Forecast'!$R$5:$R$82,'New Hires Forecast'!$F$5:$F$82,"Dev Ops",'New Hires Forecast'!$H$5:$H$82,"&gt;="&amp;'Dev Ops'!BA3,'New Hires Forecast'!$G$5:$G$82,"&lt;="&amp;'Dev Ops'!BA3)/12))))))),0)</f>
        <v>22102.083333333332</v>
      </c>
      <c r="BB13" s="668">
        <f>IF(BB$4="forecast",IF(YEAR(BB$3)=YEAR('New Hires Forecast'!$N$3),((SUMIFS('New Hires Forecast'!$N$5:$N$82,'New Hires Forecast'!$F$5:$F$82,"Dev Ops",'New Hires Forecast'!$H$5:$H$82,"&gt;="&amp;'Dev Ops'!BB3,'New Hires Forecast'!$G$5:$G$82,"&lt;="&amp;'Dev Ops'!BB3)/12)),IF(YEAR(BB$3)=YEAR('New Hires Forecast'!$O$3),((SUMIFS('New Hires Forecast'!$O$5:$O$82,'New Hires Forecast'!$F$5:$F$82,"Dev Ops",'New Hires Forecast'!$H$5:$H$82,"&gt;="&amp;'Dev Ops'!BB3,'New Hires Forecast'!$G$5:$G$82,"&lt;="&amp;'Dev Ops'!BB3)/12)),IF(YEAR(BB$3)=YEAR('New Hires Forecast'!$P$3),((SUMIFS('New Hires Forecast'!$P$5:$P$82,'New Hires Forecast'!$F$5:$F$82,"Dev Ops",'New Hires Forecast'!$H$5:$H$82,"&gt;="&amp;'Dev Ops'!BB3,'New Hires Forecast'!$G$5:$G$82,"&lt;="&amp;'Dev Ops'!BB3)/12)),IF(YEAR(BB$3)=YEAR('New Hires Forecast'!$Q$3),((SUMIFS('New Hires Forecast'!$Q$5:$Q$82,'New Hires Forecast'!$F$5:$F$82,"Dev Ops",'New Hires Forecast'!$H$5:$H$82,"&gt;="&amp;'Dev Ops'!BB3,'New Hires Forecast'!$G$5:$G$82,"&lt;="&amp;'Dev Ops'!BB3)/12)),IF(YEAR(BB$3)=YEAR('New Hires Forecast'!$R$3),((SUMIFS('New Hires Forecast'!$R$5:$R$82,'New Hires Forecast'!$F$5:$F$82,"Dev Ops",'New Hires Forecast'!$H$5:$H$82,"&gt;="&amp;'Dev Ops'!BB3,'New Hires Forecast'!$G$5:$G$82,"&lt;="&amp;'Dev Ops'!BB3)/12))))))),0)</f>
        <v>22102.083333333332</v>
      </c>
      <c r="BC13" s="668">
        <f>IF(BC$4="forecast",IF(YEAR(BC$3)=YEAR('New Hires Forecast'!$N$3),((SUMIFS('New Hires Forecast'!$N$5:$N$82,'New Hires Forecast'!$F$5:$F$82,"Dev Ops",'New Hires Forecast'!$H$5:$H$82,"&gt;="&amp;'Dev Ops'!BC3,'New Hires Forecast'!$G$5:$G$82,"&lt;="&amp;'Dev Ops'!BC3)/12)),IF(YEAR(BC$3)=YEAR('New Hires Forecast'!$O$3),((SUMIFS('New Hires Forecast'!$O$5:$O$82,'New Hires Forecast'!$F$5:$F$82,"Dev Ops",'New Hires Forecast'!$H$5:$H$82,"&gt;="&amp;'Dev Ops'!BC3,'New Hires Forecast'!$G$5:$G$82,"&lt;="&amp;'Dev Ops'!BC3)/12)),IF(YEAR(BC$3)=YEAR('New Hires Forecast'!$P$3),((SUMIFS('New Hires Forecast'!$P$5:$P$82,'New Hires Forecast'!$F$5:$F$82,"Dev Ops",'New Hires Forecast'!$H$5:$H$82,"&gt;="&amp;'Dev Ops'!BC3,'New Hires Forecast'!$G$5:$G$82,"&lt;="&amp;'Dev Ops'!BC3)/12)),IF(YEAR(BC$3)=YEAR('New Hires Forecast'!$Q$3),((SUMIFS('New Hires Forecast'!$Q$5:$Q$82,'New Hires Forecast'!$F$5:$F$82,"Dev Ops",'New Hires Forecast'!$H$5:$H$82,"&gt;="&amp;'Dev Ops'!BC3,'New Hires Forecast'!$G$5:$G$82,"&lt;="&amp;'Dev Ops'!BC3)/12)),IF(YEAR(BC$3)=YEAR('New Hires Forecast'!$R$3),((SUMIFS('New Hires Forecast'!$R$5:$R$82,'New Hires Forecast'!$F$5:$F$82,"Dev Ops",'New Hires Forecast'!$H$5:$H$82,"&gt;="&amp;'Dev Ops'!BC3,'New Hires Forecast'!$G$5:$G$82,"&lt;="&amp;'Dev Ops'!BC3)/12))))))),0)</f>
        <v>22102.083333333332</v>
      </c>
      <c r="BD13" s="668">
        <f>IF(BD$4="forecast",IF(YEAR(BD$3)=YEAR('New Hires Forecast'!$N$3),((SUMIFS('New Hires Forecast'!$N$5:$N$82,'New Hires Forecast'!$F$5:$F$82,"Dev Ops",'New Hires Forecast'!$H$5:$H$82,"&gt;="&amp;'Dev Ops'!BD3,'New Hires Forecast'!$G$5:$G$82,"&lt;="&amp;'Dev Ops'!BD3)/12)),IF(YEAR(BD$3)=YEAR('New Hires Forecast'!$O$3),((SUMIFS('New Hires Forecast'!$O$5:$O$82,'New Hires Forecast'!$F$5:$F$82,"Dev Ops",'New Hires Forecast'!$H$5:$H$82,"&gt;="&amp;'Dev Ops'!BD3,'New Hires Forecast'!$G$5:$G$82,"&lt;="&amp;'Dev Ops'!BD3)/12)),IF(YEAR(BD$3)=YEAR('New Hires Forecast'!$P$3),((SUMIFS('New Hires Forecast'!$P$5:$P$82,'New Hires Forecast'!$F$5:$F$82,"Dev Ops",'New Hires Forecast'!$H$5:$H$82,"&gt;="&amp;'Dev Ops'!BD3,'New Hires Forecast'!$G$5:$G$82,"&lt;="&amp;'Dev Ops'!BD3)/12)),IF(YEAR(BD$3)=YEAR('New Hires Forecast'!$Q$3),((SUMIFS('New Hires Forecast'!$Q$5:$Q$82,'New Hires Forecast'!$F$5:$F$82,"Dev Ops",'New Hires Forecast'!$H$5:$H$82,"&gt;="&amp;'Dev Ops'!BD3,'New Hires Forecast'!$G$5:$G$82,"&lt;="&amp;'Dev Ops'!BD3)/12)),IF(YEAR(BD$3)=YEAR('New Hires Forecast'!$R$3),((SUMIFS('New Hires Forecast'!$R$5:$R$82,'New Hires Forecast'!$F$5:$F$82,"Dev Ops",'New Hires Forecast'!$H$5:$H$82,"&gt;="&amp;'Dev Ops'!BD3,'New Hires Forecast'!$G$5:$G$82,"&lt;="&amp;'Dev Ops'!BD3)/12))))))),0)</f>
        <v>22102.083333333332</v>
      </c>
      <c r="BE13" s="668">
        <f>IF(BE$4="forecast",IF(YEAR(BE$3)=YEAR('New Hires Forecast'!$N$3),((SUMIFS('New Hires Forecast'!$N$5:$N$82,'New Hires Forecast'!$F$5:$F$82,"Dev Ops",'New Hires Forecast'!$H$5:$H$82,"&gt;="&amp;'Dev Ops'!BE3,'New Hires Forecast'!$G$5:$G$82,"&lt;="&amp;'Dev Ops'!BE3)/12)),IF(YEAR(BE$3)=YEAR('New Hires Forecast'!$O$3),((SUMIFS('New Hires Forecast'!$O$5:$O$82,'New Hires Forecast'!$F$5:$F$82,"Dev Ops",'New Hires Forecast'!$H$5:$H$82,"&gt;="&amp;'Dev Ops'!BE3,'New Hires Forecast'!$G$5:$G$82,"&lt;="&amp;'Dev Ops'!BE3)/12)),IF(YEAR(BE$3)=YEAR('New Hires Forecast'!$P$3),((SUMIFS('New Hires Forecast'!$P$5:$P$82,'New Hires Forecast'!$F$5:$F$82,"Dev Ops",'New Hires Forecast'!$H$5:$H$82,"&gt;="&amp;'Dev Ops'!BE3,'New Hires Forecast'!$G$5:$G$82,"&lt;="&amp;'Dev Ops'!BE3)/12)),IF(YEAR(BE$3)=YEAR('New Hires Forecast'!$Q$3),((SUMIFS('New Hires Forecast'!$Q$5:$Q$82,'New Hires Forecast'!$F$5:$F$82,"Dev Ops",'New Hires Forecast'!$H$5:$H$82,"&gt;="&amp;'Dev Ops'!BE3,'New Hires Forecast'!$G$5:$G$82,"&lt;="&amp;'Dev Ops'!BE3)/12)),IF(YEAR(BE$3)=YEAR('New Hires Forecast'!$R$3),((SUMIFS('New Hires Forecast'!$R$5:$R$82,'New Hires Forecast'!$F$5:$F$82,"Dev Ops",'New Hires Forecast'!$H$5:$H$82,"&gt;="&amp;'Dev Ops'!BE3,'New Hires Forecast'!$G$5:$G$82,"&lt;="&amp;'Dev Ops'!BE3)/12))))))),0)</f>
        <v>22102.083333333332</v>
      </c>
      <c r="BF13" s="668">
        <f>IF(BF$4="forecast",IF(YEAR(BF$3)=YEAR('New Hires Forecast'!$N$3),((SUMIFS('New Hires Forecast'!$N$5:$N$82,'New Hires Forecast'!$F$5:$F$82,"Dev Ops",'New Hires Forecast'!$H$5:$H$82,"&gt;="&amp;'Dev Ops'!BF3,'New Hires Forecast'!$G$5:$G$82,"&lt;="&amp;'Dev Ops'!BF3)/12)),IF(YEAR(BF$3)=YEAR('New Hires Forecast'!$O$3),((SUMIFS('New Hires Forecast'!$O$5:$O$82,'New Hires Forecast'!$F$5:$F$82,"Dev Ops",'New Hires Forecast'!$H$5:$H$82,"&gt;="&amp;'Dev Ops'!BF3,'New Hires Forecast'!$G$5:$G$82,"&lt;="&amp;'Dev Ops'!BF3)/12)),IF(YEAR(BF$3)=YEAR('New Hires Forecast'!$P$3),((SUMIFS('New Hires Forecast'!$P$5:$P$82,'New Hires Forecast'!$F$5:$F$82,"Dev Ops",'New Hires Forecast'!$H$5:$H$82,"&gt;="&amp;'Dev Ops'!BF3,'New Hires Forecast'!$G$5:$G$82,"&lt;="&amp;'Dev Ops'!BF3)/12)),IF(YEAR(BF$3)=YEAR('New Hires Forecast'!$Q$3),((SUMIFS('New Hires Forecast'!$Q$5:$Q$82,'New Hires Forecast'!$F$5:$F$82,"Dev Ops",'New Hires Forecast'!$H$5:$H$82,"&gt;="&amp;'Dev Ops'!BF3,'New Hires Forecast'!$G$5:$G$82,"&lt;="&amp;'Dev Ops'!BF3)/12)),IF(YEAR(BF$3)=YEAR('New Hires Forecast'!$R$3),((SUMIFS('New Hires Forecast'!$R$5:$R$82,'New Hires Forecast'!$F$5:$F$82,"Dev Ops",'New Hires Forecast'!$H$5:$H$82,"&gt;="&amp;'Dev Ops'!BF3,'New Hires Forecast'!$G$5:$G$82,"&lt;="&amp;'Dev Ops'!BF3)/12))))))),0)</f>
        <v>22102.083333333332</v>
      </c>
      <c r="BG13" s="668">
        <f>IF(BG$4="forecast",IF(YEAR(BG$3)=YEAR('New Hires Forecast'!$N$3),((SUMIFS('New Hires Forecast'!$N$5:$N$82,'New Hires Forecast'!$F$5:$F$82,"Dev Ops",'New Hires Forecast'!$H$5:$H$82,"&gt;="&amp;'Dev Ops'!BG3,'New Hires Forecast'!$G$5:$G$82,"&lt;="&amp;'Dev Ops'!BG3)/12)),IF(YEAR(BG$3)=YEAR('New Hires Forecast'!$O$3),((SUMIFS('New Hires Forecast'!$O$5:$O$82,'New Hires Forecast'!$F$5:$F$82,"Dev Ops",'New Hires Forecast'!$H$5:$H$82,"&gt;="&amp;'Dev Ops'!BG3,'New Hires Forecast'!$G$5:$G$82,"&lt;="&amp;'Dev Ops'!BG3)/12)),IF(YEAR(BG$3)=YEAR('New Hires Forecast'!$P$3),((SUMIFS('New Hires Forecast'!$P$5:$P$82,'New Hires Forecast'!$F$5:$F$82,"Dev Ops",'New Hires Forecast'!$H$5:$H$82,"&gt;="&amp;'Dev Ops'!BG3,'New Hires Forecast'!$G$5:$G$82,"&lt;="&amp;'Dev Ops'!BG3)/12)),IF(YEAR(BG$3)=YEAR('New Hires Forecast'!$Q$3),((SUMIFS('New Hires Forecast'!$Q$5:$Q$82,'New Hires Forecast'!$F$5:$F$82,"Dev Ops",'New Hires Forecast'!$H$5:$H$82,"&gt;="&amp;'Dev Ops'!BG3,'New Hires Forecast'!$G$5:$G$82,"&lt;="&amp;'Dev Ops'!BG3)/12)),IF(YEAR(BG$3)=YEAR('New Hires Forecast'!$R$3),((SUMIFS('New Hires Forecast'!$R$5:$R$82,'New Hires Forecast'!$F$5:$F$82,"Dev Ops",'New Hires Forecast'!$H$5:$H$82,"&gt;="&amp;'Dev Ops'!BG3,'New Hires Forecast'!$G$5:$G$82,"&lt;="&amp;'Dev Ops'!BG3)/12))))))),0)</f>
        <v>22102.083333333332</v>
      </c>
      <c r="BH13" s="668">
        <f>IF(BH$4="forecast",IF(YEAR(BH$3)=YEAR('New Hires Forecast'!$N$3),((SUMIFS('New Hires Forecast'!$N$5:$N$82,'New Hires Forecast'!$F$5:$F$82,"Dev Ops",'New Hires Forecast'!$H$5:$H$82,"&gt;="&amp;'Dev Ops'!BH3,'New Hires Forecast'!$G$5:$G$82,"&lt;="&amp;'Dev Ops'!BH3)/12)),IF(YEAR(BH$3)=YEAR('New Hires Forecast'!$O$3),((SUMIFS('New Hires Forecast'!$O$5:$O$82,'New Hires Forecast'!$F$5:$F$82,"Dev Ops",'New Hires Forecast'!$H$5:$H$82,"&gt;="&amp;'Dev Ops'!BH3,'New Hires Forecast'!$G$5:$G$82,"&lt;="&amp;'Dev Ops'!BH3)/12)),IF(YEAR(BH$3)=YEAR('New Hires Forecast'!$P$3),((SUMIFS('New Hires Forecast'!$P$5:$P$82,'New Hires Forecast'!$F$5:$F$82,"Dev Ops",'New Hires Forecast'!$H$5:$H$82,"&gt;="&amp;'Dev Ops'!BH3,'New Hires Forecast'!$G$5:$G$82,"&lt;="&amp;'Dev Ops'!BH3)/12)),IF(YEAR(BH$3)=YEAR('New Hires Forecast'!$Q$3),((SUMIFS('New Hires Forecast'!$Q$5:$Q$82,'New Hires Forecast'!$F$5:$F$82,"Dev Ops",'New Hires Forecast'!$H$5:$H$82,"&gt;="&amp;'Dev Ops'!BH3,'New Hires Forecast'!$G$5:$G$82,"&lt;="&amp;'Dev Ops'!BH3)/12)),IF(YEAR(BH$3)=YEAR('New Hires Forecast'!$R$3),((SUMIFS('New Hires Forecast'!$R$5:$R$82,'New Hires Forecast'!$F$5:$F$82,"Dev Ops",'New Hires Forecast'!$H$5:$H$82,"&gt;="&amp;'Dev Ops'!BH3,'New Hires Forecast'!$G$5:$G$82,"&lt;="&amp;'Dev Ops'!BH3)/12))))))),0)</f>
        <v>22102.083333333332</v>
      </c>
      <c r="BI13" s="668">
        <f>IF(BI$4="forecast",IF(YEAR(BI$3)=YEAR('New Hires Forecast'!$N$3),((SUMIFS('New Hires Forecast'!$N$5:$N$82,'New Hires Forecast'!$F$5:$F$82,"Dev Ops",'New Hires Forecast'!$H$5:$H$82,"&gt;="&amp;'Dev Ops'!BI3,'New Hires Forecast'!$G$5:$G$82,"&lt;="&amp;'Dev Ops'!BI3)/12)),IF(YEAR(BI$3)=YEAR('New Hires Forecast'!$O$3),((SUMIFS('New Hires Forecast'!$O$5:$O$82,'New Hires Forecast'!$F$5:$F$82,"Dev Ops",'New Hires Forecast'!$H$5:$H$82,"&gt;="&amp;'Dev Ops'!BI3,'New Hires Forecast'!$G$5:$G$82,"&lt;="&amp;'Dev Ops'!BI3)/12)),IF(YEAR(BI$3)=YEAR('New Hires Forecast'!$P$3),((SUMIFS('New Hires Forecast'!$P$5:$P$82,'New Hires Forecast'!$F$5:$F$82,"Dev Ops",'New Hires Forecast'!$H$5:$H$82,"&gt;="&amp;'Dev Ops'!BI3,'New Hires Forecast'!$G$5:$G$82,"&lt;="&amp;'Dev Ops'!BI3)/12)),IF(YEAR(BI$3)=YEAR('New Hires Forecast'!$Q$3),((SUMIFS('New Hires Forecast'!$Q$5:$Q$82,'New Hires Forecast'!$F$5:$F$82,"Dev Ops",'New Hires Forecast'!$H$5:$H$82,"&gt;="&amp;'Dev Ops'!BI3,'New Hires Forecast'!$G$5:$G$82,"&lt;="&amp;'Dev Ops'!BI3)/12)),IF(YEAR(BI$3)=YEAR('New Hires Forecast'!$R$3),((SUMIFS('New Hires Forecast'!$R$5:$R$82,'New Hires Forecast'!$F$5:$F$82,"Dev Ops",'New Hires Forecast'!$H$5:$H$82,"&gt;="&amp;'Dev Ops'!BI3,'New Hires Forecast'!$G$5:$G$82,"&lt;="&amp;'Dev Ops'!BI3)/12))))))),0)</f>
        <v>22102.083333333332</v>
      </c>
      <c r="BJ13" s="668">
        <f>IF(BJ$4="forecast",IF(YEAR(BJ$3)=YEAR('New Hires Forecast'!$N$3),((SUMIFS('New Hires Forecast'!$N$5:$N$82,'New Hires Forecast'!$F$5:$F$82,"Dev Ops",'New Hires Forecast'!$H$5:$H$82,"&gt;="&amp;'Dev Ops'!BJ3,'New Hires Forecast'!$G$5:$G$82,"&lt;="&amp;'Dev Ops'!BJ3)/12)),IF(YEAR(BJ$3)=YEAR('New Hires Forecast'!$O$3),((SUMIFS('New Hires Forecast'!$O$5:$O$82,'New Hires Forecast'!$F$5:$F$82,"Dev Ops",'New Hires Forecast'!$H$5:$H$82,"&gt;="&amp;'Dev Ops'!BJ3,'New Hires Forecast'!$G$5:$G$82,"&lt;="&amp;'Dev Ops'!BJ3)/12)),IF(YEAR(BJ$3)=YEAR('New Hires Forecast'!$P$3),((SUMIFS('New Hires Forecast'!$P$5:$P$82,'New Hires Forecast'!$F$5:$F$82,"Dev Ops",'New Hires Forecast'!$H$5:$H$82,"&gt;="&amp;'Dev Ops'!BJ3,'New Hires Forecast'!$G$5:$G$82,"&lt;="&amp;'Dev Ops'!BJ3)/12)),IF(YEAR(BJ$3)=YEAR('New Hires Forecast'!$Q$3),((SUMIFS('New Hires Forecast'!$Q$5:$Q$82,'New Hires Forecast'!$F$5:$F$82,"Dev Ops",'New Hires Forecast'!$H$5:$H$82,"&gt;="&amp;'Dev Ops'!BJ3,'New Hires Forecast'!$G$5:$G$82,"&lt;="&amp;'Dev Ops'!BJ3)/12)),IF(YEAR(BJ$3)=YEAR('New Hires Forecast'!$R$3),((SUMIFS('New Hires Forecast'!$R$5:$R$82,'New Hires Forecast'!$F$5:$F$82,"Dev Ops",'New Hires Forecast'!$H$5:$H$82,"&gt;="&amp;'Dev Ops'!BJ3,'New Hires Forecast'!$G$5:$G$82,"&lt;="&amp;'Dev Ops'!BJ3)/12))))))),0)</f>
        <v>22102.083333333332</v>
      </c>
      <c r="BK13" s="668">
        <f>IF(BK$4="forecast",IF(YEAR(BK$3)=YEAR('New Hires Forecast'!$N$3),((SUMIFS('New Hires Forecast'!$N$5:$N$82,'New Hires Forecast'!$F$5:$F$82,"Dev Ops",'New Hires Forecast'!$H$5:$H$82,"&gt;="&amp;'Dev Ops'!BK3,'New Hires Forecast'!$G$5:$G$82,"&lt;="&amp;'Dev Ops'!BK3)/12)),IF(YEAR(BK$3)=YEAR('New Hires Forecast'!$O$3),((SUMIFS('New Hires Forecast'!$O$5:$O$82,'New Hires Forecast'!$F$5:$F$82,"Dev Ops",'New Hires Forecast'!$H$5:$H$82,"&gt;="&amp;'Dev Ops'!BK3,'New Hires Forecast'!$G$5:$G$82,"&lt;="&amp;'Dev Ops'!BK3)/12)),IF(YEAR(BK$3)=YEAR('New Hires Forecast'!$P$3),((SUMIFS('New Hires Forecast'!$P$5:$P$82,'New Hires Forecast'!$F$5:$F$82,"Dev Ops",'New Hires Forecast'!$H$5:$H$82,"&gt;="&amp;'Dev Ops'!BK3,'New Hires Forecast'!$G$5:$G$82,"&lt;="&amp;'Dev Ops'!BK3)/12)),IF(YEAR(BK$3)=YEAR('New Hires Forecast'!$Q$3),((SUMIFS('New Hires Forecast'!$Q$5:$Q$82,'New Hires Forecast'!$F$5:$F$82,"Dev Ops",'New Hires Forecast'!$H$5:$H$82,"&gt;="&amp;'Dev Ops'!BK3,'New Hires Forecast'!$G$5:$G$82,"&lt;="&amp;'Dev Ops'!BK3)/12)),IF(YEAR(BK$3)=YEAR('New Hires Forecast'!$R$3),((SUMIFS('New Hires Forecast'!$R$5:$R$82,'New Hires Forecast'!$F$5:$F$82,"Dev Ops",'New Hires Forecast'!$H$5:$H$82,"&gt;="&amp;'Dev Ops'!BK3,'New Hires Forecast'!$G$5:$G$82,"&lt;="&amp;'Dev Ops'!BK3)/12))))))),0)</f>
        <v>22765.145833333332</v>
      </c>
      <c r="BL13" s="668">
        <f>IF(BL$4="forecast",IF(YEAR(BL$3)=YEAR('New Hires Forecast'!$N$3),((SUMIFS('New Hires Forecast'!$N$5:$N$82,'New Hires Forecast'!$F$5:$F$82,"Dev Ops",'New Hires Forecast'!$H$5:$H$82,"&gt;="&amp;'Dev Ops'!BL3,'New Hires Forecast'!$G$5:$G$82,"&lt;="&amp;'Dev Ops'!BL3)/12)),IF(YEAR(BL$3)=YEAR('New Hires Forecast'!$O$3),((SUMIFS('New Hires Forecast'!$O$5:$O$82,'New Hires Forecast'!$F$5:$F$82,"Dev Ops",'New Hires Forecast'!$H$5:$H$82,"&gt;="&amp;'Dev Ops'!BL3,'New Hires Forecast'!$G$5:$G$82,"&lt;="&amp;'Dev Ops'!BL3)/12)),IF(YEAR(BL$3)=YEAR('New Hires Forecast'!$P$3),((SUMIFS('New Hires Forecast'!$P$5:$P$82,'New Hires Forecast'!$F$5:$F$82,"Dev Ops",'New Hires Forecast'!$H$5:$H$82,"&gt;="&amp;'Dev Ops'!BL3,'New Hires Forecast'!$G$5:$G$82,"&lt;="&amp;'Dev Ops'!BL3)/12)),IF(YEAR(BL$3)=YEAR('New Hires Forecast'!$Q$3),((SUMIFS('New Hires Forecast'!$Q$5:$Q$82,'New Hires Forecast'!$F$5:$F$82,"Dev Ops",'New Hires Forecast'!$H$5:$H$82,"&gt;="&amp;'Dev Ops'!BL3,'New Hires Forecast'!$G$5:$G$82,"&lt;="&amp;'Dev Ops'!BL3)/12)),IF(YEAR(BL$3)=YEAR('New Hires Forecast'!$R$3),((SUMIFS('New Hires Forecast'!$R$5:$R$82,'New Hires Forecast'!$F$5:$F$82,"Dev Ops",'New Hires Forecast'!$H$5:$H$82,"&gt;="&amp;'Dev Ops'!BL3,'New Hires Forecast'!$G$5:$G$82,"&lt;="&amp;'Dev Ops'!BL3)/12))))))),0)</f>
        <v>22765.145833333332</v>
      </c>
      <c r="BM13" s="668">
        <f>IF(BM$4="forecast",IF(YEAR(BM$3)=YEAR('New Hires Forecast'!$N$3),((SUMIFS('New Hires Forecast'!$N$5:$N$82,'New Hires Forecast'!$F$5:$F$82,"Dev Ops",'New Hires Forecast'!$H$5:$H$82,"&gt;="&amp;'Dev Ops'!BM3,'New Hires Forecast'!$G$5:$G$82,"&lt;="&amp;'Dev Ops'!BM3)/12)),IF(YEAR(BM$3)=YEAR('New Hires Forecast'!$O$3),((SUMIFS('New Hires Forecast'!$O$5:$O$82,'New Hires Forecast'!$F$5:$F$82,"Dev Ops",'New Hires Forecast'!$H$5:$H$82,"&gt;="&amp;'Dev Ops'!BM3,'New Hires Forecast'!$G$5:$G$82,"&lt;="&amp;'Dev Ops'!BM3)/12)),IF(YEAR(BM$3)=YEAR('New Hires Forecast'!$P$3),((SUMIFS('New Hires Forecast'!$P$5:$P$82,'New Hires Forecast'!$F$5:$F$82,"Dev Ops",'New Hires Forecast'!$H$5:$H$82,"&gt;="&amp;'Dev Ops'!BM3,'New Hires Forecast'!$G$5:$G$82,"&lt;="&amp;'Dev Ops'!BM3)/12)),IF(YEAR(BM$3)=YEAR('New Hires Forecast'!$Q$3),((SUMIFS('New Hires Forecast'!$Q$5:$Q$82,'New Hires Forecast'!$F$5:$F$82,"Dev Ops",'New Hires Forecast'!$H$5:$H$82,"&gt;="&amp;'Dev Ops'!BM3,'New Hires Forecast'!$G$5:$G$82,"&lt;="&amp;'Dev Ops'!BM3)/12)),IF(YEAR(BM$3)=YEAR('New Hires Forecast'!$R$3),((SUMIFS('New Hires Forecast'!$R$5:$R$82,'New Hires Forecast'!$F$5:$F$82,"Dev Ops",'New Hires Forecast'!$H$5:$H$82,"&gt;="&amp;'Dev Ops'!BM3,'New Hires Forecast'!$G$5:$G$82,"&lt;="&amp;'Dev Ops'!BM3)/12))))))),0)</f>
        <v>22765.145833333332</v>
      </c>
      <c r="BN13" s="668">
        <f>IF(BN$4="forecast",IF(YEAR(BN$3)=YEAR('New Hires Forecast'!$N$3),((SUMIFS('New Hires Forecast'!$N$5:$N$82,'New Hires Forecast'!$F$5:$F$82,"Dev Ops",'New Hires Forecast'!$H$5:$H$82,"&gt;="&amp;'Dev Ops'!BN3,'New Hires Forecast'!$G$5:$G$82,"&lt;="&amp;'Dev Ops'!BN3)/12)),IF(YEAR(BN$3)=YEAR('New Hires Forecast'!$O$3),((SUMIFS('New Hires Forecast'!$O$5:$O$82,'New Hires Forecast'!$F$5:$F$82,"Dev Ops",'New Hires Forecast'!$H$5:$H$82,"&gt;="&amp;'Dev Ops'!BN3,'New Hires Forecast'!$G$5:$G$82,"&lt;="&amp;'Dev Ops'!BN3)/12)),IF(YEAR(BN$3)=YEAR('New Hires Forecast'!$P$3),((SUMIFS('New Hires Forecast'!$P$5:$P$82,'New Hires Forecast'!$F$5:$F$82,"Dev Ops",'New Hires Forecast'!$H$5:$H$82,"&gt;="&amp;'Dev Ops'!BN3,'New Hires Forecast'!$G$5:$G$82,"&lt;="&amp;'Dev Ops'!BN3)/12)),IF(YEAR(BN$3)=YEAR('New Hires Forecast'!$Q$3),((SUMIFS('New Hires Forecast'!$Q$5:$Q$82,'New Hires Forecast'!$F$5:$F$82,"Dev Ops",'New Hires Forecast'!$H$5:$H$82,"&gt;="&amp;'Dev Ops'!BN3,'New Hires Forecast'!$G$5:$G$82,"&lt;="&amp;'Dev Ops'!BN3)/12)),IF(YEAR(BN$3)=YEAR('New Hires Forecast'!$R$3),((SUMIFS('New Hires Forecast'!$R$5:$R$82,'New Hires Forecast'!$F$5:$F$82,"Dev Ops",'New Hires Forecast'!$H$5:$H$82,"&gt;="&amp;'Dev Ops'!BN3,'New Hires Forecast'!$G$5:$G$82,"&lt;="&amp;'Dev Ops'!BN3)/12))))))),0)</f>
        <v>22765.145833333332</v>
      </c>
      <c r="BO13" s="668">
        <f>IF(BO$4="forecast",IF(YEAR(BO$3)=YEAR('New Hires Forecast'!$N$3),((SUMIFS('New Hires Forecast'!$N$5:$N$82,'New Hires Forecast'!$F$5:$F$82,"Dev Ops",'New Hires Forecast'!$H$5:$H$82,"&gt;="&amp;'Dev Ops'!BO3,'New Hires Forecast'!$G$5:$G$82,"&lt;="&amp;'Dev Ops'!BO3)/12)),IF(YEAR(BO$3)=YEAR('New Hires Forecast'!$O$3),((SUMIFS('New Hires Forecast'!$O$5:$O$82,'New Hires Forecast'!$F$5:$F$82,"Dev Ops",'New Hires Forecast'!$H$5:$H$82,"&gt;="&amp;'Dev Ops'!BO3,'New Hires Forecast'!$G$5:$G$82,"&lt;="&amp;'Dev Ops'!BO3)/12)),IF(YEAR(BO$3)=YEAR('New Hires Forecast'!$P$3),((SUMIFS('New Hires Forecast'!$P$5:$P$82,'New Hires Forecast'!$F$5:$F$82,"Dev Ops",'New Hires Forecast'!$H$5:$H$82,"&gt;="&amp;'Dev Ops'!BO3,'New Hires Forecast'!$G$5:$G$82,"&lt;="&amp;'Dev Ops'!BO3)/12)),IF(YEAR(BO$3)=YEAR('New Hires Forecast'!$Q$3),((SUMIFS('New Hires Forecast'!$Q$5:$Q$82,'New Hires Forecast'!$F$5:$F$82,"Dev Ops",'New Hires Forecast'!$H$5:$H$82,"&gt;="&amp;'Dev Ops'!BO3,'New Hires Forecast'!$G$5:$G$82,"&lt;="&amp;'Dev Ops'!BO3)/12)),IF(YEAR(BO$3)=YEAR('New Hires Forecast'!$R$3),((SUMIFS('New Hires Forecast'!$R$5:$R$82,'New Hires Forecast'!$F$5:$F$82,"Dev Ops",'New Hires Forecast'!$H$5:$H$82,"&gt;="&amp;'Dev Ops'!BO3,'New Hires Forecast'!$G$5:$G$82,"&lt;="&amp;'Dev Ops'!BO3)/12))))))),0)</f>
        <v>22765.145833333332</v>
      </c>
      <c r="BP13" s="668">
        <f>IF(BP$4="forecast",IF(YEAR(BP$3)=YEAR('New Hires Forecast'!$N$3),((SUMIFS('New Hires Forecast'!$N$5:$N$82,'New Hires Forecast'!$F$5:$F$82,"Dev Ops",'New Hires Forecast'!$H$5:$H$82,"&gt;="&amp;'Dev Ops'!BP3,'New Hires Forecast'!$G$5:$G$82,"&lt;="&amp;'Dev Ops'!BP3)/12)),IF(YEAR(BP$3)=YEAR('New Hires Forecast'!$O$3),((SUMIFS('New Hires Forecast'!$O$5:$O$82,'New Hires Forecast'!$F$5:$F$82,"Dev Ops",'New Hires Forecast'!$H$5:$H$82,"&gt;="&amp;'Dev Ops'!BP3,'New Hires Forecast'!$G$5:$G$82,"&lt;="&amp;'Dev Ops'!BP3)/12)),IF(YEAR(BP$3)=YEAR('New Hires Forecast'!$P$3),((SUMIFS('New Hires Forecast'!$P$5:$P$82,'New Hires Forecast'!$F$5:$F$82,"Dev Ops",'New Hires Forecast'!$H$5:$H$82,"&gt;="&amp;'Dev Ops'!BP3,'New Hires Forecast'!$G$5:$G$82,"&lt;="&amp;'Dev Ops'!BP3)/12)),IF(YEAR(BP$3)=YEAR('New Hires Forecast'!$Q$3),((SUMIFS('New Hires Forecast'!$Q$5:$Q$82,'New Hires Forecast'!$F$5:$F$82,"Dev Ops",'New Hires Forecast'!$H$5:$H$82,"&gt;="&amp;'Dev Ops'!BP3,'New Hires Forecast'!$G$5:$G$82,"&lt;="&amp;'Dev Ops'!BP3)/12)),IF(YEAR(BP$3)=YEAR('New Hires Forecast'!$R$3),((SUMIFS('New Hires Forecast'!$R$5:$R$82,'New Hires Forecast'!$F$5:$F$82,"Dev Ops",'New Hires Forecast'!$H$5:$H$82,"&gt;="&amp;'Dev Ops'!BP3,'New Hires Forecast'!$G$5:$G$82,"&lt;="&amp;'Dev Ops'!BP3)/12))))))),0)</f>
        <v>22765.145833333332</v>
      </c>
      <c r="BQ13" s="668">
        <f>IF(BQ$4="forecast",IF(YEAR(BQ$3)=YEAR('New Hires Forecast'!$N$3),((SUMIFS('New Hires Forecast'!$N$5:$N$82,'New Hires Forecast'!$F$5:$F$82,"Dev Ops",'New Hires Forecast'!$H$5:$H$82,"&gt;="&amp;'Dev Ops'!BQ3,'New Hires Forecast'!$G$5:$G$82,"&lt;="&amp;'Dev Ops'!BQ3)/12)),IF(YEAR(BQ$3)=YEAR('New Hires Forecast'!$O$3),((SUMIFS('New Hires Forecast'!$O$5:$O$82,'New Hires Forecast'!$F$5:$F$82,"Dev Ops",'New Hires Forecast'!$H$5:$H$82,"&gt;="&amp;'Dev Ops'!BQ3,'New Hires Forecast'!$G$5:$G$82,"&lt;="&amp;'Dev Ops'!BQ3)/12)),IF(YEAR(BQ$3)=YEAR('New Hires Forecast'!$P$3),((SUMIFS('New Hires Forecast'!$P$5:$P$82,'New Hires Forecast'!$F$5:$F$82,"Dev Ops",'New Hires Forecast'!$H$5:$H$82,"&gt;="&amp;'Dev Ops'!BQ3,'New Hires Forecast'!$G$5:$G$82,"&lt;="&amp;'Dev Ops'!BQ3)/12)),IF(YEAR(BQ$3)=YEAR('New Hires Forecast'!$Q$3),((SUMIFS('New Hires Forecast'!$Q$5:$Q$82,'New Hires Forecast'!$F$5:$F$82,"Dev Ops",'New Hires Forecast'!$H$5:$H$82,"&gt;="&amp;'Dev Ops'!BQ3,'New Hires Forecast'!$G$5:$G$82,"&lt;="&amp;'Dev Ops'!BQ3)/12)),IF(YEAR(BQ$3)=YEAR('New Hires Forecast'!$R$3),((SUMIFS('New Hires Forecast'!$R$5:$R$82,'New Hires Forecast'!$F$5:$F$82,"Dev Ops",'New Hires Forecast'!$H$5:$H$82,"&gt;="&amp;'Dev Ops'!BQ3,'New Hires Forecast'!$G$5:$G$82,"&lt;="&amp;'Dev Ops'!BQ3)/12))))))),0)</f>
        <v>22765.145833333332</v>
      </c>
      <c r="BR13" s="668">
        <f>IF(BR$4="forecast",IF(YEAR(BR$3)=YEAR('New Hires Forecast'!$N$3),((SUMIFS('New Hires Forecast'!$N$5:$N$82,'New Hires Forecast'!$F$5:$F$82,"Dev Ops",'New Hires Forecast'!$H$5:$H$82,"&gt;="&amp;'Dev Ops'!BR3,'New Hires Forecast'!$G$5:$G$82,"&lt;="&amp;'Dev Ops'!BR3)/12)),IF(YEAR(BR$3)=YEAR('New Hires Forecast'!$O$3),((SUMIFS('New Hires Forecast'!$O$5:$O$82,'New Hires Forecast'!$F$5:$F$82,"Dev Ops",'New Hires Forecast'!$H$5:$H$82,"&gt;="&amp;'Dev Ops'!BR3,'New Hires Forecast'!$G$5:$G$82,"&lt;="&amp;'Dev Ops'!BR3)/12)),IF(YEAR(BR$3)=YEAR('New Hires Forecast'!$P$3),((SUMIFS('New Hires Forecast'!$P$5:$P$82,'New Hires Forecast'!$F$5:$F$82,"Dev Ops",'New Hires Forecast'!$H$5:$H$82,"&gt;="&amp;'Dev Ops'!BR3,'New Hires Forecast'!$G$5:$G$82,"&lt;="&amp;'Dev Ops'!BR3)/12)),IF(YEAR(BR$3)=YEAR('New Hires Forecast'!$Q$3),((SUMIFS('New Hires Forecast'!$Q$5:$Q$82,'New Hires Forecast'!$F$5:$F$82,"Dev Ops",'New Hires Forecast'!$H$5:$H$82,"&gt;="&amp;'Dev Ops'!BR3,'New Hires Forecast'!$G$5:$G$82,"&lt;="&amp;'Dev Ops'!BR3)/12)),IF(YEAR(BR$3)=YEAR('New Hires Forecast'!$R$3),((SUMIFS('New Hires Forecast'!$R$5:$R$82,'New Hires Forecast'!$F$5:$F$82,"Dev Ops",'New Hires Forecast'!$H$5:$H$82,"&gt;="&amp;'Dev Ops'!BR3,'New Hires Forecast'!$G$5:$G$82,"&lt;="&amp;'Dev Ops'!BR3)/12))))))),0)</f>
        <v>22765.145833333332</v>
      </c>
      <c r="BS13" s="668">
        <f>IF(BS$4="forecast",IF(YEAR(BS$3)=YEAR('New Hires Forecast'!$N$3),((SUMIFS('New Hires Forecast'!$N$5:$N$82,'New Hires Forecast'!$F$5:$F$82,"Dev Ops",'New Hires Forecast'!$H$5:$H$82,"&gt;="&amp;'Dev Ops'!BS3,'New Hires Forecast'!$G$5:$G$82,"&lt;="&amp;'Dev Ops'!BS3)/12)),IF(YEAR(BS$3)=YEAR('New Hires Forecast'!$O$3),((SUMIFS('New Hires Forecast'!$O$5:$O$82,'New Hires Forecast'!$F$5:$F$82,"Dev Ops",'New Hires Forecast'!$H$5:$H$82,"&gt;="&amp;'Dev Ops'!BS3,'New Hires Forecast'!$G$5:$G$82,"&lt;="&amp;'Dev Ops'!BS3)/12)),IF(YEAR(BS$3)=YEAR('New Hires Forecast'!$P$3),((SUMIFS('New Hires Forecast'!$P$5:$P$82,'New Hires Forecast'!$F$5:$F$82,"Dev Ops",'New Hires Forecast'!$H$5:$H$82,"&gt;="&amp;'Dev Ops'!BS3,'New Hires Forecast'!$G$5:$G$82,"&lt;="&amp;'Dev Ops'!BS3)/12)),IF(YEAR(BS$3)=YEAR('New Hires Forecast'!$Q$3),((SUMIFS('New Hires Forecast'!$Q$5:$Q$82,'New Hires Forecast'!$F$5:$F$82,"Dev Ops",'New Hires Forecast'!$H$5:$H$82,"&gt;="&amp;'Dev Ops'!BS3,'New Hires Forecast'!$G$5:$G$82,"&lt;="&amp;'Dev Ops'!BS3)/12)),IF(YEAR(BS$3)=YEAR('New Hires Forecast'!$R$3),((SUMIFS('New Hires Forecast'!$R$5:$R$82,'New Hires Forecast'!$F$5:$F$82,"Dev Ops",'New Hires Forecast'!$H$5:$H$82,"&gt;="&amp;'Dev Ops'!BS3,'New Hires Forecast'!$G$5:$G$82,"&lt;="&amp;'Dev Ops'!BS3)/12))))))),0)</f>
        <v>22765.145833333332</v>
      </c>
      <c r="BT13" s="668">
        <f>IF(BT$4="forecast",IF(YEAR(BT$3)=YEAR('New Hires Forecast'!$N$3),((SUMIFS('New Hires Forecast'!$N$5:$N$82,'New Hires Forecast'!$F$5:$F$82,"Dev Ops",'New Hires Forecast'!$H$5:$H$82,"&gt;="&amp;'Dev Ops'!BT3,'New Hires Forecast'!$G$5:$G$82,"&lt;="&amp;'Dev Ops'!BT3)/12)),IF(YEAR(BT$3)=YEAR('New Hires Forecast'!$O$3),((SUMIFS('New Hires Forecast'!$O$5:$O$82,'New Hires Forecast'!$F$5:$F$82,"Dev Ops",'New Hires Forecast'!$H$5:$H$82,"&gt;="&amp;'Dev Ops'!BT3,'New Hires Forecast'!$G$5:$G$82,"&lt;="&amp;'Dev Ops'!BT3)/12)),IF(YEAR(BT$3)=YEAR('New Hires Forecast'!$P$3),((SUMIFS('New Hires Forecast'!$P$5:$P$82,'New Hires Forecast'!$F$5:$F$82,"Dev Ops",'New Hires Forecast'!$H$5:$H$82,"&gt;="&amp;'Dev Ops'!BT3,'New Hires Forecast'!$G$5:$G$82,"&lt;="&amp;'Dev Ops'!BT3)/12)),IF(YEAR(BT$3)=YEAR('New Hires Forecast'!$Q$3),((SUMIFS('New Hires Forecast'!$Q$5:$Q$82,'New Hires Forecast'!$F$5:$F$82,"Dev Ops",'New Hires Forecast'!$H$5:$H$82,"&gt;="&amp;'Dev Ops'!BT3,'New Hires Forecast'!$G$5:$G$82,"&lt;="&amp;'Dev Ops'!BT3)/12)),IF(YEAR(BT$3)=YEAR('New Hires Forecast'!$R$3),((SUMIFS('New Hires Forecast'!$R$5:$R$82,'New Hires Forecast'!$F$5:$F$82,"Dev Ops",'New Hires Forecast'!$H$5:$H$82,"&gt;="&amp;'Dev Ops'!BT3,'New Hires Forecast'!$G$5:$G$82,"&lt;="&amp;'Dev Ops'!BT3)/12))))))),0)</f>
        <v>22765.145833333332</v>
      </c>
      <c r="BU13" s="668">
        <f>IF(BU$4="forecast",IF(YEAR(BU$3)=YEAR('New Hires Forecast'!$N$3),((SUMIFS('New Hires Forecast'!$N$5:$N$82,'New Hires Forecast'!$F$5:$F$82,"Dev Ops",'New Hires Forecast'!$H$5:$H$82,"&gt;="&amp;'Dev Ops'!BU3,'New Hires Forecast'!$G$5:$G$82,"&lt;="&amp;'Dev Ops'!BU3)/12)),IF(YEAR(BU$3)=YEAR('New Hires Forecast'!$O$3),((SUMIFS('New Hires Forecast'!$O$5:$O$82,'New Hires Forecast'!$F$5:$F$82,"Dev Ops",'New Hires Forecast'!$H$5:$H$82,"&gt;="&amp;'Dev Ops'!BU3,'New Hires Forecast'!$G$5:$G$82,"&lt;="&amp;'Dev Ops'!BU3)/12)),IF(YEAR(BU$3)=YEAR('New Hires Forecast'!$P$3),((SUMIFS('New Hires Forecast'!$P$5:$P$82,'New Hires Forecast'!$F$5:$F$82,"Dev Ops",'New Hires Forecast'!$H$5:$H$82,"&gt;="&amp;'Dev Ops'!BU3,'New Hires Forecast'!$G$5:$G$82,"&lt;="&amp;'Dev Ops'!BU3)/12)),IF(YEAR(BU$3)=YEAR('New Hires Forecast'!$Q$3),((SUMIFS('New Hires Forecast'!$Q$5:$Q$82,'New Hires Forecast'!$F$5:$F$82,"Dev Ops",'New Hires Forecast'!$H$5:$H$82,"&gt;="&amp;'Dev Ops'!BU3,'New Hires Forecast'!$G$5:$G$82,"&lt;="&amp;'Dev Ops'!BU3)/12)),IF(YEAR(BU$3)=YEAR('New Hires Forecast'!$R$3),((SUMIFS('New Hires Forecast'!$R$5:$R$82,'New Hires Forecast'!$F$5:$F$82,"Dev Ops",'New Hires Forecast'!$H$5:$H$82,"&gt;="&amp;'Dev Ops'!BU3,'New Hires Forecast'!$G$5:$G$82,"&lt;="&amp;'Dev Ops'!BU3)/12))))))),0)</f>
        <v>22765.145833333332</v>
      </c>
      <c r="BV13" s="668">
        <f>IF(BV$4="forecast",IF(YEAR(BV$3)=YEAR('New Hires Forecast'!$N$3),((SUMIFS('New Hires Forecast'!$N$5:$N$82,'New Hires Forecast'!$F$5:$F$82,"Dev Ops",'New Hires Forecast'!$H$5:$H$82,"&gt;="&amp;'Dev Ops'!BV3,'New Hires Forecast'!$G$5:$G$82,"&lt;="&amp;'Dev Ops'!BV3)/12)),IF(YEAR(BV$3)=YEAR('New Hires Forecast'!$O$3),((SUMIFS('New Hires Forecast'!$O$5:$O$82,'New Hires Forecast'!$F$5:$F$82,"Dev Ops",'New Hires Forecast'!$H$5:$H$82,"&gt;="&amp;'Dev Ops'!BV3,'New Hires Forecast'!$G$5:$G$82,"&lt;="&amp;'Dev Ops'!BV3)/12)),IF(YEAR(BV$3)=YEAR('New Hires Forecast'!$P$3),((SUMIFS('New Hires Forecast'!$P$5:$P$82,'New Hires Forecast'!$F$5:$F$82,"Dev Ops",'New Hires Forecast'!$H$5:$H$82,"&gt;="&amp;'Dev Ops'!BV3,'New Hires Forecast'!$G$5:$G$82,"&lt;="&amp;'Dev Ops'!BV3)/12)),IF(YEAR(BV$3)=YEAR('New Hires Forecast'!$Q$3),((SUMIFS('New Hires Forecast'!$Q$5:$Q$82,'New Hires Forecast'!$F$5:$F$82,"Dev Ops",'New Hires Forecast'!$H$5:$H$82,"&gt;="&amp;'Dev Ops'!BV3,'New Hires Forecast'!$G$5:$G$82,"&lt;="&amp;'Dev Ops'!BV3)/12)),IF(YEAR(BV$3)=YEAR('New Hires Forecast'!$R$3),((SUMIFS('New Hires Forecast'!$R$5:$R$82,'New Hires Forecast'!$F$5:$F$82,"Dev Ops",'New Hires Forecast'!$H$5:$H$82,"&gt;="&amp;'Dev Ops'!BV3,'New Hires Forecast'!$G$5:$G$82,"&lt;="&amp;'Dev Ops'!BV3)/12))))))),0)</f>
        <v>22765.145833333332</v>
      </c>
    </row>
    <row r="14" spans="2:74" x14ac:dyDescent="0.25">
      <c r="B14" s="791" t="s">
        <v>929</v>
      </c>
      <c r="C14" s="1139">
        <f t="shared" ref="C14:AA14" si="2">SUM(C12:C13)</f>
        <v>18307.68</v>
      </c>
      <c r="D14" s="1139">
        <f t="shared" si="2"/>
        <v>18307.68</v>
      </c>
      <c r="E14" s="1139">
        <f t="shared" si="2"/>
        <v>18307.68</v>
      </c>
      <c r="F14" s="1139">
        <f t="shared" si="2"/>
        <v>20442.310000000001</v>
      </c>
      <c r="G14" s="1139">
        <f t="shared" si="2"/>
        <v>20486.919999999998</v>
      </c>
      <c r="H14" s="1139">
        <f t="shared" si="2"/>
        <v>28730.76</v>
      </c>
      <c r="I14" s="1139">
        <f t="shared" si="2"/>
        <v>19153.84</v>
      </c>
      <c r="J14" s="1139">
        <f t="shared" si="2"/>
        <v>22990.11</v>
      </c>
      <c r="K14" s="1139">
        <f t="shared" si="2"/>
        <v>20576.919999999998</v>
      </c>
      <c r="L14" s="1139">
        <f t="shared" si="2"/>
        <v>24538.46</v>
      </c>
      <c r="M14" s="1139">
        <f t="shared" si="2"/>
        <v>49386.07</v>
      </c>
      <c r="N14" s="1139">
        <f t="shared" si="2"/>
        <v>44541.54</v>
      </c>
      <c r="O14" s="1139">
        <f t="shared" si="2"/>
        <v>29538.269999999997</v>
      </c>
      <c r="P14" s="1139">
        <f t="shared" si="2"/>
        <v>20332.050000000003</v>
      </c>
      <c r="Q14" s="1139">
        <f t="shared" si="2"/>
        <v>40678.21</v>
      </c>
      <c r="R14" s="1139">
        <f t="shared" si="2"/>
        <v>25620.519999999997</v>
      </c>
      <c r="S14" s="1139">
        <f t="shared" si="2"/>
        <v>57920.53</v>
      </c>
      <c r="T14" s="1139">
        <f t="shared" si="2"/>
        <v>62197.45</v>
      </c>
      <c r="U14" s="1139">
        <f t="shared" si="2"/>
        <v>52135.909999999996</v>
      </c>
      <c r="V14" s="1139">
        <f t="shared" si="2"/>
        <v>52605.15</v>
      </c>
      <c r="W14" s="1139">
        <f t="shared" si="2"/>
        <v>49093.61</v>
      </c>
      <c r="X14" s="1139">
        <f t="shared" si="2"/>
        <v>53462.83</v>
      </c>
      <c r="Y14" s="1139">
        <f t="shared" si="2"/>
        <v>50439.759999999995</v>
      </c>
      <c r="Z14" s="1139">
        <f t="shared" si="2"/>
        <v>22332.009999999995</v>
      </c>
      <c r="AA14" s="1139">
        <f t="shared" si="2"/>
        <v>91948.07</v>
      </c>
      <c r="AB14" s="1139">
        <f t="shared" ref="AB14" si="3">SUM(AB12:AB13)</f>
        <v>81163.44</v>
      </c>
      <c r="AC14" s="1139">
        <f t="shared" ref="AC14:BV14" si="4">SUM(AC12:AC13)</f>
        <v>80107.679999999993</v>
      </c>
      <c r="AD14" s="1139">
        <f t="shared" si="4"/>
        <v>158048.69999999998</v>
      </c>
      <c r="AE14" s="1139">
        <f t="shared" si="4"/>
        <v>168882.03333333333</v>
      </c>
      <c r="AF14" s="1139">
        <f t="shared" si="4"/>
        <v>171882.03333333333</v>
      </c>
      <c r="AG14" s="1139">
        <f t="shared" si="4"/>
        <v>171882.03333333333</v>
      </c>
      <c r="AH14" s="1139">
        <f t="shared" si="4"/>
        <v>171882.03333333333</v>
      </c>
      <c r="AI14" s="1139">
        <f t="shared" si="4"/>
        <v>168882.03333333333</v>
      </c>
      <c r="AJ14" s="1139">
        <f t="shared" si="4"/>
        <v>168882.03333333333</v>
      </c>
      <c r="AK14" s="1139">
        <f t="shared" si="4"/>
        <v>168882.03333333333</v>
      </c>
      <c r="AL14" s="1139">
        <f t="shared" si="4"/>
        <v>168882.03333333333</v>
      </c>
      <c r="AM14" s="1139">
        <f t="shared" si="4"/>
        <v>163798.70000000001</v>
      </c>
      <c r="AN14" s="1139">
        <f t="shared" si="4"/>
        <v>134019.11666666667</v>
      </c>
      <c r="AO14" s="1139">
        <f t="shared" si="4"/>
        <v>134019.11666666667</v>
      </c>
      <c r="AP14" s="1139">
        <f t="shared" si="4"/>
        <v>134019.11666666667</v>
      </c>
      <c r="AQ14" s="1139">
        <f t="shared" si="4"/>
        <v>134019.11666666667</v>
      </c>
      <c r="AR14" s="1139">
        <f t="shared" si="4"/>
        <v>134019.11666666667</v>
      </c>
      <c r="AS14" s="1139">
        <f t="shared" si="4"/>
        <v>134019.11666666667</v>
      </c>
      <c r="AT14" s="1139">
        <f t="shared" si="4"/>
        <v>134019.11666666667</v>
      </c>
      <c r="AU14" s="1139">
        <f t="shared" si="4"/>
        <v>134019.11666666667</v>
      </c>
      <c r="AV14" s="1139">
        <f t="shared" si="4"/>
        <v>134019.11666666667</v>
      </c>
      <c r="AW14" s="1139">
        <f t="shared" si="4"/>
        <v>134019.11666666667</v>
      </c>
      <c r="AX14" s="1139">
        <f t="shared" si="4"/>
        <v>134019.11666666667</v>
      </c>
      <c r="AY14" s="1139">
        <f t="shared" si="4"/>
        <v>134662.86666666667</v>
      </c>
      <c r="AZ14" s="1139">
        <f t="shared" si="4"/>
        <v>138392.60683333332</v>
      </c>
      <c r="BA14" s="1139">
        <f t="shared" si="4"/>
        <v>138392.60683333332</v>
      </c>
      <c r="BB14" s="1139">
        <f t="shared" si="4"/>
        <v>138392.60683333332</v>
      </c>
      <c r="BC14" s="1139">
        <f t="shared" si="4"/>
        <v>138392.60683333332</v>
      </c>
      <c r="BD14" s="1139">
        <f t="shared" si="4"/>
        <v>138392.60683333332</v>
      </c>
      <c r="BE14" s="1139">
        <f t="shared" si="4"/>
        <v>138392.60683333332</v>
      </c>
      <c r="BF14" s="1139">
        <f t="shared" si="4"/>
        <v>138392.60683333332</v>
      </c>
      <c r="BG14" s="1139">
        <f t="shared" si="4"/>
        <v>138392.60683333332</v>
      </c>
      <c r="BH14" s="1139">
        <f t="shared" si="4"/>
        <v>138392.60683333332</v>
      </c>
      <c r="BI14" s="1139">
        <f t="shared" si="4"/>
        <v>138392.60683333332</v>
      </c>
      <c r="BJ14" s="1139">
        <f t="shared" si="4"/>
        <v>138392.60683333332</v>
      </c>
      <c r="BK14" s="1139">
        <f t="shared" si="4"/>
        <v>139055.66933333332</v>
      </c>
      <c r="BL14" s="1139">
        <f t="shared" si="4"/>
        <v>142932.59337166671</v>
      </c>
      <c r="BM14" s="1139">
        <f t="shared" si="4"/>
        <v>142932.59337166671</v>
      </c>
      <c r="BN14" s="1139">
        <f t="shared" si="4"/>
        <v>142932.59337166671</v>
      </c>
      <c r="BO14" s="1139">
        <f t="shared" si="4"/>
        <v>142932.59337166671</v>
      </c>
      <c r="BP14" s="1139">
        <f t="shared" si="4"/>
        <v>142932.59337166671</v>
      </c>
      <c r="BQ14" s="1139">
        <f t="shared" si="4"/>
        <v>142932.59337166671</v>
      </c>
      <c r="BR14" s="1139">
        <f t="shared" si="4"/>
        <v>142932.59337166671</v>
      </c>
      <c r="BS14" s="1139">
        <f t="shared" si="4"/>
        <v>142932.59337166671</v>
      </c>
      <c r="BT14" s="1139">
        <f t="shared" si="4"/>
        <v>142932.59337166671</v>
      </c>
      <c r="BU14" s="1139">
        <f t="shared" si="4"/>
        <v>142932.59337166671</v>
      </c>
      <c r="BV14" s="1139">
        <f t="shared" si="4"/>
        <v>142932.59337166671</v>
      </c>
    </row>
    <row r="15" spans="2:74" x14ac:dyDescent="0.25">
      <c r="B15" s="780" t="s">
        <v>931</v>
      </c>
      <c r="C15" s="668">
        <f>IF(C$4="forecast",IF(YEAR(C$3)=YEAR('New Hires Forecast'!$N$3),IF((C$5&lt;=12),(SUMPRODUCT(--('New Hires Forecast'!$F$5:$F$85="Dev Ops"),--('New Hires Forecast'!$H$5:$H$85&gt;='Dev Ops'!C$3),'New Hires Forecast'!$N$5:$N$85,'New Hires Forecast'!$L$5:$L$85)/12),0),IF(YEAR(C$3)=YEAR('New Hires Forecast'!$O$3),IF((C$5&lt;=12),(SUMPRODUCT(--('New Hires Forecast'!$F$5:$F$85="Dev Ops"),--('New Hires Forecast'!$H$5:$H$85&gt;='Dev Ops'!C$3),'New Hires Forecast'!$O$5:$O$85,'New Hires Forecast'!$L$5:$L$85)/12),0),IF(YEAR(C$3)=YEAR('New Hires Forecast'!$P$3),IF((C$5&lt;=12),(SUMPRODUCT(--('New Hires Forecast'!$F$5:$F$85="Dev Ops"),--('New Hires Forecast'!$H$5:$H$85&gt;='Dev Ops'!C$3),'New Hires Forecast'!$P$5:$P$85,'New Hires Forecast'!$L$5:$L$85)/12),0),IF(YEAR(C$3)=YEAR('New Hires Forecast'!$Q$3),IF((C$5&lt;=12),(SUMPRODUCT(--('New Hires Forecast'!$F$5:$F$85="Dev Ops"),--('New Hires Forecast'!$H$5:$H$85&gt;='Dev Ops'!C$3),'New Hires Forecast'!$Q$5:$Q$85,'New Hires Forecast'!$L$5:$L$85)/12),0),IF(YEAR(C$3)=YEAR('New Hires Forecast'!$R$3),IF((C$5&lt;=12),(SUMPRODUCT(--('New Hires Forecast'!$F$5:$F$85="Dev Ops"),--('New Hires Forecast'!$H$5:$H$85&gt;='Dev Ops'!C$3),'New Hires Forecast'!$R$5:$R$85,'New Hires Forecast'!$L$5:$L$85)/12),0),"New Year"))))),0)</f>
        <v>0</v>
      </c>
      <c r="D15" s="668">
        <f>IF(D$4="forecast",IF(YEAR(D$3)=YEAR('New Hires Forecast'!$N$3),IF((D$5&lt;=12),(SUMPRODUCT(--('New Hires Forecast'!$F$5:$F$85="Dev Ops"),--('New Hires Forecast'!$H$5:$H$85&gt;='Dev Ops'!D$3),'New Hires Forecast'!$N$5:$N$85,'New Hires Forecast'!$L$5:$L$85)/12),0),IF(YEAR(D$3)=YEAR('New Hires Forecast'!$O$3),IF((D$5&lt;=12),(SUMPRODUCT(--('New Hires Forecast'!$F$5:$F$85="Dev Ops"),--('New Hires Forecast'!$H$5:$H$85&gt;='Dev Ops'!D$3),'New Hires Forecast'!$O$5:$O$85,'New Hires Forecast'!$L$5:$L$85)/12),0),IF(YEAR(D$3)=YEAR('New Hires Forecast'!$P$3),IF((D$5&lt;=12),(SUMPRODUCT(--('New Hires Forecast'!$F$5:$F$85="Dev Ops"),--('New Hires Forecast'!$H$5:$H$85&gt;='Dev Ops'!D$3),'New Hires Forecast'!$P$5:$P$85,'New Hires Forecast'!$L$5:$L$85)/12),0),IF(YEAR(D$3)=YEAR('New Hires Forecast'!$Q$3),IF((D$5&lt;=12),(SUMPRODUCT(--('New Hires Forecast'!$F$5:$F$85="Dev Ops"),--('New Hires Forecast'!$H$5:$H$85&gt;='Dev Ops'!D$3),'New Hires Forecast'!$Q$5:$Q$85,'New Hires Forecast'!$L$5:$L$85)/12),0),IF(YEAR(D$3)=YEAR('New Hires Forecast'!$R$3),IF((D$5&lt;=12),(SUMPRODUCT(--('New Hires Forecast'!$F$5:$F$85="Dev Ops"),--('New Hires Forecast'!$H$5:$H$85&gt;='Dev Ops'!D$3),'New Hires Forecast'!$R$5:$R$85,'New Hires Forecast'!$L$5:$L$85)/12),0),"New Year"))))),0)</f>
        <v>0</v>
      </c>
      <c r="E15" s="668">
        <f>IF(E$4="forecast",IF(YEAR(E$3)=YEAR('New Hires Forecast'!$N$3),IF((E$5&lt;=12),(SUMPRODUCT(--('New Hires Forecast'!$F$5:$F$85="Dev Ops"),--('New Hires Forecast'!$H$5:$H$85&gt;='Dev Ops'!E$3),'New Hires Forecast'!$N$5:$N$85,'New Hires Forecast'!$L$5:$L$85)/12),0),IF(YEAR(E$3)=YEAR('New Hires Forecast'!$O$3),IF((E$5&lt;=12),(SUMPRODUCT(--('New Hires Forecast'!$F$5:$F$85="Dev Ops"),--('New Hires Forecast'!$H$5:$H$85&gt;='Dev Ops'!E$3),'New Hires Forecast'!$O$5:$O$85,'New Hires Forecast'!$L$5:$L$85)/12),0),IF(YEAR(E$3)=YEAR('New Hires Forecast'!$P$3),IF((E$5&lt;=12),(SUMPRODUCT(--('New Hires Forecast'!$F$5:$F$85="Dev Ops"),--('New Hires Forecast'!$H$5:$H$85&gt;='Dev Ops'!E$3),'New Hires Forecast'!$P$5:$P$85,'New Hires Forecast'!$L$5:$L$85)/12),0),IF(YEAR(E$3)=YEAR('New Hires Forecast'!$Q$3),IF((E$5&lt;=12),(SUMPRODUCT(--('New Hires Forecast'!$F$5:$F$85="Dev Ops"),--('New Hires Forecast'!$H$5:$H$85&gt;='Dev Ops'!E$3),'New Hires Forecast'!$Q$5:$Q$85,'New Hires Forecast'!$L$5:$L$85)/12),0),IF(YEAR(E$3)=YEAR('New Hires Forecast'!$R$3),IF((E$5&lt;=12),(SUMPRODUCT(--('New Hires Forecast'!$F$5:$F$85="Dev Ops"),--('New Hires Forecast'!$H$5:$H$85&gt;='Dev Ops'!E$3),'New Hires Forecast'!$R$5:$R$85,'New Hires Forecast'!$L$5:$L$85)/12),0),"New Year"))))),0)</f>
        <v>0</v>
      </c>
      <c r="F15" s="668">
        <f>IF(F$4="forecast",IF(YEAR(F$3)=YEAR('New Hires Forecast'!$N$3),IF((F$5&lt;=12),(SUMPRODUCT(--('New Hires Forecast'!$F$5:$F$85="Dev Ops"),--('New Hires Forecast'!$H$5:$H$85&gt;='Dev Ops'!F$3),'New Hires Forecast'!$N$5:$N$85,'New Hires Forecast'!$L$5:$L$85)/12),0),IF(YEAR(F$3)=YEAR('New Hires Forecast'!$O$3),IF((F$5&lt;=12),(SUMPRODUCT(--('New Hires Forecast'!$F$5:$F$85="Dev Ops"),--('New Hires Forecast'!$H$5:$H$85&gt;='Dev Ops'!F$3),'New Hires Forecast'!$O$5:$O$85,'New Hires Forecast'!$L$5:$L$85)/12),0),IF(YEAR(F$3)=YEAR('New Hires Forecast'!$P$3),IF((F$5&lt;=12),(SUMPRODUCT(--('New Hires Forecast'!$F$5:$F$85="Dev Ops"),--('New Hires Forecast'!$H$5:$H$85&gt;='Dev Ops'!F$3),'New Hires Forecast'!$P$5:$P$85,'New Hires Forecast'!$L$5:$L$85)/12),0),IF(YEAR(F$3)=YEAR('New Hires Forecast'!$Q$3),IF((F$5&lt;=12),(SUMPRODUCT(--('New Hires Forecast'!$F$5:$F$85="Dev Ops"),--('New Hires Forecast'!$H$5:$H$85&gt;='Dev Ops'!F$3),'New Hires Forecast'!$Q$5:$Q$85,'New Hires Forecast'!$L$5:$L$85)/12),0),IF(YEAR(F$3)=YEAR('New Hires Forecast'!$R$3),IF((F$5&lt;=12),(SUMPRODUCT(--('New Hires Forecast'!$F$5:$F$85="Dev Ops"),--('New Hires Forecast'!$H$5:$H$85&gt;='Dev Ops'!F$3),'New Hires Forecast'!$R$5:$R$85,'New Hires Forecast'!$L$5:$L$85)/12),0),"New Year"))))),0)</f>
        <v>0</v>
      </c>
      <c r="G15" s="668">
        <f>IF(G$4="forecast",IF(YEAR(G$3)=YEAR('New Hires Forecast'!$N$3),IF((G$5&lt;=12),(SUMPRODUCT(--('New Hires Forecast'!$F$5:$F$85="Dev Ops"),--('New Hires Forecast'!$H$5:$H$85&gt;='Dev Ops'!G$3),'New Hires Forecast'!$N$5:$N$85,'New Hires Forecast'!$L$5:$L$85)/12),0),IF(YEAR(G$3)=YEAR('New Hires Forecast'!$O$3),IF((G$5&lt;=12),(SUMPRODUCT(--('New Hires Forecast'!$F$5:$F$85="Dev Ops"),--('New Hires Forecast'!$H$5:$H$85&gt;='Dev Ops'!G$3),'New Hires Forecast'!$O$5:$O$85,'New Hires Forecast'!$L$5:$L$85)/12),0),IF(YEAR(G$3)=YEAR('New Hires Forecast'!$P$3),IF((G$5&lt;=12),(SUMPRODUCT(--('New Hires Forecast'!$F$5:$F$85="Dev Ops"),--('New Hires Forecast'!$H$5:$H$85&gt;='Dev Ops'!G$3),'New Hires Forecast'!$P$5:$P$85,'New Hires Forecast'!$L$5:$L$85)/12),0),IF(YEAR(G$3)=YEAR('New Hires Forecast'!$Q$3),IF((G$5&lt;=12),(SUMPRODUCT(--('New Hires Forecast'!$F$5:$F$85="Dev Ops"),--('New Hires Forecast'!$H$5:$H$85&gt;='Dev Ops'!G$3),'New Hires Forecast'!$Q$5:$Q$85,'New Hires Forecast'!$L$5:$L$85)/12),0),IF(YEAR(G$3)=YEAR('New Hires Forecast'!$R$3),IF((G$5&lt;=12),(SUMPRODUCT(--('New Hires Forecast'!$F$5:$F$85="Dev Ops"),--('New Hires Forecast'!$H$5:$H$85&gt;='Dev Ops'!G$3),'New Hires Forecast'!$R$5:$R$85,'New Hires Forecast'!$L$5:$L$85)/12),0),"New Year"))))),0)</f>
        <v>0</v>
      </c>
      <c r="H15" s="668">
        <f>IF(H$4="forecast",IF(YEAR(H$3)=YEAR('New Hires Forecast'!$N$3),IF((H$5&lt;=12),(SUMPRODUCT(--('New Hires Forecast'!$F$5:$F$85="Dev Ops"),--('New Hires Forecast'!$H$5:$H$85&gt;='Dev Ops'!H$3),'New Hires Forecast'!$N$5:$N$85,'New Hires Forecast'!$L$5:$L$85)/12),0),IF(YEAR(H$3)=YEAR('New Hires Forecast'!$O$3),IF((H$5&lt;=12),(SUMPRODUCT(--('New Hires Forecast'!$F$5:$F$85="Dev Ops"),--('New Hires Forecast'!$H$5:$H$85&gt;='Dev Ops'!H$3),'New Hires Forecast'!$O$5:$O$85,'New Hires Forecast'!$L$5:$L$85)/12),0),IF(YEAR(H$3)=YEAR('New Hires Forecast'!$P$3),IF((H$5&lt;=12),(SUMPRODUCT(--('New Hires Forecast'!$F$5:$F$85="Dev Ops"),--('New Hires Forecast'!$H$5:$H$85&gt;='Dev Ops'!H$3),'New Hires Forecast'!$P$5:$P$85,'New Hires Forecast'!$L$5:$L$85)/12),0),IF(YEAR(H$3)=YEAR('New Hires Forecast'!$Q$3),IF((H$5&lt;=12),(SUMPRODUCT(--('New Hires Forecast'!$F$5:$F$85="Dev Ops"),--('New Hires Forecast'!$H$5:$H$85&gt;='Dev Ops'!H$3),'New Hires Forecast'!$Q$5:$Q$85,'New Hires Forecast'!$L$5:$L$85)/12),0),IF(YEAR(H$3)=YEAR('New Hires Forecast'!$R$3),IF((H$5&lt;=12),(SUMPRODUCT(--('New Hires Forecast'!$F$5:$F$85="Dev Ops"),--('New Hires Forecast'!$H$5:$H$85&gt;='Dev Ops'!H$3),'New Hires Forecast'!$R$5:$R$85,'New Hires Forecast'!$L$5:$L$85)/12),0),"New Year"))))),0)</f>
        <v>0</v>
      </c>
      <c r="I15" s="668">
        <f>IF(I$4="forecast",IF(YEAR(I$3)=YEAR('New Hires Forecast'!$N$3),IF((I$5&lt;=12),(SUMPRODUCT(--('New Hires Forecast'!$F$5:$F$85="Dev Ops"),--('New Hires Forecast'!$H$5:$H$85&gt;='Dev Ops'!I$3),'New Hires Forecast'!$N$5:$N$85,'New Hires Forecast'!$L$5:$L$85)/12),0),IF(YEAR(I$3)=YEAR('New Hires Forecast'!$O$3),IF((I$5&lt;=12),(SUMPRODUCT(--('New Hires Forecast'!$F$5:$F$85="Dev Ops"),--('New Hires Forecast'!$H$5:$H$85&gt;='Dev Ops'!I$3),'New Hires Forecast'!$O$5:$O$85,'New Hires Forecast'!$L$5:$L$85)/12),0),IF(YEAR(I$3)=YEAR('New Hires Forecast'!$P$3),IF((I$5&lt;=12),(SUMPRODUCT(--('New Hires Forecast'!$F$5:$F$85="Dev Ops"),--('New Hires Forecast'!$H$5:$H$85&gt;='Dev Ops'!I$3),'New Hires Forecast'!$P$5:$P$85,'New Hires Forecast'!$L$5:$L$85)/12),0),IF(YEAR(I$3)=YEAR('New Hires Forecast'!$Q$3),IF((I$5&lt;=12),(SUMPRODUCT(--('New Hires Forecast'!$F$5:$F$85="Dev Ops"),--('New Hires Forecast'!$H$5:$H$85&gt;='Dev Ops'!I$3),'New Hires Forecast'!$Q$5:$Q$85,'New Hires Forecast'!$L$5:$L$85)/12),0),IF(YEAR(I$3)=YEAR('New Hires Forecast'!$R$3),IF((I$5&lt;=12),(SUMPRODUCT(--('New Hires Forecast'!$F$5:$F$85="Dev Ops"),--('New Hires Forecast'!$H$5:$H$85&gt;='Dev Ops'!I$3),'New Hires Forecast'!$R$5:$R$85,'New Hires Forecast'!$L$5:$L$85)/12),0),"New Year"))))),0)</f>
        <v>0</v>
      </c>
      <c r="J15" s="668">
        <f>IF(J$4="forecast",IF(YEAR(J$3)=YEAR('New Hires Forecast'!$N$3),IF((J$5&lt;=12),(SUMPRODUCT(--('New Hires Forecast'!$F$5:$F$85="Dev Ops"),--('New Hires Forecast'!$H$5:$H$85&gt;='Dev Ops'!J$3),'New Hires Forecast'!$N$5:$N$85,'New Hires Forecast'!$L$5:$L$85)/12),0),IF(YEAR(J$3)=YEAR('New Hires Forecast'!$O$3),IF((J$5&lt;=12),(SUMPRODUCT(--('New Hires Forecast'!$F$5:$F$85="Dev Ops"),--('New Hires Forecast'!$H$5:$H$85&gt;='Dev Ops'!J$3),'New Hires Forecast'!$O$5:$O$85,'New Hires Forecast'!$L$5:$L$85)/12),0),IF(YEAR(J$3)=YEAR('New Hires Forecast'!$P$3),IF((J$5&lt;=12),(SUMPRODUCT(--('New Hires Forecast'!$F$5:$F$85="Dev Ops"),--('New Hires Forecast'!$H$5:$H$85&gt;='Dev Ops'!J$3),'New Hires Forecast'!$P$5:$P$85,'New Hires Forecast'!$L$5:$L$85)/12),0),IF(YEAR(J$3)=YEAR('New Hires Forecast'!$Q$3),IF((J$5&lt;=12),(SUMPRODUCT(--('New Hires Forecast'!$F$5:$F$85="Dev Ops"),--('New Hires Forecast'!$H$5:$H$85&gt;='Dev Ops'!J$3),'New Hires Forecast'!$Q$5:$Q$85,'New Hires Forecast'!$L$5:$L$85)/12),0),IF(YEAR(J$3)=YEAR('New Hires Forecast'!$R$3),IF((J$5&lt;=12),(SUMPRODUCT(--('New Hires Forecast'!$F$5:$F$85="Dev Ops"),--('New Hires Forecast'!$H$5:$H$85&gt;='Dev Ops'!J$3),'New Hires Forecast'!$R$5:$R$85,'New Hires Forecast'!$L$5:$L$85)/12),0),"New Year"))))),0)</f>
        <v>0</v>
      </c>
      <c r="K15" s="668">
        <f>IF(K$4="forecast",IF(YEAR(K$3)=YEAR('New Hires Forecast'!$N$3),IF((K$5&lt;=12),(SUMPRODUCT(--('New Hires Forecast'!$F$5:$F$85="Dev Ops"),--('New Hires Forecast'!$H$5:$H$85&gt;='Dev Ops'!K$3),'New Hires Forecast'!$N$5:$N$85,'New Hires Forecast'!$L$5:$L$85)/12),0),IF(YEAR(K$3)=YEAR('New Hires Forecast'!$O$3),IF((K$5&lt;=12),(SUMPRODUCT(--('New Hires Forecast'!$F$5:$F$85="Dev Ops"),--('New Hires Forecast'!$H$5:$H$85&gt;='Dev Ops'!K$3),'New Hires Forecast'!$O$5:$O$85,'New Hires Forecast'!$L$5:$L$85)/12),0),IF(YEAR(K$3)=YEAR('New Hires Forecast'!$P$3),IF((K$5&lt;=12),(SUMPRODUCT(--('New Hires Forecast'!$F$5:$F$85="Dev Ops"),--('New Hires Forecast'!$H$5:$H$85&gt;='Dev Ops'!K$3),'New Hires Forecast'!$P$5:$P$85,'New Hires Forecast'!$L$5:$L$85)/12),0),IF(YEAR(K$3)=YEAR('New Hires Forecast'!$Q$3),IF((K$5&lt;=12),(SUMPRODUCT(--('New Hires Forecast'!$F$5:$F$85="Dev Ops"),--('New Hires Forecast'!$H$5:$H$85&gt;='Dev Ops'!K$3),'New Hires Forecast'!$Q$5:$Q$85,'New Hires Forecast'!$L$5:$L$85)/12),0),IF(YEAR(K$3)=YEAR('New Hires Forecast'!$R$3),IF((K$5&lt;=12),(SUMPRODUCT(--('New Hires Forecast'!$F$5:$F$85="Dev Ops"),--('New Hires Forecast'!$H$5:$H$85&gt;='Dev Ops'!K$3),'New Hires Forecast'!$R$5:$R$85,'New Hires Forecast'!$L$5:$L$85)/12),0),"New Year"))))),0)</f>
        <v>0</v>
      </c>
      <c r="L15" s="668">
        <f>IF(L$4="forecast",IF(YEAR(L$3)=YEAR('New Hires Forecast'!$N$3),IF((L$5&lt;=12),(SUMPRODUCT(--('New Hires Forecast'!$F$5:$F$85="Dev Ops"),--('New Hires Forecast'!$H$5:$H$85&gt;='Dev Ops'!L$3),'New Hires Forecast'!$N$5:$N$85,'New Hires Forecast'!$L$5:$L$85)/12),0),IF(YEAR(L$3)=YEAR('New Hires Forecast'!$O$3),IF((L$5&lt;=12),(SUMPRODUCT(--('New Hires Forecast'!$F$5:$F$85="Dev Ops"),--('New Hires Forecast'!$H$5:$H$85&gt;='Dev Ops'!L$3),'New Hires Forecast'!$O$5:$O$85,'New Hires Forecast'!$L$5:$L$85)/12),0),IF(YEAR(L$3)=YEAR('New Hires Forecast'!$P$3),IF((L$5&lt;=12),(SUMPRODUCT(--('New Hires Forecast'!$F$5:$F$85="Dev Ops"),--('New Hires Forecast'!$H$5:$H$85&gt;='Dev Ops'!L$3),'New Hires Forecast'!$P$5:$P$85,'New Hires Forecast'!$L$5:$L$85)/12),0),IF(YEAR(L$3)=YEAR('New Hires Forecast'!$Q$3),IF((L$5&lt;=12),(SUMPRODUCT(--('New Hires Forecast'!$F$5:$F$85="Dev Ops"),--('New Hires Forecast'!$H$5:$H$85&gt;='Dev Ops'!L$3),'New Hires Forecast'!$Q$5:$Q$85,'New Hires Forecast'!$L$5:$L$85)/12),0),IF(YEAR(L$3)=YEAR('New Hires Forecast'!$R$3),IF((L$5&lt;=12),(SUMPRODUCT(--('New Hires Forecast'!$F$5:$F$85="Dev Ops"),--('New Hires Forecast'!$H$5:$H$85&gt;='Dev Ops'!L$3),'New Hires Forecast'!$R$5:$R$85,'New Hires Forecast'!$L$5:$L$85)/12),0),"New Year"))))),0)</f>
        <v>0</v>
      </c>
      <c r="M15" s="668">
        <f>IF(M$4="forecast",IF(YEAR(M$3)=YEAR('New Hires Forecast'!$N$3),IF((M$5&lt;=12),(SUMPRODUCT(--('New Hires Forecast'!$F$5:$F$85="Dev Ops"),--('New Hires Forecast'!$H$5:$H$85&gt;='Dev Ops'!M$3),'New Hires Forecast'!$N$5:$N$85,'New Hires Forecast'!$L$5:$L$85)/12),0),IF(YEAR(M$3)=YEAR('New Hires Forecast'!$O$3),IF((M$5&lt;=12),(SUMPRODUCT(--('New Hires Forecast'!$F$5:$F$85="Dev Ops"),--('New Hires Forecast'!$H$5:$H$85&gt;='Dev Ops'!M$3),'New Hires Forecast'!$O$5:$O$85,'New Hires Forecast'!$L$5:$L$85)/12),0),IF(YEAR(M$3)=YEAR('New Hires Forecast'!$P$3),IF((M$5&lt;=12),(SUMPRODUCT(--('New Hires Forecast'!$F$5:$F$85="Dev Ops"),--('New Hires Forecast'!$H$5:$H$85&gt;='Dev Ops'!M$3),'New Hires Forecast'!$P$5:$P$85,'New Hires Forecast'!$L$5:$L$85)/12),0),IF(YEAR(M$3)=YEAR('New Hires Forecast'!$Q$3),IF((M$5&lt;=12),(SUMPRODUCT(--('New Hires Forecast'!$F$5:$F$85="Dev Ops"),--('New Hires Forecast'!$H$5:$H$85&gt;='Dev Ops'!M$3),'New Hires Forecast'!$Q$5:$Q$85,'New Hires Forecast'!$L$5:$L$85)/12),0),IF(YEAR(M$3)=YEAR('New Hires Forecast'!$R$3),IF((M$5&lt;=12),(SUMPRODUCT(--('New Hires Forecast'!$F$5:$F$85="Dev Ops"),--('New Hires Forecast'!$H$5:$H$85&gt;='Dev Ops'!M$3),'New Hires Forecast'!$R$5:$R$85,'New Hires Forecast'!$L$5:$L$85)/12),0),"New Year"))))),0)</f>
        <v>0</v>
      </c>
      <c r="N15" s="668">
        <f>IF(N$4="forecast",IF(YEAR(N$3)=YEAR('New Hires Forecast'!$N$3),IF((N$5&lt;=12),(SUMPRODUCT(--('New Hires Forecast'!$F$5:$F$85="Dev Ops"),--('New Hires Forecast'!$H$5:$H$85&gt;='Dev Ops'!N$3),'New Hires Forecast'!$N$5:$N$85,'New Hires Forecast'!$L$5:$L$85)/12),0),IF(YEAR(N$3)=YEAR('New Hires Forecast'!$O$3),IF((N$5&lt;=12),(SUMPRODUCT(--('New Hires Forecast'!$F$5:$F$85="Dev Ops"),--('New Hires Forecast'!$H$5:$H$85&gt;='Dev Ops'!N$3),'New Hires Forecast'!$O$5:$O$85,'New Hires Forecast'!$L$5:$L$85)/12),0),IF(YEAR(N$3)=YEAR('New Hires Forecast'!$P$3),IF((N$5&lt;=12),(SUMPRODUCT(--('New Hires Forecast'!$F$5:$F$85="Dev Ops"),--('New Hires Forecast'!$H$5:$H$85&gt;='Dev Ops'!N$3),'New Hires Forecast'!$P$5:$P$85,'New Hires Forecast'!$L$5:$L$85)/12),0),IF(YEAR(N$3)=YEAR('New Hires Forecast'!$Q$3),IF((N$5&lt;=12),(SUMPRODUCT(--('New Hires Forecast'!$F$5:$F$85="Dev Ops"),--('New Hires Forecast'!$H$5:$H$85&gt;='Dev Ops'!N$3),'New Hires Forecast'!$Q$5:$Q$85,'New Hires Forecast'!$L$5:$L$85)/12),0),IF(YEAR(N$3)=YEAR('New Hires Forecast'!$R$3),IF((N$5&lt;=12),(SUMPRODUCT(--('New Hires Forecast'!$F$5:$F$85="Dev Ops"),--('New Hires Forecast'!$H$5:$H$85&gt;='Dev Ops'!N$3),'New Hires Forecast'!$R$5:$R$85,'New Hires Forecast'!$L$5:$L$85)/12),0),"New Year"))))),0)</f>
        <v>0</v>
      </c>
      <c r="O15" s="668">
        <f>IF(O$4="forecast",IF(YEAR(O$3)=YEAR('New Hires Forecast'!$N$3),IF((O$5&lt;=12),(SUMPRODUCT(--('New Hires Forecast'!$F$5:$F$85="Dev Ops"),--('New Hires Forecast'!$H$5:$H$85&gt;='Dev Ops'!O$3),'New Hires Forecast'!$N$5:$N$85,'New Hires Forecast'!$L$5:$L$85)/12),0),IF(YEAR(O$3)=YEAR('New Hires Forecast'!$O$3),IF((O$5&lt;=12),(SUMPRODUCT(--('New Hires Forecast'!$F$5:$F$85="Dev Ops"),--('New Hires Forecast'!$H$5:$H$85&gt;='Dev Ops'!O$3),'New Hires Forecast'!$O$5:$O$85,'New Hires Forecast'!$L$5:$L$85)/12),0),IF(YEAR(O$3)=YEAR('New Hires Forecast'!$P$3),IF((O$5&lt;=12),(SUMPRODUCT(--('New Hires Forecast'!$F$5:$F$85="Dev Ops"),--('New Hires Forecast'!$H$5:$H$85&gt;='Dev Ops'!O$3),'New Hires Forecast'!$P$5:$P$85,'New Hires Forecast'!$L$5:$L$85)/12),0),IF(YEAR(O$3)=YEAR('New Hires Forecast'!$Q$3),IF((O$5&lt;=12),(SUMPRODUCT(--('New Hires Forecast'!$F$5:$F$85="Dev Ops"),--('New Hires Forecast'!$H$5:$H$85&gt;='Dev Ops'!O$3),'New Hires Forecast'!$Q$5:$Q$85,'New Hires Forecast'!$L$5:$L$85)/12),0),IF(YEAR(O$3)=YEAR('New Hires Forecast'!$R$3),IF((O$5&lt;=12),(SUMPRODUCT(--('New Hires Forecast'!$F$5:$F$85="Dev Ops"),--('New Hires Forecast'!$H$5:$H$85&gt;='Dev Ops'!O$3),'New Hires Forecast'!$R$5:$R$85,'New Hires Forecast'!$L$5:$L$85)/12),0),"New Year"))))),0)</f>
        <v>0</v>
      </c>
      <c r="P15" s="668">
        <f>IF(P$4="forecast",IF(YEAR(P$3)=YEAR('New Hires Forecast'!$N$3),IF((P$5&lt;=12),(SUMPRODUCT(--('New Hires Forecast'!$F$5:$F$85="Dev Ops"),--('New Hires Forecast'!$H$5:$H$85&gt;='Dev Ops'!P$3),'New Hires Forecast'!$N$5:$N$85,'New Hires Forecast'!$L$5:$L$85)/12),0),IF(YEAR(P$3)=YEAR('New Hires Forecast'!$O$3),IF((P$5&lt;=12),(SUMPRODUCT(--('New Hires Forecast'!$F$5:$F$85="Dev Ops"),--('New Hires Forecast'!$H$5:$H$85&gt;='Dev Ops'!P$3),'New Hires Forecast'!$O$5:$O$85,'New Hires Forecast'!$L$5:$L$85)/12),0),IF(YEAR(P$3)=YEAR('New Hires Forecast'!$P$3),IF((P$5&lt;=12),(SUMPRODUCT(--('New Hires Forecast'!$F$5:$F$85="Dev Ops"),--('New Hires Forecast'!$H$5:$H$85&gt;='Dev Ops'!P$3),'New Hires Forecast'!$P$5:$P$85,'New Hires Forecast'!$L$5:$L$85)/12),0),IF(YEAR(P$3)=YEAR('New Hires Forecast'!$Q$3),IF((P$5&lt;=12),(SUMPRODUCT(--('New Hires Forecast'!$F$5:$F$85="Dev Ops"),--('New Hires Forecast'!$H$5:$H$85&gt;='Dev Ops'!P$3),'New Hires Forecast'!$Q$5:$Q$85,'New Hires Forecast'!$L$5:$L$85)/12),0),IF(YEAR(P$3)=YEAR('New Hires Forecast'!$R$3),IF((P$5&lt;=12),(SUMPRODUCT(--('New Hires Forecast'!$F$5:$F$85="Dev Ops"),--('New Hires Forecast'!$H$5:$H$85&gt;='Dev Ops'!P$3),'New Hires Forecast'!$R$5:$R$85,'New Hires Forecast'!$L$5:$L$85)/12),0),"New Year"))))),0)</f>
        <v>0</v>
      </c>
      <c r="Q15" s="668">
        <f>IF(Q$4="forecast",IF(YEAR(Q$3)=YEAR('New Hires Forecast'!$N$3),IF((Q$5&lt;=12),(SUMPRODUCT(--('New Hires Forecast'!$F$5:$F$85="Dev Ops"),--('New Hires Forecast'!$H$5:$H$85&gt;='Dev Ops'!Q$3),'New Hires Forecast'!$N$5:$N$85,'New Hires Forecast'!$L$5:$L$85)/12),0),IF(YEAR(Q$3)=YEAR('New Hires Forecast'!$O$3),IF((Q$5&lt;=12),(SUMPRODUCT(--('New Hires Forecast'!$F$5:$F$85="Dev Ops"),--('New Hires Forecast'!$H$5:$H$85&gt;='Dev Ops'!Q$3),'New Hires Forecast'!$O$5:$O$85,'New Hires Forecast'!$L$5:$L$85)/12),0),IF(YEAR(Q$3)=YEAR('New Hires Forecast'!$P$3),IF((Q$5&lt;=12),(SUMPRODUCT(--('New Hires Forecast'!$F$5:$F$85="Dev Ops"),--('New Hires Forecast'!$H$5:$H$85&gt;='Dev Ops'!Q$3),'New Hires Forecast'!$P$5:$P$85,'New Hires Forecast'!$L$5:$L$85)/12),0),IF(YEAR(Q$3)=YEAR('New Hires Forecast'!$Q$3),IF((Q$5&lt;=12),(SUMPRODUCT(--('New Hires Forecast'!$F$5:$F$85="Dev Ops"),--('New Hires Forecast'!$H$5:$H$85&gt;='Dev Ops'!Q$3),'New Hires Forecast'!$Q$5:$Q$85,'New Hires Forecast'!$L$5:$L$85)/12),0),IF(YEAR(Q$3)=YEAR('New Hires Forecast'!$R$3),IF((Q$5&lt;=12),(SUMPRODUCT(--('New Hires Forecast'!$F$5:$F$85="Dev Ops"),--('New Hires Forecast'!$H$5:$H$85&gt;='Dev Ops'!Q$3),'New Hires Forecast'!$R$5:$R$85,'New Hires Forecast'!$L$5:$L$85)/12),0),"New Year"))))),0)</f>
        <v>0</v>
      </c>
      <c r="R15" s="668">
        <f>IF(R$4="forecast",IF(YEAR(R$3)=YEAR('New Hires Forecast'!$N$3),IF((R$5&lt;=12),(SUMPRODUCT(--('New Hires Forecast'!$F$5:$F$85="Dev Ops"),--('New Hires Forecast'!$H$5:$H$85&gt;='Dev Ops'!R$3),'New Hires Forecast'!$N$5:$N$85,'New Hires Forecast'!$L$5:$L$85)/12),0),IF(YEAR(R$3)=YEAR('New Hires Forecast'!$O$3),IF((R$5&lt;=12),(SUMPRODUCT(--('New Hires Forecast'!$F$5:$F$85="Dev Ops"),--('New Hires Forecast'!$H$5:$H$85&gt;='Dev Ops'!R$3),'New Hires Forecast'!$O$5:$O$85,'New Hires Forecast'!$L$5:$L$85)/12),0),IF(YEAR(R$3)=YEAR('New Hires Forecast'!$P$3),IF((R$5&lt;=12),(SUMPRODUCT(--('New Hires Forecast'!$F$5:$F$85="Dev Ops"),--('New Hires Forecast'!$H$5:$H$85&gt;='Dev Ops'!R$3),'New Hires Forecast'!$P$5:$P$85,'New Hires Forecast'!$L$5:$L$85)/12),0),IF(YEAR(R$3)=YEAR('New Hires Forecast'!$Q$3),IF((R$5&lt;=12),(SUMPRODUCT(--('New Hires Forecast'!$F$5:$F$85="Dev Ops"),--('New Hires Forecast'!$H$5:$H$85&gt;='Dev Ops'!R$3),'New Hires Forecast'!$Q$5:$Q$85,'New Hires Forecast'!$L$5:$L$85)/12),0),IF(YEAR(R$3)=YEAR('New Hires Forecast'!$R$3),IF((R$5&lt;=12),(SUMPRODUCT(--('New Hires Forecast'!$F$5:$F$85="Dev Ops"),--('New Hires Forecast'!$H$5:$H$85&gt;='Dev Ops'!R$3),'New Hires Forecast'!$R$5:$R$85,'New Hires Forecast'!$L$5:$L$85)/12),0),"New Year"))))),0)</f>
        <v>0</v>
      </c>
      <c r="S15" s="668">
        <f>IF(S$4="forecast",IF(YEAR(S$3)=YEAR('New Hires Forecast'!$N$3),IF((S$5&lt;=12),(SUMPRODUCT(--('New Hires Forecast'!$F$5:$F$85="Dev Ops"),--('New Hires Forecast'!$H$5:$H$85&gt;='Dev Ops'!S$3),'New Hires Forecast'!$N$5:$N$85,'New Hires Forecast'!$L$5:$L$85)/12),0),IF(YEAR(S$3)=YEAR('New Hires Forecast'!$O$3),IF((S$5&lt;=12),(SUMPRODUCT(--('New Hires Forecast'!$F$5:$F$85="Dev Ops"),--('New Hires Forecast'!$H$5:$H$85&gt;='Dev Ops'!S$3),'New Hires Forecast'!$O$5:$O$85,'New Hires Forecast'!$L$5:$L$85)/12),0),IF(YEAR(S$3)=YEAR('New Hires Forecast'!$P$3),IF((S$5&lt;=12),(SUMPRODUCT(--('New Hires Forecast'!$F$5:$F$85="Dev Ops"),--('New Hires Forecast'!$H$5:$H$85&gt;='Dev Ops'!S$3),'New Hires Forecast'!$P$5:$P$85,'New Hires Forecast'!$L$5:$L$85)/12),0),IF(YEAR(S$3)=YEAR('New Hires Forecast'!$Q$3),IF((S$5&lt;=12),(SUMPRODUCT(--('New Hires Forecast'!$F$5:$F$85="Dev Ops"),--('New Hires Forecast'!$H$5:$H$85&gt;='Dev Ops'!S$3),'New Hires Forecast'!$Q$5:$Q$85,'New Hires Forecast'!$L$5:$L$85)/12),0),IF(YEAR(S$3)=YEAR('New Hires Forecast'!$R$3),IF((S$5&lt;=12),(SUMPRODUCT(--('New Hires Forecast'!$F$5:$F$85="Dev Ops"),--('New Hires Forecast'!$H$5:$H$85&gt;='Dev Ops'!S$3),'New Hires Forecast'!$R$5:$R$85,'New Hires Forecast'!$L$5:$L$85)/12),0),"New Year"))))),0)</f>
        <v>0</v>
      </c>
      <c r="T15" s="668">
        <f>IF(T$4="forecast",IF(YEAR(T$3)=YEAR('New Hires Forecast'!$N$3),IF((T$5&lt;=12),(SUMPRODUCT(--('New Hires Forecast'!$F$5:$F$85="Dev Ops"),--('New Hires Forecast'!$H$5:$H$85&gt;='Dev Ops'!T$3),'New Hires Forecast'!$N$5:$N$85,'New Hires Forecast'!$L$5:$L$85)/12),0),IF(YEAR(T$3)=YEAR('New Hires Forecast'!$O$3),IF((T$5&lt;=12),(SUMPRODUCT(--('New Hires Forecast'!$F$5:$F$85="Dev Ops"),--('New Hires Forecast'!$H$5:$H$85&gt;='Dev Ops'!T$3),'New Hires Forecast'!$O$5:$O$85,'New Hires Forecast'!$L$5:$L$85)/12),0),IF(YEAR(T$3)=YEAR('New Hires Forecast'!$P$3),IF((T$5&lt;=12),(SUMPRODUCT(--('New Hires Forecast'!$F$5:$F$85="Dev Ops"),--('New Hires Forecast'!$H$5:$H$85&gt;='Dev Ops'!T$3),'New Hires Forecast'!$P$5:$P$85,'New Hires Forecast'!$L$5:$L$85)/12),0),IF(YEAR(T$3)=YEAR('New Hires Forecast'!$Q$3),IF((T$5&lt;=12),(SUMPRODUCT(--('New Hires Forecast'!$F$5:$F$85="Dev Ops"),--('New Hires Forecast'!$H$5:$H$85&gt;='Dev Ops'!T$3),'New Hires Forecast'!$Q$5:$Q$85,'New Hires Forecast'!$L$5:$L$85)/12),0),IF(YEAR(T$3)=YEAR('New Hires Forecast'!$R$3),IF((T$5&lt;=12),(SUMPRODUCT(--('New Hires Forecast'!$F$5:$F$85="Dev Ops"),--('New Hires Forecast'!$H$5:$H$85&gt;='Dev Ops'!T$3),'New Hires Forecast'!$R$5:$R$85,'New Hires Forecast'!$L$5:$L$85)/12),0),"New Year"))))),0)</f>
        <v>0</v>
      </c>
      <c r="U15" s="668">
        <f>IF(U$4="forecast",IF(YEAR(U$3)=YEAR('New Hires Forecast'!$N$3),IF((U$5&lt;=12),(SUMPRODUCT(--('New Hires Forecast'!$F$5:$F$85="Dev Ops"),--('New Hires Forecast'!$H$5:$H$85&gt;='Dev Ops'!U$3),'New Hires Forecast'!$N$5:$N$85,'New Hires Forecast'!$L$5:$L$85)/12),0),IF(YEAR(U$3)=YEAR('New Hires Forecast'!$O$3),IF((U$5&lt;=12),(SUMPRODUCT(--('New Hires Forecast'!$F$5:$F$85="Dev Ops"),--('New Hires Forecast'!$H$5:$H$85&gt;='Dev Ops'!U$3),'New Hires Forecast'!$O$5:$O$85,'New Hires Forecast'!$L$5:$L$85)/12),0),IF(YEAR(U$3)=YEAR('New Hires Forecast'!$P$3),IF((U$5&lt;=12),(SUMPRODUCT(--('New Hires Forecast'!$F$5:$F$85="Dev Ops"),--('New Hires Forecast'!$H$5:$H$85&gt;='Dev Ops'!U$3),'New Hires Forecast'!$P$5:$P$85,'New Hires Forecast'!$L$5:$L$85)/12),0),IF(YEAR(U$3)=YEAR('New Hires Forecast'!$Q$3),IF((U$5&lt;=12),(SUMPRODUCT(--('New Hires Forecast'!$F$5:$F$85="Dev Ops"),--('New Hires Forecast'!$H$5:$H$85&gt;='Dev Ops'!U$3),'New Hires Forecast'!$Q$5:$Q$85,'New Hires Forecast'!$L$5:$L$85)/12),0),IF(YEAR(U$3)=YEAR('New Hires Forecast'!$R$3),IF((U$5&lt;=12),(SUMPRODUCT(--('New Hires Forecast'!$F$5:$F$85="Dev Ops"),--('New Hires Forecast'!$H$5:$H$85&gt;='Dev Ops'!U$3),'New Hires Forecast'!$R$5:$R$85,'New Hires Forecast'!$L$5:$L$85)/12),0),"New Year"))))),0)</f>
        <v>0</v>
      </c>
      <c r="V15" s="668">
        <f>IF(V$4="forecast",IF(YEAR(V$3)=YEAR('New Hires Forecast'!$N$3),IF((V$5&lt;=12),(SUMPRODUCT(--('New Hires Forecast'!$F$5:$F$85="Dev Ops"),--('New Hires Forecast'!$H$5:$H$85&gt;='Dev Ops'!V$3),'New Hires Forecast'!$N$5:$N$85,'New Hires Forecast'!$L$5:$L$85)/12),0),IF(YEAR(V$3)=YEAR('New Hires Forecast'!$O$3),IF((V$5&lt;=12),(SUMPRODUCT(--('New Hires Forecast'!$F$5:$F$85="Dev Ops"),--('New Hires Forecast'!$H$5:$H$85&gt;='Dev Ops'!V$3),'New Hires Forecast'!$O$5:$O$85,'New Hires Forecast'!$L$5:$L$85)/12),0),IF(YEAR(V$3)=YEAR('New Hires Forecast'!$P$3),IF((V$5&lt;=12),(SUMPRODUCT(--('New Hires Forecast'!$F$5:$F$85="Dev Ops"),--('New Hires Forecast'!$H$5:$H$85&gt;='Dev Ops'!V$3),'New Hires Forecast'!$P$5:$P$85,'New Hires Forecast'!$L$5:$L$85)/12),0),IF(YEAR(V$3)=YEAR('New Hires Forecast'!$Q$3),IF((V$5&lt;=12),(SUMPRODUCT(--('New Hires Forecast'!$F$5:$F$85="Dev Ops"),--('New Hires Forecast'!$H$5:$H$85&gt;='Dev Ops'!V$3),'New Hires Forecast'!$Q$5:$Q$85,'New Hires Forecast'!$L$5:$L$85)/12),0),IF(YEAR(V$3)=YEAR('New Hires Forecast'!$R$3),IF((V$5&lt;=12),(SUMPRODUCT(--('New Hires Forecast'!$F$5:$F$85="Dev Ops"),--('New Hires Forecast'!$H$5:$H$85&gt;='Dev Ops'!V$3),'New Hires Forecast'!$R$5:$R$85,'New Hires Forecast'!$L$5:$L$85)/12),0),"New Year"))))),0)</f>
        <v>0</v>
      </c>
      <c r="W15" s="668">
        <f>IF(W$4="forecast",IF(YEAR(W$3)=YEAR('New Hires Forecast'!$N$3),IF((W$5&lt;=12),(SUMPRODUCT(--('New Hires Forecast'!$F$5:$F$85="Dev Ops"),--('New Hires Forecast'!$H$5:$H$85&gt;='Dev Ops'!W$3),'New Hires Forecast'!$N$5:$N$85,'New Hires Forecast'!$L$5:$L$85)/12),0),IF(YEAR(W$3)=YEAR('New Hires Forecast'!$O$3),IF((W$5&lt;=12),(SUMPRODUCT(--('New Hires Forecast'!$F$5:$F$85="Dev Ops"),--('New Hires Forecast'!$H$5:$H$85&gt;='Dev Ops'!W$3),'New Hires Forecast'!$O$5:$O$85,'New Hires Forecast'!$L$5:$L$85)/12),0),IF(YEAR(W$3)=YEAR('New Hires Forecast'!$P$3),IF((W$5&lt;=12),(SUMPRODUCT(--('New Hires Forecast'!$F$5:$F$85="Dev Ops"),--('New Hires Forecast'!$H$5:$H$85&gt;='Dev Ops'!W$3),'New Hires Forecast'!$P$5:$P$85,'New Hires Forecast'!$L$5:$L$85)/12),0),IF(YEAR(W$3)=YEAR('New Hires Forecast'!$Q$3),IF((W$5&lt;=12),(SUMPRODUCT(--('New Hires Forecast'!$F$5:$F$85="Dev Ops"),--('New Hires Forecast'!$H$5:$H$85&gt;='Dev Ops'!W$3),'New Hires Forecast'!$Q$5:$Q$85,'New Hires Forecast'!$L$5:$L$85)/12),0),IF(YEAR(W$3)=YEAR('New Hires Forecast'!$R$3),IF((W$5&lt;=12),(SUMPRODUCT(--('New Hires Forecast'!$F$5:$F$85="Dev Ops"),--('New Hires Forecast'!$H$5:$H$85&gt;='Dev Ops'!W$3),'New Hires Forecast'!$R$5:$R$85,'New Hires Forecast'!$L$5:$L$85)/12),0),"New Year"))))),0)</f>
        <v>0</v>
      </c>
      <c r="X15" s="668">
        <f>IF(X$4="forecast",IF(YEAR(X$3)=YEAR('New Hires Forecast'!$N$3),IF((X$5&lt;=12),(SUMPRODUCT(--('New Hires Forecast'!$F$5:$F$85="Dev Ops"),--('New Hires Forecast'!$H$5:$H$85&gt;='Dev Ops'!X$3),'New Hires Forecast'!$N$5:$N$85,'New Hires Forecast'!$L$5:$L$85)/12),0),IF(YEAR(X$3)=YEAR('New Hires Forecast'!$O$3),IF((X$5&lt;=12),(SUMPRODUCT(--('New Hires Forecast'!$F$5:$F$85="Dev Ops"),--('New Hires Forecast'!$H$5:$H$85&gt;='Dev Ops'!X$3),'New Hires Forecast'!$O$5:$O$85,'New Hires Forecast'!$L$5:$L$85)/12),0),IF(YEAR(X$3)=YEAR('New Hires Forecast'!$P$3),IF((X$5&lt;=12),(SUMPRODUCT(--('New Hires Forecast'!$F$5:$F$85="Dev Ops"),--('New Hires Forecast'!$H$5:$H$85&gt;='Dev Ops'!X$3),'New Hires Forecast'!$P$5:$P$85,'New Hires Forecast'!$L$5:$L$85)/12),0),IF(YEAR(X$3)=YEAR('New Hires Forecast'!$Q$3),IF((X$5&lt;=12),(SUMPRODUCT(--('New Hires Forecast'!$F$5:$F$85="Dev Ops"),--('New Hires Forecast'!$H$5:$H$85&gt;='Dev Ops'!X$3),'New Hires Forecast'!$Q$5:$Q$85,'New Hires Forecast'!$L$5:$L$85)/12),0),IF(YEAR(X$3)=YEAR('New Hires Forecast'!$R$3),IF((X$5&lt;=12),(SUMPRODUCT(--('New Hires Forecast'!$F$5:$F$85="Dev Ops"),--('New Hires Forecast'!$H$5:$H$85&gt;='Dev Ops'!X$3),'New Hires Forecast'!$R$5:$R$85,'New Hires Forecast'!$L$5:$L$85)/12),0),"New Year"))))),0)</f>
        <v>0</v>
      </c>
      <c r="Y15" s="668">
        <f>IF(Y$4="forecast",IF(YEAR(Y$3)=YEAR('New Hires Forecast'!$N$3),IF((Y$5&lt;=12),(SUMPRODUCT(--('New Hires Forecast'!$F$5:$F$85="Dev Ops"),--('New Hires Forecast'!$H$5:$H$85&gt;='Dev Ops'!Y$3),'New Hires Forecast'!$N$5:$N$85,'New Hires Forecast'!$L$5:$L$85)/12),0),IF(YEAR(Y$3)=YEAR('New Hires Forecast'!$O$3),IF((Y$5&lt;=12),(SUMPRODUCT(--('New Hires Forecast'!$F$5:$F$85="Dev Ops"),--('New Hires Forecast'!$H$5:$H$85&gt;='Dev Ops'!Y$3),'New Hires Forecast'!$O$5:$O$85,'New Hires Forecast'!$L$5:$L$85)/12),0),IF(YEAR(Y$3)=YEAR('New Hires Forecast'!$P$3),IF((Y$5&lt;=12),(SUMPRODUCT(--('New Hires Forecast'!$F$5:$F$85="Dev Ops"),--('New Hires Forecast'!$H$5:$H$85&gt;='Dev Ops'!Y$3),'New Hires Forecast'!$P$5:$P$85,'New Hires Forecast'!$L$5:$L$85)/12),0),IF(YEAR(Y$3)=YEAR('New Hires Forecast'!$Q$3),IF((Y$5&lt;=12),(SUMPRODUCT(--('New Hires Forecast'!$F$5:$F$85="Dev Ops"),--('New Hires Forecast'!$H$5:$H$85&gt;='Dev Ops'!Y$3),'New Hires Forecast'!$Q$5:$Q$85,'New Hires Forecast'!$L$5:$L$85)/12),0),IF(YEAR(Y$3)=YEAR('New Hires Forecast'!$R$3),IF((Y$5&lt;=12),(SUMPRODUCT(--('New Hires Forecast'!$F$5:$F$85="Dev Ops"),--('New Hires Forecast'!$H$5:$H$85&gt;='Dev Ops'!Y$3),'New Hires Forecast'!$R$5:$R$85,'New Hires Forecast'!$L$5:$L$85)/12),0),"New Year"))))),0)</f>
        <v>0</v>
      </c>
      <c r="Z15" s="668">
        <f>IF(Z$4="forecast",IF(YEAR(Z$3)=YEAR('New Hires Forecast'!$N$3),IF((Z$5&lt;=12),(SUMPRODUCT(--('New Hires Forecast'!$F$5:$F$85="Dev Ops"),--('New Hires Forecast'!$H$5:$H$85&gt;='Dev Ops'!Z$3),'New Hires Forecast'!$N$5:$N$85,'New Hires Forecast'!$L$5:$L$85)/12),0),IF(YEAR(Z$3)=YEAR('New Hires Forecast'!$O$3),IF((Z$5&lt;=12),(SUMPRODUCT(--('New Hires Forecast'!$F$5:$F$85="Dev Ops"),--('New Hires Forecast'!$H$5:$H$85&gt;='Dev Ops'!Z$3),'New Hires Forecast'!$O$5:$O$85,'New Hires Forecast'!$L$5:$L$85)/12),0),IF(YEAR(Z$3)=YEAR('New Hires Forecast'!$P$3),IF((Z$5&lt;=12),(SUMPRODUCT(--('New Hires Forecast'!$F$5:$F$85="Dev Ops"),--('New Hires Forecast'!$H$5:$H$85&gt;='Dev Ops'!Z$3),'New Hires Forecast'!$P$5:$P$85,'New Hires Forecast'!$L$5:$L$85)/12),0),IF(YEAR(Z$3)=YEAR('New Hires Forecast'!$Q$3),IF((Z$5&lt;=12),(SUMPRODUCT(--('New Hires Forecast'!$F$5:$F$85="Dev Ops"),--('New Hires Forecast'!$H$5:$H$85&gt;='Dev Ops'!Z$3),'New Hires Forecast'!$Q$5:$Q$85,'New Hires Forecast'!$L$5:$L$85)/12),0),IF(YEAR(Z$3)=YEAR('New Hires Forecast'!$R$3),IF((Z$5&lt;=12),(SUMPRODUCT(--('New Hires Forecast'!$F$5:$F$85="Dev Ops"),--('New Hires Forecast'!$H$5:$H$85&gt;='Dev Ops'!Z$3),'New Hires Forecast'!$R$5:$R$85,'New Hires Forecast'!$L$5:$L$85)/12),0),"New Year"))))),0)</f>
        <v>0</v>
      </c>
      <c r="AA15" s="668">
        <f>IF(AA$4="forecast",IF(YEAR(AA$3)=YEAR('New Hires Forecast'!$N$3),IF((AA$5&lt;=12),(SUMPRODUCT(--('New Hires Forecast'!$F$5:$F$85="Dev Ops"),--('New Hires Forecast'!$H$5:$H$85&gt;='Dev Ops'!AA$3),'New Hires Forecast'!$N$5:$N$85,'New Hires Forecast'!$L$5:$L$85)/12),0),IF(YEAR(AA$3)=YEAR('New Hires Forecast'!$O$3),IF((AA$5&lt;=12),(SUMPRODUCT(--('New Hires Forecast'!$F$5:$F$85="Dev Ops"),--('New Hires Forecast'!$H$5:$H$85&gt;='Dev Ops'!AA$3),'New Hires Forecast'!$O$5:$O$85,'New Hires Forecast'!$L$5:$L$85)/12),0),IF(YEAR(AA$3)=YEAR('New Hires Forecast'!$P$3),IF((AA$5&lt;=12),(SUMPRODUCT(--('New Hires Forecast'!$F$5:$F$85="Dev Ops"),--('New Hires Forecast'!$H$5:$H$85&gt;='Dev Ops'!AA$3),'New Hires Forecast'!$P$5:$P$85,'New Hires Forecast'!$L$5:$L$85)/12),0),IF(YEAR(AA$3)=YEAR('New Hires Forecast'!$Q$3),IF((AA$5&lt;=12),(SUMPRODUCT(--('New Hires Forecast'!$F$5:$F$85="Dev Ops"),--('New Hires Forecast'!$H$5:$H$85&gt;='Dev Ops'!AA$3),'New Hires Forecast'!$Q$5:$Q$85,'New Hires Forecast'!$L$5:$L$85)/12),0),IF(YEAR(AA$3)=YEAR('New Hires Forecast'!$R$3),IF((AA$5&lt;=12),(SUMPRODUCT(--('New Hires Forecast'!$F$5:$F$85="Dev Ops"),--('New Hires Forecast'!$H$5:$H$85&gt;='Dev Ops'!AA$3),'New Hires Forecast'!$R$5:$R$85,'New Hires Forecast'!$L$5:$L$85)/12),0),"New Year"))))),0)</f>
        <v>0</v>
      </c>
      <c r="AB15" s="668">
        <f>IF(AB$4="forecast",IF(YEAR(AB$3)=YEAR('New Hires Forecast'!$N$3),IF((AB$5&lt;=12),(SUMPRODUCT(--('New Hires Forecast'!$F$5:$F$85="Dev Ops"),--('New Hires Forecast'!$H$5:$H$85&gt;='Dev Ops'!AB$3),'New Hires Forecast'!$N$5:$N$85,'New Hires Forecast'!$L$5:$L$85)/12),0),IF(YEAR(AB$3)=YEAR('New Hires Forecast'!$O$3),IF((AB$5&lt;=12),(SUMPRODUCT(--('New Hires Forecast'!$F$5:$F$85="Dev Ops"),--('New Hires Forecast'!$H$5:$H$85&gt;='Dev Ops'!AB$3),'New Hires Forecast'!$O$5:$O$85,'New Hires Forecast'!$L$5:$L$85)/12),0),IF(YEAR(AB$3)=YEAR('New Hires Forecast'!$P$3),IF((AB$5&lt;=12),(SUMPRODUCT(--('New Hires Forecast'!$F$5:$F$85="Dev Ops"),--('New Hires Forecast'!$H$5:$H$85&gt;='Dev Ops'!AB$3),'New Hires Forecast'!$P$5:$P$85,'New Hires Forecast'!$L$5:$L$85)/12),0),IF(YEAR(AB$3)=YEAR('New Hires Forecast'!$Q$3),IF((AB$5&lt;=12),(SUMPRODUCT(--('New Hires Forecast'!$F$5:$F$85="Dev Ops"),--('New Hires Forecast'!$H$5:$H$85&gt;='Dev Ops'!AB$3),'New Hires Forecast'!$Q$5:$Q$85,'New Hires Forecast'!$L$5:$L$85)/12),0),IF(YEAR(AB$3)=YEAR('New Hires Forecast'!$R$3),IF((AB$5&lt;=12),(SUMPRODUCT(--('New Hires Forecast'!$F$5:$F$85="Dev Ops"),--('New Hires Forecast'!$H$5:$H$85&gt;='Dev Ops'!AB$3),'New Hires Forecast'!$R$5:$R$85,'New Hires Forecast'!$L$5:$L$85)/12),0),"New Year"))))),0)</f>
        <v>0</v>
      </c>
      <c r="AC15" s="668">
        <f>IF(AC$4="forecast",IF(YEAR(AC$3)=YEAR('New Hires Forecast'!$N$3),IF((AC$5&lt;=12),(SUMPRODUCT(--('New Hires Forecast'!$F$5:$F$85="Dev Ops"),--('New Hires Forecast'!$H$5:$H$85&gt;='Dev Ops'!AC$3),'New Hires Forecast'!$N$5:$N$85,'New Hires Forecast'!$L$5:$L$85)/12),0),IF(YEAR(AC$3)=YEAR('New Hires Forecast'!$O$3),IF((AC$5&lt;=12),(SUMPRODUCT(--('New Hires Forecast'!$F$5:$F$85="Dev Ops"),--('New Hires Forecast'!$H$5:$H$85&gt;='Dev Ops'!AC$3),'New Hires Forecast'!$O$5:$O$85,'New Hires Forecast'!$L$5:$L$85)/12),0),IF(YEAR(AC$3)=YEAR('New Hires Forecast'!$P$3),IF((AC$5&lt;=12),(SUMPRODUCT(--('New Hires Forecast'!$F$5:$F$85="Dev Ops"),--('New Hires Forecast'!$H$5:$H$85&gt;='Dev Ops'!AC$3),'New Hires Forecast'!$P$5:$P$85,'New Hires Forecast'!$L$5:$L$85)/12),0),IF(YEAR(AC$3)=YEAR('New Hires Forecast'!$Q$3),IF((AC$5&lt;=12),(SUMPRODUCT(--('New Hires Forecast'!$F$5:$F$85="Dev Ops"),--('New Hires Forecast'!$H$5:$H$85&gt;='Dev Ops'!AC$3),'New Hires Forecast'!$Q$5:$Q$85,'New Hires Forecast'!$L$5:$L$85)/12),0),IF(YEAR(AC$3)=YEAR('New Hires Forecast'!$R$3),IF((AC$5&lt;=12),(SUMPRODUCT(--('New Hires Forecast'!$F$5:$F$85="Dev Ops"),--('New Hires Forecast'!$H$5:$H$85&gt;='Dev Ops'!AC$3),'New Hires Forecast'!$R$5:$R$85,'New Hires Forecast'!$L$5:$L$85)/12),0),"New Year"))))),0)</f>
        <v>0</v>
      </c>
      <c r="AD15" s="668">
        <f>IF(AD$4="forecast",IF(YEAR(AD$3)=YEAR('New Hires Forecast'!$N$3),IF((AD$5&lt;=12),(SUMPRODUCT(--('New Hires Forecast'!$F$5:$F$85="Dev Ops"),--('New Hires Forecast'!$H$5:$H$85&gt;='Dev Ops'!AD$3),'New Hires Forecast'!$N$5:$N$85,'New Hires Forecast'!$L$5:$L$85)/12),0),IF(YEAR(AD$3)=YEAR('New Hires Forecast'!$O$3),IF((AD$5&lt;=12),(SUMPRODUCT(--('New Hires Forecast'!$F$5:$F$85="Dev Ops"),--('New Hires Forecast'!$H$5:$H$85&gt;='Dev Ops'!AD$3),'New Hires Forecast'!$O$5:$O$85,'New Hires Forecast'!$L$5:$L$85)/12),0),IF(YEAR(AD$3)=YEAR('New Hires Forecast'!$P$3),IF((AD$5&lt;=12),(SUMPRODUCT(--('New Hires Forecast'!$F$5:$F$85="Dev Ops"),--('New Hires Forecast'!$H$5:$H$85&gt;='Dev Ops'!AD$3),'New Hires Forecast'!$P$5:$P$85,'New Hires Forecast'!$L$5:$L$85)/12),0),IF(YEAR(AD$3)=YEAR('New Hires Forecast'!$Q$3),IF((AD$5&lt;=12),(SUMPRODUCT(--('New Hires Forecast'!$F$5:$F$85="Dev Ops"),--('New Hires Forecast'!$H$5:$H$85&gt;='Dev Ops'!AD$3),'New Hires Forecast'!$Q$5:$Q$85,'New Hires Forecast'!$L$5:$L$85)/12),0),IF(YEAR(AD$3)=YEAR('New Hires Forecast'!$R$3),IF((AD$5&lt;=12),(SUMPRODUCT(--('New Hires Forecast'!$F$5:$F$85="Dev Ops"),--('New Hires Forecast'!$H$5:$H$85&gt;='Dev Ops'!AD$3),'New Hires Forecast'!$R$5:$R$85,'New Hires Forecast'!$L$5:$L$85)/12),0),"New Year"))))),0)</f>
        <v>2113.3333333333335</v>
      </c>
      <c r="AE15" s="668">
        <f>IF(AE$4="forecast",IF(YEAR(AE$3)=YEAR('New Hires Forecast'!$N$3),IF((AE$5&lt;=12),(SUMPRODUCT(--('New Hires Forecast'!$F$5:$F$85="Dev Ops"),--('New Hires Forecast'!$H$5:$H$85&gt;='Dev Ops'!AE$3),'New Hires Forecast'!$N$5:$N$85,'New Hires Forecast'!$L$5:$L$85)/12),0),IF(YEAR(AE$3)=YEAR('New Hires Forecast'!$O$3),IF((AE$5&lt;=12),(SUMPRODUCT(--('New Hires Forecast'!$F$5:$F$85="Dev Ops"),--('New Hires Forecast'!$H$5:$H$85&gt;='Dev Ops'!AE$3),'New Hires Forecast'!$O$5:$O$85,'New Hires Forecast'!$L$5:$L$85)/12),0),IF(YEAR(AE$3)=YEAR('New Hires Forecast'!$P$3),IF((AE$5&lt;=12),(SUMPRODUCT(--('New Hires Forecast'!$F$5:$F$85="Dev Ops"),--('New Hires Forecast'!$H$5:$H$85&gt;='Dev Ops'!AE$3),'New Hires Forecast'!$P$5:$P$85,'New Hires Forecast'!$L$5:$L$85)/12),0),IF(YEAR(AE$3)=YEAR('New Hires Forecast'!$Q$3),IF((AE$5&lt;=12),(SUMPRODUCT(--('New Hires Forecast'!$F$5:$F$85="Dev Ops"),--('New Hires Forecast'!$H$5:$H$85&gt;='Dev Ops'!AE$3),'New Hires Forecast'!$Q$5:$Q$85,'New Hires Forecast'!$L$5:$L$85)/12),0),IF(YEAR(AE$3)=YEAR('New Hires Forecast'!$R$3),IF((AE$5&lt;=12),(SUMPRODUCT(--('New Hires Forecast'!$F$5:$F$85="Dev Ops"),--('New Hires Forecast'!$H$5:$H$85&gt;='Dev Ops'!AE$3),'New Hires Forecast'!$R$5:$R$85,'New Hires Forecast'!$L$5:$L$85)/12),0),"New Year"))))),0)</f>
        <v>2113.3333333333335</v>
      </c>
      <c r="AF15" s="668">
        <f>IF(AF$4="forecast",IF(YEAR(AF$3)=YEAR('New Hires Forecast'!$N$3),IF((AF$5&lt;=12),(SUMPRODUCT(--('New Hires Forecast'!$F$5:$F$85="Dev Ops"),--('New Hires Forecast'!$H$5:$H$85&gt;='Dev Ops'!AF$3),'New Hires Forecast'!$N$5:$N$85,'New Hires Forecast'!$L$5:$L$85)/12),0),IF(YEAR(AF$3)=YEAR('New Hires Forecast'!$O$3),IF((AF$5&lt;=12),(SUMPRODUCT(--('New Hires Forecast'!$F$5:$F$85="Dev Ops"),--('New Hires Forecast'!$H$5:$H$85&gt;='Dev Ops'!AF$3),'New Hires Forecast'!$O$5:$O$85,'New Hires Forecast'!$L$5:$L$85)/12),0),IF(YEAR(AF$3)=YEAR('New Hires Forecast'!$P$3),IF((AF$5&lt;=12),(SUMPRODUCT(--('New Hires Forecast'!$F$5:$F$85="Dev Ops"),--('New Hires Forecast'!$H$5:$H$85&gt;='Dev Ops'!AF$3),'New Hires Forecast'!$P$5:$P$85,'New Hires Forecast'!$L$5:$L$85)/12),0),IF(YEAR(AF$3)=YEAR('New Hires Forecast'!$Q$3),IF((AF$5&lt;=12),(SUMPRODUCT(--('New Hires Forecast'!$F$5:$F$85="Dev Ops"),--('New Hires Forecast'!$H$5:$H$85&gt;='Dev Ops'!AF$3),'New Hires Forecast'!$Q$5:$Q$85,'New Hires Forecast'!$L$5:$L$85)/12),0),IF(YEAR(AF$3)=YEAR('New Hires Forecast'!$R$3),IF((AF$5&lt;=12),(SUMPRODUCT(--('New Hires Forecast'!$F$5:$F$85="Dev Ops"),--('New Hires Forecast'!$H$5:$H$85&gt;='Dev Ops'!AF$3),'New Hires Forecast'!$R$5:$R$85,'New Hires Forecast'!$L$5:$L$85)/12),0),"New Year"))))),0)</f>
        <v>2113.3333333333335</v>
      </c>
      <c r="AG15" s="668">
        <f>IF(AG$4="forecast",IF(YEAR(AG$3)=YEAR('New Hires Forecast'!$N$3),IF((AG$5&lt;=12),(SUMPRODUCT(--('New Hires Forecast'!$F$5:$F$85="Dev Ops"),--('New Hires Forecast'!$H$5:$H$85&gt;='Dev Ops'!AG$3),'New Hires Forecast'!$N$5:$N$85,'New Hires Forecast'!$L$5:$L$85)/12),0),IF(YEAR(AG$3)=YEAR('New Hires Forecast'!$O$3),IF((AG$5&lt;=12),(SUMPRODUCT(--('New Hires Forecast'!$F$5:$F$85="Dev Ops"),--('New Hires Forecast'!$H$5:$H$85&gt;='Dev Ops'!AG$3),'New Hires Forecast'!$O$5:$O$85,'New Hires Forecast'!$L$5:$L$85)/12),0),IF(YEAR(AG$3)=YEAR('New Hires Forecast'!$P$3),IF((AG$5&lt;=12),(SUMPRODUCT(--('New Hires Forecast'!$F$5:$F$85="Dev Ops"),--('New Hires Forecast'!$H$5:$H$85&gt;='Dev Ops'!AG$3),'New Hires Forecast'!$P$5:$P$85,'New Hires Forecast'!$L$5:$L$85)/12),0),IF(YEAR(AG$3)=YEAR('New Hires Forecast'!$Q$3),IF((AG$5&lt;=12),(SUMPRODUCT(--('New Hires Forecast'!$F$5:$F$85="Dev Ops"),--('New Hires Forecast'!$H$5:$H$85&gt;='Dev Ops'!AG$3),'New Hires Forecast'!$Q$5:$Q$85,'New Hires Forecast'!$L$5:$L$85)/12),0),IF(YEAR(AG$3)=YEAR('New Hires Forecast'!$R$3),IF((AG$5&lt;=12),(SUMPRODUCT(--('New Hires Forecast'!$F$5:$F$85="Dev Ops"),--('New Hires Forecast'!$H$5:$H$85&gt;='Dev Ops'!AG$3),'New Hires Forecast'!$R$5:$R$85,'New Hires Forecast'!$L$5:$L$85)/12),0),"New Year"))))),0)</f>
        <v>2113.3333333333335</v>
      </c>
      <c r="AH15" s="668">
        <f>IF(AH$4="forecast",IF(YEAR(AH$3)=YEAR('New Hires Forecast'!$N$3),IF((AH$5&lt;=12),(SUMPRODUCT(--('New Hires Forecast'!$F$5:$F$85="Dev Ops"),--('New Hires Forecast'!$H$5:$H$85&gt;='Dev Ops'!AH$3),'New Hires Forecast'!$N$5:$N$85,'New Hires Forecast'!$L$5:$L$85)/12),0),IF(YEAR(AH$3)=YEAR('New Hires Forecast'!$O$3),IF((AH$5&lt;=12),(SUMPRODUCT(--('New Hires Forecast'!$F$5:$F$85="Dev Ops"),--('New Hires Forecast'!$H$5:$H$85&gt;='Dev Ops'!AH$3),'New Hires Forecast'!$O$5:$O$85,'New Hires Forecast'!$L$5:$L$85)/12),0),IF(YEAR(AH$3)=YEAR('New Hires Forecast'!$P$3),IF((AH$5&lt;=12),(SUMPRODUCT(--('New Hires Forecast'!$F$5:$F$85="Dev Ops"),--('New Hires Forecast'!$H$5:$H$85&gt;='Dev Ops'!AH$3),'New Hires Forecast'!$P$5:$P$85,'New Hires Forecast'!$L$5:$L$85)/12),0),IF(YEAR(AH$3)=YEAR('New Hires Forecast'!$Q$3),IF((AH$5&lt;=12),(SUMPRODUCT(--('New Hires Forecast'!$F$5:$F$85="Dev Ops"),--('New Hires Forecast'!$H$5:$H$85&gt;='Dev Ops'!AH$3),'New Hires Forecast'!$Q$5:$Q$85,'New Hires Forecast'!$L$5:$L$85)/12),0),IF(YEAR(AH$3)=YEAR('New Hires Forecast'!$R$3),IF((AH$5&lt;=12),(SUMPRODUCT(--('New Hires Forecast'!$F$5:$F$85="Dev Ops"),--('New Hires Forecast'!$H$5:$H$85&gt;='Dev Ops'!AH$3),'New Hires Forecast'!$R$5:$R$85,'New Hires Forecast'!$L$5:$L$85)/12),0),"New Year"))))),0)</f>
        <v>2113.3333333333335</v>
      </c>
      <c r="AI15" s="668">
        <f>IF(AI$4="forecast",IF(YEAR(AI$3)=YEAR('New Hires Forecast'!$N$3),IF((AI$5&lt;=12),(SUMPRODUCT(--('New Hires Forecast'!$F$5:$F$85="Dev Ops"),--('New Hires Forecast'!$H$5:$H$85&gt;='Dev Ops'!AI$3),'New Hires Forecast'!$N$5:$N$85,'New Hires Forecast'!$L$5:$L$85)/12),0),IF(YEAR(AI$3)=YEAR('New Hires Forecast'!$O$3),IF((AI$5&lt;=12),(SUMPRODUCT(--('New Hires Forecast'!$F$5:$F$85="Dev Ops"),--('New Hires Forecast'!$H$5:$H$85&gt;='Dev Ops'!AI$3),'New Hires Forecast'!$O$5:$O$85,'New Hires Forecast'!$L$5:$L$85)/12),0),IF(YEAR(AI$3)=YEAR('New Hires Forecast'!$P$3),IF((AI$5&lt;=12),(SUMPRODUCT(--('New Hires Forecast'!$F$5:$F$85="Dev Ops"),--('New Hires Forecast'!$H$5:$H$85&gt;='Dev Ops'!AI$3),'New Hires Forecast'!$P$5:$P$85,'New Hires Forecast'!$L$5:$L$85)/12),0),IF(YEAR(AI$3)=YEAR('New Hires Forecast'!$Q$3),IF((AI$5&lt;=12),(SUMPRODUCT(--('New Hires Forecast'!$F$5:$F$85="Dev Ops"),--('New Hires Forecast'!$H$5:$H$85&gt;='Dev Ops'!AI$3),'New Hires Forecast'!$Q$5:$Q$85,'New Hires Forecast'!$L$5:$L$85)/12),0),IF(YEAR(AI$3)=YEAR('New Hires Forecast'!$R$3),IF((AI$5&lt;=12),(SUMPRODUCT(--('New Hires Forecast'!$F$5:$F$85="Dev Ops"),--('New Hires Forecast'!$H$5:$H$85&gt;='Dev Ops'!AI$3),'New Hires Forecast'!$R$5:$R$85,'New Hires Forecast'!$L$5:$L$85)/12),0),"New Year"))))),0)</f>
        <v>2083.3333333333335</v>
      </c>
      <c r="AJ15" s="668">
        <f>IF(AJ$4="forecast",IF(YEAR(AJ$3)=YEAR('New Hires Forecast'!$N$3),IF((AJ$5&lt;=12),(SUMPRODUCT(--('New Hires Forecast'!$F$5:$F$85="Dev Ops"),--('New Hires Forecast'!$H$5:$H$85&gt;='Dev Ops'!AJ$3),'New Hires Forecast'!$N$5:$N$85,'New Hires Forecast'!$L$5:$L$85)/12),0),IF(YEAR(AJ$3)=YEAR('New Hires Forecast'!$O$3),IF((AJ$5&lt;=12),(SUMPRODUCT(--('New Hires Forecast'!$F$5:$F$85="Dev Ops"),--('New Hires Forecast'!$H$5:$H$85&gt;='Dev Ops'!AJ$3),'New Hires Forecast'!$O$5:$O$85,'New Hires Forecast'!$L$5:$L$85)/12),0),IF(YEAR(AJ$3)=YEAR('New Hires Forecast'!$P$3),IF((AJ$5&lt;=12),(SUMPRODUCT(--('New Hires Forecast'!$F$5:$F$85="Dev Ops"),--('New Hires Forecast'!$H$5:$H$85&gt;='Dev Ops'!AJ$3),'New Hires Forecast'!$P$5:$P$85,'New Hires Forecast'!$L$5:$L$85)/12),0),IF(YEAR(AJ$3)=YEAR('New Hires Forecast'!$Q$3),IF((AJ$5&lt;=12),(SUMPRODUCT(--('New Hires Forecast'!$F$5:$F$85="Dev Ops"),--('New Hires Forecast'!$H$5:$H$85&gt;='Dev Ops'!AJ$3),'New Hires Forecast'!$Q$5:$Q$85,'New Hires Forecast'!$L$5:$L$85)/12),0),IF(YEAR(AJ$3)=YEAR('New Hires Forecast'!$R$3),IF((AJ$5&lt;=12),(SUMPRODUCT(--('New Hires Forecast'!$F$5:$F$85="Dev Ops"),--('New Hires Forecast'!$H$5:$H$85&gt;='Dev Ops'!AJ$3),'New Hires Forecast'!$R$5:$R$85,'New Hires Forecast'!$L$5:$L$85)/12),0),"New Year"))))),0)</f>
        <v>2083.3333333333335</v>
      </c>
      <c r="AK15" s="668">
        <f>IF(AK$4="forecast",IF(YEAR(AK$3)=YEAR('New Hires Forecast'!$N$3),IF((AK$5&lt;=12),(SUMPRODUCT(--('New Hires Forecast'!$F$5:$F$85="Dev Ops"),--('New Hires Forecast'!$H$5:$H$85&gt;='Dev Ops'!AK$3),'New Hires Forecast'!$N$5:$N$85,'New Hires Forecast'!$L$5:$L$85)/12),0),IF(YEAR(AK$3)=YEAR('New Hires Forecast'!$O$3),IF((AK$5&lt;=12),(SUMPRODUCT(--('New Hires Forecast'!$F$5:$F$85="Dev Ops"),--('New Hires Forecast'!$H$5:$H$85&gt;='Dev Ops'!AK$3),'New Hires Forecast'!$O$5:$O$85,'New Hires Forecast'!$L$5:$L$85)/12),0),IF(YEAR(AK$3)=YEAR('New Hires Forecast'!$P$3),IF((AK$5&lt;=12),(SUMPRODUCT(--('New Hires Forecast'!$F$5:$F$85="Dev Ops"),--('New Hires Forecast'!$H$5:$H$85&gt;='Dev Ops'!AK$3),'New Hires Forecast'!$P$5:$P$85,'New Hires Forecast'!$L$5:$L$85)/12),0),IF(YEAR(AK$3)=YEAR('New Hires Forecast'!$Q$3),IF((AK$5&lt;=12),(SUMPRODUCT(--('New Hires Forecast'!$F$5:$F$85="Dev Ops"),--('New Hires Forecast'!$H$5:$H$85&gt;='Dev Ops'!AK$3),'New Hires Forecast'!$Q$5:$Q$85,'New Hires Forecast'!$L$5:$L$85)/12),0),IF(YEAR(AK$3)=YEAR('New Hires Forecast'!$R$3),IF((AK$5&lt;=12),(SUMPRODUCT(--('New Hires Forecast'!$F$5:$F$85="Dev Ops"),--('New Hires Forecast'!$H$5:$H$85&gt;='Dev Ops'!AK$3),'New Hires Forecast'!$R$5:$R$85,'New Hires Forecast'!$L$5:$L$85)/12),0),"New Year"))))),0)</f>
        <v>2083.3333333333335</v>
      </c>
      <c r="AL15" s="668">
        <f>IF(AL$4="forecast",IF(YEAR(AL$3)=YEAR('New Hires Forecast'!$N$3),IF((AL$5&lt;=12),(SUMPRODUCT(--('New Hires Forecast'!$F$5:$F$85="Dev Ops"),--('New Hires Forecast'!$H$5:$H$85&gt;='Dev Ops'!AL$3),'New Hires Forecast'!$N$5:$N$85,'New Hires Forecast'!$L$5:$L$85)/12),0),IF(YEAR(AL$3)=YEAR('New Hires Forecast'!$O$3),IF((AL$5&lt;=12),(SUMPRODUCT(--('New Hires Forecast'!$F$5:$F$85="Dev Ops"),--('New Hires Forecast'!$H$5:$H$85&gt;='Dev Ops'!AL$3),'New Hires Forecast'!$O$5:$O$85,'New Hires Forecast'!$L$5:$L$85)/12),0),IF(YEAR(AL$3)=YEAR('New Hires Forecast'!$P$3),IF((AL$5&lt;=12),(SUMPRODUCT(--('New Hires Forecast'!$F$5:$F$85="Dev Ops"),--('New Hires Forecast'!$H$5:$H$85&gt;='Dev Ops'!AL$3),'New Hires Forecast'!$P$5:$P$85,'New Hires Forecast'!$L$5:$L$85)/12),0),IF(YEAR(AL$3)=YEAR('New Hires Forecast'!$Q$3),IF((AL$5&lt;=12),(SUMPRODUCT(--('New Hires Forecast'!$F$5:$F$85="Dev Ops"),--('New Hires Forecast'!$H$5:$H$85&gt;='Dev Ops'!AL$3),'New Hires Forecast'!$Q$5:$Q$85,'New Hires Forecast'!$L$5:$L$85)/12),0),IF(YEAR(AL$3)=YEAR('New Hires Forecast'!$R$3),IF((AL$5&lt;=12),(SUMPRODUCT(--('New Hires Forecast'!$F$5:$F$85="Dev Ops"),--('New Hires Forecast'!$H$5:$H$85&gt;='Dev Ops'!AL$3),'New Hires Forecast'!$R$5:$R$85,'New Hires Forecast'!$L$5:$L$85)/12),0),"New Year"))))),0)</f>
        <v>2083.3333333333335</v>
      </c>
      <c r="AM15" s="668">
        <f>IF(AM$4="forecast",IF(YEAR(AM$3)=YEAR('New Hires Forecast'!$N$3),IF((AM$5&lt;=12),(SUMPRODUCT(--('New Hires Forecast'!$F$5:$F$85="Dev Ops"),--('New Hires Forecast'!$H$5:$H$85&gt;='Dev Ops'!AM$3),'New Hires Forecast'!$N$5:$N$85,'New Hires Forecast'!$L$5:$L$85)/12),0),IF(YEAR(AM$3)=YEAR('New Hires Forecast'!$O$3),IF((AM$5&lt;=12),(SUMPRODUCT(--('New Hires Forecast'!$F$5:$F$85="Dev Ops"),--('New Hires Forecast'!$H$5:$H$85&gt;='Dev Ops'!AM$3),'New Hires Forecast'!$O$5:$O$85,'New Hires Forecast'!$L$5:$L$85)/12),0),IF(YEAR(AM$3)=YEAR('New Hires Forecast'!$P$3),IF((AM$5&lt;=12),(SUMPRODUCT(--('New Hires Forecast'!$F$5:$F$85="Dev Ops"),--('New Hires Forecast'!$H$5:$H$85&gt;='Dev Ops'!AM$3),'New Hires Forecast'!$P$5:$P$85,'New Hires Forecast'!$L$5:$L$85)/12),0),IF(YEAR(AM$3)=YEAR('New Hires Forecast'!$Q$3),IF((AM$5&lt;=12),(SUMPRODUCT(--('New Hires Forecast'!$F$5:$F$85="Dev Ops"),--('New Hires Forecast'!$H$5:$H$85&gt;='Dev Ops'!AM$3),'New Hires Forecast'!$Q$5:$Q$85,'New Hires Forecast'!$L$5:$L$85)/12),0),IF(YEAR(AM$3)=YEAR('New Hires Forecast'!$R$3),IF((AM$5&lt;=12),(SUMPRODUCT(--('New Hires Forecast'!$F$5:$F$85="Dev Ops"),--('New Hires Forecast'!$H$5:$H$85&gt;='Dev Ops'!AM$3),'New Hires Forecast'!$R$5:$R$85,'New Hires Forecast'!$L$5:$L$85)/12),0),"New Year"))))),0)</f>
        <v>2145.8333333333335</v>
      </c>
      <c r="AN15" s="668">
        <f>IF(AN$4="forecast",IF(YEAR(AN$3)=YEAR('New Hires Forecast'!$N$3),IF((AN$5&lt;=12),(SUMPRODUCT(--('New Hires Forecast'!$F$5:$F$85="Dev Ops"),--('New Hires Forecast'!$H$5:$H$85&gt;='Dev Ops'!AN$3),'New Hires Forecast'!$N$5:$N$85,'New Hires Forecast'!$L$5:$L$85)/12),0),IF(YEAR(AN$3)=YEAR('New Hires Forecast'!$O$3),IF((AN$5&lt;=12),(SUMPRODUCT(--('New Hires Forecast'!$F$5:$F$85="Dev Ops"),--('New Hires Forecast'!$H$5:$H$85&gt;='Dev Ops'!AN$3),'New Hires Forecast'!$O$5:$O$85,'New Hires Forecast'!$L$5:$L$85)/12),0),IF(YEAR(AN$3)=YEAR('New Hires Forecast'!$P$3),IF((AN$5&lt;=12),(SUMPRODUCT(--('New Hires Forecast'!$F$5:$F$85="Dev Ops"),--('New Hires Forecast'!$H$5:$H$85&gt;='Dev Ops'!AN$3),'New Hires Forecast'!$P$5:$P$85,'New Hires Forecast'!$L$5:$L$85)/12),0),IF(YEAR(AN$3)=YEAR('New Hires Forecast'!$Q$3),IF((AN$5&lt;=12),(SUMPRODUCT(--('New Hires Forecast'!$F$5:$F$85="Dev Ops"),--('New Hires Forecast'!$H$5:$H$85&gt;='Dev Ops'!AN$3),'New Hires Forecast'!$Q$5:$Q$85,'New Hires Forecast'!$L$5:$L$85)/12),0),IF(YEAR(AN$3)=YEAR('New Hires Forecast'!$R$3),IF((AN$5&lt;=12),(SUMPRODUCT(--('New Hires Forecast'!$F$5:$F$85="Dev Ops"),--('New Hires Forecast'!$H$5:$H$85&gt;='Dev Ops'!AN$3),'New Hires Forecast'!$R$5:$R$85,'New Hires Forecast'!$L$5:$L$85)/12),0),"New Year"))))),0)</f>
        <v>2145.8333333333335</v>
      </c>
      <c r="AO15" s="668">
        <f>IF(AO$4="forecast",IF(YEAR(AO$3)=YEAR('New Hires Forecast'!$N$3),IF((AO$5&lt;=12),(SUMPRODUCT(--('New Hires Forecast'!$F$5:$F$85="Dev Ops"),--('New Hires Forecast'!$H$5:$H$85&gt;='Dev Ops'!AO$3),'New Hires Forecast'!$N$5:$N$85,'New Hires Forecast'!$L$5:$L$85)/12),0),IF(YEAR(AO$3)=YEAR('New Hires Forecast'!$O$3),IF((AO$5&lt;=12),(SUMPRODUCT(--('New Hires Forecast'!$F$5:$F$85="Dev Ops"),--('New Hires Forecast'!$H$5:$H$85&gt;='Dev Ops'!AO$3),'New Hires Forecast'!$O$5:$O$85,'New Hires Forecast'!$L$5:$L$85)/12),0),IF(YEAR(AO$3)=YEAR('New Hires Forecast'!$P$3),IF((AO$5&lt;=12),(SUMPRODUCT(--('New Hires Forecast'!$F$5:$F$85="Dev Ops"),--('New Hires Forecast'!$H$5:$H$85&gt;='Dev Ops'!AO$3),'New Hires Forecast'!$P$5:$P$85,'New Hires Forecast'!$L$5:$L$85)/12),0),IF(YEAR(AO$3)=YEAR('New Hires Forecast'!$Q$3),IF((AO$5&lt;=12),(SUMPRODUCT(--('New Hires Forecast'!$F$5:$F$85="Dev Ops"),--('New Hires Forecast'!$H$5:$H$85&gt;='Dev Ops'!AO$3),'New Hires Forecast'!$Q$5:$Q$85,'New Hires Forecast'!$L$5:$L$85)/12),0),IF(YEAR(AO$3)=YEAR('New Hires Forecast'!$R$3),IF((AO$5&lt;=12),(SUMPRODUCT(--('New Hires Forecast'!$F$5:$F$85="Dev Ops"),--('New Hires Forecast'!$H$5:$H$85&gt;='Dev Ops'!AO$3),'New Hires Forecast'!$R$5:$R$85,'New Hires Forecast'!$L$5:$L$85)/12),0),"New Year"))))),0)</f>
        <v>2145.8333333333335</v>
      </c>
      <c r="AP15" s="668">
        <f>IF(AP$4="forecast",IF(YEAR(AP$3)=YEAR('New Hires Forecast'!$N$3),IF((AP$5&lt;=12),(SUMPRODUCT(--('New Hires Forecast'!$F$5:$F$85="Dev Ops"),--('New Hires Forecast'!$H$5:$H$85&gt;='Dev Ops'!AP$3),'New Hires Forecast'!$N$5:$N$85,'New Hires Forecast'!$L$5:$L$85)/12),0),IF(YEAR(AP$3)=YEAR('New Hires Forecast'!$O$3),IF((AP$5&lt;=12),(SUMPRODUCT(--('New Hires Forecast'!$F$5:$F$85="Dev Ops"),--('New Hires Forecast'!$H$5:$H$85&gt;='Dev Ops'!AP$3),'New Hires Forecast'!$O$5:$O$85,'New Hires Forecast'!$L$5:$L$85)/12),0),IF(YEAR(AP$3)=YEAR('New Hires Forecast'!$P$3),IF((AP$5&lt;=12),(SUMPRODUCT(--('New Hires Forecast'!$F$5:$F$85="Dev Ops"),--('New Hires Forecast'!$H$5:$H$85&gt;='Dev Ops'!AP$3),'New Hires Forecast'!$P$5:$P$85,'New Hires Forecast'!$L$5:$L$85)/12),0),IF(YEAR(AP$3)=YEAR('New Hires Forecast'!$Q$3),IF((AP$5&lt;=12),(SUMPRODUCT(--('New Hires Forecast'!$F$5:$F$85="Dev Ops"),--('New Hires Forecast'!$H$5:$H$85&gt;='Dev Ops'!AP$3),'New Hires Forecast'!$Q$5:$Q$85,'New Hires Forecast'!$L$5:$L$85)/12),0),IF(YEAR(AP$3)=YEAR('New Hires Forecast'!$R$3),IF((AP$5&lt;=12),(SUMPRODUCT(--('New Hires Forecast'!$F$5:$F$85="Dev Ops"),--('New Hires Forecast'!$H$5:$H$85&gt;='Dev Ops'!AP$3),'New Hires Forecast'!$R$5:$R$85,'New Hires Forecast'!$L$5:$L$85)/12),0),"New Year"))))),0)</f>
        <v>2145.8333333333335</v>
      </c>
      <c r="AQ15" s="668">
        <f>IF(AQ$4="forecast",IF(YEAR(AQ$3)=YEAR('New Hires Forecast'!$N$3),IF((AQ$5&lt;=12),(SUMPRODUCT(--('New Hires Forecast'!$F$5:$F$85="Dev Ops"),--('New Hires Forecast'!$H$5:$H$85&gt;='Dev Ops'!AQ$3),'New Hires Forecast'!$N$5:$N$85,'New Hires Forecast'!$L$5:$L$85)/12),0),IF(YEAR(AQ$3)=YEAR('New Hires Forecast'!$O$3),IF((AQ$5&lt;=12),(SUMPRODUCT(--('New Hires Forecast'!$F$5:$F$85="Dev Ops"),--('New Hires Forecast'!$H$5:$H$85&gt;='Dev Ops'!AQ$3),'New Hires Forecast'!$O$5:$O$85,'New Hires Forecast'!$L$5:$L$85)/12),0),IF(YEAR(AQ$3)=YEAR('New Hires Forecast'!$P$3),IF((AQ$5&lt;=12),(SUMPRODUCT(--('New Hires Forecast'!$F$5:$F$85="Dev Ops"),--('New Hires Forecast'!$H$5:$H$85&gt;='Dev Ops'!AQ$3),'New Hires Forecast'!$P$5:$P$85,'New Hires Forecast'!$L$5:$L$85)/12),0),IF(YEAR(AQ$3)=YEAR('New Hires Forecast'!$Q$3),IF((AQ$5&lt;=12),(SUMPRODUCT(--('New Hires Forecast'!$F$5:$F$85="Dev Ops"),--('New Hires Forecast'!$H$5:$H$85&gt;='Dev Ops'!AQ$3),'New Hires Forecast'!$Q$5:$Q$85,'New Hires Forecast'!$L$5:$L$85)/12),0),IF(YEAR(AQ$3)=YEAR('New Hires Forecast'!$R$3),IF((AQ$5&lt;=12),(SUMPRODUCT(--('New Hires Forecast'!$F$5:$F$85="Dev Ops"),--('New Hires Forecast'!$H$5:$H$85&gt;='Dev Ops'!AQ$3),'New Hires Forecast'!$R$5:$R$85,'New Hires Forecast'!$L$5:$L$85)/12),0),"New Year"))))),0)</f>
        <v>2145.8333333333335</v>
      </c>
      <c r="AR15" s="668">
        <f>IF(AR$4="forecast",IF(YEAR(AR$3)=YEAR('New Hires Forecast'!$N$3),IF((AR$5&lt;=12),(SUMPRODUCT(--('New Hires Forecast'!$F$5:$F$85="Dev Ops"),--('New Hires Forecast'!$H$5:$H$85&gt;='Dev Ops'!AR$3),'New Hires Forecast'!$N$5:$N$85,'New Hires Forecast'!$L$5:$L$85)/12),0),IF(YEAR(AR$3)=YEAR('New Hires Forecast'!$O$3),IF((AR$5&lt;=12),(SUMPRODUCT(--('New Hires Forecast'!$F$5:$F$85="Dev Ops"),--('New Hires Forecast'!$H$5:$H$85&gt;='Dev Ops'!AR$3),'New Hires Forecast'!$O$5:$O$85,'New Hires Forecast'!$L$5:$L$85)/12),0),IF(YEAR(AR$3)=YEAR('New Hires Forecast'!$P$3),IF((AR$5&lt;=12),(SUMPRODUCT(--('New Hires Forecast'!$F$5:$F$85="Dev Ops"),--('New Hires Forecast'!$H$5:$H$85&gt;='Dev Ops'!AR$3),'New Hires Forecast'!$P$5:$P$85,'New Hires Forecast'!$L$5:$L$85)/12),0),IF(YEAR(AR$3)=YEAR('New Hires Forecast'!$Q$3),IF((AR$5&lt;=12),(SUMPRODUCT(--('New Hires Forecast'!$F$5:$F$85="Dev Ops"),--('New Hires Forecast'!$H$5:$H$85&gt;='Dev Ops'!AR$3),'New Hires Forecast'!$Q$5:$Q$85,'New Hires Forecast'!$L$5:$L$85)/12),0),IF(YEAR(AR$3)=YEAR('New Hires Forecast'!$R$3),IF((AR$5&lt;=12),(SUMPRODUCT(--('New Hires Forecast'!$F$5:$F$85="Dev Ops"),--('New Hires Forecast'!$H$5:$H$85&gt;='Dev Ops'!AR$3),'New Hires Forecast'!$R$5:$R$85,'New Hires Forecast'!$L$5:$L$85)/12),0),"New Year"))))),0)</f>
        <v>2145.8333333333335</v>
      </c>
      <c r="AS15" s="668">
        <f>IF(AS$4="forecast",IF(YEAR(AS$3)=YEAR('New Hires Forecast'!$N$3),IF((AS$5&lt;=12),(SUMPRODUCT(--('New Hires Forecast'!$F$5:$F$85="Dev Ops"),--('New Hires Forecast'!$H$5:$H$85&gt;='Dev Ops'!AS$3),'New Hires Forecast'!$N$5:$N$85,'New Hires Forecast'!$L$5:$L$85)/12),0),IF(YEAR(AS$3)=YEAR('New Hires Forecast'!$O$3),IF((AS$5&lt;=12),(SUMPRODUCT(--('New Hires Forecast'!$F$5:$F$85="Dev Ops"),--('New Hires Forecast'!$H$5:$H$85&gt;='Dev Ops'!AS$3),'New Hires Forecast'!$O$5:$O$85,'New Hires Forecast'!$L$5:$L$85)/12),0),IF(YEAR(AS$3)=YEAR('New Hires Forecast'!$P$3),IF((AS$5&lt;=12),(SUMPRODUCT(--('New Hires Forecast'!$F$5:$F$85="Dev Ops"),--('New Hires Forecast'!$H$5:$H$85&gt;='Dev Ops'!AS$3),'New Hires Forecast'!$P$5:$P$85,'New Hires Forecast'!$L$5:$L$85)/12),0),IF(YEAR(AS$3)=YEAR('New Hires Forecast'!$Q$3),IF((AS$5&lt;=12),(SUMPRODUCT(--('New Hires Forecast'!$F$5:$F$85="Dev Ops"),--('New Hires Forecast'!$H$5:$H$85&gt;='Dev Ops'!AS$3),'New Hires Forecast'!$Q$5:$Q$85,'New Hires Forecast'!$L$5:$L$85)/12),0),IF(YEAR(AS$3)=YEAR('New Hires Forecast'!$R$3),IF((AS$5&lt;=12),(SUMPRODUCT(--('New Hires Forecast'!$F$5:$F$85="Dev Ops"),--('New Hires Forecast'!$H$5:$H$85&gt;='Dev Ops'!AS$3),'New Hires Forecast'!$R$5:$R$85,'New Hires Forecast'!$L$5:$L$85)/12),0),"New Year"))))),0)</f>
        <v>2145.8333333333335</v>
      </c>
      <c r="AT15" s="668">
        <f>IF(AT$4="forecast",IF(YEAR(AT$3)=YEAR('New Hires Forecast'!$N$3),IF((AT$5&lt;=12),(SUMPRODUCT(--('New Hires Forecast'!$F$5:$F$85="Dev Ops"),--('New Hires Forecast'!$H$5:$H$85&gt;='Dev Ops'!AT$3),'New Hires Forecast'!$N$5:$N$85,'New Hires Forecast'!$L$5:$L$85)/12),0),IF(YEAR(AT$3)=YEAR('New Hires Forecast'!$O$3),IF((AT$5&lt;=12),(SUMPRODUCT(--('New Hires Forecast'!$F$5:$F$85="Dev Ops"),--('New Hires Forecast'!$H$5:$H$85&gt;='Dev Ops'!AT$3),'New Hires Forecast'!$O$5:$O$85,'New Hires Forecast'!$L$5:$L$85)/12),0),IF(YEAR(AT$3)=YEAR('New Hires Forecast'!$P$3),IF((AT$5&lt;=12),(SUMPRODUCT(--('New Hires Forecast'!$F$5:$F$85="Dev Ops"),--('New Hires Forecast'!$H$5:$H$85&gt;='Dev Ops'!AT$3),'New Hires Forecast'!$P$5:$P$85,'New Hires Forecast'!$L$5:$L$85)/12),0),IF(YEAR(AT$3)=YEAR('New Hires Forecast'!$Q$3),IF((AT$5&lt;=12),(SUMPRODUCT(--('New Hires Forecast'!$F$5:$F$85="Dev Ops"),--('New Hires Forecast'!$H$5:$H$85&gt;='Dev Ops'!AT$3),'New Hires Forecast'!$Q$5:$Q$85,'New Hires Forecast'!$L$5:$L$85)/12),0),IF(YEAR(AT$3)=YEAR('New Hires Forecast'!$R$3),IF((AT$5&lt;=12),(SUMPRODUCT(--('New Hires Forecast'!$F$5:$F$85="Dev Ops"),--('New Hires Forecast'!$H$5:$H$85&gt;='Dev Ops'!AT$3),'New Hires Forecast'!$R$5:$R$85,'New Hires Forecast'!$L$5:$L$85)/12),0),"New Year"))))),0)</f>
        <v>2145.8333333333335</v>
      </c>
      <c r="AU15" s="668">
        <f>IF(AU$4="forecast",IF(YEAR(AU$3)=YEAR('New Hires Forecast'!$N$3),IF((AU$5&lt;=12),(SUMPRODUCT(--('New Hires Forecast'!$F$5:$F$85="Dev Ops"),--('New Hires Forecast'!$H$5:$H$85&gt;='Dev Ops'!AU$3),'New Hires Forecast'!$N$5:$N$85,'New Hires Forecast'!$L$5:$L$85)/12),0),IF(YEAR(AU$3)=YEAR('New Hires Forecast'!$O$3),IF((AU$5&lt;=12),(SUMPRODUCT(--('New Hires Forecast'!$F$5:$F$85="Dev Ops"),--('New Hires Forecast'!$H$5:$H$85&gt;='Dev Ops'!AU$3),'New Hires Forecast'!$O$5:$O$85,'New Hires Forecast'!$L$5:$L$85)/12),0),IF(YEAR(AU$3)=YEAR('New Hires Forecast'!$P$3),IF((AU$5&lt;=12),(SUMPRODUCT(--('New Hires Forecast'!$F$5:$F$85="Dev Ops"),--('New Hires Forecast'!$H$5:$H$85&gt;='Dev Ops'!AU$3),'New Hires Forecast'!$P$5:$P$85,'New Hires Forecast'!$L$5:$L$85)/12),0),IF(YEAR(AU$3)=YEAR('New Hires Forecast'!$Q$3),IF((AU$5&lt;=12),(SUMPRODUCT(--('New Hires Forecast'!$F$5:$F$85="Dev Ops"),--('New Hires Forecast'!$H$5:$H$85&gt;='Dev Ops'!AU$3),'New Hires Forecast'!$Q$5:$Q$85,'New Hires Forecast'!$L$5:$L$85)/12),0),IF(YEAR(AU$3)=YEAR('New Hires Forecast'!$R$3),IF((AU$5&lt;=12),(SUMPRODUCT(--('New Hires Forecast'!$F$5:$F$85="Dev Ops"),--('New Hires Forecast'!$H$5:$H$85&gt;='Dev Ops'!AU$3),'New Hires Forecast'!$R$5:$R$85,'New Hires Forecast'!$L$5:$L$85)/12),0),"New Year"))))),0)</f>
        <v>2145.8333333333335</v>
      </c>
      <c r="AV15" s="668">
        <f>IF(AV$4="forecast",IF(YEAR(AV$3)=YEAR('New Hires Forecast'!$N$3),IF((AV$5&lt;=12),(SUMPRODUCT(--('New Hires Forecast'!$F$5:$F$85="Dev Ops"),--('New Hires Forecast'!$H$5:$H$85&gt;='Dev Ops'!AV$3),'New Hires Forecast'!$N$5:$N$85,'New Hires Forecast'!$L$5:$L$85)/12),0),IF(YEAR(AV$3)=YEAR('New Hires Forecast'!$O$3),IF((AV$5&lt;=12),(SUMPRODUCT(--('New Hires Forecast'!$F$5:$F$85="Dev Ops"),--('New Hires Forecast'!$H$5:$H$85&gt;='Dev Ops'!AV$3),'New Hires Forecast'!$O$5:$O$85,'New Hires Forecast'!$L$5:$L$85)/12),0),IF(YEAR(AV$3)=YEAR('New Hires Forecast'!$P$3),IF((AV$5&lt;=12),(SUMPRODUCT(--('New Hires Forecast'!$F$5:$F$85="Dev Ops"),--('New Hires Forecast'!$H$5:$H$85&gt;='Dev Ops'!AV$3),'New Hires Forecast'!$P$5:$P$85,'New Hires Forecast'!$L$5:$L$85)/12),0),IF(YEAR(AV$3)=YEAR('New Hires Forecast'!$Q$3),IF((AV$5&lt;=12),(SUMPRODUCT(--('New Hires Forecast'!$F$5:$F$85="Dev Ops"),--('New Hires Forecast'!$H$5:$H$85&gt;='Dev Ops'!AV$3),'New Hires Forecast'!$Q$5:$Q$85,'New Hires Forecast'!$L$5:$L$85)/12),0),IF(YEAR(AV$3)=YEAR('New Hires Forecast'!$R$3),IF((AV$5&lt;=12),(SUMPRODUCT(--('New Hires Forecast'!$F$5:$F$85="Dev Ops"),--('New Hires Forecast'!$H$5:$H$85&gt;='Dev Ops'!AV$3),'New Hires Forecast'!$R$5:$R$85,'New Hires Forecast'!$L$5:$L$85)/12),0),"New Year"))))),0)</f>
        <v>2145.8333333333335</v>
      </c>
      <c r="AW15" s="668">
        <f>IF(AW$4="forecast",IF(YEAR(AW$3)=YEAR('New Hires Forecast'!$N$3),IF((AW$5&lt;=12),(SUMPRODUCT(--('New Hires Forecast'!$F$5:$F$85="Dev Ops"),--('New Hires Forecast'!$H$5:$H$85&gt;='Dev Ops'!AW$3),'New Hires Forecast'!$N$5:$N$85,'New Hires Forecast'!$L$5:$L$85)/12),0),IF(YEAR(AW$3)=YEAR('New Hires Forecast'!$O$3),IF((AW$5&lt;=12),(SUMPRODUCT(--('New Hires Forecast'!$F$5:$F$85="Dev Ops"),--('New Hires Forecast'!$H$5:$H$85&gt;='Dev Ops'!AW$3),'New Hires Forecast'!$O$5:$O$85,'New Hires Forecast'!$L$5:$L$85)/12),0),IF(YEAR(AW$3)=YEAR('New Hires Forecast'!$P$3),IF((AW$5&lt;=12),(SUMPRODUCT(--('New Hires Forecast'!$F$5:$F$85="Dev Ops"),--('New Hires Forecast'!$H$5:$H$85&gt;='Dev Ops'!AW$3),'New Hires Forecast'!$P$5:$P$85,'New Hires Forecast'!$L$5:$L$85)/12),0),IF(YEAR(AW$3)=YEAR('New Hires Forecast'!$Q$3),IF((AW$5&lt;=12),(SUMPRODUCT(--('New Hires Forecast'!$F$5:$F$85="Dev Ops"),--('New Hires Forecast'!$H$5:$H$85&gt;='Dev Ops'!AW$3),'New Hires Forecast'!$Q$5:$Q$85,'New Hires Forecast'!$L$5:$L$85)/12),0),IF(YEAR(AW$3)=YEAR('New Hires Forecast'!$R$3),IF((AW$5&lt;=12),(SUMPRODUCT(--('New Hires Forecast'!$F$5:$F$85="Dev Ops"),--('New Hires Forecast'!$H$5:$H$85&gt;='Dev Ops'!AW$3),'New Hires Forecast'!$R$5:$R$85,'New Hires Forecast'!$L$5:$L$85)/12),0),"New Year"))))),0)</f>
        <v>2145.8333333333335</v>
      </c>
      <c r="AX15" s="668">
        <f>IF(AX$4="forecast",IF(YEAR(AX$3)=YEAR('New Hires Forecast'!$N$3),IF((AX$5&lt;=12),(SUMPRODUCT(--('New Hires Forecast'!$F$5:$F$85="Dev Ops"),--('New Hires Forecast'!$H$5:$H$85&gt;='Dev Ops'!AX$3),'New Hires Forecast'!$N$5:$N$85,'New Hires Forecast'!$L$5:$L$85)/12),0),IF(YEAR(AX$3)=YEAR('New Hires Forecast'!$O$3),IF((AX$5&lt;=12),(SUMPRODUCT(--('New Hires Forecast'!$F$5:$F$85="Dev Ops"),--('New Hires Forecast'!$H$5:$H$85&gt;='Dev Ops'!AX$3),'New Hires Forecast'!$O$5:$O$85,'New Hires Forecast'!$L$5:$L$85)/12),0),IF(YEAR(AX$3)=YEAR('New Hires Forecast'!$P$3),IF((AX$5&lt;=12),(SUMPRODUCT(--('New Hires Forecast'!$F$5:$F$85="Dev Ops"),--('New Hires Forecast'!$H$5:$H$85&gt;='Dev Ops'!AX$3),'New Hires Forecast'!$P$5:$P$85,'New Hires Forecast'!$L$5:$L$85)/12),0),IF(YEAR(AX$3)=YEAR('New Hires Forecast'!$Q$3),IF((AX$5&lt;=12),(SUMPRODUCT(--('New Hires Forecast'!$F$5:$F$85="Dev Ops"),--('New Hires Forecast'!$H$5:$H$85&gt;='Dev Ops'!AX$3),'New Hires Forecast'!$Q$5:$Q$85,'New Hires Forecast'!$L$5:$L$85)/12),0),IF(YEAR(AX$3)=YEAR('New Hires Forecast'!$R$3),IF((AX$5&lt;=12),(SUMPRODUCT(--('New Hires Forecast'!$F$5:$F$85="Dev Ops"),--('New Hires Forecast'!$H$5:$H$85&gt;='Dev Ops'!AX$3),'New Hires Forecast'!$R$5:$R$85,'New Hires Forecast'!$L$5:$L$85)/12),0),"New Year"))))),0)</f>
        <v>2145.8333333333335</v>
      </c>
      <c r="AY15" s="668">
        <f>IF(AY$4="forecast",IF(YEAR(AY$3)=YEAR('New Hires Forecast'!$N$3),IF((AY$5&lt;=12),(SUMPRODUCT(--('New Hires Forecast'!$F$5:$F$85="Dev Ops"),--('New Hires Forecast'!$H$5:$H$85&gt;='Dev Ops'!AY$3),'New Hires Forecast'!$N$5:$N$85,'New Hires Forecast'!$L$5:$L$85)/12),0),IF(YEAR(AY$3)=YEAR('New Hires Forecast'!$O$3),IF((AY$5&lt;=12),(SUMPRODUCT(--('New Hires Forecast'!$F$5:$F$85="Dev Ops"),--('New Hires Forecast'!$H$5:$H$85&gt;='Dev Ops'!AY$3),'New Hires Forecast'!$O$5:$O$85,'New Hires Forecast'!$L$5:$L$85)/12),0),IF(YEAR(AY$3)=YEAR('New Hires Forecast'!$P$3),IF((AY$5&lt;=12),(SUMPRODUCT(--('New Hires Forecast'!$F$5:$F$85="Dev Ops"),--('New Hires Forecast'!$H$5:$H$85&gt;='Dev Ops'!AY$3),'New Hires Forecast'!$P$5:$P$85,'New Hires Forecast'!$L$5:$L$85)/12),0),IF(YEAR(AY$3)=YEAR('New Hires Forecast'!$Q$3),IF((AY$5&lt;=12),(SUMPRODUCT(--('New Hires Forecast'!$F$5:$F$85="Dev Ops"),--('New Hires Forecast'!$H$5:$H$85&gt;='Dev Ops'!AY$3),'New Hires Forecast'!$Q$5:$Q$85,'New Hires Forecast'!$L$5:$L$85)/12),0),IF(YEAR(AY$3)=YEAR('New Hires Forecast'!$R$3),IF((AY$5&lt;=12),(SUMPRODUCT(--('New Hires Forecast'!$F$5:$F$85="Dev Ops"),--('New Hires Forecast'!$H$5:$H$85&gt;='Dev Ops'!AY$3),'New Hires Forecast'!$R$5:$R$85,'New Hires Forecast'!$L$5:$L$85)/12),0),"New Year"))))),0)</f>
        <v>2210.2083333333335</v>
      </c>
      <c r="AZ15" s="668">
        <f>IF(AZ$4="forecast",IF(YEAR(AZ$3)=YEAR('New Hires Forecast'!$N$3),IF((AZ$5&lt;=12),(SUMPRODUCT(--('New Hires Forecast'!$F$5:$F$85="Dev Ops"),--('New Hires Forecast'!$H$5:$H$85&gt;='Dev Ops'!AZ$3),'New Hires Forecast'!$N$5:$N$85,'New Hires Forecast'!$L$5:$L$85)/12),0),IF(YEAR(AZ$3)=YEAR('New Hires Forecast'!$O$3),IF((AZ$5&lt;=12),(SUMPRODUCT(--('New Hires Forecast'!$F$5:$F$85="Dev Ops"),--('New Hires Forecast'!$H$5:$H$85&gt;='Dev Ops'!AZ$3),'New Hires Forecast'!$O$5:$O$85,'New Hires Forecast'!$L$5:$L$85)/12),0),IF(YEAR(AZ$3)=YEAR('New Hires Forecast'!$P$3),IF((AZ$5&lt;=12),(SUMPRODUCT(--('New Hires Forecast'!$F$5:$F$85="Dev Ops"),--('New Hires Forecast'!$H$5:$H$85&gt;='Dev Ops'!AZ$3),'New Hires Forecast'!$P$5:$P$85,'New Hires Forecast'!$L$5:$L$85)/12),0),IF(YEAR(AZ$3)=YEAR('New Hires Forecast'!$Q$3),IF((AZ$5&lt;=12),(SUMPRODUCT(--('New Hires Forecast'!$F$5:$F$85="Dev Ops"),--('New Hires Forecast'!$H$5:$H$85&gt;='Dev Ops'!AZ$3),'New Hires Forecast'!$Q$5:$Q$85,'New Hires Forecast'!$L$5:$L$85)/12),0),IF(YEAR(AZ$3)=YEAR('New Hires Forecast'!$R$3),IF((AZ$5&lt;=12),(SUMPRODUCT(--('New Hires Forecast'!$F$5:$F$85="Dev Ops"),--('New Hires Forecast'!$H$5:$H$85&gt;='Dev Ops'!AZ$3),'New Hires Forecast'!$R$5:$R$85,'New Hires Forecast'!$L$5:$L$85)/12),0),"New Year"))))),0)</f>
        <v>2210.2083333333335</v>
      </c>
      <c r="BA15" s="668">
        <f>IF(BA$4="forecast",IF(YEAR(BA$3)=YEAR('New Hires Forecast'!$N$3),IF((BA$5&lt;=12),(SUMPRODUCT(--('New Hires Forecast'!$F$5:$F$85="Dev Ops"),--('New Hires Forecast'!$H$5:$H$85&gt;='Dev Ops'!BA$3),'New Hires Forecast'!$N$5:$N$85,'New Hires Forecast'!$L$5:$L$85)/12),0),IF(YEAR(BA$3)=YEAR('New Hires Forecast'!$O$3),IF((BA$5&lt;=12),(SUMPRODUCT(--('New Hires Forecast'!$F$5:$F$85="Dev Ops"),--('New Hires Forecast'!$H$5:$H$85&gt;='Dev Ops'!BA$3),'New Hires Forecast'!$O$5:$O$85,'New Hires Forecast'!$L$5:$L$85)/12),0),IF(YEAR(BA$3)=YEAR('New Hires Forecast'!$P$3),IF((BA$5&lt;=12),(SUMPRODUCT(--('New Hires Forecast'!$F$5:$F$85="Dev Ops"),--('New Hires Forecast'!$H$5:$H$85&gt;='Dev Ops'!BA$3),'New Hires Forecast'!$P$5:$P$85,'New Hires Forecast'!$L$5:$L$85)/12),0),IF(YEAR(BA$3)=YEAR('New Hires Forecast'!$Q$3),IF((BA$5&lt;=12),(SUMPRODUCT(--('New Hires Forecast'!$F$5:$F$85="Dev Ops"),--('New Hires Forecast'!$H$5:$H$85&gt;='Dev Ops'!BA$3),'New Hires Forecast'!$Q$5:$Q$85,'New Hires Forecast'!$L$5:$L$85)/12),0),IF(YEAR(BA$3)=YEAR('New Hires Forecast'!$R$3),IF((BA$5&lt;=12),(SUMPRODUCT(--('New Hires Forecast'!$F$5:$F$85="Dev Ops"),--('New Hires Forecast'!$H$5:$H$85&gt;='Dev Ops'!BA$3),'New Hires Forecast'!$R$5:$R$85,'New Hires Forecast'!$L$5:$L$85)/12),0),"New Year"))))),0)</f>
        <v>2210.2083333333335</v>
      </c>
      <c r="BB15" s="668">
        <f>IF(BB$4="forecast",IF(YEAR(BB$3)=YEAR('New Hires Forecast'!$N$3),IF((BB$5&lt;=12),(SUMPRODUCT(--('New Hires Forecast'!$F$5:$F$85="Dev Ops"),--('New Hires Forecast'!$H$5:$H$85&gt;='Dev Ops'!BB$3),'New Hires Forecast'!$N$5:$N$85,'New Hires Forecast'!$L$5:$L$85)/12),0),IF(YEAR(BB$3)=YEAR('New Hires Forecast'!$O$3),IF((BB$5&lt;=12),(SUMPRODUCT(--('New Hires Forecast'!$F$5:$F$85="Dev Ops"),--('New Hires Forecast'!$H$5:$H$85&gt;='Dev Ops'!BB$3),'New Hires Forecast'!$O$5:$O$85,'New Hires Forecast'!$L$5:$L$85)/12),0),IF(YEAR(BB$3)=YEAR('New Hires Forecast'!$P$3),IF((BB$5&lt;=12),(SUMPRODUCT(--('New Hires Forecast'!$F$5:$F$85="Dev Ops"),--('New Hires Forecast'!$H$5:$H$85&gt;='Dev Ops'!BB$3),'New Hires Forecast'!$P$5:$P$85,'New Hires Forecast'!$L$5:$L$85)/12),0),IF(YEAR(BB$3)=YEAR('New Hires Forecast'!$Q$3),IF((BB$5&lt;=12),(SUMPRODUCT(--('New Hires Forecast'!$F$5:$F$85="Dev Ops"),--('New Hires Forecast'!$H$5:$H$85&gt;='Dev Ops'!BB$3),'New Hires Forecast'!$Q$5:$Q$85,'New Hires Forecast'!$L$5:$L$85)/12),0),IF(YEAR(BB$3)=YEAR('New Hires Forecast'!$R$3),IF((BB$5&lt;=12),(SUMPRODUCT(--('New Hires Forecast'!$F$5:$F$85="Dev Ops"),--('New Hires Forecast'!$H$5:$H$85&gt;='Dev Ops'!BB$3),'New Hires Forecast'!$R$5:$R$85,'New Hires Forecast'!$L$5:$L$85)/12),0),"New Year"))))),0)</f>
        <v>2210.2083333333335</v>
      </c>
      <c r="BC15" s="668">
        <f>IF(BC$4="forecast",IF(YEAR(BC$3)=YEAR('New Hires Forecast'!$N$3),IF((BC$5&lt;=12),(SUMPRODUCT(--('New Hires Forecast'!$F$5:$F$85="Dev Ops"),--('New Hires Forecast'!$H$5:$H$85&gt;='Dev Ops'!BC$3),'New Hires Forecast'!$N$5:$N$85,'New Hires Forecast'!$L$5:$L$85)/12),0),IF(YEAR(BC$3)=YEAR('New Hires Forecast'!$O$3),IF((BC$5&lt;=12),(SUMPRODUCT(--('New Hires Forecast'!$F$5:$F$85="Dev Ops"),--('New Hires Forecast'!$H$5:$H$85&gt;='Dev Ops'!BC$3),'New Hires Forecast'!$O$5:$O$85,'New Hires Forecast'!$L$5:$L$85)/12),0),IF(YEAR(BC$3)=YEAR('New Hires Forecast'!$P$3),IF((BC$5&lt;=12),(SUMPRODUCT(--('New Hires Forecast'!$F$5:$F$85="Dev Ops"),--('New Hires Forecast'!$H$5:$H$85&gt;='Dev Ops'!BC$3),'New Hires Forecast'!$P$5:$P$85,'New Hires Forecast'!$L$5:$L$85)/12),0),IF(YEAR(BC$3)=YEAR('New Hires Forecast'!$Q$3),IF((BC$5&lt;=12),(SUMPRODUCT(--('New Hires Forecast'!$F$5:$F$85="Dev Ops"),--('New Hires Forecast'!$H$5:$H$85&gt;='Dev Ops'!BC$3),'New Hires Forecast'!$Q$5:$Q$85,'New Hires Forecast'!$L$5:$L$85)/12),0),IF(YEAR(BC$3)=YEAR('New Hires Forecast'!$R$3),IF((BC$5&lt;=12),(SUMPRODUCT(--('New Hires Forecast'!$F$5:$F$85="Dev Ops"),--('New Hires Forecast'!$H$5:$H$85&gt;='Dev Ops'!BC$3),'New Hires Forecast'!$R$5:$R$85,'New Hires Forecast'!$L$5:$L$85)/12),0),"New Year"))))),0)</f>
        <v>2210.2083333333335</v>
      </c>
      <c r="BD15" s="668">
        <f>IF(BD$4="forecast",IF(YEAR(BD$3)=YEAR('New Hires Forecast'!$N$3),IF((BD$5&lt;=12),(SUMPRODUCT(--('New Hires Forecast'!$F$5:$F$85="Dev Ops"),--('New Hires Forecast'!$H$5:$H$85&gt;='Dev Ops'!BD$3),'New Hires Forecast'!$N$5:$N$85,'New Hires Forecast'!$L$5:$L$85)/12),0),IF(YEAR(BD$3)=YEAR('New Hires Forecast'!$O$3),IF((BD$5&lt;=12),(SUMPRODUCT(--('New Hires Forecast'!$F$5:$F$85="Dev Ops"),--('New Hires Forecast'!$H$5:$H$85&gt;='Dev Ops'!BD$3),'New Hires Forecast'!$O$5:$O$85,'New Hires Forecast'!$L$5:$L$85)/12),0),IF(YEAR(BD$3)=YEAR('New Hires Forecast'!$P$3),IF((BD$5&lt;=12),(SUMPRODUCT(--('New Hires Forecast'!$F$5:$F$85="Dev Ops"),--('New Hires Forecast'!$H$5:$H$85&gt;='Dev Ops'!BD$3),'New Hires Forecast'!$P$5:$P$85,'New Hires Forecast'!$L$5:$L$85)/12),0),IF(YEAR(BD$3)=YEAR('New Hires Forecast'!$Q$3),IF((BD$5&lt;=12),(SUMPRODUCT(--('New Hires Forecast'!$F$5:$F$85="Dev Ops"),--('New Hires Forecast'!$H$5:$H$85&gt;='Dev Ops'!BD$3),'New Hires Forecast'!$Q$5:$Q$85,'New Hires Forecast'!$L$5:$L$85)/12),0),IF(YEAR(BD$3)=YEAR('New Hires Forecast'!$R$3),IF((BD$5&lt;=12),(SUMPRODUCT(--('New Hires Forecast'!$F$5:$F$85="Dev Ops"),--('New Hires Forecast'!$H$5:$H$85&gt;='Dev Ops'!BD$3),'New Hires Forecast'!$R$5:$R$85,'New Hires Forecast'!$L$5:$L$85)/12),0),"New Year"))))),0)</f>
        <v>2210.2083333333335</v>
      </c>
      <c r="BE15" s="668">
        <f>IF(BE$4="forecast",IF(YEAR(BE$3)=YEAR('New Hires Forecast'!$N$3),IF((BE$5&lt;=12),(SUMPRODUCT(--('New Hires Forecast'!$F$5:$F$85="Dev Ops"),--('New Hires Forecast'!$H$5:$H$85&gt;='Dev Ops'!BE$3),'New Hires Forecast'!$N$5:$N$85,'New Hires Forecast'!$L$5:$L$85)/12),0),IF(YEAR(BE$3)=YEAR('New Hires Forecast'!$O$3),IF((BE$5&lt;=12),(SUMPRODUCT(--('New Hires Forecast'!$F$5:$F$85="Dev Ops"),--('New Hires Forecast'!$H$5:$H$85&gt;='Dev Ops'!BE$3),'New Hires Forecast'!$O$5:$O$85,'New Hires Forecast'!$L$5:$L$85)/12),0),IF(YEAR(BE$3)=YEAR('New Hires Forecast'!$P$3),IF((BE$5&lt;=12),(SUMPRODUCT(--('New Hires Forecast'!$F$5:$F$85="Dev Ops"),--('New Hires Forecast'!$H$5:$H$85&gt;='Dev Ops'!BE$3),'New Hires Forecast'!$P$5:$P$85,'New Hires Forecast'!$L$5:$L$85)/12),0),IF(YEAR(BE$3)=YEAR('New Hires Forecast'!$Q$3),IF((BE$5&lt;=12),(SUMPRODUCT(--('New Hires Forecast'!$F$5:$F$85="Dev Ops"),--('New Hires Forecast'!$H$5:$H$85&gt;='Dev Ops'!BE$3),'New Hires Forecast'!$Q$5:$Q$85,'New Hires Forecast'!$L$5:$L$85)/12),0),IF(YEAR(BE$3)=YEAR('New Hires Forecast'!$R$3),IF((BE$5&lt;=12),(SUMPRODUCT(--('New Hires Forecast'!$F$5:$F$85="Dev Ops"),--('New Hires Forecast'!$H$5:$H$85&gt;='Dev Ops'!BE$3),'New Hires Forecast'!$R$5:$R$85,'New Hires Forecast'!$L$5:$L$85)/12),0),"New Year"))))),0)</f>
        <v>2210.2083333333335</v>
      </c>
      <c r="BF15" s="668">
        <f>IF(BF$4="forecast",IF(YEAR(BF$3)=YEAR('New Hires Forecast'!$N$3),IF((BF$5&lt;=12),(SUMPRODUCT(--('New Hires Forecast'!$F$5:$F$85="Dev Ops"),--('New Hires Forecast'!$H$5:$H$85&gt;='Dev Ops'!BF$3),'New Hires Forecast'!$N$5:$N$85,'New Hires Forecast'!$L$5:$L$85)/12),0),IF(YEAR(BF$3)=YEAR('New Hires Forecast'!$O$3),IF((BF$5&lt;=12),(SUMPRODUCT(--('New Hires Forecast'!$F$5:$F$85="Dev Ops"),--('New Hires Forecast'!$H$5:$H$85&gt;='Dev Ops'!BF$3),'New Hires Forecast'!$O$5:$O$85,'New Hires Forecast'!$L$5:$L$85)/12),0),IF(YEAR(BF$3)=YEAR('New Hires Forecast'!$P$3),IF((BF$5&lt;=12),(SUMPRODUCT(--('New Hires Forecast'!$F$5:$F$85="Dev Ops"),--('New Hires Forecast'!$H$5:$H$85&gt;='Dev Ops'!BF$3),'New Hires Forecast'!$P$5:$P$85,'New Hires Forecast'!$L$5:$L$85)/12),0),IF(YEAR(BF$3)=YEAR('New Hires Forecast'!$Q$3),IF((BF$5&lt;=12),(SUMPRODUCT(--('New Hires Forecast'!$F$5:$F$85="Dev Ops"),--('New Hires Forecast'!$H$5:$H$85&gt;='Dev Ops'!BF$3),'New Hires Forecast'!$Q$5:$Q$85,'New Hires Forecast'!$L$5:$L$85)/12),0),IF(YEAR(BF$3)=YEAR('New Hires Forecast'!$R$3),IF((BF$5&lt;=12),(SUMPRODUCT(--('New Hires Forecast'!$F$5:$F$85="Dev Ops"),--('New Hires Forecast'!$H$5:$H$85&gt;='Dev Ops'!BF$3),'New Hires Forecast'!$R$5:$R$85,'New Hires Forecast'!$L$5:$L$85)/12),0),"New Year"))))),0)</f>
        <v>2210.2083333333335</v>
      </c>
      <c r="BG15" s="668">
        <f>IF(BG$4="forecast",IF(YEAR(BG$3)=YEAR('New Hires Forecast'!$N$3),IF((BG$5&lt;=12),(SUMPRODUCT(--('New Hires Forecast'!$F$5:$F$85="Dev Ops"),--('New Hires Forecast'!$H$5:$H$85&gt;='Dev Ops'!BG$3),'New Hires Forecast'!$N$5:$N$85,'New Hires Forecast'!$L$5:$L$85)/12),0),IF(YEAR(BG$3)=YEAR('New Hires Forecast'!$O$3),IF((BG$5&lt;=12),(SUMPRODUCT(--('New Hires Forecast'!$F$5:$F$85="Dev Ops"),--('New Hires Forecast'!$H$5:$H$85&gt;='Dev Ops'!BG$3),'New Hires Forecast'!$O$5:$O$85,'New Hires Forecast'!$L$5:$L$85)/12),0),IF(YEAR(BG$3)=YEAR('New Hires Forecast'!$P$3),IF((BG$5&lt;=12),(SUMPRODUCT(--('New Hires Forecast'!$F$5:$F$85="Dev Ops"),--('New Hires Forecast'!$H$5:$H$85&gt;='Dev Ops'!BG$3),'New Hires Forecast'!$P$5:$P$85,'New Hires Forecast'!$L$5:$L$85)/12),0),IF(YEAR(BG$3)=YEAR('New Hires Forecast'!$Q$3),IF((BG$5&lt;=12),(SUMPRODUCT(--('New Hires Forecast'!$F$5:$F$85="Dev Ops"),--('New Hires Forecast'!$H$5:$H$85&gt;='Dev Ops'!BG$3),'New Hires Forecast'!$Q$5:$Q$85,'New Hires Forecast'!$L$5:$L$85)/12),0),IF(YEAR(BG$3)=YEAR('New Hires Forecast'!$R$3),IF((BG$5&lt;=12),(SUMPRODUCT(--('New Hires Forecast'!$F$5:$F$85="Dev Ops"),--('New Hires Forecast'!$H$5:$H$85&gt;='Dev Ops'!BG$3),'New Hires Forecast'!$R$5:$R$85,'New Hires Forecast'!$L$5:$L$85)/12),0),"New Year"))))),0)</f>
        <v>2210.2083333333335</v>
      </c>
      <c r="BH15" s="668">
        <f>IF(BH$4="forecast",IF(YEAR(BH$3)=YEAR('New Hires Forecast'!$N$3),IF((BH$5&lt;=12),(SUMPRODUCT(--('New Hires Forecast'!$F$5:$F$85="Dev Ops"),--('New Hires Forecast'!$H$5:$H$85&gt;='Dev Ops'!BH$3),'New Hires Forecast'!$N$5:$N$85,'New Hires Forecast'!$L$5:$L$85)/12),0),IF(YEAR(BH$3)=YEAR('New Hires Forecast'!$O$3),IF((BH$5&lt;=12),(SUMPRODUCT(--('New Hires Forecast'!$F$5:$F$85="Dev Ops"),--('New Hires Forecast'!$H$5:$H$85&gt;='Dev Ops'!BH$3),'New Hires Forecast'!$O$5:$O$85,'New Hires Forecast'!$L$5:$L$85)/12),0),IF(YEAR(BH$3)=YEAR('New Hires Forecast'!$P$3),IF((BH$5&lt;=12),(SUMPRODUCT(--('New Hires Forecast'!$F$5:$F$85="Dev Ops"),--('New Hires Forecast'!$H$5:$H$85&gt;='Dev Ops'!BH$3),'New Hires Forecast'!$P$5:$P$85,'New Hires Forecast'!$L$5:$L$85)/12),0),IF(YEAR(BH$3)=YEAR('New Hires Forecast'!$Q$3),IF((BH$5&lt;=12),(SUMPRODUCT(--('New Hires Forecast'!$F$5:$F$85="Dev Ops"),--('New Hires Forecast'!$H$5:$H$85&gt;='Dev Ops'!BH$3),'New Hires Forecast'!$Q$5:$Q$85,'New Hires Forecast'!$L$5:$L$85)/12),0),IF(YEAR(BH$3)=YEAR('New Hires Forecast'!$R$3),IF((BH$5&lt;=12),(SUMPRODUCT(--('New Hires Forecast'!$F$5:$F$85="Dev Ops"),--('New Hires Forecast'!$H$5:$H$85&gt;='Dev Ops'!BH$3),'New Hires Forecast'!$R$5:$R$85,'New Hires Forecast'!$L$5:$L$85)/12),0),"New Year"))))),0)</f>
        <v>2210.2083333333335</v>
      </c>
      <c r="BI15" s="668">
        <f>IF(BI$4="forecast",IF(YEAR(BI$3)=YEAR('New Hires Forecast'!$N$3),IF((BI$5&lt;=12),(SUMPRODUCT(--('New Hires Forecast'!$F$5:$F$85="Dev Ops"),--('New Hires Forecast'!$H$5:$H$85&gt;='Dev Ops'!BI$3),'New Hires Forecast'!$N$5:$N$85,'New Hires Forecast'!$L$5:$L$85)/12),0),IF(YEAR(BI$3)=YEAR('New Hires Forecast'!$O$3),IF((BI$5&lt;=12),(SUMPRODUCT(--('New Hires Forecast'!$F$5:$F$85="Dev Ops"),--('New Hires Forecast'!$H$5:$H$85&gt;='Dev Ops'!BI$3),'New Hires Forecast'!$O$5:$O$85,'New Hires Forecast'!$L$5:$L$85)/12),0),IF(YEAR(BI$3)=YEAR('New Hires Forecast'!$P$3),IF((BI$5&lt;=12),(SUMPRODUCT(--('New Hires Forecast'!$F$5:$F$85="Dev Ops"),--('New Hires Forecast'!$H$5:$H$85&gt;='Dev Ops'!BI$3),'New Hires Forecast'!$P$5:$P$85,'New Hires Forecast'!$L$5:$L$85)/12),0),IF(YEAR(BI$3)=YEAR('New Hires Forecast'!$Q$3),IF((BI$5&lt;=12),(SUMPRODUCT(--('New Hires Forecast'!$F$5:$F$85="Dev Ops"),--('New Hires Forecast'!$H$5:$H$85&gt;='Dev Ops'!BI$3),'New Hires Forecast'!$Q$5:$Q$85,'New Hires Forecast'!$L$5:$L$85)/12),0),IF(YEAR(BI$3)=YEAR('New Hires Forecast'!$R$3),IF((BI$5&lt;=12),(SUMPRODUCT(--('New Hires Forecast'!$F$5:$F$85="Dev Ops"),--('New Hires Forecast'!$H$5:$H$85&gt;='Dev Ops'!BI$3),'New Hires Forecast'!$R$5:$R$85,'New Hires Forecast'!$L$5:$L$85)/12),0),"New Year"))))),0)</f>
        <v>2210.2083333333335</v>
      </c>
      <c r="BJ15" s="668">
        <f>IF(BJ$4="forecast",IF(YEAR(BJ$3)=YEAR('New Hires Forecast'!$N$3),IF((BJ$5&lt;=12),(SUMPRODUCT(--('New Hires Forecast'!$F$5:$F$85="Dev Ops"),--('New Hires Forecast'!$H$5:$H$85&gt;='Dev Ops'!BJ$3),'New Hires Forecast'!$N$5:$N$85,'New Hires Forecast'!$L$5:$L$85)/12),0),IF(YEAR(BJ$3)=YEAR('New Hires Forecast'!$O$3),IF((BJ$5&lt;=12),(SUMPRODUCT(--('New Hires Forecast'!$F$5:$F$85="Dev Ops"),--('New Hires Forecast'!$H$5:$H$85&gt;='Dev Ops'!BJ$3),'New Hires Forecast'!$O$5:$O$85,'New Hires Forecast'!$L$5:$L$85)/12),0),IF(YEAR(BJ$3)=YEAR('New Hires Forecast'!$P$3),IF((BJ$5&lt;=12),(SUMPRODUCT(--('New Hires Forecast'!$F$5:$F$85="Dev Ops"),--('New Hires Forecast'!$H$5:$H$85&gt;='Dev Ops'!BJ$3),'New Hires Forecast'!$P$5:$P$85,'New Hires Forecast'!$L$5:$L$85)/12),0),IF(YEAR(BJ$3)=YEAR('New Hires Forecast'!$Q$3),IF((BJ$5&lt;=12),(SUMPRODUCT(--('New Hires Forecast'!$F$5:$F$85="Dev Ops"),--('New Hires Forecast'!$H$5:$H$85&gt;='Dev Ops'!BJ$3),'New Hires Forecast'!$Q$5:$Q$85,'New Hires Forecast'!$L$5:$L$85)/12),0),IF(YEAR(BJ$3)=YEAR('New Hires Forecast'!$R$3),IF((BJ$5&lt;=12),(SUMPRODUCT(--('New Hires Forecast'!$F$5:$F$85="Dev Ops"),--('New Hires Forecast'!$H$5:$H$85&gt;='Dev Ops'!BJ$3),'New Hires Forecast'!$R$5:$R$85,'New Hires Forecast'!$L$5:$L$85)/12),0),"New Year"))))),0)</f>
        <v>2210.2083333333335</v>
      </c>
      <c r="BK15" s="668">
        <f>IF(BK$4="forecast",IF(YEAR(BK$3)=YEAR('New Hires Forecast'!$N$3),IF((BK$5&lt;=12),(SUMPRODUCT(--('New Hires Forecast'!$F$5:$F$85="Dev Ops"),--('New Hires Forecast'!$H$5:$H$85&gt;='Dev Ops'!BK$3),'New Hires Forecast'!$N$5:$N$85,'New Hires Forecast'!$L$5:$L$85)/12),0),IF(YEAR(BK$3)=YEAR('New Hires Forecast'!$O$3),IF((BK$5&lt;=12),(SUMPRODUCT(--('New Hires Forecast'!$F$5:$F$85="Dev Ops"),--('New Hires Forecast'!$H$5:$H$85&gt;='Dev Ops'!BK$3),'New Hires Forecast'!$O$5:$O$85,'New Hires Forecast'!$L$5:$L$85)/12),0),IF(YEAR(BK$3)=YEAR('New Hires Forecast'!$P$3),IF((BK$5&lt;=12),(SUMPRODUCT(--('New Hires Forecast'!$F$5:$F$85="Dev Ops"),--('New Hires Forecast'!$H$5:$H$85&gt;='Dev Ops'!BK$3),'New Hires Forecast'!$P$5:$P$85,'New Hires Forecast'!$L$5:$L$85)/12),0),IF(YEAR(BK$3)=YEAR('New Hires Forecast'!$Q$3),IF((BK$5&lt;=12),(SUMPRODUCT(--('New Hires Forecast'!$F$5:$F$85="Dev Ops"),--('New Hires Forecast'!$H$5:$H$85&gt;='Dev Ops'!BK$3),'New Hires Forecast'!$Q$5:$Q$85,'New Hires Forecast'!$L$5:$L$85)/12),0),IF(YEAR(BK$3)=YEAR('New Hires Forecast'!$R$3),IF((BK$5&lt;=12),(SUMPRODUCT(--('New Hires Forecast'!$F$5:$F$85="Dev Ops"),--('New Hires Forecast'!$H$5:$H$85&gt;='Dev Ops'!BK$3),'New Hires Forecast'!$R$5:$R$85,'New Hires Forecast'!$L$5:$L$85)/12),0),"New Year"))))),0)</f>
        <v>2276.5145833333336</v>
      </c>
      <c r="BL15" s="668">
        <f>IF(BL$4="forecast",IF(YEAR(BL$3)=YEAR('New Hires Forecast'!$N$3),IF((BL$5&lt;=12),(SUMPRODUCT(--('New Hires Forecast'!$F$5:$F$85="Dev Ops"),--('New Hires Forecast'!$H$5:$H$85&gt;='Dev Ops'!BL$3),'New Hires Forecast'!$N$5:$N$85,'New Hires Forecast'!$L$5:$L$85)/12),0),IF(YEAR(BL$3)=YEAR('New Hires Forecast'!$O$3),IF((BL$5&lt;=12),(SUMPRODUCT(--('New Hires Forecast'!$F$5:$F$85="Dev Ops"),--('New Hires Forecast'!$H$5:$H$85&gt;='Dev Ops'!BL$3),'New Hires Forecast'!$O$5:$O$85,'New Hires Forecast'!$L$5:$L$85)/12),0),IF(YEAR(BL$3)=YEAR('New Hires Forecast'!$P$3),IF((BL$5&lt;=12),(SUMPRODUCT(--('New Hires Forecast'!$F$5:$F$85="Dev Ops"),--('New Hires Forecast'!$H$5:$H$85&gt;='Dev Ops'!BL$3),'New Hires Forecast'!$P$5:$P$85,'New Hires Forecast'!$L$5:$L$85)/12),0),IF(YEAR(BL$3)=YEAR('New Hires Forecast'!$Q$3),IF((BL$5&lt;=12),(SUMPRODUCT(--('New Hires Forecast'!$F$5:$F$85="Dev Ops"),--('New Hires Forecast'!$H$5:$H$85&gt;='Dev Ops'!BL$3),'New Hires Forecast'!$Q$5:$Q$85,'New Hires Forecast'!$L$5:$L$85)/12),0),IF(YEAR(BL$3)=YEAR('New Hires Forecast'!$R$3),IF((BL$5&lt;=12),(SUMPRODUCT(--('New Hires Forecast'!$F$5:$F$85="Dev Ops"),--('New Hires Forecast'!$H$5:$H$85&gt;='Dev Ops'!BL$3),'New Hires Forecast'!$R$5:$R$85,'New Hires Forecast'!$L$5:$L$85)/12),0),"New Year"))))),0)</f>
        <v>2276.5145833333336</v>
      </c>
      <c r="BM15" s="668">
        <f>IF(BM$4="forecast",IF(YEAR(BM$3)=YEAR('New Hires Forecast'!$N$3),IF((BM$5&lt;=12),(SUMPRODUCT(--('New Hires Forecast'!$F$5:$F$85="Dev Ops"),--('New Hires Forecast'!$H$5:$H$85&gt;='Dev Ops'!BM$3),'New Hires Forecast'!$N$5:$N$85,'New Hires Forecast'!$L$5:$L$85)/12),0),IF(YEAR(BM$3)=YEAR('New Hires Forecast'!$O$3),IF((BM$5&lt;=12),(SUMPRODUCT(--('New Hires Forecast'!$F$5:$F$85="Dev Ops"),--('New Hires Forecast'!$H$5:$H$85&gt;='Dev Ops'!BM$3),'New Hires Forecast'!$O$5:$O$85,'New Hires Forecast'!$L$5:$L$85)/12),0),IF(YEAR(BM$3)=YEAR('New Hires Forecast'!$P$3),IF((BM$5&lt;=12),(SUMPRODUCT(--('New Hires Forecast'!$F$5:$F$85="Dev Ops"),--('New Hires Forecast'!$H$5:$H$85&gt;='Dev Ops'!BM$3),'New Hires Forecast'!$P$5:$P$85,'New Hires Forecast'!$L$5:$L$85)/12),0),IF(YEAR(BM$3)=YEAR('New Hires Forecast'!$Q$3),IF((BM$5&lt;=12),(SUMPRODUCT(--('New Hires Forecast'!$F$5:$F$85="Dev Ops"),--('New Hires Forecast'!$H$5:$H$85&gt;='Dev Ops'!BM$3),'New Hires Forecast'!$Q$5:$Q$85,'New Hires Forecast'!$L$5:$L$85)/12),0),IF(YEAR(BM$3)=YEAR('New Hires Forecast'!$R$3),IF((BM$5&lt;=12),(SUMPRODUCT(--('New Hires Forecast'!$F$5:$F$85="Dev Ops"),--('New Hires Forecast'!$H$5:$H$85&gt;='Dev Ops'!BM$3),'New Hires Forecast'!$R$5:$R$85,'New Hires Forecast'!$L$5:$L$85)/12),0),"New Year"))))),0)</f>
        <v>2276.5145833333336</v>
      </c>
      <c r="BN15" s="668">
        <f>IF(BN$4="forecast",IF(YEAR(BN$3)=YEAR('New Hires Forecast'!$N$3),IF((BN$5&lt;=12),(SUMPRODUCT(--('New Hires Forecast'!$F$5:$F$85="Dev Ops"),--('New Hires Forecast'!$H$5:$H$85&gt;='Dev Ops'!BN$3),'New Hires Forecast'!$N$5:$N$85,'New Hires Forecast'!$L$5:$L$85)/12),0),IF(YEAR(BN$3)=YEAR('New Hires Forecast'!$O$3),IF((BN$5&lt;=12),(SUMPRODUCT(--('New Hires Forecast'!$F$5:$F$85="Dev Ops"),--('New Hires Forecast'!$H$5:$H$85&gt;='Dev Ops'!BN$3),'New Hires Forecast'!$O$5:$O$85,'New Hires Forecast'!$L$5:$L$85)/12),0),IF(YEAR(BN$3)=YEAR('New Hires Forecast'!$P$3),IF((BN$5&lt;=12),(SUMPRODUCT(--('New Hires Forecast'!$F$5:$F$85="Dev Ops"),--('New Hires Forecast'!$H$5:$H$85&gt;='Dev Ops'!BN$3),'New Hires Forecast'!$P$5:$P$85,'New Hires Forecast'!$L$5:$L$85)/12),0),IF(YEAR(BN$3)=YEAR('New Hires Forecast'!$Q$3),IF((BN$5&lt;=12),(SUMPRODUCT(--('New Hires Forecast'!$F$5:$F$85="Dev Ops"),--('New Hires Forecast'!$H$5:$H$85&gt;='Dev Ops'!BN$3),'New Hires Forecast'!$Q$5:$Q$85,'New Hires Forecast'!$L$5:$L$85)/12),0),IF(YEAR(BN$3)=YEAR('New Hires Forecast'!$R$3),IF((BN$5&lt;=12),(SUMPRODUCT(--('New Hires Forecast'!$F$5:$F$85="Dev Ops"),--('New Hires Forecast'!$H$5:$H$85&gt;='Dev Ops'!BN$3),'New Hires Forecast'!$R$5:$R$85,'New Hires Forecast'!$L$5:$L$85)/12),0),"New Year"))))),0)</f>
        <v>2276.5145833333336</v>
      </c>
      <c r="BO15" s="668">
        <f>IF(BO$4="forecast",IF(YEAR(BO$3)=YEAR('New Hires Forecast'!$N$3),IF((BO$5&lt;=12),(SUMPRODUCT(--('New Hires Forecast'!$F$5:$F$85="Dev Ops"),--('New Hires Forecast'!$H$5:$H$85&gt;='Dev Ops'!BO$3),'New Hires Forecast'!$N$5:$N$85,'New Hires Forecast'!$L$5:$L$85)/12),0),IF(YEAR(BO$3)=YEAR('New Hires Forecast'!$O$3),IF((BO$5&lt;=12),(SUMPRODUCT(--('New Hires Forecast'!$F$5:$F$85="Dev Ops"),--('New Hires Forecast'!$H$5:$H$85&gt;='Dev Ops'!BO$3),'New Hires Forecast'!$O$5:$O$85,'New Hires Forecast'!$L$5:$L$85)/12),0),IF(YEAR(BO$3)=YEAR('New Hires Forecast'!$P$3),IF((BO$5&lt;=12),(SUMPRODUCT(--('New Hires Forecast'!$F$5:$F$85="Dev Ops"),--('New Hires Forecast'!$H$5:$H$85&gt;='Dev Ops'!BO$3),'New Hires Forecast'!$P$5:$P$85,'New Hires Forecast'!$L$5:$L$85)/12),0),IF(YEAR(BO$3)=YEAR('New Hires Forecast'!$Q$3),IF((BO$5&lt;=12),(SUMPRODUCT(--('New Hires Forecast'!$F$5:$F$85="Dev Ops"),--('New Hires Forecast'!$H$5:$H$85&gt;='Dev Ops'!BO$3),'New Hires Forecast'!$Q$5:$Q$85,'New Hires Forecast'!$L$5:$L$85)/12),0),IF(YEAR(BO$3)=YEAR('New Hires Forecast'!$R$3),IF((BO$5&lt;=12),(SUMPRODUCT(--('New Hires Forecast'!$F$5:$F$85="Dev Ops"),--('New Hires Forecast'!$H$5:$H$85&gt;='Dev Ops'!BO$3),'New Hires Forecast'!$R$5:$R$85,'New Hires Forecast'!$L$5:$L$85)/12),0),"New Year"))))),0)</f>
        <v>2276.5145833333336</v>
      </c>
      <c r="BP15" s="668">
        <f>IF(BP$4="forecast",IF(YEAR(BP$3)=YEAR('New Hires Forecast'!$N$3),IF((BP$5&lt;=12),(SUMPRODUCT(--('New Hires Forecast'!$F$5:$F$85="Dev Ops"),--('New Hires Forecast'!$H$5:$H$85&gt;='Dev Ops'!BP$3),'New Hires Forecast'!$N$5:$N$85,'New Hires Forecast'!$L$5:$L$85)/12),0),IF(YEAR(BP$3)=YEAR('New Hires Forecast'!$O$3),IF((BP$5&lt;=12),(SUMPRODUCT(--('New Hires Forecast'!$F$5:$F$85="Dev Ops"),--('New Hires Forecast'!$H$5:$H$85&gt;='Dev Ops'!BP$3),'New Hires Forecast'!$O$5:$O$85,'New Hires Forecast'!$L$5:$L$85)/12),0),IF(YEAR(BP$3)=YEAR('New Hires Forecast'!$P$3),IF((BP$5&lt;=12),(SUMPRODUCT(--('New Hires Forecast'!$F$5:$F$85="Dev Ops"),--('New Hires Forecast'!$H$5:$H$85&gt;='Dev Ops'!BP$3),'New Hires Forecast'!$P$5:$P$85,'New Hires Forecast'!$L$5:$L$85)/12),0),IF(YEAR(BP$3)=YEAR('New Hires Forecast'!$Q$3),IF((BP$5&lt;=12),(SUMPRODUCT(--('New Hires Forecast'!$F$5:$F$85="Dev Ops"),--('New Hires Forecast'!$H$5:$H$85&gt;='Dev Ops'!BP$3),'New Hires Forecast'!$Q$5:$Q$85,'New Hires Forecast'!$L$5:$L$85)/12),0),IF(YEAR(BP$3)=YEAR('New Hires Forecast'!$R$3),IF((BP$5&lt;=12),(SUMPRODUCT(--('New Hires Forecast'!$F$5:$F$85="Dev Ops"),--('New Hires Forecast'!$H$5:$H$85&gt;='Dev Ops'!BP$3),'New Hires Forecast'!$R$5:$R$85,'New Hires Forecast'!$L$5:$L$85)/12),0),"New Year"))))),0)</f>
        <v>2276.5145833333336</v>
      </c>
      <c r="BQ15" s="668">
        <f>IF(BQ$4="forecast",IF(YEAR(BQ$3)=YEAR('New Hires Forecast'!$N$3),IF((BQ$5&lt;=12),(SUMPRODUCT(--('New Hires Forecast'!$F$5:$F$85="Dev Ops"),--('New Hires Forecast'!$H$5:$H$85&gt;='Dev Ops'!BQ$3),'New Hires Forecast'!$N$5:$N$85,'New Hires Forecast'!$L$5:$L$85)/12),0),IF(YEAR(BQ$3)=YEAR('New Hires Forecast'!$O$3),IF((BQ$5&lt;=12),(SUMPRODUCT(--('New Hires Forecast'!$F$5:$F$85="Dev Ops"),--('New Hires Forecast'!$H$5:$H$85&gt;='Dev Ops'!BQ$3),'New Hires Forecast'!$O$5:$O$85,'New Hires Forecast'!$L$5:$L$85)/12),0),IF(YEAR(BQ$3)=YEAR('New Hires Forecast'!$P$3),IF((BQ$5&lt;=12),(SUMPRODUCT(--('New Hires Forecast'!$F$5:$F$85="Dev Ops"),--('New Hires Forecast'!$H$5:$H$85&gt;='Dev Ops'!BQ$3),'New Hires Forecast'!$P$5:$P$85,'New Hires Forecast'!$L$5:$L$85)/12),0),IF(YEAR(BQ$3)=YEAR('New Hires Forecast'!$Q$3),IF((BQ$5&lt;=12),(SUMPRODUCT(--('New Hires Forecast'!$F$5:$F$85="Dev Ops"),--('New Hires Forecast'!$H$5:$H$85&gt;='Dev Ops'!BQ$3),'New Hires Forecast'!$Q$5:$Q$85,'New Hires Forecast'!$L$5:$L$85)/12),0),IF(YEAR(BQ$3)=YEAR('New Hires Forecast'!$R$3),IF((BQ$5&lt;=12),(SUMPRODUCT(--('New Hires Forecast'!$F$5:$F$85="Dev Ops"),--('New Hires Forecast'!$H$5:$H$85&gt;='Dev Ops'!BQ$3),'New Hires Forecast'!$R$5:$R$85,'New Hires Forecast'!$L$5:$L$85)/12),0),"New Year"))))),0)</f>
        <v>2276.5145833333336</v>
      </c>
      <c r="BR15" s="668">
        <f>IF(BR$4="forecast",IF(YEAR(BR$3)=YEAR('New Hires Forecast'!$N$3),IF((BR$5&lt;=12),(SUMPRODUCT(--('New Hires Forecast'!$F$5:$F$85="Dev Ops"),--('New Hires Forecast'!$H$5:$H$85&gt;='Dev Ops'!BR$3),'New Hires Forecast'!$N$5:$N$85,'New Hires Forecast'!$L$5:$L$85)/12),0),IF(YEAR(BR$3)=YEAR('New Hires Forecast'!$O$3),IF((BR$5&lt;=12),(SUMPRODUCT(--('New Hires Forecast'!$F$5:$F$85="Dev Ops"),--('New Hires Forecast'!$H$5:$H$85&gt;='Dev Ops'!BR$3),'New Hires Forecast'!$O$5:$O$85,'New Hires Forecast'!$L$5:$L$85)/12),0),IF(YEAR(BR$3)=YEAR('New Hires Forecast'!$P$3),IF((BR$5&lt;=12),(SUMPRODUCT(--('New Hires Forecast'!$F$5:$F$85="Dev Ops"),--('New Hires Forecast'!$H$5:$H$85&gt;='Dev Ops'!BR$3),'New Hires Forecast'!$P$5:$P$85,'New Hires Forecast'!$L$5:$L$85)/12),0),IF(YEAR(BR$3)=YEAR('New Hires Forecast'!$Q$3),IF((BR$5&lt;=12),(SUMPRODUCT(--('New Hires Forecast'!$F$5:$F$85="Dev Ops"),--('New Hires Forecast'!$H$5:$H$85&gt;='Dev Ops'!BR$3),'New Hires Forecast'!$Q$5:$Q$85,'New Hires Forecast'!$L$5:$L$85)/12),0),IF(YEAR(BR$3)=YEAR('New Hires Forecast'!$R$3),IF((BR$5&lt;=12),(SUMPRODUCT(--('New Hires Forecast'!$F$5:$F$85="Dev Ops"),--('New Hires Forecast'!$H$5:$H$85&gt;='Dev Ops'!BR$3),'New Hires Forecast'!$R$5:$R$85,'New Hires Forecast'!$L$5:$L$85)/12),0),"New Year"))))),0)</f>
        <v>2276.5145833333336</v>
      </c>
      <c r="BS15" s="668">
        <f>IF(BS$4="forecast",IF(YEAR(BS$3)=YEAR('New Hires Forecast'!$N$3),IF((BS$5&lt;=12),(SUMPRODUCT(--('New Hires Forecast'!$F$5:$F$85="Dev Ops"),--('New Hires Forecast'!$H$5:$H$85&gt;='Dev Ops'!BS$3),'New Hires Forecast'!$N$5:$N$85,'New Hires Forecast'!$L$5:$L$85)/12),0),IF(YEAR(BS$3)=YEAR('New Hires Forecast'!$O$3),IF((BS$5&lt;=12),(SUMPRODUCT(--('New Hires Forecast'!$F$5:$F$85="Dev Ops"),--('New Hires Forecast'!$H$5:$H$85&gt;='Dev Ops'!BS$3),'New Hires Forecast'!$O$5:$O$85,'New Hires Forecast'!$L$5:$L$85)/12),0),IF(YEAR(BS$3)=YEAR('New Hires Forecast'!$P$3),IF((BS$5&lt;=12),(SUMPRODUCT(--('New Hires Forecast'!$F$5:$F$85="Dev Ops"),--('New Hires Forecast'!$H$5:$H$85&gt;='Dev Ops'!BS$3),'New Hires Forecast'!$P$5:$P$85,'New Hires Forecast'!$L$5:$L$85)/12),0),IF(YEAR(BS$3)=YEAR('New Hires Forecast'!$Q$3),IF((BS$5&lt;=12),(SUMPRODUCT(--('New Hires Forecast'!$F$5:$F$85="Dev Ops"),--('New Hires Forecast'!$H$5:$H$85&gt;='Dev Ops'!BS$3),'New Hires Forecast'!$Q$5:$Q$85,'New Hires Forecast'!$L$5:$L$85)/12),0),IF(YEAR(BS$3)=YEAR('New Hires Forecast'!$R$3),IF((BS$5&lt;=12),(SUMPRODUCT(--('New Hires Forecast'!$F$5:$F$85="Dev Ops"),--('New Hires Forecast'!$H$5:$H$85&gt;='Dev Ops'!BS$3),'New Hires Forecast'!$R$5:$R$85,'New Hires Forecast'!$L$5:$L$85)/12),0),"New Year"))))),0)</f>
        <v>2276.5145833333336</v>
      </c>
      <c r="BT15" s="668">
        <f>IF(BT$4="forecast",IF(YEAR(BT$3)=YEAR('New Hires Forecast'!$N$3),IF((BT$5&lt;=12),(SUMPRODUCT(--('New Hires Forecast'!$F$5:$F$85="Dev Ops"),--('New Hires Forecast'!$H$5:$H$85&gt;='Dev Ops'!BT$3),'New Hires Forecast'!$N$5:$N$85,'New Hires Forecast'!$L$5:$L$85)/12),0),IF(YEAR(BT$3)=YEAR('New Hires Forecast'!$O$3),IF((BT$5&lt;=12),(SUMPRODUCT(--('New Hires Forecast'!$F$5:$F$85="Dev Ops"),--('New Hires Forecast'!$H$5:$H$85&gt;='Dev Ops'!BT$3),'New Hires Forecast'!$O$5:$O$85,'New Hires Forecast'!$L$5:$L$85)/12),0),IF(YEAR(BT$3)=YEAR('New Hires Forecast'!$P$3),IF((BT$5&lt;=12),(SUMPRODUCT(--('New Hires Forecast'!$F$5:$F$85="Dev Ops"),--('New Hires Forecast'!$H$5:$H$85&gt;='Dev Ops'!BT$3),'New Hires Forecast'!$P$5:$P$85,'New Hires Forecast'!$L$5:$L$85)/12),0),IF(YEAR(BT$3)=YEAR('New Hires Forecast'!$Q$3),IF((BT$5&lt;=12),(SUMPRODUCT(--('New Hires Forecast'!$F$5:$F$85="Dev Ops"),--('New Hires Forecast'!$H$5:$H$85&gt;='Dev Ops'!BT$3),'New Hires Forecast'!$Q$5:$Q$85,'New Hires Forecast'!$L$5:$L$85)/12),0),IF(YEAR(BT$3)=YEAR('New Hires Forecast'!$R$3),IF((BT$5&lt;=12),(SUMPRODUCT(--('New Hires Forecast'!$F$5:$F$85="Dev Ops"),--('New Hires Forecast'!$H$5:$H$85&gt;='Dev Ops'!BT$3),'New Hires Forecast'!$R$5:$R$85,'New Hires Forecast'!$L$5:$L$85)/12),0),"New Year"))))),0)</f>
        <v>2276.5145833333336</v>
      </c>
      <c r="BU15" s="668">
        <f>IF(BU$4="forecast",IF(YEAR(BU$3)=YEAR('New Hires Forecast'!$N$3),IF((BU$5&lt;=12),(SUMPRODUCT(--('New Hires Forecast'!$F$5:$F$85="Dev Ops"),--('New Hires Forecast'!$H$5:$H$85&gt;='Dev Ops'!BU$3),'New Hires Forecast'!$N$5:$N$85,'New Hires Forecast'!$L$5:$L$85)/12),0),IF(YEAR(BU$3)=YEAR('New Hires Forecast'!$O$3),IF((BU$5&lt;=12),(SUMPRODUCT(--('New Hires Forecast'!$F$5:$F$85="Dev Ops"),--('New Hires Forecast'!$H$5:$H$85&gt;='Dev Ops'!BU$3),'New Hires Forecast'!$O$5:$O$85,'New Hires Forecast'!$L$5:$L$85)/12),0),IF(YEAR(BU$3)=YEAR('New Hires Forecast'!$P$3),IF((BU$5&lt;=12),(SUMPRODUCT(--('New Hires Forecast'!$F$5:$F$85="Dev Ops"),--('New Hires Forecast'!$H$5:$H$85&gt;='Dev Ops'!BU$3),'New Hires Forecast'!$P$5:$P$85,'New Hires Forecast'!$L$5:$L$85)/12),0),IF(YEAR(BU$3)=YEAR('New Hires Forecast'!$Q$3),IF((BU$5&lt;=12),(SUMPRODUCT(--('New Hires Forecast'!$F$5:$F$85="Dev Ops"),--('New Hires Forecast'!$H$5:$H$85&gt;='Dev Ops'!BU$3),'New Hires Forecast'!$Q$5:$Q$85,'New Hires Forecast'!$L$5:$L$85)/12),0),IF(YEAR(BU$3)=YEAR('New Hires Forecast'!$R$3),IF((BU$5&lt;=12),(SUMPRODUCT(--('New Hires Forecast'!$F$5:$F$85="Dev Ops"),--('New Hires Forecast'!$H$5:$H$85&gt;='Dev Ops'!BU$3),'New Hires Forecast'!$R$5:$R$85,'New Hires Forecast'!$L$5:$L$85)/12),0),"New Year"))))),0)</f>
        <v>2276.5145833333336</v>
      </c>
      <c r="BV15" s="668">
        <f>IF(BV$4="forecast",IF(YEAR(BV$3)=YEAR('New Hires Forecast'!$N$3),IF((BV$5&lt;=12),(SUMPRODUCT(--('New Hires Forecast'!$F$5:$F$85="Dev Ops"),--('New Hires Forecast'!$H$5:$H$85&gt;='Dev Ops'!BV$3),'New Hires Forecast'!$N$5:$N$85,'New Hires Forecast'!$L$5:$L$85)/12),0),IF(YEAR(BV$3)=YEAR('New Hires Forecast'!$O$3),IF((BV$5&lt;=12),(SUMPRODUCT(--('New Hires Forecast'!$F$5:$F$85="Dev Ops"),--('New Hires Forecast'!$H$5:$H$85&gt;='Dev Ops'!BV$3),'New Hires Forecast'!$O$5:$O$85,'New Hires Forecast'!$L$5:$L$85)/12),0),IF(YEAR(BV$3)=YEAR('New Hires Forecast'!$P$3),IF((BV$5&lt;=12),(SUMPRODUCT(--('New Hires Forecast'!$F$5:$F$85="Dev Ops"),--('New Hires Forecast'!$H$5:$H$85&gt;='Dev Ops'!BV$3),'New Hires Forecast'!$P$5:$P$85,'New Hires Forecast'!$L$5:$L$85)/12),0),IF(YEAR(BV$3)=YEAR('New Hires Forecast'!$Q$3),IF((BV$5&lt;=12),(SUMPRODUCT(--('New Hires Forecast'!$F$5:$F$85="Dev Ops"),--('New Hires Forecast'!$H$5:$H$85&gt;='Dev Ops'!BV$3),'New Hires Forecast'!$Q$5:$Q$85,'New Hires Forecast'!$L$5:$L$85)/12),0),IF(YEAR(BV$3)=YEAR('New Hires Forecast'!$R$3),IF((BV$5&lt;=12),(SUMPRODUCT(--('New Hires Forecast'!$F$5:$F$85="Dev Ops"),--('New Hires Forecast'!$H$5:$H$85&gt;='Dev Ops'!BV$3),'New Hires Forecast'!$R$5:$R$85,'New Hires Forecast'!$L$5:$L$85)/12),0),"New Year"))))),0)</f>
        <v>2276.5145833333336</v>
      </c>
    </row>
    <row r="16" spans="2:74" x14ac:dyDescent="0.25">
      <c r="B16" s="780" t="s">
        <v>930</v>
      </c>
      <c r="C16" s="668">
        <f>IF(C$4="forecast",IF(YEAR(C$3)=YEAR(Headcount!$N$4),IF((C$5&lt;12),(SUMPRODUCT(--(Headcount!$F$6:$F$92="Development Operations"),--(Headcount!$H$6:$H$92&gt;=Sales!C$3),Headcount!$N$6:$N$92,Headcount!$L$6:$L$92)/12),0),IF(YEAR(C$3)=YEAR(Headcount!$O$4),IF((C$5&lt;=12),(SUMPRODUCT(--(Headcount!$F$6:$F$92="Development Operations"),--(Headcount!$H$6:$H$92&gt;=Sales!C$3),Headcount!$O$6:$O$92,Headcount!$L$6:$L$92)/12),0),IF(YEAR(C$3)=YEAR(Headcount!$P$4),IF((C$5&lt;=12),(SUMPRODUCT(--(Headcount!$F$6:$F$92="Development Operations"),--(Headcount!$H$6:$H$92&gt;=Sales!C$3),Headcount!$P$6:$P$92,Headcount!$L$6:$L$92)/12),0),IF(YEAR(C$3)=YEAR(Headcount!$Q$4),IF((C$5&lt;=12),(SUMPRODUCT(--(Headcount!$F$6:$F$92="Development Operations"),--(Headcount!$H$6:$H$92&gt;=Sales!C$3),Headcount!$Q$6:$Q$92,Headcount!$L$6:$L$92)/12),0),IF(YEAR(C$3)=YEAR(Headcount!$R$4),IF((C$5&lt;=12),(SUMPRODUCT(--(Headcount!$F$6:$F$92="Development Operations"),--(Headcount!$H$6:$H$92&gt;=Sales!C$3),Headcount!$R$6:$R$92,Headcount!$L$6:$L$92)/12),0),"New Year"))))),SUMIF('Dept. Cost Actuals'!$E$7:$E$176,"*bonus*",'Dept. Cost Actuals'!G$703:G$872))</f>
        <v>0</v>
      </c>
      <c r="D16" s="668">
        <f>IF(D$4="forecast",IF(YEAR(D$3)=YEAR(Headcount!$N$4),IF((D$5&lt;12),(SUMPRODUCT(--(Headcount!$F$6:$F$92="Development Operations"),--(Headcount!$H$6:$H$92&gt;=Sales!D$3),Headcount!$N$6:$N$92,Headcount!$L$6:$L$92)/12),0),IF(YEAR(D$3)=YEAR(Headcount!$O$4),IF((D$5&lt;=12),(SUMPRODUCT(--(Headcount!$F$6:$F$92="Development Operations"),--(Headcount!$H$6:$H$92&gt;=Sales!D$3),Headcount!$O$6:$O$92,Headcount!$L$6:$L$92)/12),0),IF(YEAR(D$3)=YEAR(Headcount!$P$4),IF((D$5&lt;=12),(SUMPRODUCT(--(Headcount!$F$6:$F$92="Development Operations"),--(Headcount!$H$6:$H$92&gt;=Sales!D$3),Headcount!$P$6:$P$92,Headcount!$L$6:$L$92)/12),0),IF(YEAR(D$3)=YEAR(Headcount!$Q$4),IF((D$5&lt;=12),(SUMPRODUCT(--(Headcount!$F$6:$F$92="Development Operations"),--(Headcount!$H$6:$H$92&gt;=Sales!D$3),Headcount!$Q$6:$Q$92,Headcount!$L$6:$L$92)/12),0),IF(YEAR(D$3)=YEAR(Headcount!$R$4),IF((D$5&lt;=12),(SUMPRODUCT(--(Headcount!$F$6:$F$92="Development Operations"),--(Headcount!$H$6:$H$92&gt;=Sales!D$3),Headcount!$R$6:$R$92,Headcount!$L$6:$L$92)/12),0),"New Year"))))),SUMIF('Dept. Cost Actuals'!$E$7:$E$176,"*bonus*",'Dept. Cost Actuals'!H$703:H$872))</f>
        <v>0</v>
      </c>
      <c r="E16" s="668">
        <f>IF(E$4="forecast",IF(YEAR(E$3)=YEAR(Headcount!$N$4),IF((E$5&lt;12),(SUMPRODUCT(--(Headcount!$F$6:$F$92="Development Operations"),--(Headcount!$H$6:$H$92&gt;=Sales!E$3),Headcount!$N$6:$N$92,Headcount!$L$6:$L$92)/12),0),IF(YEAR(E$3)=YEAR(Headcount!$O$4),IF((E$5&lt;=12),(SUMPRODUCT(--(Headcount!$F$6:$F$92="Development Operations"),--(Headcount!$H$6:$H$92&gt;=Sales!E$3),Headcount!$O$6:$O$92,Headcount!$L$6:$L$92)/12),0),IF(YEAR(E$3)=YEAR(Headcount!$P$4),IF((E$5&lt;=12),(SUMPRODUCT(--(Headcount!$F$6:$F$92="Development Operations"),--(Headcount!$H$6:$H$92&gt;=Sales!E$3),Headcount!$P$6:$P$92,Headcount!$L$6:$L$92)/12),0),IF(YEAR(E$3)=YEAR(Headcount!$Q$4),IF((E$5&lt;=12),(SUMPRODUCT(--(Headcount!$F$6:$F$92="Development Operations"),--(Headcount!$H$6:$H$92&gt;=Sales!E$3),Headcount!$Q$6:$Q$92,Headcount!$L$6:$L$92)/12),0),IF(YEAR(E$3)=YEAR(Headcount!$R$4),IF((E$5&lt;=12),(SUMPRODUCT(--(Headcount!$F$6:$F$92="Development Operations"),--(Headcount!$H$6:$H$92&gt;=Sales!E$3),Headcount!$R$6:$R$92,Headcount!$L$6:$L$92)/12),0),"New Year"))))),SUMIF('Dept. Cost Actuals'!$E$7:$E$176,"*bonus*",'Dept. Cost Actuals'!I$703:I$872))</f>
        <v>0</v>
      </c>
      <c r="F16" s="668">
        <f>IF(F$4="forecast",IF(YEAR(F$3)=YEAR(Headcount!$N$4),IF((F$5&lt;12),(SUMPRODUCT(--(Headcount!$F$6:$F$92="Development Operations"),--(Headcount!$H$6:$H$92&gt;=Sales!F$3),Headcount!$N$6:$N$92,Headcount!$L$6:$L$92)/12),0),IF(YEAR(F$3)=YEAR(Headcount!$O$4),IF((F$5&lt;=12),(SUMPRODUCT(--(Headcount!$F$6:$F$92="Development Operations"),--(Headcount!$H$6:$H$92&gt;=Sales!F$3),Headcount!$O$6:$O$92,Headcount!$L$6:$L$92)/12),0),IF(YEAR(F$3)=YEAR(Headcount!$P$4),IF((F$5&lt;=12),(SUMPRODUCT(--(Headcount!$F$6:$F$92="Development Operations"),--(Headcount!$H$6:$H$92&gt;=Sales!F$3),Headcount!$P$6:$P$92,Headcount!$L$6:$L$92)/12),0),IF(YEAR(F$3)=YEAR(Headcount!$Q$4),IF((F$5&lt;=12),(SUMPRODUCT(--(Headcount!$F$6:$F$92="Development Operations"),--(Headcount!$H$6:$H$92&gt;=Sales!F$3),Headcount!$Q$6:$Q$92,Headcount!$L$6:$L$92)/12),0),IF(YEAR(F$3)=YEAR(Headcount!$R$4),IF((F$5&lt;=12),(SUMPRODUCT(--(Headcount!$F$6:$F$92="Development Operations"),--(Headcount!$H$6:$H$92&gt;=Sales!F$3),Headcount!$R$6:$R$92,Headcount!$L$6:$L$92)/12),0),"New Year"))))),SUMIF('Dept. Cost Actuals'!$E$7:$E$176,"*bonus*",'Dept. Cost Actuals'!J$703:J$872))</f>
        <v>0</v>
      </c>
      <c r="G16" s="668">
        <f>IF(G$4="forecast",IF(YEAR(G$3)=YEAR(Headcount!$N$4),IF((G$5&lt;12),(SUMPRODUCT(--(Headcount!$F$6:$F$92="Development Operations"),--(Headcount!$H$6:$H$92&gt;=Sales!G$3),Headcount!$N$6:$N$92,Headcount!$L$6:$L$92)/12),0),IF(YEAR(G$3)=YEAR(Headcount!$O$4),IF((G$5&lt;=12),(SUMPRODUCT(--(Headcount!$F$6:$F$92="Development Operations"),--(Headcount!$H$6:$H$92&gt;=Sales!G$3),Headcount!$O$6:$O$92,Headcount!$L$6:$L$92)/12),0),IF(YEAR(G$3)=YEAR(Headcount!$P$4),IF((G$5&lt;=12),(SUMPRODUCT(--(Headcount!$F$6:$F$92="Development Operations"),--(Headcount!$H$6:$H$92&gt;=Sales!G$3),Headcount!$P$6:$P$92,Headcount!$L$6:$L$92)/12),0),IF(YEAR(G$3)=YEAR(Headcount!$Q$4),IF((G$5&lt;=12),(SUMPRODUCT(--(Headcount!$F$6:$F$92="Development Operations"),--(Headcount!$H$6:$H$92&gt;=Sales!G$3),Headcount!$Q$6:$Q$92,Headcount!$L$6:$L$92)/12),0),IF(YEAR(G$3)=YEAR(Headcount!$R$4),IF((G$5&lt;=12),(SUMPRODUCT(--(Headcount!$F$6:$F$92="Development Operations"),--(Headcount!$H$6:$H$92&gt;=Sales!G$3),Headcount!$R$6:$R$92,Headcount!$L$6:$L$92)/12),0),"New Year"))))),SUMIF('Dept. Cost Actuals'!$E$7:$E$176,"*bonus*",'Dept. Cost Actuals'!K$703:K$872))</f>
        <v>0</v>
      </c>
      <c r="H16" s="668">
        <f>IF(H$4="forecast",IF(YEAR(H$3)=YEAR(Headcount!$N$4),IF((H$5&lt;12),(SUMPRODUCT(--(Headcount!$F$6:$F$92="Development Operations"),--(Headcount!$H$6:$H$92&gt;=Sales!H$3),Headcount!$N$6:$N$92,Headcount!$L$6:$L$92)/12),0),IF(YEAR(H$3)=YEAR(Headcount!$O$4),IF((H$5&lt;=12),(SUMPRODUCT(--(Headcount!$F$6:$F$92="Development Operations"),--(Headcount!$H$6:$H$92&gt;=Sales!H$3),Headcount!$O$6:$O$92,Headcount!$L$6:$L$92)/12),0),IF(YEAR(H$3)=YEAR(Headcount!$P$4),IF((H$5&lt;=12),(SUMPRODUCT(--(Headcount!$F$6:$F$92="Development Operations"),--(Headcount!$H$6:$H$92&gt;=Sales!H$3),Headcount!$P$6:$P$92,Headcount!$L$6:$L$92)/12),0),IF(YEAR(H$3)=YEAR(Headcount!$Q$4),IF((H$5&lt;=12),(SUMPRODUCT(--(Headcount!$F$6:$F$92="Development Operations"),--(Headcount!$H$6:$H$92&gt;=Sales!H$3),Headcount!$Q$6:$Q$92,Headcount!$L$6:$L$92)/12),0),IF(YEAR(H$3)=YEAR(Headcount!$R$4),IF((H$5&lt;=12),(SUMPRODUCT(--(Headcount!$F$6:$F$92="Development Operations"),--(Headcount!$H$6:$H$92&gt;=Sales!H$3),Headcount!$R$6:$R$92,Headcount!$L$6:$L$92)/12),0),"New Year"))))),SUMIF('Dept. Cost Actuals'!$E$7:$E$176,"*bonus*",'Dept. Cost Actuals'!L$703:L$872))</f>
        <v>0</v>
      </c>
      <c r="I16" s="668">
        <f>IF(I$4="forecast",IF(YEAR(I$3)=YEAR(Headcount!$N$4),IF((I$5&lt;12),(SUMPRODUCT(--(Headcount!$F$6:$F$92="Development Operations"),--(Headcount!$H$6:$H$92&gt;=Sales!I$3),Headcount!$N$6:$N$92,Headcount!$L$6:$L$92)/12),0),IF(YEAR(I$3)=YEAR(Headcount!$O$4),IF((I$5&lt;=12),(SUMPRODUCT(--(Headcount!$F$6:$F$92="Development Operations"),--(Headcount!$H$6:$H$92&gt;=Sales!I$3),Headcount!$O$6:$O$92,Headcount!$L$6:$L$92)/12),0),IF(YEAR(I$3)=YEAR(Headcount!$P$4),IF((I$5&lt;=12),(SUMPRODUCT(--(Headcount!$F$6:$F$92="Development Operations"),--(Headcount!$H$6:$H$92&gt;=Sales!I$3),Headcount!$P$6:$P$92,Headcount!$L$6:$L$92)/12),0),IF(YEAR(I$3)=YEAR(Headcount!$Q$4),IF((I$5&lt;=12),(SUMPRODUCT(--(Headcount!$F$6:$F$92="Development Operations"),--(Headcount!$H$6:$H$92&gt;=Sales!I$3),Headcount!$Q$6:$Q$92,Headcount!$L$6:$L$92)/12),0),IF(YEAR(I$3)=YEAR(Headcount!$R$4),IF((I$5&lt;=12),(SUMPRODUCT(--(Headcount!$F$6:$F$92="Development Operations"),--(Headcount!$H$6:$H$92&gt;=Sales!I$3),Headcount!$R$6:$R$92,Headcount!$L$6:$L$92)/12),0),"New Year"))))),SUMIF('Dept. Cost Actuals'!$E$7:$E$176,"*bonus*",'Dept. Cost Actuals'!M$703:M$872))</f>
        <v>0</v>
      </c>
      <c r="J16" s="668">
        <f>IF(J$4="forecast",IF(YEAR(J$3)=YEAR(Headcount!$N$4),IF((J$5&lt;12),(SUMPRODUCT(--(Headcount!$F$6:$F$92="Development Operations"),--(Headcount!$H$6:$H$92&gt;=Sales!J$3),Headcount!$N$6:$N$92,Headcount!$L$6:$L$92)/12),0),IF(YEAR(J$3)=YEAR(Headcount!$O$4),IF((J$5&lt;=12),(SUMPRODUCT(--(Headcount!$F$6:$F$92="Development Operations"),--(Headcount!$H$6:$H$92&gt;=Sales!J$3),Headcount!$O$6:$O$92,Headcount!$L$6:$L$92)/12),0),IF(YEAR(J$3)=YEAR(Headcount!$P$4),IF((J$5&lt;=12),(SUMPRODUCT(--(Headcount!$F$6:$F$92="Development Operations"),--(Headcount!$H$6:$H$92&gt;=Sales!J$3),Headcount!$P$6:$P$92,Headcount!$L$6:$L$92)/12),0),IF(YEAR(J$3)=YEAR(Headcount!$Q$4),IF((J$5&lt;=12),(SUMPRODUCT(--(Headcount!$F$6:$F$92="Development Operations"),--(Headcount!$H$6:$H$92&gt;=Sales!J$3),Headcount!$Q$6:$Q$92,Headcount!$L$6:$L$92)/12),0),IF(YEAR(J$3)=YEAR(Headcount!$R$4),IF((J$5&lt;=12),(SUMPRODUCT(--(Headcount!$F$6:$F$92="Development Operations"),--(Headcount!$H$6:$H$92&gt;=Sales!J$3),Headcount!$R$6:$R$92,Headcount!$L$6:$L$92)/12),0),"New Year"))))),SUMIF('Dept. Cost Actuals'!$E$7:$E$176,"*bonus*",'Dept. Cost Actuals'!N$703:N$872))</f>
        <v>0</v>
      </c>
      <c r="K16" s="668">
        <f>IF(K$4="forecast",IF(YEAR(K$3)=YEAR(Headcount!$N$4),IF((K$5&lt;12),(SUMPRODUCT(--(Headcount!$F$6:$F$92="Development Operations"),--(Headcount!$H$6:$H$92&gt;=Sales!K$3),Headcount!$N$6:$N$92,Headcount!$L$6:$L$92)/12),0),IF(YEAR(K$3)=YEAR(Headcount!$O$4),IF((K$5&lt;=12),(SUMPRODUCT(--(Headcount!$F$6:$F$92="Development Operations"),--(Headcount!$H$6:$H$92&gt;=Sales!K$3),Headcount!$O$6:$O$92,Headcount!$L$6:$L$92)/12),0),IF(YEAR(K$3)=YEAR(Headcount!$P$4),IF((K$5&lt;=12),(SUMPRODUCT(--(Headcount!$F$6:$F$92="Development Operations"),--(Headcount!$H$6:$H$92&gt;=Sales!K$3),Headcount!$P$6:$P$92,Headcount!$L$6:$L$92)/12),0),IF(YEAR(K$3)=YEAR(Headcount!$Q$4),IF((K$5&lt;=12),(SUMPRODUCT(--(Headcount!$F$6:$F$92="Development Operations"),--(Headcount!$H$6:$H$92&gt;=Sales!K$3),Headcount!$Q$6:$Q$92,Headcount!$L$6:$L$92)/12),0),IF(YEAR(K$3)=YEAR(Headcount!$R$4),IF((K$5&lt;=12),(SUMPRODUCT(--(Headcount!$F$6:$F$92="Development Operations"),--(Headcount!$H$6:$H$92&gt;=Sales!K$3),Headcount!$R$6:$R$92,Headcount!$L$6:$L$92)/12),0),"New Year"))))),SUMIF('Dept. Cost Actuals'!$E$7:$E$176,"*bonus*",'Dept. Cost Actuals'!O$703:O$872))</f>
        <v>0</v>
      </c>
      <c r="L16" s="668">
        <f>IF(L$4="forecast",IF(YEAR(L$3)=YEAR(Headcount!$N$4),IF((L$5&lt;12),(SUMPRODUCT(--(Headcount!$F$6:$F$92="Development Operations"),--(Headcount!$H$6:$H$92&gt;=Sales!L$3),Headcount!$N$6:$N$92,Headcount!$L$6:$L$92)/12),0),IF(YEAR(L$3)=YEAR(Headcount!$O$4),IF((L$5&lt;=12),(SUMPRODUCT(--(Headcount!$F$6:$F$92="Development Operations"),--(Headcount!$H$6:$H$92&gt;=Sales!L$3),Headcount!$O$6:$O$92,Headcount!$L$6:$L$92)/12),0),IF(YEAR(L$3)=YEAR(Headcount!$P$4),IF((L$5&lt;=12),(SUMPRODUCT(--(Headcount!$F$6:$F$92="Development Operations"),--(Headcount!$H$6:$H$92&gt;=Sales!L$3),Headcount!$P$6:$P$92,Headcount!$L$6:$L$92)/12),0),IF(YEAR(L$3)=YEAR(Headcount!$Q$4),IF((L$5&lt;=12),(SUMPRODUCT(--(Headcount!$F$6:$F$92="Development Operations"),--(Headcount!$H$6:$H$92&gt;=Sales!L$3),Headcount!$Q$6:$Q$92,Headcount!$L$6:$L$92)/12),0),IF(YEAR(L$3)=YEAR(Headcount!$R$4),IF((L$5&lt;=12),(SUMPRODUCT(--(Headcount!$F$6:$F$92="Development Operations"),--(Headcount!$H$6:$H$92&gt;=Sales!L$3),Headcount!$R$6:$R$92,Headcount!$L$6:$L$92)/12),0),"New Year"))))),SUMIF('Dept. Cost Actuals'!$E$7:$E$176,"*bonus*",'Dept. Cost Actuals'!P$703:P$872))</f>
        <v>0</v>
      </c>
      <c r="M16" s="668">
        <f>IF(M$4="forecast",IF(YEAR(M$3)=YEAR(Headcount!$N$4),IF((M$5&lt;12),(SUMPRODUCT(--(Headcount!$F$6:$F$92="Development Operations"),--(Headcount!$H$6:$H$92&gt;=Sales!M$3),Headcount!$N$6:$N$92,Headcount!$L$6:$L$92)/12),0),IF(YEAR(M$3)=YEAR(Headcount!$O$4),IF((M$5&lt;=12),(SUMPRODUCT(--(Headcount!$F$6:$F$92="Development Operations"),--(Headcount!$H$6:$H$92&gt;=Sales!M$3),Headcount!$O$6:$O$92,Headcount!$L$6:$L$92)/12),0),IF(YEAR(M$3)=YEAR(Headcount!$P$4),IF((M$5&lt;=12),(SUMPRODUCT(--(Headcount!$F$6:$F$92="Development Operations"),--(Headcount!$H$6:$H$92&gt;=Sales!M$3),Headcount!$P$6:$P$92,Headcount!$L$6:$L$92)/12),0),IF(YEAR(M$3)=YEAR(Headcount!$Q$4),IF((M$5&lt;=12),(SUMPRODUCT(--(Headcount!$F$6:$F$92="Development Operations"),--(Headcount!$H$6:$H$92&gt;=Sales!M$3),Headcount!$Q$6:$Q$92,Headcount!$L$6:$L$92)/12),0),IF(YEAR(M$3)=YEAR(Headcount!$R$4),IF((M$5&lt;=12),(SUMPRODUCT(--(Headcount!$F$6:$F$92="Development Operations"),--(Headcount!$H$6:$H$92&gt;=Sales!M$3),Headcount!$R$6:$R$92,Headcount!$L$6:$L$92)/12),0),"New Year"))))),SUMIF('Dept. Cost Actuals'!$E$7:$E$176,"*bonus*",'Dept. Cost Actuals'!Q$703:Q$872))</f>
        <v>0</v>
      </c>
      <c r="N16" s="668">
        <f>IF(N$4="forecast",IF(YEAR(N$3)=YEAR(Headcount!$N$4),IF((N$5&lt;12),(SUMPRODUCT(--(Headcount!$F$6:$F$92="Development Operations"),--(Headcount!$H$6:$H$92&gt;=Sales!N$3),Headcount!$N$6:$N$92,Headcount!$L$6:$L$92)/12),0),IF(YEAR(N$3)=YEAR(Headcount!$O$4),IF((N$5&lt;=12),(SUMPRODUCT(--(Headcount!$F$6:$F$92="Development Operations"),--(Headcount!$H$6:$H$92&gt;=Sales!N$3),Headcount!$O$6:$O$92,Headcount!$L$6:$L$92)/12),0),IF(YEAR(N$3)=YEAR(Headcount!$P$4),IF((N$5&lt;=12),(SUMPRODUCT(--(Headcount!$F$6:$F$92="Development Operations"),--(Headcount!$H$6:$H$92&gt;=Sales!N$3),Headcount!$P$6:$P$92,Headcount!$L$6:$L$92)/12),0),IF(YEAR(N$3)=YEAR(Headcount!$Q$4),IF((N$5&lt;=12),(SUMPRODUCT(--(Headcount!$F$6:$F$92="Development Operations"),--(Headcount!$H$6:$H$92&gt;=Sales!N$3),Headcount!$Q$6:$Q$92,Headcount!$L$6:$L$92)/12),0),IF(YEAR(N$3)=YEAR(Headcount!$R$4),IF((N$5&lt;=12),(SUMPRODUCT(--(Headcount!$F$6:$F$92="Development Operations"),--(Headcount!$H$6:$H$92&gt;=Sales!N$3),Headcount!$R$6:$R$92,Headcount!$L$6:$L$92)/12),0),"New Year"))))),SUMIF('Dept. Cost Actuals'!$E$7:$E$176,"*bonus*",'Dept. Cost Actuals'!R$703:R$872))</f>
        <v>0</v>
      </c>
      <c r="O16" s="668">
        <f>IF(O$4="forecast",IF(YEAR(O$3)=YEAR(Headcount!$N$4),IF((O$5&lt;12),(SUMPRODUCT(--(Headcount!$F$6:$F$92="Development Operations"),--(Headcount!$H$6:$H$92&gt;=Sales!O$3),Headcount!$N$6:$N$92,Headcount!$L$6:$L$92)/12),0),IF(YEAR(O$3)=YEAR(Headcount!$O$4),IF((O$5&lt;=12),(SUMPRODUCT(--(Headcount!$F$6:$F$92="Development Operations"),--(Headcount!$H$6:$H$92&gt;=Sales!O$3),Headcount!$O$6:$O$92,Headcount!$L$6:$L$92)/12),0),IF(YEAR(O$3)=YEAR(Headcount!$P$4),IF((O$5&lt;=12),(SUMPRODUCT(--(Headcount!$F$6:$F$92="Development Operations"),--(Headcount!$H$6:$H$92&gt;=Sales!O$3),Headcount!$P$6:$P$92,Headcount!$L$6:$L$92)/12),0),IF(YEAR(O$3)=YEAR(Headcount!$Q$4),IF((O$5&lt;=12),(SUMPRODUCT(--(Headcount!$F$6:$F$92="Development Operations"),--(Headcount!$H$6:$H$92&gt;=Sales!O$3),Headcount!$Q$6:$Q$92,Headcount!$L$6:$L$92)/12),0),IF(YEAR(O$3)=YEAR(Headcount!$R$4),IF((O$5&lt;=12),(SUMPRODUCT(--(Headcount!$F$6:$F$92="Development Operations"),--(Headcount!$H$6:$H$92&gt;=Sales!O$3),Headcount!$R$6:$R$92,Headcount!$L$6:$L$92)/12),0),"New Year"))))),SUMIF('Dept. Cost Actuals'!$E$7:$E$176,"*bonus*",'Dept. Cost Actuals'!S$703:S$872))</f>
        <v>7052.71</v>
      </c>
      <c r="P16" s="668">
        <f>IF(P$4="forecast",IF(YEAR(P$3)=YEAR(Headcount!$N$4),IF((P$5&lt;12),(SUMPRODUCT(--(Headcount!$F$6:$F$92="Development Operations"),--(Headcount!$H$6:$H$92&gt;=Sales!P$3),Headcount!$N$6:$N$92,Headcount!$L$6:$L$92)/12),0),IF(YEAR(P$3)=YEAR(Headcount!$O$4),IF((P$5&lt;=12),(SUMPRODUCT(--(Headcount!$F$6:$F$92="Development Operations"),--(Headcount!$H$6:$H$92&gt;=Sales!P$3),Headcount!$O$6:$O$92,Headcount!$L$6:$L$92)/12),0),IF(YEAR(P$3)=YEAR(Headcount!$P$4),IF((P$5&lt;=12),(SUMPRODUCT(--(Headcount!$F$6:$F$92="Development Operations"),--(Headcount!$H$6:$H$92&gt;=Sales!P$3),Headcount!$P$6:$P$92,Headcount!$L$6:$L$92)/12),0),IF(YEAR(P$3)=YEAR(Headcount!$Q$4),IF((P$5&lt;=12),(SUMPRODUCT(--(Headcount!$F$6:$F$92="Development Operations"),--(Headcount!$H$6:$H$92&gt;=Sales!P$3),Headcount!$Q$6:$Q$92,Headcount!$L$6:$L$92)/12),0),IF(YEAR(P$3)=YEAR(Headcount!$R$4),IF((P$5&lt;=12),(SUMPRODUCT(--(Headcount!$F$6:$F$92="Development Operations"),--(Headcount!$H$6:$H$92&gt;=Sales!P$3),Headcount!$R$6:$R$92,Headcount!$L$6:$L$92)/12),0),"New Year"))))),SUMIF('Dept. Cost Actuals'!$E$7:$E$176,"*bonus*",'Dept. Cost Actuals'!T$703:T$872))</f>
        <v>5779.75</v>
      </c>
      <c r="Q16" s="668">
        <f>IF(Q$4="forecast",IF(YEAR(Q$3)=YEAR(Headcount!$N$4),IF((Q$5&lt;12),(SUMPRODUCT(--(Headcount!$F$6:$F$92="Development Operations"),--(Headcount!$H$6:$H$92&gt;=Sales!Q$3),Headcount!$N$6:$N$92,Headcount!$L$6:$L$92)/12),0),IF(YEAR(Q$3)=YEAR(Headcount!$O$4),IF((Q$5&lt;=12),(SUMPRODUCT(--(Headcount!$F$6:$F$92="Development Operations"),--(Headcount!$H$6:$H$92&gt;=Sales!Q$3),Headcount!$O$6:$O$92,Headcount!$L$6:$L$92)/12),0),IF(YEAR(Q$3)=YEAR(Headcount!$P$4),IF((Q$5&lt;=12),(SUMPRODUCT(--(Headcount!$F$6:$F$92="Development Operations"),--(Headcount!$H$6:$H$92&gt;=Sales!Q$3),Headcount!$P$6:$P$92,Headcount!$L$6:$L$92)/12),0),IF(YEAR(Q$3)=YEAR(Headcount!$Q$4),IF((Q$5&lt;=12),(SUMPRODUCT(--(Headcount!$F$6:$F$92="Development Operations"),--(Headcount!$H$6:$H$92&gt;=Sales!Q$3),Headcount!$Q$6:$Q$92,Headcount!$L$6:$L$92)/12),0),IF(YEAR(Q$3)=YEAR(Headcount!$R$4),IF((Q$5&lt;=12),(SUMPRODUCT(--(Headcount!$F$6:$F$92="Development Operations"),--(Headcount!$H$6:$H$92&gt;=Sales!Q$3),Headcount!$R$6:$R$92,Headcount!$L$6:$L$92)/12),0),"New Year"))))),SUMIF('Dept. Cost Actuals'!$E$7:$E$176,"*bonus*",'Dept. Cost Actuals'!U$703:U$872))</f>
        <v>6034.89</v>
      </c>
      <c r="R16" s="668">
        <f>IF(R$4="forecast",IF(YEAR(R$3)=YEAR(Headcount!$N$4),IF((R$5&lt;12),(SUMPRODUCT(--(Headcount!$F$6:$F$92="Development Operations"),--(Headcount!$H$6:$H$92&gt;=Sales!R$3),Headcount!$N$6:$N$92,Headcount!$L$6:$L$92)/12),0),IF(YEAR(R$3)=YEAR(Headcount!$O$4),IF((R$5&lt;=12),(SUMPRODUCT(--(Headcount!$F$6:$F$92="Development Operations"),--(Headcount!$H$6:$H$92&gt;=Sales!R$3),Headcount!$O$6:$O$92,Headcount!$L$6:$L$92)/12),0),IF(YEAR(R$3)=YEAR(Headcount!$P$4),IF((R$5&lt;=12),(SUMPRODUCT(--(Headcount!$F$6:$F$92="Development Operations"),--(Headcount!$H$6:$H$92&gt;=Sales!R$3),Headcount!$P$6:$P$92,Headcount!$L$6:$L$92)/12),0),IF(YEAR(R$3)=YEAR(Headcount!$Q$4),IF((R$5&lt;=12),(SUMPRODUCT(--(Headcount!$F$6:$F$92="Development Operations"),--(Headcount!$H$6:$H$92&gt;=Sales!R$3),Headcount!$Q$6:$Q$92,Headcount!$L$6:$L$92)/12),0),IF(YEAR(R$3)=YEAR(Headcount!$R$4),IF((R$5&lt;=12),(SUMPRODUCT(--(Headcount!$F$6:$F$92="Development Operations"),--(Headcount!$H$6:$H$92&gt;=Sales!R$3),Headcount!$R$6:$R$92,Headcount!$L$6:$L$92)/12),0),"New Year"))))),SUMIF('Dept. Cost Actuals'!$E$7:$E$176,"*bonus*",'Dept. Cost Actuals'!V$703:V$872))</f>
        <v>7141.57</v>
      </c>
      <c r="S16" s="668">
        <f>IF(S$4="forecast",IF(YEAR(S$3)=YEAR(Headcount!$N$4),IF((S$5&lt;12),(SUMPRODUCT(--(Headcount!$F$6:$F$92="Development Operations"),--(Headcount!$H$6:$H$92&gt;=Sales!S$3),Headcount!$N$6:$N$92,Headcount!$L$6:$L$92)/12),0),IF(YEAR(S$3)=YEAR(Headcount!$O$4),IF((S$5&lt;=12),(SUMPRODUCT(--(Headcount!$F$6:$F$92="Development Operations"),--(Headcount!$H$6:$H$92&gt;=Sales!S$3),Headcount!$O$6:$O$92,Headcount!$L$6:$L$92)/12),0),IF(YEAR(S$3)=YEAR(Headcount!$P$4),IF((S$5&lt;=12),(SUMPRODUCT(--(Headcount!$F$6:$F$92="Development Operations"),--(Headcount!$H$6:$H$92&gt;=Sales!S$3),Headcount!$P$6:$P$92,Headcount!$L$6:$L$92)/12),0),IF(YEAR(S$3)=YEAR(Headcount!$Q$4),IF((S$5&lt;=12),(SUMPRODUCT(--(Headcount!$F$6:$F$92="Development Operations"),--(Headcount!$H$6:$H$92&gt;=Sales!S$3),Headcount!$Q$6:$Q$92,Headcount!$L$6:$L$92)/12),0),IF(YEAR(S$3)=YEAR(Headcount!$R$4),IF((S$5&lt;=12),(SUMPRODUCT(--(Headcount!$F$6:$F$92="Development Operations"),--(Headcount!$H$6:$H$92&gt;=Sales!S$3),Headcount!$R$6:$R$92,Headcount!$L$6:$L$92)/12),0),"New Year"))))),SUMIF('Dept. Cost Actuals'!$E$7:$E$176,"*bonus*",'Dept. Cost Actuals'!W$703:W$872))</f>
        <v>5779.75</v>
      </c>
      <c r="T16" s="668">
        <f>IF(T$4="forecast",IF(YEAR(T$3)=YEAR(Headcount!$N$4),IF((T$5&lt;12),(SUMPRODUCT(--(Headcount!$F$6:$F$92="Development Operations"),--(Headcount!$H$6:$H$92&gt;=Sales!T$3),Headcount!$N$6:$N$92,Headcount!$L$6:$L$92)/12),0),IF(YEAR(T$3)=YEAR(Headcount!$O$4),IF((T$5&lt;=12),(SUMPRODUCT(--(Headcount!$F$6:$F$92="Development Operations"),--(Headcount!$H$6:$H$92&gt;=Sales!T$3),Headcount!$O$6:$O$92,Headcount!$L$6:$L$92)/12),0),IF(YEAR(T$3)=YEAR(Headcount!$P$4),IF((T$5&lt;=12),(SUMPRODUCT(--(Headcount!$F$6:$F$92="Development Operations"),--(Headcount!$H$6:$H$92&gt;=Sales!T$3),Headcount!$P$6:$P$92,Headcount!$L$6:$L$92)/12),0),IF(YEAR(T$3)=YEAR(Headcount!$Q$4),IF((T$5&lt;=12),(SUMPRODUCT(--(Headcount!$F$6:$F$92="Development Operations"),--(Headcount!$H$6:$H$92&gt;=Sales!T$3),Headcount!$Q$6:$Q$92,Headcount!$L$6:$L$92)/12),0),IF(YEAR(T$3)=YEAR(Headcount!$R$4),IF((T$5&lt;=12),(SUMPRODUCT(--(Headcount!$F$6:$F$92="Development Operations"),--(Headcount!$H$6:$H$92&gt;=Sales!T$3),Headcount!$R$6:$R$92,Headcount!$L$6:$L$92)/12),0),"New Year"))))),SUMIF('Dept. Cost Actuals'!$E$7:$E$176,"*bonus*",'Dept. Cost Actuals'!X$703:X$872))</f>
        <v>5779.75</v>
      </c>
      <c r="U16" s="668">
        <f>IF(U$4="forecast",IF(YEAR(U$3)=YEAR(Headcount!$N$4),IF((U$5&lt;12),(SUMPRODUCT(--(Headcount!$F$6:$F$92="Development Operations"),--(Headcount!$H$6:$H$92&gt;=Sales!U$3),Headcount!$N$6:$N$92,Headcount!$L$6:$L$92)/12),0),IF(YEAR(U$3)=YEAR(Headcount!$O$4),IF((U$5&lt;=12),(SUMPRODUCT(--(Headcount!$F$6:$F$92="Development Operations"),--(Headcount!$H$6:$H$92&gt;=Sales!U$3),Headcount!$O$6:$O$92,Headcount!$L$6:$L$92)/12),0),IF(YEAR(U$3)=YEAR(Headcount!$P$4),IF((U$5&lt;=12),(SUMPRODUCT(--(Headcount!$F$6:$F$92="Development Operations"),--(Headcount!$H$6:$H$92&gt;=Sales!U$3),Headcount!$P$6:$P$92,Headcount!$L$6:$L$92)/12),0),IF(YEAR(U$3)=YEAR(Headcount!$Q$4),IF((U$5&lt;=12),(SUMPRODUCT(--(Headcount!$F$6:$F$92="Development Operations"),--(Headcount!$H$6:$H$92&gt;=Sales!U$3),Headcount!$Q$6:$Q$92,Headcount!$L$6:$L$92)/12),0),IF(YEAR(U$3)=YEAR(Headcount!$R$4),IF((U$5&lt;=12),(SUMPRODUCT(--(Headcount!$F$6:$F$92="Development Operations"),--(Headcount!$H$6:$H$92&gt;=Sales!U$3),Headcount!$R$6:$R$92,Headcount!$L$6:$L$92)/12),0),"New Year"))))),SUMIF('Dept. Cost Actuals'!$E$7:$E$176,"*bonus*",'Dept. Cost Actuals'!Y$703:Y$872))</f>
        <v>7764.93</v>
      </c>
      <c r="V16" s="668">
        <f>IF(V$4="forecast",IF(YEAR(V$3)=YEAR(Headcount!$N$4),IF((V$5&lt;12),(SUMPRODUCT(--(Headcount!$F$6:$F$92="Development Operations"),--(Headcount!$H$6:$H$92&gt;=Sales!V$3),Headcount!$N$6:$N$92,Headcount!$L$6:$L$92)/12),0),IF(YEAR(V$3)=YEAR(Headcount!$O$4),IF((V$5&lt;=12),(SUMPRODUCT(--(Headcount!$F$6:$F$92="Development Operations"),--(Headcount!$H$6:$H$92&gt;=Sales!V$3),Headcount!$O$6:$O$92,Headcount!$L$6:$L$92)/12),0),IF(YEAR(V$3)=YEAR(Headcount!$P$4),IF((V$5&lt;=12),(SUMPRODUCT(--(Headcount!$F$6:$F$92="Development Operations"),--(Headcount!$H$6:$H$92&gt;=Sales!V$3),Headcount!$P$6:$P$92,Headcount!$L$6:$L$92)/12),0),IF(YEAR(V$3)=YEAR(Headcount!$Q$4),IF((V$5&lt;=12),(SUMPRODUCT(--(Headcount!$F$6:$F$92="Development Operations"),--(Headcount!$H$6:$H$92&gt;=Sales!V$3),Headcount!$Q$6:$Q$92,Headcount!$L$6:$L$92)/12),0),IF(YEAR(V$3)=YEAR(Headcount!$R$4),IF((V$5&lt;=12),(SUMPRODUCT(--(Headcount!$F$6:$F$92="Development Operations"),--(Headcount!$H$6:$H$92&gt;=Sales!V$3),Headcount!$R$6:$R$92,Headcount!$L$6:$L$92)/12),0),"New Year"))))),SUMIF('Dept. Cost Actuals'!$E$7:$E$176,"*bonus*",'Dept. Cost Actuals'!Z$703:Z$872))</f>
        <v>11772.34</v>
      </c>
      <c r="W16" s="668">
        <f>IF(W$4="forecast",IF(YEAR(W$3)=YEAR(Headcount!$N$4),IF((W$5&lt;12),(SUMPRODUCT(--(Headcount!$F$6:$F$92="Development Operations"),--(Headcount!$H$6:$H$92&gt;=Sales!W$3),Headcount!$N$6:$N$92,Headcount!$L$6:$L$92)/12),0),IF(YEAR(W$3)=YEAR(Headcount!$O$4),IF((W$5&lt;=12),(SUMPRODUCT(--(Headcount!$F$6:$F$92="Development Operations"),--(Headcount!$H$6:$H$92&gt;=Sales!W$3),Headcount!$O$6:$O$92,Headcount!$L$6:$L$92)/12),0),IF(YEAR(W$3)=YEAR(Headcount!$P$4),IF((W$5&lt;=12),(SUMPRODUCT(--(Headcount!$F$6:$F$92="Development Operations"),--(Headcount!$H$6:$H$92&gt;=Sales!W$3),Headcount!$P$6:$P$92,Headcount!$L$6:$L$92)/12),0),IF(YEAR(W$3)=YEAR(Headcount!$Q$4),IF((W$5&lt;=12),(SUMPRODUCT(--(Headcount!$F$6:$F$92="Development Operations"),--(Headcount!$H$6:$H$92&gt;=Sales!W$3),Headcount!$Q$6:$Q$92,Headcount!$L$6:$L$92)/12),0),IF(YEAR(W$3)=YEAR(Headcount!$R$4),IF((W$5&lt;=12),(SUMPRODUCT(--(Headcount!$F$6:$F$92="Development Operations"),--(Headcount!$H$6:$H$92&gt;=Sales!W$3),Headcount!$R$6:$R$92,Headcount!$L$6:$L$92)/12),0),"New Year"))))),SUMIF('Dept. Cost Actuals'!$E$7:$E$176,"*bonus*",'Dept. Cost Actuals'!AA$703:AA$872))</f>
        <v>5779.75</v>
      </c>
      <c r="X16" s="668">
        <f>IF(X$4="forecast",IF(YEAR(X$3)=YEAR(Headcount!$N$4),IF((X$5&lt;12),(SUMPRODUCT(--(Headcount!$F$6:$F$92="Development Operations"),--(Headcount!$H$6:$H$92&gt;=Sales!X$3),Headcount!$N$6:$N$92,Headcount!$L$6:$L$92)/12),0),IF(YEAR(X$3)=YEAR(Headcount!$O$4),IF((X$5&lt;=12),(SUMPRODUCT(--(Headcount!$F$6:$F$92="Development Operations"),--(Headcount!$H$6:$H$92&gt;=Sales!X$3),Headcount!$O$6:$O$92,Headcount!$L$6:$L$92)/12),0),IF(YEAR(X$3)=YEAR(Headcount!$P$4),IF((X$5&lt;=12),(SUMPRODUCT(--(Headcount!$F$6:$F$92="Development Operations"),--(Headcount!$H$6:$H$92&gt;=Sales!X$3),Headcount!$P$6:$P$92,Headcount!$L$6:$L$92)/12),0),IF(YEAR(X$3)=YEAR(Headcount!$Q$4),IF((X$5&lt;=12),(SUMPRODUCT(--(Headcount!$F$6:$F$92="Development Operations"),--(Headcount!$H$6:$H$92&gt;=Sales!X$3),Headcount!$Q$6:$Q$92,Headcount!$L$6:$L$92)/12),0),IF(YEAR(X$3)=YEAR(Headcount!$R$4),IF((X$5&lt;=12),(SUMPRODUCT(--(Headcount!$F$6:$F$92="Development Operations"),--(Headcount!$H$6:$H$92&gt;=Sales!X$3),Headcount!$R$6:$R$92,Headcount!$L$6:$L$92)/12),0),"New Year"))))),SUMIF('Dept. Cost Actuals'!$E$7:$E$176,"*bonus*",'Dept. Cost Actuals'!AB$703:AB$872))</f>
        <v>8757.52</v>
      </c>
      <c r="Y16" s="668">
        <f>IF(Y$4="forecast",IF(YEAR(Y$3)=YEAR(Headcount!$N$4),IF((Y$5&lt;12),(SUMPRODUCT(--(Headcount!$F$6:$F$92="Development Operations"),--(Headcount!$H$6:$H$92&gt;=Sales!Y$3),Headcount!$N$6:$N$92,Headcount!$L$6:$L$92)/12),0),IF(YEAR(Y$3)=YEAR(Headcount!$O$4),IF((Y$5&lt;=12),(SUMPRODUCT(--(Headcount!$F$6:$F$92="Development Operations"),--(Headcount!$H$6:$H$92&gt;=Sales!Y$3),Headcount!$O$6:$O$92,Headcount!$L$6:$L$92)/12),0),IF(YEAR(Y$3)=YEAR(Headcount!$P$4),IF((Y$5&lt;=12),(SUMPRODUCT(--(Headcount!$F$6:$F$92="Development Operations"),--(Headcount!$H$6:$H$92&gt;=Sales!Y$3),Headcount!$P$6:$P$92,Headcount!$L$6:$L$92)/12),0),IF(YEAR(Y$3)=YEAR(Headcount!$Q$4),IF((Y$5&lt;=12),(SUMPRODUCT(--(Headcount!$F$6:$F$92="Development Operations"),--(Headcount!$H$6:$H$92&gt;=Sales!Y$3),Headcount!$Q$6:$Q$92,Headcount!$L$6:$L$92)/12),0),IF(YEAR(Y$3)=YEAR(Headcount!$R$4),IF((Y$5&lt;=12),(SUMPRODUCT(--(Headcount!$F$6:$F$92="Development Operations"),--(Headcount!$H$6:$H$92&gt;=Sales!Y$3),Headcount!$R$6:$R$92,Headcount!$L$6:$L$92)/12),0),"New Year"))))),SUMIF('Dept. Cost Actuals'!$E$7:$E$176,"*bonus*",'Dept. Cost Actuals'!AC$703:AC$872))</f>
        <v>5899.41</v>
      </c>
      <c r="Z16" s="668">
        <f>IF(Z$4="forecast",IF(YEAR(Z$3)=YEAR(Headcount!$N$4),IF((Z$5&lt;12),(SUMPRODUCT(--(Headcount!$F$6:$F$92="Development Operations"),--(Headcount!$H$6:$H$92&gt;=Sales!Z$3),Headcount!$N$6:$N$92,Headcount!$L$6:$L$92)/12),0),IF(YEAR(Z$3)=YEAR(Headcount!$O$4),IF((Z$5&lt;=12),(SUMPRODUCT(--(Headcount!$F$6:$F$92="Development Operations"),--(Headcount!$H$6:$H$92&gt;=Sales!Z$3),Headcount!$O$6:$O$92,Headcount!$L$6:$L$92)/12),0),IF(YEAR(Z$3)=YEAR(Headcount!$P$4),IF((Z$5&lt;=12),(SUMPRODUCT(--(Headcount!$F$6:$F$92="Development Operations"),--(Headcount!$H$6:$H$92&gt;=Sales!Z$3),Headcount!$P$6:$P$92,Headcount!$L$6:$L$92)/12),0),IF(YEAR(Z$3)=YEAR(Headcount!$Q$4),IF((Z$5&lt;=12),(SUMPRODUCT(--(Headcount!$F$6:$F$92="Development Operations"),--(Headcount!$H$6:$H$92&gt;=Sales!Z$3),Headcount!$Q$6:$Q$92,Headcount!$L$6:$L$92)/12),0),IF(YEAR(Z$3)=YEAR(Headcount!$R$4),IF((Z$5&lt;=12),(SUMPRODUCT(--(Headcount!$F$6:$F$92="Development Operations"),--(Headcount!$H$6:$H$92&gt;=Sales!Z$3),Headcount!$R$6:$R$92,Headcount!$L$6:$L$92)/12),0),"New Year"))))),SUMIF('Dept. Cost Actuals'!$E$7:$E$176,"*bonus*",'Dept. Cost Actuals'!AD$703:AD$872))</f>
        <v>53436.99</v>
      </c>
      <c r="AA16" s="668">
        <f>IF(AA$4="forecast",IF(YEAR(AA$3)=YEAR(Headcount!$N$4),IF((AA$5&lt;12),(SUMPRODUCT(--(Headcount!$F$6:$F$92="Development Operations"),--(Headcount!$H$6:$H$92&gt;=Sales!AA$3),Headcount!$N$6:$N$92,Headcount!$L$6:$L$92)/12),0),IF(YEAR(AA$3)=YEAR(Headcount!$O$4),IF((AA$5&lt;=12),(SUMPRODUCT(--(Headcount!$F$6:$F$92="Development Operations"),--(Headcount!$H$6:$H$92&gt;=Sales!AA$3),Headcount!$O$6:$O$92,Headcount!$L$6:$L$92)/12),0),IF(YEAR(AA$3)=YEAR(Headcount!$P$4),IF((AA$5&lt;=12),(SUMPRODUCT(--(Headcount!$F$6:$F$92="Development Operations"),--(Headcount!$H$6:$H$92&gt;=Sales!AA$3),Headcount!$P$6:$P$92,Headcount!$L$6:$L$92)/12),0),IF(YEAR(AA$3)=YEAR(Headcount!$Q$4),IF((AA$5&lt;=12),(SUMPRODUCT(--(Headcount!$F$6:$F$92="Development Operations"),--(Headcount!$H$6:$H$92&gt;=Sales!AA$3),Headcount!$Q$6:$Q$92,Headcount!$L$6:$L$92)/12),0),IF(YEAR(AA$3)=YEAR(Headcount!$R$4),IF((AA$5&lt;=12),(SUMPRODUCT(--(Headcount!$F$6:$F$92="Development Operations"),--(Headcount!$H$6:$H$92&gt;=Sales!AA$3),Headcount!$R$6:$R$92,Headcount!$L$6:$L$92)/12),0),"New Year"))))),SUMIF('Dept. Cost Actuals'!$E$7:$E$176,"*bonus*",'Dept. Cost Actuals'!AE$703:AE$872))</f>
        <v>14272.81</v>
      </c>
      <c r="AB16" s="668">
        <f>IF(AB$4="forecast",IF(YEAR(AB$3)=YEAR(Headcount!$N$4),IF((AB$5&lt;12),(SUMPRODUCT(--(Headcount!$F$6:$F$92="Development Operations"),--(Headcount!$H$6:$H$92&gt;=Sales!AB$3),Headcount!$N$6:$N$92,Headcount!$L$6:$L$92)/12),0),IF(YEAR(AB$3)=YEAR(Headcount!$O$4),IF((AB$5&lt;=12),(SUMPRODUCT(--(Headcount!$F$6:$F$92="Development Operations"),--(Headcount!$H$6:$H$92&gt;=Sales!AB$3),Headcount!$O$6:$O$92,Headcount!$L$6:$L$92)/12),0),IF(YEAR(AB$3)=YEAR(Headcount!$P$4),IF((AB$5&lt;=12),(SUMPRODUCT(--(Headcount!$F$6:$F$92="Development Operations"),--(Headcount!$H$6:$H$92&gt;=Sales!AB$3),Headcount!$P$6:$P$92,Headcount!$L$6:$L$92)/12),0),IF(YEAR(AB$3)=YEAR(Headcount!$Q$4),IF((AB$5&lt;=12),(SUMPRODUCT(--(Headcount!$F$6:$F$92="Development Operations"),--(Headcount!$H$6:$H$92&gt;=Sales!AB$3),Headcount!$Q$6:$Q$92,Headcount!$L$6:$L$92)/12),0),IF(YEAR(AB$3)=YEAR(Headcount!$R$4),IF((AB$5&lt;=12),(SUMPRODUCT(--(Headcount!$F$6:$F$92="Development Operations"),--(Headcount!$H$6:$H$92&gt;=Sales!AB$3),Headcount!$R$6:$R$92,Headcount!$L$6:$L$92)/12),0),"New Year"))))),SUMIF('Dept. Cost Actuals'!$E$7:$E$176,"*bonus*",'Dept. Cost Actuals'!AF$703:AF$872))</f>
        <v>13780.42</v>
      </c>
      <c r="AC16" s="668">
        <f>IF(AC$4="forecast",IF(YEAR(AC$3)=YEAR(Headcount!$N$4),IF((AC$5&lt;12),(SUMPRODUCT(--(Headcount!$F$6:$F$92="Development Operations"),--(Headcount!$H$6:$H$92&gt;=Sales!AC$3),Headcount!$N$6:$N$92,Headcount!$L$6:$L$92)/12),0),IF(YEAR(AC$3)=YEAR(Headcount!$O$4),IF((AC$5&lt;=12),(SUMPRODUCT(--(Headcount!$F$6:$F$92="Development Operations"),--(Headcount!$H$6:$H$92&gt;=Sales!AC$3),Headcount!$O$6:$O$92,Headcount!$L$6:$L$92)/12),0),IF(YEAR(AC$3)=YEAR(Headcount!$P$4),IF((AC$5&lt;=12),(SUMPRODUCT(--(Headcount!$F$6:$F$92="Development Operations"),--(Headcount!$H$6:$H$92&gt;=Sales!AC$3),Headcount!$P$6:$P$92,Headcount!$L$6:$L$92)/12),0),IF(YEAR(AC$3)=YEAR(Headcount!$Q$4),IF((AC$5&lt;=12),(SUMPRODUCT(--(Headcount!$F$6:$F$92="Development Operations"),--(Headcount!$H$6:$H$92&gt;=Sales!AC$3),Headcount!$Q$6:$Q$92,Headcount!$L$6:$L$92)/12),0),IF(YEAR(AC$3)=YEAR(Headcount!$R$4),IF((AC$5&lt;=12),(SUMPRODUCT(--(Headcount!$F$6:$F$92="Development Operations"),--(Headcount!$H$6:$H$92&gt;=Sales!AC$3),Headcount!$R$6:$R$92,Headcount!$L$6:$L$92)/12),0),"New Year"))))),SUMIF('Dept. Cost Actuals'!$E$7:$E$176,"*bonus*",'Dept. Cost Actuals'!AG$703:AG$872))</f>
        <v>13288.03</v>
      </c>
      <c r="AD16" s="668">
        <f>IF(AD$4="forecast",IF(YEAR(AD$3)=YEAR(Headcount!$N$4),IF((AD$5&lt;12),(SUMPRODUCT(--(Headcount!$F$6:$F$92="Development Operations"),--(Headcount!$H$6:$H$92&gt;=Sales!AD$3),Headcount!$N$6:$N$92,Headcount!$L$6:$L$92)/12),0),IF(YEAR(AD$3)=YEAR(Headcount!$O$4),IF((AD$5&lt;=12),(SUMPRODUCT(--(Headcount!$F$6:$F$92="Development Operations"),--(Headcount!$H$6:$H$92&gt;=Sales!AD$3),Headcount!$O$6:$O$92,Headcount!$L$6:$L$92)/12),0),IF(YEAR(AD$3)=YEAR(Headcount!$P$4),IF((AD$5&lt;=12),(SUMPRODUCT(--(Headcount!$F$6:$F$92="Development Operations"),--(Headcount!$H$6:$H$92&gt;=Sales!AD$3),Headcount!$P$6:$P$92,Headcount!$L$6:$L$92)/12),0),IF(YEAR(AD$3)=YEAR(Headcount!$Q$4),IF((AD$5&lt;=12),(SUMPRODUCT(--(Headcount!$F$6:$F$92="Development Operations"),--(Headcount!$H$6:$H$92&gt;=Sales!AD$3),Headcount!$Q$6:$Q$92,Headcount!$L$6:$L$92)/12),0),IF(YEAR(AD$3)=YEAR(Headcount!$R$4),IF((AD$5&lt;=12),(SUMPRODUCT(--(Headcount!$F$6:$F$92="Development Operations"),--(Headcount!$H$6:$H$92&gt;=Sales!AD$3),Headcount!$R$6:$R$92,Headcount!$L$6:$L$92)/12),0),"New Year"))))),SUMIF('Dept. Cost Actuals'!$E$7:$E$176,"*bonus*",'Dept. Cost Actuals'!AH$703:AH$872))</f>
        <v>22367.370000000006</v>
      </c>
      <c r="AE16" s="668">
        <f>IF(AE$4="forecast",IF(YEAR(AE$3)=YEAR(Headcount!$N$4),IF((AE$5&lt;12),(SUMPRODUCT(--(Headcount!$F$6:$F$92="Development Operations"),--(Headcount!$H$6:$H$92&gt;=Sales!AE$3),Headcount!$N$6:$N$92,Headcount!$L$6:$L$92)/12),0),IF(YEAR(AE$3)=YEAR(Headcount!$O$4),IF((AE$5&lt;=12),(SUMPRODUCT(--(Headcount!$F$6:$F$92="Development Operations"),--(Headcount!$H$6:$H$92&gt;=Sales!AE$3),Headcount!$O$6:$O$92,Headcount!$L$6:$L$92)/12),0),IF(YEAR(AE$3)=YEAR(Headcount!$P$4),IF((AE$5&lt;=12),(SUMPRODUCT(--(Headcount!$F$6:$F$92="Development Operations"),--(Headcount!$H$6:$H$92&gt;=Sales!AE$3),Headcount!$P$6:$P$92,Headcount!$L$6:$L$92)/12),0),IF(YEAR(AE$3)=YEAR(Headcount!$Q$4),IF((AE$5&lt;=12),(SUMPRODUCT(--(Headcount!$F$6:$F$92="Development Operations"),--(Headcount!$H$6:$H$92&gt;=Sales!AE$3),Headcount!$Q$6:$Q$92,Headcount!$L$6:$L$92)/12),0),IF(YEAR(AE$3)=YEAR(Headcount!$R$4),IF((AE$5&lt;=12),(SUMPRODUCT(--(Headcount!$F$6:$F$92="Development Operations"),--(Headcount!$H$6:$H$92&gt;=Sales!AE$3),Headcount!$R$6:$R$92,Headcount!$L$6:$L$92)/12),0),"New Year"))))),SUMIF('Dept. Cost Actuals'!$E$7:$E$176,"*bonus*",'Dept. Cost Actuals'!AI$703:AI$872))</f>
        <v>22367.370000000006</v>
      </c>
      <c r="AF16" s="668">
        <f>IF(AF$4="forecast",IF(YEAR(AF$3)=YEAR(Headcount!$N$4),IF((AF$5&lt;12),(SUMPRODUCT(--(Headcount!$F$6:$F$92="Development Operations"),--(Headcount!$H$6:$H$92&gt;=Sales!AF$3),Headcount!$N$6:$N$92,Headcount!$L$6:$L$92)/12),0),IF(YEAR(AF$3)=YEAR(Headcount!$O$4),IF((AF$5&lt;=12),(SUMPRODUCT(--(Headcount!$F$6:$F$92="Development Operations"),--(Headcount!$H$6:$H$92&gt;=Sales!AF$3),Headcount!$O$6:$O$92,Headcount!$L$6:$L$92)/12),0),IF(YEAR(AF$3)=YEAR(Headcount!$P$4),IF((AF$5&lt;=12),(SUMPRODUCT(--(Headcount!$F$6:$F$92="Development Operations"),--(Headcount!$H$6:$H$92&gt;=Sales!AF$3),Headcount!$P$6:$P$92,Headcount!$L$6:$L$92)/12),0),IF(YEAR(AF$3)=YEAR(Headcount!$Q$4),IF((AF$5&lt;=12),(SUMPRODUCT(--(Headcount!$F$6:$F$92="Development Operations"),--(Headcount!$H$6:$H$92&gt;=Sales!AF$3),Headcount!$Q$6:$Q$92,Headcount!$L$6:$L$92)/12),0),IF(YEAR(AF$3)=YEAR(Headcount!$R$4),IF((AF$5&lt;=12),(SUMPRODUCT(--(Headcount!$F$6:$F$92="Development Operations"),--(Headcount!$H$6:$H$92&gt;=Sales!AF$3),Headcount!$R$6:$R$92,Headcount!$L$6:$L$92)/12),0),"New Year"))))),SUMIF('Dept. Cost Actuals'!$E$7:$E$176,"*bonus*",'Dept. Cost Actuals'!AJ$703:AJ$872))</f>
        <v>22367.370000000006</v>
      </c>
      <c r="AG16" s="668">
        <f>IF(AG$4="forecast",IF(YEAR(AG$3)=YEAR(Headcount!$N$4),IF((AG$5&lt;12),(SUMPRODUCT(--(Headcount!$F$6:$F$92="Development Operations"),--(Headcount!$H$6:$H$92&gt;=Sales!AG$3),Headcount!$N$6:$N$92,Headcount!$L$6:$L$92)/12),0),IF(YEAR(AG$3)=YEAR(Headcount!$O$4),IF((AG$5&lt;=12),(SUMPRODUCT(--(Headcount!$F$6:$F$92="Development Operations"),--(Headcount!$H$6:$H$92&gt;=Sales!AG$3),Headcount!$O$6:$O$92,Headcount!$L$6:$L$92)/12),0),IF(YEAR(AG$3)=YEAR(Headcount!$P$4),IF((AG$5&lt;=12),(SUMPRODUCT(--(Headcount!$F$6:$F$92="Development Operations"),--(Headcount!$H$6:$H$92&gt;=Sales!AG$3),Headcount!$P$6:$P$92,Headcount!$L$6:$L$92)/12),0),IF(YEAR(AG$3)=YEAR(Headcount!$Q$4),IF((AG$5&lt;=12),(SUMPRODUCT(--(Headcount!$F$6:$F$92="Development Operations"),--(Headcount!$H$6:$H$92&gt;=Sales!AG$3),Headcount!$Q$6:$Q$92,Headcount!$L$6:$L$92)/12),0),IF(YEAR(AG$3)=YEAR(Headcount!$R$4),IF((AG$5&lt;=12),(SUMPRODUCT(--(Headcount!$F$6:$F$92="Development Operations"),--(Headcount!$H$6:$H$92&gt;=Sales!AG$3),Headcount!$R$6:$R$92,Headcount!$L$6:$L$92)/12),0),"New Year"))))),SUMIF('Dept. Cost Actuals'!$E$7:$E$176,"*bonus*",'Dept. Cost Actuals'!AK$703:AK$872))</f>
        <v>22367.370000000006</v>
      </c>
      <c r="AH16" s="668">
        <f>IF(AH$4="forecast",IF(YEAR(AH$3)=YEAR(Headcount!$N$4),IF((AH$5&lt;12),(SUMPRODUCT(--(Headcount!$F$6:$F$92="Development Operations"),--(Headcount!$H$6:$H$92&gt;=Sales!AH$3),Headcount!$N$6:$N$92,Headcount!$L$6:$L$92)/12),0),IF(YEAR(AH$3)=YEAR(Headcount!$O$4),IF((AH$5&lt;=12),(SUMPRODUCT(--(Headcount!$F$6:$F$92="Development Operations"),--(Headcount!$H$6:$H$92&gt;=Sales!AH$3),Headcount!$O$6:$O$92,Headcount!$L$6:$L$92)/12),0),IF(YEAR(AH$3)=YEAR(Headcount!$P$4),IF((AH$5&lt;=12),(SUMPRODUCT(--(Headcount!$F$6:$F$92="Development Operations"),--(Headcount!$H$6:$H$92&gt;=Sales!AH$3),Headcount!$P$6:$P$92,Headcount!$L$6:$L$92)/12),0),IF(YEAR(AH$3)=YEAR(Headcount!$Q$4),IF((AH$5&lt;=12),(SUMPRODUCT(--(Headcount!$F$6:$F$92="Development Operations"),--(Headcount!$H$6:$H$92&gt;=Sales!AH$3),Headcount!$Q$6:$Q$92,Headcount!$L$6:$L$92)/12),0),IF(YEAR(AH$3)=YEAR(Headcount!$R$4),IF((AH$5&lt;=12),(SUMPRODUCT(--(Headcount!$F$6:$F$92="Development Operations"),--(Headcount!$H$6:$H$92&gt;=Sales!AH$3),Headcount!$R$6:$R$92,Headcount!$L$6:$L$92)/12),0),"New Year"))))),SUMIF('Dept. Cost Actuals'!$E$7:$E$176,"*bonus*",'Dept. Cost Actuals'!AL$703:AL$872))</f>
        <v>22367.370000000006</v>
      </c>
      <c r="AI16" s="668">
        <f>IF(AI$4="forecast",IF(YEAR(AI$3)=YEAR(Headcount!$N$4),IF((AI$5&lt;12),(SUMPRODUCT(--(Headcount!$F$6:$F$92="Development Operations"),--(Headcount!$H$6:$H$92&gt;=Sales!AI$3),Headcount!$N$6:$N$92,Headcount!$L$6:$L$92)/12),0),IF(YEAR(AI$3)=YEAR(Headcount!$O$4),IF((AI$5&lt;=12),(SUMPRODUCT(--(Headcount!$F$6:$F$92="Development Operations"),--(Headcount!$H$6:$H$92&gt;=Sales!AI$3),Headcount!$O$6:$O$92,Headcount!$L$6:$L$92)/12),0),IF(YEAR(AI$3)=YEAR(Headcount!$P$4),IF((AI$5&lt;=12),(SUMPRODUCT(--(Headcount!$F$6:$F$92="Development Operations"),--(Headcount!$H$6:$H$92&gt;=Sales!AI$3),Headcount!$P$6:$P$92,Headcount!$L$6:$L$92)/12),0),IF(YEAR(AI$3)=YEAR(Headcount!$Q$4),IF((AI$5&lt;=12),(SUMPRODUCT(--(Headcount!$F$6:$F$92="Development Operations"),--(Headcount!$H$6:$H$92&gt;=Sales!AI$3),Headcount!$Q$6:$Q$92,Headcount!$L$6:$L$92)/12),0),IF(YEAR(AI$3)=YEAR(Headcount!$R$4),IF((AI$5&lt;=12),(SUMPRODUCT(--(Headcount!$F$6:$F$92="Development Operations"),--(Headcount!$H$6:$H$92&gt;=Sales!AI$3),Headcount!$R$6:$R$92,Headcount!$L$6:$L$92)/12),0),"New Year"))))),SUMIF('Dept. Cost Actuals'!$E$7:$E$176,"*bonus*",'Dept. Cost Actuals'!AM$703:AM$872))</f>
        <v>22367.370000000006</v>
      </c>
      <c r="AJ16" s="668">
        <f>IF(AJ$4="forecast",IF(YEAR(AJ$3)=YEAR(Headcount!$N$4),IF((AJ$5&lt;12),(SUMPRODUCT(--(Headcount!$F$6:$F$92="Development Operations"),--(Headcount!$H$6:$H$92&gt;=Sales!AJ$3),Headcount!$N$6:$N$92,Headcount!$L$6:$L$92)/12),0),IF(YEAR(AJ$3)=YEAR(Headcount!$O$4),IF((AJ$5&lt;=12),(SUMPRODUCT(--(Headcount!$F$6:$F$92="Development Operations"),--(Headcount!$H$6:$H$92&gt;=Sales!AJ$3),Headcount!$O$6:$O$92,Headcount!$L$6:$L$92)/12),0),IF(YEAR(AJ$3)=YEAR(Headcount!$P$4),IF((AJ$5&lt;=12),(SUMPRODUCT(--(Headcount!$F$6:$F$92="Development Operations"),--(Headcount!$H$6:$H$92&gt;=Sales!AJ$3),Headcount!$P$6:$P$92,Headcount!$L$6:$L$92)/12),0),IF(YEAR(AJ$3)=YEAR(Headcount!$Q$4),IF((AJ$5&lt;=12),(SUMPRODUCT(--(Headcount!$F$6:$F$92="Development Operations"),--(Headcount!$H$6:$H$92&gt;=Sales!AJ$3),Headcount!$Q$6:$Q$92,Headcount!$L$6:$L$92)/12),0),IF(YEAR(AJ$3)=YEAR(Headcount!$R$4),IF((AJ$5&lt;=12),(SUMPRODUCT(--(Headcount!$F$6:$F$92="Development Operations"),--(Headcount!$H$6:$H$92&gt;=Sales!AJ$3),Headcount!$R$6:$R$92,Headcount!$L$6:$L$92)/12),0),"New Year"))))),SUMIF('Dept. Cost Actuals'!$E$7:$E$176,"*bonus*",'Dept. Cost Actuals'!AN$703:AN$872))</f>
        <v>22367.370000000006</v>
      </c>
      <c r="AK16" s="668">
        <f>IF(AK$4="forecast",IF(YEAR(AK$3)=YEAR(Headcount!$N$4),IF((AK$5&lt;12),(SUMPRODUCT(--(Headcount!$F$6:$F$92="Development Operations"),--(Headcount!$H$6:$H$92&gt;=Sales!AK$3),Headcount!$N$6:$N$92,Headcount!$L$6:$L$92)/12),0),IF(YEAR(AK$3)=YEAR(Headcount!$O$4),IF((AK$5&lt;=12),(SUMPRODUCT(--(Headcount!$F$6:$F$92="Development Operations"),--(Headcount!$H$6:$H$92&gt;=Sales!AK$3),Headcount!$O$6:$O$92,Headcount!$L$6:$L$92)/12),0),IF(YEAR(AK$3)=YEAR(Headcount!$P$4),IF((AK$5&lt;=12),(SUMPRODUCT(--(Headcount!$F$6:$F$92="Development Operations"),--(Headcount!$H$6:$H$92&gt;=Sales!AK$3),Headcount!$P$6:$P$92,Headcount!$L$6:$L$92)/12),0),IF(YEAR(AK$3)=YEAR(Headcount!$Q$4),IF((AK$5&lt;=12),(SUMPRODUCT(--(Headcount!$F$6:$F$92="Development Operations"),--(Headcount!$H$6:$H$92&gt;=Sales!AK$3),Headcount!$Q$6:$Q$92,Headcount!$L$6:$L$92)/12),0),IF(YEAR(AK$3)=YEAR(Headcount!$R$4),IF((AK$5&lt;=12),(SUMPRODUCT(--(Headcount!$F$6:$F$92="Development Operations"),--(Headcount!$H$6:$H$92&gt;=Sales!AK$3),Headcount!$R$6:$R$92,Headcount!$L$6:$L$92)/12),0),"New Year"))))),SUMIF('Dept. Cost Actuals'!$E$7:$E$176,"*bonus*",'Dept. Cost Actuals'!AO$703:AO$872))</f>
        <v>22367.370000000006</v>
      </c>
      <c r="AL16" s="668">
        <f>IF(AL$4="forecast",IF(YEAR(AL$3)=YEAR(Headcount!$N$4),IF((AL$5&lt;12),(SUMPRODUCT(--(Headcount!$F$6:$F$92="Development Operations"),--(Headcount!$H$6:$H$92&gt;=Sales!AL$3),Headcount!$N$6:$N$92,Headcount!$L$6:$L$92)/12),0),IF(YEAR(AL$3)=YEAR(Headcount!$O$4),IF((AL$5&lt;=12),(SUMPRODUCT(--(Headcount!$F$6:$F$92="Development Operations"),--(Headcount!$H$6:$H$92&gt;=Sales!AL$3),Headcount!$O$6:$O$92,Headcount!$L$6:$L$92)/12),0),IF(YEAR(AL$3)=YEAR(Headcount!$P$4),IF((AL$5&lt;=12),(SUMPRODUCT(--(Headcount!$F$6:$F$92="Development Operations"),--(Headcount!$H$6:$H$92&gt;=Sales!AL$3),Headcount!$P$6:$P$92,Headcount!$L$6:$L$92)/12),0),IF(YEAR(AL$3)=YEAR(Headcount!$Q$4),IF((AL$5&lt;=12),(SUMPRODUCT(--(Headcount!$F$6:$F$92="Development Operations"),--(Headcount!$H$6:$H$92&gt;=Sales!AL$3),Headcount!$Q$6:$Q$92,Headcount!$L$6:$L$92)/12),0),IF(YEAR(AL$3)=YEAR(Headcount!$R$4),IF((AL$5&lt;=12),(SUMPRODUCT(--(Headcount!$F$6:$F$92="Development Operations"),--(Headcount!$H$6:$H$92&gt;=Sales!AL$3),Headcount!$R$6:$R$92,Headcount!$L$6:$L$92)/12),0),"New Year"))))),SUMIF('Dept. Cost Actuals'!$E$7:$E$176,"*bonus*",'Dept. Cost Actuals'!AP$703:AP$872))</f>
        <v>22367.370000000006</v>
      </c>
      <c r="AM16" s="668">
        <f>IF(AM$4="forecast",IF(YEAR(AM$3)=YEAR(Headcount!$N$4),IF((AM$5&lt;12),(SUMPRODUCT(--(Headcount!$F$6:$F$92="Development Operations"),--(Headcount!$H$6:$H$92&gt;=Sales!AM$3),Headcount!$N$6:$N$92,Headcount!$L$6:$L$92)/12),0),IF(YEAR(AM$3)=YEAR(Headcount!$O$4),IF((AM$5&lt;=12),(SUMPRODUCT(--(Headcount!$F$6:$F$92="Development Operations"),--(Headcount!$H$6:$H$92&gt;=Sales!AM$3),Headcount!$O$6:$O$92,Headcount!$L$6:$L$92)/12),0),IF(YEAR(AM$3)=YEAR(Headcount!$P$4),IF((AM$5&lt;=12),(SUMPRODUCT(--(Headcount!$F$6:$F$92="Development Operations"),--(Headcount!$H$6:$H$92&gt;=Sales!AM$3),Headcount!$P$6:$P$92,Headcount!$L$6:$L$92)/12),0),IF(YEAR(AM$3)=YEAR(Headcount!$Q$4),IF((AM$5&lt;=12),(SUMPRODUCT(--(Headcount!$F$6:$F$92="Development Operations"),--(Headcount!$H$6:$H$92&gt;=Sales!AM$3),Headcount!$Q$6:$Q$92,Headcount!$L$6:$L$92)/12),0),IF(YEAR(AM$3)=YEAR(Headcount!$R$4),IF((AM$5&lt;=12),(SUMPRODUCT(--(Headcount!$F$6:$F$92="Development Operations"),--(Headcount!$H$6:$H$92&gt;=Sales!AM$3),Headcount!$R$6:$R$92,Headcount!$L$6:$L$92)/12),0),"New Year"))))),SUMIF('Dept. Cost Actuals'!$E$7:$E$176,"*bonus*",'Dept. Cost Actuals'!AQ$703:AQ$872))</f>
        <v>19013.370000000003</v>
      </c>
      <c r="AN16" s="668">
        <f>IF(AN$4="forecast",IF(YEAR(AN$3)=YEAR(Headcount!$N$4),IF((AN$5&lt;12),(SUMPRODUCT(--(Headcount!$F$6:$F$92="Development Operations"),--(Headcount!$H$6:$H$92&gt;=Sales!AN$3),Headcount!$N$6:$N$92,Headcount!$L$6:$L$92)/12),0),IF(YEAR(AN$3)=YEAR(Headcount!$O$4),IF((AN$5&lt;=12),(SUMPRODUCT(--(Headcount!$F$6:$F$92="Development Operations"),--(Headcount!$H$6:$H$92&gt;=Sales!AN$3),Headcount!$O$6:$O$92,Headcount!$L$6:$L$92)/12),0),IF(YEAR(AN$3)=YEAR(Headcount!$P$4),IF((AN$5&lt;=12),(SUMPRODUCT(--(Headcount!$F$6:$F$92="Development Operations"),--(Headcount!$H$6:$H$92&gt;=Sales!AN$3),Headcount!$P$6:$P$92,Headcount!$L$6:$L$92)/12),0),IF(YEAR(AN$3)=YEAR(Headcount!$Q$4),IF((AN$5&lt;=12),(SUMPRODUCT(--(Headcount!$F$6:$F$92="Development Operations"),--(Headcount!$H$6:$H$92&gt;=Sales!AN$3),Headcount!$Q$6:$Q$92,Headcount!$L$6:$L$92)/12),0),IF(YEAR(AN$3)=YEAR(Headcount!$R$4),IF((AN$5&lt;=12),(SUMPRODUCT(--(Headcount!$F$6:$F$92="Development Operations"),--(Headcount!$H$6:$H$92&gt;=Sales!AN$3),Headcount!$R$6:$R$92,Headcount!$L$6:$L$92)/12),0),"New Year"))))),SUMIF('Dept. Cost Actuals'!$E$7:$E$176,"*bonus*",'Dept. Cost Actuals'!AR$703:AR$872))</f>
        <v>19013.370000000003</v>
      </c>
      <c r="AO16" s="668">
        <f>IF(AO$4="forecast",IF(YEAR(AO$3)=YEAR(Headcount!$N$4),IF((AO$5&lt;12),(SUMPRODUCT(--(Headcount!$F$6:$F$92="Development Operations"),--(Headcount!$H$6:$H$92&gt;=Sales!AO$3),Headcount!$N$6:$N$92,Headcount!$L$6:$L$92)/12),0),IF(YEAR(AO$3)=YEAR(Headcount!$O$4),IF((AO$5&lt;=12),(SUMPRODUCT(--(Headcount!$F$6:$F$92="Development Operations"),--(Headcount!$H$6:$H$92&gt;=Sales!AO$3),Headcount!$O$6:$O$92,Headcount!$L$6:$L$92)/12),0),IF(YEAR(AO$3)=YEAR(Headcount!$P$4),IF((AO$5&lt;=12),(SUMPRODUCT(--(Headcount!$F$6:$F$92="Development Operations"),--(Headcount!$H$6:$H$92&gt;=Sales!AO$3),Headcount!$P$6:$P$92,Headcount!$L$6:$L$92)/12),0),IF(YEAR(AO$3)=YEAR(Headcount!$Q$4),IF((AO$5&lt;=12),(SUMPRODUCT(--(Headcount!$F$6:$F$92="Development Operations"),--(Headcount!$H$6:$H$92&gt;=Sales!AO$3),Headcount!$Q$6:$Q$92,Headcount!$L$6:$L$92)/12),0),IF(YEAR(AO$3)=YEAR(Headcount!$R$4),IF((AO$5&lt;=12),(SUMPRODUCT(--(Headcount!$F$6:$F$92="Development Operations"),--(Headcount!$H$6:$H$92&gt;=Sales!AO$3),Headcount!$R$6:$R$92,Headcount!$L$6:$L$92)/12),0),"New Year"))))),SUMIF('Dept. Cost Actuals'!$E$7:$E$176,"*bonus*",'Dept. Cost Actuals'!AS$703:AS$872))</f>
        <v>19013.370000000003</v>
      </c>
      <c r="AP16" s="668">
        <f>IF(AP$4="forecast",IF(YEAR(AP$3)=YEAR(Headcount!$N$4),IF((AP$5&lt;12),(SUMPRODUCT(--(Headcount!$F$6:$F$92="Development Operations"),--(Headcount!$H$6:$H$92&gt;=Sales!AP$3),Headcount!$N$6:$N$92,Headcount!$L$6:$L$92)/12),0),IF(YEAR(AP$3)=YEAR(Headcount!$O$4),IF((AP$5&lt;=12),(SUMPRODUCT(--(Headcount!$F$6:$F$92="Development Operations"),--(Headcount!$H$6:$H$92&gt;=Sales!AP$3),Headcount!$O$6:$O$92,Headcount!$L$6:$L$92)/12),0),IF(YEAR(AP$3)=YEAR(Headcount!$P$4),IF((AP$5&lt;=12),(SUMPRODUCT(--(Headcount!$F$6:$F$92="Development Operations"),--(Headcount!$H$6:$H$92&gt;=Sales!AP$3),Headcount!$P$6:$P$92,Headcount!$L$6:$L$92)/12),0),IF(YEAR(AP$3)=YEAR(Headcount!$Q$4),IF((AP$5&lt;=12),(SUMPRODUCT(--(Headcount!$F$6:$F$92="Development Operations"),--(Headcount!$H$6:$H$92&gt;=Sales!AP$3),Headcount!$Q$6:$Q$92,Headcount!$L$6:$L$92)/12),0),IF(YEAR(AP$3)=YEAR(Headcount!$R$4),IF((AP$5&lt;=12),(SUMPRODUCT(--(Headcount!$F$6:$F$92="Development Operations"),--(Headcount!$H$6:$H$92&gt;=Sales!AP$3),Headcount!$R$6:$R$92,Headcount!$L$6:$L$92)/12),0),"New Year"))))),SUMIF('Dept. Cost Actuals'!$E$7:$E$176,"*bonus*",'Dept. Cost Actuals'!AT$703:AT$872))</f>
        <v>19013.370000000003</v>
      </c>
      <c r="AQ16" s="668">
        <f>IF(AQ$4="forecast",IF(YEAR(AQ$3)=YEAR(Headcount!$N$4),IF((AQ$5&lt;12),(SUMPRODUCT(--(Headcount!$F$6:$F$92="Development Operations"),--(Headcount!$H$6:$H$92&gt;=Sales!AQ$3),Headcount!$N$6:$N$92,Headcount!$L$6:$L$92)/12),0),IF(YEAR(AQ$3)=YEAR(Headcount!$O$4),IF((AQ$5&lt;=12),(SUMPRODUCT(--(Headcount!$F$6:$F$92="Development Operations"),--(Headcount!$H$6:$H$92&gt;=Sales!AQ$3),Headcount!$O$6:$O$92,Headcount!$L$6:$L$92)/12),0),IF(YEAR(AQ$3)=YEAR(Headcount!$P$4),IF((AQ$5&lt;=12),(SUMPRODUCT(--(Headcount!$F$6:$F$92="Development Operations"),--(Headcount!$H$6:$H$92&gt;=Sales!AQ$3),Headcount!$P$6:$P$92,Headcount!$L$6:$L$92)/12),0),IF(YEAR(AQ$3)=YEAR(Headcount!$Q$4),IF((AQ$5&lt;=12),(SUMPRODUCT(--(Headcount!$F$6:$F$92="Development Operations"),--(Headcount!$H$6:$H$92&gt;=Sales!AQ$3),Headcount!$Q$6:$Q$92,Headcount!$L$6:$L$92)/12),0),IF(YEAR(AQ$3)=YEAR(Headcount!$R$4),IF((AQ$5&lt;=12),(SUMPRODUCT(--(Headcount!$F$6:$F$92="Development Operations"),--(Headcount!$H$6:$H$92&gt;=Sales!AQ$3),Headcount!$R$6:$R$92,Headcount!$L$6:$L$92)/12),0),"New Year"))))),SUMIF('Dept. Cost Actuals'!$E$7:$E$176,"*bonus*",'Dept. Cost Actuals'!AU$703:AU$872))</f>
        <v>19013.370000000003</v>
      </c>
      <c r="AR16" s="668">
        <f>IF(AR$4="forecast",IF(YEAR(AR$3)=YEAR(Headcount!$N$4),IF((AR$5&lt;12),(SUMPRODUCT(--(Headcount!$F$6:$F$92="Development Operations"),--(Headcount!$H$6:$H$92&gt;=Sales!AR$3),Headcount!$N$6:$N$92,Headcount!$L$6:$L$92)/12),0),IF(YEAR(AR$3)=YEAR(Headcount!$O$4),IF((AR$5&lt;=12),(SUMPRODUCT(--(Headcount!$F$6:$F$92="Development Operations"),--(Headcount!$H$6:$H$92&gt;=Sales!AR$3),Headcount!$O$6:$O$92,Headcount!$L$6:$L$92)/12),0),IF(YEAR(AR$3)=YEAR(Headcount!$P$4),IF((AR$5&lt;=12),(SUMPRODUCT(--(Headcount!$F$6:$F$92="Development Operations"),--(Headcount!$H$6:$H$92&gt;=Sales!AR$3),Headcount!$P$6:$P$92,Headcount!$L$6:$L$92)/12),0),IF(YEAR(AR$3)=YEAR(Headcount!$Q$4),IF((AR$5&lt;=12),(SUMPRODUCT(--(Headcount!$F$6:$F$92="Development Operations"),--(Headcount!$H$6:$H$92&gt;=Sales!AR$3),Headcount!$Q$6:$Q$92,Headcount!$L$6:$L$92)/12),0),IF(YEAR(AR$3)=YEAR(Headcount!$R$4),IF((AR$5&lt;=12),(SUMPRODUCT(--(Headcount!$F$6:$F$92="Development Operations"),--(Headcount!$H$6:$H$92&gt;=Sales!AR$3),Headcount!$R$6:$R$92,Headcount!$L$6:$L$92)/12),0),"New Year"))))),SUMIF('Dept. Cost Actuals'!$E$7:$E$176,"*bonus*",'Dept. Cost Actuals'!AV$703:AV$872))</f>
        <v>19013.370000000003</v>
      </c>
      <c r="AS16" s="668">
        <f>IF(AS$4="forecast",IF(YEAR(AS$3)=YEAR(Headcount!$N$4),IF((AS$5&lt;12),(SUMPRODUCT(--(Headcount!$F$6:$F$92="Development Operations"),--(Headcount!$H$6:$H$92&gt;=Sales!AS$3),Headcount!$N$6:$N$92,Headcount!$L$6:$L$92)/12),0),IF(YEAR(AS$3)=YEAR(Headcount!$O$4),IF((AS$5&lt;=12),(SUMPRODUCT(--(Headcount!$F$6:$F$92="Development Operations"),--(Headcount!$H$6:$H$92&gt;=Sales!AS$3),Headcount!$O$6:$O$92,Headcount!$L$6:$L$92)/12),0),IF(YEAR(AS$3)=YEAR(Headcount!$P$4),IF((AS$5&lt;=12),(SUMPRODUCT(--(Headcount!$F$6:$F$92="Development Operations"),--(Headcount!$H$6:$H$92&gt;=Sales!AS$3),Headcount!$P$6:$P$92,Headcount!$L$6:$L$92)/12),0),IF(YEAR(AS$3)=YEAR(Headcount!$Q$4),IF((AS$5&lt;=12),(SUMPRODUCT(--(Headcount!$F$6:$F$92="Development Operations"),--(Headcount!$H$6:$H$92&gt;=Sales!AS$3),Headcount!$Q$6:$Q$92,Headcount!$L$6:$L$92)/12),0),IF(YEAR(AS$3)=YEAR(Headcount!$R$4),IF((AS$5&lt;=12),(SUMPRODUCT(--(Headcount!$F$6:$F$92="Development Operations"),--(Headcount!$H$6:$H$92&gt;=Sales!AS$3),Headcount!$R$6:$R$92,Headcount!$L$6:$L$92)/12),0),"New Year"))))),SUMIF('Dept. Cost Actuals'!$E$7:$E$176,"*bonus*",'Dept. Cost Actuals'!AW$703:AW$872))</f>
        <v>19013.370000000003</v>
      </c>
      <c r="AT16" s="668">
        <f>IF(AT$4="forecast",IF(YEAR(AT$3)=YEAR(Headcount!$N$4),IF((AT$5&lt;12),(SUMPRODUCT(--(Headcount!$F$6:$F$92="Development Operations"),--(Headcount!$H$6:$H$92&gt;=Sales!AT$3),Headcount!$N$6:$N$92,Headcount!$L$6:$L$92)/12),0),IF(YEAR(AT$3)=YEAR(Headcount!$O$4),IF((AT$5&lt;=12),(SUMPRODUCT(--(Headcount!$F$6:$F$92="Development Operations"),--(Headcount!$H$6:$H$92&gt;=Sales!AT$3),Headcount!$O$6:$O$92,Headcount!$L$6:$L$92)/12),0),IF(YEAR(AT$3)=YEAR(Headcount!$P$4),IF((AT$5&lt;=12),(SUMPRODUCT(--(Headcount!$F$6:$F$92="Development Operations"),--(Headcount!$H$6:$H$92&gt;=Sales!AT$3),Headcount!$P$6:$P$92,Headcount!$L$6:$L$92)/12),0),IF(YEAR(AT$3)=YEAR(Headcount!$Q$4),IF((AT$5&lt;=12),(SUMPRODUCT(--(Headcount!$F$6:$F$92="Development Operations"),--(Headcount!$H$6:$H$92&gt;=Sales!AT$3),Headcount!$Q$6:$Q$92,Headcount!$L$6:$L$92)/12),0),IF(YEAR(AT$3)=YEAR(Headcount!$R$4),IF((AT$5&lt;=12),(SUMPRODUCT(--(Headcount!$F$6:$F$92="Development Operations"),--(Headcount!$H$6:$H$92&gt;=Sales!AT$3),Headcount!$R$6:$R$92,Headcount!$L$6:$L$92)/12),0),"New Year"))))),SUMIF('Dept. Cost Actuals'!$E$7:$E$176,"*bonus*",'Dept. Cost Actuals'!AX$703:AX$872))</f>
        <v>19013.370000000003</v>
      </c>
      <c r="AU16" s="668">
        <f>IF(AU$4="forecast",IF(YEAR(AU$3)=YEAR(Headcount!$N$4),IF((AU$5&lt;12),(SUMPRODUCT(--(Headcount!$F$6:$F$92="Development Operations"),--(Headcount!$H$6:$H$92&gt;=Sales!AU$3),Headcount!$N$6:$N$92,Headcount!$L$6:$L$92)/12),0),IF(YEAR(AU$3)=YEAR(Headcount!$O$4),IF((AU$5&lt;=12),(SUMPRODUCT(--(Headcount!$F$6:$F$92="Development Operations"),--(Headcount!$H$6:$H$92&gt;=Sales!AU$3),Headcount!$O$6:$O$92,Headcount!$L$6:$L$92)/12),0),IF(YEAR(AU$3)=YEAR(Headcount!$P$4),IF((AU$5&lt;=12),(SUMPRODUCT(--(Headcount!$F$6:$F$92="Development Operations"),--(Headcount!$H$6:$H$92&gt;=Sales!AU$3),Headcount!$P$6:$P$92,Headcount!$L$6:$L$92)/12),0),IF(YEAR(AU$3)=YEAR(Headcount!$Q$4),IF((AU$5&lt;=12),(SUMPRODUCT(--(Headcount!$F$6:$F$92="Development Operations"),--(Headcount!$H$6:$H$92&gt;=Sales!AU$3),Headcount!$Q$6:$Q$92,Headcount!$L$6:$L$92)/12),0),IF(YEAR(AU$3)=YEAR(Headcount!$R$4),IF((AU$5&lt;=12),(SUMPRODUCT(--(Headcount!$F$6:$F$92="Development Operations"),--(Headcount!$H$6:$H$92&gt;=Sales!AU$3),Headcount!$R$6:$R$92,Headcount!$L$6:$L$92)/12),0),"New Year"))))),SUMIF('Dept. Cost Actuals'!$E$7:$E$176,"*bonus*",'Dept. Cost Actuals'!AY$703:AY$872))</f>
        <v>19013.370000000003</v>
      </c>
      <c r="AV16" s="668">
        <f>IF(AV$4="forecast",IF(YEAR(AV$3)=YEAR(Headcount!$N$4),IF((AV$5&lt;12),(SUMPRODUCT(--(Headcount!$F$6:$F$92="Development Operations"),--(Headcount!$H$6:$H$92&gt;=Sales!AV$3),Headcount!$N$6:$N$92,Headcount!$L$6:$L$92)/12),0),IF(YEAR(AV$3)=YEAR(Headcount!$O$4),IF((AV$5&lt;=12),(SUMPRODUCT(--(Headcount!$F$6:$F$92="Development Operations"),--(Headcount!$H$6:$H$92&gt;=Sales!AV$3),Headcount!$O$6:$O$92,Headcount!$L$6:$L$92)/12),0),IF(YEAR(AV$3)=YEAR(Headcount!$P$4),IF((AV$5&lt;=12),(SUMPRODUCT(--(Headcount!$F$6:$F$92="Development Operations"),--(Headcount!$H$6:$H$92&gt;=Sales!AV$3),Headcount!$P$6:$P$92,Headcount!$L$6:$L$92)/12),0),IF(YEAR(AV$3)=YEAR(Headcount!$Q$4),IF((AV$5&lt;=12),(SUMPRODUCT(--(Headcount!$F$6:$F$92="Development Operations"),--(Headcount!$H$6:$H$92&gt;=Sales!AV$3),Headcount!$Q$6:$Q$92,Headcount!$L$6:$L$92)/12),0),IF(YEAR(AV$3)=YEAR(Headcount!$R$4),IF((AV$5&lt;=12),(SUMPRODUCT(--(Headcount!$F$6:$F$92="Development Operations"),--(Headcount!$H$6:$H$92&gt;=Sales!AV$3),Headcount!$R$6:$R$92,Headcount!$L$6:$L$92)/12),0),"New Year"))))),SUMIF('Dept. Cost Actuals'!$E$7:$E$176,"*bonus*",'Dept. Cost Actuals'!AZ$703:AZ$872))</f>
        <v>19013.370000000003</v>
      </c>
      <c r="AW16" s="668">
        <f>IF(AW$4="forecast",IF(YEAR(AW$3)=YEAR(Headcount!$N$4),IF((AW$5&lt;12),(SUMPRODUCT(--(Headcount!$F$6:$F$92="Development Operations"),--(Headcount!$H$6:$H$92&gt;=Sales!AW$3),Headcount!$N$6:$N$92,Headcount!$L$6:$L$92)/12),0),IF(YEAR(AW$3)=YEAR(Headcount!$O$4),IF((AW$5&lt;=12),(SUMPRODUCT(--(Headcount!$F$6:$F$92="Development Operations"),--(Headcount!$H$6:$H$92&gt;=Sales!AW$3),Headcount!$O$6:$O$92,Headcount!$L$6:$L$92)/12),0),IF(YEAR(AW$3)=YEAR(Headcount!$P$4),IF((AW$5&lt;=12),(SUMPRODUCT(--(Headcount!$F$6:$F$92="Development Operations"),--(Headcount!$H$6:$H$92&gt;=Sales!AW$3),Headcount!$P$6:$P$92,Headcount!$L$6:$L$92)/12),0),IF(YEAR(AW$3)=YEAR(Headcount!$Q$4),IF((AW$5&lt;=12),(SUMPRODUCT(--(Headcount!$F$6:$F$92="Development Operations"),--(Headcount!$H$6:$H$92&gt;=Sales!AW$3),Headcount!$Q$6:$Q$92,Headcount!$L$6:$L$92)/12),0),IF(YEAR(AW$3)=YEAR(Headcount!$R$4),IF((AW$5&lt;=12),(SUMPRODUCT(--(Headcount!$F$6:$F$92="Development Operations"),--(Headcount!$H$6:$H$92&gt;=Sales!AW$3),Headcount!$R$6:$R$92,Headcount!$L$6:$L$92)/12),0),"New Year"))))),SUMIF('Dept. Cost Actuals'!$E$7:$E$176,"*bonus*",'Dept. Cost Actuals'!BA$703:BA$872))</f>
        <v>19013.370000000003</v>
      </c>
      <c r="AX16" s="668">
        <f>IF(AX$4="forecast",IF(YEAR(AX$3)=YEAR(Headcount!$N$4),IF((AX$5&lt;12),(SUMPRODUCT(--(Headcount!$F$6:$F$92="Development Operations"),--(Headcount!$H$6:$H$92&gt;=Sales!AX$3),Headcount!$N$6:$N$92,Headcount!$L$6:$L$92)/12),0),IF(YEAR(AX$3)=YEAR(Headcount!$O$4),IF((AX$5&lt;=12),(SUMPRODUCT(--(Headcount!$F$6:$F$92="Development Operations"),--(Headcount!$H$6:$H$92&gt;=Sales!AX$3),Headcount!$O$6:$O$92,Headcount!$L$6:$L$92)/12),0),IF(YEAR(AX$3)=YEAR(Headcount!$P$4),IF((AX$5&lt;=12),(SUMPRODUCT(--(Headcount!$F$6:$F$92="Development Operations"),--(Headcount!$H$6:$H$92&gt;=Sales!AX$3),Headcount!$P$6:$P$92,Headcount!$L$6:$L$92)/12),0),IF(YEAR(AX$3)=YEAR(Headcount!$Q$4),IF((AX$5&lt;=12),(SUMPRODUCT(--(Headcount!$F$6:$F$92="Development Operations"),--(Headcount!$H$6:$H$92&gt;=Sales!AX$3),Headcount!$Q$6:$Q$92,Headcount!$L$6:$L$92)/12),0),IF(YEAR(AX$3)=YEAR(Headcount!$R$4),IF((AX$5&lt;=12),(SUMPRODUCT(--(Headcount!$F$6:$F$92="Development Operations"),--(Headcount!$H$6:$H$92&gt;=Sales!AX$3),Headcount!$R$6:$R$92,Headcount!$L$6:$L$92)/12),0),"New Year"))))),SUMIF('Dept. Cost Actuals'!$E$7:$E$176,"*bonus*",'Dept. Cost Actuals'!BB$703:BB$872))</f>
        <v>19013.370000000003</v>
      </c>
      <c r="AY16" s="668">
        <f>IF(AY$4="forecast",IF(YEAR(AY$3)=YEAR(Headcount!$N$4),IF((AY$5&lt;12),(SUMPRODUCT(--(Headcount!$F$6:$F$92="Development Operations"),--(Headcount!$H$6:$H$92&gt;=Sales!AY$3),Headcount!$N$6:$N$92,Headcount!$L$6:$L$92)/12),0),IF(YEAR(AY$3)=YEAR(Headcount!$O$4),IF((AY$5&lt;=12),(SUMPRODUCT(--(Headcount!$F$6:$F$92="Development Operations"),--(Headcount!$H$6:$H$92&gt;=Sales!AY$3),Headcount!$O$6:$O$92,Headcount!$L$6:$L$92)/12),0),IF(YEAR(AY$3)=YEAR(Headcount!$P$4),IF((AY$5&lt;=12),(SUMPRODUCT(--(Headcount!$F$6:$F$92="Development Operations"),--(Headcount!$H$6:$H$92&gt;=Sales!AY$3),Headcount!$P$6:$P$92,Headcount!$L$6:$L$92)/12),0),IF(YEAR(AY$3)=YEAR(Headcount!$Q$4),IF((AY$5&lt;=12),(SUMPRODUCT(--(Headcount!$F$6:$F$92="Development Operations"),--(Headcount!$H$6:$H$92&gt;=Sales!AY$3),Headcount!$Q$6:$Q$92,Headcount!$L$6:$L$92)/12),0),IF(YEAR(AY$3)=YEAR(Headcount!$R$4),IF((AY$5&lt;=12),(SUMPRODUCT(--(Headcount!$F$6:$F$92="Development Operations"),--(Headcount!$H$6:$H$92&gt;=Sales!AY$3),Headcount!$R$6:$R$92,Headcount!$L$6:$L$92)/12),0),"New Year"))))),SUMIF('Dept. Cost Actuals'!$E$7:$E$176,"*bonus*",'Dept. Cost Actuals'!BC$703:BC$872))</f>
        <v>19583.771100000002</v>
      </c>
      <c r="AZ16" s="668">
        <f>IF(AZ$4="forecast",IF(YEAR(AZ$3)=YEAR(Headcount!$N$4),IF((AZ$5&lt;12),(SUMPRODUCT(--(Headcount!$F$6:$F$92="Development Operations"),--(Headcount!$H$6:$H$92&gt;=Sales!AZ$3),Headcount!$N$6:$N$92,Headcount!$L$6:$L$92)/12),0),IF(YEAR(AZ$3)=YEAR(Headcount!$O$4),IF((AZ$5&lt;=12),(SUMPRODUCT(--(Headcount!$F$6:$F$92="Development Operations"),--(Headcount!$H$6:$H$92&gt;=Sales!AZ$3),Headcount!$O$6:$O$92,Headcount!$L$6:$L$92)/12),0),IF(YEAR(AZ$3)=YEAR(Headcount!$P$4),IF((AZ$5&lt;=12),(SUMPRODUCT(--(Headcount!$F$6:$F$92="Development Operations"),--(Headcount!$H$6:$H$92&gt;=Sales!AZ$3),Headcount!$P$6:$P$92,Headcount!$L$6:$L$92)/12),0),IF(YEAR(AZ$3)=YEAR(Headcount!$Q$4),IF((AZ$5&lt;=12),(SUMPRODUCT(--(Headcount!$F$6:$F$92="Development Operations"),--(Headcount!$H$6:$H$92&gt;=Sales!AZ$3),Headcount!$Q$6:$Q$92,Headcount!$L$6:$L$92)/12),0),IF(YEAR(AZ$3)=YEAR(Headcount!$R$4),IF((AZ$5&lt;=12),(SUMPRODUCT(--(Headcount!$F$6:$F$92="Development Operations"),--(Headcount!$H$6:$H$92&gt;=Sales!AZ$3),Headcount!$R$6:$R$92,Headcount!$L$6:$L$92)/12),0),"New Year"))))),SUMIF('Dept. Cost Actuals'!$E$7:$E$176,"*bonus*",'Dept. Cost Actuals'!BD$703:BD$872))</f>
        <v>19583.771100000002</v>
      </c>
      <c r="BA16" s="668">
        <f>IF(BA$4="forecast",IF(YEAR(BA$3)=YEAR(Headcount!$N$4),IF((BA$5&lt;12),(SUMPRODUCT(--(Headcount!$F$6:$F$92="Development Operations"),--(Headcount!$H$6:$H$92&gt;=Sales!BA$3),Headcount!$N$6:$N$92,Headcount!$L$6:$L$92)/12),0),IF(YEAR(BA$3)=YEAR(Headcount!$O$4),IF((BA$5&lt;=12),(SUMPRODUCT(--(Headcount!$F$6:$F$92="Development Operations"),--(Headcount!$H$6:$H$92&gt;=Sales!BA$3),Headcount!$O$6:$O$92,Headcount!$L$6:$L$92)/12),0),IF(YEAR(BA$3)=YEAR(Headcount!$P$4),IF((BA$5&lt;=12),(SUMPRODUCT(--(Headcount!$F$6:$F$92="Development Operations"),--(Headcount!$H$6:$H$92&gt;=Sales!BA$3),Headcount!$P$6:$P$92,Headcount!$L$6:$L$92)/12),0),IF(YEAR(BA$3)=YEAR(Headcount!$Q$4),IF((BA$5&lt;=12),(SUMPRODUCT(--(Headcount!$F$6:$F$92="Development Operations"),--(Headcount!$H$6:$H$92&gt;=Sales!BA$3),Headcount!$Q$6:$Q$92,Headcount!$L$6:$L$92)/12),0),IF(YEAR(BA$3)=YEAR(Headcount!$R$4),IF((BA$5&lt;=12),(SUMPRODUCT(--(Headcount!$F$6:$F$92="Development Operations"),--(Headcount!$H$6:$H$92&gt;=Sales!BA$3),Headcount!$R$6:$R$92,Headcount!$L$6:$L$92)/12),0),"New Year"))))),SUMIF('Dept. Cost Actuals'!$E$7:$E$176,"*bonus*",'Dept. Cost Actuals'!BE$703:BE$872))</f>
        <v>19583.771100000002</v>
      </c>
      <c r="BB16" s="668">
        <f>IF(BB$4="forecast",IF(YEAR(BB$3)=YEAR(Headcount!$N$4),IF((BB$5&lt;12),(SUMPRODUCT(--(Headcount!$F$6:$F$92="Development Operations"),--(Headcount!$H$6:$H$92&gt;=Sales!BB$3),Headcount!$N$6:$N$92,Headcount!$L$6:$L$92)/12),0),IF(YEAR(BB$3)=YEAR(Headcount!$O$4),IF((BB$5&lt;=12),(SUMPRODUCT(--(Headcount!$F$6:$F$92="Development Operations"),--(Headcount!$H$6:$H$92&gt;=Sales!BB$3),Headcount!$O$6:$O$92,Headcount!$L$6:$L$92)/12),0),IF(YEAR(BB$3)=YEAR(Headcount!$P$4),IF((BB$5&lt;=12),(SUMPRODUCT(--(Headcount!$F$6:$F$92="Development Operations"),--(Headcount!$H$6:$H$92&gt;=Sales!BB$3),Headcount!$P$6:$P$92,Headcount!$L$6:$L$92)/12),0),IF(YEAR(BB$3)=YEAR(Headcount!$Q$4),IF((BB$5&lt;=12),(SUMPRODUCT(--(Headcount!$F$6:$F$92="Development Operations"),--(Headcount!$H$6:$H$92&gt;=Sales!BB$3),Headcount!$Q$6:$Q$92,Headcount!$L$6:$L$92)/12),0),IF(YEAR(BB$3)=YEAR(Headcount!$R$4),IF((BB$5&lt;=12),(SUMPRODUCT(--(Headcount!$F$6:$F$92="Development Operations"),--(Headcount!$H$6:$H$92&gt;=Sales!BB$3),Headcount!$R$6:$R$92,Headcount!$L$6:$L$92)/12),0),"New Year"))))),SUMIF('Dept. Cost Actuals'!$E$7:$E$176,"*bonus*",'Dept. Cost Actuals'!BF$703:BF$872))</f>
        <v>19583.771100000002</v>
      </c>
      <c r="BC16" s="668">
        <f>IF(BC$4="forecast",IF(YEAR(BC$3)=YEAR(Headcount!$N$4),IF((BC$5&lt;12),(SUMPRODUCT(--(Headcount!$F$6:$F$92="Development Operations"),--(Headcount!$H$6:$H$92&gt;=Sales!BC$3),Headcount!$N$6:$N$92,Headcount!$L$6:$L$92)/12),0),IF(YEAR(BC$3)=YEAR(Headcount!$O$4),IF((BC$5&lt;=12),(SUMPRODUCT(--(Headcount!$F$6:$F$92="Development Operations"),--(Headcount!$H$6:$H$92&gt;=Sales!BC$3),Headcount!$O$6:$O$92,Headcount!$L$6:$L$92)/12),0),IF(YEAR(BC$3)=YEAR(Headcount!$P$4),IF((BC$5&lt;=12),(SUMPRODUCT(--(Headcount!$F$6:$F$92="Development Operations"),--(Headcount!$H$6:$H$92&gt;=Sales!BC$3),Headcount!$P$6:$P$92,Headcount!$L$6:$L$92)/12),0),IF(YEAR(BC$3)=YEAR(Headcount!$Q$4),IF((BC$5&lt;=12),(SUMPRODUCT(--(Headcount!$F$6:$F$92="Development Operations"),--(Headcount!$H$6:$H$92&gt;=Sales!BC$3),Headcount!$Q$6:$Q$92,Headcount!$L$6:$L$92)/12),0),IF(YEAR(BC$3)=YEAR(Headcount!$R$4),IF((BC$5&lt;=12),(SUMPRODUCT(--(Headcount!$F$6:$F$92="Development Operations"),--(Headcount!$H$6:$H$92&gt;=Sales!BC$3),Headcount!$R$6:$R$92,Headcount!$L$6:$L$92)/12),0),"New Year"))))),SUMIF('Dept. Cost Actuals'!$E$7:$E$176,"*bonus*",'Dept. Cost Actuals'!BG$703:BG$872))</f>
        <v>19583.771100000002</v>
      </c>
      <c r="BD16" s="668">
        <f>IF(BD$4="forecast",IF(YEAR(BD$3)=YEAR(Headcount!$N$4),IF((BD$5&lt;12),(SUMPRODUCT(--(Headcount!$F$6:$F$92="Development Operations"),--(Headcount!$H$6:$H$92&gt;=Sales!BD$3),Headcount!$N$6:$N$92,Headcount!$L$6:$L$92)/12),0),IF(YEAR(BD$3)=YEAR(Headcount!$O$4),IF((BD$5&lt;=12),(SUMPRODUCT(--(Headcount!$F$6:$F$92="Development Operations"),--(Headcount!$H$6:$H$92&gt;=Sales!BD$3),Headcount!$O$6:$O$92,Headcount!$L$6:$L$92)/12),0),IF(YEAR(BD$3)=YEAR(Headcount!$P$4),IF((BD$5&lt;=12),(SUMPRODUCT(--(Headcount!$F$6:$F$92="Development Operations"),--(Headcount!$H$6:$H$92&gt;=Sales!BD$3),Headcount!$P$6:$P$92,Headcount!$L$6:$L$92)/12),0),IF(YEAR(BD$3)=YEAR(Headcount!$Q$4),IF((BD$5&lt;=12),(SUMPRODUCT(--(Headcount!$F$6:$F$92="Development Operations"),--(Headcount!$H$6:$H$92&gt;=Sales!BD$3),Headcount!$Q$6:$Q$92,Headcount!$L$6:$L$92)/12),0),IF(YEAR(BD$3)=YEAR(Headcount!$R$4),IF((BD$5&lt;=12),(SUMPRODUCT(--(Headcount!$F$6:$F$92="Development Operations"),--(Headcount!$H$6:$H$92&gt;=Sales!BD$3),Headcount!$R$6:$R$92,Headcount!$L$6:$L$92)/12),0),"New Year"))))),SUMIF('Dept. Cost Actuals'!$E$7:$E$176,"*bonus*",'Dept. Cost Actuals'!BH$703:BH$872))</f>
        <v>19583.771100000002</v>
      </c>
      <c r="BE16" s="668">
        <f>IF(BE$4="forecast",IF(YEAR(BE$3)=YEAR(Headcount!$N$4),IF((BE$5&lt;12),(SUMPRODUCT(--(Headcount!$F$6:$F$92="Development Operations"),--(Headcount!$H$6:$H$92&gt;=Sales!BE$3),Headcount!$N$6:$N$92,Headcount!$L$6:$L$92)/12),0),IF(YEAR(BE$3)=YEAR(Headcount!$O$4),IF((BE$5&lt;=12),(SUMPRODUCT(--(Headcount!$F$6:$F$92="Development Operations"),--(Headcount!$H$6:$H$92&gt;=Sales!BE$3),Headcount!$O$6:$O$92,Headcount!$L$6:$L$92)/12),0),IF(YEAR(BE$3)=YEAR(Headcount!$P$4),IF((BE$5&lt;=12),(SUMPRODUCT(--(Headcount!$F$6:$F$92="Development Operations"),--(Headcount!$H$6:$H$92&gt;=Sales!BE$3),Headcount!$P$6:$P$92,Headcount!$L$6:$L$92)/12),0),IF(YEAR(BE$3)=YEAR(Headcount!$Q$4),IF((BE$5&lt;=12),(SUMPRODUCT(--(Headcount!$F$6:$F$92="Development Operations"),--(Headcount!$H$6:$H$92&gt;=Sales!BE$3),Headcount!$Q$6:$Q$92,Headcount!$L$6:$L$92)/12),0),IF(YEAR(BE$3)=YEAR(Headcount!$R$4),IF((BE$5&lt;=12),(SUMPRODUCT(--(Headcount!$F$6:$F$92="Development Operations"),--(Headcount!$H$6:$H$92&gt;=Sales!BE$3),Headcount!$R$6:$R$92,Headcount!$L$6:$L$92)/12),0),"New Year"))))),SUMIF('Dept. Cost Actuals'!$E$7:$E$176,"*bonus*",'Dept. Cost Actuals'!BI$703:BI$872))</f>
        <v>19583.771100000002</v>
      </c>
      <c r="BF16" s="668">
        <f>IF(BF$4="forecast",IF(YEAR(BF$3)=YEAR(Headcount!$N$4),IF((BF$5&lt;12),(SUMPRODUCT(--(Headcount!$F$6:$F$92="Development Operations"),--(Headcount!$H$6:$H$92&gt;=Sales!BF$3),Headcount!$N$6:$N$92,Headcount!$L$6:$L$92)/12),0),IF(YEAR(BF$3)=YEAR(Headcount!$O$4),IF((BF$5&lt;=12),(SUMPRODUCT(--(Headcount!$F$6:$F$92="Development Operations"),--(Headcount!$H$6:$H$92&gt;=Sales!BF$3),Headcount!$O$6:$O$92,Headcount!$L$6:$L$92)/12),0),IF(YEAR(BF$3)=YEAR(Headcount!$P$4),IF((BF$5&lt;=12),(SUMPRODUCT(--(Headcount!$F$6:$F$92="Development Operations"),--(Headcount!$H$6:$H$92&gt;=Sales!BF$3),Headcount!$P$6:$P$92,Headcount!$L$6:$L$92)/12),0),IF(YEAR(BF$3)=YEAR(Headcount!$Q$4),IF((BF$5&lt;=12),(SUMPRODUCT(--(Headcount!$F$6:$F$92="Development Operations"),--(Headcount!$H$6:$H$92&gt;=Sales!BF$3),Headcount!$Q$6:$Q$92,Headcount!$L$6:$L$92)/12),0),IF(YEAR(BF$3)=YEAR(Headcount!$R$4),IF((BF$5&lt;=12),(SUMPRODUCT(--(Headcount!$F$6:$F$92="Development Operations"),--(Headcount!$H$6:$H$92&gt;=Sales!BF$3),Headcount!$R$6:$R$92,Headcount!$L$6:$L$92)/12),0),"New Year"))))),SUMIF('Dept. Cost Actuals'!$E$7:$E$176,"*bonus*",'Dept. Cost Actuals'!BJ$703:BJ$872))</f>
        <v>19583.771100000002</v>
      </c>
      <c r="BG16" s="668">
        <f>IF(BG$4="forecast",IF(YEAR(BG$3)=YEAR(Headcount!$N$4),IF((BG$5&lt;12),(SUMPRODUCT(--(Headcount!$F$6:$F$92="Development Operations"),--(Headcount!$H$6:$H$92&gt;=Sales!BG$3),Headcount!$N$6:$N$92,Headcount!$L$6:$L$92)/12),0),IF(YEAR(BG$3)=YEAR(Headcount!$O$4),IF((BG$5&lt;=12),(SUMPRODUCT(--(Headcount!$F$6:$F$92="Development Operations"),--(Headcount!$H$6:$H$92&gt;=Sales!BG$3),Headcount!$O$6:$O$92,Headcount!$L$6:$L$92)/12),0),IF(YEAR(BG$3)=YEAR(Headcount!$P$4),IF((BG$5&lt;=12),(SUMPRODUCT(--(Headcount!$F$6:$F$92="Development Operations"),--(Headcount!$H$6:$H$92&gt;=Sales!BG$3),Headcount!$P$6:$P$92,Headcount!$L$6:$L$92)/12),0),IF(YEAR(BG$3)=YEAR(Headcount!$Q$4),IF((BG$5&lt;=12),(SUMPRODUCT(--(Headcount!$F$6:$F$92="Development Operations"),--(Headcount!$H$6:$H$92&gt;=Sales!BG$3),Headcount!$Q$6:$Q$92,Headcount!$L$6:$L$92)/12),0),IF(YEAR(BG$3)=YEAR(Headcount!$R$4),IF((BG$5&lt;=12),(SUMPRODUCT(--(Headcount!$F$6:$F$92="Development Operations"),--(Headcount!$H$6:$H$92&gt;=Sales!BG$3),Headcount!$R$6:$R$92,Headcount!$L$6:$L$92)/12),0),"New Year"))))),SUMIF('Dept. Cost Actuals'!$E$7:$E$176,"*bonus*",'Dept. Cost Actuals'!BK$703:BK$872))</f>
        <v>19583.771100000002</v>
      </c>
      <c r="BH16" s="668">
        <f>IF(BH$4="forecast",IF(YEAR(BH$3)=YEAR(Headcount!$N$4),IF((BH$5&lt;12),(SUMPRODUCT(--(Headcount!$F$6:$F$92="Development Operations"),--(Headcount!$H$6:$H$92&gt;=Sales!BH$3),Headcount!$N$6:$N$92,Headcount!$L$6:$L$92)/12),0),IF(YEAR(BH$3)=YEAR(Headcount!$O$4),IF((BH$5&lt;=12),(SUMPRODUCT(--(Headcount!$F$6:$F$92="Development Operations"),--(Headcount!$H$6:$H$92&gt;=Sales!BH$3),Headcount!$O$6:$O$92,Headcount!$L$6:$L$92)/12),0),IF(YEAR(BH$3)=YEAR(Headcount!$P$4),IF((BH$5&lt;=12),(SUMPRODUCT(--(Headcount!$F$6:$F$92="Development Operations"),--(Headcount!$H$6:$H$92&gt;=Sales!BH$3),Headcount!$P$6:$P$92,Headcount!$L$6:$L$92)/12),0),IF(YEAR(BH$3)=YEAR(Headcount!$Q$4),IF((BH$5&lt;=12),(SUMPRODUCT(--(Headcount!$F$6:$F$92="Development Operations"),--(Headcount!$H$6:$H$92&gt;=Sales!BH$3),Headcount!$Q$6:$Q$92,Headcount!$L$6:$L$92)/12),0),IF(YEAR(BH$3)=YEAR(Headcount!$R$4),IF((BH$5&lt;=12),(SUMPRODUCT(--(Headcount!$F$6:$F$92="Development Operations"),--(Headcount!$H$6:$H$92&gt;=Sales!BH$3),Headcount!$R$6:$R$92,Headcount!$L$6:$L$92)/12),0),"New Year"))))),SUMIF('Dept. Cost Actuals'!$E$7:$E$176,"*bonus*",'Dept. Cost Actuals'!BL$703:BL$872))</f>
        <v>19583.771100000002</v>
      </c>
      <c r="BI16" s="668">
        <f>IF(BI$4="forecast",IF(YEAR(BI$3)=YEAR(Headcount!$N$4),IF((BI$5&lt;12),(SUMPRODUCT(--(Headcount!$F$6:$F$92="Development Operations"),--(Headcount!$H$6:$H$92&gt;=Sales!BI$3),Headcount!$N$6:$N$92,Headcount!$L$6:$L$92)/12),0),IF(YEAR(BI$3)=YEAR(Headcount!$O$4),IF((BI$5&lt;=12),(SUMPRODUCT(--(Headcount!$F$6:$F$92="Development Operations"),--(Headcount!$H$6:$H$92&gt;=Sales!BI$3),Headcount!$O$6:$O$92,Headcount!$L$6:$L$92)/12),0),IF(YEAR(BI$3)=YEAR(Headcount!$P$4),IF((BI$5&lt;=12),(SUMPRODUCT(--(Headcount!$F$6:$F$92="Development Operations"),--(Headcount!$H$6:$H$92&gt;=Sales!BI$3),Headcount!$P$6:$P$92,Headcount!$L$6:$L$92)/12),0),IF(YEAR(BI$3)=YEAR(Headcount!$Q$4),IF((BI$5&lt;=12),(SUMPRODUCT(--(Headcount!$F$6:$F$92="Development Operations"),--(Headcount!$H$6:$H$92&gt;=Sales!BI$3),Headcount!$Q$6:$Q$92,Headcount!$L$6:$L$92)/12),0),IF(YEAR(BI$3)=YEAR(Headcount!$R$4),IF((BI$5&lt;=12),(SUMPRODUCT(--(Headcount!$F$6:$F$92="Development Operations"),--(Headcount!$H$6:$H$92&gt;=Sales!BI$3),Headcount!$R$6:$R$92,Headcount!$L$6:$L$92)/12),0),"New Year"))))),SUMIF('Dept. Cost Actuals'!$E$7:$E$176,"*bonus*",'Dept. Cost Actuals'!BM$703:BM$872))</f>
        <v>19583.771100000002</v>
      </c>
      <c r="BJ16" s="668">
        <f>IF(BJ$4="forecast",IF(YEAR(BJ$3)=YEAR(Headcount!$N$4),IF((BJ$5&lt;12),(SUMPRODUCT(--(Headcount!$F$6:$F$92="Development Operations"),--(Headcount!$H$6:$H$92&gt;=Sales!BJ$3),Headcount!$N$6:$N$92,Headcount!$L$6:$L$92)/12),0),IF(YEAR(BJ$3)=YEAR(Headcount!$O$4),IF((BJ$5&lt;=12),(SUMPRODUCT(--(Headcount!$F$6:$F$92="Development Operations"),--(Headcount!$H$6:$H$92&gt;=Sales!BJ$3),Headcount!$O$6:$O$92,Headcount!$L$6:$L$92)/12),0),IF(YEAR(BJ$3)=YEAR(Headcount!$P$4),IF((BJ$5&lt;=12),(SUMPRODUCT(--(Headcount!$F$6:$F$92="Development Operations"),--(Headcount!$H$6:$H$92&gt;=Sales!BJ$3),Headcount!$P$6:$P$92,Headcount!$L$6:$L$92)/12),0),IF(YEAR(BJ$3)=YEAR(Headcount!$Q$4),IF((BJ$5&lt;=12),(SUMPRODUCT(--(Headcount!$F$6:$F$92="Development Operations"),--(Headcount!$H$6:$H$92&gt;=Sales!BJ$3),Headcount!$Q$6:$Q$92,Headcount!$L$6:$L$92)/12),0),IF(YEAR(BJ$3)=YEAR(Headcount!$R$4),IF((BJ$5&lt;=12),(SUMPRODUCT(--(Headcount!$F$6:$F$92="Development Operations"),--(Headcount!$H$6:$H$92&gt;=Sales!BJ$3),Headcount!$R$6:$R$92,Headcount!$L$6:$L$92)/12),0),"New Year"))))),SUMIF('Dept. Cost Actuals'!$E$7:$E$176,"*bonus*",'Dept. Cost Actuals'!BN$703:BN$872))</f>
        <v>19583.771100000002</v>
      </c>
      <c r="BK16" s="668">
        <f>IF(BK$4="forecast",IF(YEAR(BK$3)=YEAR(Headcount!$N$4),IF((BK$5&lt;12),(SUMPRODUCT(--(Headcount!$F$6:$F$92="Development Operations"),--(Headcount!$H$6:$H$92&gt;=Sales!BK$3),Headcount!$N$6:$N$92,Headcount!$L$6:$L$92)/12),0),IF(YEAR(BK$3)=YEAR(Headcount!$O$4),IF((BK$5&lt;=12),(SUMPRODUCT(--(Headcount!$F$6:$F$92="Development Operations"),--(Headcount!$H$6:$H$92&gt;=Sales!BK$3),Headcount!$O$6:$O$92,Headcount!$L$6:$L$92)/12),0),IF(YEAR(BK$3)=YEAR(Headcount!$P$4),IF((BK$5&lt;=12),(SUMPRODUCT(--(Headcount!$F$6:$F$92="Development Operations"),--(Headcount!$H$6:$H$92&gt;=Sales!BK$3),Headcount!$P$6:$P$92,Headcount!$L$6:$L$92)/12),0),IF(YEAR(BK$3)=YEAR(Headcount!$Q$4),IF((BK$5&lt;=12),(SUMPRODUCT(--(Headcount!$F$6:$F$92="Development Operations"),--(Headcount!$H$6:$H$92&gt;=Sales!BK$3),Headcount!$Q$6:$Q$92,Headcount!$L$6:$L$92)/12),0),IF(YEAR(BK$3)=YEAR(Headcount!$R$4),IF((BK$5&lt;=12),(SUMPRODUCT(--(Headcount!$F$6:$F$92="Development Operations"),--(Headcount!$H$6:$H$92&gt;=Sales!BK$3),Headcount!$R$6:$R$92,Headcount!$L$6:$L$92)/12),0),"New Year"))))),SUMIF('Dept. Cost Actuals'!$E$7:$E$176,"*bonus*",'Dept. Cost Actuals'!BO$703:BO$872))</f>
        <v>20171.284232999998</v>
      </c>
      <c r="BL16" s="668">
        <f>IF(BL$4="forecast",IF(YEAR(BL$3)=YEAR(Headcount!$N$4),IF((BL$5&lt;12),(SUMPRODUCT(--(Headcount!$F$6:$F$92="Development Operations"),--(Headcount!$H$6:$H$92&gt;=Sales!BL$3),Headcount!$N$6:$N$92,Headcount!$L$6:$L$92)/12),0),IF(YEAR(BL$3)=YEAR(Headcount!$O$4),IF((BL$5&lt;=12),(SUMPRODUCT(--(Headcount!$F$6:$F$92="Development Operations"),--(Headcount!$H$6:$H$92&gt;=Sales!BL$3),Headcount!$O$6:$O$92,Headcount!$L$6:$L$92)/12),0),IF(YEAR(BL$3)=YEAR(Headcount!$P$4),IF((BL$5&lt;=12),(SUMPRODUCT(--(Headcount!$F$6:$F$92="Development Operations"),--(Headcount!$H$6:$H$92&gt;=Sales!BL$3),Headcount!$P$6:$P$92,Headcount!$L$6:$L$92)/12),0),IF(YEAR(BL$3)=YEAR(Headcount!$Q$4),IF((BL$5&lt;=12),(SUMPRODUCT(--(Headcount!$F$6:$F$92="Development Operations"),--(Headcount!$H$6:$H$92&gt;=Sales!BL$3),Headcount!$Q$6:$Q$92,Headcount!$L$6:$L$92)/12),0),IF(YEAR(BL$3)=YEAR(Headcount!$R$4),IF((BL$5&lt;=12),(SUMPRODUCT(--(Headcount!$F$6:$F$92="Development Operations"),--(Headcount!$H$6:$H$92&gt;=Sales!BL$3),Headcount!$R$6:$R$92,Headcount!$L$6:$L$92)/12),0),"New Year"))))),SUMIF('Dept. Cost Actuals'!$E$7:$E$176,"*bonus*",'Dept. Cost Actuals'!BP$703:BP$872))</f>
        <v>20171.284232999998</v>
      </c>
      <c r="BM16" s="668">
        <f>IF(BM$4="forecast",IF(YEAR(BM$3)=YEAR(Headcount!$N$4),IF((BM$5&lt;12),(SUMPRODUCT(--(Headcount!$F$6:$F$92="Development Operations"),--(Headcount!$H$6:$H$92&gt;=Sales!BM$3),Headcount!$N$6:$N$92,Headcount!$L$6:$L$92)/12),0),IF(YEAR(BM$3)=YEAR(Headcount!$O$4),IF((BM$5&lt;=12),(SUMPRODUCT(--(Headcount!$F$6:$F$92="Development Operations"),--(Headcount!$H$6:$H$92&gt;=Sales!BM$3),Headcount!$O$6:$O$92,Headcount!$L$6:$L$92)/12),0),IF(YEAR(BM$3)=YEAR(Headcount!$P$4),IF((BM$5&lt;=12),(SUMPRODUCT(--(Headcount!$F$6:$F$92="Development Operations"),--(Headcount!$H$6:$H$92&gt;=Sales!BM$3),Headcount!$P$6:$P$92,Headcount!$L$6:$L$92)/12),0),IF(YEAR(BM$3)=YEAR(Headcount!$Q$4),IF((BM$5&lt;=12),(SUMPRODUCT(--(Headcount!$F$6:$F$92="Development Operations"),--(Headcount!$H$6:$H$92&gt;=Sales!BM$3),Headcount!$Q$6:$Q$92,Headcount!$L$6:$L$92)/12),0),IF(YEAR(BM$3)=YEAR(Headcount!$R$4),IF((BM$5&lt;=12),(SUMPRODUCT(--(Headcount!$F$6:$F$92="Development Operations"),--(Headcount!$H$6:$H$92&gt;=Sales!BM$3),Headcount!$R$6:$R$92,Headcount!$L$6:$L$92)/12),0),"New Year"))))),SUMIF('Dept. Cost Actuals'!$E$7:$E$176,"*bonus*",'Dept. Cost Actuals'!BQ$703:BQ$872))</f>
        <v>20171.284232999998</v>
      </c>
      <c r="BN16" s="668">
        <f>IF(BN$4="forecast",IF(YEAR(BN$3)=YEAR(Headcount!$N$4),IF((BN$5&lt;12),(SUMPRODUCT(--(Headcount!$F$6:$F$92="Development Operations"),--(Headcount!$H$6:$H$92&gt;=Sales!BN$3),Headcount!$N$6:$N$92,Headcount!$L$6:$L$92)/12),0),IF(YEAR(BN$3)=YEAR(Headcount!$O$4),IF((BN$5&lt;=12),(SUMPRODUCT(--(Headcount!$F$6:$F$92="Development Operations"),--(Headcount!$H$6:$H$92&gt;=Sales!BN$3),Headcount!$O$6:$O$92,Headcount!$L$6:$L$92)/12),0),IF(YEAR(BN$3)=YEAR(Headcount!$P$4),IF((BN$5&lt;=12),(SUMPRODUCT(--(Headcount!$F$6:$F$92="Development Operations"),--(Headcount!$H$6:$H$92&gt;=Sales!BN$3),Headcount!$P$6:$P$92,Headcount!$L$6:$L$92)/12),0),IF(YEAR(BN$3)=YEAR(Headcount!$Q$4),IF((BN$5&lt;=12),(SUMPRODUCT(--(Headcount!$F$6:$F$92="Development Operations"),--(Headcount!$H$6:$H$92&gt;=Sales!BN$3),Headcount!$Q$6:$Q$92,Headcount!$L$6:$L$92)/12),0),IF(YEAR(BN$3)=YEAR(Headcount!$R$4),IF((BN$5&lt;=12),(SUMPRODUCT(--(Headcount!$F$6:$F$92="Development Operations"),--(Headcount!$H$6:$H$92&gt;=Sales!BN$3),Headcount!$R$6:$R$92,Headcount!$L$6:$L$92)/12),0),"New Year"))))),SUMIF('Dept. Cost Actuals'!$E$7:$E$176,"*bonus*",'Dept. Cost Actuals'!BR$703:BR$872))</f>
        <v>20171.284232999998</v>
      </c>
      <c r="BO16" s="668">
        <f>IF(BO$4="forecast",IF(YEAR(BO$3)=YEAR(Headcount!$N$4),IF((BO$5&lt;12),(SUMPRODUCT(--(Headcount!$F$6:$F$92="Development Operations"),--(Headcount!$H$6:$H$92&gt;=Sales!BO$3),Headcount!$N$6:$N$92,Headcount!$L$6:$L$92)/12),0),IF(YEAR(BO$3)=YEAR(Headcount!$O$4),IF((BO$5&lt;=12),(SUMPRODUCT(--(Headcount!$F$6:$F$92="Development Operations"),--(Headcount!$H$6:$H$92&gt;=Sales!BO$3),Headcount!$O$6:$O$92,Headcount!$L$6:$L$92)/12),0),IF(YEAR(BO$3)=YEAR(Headcount!$P$4),IF((BO$5&lt;=12),(SUMPRODUCT(--(Headcount!$F$6:$F$92="Development Operations"),--(Headcount!$H$6:$H$92&gt;=Sales!BO$3),Headcount!$P$6:$P$92,Headcount!$L$6:$L$92)/12),0),IF(YEAR(BO$3)=YEAR(Headcount!$Q$4),IF((BO$5&lt;=12),(SUMPRODUCT(--(Headcount!$F$6:$F$92="Development Operations"),--(Headcount!$H$6:$H$92&gt;=Sales!BO$3),Headcount!$Q$6:$Q$92,Headcount!$L$6:$L$92)/12),0),IF(YEAR(BO$3)=YEAR(Headcount!$R$4),IF((BO$5&lt;=12),(SUMPRODUCT(--(Headcount!$F$6:$F$92="Development Operations"),--(Headcount!$H$6:$H$92&gt;=Sales!BO$3),Headcount!$R$6:$R$92,Headcount!$L$6:$L$92)/12),0),"New Year"))))),SUMIF('Dept. Cost Actuals'!$E$7:$E$176,"*bonus*",'Dept. Cost Actuals'!BS$703:BS$872))</f>
        <v>20171.284232999998</v>
      </c>
      <c r="BP16" s="668">
        <f>IF(BP$4="forecast",IF(YEAR(BP$3)=YEAR(Headcount!$N$4),IF((BP$5&lt;12),(SUMPRODUCT(--(Headcount!$F$6:$F$92="Development Operations"),--(Headcount!$H$6:$H$92&gt;=Sales!BP$3),Headcount!$N$6:$N$92,Headcount!$L$6:$L$92)/12),0),IF(YEAR(BP$3)=YEAR(Headcount!$O$4),IF((BP$5&lt;=12),(SUMPRODUCT(--(Headcount!$F$6:$F$92="Development Operations"),--(Headcount!$H$6:$H$92&gt;=Sales!BP$3),Headcount!$O$6:$O$92,Headcount!$L$6:$L$92)/12),0),IF(YEAR(BP$3)=YEAR(Headcount!$P$4),IF((BP$5&lt;=12),(SUMPRODUCT(--(Headcount!$F$6:$F$92="Development Operations"),--(Headcount!$H$6:$H$92&gt;=Sales!BP$3),Headcount!$P$6:$P$92,Headcount!$L$6:$L$92)/12),0),IF(YEAR(BP$3)=YEAR(Headcount!$Q$4),IF((BP$5&lt;=12),(SUMPRODUCT(--(Headcount!$F$6:$F$92="Development Operations"),--(Headcount!$H$6:$H$92&gt;=Sales!BP$3),Headcount!$Q$6:$Q$92,Headcount!$L$6:$L$92)/12),0),IF(YEAR(BP$3)=YEAR(Headcount!$R$4),IF((BP$5&lt;=12),(SUMPRODUCT(--(Headcount!$F$6:$F$92="Development Operations"),--(Headcount!$H$6:$H$92&gt;=Sales!BP$3),Headcount!$R$6:$R$92,Headcount!$L$6:$L$92)/12),0),"New Year"))))),SUMIF('Dept. Cost Actuals'!$E$7:$E$176,"*bonus*",'Dept. Cost Actuals'!BT$703:BT$872))</f>
        <v>20171.284232999998</v>
      </c>
      <c r="BQ16" s="668">
        <f>IF(BQ$4="forecast",IF(YEAR(BQ$3)=YEAR(Headcount!$N$4),IF((BQ$5&lt;12),(SUMPRODUCT(--(Headcount!$F$6:$F$92="Development Operations"),--(Headcount!$H$6:$H$92&gt;=Sales!BQ$3),Headcount!$N$6:$N$92,Headcount!$L$6:$L$92)/12),0),IF(YEAR(BQ$3)=YEAR(Headcount!$O$4),IF((BQ$5&lt;=12),(SUMPRODUCT(--(Headcount!$F$6:$F$92="Development Operations"),--(Headcount!$H$6:$H$92&gt;=Sales!BQ$3),Headcount!$O$6:$O$92,Headcount!$L$6:$L$92)/12),0),IF(YEAR(BQ$3)=YEAR(Headcount!$P$4),IF((BQ$5&lt;=12),(SUMPRODUCT(--(Headcount!$F$6:$F$92="Development Operations"),--(Headcount!$H$6:$H$92&gt;=Sales!BQ$3),Headcount!$P$6:$P$92,Headcount!$L$6:$L$92)/12),0),IF(YEAR(BQ$3)=YEAR(Headcount!$Q$4),IF((BQ$5&lt;=12),(SUMPRODUCT(--(Headcount!$F$6:$F$92="Development Operations"),--(Headcount!$H$6:$H$92&gt;=Sales!BQ$3),Headcount!$Q$6:$Q$92,Headcount!$L$6:$L$92)/12),0),IF(YEAR(BQ$3)=YEAR(Headcount!$R$4),IF((BQ$5&lt;=12),(SUMPRODUCT(--(Headcount!$F$6:$F$92="Development Operations"),--(Headcount!$H$6:$H$92&gt;=Sales!BQ$3),Headcount!$R$6:$R$92,Headcount!$L$6:$L$92)/12),0),"New Year"))))),SUMIF('Dept. Cost Actuals'!$E$7:$E$176,"*bonus*",'Dept. Cost Actuals'!BU$703:BU$872))</f>
        <v>20171.284232999998</v>
      </c>
      <c r="BR16" s="668">
        <f>IF(BR$4="forecast",IF(YEAR(BR$3)=YEAR(Headcount!$N$4),IF((BR$5&lt;12),(SUMPRODUCT(--(Headcount!$F$6:$F$92="Development Operations"),--(Headcount!$H$6:$H$92&gt;=Sales!BR$3),Headcount!$N$6:$N$92,Headcount!$L$6:$L$92)/12),0),IF(YEAR(BR$3)=YEAR(Headcount!$O$4),IF((BR$5&lt;=12),(SUMPRODUCT(--(Headcount!$F$6:$F$92="Development Operations"),--(Headcount!$H$6:$H$92&gt;=Sales!BR$3),Headcount!$O$6:$O$92,Headcount!$L$6:$L$92)/12),0),IF(YEAR(BR$3)=YEAR(Headcount!$P$4),IF((BR$5&lt;=12),(SUMPRODUCT(--(Headcount!$F$6:$F$92="Development Operations"),--(Headcount!$H$6:$H$92&gt;=Sales!BR$3),Headcount!$P$6:$P$92,Headcount!$L$6:$L$92)/12),0),IF(YEAR(BR$3)=YEAR(Headcount!$Q$4),IF((BR$5&lt;=12),(SUMPRODUCT(--(Headcount!$F$6:$F$92="Development Operations"),--(Headcount!$H$6:$H$92&gt;=Sales!BR$3),Headcount!$Q$6:$Q$92,Headcount!$L$6:$L$92)/12),0),IF(YEAR(BR$3)=YEAR(Headcount!$R$4),IF((BR$5&lt;=12),(SUMPRODUCT(--(Headcount!$F$6:$F$92="Development Operations"),--(Headcount!$H$6:$H$92&gt;=Sales!BR$3),Headcount!$R$6:$R$92,Headcount!$L$6:$L$92)/12),0),"New Year"))))),SUMIF('Dept. Cost Actuals'!$E$7:$E$176,"*bonus*",'Dept. Cost Actuals'!BV$703:BV$872))</f>
        <v>20171.284232999998</v>
      </c>
      <c r="BS16" s="668">
        <f>IF(BS$4="forecast",IF(YEAR(BS$3)=YEAR(Headcount!$N$4),IF((BS$5&lt;12),(SUMPRODUCT(--(Headcount!$F$6:$F$92="Development Operations"),--(Headcount!$H$6:$H$92&gt;=Sales!BS$3),Headcount!$N$6:$N$92,Headcount!$L$6:$L$92)/12),0),IF(YEAR(BS$3)=YEAR(Headcount!$O$4),IF((BS$5&lt;=12),(SUMPRODUCT(--(Headcount!$F$6:$F$92="Development Operations"),--(Headcount!$H$6:$H$92&gt;=Sales!BS$3),Headcount!$O$6:$O$92,Headcount!$L$6:$L$92)/12),0),IF(YEAR(BS$3)=YEAR(Headcount!$P$4),IF((BS$5&lt;=12),(SUMPRODUCT(--(Headcount!$F$6:$F$92="Development Operations"),--(Headcount!$H$6:$H$92&gt;=Sales!BS$3),Headcount!$P$6:$P$92,Headcount!$L$6:$L$92)/12),0),IF(YEAR(BS$3)=YEAR(Headcount!$Q$4),IF((BS$5&lt;=12),(SUMPRODUCT(--(Headcount!$F$6:$F$92="Development Operations"),--(Headcount!$H$6:$H$92&gt;=Sales!BS$3),Headcount!$Q$6:$Q$92,Headcount!$L$6:$L$92)/12),0),IF(YEAR(BS$3)=YEAR(Headcount!$R$4),IF((BS$5&lt;=12),(SUMPRODUCT(--(Headcount!$F$6:$F$92="Development Operations"),--(Headcount!$H$6:$H$92&gt;=Sales!BS$3),Headcount!$R$6:$R$92,Headcount!$L$6:$L$92)/12),0),"New Year"))))),SUMIF('Dept. Cost Actuals'!$E$7:$E$176,"*bonus*",'Dept. Cost Actuals'!BW$703:BW$872))</f>
        <v>20171.284232999998</v>
      </c>
      <c r="BT16" s="668">
        <f>IF(BT$4="forecast",IF(YEAR(BT$3)=YEAR(Headcount!$N$4),IF((BT$5&lt;12),(SUMPRODUCT(--(Headcount!$F$6:$F$92="Development Operations"),--(Headcount!$H$6:$H$92&gt;=Sales!BT$3),Headcount!$N$6:$N$92,Headcount!$L$6:$L$92)/12),0),IF(YEAR(BT$3)=YEAR(Headcount!$O$4),IF((BT$5&lt;=12),(SUMPRODUCT(--(Headcount!$F$6:$F$92="Development Operations"),--(Headcount!$H$6:$H$92&gt;=Sales!BT$3),Headcount!$O$6:$O$92,Headcount!$L$6:$L$92)/12),0),IF(YEAR(BT$3)=YEAR(Headcount!$P$4),IF((BT$5&lt;=12),(SUMPRODUCT(--(Headcount!$F$6:$F$92="Development Operations"),--(Headcount!$H$6:$H$92&gt;=Sales!BT$3),Headcount!$P$6:$P$92,Headcount!$L$6:$L$92)/12),0),IF(YEAR(BT$3)=YEAR(Headcount!$Q$4),IF((BT$5&lt;=12),(SUMPRODUCT(--(Headcount!$F$6:$F$92="Development Operations"),--(Headcount!$H$6:$H$92&gt;=Sales!BT$3),Headcount!$Q$6:$Q$92,Headcount!$L$6:$L$92)/12),0),IF(YEAR(BT$3)=YEAR(Headcount!$R$4),IF((BT$5&lt;=12),(SUMPRODUCT(--(Headcount!$F$6:$F$92="Development Operations"),--(Headcount!$H$6:$H$92&gt;=Sales!BT$3),Headcount!$R$6:$R$92,Headcount!$L$6:$L$92)/12),0),"New Year"))))),SUMIF('Dept. Cost Actuals'!$E$7:$E$176,"*bonus*",'Dept. Cost Actuals'!BX$703:BX$872))</f>
        <v>20171.284232999998</v>
      </c>
      <c r="BU16" s="668">
        <f>IF(BU$4="forecast",IF(YEAR(BU$3)=YEAR(Headcount!$N$4),IF((BU$5&lt;12),(SUMPRODUCT(--(Headcount!$F$6:$F$92="Development Operations"),--(Headcount!$H$6:$H$92&gt;=Sales!BU$3),Headcount!$N$6:$N$92,Headcount!$L$6:$L$92)/12),0),IF(YEAR(BU$3)=YEAR(Headcount!$O$4),IF((BU$5&lt;=12),(SUMPRODUCT(--(Headcount!$F$6:$F$92="Development Operations"),--(Headcount!$H$6:$H$92&gt;=Sales!BU$3),Headcount!$O$6:$O$92,Headcount!$L$6:$L$92)/12),0),IF(YEAR(BU$3)=YEAR(Headcount!$P$4),IF((BU$5&lt;=12),(SUMPRODUCT(--(Headcount!$F$6:$F$92="Development Operations"),--(Headcount!$H$6:$H$92&gt;=Sales!BU$3),Headcount!$P$6:$P$92,Headcount!$L$6:$L$92)/12),0),IF(YEAR(BU$3)=YEAR(Headcount!$Q$4),IF((BU$5&lt;=12),(SUMPRODUCT(--(Headcount!$F$6:$F$92="Development Operations"),--(Headcount!$H$6:$H$92&gt;=Sales!BU$3),Headcount!$Q$6:$Q$92,Headcount!$L$6:$L$92)/12),0),IF(YEAR(BU$3)=YEAR(Headcount!$R$4),IF((BU$5&lt;=12),(SUMPRODUCT(--(Headcount!$F$6:$F$92="Development Operations"),--(Headcount!$H$6:$H$92&gt;=Sales!BU$3),Headcount!$R$6:$R$92,Headcount!$L$6:$L$92)/12),0),"New Year"))))),SUMIF('Dept. Cost Actuals'!$E$7:$E$176,"*bonus*",'Dept. Cost Actuals'!BY$703:BY$872))</f>
        <v>20171.284232999998</v>
      </c>
      <c r="BV16" s="668">
        <f>IF(BV$4="forecast",IF(YEAR(BV$3)=YEAR(Headcount!$N$4),IF((BV$5&lt;12),(SUMPRODUCT(--(Headcount!$F$6:$F$92="Development Operations"),--(Headcount!$H$6:$H$92&gt;=Sales!BV$3),Headcount!$N$6:$N$92,Headcount!$L$6:$L$92)/12),0),IF(YEAR(BV$3)=YEAR(Headcount!$O$4),IF((BV$5&lt;=12),(SUMPRODUCT(--(Headcount!$F$6:$F$92="Development Operations"),--(Headcount!$H$6:$H$92&gt;=Sales!BV$3),Headcount!$O$6:$O$92,Headcount!$L$6:$L$92)/12),0),IF(YEAR(BV$3)=YEAR(Headcount!$P$4),IF((BV$5&lt;=12),(SUMPRODUCT(--(Headcount!$F$6:$F$92="Development Operations"),--(Headcount!$H$6:$H$92&gt;=Sales!BV$3),Headcount!$P$6:$P$92,Headcount!$L$6:$L$92)/12),0),IF(YEAR(BV$3)=YEAR(Headcount!$Q$4),IF((BV$5&lt;=12),(SUMPRODUCT(--(Headcount!$F$6:$F$92="Development Operations"),--(Headcount!$H$6:$H$92&gt;=Sales!BV$3),Headcount!$Q$6:$Q$92,Headcount!$L$6:$L$92)/12),0),IF(YEAR(BV$3)=YEAR(Headcount!$R$4),IF((BV$5&lt;=12),(SUMPRODUCT(--(Headcount!$F$6:$F$92="Development Operations"),--(Headcount!$H$6:$H$92&gt;=Sales!BV$3),Headcount!$R$6:$R$92,Headcount!$L$6:$L$92)/12),0),"New Year"))))),SUMIF('Dept. Cost Actuals'!$E$7:$E$176,"*bonus*",'Dept. Cost Actuals'!BZ$703:BZ$872))</f>
        <v>20171.284232999998</v>
      </c>
    </row>
    <row r="17" spans="2:74" s="626" customFormat="1" ht="12.75" x14ac:dyDescent="0.2">
      <c r="B17" s="791" t="s">
        <v>932</v>
      </c>
      <c r="C17" s="1210">
        <f t="shared" ref="C17:AA17" si="5">SUM(C15:C16)</f>
        <v>0</v>
      </c>
      <c r="D17" s="1210">
        <f t="shared" si="5"/>
        <v>0</v>
      </c>
      <c r="E17" s="1210">
        <f t="shared" si="5"/>
        <v>0</v>
      </c>
      <c r="F17" s="1210">
        <f t="shared" si="5"/>
        <v>0</v>
      </c>
      <c r="G17" s="1210">
        <f t="shared" si="5"/>
        <v>0</v>
      </c>
      <c r="H17" s="1210">
        <f t="shared" si="5"/>
        <v>0</v>
      </c>
      <c r="I17" s="1210">
        <f t="shared" si="5"/>
        <v>0</v>
      </c>
      <c r="J17" s="1210">
        <f t="shared" si="5"/>
        <v>0</v>
      </c>
      <c r="K17" s="1210">
        <f t="shared" si="5"/>
        <v>0</v>
      </c>
      <c r="L17" s="1210">
        <f t="shared" si="5"/>
        <v>0</v>
      </c>
      <c r="M17" s="1210">
        <f t="shared" si="5"/>
        <v>0</v>
      </c>
      <c r="N17" s="1210">
        <f t="shared" si="5"/>
        <v>0</v>
      </c>
      <c r="O17" s="1210">
        <f t="shared" si="5"/>
        <v>7052.71</v>
      </c>
      <c r="P17" s="1210">
        <f t="shared" si="5"/>
        <v>5779.75</v>
      </c>
      <c r="Q17" s="1210">
        <f t="shared" si="5"/>
        <v>6034.89</v>
      </c>
      <c r="R17" s="1210">
        <f t="shared" si="5"/>
        <v>7141.57</v>
      </c>
      <c r="S17" s="1210">
        <f t="shared" si="5"/>
        <v>5779.75</v>
      </c>
      <c r="T17" s="1210">
        <f t="shared" si="5"/>
        <v>5779.75</v>
      </c>
      <c r="U17" s="1210">
        <f t="shared" si="5"/>
        <v>7764.93</v>
      </c>
      <c r="V17" s="1210">
        <f t="shared" si="5"/>
        <v>11772.34</v>
      </c>
      <c r="W17" s="1210">
        <f t="shared" si="5"/>
        <v>5779.75</v>
      </c>
      <c r="X17" s="1210">
        <f t="shared" si="5"/>
        <v>8757.52</v>
      </c>
      <c r="Y17" s="1210">
        <f t="shared" si="5"/>
        <v>5899.41</v>
      </c>
      <c r="Z17" s="1210">
        <f t="shared" si="5"/>
        <v>53436.99</v>
      </c>
      <c r="AA17" s="1210">
        <f t="shared" si="5"/>
        <v>14272.81</v>
      </c>
      <c r="AB17" s="1210">
        <f t="shared" ref="AB17" si="6">SUM(AB15:AB16)</f>
        <v>13780.42</v>
      </c>
      <c r="AC17" s="1210">
        <f t="shared" ref="AC17:BV17" si="7">SUM(AC15:AC16)</f>
        <v>13288.03</v>
      </c>
      <c r="AD17" s="1210">
        <f t="shared" si="7"/>
        <v>24480.703333333338</v>
      </c>
      <c r="AE17" s="1210">
        <f t="shared" si="7"/>
        <v>24480.703333333338</v>
      </c>
      <c r="AF17" s="1210">
        <f t="shared" si="7"/>
        <v>24480.703333333338</v>
      </c>
      <c r="AG17" s="1210">
        <f t="shared" si="7"/>
        <v>24480.703333333338</v>
      </c>
      <c r="AH17" s="1210">
        <f t="shared" si="7"/>
        <v>24480.703333333338</v>
      </c>
      <c r="AI17" s="1210">
        <f t="shared" si="7"/>
        <v>24450.703333333338</v>
      </c>
      <c r="AJ17" s="1210">
        <f t="shared" si="7"/>
        <v>24450.703333333338</v>
      </c>
      <c r="AK17" s="1210">
        <f t="shared" si="7"/>
        <v>24450.703333333338</v>
      </c>
      <c r="AL17" s="1210">
        <f t="shared" si="7"/>
        <v>24450.703333333338</v>
      </c>
      <c r="AM17" s="1210">
        <f t="shared" si="7"/>
        <v>21159.203333333335</v>
      </c>
      <c r="AN17" s="1210">
        <f t="shared" si="7"/>
        <v>21159.203333333335</v>
      </c>
      <c r="AO17" s="1210">
        <f t="shared" si="7"/>
        <v>21159.203333333335</v>
      </c>
      <c r="AP17" s="1210">
        <f t="shared" si="7"/>
        <v>21159.203333333335</v>
      </c>
      <c r="AQ17" s="1210">
        <f t="shared" si="7"/>
        <v>21159.203333333335</v>
      </c>
      <c r="AR17" s="1210">
        <f t="shared" si="7"/>
        <v>21159.203333333335</v>
      </c>
      <c r="AS17" s="1210">
        <f t="shared" si="7"/>
        <v>21159.203333333335</v>
      </c>
      <c r="AT17" s="1210">
        <f t="shared" si="7"/>
        <v>21159.203333333335</v>
      </c>
      <c r="AU17" s="1210">
        <f t="shared" si="7"/>
        <v>21159.203333333335</v>
      </c>
      <c r="AV17" s="1210">
        <f t="shared" si="7"/>
        <v>21159.203333333335</v>
      </c>
      <c r="AW17" s="1210">
        <f t="shared" si="7"/>
        <v>21159.203333333335</v>
      </c>
      <c r="AX17" s="1210">
        <f t="shared" si="7"/>
        <v>21159.203333333335</v>
      </c>
      <c r="AY17" s="1210">
        <f t="shared" si="7"/>
        <v>21793.979433333334</v>
      </c>
      <c r="AZ17" s="1210">
        <f t="shared" si="7"/>
        <v>21793.979433333334</v>
      </c>
      <c r="BA17" s="1210">
        <f t="shared" si="7"/>
        <v>21793.979433333334</v>
      </c>
      <c r="BB17" s="1210">
        <f t="shared" si="7"/>
        <v>21793.979433333334</v>
      </c>
      <c r="BC17" s="1210">
        <f t="shared" si="7"/>
        <v>21793.979433333334</v>
      </c>
      <c r="BD17" s="1210">
        <f t="shared" si="7"/>
        <v>21793.979433333334</v>
      </c>
      <c r="BE17" s="1210">
        <f t="shared" si="7"/>
        <v>21793.979433333334</v>
      </c>
      <c r="BF17" s="1210">
        <f t="shared" si="7"/>
        <v>21793.979433333334</v>
      </c>
      <c r="BG17" s="1210">
        <f t="shared" si="7"/>
        <v>21793.979433333334</v>
      </c>
      <c r="BH17" s="1210">
        <f t="shared" si="7"/>
        <v>21793.979433333334</v>
      </c>
      <c r="BI17" s="1210">
        <f t="shared" si="7"/>
        <v>21793.979433333334</v>
      </c>
      <c r="BJ17" s="1210">
        <f t="shared" si="7"/>
        <v>21793.979433333334</v>
      </c>
      <c r="BK17" s="1210">
        <f t="shared" si="7"/>
        <v>22447.798816333332</v>
      </c>
      <c r="BL17" s="1210">
        <f t="shared" si="7"/>
        <v>22447.798816333332</v>
      </c>
      <c r="BM17" s="1210">
        <f t="shared" si="7"/>
        <v>22447.798816333332</v>
      </c>
      <c r="BN17" s="1210">
        <f t="shared" si="7"/>
        <v>22447.798816333332</v>
      </c>
      <c r="BO17" s="1210">
        <f t="shared" si="7"/>
        <v>22447.798816333332</v>
      </c>
      <c r="BP17" s="1210">
        <f t="shared" si="7"/>
        <v>22447.798816333332</v>
      </c>
      <c r="BQ17" s="1210">
        <f t="shared" si="7"/>
        <v>22447.798816333332</v>
      </c>
      <c r="BR17" s="1210">
        <f t="shared" si="7"/>
        <v>22447.798816333332</v>
      </c>
      <c r="BS17" s="1210">
        <f t="shared" si="7"/>
        <v>22447.798816333332</v>
      </c>
      <c r="BT17" s="1210">
        <f t="shared" si="7"/>
        <v>22447.798816333332</v>
      </c>
      <c r="BU17" s="1210">
        <f t="shared" si="7"/>
        <v>22447.798816333332</v>
      </c>
      <c r="BV17" s="1210">
        <f t="shared" si="7"/>
        <v>22447.798816333332</v>
      </c>
    </row>
    <row r="18" spans="2:74" s="626" customFormat="1" ht="12.75" x14ac:dyDescent="0.2">
      <c r="B18" s="794" t="s">
        <v>1344</v>
      </c>
      <c r="C18" s="991">
        <f>IF(C$4="forecast",C14*0.12,SUMIF('Dept. Cost Actuals'!$E$7:$E$176,"*payroll taxes*",'Dept. Cost Actuals'!G$703:G$872))</f>
        <v>2451.62</v>
      </c>
      <c r="D18" s="991">
        <f>IF(D$4="forecast",D14*0.12,SUMIF('Dept. Cost Actuals'!$E$7:$E$176,"*payroll taxes*",'Dept. Cost Actuals'!H$703:H$872))</f>
        <v>1630.4499999999998</v>
      </c>
      <c r="E18" s="991">
        <f>IF(E$4="forecast",E14*0.12,SUMIF('Dept. Cost Actuals'!$E$7:$E$176,"*payroll taxes*",'Dept. Cost Actuals'!I$703:I$872))</f>
        <v>1400.55</v>
      </c>
      <c r="F18" s="991">
        <f>IF(F$4="forecast",F14*0.12,SUMIF('Dept. Cost Actuals'!$E$7:$E$176,"*payroll taxes*",'Dept. Cost Actuals'!J$703:J$872))</f>
        <v>1563.8300000000002</v>
      </c>
      <c r="G18" s="991">
        <f>IF(G$4="forecast",G14*0.12,SUMIF('Dept. Cost Actuals'!$E$7:$E$176,"*payroll taxes*",'Dept. Cost Actuals'!K$703:K$872))</f>
        <v>1567.25</v>
      </c>
      <c r="H18" s="991">
        <f>IF(H$4="forecast",H14*0.12,SUMIF('Dept. Cost Actuals'!$E$7:$E$176,"*payroll taxes*",'Dept. Cost Actuals'!L$703:L$872))</f>
        <v>2197.9</v>
      </c>
      <c r="I18" s="991">
        <f>IF(I$4="forecast",I14*0.12,SUMIF('Dept. Cost Actuals'!$E$7:$E$176,"*payroll taxes*",'Dept. Cost Actuals'!M$703:M$872))</f>
        <v>1465.27</v>
      </c>
      <c r="J18" s="991">
        <f>IF(J$4="forecast",J14*0.12,SUMIF('Dept. Cost Actuals'!$E$7:$E$176,"*payroll taxes*",'Dept. Cost Actuals'!N$703:N$872))</f>
        <v>1758.75</v>
      </c>
      <c r="K18" s="991">
        <f>IF(K$4="forecast",K14*0.12,SUMIF('Dept. Cost Actuals'!$E$7:$E$176,"*payroll taxes*",'Dept. Cost Actuals'!O$703:O$872))</f>
        <v>1574.12</v>
      </c>
      <c r="L18" s="991">
        <f>IF(L$4="forecast",L14*0.12,SUMIF('Dept. Cost Actuals'!$E$7:$E$176,"*payroll taxes*",'Dept. Cost Actuals'!P$703:P$872))</f>
        <v>2032.06</v>
      </c>
      <c r="M18" s="991">
        <f>IF(M$4="forecast",M14*0.12,SUMIF('Dept. Cost Actuals'!$E$7:$E$176,"*payroll taxes*",'Dept. Cost Actuals'!Q$703:Q$872))</f>
        <v>4050.1600000000003</v>
      </c>
      <c r="N18" s="991">
        <f>IF(N$4="forecast",N14*0.12,SUMIF('Dept. Cost Actuals'!$E$7:$E$176,"*payroll taxes*",'Dept. Cost Actuals'!R$703:R$872))</f>
        <v>3655.92</v>
      </c>
      <c r="O18" s="991">
        <f>IF(O$4="forecast",O14*0.12,SUMIF('Dept. Cost Actuals'!$E$7:$E$176,"*payroll taxes*",'Dept. Cost Actuals'!S$703:S$872))</f>
        <v>3489.13</v>
      </c>
      <c r="P18" s="991">
        <f>IF(P$4="forecast",P14*0.12,SUMIF('Dept. Cost Actuals'!$E$7:$E$176,"*payroll taxes*",'Dept. Cost Actuals'!T$703:T$872))</f>
        <v>1723.57</v>
      </c>
      <c r="Q18" s="991">
        <f>IF(Q$4="forecast",Q14*0.12,SUMIF('Dept. Cost Actuals'!$E$7:$E$176,"*payroll taxes*",'Dept. Cost Actuals'!U$703:U$872))</f>
        <v>3275.18</v>
      </c>
      <c r="R18" s="991">
        <f>IF(R$4="forecast",R14*0.12,SUMIF('Dept. Cost Actuals'!$E$7:$E$176,"*payroll taxes*",'Dept. Cost Actuals'!V$703:V$872))</f>
        <v>2167.6999999999998</v>
      </c>
      <c r="S18" s="991">
        <f>IF(S$4="forecast",S14*0.12,SUMIF('Dept. Cost Actuals'!$E$7:$E$176,"*payroll taxes*",'Dept. Cost Actuals'!W$703:W$872))</f>
        <v>4629.0399999999991</v>
      </c>
      <c r="T18" s="991">
        <f>IF(T$4="forecast",T14*0.12,SUMIF('Dept. Cost Actuals'!$E$7:$E$176,"*payroll taxes*",'Dept. Cost Actuals'!X$703:X$872))</f>
        <v>3964.1399999999994</v>
      </c>
      <c r="U18" s="991">
        <f>IF(U$4="forecast",U14*0.12,SUMIF('Dept. Cost Actuals'!$E$7:$E$176,"*payroll taxes*",'Dept. Cost Actuals'!Y$703:Y$872))</f>
        <v>2618</v>
      </c>
      <c r="V18" s="991">
        <f>IF(V$4="forecast",V14*0.12,SUMIF('Dept. Cost Actuals'!$E$7:$E$176,"*payroll taxes*",'Dept. Cost Actuals'!Z$703:Z$872))</f>
        <v>2582.34</v>
      </c>
      <c r="W18" s="991">
        <f>IF(W$4="forecast",W14*0.12,SUMIF('Dept. Cost Actuals'!$E$7:$E$176,"*payroll taxes*",'Dept. Cost Actuals'!AA$703:AA$872))</f>
        <v>2823.2799999999997</v>
      </c>
      <c r="X18" s="991">
        <f>IF(X$4="forecast",X14*0.12,SUMIF('Dept. Cost Actuals'!$E$7:$E$176,"*payroll taxes*",'Dept. Cost Actuals'!AB$703:AB$872))</f>
        <v>2722.44</v>
      </c>
      <c r="Y18" s="991">
        <f>IF(Y$4="forecast",Y14*0.12,SUMIF('Dept. Cost Actuals'!$E$7:$E$176,"*payroll taxes*",'Dept. Cost Actuals'!AC$703:AC$872))</f>
        <v>2486.0100000000002</v>
      </c>
      <c r="Z18" s="991">
        <f>IF(Z$4="forecast",Z14*0.12,SUMIF('Dept. Cost Actuals'!$E$7:$E$176,"*payroll taxes*",'Dept. Cost Actuals'!AD$703:AD$872))</f>
        <v>3601.51</v>
      </c>
      <c r="AA18" s="991">
        <f>IF(AA$4="forecast",AA14*0.12,SUMIF('Dept. Cost Actuals'!$E$7:$E$176,"*payroll taxes*",'Dept. Cost Actuals'!AE$703:AE$872))</f>
        <v>9551.93</v>
      </c>
      <c r="AB18" s="991">
        <f>IF(AB$4="forecast",AB14*0.12,SUMIF('Dept. Cost Actuals'!$E$7:$E$176,"*payroll taxes*",'Dept. Cost Actuals'!AF$703:AF$872))</f>
        <v>6831.45</v>
      </c>
      <c r="AC18" s="991">
        <f>IF(AC$4="forecast",AC14*0.12,SUMIF('Dept. Cost Actuals'!$E$7:$E$176,"*payroll taxes*",'Dept. Cost Actuals'!AG$703:AG$872))</f>
        <v>6426.65</v>
      </c>
      <c r="AD18" s="991">
        <f>IF(AD$4="forecast",AD14*0.12,SUMIF('Dept. Cost Actuals'!$E$7:$E$176,"*payroll taxes*",'Dept. Cost Actuals'!AH$703:AH$872))</f>
        <v>18965.843999999997</v>
      </c>
      <c r="AE18" s="991">
        <f>IF(AE$4="forecast",AE14*0.12,SUMIF('Dept. Cost Actuals'!$E$7:$E$176,"*payroll taxes*",'Dept. Cost Actuals'!AI$703:AI$872))</f>
        <v>20265.843999999997</v>
      </c>
      <c r="AF18" s="991">
        <f>IF(AF$4="forecast",AF14*0.12,SUMIF('Dept. Cost Actuals'!$E$7:$E$176,"*payroll taxes*",'Dept. Cost Actuals'!AJ$703:AJ$872))</f>
        <v>20625.843999999997</v>
      </c>
      <c r="AG18" s="991">
        <f>IF(AG$4="forecast",AG14*0.12,SUMIF('Dept. Cost Actuals'!$E$7:$E$176,"*payroll taxes*",'Dept. Cost Actuals'!AK$703:AK$872))</f>
        <v>20625.843999999997</v>
      </c>
      <c r="AH18" s="991">
        <f>IF(AH$4="forecast",AH14*0.12,SUMIF('Dept. Cost Actuals'!$E$7:$E$176,"*payroll taxes*",'Dept. Cost Actuals'!AL$703:AL$872))</f>
        <v>20625.843999999997</v>
      </c>
      <c r="AI18" s="991">
        <f>IF(AI$4="forecast",AI14*0.12,SUMIF('Dept. Cost Actuals'!$E$7:$E$176,"*payroll taxes*",'Dept. Cost Actuals'!AM$703:AM$872))</f>
        <v>20265.843999999997</v>
      </c>
      <c r="AJ18" s="991">
        <f>IF(AJ$4="forecast",AJ14*0.12,SUMIF('Dept. Cost Actuals'!$E$7:$E$176,"*payroll taxes*",'Dept. Cost Actuals'!AN$703:AN$872))</f>
        <v>20265.843999999997</v>
      </c>
      <c r="AK18" s="991">
        <f>IF(AK$4="forecast",AK14*0.12,SUMIF('Dept. Cost Actuals'!$E$7:$E$176,"*payroll taxes*",'Dept. Cost Actuals'!AO$703:AO$872))</f>
        <v>20265.843999999997</v>
      </c>
      <c r="AL18" s="991">
        <f>IF(AL$4="forecast",AL14*0.12,SUMIF('Dept. Cost Actuals'!$E$7:$E$176,"*payroll taxes*",'Dept. Cost Actuals'!AP$703:AP$872))</f>
        <v>20265.843999999997</v>
      </c>
      <c r="AM18" s="991">
        <f>IF(AM$4="forecast",AM14*0.12,SUMIF('Dept. Cost Actuals'!$E$7:$E$176,"*payroll taxes*",'Dept. Cost Actuals'!AQ$703:AQ$872))</f>
        <v>19655.844000000001</v>
      </c>
      <c r="AN18" s="991">
        <f>IF(AN$4="forecast",AN14*0.12,SUMIF('Dept. Cost Actuals'!$E$7:$E$176,"*payroll taxes*",'Dept. Cost Actuals'!AR$703:AR$872))</f>
        <v>16082.294</v>
      </c>
      <c r="AO18" s="991">
        <f>IF(AO$4="forecast",AO14*0.12,SUMIF('Dept. Cost Actuals'!$E$7:$E$176,"*payroll taxes*",'Dept. Cost Actuals'!AS$703:AS$872))</f>
        <v>16082.294</v>
      </c>
      <c r="AP18" s="991">
        <f>IF(AP$4="forecast",AP14*0.12,SUMIF('Dept. Cost Actuals'!$E$7:$E$176,"*payroll taxes*",'Dept. Cost Actuals'!AT$703:AT$872))</f>
        <v>16082.294</v>
      </c>
      <c r="AQ18" s="991">
        <f>IF(AQ$4="forecast",AQ14*0.12,SUMIF('Dept. Cost Actuals'!$E$7:$E$176,"*payroll taxes*",'Dept. Cost Actuals'!AU$703:AU$872))</f>
        <v>16082.294</v>
      </c>
      <c r="AR18" s="991">
        <f>IF(AR$4="forecast",AR14*0.12,SUMIF('Dept. Cost Actuals'!$E$7:$E$176,"*payroll taxes*",'Dept. Cost Actuals'!AV$703:AV$872))</f>
        <v>16082.294</v>
      </c>
      <c r="AS18" s="991">
        <f>IF(AS$4="forecast",AS14*0.12,SUMIF('Dept. Cost Actuals'!$E$7:$E$176,"*payroll taxes*",'Dept. Cost Actuals'!AW$703:AW$872))</f>
        <v>16082.294</v>
      </c>
      <c r="AT18" s="991">
        <f>IF(AT$4="forecast",AT14*0.12,SUMIF('Dept. Cost Actuals'!$E$7:$E$176,"*payroll taxes*",'Dept. Cost Actuals'!AX$703:AX$872))</f>
        <v>16082.294</v>
      </c>
      <c r="AU18" s="991">
        <f>IF(AU$4="forecast",AU14*0.12,SUMIF('Dept. Cost Actuals'!$E$7:$E$176,"*payroll taxes*",'Dept. Cost Actuals'!AY$703:AY$872))</f>
        <v>16082.294</v>
      </c>
      <c r="AV18" s="991">
        <f>IF(AV$4="forecast",AV14*0.12,SUMIF('Dept. Cost Actuals'!$E$7:$E$176,"*payroll taxes*",'Dept. Cost Actuals'!AZ$703:AZ$872))</f>
        <v>16082.294</v>
      </c>
      <c r="AW18" s="991">
        <f>IF(AW$4="forecast",AW14*0.12,SUMIF('Dept. Cost Actuals'!$E$7:$E$176,"*payroll taxes*",'Dept. Cost Actuals'!BA$703:BA$872))</f>
        <v>16082.294</v>
      </c>
      <c r="AX18" s="991">
        <f>IF(AX$4="forecast",AX14*0.12,SUMIF('Dept. Cost Actuals'!$E$7:$E$176,"*payroll taxes*",'Dept. Cost Actuals'!BB$703:BB$872))</f>
        <v>16082.294</v>
      </c>
      <c r="AY18" s="991">
        <f>IF(AY$4="forecast",AY14*0.12,SUMIF('Dept. Cost Actuals'!$E$7:$E$176,"*payroll taxes*",'Dept. Cost Actuals'!BC$703:BC$872))</f>
        <v>16159.544</v>
      </c>
      <c r="AZ18" s="991">
        <f>IF(AZ$4="forecast",AZ14*0.12,SUMIF('Dept. Cost Actuals'!$E$7:$E$176,"*payroll taxes*",'Dept. Cost Actuals'!BD$703:BD$872))</f>
        <v>16607.112819999998</v>
      </c>
      <c r="BA18" s="991">
        <f>IF(BA$4="forecast",BA14*0.12,SUMIF('Dept. Cost Actuals'!$E$7:$E$176,"*payroll taxes*",'Dept. Cost Actuals'!BE$703:BE$872))</f>
        <v>16607.112819999998</v>
      </c>
      <c r="BB18" s="991">
        <f>IF(BB$4="forecast",BB14*0.12,SUMIF('Dept. Cost Actuals'!$E$7:$E$176,"*payroll taxes*",'Dept. Cost Actuals'!BF$703:BF$872))</f>
        <v>16607.112819999998</v>
      </c>
      <c r="BC18" s="991">
        <f>IF(BC$4="forecast",BC14*0.12,SUMIF('Dept. Cost Actuals'!$E$7:$E$176,"*payroll taxes*",'Dept. Cost Actuals'!BG$703:BG$872))</f>
        <v>16607.112819999998</v>
      </c>
      <c r="BD18" s="991">
        <f>IF(BD$4="forecast",BD14*0.12,SUMIF('Dept. Cost Actuals'!$E$7:$E$176,"*payroll taxes*",'Dept. Cost Actuals'!BH$703:BH$872))</f>
        <v>16607.112819999998</v>
      </c>
      <c r="BE18" s="991">
        <f>IF(BE$4="forecast",BE14*0.12,SUMIF('Dept. Cost Actuals'!$E$7:$E$176,"*payroll taxes*",'Dept. Cost Actuals'!BI$703:BI$872))</f>
        <v>16607.112819999998</v>
      </c>
      <c r="BF18" s="991">
        <f>IF(BF$4="forecast",BF14*0.12,SUMIF('Dept. Cost Actuals'!$E$7:$E$176,"*payroll taxes*",'Dept. Cost Actuals'!BJ$703:BJ$872))</f>
        <v>16607.112819999998</v>
      </c>
      <c r="BG18" s="991">
        <f>IF(BG$4="forecast",BG14*0.12,SUMIF('Dept. Cost Actuals'!$E$7:$E$176,"*payroll taxes*",'Dept. Cost Actuals'!BK$703:BK$872))</f>
        <v>16607.112819999998</v>
      </c>
      <c r="BH18" s="991">
        <f>IF(BH$4="forecast",BH14*0.12,SUMIF('Dept. Cost Actuals'!$E$7:$E$176,"*payroll taxes*",'Dept. Cost Actuals'!BL$703:BL$872))</f>
        <v>16607.112819999998</v>
      </c>
      <c r="BI18" s="991">
        <f>IF(BI$4="forecast",BI14*0.12,SUMIF('Dept. Cost Actuals'!$E$7:$E$176,"*payroll taxes*",'Dept. Cost Actuals'!BM$703:BM$872))</f>
        <v>16607.112819999998</v>
      </c>
      <c r="BJ18" s="991">
        <f>IF(BJ$4="forecast",BJ14*0.12,SUMIF('Dept. Cost Actuals'!$E$7:$E$176,"*payroll taxes*",'Dept. Cost Actuals'!BN$703:BN$872))</f>
        <v>16607.112819999998</v>
      </c>
      <c r="BK18" s="991">
        <f>IF(BK$4="forecast",BK14*0.12,SUMIF('Dept. Cost Actuals'!$E$7:$E$176,"*payroll taxes*",'Dept. Cost Actuals'!BO$703:BO$872))</f>
        <v>16686.680319999999</v>
      </c>
      <c r="BL18" s="991">
        <f>IF(BL$4="forecast",BL14*0.12,SUMIF('Dept. Cost Actuals'!$E$7:$E$176,"*payroll taxes*",'Dept. Cost Actuals'!BP$703:BP$872))</f>
        <v>17151.911204600005</v>
      </c>
      <c r="BM18" s="991">
        <f>IF(BM$4="forecast",BM14*0.12,SUMIF('Dept. Cost Actuals'!$E$7:$E$176,"*payroll taxes*",'Dept. Cost Actuals'!BQ$703:BQ$872))</f>
        <v>17151.911204600005</v>
      </c>
      <c r="BN18" s="991">
        <f>IF(BN$4="forecast",BN14*0.12,SUMIF('Dept. Cost Actuals'!$E$7:$E$176,"*payroll taxes*",'Dept. Cost Actuals'!BR$703:BR$872))</f>
        <v>17151.911204600005</v>
      </c>
      <c r="BO18" s="991">
        <f>IF(BO$4="forecast",BO14*0.12,SUMIF('Dept. Cost Actuals'!$E$7:$E$176,"*payroll taxes*",'Dept. Cost Actuals'!BS$703:BS$872))</f>
        <v>17151.911204600005</v>
      </c>
      <c r="BP18" s="991">
        <f>IF(BP$4="forecast",BP14*0.12,SUMIF('Dept. Cost Actuals'!$E$7:$E$176,"*payroll taxes*",'Dept. Cost Actuals'!BT$703:BT$872))</f>
        <v>17151.911204600005</v>
      </c>
      <c r="BQ18" s="991">
        <f>IF(BQ$4="forecast",BQ14*0.12,SUMIF('Dept. Cost Actuals'!$E$7:$E$176,"*payroll taxes*",'Dept. Cost Actuals'!BU$703:BU$872))</f>
        <v>17151.911204600005</v>
      </c>
      <c r="BR18" s="991">
        <f>IF(BR$4="forecast",BR14*0.12,SUMIF('Dept. Cost Actuals'!$E$7:$E$176,"*payroll taxes*",'Dept. Cost Actuals'!BV$703:BV$872))</f>
        <v>17151.911204600005</v>
      </c>
      <c r="BS18" s="991">
        <f>IF(BS$4="forecast",BS14*0.12,SUMIF('Dept. Cost Actuals'!$E$7:$E$176,"*payroll taxes*",'Dept. Cost Actuals'!BW$703:BW$872))</f>
        <v>17151.911204600005</v>
      </c>
      <c r="BT18" s="991">
        <f>IF(BT$4="forecast",BT14*0.12,SUMIF('Dept. Cost Actuals'!$E$7:$E$176,"*payroll taxes*",'Dept. Cost Actuals'!BX$703:BX$872))</f>
        <v>17151.911204600005</v>
      </c>
      <c r="BU18" s="991">
        <f>IF(BU$4="forecast",BU14*0.12,SUMIF('Dept. Cost Actuals'!$E$7:$E$176,"*payroll taxes*",'Dept. Cost Actuals'!BY$703:BY$872))</f>
        <v>17151.911204600005</v>
      </c>
      <c r="BV18" s="991">
        <f>IF(BV$4="forecast",BV14*0.12,SUMIF('Dept. Cost Actuals'!$E$7:$E$176,"*payroll taxes*",'Dept. Cost Actuals'!BZ$703:BZ$872))</f>
        <v>17151.911204600005</v>
      </c>
    </row>
    <row r="19" spans="2:74" s="626" customFormat="1" ht="12.75" x14ac:dyDescent="0.2">
      <c r="B19" s="794" t="s">
        <v>1349</v>
      </c>
      <c r="C19" s="991">
        <f>IF(C$4="forecast",((C14/251)+B$19),SUMIF('Dept. Cost Actuals'!$E$7:$E$176,"*vacation*",'Dept. Cost Actuals'!G$703:G$872))</f>
        <v>0</v>
      </c>
      <c r="D19" s="991">
        <f>IF(D$4="forecast",((D14/251)+C$19),SUMIF('Dept. Cost Actuals'!$E$7:$E$176,"*vacation*",'Dept. Cost Actuals'!H$703:H$872))</f>
        <v>0</v>
      </c>
      <c r="E19" s="991">
        <f>IF(E$4="forecast",((E14/251)+D$19),SUMIF('Dept. Cost Actuals'!$E$7:$E$176,"*vacation*",'Dept. Cost Actuals'!I$703:I$872))</f>
        <v>0</v>
      </c>
      <c r="F19" s="991">
        <f>IF(F$4="forecast",((F14/251)+E$19),SUMIF('Dept. Cost Actuals'!$E$7:$E$176,"*vacation*",'Dept. Cost Actuals'!J$703:J$872))</f>
        <v>0</v>
      </c>
      <c r="G19" s="991">
        <f>IF(G$4="forecast",((G14/251)+F$19),SUMIF('Dept. Cost Actuals'!$E$7:$E$176,"*vacation*",'Dept. Cost Actuals'!K$703:K$872))</f>
        <v>0</v>
      </c>
      <c r="H19" s="991">
        <f>IF(H$4="forecast",((H14/251)+G$19),SUMIF('Dept. Cost Actuals'!$E$7:$E$176,"*vacation*",'Dept. Cost Actuals'!L$703:L$872))</f>
        <v>0</v>
      </c>
      <c r="I19" s="991">
        <f>IF(I$4="forecast",((I14/251)+H$19),SUMIF('Dept. Cost Actuals'!$E$7:$E$176,"*vacation*",'Dept. Cost Actuals'!M$703:M$872))</f>
        <v>0</v>
      </c>
      <c r="J19" s="991">
        <f>IF(J$4="forecast",((J14/251)+I$19),SUMIF('Dept. Cost Actuals'!$E$7:$E$176,"*vacation*",'Dept. Cost Actuals'!N$703:N$872))</f>
        <v>0</v>
      </c>
      <c r="K19" s="991">
        <f>IF(K$4="forecast",((K14/251)+J$19),SUMIF('Dept. Cost Actuals'!$E$7:$E$176,"*vacation*",'Dept. Cost Actuals'!O$703:O$872))</f>
        <v>0</v>
      </c>
      <c r="L19" s="991">
        <f>IF(L$4="forecast",((L14/251)+K$19),SUMIF('Dept. Cost Actuals'!$E$7:$E$176,"*vacation*",'Dept. Cost Actuals'!P$703:P$872))</f>
        <v>0</v>
      </c>
      <c r="M19" s="991">
        <f>IF(M$4="forecast",((M14/251)+L$19),SUMIF('Dept. Cost Actuals'!$E$7:$E$176,"*vacation*",'Dept. Cost Actuals'!Q$703:Q$872))</f>
        <v>0</v>
      </c>
      <c r="N19" s="991">
        <f>IF(N$4="forecast",((N14/251)+M$19),SUMIF('Dept. Cost Actuals'!$E$7:$E$176,"*vacation*",'Dept. Cost Actuals'!R$703:R$872))</f>
        <v>0</v>
      </c>
      <c r="O19" s="991">
        <f>IF(O$4="forecast",((O14/251)+N$19),SUMIF('Dept. Cost Actuals'!$E$7:$E$176,"*vacation*",'Dept. Cost Actuals'!S$703:S$872))</f>
        <v>2836.53</v>
      </c>
      <c r="P19" s="991">
        <f>IF(P$4="forecast",((P14/251)+O$19),SUMIF('Dept. Cost Actuals'!$E$7:$E$176,"*vacation*",'Dept. Cost Actuals'!T$703:T$872))</f>
        <v>2836.54</v>
      </c>
      <c r="Q19" s="991">
        <f>IF(Q$4="forecast",((Q14/251)+P$19),SUMIF('Dept. Cost Actuals'!$E$7:$E$176,"*vacation*",'Dept. Cost Actuals'!U$703:U$872))</f>
        <v>1990.39</v>
      </c>
      <c r="R19" s="991">
        <f>IF(R$4="forecast",((R14/251)+Q$19),SUMIF('Dept. Cost Actuals'!$E$7:$E$176,"*vacation*",'Dept. Cost Actuals'!V$703:V$872))</f>
        <v>2868.59</v>
      </c>
      <c r="S19" s="991">
        <f>IF(S$4="forecast",((S14/251)+R$19),SUMIF('Dept. Cost Actuals'!$E$7:$E$176,"*vacation*",'Dept. Cost Actuals'!W$703:W$872))</f>
        <v>-648.13</v>
      </c>
      <c r="T19" s="991">
        <f>IF(T$4="forecast",((T14/251)+S$19),SUMIF('Dept. Cost Actuals'!$E$7:$E$176,"*vacation*",'Dept. Cost Actuals'!X$703:X$872))</f>
        <v>2895.8</v>
      </c>
      <c r="U19" s="991">
        <f>IF(U$4="forecast",((U14/251)+T$19),SUMIF('Dept. Cost Actuals'!$E$7:$E$176,"*vacation*",'Dept. Cost Actuals'!Y$703:Y$872))</f>
        <v>-5302.11</v>
      </c>
      <c r="V19" s="991">
        <f>IF(V$4="forecast",((V14/251)+U$19),SUMIF('Dept. Cost Actuals'!$E$7:$E$176,"*vacation*",'Dept. Cost Actuals'!Z$703:Z$872))</f>
        <v>149.41999999999999</v>
      </c>
      <c r="W19" s="991">
        <f>IF(W$4="forecast",((W14/251)+V$19),SUMIF('Dept. Cost Actuals'!$E$7:$E$176,"*vacation*",'Dept. Cost Actuals'!AA$703:AA$872))</f>
        <v>733.93</v>
      </c>
      <c r="X19" s="991">
        <f>IF(X$4="forecast",((X14/251)+W$19),SUMIF('Dept. Cost Actuals'!$E$7:$E$176,"*vacation*",'Dept. Cost Actuals'!AB$703:AB$872))</f>
        <v>265.05</v>
      </c>
      <c r="Y19" s="991">
        <f>IF(Y$4="forecast",((Y14/251)+X$19),SUMIF('Dept. Cost Actuals'!$E$7:$E$176,"*vacation*",'Dept. Cost Actuals'!AC$703:AC$872))</f>
        <v>768.17</v>
      </c>
      <c r="Z19" s="991">
        <f>IF(Z$4="forecast",((Z14/251)+Y$19),SUMIF('Dept. Cost Actuals'!$E$7:$E$176,"*vacation*",'Dept. Cost Actuals'!AD$703:AD$872))</f>
        <v>2804.51</v>
      </c>
      <c r="AA19" s="991">
        <f>IF(AA$4="forecast",((AA14/251)+Z$19),SUMIF('Dept. Cost Actuals'!$E$7:$E$176,"*vacation*",'Dept. Cost Actuals'!AE$703:AE$872))</f>
        <v>8013.19</v>
      </c>
      <c r="AB19" s="991">
        <f>IF(AB$4="forecast",((AB14/251)+AA$19),SUMIF('Dept. Cost Actuals'!$E$7:$E$176,"*vacation*",'Dept. Cost Actuals'!AF$703:AF$872))</f>
        <v>1976.72</v>
      </c>
      <c r="AC19" s="991">
        <f>IF(AC$4="forecast",((AC14/251)+AB$19),SUMIF('Dept. Cost Actuals'!$E$7:$E$176,"*vacation*",'Dept. Cost Actuals'!AG$703:AG$872))</f>
        <v>2286.9299999999998</v>
      </c>
      <c r="AD19" s="991">
        <f>IF(AD$4="forecast",((AD14/251)+AC$19),SUMIF('Dept. Cost Actuals'!$E$7:$E$176,"*vacation*",'Dept. Cost Actuals'!AH$703:AH$872))</f>
        <v>2916.6060956175297</v>
      </c>
      <c r="AE19" s="991">
        <f>IF(AE$4="forecast",((AE14/251)+AD$19),SUMIF('Dept. Cost Actuals'!$E$7:$E$176,"*vacation*",'Dept. Cost Actuals'!AI$703:AI$872))</f>
        <v>3589.4428818061087</v>
      </c>
      <c r="AF19" s="991">
        <f>IF(AF$4="forecast",((AF14/251)+AE$19),SUMIF('Dept. Cost Actuals'!$E$7:$E$176,"*vacation*",'Dept. Cost Actuals'!AJ$703:AJ$872))</f>
        <v>4274.231859229747</v>
      </c>
      <c r="AG19" s="991">
        <f>IF(AG$4="forecast",((AG14/251)+AF$19),SUMIF('Dept. Cost Actuals'!$E$7:$E$176,"*vacation*",'Dept. Cost Actuals'!AK$703:AK$872))</f>
        <v>4959.0208366533861</v>
      </c>
      <c r="AH19" s="991">
        <f>IF(AH$4="forecast",((AH14/251)+AG$19),SUMIF('Dept. Cost Actuals'!$E$7:$E$176,"*vacation*",'Dept. Cost Actuals'!AL$703:AL$872))</f>
        <v>5643.8098140770253</v>
      </c>
      <c r="AI19" s="991">
        <f>IF(AI$4="forecast",((AI14/251)+AH$19),SUMIF('Dept. Cost Actuals'!$E$7:$E$176,"*vacation*",'Dept. Cost Actuals'!AM$703:AM$872))</f>
        <v>6316.6466002656043</v>
      </c>
      <c r="AJ19" s="991">
        <f>IF(AJ$4="forecast",((AJ14/251)+AI$19),SUMIF('Dept. Cost Actuals'!$E$7:$E$176,"*vacation*",'Dept. Cost Actuals'!AN$703:AN$872))</f>
        <v>6989.4833864541833</v>
      </c>
      <c r="AK19" s="991">
        <f>IF(AK$4="forecast",((AK14/251)+AJ$19),SUMIF('Dept. Cost Actuals'!$E$7:$E$176,"*vacation*",'Dept. Cost Actuals'!AO$703:AO$872))</f>
        <v>7662.3201726427624</v>
      </c>
      <c r="AL19" s="991">
        <f>IF(AL$4="forecast",((AL14/251)+AK$19),SUMIF('Dept. Cost Actuals'!$E$7:$E$176,"*vacation*",'Dept. Cost Actuals'!AP$703:AP$872))</f>
        <v>8335.1569588313414</v>
      </c>
      <c r="AM19" s="991">
        <f>IF(AM$4="forecast",((AM14/251)+AL$19),SUMIF('Dept. Cost Actuals'!$E$7:$E$176,"*vacation*",'Dept. Cost Actuals'!AQ$703:AQ$872))</f>
        <v>8987.7414209827366</v>
      </c>
      <c r="AN19" s="991">
        <f>IF(AN$4="forecast",((AN14/251)+AM$19),SUMIF('Dept. Cost Actuals'!$E$7:$E$176,"*vacation*",'Dept. Cost Actuals'!AR$703:AR$872))</f>
        <v>9521.6821248339984</v>
      </c>
      <c r="AO19" s="991">
        <f>IF(AO$4="forecast",((AO14/251)+AN$19),SUMIF('Dept. Cost Actuals'!$E$7:$E$176,"*vacation*",'Dept. Cost Actuals'!AS$703:AS$872))</f>
        <v>10055.62282868526</v>
      </c>
      <c r="AP19" s="991">
        <f>IF(AP$4="forecast",((AP14/251)+AO$19),SUMIF('Dept. Cost Actuals'!$E$7:$E$176,"*vacation*",'Dept. Cost Actuals'!AT$703:AT$872))</f>
        <v>10589.563532536522</v>
      </c>
      <c r="AQ19" s="991">
        <f>IF(AQ$4="forecast",((AQ14/251)+AP$19),SUMIF('Dept. Cost Actuals'!$E$7:$E$176,"*vacation*",'Dept. Cost Actuals'!AU$703:AU$872))</f>
        <v>11123.504236387784</v>
      </c>
      <c r="AR19" s="991">
        <f>IF(AR$4="forecast",((AR14/251)+AQ$19),SUMIF('Dept. Cost Actuals'!$E$7:$E$176,"*vacation*",'Dept. Cost Actuals'!AV$703:AV$872))</f>
        <v>11657.444940239046</v>
      </c>
      <c r="AS19" s="991">
        <f>IF(AS$4="forecast",((AS14/251)+AR$19),SUMIF('Dept. Cost Actuals'!$E$7:$E$176,"*vacation*",'Dept. Cost Actuals'!AW$703:AW$872))</f>
        <v>12191.385644090307</v>
      </c>
      <c r="AT19" s="991">
        <f>IF(AT$4="forecast",((AT14/251)+AS$19),SUMIF('Dept. Cost Actuals'!$E$7:$E$176,"*vacation*",'Dept. Cost Actuals'!AX$703:AX$872))</f>
        <v>12725.326347941569</v>
      </c>
      <c r="AU19" s="991">
        <f>IF(AU$4="forecast",((AU14/251)+AT$19),SUMIF('Dept. Cost Actuals'!$E$7:$E$176,"*vacation*",'Dept. Cost Actuals'!AY$703:AY$872))</f>
        <v>13259.267051792831</v>
      </c>
      <c r="AV19" s="991">
        <f>IF(AV$4="forecast",((AV14/251)+AU$19),SUMIF('Dept. Cost Actuals'!$E$7:$E$176,"*vacation*",'Dept. Cost Actuals'!AZ$703:AZ$872))</f>
        <v>13793.207755644093</v>
      </c>
      <c r="AW19" s="991">
        <f>IF(AW$4="forecast",((AW14/251)+AV$19),SUMIF('Dept. Cost Actuals'!$E$7:$E$176,"*vacation*",'Dept. Cost Actuals'!BA$703:BA$872))</f>
        <v>14327.148459495354</v>
      </c>
      <c r="AX19" s="991">
        <f>IF(AX$4="forecast",((AX14/251)+AW$19),SUMIF('Dept. Cost Actuals'!$E$7:$E$176,"*vacation*",'Dept. Cost Actuals'!BB$703:BB$872))</f>
        <v>14861.089163346616</v>
      </c>
      <c r="AY19" s="991">
        <f>IF(AY$4="forecast",((AY14/251)+AX$19),SUMIF('Dept. Cost Actuals'!$E$7:$E$176,"*vacation*",'Dept. Cost Actuals'!BC$703:BC$872))</f>
        <v>15397.594608233734</v>
      </c>
      <c r="AZ19" s="991">
        <f>IF(AZ$4="forecast",((AZ14/251)+AY$19),SUMIF('Dept. Cost Actuals'!$E$7:$E$176,"*vacation*",'Dept. Cost Actuals'!BD$703:BD$872))</f>
        <v>15948.959575697214</v>
      </c>
      <c r="BA19" s="991">
        <f>IF(BA$4="forecast",((BA14/251)+AZ$19),SUMIF('Dept. Cost Actuals'!$E$7:$E$176,"*vacation*",'Dept. Cost Actuals'!BE$703:BE$872))</f>
        <v>16500.324543160692</v>
      </c>
      <c r="BB19" s="991">
        <f>IF(BB$4="forecast",((BB14/251)+BA$19),SUMIF('Dept. Cost Actuals'!$E$7:$E$176,"*vacation*",'Dept. Cost Actuals'!BF$703:BF$872))</f>
        <v>17051.689510624172</v>
      </c>
      <c r="BC19" s="991">
        <f>IF(BC$4="forecast",((BC14/251)+BB$19),SUMIF('Dept. Cost Actuals'!$E$7:$E$176,"*vacation*",'Dept. Cost Actuals'!BG$703:BG$872))</f>
        <v>17603.054478087652</v>
      </c>
      <c r="BD19" s="991">
        <f>IF(BD$4="forecast",((BD14/251)+BC$19),SUMIF('Dept. Cost Actuals'!$E$7:$E$176,"*vacation*",'Dept. Cost Actuals'!BH$703:BH$872))</f>
        <v>18154.419445551132</v>
      </c>
      <c r="BE19" s="991">
        <f>IF(BE$4="forecast",((BE14/251)+BD$19),SUMIF('Dept. Cost Actuals'!$E$7:$E$176,"*vacation*",'Dept. Cost Actuals'!BI$703:BI$872))</f>
        <v>18705.784413014611</v>
      </c>
      <c r="BF19" s="991">
        <f>IF(BF$4="forecast",((BF14/251)+BE$19),SUMIF('Dept. Cost Actuals'!$E$7:$E$176,"*vacation*",'Dept. Cost Actuals'!BJ$703:BJ$872))</f>
        <v>19257.149380478091</v>
      </c>
      <c r="BG19" s="991">
        <f>IF(BG$4="forecast",((BG14/251)+BF$19),SUMIF('Dept. Cost Actuals'!$E$7:$E$176,"*vacation*",'Dept. Cost Actuals'!BK$703:BK$872))</f>
        <v>19808.514347941571</v>
      </c>
      <c r="BH19" s="991">
        <f>IF(BH$4="forecast",((BH14/251)+BG$19),SUMIF('Dept. Cost Actuals'!$E$7:$E$176,"*vacation*",'Dept. Cost Actuals'!BL$703:BL$872))</f>
        <v>20359.879315405051</v>
      </c>
      <c r="BI19" s="991">
        <f>IF(BI$4="forecast",((BI14/251)+BH$19),SUMIF('Dept. Cost Actuals'!$E$7:$E$176,"*vacation*",'Dept. Cost Actuals'!BM$703:BM$872))</f>
        <v>20911.244282868531</v>
      </c>
      <c r="BJ19" s="991">
        <f>IF(BJ$4="forecast",((BJ14/251)+BI$19),SUMIF('Dept. Cost Actuals'!$E$7:$E$176,"*vacation*",'Dept. Cost Actuals'!BN$703:BN$872))</f>
        <v>21462.609250332011</v>
      </c>
      <c r="BK19" s="991">
        <f>IF(BK$4="forecast",((BK14/251)+BJ$19),SUMIF('Dept. Cost Actuals'!$E$7:$E$176,"*vacation*",'Dept. Cost Actuals'!BO$703:BO$872))</f>
        <v>22016.615901062421</v>
      </c>
      <c r="BL19" s="991">
        <f>IF(BL$4="forecast",((BL14/251)+BK$19),SUMIF('Dept. Cost Actuals'!$E$7:$E$176,"*vacation*",'Dept. Cost Actuals'!BP$703:BP$872))</f>
        <v>22586.068464296153</v>
      </c>
      <c r="BM19" s="991">
        <f>IF(BM$4="forecast",((BM14/251)+BL$19),SUMIF('Dept. Cost Actuals'!$E$7:$E$176,"*vacation*",'Dept. Cost Actuals'!BQ$703:BQ$872))</f>
        <v>23155.521027529885</v>
      </c>
      <c r="BN19" s="991">
        <f>IF(BN$4="forecast",((BN14/251)+BM$19),SUMIF('Dept. Cost Actuals'!$E$7:$E$176,"*vacation*",'Dept. Cost Actuals'!BR$703:BR$872))</f>
        <v>23724.973590763617</v>
      </c>
      <c r="BO19" s="991">
        <f>IF(BO$4="forecast",((BO14/251)+BN$19),SUMIF('Dept. Cost Actuals'!$E$7:$E$176,"*vacation*",'Dept. Cost Actuals'!BS$703:BS$872))</f>
        <v>24294.426153997349</v>
      </c>
      <c r="BP19" s="991">
        <f>IF(BP$4="forecast",((BP14/251)+BO$19),SUMIF('Dept. Cost Actuals'!$E$7:$E$176,"*vacation*",'Dept. Cost Actuals'!BT$703:BT$872))</f>
        <v>24863.87871723108</v>
      </c>
      <c r="BQ19" s="991">
        <f>IF(BQ$4="forecast",((BQ14/251)+BP$19),SUMIF('Dept. Cost Actuals'!$E$7:$E$176,"*vacation*",'Dept. Cost Actuals'!BU$703:BU$872))</f>
        <v>25433.331280464812</v>
      </c>
      <c r="BR19" s="991">
        <f>IF(BR$4="forecast",((BR14/251)+BQ$19),SUMIF('Dept. Cost Actuals'!$E$7:$E$176,"*vacation*",'Dept. Cost Actuals'!BV$703:BV$872))</f>
        <v>26002.783843698544</v>
      </c>
      <c r="BS19" s="991">
        <f>IF(BS$4="forecast",((BS14/251)+BR$19),SUMIF('Dept. Cost Actuals'!$E$7:$E$176,"*vacation*",'Dept. Cost Actuals'!BW$703:BW$872))</f>
        <v>26572.236406932276</v>
      </c>
      <c r="BT19" s="991">
        <f>IF(BT$4="forecast",((BT14/251)+BS$19),SUMIF('Dept. Cost Actuals'!$E$7:$E$176,"*vacation*",'Dept. Cost Actuals'!BX$703:BX$872))</f>
        <v>27141.688970166007</v>
      </c>
      <c r="BU19" s="991">
        <f>IF(BU$4="forecast",((BU14/251)+BT$19),SUMIF('Dept. Cost Actuals'!$E$7:$E$176,"*vacation*",'Dept. Cost Actuals'!BY$703:BY$872))</f>
        <v>27711.141533399739</v>
      </c>
      <c r="BV19" s="991">
        <f>IF(BV$4="forecast",((BV14/251)+BU$19),SUMIF('Dept. Cost Actuals'!$E$7:$E$176,"*vacation*",'Dept. Cost Actuals'!BZ$703:BZ$872))</f>
        <v>28280.594096633471</v>
      </c>
    </row>
    <row r="20" spans="2:74" s="626" customFormat="1" ht="12.75" x14ac:dyDescent="0.2">
      <c r="B20" s="794" t="s">
        <v>657</v>
      </c>
      <c r="C20" s="668">
        <f>IF(C$4="forecast",(((SUM($O$20:$Z$20)/12)*1.03)),SUMIF('Dept. Cost Actuals'!$E$7:$E$176,"*Health Insurance*",'Dept. Cost Actuals'!G$703:G$872))</f>
        <v>567.71409769424986</v>
      </c>
      <c r="D20" s="668">
        <f>IF(D$4="forecast",(((SUM($O$20:$Z$20)/12)*1.03)),SUMIF('Dept. Cost Actuals'!$E$7:$E$176,"*Health Insurance*",'Dept. Cost Actuals'!H$703:H$872))</f>
        <v>325.71601666768237</v>
      </c>
      <c r="E20" s="668">
        <f>IF(E$4="forecast",(((SUM($O$20:$Z$20)/12)*1.03)),SUMIF('Dept. Cost Actuals'!$E$7:$E$176,"*Health Insurance*",'Dept. Cost Actuals'!I$703:I$872))</f>
        <v>442.34431604494245</v>
      </c>
      <c r="F20" s="668">
        <f>IF(F$4="forecast",(((SUM($O$20:$Z$20)/12)*1.03)),SUMIF('Dept. Cost Actuals'!$E$7:$E$176,"*Health Insurance*",'Dept. Cost Actuals'!J$703:J$872))</f>
        <v>927.69870393541692</v>
      </c>
      <c r="G20" s="668">
        <f>IF(G$4="forecast",(((SUM($O$20:$Z$20)/12)*1.03)),SUMIF('Dept. Cost Actuals'!$E$7:$E$176,"*Health Insurance*",'Dept. Cost Actuals'!K$703:K$872))</f>
        <v>542.23067519166477</v>
      </c>
      <c r="H20" s="668">
        <f>IF(H$4="forecast",(((SUM($O$20:$Z$20)/12)*1.03)),SUMIF('Dept. Cost Actuals'!$E$7:$E$176,"*Health Insurance*",'Dept. Cost Actuals'!L$703:L$872))</f>
        <v>575.37955142884823</v>
      </c>
      <c r="I20" s="668">
        <f>IF(I$4="forecast",(((SUM($O$20:$Z$20)/12)*1.03)),SUMIF('Dept. Cost Actuals'!$E$7:$E$176,"*Health Insurance*",'Dept. Cost Actuals'!M$703:M$872))</f>
        <v>466.97401878430333</v>
      </c>
      <c r="J20" s="668">
        <f>IF(J$4="forecast",(((SUM($O$20:$Z$20)/12)*1.03)),SUMIF('Dept. Cost Actuals'!$E$7:$E$176,"*Health Insurance*",'Dept. Cost Actuals'!N$703:N$872))</f>
        <v>565.15307443965139</v>
      </c>
      <c r="K20" s="668">
        <f>IF(K$4="forecast",(((SUM($O$20:$Z$20)/12)*1.03)),SUMIF('Dept. Cost Actuals'!$E$7:$E$176,"*Health Insurance*",'Dept. Cost Actuals'!O$703:O$872))</f>
        <v>859.50143992938024</v>
      </c>
      <c r="L20" s="668">
        <f>IF(L$4="forecast",(((SUM($O$20:$Z$20)/12)*1.03)),SUMIF('Dept. Cost Actuals'!$E$7:$E$176,"*Health Insurance*",'Dept. Cost Actuals'!P$703:P$872))</f>
        <v>549.98459765069379</v>
      </c>
      <c r="M20" s="668">
        <f>IF(M$4="forecast",(((SUM($O$20:$Z$20)/12)*1.03)),SUMIF('Dept. Cost Actuals'!$E$7:$E$176,"*Health Insurance*",'Dept. Cost Actuals'!Q$703:Q$872))</f>
        <v>897.86724825974136</v>
      </c>
      <c r="N20" s="668">
        <f>IF(N$4="forecast",(((SUM($O$20:$Z$20)/12)*1.03)),SUMIF('Dept. Cost Actuals'!$E$7:$E$176,"*Health Insurance*",'Dept. Cost Actuals'!R$703:R$872))</f>
        <v>4057.3944743069546</v>
      </c>
      <c r="O20" s="668">
        <f>IF(O$4="forecast",(((SUM($O$20:$Z$20)/12)*1.03)),SUMIF('Dept. Cost Actuals'!$E$7:$E$176,"*Health Insurance*",'Dept. Cost Actuals'!S$703:S$872))</f>
        <v>2124.6</v>
      </c>
      <c r="P20" s="668">
        <f>IF(P$4="forecast",(((SUM($O$20:$Z$20)/12)*1.03)),SUMIF('Dept. Cost Actuals'!$E$7:$E$176,"*Health Insurance*",'Dept. Cost Actuals'!T$703:T$872))</f>
        <v>2888.78</v>
      </c>
      <c r="Q20" s="668">
        <f>IF(Q$4="forecast",(((SUM($O$20:$Z$20)/12)*1.03)),SUMIF('Dept. Cost Actuals'!$E$7:$E$176,"*Health Insurance*",'Dept. Cost Actuals'!U$703:U$872))</f>
        <v>1552.44</v>
      </c>
      <c r="R20" s="668">
        <f>IF(R$4="forecast",(((SUM($O$20:$Z$20)/12)*1.03)),SUMIF('Dept. Cost Actuals'!$E$7:$E$176,"*Health Insurance*",'Dept. Cost Actuals'!V$703:V$872))</f>
        <v>1726.05</v>
      </c>
      <c r="S20" s="668">
        <f>IF(S$4="forecast",(((SUM($O$20:$Z$20)/12)*1.03)),SUMIF('Dept. Cost Actuals'!$E$7:$E$176,"*Health Insurance*",'Dept. Cost Actuals'!W$703:W$872))</f>
        <v>1239.06</v>
      </c>
      <c r="T20" s="668">
        <f>IF(T$4="forecast",(((SUM($O$20:$Z$20)/12)*1.03)),SUMIF('Dept. Cost Actuals'!$E$7:$E$176,"*Health Insurance*",'Dept. Cost Actuals'!X$703:X$872))</f>
        <v>1472.7</v>
      </c>
      <c r="U20" s="668">
        <f>IF(U$4="forecast",(((SUM($O$20:$Z$20)/12)*1.03)),SUMIF('Dept. Cost Actuals'!$E$7:$E$176,"*Health Insurance*",'Dept. Cost Actuals'!Y$703:Y$872))</f>
        <v>3953.13</v>
      </c>
      <c r="V20" s="668">
        <f>IF(V$4="forecast",(((SUM($O$20:$Z$20)/12)*1.03)),SUMIF('Dept. Cost Actuals'!$E$7:$E$176,"*Health Insurance*",'Dept. Cost Actuals'!Z$703:Z$872))</f>
        <v>2493.44</v>
      </c>
      <c r="W20" s="668">
        <f>IF(W$4="forecast",(((SUM($O$20:$Z$20)/12)*1.03)),SUMIF('Dept. Cost Actuals'!$E$7:$E$176,"*Health Insurance*",'Dept. Cost Actuals'!AA$703:AA$872))</f>
        <v>2527.9499999999998</v>
      </c>
      <c r="X20" s="668">
        <f>IF(X$4="forecast",(((SUM($O$20:$Z$20)/12)*1.03)),SUMIF('Dept. Cost Actuals'!$E$7:$E$176,"*Health Insurance*",'Dept. Cost Actuals'!AB$703:AB$872))</f>
        <v>2124.66</v>
      </c>
      <c r="Y20" s="668">
        <f>IF(Y$4="forecast",(((SUM($O$20:$Z$20)/12)*1.03)),SUMIF('Dept. Cost Actuals'!$E$7:$E$176,"*Health Insurance*",'Dept. Cost Actuals'!AC$703:AC$872))</f>
        <v>0</v>
      </c>
      <c r="Z20" s="668">
        <f>IF(Z$4="forecast",(((SUM($O$20:$Z$20)/12)*1.03)),SUMIF('Dept. Cost Actuals'!$E$7:$E$176,"*Health Insurance*",'Dept. Cost Actuals'!AD$703:AD$872))</f>
        <v>3358.86</v>
      </c>
      <c r="AA20" s="668">
        <f>IF(AA$4="forecast",(((SUM($O$20:$Z$20)/12)*1.03)),SUMIF('Dept. Cost Actuals'!$E$7:$E$176,"*Health Insurance*",'Dept. Cost Actuals'!AE$703:AE$872))</f>
        <v>5858.8</v>
      </c>
      <c r="AB20" s="668">
        <f>IF(AB$4="forecast",(((SUM($O$20:$Z$20)/12)*1.03)),SUMIF('Dept. Cost Actuals'!$E$7:$E$176,"*Health Insurance*",'Dept. Cost Actuals'!AF$703:AF$872))</f>
        <v>6380.05</v>
      </c>
      <c r="AC20" s="668">
        <f>IF(AC$4="forecast",(((SUM($O$20:$Z$20)/12)*1.03)),SUMIF('Dept. Cost Actuals'!$E$7:$E$176,"*Health Insurance*",'Dept. Cost Actuals'!AG$703:AG$872))</f>
        <v>6549.4900000000007</v>
      </c>
      <c r="AD20" s="668">
        <f>IF(AD$4="forecast",(((SUM($O$20:$Z$20)/12)*1.03)),SUMIF('Dept. Cost Actuals'!$E$7:$E$176,"*Health Insurance*",'Dept. Cost Actuals'!AH$703:AH$872))</f>
        <v>2185.4600083333335</v>
      </c>
      <c r="AE20" s="668">
        <f>IF(AE$4="forecast",(((SUM($O$20:$Z$20)/12)*1.03)),SUMIF('Dept. Cost Actuals'!$E$7:$E$176,"*Health Insurance*",'Dept. Cost Actuals'!AI$703:AI$872))</f>
        <v>2185.4600083333335</v>
      </c>
      <c r="AF20" s="668">
        <f>IF(AF$4="forecast",(((SUM($O$20:$Z$20)/12)*1.03)),SUMIF('Dept. Cost Actuals'!$E$7:$E$176,"*Health Insurance*",'Dept. Cost Actuals'!AJ$703:AJ$872))</f>
        <v>2185.4600083333335</v>
      </c>
      <c r="AG20" s="668">
        <f>IF(AG$4="forecast",(((SUM($O$20:$Z$20)/12)*1.03)),SUMIF('Dept. Cost Actuals'!$E$7:$E$176,"*Health Insurance*",'Dept. Cost Actuals'!AK$703:AK$872))</f>
        <v>2185.4600083333335</v>
      </c>
      <c r="AH20" s="668">
        <f>IF(AH$4="forecast",(((SUM($O$20:$Z$20)/12)*1.03)),SUMIF('Dept. Cost Actuals'!$E$7:$E$176,"*Health Insurance*",'Dept. Cost Actuals'!AL$703:AL$872))</f>
        <v>2185.4600083333335</v>
      </c>
      <c r="AI20" s="668">
        <f>IF(AI$4="forecast",(((SUM($O$20:$Z$20)/12)*1.03)),SUMIF('Dept. Cost Actuals'!$E$7:$E$176,"*Health Insurance*",'Dept. Cost Actuals'!AM$703:AM$872))</f>
        <v>2185.4600083333335</v>
      </c>
      <c r="AJ20" s="668">
        <f>IF(AJ$4="forecast",(((SUM($O$20:$Z$20)/12)*1.03)),SUMIF('Dept. Cost Actuals'!$E$7:$E$176,"*Health Insurance*",'Dept. Cost Actuals'!AN$703:AN$872))</f>
        <v>2185.4600083333335</v>
      </c>
      <c r="AK20" s="668">
        <f>IF(AK$4="forecast",(((SUM($O$20:$Z$20)/12)*1.03)),SUMIF('Dept. Cost Actuals'!$E$7:$E$176,"*Health Insurance*",'Dept. Cost Actuals'!AO$703:AO$872))</f>
        <v>2185.4600083333335</v>
      </c>
      <c r="AL20" s="668">
        <f>IF(AL$4="forecast",(((SUM($O$20:$Z$20)/12)*1.03)),SUMIF('Dept. Cost Actuals'!$E$7:$E$176,"*Health Insurance*",'Dept. Cost Actuals'!AP$703:AP$872))</f>
        <v>2185.4600083333335</v>
      </c>
      <c r="AM20" s="668">
        <f>IF(AM$4="forecast",(((SUM($O$20:$Z$20)/12)*1.03)),SUMIF('Dept. Cost Actuals'!$E$7:$E$176,"*Health Insurance*",'Dept. Cost Actuals'!AQ$703:AQ$872))</f>
        <v>2185.4600083333335</v>
      </c>
      <c r="AN20" s="668">
        <f>IF(AN$4="forecast",(((SUM($O$20:$Z$20)/12)*1.03)),SUMIF('Dept. Cost Actuals'!$E$7:$E$176,"*Health Insurance*",'Dept. Cost Actuals'!AR$703:AR$872))</f>
        <v>2185.4600083333335</v>
      </c>
      <c r="AO20" s="668">
        <f>IF(AO$4="forecast",(((SUM($O$20:$Z$20)/12)*1.03)),SUMIF('Dept. Cost Actuals'!$E$7:$E$176,"*Health Insurance*",'Dept. Cost Actuals'!AS$703:AS$872))</f>
        <v>2185.4600083333335</v>
      </c>
      <c r="AP20" s="668">
        <f>IF(AP$4="forecast",(((SUM($O$20:$Z$20)/12)*1.03)),SUMIF('Dept. Cost Actuals'!$E$7:$E$176,"*Health Insurance*",'Dept. Cost Actuals'!AT$703:AT$872))</f>
        <v>2185.4600083333335</v>
      </c>
      <c r="AQ20" s="668">
        <f>IF(AQ$4="forecast",(((SUM($O$20:$Z$20)/12)*1.03)),SUMIF('Dept. Cost Actuals'!$E$7:$E$176,"*Health Insurance*",'Dept. Cost Actuals'!AU$703:AU$872))</f>
        <v>2185.4600083333335</v>
      </c>
      <c r="AR20" s="668">
        <f>IF(AR$4="forecast",(((SUM($O$20:$Z$20)/12)*1.03)),SUMIF('Dept. Cost Actuals'!$E$7:$E$176,"*Health Insurance*",'Dept. Cost Actuals'!AV$703:AV$872))</f>
        <v>2185.4600083333335</v>
      </c>
      <c r="AS20" s="668">
        <f>IF(AS$4="forecast",(((SUM($O$20:$Z$20)/12)*1.03)),SUMIF('Dept. Cost Actuals'!$E$7:$E$176,"*Health Insurance*",'Dept. Cost Actuals'!AW$703:AW$872))</f>
        <v>2185.4600083333335</v>
      </c>
      <c r="AT20" s="668">
        <f>IF(AT$4="forecast",(((SUM($O$20:$Z$20)/12)*1.03)),SUMIF('Dept. Cost Actuals'!$E$7:$E$176,"*Health Insurance*",'Dept. Cost Actuals'!AX$703:AX$872))</f>
        <v>2185.4600083333335</v>
      </c>
      <c r="AU20" s="668">
        <f>IF(AU$4="forecast",(((SUM($O$20:$Z$20)/12)*1.03)),SUMIF('Dept. Cost Actuals'!$E$7:$E$176,"*Health Insurance*",'Dept. Cost Actuals'!AY$703:AY$872))</f>
        <v>2185.4600083333335</v>
      </c>
      <c r="AV20" s="668">
        <f>IF(AV$4="forecast",(((SUM($O$20:$Z$20)/12)*1.03)),SUMIF('Dept. Cost Actuals'!$E$7:$E$176,"*Health Insurance*",'Dept. Cost Actuals'!AZ$703:AZ$872))</f>
        <v>2185.4600083333335</v>
      </c>
      <c r="AW20" s="668">
        <f>IF(AW$4="forecast",(((SUM($O$20:$Z$20)/12)*1.03)),SUMIF('Dept. Cost Actuals'!$E$7:$E$176,"*Health Insurance*",'Dept. Cost Actuals'!BA$703:BA$872))</f>
        <v>2185.4600083333335</v>
      </c>
      <c r="AX20" s="668">
        <f>IF(AX$4="forecast",(((SUM($O$20:$Z$20)/12)*1.03)),SUMIF('Dept. Cost Actuals'!$E$7:$E$176,"*Health Insurance*",'Dept. Cost Actuals'!BB$703:BB$872))</f>
        <v>2185.4600083333335</v>
      </c>
      <c r="AY20" s="668">
        <f>IF(AY$4="forecast",(((SUM($O$20:$Z$20)/12)*1.03)),SUMIF('Dept. Cost Actuals'!$E$7:$E$176,"*Health Insurance*",'Dept. Cost Actuals'!BC$703:BC$872))</f>
        <v>2185.4600083333335</v>
      </c>
      <c r="AZ20" s="668">
        <f>IF(AZ$4="forecast",(((SUM($O$20:$Z$20)/12)*1.03)),SUMIF('Dept. Cost Actuals'!$E$7:$E$176,"*Health Insurance*",'Dept. Cost Actuals'!BD$703:BD$872))</f>
        <v>2185.4600083333335</v>
      </c>
      <c r="BA20" s="668">
        <f>IF(BA$4="forecast",(((SUM($O$20:$Z$20)/12)*1.03)),SUMIF('Dept. Cost Actuals'!$E$7:$E$176,"*Health Insurance*",'Dept. Cost Actuals'!BE$703:BE$872))</f>
        <v>2185.4600083333335</v>
      </c>
      <c r="BB20" s="668">
        <f>IF(BB$4="forecast",(((SUM($O$20:$Z$20)/12)*1.03)),SUMIF('Dept. Cost Actuals'!$E$7:$E$176,"*Health Insurance*",'Dept. Cost Actuals'!BF$703:BF$872))</f>
        <v>2185.4600083333335</v>
      </c>
      <c r="BC20" s="668">
        <f>IF(BC$4="forecast",(((SUM($O$20:$Z$20)/12)*1.03)),SUMIF('Dept. Cost Actuals'!$E$7:$E$176,"*Health Insurance*",'Dept. Cost Actuals'!BG$703:BG$872))</f>
        <v>2185.4600083333335</v>
      </c>
      <c r="BD20" s="668">
        <f>IF(BD$4="forecast",(((SUM($O$20:$Z$20)/12)*1.03)),SUMIF('Dept. Cost Actuals'!$E$7:$E$176,"*Health Insurance*",'Dept. Cost Actuals'!BH$703:BH$872))</f>
        <v>2185.4600083333335</v>
      </c>
      <c r="BE20" s="668">
        <f>IF(BE$4="forecast",(((SUM($O$20:$Z$20)/12)*1.03)),SUMIF('Dept. Cost Actuals'!$E$7:$E$176,"*Health Insurance*",'Dept. Cost Actuals'!BI$703:BI$872))</f>
        <v>2185.4600083333335</v>
      </c>
      <c r="BF20" s="668">
        <f>IF(BF$4="forecast",(((SUM($O$20:$Z$20)/12)*1.03)),SUMIF('Dept. Cost Actuals'!$E$7:$E$176,"*Health Insurance*",'Dept. Cost Actuals'!BJ$703:BJ$872))</f>
        <v>2185.4600083333335</v>
      </c>
      <c r="BG20" s="668">
        <f>IF(BG$4="forecast",(((SUM($O$20:$Z$20)/12)*1.03)),SUMIF('Dept. Cost Actuals'!$E$7:$E$176,"*Health Insurance*",'Dept. Cost Actuals'!BK$703:BK$872))</f>
        <v>2185.4600083333335</v>
      </c>
      <c r="BH20" s="668">
        <f>IF(BH$4="forecast",(((SUM($O$20:$Z$20)/12)*1.03)),SUMIF('Dept. Cost Actuals'!$E$7:$E$176,"*Health Insurance*",'Dept. Cost Actuals'!BL$703:BL$872))</f>
        <v>2185.4600083333335</v>
      </c>
      <c r="BI20" s="668">
        <f>IF(BI$4="forecast",(((SUM($O$20:$Z$20)/12)*1.03)),SUMIF('Dept. Cost Actuals'!$E$7:$E$176,"*Health Insurance*",'Dept. Cost Actuals'!BM$703:BM$872))</f>
        <v>2185.4600083333335</v>
      </c>
      <c r="BJ20" s="668">
        <f>IF(BJ$4="forecast",(((SUM($O$20:$Z$20)/12)*1.03)),SUMIF('Dept. Cost Actuals'!$E$7:$E$176,"*Health Insurance*",'Dept. Cost Actuals'!BN$703:BN$872))</f>
        <v>2185.4600083333335</v>
      </c>
      <c r="BK20" s="668">
        <f>IF(BK$4="forecast",(((SUM($O$20:$Z$20)/12)*1.03)),SUMIF('Dept. Cost Actuals'!$E$7:$E$176,"*Health Insurance*",'Dept. Cost Actuals'!BO$703:BO$872))</f>
        <v>2185.4600083333335</v>
      </c>
      <c r="BL20" s="668">
        <f>IF(BL$4="forecast",(((SUM($O$20:$Z$20)/12)*1.03)),SUMIF('Dept. Cost Actuals'!$E$7:$E$176,"*Health Insurance*",'Dept. Cost Actuals'!BP$703:BP$872))</f>
        <v>2185.4600083333335</v>
      </c>
      <c r="BM20" s="668">
        <f>IF(BM$4="forecast",(((SUM($O$20:$Z$20)/12)*1.03)),SUMIF('Dept. Cost Actuals'!$E$7:$E$176,"*Health Insurance*",'Dept. Cost Actuals'!BQ$703:BQ$872))</f>
        <v>2185.4600083333335</v>
      </c>
      <c r="BN20" s="668">
        <f>IF(BN$4="forecast",(((SUM($O$20:$Z$20)/12)*1.03)),SUMIF('Dept. Cost Actuals'!$E$7:$E$176,"*Health Insurance*",'Dept. Cost Actuals'!BR$703:BR$872))</f>
        <v>2185.4600083333335</v>
      </c>
      <c r="BO20" s="668">
        <f>IF(BO$4="forecast",(((SUM($O$20:$Z$20)/12)*1.03)),SUMIF('Dept. Cost Actuals'!$E$7:$E$176,"*Health Insurance*",'Dept. Cost Actuals'!BS$703:BS$872))</f>
        <v>2185.4600083333335</v>
      </c>
      <c r="BP20" s="668">
        <f>IF(BP$4="forecast",(((SUM($O$20:$Z$20)/12)*1.03)),SUMIF('Dept. Cost Actuals'!$E$7:$E$176,"*Health Insurance*",'Dept. Cost Actuals'!BT$703:BT$872))</f>
        <v>2185.4600083333335</v>
      </c>
      <c r="BQ20" s="668">
        <f>IF(BQ$4="forecast",(((SUM($O$20:$Z$20)/12)*1.03)),SUMIF('Dept. Cost Actuals'!$E$7:$E$176,"*Health Insurance*",'Dept. Cost Actuals'!BU$703:BU$872))</f>
        <v>2185.4600083333335</v>
      </c>
      <c r="BR20" s="668">
        <f>IF(BR$4="forecast",(((SUM($O$20:$Z$20)/12)*1.03)),SUMIF('Dept. Cost Actuals'!$E$7:$E$176,"*Health Insurance*",'Dept. Cost Actuals'!BV$703:BV$872))</f>
        <v>2185.4600083333335</v>
      </c>
      <c r="BS20" s="668">
        <f>IF(BS$4="forecast",(((SUM($O$20:$Z$20)/12)*1.03)),SUMIF('Dept. Cost Actuals'!$E$7:$E$176,"*Health Insurance*",'Dept. Cost Actuals'!BW$703:BW$872))</f>
        <v>2185.4600083333335</v>
      </c>
      <c r="BT20" s="668">
        <f>IF(BT$4="forecast",(((SUM($O$20:$Z$20)/12)*1.03)),SUMIF('Dept. Cost Actuals'!$E$7:$E$176,"*Health Insurance*",'Dept. Cost Actuals'!BX$703:BX$872))</f>
        <v>2185.4600083333335</v>
      </c>
      <c r="BU20" s="668">
        <f>IF(BU$4="forecast",(((SUM($O$20:$Z$20)/12)*1.03)),SUMIF('Dept. Cost Actuals'!$E$7:$E$176,"*Health Insurance*",'Dept. Cost Actuals'!BY$703:BY$872))</f>
        <v>2185.4600083333335</v>
      </c>
      <c r="BV20" s="668">
        <f>IF(BV$4="forecast",(((SUM($O$20:$Z$20)/12)*1.03)),SUMIF('Dept. Cost Actuals'!$E$7:$E$176,"*Health Insurance*",'Dept. Cost Actuals'!BZ$703:BZ$872))</f>
        <v>2185.4600083333335</v>
      </c>
    </row>
    <row r="21" spans="2:74" s="626" customFormat="1" ht="12.75" x14ac:dyDescent="0.2">
      <c r="B21" s="794" t="s">
        <v>1348</v>
      </c>
      <c r="C21" s="668">
        <f>IF(C$4="forecast",(((400/12)*C$7)),(SUMIF('Dept. Cost Actuals'!$E$7:$E$176,"*Employee*",'Dept. Cost Actuals'!G$703:G$872)))</f>
        <v>0</v>
      </c>
      <c r="D21" s="668">
        <f>IF(D$4="forecast",(((400/12)*D$7)),(SUMIF('Dept. Cost Actuals'!$E$7:$E$176,"*Employee*",'Dept. Cost Actuals'!H$703:H$872)))</f>
        <v>0</v>
      </c>
      <c r="E21" s="668">
        <f>IF(E$4="forecast",(((400/12)*E$7)),(SUMIF('Dept. Cost Actuals'!$E$7:$E$176,"*Employee*",'Dept. Cost Actuals'!I$703:I$872)))</f>
        <v>0</v>
      </c>
      <c r="F21" s="668">
        <f>IF(F$4="forecast",(((400/12)*F$7)),(SUMIF('Dept. Cost Actuals'!$E$7:$E$176,"*Employee*",'Dept. Cost Actuals'!J$703:J$872)))</f>
        <v>0</v>
      </c>
      <c r="G21" s="668">
        <f>IF(G$4="forecast",(((400/12)*G$7)),(SUMIF('Dept. Cost Actuals'!$E$7:$E$176,"*Employee*",'Dept. Cost Actuals'!K$703:K$872)))</f>
        <v>0</v>
      </c>
      <c r="H21" s="668">
        <f>IF(H$4="forecast",(((400/12)*H$7)),(SUMIF('Dept. Cost Actuals'!$E$7:$E$176,"*Employee*",'Dept. Cost Actuals'!L$703:L$872)))</f>
        <v>0</v>
      </c>
      <c r="I21" s="668">
        <f>IF(I$4="forecast",(((400/12)*I$7)),(SUMIF('Dept. Cost Actuals'!$E$7:$E$176,"*Employee*",'Dept. Cost Actuals'!M$703:M$872)))</f>
        <v>0</v>
      </c>
      <c r="J21" s="668">
        <f>IF(J$4="forecast",(((400/12)*J$7)),(SUMIF('Dept. Cost Actuals'!$E$7:$E$176,"*Employee*",'Dept. Cost Actuals'!N$703:N$872)))</f>
        <v>0</v>
      </c>
      <c r="K21" s="668">
        <f>IF(K$4="forecast",(((400/12)*K$7)),(SUMIF('Dept. Cost Actuals'!$E$7:$E$176,"*Employee*",'Dept. Cost Actuals'!O$703:O$872)))</f>
        <v>0</v>
      </c>
      <c r="L21" s="668">
        <f>IF(L$4="forecast",(((400/12)*L$7)),(SUMIF('Dept. Cost Actuals'!$E$7:$E$176,"*Employee*",'Dept. Cost Actuals'!P$703:P$872)))</f>
        <v>0</v>
      </c>
      <c r="M21" s="668">
        <f>IF(M$4="forecast",(((400/12)*M$7)),(SUMIF('Dept. Cost Actuals'!$E$7:$E$176,"*Employee*",'Dept. Cost Actuals'!Q$703:Q$872)))</f>
        <v>0</v>
      </c>
      <c r="N21" s="668">
        <f>IF(N$4="forecast",(((400/12)*N$7)),(SUMIF('Dept. Cost Actuals'!$E$7:$E$176,"*Employee*",'Dept. Cost Actuals'!R$703:R$872)))</f>
        <v>0</v>
      </c>
      <c r="O21" s="668">
        <f>IF(O$4="forecast",(((400/12)*O$7)),(SUMIF('Dept. Cost Actuals'!$E$7:$E$176,"*Employee*",'Dept. Cost Actuals'!S$703:S$872)))</f>
        <v>0</v>
      </c>
      <c r="P21" s="668">
        <f>IF(P$4="forecast",(((400/12)*P$7)),(SUMIF('Dept. Cost Actuals'!$E$7:$E$176,"*Employee*",'Dept. Cost Actuals'!T$703:T$872)))</f>
        <v>0</v>
      </c>
      <c r="Q21" s="668">
        <f>IF(Q$4="forecast",(((400/12)*Q$7)),(SUMIF('Dept. Cost Actuals'!$E$7:$E$176,"*Employee*",'Dept. Cost Actuals'!U$703:U$872)))</f>
        <v>0</v>
      </c>
      <c r="R21" s="668">
        <f>IF(R$4="forecast",(((400/12)*R$7)),(SUMIF('Dept. Cost Actuals'!$E$7:$E$176,"*Employee*",'Dept. Cost Actuals'!V$703:V$872)))</f>
        <v>0</v>
      </c>
      <c r="S21" s="668">
        <f>IF(S$4="forecast",(((400/12)*S$7)),(SUMIF('Dept. Cost Actuals'!$E$7:$E$176,"*Employee*",'Dept. Cost Actuals'!W$703:W$872)))</f>
        <v>130</v>
      </c>
      <c r="T21" s="668">
        <f>IF(T$4="forecast",(((400/12)*T$7)),(SUMIF('Dept. Cost Actuals'!$E$7:$E$176,"*Employee*",'Dept. Cost Actuals'!X$703:X$872)))</f>
        <v>20</v>
      </c>
      <c r="U21" s="668">
        <f>IF(U$4="forecast",(((400/12)*U$7)),(SUMIF('Dept. Cost Actuals'!$E$7:$E$176,"*Employee*",'Dept. Cost Actuals'!Y$703:Y$872)))</f>
        <v>20</v>
      </c>
      <c r="V21" s="668">
        <f>IF(V$4="forecast",(((400/12)*V$7)),(SUMIF('Dept. Cost Actuals'!$E$7:$E$176,"*Employee*",'Dept. Cost Actuals'!Z$703:Z$872)))</f>
        <v>107.37</v>
      </c>
      <c r="W21" s="668">
        <f>IF(W$4="forecast",(((400/12)*W$7)),(SUMIF('Dept. Cost Actuals'!$E$7:$E$176,"*Employee*",'Dept. Cost Actuals'!AA$703:AA$872)))</f>
        <v>103.25</v>
      </c>
      <c r="X21" s="668">
        <f>IF(X$4="forecast",(((400/12)*X$7)),(SUMIF('Dept. Cost Actuals'!$E$7:$E$176,"*Employee*",'Dept. Cost Actuals'!AB$703:AB$872)))</f>
        <v>101.15</v>
      </c>
      <c r="Y21" s="668">
        <f>IF(Y$4="forecast",(((400/12)*Y$7)),(SUMIF('Dept. Cost Actuals'!$E$7:$E$176,"*Employee*",'Dept. Cost Actuals'!AC$703:AC$872)))</f>
        <v>2217.77</v>
      </c>
      <c r="Z21" s="668">
        <f>IF(Z$4="forecast",(((400/12)*Z$7)),(SUMIF('Dept. Cost Actuals'!$E$7:$E$176,"*Employee*",'Dept. Cost Actuals'!AD$703:AD$872)))</f>
        <v>0</v>
      </c>
      <c r="AA21" s="668">
        <f>IF(AA$4="forecast",(((400/12)*AA$7)),(SUMIF('Dept. Cost Actuals'!$E$7:$E$176,"*Employee*",'Dept. Cost Actuals'!AE$703:AE$872)))</f>
        <v>109.8</v>
      </c>
      <c r="AB21" s="668">
        <f>IF(AB$4="forecast",(((400/12)*AB$7)),(SUMIF('Dept. Cost Actuals'!$E$7:$E$176,"*Employee*",'Dept. Cost Actuals'!AF$703:AF$872)))</f>
        <v>174.42</v>
      </c>
      <c r="AC21" s="668">
        <f>IF(AC$4="forecast",(((400/12)*AC$7)),(SUMIF('Dept. Cost Actuals'!$E$7:$E$176,"*Employee*",'Dept. Cost Actuals'!AG$703:AG$872)))</f>
        <v>77.36</v>
      </c>
      <c r="AD21" s="668">
        <f>IF(AD$4="forecast",(((400/12)*AD$7)),(SUMIF('Dept. Cost Actuals'!$E$7:$E$176,"*Employee*",'Dept. Cost Actuals'!AH$703:AH$872)))</f>
        <v>633.33333333333337</v>
      </c>
      <c r="AE21" s="668">
        <f>IF(AE$4="forecast",(((400/12)*AE$7)),(SUMIF('Dept. Cost Actuals'!$E$7:$E$176,"*Employee*",'Dept. Cost Actuals'!AI$703:AI$872)))</f>
        <v>666.66666666666674</v>
      </c>
      <c r="AF21" s="668">
        <f>IF(AF$4="forecast",(((400/12)*AF$7)),(SUMIF('Dept. Cost Actuals'!$E$7:$E$176,"*Employee*",'Dept. Cost Actuals'!AJ$703:AJ$872)))</f>
        <v>700</v>
      </c>
      <c r="AG21" s="668">
        <f>IF(AG$4="forecast",(((400/12)*AG$7)),(SUMIF('Dept. Cost Actuals'!$E$7:$E$176,"*Employee*",'Dept. Cost Actuals'!AK$703:AK$872)))</f>
        <v>700</v>
      </c>
      <c r="AH21" s="668">
        <f>IF(AH$4="forecast",(((400/12)*AH$7)),(SUMIF('Dept. Cost Actuals'!$E$7:$E$176,"*Employee*",'Dept. Cost Actuals'!AL$703:AL$872)))</f>
        <v>700</v>
      </c>
      <c r="AI21" s="668">
        <f>IF(AI$4="forecast",(((400/12)*AI$7)),(SUMIF('Dept. Cost Actuals'!$E$7:$E$176,"*Employee*",'Dept. Cost Actuals'!AM$703:AM$872)))</f>
        <v>700</v>
      </c>
      <c r="AJ21" s="668">
        <f>IF(AJ$4="forecast",(((400/12)*AJ$7)),(SUMIF('Dept. Cost Actuals'!$E$7:$E$176,"*Employee*",'Dept. Cost Actuals'!AN$703:AN$872)))</f>
        <v>700</v>
      </c>
      <c r="AK21" s="668">
        <f>IF(AK$4="forecast",(((400/12)*AK$7)),(SUMIF('Dept. Cost Actuals'!$E$7:$E$176,"*Employee*",'Dept. Cost Actuals'!AO$703:AO$872)))</f>
        <v>700</v>
      </c>
      <c r="AL21" s="668">
        <f>IF(AL$4="forecast",(((400/12)*AL$7)),(SUMIF('Dept. Cost Actuals'!$E$7:$E$176,"*Employee*",'Dept. Cost Actuals'!AP$703:AP$872)))</f>
        <v>700</v>
      </c>
      <c r="AM21" s="668">
        <f>IF(AM$4="forecast",(((400/12)*AM$7)),(SUMIF('Dept. Cost Actuals'!$E$7:$E$176,"*Employee*",'Dept. Cost Actuals'!AQ$703:AQ$872)))</f>
        <v>600</v>
      </c>
      <c r="AN21" s="668">
        <f>IF(AN$4="forecast",(((400/12)*AN$7)),(SUMIF('Dept. Cost Actuals'!$E$7:$E$176,"*Employee*",'Dept. Cost Actuals'!AR$703:AR$872)))</f>
        <v>600</v>
      </c>
      <c r="AO21" s="668">
        <f>IF(AO$4="forecast",(((400/12)*AO$7)),(SUMIF('Dept. Cost Actuals'!$E$7:$E$176,"*Employee*",'Dept. Cost Actuals'!AS$703:AS$872)))</f>
        <v>600</v>
      </c>
      <c r="AP21" s="668">
        <f>IF(AP$4="forecast",(((400/12)*AP$7)),(SUMIF('Dept. Cost Actuals'!$E$7:$E$176,"*Employee*",'Dept. Cost Actuals'!AT$703:AT$872)))</f>
        <v>600</v>
      </c>
      <c r="AQ21" s="668">
        <f>IF(AQ$4="forecast",(((400/12)*AQ$7)),(SUMIF('Dept. Cost Actuals'!$E$7:$E$176,"*Employee*",'Dept. Cost Actuals'!AU$703:AU$872)))</f>
        <v>600</v>
      </c>
      <c r="AR21" s="668">
        <f>IF(AR$4="forecast",(((400/12)*AR$7)),(SUMIF('Dept. Cost Actuals'!$E$7:$E$176,"*Employee*",'Dept. Cost Actuals'!AV$703:AV$872)))</f>
        <v>600</v>
      </c>
      <c r="AS21" s="668">
        <f>IF(AS$4="forecast",(((400/12)*AS$7)),(SUMIF('Dept. Cost Actuals'!$E$7:$E$176,"*Employee*",'Dept. Cost Actuals'!AW$703:AW$872)))</f>
        <v>600</v>
      </c>
      <c r="AT21" s="668">
        <f>IF(AT$4="forecast",(((400/12)*AT$7)),(SUMIF('Dept. Cost Actuals'!$E$7:$E$176,"*Employee*",'Dept. Cost Actuals'!AX$703:AX$872)))</f>
        <v>600</v>
      </c>
      <c r="AU21" s="668">
        <f>IF(AU$4="forecast",(((400/12)*AU$7)),(SUMIF('Dept. Cost Actuals'!$E$7:$E$176,"*Employee*",'Dept. Cost Actuals'!AY$703:AY$872)))</f>
        <v>600</v>
      </c>
      <c r="AV21" s="668">
        <f>IF(AV$4="forecast",(((400/12)*AV$7)),(SUMIF('Dept. Cost Actuals'!$E$7:$E$176,"*Employee*",'Dept. Cost Actuals'!AZ$703:AZ$872)))</f>
        <v>600</v>
      </c>
      <c r="AW21" s="668">
        <f>IF(AW$4="forecast",(((400/12)*AW$7)),(SUMIF('Dept. Cost Actuals'!$E$7:$E$176,"*Employee*",'Dept. Cost Actuals'!BA$703:BA$872)))</f>
        <v>600</v>
      </c>
      <c r="AX21" s="668">
        <f>IF(AX$4="forecast",(((400/12)*AX$7)),(SUMIF('Dept. Cost Actuals'!$E$7:$E$176,"*Employee*",'Dept. Cost Actuals'!BB$703:BB$872)))</f>
        <v>600</v>
      </c>
      <c r="AY21" s="668">
        <f>IF(AY$4="forecast",(((400/12)*AY$7)),(SUMIF('Dept. Cost Actuals'!$E$7:$E$176,"*Employee*",'Dept. Cost Actuals'!BC$703:BC$872)))</f>
        <v>600</v>
      </c>
      <c r="AZ21" s="668">
        <f>IF(AZ$4="forecast",(((400/12)*AZ$7)),(SUMIF('Dept. Cost Actuals'!$E$7:$E$176,"*Employee*",'Dept. Cost Actuals'!BD$703:BD$872)))</f>
        <v>600</v>
      </c>
      <c r="BA21" s="668">
        <f>IF(BA$4="forecast",(((400/12)*BA$7)),(SUMIF('Dept. Cost Actuals'!$E$7:$E$176,"*Employee*",'Dept. Cost Actuals'!BE$703:BE$872)))</f>
        <v>600</v>
      </c>
      <c r="BB21" s="668">
        <f>IF(BB$4="forecast",(((400/12)*BB$7)),(SUMIF('Dept. Cost Actuals'!$E$7:$E$176,"*Employee*",'Dept. Cost Actuals'!BF$703:BF$872)))</f>
        <v>600</v>
      </c>
      <c r="BC21" s="668">
        <f>IF(BC$4="forecast",(((400/12)*BC$7)),(SUMIF('Dept. Cost Actuals'!$E$7:$E$176,"*Employee*",'Dept. Cost Actuals'!BG$703:BG$872)))</f>
        <v>600</v>
      </c>
      <c r="BD21" s="668">
        <f>IF(BD$4="forecast",(((400/12)*BD$7)),(SUMIF('Dept. Cost Actuals'!$E$7:$E$176,"*Employee*",'Dept. Cost Actuals'!BH$703:BH$872)))</f>
        <v>600</v>
      </c>
      <c r="BE21" s="668">
        <f>IF(BE$4="forecast",(((400/12)*BE$7)),(SUMIF('Dept. Cost Actuals'!$E$7:$E$176,"*Employee*",'Dept. Cost Actuals'!BI$703:BI$872)))</f>
        <v>600</v>
      </c>
      <c r="BF21" s="668">
        <f>IF(BF$4="forecast",(((400/12)*BF$7)),(SUMIF('Dept. Cost Actuals'!$E$7:$E$176,"*Employee*",'Dept. Cost Actuals'!BJ$703:BJ$872)))</f>
        <v>600</v>
      </c>
      <c r="BG21" s="668">
        <f>IF(BG$4="forecast",(((400/12)*BG$7)),(SUMIF('Dept. Cost Actuals'!$E$7:$E$176,"*Employee*",'Dept. Cost Actuals'!BK$703:BK$872)))</f>
        <v>600</v>
      </c>
      <c r="BH21" s="668">
        <f>IF(BH$4="forecast",(((400/12)*BH$7)),(SUMIF('Dept. Cost Actuals'!$E$7:$E$176,"*Employee*",'Dept. Cost Actuals'!BL$703:BL$872)))</f>
        <v>600</v>
      </c>
      <c r="BI21" s="668">
        <f>IF(BI$4="forecast",(((400/12)*BI$7)),(SUMIF('Dept. Cost Actuals'!$E$7:$E$176,"*Employee*",'Dept. Cost Actuals'!BM$703:BM$872)))</f>
        <v>600</v>
      </c>
      <c r="BJ21" s="668">
        <f>IF(BJ$4="forecast",(((400/12)*BJ$7)),(SUMIF('Dept. Cost Actuals'!$E$7:$E$176,"*Employee*",'Dept. Cost Actuals'!BN$703:BN$872)))</f>
        <v>600</v>
      </c>
      <c r="BK21" s="668">
        <f>IF(BK$4="forecast",(((400/12)*BK$7)),(SUMIF('Dept. Cost Actuals'!$E$7:$E$176,"*Employee*",'Dept. Cost Actuals'!BO$703:BO$872)))</f>
        <v>600</v>
      </c>
      <c r="BL21" s="668">
        <f>IF(BL$4="forecast",(((400/12)*BL$7)),(SUMIF('Dept. Cost Actuals'!$E$7:$E$176,"*Employee*",'Dept. Cost Actuals'!BP$703:BP$872)))</f>
        <v>600</v>
      </c>
      <c r="BM21" s="668">
        <f>IF(BM$4="forecast",(((400/12)*BM$7)),(SUMIF('Dept. Cost Actuals'!$E$7:$E$176,"*Employee*",'Dept. Cost Actuals'!BQ$703:BQ$872)))</f>
        <v>600</v>
      </c>
      <c r="BN21" s="668">
        <f>IF(BN$4="forecast",(((400/12)*BN$7)),(SUMIF('Dept. Cost Actuals'!$E$7:$E$176,"*Employee*",'Dept. Cost Actuals'!BR$703:BR$872)))</f>
        <v>600</v>
      </c>
      <c r="BO21" s="668">
        <f>IF(BO$4="forecast",(((400/12)*BO$7)),(SUMIF('Dept. Cost Actuals'!$E$7:$E$176,"*Employee*",'Dept. Cost Actuals'!BS$703:BS$872)))</f>
        <v>600</v>
      </c>
      <c r="BP21" s="668">
        <f>IF(BP$4="forecast",(((400/12)*BP$7)),(SUMIF('Dept. Cost Actuals'!$E$7:$E$176,"*Employee*",'Dept. Cost Actuals'!BT$703:BT$872)))</f>
        <v>600</v>
      </c>
      <c r="BQ21" s="668">
        <f>IF(BQ$4="forecast",(((400/12)*BQ$7)),(SUMIF('Dept. Cost Actuals'!$E$7:$E$176,"*Employee*",'Dept. Cost Actuals'!BU$703:BU$872)))</f>
        <v>600</v>
      </c>
      <c r="BR21" s="668">
        <f>IF(BR$4="forecast",(((400/12)*BR$7)),(SUMIF('Dept. Cost Actuals'!$E$7:$E$176,"*Employee*",'Dept. Cost Actuals'!BV$703:BV$872)))</f>
        <v>600</v>
      </c>
      <c r="BS21" s="668">
        <f>IF(BS$4="forecast",(((400/12)*BS$7)),(SUMIF('Dept. Cost Actuals'!$E$7:$E$176,"*Employee*",'Dept. Cost Actuals'!BW$703:BW$872)))</f>
        <v>600</v>
      </c>
      <c r="BT21" s="668">
        <f>IF(BT$4="forecast",(((400/12)*BT$7)),(SUMIF('Dept. Cost Actuals'!$E$7:$E$176,"*Employee*",'Dept. Cost Actuals'!BX$703:BX$872)))</f>
        <v>600</v>
      </c>
      <c r="BU21" s="668">
        <f>IF(BU$4="forecast",(((400/12)*BU$7)),(SUMIF('Dept. Cost Actuals'!$E$7:$E$176,"*Employee*",'Dept. Cost Actuals'!BY$703:BY$872)))</f>
        <v>600</v>
      </c>
      <c r="BV21" s="668">
        <f>IF(BV$4="forecast",(((400/12)*BV$7)),(SUMIF('Dept. Cost Actuals'!$E$7:$E$176,"*Employee*",'Dept. Cost Actuals'!BZ$703:BZ$872)))</f>
        <v>600</v>
      </c>
    </row>
    <row r="22" spans="2:74" x14ac:dyDescent="0.25">
      <c r="B22" s="794" t="s">
        <v>934</v>
      </c>
      <c r="C22" s="668">
        <f>IF(C$4="forecast",C$8*'Direct People Department Costs'!$H$8,SUMIF('Dept. Cost Actuals'!$E$7:$E$176,"*Board*",'Dept. Cost Actuals'!G$703:G$872))</f>
        <v>0</v>
      </c>
      <c r="D22" s="668">
        <f>IF(D$4="forecast",D$8*'Direct People Department Costs'!$H$8,SUMIF('Dept. Cost Actuals'!$E$7:$E$176,"*Board*",'Dept. Cost Actuals'!H$703:H$872))</f>
        <v>0</v>
      </c>
      <c r="E22" s="668">
        <f>IF(E$4="forecast",E$8*'Direct People Department Costs'!$H$8,SUMIF('Dept. Cost Actuals'!$E$7:$E$176,"*Board*",'Dept. Cost Actuals'!I$703:I$872))</f>
        <v>0</v>
      </c>
      <c r="F22" s="668">
        <f>IF(F$4="forecast",F$8*'Direct People Department Costs'!$H$8,SUMIF('Dept. Cost Actuals'!$E$7:$E$176,"*Board*",'Dept. Cost Actuals'!J$703:J$872))</f>
        <v>0</v>
      </c>
      <c r="G22" s="668">
        <f>IF(G$4="forecast",G$8*'Direct People Department Costs'!$H$8,SUMIF('Dept. Cost Actuals'!$E$7:$E$176,"*Board*",'Dept. Cost Actuals'!K$703:K$872))</f>
        <v>0</v>
      </c>
      <c r="H22" s="668">
        <f>IF(H$4="forecast",H$8*'Direct People Department Costs'!$H$8,SUMIF('Dept. Cost Actuals'!$E$7:$E$176,"*Board*",'Dept. Cost Actuals'!L$703:L$872))</f>
        <v>0</v>
      </c>
      <c r="I22" s="668">
        <f>IF(I$4="forecast",I$8*'Direct People Department Costs'!$H$8,SUMIF('Dept. Cost Actuals'!$E$7:$E$176,"*Board*",'Dept. Cost Actuals'!M$703:M$872))</f>
        <v>0</v>
      </c>
      <c r="J22" s="668">
        <f>IF(J$4="forecast",J$8*'Direct People Department Costs'!$H$8,SUMIF('Dept. Cost Actuals'!$E$7:$E$176,"*Board*",'Dept. Cost Actuals'!N$703:N$872))</f>
        <v>0</v>
      </c>
      <c r="K22" s="668">
        <f>IF(K$4="forecast",K$8*'Direct People Department Costs'!$H$8,SUMIF('Dept. Cost Actuals'!$E$7:$E$176,"*Board*",'Dept. Cost Actuals'!O$703:O$872))</f>
        <v>0</v>
      </c>
      <c r="L22" s="668">
        <f>IF(L$4="forecast",L$8*'Direct People Department Costs'!$H$8,SUMIF('Dept. Cost Actuals'!$E$7:$E$176,"*Board*",'Dept. Cost Actuals'!P$703:P$872))</f>
        <v>0</v>
      </c>
      <c r="M22" s="668">
        <f>IF(M$4="forecast",M$8*'Direct People Department Costs'!$H$8,SUMIF('Dept. Cost Actuals'!$E$7:$E$176,"*Board*",'Dept. Cost Actuals'!Q$703:Q$872))</f>
        <v>0</v>
      </c>
      <c r="N22" s="668">
        <f>IF(N$4="forecast",N$8*'Direct People Department Costs'!$H$8,SUMIF('Dept. Cost Actuals'!$E$7:$E$176,"*Board*",'Dept. Cost Actuals'!R$703:R$872))</f>
        <v>0</v>
      </c>
      <c r="O22" s="668">
        <f>IF(O$4="forecast",O$8*'Direct People Department Costs'!$H$8,SUMIF('Dept. Cost Actuals'!$E$7:$E$176,"*Board*",'Dept. Cost Actuals'!S$703:S$872))</f>
        <v>657.92</v>
      </c>
      <c r="P22" s="668">
        <f>IF(P$4="forecast",P$8*'Direct People Department Costs'!$H$8,SUMIF('Dept. Cost Actuals'!$E$7:$E$176,"*Board*",'Dept. Cost Actuals'!T$703:T$872))</f>
        <v>107.98</v>
      </c>
      <c r="Q22" s="668">
        <f>IF(Q$4="forecast",Q$8*'Direct People Department Costs'!$H$8,SUMIF('Dept. Cost Actuals'!$E$7:$E$176,"*Board*",'Dept. Cost Actuals'!U$703:U$872))</f>
        <v>526.71</v>
      </c>
      <c r="R22" s="668">
        <f>IF(R$4="forecast",R$8*'Direct People Department Costs'!$H$8,SUMIF('Dept. Cost Actuals'!$E$7:$E$176,"*Board*",'Dept. Cost Actuals'!V$703:V$872))</f>
        <v>163.81</v>
      </c>
      <c r="S22" s="668">
        <f>IF(S$4="forecast",S$8*'Direct People Department Costs'!$H$8,SUMIF('Dept. Cost Actuals'!$E$7:$E$176,"*Board*",'Dept. Cost Actuals'!W$703:W$872))</f>
        <v>13.68</v>
      </c>
      <c r="T22" s="668">
        <f>IF(T$4="forecast",T$8*'Direct People Department Costs'!$H$8,SUMIF('Dept. Cost Actuals'!$E$7:$E$176,"*Board*",'Dept. Cost Actuals'!X$703:X$872))</f>
        <v>987.99</v>
      </c>
      <c r="U22" s="668">
        <f>IF(U$4="forecast",U$8*'Direct People Department Costs'!$H$8,SUMIF('Dept. Cost Actuals'!$E$7:$E$176,"*Board*",'Dept. Cost Actuals'!Y$703:Y$872))</f>
        <v>861.5</v>
      </c>
      <c r="V22" s="668">
        <f>IF(V$4="forecast",V$8*'Direct People Department Costs'!$H$8,SUMIF('Dept. Cost Actuals'!$E$7:$E$176,"*Board*",'Dept. Cost Actuals'!Z$703:Z$872))</f>
        <v>473.24</v>
      </c>
      <c r="W22" s="668">
        <f>IF(W$4="forecast",W$8*'Direct People Department Costs'!$H$8,SUMIF('Dept. Cost Actuals'!$E$7:$E$176,"*Board*",'Dept. Cost Actuals'!AA$703:AA$872))</f>
        <v>643.41999999999996</v>
      </c>
      <c r="X22" s="668">
        <f>IF(X$4="forecast",X$8*'Direct People Department Costs'!$H$8,SUMIF('Dept. Cost Actuals'!$E$7:$E$176,"*Board*",'Dept. Cost Actuals'!AB$703:AB$872))</f>
        <v>1550.29</v>
      </c>
      <c r="Y22" s="668">
        <f>IF(Y$4="forecast",Y$8*'Direct People Department Costs'!$H$8,SUMIF('Dept. Cost Actuals'!$E$7:$E$176,"*Board*",'Dept. Cost Actuals'!AC$703:AC$872))</f>
        <v>-9.2799999999999994</v>
      </c>
      <c r="Z22" s="668">
        <f>IF(Z$4="forecast",Z$8*'Direct People Department Costs'!$H$8,SUMIF('Dept. Cost Actuals'!$E$7:$E$176,"*Board*",'Dept. Cost Actuals'!AD$703:AD$872))</f>
        <v>6851.15</v>
      </c>
      <c r="AA22" s="668">
        <f>IF(AA$4="forecast",AA$8*'Direct People Department Costs'!$H$8,SUMIF('Dept. Cost Actuals'!$E$7:$E$176,"*Board*",'Dept. Cost Actuals'!AE$703:AE$872))</f>
        <v>2927.58</v>
      </c>
      <c r="AB22" s="668">
        <f>IF(AB$4="forecast",AB$8*'Direct People Department Costs'!$H$8,SUMIF('Dept. Cost Actuals'!$E$7:$E$176,"*Board*",'Dept. Cost Actuals'!AF$703:AF$872))</f>
        <v>407.91</v>
      </c>
      <c r="AC22" s="668">
        <f>IF(AC$4="forecast",AC$8*'Direct People Department Costs'!$H$8,SUMIF('Dept. Cost Actuals'!$E$7:$E$176,"*Board*",'Dept. Cost Actuals'!AG$703:AG$872))</f>
        <v>100.73</v>
      </c>
      <c r="AD22" s="668">
        <f>IF(AD$4="forecast",AD$8*'Direct People Department Costs'!$H$8,SUMIF('Dept. Cost Actuals'!$E$7:$E$176,"*Board*",'Dept. Cost Actuals'!AH$703:AH$872))</f>
        <v>3600</v>
      </c>
      <c r="AE22" s="668">
        <f>IF(AE$4="forecast",AE$8*'Direct People Department Costs'!$H$8,SUMIF('Dept. Cost Actuals'!$E$7:$E$176,"*Board*",'Dept. Cost Actuals'!AI$703:AI$872))</f>
        <v>3600</v>
      </c>
      <c r="AF22" s="668">
        <f>IF(AF$4="forecast",AF$8*'Direct People Department Costs'!$H$8,SUMIF('Dept. Cost Actuals'!$E$7:$E$176,"*Board*",'Dept. Cost Actuals'!AJ$703:AJ$872))</f>
        <v>3600</v>
      </c>
      <c r="AG22" s="668">
        <f>IF(AG$4="forecast",AG$8*'Direct People Department Costs'!$H$8,SUMIF('Dept. Cost Actuals'!$E$7:$E$176,"*Board*",'Dept. Cost Actuals'!AK$703:AK$872))</f>
        <v>0</v>
      </c>
      <c r="AH22" s="668">
        <f>IF(AH$4="forecast",AH$8*'Direct People Department Costs'!$H$8,SUMIF('Dept. Cost Actuals'!$E$7:$E$176,"*Board*",'Dept. Cost Actuals'!AL$703:AL$872))</f>
        <v>0</v>
      </c>
      <c r="AI22" s="668">
        <f>IF(AI$4="forecast",AI$8*'Direct People Department Costs'!$H$8,SUMIF('Dept. Cost Actuals'!$E$7:$E$176,"*Board*",'Dept. Cost Actuals'!AM$703:AM$872))</f>
        <v>0</v>
      </c>
      <c r="AJ22" s="668">
        <f>IF(AJ$4="forecast",AJ$8*'Direct People Department Costs'!$H$8,SUMIF('Dept. Cost Actuals'!$E$7:$E$176,"*Board*",'Dept. Cost Actuals'!AN$703:AN$872))</f>
        <v>0</v>
      </c>
      <c r="AK22" s="668">
        <f>IF(AK$4="forecast",AK$8*'Direct People Department Costs'!$H$8,SUMIF('Dept. Cost Actuals'!$E$7:$E$176,"*Board*",'Dept. Cost Actuals'!AO$703:AO$872))</f>
        <v>0</v>
      </c>
      <c r="AL22" s="668">
        <f>IF(AL$4="forecast",AL$8*'Direct People Department Costs'!$H$8,SUMIF('Dept. Cost Actuals'!$E$7:$E$176,"*Board*",'Dept. Cost Actuals'!AP$703:AP$872))</f>
        <v>0</v>
      </c>
      <c r="AM22" s="668">
        <f>IF(AM$4="forecast",AM$8*'Direct People Department Costs'!$H$8,SUMIF('Dept. Cost Actuals'!$E$7:$E$176,"*Board*",'Dept. Cost Actuals'!AQ$703:AQ$872))</f>
        <v>0</v>
      </c>
      <c r="AN22" s="668">
        <f>IF(AN$4="forecast",AN$8*'Direct People Department Costs'!$H$8,SUMIF('Dept. Cost Actuals'!$E$7:$E$176,"*Board*",'Dept. Cost Actuals'!AR$703:AR$872))</f>
        <v>0</v>
      </c>
      <c r="AO22" s="668">
        <f>IF(AO$4="forecast",AO$8*'Direct People Department Costs'!$H$8,SUMIF('Dept. Cost Actuals'!$E$7:$E$176,"*Board*",'Dept. Cost Actuals'!AS$703:AS$872))</f>
        <v>0</v>
      </c>
      <c r="AP22" s="668">
        <f>IF(AP$4="forecast",AP$8*'Direct People Department Costs'!$H$8,SUMIF('Dept. Cost Actuals'!$E$7:$E$176,"*Board*",'Dept. Cost Actuals'!AT$703:AT$872))</f>
        <v>0</v>
      </c>
      <c r="AQ22" s="668">
        <f>IF(AQ$4="forecast",AQ$8*'Direct People Department Costs'!$H$8,SUMIF('Dept. Cost Actuals'!$E$7:$E$176,"*Board*",'Dept. Cost Actuals'!AU$703:AU$872))</f>
        <v>0</v>
      </c>
      <c r="AR22" s="668">
        <f>IF(AR$4="forecast",AR$8*'Direct People Department Costs'!$H$8,SUMIF('Dept. Cost Actuals'!$E$7:$E$176,"*Board*",'Dept. Cost Actuals'!AV$703:AV$872))</f>
        <v>0</v>
      </c>
      <c r="AS22" s="668">
        <f>IF(AS$4="forecast",AS$8*'Direct People Department Costs'!$H$8,SUMIF('Dept. Cost Actuals'!$E$7:$E$176,"*Board*",'Dept. Cost Actuals'!AW$703:AW$872))</f>
        <v>0</v>
      </c>
      <c r="AT22" s="668">
        <f>IF(AT$4="forecast",AT$8*'Direct People Department Costs'!$H$8,SUMIF('Dept. Cost Actuals'!$E$7:$E$176,"*Board*",'Dept. Cost Actuals'!AX$703:AX$872))</f>
        <v>0</v>
      </c>
      <c r="AU22" s="668">
        <f>IF(AU$4="forecast",AU$8*'Direct People Department Costs'!$H$8,SUMIF('Dept. Cost Actuals'!$E$7:$E$176,"*Board*",'Dept. Cost Actuals'!AY$703:AY$872))</f>
        <v>0</v>
      </c>
      <c r="AV22" s="668">
        <f>IF(AV$4="forecast",AV$8*'Direct People Department Costs'!$H$8,SUMIF('Dept. Cost Actuals'!$E$7:$E$176,"*Board*",'Dept. Cost Actuals'!AZ$703:AZ$872))</f>
        <v>0</v>
      </c>
      <c r="AW22" s="668">
        <f>IF(AW$4="forecast",AW$8*'Direct People Department Costs'!$H$8,SUMIF('Dept. Cost Actuals'!$E$7:$E$176,"*Board*",'Dept. Cost Actuals'!BA$703:BA$872))</f>
        <v>0</v>
      </c>
      <c r="AX22" s="668">
        <f>IF(AX$4="forecast",AX$8*'Direct People Department Costs'!$H$8,SUMIF('Dept. Cost Actuals'!$E$7:$E$176,"*Board*",'Dept. Cost Actuals'!BB$703:BB$872))</f>
        <v>0</v>
      </c>
      <c r="AY22" s="668">
        <f>IF(AY$4="forecast",AY$8*'Direct People Department Costs'!$H$8,SUMIF('Dept. Cost Actuals'!$E$7:$E$176,"*Board*",'Dept. Cost Actuals'!BC$703:BC$872))</f>
        <v>0</v>
      </c>
      <c r="AZ22" s="668">
        <f>IF(AZ$4="forecast",AZ$8*'Direct People Department Costs'!$H$8,SUMIF('Dept. Cost Actuals'!$E$7:$E$176,"*Board*",'Dept. Cost Actuals'!BD$703:BD$872))</f>
        <v>0</v>
      </c>
      <c r="BA22" s="668">
        <f>IF(BA$4="forecast",BA$8*'Direct People Department Costs'!$H$8,SUMIF('Dept. Cost Actuals'!$E$7:$E$176,"*Board*",'Dept. Cost Actuals'!BE$703:BE$872))</f>
        <v>0</v>
      </c>
      <c r="BB22" s="668">
        <f>IF(BB$4="forecast",BB$8*'Direct People Department Costs'!$H$8,SUMIF('Dept. Cost Actuals'!$E$7:$E$176,"*Board*",'Dept. Cost Actuals'!BF$703:BF$872))</f>
        <v>0</v>
      </c>
      <c r="BC22" s="668">
        <f>IF(BC$4="forecast",BC$8*'Direct People Department Costs'!$H$8,SUMIF('Dept. Cost Actuals'!$E$7:$E$176,"*Board*",'Dept. Cost Actuals'!BG$703:BG$872))</f>
        <v>0</v>
      </c>
      <c r="BD22" s="668">
        <f>IF(BD$4="forecast",BD$8*'Direct People Department Costs'!$H$8,SUMIF('Dept. Cost Actuals'!$E$7:$E$176,"*Board*",'Dept. Cost Actuals'!BH$703:BH$872))</f>
        <v>0</v>
      </c>
      <c r="BE22" s="668">
        <f>IF(BE$4="forecast",BE$8*'Direct People Department Costs'!$H$8,SUMIF('Dept. Cost Actuals'!$E$7:$E$176,"*Board*",'Dept. Cost Actuals'!BI$703:BI$872))</f>
        <v>0</v>
      </c>
      <c r="BF22" s="668">
        <f>IF(BF$4="forecast",BF$8*'Direct People Department Costs'!$H$8,SUMIF('Dept. Cost Actuals'!$E$7:$E$176,"*Board*",'Dept. Cost Actuals'!BJ$703:BJ$872))</f>
        <v>0</v>
      </c>
      <c r="BG22" s="668">
        <f>IF(BG$4="forecast",BG$8*'Direct People Department Costs'!$H$8,SUMIF('Dept. Cost Actuals'!$E$7:$E$176,"*Board*",'Dept. Cost Actuals'!BK$703:BK$872))</f>
        <v>0</v>
      </c>
      <c r="BH22" s="668">
        <f>IF(BH$4="forecast",BH$8*'Direct People Department Costs'!$H$8,SUMIF('Dept. Cost Actuals'!$E$7:$E$176,"*Board*",'Dept. Cost Actuals'!BL$703:BL$872))</f>
        <v>0</v>
      </c>
      <c r="BI22" s="668">
        <f>IF(BI$4="forecast",BI$8*'Direct People Department Costs'!$H$8,SUMIF('Dept. Cost Actuals'!$E$7:$E$176,"*Board*",'Dept. Cost Actuals'!BM$703:BM$872))</f>
        <v>0</v>
      </c>
      <c r="BJ22" s="668">
        <f>IF(BJ$4="forecast",BJ$8*'Direct People Department Costs'!$H$8,SUMIF('Dept. Cost Actuals'!$E$7:$E$176,"*Board*",'Dept. Cost Actuals'!BN$703:BN$872))</f>
        <v>0</v>
      </c>
      <c r="BK22" s="668">
        <f>IF(BK$4="forecast",BK$8*'Direct People Department Costs'!$H$8,SUMIF('Dept. Cost Actuals'!$E$7:$E$176,"*Board*",'Dept. Cost Actuals'!BO$703:BO$872))</f>
        <v>0</v>
      </c>
      <c r="BL22" s="668">
        <f>IF(BL$4="forecast",BL$8*'Direct People Department Costs'!$H$8,SUMIF('Dept. Cost Actuals'!$E$7:$E$176,"*Board*",'Dept. Cost Actuals'!BP$703:BP$872))</f>
        <v>0</v>
      </c>
      <c r="BM22" s="668">
        <f>IF(BM$4="forecast",BM$8*'Direct People Department Costs'!$H$8,SUMIF('Dept. Cost Actuals'!$E$7:$E$176,"*Board*",'Dept. Cost Actuals'!BQ$703:BQ$872))</f>
        <v>0</v>
      </c>
      <c r="BN22" s="668">
        <f>IF(BN$4="forecast",BN$8*'Direct People Department Costs'!$H$8,SUMIF('Dept. Cost Actuals'!$E$7:$E$176,"*Board*",'Dept. Cost Actuals'!BR$703:BR$872))</f>
        <v>0</v>
      </c>
      <c r="BO22" s="668">
        <f>IF(BO$4="forecast",BO$8*'Direct People Department Costs'!$H$8,SUMIF('Dept. Cost Actuals'!$E$7:$E$176,"*Board*",'Dept. Cost Actuals'!BS$703:BS$872))</f>
        <v>0</v>
      </c>
      <c r="BP22" s="668">
        <f>IF(BP$4="forecast",BP$8*'Direct People Department Costs'!$H$8,SUMIF('Dept. Cost Actuals'!$E$7:$E$176,"*Board*",'Dept. Cost Actuals'!BT$703:BT$872))</f>
        <v>0</v>
      </c>
      <c r="BQ22" s="668">
        <f>IF(BQ$4="forecast",BQ$8*'Direct People Department Costs'!$H$8,SUMIF('Dept. Cost Actuals'!$E$7:$E$176,"*Board*",'Dept. Cost Actuals'!BU$703:BU$872))</f>
        <v>0</v>
      </c>
      <c r="BR22" s="668">
        <f>IF(BR$4="forecast",BR$8*'Direct People Department Costs'!$H$8,SUMIF('Dept. Cost Actuals'!$E$7:$E$176,"*Board*",'Dept. Cost Actuals'!BV$703:BV$872))</f>
        <v>0</v>
      </c>
      <c r="BS22" s="668">
        <f>IF(BS$4="forecast",BS$8*'Direct People Department Costs'!$H$8,SUMIF('Dept. Cost Actuals'!$E$7:$E$176,"*Board*",'Dept. Cost Actuals'!BW$703:BW$872))</f>
        <v>0</v>
      </c>
      <c r="BT22" s="668">
        <f>IF(BT$4="forecast",BT$8*'Direct People Department Costs'!$H$8,SUMIF('Dept. Cost Actuals'!$E$7:$E$176,"*Board*",'Dept. Cost Actuals'!BX$703:BX$872))</f>
        <v>0</v>
      </c>
      <c r="BU22" s="668">
        <f>IF(BU$4="forecast",BU$8*'Direct People Department Costs'!$H$8,SUMIF('Dept. Cost Actuals'!$E$7:$E$176,"*Board*",'Dept. Cost Actuals'!BY$703:BY$872))</f>
        <v>0</v>
      </c>
      <c r="BV22" s="668">
        <f>IF(BV$4="forecast",BV$8*'Direct People Department Costs'!$H$8,SUMIF('Dept. Cost Actuals'!$E$7:$E$176,"*Board*",'Dept. Cost Actuals'!BZ$703:BZ$872))</f>
        <v>0</v>
      </c>
    </row>
    <row r="23" spans="2:74" x14ac:dyDescent="0.25">
      <c r="B23" s="794" t="s">
        <v>918</v>
      </c>
      <c r="C23" s="668">
        <f>IF(C$4="forecast",C$8*'Direct People Department Costs'!$H$9,SUMIF('Dept. Cost Actuals'!$E$7:$E$176,"*Recruiting*",'Dept. Cost Actuals'!G$703:G$872))</f>
        <v>189.68136626787017</v>
      </c>
      <c r="D23" s="668">
        <f>IF(D$4="forecast",D$8*'Direct People Department Costs'!$H$9,SUMIF('Dept. Cost Actuals'!$E$7:$E$176,"*Recruiting*",'Dept. Cost Actuals'!H$703:H$872))</f>
        <v>30.40736543394544</v>
      </c>
      <c r="E23" s="668">
        <f>IF(E$4="forecast",E$8*'Direct People Department Costs'!$H$9,SUMIF('Dept. Cost Actuals'!$E$7:$E$176,"*Recruiting*",'Dept. Cost Actuals'!I$703:I$872))</f>
        <v>18.87418962663353</v>
      </c>
      <c r="F23" s="668">
        <f>IF(F$4="forecast",F$8*'Direct People Department Costs'!$H$9,SUMIF('Dept. Cost Actuals'!$E$7:$E$176,"*Recruiting*",'Dept. Cost Actuals'!J$703:J$872))</f>
        <v>2114.6729850632873</v>
      </c>
      <c r="G23" s="668">
        <f>IF(G$4="forecast",G$8*'Direct People Department Costs'!$H$9,SUMIF('Dept. Cost Actuals'!$E$7:$E$176,"*Recruiting*",'Dept. Cost Actuals'!K$703:K$872))</f>
        <v>98.806770246524138</v>
      </c>
      <c r="H23" s="668">
        <f>IF(H$4="forecast",H$8*'Direct People Department Costs'!$H$9,SUMIF('Dept. Cost Actuals'!$E$7:$E$176,"*Recruiting*",'Dept. Cost Actuals'!L$703:L$872))</f>
        <v>1475.4342405611192</v>
      </c>
      <c r="I23" s="668">
        <f>IF(I$4="forecast",I$8*'Direct People Department Costs'!$H$9,SUMIF('Dept. Cost Actuals'!$E$7:$E$176,"*Recruiting*",'Dept. Cost Actuals'!M$703:M$872))</f>
        <v>1249.383214302035</v>
      </c>
      <c r="J23" s="668">
        <f>IF(J$4="forecast",J$8*'Direct People Department Costs'!$H$9,SUMIF('Dept. Cost Actuals'!$E$7:$E$176,"*Recruiting*",'Dept. Cost Actuals'!N$703:N$872))</f>
        <v>1569.7922023306055</v>
      </c>
      <c r="K23" s="668">
        <f>IF(K$4="forecast",K$8*'Direct People Department Costs'!$H$9,SUMIF('Dept. Cost Actuals'!$E$7:$E$176,"*Recruiting*",'Dept. Cost Actuals'!O$703:O$872))</f>
        <v>9.5096398287221486</v>
      </c>
      <c r="L23" s="668">
        <f>IF(L$4="forecast",L$8*'Direct People Department Costs'!$H$9,SUMIF('Dept. Cost Actuals'!$E$7:$E$176,"*Recruiting*",'Dept. Cost Actuals'!P$703:P$872))</f>
        <v>1004.538503482869</v>
      </c>
      <c r="M23" s="668">
        <f>IF(M$4="forecast",M$8*'Direct People Department Costs'!$H$9,SUMIF('Dept. Cost Actuals'!$E$7:$E$176,"*Recruiting*",'Dept. Cost Actuals'!Q$703:Q$872))</f>
        <v>0</v>
      </c>
      <c r="N23" s="668">
        <f>IF(N$4="forecast",N$8*'Direct People Department Costs'!$H$9,SUMIF('Dept. Cost Actuals'!$E$7:$E$176,"*Recruiting*",'Dept. Cost Actuals'!R$703:R$872))</f>
        <v>0</v>
      </c>
      <c r="O23" s="668">
        <f>IF(O$4="forecast",O$8*'Direct People Department Costs'!$H$9,SUMIF('Dept. Cost Actuals'!$E$7:$E$176,"*Recruiting*",'Dept. Cost Actuals'!S$703:S$872))</f>
        <v>0</v>
      </c>
      <c r="P23" s="668">
        <f>IF(P$4="forecast",P$8*'Direct People Department Costs'!$H$9,SUMIF('Dept. Cost Actuals'!$E$7:$E$176,"*Recruiting*",'Dept. Cost Actuals'!T$703:T$872))</f>
        <v>0</v>
      </c>
      <c r="Q23" s="668">
        <f>IF(Q$4="forecast",Q$8*'Direct People Department Costs'!$H$9,SUMIF('Dept. Cost Actuals'!$E$7:$E$176,"*Recruiting*",'Dept. Cost Actuals'!U$703:U$872))</f>
        <v>0</v>
      </c>
      <c r="R23" s="668">
        <f>IF(R$4="forecast",R$8*'Direct People Department Costs'!$H$9,SUMIF('Dept. Cost Actuals'!$E$7:$E$176,"*Recruiting*",'Dept. Cost Actuals'!V$703:V$872))</f>
        <v>0</v>
      </c>
      <c r="S23" s="668">
        <f>IF(S$4="forecast",S$8*'Direct People Department Costs'!$H$9,SUMIF('Dept. Cost Actuals'!$E$7:$E$176,"*Recruiting*",'Dept. Cost Actuals'!W$703:W$872))</f>
        <v>0</v>
      </c>
      <c r="T23" s="668">
        <f>IF(T$4="forecast",T$8*'Direct People Department Costs'!$H$9,SUMIF('Dept. Cost Actuals'!$E$7:$E$176,"*Recruiting*",'Dept. Cost Actuals'!X$703:X$872))</f>
        <v>0</v>
      </c>
      <c r="U23" s="668">
        <f>IF(U$4="forecast",U$8*'Direct People Department Costs'!$H$9,SUMIF('Dept. Cost Actuals'!$E$7:$E$176,"*Recruiting*",'Dept. Cost Actuals'!Y$703:Y$872))</f>
        <v>0</v>
      </c>
      <c r="V23" s="668">
        <f>IF(V$4="forecast",V$8*'Direct People Department Costs'!$H$9,SUMIF('Dept. Cost Actuals'!$E$7:$E$176,"*Recruiting*",'Dept. Cost Actuals'!Z$703:Z$872))</f>
        <v>0</v>
      </c>
      <c r="W23" s="668">
        <f>IF(W$4="forecast",W$8*'Direct People Department Costs'!$H$9,SUMIF('Dept. Cost Actuals'!$E$7:$E$176,"*Recruiting*",'Dept. Cost Actuals'!AA$703:AA$872))</f>
        <v>0</v>
      </c>
      <c r="X23" s="668">
        <f>IF(X$4="forecast",X$8*'Direct People Department Costs'!$H$9,SUMIF('Dept. Cost Actuals'!$E$7:$E$176,"*Recruiting*",'Dept. Cost Actuals'!AB$703:AB$872))</f>
        <v>0</v>
      </c>
      <c r="Y23" s="668">
        <f>IF(Y$4="forecast",Y$8*'Direct People Department Costs'!$H$9,SUMIF('Dept. Cost Actuals'!$E$7:$E$176,"*Recruiting*",'Dept. Cost Actuals'!AC$703:AC$872))</f>
        <v>0</v>
      </c>
      <c r="Z23" s="668">
        <f>IF(Z$4="forecast",Z$8*'Direct People Department Costs'!$H$9,SUMIF('Dept. Cost Actuals'!$E$7:$E$176,"*Recruiting*",'Dept. Cost Actuals'!AD$703:AD$872))</f>
        <v>0</v>
      </c>
      <c r="AA23" s="668">
        <f>IF(AA$4="forecast",AA$8*'Direct People Department Costs'!$H$9,SUMIF('Dept. Cost Actuals'!$E$7:$E$176,"*Recruiting*",'Dept. Cost Actuals'!AE$703:AE$872))</f>
        <v>0</v>
      </c>
      <c r="AB23" s="668">
        <f>IF(AB$4="forecast",AB$8*'Direct People Department Costs'!$H$9,SUMIF('Dept. Cost Actuals'!$E$7:$E$176,"*Recruiting*",'Dept. Cost Actuals'!AF$703:AF$872))</f>
        <v>0</v>
      </c>
      <c r="AC23" s="668">
        <f>IF(AC$4="forecast",AC$8*'Direct People Department Costs'!$H$9,SUMIF('Dept. Cost Actuals'!$E$7:$E$176,"*Recruiting*",'Dept. Cost Actuals'!AG$703:AG$872))</f>
        <v>0</v>
      </c>
      <c r="AD23" s="668">
        <f>IF(AD$4="forecast",AD$8*'Direct People Department Costs'!$H$9,SUMIF('Dept. Cost Actuals'!$E$7:$E$176,"*Recruiting*",'Dept. Cost Actuals'!AH$703:AH$872))</f>
        <v>1000</v>
      </c>
      <c r="AE23" s="668">
        <f>IF(AE$4="forecast",AE$8*'Direct People Department Costs'!$H$9,SUMIF('Dept. Cost Actuals'!$E$7:$E$176,"*Recruiting*",'Dept. Cost Actuals'!AI$703:AI$872))</f>
        <v>1000</v>
      </c>
      <c r="AF23" s="668">
        <f>IF(AF$4="forecast",AF$8*'Direct People Department Costs'!$H$9,SUMIF('Dept. Cost Actuals'!$E$7:$E$176,"*Recruiting*",'Dept. Cost Actuals'!AJ$703:AJ$872))</f>
        <v>1000</v>
      </c>
      <c r="AG23" s="668">
        <f>IF(AG$4="forecast",AG$8*'Direct People Department Costs'!$H$9,SUMIF('Dept. Cost Actuals'!$E$7:$E$176,"*Recruiting*",'Dept. Cost Actuals'!AK$703:AK$872))</f>
        <v>0</v>
      </c>
      <c r="AH23" s="668">
        <f>IF(AH$4="forecast",AH$8*'Direct People Department Costs'!$H$9,SUMIF('Dept. Cost Actuals'!$E$7:$E$176,"*Recruiting*",'Dept. Cost Actuals'!AL$703:AL$872))</f>
        <v>0</v>
      </c>
      <c r="AI23" s="668">
        <f>IF(AI$4="forecast",AI$8*'Direct People Department Costs'!$H$9,SUMIF('Dept. Cost Actuals'!$E$7:$E$176,"*Recruiting*",'Dept. Cost Actuals'!AM$703:AM$872))</f>
        <v>0</v>
      </c>
      <c r="AJ23" s="668">
        <f>IF(AJ$4="forecast",AJ$8*'Direct People Department Costs'!$H$9,SUMIF('Dept. Cost Actuals'!$E$7:$E$176,"*Recruiting*",'Dept. Cost Actuals'!AN$703:AN$872))</f>
        <v>0</v>
      </c>
      <c r="AK23" s="668">
        <f>IF(AK$4="forecast",AK$8*'Direct People Department Costs'!$H$9,SUMIF('Dept. Cost Actuals'!$E$7:$E$176,"*Recruiting*",'Dept. Cost Actuals'!AO$703:AO$872))</f>
        <v>0</v>
      </c>
      <c r="AL23" s="668">
        <f>IF(AL$4="forecast",AL$8*'Direct People Department Costs'!$H$9,SUMIF('Dept. Cost Actuals'!$E$7:$E$176,"*Recruiting*",'Dept. Cost Actuals'!AP$703:AP$872))</f>
        <v>0</v>
      </c>
      <c r="AM23" s="668">
        <f>IF(AM$4="forecast",AM$8*'Direct People Department Costs'!$H$9,SUMIF('Dept. Cost Actuals'!$E$7:$E$176,"*Recruiting*",'Dept. Cost Actuals'!AQ$703:AQ$872))</f>
        <v>0</v>
      </c>
      <c r="AN23" s="668">
        <f>IF(AN$4="forecast",AN$8*'Direct People Department Costs'!$H$9,SUMIF('Dept. Cost Actuals'!$E$7:$E$176,"*Recruiting*",'Dept. Cost Actuals'!AR$703:AR$872))</f>
        <v>0</v>
      </c>
      <c r="AO23" s="668">
        <f>IF(AO$4="forecast",AO$8*'Direct People Department Costs'!$H$9,SUMIF('Dept. Cost Actuals'!$E$7:$E$176,"*Recruiting*",'Dept. Cost Actuals'!AS$703:AS$872))</f>
        <v>0</v>
      </c>
      <c r="AP23" s="668">
        <f>IF(AP$4="forecast",AP$8*'Direct People Department Costs'!$H$9,SUMIF('Dept. Cost Actuals'!$E$7:$E$176,"*Recruiting*",'Dept. Cost Actuals'!AT$703:AT$872))</f>
        <v>0</v>
      </c>
      <c r="AQ23" s="668">
        <f>IF(AQ$4="forecast",AQ$8*'Direct People Department Costs'!$H$9,SUMIF('Dept. Cost Actuals'!$E$7:$E$176,"*Recruiting*",'Dept. Cost Actuals'!AU$703:AU$872))</f>
        <v>0</v>
      </c>
      <c r="AR23" s="668">
        <f>IF(AR$4="forecast",AR$8*'Direct People Department Costs'!$H$9,SUMIF('Dept. Cost Actuals'!$E$7:$E$176,"*Recruiting*",'Dept. Cost Actuals'!AV$703:AV$872))</f>
        <v>0</v>
      </c>
      <c r="AS23" s="668">
        <f>IF(AS$4="forecast",AS$8*'Direct People Department Costs'!$H$9,SUMIF('Dept. Cost Actuals'!$E$7:$E$176,"*Recruiting*",'Dept. Cost Actuals'!AW$703:AW$872))</f>
        <v>0</v>
      </c>
      <c r="AT23" s="668">
        <f>IF(AT$4="forecast",AT$8*'Direct People Department Costs'!$H$9,SUMIF('Dept. Cost Actuals'!$E$7:$E$176,"*Recruiting*",'Dept. Cost Actuals'!AX$703:AX$872))</f>
        <v>0</v>
      </c>
      <c r="AU23" s="668">
        <f>IF(AU$4="forecast",AU$8*'Direct People Department Costs'!$H$9,SUMIF('Dept. Cost Actuals'!$E$7:$E$176,"*Recruiting*",'Dept. Cost Actuals'!AY$703:AY$872))</f>
        <v>0</v>
      </c>
      <c r="AV23" s="668">
        <f>IF(AV$4="forecast",AV$8*'Direct People Department Costs'!$H$9,SUMIF('Dept. Cost Actuals'!$E$7:$E$176,"*Recruiting*",'Dept. Cost Actuals'!AZ$703:AZ$872))</f>
        <v>0</v>
      </c>
      <c r="AW23" s="668">
        <f>IF(AW$4="forecast",AW$8*'Direct People Department Costs'!$H$9,SUMIF('Dept. Cost Actuals'!$E$7:$E$176,"*Recruiting*",'Dept. Cost Actuals'!BA$703:BA$872))</f>
        <v>0</v>
      </c>
      <c r="AX23" s="668">
        <f>IF(AX$4="forecast",AX$8*'Direct People Department Costs'!$H$9,SUMIF('Dept. Cost Actuals'!$E$7:$E$176,"*Recruiting*",'Dept. Cost Actuals'!BB$703:BB$872))</f>
        <v>0</v>
      </c>
      <c r="AY23" s="668">
        <f>IF(AY$4="forecast",AY$8*'Direct People Department Costs'!$H$9,SUMIF('Dept. Cost Actuals'!$E$7:$E$176,"*Recruiting*",'Dept. Cost Actuals'!BC$703:BC$872))</f>
        <v>0</v>
      </c>
      <c r="AZ23" s="668">
        <f>IF(AZ$4="forecast",AZ$8*'Direct People Department Costs'!$H$9,SUMIF('Dept. Cost Actuals'!$E$7:$E$176,"*Recruiting*",'Dept. Cost Actuals'!BD$703:BD$872))</f>
        <v>0</v>
      </c>
      <c r="BA23" s="668">
        <f>IF(BA$4="forecast",BA$8*'Direct People Department Costs'!$H$9,SUMIF('Dept. Cost Actuals'!$E$7:$E$176,"*Recruiting*",'Dept. Cost Actuals'!BE$703:BE$872))</f>
        <v>0</v>
      </c>
      <c r="BB23" s="668">
        <f>IF(BB$4="forecast",BB$8*'Direct People Department Costs'!$H$9,SUMIF('Dept. Cost Actuals'!$E$7:$E$176,"*Recruiting*",'Dept. Cost Actuals'!BF$703:BF$872))</f>
        <v>0</v>
      </c>
      <c r="BC23" s="668">
        <f>IF(BC$4="forecast",BC$8*'Direct People Department Costs'!$H$9,SUMIF('Dept. Cost Actuals'!$E$7:$E$176,"*Recruiting*",'Dept. Cost Actuals'!BG$703:BG$872))</f>
        <v>0</v>
      </c>
      <c r="BD23" s="668">
        <f>IF(BD$4="forecast",BD$8*'Direct People Department Costs'!$H$9,SUMIF('Dept. Cost Actuals'!$E$7:$E$176,"*Recruiting*",'Dept. Cost Actuals'!BH$703:BH$872))</f>
        <v>0</v>
      </c>
      <c r="BE23" s="668">
        <f>IF(BE$4="forecast",BE$8*'Direct People Department Costs'!$H$9,SUMIF('Dept. Cost Actuals'!$E$7:$E$176,"*Recruiting*",'Dept. Cost Actuals'!BI$703:BI$872))</f>
        <v>0</v>
      </c>
      <c r="BF23" s="668">
        <f>IF(BF$4="forecast",BF$8*'Direct People Department Costs'!$H$9,SUMIF('Dept. Cost Actuals'!$E$7:$E$176,"*Recruiting*",'Dept. Cost Actuals'!BJ$703:BJ$872))</f>
        <v>0</v>
      </c>
      <c r="BG23" s="668">
        <f>IF(BG$4="forecast",BG$8*'Direct People Department Costs'!$H$9,SUMIF('Dept. Cost Actuals'!$E$7:$E$176,"*Recruiting*",'Dept. Cost Actuals'!BK$703:BK$872))</f>
        <v>0</v>
      </c>
      <c r="BH23" s="668">
        <f>IF(BH$4="forecast",BH$8*'Direct People Department Costs'!$H$9,SUMIF('Dept. Cost Actuals'!$E$7:$E$176,"*Recruiting*",'Dept. Cost Actuals'!BL$703:BL$872))</f>
        <v>0</v>
      </c>
      <c r="BI23" s="668">
        <f>IF(BI$4="forecast",BI$8*'Direct People Department Costs'!$H$9,SUMIF('Dept. Cost Actuals'!$E$7:$E$176,"*Recruiting*",'Dept. Cost Actuals'!BM$703:BM$872))</f>
        <v>0</v>
      </c>
      <c r="BJ23" s="668">
        <f>IF(BJ$4="forecast",BJ$8*'Direct People Department Costs'!$H$9,SUMIF('Dept. Cost Actuals'!$E$7:$E$176,"*Recruiting*",'Dept. Cost Actuals'!BN$703:BN$872))</f>
        <v>0</v>
      </c>
      <c r="BK23" s="668">
        <f>IF(BK$4="forecast",BK$8*'Direct People Department Costs'!$H$9,SUMIF('Dept. Cost Actuals'!$E$7:$E$176,"*Recruiting*",'Dept. Cost Actuals'!BO$703:BO$872))</f>
        <v>0</v>
      </c>
      <c r="BL23" s="668">
        <f>IF(BL$4="forecast",BL$8*'Direct People Department Costs'!$H$9,SUMIF('Dept. Cost Actuals'!$E$7:$E$176,"*Recruiting*",'Dept. Cost Actuals'!BP$703:BP$872))</f>
        <v>0</v>
      </c>
      <c r="BM23" s="668">
        <f>IF(BM$4="forecast",BM$8*'Direct People Department Costs'!$H$9,SUMIF('Dept. Cost Actuals'!$E$7:$E$176,"*Recruiting*",'Dept. Cost Actuals'!BQ$703:BQ$872))</f>
        <v>0</v>
      </c>
      <c r="BN23" s="668">
        <f>IF(BN$4="forecast",BN$8*'Direct People Department Costs'!$H$9,SUMIF('Dept. Cost Actuals'!$E$7:$E$176,"*Recruiting*",'Dept. Cost Actuals'!BR$703:BR$872))</f>
        <v>0</v>
      </c>
      <c r="BO23" s="668">
        <f>IF(BO$4="forecast",BO$8*'Direct People Department Costs'!$H$9,SUMIF('Dept. Cost Actuals'!$E$7:$E$176,"*Recruiting*",'Dept. Cost Actuals'!BS$703:BS$872))</f>
        <v>0</v>
      </c>
      <c r="BP23" s="668">
        <f>IF(BP$4="forecast",BP$8*'Direct People Department Costs'!$H$9,SUMIF('Dept. Cost Actuals'!$E$7:$E$176,"*Recruiting*",'Dept. Cost Actuals'!BT$703:BT$872))</f>
        <v>0</v>
      </c>
      <c r="BQ23" s="668">
        <f>IF(BQ$4="forecast",BQ$8*'Direct People Department Costs'!$H$9,SUMIF('Dept. Cost Actuals'!$E$7:$E$176,"*Recruiting*",'Dept. Cost Actuals'!BU$703:BU$872))</f>
        <v>0</v>
      </c>
      <c r="BR23" s="668">
        <f>IF(BR$4="forecast",BR$8*'Direct People Department Costs'!$H$9,SUMIF('Dept. Cost Actuals'!$E$7:$E$176,"*Recruiting*",'Dept. Cost Actuals'!BV$703:BV$872))</f>
        <v>0</v>
      </c>
      <c r="BS23" s="668">
        <f>IF(BS$4="forecast",BS$8*'Direct People Department Costs'!$H$9,SUMIF('Dept. Cost Actuals'!$E$7:$E$176,"*Recruiting*",'Dept. Cost Actuals'!BW$703:BW$872))</f>
        <v>0</v>
      </c>
      <c r="BT23" s="668">
        <f>IF(BT$4="forecast",BT$8*'Direct People Department Costs'!$H$9,SUMIF('Dept. Cost Actuals'!$E$7:$E$176,"*Recruiting*",'Dept. Cost Actuals'!BX$703:BX$872))</f>
        <v>0</v>
      </c>
      <c r="BU23" s="668">
        <f>IF(BU$4="forecast",BU$8*'Direct People Department Costs'!$H$9,SUMIF('Dept. Cost Actuals'!$E$7:$E$176,"*Recruiting*",'Dept. Cost Actuals'!BY$703:BY$872))</f>
        <v>0</v>
      </c>
      <c r="BV23" s="668">
        <f>IF(BV$4="forecast",BV$8*'Direct People Department Costs'!$H$9,SUMIF('Dept. Cost Actuals'!$E$7:$E$176,"*Recruiting*",'Dept. Cost Actuals'!BZ$703:BZ$872))</f>
        <v>0</v>
      </c>
    </row>
    <row r="24" spans="2:74" x14ac:dyDescent="0.25">
      <c r="B24" s="794" t="s">
        <v>431</v>
      </c>
      <c r="C24" s="668">
        <f>IF(C$4="forecast",(AVERAGE(#REF!)+15000/12),SUMIF('Dept. Cost Actuals'!$E$7:$E$176,"*Travel*",'Dept. Cost Actuals'!G$703:G$872))</f>
        <v>74.097352073429349</v>
      </c>
      <c r="D24" s="668">
        <f>IF(D$4="forecast",(AVERAGE(#REF!)+15000/12),SUMIF('Dept. Cost Actuals'!$E$7:$E$176,"*Travel*",'Dept. Cost Actuals'!H$703:H$872))</f>
        <v>206.9710936402239</v>
      </c>
      <c r="E24" s="668">
        <f>IF(E$4="forecast",(AVERAGE(#REF!)+15000/12),SUMIF('Dept. Cost Actuals'!$E$7:$E$176,"*Travel*",'Dept. Cost Actuals'!I$703:I$872))</f>
        <v>144.46430568156146</v>
      </c>
      <c r="F24" s="668">
        <f>IF(F$4="forecast",(AVERAGE(#REF!)+15000/12),SUMIF('Dept. Cost Actuals'!$E$7:$E$176,"*Travel*",'Dept. Cost Actuals'!J$703:J$872))</f>
        <v>320.33566479774646</v>
      </c>
      <c r="G24" s="668">
        <f>IF(G$4="forecast",(AVERAGE(#REF!)+15000/12),SUMIF('Dept. Cost Actuals'!$E$7:$E$176,"*Travel*",'Dept. Cost Actuals'!K$703:K$872))</f>
        <v>292.25774929416787</v>
      </c>
      <c r="H24" s="668">
        <f>IF(H$4="forecast",(AVERAGE(#REF!)+15000/12),SUMIF('Dept. Cost Actuals'!$E$7:$E$176,"*Travel*",'Dept. Cost Actuals'!L$703:L$872))</f>
        <v>285.00626242712076</v>
      </c>
      <c r="I24" s="668">
        <f>IF(I$4="forecast",(AVERAGE(#REF!)+15000/12),SUMIF('Dept. Cost Actuals'!$E$7:$E$176,"*Travel*",'Dept. Cost Actuals'!M$703:M$872))</f>
        <v>93.015406139960859</v>
      </c>
      <c r="J24" s="668">
        <f>IF(J$4="forecast",(AVERAGE(#REF!)+15000/12),SUMIF('Dept. Cost Actuals'!$E$7:$E$176,"*Travel*",'Dept. Cost Actuals'!N$703:N$872))</f>
        <v>328.30584745874495</v>
      </c>
      <c r="K24" s="668">
        <f>IF(K$4="forecast",(AVERAGE(#REF!)+15000/12),SUMIF('Dept. Cost Actuals'!$E$7:$E$176,"*Travel*",'Dept. Cost Actuals'!O$703:O$872))</f>
        <v>582.30397606951681</v>
      </c>
      <c r="L24" s="668">
        <f>IF(L$4="forecast",(AVERAGE(#REF!)+15000/12),SUMIF('Dept. Cost Actuals'!$E$7:$E$176,"*Travel*",'Dept. Cost Actuals'!P$703:P$872))</f>
        <v>514.16438756924765</v>
      </c>
      <c r="M24" s="668">
        <f>IF(M$4="forecast",(AVERAGE(A24:L24)+15000/12),SUMIF('Dept. Cost Actuals'!$E$7:$E$176,"*Travel*",'Dept. Cost Actuals'!Q$703:Q$872))</f>
        <v>150.8512055419566</v>
      </c>
      <c r="N24" s="668">
        <f>IF(N$4="forecast",(AVERAGE(B24:M24)+15000/12),SUMIF('Dept. Cost Actuals'!$E$7:$E$176,"*Travel*",'Dept. Cost Actuals'!R$703:R$872))</f>
        <v>79.734106467475044</v>
      </c>
      <c r="O24" s="668">
        <f>IF(O$4="forecast",(AVERAGE(C24:N24)+15000/12),SUMIF('Dept. Cost Actuals'!$E$7:$E$176,"*Travel*",'Dept. Cost Actuals'!S$703:S$872))</f>
        <v>864.12</v>
      </c>
      <c r="P24" s="668">
        <f>IF(P$4="forecast",(AVERAGE(D24:O24)+15000/12),SUMIF('Dept. Cost Actuals'!$E$7:$E$176,"*Travel*",'Dept. Cost Actuals'!T$703:T$872))</f>
        <v>0</v>
      </c>
      <c r="Q24" s="668">
        <f>IF(Q$4="forecast",(AVERAGE(E24:P24)+15000/12),SUMIF('Dept. Cost Actuals'!$E$7:$E$176,"*Travel*",'Dept. Cost Actuals'!U$703:U$872))</f>
        <v>1785.46</v>
      </c>
      <c r="R24" s="668">
        <f>IF(R$4="forecast",(AVERAGE(F24:Q24)+15000/12),SUMIF('Dept. Cost Actuals'!$E$7:$E$176,"*Travel*",'Dept. Cost Actuals'!V$703:V$872))</f>
        <v>183.88</v>
      </c>
      <c r="S24" s="668">
        <f>IF(S$4="forecast",(AVERAGE(G24:R24)+15000/12),SUMIF('Dept. Cost Actuals'!$E$7:$E$176,"*Travel*",'Dept. Cost Actuals'!W$703:W$872))</f>
        <v>1777.08</v>
      </c>
      <c r="T24" s="668">
        <f>IF(T$4="forecast",(AVERAGE(H24:S24)+15000/12),SUMIF('Dept. Cost Actuals'!$E$7:$E$176,"*Travel*",'Dept. Cost Actuals'!X$703:X$872))</f>
        <v>-889.72</v>
      </c>
      <c r="U24" s="668">
        <f>IF(U$4="forecast",(AVERAGE(I24:T24)+15000/12),SUMIF('Dept. Cost Actuals'!$E$7:$E$176,"*Travel*",'Dept. Cost Actuals'!Y$703:Y$872))</f>
        <v>13</v>
      </c>
      <c r="V24" s="668">
        <f>IF(V$4="forecast",(AVERAGE(J24:U24)+15000/12),SUMIF('Dept. Cost Actuals'!$E$7:$E$176,"*Travel*",'Dept. Cost Actuals'!Z$703:Z$872))</f>
        <v>1819.42</v>
      </c>
      <c r="W24" s="668">
        <f>IF(W$4="forecast",(AVERAGE(K24:V24)+15000/12),SUMIF('Dept. Cost Actuals'!$E$7:$E$176,"*Travel*",'Dept. Cost Actuals'!AA$703:AA$872))</f>
        <v>255.3</v>
      </c>
      <c r="X24" s="668">
        <f>IF(X$4="forecast",(AVERAGE(L24:W24)+15000/12),SUMIF('Dept. Cost Actuals'!$E$7:$E$176,"*Travel*",'Dept. Cost Actuals'!AB$703:AB$872))</f>
        <v>6401.27</v>
      </c>
      <c r="Y24" s="668">
        <f>IF(Y$4="forecast",(AVERAGE(M24:X24)+15000/12),SUMIF('Dept. Cost Actuals'!$E$7:$E$176,"*Travel*",'Dept. Cost Actuals'!AC$703:AC$872))</f>
        <v>4130.91</v>
      </c>
      <c r="Z24" s="668">
        <f>IF(Z$4="forecast",(AVERAGE(N24:Y24)+15000/12),SUMIF('Dept. Cost Actuals'!$E$7:$E$176,"*Travel*",'Dept. Cost Actuals'!AD$703:AD$872))</f>
        <v>1102.92</v>
      </c>
      <c r="AA24" s="668">
        <f>IF(AA$4="forecast",(AVERAGE(O24:Z24)+15000/12),SUMIF('Dept. Cost Actuals'!$E$7:$E$176,"*Travel*",'Dept. Cost Actuals'!AE$703:AE$872))</f>
        <v>2540.31</v>
      </c>
      <c r="AB24" s="668">
        <f>IF(AB$4="forecast",(AVERAGE(P24:AA24)+15000/12),SUMIF('Dept. Cost Actuals'!$E$7:$E$176,"*Travel*",'Dept. Cost Actuals'!AF$703:AF$872))</f>
        <v>2290.86</v>
      </c>
      <c r="AC24" s="668">
        <f>IF(AC$4="forecast",(AVERAGE(Q24:AB24)+15000/12),SUMIF('Dept. Cost Actuals'!$E$7:$E$176,"*Travel*",'Dept. Cost Actuals'!AG$703:AG$872))</f>
        <v>1061.73</v>
      </c>
      <c r="AD24" s="668">
        <f>IF(AD$4="forecast",(AVERAGE(R24:AC24)+15000/12),SUMIF('Dept. Cost Actuals'!$E$7:$E$176,"*Travel*",'Dept. Cost Actuals'!AH$703:AH$872))</f>
        <v>2973.913333333333</v>
      </c>
      <c r="AE24" s="668">
        <f>IF(AE$4="forecast",(AVERAGE(S24:AD24)+15000/12),SUMIF('Dept. Cost Actuals'!$E$7:$E$176,"*Travel*",'Dept. Cost Actuals'!AI$703:AI$872))</f>
        <v>3206.4161111111116</v>
      </c>
      <c r="AF24" s="668">
        <f>IF(AF$4="forecast",(AVERAGE(T24:AE24)+15000/12),SUMIF('Dept. Cost Actuals'!$E$7:$E$176,"*Travel*",'Dept. Cost Actuals'!AJ$703:AJ$872))</f>
        <v>3325.5274537037039</v>
      </c>
      <c r="AG24" s="668">
        <f>IF(AG$4="forecast",(AVERAGE(U24:AF24)+15000/12),SUMIF('Dept. Cost Actuals'!$E$7:$E$176,"*Travel*",'Dept. Cost Actuals'!AK$703:AK$872))</f>
        <v>3676.7980748456794</v>
      </c>
      <c r="AH24" s="668">
        <f>IF(AH$4="forecast",(AVERAGE(V24:AG24)+15000/12),SUMIF('Dept. Cost Actuals'!$E$7:$E$176,"*Travel*",'Dept. Cost Actuals'!AL$703:AL$872))</f>
        <v>3982.1145810828189</v>
      </c>
      <c r="AI24" s="668">
        <f>IF(AI$4="forecast",(AVERAGE(W24:AH24)+15000/12),SUMIF('Dept. Cost Actuals'!$E$7:$E$176,"*Travel*",'Dept. Cost Actuals'!AM$703:AM$872))</f>
        <v>4162.3391295063866</v>
      </c>
      <c r="AJ24" s="668">
        <f>IF(AJ$4="forecast",(AVERAGE(X24:AI24)+15000/12),SUMIF('Dept. Cost Actuals'!$E$7:$E$176,"*Travel*",'Dept. Cost Actuals'!AN$703:AN$872))</f>
        <v>4487.925723631919</v>
      </c>
      <c r="AK24" s="668">
        <f>IF(AK$4="forecast",(AVERAGE(Y24:AJ24)+15000/12),SUMIF('Dept. Cost Actuals'!$E$7:$E$176,"*Travel*",'Dept. Cost Actuals'!AO$703:AO$872))</f>
        <v>4328.4803672679118</v>
      </c>
      <c r="AL24" s="668">
        <f>IF(AL$4="forecast",(AVERAGE(Z24:AK24)+15000/12),SUMIF('Dept. Cost Actuals'!$E$7:$E$176,"*Travel*",'Dept. Cost Actuals'!AP$703:AP$872))</f>
        <v>4344.9445645402393</v>
      </c>
      <c r="AM24" s="668">
        <f>IF(AM$4="forecast",(AVERAGE(AA24:AL24)+15000/12),SUMIF('Dept. Cost Actuals'!$E$7:$E$176,"*Travel*",'Dept. Cost Actuals'!AQ$703:AQ$872))</f>
        <v>4615.1132782519253</v>
      </c>
      <c r="AN24" s="668">
        <f>IF(AN$4="forecast",(AVERAGE(AB24:AM24)+15000/12),SUMIF('Dept. Cost Actuals'!$E$7:$E$176,"*Travel*",'Dept. Cost Actuals'!AR$703:AR$872))</f>
        <v>4788.0135514395861</v>
      </c>
      <c r="AO24" s="668">
        <f>IF(AO$4="forecast",(AVERAGE(AC24:AN24)+15000/12),SUMIF('Dept. Cost Actuals'!$E$7:$E$176,"*Travel*",'Dept. Cost Actuals'!AS$703:AS$872))</f>
        <v>4996.1096807262184</v>
      </c>
      <c r="AP24" s="668">
        <f>IF(AP$4="forecast",(AVERAGE(AD24:AO24)+15000/12),SUMIF('Dept. Cost Actuals'!$E$7:$E$176,"*Travel*",'Dept. Cost Actuals'!AT$703:AT$872))</f>
        <v>5323.9746541200693</v>
      </c>
      <c r="AQ24" s="668">
        <f>IF(AQ$4="forecast",(AVERAGE(AE24:AP24)+15000/12),SUMIF('Dept. Cost Actuals'!$E$7:$E$176,"*Travel*",'Dept. Cost Actuals'!AU$703:AU$872))</f>
        <v>5519.8130975189642</v>
      </c>
      <c r="AR24" s="668">
        <f>IF(AR$4="forecast",(AVERAGE(AF24:AQ24)+15000/12),SUMIF('Dept. Cost Actuals'!$E$7:$E$176,"*Travel*",'Dept. Cost Actuals'!AV$703:AV$872))</f>
        <v>5712.5961797196187</v>
      </c>
      <c r="AS24" s="668">
        <f>IF(AS$4="forecast",(AVERAGE(AG24:AR24)+15000/12),SUMIF('Dept. Cost Actuals'!$E$7:$E$176,"*Travel*",'Dept. Cost Actuals'!AW$703:AW$872))</f>
        <v>5911.5185735542782</v>
      </c>
      <c r="AT24" s="668">
        <f>IF(AT$4="forecast",(AVERAGE(AH24:AS24)+15000/12),SUMIF('Dept. Cost Actuals'!$E$7:$E$176,"*Travel*",'Dept. Cost Actuals'!AX$703:AX$872))</f>
        <v>6097.7452817799949</v>
      </c>
      <c r="AU24" s="668">
        <f>IF(AU$4="forecast",(AVERAGE(AI24:AT24)+15000/12),SUMIF('Dept. Cost Actuals'!$E$7:$E$176,"*Travel*",'Dept. Cost Actuals'!AY$703:AY$872))</f>
        <v>6274.0478401714263</v>
      </c>
      <c r="AV24" s="668">
        <f>IF(AV$4="forecast",(AVERAGE(AJ24:AU24)+15000/12),SUMIF('Dept. Cost Actuals'!$E$7:$E$176,"*Travel*",'Dept. Cost Actuals'!AZ$703:AZ$872))</f>
        <v>6450.0235660601793</v>
      </c>
      <c r="AW24" s="668">
        <f>IF(AW$4="forecast",(AVERAGE(AK24:AV24)+15000/12),SUMIF('Dept. Cost Actuals'!$E$7:$E$176,"*Travel*",'Dept. Cost Actuals'!BA$703:BA$872))</f>
        <v>6613.5317195958678</v>
      </c>
      <c r="AX24" s="668">
        <f>IF(AX$4="forecast",(AVERAGE(AL24:AW24)+15000/12),SUMIF('Dept. Cost Actuals'!$E$7:$E$176,"*Travel*",'Dept. Cost Actuals'!BB$703:BB$872))</f>
        <v>6803.9526656231965</v>
      </c>
      <c r="AY24" s="668">
        <f>IF(AY$4="forecast",(AVERAGE(AM24:AX24)+15000/12),SUMIF('Dept. Cost Actuals'!$E$7:$E$176,"*Travel*",'Dept. Cost Actuals'!BC$703:BC$872))</f>
        <v>7008.870007380111</v>
      </c>
      <c r="AZ24" s="668">
        <f>IF(AZ$4="forecast",(AVERAGE(AN24:AY24)+15000/12),SUMIF('Dept. Cost Actuals'!$E$7:$E$176,"*Travel*",'Dept. Cost Actuals'!BD$703:BD$872))</f>
        <v>7208.3497348074598</v>
      </c>
      <c r="BA24" s="668">
        <f>IF(BA$4="forecast",(AVERAGE(AO24:AZ24)+15000/12),SUMIF('Dept. Cost Actuals'!$E$7:$E$176,"*Travel*",'Dept. Cost Actuals'!BE$703:BE$872))</f>
        <v>7410.044416754783</v>
      </c>
      <c r="BB24" s="668">
        <f>IF(BB$4="forecast",(AVERAGE(AP24:BA24)+15000/12),SUMIF('Dept. Cost Actuals'!$E$7:$E$176,"*Travel*",'Dept. Cost Actuals'!BF$703:BF$872))</f>
        <v>7611.2056447571631</v>
      </c>
      <c r="BC24" s="668">
        <f>IF(BC$4="forecast",(AVERAGE(AQ24:BB24)+15000/12),SUMIF('Dept. Cost Actuals'!$E$7:$E$176,"*Travel*",'Dept. Cost Actuals'!BG$703:BG$872))</f>
        <v>7801.8082273102527</v>
      </c>
      <c r="BD24" s="668">
        <f>IF(BD$4="forecast",(AVERAGE(AR24:BC24)+15000/12),SUMIF('Dept. Cost Actuals'!$E$7:$E$176,"*Travel*",'Dept. Cost Actuals'!BH$703:BH$872))</f>
        <v>7991.974488126194</v>
      </c>
      <c r="BE24" s="668">
        <f>IF(BE$4="forecast",(AVERAGE(AS24:BD24)+15000/12),SUMIF('Dept. Cost Actuals'!$E$7:$E$176,"*Travel*",'Dept. Cost Actuals'!BI$703:BI$872))</f>
        <v>8181.9226804934078</v>
      </c>
      <c r="BF24" s="668">
        <f>IF(BF$4="forecast",(AVERAGE(AT24:BE24)+15000/12),SUMIF('Dept. Cost Actuals'!$E$7:$E$176,"*Travel*",'Dept. Cost Actuals'!BJ$703:BJ$872))</f>
        <v>8371.1230227383385</v>
      </c>
      <c r="BG24" s="668">
        <f>IF(BG$4="forecast",(AVERAGE(AU24:BF24)+15000/12),SUMIF('Dept. Cost Actuals'!$E$7:$E$176,"*Travel*",'Dept. Cost Actuals'!BK$703:BK$872))</f>
        <v>8560.5711678181979</v>
      </c>
      <c r="BH24" s="668">
        <f>IF(BH$4="forecast",(AVERAGE(AV24:BG24)+15000/12),SUMIF('Dept. Cost Actuals'!$E$7:$E$176,"*Travel*",'Dept. Cost Actuals'!BL$703:BL$872))</f>
        <v>8751.1147784554305</v>
      </c>
      <c r="BI24" s="668">
        <f>IF(BI$4="forecast",(AVERAGE(AW24:BH24)+15000/12),SUMIF('Dept. Cost Actuals'!$E$7:$E$176,"*Travel*",'Dept. Cost Actuals'!BM$703:BM$872))</f>
        <v>8942.8723794883663</v>
      </c>
      <c r="BJ24" s="668">
        <f>IF(BJ$4="forecast",(AVERAGE(AX24:BI24)+15000/12),SUMIF('Dept. Cost Actuals'!$E$7:$E$176,"*Travel*",'Dept. Cost Actuals'!BN$703:BN$872))</f>
        <v>9136.9841011460776</v>
      </c>
      <c r="BK24" s="668">
        <f>IF(BK$4="forecast",(AVERAGE(AY24:BJ24)+15000/12),SUMIF('Dept. Cost Actuals'!$E$7:$E$176,"*Travel*",'Dept. Cost Actuals'!BO$703:BO$872))</f>
        <v>9331.4033874396482</v>
      </c>
      <c r="BL24" s="668">
        <f>IF(BL$4="forecast",(AVERAGE(AZ24:BK24)+15000/12),SUMIF('Dept. Cost Actuals'!$E$7:$E$176,"*Travel*",'Dept. Cost Actuals'!BP$703:BP$872))</f>
        <v>9524.9478357779444</v>
      </c>
      <c r="BM24" s="668">
        <f>IF(BM$4="forecast",(AVERAGE(BA24:BL24)+15000/12),SUMIF('Dept. Cost Actuals'!$E$7:$E$176,"*Travel*",'Dept. Cost Actuals'!BQ$703:BQ$872))</f>
        <v>9717.9976775254836</v>
      </c>
      <c r="BN24" s="668">
        <f>IF(BN$4="forecast",(AVERAGE(BB24:BM24)+15000/12),SUMIF('Dept. Cost Actuals'!$E$7:$E$176,"*Travel*",'Dept. Cost Actuals'!BR$703:BR$872))</f>
        <v>9910.3271159230426</v>
      </c>
      <c r="BO24" s="668">
        <f>IF(BO$4="forecast",(AVERAGE(BC24:BN24)+15000/12),SUMIF('Dept. Cost Actuals'!$E$7:$E$176,"*Travel*",'Dept. Cost Actuals'!BS$703:BS$872))</f>
        <v>10101.920571853532</v>
      </c>
      <c r="BP24" s="668">
        <f>IF(BP$4="forecast",(AVERAGE(BD24:BO24)+15000/12),SUMIF('Dept. Cost Actuals'!$E$7:$E$176,"*Travel*",'Dept. Cost Actuals'!BT$703:BT$872))</f>
        <v>10293.596600565474</v>
      </c>
      <c r="BQ24" s="668">
        <f>IF(BQ$4="forecast",(AVERAGE(BE24:BP24)+15000/12),SUMIF('Dept. Cost Actuals'!$E$7:$E$176,"*Travel*",'Dept. Cost Actuals'!BU$703:BU$872))</f>
        <v>10485.398443268747</v>
      </c>
      <c r="BR24" s="668">
        <f>IF(BR$4="forecast",(AVERAGE(BF24:BQ24)+15000/12),SUMIF('Dept. Cost Actuals'!$E$7:$E$176,"*Travel*",'Dept. Cost Actuals'!BV$703:BV$872))</f>
        <v>10677.354756833358</v>
      </c>
      <c r="BS24" s="668">
        <f>IF(BS$4="forecast",(AVERAGE(BG24:BR24)+15000/12),SUMIF('Dept. Cost Actuals'!$E$7:$E$176,"*Travel*",'Dept. Cost Actuals'!BW$703:BW$872))</f>
        <v>10869.540734674609</v>
      </c>
      <c r="BT24" s="668">
        <f>IF(BT$4="forecast",(AVERAGE(BH24:BS24)+15000/12),SUMIF('Dept. Cost Actuals'!$E$7:$E$176,"*Travel*",'Dept. Cost Actuals'!BX$703:BX$872))</f>
        <v>11061.954865245976</v>
      </c>
      <c r="BU24" s="668">
        <f>IF(BU$4="forecast",(AVERAGE(BI24:BT24)+15000/12),SUMIF('Dept. Cost Actuals'!$E$7:$E$176,"*Travel*",'Dept. Cost Actuals'!BY$703:BY$872))</f>
        <v>11254.524872478522</v>
      </c>
      <c r="BV24" s="668">
        <f>IF(BV$4="forecast",(AVERAGE(BJ24:BU24)+15000/12),SUMIF('Dept. Cost Actuals'!$E$7:$E$176,"*Travel*",'Dept. Cost Actuals'!BZ$703:BZ$872))</f>
        <v>11447.162580227701</v>
      </c>
    </row>
    <row r="25" spans="2:74" x14ac:dyDescent="0.25">
      <c r="B25" s="794" t="s">
        <v>1338</v>
      </c>
      <c r="C25" s="668">
        <f>IF(C$4="forecast",(AVERAGE(#REF!)),SUMIF('Dept. Cost Actuals'!$E$7:$E$176,"*Meals and Entertainment*",'Dept. Cost Actuals'!G$703:G$872))</f>
        <v>302.77830672229516</v>
      </c>
      <c r="D25" s="668">
        <f>IF(D$4="forecast",(AVERAGE(#REF!)),SUMIF('Dept. Cost Actuals'!$E$7:$E$176,"*Meals and Entertainment*",'Dept. Cost Actuals'!H$703:H$872))</f>
        <v>107.12866927662951</v>
      </c>
      <c r="E25" s="668">
        <f>IF(E$4="forecast",(AVERAGE(#REF!)),SUMIF('Dept. Cost Actuals'!$E$7:$E$176,"*Meals and Entertainment*",'Dept. Cost Actuals'!I$703:I$872))</f>
        <v>115.242027022299</v>
      </c>
      <c r="F25" s="668">
        <f>IF(F$4="forecast",(AVERAGE(#REF!)),SUMIF('Dept. Cost Actuals'!$E$7:$E$176,"*Meals and Entertainment*",'Dept. Cost Actuals'!J$703:J$872))</f>
        <v>188.05275791701524</v>
      </c>
      <c r="G25" s="668">
        <f>IF(G$4="forecast",(AVERAGE(#REF!)),SUMIF('Dept. Cost Actuals'!$E$7:$E$176,"*Meals and Entertainment*",'Dept. Cost Actuals'!K$703:K$872))</f>
        <v>258.32489440135402</v>
      </c>
      <c r="H25" s="668">
        <f>IF(H$4="forecast",(AVERAGE(#REF!)),SUMIF('Dept. Cost Actuals'!$E$7:$E$176,"*Meals and Entertainment*",'Dept. Cost Actuals'!L$703:L$872))</f>
        <v>341.19035999850996</v>
      </c>
      <c r="I25" s="668">
        <f>IF(I$4="forecast",(AVERAGE(#REF!)),SUMIF('Dept. Cost Actuals'!$E$7:$E$176,"*Meals and Entertainment*",'Dept. Cost Actuals'!M$703:M$872))</f>
        <v>236.31244924632784</v>
      </c>
      <c r="J25" s="668">
        <f>IF(J$4="forecast",(AVERAGE(#REF!)),SUMIF('Dept. Cost Actuals'!$E$7:$E$176,"*Meals and Entertainment*",'Dept. Cost Actuals'!N$703:N$872))</f>
        <v>180.88595017619494</v>
      </c>
      <c r="K25" s="668">
        <f>IF(K$4="forecast",(AVERAGE(#REF!)),SUMIF('Dept. Cost Actuals'!$E$7:$E$176,"*Meals and Entertainment*",'Dept. Cost Actuals'!O$703:O$872))</f>
        <v>268.66217237424803</v>
      </c>
      <c r="L25" s="668">
        <f>IF(L$4="forecast",(AVERAGE(#REF!)),SUMIF('Dept. Cost Actuals'!$E$7:$E$176,"*Meals and Entertainment*",'Dept. Cost Actuals'!P$703:P$872))</f>
        <v>290.95128970301607</v>
      </c>
      <c r="M25" s="668">
        <f>IF(M$4="forecast",(AVERAGE(A25:L25)),SUMIF('Dept. Cost Actuals'!$E$7:$E$176,"*Meals and Entertainment*",'Dept. Cost Actuals'!Q$703:Q$872))</f>
        <v>117.16349856523964</v>
      </c>
      <c r="N25" s="668">
        <f>IF(N$4="forecast",(AVERAGE(B25:M25)),SUMIF('Dept. Cost Actuals'!$E$7:$E$176,"*Meals and Entertainment*",'Dept. Cost Actuals'!R$703:R$872))</f>
        <v>26.426062591615533</v>
      </c>
      <c r="O25" s="668">
        <f>IF(O$4="forecast",(AVERAGE(C25:N25)),SUMIF('Dept. Cost Actuals'!$E$7:$E$176,"*Meals and Entertainment*",'Dept. Cost Actuals'!S$703:S$872))</f>
        <v>0</v>
      </c>
      <c r="P25" s="668">
        <f>IF(P$4="forecast",(AVERAGE(D25:O25)),SUMIF('Dept. Cost Actuals'!$E$7:$E$176,"*Meals and Entertainment*",'Dept. Cost Actuals'!T$703:T$872))</f>
        <v>0</v>
      </c>
      <c r="Q25" s="668">
        <f>IF(Q$4="forecast",(AVERAGE(E25:P25)),SUMIF('Dept. Cost Actuals'!$E$7:$E$176,"*Meals and Entertainment*",'Dept. Cost Actuals'!U$703:U$872))</f>
        <v>419.38</v>
      </c>
      <c r="R25" s="668">
        <f>IF(R$4="forecast",(AVERAGE(F25:Q25)),SUMIF('Dept. Cost Actuals'!$E$7:$E$176,"*Meals and Entertainment*",'Dept. Cost Actuals'!V$703:V$872))</f>
        <v>746.4</v>
      </c>
      <c r="S25" s="668">
        <f>IF(S$4="forecast",(AVERAGE(G25:R25)),SUMIF('Dept. Cost Actuals'!$E$7:$E$176,"*Meals and Entertainment*",'Dept. Cost Actuals'!W$703:W$872))</f>
        <v>226.48</v>
      </c>
      <c r="T25" s="668">
        <f>IF(T$4="forecast",(AVERAGE(H25:S25)),SUMIF('Dept. Cost Actuals'!$E$7:$E$176,"*Meals and Entertainment*",'Dept. Cost Actuals'!X$703:X$872))</f>
        <v>0</v>
      </c>
      <c r="U25" s="668">
        <f>IF(U$4="forecast",(AVERAGE(I25:T25)),SUMIF('Dept. Cost Actuals'!$E$7:$E$176,"*Meals and Entertainment*",'Dept. Cost Actuals'!Y$703:Y$872))</f>
        <v>0</v>
      </c>
      <c r="V25" s="668">
        <f>IF(V$4="forecast",(AVERAGE(J25:U25)),SUMIF('Dept. Cost Actuals'!$E$7:$E$176,"*Meals and Entertainment*",'Dept. Cost Actuals'!Z$703:Z$872))</f>
        <v>72.69</v>
      </c>
      <c r="W25" s="668">
        <f>IF(W$4="forecast",(AVERAGE(K25:V25)),SUMIF('Dept. Cost Actuals'!$E$7:$E$176,"*Meals and Entertainment*",'Dept. Cost Actuals'!AA$703:AA$872))</f>
        <v>0</v>
      </c>
      <c r="X25" s="668">
        <f>IF(X$4="forecast",(AVERAGE(L25:W25)),SUMIF('Dept. Cost Actuals'!$E$7:$E$176,"*Meals and Entertainment*",'Dept. Cost Actuals'!AB$703:AB$872))</f>
        <v>76.680000000000007</v>
      </c>
      <c r="Y25" s="668">
        <f>IF(Y$4="forecast",(AVERAGE(M25:X25)),SUMIF('Dept. Cost Actuals'!$E$7:$E$176,"*Meals and Entertainment*",'Dept. Cost Actuals'!AC$703:AC$872))</f>
        <v>1447.77</v>
      </c>
      <c r="Z25" s="668">
        <f>IF(Z$4="forecast",(AVERAGE(N25:Y25)),SUMIF('Dept. Cost Actuals'!$E$7:$E$176,"*Meals and Entertainment*",'Dept. Cost Actuals'!AD$703:AD$872))</f>
        <v>0</v>
      </c>
      <c r="AA25" s="668">
        <f>IF(AA$4="forecast",(AVERAGE(O25:Z25)),SUMIF('Dept. Cost Actuals'!$E$7:$E$176,"*Meals and Entertainment*",'Dept. Cost Actuals'!AE$703:AE$872))</f>
        <v>51.37</v>
      </c>
      <c r="AB25" s="668">
        <f>IF(AB$4="forecast",(AVERAGE(P25:AA25)),SUMIF('Dept. Cost Actuals'!$E$7:$E$176,"*Meals and Entertainment*",'Dept. Cost Actuals'!AF$703:AF$872))</f>
        <v>45.59</v>
      </c>
      <c r="AC25" s="668">
        <f>IF(AC$4="forecast",(AVERAGE(Q25:AB25)),SUMIF('Dept. Cost Actuals'!$E$7:$E$176,"*Meals and Entertainment*",'Dept. Cost Actuals'!AG$703:AG$872))</f>
        <v>85.09</v>
      </c>
      <c r="AD25" s="668">
        <f>IF(AD$4="forecast",(AVERAGE(R25:AC25)),SUMIF('Dept. Cost Actuals'!$E$7:$E$176,"*Meals and Entertainment*",'Dept. Cost Actuals'!AH$703:AH$872))</f>
        <v>229.33916666666667</v>
      </c>
      <c r="AE25" s="668">
        <f>IF(AE$4="forecast",(AVERAGE(S25:AD25)),SUMIF('Dept. Cost Actuals'!$E$7:$E$176,"*Meals and Entertainment*",'Dept. Cost Actuals'!AI$703:AI$872))</f>
        <v>186.25076388888886</v>
      </c>
      <c r="AF25" s="668">
        <f>IF(AF$4="forecast",(AVERAGE(T25:AE25)),SUMIF('Dept. Cost Actuals'!$E$7:$E$176,"*Meals and Entertainment*",'Dept. Cost Actuals'!AJ$703:AJ$872))</f>
        <v>182.89832754629626</v>
      </c>
      <c r="AG25" s="668">
        <f>IF(AG$4="forecast",(AVERAGE(U25:AF25)),SUMIF('Dept. Cost Actuals'!$E$7:$E$176,"*Meals and Entertainment*",'Dept. Cost Actuals'!AK$703:AK$872))</f>
        <v>198.13985484182092</v>
      </c>
      <c r="AH25" s="668">
        <f>IF(AH$4="forecast",(AVERAGE(V25:AG25)),SUMIF('Dept. Cost Actuals'!$E$7:$E$176,"*Meals and Entertainment*",'Dept. Cost Actuals'!AL$703:AL$872))</f>
        <v>214.65150941197268</v>
      </c>
      <c r="AI25" s="668">
        <f>IF(AI$4="forecast",(AVERAGE(W25:AH25)),SUMIF('Dept. Cost Actuals'!$E$7:$E$176,"*Meals and Entertainment*",'Dept. Cost Actuals'!AM$703:AM$872))</f>
        <v>226.48163519630376</v>
      </c>
      <c r="AJ25" s="668">
        <f>IF(AJ$4="forecast",(AVERAGE(X25:AI25)),SUMIF('Dept. Cost Actuals'!$E$7:$E$176,"*Meals and Entertainment*",'Dept. Cost Actuals'!AN$703:AN$872))</f>
        <v>245.35510479599574</v>
      </c>
      <c r="AK25" s="668">
        <f>IF(AK$4="forecast",(AVERAGE(Y25:AJ25)),SUMIF('Dept. Cost Actuals'!$E$7:$E$176,"*Meals and Entertainment*",'Dept. Cost Actuals'!AO$703:AO$872))</f>
        <v>259.41136352899537</v>
      </c>
      <c r="AL25" s="668">
        <f>IF(AL$4="forecast",(AVERAGE(Z25:AK25)),SUMIF('Dept. Cost Actuals'!$E$7:$E$176,"*Meals and Entertainment*",'Dept. Cost Actuals'!AP$703:AP$872))</f>
        <v>160.38147715641171</v>
      </c>
      <c r="AM25" s="668">
        <f>IF(AM$4="forecast",(AVERAGE(AA25:AL25)),SUMIF('Dept. Cost Actuals'!$E$7:$E$176,"*Meals and Entertainment*",'Dept. Cost Actuals'!AQ$703:AQ$872))</f>
        <v>173.74660025277933</v>
      </c>
      <c r="AN25" s="668">
        <f>IF(AN$4="forecast",(AVERAGE(AB25:AM25)),SUMIF('Dept. Cost Actuals'!$E$7:$E$176,"*Meals and Entertainment*",'Dept. Cost Actuals'!AR$703:AR$872))</f>
        <v>183.9446502738443</v>
      </c>
      <c r="AO25" s="668">
        <f>IF(AO$4="forecast",(AVERAGE(AC25:AN25)),SUMIF('Dept. Cost Actuals'!$E$7:$E$176,"*Meals and Entertainment*",'Dept. Cost Actuals'!AS$703:AS$872))</f>
        <v>195.47420446333129</v>
      </c>
      <c r="AP25" s="668">
        <f>IF(AP$4="forecast",(AVERAGE(AD25:AO25)),SUMIF('Dept. Cost Actuals'!$E$7:$E$176,"*Meals and Entertainment*",'Dept. Cost Actuals'!AT$703:AT$872))</f>
        <v>204.67288816860889</v>
      </c>
      <c r="AQ25" s="668">
        <f>IF(AQ$4="forecast",(AVERAGE(AE25:AP25)),SUMIF('Dept. Cost Actuals'!$E$7:$E$176,"*Meals and Entertainment*",'Dept. Cost Actuals'!AU$703:AU$872))</f>
        <v>202.61736496043741</v>
      </c>
      <c r="AR25" s="668">
        <f>IF(AR$4="forecast",(AVERAGE(AF25:AQ25)),SUMIF('Dept. Cost Actuals'!$E$7:$E$176,"*Meals and Entertainment*",'Dept. Cost Actuals'!AV$703:AV$872))</f>
        <v>203.98124838306649</v>
      </c>
      <c r="AS25" s="668">
        <f>IF(AS$4="forecast",(AVERAGE(AG25:AR25)),SUMIF('Dept. Cost Actuals'!$E$7:$E$176,"*Meals and Entertainment*",'Dept. Cost Actuals'!AW$703:AW$872))</f>
        <v>205.73815845279731</v>
      </c>
      <c r="AT25" s="668">
        <f>IF(AT$4="forecast",(AVERAGE(AH25:AS25)),SUMIF('Dept. Cost Actuals'!$E$7:$E$176,"*Meals and Entertainment*",'Dept. Cost Actuals'!AX$703:AX$872))</f>
        <v>206.37135042037872</v>
      </c>
      <c r="AU25" s="668">
        <f>IF(AU$4="forecast",(AVERAGE(AI25:AT25)),SUMIF('Dept. Cost Actuals'!$E$7:$E$176,"*Meals and Entertainment*",'Dept. Cost Actuals'!AY$703:AY$872))</f>
        <v>205.68133717107924</v>
      </c>
      <c r="AV25" s="668">
        <f>IF(AV$4="forecast",(AVERAGE(AJ25:AU25)),SUMIF('Dept. Cost Actuals'!$E$7:$E$176,"*Meals and Entertainment*",'Dept. Cost Actuals'!AZ$703:AZ$872))</f>
        <v>203.94797900231049</v>
      </c>
      <c r="AW25" s="668">
        <f>IF(AW$4="forecast",(AVERAGE(AK25:AV25)),SUMIF('Dept. Cost Actuals'!$E$7:$E$176,"*Meals and Entertainment*",'Dept. Cost Actuals'!BA$703:BA$872))</f>
        <v>200.49738518617008</v>
      </c>
      <c r="AX25" s="668">
        <f>IF(AX$4="forecast",(AVERAGE(AL25:AW25)),SUMIF('Dept. Cost Actuals'!$E$7:$E$176,"*Meals and Entertainment*",'Dept. Cost Actuals'!BB$703:BB$872))</f>
        <v>195.58788699093463</v>
      </c>
      <c r="AY25" s="668">
        <f>IF(AY$4="forecast",(AVERAGE(AM25:AX25)),SUMIF('Dept. Cost Actuals'!$E$7:$E$176,"*Meals and Entertainment*",'Dept. Cost Actuals'!BC$703:BC$872))</f>
        <v>198.52175447714487</v>
      </c>
      <c r="AZ25" s="668">
        <f>IF(AZ$4="forecast",(AVERAGE(AN25:AY25)),SUMIF('Dept. Cost Actuals'!$E$7:$E$176,"*Meals and Entertainment*",'Dept. Cost Actuals'!BD$703:BD$872))</f>
        <v>200.58635066250869</v>
      </c>
      <c r="BA25" s="668">
        <f>IF(BA$4="forecast",(AVERAGE(AO25:AZ25)),SUMIF('Dept. Cost Actuals'!$E$7:$E$176,"*Meals and Entertainment*",'Dept. Cost Actuals'!BE$703:BE$872))</f>
        <v>201.9731590282307</v>
      </c>
      <c r="BB25" s="668">
        <f>IF(BB$4="forecast",(AVERAGE(AP25:BA25)),SUMIF('Dept. Cost Actuals'!$E$7:$E$176,"*Meals and Entertainment*",'Dept. Cost Actuals'!BF$703:BF$872))</f>
        <v>202.51473857530564</v>
      </c>
      <c r="BC25" s="668">
        <f>IF(BC$4="forecast",(AVERAGE(AQ25:BB25)),SUMIF('Dept. Cost Actuals'!$E$7:$E$176,"*Meals and Entertainment*",'Dept. Cost Actuals'!BG$703:BG$872))</f>
        <v>202.33489277586372</v>
      </c>
      <c r="BD25" s="668">
        <f>IF(BD$4="forecast",(AVERAGE(AR25:BC25)),SUMIF('Dept. Cost Actuals'!$E$7:$E$176,"*Meals and Entertainment*",'Dept. Cost Actuals'!BH$703:BH$872))</f>
        <v>202.31135342714921</v>
      </c>
      <c r="BE25" s="668">
        <f>IF(BE$4="forecast",(AVERAGE(AS25:BD25)),SUMIF('Dept. Cost Actuals'!$E$7:$E$176,"*Meals and Entertainment*",'Dept. Cost Actuals'!BI$703:BI$872))</f>
        <v>202.1721955141561</v>
      </c>
      <c r="BF25" s="668">
        <f>IF(BF$4="forecast",(AVERAGE(AT25:BE25)),SUMIF('Dept. Cost Actuals'!$E$7:$E$176,"*Meals and Entertainment*",'Dept. Cost Actuals'!BJ$703:BJ$872))</f>
        <v>201.87503193593599</v>
      </c>
      <c r="BG25" s="668">
        <f>IF(BG$4="forecast",(AVERAGE(AU25:BF25)),SUMIF('Dept. Cost Actuals'!$E$7:$E$176,"*Meals and Entertainment*",'Dept. Cost Actuals'!BK$703:BK$872))</f>
        <v>201.50033872889912</v>
      </c>
      <c r="BH25" s="668">
        <f>IF(BH$4="forecast",(AVERAGE(AV25:BG25)),SUMIF('Dept. Cost Actuals'!$E$7:$E$176,"*Meals and Entertainment*",'Dept. Cost Actuals'!BL$703:BL$872))</f>
        <v>201.15192219205073</v>
      </c>
      <c r="BI25" s="668">
        <f>IF(BI$4="forecast",(AVERAGE(AW25:BH25)),SUMIF('Dept. Cost Actuals'!$E$7:$E$176,"*Meals and Entertainment*",'Dept. Cost Actuals'!BM$703:BM$872))</f>
        <v>200.91891745786248</v>
      </c>
      <c r="BJ25" s="668">
        <f>IF(BJ$4="forecast",(AVERAGE(AX25:BI25)),SUMIF('Dept. Cost Actuals'!$E$7:$E$176,"*Meals and Entertainment*",'Dept. Cost Actuals'!BN$703:BN$872))</f>
        <v>200.95404514717015</v>
      </c>
      <c r="BK25" s="668">
        <f>IF(BK$4="forecast",(AVERAGE(AY25:BJ25)),SUMIF('Dept. Cost Actuals'!$E$7:$E$176,"*Meals and Entertainment*",'Dept. Cost Actuals'!BO$703:BO$872))</f>
        <v>201.40122499352313</v>
      </c>
      <c r="BL25" s="668">
        <f>IF(BL$4="forecast",(AVERAGE(AZ25:BK25)),SUMIF('Dept. Cost Actuals'!$E$7:$E$176,"*Meals and Entertainment*",'Dept. Cost Actuals'!BP$703:BP$872))</f>
        <v>201.64118086988799</v>
      </c>
      <c r="BM25" s="668">
        <f>IF(BM$4="forecast",(AVERAGE(BA25:BL25)),SUMIF('Dept. Cost Actuals'!$E$7:$E$176,"*Meals and Entertainment*",'Dept. Cost Actuals'!BQ$703:BQ$872))</f>
        <v>201.7290833871696</v>
      </c>
      <c r="BN25" s="668">
        <f>IF(BN$4="forecast",(AVERAGE(BB25:BM25)),SUMIF('Dept. Cost Actuals'!$E$7:$E$176,"*Meals and Entertainment*",'Dept. Cost Actuals'!BR$703:BR$872))</f>
        <v>201.70874375041453</v>
      </c>
      <c r="BO25" s="668">
        <f>IF(BO$4="forecast",(AVERAGE(BC25:BN25)),SUMIF('Dept. Cost Actuals'!$E$7:$E$176,"*Meals and Entertainment*",'Dept. Cost Actuals'!BS$703:BS$872))</f>
        <v>201.64157751500693</v>
      </c>
      <c r="BP25" s="668">
        <f>IF(BP$4="forecast",(AVERAGE(BD25:BO25)),SUMIF('Dept. Cost Actuals'!$E$7:$E$176,"*Meals and Entertainment*",'Dept. Cost Actuals'!BT$703:BT$872))</f>
        <v>201.58380124326882</v>
      </c>
      <c r="BQ25" s="668">
        <f>IF(BQ$4="forecast",(AVERAGE(BE25:BP25)),SUMIF('Dept. Cost Actuals'!$E$7:$E$176,"*Meals and Entertainment*",'Dept. Cost Actuals'!BU$703:BU$872))</f>
        <v>201.52317189461209</v>
      </c>
      <c r="BR25" s="668">
        <f>IF(BR$4="forecast",(AVERAGE(BF25:BQ25)),SUMIF('Dept. Cost Actuals'!$E$7:$E$176,"*Meals and Entertainment*",'Dept. Cost Actuals'!BV$703:BV$872))</f>
        <v>201.46908659298344</v>
      </c>
      <c r="BS25" s="668">
        <f>IF(BS$4="forecast",(AVERAGE(BG25:BR25)),SUMIF('Dept. Cost Actuals'!$E$7:$E$176,"*Meals and Entertainment*",'Dept. Cost Actuals'!BW$703:BW$872))</f>
        <v>201.43525781440405</v>
      </c>
      <c r="BT25" s="668">
        <f>IF(BT$4="forecast",(AVERAGE(BH25:BS25)),SUMIF('Dept. Cost Actuals'!$E$7:$E$176,"*Meals and Entertainment*",'Dept. Cost Actuals'!BX$703:BX$872))</f>
        <v>201.42983440486282</v>
      </c>
      <c r="BU25" s="668">
        <f>IF(BU$4="forecast",(AVERAGE(BI25:BT25)),SUMIF('Dept. Cost Actuals'!$E$7:$E$176,"*Meals and Entertainment*",'Dept. Cost Actuals'!BY$703:BY$872))</f>
        <v>201.45299375593049</v>
      </c>
      <c r="BV25" s="668">
        <f>IF(BV$4="forecast",(AVERAGE(BJ25:BU25)),SUMIF('Dept. Cost Actuals'!$E$7:$E$176,"*Meals and Entertainment*",'Dept. Cost Actuals'!BZ$703:BZ$872))</f>
        <v>201.49750011410285</v>
      </c>
    </row>
    <row r="26" spans="2:74" x14ac:dyDescent="0.25">
      <c r="B26" s="794" t="s">
        <v>1076</v>
      </c>
      <c r="C26" s="668">
        <f>IF(C$4="forecast",(AVERAGE(#REF!)),SUMIF('Dept. Cost Actuals'!$E$7:$E$176,"*Telephone*",'Dept. Cost Actuals'!G$703:G$872))</f>
        <v>115.93994569937874</v>
      </c>
      <c r="D26" s="668">
        <f>IF(D$4="forecast",(AVERAGE(#REF!)),SUMIF('Dept. Cost Actuals'!$E$7:$E$176,"*Telephone*",'Dept. Cost Actuals'!H$703:H$872))</f>
        <v>63.627572209296282</v>
      </c>
      <c r="E26" s="668">
        <f>IF(E$4="forecast",(AVERAGE(#REF!)),SUMIF('Dept. Cost Actuals'!$E$7:$E$176,"*Telephone*",'Dept. Cost Actuals'!I$703:I$872))</f>
        <v>34.369270170445432</v>
      </c>
      <c r="F26" s="668">
        <f>IF(F$4="forecast",(AVERAGE(#REF!)),SUMIF('Dept. Cost Actuals'!$E$7:$E$176,"*Telephone*",'Dept. Cost Actuals'!J$703:J$872))</f>
        <v>14.50807036026627</v>
      </c>
      <c r="G26" s="668">
        <f>IF(G$4="forecast",(AVERAGE(#REF!)),SUMIF('Dept. Cost Actuals'!$E$7:$E$176,"*Telephone*",'Dept. Cost Actuals'!K$703:K$872))</f>
        <v>16.506323467221218</v>
      </c>
      <c r="H26" s="668">
        <f>IF(H$4="forecast",(AVERAGE(#REF!)),SUMIF('Dept. Cost Actuals'!$E$7:$E$176,"*Telephone*",'Dept. Cost Actuals'!L$703:L$872))</f>
        <v>16.239058595169549</v>
      </c>
      <c r="I26" s="668">
        <f>IF(I$4="forecast",(AVERAGE(#REF!)),SUMIF('Dept. Cost Actuals'!$E$7:$E$176,"*Telephone*",'Dept. Cost Actuals'!M$703:M$872))</f>
        <v>64.56527007905207</v>
      </c>
      <c r="J26" s="668">
        <f>IF(J$4="forecast",(AVERAGE(#REF!)),SUMIF('Dept. Cost Actuals'!$E$7:$E$176,"*Telephone*",'Dept. Cost Actuals'!N$703:N$872))</f>
        <v>11.947265871428639</v>
      </c>
      <c r="K26" s="668">
        <f>IF(K$4="forecast",(AVERAGE(#REF!)),SUMIF('Dept. Cost Actuals'!$E$7:$E$176,"*Telephone*",'Dept. Cost Actuals'!O$703:O$872))</f>
        <v>12.251425134531189</v>
      </c>
      <c r="L26" s="668">
        <f>IF(L$4="forecast",(AVERAGE(#REF!)),SUMIF('Dept. Cost Actuals'!$E$7:$E$176,"*Telephone*",'Dept. Cost Actuals'!P$703:P$872))</f>
        <v>8.9378896263488805</v>
      </c>
      <c r="M26" s="668">
        <f>IF(M$4="forecast",(AVERAGE(A26:L26)),SUMIF('Dept. Cost Actuals'!$E$7:$E$176,"*Telephone*",'Dept. Cost Actuals'!Q$703:Q$872))</f>
        <v>19.351111960179498</v>
      </c>
      <c r="N26" s="668">
        <f>IF(N$4="forecast",(AVERAGE(B26:M26)),SUMIF('Dept. Cost Actuals'!$E$7:$E$176,"*Telephone*",'Dept. Cost Actuals'!R$703:R$872))</f>
        <v>16.308837050623847</v>
      </c>
      <c r="O26" s="668">
        <f>IF(O$4="forecast",(AVERAGE(C26:N26)),SUMIF('Dept. Cost Actuals'!$E$7:$E$176,"*Telephone*",'Dept. Cost Actuals'!S$703:S$872))</f>
        <v>97.45</v>
      </c>
      <c r="P26" s="668">
        <f>IF(P$4="forecast",(AVERAGE(D26:O26)),SUMIF('Dept. Cost Actuals'!$E$7:$E$176,"*Telephone*",'Dept. Cost Actuals'!T$703:T$872))</f>
        <v>97.55</v>
      </c>
      <c r="Q26" s="668">
        <f>IF(Q$4="forecast",(AVERAGE(E26:P26)),SUMIF('Dept. Cost Actuals'!$E$7:$E$176,"*Telephone*",'Dept. Cost Actuals'!U$703:U$872))</f>
        <v>100.54</v>
      </c>
      <c r="R26" s="668">
        <f>IF(R$4="forecast",(AVERAGE(F26:Q26)),SUMIF('Dept. Cost Actuals'!$E$7:$E$176,"*Telephone*",'Dept. Cost Actuals'!V$703:V$872))</f>
        <v>137.35</v>
      </c>
      <c r="S26" s="668">
        <f>IF(S$4="forecast",(AVERAGE(G26:R26)),SUMIF('Dept. Cost Actuals'!$E$7:$E$176,"*Telephone*",'Dept. Cost Actuals'!W$703:W$872))</f>
        <v>112.87</v>
      </c>
      <c r="T26" s="668">
        <f>IF(T$4="forecast",(AVERAGE(H26:S26)),SUMIF('Dept. Cost Actuals'!$E$7:$E$176,"*Telephone*",'Dept. Cost Actuals'!X$703:X$872))</f>
        <v>0</v>
      </c>
      <c r="U26" s="668">
        <f>IF(U$4="forecast",(AVERAGE(I26:T26)),SUMIF('Dept. Cost Actuals'!$E$7:$E$176,"*Telephone*",'Dept. Cost Actuals'!Y$703:Y$872))</f>
        <v>362.79</v>
      </c>
      <c r="V26" s="668">
        <f>IF(V$4="forecast",(AVERAGE(J26:U26)),SUMIF('Dept. Cost Actuals'!$E$7:$E$176,"*Telephone*",'Dept. Cost Actuals'!Z$703:Z$872))</f>
        <v>116.12</v>
      </c>
      <c r="W26" s="668">
        <f>IF(W$4="forecast",(AVERAGE(K26:V26)),SUMIF('Dept. Cost Actuals'!$E$7:$E$176,"*Telephone*",'Dept. Cost Actuals'!AA$703:AA$872))</f>
        <v>116.12</v>
      </c>
      <c r="X26" s="668">
        <f>IF(X$4="forecast",(AVERAGE(L26:W26)),SUMIF('Dept. Cost Actuals'!$E$7:$E$176,"*Telephone*",'Dept. Cost Actuals'!AB$703:AB$872))</f>
        <v>116.07</v>
      </c>
      <c r="Y26" s="668">
        <f>IF(Y$4="forecast",(AVERAGE(M26:X26)),SUMIF('Dept. Cost Actuals'!$E$7:$E$176,"*Telephone*",'Dept. Cost Actuals'!AC$703:AC$872))</f>
        <v>281.8</v>
      </c>
      <c r="Z26" s="668">
        <f>IF(Z$4="forecast",(AVERAGE(N26:Y26)),SUMIF('Dept. Cost Actuals'!$E$7:$E$176,"*Telephone*",'Dept. Cost Actuals'!AD$703:AD$872))</f>
        <v>114.08</v>
      </c>
      <c r="AA26" s="668">
        <f>IF(AA$4="forecast",(AVERAGE(O26:Z26)),SUMIF('Dept. Cost Actuals'!$E$7:$E$176,"*Telephone*",'Dept. Cost Actuals'!AE$703:AE$872))</f>
        <v>152.57</v>
      </c>
      <c r="AB26" s="668">
        <f>IF(AB$4="forecast",(AVERAGE(P26:AA26)),SUMIF('Dept. Cost Actuals'!$E$7:$E$176,"*Telephone*",'Dept. Cost Actuals'!AF$703:AF$872))</f>
        <v>124.99</v>
      </c>
      <c r="AC26" s="668">
        <f>IF(AC$4="forecast",(AVERAGE(Q26:AB26)),SUMIF('Dept. Cost Actuals'!$E$7:$E$176,"*Telephone*",'Dept. Cost Actuals'!AG$703:AG$872))</f>
        <v>125.38</v>
      </c>
      <c r="AD26" s="668">
        <f>IF(AD$4="forecast",(AVERAGE(R26:AC26)),SUMIF('Dept. Cost Actuals'!$E$7:$E$176,"*Telephone*",'Dept. Cost Actuals'!AH$703:AH$872))</f>
        <v>146.67833333333331</v>
      </c>
      <c r="AE26" s="668">
        <f>IF(AE$4="forecast",(AVERAGE(S26:AD26)),SUMIF('Dept. Cost Actuals'!$E$7:$E$176,"*Telephone*",'Dept. Cost Actuals'!AI$703:AI$872))</f>
        <v>147.45569444444445</v>
      </c>
      <c r="AF26" s="668">
        <f>IF(AF$4="forecast",(AVERAGE(T26:AE26)),SUMIF('Dept. Cost Actuals'!$E$7:$E$176,"*Telephone*",'Dept. Cost Actuals'!AJ$703:AJ$872))</f>
        <v>150.33783564814811</v>
      </c>
      <c r="AG26" s="668">
        <f>IF(AG$4="forecast",(AVERAGE(U26:AF26)),SUMIF('Dept. Cost Actuals'!$E$7:$E$176,"*Telephone*",'Dept. Cost Actuals'!AK$703:AK$872))</f>
        <v>162.86598861882712</v>
      </c>
      <c r="AH26" s="668">
        <f>IF(AH$4="forecast",(AVERAGE(V26:AG26)),SUMIF('Dept. Cost Actuals'!$E$7:$E$176,"*Telephone*",'Dept. Cost Actuals'!AL$703:AL$872))</f>
        <v>146.20565433706273</v>
      </c>
      <c r="AI26" s="668">
        <f>IF(AI$4="forecast",(AVERAGE(W26:AH26)),SUMIF('Dept. Cost Actuals'!$E$7:$E$176,"*Telephone*",'Dept. Cost Actuals'!AM$703:AM$872))</f>
        <v>148.71279219848464</v>
      </c>
      <c r="AJ26" s="668">
        <f>IF(AJ$4="forecast",(AVERAGE(X26:AI26)),SUMIF('Dept. Cost Actuals'!$E$7:$E$176,"*Telephone*",'Dept. Cost Actuals'!AN$703:AN$872))</f>
        <v>151.428858215025</v>
      </c>
      <c r="AK26" s="668">
        <f>IF(AK$4="forecast",(AVERAGE(Y26:AJ26)),SUMIF('Dept. Cost Actuals'!$E$7:$E$176,"*Telephone*",'Dept. Cost Actuals'!AO$703:AO$872))</f>
        <v>154.37542973294379</v>
      </c>
      <c r="AL26" s="668">
        <f>IF(AL$4="forecast",(AVERAGE(Z26:AK26)),SUMIF('Dept. Cost Actuals'!$E$7:$E$176,"*Telephone*",'Dept. Cost Actuals'!AP$703:AP$872))</f>
        <v>143.7567155440224</v>
      </c>
      <c r="AM26" s="668">
        <f>IF(AM$4="forecast",(AVERAGE(AA26:AL26)),SUMIF('Dept. Cost Actuals'!$E$7:$E$176,"*Telephone*",'Dept. Cost Actuals'!AQ$703:AQ$872))</f>
        <v>146.22977517269098</v>
      </c>
      <c r="AN26" s="668">
        <f>IF(AN$4="forecast",(AVERAGE(AB26:AM26)),SUMIF('Dept. Cost Actuals'!$E$7:$E$176,"*Telephone*",'Dept. Cost Actuals'!AR$703:AR$872))</f>
        <v>145.70142310374857</v>
      </c>
      <c r="AO26" s="668">
        <f>IF(AO$4="forecast",(AVERAGE(AC26:AN26)),SUMIF('Dept. Cost Actuals'!$E$7:$E$176,"*Telephone*",'Dept. Cost Actuals'!AS$703:AS$872))</f>
        <v>147.42737502906093</v>
      </c>
      <c r="AP26" s="668">
        <f>IF(AP$4="forecast",(AVERAGE(AD26:AO26)),SUMIF('Dept. Cost Actuals'!$E$7:$E$176,"*Telephone*",'Dept. Cost Actuals'!AT$703:AT$872))</f>
        <v>149.26465628148267</v>
      </c>
      <c r="AQ26" s="668">
        <f>IF(AQ$4="forecast",(AVERAGE(AE26:AP26)),SUMIF('Dept. Cost Actuals'!$E$7:$E$176,"*Telephone*",'Dept. Cost Actuals'!AU$703:AU$872))</f>
        <v>149.48018319382845</v>
      </c>
      <c r="AR26" s="668">
        <f>IF(AR$4="forecast",(AVERAGE(AF26:AQ26)),SUMIF('Dept. Cost Actuals'!$E$7:$E$176,"*Telephone*",'Dept. Cost Actuals'!AV$703:AV$872))</f>
        <v>149.64889058961043</v>
      </c>
      <c r="AS26" s="668">
        <f>IF(AS$4="forecast",(AVERAGE(AG26:AR26)),SUMIF('Dept. Cost Actuals'!$E$7:$E$176,"*Telephone*",'Dept. Cost Actuals'!AW$703:AW$872))</f>
        <v>149.59147850139897</v>
      </c>
      <c r="AT26" s="668">
        <f>IF(AT$4="forecast",(AVERAGE(AH26:AS26)),SUMIF('Dept. Cost Actuals'!$E$7:$E$176,"*Telephone*",'Dept. Cost Actuals'!AX$703:AX$872))</f>
        <v>148.48526932494664</v>
      </c>
      <c r="AU26" s="668">
        <f>IF(AU$4="forecast",(AVERAGE(AI26:AT26)),SUMIF('Dept. Cost Actuals'!$E$7:$E$176,"*Telephone*",'Dept. Cost Actuals'!AY$703:AY$872))</f>
        <v>148.67523724060362</v>
      </c>
      <c r="AV26" s="668">
        <f>IF(AV$4="forecast",(AVERAGE(AJ26:AU26)),SUMIF('Dept. Cost Actuals'!$E$7:$E$176,"*Telephone*",'Dept. Cost Actuals'!AZ$703:AZ$872))</f>
        <v>148.6721076607802</v>
      </c>
      <c r="AW26" s="668">
        <f>IF(AW$4="forecast",(AVERAGE(AK26:AV26)),SUMIF('Dept. Cost Actuals'!$E$7:$E$176,"*Telephone*",'Dept. Cost Actuals'!BA$703:BA$872))</f>
        <v>148.44237844792647</v>
      </c>
      <c r="AX26" s="668">
        <f>IF(AX$4="forecast",(AVERAGE(AL26:AW26)),SUMIF('Dept. Cost Actuals'!$E$7:$E$176,"*Telephone*",'Dept. Cost Actuals'!BB$703:BB$872))</f>
        <v>147.94795750750836</v>
      </c>
      <c r="AY26" s="668">
        <f>IF(AY$4="forecast",(AVERAGE(AM26:AX26)),SUMIF('Dept. Cost Actuals'!$E$7:$E$176,"*Telephone*",'Dept. Cost Actuals'!BC$703:BC$872))</f>
        <v>148.29722767113219</v>
      </c>
      <c r="AZ26" s="668">
        <f>IF(AZ$4="forecast",(AVERAGE(AN26:AY26)),SUMIF('Dept. Cost Actuals'!$E$7:$E$176,"*Telephone*",'Dept. Cost Actuals'!BD$703:BD$872))</f>
        <v>148.4695153793356</v>
      </c>
      <c r="BA26" s="668">
        <f>IF(BA$4="forecast",(AVERAGE(AO26:AZ26)),SUMIF('Dept. Cost Actuals'!$E$7:$E$176,"*Telephone*",'Dept. Cost Actuals'!BE$703:BE$872))</f>
        <v>148.70018973563455</v>
      </c>
      <c r="BB26" s="668">
        <f>IF(BB$4="forecast",(AVERAGE(AP26:BA26)),SUMIF('Dept. Cost Actuals'!$E$7:$E$176,"*Telephone*",'Dept. Cost Actuals'!BF$703:BF$872))</f>
        <v>148.80625762784902</v>
      </c>
      <c r="BC26" s="668">
        <f>IF(BC$4="forecast",(AVERAGE(AQ26:BB26)),SUMIF('Dept. Cost Actuals'!$E$7:$E$176,"*Telephone*",'Dept. Cost Actuals'!BG$703:BG$872))</f>
        <v>148.7680577400462</v>
      </c>
      <c r="BD26" s="668">
        <f>IF(BD$4="forecast",(AVERAGE(AR26:BC26)),SUMIF('Dept. Cost Actuals'!$E$7:$E$176,"*Telephone*",'Dept. Cost Actuals'!BH$703:BH$872))</f>
        <v>148.70871395223102</v>
      </c>
      <c r="BE26" s="668">
        <f>IF(BE$4="forecast",(AVERAGE(AS26:BD26)),SUMIF('Dept. Cost Actuals'!$E$7:$E$176,"*Telephone*",'Dept. Cost Actuals'!BI$703:BI$872))</f>
        <v>148.63036589911607</v>
      </c>
      <c r="BF26" s="668">
        <f>IF(BF$4="forecast",(AVERAGE(AT26:BE26)),SUMIF('Dept. Cost Actuals'!$E$7:$E$176,"*Telephone*",'Dept. Cost Actuals'!BJ$703:BJ$872))</f>
        <v>148.55027318225913</v>
      </c>
      <c r="BG26" s="668">
        <f>IF(BG$4="forecast",(AVERAGE(AU26:BF26)),SUMIF('Dept. Cost Actuals'!$E$7:$E$176,"*Telephone*",'Dept. Cost Actuals'!BK$703:BK$872))</f>
        <v>148.55569017036854</v>
      </c>
      <c r="BH26" s="668">
        <f>IF(BH$4="forecast",(AVERAGE(AV26:BG26)),SUMIF('Dept. Cost Actuals'!$E$7:$E$176,"*Telephone*",'Dept. Cost Actuals'!BL$703:BL$872))</f>
        <v>148.5457279145156</v>
      </c>
      <c r="BI26" s="668">
        <f>IF(BI$4="forecast",(AVERAGE(AW26:BH26)),SUMIF('Dept. Cost Actuals'!$E$7:$E$176,"*Telephone*",'Dept. Cost Actuals'!BM$703:BM$872))</f>
        <v>148.53519626899353</v>
      </c>
      <c r="BJ26" s="668">
        <f>IF(BJ$4="forecast",(AVERAGE(AX26:BI26)),SUMIF('Dept. Cost Actuals'!$E$7:$E$176,"*Telephone*",'Dept. Cost Actuals'!BN$703:BN$872))</f>
        <v>148.54293108741581</v>
      </c>
      <c r="BK26" s="668">
        <f>IF(BK$4="forecast",(AVERAGE(AY26:BJ26)),SUMIF('Dept. Cost Actuals'!$E$7:$E$176,"*Telephone*",'Dept. Cost Actuals'!BO$703:BO$872))</f>
        <v>148.59251221907476</v>
      </c>
      <c r="BL26" s="668">
        <f>IF(BL$4="forecast",(AVERAGE(AZ26:BK26)),SUMIF('Dept. Cost Actuals'!$E$7:$E$176,"*Telephone*",'Dept. Cost Actuals'!BP$703:BP$872))</f>
        <v>148.61711926473666</v>
      </c>
      <c r="BM26" s="668">
        <f>IF(BM$4="forecast",(AVERAGE(BA26:BL26)),SUMIF('Dept. Cost Actuals'!$E$7:$E$176,"*Telephone*",'Dept. Cost Actuals'!BQ$703:BQ$872))</f>
        <v>148.62941958852008</v>
      </c>
      <c r="BN26" s="668">
        <f>IF(BN$4="forecast",(AVERAGE(BB26:BM26)),SUMIF('Dept. Cost Actuals'!$E$7:$E$176,"*Telephone*",'Dept. Cost Actuals'!BR$703:BR$872))</f>
        <v>148.62352207626051</v>
      </c>
      <c r="BO26" s="668">
        <f>IF(BO$4="forecast",(AVERAGE(BC26:BN26)),SUMIF('Dept. Cost Actuals'!$E$7:$E$176,"*Telephone*",'Dept. Cost Actuals'!BS$703:BS$872))</f>
        <v>148.60829411362815</v>
      </c>
      <c r="BP26" s="668">
        <f>IF(BP$4="forecast",(AVERAGE(BD26:BO26)),SUMIF('Dept. Cost Actuals'!$E$7:$E$176,"*Telephone*",'Dept. Cost Actuals'!BT$703:BT$872))</f>
        <v>148.59498047809331</v>
      </c>
      <c r="BQ26" s="668">
        <f>IF(BQ$4="forecast",(AVERAGE(BE26:BP26)),SUMIF('Dept. Cost Actuals'!$E$7:$E$176,"*Telephone*",'Dept. Cost Actuals'!BU$703:BU$872))</f>
        <v>148.58550268858184</v>
      </c>
      <c r="BR26" s="668">
        <f>IF(BR$4="forecast",(AVERAGE(BF26:BQ26)),SUMIF('Dept. Cost Actuals'!$E$7:$E$176,"*Telephone*",'Dept. Cost Actuals'!BV$703:BV$872))</f>
        <v>148.58176408770399</v>
      </c>
      <c r="BS26" s="668">
        <f>IF(BS$4="forecast",(AVERAGE(BG26:BR26)),SUMIF('Dept. Cost Actuals'!$E$7:$E$176,"*Telephone*",'Dept. Cost Actuals'!BW$703:BW$872))</f>
        <v>148.58438832982438</v>
      </c>
      <c r="BT26" s="668">
        <f>IF(BT$4="forecast",(AVERAGE(BH26:BS26)),SUMIF('Dept. Cost Actuals'!$E$7:$E$176,"*Telephone*",'Dept. Cost Actuals'!BX$703:BX$872))</f>
        <v>148.58677984311237</v>
      </c>
      <c r="BU26" s="668">
        <f>IF(BU$4="forecast",(AVERAGE(BI26:BT26)),SUMIF('Dept. Cost Actuals'!$E$7:$E$176,"*Telephone*",'Dept. Cost Actuals'!BY$703:BY$872))</f>
        <v>148.59020083716212</v>
      </c>
      <c r="BV26" s="668">
        <f>IF(BV$4="forecast",(AVERAGE(BJ26:BU26)),SUMIF('Dept. Cost Actuals'!$E$7:$E$176,"*Telephone*",'Dept. Cost Actuals'!BZ$703:BZ$872))</f>
        <v>148.59478455117619</v>
      </c>
    </row>
    <row r="27" spans="2:74" x14ac:dyDescent="0.25">
      <c r="B27" s="1208" t="s">
        <v>936</v>
      </c>
      <c r="C27" s="668">
        <f>IF(C$4="forecast",(SUM(#REF!)/12)*1.1,SUMIF('Dept. Cost Actuals'!$E$7:$E$176,"*Software*",'Dept. Cost Actuals'!G$703:G$872))</f>
        <v>0</v>
      </c>
      <c r="D27" s="668">
        <f>IF(D$4="forecast",(SUM(#REF!)/12)*1.1,SUMIF('Dept. Cost Actuals'!$E$7:$E$176,"*Software*",'Dept. Cost Actuals'!H$703:H$872))</f>
        <v>0</v>
      </c>
      <c r="E27" s="668">
        <f>IF(E$4="forecast",(SUM(#REF!)/12)*1.1,SUMIF('Dept. Cost Actuals'!$E$7:$E$176,"*Software*",'Dept. Cost Actuals'!I$703:I$872))</f>
        <v>0</v>
      </c>
      <c r="F27" s="668">
        <f>IF(F$4="forecast",(SUM(#REF!)/12)*1.1,SUMIF('Dept. Cost Actuals'!$E$7:$E$176,"*Software*",'Dept. Cost Actuals'!J$703:J$872))</f>
        <v>0</v>
      </c>
      <c r="G27" s="668">
        <f>IF(G$4="forecast",(SUM(#REF!)/12)*1.1,SUMIF('Dept. Cost Actuals'!$E$7:$E$176,"*Software*",'Dept. Cost Actuals'!K$703:K$872))</f>
        <v>0</v>
      </c>
      <c r="H27" s="668">
        <f>IF(H$4="forecast",(SUM(#REF!)/12)*1.1,SUMIF('Dept. Cost Actuals'!$E$7:$E$176,"*Software*",'Dept. Cost Actuals'!L$703:L$872))</f>
        <v>0</v>
      </c>
      <c r="I27" s="668">
        <f>IF(I$4="forecast",(SUM(#REF!)/12)*1.1,SUMIF('Dept. Cost Actuals'!$E$7:$E$176,"*Software*",'Dept. Cost Actuals'!M$703:M$872))</f>
        <v>0</v>
      </c>
      <c r="J27" s="668">
        <f>IF(J$4="forecast",(SUM(#REF!)/12)*1.1,SUMIF('Dept. Cost Actuals'!$E$7:$E$176,"*Software*",'Dept. Cost Actuals'!N$703:N$872))</f>
        <v>0</v>
      </c>
      <c r="K27" s="668">
        <f>IF(K$4="forecast",(SUM(#REF!)/12)*1.1,SUMIF('Dept. Cost Actuals'!$E$7:$E$176,"*Software*",'Dept. Cost Actuals'!O$703:O$872))</f>
        <v>0</v>
      </c>
      <c r="L27" s="668">
        <f>IF(L$4="forecast",(SUM(#REF!)/12)*1.1,SUMIF('Dept. Cost Actuals'!$E$7:$E$176,"*Software*",'Dept. Cost Actuals'!P$703:P$872))</f>
        <v>0</v>
      </c>
      <c r="M27" s="668">
        <f>IF(M$4="forecast",(SUM(#REF!)/12)*1.1,SUMIF('Dept. Cost Actuals'!$E$7:$E$176,"*Software*",'Dept. Cost Actuals'!Q$703:Q$872))</f>
        <v>0</v>
      </c>
      <c r="N27" s="668">
        <f>IF(N$4="forecast",(SUM(A$27:L$27)/12)*1.1,SUMIF('Dept. Cost Actuals'!$E$7:$E$176,"*Software*",'Dept. Cost Actuals'!R$703:R$872))</f>
        <v>0</v>
      </c>
      <c r="O27" s="668">
        <f>IF(O$4="forecast",(SUM(B$27:M$27)/12)*1.1,SUMIF('Dept. Cost Actuals'!$E$7:$E$176,"*Software*",'Dept. Cost Actuals'!S$703:S$872))</f>
        <v>800</v>
      </c>
      <c r="P27" s="668">
        <f>IF(P$4="forecast",(SUM(C$27:N$27)/12)*1.1,SUMIF('Dept. Cost Actuals'!$E$7:$E$176,"*Software*",'Dept. Cost Actuals'!T$703:T$872))</f>
        <v>190.83</v>
      </c>
      <c r="Q27" s="668">
        <f>IF(Q$4="forecast",(SUM(D$27:O$27)/12)*1.1,SUMIF('Dept. Cost Actuals'!$E$7:$E$176,"*Software*",'Dept. Cost Actuals'!U$703:U$872))</f>
        <v>640.95000000000005</v>
      </c>
      <c r="R27" s="668">
        <f>IF(R$4="forecast",(SUM(E$27:P$27)/12)*1.1,SUMIF('Dept. Cost Actuals'!$E$7:$E$176,"*Software*",'Dept. Cost Actuals'!V$703:V$872))</f>
        <v>352.13</v>
      </c>
      <c r="S27" s="668">
        <f>IF(S$4="forecast",(SUM(F$27:Q$27)/12)*1.1,SUMIF('Dept. Cost Actuals'!$E$7:$E$176,"*Software*",'Dept. Cost Actuals'!W$703:W$872))</f>
        <v>371.28</v>
      </c>
      <c r="T27" s="668">
        <f>IF(T$4="forecast",(SUM(G$27:R$27)/12)*1.1,SUMIF('Dept. Cost Actuals'!$E$7:$E$176,"*Software*",'Dept. Cost Actuals'!X$703:X$872))</f>
        <v>735.88</v>
      </c>
      <c r="U27" s="668">
        <f>IF(U$4="forecast",(SUM(H$27:S$27)/12)*1.1,SUMIF('Dept. Cost Actuals'!$E$7:$E$176,"*Software*",'Dept. Cost Actuals'!Y$703:Y$872))</f>
        <v>698.59</v>
      </c>
      <c r="V27" s="668">
        <f>IF(V$4="forecast",(SUM(I$27:T$27)/12)*1.1,SUMIF('Dept. Cost Actuals'!$E$7:$E$176,"*Software*",'Dept. Cost Actuals'!Z$703:Z$872))</f>
        <v>574.75</v>
      </c>
      <c r="W27" s="668">
        <f>IF(W$4="forecast",(SUM(J$27:U$27)/12)*1.1,SUMIF('Dept. Cost Actuals'!$E$7:$E$176,"*Software*",'Dept. Cost Actuals'!AA$703:AA$872))</f>
        <v>2124.12</v>
      </c>
      <c r="X27" s="668">
        <f>IF(X$4="forecast",(SUM(K$27:V$27)/12)*1.1,SUMIF('Dept. Cost Actuals'!$E$7:$E$176,"*Software*",'Dept. Cost Actuals'!AB$703:AB$872))</f>
        <v>1163.27</v>
      </c>
      <c r="Y27" s="668">
        <f>IF(Y$4="forecast",(SUM(L$27:W$27)/12)*1.1,SUMIF('Dept. Cost Actuals'!$E$7:$E$176,"*Software*",'Dept. Cost Actuals'!AC$703:AC$872))</f>
        <v>5178.7</v>
      </c>
      <c r="Z27" s="668">
        <f>IF(Z$4="forecast",(SUM(M$27:X$27)/12)*1.1,SUMIF('Dept. Cost Actuals'!$E$7:$E$176,"*Software*",'Dept. Cost Actuals'!AD$703:AD$872))</f>
        <v>639.05999999999995</v>
      </c>
      <c r="AA27" s="668">
        <f>IF(AA$4="forecast",(SUM(N$27:Y$27)/12)*1.1,SUMIF('Dept. Cost Actuals'!$E$7:$E$176,"*Software*",'Dept. Cost Actuals'!AE$703:AE$872))</f>
        <v>2991.23</v>
      </c>
      <c r="AB27" s="668">
        <f>IF(AB$4="forecast",(SUM(O$27:Z$27)/12)*1.1,SUMIF('Dept. Cost Actuals'!$E$7:$E$176,"*Software*",'Dept. Cost Actuals'!AF$703:AF$872))</f>
        <v>2977.12</v>
      </c>
      <c r="AC27" s="668">
        <f>IF(AC$4="forecast",(SUM(P$27:AA$27)/12)*1.1,SUMIF('Dept. Cost Actuals'!$E$7:$E$176,"*Software*",'Dept. Cost Actuals'!AG$703:AG$872))</f>
        <v>4081.68</v>
      </c>
      <c r="AD27" s="668">
        <f>IF(AD$4="forecast",(SUM(Q$27:AB$27)/12)*1.3,SUMIF('Dept. Cost Actuals'!$E$7:$E$176,"*Software*",'Dept. Cost Actuals'!AH$703:AH$872))</f>
        <v>1998.433666666667</v>
      </c>
      <c r="AE27" s="668">
        <f>IF(AE$4="forecast",(SUM(R$27:AC$27)/12)*1.3,SUMIF('Dept. Cost Actuals'!$E$7:$E$176,"*Software*",'Dept. Cost Actuals'!AI$703:AI$872))</f>
        <v>2371.1794166666668</v>
      </c>
      <c r="AF27" s="668">
        <f>IF(AF$4="forecast",(SUM(S$27:AD$27)/12)*1.3,SUMIF('Dept. Cost Actuals'!$E$7:$E$176,"*Software*",'Dept. Cost Actuals'!AJ$703:AJ$872))</f>
        <v>2549.5289805555558</v>
      </c>
      <c r="AG27" s="668">
        <f>IF(AG$4="forecast",(SUM(T$27:AE$27)/12)*1.3,SUMIF('Dept. Cost Actuals'!$E$7:$E$176,"*Software*",'Dept. Cost Actuals'!AK$703:AK$872))</f>
        <v>2766.1847506944446</v>
      </c>
      <c r="AH27" s="668">
        <f>IF(AH$4="forecast",(SUM(U$27:AF$27)/12)*1.3,SUMIF('Dept. Cost Actuals'!$E$7:$E$176,"*Software*",'Dept. Cost Actuals'!AL$703:AL$872))</f>
        <v>2962.6633902546296</v>
      </c>
      <c r="AI27" s="668">
        <f>IF(AI$4="forecast",(SUM(V$27:AG$27)/12)*1.3,SUMIF('Dept. Cost Actuals'!$E$7:$E$176,"*Software*",'Dept. Cost Actuals'!AM$703:AM$872))</f>
        <v>3186.6528215798612</v>
      </c>
      <c r="AJ27" s="668">
        <f>IF(AJ$4="forecast",(SUM(W$27:AH$27)/12)*1.3,SUMIF('Dept. Cost Actuals'!$E$7:$E$176,"*Software*",'Dept. Cost Actuals'!AN$703:AN$872))</f>
        <v>3445.343438857446</v>
      </c>
      <c r="AK27" s="668">
        <f>IF(AK$4="forecast",(SUM(X$27:AI$27)/12)*1.3,SUMIF('Dept. Cost Actuals'!$E$7:$E$176,"*Software*",'Dept. Cost Actuals'!AO$703:AO$872))</f>
        <v>3560.4511611952644</v>
      </c>
      <c r="AL27" s="668">
        <f>IF(AL$4="forecast",(SUM(Y$27:AJ$27)/12)*1.3,SUMIF('Dept. Cost Actuals'!$E$7:$E$176,"*Software*",'Dept. Cost Actuals'!AP$703:AP$872))</f>
        <v>3807.6757837381542</v>
      </c>
      <c r="AM27" s="668">
        <f>IF(AM$4="forecast",(SUM(Z$27:AK$27)/12)*1.3,SUMIF('Dept. Cost Actuals'!$E$7:$E$176,"*Software*",'Dept. Cost Actuals'!AQ$703:AQ$872))</f>
        <v>3632.365492867641</v>
      </c>
      <c r="AN27" s="668">
        <f>IF(AN$4="forecast",(SUM(AA$27:AL$27)/12)*1.3,SUMIF('Dept. Cost Actuals'!$E$7:$E$176,"*Software*",'Dept. Cost Actuals'!AR$703:AR$872))</f>
        <v>3975.6322027726078</v>
      </c>
      <c r="AO27" s="668">
        <f>IF(AO$4="forecast",(SUM(AB$27:AM$27)/12)*1.3,SUMIF('Dept. Cost Actuals'!$E$7:$E$176,"*Software*",'Dept. Cost Actuals'!AS$703:AS$872))</f>
        <v>4045.0885478332693</v>
      </c>
      <c r="AP27" s="668">
        <f>IF(AP$4="forecast",(SUM(AC$27:AN$27)/12)*1.3,SUMIF('Dept. Cost Actuals'!$E$7:$E$176,"*Software*",'Dept. Cost Actuals'!AT$703:AT$872))</f>
        <v>4153.2607031336356</v>
      </c>
      <c r="AQ27" s="668">
        <f>IF(AQ$4="forecast",(SUM(AD$27:AO$27)/12)*1.3,SUMIF('Dept. Cost Actuals'!$E$7:$E$176,"*Software*",'Dept. Cost Actuals'!AU$703:AU$872))</f>
        <v>4149.2966291489065</v>
      </c>
      <c r="AR27" s="668">
        <f>IF(AR$4="forecast",(SUM(AE$27:AP$27)/12)*1.3,SUMIF('Dept. Cost Actuals'!$E$7:$E$176,"*Software*",'Dept. Cost Actuals'!AV$703:AV$872))</f>
        <v>4382.7362247661613</v>
      </c>
      <c r="AS27" s="668">
        <f>IF(AS$4="forecast",(SUM(AF$27:AQ$27)/12)*1.3,SUMIF('Dept. Cost Actuals'!$E$7:$E$176,"*Software*",'Dept. Cost Actuals'!AW$703:AW$872))</f>
        <v>4575.3655894517369</v>
      </c>
      <c r="AT27" s="668">
        <f>IF(AT$4="forecast",(SUM(AG$27:AR$27)/12)*1.3,SUMIF('Dept. Cost Actuals'!$E$7:$E$176,"*Software*",'Dept. Cost Actuals'!AX$703:AX$872))</f>
        <v>4773.9630409078854</v>
      </c>
      <c r="AU27" s="668">
        <f>IF(AU$4="forecast",(SUM(AH$27:AS$27)/12)*1.3,SUMIF('Dept. Cost Actuals'!$E$7:$E$176,"*Software*",'Dept. Cost Actuals'!AY$703:AY$872))</f>
        <v>4969.9576317732599</v>
      </c>
      <c r="AV27" s="668">
        <f>IF(AV$4="forecast",(SUM(AI$27:AT$27)/12)*1.3,SUMIF('Dept. Cost Actuals'!$E$7:$E$176,"*Software*",'Dept. Cost Actuals'!AZ$703:AZ$872))</f>
        <v>5166.1817605940278</v>
      </c>
      <c r="AW27" s="668">
        <f>IF(AW$4="forecast",(SUM(AJ$27:AU$27)/12)*1.3,SUMIF('Dept. Cost Actuals'!$E$7:$E$176,"*Software*",'Dept. Cost Actuals'!BA$703:BA$872))</f>
        <v>5359.3731150316462</v>
      </c>
      <c r="AX27" s="668">
        <f>IF(AX$4="forecast",(SUM(AK$27:AV$27)/12)*1.3,SUMIF('Dept. Cost Actuals'!$E$7:$E$176,"*Software*",'Dept. Cost Actuals'!BB$703:BB$872))</f>
        <v>5545.7972665531097</v>
      </c>
      <c r="AY27" s="668">
        <f>IF(AY$4="forecast",(SUM(AL$27:AW$27)/12)*1.3,SUMIF('Dept. Cost Actuals'!$E$7:$E$176,"*Software*",'Dept. Cost Actuals'!BC$703:BC$872))</f>
        <v>5740.6804782187182</v>
      </c>
      <c r="AZ27" s="668">
        <f>IF(AZ$4="forecast",(SUM(AM$27:AX$27)/12)*1.3,SUMIF('Dept. Cost Actuals'!$E$7:$E$176,"*Software*",'Dept. Cost Actuals'!BD$703:BD$872))</f>
        <v>5928.9769721903376</v>
      </c>
      <c r="BA27" s="668">
        <f>IF(BA$4="forecast",(SUM(AN$27:AY$27)/12)*1.3,SUMIF('Dept. Cost Actuals'!$E$7:$E$176,"*Software*",'Dept. Cost Actuals'!BE$703:BE$872))</f>
        <v>6157.3777622700381</v>
      </c>
      <c r="BB27" s="668">
        <f>IF(BB$4="forecast",(SUM(AO$27:AZ$27)/12)*1.3,SUMIF('Dept. Cost Actuals'!$E$7:$E$176,"*Software*",'Dept. Cost Actuals'!BF$703:BF$872))</f>
        <v>6368.990112290292</v>
      </c>
      <c r="BC27" s="668">
        <f>IF(BC$4="forecast",(SUM(AP$27:BA$27)/12)*1.3,SUMIF('Dept. Cost Actuals'!$E$7:$E$176,"*Software*",'Dept. Cost Actuals'!BG$703:BG$872))</f>
        <v>6597.8214438542755</v>
      </c>
      <c r="BD27" s="668">
        <f>IF(BD$4="forecast",(SUM(AQ$27:BB$27)/12)*1.3,SUMIF('Dept. Cost Actuals'!$E$7:$E$176,"*Software*",'Dept. Cost Actuals'!BH$703:BH$872))</f>
        <v>6837.8587965129118</v>
      </c>
      <c r="BE27" s="668">
        <f>IF(BE$4="forecast",(SUM(AR$27:BC$27)/12)*1.3,SUMIF('Dept. Cost Actuals'!$E$7:$E$176,"*Software*",'Dept. Cost Actuals'!BI$703:BI$872))</f>
        <v>7103.1156514393278</v>
      </c>
      <c r="BF27" s="668">
        <f>IF(BF$4="forecast",(SUM(AS$27:BD$27)/12)*1.3,SUMIF('Dept. Cost Actuals'!$E$7:$E$176,"*Software*",'Dept. Cost Actuals'!BJ$703:BJ$872))</f>
        <v>7369.0872633785593</v>
      </c>
      <c r="BG27" s="668">
        <f>IF(BG$4="forecast",(SUM(AT$27:BE$27)/12)*1.3,SUMIF('Dept. Cost Actuals'!$E$7:$E$176,"*Software*",'Dept. Cost Actuals'!BK$703:BK$872))</f>
        <v>7642.9268534272132</v>
      </c>
      <c r="BH27" s="668">
        <f>IF(BH$4="forecast",(SUM(AU$27:BF$27)/12)*1.3,SUMIF('Dept. Cost Actuals'!$E$7:$E$176,"*Software*",'Dept. Cost Actuals'!BL$703:BL$872))</f>
        <v>7924.0653108615379</v>
      </c>
      <c r="BI27" s="668">
        <f>IF(BI$4="forecast",(SUM(AV$27:BG$27)/12)*1.3,SUMIF('Dept. Cost Actuals'!$E$7:$E$176,"*Software*",'Dept. Cost Actuals'!BM$703:BM$872))</f>
        <v>8213.6369765407162</v>
      </c>
      <c r="BJ27" s="668">
        <f>IF(BJ$4="forecast",(SUM(AW$27:BH$27)/12)*1.3,SUMIF('Dept. Cost Actuals'!$E$7:$E$176,"*Software*",'Dept. Cost Actuals'!BN$703:BN$872))</f>
        <v>8512.4076944863646</v>
      </c>
      <c r="BK27" s="668">
        <f>IF(BK$4="forecast",(SUM(AX$27:BI$27)/12)*1.3,SUMIF('Dept. Cost Actuals'!$E$7:$E$176,"*Software*",'Dept. Cost Actuals'!BO$703:BO$872))</f>
        <v>8821.6196128165138</v>
      </c>
      <c r="BL27" s="668">
        <f>IF(BL$4="forecast",(SUM(AY$27:BJ$27)/12)*1.3,SUMIF('Dept. Cost Actuals'!$E$7:$E$176,"*Software*",'Dept. Cost Actuals'!BP$703:BP$872))</f>
        <v>9143.0024091759497</v>
      </c>
      <c r="BM27" s="668">
        <f>IF(BM$4="forecast",(SUM(AZ$27:BK$27)/12)*1.3,SUMIF('Dept. Cost Actuals'!$E$7:$E$176,"*Software*",'Dept. Cost Actuals'!BQ$703:BQ$872))</f>
        <v>9476.7708154240427</v>
      </c>
      <c r="BN27" s="668">
        <f>IF(BN$4="forecast",(SUM(BA$27:BL$27)/12)*1.3,SUMIF('Dept. Cost Actuals'!$E$7:$E$176,"*Software*",'Dept. Cost Actuals'!BR$703:BR$872))</f>
        <v>9824.9569044308191</v>
      </c>
      <c r="BO27" s="668">
        <f>IF(BO$4="forecast",(SUM(BB$27:BM$27)/12)*1.3,SUMIF('Dept. Cost Actuals'!$E$7:$E$176,"*Software*",'Dept. Cost Actuals'!BS$703:BS$872))</f>
        <v>10184.557818522502</v>
      </c>
      <c r="BP27" s="668">
        <f>IF(BP$4="forecast",(SUM(BC$27:BN$27)/12)*1.3,SUMIF('Dept. Cost Actuals'!$E$7:$E$176,"*Software*",'Dept. Cost Actuals'!BT$703:BT$872))</f>
        <v>10558.954221004391</v>
      </c>
      <c r="BQ27" s="668">
        <f>IF(BQ$4="forecast",(SUM(BD$27:BO$27)/12)*1.3,SUMIF('Dept. Cost Actuals'!$E$7:$E$176,"*Software*",'Dept. Cost Actuals'!BU$703:BU$872))</f>
        <v>10947.517328260115</v>
      </c>
      <c r="BR27" s="668">
        <f>IF(BR$4="forecast",(SUM(BE$27:BP$27)/12)*1.3,SUMIF('Dept. Cost Actuals'!$E$7:$E$176,"*Software*",'Dept. Cost Actuals'!BV$703:BV$872))</f>
        <v>11350.635999246693</v>
      </c>
      <c r="BS27" s="668">
        <f>IF(BS$4="forecast",(SUM(BF$27:BQ$27)/12)*1.3,SUMIF('Dept. Cost Actuals'!$E$7:$E$176,"*Software*",'Dept. Cost Actuals'!BW$703:BW$872))</f>
        <v>11767.112847568946</v>
      </c>
      <c r="BT27" s="668">
        <f>IF(BT$4="forecast",(SUM(BG$27:BR$27)/12)*1.3,SUMIF('Dept. Cost Actuals'!$E$7:$E$176,"*Software*",'Dept. Cost Actuals'!BX$703:BX$872))</f>
        <v>12198.447293954659</v>
      </c>
      <c r="BU27" s="668">
        <f>IF(BU$4="forecast",(SUM(BH$27:BS$27)/12)*1.3,SUMIF('Dept. Cost Actuals'!$E$7:$E$176,"*Software*",'Dept. Cost Actuals'!BY$703:BY$872))</f>
        <v>12645.234109986681</v>
      </c>
      <c r="BV27" s="668">
        <f>IF(BV$4="forecast",(SUM(BI$27:BT$27)/12)*1.3,SUMIF('Dept. Cost Actuals'!$E$7:$E$176,"*Software*",'Dept. Cost Actuals'!BZ$703:BZ$872))</f>
        <v>13108.292158155102</v>
      </c>
    </row>
    <row r="28" spans="2:74" x14ac:dyDescent="0.25">
      <c r="B28" s="794" t="s">
        <v>1075</v>
      </c>
      <c r="C28" s="668">
        <f>IF(C$4="forecast",(AVERAGE(#REF!)),SUMIF('Dept. Cost Actuals'!$E$7:$E$176,"*Parking*",'Dept. Cost Actuals'!G$703:G$872))</f>
        <v>0</v>
      </c>
      <c r="D28" s="668">
        <f>IF(D$4="forecast",(AVERAGE(#REF!)),SUMIF('Dept. Cost Actuals'!$E$7:$E$176,"*Parking*",'Dept. Cost Actuals'!H$703:H$872))</f>
        <v>0</v>
      </c>
      <c r="E28" s="668">
        <f>IF(E$4="forecast",(AVERAGE(#REF!)),SUMIF('Dept. Cost Actuals'!$E$7:$E$176,"*Parking*",'Dept. Cost Actuals'!I$703:I$872))</f>
        <v>43</v>
      </c>
      <c r="F28" s="668">
        <f>IF(F$4="forecast",(AVERAGE(#REF!)),SUMIF('Dept. Cost Actuals'!$E$7:$E$176,"*Parking*",'Dept. Cost Actuals'!J$703:J$872))</f>
        <v>0</v>
      </c>
      <c r="G28" s="668">
        <f>IF(G$4="forecast",(AVERAGE(#REF!)),SUMIF('Dept. Cost Actuals'!$E$7:$E$176,"*Parking*",'Dept. Cost Actuals'!K$703:K$872))</f>
        <v>0</v>
      </c>
      <c r="H28" s="668">
        <f>IF(H$4="forecast",(AVERAGE(#REF!)),SUMIF('Dept. Cost Actuals'!$E$7:$E$176,"*Parking*",'Dept. Cost Actuals'!L$703:L$872))</f>
        <v>0</v>
      </c>
      <c r="I28" s="668">
        <f>IF(I$4="forecast",(AVERAGE(#REF!)),SUMIF('Dept. Cost Actuals'!$E$7:$E$176,"*Parking*",'Dept. Cost Actuals'!M$703:M$872))</f>
        <v>0</v>
      </c>
      <c r="J28" s="668">
        <f>IF(J$4="forecast",(AVERAGE(#REF!)),SUMIF('Dept. Cost Actuals'!$E$7:$E$176,"*Parking*",'Dept. Cost Actuals'!N$703:N$872))</f>
        <v>0</v>
      </c>
      <c r="K28" s="668">
        <f>IF(K$4="forecast",(AVERAGE(#REF!)),SUMIF('Dept. Cost Actuals'!$E$7:$E$176,"*Parking*",'Dept. Cost Actuals'!O$703:O$872))</f>
        <v>0</v>
      </c>
      <c r="L28" s="668">
        <f>IF(L$4="forecast",(AVERAGE(#REF!)),SUMIF('Dept. Cost Actuals'!$E$7:$E$176,"*Parking*",'Dept. Cost Actuals'!P$703:P$872))</f>
        <v>0</v>
      </c>
      <c r="M28" s="668">
        <f>IF(M$4="forecast",(AVERAGE(A28:L28)),SUMIF('Dept. Cost Actuals'!$E$7:$E$176,"*Parking*",'Dept. Cost Actuals'!Q$703:Q$872))</f>
        <v>0</v>
      </c>
      <c r="N28" s="668">
        <f>IF(N$4="forecast",(AVERAGE(B28:M28)),SUMIF('Dept. Cost Actuals'!$E$7:$E$176,"*Parking*",'Dept. Cost Actuals'!R$703:R$872))</f>
        <v>0</v>
      </c>
      <c r="O28" s="668">
        <f>IF(O$4="forecast",(AVERAGE(C28:N28)),SUMIF('Dept. Cost Actuals'!$E$7:$E$176,"*Parking*",'Dept. Cost Actuals'!S$703:S$872))</f>
        <v>0</v>
      </c>
      <c r="P28" s="668">
        <f>IF(P$4="forecast",(AVERAGE(D28:O28)),SUMIF('Dept. Cost Actuals'!$E$7:$E$176,"*Parking*",'Dept. Cost Actuals'!T$703:T$872))</f>
        <v>0</v>
      </c>
      <c r="Q28" s="668">
        <f>IF(Q$4="forecast",(AVERAGE(E28:P28)),SUMIF('Dept. Cost Actuals'!$E$7:$E$176,"*Parking*",'Dept. Cost Actuals'!U$703:U$872))</f>
        <v>0</v>
      </c>
      <c r="R28" s="668">
        <f>IF(R$4="forecast",(AVERAGE(F28:Q28)),SUMIF('Dept. Cost Actuals'!$E$7:$E$176,"*Parking*",'Dept. Cost Actuals'!V$703:V$872))</f>
        <v>0</v>
      </c>
      <c r="S28" s="668">
        <f>IF(S$4="forecast",(AVERAGE(G28:R28)),SUMIF('Dept. Cost Actuals'!$E$7:$E$176,"*Parking*",'Dept. Cost Actuals'!W$703:W$872))</f>
        <v>0</v>
      </c>
      <c r="T28" s="668">
        <f>IF(T$4="forecast",(AVERAGE(H28:S28)),SUMIF('Dept. Cost Actuals'!$E$7:$E$176,"*Parking*",'Dept. Cost Actuals'!X$703:X$872))</f>
        <v>0</v>
      </c>
      <c r="U28" s="668">
        <f>IF(U$4="forecast",(AVERAGE(I28:T28)),SUMIF('Dept. Cost Actuals'!$E$7:$E$176,"*Parking*",'Dept. Cost Actuals'!Y$703:Y$872))</f>
        <v>0</v>
      </c>
      <c r="V28" s="668">
        <f>IF(V$4="forecast",(AVERAGE(J28:U28)),SUMIF('Dept. Cost Actuals'!$E$7:$E$176,"*Parking*",'Dept. Cost Actuals'!Z$703:Z$872))</f>
        <v>0</v>
      </c>
      <c r="W28" s="668">
        <f>IF(W$4="forecast",(AVERAGE(K28:V28)),SUMIF('Dept. Cost Actuals'!$E$7:$E$176,"*Parking*",'Dept. Cost Actuals'!AA$703:AA$872))</f>
        <v>0</v>
      </c>
      <c r="X28" s="668">
        <f>IF(X$4="forecast",(AVERAGE(L28:W28)),SUMIF('Dept. Cost Actuals'!$E$7:$E$176,"*Parking*",'Dept. Cost Actuals'!AB$703:AB$872))</f>
        <v>0</v>
      </c>
      <c r="Y28" s="668">
        <f>IF(Y$4="forecast",(AVERAGE(M28:X28)),SUMIF('Dept. Cost Actuals'!$E$7:$E$176,"*Parking*",'Dept. Cost Actuals'!AC$703:AC$872))</f>
        <v>0</v>
      </c>
      <c r="Z28" s="668">
        <f>IF(Z$4="forecast",(AVERAGE(N28:Y28)),SUMIF('Dept. Cost Actuals'!$E$7:$E$176,"*Parking*",'Dept. Cost Actuals'!AD$703:AD$872))</f>
        <v>0</v>
      </c>
      <c r="AA28" s="668">
        <f>IF(AA$4="forecast",(AVERAGE(O28:Z28)),SUMIF('Dept. Cost Actuals'!$E$7:$E$176,"*Parking*",'Dept. Cost Actuals'!AE$703:AE$872))</f>
        <v>0</v>
      </c>
      <c r="AB28" s="668">
        <f>IF(AB$4="forecast",(AVERAGE(P28:AA28)),SUMIF('Dept. Cost Actuals'!$E$7:$E$176,"*Parking*",'Dept. Cost Actuals'!AF$703:AF$872))</f>
        <v>0</v>
      </c>
      <c r="AC28" s="668">
        <f>IF(AC$4="forecast",(AVERAGE(Q28:AB28)),SUMIF('Dept. Cost Actuals'!$E$7:$E$176,"*Parking*",'Dept. Cost Actuals'!AG$703:AG$872))</f>
        <v>0</v>
      </c>
      <c r="AD28" s="668">
        <f>IF(AD$4="forecast",(AVERAGE(R28:AC28)),SUMIF('Dept. Cost Actuals'!$E$7:$E$176,"*Parking*",'Dept. Cost Actuals'!AH$703:AH$872))</f>
        <v>0</v>
      </c>
      <c r="AE28" s="668">
        <f>IF(AE$4="forecast",(AVERAGE(S28:AD28)),SUMIF('Dept. Cost Actuals'!$E$7:$E$176,"*Parking*",'Dept. Cost Actuals'!AI$703:AI$872))</f>
        <v>0</v>
      </c>
      <c r="AF28" s="668">
        <f>IF(AF$4="forecast",(AVERAGE(T28:AE28)),SUMIF('Dept. Cost Actuals'!$E$7:$E$176,"*Parking*",'Dept. Cost Actuals'!AJ$703:AJ$872))</f>
        <v>0</v>
      </c>
      <c r="AG28" s="668">
        <f>IF(AG$4="forecast",(AVERAGE(U28:AF28)),SUMIF('Dept. Cost Actuals'!$E$7:$E$176,"*Parking*",'Dept. Cost Actuals'!AK$703:AK$872))</f>
        <v>0</v>
      </c>
      <c r="AH28" s="668">
        <f>IF(AH$4="forecast",(AVERAGE(V28:AG28)),SUMIF('Dept. Cost Actuals'!$E$7:$E$176,"*Parking*",'Dept. Cost Actuals'!AL$703:AL$872))</f>
        <v>0</v>
      </c>
      <c r="AI28" s="668">
        <f>IF(AI$4="forecast",(AVERAGE(W28:AH28)),SUMIF('Dept. Cost Actuals'!$E$7:$E$176,"*Parking*",'Dept. Cost Actuals'!AM$703:AM$872))</f>
        <v>0</v>
      </c>
      <c r="AJ28" s="668">
        <f>IF(AJ$4="forecast",(AVERAGE(X28:AI28)),SUMIF('Dept. Cost Actuals'!$E$7:$E$176,"*Parking*",'Dept. Cost Actuals'!AN$703:AN$872))</f>
        <v>0</v>
      </c>
      <c r="AK28" s="668">
        <f>IF(AK$4="forecast",(AVERAGE(Y28:AJ28)),SUMIF('Dept. Cost Actuals'!$E$7:$E$176,"*Parking*",'Dept. Cost Actuals'!AO$703:AO$872))</f>
        <v>0</v>
      </c>
      <c r="AL28" s="668">
        <f>IF(AL$4="forecast",(AVERAGE(Z28:AK28)),SUMIF('Dept. Cost Actuals'!$E$7:$E$176,"*Parking*",'Dept. Cost Actuals'!AP$703:AP$872))</f>
        <v>0</v>
      </c>
      <c r="AM28" s="668">
        <f>IF(AM$4="forecast",(AVERAGE(AA28:AL28)),SUMIF('Dept. Cost Actuals'!$E$7:$E$176,"*Parking*",'Dept. Cost Actuals'!AQ$703:AQ$872))</f>
        <v>0</v>
      </c>
      <c r="AN28" s="668">
        <f>IF(AN$4="forecast",(AVERAGE(AB28:AM28)),SUMIF('Dept. Cost Actuals'!$E$7:$E$176,"*Parking*",'Dept. Cost Actuals'!AR$703:AR$872))</f>
        <v>0</v>
      </c>
      <c r="AO28" s="668">
        <f>IF(AO$4="forecast",(AVERAGE(AC28:AN28)),SUMIF('Dept. Cost Actuals'!$E$7:$E$176,"*Parking*",'Dept. Cost Actuals'!AS$703:AS$872))</f>
        <v>0</v>
      </c>
      <c r="AP28" s="668">
        <f>IF(AP$4="forecast",(AVERAGE(AD28:AO28)),SUMIF('Dept. Cost Actuals'!$E$7:$E$176,"*Parking*",'Dept. Cost Actuals'!AT$703:AT$872))</f>
        <v>0</v>
      </c>
      <c r="AQ28" s="668">
        <f>IF(AQ$4="forecast",(AVERAGE(AE28:AP28)),SUMIF('Dept. Cost Actuals'!$E$7:$E$176,"*Parking*",'Dept. Cost Actuals'!AU$703:AU$872))</f>
        <v>0</v>
      </c>
      <c r="AR28" s="668">
        <f>IF(AR$4="forecast",(AVERAGE(AF28:AQ28)),SUMIF('Dept. Cost Actuals'!$E$7:$E$176,"*Parking*",'Dept. Cost Actuals'!AV$703:AV$872))</f>
        <v>0</v>
      </c>
      <c r="AS28" s="668">
        <f>IF(AS$4="forecast",(AVERAGE(AG28:AR28)),SUMIF('Dept. Cost Actuals'!$E$7:$E$176,"*Parking*",'Dept. Cost Actuals'!AW$703:AW$872))</f>
        <v>0</v>
      </c>
      <c r="AT28" s="668">
        <f>IF(AT$4="forecast",(AVERAGE(AH28:AS28)),SUMIF('Dept. Cost Actuals'!$E$7:$E$176,"*Parking*",'Dept. Cost Actuals'!AX$703:AX$872))</f>
        <v>0</v>
      </c>
      <c r="AU28" s="668">
        <f>IF(AU$4="forecast",(AVERAGE(AI28:AT28)),SUMIF('Dept. Cost Actuals'!$E$7:$E$176,"*Parking*",'Dept. Cost Actuals'!AY$703:AY$872))</f>
        <v>0</v>
      </c>
      <c r="AV28" s="668">
        <f>IF(AV$4="forecast",(AVERAGE(AJ28:AU28)),SUMIF('Dept. Cost Actuals'!$E$7:$E$176,"*Parking*",'Dept. Cost Actuals'!AZ$703:AZ$872))</f>
        <v>0</v>
      </c>
      <c r="AW28" s="668">
        <f>IF(AW$4="forecast",(AVERAGE(AK28:AV28)),SUMIF('Dept. Cost Actuals'!$E$7:$E$176,"*Parking*",'Dept. Cost Actuals'!BA$703:BA$872))</f>
        <v>0</v>
      </c>
      <c r="AX28" s="668">
        <f>IF(AX$4="forecast",(AVERAGE(AL28:AW28)),SUMIF('Dept. Cost Actuals'!$E$7:$E$176,"*Parking*",'Dept. Cost Actuals'!BB$703:BB$872))</f>
        <v>0</v>
      </c>
      <c r="AY28" s="668">
        <f>IF(AY$4="forecast",(AVERAGE(AM28:AX28)),SUMIF('Dept. Cost Actuals'!$E$7:$E$176,"*Parking*",'Dept. Cost Actuals'!BC$703:BC$872))</f>
        <v>0</v>
      </c>
      <c r="AZ28" s="668">
        <f>IF(AZ$4="forecast",(AVERAGE(AN28:AY28)),SUMIF('Dept. Cost Actuals'!$E$7:$E$176,"*Parking*",'Dept. Cost Actuals'!BD$703:BD$872))</f>
        <v>0</v>
      </c>
      <c r="BA28" s="668">
        <f>IF(BA$4="forecast",(AVERAGE(AO28:AZ28)),SUMIF('Dept. Cost Actuals'!$E$7:$E$176,"*Parking*",'Dept. Cost Actuals'!BE$703:BE$872))</f>
        <v>0</v>
      </c>
      <c r="BB28" s="668">
        <f>IF(BB$4="forecast",(AVERAGE(AP28:BA28)),SUMIF('Dept. Cost Actuals'!$E$7:$E$176,"*Parking*",'Dept. Cost Actuals'!BF$703:BF$872))</f>
        <v>0</v>
      </c>
      <c r="BC28" s="668">
        <f>IF(BC$4="forecast",(AVERAGE(AQ28:BB28)),SUMIF('Dept. Cost Actuals'!$E$7:$E$176,"*Parking*",'Dept. Cost Actuals'!BG$703:BG$872))</f>
        <v>0</v>
      </c>
      <c r="BD28" s="668">
        <f>IF(BD$4="forecast",(AVERAGE(AR28:BC28)),SUMIF('Dept. Cost Actuals'!$E$7:$E$176,"*Parking*",'Dept. Cost Actuals'!BH$703:BH$872))</f>
        <v>0</v>
      </c>
      <c r="BE28" s="668">
        <f>IF(BE$4="forecast",(AVERAGE(AS28:BD28)),SUMIF('Dept. Cost Actuals'!$E$7:$E$176,"*Parking*",'Dept. Cost Actuals'!BI$703:BI$872))</f>
        <v>0</v>
      </c>
      <c r="BF28" s="668">
        <f>IF(BF$4="forecast",(AVERAGE(AT28:BE28)),SUMIF('Dept. Cost Actuals'!$E$7:$E$176,"*Parking*",'Dept. Cost Actuals'!BJ$703:BJ$872))</f>
        <v>0</v>
      </c>
      <c r="BG28" s="668">
        <f>IF(BG$4="forecast",(AVERAGE(AU28:BF28)),SUMIF('Dept. Cost Actuals'!$E$7:$E$176,"*Parking*",'Dept. Cost Actuals'!BK$703:BK$872))</f>
        <v>0</v>
      </c>
      <c r="BH28" s="668">
        <f>IF(BH$4="forecast",(AVERAGE(AV28:BG28)),SUMIF('Dept. Cost Actuals'!$E$7:$E$176,"*Parking*",'Dept. Cost Actuals'!BL$703:BL$872))</f>
        <v>0</v>
      </c>
      <c r="BI28" s="668">
        <f>IF(BI$4="forecast",(AVERAGE(AW28:BH28)),SUMIF('Dept. Cost Actuals'!$E$7:$E$176,"*Parking*",'Dept. Cost Actuals'!BM$703:BM$872))</f>
        <v>0</v>
      </c>
      <c r="BJ28" s="668">
        <f>IF(BJ$4="forecast",(AVERAGE(AX28:BI28)),SUMIF('Dept. Cost Actuals'!$E$7:$E$176,"*Parking*",'Dept. Cost Actuals'!BN$703:BN$872))</f>
        <v>0</v>
      </c>
      <c r="BK28" s="668">
        <f>IF(BK$4="forecast",(AVERAGE(AY28:BJ28)),SUMIF('Dept. Cost Actuals'!$E$7:$E$176,"*Parking*",'Dept. Cost Actuals'!BO$703:BO$872))</f>
        <v>0</v>
      </c>
      <c r="BL28" s="668">
        <f>IF(BL$4="forecast",(AVERAGE(AZ28:BK28)),SUMIF('Dept. Cost Actuals'!$E$7:$E$176,"*Parking*",'Dept. Cost Actuals'!BP$703:BP$872))</f>
        <v>0</v>
      </c>
      <c r="BM28" s="668">
        <f>IF(BM$4="forecast",(AVERAGE(BA28:BL28)),SUMIF('Dept. Cost Actuals'!$E$7:$E$176,"*Parking*",'Dept. Cost Actuals'!BQ$703:BQ$872))</f>
        <v>0</v>
      </c>
      <c r="BN28" s="668">
        <f>IF(BN$4="forecast",(AVERAGE(BB28:BM28)),SUMIF('Dept. Cost Actuals'!$E$7:$E$176,"*Parking*",'Dept. Cost Actuals'!BR$703:BR$872))</f>
        <v>0</v>
      </c>
      <c r="BO28" s="668">
        <f>IF(BO$4="forecast",(AVERAGE(BC28:BN28)),SUMIF('Dept. Cost Actuals'!$E$7:$E$176,"*Parking*",'Dept. Cost Actuals'!BS$703:BS$872))</f>
        <v>0</v>
      </c>
      <c r="BP28" s="668">
        <f>IF(BP$4="forecast",(AVERAGE(BD28:BO28)),SUMIF('Dept. Cost Actuals'!$E$7:$E$176,"*Parking*",'Dept. Cost Actuals'!BT$703:BT$872))</f>
        <v>0</v>
      </c>
      <c r="BQ28" s="668">
        <f>IF(BQ$4="forecast",(AVERAGE(BE28:BP28)),SUMIF('Dept. Cost Actuals'!$E$7:$E$176,"*Parking*",'Dept. Cost Actuals'!BU$703:BU$872))</f>
        <v>0</v>
      </c>
      <c r="BR28" s="668">
        <f>IF(BR$4="forecast",(AVERAGE(BF28:BQ28)),SUMIF('Dept. Cost Actuals'!$E$7:$E$176,"*Parking*",'Dept. Cost Actuals'!BV$703:BV$872))</f>
        <v>0</v>
      </c>
      <c r="BS28" s="668">
        <f>IF(BS$4="forecast",(AVERAGE(BG28:BR28)),SUMIF('Dept. Cost Actuals'!$E$7:$E$176,"*Parking*",'Dept. Cost Actuals'!BW$703:BW$872))</f>
        <v>0</v>
      </c>
      <c r="BT28" s="668">
        <f>IF(BT$4="forecast",(AVERAGE(BH28:BS28)),SUMIF('Dept. Cost Actuals'!$E$7:$E$176,"*Parking*",'Dept. Cost Actuals'!BX$703:BX$872))</f>
        <v>0</v>
      </c>
      <c r="BU28" s="668">
        <f>IF(BU$4="forecast",(AVERAGE(BI28:BT28)),SUMIF('Dept. Cost Actuals'!$E$7:$E$176,"*Parking*",'Dept. Cost Actuals'!BY$703:BY$872))</f>
        <v>0</v>
      </c>
      <c r="BV28" s="668">
        <f>IF(BV$4="forecast",(AVERAGE(BJ28:BU28)),SUMIF('Dept. Cost Actuals'!$E$7:$E$176,"*Parking*",'Dept. Cost Actuals'!BZ$703:BZ$872))</f>
        <v>0</v>
      </c>
    </row>
    <row r="29" spans="2:74" x14ac:dyDescent="0.25">
      <c r="B29" s="795" t="s">
        <v>937</v>
      </c>
      <c r="C29" s="1156">
        <f t="shared" ref="C29:BN29" si="8">SUM(C17:C28,C14)</f>
        <v>22009.511068457225</v>
      </c>
      <c r="D29" s="1156">
        <f t="shared" si="8"/>
        <v>20671.98071722778</v>
      </c>
      <c r="E29" s="1156">
        <f t="shared" si="8"/>
        <v>20506.524108545884</v>
      </c>
      <c r="F29" s="1156">
        <f t="shared" si="8"/>
        <v>25571.408182073734</v>
      </c>
      <c r="G29" s="1156">
        <f t="shared" si="8"/>
        <v>23262.296412600932</v>
      </c>
      <c r="H29" s="1156">
        <f t="shared" si="8"/>
        <v>33621.909473010768</v>
      </c>
      <c r="I29" s="1156">
        <f t="shared" si="8"/>
        <v>22729.360358551679</v>
      </c>
      <c r="J29" s="1156">
        <f t="shared" si="8"/>
        <v>27404.944340276626</v>
      </c>
      <c r="K29" s="1156">
        <f t="shared" si="8"/>
        <v>23883.268653336396</v>
      </c>
      <c r="L29" s="1156">
        <f t="shared" si="8"/>
        <v>28939.096668032173</v>
      </c>
      <c r="M29" s="1156">
        <f t="shared" si="8"/>
        <v>54621.463064327116</v>
      </c>
      <c r="N29" s="1156">
        <f t="shared" si="8"/>
        <v>52377.323480416671</v>
      </c>
      <c r="O29" s="1156">
        <f t="shared" si="8"/>
        <v>47460.729999999996</v>
      </c>
      <c r="P29" s="1156">
        <f t="shared" si="8"/>
        <v>33957.050000000003</v>
      </c>
      <c r="Q29" s="1156">
        <f t="shared" si="8"/>
        <v>57004.15</v>
      </c>
      <c r="R29" s="1156">
        <f t="shared" si="8"/>
        <v>41107.999999999993</v>
      </c>
      <c r="S29" s="1156">
        <f t="shared" si="8"/>
        <v>71551.64</v>
      </c>
      <c r="T29" s="1156">
        <f t="shared" si="8"/>
        <v>77163.989999999991</v>
      </c>
      <c r="U29" s="1156">
        <f t="shared" si="8"/>
        <v>63125.74</v>
      </c>
      <c r="V29" s="1156">
        <f t="shared" si="8"/>
        <v>72766.28</v>
      </c>
      <c r="W29" s="1156">
        <f t="shared" si="8"/>
        <v>64200.729999999996</v>
      </c>
      <c r="X29" s="1156">
        <f t="shared" si="8"/>
        <v>76741.23000000001</v>
      </c>
      <c r="Y29" s="1156">
        <f t="shared" si="8"/>
        <v>72841.01999999999</v>
      </c>
      <c r="Z29" s="1156">
        <f t="shared" si="8"/>
        <v>94241.09</v>
      </c>
      <c r="AA29" s="1156">
        <f t="shared" si="8"/>
        <v>138417.66</v>
      </c>
      <c r="AB29" s="1156">
        <f t="shared" si="8"/>
        <v>116152.97</v>
      </c>
      <c r="AC29" s="1156">
        <f t="shared" si="8"/>
        <v>114190.75</v>
      </c>
      <c r="AD29" s="1156">
        <f t="shared" si="8"/>
        <v>217179.01127061751</v>
      </c>
      <c r="AE29" s="1156">
        <f t="shared" si="8"/>
        <v>230581.45220958386</v>
      </c>
      <c r="AF29" s="1156">
        <f t="shared" si="8"/>
        <v>234956.56513168346</v>
      </c>
      <c r="AG29" s="1156">
        <f t="shared" si="8"/>
        <v>231637.05018065416</v>
      </c>
      <c r="AH29" s="1156">
        <f t="shared" si="8"/>
        <v>232823.4856241635</v>
      </c>
      <c r="AI29" s="1156">
        <f t="shared" si="8"/>
        <v>230524.87365374662</v>
      </c>
      <c r="AJ29" s="1156">
        <f t="shared" si="8"/>
        <v>231803.57718695456</v>
      </c>
      <c r="AK29" s="1156">
        <f t="shared" si="8"/>
        <v>232449.07916936788</v>
      </c>
      <c r="AL29" s="1156">
        <f t="shared" si="8"/>
        <v>233275.95617481016</v>
      </c>
      <c r="AM29" s="1156">
        <f t="shared" si="8"/>
        <v>224954.40390919446</v>
      </c>
      <c r="AN29" s="1156">
        <f t="shared" si="8"/>
        <v>192661.0479607571</v>
      </c>
      <c r="AO29" s="1156">
        <f t="shared" si="8"/>
        <v>193485.79664507048</v>
      </c>
      <c r="AP29" s="1156">
        <f t="shared" si="8"/>
        <v>194466.81044257365</v>
      </c>
      <c r="AQ29" s="1156">
        <f t="shared" si="8"/>
        <v>195190.78551954328</v>
      </c>
      <c r="AR29" s="1156">
        <f t="shared" si="8"/>
        <v>196152.48149203084</v>
      </c>
      <c r="AS29" s="1156">
        <f t="shared" si="8"/>
        <v>197079.67345238384</v>
      </c>
      <c r="AT29" s="1156">
        <f t="shared" si="8"/>
        <v>197997.96529870812</v>
      </c>
      <c r="AU29" s="1156">
        <f t="shared" si="8"/>
        <v>198903.70310648254</v>
      </c>
      <c r="AV29" s="1156">
        <f t="shared" si="8"/>
        <v>199808.10717729473</v>
      </c>
      <c r="AW29" s="1156">
        <f t="shared" si="8"/>
        <v>200695.0670660903</v>
      </c>
      <c r="AX29" s="1156">
        <f t="shared" si="8"/>
        <v>201600.44894835469</v>
      </c>
      <c r="AY29" s="1156">
        <f t="shared" si="8"/>
        <v>203895.81418431416</v>
      </c>
      <c r="AZ29" s="1156">
        <f t="shared" si="8"/>
        <v>209014.50124373686</v>
      </c>
      <c r="BA29" s="1156">
        <f t="shared" si="8"/>
        <v>209997.57916594937</v>
      </c>
      <c r="BB29" s="1156">
        <f t="shared" si="8"/>
        <v>210962.36535887478</v>
      </c>
      <c r="BC29" s="1156">
        <f t="shared" si="8"/>
        <v>211932.94619476807</v>
      </c>
      <c r="BD29" s="1156">
        <f t="shared" si="8"/>
        <v>212914.43189256964</v>
      </c>
      <c r="BE29" s="1156">
        <f t="shared" si="8"/>
        <v>213920.78440136061</v>
      </c>
      <c r="BF29" s="1156">
        <f t="shared" si="8"/>
        <v>214926.94406671319</v>
      </c>
      <c r="BG29" s="1156">
        <f t="shared" si="8"/>
        <v>215941.22749308625</v>
      </c>
      <c r="BH29" s="1156">
        <f t="shared" si="8"/>
        <v>216963.91614982858</v>
      </c>
      <c r="BI29" s="1156">
        <f t="shared" si="8"/>
        <v>217996.36684762448</v>
      </c>
      <c r="BJ29" s="1156">
        <f t="shared" si="8"/>
        <v>219040.65711719904</v>
      </c>
      <c r="BK29" s="1156">
        <f t="shared" si="8"/>
        <v>221495.24111653119</v>
      </c>
      <c r="BL29" s="1156">
        <f t="shared" si="8"/>
        <v>226922.04041031806</v>
      </c>
      <c r="BM29" s="1156">
        <f t="shared" si="8"/>
        <v>228018.41142438847</v>
      </c>
      <c r="BN29" s="1156">
        <f t="shared" si="8"/>
        <v>229128.35327787753</v>
      </c>
      <c r="BO29" s="1156">
        <f t="shared" ref="BO29:BV29" si="9">SUM(BO17:BO28,BO14)</f>
        <v>230248.9178169354</v>
      </c>
      <c r="BP29" s="1156">
        <f t="shared" si="9"/>
        <v>231384.37172145568</v>
      </c>
      <c r="BQ29" s="1156">
        <f t="shared" si="9"/>
        <v>232534.11912751023</v>
      </c>
      <c r="BR29" s="1156">
        <f t="shared" si="9"/>
        <v>233698.58885139268</v>
      </c>
      <c r="BS29" s="1156">
        <f t="shared" si="9"/>
        <v>234876.67303625343</v>
      </c>
      <c r="BT29" s="1156">
        <f t="shared" si="9"/>
        <v>236069.871144548</v>
      </c>
      <c r="BU29" s="1156">
        <f t="shared" si="9"/>
        <v>237278.70711139141</v>
      </c>
      <c r="BV29" s="1156">
        <f t="shared" si="9"/>
        <v>238503.90452061492</v>
      </c>
    </row>
    <row r="30" spans="2:74" x14ac:dyDescent="0.25">
      <c r="B30" s="783"/>
      <c r="C30" s="156"/>
      <c r="D30" s="156"/>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6"/>
      <c r="AG30" s="156"/>
      <c r="AH30" s="156"/>
      <c r="AI30" s="156"/>
      <c r="AJ30" s="156"/>
      <c r="AK30" s="156"/>
      <c r="AL30" s="156"/>
      <c r="AM30" s="156"/>
      <c r="AN30" s="156"/>
      <c r="AO30" s="156"/>
      <c r="AP30" s="156"/>
      <c r="AQ30" s="156"/>
      <c r="AR30" s="156"/>
      <c r="AS30" s="156"/>
      <c r="AT30" s="156"/>
      <c r="AU30" s="156"/>
      <c r="AV30" s="156"/>
      <c r="AW30" s="156"/>
      <c r="AX30" s="156"/>
      <c r="AY30" s="156"/>
      <c r="AZ30" s="156"/>
      <c r="BA30" s="156"/>
      <c r="BB30" s="156"/>
      <c r="BC30" s="156"/>
      <c r="BD30" s="156"/>
      <c r="BE30" s="156"/>
      <c r="BF30" s="156"/>
      <c r="BG30" s="156"/>
      <c r="BH30" s="156"/>
      <c r="BI30" s="156"/>
      <c r="BJ30" s="156"/>
      <c r="BK30" s="156"/>
      <c r="BL30" s="156"/>
      <c r="BM30" s="156"/>
      <c r="BN30" s="156"/>
      <c r="BO30" s="156"/>
      <c r="BP30" s="156"/>
      <c r="BQ30" s="156"/>
      <c r="BR30" s="156"/>
      <c r="BS30" s="156"/>
      <c r="BT30" s="156"/>
      <c r="BU30" s="156"/>
      <c r="BV30" s="784"/>
    </row>
    <row r="31" spans="2:74" x14ac:dyDescent="0.25">
      <c r="B31" s="785" t="s">
        <v>938</v>
      </c>
      <c r="C31" s="786"/>
      <c r="D31" s="786"/>
      <c r="E31" s="786"/>
      <c r="F31" s="786"/>
      <c r="G31" s="786"/>
      <c r="H31" s="786"/>
      <c r="I31" s="786"/>
      <c r="J31" s="786"/>
      <c r="K31" s="786"/>
      <c r="L31" s="786"/>
      <c r="M31" s="786"/>
      <c r="N31" s="786"/>
      <c r="O31" s="787"/>
      <c r="P31" s="787"/>
      <c r="Q31" s="787"/>
      <c r="R31" s="787"/>
      <c r="S31" s="787"/>
      <c r="T31" s="787"/>
      <c r="U31" s="787"/>
      <c r="V31" s="787"/>
      <c r="W31" s="787"/>
      <c r="X31" s="787"/>
      <c r="Y31" s="787"/>
      <c r="Z31" s="787"/>
      <c r="AA31" s="787"/>
      <c r="AB31" s="787"/>
      <c r="AC31" s="787"/>
      <c r="AD31" s="787"/>
      <c r="AE31" s="787"/>
      <c r="AF31" s="787"/>
      <c r="AG31" s="787"/>
      <c r="AH31" s="787"/>
      <c r="AI31" s="787"/>
      <c r="AJ31" s="787"/>
      <c r="AK31" s="787"/>
      <c r="AL31" s="787"/>
      <c r="AM31" s="787"/>
      <c r="AN31" s="787"/>
      <c r="AO31" s="787"/>
      <c r="AP31" s="787"/>
      <c r="AQ31" s="787"/>
      <c r="AR31" s="787"/>
      <c r="AS31" s="787"/>
      <c r="AT31" s="787"/>
      <c r="AU31" s="787"/>
      <c r="AV31" s="787"/>
      <c r="AW31" s="787"/>
      <c r="AX31" s="787"/>
      <c r="AY31" s="787"/>
      <c r="AZ31" s="787"/>
      <c r="BA31" s="787"/>
      <c r="BB31" s="787"/>
      <c r="BC31" s="787"/>
      <c r="BD31" s="787"/>
      <c r="BE31" s="787"/>
      <c r="BF31" s="787"/>
      <c r="BG31" s="787"/>
      <c r="BH31" s="787"/>
      <c r="BI31" s="787"/>
      <c r="BJ31" s="787"/>
      <c r="BK31" s="787"/>
      <c r="BL31" s="787"/>
      <c r="BM31" s="787"/>
      <c r="BN31" s="787"/>
      <c r="BO31" s="787"/>
      <c r="BP31" s="787"/>
      <c r="BQ31" s="787"/>
      <c r="BR31" s="787"/>
      <c r="BS31" s="787"/>
      <c r="BT31" s="787"/>
      <c r="BU31" s="787"/>
      <c r="BV31" s="788"/>
    </row>
    <row r="32" spans="2:74" x14ac:dyDescent="0.25">
      <c r="B32" s="793" t="s">
        <v>939</v>
      </c>
      <c r="C32" s="1139">
        <f>IF(C$4="forecast",(0),SUMIF('Dept. Cost Actuals'!$E$7:$E$176,"*Professional Fees*",'Dept. Cost Actuals'!G$703:G$872))</f>
        <v>1340</v>
      </c>
      <c r="D32" s="1139">
        <f>IF(D$4="forecast",(0),SUMIF('Dept. Cost Actuals'!$E$7:$E$176,"*Professional Fees*",'Dept. Cost Actuals'!H$703:H$872))</f>
        <v>3012.0155061767273</v>
      </c>
      <c r="E32" s="1139">
        <f>IF(E$4="forecast",(0),SUMIF('Dept. Cost Actuals'!$E$7:$E$176,"*Professional Fees*",'Dept. Cost Actuals'!I$703:I$872))</f>
        <v>2304</v>
      </c>
      <c r="F32" s="1139">
        <f>IF(F$4="forecast",(0),SUMIF('Dept. Cost Actuals'!$E$7:$E$176,"*Professional Fees*",'Dept. Cost Actuals'!J$703:J$872))</f>
        <v>3097.5120585789114</v>
      </c>
      <c r="G32" s="1139">
        <f>IF(G$4="forecast",(0),SUMIF('Dept. Cost Actuals'!$E$7:$E$176,"*Professional Fees*",'Dept. Cost Actuals'!K$703:K$872))</f>
        <v>3096.7068686719704</v>
      </c>
      <c r="H32" s="1139">
        <f>IF(H$4="forecast",(0),SUMIF('Dept. Cost Actuals'!$E$7:$E$176,"*Professional Fees*",'Dept. Cost Actuals'!L$703:L$872))</f>
        <v>3372.6806247749187</v>
      </c>
      <c r="I32" s="1139">
        <f>IF(I$4="forecast",(0),SUMIF('Dept. Cost Actuals'!$E$7:$E$176,"*Professional Fees*",'Dept. Cost Actuals'!M$703:M$872))</f>
        <v>3929.6499192621604</v>
      </c>
      <c r="J32" s="1139">
        <f>IF(J$4="forecast",(0),SUMIF('Dept. Cost Actuals'!$E$7:$E$176,"*Professional Fees*",'Dept. Cost Actuals'!N$703:N$872))</f>
        <v>4690.4005373135196</v>
      </c>
      <c r="K32" s="1139">
        <f>IF(K$4="forecast",(0),SUMIF('Dept. Cost Actuals'!$E$7:$E$176,"*Professional Fees*",'Dept. Cost Actuals'!O$703:O$872))</f>
        <v>4166.7970472637262</v>
      </c>
      <c r="L32" s="1139">
        <f>IF(L$4="forecast",(0),SUMIF('Dept. Cost Actuals'!$E$7:$E$176,"*Professional Fees*",'Dept. Cost Actuals'!P$703:P$872))</f>
        <v>4627.4380331497159</v>
      </c>
      <c r="M32" s="1139">
        <f>IF(M$4="forecast",(0),SUMIF('Dept. Cost Actuals'!$E$7:$E$176,"*Professional Fees*",'Dept. Cost Actuals'!Q$703:Q$872))</f>
        <v>5233.3314304922224</v>
      </c>
      <c r="N32" s="1139">
        <f>IF(N$4="forecast",(0),SUMIF('Dept. Cost Actuals'!$E$7:$E$176,"*Professional Fees*",'Dept. Cost Actuals'!R$703:R$872))</f>
        <v>5023.6787895708676</v>
      </c>
      <c r="O32" s="1139">
        <f>IF(O$4="forecast",(0),SUMIF('Dept. Cost Actuals'!$E$7:$E$176,"*Professional Fees*",'Dept. Cost Actuals'!S$703:S$872))</f>
        <v>17399.939999999999</v>
      </c>
      <c r="P32" s="1139">
        <f>IF(P$4="forecast",(0),SUMIF('Dept. Cost Actuals'!$E$7:$E$176,"*Professional Fees*",'Dept. Cost Actuals'!T$703:T$872))</f>
        <v>2395</v>
      </c>
      <c r="Q32" s="1139">
        <f>IF(Q$4="forecast",(0),SUMIF('Dept. Cost Actuals'!$E$7:$E$176,"*Professional Fees*",'Dept. Cost Actuals'!U$703:U$872))</f>
        <v>17262.650000000001</v>
      </c>
      <c r="R32" s="1139">
        <f>IF(R$4="forecast",(0),SUMIF('Dept. Cost Actuals'!$E$7:$E$176,"*Professional Fees*",'Dept. Cost Actuals'!V$703:V$872))</f>
        <v>21845.95</v>
      </c>
      <c r="S32" s="1139">
        <f>IF(S$4="forecast",(0),SUMIF('Dept. Cost Actuals'!$E$7:$E$176,"*Professional Fees*",'Dept. Cost Actuals'!W$703:W$872))</f>
        <v>26398.36</v>
      </c>
      <c r="T32" s="1139">
        <f>IF(T$4="forecast",(0),SUMIF('Dept. Cost Actuals'!$E$7:$E$176,"*Professional Fees*",'Dept. Cost Actuals'!X$703:X$872))</f>
        <v>6000</v>
      </c>
      <c r="U32" s="1139">
        <f>IF(U$4="forecast",(0),SUMIF('Dept. Cost Actuals'!$E$7:$E$176,"*Professional Fees*",'Dept. Cost Actuals'!Y$703:Y$872))</f>
        <v>46279.96</v>
      </c>
      <c r="V32" s="1139">
        <f>IF(V$4="forecast",(0),SUMIF('Dept. Cost Actuals'!$E$7:$E$176,"*Professional Fees*",'Dept. Cost Actuals'!Z$703:Z$872))</f>
        <v>35001.94</v>
      </c>
      <c r="W32" s="1139">
        <f>IF(W$4="forecast",(0),SUMIF('Dept. Cost Actuals'!$E$7:$E$176,"*Professional Fees*",'Dept. Cost Actuals'!AA$703:AA$872))</f>
        <v>32803.440000000002</v>
      </c>
      <c r="X32" s="1139">
        <f>IF(X$4="forecast",(0),SUMIF('Dept. Cost Actuals'!$E$7:$E$176,"*Professional Fees*",'Dept. Cost Actuals'!AB$703:AB$872))</f>
        <v>33178.54</v>
      </c>
      <c r="Y32" s="1139">
        <f>IF(Y$4="forecast",(0),SUMIF('Dept. Cost Actuals'!$E$7:$E$176,"*Professional Fees*",'Dept. Cost Actuals'!AC$703:AC$872))</f>
        <v>32840.21</v>
      </c>
      <c r="Z32" s="1139">
        <f>IF(Z$4="forecast",(0),SUMIF('Dept. Cost Actuals'!$E$7:$E$176,"*Professional Fees*",'Dept. Cost Actuals'!AD$703:AD$872))</f>
        <v>40796.839999999997</v>
      </c>
      <c r="AA32" s="1139">
        <f>IF(AA$4="forecast",(0),SUMIF('Dept. Cost Actuals'!$E$7:$E$176,"*Professional Fees*",'Dept. Cost Actuals'!AE$703:AE$872))</f>
        <v>33396.480000000003</v>
      </c>
      <c r="AB32" s="1139">
        <f>IF(AB$4="forecast",(0),SUMIF('Dept. Cost Actuals'!$E$7:$E$176,"*Professional Fees*",'Dept. Cost Actuals'!AF$703:AF$872))</f>
        <v>21048.31</v>
      </c>
      <c r="AC32" s="1139">
        <f>IF(AC$4="forecast",(0),SUMIF('Dept. Cost Actuals'!$E$7:$E$176,"*Professional Fees*",'Dept. Cost Actuals'!AG$703:AG$872))</f>
        <v>27564.91</v>
      </c>
      <c r="AD32" s="1139">
        <f>IF(AD$4="forecast",(0),SUMIF('Dept. Cost Actuals'!$E$7:$E$176,"*Professional Fees*",'Dept. Cost Actuals'!AH$703:AH$872))</f>
        <v>0</v>
      </c>
      <c r="AE32" s="1139">
        <f>IF(AE$4="forecast",(0),SUMIF('Dept. Cost Actuals'!$E$7:$E$176,"*Professional Fees*",'Dept. Cost Actuals'!AI$703:AI$872))</f>
        <v>0</v>
      </c>
      <c r="AF32" s="1139">
        <f>IF(AF$4="forecast",(0),SUMIF('Dept. Cost Actuals'!$E$7:$E$176,"*Professional Fees*",'Dept. Cost Actuals'!AJ$703:AJ$872))</f>
        <v>0</v>
      </c>
      <c r="AG32" s="1139">
        <f>IF(AG$4="forecast",(0),SUMIF('Dept. Cost Actuals'!$E$7:$E$176,"*Professional Fees*",'Dept. Cost Actuals'!AK$703:AK$872))</f>
        <v>0</v>
      </c>
      <c r="AH32" s="1139">
        <f>IF(AH$4="forecast",(0),SUMIF('Dept. Cost Actuals'!$E$7:$E$176,"*Professional Fees*",'Dept. Cost Actuals'!AL$703:AL$872))</f>
        <v>0</v>
      </c>
      <c r="AI32" s="1139">
        <f>IF(AI$4="forecast",(0),SUMIF('Dept. Cost Actuals'!$E$7:$E$176,"*Professional Fees*",'Dept. Cost Actuals'!AM$703:AM$872))</f>
        <v>0</v>
      </c>
      <c r="AJ32" s="1139">
        <f>IF(AJ$4="forecast",(0),SUMIF('Dept. Cost Actuals'!$E$7:$E$176,"*Professional Fees*",'Dept. Cost Actuals'!AN$703:AN$872))</f>
        <v>0</v>
      </c>
      <c r="AK32" s="1139">
        <f>IF(AK$4="forecast",(0),SUMIF('Dept. Cost Actuals'!$E$7:$E$176,"*Professional Fees*",'Dept. Cost Actuals'!AO$703:AO$872))</f>
        <v>0</v>
      </c>
      <c r="AL32" s="1139">
        <f>IF(AL$4="forecast",(0),SUMIF('Dept. Cost Actuals'!$E$7:$E$176,"*Professional Fees*",'Dept. Cost Actuals'!AP$703:AP$872))</f>
        <v>0</v>
      </c>
      <c r="AM32" s="1139">
        <f>IF(AM$4="forecast",(0),SUMIF('Dept. Cost Actuals'!$E$7:$E$176,"*Professional Fees*",'Dept. Cost Actuals'!AQ$703:AQ$872))</f>
        <v>0</v>
      </c>
      <c r="AN32" s="1139">
        <f>IF(AN$4="forecast",(0),SUMIF('Dept. Cost Actuals'!$E$7:$E$176,"*Professional Fees*",'Dept. Cost Actuals'!AR$703:AR$872))</f>
        <v>0</v>
      </c>
      <c r="AO32" s="1139">
        <f>IF(AO$4="forecast",(0),SUMIF('Dept. Cost Actuals'!$E$7:$E$176,"*Professional Fees*",'Dept. Cost Actuals'!AS$703:AS$872))</f>
        <v>0</v>
      </c>
      <c r="AP32" s="1139">
        <f>IF(AP$4="forecast",(0),SUMIF('Dept. Cost Actuals'!$E$7:$E$176,"*Professional Fees*",'Dept. Cost Actuals'!AT$703:AT$872))</f>
        <v>0</v>
      </c>
      <c r="AQ32" s="1139">
        <f>IF(AQ$4="forecast",(0),SUMIF('Dept. Cost Actuals'!$E$7:$E$176,"*Professional Fees*",'Dept. Cost Actuals'!AU$703:AU$872))</f>
        <v>0</v>
      </c>
      <c r="AR32" s="1139">
        <f>IF(AR$4="forecast",(0),SUMIF('Dept. Cost Actuals'!$E$7:$E$176,"*Professional Fees*",'Dept. Cost Actuals'!AV$703:AV$872))</f>
        <v>0</v>
      </c>
      <c r="AS32" s="1139">
        <f>IF(AS$4="forecast",(0),SUMIF('Dept. Cost Actuals'!$E$7:$E$176,"*Professional Fees*",'Dept. Cost Actuals'!AW$703:AW$872))</f>
        <v>0</v>
      </c>
      <c r="AT32" s="1139">
        <f>IF(AT$4="forecast",(0),SUMIF('Dept. Cost Actuals'!$E$7:$E$176,"*Professional Fees*",'Dept. Cost Actuals'!AX$703:AX$872))</f>
        <v>0</v>
      </c>
      <c r="AU32" s="1139">
        <f>IF(AU$4="forecast",(0),SUMIF('Dept. Cost Actuals'!$E$7:$E$176,"*Professional Fees*",'Dept. Cost Actuals'!AY$703:AY$872))</f>
        <v>0</v>
      </c>
      <c r="AV32" s="1139">
        <f>IF(AV$4="forecast",(0),SUMIF('Dept. Cost Actuals'!$E$7:$E$176,"*Professional Fees*",'Dept. Cost Actuals'!AZ$703:AZ$872))</f>
        <v>0</v>
      </c>
      <c r="AW32" s="1139">
        <f>IF(AW$4="forecast",(0),SUMIF('Dept. Cost Actuals'!$E$7:$E$176,"*Professional Fees*",'Dept. Cost Actuals'!BA$703:BA$872))</f>
        <v>0</v>
      </c>
      <c r="AX32" s="1139">
        <f>IF(AX$4="forecast",(0),SUMIF('Dept. Cost Actuals'!$E$7:$E$176,"*Professional Fees*",'Dept. Cost Actuals'!BB$703:BB$872))</f>
        <v>0</v>
      </c>
      <c r="AY32" s="1139">
        <f>IF(AY$4="forecast",(0),SUMIF('Dept. Cost Actuals'!$E$7:$E$176,"*Professional Fees*",'Dept. Cost Actuals'!BC$703:BC$872))</f>
        <v>0</v>
      </c>
      <c r="AZ32" s="1139">
        <f>IF(AZ$4="forecast",(0),SUMIF('Dept. Cost Actuals'!$E$7:$E$176,"*Professional Fees*",'Dept. Cost Actuals'!BD$703:BD$872))</f>
        <v>0</v>
      </c>
      <c r="BA32" s="1139">
        <f>IF(BA$4="forecast",(0),SUMIF('Dept. Cost Actuals'!$E$7:$E$176,"*Professional Fees*",'Dept. Cost Actuals'!BE$703:BE$872))</f>
        <v>0</v>
      </c>
      <c r="BB32" s="1139">
        <f>IF(BB$4="forecast",(0),SUMIF('Dept. Cost Actuals'!$E$7:$E$176,"*Professional Fees*",'Dept. Cost Actuals'!BF$703:BF$872))</f>
        <v>0</v>
      </c>
      <c r="BC32" s="1139">
        <f>IF(BC$4="forecast",(0),SUMIF('Dept. Cost Actuals'!$E$7:$E$176,"*Professional Fees*",'Dept. Cost Actuals'!BG$703:BG$872))</f>
        <v>0</v>
      </c>
      <c r="BD32" s="1139">
        <f>IF(BD$4="forecast",(0),SUMIF('Dept. Cost Actuals'!$E$7:$E$176,"*Professional Fees*",'Dept. Cost Actuals'!BH$703:BH$872))</f>
        <v>0</v>
      </c>
      <c r="BE32" s="1139">
        <f>IF(BE$4="forecast",(0),SUMIF('Dept. Cost Actuals'!$E$7:$E$176,"*Professional Fees*",'Dept. Cost Actuals'!BI$703:BI$872))</f>
        <v>0</v>
      </c>
      <c r="BF32" s="1139">
        <f>IF(BF$4="forecast",(0),SUMIF('Dept. Cost Actuals'!$E$7:$E$176,"*Professional Fees*",'Dept. Cost Actuals'!BJ$703:BJ$872))</f>
        <v>0</v>
      </c>
      <c r="BG32" s="1139">
        <f>IF(BG$4="forecast",(0),SUMIF('Dept. Cost Actuals'!$E$7:$E$176,"*Professional Fees*",'Dept. Cost Actuals'!BK$703:BK$872))</f>
        <v>0</v>
      </c>
      <c r="BH32" s="1139">
        <f>IF(BH$4="forecast",(0),SUMIF('Dept. Cost Actuals'!$E$7:$E$176,"*Professional Fees*",'Dept. Cost Actuals'!BL$703:BL$872))</f>
        <v>0</v>
      </c>
      <c r="BI32" s="1139">
        <f>IF(BI$4="forecast",(0),SUMIF('Dept. Cost Actuals'!$E$7:$E$176,"*Professional Fees*",'Dept. Cost Actuals'!BM$703:BM$872))</f>
        <v>0</v>
      </c>
      <c r="BJ32" s="1139">
        <f>IF(BJ$4="forecast",(0),SUMIF('Dept. Cost Actuals'!$E$7:$E$176,"*Professional Fees*",'Dept. Cost Actuals'!BN$703:BN$872))</f>
        <v>0</v>
      </c>
      <c r="BK32" s="1139">
        <f>IF(BK$4="forecast",(0),SUMIF('Dept. Cost Actuals'!$E$7:$E$176,"*Professional Fees*",'Dept. Cost Actuals'!BO$703:BO$872))</f>
        <v>0</v>
      </c>
      <c r="BL32" s="1139">
        <f>IF(BL$4="forecast",(0),SUMIF('Dept. Cost Actuals'!$E$7:$E$176,"*Professional Fees*",'Dept. Cost Actuals'!BP$703:BP$872))</f>
        <v>0</v>
      </c>
      <c r="BM32" s="1139">
        <f>IF(BM$4="forecast",(0),SUMIF('Dept. Cost Actuals'!$E$7:$E$176,"*Professional Fees*",'Dept. Cost Actuals'!BQ$703:BQ$872))</f>
        <v>0</v>
      </c>
      <c r="BN32" s="1139">
        <f>IF(BN$4="forecast",(0),SUMIF('Dept. Cost Actuals'!$E$7:$E$176,"*Professional Fees*",'Dept. Cost Actuals'!BR$703:BR$872))</f>
        <v>0</v>
      </c>
      <c r="BO32" s="1139">
        <f>IF(BO$4="forecast",(0),SUMIF('Dept. Cost Actuals'!$E$7:$E$176,"*Professional Fees*",'Dept. Cost Actuals'!BS$703:BS$872))</f>
        <v>0</v>
      </c>
      <c r="BP32" s="1139">
        <f>IF(BP$4="forecast",(0),SUMIF('Dept. Cost Actuals'!$E$7:$E$176,"*Professional Fees*",'Dept. Cost Actuals'!BT$703:BT$872))</f>
        <v>0</v>
      </c>
      <c r="BQ32" s="1139">
        <f>IF(BQ$4="forecast",(0),SUMIF('Dept. Cost Actuals'!$E$7:$E$176,"*Professional Fees*",'Dept. Cost Actuals'!BU$703:BU$872))</f>
        <v>0</v>
      </c>
      <c r="BR32" s="1139">
        <f>IF(BR$4="forecast",(0),SUMIF('Dept. Cost Actuals'!$E$7:$E$176,"*Professional Fees*",'Dept. Cost Actuals'!BV$703:BV$872))</f>
        <v>0</v>
      </c>
      <c r="BS32" s="1139">
        <f>IF(BS$4="forecast",(0),SUMIF('Dept. Cost Actuals'!$E$7:$E$176,"*Professional Fees*",'Dept. Cost Actuals'!BW$703:BW$872))</f>
        <v>0</v>
      </c>
      <c r="BT32" s="1139">
        <f>IF(BT$4="forecast",(0),SUMIF('Dept. Cost Actuals'!$E$7:$E$176,"*Professional Fees*",'Dept. Cost Actuals'!BX$703:BX$872))</f>
        <v>0</v>
      </c>
      <c r="BU32" s="1139">
        <f>IF(BU$4="forecast",(0),SUMIF('Dept. Cost Actuals'!$E$7:$E$176,"*Professional Fees*",'Dept. Cost Actuals'!BY$703:BY$872))</f>
        <v>0</v>
      </c>
      <c r="BV32" s="1139">
        <f>IF(BV$4="forecast",(0),SUMIF('Dept. Cost Actuals'!$E$7:$E$176,"*Professional Fees*",'Dept. Cost Actuals'!BZ$703:BZ$872))</f>
        <v>0</v>
      </c>
    </row>
    <row r="33" spans="2:74" x14ac:dyDescent="0.25">
      <c r="B33" s="794" t="s">
        <v>919</v>
      </c>
      <c r="C33" s="668">
        <f>IF(C$4="forecast",AVERAGE(#REF!),SUMIF('Dept. Cost Actuals'!$E$7:$E$176,"*Conferences*",'Dept. Cost Actuals'!G$703:G$872))</f>
        <v>0</v>
      </c>
      <c r="D33" s="668">
        <f>IF(D$4="forecast",AVERAGE(#REF!),SUMIF('Dept. Cost Actuals'!$E$7:$E$176,"*Conferences*",'Dept. Cost Actuals'!H$703:H$872))</f>
        <v>0</v>
      </c>
      <c r="E33" s="668">
        <f>IF(E$4="forecast",AVERAGE(#REF!),SUMIF('Dept. Cost Actuals'!$E$7:$E$176,"*Conferences*",'Dept. Cost Actuals'!I$703:I$872))</f>
        <v>0</v>
      </c>
      <c r="F33" s="668">
        <f>IF(F$4="forecast",AVERAGE(#REF!),SUMIF('Dept. Cost Actuals'!$E$7:$E$176,"*Conferences*",'Dept. Cost Actuals'!J$703:J$872))</f>
        <v>0</v>
      </c>
      <c r="G33" s="668">
        <f>IF(G$4="forecast",AVERAGE(#REF!),SUMIF('Dept. Cost Actuals'!$E$7:$E$176,"*Conferences*",'Dept. Cost Actuals'!K$703:K$872))</f>
        <v>0</v>
      </c>
      <c r="H33" s="668">
        <f>IF(H$4="forecast",AVERAGE(#REF!),SUMIF('Dept. Cost Actuals'!$E$7:$E$176,"*Conferences*",'Dept. Cost Actuals'!L$703:L$872))</f>
        <v>0</v>
      </c>
      <c r="I33" s="668">
        <f>IF(I$4="forecast",AVERAGE(#REF!),SUMIF('Dept. Cost Actuals'!$E$7:$E$176,"*Conferences*",'Dept. Cost Actuals'!M$703:M$872))</f>
        <v>71.939264650107916</v>
      </c>
      <c r="J33" s="668">
        <f>IF(J$4="forecast",AVERAGE(#REF!),SUMIF('Dept. Cost Actuals'!$E$7:$E$176,"*Conferences*",'Dept. Cost Actuals'!N$703:N$872))</f>
        <v>0</v>
      </c>
      <c r="K33" s="668">
        <f>IF(K$4="forecast",AVERAGE(#REF!),SUMIF('Dept. Cost Actuals'!$E$7:$E$176,"*Conferences*",'Dept. Cost Actuals'!O$703:O$872))</f>
        <v>49.490709491137906</v>
      </c>
      <c r="L33" s="668">
        <f>IF(L$4="forecast",AVERAGE(#REF!),SUMIF('Dept. Cost Actuals'!$E$7:$E$176,"*Conferences*",'Dept. Cost Actuals'!P$703:P$872))</f>
        <v>52.28431288621605</v>
      </c>
      <c r="M33" s="668">
        <f>IF(M$4="forecast",AVERAGE(A33:L33),SUMIF('Dept. Cost Actuals'!$E$7:$E$176,"*Conferences*",'Dept. Cost Actuals'!Q$703:Q$872))</f>
        <v>0</v>
      </c>
      <c r="N33" s="668">
        <f>IF(N$4="forecast",AVERAGE(B33:M33),SUMIF('Dept. Cost Actuals'!$E$7:$E$176,"*Conferences*",'Dept. Cost Actuals'!R$703:R$872))</f>
        <v>0</v>
      </c>
      <c r="O33" s="668">
        <f>IF(O$4="forecast",AVERAGE(C33:N33),SUMIF('Dept. Cost Actuals'!$E$7:$E$176,"*Conferences*",'Dept. Cost Actuals'!S$703:S$872))</f>
        <v>0</v>
      </c>
      <c r="P33" s="668">
        <f>IF(P$4="forecast",AVERAGE(D33:O33),SUMIF('Dept. Cost Actuals'!$E$7:$E$176,"*Conferences*",'Dept. Cost Actuals'!T$703:T$872))</f>
        <v>0</v>
      </c>
      <c r="Q33" s="668">
        <f>IF(Q$4="forecast",AVERAGE(E33:P33),SUMIF('Dept. Cost Actuals'!$E$7:$E$176,"*Conferences*",'Dept. Cost Actuals'!U$703:U$872))</f>
        <v>0</v>
      </c>
      <c r="R33" s="668">
        <f>IF(R$4="forecast",AVERAGE(F33:Q33),SUMIF('Dept. Cost Actuals'!$E$7:$E$176,"*Conferences*",'Dept. Cost Actuals'!V$703:V$872))</f>
        <v>0</v>
      </c>
      <c r="S33" s="668">
        <f>IF(S$4="forecast",AVERAGE(G33:R33),SUMIF('Dept. Cost Actuals'!$E$7:$E$176,"*Conferences*",'Dept. Cost Actuals'!W$703:W$872))</f>
        <v>80.12</v>
      </c>
      <c r="T33" s="668">
        <f>IF(T$4="forecast",AVERAGE(H33:S33),SUMIF('Dept. Cost Actuals'!$E$7:$E$176,"*Conferences*",'Dept. Cost Actuals'!X$703:X$872))</f>
        <v>0</v>
      </c>
      <c r="U33" s="668">
        <f>IF(U$4="forecast",AVERAGE(I33:T33),SUMIF('Dept. Cost Actuals'!$E$7:$E$176,"*Conferences*",'Dept. Cost Actuals'!Y$703:Y$872))</f>
        <v>0</v>
      </c>
      <c r="V33" s="668">
        <f>IF(V$4="forecast",AVERAGE(J33:U33),SUMIF('Dept. Cost Actuals'!$E$7:$E$176,"*Conferences*",'Dept. Cost Actuals'!Z$703:Z$872))</f>
        <v>0</v>
      </c>
      <c r="W33" s="668">
        <f>IF(W$4="forecast",AVERAGE(K33:V33),SUMIF('Dept. Cost Actuals'!$E$7:$E$176,"*Conferences*",'Dept. Cost Actuals'!AA$703:AA$872))</f>
        <v>0</v>
      </c>
      <c r="X33" s="668">
        <f>IF(X$4="forecast",AVERAGE(L33:W33),SUMIF('Dept. Cost Actuals'!$E$7:$E$176,"*Conferences*",'Dept. Cost Actuals'!AB$703:AB$872))</f>
        <v>0</v>
      </c>
      <c r="Y33" s="668">
        <f>IF(Y$4="forecast",AVERAGE(M33:X33),SUMIF('Dept. Cost Actuals'!$E$7:$E$176,"*Conferences*",'Dept. Cost Actuals'!AC$703:AC$872))</f>
        <v>0</v>
      </c>
      <c r="Z33" s="668">
        <f>IF(Z$4="forecast",AVERAGE(N33:Y33),SUMIF('Dept. Cost Actuals'!$E$7:$E$176,"*Conferences*",'Dept. Cost Actuals'!AD$703:AD$872))</f>
        <v>0</v>
      </c>
      <c r="AA33" s="668">
        <f>IF(AA$4="forecast",AVERAGE(O33:Z33),SUMIF('Dept. Cost Actuals'!$E$7:$E$176,"*Conferences*",'Dept. Cost Actuals'!AE$703:AE$872))</f>
        <v>0</v>
      </c>
      <c r="AB33" s="668">
        <f>IF(AB$4="forecast",AVERAGE(P33:AA33),SUMIF('Dept. Cost Actuals'!$E$7:$E$176,"*Conferences*",'Dept. Cost Actuals'!AF$703:AF$872))</f>
        <v>0</v>
      </c>
      <c r="AC33" s="668">
        <f>IF(AC$4="forecast",AVERAGE(Q33:AB33),SUMIF('Dept. Cost Actuals'!$E$7:$E$176,"*Conferences*",'Dept. Cost Actuals'!AG$703:AG$872))</f>
        <v>0</v>
      </c>
      <c r="AD33" s="668">
        <f>IF(AD$4="forecast",AVERAGE(R33:AC33),SUMIF('Dept. Cost Actuals'!$E$7:$E$176,"*Conferences*",'Dept. Cost Actuals'!AH$703:AH$872))</f>
        <v>6.6766666666666667</v>
      </c>
      <c r="AE33" s="668">
        <f>IF(AE$4="forecast",AVERAGE(S33:AD33),SUMIF('Dept. Cost Actuals'!$E$7:$E$176,"*Conferences*",'Dept. Cost Actuals'!AI$703:AI$872))</f>
        <v>7.2330555555555556</v>
      </c>
      <c r="AF33" s="668">
        <f>IF(AF$4="forecast",AVERAGE(T33:AE33),SUMIF('Dept. Cost Actuals'!$E$7:$E$176,"*Conferences*",'Dept. Cost Actuals'!AJ$703:AJ$872))</f>
        <v>1.1591435185185184</v>
      </c>
      <c r="AG33" s="668">
        <f>IF(AG$4="forecast",AVERAGE(U33:AF33),SUMIF('Dept. Cost Actuals'!$E$7:$E$176,"*Conferences*",'Dept. Cost Actuals'!AK$703:AK$872))</f>
        <v>1.255738811728395</v>
      </c>
      <c r="AH33" s="668">
        <f>IF(AH$4="forecast",AVERAGE(V33:AG33),SUMIF('Dept. Cost Actuals'!$E$7:$E$176,"*Conferences*",'Dept. Cost Actuals'!AL$703:AL$872))</f>
        <v>1.3603837127057614</v>
      </c>
      <c r="AI33" s="668">
        <f>IF(AI$4="forecast",AVERAGE(W33:AH33),SUMIF('Dept. Cost Actuals'!$E$7:$E$176,"*Conferences*",'Dept. Cost Actuals'!AM$703:AM$872))</f>
        <v>1.4737490220979081</v>
      </c>
      <c r="AJ33" s="668">
        <f>IF(AJ$4="forecast",AVERAGE(X33:AI33),SUMIF('Dept. Cost Actuals'!$E$7:$E$176,"*Conferences*",'Dept. Cost Actuals'!AN$703:AN$872))</f>
        <v>1.5965614406060673</v>
      </c>
      <c r="AK33" s="668">
        <f>IF(AK$4="forecast",AVERAGE(Y33:AJ33),SUMIF('Dept. Cost Actuals'!$E$7:$E$176,"*Conferences*",'Dept. Cost Actuals'!AO$703:AO$872))</f>
        <v>1.7296082273232394</v>
      </c>
      <c r="AL33" s="668">
        <f>IF(AL$4="forecast",AVERAGE(Z33:AK33),SUMIF('Dept. Cost Actuals'!$E$7:$E$176,"*Conferences*",'Dept. Cost Actuals'!AP$703:AP$872))</f>
        <v>1.8737422462668427</v>
      </c>
      <c r="AM33" s="668">
        <f>IF(AM$4="forecast",AVERAGE(AA33:AL33),SUMIF('Dept. Cost Actuals'!$E$7:$E$176,"*Conferences*",'Dept. Cost Actuals'!AQ$703:AQ$872))</f>
        <v>2.0298874334557464</v>
      </c>
      <c r="AN33" s="668">
        <f>IF(AN$4="forecast",AVERAGE(AB33:AM33),SUMIF('Dept. Cost Actuals'!$E$7:$E$176,"*Conferences*",'Dept. Cost Actuals'!AR$703:AR$872))</f>
        <v>2.1990447195770586</v>
      </c>
      <c r="AO33" s="668">
        <f>IF(AO$4="forecast",AVERAGE(AC33:AN33),SUMIF('Dept. Cost Actuals'!$E$7:$E$176,"*Conferences*",'Dept. Cost Actuals'!AS$703:AS$872))</f>
        <v>2.3822984462084804</v>
      </c>
      <c r="AP33" s="668">
        <f>IF(AP$4="forecast",AVERAGE(AD33:AO33),SUMIF('Dept. Cost Actuals'!$E$7:$E$176,"*Conferences*",'Dept. Cost Actuals'!AT$703:AT$872))</f>
        <v>2.5808233167258536</v>
      </c>
      <c r="AQ33" s="668">
        <f>IF(AQ$4="forecast",AVERAGE(AE33:AP33),SUMIF('Dept. Cost Actuals'!$E$7:$E$176,"*Conferences*",'Dept. Cost Actuals'!AU$703:AU$872))</f>
        <v>2.2395030375641194</v>
      </c>
      <c r="AR33" s="668">
        <f>IF(AR$4="forecast",AVERAGE(AF33:AQ33),SUMIF('Dept. Cost Actuals'!$E$7:$E$176,"*Conferences*",'Dept. Cost Actuals'!AV$703:AV$872))</f>
        <v>1.8233736610648326</v>
      </c>
      <c r="AS33" s="668">
        <f>IF(AS$4="forecast",AVERAGE(AG33:AR33),SUMIF('Dept. Cost Actuals'!$E$7:$E$176,"*Conferences*",'Dept. Cost Actuals'!AW$703:AW$872))</f>
        <v>1.8787261729436919</v>
      </c>
      <c r="AT33" s="668">
        <f>IF(AT$4="forecast",AVERAGE(AH33:AS33),SUMIF('Dept. Cost Actuals'!$E$7:$E$176,"*Conferences*",'Dept. Cost Actuals'!AX$703:AX$872))</f>
        <v>1.9306417863783001</v>
      </c>
      <c r="AU33" s="668">
        <f>IF(AU$4="forecast",AVERAGE(AI33:AT33),SUMIF('Dept. Cost Actuals'!$E$7:$E$176,"*Conferences*",'Dept. Cost Actuals'!AY$703:AY$872))</f>
        <v>1.9781632925176782</v>
      </c>
      <c r="AV33" s="668">
        <f>IF(AV$4="forecast",AVERAGE(AJ33:AU33),SUMIF('Dept. Cost Actuals'!$E$7:$E$176,"*Conferences*",'Dept. Cost Actuals'!AZ$703:AZ$872))</f>
        <v>2.0201978150526592</v>
      </c>
      <c r="AW33" s="668">
        <f>IF(AW$4="forecast",AVERAGE(AK33:AV33),SUMIF('Dept. Cost Actuals'!$E$7:$E$176,"*Conferences*",'Dept. Cost Actuals'!BA$703:BA$872))</f>
        <v>2.0555008462565416</v>
      </c>
      <c r="AX33" s="668">
        <f>IF(AX$4="forecast",AVERAGE(AL33:AW33),SUMIF('Dept. Cost Actuals'!$E$7:$E$176,"*Conferences*",'Dept. Cost Actuals'!BB$703:BB$872))</f>
        <v>2.0826585645009836</v>
      </c>
      <c r="AY33" s="668">
        <f>IF(AY$4="forecast",AVERAGE(AM33:AX33),SUMIF('Dept. Cost Actuals'!$E$7:$E$176,"*Conferences*",'Dept. Cost Actuals'!BC$703:BC$872))</f>
        <v>2.1000682576871621</v>
      </c>
      <c r="AZ33" s="668">
        <f>IF(AZ$4="forecast",AVERAGE(AN33:AY33),SUMIF('Dept. Cost Actuals'!$E$7:$E$176,"*Conferences*",'Dept. Cost Actuals'!BD$703:BD$872))</f>
        <v>2.1059166597064469</v>
      </c>
      <c r="BA33" s="668">
        <f>IF(BA$4="forecast",AVERAGE(AO33:AZ33),SUMIF('Dept. Cost Actuals'!$E$7:$E$176,"*Conferences*",'Dept. Cost Actuals'!BE$703:BE$872))</f>
        <v>2.0981559880505629</v>
      </c>
      <c r="BB33" s="668">
        <f>IF(BB$4="forecast",AVERAGE(AP33:BA33),SUMIF('Dept. Cost Actuals'!$E$7:$E$176,"*Conferences*",'Dept. Cost Actuals'!BF$703:BF$872))</f>
        <v>2.0744774498707366</v>
      </c>
      <c r="BC33" s="668">
        <f>IF(BC$4="forecast",AVERAGE(AQ33:BB33),SUMIF('Dept. Cost Actuals'!$E$7:$E$176,"*Conferences*",'Dept. Cost Actuals'!BG$703:BG$872))</f>
        <v>2.0322819609661433</v>
      </c>
      <c r="BD33" s="668">
        <f>IF(BD$4="forecast",AVERAGE(AR33:BC33),SUMIF('Dept. Cost Actuals'!$E$7:$E$176,"*Conferences*",'Dept. Cost Actuals'!BH$703:BH$872))</f>
        <v>2.0150135379163117</v>
      </c>
      <c r="BE33" s="668">
        <f>IF(BE$4="forecast",AVERAGE(AS33:BD33),SUMIF('Dept. Cost Actuals'!$E$7:$E$176,"*Conferences*",'Dept. Cost Actuals'!BI$703:BI$872))</f>
        <v>2.0309835276539352</v>
      </c>
      <c r="BF33" s="668">
        <f>IF(BF$4="forecast",AVERAGE(AT33:BE33),SUMIF('Dept. Cost Actuals'!$E$7:$E$176,"*Conferences*",'Dept. Cost Actuals'!BJ$703:BJ$872))</f>
        <v>2.0436716405464552</v>
      </c>
      <c r="BG33" s="668">
        <f>IF(BG$4="forecast",AVERAGE(AU33:BF33),SUMIF('Dept. Cost Actuals'!$E$7:$E$176,"*Conferences*",'Dept. Cost Actuals'!BK$703:BK$872))</f>
        <v>2.0530907950604678</v>
      </c>
      <c r="BH33" s="668">
        <f>IF(BH$4="forecast",AVERAGE(AV33:BG33),SUMIF('Dept. Cost Actuals'!$E$7:$E$176,"*Conferences*",'Dept. Cost Actuals'!BL$703:BL$872))</f>
        <v>2.0593347536057003</v>
      </c>
      <c r="BI33" s="668">
        <f>IF(BI$4="forecast",AVERAGE(AW33:BH33),SUMIF('Dept. Cost Actuals'!$E$7:$E$176,"*Conferences*",'Dept. Cost Actuals'!BM$703:BM$872))</f>
        <v>2.062596165151787</v>
      </c>
      <c r="BJ33" s="668">
        <f>IF(BJ$4="forecast",AVERAGE(AX33:BI33),SUMIF('Dept. Cost Actuals'!$E$7:$E$176,"*Conferences*",'Dept. Cost Actuals'!BN$703:BN$872))</f>
        <v>2.0631874417263911</v>
      </c>
      <c r="BK33" s="668">
        <f>IF(BK$4="forecast",AVERAGE(AY33:BJ33),SUMIF('Dept. Cost Actuals'!$E$7:$E$176,"*Conferences*",'Dept. Cost Actuals'!BO$703:BO$872))</f>
        <v>2.0615648481618418</v>
      </c>
      <c r="BL33" s="668">
        <f>IF(BL$4="forecast",AVERAGE(AZ33:BK33),SUMIF('Dept. Cost Actuals'!$E$7:$E$176,"*Conferences*",'Dept. Cost Actuals'!BP$703:BP$872))</f>
        <v>2.0583562307013987</v>
      </c>
      <c r="BM33" s="668">
        <f>IF(BM$4="forecast",AVERAGE(BA33:BL33),SUMIF('Dept. Cost Actuals'!$E$7:$E$176,"*Conferences*",'Dept. Cost Actuals'!BQ$703:BQ$872))</f>
        <v>2.0543928616176448</v>
      </c>
      <c r="BN33" s="668">
        <f>IF(BN$4="forecast",AVERAGE(BB33:BM33),SUMIF('Dept. Cost Actuals'!$E$7:$E$176,"*Conferences*",'Dept. Cost Actuals'!BR$703:BR$872))</f>
        <v>2.0507459344149015</v>
      </c>
      <c r="BO33" s="668">
        <f>IF(BO$4="forecast",AVERAGE(BC33:BN33),SUMIF('Dept. Cost Actuals'!$E$7:$E$176,"*Conferences*",'Dept. Cost Actuals'!BS$703:BS$872))</f>
        <v>2.0487683081269146</v>
      </c>
      <c r="BP33" s="668">
        <f>IF(BP$4="forecast",AVERAGE(BD33:BO33),SUMIF('Dept. Cost Actuals'!$E$7:$E$176,"*Conferences*",'Dept. Cost Actuals'!BT$703:BT$872))</f>
        <v>2.0501421703903127</v>
      </c>
      <c r="BQ33" s="668">
        <f>IF(BQ$4="forecast",AVERAGE(BE33:BP33),SUMIF('Dept. Cost Actuals'!$E$7:$E$176,"*Conferences*",'Dept. Cost Actuals'!BU$703:BU$872))</f>
        <v>2.0530695564298123</v>
      </c>
      <c r="BR33" s="668">
        <f>IF(BR$4="forecast",AVERAGE(BF33:BQ33),SUMIF('Dept. Cost Actuals'!$E$7:$E$176,"*Conferences*",'Dept. Cost Actuals'!BV$703:BV$872))</f>
        <v>2.0549100588278022</v>
      </c>
      <c r="BS33" s="668">
        <f>IF(BS$4="forecast",AVERAGE(BG33:BR33),SUMIF('Dept. Cost Actuals'!$E$7:$E$176,"*Conferences*",'Dept. Cost Actuals'!BW$703:BW$872))</f>
        <v>2.0558465936845809</v>
      </c>
      <c r="BT33" s="668">
        <f>IF(BT$4="forecast",AVERAGE(BH33:BS33),SUMIF('Dept. Cost Actuals'!$E$7:$E$176,"*Conferences*",'Dept. Cost Actuals'!BX$703:BX$872))</f>
        <v>2.0560762435699238</v>
      </c>
      <c r="BU33" s="668">
        <f>IF(BU$4="forecast",AVERAGE(BI33:BT33),SUMIF('Dept. Cost Actuals'!$E$7:$E$176,"*Conferences*",'Dept. Cost Actuals'!BY$703:BY$872))</f>
        <v>2.0558047010669425</v>
      </c>
      <c r="BV33" s="668">
        <f>IF(BV$4="forecast",AVERAGE(BJ33:BU33),SUMIF('Dept. Cost Actuals'!$E$7:$E$176,"*Conferences*",'Dept. Cost Actuals'!BZ$703:BZ$872))</f>
        <v>2.0552387457265389</v>
      </c>
    </row>
    <row r="34" spans="2:74" x14ac:dyDescent="0.25">
      <c r="B34" s="794" t="s">
        <v>940</v>
      </c>
      <c r="C34" s="668">
        <f>IF(C$4="forecast",AVERAGE(#REF!),SUMIF('Dept. Cost Actuals'!$E$7:$E$176,"*Books and Periodicals*",'Dept. Cost Actuals'!G$703:G$872))</f>
        <v>0</v>
      </c>
      <c r="D34" s="668">
        <f>IF(D$4="forecast",AVERAGE(#REF!),SUMIF('Dept. Cost Actuals'!$E$7:$E$176,"*Books and Periodicals*",'Dept. Cost Actuals'!H$703:H$872))</f>
        <v>8.8334996973265927</v>
      </c>
      <c r="E34" s="668">
        <f>IF(E$4="forecast",AVERAGE(#REF!),SUMIF('Dept. Cost Actuals'!$E$7:$E$176,"*Books and Periodicals*",'Dept. Cost Actuals'!I$703:I$872))</f>
        <v>1.6231803078904836</v>
      </c>
      <c r="F34" s="668">
        <f>IF(F$4="forecast",AVERAGE(#REF!),SUMIF('Dept. Cost Actuals'!$E$7:$E$176,"*Books and Periodicals*",'Dept. Cost Actuals'!J$703:J$872))</f>
        <v>17.302481279370031</v>
      </c>
      <c r="G34" s="668">
        <f>IF(G$4="forecast",AVERAGE(#REF!),SUMIF('Dept. Cost Actuals'!$E$7:$E$176,"*Books and Periodicals*",'Dept. Cost Actuals'!K$703:K$872))</f>
        <v>3.2975361360764506</v>
      </c>
      <c r="H34" s="668">
        <f>IF(H$4="forecast",AVERAGE(#REF!),SUMIF('Dept. Cost Actuals'!$E$7:$E$176,"*Books and Periodicals*",'Dept. Cost Actuals'!L$703:L$872))</f>
        <v>27.303806491878245</v>
      </c>
      <c r="I34" s="668">
        <f>IF(I$4="forecast",AVERAGE(#REF!),SUMIF('Dept. Cost Actuals'!$E$7:$E$176,"*Books and Periodicals*",'Dept. Cost Actuals'!M$703:M$872))</f>
        <v>0.77826487001260092</v>
      </c>
      <c r="J34" s="668">
        <f>IF(J$4="forecast",AVERAGE(#REF!),SUMIF('Dept. Cost Actuals'!$E$7:$E$176,"*Books and Periodicals*",'Dept. Cost Actuals'!N$703:N$872))</f>
        <v>6.5434631486602299</v>
      </c>
      <c r="K34" s="668">
        <f>IF(K$4="forecast",AVERAGE(#REF!),SUMIF('Dept. Cost Actuals'!$E$7:$E$176,"*Books and Periodicals*",'Dept. Cost Actuals'!O$703:O$872))</f>
        <v>7.1749156084777184</v>
      </c>
      <c r="L34" s="668">
        <f>IF(L$4="forecast",AVERAGE(#REF!),SUMIF('Dept. Cost Actuals'!$E$7:$E$176,"*Books and Periodicals*",'Dept. Cost Actuals'!P$703:P$872))</f>
        <v>41.622404873219068</v>
      </c>
      <c r="M34" s="668">
        <f>IF(M$4="forecast",AVERAGE(A34:L34),SUMIF('Dept. Cost Actuals'!$E$7:$E$176,"*Books and Periodicals*",'Dept. Cost Actuals'!Q$703:Q$872))</f>
        <v>0</v>
      </c>
      <c r="N34" s="668">
        <f>IF(N$4="forecast",AVERAGE(B34:M34),SUMIF('Dept. Cost Actuals'!$E$7:$E$176,"*Books and Periodicals*",'Dept. Cost Actuals'!R$703:R$872))</f>
        <v>0</v>
      </c>
      <c r="O34" s="668">
        <f>IF(O$4="forecast",AVERAGE(C34:N34),SUMIF('Dept. Cost Actuals'!$E$7:$E$176,"*Books and Periodicals*",'Dept. Cost Actuals'!S$703:S$872))</f>
        <v>0</v>
      </c>
      <c r="P34" s="668">
        <f>IF(P$4="forecast",AVERAGE(D34:O34),SUMIF('Dept. Cost Actuals'!$E$7:$E$176,"*Books and Periodicals*",'Dept. Cost Actuals'!T$703:T$872))</f>
        <v>0</v>
      </c>
      <c r="Q34" s="668">
        <f>IF(Q$4="forecast",AVERAGE(E34:P34),SUMIF('Dept. Cost Actuals'!$E$7:$E$176,"*Books and Periodicals*",'Dept. Cost Actuals'!U$703:U$872))</f>
        <v>0</v>
      </c>
      <c r="R34" s="668">
        <f>IF(R$4="forecast",AVERAGE(F34:Q34),SUMIF('Dept. Cost Actuals'!$E$7:$E$176,"*Books and Periodicals*",'Dept. Cost Actuals'!V$703:V$872))</f>
        <v>0</v>
      </c>
      <c r="S34" s="668">
        <f>IF(S$4="forecast",AVERAGE(G34:R34),SUMIF('Dept. Cost Actuals'!$E$7:$E$176,"*Books and Periodicals*",'Dept. Cost Actuals'!W$703:W$872))</f>
        <v>0</v>
      </c>
      <c r="T34" s="668">
        <f>IF(T$4="forecast",AVERAGE(H34:S34),SUMIF('Dept. Cost Actuals'!$E$7:$E$176,"*Books and Periodicals*",'Dept. Cost Actuals'!X$703:X$872))</f>
        <v>25.51</v>
      </c>
      <c r="U34" s="668">
        <f>IF(U$4="forecast",AVERAGE(I34:T34),SUMIF('Dept. Cost Actuals'!$E$7:$E$176,"*Books and Periodicals*",'Dept. Cost Actuals'!Y$703:Y$872))</f>
        <v>26.99</v>
      </c>
      <c r="V34" s="668">
        <f>IF(V$4="forecast",AVERAGE(J34:U34),SUMIF('Dept. Cost Actuals'!$E$7:$E$176,"*Books and Periodicals*",'Dept. Cost Actuals'!Z$703:Z$872))</f>
        <v>0</v>
      </c>
      <c r="W34" s="668">
        <f>IF(W$4="forecast",AVERAGE(K34:V34),SUMIF('Dept. Cost Actuals'!$E$7:$E$176,"*Books and Periodicals*",'Dept. Cost Actuals'!AA$703:AA$872))</f>
        <v>0</v>
      </c>
      <c r="X34" s="668">
        <f>IF(X$4="forecast",AVERAGE(L34:W34),SUMIF('Dept. Cost Actuals'!$E$7:$E$176,"*Books and Periodicals*",'Dept. Cost Actuals'!AB$703:AB$872))</f>
        <v>0</v>
      </c>
      <c r="Y34" s="668">
        <f>IF(Y$4="forecast",AVERAGE(M34:X34),SUMIF('Dept. Cost Actuals'!$E$7:$E$176,"*Books and Periodicals*",'Dept. Cost Actuals'!AC$703:AC$872))</f>
        <v>0</v>
      </c>
      <c r="Z34" s="668">
        <f>IF(Z$4="forecast",AVERAGE(N34:Y34),SUMIF('Dept. Cost Actuals'!$E$7:$E$176,"*Books and Periodicals*",'Dept. Cost Actuals'!AD$703:AD$872))</f>
        <v>0</v>
      </c>
      <c r="AA34" s="668">
        <f>IF(AA$4="forecast",AVERAGE(O34:Z34),SUMIF('Dept. Cost Actuals'!$E$7:$E$176,"*Books and Periodicals*",'Dept. Cost Actuals'!AE$703:AE$872))</f>
        <v>25.49</v>
      </c>
      <c r="AB34" s="668">
        <f>IF(AB$4="forecast",AVERAGE(P34:AA34),SUMIF('Dept. Cost Actuals'!$E$7:$E$176,"*Books and Periodicals*",'Dept. Cost Actuals'!AF$703:AF$872))</f>
        <v>25.94</v>
      </c>
      <c r="AC34" s="668">
        <f>IF(AC$4="forecast",AVERAGE(Q34:AB34),SUMIF('Dept. Cost Actuals'!$E$7:$E$176,"*Books and Periodicals*",'Dept. Cost Actuals'!AG$703:AG$872))</f>
        <v>0</v>
      </c>
      <c r="AD34" s="668">
        <f>IF(AD$4="forecast",AVERAGE(R34:AC34),SUMIF('Dept. Cost Actuals'!$E$7:$E$176,"*Books and Periodicals*",'Dept. Cost Actuals'!AH$703:AH$872))</f>
        <v>8.6608333333333327</v>
      </c>
      <c r="AE34" s="668">
        <f>IF(AE$4="forecast",AVERAGE(S34:AD34),SUMIF('Dept. Cost Actuals'!$E$7:$E$176,"*Books and Periodicals*",'Dept. Cost Actuals'!AI$703:AI$872))</f>
        <v>9.3825694444444441</v>
      </c>
      <c r="AF34" s="668">
        <f>IF(AF$4="forecast",AVERAGE(T34:AE34),SUMIF('Dept. Cost Actuals'!$E$7:$E$176,"*Books and Periodicals*",'Dept. Cost Actuals'!AJ$703:AJ$872))</f>
        <v>10.16445023148148</v>
      </c>
      <c r="AG34" s="668">
        <f>IF(AG$4="forecast",AVERAGE(U34:AF34),SUMIF('Dept. Cost Actuals'!$E$7:$E$176,"*Books and Periodicals*",'Dept. Cost Actuals'!AK$703:AK$872))</f>
        <v>8.8856544174382712</v>
      </c>
      <c r="AH34" s="668">
        <f>IF(AH$4="forecast",AVERAGE(V34:AG34),SUMIF('Dept. Cost Actuals'!$E$7:$E$176,"*Books and Periodicals*",'Dept. Cost Actuals'!AL$703:AL$872))</f>
        <v>7.3769589522247943</v>
      </c>
      <c r="AI34" s="668">
        <f>IF(AI$4="forecast",AVERAGE(W34:AH34),SUMIF('Dept. Cost Actuals'!$E$7:$E$176,"*Books and Periodicals*",'Dept. Cost Actuals'!AM$703:AM$872))</f>
        <v>7.9917055315768613</v>
      </c>
      <c r="AJ34" s="668">
        <f>IF(AJ$4="forecast",AVERAGE(X34:AI34),SUMIF('Dept. Cost Actuals'!$E$7:$E$176,"*Books and Periodicals*",'Dept. Cost Actuals'!AN$703:AN$872))</f>
        <v>8.6576809925415983</v>
      </c>
      <c r="AK34" s="668">
        <f>IF(AK$4="forecast",AVERAGE(Y34:AJ34),SUMIF('Dept. Cost Actuals'!$E$7:$E$176,"*Books and Periodicals*",'Dept. Cost Actuals'!AO$703:AO$872))</f>
        <v>9.3791544085867322</v>
      </c>
      <c r="AL34" s="668">
        <f>IF(AL$4="forecast",AVERAGE(Z34:AK34),SUMIF('Dept. Cost Actuals'!$E$7:$E$176,"*Books and Periodicals*",'Dept. Cost Actuals'!AP$703:AP$872))</f>
        <v>10.160750609302292</v>
      </c>
      <c r="AM34" s="668">
        <f>IF(AM$4="forecast",AVERAGE(AA34:AL34),SUMIF('Dept. Cost Actuals'!$E$7:$E$176,"*Books and Periodicals*",'Dept. Cost Actuals'!AQ$703:AQ$872))</f>
        <v>11.00747982674415</v>
      </c>
      <c r="AN34" s="668">
        <f>IF(AN$4="forecast",AVERAGE(AB34:AM34),SUMIF('Dept. Cost Actuals'!$E$7:$E$176,"*Books and Periodicals*",'Dept. Cost Actuals'!AR$703:AR$872))</f>
        <v>9.8006031456394958</v>
      </c>
      <c r="AO34" s="668">
        <f>IF(AO$4="forecast",AVERAGE(AC34:AN34),SUMIF('Dept. Cost Actuals'!$E$7:$E$176,"*Books and Periodicals*",'Dept. Cost Actuals'!AS$703:AS$872))</f>
        <v>8.4556534077761221</v>
      </c>
      <c r="AP34" s="668">
        <f>IF(AP$4="forecast",AVERAGE(AD34:AO34),SUMIF('Dept. Cost Actuals'!$E$7:$E$176,"*Books and Periodicals*",'Dept. Cost Actuals'!AT$703:AT$872))</f>
        <v>9.1602911917574659</v>
      </c>
      <c r="AQ34" s="668">
        <f>IF(AQ$4="forecast",AVERAGE(AE34:AP34),SUMIF('Dept. Cost Actuals'!$E$7:$E$176,"*Books and Periodicals*",'Dept. Cost Actuals'!AU$703:AU$872))</f>
        <v>9.2019126799594755</v>
      </c>
      <c r="AR34" s="668">
        <f>IF(AR$4="forecast",AVERAGE(AF34:AQ34),SUMIF('Dept. Cost Actuals'!$E$7:$E$176,"*Books and Periodicals*",'Dept. Cost Actuals'!AV$703:AV$872))</f>
        <v>9.186857949585729</v>
      </c>
      <c r="AS34" s="668">
        <f>IF(AS$4="forecast",AVERAGE(AG34:AR34),SUMIF('Dept. Cost Actuals'!$E$7:$E$176,"*Books and Periodicals*",'Dept. Cost Actuals'!AW$703:AW$872))</f>
        <v>9.1053919260944163</v>
      </c>
      <c r="AT34" s="668">
        <f>IF(AT$4="forecast",AVERAGE(AH34:AS34),SUMIF('Dept. Cost Actuals'!$E$7:$E$176,"*Books and Periodicals*",'Dept. Cost Actuals'!AX$703:AX$872))</f>
        <v>9.1237033851490938</v>
      </c>
      <c r="AU34" s="668">
        <f>IF(AU$4="forecast",AVERAGE(AI34:AT34),SUMIF('Dept. Cost Actuals'!$E$7:$E$176,"*Books and Periodicals*",'Dept. Cost Actuals'!AY$703:AY$872))</f>
        <v>9.2692654212261196</v>
      </c>
      <c r="AV34" s="668">
        <f>IF(AV$4="forecast",AVERAGE(AJ34:AU34),SUMIF('Dept. Cost Actuals'!$E$7:$E$176,"*Books and Periodicals*",'Dept. Cost Actuals'!AZ$703:AZ$872))</f>
        <v>9.375728745363558</v>
      </c>
      <c r="AW34" s="668">
        <f>IF(AW$4="forecast",AVERAGE(AK34:AV34),SUMIF('Dept. Cost Actuals'!$E$7:$E$176,"*Books and Periodicals*",'Dept. Cost Actuals'!BA$703:BA$872))</f>
        <v>9.435566058098722</v>
      </c>
      <c r="AX34" s="668">
        <f>IF(AX$4="forecast",AVERAGE(AL34:AW34),SUMIF('Dept. Cost Actuals'!$E$7:$E$176,"*Books and Periodicals*",'Dept. Cost Actuals'!BB$703:BB$872))</f>
        <v>9.4402670288913857</v>
      </c>
      <c r="AY34" s="668">
        <f>IF(AY$4="forecast",AVERAGE(AM34:AX34),SUMIF('Dept. Cost Actuals'!$E$7:$E$176,"*Books and Periodicals*",'Dept. Cost Actuals'!BC$703:BC$872))</f>
        <v>9.3802267305238107</v>
      </c>
      <c r="AZ34" s="668">
        <f>IF(AZ$4="forecast",AVERAGE(AN34:AY34),SUMIF('Dept. Cost Actuals'!$E$7:$E$176,"*Books and Periodicals*",'Dept. Cost Actuals'!BD$703:BD$872))</f>
        <v>9.2446223058387833</v>
      </c>
      <c r="BA34" s="668">
        <f>IF(BA$4="forecast",AVERAGE(AO34:AZ34),SUMIF('Dept. Cost Actuals'!$E$7:$E$176,"*Books and Periodicals*",'Dept. Cost Actuals'!BE$703:BE$872))</f>
        <v>9.1982905691887229</v>
      </c>
      <c r="BB34" s="668">
        <f>IF(BB$4="forecast",AVERAGE(AP34:BA34),SUMIF('Dept. Cost Actuals'!$E$7:$E$176,"*Books and Periodicals*",'Dept. Cost Actuals'!BF$703:BF$872))</f>
        <v>9.2601769993064416</v>
      </c>
      <c r="BC34" s="668">
        <f>IF(BC$4="forecast",AVERAGE(AQ34:BB34),SUMIF('Dept. Cost Actuals'!$E$7:$E$176,"*Books and Periodicals*",'Dept. Cost Actuals'!BG$703:BG$872))</f>
        <v>9.2685008166021898</v>
      </c>
      <c r="BD34" s="668">
        <f>IF(BD$4="forecast",AVERAGE(AR34:BC34),SUMIF('Dept. Cost Actuals'!$E$7:$E$176,"*Books and Periodicals*",'Dept. Cost Actuals'!BH$703:BH$872))</f>
        <v>9.2740498279890833</v>
      </c>
      <c r="BE34" s="668">
        <f>IF(BE$4="forecast",AVERAGE(AS34:BD34),SUMIF('Dept. Cost Actuals'!$E$7:$E$176,"*Books and Periodicals*",'Dept. Cost Actuals'!BI$703:BI$872))</f>
        <v>9.2813158178560276</v>
      </c>
      <c r="BF34" s="668">
        <f>IF(BF$4="forecast",AVERAGE(AT34:BE34),SUMIF('Dept. Cost Actuals'!$E$7:$E$176,"*Books and Periodicals*",'Dept. Cost Actuals'!BJ$703:BJ$872))</f>
        <v>9.2959761421694953</v>
      </c>
      <c r="BG34" s="668">
        <f>IF(BG$4="forecast",AVERAGE(AU34:BF34),SUMIF('Dept. Cost Actuals'!$E$7:$E$176,"*Books and Periodicals*",'Dept. Cost Actuals'!BK$703:BK$872))</f>
        <v>9.310332205254527</v>
      </c>
      <c r="BH34" s="668">
        <f>IF(BH$4="forecast",AVERAGE(AV34:BG34),SUMIF('Dept. Cost Actuals'!$E$7:$E$176,"*Books and Periodicals*",'Dept. Cost Actuals'!BL$703:BL$872))</f>
        <v>9.313754437256895</v>
      </c>
      <c r="BI34" s="668">
        <f>IF(BI$4="forecast",AVERAGE(AW34:BH34),SUMIF('Dept. Cost Actuals'!$E$7:$E$176,"*Books and Periodicals*",'Dept. Cost Actuals'!BM$703:BM$872))</f>
        <v>9.308589911581338</v>
      </c>
      <c r="BJ34" s="668">
        <f>IF(BJ$4="forecast",AVERAGE(AX34:BI34),SUMIF('Dept. Cost Actuals'!$E$7:$E$176,"*Books and Periodicals*",'Dept. Cost Actuals'!BN$703:BN$872))</f>
        <v>9.2980085660382237</v>
      </c>
      <c r="BK34" s="668">
        <f>IF(BK$4="forecast",AVERAGE(AY34:BJ34),SUMIF('Dept. Cost Actuals'!$E$7:$E$176,"*Books and Periodicals*",'Dept. Cost Actuals'!BO$703:BO$872))</f>
        <v>9.2861536941337928</v>
      </c>
      <c r="BL34" s="668">
        <f>IF(BL$4="forecast",AVERAGE(AZ34:BK34),SUMIF('Dept. Cost Actuals'!$E$7:$E$176,"*Books and Periodicals*",'Dept. Cost Actuals'!BP$703:BP$872))</f>
        <v>9.2783142744346261</v>
      </c>
      <c r="BM34" s="668">
        <f>IF(BM$4="forecast",AVERAGE(BA34:BL34),SUMIF('Dept. Cost Actuals'!$E$7:$E$176,"*Books and Periodicals*",'Dept. Cost Actuals'!BQ$703:BQ$872))</f>
        <v>9.2811219384842776</v>
      </c>
      <c r="BN34" s="668">
        <f>IF(BN$4="forecast",AVERAGE(BB34:BM34),SUMIF('Dept. Cost Actuals'!$E$7:$E$176,"*Books and Periodicals*",'Dept. Cost Actuals'!BR$703:BR$872))</f>
        <v>9.2880245525922405</v>
      </c>
      <c r="BO34" s="668">
        <f>IF(BO$4="forecast",AVERAGE(BC34:BN34),SUMIF('Dept. Cost Actuals'!$E$7:$E$176,"*Books and Periodicals*",'Dept. Cost Actuals'!BS$703:BS$872))</f>
        <v>9.2903451820327252</v>
      </c>
      <c r="BP34" s="668">
        <f>IF(BP$4="forecast",AVERAGE(BD34:BO34),SUMIF('Dept. Cost Actuals'!$E$7:$E$176,"*Books and Periodicals*",'Dept. Cost Actuals'!BT$703:BT$872))</f>
        <v>9.2921655458186034</v>
      </c>
      <c r="BQ34" s="668">
        <f>IF(BQ$4="forecast",AVERAGE(BE34:BP34),SUMIF('Dept. Cost Actuals'!$E$7:$E$176,"*Books and Periodicals*",'Dept. Cost Actuals'!BU$703:BU$872))</f>
        <v>9.2936751889710632</v>
      </c>
      <c r="BR34" s="668">
        <f>IF(BR$4="forecast",AVERAGE(BF34:BQ34),SUMIF('Dept. Cost Actuals'!$E$7:$E$176,"*Books and Periodicals*",'Dept. Cost Actuals'!BV$703:BV$872))</f>
        <v>9.2947051365639854</v>
      </c>
      <c r="BS34" s="668">
        <f>IF(BS$4="forecast",AVERAGE(BG34:BR34),SUMIF('Dept. Cost Actuals'!$E$7:$E$176,"*Books and Periodicals*",'Dept. Cost Actuals'!BW$703:BW$872))</f>
        <v>9.2945992194301912</v>
      </c>
      <c r="BT34" s="668">
        <f>IF(BT$4="forecast",AVERAGE(BH34:BS34),SUMIF('Dept. Cost Actuals'!$E$7:$E$176,"*Books and Periodicals*",'Dept. Cost Actuals'!BX$703:BX$872))</f>
        <v>9.2932881372781644</v>
      </c>
      <c r="BU34" s="668">
        <f>IF(BU$4="forecast",AVERAGE(BI34:BT34),SUMIF('Dept. Cost Actuals'!$E$7:$E$176,"*Books and Periodicals*",'Dept. Cost Actuals'!BY$703:BY$872))</f>
        <v>9.291582612279937</v>
      </c>
      <c r="BV34" s="668">
        <f>IF(BV$4="forecast",AVERAGE(BJ34:BU34),SUMIF('Dept. Cost Actuals'!$E$7:$E$176,"*Books and Periodicals*",'Dept. Cost Actuals'!BZ$703:BZ$872))</f>
        <v>9.2901653373381539</v>
      </c>
    </row>
    <row r="35" spans="2:74" x14ac:dyDescent="0.25">
      <c r="B35" s="794" t="s">
        <v>941</v>
      </c>
      <c r="C35" s="668">
        <f>IF(C$4="forecast",AVERAGE(#REF!),SUMIF('Dept. Cost Actuals'!$E$7:$E$176,"*Postage and Delivery*",'Dept. Cost Actuals'!G$703:G$872))</f>
        <v>5.6781674878658306</v>
      </c>
      <c r="D35" s="668">
        <f>IF(D$4="forecast",AVERAGE(#REF!),SUMIF('Dept. Cost Actuals'!$E$7:$E$176,"*Postage and Delivery*",'Dept. Cost Actuals'!H$703:H$872))</f>
        <v>3.0336948377151041</v>
      </c>
      <c r="E35" s="668">
        <f>IF(E$4="forecast",AVERAGE(#REF!),SUMIF('Dept. Cost Actuals'!$E$7:$E$176,"*Postage and Delivery*",'Dept. Cost Actuals'!I$703:I$872))</f>
        <v>0</v>
      </c>
      <c r="F35" s="668">
        <f>IF(F$4="forecast",AVERAGE(#REF!),SUMIF('Dept. Cost Actuals'!$E$7:$E$176,"*Postage and Delivery*",'Dept. Cost Actuals'!J$703:J$872))</f>
        <v>4.3836270446975503</v>
      </c>
      <c r="G35" s="668">
        <f>IF(G$4="forecast",AVERAGE(#REF!),SUMIF('Dept. Cost Actuals'!$E$7:$E$176,"*Postage and Delivery*",'Dept. Cost Actuals'!K$703:K$872))</f>
        <v>41.958947482725833</v>
      </c>
      <c r="H35" s="668">
        <f>IF(H$4="forecast",AVERAGE(#REF!),SUMIF('Dept. Cost Actuals'!$E$7:$E$176,"*Postage and Delivery*",'Dept. Cost Actuals'!L$703:L$872))</f>
        <v>1.4314616995741991</v>
      </c>
      <c r="I35" s="668">
        <f>IF(I$4="forecast",AVERAGE(#REF!),SUMIF('Dept. Cost Actuals'!$E$7:$E$176,"*Postage and Delivery*",'Dept. Cost Actuals'!M$703:M$872))</f>
        <v>0</v>
      </c>
      <c r="J35" s="668">
        <f>IF(J$4="forecast",AVERAGE(#REF!),SUMIF('Dept. Cost Actuals'!$E$7:$E$176,"*Postage and Delivery*",'Dept. Cost Actuals'!N$703:N$872))</f>
        <v>2.0161882458055622</v>
      </c>
      <c r="K35" s="668">
        <f>IF(K$4="forecast",AVERAGE(#REF!),SUMIF('Dept. Cost Actuals'!$E$7:$E$176,"*Postage and Delivery*",'Dept. Cost Actuals'!O$703:O$872))</f>
        <v>0.53140649316109323</v>
      </c>
      <c r="L35" s="668">
        <f>IF(L$4="forecast",AVERAGE(#REF!),SUMIF('Dept. Cost Actuals'!$E$7:$E$176,"*Postage and Delivery*",'Dept. Cost Actuals'!P$703:P$872))</f>
        <v>10.018128995198005</v>
      </c>
      <c r="M35" s="668">
        <f>IF(M$4="forecast",AVERAGE(A35:L35),SUMIF('Dept. Cost Actuals'!$E$7:$E$176,"*Postage and Delivery*",'Dept. Cost Actuals'!Q$703:Q$872))</f>
        <v>53.700688283530731</v>
      </c>
      <c r="N35" s="668">
        <f>IF(N$4="forecast",AVERAGE(B35:M35),SUMIF('Dept. Cost Actuals'!$E$7:$E$176,"*Postage and Delivery*",'Dept. Cost Actuals'!R$703:R$872))</f>
        <v>21.641182316495023</v>
      </c>
      <c r="O35" s="668">
        <f>IF(O$4="forecast",AVERAGE(C35:N35),SUMIF('Dept. Cost Actuals'!$E$7:$E$176,"*Postage and Delivery*",'Dept. Cost Actuals'!S$703:S$872))</f>
        <v>0</v>
      </c>
      <c r="P35" s="668">
        <f>IF(P$4="forecast",AVERAGE(D35:O35),SUMIF('Dept. Cost Actuals'!$E$7:$E$176,"*Postage and Delivery*",'Dept. Cost Actuals'!T$703:T$872))</f>
        <v>0</v>
      </c>
      <c r="Q35" s="668">
        <f>IF(Q$4="forecast",AVERAGE(E35:P35),SUMIF('Dept. Cost Actuals'!$E$7:$E$176,"*Postage and Delivery*",'Dept. Cost Actuals'!U$703:U$872))</f>
        <v>0</v>
      </c>
      <c r="R35" s="668">
        <f>IF(R$4="forecast",AVERAGE(F35:Q35),SUMIF('Dept. Cost Actuals'!$E$7:$E$176,"*Postage and Delivery*",'Dept. Cost Actuals'!V$703:V$872))</f>
        <v>0</v>
      </c>
      <c r="S35" s="668">
        <f>IF(S$4="forecast",AVERAGE(G35:R35),SUMIF('Dept. Cost Actuals'!$E$7:$E$176,"*Postage and Delivery*",'Dept. Cost Actuals'!W$703:W$872))</f>
        <v>0</v>
      </c>
      <c r="T35" s="668">
        <f>IF(T$4="forecast",AVERAGE(H35:S35),SUMIF('Dept. Cost Actuals'!$E$7:$E$176,"*Postage and Delivery*",'Dept. Cost Actuals'!X$703:X$872))</f>
        <v>0</v>
      </c>
      <c r="U35" s="668">
        <f>IF(U$4="forecast",AVERAGE(I35:T35),SUMIF('Dept. Cost Actuals'!$E$7:$E$176,"*Postage and Delivery*",'Dept. Cost Actuals'!Y$703:Y$872))</f>
        <v>0</v>
      </c>
      <c r="V35" s="668">
        <f>IF(V$4="forecast",AVERAGE(J35:U35),SUMIF('Dept. Cost Actuals'!$E$7:$E$176,"*Postage and Delivery*",'Dept. Cost Actuals'!Z$703:Z$872))</f>
        <v>0</v>
      </c>
      <c r="W35" s="668">
        <f>IF(W$4="forecast",AVERAGE(K35:V35),SUMIF('Dept. Cost Actuals'!$E$7:$E$176,"*Postage and Delivery*",'Dept. Cost Actuals'!AA$703:AA$872))</f>
        <v>881.17</v>
      </c>
      <c r="X35" s="668">
        <f>IF(X$4="forecast",AVERAGE(L35:W35),SUMIF('Dept. Cost Actuals'!$E$7:$E$176,"*Postage and Delivery*",'Dept. Cost Actuals'!AB$703:AB$872))</f>
        <v>0</v>
      </c>
      <c r="Y35" s="668">
        <f>IF(Y$4="forecast",AVERAGE(M35:X35),SUMIF('Dept. Cost Actuals'!$E$7:$E$176,"*Postage and Delivery*",'Dept. Cost Actuals'!AC$703:AC$872))</f>
        <v>47.62</v>
      </c>
      <c r="Z35" s="668">
        <f>IF(Z$4="forecast",AVERAGE(N35:Y35),SUMIF('Dept. Cost Actuals'!$E$7:$E$176,"*Postage and Delivery*",'Dept. Cost Actuals'!AD$703:AD$872))</f>
        <v>0</v>
      </c>
      <c r="AA35" s="668">
        <f>IF(AA$4="forecast",AVERAGE(O35:Z35),SUMIF('Dept. Cost Actuals'!$E$7:$E$176,"*Postage and Delivery*",'Dept. Cost Actuals'!AE$703:AE$872))</f>
        <v>18.14</v>
      </c>
      <c r="AB35" s="668">
        <f>IF(AB$4="forecast",AVERAGE(P35:AA35),SUMIF('Dept. Cost Actuals'!$E$7:$E$176,"*Postage and Delivery*",'Dept. Cost Actuals'!AF$703:AF$872))</f>
        <v>114.81</v>
      </c>
      <c r="AC35" s="668">
        <f>IF(AC$4="forecast",AVERAGE(Q35:AB35),SUMIF('Dept. Cost Actuals'!$E$7:$E$176,"*Postage and Delivery*",'Dept. Cost Actuals'!AG$703:AG$872))</f>
        <v>44.87</v>
      </c>
      <c r="AD35" s="668">
        <f>IF(AD$4="forecast",AVERAGE(R35:AC35),SUMIF('Dept. Cost Actuals'!$E$7:$E$176,"*Postage and Delivery*",'Dept. Cost Actuals'!AH$703:AH$872))</f>
        <v>92.217499999999987</v>
      </c>
      <c r="AE35" s="668">
        <f>IF(AE$4="forecast",AVERAGE(S35:AD35),SUMIF('Dept. Cost Actuals'!$E$7:$E$176,"*Postage and Delivery*",'Dept. Cost Actuals'!AI$703:AI$872))</f>
        <v>99.902291666666656</v>
      </c>
      <c r="AF35" s="668">
        <f>IF(AF$4="forecast",AVERAGE(T35:AE35),SUMIF('Dept. Cost Actuals'!$E$7:$E$176,"*Postage and Delivery*",'Dept. Cost Actuals'!AJ$703:AJ$872))</f>
        <v>108.22748263888889</v>
      </c>
      <c r="AG35" s="668">
        <f>IF(AG$4="forecast",AVERAGE(U35:AF35),SUMIF('Dept. Cost Actuals'!$E$7:$E$176,"*Postage and Delivery*",'Dept. Cost Actuals'!AK$703:AK$872))</f>
        <v>117.24643952546296</v>
      </c>
      <c r="AH35" s="668">
        <f>IF(AH$4="forecast",AVERAGE(V35:AG35),SUMIF('Dept. Cost Actuals'!$E$7:$E$176,"*Postage and Delivery*",'Dept. Cost Actuals'!AL$703:AL$872))</f>
        <v>127.01697615258486</v>
      </c>
      <c r="AI35" s="668">
        <f>IF(AI$4="forecast",AVERAGE(W35:AH35),SUMIF('Dept. Cost Actuals'!$E$7:$E$176,"*Postage and Delivery*",'Dept. Cost Actuals'!AM$703:AM$872))</f>
        <v>137.60172416530028</v>
      </c>
      <c r="AJ35" s="668">
        <f>IF(AJ$4="forecast",AVERAGE(X35:AI35),SUMIF('Dept. Cost Actuals'!$E$7:$E$176,"*Postage and Delivery*",'Dept. Cost Actuals'!AN$703:AN$872))</f>
        <v>75.637701179075307</v>
      </c>
      <c r="AK35" s="668">
        <f>IF(AK$4="forecast",AVERAGE(Y35:AJ35),SUMIF('Dept. Cost Actuals'!$E$7:$E$176,"*Postage and Delivery*",'Dept. Cost Actuals'!AO$703:AO$872))</f>
        <v>81.940842943998248</v>
      </c>
      <c r="AL35" s="668">
        <f>IF(AL$4="forecast",AVERAGE(Z35:AK35),SUMIF('Dept. Cost Actuals'!$E$7:$E$176,"*Postage and Delivery*",'Dept. Cost Actuals'!AP$703:AP$872))</f>
        <v>84.800913189331439</v>
      </c>
      <c r="AM35" s="668">
        <f>IF(AM$4="forecast",AVERAGE(AA35:AL35),SUMIF('Dept. Cost Actuals'!$E$7:$E$176,"*Postage and Delivery*",'Dept. Cost Actuals'!AQ$703:AQ$872))</f>
        <v>91.867655955109058</v>
      </c>
      <c r="AN35" s="668">
        <f>IF(AN$4="forecast",AVERAGE(AB35:AM35),SUMIF('Dept. Cost Actuals'!$E$7:$E$176,"*Postage and Delivery*",'Dept. Cost Actuals'!AR$703:AR$872))</f>
        <v>98.01162728470149</v>
      </c>
      <c r="AO35" s="668">
        <f>IF(AO$4="forecast",AVERAGE(AC35:AN35),SUMIF('Dept. Cost Actuals'!$E$7:$E$176,"*Postage and Delivery*",'Dept. Cost Actuals'!AS$703:AS$872))</f>
        <v>96.611762891759952</v>
      </c>
      <c r="AP35" s="668">
        <f>IF(AP$4="forecast",AVERAGE(AD35:AO35),SUMIF('Dept. Cost Actuals'!$E$7:$E$176,"*Postage and Delivery*",'Dept. Cost Actuals'!AT$703:AT$872))</f>
        <v>100.92357646607327</v>
      </c>
      <c r="AQ35" s="668">
        <f>IF(AQ$4="forecast",AVERAGE(AE35:AP35),SUMIF('Dept. Cost Actuals'!$E$7:$E$176,"*Postage and Delivery*",'Dept. Cost Actuals'!AU$703:AU$872))</f>
        <v>101.64908283824603</v>
      </c>
      <c r="AR35" s="668">
        <f>IF(AR$4="forecast",AVERAGE(AF35:AQ35),SUMIF('Dept. Cost Actuals'!$E$7:$E$176,"*Postage and Delivery*",'Dept. Cost Actuals'!AV$703:AV$872))</f>
        <v>101.79464876921098</v>
      </c>
      <c r="AS35" s="668">
        <f>IF(AS$4="forecast",AVERAGE(AG35:AR35),SUMIF('Dept. Cost Actuals'!$E$7:$E$176,"*Postage and Delivery*",'Dept. Cost Actuals'!AW$703:AW$872))</f>
        <v>101.25857928007116</v>
      </c>
      <c r="AT35" s="668">
        <f>IF(AT$4="forecast",AVERAGE(AH35:AS35),SUMIF('Dept. Cost Actuals'!$E$7:$E$176,"*Postage and Delivery*",'Dept. Cost Actuals'!AX$703:AX$872))</f>
        <v>99.926257592955167</v>
      </c>
      <c r="AU35" s="668">
        <f>IF(AU$4="forecast",AVERAGE(AI35:AT35),SUMIF('Dept. Cost Actuals'!$E$7:$E$176,"*Postage and Delivery*",'Dept. Cost Actuals'!AY$703:AY$872))</f>
        <v>97.668697712986031</v>
      </c>
      <c r="AV35" s="668">
        <f>IF(AV$4="forecast",AVERAGE(AJ35:AU35),SUMIF('Dept. Cost Actuals'!$E$7:$E$176,"*Postage and Delivery*",'Dept. Cost Actuals'!AZ$703:AZ$872))</f>
        <v>94.340945508626518</v>
      </c>
      <c r="AW35" s="668">
        <f>IF(AW$4="forecast",AVERAGE(AK35:AV35),SUMIF('Dept. Cost Actuals'!$E$7:$E$176,"*Postage and Delivery*",'Dept. Cost Actuals'!BA$703:BA$872))</f>
        <v>95.89954920275575</v>
      </c>
      <c r="AX35" s="668">
        <f>IF(AX$4="forecast",AVERAGE(AL35:AW35),SUMIF('Dept. Cost Actuals'!$E$7:$E$176,"*Postage and Delivery*",'Dept. Cost Actuals'!BB$703:BB$872))</f>
        <v>97.062774724318899</v>
      </c>
      <c r="AY35" s="668">
        <f>IF(AY$4="forecast",AVERAGE(AM35:AX35),SUMIF('Dept. Cost Actuals'!$E$7:$E$176,"*Postage and Delivery*",'Dept. Cost Actuals'!BC$703:BC$872))</f>
        <v>98.084596518901193</v>
      </c>
      <c r="AZ35" s="668">
        <f>IF(AZ$4="forecast",AVERAGE(AN35:AY35),SUMIF('Dept. Cost Actuals'!$E$7:$E$176,"*Postage and Delivery*",'Dept. Cost Actuals'!BD$703:BD$872))</f>
        <v>98.60267489921722</v>
      </c>
      <c r="BA35" s="668">
        <f>IF(BA$4="forecast",AVERAGE(AO35:AZ35),SUMIF('Dept. Cost Actuals'!$E$7:$E$176,"*Postage and Delivery*",'Dept. Cost Actuals'!BE$703:BE$872))</f>
        <v>98.651928867093531</v>
      </c>
      <c r="BB35" s="668">
        <f>IF(BB$4="forecast",AVERAGE(AP35:BA35),SUMIF('Dept. Cost Actuals'!$E$7:$E$176,"*Postage and Delivery*",'Dept. Cost Actuals'!BF$703:BF$872))</f>
        <v>98.82194269837133</v>
      </c>
      <c r="BC35" s="668">
        <f>IF(BC$4="forecast",AVERAGE(AQ35:BB35),SUMIF('Dept. Cost Actuals'!$E$7:$E$176,"*Postage and Delivery*",'Dept. Cost Actuals'!BG$703:BG$872))</f>
        <v>98.646806551062809</v>
      </c>
      <c r="BD35" s="668">
        <f>IF(BD$4="forecast",AVERAGE(AR35:BC35),SUMIF('Dept. Cost Actuals'!$E$7:$E$176,"*Postage and Delivery*",'Dept. Cost Actuals'!BH$703:BH$872))</f>
        <v>98.396616860464221</v>
      </c>
      <c r="BE35" s="668">
        <f>IF(BE$4="forecast",AVERAGE(AS35:BD35),SUMIF('Dept. Cost Actuals'!$E$7:$E$176,"*Postage and Delivery*",'Dept. Cost Actuals'!BI$703:BI$872))</f>
        <v>98.113447534735315</v>
      </c>
      <c r="BF35" s="668">
        <f>IF(BF$4="forecast",AVERAGE(AT35:BE35),SUMIF('Dept. Cost Actuals'!$E$7:$E$176,"*Postage and Delivery*",'Dept. Cost Actuals'!BJ$703:BJ$872))</f>
        <v>97.851353222624013</v>
      </c>
      <c r="BG35" s="668">
        <f>IF(BG$4="forecast",AVERAGE(AU35:BF35),SUMIF('Dept. Cost Actuals'!$E$7:$E$176,"*Postage and Delivery*",'Dept. Cost Actuals'!BK$703:BK$872))</f>
        <v>97.678444525096424</v>
      </c>
      <c r="BH35" s="668">
        <f>IF(BH$4="forecast",AVERAGE(AV35:BG35),SUMIF('Dept. Cost Actuals'!$E$7:$E$176,"*Postage and Delivery*",'Dept. Cost Actuals'!BL$703:BL$872))</f>
        <v>97.679256759438942</v>
      </c>
      <c r="BI35" s="668">
        <f>IF(BI$4="forecast",AVERAGE(AW35:BH35),SUMIF('Dept. Cost Actuals'!$E$7:$E$176,"*Postage and Delivery*",'Dept. Cost Actuals'!BM$703:BM$872))</f>
        <v>97.957449363673291</v>
      </c>
      <c r="BJ35" s="668">
        <f>IF(BJ$4="forecast",AVERAGE(AX35:BI35),SUMIF('Dept. Cost Actuals'!$E$7:$E$176,"*Postage and Delivery*",'Dept. Cost Actuals'!BN$703:BN$872))</f>
        <v>98.128941043749762</v>
      </c>
      <c r="BK35" s="668">
        <f>IF(BK$4="forecast",AVERAGE(AY35:BJ35),SUMIF('Dept. Cost Actuals'!$E$7:$E$176,"*Postage and Delivery*",'Dept. Cost Actuals'!BO$703:BO$872))</f>
        <v>98.217788237035677</v>
      </c>
      <c r="BL35" s="668">
        <f>IF(BL$4="forecast",AVERAGE(AZ35:BK35),SUMIF('Dept. Cost Actuals'!$E$7:$E$176,"*Postage and Delivery*",'Dept. Cost Actuals'!BP$703:BP$872))</f>
        <v>98.228887546880216</v>
      </c>
      <c r="BM35" s="668">
        <f>IF(BM$4="forecast",AVERAGE(BA35:BL35),SUMIF('Dept. Cost Actuals'!$E$7:$E$176,"*Postage and Delivery*",'Dept. Cost Actuals'!BQ$703:BQ$872))</f>
        <v>98.197738600852134</v>
      </c>
      <c r="BN35" s="668">
        <f>IF(BN$4="forecast",AVERAGE(BB35:BM35),SUMIF('Dept. Cost Actuals'!$E$7:$E$176,"*Postage and Delivery*",'Dept. Cost Actuals'!BR$703:BR$872))</f>
        <v>98.159889411998677</v>
      </c>
      <c r="BO35" s="668">
        <f>IF(BO$4="forecast",AVERAGE(BC35:BN35),SUMIF('Dept. Cost Actuals'!$E$7:$E$176,"*Postage and Delivery*",'Dept. Cost Actuals'!BS$703:BS$872))</f>
        <v>98.104718304800954</v>
      </c>
      <c r="BP35" s="668">
        <f>IF(BP$4="forecast",AVERAGE(BD35:BO35),SUMIF('Dept. Cost Actuals'!$E$7:$E$176,"*Postage and Delivery*",'Dept. Cost Actuals'!BT$703:BT$872))</f>
        <v>98.059544284279141</v>
      </c>
      <c r="BQ35" s="668">
        <f>IF(BQ$4="forecast",AVERAGE(BE35:BP35),SUMIF('Dept. Cost Actuals'!$E$7:$E$176,"*Postage and Delivery*",'Dept. Cost Actuals'!BU$703:BU$872))</f>
        <v>98.031454902930378</v>
      </c>
      <c r="BR35" s="668">
        <f>IF(BR$4="forecast",AVERAGE(BF35:BQ35),SUMIF('Dept. Cost Actuals'!$E$7:$E$176,"*Postage and Delivery*",'Dept. Cost Actuals'!BV$703:BV$872))</f>
        <v>98.024622183613303</v>
      </c>
      <c r="BS35" s="668">
        <f>IF(BS$4="forecast",AVERAGE(BG35:BR35),SUMIF('Dept. Cost Actuals'!$E$7:$E$176,"*Postage and Delivery*",'Dept. Cost Actuals'!BW$703:BW$872))</f>
        <v>98.039061263695757</v>
      </c>
      <c r="BT35" s="668">
        <f>IF(BT$4="forecast",AVERAGE(BH35:BS35),SUMIF('Dept. Cost Actuals'!$E$7:$E$176,"*Postage and Delivery*",'Dept. Cost Actuals'!BX$703:BX$872))</f>
        <v>98.069112658579016</v>
      </c>
      <c r="BU35" s="668">
        <f>IF(BU$4="forecast",AVERAGE(BI35:BT35),SUMIF('Dept. Cost Actuals'!$E$7:$E$176,"*Postage and Delivery*",'Dept. Cost Actuals'!BY$703:BY$872))</f>
        <v>98.101600650174021</v>
      </c>
      <c r="BV35" s="668">
        <f>IF(BV$4="forecast",AVERAGE(BJ35:BU35),SUMIF('Dept. Cost Actuals'!$E$7:$E$176,"*Postage and Delivery*",'Dept. Cost Actuals'!BZ$703:BZ$872))</f>
        <v>98.113613257382426</v>
      </c>
    </row>
    <row r="36" spans="2:74" x14ac:dyDescent="0.25">
      <c r="B36" s="794" t="s">
        <v>942</v>
      </c>
      <c r="C36" s="668">
        <f>IF(C$4="forecast",AVERAGE(#REF!),SUMIF('Dept. Cost Actuals'!$E$7:$E$176,"*Computer Supplies*",'Dept. Cost Actuals'!G$703:G$872))</f>
        <v>5427.6807265344432</v>
      </c>
      <c r="D36" s="668">
        <f>IF(D$4="forecast",AVERAGE(#REF!),SUMIF('Dept. Cost Actuals'!$E$7:$E$176,"*Computer Supplies*",'Dept. Cost Actuals'!H$703:H$872))</f>
        <v>5218.9756091181134</v>
      </c>
      <c r="E36" s="668">
        <f>IF(E$4="forecast",AVERAGE(#REF!),SUMIF('Dept. Cost Actuals'!$E$7:$E$176,"*Computer Supplies*",'Dept. Cost Actuals'!I$703:I$872))</f>
        <v>1767.4228703676508</v>
      </c>
      <c r="F36" s="668">
        <f>IF(F$4="forecast",AVERAGE(#REF!),SUMIF('Dept. Cost Actuals'!$E$7:$E$176,"*Computer Supplies*",'Dept. Cost Actuals'!J$703:J$872))</f>
        <v>3826.2188153946104</v>
      </c>
      <c r="G36" s="668">
        <f>IF(G$4="forecast",AVERAGE(#REF!),SUMIF('Dept. Cost Actuals'!$E$7:$E$176,"*Computer Supplies*",'Dept. Cost Actuals'!K$703:K$872))</f>
        <v>3998.5476039058967</v>
      </c>
      <c r="H36" s="668">
        <f>IF(H$4="forecast",AVERAGE(#REF!),SUMIF('Dept. Cost Actuals'!$E$7:$E$176,"*Computer Supplies*",'Dept. Cost Actuals'!L$703:L$872))</f>
        <v>4819.2724324341762</v>
      </c>
      <c r="I36" s="668">
        <f>IF(I$4="forecast",AVERAGE(#REF!),SUMIF('Dept. Cost Actuals'!$E$7:$E$176,"*Computer Supplies*",'Dept. Cost Actuals'!M$703:M$872))</f>
        <v>4735.2149633160625</v>
      </c>
      <c r="J36" s="668">
        <f>IF(J$4="forecast",AVERAGE(#REF!),SUMIF('Dept. Cost Actuals'!$E$7:$E$176,"*Computer Supplies*",'Dept. Cost Actuals'!N$703:N$872))</f>
        <v>4548.2761178546652</v>
      </c>
      <c r="K36" s="668">
        <f>IF(K$4="forecast",AVERAGE(#REF!),SUMIF('Dept. Cost Actuals'!$E$7:$E$176,"*Computer Supplies*",'Dept. Cost Actuals'!O$703:O$872))</f>
        <v>4683.4704629434627</v>
      </c>
      <c r="L36" s="668">
        <f>IF(L$4="forecast",AVERAGE(#REF!),SUMIF('Dept. Cost Actuals'!$E$7:$E$176,"*Computer Supplies*",'Dept. Cost Actuals'!P$703:P$872))</f>
        <v>5081.3954042265459</v>
      </c>
      <c r="M36" s="668">
        <f>IF(M$4="forecast",AVERAGE(A36:L36),SUMIF('Dept. Cost Actuals'!$E$7:$E$176,"*Computer Supplies*",'Dept. Cost Actuals'!Q$703:Q$872))</f>
        <v>7474.3501257457829</v>
      </c>
      <c r="N36" s="668">
        <f>IF(N$4="forecast",AVERAGE(B36:M36),SUMIF('Dept. Cost Actuals'!$E$7:$E$176,"*Computer Supplies*",'Dept. Cost Actuals'!R$703:R$872))</f>
        <v>2644.8572067467021</v>
      </c>
      <c r="O36" s="668">
        <f>IF(O$4="forecast",AVERAGE(C36:N36),SUMIF('Dept. Cost Actuals'!$E$7:$E$176,"*Computer Supplies*",'Dept. Cost Actuals'!S$703:S$872))</f>
        <v>0</v>
      </c>
      <c r="P36" s="668">
        <f>IF(P$4="forecast",AVERAGE(D36:O36),SUMIF('Dept. Cost Actuals'!$E$7:$E$176,"*Computer Supplies*",'Dept. Cost Actuals'!T$703:T$872))</f>
        <v>0</v>
      </c>
      <c r="Q36" s="668">
        <f>IF(Q$4="forecast",AVERAGE(E36:P36),SUMIF('Dept. Cost Actuals'!$E$7:$E$176,"*Computer Supplies*",'Dept. Cost Actuals'!U$703:U$872))</f>
        <v>40.32</v>
      </c>
      <c r="R36" s="668">
        <f>IF(R$4="forecast",AVERAGE(F36:Q36),SUMIF('Dept. Cost Actuals'!$E$7:$E$176,"*Computer Supplies*",'Dept. Cost Actuals'!V$703:V$872))</f>
        <v>0</v>
      </c>
      <c r="S36" s="668">
        <f>IF(S$4="forecast",AVERAGE(G36:R36),SUMIF('Dept. Cost Actuals'!$E$7:$E$176,"*Computer Supplies*",'Dept. Cost Actuals'!W$703:W$872))</f>
        <v>39.99</v>
      </c>
      <c r="T36" s="668">
        <f>IF(T$4="forecast",AVERAGE(H36:S36),SUMIF('Dept. Cost Actuals'!$E$7:$E$176,"*Computer Supplies*",'Dept. Cost Actuals'!X$703:X$872))</f>
        <v>0</v>
      </c>
      <c r="U36" s="668">
        <f>IF(U$4="forecast",AVERAGE(I36:T36),SUMIF('Dept. Cost Actuals'!$E$7:$E$176,"*Computer Supplies*",'Dept. Cost Actuals'!Y$703:Y$872))</f>
        <v>0</v>
      </c>
      <c r="V36" s="668">
        <f>IF(V$4="forecast",AVERAGE(J36:U36),SUMIF('Dept. Cost Actuals'!$E$7:$E$176,"*Computer Supplies*",'Dept. Cost Actuals'!Z$703:Z$872))</f>
        <v>14.95</v>
      </c>
      <c r="W36" s="668">
        <f>IF(W$4="forecast",AVERAGE(K36:V36),SUMIF('Dept. Cost Actuals'!$E$7:$E$176,"*Computer Supplies*",'Dept. Cost Actuals'!AA$703:AA$872))</f>
        <v>0</v>
      </c>
      <c r="X36" s="668">
        <f>IF(X$4="forecast",AVERAGE(L36:W36),SUMIF('Dept. Cost Actuals'!$E$7:$E$176,"*Computer Supplies*",'Dept. Cost Actuals'!AB$703:AB$872))</f>
        <v>30</v>
      </c>
      <c r="Y36" s="668">
        <f>IF(Y$4="forecast",AVERAGE(M36:X36),SUMIF('Dept. Cost Actuals'!$E$7:$E$176,"*Computer Supplies*",'Dept. Cost Actuals'!AC$703:AC$872))</f>
        <v>58.85</v>
      </c>
      <c r="Z36" s="668">
        <f>IF(Z$4="forecast",AVERAGE(N36:Y36),SUMIF('Dept. Cost Actuals'!$E$7:$E$176,"*Computer Supplies*",'Dept. Cost Actuals'!AD$703:AD$872))</f>
        <v>0</v>
      </c>
      <c r="AA36" s="668">
        <f>IF(AA$4="forecast",AVERAGE(O36:Z36),SUMIF('Dept. Cost Actuals'!$E$7:$E$176,"*Computer Supplies*",'Dept. Cost Actuals'!AE$703:AE$872))</f>
        <v>0</v>
      </c>
      <c r="AB36" s="668">
        <f>IF(AB$4="forecast",AVERAGE(P36:AA36),SUMIF('Dept. Cost Actuals'!$E$7:$E$176,"*Computer Supplies*",'Dept. Cost Actuals'!AF$703:AF$872))</f>
        <v>157.31</v>
      </c>
      <c r="AC36" s="668">
        <f>IF(AC$4="forecast",AVERAGE(Q36:AB36),SUMIF('Dept. Cost Actuals'!$E$7:$E$176,"*Computer Supplies*",'Dept. Cost Actuals'!AG$703:AG$872))</f>
        <v>237.88</v>
      </c>
      <c r="AD36" s="668">
        <f>IF(AD$4="forecast",AVERAGE(R36:AC36),SUMIF('Dept. Cost Actuals'!$E$7:$E$176,"*Computer Supplies*",'Dept. Cost Actuals'!AH$703:AH$872))</f>
        <v>44.914999999999999</v>
      </c>
      <c r="AE36" s="668">
        <f>IF(AE$4="forecast",AVERAGE(S36:AD36),SUMIF('Dept. Cost Actuals'!$E$7:$E$176,"*Computer Supplies*",'Dept. Cost Actuals'!AI$703:AI$872))</f>
        <v>48.657916666666665</v>
      </c>
      <c r="AF36" s="668">
        <f>IF(AF$4="forecast",AVERAGE(T36:AE36),SUMIF('Dept. Cost Actuals'!$E$7:$E$176,"*Computer Supplies*",'Dept. Cost Actuals'!AJ$703:AJ$872))</f>
        <v>49.380243055555553</v>
      </c>
      <c r="AG36" s="668">
        <f>IF(AG$4="forecast",AVERAGE(U36:AF36),SUMIF('Dept. Cost Actuals'!$E$7:$E$176,"*Computer Supplies*",'Dept. Cost Actuals'!AK$703:AK$872))</f>
        <v>53.49526331018518</v>
      </c>
      <c r="AH36" s="668">
        <f>IF(AH$4="forecast",AVERAGE(V36:AG36),SUMIF('Dept. Cost Actuals'!$E$7:$E$176,"*Computer Supplies*",'Dept. Cost Actuals'!AL$703:AL$872))</f>
        <v>57.953201919367281</v>
      </c>
      <c r="AI36" s="668">
        <f>IF(AI$4="forecast",AVERAGE(W36:AH36),SUMIF('Dept. Cost Actuals'!$E$7:$E$176,"*Computer Supplies*",'Dept. Cost Actuals'!AM$703:AM$872))</f>
        <v>61.536802079314555</v>
      </c>
      <c r="AJ36" s="668">
        <f>IF(AJ$4="forecast",AVERAGE(X36:AI36),SUMIF('Dept. Cost Actuals'!$E$7:$E$176,"*Computer Supplies*",'Dept. Cost Actuals'!AN$703:AN$872))</f>
        <v>66.664868919257444</v>
      </c>
      <c r="AK36" s="668">
        <f>IF(AK$4="forecast",AVERAGE(Y36:AJ36),SUMIF('Dept. Cost Actuals'!$E$7:$E$176,"*Computer Supplies*",'Dept. Cost Actuals'!AO$703:AO$872))</f>
        <v>69.720274662528894</v>
      </c>
      <c r="AL36" s="668">
        <f>IF(AL$4="forecast",AVERAGE(Z36:AK36),SUMIF('Dept. Cost Actuals'!$E$7:$E$176,"*Computer Supplies*",'Dept. Cost Actuals'!AP$703:AP$872))</f>
        <v>70.626130884406308</v>
      </c>
      <c r="AM36" s="668">
        <f>IF(AM$4="forecast",AVERAGE(AA36:AL36),SUMIF('Dept. Cost Actuals'!$E$7:$E$176,"*Computer Supplies*",'Dept. Cost Actuals'!AQ$703:AQ$872))</f>
        <v>76.511641791440169</v>
      </c>
      <c r="AN36" s="668">
        <f>IF(AN$4="forecast",AVERAGE(AB36:AM36),SUMIF('Dept. Cost Actuals'!$E$7:$E$176,"*Computer Supplies*",'Dept. Cost Actuals'!AR$703:AR$872))</f>
        <v>82.887611940726842</v>
      </c>
      <c r="AO36" s="668">
        <f>IF(AO$4="forecast",AVERAGE(AC36:AN36),SUMIF('Dept. Cost Actuals'!$E$7:$E$176,"*Computer Supplies*",'Dept. Cost Actuals'!AS$703:AS$872))</f>
        <v>76.685746269120742</v>
      </c>
      <c r="AP36" s="668">
        <f>IF(AP$4="forecast",AVERAGE(AD36:AO36),SUMIF('Dept. Cost Actuals'!$E$7:$E$176,"*Computer Supplies*",'Dept. Cost Actuals'!AT$703:AT$872))</f>
        <v>63.252891791547462</v>
      </c>
      <c r="AQ36" s="668">
        <f>IF(AQ$4="forecast",AVERAGE(AE36:AP36),SUMIF('Dept. Cost Actuals'!$E$7:$E$176,"*Computer Supplies*",'Dept. Cost Actuals'!AU$703:AU$872))</f>
        <v>64.781049440843091</v>
      </c>
      <c r="AR36" s="668">
        <f>IF(AR$4="forecast",AVERAGE(AF36:AQ36),SUMIF('Dept. Cost Actuals'!$E$7:$E$176,"*Computer Supplies*",'Dept. Cost Actuals'!AV$703:AV$872))</f>
        <v>66.124643838691114</v>
      </c>
      <c r="AS36" s="668">
        <f>IF(AS$4="forecast",AVERAGE(AG36:AR36),SUMIF('Dept. Cost Actuals'!$E$7:$E$176,"*Computer Supplies*",'Dept. Cost Actuals'!AW$703:AW$872))</f>
        <v>67.520010570619078</v>
      </c>
      <c r="AT36" s="668">
        <f>IF(AT$4="forecast",AVERAGE(AH36:AS36),SUMIF('Dept. Cost Actuals'!$E$7:$E$176,"*Computer Supplies*",'Dept. Cost Actuals'!AX$703:AX$872))</f>
        <v>68.688739508988576</v>
      </c>
      <c r="AU36" s="668">
        <f>IF(AU$4="forecast",AVERAGE(AI36:AT36),SUMIF('Dept. Cost Actuals'!$E$7:$E$176,"*Computer Supplies*",'Dept. Cost Actuals'!AY$703:AY$872))</f>
        <v>69.583367641457016</v>
      </c>
      <c r="AV36" s="668">
        <f>IF(AV$4="forecast",AVERAGE(AJ36:AU36),SUMIF('Dept. Cost Actuals'!$E$7:$E$176,"*Computer Supplies*",'Dept. Cost Actuals'!AZ$703:AZ$872))</f>
        <v>70.253914771635564</v>
      </c>
      <c r="AW36" s="668">
        <f>IF(AW$4="forecast",AVERAGE(AK36:AV36),SUMIF('Dept. Cost Actuals'!$E$7:$E$176,"*Computer Supplies*",'Dept. Cost Actuals'!BA$703:BA$872))</f>
        <v>70.553001926000405</v>
      </c>
      <c r="AX36" s="668">
        <f>IF(AX$4="forecast",AVERAGE(AL36:AW36),SUMIF('Dept. Cost Actuals'!$E$7:$E$176,"*Computer Supplies*",'Dept. Cost Actuals'!BB$703:BB$872))</f>
        <v>70.62239586462303</v>
      </c>
      <c r="AY36" s="668">
        <f>IF(AY$4="forecast",AVERAGE(AM36:AX36),SUMIF('Dept. Cost Actuals'!$E$7:$E$176,"*Computer Supplies*",'Dept. Cost Actuals'!BC$703:BC$872))</f>
        <v>70.622084612974433</v>
      </c>
      <c r="AZ36" s="668">
        <f>IF(AZ$4="forecast",AVERAGE(AN36:AY36),SUMIF('Dept. Cost Actuals'!$E$7:$E$176,"*Computer Supplies*",'Dept. Cost Actuals'!BD$703:BD$872))</f>
        <v>70.131288181435607</v>
      </c>
      <c r="BA36" s="668">
        <f>IF(BA$4="forecast",AVERAGE(AO36:AZ36),SUMIF('Dept. Cost Actuals'!$E$7:$E$176,"*Computer Supplies*",'Dept. Cost Actuals'!BE$703:BE$872))</f>
        <v>69.068261201494678</v>
      </c>
      <c r="BB36" s="668">
        <f>IF(BB$4="forecast",AVERAGE(AP36:BA36),SUMIF('Dept. Cost Actuals'!$E$7:$E$176,"*Computer Supplies*",'Dept. Cost Actuals'!BF$703:BF$872))</f>
        <v>68.433470779192504</v>
      </c>
      <c r="BC36" s="668">
        <f>IF(BC$4="forecast",AVERAGE(AQ36:BB36),SUMIF('Dept. Cost Actuals'!$E$7:$E$176,"*Computer Supplies*",'Dept. Cost Actuals'!BG$703:BG$872))</f>
        <v>68.865185694829592</v>
      </c>
      <c r="BD36" s="668">
        <f>IF(BD$4="forecast",AVERAGE(AR36:BC36),SUMIF('Dept. Cost Actuals'!$E$7:$E$176,"*Computer Supplies*",'Dept. Cost Actuals'!BH$703:BH$872))</f>
        <v>69.205530382661792</v>
      </c>
      <c r="BE36" s="668">
        <f>IF(BE$4="forecast",AVERAGE(AS36:BD36),SUMIF('Dept. Cost Actuals'!$E$7:$E$176,"*Computer Supplies*",'Dept. Cost Actuals'!BI$703:BI$872))</f>
        <v>69.462270927992691</v>
      </c>
      <c r="BF36" s="668">
        <f>IF(BF$4="forecast",AVERAGE(AT36:BE36),SUMIF('Dept. Cost Actuals'!$E$7:$E$176,"*Computer Supplies*",'Dept. Cost Actuals'!BJ$703:BJ$872))</f>
        <v>69.624125957773813</v>
      </c>
      <c r="BG36" s="668">
        <f>IF(BG$4="forecast",AVERAGE(AU36:BF36),SUMIF('Dept. Cost Actuals'!$E$7:$E$176,"*Computer Supplies*",'Dept. Cost Actuals'!BK$703:BK$872))</f>
        <v>69.702074828505928</v>
      </c>
      <c r="BH36" s="668">
        <f>IF(BH$4="forecast",AVERAGE(AV36:BG36),SUMIF('Dept. Cost Actuals'!$E$7:$E$176,"*Computer Supplies*",'Dept. Cost Actuals'!BL$703:BL$872))</f>
        <v>69.711967094093339</v>
      </c>
      <c r="BI36" s="668">
        <f>IF(BI$4="forecast",AVERAGE(AW36:BH36),SUMIF('Dept. Cost Actuals'!$E$7:$E$176,"*Computer Supplies*",'Dept. Cost Actuals'!BM$703:BM$872))</f>
        <v>69.666804787631477</v>
      </c>
      <c r="BJ36" s="668">
        <f>IF(BJ$4="forecast",AVERAGE(AX36:BI36),SUMIF('Dept. Cost Actuals'!$E$7:$E$176,"*Computer Supplies*",'Dept. Cost Actuals'!BN$703:BN$872))</f>
        <v>69.592955026100739</v>
      </c>
      <c r="BK36" s="668">
        <f>IF(BK$4="forecast",AVERAGE(AY36:BJ36),SUMIF('Dept. Cost Actuals'!$E$7:$E$176,"*Computer Supplies*",'Dept. Cost Actuals'!BO$703:BO$872))</f>
        <v>69.507168289557214</v>
      </c>
      <c r="BL36" s="668">
        <f>IF(BL$4="forecast",AVERAGE(AZ36:BK36),SUMIF('Dept. Cost Actuals'!$E$7:$E$176,"*Computer Supplies*",'Dept. Cost Actuals'!BP$703:BP$872))</f>
        <v>69.414258595939103</v>
      </c>
      <c r="BM36" s="668">
        <f>IF(BM$4="forecast",AVERAGE(BA36:BL36),SUMIF('Dept. Cost Actuals'!$E$7:$E$176,"*Computer Supplies*",'Dept. Cost Actuals'!BQ$703:BQ$872))</f>
        <v>69.35450613048107</v>
      </c>
      <c r="BN36" s="668">
        <f>IF(BN$4="forecast",AVERAGE(BB36:BM36),SUMIF('Dept. Cost Actuals'!$E$7:$E$176,"*Computer Supplies*",'Dept. Cost Actuals'!BR$703:BR$872))</f>
        <v>69.378359874563273</v>
      </c>
      <c r="BO36" s="668">
        <f>IF(BO$4="forecast",AVERAGE(BC36:BN36),SUMIF('Dept. Cost Actuals'!$E$7:$E$176,"*Computer Supplies*",'Dept. Cost Actuals'!BS$703:BS$872))</f>
        <v>69.457100632510844</v>
      </c>
      <c r="BP36" s="668">
        <f>IF(BP$4="forecast",AVERAGE(BD36:BO36),SUMIF('Dept. Cost Actuals'!$E$7:$E$176,"*Computer Supplies*",'Dept. Cost Actuals'!BT$703:BT$872))</f>
        <v>69.506426877317622</v>
      </c>
      <c r="BQ36" s="668">
        <f>IF(BQ$4="forecast",AVERAGE(BE36:BP36),SUMIF('Dept. Cost Actuals'!$E$7:$E$176,"*Computer Supplies*",'Dept. Cost Actuals'!BU$703:BU$872))</f>
        <v>69.531501585205604</v>
      </c>
      <c r="BR36" s="668">
        <f>IF(BR$4="forecast",AVERAGE(BF36:BQ36),SUMIF('Dept. Cost Actuals'!$E$7:$E$176,"*Computer Supplies*",'Dept. Cost Actuals'!BV$703:BV$872))</f>
        <v>69.537270806640024</v>
      </c>
      <c r="BS36" s="668">
        <f>IF(BS$4="forecast",AVERAGE(BG36:BR36),SUMIF('Dept. Cost Actuals'!$E$7:$E$176,"*Computer Supplies*",'Dept. Cost Actuals'!BW$703:BW$872))</f>
        <v>69.530032877378858</v>
      </c>
      <c r="BT36" s="668">
        <f>IF(BT$4="forecast",AVERAGE(BH36:BS36),SUMIF('Dept. Cost Actuals'!$E$7:$E$176,"*Computer Supplies*",'Dept. Cost Actuals'!BX$703:BX$872))</f>
        <v>69.515696048118258</v>
      </c>
      <c r="BU36" s="668">
        <f>IF(BU$4="forecast",AVERAGE(BI36:BT36),SUMIF('Dept. Cost Actuals'!$E$7:$E$176,"*Computer Supplies*",'Dept. Cost Actuals'!BY$703:BY$872))</f>
        <v>69.499340127620329</v>
      </c>
      <c r="BV36" s="668">
        <f>IF(BV$4="forecast",AVERAGE(BJ36:BU36),SUMIF('Dept. Cost Actuals'!$E$7:$E$176,"*Computer Supplies*",'Dept. Cost Actuals'!BZ$703:BZ$872))</f>
        <v>69.485384739286076</v>
      </c>
    </row>
    <row r="37" spans="2:74" x14ac:dyDescent="0.25">
      <c r="B37" s="794" t="s">
        <v>943</v>
      </c>
      <c r="C37" s="668">
        <f>IF(C$4="forecast",AVERAGE(#REF!),SUMIF('Dept. Cost Actuals'!$E$7:$E$176,"*Printing and Reproduction*",'Dept. Cost Actuals'!G$703:G$872))</f>
        <v>0</v>
      </c>
      <c r="D37" s="668">
        <f>IF(D$4="forecast",AVERAGE(#REF!),SUMIF('Dept. Cost Actuals'!$E$7:$E$176,"*Printing and Reproduction*",'Dept. Cost Actuals'!H$703:H$872))</f>
        <v>0</v>
      </c>
      <c r="E37" s="668">
        <f>IF(E$4="forecast",AVERAGE(#REF!),SUMIF('Dept. Cost Actuals'!$E$7:$E$176,"*Printing and Reproduction*",'Dept. Cost Actuals'!I$703:I$872))</f>
        <v>0</v>
      </c>
      <c r="F37" s="668">
        <f>IF(F$4="forecast",AVERAGE(#REF!),SUMIF('Dept. Cost Actuals'!$E$7:$E$176,"*Printing and Reproduction*",'Dept. Cost Actuals'!J$703:J$872))</f>
        <v>104.64480418023321</v>
      </c>
      <c r="G37" s="668">
        <f>IF(G$4="forecast",AVERAGE(#REF!),SUMIF('Dept. Cost Actuals'!$E$7:$E$176,"*Printing and Reproduction*",'Dept. Cost Actuals'!K$703:K$872))</f>
        <v>8.9485376827040728</v>
      </c>
      <c r="H37" s="668">
        <f>IF(H$4="forecast",AVERAGE(#REF!),SUMIF('Dept. Cost Actuals'!$E$7:$E$176,"*Printing and Reproduction*",'Dept. Cost Actuals'!L$703:L$872))</f>
        <v>0</v>
      </c>
      <c r="I37" s="668">
        <f>IF(I$4="forecast",AVERAGE(#REF!),SUMIF('Dept. Cost Actuals'!$E$7:$E$176,"*Printing and Reproduction*",'Dept. Cost Actuals'!M$703:M$872))</f>
        <v>0</v>
      </c>
      <c r="J37" s="668">
        <f>IF(J$4="forecast",AVERAGE(#REF!),SUMIF('Dept. Cost Actuals'!$E$7:$E$176,"*Printing and Reproduction*",'Dept. Cost Actuals'!N$703:N$872))</f>
        <v>0</v>
      </c>
      <c r="K37" s="668">
        <f>IF(K$4="forecast",AVERAGE(#REF!),SUMIF('Dept. Cost Actuals'!$E$7:$E$176,"*Printing and Reproduction*",'Dept. Cost Actuals'!O$703:O$872))</f>
        <v>7.9339793652980459</v>
      </c>
      <c r="L37" s="668">
        <f>IF(L$4="forecast",AVERAGE(#REF!),SUMIF('Dept. Cost Actuals'!$E$7:$E$176,"*Printing and Reproduction*",'Dept. Cost Actuals'!P$703:P$872))</f>
        <v>0.18685958779334608</v>
      </c>
      <c r="M37" s="668">
        <f>IF(M$4="forecast",AVERAGE(A37:L37),SUMIF('Dept. Cost Actuals'!$E$7:$E$176,"*Printing and Reproduction*",'Dept. Cost Actuals'!Q$703:Q$872))</f>
        <v>19.134696914958475</v>
      </c>
      <c r="N37" s="668">
        <f>IF(N$4="forecast",AVERAGE(B37:M37),SUMIF('Dept. Cost Actuals'!$E$7:$E$176,"*Printing and Reproduction*",'Dept. Cost Actuals'!R$703:R$872))</f>
        <v>0</v>
      </c>
      <c r="O37" s="668">
        <f>IF(O$4="forecast",AVERAGE(C37:N37),SUMIF('Dept. Cost Actuals'!$E$7:$E$176,"*Printing and Reproduction*",'Dept. Cost Actuals'!S$703:S$872))</f>
        <v>0</v>
      </c>
      <c r="P37" s="668">
        <f>IF(P$4="forecast",AVERAGE(D37:O37),SUMIF('Dept. Cost Actuals'!$E$7:$E$176,"*Printing and Reproduction*",'Dept. Cost Actuals'!T$703:T$872))</f>
        <v>0</v>
      </c>
      <c r="Q37" s="668">
        <f>IF(Q$4="forecast",AVERAGE(E37:P37),SUMIF('Dept. Cost Actuals'!$E$7:$E$176,"*Printing and Reproduction*",'Dept. Cost Actuals'!U$703:U$872))</f>
        <v>33.67</v>
      </c>
      <c r="R37" s="668">
        <f>IF(R$4="forecast",AVERAGE(F37:Q37),SUMIF('Dept. Cost Actuals'!$E$7:$E$176,"*Printing and Reproduction*",'Dept. Cost Actuals'!V$703:V$872))</f>
        <v>0</v>
      </c>
      <c r="S37" s="668">
        <f>IF(S$4="forecast",AVERAGE(G37:R37),SUMIF('Dept. Cost Actuals'!$E$7:$E$176,"*Printing and Reproduction*",'Dept. Cost Actuals'!W$703:W$872))</f>
        <v>454.53</v>
      </c>
      <c r="T37" s="668">
        <f>IF(T$4="forecast",AVERAGE(H37:S37),SUMIF('Dept. Cost Actuals'!$E$7:$E$176,"*Printing and Reproduction*",'Dept. Cost Actuals'!X$703:X$872))</f>
        <v>0</v>
      </c>
      <c r="U37" s="668">
        <f>IF(U$4="forecast",AVERAGE(I37:T37),SUMIF('Dept. Cost Actuals'!$E$7:$E$176,"*Printing and Reproduction*",'Dept. Cost Actuals'!Y$703:Y$872))</f>
        <v>0</v>
      </c>
      <c r="V37" s="668">
        <f>IF(V$4="forecast",AVERAGE(J37:U37),SUMIF('Dept. Cost Actuals'!$E$7:$E$176,"*Printing and Reproduction*",'Dept. Cost Actuals'!Z$703:Z$872))</f>
        <v>0</v>
      </c>
      <c r="W37" s="668">
        <f>IF(W$4="forecast",AVERAGE(K37:V37),SUMIF('Dept. Cost Actuals'!$E$7:$E$176,"*Printing and Reproduction*",'Dept. Cost Actuals'!AA$703:AA$872))</f>
        <v>0</v>
      </c>
      <c r="X37" s="668">
        <f>IF(X$4="forecast",AVERAGE(L37:W37),SUMIF('Dept. Cost Actuals'!$E$7:$E$176,"*Printing and Reproduction*",'Dept. Cost Actuals'!AB$703:AB$872))</f>
        <v>0</v>
      </c>
      <c r="Y37" s="668">
        <f>IF(Y$4="forecast",AVERAGE(M37:X37),SUMIF('Dept. Cost Actuals'!$E$7:$E$176,"*Printing and Reproduction*",'Dept. Cost Actuals'!AC$703:AC$872))</f>
        <v>0</v>
      </c>
      <c r="Z37" s="668">
        <f>IF(Z$4="forecast",AVERAGE(N37:Y37),SUMIF('Dept. Cost Actuals'!$E$7:$E$176,"*Printing and Reproduction*",'Dept. Cost Actuals'!AD$703:AD$872))</f>
        <v>0</v>
      </c>
      <c r="AA37" s="668">
        <f>IF(AA$4="forecast",AVERAGE(O37:Z37),SUMIF('Dept. Cost Actuals'!$E$7:$E$176,"*Printing and Reproduction*",'Dept. Cost Actuals'!AE$703:AE$872))</f>
        <v>0</v>
      </c>
      <c r="AB37" s="668">
        <f>IF(AB$4="forecast",AVERAGE(P37:AA37),SUMIF('Dept. Cost Actuals'!$E$7:$E$176,"*Printing and Reproduction*",'Dept. Cost Actuals'!AF$703:AF$872))</f>
        <v>0</v>
      </c>
      <c r="AC37" s="668">
        <f>IF(AC$4="forecast",AVERAGE(Q37:AB37),SUMIF('Dept. Cost Actuals'!$E$7:$E$176,"*Printing and Reproduction*",'Dept. Cost Actuals'!AG$703:AG$872))</f>
        <v>0</v>
      </c>
      <c r="AD37" s="668">
        <f>IF(AD$4="forecast",AVERAGE(R37:AC37),SUMIF('Dept. Cost Actuals'!$E$7:$E$176,"*Printing and Reproduction*",'Dept. Cost Actuals'!AH$703:AH$872))</f>
        <v>37.877499999999998</v>
      </c>
      <c r="AE37" s="668">
        <f>IF(AE$4="forecast",AVERAGE(S37:AD37),SUMIF('Dept. Cost Actuals'!$E$7:$E$176,"*Printing and Reproduction*",'Dept. Cost Actuals'!AI$703:AI$872))</f>
        <v>41.033958333333331</v>
      </c>
      <c r="AF37" s="668">
        <f>IF(AF$4="forecast",AVERAGE(T37:AE37),SUMIF('Dept. Cost Actuals'!$E$7:$E$176,"*Printing and Reproduction*",'Dept. Cost Actuals'!AJ$703:AJ$872))</f>
        <v>6.5759548611111107</v>
      </c>
      <c r="AG37" s="668">
        <f>IF(AG$4="forecast",AVERAGE(U37:AF37),SUMIF('Dept. Cost Actuals'!$E$7:$E$176,"*Printing and Reproduction*",'Dept. Cost Actuals'!AK$703:AK$872))</f>
        <v>7.1239510995370372</v>
      </c>
      <c r="AH37" s="668">
        <f>IF(AH$4="forecast",AVERAGE(V37:AG37),SUMIF('Dept. Cost Actuals'!$E$7:$E$176,"*Printing and Reproduction*",'Dept. Cost Actuals'!AL$703:AL$872))</f>
        <v>7.7176136911651234</v>
      </c>
      <c r="AI37" s="668">
        <f>IF(AI$4="forecast",AVERAGE(W37:AH37),SUMIF('Dept. Cost Actuals'!$E$7:$E$176,"*Printing and Reproduction*",'Dept. Cost Actuals'!AM$703:AM$872))</f>
        <v>8.360748165428884</v>
      </c>
      <c r="AJ37" s="668">
        <f>IF(AJ$4="forecast",AVERAGE(X37:AI37),SUMIF('Dept. Cost Actuals'!$E$7:$E$176,"*Printing and Reproduction*",'Dept. Cost Actuals'!AN$703:AN$872))</f>
        <v>9.057477179214624</v>
      </c>
      <c r="AK37" s="668">
        <f>IF(AK$4="forecast",AVERAGE(Y37:AJ37),SUMIF('Dept. Cost Actuals'!$E$7:$E$176,"*Printing and Reproduction*",'Dept. Cost Actuals'!AO$703:AO$872))</f>
        <v>9.8122669441491777</v>
      </c>
      <c r="AL37" s="668">
        <f>IF(AL$4="forecast",AVERAGE(Z37:AK37),SUMIF('Dept. Cost Actuals'!$E$7:$E$176,"*Printing and Reproduction*",'Dept. Cost Actuals'!AP$703:AP$872))</f>
        <v>10.629955856161608</v>
      </c>
      <c r="AM37" s="668">
        <f>IF(AM$4="forecast",AVERAGE(AA37:AL37),SUMIF('Dept. Cost Actuals'!$E$7:$E$176,"*Printing and Reproduction*",'Dept. Cost Actuals'!AQ$703:AQ$872))</f>
        <v>11.515785510841743</v>
      </c>
      <c r="AN37" s="668">
        <f>IF(AN$4="forecast",AVERAGE(AB37:AM37),SUMIF('Dept. Cost Actuals'!$E$7:$E$176,"*Printing and Reproduction*",'Dept. Cost Actuals'!AR$703:AR$872))</f>
        <v>12.475434303411888</v>
      </c>
      <c r="AO37" s="668">
        <f>IF(AO$4="forecast",AVERAGE(AC37:AN37),SUMIF('Dept. Cost Actuals'!$E$7:$E$176,"*Printing and Reproduction*",'Dept. Cost Actuals'!AS$703:AS$872))</f>
        <v>13.51505382869621</v>
      </c>
      <c r="AP37" s="668">
        <f>IF(AP$4="forecast",AVERAGE(AD37:AO37),SUMIF('Dept. Cost Actuals'!$E$7:$E$176,"*Printing and Reproduction*",'Dept. Cost Actuals'!AT$703:AT$872))</f>
        <v>14.641308314420895</v>
      </c>
      <c r="AQ37" s="668">
        <f>IF(AQ$4="forecast",AVERAGE(AE37:AP37),SUMIF('Dept. Cost Actuals'!$E$7:$E$176,"*Printing and Reproduction*",'Dept. Cost Actuals'!AU$703:AU$872))</f>
        <v>12.704959007289304</v>
      </c>
      <c r="AR37" s="668">
        <f>IF(AR$4="forecast",AVERAGE(AF37:AQ37),SUMIF('Dept. Cost Actuals'!$E$7:$E$176,"*Printing and Reproduction*",'Dept. Cost Actuals'!AV$703:AV$872))</f>
        <v>10.344209063452301</v>
      </c>
      <c r="AS37" s="668">
        <f>IF(AS$4="forecast",AVERAGE(AG37:AR37),SUMIF('Dept. Cost Actuals'!$E$7:$E$176,"*Printing and Reproduction*",'Dept. Cost Actuals'!AW$703:AW$872))</f>
        <v>10.658230246980732</v>
      </c>
      <c r="AT37" s="668">
        <f>IF(AT$4="forecast",AVERAGE(AH37:AS37),SUMIF('Dept. Cost Actuals'!$E$7:$E$176,"*Printing and Reproduction*",'Dept. Cost Actuals'!AX$703:AX$872))</f>
        <v>10.952753509267708</v>
      </c>
      <c r="AU37" s="668">
        <f>IF(AU$4="forecast",AVERAGE(AI37:AT37),SUMIF('Dept. Cost Actuals'!$E$7:$E$176,"*Printing and Reproduction*",'Dept. Cost Actuals'!AY$703:AY$872))</f>
        <v>11.222348494109591</v>
      </c>
      <c r="AV37" s="668">
        <f>IF(AV$4="forecast",AVERAGE(AJ37:AU37),SUMIF('Dept. Cost Actuals'!$E$7:$E$176,"*Printing and Reproduction*",'Dept. Cost Actuals'!AZ$703:AZ$872))</f>
        <v>11.460815188166315</v>
      </c>
      <c r="AW37" s="668">
        <f>IF(AW$4="forecast",AVERAGE(AK37:AV37),SUMIF('Dept. Cost Actuals'!$E$7:$E$176,"*Printing and Reproduction*",'Dept. Cost Actuals'!BA$703:BA$872))</f>
        <v>11.661093355578956</v>
      </c>
      <c r="AX37" s="668">
        <f>IF(AX$4="forecast",AVERAGE(AL37:AW37),SUMIF('Dept. Cost Actuals'!$E$7:$E$176,"*Printing and Reproduction*",'Dept. Cost Actuals'!BB$703:BB$872))</f>
        <v>11.815162223198106</v>
      </c>
      <c r="AY37" s="668">
        <f>IF(AY$4="forecast",AVERAGE(AM37:AX37),SUMIF('Dept. Cost Actuals'!$E$7:$E$176,"*Printing and Reproduction*",'Dept. Cost Actuals'!BC$703:BC$872))</f>
        <v>11.913929420451149</v>
      </c>
      <c r="AZ37" s="668">
        <f>IF(AZ$4="forecast",AVERAGE(AN37:AY37),SUMIF('Dept. Cost Actuals'!$E$7:$E$176,"*Printing and Reproduction*",'Dept. Cost Actuals'!BD$703:BD$872))</f>
        <v>11.947108079585263</v>
      </c>
      <c r="BA37" s="668">
        <f>IF(BA$4="forecast",AVERAGE(AO37:AZ37),SUMIF('Dept. Cost Actuals'!$E$7:$E$176,"*Printing and Reproduction*",'Dept. Cost Actuals'!BE$703:BE$872))</f>
        <v>11.903080894266379</v>
      </c>
      <c r="BB37" s="668">
        <f>IF(BB$4="forecast",AVERAGE(AP37:BA37),SUMIF('Dept. Cost Actuals'!$E$7:$E$176,"*Printing and Reproduction*",'Dept. Cost Actuals'!BF$703:BF$872))</f>
        <v>11.768749816397225</v>
      </c>
      <c r="BC37" s="668">
        <f>IF(BC$4="forecast",AVERAGE(AQ37:BB37),SUMIF('Dept. Cost Actuals'!$E$7:$E$176,"*Printing and Reproduction*",'Dept. Cost Actuals'!BG$703:BG$872))</f>
        <v>11.529369941561919</v>
      </c>
      <c r="BD37" s="668">
        <f>IF(BD$4="forecast",AVERAGE(AR37:BC37),SUMIF('Dept. Cost Actuals'!$E$7:$E$176,"*Printing and Reproduction*",'Dept. Cost Actuals'!BH$703:BH$872))</f>
        <v>11.431404186084636</v>
      </c>
      <c r="BE37" s="668">
        <f>IF(BE$4="forecast",AVERAGE(AS37:BD37),SUMIF('Dept. Cost Actuals'!$E$7:$E$176,"*Printing and Reproduction*",'Dept. Cost Actuals'!BI$703:BI$872))</f>
        <v>11.522003779637332</v>
      </c>
      <c r="BF37" s="668">
        <f>IF(BF$4="forecast",AVERAGE(AT37:BE37),SUMIF('Dept. Cost Actuals'!$E$7:$E$176,"*Printing and Reproduction*",'Dept. Cost Actuals'!BJ$703:BJ$872))</f>
        <v>11.593984907358715</v>
      </c>
      <c r="BG37" s="668">
        <f>IF(BG$4="forecast",AVERAGE(AU37:BF37),SUMIF('Dept. Cost Actuals'!$E$7:$E$176,"*Printing and Reproduction*",'Dept. Cost Actuals'!BK$703:BK$872))</f>
        <v>11.647420857199632</v>
      </c>
      <c r="BH37" s="668">
        <f>IF(BH$4="forecast",AVERAGE(AV37:BG37),SUMIF('Dept. Cost Actuals'!$E$7:$E$176,"*Printing and Reproduction*",'Dept. Cost Actuals'!BL$703:BL$872))</f>
        <v>11.682843554123799</v>
      </c>
      <c r="BI37" s="668">
        <f>IF(BI$4="forecast",AVERAGE(AW37:BH37),SUMIF('Dept. Cost Actuals'!$E$7:$E$176,"*Printing and Reproduction*",'Dept. Cost Actuals'!BM$703:BM$872))</f>
        <v>11.701345917953594</v>
      </c>
      <c r="BJ37" s="668">
        <f>IF(BJ$4="forecast",AVERAGE(AX37:BI37),SUMIF('Dept. Cost Actuals'!$E$7:$E$176,"*Printing and Reproduction*",'Dept. Cost Actuals'!BN$703:BN$872))</f>
        <v>11.704700298151479</v>
      </c>
      <c r="BK37" s="668">
        <f>IF(BK$4="forecast",AVERAGE(AY37:BJ37),SUMIF('Dept. Cost Actuals'!$E$7:$E$176,"*Printing and Reproduction*",'Dept. Cost Actuals'!BO$703:BO$872))</f>
        <v>11.69549513773093</v>
      </c>
      <c r="BL37" s="668">
        <f>IF(BL$4="forecast",AVERAGE(AZ37:BK37),SUMIF('Dept. Cost Actuals'!$E$7:$E$176,"*Printing and Reproduction*",'Dept. Cost Actuals'!BP$703:BP$872))</f>
        <v>11.677292280837577</v>
      </c>
      <c r="BM37" s="668">
        <f>IF(BM$4="forecast",AVERAGE(BA37:BL37),SUMIF('Dept. Cost Actuals'!$E$7:$E$176,"*Printing and Reproduction*",'Dept. Cost Actuals'!BQ$703:BQ$872))</f>
        <v>11.654807630941933</v>
      </c>
      <c r="BN37" s="668">
        <f>IF(BN$4="forecast",AVERAGE(BB37:BM37),SUMIF('Dept. Cost Actuals'!$E$7:$E$176,"*Printing and Reproduction*",'Dept. Cost Actuals'!BR$703:BR$872))</f>
        <v>11.634118192331563</v>
      </c>
      <c r="BO37" s="668">
        <f>IF(BO$4="forecast",AVERAGE(BC37:BN37),SUMIF('Dept. Cost Actuals'!$E$7:$E$176,"*Printing and Reproduction*",'Dept. Cost Actuals'!BS$703:BS$872))</f>
        <v>11.622898890326091</v>
      </c>
      <c r="BP37" s="668">
        <f>IF(BP$4="forecast",AVERAGE(BD37:BO37),SUMIF('Dept. Cost Actuals'!$E$7:$E$176,"*Printing and Reproduction*",'Dept. Cost Actuals'!BT$703:BT$872))</f>
        <v>11.630692969389775</v>
      </c>
      <c r="BQ37" s="668">
        <f>IF(BQ$4="forecast",AVERAGE(BE37:BP37),SUMIF('Dept. Cost Actuals'!$E$7:$E$176,"*Printing and Reproduction*",'Dept. Cost Actuals'!BU$703:BU$872))</f>
        <v>11.647300367998534</v>
      </c>
      <c r="BR37" s="668">
        <f>IF(BR$4="forecast",AVERAGE(BF37:BQ37),SUMIF('Dept. Cost Actuals'!$E$7:$E$176,"*Printing and Reproduction*",'Dept. Cost Actuals'!BV$703:BV$872))</f>
        <v>11.65774175036197</v>
      </c>
      <c r="BS37" s="668">
        <f>IF(BS$4="forecast",AVERAGE(BG37:BR37),SUMIF('Dept. Cost Actuals'!$E$7:$E$176,"*Printing and Reproduction*",'Dept. Cost Actuals'!BW$703:BW$872))</f>
        <v>11.663054820612238</v>
      </c>
      <c r="BT37" s="668">
        <f>IF(BT$4="forecast",AVERAGE(BH37:BS37),SUMIF('Dept. Cost Actuals'!$E$7:$E$176,"*Printing and Reproduction*",'Dept. Cost Actuals'!BX$703:BX$872))</f>
        <v>11.664357650896626</v>
      </c>
      <c r="BU37" s="668">
        <f>IF(BU$4="forecast",AVERAGE(BI37:BT37),SUMIF('Dept. Cost Actuals'!$E$7:$E$176,"*Printing and Reproduction*",'Dept. Cost Actuals'!BY$703:BY$872))</f>
        <v>11.662817158961024</v>
      </c>
      <c r="BV37" s="668">
        <f>IF(BV$4="forecast",AVERAGE(BJ37:BU37),SUMIF('Dept. Cost Actuals'!$E$7:$E$176,"*Printing and Reproduction*",'Dept. Cost Actuals'!BZ$703:BZ$872))</f>
        <v>11.659606429044977</v>
      </c>
    </row>
    <row r="38" spans="2:74" x14ac:dyDescent="0.25">
      <c r="B38" s="794" t="s">
        <v>921</v>
      </c>
      <c r="C38" s="668">
        <f>IF(C$4="forecast",AVERAGE(#REF!),SUMIF('Dept. Cost Actuals'!$E$7:$E$176,"*Office Supplies*",'Dept. Cost Actuals'!G$703:G$872))</f>
        <v>138.59794278644722</v>
      </c>
      <c r="D38" s="668">
        <f>IF(D$4="forecast",AVERAGE(#REF!),SUMIF('Dept. Cost Actuals'!$E$7:$E$176,"*Office Supplies*",'Dept. Cost Actuals'!H$703:H$872))</f>
        <v>100.86795277254559</v>
      </c>
      <c r="E38" s="668">
        <f>IF(E$4="forecast",AVERAGE(#REF!),SUMIF('Dept. Cost Actuals'!$E$7:$E$176,"*Office Supplies*",'Dept. Cost Actuals'!I$703:I$872))</f>
        <v>202.9264532978753</v>
      </c>
      <c r="F38" s="668">
        <f>IF(F$4="forecast",AVERAGE(#REF!),SUMIF('Dept. Cost Actuals'!$E$7:$E$176,"*Office Supplies*",'Dept. Cost Actuals'!J$703:J$872))</f>
        <v>189.66954825384448</v>
      </c>
      <c r="G38" s="668">
        <f>IF(G$4="forecast",AVERAGE(#REF!),SUMIF('Dept. Cost Actuals'!$E$7:$E$176,"*Office Supplies*",'Dept. Cost Actuals'!K$703:K$872))</f>
        <v>81.9290824654707</v>
      </c>
      <c r="H38" s="668">
        <f>IF(H$4="forecast",AVERAGE(#REF!),SUMIF('Dept. Cost Actuals'!$E$7:$E$176,"*Office Supplies*",'Dept. Cost Actuals'!L$703:L$872))</f>
        <v>277.61710302931868</v>
      </c>
      <c r="I38" s="668">
        <f>IF(I$4="forecast",AVERAGE(#REF!),SUMIF('Dept. Cost Actuals'!$E$7:$E$176,"*Office Supplies*",'Dept. Cost Actuals'!M$703:M$872))</f>
        <v>265.55126174741662</v>
      </c>
      <c r="J38" s="668">
        <f>IF(J$4="forecast",AVERAGE(#REF!),SUMIF('Dept. Cost Actuals'!$E$7:$E$176,"*Office Supplies*",'Dept. Cost Actuals'!N$703:N$872))</f>
        <v>137.45454852281497</v>
      </c>
      <c r="K38" s="668">
        <f>IF(K$4="forecast",AVERAGE(#REF!),SUMIF('Dept. Cost Actuals'!$E$7:$E$176,"*Office Supplies*",'Dept. Cost Actuals'!O$703:O$872))</f>
        <v>111.9789165623859</v>
      </c>
      <c r="L38" s="668">
        <f>IF(L$4="forecast",AVERAGE(#REF!),SUMIF('Dept. Cost Actuals'!$E$7:$E$176,"*Office Supplies*",'Dept. Cost Actuals'!P$703:P$872))</f>
        <v>170.53096955588128</v>
      </c>
      <c r="M38" s="668">
        <f>IF(M$4="forecast",AVERAGE(A38:L38),SUMIF('Dept. Cost Actuals'!$E$7:$E$176,"*Office Supplies*",'Dept. Cost Actuals'!Q$703:Q$872))</f>
        <v>172.11308200556667</v>
      </c>
      <c r="N38" s="668">
        <f>IF(N$4="forecast",AVERAGE(B38:M38),SUMIF('Dept. Cost Actuals'!$E$7:$E$176,"*Office Supplies*",'Dept. Cost Actuals'!R$703:R$872))</f>
        <v>75.290938612078051</v>
      </c>
      <c r="O38" s="668">
        <f>IF(O$4="forecast",AVERAGE(C38:N38),SUMIF('Dept. Cost Actuals'!$E$7:$E$176,"*Office Supplies*",'Dept. Cost Actuals'!S$703:S$872))</f>
        <v>210.45</v>
      </c>
      <c r="P38" s="668">
        <f>IF(P$4="forecast",AVERAGE(D38:O38),SUMIF('Dept. Cost Actuals'!$E$7:$E$176,"*Office Supplies*",'Dept. Cost Actuals'!T$703:T$872))</f>
        <v>0</v>
      </c>
      <c r="Q38" s="668">
        <f>IF(Q$4="forecast",AVERAGE(E38:P38),SUMIF('Dept. Cost Actuals'!$E$7:$E$176,"*Office Supplies*",'Dept. Cost Actuals'!U$703:U$872))</f>
        <v>0</v>
      </c>
      <c r="R38" s="668">
        <f>IF(R$4="forecast",AVERAGE(F38:Q38),SUMIF('Dept. Cost Actuals'!$E$7:$E$176,"*Office Supplies*",'Dept. Cost Actuals'!V$703:V$872))</f>
        <v>0</v>
      </c>
      <c r="S38" s="668">
        <f>IF(S$4="forecast",AVERAGE(G38:R38),SUMIF('Dept. Cost Actuals'!$E$7:$E$176,"*Office Supplies*",'Dept. Cost Actuals'!W$703:W$872))</f>
        <v>163.38</v>
      </c>
      <c r="T38" s="668">
        <f>IF(T$4="forecast",AVERAGE(H38:S38),SUMIF('Dept. Cost Actuals'!$E$7:$E$176,"*Office Supplies*",'Dept. Cost Actuals'!X$703:X$872))</f>
        <v>0</v>
      </c>
      <c r="U38" s="668">
        <f>IF(U$4="forecast",AVERAGE(I38:T38),SUMIF('Dept. Cost Actuals'!$E$7:$E$176,"*Office Supplies*",'Dept. Cost Actuals'!Y$703:Y$872))</f>
        <v>224.76</v>
      </c>
      <c r="V38" s="668">
        <f>IF(V$4="forecast",AVERAGE(J38:U38),SUMIF('Dept. Cost Actuals'!$E$7:$E$176,"*Office Supplies*",'Dept. Cost Actuals'!Z$703:Z$872))</f>
        <v>33.61</v>
      </c>
      <c r="W38" s="668">
        <f>IF(W$4="forecast",AVERAGE(K38:V38),SUMIF('Dept. Cost Actuals'!$E$7:$E$176,"*Office Supplies*",'Dept. Cost Actuals'!AA$703:AA$872))</f>
        <v>0</v>
      </c>
      <c r="X38" s="668">
        <f>IF(X$4="forecast",AVERAGE(L38:W38),SUMIF('Dept. Cost Actuals'!$E$7:$E$176,"*Office Supplies*",'Dept. Cost Actuals'!AB$703:AB$872))</f>
        <v>0</v>
      </c>
      <c r="Y38" s="668">
        <f>IF(Y$4="forecast",AVERAGE(M38:X38),SUMIF('Dept. Cost Actuals'!$E$7:$E$176,"*Office Supplies*",'Dept. Cost Actuals'!AC$703:AC$872))</f>
        <v>0</v>
      </c>
      <c r="Z38" s="668">
        <f>IF(Z$4="forecast",AVERAGE(N38:Y38),SUMIF('Dept. Cost Actuals'!$E$7:$E$176,"*Office Supplies*",'Dept. Cost Actuals'!AD$703:AD$872))</f>
        <v>57.51</v>
      </c>
      <c r="AA38" s="668">
        <f>IF(AA$4="forecast",AVERAGE(O38:Z38),SUMIF('Dept. Cost Actuals'!$E$7:$E$176,"*Office Supplies*",'Dept. Cost Actuals'!AE$703:AE$872))</f>
        <v>1401.77</v>
      </c>
      <c r="AB38" s="668">
        <f>IF(AB$4="forecast",AVERAGE(P38:AA38),SUMIF('Dept. Cost Actuals'!$E$7:$E$176,"*Office Supplies*",'Dept. Cost Actuals'!AF$703:AF$872))</f>
        <v>192.96</v>
      </c>
      <c r="AC38" s="668">
        <f>IF(AC$4="forecast",AVERAGE(Q38:AB38),SUMIF('Dept. Cost Actuals'!$E$7:$E$176,"*Office Supplies*",'Dept. Cost Actuals'!AG$703:AG$872))</f>
        <v>0</v>
      </c>
      <c r="AD38" s="668">
        <f>IF(AD$4="forecast",AVERAGE(R38:AC38),SUMIF('Dept. Cost Actuals'!$E$7:$E$176,"*Office Supplies*",'Dept. Cost Actuals'!AH$703:AH$872))</f>
        <v>172.83249999999998</v>
      </c>
      <c r="AE38" s="668">
        <f>IF(AE$4="forecast",AVERAGE(S38:AD38),SUMIF('Dept. Cost Actuals'!$E$7:$E$176,"*Office Supplies*",'Dept. Cost Actuals'!AI$703:AI$872))</f>
        <v>187.2352083333333</v>
      </c>
      <c r="AF38" s="668">
        <f>IF(AF$4="forecast",AVERAGE(T38:AE38),SUMIF('Dept. Cost Actuals'!$E$7:$E$176,"*Office Supplies*",'Dept. Cost Actuals'!AJ$703:AJ$872))</f>
        <v>189.22314236111114</v>
      </c>
      <c r="AG38" s="668">
        <f>IF(AG$4="forecast",AVERAGE(U38:AF38),SUMIF('Dept. Cost Actuals'!$E$7:$E$176,"*Office Supplies*",'Dept. Cost Actuals'!AK$703:AK$872))</f>
        <v>204.99173755787038</v>
      </c>
      <c r="AH38" s="668">
        <f>IF(AH$4="forecast",AVERAGE(V38:AG38),SUMIF('Dept. Cost Actuals'!$E$7:$E$176,"*Office Supplies*",'Dept. Cost Actuals'!AL$703:AL$872))</f>
        <v>203.34438235435957</v>
      </c>
      <c r="AI38" s="668">
        <f>IF(AI$4="forecast",AVERAGE(W38:AH38),SUMIF('Dept. Cost Actuals'!$E$7:$E$176,"*Office Supplies*",'Dept. Cost Actuals'!AM$703:AM$872))</f>
        <v>217.48891421722283</v>
      </c>
      <c r="AJ38" s="668">
        <f>IF(AJ$4="forecast",AVERAGE(X38:AI38),SUMIF('Dept. Cost Actuals'!$E$7:$E$176,"*Office Supplies*",'Dept. Cost Actuals'!AN$703:AN$872))</f>
        <v>235.6129904019914</v>
      </c>
      <c r="AK38" s="668">
        <f>IF(AK$4="forecast",AVERAGE(Y38:AJ38),SUMIF('Dept. Cost Actuals'!$E$7:$E$176,"*Office Supplies*",'Dept. Cost Actuals'!AO$703:AO$872))</f>
        <v>255.24740626882399</v>
      </c>
      <c r="AL38" s="668">
        <f>IF(AL$4="forecast",AVERAGE(Z38:AK38),SUMIF('Dept. Cost Actuals'!$E$7:$E$176,"*Office Supplies*",'Dept. Cost Actuals'!AP$703:AP$872))</f>
        <v>276.51802345789264</v>
      </c>
      <c r="AM38" s="668">
        <f>IF(AM$4="forecast",AVERAGE(AA38:AL38),SUMIF('Dept. Cost Actuals'!$E$7:$E$176,"*Office Supplies*",'Dept. Cost Actuals'!AQ$703:AQ$872))</f>
        <v>294.7686920793837</v>
      </c>
      <c r="AN38" s="668">
        <f>IF(AN$4="forecast",AVERAGE(AB38:AM38),SUMIF('Dept. Cost Actuals'!$E$7:$E$176,"*Office Supplies*",'Dept. Cost Actuals'!AR$703:AR$872))</f>
        <v>202.5185830859991</v>
      </c>
      <c r="AO38" s="668">
        <f>IF(AO$4="forecast",AVERAGE(AC38:AN38),SUMIF('Dept. Cost Actuals'!$E$7:$E$176,"*Office Supplies*",'Dept. Cost Actuals'!AS$703:AS$872))</f>
        <v>203.31513167649902</v>
      </c>
      <c r="AP38" s="668">
        <f>IF(AP$4="forecast",AVERAGE(AD38:AO38),SUMIF('Dept. Cost Actuals'!$E$7:$E$176,"*Office Supplies*",'Dept. Cost Actuals'!AT$703:AT$872))</f>
        <v>220.25805931620724</v>
      </c>
      <c r="AQ38" s="668">
        <f>IF(AQ$4="forecast",AVERAGE(AE38:AP38),SUMIF('Dept. Cost Actuals'!$E$7:$E$176,"*Office Supplies*",'Dept. Cost Actuals'!AU$703:AU$872))</f>
        <v>224.21018925922453</v>
      </c>
      <c r="AR38" s="668">
        <f>IF(AR$4="forecast",AVERAGE(AF38:AQ38),SUMIF('Dept. Cost Actuals'!$E$7:$E$176,"*Office Supplies*",'Dept. Cost Actuals'!AV$703:AV$872))</f>
        <v>227.29143766971546</v>
      </c>
      <c r="AS38" s="668">
        <f>IF(AS$4="forecast",AVERAGE(AG38:AR38),SUMIF('Dept. Cost Actuals'!$E$7:$E$176,"*Office Supplies*",'Dept. Cost Actuals'!AW$703:AW$872))</f>
        <v>230.46379561209918</v>
      </c>
      <c r="AT38" s="668">
        <f>IF(AT$4="forecast",AVERAGE(AH38:AS38),SUMIF('Dept. Cost Actuals'!$E$7:$E$176,"*Office Supplies*",'Dept. Cost Actuals'!AX$703:AX$872))</f>
        <v>232.58646711661822</v>
      </c>
      <c r="AU38" s="668">
        <f>IF(AU$4="forecast",AVERAGE(AI38:AT38),SUMIF('Dept. Cost Actuals'!$E$7:$E$176,"*Office Supplies*",'Dept. Cost Actuals'!AY$703:AY$872))</f>
        <v>235.0233075134731</v>
      </c>
      <c r="AV38" s="668">
        <f>IF(AV$4="forecast",AVERAGE(AJ38:AU38),SUMIF('Dept. Cost Actuals'!$E$7:$E$176,"*Office Supplies*",'Dept. Cost Actuals'!AZ$703:AZ$872))</f>
        <v>236.48450695482731</v>
      </c>
      <c r="AW38" s="668">
        <f>IF(AW$4="forecast",AVERAGE(AK38:AV38),SUMIF('Dept. Cost Actuals'!$E$7:$E$176,"*Office Supplies*",'Dept. Cost Actuals'!BA$703:BA$872))</f>
        <v>236.55713333423026</v>
      </c>
      <c r="AX38" s="668">
        <f>IF(AX$4="forecast",AVERAGE(AL38:AW38),SUMIF('Dept. Cost Actuals'!$E$7:$E$176,"*Office Supplies*",'Dept. Cost Actuals'!BB$703:BB$872))</f>
        <v>234.99961058968083</v>
      </c>
      <c r="AY38" s="668">
        <f>IF(AY$4="forecast",AVERAGE(AM38:AX38),SUMIF('Dept. Cost Actuals'!$E$7:$E$176,"*Office Supplies*",'Dept. Cost Actuals'!BC$703:BC$872))</f>
        <v>231.53974285066315</v>
      </c>
      <c r="AZ38" s="668">
        <f>IF(AZ$4="forecast",AVERAGE(AN38:AY38),SUMIF('Dept. Cost Actuals'!$E$7:$E$176,"*Office Supplies*",'Dept. Cost Actuals'!BD$703:BD$872))</f>
        <v>226.27066374826975</v>
      </c>
      <c r="BA38" s="668">
        <f>IF(BA$4="forecast",AVERAGE(AO38:AZ38),SUMIF('Dept. Cost Actuals'!$E$7:$E$176,"*Office Supplies*",'Dept. Cost Actuals'!BE$703:BE$872))</f>
        <v>228.25000380345901</v>
      </c>
      <c r="BB38" s="668">
        <f>IF(BB$4="forecast",AVERAGE(AP38:BA38),SUMIF('Dept. Cost Actuals'!$E$7:$E$176,"*Office Supplies*",'Dept. Cost Actuals'!BF$703:BF$872))</f>
        <v>230.327909814039</v>
      </c>
      <c r="BC38" s="668">
        <f>IF(BC$4="forecast",AVERAGE(AQ38:BB38),SUMIF('Dept. Cost Actuals'!$E$7:$E$176,"*Office Supplies*",'Dept. Cost Actuals'!BG$703:BG$872))</f>
        <v>231.16706402219165</v>
      </c>
      <c r="BD38" s="668">
        <f>IF(BD$4="forecast",AVERAGE(AR38:BC38),SUMIF('Dept. Cost Actuals'!$E$7:$E$176,"*Office Supplies*",'Dept. Cost Actuals'!BH$703:BH$872))</f>
        <v>231.74680358577226</v>
      </c>
      <c r="BE38" s="668">
        <f>IF(BE$4="forecast",AVERAGE(AS38:BD38),SUMIF('Dept. Cost Actuals'!$E$7:$E$176,"*Office Supplies*",'Dept. Cost Actuals'!BI$703:BI$872))</f>
        <v>232.118084078777</v>
      </c>
      <c r="BF38" s="668">
        <f>IF(BF$4="forecast",AVERAGE(AT38:BE38),SUMIF('Dept. Cost Actuals'!$E$7:$E$176,"*Office Supplies*",'Dept. Cost Actuals'!BJ$703:BJ$872))</f>
        <v>232.25594145100013</v>
      </c>
      <c r="BG38" s="668">
        <f>IF(BG$4="forecast",AVERAGE(AU38:BF38),SUMIF('Dept. Cost Actuals'!$E$7:$E$176,"*Office Supplies*",'Dept. Cost Actuals'!BK$703:BK$872))</f>
        <v>232.22839764553194</v>
      </c>
      <c r="BH38" s="668">
        <f>IF(BH$4="forecast",AVERAGE(AV38:BG38),SUMIF('Dept. Cost Actuals'!$E$7:$E$176,"*Office Supplies*",'Dept. Cost Actuals'!BL$703:BL$872))</f>
        <v>231.99548848987021</v>
      </c>
      <c r="BI38" s="668">
        <f>IF(BI$4="forecast",AVERAGE(AW38:BH38),SUMIF('Dept. Cost Actuals'!$E$7:$E$176,"*Office Supplies*",'Dept. Cost Actuals'!BM$703:BM$872))</f>
        <v>231.62140361779043</v>
      </c>
      <c r="BJ38" s="668">
        <f>IF(BJ$4="forecast",AVERAGE(AX38:BI38),SUMIF('Dept. Cost Actuals'!$E$7:$E$176,"*Office Supplies*",'Dept. Cost Actuals'!BN$703:BN$872))</f>
        <v>231.21009280808713</v>
      </c>
      <c r="BK38" s="668">
        <f>IF(BK$4="forecast",AVERAGE(AY38:BJ38),SUMIF('Dept. Cost Actuals'!$E$7:$E$176,"*Office Supplies*",'Dept. Cost Actuals'!BO$703:BO$872))</f>
        <v>230.89429965962097</v>
      </c>
      <c r="BL38" s="668">
        <f>IF(BL$4="forecast",AVERAGE(AZ38:BK38),SUMIF('Dept. Cost Actuals'!$E$7:$E$176,"*Office Supplies*",'Dept. Cost Actuals'!BP$703:BP$872))</f>
        <v>230.84051272703414</v>
      </c>
      <c r="BM38" s="668">
        <f>IF(BM$4="forecast",AVERAGE(BA38:BL38),SUMIF('Dept. Cost Actuals'!$E$7:$E$176,"*Office Supplies*",'Dept. Cost Actuals'!BQ$703:BQ$872))</f>
        <v>231.22133347526452</v>
      </c>
      <c r="BN38" s="668">
        <f>IF(BN$4="forecast",AVERAGE(BB38:BM38),SUMIF('Dept. Cost Actuals'!$E$7:$E$176,"*Office Supplies*",'Dept. Cost Actuals'!BR$703:BR$872))</f>
        <v>231.46894428124827</v>
      </c>
      <c r="BO38" s="668">
        <f>IF(BO$4="forecast",AVERAGE(BC38:BN38),SUMIF('Dept. Cost Actuals'!$E$7:$E$176,"*Office Supplies*",'Dept. Cost Actuals'!BS$703:BS$872))</f>
        <v>231.56403048684911</v>
      </c>
      <c r="BP38" s="668">
        <f>IF(BP$4="forecast",AVERAGE(BD38:BO38),SUMIF('Dept. Cost Actuals'!$E$7:$E$176,"*Office Supplies*",'Dept. Cost Actuals'!BT$703:BT$872))</f>
        <v>231.59711102557057</v>
      </c>
      <c r="BQ38" s="668">
        <f>IF(BQ$4="forecast",AVERAGE(BE38:BP38),SUMIF('Dept. Cost Actuals'!$E$7:$E$176,"*Office Supplies*",'Dept. Cost Actuals'!BU$703:BU$872))</f>
        <v>231.5846366455537</v>
      </c>
      <c r="BR38" s="668">
        <f>IF(BR$4="forecast",AVERAGE(BF38:BQ38),SUMIF('Dept. Cost Actuals'!$E$7:$E$176,"*Office Supplies*",'Dept. Cost Actuals'!BV$703:BV$872))</f>
        <v>231.54018269278512</v>
      </c>
      <c r="BS38" s="668">
        <f>IF(BS$4="forecast",AVERAGE(BG38:BR38),SUMIF('Dept. Cost Actuals'!$E$7:$E$176,"*Office Supplies*",'Dept. Cost Actuals'!BW$703:BW$872))</f>
        <v>231.48053612960049</v>
      </c>
      <c r="BT38" s="668">
        <f>IF(BT$4="forecast",AVERAGE(BH38:BS38),SUMIF('Dept. Cost Actuals'!$E$7:$E$176,"*Office Supplies*",'Dept. Cost Actuals'!BX$703:BX$872))</f>
        <v>231.41821433660618</v>
      </c>
      <c r="BU38" s="668">
        <f>IF(BU$4="forecast",AVERAGE(BI38:BT38),SUMIF('Dept. Cost Actuals'!$E$7:$E$176,"*Office Supplies*",'Dept. Cost Actuals'!BY$703:BY$872))</f>
        <v>231.37010815716755</v>
      </c>
      <c r="BV38" s="668">
        <f>IF(BV$4="forecast",AVERAGE(BJ38:BU38),SUMIF('Dept. Cost Actuals'!$E$7:$E$176,"*Office Supplies*",'Dept. Cost Actuals'!BZ$703:BZ$872))</f>
        <v>231.34916686878228</v>
      </c>
    </row>
    <row r="39" spans="2:74" x14ac:dyDescent="0.25">
      <c r="B39" s="794" t="s">
        <v>922</v>
      </c>
      <c r="C39" s="668">
        <f>IF(C$4="forecast",AVERAGE(#REF!),SUMIF('Dept. Cost Actuals'!$E$7:$E$176,"*Development*",'Dept. Cost Actuals'!G$703:G$872))</f>
        <v>0</v>
      </c>
      <c r="D39" s="668">
        <f>IF(D$4="forecast",AVERAGE(#REF!),SUMIF('Dept. Cost Actuals'!$E$7:$E$176,"*Development*",'Dept. Cost Actuals'!H$703:H$872))</f>
        <v>30.272292715912545</v>
      </c>
      <c r="E39" s="668">
        <f>IF(E$4="forecast",AVERAGE(#REF!),SUMIF('Dept. Cost Actuals'!$E$7:$E$176,"*Development*",'Dept. Cost Actuals'!I$703:I$872))</f>
        <v>30.827843056834766</v>
      </c>
      <c r="F39" s="668">
        <f>IF(F$4="forecast",AVERAGE(#REF!),SUMIF('Dept. Cost Actuals'!$E$7:$E$176,"*Development*",'Dept. Cost Actuals'!J$703:J$872))</f>
        <v>26.90166949799049</v>
      </c>
      <c r="G39" s="668">
        <f>IF(G$4="forecast",AVERAGE(#REF!),SUMIF('Dept. Cost Actuals'!$E$7:$E$176,"*Development*",'Dept. Cost Actuals'!K$703:K$872))</f>
        <v>48.471245781313726</v>
      </c>
      <c r="H39" s="668">
        <f>IF(H$4="forecast",AVERAGE(#REF!),SUMIF('Dept. Cost Actuals'!$E$7:$E$176,"*Development*",'Dept. Cost Actuals'!L$703:L$872))</f>
        <v>0</v>
      </c>
      <c r="I39" s="668">
        <f>IF(I$4="forecast",AVERAGE(#REF!),SUMIF('Dept. Cost Actuals'!$E$7:$E$176,"*Development*",'Dept. Cost Actuals'!M$703:M$872))</f>
        <v>5.2057850836963269</v>
      </c>
      <c r="J39" s="668">
        <f>IF(J$4="forecast",AVERAGE(#REF!),SUMIF('Dept. Cost Actuals'!$E$7:$E$176,"*Development*",'Dept. Cost Actuals'!N$703:N$872))</f>
        <v>400</v>
      </c>
      <c r="K39" s="668">
        <f>IF(K$4="forecast",AVERAGE(#REF!),SUMIF('Dept. Cost Actuals'!$E$7:$E$176,"*Development*",'Dept. Cost Actuals'!O$703:O$872))</f>
        <v>0</v>
      </c>
      <c r="L39" s="668">
        <f>IF(L$4="forecast",AVERAGE(#REF!),SUMIF('Dept. Cost Actuals'!$E$7:$E$176,"*Development*",'Dept. Cost Actuals'!P$703:P$872))</f>
        <v>1.6362716702390572</v>
      </c>
      <c r="M39" s="668">
        <f>IF(M$4="forecast",AVERAGE(A39:L39),SUMIF('Dept. Cost Actuals'!$E$7:$E$176,"*Development*",'Dept. Cost Actuals'!Q$703:Q$872))</f>
        <v>0</v>
      </c>
      <c r="N39" s="668">
        <f>IF(N$4="forecast",AVERAGE(B39:M39),SUMIF('Dept. Cost Actuals'!$E$7:$E$176,"*Development*",'Dept. Cost Actuals'!R$703:R$872))</f>
        <v>0</v>
      </c>
      <c r="O39" s="668">
        <f>IF(O$4="forecast",AVERAGE(C39:N39),SUMIF('Dept. Cost Actuals'!$E$7:$E$176,"*Development*",'Dept. Cost Actuals'!S$703:S$872))</f>
        <v>0</v>
      </c>
      <c r="P39" s="668">
        <f>IF(P$4="forecast",AVERAGE(D39:O39),SUMIF('Dept. Cost Actuals'!$E$7:$E$176,"*Development*",'Dept. Cost Actuals'!T$703:T$872))</f>
        <v>0</v>
      </c>
      <c r="Q39" s="668">
        <f>IF(Q$4="forecast",AVERAGE(E39:P39),SUMIF('Dept. Cost Actuals'!$E$7:$E$176,"*Development*",'Dept. Cost Actuals'!U$703:U$872))</f>
        <v>104.43</v>
      </c>
      <c r="R39" s="668">
        <f>IF(R$4="forecast",AVERAGE(F39:Q39),SUMIF('Dept. Cost Actuals'!$E$7:$E$176,"*Development*",'Dept. Cost Actuals'!V$703:V$872))</f>
        <v>0</v>
      </c>
      <c r="S39" s="668">
        <f>IF(S$4="forecast",AVERAGE(G39:R39),SUMIF('Dept. Cost Actuals'!$E$7:$E$176,"*Development*",'Dept. Cost Actuals'!W$703:W$872))</f>
        <v>0</v>
      </c>
      <c r="T39" s="668">
        <f>IF(T$4="forecast",AVERAGE(H39:S39),SUMIF('Dept. Cost Actuals'!$E$7:$E$176,"*Development*",'Dept. Cost Actuals'!X$703:X$872))</f>
        <v>0</v>
      </c>
      <c r="U39" s="668">
        <f>IF(U$4="forecast",AVERAGE(I39:T39),SUMIF('Dept. Cost Actuals'!$E$7:$E$176,"*Development*",'Dept. Cost Actuals'!Y$703:Y$872))</f>
        <v>0</v>
      </c>
      <c r="V39" s="668">
        <f>IF(V$4="forecast",AVERAGE(J39:U39),SUMIF('Dept. Cost Actuals'!$E$7:$E$176,"*Development*",'Dept. Cost Actuals'!Z$703:Z$872))</f>
        <v>978.35</v>
      </c>
      <c r="W39" s="668">
        <f>IF(W$4="forecast",AVERAGE(K39:V39),SUMIF('Dept. Cost Actuals'!$E$7:$E$176,"*Development*",'Dept. Cost Actuals'!AA$703:AA$872))</f>
        <v>0</v>
      </c>
      <c r="X39" s="668">
        <f>IF(X$4="forecast",AVERAGE(L39:W39),SUMIF('Dept. Cost Actuals'!$E$7:$E$176,"*Development*",'Dept. Cost Actuals'!AB$703:AB$872))</f>
        <v>0</v>
      </c>
      <c r="Y39" s="668">
        <f>IF(Y$4="forecast",AVERAGE(M39:X39),SUMIF('Dept. Cost Actuals'!$E$7:$E$176,"*Development*",'Dept. Cost Actuals'!AC$703:AC$872))</f>
        <v>0</v>
      </c>
      <c r="Z39" s="668">
        <f>IF(Z$4="forecast",AVERAGE(N39:Y39),SUMIF('Dept. Cost Actuals'!$E$7:$E$176,"*Development*",'Dept. Cost Actuals'!AD$703:AD$872))</f>
        <v>0</v>
      </c>
      <c r="AA39" s="668">
        <f>IF(AA$4="forecast",AVERAGE(O39:Z39),SUMIF('Dept. Cost Actuals'!$E$7:$E$176,"*Development*",'Dept. Cost Actuals'!AE$703:AE$872))</f>
        <v>0</v>
      </c>
      <c r="AB39" s="668">
        <f>IF(AB$4="forecast",AVERAGE(P39:AA39),SUMIF('Dept. Cost Actuals'!$E$7:$E$176,"*Development*",'Dept. Cost Actuals'!AF$703:AF$872))</f>
        <v>0</v>
      </c>
      <c r="AC39" s="668">
        <f>IF(AC$4="forecast",AVERAGE(Q39:AB39),SUMIF('Dept. Cost Actuals'!$E$7:$E$176,"*Development*",'Dept. Cost Actuals'!AG$703:AG$872))</f>
        <v>1398.6</v>
      </c>
      <c r="AD39" s="668">
        <f>IF(AD$4="forecast",AVERAGE(R39:AC39),SUMIF('Dept. Cost Actuals'!$E$7:$E$176,"*Development*",'Dept. Cost Actuals'!AH$703:AH$872))</f>
        <v>198.07916666666665</v>
      </c>
      <c r="AE39" s="668">
        <f>IF(AE$4="forecast",AVERAGE(S39:AD39),SUMIF('Dept. Cost Actuals'!$E$7:$E$176,"*Development*",'Dept. Cost Actuals'!AI$703:AI$872))</f>
        <v>214.58576388888886</v>
      </c>
      <c r="AF39" s="668">
        <f>IF(AF$4="forecast",AVERAGE(T39:AE39),SUMIF('Dept. Cost Actuals'!$E$7:$E$176,"*Development*",'Dept. Cost Actuals'!AJ$703:AJ$872))</f>
        <v>232.46791087962958</v>
      </c>
      <c r="AG39" s="668">
        <f>IF(AG$4="forecast",AVERAGE(U39:AF39),SUMIF('Dept. Cost Actuals'!$E$7:$E$176,"*Development*",'Dept. Cost Actuals'!AK$703:AK$872))</f>
        <v>251.84023678626536</v>
      </c>
      <c r="AH39" s="668">
        <f>IF(AH$4="forecast",AVERAGE(V39:AG39),SUMIF('Dept. Cost Actuals'!$E$7:$E$176,"*Development*",'Dept. Cost Actuals'!AL$703:AL$872))</f>
        <v>272.82692318512085</v>
      </c>
      <c r="AI39" s="668">
        <f>IF(AI$4="forecast",AVERAGE(W39:AH39),SUMIF('Dept. Cost Actuals'!$E$7:$E$176,"*Development*",'Dept. Cost Actuals'!AM$703:AM$872))</f>
        <v>214.03333345054762</v>
      </c>
      <c r="AJ39" s="668">
        <f>IF(AJ$4="forecast",AVERAGE(X39:AI39),SUMIF('Dept. Cost Actuals'!$E$7:$E$176,"*Development*",'Dept. Cost Actuals'!AN$703:AN$872))</f>
        <v>231.86944457142658</v>
      </c>
      <c r="AK39" s="668">
        <f>IF(AK$4="forecast",AVERAGE(Y39:AJ39),SUMIF('Dept. Cost Actuals'!$E$7:$E$176,"*Development*",'Dept. Cost Actuals'!AO$703:AO$872))</f>
        <v>251.19189828571211</v>
      </c>
      <c r="AL39" s="668">
        <f>IF(AL$4="forecast",AVERAGE(Z39:AK39),SUMIF('Dept. Cost Actuals'!$E$7:$E$176,"*Development*",'Dept. Cost Actuals'!AP$703:AP$872))</f>
        <v>272.12455647618816</v>
      </c>
      <c r="AM39" s="668">
        <f>IF(AM$4="forecast",AVERAGE(AA39:AL39),SUMIF('Dept. Cost Actuals'!$E$7:$E$176,"*Development*",'Dept. Cost Actuals'!AQ$703:AQ$872))</f>
        <v>294.80160284920379</v>
      </c>
      <c r="AN39" s="668">
        <f>IF(AN$4="forecast",AVERAGE(AB39:AM39),SUMIF('Dept. Cost Actuals'!$E$7:$E$176,"*Development*",'Dept. Cost Actuals'!AR$703:AR$872))</f>
        <v>319.36840308663744</v>
      </c>
      <c r="AO39" s="668">
        <f>IF(AO$4="forecast",AVERAGE(AC39:AN39),SUMIF('Dept. Cost Actuals'!$E$7:$E$176,"*Development*",'Dept. Cost Actuals'!AS$703:AS$872))</f>
        <v>345.98243667719061</v>
      </c>
      <c r="AP39" s="668">
        <f>IF(AP$4="forecast",AVERAGE(AD39:AO39),SUMIF('Dept. Cost Actuals'!$E$7:$E$176,"*Development*",'Dept. Cost Actuals'!AT$703:AT$872))</f>
        <v>258.2643064002898</v>
      </c>
      <c r="AQ39" s="668">
        <f>IF(AQ$4="forecast",AVERAGE(AE39:AP39),SUMIF('Dept. Cost Actuals'!$E$7:$E$176,"*Development*",'Dept. Cost Actuals'!AU$703:AU$872))</f>
        <v>263.27973471142508</v>
      </c>
      <c r="AR39" s="668">
        <f>IF(AR$4="forecast",AVERAGE(AF39:AQ39),SUMIF('Dept. Cost Actuals'!$E$7:$E$176,"*Development*",'Dept. Cost Actuals'!AV$703:AV$872))</f>
        <v>267.33756561330307</v>
      </c>
      <c r="AS39" s="668">
        <f>IF(AS$4="forecast",AVERAGE(AG39:AR39),SUMIF('Dept. Cost Actuals'!$E$7:$E$176,"*Development*",'Dept. Cost Actuals'!AW$703:AW$872))</f>
        <v>270.24337017444253</v>
      </c>
      <c r="AT39" s="668">
        <f>IF(AT$4="forecast",AVERAGE(AH39:AS39),SUMIF('Dept. Cost Actuals'!$E$7:$E$176,"*Development*",'Dept. Cost Actuals'!AX$703:AX$872))</f>
        <v>271.77696462345733</v>
      </c>
      <c r="AU39" s="668">
        <f>IF(AU$4="forecast",AVERAGE(AI39:AT39),SUMIF('Dept. Cost Actuals'!$E$7:$E$176,"*Development*",'Dept. Cost Actuals'!AY$703:AY$872))</f>
        <v>271.68946807665202</v>
      </c>
      <c r="AV39" s="668">
        <f>IF(AV$4="forecast",AVERAGE(AJ39:AU39),SUMIF('Dept. Cost Actuals'!$E$7:$E$176,"*Development*",'Dept. Cost Actuals'!AZ$703:AZ$872))</f>
        <v>276.4941459621607</v>
      </c>
      <c r="AW39" s="668">
        <f>IF(AW$4="forecast",AVERAGE(AK39:AV39),SUMIF('Dept. Cost Actuals'!$E$7:$E$176,"*Development*",'Dept. Cost Actuals'!BA$703:BA$872))</f>
        <v>280.21287107805523</v>
      </c>
      <c r="AX39" s="668">
        <f>IF(AX$4="forecast",AVERAGE(AL39:AW39),SUMIF('Dept. Cost Actuals'!$E$7:$E$176,"*Development*",'Dept. Cost Actuals'!BB$703:BB$872))</f>
        <v>282.63128547741712</v>
      </c>
      <c r="AY39" s="668">
        <f>IF(AY$4="forecast",AVERAGE(AM39:AX39),SUMIF('Dept. Cost Actuals'!$E$7:$E$176,"*Development*",'Dept. Cost Actuals'!BC$703:BC$872))</f>
        <v>283.50684622751947</v>
      </c>
      <c r="AZ39" s="668">
        <f>IF(AZ$4="forecast",AVERAGE(AN39:AY39),SUMIF('Dept. Cost Actuals'!$E$7:$E$176,"*Development*",'Dept. Cost Actuals'!BD$703:BD$872))</f>
        <v>282.56561650904587</v>
      </c>
      <c r="BA39" s="668">
        <f>IF(BA$4="forecast",AVERAGE(AO39:AZ39),SUMIF('Dept. Cost Actuals'!$E$7:$E$176,"*Development*",'Dept. Cost Actuals'!BE$703:BE$872))</f>
        <v>279.49871762757994</v>
      </c>
      <c r="BB39" s="668">
        <f>IF(BB$4="forecast",AVERAGE(AP39:BA39),SUMIF('Dept. Cost Actuals'!$E$7:$E$176,"*Development*",'Dept. Cost Actuals'!BF$703:BF$872))</f>
        <v>273.95840770677904</v>
      </c>
      <c r="BC39" s="668">
        <f>IF(BC$4="forecast",AVERAGE(AQ39:BB39),SUMIF('Dept. Cost Actuals'!$E$7:$E$176,"*Development*",'Dept. Cost Actuals'!BG$703:BG$872))</f>
        <v>275.26624948231978</v>
      </c>
      <c r="BD39" s="668">
        <f>IF(BD$4="forecast",AVERAGE(AR39:BC39),SUMIF('Dept. Cost Actuals'!$E$7:$E$176,"*Development*",'Dept. Cost Actuals'!BH$703:BH$872))</f>
        <v>276.26512571322769</v>
      </c>
      <c r="BE39" s="668">
        <f>IF(BE$4="forecast",AVERAGE(AS39:BD39),SUMIF('Dept. Cost Actuals'!$E$7:$E$176,"*Development*",'Dept. Cost Actuals'!BI$703:BI$872))</f>
        <v>277.00908905488808</v>
      </c>
      <c r="BF39" s="668">
        <f>IF(BF$4="forecast",AVERAGE(AT39:BE39),SUMIF('Dept. Cost Actuals'!$E$7:$E$176,"*Development*",'Dept. Cost Actuals'!BJ$703:BJ$872))</f>
        <v>277.57289896159187</v>
      </c>
      <c r="BG39" s="668">
        <f>IF(BG$4="forecast",AVERAGE(AU39:BF39),SUMIF('Dept. Cost Actuals'!$E$7:$E$176,"*Development*",'Dept. Cost Actuals'!BK$703:BK$872))</f>
        <v>278.05589348976974</v>
      </c>
      <c r="BH39" s="668">
        <f>IF(BH$4="forecast",AVERAGE(AV39:BG39),SUMIF('Dept. Cost Actuals'!$E$7:$E$176,"*Development*",'Dept. Cost Actuals'!BL$703:BL$872))</f>
        <v>278.58642894086285</v>
      </c>
      <c r="BI39" s="668">
        <f>IF(BI$4="forecast",AVERAGE(AW39:BH39),SUMIF('Dept. Cost Actuals'!$E$7:$E$176,"*Development*",'Dept. Cost Actuals'!BM$703:BM$872))</f>
        <v>278.7607858557547</v>
      </c>
      <c r="BJ39" s="668">
        <f>IF(BJ$4="forecast",AVERAGE(AX39:BI39),SUMIF('Dept. Cost Actuals'!$E$7:$E$176,"*Development*",'Dept. Cost Actuals'!BN$703:BN$872))</f>
        <v>278.63977875389634</v>
      </c>
      <c r="BK39" s="668">
        <f>IF(BK$4="forecast",AVERAGE(AY39:BJ39),SUMIF('Dept. Cost Actuals'!$E$7:$E$176,"*Development*",'Dept. Cost Actuals'!BO$703:BO$872))</f>
        <v>278.30715319360297</v>
      </c>
      <c r="BL39" s="668">
        <f>IF(BL$4="forecast",AVERAGE(AZ39:BK39),SUMIF('Dept. Cost Actuals'!$E$7:$E$176,"*Development*",'Dept. Cost Actuals'!BP$703:BP$872))</f>
        <v>277.87384544077662</v>
      </c>
      <c r="BM39" s="668">
        <f>IF(BM$4="forecast",AVERAGE(BA39:BL39),SUMIF('Dept. Cost Actuals'!$E$7:$E$176,"*Development*",'Dept. Cost Actuals'!BQ$703:BQ$872))</f>
        <v>277.48286451842085</v>
      </c>
      <c r="BN39" s="668">
        <f>IF(BN$4="forecast",AVERAGE(BB39:BM39),SUMIF('Dept. Cost Actuals'!$E$7:$E$176,"*Development*",'Dept. Cost Actuals'!BR$703:BR$872))</f>
        <v>277.31487675932419</v>
      </c>
      <c r="BO39" s="668">
        <f>IF(BO$4="forecast",AVERAGE(BC39:BN39),SUMIF('Dept. Cost Actuals'!$E$7:$E$176,"*Development*",'Dept. Cost Actuals'!BS$703:BS$872))</f>
        <v>277.59458251370296</v>
      </c>
      <c r="BP39" s="668">
        <f>IF(BP$4="forecast",AVERAGE(BD39:BO39),SUMIF('Dept. Cost Actuals'!$E$7:$E$176,"*Development*",'Dept. Cost Actuals'!BT$703:BT$872))</f>
        <v>277.78861026631824</v>
      </c>
      <c r="BQ39" s="668">
        <f>IF(BQ$4="forecast",AVERAGE(BE39:BP39),SUMIF('Dept. Cost Actuals'!$E$7:$E$176,"*Development*",'Dept. Cost Actuals'!BU$703:BU$872))</f>
        <v>277.91556731240911</v>
      </c>
      <c r="BR39" s="668">
        <f>IF(BR$4="forecast",AVERAGE(BF39:BQ39),SUMIF('Dept. Cost Actuals'!$E$7:$E$176,"*Development*",'Dept. Cost Actuals'!BV$703:BV$872))</f>
        <v>277.99110716720253</v>
      </c>
      <c r="BS39" s="668">
        <f>IF(BS$4="forecast",AVERAGE(BG39:BR39),SUMIF('Dept. Cost Actuals'!$E$7:$E$176,"*Development*",'Dept. Cost Actuals'!BW$703:BW$872))</f>
        <v>278.02595785100345</v>
      </c>
      <c r="BT39" s="668">
        <f>IF(BT$4="forecast",AVERAGE(BH39:BS39),SUMIF('Dept. Cost Actuals'!$E$7:$E$176,"*Development*",'Dept. Cost Actuals'!BX$703:BX$872))</f>
        <v>278.02346321443957</v>
      </c>
      <c r="BU39" s="668">
        <f>IF(BU$4="forecast",AVERAGE(BI39:BT39),SUMIF('Dept. Cost Actuals'!$E$7:$E$176,"*Development*",'Dept. Cost Actuals'!BY$703:BY$872))</f>
        <v>277.97654940390436</v>
      </c>
      <c r="BV39" s="668">
        <f>IF(BV$4="forecast",AVERAGE(BJ39:BU39),SUMIF('Dept. Cost Actuals'!$E$7:$E$176,"*Development*",'Dept. Cost Actuals'!BZ$703:BZ$872))</f>
        <v>277.91119636625012</v>
      </c>
    </row>
    <row r="40" spans="2:74" x14ac:dyDescent="0.25">
      <c r="B40" s="794" t="s">
        <v>944</v>
      </c>
      <c r="C40" s="668">
        <f>IF(C$4="forecast",AVERAGE(#REF!),SUMIF('Dept. Cost Actuals'!$E$7:$E$176,"*Dues and Subscriptions*",'Dept. Cost Actuals'!G$703:G$872))</f>
        <v>14.727084431585991</v>
      </c>
      <c r="D40" s="668">
        <f>IF(D$4="forecast",AVERAGE(#REF!),SUMIF('Dept. Cost Actuals'!$E$7:$E$176,"*Dues and Subscriptions*",'Dept. Cost Actuals'!H$703:H$872))</f>
        <v>22.405427161854536</v>
      </c>
      <c r="E40" s="668">
        <f>IF(E$4="forecast",AVERAGE(#REF!),SUMIF('Dept. Cost Actuals'!$E$7:$E$176,"*Dues and Subscriptions*",'Dept. Cost Actuals'!I$703:I$872))</f>
        <v>3.0198703402613649</v>
      </c>
      <c r="F40" s="668">
        <f>IF(F$4="forecast",AVERAGE(#REF!),SUMIF('Dept. Cost Actuals'!$E$7:$E$176,"*Dues and Subscriptions*",'Dept. Cost Actuals'!J$703:J$872))</f>
        <v>3.2282003397588586</v>
      </c>
      <c r="G40" s="668">
        <f>IF(G$4="forecast",AVERAGE(#REF!),SUMIF('Dept. Cost Actuals'!$E$7:$E$176,"*Dues and Subscriptions*",'Dept. Cost Actuals'!K$703:K$872))</f>
        <v>136.2414862191695</v>
      </c>
      <c r="H40" s="668">
        <f>IF(H$4="forecast",AVERAGE(#REF!),SUMIF('Dept. Cost Actuals'!$E$7:$E$176,"*Dues and Subscriptions*",'Dept. Cost Actuals'!L$703:L$872))</f>
        <v>0</v>
      </c>
      <c r="I40" s="668">
        <f>IF(I$4="forecast",AVERAGE(#REF!),SUMIF('Dept. Cost Actuals'!$E$7:$E$176,"*Dues and Subscriptions*",'Dept. Cost Actuals'!M$703:M$872))</f>
        <v>0</v>
      </c>
      <c r="J40" s="668">
        <f>IF(J$4="forecast",AVERAGE(#REF!),SUMIF('Dept. Cost Actuals'!$E$7:$E$176,"*Dues and Subscriptions*",'Dept. Cost Actuals'!N$703:N$872))</f>
        <v>5.5530854594932793</v>
      </c>
      <c r="K40" s="668">
        <f>IF(K$4="forecast",AVERAGE(#REF!),SUMIF('Dept. Cost Actuals'!$E$7:$E$176,"*Dues and Subscriptions*",'Dept. Cost Actuals'!O$703:O$872))</f>
        <v>0</v>
      </c>
      <c r="L40" s="668">
        <f>IF(L$4="forecast",AVERAGE(#REF!),SUMIF('Dept. Cost Actuals'!$E$7:$E$176,"*Dues and Subscriptions*",'Dept. Cost Actuals'!P$703:P$872))</f>
        <v>109.54298378539447</v>
      </c>
      <c r="M40" s="668">
        <f>IF(M$4="forecast",AVERAGE(A40:L40),SUMIF('Dept. Cost Actuals'!$E$7:$E$176,"*Dues and Subscriptions*",'Dept. Cost Actuals'!Q$703:Q$872))</f>
        <v>0</v>
      </c>
      <c r="N40" s="668">
        <f>IF(N$4="forecast",AVERAGE(B40:M40),SUMIF('Dept. Cost Actuals'!$E$7:$E$176,"*Dues and Subscriptions*",'Dept. Cost Actuals'!R$703:R$872))</f>
        <v>0</v>
      </c>
      <c r="O40" s="668">
        <f>IF(O$4="forecast",AVERAGE(C40:N40),SUMIF('Dept. Cost Actuals'!$E$7:$E$176,"*Dues and Subscriptions*",'Dept. Cost Actuals'!S$703:S$872))</f>
        <v>0</v>
      </c>
      <c r="P40" s="668">
        <f>IF(P$4="forecast",AVERAGE(D40:O40),SUMIF('Dept. Cost Actuals'!$E$7:$E$176,"*Dues and Subscriptions*",'Dept. Cost Actuals'!T$703:T$872))</f>
        <v>45</v>
      </c>
      <c r="Q40" s="668">
        <f>IF(Q$4="forecast",AVERAGE(E40:P40),SUMIF('Dept. Cost Actuals'!$E$7:$E$176,"*Dues and Subscriptions*",'Dept. Cost Actuals'!U$703:U$872))</f>
        <v>349</v>
      </c>
      <c r="R40" s="668">
        <f>IF(R$4="forecast",AVERAGE(F40:Q40),SUMIF('Dept. Cost Actuals'!$E$7:$E$176,"*Dues and Subscriptions*",'Dept. Cost Actuals'!V$703:V$872))</f>
        <v>210</v>
      </c>
      <c r="S40" s="668">
        <f>IF(S$4="forecast",AVERAGE(G40:R40),SUMIF('Dept. Cost Actuals'!$E$7:$E$176,"*Dues and Subscriptions*",'Dept. Cost Actuals'!W$703:W$872))</f>
        <v>-210</v>
      </c>
      <c r="T40" s="668">
        <f>IF(T$4="forecast",AVERAGE(H40:S40),SUMIF('Dept. Cost Actuals'!$E$7:$E$176,"*Dues and Subscriptions*",'Dept. Cost Actuals'!X$703:X$872))</f>
        <v>0</v>
      </c>
      <c r="U40" s="668">
        <f>IF(U$4="forecast",AVERAGE(I40:T40),SUMIF('Dept. Cost Actuals'!$E$7:$E$176,"*Dues and Subscriptions*",'Dept. Cost Actuals'!Y$703:Y$872))</f>
        <v>136.5</v>
      </c>
      <c r="V40" s="668">
        <f>IF(V$4="forecast",AVERAGE(J40:U40),SUMIF('Dept. Cost Actuals'!$E$7:$E$176,"*Dues and Subscriptions*",'Dept. Cost Actuals'!Z$703:Z$872))</f>
        <v>0</v>
      </c>
      <c r="W40" s="668">
        <f>IF(W$4="forecast",AVERAGE(K40:V40),SUMIF('Dept. Cost Actuals'!$E$7:$E$176,"*Dues and Subscriptions*",'Dept. Cost Actuals'!AA$703:AA$872))</f>
        <v>0</v>
      </c>
      <c r="X40" s="668">
        <f>IF(X$4="forecast",AVERAGE(L40:W40),SUMIF('Dept. Cost Actuals'!$E$7:$E$176,"*Dues and Subscriptions*",'Dept. Cost Actuals'!AB$703:AB$872))</f>
        <v>0</v>
      </c>
      <c r="Y40" s="668">
        <f>IF(Y$4="forecast",AVERAGE(M40:X40),SUMIF('Dept. Cost Actuals'!$E$7:$E$176,"*Dues and Subscriptions*",'Dept. Cost Actuals'!AC$703:AC$872))</f>
        <v>0</v>
      </c>
      <c r="Z40" s="668">
        <f>IF(Z$4="forecast",AVERAGE(N40:Y40),SUMIF('Dept. Cost Actuals'!$E$7:$E$176,"*Dues and Subscriptions*",'Dept. Cost Actuals'!AD$703:AD$872))</f>
        <v>0</v>
      </c>
      <c r="AA40" s="668">
        <f>IF(AA$4="forecast",AVERAGE(O40:Z40),SUMIF('Dept. Cost Actuals'!$E$7:$E$176,"*Dues and Subscriptions*",'Dept. Cost Actuals'!AE$703:AE$872))</f>
        <v>0</v>
      </c>
      <c r="AB40" s="668">
        <f>IF(AB$4="forecast",AVERAGE(P40:AA40),SUMIF('Dept. Cost Actuals'!$E$7:$E$176,"*Dues and Subscriptions*",'Dept. Cost Actuals'!AF$703:AF$872))</f>
        <v>45</v>
      </c>
      <c r="AC40" s="668">
        <f>IF(AC$4="forecast",AVERAGE(Q40:AB40),SUMIF('Dept. Cost Actuals'!$E$7:$E$176,"*Dues and Subscriptions*",'Dept. Cost Actuals'!AG$703:AG$872))</f>
        <v>0</v>
      </c>
      <c r="AD40" s="668">
        <f>IF(AD$4="forecast",AVERAGE(R40:AC40),SUMIF('Dept. Cost Actuals'!$E$7:$E$176,"*Dues and Subscriptions*",'Dept. Cost Actuals'!AH$703:AH$872))</f>
        <v>15.125</v>
      </c>
      <c r="AE40" s="668">
        <f>IF(AE$4="forecast",AVERAGE(S40:AD40),SUMIF('Dept. Cost Actuals'!$E$7:$E$176,"*Dues and Subscriptions*",'Dept. Cost Actuals'!AI$703:AI$872))</f>
        <v>-1.1145833333333333</v>
      </c>
      <c r="AF40" s="668">
        <f>IF(AF$4="forecast",AVERAGE(T40:AE40),SUMIF('Dept. Cost Actuals'!$E$7:$E$176,"*Dues and Subscriptions*",'Dept. Cost Actuals'!AJ$703:AJ$872))</f>
        <v>16.292534722222221</v>
      </c>
      <c r="AG40" s="668">
        <f>IF(AG$4="forecast",AVERAGE(U40:AF40),SUMIF('Dept. Cost Actuals'!$E$7:$E$176,"*Dues and Subscriptions*",'Dept. Cost Actuals'!AK$703:AK$872))</f>
        <v>17.650245949074073</v>
      </c>
      <c r="AH40" s="668">
        <f>IF(AH$4="forecast",AVERAGE(V40:AG40),SUMIF('Dept. Cost Actuals'!$E$7:$E$176,"*Dues and Subscriptions*",'Dept. Cost Actuals'!AL$703:AL$872))</f>
        <v>7.7460997781635799</v>
      </c>
      <c r="AI40" s="668">
        <f>IF(AI$4="forecast",AVERAGE(W40:AH40),SUMIF('Dept. Cost Actuals'!$E$7:$E$176,"*Dues and Subscriptions*",'Dept. Cost Actuals'!AM$703:AM$872))</f>
        <v>8.3916080930105448</v>
      </c>
      <c r="AJ40" s="668">
        <f>IF(AJ$4="forecast",AVERAGE(X40:AI40),SUMIF('Dept. Cost Actuals'!$E$7:$E$176,"*Dues and Subscriptions*",'Dept. Cost Actuals'!AN$703:AN$872))</f>
        <v>9.0909087674280915</v>
      </c>
      <c r="AK40" s="668">
        <f>IF(AK$4="forecast",AVERAGE(Y40:AJ40),SUMIF('Dept. Cost Actuals'!$E$7:$E$176,"*Dues and Subscriptions*",'Dept. Cost Actuals'!AO$703:AO$872))</f>
        <v>9.8484844980470978</v>
      </c>
      <c r="AL40" s="668">
        <f>IF(AL$4="forecast",AVERAGE(Z40:AK40),SUMIF('Dept. Cost Actuals'!$E$7:$E$176,"*Dues and Subscriptions*",'Dept. Cost Actuals'!AP$703:AP$872))</f>
        <v>10.669191539551022</v>
      </c>
      <c r="AM40" s="668">
        <f>IF(AM$4="forecast",AVERAGE(AA40:AL40),SUMIF('Dept. Cost Actuals'!$E$7:$E$176,"*Dues and Subscriptions*",'Dept. Cost Actuals'!AQ$703:AQ$872))</f>
        <v>11.558290834513608</v>
      </c>
      <c r="AN40" s="668">
        <f>IF(AN$4="forecast",AVERAGE(AB40:AM40),SUMIF('Dept. Cost Actuals'!$E$7:$E$176,"*Dues and Subscriptions*",'Dept. Cost Actuals'!AR$703:AR$872))</f>
        <v>12.521481737389742</v>
      </c>
      <c r="AO40" s="668">
        <f>IF(AO$4="forecast",AVERAGE(AC40:AN40),SUMIF('Dept. Cost Actuals'!$E$7:$E$176,"*Dues and Subscriptions*",'Dept. Cost Actuals'!AS$703:AS$872))</f>
        <v>9.8149385488388887</v>
      </c>
      <c r="AP40" s="668">
        <f>IF(AP$4="forecast",AVERAGE(AD40:AO40),SUMIF('Dept. Cost Actuals'!$E$7:$E$176,"*Dues and Subscriptions*",'Dept. Cost Actuals'!AT$703:AT$872))</f>
        <v>10.632850094575462</v>
      </c>
      <c r="AQ40" s="668">
        <f>IF(AQ$4="forecast",AVERAGE(AE40:AP40),SUMIF('Dept. Cost Actuals'!$E$7:$E$176,"*Dues and Subscriptions*",'Dept. Cost Actuals'!AU$703:AU$872))</f>
        <v>10.258504269123417</v>
      </c>
      <c r="AR40" s="668">
        <f>IF(AR$4="forecast",AVERAGE(AF40:AQ40),SUMIF('Dept. Cost Actuals'!$E$7:$E$176,"*Dues and Subscriptions*",'Dept. Cost Actuals'!AV$703:AV$872))</f>
        <v>11.206261569328143</v>
      </c>
      <c r="AS40" s="668">
        <f>IF(AS$4="forecast",AVERAGE(AG40:AR40),SUMIF('Dept. Cost Actuals'!$E$7:$E$176,"*Dues and Subscriptions*",'Dept. Cost Actuals'!AW$703:AW$872))</f>
        <v>10.782405473253638</v>
      </c>
      <c r="AT40" s="668">
        <f>IF(AT$4="forecast",AVERAGE(AH40:AS40),SUMIF('Dept. Cost Actuals'!$E$7:$E$176,"*Dues and Subscriptions*",'Dept. Cost Actuals'!AX$703:AX$872))</f>
        <v>10.210085433601938</v>
      </c>
      <c r="AU40" s="668">
        <f>IF(AU$4="forecast",AVERAGE(AI40:AT40),SUMIF('Dept. Cost Actuals'!$E$7:$E$176,"*Dues and Subscriptions*",'Dept. Cost Actuals'!AY$703:AY$872))</f>
        <v>10.415417571555132</v>
      </c>
      <c r="AV40" s="668">
        <f>IF(AV$4="forecast",AVERAGE(AJ40:AU40),SUMIF('Dept. Cost Actuals'!$E$7:$E$176,"*Dues and Subscriptions*",'Dept. Cost Actuals'!AZ$703:AZ$872))</f>
        <v>10.584068361433848</v>
      </c>
      <c r="AW40" s="668">
        <f>IF(AW$4="forecast",AVERAGE(AK40:AV40),SUMIF('Dept. Cost Actuals'!$E$7:$E$176,"*Dues and Subscriptions*",'Dept. Cost Actuals'!BA$703:BA$872))</f>
        <v>10.708498327600994</v>
      </c>
      <c r="AX40" s="668">
        <f>IF(AX$4="forecast",AVERAGE(AL40:AW40),SUMIF('Dept. Cost Actuals'!$E$7:$E$176,"*Dues and Subscriptions*",'Dept. Cost Actuals'!BB$703:BB$872))</f>
        <v>10.780166146730487</v>
      </c>
      <c r="AY40" s="668">
        <f>IF(AY$4="forecast",AVERAGE(AM40:AX40),SUMIF('Dept. Cost Actuals'!$E$7:$E$176,"*Dues and Subscriptions*",'Dept. Cost Actuals'!BC$703:BC$872))</f>
        <v>10.789414030662106</v>
      </c>
      <c r="AZ40" s="668">
        <f>IF(AZ$4="forecast",AVERAGE(AN40:AY40),SUMIF('Dept. Cost Actuals'!$E$7:$E$176,"*Dues and Subscriptions*",'Dept. Cost Actuals'!BD$703:BD$872))</f>
        <v>10.725340963674482</v>
      </c>
      <c r="BA40" s="668">
        <f>IF(BA$4="forecast",AVERAGE(AO40:AZ40),SUMIF('Dept. Cost Actuals'!$E$7:$E$176,"*Dues and Subscriptions*",'Dept. Cost Actuals'!BE$703:BE$872))</f>
        <v>10.575662565864876</v>
      </c>
      <c r="BB40" s="668">
        <f>IF(BB$4="forecast",AVERAGE(AP40:BA40),SUMIF('Dept. Cost Actuals'!$E$7:$E$176,"*Dues and Subscriptions*",'Dept. Cost Actuals'!BF$703:BF$872))</f>
        <v>10.639056233950376</v>
      </c>
      <c r="BC40" s="668">
        <f>IF(BC$4="forecast",AVERAGE(AQ40:BB40),SUMIF('Dept. Cost Actuals'!$E$7:$E$176,"*Dues and Subscriptions*",'Dept. Cost Actuals'!BG$703:BG$872))</f>
        <v>10.63957341223162</v>
      </c>
      <c r="BD40" s="668">
        <f>IF(BD$4="forecast",AVERAGE(AR40:BC40),SUMIF('Dept. Cost Actuals'!$E$7:$E$176,"*Dues and Subscriptions*",'Dept. Cost Actuals'!BH$703:BH$872))</f>
        <v>10.671329174157302</v>
      </c>
      <c r="BE40" s="668">
        <f>IF(BE$4="forecast",AVERAGE(AS40:BD40),SUMIF('Dept. Cost Actuals'!$E$7:$E$176,"*Dues and Subscriptions*",'Dept. Cost Actuals'!BI$703:BI$872))</f>
        <v>10.626751474559732</v>
      </c>
      <c r="BF40" s="668">
        <f>IF(BF$4="forecast",AVERAGE(AT40:BE40),SUMIF('Dept. Cost Actuals'!$E$7:$E$176,"*Dues and Subscriptions*",'Dept. Cost Actuals'!BJ$703:BJ$872))</f>
        <v>10.613780308001909</v>
      </c>
      <c r="BG40" s="668">
        <f>IF(BG$4="forecast",AVERAGE(AU40:BF40),SUMIF('Dept. Cost Actuals'!$E$7:$E$176,"*Dues and Subscriptions*",'Dept. Cost Actuals'!BK$703:BK$872))</f>
        <v>10.647421547535238</v>
      </c>
      <c r="BH40" s="668">
        <f>IF(BH$4="forecast",AVERAGE(AV40:BG40),SUMIF('Dept. Cost Actuals'!$E$7:$E$176,"*Dues and Subscriptions*",'Dept. Cost Actuals'!BL$703:BL$872))</f>
        <v>10.666755212200249</v>
      </c>
      <c r="BI40" s="668">
        <f>IF(BI$4="forecast",AVERAGE(AW40:BH40),SUMIF('Dept. Cost Actuals'!$E$7:$E$176,"*Dues and Subscriptions*",'Dept. Cost Actuals'!BM$703:BM$872))</f>
        <v>10.673645783097449</v>
      </c>
      <c r="BJ40" s="668">
        <f>IF(BJ$4="forecast",AVERAGE(AX40:BI40),SUMIF('Dept. Cost Actuals'!$E$7:$E$176,"*Dues and Subscriptions*",'Dept. Cost Actuals'!BN$703:BN$872))</f>
        <v>10.670741404388819</v>
      </c>
      <c r="BK40" s="668">
        <f>IF(BK$4="forecast",AVERAGE(AY40:BJ40),SUMIF('Dept. Cost Actuals'!$E$7:$E$176,"*Dues and Subscriptions*",'Dept. Cost Actuals'!BO$703:BO$872))</f>
        <v>10.661622675860345</v>
      </c>
      <c r="BL40" s="668">
        <f>IF(BL$4="forecast",AVERAGE(AZ40:BK40),SUMIF('Dept. Cost Actuals'!$E$7:$E$176,"*Dues and Subscriptions*",'Dept. Cost Actuals'!BP$703:BP$872))</f>
        <v>10.650973396293532</v>
      </c>
      <c r="BM40" s="668">
        <f>IF(BM$4="forecast",AVERAGE(BA40:BL40),SUMIF('Dept. Cost Actuals'!$E$7:$E$176,"*Dues and Subscriptions*",'Dept. Cost Actuals'!BQ$703:BQ$872))</f>
        <v>10.644776099011787</v>
      </c>
      <c r="BN40" s="668">
        <f>IF(BN$4="forecast",AVERAGE(BB40:BM40),SUMIF('Dept. Cost Actuals'!$E$7:$E$176,"*Dues and Subscriptions*",'Dept. Cost Actuals'!BR$703:BR$872))</f>
        <v>10.650535560107365</v>
      </c>
      <c r="BO40" s="668">
        <f>IF(BO$4="forecast",AVERAGE(BC40:BN40),SUMIF('Dept. Cost Actuals'!$E$7:$E$176,"*Dues and Subscriptions*",'Dept. Cost Actuals'!BS$703:BS$872))</f>
        <v>10.651492170620445</v>
      </c>
      <c r="BP40" s="668">
        <f>IF(BP$4="forecast",AVERAGE(BD40:BO40),SUMIF('Dept. Cost Actuals'!$E$7:$E$176,"*Dues and Subscriptions*",'Dept. Cost Actuals'!BT$703:BT$872))</f>
        <v>10.652485400486182</v>
      </c>
      <c r="BQ40" s="668">
        <f>IF(BQ$4="forecast",AVERAGE(BE40:BP40),SUMIF('Dept. Cost Actuals'!$E$7:$E$176,"*Dues and Subscriptions*",'Dept. Cost Actuals'!BU$703:BU$872))</f>
        <v>10.650915086013589</v>
      </c>
      <c r="BR40" s="668">
        <f>IF(BR$4="forecast",AVERAGE(BF40:BQ40),SUMIF('Dept. Cost Actuals'!$E$7:$E$176,"*Dues and Subscriptions*",'Dept. Cost Actuals'!BV$703:BV$872))</f>
        <v>10.652928720301409</v>
      </c>
      <c r="BS40" s="668">
        <f>IF(BS$4="forecast",AVERAGE(BG40:BR40),SUMIF('Dept. Cost Actuals'!$E$7:$E$176,"*Dues and Subscriptions*",'Dept. Cost Actuals'!BW$703:BW$872))</f>
        <v>10.656191087993033</v>
      </c>
      <c r="BT40" s="668">
        <f>IF(BT$4="forecast",AVERAGE(BH40:BS40),SUMIF('Dept. Cost Actuals'!$E$7:$E$176,"*Dues and Subscriptions*",'Dept. Cost Actuals'!BX$703:BX$872))</f>
        <v>10.656921883031183</v>
      </c>
      <c r="BU40" s="668">
        <f>IF(BU$4="forecast",AVERAGE(BI40:BT40),SUMIF('Dept. Cost Actuals'!$E$7:$E$176,"*Dues and Subscriptions*",'Dept. Cost Actuals'!BY$703:BY$872))</f>
        <v>10.656102438933761</v>
      </c>
      <c r="BV40" s="668">
        <f>IF(BV$4="forecast",AVERAGE(BJ40:BU40),SUMIF('Dept. Cost Actuals'!$E$7:$E$176,"*Dues and Subscriptions*",'Dept. Cost Actuals'!BZ$703:BZ$872))</f>
        <v>10.654640493586786</v>
      </c>
    </row>
    <row r="41" spans="2:74" x14ac:dyDescent="0.25">
      <c r="B41" s="794" t="s">
        <v>945</v>
      </c>
      <c r="C41" s="668">
        <f>IF(C$4="forecast",AVERAGE($O$41:$Z$41)+13200,SUMIF('Dept. Cost Actuals'!$E$7:$E$176,"*Miscellaneous*",'Dept. Cost Actuals'!G$703:G$872))</f>
        <v>0</v>
      </c>
      <c r="D41" s="668">
        <f>IF(D$4="forecast",AVERAGE($O$41:$Z$41)+13200,SUMIF('Dept. Cost Actuals'!$E$7:$E$176,"*Miscellaneous*",'Dept. Cost Actuals'!H$703:H$872))</f>
        <v>0</v>
      </c>
      <c r="E41" s="668">
        <f>IF(E$4="forecast",AVERAGE($O$41:$Z$41)+13200,SUMIF('Dept. Cost Actuals'!$E$7:$E$176,"*Miscellaneous*",'Dept. Cost Actuals'!I$703:I$872))</f>
        <v>0</v>
      </c>
      <c r="F41" s="668">
        <f>IF(F$4="forecast",AVERAGE($O$41:$Z$41)+13200,SUMIF('Dept. Cost Actuals'!$E$7:$E$176,"*Miscellaneous*",'Dept. Cost Actuals'!J$703:J$872))</f>
        <v>0</v>
      </c>
      <c r="G41" s="668">
        <f>IF(G$4="forecast",AVERAGE($O$41:$Z$41)+13200,SUMIF('Dept. Cost Actuals'!$E$7:$E$176,"*Miscellaneous*",'Dept. Cost Actuals'!K$703:K$872))</f>
        <v>8.9619604892281295</v>
      </c>
      <c r="H41" s="668">
        <f>IF(H$4="forecast",AVERAGE($O$41:$Z$41)+13200,SUMIF('Dept. Cost Actuals'!$E$7:$E$176,"*Miscellaneous*",'Dept. Cost Actuals'!L$703:L$872))</f>
        <v>53.4420280841032</v>
      </c>
      <c r="I41" s="668">
        <f>IF(I$4="forecast",AVERAGE($O$41:$Z$41)+13200,SUMIF('Dept. Cost Actuals'!$E$7:$E$176,"*Miscellaneous*",'Dept. Cost Actuals'!M$703:M$872))</f>
        <v>38.017327887725905</v>
      </c>
      <c r="J41" s="668">
        <f>IF(J$4="forecast",AVERAGE($O$41:$Z$41)+13200,SUMIF('Dept. Cost Actuals'!$E$7:$E$176,"*Miscellaneous*",'Dept. Cost Actuals'!N$703:N$872))</f>
        <v>0.44378214341557171</v>
      </c>
      <c r="K41" s="668">
        <f>IF(K$4="forecast",AVERAGE($O$41:$Z$41)+13200,SUMIF('Dept. Cost Actuals'!$E$7:$E$176,"*Miscellaneous*",'Dept. Cost Actuals'!O$703:O$872))</f>
        <v>0</v>
      </c>
      <c r="L41" s="668">
        <f>IF(L$4="forecast",AVERAGE($O$41:$Z$41)+13200,SUMIF('Dept. Cost Actuals'!$E$7:$E$176,"*Miscellaneous*",'Dept. Cost Actuals'!P$703:P$872))</f>
        <v>291.12041808904797</v>
      </c>
      <c r="M41" s="668">
        <f>IF(M$4="forecast",AVERAGE($O$41:$Z$41)+13200,SUMIF('Dept. Cost Actuals'!$E$7:$E$176,"*Miscellaneous*",'Dept. Cost Actuals'!Q$703:Q$872))</f>
        <v>39.300972212137147</v>
      </c>
      <c r="N41" s="668">
        <f>IF(N$4="forecast",AVERAGE($O$41:$Z$41)+13200,SUMIF('Dept. Cost Actuals'!$E$7:$E$176,"*Miscellaneous*",'Dept. Cost Actuals'!R$703:R$872))</f>
        <v>204.85342322777717</v>
      </c>
      <c r="O41" s="668">
        <f>IF(O$4="forecast",AVERAGE($O$41:$Z$41)+13200,SUMIF('Dept. Cost Actuals'!$E$7:$E$176,"*Miscellaneous*",'Dept. Cost Actuals'!S$703:S$872))</f>
        <v>0</v>
      </c>
      <c r="P41" s="668">
        <f>IF(P$4="forecast",AVERAGE($O$41:$Z$41)+13200,SUMIF('Dept. Cost Actuals'!$E$7:$E$176,"*Miscellaneous*",'Dept. Cost Actuals'!T$703:T$872))</f>
        <v>21.89</v>
      </c>
      <c r="Q41" s="668">
        <f>IF(Q$4="forecast",AVERAGE($O$41:$Z$41)+13200,SUMIF('Dept. Cost Actuals'!$E$7:$E$176,"*Miscellaneous*",'Dept. Cost Actuals'!U$703:U$872))</f>
        <v>0</v>
      </c>
      <c r="R41" s="668">
        <f>IF(R$4="forecast",AVERAGE($O$41:$Z$41)+13200,SUMIF('Dept. Cost Actuals'!$E$7:$E$176,"*Miscellaneous*",'Dept. Cost Actuals'!V$703:V$872))</f>
        <v>0</v>
      </c>
      <c r="S41" s="668">
        <f>IF(S$4="forecast",AVERAGE($O$41:$Z$41)+13200,SUMIF('Dept. Cost Actuals'!$E$7:$E$176,"*Miscellaneous*",'Dept. Cost Actuals'!W$703:W$872))</f>
        <v>53.65</v>
      </c>
      <c r="T41" s="668">
        <f>IF(T$4="forecast",AVERAGE($O$41:$Z$41)+13200,SUMIF('Dept. Cost Actuals'!$E$7:$E$176,"*Miscellaneous*",'Dept. Cost Actuals'!X$703:X$872))</f>
        <v>0</v>
      </c>
      <c r="U41" s="668">
        <f>IF(U$4="forecast",AVERAGE($O$41:$Z$41)+13200,SUMIF('Dept. Cost Actuals'!$E$7:$E$176,"*Miscellaneous*",'Dept. Cost Actuals'!Y$703:Y$872))</f>
        <v>0</v>
      </c>
      <c r="V41" s="668">
        <f>IF(V$4="forecast",AVERAGE($O$41:$Z$41)+13200,SUMIF('Dept. Cost Actuals'!$E$7:$E$176,"*Miscellaneous*",'Dept. Cost Actuals'!Z$703:Z$872))</f>
        <v>84.64</v>
      </c>
      <c r="W41" s="668">
        <f>IF(W$4="forecast",AVERAGE($O$41:$Z$41)+13200,SUMIF('Dept. Cost Actuals'!$E$7:$E$176,"*Miscellaneous*",'Dept. Cost Actuals'!AA$703:AA$872))</f>
        <v>0</v>
      </c>
      <c r="X41" s="668">
        <f>IF(X$4="forecast",AVERAGE($O$41:$Z$41)+13200,SUMIF('Dept. Cost Actuals'!$E$7:$E$176,"*Miscellaneous*",'Dept. Cost Actuals'!AB$703:AB$872))</f>
        <v>140.4</v>
      </c>
      <c r="Y41" s="668">
        <f>IF(Y$4="forecast",AVERAGE($O$41:$Z$41)+13200,SUMIF('Dept. Cost Actuals'!$E$7:$E$176,"*Miscellaneous*",'Dept. Cost Actuals'!AC$703:AC$872))</f>
        <v>0</v>
      </c>
      <c r="Z41" s="668">
        <f>IF(Z$4="forecast",AVERAGE($O$41:$Z$41)+13200,SUMIF('Dept. Cost Actuals'!$E$7:$E$176,"*Miscellaneous*",'Dept. Cost Actuals'!AD$703:AD$872))</f>
        <v>0</v>
      </c>
      <c r="AA41" s="668">
        <f>IF(AA$4="forecast",AVERAGE($O$41:$Z$41)+13200,SUMIF('Dept. Cost Actuals'!$E$7:$E$176,"*Miscellaneous*",'Dept. Cost Actuals'!AE$703:AE$872))</f>
        <v>0</v>
      </c>
      <c r="AB41" s="668">
        <f>IF(AB$4="forecast",AVERAGE($O$41:$Z$41)+13200,SUMIF('Dept. Cost Actuals'!$E$7:$E$176,"*Miscellaneous*",'Dept. Cost Actuals'!AF$703:AF$872))</f>
        <v>0</v>
      </c>
      <c r="AC41" s="668">
        <f>IF(AC$4="forecast",AVERAGE($O$41:$Z$41)+13200,SUMIF('Dept. Cost Actuals'!$E$7:$E$176,"*Miscellaneous*",'Dept. Cost Actuals'!AG$703:AG$872))</f>
        <v>0</v>
      </c>
      <c r="AD41" s="668">
        <f>IF(AD$4="forecast",AVERAGE($O$41:$Z$41)+20000,SUMIF('Dept. Cost Actuals'!$E$7:$E$176,"*Miscellaneous*",'Dept. Cost Actuals'!AH$703:AH$872))</f>
        <v>20025.048333333332</v>
      </c>
      <c r="AE41" s="668">
        <f>IF(AE$4="forecast",AVERAGE($O$41:$Z$41)+20000,SUMIF('Dept. Cost Actuals'!$E$7:$E$176,"*Miscellaneous*",'Dept. Cost Actuals'!AI$703:AI$872))</f>
        <v>20025.048333333332</v>
      </c>
      <c r="AF41" s="668">
        <f>IF(AF$4="forecast",AVERAGE($O$41:$Z$41)+20000,SUMIF('Dept. Cost Actuals'!$E$7:$E$176,"*Miscellaneous*",'Dept. Cost Actuals'!AJ$703:AJ$872))</f>
        <v>20025.048333333332</v>
      </c>
      <c r="AG41" s="668">
        <f>IF(AG$4="forecast",AVERAGE($O$41:$Z$41)+20000,SUMIF('Dept. Cost Actuals'!$E$7:$E$176,"*Miscellaneous*",'Dept. Cost Actuals'!AK$703:AK$872))</f>
        <v>20025.048333333332</v>
      </c>
      <c r="AH41" s="668">
        <f>IF(AH$4="forecast",AVERAGE($O$41:$Z$41)+20000,SUMIF('Dept. Cost Actuals'!$E$7:$E$176,"*Miscellaneous*",'Dept. Cost Actuals'!AL$703:AL$872))</f>
        <v>20025.048333333332</v>
      </c>
      <c r="AI41" s="668">
        <f>IF(AI$4="forecast",AVERAGE($O$41:$Z$41)+20000,SUMIF('Dept. Cost Actuals'!$E$7:$E$176,"*Miscellaneous*",'Dept. Cost Actuals'!AM$703:AM$872))</f>
        <v>20025.048333333332</v>
      </c>
      <c r="AJ41" s="668">
        <f>IF(AJ$4="forecast",AVERAGE($O$41:$Z$41)+20000,SUMIF('Dept. Cost Actuals'!$E$7:$E$176,"*Miscellaneous*",'Dept. Cost Actuals'!AN$703:AN$872))</f>
        <v>20025.048333333332</v>
      </c>
      <c r="AK41" s="668">
        <f>IF(AK$4="forecast",AVERAGE($O$41:$Z$41)+20000,SUMIF('Dept. Cost Actuals'!$E$7:$E$176,"*Miscellaneous*",'Dept. Cost Actuals'!AO$703:AO$872))</f>
        <v>20025.048333333332</v>
      </c>
      <c r="AL41" s="668">
        <f>IF(AL$4="forecast",AVERAGE($O$41:$Z$41)+20000,SUMIF('Dept. Cost Actuals'!$E$7:$E$176,"*Miscellaneous*",'Dept. Cost Actuals'!AP$703:AP$872))</f>
        <v>20025.048333333332</v>
      </c>
      <c r="AM41" s="668">
        <f>IF(AM$4="forecast",AVERAGE($O$41:$Z$41)+20000,SUMIF('Dept. Cost Actuals'!$E$7:$E$176,"*Miscellaneous*",'Dept. Cost Actuals'!AQ$703:AQ$872))</f>
        <v>20025.048333333332</v>
      </c>
      <c r="AN41" s="668">
        <f>IF(AN$4="forecast",AVERAGE($O$41:$Z$41)+20000,SUMIF('Dept. Cost Actuals'!$E$7:$E$176,"*Miscellaneous*",'Dept. Cost Actuals'!AR$703:AR$872))</f>
        <v>20025.048333333332</v>
      </c>
      <c r="AO41" s="668">
        <f>IF(AO$4="forecast",AVERAGE($O$41:$Z$41)+20000,SUMIF('Dept. Cost Actuals'!$E$7:$E$176,"*Miscellaneous*",'Dept. Cost Actuals'!AS$703:AS$872))</f>
        <v>20025.048333333332</v>
      </c>
      <c r="AP41" s="668">
        <f>IF(AP$4="forecast",AVERAGE($O$41:$Z$41)+20000,SUMIF('Dept. Cost Actuals'!$E$7:$E$176,"*Miscellaneous*",'Dept. Cost Actuals'!AT$703:AT$872))</f>
        <v>20025.048333333332</v>
      </c>
      <c r="AQ41" s="668">
        <f>IF(AQ$4="forecast",AVERAGE($O$41:$Z$41)+20000,SUMIF('Dept. Cost Actuals'!$E$7:$E$176,"*Miscellaneous*",'Dept. Cost Actuals'!AU$703:AU$872))</f>
        <v>20025.048333333332</v>
      </c>
      <c r="AR41" s="668">
        <f>IF(AR$4="forecast",AVERAGE($O$41:$Z$41)+20000,SUMIF('Dept. Cost Actuals'!$E$7:$E$176,"*Miscellaneous*",'Dept. Cost Actuals'!AV$703:AV$872))</f>
        <v>20025.048333333332</v>
      </c>
      <c r="AS41" s="668">
        <f>IF(AS$4="forecast",AVERAGE($O$41:$Z$41)+20000,SUMIF('Dept. Cost Actuals'!$E$7:$E$176,"*Miscellaneous*",'Dept. Cost Actuals'!AW$703:AW$872))</f>
        <v>20025.048333333332</v>
      </c>
      <c r="AT41" s="668">
        <f>IF(AT$4="forecast",AVERAGE($O$41:$Z$41)+20000,SUMIF('Dept. Cost Actuals'!$E$7:$E$176,"*Miscellaneous*",'Dept. Cost Actuals'!AX$703:AX$872))</f>
        <v>20025.048333333332</v>
      </c>
      <c r="AU41" s="668">
        <f>IF(AU$4="forecast",AVERAGE($O$41:$Z$41)+20000,SUMIF('Dept. Cost Actuals'!$E$7:$E$176,"*Miscellaneous*",'Dept. Cost Actuals'!AY$703:AY$872))</f>
        <v>20025.048333333332</v>
      </c>
      <c r="AV41" s="668">
        <f>IF(AV$4="forecast",AVERAGE($O$41:$Z$41)+20000,SUMIF('Dept. Cost Actuals'!$E$7:$E$176,"*Miscellaneous*",'Dept. Cost Actuals'!AZ$703:AZ$872))</f>
        <v>20025.048333333332</v>
      </c>
      <c r="AW41" s="668">
        <f>IF(AW$4="forecast",AVERAGE($O$41:$Z$41)+20000,SUMIF('Dept. Cost Actuals'!$E$7:$E$176,"*Miscellaneous*",'Dept. Cost Actuals'!BA$703:BA$872))</f>
        <v>20025.048333333332</v>
      </c>
      <c r="AX41" s="668">
        <f>IF(AX$4="forecast",AVERAGE($O$41:$Z$41)+20000,SUMIF('Dept. Cost Actuals'!$E$7:$E$176,"*Miscellaneous*",'Dept. Cost Actuals'!BB$703:BB$872))</f>
        <v>20025.048333333332</v>
      </c>
      <c r="AY41" s="668">
        <f>IF(AY$4="forecast",AVERAGE($O$41:$Z$41)+13200,SUMIF('Dept. Cost Actuals'!$E$7:$E$176,"*Miscellaneous*",'Dept. Cost Actuals'!BC$703:BC$872))</f>
        <v>13225.048333333334</v>
      </c>
      <c r="AZ41" s="668">
        <f>IF(AZ$4="forecast",AVERAGE($O$41:$Z$41)+13200,SUMIF('Dept. Cost Actuals'!$E$7:$E$176,"*Miscellaneous*",'Dept. Cost Actuals'!BD$703:BD$872))</f>
        <v>13225.048333333334</v>
      </c>
      <c r="BA41" s="668">
        <f>IF(BA$4="forecast",AVERAGE($O$41:$Z$41)+13200,SUMIF('Dept. Cost Actuals'!$E$7:$E$176,"*Miscellaneous*",'Dept. Cost Actuals'!BE$703:BE$872))</f>
        <v>13225.048333333334</v>
      </c>
      <c r="BB41" s="668">
        <f>IF(BB$4="forecast",AVERAGE($O$41:$Z$41)+13200,SUMIF('Dept. Cost Actuals'!$E$7:$E$176,"*Miscellaneous*",'Dept. Cost Actuals'!BF$703:BF$872))</f>
        <v>13225.048333333334</v>
      </c>
      <c r="BC41" s="668">
        <f>IF(BC$4="forecast",AVERAGE($O$41:$Z$41)+13200,SUMIF('Dept. Cost Actuals'!$E$7:$E$176,"*Miscellaneous*",'Dept. Cost Actuals'!BG$703:BG$872))</f>
        <v>13225.048333333334</v>
      </c>
      <c r="BD41" s="668">
        <f>IF(BD$4="forecast",AVERAGE($O$41:$Z$41)+13200,SUMIF('Dept. Cost Actuals'!$E$7:$E$176,"*Miscellaneous*",'Dept. Cost Actuals'!BH$703:BH$872))</f>
        <v>13225.048333333334</v>
      </c>
      <c r="BE41" s="668">
        <f>IF(BE$4="forecast",AVERAGE($O$41:$Z$41)+13200,SUMIF('Dept. Cost Actuals'!$E$7:$E$176,"*Miscellaneous*",'Dept. Cost Actuals'!BI$703:BI$872))</f>
        <v>13225.048333333334</v>
      </c>
      <c r="BF41" s="668">
        <f>IF(BF$4="forecast",AVERAGE($O$41:$Z$41)+13200,SUMIF('Dept. Cost Actuals'!$E$7:$E$176,"*Miscellaneous*",'Dept. Cost Actuals'!BJ$703:BJ$872))</f>
        <v>13225.048333333334</v>
      </c>
      <c r="BG41" s="668">
        <f>IF(BG$4="forecast",AVERAGE($O$41:$Z$41)+13200,SUMIF('Dept. Cost Actuals'!$E$7:$E$176,"*Miscellaneous*",'Dept. Cost Actuals'!BK$703:BK$872))</f>
        <v>13225.048333333334</v>
      </c>
      <c r="BH41" s="668">
        <f>IF(BH$4="forecast",AVERAGE($O$41:$Z$41)+13200,SUMIF('Dept. Cost Actuals'!$E$7:$E$176,"*Miscellaneous*",'Dept. Cost Actuals'!BL$703:BL$872))</f>
        <v>13225.048333333334</v>
      </c>
      <c r="BI41" s="668">
        <f>IF(BI$4="forecast",AVERAGE($O$41:$Z$41)+13200,SUMIF('Dept. Cost Actuals'!$E$7:$E$176,"*Miscellaneous*",'Dept. Cost Actuals'!BM$703:BM$872))</f>
        <v>13225.048333333334</v>
      </c>
      <c r="BJ41" s="668">
        <f>IF(BJ$4="forecast",AVERAGE($O$41:$Z$41)+13200,SUMIF('Dept. Cost Actuals'!$E$7:$E$176,"*Miscellaneous*",'Dept. Cost Actuals'!BN$703:BN$872))</f>
        <v>13225.048333333334</v>
      </c>
      <c r="BK41" s="668">
        <f>IF(BK$4="forecast",AVERAGE($O$41:$Z$41)+13200,SUMIF('Dept. Cost Actuals'!$E$7:$E$176,"*Miscellaneous*",'Dept. Cost Actuals'!BO$703:BO$872))</f>
        <v>13225.048333333334</v>
      </c>
      <c r="BL41" s="668">
        <f>IF(BL$4="forecast",AVERAGE($O$41:$Z$41)+13200,SUMIF('Dept. Cost Actuals'!$E$7:$E$176,"*Miscellaneous*",'Dept. Cost Actuals'!BP$703:BP$872))</f>
        <v>13225.048333333334</v>
      </c>
      <c r="BM41" s="668">
        <f>IF(BM$4="forecast",AVERAGE($O$41:$Z$41)+13200,SUMIF('Dept. Cost Actuals'!$E$7:$E$176,"*Miscellaneous*",'Dept. Cost Actuals'!BQ$703:BQ$872))</f>
        <v>13225.048333333334</v>
      </c>
      <c r="BN41" s="668">
        <f>IF(BN$4="forecast",AVERAGE($O$41:$Z$41)+13200,SUMIF('Dept. Cost Actuals'!$E$7:$E$176,"*Miscellaneous*",'Dept. Cost Actuals'!BR$703:BR$872))</f>
        <v>13225.048333333334</v>
      </c>
      <c r="BO41" s="668">
        <f>IF(BO$4="forecast",AVERAGE($O$41:$Z$41)+13200,SUMIF('Dept. Cost Actuals'!$E$7:$E$176,"*Miscellaneous*",'Dept. Cost Actuals'!BS$703:BS$872))</f>
        <v>13225.048333333334</v>
      </c>
      <c r="BP41" s="668">
        <f>IF(BP$4="forecast",AVERAGE($O$41:$Z$41)+13200,SUMIF('Dept. Cost Actuals'!$E$7:$E$176,"*Miscellaneous*",'Dept. Cost Actuals'!BT$703:BT$872))</f>
        <v>13225.048333333334</v>
      </c>
      <c r="BQ41" s="668">
        <f>IF(BQ$4="forecast",AVERAGE($O$41:$Z$41)+13200,SUMIF('Dept. Cost Actuals'!$E$7:$E$176,"*Miscellaneous*",'Dept. Cost Actuals'!BU$703:BU$872))</f>
        <v>13225.048333333334</v>
      </c>
      <c r="BR41" s="668">
        <f>IF(BR$4="forecast",AVERAGE($O$41:$Z$41)+13200,SUMIF('Dept. Cost Actuals'!$E$7:$E$176,"*Miscellaneous*",'Dept. Cost Actuals'!BV$703:BV$872))</f>
        <v>13225.048333333334</v>
      </c>
      <c r="BS41" s="668">
        <f>IF(BS$4="forecast",AVERAGE($O$41:$Z$41)+13200,SUMIF('Dept. Cost Actuals'!$E$7:$E$176,"*Miscellaneous*",'Dept. Cost Actuals'!BW$703:BW$872))</f>
        <v>13225.048333333334</v>
      </c>
      <c r="BT41" s="668">
        <f>IF(BT$4="forecast",AVERAGE($O$41:$Z$41)+13200,SUMIF('Dept. Cost Actuals'!$E$7:$E$176,"*Miscellaneous*",'Dept. Cost Actuals'!BX$703:BX$872))</f>
        <v>13225.048333333334</v>
      </c>
      <c r="BU41" s="668">
        <f>IF(BU$4="forecast",AVERAGE($O$41:$Z$41)+13200,SUMIF('Dept. Cost Actuals'!$E$7:$E$176,"*Miscellaneous*",'Dept. Cost Actuals'!BY$703:BY$872))</f>
        <v>13225.048333333334</v>
      </c>
      <c r="BV41" s="668">
        <f>IF(BV$4="forecast",AVERAGE($O$41:$Z$41)+13200,SUMIF('Dept. Cost Actuals'!$E$7:$E$176,"*Miscellaneous*",'Dept. Cost Actuals'!BZ$703:BZ$872))</f>
        <v>13225.048333333334</v>
      </c>
    </row>
    <row r="42" spans="2:74" x14ac:dyDescent="0.25">
      <c r="B42" s="797" t="s">
        <v>1336</v>
      </c>
      <c r="C42" s="792">
        <f>IF(C$4="forecast",AVERAGE(#REF!),SUMIF('Dept. Cost Actuals'!$E$7:$E$176,"*Liscenses and Permits*",'Dept. Cost Actuals'!G$703:G$872))</f>
        <v>0</v>
      </c>
      <c r="D42" s="792">
        <f>IF(D$4="forecast",AVERAGE(#REF!),SUMIF('Dept. Cost Actuals'!$E$7:$E$176,"*Liscenses and Permits*",'Dept. Cost Actuals'!H$703:H$872))</f>
        <v>0</v>
      </c>
      <c r="E42" s="792">
        <f>IF(E$4="forecast",AVERAGE(#REF!),SUMIF('Dept. Cost Actuals'!$E$7:$E$176,"*Liscenses and Permits*",'Dept. Cost Actuals'!I$703:I$872))</f>
        <v>0</v>
      </c>
      <c r="F42" s="792">
        <f>IF(F$4="forecast",AVERAGE(#REF!),SUMIF('Dept. Cost Actuals'!$E$7:$E$176,"*Liscenses and Permits*",'Dept. Cost Actuals'!J$703:J$872))</f>
        <v>0</v>
      </c>
      <c r="G42" s="792">
        <f>IF(G$4="forecast",AVERAGE(#REF!),SUMIF('Dept. Cost Actuals'!$E$7:$E$176,"*Liscenses and Permits*",'Dept. Cost Actuals'!K$703:K$872))</f>
        <v>0</v>
      </c>
      <c r="H42" s="792">
        <f>IF(H$4="forecast",AVERAGE(#REF!),SUMIF('Dept. Cost Actuals'!$E$7:$E$176,"*Liscenses and Permits*",'Dept. Cost Actuals'!L$703:L$872))</f>
        <v>0</v>
      </c>
      <c r="I42" s="792">
        <f>IF(I$4="forecast",AVERAGE(#REF!),SUMIF('Dept. Cost Actuals'!$E$7:$E$176,"*Liscenses and Permits*",'Dept. Cost Actuals'!M$703:M$872))</f>
        <v>0</v>
      </c>
      <c r="J42" s="792">
        <f>IF(J$4="forecast",AVERAGE(#REF!),SUMIF('Dept. Cost Actuals'!$E$7:$E$176,"*Liscenses and Permits*",'Dept. Cost Actuals'!N$703:N$872))</f>
        <v>0</v>
      </c>
      <c r="K42" s="792">
        <f>IF(K$4="forecast",AVERAGE(#REF!),SUMIF('Dept. Cost Actuals'!$E$7:$E$176,"*Liscenses and Permits*",'Dept. Cost Actuals'!O$703:O$872))</f>
        <v>0</v>
      </c>
      <c r="L42" s="792">
        <f>IF(L$4="forecast",AVERAGE(#REF!),SUMIF('Dept. Cost Actuals'!$E$7:$E$176,"*Liscenses and Permits*",'Dept. Cost Actuals'!P$703:P$872))</f>
        <v>0</v>
      </c>
      <c r="M42" s="792">
        <f>IF(M$4="forecast",AVERAGE(A42:L42),SUMIF('Dept. Cost Actuals'!$E$7:$E$176,"*Liscenses and Permits*",'Dept. Cost Actuals'!Q$703:Q$872))</f>
        <v>0</v>
      </c>
      <c r="N42" s="792">
        <f>IF(N$4="forecast",AVERAGE(B42:M42),SUMIF('Dept. Cost Actuals'!$E$7:$E$176,"*Liscenses and Permits*",'Dept. Cost Actuals'!R$703:R$872))</f>
        <v>0</v>
      </c>
      <c r="O42" s="792">
        <f>IF(O$4="forecast",AVERAGE(C42:N42),SUMIF('Dept. Cost Actuals'!$E$7:$E$176,"*Liscenses and Permits*",'Dept. Cost Actuals'!S$703:S$872))</f>
        <v>0</v>
      </c>
      <c r="P42" s="792">
        <f>IF(P$4="forecast",AVERAGE(D42:O42),SUMIF('Dept. Cost Actuals'!$E$7:$E$176,"*Liscenses and Permits*",'Dept. Cost Actuals'!T$703:T$872))</f>
        <v>0</v>
      </c>
      <c r="Q42" s="792">
        <f>IF(Q$4="forecast",AVERAGE(E42:P42),SUMIF('Dept. Cost Actuals'!$E$7:$E$176,"*Liscenses and Permits*",'Dept. Cost Actuals'!U$703:U$872))</f>
        <v>0</v>
      </c>
      <c r="R42" s="792">
        <f>IF(R$4="forecast",AVERAGE(F42:Q42),SUMIF('Dept. Cost Actuals'!$E$7:$E$176,"*Liscenses and Permits*",'Dept. Cost Actuals'!V$703:V$872))</f>
        <v>0</v>
      </c>
      <c r="S42" s="792">
        <f>IF(S$4="forecast",AVERAGE(G42:R42),SUMIF('Dept. Cost Actuals'!$E$7:$E$176,"*Liscenses and Permits*",'Dept. Cost Actuals'!W$703:W$872))</f>
        <v>0</v>
      </c>
      <c r="T42" s="792">
        <f>IF(T$4="forecast",AVERAGE(H42:S42),SUMIF('Dept. Cost Actuals'!$E$7:$E$176,"*Liscenses and Permits*",'Dept. Cost Actuals'!X$703:X$872))</f>
        <v>0</v>
      </c>
      <c r="U42" s="792">
        <f>IF(U$4="forecast",AVERAGE(I42:T42),SUMIF('Dept. Cost Actuals'!$E$7:$E$176,"*Liscenses and Permits*",'Dept. Cost Actuals'!Y$703:Y$872))</f>
        <v>0</v>
      </c>
      <c r="V42" s="792">
        <f>IF(V$4="forecast",AVERAGE(J42:U42),SUMIF('Dept. Cost Actuals'!$E$7:$E$176,"*Liscenses and Permits*",'Dept. Cost Actuals'!Z$703:Z$872))</f>
        <v>0</v>
      </c>
      <c r="W42" s="792">
        <f>IF(W$4="forecast",AVERAGE(K42:V42),SUMIF('Dept. Cost Actuals'!$E$7:$E$176,"*Liscenses and Permits*",'Dept. Cost Actuals'!AA$703:AA$872))</f>
        <v>0</v>
      </c>
      <c r="X42" s="792">
        <f>IF(X$4="forecast",AVERAGE(L42:W42),SUMIF('Dept. Cost Actuals'!$E$7:$E$176,"*Liscenses and Permits*",'Dept. Cost Actuals'!AB$703:AB$872))</f>
        <v>0</v>
      </c>
      <c r="Y42" s="792">
        <f>IF(Y$4="forecast",AVERAGE(M42:X42),SUMIF('Dept. Cost Actuals'!$E$7:$E$176,"*Liscenses and Permits*",'Dept. Cost Actuals'!AC$703:AC$872))</f>
        <v>0</v>
      </c>
      <c r="Z42" s="792">
        <f>IF(Z$4="forecast",AVERAGE(N42:Y42),SUMIF('Dept. Cost Actuals'!$E$7:$E$176,"*Liscenses and Permits*",'Dept. Cost Actuals'!AD$703:AD$872))</f>
        <v>0</v>
      </c>
      <c r="AA42" s="792">
        <f>IF(AA$4="forecast",AVERAGE(O42:Z42),SUMIF('Dept. Cost Actuals'!$E$7:$E$176,"*Liscenses and Permits*",'Dept. Cost Actuals'!AE$703:AE$872))</f>
        <v>0</v>
      </c>
      <c r="AB42" s="792">
        <f>IF(AB$4="forecast",AVERAGE(P42:AA42),SUMIF('Dept. Cost Actuals'!$E$7:$E$176,"*Liscenses and Permits*",'Dept. Cost Actuals'!AF$703:AF$872))</f>
        <v>0</v>
      </c>
      <c r="AC42" s="792">
        <f>IF(AC$4="forecast",AVERAGE(Q42:AB42),SUMIF('Dept. Cost Actuals'!$E$7:$E$176,"*Liscenses and Permits*",'Dept. Cost Actuals'!AG$703:AG$872))</f>
        <v>0</v>
      </c>
      <c r="AD42" s="792">
        <f>IF(AD$4="forecast",AVERAGE(R42:AC42),SUMIF('Dept. Cost Actuals'!$E$7:$E$176,"*Liscenses and Permits*",'Dept. Cost Actuals'!AH$703:AH$872))</f>
        <v>0</v>
      </c>
      <c r="AE42" s="792">
        <f>IF(AE$4="forecast",AVERAGE(S42:AD42),SUMIF('Dept. Cost Actuals'!$E$7:$E$176,"*Liscenses and Permits*",'Dept. Cost Actuals'!AI$703:AI$872))</f>
        <v>0</v>
      </c>
      <c r="AF42" s="792">
        <f>IF(AF$4="forecast",AVERAGE(T42:AE42),SUMIF('Dept. Cost Actuals'!$E$7:$E$176,"*Liscenses and Permits*",'Dept. Cost Actuals'!AJ$703:AJ$872))</f>
        <v>0</v>
      </c>
      <c r="AG42" s="792">
        <f>IF(AG$4="forecast",AVERAGE(U42:AF42),SUMIF('Dept. Cost Actuals'!$E$7:$E$176,"*Liscenses and Permits*",'Dept. Cost Actuals'!AK$703:AK$872))</f>
        <v>0</v>
      </c>
      <c r="AH42" s="792">
        <f>IF(AH$4="forecast",AVERAGE(V42:AG42),SUMIF('Dept. Cost Actuals'!$E$7:$E$176,"*Liscenses and Permits*",'Dept. Cost Actuals'!AL$703:AL$872))</f>
        <v>0</v>
      </c>
      <c r="AI42" s="792">
        <f>IF(AI$4="forecast",AVERAGE(W42:AH42),SUMIF('Dept. Cost Actuals'!$E$7:$E$176,"*Liscenses and Permits*",'Dept. Cost Actuals'!AM$703:AM$872))</f>
        <v>0</v>
      </c>
      <c r="AJ42" s="792">
        <f>IF(AJ$4="forecast",AVERAGE(X42:AI42),SUMIF('Dept. Cost Actuals'!$E$7:$E$176,"*Liscenses and Permits*",'Dept. Cost Actuals'!AN$703:AN$872))</f>
        <v>0</v>
      </c>
      <c r="AK42" s="792">
        <f>IF(AK$4="forecast",AVERAGE(Y42:AJ42),SUMIF('Dept. Cost Actuals'!$E$7:$E$176,"*Liscenses and Permits*",'Dept. Cost Actuals'!AO$703:AO$872))</f>
        <v>0</v>
      </c>
      <c r="AL42" s="792">
        <f>IF(AL$4="forecast",AVERAGE(Z42:AK42),SUMIF('Dept. Cost Actuals'!$E$7:$E$176,"*Liscenses and Permits*",'Dept. Cost Actuals'!AP$703:AP$872))</f>
        <v>0</v>
      </c>
      <c r="AM42" s="792">
        <f>IF(AM$4="forecast",AVERAGE(AA42:AL42),SUMIF('Dept. Cost Actuals'!$E$7:$E$176,"*Liscenses and Permits*",'Dept. Cost Actuals'!AQ$703:AQ$872))</f>
        <v>0</v>
      </c>
      <c r="AN42" s="792">
        <f>IF(AN$4="forecast",AVERAGE(AB42:AM42),SUMIF('Dept. Cost Actuals'!$E$7:$E$176,"*Liscenses and Permits*",'Dept. Cost Actuals'!AR$703:AR$872))</f>
        <v>0</v>
      </c>
      <c r="AO42" s="792">
        <f>IF(AO$4="forecast",AVERAGE(AC42:AN42),SUMIF('Dept. Cost Actuals'!$E$7:$E$176,"*Liscenses and Permits*",'Dept. Cost Actuals'!AS$703:AS$872))</f>
        <v>0</v>
      </c>
      <c r="AP42" s="792">
        <f>IF(AP$4="forecast",AVERAGE(AD42:AO42),SUMIF('Dept. Cost Actuals'!$E$7:$E$176,"*Liscenses and Permits*",'Dept. Cost Actuals'!AT$703:AT$872))</f>
        <v>0</v>
      </c>
      <c r="AQ42" s="792">
        <f>IF(AQ$4="forecast",AVERAGE(AE42:AP42),SUMIF('Dept. Cost Actuals'!$E$7:$E$176,"*Liscenses and Permits*",'Dept. Cost Actuals'!AU$703:AU$872))</f>
        <v>0</v>
      </c>
      <c r="AR42" s="792">
        <f>IF(AR$4="forecast",AVERAGE(AF42:AQ42),SUMIF('Dept. Cost Actuals'!$E$7:$E$176,"*Liscenses and Permits*",'Dept. Cost Actuals'!AV$703:AV$872))</f>
        <v>0</v>
      </c>
      <c r="AS42" s="792">
        <f>IF(AS$4="forecast",AVERAGE(AG42:AR42),SUMIF('Dept. Cost Actuals'!$E$7:$E$176,"*Liscenses and Permits*",'Dept. Cost Actuals'!AW$703:AW$872))</f>
        <v>0</v>
      </c>
      <c r="AT42" s="792">
        <f>IF(AT$4="forecast",AVERAGE(AH42:AS42),SUMIF('Dept. Cost Actuals'!$E$7:$E$176,"*Liscenses and Permits*",'Dept. Cost Actuals'!AX$703:AX$872))</f>
        <v>0</v>
      </c>
      <c r="AU42" s="792">
        <f>IF(AU$4="forecast",AVERAGE(AI42:AT42),SUMIF('Dept. Cost Actuals'!$E$7:$E$176,"*Liscenses and Permits*",'Dept. Cost Actuals'!AY$703:AY$872))</f>
        <v>0</v>
      </c>
      <c r="AV42" s="792">
        <f>IF(AV$4="forecast",AVERAGE(AJ42:AU42),SUMIF('Dept. Cost Actuals'!$E$7:$E$176,"*Liscenses and Permits*",'Dept. Cost Actuals'!AZ$703:AZ$872))</f>
        <v>0</v>
      </c>
      <c r="AW42" s="792">
        <f>IF(AW$4="forecast",AVERAGE(AK42:AV42),SUMIF('Dept. Cost Actuals'!$E$7:$E$176,"*Liscenses and Permits*",'Dept. Cost Actuals'!BA$703:BA$872))</f>
        <v>0</v>
      </c>
      <c r="AX42" s="792">
        <f>IF(AX$4="forecast",AVERAGE(AL42:AW42),SUMIF('Dept. Cost Actuals'!$E$7:$E$176,"*Liscenses and Permits*",'Dept. Cost Actuals'!BB$703:BB$872))</f>
        <v>0</v>
      </c>
      <c r="AY42" s="792">
        <f>IF(AY$4="forecast",AVERAGE(AM42:AX42),SUMIF('Dept. Cost Actuals'!$E$7:$E$176,"*Liscenses and Permits*",'Dept. Cost Actuals'!BC$703:BC$872))</f>
        <v>0</v>
      </c>
      <c r="AZ42" s="792">
        <f>IF(AZ$4="forecast",AVERAGE(AN42:AY42),SUMIF('Dept. Cost Actuals'!$E$7:$E$176,"*Liscenses and Permits*",'Dept. Cost Actuals'!BD$703:BD$872))</f>
        <v>0</v>
      </c>
      <c r="BA42" s="792">
        <f>IF(BA$4="forecast",AVERAGE(AO42:AZ42),SUMIF('Dept. Cost Actuals'!$E$7:$E$176,"*Liscenses and Permits*",'Dept. Cost Actuals'!BE$703:BE$872))</f>
        <v>0</v>
      </c>
      <c r="BB42" s="792">
        <f>IF(BB$4="forecast",AVERAGE(AP42:BA42),SUMIF('Dept. Cost Actuals'!$E$7:$E$176,"*Liscenses and Permits*",'Dept. Cost Actuals'!BF$703:BF$872))</f>
        <v>0</v>
      </c>
      <c r="BC42" s="792">
        <f>IF(BC$4="forecast",AVERAGE(AQ42:BB42),SUMIF('Dept. Cost Actuals'!$E$7:$E$176,"*Liscenses and Permits*",'Dept. Cost Actuals'!BG$703:BG$872))</f>
        <v>0</v>
      </c>
      <c r="BD42" s="792">
        <f>IF(BD$4="forecast",AVERAGE(AR42:BC42),SUMIF('Dept. Cost Actuals'!$E$7:$E$176,"*Liscenses and Permits*",'Dept. Cost Actuals'!BH$703:BH$872))</f>
        <v>0</v>
      </c>
      <c r="BE42" s="792">
        <f>IF(BE$4="forecast",AVERAGE(AS42:BD42),SUMIF('Dept. Cost Actuals'!$E$7:$E$176,"*Liscenses and Permits*",'Dept. Cost Actuals'!BI$703:BI$872))</f>
        <v>0</v>
      </c>
      <c r="BF42" s="792">
        <f>IF(BF$4="forecast",AVERAGE(AT42:BE42),SUMIF('Dept. Cost Actuals'!$E$7:$E$176,"*Liscenses and Permits*",'Dept. Cost Actuals'!BJ$703:BJ$872))</f>
        <v>0</v>
      </c>
      <c r="BG42" s="792">
        <f>IF(BG$4="forecast",AVERAGE(AU42:BF42),SUMIF('Dept. Cost Actuals'!$E$7:$E$176,"*Liscenses and Permits*",'Dept. Cost Actuals'!BK$703:BK$872))</f>
        <v>0</v>
      </c>
      <c r="BH42" s="792">
        <f>IF(BH$4="forecast",AVERAGE(AV42:BG42),SUMIF('Dept. Cost Actuals'!$E$7:$E$176,"*Liscenses and Permits*",'Dept. Cost Actuals'!BL$703:BL$872))</f>
        <v>0</v>
      </c>
      <c r="BI42" s="792">
        <f>IF(BI$4="forecast",AVERAGE(AW42:BH42),SUMIF('Dept. Cost Actuals'!$E$7:$E$176,"*Liscenses and Permits*",'Dept. Cost Actuals'!BM$703:BM$872))</f>
        <v>0</v>
      </c>
      <c r="BJ42" s="792">
        <f>IF(BJ$4="forecast",AVERAGE(AX42:BI42),SUMIF('Dept. Cost Actuals'!$E$7:$E$176,"*Liscenses and Permits*",'Dept. Cost Actuals'!BN$703:BN$872))</f>
        <v>0</v>
      </c>
      <c r="BK42" s="792">
        <f>IF(BK$4="forecast",AVERAGE(AY42:BJ42),SUMIF('Dept. Cost Actuals'!$E$7:$E$176,"*Liscenses and Permits*",'Dept. Cost Actuals'!BO$703:BO$872))</f>
        <v>0</v>
      </c>
      <c r="BL42" s="792">
        <f>IF(BL$4="forecast",AVERAGE(AZ42:BK42),SUMIF('Dept. Cost Actuals'!$E$7:$E$176,"*Liscenses and Permits*",'Dept. Cost Actuals'!BP$703:BP$872))</f>
        <v>0</v>
      </c>
      <c r="BM42" s="792">
        <f>IF(BM$4="forecast",AVERAGE(BA42:BL42),SUMIF('Dept. Cost Actuals'!$E$7:$E$176,"*Liscenses and Permits*",'Dept. Cost Actuals'!BQ$703:BQ$872))</f>
        <v>0</v>
      </c>
      <c r="BN42" s="792">
        <f>IF(BN$4="forecast",AVERAGE(BB42:BM42),SUMIF('Dept. Cost Actuals'!$E$7:$E$176,"*Liscenses and Permits*",'Dept. Cost Actuals'!BR$703:BR$872))</f>
        <v>0</v>
      </c>
      <c r="BO42" s="792">
        <f>IF(BO$4="forecast",AVERAGE(BC42:BN42),SUMIF('Dept. Cost Actuals'!$E$7:$E$176,"*Liscenses and Permits*",'Dept. Cost Actuals'!BS$703:BS$872))</f>
        <v>0</v>
      </c>
      <c r="BP42" s="792">
        <f>IF(BP$4="forecast",AVERAGE(BD42:BO42),SUMIF('Dept. Cost Actuals'!$E$7:$E$176,"*Liscenses and Permits*",'Dept. Cost Actuals'!BT$703:BT$872))</f>
        <v>0</v>
      </c>
      <c r="BQ42" s="792">
        <f>IF(BQ$4="forecast",AVERAGE(BE42:BP42),SUMIF('Dept. Cost Actuals'!$E$7:$E$176,"*Liscenses and Permits*",'Dept. Cost Actuals'!BU$703:BU$872))</f>
        <v>0</v>
      </c>
      <c r="BR42" s="792">
        <f>IF(BR$4="forecast",AVERAGE(BF42:BQ42),SUMIF('Dept. Cost Actuals'!$E$7:$E$176,"*Liscenses and Permits*",'Dept. Cost Actuals'!BV$703:BV$872))</f>
        <v>0</v>
      </c>
      <c r="BS42" s="792">
        <f>IF(BS$4="forecast",AVERAGE(BG42:BR42),SUMIF('Dept. Cost Actuals'!$E$7:$E$176,"*Liscenses and Permits*",'Dept. Cost Actuals'!BW$703:BW$872))</f>
        <v>0</v>
      </c>
      <c r="BT42" s="792">
        <f>IF(BT$4="forecast",AVERAGE(BH42:BS42),SUMIF('Dept. Cost Actuals'!$E$7:$E$176,"*Liscenses and Permits*",'Dept. Cost Actuals'!BX$703:BX$872))</f>
        <v>0</v>
      </c>
      <c r="BU42" s="792">
        <f>IF(BU$4="forecast",AVERAGE(BI42:BT42),SUMIF('Dept. Cost Actuals'!$E$7:$E$176,"*Liscenses and Permits*",'Dept. Cost Actuals'!BY$703:BY$872))</f>
        <v>0</v>
      </c>
      <c r="BV42" s="792">
        <f>IF(BV$4="forecast",AVERAGE(BJ42:BU42),SUMIF('Dept. Cost Actuals'!$E$7:$E$176,"*Liscenses and Permits*",'Dept. Cost Actuals'!BZ$703:BZ$872))</f>
        <v>0</v>
      </c>
    </row>
    <row r="43" spans="2:74" x14ac:dyDescent="0.25">
      <c r="B43" s="799" t="s">
        <v>946</v>
      </c>
      <c r="C43" s="800">
        <f>SUM(C32:C42)</f>
        <v>6926.6839212403429</v>
      </c>
      <c r="D43" s="800">
        <f t="shared" ref="D43:BO43" si="10">SUM(D32:D42)</f>
        <v>8396.4039824801948</v>
      </c>
      <c r="E43" s="800">
        <f t="shared" si="10"/>
        <v>4309.8202173705122</v>
      </c>
      <c r="F43" s="800">
        <f t="shared" si="10"/>
        <v>7269.8612045694153</v>
      </c>
      <c r="G43" s="800">
        <f t="shared" si="10"/>
        <v>7425.0632688345559</v>
      </c>
      <c r="H43" s="800">
        <f t="shared" si="10"/>
        <v>8551.747456513971</v>
      </c>
      <c r="I43" s="800">
        <f t="shared" si="10"/>
        <v>9046.3567868171813</v>
      </c>
      <c r="J43" s="800">
        <f t="shared" si="10"/>
        <v>9790.6877226883753</v>
      </c>
      <c r="K43" s="800">
        <f t="shared" si="10"/>
        <v>9027.3774377276495</v>
      </c>
      <c r="L43" s="800">
        <f t="shared" si="10"/>
        <v>10385.775786819249</v>
      </c>
      <c r="M43" s="800">
        <f t="shared" si="10"/>
        <v>12991.930995654197</v>
      </c>
      <c r="N43" s="800">
        <f t="shared" si="10"/>
        <v>7970.3215404739203</v>
      </c>
      <c r="O43" s="800">
        <f t="shared" si="10"/>
        <v>17610.39</v>
      </c>
      <c r="P43" s="800">
        <f t="shared" si="10"/>
        <v>2461.89</v>
      </c>
      <c r="Q43" s="800">
        <f t="shared" si="10"/>
        <v>17790.07</v>
      </c>
      <c r="R43" s="800">
        <f t="shared" si="10"/>
        <v>22055.95</v>
      </c>
      <c r="S43" s="800">
        <f t="shared" si="10"/>
        <v>26980.030000000002</v>
      </c>
      <c r="T43" s="800">
        <f t="shared" si="10"/>
        <v>6025.51</v>
      </c>
      <c r="U43" s="800">
        <f t="shared" si="10"/>
        <v>46668.21</v>
      </c>
      <c r="V43" s="800">
        <f t="shared" si="10"/>
        <v>36113.49</v>
      </c>
      <c r="W43" s="800">
        <f t="shared" si="10"/>
        <v>33684.61</v>
      </c>
      <c r="X43" s="800">
        <f t="shared" si="10"/>
        <v>33348.94</v>
      </c>
      <c r="Y43" s="800">
        <f t="shared" si="10"/>
        <v>32946.68</v>
      </c>
      <c r="Z43" s="800">
        <f t="shared" si="10"/>
        <v>40854.35</v>
      </c>
      <c r="AA43" s="800">
        <f t="shared" si="10"/>
        <v>34841.879999999997</v>
      </c>
      <c r="AB43" s="800">
        <f t="shared" si="10"/>
        <v>21584.33</v>
      </c>
      <c r="AC43" s="800">
        <f t="shared" si="10"/>
        <v>29246.26</v>
      </c>
      <c r="AD43" s="800">
        <f t="shared" si="10"/>
        <v>20601.432499999999</v>
      </c>
      <c r="AE43" s="800">
        <f t="shared" si="10"/>
        <v>20631.964513888888</v>
      </c>
      <c r="AF43" s="800">
        <f t="shared" si="10"/>
        <v>20638.53919560185</v>
      </c>
      <c r="AG43" s="800">
        <f t="shared" si="10"/>
        <v>20687.537600790893</v>
      </c>
      <c r="AH43" s="800">
        <f t="shared" si="10"/>
        <v>20710.390873079024</v>
      </c>
      <c r="AI43" s="800">
        <f t="shared" si="10"/>
        <v>20681.92691805783</v>
      </c>
      <c r="AJ43" s="800">
        <f t="shared" si="10"/>
        <v>20663.235966784872</v>
      </c>
      <c r="AK43" s="800">
        <f t="shared" si="10"/>
        <v>20713.918269572503</v>
      </c>
      <c r="AL43" s="800">
        <f t="shared" si="10"/>
        <v>20762.451597592433</v>
      </c>
      <c r="AM43" s="800">
        <f t="shared" si="10"/>
        <v>20819.109369614023</v>
      </c>
      <c r="AN43" s="800">
        <f t="shared" si="10"/>
        <v>20764.831122637417</v>
      </c>
      <c r="AO43" s="800">
        <f t="shared" si="10"/>
        <v>20781.811355079422</v>
      </c>
      <c r="AP43" s="800">
        <f t="shared" si="10"/>
        <v>20704.762440224931</v>
      </c>
      <c r="AQ43" s="800">
        <f t="shared" si="10"/>
        <v>20713.373268577008</v>
      </c>
      <c r="AR43" s="800">
        <f t="shared" si="10"/>
        <v>20720.157331467683</v>
      </c>
      <c r="AS43" s="800">
        <f t="shared" si="10"/>
        <v>20726.958842789838</v>
      </c>
      <c r="AT43" s="800">
        <f t="shared" si="10"/>
        <v>20730.243946289749</v>
      </c>
      <c r="AU43" s="800">
        <f t="shared" si="10"/>
        <v>20731.898369057308</v>
      </c>
      <c r="AV43" s="800">
        <f t="shared" si="10"/>
        <v>20736.062656640599</v>
      </c>
      <c r="AW43" s="800">
        <f t="shared" si="10"/>
        <v>20742.131547461908</v>
      </c>
      <c r="AX43" s="800">
        <f t="shared" si="10"/>
        <v>20744.482653952695</v>
      </c>
      <c r="AY43" s="800">
        <f t="shared" si="10"/>
        <v>13942.985241982717</v>
      </c>
      <c r="AZ43" s="800">
        <f t="shared" si="10"/>
        <v>13936.641564680107</v>
      </c>
      <c r="BA43" s="800">
        <f t="shared" si="10"/>
        <v>13934.292434850331</v>
      </c>
      <c r="BB43" s="800">
        <f t="shared" si="10"/>
        <v>13930.332524831241</v>
      </c>
      <c r="BC43" s="800">
        <f t="shared" si="10"/>
        <v>13932.463365215101</v>
      </c>
      <c r="BD43" s="800">
        <f t="shared" si="10"/>
        <v>13934.054206601608</v>
      </c>
      <c r="BE43" s="800">
        <f t="shared" si="10"/>
        <v>13935.212279529434</v>
      </c>
      <c r="BF43" s="800">
        <f t="shared" si="10"/>
        <v>13935.900065924401</v>
      </c>
      <c r="BG43" s="800">
        <f t="shared" si="10"/>
        <v>13936.371409227288</v>
      </c>
      <c r="BH43" s="800">
        <f t="shared" si="10"/>
        <v>13936.744162574785</v>
      </c>
      <c r="BI43" s="800">
        <f t="shared" si="10"/>
        <v>13936.800954735969</v>
      </c>
      <c r="BJ43" s="800">
        <f t="shared" si="10"/>
        <v>13936.356738675473</v>
      </c>
      <c r="BK43" s="800">
        <f t="shared" si="10"/>
        <v>13935.679579069038</v>
      </c>
      <c r="BL43" s="800">
        <f t="shared" si="10"/>
        <v>13935.070773826232</v>
      </c>
      <c r="BM43" s="800">
        <f t="shared" si="10"/>
        <v>13934.939874588408</v>
      </c>
      <c r="BN43" s="800">
        <f t="shared" si="10"/>
        <v>13934.993827899914</v>
      </c>
      <c r="BO43" s="800">
        <f t="shared" si="10"/>
        <v>13935.382269822305</v>
      </c>
      <c r="BP43" s="800">
        <f t="shared" ref="BP43:BV43" si="11">SUM(BP32:BP42)</f>
        <v>13935.625511872904</v>
      </c>
      <c r="BQ43" s="800">
        <f t="shared" si="11"/>
        <v>13935.756453978845</v>
      </c>
      <c r="BR43" s="800">
        <f t="shared" si="11"/>
        <v>13935.80180184963</v>
      </c>
      <c r="BS43" s="800">
        <f t="shared" si="11"/>
        <v>13935.793613176733</v>
      </c>
      <c r="BT43" s="800">
        <f t="shared" si="11"/>
        <v>13935.745463505853</v>
      </c>
      <c r="BU43" s="800">
        <f t="shared" si="11"/>
        <v>13935.662238583442</v>
      </c>
      <c r="BV43" s="800">
        <f t="shared" si="11"/>
        <v>13935.567345570731</v>
      </c>
    </row>
    <row r="44" spans="2:74" x14ac:dyDescent="0.25">
      <c r="B44" s="783"/>
      <c r="C44" s="156"/>
      <c r="D44" s="156"/>
      <c r="E44" s="156"/>
      <c r="F44" s="156"/>
      <c r="G44" s="156"/>
      <c r="H44" s="156"/>
      <c r="I44" s="156"/>
      <c r="J44" s="156"/>
      <c r="K44" s="156"/>
      <c r="L44" s="156"/>
      <c r="M44" s="156"/>
      <c r="N44" s="156"/>
      <c r="O44" s="156"/>
      <c r="P44" s="156"/>
      <c r="Q44" s="156"/>
      <c r="R44" s="156"/>
      <c r="S44" s="156"/>
      <c r="T44" s="156"/>
      <c r="U44" s="156"/>
      <c r="V44" s="156"/>
      <c r="W44" s="156"/>
      <c r="X44" s="156"/>
      <c r="Y44" s="156"/>
      <c r="Z44" s="156"/>
      <c r="AA44" s="156"/>
      <c r="AB44" s="156"/>
      <c r="AC44" s="156"/>
      <c r="AD44" s="156"/>
      <c r="AE44" s="156"/>
      <c r="AF44" s="156"/>
      <c r="AG44" s="156"/>
      <c r="AH44" s="156"/>
      <c r="AI44" s="156"/>
      <c r="AJ44" s="156"/>
      <c r="AK44" s="156"/>
      <c r="AL44" s="156"/>
      <c r="AM44" s="156"/>
      <c r="AN44" s="156"/>
      <c r="AO44" s="156"/>
      <c r="AP44" s="156"/>
      <c r="AQ44" s="156"/>
      <c r="AR44" s="156"/>
      <c r="AS44" s="156"/>
      <c r="AT44" s="156"/>
      <c r="AU44" s="156"/>
      <c r="AV44" s="156"/>
      <c r="AW44" s="156"/>
      <c r="AX44" s="156"/>
      <c r="AY44" s="156"/>
      <c r="AZ44" s="156"/>
      <c r="BA44" s="156"/>
      <c r="BB44" s="156"/>
      <c r="BC44" s="156"/>
      <c r="BD44" s="156"/>
      <c r="BE44" s="156"/>
      <c r="BF44" s="156"/>
      <c r="BG44" s="156"/>
      <c r="BH44" s="156"/>
      <c r="BI44" s="156"/>
      <c r="BJ44" s="156"/>
      <c r="BK44" s="156"/>
      <c r="BL44" s="156"/>
      <c r="BM44" s="156"/>
      <c r="BN44" s="156"/>
      <c r="BO44" s="156"/>
      <c r="BP44" s="156"/>
      <c r="BQ44" s="156"/>
      <c r="BR44" s="156"/>
      <c r="BS44" s="156"/>
      <c r="BT44" s="156"/>
      <c r="BU44" s="156"/>
      <c r="BV44" s="784"/>
    </row>
    <row r="45" spans="2:74" x14ac:dyDescent="0.25">
      <c r="B45" s="855" t="s">
        <v>488</v>
      </c>
      <c r="C45" s="856">
        <f t="shared" ref="C45:BN45" si="12">C43+C29</f>
        <v>28936.194989697568</v>
      </c>
      <c r="D45" s="856">
        <f t="shared" si="12"/>
        <v>29068.384699707975</v>
      </c>
      <c r="E45" s="856">
        <f t="shared" si="12"/>
        <v>24816.344325916398</v>
      </c>
      <c r="F45" s="856">
        <f t="shared" si="12"/>
        <v>32841.269386643151</v>
      </c>
      <c r="G45" s="856">
        <f t="shared" si="12"/>
        <v>30687.35968143549</v>
      </c>
      <c r="H45" s="856">
        <f t="shared" si="12"/>
        <v>42173.656929524739</v>
      </c>
      <c r="I45" s="856">
        <f t="shared" si="12"/>
        <v>31775.717145368861</v>
      </c>
      <c r="J45" s="856">
        <f t="shared" si="12"/>
        <v>37195.632062965</v>
      </c>
      <c r="K45" s="856">
        <f t="shared" si="12"/>
        <v>32910.646091064045</v>
      </c>
      <c r="L45" s="856">
        <f t="shared" si="12"/>
        <v>39324.872454851422</v>
      </c>
      <c r="M45" s="856">
        <f t="shared" si="12"/>
        <v>67613.394059981307</v>
      </c>
      <c r="N45" s="856">
        <f t="shared" si="12"/>
        <v>60347.645020890588</v>
      </c>
      <c r="O45" s="856">
        <f t="shared" si="12"/>
        <v>65071.119999999995</v>
      </c>
      <c r="P45" s="856">
        <f t="shared" si="12"/>
        <v>36418.94</v>
      </c>
      <c r="Q45" s="856">
        <f t="shared" si="12"/>
        <v>74794.22</v>
      </c>
      <c r="R45" s="856">
        <f t="shared" si="12"/>
        <v>63163.95</v>
      </c>
      <c r="S45" s="856">
        <f t="shared" si="12"/>
        <v>98531.67</v>
      </c>
      <c r="T45" s="856">
        <f t="shared" si="12"/>
        <v>83189.499999999985</v>
      </c>
      <c r="U45" s="856">
        <f t="shared" si="12"/>
        <v>109793.95</v>
      </c>
      <c r="V45" s="856">
        <f t="shared" si="12"/>
        <v>108879.76999999999</v>
      </c>
      <c r="W45" s="856">
        <f t="shared" si="12"/>
        <v>97885.34</v>
      </c>
      <c r="X45" s="856">
        <f t="shared" si="12"/>
        <v>110090.17000000001</v>
      </c>
      <c r="Y45" s="856">
        <f t="shared" si="12"/>
        <v>105787.69999999998</v>
      </c>
      <c r="Z45" s="856">
        <f t="shared" si="12"/>
        <v>135095.44</v>
      </c>
      <c r="AA45" s="856">
        <f t="shared" si="12"/>
        <v>173259.54</v>
      </c>
      <c r="AB45" s="856">
        <f t="shared" si="12"/>
        <v>137737.29999999999</v>
      </c>
      <c r="AC45" s="856">
        <f t="shared" si="12"/>
        <v>143437.01</v>
      </c>
      <c r="AD45" s="856">
        <f t="shared" si="12"/>
        <v>237780.44377061751</v>
      </c>
      <c r="AE45" s="856">
        <f t="shared" si="12"/>
        <v>251213.41672347276</v>
      </c>
      <c r="AF45" s="856">
        <f t="shared" si="12"/>
        <v>255595.10432728531</v>
      </c>
      <c r="AG45" s="856">
        <f t="shared" si="12"/>
        <v>252324.58778144507</v>
      </c>
      <c r="AH45" s="856">
        <f t="shared" si="12"/>
        <v>253533.87649724251</v>
      </c>
      <c r="AI45" s="856">
        <f t="shared" si="12"/>
        <v>251206.80057180446</v>
      </c>
      <c r="AJ45" s="856">
        <f t="shared" si="12"/>
        <v>252466.81315373944</v>
      </c>
      <c r="AK45" s="856">
        <f t="shared" si="12"/>
        <v>253162.99743894039</v>
      </c>
      <c r="AL45" s="856">
        <f t="shared" si="12"/>
        <v>254038.4077724026</v>
      </c>
      <c r="AM45" s="856">
        <f t="shared" si="12"/>
        <v>245773.51327880847</v>
      </c>
      <c r="AN45" s="856">
        <f t="shared" si="12"/>
        <v>213425.87908339451</v>
      </c>
      <c r="AO45" s="856">
        <f t="shared" si="12"/>
        <v>214267.60800014989</v>
      </c>
      <c r="AP45" s="856">
        <f t="shared" si="12"/>
        <v>215171.57288279859</v>
      </c>
      <c r="AQ45" s="856">
        <f t="shared" si="12"/>
        <v>215904.15878812029</v>
      </c>
      <c r="AR45" s="856">
        <f t="shared" si="12"/>
        <v>216872.63882349854</v>
      </c>
      <c r="AS45" s="856">
        <f t="shared" si="12"/>
        <v>217806.63229517368</v>
      </c>
      <c r="AT45" s="856">
        <f t="shared" si="12"/>
        <v>218728.20924499788</v>
      </c>
      <c r="AU45" s="856">
        <f t="shared" si="12"/>
        <v>219635.60147553985</v>
      </c>
      <c r="AV45" s="856">
        <f t="shared" si="12"/>
        <v>220544.16983393533</v>
      </c>
      <c r="AW45" s="856">
        <f t="shared" si="12"/>
        <v>221437.1986135522</v>
      </c>
      <c r="AX45" s="856">
        <f t="shared" si="12"/>
        <v>222344.93160230739</v>
      </c>
      <c r="AY45" s="856">
        <f t="shared" si="12"/>
        <v>217838.79942629687</v>
      </c>
      <c r="AZ45" s="856">
        <f t="shared" si="12"/>
        <v>222951.14280841697</v>
      </c>
      <c r="BA45" s="856">
        <f t="shared" si="12"/>
        <v>223931.8716007997</v>
      </c>
      <c r="BB45" s="856">
        <f t="shared" si="12"/>
        <v>224892.69788370602</v>
      </c>
      <c r="BC45" s="856">
        <f t="shared" si="12"/>
        <v>225865.40955998318</v>
      </c>
      <c r="BD45" s="856">
        <f t="shared" si="12"/>
        <v>226848.48609917125</v>
      </c>
      <c r="BE45" s="856">
        <f t="shared" si="12"/>
        <v>227855.99668089004</v>
      </c>
      <c r="BF45" s="856">
        <f t="shared" si="12"/>
        <v>228862.84413263758</v>
      </c>
      <c r="BG45" s="856">
        <f t="shared" si="12"/>
        <v>229877.59890231353</v>
      </c>
      <c r="BH45" s="856">
        <f t="shared" si="12"/>
        <v>230900.66031240337</v>
      </c>
      <c r="BI45" s="856">
        <f t="shared" si="12"/>
        <v>231933.16780236043</v>
      </c>
      <c r="BJ45" s="856">
        <f t="shared" si="12"/>
        <v>232977.01385587451</v>
      </c>
      <c r="BK45" s="856">
        <f t="shared" si="12"/>
        <v>235430.92069560022</v>
      </c>
      <c r="BL45" s="856">
        <f t="shared" si="12"/>
        <v>240857.11118414431</v>
      </c>
      <c r="BM45" s="856">
        <f t="shared" si="12"/>
        <v>241953.35129897686</v>
      </c>
      <c r="BN45" s="856">
        <f t="shared" si="12"/>
        <v>243063.34710577744</v>
      </c>
      <c r="BO45" s="856">
        <f t="shared" ref="BO45:BV45" si="13">BO43+BO29</f>
        <v>244184.30008675769</v>
      </c>
      <c r="BP45" s="856">
        <f t="shared" si="13"/>
        <v>245319.99723332858</v>
      </c>
      <c r="BQ45" s="856">
        <f t="shared" si="13"/>
        <v>246469.87558148909</v>
      </c>
      <c r="BR45" s="856">
        <f t="shared" si="13"/>
        <v>247634.3906532423</v>
      </c>
      <c r="BS45" s="856">
        <f t="shared" si="13"/>
        <v>248812.46664943016</v>
      </c>
      <c r="BT45" s="856">
        <f t="shared" si="13"/>
        <v>250005.61660805385</v>
      </c>
      <c r="BU45" s="856">
        <f t="shared" si="13"/>
        <v>251214.36934997485</v>
      </c>
      <c r="BV45" s="856">
        <f t="shared" si="13"/>
        <v>252439.47186618566</v>
      </c>
    </row>
    <row r="46" spans="2:74" x14ac:dyDescent="0.25">
      <c r="O46" s="612"/>
      <c r="P46" s="612"/>
      <c r="Q46" s="612"/>
      <c r="R46" s="612"/>
      <c r="S46" s="612"/>
      <c r="T46" s="612"/>
      <c r="U46" s="612"/>
      <c r="V46" s="612"/>
      <c r="W46" s="612"/>
      <c r="X46" s="612"/>
      <c r="Y46" s="612"/>
      <c r="Z46" s="612"/>
      <c r="AA46" s="612"/>
      <c r="AB46" s="612"/>
      <c r="AC46" s="612"/>
      <c r="AD46" s="612"/>
      <c r="AE46" s="612"/>
      <c r="AF46" s="612"/>
      <c r="AG46" s="612"/>
      <c r="AH46" s="612"/>
      <c r="AI46" s="612"/>
      <c r="AJ46" s="612"/>
      <c r="AK46" s="612"/>
      <c r="AL46" s="612"/>
      <c r="AM46" s="612"/>
      <c r="AN46" s="612"/>
      <c r="AO46" s="612"/>
      <c r="AP46" s="612"/>
      <c r="AQ46" s="612"/>
      <c r="AR46" s="612"/>
      <c r="AS46" s="612"/>
      <c r="AT46" s="612"/>
      <c r="AU46" s="612"/>
      <c r="AV46" s="612"/>
      <c r="AW46" s="612"/>
      <c r="AX46" s="612"/>
      <c r="AY46" s="612"/>
      <c r="AZ46" s="612"/>
      <c r="BA46" s="612"/>
    </row>
    <row r="47" spans="2:74" x14ac:dyDescent="0.25">
      <c r="O47" s="571"/>
      <c r="P47" s="571"/>
      <c r="Q47" s="571"/>
      <c r="R47" s="571"/>
      <c r="S47" s="571"/>
      <c r="T47" s="571"/>
      <c r="U47" s="571"/>
      <c r="V47" s="571"/>
      <c r="W47" s="571"/>
      <c r="X47" s="571"/>
      <c r="Y47" s="571"/>
      <c r="Z47" s="571"/>
      <c r="AA47" s="571"/>
      <c r="AB47" s="571"/>
      <c r="AC47" s="571"/>
      <c r="AD47" s="571"/>
      <c r="AE47" s="571"/>
      <c r="AF47" s="571"/>
      <c r="AG47" s="571"/>
      <c r="AH47" s="571"/>
      <c r="AI47" s="571"/>
      <c r="AJ47" s="571"/>
      <c r="AK47" s="571"/>
      <c r="AL47" s="571"/>
      <c r="AM47" s="571"/>
      <c r="AN47" s="571"/>
      <c r="AO47" s="571"/>
      <c r="AP47" s="571"/>
      <c r="AQ47" s="571"/>
      <c r="AR47" s="571"/>
      <c r="AS47" s="571"/>
      <c r="AT47" s="571"/>
      <c r="AU47" s="571"/>
      <c r="AV47" s="571"/>
      <c r="AW47" s="571"/>
      <c r="AX47" s="571"/>
      <c r="AY47" s="571"/>
      <c r="AZ47" s="571"/>
      <c r="BA47" s="571"/>
      <c r="BB47" s="571"/>
      <c r="BC47" s="571"/>
      <c r="BD47" s="571"/>
      <c r="BE47" s="571"/>
      <c r="BF47" s="571"/>
      <c r="BG47" s="571"/>
      <c r="BH47" s="571"/>
      <c r="BI47" s="571"/>
      <c r="BJ47" s="571"/>
    </row>
    <row r="48" spans="2:74" x14ac:dyDescent="0.25">
      <c r="B48" s="570" t="s">
        <v>849</v>
      </c>
      <c r="M48" s="151"/>
      <c r="N48" s="151"/>
      <c r="O48" s="151"/>
      <c r="P48" s="151"/>
      <c r="Q48" s="151"/>
      <c r="R48" s="151"/>
      <c r="S48" s="151"/>
      <c r="T48" s="151"/>
      <c r="U48" s="151"/>
      <c r="V48" s="151"/>
      <c r="W48" s="151"/>
      <c r="X48" s="151"/>
      <c r="Y48" s="151"/>
      <c r="Z48" s="151"/>
      <c r="AA48" s="151"/>
      <c r="AB48" s="151"/>
      <c r="AC48" s="151"/>
      <c r="AD48" s="151"/>
      <c r="AE48" s="151"/>
      <c r="AF48" s="151"/>
      <c r="AG48" s="151"/>
      <c r="AH48" s="151"/>
      <c r="AI48" s="151"/>
      <c r="AJ48" s="151"/>
      <c r="AK48" s="151"/>
      <c r="AL48" s="151"/>
      <c r="AM48" s="151"/>
      <c r="AN48" s="151"/>
      <c r="AO48" s="151"/>
      <c r="AP48" s="151"/>
    </row>
    <row r="49" spans="3:40" x14ac:dyDescent="0.25">
      <c r="C49" s="405">
        <f>C45-'Dept. Cost Actuals'!G873</f>
        <v>-3.0243245419114828E-7</v>
      </c>
      <c r="D49" s="405">
        <f>D45-'Dept. Cost Actuals'!H873</f>
        <v>-2.9202419682405889E-7</v>
      </c>
      <c r="E49" s="405">
        <f>E45-'Dept. Cost Actuals'!I873</f>
        <v>555.78196591639789</v>
      </c>
      <c r="F49" s="405">
        <f>F45-'Dept. Cost Actuals'!J873</f>
        <v>-255.56586335684551</v>
      </c>
      <c r="G49" s="405">
        <f>G45-'Dept. Cost Actuals'!K873</f>
        <v>1.4354882296174765E-6</v>
      </c>
      <c r="H49" s="405">
        <f>H45-'Dept. Cost Actuals'!L873</f>
        <v>-399.60650047525996</v>
      </c>
      <c r="I49" s="405">
        <f>I45-'Dept. Cost Actuals'!M873</f>
        <v>-4.6311397454701364E-6</v>
      </c>
      <c r="J49" s="405">
        <f>J45-'Dept. Cost Actuals'!N873</f>
        <v>2.9649963835254312E-6</v>
      </c>
      <c r="K49" s="405">
        <f>K45-'Dept. Cost Actuals'!O873</f>
        <v>1.0640433174557984E-6</v>
      </c>
      <c r="L49" s="405">
        <f>L45-'Dept. Cost Actuals'!P873</f>
        <v>4.8514193622395396E-6</v>
      </c>
      <c r="M49" s="405">
        <f>M45-'Dept. Cost Actuals'!Q873</f>
        <v>-1.8699211068451405E-8</v>
      </c>
      <c r="N49" s="405">
        <f>N45-'Dept. Cost Actuals'!R873</f>
        <v>-344.43161910941126</v>
      </c>
      <c r="O49" s="405">
        <f>O45-'Dept. Cost Actuals'!S873</f>
        <v>-800</v>
      </c>
      <c r="P49" s="405">
        <f>P45-'Dept. Cost Actuals'!T873</f>
        <v>-69</v>
      </c>
      <c r="Q49" s="405">
        <f>Q45-'Dept. Cost Actuals'!U873</f>
        <v>0</v>
      </c>
      <c r="R49" s="405">
        <f>R45-'Dept. Cost Actuals'!V873</f>
        <v>-48.410000000003492</v>
      </c>
      <c r="S49" s="405">
        <f>S45-'Dept. Cost Actuals'!W873</f>
        <v>0</v>
      </c>
      <c r="T49" s="405">
        <f>T45-'Dept. Cost Actuals'!X873</f>
        <v>0</v>
      </c>
      <c r="U49" s="405">
        <f>U45-'Dept. Cost Actuals'!Y873</f>
        <v>-1518.5500000000029</v>
      </c>
      <c r="V49" s="405">
        <f>V45-'Dept. Cost Actuals'!Z873</f>
        <v>0</v>
      </c>
      <c r="W49" s="405">
        <f>W45-'Dept. Cost Actuals'!AA873</f>
        <v>0</v>
      </c>
      <c r="X49" s="405">
        <f>X45-'Dept. Cost Actuals'!AB873</f>
        <v>0</v>
      </c>
      <c r="Y49" s="405">
        <f>Y45-'Dept. Cost Actuals'!AC873</f>
        <v>0</v>
      </c>
      <c r="Z49" s="405">
        <f>Z45-'Dept. Cost Actuals'!AD873</f>
        <v>-1.4100000000034925</v>
      </c>
      <c r="AA49" s="405">
        <f>AA45-'Dept. Cost Actuals'!AE873</f>
        <v>0</v>
      </c>
      <c r="AB49" s="405">
        <f>AB45-'Dept. Cost Actuals'!AF873</f>
        <v>0</v>
      </c>
      <c r="AC49" s="405">
        <f>AC45-'Dept. Cost Actuals'!AG873</f>
        <v>0</v>
      </c>
      <c r="AN49" s="151"/>
    </row>
    <row r="52" spans="3:40" x14ac:dyDescent="0.25">
      <c r="AD52" s="309">
        <v>13225</v>
      </c>
    </row>
    <row r="53" spans="3:40" x14ac:dyDescent="0.25">
      <c r="AD53" s="570">
        <v>20000</v>
      </c>
    </row>
    <row r="54" spans="3:40" x14ac:dyDescent="0.25">
      <c r="AD54" s="309">
        <f>AD53-AD52</f>
        <v>6775</v>
      </c>
      <c r="AE54" s="570">
        <f>AD54*9</f>
        <v>60975</v>
      </c>
      <c r="AF54" s="570" t="s">
        <v>1416</v>
      </c>
    </row>
    <row r="55" spans="3:40" x14ac:dyDescent="0.25">
      <c r="AE55" s="570">
        <v>30000</v>
      </c>
      <c r="AF55" s="570" t="s">
        <v>1417</v>
      </c>
    </row>
    <row r="56" spans="3:40" x14ac:dyDescent="0.25">
      <c r="AE56" s="570">
        <f>SUM(AE54:AE55)</f>
        <v>90975</v>
      </c>
      <c r="AF56" s="570" t="s">
        <v>1418</v>
      </c>
    </row>
    <row r="57" spans="3:40" x14ac:dyDescent="0.25">
      <c r="AF57" s="570">
        <f>AE56/3</f>
        <v>30325</v>
      </c>
      <c r="AG57" s="570" t="s">
        <v>1419</v>
      </c>
    </row>
  </sheetData>
  <conditionalFormatting sqref="C4:BV4">
    <cfRule type="containsText" dxfId="260" priority="3" operator="containsText" text="actual">
      <formula>NOT(ISERROR(SEARCH("actual",C4)))</formula>
    </cfRule>
    <cfRule type="containsText" dxfId="259" priority="4" operator="containsText" text="forecast">
      <formula>NOT(ISERROR(SEARCH("forecast",C4)))</formula>
    </cfRule>
  </conditionalFormatting>
  <conditionalFormatting sqref="B4">
    <cfRule type="containsText" dxfId="258" priority="1" operator="containsText" text="actual">
      <formula>NOT(ISERROR(SEARCH("actual",B4)))</formula>
    </cfRule>
    <cfRule type="containsText" dxfId="257" priority="2" operator="containsText" text="forecast">
      <formula>NOT(ISERROR(SEARCH("forecast",B4)))</formula>
    </cfRule>
  </conditionalFormatting>
  <pageMargins left="0.7" right="0.7" top="0.75" bottom="0.75" header="0.3" footer="0.3"/>
  <pageSetup orientation="portrait" horizontalDpi="0" verticalDpi="0"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V49"/>
  <sheetViews>
    <sheetView zoomScale="80" zoomScaleNormal="80" workbookViewId="0">
      <pane xSplit="2" ySplit="4" topLeftCell="Z5" activePane="bottomRight" state="frozen"/>
      <selection activeCell="AD39" sqref="AD39:BV39"/>
      <selection pane="topRight" activeCell="AD39" sqref="AD39:BV39"/>
      <selection pane="bottomLeft" activeCell="AD39" sqref="AD39:BV39"/>
      <selection pane="bottomRight" activeCell="AL12" sqref="AL12"/>
    </sheetView>
  </sheetViews>
  <sheetFormatPr defaultColWidth="9.140625" defaultRowHeight="15" outlineLevelCol="1" x14ac:dyDescent="0.25"/>
  <cols>
    <col min="1" max="1" width="2" style="570" customWidth="1"/>
    <col min="2" max="2" width="27.42578125" style="570" bestFit="1" customWidth="1"/>
    <col min="3" max="3" width="12.7109375" style="570" customWidth="1"/>
    <col min="4" max="7" width="12.7109375" style="570" hidden="1" customWidth="1" outlineLevel="1"/>
    <col min="8" max="12" width="16.42578125" style="570" hidden="1" customWidth="1" outlineLevel="1"/>
    <col min="13" max="13" width="19.28515625" style="570" hidden="1" customWidth="1" outlineLevel="1"/>
    <col min="14" max="14" width="16.42578125" style="570" customWidth="1" collapsed="1"/>
    <col min="15" max="15" width="12.7109375" style="570" bestFit="1" customWidth="1"/>
    <col min="16" max="18" width="12.7109375" style="570" hidden="1" customWidth="1" outlineLevel="1"/>
    <col min="19" max="19" width="12.140625" style="570" hidden="1" customWidth="1" outlineLevel="1"/>
    <col min="20" max="25" width="12.28515625" style="570" hidden="1" customWidth="1" outlineLevel="1"/>
    <col min="26" max="26" width="12.28515625" style="570" bestFit="1" customWidth="1" collapsed="1"/>
    <col min="27" max="27" width="12.28515625" style="570" customWidth="1"/>
    <col min="28" max="29" width="13.28515625" style="570" customWidth="1" outlineLevel="1"/>
    <col min="30" max="35" width="10.7109375" style="570" customWidth="1" outlineLevel="1"/>
    <col min="36" max="37" width="11.85546875" style="570" customWidth="1" outlineLevel="1"/>
    <col min="38" max="39" width="13.28515625" style="570" customWidth="1"/>
    <col min="40" max="47" width="10.7109375" style="570" hidden="1" customWidth="1" outlineLevel="1"/>
    <col min="48" max="49" width="11.85546875" style="570" hidden="1" customWidth="1" outlineLevel="1"/>
    <col min="50" max="50" width="11.85546875" style="570" customWidth="1" collapsed="1"/>
    <col min="51" max="51" width="10.7109375" style="570" bestFit="1" customWidth="1"/>
    <col min="52" max="57" width="10.7109375" style="570" hidden="1" customWidth="1" outlineLevel="1"/>
    <col min="58" max="61" width="13.28515625" style="570" hidden="1" customWidth="1" outlineLevel="1"/>
    <col min="62" max="62" width="13.28515625" style="570" bestFit="1" customWidth="1" collapsed="1"/>
    <col min="63" max="63" width="13" style="570" bestFit="1" customWidth="1"/>
    <col min="64" max="73" width="13" style="570" hidden="1" customWidth="1" outlineLevel="1"/>
    <col min="74" max="74" width="13" style="570" bestFit="1" customWidth="1" collapsed="1"/>
    <col min="75" max="16384" width="9.140625" style="570"/>
  </cols>
  <sheetData>
    <row r="2" spans="2:74" x14ac:dyDescent="0.25">
      <c r="B2" s="636" t="s">
        <v>1074</v>
      </c>
      <c r="C2" s="636"/>
      <c r="D2" s="636"/>
      <c r="E2" s="636"/>
      <c r="F2" s="636"/>
      <c r="G2" s="636"/>
      <c r="H2" s="636"/>
      <c r="I2" s="636"/>
      <c r="J2" s="636"/>
      <c r="K2" s="636"/>
      <c r="L2" s="636"/>
      <c r="M2" s="636"/>
      <c r="N2" s="636"/>
    </row>
    <row r="3" spans="2:74" x14ac:dyDescent="0.25">
      <c r="B3" s="771" t="s">
        <v>924</v>
      </c>
      <c r="C3" s="1140">
        <v>40939</v>
      </c>
      <c r="D3" s="1140">
        <v>40968</v>
      </c>
      <c r="E3" s="1140">
        <v>40999</v>
      </c>
      <c r="F3" s="1140">
        <v>41029</v>
      </c>
      <c r="G3" s="1140">
        <v>41060</v>
      </c>
      <c r="H3" s="1140">
        <v>41090</v>
      </c>
      <c r="I3" s="1140">
        <v>41121</v>
      </c>
      <c r="J3" s="1140">
        <v>41152</v>
      </c>
      <c r="K3" s="1140">
        <v>41182</v>
      </c>
      <c r="L3" s="1140">
        <v>41213</v>
      </c>
      <c r="M3" s="1140">
        <v>41243</v>
      </c>
      <c r="N3" s="1140">
        <v>41274</v>
      </c>
      <c r="O3" s="1140">
        <v>41305</v>
      </c>
      <c r="P3" s="1140">
        <v>41333</v>
      </c>
      <c r="Q3" s="1140">
        <v>41364</v>
      </c>
      <c r="R3" s="1140">
        <v>41394</v>
      </c>
      <c r="S3" s="1140">
        <v>41425</v>
      </c>
      <c r="T3" s="1140">
        <v>41455</v>
      </c>
      <c r="U3" s="1140">
        <v>41486</v>
      </c>
      <c r="V3" s="1140">
        <v>41517</v>
      </c>
      <c r="W3" s="1140">
        <v>41547</v>
      </c>
      <c r="X3" s="1140">
        <v>41578</v>
      </c>
      <c r="Y3" s="1140">
        <v>41608</v>
      </c>
      <c r="Z3" s="1140">
        <v>41639</v>
      </c>
      <c r="AA3" s="1140">
        <v>41670</v>
      </c>
      <c r="AB3" s="1140">
        <v>41698</v>
      </c>
      <c r="AC3" s="1140">
        <v>41729</v>
      </c>
      <c r="AD3" s="1140">
        <v>41759</v>
      </c>
      <c r="AE3" s="1140">
        <v>41790</v>
      </c>
      <c r="AF3" s="1140">
        <v>41820</v>
      </c>
      <c r="AG3" s="1140">
        <v>41851</v>
      </c>
      <c r="AH3" s="1140">
        <v>41882</v>
      </c>
      <c r="AI3" s="1140">
        <v>41912</v>
      </c>
      <c r="AJ3" s="1140">
        <v>41943</v>
      </c>
      <c r="AK3" s="1140">
        <v>41973</v>
      </c>
      <c r="AL3" s="1140">
        <v>42004</v>
      </c>
      <c r="AM3" s="1140">
        <v>42035</v>
      </c>
      <c r="AN3" s="1140">
        <v>42063</v>
      </c>
      <c r="AO3" s="1140">
        <v>42094</v>
      </c>
      <c r="AP3" s="1140">
        <v>42124</v>
      </c>
      <c r="AQ3" s="1140">
        <v>42155</v>
      </c>
      <c r="AR3" s="1140">
        <v>42185</v>
      </c>
      <c r="AS3" s="1140">
        <v>42216</v>
      </c>
      <c r="AT3" s="1140">
        <v>42247</v>
      </c>
      <c r="AU3" s="1140">
        <v>42277</v>
      </c>
      <c r="AV3" s="1140">
        <v>42308</v>
      </c>
      <c r="AW3" s="1140">
        <v>42338</v>
      </c>
      <c r="AX3" s="1140">
        <v>42369</v>
      </c>
      <c r="AY3" s="1140">
        <v>42400</v>
      </c>
      <c r="AZ3" s="1140">
        <v>42429</v>
      </c>
      <c r="BA3" s="1140">
        <v>42460</v>
      </c>
      <c r="BB3" s="1140">
        <v>42490</v>
      </c>
      <c r="BC3" s="1140">
        <v>42521</v>
      </c>
      <c r="BD3" s="1140">
        <v>42551</v>
      </c>
      <c r="BE3" s="1140">
        <v>42582</v>
      </c>
      <c r="BF3" s="1140">
        <v>42613</v>
      </c>
      <c r="BG3" s="1140">
        <v>42643</v>
      </c>
      <c r="BH3" s="1140">
        <v>42674</v>
      </c>
      <c r="BI3" s="1140">
        <v>42704</v>
      </c>
      <c r="BJ3" s="1140">
        <v>42735</v>
      </c>
      <c r="BK3" s="1140">
        <v>42766</v>
      </c>
      <c r="BL3" s="1140">
        <v>42794</v>
      </c>
      <c r="BM3" s="1140">
        <v>42825</v>
      </c>
      <c r="BN3" s="1140">
        <v>42855</v>
      </c>
      <c r="BO3" s="1140">
        <v>42886</v>
      </c>
      <c r="BP3" s="1140">
        <v>42916</v>
      </c>
      <c r="BQ3" s="1140">
        <v>42947</v>
      </c>
      <c r="BR3" s="1140">
        <v>42978</v>
      </c>
      <c r="BS3" s="1140">
        <v>43008</v>
      </c>
      <c r="BT3" s="1140">
        <v>43039</v>
      </c>
      <c r="BU3" s="1140">
        <v>43069</v>
      </c>
      <c r="BV3" s="773">
        <v>43100</v>
      </c>
    </row>
    <row r="4" spans="2:74" x14ac:dyDescent="0.25">
      <c r="B4" s="774" t="s">
        <v>925</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4" t="str">
        <f>IF(AA3&lt;=Headcount!$U$3,"Actual","Forecast")</f>
        <v>Actual</v>
      </c>
      <c r="AB4" s="4" t="str">
        <f>IF(AB3&lt;=Headcount!$U$3,"Actual","Forecast")</f>
        <v>Actual</v>
      </c>
      <c r="AC4" s="4" t="str">
        <f>IF(AC3&lt;=Headcount!$U$3,"Actual","Forecast")</f>
        <v>Actual</v>
      </c>
      <c r="AD4" s="4" t="str">
        <f>IF(AD3&lt;=Headcount!$U$3,"Actual","Forecast")</f>
        <v>Forecast</v>
      </c>
      <c r="AE4" s="4" t="str">
        <f>IF(AE3&lt;=Headcount!$U$3,"Actual","Forecast")</f>
        <v>Forecast</v>
      </c>
      <c r="AF4" s="4" t="str">
        <f>IF(AF3&lt;=Headcount!$U$3,"Actual","Forecast")</f>
        <v>Forecast</v>
      </c>
      <c r="AG4" s="4" t="str">
        <f>IF(AG3&lt;=Headcount!$U$3,"Actual","Forecast")</f>
        <v>Forecast</v>
      </c>
      <c r="AH4" s="4" t="str">
        <f>IF(AH3&lt;=Headcount!$U$3,"Actual","Forecast")</f>
        <v>Forecast</v>
      </c>
      <c r="AI4" s="4" t="str">
        <f>IF(AI3&lt;=Headcount!$U$3,"Actual","Forecast")</f>
        <v>Forecast</v>
      </c>
      <c r="AJ4" s="4" t="str">
        <f>IF(AJ3&lt;=Headcount!$U$3,"Actual","Forecast")</f>
        <v>Forecast</v>
      </c>
      <c r="AK4" s="4" t="str">
        <f>IF(AK3&lt;=Headcount!$U$3,"Actual","Forecast")</f>
        <v>Forecast</v>
      </c>
      <c r="AL4" s="4" t="str">
        <f>IF(AL3&lt;=Headcount!$U$3,"Actual","Forecast")</f>
        <v>Forecast</v>
      </c>
      <c r="AM4" s="4" t="str">
        <f>IF(AM3&lt;=Headcount!$U$3,"Actual","Forecast")</f>
        <v>Forecast</v>
      </c>
      <c r="AN4" s="4" t="str">
        <f>IF(AN3&lt;=Headcount!$U$3,"Actual","Forecast")</f>
        <v>Forecast</v>
      </c>
      <c r="AO4" s="4" t="str">
        <f>IF(AO3&lt;=Headcount!$U$3,"Actual","Forecast")</f>
        <v>Forecast</v>
      </c>
      <c r="AP4" s="4" t="str">
        <f>IF(AP3&lt;=Headcount!$U$3,"Actual","Forecast")</f>
        <v>Forecast</v>
      </c>
      <c r="AQ4" s="4" t="str">
        <f>IF(AQ3&lt;=Headcount!$U$3,"Actual","Forecast")</f>
        <v>Forecast</v>
      </c>
      <c r="AR4" s="4" t="str">
        <f>IF(AR3&lt;=Headcount!$U$3,"Actual","Forecast")</f>
        <v>Forecast</v>
      </c>
      <c r="AS4" s="4" t="str">
        <f>IF(AS3&lt;=Headcount!$U$3,"Actual","Forecast")</f>
        <v>Forecast</v>
      </c>
      <c r="AT4" s="4" t="str">
        <f>IF(AT3&lt;=Headcount!$U$3,"Actual","Forecast")</f>
        <v>Forecast</v>
      </c>
      <c r="AU4" s="4" t="str">
        <f>IF(AU3&lt;=Headcount!$U$3,"Actual","Forecast")</f>
        <v>Forecast</v>
      </c>
      <c r="AV4" s="4" t="str">
        <f>IF(AV3&lt;=Headcount!$U$3,"Actual","Forecast")</f>
        <v>Forecast</v>
      </c>
      <c r="AW4" s="4" t="str">
        <f>IF(AW3&lt;=Headcount!$U$3,"Actual","Forecast")</f>
        <v>Forecast</v>
      </c>
      <c r="AX4" s="4" t="str">
        <f>IF(AX3&lt;=Headcount!$U$3,"Actual","Forecast")</f>
        <v>Forecast</v>
      </c>
      <c r="AY4" s="4" t="str">
        <f>IF(AY3&lt;=Headcount!$U$3,"Actual","Forecast")</f>
        <v>Forecast</v>
      </c>
      <c r="AZ4" s="4" t="str">
        <f>IF(AZ3&lt;=Headcount!$U$3,"Actual","Forecast")</f>
        <v>Forecast</v>
      </c>
      <c r="BA4" s="4" t="str">
        <f>IF(BA3&lt;=Headcount!$U$3,"Actual","Forecast")</f>
        <v>Forecast</v>
      </c>
      <c r="BB4" s="4" t="str">
        <f>IF(BB3&lt;=Headcount!$U$3,"Actual","Forecast")</f>
        <v>Forecast</v>
      </c>
      <c r="BC4" s="4" t="str">
        <f>IF(BC3&lt;=Headcount!$U$3,"Actual","Forecast")</f>
        <v>Forecast</v>
      </c>
      <c r="BD4" s="4" t="str">
        <f>IF(BD3&lt;=Headcount!$U$3,"Actual","Forecast")</f>
        <v>Forecast</v>
      </c>
      <c r="BE4" s="4" t="str">
        <f>IF(BE3&lt;=Headcount!$U$3,"Actual","Forecast")</f>
        <v>Forecast</v>
      </c>
      <c r="BF4" s="4" t="str">
        <f>IF(BF3&lt;=Headcount!$U$3,"Actual","Forecast")</f>
        <v>Forecast</v>
      </c>
      <c r="BG4" s="4" t="str">
        <f>IF(BG3&lt;=Headcount!$U$3,"Actual","Forecast")</f>
        <v>Forecast</v>
      </c>
      <c r="BH4" s="4" t="str">
        <f>IF(BH3&lt;=Headcount!$U$3,"Actual","Forecast")</f>
        <v>Forecast</v>
      </c>
      <c r="BI4" s="4" t="str">
        <f>IF(BI3&lt;=Headcount!$U$3,"Actual","Forecast")</f>
        <v>Forecast</v>
      </c>
      <c r="BJ4" s="4" t="str">
        <f>IF(BJ3&lt;=Headcount!$U$3,"Actual","Forecast")</f>
        <v>Forecast</v>
      </c>
      <c r="BK4" s="4" t="str">
        <f>IF(BK3&lt;=Headcount!$U$3,"Actual","Forecast")</f>
        <v>Forecast</v>
      </c>
      <c r="BL4" s="4" t="str">
        <f>IF(BL3&lt;=Headcount!$U$3,"Actual","Forecast")</f>
        <v>Forecast</v>
      </c>
      <c r="BM4" s="4" t="str">
        <f>IF(BM3&lt;=Headcount!$U$3,"Actual","Forecast")</f>
        <v>Forecast</v>
      </c>
      <c r="BN4" s="4" t="str">
        <f>IF(BN3&lt;=Headcount!$U$3,"Actual","Forecast")</f>
        <v>Forecast</v>
      </c>
      <c r="BO4" s="4" t="str">
        <f>IF(BO3&lt;=Headcount!$U$3,"Actual","Forecast")</f>
        <v>Forecast</v>
      </c>
      <c r="BP4" s="4" t="str">
        <f>IF(BP3&lt;=Headcount!$U$3,"Actual","Forecast")</f>
        <v>Forecast</v>
      </c>
      <c r="BQ4" s="4" t="str">
        <f>IF(BQ3&lt;=Headcount!$U$3,"Actual","Forecast")</f>
        <v>Forecast</v>
      </c>
      <c r="BR4" s="4" t="str">
        <f>IF(BR3&lt;=Headcount!$U$3,"Actual","Forecast")</f>
        <v>Forecast</v>
      </c>
      <c r="BS4" s="4" t="str">
        <f>IF(BS3&lt;=Headcount!$U$3,"Actual","Forecast")</f>
        <v>Forecast</v>
      </c>
      <c r="BT4" s="4" t="str">
        <f>IF(BT3&lt;=Headcount!$U$3,"Actual","Forecast")</f>
        <v>Forecast</v>
      </c>
      <c r="BU4" s="4" t="str">
        <f>IF(BU3&lt;=Headcount!$U$3,"Actual","Forecast")</f>
        <v>Forecast</v>
      </c>
      <c r="BV4" s="1209" t="str">
        <f>IF(BV3&lt;=Headcount!$U$3,"Actual","Forecast")</f>
        <v>Forecast</v>
      </c>
    </row>
    <row r="5" spans="2:74" x14ac:dyDescent="0.25">
      <c r="B5" s="777" t="s">
        <v>67</v>
      </c>
      <c r="C5" s="778">
        <f t="shared" ref="C5:N5" si="0">MONTH(C3)</f>
        <v>1</v>
      </c>
      <c r="D5" s="778">
        <f t="shared" si="0"/>
        <v>2</v>
      </c>
      <c r="E5" s="778">
        <f t="shared" si="0"/>
        <v>3</v>
      </c>
      <c r="F5" s="778">
        <f t="shared" si="0"/>
        <v>4</v>
      </c>
      <c r="G5" s="778">
        <f t="shared" si="0"/>
        <v>5</v>
      </c>
      <c r="H5" s="778">
        <f t="shared" si="0"/>
        <v>6</v>
      </c>
      <c r="I5" s="778">
        <f t="shared" si="0"/>
        <v>7</v>
      </c>
      <c r="J5" s="778">
        <f t="shared" si="0"/>
        <v>8</v>
      </c>
      <c r="K5" s="778">
        <f t="shared" si="0"/>
        <v>9</v>
      </c>
      <c r="L5" s="778">
        <f t="shared" si="0"/>
        <v>10</v>
      </c>
      <c r="M5" s="778">
        <f t="shared" si="0"/>
        <v>11</v>
      </c>
      <c r="N5" s="778">
        <f t="shared" si="0"/>
        <v>12</v>
      </c>
      <c r="O5" s="778">
        <f>MONTH(O3)</f>
        <v>1</v>
      </c>
      <c r="P5" s="778">
        <f t="shared" ref="P5:BV5" si="1">MONTH(P3)</f>
        <v>2</v>
      </c>
      <c r="Q5" s="778">
        <f t="shared" si="1"/>
        <v>3</v>
      </c>
      <c r="R5" s="778">
        <f t="shared" si="1"/>
        <v>4</v>
      </c>
      <c r="S5" s="778">
        <f t="shared" si="1"/>
        <v>5</v>
      </c>
      <c r="T5" s="778">
        <f t="shared" si="1"/>
        <v>6</v>
      </c>
      <c r="U5" s="778">
        <f t="shared" si="1"/>
        <v>7</v>
      </c>
      <c r="V5" s="778">
        <f t="shared" si="1"/>
        <v>8</v>
      </c>
      <c r="W5" s="778">
        <f t="shared" si="1"/>
        <v>9</v>
      </c>
      <c r="X5" s="778">
        <f t="shared" si="1"/>
        <v>10</v>
      </c>
      <c r="Y5" s="778">
        <f t="shared" si="1"/>
        <v>11</v>
      </c>
      <c r="Z5" s="778">
        <f t="shared" si="1"/>
        <v>12</v>
      </c>
      <c r="AA5" s="778">
        <f t="shared" si="1"/>
        <v>1</v>
      </c>
      <c r="AB5" s="778">
        <f t="shared" si="1"/>
        <v>2</v>
      </c>
      <c r="AC5" s="778">
        <f t="shared" si="1"/>
        <v>3</v>
      </c>
      <c r="AD5" s="778">
        <f t="shared" si="1"/>
        <v>4</v>
      </c>
      <c r="AE5" s="778">
        <f t="shared" si="1"/>
        <v>5</v>
      </c>
      <c r="AF5" s="778">
        <f t="shared" si="1"/>
        <v>6</v>
      </c>
      <c r="AG5" s="778">
        <f t="shared" si="1"/>
        <v>7</v>
      </c>
      <c r="AH5" s="778">
        <f t="shared" si="1"/>
        <v>8</v>
      </c>
      <c r="AI5" s="778">
        <f t="shared" si="1"/>
        <v>9</v>
      </c>
      <c r="AJ5" s="778">
        <f t="shared" si="1"/>
        <v>10</v>
      </c>
      <c r="AK5" s="778">
        <f t="shared" si="1"/>
        <v>11</v>
      </c>
      <c r="AL5" s="778">
        <f t="shared" si="1"/>
        <v>12</v>
      </c>
      <c r="AM5" s="778">
        <f t="shared" si="1"/>
        <v>1</v>
      </c>
      <c r="AN5" s="778">
        <f t="shared" si="1"/>
        <v>2</v>
      </c>
      <c r="AO5" s="778">
        <f t="shared" si="1"/>
        <v>3</v>
      </c>
      <c r="AP5" s="778">
        <f t="shared" si="1"/>
        <v>4</v>
      </c>
      <c r="AQ5" s="778">
        <f t="shared" si="1"/>
        <v>5</v>
      </c>
      <c r="AR5" s="778">
        <f t="shared" si="1"/>
        <v>6</v>
      </c>
      <c r="AS5" s="778">
        <f t="shared" si="1"/>
        <v>7</v>
      </c>
      <c r="AT5" s="778">
        <f t="shared" si="1"/>
        <v>8</v>
      </c>
      <c r="AU5" s="778">
        <f t="shared" si="1"/>
        <v>9</v>
      </c>
      <c r="AV5" s="778">
        <f t="shared" si="1"/>
        <v>10</v>
      </c>
      <c r="AW5" s="778">
        <f t="shared" si="1"/>
        <v>11</v>
      </c>
      <c r="AX5" s="778">
        <f t="shared" si="1"/>
        <v>12</v>
      </c>
      <c r="AY5" s="778">
        <f t="shared" si="1"/>
        <v>1</v>
      </c>
      <c r="AZ5" s="778">
        <f t="shared" si="1"/>
        <v>2</v>
      </c>
      <c r="BA5" s="778">
        <f t="shared" si="1"/>
        <v>3</v>
      </c>
      <c r="BB5" s="778">
        <f t="shared" si="1"/>
        <v>4</v>
      </c>
      <c r="BC5" s="778">
        <f t="shared" si="1"/>
        <v>5</v>
      </c>
      <c r="BD5" s="778">
        <f t="shared" si="1"/>
        <v>6</v>
      </c>
      <c r="BE5" s="778">
        <f t="shared" si="1"/>
        <v>7</v>
      </c>
      <c r="BF5" s="778">
        <f t="shared" si="1"/>
        <v>8</v>
      </c>
      <c r="BG5" s="778">
        <f t="shared" si="1"/>
        <v>9</v>
      </c>
      <c r="BH5" s="778">
        <f t="shared" si="1"/>
        <v>10</v>
      </c>
      <c r="BI5" s="778">
        <f t="shared" si="1"/>
        <v>11</v>
      </c>
      <c r="BJ5" s="778">
        <f t="shared" si="1"/>
        <v>12</v>
      </c>
      <c r="BK5" s="778">
        <f t="shared" si="1"/>
        <v>1</v>
      </c>
      <c r="BL5" s="778">
        <f t="shared" si="1"/>
        <v>2</v>
      </c>
      <c r="BM5" s="778">
        <f t="shared" si="1"/>
        <v>3</v>
      </c>
      <c r="BN5" s="778">
        <f t="shared" si="1"/>
        <v>4</v>
      </c>
      <c r="BO5" s="778">
        <f t="shared" si="1"/>
        <v>5</v>
      </c>
      <c r="BP5" s="778">
        <f t="shared" si="1"/>
        <v>6</v>
      </c>
      <c r="BQ5" s="778">
        <f t="shared" si="1"/>
        <v>7</v>
      </c>
      <c r="BR5" s="778">
        <f t="shared" si="1"/>
        <v>8</v>
      </c>
      <c r="BS5" s="778">
        <f t="shared" si="1"/>
        <v>9</v>
      </c>
      <c r="BT5" s="778">
        <f t="shared" si="1"/>
        <v>10</v>
      </c>
      <c r="BU5" s="778">
        <f t="shared" si="1"/>
        <v>11</v>
      </c>
      <c r="BV5" s="779">
        <f t="shared" si="1"/>
        <v>12</v>
      </c>
    </row>
    <row r="6" spans="2:74" x14ac:dyDescent="0.25">
      <c r="B6" s="780"/>
      <c r="C6" s="781"/>
      <c r="D6" s="781"/>
      <c r="E6" s="781"/>
      <c r="F6" s="781"/>
      <c r="G6" s="781"/>
      <c r="H6" s="781"/>
      <c r="I6" s="781"/>
      <c r="J6" s="781"/>
      <c r="K6" s="781"/>
      <c r="L6" s="781"/>
      <c r="M6" s="781"/>
      <c r="N6" s="781"/>
      <c r="O6" s="781"/>
      <c r="P6" s="781"/>
      <c r="Q6" s="781"/>
      <c r="R6" s="781"/>
      <c r="S6" s="781"/>
      <c r="T6" s="781"/>
      <c r="U6" s="781"/>
      <c r="V6" s="781"/>
      <c r="W6" s="781"/>
      <c r="X6" s="781"/>
      <c r="Y6" s="781"/>
      <c r="Z6" s="781"/>
      <c r="AA6" s="781"/>
      <c r="AB6" s="781"/>
      <c r="AC6" s="781"/>
      <c r="AD6" s="781"/>
      <c r="AE6" s="781"/>
      <c r="AF6" s="781"/>
      <c r="AG6" s="781"/>
      <c r="AH6" s="781"/>
      <c r="AI6" s="781"/>
      <c r="AJ6" s="781"/>
      <c r="AK6" s="781"/>
      <c r="AL6" s="781"/>
      <c r="AM6" s="781"/>
      <c r="AN6" s="781"/>
      <c r="AO6" s="781"/>
      <c r="AP6" s="781"/>
      <c r="AQ6" s="781"/>
      <c r="AR6" s="781"/>
      <c r="AS6" s="781"/>
      <c r="AT6" s="781"/>
      <c r="AU6" s="781"/>
      <c r="AV6" s="781"/>
      <c r="AW6" s="781"/>
      <c r="AX6" s="781"/>
      <c r="AY6" s="781"/>
      <c r="AZ6" s="781"/>
      <c r="BA6" s="781"/>
      <c r="BB6" s="781"/>
      <c r="BC6" s="781"/>
      <c r="BD6" s="781"/>
      <c r="BE6" s="781"/>
      <c r="BF6" s="781"/>
      <c r="BG6" s="781"/>
      <c r="BH6" s="781"/>
      <c r="BI6" s="781"/>
      <c r="BJ6" s="781"/>
      <c r="BK6" s="781"/>
      <c r="BL6" s="781"/>
      <c r="BM6" s="781"/>
      <c r="BN6" s="781"/>
      <c r="BO6" s="781"/>
      <c r="BP6" s="781"/>
      <c r="BQ6" s="781"/>
      <c r="BR6" s="781"/>
      <c r="BS6" s="781"/>
      <c r="BT6" s="781"/>
      <c r="BU6" s="781"/>
      <c r="BV6" s="782"/>
    </row>
    <row r="7" spans="2:74" x14ac:dyDescent="0.25">
      <c r="B7" s="777" t="s">
        <v>13</v>
      </c>
      <c r="C7" s="781">
        <f>SUMIFS(Headcount!$B$6:$B$89,Headcount!$F$6:$F$89,"Executive",Headcount!$H$6:$H$89,"&gt;"&amp;C3,Headcount!$G$6:$G$89,"&lt;"&amp;C3)</f>
        <v>2</v>
      </c>
      <c r="D7" s="782">
        <f>IF(D4="forecast",IF(C4="actual",(SUMIFS(Headcount!$B$6:$B$89,Headcount!$F$6:$F$89,"Executive",Headcount!$H$6:$H$89,"&gt;"&amp;D3,Headcount!$G$6:$G$89,"&lt;"&amp;D3)+D8-D9),(C7+D8-D9)),SUMIFS(Headcount!$B$6:$B$89,Headcount!$F$6:$F$89,"Executive",Headcount!$H$6:$H$89,"&gt;"&amp;D3,Headcount!$G$6:$G$89,"&lt;"&amp;C3))</f>
        <v>2</v>
      </c>
      <c r="E7" s="781">
        <f>IF(E4="forecast",IF(D4="actual",(SUMIFS(Headcount!$B$6:$B$89,Headcount!$F$6:$F$89,"Executive",Headcount!$H$6:$H$89,"&gt;"&amp;E3,Headcount!$G$6:$G$89,"&lt;"&amp;E3)+E8-E9),(D7+E8-E9)),SUMIFS(Headcount!$B$6:$B$89,Headcount!$F$6:$F$89,"Executive",Headcount!$H$6:$H$89,"&gt;"&amp;E3,Headcount!$G$6:$G$89,"&lt;"&amp;D3))</f>
        <v>2</v>
      </c>
      <c r="F7" s="781">
        <f>IF(F4="forecast",IF(E4="actual",(SUMIFS(Headcount!$B$6:$B$89,Headcount!$F$6:$F$89,"Executive",Headcount!$H$6:$H$89,"&gt;"&amp;F3,Headcount!$G$6:$G$89,"&lt;"&amp;F3)+F8-F9),(E7+F8-F9)),SUMIFS(Headcount!$B$6:$B$89,Headcount!$F$6:$F$89,"Executive",Headcount!$H$6:$H$89,"&gt;"&amp;F3,Headcount!$G$6:$G$89,"&lt;"&amp;E3))</f>
        <v>2</v>
      </c>
      <c r="G7" s="781">
        <f>IF(G4="forecast",IF(F4="actual",(SUMIFS(Headcount!$B$6:$B$89,Headcount!$F$6:$F$89,"Executive",Headcount!$H$6:$H$89,"&gt;"&amp;G3,Headcount!$G$6:$G$89,"&lt;"&amp;G3)+G8-G9),(F7+G8-G9)),SUMIFS(Headcount!$B$6:$B$89,Headcount!$F$6:$F$89,"Executive",Headcount!$H$6:$H$89,"&gt;"&amp;G3,Headcount!$G$6:$G$89,"&lt;"&amp;F3))</f>
        <v>3</v>
      </c>
      <c r="H7" s="781">
        <f>IF(H4="forecast",IF(G4="actual",(SUMIFS(Headcount!$B$6:$B$89,Headcount!$F$6:$F$89,"Executive",Headcount!$H$6:$H$89,"&gt;"&amp;H3,Headcount!$G$6:$G$89,"&lt;"&amp;H3)+H8-H9),(G7+H8-H9)),SUMIFS(Headcount!$B$6:$B$89,Headcount!$F$6:$F$89,"Executive",Headcount!$H$6:$H$89,"&gt;"&amp;H3,Headcount!$G$6:$G$89,"&lt;"&amp;G3))</f>
        <v>3</v>
      </c>
      <c r="I7" s="781">
        <f>IF(I4="forecast",IF(H4="actual",(SUMIFS(Headcount!$B$6:$B$89,Headcount!$F$6:$F$89,"Executive",Headcount!$H$6:$H$89,"&gt;"&amp;I3,Headcount!$G$6:$G$89,"&lt;"&amp;I3)+I8-I9),(H7+I8-I9)),SUMIFS(Headcount!$B$6:$B$89,Headcount!$F$6:$F$89,"Executive",Headcount!$H$6:$H$89,"&gt;"&amp;I3,Headcount!$G$6:$G$89,"&lt;"&amp;H3))</f>
        <v>3</v>
      </c>
      <c r="J7" s="781">
        <f>IF(J4="forecast",IF(I4="actual",(SUMIFS(Headcount!$B$6:$B$89,Headcount!$F$6:$F$89,"Executive",Headcount!$H$6:$H$89,"&gt;"&amp;J3,Headcount!$G$6:$G$89,"&lt;"&amp;J3)+J8-J9),(I7+J8-J9)),SUMIFS(Headcount!$B$6:$B$89,Headcount!$F$6:$F$89,"Executive",Headcount!$H$6:$H$89,"&gt;"&amp;J3,Headcount!$G$6:$G$89,"&lt;"&amp;I3))</f>
        <v>3</v>
      </c>
      <c r="K7" s="781">
        <f>IF(K4="forecast",IF(J4="actual",(SUMIFS(Headcount!$B$6:$B$89,Headcount!$F$6:$F$89,"Executive",Headcount!$H$6:$H$89,"&gt;"&amp;K3,Headcount!$G$6:$G$89,"&lt;"&amp;K3)+K8-K9),(J7+K8-K9)),SUMIFS(Headcount!$B$6:$B$89,Headcount!$F$6:$F$89,"Executive",Headcount!$H$6:$H$89,"&gt;"&amp;K3,Headcount!$G$6:$G$89,"&lt;"&amp;J3))</f>
        <v>3</v>
      </c>
      <c r="L7" s="781">
        <f>IF(L4="forecast",IF(K4="actual",(SUMIFS(Headcount!$B$6:$B$89,Headcount!$F$6:$F$89,"Executive",Headcount!$H$6:$H$89,"&gt;"&amp;L3,Headcount!$G$6:$G$89,"&lt;"&amp;L3)+L8-L9),(K7+L8-L9)),SUMIFS(Headcount!$B$6:$B$89,Headcount!$F$6:$F$89,"Executive",Headcount!$H$6:$H$89,"&gt;"&amp;L3,Headcount!$G$6:$G$89,"&lt;"&amp;K3))</f>
        <v>3</v>
      </c>
      <c r="M7" s="781">
        <f>IF(M4="forecast",IF(L4="actual",(SUMIFS(Headcount!$B$6:$B$89,Headcount!$F$6:$F$89,"Executive",Headcount!$H$6:$H$89,"&gt;"&amp;M3,Headcount!$G$6:$G$89,"&lt;"&amp;M3)+M8-M9),(L7+M8-M9)),SUMIFS(Headcount!$B$6:$B$89,Headcount!$F$6:$F$89,"Executive",Headcount!$H$6:$H$89,"&gt;"&amp;M3,Headcount!$G$6:$G$89,"&lt;"&amp;L3))</f>
        <v>3</v>
      </c>
      <c r="N7" s="781">
        <f>IF(N4="forecast",IF(M4="actual",(SUMIFS(Headcount!$B$6:$B$89,Headcount!$F$6:$F$89,"Executive",Headcount!$H$6:$H$89,"&gt;"&amp;N3,Headcount!$G$6:$G$89,"&lt;"&amp;N3)+N8-N9),(M7+N8-N9)),SUMIFS(Headcount!$B$6:$B$89,Headcount!$F$6:$F$89,"Executive",Headcount!$H$6:$H$89,"&gt;"&amp;N3,Headcount!$G$6:$G$89,"&lt;"&amp;M3))</f>
        <v>3</v>
      </c>
      <c r="O7" s="781">
        <f>IF(O4="forecast",IF(N4="actual",(SUMIFS(Headcount!$B$6:$B$89,Headcount!$F$6:$F$89,"Executive",Headcount!$H$6:$H$89,"&gt;"&amp;O3,Headcount!$G$6:$G$89,"&lt;"&amp;O3)+O8-O9),(N7+O8-O9)),SUMIFS(Headcount!$B$6:$B$89,Headcount!$F$6:$F$89,"Executive",Headcount!$H$6:$H$89,"&gt;"&amp;O3,Headcount!$G$6:$G$89,"&lt;"&amp;N3))</f>
        <v>3</v>
      </c>
      <c r="P7" s="781">
        <f>IF(P4="forecast",IF(O4="actual",(SUMIFS(Headcount!$B$6:$B$89,Headcount!$F$6:$F$89,"Executive",Headcount!$H$6:$H$89,"&gt;"&amp;P3,Headcount!$G$6:$G$89,"&lt;"&amp;P3)+P8-P9),(O7+P8-P9)),SUMIFS(Headcount!$B$6:$B$89,Headcount!$F$6:$F$89,"Executive",Headcount!$H$6:$H$89,"&gt;"&amp;P3,Headcount!$G$6:$G$89,"&lt;"&amp;O3))</f>
        <v>3</v>
      </c>
      <c r="Q7" s="781">
        <f>IF(Q4="forecast",IF(P4="actual",(SUMIFS(Headcount!$B$6:$B$89,Headcount!$F$6:$F$89,"Executive",Headcount!$H$6:$H$89,"&gt;"&amp;Q3,Headcount!$G$6:$G$89,"&lt;"&amp;Q3)+Q8-Q9),(P7+Q8-Q9)),SUMIFS(Headcount!$B$6:$B$89,Headcount!$F$6:$F$89,"Executive",Headcount!$H$6:$H$89,"&gt;"&amp;Q3,Headcount!$G$6:$G$89,"&lt;"&amp;P3))</f>
        <v>3</v>
      </c>
      <c r="R7" s="781">
        <f>IF(R4="forecast",IF(Q4="actual",(SUMIFS(Headcount!$B$6:$B$89,Headcount!$F$6:$F$89,"Executive",Headcount!$H$6:$H$89,"&gt;"&amp;R3,Headcount!$G$6:$G$89,"&lt;"&amp;R3)+R8-R9),(Q7+R8-R9)),SUMIFS(Headcount!$B$6:$B$89,Headcount!$F$6:$F$89,"Executive",Headcount!$H$6:$H$89,"&gt;"&amp;R3,Headcount!$G$6:$G$89,"&lt;"&amp;Q3))</f>
        <v>3</v>
      </c>
      <c r="S7" s="781">
        <f>IF(S4="forecast",IF(R4="actual",(SUMIFS(Headcount!$B$6:$B$89,Headcount!$F$6:$F$89,"Executive",Headcount!$H$6:$H$89,"&gt;"&amp;S3,Headcount!$G$6:$G$89,"&lt;"&amp;S3)+S8-S9),(R7+S8-S9)),SUMIFS(Headcount!$B$6:$B$89,Headcount!$F$6:$F$89,"Executive",Headcount!$H$6:$H$89,"&gt;"&amp;S3,Headcount!$G$6:$G$89,"&lt;"&amp;R3))</f>
        <v>3</v>
      </c>
      <c r="T7" s="781">
        <f>IF(T4="forecast",IF(S4="actual",(SUMIFS(Headcount!$B$6:$B$89,Headcount!$F$6:$F$89,"Executive",Headcount!$H$6:$H$89,"&gt;"&amp;T3,Headcount!$G$6:$G$89,"&lt;"&amp;T3)+T8-T9),(S7+T8-T9)),SUMIFS(Headcount!$B$6:$B$89,Headcount!$F$6:$F$89,"Executive",Headcount!$H$6:$H$89,"&gt;"&amp;T3,Headcount!$G$6:$G$89,"&lt;"&amp;S3))</f>
        <v>3</v>
      </c>
      <c r="U7" s="781">
        <f>IF(U4="forecast",IF(T4="actual",(SUMIFS(Headcount!$B$6:$B$89,Headcount!$F$6:$F$89,"Executive",Headcount!$H$6:$H$89,"&gt;"&amp;U3,Headcount!$G$6:$G$89,"&lt;"&amp;U3)+U8-U9),(T7+U8-U9)),SUMIFS(Headcount!$B$6:$B$89,Headcount!$F$6:$F$89,"Executive",Headcount!$H$6:$H$89,"&gt;"&amp;U3,Headcount!$G$6:$G$89,"&lt;"&amp;T3))</f>
        <v>3</v>
      </c>
      <c r="V7" s="781">
        <f>IF(V4="forecast",IF(U4="actual",(SUMIFS(Headcount!$B$6:$B$89,Headcount!$F$6:$F$89,"Executive",Headcount!$H$6:$H$89,"&gt;"&amp;V3,Headcount!$G$6:$G$89,"&lt;"&amp;V3)+V8-V9),(U7+V8-V9)),SUMIFS(Headcount!$B$6:$B$89,Headcount!$F$6:$F$89,"Executive",Headcount!$H$6:$H$89,"&gt;"&amp;V3,Headcount!$G$6:$G$89,"&lt;"&amp;U3))</f>
        <v>3</v>
      </c>
      <c r="W7" s="781">
        <f>IF(W4="forecast",IF(V4="actual",(SUMIFS(Headcount!$B$6:$B$89,Headcount!$F$6:$F$89,"Executive",Headcount!$H$6:$H$89,"&gt;"&amp;W3,Headcount!$G$6:$G$89,"&lt;"&amp;W3)+W8-W9),(V7+W8-W9)),SUMIFS(Headcount!$B$6:$B$89,Headcount!$F$6:$F$89,"Executive",Headcount!$H$6:$H$89,"&gt;"&amp;W3,Headcount!$G$6:$G$89,"&lt;"&amp;V3))</f>
        <v>3</v>
      </c>
      <c r="X7" s="781">
        <f>IF(X4="forecast",IF(W4="actual",(SUMIFS(Headcount!$B$6:$B$89,Headcount!$F$6:$F$89,"Executive",Headcount!$H$6:$H$89,"&gt;"&amp;X3,Headcount!$G$6:$G$89,"&lt;"&amp;X3)+X8-X9),(W7+X8-X9)),SUMIFS(Headcount!$B$6:$B$89,Headcount!$F$6:$F$89,"Executive",Headcount!$H$6:$H$89,"&gt;"&amp;X3,Headcount!$G$6:$G$89,"&lt;"&amp;W3))</f>
        <v>3</v>
      </c>
      <c r="Y7" s="781">
        <f>IF(Y4="forecast",IF(X4="actual",(SUMIFS(Headcount!$B$6:$B$89,Headcount!$F$6:$F$89,"Executive",Headcount!$H$6:$H$89,"&gt;"&amp;Y3,Headcount!$G$6:$G$89,"&lt;"&amp;Y3)+Y8-Y9),(X7+Y8-Y9)),SUMIFS(Headcount!$B$6:$B$89,Headcount!$F$6:$F$89,"Executive",Headcount!$H$6:$H$89,"&gt;"&amp;Y3,Headcount!$G$6:$G$89,"&lt;"&amp;X3))</f>
        <v>3</v>
      </c>
      <c r="Z7" s="781">
        <f>IF(Z4="forecast",IF(Y4="actual",(SUMIFS(Headcount!$B$6:$B$89,Headcount!$F$6:$F$89,"Executive",Headcount!$H$6:$H$89,"&gt;"&amp;Z3,Headcount!$G$6:$G$89,"&lt;"&amp;Z3)+Z8-Z9),(Y7+Z8-Z9)),SUMIFS(Headcount!$B$6:$B$89,Headcount!$F$6:$F$89,"Executive",Headcount!$H$6:$H$89,"&gt;"&amp;Z3,Headcount!$G$6:$G$89,"&lt;"&amp;Y3))</f>
        <v>3</v>
      </c>
      <c r="AA7" s="781">
        <f>IF(AA4="forecast",IF(Z4="actual",(SUMIFS(Headcount!$B$6:$B$89,Headcount!$F$6:$F$89,"Executive",Headcount!$H$6:$H$89,"&gt;"&amp;AA3,Headcount!$G$6:$G$89,"&lt;"&amp;AA3)+AA8-AA9),(Z7+AA8-AA9)),SUMIFS(Headcount!$B$6:$B$89,Headcount!$F$6:$F$89,"Executive",Headcount!$H$6:$H$89,"&gt;"&amp;AA3,Headcount!$G$6:$G$89,"&lt;"&amp;Z3))</f>
        <v>3</v>
      </c>
      <c r="AB7" s="781">
        <f>IF(AB4="forecast",IF(AA4="actual",(SUMIFS(Headcount!$B$6:$B$89,Headcount!$F$6:$F$89,"Executive",Headcount!$H$6:$H$89,"&gt;"&amp;AB3,Headcount!$G$6:$G$89,"&lt;"&amp;AB3)+AB8-AB9),(AA7+AB8-AB9)),SUMIFS(Headcount!$B$6:$B$89,Headcount!$F$6:$F$89,"Executive",Headcount!$H$6:$H$89,"&gt;"&amp;AB3,Headcount!$G$6:$G$89,"&lt;"&amp;AA3))</f>
        <v>3</v>
      </c>
      <c r="AC7" s="781">
        <f>IF(AC4="forecast",IF(AB4="actual",(SUMIFS(Headcount!$B$6:$B$89,Headcount!$F$6:$F$89,"Executive",Headcount!$H$6:$H$89,"&gt;"&amp;AC3,Headcount!$G$6:$G$89,"&lt;"&amp;AC3)+AC8-AC9),(AB7+AC8-AC9)),SUMIFS(Headcount!$B$6:$B$89,Headcount!$F$6:$F$89,"Executive",Headcount!$H$6:$H$89,"&gt;"&amp;AC3,Headcount!$G$6:$G$89,"&lt;"&amp;AB3))</f>
        <v>3</v>
      </c>
      <c r="AD7" s="781">
        <f>IF(AD4="forecast",IF(AC4="actual",(SUMIFS(Headcount!$B$6:$B$89,Headcount!$F$6:$F$89,"Executive",Headcount!$H$6:$H$89,"&gt;"&amp;AD3,Headcount!$G$6:$G$89,"&lt;"&amp;AD3)+AD8-AD9),(AC7+AD8-AD9)),SUMIFS(Headcount!$B$6:$B$89,Headcount!$F$6:$F$89,"Executive",Headcount!$H$6:$H$89,"&gt;"&amp;AD3,Headcount!$G$6:$G$89,"&lt;"&amp;AC3))</f>
        <v>3</v>
      </c>
      <c r="AE7" s="781">
        <f>IF(AE4="forecast",IF(AD4="actual",(SUMIFS(Headcount!$B$6:$B$89,Headcount!$F$6:$F$89,"Executive",Headcount!$H$6:$H$89,"&gt;"&amp;AE3,Headcount!$G$6:$G$89,"&lt;"&amp;AE3)+AE8-AE9),(AD7+AE8-AE9)),SUMIFS(Headcount!$B$6:$B$89,Headcount!$F$6:$F$89,"Executive",Headcount!$H$6:$H$89,"&gt;"&amp;AE3,Headcount!$G$6:$G$89,"&lt;"&amp;AD3))</f>
        <v>3</v>
      </c>
      <c r="AF7" s="781">
        <f>IF(AF4="forecast",IF(AE4="actual",(SUMIFS(Headcount!$B$6:$B$89,Headcount!$F$6:$F$89,"Executive",Headcount!$H$6:$H$89,"&gt;"&amp;AF3,Headcount!$G$6:$G$89,"&lt;"&amp;AF3)+AF8-AF9),(AE7+AF8-AF9)),SUMIFS(Headcount!$B$6:$B$89,Headcount!$F$6:$F$89,"Executive",Headcount!$H$6:$H$89,"&gt;"&amp;AF3,Headcount!$G$6:$G$89,"&lt;"&amp;AE3))</f>
        <v>3</v>
      </c>
      <c r="AG7" s="781">
        <f>IF(AG4="forecast",IF(AF4="actual",(SUMIFS(Headcount!$B$6:$B$89,Headcount!$F$6:$F$89,"Executive",Headcount!$H$6:$H$89,"&gt;"&amp;AG3,Headcount!$G$6:$G$89,"&lt;"&amp;AG3)+AG8-AG9),(AF7+AG8-AG9)),SUMIFS(Headcount!$B$6:$B$89,Headcount!$F$6:$F$89,"Executive",Headcount!$H$6:$H$89,"&gt;"&amp;AG3,Headcount!$G$6:$G$89,"&lt;"&amp;AF3))</f>
        <v>3</v>
      </c>
      <c r="AH7" s="781">
        <f>IF(AH4="forecast",IF(AG4="actual",(SUMIFS(Headcount!$B$6:$B$89,Headcount!$F$6:$F$89,"Executive",Headcount!$H$6:$H$89,"&gt;"&amp;AH3,Headcount!$G$6:$G$89,"&lt;"&amp;AH3)+AH8-AH9),(AG7+AH8-AH9)),SUMIFS(Headcount!$B$6:$B$89,Headcount!$F$6:$F$89,"Executive",Headcount!$H$6:$H$89,"&gt;"&amp;AH3,Headcount!$G$6:$G$89,"&lt;"&amp;AG3))</f>
        <v>3</v>
      </c>
      <c r="AI7" s="781">
        <f>IF(AI4="forecast",IF(AH4="actual",(SUMIFS(Headcount!$B$6:$B$89,Headcount!$F$6:$F$89,"Executive",Headcount!$H$6:$H$89,"&gt;"&amp;AI3,Headcount!$G$6:$G$89,"&lt;"&amp;AI3)+AI8-AI9),(AH7+AI8-AI9)),SUMIFS(Headcount!$B$6:$B$89,Headcount!$F$6:$F$89,"Executive",Headcount!$H$6:$H$89,"&gt;"&amp;AI3,Headcount!$G$6:$G$89,"&lt;"&amp;AH3))</f>
        <v>3</v>
      </c>
      <c r="AJ7" s="781">
        <f>IF(AJ4="forecast",IF(AI4="actual",(SUMIFS(Headcount!$B$6:$B$89,Headcount!$F$6:$F$89,"Executive",Headcount!$H$6:$H$89,"&gt;"&amp;AJ3,Headcount!$G$6:$G$89,"&lt;"&amp;AJ3)+AJ8-AJ9),(AI7+AJ8-AJ9)),SUMIFS(Headcount!$B$6:$B$89,Headcount!$F$6:$F$89,"Executive",Headcount!$H$6:$H$89,"&gt;"&amp;AJ3,Headcount!$G$6:$G$89,"&lt;"&amp;AI3))</f>
        <v>2</v>
      </c>
      <c r="AK7" s="781">
        <f>IF(AK4="forecast",IF(AJ4="actual",(SUMIFS(Headcount!$B$6:$B$89,Headcount!$F$6:$F$89,"Executive",Headcount!$H$6:$H$89,"&gt;"&amp;AK3,Headcount!$G$6:$G$89,"&lt;"&amp;AK3)+AK8-AK9),(AJ7+AK8-AK9)),SUMIFS(Headcount!$B$6:$B$89,Headcount!$F$6:$F$89,"Executive",Headcount!$H$6:$H$89,"&gt;"&amp;AK3,Headcount!$G$6:$G$89,"&lt;"&amp;AJ3))</f>
        <v>2</v>
      </c>
      <c r="AL7" s="781">
        <f>IF(AL4="forecast",IF(AK4="actual",(SUMIFS(Headcount!$B$6:$B$89,Headcount!$F$6:$F$89,"Executive",Headcount!$H$6:$H$89,"&gt;"&amp;AL3,Headcount!$G$6:$G$89,"&lt;"&amp;AL3)+AL8-AL9),(AK7+AL8-AL9)),SUMIFS(Headcount!$B$6:$B$89,Headcount!$F$6:$F$89,"Executive",Headcount!$H$6:$H$89,"&gt;"&amp;AL3,Headcount!$G$6:$G$89,"&lt;"&amp;AK3))</f>
        <v>2</v>
      </c>
      <c r="AM7" s="781">
        <f>IF(AM4="forecast",IF(AL4="actual",(SUMIFS(Headcount!$B$6:$B$89,Headcount!$F$6:$F$89,"Executive",Headcount!$H$6:$H$89,"&gt;"&amp;AM3,Headcount!$G$6:$G$89,"&lt;"&amp;AM3)+AM8-AM9),(AL7+AM8-AM9)),SUMIFS(Headcount!$B$6:$B$89,Headcount!$F$6:$F$89,"Executive",Headcount!$H$6:$H$89,"&gt;"&amp;AM3,Headcount!$G$6:$G$89,"&lt;"&amp;AL3))</f>
        <v>2</v>
      </c>
      <c r="AN7" s="781">
        <f>IF(AN4="forecast",IF(AM4="actual",(SUMIFS(Headcount!$B$6:$B$89,Headcount!$F$6:$F$89,"Executive",Headcount!$H$6:$H$89,"&gt;"&amp;AN3,Headcount!$G$6:$G$89,"&lt;"&amp;AN3)+AN8-AN9),(AM7+AN8-AN9)),SUMIFS(Headcount!$B$6:$B$89,Headcount!$F$6:$F$89,"Executive",Headcount!$H$6:$H$89,"&gt;"&amp;AN3,Headcount!$G$6:$G$89,"&lt;"&amp;AM3))</f>
        <v>2</v>
      </c>
      <c r="AO7" s="781">
        <f>IF(AO4="forecast",IF(AN4="actual",(SUMIFS(Headcount!$B$6:$B$89,Headcount!$F$6:$F$89,"Executive",Headcount!$H$6:$H$89,"&gt;"&amp;AO3,Headcount!$G$6:$G$89,"&lt;"&amp;AO3)+AO8-AO9),(AN7+AO8-AO9)),SUMIFS(Headcount!$B$6:$B$89,Headcount!$F$6:$F$89,"Executive",Headcount!$H$6:$H$89,"&gt;"&amp;AO3,Headcount!$G$6:$G$89,"&lt;"&amp;AN3))</f>
        <v>2</v>
      </c>
      <c r="AP7" s="781">
        <f>IF(AP4="forecast",IF(AO4="actual",(SUMIFS(Headcount!$B$6:$B$89,Headcount!$F$6:$F$89,"Executive",Headcount!$H$6:$H$89,"&gt;"&amp;AP3,Headcount!$G$6:$G$89,"&lt;"&amp;AP3)+AP8-AP9),(AO7+AP8-AP9)),SUMIFS(Headcount!$B$6:$B$89,Headcount!$F$6:$F$89,"Executive",Headcount!$H$6:$H$89,"&gt;"&amp;AP3,Headcount!$G$6:$G$89,"&lt;"&amp;AO3))</f>
        <v>2</v>
      </c>
      <c r="AQ7" s="781">
        <f>IF(AQ4="forecast",IF(AP4="actual",(SUMIFS(Headcount!$B$6:$B$89,Headcount!$F$6:$F$89,"Executive",Headcount!$H$6:$H$89,"&gt;"&amp;AQ3,Headcount!$G$6:$G$89,"&lt;"&amp;AQ3)+AQ8-AQ9),(AP7+AQ8-AQ9)),SUMIFS(Headcount!$B$6:$B$89,Headcount!$F$6:$F$89,"Executive",Headcount!$H$6:$H$89,"&gt;"&amp;AQ3,Headcount!$G$6:$G$89,"&lt;"&amp;AP3))</f>
        <v>2</v>
      </c>
      <c r="AR7" s="781">
        <f>IF(AR4="forecast",IF(AQ4="actual",(SUMIFS(Headcount!$B$6:$B$89,Headcount!$F$6:$F$89,"Executive",Headcount!$H$6:$H$89,"&gt;"&amp;AR3,Headcount!$G$6:$G$89,"&lt;"&amp;AR3)+AR8-AR9),(AQ7+AR8-AR9)),SUMIFS(Headcount!$B$6:$B$89,Headcount!$F$6:$F$89,"Executive",Headcount!$H$6:$H$89,"&gt;"&amp;AR3,Headcount!$G$6:$G$89,"&lt;"&amp;AQ3))</f>
        <v>2</v>
      </c>
      <c r="AS7" s="781">
        <f>IF(AS4="forecast",IF(AR4="actual",(SUMIFS(Headcount!$B$6:$B$89,Headcount!$F$6:$F$89,"Executive",Headcount!$H$6:$H$89,"&gt;"&amp;AS3,Headcount!$G$6:$G$89,"&lt;"&amp;AS3)+AS8-AS9),(AR7+AS8-AS9)),SUMIFS(Headcount!$B$6:$B$89,Headcount!$F$6:$F$89,"Executive",Headcount!$H$6:$H$89,"&gt;"&amp;AS3,Headcount!$G$6:$G$89,"&lt;"&amp;AR3))</f>
        <v>2</v>
      </c>
      <c r="AT7" s="781">
        <f>IF(AT4="forecast",IF(AS4="actual",(SUMIFS(Headcount!$B$6:$B$89,Headcount!$F$6:$F$89,"Executive",Headcount!$H$6:$H$89,"&gt;"&amp;AT3,Headcount!$G$6:$G$89,"&lt;"&amp;AT3)+AT8-AT9),(AS7+AT8-AT9)),SUMIFS(Headcount!$B$6:$B$89,Headcount!$F$6:$F$89,"Executive",Headcount!$H$6:$H$89,"&gt;"&amp;AT3,Headcount!$G$6:$G$89,"&lt;"&amp;AS3))</f>
        <v>2</v>
      </c>
      <c r="AU7" s="781">
        <f>IF(AU4="forecast",IF(AT4="actual",(SUMIFS(Headcount!$B$6:$B$89,Headcount!$F$6:$F$89,"Executive",Headcount!$H$6:$H$89,"&gt;"&amp;AU3,Headcount!$G$6:$G$89,"&lt;"&amp;AU3)+AU8-AU9),(AT7+AU8-AU9)),SUMIFS(Headcount!$B$6:$B$89,Headcount!$F$6:$F$89,"Executive",Headcount!$H$6:$H$89,"&gt;"&amp;AU3,Headcount!$G$6:$G$89,"&lt;"&amp;AT3))</f>
        <v>2</v>
      </c>
      <c r="AV7" s="781">
        <f>IF(AV4="forecast",IF(AU4="actual",(SUMIFS(Headcount!$B$6:$B$89,Headcount!$F$6:$F$89,"Executive",Headcount!$H$6:$H$89,"&gt;"&amp;AV3,Headcount!$G$6:$G$89,"&lt;"&amp;AV3)+AV8-AV9),(AU7+AV8-AV9)),SUMIFS(Headcount!$B$6:$B$89,Headcount!$F$6:$F$89,"Executive",Headcount!$H$6:$H$89,"&gt;"&amp;AV3,Headcount!$G$6:$G$89,"&lt;"&amp;AU3))</f>
        <v>2</v>
      </c>
      <c r="AW7" s="781">
        <f>IF(AW4="forecast",IF(AV4="actual",(SUMIFS(Headcount!$B$6:$B$89,Headcount!$F$6:$F$89,"Executive",Headcount!$H$6:$H$89,"&gt;"&amp;AW3,Headcount!$G$6:$G$89,"&lt;"&amp;AW3)+AW8-AW9),(AV7+AW8-AW9)),SUMIFS(Headcount!$B$6:$B$89,Headcount!$F$6:$F$89,"Executive",Headcount!$H$6:$H$89,"&gt;"&amp;AW3,Headcount!$G$6:$G$89,"&lt;"&amp;AV3))</f>
        <v>2</v>
      </c>
      <c r="AX7" s="781">
        <f>IF(AX4="forecast",IF(AW4="actual",(SUMIFS(Headcount!$B$6:$B$89,Headcount!$F$6:$F$89,"Executive",Headcount!$H$6:$H$89,"&gt;"&amp;AX3,Headcount!$G$6:$G$89,"&lt;"&amp;AX3)+AX8-AX9),(AW7+AX8-AX9)),SUMIFS(Headcount!$B$6:$B$89,Headcount!$F$6:$F$89,"Executive",Headcount!$H$6:$H$89,"&gt;"&amp;AX3,Headcount!$G$6:$G$89,"&lt;"&amp;AW3))</f>
        <v>2</v>
      </c>
      <c r="AY7" s="781">
        <f>IF(AY4="forecast",IF(AX4="actual",(SUMIFS(Headcount!$B$6:$B$89,Headcount!$F$6:$F$89,"Executive",Headcount!$H$6:$H$89,"&gt;"&amp;AY3,Headcount!$G$6:$G$89,"&lt;"&amp;AY3)+AY8-AY9),(AX7+AY8-AY9)),SUMIFS(Headcount!$B$6:$B$89,Headcount!$F$6:$F$89,"Executive",Headcount!$H$6:$H$89,"&gt;"&amp;AY3,Headcount!$G$6:$G$89,"&lt;"&amp;AX3))</f>
        <v>2</v>
      </c>
      <c r="AZ7" s="781">
        <f>IF(AZ4="forecast",IF(AY4="actual",(SUMIFS(Headcount!$B$6:$B$89,Headcount!$F$6:$F$89,"Executive",Headcount!$H$6:$H$89,"&gt;"&amp;AZ3,Headcount!$G$6:$G$89,"&lt;"&amp;AZ3)+AZ8-AZ9),(AY7+AZ8-AZ9)),SUMIFS(Headcount!$B$6:$B$89,Headcount!$F$6:$F$89,"Executive",Headcount!$H$6:$H$89,"&gt;"&amp;AZ3,Headcount!$G$6:$G$89,"&lt;"&amp;AY3))</f>
        <v>2</v>
      </c>
      <c r="BA7" s="781">
        <f>IF(BA4="forecast",IF(AZ4="actual",(SUMIFS(Headcount!$B$6:$B$89,Headcount!$F$6:$F$89,"Executive",Headcount!$H$6:$H$89,"&gt;"&amp;BA3,Headcount!$G$6:$G$89,"&lt;"&amp;BA3)+BA8-BA9),(AZ7+BA8-BA9)),SUMIFS(Headcount!$B$6:$B$89,Headcount!$F$6:$F$89,"Executive",Headcount!$H$6:$H$89,"&gt;"&amp;BA3,Headcount!$G$6:$G$89,"&lt;"&amp;AZ3))</f>
        <v>2</v>
      </c>
      <c r="BB7" s="781">
        <f>IF(BB4="forecast",IF(BA4="actual",(SUMIFS(Headcount!$B$6:$B$89,Headcount!$F$6:$F$89,"Executive",Headcount!$H$6:$H$89,"&gt;"&amp;BB3,Headcount!$G$6:$G$89,"&lt;"&amp;BB3)+BB8-BB9),(BA7+BB8-BB9)),SUMIFS(Headcount!$B$6:$B$89,Headcount!$F$6:$F$89,"Executive",Headcount!$H$6:$H$89,"&gt;"&amp;BB3,Headcount!$G$6:$G$89,"&lt;"&amp;BA3))</f>
        <v>2</v>
      </c>
      <c r="BC7" s="781">
        <f>IF(BC4="forecast",IF(BB4="actual",(SUMIFS(Headcount!$B$6:$B$89,Headcount!$F$6:$F$89,"Executive",Headcount!$H$6:$H$89,"&gt;"&amp;BC3,Headcount!$G$6:$G$89,"&lt;"&amp;BC3)+BC8-BC9),(BB7+BC8-BC9)),SUMIFS(Headcount!$B$6:$B$89,Headcount!$F$6:$F$89,"Executive",Headcount!$H$6:$H$89,"&gt;"&amp;BC3,Headcount!$G$6:$G$89,"&lt;"&amp;BB3))</f>
        <v>2</v>
      </c>
      <c r="BD7" s="781">
        <f>IF(BD4="forecast",IF(BC4="actual",(SUMIFS(Headcount!$B$6:$B$89,Headcount!$F$6:$F$89,"Executive",Headcount!$H$6:$H$89,"&gt;"&amp;BD3,Headcount!$G$6:$G$89,"&lt;"&amp;BD3)+BD8-BD9),(BC7+BD8-BD9)),SUMIFS(Headcount!$B$6:$B$89,Headcount!$F$6:$F$89,"Executive",Headcount!$H$6:$H$89,"&gt;"&amp;BD3,Headcount!$G$6:$G$89,"&lt;"&amp;BC3))</f>
        <v>2</v>
      </c>
      <c r="BE7" s="781">
        <f>IF(BE4="forecast",IF(BD4="actual",(SUMIFS(Headcount!$B$6:$B$89,Headcount!$F$6:$F$89,"Executive",Headcount!$H$6:$H$89,"&gt;"&amp;BE3,Headcount!$G$6:$G$89,"&lt;"&amp;BE3)+BE8-BE9),(BD7+BE8-BE9)),SUMIFS(Headcount!$B$6:$B$89,Headcount!$F$6:$F$89,"Executive",Headcount!$H$6:$H$89,"&gt;"&amp;BE3,Headcount!$G$6:$G$89,"&lt;"&amp;BD3))</f>
        <v>2</v>
      </c>
      <c r="BF7" s="781">
        <f>IF(BF4="forecast",IF(BE4="actual",(SUMIFS(Headcount!$B$6:$B$89,Headcount!$F$6:$F$89,"Executive",Headcount!$H$6:$H$89,"&gt;"&amp;BF3,Headcount!$G$6:$G$89,"&lt;"&amp;BF3)+BF8-BF9),(BE7+BF8-BF9)),SUMIFS(Headcount!$B$6:$B$89,Headcount!$F$6:$F$89,"Executive",Headcount!$H$6:$H$89,"&gt;"&amp;BF3,Headcount!$G$6:$G$89,"&lt;"&amp;BE3))</f>
        <v>2</v>
      </c>
      <c r="BG7" s="781">
        <f>IF(BG4="forecast",IF(BF4="actual",(SUMIFS(Headcount!$B$6:$B$89,Headcount!$F$6:$F$89,"Executive",Headcount!$H$6:$H$89,"&gt;"&amp;BG3,Headcount!$G$6:$G$89,"&lt;"&amp;BG3)+BG8-BG9),(BF7+BG8-BG9)),SUMIFS(Headcount!$B$6:$B$89,Headcount!$F$6:$F$89,"Executive",Headcount!$H$6:$H$89,"&gt;"&amp;BG3,Headcount!$G$6:$G$89,"&lt;"&amp;BF3))</f>
        <v>2</v>
      </c>
      <c r="BH7" s="781">
        <f>IF(BH4="forecast",IF(BG4="actual",(SUMIFS(Headcount!$B$6:$B$89,Headcount!$F$6:$F$89,"Executive",Headcount!$H$6:$H$89,"&gt;"&amp;BH3,Headcount!$G$6:$G$89,"&lt;"&amp;BH3)+BH8-BH9),(BG7+BH8-BH9)),SUMIFS(Headcount!$B$6:$B$89,Headcount!$F$6:$F$89,"Executive",Headcount!$H$6:$H$89,"&gt;"&amp;BH3,Headcount!$G$6:$G$89,"&lt;"&amp;BG3))</f>
        <v>2</v>
      </c>
      <c r="BI7" s="781">
        <f>IF(BI4="forecast",IF(BH4="actual",(SUMIFS(Headcount!$B$6:$B$89,Headcount!$F$6:$F$89,"Executive",Headcount!$H$6:$H$89,"&gt;"&amp;BI3,Headcount!$G$6:$G$89,"&lt;"&amp;BI3)+BI8-BI9),(BH7+BI8-BI9)),SUMIFS(Headcount!$B$6:$B$89,Headcount!$F$6:$F$89,"Executive",Headcount!$H$6:$H$89,"&gt;"&amp;BI3,Headcount!$G$6:$G$89,"&lt;"&amp;BH3))</f>
        <v>2</v>
      </c>
      <c r="BJ7" s="781">
        <f>IF(BJ4="forecast",IF(BI4="actual",(SUMIFS(Headcount!$B$6:$B$89,Headcount!$F$6:$F$89,"Executive",Headcount!$H$6:$H$89,"&gt;"&amp;BJ3,Headcount!$G$6:$G$89,"&lt;"&amp;BJ3)+BJ8-BJ9),(BI7+BJ8-BJ9)),SUMIFS(Headcount!$B$6:$B$89,Headcount!$F$6:$F$89,"Executive",Headcount!$H$6:$H$89,"&gt;"&amp;BJ3,Headcount!$G$6:$G$89,"&lt;"&amp;BI3))</f>
        <v>2</v>
      </c>
      <c r="BK7" s="781">
        <f>IF(BK4="forecast",IF(BJ4="actual",(SUMIFS(Headcount!$B$6:$B$89,Headcount!$F$6:$F$89,"Executive",Headcount!$H$6:$H$89,"&gt;"&amp;BK3,Headcount!$G$6:$G$89,"&lt;"&amp;BK3)+BK8-BK9),(BJ7+BK8-BK9)),SUMIFS(Headcount!$B$6:$B$89,Headcount!$F$6:$F$89,"Executive",Headcount!$H$6:$H$89,"&gt;"&amp;BK3,Headcount!$G$6:$G$89,"&lt;"&amp;BJ3))</f>
        <v>2</v>
      </c>
      <c r="BL7" s="781">
        <f>IF(BL4="forecast",IF(BK4="actual",(SUMIFS(Headcount!$B$6:$B$89,Headcount!$F$6:$F$89,"Executive",Headcount!$H$6:$H$89,"&gt;"&amp;BL3,Headcount!$G$6:$G$89,"&lt;"&amp;BL3)+BL8-BL9),(BK7+BL8-BL9)),SUMIFS(Headcount!$B$6:$B$89,Headcount!$F$6:$F$89,"Executive",Headcount!$H$6:$H$89,"&gt;"&amp;BL3,Headcount!$G$6:$G$89,"&lt;"&amp;BK3))</f>
        <v>2</v>
      </c>
      <c r="BM7" s="781">
        <f>IF(BM4="forecast",IF(BL4="actual",(SUMIFS(Headcount!$B$6:$B$89,Headcount!$F$6:$F$89,"Executive",Headcount!$H$6:$H$89,"&gt;"&amp;BM3,Headcount!$G$6:$G$89,"&lt;"&amp;BM3)+BM8-BM9),(BL7+BM8-BM9)),SUMIFS(Headcount!$B$6:$B$89,Headcount!$F$6:$F$89,"Executive",Headcount!$H$6:$H$89,"&gt;"&amp;BM3,Headcount!$G$6:$G$89,"&lt;"&amp;BL3))</f>
        <v>2</v>
      </c>
      <c r="BN7" s="781">
        <f>IF(BN4="forecast",IF(BM4="actual",(SUMIFS(Headcount!$B$6:$B$89,Headcount!$F$6:$F$89,"Executive",Headcount!$H$6:$H$89,"&gt;"&amp;BN3,Headcount!$G$6:$G$89,"&lt;"&amp;BN3)+BN8-BN9),(BM7+BN8-BN9)),SUMIFS(Headcount!$B$6:$B$89,Headcount!$F$6:$F$89,"Executive",Headcount!$H$6:$H$89,"&gt;"&amp;BN3,Headcount!$G$6:$G$89,"&lt;"&amp;BM3))</f>
        <v>2</v>
      </c>
      <c r="BO7" s="781">
        <f>IF(BO4="forecast",IF(BN4="actual",(SUMIFS(Headcount!$B$6:$B$89,Headcount!$F$6:$F$89,"Executive",Headcount!$H$6:$H$89,"&gt;"&amp;BO3,Headcount!$G$6:$G$89,"&lt;"&amp;BO3)+BO8-BO9),(BN7+BO8-BO9)),SUMIFS(Headcount!$B$6:$B$89,Headcount!$F$6:$F$89,"Executive",Headcount!$H$6:$H$89,"&gt;"&amp;BO3,Headcount!$G$6:$G$89,"&lt;"&amp;BN3))</f>
        <v>2</v>
      </c>
      <c r="BP7" s="781">
        <f>IF(BP4="forecast",IF(BO4="actual",(SUMIFS(Headcount!$B$6:$B$89,Headcount!$F$6:$F$89,"Executive",Headcount!$H$6:$H$89,"&gt;"&amp;BP3,Headcount!$G$6:$G$89,"&lt;"&amp;BP3)+BP8-BP9),(BO7+BP8-BP9)),SUMIFS(Headcount!$B$6:$B$89,Headcount!$F$6:$F$89,"Executive",Headcount!$H$6:$H$89,"&gt;"&amp;BP3,Headcount!$G$6:$G$89,"&lt;"&amp;BO3))</f>
        <v>2</v>
      </c>
      <c r="BQ7" s="781">
        <f>IF(BQ4="forecast",IF(BP4="actual",(SUMIFS(Headcount!$B$6:$B$89,Headcount!$F$6:$F$89,"Executive",Headcount!$H$6:$H$89,"&gt;"&amp;BQ3,Headcount!$G$6:$G$89,"&lt;"&amp;BQ3)+BQ8-BQ9),(BP7+BQ8-BQ9)),SUMIFS(Headcount!$B$6:$B$89,Headcount!$F$6:$F$89,"Executive",Headcount!$H$6:$H$89,"&gt;"&amp;BQ3,Headcount!$G$6:$G$89,"&lt;"&amp;BP3))</f>
        <v>2</v>
      </c>
      <c r="BR7" s="781">
        <f>IF(BR4="forecast",IF(BQ4="actual",(SUMIFS(Headcount!$B$6:$B$89,Headcount!$F$6:$F$89,"Executive",Headcount!$H$6:$H$89,"&gt;"&amp;BR3,Headcount!$G$6:$G$89,"&lt;"&amp;BR3)+BR8-BR9),(BQ7+BR8-BR9)),SUMIFS(Headcount!$B$6:$B$89,Headcount!$F$6:$F$89,"Executive",Headcount!$H$6:$H$89,"&gt;"&amp;BR3,Headcount!$G$6:$G$89,"&lt;"&amp;BQ3))</f>
        <v>2</v>
      </c>
      <c r="BS7" s="781">
        <f>IF(BS4="forecast",IF(BR4="actual",(SUMIFS(Headcount!$B$6:$B$89,Headcount!$F$6:$F$89,"Executive",Headcount!$H$6:$H$89,"&gt;"&amp;BS3,Headcount!$G$6:$G$89,"&lt;"&amp;BS3)+BS8-BS9),(BR7+BS8-BS9)),SUMIFS(Headcount!$B$6:$B$89,Headcount!$F$6:$F$89,"Executive",Headcount!$H$6:$H$89,"&gt;"&amp;BS3,Headcount!$G$6:$G$89,"&lt;"&amp;BR3))</f>
        <v>2</v>
      </c>
      <c r="BT7" s="781">
        <f>IF(BT4="forecast",IF(BS4="actual",(SUMIFS(Headcount!$B$6:$B$89,Headcount!$F$6:$F$89,"Executive",Headcount!$H$6:$H$89,"&gt;"&amp;BT3,Headcount!$G$6:$G$89,"&lt;"&amp;BT3)+BT8-BT9),(BS7+BT8-BT9)),SUMIFS(Headcount!$B$6:$B$89,Headcount!$F$6:$F$89,"Executive",Headcount!$H$6:$H$89,"&gt;"&amp;BT3,Headcount!$G$6:$G$89,"&lt;"&amp;BS3))</f>
        <v>2</v>
      </c>
      <c r="BU7" s="781">
        <f>IF(BU4="forecast",IF(BT4="actual",(SUMIFS(Headcount!$B$6:$B$89,Headcount!$F$6:$F$89,"Executive",Headcount!$H$6:$H$89,"&gt;"&amp;BU3,Headcount!$G$6:$G$89,"&lt;"&amp;BU3)+BU8-BU9),(BT7+BU8-BU9)),SUMIFS(Headcount!$B$6:$B$89,Headcount!$F$6:$F$89,"Executive",Headcount!$H$6:$H$89,"&gt;"&amp;BU3,Headcount!$G$6:$G$89,"&lt;"&amp;BT3))</f>
        <v>2</v>
      </c>
      <c r="BV7" s="782">
        <f>IF(BV4="forecast",IF(BU4="actual",(SUMIFS(Headcount!$B$6:$B$89,Headcount!$F$6:$F$89,"Executive",Headcount!$H$6:$H$89,"&gt;"&amp;BV3,Headcount!$G$6:$G$89,"&lt;"&amp;BV3)+BV8-BV9),(BU7+BV8-BV9)),SUMIFS(Headcount!$B$6:$B$89,Headcount!$F$6:$F$89,"Executive",Headcount!$H$6:$H$89,"&gt;"&amp;BV3,Headcount!$G$6:$G$89,"&lt;"&amp;BU3))</f>
        <v>2</v>
      </c>
    </row>
    <row r="8" spans="2:74" x14ac:dyDescent="0.25">
      <c r="B8" s="777" t="s">
        <v>14</v>
      </c>
      <c r="C8" s="781">
        <f>SUMIFS('New Hires Forecast'!$B$5:$B$84,'New Hires Forecast'!$G$5:$G$84,"&gt;"&amp;Exec!B3,'New Hires Forecast'!$G$5:$G$84,"&lt;="&amp;Exec!C3,'New Hires Forecast'!$F$5:$F$84,"Executive")</f>
        <v>0</v>
      </c>
      <c r="D8" s="781">
        <f>SUMIFS('New Hires Forecast'!$B$5:$B$84,'New Hires Forecast'!$G$5:$G$84,"&gt;"&amp;Exec!C3,'New Hires Forecast'!$G$5:$G$84,"&lt;="&amp;Exec!D3,'New Hires Forecast'!$F$5:$F$84,"Executive")</f>
        <v>0</v>
      </c>
      <c r="E8" s="781">
        <f>SUMIFS('New Hires Forecast'!$B$5:$B$84,'New Hires Forecast'!$G$5:$G$84,"&gt;"&amp;Exec!D3,'New Hires Forecast'!$G$5:$G$84,"&lt;="&amp;Exec!E3,'New Hires Forecast'!$F$5:$F$84,"Executive")</f>
        <v>0</v>
      </c>
      <c r="F8" s="781">
        <f>SUMIFS('New Hires Forecast'!$B$5:$B$84,'New Hires Forecast'!$G$5:$G$84,"&gt;"&amp;Exec!E3,'New Hires Forecast'!$G$5:$G$84,"&lt;="&amp;Exec!F3,'New Hires Forecast'!$F$5:$F$84,"Executive")</f>
        <v>0</v>
      </c>
      <c r="G8" s="781">
        <f>SUMIFS('New Hires Forecast'!$B$5:$B$84,'New Hires Forecast'!$G$5:$G$84,"&gt;"&amp;Exec!F3,'New Hires Forecast'!$G$5:$G$84,"&lt;="&amp;Exec!G3,'New Hires Forecast'!$F$5:$F$84,"Executive")</f>
        <v>0</v>
      </c>
      <c r="H8" s="781">
        <f>SUMIFS('New Hires Forecast'!$B$5:$B$84,'New Hires Forecast'!$G$5:$G$84,"&gt;"&amp;Exec!G3,'New Hires Forecast'!$G$5:$G$84,"&lt;="&amp;Exec!H3,'New Hires Forecast'!$F$5:$F$84,"Executive")</f>
        <v>0</v>
      </c>
      <c r="I8" s="781">
        <f>SUMIFS('New Hires Forecast'!$B$5:$B$84,'New Hires Forecast'!$G$5:$G$84,"&gt;"&amp;Exec!H3,'New Hires Forecast'!$G$5:$G$84,"&lt;="&amp;Exec!I3,'New Hires Forecast'!$F$5:$F$84,"Executive")</f>
        <v>0</v>
      </c>
      <c r="J8" s="781">
        <f>SUMIFS('New Hires Forecast'!$B$5:$B$84,'New Hires Forecast'!$G$5:$G$84,"&gt;"&amp;Exec!I3,'New Hires Forecast'!$G$5:$G$84,"&lt;="&amp;Exec!J3,'New Hires Forecast'!$F$5:$F$84,"Executive")</f>
        <v>0</v>
      </c>
      <c r="K8" s="781">
        <f>SUMIFS('New Hires Forecast'!$B$5:$B$84,'New Hires Forecast'!$G$5:$G$84,"&gt;"&amp;Exec!J3,'New Hires Forecast'!$G$5:$G$84,"&lt;="&amp;Exec!K3,'New Hires Forecast'!$F$5:$F$84,"Executive")</f>
        <v>0</v>
      </c>
      <c r="L8" s="781">
        <f>SUMIFS('New Hires Forecast'!$B$5:$B$84,'New Hires Forecast'!$G$5:$G$84,"&gt;"&amp;Exec!K3,'New Hires Forecast'!$G$5:$G$84,"&lt;="&amp;Exec!L3,'New Hires Forecast'!$F$5:$F$84,"Executive")</f>
        <v>0</v>
      </c>
      <c r="M8" s="781">
        <f>SUMIFS('New Hires Forecast'!$B$5:$B$84,'New Hires Forecast'!$G$5:$G$84,"&gt;"&amp;Exec!L3,'New Hires Forecast'!$G$5:$G$84,"&lt;="&amp;Exec!M3,'New Hires Forecast'!$F$5:$F$84,"Executive")</f>
        <v>0</v>
      </c>
      <c r="N8" s="781">
        <f>SUMIFS('New Hires Forecast'!$B$5:$B$84,'New Hires Forecast'!$G$5:$G$84,"&gt;"&amp;Exec!M3,'New Hires Forecast'!$G$5:$G$84,"&lt;="&amp;Exec!N3,'New Hires Forecast'!$F$5:$F$84,"Executive")</f>
        <v>0</v>
      </c>
      <c r="O8" s="781">
        <f>SUMIFS('New Hires Forecast'!$B$5:$B$84,'New Hires Forecast'!$G$5:$G$84,"&gt;"&amp;Exec!N3,'New Hires Forecast'!$G$5:$G$84,"&lt;="&amp;Exec!O3,'New Hires Forecast'!$F$5:$F$84,"Executive")</f>
        <v>0</v>
      </c>
      <c r="P8" s="781">
        <f>SUMIFS('New Hires Forecast'!$B$5:$B$84,'New Hires Forecast'!$G$5:$G$84,"&gt;"&amp;Exec!O3,'New Hires Forecast'!$G$5:$G$84,"&lt;="&amp;Exec!P3,'New Hires Forecast'!$F$5:$F$84,"Executive")</f>
        <v>0</v>
      </c>
      <c r="Q8" s="781">
        <f>SUMIFS('New Hires Forecast'!$B$5:$B$84,'New Hires Forecast'!$G$5:$G$84,"&gt;"&amp;Exec!P3,'New Hires Forecast'!$G$5:$G$84,"&lt;="&amp;Exec!Q3,'New Hires Forecast'!$F$5:$F$84,"Executive")</f>
        <v>0</v>
      </c>
      <c r="R8" s="781">
        <f>SUMIFS('New Hires Forecast'!$B$5:$B$84,'New Hires Forecast'!$G$5:$G$84,"&gt;"&amp;Exec!Q3,'New Hires Forecast'!$G$5:$G$84,"&lt;="&amp;Exec!R3,'New Hires Forecast'!$F$5:$F$84,"Executive")</f>
        <v>0</v>
      </c>
      <c r="S8" s="781">
        <f>SUMIFS('New Hires Forecast'!$B$5:$B$84,'New Hires Forecast'!$G$5:$G$84,"&gt;"&amp;Exec!R3,'New Hires Forecast'!$G$5:$G$84,"&lt;="&amp;Exec!S3,'New Hires Forecast'!$F$5:$F$84,"Executive")</f>
        <v>0</v>
      </c>
      <c r="T8" s="781">
        <f>SUMIFS('New Hires Forecast'!$B$5:$B$84,'New Hires Forecast'!$G$5:$G$84,"&gt;"&amp;Exec!S3,'New Hires Forecast'!$G$5:$G$84,"&lt;="&amp;Exec!T3,'New Hires Forecast'!$F$5:$F$84,"Executive")</f>
        <v>0</v>
      </c>
      <c r="U8" s="781">
        <f>SUMIFS('New Hires Forecast'!$B$5:$B$84,'New Hires Forecast'!$G$5:$G$84,"&gt;"&amp;Exec!T3,'New Hires Forecast'!$G$5:$G$84,"&lt;="&amp;Exec!U3,'New Hires Forecast'!$F$5:$F$84,"Executive")</f>
        <v>0</v>
      </c>
      <c r="V8" s="781">
        <f>SUMIFS('New Hires Forecast'!$B$5:$B$84,'New Hires Forecast'!$G$5:$G$84,"&gt;"&amp;Exec!U3,'New Hires Forecast'!$G$5:$G$84,"&lt;="&amp;Exec!V3,'New Hires Forecast'!$F$5:$F$84,"Executive")</f>
        <v>0</v>
      </c>
      <c r="W8" s="781">
        <f>SUMIFS('New Hires Forecast'!$B$5:$B$84,'New Hires Forecast'!$G$5:$G$84,"&gt;"&amp;Exec!V3,'New Hires Forecast'!$G$5:$G$84,"&lt;="&amp;Exec!W3,'New Hires Forecast'!$F$5:$F$84,"Executive")</f>
        <v>0</v>
      </c>
      <c r="X8" s="781">
        <f>SUMIFS('New Hires Forecast'!$B$5:$B$84,'New Hires Forecast'!$G$5:$G$84,"&gt;"&amp;Exec!W3,'New Hires Forecast'!$G$5:$G$84,"&lt;="&amp;Exec!X3,'New Hires Forecast'!$F$5:$F$84,"Executive")</f>
        <v>0</v>
      </c>
      <c r="Y8" s="781">
        <f>SUMIFS('New Hires Forecast'!$B$5:$B$84,'New Hires Forecast'!$G$5:$G$84,"&gt;"&amp;Exec!X3,'New Hires Forecast'!$G$5:$G$84,"&lt;="&amp;Exec!Y3,'New Hires Forecast'!$F$5:$F$84,"Executive")</f>
        <v>0</v>
      </c>
      <c r="Z8" s="781">
        <f>SUMIFS('New Hires Forecast'!$B$5:$B$84,'New Hires Forecast'!$G$5:$G$84,"&gt;"&amp;Exec!Y3,'New Hires Forecast'!$G$5:$G$84,"&lt;="&amp;Exec!Z3,'New Hires Forecast'!$F$5:$F$84,"Executive")</f>
        <v>0</v>
      </c>
      <c r="AA8" s="781">
        <f>SUMIFS('New Hires Forecast'!$B$5:$B$84,'New Hires Forecast'!$G$5:$G$84,"&gt;"&amp;Exec!Z3,'New Hires Forecast'!$G$5:$G$84,"&lt;="&amp;Exec!AA3,'New Hires Forecast'!$F$5:$F$84,"Executive")</f>
        <v>0</v>
      </c>
      <c r="AB8" s="781">
        <f>SUMIFS('New Hires Forecast'!$B$5:$B$84,'New Hires Forecast'!$G$5:$G$84,"&gt;"&amp;Exec!AA3,'New Hires Forecast'!$G$5:$G$84,"&lt;="&amp;Exec!AB3,'New Hires Forecast'!$F$5:$F$84,"Executive")</f>
        <v>0</v>
      </c>
      <c r="AC8" s="781">
        <f>SUMIFS('New Hires Forecast'!$B$5:$B$84,'New Hires Forecast'!$G$5:$G$84,"&gt;"&amp;Exec!AB3,'New Hires Forecast'!$G$5:$G$84,"&lt;="&amp;Exec!AC3,'New Hires Forecast'!$F$5:$F$84,"Executive")</f>
        <v>0</v>
      </c>
      <c r="AD8" s="781">
        <f>SUMIFS('New Hires Forecast'!$B$5:$B$84,'New Hires Forecast'!$G$5:$G$84,"&gt;"&amp;Exec!AC3,'New Hires Forecast'!$G$5:$G$84,"&lt;="&amp;Exec!AD3,'New Hires Forecast'!$F$5:$F$84,"Executive")</f>
        <v>0</v>
      </c>
      <c r="AE8" s="781">
        <f>SUMIFS('New Hires Forecast'!$B$5:$B$84,'New Hires Forecast'!$G$5:$G$84,"&gt;"&amp;Exec!AD3,'New Hires Forecast'!$G$5:$G$84,"&lt;="&amp;Exec!AE3,'New Hires Forecast'!$F$5:$F$84,"Executive")</f>
        <v>0</v>
      </c>
      <c r="AF8" s="781">
        <f>SUMIFS('New Hires Forecast'!$B$5:$B$84,'New Hires Forecast'!$G$5:$G$84,"&gt;"&amp;Exec!AE3,'New Hires Forecast'!$G$5:$G$84,"&lt;="&amp;Exec!AF3,'New Hires Forecast'!$F$5:$F$84,"Executive")</f>
        <v>0</v>
      </c>
      <c r="AG8" s="781">
        <f>SUMIFS('New Hires Forecast'!$B$5:$B$84,'New Hires Forecast'!$G$5:$G$84,"&gt;"&amp;Exec!AF3,'New Hires Forecast'!$G$5:$G$84,"&lt;="&amp;Exec!AG3,'New Hires Forecast'!$F$5:$F$84,"Executive")</f>
        <v>0</v>
      </c>
      <c r="AH8" s="781">
        <f>SUMIFS('New Hires Forecast'!$B$5:$B$84,'New Hires Forecast'!$G$5:$G$84,"&gt;"&amp;Exec!AG3,'New Hires Forecast'!$G$5:$G$84,"&lt;="&amp;Exec!AH3,'New Hires Forecast'!$F$5:$F$84,"Executive")</f>
        <v>0</v>
      </c>
      <c r="AI8" s="781">
        <f>SUMIFS('New Hires Forecast'!$B$5:$B$84,'New Hires Forecast'!$G$5:$G$84,"&gt;"&amp;Exec!AH3,'New Hires Forecast'!$G$5:$G$84,"&lt;="&amp;Exec!AI3,'New Hires Forecast'!$F$5:$F$84,"Executive")</f>
        <v>0</v>
      </c>
      <c r="AJ8" s="781">
        <f>SUMIFS('New Hires Forecast'!$B$5:$B$84,'New Hires Forecast'!$G$5:$G$84,"&gt;"&amp;Exec!AI3,'New Hires Forecast'!$G$5:$G$84,"&lt;="&amp;Exec!AJ3,'New Hires Forecast'!$F$5:$F$84,"Executive")</f>
        <v>0</v>
      </c>
      <c r="AK8" s="781">
        <f>SUMIFS('New Hires Forecast'!$B$5:$B$84,'New Hires Forecast'!$G$5:$G$84,"&gt;"&amp;Exec!AJ3,'New Hires Forecast'!$G$5:$G$84,"&lt;="&amp;Exec!AK3,'New Hires Forecast'!$F$5:$F$84,"Executive")</f>
        <v>0</v>
      </c>
      <c r="AL8" s="781">
        <f>SUMIFS('New Hires Forecast'!$B$5:$B$84,'New Hires Forecast'!$G$5:$G$84,"&gt;"&amp;Exec!AK3,'New Hires Forecast'!$G$5:$G$84,"&lt;="&amp;Exec!AL3,'New Hires Forecast'!$F$5:$F$84,"Executive")</f>
        <v>0</v>
      </c>
      <c r="AM8" s="781">
        <f>SUMIFS('New Hires Forecast'!$B$5:$B$84,'New Hires Forecast'!$G$5:$G$84,"&gt;"&amp;Exec!AL3,'New Hires Forecast'!$G$5:$G$84,"&lt;="&amp;Exec!AM3,'New Hires Forecast'!$F$5:$F$84,"Executive")</f>
        <v>0</v>
      </c>
      <c r="AN8" s="781">
        <f>SUMIFS('New Hires Forecast'!$B$5:$B$84,'New Hires Forecast'!$G$5:$G$84,"&gt;"&amp;Exec!AM3,'New Hires Forecast'!$G$5:$G$84,"&lt;="&amp;Exec!AN3,'New Hires Forecast'!$F$5:$F$84,"Executive")</f>
        <v>0</v>
      </c>
      <c r="AO8" s="781">
        <f>SUMIFS('New Hires Forecast'!$B$5:$B$84,'New Hires Forecast'!$G$5:$G$84,"&gt;"&amp;Exec!AN3,'New Hires Forecast'!$G$5:$G$84,"&lt;="&amp;Exec!AO3,'New Hires Forecast'!$F$5:$F$84,"Executive")</f>
        <v>0</v>
      </c>
      <c r="AP8" s="781">
        <f>SUMIFS('New Hires Forecast'!$B$5:$B$84,'New Hires Forecast'!$G$5:$G$84,"&gt;"&amp;Exec!AO3,'New Hires Forecast'!$G$5:$G$84,"&lt;="&amp;Exec!AP3,'New Hires Forecast'!$F$5:$F$84,"Executive")</f>
        <v>0</v>
      </c>
      <c r="AQ8" s="781">
        <f>SUMIFS('New Hires Forecast'!$B$5:$B$84,'New Hires Forecast'!$G$5:$G$84,"&gt;"&amp;Exec!AP3,'New Hires Forecast'!$G$5:$G$84,"&lt;="&amp;Exec!AQ3,'New Hires Forecast'!$F$5:$F$84,"Executive")</f>
        <v>0</v>
      </c>
      <c r="AR8" s="781">
        <f>SUMIFS('New Hires Forecast'!$B$5:$B$84,'New Hires Forecast'!$G$5:$G$84,"&gt;"&amp;Exec!AQ3,'New Hires Forecast'!$G$5:$G$84,"&lt;="&amp;Exec!AR3,'New Hires Forecast'!$F$5:$F$84,"Executive")</f>
        <v>0</v>
      </c>
      <c r="AS8" s="781">
        <f>SUMIFS('New Hires Forecast'!$B$5:$B$84,'New Hires Forecast'!$G$5:$G$84,"&gt;"&amp;Exec!AR3,'New Hires Forecast'!$G$5:$G$84,"&lt;="&amp;Exec!AS3,'New Hires Forecast'!$F$5:$F$84,"Executive")</f>
        <v>0</v>
      </c>
      <c r="AT8" s="781">
        <f>SUMIFS('New Hires Forecast'!$B$5:$B$84,'New Hires Forecast'!$G$5:$G$84,"&gt;"&amp;Exec!AS3,'New Hires Forecast'!$G$5:$G$84,"&lt;="&amp;Exec!AT3,'New Hires Forecast'!$F$5:$F$84,"Executive")</f>
        <v>0</v>
      </c>
      <c r="AU8" s="781">
        <f>SUMIFS('New Hires Forecast'!$B$5:$B$84,'New Hires Forecast'!$G$5:$G$84,"&gt;"&amp;Exec!AT3,'New Hires Forecast'!$G$5:$G$84,"&lt;="&amp;Exec!AU3,'New Hires Forecast'!$F$5:$F$84,"Executive")</f>
        <v>0</v>
      </c>
      <c r="AV8" s="781">
        <f>SUMIFS('New Hires Forecast'!$B$5:$B$84,'New Hires Forecast'!$G$5:$G$84,"&gt;"&amp;Exec!AU3,'New Hires Forecast'!$G$5:$G$84,"&lt;="&amp;Exec!AV3,'New Hires Forecast'!$F$5:$F$84,"Executive")</f>
        <v>0</v>
      </c>
      <c r="AW8" s="781">
        <f>SUMIFS('New Hires Forecast'!$B$5:$B$84,'New Hires Forecast'!$G$5:$G$84,"&gt;"&amp;Exec!AV3,'New Hires Forecast'!$G$5:$G$84,"&lt;="&amp;Exec!AW3,'New Hires Forecast'!$F$5:$F$84,"Executive")</f>
        <v>0</v>
      </c>
      <c r="AX8" s="781">
        <f>SUMIFS('New Hires Forecast'!$B$5:$B$84,'New Hires Forecast'!$G$5:$G$84,"&gt;"&amp;Exec!AW3,'New Hires Forecast'!$G$5:$G$84,"&lt;="&amp;Exec!AX3,'New Hires Forecast'!$F$5:$F$84,"Executive")</f>
        <v>0</v>
      </c>
      <c r="AY8" s="781">
        <f>SUMIFS('New Hires Forecast'!$B$5:$B$84,'New Hires Forecast'!$G$5:$G$84,"&gt;"&amp;Exec!AX3,'New Hires Forecast'!$G$5:$G$84,"&lt;="&amp;Exec!AY3,'New Hires Forecast'!$F$5:$F$84,"Executive")</f>
        <v>0</v>
      </c>
      <c r="AZ8" s="781">
        <f>SUMIFS('New Hires Forecast'!$B$5:$B$84,'New Hires Forecast'!$G$5:$G$84,"&gt;"&amp;Exec!AY3,'New Hires Forecast'!$G$5:$G$84,"&lt;="&amp;Exec!AZ3,'New Hires Forecast'!$F$5:$F$84,"Executive")</f>
        <v>0</v>
      </c>
      <c r="BA8" s="781">
        <f>SUMIFS('New Hires Forecast'!$B$5:$B$84,'New Hires Forecast'!$G$5:$G$84,"&gt;"&amp;Exec!AZ3,'New Hires Forecast'!$G$5:$G$84,"&lt;="&amp;Exec!BA3,'New Hires Forecast'!$F$5:$F$84,"Executive")</f>
        <v>0</v>
      </c>
      <c r="BB8" s="781">
        <f>SUMIFS('New Hires Forecast'!$B$5:$B$84,'New Hires Forecast'!$G$5:$G$84,"&gt;"&amp;Exec!BA3,'New Hires Forecast'!$G$5:$G$84,"&lt;="&amp;Exec!BB3,'New Hires Forecast'!$F$5:$F$84,"Executive")</f>
        <v>0</v>
      </c>
      <c r="BC8" s="781">
        <f>SUMIFS('New Hires Forecast'!$B$5:$B$84,'New Hires Forecast'!$G$5:$G$84,"&gt;"&amp;Exec!BB3,'New Hires Forecast'!$G$5:$G$84,"&lt;="&amp;Exec!BC3,'New Hires Forecast'!$F$5:$F$84,"Executive")</f>
        <v>0</v>
      </c>
      <c r="BD8" s="781">
        <f>SUMIFS('New Hires Forecast'!$B$5:$B$84,'New Hires Forecast'!$G$5:$G$84,"&gt;"&amp;Exec!BC3,'New Hires Forecast'!$G$5:$G$84,"&lt;="&amp;Exec!BD3,'New Hires Forecast'!$F$5:$F$84,"Executive")</f>
        <v>0</v>
      </c>
      <c r="BE8" s="781">
        <f>SUMIFS('New Hires Forecast'!$B$5:$B$84,'New Hires Forecast'!$G$5:$G$84,"&gt;"&amp;Exec!BD3,'New Hires Forecast'!$G$5:$G$84,"&lt;="&amp;Exec!BE3,'New Hires Forecast'!$F$5:$F$84,"Executive")</f>
        <v>0</v>
      </c>
      <c r="BF8" s="781">
        <f>SUMIFS('New Hires Forecast'!$B$5:$B$84,'New Hires Forecast'!$G$5:$G$84,"&gt;"&amp;Exec!BE3,'New Hires Forecast'!$G$5:$G$84,"&lt;="&amp;Exec!BF3,'New Hires Forecast'!$F$5:$F$84,"Executive")</f>
        <v>0</v>
      </c>
      <c r="BG8" s="781">
        <f>SUMIFS('New Hires Forecast'!$B$5:$B$84,'New Hires Forecast'!$G$5:$G$84,"&gt;"&amp;Exec!BF3,'New Hires Forecast'!$G$5:$G$84,"&lt;="&amp;Exec!BG3,'New Hires Forecast'!$F$5:$F$84,"Executive")</f>
        <v>0</v>
      </c>
      <c r="BH8" s="781">
        <f>SUMIFS('New Hires Forecast'!$B$5:$B$84,'New Hires Forecast'!$G$5:$G$84,"&gt;"&amp;Exec!BG3,'New Hires Forecast'!$G$5:$G$84,"&lt;="&amp;Exec!BH3,'New Hires Forecast'!$F$5:$F$84,"Executive")</f>
        <v>0</v>
      </c>
      <c r="BI8" s="781">
        <f>SUMIFS('New Hires Forecast'!$B$5:$B$84,'New Hires Forecast'!$G$5:$G$84,"&gt;"&amp;Exec!BH3,'New Hires Forecast'!$G$5:$G$84,"&lt;="&amp;Exec!BI3,'New Hires Forecast'!$F$5:$F$84,"Executive")</f>
        <v>0</v>
      </c>
      <c r="BJ8" s="781">
        <f>SUMIFS('New Hires Forecast'!$B$5:$B$84,'New Hires Forecast'!$G$5:$G$84,"&gt;"&amp;Exec!BI3,'New Hires Forecast'!$G$5:$G$84,"&lt;="&amp;Exec!BJ3,'New Hires Forecast'!$F$5:$F$84,"Executive")</f>
        <v>0</v>
      </c>
      <c r="BK8" s="781">
        <f>SUMIFS('New Hires Forecast'!$B$5:$B$84,'New Hires Forecast'!$G$5:$G$84,"&gt;"&amp;Exec!BJ3,'New Hires Forecast'!$G$5:$G$84,"&lt;="&amp;Exec!BK3,'New Hires Forecast'!$F$5:$F$84,"Executive")</f>
        <v>0</v>
      </c>
      <c r="BL8" s="781">
        <f>SUMIFS('New Hires Forecast'!$B$5:$B$84,'New Hires Forecast'!$G$5:$G$84,"&gt;"&amp;Exec!BK3,'New Hires Forecast'!$G$5:$G$84,"&lt;="&amp;Exec!BL3,'New Hires Forecast'!$F$5:$F$84,"Executive")</f>
        <v>0</v>
      </c>
      <c r="BM8" s="781">
        <f>SUMIFS('New Hires Forecast'!$B$5:$B$84,'New Hires Forecast'!$G$5:$G$84,"&gt;"&amp;Exec!BL3,'New Hires Forecast'!$G$5:$G$84,"&lt;="&amp;Exec!BM3,'New Hires Forecast'!$F$5:$F$84,"Executive")</f>
        <v>0</v>
      </c>
      <c r="BN8" s="781">
        <f>SUMIFS('New Hires Forecast'!$B$5:$B$84,'New Hires Forecast'!$G$5:$G$84,"&gt;"&amp;Exec!BM3,'New Hires Forecast'!$G$5:$G$84,"&lt;="&amp;Exec!BN3,'New Hires Forecast'!$F$5:$F$84,"Executive")</f>
        <v>0</v>
      </c>
      <c r="BO8" s="781">
        <f>SUMIFS('New Hires Forecast'!$B$5:$B$84,'New Hires Forecast'!$G$5:$G$84,"&gt;"&amp;Exec!BN3,'New Hires Forecast'!$G$5:$G$84,"&lt;="&amp;Exec!BO3,'New Hires Forecast'!$F$5:$F$84,"Executive")</f>
        <v>0</v>
      </c>
      <c r="BP8" s="781">
        <f>SUMIFS('New Hires Forecast'!$B$5:$B$84,'New Hires Forecast'!$G$5:$G$84,"&gt;"&amp;Exec!BO3,'New Hires Forecast'!$G$5:$G$84,"&lt;="&amp;Exec!BP3,'New Hires Forecast'!$F$5:$F$84,"Executive")</f>
        <v>0</v>
      </c>
      <c r="BQ8" s="781">
        <f>SUMIFS('New Hires Forecast'!$B$5:$B$84,'New Hires Forecast'!$G$5:$G$84,"&gt;"&amp;Exec!BP3,'New Hires Forecast'!$G$5:$G$84,"&lt;="&amp;Exec!BQ3,'New Hires Forecast'!$F$5:$F$84,"Executive")</f>
        <v>0</v>
      </c>
      <c r="BR8" s="781">
        <f>SUMIFS('New Hires Forecast'!$B$5:$B$84,'New Hires Forecast'!$G$5:$G$84,"&gt;"&amp;Exec!BQ3,'New Hires Forecast'!$G$5:$G$84,"&lt;="&amp;Exec!BR3,'New Hires Forecast'!$F$5:$F$84,"Executive")</f>
        <v>0</v>
      </c>
      <c r="BS8" s="781">
        <f>SUMIFS('New Hires Forecast'!$B$5:$B$84,'New Hires Forecast'!$G$5:$G$84,"&gt;"&amp;Exec!BR3,'New Hires Forecast'!$G$5:$G$84,"&lt;="&amp;Exec!BS3,'New Hires Forecast'!$F$5:$F$84,"Executive")</f>
        <v>0</v>
      </c>
      <c r="BT8" s="781">
        <f>SUMIFS('New Hires Forecast'!$B$5:$B$84,'New Hires Forecast'!$G$5:$G$84,"&gt;"&amp;Exec!BS3,'New Hires Forecast'!$G$5:$G$84,"&lt;="&amp;Exec!BT3,'New Hires Forecast'!$F$5:$F$84,"Executive")</f>
        <v>0</v>
      </c>
      <c r="BU8" s="781">
        <f>SUMIFS('New Hires Forecast'!$B$5:$B$84,'New Hires Forecast'!$G$5:$G$84,"&gt;"&amp;Exec!BT3,'New Hires Forecast'!$G$5:$G$84,"&lt;="&amp;Exec!BU3,'New Hires Forecast'!$F$5:$F$84,"Executive")</f>
        <v>0</v>
      </c>
      <c r="BV8" s="781">
        <f>SUMIFS('New Hires Forecast'!$B$5:$B$84,'New Hires Forecast'!$G$5:$G$84,"&gt;"&amp;Exec!BU3,'New Hires Forecast'!$G$5:$G$84,"&lt;="&amp;Exec!BV3,'New Hires Forecast'!$F$5:$F$84,"Executive")</f>
        <v>0</v>
      </c>
    </row>
    <row r="9" spans="2:74" x14ac:dyDescent="0.25">
      <c r="B9" s="777" t="s">
        <v>149</v>
      </c>
      <c r="C9" s="781">
        <f>SUMIFS(Headcount!$B$6:$B$88,Headcount!$H$6:$H$88,"&gt;"&amp;B3,Headcount!$H$6:$H$88,"&lt;="&amp;C3,Headcount!$F$6:$F$88,"Executive")</f>
        <v>0</v>
      </c>
      <c r="D9" s="781">
        <f>SUMIFS(Headcount!$B$6:$B$88,Headcount!$H$6:$H$88,"&gt;"&amp;C3,Headcount!$H$6:$H$88,"&lt;="&amp;D3,Headcount!$F$6:$F$88,"Executive")</f>
        <v>0</v>
      </c>
      <c r="E9" s="781">
        <f>SUMIFS(Headcount!$B$6:$B$88,Headcount!$H$6:$H$88,"&gt;"&amp;D3,Headcount!$H$6:$H$88,"&lt;="&amp;E3,Headcount!$F$6:$F$88,"Executive")</f>
        <v>0</v>
      </c>
      <c r="F9" s="781">
        <f>SUMIFS(Headcount!$B$6:$B$88,Headcount!$H$6:$H$88,"&gt;"&amp;E3,Headcount!$H$6:$H$88,"&lt;="&amp;F3,Headcount!$F$6:$F$88,"Executive")</f>
        <v>0</v>
      </c>
      <c r="G9" s="781">
        <f>SUMIFS(Headcount!$B$6:$B$88,Headcount!$H$6:$H$88,"&gt;"&amp;F3,Headcount!$H$6:$H$88,"&lt;="&amp;G3,Headcount!$F$6:$F$88,"Executive")</f>
        <v>0</v>
      </c>
      <c r="H9" s="781">
        <f>SUMIFS(Headcount!$B$6:$B$88,Headcount!$H$6:$H$88,"&gt;"&amp;G3,Headcount!$H$6:$H$88,"&lt;="&amp;H3,Headcount!$F$6:$F$88,"Executive")</f>
        <v>0</v>
      </c>
      <c r="I9" s="781">
        <f>SUMIFS(Headcount!$B$6:$B$88,Headcount!$H$6:$H$88,"&gt;"&amp;H3,Headcount!$H$6:$H$88,"&lt;="&amp;I3,Headcount!$F$6:$F$88,"Executive")</f>
        <v>0</v>
      </c>
      <c r="J9" s="781">
        <f>SUMIFS(Headcount!$B$6:$B$88,Headcount!$H$6:$H$88,"&gt;"&amp;I3,Headcount!$H$6:$H$88,"&lt;="&amp;J3,Headcount!$F$6:$F$88,"Executive")</f>
        <v>0</v>
      </c>
      <c r="K9" s="781">
        <f>SUMIFS(Headcount!$B$6:$B$88,Headcount!$H$6:$H$88,"&gt;"&amp;J3,Headcount!$H$6:$H$88,"&lt;="&amp;K3,Headcount!$F$6:$F$88,"Executive")</f>
        <v>0</v>
      </c>
      <c r="L9" s="781">
        <f>SUMIFS(Headcount!$B$6:$B$88,Headcount!$H$6:$H$88,"&gt;"&amp;K3,Headcount!$H$6:$H$88,"&lt;="&amp;L3,Headcount!$F$6:$F$88,"Executive")</f>
        <v>0</v>
      </c>
      <c r="M9" s="781">
        <f>SUMIFS(Headcount!$B$6:$B$88,Headcount!$H$6:$H$88,"&gt;"&amp;L3,Headcount!$H$6:$H$88,"&lt;="&amp;M3,Headcount!$F$6:$F$88,"Executive")</f>
        <v>0</v>
      </c>
      <c r="N9" s="781">
        <f>SUMIFS(Headcount!$B$6:$B$88,Headcount!$H$6:$H$88,"&gt;"&amp;M3,Headcount!$H$6:$H$88,"&lt;="&amp;N3,Headcount!$F$6:$F$88,"Executive")</f>
        <v>0</v>
      </c>
      <c r="O9" s="781">
        <f>SUMIFS(Headcount!$B$6:$B$88,Headcount!$H$6:$H$88,"&gt;"&amp;N3,Headcount!$H$6:$H$88,"&lt;="&amp;O3,Headcount!$F$6:$F$88,"Executive")</f>
        <v>0</v>
      </c>
      <c r="P9" s="781">
        <f>SUMIFS(Headcount!$B$6:$B$88,Headcount!$H$6:$H$88,"&gt;"&amp;O3,Headcount!$H$6:$H$88,"&lt;="&amp;P3,Headcount!$F$6:$F$88,"Executive")</f>
        <v>0</v>
      </c>
      <c r="Q9" s="781">
        <f>SUMIFS(Headcount!$B$6:$B$88,Headcount!$H$6:$H$88,"&gt;"&amp;P3,Headcount!$H$6:$H$88,"&lt;="&amp;Q3,Headcount!$F$6:$F$88,"Executive")</f>
        <v>0</v>
      </c>
      <c r="R9" s="781">
        <f>SUMIFS(Headcount!$B$6:$B$88,Headcount!$H$6:$H$88,"&gt;"&amp;Q3,Headcount!$H$6:$H$88,"&lt;="&amp;R3,Headcount!$F$6:$F$88,"Executive")</f>
        <v>0</v>
      </c>
      <c r="S9" s="781">
        <f>SUMIFS(Headcount!$B$6:$B$88,Headcount!$H$6:$H$88,"&gt;"&amp;R3,Headcount!$H$6:$H$88,"&lt;="&amp;S3,Headcount!$F$6:$F$88,"Executive")</f>
        <v>0</v>
      </c>
      <c r="T9" s="781">
        <f>SUMIFS(Headcount!$B$6:$B$88,Headcount!$H$6:$H$88,"&gt;"&amp;S3,Headcount!$H$6:$H$88,"&lt;="&amp;T3,Headcount!$F$6:$F$88,"Executive")</f>
        <v>0</v>
      </c>
      <c r="U9" s="781">
        <f>SUMIFS(Headcount!$B$6:$B$88,Headcount!$H$6:$H$88,"&gt;"&amp;T3,Headcount!$H$6:$H$88,"&lt;="&amp;U3,Headcount!$F$6:$F$88,"Executive")</f>
        <v>0</v>
      </c>
      <c r="V9" s="781">
        <f>SUMIFS(Headcount!$B$6:$B$88,Headcount!$H$6:$H$88,"&gt;"&amp;U3,Headcount!$H$6:$H$88,"&lt;="&amp;V3,Headcount!$F$6:$F$88,"Executive")</f>
        <v>0</v>
      </c>
      <c r="W9" s="781">
        <f>SUMIFS(Headcount!$B$6:$B$88,Headcount!$H$6:$H$88,"&gt;"&amp;V3,Headcount!$H$6:$H$88,"&lt;="&amp;W3,Headcount!$F$6:$F$88,"Executive")</f>
        <v>0</v>
      </c>
      <c r="X9" s="781">
        <f>SUMIFS(Headcount!$B$6:$B$88,Headcount!$H$6:$H$88,"&gt;"&amp;W3,Headcount!$H$6:$H$88,"&lt;="&amp;X3,Headcount!$F$6:$F$88,"Executive")</f>
        <v>0</v>
      </c>
      <c r="Y9" s="781">
        <f>SUMIFS(Headcount!$B$6:$B$88,Headcount!$H$6:$H$88,"&gt;"&amp;X3,Headcount!$H$6:$H$88,"&lt;="&amp;Y3,Headcount!$F$6:$F$88,"Executive")</f>
        <v>0</v>
      </c>
      <c r="Z9" s="781">
        <f>SUMIFS(Headcount!$B$6:$B$88,Headcount!$H$6:$H$88,"&gt;"&amp;Y3,Headcount!$H$6:$H$88,"&lt;="&amp;Z3,Headcount!$F$6:$F$88,"Executive")</f>
        <v>0</v>
      </c>
      <c r="AA9" s="781">
        <f>SUMIFS(Headcount!$B$6:$B$88,Headcount!$H$6:$H$88,"&gt;"&amp;Z3,Headcount!$H$6:$H$88,"&lt;="&amp;AA3,Headcount!$F$6:$F$88,"Executive")</f>
        <v>0</v>
      </c>
      <c r="AB9" s="781">
        <f>SUMIFS(Headcount!$B$6:$B$88,Headcount!$H$6:$H$88,"&gt;"&amp;AA3,Headcount!$H$6:$H$88,"&lt;="&amp;AB3,Headcount!$F$6:$F$88,"Executive")</f>
        <v>0</v>
      </c>
      <c r="AC9" s="781">
        <f>SUMIFS(Headcount!$B$6:$B$88,Headcount!$H$6:$H$88,"&gt;"&amp;AB3,Headcount!$H$6:$H$88,"&lt;="&amp;AC3,Headcount!$F$6:$F$88,"Executive")</f>
        <v>0</v>
      </c>
      <c r="AD9" s="781">
        <f>SUMIFS(Headcount!$B$6:$B$88,Headcount!$H$6:$H$88,"&gt;"&amp;AC3,Headcount!$H$6:$H$88,"&lt;="&amp;AD3,Headcount!$F$6:$F$88,"Executive")</f>
        <v>0</v>
      </c>
      <c r="AE9" s="781">
        <f>SUMIFS(Headcount!$B$6:$B$88,Headcount!$H$6:$H$88,"&gt;"&amp;AD3,Headcount!$H$6:$H$88,"&lt;="&amp;AE3,Headcount!$F$6:$F$88,"Executive")</f>
        <v>0</v>
      </c>
      <c r="AF9" s="781">
        <f>SUMIFS(Headcount!$B$6:$B$88,Headcount!$H$6:$H$88,"&gt;"&amp;AE3,Headcount!$H$6:$H$88,"&lt;="&amp;AF3,Headcount!$F$6:$F$88,"Executive")</f>
        <v>0</v>
      </c>
      <c r="AG9" s="781">
        <f>SUMIFS(Headcount!$B$6:$B$88,Headcount!$H$6:$H$88,"&gt;"&amp;AF3,Headcount!$H$6:$H$88,"&lt;="&amp;AG3,Headcount!$F$6:$F$88,"Executive")</f>
        <v>0</v>
      </c>
      <c r="AH9" s="781">
        <f>SUMIFS(Headcount!$B$6:$B$88,Headcount!$H$6:$H$88,"&gt;"&amp;AG3,Headcount!$H$6:$H$88,"&lt;="&amp;AH3,Headcount!$F$6:$F$88,"Executive")</f>
        <v>0</v>
      </c>
      <c r="AI9" s="781">
        <f>SUMIFS(Headcount!$B$6:$B$88,Headcount!$H$6:$H$88,"&gt;"&amp;AH3,Headcount!$H$6:$H$88,"&lt;="&amp;AI3,Headcount!$F$6:$F$88,"Executive")</f>
        <v>0</v>
      </c>
      <c r="AJ9" s="781">
        <f>SUMIFS(Headcount!$B$6:$B$88,Headcount!$H$6:$H$88,"&gt;"&amp;AI3,Headcount!$H$6:$H$88,"&lt;="&amp;AJ3,Headcount!$F$6:$F$88,"Executive")</f>
        <v>1</v>
      </c>
      <c r="AK9" s="781">
        <f>SUMIFS(Headcount!$B$6:$B$88,Headcount!$H$6:$H$88,"&gt;"&amp;AJ3,Headcount!$H$6:$H$88,"&lt;="&amp;AK3,Headcount!$F$6:$F$88,"Executive")</f>
        <v>0</v>
      </c>
      <c r="AL9" s="781">
        <f>SUMIFS(Headcount!$B$6:$B$88,Headcount!$H$6:$H$88,"&gt;"&amp;AK3,Headcount!$H$6:$H$88,"&lt;="&amp;AL3,Headcount!$F$6:$F$88,"Executive")</f>
        <v>0</v>
      </c>
      <c r="AM9" s="781">
        <f>SUMIFS(Headcount!$B$6:$B$88,Headcount!$H$6:$H$88,"&gt;"&amp;AL3,Headcount!$H$6:$H$88,"&lt;="&amp;AM3,Headcount!$F$6:$F$88,"Executive")</f>
        <v>0</v>
      </c>
      <c r="AN9" s="781">
        <f>SUMIFS(Headcount!$B$6:$B$88,Headcount!$H$6:$H$88,"&gt;"&amp;AM3,Headcount!$H$6:$H$88,"&lt;="&amp;AN3,Headcount!$F$6:$F$88,"Executive")</f>
        <v>0</v>
      </c>
      <c r="AO9" s="781">
        <f>SUMIFS(Headcount!$B$6:$B$88,Headcount!$H$6:$H$88,"&gt;"&amp;AN3,Headcount!$H$6:$H$88,"&lt;="&amp;AO3,Headcount!$F$6:$F$88,"Executive")</f>
        <v>0</v>
      </c>
      <c r="AP9" s="781">
        <f>SUMIFS(Headcount!$B$6:$B$88,Headcount!$H$6:$H$88,"&gt;"&amp;AO3,Headcount!$H$6:$H$88,"&lt;="&amp;AP3,Headcount!$F$6:$F$88,"Executive")</f>
        <v>0</v>
      </c>
      <c r="AQ9" s="781">
        <f>SUMIFS(Headcount!$B$6:$B$88,Headcount!$H$6:$H$88,"&gt;"&amp;AP3,Headcount!$H$6:$H$88,"&lt;="&amp;AQ3,Headcount!$F$6:$F$88,"Executive")</f>
        <v>0</v>
      </c>
      <c r="AR9" s="781">
        <f>SUMIFS(Headcount!$B$6:$B$88,Headcount!$H$6:$H$88,"&gt;"&amp;AQ3,Headcount!$H$6:$H$88,"&lt;="&amp;AR3,Headcount!$F$6:$F$88,"Executive")</f>
        <v>0</v>
      </c>
      <c r="AS9" s="781">
        <f>SUMIFS(Headcount!$B$6:$B$88,Headcount!$H$6:$H$88,"&gt;"&amp;AR3,Headcount!$H$6:$H$88,"&lt;="&amp;AS3,Headcount!$F$6:$F$88,"Executive")</f>
        <v>0</v>
      </c>
      <c r="AT9" s="781">
        <f>SUMIFS(Headcount!$B$6:$B$88,Headcount!$H$6:$H$88,"&gt;"&amp;AS3,Headcount!$H$6:$H$88,"&lt;="&amp;AT3,Headcount!$F$6:$F$88,"Executive")</f>
        <v>0</v>
      </c>
      <c r="AU9" s="781">
        <f>SUMIFS(Headcount!$B$6:$B$88,Headcount!$H$6:$H$88,"&gt;"&amp;AT3,Headcount!$H$6:$H$88,"&lt;="&amp;AU3,Headcount!$F$6:$F$88,"Executive")</f>
        <v>0</v>
      </c>
      <c r="AV9" s="781">
        <f>SUMIFS(Headcount!$B$6:$B$88,Headcount!$H$6:$H$88,"&gt;"&amp;AU3,Headcount!$H$6:$H$88,"&lt;="&amp;AV3,Headcount!$F$6:$F$88,"Executive")</f>
        <v>0</v>
      </c>
      <c r="AW9" s="781">
        <f>SUMIFS(Headcount!$B$6:$B$88,Headcount!$H$6:$H$88,"&gt;"&amp;AV3,Headcount!$H$6:$H$88,"&lt;="&amp;AW3,Headcount!$F$6:$F$88,"Executive")</f>
        <v>0</v>
      </c>
      <c r="AX9" s="781">
        <f>SUMIFS(Headcount!$B$6:$B$88,Headcount!$H$6:$H$88,"&gt;"&amp;AW3,Headcount!$H$6:$H$88,"&lt;="&amp;AX3,Headcount!$F$6:$F$88,"Executive")</f>
        <v>0</v>
      </c>
      <c r="AY9" s="781">
        <f>SUMIFS(Headcount!$B$6:$B$88,Headcount!$H$6:$H$88,"&gt;"&amp;AX3,Headcount!$H$6:$H$88,"&lt;="&amp;AY3,Headcount!$F$6:$F$88,"Executive")</f>
        <v>0</v>
      </c>
      <c r="AZ9" s="781">
        <f>SUMIFS(Headcount!$B$6:$B$88,Headcount!$H$6:$H$88,"&gt;"&amp;AY3,Headcount!$H$6:$H$88,"&lt;="&amp;AZ3,Headcount!$F$6:$F$88,"Executive")</f>
        <v>0</v>
      </c>
      <c r="BA9" s="781">
        <f>SUMIFS(Headcount!$B$6:$B$88,Headcount!$H$6:$H$88,"&gt;"&amp;AZ3,Headcount!$H$6:$H$88,"&lt;="&amp;BA3,Headcount!$F$6:$F$88,"Executive")</f>
        <v>0</v>
      </c>
      <c r="BB9" s="781">
        <f>SUMIFS(Headcount!$B$6:$B$88,Headcount!$H$6:$H$88,"&gt;"&amp;BA3,Headcount!$H$6:$H$88,"&lt;="&amp;BB3,Headcount!$F$6:$F$88,"Executive")</f>
        <v>0</v>
      </c>
      <c r="BC9" s="781">
        <f>SUMIFS(Headcount!$B$6:$B$88,Headcount!$H$6:$H$88,"&gt;"&amp;BB3,Headcount!$H$6:$H$88,"&lt;="&amp;BC3,Headcount!$F$6:$F$88,"Executive")</f>
        <v>0</v>
      </c>
      <c r="BD9" s="781">
        <f>SUMIFS(Headcount!$B$6:$B$88,Headcount!$H$6:$H$88,"&gt;"&amp;BC3,Headcount!$H$6:$H$88,"&lt;="&amp;BD3,Headcount!$F$6:$F$88,"Executive")</f>
        <v>0</v>
      </c>
      <c r="BE9" s="781">
        <f>SUMIFS(Headcount!$B$6:$B$88,Headcount!$H$6:$H$88,"&gt;"&amp;BD3,Headcount!$H$6:$H$88,"&lt;="&amp;BE3,Headcount!$F$6:$F$88,"Executive")</f>
        <v>0</v>
      </c>
      <c r="BF9" s="781">
        <f>SUMIFS(Headcount!$B$6:$B$88,Headcount!$H$6:$H$88,"&gt;"&amp;BE3,Headcount!$H$6:$H$88,"&lt;="&amp;BF3,Headcount!$F$6:$F$88,"Executive")</f>
        <v>0</v>
      </c>
      <c r="BG9" s="781">
        <f>SUMIFS(Headcount!$B$6:$B$88,Headcount!$H$6:$H$88,"&gt;"&amp;BF3,Headcount!$H$6:$H$88,"&lt;="&amp;BG3,Headcount!$F$6:$F$88,"Executive")</f>
        <v>0</v>
      </c>
      <c r="BH9" s="781">
        <f>SUMIFS(Headcount!$B$6:$B$88,Headcount!$H$6:$H$88,"&gt;"&amp;BG3,Headcount!$H$6:$H$88,"&lt;="&amp;BH3,Headcount!$F$6:$F$88,"Executive")</f>
        <v>0</v>
      </c>
      <c r="BI9" s="781">
        <f>SUMIFS(Headcount!$B$6:$B$88,Headcount!$H$6:$H$88,"&gt;"&amp;BH3,Headcount!$H$6:$H$88,"&lt;="&amp;BI3,Headcount!$F$6:$F$88,"Executive")</f>
        <v>0</v>
      </c>
      <c r="BJ9" s="781">
        <f>SUMIFS(Headcount!$B$6:$B$88,Headcount!$H$6:$H$88,"&gt;"&amp;BI3,Headcount!$H$6:$H$88,"&lt;="&amp;BJ3,Headcount!$F$6:$F$88,"Executive")</f>
        <v>0</v>
      </c>
      <c r="BK9" s="781">
        <f>SUMIFS(Headcount!$B$6:$B$88,Headcount!$H$6:$H$88,"&gt;"&amp;BJ3,Headcount!$H$6:$H$88,"&lt;="&amp;BK3,Headcount!$F$6:$F$88,"Executive")</f>
        <v>0</v>
      </c>
      <c r="BL9" s="781">
        <f>SUMIFS(Headcount!$B$6:$B$88,Headcount!$H$6:$H$88,"&gt;"&amp;BK3,Headcount!$H$6:$H$88,"&lt;="&amp;BL3,Headcount!$F$6:$F$88,"Executive")</f>
        <v>0</v>
      </c>
      <c r="BM9" s="781">
        <f>SUMIFS(Headcount!$B$6:$B$88,Headcount!$H$6:$H$88,"&gt;"&amp;BL3,Headcount!$H$6:$H$88,"&lt;="&amp;BM3,Headcount!$F$6:$F$88,"Executive")</f>
        <v>0</v>
      </c>
      <c r="BN9" s="781">
        <f>SUMIFS(Headcount!$B$6:$B$88,Headcount!$H$6:$H$88,"&gt;"&amp;BM3,Headcount!$H$6:$H$88,"&lt;="&amp;BN3,Headcount!$F$6:$F$88,"Executive")</f>
        <v>0</v>
      </c>
      <c r="BO9" s="781">
        <f>SUMIFS(Headcount!$B$6:$B$88,Headcount!$H$6:$H$88,"&gt;"&amp;BN3,Headcount!$H$6:$H$88,"&lt;="&amp;BO3,Headcount!$F$6:$F$88,"Executive")</f>
        <v>0</v>
      </c>
      <c r="BP9" s="781">
        <f>SUMIFS(Headcount!$B$6:$B$88,Headcount!$H$6:$H$88,"&gt;"&amp;BO3,Headcount!$H$6:$H$88,"&lt;="&amp;BP3,Headcount!$F$6:$F$88,"Executive")</f>
        <v>0</v>
      </c>
      <c r="BQ9" s="781">
        <f>SUMIFS(Headcount!$B$6:$B$88,Headcount!$H$6:$H$88,"&gt;"&amp;BP3,Headcount!$H$6:$H$88,"&lt;="&amp;BQ3,Headcount!$F$6:$F$88,"Executive")</f>
        <v>0</v>
      </c>
      <c r="BR9" s="781">
        <f>SUMIFS(Headcount!$B$6:$B$88,Headcount!$H$6:$H$88,"&gt;"&amp;BQ3,Headcount!$H$6:$H$88,"&lt;="&amp;BR3,Headcount!$F$6:$F$88,"Executive")</f>
        <v>0</v>
      </c>
      <c r="BS9" s="781">
        <f>SUMIFS(Headcount!$B$6:$B$88,Headcount!$H$6:$H$88,"&gt;"&amp;BR3,Headcount!$H$6:$H$88,"&lt;="&amp;BS3,Headcount!$F$6:$F$88,"Executive")</f>
        <v>0</v>
      </c>
      <c r="BT9" s="781">
        <f>SUMIFS(Headcount!$B$6:$B$88,Headcount!$H$6:$H$88,"&gt;"&amp;BS3,Headcount!$H$6:$H$88,"&lt;="&amp;BT3,Headcount!$F$6:$F$88,"Executive")</f>
        <v>0</v>
      </c>
      <c r="BU9" s="781">
        <f>SUMIFS(Headcount!$B$6:$B$88,Headcount!$H$6:$H$88,"&gt;"&amp;BT3,Headcount!$H$6:$H$88,"&lt;="&amp;BU3,Headcount!$F$6:$F$88,"Executive")</f>
        <v>0</v>
      </c>
      <c r="BV9" s="781">
        <f>SUMIFS(Headcount!$B$6:$B$88,Headcount!$H$6:$H$88,"&gt;"&amp;BU3,Headcount!$H$6:$H$88,"&lt;="&amp;BV3,Headcount!$F$6:$F$88,"Executive")</f>
        <v>0</v>
      </c>
    </row>
    <row r="10" spans="2:74" x14ac:dyDescent="0.25">
      <c r="B10" s="783"/>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784"/>
    </row>
    <row r="11" spans="2:74" x14ac:dyDescent="0.25">
      <c r="B11" s="785" t="s">
        <v>926</v>
      </c>
      <c r="C11" s="786"/>
      <c r="D11" s="786"/>
      <c r="E11" s="786"/>
      <c r="F11" s="786"/>
      <c r="G11" s="786"/>
      <c r="H11" s="786"/>
      <c r="I11" s="786"/>
      <c r="J11" s="786"/>
      <c r="K11" s="786"/>
      <c r="L11" s="786"/>
      <c r="M11" s="786"/>
      <c r="N11" s="786"/>
      <c r="O11" s="787"/>
      <c r="P11" s="787"/>
      <c r="Q11" s="787"/>
      <c r="R11" s="787"/>
      <c r="S11" s="787"/>
      <c r="T11" s="787"/>
      <c r="U11" s="787"/>
      <c r="V11" s="787"/>
      <c r="W11" s="787"/>
      <c r="X11" s="787"/>
      <c r="Y11" s="787"/>
      <c r="Z11" s="787"/>
      <c r="AA11" s="787"/>
      <c r="AB11" s="787"/>
      <c r="AC11" s="787"/>
      <c r="AD11" s="787"/>
      <c r="AE11" s="787"/>
      <c r="AF11" s="787"/>
      <c r="AG11" s="787"/>
      <c r="AH11" s="787"/>
      <c r="AI11" s="787"/>
      <c r="AJ11" s="787"/>
      <c r="AK11" s="787"/>
      <c r="AL11" s="787"/>
      <c r="AM11" s="787"/>
      <c r="AN11" s="787"/>
      <c r="AO11" s="787"/>
      <c r="AP11" s="787"/>
      <c r="AQ11" s="787"/>
      <c r="AR11" s="787"/>
      <c r="AS11" s="787"/>
      <c r="AT11" s="787"/>
      <c r="AU11" s="787"/>
      <c r="AV11" s="787"/>
      <c r="AW11" s="787"/>
      <c r="AX11" s="787"/>
      <c r="AY11" s="787"/>
      <c r="AZ11" s="787"/>
      <c r="BA11" s="787"/>
      <c r="BB11" s="787"/>
      <c r="BC11" s="787"/>
      <c r="BD11" s="787"/>
      <c r="BE11" s="787"/>
      <c r="BF11" s="787"/>
      <c r="BG11" s="787"/>
      <c r="BH11" s="787"/>
      <c r="BI11" s="787"/>
      <c r="BJ11" s="787"/>
      <c r="BK11" s="787"/>
      <c r="BL11" s="787"/>
      <c r="BM11" s="787"/>
      <c r="BN11" s="787"/>
      <c r="BO11" s="787"/>
      <c r="BP11" s="787"/>
      <c r="BQ11" s="787"/>
      <c r="BR11" s="787"/>
      <c r="BS11" s="787"/>
      <c r="BT11" s="787"/>
      <c r="BU11" s="787"/>
      <c r="BV11" s="788"/>
    </row>
    <row r="12" spans="2:74" x14ac:dyDescent="0.25">
      <c r="B12" s="780" t="s">
        <v>927</v>
      </c>
      <c r="C12" s="1139">
        <f>IF(C$4="forecast",IF(YEAR(C$3)=YEAR(Headcount!$N$4),((SUMIFS(Headcount!$N$6:$N$89,Headcount!$F$6:$F$89,"Executive",Headcount!$H$6:$H$89,"&gt;="&amp;Sales!C$3)/12)),IF(YEAR(C$3)=YEAR(Headcount!$O$4),IF((C$5=2),((SUMIFS(Headcount!$O$6:$O$89,Headcount!$F$6:$F$89,"Executive",Headcount!$H$6:$H$89,"&gt;="&amp;Sales!C$3)/12)),B12),IF(YEAR(C$3)=YEAR(Headcount!$P$4),IF((C$5=2),((SUMIFS(Headcount!$P$6:$P$89,Headcount!$F$6:$F$89,"Executive",Headcount!$H$6:$H$89,"&gt;="&amp;Sales!C$3)/12)),B12),IF(YEAR(C$3)=YEAR(Headcount!$Q$4),IF((C$5=2),((SUMIFS(Headcount!$Q$6:$Q$89,Headcount!$F$6:$F$89,"Executive",Headcount!$H$6:$H$89,"&gt;="&amp;Sales!C$3)/12)),B12),IF(YEAR(C$3)=YEAR(Headcount!$R$4),IF((C$5=2),((SUMIFS(Headcount!$R$6:$R$89,Headcount!$F$6:$F$89,"Executive",Headcount!$H$6:$H$89,"&gt;="&amp;Sales!C$3)/12)),B12),"New Year"))))),SUMIF('Dept. Cost Actuals'!$E$7:$E$176,"*salary*",'Dept. Cost Actuals'!G$877:G$1046))</f>
        <v>41153.839999999997</v>
      </c>
      <c r="D12" s="1139">
        <f>IF(D$4="forecast",IF(YEAR(D$3)=YEAR(Headcount!$N$4),((SUMIFS(Headcount!$N$6:$N$89,Headcount!$F$6:$F$89,"Executive",Headcount!$H$6:$H$89,"&gt;="&amp;Sales!D$3)/12)),IF(YEAR(D$3)=YEAR(Headcount!$O$4),IF((D$5=2),((SUMIFS(Headcount!$O$6:$O$89,Headcount!$F$6:$F$89,"Executive",Headcount!$H$6:$H$89,"&gt;="&amp;Sales!D$3)/12)),C12),IF(YEAR(D$3)=YEAR(Headcount!$P$4),IF((D$5=2),((SUMIFS(Headcount!$P$6:$P$89,Headcount!$F$6:$F$89,"Executive",Headcount!$H$6:$H$89,"&gt;="&amp;Sales!D$3)/12)),C12),IF(YEAR(D$3)=YEAR(Headcount!$Q$4),IF((D$5=2),((SUMIFS(Headcount!$Q$6:$Q$89,Headcount!$F$6:$F$89,"Executive",Headcount!$H$6:$H$89,"&gt;="&amp;Sales!D$3)/12)),C12),IF(YEAR(D$3)=YEAR(Headcount!$R$4),IF((D$5=2),((SUMIFS(Headcount!$R$6:$R$89,Headcount!$F$6:$F$89,"Executive",Headcount!$H$6:$H$89,"&gt;="&amp;Sales!D$3)/12)),C12),"New Year"))))),SUMIF('Dept. Cost Actuals'!$E$7:$E$176,"*salary*",'Dept. Cost Actuals'!H$877:H$1046))</f>
        <v>41153.839999999997</v>
      </c>
      <c r="E12" s="1139">
        <f>IF(E$4="forecast",IF(YEAR(E$3)=YEAR(Headcount!$N$4),((SUMIFS(Headcount!$N$6:$N$89,Headcount!$F$6:$F$89,"Executive",Headcount!$H$6:$H$89,"&gt;="&amp;Sales!E$3)/12)),IF(YEAR(E$3)=YEAR(Headcount!$O$4),IF((E$5=2),((SUMIFS(Headcount!$O$6:$O$89,Headcount!$F$6:$F$89,"Executive",Headcount!$H$6:$H$89,"&gt;="&amp;Sales!E$3)/12)),D12),IF(YEAR(E$3)=YEAR(Headcount!$P$4),IF((E$5=2),((SUMIFS(Headcount!$P$6:$P$89,Headcount!$F$6:$F$89,"Executive",Headcount!$H$6:$H$89,"&gt;="&amp;Sales!E$3)/12)),D12),IF(YEAR(E$3)=YEAR(Headcount!$Q$4),IF((E$5=2),((SUMIFS(Headcount!$Q$6:$Q$89,Headcount!$F$6:$F$89,"Executive",Headcount!$H$6:$H$89,"&gt;="&amp;Sales!E$3)/12)),D12),IF(YEAR(E$3)=YEAR(Headcount!$R$4),IF((E$5=2),((SUMIFS(Headcount!$R$6:$R$89,Headcount!$F$6:$F$89,"Executive",Headcount!$H$6:$H$89,"&gt;="&amp;Sales!E$3)/12)),D12),"New Year"))))),SUMIF('Dept. Cost Actuals'!$E$7:$E$176,"*salary*",'Dept. Cost Actuals'!I$877:I$1046))</f>
        <v>41153.839999999997</v>
      </c>
      <c r="F12" s="1139">
        <f>IF(F$4="forecast",IF(YEAR(F$3)=YEAR(Headcount!$N$4),((SUMIFS(Headcount!$N$6:$N$89,Headcount!$F$6:$F$89,"Executive",Headcount!$H$6:$H$89,"&gt;="&amp;Sales!F$3)/12)),IF(YEAR(F$3)=YEAR(Headcount!$O$4),IF((F$5=2),((SUMIFS(Headcount!$O$6:$O$89,Headcount!$F$6:$F$89,"Executive",Headcount!$H$6:$H$89,"&gt;="&amp;Sales!F$3)/12)),E12),IF(YEAR(F$3)=YEAR(Headcount!$P$4),IF((F$5=2),((SUMIFS(Headcount!$P$6:$P$89,Headcount!$F$6:$F$89,"Executive",Headcount!$H$6:$H$89,"&gt;="&amp;Sales!F$3)/12)),E12),IF(YEAR(F$3)=YEAR(Headcount!$Q$4),IF((F$5=2),((SUMIFS(Headcount!$Q$6:$Q$89,Headcount!$F$6:$F$89,"Executive",Headcount!$H$6:$H$89,"&gt;="&amp;Sales!F$3)/12)),E12),IF(YEAR(F$3)=YEAR(Headcount!$R$4),IF((F$5=2),((SUMIFS(Headcount!$R$6:$R$89,Headcount!$F$6:$F$89,"Executive",Headcount!$H$6:$H$89,"&gt;="&amp;Sales!F$3)/12)),E12),"New Year"))))),SUMIF('Dept. Cost Actuals'!$E$7:$E$176,"*salary*",'Dept. Cost Actuals'!J$877:J$1046))</f>
        <v>50615.39</v>
      </c>
      <c r="G12" s="1139">
        <f>IF(G$4="forecast",IF(YEAR(G$3)=YEAR(Headcount!$N$4),((SUMIFS(Headcount!$N$6:$N$89,Headcount!$F$6:$F$89,"Executive",Headcount!$H$6:$H$89,"&gt;="&amp;Sales!G$3)/12)),IF(YEAR(G$3)=YEAR(Headcount!$O$4),IF((G$5=2),((SUMIFS(Headcount!$O$6:$O$89,Headcount!$F$6:$F$89,"Executive",Headcount!$H$6:$H$89,"&gt;="&amp;Sales!G$3)/12)),F12),IF(YEAR(G$3)=YEAR(Headcount!$P$4),IF((G$5=2),((SUMIFS(Headcount!$P$6:$P$89,Headcount!$F$6:$F$89,"Executive",Headcount!$H$6:$H$89,"&gt;="&amp;Sales!G$3)/12)),F12),IF(YEAR(G$3)=YEAR(Headcount!$Q$4),IF((G$5=2),((SUMIFS(Headcount!$Q$6:$Q$89,Headcount!$F$6:$F$89,"Executive",Headcount!$H$6:$H$89,"&gt;="&amp;Sales!G$3)/12)),F12),IF(YEAR(G$3)=YEAR(Headcount!$R$4),IF((G$5=2),((SUMIFS(Headcount!$R$6:$R$89,Headcount!$F$6:$F$89,"Executive",Headcount!$H$6:$H$89,"&gt;="&amp;Sales!G$3)/12)),F12),"New Year"))))),SUMIF('Dept. Cost Actuals'!$E$7:$E$176,"*salary*",'Dept. Cost Actuals'!K$877:K$1046))</f>
        <v>353615.38</v>
      </c>
      <c r="H12" s="1139">
        <f>IF(H$4="forecast",IF(YEAR(H$3)=YEAR(Headcount!$N$4),((SUMIFS(Headcount!$N$6:$N$89,Headcount!$F$6:$F$89,"Executive",Headcount!$H$6:$H$89,"&gt;="&amp;Sales!H$3)/12)),IF(YEAR(H$3)=YEAR(Headcount!$O$4),IF((H$5=2),((SUMIFS(Headcount!$O$6:$O$89,Headcount!$F$6:$F$89,"Executive",Headcount!$H$6:$H$89,"&gt;="&amp;Sales!H$3)/12)),G12),IF(YEAR(H$3)=YEAR(Headcount!$P$4),IF((H$5=2),((SUMIFS(Headcount!$P$6:$P$89,Headcount!$F$6:$F$89,"Executive",Headcount!$H$6:$H$89,"&gt;="&amp;Sales!H$3)/12)),G12),IF(YEAR(H$3)=YEAR(Headcount!$Q$4),IF((H$5=2),((SUMIFS(Headcount!$Q$6:$Q$89,Headcount!$F$6:$F$89,"Executive",Headcount!$H$6:$H$89,"&gt;="&amp;Sales!H$3)/12)),G12),IF(YEAR(H$3)=YEAR(Headcount!$R$4),IF((H$5=2),((SUMIFS(Headcount!$R$6:$R$89,Headcount!$F$6:$F$89,"Executive",Headcount!$H$6:$H$89,"&gt;="&amp;Sales!H$3)/12)),G12),"New Year"))))),SUMIF('Dept. Cost Actuals'!$E$7:$E$176,"*salary*",'Dept. Cost Actuals'!L$877:L$1046))</f>
        <v>67923.070000000007</v>
      </c>
      <c r="I12" s="1139">
        <f>IF(I$4="forecast",IF(YEAR(I$3)=YEAR(Headcount!$N$4),((SUMIFS(Headcount!$N$6:$N$89,Headcount!$F$6:$F$89,"Executive",Headcount!$H$6:$H$89,"&gt;="&amp;Sales!I$3)/12)),IF(YEAR(I$3)=YEAR(Headcount!$O$4),IF((I$5=2),((SUMIFS(Headcount!$O$6:$O$89,Headcount!$F$6:$F$89,"Executive",Headcount!$H$6:$H$89,"&gt;="&amp;Sales!I$3)/12)),H12),IF(YEAR(I$3)=YEAR(Headcount!$P$4),IF((I$5=2),((SUMIFS(Headcount!$P$6:$P$89,Headcount!$F$6:$F$89,"Executive",Headcount!$H$6:$H$89,"&gt;="&amp;Sales!I$3)/12)),H12),IF(YEAR(I$3)=YEAR(Headcount!$Q$4),IF((I$5=2),((SUMIFS(Headcount!$Q$6:$Q$89,Headcount!$F$6:$F$89,"Executive",Headcount!$H$6:$H$89,"&gt;="&amp;Sales!I$3)/12)),H12),IF(YEAR(I$3)=YEAR(Headcount!$R$4),IF((I$5=2),((SUMIFS(Headcount!$R$6:$R$89,Headcount!$F$6:$F$89,"Executive",Headcount!$H$6:$H$89,"&gt;="&amp;Sales!I$3)/12)),H12),"New Year"))))),SUMIF('Dept. Cost Actuals'!$E$7:$E$176,"*salary*",'Dept. Cost Actuals'!M$877:M$1046))</f>
        <v>352934.04</v>
      </c>
      <c r="J12" s="1139">
        <f>IF(J$4="forecast",IF(YEAR(J$3)=YEAR(Headcount!$N$4),((SUMIFS(Headcount!$N$6:$N$89,Headcount!$F$6:$F$89,"Executive",Headcount!$H$6:$H$89,"&gt;="&amp;Sales!J$3)/12)),IF(YEAR(J$3)=YEAR(Headcount!$O$4),IF((J$5=2),((SUMIFS(Headcount!$O$6:$O$89,Headcount!$F$6:$F$89,"Executive",Headcount!$H$6:$H$89,"&gt;="&amp;Sales!J$3)/12)),I12),IF(YEAR(J$3)=YEAR(Headcount!$P$4),IF((J$5=2),((SUMIFS(Headcount!$P$6:$P$89,Headcount!$F$6:$F$89,"Executive",Headcount!$H$6:$H$89,"&gt;="&amp;Sales!J$3)/12)),I12),IF(YEAR(J$3)=YEAR(Headcount!$Q$4),IF((J$5=2),((SUMIFS(Headcount!$Q$6:$Q$89,Headcount!$F$6:$F$89,"Executive",Headcount!$H$6:$H$89,"&gt;="&amp;Sales!J$3)/12)),I12),IF(YEAR(J$3)=YEAR(Headcount!$R$4),IF((J$5=2),((SUMIFS(Headcount!$R$6:$R$89,Headcount!$F$6:$F$89,"Executive",Headcount!$H$6:$H$89,"&gt;="&amp;Sales!J$3)/12)),I12),"New Year"))))),SUMIF('Dept. Cost Actuals'!$E$7:$E$176,"*salary*",'Dept. Cost Actuals'!N$877:N$1046))</f>
        <v>353615.38</v>
      </c>
      <c r="K12" s="1139">
        <f>IF(K$4="forecast",IF(YEAR(K$3)=YEAR(Headcount!$N$4),((SUMIFS(Headcount!$N$6:$N$89,Headcount!$F$6:$F$89,"Executive",Headcount!$H$6:$H$89,"&gt;="&amp;Sales!K$3)/12)),IF(YEAR(K$3)=YEAR(Headcount!$O$4),IF((K$5=2),((SUMIFS(Headcount!$O$6:$O$89,Headcount!$F$6:$F$89,"Executive",Headcount!$H$6:$H$89,"&gt;="&amp;Sales!K$3)/12)),J12),IF(YEAR(K$3)=YEAR(Headcount!$P$4),IF((K$5=2),((SUMIFS(Headcount!$P$6:$P$89,Headcount!$F$6:$F$89,"Executive",Headcount!$H$6:$H$89,"&gt;="&amp;Sales!K$3)/12)),J12),IF(YEAR(K$3)=YEAR(Headcount!$Q$4),IF((K$5=2),((SUMIFS(Headcount!$Q$6:$Q$89,Headcount!$F$6:$F$89,"Executive",Headcount!$H$6:$H$89,"&gt;="&amp;Sales!K$3)/12)),J12),IF(YEAR(K$3)=YEAR(Headcount!$R$4),IF((K$5=2),((SUMIFS(Headcount!$R$6:$R$89,Headcount!$F$6:$F$89,"Executive",Headcount!$H$6:$H$89,"&gt;="&amp;Sales!K$3)/12)),J12),"New Year"))))),SUMIF('Dept. Cost Actuals'!$E$7:$E$176,"*salary*",'Dept. Cost Actuals'!O$877:O$1046))</f>
        <v>53615.380000000005</v>
      </c>
      <c r="L12" s="1139">
        <f>IF(L$4="forecast",IF(YEAR(L$3)=YEAR(Headcount!$N$4),((SUMIFS(Headcount!$N$6:$N$89,Headcount!$F$6:$F$89,"Executive",Headcount!$H$6:$H$89,"&gt;="&amp;Sales!L$3)/12)),IF(YEAR(L$3)=YEAR(Headcount!$O$4),IF((L$5=2),((SUMIFS(Headcount!$O$6:$O$89,Headcount!$F$6:$F$89,"Executive",Headcount!$H$6:$H$89,"&gt;="&amp;Sales!L$3)/12)),K12),IF(YEAR(L$3)=YEAR(Headcount!$P$4),IF((L$5=2),((SUMIFS(Headcount!$P$6:$P$89,Headcount!$F$6:$F$89,"Executive",Headcount!$H$6:$H$89,"&gt;="&amp;Sales!L$3)/12)),K12),IF(YEAR(L$3)=YEAR(Headcount!$Q$4),IF((L$5=2),((SUMIFS(Headcount!$Q$6:$Q$89,Headcount!$F$6:$F$89,"Executive",Headcount!$H$6:$H$89,"&gt;="&amp;Sales!L$3)/12)),K12),IF(YEAR(L$3)=YEAR(Headcount!$R$4),IF((L$5=2),((SUMIFS(Headcount!$R$6:$R$89,Headcount!$F$6:$F$89,"Executive",Headcount!$H$6:$H$89,"&gt;="&amp;Sales!L$3)/12)),K12),"New Year"))))),SUMIF('Dept. Cost Actuals'!$E$7:$E$176,"*salary*",'Dept. Cost Actuals'!P$877:P$1046))</f>
        <v>372908.71</v>
      </c>
      <c r="M12" s="1139">
        <f>IF(M$4="forecast",IF(YEAR(M$3)=YEAR(Headcount!$N$4),((SUMIFS(Headcount!$N$6:$N$89,Headcount!$F$6:$F$89,"Executive",Headcount!$H$6:$H$89,"&gt;="&amp;Sales!M$3)/12)),IF(YEAR(M$3)=YEAR(Headcount!$O$4),IF((M$5=2),((SUMIFS(Headcount!$O$6:$O$89,Headcount!$F$6:$F$89,"Executive",Headcount!$H$6:$H$89,"&gt;="&amp;Sales!M$3)/12)),L12),IF(YEAR(M$3)=YEAR(Headcount!$P$4),IF((M$5=2),((SUMIFS(Headcount!$P$6:$P$89,Headcount!$F$6:$F$89,"Executive",Headcount!$H$6:$H$89,"&gt;="&amp;Sales!M$3)/12)),L12),IF(YEAR(M$3)=YEAR(Headcount!$Q$4),IF((M$5=2),((SUMIFS(Headcount!$Q$6:$Q$89,Headcount!$F$6:$F$89,"Executive",Headcount!$H$6:$H$89,"&gt;="&amp;Sales!M$3)/12)),L12),IF(YEAR(M$3)=YEAR(Headcount!$R$4),IF((M$5=2),((SUMIFS(Headcount!$R$6:$R$89,Headcount!$F$6:$F$89,"Executive",Headcount!$H$6:$H$89,"&gt;="&amp;Sales!M$3)/12)),L12),"New Year"))))),SUMIF('Dept. Cost Actuals'!$E$7:$E$176,"*salary*",'Dept. Cost Actuals'!Q$877:Q$1046))</f>
        <v>147512.07</v>
      </c>
      <c r="N12" s="1139">
        <f>IF(N$4="forecast",IF(YEAR(N$3)=YEAR(Headcount!$N$4),((SUMIFS(Headcount!$N$6:$N$89,Headcount!$F$6:$F$89,"Executive",Headcount!$H$6:$H$89,"&gt;="&amp;Sales!N$3)/12)),IF(YEAR(N$3)=YEAR(Headcount!$O$4),IF((N$5=2),((SUMIFS(Headcount!$O$6:$O$89,Headcount!$F$6:$F$89,"Executive",Headcount!$H$6:$H$89,"&gt;="&amp;Sales!N$3)/12)),M12),IF(YEAR(N$3)=YEAR(Headcount!$P$4),IF((N$5=2),((SUMIFS(Headcount!$P$6:$P$89,Headcount!$F$6:$F$89,"Executive",Headcount!$H$6:$H$89,"&gt;="&amp;Sales!N$3)/12)),M12),IF(YEAR(N$3)=YEAR(Headcount!$Q$4),IF((N$5=2),((SUMIFS(Headcount!$Q$6:$Q$89,Headcount!$F$6:$F$89,"Executive",Headcount!$H$6:$H$89,"&gt;="&amp;Sales!N$3)/12)),M12),IF(YEAR(N$3)=YEAR(Headcount!$R$4),IF((N$5=2),((SUMIFS(Headcount!$R$6:$R$89,Headcount!$F$6:$F$89,"Executive",Headcount!$H$6:$H$89,"&gt;="&amp;Sales!N$3)/12)),M12),"New Year"))))),SUMIF('Dept. Cost Actuals'!$E$7:$E$176,"*salary*",'Dept. Cost Actuals'!R$877:R$1046))</f>
        <v>75442.22</v>
      </c>
      <c r="O12" s="1139">
        <f>IF(O$4="forecast",IF(YEAR(O$3)=YEAR(Headcount!$N$4),((SUMIFS(Headcount!$N$6:$N$89,Headcount!$F$6:$F$89,"Executive",Headcount!$H$6:$H$89,"&gt;="&amp;Sales!O$3)/12)),IF(YEAR(O$3)=YEAR(Headcount!$O$4),IF((O$5=2),((SUMIFS(Headcount!$O$6:$O$89,Headcount!$F$6:$F$89,"Executive",Headcount!$H$6:$H$89,"&gt;="&amp;Sales!O$3)/12)),N12),IF(YEAR(O$3)=YEAR(Headcount!$P$4),IF((O$5=2),((SUMIFS(Headcount!$P$6:$P$89,Headcount!$F$6:$F$89,"Executive",Headcount!$H$6:$H$89,"&gt;="&amp;Sales!O$3)/12)),N12),IF(YEAR(O$3)=YEAR(Headcount!$Q$4),IF((O$5=2),((SUMIFS(Headcount!$Q$6:$Q$89,Headcount!$F$6:$F$89,"Executive",Headcount!$H$6:$H$89,"&gt;="&amp;Sales!O$3)/12)),N12),IF(YEAR(O$3)=YEAR(Headcount!$R$4),IF((O$5=2),((SUMIFS(Headcount!$R$6:$R$89,Headcount!$F$6:$F$89,"Executive",Headcount!$H$6:$H$89,"&gt;="&amp;Sales!O$3)/12)),N12),"New Year"))))),SUMIF('Dept. Cost Actuals'!$E$7:$E$176,"*salary*",'Dept. Cost Actuals'!S$877:S$1046))</f>
        <v>113339.31999999999</v>
      </c>
      <c r="P12" s="1139">
        <f>IF(P$4="forecast",IF(YEAR(P$3)=YEAR(Headcount!$N$4),((SUMIFS(Headcount!$N$6:$N$89,Headcount!$F$6:$F$89,"Executive",Headcount!$H$6:$H$89,"&gt;="&amp;Sales!P$3)/12)),IF(YEAR(P$3)=YEAR(Headcount!$O$4),IF((P$5=2),((SUMIFS(Headcount!$O$6:$O$89,Headcount!$F$6:$F$89,"Executive",Headcount!$H$6:$H$89,"&gt;="&amp;Sales!P$3)/12)),O12),IF(YEAR(P$3)=YEAR(Headcount!$P$4),IF((P$5=2),((SUMIFS(Headcount!$P$6:$P$89,Headcount!$F$6:$F$89,"Executive",Headcount!$H$6:$H$89,"&gt;="&amp;Sales!P$3)/12)),O12),IF(YEAR(P$3)=YEAR(Headcount!$Q$4),IF((P$5=2),((SUMIFS(Headcount!$Q$6:$Q$89,Headcount!$F$6:$F$89,"Executive",Headcount!$H$6:$H$89,"&gt;="&amp;Sales!P$3)/12)),O12),IF(YEAR(P$3)=YEAR(Headcount!$R$4),IF((P$5=2),((SUMIFS(Headcount!$R$6:$R$89,Headcount!$F$6:$F$89,"Executive",Headcount!$H$6:$H$89,"&gt;="&amp;Sales!P$3)/12)),O12),"New Year"))))),SUMIF('Dept. Cost Actuals'!$E$7:$E$176,"*salary*",'Dept. Cost Actuals'!T$877:T$1046))</f>
        <v>111067.02</v>
      </c>
      <c r="Q12" s="1139">
        <f>IF(Q$4="forecast",IF(YEAR(Q$3)=YEAR(Headcount!$N$4),((SUMIFS(Headcount!$N$6:$N$89,Headcount!$F$6:$F$89,"Executive",Headcount!$H$6:$H$89,"&gt;="&amp;Sales!Q$3)/12)),IF(YEAR(Q$3)=YEAR(Headcount!$O$4),IF((Q$5=2),((SUMIFS(Headcount!$O$6:$O$89,Headcount!$F$6:$F$89,"Executive",Headcount!$H$6:$H$89,"&gt;="&amp;Sales!Q$3)/12)),P12),IF(YEAR(Q$3)=YEAR(Headcount!$P$4),IF((Q$5=2),((SUMIFS(Headcount!$P$6:$P$89,Headcount!$F$6:$F$89,"Executive",Headcount!$H$6:$H$89,"&gt;="&amp;Sales!Q$3)/12)),P12),IF(YEAR(Q$3)=YEAR(Headcount!$Q$4),IF((Q$5=2),((SUMIFS(Headcount!$Q$6:$Q$89,Headcount!$F$6:$F$89,"Executive",Headcount!$H$6:$H$89,"&gt;="&amp;Sales!Q$3)/12)),P12),IF(YEAR(Q$3)=YEAR(Headcount!$R$4),IF((Q$5=2),((SUMIFS(Headcount!$R$6:$R$89,Headcount!$F$6:$F$89,"Executive",Headcount!$H$6:$H$89,"&gt;="&amp;Sales!Q$3)/12)),P12),"New Year"))))),SUMIF('Dept. Cost Actuals'!$E$7:$E$176,"*salary*",'Dept. Cost Actuals'!U$877:U$1046))</f>
        <v>96778.82</v>
      </c>
      <c r="R12" s="1139">
        <f>IF(R$4="forecast",IF(YEAR(R$3)=YEAR(Headcount!$N$4),((SUMIFS(Headcount!$N$6:$N$89,Headcount!$F$6:$F$89,"Executive",Headcount!$H$6:$H$89,"&gt;="&amp;Sales!R$3)/12)),IF(YEAR(R$3)=YEAR(Headcount!$O$4),IF((R$5=2),((SUMIFS(Headcount!$O$6:$O$89,Headcount!$F$6:$F$89,"Executive",Headcount!$H$6:$H$89,"&gt;="&amp;Sales!R$3)/12)),Q12),IF(YEAR(R$3)=YEAR(Headcount!$P$4),IF((R$5=2),((SUMIFS(Headcount!$P$6:$P$89,Headcount!$F$6:$F$89,"Executive",Headcount!$H$6:$H$89,"&gt;="&amp;Sales!R$3)/12)),Q12),IF(YEAR(R$3)=YEAR(Headcount!$Q$4),IF((R$5=2),((SUMIFS(Headcount!$Q$6:$Q$89,Headcount!$F$6:$F$89,"Executive",Headcount!$H$6:$H$89,"&gt;="&amp;Sales!R$3)/12)),Q12),IF(YEAR(R$3)=YEAR(Headcount!$R$4),IF((R$5=2),((SUMIFS(Headcount!$R$6:$R$89,Headcount!$F$6:$F$89,"Executive",Headcount!$H$6:$H$89,"&gt;="&amp;Sales!R$3)/12)),Q12),"New Year"))))),SUMIF('Dept. Cost Actuals'!$E$7:$E$176,"*salary*",'Dept. Cost Actuals'!V$877:V$1046))</f>
        <v>103384.57</v>
      </c>
      <c r="S12" s="1139">
        <f>IF(S$4="forecast",IF(YEAR(S$3)=YEAR(Headcount!$N$4),((SUMIFS(Headcount!$N$6:$N$89,Headcount!$F$6:$F$89,"Executive",Headcount!$H$6:$H$89,"&gt;="&amp;Sales!S$3)/12)),IF(YEAR(S$3)=YEAR(Headcount!$O$4),IF((S$5=2),((SUMIFS(Headcount!$O$6:$O$89,Headcount!$F$6:$F$89,"Executive",Headcount!$H$6:$H$89,"&gt;="&amp;Sales!S$3)/12)),R12),IF(YEAR(S$3)=YEAR(Headcount!$P$4),IF((S$5=2),((SUMIFS(Headcount!$P$6:$P$89,Headcount!$F$6:$F$89,"Executive",Headcount!$H$6:$H$89,"&gt;="&amp;Sales!S$3)/12)),R12),IF(YEAR(S$3)=YEAR(Headcount!$Q$4),IF((S$5=2),((SUMIFS(Headcount!$Q$6:$Q$89,Headcount!$F$6:$F$89,"Executive",Headcount!$H$6:$H$89,"&gt;="&amp;Sales!S$3)/12)),R12),IF(YEAR(S$3)=YEAR(Headcount!$R$4),IF((S$5=2),((SUMIFS(Headcount!$R$6:$R$89,Headcount!$F$6:$F$89,"Executive",Headcount!$H$6:$H$89,"&gt;="&amp;Sales!S$3)/12)),R12),"New Year"))))),SUMIF('Dept. Cost Actuals'!$E$7:$E$176,"*salary*",'Dept. Cost Actuals'!W$877:W$1046))</f>
        <v>97307.68</v>
      </c>
      <c r="T12" s="1139">
        <f>IF(T$4="forecast",IF(YEAR(T$3)=YEAR(Headcount!$N$4),((SUMIFS(Headcount!$N$6:$N$89,Headcount!$F$6:$F$89,"Executive",Headcount!$H$6:$H$89,"&gt;="&amp;Sales!T$3)/12)),IF(YEAR(T$3)=YEAR(Headcount!$O$4),IF((T$5=2),((SUMIFS(Headcount!$O$6:$O$89,Headcount!$F$6:$F$89,"Executive",Headcount!$H$6:$H$89,"&gt;="&amp;Sales!T$3)/12)),S12),IF(YEAR(T$3)=YEAR(Headcount!$P$4),IF((T$5=2),((SUMIFS(Headcount!$P$6:$P$89,Headcount!$F$6:$F$89,"Executive",Headcount!$H$6:$H$89,"&gt;="&amp;Sales!T$3)/12)),S12),IF(YEAR(T$3)=YEAR(Headcount!$Q$4),IF((T$5=2),((SUMIFS(Headcount!$Q$6:$Q$89,Headcount!$F$6:$F$89,"Executive",Headcount!$H$6:$H$89,"&gt;="&amp;Sales!T$3)/12)),S12),IF(YEAR(T$3)=YEAR(Headcount!$R$4),IF((T$5=2),((SUMIFS(Headcount!$R$6:$R$89,Headcount!$F$6:$F$89,"Executive",Headcount!$H$6:$H$89,"&gt;="&amp;Sales!T$3)/12)),S12),"New Year"))))),SUMIF('Dept. Cost Actuals'!$E$7:$E$176,"*salary*",'Dept. Cost Actuals'!X$877:X$1046))</f>
        <v>84615.360000000001</v>
      </c>
      <c r="U12" s="1139">
        <f>IF(U$4="forecast",IF(YEAR(U$3)=YEAR(Headcount!$N$4),((SUMIFS(Headcount!$N$6:$N$89,Headcount!$F$6:$F$89,"Executive",Headcount!$H$6:$H$89,"&gt;="&amp;Sales!U$3)/12)),IF(YEAR(U$3)=YEAR(Headcount!$O$4),IF((U$5=2),((SUMIFS(Headcount!$O$6:$O$89,Headcount!$F$6:$F$89,"Executive",Headcount!$H$6:$H$89,"&gt;="&amp;Sales!U$3)/12)),T12),IF(YEAR(U$3)=YEAR(Headcount!$P$4),IF((U$5=2),((SUMIFS(Headcount!$P$6:$P$89,Headcount!$F$6:$F$89,"Executive",Headcount!$H$6:$H$89,"&gt;="&amp;Sales!U$3)/12)),T12),IF(YEAR(U$3)=YEAR(Headcount!$Q$4),IF((U$5=2),((SUMIFS(Headcount!$Q$6:$Q$89,Headcount!$F$6:$F$89,"Executive",Headcount!$H$6:$H$89,"&gt;="&amp;Sales!U$3)/12)),T12),IF(YEAR(U$3)=YEAR(Headcount!$R$4),IF((U$5=2),((SUMIFS(Headcount!$R$6:$R$89,Headcount!$F$6:$F$89,"Executive",Headcount!$H$6:$H$89,"&gt;="&amp;Sales!U$3)/12)),T12),"New Year"))))),SUMIF('Dept. Cost Actuals'!$E$7:$E$176,"*salary*",'Dept. Cost Actuals'!Y$877:Y$1046))</f>
        <v>97307.66</v>
      </c>
      <c r="V12" s="1139">
        <f>IF(V$4="forecast",IF(YEAR(V$3)=YEAR(Headcount!$N$4),((SUMIFS(Headcount!$N$6:$N$89,Headcount!$F$6:$F$89,"Executive",Headcount!$H$6:$H$89,"&gt;="&amp;Sales!V$3)/12)),IF(YEAR(V$3)=YEAR(Headcount!$O$4),IF((V$5=2),((SUMIFS(Headcount!$O$6:$O$89,Headcount!$F$6:$F$89,"Executive",Headcount!$H$6:$H$89,"&gt;="&amp;Sales!V$3)/12)),U12),IF(YEAR(V$3)=YEAR(Headcount!$P$4),IF((V$5=2),((SUMIFS(Headcount!$P$6:$P$89,Headcount!$F$6:$F$89,"Executive",Headcount!$H$6:$H$89,"&gt;="&amp;Sales!V$3)/12)),U12),IF(YEAR(V$3)=YEAR(Headcount!$Q$4),IF((V$5=2),((SUMIFS(Headcount!$Q$6:$Q$89,Headcount!$F$6:$F$89,"Executive",Headcount!$H$6:$H$89,"&gt;="&amp;Sales!V$3)/12)),U12),IF(YEAR(V$3)=YEAR(Headcount!$R$4),IF((V$5=2),((SUMIFS(Headcount!$R$6:$R$89,Headcount!$F$6:$F$89,"Executive",Headcount!$H$6:$H$89,"&gt;="&amp;Sales!V$3)/12)),U12),"New Year"))))),SUMIF('Dept. Cost Actuals'!$E$7:$E$176,"*salary*",'Dept. Cost Actuals'!Z$877:Z$1046))</f>
        <v>93076.9</v>
      </c>
      <c r="W12" s="1139">
        <f>IF(W$4="forecast",IF(YEAR(W$3)=YEAR(Headcount!$N$4),((SUMIFS(Headcount!$N$6:$N$89,Headcount!$F$6:$F$89,"Executive",Headcount!$H$6:$H$89,"&gt;="&amp;Sales!W$3)/12)),IF(YEAR(W$3)=YEAR(Headcount!$O$4),IF((W$5=2),((SUMIFS(Headcount!$O$6:$O$89,Headcount!$F$6:$F$89,"Executive",Headcount!$H$6:$H$89,"&gt;="&amp;Sales!W$3)/12)),V12),IF(YEAR(W$3)=YEAR(Headcount!$P$4),IF((W$5=2),((SUMIFS(Headcount!$P$6:$P$89,Headcount!$F$6:$F$89,"Executive",Headcount!$H$6:$H$89,"&gt;="&amp;Sales!W$3)/12)),V12),IF(YEAR(W$3)=YEAR(Headcount!$Q$4),IF((W$5=2),((SUMIFS(Headcount!$Q$6:$Q$89,Headcount!$F$6:$F$89,"Executive",Headcount!$H$6:$H$89,"&gt;="&amp;Sales!W$3)/12)),V12),IF(YEAR(W$3)=YEAR(Headcount!$R$4),IF((W$5=2),((SUMIFS(Headcount!$R$6:$R$89,Headcount!$F$6:$F$89,"Executive",Headcount!$H$6:$H$89,"&gt;="&amp;Sales!W$3)/12)),V12),"New Year"))))),SUMIF('Dept. Cost Actuals'!$E$7:$E$176,"*salary*",'Dept. Cost Actuals'!AA$877:AA$1046))</f>
        <v>88846.12</v>
      </c>
      <c r="X12" s="1139">
        <f>IF(X$4="forecast",IF(YEAR(X$3)=YEAR(Headcount!$N$4),((SUMIFS(Headcount!$N$6:$N$89,Headcount!$F$6:$F$89,"Executive",Headcount!$H$6:$H$89,"&gt;="&amp;Sales!X$3)/12)),IF(YEAR(X$3)=YEAR(Headcount!$O$4),IF((X$5=2),((SUMIFS(Headcount!$O$6:$O$89,Headcount!$F$6:$F$89,"Executive",Headcount!$H$6:$H$89,"&gt;="&amp;Sales!X$3)/12)),W12),IF(YEAR(X$3)=YEAR(Headcount!$P$4),IF((X$5=2),((SUMIFS(Headcount!$P$6:$P$89,Headcount!$F$6:$F$89,"Executive",Headcount!$H$6:$H$89,"&gt;="&amp;Sales!X$3)/12)),W12),IF(YEAR(X$3)=YEAR(Headcount!$Q$4),IF((X$5=2),((SUMIFS(Headcount!$Q$6:$Q$89,Headcount!$F$6:$F$89,"Executive",Headcount!$H$6:$H$89,"&gt;="&amp;Sales!X$3)/12)),W12),IF(YEAR(X$3)=YEAR(Headcount!$R$4),IF((X$5=2),((SUMIFS(Headcount!$R$6:$R$89,Headcount!$F$6:$F$89,"Executive",Headcount!$H$6:$H$89,"&gt;="&amp;Sales!X$3)/12)),W12),"New Year"))))),SUMIF('Dept. Cost Actuals'!$E$7:$E$176,"*salary*",'Dept. Cost Actuals'!AB$877:AB$1046))</f>
        <v>97307.68</v>
      </c>
      <c r="Y12" s="1139">
        <f>IF(Y$4="forecast",IF(YEAR(Y$3)=YEAR(Headcount!$N$4),((SUMIFS(Headcount!$N$6:$N$89,Headcount!$F$6:$F$89,"Executive",Headcount!$H$6:$H$89,"&gt;="&amp;Sales!Y$3)/12)),IF(YEAR(Y$3)=YEAR(Headcount!$O$4),IF((Y$5=2),((SUMIFS(Headcount!$O$6:$O$89,Headcount!$F$6:$F$89,"Executive",Headcount!$H$6:$H$89,"&gt;="&amp;Sales!Y$3)/12)),X12),IF(YEAR(Y$3)=YEAR(Headcount!$P$4),IF((Y$5=2),((SUMIFS(Headcount!$P$6:$P$89,Headcount!$F$6:$F$89,"Executive",Headcount!$H$6:$H$89,"&gt;="&amp;Sales!Y$3)/12)),X12),IF(YEAR(Y$3)=YEAR(Headcount!$Q$4),IF((Y$5=2),((SUMIFS(Headcount!$Q$6:$Q$89,Headcount!$F$6:$F$89,"Executive",Headcount!$H$6:$H$89,"&gt;="&amp;Sales!Y$3)/12)),X12),IF(YEAR(Y$3)=YEAR(Headcount!$R$4),IF((Y$5=2),((SUMIFS(Headcount!$R$6:$R$89,Headcount!$F$6:$F$89,"Executive",Headcount!$H$6:$H$89,"&gt;="&amp;Sales!Y$3)/12)),X12),"New Year"))))),SUMIF('Dept. Cost Actuals'!$E$7:$E$176,"*salary*",'Dept. Cost Actuals'!AC$877:AC$1046))</f>
        <v>88846.12</v>
      </c>
      <c r="Z12" s="1139">
        <f>IF(Z$4="forecast",IF(YEAR(Z$3)=YEAR(Headcount!$N$4),((SUMIFS(Headcount!$N$6:$N$89,Headcount!$F$6:$F$89,"Executive",Headcount!$H$6:$H$89,"&gt;="&amp;Sales!Z$3)/12)),IF(YEAR(Z$3)=YEAR(Headcount!$O$4),IF((Z$5=2),((SUMIFS(Headcount!$O$6:$O$89,Headcount!$F$6:$F$89,"Executive",Headcount!$H$6:$H$89,"&gt;="&amp;Sales!Z$3)/12)),Y12),IF(YEAR(Z$3)=YEAR(Headcount!$P$4),IF((Z$5=2),((SUMIFS(Headcount!$P$6:$P$89,Headcount!$F$6:$F$89,"Executive",Headcount!$H$6:$H$89,"&gt;="&amp;Sales!Z$3)/12)),Y12),IF(YEAR(Z$3)=YEAR(Headcount!$Q$4),IF((Z$5=2),((SUMIFS(Headcount!$Q$6:$Q$89,Headcount!$F$6:$F$89,"Executive",Headcount!$H$6:$H$89,"&gt;="&amp;Sales!Z$3)/12)),Y12),IF(YEAR(Z$3)=YEAR(Headcount!$R$4),IF((Z$5=2),((SUMIFS(Headcount!$R$6:$R$89,Headcount!$F$6:$F$89,"Executive",Headcount!$H$6:$H$89,"&gt;="&amp;Sales!Z$3)/12)),Y12),"New Year"))))),SUMIF('Dept. Cost Actuals'!$E$7:$E$176,"*salary*",'Dept. Cost Actuals'!AD$877:AD$1046))</f>
        <v>93076.88</v>
      </c>
      <c r="AA12" s="1139">
        <f>IF(AA$4="forecast",IF(YEAR(AA$3)=YEAR(Headcount!$N$4),((SUMIFS(Headcount!$N$6:$N$89,Headcount!$F$6:$F$89,"Executive",Headcount!$H$6:$H$89,"&gt;="&amp;Sales!AA$3)/12)),IF(YEAR(AA$3)=YEAR(Headcount!$O$4),IF((AA$5=2),((SUMIFS(Headcount!$O$6:$O$89,Headcount!$F$6:$F$89,"Executive",Headcount!$H$6:$H$89,"&gt;="&amp;Sales!AA$3)/12)),Z12),IF(YEAR(AA$3)=YEAR(Headcount!$P$4),IF((AA$5=2),((SUMIFS(Headcount!$P$6:$P$89,Headcount!$F$6:$F$89,"Executive",Headcount!$H$6:$H$89,"&gt;="&amp;Sales!AA$3)/12)),Z12),IF(YEAR(AA$3)=YEAR(Headcount!$Q$4),IF((AA$5=2),((SUMIFS(Headcount!$Q$6:$Q$89,Headcount!$F$6:$F$89,"Executive",Headcount!$H$6:$H$89,"&gt;="&amp;Sales!AA$3)/12)),Z12),IF(YEAR(AA$3)=YEAR(Headcount!$R$4),IF((AA$5=2),((SUMIFS(Headcount!$R$6:$R$89,Headcount!$F$6:$F$89,"Executive",Headcount!$H$6:$H$89,"&gt;="&amp;Sales!AA$3)/12)),Z12),"New Year"))))),SUMIF('Dept. Cost Actuals'!$E$7:$E$176,"*salary*",'Dept. Cost Actuals'!AE$877:AE$1046))</f>
        <v>97307.68</v>
      </c>
      <c r="AB12" s="1139">
        <f>IF(AB$4="forecast",IF(YEAR(AB$3)=YEAR(Headcount!$N$4),((SUMIFS(Headcount!$N$6:$N$89,Headcount!$F$6:$F$89,"Executive",Headcount!$H$6:$H$89,"&gt;="&amp;Sales!AB$3)/12)),IF(YEAR(AB$3)=YEAR(Headcount!$O$4),IF((AB$5=2),((SUMIFS(Headcount!$O$6:$O$89,Headcount!$F$6:$F$89,"Executive",Headcount!$H$6:$H$89,"&gt;="&amp;Sales!AB$3)/12)),AA12),IF(YEAR(AB$3)=YEAR(Headcount!$P$4),IF((AB$5=2),((SUMIFS(Headcount!$P$6:$P$89,Headcount!$F$6:$F$89,"Executive",Headcount!$H$6:$H$89,"&gt;="&amp;Sales!AB$3)/12)),AA12),IF(YEAR(AB$3)=YEAR(Headcount!$Q$4),IF((AB$5=2),((SUMIFS(Headcount!$Q$6:$Q$89,Headcount!$F$6:$F$89,"Executive",Headcount!$H$6:$H$89,"&gt;="&amp;Sales!AB$3)/12)),AA12),IF(YEAR(AB$3)=YEAR(Headcount!$R$4),IF((AB$5=2),((SUMIFS(Headcount!$R$6:$R$89,Headcount!$F$6:$F$89,"Executive",Headcount!$H$6:$H$89,"&gt;="&amp;Sales!AB$3)/12)),AA12),"New Year"))))),SUMIF('Dept. Cost Actuals'!$E$7:$E$176,"*salary*",'Dept. Cost Actuals'!AF$877:AF$1046))</f>
        <v>84615.360000000001</v>
      </c>
      <c r="AC12" s="1139">
        <f>IF(AC$4="forecast",IF(YEAR(AC$3)=YEAR(Headcount!$N$4),((SUMIFS(Headcount!$N$6:$N$89,Headcount!$F$6:$F$89,"Executive",Headcount!$H$6:$H$89,"&gt;="&amp;Sales!AC$3)/12)),IF(YEAR(AC$3)=YEAR(Headcount!$O$4),IF((AC$5=2),((SUMIFS(Headcount!$O$6:$O$89,Headcount!$F$6:$F$89,"Executive",Headcount!$H$6:$H$89,"&gt;="&amp;Sales!AC$3)/12)),AB12),IF(YEAR(AC$3)=YEAR(Headcount!$P$4),IF((AC$5=2),((SUMIFS(Headcount!$P$6:$P$89,Headcount!$F$6:$F$89,"Executive",Headcount!$H$6:$H$89,"&gt;="&amp;Sales!AC$3)/12)),AB12),IF(YEAR(AC$3)=YEAR(Headcount!$Q$4),IF((AC$5=2),((SUMIFS(Headcount!$Q$6:$Q$89,Headcount!$F$6:$F$89,"Executive",Headcount!$H$6:$H$89,"&gt;="&amp;Sales!AC$3)/12)),AB12),IF(YEAR(AC$3)=YEAR(Headcount!$R$4),IF((AC$5=2),((SUMIFS(Headcount!$R$6:$R$89,Headcount!$F$6:$F$89,"Executive",Headcount!$H$6:$H$89,"&gt;="&amp;Sales!AC$3)/12)),AB12),"New Year"))))),SUMIF('Dept. Cost Actuals'!$E$7:$E$176,"*salary*",'Dept. Cost Actuals'!AG$877:AG$1046))</f>
        <v>96538.44</v>
      </c>
      <c r="AD12" s="1139">
        <f>((SUMIFS(Headcount!$O$6:$O$89,Headcount!$F$6:$F$89,"Executive",Headcount!$H$6:$H$89,"&gt;="&amp;Sales!AC$3)/12))</f>
        <v>70416.666666666672</v>
      </c>
      <c r="AE12" s="1139">
        <f>((SUMIFS(Headcount!$O$6:$O$89,Headcount!$F$6:$F$89,"Executive",Headcount!$H$6:$H$89,"&gt;="&amp;Sales!AD$3)/12))</f>
        <v>70416.666666666672</v>
      </c>
      <c r="AF12" s="1139">
        <f>((SUMIFS(Headcount!$O$6:$O$89,Headcount!$F$6:$F$89,"Executive",Headcount!$H$6:$H$89,"&gt;="&amp;Sales!AE$3)/12))</f>
        <v>70416.666666666672</v>
      </c>
      <c r="AG12" s="1139">
        <f>((SUMIFS(Headcount!$O$6:$O$89,Headcount!$F$6:$F$89,"Executive",Headcount!$H$6:$H$89,"&gt;="&amp;Sales!AF$3)/12))</f>
        <v>70416.666666666672</v>
      </c>
      <c r="AH12" s="1139">
        <f>((SUMIFS(Headcount!$O$6:$O$89,Headcount!$F$6:$F$89,"Executive",Headcount!$H$6:$H$89,"&gt;="&amp;Sales!AG$3)/12))</f>
        <v>70416.666666666672</v>
      </c>
      <c r="AI12" s="1139">
        <f>((SUMIFS(Headcount!$O$6:$O$89,Headcount!$F$6:$F$89,"Executive",Headcount!$H$6:$H$89,"&gt;="&amp;Sales!AH$3)/12))</f>
        <v>70416.666666666672</v>
      </c>
      <c r="AJ12" s="1139">
        <f>((SUMIFS(Headcount!$O$6:$O$89,Headcount!$F$6:$F$89,"Executive",Headcount!$H$6:$H$89,"&gt;="&amp;Sales!AI$3)/12))</f>
        <v>70416.666666666672</v>
      </c>
      <c r="AK12" s="1139">
        <f>((SUMIFS(Headcount!$O$6:$O$89,Headcount!$F$6:$F$89,"Executive",Headcount!$H$6:$H$89,"&gt;="&amp;Sales!AJ$3)/12))</f>
        <v>70416.666666666672</v>
      </c>
      <c r="AL12" s="1139">
        <f>((SUMIFS(Headcount!$O$6:$O$89,Headcount!$F$6:$F$89,"Executive",Headcount!$H$6:$H$89,"&gt;="&amp;Sales!AK$3)/12))</f>
        <v>47500</v>
      </c>
      <c r="AM12" s="1139">
        <f>IF(AM$4="forecast",IF(YEAR(AM$3)=YEAR(Headcount!$N$4),((SUMIFS(Headcount!$N$6:$N$89,Headcount!$F$6:$F$89,"Executive",Headcount!$H$6:$H$89,"&gt;="&amp;Sales!AM$3)/12)),IF(YEAR(AM$3)=YEAR(Headcount!$O$4),IF((AM$5=2),((SUMIFS(Headcount!$O$6:$O$89,Headcount!$F$6:$F$89,"Executive",Headcount!$H$6:$H$89,"&gt;="&amp;Sales!AM$3)/12)),AL12),IF(YEAR(AM$3)=YEAR(Headcount!$P$4),IF((AM$5=2),((SUMIFS(Headcount!$P$6:$P$89,Headcount!$F$6:$F$89,"Executive",Headcount!$H$6:$H$89,"&gt;="&amp;Sales!AM$3)/12)),AL12),IF(YEAR(AM$3)=YEAR(Headcount!$Q$4),IF((AM$5=2),((SUMIFS(Headcount!$Q$6:$Q$89,Headcount!$F$6:$F$89,"Executive",Headcount!$H$6:$H$89,"&gt;="&amp;Sales!AM$3)/12)),AL12),IF(YEAR(AM$3)=YEAR(Headcount!$R$4),IF((AM$5=2),((SUMIFS(Headcount!$R$6:$R$89,Headcount!$F$6:$F$89,"Executive",Headcount!$H$6:$H$89,"&gt;="&amp;Sales!AM$3)/12)),AL12),"New Year"))))),SUMIF('Dept. Cost Actuals'!$E$7:$E$176,"*salary*",'Dept. Cost Actuals'!AQ$877:AQ$1046))</f>
        <v>47500</v>
      </c>
      <c r="AN12" s="1139">
        <f>IF(AN$4="forecast",IF(YEAR(AN$3)=YEAR(Headcount!$N$4),((SUMIFS(Headcount!$N$6:$N$89,Headcount!$F$6:$F$89,"Executive",Headcount!$H$6:$H$89,"&gt;="&amp;Sales!AN$3)/12)),IF(YEAR(AN$3)=YEAR(Headcount!$O$4),IF((AN$5=2),((SUMIFS(Headcount!$O$6:$O$89,Headcount!$F$6:$F$89,"Executive",Headcount!$H$6:$H$89,"&gt;="&amp;Sales!AN$3)/12)),AM12),IF(YEAR(AN$3)=YEAR(Headcount!$P$4),IF((AN$5=2),((SUMIFS(Headcount!$P$6:$P$89,Headcount!$F$6:$F$89,"Executive",Headcount!$H$6:$H$89,"&gt;="&amp;Sales!AN$3)/12)),AM12),IF(YEAR(AN$3)=YEAR(Headcount!$Q$4),IF((AN$5=2),((SUMIFS(Headcount!$Q$6:$Q$89,Headcount!$F$6:$F$89,"Executive",Headcount!$H$6:$H$89,"&gt;="&amp;Sales!AN$3)/12)),AM12),IF(YEAR(AN$3)=YEAR(Headcount!$R$4),IF((AN$5=2),((SUMIFS(Headcount!$R$6:$R$89,Headcount!$F$6:$F$89,"Executive",Headcount!$H$6:$H$89,"&gt;="&amp;Sales!AN$3)/12)),AM12),"New Year"))))),SUMIF('Dept. Cost Actuals'!$E$7:$E$176,"*salary*",'Dept. Cost Actuals'!AR$877:AR$1046))</f>
        <v>47500</v>
      </c>
      <c r="AO12" s="1139">
        <f>IF(AO$4="forecast",IF(YEAR(AO$3)=YEAR(Headcount!$N$4),((SUMIFS(Headcount!$N$6:$N$89,Headcount!$F$6:$F$89,"Executive",Headcount!$H$6:$H$89,"&gt;="&amp;Sales!AO$3)/12)),IF(YEAR(AO$3)=YEAR(Headcount!$O$4),IF((AO$5=2),((SUMIFS(Headcount!$O$6:$O$89,Headcount!$F$6:$F$89,"Executive",Headcount!$H$6:$H$89,"&gt;="&amp;Sales!AO$3)/12)),AN12),IF(YEAR(AO$3)=YEAR(Headcount!$P$4),IF((AO$5=2),((SUMIFS(Headcount!$P$6:$P$89,Headcount!$F$6:$F$89,"Executive",Headcount!$H$6:$H$89,"&gt;="&amp;Sales!AO$3)/12)),AN12),IF(YEAR(AO$3)=YEAR(Headcount!$Q$4),IF((AO$5=2),((SUMIFS(Headcount!$Q$6:$Q$89,Headcount!$F$6:$F$89,"Executive",Headcount!$H$6:$H$89,"&gt;="&amp;Sales!AO$3)/12)),AN12),IF(YEAR(AO$3)=YEAR(Headcount!$R$4),IF((AO$5=2),((SUMIFS(Headcount!$R$6:$R$89,Headcount!$F$6:$F$89,"Executive",Headcount!$H$6:$H$89,"&gt;="&amp;Sales!AO$3)/12)),AN12),"New Year"))))),SUMIF('Dept. Cost Actuals'!$E$7:$E$176,"*salary*",'Dept. Cost Actuals'!AS$877:AS$1046))</f>
        <v>47500</v>
      </c>
      <c r="AP12" s="1139">
        <f>IF(AP$4="forecast",IF(YEAR(AP$3)=YEAR(Headcount!$N$4),((SUMIFS(Headcount!$N$6:$N$89,Headcount!$F$6:$F$89,"Executive",Headcount!$H$6:$H$89,"&gt;="&amp;Sales!AP$3)/12)),IF(YEAR(AP$3)=YEAR(Headcount!$O$4),IF((AP$5=2),((SUMIFS(Headcount!$O$6:$O$89,Headcount!$F$6:$F$89,"Executive",Headcount!$H$6:$H$89,"&gt;="&amp;Sales!AP$3)/12)),AO12),IF(YEAR(AP$3)=YEAR(Headcount!$P$4),IF((AP$5=2),((SUMIFS(Headcount!$P$6:$P$89,Headcount!$F$6:$F$89,"Executive",Headcount!$H$6:$H$89,"&gt;="&amp;Sales!AP$3)/12)),AO12),IF(YEAR(AP$3)=YEAR(Headcount!$Q$4),IF((AP$5=2),((SUMIFS(Headcount!$Q$6:$Q$89,Headcount!$F$6:$F$89,"Executive",Headcount!$H$6:$H$89,"&gt;="&amp;Sales!AP$3)/12)),AO12),IF(YEAR(AP$3)=YEAR(Headcount!$R$4),IF((AP$5=2),((SUMIFS(Headcount!$R$6:$R$89,Headcount!$F$6:$F$89,"Executive",Headcount!$H$6:$H$89,"&gt;="&amp;Sales!AP$3)/12)),AO12),"New Year"))))),SUMIF('Dept. Cost Actuals'!$E$7:$E$176,"*salary*",'Dept. Cost Actuals'!AT$877:AT$1046))</f>
        <v>47500</v>
      </c>
      <c r="AQ12" s="1139">
        <f>IF(AQ$4="forecast",IF(YEAR(AQ$3)=YEAR(Headcount!$N$4),((SUMIFS(Headcount!$N$6:$N$89,Headcount!$F$6:$F$89,"Executive",Headcount!$H$6:$H$89,"&gt;="&amp;Sales!AQ$3)/12)),IF(YEAR(AQ$3)=YEAR(Headcount!$O$4),IF((AQ$5=2),((SUMIFS(Headcount!$O$6:$O$89,Headcount!$F$6:$F$89,"Executive",Headcount!$H$6:$H$89,"&gt;="&amp;Sales!AQ$3)/12)),AP12),IF(YEAR(AQ$3)=YEAR(Headcount!$P$4),IF((AQ$5=2),((SUMIFS(Headcount!$P$6:$P$89,Headcount!$F$6:$F$89,"Executive",Headcount!$H$6:$H$89,"&gt;="&amp;Sales!AQ$3)/12)),AP12),IF(YEAR(AQ$3)=YEAR(Headcount!$Q$4),IF((AQ$5=2),((SUMIFS(Headcount!$Q$6:$Q$89,Headcount!$F$6:$F$89,"Executive",Headcount!$H$6:$H$89,"&gt;="&amp;Sales!AQ$3)/12)),AP12),IF(YEAR(AQ$3)=YEAR(Headcount!$R$4),IF((AQ$5=2),((SUMIFS(Headcount!$R$6:$R$89,Headcount!$F$6:$F$89,"Executive",Headcount!$H$6:$H$89,"&gt;="&amp;Sales!AQ$3)/12)),AP12),"New Year"))))),SUMIF('Dept. Cost Actuals'!$E$7:$E$176,"*salary*",'Dept. Cost Actuals'!AU$877:AU$1046))</f>
        <v>47500</v>
      </c>
      <c r="AR12" s="1139">
        <f>IF(AR$4="forecast",IF(YEAR(AR$3)=YEAR(Headcount!$N$4),((SUMIFS(Headcount!$N$6:$N$89,Headcount!$F$6:$F$89,"Executive",Headcount!$H$6:$H$89,"&gt;="&amp;Sales!AR$3)/12)),IF(YEAR(AR$3)=YEAR(Headcount!$O$4),IF((AR$5=2),((SUMIFS(Headcount!$O$6:$O$89,Headcount!$F$6:$F$89,"Executive",Headcount!$H$6:$H$89,"&gt;="&amp;Sales!AR$3)/12)),AQ12),IF(YEAR(AR$3)=YEAR(Headcount!$P$4),IF((AR$5=2),((SUMIFS(Headcount!$P$6:$P$89,Headcount!$F$6:$F$89,"Executive",Headcount!$H$6:$H$89,"&gt;="&amp;Sales!AR$3)/12)),AQ12),IF(YEAR(AR$3)=YEAR(Headcount!$Q$4),IF((AR$5=2),((SUMIFS(Headcount!$Q$6:$Q$89,Headcount!$F$6:$F$89,"Executive",Headcount!$H$6:$H$89,"&gt;="&amp;Sales!AR$3)/12)),AQ12),IF(YEAR(AR$3)=YEAR(Headcount!$R$4),IF((AR$5=2),((SUMIFS(Headcount!$R$6:$R$89,Headcount!$F$6:$F$89,"Executive",Headcount!$H$6:$H$89,"&gt;="&amp;Sales!AR$3)/12)),AQ12),"New Year"))))),SUMIF('Dept. Cost Actuals'!$E$7:$E$176,"*salary*",'Dept. Cost Actuals'!AV$877:AV$1046))</f>
        <v>47500</v>
      </c>
      <c r="AS12" s="1139">
        <f>IF(AS$4="forecast",IF(YEAR(AS$3)=YEAR(Headcount!$N$4),((SUMIFS(Headcount!$N$6:$N$89,Headcount!$F$6:$F$89,"Executive",Headcount!$H$6:$H$89,"&gt;="&amp;Sales!AS$3)/12)),IF(YEAR(AS$3)=YEAR(Headcount!$O$4),IF((AS$5=2),((SUMIFS(Headcount!$O$6:$O$89,Headcount!$F$6:$F$89,"Executive",Headcount!$H$6:$H$89,"&gt;="&amp;Sales!AS$3)/12)),AR12),IF(YEAR(AS$3)=YEAR(Headcount!$P$4),IF((AS$5=2),((SUMIFS(Headcount!$P$6:$P$89,Headcount!$F$6:$F$89,"Executive",Headcount!$H$6:$H$89,"&gt;="&amp;Sales!AS$3)/12)),AR12),IF(YEAR(AS$3)=YEAR(Headcount!$Q$4),IF((AS$5=2),((SUMIFS(Headcount!$Q$6:$Q$89,Headcount!$F$6:$F$89,"Executive",Headcount!$H$6:$H$89,"&gt;="&amp;Sales!AS$3)/12)),AR12),IF(YEAR(AS$3)=YEAR(Headcount!$R$4),IF((AS$5=2),((SUMIFS(Headcount!$R$6:$R$89,Headcount!$F$6:$F$89,"Executive",Headcount!$H$6:$H$89,"&gt;="&amp;Sales!AS$3)/12)),AR12),"New Year"))))),SUMIF('Dept. Cost Actuals'!$E$7:$E$176,"*salary*",'Dept. Cost Actuals'!AW$877:AW$1046))</f>
        <v>47500</v>
      </c>
      <c r="AT12" s="1139">
        <f>IF(AT$4="forecast",IF(YEAR(AT$3)=YEAR(Headcount!$N$4),((SUMIFS(Headcount!$N$6:$N$89,Headcount!$F$6:$F$89,"Executive",Headcount!$H$6:$H$89,"&gt;="&amp;Sales!AT$3)/12)),IF(YEAR(AT$3)=YEAR(Headcount!$O$4),IF((AT$5=2),((SUMIFS(Headcount!$O$6:$O$89,Headcount!$F$6:$F$89,"Executive",Headcount!$H$6:$H$89,"&gt;="&amp;Sales!AT$3)/12)),AS12),IF(YEAR(AT$3)=YEAR(Headcount!$P$4),IF((AT$5=2),((SUMIFS(Headcount!$P$6:$P$89,Headcount!$F$6:$F$89,"Executive",Headcount!$H$6:$H$89,"&gt;="&amp;Sales!AT$3)/12)),AS12),IF(YEAR(AT$3)=YEAR(Headcount!$Q$4),IF((AT$5=2),((SUMIFS(Headcount!$Q$6:$Q$89,Headcount!$F$6:$F$89,"Executive",Headcount!$H$6:$H$89,"&gt;="&amp;Sales!AT$3)/12)),AS12),IF(YEAR(AT$3)=YEAR(Headcount!$R$4),IF((AT$5=2),((SUMIFS(Headcount!$R$6:$R$89,Headcount!$F$6:$F$89,"Executive",Headcount!$H$6:$H$89,"&gt;="&amp;Sales!AT$3)/12)),AS12),"New Year"))))),SUMIF('Dept. Cost Actuals'!$E$7:$E$176,"*salary*",'Dept. Cost Actuals'!AX$877:AX$1046))</f>
        <v>47500</v>
      </c>
      <c r="AU12" s="1139">
        <f>IF(AU$4="forecast",IF(YEAR(AU$3)=YEAR(Headcount!$N$4),((SUMIFS(Headcount!$N$6:$N$89,Headcount!$F$6:$F$89,"Executive",Headcount!$H$6:$H$89,"&gt;="&amp;Sales!AU$3)/12)),IF(YEAR(AU$3)=YEAR(Headcount!$O$4),IF((AU$5=2),((SUMIFS(Headcount!$O$6:$O$89,Headcount!$F$6:$F$89,"Executive",Headcount!$H$6:$H$89,"&gt;="&amp;Sales!AU$3)/12)),AT12),IF(YEAR(AU$3)=YEAR(Headcount!$P$4),IF((AU$5=2),((SUMIFS(Headcount!$P$6:$P$89,Headcount!$F$6:$F$89,"Executive",Headcount!$H$6:$H$89,"&gt;="&amp;Sales!AU$3)/12)),AT12),IF(YEAR(AU$3)=YEAR(Headcount!$Q$4),IF((AU$5=2),((SUMIFS(Headcount!$Q$6:$Q$89,Headcount!$F$6:$F$89,"Executive",Headcount!$H$6:$H$89,"&gt;="&amp;Sales!AU$3)/12)),AT12),IF(YEAR(AU$3)=YEAR(Headcount!$R$4),IF((AU$5=2),((SUMIFS(Headcount!$R$6:$R$89,Headcount!$F$6:$F$89,"Executive",Headcount!$H$6:$H$89,"&gt;="&amp;Sales!AU$3)/12)),AT12),"New Year"))))),SUMIF('Dept. Cost Actuals'!$E$7:$E$176,"*salary*",'Dept. Cost Actuals'!AY$877:AY$1046))</f>
        <v>47500</v>
      </c>
      <c r="AV12" s="1139">
        <f>IF(AV$4="forecast",IF(YEAR(AV$3)=YEAR(Headcount!$N$4),((SUMIFS(Headcount!$N$6:$N$89,Headcount!$F$6:$F$89,"Executive",Headcount!$H$6:$H$89,"&gt;="&amp;Sales!AV$3)/12)),IF(YEAR(AV$3)=YEAR(Headcount!$O$4),IF((AV$5=2),((SUMIFS(Headcount!$O$6:$O$89,Headcount!$F$6:$F$89,"Executive",Headcount!$H$6:$H$89,"&gt;="&amp;Sales!AV$3)/12)),AU12),IF(YEAR(AV$3)=YEAR(Headcount!$P$4),IF((AV$5=2),((SUMIFS(Headcount!$P$6:$P$89,Headcount!$F$6:$F$89,"Executive",Headcount!$H$6:$H$89,"&gt;="&amp;Sales!AV$3)/12)),AU12),IF(YEAR(AV$3)=YEAR(Headcount!$Q$4),IF((AV$5=2),((SUMIFS(Headcount!$Q$6:$Q$89,Headcount!$F$6:$F$89,"Executive",Headcount!$H$6:$H$89,"&gt;="&amp;Sales!AV$3)/12)),AU12),IF(YEAR(AV$3)=YEAR(Headcount!$R$4),IF((AV$5=2),((SUMIFS(Headcount!$R$6:$R$89,Headcount!$F$6:$F$89,"Executive",Headcount!$H$6:$H$89,"&gt;="&amp;Sales!AV$3)/12)),AU12),"New Year"))))),SUMIF('Dept. Cost Actuals'!$E$7:$E$176,"*salary*",'Dept. Cost Actuals'!AZ$877:AZ$1046))</f>
        <v>47500</v>
      </c>
      <c r="AW12" s="1139">
        <f>IF(AW$4="forecast",IF(YEAR(AW$3)=YEAR(Headcount!$N$4),((SUMIFS(Headcount!$N$6:$N$89,Headcount!$F$6:$F$89,"Executive",Headcount!$H$6:$H$89,"&gt;="&amp;Sales!AW$3)/12)),IF(YEAR(AW$3)=YEAR(Headcount!$O$4),IF((AW$5=2),((SUMIFS(Headcount!$O$6:$O$89,Headcount!$F$6:$F$89,"Executive",Headcount!$H$6:$H$89,"&gt;="&amp;Sales!AW$3)/12)),AV12),IF(YEAR(AW$3)=YEAR(Headcount!$P$4),IF((AW$5=2),((SUMIFS(Headcount!$P$6:$P$89,Headcount!$F$6:$F$89,"Executive",Headcount!$H$6:$H$89,"&gt;="&amp;Sales!AW$3)/12)),AV12),IF(YEAR(AW$3)=YEAR(Headcount!$Q$4),IF((AW$5=2),((SUMIFS(Headcount!$Q$6:$Q$89,Headcount!$F$6:$F$89,"Executive",Headcount!$H$6:$H$89,"&gt;="&amp;Sales!AW$3)/12)),AV12),IF(YEAR(AW$3)=YEAR(Headcount!$R$4),IF((AW$5=2),((SUMIFS(Headcount!$R$6:$R$89,Headcount!$F$6:$F$89,"Executive",Headcount!$H$6:$H$89,"&gt;="&amp;Sales!AW$3)/12)),AV12),"New Year"))))),SUMIF('Dept. Cost Actuals'!$E$7:$E$176,"*salary*",'Dept. Cost Actuals'!BA$877:BA$1046))</f>
        <v>47500</v>
      </c>
      <c r="AX12" s="1139">
        <f>IF(AX$4="forecast",IF(YEAR(AX$3)=YEAR(Headcount!$N$4),((SUMIFS(Headcount!$N$6:$N$89,Headcount!$F$6:$F$89,"Executive",Headcount!$H$6:$H$89,"&gt;="&amp;Sales!AX$3)/12)),IF(YEAR(AX$3)=YEAR(Headcount!$O$4),IF((AX$5=2),((SUMIFS(Headcount!$O$6:$O$89,Headcount!$F$6:$F$89,"Executive",Headcount!$H$6:$H$89,"&gt;="&amp;Sales!AX$3)/12)),AW12),IF(YEAR(AX$3)=YEAR(Headcount!$P$4),IF((AX$5=2),((SUMIFS(Headcount!$P$6:$P$89,Headcount!$F$6:$F$89,"Executive",Headcount!$H$6:$H$89,"&gt;="&amp;Sales!AX$3)/12)),AW12),IF(YEAR(AX$3)=YEAR(Headcount!$Q$4),IF((AX$5=2),((SUMIFS(Headcount!$Q$6:$Q$89,Headcount!$F$6:$F$89,"Executive",Headcount!$H$6:$H$89,"&gt;="&amp;Sales!AX$3)/12)),AW12),IF(YEAR(AX$3)=YEAR(Headcount!$R$4),IF((AX$5=2),((SUMIFS(Headcount!$R$6:$R$89,Headcount!$F$6:$F$89,"Executive",Headcount!$H$6:$H$89,"&gt;="&amp;Sales!AX$3)/12)),AW12),"New Year"))))),SUMIF('Dept. Cost Actuals'!$E$7:$E$176,"*salary*",'Dept. Cost Actuals'!BB$877:BB$1046))</f>
        <v>47500</v>
      </c>
      <c r="AY12" s="1139">
        <f>IF(AY$4="forecast",IF(YEAR(AY$3)=YEAR(Headcount!$N$4),((SUMIFS(Headcount!$N$6:$N$89,Headcount!$F$6:$F$89,"Executive",Headcount!$H$6:$H$89,"&gt;="&amp;Sales!AY$3)/12)),IF(YEAR(AY$3)=YEAR(Headcount!$O$4),IF((AY$5=2),((SUMIFS(Headcount!$O$6:$O$89,Headcount!$F$6:$F$89,"Executive",Headcount!$H$6:$H$89,"&gt;="&amp;Sales!AY$3)/12)),AX12),IF(YEAR(AY$3)=YEAR(Headcount!$P$4),IF((AY$5=2),((SUMIFS(Headcount!$P$6:$P$89,Headcount!$F$6:$F$89,"Executive",Headcount!$H$6:$H$89,"&gt;="&amp;Sales!AY$3)/12)),AX12),IF(YEAR(AY$3)=YEAR(Headcount!$Q$4),IF((AY$5=2),((SUMIFS(Headcount!$Q$6:$Q$89,Headcount!$F$6:$F$89,"Executive",Headcount!$H$6:$H$89,"&gt;="&amp;Sales!AY$3)/12)),AX12),IF(YEAR(AY$3)=YEAR(Headcount!$R$4),IF((AY$5=2),((SUMIFS(Headcount!$R$6:$R$89,Headcount!$F$6:$F$89,"Executive",Headcount!$H$6:$H$89,"&gt;="&amp;Sales!AY$3)/12)),AX12),"New Year"))))),SUMIF('Dept. Cost Actuals'!$E$7:$E$176,"*salary*",'Dept. Cost Actuals'!BC$877:BC$1046))</f>
        <v>47500</v>
      </c>
      <c r="AZ12" s="1139">
        <f>IF(AZ$4="forecast",IF(YEAR(AZ$3)=YEAR(Headcount!$N$4),((SUMIFS(Headcount!$N$6:$N$89,Headcount!$F$6:$F$89,"Executive",Headcount!$H$6:$H$89,"&gt;="&amp;Sales!AZ$3)/12)),IF(YEAR(AZ$3)=YEAR(Headcount!$O$4),IF((AZ$5=2),((SUMIFS(Headcount!$O$6:$O$89,Headcount!$F$6:$F$89,"Executive",Headcount!$H$6:$H$89,"&gt;="&amp;Sales!AZ$3)/12)),AY12),IF(YEAR(AZ$3)=YEAR(Headcount!$P$4),IF((AZ$5=2),((SUMIFS(Headcount!$P$6:$P$89,Headcount!$F$6:$F$89,"Executive",Headcount!$H$6:$H$89,"&gt;="&amp;Sales!AZ$3)/12)),AY12),IF(YEAR(AZ$3)=YEAR(Headcount!$Q$4),IF((AZ$5=2),((SUMIFS(Headcount!$Q$6:$Q$89,Headcount!$F$6:$F$89,"Executive",Headcount!$H$6:$H$89,"&gt;="&amp;Sales!AZ$3)/12)),AY12),IF(YEAR(AZ$3)=YEAR(Headcount!$R$4),IF((AZ$5=2),((SUMIFS(Headcount!$R$6:$R$89,Headcount!$F$6:$F$89,"Executive",Headcount!$H$6:$H$89,"&gt;="&amp;Sales!AZ$3)/12)),AY12),"New Year"))))),SUMIF('Dept. Cost Actuals'!$E$7:$E$176,"*salary*",'Dept. Cost Actuals'!BD$877:BD$1046))</f>
        <v>47500</v>
      </c>
      <c r="BA12" s="1139">
        <f>IF(BA$4="forecast",IF(YEAR(BA$3)=YEAR(Headcount!$N$4),((SUMIFS(Headcount!$N$6:$N$89,Headcount!$F$6:$F$89,"Executive",Headcount!$H$6:$H$89,"&gt;="&amp;Sales!BA$3)/12)),IF(YEAR(BA$3)=YEAR(Headcount!$O$4),IF((BA$5=2),((SUMIFS(Headcount!$O$6:$O$89,Headcount!$F$6:$F$89,"Executive",Headcount!$H$6:$H$89,"&gt;="&amp;Sales!BA$3)/12)),AZ12),IF(YEAR(BA$3)=YEAR(Headcount!$P$4),IF((BA$5=2),((SUMIFS(Headcount!$P$6:$P$89,Headcount!$F$6:$F$89,"Executive",Headcount!$H$6:$H$89,"&gt;="&amp;Sales!BA$3)/12)),AZ12),IF(YEAR(BA$3)=YEAR(Headcount!$Q$4),IF((BA$5=2),((SUMIFS(Headcount!$Q$6:$Q$89,Headcount!$F$6:$F$89,"Executive",Headcount!$H$6:$H$89,"&gt;="&amp;Sales!BA$3)/12)),AZ12),IF(YEAR(BA$3)=YEAR(Headcount!$R$4),IF((BA$5=2),((SUMIFS(Headcount!$R$6:$R$89,Headcount!$F$6:$F$89,"Executive",Headcount!$H$6:$H$89,"&gt;="&amp;Sales!BA$3)/12)),AZ12),"New Year"))))),SUMIF('Dept. Cost Actuals'!$E$7:$E$176,"*salary*",'Dept. Cost Actuals'!BE$877:BE$1046))</f>
        <v>47500</v>
      </c>
      <c r="BB12" s="1139">
        <f>IF(BB$4="forecast",IF(YEAR(BB$3)=YEAR(Headcount!$N$4),((SUMIFS(Headcount!$N$6:$N$89,Headcount!$F$6:$F$89,"Executive",Headcount!$H$6:$H$89,"&gt;="&amp;Sales!BB$3)/12)),IF(YEAR(BB$3)=YEAR(Headcount!$O$4),IF((BB$5=2),((SUMIFS(Headcount!$O$6:$O$89,Headcount!$F$6:$F$89,"Executive",Headcount!$H$6:$H$89,"&gt;="&amp;Sales!BB$3)/12)),BA12),IF(YEAR(BB$3)=YEAR(Headcount!$P$4),IF((BB$5=2),((SUMIFS(Headcount!$P$6:$P$89,Headcount!$F$6:$F$89,"Executive",Headcount!$H$6:$H$89,"&gt;="&amp;Sales!BB$3)/12)),BA12),IF(YEAR(BB$3)=YEAR(Headcount!$Q$4),IF((BB$5=2),((SUMIFS(Headcount!$Q$6:$Q$89,Headcount!$F$6:$F$89,"Executive",Headcount!$H$6:$H$89,"&gt;="&amp;Sales!BB$3)/12)),BA12),IF(YEAR(BB$3)=YEAR(Headcount!$R$4),IF((BB$5=2),((SUMIFS(Headcount!$R$6:$R$89,Headcount!$F$6:$F$89,"Executive",Headcount!$H$6:$H$89,"&gt;="&amp;Sales!BB$3)/12)),BA12),"New Year"))))),SUMIF('Dept. Cost Actuals'!$E$7:$E$176,"*salary*",'Dept. Cost Actuals'!BF$877:BF$1046))</f>
        <v>47500</v>
      </c>
      <c r="BC12" s="1139">
        <f>IF(BC$4="forecast",IF(YEAR(BC$3)=YEAR(Headcount!$N$4),((SUMIFS(Headcount!$N$6:$N$89,Headcount!$F$6:$F$89,"Executive",Headcount!$H$6:$H$89,"&gt;="&amp;Sales!BC$3)/12)),IF(YEAR(BC$3)=YEAR(Headcount!$O$4),IF((BC$5=2),((SUMIFS(Headcount!$O$6:$O$89,Headcount!$F$6:$F$89,"Executive",Headcount!$H$6:$H$89,"&gt;="&amp;Sales!BC$3)/12)),BB12),IF(YEAR(BC$3)=YEAR(Headcount!$P$4),IF((BC$5=2),((SUMIFS(Headcount!$P$6:$P$89,Headcount!$F$6:$F$89,"Executive",Headcount!$H$6:$H$89,"&gt;="&amp;Sales!BC$3)/12)),BB12),IF(YEAR(BC$3)=YEAR(Headcount!$Q$4),IF((BC$5=2),((SUMIFS(Headcount!$Q$6:$Q$89,Headcount!$F$6:$F$89,"Executive",Headcount!$H$6:$H$89,"&gt;="&amp;Sales!BC$3)/12)),BB12),IF(YEAR(BC$3)=YEAR(Headcount!$R$4),IF((BC$5=2),((SUMIFS(Headcount!$R$6:$R$89,Headcount!$F$6:$F$89,"Executive",Headcount!$H$6:$H$89,"&gt;="&amp;Sales!BC$3)/12)),BB12),"New Year"))))),SUMIF('Dept. Cost Actuals'!$E$7:$E$176,"*salary*",'Dept. Cost Actuals'!BG$877:BG$1046))</f>
        <v>47500</v>
      </c>
      <c r="BD12" s="1139">
        <f>IF(BD$4="forecast",IF(YEAR(BD$3)=YEAR(Headcount!$N$4),((SUMIFS(Headcount!$N$6:$N$89,Headcount!$F$6:$F$89,"Executive",Headcount!$H$6:$H$89,"&gt;="&amp;Sales!BD$3)/12)),IF(YEAR(BD$3)=YEAR(Headcount!$O$4),IF((BD$5=2),((SUMIFS(Headcount!$O$6:$O$89,Headcount!$F$6:$F$89,"Executive",Headcount!$H$6:$H$89,"&gt;="&amp;Sales!BD$3)/12)),BC12),IF(YEAR(BD$3)=YEAR(Headcount!$P$4),IF((BD$5=2),((SUMIFS(Headcount!$P$6:$P$89,Headcount!$F$6:$F$89,"Executive",Headcount!$H$6:$H$89,"&gt;="&amp;Sales!BD$3)/12)),BC12),IF(YEAR(BD$3)=YEAR(Headcount!$Q$4),IF((BD$5=2),((SUMIFS(Headcount!$Q$6:$Q$89,Headcount!$F$6:$F$89,"Executive",Headcount!$H$6:$H$89,"&gt;="&amp;Sales!BD$3)/12)),BC12),IF(YEAR(BD$3)=YEAR(Headcount!$R$4),IF((BD$5=2),((SUMIFS(Headcount!$R$6:$R$89,Headcount!$F$6:$F$89,"Executive",Headcount!$H$6:$H$89,"&gt;="&amp;Sales!BD$3)/12)),BC12),"New Year"))))),SUMIF('Dept. Cost Actuals'!$E$7:$E$176,"*salary*",'Dept. Cost Actuals'!BH$877:BH$1046))</f>
        <v>47500</v>
      </c>
      <c r="BE12" s="1139">
        <f>IF(BE$4="forecast",IF(YEAR(BE$3)=YEAR(Headcount!$N$4),((SUMIFS(Headcount!$N$6:$N$89,Headcount!$F$6:$F$89,"Executive",Headcount!$H$6:$H$89,"&gt;="&amp;Sales!BE$3)/12)),IF(YEAR(BE$3)=YEAR(Headcount!$O$4),IF((BE$5=2),((SUMIFS(Headcount!$O$6:$O$89,Headcount!$F$6:$F$89,"Executive",Headcount!$H$6:$H$89,"&gt;="&amp;Sales!BE$3)/12)),BD12),IF(YEAR(BE$3)=YEAR(Headcount!$P$4),IF((BE$5=2),((SUMIFS(Headcount!$P$6:$P$89,Headcount!$F$6:$F$89,"Executive",Headcount!$H$6:$H$89,"&gt;="&amp;Sales!BE$3)/12)),BD12),IF(YEAR(BE$3)=YEAR(Headcount!$Q$4),IF((BE$5=2),((SUMIFS(Headcount!$Q$6:$Q$89,Headcount!$F$6:$F$89,"Executive",Headcount!$H$6:$H$89,"&gt;="&amp;Sales!BE$3)/12)),BD12),IF(YEAR(BE$3)=YEAR(Headcount!$R$4),IF((BE$5=2),((SUMIFS(Headcount!$R$6:$R$89,Headcount!$F$6:$F$89,"Executive",Headcount!$H$6:$H$89,"&gt;="&amp;Sales!BE$3)/12)),BD12),"New Year"))))),SUMIF('Dept. Cost Actuals'!$E$7:$E$176,"*salary*",'Dept. Cost Actuals'!BI$877:BI$1046))</f>
        <v>47500</v>
      </c>
      <c r="BF12" s="1139">
        <f>IF(BF$4="forecast",IF(YEAR(BF$3)=YEAR(Headcount!$N$4),((SUMIFS(Headcount!$N$6:$N$89,Headcount!$F$6:$F$89,"Executive",Headcount!$H$6:$H$89,"&gt;="&amp;Sales!BF$3)/12)),IF(YEAR(BF$3)=YEAR(Headcount!$O$4),IF((BF$5=2),((SUMIFS(Headcount!$O$6:$O$89,Headcount!$F$6:$F$89,"Executive",Headcount!$H$6:$H$89,"&gt;="&amp;Sales!BF$3)/12)),BE12),IF(YEAR(BF$3)=YEAR(Headcount!$P$4),IF((BF$5=2),((SUMIFS(Headcount!$P$6:$P$89,Headcount!$F$6:$F$89,"Executive",Headcount!$H$6:$H$89,"&gt;="&amp;Sales!BF$3)/12)),BE12),IF(YEAR(BF$3)=YEAR(Headcount!$Q$4),IF((BF$5=2),((SUMIFS(Headcount!$Q$6:$Q$89,Headcount!$F$6:$F$89,"Executive",Headcount!$H$6:$H$89,"&gt;="&amp;Sales!BF$3)/12)),BE12),IF(YEAR(BF$3)=YEAR(Headcount!$R$4),IF((BF$5=2),((SUMIFS(Headcount!$R$6:$R$89,Headcount!$F$6:$F$89,"Executive",Headcount!$H$6:$H$89,"&gt;="&amp;Sales!BF$3)/12)),BE12),"New Year"))))),SUMIF('Dept. Cost Actuals'!$E$7:$E$176,"*salary*",'Dept. Cost Actuals'!BJ$877:BJ$1046))</f>
        <v>47500</v>
      </c>
      <c r="BG12" s="1139">
        <f>IF(BG$4="forecast",IF(YEAR(BG$3)=YEAR(Headcount!$N$4),((SUMIFS(Headcount!$N$6:$N$89,Headcount!$F$6:$F$89,"Executive",Headcount!$H$6:$H$89,"&gt;="&amp;Sales!BG$3)/12)),IF(YEAR(BG$3)=YEAR(Headcount!$O$4),IF((BG$5=2),((SUMIFS(Headcount!$O$6:$O$89,Headcount!$F$6:$F$89,"Executive",Headcount!$H$6:$H$89,"&gt;="&amp;Sales!BG$3)/12)),BF12),IF(YEAR(BG$3)=YEAR(Headcount!$P$4),IF((BG$5=2),((SUMIFS(Headcount!$P$6:$P$89,Headcount!$F$6:$F$89,"Executive",Headcount!$H$6:$H$89,"&gt;="&amp;Sales!BG$3)/12)),BF12),IF(YEAR(BG$3)=YEAR(Headcount!$Q$4),IF((BG$5=2),((SUMIFS(Headcount!$Q$6:$Q$89,Headcount!$F$6:$F$89,"Executive",Headcount!$H$6:$H$89,"&gt;="&amp;Sales!BG$3)/12)),BF12),IF(YEAR(BG$3)=YEAR(Headcount!$R$4),IF((BG$5=2),((SUMIFS(Headcount!$R$6:$R$89,Headcount!$F$6:$F$89,"Executive",Headcount!$H$6:$H$89,"&gt;="&amp;Sales!BG$3)/12)),BF12),"New Year"))))),SUMIF('Dept. Cost Actuals'!$E$7:$E$176,"*salary*",'Dept. Cost Actuals'!BK$877:BK$1046))</f>
        <v>47500</v>
      </c>
      <c r="BH12" s="1139">
        <f>IF(BH$4="forecast",IF(YEAR(BH$3)=YEAR(Headcount!$N$4),((SUMIFS(Headcount!$N$6:$N$89,Headcount!$F$6:$F$89,"Executive",Headcount!$H$6:$H$89,"&gt;="&amp;Sales!BH$3)/12)),IF(YEAR(BH$3)=YEAR(Headcount!$O$4),IF((BH$5=2),((SUMIFS(Headcount!$O$6:$O$89,Headcount!$F$6:$F$89,"Executive",Headcount!$H$6:$H$89,"&gt;="&amp;Sales!BH$3)/12)),BG12),IF(YEAR(BH$3)=YEAR(Headcount!$P$4),IF((BH$5=2),((SUMIFS(Headcount!$P$6:$P$89,Headcount!$F$6:$F$89,"Executive",Headcount!$H$6:$H$89,"&gt;="&amp;Sales!BH$3)/12)),BG12),IF(YEAR(BH$3)=YEAR(Headcount!$Q$4),IF((BH$5=2),((SUMIFS(Headcount!$Q$6:$Q$89,Headcount!$F$6:$F$89,"Executive",Headcount!$H$6:$H$89,"&gt;="&amp;Sales!BH$3)/12)),BG12),IF(YEAR(BH$3)=YEAR(Headcount!$R$4),IF((BH$5=2),((SUMIFS(Headcount!$R$6:$R$89,Headcount!$F$6:$F$89,"Executive",Headcount!$H$6:$H$89,"&gt;="&amp;Sales!BH$3)/12)),BG12),"New Year"))))),SUMIF('Dept. Cost Actuals'!$E$7:$E$176,"*salary*",'Dept. Cost Actuals'!BL$877:BL$1046))</f>
        <v>47500</v>
      </c>
      <c r="BI12" s="1139">
        <f>IF(BI$4="forecast",IF(YEAR(BI$3)=YEAR(Headcount!$N$4),((SUMIFS(Headcount!$N$6:$N$89,Headcount!$F$6:$F$89,"Executive",Headcount!$H$6:$H$89,"&gt;="&amp;Sales!BI$3)/12)),IF(YEAR(BI$3)=YEAR(Headcount!$O$4),IF((BI$5=2),((SUMIFS(Headcount!$O$6:$O$89,Headcount!$F$6:$F$89,"Executive",Headcount!$H$6:$H$89,"&gt;="&amp;Sales!BI$3)/12)),BH12),IF(YEAR(BI$3)=YEAR(Headcount!$P$4),IF((BI$5=2),((SUMIFS(Headcount!$P$6:$P$89,Headcount!$F$6:$F$89,"Executive",Headcount!$H$6:$H$89,"&gt;="&amp;Sales!BI$3)/12)),BH12),IF(YEAR(BI$3)=YEAR(Headcount!$Q$4),IF((BI$5=2),((SUMIFS(Headcount!$Q$6:$Q$89,Headcount!$F$6:$F$89,"Executive",Headcount!$H$6:$H$89,"&gt;="&amp;Sales!BI$3)/12)),BH12),IF(YEAR(BI$3)=YEAR(Headcount!$R$4),IF((BI$5=2),((SUMIFS(Headcount!$R$6:$R$89,Headcount!$F$6:$F$89,"Executive",Headcount!$H$6:$H$89,"&gt;="&amp;Sales!BI$3)/12)),BH12),"New Year"))))),SUMIF('Dept. Cost Actuals'!$E$7:$E$176,"*salary*",'Dept. Cost Actuals'!BM$877:BM$1046))</f>
        <v>47500</v>
      </c>
      <c r="BJ12" s="1139">
        <f>IF(BJ$4="forecast",IF(YEAR(BJ$3)=YEAR(Headcount!$N$4),((SUMIFS(Headcount!$N$6:$N$89,Headcount!$F$6:$F$89,"Executive",Headcount!$H$6:$H$89,"&gt;="&amp;Sales!BJ$3)/12)),IF(YEAR(BJ$3)=YEAR(Headcount!$O$4),IF((BJ$5=2),((SUMIFS(Headcount!$O$6:$O$89,Headcount!$F$6:$F$89,"Executive",Headcount!$H$6:$H$89,"&gt;="&amp;Sales!BJ$3)/12)),BI12),IF(YEAR(BJ$3)=YEAR(Headcount!$P$4),IF((BJ$5=2),((SUMIFS(Headcount!$P$6:$P$89,Headcount!$F$6:$F$89,"Executive",Headcount!$H$6:$H$89,"&gt;="&amp;Sales!BJ$3)/12)),BI12),IF(YEAR(BJ$3)=YEAR(Headcount!$Q$4),IF((BJ$5=2),((SUMIFS(Headcount!$Q$6:$Q$89,Headcount!$F$6:$F$89,"Executive",Headcount!$H$6:$H$89,"&gt;="&amp;Sales!BJ$3)/12)),BI12),IF(YEAR(BJ$3)=YEAR(Headcount!$R$4),IF((BJ$5=2),((SUMIFS(Headcount!$R$6:$R$89,Headcount!$F$6:$F$89,"Executive",Headcount!$H$6:$H$89,"&gt;="&amp;Sales!BJ$3)/12)),BI12),"New Year"))))),SUMIF('Dept. Cost Actuals'!$E$7:$E$176,"*salary*",'Dept. Cost Actuals'!BN$877:BN$1046))</f>
        <v>47500</v>
      </c>
      <c r="BK12" s="1139">
        <f>IF(BK$4="forecast",IF(YEAR(BK$3)=YEAR(Headcount!$N$4),((SUMIFS(Headcount!$N$6:$N$89,Headcount!$F$6:$F$89,"Executive",Headcount!$H$6:$H$89,"&gt;="&amp;Sales!BK$3)/12)),IF(YEAR(BK$3)=YEAR(Headcount!$O$4),IF((BK$5=2),((SUMIFS(Headcount!$O$6:$O$89,Headcount!$F$6:$F$89,"Executive",Headcount!$H$6:$H$89,"&gt;="&amp;Sales!BK$3)/12)),BJ12),IF(YEAR(BK$3)=YEAR(Headcount!$P$4),IF((BK$5=2),((SUMIFS(Headcount!$P$6:$P$89,Headcount!$F$6:$F$89,"Executive",Headcount!$H$6:$H$89,"&gt;="&amp;Sales!BK$3)/12)),BJ12),IF(YEAR(BK$3)=YEAR(Headcount!$Q$4),IF((BK$5=2),((SUMIFS(Headcount!$Q$6:$Q$89,Headcount!$F$6:$F$89,"Executive",Headcount!$H$6:$H$89,"&gt;="&amp;Sales!BK$3)/12)),BJ12),IF(YEAR(BK$3)=YEAR(Headcount!$R$4),IF((BK$5=2),((SUMIFS(Headcount!$R$6:$R$89,Headcount!$F$6:$F$89,"Executive",Headcount!$H$6:$H$89,"&gt;="&amp;Sales!BK$3)/12)),BJ12),"New Year"))))),SUMIF('Dept. Cost Actuals'!$E$7:$E$176,"*salary*",'Dept. Cost Actuals'!BO$877:BO$1046))</f>
        <v>47500</v>
      </c>
      <c r="BL12" s="1139">
        <f>IF(BL$4="forecast",IF(YEAR(BL$3)=YEAR(Headcount!$N$4),((SUMIFS(Headcount!$N$6:$N$89,Headcount!$F$6:$F$89,"Executive",Headcount!$H$6:$H$89,"&gt;="&amp;Sales!BL$3)/12)),IF(YEAR(BL$3)=YEAR(Headcount!$O$4),IF((BL$5=2),((SUMIFS(Headcount!$O$6:$O$89,Headcount!$F$6:$F$89,"Executive",Headcount!$H$6:$H$89,"&gt;="&amp;Sales!BL$3)/12)),BK12),IF(YEAR(BL$3)=YEAR(Headcount!$P$4),IF((BL$5=2),((SUMIFS(Headcount!$P$6:$P$89,Headcount!$F$6:$F$89,"Executive",Headcount!$H$6:$H$89,"&gt;="&amp;Sales!BL$3)/12)),BK12),IF(YEAR(BL$3)=YEAR(Headcount!$Q$4),IF((BL$5=2),((SUMIFS(Headcount!$Q$6:$Q$89,Headcount!$F$6:$F$89,"Executive",Headcount!$H$6:$H$89,"&gt;="&amp;Sales!BL$3)/12)),BK12),IF(YEAR(BL$3)=YEAR(Headcount!$R$4),IF((BL$5=2),((SUMIFS(Headcount!$R$6:$R$89,Headcount!$F$6:$F$89,"Executive",Headcount!$H$6:$H$89,"&gt;="&amp;Sales!BL$3)/12)),BK12),"New Year"))))),SUMIF('Dept. Cost Actuals'!$E$7:$E$176,"*salary*",'Dept. Cost Actuals'!BP$877:BP$1046))</f>
        <v>47500</v>
      </c>
      <c r="BM12" s="1139">
        <f>IF(BM$4="forecast",IF(YEAR(BM$3)=YEAR(Headcount!$N$4),((SUMIFS(Headcount!$N$6:$N$89,Headcount!$F$6:$F$89,"Executive",Headcount!$H$6:$H$89,"&gt;="&amp;Sales!BM$3)/12)),IF(YEAR(BM$3)=YEAR(Headcount!$O$4),IF((BM$5=2),((SUMIFS(Headcount!$O$6:$O$89,Headcount!$F$6:$F$89,"Executive",Headcount!$H$6:$H$89,"&gt;="&amp;Sales!BM$3)/12)),BL12),IF(YEAR(BM$3)=YEAR(Headcount!$P$4),IF((BM$5=2),((SUMIFS(Headcount!$P$6:$P$89,Headcount!$F$6:$F$89,"Executive",Headcount!$H$6:$H$89,"&gt;="&amp;Sales!BM$3)/12)),BL12),IF(YEAR(BM$3)=YEAR(Headcount!$Q$4),IF((BM$5=2),((SUMIFS(Headcount!$Q$6:$Q$89,Headcount!$F$6:$F$89,"Executive",Headcount!$H$6:$H$89,"&gt;="&amp;Sales!BM$3)/12)),BL12),IF(YEAR(BM$3)=YEAR(Headcount!$R$4),IF((BM$5=2),((SUMIFS(Headcount!$R$6:$R$89,Headcount!$F$6:$F$89,"Executive",Headcount!$H$6:$H$89,"&gt;="&amp;Sales!BM$3)/12)),BL12),"New Year"))))),SUMIF('Dept. Cost Actuals'!$E$7:$E$176,"*salary*",'Dept. Cost Actuals'!BQ$877:BQ$1046))</f>
        <v>47500</v>
      </c>
      <c r="BN12" s="1139">
        <f>IF(BN$4="forecast",IF(YEAR(BN$3)=YEAR(Headcount!$N$4),((SUMIFS(Headcount!$N$6:$N$89,Headcount!$F$6:$F$89,"Executive",Headcount!$H$6:$H$89,"&gt;="&amp;Sales!BN$3)/12)),IF(YEAR(BN$3)=YEAR(Headcount!$O$4),IF((BN$5=2),((SUMIFS(Headcount!$O$6:$O$89,Headcount!$F$6:$F$89,"Executive",Headcount!$H$6:$H$89,"&gt;="&amp;Sales!BN$3)/12)),BM12),IF(YEAR(BN$3)=YEAR(Headcount!$P$4),IF((BN$5=2),((SUMIFS(Headcount!$P$6:$P$89,Headcount!$F$6:$F$89,"Executive",Headcount!$H$6:$H$89,"&gt;="&amp;Sales!BN$3)/12)),BM12),IF(YEAR(BN$3)=YEAR(Headcount!$Q$4),IF((BN$5=2),((SUMIFS(Headcount!$Q$6:$Q$89,Headcount!$F$6:$F$89,"Executive",Headcount!$H$6:$H$89,"&gt;="&amp;Sales!BN$3)/12)),BM12),IF(YEAR(BN$3)=YEAR(Headcount!$R$4),IF((BN$5=2),((SUMIFS(Headcount!$R$6:$R$89,Headcount!$F$6:$F$89,"Executive",Headcount!$H$6:$H$89,"&gt;="&amp;Sales!BN$3)/12)),BM12),"New Year"))))),SUMIF('Dept. Cost Actuals'!$E$7:$E$176,"*salary*",'Dept. Cost Actuals'!BR$877:BR$1046))</f>
        <v>47500</v>
      </c>
      <c r="BO12" s="1139">
        <f>IF(BO$4="forecast",IF(YEAR(BO$3)=YEAR(Headcount!$N$4),((SUMIFS(Headcount!$N$6:$N$89,Headcount!$F$6:$F$89,"Executive",Headcount!$H$6:$H$89,"&gt;="&amp;Sales!BO$3)/12)),IF(YEAR(BO$3)=YEAR(Headcount!$O$4),IF((BO$5=2),((SUMIFS(Headcount!$O$6:$O$89,Headcount!$F$6:$F$89,"Executive",Headcount!$H$6:$H$89,"&gt;="&amp;Sales!BO$3)/12)),BN12),IF(YEAR(BO$3)=YEAR(Headcount!$P$4),IF((BO$5=2),((SUMIFS(Headcount!$P$6:$P$89,Headcount!$F$6:$F$89,"Executive",Headcount!$H$6:$H$89,"&gt;="&amp;Sales!BO$3)/12)),BN12),IF(YEAR(BO$3)=YEAR(Headcount!$Q$4),IF((BO$5=2),((SUMIFS(Headcount!$Q$6:$Q$89,Headcount!$F$6:$F$89,"Executive",Headcount!$H$6:$H$89,"&gt;="&amp;Sales!BO$3)/12)),BN12),IF(YEAR(BO$3)=YEAR(Headcount!$R$4),IF((BO$5=2),((SUMIFS(Headcount!$R$6:$R$89,Headcount!$F$6:$F$89,"Executive",Headcount!$H$6:$H$89,"&gt;="&amp;Sales!BO$3)/12)),BN12),"New Year"))))),SUMIF('Dept. Cost Actuals'!$E$7:$E$176,"*salary*",'Dept. Cost Actuals'!BS$877:BS$1046))</f>
        <v>47500</v>
      </c>
      <c r="BP12" s="1139">
        <f>IF(BP$4="forecast",IF(YEAR(BP$3)=YEAR(Headcount!$N$4),((SUMIFS(Headcount!$N$6:$N$89,Headcount!$F$6:$F$89,"Executive",Headcount!$H$6:$H$89,"&gt;="&amp;Sales!BP$3)/12)),IF(YEAR(BP$3)=YEAR(Headcount!$O$4),IF((BP$5=2),((SUMIFS(Headcount!$O$6:$O$89,Headcount!$F$6:$F$89,"Executive",Headcount!$H$6:$H$89,"&gt;="&amp;Sales!BP$3)/12)),BO12),IF(YEAR(BP$3)=YEAR(Headcount!$P$4),IF((BP$5=2),((SUMIFS(Headcount!$P$6:$P$89,Headcount!$F$6:$F$89,"Executive",Headcount!$H$6:$H$89,"&gt;="&amp;Sales!BP$3)/12)),BO12),IF(YEAR(BP$3)=YEAR(Headcount!$Q$4),IF((BP$5=2),((SUMIFS(Headcount!$Q$6:$Q$89,Headcount!$F$6:$F$89,"Executive",Headcount!$H$6:$H$89,"&gt;="&amp;Sales!BP$3)/12)),BO12),IF(YEAR(BP$3)=YEAR(Headcount!$R$4),IF((BP$5=2),((SUMIFS(Headcount!$R$6:$R$89,Headcount!$F$6:$F$89,"Executive",Headcount!$H$6:$H$89,"&gt;="&amp;Sales!BP$3)/12)),BO12),"New Year"))))),SUMIF('Dept. Cost Actuals'!$E$7:$E$176,"*salary*",'Dept. Cost Actuals'!BT$877:BT$1046))</f>
        <v>47500</v>
      </c>
      <c r="BQ12" s="1139">
        <f>IF(BQ$4="forecast",IF(YEAR(BQ$3)=YEAR(Headcount!$N$4),((SUMIFS(Headcount!$N$6:$N$89,Headcount!$F$6:$F$89,"Executive",Headcount!$H$6:$H$89,"&gt;="&amp;Sales!BQ$3)/12)),IF(YEAR(BQ$3)=YEAR(Headcount!$O$4),IF((BQ$5=2),((SUMIFS(Headcount!$O$6:$O$89,Headcount!$F$6:$F$89,"Executive",Headcount!$H$6:$H$89,"&gt;="&amp;Sales!BQ$3)/12)),BP12),IF(YEAR(BQ$3)=YEAR(Headcount!$P$4),IF((BQ$5=2),((SUMIFS(Headcount!$P$6:$P$89,Headcount!$F$6:$F$89,"Executive",Headcount!$H$6:$H$89,"&gt;="&amp;Sales!BQ$3)/12)),BP12),IF(YEAR(BQ$3)=YEAR(Headcount!$Q$4),IF((BQ$5=2),((SUMIFS(Headcount!$Q$6:$Q$89,Headcount!$F$6:$F$89,"Executive",Headcount!$H$6:$H$89,"&gt;="&amp;Sales!BQ$3)/12)),BP12),IF(YEAR(BQ$3)=YEAR(Headcount!$R$4),IF((BQ$5=2),((SUMIFS(Headcount!$R$6:$R$89,Headcount!$F$6:$F$89,"Executive",Headcount!$H$6:$H$89,"&gt;="&amp;Sales!BQ$3)/12)),BP12),"New Year"))))),SUMIF('Dept. Cost Actuals'!$E$7:$E$176,"*salary*",'Dept. Cost Actuals'!BU$877:BU$1046))</f>
        <v>47500</v>
      </c>
      <c r="BR12" s="1139">
        <f>IF(BR$4="forecast",IF(YEAR(BR$3)=YEAR(Headcount!$N$4),((SUMIFS(Headcount!$N$6:$N$89,Headcount!$F$6:$F$89,"Executive",Headcount!$H$6:$H$89,"&gt;="&amp;Sales!BR$3)/12)),IF(YEAR(BR$3)=YEAR(Headcount!$O$4),IF((BR$5=2),((SUMIFS(Headcount!$O$6:$O$89,Headcount!$F$6:$F$89,"Executive",Headcount!$H$6:$H$89,"&gt;="&amp;Sales!BR$3)/12)),BQ12),IF(YEAR(BR$3)=YEAR(Headcount!$P$4),IF((BR$5=2),((SUMIFS(Headcount!$P$6:$P$89,Headcount!$F$6:$F$89,"Executive",Headcount!$H$6:$H$89,"&gt;="&amp;Sales!BR$3)/12)),BQ12),IF(YEAR(BR$3)=YEAR(Headcount!$Q$4),IF((BR$5=2),((SUMIFS(Headcount!$Q$6:$Q$89,Headcount!$F$6:$F$89,"Executive",Headcount!$H$6:$H$89,"&gt;="&amp;Sales!BR$3)/12)),BQ12),IF(YEAR(BR$3)=YEAR(Headcount!$R$4),IF((BR$5=2),((SUMIFS(Headcount!$R$6:$R$89,Headcount!$F$6:$F$89,"Executive",Headcount!$H$6:$H$89,"&gt;="&amp;Sales!BR$3)/12)),BQ12),"New Year"))))),SUMIF('Dept. Cost Actuals'!$E$7:$E$176,"*salary*",'Dept. Cost Actuals'!BV$877:BV$1046))</f>
        <v>47500</v>
      </c>
      <c r="BS12" s="1139">
        <f>IF(BS$4="forecast",IF(YEAR(BS$3)=YEAR(Headcount!$N$4),((SUMIFS(Headcount!$N$6:$N$89,Headcount!$F$6:$F$89,"Executive",Headcount!$H$6:$H$89,"&gt;="&amp;Sales!BS$3)/12)),IF(YEAR(BS$3)=YEAR(Headcount!$O$4),IF((BS$5=2),((SUMIFS(Headcount!$O$6:$O$89,Headcount!$F$6:$F$89,"Executive",Headcount!$H$6:$H$89,"&gt;="&amp;Sales!BS$3)/12)),BR12),IF(YEAR(BS$3)=YEAR(Headcount!$P$4),IF((BS$5=2),((SUMIFS(Headcount!$P$6:$P$89,Headcount!$F$6:$F$89,"Executive",Headcount!$H$6:$H$89,"&gt;="&amp;Sales!BS$3)/12)),BR12),IF(YEAR(BS$3)=YEAR(Headcount!$Q$4),IF((BS$5=2),((SUMIFS(Headcount!$Q$6:$Q$89,Headcount!$F$6:$F$89,"Executive",Headcount!$H$6:$H$89,"&gt;="&amp;Sales!BS$3)/12)),BR12),IF(YEAR(BS$3)=YEAR(Headcount!$R$4),IF((BS$5=2),((SUMIFS(Headcount!$R$6:$R$89,Headcount!$F$6:$F$89,"Executive",Headcount!$H$6:$H$89,"&gt;="&amp;Sales!BS$3)/12)),BR12),"New Year"))))),SUMIF('Dept. Cost Actuals'!$E$7:$E$176,"*salary*",'Dept. Cost Actuals'!BW$877:BW$1046))</f>
        <v>47500</v>
      </c>
      <c r="BT12" s="1139">
        <f>IF(BT$4="forecast",IF(YEAR(BT$3)=YEAR(Headcount!$N$4),((SUMIFS(Headcount!$N$6:$N$89,Headcount!$F$6:$F$89,"Executive",Headcount!$H$6:$H$89,"&gt;="&amp;Sales!BT$3)/12)),IF(YEAR(BT$3)=YEAR(Headcount!$O$4),IF((BT$5=2),((SUMIFS(Headcount!$O$6:$O$89,Headcount!$F$6:$F$89,"Executive",Headcount!$H$6:$H$89,"&gt;="&amp;Sales!BT$3)/12)),BS12),IF(YEAR(BT$3)=YEAR(Headcount!$P$4),IF((BT$5=2),((SUMIFS(Headcount!$P$6:$P$89,Headcount!$F$6:$F$89,"Executive",Headcount!$H$6:$H$89,"&gt;="&amp;Sales!BT$3)/12)),BS12),IF(YEAR(BT$3)=YEAR(Headcount!$Q$4),IF((BT$5=2),((SUMIFS(Headcount!$Q$6:$Q$89,Headcount!$F$6:$F$89,"Executive",Headcount!$H$6:$H$89,"&gt;="&amp;Sales!BT$3)/12)),BS12),IF(YEAR(BT$3)=YEAR(Headcount!$R$4),IF((BT$5=2),((SUMIFS(Headcount!$R$6:$R$89,Headcount!$F$6:$F$89,"Executive",Headcount!$H$6:$H$89,"&gt;="&amp;Sales!BT$3)/12)),BS12),"New Year"))))),SUMIF('Dept. Cost Actuals'!$E$7:$E$176,"*salary*",'Dept. Cost Actuals'!BX$877:BX$1046))</f>
        <v>47500</v>
      </c>
      <c r="BU12" s="1139">
        <f>IF(BU$4="forecast",IF(YEAR(BU$3)=YEAR(Headcount!$N$4),((SUMIFS(Headcount!$N$6:$N$89,Headcount!$F$6:$F$89,"Executive",Headcount!$H$6:$H$89,"&gt;="&amp;Sales!BU$3)/12)),IF(YEAR(BU$3)=YEAR(Headcount!$O$4),IF((BU$5=2),((SUMIFS(Headcount!$O$6:$O$89,Headcount!$F$6:$F$89,"Executive",Headcount!$H$6:$H$89,"&gt;="&amp;Sales!BU$3)/12)),BT12),IF(YEAR(BU$3)=YEAR(Headcount!$P$4),IF((BU$5=2),((SUMIFS(Headcount!$P$6:$P$89,Headcount!$F$6:$F$89,"Executive",Headcount!$H$6:$H$89,"&gt;="&amp;Sales!BU$3)/12)),BT12),IF(YEAR(BU$3)=YEAR(Headcount!$Q$4),IF((BU$5=2),((SUMIFS(Headcount!$Q$6:$Q$89,Headcount!$F$6:$F$89,"Executive",Headcount!$H$6:$H$89,"&gt;="&amp;Sales!BU$3)/12)),BT12),IF(YEAR(BU$3)=YEAR(Headcount!$R$4),IF((BU$5=2),((SUMIFS(Headcount!$R$6:$R$89,Headcount!$F$6:$F$89,"Executive",Headcount!$H$6:$H$89,"&gt;="&amp;Sales!BU$3)/12)),BT12),"New Year"))))),SUMIF('Dept. Cost Actuals'!$E$7:$E$176,"*salary*",'Dept. Cost Actuals'!BY$877:BY$1046))</f>
        <v>47500</v>
      </c>
      <c r="BV12" s="1139">
        <f>IF(BV$4="forecast",IF(YEAR(BV$3)=YEAR(Headcount!$N$4),((SUMIFS(Headcount!$N$6:$N$89,Headcount!$F$6:$F$89,"Executive",Headcount!$H$6:$H$89,"&gt;="&amp;Sales!BV$3)/12)),IF(YEAR(BV$3)=YEAR(Headcount!$O$4),IF((BV$5=2),((SUMIFS(Headcount!$O$6:$O$89,Headcount!$F$6:$F$89,"Executive",Headcount!$H$6:$H$89,"&gt;="&amp;Sales!BV$3)/12)),BU12),IF(YEAR(BV$3)=YEAR(Headcount!$P$4),IF((BV$5=2),((SUMIFS(Headcount!$P$6:$P$89,Headcount!$F$6:$F$89,"Executive",Headcount!$H$6:$H$89,"&gt;="&amp;Sales!BV$3)/12)),BU12),IF(YEAR(BV$3)=YEAR(Headcount!$Q$4),IF((BV$5=2),((SUMIFS(Headcount!$Q$6:$Q$89,Headcount!$F$6:$F$89,"Executive",Headcount!$H$6:$H$89,"&gt;="&amp;Sales!BV$3)/12)),BU12),IF(YEAR(BV$3)=YEAR(Headcount!$R$4),IF((BV$5=2),((SUMIFS(Headcount!$R$6:$R$89,Headcount!$F$6:$F$89,"Executive",Headcount!$H$6:$H$89,"&gt;="&amp;Sales!BV$3)/12)),BU12),"New Year"))))),SUMIF('Dept. Cost Actuals'!$E$7:$E$176,"*salary*",'Dept. Cost Actuals'!BZ$877:BZ$1046))</f>
        <v>47500</v>
      </c>
    </row>
    <row r="13" spans="2:74" x14ac:dyDescent="0.25">
      <c r="B13" s="780" t="s">
        <v>928</v>
      </c>
      <c r="C13" s="668">
        <f>IF(C$4="forecast",IF(YEAR(C$3)=YEAR('New Hires Forecast'!$N$3),((SUMIFS('New Hires Forecast'!$N$5:$N$82,'New Hires Forecast'!$F$5:$F$82,"Exec",'New Hires Forecast'!$H$5:$H$82,"&gt;="&amp;Exec!C$3,'New Hires Forecast'!$G$5:$G$82,"&lt;="&amp;Exec!C$3)/12)),IF(YEAR(C$3)=YEAR('New Hires Forecast'!$O$3),((SUMIFS('New Hires Forecast'!$O$5:$O$82,'New Hires Forecast'!$F$5:$F$82,"Exec",'New Hires Forecast'!$H$5:$H$82,"&gt;="&amp;Exec!C$3,'New Hires Forecast'!$G$5:$G$82,"&lt;="&amp;Exec!C$3)/12)),IF(YEAR(C$3)=YEAR('New Hires Forecast'!$P$3),((SUMIFS('New Hires Forecast'!$P$5:$P$82,'New Hires Forecast'!$F$5:$F$82,"Exec",'New Hires Forecast'!$H$5:$H$82,"&gt;="&amp;Exec!C$3,'New Hires Forecast'!$G$5:$G$82,"&lt;="&amp;Exec!C$3)/12)),IF(YEAR(C$3)=YEAR('New Hires Forecast'!$Q$3),((SUMIFS('New Hires Forecast'!$Q$5:$Q$82,'New Hires Forecast'!$F$5:$F$82,"Exec",'New Hires Forecast'!$H$5:$H$82,"&gt;="&amp;Exec!C$3,'New Hires Forecast'!$G$5:$G$82,"&lt;="&amp;Exec!C$3)/12)),IF(YEAR(C$3)=YEAR('New Hires Forecast'!$R$3),((SUMIFS('New Hires Forecast'!$R$5:$R$82,'New Hires Forecast'!$F$5:$F$82,"Exec",'New Hires Forecast'!$H$5:$H$82,"&gt;="&amp;Exec!C$3,'New Hires Forecast'!$G$5:$G$82,"&lt;="&amp;Exec!C$3)/12))))))),0)</f>
        <v>0</v>
      </c>
      <c r="D13" s="668">
        <f>IF(D$4="forecast",IF(YEAR(D$3)=YEAR('New Hires Forecast'!$N$3),((SUMIFS('New Hires Forecast'!$N$5:$N$82,'New Hires Forecast'!$F$5:$F$82,"Exec",'New Hires Forecast'!$H$5:$H$82,"&gt;="&amp;Exec!D$3,'New Hires Forecast'!$G$5:$G$82,"&lt;="&amp;Exec!D$3)/12)),IF(YEAR(D$3)=YEAR('New Hires Forecast'!$O$3),((SUMIFS('New Hires Forecast'!$O$5:$O$82,'New Hires Forecast'!$F$5:$F$82,"Exec",'New Hires Forecast'!$H$5:$H$82,"&gt;="&amp;Exec!D$3,'New Hires Forecast'!$G$5:$G$82,"&lt;="&amp;Exec!D$3)/12)),IF(YEAR(D$3)=YEAR('New Hires Forecast'!$P$3),((SUMIFS('New Hires Forecast'!$P$5:$P$82,'New Hires Forecast'!$F$5:$F$82,"Exec",'New Hires Forecast'!$H$5:$H$82,"&gt;="&amp;Exec!D$3,'New Hires Forecast'!$G$5:$G$82,"&lt;="&amp;Exec!D$3)/12)),IF(YEAR(D$3)=YEAR('New Hires Forecast'!$Q$3),((SUMIFS('New Hires Forecast'!$Q$5:$Q$82,'New Hires Forecast'!$F$5:$F$82,"Exec",'New Hires Forecast'!$H$5:$H$82,"&gt;="&amp;Exec!D$3,'New Hires Forecast'!$G$5:$G$82,"&lt;="&amp;Exec!D$3)/12)),IF(YEAR(D$3)=YEAR('New Hires Forecast'!$R$3),((SUMIFS('New Hires Forecast'!$R$5:$R$82,'New Hires Forecast'!$F$5:$F$82,"Exec",'New Hires Forecast'!$H$5:$H$82,"&gt;="&amp;Exec!D$3,'New Hires Forecast'!$G$5:$G$82,"&lt;="&amp;Exec!D$3)/12))))))),0)</f>
        <v>0</v>
      </c>
      <c r="E13" s="668">
        <f>IF(E$4="forecast",IF(YEAR(E$3)=YEAR('New Hires Forecast'!$N$3),((SUMIFS('New Hires Forecast'!$N$5:$N$82,'New Hires Forecast'!$F$5:$F$82,"Exec",'New Hires Forecast'!$H$5:$H$82,"&gt;="&amp;Exec!E$3,'New Hires Forecast'!$G$5:$G$82,"&lt;="&amp;Exec!E$3)/12)),IF(YEAR(E$3)=YEAR('New Hires Forecast'!$O$3),((SUMIFS('New Hires Forecast'!$O$5:$O$82,'New Hires Forecast'!$F$5:$F$82,"Exec",'New Hires Forecast'!$H$5:$H$82,"&gt;="&amp;Exec!E$3,'New Hires Forecast'!$G$5:$G$82,"&lt;="&amp;Exec!E$3)/12)),IF(YEAR(E$3)=YEAR('New Hires Forecast'!$P$3),((SUMIFS('New Hires Forecast'!$P$5:$P$82,'New Hires Forecast'!$F$5:$F$82,"Exec",'New Hires Forecast'!$H$5:$H$82,"&gt;="&amp;Exec!E$3,'New Hires Forecast'!$G$5:$G$82,"&lt;="&amp;Exec!E$3)/12)),IF(YEAR(E$3)=YEAR('New Hires Forecast'!$Q$3),((SUMIFS('New Hires Forecast'!$Q$5:$Q$82,'New Hires Forecast'!$F$5:$F$82,"Exec",'New Hires Forecast'!$H$5:$H$82,"&gt;="&amp;Exec!E$3,'New Hires Forecast'!$G$5:$G$82,"&lt;="&amp;Exec!E$3)/12)),IF(YEAR(E$3)=YEAR('New Hires Forecast'!$R$3),((SUMIFS('New Hires Forecast'!$R$5:$R$82,'New Hires Forecast'!$F$5:$F$82,"Exec",'New Hires Forecast'!$H$5:$H$82,"&gt;="&amp;Exec!E$3,'New Hires Forecast'!$G$5:$G$82,"&lt;="&amp;Exec!E$3)/12))))))),0)</f>
        <v>0</v>
      </c>
      <c r="F13" s="668">
        <f>IF(F$4="forecast",IF(YEAR(F$3)=YEAR('New Hires Forecast'!$N$3),((SUMIFS('New Hires Forecast'!$N$5:$N$82,'New Hires Forecast'!$F$5:$F$82,"Exec",'New Hires Forecast'!$H$5:$H$82,"&gt;="&amp;Exec!F$3,'New Hires Forecast'!$G$5:$G$82,"&lt;="&amp;Exec!F$3)/12)),IF(YEAR(F$3)=YEAR('New Hires Forecast'!$O$3),((SUMIFS('New Hires Forecast'!$O$5:$O$82,'New Hires Forecast'!$F$5:$F$82,"Exec",'New Hires Forecast'!$H$5:$H$82,"&gt;="&amp;Exec!F$3,'New Hires Forecast'!$G$5:$G$82,"&lt;="&amp;Exec!F$3)/12)),IF(YEAR(F$3)=YEAR('New Hires Forecast'!$P$3),((SUMIFS('New Hires Forecast'!$P$5:$P$82,'New Hires Forecast'!$F$5:$F$82,"Exec",'New Hires Forecast'!$H$5:$H$82,"&gt;="&amp;Exec!F$3,'New Hires Forecast'!$G$5:$G$82,"&lt;="&amp;Exec!F$3)/12)),IF(YEAR(F$3)=YEAR('New Hires Forecast'!$Q$3),((SUMIFS('New Hires Forecast'!$Q$5:$Q$82,'New Hires Forecast'!$F$5:$F$82,"Exec",'New Hires Forecast'!$H$5:$H$82,"&gt;="&amp;Exec!F$3,'New Hires Forecast'!$G$5:$G$82,"&lt;="&amp;Exec!F$3)/12)),IF(YEAR(F$3)=YEAR('New Hires Forecast'!$R$3),((SUMIFS('New Hires Forecast'!$R$5:$R$82,'New Hires Forecast'!$F$5:$F$82,"Exec",'New Hires Forecast'!$H$5:$H$82,"&gt;="&amp;Exec!F$3,'New Hires Forecast'!$G$5:$G$82,"&lt;="&amp;Exec!F$3)/12))))))),0)</f>
        <v>0</v>
      </c>
      <c r="G13" s="668">
        <f>IF(G$4="forecast",IF(YEAR(G$3)=YEAR('New Hires Forecast'!$N$3),((SUMIFS('New Hires Forecast'!$N$5:$N$82,'New Hires Forecast'!$F$5:$F$82,"Exec",'New Hires Forecast'!$H$5:$H$82,"&gt;="&amp;Exec!G$3,'New Hires Forecast'!$G$5:$G$82,"&lt;="&amp;Exec!G$3)/12)),IF(YEAR(G$3)=YEAR('New Hires Forecast'!$O$3),((SUMIFS('New Hires Forecast'!$O$5:$O$82,'New Hires Forecast'!$F$5:$F$82,"Exec",'New Hires Forecast'!$H$5:$H$82,"&gt;="&amp;Exec!G$3,'New Hires Forecast'!$G$5:$G$82,"&lt;="&amp;Exec!G$3)/12)),IF(YEAR(G$3)=YEAR('New Hires Forecast'!$P$3),((SUMIFS('New Hires Forecast'!$P$5:$P$82,'New Hires Forecast'!$F$5:$F$82,"Exec",'New Hires Forecast'!$H$5:$H$82,"&gt;="&amp;Exec!G$3,'New Hires Forecast'!$G$5:$G$82,"&lt;="&amp;Exec!G$3)/12)),IF(YEAR(G$3)=YEAR('New Hires Forecast'!$Q$3),((SUMIFS('New Hires Forecast'!$Q$5:$Q$82,'New Hires Forecast'!$F$5:$F$82,"Exec",'New Hires Forecast'!$H$5:$H$82,"&gt;="&amp;Exec!G$3,'New Hires Forecast'!$G$5:$G$82,"&lt;="&amp;Exec!G$3)/12)),IF(YEAR(G$3)=YEAR('New Hires Forecast'!$R$3),((SUMIFS('New Hires Forecast'!$R$5:$R$82,'New Hires Forecast'!$F$5:$F$82,"Exec",'New Hires Forecast'!$H$5:$H$82,"&gt;="&amp;Exec!G$3,'New Hires Forecast'!$G$5:$G$82,"&lt;="&amp;Exec!G$3)/12))))))),0)</f>
        <v>0</v>
      </c>
      <c r="H13" s="668">
        <f>IF(H$4="forecast",IF(YEAR(H$3)=YEAR('New Hires Forecast'!$N$3),((SUMIFS('New Hires Forecast'!$N$5:$N$82,'New Hires Forecast'!$F$5:$F$82,"Exec",'New Hires Forecast'!$H$5:$H$82,"&gt;="&amp;Exec!H$3,'New Hires Forecast'!$G$5:$G$82,"&lt;="&amp;Exec!H$3)/12)),IF(YEAR(H$3)=YEAR('New Hires Forecast'!$O$3),((SUMIFS('New Hires Forecast'!$O$5:$O$82,'New Hires Forecast'!$F$5:$F$82,"Exec",'New Hires Forecast'!$H$5:$H$82,"&gt;="&amp;Exec!H$3,'New Hires Forecast'!$G$5:$G$82,"&lt;="&amp;Exec!H$3)/12)),IF(YEAR(H$3)=YEAR('New Hires Forecast'!$P$3),((SUMIFS('New Hires Forecast'!$P$5:$P$82,'New Hires Forecast'!$F$5:$F$82,"Exec",'New Hires Forecast'!$H$5:$H$82,"&gt;="&amp;Exec!H$3,'New Hires Forecast'!$G$5:$G$82,"&lt;="&amp;Exec!H$3)/12)),IF(YEAR(H$3)=YEAR('New Hires Forecast'!$Q$3),((SUMIFS('New Hires Forecast'!$Q$5:$Q$82,'New Hires Forecast'!$F$5:$F$82,"Exec",'New Hires Forecast'!$H$5:$H$82,"&gt;="&amp;Exec!H$3,'New Hires Forecast'!$G$5:$G$82,"&lt;="&amp;Exec!H$3)/12)),IF(YEAR(H$3)=YEAR('New Hires Forecast'!$R$3),((SUMIFS('New Hires Forecast'!$R$5:$R$82,'New Hires Forecast'!$F$5:$F$82,"Exec",'New Hires Forecast'!$H$5:$H$82,"&gt;="&amp;Exec!H$3,'New Hires Forecast'!$G$5:$G$82,"&lt;="&amp;Exec!H$3)/12))))))),0)</f>
        <v>0</v>
      </c>
      <c r="I13" s="668">
        <f>IF(I$4="forecast",IF(YEAR(I$3)=YEAR('New Hires Forecast'!$N$3),((SUMIFS('New Hires Forecast'!$N$5:$N$82,'New Hires Forecast'!$F$5:$F$82,"Exec",'New Hires Forecast'!$H$5:$H$82,"&gt;="&amp;Exec!I$3,'New Hires Forecast'!$G$5:$G$82,"&lt;="&amp;Exec!I$3)/12)),IF(YEAR(I$3)=YEAR('New Hires Forecast'!$O$3),((SUMIFS('New Hires Forecast'!$O$5:$O$82,'New Hires Forecast'!$F$5:$F$82,"Exec",'New Hires Forecast'!$H$5:$H$82,"&gt;="&amp;Exec!I$3,'New Hires Forecast'!$G$5:$G$82,"&lt;="&amp;Exec!I$3)/12)),IF(YEAR(I$3)=YEAR('New Hires Forecast'!$P$3),((SUMIFS('New Hires Forecast'!$P$5:$P$82,'New Hires Forecast'!$F$5:$F$82,"Exec",'New Hires Forecast'!$H$5:$H$82,"&gt;="&amp;Exec!I$3,'New Hires Forecast'!$G$5:$G$82,"&lt;="&amp;Exec!I$3)/12)),IF(YEAR(I$3)=YEAR('New Hires Forecast'!$Q$3),((SUMIFS('New Hires Forecast'!$Q$5:$Q$82,'New Hires Forecast'!$F$5:$F$82,"Exec",'New Hires Forecast'!$H$5:$H$82,"&gt;="&amp;Exec!I$3,'New Hires Forecast'!$G$5:$G$82,"&lt;="&amp;Exec!I$3)/12)),IF(YEAR(I$3)=YEAR('New Hires Forecast'!$R$3),((SUMIFS('New Hires Forecast'!$R$5:$R$82,'New Hires Forecast'!$F$5:$F$82,"Exec",'New Hires Forecast'!$H$5:$H$82,"&gt;="&amp;Exec!I$3,'New Hires Forecast'!$G$5:$G$82,"&lt;="&amp;Exec!I$3)/12))))))),0)</f>
        <v>0</v>
      </c>
      <c r="J13" s="668">
        <f>IF(J$4="forecast",IF(YEAR(J$3)=YEAR('New Hires Forecast'!$N$3),((SUMIFS('New Hires Forecast'!$N$5:$N$82,'New Hires Forecast'!$F$5:$F$82,"Exec",'New Hires Forecast'!$H$5:$H$82,"&gt;="&amp;Exec!J$3,'New Hires Forecast'!$G$5:$G$82,"&lt;="&amp;Exec!J$3)/12)),IF(YEAR(J$3)=YEAR('New Hires Forecast'!$O$3),((SUMIFS('New Hires Forecast'!$O$5:$O$82,'New Hires Forecast'!$F$5:$F$82,"Exec",'New Hires Forecast'!$H$5:$H$82,"&gt;="&amp;Exec!J$3,'New Hires Forecast'!$G$5:$G$82,"&lt;="&amp;Exec!J$3)/12)),IF(YEAR(J$3)=YEAR('New Hires Forecast'!$P$3),((SUMIFS('New Hires Forecast'!$P$5:$P$82,'New Hires Forecast'!$F$5:$F$82,"Exec",'New Hires Forecast'!$H$5:$H$82,"&gt;="&amp;Exec!J$3,'New Hires Forecast'!$G$5:$G$82,"&lt;="&amp;Exec!J$3)/12)),IF(YEAR(J$3)=YEAR('New Hires Forecast'!$Q$3),((SUMIFS('New Hires Forecast'!$Q$5:$Q$82,'New Hires Forecast'!$F$5:$F$82,"Exec",'New Hires Forecast'!$H$5:$H$82,"&gt;="&amp;Exec!J$3,'New Hires Forecast'!$G$5:$G$82,"&lt;="&amp;Exec!J$3)/12)),IF(YEAR(J$3)=YEAR('New Hires Forecast'!$R$3),((SUMIFS('New Hires Forecast'!$R$5:$R$82,'New Hires Forecast'!$F$5:$F$82,"Exec",'New Hires Forecast'!$H$5:$H$82,"&gt;="&amp;Exec!J$3,'New Hires Forecast'!$G$5:$G$82,"&lt;="&amp;Exec!J$3)/12))))))),0)</f>
        <v>0</v>
      </c>
      <c r="K13" s="668">
        <f>IF(K$4="forecast",IF(YEAR(K$3)=YEAR('New Hires Forecast'!$N$3),((SUMIFS('New Hires Forecast'!$N$5:$N$82,'New Hires Forecast'!$F$5:$F$82,"Exec",'New Hires Forecast'!$H$5:$H$82,"&gt;="&amp;Exec!K$3,'New Hires Forecast'!$G$5:$G$82,"&lt;="&amp;Exec!K$3)/12)),IF(YEAR(K$3)=YEAR('New Hires Forecast'!$O$3),((SUMIFS('New Hires Forecast'!$O$5:$O$82,'New Hires Forecast'!$F$5:$F$82,"Exec",'New Hires Forecast'!$H$5:$H$82,"&gt;="&amp;Exec!K$3,'New Hires Forecast'!$G$5:$G$82,"&lt;="&amp;Exec!K$3)/12)),IF(YEAR(K$3)=YEAR('New Hires Forecast'!$P$3),((SUMIFS('New Hires Forecast'!$P$5:$P$82,'New Hires Forecast'!$F$5:$F$82,"Exec",'New Hires Forecast'!$H$5:$H$82,"&gt;="&amp;Exec!K$3,'New Hires Forecast'!$G$5:$G$82,"&lt;="&amp;Exec!K$3)/12)),IF(YEAR(K$3)=YEAR('New Hires Forecast'!$Q$3),((SUMIFS('New Hires Forecast'!$Q$5:$Q$82,'New Hires Forecast'!$F$5:$F$82,"Exec",'New Hires Forecast'!$H$5:$H$82,"&gt;="&amp;Exec!K$3,'New Hires Forecast'!$G$5:$G$82,"&lt;="&amp;Exec!K$3)/12)),IF(YEAR(K$3)=YEAR('New Hires Forecast'!$R$3),((SUMIFS('New Hires Forecast'!$R$5:$R$82,'New Hires Forecast'!$F$5:$F$82,"Exec",'New Hires Forecast'!$H$5:$H$82,"&gt;="&amp;Exec!K$3,'New Hires Forecast'!$G$5:$G$82,"&lt;="&amp;Exec!K$3)/12))))))),0)</f>
        <v>0</v>
      </c>
      <c r="L13" s="668">
        <f>IF(L$4="forecast",IF(YEAR(L$3)=YEAR('New Hires Forecast'!$N$3),((SUMIFS('New Hires Forecast'!$N$5:$N$82,'New Hires Forecast'!$F$5:$F$82,"Exec",'New Hires Forecast'!$H$5:$H$82,"&gt;="&amp;Exec!L$3,'New Hires Forecast'!$G$5:$G$82,"&lt;="&amp;Exec!L$3)/12)),IF(YEAR(L$3)=YEAR('New Hires Forecast'!$O$3),((SUMIFS('New Hires Forecast'!$O$5:$O$82,'New Hires Forecast'!$F$5:$F$82,"Exec",'New Hires Forecast'!$H$5:$H$82,"&gt;="&amp;Exec!L$3,'New Hires Forecast'!$G$5:$G$82,"&lt;="&amp;Exec!L$3)/12)),IF(YEAR(L$3)=YEAR('New Hires Forecast'!$P$3),((SUMIFS('New Hires Forecast'!$P$5:$P$82,'New Hires Forecast'!$F$5:$F$82,"Exec",'New Hires Forecast'!$H$5:$H$82,"&gt;="&amp;Exec!L$3,'New Hires Forecast'!$G$5:$G$82,"&lt;="&amp;Exec!L$3)/12)),IF(YEAR(L$3)=YEAR('New Hires Forecast'!$Q$3),((SUMIFS('New Hires Forecast'!$Q$5:$Q$82,'New Hires Forecast'!$F$5:$F$82,"Exec",'New Hires Forecast'!$H$5:$H$82,"&gt;="&amp;Exec!L$3,'New Hires Forecast'!$G$5:$G$82,"&lt;="&amp;Exec!L$3)/12)),IF(YEAR(L$3)=YEAR('New Hires Forecast'!$R$3),((SUMIFS('New Hires Forecast'!$R$5:$R$82,'New Hires Forecast'!$F$5:$F$82,"Exec",'New Hires Forecast'!$H$5:$H$82,"&gt;="&amp;Exec!L$3,'New Hires Forecast'!$G$5:$G$82,"&lt;="&amp;Exec!L$3)/12))))))),0)</f>
        <v>0</v>
      </c>
      <c r="M13" s="668">
        <f>IF(M$4="forecast",IF(YEAR(M$3)=YEAR('New Hires Forecast'!$N$3),((SUMIFS('New Hires Forecast'!$N$5:$N$82,'New Hires Forecast'!$F$5:$F$82,"Exec",'New Hires Forecast'!$H$5:$H$82,"&gt;="&amp;Exec!M$3,'New Hires Forecast'!$G$5:$G$82,"&lt;="&amp;Exec!M$3)/12)),IF(YEAR(M$3)=YEAR('New Hires Forecast'!$O$3),((SUMIFS('New Hires Forecast'!$O$5:$O$82,'New Hires Forecast'!$F$5:$F$82,"Exec",'New Hires Forecast'!$H$5:$H$82,"&gt;="&amp;Exec!M$3,'New Hires Forecast'!$G$5:$G$82,"&lt;="&amp;Exec!M$3)/12)),IF(YEAR(M$3)=YEAR('New Hires Forecast'!$P$3),((SUMIFS('New Hires Forecast'!$P$5:$P$82,'New Hires Forecast'!$F$5:$F$82,"Exec",'New Hires Forecast'!$H$5:$H$82,"&gt;="&amp;Exec!M$3,'New Hires Forecast'!$G$5:$G$82,"&lt;="&amp;Exec!M$3)/12)),IF(YEAR(M$3)=YEAR('New Hires Forecast'!$Q$3),((SUMIFS('New Hires Forecast'!$Q$5:$Q$82,'New Hires Forecast'!$F$5:$F$82,"Exec",'New Hires Forecast'!$H$5:$H$82,"&gt;="&amp;Exec!M$3,'New Hires Forecast'!$G$5:$G$82,"&lt;="&amp;Exec!M$3)/12)),IF(YEAR(M$3)=YEAR('New Hires Forecast'!$R$3),((SUMIFS('New Hires Forecast'!$R$5:$R$82,'New Hires Forecast'!$F$5:$F$82,"Exec",'New Hires Forecast'!$H$5:$H$82,"&gt;="&amp;Exec!M$3,'New Hires Forecast'!$G$5:$G$82,"&lt;="&amp;Exec!M$3)/12))))))),0)</f>
        <v>0</v>
      </c>
      <c r="N13" s="668">
        <f>IF(N$4="forecast",IF(YEAR(N$3)=YEAR('New Hires Forecast'!$N$3),((SUMIFS('New Hires Forecast'!$N$5:$N$82,'New Hires Forecast'!$F$5:$F$82,"Exec",'New Hires Forecast'!$H$5:$H$82,"&gt;="&amp;Exec!N$3,'New Hires Forecast'!$G$5:$G$82,"&lt;="&amp;Exec!N$3)/12)),IF(YEAR(N$3)=YEAR('New Hires Forecast'!$O$3),((SUMIFS('New Hires Forecast'!$O$5:$O$82,'New Hires Forecast'!$F$5:$F$82,"Exec",'New Hires Forecast'!$H$5:$H$82,"&gt;="&amp;Exec!N$3,'New Hires Forecast'!$G$5:$G$82,"&lt;="&amp;Exec!N$3)/12)),IF(YEAR(N$3)=YEAR('New Hires Forecast'!$P$3),((SUMIFS('New Hires Forecast'!$P$5:$P$82,'New Hires Forecast'!$F$5:$F$82,"Exec",'New Hires Forecast'!$H$5:$H$82,"&gt;="&amp;Exec!N$3,'New Hires Forecast'!$G$5:$G$82,"&lt;="&amp;Exec!N$3)/12)),IF(YEAR(N$3)=YEAR('New Hires Forecast'!$Q$3),((SUMIFS('New Hires Forecast'!$Q$5:$Q$82,'New Hires Forecast'!$F$5:$F$82,"Exec",'New Hires Forecast'!$H$5:$H$82,"&gt;="&amp;Exec!N$3,'New Hires Forecast'!$G$5:$G$82,"&lt;="&amp;Exec!N$3)/12)),IF(YEAR(N$3)=YEAR('New Hires Forecast'!$R$3),((SUMIFS('New Hires Forecast'!$R$5:$R$82,'New Hires Forecast'!$F$5:$F$82,"Exec",'New Hires Forecast'!$H$5:$H$82,"&gt;="&amp;Exec!N$3,'New Hires Forecast'!$G$5:$G$82,"&lt;="&amp;Exec!N$3)/12))))))),0)</f>
        <v>0</v>
      </c>
      <c r="O13" s="668">
        <f>IF(O$4="forecast",IF(YEAR(O$3)=YEAR('New Hires Forecast'!$N$3),((SUMIFS('New Hires Forecast'!$N$5:$N$82,'New Hires Forecast'!$F$5:$F$82,"Exec",'New Hires Forecast'!$H$5:$H$82,"&gt;="&amp;Exec!O$3,'New Hires Forecast'!$G$5:$G$82,"&lt;="&amp;Exec!O$3)/12)),IF(YEAR(O$3)=YEAR('New Hires Forecast'!$O$3),((SUMIFS('New Hires Forecast'!$O$5:$O$82,'New Hires Forecast'!$F$5:$F$82,"Exec",'New Hires Forecast'!$H$5:$H$82,"&gt;="&amp;Exec!O$3,'New Hires Forecast'!$G$5:$G$82,"&lt;="&amp;Exec!O$3)/12)),IF(YEAR(O$3)=YEAR('New Hires Forecast'!$P$3),((SUMIFS('New Hires Forecast'!$P$5:$P$82,'New Hires Forecast'!$F$5:$F$82,"Exec",'New Hires Forecast'!$H$5:$H$82,"&gt;="&amp;Exec!O$3,'New Hires Forecast'!$G$5:$G$82,"&lt;="&amp;Exec!O$3)/12)),IF(YEAR(O$3)=YEAR('New Hires Forecast'!$Q$3),((SUMIFS('New Hires Forecast'!$Q$5:$Q$82,'New Hires Forecast'!$F$5:$F$82,"Exec",'New Hires Forecast'!$H$5:$H$82,"&gt;="&amp;Exec!O$3,'New Hires Forecast'!$G$5:$G$82,"&lt;="&amp;Exec!O$3)/12)),IF(YEAR(O$3)=YEAR('New Hires Forecast'!$R$3),((SUMIFS('New Hires Forecast'!$R$5:$R$82,'New Hires Forecast'!$F$5:$F$82,"Exec",'New Hires Forecast'!$H$5:$H$82,"&gt;="&amp;Exec!O$3,'New Hires Forecast'!$G$5:$G$82,"&lt;="&amp;Exec!O$3)/12))))))),0)</f>
        <v>0</v>
      </c>
      <c r="P13" s="668">
        <f>IF(P$4="forecast",IF(YEAR(P$3)=YEAR('New Hires Forecast'!$N$3),((SUMIFS('New Hires Forecast'!$N$5:$N$82,'New Hires Forecast'!$F$5:$F$82,"Exec",'New Hires Forecast'!$H$5:$H$82,"&gt;="&amp;Exec!P$3,'New Hires Forecast'!$G$5:$G$82,"&lt;="&amp;Exec!P$3)/12)),IF(YEAR(P$3)=YEAR('New Hires Forecast'!$O$3),((SUMIFS('New Hires Forecast'!$O$5:$O$82,'New Hires Forecast'!$F$5:$F$82,"Exec",'New Hires Forecast'!$H$5:$H$82,"&gt;="&amp;Exec!P$3,'New Hires Forecast'!$G$5:$G$82,"&lt;="&amp;Exec!P$3)/12)),IF(YEAR(P$3)=YEAR('New Hires Forecast'!$P$3),((SUMIFS('New Hires Forecast'!$P$5:$P$82,'New Hires Forecast'!$F$5:$F$82,"Exec",'New Hires Forecast'!$H$5:$H$82,"&gt;="&amp;Exec!P$3,'New Hires Forecast'!$G$5:$G$82,"&lt;="&amp;Exec!P$3)/12)),IF(YEAR(P$3)=YEAR('New Hires Forecast'!$Q$3),((SUMIFS('New Hires Forecast'!$Q$5:$Q$82,'New Hires Forecast'!$F$5:$F$82,"Exec",'New Hires Forecast'!$H$5:$H$82,"&gt;="&amp;Exec!P$3,'New Hires Forecast'!$G$5:$G$82,"&lt;="&amp;Exec!P$3)/12)),IF(YEAR(P$3)=YEAR('New Hires Forecast'!$R$3),((SUMIFS('New Hires Forecast'!$R$5:$R$82,'New Hires Forecast'!$F$5:$F$82,"Exec",'New Hires Forecast'!$H$5:$H$82,"&gt;="&amp;Exec!P$3,'New Hires Forecast'!$G$5:$G$82,"&lt;="&amp;Exec!P$3)/12))))))),0)</f>
        <v>0</v>
      </c>
      <c r="Q13" s="668">
        <f>IF(Q$4="forecast",IF(YEAR(Q$3)=YEAR('New Hires Forecast'!$N$3),((SUMIFS('New Hires Forecast'!$N$5:$N$82,'New Hires Forecast'!$F$5:$F$82,"Exec",'New Hires Forecast'!$H$5:$H$82,"&gt;="&amp;Exec!Q$3,'New Hires Forecast'!$G$5:$G$82,"&lt;="&amp;Exec!Q$3)/12)),IF(YEAR(Q$3)=YEAR('New Hires Forecast'!$O$3),((SUMIFS('New Hires Forecast'!$O$5:$O$82,'New Hires Forecast'!$F$5:$F$82,"Exec",'New Hires Forecast'!$H$5:$H$82,"&gt;="&amp;Exec!Q$3,'New Hires Forecast'!$G$5:$G$82,"&lt;="&amp;Exec!Q$3)/12)),IF(YEAR(Q$3)=YEAR('New Hires Forecast'!$P$3),((SUMIFS('New Hires Forecast'!$P$5:$P$82,'New Hires Forecast'!$F$5:$F$82,"Exec",'New Hires Forecast'!$H$5:$H$82,"&gt;="&amp;Exec!Q$3,'New Hires Forecast'!$G$5:$G$82,"&lt;="&amp;Exec!Q$3)/12)),IF(YEAR(Q$3)=YEAR('New Hires Forecast'!$Q$3),((SUMIFS('New Hires Forecast'!$Q$5:$Q$82,'New Hires Forecast'!$F$5:$F$82,"Exec",'New Hires Forecast'!$H$5:$H$82,"&gt;="&amp;Exec!Q$3,'New Hires Forecast'!$G$5:$G$82,"&lt;="&amp;Exec!Q$3)/12)),IF(YEAR(Q$3)=YEAR('New Hires Forecast'!$R$3),((SUMIFS('New Hires Forecast'!$R$5:$R$82,'New Hires Forecast'!$F$5:$F$82,"Exec",'New Hires Forecast'!$H$5:$H$82,"&gt;="&amp;Exec!Q$3,'New Hires Forecast'!$G$5:$G$82,"&lt;="&amp;Exec!Q$3)/12))))))),0)</f>
        <v>0</v>
      </c>
      <c r="R13" s="668">
        <f>IF(R$4="forecast",IF(YEAR(R$3)=YEAR('New Hires Forecast'!$N$3),((SUMIFS('New Hires Forecast'!$N$5:$N$82,'New Hires Forecast'!$F$5:$F$82,"Exec",'New Hires Forecast'!$H$5:$H$82,"&gt;="&amp;Exec!R$3,'New Hires Forecast'!$G$5:$G$82,"&lt;="&amp;Exec!R$3)/12)),IF(YEAR(R$3)=YEAR('New Hires Forecast'!$O$3),((SUMIFS('New Hires Forecast'!$O$5:$O$82,'New Hires Forecast'!$F$5:$F$82,"Exec",'New Hires Forecast'!$H$5:$H$82,"&gt;="&amp;Exec!R$3,'New Hires Forecast'!$G$5:$G$82,"&lt;="&amp;Exec!R$3)/12)),IF(YEAR(R$3)=YEAR('New Hires Forecast'!$P$3),((SUMIFS('New Hires Forecast'!$P$5:$P$82,'New Hires Forecast'!$F$5:$F$82,"Exec",'New Hires Forecast'!$H$5:$H$82,"&gt;="&amp;Exec!R$3,'New Hires Forecast'!$G$5:$G$82,"&lt;="&amp;Exec!R$3)/12)),IF(YEAR(R$3)=YEAR('New Hires Forecast'!$Q$3),((SUMIFS('New Hires Forecast'!$Q$5:$Q$82,'New Hires Forecast'!$F$5:$F$82,"Exec",'New Hires Forecast'!$H$5:$H$82,"&gt;="&amp;Exec!R$3,'New Hires Forecast'!$G$5:$G$82,"&lt;="&amp;Exec!R$3)/12)),IF(YEAR(R$3)=YEAR('New Hires Forecast'!$R$3),((SUMIFS('New Hires Forecast'!$R$5:$R$82,'New Hires Forecast'!$F$5:$F$82,"Exec",'New Hires Forecast'!$H$5:$H$82,"&gt;="&amp;Exec!R$3,'New Hires Forecast'!$G$5:$G$82,"&lt;="&amp;Exec!R$3)/12))))))),0)</f>
        <v>0</v>
      </c>
      <c r="S13" s="668">
        <f>IF(S$4="forecast",IF(YEAR(S$3)=YEAR('New Hires Forecast'!$N$3),((SUMIFS('New Hires Forecast'!$N$5:$N$82,'New Hires Forecast'!$F$5:$F$82,"Exec",'New Hires Forecast'!$H$5:$H$82,"&gt;="&amp;Exec!S$3,'New Hires Forecast'!$G$5:$G$82,"&lt;="&amp;Exec!S$3)/12)),IF(YEAR(S$3)=YEAR('New Hires Forecast'!$O$3),((SUMIFS('New Hires Forecast'!$O$5:$O$82,'New Hires Forecast'!$F$5:$F$82,"Exec",'New Hires Forecast'!$H$5:$H$82,"&gt;="&amp;Exec!S$3,'New Hires Forecast'!$G$5:$G$82,"&lt;="&amp;Exec!S$3)/12)),IF(YEAR(S$3)=YEAR('New Hires Forecast'!$P$3),((SUMIFS('New Hires Forecast'!$P$5:$P$82,'New Hires Forecast'!$F$5:$F$82,"Exec",'New Hires Forecast'!$H$5:$H$82,"&gt;="&amp;Exec!S$3,'New Hires Forecast'!$G$5:$G$82,"&lt;="&amp;Exec!S$3)/12)),IF(YEAR(S$3)=YEAR('New Hires Forecast'!$Q$3),((SUMIFS('New Hires Forecast'!$Q$5:$Q$82,'New Hires Forecast'!$F$5:$F$82,"Exec",'New Hires Forecast'!$H$5:$H$82,"&gt;="&amp;Exec!S$3,'New Hires Forecast'!$G$5:$G$82,"&lt;="&amp;Exec!S$3)/12)),IF(YEAR(S$3)=YEAR('New Hires Forecast'!$R$3),((SUMIFS('New Hires Forecast'!$R$5:$R$82,'New Hires Forecast'!$F$5:$F$82,"Exec",'New Hires Forecast'!$H$5:$H$82,"&gt;="&amp;Exec!S$3,'New Hires Forecast'!$G$5:$G$82,"&lt;="&amp;Exec!S$3)/12))))))),0)</f>
        <v>0</v>
      </c>
      <c r="T13" s="668">
        <f>IF(T$4="forecast",IF(YEAR(T$3)=YEAR('New Hires Forecast'!$N$3),((SUMIFS('New Hires Forecast'!$N$5:$N$82,'New Hires Forecast'!$F$5:$F$82,"Exec",'New Hires Forecast'!$H$5:$H$82,"&gt;="&amp;Exec!T$3,'New Hires Forecast'!$G$5:$G$82,"&lt;="&amp;Exec!T$3)/12)),IF(YEAR(T$3)=YEAR('New Hires Forecast'!$O$3),((SUMIFS('New Hires Forecast'!$O$5:$O$82,'New Hires Forecast'!$F$5:$F$82,"Exec",'New Hires Forecast'!$H$5:$H$82,"&gt;="&amp;Exec!T$3,'New Hires Forecast'!$G$5:$G$82,"&lt;="&amp;Exec!T$3)/12)),IF(YEAR(T$3)=YEAR('New Hires Forecast'!$P$3),((SUMIFS('New Hires Forecast'!$P$5:$P$82,'New Hires Forecast'!$F$5:$F$82,"Exec",'New Hires Forecast'!$H$5:$H$82,"&gt;="&amp;Exec!T$3,'New Hires Forecast'!$G$5:$G$82,"&lt;="&amp;Exec!T$3)/12)),IF(YEAR(T$3)=YEAR('New Hires Forecast'!$Q$3),((SUMIFS('New Hires Forecast'!$Q$5:$Q$82,'New Hires Forecast'!$F$5:$F$82,"Exec",'New Hires Forecast'!$H$5:$H$82,"&gt;="&amp;Exec!T$3,'New Hires Forecast'!$G$5:$G$82,"&lt;="&amp;Exec!T$3)/12)),IF(YEAR(T$3)=YEAR('New Hires Forecast'!$R$3),((SUMIFS('New Hires Forecast'!$R$5:$R$82,'New Hires Forecast'!$F$5:$F$82,"Exec",'New Hires Forecast'!$H$5:$H$82,"&gt;="&amp;Exec!T$3,'New Hires Forecast'!$G$5:$G$82,"&lt;="&amp;Exec!T$3)/12))))))),0)</f>
        <v>0</v>
      </c>
      <c r="U13" s="668">
        <f>IF(U$4="forecast",IF(YEAR(U$3)=YEAR('New Hires Forecast'!$N$3),((SUMIFS('New Hires Forecast'!$N$5:$N$82,'New Hires Forecast'!$F$5:$F$82,"Exec",'New Hires Forecast'!$H$5:$H$82,"&gt;="&amp;Exec!U$3,'New Hires Forecast'!$G$5:$G$82,"&lt;="&amp;Exec!U$3)/12)),IF(YEAR(U$3)=YEAR('New Hires Forecast'!$O$3),((SUMIFS('New Hires Forecast'!$O$5:$O$82,'New Hires Forecast'!$F$5:$F$82,"Exec",'New Hires Forecast'!$H$5:$H$82,"&gt;="&amp;Exec!U$3,'New Hires Forecast'!$G$5:$G$82,"&lt;="&amp;Exec!U$3)/12)),IF(YEAR(U$3)=YEAR('New Hires Forecast'!$P$3),((SUMIFS('New Hires Forecast'!$P$5:$P$82,'New Hires Forecast'!$F$5:$F$82,"Exec",'New Hires Forecast'!$H$5:$H$82,"&gt;="&amp;Exec!U$3,'New Hires Forecast'!$G$5:$G$82,"&lt;="&amp;Exec!U$3)/12)),IF(YEAR(U$3)=YEAR('New Hires Forecast'!$Q$3),((SUMIFS('New Hires Forecast'!$Q$5:$Q$82,'New Hires Forecast'!$F$5:$F$82,"Exec",'New Hires Forecast'!$H$5:$H$82,"&gt;="&amp;Exec!U$3,'New Hires Forecast'!$G$5:$G$82,"&lt;="&amp;Exec!U$3)/12)),IF(YEAR(U$3)=YEAR('New Hires Forecast'!$R$3),((SUMIFS('New Hires Forecast'!$R$5:$R$82,'New Hires Forecast'!$F$5:$F$82,"Exec",'New Hires Forecast'!$H$5:$H$82,"&gt;="&amp;Exec!U$3,'New Hires Forecast'!$G$5:$G$82,"&lt;="&amp;Exec!U$3)/12))))))),0)</f>
        <v>0</v>
      </c>
      <c r="V13" s="668">
        <f>IF(V$4="forecast",IF(YEAR(V$3)=YEAR('New Hires Forecast'!$N$3),((SUMIFS('New Hires Forecast'!$N$5:$N$82,'New Hires Forecast'!$F$5:$F$82,"Exec",'New Hires Forecast'!$H$5:$H$82,"&gt;="&amp;Exec!V$3,'New Hires Forecast'!$G$5:$G$82,"&lt;="&amp;Exec!V$3)/12)),IF(YEAR(V$3)=YEAR('New Hires Forecast'!$O$3),((SUMIFS('New Hires Forecast'!$O$5:$O$82,'New Hires Forecast'!$F$5:$F$82,"Exec",'New Hires Forecast'!$H$5:$H$82,"&gt;="&amp;Exec!V$3,'New Hires Forecast'!$G$5:$G$82,"&lt;="&amp;Exec!V$3)/12)),IF(YEAR(V$3)=YEAR('New Hires Forecast'!$P$3),((SUMIFS('New Hires Forecast'!$P$5:$P$82,'New Hires Forecast'!$F$5:$F$82,"Exec",'New Hires Forecast'!$H$5:$H$82,"&gt;="&amp;Exec!V$3,'New Hires Forecast'!$G$5:$G$82,"&lt;="&amp;Exec!V$3)/12)),IF(YEAR(V$3)=YEAR('New Hires Forecast'!$Q$3),((SUMIFS('New Hires Forecast'!$Q$5:$Q$82,'New Hires Forecast'!$F$5:$F$82,"Exec",'New Hires Forecast'!$H$5:$H$82,"&gt;="&amp;Exec!V$3,'New Hires Forecast'!$G$5:$G$82,"&lt;="&amp;Exec!V$3)/12)),IF(YEAR(V$3)=YEAR('New Hires Forecast'!$R$3),((SUMIFS('New Hires Forecast'!$R$5:$R$82,'New Hires Forecast'!$F$5:$F$82,"Exec",'New Hires Forecast'!$H$5:$H$82,"&gt;="&amp;Exec!V$3,'New Hires Forecast'!$G$5:$G$82,"&lt;="&amp;Exec!V$3)/12))))))),0)</f>
        <v>0</v>
      </c>
      <c r="W13" s="668">
        <f>IF(W$4="forecast",IF(YEAR(W$3)=YEAR('New Hires Forecast'!$N$3),((SUMIFS('New Hires Forecast'!$N$5:$N$82,'New Hires Forecast'!$F$5:$F$82,"Exec",'New Hires Forecast'!$H$5:$H$82,"&gt;="&amp;Exec!W$3,'New Hires Forecast'!$G$5:$G$82,"&lt;="&amp;Exec!W$3)/12)),IF(YEAR(W$3)=YEAR('New Hires Forecast'!$O$3),((SUMIFS('New Hires Forecast'!$O$5:$O$82,'New Hires Forecast'!$F$5:$F$82,"Exec",'New Hires Forecast'!$H$5:$H$82,"&gt;="&amp;Exec!W$3,'New Hires Forecast'!$G$5:$G$82,"&lt;="&amp;Exec!W$3)/12)),IF(YEAR(W$3)=YEAR('New Hires Forecast'!$P$3),((SUMIFS('New Hires Forecast'!$P$5:$P$82,'New Hires Forecast'!$F$5:$F$82,"Exec",'New Hires Forecast'!$H$5:$H$82,"&gt;="&amp;Exec!W$3,'New Hires Forecast'!$G$5:$G$82,"&lt;="&amp;Exec!W$3)/12)),IF(YEAR(W$3)=YEAR('New Hires Forecast'!$Q$3),((SUMIFS('New Hires Forecast'!$Q$5:$Q$82,'New Hires Forecast'!$F$5:$F$82,"Exec",'New Hires Forecast'!$H$5:$H$82,"&gt;="&amp;Exec!W$3,'New Hires Forecast'!$G$5:$G$82,"&lt;="&amp;Exec!W$3)/12)),IF(YEAR(W$3)=YEAR('New Hires Forecast'!$R$3),((SUMIFS('New Hires Forecast'!$R$5:$R$82,'New Hires Forecast'!$F$5:$F$82,"Exec",'New Hires Forecast'!$H$5:$H$82,"&gt;="&amp;Exec!W$3,'New Hires Forecast'!$G$5:$G$82,"&lt;="&amp;Exec!W$3)/12))))))),0)</f>
        <v>0</v>
      </c>
      <c r="X13" s="668">
        <f>IF(X$4="forecast",IF(YEAR(X$3)=YEAR('New Hires Forecast'!$N$3),((SUMIFS('New Hires Forecast'!$N$5:$N$82,'New Hires Forecast'!$F$5:$F$82,"Exec",'New Hires Forecast'!$H$5:$H$82,"&gt;="&amp;Exec!X$3,'New Hires Forecast'!$G$5:$G$82,"&lt;="&amp;Exec!X$3)/12)),IF(YEAR(X$3)=YEAR('New Hires Forecast'!$O$3),((SUMIFS('New Hires Forecast'!$O$5:$O$82,'New Hires Forecast'!$F$5:$F$82,"Exec",'New Hires Forecast'!$H$5:$H$82,"&gt;="&amp;Exec!X$3,'New Hires Forecast'!$G$5:$G$82,"&lt;="&amp;Exec!X$3)/12)),IF(YEAR(X$3)=YEAR('New Hires Forecast'!$P$3),((SUMIFS('New Hires Forecast'!$P$5:$P$82,'New Hires Forecast'!$F$5:$F$82,"Exec",'New Hires Forecast'!$H$5:$H$82,"&gt;="&amp;Exec!X$3,'New Hires Forecast'!$G$5:$G$82,"&lt;="&amp;Exec!X$3)/12)),IF(YEAR(X$3)=YEAR('New Hires Forecast'!$Q$3),((SUMIFS('New Hires Forecast'!$Q$5:$Q$82,'New Hires Forecast'!$F$5:$F$82,"Exec",'New Hires Forecast'!$H$5:$H$82,"&gt;="&amp;Exec!X$3,'New Hires Forecast'!$G$5:$G$82,"&lt;="&amp;Exec!X$3)/12)),IF(YEAR(X$3)=YEAR('New Hires Forecast'!$R$3),((SUMIFS('New Hires Forecast'!$R$5:$R$82,'New Hires Forecast'!$F$5:$F$82,"Exec",'New Hires Forecast'!$H$5:$H$82,"&gt;="&amp;Exec!X$3,'New Hires Forecast'!$G$5:$G$82,"&lt;="&amp;Exec!X$3)/12))))))),0)</f>
        <v>0</v>
      </c>
      <c r="Y13" s="668">
        <f>IF(Y$4="forecast",IF(YEAR(Y$3)=YEAR('New Hires Forecast'!$N$3),((SUMIFS('New Hires Forecast'!$N$5:$N$82,'New Hires Forecast'!$F$5:$F$82,"Exec",'New Hires Forecast'!$H$5:$H$82,"&gt;="&amp;Exec!Y$3,'New Hires Forecast'!$G$5:$G$82,"&lt;="&amp;Exec!Y$3)/12)),IF(YEAR(Y$3)=YEAR('New Hires Forecast'!$O$3),((SUMIFS('New Hires Forecast'!$O$5:$O$82,'New Hires Forecast'!$F$5:$F$82,"Exec",'New Hires Forecast'!$H$5:$H$82,"&gt;="&amp;Exec!Y$3,'New Hires Forecast'!$G$5:$G$82,"&lt;="&amp;Exec!Y$3)/12)),IF(YEAR(Y$3)=YEAR('New Hires Forecast'!$P$3),((SUMIFS('New Hires Forecast'!$P$5:$P$82,'New Hires Forecast'!$F$5:$F$82,"Exec",'New Hires Forecast'!$H$5:$H$82,"&gt;="&amp;Exec!Y$3,'New Hires Forecast'!$G$5:$G$82,"&lt;="&amp;Exec!Y$3)/12)),IF(YEAR(Y$3)=YEAR('New Hires Forecast'!$Q$3),((SUMIFS('New Hires Forecast'!$Q$5:$Q$82,'New Hires Forecast'!$F$5:$F$82,"Exec",'New Hires Forecast'!$H$5:$H$82,"&gt;="&amp;Exec!Y$3,'New Hires Forecast'!$G$5:$G$82,"&lt;="&amp;Exec!Y$3)/12)),IF(YEAR(Y$3)=YEAR('New Hires Forecast'!$R$3),((SUMIFS('New Hires Forecast'!$R$5:$R$82,'New Hires Forecast'!$F$5:$F$82,"Exec",'New Hires Forecast'!$H$5:$H$82,"&gt;="&amp;Exec!Y$3,'New Hires Forecast'!$G$5:$G$82,"&lt;="&amp;Exec!Y$3)/12))))))),0)</f>
        <v>0</v>
      </c>
      <c r="Z13" s="668">
        <f>IF(Z$4="forecast",IF(YEAR(Z$3)=YEAR('New Hires Forecast'!$N$3),((SUMIFS('New Hires Forecast'!$N$5:$N$82,'New Hires Forecast'!$F$5:$F$82,"Exec",'New Hires Forecast'!$H$5:$H$82,"&gt;="&amp;Exec!Z$3,'New Hires Forecast'!$G$5:$G$82,"&lt;="&amp;Exec!Z$3)/12)),IF(YEAR(Z$3)=YEAR('New Hires Forecast'!$O$3),((SUMIFS('New Hires Forecast'!$O$5:$O$82,'New Hires Forecast'!$F$5:$F$82,"Exec",'New Hires Forecast'!$H$5:$H$82,"&gt;="&amp;Exec!Z$3,'New Hires Forecast'!$G$5:$G$82,"&lt;="&amp;Exec!Z$3)/12)),IF(YEAR(Z$3)=YEAR('New Hires Forecast'!$P$3),((SUMIFS('New Hires Forecast'!$P$5:$P$82,'New Hires Forecast'!$F$5:$F$82,"Exec",'New Hires Forecast'!$H$5:$H$82,"&gt;="&amp;Exec!Z$3,'New Hires Forecast'!$G$5:$G$82,"&lt;="&amp;Exec!Z$3)/12)),IF(YEAR(Z$3)=YEAR('New Hires Forecast'!$Q$3),((SUMIFS('New Hires Forecast'!$Q$5:$Q$82,'New Hires Forecast'!$F$5:$F$82,"Exec",'New Hires Forecast'!$H$5:$H$82,"&gt;="&amp;Exec!Z$3,'New Hires Forecast'!$G$5:$G$82,"&lt;="&amp;Exec!Z$3)/12)),IF(YEAR(Z$3)=YEAR('New Hires Forecast'!$R$3),((SUMIFS('New Hires Forecast'!$R$5:$R$82,'New Hires Forecast'!$F$5:$F$82,"Exec",'New Hires Forecast'!$H$5:$H$82,"&gt;="&amp;Exec!Z$3,'New Hires Forecast'!$G$5:$G$82,"&lt;="&amp;Exec!Z$3)/12))))))),0)</f>
        <v>0</v>
      </c>
      <c r="AA13" s="668">
        <f>IF(AA$4="forecast",IF(YEAR(AA$3)=YEAR('New Hires Forecast'!$N$3),((SUMIFS('New Hires Forecast'!$N$5:$N$82,'New Hires Forecast'!$F$5:$F$82,"Exec",'New Hires Forecast'!$H$5:$H$82,"&gt;="&amp;Exec!AA$3,'New Hires Forecast'!$G$5:$G$82,"&lt;="&amp;Exec!AA$3)/12)),IF(YEAR(AA$3)=YEAR('New Hires Forecast'!$O$3),((SUMIFS('New Hires Forecast'!$O$5:$O$82,'New Hires Forecast'!$F$5:$F$82,"Exec",'New Hires Forecast'!$H$5:$H$82,"&gt;="&amp;Exec!AA$3,'New Hires Forecast'!$G$5:$G$82,"&lt;="&amp;Exec!AA$3)/12)),IF(YEAR(AA$3)=YEAR('New Hires Forecast'!$P$3),((SUMIFS('New Hires Forecast'!$P$5:$P$82,'New Hires Forecast'!$F$5:$F$82,"Exec",'New Hires Forecast'!$H$5:$H$82,"&gt;="&amp;Exec!AA$3,'New Hires Forecast'!$G$5:$G$82,"&lt;="&amp;Exec!AA$3)/12)),IF(YEAR(AA$3)=YEAR('New Hires Forecast'!$Q$3),((SUMIFS('New Hires Forecast'!$Q$5:$Q$82,'New Hires Forecast'!$F$5:$F$82,"Exec",'New Hires Forecast'!$H$5:$H$82,"&gt;="&amp;Exec!AA$3,'New Hires Forecast'!$G$5:$G$82,"&lt;="&amp;Exec!AA$3)/12)),IF(YEAR(AA$3)=YEAR('New Hires Forecast'!$R$3),((SUMIFS('New Hires Forecast'!$R$5:$R$82,'New Hires Forecast'!$F$5:$F$82,"Exec",'New Hires Forecast'!$H$5:$H$82,"&gt;="&amp;Exec!AA$3,'New Hires Forecast'!$G$5:$G$82,"&lt;="&amp;Exec!AA$3)/12))))))),0)</f>
        <v>0</v>
      </c>
      <c r="AB13" s="668">
        <f>IF(AB$4="forecast",IF(YEAR(AB$3)=YEAR('New Hires Forecast'!$N$3),((SUMIFS('New Hires Forecast'!$N$5:$N$82,'New Hires Forecast'!$F$5:$F$82,"Exec",'New Hires Forecast'!$H$5:$H$82,"&gt;="&amp;Exec!AB$3,'New Hires Forecast'!$G$5:$G$82,"&lt;="&amp;Exec!AB$3)/12)),IF(YEAR(AB$3)=YEAR('New Hires Forecast'!$O$3),((SUMIFS('New Hires Forecast'!$O$5:$O$82,'New Hires Forecast'!$F$5:$F$82,"Exec",'New Hires Forecast'!$H$5:$H$82,"&gt;="&amp;Exec!AB$3,'New Hires Forecast'!$G$5:$G$82,"&lt;="&amp;Exec!AB$3)/12)),IF(YEAR(AB$3)=YEAR('New Hires Forecast'!$P$3),((SUMIFS('New Hires Forecast'!$P$5:$P$82,'New Hires Forecast'!$F$5:$F$82,"Exec",'New Hires Forecast'!$H$5:$H$82,"&gt;="&amp;Exec!AB$3,'New Hires Forecast'!$G$5:$G$82,"&lt;="&amp;Exec!AB$3)/12)),IF(YEAR(AB$3)=YEAR('New Hires Forecast'!$Q$3),((SUMIFS('New Hires Forecast'!$Q$5:$Q$82,'New Hires Forecast'!$F$5:$F$82,"Exec",'New Hires Forecast'!$H$5:$H$82,"&gt;="&amp;Exec!AB$3,'New Hires Forecast'!$G$5:$G$82,"&lt;="&amp;Exec!AB$3)/12)),IF(YEAR(AB$3)=YEAR('New Hires Forecast'!$R$3),((SUMIFS('New Hires Forecast'!$R$5:$R$82,'New Hires Forecast'!$F$5:$F$82,"Exec",'New Hires Forecast'!$H$5:$H$82,"&gt;="&amp;Exec!AB$3,'New Hires Forecast'!$G$5:$G$82,"&lt;="&amp;Exec!AB$3)/12))))))),0)</f>
        <v>0</v>
      </c>
      <c r="AC13" s="668">
        <f>IF(AC$4="forecast",IF(YEAR(AC$3)=YEAR('New Hires Forecast'!$N$3),((SUMIFS('New Hires Forecast'!$N$5:$N$82,'New Hires Forecast'!$F$5:$F$82,"Exec",'New Hires Forecast'!$H$5:$H$82,"&gt;="&amp;Exec!AC$3,'New Hires Forecast'!$G$5:$G$82,"&lt;="&amp;Exec!AC$3)/12)),IF(YEAR(AC$3)=YEAR('New Hires Forecast'!$O$3),((SUMIFS('New Hires Forecast'!$O$5:$O$82,'New Hires Forecast'!$F$5:$F$82,"Exec",'New Hires Forecast'!$H$5:$H$82,"&gt;="&amp;Exec!AC$3,'New Hires Forecast'!$G$5:$G$82,"&lt;="&amp;Exec!AC$3)/12)),IF(YEAR(AC$3)=YEAR('New Hires Forecast'!$P$3),((SUMIFS('New Hires Forecast'!$P$5:$P$82,'New Hires Forecast'!$F$5:$F$82,"Exec",'New Hires Forecast'!$H$5:$H$82,"&gt;="&amp;Exec!AC$3,'New Hires Forecast'!$G$5:$G$82,"&lt;="&amp;Exec!AC$3)/12)),IF(YEAR(AC$3)=YEAR('New Hires Forecast'!$Q$3),((SUMIFS('New Hires Forecast'!$Q$5:$Q$82,'New Hires Forecast'!$F$5:$F$82,"Exec",'New Hires Forecast'!$H$5:$H$82,"&gt;="&amp;Exec!AC$3,'New Hires Forecast'!$G$5:$G$82,"&lt;="&amp;Exec!AC$3)/12)),IF(YEAR(AC$3)=YEAR('New Hires Forecast'!$R$3),((SUMIFS('New Hires Forecast'!$R$5:$R$82,'New Hires Forecast'!$F$5:$F$82,"Exec",'New Hires Forecast'!$H$5:$H$82,"&gt;="&amp;Exec!AC$3,'New Hires Forecast'!$G$5:$G$82,"&lt;="&amp;Exec!AC$3)/12))))))),0)</f>
        <v>0</v>
      </c>
      <c r="AD13" s="668">
        <f>IF(AD$4="forecast",IF(YEAR(AD$3)=YEAR('New Hires Forecast'!$N$3),((SUMIFS('New Hires Forecast'!$N$5:$N$82,'New Hires Forecast'!$F$5:$F$82,"Exec",'New Hires Forecast'!$H$5:$H$82,"&gt;="&amp;Exec!AD$3,'New Hires Forecast'!$G$5:$G$82,"&lt;="&amp;Exec!AD$3)/12)),IF(YEAR(AD$3)=YEAR('New Hires Forecast'!$O$3),((SUMIFS('New Hires Forecast'!$O$5:$O$82,'New Hires Forecast'!$F$5:$F$82,"Exec",'New Hires Forecast'!$H$5:$H$82,"&gt;="&amp;Exec!AD$3,'New Hires Forecast'!$G$5:$G$82,"&lt;="&amp;Exec!AD$3)/12)),IF(YEAR(AD$3)=YEAR('New Hires Forecast'!$P$3),((SUMIFS('New Hires Forecast'!$P$5:$P$82,'New Hires Forecast'!$F$5:$F$82,"Exec",'New Hires Forecast'!$H$5:$H$82,"&gt;="&amp;Exec!AD$3,'New Hires Forecast'!$G$5:$G$82,"&lt;="&amp;Exec!AD$3)/12)),IF(YEAR(AD$3)=YEAR('New Hires Forecast'!$Q$3),((SUMIFS('New Hires Forecast'!$Q$5:$Q$82,'New Hires Forecast'!$F$5:$F$82,"Exec",'New Hires Forecast'!$H$5:$H$82,"&gt;="&amp;Exec!AD$3,'New Hires Forecast'!$G$5:$G$82,"&lt;="&amp;Exec!AD$3)/12)),IF(YEAR(AD$3)=YEAR('New Hires Forecast'!$R$3),((SUMIFS('New Hires Forecast'!$R$5:$R$82,'New Hires Forecast'!$F$5:$F$82,"Exec",'New Hires Forecast'!$H$5:$H$82,"&gt;="&amp;Exec!AD$3,'New Hires Forecast'!$G$5:$G$82,"&lt;="&amp;Exec!AD$3)/12))))))),0)</f>
        <v>0</v>
      </c>
      <c r="AE13" s="668">
        <f>IF(AE$4="forecast",IF(YEAR(AE$3)=YEAR('New Hires Forecast'!$N$3),((SUMIFS('New Hires Forecast'!$N$5:$N$82,'New Hires Forecast'!$F$5:$F$82,"Exec",'New Hires Forecast'!$H$5:$H$82,"&gt;="&amp;Exec!AE$3,'New Hires Forecast'!$G$5:$G$82,"&lt;="&amp;Exec!AE$3)/12)),IF(YEAR(AE$3)=YEAR('New Hires Forecast'!$O$3),((SUMIFS('New Hires Forecast'!$O$5:$O$82,'New Hires Forecast'!$F$5:$F$82,"Exec",'New Hires Forecast'!$H$5:$H$82,"&gt;="&amp;Exec!AE$3,'New Hires Forecast'!$G$5:$G$82,"&lt;="&amp;Exec!AE$3)/12)),IF(YEAR(AE$3)=YEAR('New Hires Forecast'!$P$3),((SUMIFS('New Hires Forecast'!$P$5:$P$82,'New Hires Forecast'!$F$5:$F$82,"Exec",'New Hires Forecast'!$H$5:$H$82,"&gt;="&amp;Exec!AE$3,'New Hires Forecast'!$G$5:$G$82,"&lt;="&amp;Exec!AE$3)/12)),IF(YEAR(AE$3)=YEAR('New Hires Forecast'!$Q$3),((SUMIFS('New Hires Forecast'!$Q$5:$Q$82,'New Hires Forecast'!$F$5:$F$82,"Exec",'New Hires Forecast'!$H$5:$H$82,"&gt;="&amp;Exec!AE$3,'New Hires Forecast'!$G$5:$G$82,"&lt;="&amp;Exec!AE$3)/12)),IF(YEAR(AE$3)=YEAR('New Hires Forecast'!$R$3),((SUMIFS('New Hires Forecast'!$R$5:$R$82,'New Hires Forecast'!$F$5:$F$82,"Exec",'New Hires Forecast'!$H$5:$H$82,"&gt;="&amp;Exec!AE$3,'New Hires Forecast'!$G$5:$G$82,"&lt;="&amp;Exec!AE$3)/12))))))),0)</f>
        <v>0</v>
      </c>
      <c r="AF13" s="668">
        <f>IF(AF$4="forecast",IF(YEAR(AF$3)=YEAR('New Hires Forecast'!$N$3),((SUMIFS('New Hires Forecast'!$N$5:$N$82,'New Hires Forecast'!$F$5:$F$82,"Exec",'New Hires Forecast'!$H$5:$H$82,"&gt;="&amp;Exec!AF$3,'New Hires Forecast'!$G$5:$G$82,"&lt;="&amp;Exec!AF$3)/12)),IF(YEAR(AF$3)=YEAR('New Hires Forecast'!$O$3),((SUMIFS('New Hires Forecast'!$O$5:$O$82,'New Hires Forecast'!$F$5:$F$82,"Exec",'New Hires Forecast'!$H$5:$H$82,"&gt;="&amp;Exec!AF$3,'New Hires Forecast'!$G$5:$G$82,"&lt;="&amp;Exec!AF$3)/12)),IF(YEAR(AF$3)=YEAR('New Hires Forecast'!$P$3),((SUMIFS('New Hires Forecast'!$P$5:$P$82,'New Hires Forecast'!$F$5:$F$82,"Exec",'New Hires Forecast'!$H$5:$H$82,"&gt;="&amp;Exec!AF$3,'New Hires Forecast'!$G$5:$G$82,"&lt;="&amp;Exec!AF$3)/12)),IF(YEAR(AF$3)=YEAR('New Hires Forecast'!$Q$3),((SUMIFS('New Hires Forecast'!$Q$5:$Q$82,'New Hires Forecast'!$F$5:$F$82,"Exec",'New Hires Forecast'!$H$5:$H$82,"&gt;="&amp;Exec!AF$3,'New Hires Forecast'!$G$5:$G$82,"&lt;="&amp;Exec!AF$3)/12)),IF(YEAR(AF$3)=YEAR('New Hires Forecast'!$R$3),((SUMIFS('New Hires Forecast'!$R$5:$R$82,'New Hires Forecast'!$F$5:$F$82,"Exec",'New Hires Forecast'!$H$5:$H$82,"&gt;="&amp;Exec!AF$3,'New Hires Forecast'!$G$5:$G$82,"&lt;="&amp;Exec!AF$3)/12))))))),0)</f>
        <v>0</v>
      </c>
      <c r="AG13" s="668">
        <f>IF(AG$4="forecast",IF(YEAR(AG$3)=YEAR('New Hires Forecast'!$N$3),((SUMIFS('New Hires Forecast'!$N$5:$N$82,'New Hires Forecast'!$F$5:$F$82,"Exec",'New Hires Forecast'!$H$5:$H$82,"&gt;="&amp;Exec!AG$3,'New Hires Forecast'!$G$5:$G$82,"&lt;="&amp;Exec!AG$3)/12)),IF(YEAR(AG$3)=YEAR('New Hires Forecast'!$O$3),((SUMIFS('New Hires Forecast'!$O$5:$O$82,'New Hires Forecast'!$F$5:$F$82,"Exec",'New Hires Forecast'!$H$5:$H$82,"&gt;="&amp;Exec!AG$3,'New Hires Forecast'!$G$5:$G$82,"&lt;="&amp;Exec!AG$3)/12)),IF(YEAR(AG$3)=YEAR('New Hires Forecast'!$P$3),((SUMIFS('New Hires Forecast'!$P$5:$P$82,'New Hires Forecast'!$F$5:$F$82,"Exec",'New Hires Forecast'!$H$5:$H$82,"&gt;="&amp;Exec!AG$3,'New Hires Forecast'!$G$5:$G$82,"&lt;="&amp;Exec!AG$3)/12)),IF(YEAR(AG$3)=YEAR('New Hires Forecast'!$Q$3),((SUMIFS('New Hires Forecast'!$Q$5:$Q$82,'New Hires Forecast'!$F$5:$F$82,"Exec",'New Hires Forecast'!$H$5:$H$82,"&gt;="&amp;Exec!AG$3,'New Hires Forecast'!$G$5:$G$82,"&lt;="&amp;Exec!AG$3)/12)),IF(YEAR(AG$3)=YEAR('New Hires Forecast'!$R$3),((SUMIFS('New Hires Forecast'!$R$5:$R$82,'New Hires Forecast'!$F$5:$F$82,"Exec",'New Hires Forecast'!$H$5:$H$82,"&gt;="&amp;Exec!AG$3,'New Hires Forecast'!$G$5:$G$82,"&lt;="&amp;Exec!AG$3)/12))))))),0)</f>
        <v>0</v>
      </c>
      <c r="AH13" s="668">
        <f>IF(AH$4="forecast",IF(YEAR(AH$3)=YEAR('New Hires Forecast'!$N$3),((SUMIFS('New Hires Forecast'!$N$5:$N$82,'New Hires Forecast'!$F$5:$F$82,"Exec",'New Hires Forecast'!$H$5:$H$82,"&gt;="&amp;Exec!AH$3,'New Hires Forecast'!$G$5:$G$82,"&lt;="&amp;Exec!AH$3)/12)),IF(YEAR(AH$3)=YEAR('New Hires Forecast'!$O$3),((SUMIFS('New Hires Forecast'!$O$5:$O$82,'New Hires Forecast'!$F$5:$F$82,"Exec",'New Hires Forecast'!$H$5:$H$82,"&gt;="&amp;Exec!AH$3,'New Hires Forecast'!$G$5:$G$82,"&lt;="&amp;Exec!AH$3)/12)),IF(YEAR(AH$3)=YEAR('New Hires Forecast'!$P$3),((SUMIFS('New Hires Forecast'!$P$5:$P$82,'New Hires Forecast'!$F$5:$F$82,"Exec",'New Hires Forecast'!$H$5:$H$82,"&gt;="&amp;Exec!AH$3,'New Hires Forecast'!$G$5:$G$82,"&lt;="&amp;Exec!AH$3)/12)),IF(YEAR(AH$3)=YEAR('New Hires Forecast'!$Q$3),((SUMIFS('New Hires Forecast'!$Q$5:$Q$82,'New Hires Forecast'!$F$5:$F$82,"Exec",'New Hires Forecast'!$H$5:$H$82,"&gt;="&amp;Exec!AH$3,'New Hires Forecast'!$G$5:$G$82,"&lt;="&amp;Exec!AH$3)/12)),IF(YEAR(AH$3)=YEAR('New Hires Forecast'!$R$3),((SUMIFS('New Hires Forecast'!$R$5:$R$82,'New Hires Forecast'!$F$5:$F$82,"Exec",'New Hires Forecast'!$H$5:$H$82,"&gt;="&amp;Exec!AH$3,'New Hires Forecast'!$G$5:$G$82,"&lt;="&amp;Exec!AH$3)/12))))))),0)</f>
        <v>0</v>
      </c>
      <c r="AI13" s="668">
        <f>IF(AI$4="forecast",IF(YEAR(AI$3)=YEAR('New Hires Forecast'!$N$3),((SUMIFS('New Hires Forecast'!$N$5:$N$82,'New Hires Forecast'!$F$5:$F$82,"Exec",'New Hires Forecast'!$H$5:$H$82,"&gt;="&amp;Exec!AI$3,'New Hires Forecast'!$G$5:$G$82,"&lt;="&amp;Exec!AI$3)/12)),IF(YEAR(AI$3)=YEAR('New Hires Forecast'!$O$3),((SUMIFS('New Hires Forecast'!$O$5:$O$82,'New Hires Forecast'!$F$5:$F$82,"Exec",'New Hires Forecast'!$H$5:$H$82,"&gt;="&amp;Exec!AI$3,'New Hires Forecast'!$G$5:$G$82,"&lt;="&amp;Exec!AI$3)/12)),IF(YEAR(AI$3)=YEAR('New Hires Forecast'!$P$3),((SUMIFS('New Hires Forecast'!$P$5:$P$82,'New Hires Forecast'!$F$5:$F$82,"Exec",'New Hires Forecast'!$H$5:$H$82,"&gt;="&amp;Exec!AI$3,'New Hires Forecast'!$G$5:$G$82,"&lt;="&amp;Exec!AI$3)/12)),IF(YEAR(AI$3)=YEAR('New Hires Forecast'!$Q$3),((SUMIFS('New Hires Forecast'!$Q$5:$Q$82,'New Hires Forecast'!$F$5:$F$82,"Exec",'New Hires Forecast'!$H$5:$H$82,"&gt;="&amp;Exec!AI$3,'New Hires Forecast'!$G$5:$G$82,"&lt;="&amp;Exec!AI$3)/12)),IF(YEAR(AI$3)=YEAR('New Hires Forecast'!$R$3),((SUMIFS('New Hires Forecast'!$R$5:$R$82,'New Hires Forecast'!$F$5:$F$82,"Exec",'New Hires Forecast'!$H$5:$H$82,"&gt;="&amp;Exec!AI$3,'New Hires Forecast'!$G$5:$G$82,"&lt;="&amp;Exec!AI$3)/12))))))),0)</f>
        <v>0</v>
      </c>
      <c r="AJ13" s="668">
        <f>IF(AJ$4="forecast",IF(YEAR(AJ$3)=YEAR('New Hires Forecast'!$N$3),((SUMIFS('New Hires Forecast'!$N$5:$N$82,'New Hires Forecast'!$F$5:$F$82,"Exec",'New Hires Forecast'!$H$5:$H$82,"&gt;="&amp;Exec!AJ$3,'New Hires Forecast'!$G$5:$G$82,"&lt;="&amp;Exec!AJ$3)/12)),IF(YEAR(AJ$3)=YEAR('New Hires Forecast'!$O$3),((SUMIFS('New Hires Forecast'!$O$5:$O$82,'New Hires Forecast'!$F$5:$F$82,"Exec",'New Hires Forecast'!$H$5:$H$82,"&gt;="&amp;Exec!AJ$3,'New Hires Forecast'!$G$5:$G$82,"&lt;="&amp;Exec!AJ$3)/12)),IF(YEAR(AJ$3)=YEAR('New Hires Forecast'!$P$3),((SUMIFS('New Hires Forecast'!$P$5:$P$82,'New Hires Forecast'!$F$5:$F$82,"Exec",'New Hires Forecast'!$H$5:$H$82,"&gt;="&amp;Exec!AJ$3,'New Hires Forecast'!$G$5:$G$82,"&lt;="&amp;Exec!AJ$3)/12)),IF(YEAR(AJ$3)=YEAR('New Hires Forecast'!$Q$3),((SUMIFS('New Hires Forecast'!$Q$5:$Q$82,'New Hires Forecast'!$F$5:$F$82,"Exec",'New Hires Forecast'!$H$5:$H$82,"&gt;="&amp;Exec!AJ$3,'New Hires Forecast'!$G$5:$G$82,"&lt;="&amp;Exec!AJ$3)/12)),IF(YEAR(AJ$3)=YEAR('New Hires Forecast'!$R$3),((SUMIFS('New Hires Forecast'!$R$5:$R$82,'New Hires Forecast'!$F$5:$F$82,"Exec",'New Hires Forecast'!$H$5:$H$82,"&gt;="&amp;Exec!AJ$3,'New Hires Forecast'!$G$5:$G$82,"&lt;="&amp;Exec!AJ$3)/12))))))),0)</f>
        <v>0</v>
      </c>
      <c r="AK13" s="668">
        <f>IF(AK$4="forecast",IF(YEAR(AK$3)=YEAR('New Hires Forecast'!$N$3),((SUMIFS('New Hires Forecast'!$N$5:$N$82,'New Hires Forecast'!$F$5:$F$82,"Exec",'New Hires Forecast'!$H$5:$H$82,"&gt;="&amp;Exec!AK$3,'New Hires Forecast'!$G$5:$G$82,"&lt;="&amp;Exec!AK$3)/12)),IF(YEAR(AK$3)=YEAR('New Hires Forecast'!$O$3),((SUMIFS('New Hires Forecast'!$O$5:$O$82,'New Hires Forecast'!$F$5:$F$82,"Exec",'New Hires Forecast'!$H$5:$H$82,"&gt;="&amp;Exec!AK$3,'New Hires Forecast'!$G$5:$G$82,"&lt;="&amp;Exec!AK$3)/12)),IF(YEAR(AK$3)=YEAR('New Hires Forecast'!$P$3),((SUMIFS('New Hires Forecast'!$P$5:$P$82,'New Hires Forecast'!$F$5:$F$82,"Exec",'New Hires Forecast'!$H$5:$H$82,"&gt;="&amp;Exec!AK$3,'New Hires Forecast'!$G$5:$G$82,"&lt;="&amp;Exec!AK$3)/12)),IF(YEAR(AK$3)=YEAR('New Hires Forecast'!$Q$3),((SUMIFS('New Hires Forecast'!$Q$5:$Q$82,'New Hires Forecast'!$F$5:$F$82,"Exec",'New Hires Forecast'!$H$5:$H$82,"&gt;="&amp;Exec!AK$3,'New Hires Forecast'!$G$5:$G$82,"&lt;="&amp;Exec!AK$3)/12)),IF(YEAR(AK$3)=YEAR('New Hires Forecast'!$R$3),((SUMIFS('New Hires Forecast'!$R$5:$R$82,'New Hires Forecast'!$F$5:$F$82,"Exec",'New Hires Forecast'!$H$5:$H$82,"&gt;="&amp;Exec!AK$3,'New Hires Forecast'!$G$5:$G$82,"&lt;="&amp;Exec!AK$3)/12))))))),0)</f>
        <v>0</v>
      </c>
      <c r="AL13" s="668">
        <f>IF(AL$4="forecast",IF(YEAR(AL$3)=YEAR('New Hires Forecast'!$N$3),((SUMIFS('New Hires Forecast'!$N$5:$N$82,'New Hires Forecast'!$F$5:$F$82,"Exec",'New Hires Forecast'!$H$5:$H$82,"&gt;="&amp;Exec!AL$3,'New Hires Forecast'!$G$5:$G$82,"&lt;="&amp;Exec!AL$3)/12)),IF(YEAR(AL$3)=YEAR('New Hires Forecast'!$O$3),((SUMIFS('New Hires Forecast'!$O$5:$O$82,'New Hires Forecast'!$F$5:$F$82,"Exec",'New Hires Forecast'!$H$5:$H$82,"&gt;="&amp;Exec!AL$3,'New Hires Forecast'!$G$5:$G$82,"&lt;="&amp;Exec!AL$3)/12)),IF(YEAR(AL$3)=YEAR('New Hires Forecast'!$P$3),((SUMIFS('New Hires Forecast'!$P$5:$P$82,'New Hires Forecast'!$F$5:$F$82,"Exec",'New Hires Forecast'!$H$5:$H$82,"&gt;="&amp;Exec!AL$3,'New Hires Forecast'!$G$5:$G$82,"&lt;="&amp;Exec!AL$3)/12)),IF(YEAR(AL$3)=YEAR('New Hires Forecast'!$Q$3),((SUMIFS('New Hires Forecast'!$Q$5:$Q$82,'New Hires Forecast'!$F$5:$F$82,"Exec",'New Hires Forecast'!$H$5:$H$82,"&gt;="&amp;Exec!AL$3,'New Hires Forecast'!$G$5:$G$82,"&lt;="&amp;Exec!AL$3)/12)),IF(YEAR(AL$3)=YEAR('New Hires Forecast'!$R$3),((SUMIFS('New Hires Forecast'!$R$5:$R$82,'New Hires Forecast'!$F$5:$F$82,"Exec",'New Hires Forecast'!$H$5:$H$82,"&gt;="&amp;Exec!AL$3,'New Hires Forecast'!$G$5:$G$82,"&lt;="&amp;Exec!AL$3)/12))))))),0)</f>
        <v>0</v>
      </c>
      <c r="AM13" s="668">
        <f>IF(AM$4="forecast",IF(YEAR(AM$3)=YEAR('New Hires Forecast'!$N$3),((SUMIFS('New Hires Forecast'!$N$5:$N$82,'New Hires Forecast'!$F$5:$F$82,"Exec",'New Hires Forecast'!$H$5:$H$82,"&gt;="&amp;Exec!AM$3,'New Hires Forecast'!$G$5:$G$82,"&lt;="&amp;Exec!AM$3)/12)),IF(YEAR(AM$3)=YEAR('New Hires Forecast'!$O$3),((SUMIFS('New Hires Forecast'!$O$5:$O$82,'New Hires Forecast'!$F$5:$F$82,"Exec",'New Hires Forecast'!$H$5:$H$82,"&gt;="&amp;Exec!AM$3,'New Hires Forecast'!$G$5:$G$82,"&lt;="&amp;Exec!AM$3)/12)),IF(YEAR(AM$3)=YEAR('New Hires Forecast'!$P$3),((SUMIFS('New Hires Forecast'!$P$5:$P$82,'New Hires Forecast'!$F$5:$F$82,"Exec",'New Hires Forecast'!$H$5:$H$82,"&gt;="&amp;Exec!AM$3,'New Hires Forecast'!$G$5:$G$82,"&lt;="&amp;Exec!AM$3)/12)),IF(YEAR(AM$3)=YEAR('New Hires Forecast'!$Q$3),((SUMIFS('New Hires Forecast'!$Q$5:$Q$82,'New Hires Forecast'!$F$5:$F$82,"Exec",'New Hires Forecast'!$H$5:$H$82,"&gt;="&amp;Exec!AM$3,'New Hires Forecast'!$G$5:$G$82,"&lt;="&amp;Exec!AM$3)/12)),IF(YEAR(AM$3)=YEAR('New Hires Forecast'!$R$3),((SUMIFS('New Hires Forecast'!$R$5:$R$82,'New Hires Forecast'!$F$5:$F$82,"Exec",'New Hires Forecast'!$H$5:$H$82,"&gt;="&amp;Exec!AM$3,'New Hires Forecast'!$G$5:$G$82,"&lt;="&amp;Exec!AM$3)/12))))))),0)</f>
        <v>0</v>
      </c>
      <c r="AN13" s="668">
        <f>IF(AN$4="forecast",IF(YEAR(AN$3)=YEAR('New Hires Forecast'!$N$3),((SUMIFS('New Hires Forecast'!$N$5:$N$82,'New Hires Forecast'!$F$5:$F$82,"Exec",'New Hires Forecast'!$H$5:$H$82,"&gt;="&amp;Exec!AN$3,'New Hires Forecast'!$G$5:$G$82,"&lt;="&amp;Exec!AN$3)/12)),IF(YEAR(AN$3)=YEAR('New Hires Forecast'!$O$3),((SUMIFS('New Hires Forecast'!$O$5:$O$82,'New Hires Forecast'!$F$5:$F$82,"Exec",'New Hires Forecast'!$H$5:$H$82,"&gt;="&amp;Exec!AN$3,'New Hires Forecast'!$G$5:$G$82,"&lt;="&amp;Exec!AN$3)/12)),IF(YEAR(AN$3)=YEAR('New Hires Forecast'!$P$3),((SUMIFS('New Hires Forecast'!$P$5:$P$82,'New Hires Forecast'!$F$5:$F$82,"Exec",'New Hires Forecast'!$H$5:$H$82,"&gt;="&amp;Exec!AN$3,'New Hires Forecast'!$G$5:$G$82,"&lt;="&amp;Exec!AN$3)/12)),IF(YEAR(AN$3)=YEAR('New Hires Forecast'!$Q$3),((SUMIFS('New Hires Forecast'!$Q$5:$Q$82,'New Hires Forecast'!$F$5:$F$82,"Exec",'New Hires Forecast'!$H$5:$H$82,"&gt;="&amp;Exec!AN$3,'New Hires Forecast'!$G$5:$G$82,"&lt;="&amp;Exec!AN$3)/12)),IF(YEAR(AN$3)=YEAR('New Hires Forecast'!$R$3),((SUMIFS('New Hires Forecast'!$R$5:$R$82,'New Hires Forecast'!$F$5:$F$82,"Exec",'New Hires Forecast'!$H$5:$H$82,"&gt;="&amp;Exec!AN$3,'New Hires Forecast'!$G$5:$G$82,"&lt;="&amp;Exec!AN$3)/12))))))),0)</f>
        <v>0</v>
      </c>
      <c r="AO13" s="668">
        <f>IF(AO$4="forecast",IF(YEAR(AO$3)=YEAR('New Hires Forecast'!$N$3),((SUMIFS('New Hires Forecast'!$N$5:$N$82,'New Hires Forecast'!$F$5:$F$82,"Exec",'New Hires Forecast'!$H$5:$H$82,"&gt;="&amp;Exec!AO$3,'New Hires Forecast'!$G$5:$G$82,"&lt;="&amp;Exec!AO$3)/12)),IF(YEAR(AO$3)=YEAR('New Hires Forecast'!$O$3),((SUMIFS('New Hires Forecast'!$O$5:$O$82,'New Hires Forecast'!$F$5:$F$82,"Exec",'New Hires Forecast'!$H$5:$H$82,"&gt;="&amp;Exec!AO$3,'New Hires Forecast'!$G$5:$G$82,"&lt;="&amp;Exec!AO$3)/12)),IF(YEAR(AO$3)=YEAR('New Hires Forecast'!$P$3),((SUMIFS('New Hires Forecast'!$P$5:$P$82,'New Hires Forecast'!$F$5:$F$82,"Exec",'New Hires Forecast'!$H$5:$H$82,"&gt;="&amp;Exec!AO$3,'New Hires Forecast'!$G$5:$G$82,"&lt;="&amp;Exec!AO$3)/12)),IF(YEAR(AO$3)=YEAR('New Hires Forecast'!$Q$3),((SUMIFS('New Hires Forecast'!$Q$5:$Q$82,'New Hires Forecast'!$F$5:$F$82,"Exec",'New Hires Forecast'!$H$5:$H$82,"&gt;="&amp;Exec!AO$3,'New Hires Forecast'!$G$5:$G$82,"&lt;="&amp;Exec!AO$3)/12)),IF(YEAR(AO$3)=YEAR('New Hires Forecast'!$R$3),((SUMIFS('New Hires Forecast'!$R$5:$R$82,'New Hires Forecast'!$F$5:$F$82,"Exec",'New Hires Forecast'!$H$5:$H$82,"&gt;="&amp;Exec!AO$3,'New Hires Forecast'!$G$5:$G$82,"&lt;="&amp;Exec!AO$3)/12))))))),0)</f>
        <v>0</v>
      </c>
      <c r="AP13" s="668">
        <f>IF(AP$4="forecast",IF(YEAR(AP$3)=YEAR('New Hires Forecast'!$N$3),((SUMIFS('New Hires Forecast'!$N$5:$N$82,'New Hires Forecast'!$F$5:$F$82,"Exec",'New Hires Forecast'!$H$5:$H$82,"&gt;="&amp;Exec!AP$3,'New Hires Forecast'!$G$5:$G$82,"&lt;="&amp;Exec!AP$3)/12)),IF(YEAR(AP$3)=YEAR('New Hires Forecast'!$O$3),((SUMIFS('New Hires Forecast'!$O$5:$O$82,'New Hires Forecast'!$F$5:$F$82,"Exec",'New Hires Forecast'!$H$5:$H$82,"&gt;="&amp;Exec!AP$3,'New Hires Forecast'!$G$5:$G$82,"&lt;="&amp;Exec!AP$3)/12)),IF(YEAR(AP$3)=YEAR('New Hires Forecast'!$P$3),((SUMIFS('New Hires Forecast'!$P$5:$P$82,'New Hires Forecast'!$F$5:$F$82,"Exec",'New Hires Forecast'!$H$5:$H$82,"&gt;="&amp;Exec!AP$3,'New Hires Forecast'!$G$5:$G$82,"&lt;="&amp;Exec!AP$3)/12)),IF(YEAR(AP$3)=YEAR('New Hires Forecast'!$Q$3),((SUMIFS('New Hires Forecast'!$Q$5:$Q$82,'New Hires Forecast'!$F$5:$F$82,"Exec",'New Hires Forecast'!$H$5:$H$82,"&gt;="&amp;Exec!AP$3,'New Hires Forecast'!$G$5:$G$82,"&lt;="&amp;Exec!AP$3)/12)),IF(YEAR(AP$3)=YEAR('New Hires Forecast'!$R$3),((SUMIFS('New Hires Forecast'!$R$5:$R$82,'New Hires Forecast'!$F$5:$F$82,"Exec",'New Hires Forecast'!$H$5:$H$82,"&gt;="&amp;Exec!AP$3,'New Hires Forecast'!$G$5:$G$82,"&lt;="&amp;Exec!AP$3)/12))))))),0)</f>
        <v>0</v>
      </c>
      <c r="AQ13" s="668">
        <f>IF(AQ$4="forecast",IF(YEAR(AQ$3)=YEAR('New Hires Forecast'!$N$3),((SUMIFS('New Hires Forecast'!$N$5:$N$82,'New Hires Forecast'!$F$5:$F$82,"Exec",'New Hires Forecast'!$H$5:$H$82,"&gt;="&amp;Exec!AQ$3,'New Hires Forecast'!$G$5:$G$82,"&lt;="&amp;Exec!AQ$3)/12)),IF(YEAR(AQ$3)=YEAR('New Hires Forecast'!$O$3),((SUMIFS('New Hires Forecast'!$O$5:$O$82,'New Hires Forecast'!$F$5:$F$82,"Exec",'New Hires Forecast'!$H$5:$H$82,"&gt;="&amp;Exec!AQ$3,'New Hires Forecast'!$G$5:$G$82,"&lt;="&amp;Exec!AQ$3)/12)),IF(YEAR(AQ$3)=YEAR('New Hires Forecast'!$P$3),((SUMIFS('New Hires Forecast'!$P$5:$P$82,'New Hires Forecast'!$F$5:$F$82,"Exec",'New Hires Forecast'!$H$5:$H$82,"&gt;="&amp;Exec!AQ$3,'New Hires Forecast'!$G$5:$G$82,"&lt;="&amp;Exec!AQ$3)/12)),IF(YEAR(AQ$3)=YEAR('New Hires Forecast'!$Q$3),((SUMIFS('New Hires Forecast'!$Q$5:$Q$82,'New Hires Forecast'!$F$5:$F$82,"Exec",'New Hires Forecast'!$H$5:$H$82,"&gt;="&amp;Exec!AQ$3,'New Hires Forecast'!$G$5:$G$82,"&lt;="&amp;Exec!AQ$3)/12)),IF(YEAR(AQ$3)=YEAR('New Hires Forecast'!$R$3),((SUMIFS('New Hires Forecast'!$R$5:$R$82,'New Hires Forecast'!$F$5:$F$82,"Exec",'New Hires Forecast'!$H$5:$H$82,"&gt;="&amp;Exec!AQ$3,'New Hires Forecast'!$G$5:$G$82,"&lt;="&amp;Exec!AQ$3)/12))))))),0)</f>
        <v>0</v>
      </c>
      <c r="AR13" s="668">
        <f>IF(AR$4="forecast",IF(YEAR(AR$3)=YEAR('New Hires Forecast'!$N$3),((SUMIFS('New Hires Forecast'!$N$5:$N$82,'New Hires Forecast'!$F$5:$F$82,"Exec",'New Hires Forecast'!$H$5:$H$82,"&gt;="&amp;Exec!AR$3,'New Hires Forecast'!$G$5:$G$82,"&lt;="&amp;Exec!AR$3)/12)),IF(YEAR(AR$3)=YEAR('New Hires Forecast'!$O$3),((SUMIFS('New Hires Forecast'!$O$5:$O$82,'New Hires Forecast'!$F$5:$F$82,"Exec",'New Hires Forecast'!$H$5:$H$82,"&gt;="&amp;Exec!AR$3,'New Hires Forecast'!$G$5:$G$82,"&lt;="&amp;Exec!AR$3)/12)),IF(YEAR(AR$3)=YEAR('New Hires Forecast'!$P$3),((SUMIFS('New Hires Forecast'!$P$5:$P$82,'New Hires Forecast'!$F$5:$F$82,"Exec",'New Hires Forecast'!$H$5:$H$82,"&gt;="&amp;Exec!AR$3,'New Hires Forecast'!$G$5:$G$82,"&lt;="&amp;Exec!AR$3)/12)),IF(YEAR(AR$3)=YEAR('New Hires Forecast'!$Q$3),((SUMIFS('New Hires Forecast'!$Q$5:$Q$82,'New Hires Forecast'!$F$5:$F$82,"Exec",'New Hires Forecast'!$H$5:$H$82,"&gt;="&amp;Exec!AR$3,'New Hires Forecast'!$G$5:$G$82,"&lt;="&amp;Exec!AR$3)/12)),IF(YEAR(AR$3)=YEAR('New Hires Forecast'!$R$3),((SUMIFS('New Hires Forecast'!$R$5:$R$82,'New Hires Forecast'!$F$5:$F$82,"Exec",'New Hires Forecast'!$H$5:$H$82,"&gt;="&amp;Exec!AR$3,'New Hires Forecast'!$G$5:$G$82,"&lt;="&amp;Exec!AR$3)/12))))))),0)</f>
        <v>0</v>
      </c>
      <c r="AS13" s="668">
        <f>IF(AS$4="forecast",IF(YEAR(AS$3)=YEAR('New Hires Forecast'!$N$3),((SUMIFS('New Hires Forecast'!$N$5:$N$82,'New Hires Forecast'!$F$5:$F$82,"Exec",'New Hires Forecast'!$H$5:$H$82,"&gt;="&amp;Exec!AS$3,'New Hires Forecast'!$G$5:$G$82,"&lt;="&amp;Exec!AS$3)/12)),IF(YEAR(AS$3)=YEAR('New Hires Forecast'!$O$3),((SUMIFS('New Hires Forecast'!$O$5:$O$82,'New Hires Forecast'!$F$5:$F$82,"Exec",'New Hires Forecast'!$H$5:$H$82,"&gt;="&amp;Exec!AS$3,'New Hires Forecast'!$G$5:$G$82,"&lt;="&amp;Exec!AS$3)/12)),IF(YEAR(AS$3)=YEAR('New Hires Forecast'!$P$3),((SUMIFS('New Hires Forecast'!$P$5:$P$82,'New Hires Forecast'!$F$5:$F$82,"Exec",'New Hires Forecast'!$H$5:$H$82,"&gt;="&amp;Exec!AS$3,'New Hires Forecast'!$G$5:$G$82,"&lt;="&amp;Exec!AS$3)/12)),IF(YEAR(AS$3)=YEAR('New Hires Forecast'!$Q$3),((SUMIFS('New Hires Forecast'!$Q$5:$Q$82,'New Hires Forecast'!$F$5:$F$82,"Exec",'New Hires Forecast'!$H$5:$H$82,"&gt;="&amp;Exec!AS$3,'New Hires Forecast'!$G$5:$G$82,"&lt;="&amp;Exec!AS$3)/12)),IF(YEAR(AS$3)=YEAR('New Hires Forecast'!$R$3),((SUMIFS('New Hires Forecast'!$R$5:$R$82,'New Hires Forecast'!$F$5:$F$82,"Exec",'New Hires Forecast'!$H$5:$H$82,"&gt;="&amp;Exec!AS$3,'New Hires Forecast'!$G$5:$G$82,"&lt;="&amp;Exec!AS$3)/12))))))),0)</f>
        <v>0</v>
      </c>
      <c r="AT13" s="668">
        <f>IF(AT$4="forecast",IF(YEAR(AT$3)=YEAR('New Hires Forecast'!$N$3),((SUMIFS('New Hires Forecast'!$N$5:$N$82,'New Hires Forecast'!$F$5:$F$82,"Exec",'New Hires Forecast'!$H$5:$H$82,"&gt;="&amp;Exec!AT$3,'New Hires Forecast'!$G$5:$G$82,"&lt;="&amp;Exec!AT$3)/12)),IF(YEAR(AT$3)=YEAR('New Hires Forecast'!$O$3),((SUMIFS('New Hires Forecast'!$O$5:$O$82,'New Hires Forecast'!$F$5:$F$82,"Exec",'New Hires Forecast'!$H$5:$H$82,"&gt;="&amp;Exec!AT$3,'New Hires Forecast'!$G$5:$G$82,"&lt;="&amp;Exec!AT$3)/12)),IF(YEAR(AT$3)=YEAR('New Hires Forecast'!$P$3),((SUMIFS('New Hires Forecast'!$P$5:$P$82,'New Hires Forecast'!$F$5:$F$82,"Exec",'New Hires Forecast'!$H$5:$H$82,"&gt;="&amp;Exec!AT$3,'New Hires Forecast'!$G$5:$G$82,"&lt;="&amp;Exec!AT$3)/12)),IF(YEAR(AT$3)=YEAR('New Hires Forecast'!$Q$3),((SUMIFS('New Hires Forecast'!$Q$5:$Q$82,'New Hires Forecast'!$F$5:$F$82,"Exec",'New Hires Forecast'!$H$5:$H$82,"&gt;="&amp;Exec!AT$3,'New Hires Forecast'!$G$5:$G$82,"&lt;="&amp;Exec!AT$3)/12)),IF(YEAR(AT$3)=YEAR('New Hires Forecast'!$R$3),((SUMIFS('New Hires Forecast'!$R$5:$R$82,'New Hires Forecast'!$F$5:$F$82,"Exec",'New Hires Forecast'!$H$5:$H$82,"&gt;="&amp;Exec!AT$3,'New Hires Forecast'!$G$5:$G$82,"&lt;="&amp;Exec!AT$3)/12))))))),0)</f>
        <v>0</v>
      </c>
      <c r="AU13" s="668">
        <f>IF(AU$4="forecast",IF(YEAR(AU$3)=YEAR('New Hires Forecast'!$N$3),((SUMIFS('New Hires Forecast'!$N$5:$N$82,'New Hires Forecast'!$F$5:$F$82,"Exec",'New Hires Forecast'!$H$5:$H$82,"&gt;="&amp;Exec!AU$3,'New Hires Forecast'!$G$5:$G$82,"&lt;="&amp;Exec!AU$3)/12)),IF(YEAR(AU$3)=YEAR('New Hires Forecast'!$O$3),((SUMIFS('New Hires Forecast'!$O$5:$O$82,'New Hires Forecast'!$F$5:$F$82,"Exec",'New Hires Forecast'!$H$5:$H$82,"&gt;="&amp;Exec!AU$3,'New Hires Forecast'!$G$5:$G$82,"&lt;="&amp;Exec!AU$3)/12)),IF(YEAR(AU$3)=YEAR('New Hires Forecast'!$P$3),((SUMIFS('New Hires Forecast'!$P$5:$P$82,'New Hires Forecast'!$F$5:$F$82,"Exec",'New Hires Forecast'!$H$5:$H$82,"&gt;="&amp;Exec!AU$3,'New Hires Forecast'!$G$5:$G$82,"&lt;="&amp;Exec!AU$3)/12)),IF(YEAR(AU$3)=YEAR('New Hires Forecast'!$Q$3),((SUMIFS('New Hires Forecast'!$Q$5:$Q$82,'New Hires Forecast'!$F$5:$F$82,"Exec",'New Hires Forecast'!$H$5:$H$82,"&gt;="&amp;Exec!AU$3,'New Hires Forecast'!$G$5:$G$82,"&lt;="&amp;Exec!AU$3)/12)),IF(YEAR(AU$3)=YEAR('New Hires Forecast'!$R$3),((SUMIFS('New Hires Forecast'!$R$5:$R$82,'New Hires Forecast'!$F$5:$F$82,"Exec",'New Hires Forecast'!$H$5:$H$82,"&gt;="&amp;Exec!AU$3,'New Hires Forecast'!$G$5:$G$82,"&lt;="&amp;Exec!AU$3)/12))))))),0)</f>
        <v>0</v>
      </c>
      <c r="AV13" s="668">
        <f>IF(AV$4="forecast",IF(YEAR(AV$3)=YEAR('New Hires Forecast'!$N$3),((SUMIFS('New Hires Forecast'!$N$5:$N$82,'New Hires Forecast'!$F$5:$F$82,"Exec",'New Hires Forecast'!$H$5:$H$82,"&gt;="&amp;Exec!AV$3,'New Hires Forecast'!$G$5:$G$82,"&lt;="&amp;Exec!AV$3)/12)),IF(YEAR(AV$3)=YEAR('New Hires Forecast'!$O$3),((SUMIFS('New Hires Forecast'!$O$5:$O$82,'New Hires Forecast'!$F$5:$F$82,"Exec",'New Hires Forecast'!$H$5:$H$82,"&gt;="&amp;Exec!AV$3,'New Hires Forecast'!$G$5:$G$82,"&lt;="&amp;Exec!AV$3)/12)),IF(YEAR(AV$3)=YEAR('New Hires Forecast'!$P$3),((SUMIFS('New Hires Forecast'!$P$5:$P$82,'New Hires Forecast'!$F$5:$F$82,"Exec",'New Hires Forecast'!$H$5:$H$82,"&gt;="&amp;Exec!AV$3,'New Hires Forecast'!$G$5:$G$82,"&lt;="&amp;Exec!AV$3)/12)),IF(YEAR(AV$3)=YEAR('New Hires Forecast'!$Q$3),((SUMIFS('New Hires Forecast'!$Q$5:$Q$82,'New Hires Forecast'!$F$5:$F$82,"Exec",'New Hires Forecast'!$H$5:$H$82,"&gt;="&amp;Exec!AV$3,'New Hires Forecast'!$G$5:$G$82,"&lt;="&amp;Exec!AV$3)/12)),IF(YEAR(AV$3)=YEAR('New Hires Forecast'!$R$3),((SUMIFS('New Hires Forecast'!$R$5:$R$82,'New Hires Forecast'!$F$5:$F$82,"Exec",'New Hires Forecast'!$H$5:$H$82,"&gt;="&amp;Exec!AV$3,'New Hires Forecast'!$G$5:$G$82,"&lt;="&amp;Exec!AV$3)/12))))))),0)</f>
        <v>0</v>
      </c>
      <c r="AW13" s="668">
        <f>IF(AW$4="forecast",IF(YEAR(AW$3)=YEAR('New Hires Forecast'!$N$3),((SUMIFS('New Hires Forecast'!$N$5:$N$82,'New Hires Forecast'!$F$5:$F$82,"Exec",'New Hires Forecast'!$H$5:$H$82,"&gt;="&amp;Exec!AW$3,'New Hires Forecast'!$G$5:$G$82,"&lt;="&amp;Exec!AW$3)/12)),IF(YEAR(AW$3)=YEAR('New Hires Forecast'!$O$3),((SUMIFS('New Hires Forecast'!$O$5:$O$82,'New Hires Forecast'!$F$5:$F$82,"Exec",'New Hires Forecast'!$H$5:$H$82,"&gt;="&amp;Exec!AW$3,'New Hires Forecast'!$G$5:$G$82,"&lt;="&amp;Exec!AW$3)/12)),IF(YEAR(AW$3)=YEAR('New Hires Forecast'!$P$3),((SUMIFS('New Hires Forecast'!$P$5:$P$82,'New Hires Forecast'!$F$5:$F$82,"Exec",'New Hires Forecast'!$H$5:$H$82,"&gt;="&amp;Exec!AW$3,'New Hires Forecast'!$G$5:$G$82,"&lt;="&amp;Exec!AW$3)/12)),IF(YEAR(AW$3)=YEAR('New Hires Forecast'!$Q$3),((SUMIFS('New Hires Forecast'!$Q$5:$Q$82,'New Hires Forecast'!$F$5:$F$82,"Exec",'New Hires Forecast'!$H$5:$H$82,"&gt;="&amp;Exec!AW$3,'New Hires Forecast'!$G$5:$G$82,"&lt;="&amp;Exec!AW$3)/12)),IF(YEAR(AW$3)=YEAR('New Hires Forecast'!$R$3),((SUMIFS('New Hires Forecast'!$R$5:$R$82,'New Hires Forecast'!$F$5:$F$82,"Exec",'New Hires Forecast'!$H$5:$H$82,"&gt;="&amp;Exec!AW$3,'New Hires Forecast'!$G$5:$G$82,"&lt;="&amp;Exec!AW$3)/12))))))),0)</f>
        <v>0</v>
      </c>
      <c r="AX13" s="668">
        <f>IF(AX$4="forecast",IF(YEAR(AX$3)=YEAR('New Hires Forecast'!$N$3),((SUMIFS('New Hires Forecast'!$N$5:$N$82,'New Hires Forecast'!$F$5:$F$82,"Exec",'New Hires Forecast'!$H$5:$H$82,"&gt;="&amp;Exec!AX$3,'New Hires Forecast'!$G$5:$G$82,"&lt;="&amp;Exec!AX$3)/12)),IF(YEAR(AX$3)=YEAR('New Hires Forecast'!$O$3),((SUMIFS('New Hires Forecast'!$O$5:$O$82,'New Hires Forecast'!$F$5:$F$82,"Exec",'New Hires Forecast'!$H$5:$H$82,"&gt;="&amp;Exec!AX$3,'New Hires Forecast'!$G$5:$G$82,"&lt;="&amp;Exec!AX$3)/12)),IF(YEAR(AX$3)=YEAR('New Hires Forecast'!$P$3),((SUMIFS('New Hires Forecast'!$P$5:$P$82,'New Hires Forecast'!$F$5:$F$82,"Exec",'New Hires Forecast'!$H$5:$H$82,"&gt;="&amp;Exec!AX$3,'New Hires Forecast'!$G$5:$G$82,"&lt;="&amp;Exec!AX$3)/12)),IF(YEAR(AX$3)=YEAR('New Hires Forecast'!$Q$3),((SUMIFS('New Hires Forecast'!$Q$5:$Q$82,'New Hires Forecast'!$F$5:$F$82,"Exec",'New Hires Forecast'!$H$5:$H$82,"&gt;="&amp;Exec!AX$3,'New Hires Forecast'!$G$5:$G$82,"&lt;="&amp;Exec!AX$3)/12)),IF(YEAR(AX$3)=YEAR('New Hires Forecast'!$R$3),((SUMIFS('New Hires Forecast'!$R$5:$R$82,'New Hires Forecast'!$F$5:$F$82,"Exec",'New Hires Forecast'!$H$5:$H$82,"&gt;="&amp;Exec!AX$3,'New Hires Forecast'!$G$5:$G$82,"&lt;="&amp;Exec!AX$3)/12))))))),0)</f>
        <v>0</v>
      </c>
      <c r="AY13" s="668">
        <f>IF(AY$4="forecast",IF(YEAR(AY$3)=YEAR('New Hires Forecast'!$N$3),((SUMIFS('New Hires Forecast'!$N$5:$N$82,'New Hires Forecast'!$F$5:$F$82,"Exec",'New Hires Forecast'!$H$5:$H$82,"&gt;="&amp;Exec!AY$3,'New Hires Forecast'!$G$5:$G$82,"&lt;="&amp;Exec!AY$3)/12)),IF(YEAR(AY$3)=YEAR('New Hires Forecast'!$O$3),((SUMIFS('New Hires Forecast'!$O$5:$O$82,'New Hires Forecast'!$F$5:$F$82,"Exec",'New Hires Forecast'!$H$5:$H$82,"&gt;="&amp;Exec!AY$3,'New Hires Forecast'!$G$5:$G$82,"&lt;="&amp;Exec!AY$3)/12)),IF(YEAR(AY$3)=YEAR('New Hires Forecast'!$P$3),((SUMIFS('New Hires Forecast'!$P$5:$P$82,'New Hires Forecast'!$F$5:$F$82,"Exec",'New Hires Forecast'!$H$5:$H$82,"&gt;="&amp;Exec!AY$3,'New Hires Forecast'!$G$5:$G$82,"&lt;="&amp;Exec!AY$3)/12)),IF(YEAR(AY$3)=YEAR('New Hires Forecast'!$Q$3),((SUMIFS('New Hires Forecast'!$Q$5:$Q$82,'New Hires Forecast'!$F$5:$F$82,"Exec",'New Hires Forecast'!$H$5:$H$82,"&gt;="&amp;Exec!AY$3,'New Hires Forecast'!$G$5:$G$82,"&lt;="&amp;Exec!AY$3)/12)),IF(YEAR(AY$3)=YEAR('New Hires Forecast'!$R$3),((SUMIFS('New Hires Forecast'!$R$5:$R$82,'New Hires Forecast'!$F$5:$F$82,"Exec",'New Hires Forecast'!$H$5:$H$82,"&gt;="&amp;Exec!AY$3,'New Hires Forecast'!$G$5:$G$82,"&lt;="&amp;Exec!AY$3)/12))))))),0)</f>
        <v>0</v>
      </c>
      <c r="AZ13" s="668">
        <f>IF(AZ$4="forecast",IF(YEAR(AZ$3)=YEAR('New Hires Forecast'!$N$3),((SUMIFS('New Hires Forecast'!$N$5:$N$82,'New Hires Forecast'!$F$5:$F$82,"Exec",'New Hires Forecast'!$H$5:$H$82,"&gt;="&amp;Exec!AZ$3,'New Hires Forecast'!$G$5:$G$82,"&lt;="&amp;Exec!AZ$3)/12)),IF(YEAR(AZ$3)=YEAR('New Hires Forecast'!$O$3),((SUMIFS('New Hires Forecast'!$O$5:$O$82,'New Hires Forecast'!$F$5:$F$82,"Exec",'New Hires Forecast'!$H$5:$H$82,"&gt;="&amp;Exec!AZ$3,'New Hires Forecast'!$G$5:$G$82,"&lt;="&amp;Exec!AZ$3)/12)),IF(YEAR(AZ$3)=YEAR('New Hires Forecast'!$P$3),((SUMIFS('New Hires Forecast'!$P$5:$P$82,'New Hires Forecast'!$F$5:$F$82,"Exec",'New Hires Forecast'!$H$5:$H$82,"&gt;="&amp;Exec!AZ$3,'New Hires Forecast'!$G$5:$G$82,"&lt;="&amp;Exec!AZ$3)/12)),IF(YEAR(AZ$3)=YEAR('New Hires Forecast'!$Q$3),((SUMIFS('New Hires Forecast'!$Q$5:$Q$82,'New Hires Forecast'!$F$5:$F$82,"Exec",'New Hires Forecast'!$H$5:$H$82,"&gt;="&amp;Exec!AZ$3,'New Hires Forecast'!$G$5:$G$82,"&lt;="&amp;Exec!AZ$3)/12)),IF(YEAR(AZ$3)=YEAR('New Hires Forecast'!$R$3),((SUMIFS('New Hires Forecast'!$R$5:$R$82,'New Hires Forecast'!$F$5:$F$82,"Exec",'New Hires Forecast'!$H$5:$H$82,"&gt;="&amp;Exec!AZ$3,'New Hires Forecast'!$G$5:$G$82,"&lt;="&amp;Exec!AZ$3)/12))))))),0)</f>
        <v>0</v>
      </c>
      <c r="BA13" s="668">
        <f>IF(BA$4="forecast",IF(YEAR(BA$3)=YEAR('New Hires Forecast'!$N$3),((SUMIFS('New Hires Forecast'!$N$5:$N$82,'New Hires Forecast'!$F$5:$F$82,"Exec",'New Hires Forecast'!$H$5:$H$82,"&gt;="&amp;Exec!BA$3,'New Hires Forecast'!$G$5:$G$82,"&lt;="&amp;Exec!BA$3)/12)),IF(YEAR(BA$3)=YEAR('New Hires Forecast'!$O$3),((SUMIFS('New Hires Forecast'!$O$5:$O$82,'New Hires Forecast'!$F$5:$F$82,"Exec",'New Hires Forecast'!$H$5:$H$82,"&gt;="&amp;Exec!BA$3,'New Hires Forecast'!$G$5:$G$82,"&lt;="&amp;Exec!BA$3)/12)),IF(YEAR(BA$3)=YEAR('New Hires Forecast'!$P$3),((SUMIFS('New Hires Forecast'!$P$5:$P$82,'New Hires Forecast'!$F$5:$F$82,"Exec",'New Hires Forecast'!$H$5:$H$82,"&gt;="&amp;Exec!BA$3,'New Hires Forecast'!$G$5:$G$82,"&lt;="&amp;Exec!BA$3)/12)),IF(YEAR(BA$3)=YEAR('New Hires Forecast'!$Q$3),((SUMIFS('New Hires Forecast'!$Q$5:$Q$82,'New Hires Forecast'!$F$5:$F$82,"Exec",'New Hires Forecast'!$H$5:$H$82,"&gt;="&amp;Exec!BA$3,'New Hires Forecast'!$G$5:$G$82,"&lt;="&amp;Exec!BA$3)/12)),IF(YEAR(BA$3)=YEAR('New Hires Forecast'!$R$3),((SUMIFS('New Hires Forecast'!$R$5:$R$82,'New Hires Forecast'!$F$5:$F$82,"Exec",'New Hires Forecast'!$H$5:$H$82,"&gt;="&amp;Exec!BA$3,'New Hires Forecast'!$G$5:$G$82,"&lt;="&amp;Exec!BA$3)/12))))))),0)</f>
        <v>0</v>
      </c>
      <c r="BB13" s="668">
        <f>IF(BB$4="forecast",IF(YEAR(BB$3)=YEAR('New Hires Forecast'!$N$3),((SUMIFS('New Hires Forecast'!$N$5:$N$82,'New Hires Forecast'!$F$5:$F$82,"Exec",'New Hires Forecast'!$H$5:$H$82,"&gt;="&amp;Exec!BB$3,'New Hires Forecast'!$G$5:$G$82,"&lt;="&amp;Exec!BB$3)/12)),IF(YEAR(BB$3)=YEAR('New Hires Forecast'!$O$3),((SUMIFS('New Hires Forecast'!$O$5:$O$82,'New Hires Forecast'!$F$5:$F$82,"Exec",'New Hires Forecast'!$H$5:$H$82,"&gt;="&amp;Exec!BB$3,'New Hires Forecast'!$G$5:$G$82,"&lt;="&amp;Exec!BB$3)/12)),IF(YEAR(BB$3)=YEAR('New Hires Forecast'!$P$3),((SUMIFS('New Hires Forecast'!$P$5:$P$82,'New Hires Forecast'!$F$5:$F$82,"Exec",'New Hires Forecast'!$H$5:$H$82,"&gt;="&amp;Exec!BB$3,'New Hires Forecast'!$G$5:$G$82,"&lt;="&amp;Exec!BB$3)/12)),IF(YEAR(BB$3)=YEAR('New Hires Forecast'!$Q$3),((SUMIFS('New Hires Forecast'!$Q$5:$Q$82,'New Hires Forecast'!$F$5:$F$82,"Exec",'New Hires Forecast'!$H$5:$H$82,"&gt;="&amp;Exec!BB$3,'New Hires Forecast'!$G$5:$G$82,"&lt;="&amp;Exec!BB$3)/12)),IF(YEAR(BB$3)=YEAR('New Hires Forecast'!$R$3),((SUMIFS('New Hires Forecast'!$R$5:$R$82,'New Hires Forecast'!$F$5:$F$82,"Exec",'New Hires Forecast'!$H$5:$H$82,"&gt;="&amp;Exec!BB$3,'New Hires Forecast'!$G$5:$G$82,"&lt;="&amp;Exec!BB$3)/12))))))),0)</f>
        <v>0</v>
      </c>
      <c r="BC13" s="668">
        <f>IF(BC$4="forecast",IF(YEAR(BC$3)=YEAR('New Hires Forecast'!$N$3),((SUMIFS('New Hires Forecast'!$N$5:$N$82,'New Hires Forecast'!$F$5:$F$82,"Exec",'New Hires Forecast'!$H$5:$H$82,"&gt;="&amp;Exec!BC$3,'New Hires Forecast'!$G$5:$G$82,"&lt;="&amp;Exec!BC$3)/12)),IF(YEAR(BC$3)=YEAR('New Hires Forecast'!$O$3),((SUMIFS('New Hires Forecast'!$O$5:$O$82,'New Hires Forecast'!$F$5:$F$82,"Exec",'New Hires Forecast'!$H$5:$H$82,"&gt;="&amp;Exec!BC$3,'New Hires Forecast'!$G$5:$G$82,"&lt;="&amp;Exec!BC$3)/12)),IF(YEAR(BC$3)=YEAR('New Hires Forecast'!$P$3),((SUMIFS('New Hires Forecast'!$P$5:$P$82,'New Hires Forecast'!$F$5:$F$82,"Exec",'New Hires Forecast'!$H$5:$H$82,"&gt;="&amp;Exec!BC$3,'New Hires Forecast'!$G$5:$G$82,"&lt;="&amp;Exec!BC$3)/12)),IF(YEAR(BC$3)=YEAR('New Hires Forecast'!$Q$3),((SUMIFS('New Hires Forecast'!$Q$5:$Q$82,'New Hires Forecast'!$F$5:$F$82,"Exec",'New Hires Forecast'!$H$5:$H$82,"&gt;="&amp;Exec!BC$3,'New Hires Forecast'!$G$5:$G$82,"&lt;="&amp;Exec!BC$3)/12)),IF(YEAR(BC$3)=YEAR('New Hires Forecast'!$R$3),((SUMIFS('New Hires Forecast'!$R$5:$R$82,'New Hires Forecast'!$F$5:$F$82,"Exec",'New Hires Forecast'!$H$5:$H$82,"&gt;="&amp;Exec!BC$3,'New Hires Forecast'!$G$5:$G$82,"&lt;="&amp;Exec!BC$3)/12))))))),0)</f>
        <v>0</v>
      </c>
      <c r="BD13" s="668">
        <f>IF(BD$4="forecast",IF(YEAR(BD$3)=YEAR('New Hires Forecast'!$N$3),((SUMIFS('New Hires Forecast'!$N$5:$N$82,'New Hires Forecast'!$F$5:$F$82,"Exec",'New Hires Forecast'!$H$5:$H$82,"&gt;="&amp;Exec!BD$3,'New Hires Forecast'!$G$5:$G$82,"&lt;="&amp;Exec!BD$3)/12)),IF(YEAR(BD$3)=YEAR('New Hires Forecast'!$O$3),((SUMIFS('New Hires Forecast'!$O$5:$O$82,'New Hires Forecast'!$F$5:$F$82,"Exec",'New Hires Forecast'!$H$5:$H$82,"&gt;="&amp;Exec!BD$3,'New Hires Forecast'!$G$5:$G$82,"&lt;="&amp;Exec!BD$3)/12)),IF(YEAR(BD$3)=YEAR('New Hires Forecast'!$P$3),((SUMIFS('New Hires Forecast'!$P$5:$P$82,'New Hires Forecast'!$F$5:$F$82,"Exec",'New Hires Forecast'!$H$5:$H$82,"&gt;="&amp;Exec!BD$3,'New Hires Forecast'!$G$5:$G$82,"&lt;="&amp;Exec!BD$3)/12)),IF(YEAR(BD$3)=YEAR('New Hires Forecast'!$Q$3),((SUMIFS('New Hires Forecast'!$Q$5:$Q$82,'New Hires Forecast'!$F$5:$F$82,"Exec",'New Hires Forecast'!$H$5:$H$82,"&gt;="&amp;Exec!BD$3,'New Hires Forecast'!$G$5:$G$82,"&lt;="&amp;Exec!BD$3)/12)),IF(YEAR(BD$3)=YEAR('New Hires Forecast'!$R$3),((SUMIFS('New Hires Forecast'!$R$5:$R$82,'New Hires Forecast'!$F$5:$F$82,"Exec",'New Hires Forecast'!$H$5:$H$82,"&gt;="&amp;Exec!BD$3,'New Hires Forecast'!$G$5:$G$82,"&lt;="&amp;Exec!BD$3)/12))))))),0)</f>
        <v>0</v>
      </c>
      <c r="BE13" s="668">
        <f>IF(BE$4="forecast",IF(YEAR(BE$3)=YEAR('New Hires Forecast'!$N$3),((SUMIFS('New Hires Forecast'!$N$5:$N$82,'New Hires Forecast'!$F$5:$F$82,"Exec",'New Hires Forecast'!$H$5:$H$82,"&gt;="&amp;Exec!BE$3,'New Hires Forecast'!$G$5:$G$82,"&lt;="&amp;Exec!BE$3)/12)),IF(YEAR(BE$3)=YEAR('New Hires Forecast'!$O$3),((SUMIFS('New Hires Forecast'!$O$5:$O$82,'New Hires Forecast'!$F$5:$F$82,"Exec",'New Hires Forecast'!$H$5:$H$82,"&gt;="&amp;Exec!BE$3,'New Hires Forecast'!$G$5:$G$82,"&lt;="&amp;Exec!BE$3)/12)),IF(YEAR(BE$3)=YEAR('New Hires Forecast'!$P$3),((SUMIFS('New Hires Forecast'!$P$5:$P$82,'New Hires Forecast'!$F$5:$F$82,"Exec",'New Hires Forecast'!$H$5:$H$82,"&gt;="&amp;Exec!BE$3,'New Hires Forecast'!$G$5:$G$82,"&lt;="&amp;Exec!BE$3)/12)),IF(YEAR(BE$3)=YEAR('New Hires Forecast'!$Q$3),((SUMIFS('New Hires Forecast'!$Q$5:$Q$82,'New Hires Forecast'!$F$5:$F$82,"Exec",'New Hires Forecast'!$H$5:$H$82,"&gt;="&amp;Exec!BE$3,'New Hires Forecast'!$G$5:$G$82,"&lt;="&amp;Exec!BE$3)/12)),IF(YEAR(BE$3)=YEAR('New Hires Forecast'!$R$3),((SUMIFS('New Hires Forecast'!$R$5:$R$82,'New Hires Forecast'!$F$5:$F$82,"Exec",'New Hires Forecast'!$H$5:$H$82,"&gt;="&amp;Exec!BE$3,'New Hires Forecast'!$G$5:$G$82,"&lt;="&amp;Exec!BE$3)/12))))))),0)</f>
        <v>0</v>
      </c>
      <c r="BF13" s="668">
        <f>IF(BF$4="forecast",IF(YEAR(BF$3)=YEAR('New Hires Forecast'!$N$3),((SUMIFS('New Hires Forecast'!$N$5:$N$82,'New Hires Forecast'!$F$5:$F$82,"Exec",'New Hires Forecast'!$H$5:$H$82,"&gt;="&amp;Exec!BF$3,'New Hires Forecast'!$G$5:$G$82,"&lt;="&amp;Exec!BF$3)/12)),IF(YEAR(BF$3)=YEAR('New Hires Forecast'!$O$3),((SUMIFS('New Hires Forecast'!$O$5:$O$82,'New Hires Forecast'!$F$5:$F$82,"Exec",'New Hires Forecast'!$H$5:$H$82,"&gt;="&amp;Exec!BF$3,'New Hires Forecast'!$G$5:$G$82,"&lt;="&amp;Exec!BF$3)/12)),IF(YEAR(BF$3)=YEAR('New Hires Forecast'!$P$3),((SUMIFS('New Hires Forecast'!$P$5:$P$82,'New Hires Forecast'!$F$5:$F$82,"Exec",'New Hires Forecast'!$H$5:$H$82,"&gt;="&amp;Exec!BF$3,'New Hires Forecast'!$G$5:$G$82,"&lt;="&amp;Exec!BF$3)/12)),IF(YEAR(BF$3)=YEAR('New Hires Forecast'!$Q$3),((SUMIFS('New Hires Forecast'!$Q$5:$Q$82,'New Hires Forecast'!$F$5:$F$82,"Exec",'New Hires Forecast'!$H$5:$H$82,"&gt;="&amp;Exec!BF$3,'New Hires Forecast'!$G$5:$G$82,"&lt;="&amp;Exec!BF$3)/12)),IF(YEAR(BF$3)=YEAR('New Hires Forecast'!$R$3),((SUMIFS('New Hires Forecast'!$R$5:$R$82,'New Hires Forecast'!$F$5:$F$82,"Exec",'New Hires Forecast'!$H$5:$H$82,"&gt;="&amp;Exec!BF$3,'New Hires Forecast'!$G$5:$G$82,"&lt;="&amp;Exec!BF$3)/12))))))),0)</f>
        <v>0</v>
      </c>
      <c r="BG13" s="668">
        <f>IF(BG$4="forecast",IF(YEAR(BG$3)=YEAR('New Hires Forecast'!$N$3),((SUMIFS('New Hires Forecast'!$N$5:$N$82,'New Hires Forecast'!$F$5:$F$82,"Exec",'New Hires Forecast'!$H$5:$H$82,"&gt;="&amp;Exec!BG$3,'New Hires Forecast'!$G$5:$G$82,"&lt;="&amp;Exec!BG$3)/12)),IF(YEAR(BG$3)=YEAR('New Hires Forecast'!$O$3),((SUMIFS('New Hires Forecast'!$O$5:$O$82,'New Hires Forecast'!$F$5:$F$82,"Exec",'New Hires Forecast'!$H$5:$H$82,"&gt;="&amp;Exec!BG$3,'New Hires Forecast'!$G$5:$G$82,"&lt;="&amp;Exec!BG$3)/12)),IF(YEAR(BG$3)=YEAR('New Hires Forecast'!$P$3),((SUMIFS('New Hires Forecast'!$P$5:$P$82,'New Hires Forecast'!$F$5:$F$82,"Exec",'New Hires Forecast'!$H$5:$H$82,"&gt;="&amp;Exec!BG$3,'New Hires Forecast'!$G$5:$G$82,"&lt;="&amp;Exec!BG$3)/12)),IF(YEAR(BG$3)=YEAR('New Hires Forecast'!$Q$3),((SUMIFS('New Hires Forecast'!$Q$5:$Q$82,'New Hires Forecast'!$F$5:$F$82,"Exec",'New Hires Forecast'!$H$5:$H$82,"&gt;="&amp;Exec!BG$3,'New Hires Forecast'!$G$5:$G$82,"&lt;="&amp;Exec!BG$3)/12)),IF(YEAR(BG$3)=YEAR('New Hires Forecast'!$R$3),((SUMIFS('New Hires Forecast'!$R$5:$R$82,'New Hires Forecast'!$F$5:$F$82,"Exec",'New Hires Forecast'!$H$5:$H$82,"&gt;="&amp;Exec!BG$3,'New Hires Forecast'!$G$5:$G$82,"&lt;="&amp;Exec!BG$3)/12))))))),0)</f>
        <v>0</v>
      </c>
      <c r="BH13" s="668">
        <f>IF(BH$4="forecast",IF(YEAR(BH$3)=YEAR('New Hires Forecast'!$N$3),((SUMIFS('New Hires Forecast'!$N$5:$N$82,'New Hires Forecast'!$F$5:$F$82,"Exec",'New Hires Forecast'!$H$5:$H$82,"&gt;="&amp;Exec!BH$3,'New Hires Forecast'!$G$5:$G$82,"&lt;="&amp;Exec!BH$3)/12)),IF(YEAR(BH$3)=YEAR('New Hires Forecast'!$O$3),((SUMIFS('New Hires Forecast'!$O$5:$O$82,'New Hires Forecast'!$F$5:$F$82,"Exec",'New Hires Forecast'!$H$5:$H$82,"&gt;="&amp;Exec!BH$3,'New Hires Forecast'!$G$5:$G$82,"&lt;="&amp;Exec!BH$3)/12)),IF(YEAR(BH$3)=YEAR('New Hires Forecast'!$P$3),((SUMIFS('New Hires Forecast'!$P$5:$P$82,'New Hires Forecast'!$F$5:$F$82,"Exec",'New Hires Forecast'!$H$5:$H$82,"&gt;="&amp;Exec!BH$3,'New Hires Forecast'!$G$5:$G$82,"&lt;="&amp;Exec!BH$3)/12)),IF(YEAR(BH$3)=YEAR('New Hires Forecast'!$Q$3),((SUMIFS('New Hires Forecast'!$Q$5:$Q$82,'New Hires Forecast'!$F$5:$F$82,"Exec",'New Hires Forecast'!$H$5:$H$82,"&gt;="&amp;Exec!BH$3,'New Hires Forecast'!$G$5:$G$82,"&lt;="&amp;Exec!BH$3)/12)),IF(YEAR(BH$3)=YEAR('New Hires Forecast'!$R$3),((SUMIFS('New Hires Forecast'!$R$5:$R$82,'New Hires Forecast'!$F$5:$F$82,"Exec",'New Hires Forecast'!$H$5:$H$82,"&gt;="&amp;Exec!BH$3,'New Hires Forecast'!$G$5:$G$82,"&lt;="&amp;Exec!BH$3)/12))))))),0)</f>
        <v>0</v>
      </c>
      <c r="BI13" s="668">
        <f>IF(BI$4="forecast",IF(YEAR(BI$3)=YEAR('New Hires Forecast'!$N$3),((SUMIFS('New Hires Forecast'!$N$5:$N$82,'New Hires Forecast'!$F$5:$F$82,"Exec",'New Hires Forecast'!$H$5:$H$82,"&gt;="&amp;Exec!BI$3,'New Hires Forecast'!$G$5:$G$82,"&lt;="&amp;Exec!BI$3)/12)),IF(YEAR(BI$3)=YEAR('New Hires Forecast'!$O$3),((SUMIFS('New Hires Forecast'!$O$5:$O$82,'New Hires Forecast'!$F$5:$F$82,"Exec",'New Hires Forecast'!$H$5:$H$82,"&gt;="&amp;Exec!BI$3,'New Hires Forecast'!$G$5:$G$82,"&lt;="&amp;Exec!BI$3)/12)),IF(YEAR(BI$3)=YEAR('New Hires Forecast'!$P$3),((SUMIFS('New Hires Forecast'!$P$5:$P$82,'New Hires Forecast'!$F$5:$F$82,"Exec",'New Hires Forecast'!$H$5:$H$82,"&gt;="&amp;Exec!BI$3,'New Hires Forecast'!$G$5:$G$82,"&lt;="&amp;Exec!BI$3)/12)),IF(YEAR(BI$3)=YEAR('New Hires Forecast'!$Q$3),((SUMIFS('New Hires Forecast'!$Q$5:$Q$82,'New Hires Forecast'!$F$5:$F$82,"Exec",'New Hires Forecast'!$H$5:$H$82,"&gt;="&amp;Exec!BI$3,'New Hires Forecast'!$G$5:$G$82,"&lt;="&amp;Exec!BI$3)/12)),IF(YEAR(BI$3)=YEAR('New Hires Forecast'!$R$3),((SUMIFS('New Hires Forecast'!$R$5:$R$82,'New Hires Forecast'!$F$5:$F$82,"Exec",'New Hires Forecast'!$H$5:$H$82,"&gt;="&amp;Exec!BI$3,'New Hires Forecast'!$G$5:$G$82,"&lt;="&amp;Exec!BI$3)/12))))))),0)</f>
        <v>0</v>
      </c>
      <c r="BJ13" s="668">
        <f>IF(BJ$4="forecast",IF(YEAR(BJ$3)=YEAR('New Hires Forecast'!$N$3),((SUMIFS('New Hires Forecast'!$N$5:$N$82,'New Hires Forecast'!$F$5:$F$82,"Exec",'New Hires Forecast'!$H$5:$H$82,"&gt;="&amp;Exec!BJ$3,'New Hires Forecast'!$G$5:$G$82,"&lt;="&amp;Exec!BJ$3)/12)),IF(YEAR(BJ$3)=YEAR('New Hires Forecast'!$O$3),((SUMIFS('New Hires Forecast'!$O$5:$O$82,'New Hires Forecast'!$F$5:$F$82,"Exec",'New Hires Forecast'!$H$5:$H$82,"&gt;="&amp;Exec!BJ$3,'New Hires Forecast'!$G$5:$G$82,"&lt;="&amp;Exec!BJ$3)/12)),IF(YEAR(BJ$3)=YEAR('New Hires Forecast'!$P$3),((SUMIFS('New Hires Forecast'!$P$5:$P$82,'New Hires Forecast'!$F$5:$F$82,"Exec",'New Hires Forecast'!$H$5:$H$82,"&gt;="&amp;Exec!BJ$3,'New Hires Forecast'!$G$5:$G$82,"&lt;="&amp;Exec!BJ$3)/12)),IF(YEAR(BJ$3)=YEAR('New Hires Forecast'!$Q$3),((SUMIFS('New Hires Forecast'!$Q$5:$Q$82,'New Hires Forecast'!$F$5:$F$82,"Exec",'New Hires Forecast'!$H$5:$H$82,"&gt;="&amp;Exec!BJ$3,'New Hires Forecast'!$G$5:$G$82,"&lt;="&amp;Exec!BJ$3)/12)),IF(YEAR(BJ$3)=YEAR('New Hires Forecast'!$R$3),((SUMIFS('New Hires Forecast'!$R$5:$R$82,'New Hires Forecast'!$F$5:$F$82,"Exec",'New Hires Forecast'!$H$5:$H$82,"&gt;="&amp;Exec!BJ$3,'New Hires Forecast'!$G$5:$G$82,"&lt;="&amp;Exec!BJ$3)/12))))))),0)</f>
        <v>0</v>
      </c>
      <c r="BK13" s="668">
        <f>IF(BK$4="forecast",IF(YEAR(BK$3)=YEAR('New Hires Forecast'!$N$3),((SUMIFS('New Hires Forecast'!$N$5:$N$82,'New Hires Forecast'!$F$5:$F$82,"Exec",'New Hires Forecast'!$H$5:$H$82,"&gt;="&amp;Exec!BK$3,'New Hires Forecast'!$G$5:$G$82,"&lt;="&amp;Exec!BK$3)/12)),IF(YEAR(BK$3)=YEAR('New Hires Forecast'!$O$3),((SUMIFS('New Hires Forecast'!$O$5:$O$82,'New Hires Forecast'!$F$5:$F$82,"Exec",'New Hires Forecast'!$H$5:$H$82,"&gt;="&amp;Exec!BK$3,'New Hires Forecast'!$G$5:$G$82,"&lt;="&amp;Exec!BK$3)/12)),IF(YEAR(BK$3)=YEAR('New Hires Forecast'!$P$3),((SUMIFS('New Hires Forecast'!$P$5:$P$82,'New Hires Forecast'!$F$5:$F$82,"Exec",'New Hires Forecast'!$H$5:$H$82,"&gt;="&amp;Exec!BK$3,'New Hires Forecast'!$G$5:$G$82,"&lt;="&amp;Exec!BK$3)/12)),IF(YEAR(BK$3)=YEAR('New Hires Forecast'!$Q$3),((SUMIFS('New Hires Forecast'!$Q$5:$Q$82,'New Hires Forecast'!$F$5:$F$82,"Exec",'New Hires Forecast'!$H$5:$H$82,"&gt;="&amp;Exec!BK$3,'New Hires Forecast'!$G$5:$G$82,"&lt;="&amp;Exec!BK$3)/12)),IF(YEAR(BK$3)=YEAR('New Hires Forecast'!$R$3),((SUMIFS('New Hires Forecast'!$R$5:$R$82,'New Hires Forecast'!$F$5:$F$82,"Exec",'New Hires Forecast'!$H$5:$H$82,"&gt;="&amp;Exec!BK$3,'New Hires Forecast'!$G$5:$G$82,"&lt;="&amp;Exec!BK$3)/12))))))),0)</f>
        <v>0</v>
      </c>
      <c r="BL13" s="668">
        <f>IF(BL$4="forecast",IF(YEAR(BL$3)=YEAR('New Hires Forecast'!$N$3),((SUMIFS('New Hires Forecast'!$N$5:$N$82,'New Hires Forecast'!$F$5:$F$82,"Exec",'New Hires Forecast'!$H$5:$H$82,"&gt;="&amp;Exec!BL$3,'New Hires Forecast'!$G$5:$G$82,"&lt;="&amp;Exec!BL$3)/12)),IF(YEAR(BL$3)=YEAR('New Hires Forecast'!$O$3),((SUMIFS('New Hires Forecast'!$O$5:$O$82,'New Hires Forecast'!$F$5:$F$82,"Exec",'New Hires Forecast'!$H$5:$H$82,"&gt;="&amp;Exec!BL$3,'New Hires Forecast'!$G$5:$G$82,"&lt;="&amp;Exec!BL$3)/12)),IF(YEAR(BL$3)=YEAR('New Hires Forecast'!$P$3),((SUMIFS('New Hires Forecast'!$P$5:$P$82,'New Hires Forecast'!$F$5:$F$82,"Exec",'New Hires Forecast'!$H$5:$H$82,"&gt;="&amp;Exec!BL$3,'New Hires Forecast'!$G$5:$G$82,"&lt;="&amp;Exec!BL$3)/12)),IF(YEAR(BL$3)=YEAR('New Hires Forecast'!$Q$3),((SUMIFS('New Hires Forecast'!$Q$5:$Q$82,'New Hires Forecast'!$F$5:$F$82,"Exec",'New Hires Forecast'!$H$5:$H$82,"&gt;="&amp;Exec!BL$3,'New Hires Forecast'!$G$5:$G$82,"&lt;="&amp;Exec!BL$3)/12)),IF(YEAR(BL$3)=YEAR('New Hires Forecast'!$R$3),((SUMIFS('New Hires Forecast'!$R$5:$R$82,'New Hires Forecast'!$F$5:$F$82,"Exec",'New Hires Forecast'!$H$5:$H$82,"&gt;="&amp;Exec!BL$3,'New Hires Forecast'!$G$5:$G$82,"&lt;="&amp;Exec!BL$3)/12))))))),0)</f>
        <v>0</v>
      </c>
      <c r="BM13" s="668">
        <f>IF(BM$4="forecast",IF(YEAR(BM$3)=YEAR('New Hires Forecast'!$N$3),((SUMIFS('New Hires Forecast'!$N$5:$N$82,'New Hires Forecast'!$F$5:$F$82,"Exec",'New Hires Forecast'!$H$5:$H$82,"&gt;="&amp;Exec!BM$3,'New Hires Forecast'!$G$5:$G$82,"&lt;="&amp;Exec!BM$3)/12)),IF(YEAR(BM$3)=YEAR('New Hires Forecast'!$O$3),((SUMIFS('New Hires Forecast'!$O$5:$O$82,'New Hires Forecast'!$F$5:$F$82,"Exec",'New Hires Forecast'!$H$5:$H$82,"&gt;="&amp;Exec!BM$3,'New Hires Forecast'!$G$5:$G$82,"&lt;="&amp;Exec!BM$3)/12)),IF(YEAR(BM$3)=YEAR('New Hires Forecast'!$P$3),((SUMIFS('New Hires Forecast'!$P$5:$P$82,'New Hires Forecast'!$F$5:$F$82,"Exec",'New Hires Forecast'!$H$5:$H$82,"&gt;="&amp;Exec!BM$3,'New Hires Forecast'!$G$5:$G$82,"&lt;="&amp;Exec!BM$3)/12)),IF(YEAR(BM$3)=YEAR('New Hires Forecast'!$Q$3),((SUMIFS('New Hires Forecast'!$Q$5:$Q$82,'New Hires Forecast'!$F$5:$F$82,"Exec",'New Hires Forecast'!$H$5:$H$82,"&gt;="&amp;Exec!BM$3,'New Hires Forecast'!$G$5:$G$82,"&lt;="&amp;Exec!BM$3)/12)),IF(YEAR(BM$3)=YEAR('New Hires Forecast'!$R$3),((SUMIFS('New Hires Forecast'!$R$5:$R$82,'New Hires Forecast'!$F$5:$F$82,"Exec",'New Hires Forecast'!$H$5:$H$82,"&gt;="&amp;Exec!BM$3,'New Hires Forecast'!$G$5:$G$82,"&lt;="&amp;Exec!BM$3)/12))))))),0)</f>
        <v>0</v>
      </c>
      <c r="BN13" s="668">
        <f>IF(BN$4="forecast",IF(YEAR(BN$3)=YEAR('New Hires Forecast'!$N$3),((SUMIFS('New Hires Forecast'!$N$5:$N$82,'New Hires Forecast'!$F$5:$F$82,"Exec",'New Hires Forecast'!$H$5:$H$82,"&gt;="&amp;Exec!BN$3,'New Hires Forecast'!$G$5:$G$82,"&lt;="&amp;Exec!BN$3)/12)),IF(YEAR(BN$3)=YEAR('New Hires Forecast'!$O$3),((SUMIFS('New Hires Forecast'!$O$5:$O$82,'New Hires Forecast'!$F$5:$F$82,"Exec",'New Hires Forecast'!$H$5:$H$82,"&gt;="&amp;Exec!BN$3,'New Hires Forecast'!$G$5:$G$82,"&lt;="&amp;Exec!BN$3)/12)),IF(YEAR(BN$3)=YEAR('New Hires Forecast'!$P$3),((SUMIFS('New Hires Forecast'!$P$5:$P$82,'New Hires Forecast'!$F$5:$F$82,"Exec",'New Hires Forecast'!$H$5:$H$82,"&gt;="&amp;Exec!BN$3,'New Hires Forecast'!$G$5:$G$82,"&lt;="&amp;Exec!BN$3)/12)),IF(YEAR(BN$3)=YEAR('New Hires Forecast'!$Q$3),((SUMIFS('New Hires Forecast'!$Q$5:$Q$82,'New Hires Forecast'!$F$5:$F$82,"Exec",'New Hires Forecast'!$H$5:$H$82,"&gt;="&amp;Exec!BN$3,'New Hires Forecast'!$G$5:$G$82,"&lt;="&amp;Exec!BN$3)/12)),IF(YEAR(BN$3)=YEAR('New Hires Forecast'!$R$3),((SUMIFS('New Hires Forecast'!$R$5:$R$82,'New Hires Forecast'!$F$5:$F$82,"Exec",'New Hires Forecast'!$H$5:$H$82,"&gt;="&amp;Exec!BN$3,'New Hires Forecast'!$G$5:$G$82,"&lt;="&amp;Exec!BN$3)/12))))))),0)</f>
        <v>0</v>
      </c>
      <c r="BO13" s="668">
        <f>IF(BO$4="forecast",IF(YEAR(BO$3)=YEAR('New Hires Forecast'!$N$3),((SUMIFS('New Hires Forecast'!$N$5:$N$82,'New Hires Forecast'!$F$5:$F$82,"Exec",'New Hires Forecast'!$H$5:$H$82,"&gt;="&amp;Exec!BO$3,'New Hires Forecast'!$G$5:$G$82,"&lt;="&amp;Exec!BO$3)/12)),IF(YEAR(BO$3)=YEAR('New Hires Forecast'!$O$3),((SUMIFS('New Hires Forecast'!$O$5:$O$82,'New Hires Forecast'!$F$5:$F$82,"Exec",'New Hires Forecast'!$H$5:$H$82,"&gt;="&amp;Exec!BO$3,'New Hires Forecast'!$G$5:$G$82,"&lt;="&amp;Exec!BO$3)/12)),IF(YEAR(BO$3)=YEAR('New Hires Forecast'!$P$3),((SUMIFS('New Hires Forecast'!$P$5:$P$82,'New Hires Forecast'!$F$5:$F$82,"Exec",'New Hires Forecast'!$H$5:$H$82,"&gt;="&amp;Exec!BO$3,'New Hires Forecast'!$G$5:$G$82,"&lt;="&amp;Exec!BO$3)/12)),IF(YEAR(BO$3)=YEAR('New Hires Forecast'!$Q$3),((SUMIFS('New Hires Forecast'!$Q$5:$Q$82,'New Hires Forecast'!$F$5:$F$82,"Exec",'New Hires Forecast'!$H$5:$H$82,"&gt;="&amp;Exec!BO$3,'New Hires Forecast'!$G$5:$G$82,"&lt;="&amp;Exec!BO$3)/12)),IF(YEAR(BO$3)=YEAR('New Hires Forecast'!$R$3),((SUMIFS('New Hires Forecast'!$R$5:$R$82,'New Hires Forecast'!$F$5:$F$82,"Exec",'New Hires Forecast'!$H$5:$H$82,"&gt;="&amp;Exec!BO$3,'New Hires Forecast'!$G$5:$G$82,"&lt;="&amp;Exec!BO$3)/12))))))),0)</f>
        <v>0</v>
      </c>
      <c r="BP13" s="668">
        <f>IF(BP$4="forecast",IF(YEAR(BP$3)=YEAR('New Hires Forecast'!$N$3),((SUMIFS('New Hires Forecast'!$N$5:$N$82,'New Hires Forecast'!$F$5:$F$82,"Exec",'New Hires Forecast'!$H$5:$H$82,"&gt;="&amp;Exec!BP$3,'New Hires Forecast'!$G$5:$G$82,"&lt;="&amp;Exec!BP$3)/12)),IF(YEAR(BP$3)=YEAR('New Hires Forecast'!$O$3),((SUMIFS('New Hires Forecast'!$O$5:$O$82,'New Hires Forecast'!$F$5:$F$82,"Exec",'New Hires Forecast'!$H$5:$H$82,"&gt;="&amp;Exec!BP$3,'New Hires Forecast'!$G$5:$G$82,"&lt;="&amp;Exec!BP$3)/12)),IF(YEAR(BP$3)=YEAR('New Hires Forecast'!$P$3),((SUMIFS('New Hires Forecast'!$P$5:$P$82,'New Hires Forecast'!$F$5:$F$82,"Exec",'New Hires Forecast'!$H$5:$H$82,"&gt;="&amp;Exec!BP$3,'New Hires Forecast'!$G$5:$G$82,"&lt;="&amp;Exec!BP$3)/12)),IF(YEAR(BP$3)=YEAR('New Hires Forecast'!$Q$3),((SUMIFS('New Hires Forecast'!$Q$5:$Q$82,'New Hires Forecast'!$F$5:$F$82,"Exec",'New Hires Forecast'!$H$5:$H$82,"&gt;="&amp;Exec!BP$3,'New Hires Forecast'!$G$5:$G$82,"&lt;="&amp;Exec!BP$3)/12)),IF(YEAR(BP$3)=YEAR('New Hires Forecast'!$R$3),((SUMIFS('New Hires Forecast'!$R$5:$R$82,'New Hires Forecast'!$F$5:$F$82,"Exec",'New Hires Forecast'!$H$5:$H$82,"&gt;="&amp;Exec!BP$3,'New Hires Forecast'!$G$5:$G$82,"&lt;="&amp;Exec!BP$3)/12))))))),0)</f>
        <v>0</v>
      </c>
      <c r="BQ13" s="668">
        <f>IF(BQ$4="forecast",IF(YEAR(BQ$3)=YEAR('New Hires Forecast'!$N$3),((SUMIFS('New Hires Forecast'!$N$5:$N$82,'New Hires Forecast'!$F$5:$F$82,"Exec",'New Hires Forecast'!$H$5:$H$82,"&gt;="&amp;Exec!BQ$3,'New Hires Forecast'!$G$5:$G$82,"&lt;="&amp;Exec!BQ$3)/12)),IF(YEAR(BQ$3)=YEAR('New Hires Forecast'!$O$3),((SUMIFS('New Hires Forecast'!$O$5:$O$82,'New Hires Forecast'!$F$5:$F$82,"Exec",'New Hires Forecast'!$H$5:$H$82,"&gt;="&amp;Exec!BQ$3,'New Hires Forecast'!$G$5:$G$82,"&lt;="&amp;Exec!BQ$3)/12)),IF(YEAR(BQ$3)=YEAR('New Hires Forecast'!$P$3),((SUMIFS('New Hires Forecast'!$P$5:$P$82,'New Hires Forecast'!$F$5:$F$82,"Exec",'New Hires Forecast'!$H$5:$H$82,"&gt;="&amp;Exec!BQ$3,'New Hires Forecast'!$G$5:$G$82,"&lt;="&amp;Exec!BQ$3)/12)),IF(YEAR(BQ$3)=YEAR('New Hires Forecast'!$Q$3),((SUMIFS('New Hires Forecast'!$Q$5:$Q$82,'New Hires Forecast'!$F$5:$F$82,"Exec",'New Hires Forecast'!$H$5:$H$82,"&gt;="&amp;Exec!BQ$3,'New Hires Forecast'!$G$5:$G$82,"&lt;="&amp;Exec!BQ$3)/12)),IF(YEAR(BQ$3)=YEAR('New Hires Forecast'!$R$3),((SUMIFS('New Hires Forecast'!$R$5:$R$82,'New Hires Forecast'!$F$5:$F$82,"Exec",'New Hires Forecast'!$H$5:$H$82,"&gt;="&amp;Exec!BQ$3,'New Hires Forecast'!$G$5:$G$82,"&lt;="&amp;Exec!BQ$3)/12))))))),0)</f>
        <v>0</v>
      </c>
      <c r="BR13" s="668">
        <f>IF(BR$4="forecast",IF(YEAR(BR$3)=YEAR('New Hires Forecast'!$N$3),((SUMIFS('New Hires Forecast'!$N$5:$N$82,'New Hires Forecast'!$F$5:$F$82,"Exec",'New Hires Forecast'!$H$5:$H$82,"&gt;="&amp;Exec!BR$3,'New Hires Forecast'!$G$5:$G$82,"&lt;="&amp;Exec!BR$3)/12)),IF(YEAR(BR$3)=YEAR('New Hires Forecast'!$O$3),((SUMIFS('New Hires Forecast'!$O$5:$O$82,'New Hires Forecast'!$F$5:$F$82,"Exec",'New Hires Forecast'!$H$5:$H$82,"&gt;="&amp;Exec!BR$3,'New Hires Forecast'!$G$5:$G$82,"&lt;="&amp;Exec!BR$3)/12)),IF(YEAR(BR$3)=YEAR('New Hires Forecast'!$P$3),((SUMIFS('New Hires Forecast'!$P$5:$P$82,'New Hires Forecast'!$F$5:$F$82,"Exec",'New Hires Forecast'!$H$5:$H$82,"&gt;="&amp;Exec!BR$3,'New Hires Forecast'!$G$5:$G$82,"&lt;="&amp;Exec!BR$3)/12)),IF(YEAR(BR$3)=YEAR('New Hires Forecast'!$Q$3),((SUMIFS('New Hires Forecast'!$Q$5:$Q$82,'New Hires Forecast'!$F$5:$F$82,"Exec",'New Hires Forecast'!$H$5:$H$82,"&gt;="&amp;Exec!BR$3,'New Hires Forecast'!$G$5:$G$82,"&lt;="&amp;Exec!BR$3)/12)),IF(YEAR(BR$3)=YEAR('New Hires Forecast'!$R$3),((SUMIFS('New Hires Forecast'!$R$5:$R$82,'New Hires Forecast'!$F$5:$F$82,"Exec",'New Hires Forecast'!$H$5:$H$82,"&gt;="&amp;Exec!BR$3,'New Hires Forecast'!$G$5:$G$82,"&lt;="&amp;Exec!BR$3)/12))))))),0)</f>
        <v>0</v>
      </c>
      <c r="BS13" s="668">
        <f>IF(BS$4="forecast",IF(YEAR(BS$3)=YEAR('New Hires Forecast'!$N$3),((SUMIFS('New Hires Forecast'!$N$5:$N$82,'New Hires Forecast'!$F$5:$F$82,"Exec",'New Hires Forecast'!$H$5:$H$82,"&gt;="&amp;Exec!BS$3,'New Hires Forecast'!$G$5:$G$82,"&lt;="&amp;Exec!BS$3)/12)),IF(YEAR(BS$3)=YEAR('New Hires Forecast'!$O$3),((SUMIFS('New Hires Forecast'!$O$5:$O$82,'New Hires Forecast'!$F$5:$F$82,"Exec",'New Hires Forecast'!$H$5:$H$82,"&gt;="&amp;Exec!BS$3,'New Hires Forecast'!$G$5:$G$82,"&lt;="&amp;Exec!BS$3)/12)),IF(YEAR(BS$3)=YEAR('New Hires Forecast'!$P$3),((SUMIFS('New Hires Forecast'!$P$5:$P$82,'New Hires Forecast'!$F$5:$F$82,"Exec",'New Hires Forecast'!$H$5:$H$82,"&gt;="&amp;Exec!BS$3,'New Hires Forecast'!$G$5:$G$82,"&lt;="&amp;Exec!BS$3)/12)),IF(YEAR(BS$3)=YEAR('New Hires Forecast'!$Q$3),((SUMIFS('New Hires Forecast'!$Q$5:$Q$82,'New Hires Forecast'!$F$5:$F$82,"Exec",'New Hires Forecast'!$H$5:$H$82,"&gt;="&amp;Exec!BS$3,'New Hires Forecast'!$G$5:$G$82,"&lt;="&amp;Exec!BS$3)/12)),IF(YEAR(BS$3)=YEAR('New Hires Forecast'!$R$3),((SUMIFS('New Hires Forecast'!$R$5:$R$82,'New Hires Forecast'!$F$5:$F$82,"Exec",'New Hires Forecast'!$H$5:$H$82,"&gt;="&amp;Exec!BS$3,'New Hires Forecast'!$G$5:$G$82,"&lt;="&amp;Exec!BS$3)/12))))))),0)</f>
        <v>0</v>
      </c>
      <c r="BT13" s="668">
        <f>IF(BT$4="forecast",IF(YEAR(BT$3)=YEAR('New Hires Forecast'!$N$3),((SUMIFS('New Hires Forecast'!$N$5:$N$82,'New Hires Forecast'!$F$5:$F$82,"Exec",'New Hires Forecast'!$H$5:$H$82,"&gt;="&amp;Exec!BT$3,'New Hires Forecast'!$G$5:$G$82,"&lt;="&amp;Exec!BT$3)/12)),IF(YEAR(BT$3)=YEAR('New Hires Forecast'!$O$3),((SUMIFS('New Hires Forecast'!$O$5:$O$82,'New Hires Forecast'!$F$5:$F$82,"Exec",'New Hires Forecast'!$H$5:$H$82,"&gt;="&amp;Exec!BT$3,'New Hires Forecast'!$G$5:$G$82,"&lt;="&amp;Exec!BT$3)/12)),IF(YEAR(BT$3)=YEAR('New Hires Forecast'!$P$3),((SUMIFS('New Hires Forecast'!$P$5:$P$82,'New Hires Forecast'!$F$5:$F$82,"Exec",'New Hires Forecast'!$H$5:$H$82,"&gt;="&amp;Exec!BT$3,'New Hires Forecast'!$G$5:$G$82,"&lt;="&amp;Exec!BT$3)/12)),IF(YEAR(BT$3)=YEAR('New Hires Forecast'!$Q$3),((SUMIFS('New Hires Forecast'!$Q$5:$Q$82,'New Hires Forecast'!$F$5:$F$82,"Exec",'New Hires Forecast'!$H$5:$H$82,"&gt;="&amp;Exec!BT$3,'New Hires Forecast'!$G$5:$G$82,"&lt;="&amp;Exec!BT$3)/12)),IF(YEAR(BT$3)=YEAR('New Hires Forecast'!$R$3),((SUMIFS('New Hires Forecast'!$R$5:$R$82,'New Hires Forecast'!$F$5:$F$82,"Exec",'New Hires Forecast'!$H$5:$H$82,"&gt;="&amp;Exec!BT$3,'New Hires Forecast'!$G$5:$G$82,"&lt;="&amp;Exec!BT$3)/12))))))),0)</f>
        <v>0</v>
      </c>
      <c r="BU13" s="668">
        <f>IF(BU$4="forecast",IF(YEAR(BU$3)=YEAR('New Hires Forecast'!$N$3),((SUMIFS('New Hires Forecast'!$N$5:$N$82,'New Hires Forecast'!$F$5:$F$82,"Exec",'New Hires Forecast'!$H$5:$H$82,"&gt;="&amp;Exec!BU$3,'New Hires Forecast'!$G$5:$G$82,"&lt;="&amp;Exec!BU$3)/12)),IF(YEAR(BU$3)=YEAR('New Hires Forecast'!$O$3),((SUMIFS('New Hires Forecast'!$O$5:$O$82,'New Hires Forecast'!$F$5:$F$82,"Exec",'New Hires Forecast'!$H$5:$H$82,"&gt;="&amp;Exec!BU$3,'New Hires Forecast'!$G$5:$G$82,"&lt;="&amp;Exec!BU$3)/12)),IF(YEAR(BU$3)=YEAR('New Hires Forecast'!$P$3),((SUMIFS('New Hires Forecast'!$P$5:$P$82,'New Hires Forecast'!$F$5:$F$82,"Exec",'New Hires Forecast'!$H$5:$H$82,"&gt;="&amp;Exec!BU$3,'New Hires Forecast'!$G$5:$G$82,"&lt;="&amp;Exec!BU$3)/12)),IF(YEAR(BU$3)=YEAR('New Hires Forecast'!$Q$3),((SUMIFS('New Hires Forecast'!$Q$5:$Q$82,'New Hires Forecast'!$F$5:$F$82,"Exec",'New Hires Forecast'!$H$5:$H$82,"&gt;="&amp;Exec!BU$3,'New Hires Forecast'!$G$5:$G$82,"&lt;="&amp;Exec!BU$3)/12)),IF(YEAR(BU$3)=YEAR('New Hires Forecast'!$R$3),((SUMIFS('New Hires Forecast'!$R$5:$R$82,'New Hires Forecast'!$F$5:$F$82,"Exec",'New Hires Forecast'!$H$5:$H$82,"&gt;="&amp;Exec!BU$3,'New Hires Forecast'!$G$5:$G$82,"&lt;="&amp;Exec!BU$3)/12))))))),0)</f>
        <v>0</v>
      </c>
      <c r="BV13" s="668">
        <f>IF(BV$4="forecast",IF(YEAR(BV$3)=YEAR('New Hires Forecast'!$N$3),((SUMIFS('New Hires Forecast'!$N$5:$N$82,'New Hires Forecast'!$F$5:$F$82,"Exec",'New Hires Forecast'!$H$5:$H$82,"&gt;="&amp;Exec!BV$3,'New Hires Forecast'!$G$5:$G$82,"&lt;="&amp;Exec!BV$3)/12)),IF(YEAR(BV$3)=YEAR('New Hires Forecast'!$O$3),((SUMIFS('New Hires Forecast'!$O$5:$O$82,'New Hires Forecast'!$F$5:$F$82,"Exec",'New Hires Forecast'!$H$5:$H$82,"&gt;="&amp;Exec!BV$3,'New Hires Forecast'!$G$5:$G$82,"&lt;="&amp;Exec!BV$3)/12)),IF(YEAR(BV$3)=YEAR('New Hires Forecast'!$P$3),((SUMIFS('New Hires Forecast'!$P$5:$P$82,'New Hires Forecast'!$F$5:$F$82,"Exec",'New Hires Forecast'!$H$5:$H$82,"&gt;="&amp;Exec!BV$3,'New Hires Forecast'!$G$5:$G$82,"&lt;="&amp;Exec!BV$3)/12)),IF(YEAR(BV$3)=YEAR('New Hires Forecast'!$Q$3),((SUMIFS('New Hires Forecast'!$Q$5:$Q$82,'New Hires Forecast'!$F$5:$F$82,"Exec",'New Hires Forecast'!$H$5:$H$82,"&gt;="&amp;Exec!BV$3,'New Hires Forecast'!$G$5:$G$82,"&lt;="&amp;Exec!BV$3)/12)),IF(YEAR(BV$3)=YEAR('New Hires Forecast'!$R$3),((SUMIFS('New Hires Forecast'!$R$5:$R$82,'New Hires Forecast'!$F$5:$F$82,"Exec",'New Hires Forecast'!$H$5:$H$82,"&gt;="&amp;Exec!BV$3,'New Hires Forecast'!$G$5:$G$82,"&lt;="&amp;Exec!BV$3)/12))))))),0)</f>
        <v>0</v>
      </c>
    </row>
    <row r="14" spans="2:74" x14ac:dyDescent="0.25">
      <c r="B14" s="791" t="s">
        <v>929</v>
      </c>
      <c r="C14" s="1139">
        <f t="shared" ref="C14:AG14" si="2">SUM(C12:C13)</f>
        <v>41153.839999999997</v>
      </c>
      <c r="D14" s="1139">
        <f t="shared" si="2"/>
        <v>41153.839999999997</v>
      </c>
      <c r="E14" s="1139">
        <f t="shared" si="2"/>
        <v>41153.839999999997</v>
      </c>
      <c r="F14" s="1139">
        <f t="shared" si="2"/>
        <v>50615.39</v>
      </c>
      <c r="G14" s="1139">
        <f t="shared" si="2"/>
        <v>353615.38</v>
      </c>
      <c r="H14" s="1139">
        <f t="shared" si="2"/>
        <v>67923.070000000007</v>
      </c>
      <c r="I14" s="1139">
        <f t="shared" si="2"/>
        <v>352934.04</v>
      </c>
      <c r="J14" s="1139">
        <f t="shared" si="2"/>
        <v>353615.38</v>
      </c>
      <c r="K14" s="1139">
        <f t="shared" si="2"/>
        <v>53615.380000000005</v>
      </c>
      <c r="L14" s="1139">
        <f t="shared" si="2"/>
        <v>372908.71</v>
      </c>
      <c r="M14" s="1139">
        <f t="shared" si="2"/>
        <v>147512.07</v>
      </c>
      <c r="N14" s="1139">
        <f t="shared" si="2"/>
        <v>75442.22</v>
      </c>
      <c r="O14" s="1139">
        <f t="shared" si="2"/>
        <v>113339.31999999999</v>
      </c>
      <c r="P14" s="1139">
        <f t="shared" si="2"/>
        <v>111067.02</v>
      </c>
      <c r="Q14" s="1139">
        <f t="shared" si="2"/>
        <v>96778.82</v>
      </c>
      <c r="R14" s="1139">
        <f t="shared" si="2"/>
        <v>103384.57</v>
      </c>
      <c r="S14" s="1139">
        <f t="shared" si="2"/>
        <v>97307.68</v>
      </c>
      <c r="T14" s="1139">
        <f t="shared" si="2"/>
        <v>84615.360000000001</v>
      </c>
      <c r="U14" s="1139">
        <f t="shared" si="2"/>
        <v>97307.66</v>
      </c>
      <c r="V14" s="1139">
        <f t="shared" si="2"/>
        <v>93076.9</v>
      </c>
      <c r="W14" s="1139">
        <f t="shared" si="2"/>
        <v>88846.12</v>
      </c>
      <c r="X14" s="1139">
        <f t="shared" si="2"/>
        <v>97307.68</v>
      </c>
      <c r="Y14" s="1139">
        <f t="shared" si="2"/>
        <v>88846.12</v>
      </c>
      <c r="Z14" s="1139">
        <f t="shared" si="2"/>
        <v>93076.88</v>
      </c>
      <c r="AA14" s="1139">
        <f t="shared" si="2"/>
        <v>97307.68</v>
      </c>
      <c r="AB14" s="1139">
        <f t="shared" si="2"/>
        <v>84615.360000000001</v>
      </c>
      <c r="AC14" s="1139">
        <f t="shared" si="2"/>
        <v>96538.44</v>
      </c>
      <c r="AD14" s="1139">
        <f t="shared" si="2"/>
        <v>70416.666666666672</v>
      </c>
      <c r="AE14" s="1139">
        <f t="shared" si="2"/>
        <v>70416.666666666672</v>
      </c>
      <c r="AF14" s="1139">
        <f t="shared" si="2"/>
        <v>70416.666666666672</v>
      </c>
      <c r="AG14" s="1139">
        <f t="shared" si="2"/>
        <v>70416.666666666672</v>
      </c>
      <c r="AH14" s="1139">
        <f t="shared" ref="AH14" si="3">SUM(AH12:AH13)</f>
        <v>70416.666666666672</v>
      </c>
      <c r="AI14" s="1139">
        <f t="shared" ref="AI14:BV14" si="4">SUM(AI12:AI13)</f>
        <v>70416.666666666672</v>
      </c>
      <c r="AJ14" s="1139">
        <f t="shared" si="4"/>
        <v>70416.666666666672</v>
      </c>
      <c r="AK14" s="1139">
        <f t="shared" si="4"/>
        <v>70416.666666666672</v>
      </c>
      <c r="AL14" s="1139">
        <f t="shared" si="4"/>
        <v>47500</v>
      </c>
      <c r="AM14" s="1139">
        <f t="shared" si="4"/>
        <v>47500</v>
      </c>
      <c r="AN14" s="1139">
        <f t="shared" si="4"/>
        <v>47500</v>
      </c>
      <c r="AO14" s="1139">
        <f t="shared" si="4"/>
        <v>47500</v>
      </c>
      <c r="AP14" s="1139">
        <f t="shared" si="4"/>
        <v>47500</v>
      </c>
      <c r="AQ14" s="1139">
        <f t="shared" si="4"/>
        <v>47500</v>
      </c>
      <c r="AR14" s="1139">
        <f t="shared" si="4"/>
        <v>47500</v>
      </c>
      <c r="AS14" s="1139">
        <f t="shared" si="4"/>
        <v>47500</v>
      </c>
      <c r="AT14" s="1139">
        <f t="shared" si="4"/>
        <v>47500</v>
      </c>
      <c r="AU14" s="1139">
        <f t="shared" si="4"/>
        <v>47500</v>
      </c>
      <c r="AV14" s="1139">
        <f t="shared" si="4"/>
        <v>47500</v>
      </c>
      <c r="AW14" s="1139">
        <f t="shared" si="4"/>
        <v>47500</v>
      </c>
      <c r="AX14" s="1139">
        <f t="shared" si="4"/>
        <v>47500</v>
      </c>
      <c r="AY14" s="1139">
        <f t="shared" si="4"/>
        <v>47500</v>
      </c>
      <c r="AZ14" s="1139">
        <f t="shared" si="4"/>
        <v>47500</v>
      </c>
      <c r="BA14" s="1139">
        <f t="shared" si="4"/>
        <v>47500</v>
      </c>
      <c r="BB14" s="1139">
        <f t="shared" si="4"/>
        <v>47500</v>
      </c>
      <c r="BC14" s="1139">
        <f t="shared" si="4"/>
        <v>47500</v>
      </c>
      <c r="BD14" s="1139">
        <f t="shared" si="4"/>
        <v>47500</v>
      </c>
      <c r="BE14" s="1139">
        <f t="shared" si="4"/>
        <v>47500</v>
      </c>
      <c r="BF14" s="1139">
        <f t="shared" si="4"/>
        <v>47500</v>
      </c>
      <c r="BG14" s="1139">
        <f t="shared" si="4"/>
        <v>47500</v>
      </c>
      <c r="BH14" s="1139">
        <f t="shared" si="4"/>
        <v>47500</v>
      </c>
      <c r="BI14" s="1139">
        <f t="shared" si="4"/>
        <v>47500</v>
      </c>
      <c r="BJ14" s="1139">
        <f t="shared" si="4"/>
        <v>47500</v>
      </c>
      <c r="BK14" s="1139">
        <f t="shared" si="4"/>
        <v>47500</v>
      </c>
      <c r="BL14" s="1139">
        <f t="shared" si="4"/>
        <v>47500</v>
      </c>
      <c r="BM14" s="1139">
        <f t="shared" si="4"/>
        <v>47500</v>
      </c>
      <c r="BN14" s="1139">
        <f t="shared" si="4"/>
        <v>47500</v>
      </c>
      <c r="BO14" s="1139">
        <f t="shared" si="4"/>
        <v>47500</v>
      </c>
      <c r="BP14" s="1139">
        <f t="shared" si="4"/>
        <v>47500</v>
      </c>
      <c r="BQ14" s="1139">
        <f t="shared" si="4"/>
        <v>47500</v>
      </c>
      <c r="BR14" s="1139">
        <f t="shared" si="4"/>
        <v>47500</v>
      </c>
      <c r="BS14" s="1139">
        <f t="shared" si="4"/>
        <v>47500</v>
      </c>
      <c r="BT14" s="1139">
        <f t="shared" si="4"/>
        <v>47500</v>
      </c>
      <c r="BU14" s="1139">
        <f t="shared" si="4"/>
        <v>47500</v>
      </c>
      <c r="BV14" s="1139">
        <f t="shared" si="4"/>
        <v>47500</v>
      </c>
    </row>
    <row r="15" spans="2:74" x14ac:dyDescent="0.25">
      <c r="B15" s="780" t="s">
        <v>931</v>
      </c>
      <c r="C15" s="668">
        <f>IF(C$4="forecast",IF(YEAR(C$3)=YEAR('New Hires Forecast'!$N$3),IF((C$5&lt;=12),(SUMPRODUCT(--('New Hires Forecast'!$F$5:$F$85="Executive"),--('New Hires Forecast'!$H$5:$H$85&gt;=Exec!C$3),'New Hires Forecast'!$N$5:$N$85,'New Hires Forecast'!$L$5:$L$85)/12),0),IF(YEAR(C$3)=YEAR('New Hires Forecast'!$O$3),IF((C$5&lt;=12),(SUMPRODUCT(--('New Hires Forecast'!$F$5:$F$85="Executive"),--('New Hires Forecast'!$H$5:$H$85&gt;=Exec!C$3),'New Hires Forecast'!$O$5:$O$85,'New Hires Forecast'!$L$5:$L$85)/12),0),IF(YEAR(C$3)=YEAR('New Hires Forecast'!$P$3),IF((C$5&lt;=12),(SUMPRODUCT(--('New Hires Forecast'!$F$5:$F$85="Executive"),--('New Hires Forecast'!$H$5:$H$85&gt;=Exec!C$3),'New Hires Forecast'!$P$5:$P$85,'New Hires Forecast'!$L$5:$L$85)/12),0),IF(YEAR(C$3)=YEAR('New Hires Forecast'!$Q$3),IF((C$5&lt;=12),(SUMPRODUCT(--('New Hires Forecast'!$F$5:$F$85="Executive"),--('New Hires Forecast'!$H$5:$H$85&gt;=Exec!C$3),'New Hires Forecast'!$Q$5:$Q$85,'New Hires Forecast'!$L$5:$L$85)/12),0),IF(YEAR(C$3)=YEAR('New Hires Forecast'!$R$3),IF((C$5&lt;=12),(SUMPRODUCT(--('New Hires Forecast'!$F$5:$F$85="Executive"),--('New Hires Forecast'!$H$5:$H$85&gt;=Exec!C$3),'New Hires Forecast'!$R$5:$R$85,'New Hires Forecast'!$L$5:$L$85)/12),0),"New Year"))))),0)</f>
        <v>0</v>
      </c>
      <c r="D15" s="668">
        <f>IF(D$4="forecast",IF(YEAR(D$3)=YEAR('New Hires Forecast'!$N$3),IF((D$5&lt;=12),(SUMPRODUCT(--('New Hires Forecast'!$F$5:$F$85="Executive"),--('New Hires Forecast'!$H$5:$H$85&gt;=Exec!D$3),'New Hires Forecast'!$N$5:$N$85,'New Hires Forecast'!$L$5:$L$85)/12),0),IF(YEAR(D$3)=YEAR('New Hires Forecast'!$O$3),IF((D$5&lt;=12),(SUMPRODUCT(--('New Hires Forecast'!$F$5:$F$85="Executive"),--('New Hires Forecast'!$H$5:$H$85&gt;=Exec!D$3),'New Hires Forecast'!$O$5:$O$85,'New Hires Forecast'!$L$5:$L$85)/12),0),IF(YEAR(D$3)=YEAR('New Hires Forecast'!$P$3),IF((D$5&lt;=12),(SUMPRODUCT(--('New Hires Forecast'!$F$5:$F$85="Executive"),--('New Hires Forecast'!$H$5:$H$85&gt;=Exec!D$3),'New Hires Forecast'!$P$5:$P$85,'New Hires Forecast'!$L$5:$L$85)/12),0),IF(YEAR(D$3)=YEAR('New Hires Forecast'!$Q$3),IF((D$5&lt;=12),(SUMPRODUCT(--('New Hires Forecast'!$F$5:$F$85="Executive"),--('New Hires Forecast'!$H$5:$H$85&gt;=Exec!D$3),'New Hires Forecast'!$Q$5:$Q$85,'New Hires Forecast'!$L$5:$L$85)/12),0),IF(YEAR(D$3)=YEAR('New Hires Forecast'!$R$3),IF((D$5&lt;=12),(SUMPRODUCT(--('New Hires Forecast'!$F$5:$F$85="Executive"),--('New Hires Forecast'!$H$5:$H$85&gt;=Exec!D$3),'New Hires Forecast'!$R$5:$R$85,'New Hires Forecast'!$L$5:$L$85)/12),0),"New Year"))))),0)</f>
        <v>0</v>
      </c>
      <c r="E15" s="668">
        <f>IF(E$4="forecast",IF(YEAR(E$3)=YEAR('New Hires Forecast'!$N$3),IF((E$5&lt;=12),(SUMPRODUCT(--('New Hires Forecast'!$F$5:$F$85="Executive"),--('New Hires Forecast'!$H$5:$H$85&gt;=Exec!E$3),'New Hires Forecast'!$N$5:$N$85,'New Hires Forecast'!$L$5:$L$85)/12),0),IF(YEAR(E$3)=YEAR('New Hires Forecast'!$O$3),IF((E$5&lt;=12),(SUMPRODUCT(--('New Hires Forecast'!$F$5:$F$85="Executive"),--('New Hires Forecast'!$H$5:$H$85&gt;=Exec!E$3),'New Hires Forecast'!$O$5:$O$85,'New Hires Forecast'!$L$5:$L$85)/12),0),IF(YEAR(E$3)=YEAR('New Hires Forecast'!$P$3),IF((E$5&lt;=12),(SUMPRODUCT(--('New Hires Forecast'!$F$5:$F$85="Executive"),--('New Hires Forecast'!$H$5:$H$85&gt;=Exec!E$3),'New Hires Forecast'!$P$5:$P$85,'New Hires Forecast'!$L$5:$L$85)/12),0),IF(YEAR(E$3)=YEAR('New Hires Forecast'!$Q$3),IF((E$5&lt;=12),(SUMPRODUCT(--('New Hires Forecast'!$F$5:$F$85="Executive"),--('New Hires Forecast'!$H$5:$H$85&gt;=Exec!E$3),'New Hires Forecast'!$Q$5:$Q$85,'New Hires Forecast'!$L$5:$L$85)/12),0),IF(YEAR(E$3)=YEAR('New Hires Forecast'!$R$3),IF((E$5&lt;=12),(SUMPRODUCT(--('New Hires Forecast'!$F$5:$F$85="Executive"),--('New Hires Forecast'!$H$5:$H$85&gt;=Exec!E$3),'New Hires Forecast'!$R$5:$R$85,'New Hires Forecast'!$L$5:$L$85)/12),0),"New Year"))))),0)</f>
        <v>0</v>
      </c>
      <c r="F15" s="668">
        <f>IF(F$4="forecast",IF(YEAR(F$3)=YEAR('New Hires Forecast'!$N$3),IF((F$5&lt;=12),(SUMPRODUCT(--('New Hires Forecast'!$F$5:$F$85="Executive"),--('New Hires Forecast'!$H$5:$H$85&gt;=Exec!F$3),'New Hires Forecast'!$N$5:$N$85,'New Hires Forecast'!$L$5:$L$85)/12),0),IF(YEAR(F$3)=YEAR('New Hires Forecast'!$O$3),IF((F$5&lt;=12),(SUMPRODUCT(--('New Hires Forecast'!$F$5:$F$85="Executive"),--('New Hires Forecast'!$H$5:$H$85&gt;=Exec!F$3),'New Hires Forecast'!$O$5:$O$85,'New Hires Forecast'!$L$5:$L$85)/12),0),IF(YEAR(F$3)=YEAR('New Hires Forecast'!$P$3),IF((F$5&lt;=12),(SUMPRODUCT(--('New Hires Forecast'!$F$5:$F$85="Executive"),--('New Hires Forecast'!$H$5:$H$85&gt;=Exec!F$3),'New Hires Forecast'!$P$5:$P$85,'New Hires Forecast'!$L$5:$L$85)/12),0),IF(YEAR(F$3)=YEAR('New Hires Forecast'!$Q$3),IF((F$5&lt;=12),(SUMPRODUCT(--('New Hires Forecast'!$F$5:$F$85="Executive"),--('New Hires Forecast'!$H$5:$H$85&gt;=Exec!F$3),'New Hires Forecast'!$Q$5:$Q$85,'New Hires Forecast'!$L$5:$L$85)/12),0),IF(YEAR(F$3)=YEAR('New Hires Forecast'!$R$3),IF((F$5&lt;=12),(SUMPRODUCT(--('New Hires Forecast'!$F$5:$F$85="Executive"),--('New Hires Forecast'!$H$5:$H$85&gt;=Exec!F$3),'New Hires Forecast'!$R$5:$R$85,'New Hires Forecast'!$L$5:$L$85)/12),0),"New Year"))))),0)</f>
        <v>0</v>
      </c>
      <c r="G15" s="668">
        <f>IF(G$4="forecast",IF(YEAR(G$3)=YEAR('New Hires Forecast'!$N$3),IF((G$5&lt;=12),(SUMPRODUCT(--('New Hires Forecast'!$F$5:$F$85="Executive"),--('New Hires Forecast'!$H$5:$H$85&gt;=Exec!G$3),'New Hires Forecast'!$N$5:$N$85,'New Hires Forecast'!$L$5:$L$85)/12),0),IF(YEAR(G$3)=YEAR('New Hires Forecast'!$O$3),IF((G$5&lt;=12),(SUMPRODUCT(--('New Hires Forecast'!$F$5:$F$85="Executive"),--('New Hires Forecast'!$H$5:$H$85&gt;=Exec!G$3),'New Hires Forecast'!$O$5:$O$85,'New Hires Forecast'!$L$5:$L$85)/12),0),IF(YEAR(G$3)=YEAR('New Hires Forecast'!$P$3),IF((G$5&lt;=12),(SUMPRODUCT(--('New Hires Forecast'!$F$5:$F$85="Executive"),--('New Hires Forecast'!$H$5:$H$85&gt;=Exec!G$3),'New Hires Forecast'!$P$5:$P$85,'New Hires Forecast'!$L$5:$L$85)/12),0),IF(YEAR(G$3)=YEAR('New Hires Forecast'!$Q$3),IF((G$5&lt;=12),(SUMPRODUCT(--('New Hires Forecast'!$F$5:$F$85="Executive"),--('New Hires Forecast'!$H$5:$H$85&gt;=Exec!G$3),'New Hires Forecast'!$Q$5:$Q$85,'New Hires Forecast'!$L$5:$L$85)/12),0),IF(YEAR(G$3)=YEAR('New Hires Forecast'!$R$3),IF((G$5&lt;=12),(SUMPRODUCT(--('New Hires Forecast'!$F$5:$F$85="Executive"),--('New Hires Forecast'!$H$5:$H$85&gt;=Exec!G$3),'New Hires Forecast'!$R$5:$R$85,'New Hires Forecast'!$L$5:$L$85)/12),0),"New Year"))))),0)</f>
        <v>0</v>
      </c>
      <c r="H15" s="668">
        <f>IF(H$4="forecast",IF(YEAR(H$3)=YEAR('New Hires Forecast'!$N$3),IF((H$5&lt;=12),(SUMPRODUCT(--('New Hires Forecast'!$F$5:$F$85="Executive"),--('New Hires Forecast'!$H$5:$H$85&gt;=Exec!H$3),'New Hires Forecast'!$N$5:$N$85,'New Hires Forecast'!$L$5:$L$85)/12),0),IF(YEAR(H$3)=YEAR('New Hires Forecast'!$O$3),IF((H$5&lt;=12),(SUMPRODUCT(--('New Hires Forecast'!$F$5:$F$85="Executive"),--('New Hires Forecast'!$H$5:$H$85&gt;=Exec!H$3),'New Hires Forecast'!$O$5:$O$85,'New Hires Forecast'!$L$5:$L$85)/12),0),IF(YEAR(H$3)=YEAR('New Hires Forecast'!$P$3),IF((H$5&lt;=12),(SUMPRODUCT(--('New Hires Forecast'!$F$5:$F$85="Executive"),--('New Hires Forecast'!$H$5:$H$85&gt;=Exec!H$3),'New Hires Forecast'!$P$5:$P$85,'New Hires Forecast'!$L$5:$L$85)/12),0),IF(YEAR(H$3)=YEAR('New Hires Forecast'!$Q$3),IF((H$5&lt;=12),(SUMPRODUCT(--('New Hires Forecast'!$F$5:$F$85="Executive"),--('New Hires Forecast'!$H$5:$H$85&gt;=Exec!H$3),'New Hires Forecast'!$Q$5:$Q$85,'New Hires Forecast'!$L$5:$L$85)/12),0),IF(YEAR(H$3)=YEAR('New Hires Forecast'!$R$3),IF((H$5&lt;=12),(SUMPRODUCT(--('New Hires Forecast'!$F$5:$F$85="Executive"),--('New Hires Forecast'!$H$5:$H$85&gt;=Exec!H$3),'New Hires Forecast'!$R$5:$R$85,'New Hires Forecast'!$L$5:$L$85)/12),0),"New Year"))))),0)</f>
        <v>0</v>
      </c>
      <c r="I15" s="668">
        <f>IF(I$4="forecast",IF(YEAR(I$3)=YEAR('New Hires Forecast'!$N$3),IF((I$5&lt;=12),(SUMPRODUCT(--('New Hires Forecast'!$F$5:$F$85="Executive"),--('New Hires Forecast'!$H$5:$H$85&gt;=Exec!I$3),'New Hires Forecast'!$N$5:$N$85,'New Hires Forecast'!$L$5:$L$85)/12),0),IF(YEAR(I$3)=YEAR('New Hires Forecast'!$O$3),IF((I$5&lt;=12),(SUMPRODUCT(--('New Hires Forecast'!$F$5:$F$85="Executive"),--('New Hires Forecast'!$H$5:$H$85&gt;=Exec!I$3),'New Hires Forecast'!$O$5:$O$85,'New Hires Forecast'!$L$5:$L$85)/12),0),IF(YEAR(I$3)=YEAR('New Hires Forecast'!$P$3),IF((I$5&lt;=12),(SUMPRODUCT(--('New Hires Forecast'!$F$5:$F$85="Executive"),--('New Hires Forecast'!$H$5:$H$85&gt;=Exec!I$3),'New Hires Forecast'!$P$5:$P$85,'New Hires Forecast'!$L$5:$L$85)/12),0),IF(YEAR(I$3)=YEAR('New Hires Forecast'!$Q$3),IF((I$5&lt;=12),(SUMPRODUCT(--('New Hires Forecast'!$F$5:$F$85="Executive"),--('New Hires Forecast'!$H$5:$H$85&gt;=Exec!I$3),'New Hires Forecast'!$Q$5:$Q$85,'New Hires Forecast'!$L$5:$L$85)/12),0),IF(YEAR(I$3)=YEAR('New Hires Forecast'!$R$3),IF((I$5&lt;=12),(SUMPRODUCT(--('New Hires Forecast'!$F$5:$F$85="Executive"),--('New Hires Forecast'!$H$5:$H$85&gt;=Exec!I$3),'New Hires Forecast'!$R$5:$R$85,'New Hires Forecast'!$L$5:$L$85)/12),0),"New Year"))))),0)</f>
        <v>0</v>
      </c>
      <c r="J15" s="668">
        <f>IF(J$4="forecast",IF(YEAR(J$3)=YEAR('New Hires Forecast'!$N$3),IF((J$5&lt;=12),(SUMPRODUCT(--('New Hires Forecast'!$F$5:$F$85="Executive"),--('New Hires Forecast'!$H$5:$H$85&gt;=Exec!J$3),'New Hires Forecast'!$N$5:$N$85,'New Hires Forecast'!$L$5:$L$85)/12),0),IF(YEAR(J$3)=YEAR('New Hires Forecast'!$O$3),IF((J$5&lt;=12),(SUMPRODUCT(--('New Hires Forecast'!$F$5:$F$85="Executive"),--('New Hires Forecast'!$H$5:$H$85&gt;=Exec!J$3),'New Hires Forecast'!$O$5:$O$85,'New Hires Forecast'!$L$5:$L$85)/12),0),IF(YEAR(J$3)=YEAR('New Hires Forecast'!$P$3),IF((J$5&lt;=12),(SUMPRODUCT(--('New Hires Forecast'!$F$5:$F$85="Executive"),--('New Hires Forecast'!$H$5:$H$85&gt;=Exec!J$3),'New Hires Forecast'!$P$5:$P$85,'New Hires Forecast'!$L$5:$L$85)/12),0),IF(YEAR(J$3)=YEAR('New Hires Forecast'!$Q$3),IF((J$5&lt;=12),(SUMPRODUCT(--('New Hires Forecast'!$F$5:$F$85="Executive"),--('New Hires Forecast'!$H$5:$H$85&gt;=Exec!J$3),'New Hires Forecast'!$Q$5:$Q$85,'New Hires Forecast'!$L$5:$L$85)/12),0),IF(YEAR(J$3)=YEAR('New Hires Forecast'!$R$3),IF((J$5&lt;=12),(SUMPRODUCT(--('New Hires Forecast'!$F$5:$F$85="Executive"),--('New Hires Forecast'!$H$5:$H$85&gt;=Exec!J$3),'New Hires Forecast'!$R$5:$R$85,'New Hires Forecast'!$L$5:$L$85)/12),0),"New Year"))))),0)</f>
        <v>0</v>
      </c>
      <c r="K15" s="668">
        <f>IF(K$4="forecast",IF(YEAR(K$3)=YEAR('New Hires Forecast'!$N$3),IF((K$5&lt;=12),(SUMPRODUCT(--('New Hires Forecast'!$F$5:$F$85="Executive"),--('New Hires Forecast'!$H$5:$H$85&gt;=Exec!K$3),'New Hires Forecast'!$N$5:$N$85,'New Hires Forecast'!$L$5:$L$85)/12),0),IF(YEAR(K$3)=YEAR('New Hires Forecast'!$O$3),IF((K$5&lt;=12),(SUMPRODUCT(--('New Hires Forecast'!$F$5:$F$85="Executive"),--('New Hires Forecast'!$H$5:$H$85&gt;=Exec!K$3),'New Hires Forecast'!$O$5:$O$85,'New Hires Forecast'!$L$5:$L$85)/12),0),IF(YEAR(K$3)=YEAR('New Hires Forecast'!$P$3),IF((K$5&lt;=12),(SUMPRODUCT(--('New Hires Forecast'!$F$5:$F$85="Executive"),--('New Hires Forecast'!$H$5:$H$85&gt;=Exec!K$3),'New Hires Forecast'!$P$5:$P$85,'New Hires Forecast'!$L$5:$L$85)/12),0),IF(YEAR(K$3)=YEAR('New Hires Forecast'!$Q$3),IF((K$5&lt;=12),(SUMPRODUCT(--('New Hires Forecast'!$F$5:$F$85="Executive"),--('New Hires Forecast'!$H$5:$H$85&gt;=Exec!K$3),'New Hires Forecast'!$Q$5:$Q$85,'New Hires Forecast'!$L$5:$L$85)/12),0),IF(YEAR(K$3)=YEAR('New Hires Forecast'!$R$3),IF((K$5&lt;=12),(SUMPRODUCT(--('New Hires Forecast'!$F$5:$F$85="Executive"),--('New Hires Forecast'!$H$5:$H$85&gt;=Exec!K$3),'New Hires Forecast'!$R$5:$R$85,'New Hires Forecast'!$L$5:$L$85)/12),0),"New Year"))))),0)</f>
        <v>0</v>
      </c>
      <c r="L15" s="668">
        <f>IF(L$4="forecast",IF(YEAR(L$3)=YEAR('New Hires Forecast'!$N$3),IF((L$5&lt;=12),(SUMPRODUCT(--('New Hires Forecast'!$F$5:$F$85="Executive"),--('New Hires Forecast'!$H$5:$H$85&gt;=Exec!L$3),'New Hires Forecast'!$N$5:$N$85,'New Hires Forecast'!$L$5:$L$85)/12),0),IF(YEAR(L$3)=YEAR('New Hires Forecast'!$O$3),IF((L$5&lt;=12),(SUMPRODUCT(--('New Hires Forecast'!$F$5:$F$85="Executive"),--('New Hires Forecast'!$H$5:$H$85&gt;=Exec!L$3),'New Hires Forecast'!$O$5:$O$85,'New Hires Forecast'!$L$5:$L$85)/12),0),IF(YEAR(L$3)=YEAR('New Hires Forecast'!$P$3),IF((L$5&lt;=12),(SUMPRODUCT(--('New Hires Forecast'!$F$5:$F$85="Executive"),--('New Hires Forecast'!$H$5:$H$85&gt;=Exec!L$3),'New Hires Forecast'!$P$5:$P$85,'New Hires Forecast'!$L$5:$L$85)/12),0),IF(YEAR(L$3)=YEAR('New Hires Forecast'!$Q$3),IF((L$5&lt;=12),(SUMPRODUCT(--('New Hires Forecast'!$F$5:$F$85="Executive"),--('New Hires Forecast'!$H$5:$H$85&gt;=Exec!L$3),'New Hires Forecast'!$Q$5:$Q$85,'New Hires Forecast'!$L$5:$L$85)/12),0),IF(YEAR(L$3)=YEAR('New Hires Forecast'!$R$3),IF((L$5&lt;=12),(SUMPRODUCT(--('New Hires Forecast'!$F$5:$F$85="Executive"),--('New Hires Forecast'!$H$5:$H$85&gt;=Exec!L$3),'New Hires Forecast'!$R$5:$R$85,'New Hires Forecast'!$L$5:$L$85)/12),0),"New Year"))))),0)</f>
        <v>0</v>
      </c>
      <c r="M15" s="668">
        <f>IF(M$4="forecast",IF(YEAR(M$3)=YEAR('New Hires Forecast'!$N$3),IF((M$5&lt;=12),(SUMPRODUCT(--('New Hires Forecast'!$F$5:$F$85="Executive"),--('New Hires Forecast'!$H$5:$H$85&gt;=Exec!M$3),'New Hires Forecast'!$N$5:$N$85,'New Hires Forecast'!$L$5:$L$85)/12),0),IF(YEAR(M$3)=YEAR('New Hires Forecast'!$O$3),IF((M$5&lt;=12),(SUMPRODUCT(--('New Hires Forecast'!$F$5:$F$85="Executive"),--('New Hires Forecast'!$H$5:$H$85&gt;=Exec!M$3),'New Hires Forecast'!$O$5:$O$85,'New Hires Forecast'!$L$5:$L$85)/12),0),IF(YEAR(M$3)=YEAR('New Hires Forecast'!$P$3),IF((M$5&lt;=12),(SUMPRODUCT(--('New Hires Forecast'!$F$5:$F$85="Executive"),--('New Hires Forecast'!$H$5:$H$85&gt;=Exec!M$3),'New Hires Forecast'!$P$5:$P$85,'New Hires Forecast'!$L$5:$L$85)/12),0),IF(YEAR(M$3)=YEAR('New Hires Forecast'!$Q$3),IF((M$5&lt;=12),(SUMPRODUCT(--('New Hires Forecast'!$F$5:$F$85="Executive"),--('New Hires Forecast'!$H$5:$H$85&gt;=Exec!M$3),'New Hires Forecast'!$Q$5:$Q$85,'New Hires Forecast'!$L$5:$L$85)/12),0),IF(YEAR(M$3)=YEAR('New Hires Forecast'!$R$3),IF((M$5&lt;=12),(SUMPRODUCT(--('New Hires Forecast'!$F$5:$F$85="Executive"),--('New Hires Forecast'!$H$5:$H$85&gt;=Exec!M$3),'New Hires Forecast'!$R$5:$R$85,'New Hires Forecast'!$L$5:$L$85)/12),0),"New Year"))))),0)</f>
        <v>0</v>
      </c>
      <c r="N15" s="668">
        <f>IF(N$4="forecast",IF(YEAR(N$3)=YEAR('New Hires Forecast'!$N$3),IF((N$5&lt;=12),(SUMPRODUCT(--('New Hires Forecast'!$F$5:$F$85="Executive"),--('New Hires Forecast'!$H$5:$H$85&gt;=Exec!N$3),'New Hires Forecast'!$N$5:$N$85,'New Hires Forecast'!$L$5:$L$85)/12),0),IF(YEAR(N$3)=YEAR('New Hires Forecast'!$O$3),IF((N$5&lt;=12),(SUMPRODUCT(--('New Hires Forecast'!$F$5:$F$85="Executive"),--('New Hires Forecast'!$H$5:$H$85&gt;=Exec!N$3),'New Hires Forecast'!$O$5:$O$85,'New Hires Forecast'!$L$5:$L$85)/12),0),IF(YEAR(N$3)=YEAR('New Hires Forecast'!$P$3),IF((N$5&lt;=12),(SUMPRODUCT(--('New Hires Forecast'!$F$5:$F$85="Executive"),--('New Hires Forecast'!$H$5:$H$85&gt;=Exec!N$3),'New Hires Forecast'!$P$5:$P$85,'New Hires Forecast'!$L$5:$L$85)/12),0),IF(YEAR(N$3)=YEAR('New Hires Forecast'!$Q$3),IF((N$5&lt;=12),(SUMPRODUCT(--('New Hires Forecast'!$F$5:$F$85="Executive"),--('New Hires Forecast'!$H$5:$H$85&gt;=Exec!N$3),'New Hires Forecast'!$Q$5:$Q$85,'New Hires Forecast'!$L$5:$L$85)/12),0),IF(YEAR(N$3)=YEAR('New Hires Forecast'!$R$3),IF((N$5&lt;=12),(SUMPRODUCT(--('New Hires Forecast'!$F$5:$F$85="Executive"),--('New Hires Forecast'!$H$5:$H$85&gt;=Exec!N$3),'New Hires Forecast'!$R$5:$R$85,'New Hires Forecast'!$L$5:$L$85)/12),0),"New Year"))))),0)</f>
        <v>0</v>
      </c>
      <c r="O15" s="668">
        <f>IF(O$4="forecast",IF(YEAR(O$3)=YEAR('New Hires Forecast'!$N$3),IF((O$5&lt;=12),(SUMPRODUCT(--('New Hires Forecast'!$F$5:$F$85="Executive"),--('New Hires Forecast'!$H$5:$H$85&gt;=Exec!O$3),'New Hires Forecast'!$N$5:$N$85,'New Hires Forecast'!$L$5:$L$85)/12),0),IF(YEAR(O$3)=YEAR('New Hires Forecast'!$O$3),IF((O$5&lt;=12),(SUMPRODUCT(--('New Hires Forecast'!$F$5:$F$85="Executive"),--('New Hires Forecast'!$H$5:$H$85&gt;=Exec!O$3),'New Hires Forecast'!$O$5:$O$85,'New Hires Forecast'!$L$5:$L$85)/12),0),IF(YEAR(O$3)=YEAR('New Hires Forecast'!$P$3),IF((O$5&lt;=12),(SUMPRODUCT(--('New Hires Forecast'!$F$5:$F$85="Executive"),--('New Hires Forecast'!$H$5:$H$85&gt;=Exec!O$3),'New Hires Forecast'!$P$5:$P$85,'New Hires Forecast'!$L$5:$L$85)/12),0),IF(YEAR(O$3)=YEAR('New Hires Forecast'!$Q$3),IF((O$5&lt;=12),(SUMPRODUCT(--('New Hires Forecast'!$F$5:$F$85="Executive"),--('New Hires Forecast'!$H$5:$H$85&gt;=Exec!O$3),'New Hires Forecast'!$Q$5:$Q$85,'New Hires Forecast'!$L$5:$L$85)/12),0),IF(YEAR(O$3)=YEAR('New Hires Forecast'!$R$3),IF((O$5&lt;=12),(SUMPRODUCT(--('New Hires Forecast'!$F$5:$F$85="Executive"),--('New Hires Forecast'!$H$5:$H$85&gt;=Exec!O$3),'New Hires Forecast'!$R$5:$R$85,'New Hires Forecast'!$L$5:$L$85)/12),0),"New Year"))))),0)</f>
        <v>0</v>
      </c>
      <c r="P15" s="668">
        <f>IF(P$4="forecast",IF(YEAR(P$3)=YEAR('New Hires Forecast'!$N$3),IF((P$5&lt;=12),(SUMPRODUCT(--('New Hires Forecast'!$F$5:$F$85="Executive"),--('New Hires Forecast'!$H$5:$H$85&gt;=Exec!P$3),'New Hires Forecast'!$N$5:$N$85,'New Hires Forecast'!$L$5:$L$85)/12),0),IF(YEAR(P$3)=YEAR('New Hires Forecast'!$O$3),IF((P$5&lt;=12),(SUMPRODUCT(--('New Hires Forecast'!$F$5:$F$85="Executive"),--('New Hires Forecast'!$H$5:$H$85&gt;=Exec!P$3),'New Hires Forecast'!$O$5:$O$85,'New Hires Forecast'!$L$5:$L$85)/12),0),IF(YEAR(P$3)=YEAR('New Hires Forecast'!$P$3),IF((P$5&lt;=12),(SUMPRODUCT(--('New Hires Forecast'!$F$5:$F$85="Executive"),--('New Hires Forecast'!$H$5:$H$85&gt;=Exec!P$3),'New Hires Forecast'!$P$5:$P$85,'New Hires Forecast'!$L$5:$L$85)/12),0),IF(YEAR(P$3)=YEAR('New Hires Forecast'!$Q$3),IF((P$5&lt;=12),(SUMPRODUCT(--('New Hires Forecast'!$F$5:$F$85="Executive"),--('New Hires Forecast'!$H$5:$H$85&gt;=Exec!P$3),'New Hires Forecast'!$Q$5:$Q$85,'New Hires Forecast'!$L$5:$L$85)/12),0),IF(YEAR(P$3)=YEAR('New Hires Forecast'!$R$3),IF((P$5&lt;=12),(SUMPRODUCT(--('New Hires Forecast'!$F$5:$F$85="Executive"),--('New Hires Forecast'!$H$5:$H$85&gt;=Exec!P$3),'New Hires Forecast'!$R$5:$R$85,'New Hires Forecast'!$L$5:$L$85)/12),0),"New Year"))))),0)</f>
        <v>0</v>
      </c>
      <c r="Q15" s="668">
        <f>IF(Q$4="forecast",IF(YEAR(Q$3)=YEAR('New Hires Forecast'!$N$3),IF((Q$5&lt;=12),(SUMPRODUCT(--('New Hires Forecast'!$F$5:$F$85="Executive"),--('New Hires Forecast'!$H$5:$H$85&gt;=Exec!Q$3),'New Hires Forecast'!$N$5:$N$85,'New Hires Forecast'!$L$5:$L$85)/12),0),IF(YEAR(Q$3)=YEAR('New Hires Forecast'!$O$3),IF((Q$5&lt;=12),(SUMPRODUCT(--('New Hires Forecast'!$F$5:$F$85="Executive"),--('New Hires Forecast'!$H$5:$H$85&gt;=Exec!Q$3),'New Hires Forecast'!$O$5:$O$85,'New Hires Forecast'!$L$5:$L$85)/12),0),IF(YEAR(Q$3)=YEAR('New Hires Forecast'!$P$3),IF((Q$5&lt;=12),(SUMPRODUCT(--('New Hires Forecast'!$F$5:$F$85="Executive"),--('New Hires Forecast'!$H$5:$H$85&gt;=Exec!Q$3),'New Hires Forecast'!$P$5:$P$85,'New Hires Forecast'!$L$5:$L$85)/12),0),IF(YEAR(Q$3)=YEAR('New Hires Forecast'!$Q$3),IF((Q$5&lt;=12),(SUMPRODUCT(--('New Hires Forecast'!$F$5:$F$85="Executive"),--('New Hires Forecast'!$H$5:$H$85&gt;=Exec!Q$3),'New Hires Forecast'!$Q$5:$Q$85,'New Hires Forecast'!$L$5:$L$85)/12),0),IF(YEAR(Q$3)=YEAR('New Hires Forecast'!$R$3),IF((Q$5&lt;=12),(SUMPRODUCT(--('New Hires Forecast'!$F$5:$F$85="Executive"),--('New Hires Forecast'!$H$5:$H$85&gt;=Exec!Q$3),'New Hires Forecast'!$R$5:$R$85,'New Hires Forecast'!$L$5:$L$85)/12),0),"New Year"))))),0)</f>
        <v>0</v>
      </c>
      <c r="R15" s="668">
        <f>IF(R$4="forecast",IF(YEAR(R$3)=YEAR('New Hires Forecast'!$N$3),IF((R$5&lt;=12),(SUMPRODUCT(--('New Hires Forecast'!$F$5:$F$85="Executive"),--('New Hires Forecast'!$H$5:$H$85&gt;=Exec!R$3),'New Hires Forecast'!$N$5:$N$85,'New Hires Forecast'!$L$5:$L$85)/12),0),IF(YEAR(R$3)=YEAR('New Hires Forecast'!$O$3),IF((R$5&lt;=12),(SUMPRODUCT(--('New Hires Forecast'!$F$5:$F$85="Executive"),--('New Hires Forecast'!$H$5:$H$85&gt;=Exec!R$3),'New Hires Forecast'!$O$5:$O$85,'New Hires Forecast'!$L$5:$L$85)/12),0),IF(YEAR(R$3)=YEAR('New Hires Forecast'!$P$3),IF((R$5&lt;=12),(SUMPRODUCT(--('New Hires Forecast'!$F$5:$F$85="Executive"),--('New Hires Forecast'!$H$5:$H$85&gt;=Exec!R$3),'New Hires Forecast'!$P$5:$P$85,'New Hires Forecast'!$L$5:$L$85)/12),0),IF(YEAR(R$3)=YEAR('New Hires Forecast'!$Q$3),IF((R$5&lt;=12),(SUMPRODUCT(--('New Hires Forecast'!$F$5:$F$85="Executive"),--('New Hires Forecast'!$H$5:$H$85&gt;=Exec!R$3),'New Hires Forecast'!$Q$5:$Q$85,'New Hires Forecast'!$L$5:$L$85)/12),0),IF(YEAR(R$3)=YEAR('New Hires Forecast'!$R$3),IF((R$5&lt;=12),(SUMPRODUCT(--('New Hires Forecast'!$F$5:$F$85="Executive"),--('New Hires Forecast'!$H$5:$H$85&gt;=Exec!R$3),'New Hires Forecast'!$R$5:$R$85,'New Hires Forecast'!$L$5:$L$85)/12),0),"New Year"))))),0)</f>
        <v>0</v>
      </c>
      <c r="S15" s="668">
        <f>IF(S$4="forecast",IF(YEAR(S$3)=YEAR('New Hires Forecast'!$N$3),IF((S$5&lt;=12),(SUMPRODUCT(--('New Hires Forecast'!$F$5:$F$85="Executive"),--('New Hires Forecast'!$H$5:$H$85&gt;=Exec!S$3),'New Hires Forecast'!$N$5:$N$85,'New Hires Forecast'!$L$5:$L$85)/12),0),IF(YEAR(S$3)=YEAR('New Hires Forecast'!$O$3),IF((S$5&lt;=12),(SUMPRODUCT(--('New Hires Forecast'!$F$5:$F$85="Executive"),--('New Hires Forecast'!$H$5:$H$85&gt;=Exec!S$3),'New Hires Forecast'!$O$5:$O$85,'New Hires Forecast'!$L$5:$L$85)/12),0),IF(YEAR(S$3)=YEAR('New Hires Forecast'!$P$3),IF((S$5&lt;=12),(SUMPRODUCT(--('New Hires Forecast'!$F$5:$F$85="Executive"),--('New Hires Forecast'!$H$5:$H$85&gt;=Exec!S$3),'New Hires Forecast'!$P$5:$P$85,'New Hires Forecast'!$L$5:$L$85)/12),0),IF(YEAR(S$3)=YEAR('New Hires Forecast'!$Q$3),IF((S$5&lt;=12),(SUMPRODUCT(--('New Hires Forecast'!$F$5:$F$85="Executive"),--('New Hires Forecast'!$H$5:$H$85&gt;=Exec!S$3),'New Hires Forecast'!$Q$5:$Q$85,'New Hires Forecast'!$L$5:$L$85)/12),0),IF(YEAR(S$3)=YEAR('New Hires Forecast'!$R$3),IF((S$5&lt;=12),(SUMPRODUCT(--('New Hires Forecast'!$F$5:$F$85="Executive"),--('New Hires Forecast'!$H$5:$H$85&gt;=Exec!S$3),'New Hires Forecast'!$R$5:$R$85,'New Hires Forecast'!$L$5:$L$85)/12),0),"New Year"))))),0)</f>
        <v>0</v>
      </c>
      <c r="T15" s="668">
        <f>IF(T$4="forecast",IF(YEAR(T$3)=YEAR('New Hires Forecast'!$N$3),IF((T$5&lt;=12),(SUMPRODUCT(--('New Hires Forecast'!$F$5:$F$85="Executive"),--('New Hires Forecast'!$H$5:$H$85&gt;=Exec!T$3),'New Hires Forecast'!$N$5:$N$85,'New Hires Forecast'!$L$5:$L$85)/12),0),IF(YEAR(T$3)=YEAR('New Hires Forecast'!$O$3),IF((T$5&lt;=12),(SUMPRODUCT(--('New Hires Forecast'!$F$5:$F$85="Executive"),--('New Hires Forecast'!$H$5:$H$85&gt;=Exec!T$3),'New Hires Forecast'!$O$5:$O$85,'New Hires Forecast'!$L$5:$L$85)/12),0),IF(YEAR(T$3)=YEAR('New Hires Forecast'!$P$3),IF((T$5&lt;=12),(SUMPRODUCT(--('New Hires Forecast'!$F$5:$F$85="Executive"),--('New Hires Forecast'!$H$5:$H$85&gt;=Exec!T$3),'New Hires Forecast'!$P$5:$P$85,'New Hires Forecast'!$L$5:$L$85)/12),0),IF(YEAR(T$3)=YEAR('New Hires Forecast'!$Q$3),IF((T$5&lt;=12),(SUMPRODUCT(--('New Hires Forecast'!$F$5:$F$85="Executive"),--('New Hires Forecast'!$H$5:$H$85&gt;=Exec!T$3),'New Hires Forecast'!$Q$5:$Q$85,'New Hires Forecast'!$L$5:$L$85)/12),0),IF(YEAR(T$3)=YEAR('New Hires Forecast'!$R$3),IF((T$5&lt;=12),(SUMPRODUCT(--('New Hires Forecast'!$F$5:$F$85="Executive"),--('New Hires Forecast'!$H$5:$H$85&gt;=Exec!T$3),'New Hires Forecast'!$R$5:$R$85,'New Hires Forecast'!$L$5:$L$85)/12),0),"New Year"))))),0)</f>
        <v>0</v>
      </c>
      <c r="U15" s="668">
        <f>IF(U$4="forecast",IF(YEAR(U$3)=YEAR('New Hires Forecast'!$N$3),IF((U$5&lt;=12),(SUMPRODUCT(--('New Hires Forecast'!$F$5:$F$85="Executive"),--('New Hires Forecast'!$H$5:$H$85&gt;=Exec!U$3),'New Hires Forecast'!$N$5:$N$85,'New Hires Forecast'!$L$5:$L$85)/12),0),IF(YEAR(U$3)=YEAR('New Hires Forecast'!$O$3),IF((U$5&lt;=12),(SUMPRODUCT(--('New Hires Forecast'!$F$5:$F$85="Executive"),--('New Hires Forecast'!$H$5:$H$85&gt;=Exec!U$3),'New Hires Forecast'!$O$5:$O$85,'New Hires Forecast'!$L$5:$L$85)/12),0),IF(YEAR(U$3)=YEAR('New Hires Forecast'!$P$3),IF((U$5&lt;=12),(SUMPRODUCT(--('New Hires Forecast'!$F$5:$F$85="Executive"),--('New Hires Forecast'!$H$5:$H$85&gt;=Exec!U$3),'New Hires Forecast'!$P$5:$P$85,'New Hires Forecast'!$L$5:$L$85)/12),0),IF(YEAR(U$3)=YEAR('New Hires Forecast'!$Q$3),IF((U$5&lt;=12),(SUMPRODUCT(--('New Hires Forecast'!$F$5:$F$85="Executive"),--('New Hires Forecast'!$H$5:$H$85&gt;=Exec!U$3),'New Hires Forecast'!$Q$5:$Q$85,'New Hires Forecast'!$L$5:$L$85)/12),0),IF(YEAR(U$3)=YEAR('New Hires Forecast'!$R$3),IF((U$5&lt;=12),(SUMPRODUCT(--('New Hires Forecast'!$F$5:$F$85="Executive"),--('New Hires Forecast'!$H$5:$H$85&gt;=Exec!U$3),'New Hires Forecast'!$R$5:$R$85,'New Hires Forecast'!$L$5:$L$85)/12),0),"New Year"))))),0)</f>
        <v>0</v>
      </c>
      <c r="V15" s="668">
        <f>IF(V$4="forecast",IF(YEAR(V$3)=YEAR('New Hires Forecast'!$N$3),IF((V$5&lt;=12),(SUMPRODUCT(--('New Hires Forecast'!$F$5:$F$85="Executive"),--('New Hires Forecast'!$H$5:$H$85&gt;=Exec!V$3),'New Hires Forecast'!$N$5:$N$85,'New Hires Forecast'!$L$5:$L$85)/12),0),IF(YEAR(V$3)=YEAR('New Hires Forecast'!$O$3),IF((V$5&lt;=12),(SUMPRODUCT(--('New Hires Forecast'!$F$5:$F$85="Executive"),--('New Hires Forecast'!$H$5:$H$85&gt;=Exec!V$3),'New Hires Forecast'!$O$5:$O$85,'New Hires Forecast'!$L$5:$L$85)/12),0),IF(YEAR(V$3)=YEAR('New Hires Forecast'!$P$3),IF((V$5&lt;=12),(SUMPRODUCT(--('New Hires Forecast'!$F$5:$F$85="Executive"),--('New Hires Forecast'!$H$5:$H$85&gt;=Exec!V$3),'New Hires Forecast'!$P$5:$P$85,'New Hires Forecast'!$L$5:$L$85)/12),0),IF(YEAR(V$3)=YEAR('New Hires Forecast'!$Q$3),IF((V$5&lt;=12),(SUMPRODUCT(--('New Hires Forecast'!$F$5:$F$85="Executive"),--('New Hires Forecast'!$H$5:$H$85&gt;=Exec!V$3),'New Hires Forecast'!$Q$5:$Q$85,'New Hires Forecast'!$L$5:$L$85)/12),0),IF(YEAR(V$3)=YEAR('New Hires Forecast'!$R$3),IF((V$5&lt;=12),(SUMPRODUCT(--('New Hires Forecast'!$F$5:$F$85="Executive"),--('New Hires Forecast'!$H$5:$H$85&gt;=Exec!V$3),'New Hires Forecast'!$R$5:$R$85,'New Hires Forecast'!$L$5:$L$85)/12),0),"New Year"))))),0)</f>
        <v>0</v>
      </c>
      <c r="W15" s="668">
        <f>IF(W$4="forecast",IF(YEAR(W$3)=YEAR('New Hires Forecast'!$N$3),IF((W$5&lt;=12),(SUMPRODUCT(--('New Hires Forecast'!$F$5:$F$85="Executive"),--('New Hires Forecast'!$H$5:$H$85&gt;=Exec!W$3),'New Hires Forecast'!$N$5:$N$85,'New Hires Forecast'!$L$5:$L$85)/12),0),IF(YEAR(W$3)=YEAR('New Hires Forecast'!$O$3),IF((W$5&lt;=12),(SUMPRODUCT(--('New Hires Forecast'!$F$5:$F$85="Executive"),--('New Hires Forecast'!$H$5:$H$85&gt;=Exec!W$3),'New Hires Forecast'!$O$5:$O$85,'New Hires Forecast'!$L$5:$L$85)/12),0),IF(YEAR(W$3)=YEAR('New Hires Forecast'!$P$3),IF((W$5&lt;=12),(SUMPRODUCT(--('New Hires Forecast'!$F$5:$F$85="Executive"),--('New Hires Forecast'!$H$5:$H$85&gt;=Exec!W$3),'New Hires Forecast'!$P$5:$P$85,'New Hires Forecast'!$L$5:$L$85)/12),0),IF(YEAR(W$3)=YEAR('New Hires Forecast'!$Q$3),IF((W$5&lt;=12),(SUMPRODUCT(--('New Hires Forecast'!$F$5:$F$85="Executive"),--('New Hires Forecast'!$H$5:$H$85&gt;=Exec!W$3),'New Hires Forecast'!$Q$5:$Q$85,'New Hires Forecast'!$L$5:$L$85)/12),0),IF(YEAR(W$3)=YEAR('New Hires Forecast'!$R$3),IF((W$5&lt;=12),(SUMPRODUCT(--('New Hires Forecast'!$F$5:$F$85="Executive"),--('New Hires Forecast'!$H$5:$H$85&gt;=Exec!W$3),'New Hires Forecast'!$R$5:$R$85,'New Hires Forecast'!$L$5:$L$85)/12),0),"New Year"))))),0)</f>
        <v>0</v>
      </c>
      <c r="X15" s="668">
        <f>IF(X$4="forecast",IF(YEAR(X$3)=YEAR('New Hires Forecast'!$N$3),IF((X$5&lt;=12),(SUMPRODUCT(--('New Hires Forecast'!$F$5:$F$85="Executive"),--('New Hires Forecast'!$H$5:$H$85&gt;=Exec!X$3),'New Hires Forecast'!$N$5:$N$85,'New Hires Forecast'!$L$5:$L$85)/12),0),IF(YEAR(X$3)=YEAR('New Hires Forecast'!$O$3),IF((X$5&lt;=12),(SUMPRODUCT(--('New Hires Forecast'!$F$5:$F$85="Executive"),--('New Hires Forecast'!$H$5:$H$85&gt;=Exec!X$3),'New Hires Forecast'!$O$5:$O$85,'New Hires Forecast'!$L$5:$L$85)/12),0),IF(YEAR(X$3)=YEAR('New Hires Forecast'!$P$3),IF((X$5&lt;=12),(SUMPRODUCT(--('New Hires Forecast'!$F$5:$F$85="Executive"),--('New Hires Forecast'!$H$5:$H$85&gt;=Exec!X$3),'New Hires Forecast'!$P$5:$P$85,'New Hires Forecast'!$L$5:$L$85)/12),0),IF(YEAR(X$3)=YEAR('New Hires Forecast'!$Q$3),IF((X$5&lt;=12),(SUMPRODUCT(--('New Hires Forecast'!$F$5:$F$85="Executive"),--('New Hires Forecast'!$H$5:$H$85&gt;=Exec!X$3),'New Hires Forecast'!$Q$5:$Q$85,'New Hires Forecast'!$L$5:$L$85)/12),0),IF(YEAR(X$3)=YEAR('New Hires Forecast'!$R$3),IF((X$5&lt;=12),(SUMPRODUCT(--('New Hires Forecast'!$F$5:$F$85="Executive"),--('New Hires Forecast'!$H$5:$H$85&gt;=Exec!X$3),'New Hires Forecast'!$R$5:$R$85,'New Hires Forecast'!$L$5:$L$85)/12),0),"New Year"))))),0)</f>
        <v>0</v>
      </c>
      <c r="Y15" s="668">
        <f>IF(Y$4="forecast",IF(YEAR(Y$3)=YEAR('New Hires Forecast'!$N$3),IF((Y$5&lt;=12),(SUMPRODUCT(--('New Hires Forecast'!$F$5:$F$85="Executive"),--('New Hires Forecast'!$H$5:$H$85&gt;=Exec!Y$3),'New Hires Forecast'!$N$5:$N$85,'New Hires Forecast'!$L$5:$L$85)/12),0),IF(YEAR(Y$3)=YEAR('New Hires Forecast'!$O$3),IF((Y$5&lt;=12),(SUMPRODUCT(--('New Hires Forecast'!$F$5:$F$85="Executive"),--('New Hires Forecast'!$H$5:$H$85&gt;=Exec!Y$3),'New Hires Forecast'!$O$5:$O$85,'New Hires Forecast'!$L$5:$L$85)/12),0),IF(YEAR(Y$3)=YEAR('New Hires Forecast'!$P$3),IF((Y$5&lt;=12),(SUMPRODUCT(--('New Hires Forecast'!$F$5:$F$85="Executive"),--('New Hires Forecast'!$H$5:$H$85&gt;=Exec!Y$3),'New Hires Forecast'!$P$5:$P$85,'New Hires Forecast'!$L$5:$L$85)/12),0),IF(YEAR(Y$3)=YEAR('New Hires Forecast'!$Q$3),IF((Y$5&lt;=12),(SUMPRODUCT(--('New Hires Forecast'!$F$5:$F$85="Executive"),--('New Hires Forecast'!$H$5:$H$85&gt;=Exec!Y$3),'New Hires Forecast'!$Q$5:$Q$85,'New Hires Forecast'!$L$5:$L$85)/12),0),IF(YEAR(Y$3)=YEAR('New Hires Forecast'!$R$3),IF((Y$5&lt;=12),(SUMPRODUCT(--('New Hires Forecast'!$F$5:$F$85="Executive"),--('New Hires Forecast'!$H$5:$H$85&gt;=Exec!Y$3),'New Hires Forecast'!$R$5:$R$85,'New Hires Forecast'!$L$5:$L$85)/12),0),"New Year"))))),0)</f>
        <v>0</v>
      </c>
      <c r="Z15" s="668">
        <f>IF(Z$4="forecast",IF(YEAR(Z$3)=YEAR('New Hires Forecast'!$N$3),IF((Z$5&lt;=12),(SUMPRODUCT(--('New Hires Forecast'!$F$5:$F$85="Executive"),--('New Hires Forecast'!$H$5:$H$85&gt;=Exec!Z$3),'New Hires Forecast'!$N$5:$N$85,'New Hires Forecast'!$L$5:$L$85)/12),0),IF(YEAR(Z$3)=YEAR('New Hires Forecast'!$O$3),IF((Z$5&lt;=12),(SUMPRODUCT(--('New Hires Forecast'!$F$5:$F$85="Executive"),--('New Hires Forecast'!$H$5:$H$85&gt;=Exec!Z$3),'New Hires Forecast'!$O$5:$O$85,'New Hires Forecast'!$L$5:$L$85)/12),0),IF(YEAR(Z$3)=YEAR('New Hires Forecast'!$P$3),IF((Z$5&lt;=12),(SUMPRODUCT(--('New Hires Forecast'!$F$5:$F$85="Executive"),--('New Hires Forecast'!$H$5:$H$85&gt;=Exec!Z$3),'New Hires Forecast'!$P$5:$P$85,'New Hires Forecast'!$L$5:$L$85)/12),0),IF(YEAR(Z$3)=YEAR('New Hires Forecast'!$Q$3),IF((Z$5&lt;=12),(SUMPRODUCT(--('New Hires Forecast'!$F$5:$F$85="Executive"),--('New Hires Forecast'!$H$5:$H$85&gt;=Exec!Z$3),'New Hires Forecast'!$Q$5:$Q$85,'New Hires Forecast'!$L$5:$L$85)/12),0),IF(YEAR(Z$3)=YEAR('New Hires Forecast'!$R$3),IF((Z$5&lt;=12),(SUMPRODUCT(--('New Hires Forecast'!$F$5:$F$85="Executive"),--('New Hires Forecast'!$H$5:$H$85&gt;=Exec!Z$3),'New Hires Forecast'!$R$5:$R$85,'New Hires Forecast'!$L$5:$L$85)/12),0),"New Year"))))),0)</f>
        <v>0</v>
      </c>
      <c r="AA15" s="668">
        <f>IF(AA$4="forecast",IF(YEAR(AA$3)=YEAR('New Hires Forecast'!$N$3),IF((AA$5&lt;=12),(SUMPRODUCT(--('New Hires Forecast'!$F$5:$F$85="Executive"),--('New Hires Forecast'!$H$5:$H$85&gt;=Exec!AA$3),'New Hires Forecast'!$N$5:$N$85,'New Hires Forecast'!$L$5:$L$85)/12),0),IF(YEAR(AA$3)=YEAR('New Hires Forecast'!$O$3),IF((AA$5&lt;=12),(SUMPRODUCT(--('New Hires Forecast'!$F$5:$F$85="Executive"),--('New Hires Forecast'!$H$5:$H$85&gt;=Exec!AA$3),'New Hires Forecast'!$O$5:$O$85,'New Hires Forecast'!$L$5:$L$85)/12),0),IF(YEAR(AA$3)=YEAR('New Hires Forecast'!$P$3),IF((AA$5&lt;=12),(SUMPRODUCT(--('New Hires Forecast'!$F$5:$F$85="Executive"),--('New Hires Forecast'!$H$5:$H$85&gt;=Exec!AA$3),'New Hires Forecast'!$P$5:$P$85,'New Hires Forecast'!$L$5:$L$85)/12),0),IF(YEAR(AA$3)=YEAR('New Hires Forecast'!$Q$3),IF((AA$5&lt;=12),(SUMPRODUCT(--('New Hires Forecast'!$F$5:$F$85="Executive"),--('New Hires Forecast'!$H$5:$H$85&gt;=Exec!AA$3),'New Hires Forecast'!$Q$5:$Q$85,'New Hires Forecast'!$L$5:$L$85)/12),0),IF(YEAR(AA$3)=YEAR('New Hires Forecast'!$R$3),IF((AA$5&lt;=12),(SUMPRODUCT(--('New Hires Forecast'!$F$5:$F$85="Executive"),--('New Hires Forecast'!$H$5:$H$85&gt;=Exec!AA$3),'New Hires Forecast'!$R$5:$R$85,'New Hires Forecast'!$L$5:$L$85)/12),0),"New Year"))))),0)</f>
        <v>0</v>
      </c>
      <c r="AB15" s="668">
        <f>IF(AB$4="forecast",IF(YEAR(AB$3)=YEAR('New Hires Forecast'!$N$3),IF((AB$5&lt;=12),(SUMPRODUCT(--('New Hires Forecast'!$F$5:$F$85="Executive"),--('New Hires Forecast'!$H$5:$H$85&gt;=Exec!AB$3),'New Hires Forecast'!$N$5:$N$85,'New Hires Forecast'!$L$5:$L$85)/12),0),IF(YEAR(AB$3)=YEAR('New Hires Forecast'!$O$3),IF((AB$5&lt;=12),(SUMPRODUCT(--('New Hires Forecast'!$F$5:$F$85="Executive"),--('New Hires Forecast'!$H$5:$H$85&gt;=Exec!AB$3),'New Hires Forecast'!$O$5:$O$85,'New Hires Forecast'!$L$5:$L$85)/12),0),IF(YEAR(AB$3)=YEAR('New Hires Forecast'!$P$3),IF((AB$5&lt;=12),(SUMPRODUCT(--('New Hires Forecast'!$F$5:$F$85="Executive"),--('New Hires Forecast'!$H$5:$H$85&gt;=Exec!AB$3),'New Hires Forecast'!$P$5:$P$85,'New Hires Forecast'!$L$5:$L$85)/12),0),IF(YEAR(AB$3)=YEAR('New Hires Forecast'!$Q$3),IF((AB$5&lt;=12),(SUMPRODUCT(--('New Hires Forecast'!$F$5:$F$85="Executive"),--('New Hires Forecast'!$H$5:$H$85&gt;=Exec!AB$3),'New Hires Forecast'!$Q$5:$Q$85,'New Hires Forecast'!$L$5:$L$85)/12),0),IF(YEAR(AB$3)=YEAR('New Hires Forecast'!$R$3),IF((AB$5&lt;=12),(SUMPRODUCT(--('New Hires Forecast'!$F$5:$F$85="Executive"),--('New Hires Forecast'!$H$5:$H$85&gt;=Exec!AB$3),'New Hires Forecast'!$R$5:$R$85,'New Hires Forecast'!$L$5:$L$85)/12),0),"New Year"))))),0)</f>
        <v>0</v>
      </c>
      <c r="AC15" s="668">
        <f>IF(AC$4="forecast",IF(YEAR(AC$3)=YEAR('New Hires Forecast'!$N$3),IF((AC$5&lt;=12),(SUMPRODUCT(--('New Hires Forecast'!$F$5:$F$85="Executive"),--('New Hires Forecast'!$H$5:$H$85&gt;=Exec!AC$3),'New Hires Forecast'!$N$5:$N$85,'New Hires Forecast'!$L$5:$L$85)/12),0),IF(YEAR(AC$3)=YEAR('New Hires Forecast'!$O$3),IF((AC$5&lt;=12),(SUMPRODUCT(--('New Hires Forecast'!$F$5:$F$85="Executive"),--('New Hires Forecast'!$H$5:$H$85&gt;=Exec!AC$3),'New Hires Forecast'!$O$5:$O$85,'New Hires Forecast'!$L$5:$L$85)/12),0),IF(YEAR(AC$3)=YEAR('New Hires Forecast'!$P$3),IF((AC$5&lt;=12),(SUMPRODUCT(--('New Hires Forecast'!$F$5:$F$85="Executive"),--('New Hires Forecast'!$H$5:$H$85&gt;=Exec!AC$3),'New Hires Forecast'!$P$5:$P$85,'New Hires Forecast'!$L$5:$L$85)/12),0),IF(YEAR(AC$3)=YEAR('New Hires Forecast'!$Q$3),IF((AC$5&lt;=12),(SUMPRODUCT(--('New Hires Forecast'!$F$5:$F$85="Executive"),--('New Hires Forecast'!$H$5:$H$85&gt;=Exec!AC$3),'New Hires Forecast'!$Q$5:$Q$85,'New Hires Forecast'!$L$5:$L$85)/12),0),IF(YEAR(AC$3)=YEAR('New Hires Forecast'!$R$3),IF((AC$5&lt;=12),(SUMPRODUCT(--('New Hires Forecast'!$F$5:$F$85="Executive"),--('New Hires Forecast'!$H$5:$H$85&gt;=Exec!AC$3),'New Hires Forecast'!$R$5:$R$85,'New Hires Forecast'!$L$5:$L$85)/12),0),"New Year"))))),0)</f>
        <v>0</v>
      </c>
      <c r="AD15" s="668">
        <f>IF(AD$4="forecast",IF(YEAR(AD$3)=YEAR('New Hires Forecast'!$N$3),IF((AD$5&lt;=12),(SUMPRODUCT(--('New Hires Forecast'!$F$5:$F$85="Executive"),--('New Hires Forecast'!$H$5:$H$85&gt;=Exec!AD$3),'New Hires Forecast'!$N$5:$N$85,'New Hires Forecast'!$L$5:$L$85)/12),0),IF(YEAR(AD$3)=YEAR('New Hires Forecast'!$O$3),IF((AD$5&lt;=12),(SUMPRODUCT(--('New Hires Forecast'!$F$5:$F$85="Executive"),--('New Hires Forecast'!$H$5:$H$85&gt;=Exec!AD$3),'New Hires Forecast'!$O$5:$O$85,'New Hires Forecast'!$L$5:$L$85)/12),0),IF(YEAR(AD$3)=YEAR('New Hires Forecast'!$P$3),IF((AD$5&lt;=12),(SUMPRODUCT(--('New Hires Forecast'!$F$5:$F$85="Executive"),--('New Hires Forecast'!$H$5:$H$85&gt;=Exec!AD$3),'New Hires Forecast'!$P$5:$P$85,'New Hires Forecast'!$L$5:$L$85)/12),0),IF(YEAR(AD$3)=YEAR('New Hires Forecast'!$Q$3),IF((AD$5&lt;=12),(SUMPRODUCT(--('New Hires Forecast'!$F$5:$F$85="Executive"),--('New Hires Forecast'!$H$5:$H$85&gt;=Exec!AD$3),'New Hires Forecast'!$Q$5:$Q$85,'New Hires Forecast'!$L$5:$L$85)/12),0),IF(YEAR(AD$3)=YEAR('New Hires Forecast'!$R$3),IF((AD$5&lt;=12),(SUMPRODUCT(--('New Hires Forecast'!$F$5:$F$85="Executive"),--('New Hires Forecast'!$H$5:$H$85&gt;=Exec!AD$3),'New Hires Forecast'!$R$5:$R$85,'New Hires Forecast'!$L$5:$L$85)/12),0),"New Year"))))),0)</f>
        <v>0</v>
      </c>
      <c r="AE15" s="668">
        <f>IF(AE$4="forecast",IF(YEAR(AE$3)=YEAR('New Hires Forecast'!$N$3),IF((AE$5&lt;=12),(SUMPRODUCT(--('New Hires Forecast'!$F$5:$F$85="Executive"),--('New Hires Forecast'!$H$5:$H$85&gt;=Exec!AE$3),'New Hires Forecast'!$N$5:$N$85,'New Hires Forecast'!$L$5:$L$85)/12),0),IF(YEAR(AE$3)=YEAR('New Hires Forecast'!$O$3),IF((AE$5&lt;=12),(SUMPRODUCT(--('New Hires Forecast'!$F$5:$F$85="Executive"),--('New Hires Forecast'!$H$5:$H$85&gt;=Exec!AE$3),'New Hires Forecast'!$O$5:$O$85,'New Hires Forecast'!$L$5:$L$85)/12),0),IF(YEAR(AE$3)=YEAR('New Hires Forecast'!$P$3),IF((AE$5&lt;=12),(SUMPRODUCT(--('New Hires Forecast'!$F$5:$F$85="Executive"),--('New Hires Forecast'!$H$5:$H$85&gt;=Exec!AE$3),'New Hires Forecast'!$P$5:$P$85,'New Hires Forecast'!$L$5:$L$85)/12),0),IF(YEAR(AE$3)=YEAR('New Hires Forecast'!$Q$3),IF((AE$5&lt;=12),(SUMPRODUCT(--('New Hires Forecast'!$F$5:$F$85="Executive"),--('New Hires Forecast'!$H$5:$H$85&gt;=Exec!AE$3),'New Hires Forecast'!$Q$5:$Q$85,'New Hires Forecast'!$L$5:$L$85)/12),0),IF(YEAR(AE$3)=YEAR('New Hires Forecast'!$R$3),IF((AE$5&lt;=12),(SUMPRODUCT(--('New Hires Forecast'!$F$5:$F$85="Executive"),--('New Hires Forecast'!$H$5:$H$85&gt;=Exec!AE$3),'New Hires Forecast'!$R$5:$R$85,'New Hires Forecast'!$L$5:$L$85)/12),0),"New Year"))))),0)</f>
        <v>0</v>
      </c>
      <c r="AF15" s="668">
        <f>IF(AF$4="forecast",IF(YEAR(AF$3)=YEAR('New Hires Forecast'!$N$3),IF((AF$5&lt;=12),(SUMPRODUCT(--('New Hires Forecast'!$F$5:$F$85="Executive"),--('New Hires Forecast'!$H$5:$H$85&gt;=Exec!AF$3),'New Hires Forecast'!$N$5:$N$85,'New Hires Forecast'!$L$5:$L$85)/12),0),IF(YEAR(AF$3)=YEAR('New Hires Forecast'!$O$3),IF((AF$5&lt;=12),(SUMPRODUCT(--('New Hires Forecast'!$F$5:$F$85="Executive"),--('New Hires Forecast'!$H$5:$H$85&gt;=Exec!AF$3),'New Hires Forecast'!$O$5:$O$85,'New Hires Forecast'!$L$5:$L$85)/12),0),IF(YEAR(AF$3)=YEAR('New Hires Forecast'!$P$3),IF((AF$5&lt;=12),(SUMPRODUCT(--('New Hires Forecast'!$F$5:$F$85="Executive"),--('New Hires Forecast'!$H$5:$H$85&gt;=Exec!AF$3),'New Hires Forecast'!$P$5:$P$85,'New Hires Forecast'!$L$5:$L$85)/12),0),IF(YEAR(AF$3)=YEAR('New Hires Forecast'!$Q$3),IF((AF$5&lt;=12),(SUMPRODUCT(--('New Hires Forecast'!$F$5:$F$85="Executive"),--('New Hires Forecast'!$H$5:$H$85&gt;=Exec!AF$3),'New Hires Forecast'!$Q$5:$Q$85,'New Hires Forecast'!$L$5:$L$85)/12),0),IF(YEAR(AF$3)=YEAR('New Hires Forecast'!$R$3),IF((AF$5&lt;=12),(SUMPRODUCT(--('New Hires Forecast'!$F$5:$F$85="Executive"),--('New Hires Forecast'!$H$5:$H$85&gt;=Exec!AF$3),'New Hires Forecast'!$R$5:$R$85,'New Hires Forecast'!$L$5:$L$85)/12),0),"New Year"))))),0)</f>
        <v>0</v>
      </c>
      <c r="AG15" s="668">
        <f>IF(AG$4="forecast",IF(YEAR(AG$3)=YEAR('New Hires Forecast'!$N$3),IF((AG$5&lt;=12),(SUMPRODUCT(--('New Hires Forecast'!$F$5:$F$85="Executive"),--('New Hires Forecast'!$H$5:$H$85&gt;=Exec!AG$3),'New Hires Forecast'!$N$5:$N$85,'New Hires Forecast'!$L$5:$L$85)/12),0),IF(YEAR(AG$3)=YEAR('New Hires Forecast'!$O$3),IF((AG$5&lt;=12),(SUMPRODUCT(--('New Hires Forecast'!$F$5:$F$85="Executive"),--('New Hires Forecast'!$H$5:$H$85&gt;=Exec!AG$3),'New Hires Forecast'!$O$5:$O$85,'New Hires Forecast'!$L$5:$L$85)/12),0),IF(YEAR(AG$3)=YEAR('New Hires Forecast'!$P$3),IF((AG$5&lt;=12),(SUMPRODUCT(--('New Hires Forecast'!$F$5:$F$85="Executive"),--('New Hires Forecast'!$H$5:$H$85&gt;=Exec!AG$3),'New Hires Forecast'!$P$5:$P$85,'New Hires Forecast'!$L$5:$L$85)/12),0),IF(YEAR(AG$3)=YEAR('New Hires Forecast'!$Q$3),IF((AG$5&lt;=12),(SUMPRODUCT(--('New Hires Forecast'!$F$5:$F$85="Executive"),--('New Hires Forecast'!$H$5:$H$85&gt;=Exec!AG$3),'New Hires Forecast'!$Q$5:$Q$85,'New Hires Forecast'!$L$5:$L$85)/12),0),IF(YEAR(AG$3)=YEAR('New Hires Forecast'!$R$3),IF((AG$5&lt;=12),(SUMPRODUCT(--('New Hires Forecast'!$F$5:$F$85="Executive"),--('New Hires Forecast'!$H$5:$H$85&gt;=Exec!AG$3),'New Hires Forecast'!$R$5:$R$85,'New Hires Forecast'!$L$5:$L$85)/12),0),"New Year"))))),0)</f>
        <v>0</v>
      </c>
      <c r="AH15" s="668">
        <f>IF(AH$4="forecast",IF(YEAR(AH$3)=YEAR('New Hires Forecast'!$N$3),IF((AH$5&lt;=12),(SUMPRODUCT(--('New Hires Forecast'!$F$5:$F$85="Executive"),--('New Hires Forecast'!$H$5:$H$85&gt;=Exec!AH$3),'New Hires Forecast'!$N$5:$N$85,'New Hires Forecast'!$L$5:$L$85)/12),0),IF(YEAR(AH$3)=YEAR('New Hires Forecast'!$O$3),IF((AH$5&lt;=12),(SUMPRODUCT(--('New Hires Forecast'!$F$5:$F$85="Executive"),--('New Hires Forecast'!$H$5:$H$85&gt;=Exec!AH$3),'New Hires Forecast'!$O$5:$O$85,'New Hires Forecast'!$L$5:$L$85)/12),0),IF(YEAR(AH$3)=YEAR('New Hires Forecast'!$P$3),IF((AH$5&lt;=12),(SUMPRODUCT(--('New Hires Forecast'!$F$5:$F$85="Executive"),--('New Hires Forecast'!$H$5:$H$85&gt;=Exec!AH$3),'New Hires Forecast'!$P$5:$P$85,'New Hires Forecast'!$L$5:$L$85)/12),0),IF(YEAR(AH$3)=YEAR('New Hires Forecast'!$Q$3),IF((AH$5&lt;=12),(SUMPRODUCT(--('New Hires Forecast'!$F$5:$F$85="Executive"),--('New Hires Forecast'!$H$5:$H$85&gt;=Exec!AH$3),'New Hires Forecast'!$Q$5:$Q$85,'New Hires Forecast'!$L$5:$L$85)/12),0),IF(YEAR(AH$3)=YEAR('New Hires Forecast'!$R$3),IF((AH$5&lt;=12),(SUMPRODUCT(--('New Hires Forecast'!$F$5:$F$85="Executive"),--('New Hires Forecast'!$H$5:$H$85&gt;=Exec!AH$3),'New Hires Forecast'!$R$5:$R$85,'New Hires Forecast'!$L$5:$L$85)/12),0),"New Year"))))),0)</f>
        <v>0</v>
      </c>
      <c r="AI15" s="668">
        <f>IF(AI$4="forecast",IF(YEAR(AI$3)=YEAR('New Hires Forecast'!$N$3),IF((AI$5&lt;=12),(SUMPRODUCT(--('New Hires Forecast'!$F$5:$F$85="Executive"),--('New Hires Forecast'!$H$5:$H$85&gt;=Exec!AI$3),'New Hires Forecast'!$N$5:$N$85,'New Hires Forecast'!$L$5:$L$85)/12),0),IF(YEAR(AI$3)=YEAR('New Hires Forecast'!$O$3),IF((AI$5&lt;=12),(SUMPRODUCT(--('New Hires Forecast'!$F$5:$F$85="Executive"),--('New Hires Forecast'!$H$5:$H$85&gt;=Exec!AI$3),'New Hires Forecast'!$O$5:$O$85,'New Hires Forecast'!$L$5:$L$85)/12),0),IF(YEAR(AI$3)=YEAR('New Hires Forecast'!$P$3),IF((AI$5&lt;=12),(SUMPRODUCT(--('New Hires Forecast'!$F$5:$F$85="Executive"),--('New Hires Forecast'!$H$5:$H$85&gt;=Exec!AI$3),'New Hires Forecast'!$P$5:$P$85,'New Hires Forecast'!$L$5:$L$85)/12),0),IF(YEAR(AI$3)=YEAR('New Hires Forecast'!$Q$3),IF((AI$5&lt;=12),(SUMPRODUCT(--('New Hires Forecast'!$F$5:$F$85="Executive"),--('New Hires Forecast'!$H$5:$H$85&gt;=Exec!AI$3),'New Hires Forecast'!$Q$5:$Q$85,'New Hires Forecast'!$L$5:$L$85)/12),0),IF(YEAR(AI$3)=YEAR('New Hires Forecast'!$R$3),IF((AI$5&lt;=12),(SUMPRODUCT(--('New Hires Forecast'!$F$5:$F$85="Executive"),--('New Hires Forecast'!$H$5:$H$85&gt;=Exec!AI$3),'New Hires Forecast'!$R$5:$R$85,'New Hires Forecast'!$L$5:$L$85)/12),0),"New Year"))))),0)</f>
        <v>0</v>
      </c>
      <c r="AJ15" s="668">
        <f>IF(AJ$4="forecast",IF(YEAR(AJ$3)=YEAR('New Hires Forecast'!$N$3),IF((AJ$5&lt;=12),(SUMPRODUCT(--('New Hires Forecast'!$F$5:$F$85="Executive"),--('New Hires Forecast'!$H$5:$H$85&gt;=Exec!AJ$3),'New Hires Forecast'!$N$5:$N$85,'New Hires Forecast'!$L$5:$L$85)/12),0),IF(YEAR(AJ$3)=YEAR('New Hires Forecast'!$O$3),IF((AJ$5&lt;=12),(SUMPRODUCT(--('New Hires Forecast'!$F$5:$F$85="Executive"),--('New Hires Forecast'!$H$5:$H$85&gt;=Exec!AJ$3),'New Hires Forecast'!$O$5:$O$85,'New Hires Forecast'!$L$5:$L$85)/12),0),IF(YEAR(AJ$3)=YEAR('New Hires Forecast'!$P$3),IF((AJ$5&lt;=12),(SUMPRODUCT(--('New Hires Forecast'!$F$5:$F$85="Executive"),--('New Hires Forecast'!$H$5:$H$85&gt;=Exec!AJ$3),'New Hires Forecast'!$P$5:$P$85,'New Hires Forecast'!$L$5:$L$85)/12),0),IF(YEAR(AJ$3)=YEAR('New Hires Forecast'!$Q$3),IF((AJ$5&lt;=12),(SUMPRODUCT(--('New Hires Forecast'!$F$5:$F$85="Executive"),--('New Hires Forecast'!$H$5:$H$85&gt;=Exec!AJ$3),'New Hires Forecast'!$Q$5:$Q$85,'New Hires Forecast'!$L$5:$L$85)/12),0),IF(YEAR(AJ$3)=YEAR('New Hires Forecast'!$R$3),IF((AJ$5&lt;=12),(SUMPRODUCT(--('New Hires Forecast'!$F$5:$F$85="Executive"),--('New Hires Forecast'!$H$5:$H$85&gt;=Exec!AJ$3),'New Hires Forecast'!$R$5:$R$85,'New Hires Forecast'!$L$5:$L$85)/12),0),"New Year"))))),0)</f>
        <v>0</v>
      </c>
      <c r="AK15" s="668">
        <f>IF(AK$4="forecast",IF(YEAR(AK$3)=YEAR('New Hires Forecast'!$N$3),IF((AK$5&lt;=12),(SUMPRODUCT(--('New Hires Forecast'!$F$5:$F$85="Executive"),--('New Hires Forecast'!$H$5:$H$85&gt;=Exec!AK$3),'New Hires Forecast'!$N$5:$N$85,'New Hires Forecast'!$L$5:$L$85)/12),0),IF(YEAR(AK$3)=YEAR('New Hires Forecast'!$O$3),IF((AK$5&lt;=12),(SUMPRODUCT(--('New Hires Forecast'!$F$5:$F$85="Executive"),--('New Hires Forecast'!$H$5:$H$85&gt;=Exec!AK$3),'New Hires Forecast'!$O$5:$O$85,'New Hires Forecast'!$L$5:$L$85)/12),0),IF(YEAR(AK$3)=YEAR('New Hires Forecast'!$P$3),IF((AK$5&lt;=12),(SUMPRODUCT(--('New Hires Forecast'!$F$5:$F$85="Executive"),--('New Hires Forecast'!$H$5:$H$85&gt;=Exec!AK$3),'New Hires Forecast'!$P$5:$P$85,'New Hires Forecast'!$L$5:$L$85)/12),0),IF(YEAR(AK$3)=YEAR('New Hires Forecast'!$Q$3),IF((AK$5&lt;=12),(SUMPRODUCT(--('New Hires Forecast'!$F$5:$F$85="Executive"),--('New Hires Forecast'!$H$5:$H$85&gt;=Exec!AK$3),'New Hires Forecast'!$Q$5:$Q$85,'New Hires Forecast'!$L$5:$L$85)/12),0),IF(YEAR(AK$3)=YEAR('New Hires Forecast'!$R$3),IF((AK$5&lt;=12),(SUMPRODUCT(--('New Hires Forecast'!$F$5:$F$85="Executive"),--('New Hires Forecast'!$H$5:$H$85&gt;=Exec!AK$3),'New Hires Forecast'!$R$5:$R$85,'New Hires Forecast'!$L$5:$L$85)/12),0),"New Year"))))),0)</f>
        <v>0</v>
      </c>
      <c r="AL15" s="668">
        <f>IF(AL$4="forecast",IF(YEAR(AL$3)=YEAR('New Hires Forecast'!$N$3),IF((AL$5&lt;=12),(SUMPRODUCT(--('New Hires Forecast'!$F$5:$F$85="Executive"),--('New Hires Forecast'!$H$5:$H$85&gt;=Exec!AL$3),'New Hires Forecast'!$N$5:$N$85,'New Hires Forecast'!$L$5:$L$85)/12),0),IF(YEAR(AL$3)=YEAR('New Hires Forecast'!$O$3),IF((AL$5&lt;=12),(SUMPRODUCT(--('New Hires Forecast'!$F$5:$F$85="Executive"),--('New Hires Forecast'!$H$5:$H$85&gt;=Exec!AL$3),'New Hires Forecast'!$O$5:$O$85,'New Hires Forecast'!$L$5:$L$85)/12),0),IF(YEAR(AL$3)=YEAR('New Hires Forecast'!$P$3),IF((AL$5&lt;=12),(SUMPRODUCT(--('New Hires Forecast'!$F$5:$F$85="Executive"),--('New Hires Forecast'!$H$5:$H$85&gt;=Exec!AL$3),'New Hires Forecast'!$P$5:$P$85,'New Hires Forecast'!$L$5:$L$85)/12),0),IF(YEAR(AL$3)=YEAR('New Hires Forecast'!$Q$3),IF((AL$5&lt;=12),(SUMPRODUCT(--('New Hires Forecast'!$F$5:$F$85="Executive"),--('New Hires Forecast'!$H$5:$H$85&gt;=Exec!AL$3),'New Hires Forecast'!$Q$5:$Q$85,'New Hires Forecast'!$L$5:$L$85)/12),0),IF(YEAR(AL$3)=YEAR('New Hires Forecast'!$R$3),IF((AL$5&lt;=12),(SUMPRODUCT(--('New Hires Forecast'!$F$5:$F$85="Executive"),--('New Hires Forecast'!$H$5:$H$85&gt;=Exec!AL$3),'New Hires Forecast'!$R$5:$R$85,'New Hires Forecast'!$L$5:$L$85)/12),0),"New Year"))))),0)</f>
        <v>0</v>
      </c>
      <c r="AM15" s="668">
        <f>IF(AM$4="forecast",IF(YEAR(AM$3)=YEAR('New Hires Forecast'!$N$3),IF((AM$5&lt;=12),(SUMPRODUCT(--('New Hires Forecast'!$F$5:$F$85="Executive"),--('New Hires Forecast'!$H$5:$H$85&gt;=Exec!AM$3),'New Hires Forecast'!$N$5:$N$85,'New Hires Forecast'!$L$5:$L$85)/12),0),IF(YEAR(AM$3)=YEAR('New Hires Forecast'!$O$3),IF((AM$5&lt;=12),(SUMPRODUCT(--('New Hires Forecast'!$F$5:$F$85="Executive"),--('New Hires Forecast'!$H$5:$H$85&gt;=Exec!AM$3),'New Hires Forecast'!$O$5:$O$85,'New Hires Forecast'!$L$5:$L$85)/12),0),IF(YEAR(AM$3)=YEAR('New Hires Forecast'!$P$3),IF((AM$5&lt;=12),(SUMPRODUCT(--('New Hires Forecast'!$F$5:$F$85="Executive"),--('New Hires Forecast'!$H$5:$H$85&gt;=Exec!AM$3),'New Hires Forecast'!$P$5:$P$85,'New Hires Forecast'!$L$5:$L$85)/12),0),IF(YEAR(AM$3)=YEAR('New Hires Forecast'!$Q$3),IF((AM$5&lt;=12),(SUMPRODUCT(--('New Hires Forecast'!$F$5:$F$85="Executive"),--('New Hires Forecast'!$H$5:$H$85&gt;=Exec!AM$3),'New Hires Forecast'!$Q$5:$Q$85,'New Hires Forecast'!$L$5:$L$85)/12),0),IF(YEAR(AM$3)=YEAR('New Hires Forecast'!$R$3),IF((AM$5&lt;=12),(SUMPRODUCT(--('New Hires Forecast'!$F$5:$F$85="Executive"),--('New Hires Forecast'!$H$5:$H$85&gt;=Exec!AM$3),'New Hires Forecast'!$R$5:$R$85,'New Hires Forecast'!$L$5:$L$85)/12),0),"New Year"))))),0)</f>
        <v>0</v>
      </c>
      <c r="AN15" s="668">
        <f>IF(AN$4="forecast",IF(YEAR(AN$3)=YEAR('New Hires Forecast'!$N$3),IF((AN$5&lt;=12),(SUMPRODUCT(--('New Hires Forecast'!$F$5:$F$85="Executive"),--('New Hires Forecast'!$H$5:$H$85&gt;=Exec!AN$3),'New Hires Forecast'!$N$5:$N$85,'New Hires Forecast'!$L$5:$L$85)/12),0),IF(YEAR(AN$3)=YEAR('New Hires Forecast'!$O$3),IF((AN$5&lt;=12),(SUMPRODUCT(--('New Hires Forecast'!$F$5:$F$85="Executive"),--('New Hires Forecast'!$H$5:$H$85&gt;=Exec!AN$3),'New Hires Forecast'!$O$5:$O$85,'New Hires Forecast'!$L$5:$L$85)/12),0),IF(YEAR(AN$3)=YEAR('New Hires Forecast'!$P$3),IF((AN$5&lt;=12),(SUMPRODUCT(--('New Hires Forecast'!$F$5:$F$85="Executive"),--('New Hires Forecast'!$H$5:$H$85&gt;=Exec!AN$3),'New Hires Forecast'!$P$5:$P$85,'New Hires Forecast'!$L$5:$L$85)/12),0),IF(YEAR(AN$3)=YEAR('New Hires Forecast'!$Q$3),IF((AN$5&lt;=12),(SUMPRODUCT(--('New Hires Forecast'!$F$5:$F$85="Executive"),--('New Hires Forecast'!$H$5:$H$85&gt;=Exec!AN$3),'New Hires Forecast'!$Q$5:$Q$85,'New Hires Forecast'!$L$5:$L$85)/12),0),IF(YEAR(AN$3)=YEAR('New Hires Forecast'!$R$3),IF((AN$5&lt;=12),(SUMPRODUCT(--('New Hires Forecast'!$F$5:$F$85="Executive"),--('New Hires Forecast'!$H$5:$H$85&gt;=Exec!AN$3),'New Hires Forecast'!$R$5:$R$85,'New Hires Forecast'!$L$5:$L$85)/12),0),"New Year"))))),0)</f>
        <v>0</v>
      </c>
      <c r="AO15" s="668">
        <f>IF(AO$4="forecast",IF(YEAR(AO$3)=YEAR('New Hires Forecast'!$N$3),IF((AO$5&lt;=12),(SUMPRODUCT(--('New Hires Forecast'!$F$5:$F$85="Executive"),--('New Hires Forecast'!$H$5:$H$85&gt;=Exec!AO$3),'New Hires Forecast'!$N$5:$N$85,'New Hires Forecast'!$L$5:$L$85)/12),0),IF(YEAR(AO$3)=YEAR('New Hires Forecast'!$O$3),IF((AO$5&lt;=12),(SUMPRODUCT(--('New Hires Forecast'!$F$5:$F$85="Executive"),--('New Hires Forecast'!$H$5:$H$85&gt;=Exec!AO$3),'New Hires Forecast'!$O$5:$O$85,'New Hires Forecast'!$L$5:$L$85)/12),0),IF(YEAR(AO$3)=YEAR('New Hires Forecast'!$P$3),IF((AO$5&lt;=12),(SUMPRODUCT(--('New Hires Forecast'!$F$5:$F$85="Executive"),--('New Hires Forecast'!$H$5:$H$85&gt;=Exec!AO$3),'New Hires Forecast'!$P$5:$P$85,'New Hires Forecast'!$L$5:$L$85)/12),0),IF(YEAR(AO$3)=YEAR('New Hires Forecast'!$Q$3),IF((AO$5&lt;=12),(SUMPRODUCT(--('New Hires Forecast'!$F$5:$F$85="Executive"),--('New Hires Forecast'!$H$5:$H$85&gt;=Exec!AO$3),'New Hires Forecast'!$Q$5:$Q$85,'New Hires Forecast'!$L$5:$L$85)/12),0),IF(YEAR(AO$3)=YEAR('New Hires Forecast'!$R$3),IF((AO$5&lt;=12),(SUMPRODUCT(--('New Hires Forecast'!$F$5:$F$85="Executive"),--('New Hires Forecast'!$H$5:$H$85&gt;=Exec!AO$3),'New Hires Forecast'!$R$5:$R$85,'New Hires Forecast'!$L$5:$L$85)/12),0),"New Year"))))),0)</f>
        <v>0</v>
      </c>
      <c r="AP15" s="668">
        <f>IF(AP$4="forecast",IF(YEAR(AP$3)=YEAR('New Hires Forecast'!$N$3),IF((AP$5&lt;=12),(SUMPRODUCT(--('New Hires Forecast'!$F$5:$F$85="Executive"),--('New Hires Forecast'!$H$5:$H$85&gt;=Exec!AP$3),'New Hires Forecast'!$N$5:$N$85,'New Hires Forecast'!$L$5:$L$85)/12),0),IF(YEAR(AP$3)=YEAR('New Hires Forecast'!$O$3),IF((AP$5&lt;=12),(SUMPRODUCT(--('New Hires Forecast'!$F$5:$F$85="Executive"),--('New Hires Forecast'!$H$5:$H$85&gt;=Exec!AP$3),'New Hires Forecast'!$O$5:$O$85,'New Hires Forecast'!$L$5:$L$85)/12),0),IF(YEAR(AP$3)=YEAR('New Hires Forecast'!$P$3),IF((AP$5&lt;=12),(SUMPRODUCT(--('New Hires Forecast'!$F$5:$F$85="Executive"),--('New Hires Forecast'!$H$5:$H$85&gt;=Exec!AP$3),'New Hires Forecast'!$P$5:$P$85,'New Hires Forecast'!$L$5:$L$85)/12),0),IF(YEAR(AP$3)=YEAR('New Hires Forecast'!$Q$3),IF((AP$5&lt;=12),(SUMPRODUCT(--('New Hires Forecast'!$F$5:$F$85="Executive"),--('New Hires Forecast'!$H$5:$H$85&gt;=Exec!AP$3),'New Hires Forecast'!$Q$5:$Q$85,'New Hires Forecast'!$L$5:$L$85)/12),0),IF(YEAR(AP$3)=YEAR('New Hires Forecast'!$R$3),IF((AP$5&lt;=12),(SUMPRODUCT(--('New Hires Forecast'!$F$5:$F$85="Executive"),--('New Hires Forecast'!$H$5:$H$85&gt;=Exec!AP$3),'New Hires Forecast'!$R$5:$R$85,'New Hires Forecast'!$L$5:$L$85)/12),0),"New Year"))))),0)</f>
        <v>0</v>
      </c>
      <c r="AQ15" s="668">
        <f>IF(AQ$4="forecast",IF(YEAR(AQ$3)=YEAR('New Hires Forecast'!$N$3),IF((AQ$5&lt;=12),(SUMPRODUCT(--('New Hires Forecast'!$F$5:$F$85="Executive"),--('New Hires Forecast'!$H$5:$H$85&gt;=Exec!AQ$3),'New Hires Forecast'!$N$5:$N$85,'New Hires Forecast'!$L$5:$L$85)/12),0),IF(YEAR(AQ$3)=YEAR('New Hires Forecast'!$O$3),IF((AQ$5&lt;=12),(SUMPRODUCT(--('New Hires Forecast'!$F$5:$F$85="Executive"),--('New Hires Forecast'!$H$5:$H$85&gt;=Exec!AQ$3),'New Hires Forecast'!$O$5:$O$85,'New Hires Forecast'!$L$5:$L$85)/12),0),IF(YEAR(AQ$3)=YEAR('New Hires Forecast'!$P$3),IF((AQ$5&lt;=12),(SUMPRODUCT(--('New Hires Forecast'!$F$5:$F$85="Executive"),--('New Hires Forecast'!$H$5:$H$85&gt;=Exec!AQ$3),'New Hires Forecast'!$P$5:$P$85,'New Hires Forecast'!$L$5:$L$85)/12),0),IF(YEAR(AQ$3)=YEAR('New Hires Forecast'!$Q$3),IF((AQ$5&lt;=12),(SUMPRODUCT(--('New Hires Forecast'!$F$5:$F$85="Executive"),--('New Hires Forecast'!$H$5:$H$85&gt;=Exec!AQ$3),'New Hires Forecast'!$Q$5:$Q$85,'New Hires Forecast'!$L$5:$L$85)/12),0),IF(YEAR(AQ$3)=YEAR('New Hires Forecast'!$R$3),IF((AQ$5&lt;=12),(SUMPRODUCT(--('New Hires Forecast'!$F$5:$F$85="Executive"),--('New Hires Forecast'!$H$5:$H$85&gt;=Exec!AQ$3),'New Hires Forecast'!$R$5:$R$85,'New Hires Forecast'!$L$5:$L$85)/12),0),"New Year"))))),0)</f>
        <v>0</v>
      </c>
      <c r="AR15" s="668">
        <f>IF(AR$4="forecast",IF(YEAR(AR$3)=YEAR('New Hires Forecast'!$N$3),IF((AR$5&lt;=12),(SUMPRODUCT(--('New Hires Forecast'!$F$5:$F$85="Executive"),--('New Hires Forecast'!$H$5:$H$85&gt;=Exec!AR$3),'New Hires Forecast'!$N$5:$N$85,'New Hires Forecast'!$L$5:$L$85)/12),0),IF(YEAR(AR$3)=YEAR('New Hires Forecast'!$O$3),IF((AR$5&lt;=12),(SUMPRODUCT(--('New Hires Forecast'!$F$5:$F$85="Executive"),--('New Hires Forecast'!$H$5:$H$85&gt;=Exec!AR$3),'New Hires Forecast'!$O$5:$O$85,'New Hires Forecast'!$L$5:$L$85)/12),0),IF(YEAR(AR$3)=YEAR('New Hires Forecast'!$P$3),IF((AR$5&lt;=12),(SUMPRODUCT(--('New Hires Forecast'!$F$5:$F$85="Executive"),--('New Hires Forecast'!$H$5:$H$85&gt;=Exec!AR$3),'New Hires Forecast'!$P$5:$P$85,'New Hires Forecast'!$L$5:$L$85)/12),0),IF(YEAR(AR$3)=YEAR('New Hires Forecast'!$Q$3),IF((AR$5&lt;=12),(SUMPRODUCT(--('New Hires Forecast'!$F$5:$F$85="Executive"),--('New Hires Forecast'!$H$5:$H$85&gt;=Exec!AR$3),'New Hires Forecast'!$Q$5:$Q$85,'New Hires Forecast'!$L$5:$L$85)/12),0),IF(YEAR(AR$3)=YEAR('New Hires Forecast'!$R$3),IF((AR$5&lt;=12),(SUMPRODUCT(--('New Hires Forecast'!$F$5:$F$85="Executive"),--('New Hires Forecast'!$H$5:$H$85&gt;=Exec!AR$3),'New Hires Forecast'!$R$5:$R$85,'New Hires Forecast'!$L$5:$L$85)/12),0),"New Year"))))),0)</f>
        <v>0</v>
      </c>
      <c r="AS15" s="668">
        <f>IF(AS$4="forecast",IF(YEAR(AS$3)=YEAR('New Hires Forecast'!$N$3),IF((AS$5&lt;=12),(SUMPRODUCT(--('New Hires Forecast'!$F$5:$F$85="Executive"),--('New Hires Forecast'!$H$5:$H$85&gt;=Exec!AS$3),'New Hires Forecast'!$N$5:$N$85,'New Hires Forecast'!$L$5:$L$85)/12),0),IF(YEAR(AS$3)=YEAR('New Hires Forecast'!$O$3),IF((AS$5&lt;=12),(SUMPRODUCT(--('New Hires Forecast'!$F$5:$F$85="Executive"),--('New Hires Forecast'!$H$5:$H$85&gt;=Exec!AS$3),'New Hires Forecast'!$O$5:$O$85,'New Hires Forecast'!$L$5:$L$85)/12),0),IF(YEAR(AS$3)=YEAR('New Hires Forecast'!$P$3),IF((AS$5&lt;=12),(SUMPRODUCT(--('New Hires Forecast'!$F$5:$F$85="Executive"),--('New Hires Forecast'!$H$5:$H$85&gt;=Exec!AS$3),'New Hires Forecast'!$P$5:$P$85,'New Hires Forecast'!$L$5:$L$85)/12),0),IF(YEAR(AS$3)=YEAR('New Hires Forecast'!$Q$3),IF((AS$5&lt;=12),(SUMPRODUCT(--('New Hires Forecast'!$F$5:$F$85="Executive"),--('New Hires Forecast'!$H$5:$H$85&gt;=Exec!AS$3),'New Hires Forecast'!$Q$5:$Q$85,'New Hires Forecast'!$L$5:$L$85)/12),0),IF(YEAR(AS$3)=YEAR('New Hires Forecast'!$R$3),IF((AS$5&lt;=12),(SUMPRODUCT(--('New Hires Forecast'!$F$5:$F$85="Executive"),--('New Hires Forecast'!$H$5:$H$85&gt;=Exec!AS$3),'New Hires Forecast'!$R$5:$R$85,'New Hires Forecast'!$L$5:$L$85)/12),0),"New Year"))))),0)</f>
        <v>0</v>
      </c>
      <c r="AT15" s="668">
        <f>IF(AT$4="forecast",IF(YEAR(AT$3)=YEAR('New Hires Forecast'!$N$3),IF((AT$5&lt;=12),(SUMPRODUCT(--('New Hires Forecast'!$F$5:$F$85="Executive"),--('New Hires Forecast'!$H$5:$H$85&gt;=Exec!AT$3),'New Hires Forecast'!$N$5:$N$85,'New Hires Forecast'!$L$5:$L$85)/12),0),IF(YEAR(AT$3)=YEAR('New Hires Forecast'!$O$3),IF((AT$5&lt;=12),(SUMPRODUCT(--('New Hires Forecast'!$F$5:$F$85="Executive"),--('New Hires Forecast'!$H$5:$H$85&gt;=Exec!AT$3),'New Hires Forecast'!$O$5:$O$85,'New Hires Forecast'!$L$5:$L$85)/12),0),IF(YEAR(AT$3)=YEAR('New Hires Forecast'!$P$3),IF((AT$5&lt;=12),(SUMPRODUCT(--('New Hires Forecast'!$F$5:$F$85="Executive"),--('New Hires Forecast'!$H$5:$H$85&gt;=Exec!AT$3),'New Hires Forecast'!$P$5:$P$85,'New Hires Forecast'!$L$5:$L$85)/12),0),IF(YEAR(AT$3)=YEAR('New Hires Forecast'!$Q$3),IF((AT$5&lt;=12),(SUMPRODUCT(--('New Hires Forecast'!$F$5:$F$85="Executive"),--('New Hires Forecast'!$H$5:$H$85&gt;=Exec!AT$3),'New Hires Forecast'!$Q$5:$Q$85,'New Hires Forecast'!$L$5:$L$85)/12),0),IF(YEAR(AT$3)=YEAR('New Hires Forecast'!$R$3),IF((AT$5&lt;=12),(SUMPRODUCT(--('New Hires Forecast'!$F$5:$F$85="Executive"),--('New Hires Forecast'!$H$5:$H$85&gt;=Exec!AT$3),'New Hires Forecast'!$R$5:$R$85,'New Hires Forecast'!$L$5:$L$85)/12),0),"New Year"))))),0)</f>
        <v>0</v>
      </c>
      <c r="AU15" s="668">
        <f>IF(AU$4="forecast",IF(YEAR(AU$3)=YEAR('New Hires Forecast'!$N$3),IF((AU$5&lt;=12),(SUMPRODUCT(--('New Hires Forecast'!$F$5:$F$85="Executive"),--('New Hires Forecast'!$H$5:$H$85&gt;=Exec!AU$3),'New Hires Forecast'!$N$5:$N$85,'New Hires Forecast'!$L$5:$L$85)/12),0),IF(YEAR(AU$3)=YEAR('New Hires Forecast'!$O$3),IF((AU$5&lt;=12),(SUMPRODUCT(--('New Hires Forecast'!$F$5:$F$85="Executive"),--('New Hires Forecast'!$H$5:$H$85&gt;=Exec!AU$3),'New Hires Forecast'!$O$5:$O$85,'New Hires Forecast'!$L$5:$L$85)/12),0),IF(YEAR(AU$3)=YEAR('New Hires Forecast'!$P$3),IF((AU$5&lt;=12),(SUMPRODUCT(--('New Hires Forecast'!$F$5:$F$85="Executive"),--('New Hires Forecast'!$H$5:$H$85&gt;=Exec!AU$3),'New Hires Forecast'!$P$5:$P$85,'New Hires Forecast'!$L$5:$L$85)/12),0),IF(YEAR(AU$3)=YEAR('New Hires Forecast'!$Q$3),IF((AU$5&lt;=12),(SUMPRODUCT(--('New Hires Forecast'!$F$5:$F$85="Executive"),--('New Hires Forecast'!$H$5:$H$85&gt;=Exec!AU$3),'New Hires Forecast'!$Q$5:$Q$85,'New Hires Forecast'!$L$5:$L$85)/12),0),IF(YEAR(AU$3)=YEAR('New Hires Forecast'!$R$3),IF((AU$5&lt;=12),(SUMPRODUCT(--('New Hires Forecast'!$F$5:$F$85="Executive"),--('New Hires Forecast'!$H$5:$H$85&gt;=Exec!AU$3),'New Hires Forecast'!$R$5:$R$85,'New Hires Forecast'!$L$5:$L$85)/12),0),"New Year"))))),0)</f>
        <v>0</v>
      </c>
      <c r="AV15" s="668">
        <f>IF(AV$4="forecast",IF(YEAR(AV$3)=YEAR('New Hires Forecast'!$N$3),IF((AV$5&lt;=12),(SUMPRODUCT(--('New Hires Forecast'!$F$5:$F$85="Executive"),--('New Hires Forecast'!$H$5:$H$85&gt;=Exec!AV$3),'New Hires Forecast'!$N$5:$N$85,'New Hires Forecast'!$L$5:$L$85)/12),0),IF(YEAR(AV$3)=YEAR('New Hires Forecast'!$O$3),IF((AV$5&lt;=12),(SUMPRODUCT(--('New Hires Forecast'!$F$5:$F$85="Executive"),--('New Hires Forecast'!$H$5:$H$85&gt;=Exec!AV$3),'New Hires Forecast'!$O$5:$O$85,'New Hires Forecast'!$L$5:$L$85)/12),0),IF(YEAR(AV$3)=YEAR('New Hires Forecast'!$P$3),IF((AV$5&lt;=12),(SUMPRODUCT(--('New Hires Forecast'!$F$5:$F$85="Executive"),--('New Hires Forecast'!$H$5:$H$85&gt;=Exec!AV$3),'New Hires Forecast'!$P$5:$P$85,'New Hires Forecast'!$L$5:$L$85)/12),0),IF(YEAR(AV$3)=YEAR('New Hires Forecast'!$Q$3),IF((AV$5&lt;=12),(SUMPRODUCT(--('New Hires Forecast'!$F$5:$F$85="Executive"),--('New Hires Forecast'!$H$5:$H$85&gt;=Exec!AV$3),'New Hires Forecast'!$Q$5:$Q$85,'New Hires Forecast'!$L$5:$L$85)/12),0),IF(YEAR(AV$3)=YEAR('New Hires Forecast'!$R$3),IF((AV$5&lt;=12),(SUMPRODUCT(--('New Hires Forecast'!$F$5:$F$85="Executive"),--('New Hires Forecast'!$H$5:$H$85&gt;=Exec!AV$3),'New Hires Forecast'!$R$5:$R$85,'New Hires Forecast'!$L$5:$L$85)/12),0),"New Year"))))),0)</f>
        <v>0</v>
      </c>
      <c r="AW15" s="668">
        <f>IF(AW$4="forecast",IF(YEAR(AW$3)=YEAR('New Hires Forecast'!$N$3),IF((AW$5&lt;=12),(SUMPRODUCT(--('New Hires Forecast'!$F$5:$F$85="Executive"),--('New Hires Forecast'!$H$5:$H$85&gt;=Exec!AW$3),'New Hires Forecast'!$N$5:$N$85,'New Hires Forecast'!$L$5:$L$85)/12),0),IF(YEAR(AW$3)=YEAR('New Hires Forecast'!$O$3),IF((AW$5&lt;=12),(SUMPRODUCT(--('New Hires Forecast'!$F$5:$F$85="Executive"),--('New Hires Forecast'!$H$5:$H$85&gt;=Exec!AW$3),'New Hires Forecast'!$O$5:$O$85,'New Hires Forecast'!$L$5:$L$85)/12),0),IF(YEAR(AW$3)=YEAR('New Hires Forecast'!$P$3),IF((AW$5&lt;=12),(SUMPRODUCT(--('New Hires Forecast'!$F$5:$F$85="Executive"),--('New Hires Forecast'!$H$5:$H$85&gt;=Exec!AW$3),'New Hires Forecast'!$P$5:$P$85,'New Hires Forecast'!$L$5:$L$85)/12),0),IF(YEAR(AW$3)=YEAR('New Hires Forecast'!$Q$3),IF((AW$5&lt;=12),(SUMPRODUCT(--('New Hires Forecast'!$F$5:$F$85="Executive"),--('New Hires Forecast'!$H$5:$H$85&gt;=Exec!AW$3),'New Hires Forecast'!$Q$5:$Q$85,'New Hires Forecast'!$L$5:$L$85)/12),0),IF(YEAR(AW$3)=YEAR('New Hires Forecast'!$R$3),IF((AW$5&lt;=12),(SUMPRODUCT(--('New Hires Forecast'!$F$5:$F$85="Executive"),--('New Hires Forecast'!$H$5:$H$85&gt;=Exec!AW$3),'New Hires Forecast'!$R$5:$R$85,'New Hires Forecast'!$L$5:$L$85)/12),0),"New Year"))))),0)</f>
        <v>0</v>
      </c>
      <c r="AX15" s="668">
        <f>IF(AX$4="forecast",IF(YEAR(AX$3)=YEAR('New Hires Forecast'!$N$3),IF((AX$5&lt;=12),(SUMPRODUCT(--('New Hires Forecast'!$F$5:$F$85="Executive"),--('New Hires Forecast'!$H$5:$H$85&gt;=Exec!AX$3),'New Hires Forecast'!$N$5:$N$85,'New Hires Forecast'!$L$5:$L$85)/12),0),IF(YEAR(AX$3)=YEAR('New Hires Forecast'!$O$3),IF((AX$5&lt;=12),(SUMPRODUCT(--('New Hires Forecast'!$F$5:$F$85="Executive"),--('New Hires Forecast'!$H$5:$H$85&gt;=Exec!AX$3),'New Hires Forecast'!$O$5:$O$85,'New Hires Forecast'!$L$5:$L$85)/12),0),IF(YEAR(AX$3)=YEAR('New Hires Forecast'!$P$3),IF((AX$5&lt;=12),(SUMPRODUCT(--('New Hires Forecast'!$F$5:$F$85="Executive"),--('New Hires Forecast'!$H$5:$H$85&gt;=Exec!AX$3),'New Hires Forecast'!$P$5:$P$85,'New Hires Forecast'!$L$5:$L$85)/12),0),IF(YEAR(AX$3)=YEAR('New Hires Forecast'!$Q$3),IF((AX$5&lt;=12),(SUMPRODUCT(--('New Hires Forecast'!$F$5:$F$85="Executive"),--('New Hires Forecast'!$H$5:$H$85&gt;=Exec!AX$3),'New Hires Forecast'!$Q$5:$Q$85,'New Hires Forecast'!$L$5:$L$85)/12),0),IF(YEAR(AX$3)=YEAR('New Hires Forecast'!$R$3),IF((AX$5&lt;=12),(SUMPRODUCT(--('New Hires Forecast'!$F$5:$F$85="Executive"),--('New Hires Forecast'!$H$5:$H$85&gt;=Exec!AX$3),'New Hires Forecast'!$R$5:$R$85,'New Hires Forecast'!$L$5:$L$85)/12),0),"New Year"))))),0)</f>
        <v>0</v>
      </c>
      <c r="AY15" s="668">
        <f>IF(AY$4="forecast",IF(YEAR(AY$3)=YEAR('New Hires Forecast'!$N$3),IF((AY$5&lt;=12),(SUMPRODUCT(--('New Hires Forecast'!$F$5:$F$85="Executive"),--('New Hires Forecast'!$H$5:$H$85&gt;=Exec!AY$3),'New Hires Forecast'!$N$5:$N$85,'New Hires Forecast'!$L$5:$L$85)/12),0),IF(YEAR(AY$3)=YEAR('New Hires Forecast'!$O$3),IF((AY$5&lt;=12),(SUMPRODUCT(--('New Hires Forecast'!$F$5:$F$85="Executive"),--('New Hires Forecast'!$H$5:$H$85&gt;=Exec!AY$3),'New Hires Forecast'!$O$5:$O$85,'New Hires Forecast'!$L$5:$L$85)/12),0),IF(YEAR(AY$3)=YEAR('New Hires Forecast'!$P$3),IF((AY$5&lt;=12),(SUMPRODUCT(--('New Hires Forecast'!$F$5:$F$85="Executive"),--('New Hires Forecast'!$H$5:$H$85&gt;=Exec!AY$3),'New Hires Forecast'!$P$5:$P$85,'New Hires Forecast'!$L$5:$L$85)/12),0),IF(YEAR(AY$3)=YEAR('New Hires Forecast'!$Q$3),IF((AY$5&lt;=12),(SUMPRODUCT(--('New Hires Forecast'!$F$5:$F$85="Executive"),--('New Hires Forecast'!$H$5:$H$85&gt;=Exec!AY$3),'New Hires Forecast'!$Q$5:$Q$85,'New Hires Forecast'!$L$5:$L$85)/12),0),IF(YEAR(AY$3)=YEAR('New Hires Forecast'!$R$3),IF((AY$5&lt;=12),(SUMPRODUCT(--('New Hires Forecast'!$F$5:$F$85="Executive"),--('New Hires Forecast'!$H$5:$H$85&gt;=Exec!AY$3),'New Hires Forecast'!$R$5:$R$85,'New Hires Forecast'!$L$5:$L$85)/12),0),"New Year"))))),0)</f>
        <v>0</v>
      </c>
      <c r="AZ15" s="668">
        <f>IF(AZ$4="forecast",IF(YEAR(AZ$3)=YEAR('New Hires Forecast'!$N$3),IF((AZ$5&lt;=12),(SUMPRODUCT(--('New Hires Forecast'!$F$5:$F$85="Executive"),--('New Hires Forecast'!$H$5:$H$85&gt;=Exec!AZ$3),'New Hires Forecast'!$N$5:$N$85,'New Hires Forecast'!$L$5:$L$85)/12),0),IF(YEAR(AZ$3)=YEAR('New Hires Forecast'!$O$3),IF((AZ$5&lt;=12),(SUMPRODUCT(--('New Hires Forecast'!$F$5:$F$85="Executive"),--('New Hires Forecast'!$H$5:$H$85&gt;=Exec!AZ$3),'New Hires Forecast'!$O$5:$O$85,'New Hires Forecast'!$L$5:$L$85)/12),0),IF(YEAR(AZ$3)=YEAR('New Hires Forecast'!$P$3),IF((AZ$5&lt;=12),(SUMPRODUCT(--('New Hires Forecast'!$F$5:$F$85="Executive"),--('New Hires Forecast'!$H$5:$H$85&gt;=Exec!AZ$3),'New Hires Forecast'!$P$5:$P$85,'New Hires Forecast'!$L$5:$L$85)/12),0),IF(YEAR(AZ$3)=YEAR('New Hires Forecast'!$Q$3),IF((AZ$5&lt;=12),(SUMPRODUCT(--('New Hires Forecast'!$F$5:$F$85="Executive"),--('New Hires Forecast'!$H$5:$H$85&gt;=Exec!AZ$3),'New Hires Forecast'!$Q$5:$Q$85,'New Hires Forecast'!$L$5:$L$85)/12),0),IF(YEAR(AZ$3)=YEAR('New Hires Forecast'!$R$3),IF((AZ$5&lt;=12),(SUMPRODUCT(--('New Hires Forecast'!$F$5:$F$85="Executive"),--('New Hires Forecast'!$H$5:$H$85&gt;=Exec!AZ$3),'New Hires Forecast'!$R$5:$R$85,'New Hires Forecast'!$L$5:$L$85)/12),0),"New Year"))))),0)</f>
        <v>0</v>
      </c>
      <c r="BA15" s="668">
        <f>IF(BA$4="forecast",IF(YEAR(BA$3)=YEAR('New Hires Forecast'!$N$3),IF((BA$5&lt;=12),(SUMPRODUCT(--('New Hires Forecast'!$F$5:$F$85="Executive"),--('New Hires Forecast'!$H$5:$H$85&gt;=Exec!BA$3),'New Hires Forecast'!$N$5:$N$85,'New Hires Forecast'!$L$5:$L$85)/12),0),IF(YEAR(BA$3)=YEAR('New Hires Forecast'!$O$3),IF((BA$5&lt;=12),(SUMPRODUCT(--('New Hires Forecast'!$F$5:$F$85="Executive"),--('New Hires Forecast'!$H$5:$H$85&gt;=Exec!BA$3),'New Hires Forecast'!$O$5:$O$85,'New Hires Forecast'!$L$5:$L$85)/12),0),IF(YEAR(BA$3)=YEAR('New Hires Forecast'!$P$3),IF((BA$5&lt;=12),(SUMPRODUCT(--('New Hires Forecast'!$F$5:$F$85="Executive"),--('New Hires Forecast'!$H$5:$H$85&gt;=Exec!BA$3),'New Hires Forecast'!$P$5:$P$85,'New Hires Forecast'!$L$5:$L$85)/12),0),IF(YEAR(BA$3)=YEAR('New Hires Forecast'!$Q$3),IF((BA$5&lt;=12),(SUMPRODUCT(--('New Hires Forecast'!$F$5:$F$85="Executive"),--('New Hires Forecast'!$H$5:$H$85&gt;=Exec!BA$3),'New Hires Forecast'!$Q$5:$Q$85,'New Hires Forecast'!$L$5:$L$85)/12),0),IF(YEAR(BA$3)=YEAR('New Hires Forecast'!$R$3),IF((BA$5&lt;=12),(SUMPRODUCT(--('New Hires Forecast'!$F$5:$F$85="Executive"),--('New Hires Forecast'!$H$5:$H$85&gt;=Exec!BA$3),'New Hires Forecast'!$R$5:$R$85,'New Hires Forecast'!$L$5:$L$85)/12),0),"New Year"))))),0)</f>
        <v>0</v>
      </c>
      <c r="BB15" s="668">
        <f>IF(BB$4="forecast",IF(YEAR(BB$3)=YEAR('New Hires Forecast'!$N$3),IF((BB$5&lt;=12),(SUMPRODUCT(--('New Hires Forecast'!$F$5:$F$85="Executive"),--('New Hires Forecast'!$H$5:$H$85&gt;=Exec!BB$3),'New Hires Forecast'!$N$5:$N$85,'New Hires Forecast'!$L$5:$L$85)/12),0),IF(YEAR(BB$3)=YEAR('New Hires Forecast'!$O$3),IF((BB$5&lt;=12),(SUMPRODUCT(--('New Hires Forecast'!$F$5:$F$85="Executive"),--('New Hires Forecast'!$H$5:$H$85&gt;=Exec!BB$3),'New Hires Forecast'!$O$5:$O$85,'New Hires Forecast'!$L$5:$L$85)/12),0),IF(YEAR(BB$3)=YEAR('New Hires Forecast'!$P$3),IF((BB$5&lt;=12),(SUMPRODUCT(--('New Hires Forecast'!$F$5:$F$85="Executive"),--('New Hires Forecast'!$H$5:$H$85&gt;=Exec!BB$3),'New Hires Forecast'!$P$5:$P$85,'New Hires Forecast'!$L$5:$L$85)/12),0),IF(YEAR(BB$3)=YEAR('New Hires Forecast'!$Q$3),IF((BB$5&lt;=12),(SUMPRODUCT(--('New Hires Forecast'!$F$5:$F$85="Executive"),--('New Hires Forecast'!$H$5:$H$85&gt;=Exec!BB$3),'New Hires Forecast'!$Q$5:$Q$85,'New Hires Forecast'!$L$5:$L$85)/12),0),IF(YEAR(BB$3)=YEAR('New Hires Forecast'!$R$3),IF((BB$5&lt;=12),(SUMPRODUCT(--('New Hires Forecast'!$F$5:$F$85="Executive"),--('New Hires Forecast'!$H$5:$H$85&gt;=Exec!BB$3),'New Hires Forecast'!$R$5:$R$85,'New Hires Forecast'!$L$5:$L$85)/12),0),"New Year"))))),0)</f>
        <v>0</v>
      </c>
      <c r="BC15" s="668">
        <f>IF(BC$4="forecast",IF(YEAR(BC$3)=YEAR('New Hires Forecast'!$N$3),IF((BC$5&lt;=12),(SUMPRODUCT(--('New Hires Forecast'!$F$5:$F$85="Executive"),--('New Hires Forecast'!$H$5:$H$85&gt;=Exec!BC$3),'New Hires Forecast'!$N$5:$N$85,'New Hires Forecast'!$L$5:$L$85)/12),0),IF(YEAR(BC$3)=YEAR('New Hires Forecast'!$O$3),IF((BC$5&lt;=12),(SUMPRODUCT(--('New Hires Forecast'!$F$5:$F$85="Executive"),--('New Hires Forecast'!$H$5:$H$85&gt;=Exec!BC$3),'New Hires Forecast'!$O$5:$O$85,'New Hires Forecast'!$L$5:$L$85)/12),0),IF(YEAR(BC$3)=YEAR('New Hires Forecast'!$P$3),IF((BC$5&lt;=12),(SUMPRODUCT(--('New Hires Forecast'!$F$5:$F$85="Executive"),--('New Hires Forecast'!$H$5:$H$85&gt;=Exec!BC$3),'New Hires Forecast'!$P$5:$P$85,'New Hires Forecast'!$L$5:$L$85)/12),0),IF(YEAR(BC$3)=YEAR('New Hires Forecast'!$Q$3),IF((BC$5&lt;=12),(SUMPRODUCT(--('New Hires Forecast'!$F$5:$F$85="Executive"),--('New Hires Forecast'!$H$5:$H$85&gt;=Exec!BC$3),'New Hires Forecast'!$Q$5:$Q$85,'New Hires Forecast'!$L$5:$L$85)/12),0),IF(YEAR(BC$3)=YEAR('New Hires Forecast'!$R$3),IF((BC$5&lt;=12),(SUMPRODUCT(--('New Hires Forecast'!$F$5:$F$85="Executive"),--('New Hires Forecast'!$H$5:$H$85&gt;=Exec!BC$3),'New Hires Forecast'!$R$5:$R$85,'New Hires Forecast'!$L$5:$L$85)/12),0),"New Year"))))),0)</f>
        <v>0</v>
      </c>
      <c r="BD15" s="668">
        <f>IF(BD$4="forecast",IF(YEAR(BD$3)=YEAR('New Hires Forecast'!$N$3),IF((BD$5&lt;=12),(SUMPRODUCT(--('New Hires Forecast'!$F$5:$F$85="Executive"),--('New Hires Forecast'!$H$5:$H$85&gt;=Exec!BD$3),'New Hires Forecast'!$N$5:$N$85,'New Hires Forecast'!$L$5:$L$85)/12),0),IF(YEAR(BD$3)=YEAR('New Hires Forecast'!$O$3),IF((BD$5&lt;=12),(SUMPRODUCT(--('New Hires Forecast'!$F$5:$F$85="Executive"),--('New Hires Forecast'!$H$5:$H$85&gt;=Exec!BD$3),'New Hires Forecast'!$O$5:$O$85,'New Hires Forecast'!$L$5:$L$85)/12),0),IF(YEAR(BD$3)=YEAR('New Hires Forecast'!$P$3),IF((BD$5&lt;=12),(SUMPRODUCT(--('New Hires Forecast'!$F$5:$F$85="Executive"),--('New Hires Forecast'!$H$5:$H$85&gt;=Exec!BD$3),'New Hires Forecast'!$P$5:$P$85,'New Hires Forecast'!$L$5:$L$85)/12),0),IF(YEAR(BD$3)=YEAR('New Hires Forecast'!$Q$3),IF((BD$5&lt;=12),(SUMPRODUCT(--('New Hires Forecast'!$F$5:$F$85="Executive"),--('New Hires Forecast'!$H$5:$H$85&gt;=Exec!BD$3),'New Hires Forecast'!$Q$5:$Q$85,'New Hires Forecast'!$L$5:$L$85)/12),0),IF(YEAR(BD$3)=YEAR('New Hires Forecast'!$R$3),IF((BD$5&lt;=12),(SUMPRODUCT(--('New Hires Forecast'!$F$5:$F$85="Executive"),--('New Hires Forecast'!$H$5:$H$85&gt;=Exec!BD$3),'New Hires Forecast'!$R$5:$R$85,'New Hires Forecast'!$L$5:$L$85)/12),0),"New Year"))))),0)</f>
        <v>0</v>
      </c>
      <c r="BE15" s="668">
        <f>IF(BE$4="forecast",IF(YEAR(BE$3)=YEAR('New Hires Forecast'!$N$3),IF((BE$5&lt;=12),(SUMPRODUCT(--('New Hires Forecast'!$F$5:$F$85="Executive"),--('New Hires Forecast'!$H$5:$H$85&gt;=Exec!BE$3),'New Hires Forecast'!$N$5:$N$85,'New Hires Forecast'!$L$5:$L$85)/12),0),IF(YEAR(BE$3)=YEAR('New Hires Forecast'!$O$3),IF((BE$5&lt;=12),(SUMPRODUCT(--('New Hires Forecast'!$F$5:$F$85="Executive"),--('New Hires Forecast'!$H$5:$H$85&gt;=Exec!BE$3),'New Hires Forecast'!$O$5:$O$85,'New Hires Forecast'!$L$5:$L$85)/12),0),IF(YEAR(BE$3)=YEAR('New Hires Forecast'!$P$3),IF((BE$5&lt;=12),(SUMPRODUCT(--('New Hires Forecast'!$F$5:$F$85="Executive"),--('New Hires Forecast'!$H$5:$H$85&gt;=Exec!BE$3),'New Hires Forecast'!$P$5:$P$85,'New Hires Forecast'!$L$5:$L$85)/12),0),IF(YEAR(BE$3)=YEAR('New Hires Forecast'!$Q$3),IF((BE$5&lt;=12),(SUMPRODUCT(--('New Hires Forecast'!$F$5:$F$85="Executive"),--('New Hires Forecast'!$H$5:$H$85&gt;=Exec!BE$3),'New Hires Forecast'!$Q$5:$Q$85,'New Hires Forecast'!$L$5:$L$85)/12),0),IF(YEAR(BE$3)=YEAR('New Hires Forecast'!$R$3),IF((BE$5&lt;=12),(SUMPRODUCT(--('New Hires Forecast'!$F$5:$F$85="Executive"),--('New Hires Forecast'!$H$5:$H$85&gt;=Exec!BE$3),'New Hires Forecast'!$R$5:$R$85,'New Hires Forecast'!$L$5:$L$85)/12),0),"New Year"))))),0)</f>
        <v>0</v>
      </c>
      <c r="BF15" s="668">
        <f>IF(BF$4="forecast",IF(YEAR(BF$3)=YEAR('New Hires Forecast'!$N$3),IF((BF$5&lt;=12),(SUMPRODUCT(--('New Hires Forecast'!$F$5:$F$85="Executive"),--('New Hires Forecast'!$H$5:$H$85&gt;=Exec!BF$3),'New Hires Forecast'!$N$5:$N$85,'New Hires Forecast'!$L$5:$L$85)/12),0),IF(YEAR(BF$3)=YEAR('New Hires Forecast'!$O$3),IF((BF$5&lt;=12),(SUMPRODUCT(--('New Hires Forecast'!$F$5:$F$85="Executive"),--('New Hires Forecast'!$H$5:$H$85&gt;=Exec!BF$3),'New Hires Forecast'!$O$5:$O$85,'New Hires Forecast'!$L$5:$L$85)/12),0),IF(YEAR(BF$3)=YEAR('New Hires Forecast'!$P$3),IF((BF$5&lt;=12),(SUMPRODUCT(--('New Hires Forecast'!$F$5:$F$85="Executive"),--('New Hires Forecast'!$H$5:$H$85&gt;=Exec!BF$3),'New Hires Forecast'!$P$5:$P$85,'New Hires Forecast'!$L$5:$L$85)/12),0),IF(YEAR(BF$3)=YEAR('New Hires Forecast'!$Q$3),IF((BF$5&lt;=12),(SUMPRODUCT(--('New Hires Forecast'!$F$5:$F$85="Executive"),--('New Hires Forecast'!$H$5:$H$85&gt;=Exec!BF$3),'New Hires Forecast'!$Q$5:$Q$85,'New Hires Forecast'!$L$5:$L$85)/12),0),IF(YEAR(BF$3)=YEAR('New Hires Forecast'!$R$3),IF((BF$5&lt;=12),(SUMPRODUCT(--('New Hires Forecast'!$F$5:$F$85="Executive"),--('New Hires Forecast'!$H$5:$H$85&gt;=Exec!BF$3),'New Hires Forecast'!$R$5:$R$85,'New Hires Forecast'!$L$5:$L$85)/12),0),"New Year"))))),0)</f>
        <v>0</v>
      </c>
      <c r="BG15" s="668">
        <f>IF(BG$4="forecast",IF(YEAR(BG$3)=YEAR('New Hires Forecast'!$N$3),IF((BG$5&lt;=12),(SUMPRODUCT(--('New Hires Forecast'!$F$5:$F$85="Executive"),--('New Hires Forecast'!$H$5:$H$85&gt;=Exec!BG$3),'New Hires Forecast'!$N$5:$N$85,'New Hires Forecast'!$L$5:$L$85)/12),0),IF(YEAR(BG$3)=YEAR('New Hires Forecast'!$O$3),IF((BG$5&lt;=12),(SUMPRODUCT(--('New Hires Forecast'!$F$5:$F$85="Executive"),--('New Hires Forecast'!$H$5:$H$85&gt;=Exec!BG$3),'New Hires Forecast'!$O$5:$O$85,'New Hires Forecast'!$L$5:$L$85)/12),0),IF(YEAR(BG$3)=YEAR('New Hires Forecast'!$P$3),IF((BG$5&lt;=12),(SUMPRODUCT(--('New Hires Forecast'!$F$5:$F$85="Executive"),--('New Hires Forecast'!$H$5:$H$85&gt;=Exec!BG$3),'New Hires Forecast'!$P$5:$P$85,'New Hires Forecast'!$L$5:$L$85)/12),0),IF(YEAR(BG$3)=YEAR('New Hires Forecast'!$Q$3),IF((BG$5&lt;=12),(SUMPRODUCT(--('New Hires Forecast'!$F$5:$F$85="Executive"),--('New Hires Forecast'!$H$5:$H$85&gt;=Exec!BG$3),'New Hires Forecast'!$Q$5:$Q$85,'New Hires Forecast'!$L$5:$L$85)/12),0),IF(YEAR(BG$3)=YEAR('New Hires Forecast'!$R$3),IF((BG$5&lt;=12),(SUMPRODUCT(--('New Hires Forecast'!$F$5:$F$85="Executive"),--('New Hires Forecast'!$H$5:$H$85&gt;=Exec!BG$3),'New Hires Forecast'!$R$5:$R$85,'New Hires Forecast'!$L$5:$L$85)/12),0),"New Year"))))),0)</f>
        <v>0</v>
      </c>
      <c r="BH15" s="668">
        <f>IF(BH$4="forecast",IF(YEAR(BH$3)=YEAR('New Hires Forecast'!$N$3),IF((BH$5&lt;=12),(SUMPRODUCT(--('New Hires Forecast'!$F$5:$F$85="Executive"),--('New Hires Forecast'!$H$5:$H$85&gt;=Exec!BH$3),'New Hires Forecast'!$N$5:$N$85,'New Hires Forecast'!$L$5:$L$85)/12),0),IF(YEAR(BH$3)=YEAR('New Hires Forecast'!$O$3),IF((BH$5&lt;=12),(SUMPRODUCT(--('New Hires Forecast'!$F$5:$F$85="Executive"),--('New Hires Forecast'!$H$5:$H$85&gt;=Exec!BH$3),'New Hires Forecast'!$O$5:$O$85,'New Hires Forecast'!$L$5:$L$85)/12),0),IF(YEAR(BH$3)=YEAR('New Hires Forecast'!$P$3),IF((BH$5&lt;=12),(SUMPRODUCT(--('New Hires Forecast'!$F$5:$F$85="Executive"),--('New Hires Forecast'!$H$5:$H$85&gt;=Exec!BH$3),'New Hires Forecast'!$P$5:$P$85,'New Hires Forecast'!$L$5:$L$85)/12),0),IF(YEAR(BH$3)=YEAR('New Hires Forecast'!$Q$3),IF((BH$5&lt;=12),(SUMPRODUCT(--('New Hires Forecast'!$F$5:$F$85="Executive"),--('New Hires Forecast'!$H$5:$H$85&gt;=Exec!BH$3),'New Hires Forecast'!$Q$5:$Q$85,'New Hires Forecast'!$L$5:$L$85)/12),0),IF(YEAR(BH$3)=YEAR('New Hires Forecast'!$R$3),IF((BH$5&lt;=12),(SUMPRODUCT(--('New Hires Forecast'!$F$5:$F$85="Executive"),--('New Hires Forecast'!$H$5:$H$85&gt;=Exec!BH$3),'New Hires Forecast'!$R$5:$R$85,'New Hires Forecast'!$L$5:$L$85)/12),0),"New Year"))))),0)</f>
        <v>0</v>
      </c>
      <c r="BI15" s="668">
        <f>IF(BI$4="forecast",IF(YEAR(BI$3)=YEAR('New Hires Forecast'!$N$3),IF((BI$5&lt;=12),(SUMPRODUCT(--('New Hires Forecast'!$F$5:$F$85="Executive"),--('New Hires Forecast'!$H$5:$H$85&gt;=Exec!BI$3),'New Hires Forecast'!$N$5:$N$85,'New Hires Forecast'!$L$5:$L$85)/12),0),IF(YEAR(BI$3)=YEAR('New Hires Forecast'!$O$3),IF((BI$5&lt;=12),(SUMPRODUCT(--('New Hires Forecast'!$F$5:$F$85="Executive"),--('New Hires Forecast'!$H$5:$H$85&gt;=Exec!BI$3),'New Hires Forecast'!$O$5:$O$85,'New Hires Forecast'!$L$5:$L$85)/12),0),IF(YEAR(BI$3)=YEAR('New Hires Forecast'!$P$3),IF((BI$5&lt;=12),(SUMPRODUCT(--('New Hires Forecast'!$F$5:$F$85="Executive"),--('New Hires Forecast'!$H$5:$H$85&gt;=Exec!BI$3),'New Hires Forecast'!$P$5:$P$85,'New Hires Forecast'!$L$5:$L$85)/12),0),IF(YEAR(BI$3)=YEAR('New Hires Forecast'!$Q$3),IF((BI$5&lt;=12),(SUMPRODUCT(--('New Hires Forecast'!$F$5:$F$85="Executive"),--('New Hires Forecast'!$H$5:$H$85&gt;=Exec!BI$3),'New Hires Forecast'!$Q$5:$Q$85,'New Hires Forecast'!$L$5:$L$85)/12),0),IF(YEAR(BI$3)=YEAR('New Hires Forecast'!$R$3),IF((BI$5&lt;=12),(SUMPRODUCT(--('New Hires Forecast'!$F$5:$F$85="Executive"),--('New Hires Forecast'!$H$5:$H$85&gt;=Exec!BI$3),'New Hires Forecast'!$R$5:$R$85,'New Hires Forecast'!$L$5:$L$85)/12),0),"New Year"))))),0)</f>
        <v>0</v>
      </c>
      <c r="BJ15" s="668">
        <f>IF(BJ$4="forecast",IF(YEAR(BJ$3)=YEAR('New Hires Forecast'!$N$3),IF((BJ$5&lt;=12),(SUMPRODUCT(--('New Hires Forecast'!$F$5:$F$85="Executive"),--('New Hires Forecast'!$H$5:$H$85&gt;=Exec!BJ$3),'New Hires Forecast'!$N$5:$N$85,'New Hires Forecast'!$L$5:$L$85)/12),0),IF(YEAR(BJ$3)=YEAR('New Hires Forecast'!$O$3),IF((BJ$5&lt;=12),(SUMPRODUCT(--('New Hires Forecast'!$F$5:$F$85="Executive"),--('New Hires Forecast'!$H$5:$H$85&gt;=Exec!BJ$3),'New Hires Forecast'!$O$5:$O$85,'New Hires Forecast'!$L$5:$L$85)/12),0),IF(YEAR(BJ$3)=YEAR('New Hires Forecast'!$P$3),IF((BJ$5&lt;=12),(SUMPRODUCT(--('New Hires Forecast'!$F$5:$F$85="Executive"),--('New Hires Forecast'!$H$5:$H$85&gt;=Exec!BJ$3),'New Hires Forecast'!$P$5:$P$85,'New Hires Forecast'!$L$5:$L$85)/12),0),IF(YEAR(BJ$3)=YEAR('New Hires Forecast'!$Q$3),IF((BJ$5&lt;=12),(SUMPRODUCT(--('New Hires Forecast'!$F$5:$F$85="Executive"),--('New Hires Forecast'!$H$5:$H$85&gt;=Exec!BJ$3),'New Hires Forecast'!$Q$5:$Q$85,'New Hires Forecast'!$L$5:$L$85)/12),0),IF(YEAR(BJ$3)=YEAR('New Hires Forecast'!$R$3),IF((BJ$5&lt;=12),(SUMPRODUCT(--('New Hires Forecast'!$F$5:$F$85="Executive"),--('New Hires Forecast'!$H$5:$H$85&gt;=Exec!BJ$3),'New Hires Forecast'!$R$5:$R$85,'New Hires Forecast'!$L$5:$L$85)/12),0),"New Year"))))),0)</f>
        <v>0</v>
      </c>
      <c r="BK15" s="668">
        <f>IF(BK$4="forecast",IF(YEAR(BK$3)=YEAR('New Hires Forecast'!$N$3),IF((BK$5&lt;=12),(SUMPRODUCT(--('New Hires Forecast'!$F$5:$F$85="Executive"),--('New Hires Forecast'!$H$5:$H$85&gt;=Exec!BK$3),'New Hires Forecast'!$N$5:$N$85,'New Hires Forecast'!$L$5:$L$85)/12),0),IF(YEAR(BK$3)=YEAR('New Hires Forecast'!$O$3),IF((BK$5&lt;=12),(SUMPRODUCT(--('New Hires Forecast'!$F$5:$F$85="Executive"),--('New Hires Forecast'!$H$5:$H$85&gt;=Exec!BK$3),'New Hires Forecast'!$O$5:$O$85,'New Hires Forecast'!$L$5:$L$85)/12),0),IF(YEAR(BK$3)=YEAR('New Hires Forecast'!$P$3),IF((BK$5&lt;=12),(SUMPRODUCT(--('New Hires Forecast'!$F$5:$F$85="Executive"),--('New Hires Forecast'!$H$5:$H$85&gt;=Exec!BK$3),'New Hires Forecast'!$P$5:$P$85,'New Hires Forecast'!$L$5:$L$85)/12),0),IF(YEAR(BK$3)=YEAR('New Hires Forecast'!$Q$3),IF((BK$5&lt;=12),(SUMPRODUCT(--('New Hires Forecast'!$F$5:$F$85="Executive"),--('New Hires Forecast'!$H$5:$H$85&gt;=Exec!BK$3),'New Hires Forecast'!$Q$5:$Q$85,'New Hires Forecast'!$L$5:$L$85)/12),0),IF(YEAR(BK$3)=YEAR('New Hires Forecast'!$R$3),IF((BK$5&lt;=12),(SUMPRODUCT(--('New Hires Forecast'!$F$5:$F$85="Executive"),--('New Hires Forecast'!$H$5:$H$85&gt;=Exec!BK$3),'New Hires Forecast'!$R$5:$R$85,'New Hires Forecast'!$L$5:$L$85)/12),0),"New Year"))))),0)</f>
        <v>0</v>
      </c>
      <c r="BL15" s="668">
        <f>IF(BL$4="forecast",IF(YEAR(BL$3)=YEAR('New Hires Forecast'!$N$3),IF((BL$5&lt;=12),(SUMPRODUCT(--('New Hires Forecast'!$F$5:$F$85="Executive"),--('New Hires Forecast'!$H$5:$H$85&gt;=Exec!BL$3),'New Hires Forecast'!$N$5:$N$85,'New Hires Forecast'!$L$5:$L$85)/12),0),IF(YEAR(BL$3)=YEAR('New Hires Forecast'!$O$3),IF((BL$5&lt;=12),(SUMPRODUCT(--('New Hires Forecast'!$F$5:$F$85="Executive"),--('New Hires Forecast'!$H$5:$H$85&gt;=Exec!BL$3),'New Hires Forecast'!$O$5:$O$85,'New Hires Forecast'!$L$5:$L$85)/12),0),IF(YEAR(BL$3)=YEAR('New Hires Forecast'!$P$3),IF((BL$5&lt;=12),(SUMPRODUCT(--('New Hires Forecast'!$F$5:$F$85="Executive"),--('New Hires Forecast'!$H$5:$H$85&gt;=Exec!BL$3),'New Hires Forecast'!$P$5:$P$85,'New Hires Forecast'!$L$5:$L$85)/12),0),IF(YEAR(BL$3)=YEAR('New Hires Forecast'!$Q$3),IF((BL$5&lt;=12),(SUMPRODUCT(--('New Hires Forecast'!$F$5:$F$85="Executive"),--('New Hires Forecast'!$H$5:$H$85&gt;=Exec!BL$3),'New Hires Forecast'!$Q$5:$Q$85,'New Hires Forecast'!$L$5:$L$85)/12),0),IF(YEAR(BL$3)=YEAR('New Hires Forecast'!$R$3),IF((BL$5&lt;=12),(SUMPRODUCT(--('New Hires Forecast'!$F$5:$F$85="Executive"),--('New Hires Forecast'!$H$5:$H$85&gt;=Exec!BL$3),'New Hires Forecast'!$R$5:$R$85,'New Hires Forecast'!$L$5:$L$85)/12),0),"New Year"))))),0)</f>
        <v>0</v>
      </c>
      <c r="BM15" s="668">
        <f>IF(BM$4="forecast",IF(YEAR(BM$3)=YEAR('New Hires Forecast'!$N$3),IF((BM$5&lt;=12),(SUMPRODUCT(--('New Hires Forecast'!$F$5:$F$85="Executive"),--('New Hires Forecast'!$H$5:$H$85&gt;=Exec!BM$3),'New Hires Forecast'!$N$5:$N$85,'New Hires Forecast'!$L$5:$L$85)/12),0),IF(YEAR(BM$3)=YEAR('New Hires Forecast'!$O$3),IF((BM$5&lt;=12),(SUMPRODUCT(--('New Hires Forecast'!$F$5:$F$85="Executive"),--('New Hires Forecast'!$H$5:$H$85&gt;=Exec!BM$3),'New Hires Forecast'!$O$5:$O$85,'New Hires Forecast'!$L$5:$L$85)/12),0),IF(YEAR(BM$3)=YEAR('New Hires Forecast'!$P$3),IF((BM$5&lt;=12),(SUMPRODUCT(--('New Hires Forecast'!$F$5:$F$85="Executive"),--('New Hires Forecast'!$H$5:$H$85&gt;=Exec!BM$3),'New Hires Forecast'!$P$5:$P$85,'New Hires Forecast'!$L$5:$L$85)/12),0),IF(YEAR(BM$3)=YEAR('New Hires Forecast'!$Q$3),IF((BM$5&lt;=12),(SUMPRODUCT(--('New Hires Forecast'!$F$5:$F$85="Executive"),--('New Hires Forecast'!$H$5:$H$85&gt;=Exec!BM$3),'New Hires Forecast'!$Q$5:$Q$85,'New Hires Forecast'!$L$5:$L$85)/12),0),IF(YEAR(BM$3)=YEAR('New Hires Forecast'!$R$3),IF((BM$5&lt;=12),(SUMPRODUCT(--('New Hires Forecast'!$F$5:$F$85="Executive"),--('New Hires Forecast'!$H$5:$H$85&gt;=Exec!BM$3),'New Hires Forecast'!$R$5:$R$85,'New Hires Forecast'!$L$5:$L$85)/12),0),"New Year"))))),0)</f>
        <v>0</v>
      </c>
      <c r="BN15" s="668">
        <f>IF(BN$4="forecast",IF(YEAR(BN$3)=YEAR('New Hires Forecast'!$N$3),IF((BN$5&lt;=12),(SUMPRODUCT(--('New Hires Forecast'!$F$5:$F$85="Executive"),--('New Hires Forecast'!$H$5:$H$85&gt;=Exec!BN$3),'New Hires Forecast'!$N$5:$N$85,'New Hires Forecast'!$L$5:$L$85)/12),0),IF(YEAR(BN$3)=YEAR('New Hires Forecast'!$O$3),IF((BN$5&lt;=12),(SUMPRODUCT(--('New Hires Forecast'!$F$5:$F$85="Executive"),--('New Hires Forecast'!$H$5:$H$85&gt;=Exec!BN$3),'New Hires Forecast'!$O$5:$O$85,'New Hires Forecast'!$L$5:$L$85)/12),0),IF(YEAR(BN$3)=YEAR('New Hires Forecast'!$P$3),IF((BN$5&lt;=12),(SUMPRODUCT(--('New Hires Forecast'!$F$5:$F$85="Executive"),--('New Hires Forecast'!$H$5:$H$85&gt;=Exec!BN$3),'New Hires Forecast'!$P$5:$P$85,'New Hires Forecast'!$L$5:$L$85)/12),0),IF(YEAR(BN$3)=YEAR('New Hires Forecast'!$Q$3),IF((BN$5&lt;=12),(SUMPRODUCT(--('New Hires Forecast'!$F$5:$F$85="Executive"),--('New Hires Forecast'!$H$5:$H$85&gt;=Exec!BN$3),'New Hires Forecast'!$Q$5:$Q$85,'New Hires Forecast'!$L$5:$L$85)/12),0),IF(YEAR(BN$3)=YEAR('New Hires Forecast'!$R$3),IF((BN$5&lt;=12),(SUMPRODUCT(--('New Hires Forecast'!$F$5:$F$85="Executive"),--('New Hires Forecast'!$H$5:$H$85&gt;=Exec!BN$3),'New Hires Forecast'!$R$5:$R$85,'New Hires Forecast'!$L$5:$L$85)/12),0),"New Year"))))),0)</f>
        <v>0</v>
      </c>
      <c r="BO15" s="668">
        <f>IF(BO$4="forecast",IF(YEAR(BO$3)=YEAR('New Hires Forecast'!$N$3),IF((BO$5&lt;=12),(SUMPRODUCT(--('New Hires Forecast'!$F$5:$F$85="Executive"),--('New Hires Forecast'!$H$5:$H$85&gt;=Exec!BO$3),'New Hires Forecast'!$N$5:$N$85,'New Hires Forecast'!$L$5:$L$85)/12),0),IF(YEAR(BO$3)=YEAR('New Hires Forecast'!$O$3),IF((BO$5&lt;=12),(SUMPRODUCT(--('New Hires Forecast'!$F$5:$F$85="Executive"),--('New Hires Forecast'!$H$5:$H$85&gt;=Exec!BO$3),'New Hires Forecast'!$O$5:$O$85,'New Hires Forecast'!$L$5:$L$85)/12),0),IF(YEAR(BO$3)=YEAR('New Hires Forecast'!$P$3),IF((BO$5&lt;=12),(SUMPRODUCT(--('New Hires Forecast'!$F$5:$F$85="Executive"),--('New Hires Forecast'!$H$5:$H$85&gt;=Exec!BO$3),'New Hires Forecast'!$P$5:$P$85,'New Hires Forecast'!$L$5:$L$85)/12),0),IF(YEAR(BO$3)=YEAR('New Hires Forecast'!$Q$3),IF((BO$5&lt;=12),(SUMPRODUCT(--('New Hires Forecast'!$F$5:$F$85="Executive"),--('New Hires Forecast'!$H$5:$H$85&gt;=Exec!BO$3),'New Hires Forecast'!$Q$5:$Q$85,'New Hires Forecast'!$L$5:$L$85)/12),0),IF(YEAR(BO$3)=YEAR('New Hires Forecast'!$R$3),IF((BO$5&lt;=12),(SUMPRODUCT(--('New Hires Forecast'!$F$5:$F$85="Executive"),--('New Hires Forecast'!$H$5:$H$85&gt;=Exec!BO$3),'New Hires Forecast'!$R$5:$R$85,'New Hires Forecast'!$L$5:$L$85)/12),0),"New Year"))))),0)</f>
        <v>0</v>
      </c>
      <c r="BP15" s="668">
        <f>IF(BP$4="forecast",IF(YEAR(BP$3)=YEAR('New Hires Forecast'!$N$3),IF((BP$5&lt;=12),(SUMPRODUCT(--('New Hires Forecast'!$F$5:$F$85="Executive"),--('New Hires Forecast'!$H$5:$H$85&gt;=Exec!BP$3),'New Hires Forecast'!$N$5:$N$85,'New Hires Forecast'!$L$5:$L$85)/12),0),IF(YEAR(BP$3)=YEAR('New Hires Forecast'!$O$3),IF((BP$5&lt;=12),(SUMPRODUCT(--('New Hires Forecast'!$F$5:$F$85="Executive"),--('New Hires Forecast'!$H$5:$H$85&gt;=Exec!BP$3),'New Hires Forecast'!$O$5:$O$85,'New Hires Forecast'!$L$5:$L$85)/12),0),IF(YEAR(BP$3)=YEAR('New Hires Forecast'!$P$3),IF((BP$5&lt;=12),(SUMPRODUCT(--('New Hires Forecast'!$F$5:$F$85="Executive"),--('New Hires Forecast'!$H$5:$H$85&gt;=Exec!BP$3),'New Hires Forecast'!$P$5:$P$85,'New Hires Forecast'!$L$5:$L$85)/12),0),IF(YEAR(BP$3)=YEAR('New Hires Forecast'!$Q$3),IF((BP$5&lt;=12),(SUMPRODUCT(--('New Hires Forecast'!$F$5:$F$85="Executive"),--('New Hires Forecast'!$H$5:$H$85&gt;=Exec!BP$3),'New Hires Forecast'!$Q$5:$Q$85,'New Hires Forecast'!$L$5:$L$85)/12),0),IF(YEAR(BP$3)=YEAR('New Hires Forecast'!$R$3),IF((BP$5&lt;=12),(SUMPRODUCT(--('New Hires Forecast'!$F$5:$F$85="Executive"),--('New Hires Forecast'!$H$5:$H$85&gt;=Exec!BP$3),'New Hires Forecast'!$R$5:$R$85,'New Hires Forecast'!$L$5:$L$85)/12),0),"New Year"))))),0)</f>
        <v>0</v>
      </c>
      <c r="BQ15" s="668">
        <f>IF(BQ$4="forecast",IF(YEAR(BQ$3)=YEAR('New Hires Forecast'!$N$3),IF((BQ$5&lt;=12),(SUMPRODUCT(--('New Hires Forecast'!$F$5:$F$85="Executive"),--('New Hires Forecast'!$H$5:$H$85&gt;=Exec!BQ$3),'New Hires Forecast'!$N$5:$N$85,'New Hires Forecast'!$L$5:$L$85)/12),0),IF(YEAR(BQ$3)=YEAR('New Hires Forecast'!$O$3),IF((BQ$5&lt;=12),(SUMPRODUCT(--('New Hires Forecast'!$F$5:$F$85="Executive"),--('New Hires Forecast'!$H$5:$H$85&gt;=Exec!BQ$3),'New Hires Forecast'!$O$5:$O$85,'New Hires Forecast'!$L$5:$L$85)/12),0),IF(YEAR(BQ$3)=YEAR('New Hires Forecast'!$P$3),IF((BQ$5&lt;=12),(SUMPRODUCT(--('New Hires Forecast'!$F$5:$F$85="Executive"),--('New Hires Forecast'!$H$5:$H$85&gt;=Exec!BQ$3),'New Hires Forecast'!$P$5:$P$85,'New Hires Forecast'!$L$5:$L$85)/12),0),IF(YEAR(BQ$3)=YEAR('New Hires Forecast'!$Q$3),IF((BQ$5&lt;=12),(SUMPRODUCT(--('New Hires Forecast'!$F$5:$F$85="Executive"),--('New Hires Forecast'!$H$5:$H$85&gt;=Exec!BQ$3),'New Hires Forecast'!$Q$5:$Q$85,'New Hires Forecast'!$L$5:$L$85)/12),0),IF(YEAR(BQ$3)=YEAR('New Hires Forecast'!$R$3),IF((BQ$5&lt;=12),(SUMPRODUCT(--('New Hires Forecast'!$F$5:$F$85="Executive"),--('New Hires Forecast'!$H$5:$H$85&gt;=Exec!BQ$3),'New Hires Forecast'!$R$5:$R$85,'New Hires Forecast'!$L$5:$L$85)/12),0),"New Year"))))),0)</f>
        <v>0</v>
      </c>
      <c r="BR15" s="668">
        <f>IF(BR$4="forecast",IF(YEAR(BR$3)=YEAR('New Hires Forecast'!$N$3),IF((BR$5&lt;=12),(SUMPRODUCT(--('New Hires Forecast'!$F$5:$F$85="Executive"),--('New Hires Forecast'!$H$5:$H$85&gt;=Exec!BR$3),'New Hires Forecast'!$N$5:$N$85,'New Hires Forecast'!$L$5:$L$85)/12),0),IF(YEAR(BR$3)=YEAR('New Hires Forecast'!$O$3),IF((BR$5&lt;=12),(SUMPRODUCT(--('New Hires Forecast'!$F$5:$F$85="Executive"),--('New Hires Forecast'!$H$5:$H$85&gt;=Exec!BR$3),'New Hires Forecast'!$O$5:$O$85,'New Hires Forecast'!$L$5:$L$85)/12),0),IF(YEAR(BR$3)=YEAR('New Hires Forecast'!$P$3),IF((BR$5&lt;=12),(SUMPRODUCT(--('New Hires Forecast'!$F$5:$F$85="Executive"),--('New Hires Forecast'!$H$5:$H$85&gt;=Exec!BR$3),'New Hires Forecast'!$P$5:$P$85,'New Hires Forecast'!$L$5:$L$85)/12),0),IF(YEAR(BR$3)=YEAR('New Hires Forecast'!$Q$3),IF((BR$5&lt;=12),(SUMPRODUCT(--('New Hires Forecast'!$F$5:$F$85="Executive"),--('New Hires Forecast'!$H$5:$H$85&gt;=Exec!BR$3),'New Hires Forecast'!$Q$5:$Q$85,'New Hires Forecast'!$L$5:$L$85)/12),0),IF(YEAR(BR$3)=YEAR('New Hires Forecast'!$R$3),IF((BR$5&lt;=12),(SUMPRODUCT(--('New Hires Forecast'!$F$5:$F$85="Executive"),--('New Hires Forecast'!$H$5:$H$85&gt;=Exec!BR$3),'New Hires Forecast'!$R$5:$R$85,'New Hires Forecast'!$L$5:$L$85)/12),0),"New Year"))))),0)</f>
        <v>0</v>
      </c>
      <c r="BS15" s="668">
        <f>IF(BS$4="forecast",IF(YEAR(BS$3)=YEAR('New Hires Forecast'!$N$3),IF((BS$5&lt;=12),(SUMPRODUCT(--('New Hires Forecast'!$F$5:$F$85="Executive"),--('New Hires Forecast'!$H$5:$H$85&gt;=Exec!BS$3),'New Hires Forecast'!$N$5:$N$85,'New Hires Forecast'!$L$5:$L$85)/12),0),IF(YEAR(BS$3)=YEAR('New Hires Forecast'!$O$3),IF((BS$5&lt;=12),(SUMPRODUCT(--('New Hires Forecast'!$F$5:$F$85="Executive"),--('New Hires Forecast'!$H$5:$H$85&gt;=Exec!BS$3),'New Hires Forecast'!$O$5:$O$85,'New Hires Forecast'!$L$5:$L$85)/12),0),IF(YEAR(BS$3)=YEAR('New Hires Forecast'!$P$3),IF((BS$5&lt;=12),(SUMPRODUCT(--('New Hires Forecast'!$F$5:$F$85="Executive"),--('New Hires Forecast'!$H$5:$H$85&gt;=Exec!BS$3),'New Hires Forecast'!$P$5:$P$85,'New Hires Forecast'!$L$5:$L$85)/12),0),IF(YEAR(BS$3)=YEAR('New Hires Forecast'!$Q$3),IF((BS$5&lt;=12),(SUMPRODUCT(--('New Hires Forecast'!$F$5:$F$85="Executive"),--('New Hires Forecast'!$H$5:$H$85&gt;=Exec!BS$3),'New Hires Forecast'!$Q$5:$Q$85,'New Hires Forecast'!$L$5:$L$85)/12),0),IF(YEAR(BS$3)=YEAR('New Hires Forecast'!$R$3),IF((BS$5&lt;=12),(SUMPRODUCT(--('New Hires Forecast'!$F$5:$F$85="Executive"),--('New Hires Forecast'!$H$5:$H$85&gt;=Exec!BS$3),'New Hires Forecast'!$R$5:$R$85,'New Hires Forecast'!$L$5:$L$85)/12),0),"New Year"))))),0)</f>
        <v>0</v>
      </c>
      <c r="BT15" s="668">
        <f>IF(BT$4="forecast",IF(YEAR(BT$3)=YEAR('New Hires Forecast'!$N$3),IF((BT$5&lt;=12),(SUMPRODUCT(--('New Hires Forecast'!$F$5:$F$85="Executive"),--('New Hires Forecast'!$H$5:$H$85&gt;=Exec!BT$3),'New Hires Forecast'!$N$5:$N$85,'New Hires Forecast'!$L$5:$L$85)/12),0),IF(YEAR(BT$3)=YEAR('New Hires Forecast'!$O$3),IF((BT$5&lt;=12),(SUMPRODUCT(--('New Hires Forecast'!$F$5:$F$85="Executive"),--('New Hires Forecast'!$H$5:$H$85&gt;=Exec!BT$3),'New Hires Forecast'!$O$5:$O$85,'New Hires Forecast'!$L$5:$L$85)/12),0),IF(YEAR(BT$3)=YEAR('New Hires Forecast'!$P$3),IF((BT$5&lt;=12),(SUMPRODUCT(--('New Hires Forecast'!$F$5:$F$85="Executive"),--('New Hires Forecast'!$H$5:$H$85&gt;=Exec!BT$3),'New Hires Forecast'!$P$5:$P$85,'New Hires Forecast'!$L$5:$L$85)/12),0),IF(YEAR(BT$3)=YEAR('New Hires Forecast'!$Q$3),IF((BT$5&lt;=12),(SUMPRODUCT(--('New Hires Forecast'!$F$5:$F$85="Executive"),--('New Hires Forecast'!$H$5:$H$85&gt;=Exec!BT$3),'New Hires Forecast'!$Q$5:$Q$85,'New Hires Forecast'!$L$5:$L$85)/12),0),IF(YEAR(BT$3)=YEAR('New Hires Forecast'!$R$3),IF((BT$5&lt;=12),(SUMPRODUCT(--('New Hires Forecast'!$F$5:$F$85="Executive"),--('New Hires Forecast'!$H$5:$H$85&gt;=Exec!BT$3),'New Hires Forecast'!$R$5:$R$85,'New Hires Forecast'!$L$5:$L$85)/12),0),"New Year"))))),0)</f>
        <v>0</v>
      </c>
      <c r="BU15" s="668">
        <f>IF(BU$4="forecast",IF(YEAR(BU$3)=YEAR('New Hires Forecast'!$N$3),IF((BU$5&lt;=12),(SUMPRODUCT(--('New Hires Forecast'!$F$5:$F$85="Executive"),--('New Hires Forecast'!$H$5:$H$85&gt;=Exec!BU$3),'New Hires Forecast'!$N$5:$N$85,'New Hires Forecast'!$L$5:$L$85)/12),0),IF(YEAR(BU$3)=YEAR('New Hires Forecast'!$O$3),IF((BU$5&lt;=12),(SUMPRODUCT(--('New Hires Forecast'!$F$5:$F$85="Executive"),--('New Hires Forecast'!$H$5:$H$85&gt;=Exec!BU$3),'New Hires Forecast'!$O$5:$O$85,'New Hires Forecast'!$L$5:$L$85)/12),0),IF(YEAR(BU$3)=YEAR('New Hires Forecast'!$P$3),IF((BU$5&lt;=12),(SUMPRODUCT(--('New Hires Forecast'!$F$5:$F$85="Executive"),--('New Hires Forecast'!$H$5:$H$85&gt;=Exec!BU$3),'New Hires Forecast'!$P$5:$P$85,'New Hires Forecast'!$L$5:$L$85)/12),0),IF(YEAR(BU$3)=YEAR('New Hires Forecast'!$Q$3),IF((BU$5&lt;=12),(SUMPRODUCT(--('New Hires Forecast'!$F$5:$F$85="Executive"),--('New Hires Forecast'!$H$5:$H$85&gt;=Exec!BU$3),'New Hires Forecast'!$Q$5:$Q$85,'New Hires Forecast'!$L$5:$L$85)/12),0),IF(YEAR(BU$3)=YEAR('New Hires Forecast'!$R$3),IF((BU$5&lt;=12),(SUMPRODUCT(--('New Hires Forecast'!$F$5:$F$85="Executive"),--('New Hires Forecast'!$H$5:$H$85&gt;=Exec!BU$3),'New Hires Forecast'!$R$5:$R$85,'New Hires Forecast'!$L$5:$L$85)/12),0),"New Year"))))),0)</f>
        <v>0</v>
      </c>
      <c r="BV15" s="668">
        <f>IF(BV$4="forecast",IF(YEAR(BV$3)=YEAR('New Hires Forecast'!$N$3),IF((BV$5&lt;=12),(SUMPRODUCT(--('New Hires Forecast'!$F$5:$F$85="Executive"),--('New Hires Forecast'!$H$5:$H$85&gt;=Exec!BV$3),'New Hires Forecast'!$N$5:$N$85,'New Hires Forecast'!$L$5:$L$85)/12),0),IF(YEAR(BV$3)=YEAR('New Hires Forecast'!$O$3),IF((BV$5&lt;=12),(SUMPRODUCT(--('New Hires Forecast'!$F$5:$F$85="Executive"),--('New Hires Forecast'!$H$5:$H$85&gt;=Exec!BV$3),'New Hires Forecast'!$O$5:$O$85,'New Hires Forecast'!$L$5:$L$85)/12),0),IF(YEAR(BV$3)=YEAR('New Hires Forecast'!$P$3),IF((BV$5&lt;=12),(SUMPRODUCT(--('New Hires Forecast'!$F$5:$F$85="Executive"),--('New Hires Forecast'!$H$5:$H$85&gt;=Exec!BV$3),'New Hires Forecast'!$P$5:$P$85,'New Hires Forecast'!$L$5:$L$85)/12),0),IF(YEAR(BV$3)=YEAR('New Hires Forecast'!$Q$3),IF((BV$5&lt;=12),(SUMPRODUCT(--('New Hires Forecast'!$F$5:$F$85="Executive"),--('New Hires Forecast'!$H$5:$H$85&gt;=Exec!BV$3),'New Hires Forecast'!$Q$5:$Q$85,'New Hires Forecast'!$L$5:$L$85)/12),0),IF(YEAR(BV$3)=YEAR('New Hires Forecast'!$R$3),IF((BV$5&lt;=12),(SUMPRODUCT(--('New Hires Forecast'!$F$5:$F$85="Executive"),--('New Hires Forecast'!$H$5:$H$85&gt;=Exec!BV$3),'New Hires Forecast'!$R$5:$R$85,'New Hires Forecast'!$L$5:$L$85)/12),0),"New Year"))))),0)</f>
        <v>0</v>
      </c>
    </row>
    <row r="16" spans="2:74" x14ac:dyDescent="0.25">
      <c r="B16" s="780" t="s">
        <v>930</v>
      </c>
      <c r="C16" s="668">
        <f>IF(C$4="forecast",IF(YEAR(C$3)=YEAR(Headcount!$N$4),IF((C$5&lt;12),(SUMPRODUCT(--(Headcount!$F$6:$F$92="Sales"),--(Headcount!$H$6:$H$92&gt;=Sales!C$3),Headcount!$N$6:$N$92,Headcount!$L$6:$L$92)/12),0),IF(YEAR(C$3)=YEAR(Headcount!$O$4),IF((C$5&lt;=12),(SUMPRODUCT(--(Headcount!$F$6:$F$92="Sales"),--(Headcount!$H$6:$H$92&gt;=Sales!C$3),Headcount!$O$6:$O$92,Headcount!$L$6:$L$92)/12),0),IF(YEAR(C$3)=YEAR(Headcount!$P$4),IF((C$5&lt;=12),(SUMPRODUCT(--(Headcount!$F$6:$F$92="Sales"),--(Headcount!$H$6:$H$92&gt;=Sales!C$3),Headcount!$P$6:$P$92,Headcount!$L$6:$L$92)/12),0),IF(YEAR(C$3)=YEAR(Headcount!$Q$4),IF((C$5&lt;=12),(SUMPRODUCT(--(Headcount!$F$6:$F$92="Sales"),--(Headcount!$H$6:$H$92&gt;=Sales!C$3),Headcount!$Q$6:$Q$92,Headcount!$L$6:$L$92)/12),0),IF(YEAR(C$3)=YEAR(Headcount!$R$4),IF((C$5&lt;=12),(SUMPRODUCT(--(Headcount!$F$6:$F$92="Sales"),--(Headcount!$H$6:$H$92&gt;=Sales!C$3),Headcount!$R$6:$R$92,Headcount!$L$6:$L$92)/12),0),"New Year"))))),SUMIF('Dept. Cost Actuals'!$E$7:$E$176,"*bonus*",'Dept. Cost Actuals'!G$877:G$1046))</f>
        <v>0</v>
      </c>
      <c r="D16" s="668">
        <f>IF(D$4="forecast",IF(YEAR(D$3)=YEAR(Headcount!$N$4),IF((D$5&lt;12),(SUMPRODUCT(--(Headcount!$F$6:$F$92="Sales"),--(Headcount!$H$6:$H$92&gt;=Sales!D$3),Headcount!$N$6:$N$92,Headcount!$L$6:$L$92)/12),0),IF(YEAR(D$3)=YEAR(Headcount!$O$4),IF((D$5&lt;=12),(SUMPRODUCT(--(Headcount!$F$6:$F$92="Sales"),--(Headcount!$H$6:$H$92&gt;=Sales!D$3),Headcount!$O$6:$O$92,Headcount!$L$6:$L$92)/12),0),IF(YEAR(D$3)=YEAR(Headcount!$P$4),IF((D$5&lt;=12),(SUMPRODUCT(--(Headcount!$F$6:$F$92="Sales"),--(Headcount!$H$6:$H$92&gt;=Sales!D$3),Headcount!$P$6:$P$92,Headcount!$L$6:$L$92)/12),0),IF(YEAR(D$3)=YEAR(Headcount!$Q$4),IF((D$5&lt;=12),(SUMPRODUCT(--(Headcount!$F$6:$F$92="Sales"),--(Headcount!$H$6:$H$92&gt;=Sales!D$3),Headcount!$Q$6:$Q$92,Headcount!$L$6:$L$92)/12),0),IF(YEAR(D$3)=YEAR(Headcount!$R$4),IF((D$5&lt;=12),(SUMPRODUCT(--(Headcount!$F$6:$F$92="Sales"),--(Headcount!$H$6:$H$92&gt;=Sales!D$3),Headcount!$R$6:$R$92,Headcount!$L$6:$L$92)/12),0),"New Year"))))),SUMIF('Dept. Cost Actuals'!$E$7:$E$176,"*bonus*",'Dept. Cost Actuals'!H$877:H$1046))</f>
        <v>0</v>
      </c>
      <c r="E16" s="668">
        <f>IF(E$4="forecast",IF(YEAR(E$3)=YEAR(Headcount!$N$4),IF((E$5&lt;12),(SUMPRODUCT(--(Headcount!$F$6:$F$92="Sales"),--(Headcount!$H$6:$H$92&gt;=Sales!E$3),Headcount!$N$6:$N$92,Headcount!$L$6:$L$92)/12),0),IF(YEAR(E$3)=YEAR(Headcount!$O$4),IF((E$5&lt;=12),(SUMPRODUCT(--(Headcount!$F$6:$F$92="Sales"),--(Headcount!$H$6:$H$92&gt;=Sales!E$3),Headcount!$O$6:$O$92,Headcount!$L$6:$L$92)/12),0),IF(YEAR(E$3)=YEAR(Headcount!$P$4),IF((E$5&lt;=12),(SUMPRODUCT(--(Headcount!$F$6:$F$92="Sales"),--(Headcount!$H$6:$H$92&gt;=Sales!E$3),Headcount!$P$6:$P$92,Headcount!$L$6:$L$92)/12),0),IF(YEAR(E$3)=YEAR(Headcount!$Q$4),IF((E$5&lt;=12),(SUMPRODUCT(--(Headcount!$F$6:$F$92="Sales"),--(Headcount!$H$6:$H$92&gt;=Sales!E$3),Headcount!$Q$6:$Q$92,Headcount!$L$6:$L$92)/12),0),IF(YEAR(E$3)=YEAR(Headcount!$R$4),IF((E$5&lt;=12),(SUMPRODUCT(--(Headcount!$F$6:$F$92="Sales"),--(Headcount!$H$6:$H$92&gt;=Sales!E$3),Headcount!$R$6:$R$92,Headcount!$L$6:$L$92)/12),0),"New Year"))))),SUMIF('Dept. Cost Actuals'!$E$7:$E$176,"*bonus*",'Dept. Cost Actuals'!I$877:I$1046))</f>
        <v>0</v>
      </c>
      <c r="F16" s="668">
        <f>IF(F$4="forecast",IF(YEAR(F$3)=YEAR(Headcount!$N$4),IF((F$5&lt;12),(SUMPRODUCT(--(Headcount!$F$6:$F$92="Sales"),--(Headcount!$H$6:$H$92&gt;=Sales!F$3),Headcount!$N$6:$N$92,Headcount!$L$6:$L$92)/12),0),IF(YEAR(F$3)=YEAR(Headcount!$O$4),IF((F$5&lt;=12),(SUMPRODUCT(--(Headcount!$F$6:$F$92="Sales"),--(Headcount!$H$6:$H$92&gt;=Sales!F$3),Headcount!$O$6:$O$92,Headcount!$L$6:$L$92)/12),0),IF(YEAR(F$3)=YEAR(Headcount!$P$4),IF((F$5&lt;=12),(SUMPRODUCT(--(Headcount!$F$6:$F$92="Sales"),--(Headcount!$H$6:$H$92&gt;=Sales!F$3),Headcount!$P$6:$P$92,Headcount!$L$6:$L$92)/12),0),IF(YEAR(F$3)=YEAR(Headcount!$Q$4),IF((F$5&lt;=12),(SUMPRODUCT(--(Headcount!$F$6:$F$92="Sales"),--(Headcount!$H$6:$H$92&gt;=Sales!F$3),Headcount!$Q$6:$Q$92,Headcount!$L$6:$L$92)/12),0),IF(YEAR(F$3)=YEAR(Headcount!$R$4),IF((F$5&lt;=12),(SUMPRODUCT(--(Headcount!$F$6:$F$92="Sales"),--(Headcount!$H$6:$H$92&gt;=Sales!F$3),Headcount!$R$6:$R$92,Headcount!$L$6:$L$92)/12),0),"New Year"))))),SUMIF('Dept. Cost Actuals'!$E$7:$E$176,"*bonus*",'Dept. Cost Actuals'!J$877:J$1046))</f>
        <v>0</v>
      </c>
      <c r="G16" s="668">
        <f>IF(G$4="forecast",IF(YEAR(G$3)=YEAR(Headcount!$N$4),IF((G$5&lt;12),(SUMPRODUCT(--(Headcount!$F$6:$F$92="Sales"),--(Headcount!$H$6:$H$92&gt;=Sales!G$3),Headcount!$N$6:$N$92,Headcount!$L$6:$L$92)/12),0),IF(YEAR(G$3)=YEAR(Headcount!$O$4),IF((G$5&lt;=12),(SUMPRODUCT(--(Headcount!$F$6:$F$92="Sales"),--(Headcount!$H$6:$H$92&gt;=Sales!G$3),Headcount!$O$6:$O$92,Headcount!$L$6:$L$92)/12),0),IF(YEAR(G$3)=YEAR(Headcount!$P$4),IF((G$5&lt;=12),(SUMPRODUCT(--(Headcount!$F$6:$F$92="Sales"),--(Headcount!$H$6:$H$92&gt;=Sales!G$3),Headcount!$P$6:$P$92,Headcount!$L$6:$L$92)/12),0),IF(YEAR(G$3)=YEAR(Headcount!$Q$4),IF((G$5&lt;=12),(SUMPRODUCT(--(Headcount!$F$6:$F$92="Sales"),--(Headcount!$H$6:$H$92&gt;=Sales!G$3),Headcount!$Q$6:$Q$92,Headcount!$L$6:$L$92)/12),0),IF(YEAR(G$3)=YEAR(Headcount!$R$4),IF((G$5&lt;=12),(SUMPRODUCT(--(Headcount!$F$6:$F$92="Sales"),--(Headcount!$H$6:$H$92&gt;=Sales!G$3),Headcount!$R$6:$R$92,Headcount!$L$6:$L$92)/12),0),"New Year"))))),SUMIF('Dept. Cost Actuals'!$E$7:$E$176,"*bonus*",'Dept. Cost Actuals'!K$877:K$1046))</f>
        <v>0</v>
      </c>
      <c r="H16" s="668">
        <f>IF(H$4="forecast",IF(YEAR(H$3)=YEAR(Headcount!$N$4),IF((H$5&lt;12),(SUMPRODUCT(--(Headcount!$F$6:$F$92="Sales"),--(Headcount!$H$6:$H$92&gt;=Sales!H$3),Headcount!$N$6:$N$92,Headcount!$L$6:$L$92)/12),0),IF(YEAR(H$3)=YEAR(Headcount!$O$4),IF((H$5&lt;=12),(SUMPRODUCT(--(Headcount!$F$6:$F$92="Sales"),--(Headcount!$H$6:$H$92&gt;=Sales!H$3),Headcount!$O$6:$O$92,Headcount!$L$6:$L$92)/12),0),IF(YEAR(H$3)=YEAR(Headcount!$P$4),IF((H$5&lt;=12),(SUMPRODUCT(--(Headcount!$F$6:$F$92="Sales"),--(Headcount!$H$6:$H$92&gt;=Sales!H$3),Headcount!$P$6:$P$92,Headcount!$L$6:$L$92)/12),0),IF(YEAR(H$3)=YEAR(Headcount!$Q$4),IF((H$5&lt;=12),(SUMPRODUCT(--(Headcount!$F$6:$F$92="Sales"),--(Headcount!$H$6:$H$92&gt;=Sales!H$3),Headcount!$Q$6:$Q$92,Headcount!$L$6:$L$92)/12),0),IF(YEAR(H$3)=YEAR(Headcount!$R$4),IF((H$5&lt;=12),(SUMPRODUCT(--(Headcount!$F$6:$F$92="Sales"),--(Headcount!$H$6:$H$92&gt;=Sales!H$3),Headcount!$R$6:$R$92,Headcount!$L$6:$L$92)/12),0),"New Year"))))),SUMIF('Dept. Cost Actuals'!$E$7:$E$176,"*bonus*",'Dept. Cost Actuals'!L$877:L$1046))</f>
        <v>0</v>
      </c>
      <c r="I16" s="668">
        <f>IF(I$4="forecast",IF(YEAR(I$3)=YEAR(Headcount!$N$4),IF((I$5&lt;12),(SUMPRODUCT(--(Headcount!$F$6:$F$92="Sales"),--(Headcount!$H$6:$H$92&gt;=Sales!I$3),Headcount!$N$6:$N$92,Headcount!$L$6:$L$92)/12),0),IF(YEAR(I$3)=YEAR(Headcount!$O$4),IF((I$5&lt;=12),(SUMPRODUCT(--(Headcount!$F$6:$F$92="Sales"),--(Headcount!$H$6:$H$92&gt;=Sales!I$3),Headcount!$O$6:$O$92,Headcount!$L$6:$L$92)/12),0),IF(YEAR(I$3)=YEAR(Headcount!$P$4),IF((I$5&lt;=12),(SUMPRODUCT(--(Headcount!$F$6:$F$92="Sales"),--(Headcount!$H$6:$H$92&gt;=Sales!I$3),Headcount!$P$6:$P$92,Headcount!$L$6:$L$92)/12),0),IF(YEAR(I$3)=YEAR(Headcount!$Q$4),IF((I$5&lt;=12),(SUMPRODUCT(--(Headcount!$F$6:$F$92="Sales"),--(Headcount!$H$6:$H$92&gt;=Sales!I$3),Headcount!$Q$6:$Q$92,Headcount!$L$6:$L$92)/12),0),IF(YEAR(I$3)=YEAR(Headcount!$R$4),IF((I$5&lt;=12),(SUMPRODUCT(--(Headcount!$F$6:$F$92="Sales"),--(Headcount!$H$6:$H$92&gt;=Sales!I$3),Headcount!$R$6:$R$92,Headcount!$L$6:$L$92)/12),0),"New Year"))))),SUMIF('Dept. Cost Actuals'!$E$7:$E$176,"*bonus*",'Dept. Cost Actuals'!M$877:M$1046))</f>
        <v>0</v>
      </c>
      <c r="J16" s="668">
        <f>IF(J$4="forecast",IF(YEAR(J$3)=YEAR(Headcount!$N$4),IF((J$5&lt;12),(SUMPRODUCT(--(Headcount!$F$6:$F$92="Sales"),--(Headcount!$H$6:$H$92&gt;=Sales!J$3),Headcount!$N$6:$N$92,Headcount!$L$6:$L$92)/12),0),IF(YEAR(J$3)=YEAR(Headcount!$O$4),IF((J$5&lt;=12),(SUMPRODUCT(--(Headcount!$F$6:$F$92="Sales"),--(Headcount!$H$6:$H$92&gt;=Sales!J$3),Headcount!$O$6:$O$92,Headcount!$L$6:$L$92)/12),0),IF(YEAR(J$3)=YEAR(Headcount!$P$4),IF((J$5&lt;=12),(SUMPRODUCT(--(Headcount!$F$6:$F$92="Sales"),--(Headcount!$H$6:$H$92&gt;=Sales!J$3),Headcount!$P$6:$P$92,Headcount!$L$6:$L$92)/12),0),IF(YEAR(J$3)=YEAR(Headcount!$Q$4),IF((J$5&lt;=12),(SUMPRODUCT(--(Headcount!$F$6:$F$92="Sales"),--(Headcount!$H$6:$H$92&gt;=Sales!J$3),Headcount!$Q$6:$Q$92,Headcount!$L$6:$L$92)/12),0),IF(YEAR(J$3)=YEAR(Headcount!$R$4),IF((J$5&lt;=12),(SUMPRODUCT(--(Headcount!$F$6:$F$92="Sales"),--(Headcount!$H$6:$H$92&gt;=Sales!J$3),Headcount!$R$6:$R$92,Headcount!$L$6:$L$92)/12),0),"New Year"))))),SUMIF('Dept. Cost Actuals'!$E$7:$E$176,"*bonus*",'Dept. Cost Actuals'!N$877:N$1046))</f>
        <v>0</v>
      </c>
      <c r="K16" s="668">
        <f>IF(K$4="forecast",IF(YEAR(K$3)=YEAR(Headcount!$N$4),IF((K$5&lt;12),(SUMPRODUCT(--(Headcount!$F$6:$F$92="Sales"),--(Headcount!$H$6:$H$92&gt;=Sales!K$3),Headcount!$N$6:$N$92,Headcount!$L$6:$L$92)/12),0),IF(YEAR(K$3)=YEAR(Headcount!$O$4),IF((K$5&lt;=12),(SUMPRODUCT(--(Headcount!$F$6:$F$92="Sales"),--(Headcount!$H$6:$H$92&gt;=Sales!K$3),Headcount!$O$6:$O$92,Headcount!$L$6:$L$92)/12),0),IF(YEAR(K$3)=YEAR(Headcount!$P$4),IF((K$5&lt;=12),(SUMPRODUCT(--(Headcount!$F$6:$F$92="Sales"),--(Headcount!$H$6:$H$92&gt;=Sales!K$3),Headcount!$P$6:$P$92,Headcount!$L$6:$L$92)/12),0),IF(YEAR(K$3)=YEAR(Headcount!$Q$4),IF((K$5&lt;=12),(SUMPRODUCT(--(Headcount!$F$6:$F$92="Sales"),--(Headcount!$H$6:$H$92&gt;=Sales!K$3),Headcount!$Q$6:$Q$92,Headcount!$L$6:$L$92)/12),0),IF(YEAR(K$3)=YEAR(Headcount!$R$4),IF((K$5&lt;=12),(SUMPRODUCT(--(Headcount!$F$6:$F$92="Sales"),--(Headcount!$H$6:$H$92&gt;=Sales!K$3),Headcount!$R$6:$R$92,Headcount!$L$6:$L$92)/12),0),"New Year"))))),SUMIF('Dept. Cost Actuals'!$E$7:$E$176,"*bonus*",'Dept. Cost Actuals'!O$877:O$1046))</f>
        <v>0</v>
      </c>
      <c r="L16" s="668">
        <f>IF(L$4="forecast",IF(YEAR(L$3)=YEAR(Headcount!$N$4),IF((L$5&lt;12),(SUMPRODUCT(--(Headcount!$F$6:$F$92="Sales"),--(Headcount!$H$6:$H$92&gt;=Sales!L$3),Headcount!$N$6:$N$92,Headcount!$L$6:$L$92)/12),0),IF(YEAR(L$3)=YEAR(Headcount!$O$4),IF((L$5&lt;=12),(SUMPRODUCT(--(Headcount!$F$6:$F$92="Sales"),--(Headcount!$H$6:$H$92&gt;=Sales!L$3),Headcount!$O$6:$O$92,Headcount!$L$6:$L$92)/12),0),IF(YEAR(L$3)=YEAR(Headcount!$P$4),IF((L$5&lt;=12),(SUMPRODUCT(--(Headcount!$F$6:$F$92="Sales"),--(Headcount!$H$6:$H$92&gt;=Sales!L$3),Headcount!$P$6:$P$92,Headcount!$L$6:$L$92)/12),0),IF(YEAR(L$3)=YEAR(Headcount!$Q$4),IF((L$5&lt;=12),(SUMPRODUCT(--(Headcount!$F$6:$F$92="Sales"),--(Headcount!$H$6:$H$92&gt;=Sales!L$3),Headcount!$Q$6:$Q$92,Headcount!$L$6:$L$92)/12),0),IF(YEAR(L$3)=YEAR(Headcount!$R$4),IF((L$5&lt;=12),(SUMPRODUCT(--(Headcount!$F$6:$F$92="Sales"),--(Headcount!$H$6:$H$92&gt;=Sales!L$3),Headcount!$R$6:$R$92,Headcount!$L$6:$L$92)/12),0),"New Year"))))),SUMIF('Dept. Cost Actuals'!$E$7:$E$176,"*bonus*",'Dept. Cost Actuals'!P$877:P$1046))</f>
        <v>0</v>
      </c>
      <c r="M16" s="668">
        <f>IF(M$4="forecast",IF(YEAR(M$3)=YEAR(Headcount!$N$4),IF((M$5&lt;12),(SUMPRODUCT(--(Headcount!$F$6:$F$92="Sales"),--(Headcount!$H$6:$H$92&gt;=Sales!M$3),Headcount!$N$6:$N$92,Headcount!$L$6:$L$92)/12),0),IF(YEAR(M$3)=YEAR(Headcount!$O$4),IF((M$5&lt;=12),(SUMPRODUCT(--(Headcount!$F$6:$F$92="Sales"),--(Headcount!$H$6:$H$92&gt;=Sales!M$3),Headcount!$O$6:$O$92,Headcount!$L$6:$L$92)/12),0),IF(YEAR(M$3)=YEAR(Headcount!$P$4),IF((M$5&lt;=12),(SUMPRODUCT(--(Headcount!$F$6:$F$92="Sales"),--(Headcount!$H$6:$H$92&gt;=Sales!M$3),Headcount!$P$6:$P$92,Headcount!$L$6:$L$92)/12),0),IF(YEAR(M$3)=YEAR(Headcount!$Q$4),IF((M$5&lt;=12),(SUMPRODUCT(--(Headcount!$F$6:$F$92="Sales"),--(Headcount!$H$6:$H$92&gt;=Sales!M$3),Headcount!$Q$6:$Q$92,Headcount!$L$6:$L$92)/12),0),IF(YEAR(M$3)=YEAR(Headcount!$R$4),IF((M$5&lt;=12),(SUMPRODUCT(--(Headcount!$F$6:$F$92="Sales"),--(Headcount!$H$6:$H$92&gt;=Sales!M$3),Headcount!$R$6:$R$92,Headcount!$L$6:$L$92)/12),0),"New Year"))))),SUMIF('Dept. Cost Actuals'!$E$7:$E$176,"*bonus*",'Dept. Cost Actuals'!Q$877:Q$1046))</f>
        <v>0</v>
      </c>
      <c r="N16" s="668">
        <f>IF(N$4="forecast",IF(YEAR(N$3)=YEAR(Headcount!$N$4),IF((N$5&lt;12),(SUMPRODUCT(--(Headcount!$F$6:$F$92="Sales"),--(Headcount!$H$6:$H$92&gt;=Sales!N$3),Headcount!$N$6:$N$92,Headcount!$L$6:$L$92)/12),0),IF(YEAR(N$3)=YEAR(Headcount!$O$4),IF((N$5&lt;=12),(SUMPRODUCT(--(Headcount!$F$6:$F$92="Sales"),--(Headcount!$H$6:$H$92&gt;=Sales!N$3),Headcount!$O$6:$O$92,Headcount!$L$6:$L$92)/12),0),IF(YEAR(N$3)=YEAR(Headcount!$P$4),IF((N$5&lt;=12),(SUMPRODUCT(--(Headcount!$F$6:$F$92="Sales"),--(Headcount!$H$6:$H$92&gt;=Sales!N$3),Headcount!$P$6:$P$92,Headcount!$L$6:$L$92)/12),0),IF(YEAR(N$3)=YEAR(Headcount!$Q$4),IF((N$5&lt;=12),(SUMPRODUCT(--(Headcount!$F$6:$F$92="Sales"),--(Headcount!$H$6:$H$92&gt;=Sales!N$3),Headcount!$Q$6:$Q$92,Headcount!$L$6:$L$92)/12),0),IF(YEAR(N$3)=YEAR(Headcount!$R$4),IF((N$5&lt;=12),(SUMPRODUCT(--(Headcount!$F$6:$F$92="Sales"),--(Headcount!$H$6:$H$92&gt;=Sales!N$3),Headcount!$R$6:$R$92,Headcount!$L$6:$L$92)/12),0),"New Year"))))),SUMIF('Dept. Cost Actuals'!$E$7:$E$176,"*bonus*",'Dept. Cost Actuals'!R$877:R$1046))</f>
        <v>0</v>
      </c>
      <c r="O16" s="668">
        <f>IF(O$4="forecast",IF(YEAR(O$3)=YEAR(Headcount!$N$4),IF((O$5&lt;12),(SUMPRODUCT(--(Headcount!$F$6:$F$92="Sales"),--(Headcount!$H$6:$H$92&gt;=Sales!O$3),Headcount!$N$6:$N$92,Headcount!$L$6:$L$92)/12),0),IF(YEAR(O$3)=YEAR(Headcount!$O$4),IF((O$5&lt;=12),(SUMPRODUCT(--(Headcount!$F$6:$F$92="Sales"),--(Headcount!$H$6:$H$92&gt;=Sales!O$3),Headcount!$O$6:$O$92,Headcount!$L$6:$L$92)/12),0),IF(YEAR(O$3)=YEAR(Headcount!$P$4),IF((O$5&lt;=12),(SUMPRODUCT(--(Headcount!$F$6:$F$92="Sales"),--(Headcount!$H$6:$H$92&gt;=Sales!O$3),Headcount!$P$6:$P$92,Headcount!$L$6:$L$92)/12),0),IF(YEAR(O$3)=YEAR(Headcount!$Q$4),IF((O$5&lt;=12),(SUMPRODUCT(--(Headcount!$F$6:$F$92="Sales"),--(Headcount!$H$6:$H$92&gt;=Sales!O$3),Headcount!$Q$6:$Q$92,Headcount!$L$6:$L$92)/12),0),IF(YEAR(O$3)=YEAR(Headcount!$R$4),IF((O$5&lt;=12),(SUMPRODUCT(--(Headcount!$F$6:$F$92="Sales"),--(Headcount!$H$6:$H$92&gt;=Sales!O$3),Headcount!$R$6:$R$92,Headcount!$L$6:$L$92)/12),0),"New Year"))))),SUMIF('Dept. Cost Actuals'!$E$7:$E$176,"*bonus*",'Dept. Cost Actuals'!S$877:S$1046))</f>
        <v>29892.83</v>
      </c>
      <c r="P16" s="668">
        <f>IF(P$4="forecast",IF(YEAR(P$3)=YEAR(Headcount!$N$4),IF((P$5&lt;12),(SUMPRODUCT(--(Headcount!$F$6:$F$92="Sales"),--(Headcount!$H$6:$H$92&gt;=Sales!P$3),Headcount!$N$6:$N$92,Headcount!$L$6:$L$92)/12),0),IF(YEAR(P$3)=YEAR(Headcount!$O$4),IF((P$5&lt;=12),(SUMPRODUCT(--(Headcount!$F$6:$F$92="Sales"),--(Headcount!$H$6:$H$92&gt;=Sales!P$3),Headcount!$O$6:$O$92,Headcount!$L$6:$L$92)/12),0),IF(YEAR(P$3)=YEAR(Headcount!$P$4),IF((P$5&lt;=12),(SUMPRODUCT(--(Headcount!$F$6:$F$92="Sales"),--(Headcount!$H$6:$H$92&gt;=Sales!P$3),Headcount!$P$6:$P$92,Headcount!$L$6:$L$92)/12),0),IF(YEAR(P$3)=YEAR(Headcount!$Q$4),IF((P$5&lt;=12),(SUMPRODUCT(--(Headcount!$F$6:$F$92="Sales"),--(Headcount!$H$6:$H$92&gt;=Sales!P$3),Headcount!$Q$6:$Q$92,Headcount!$L$6:$L$92)/12),0),IF(YEAR(P$3)=YEAR(Headcount!$R$4),IF((P$5&lt;=12),(SUMPRODUCT(--(Headcount!$F$6:$F$92="Sales"),--(Headcount!$H$6:$H$92&gt;=Sales!P$3),Headcount!$R$6:$R$92,Headcount!$L$6:$L$92)/12),0),"New Year"))))),SUMIF('Dept. Cost Actuals'!$E$7:$E$176,"*bonus*",'Dept. Cost Actuals'!T$877:T$1046))</f>
        <v>29892.83</v>
      </c>
      <c r="Q16" s="668">
        <f>IF(Q$4="forecast",IF(YEAR(Q$3)=YEAR(Headcount!$N$4),IF((Q$5&lt;12),(SUMPRODUCT(--(Headcount!$F$6:$F$92="Sales"),--(Headcount!$H$6:$H$92&gt;=Sales!Q$3),Headcount!$N$6:$N$92,Headcount!$L$6:$L$92)/12),0),IF(YEAR(Q$3)=YEAR(Headcount!$O$4),IF((Q$5&lt;=12),(SUMPRODUCT(--(Headcount!$F$6:$F$92="Sales"),--(Headcount!$H$6:$H$92&gt;=Sales!Q$3),Headcount!$O$6:$O$92,Headcount!$L$6:$L$92)/12),0),IF(YEAR(Q$3)=YEAR(Headcount!$P$4),IF((Q$5&lt;=12),(SUMPRODUCT(--(Headcount!$F$6:$F$92="Sales"),--(Headcount!$H$6:$H$92&gt;=Sales!Q$3),Headcount!$P$6:$P$92,Headcount!$L$6:$L$92)/12),0),IF(YEAR(Q$3)=YEAR(Headcount!$Q$4),IF((Q$5&lt;=12),(SUMPRODUCT(--(Headcount!$F$6:$F$92="Sales"),--(Headcount!$H$6:$H$92&gt;=Sales!Q$3),Headcount!$Q$6:$Q$92,Headcount!$L$6:$L$92)/12),0),IF(YEAR(Q$3)=YEAR(Headcount!$R$4),IF((Q$5&lt;=12),(SUMPRODUCT(--(Headcount!$F$6:$F$92="Sales"),--(Headcount!$H$6:$H$92&gt;=Sales!Q$3),Headcount!$R$6:$R$92,Headcount!$L$6:$L$92)/12),0),"New Year"))))),SUMIF('Dept. Cost Actuals'!$E$7:$E$176,"*bonus*",'Dept. Cost Actuals'!U$877:U$1046))</f>
        <v>29892.83</v>
      </c>
      <c r="R16" s="668">
        <f>IF(R$4="forecast",IF(YEAR(R$3)=YEAR(Headcount!$N$4),IF((R$5&lt;12),(SUMPRODUCT(--(Headcount!$F$6:$F$92="Sales"),--(Headcount!$H$6:$H$92&gt;=Sales!R$3),Headcount!$N$6:$N$92,Headcount!$L$6:$L$92)/12),0),IF(YEAR(R$3)=YEAR(Headcount!$O$4),IF((R$5&lt;=12),(SUMPRODUCT(--(Headcount!$F$6:$F$92="Sales"),--(Headcount!$H$6:$H$92&gt;=Sales!R$3),Headcount!$O$6:$O$92,Headcount!$L$6:$L$92)/12),0),IF(YEAR(R$3)=YEAR(Headcount!$P$4),IF((R$5&lt;=12),(SUMPRODUCT(--(Headcount!$F$6:$F$92="Sales"),--(Headcount!$H$6:$H$92&gt;=Sales!R$3),Headcount!$P$6:$P$92,Headcount!$L$6:$L$92)/12),0),IF(YEAR(R$3)=YEAR(Headcount!$Q$4),IF((R$5&lt;=12),(SUMPRODUCT(--(Headcount!$F$6:$F$92="Sales"),--(Headcount!$H$6:$H$92&gt;=Sales!R$3),Headcount!$Q$6:$Q$92,Headcount!$L$6:$L$92)/12),0),IF(YEAR(R$3)=YEAR(Headcount!$R$4),IF((R$5&lt;=12),(SUMPRODUCT(--(Headcount!$F$6:$F$92="Sales"),--(Headcount!$H$6:$H$92&gt;=Sales!R$3),Headcount!$R$6:$R$92,Headcount!$L$6:$L$92)/12),0),"New Year"))))),SUMIF('Dept. Cost Actuals'!$E$7:$E$176,"*bonus*",'Dept. Cost Actuals'!V$877:V$1046))</f>
        <v>29892.83</v>
      </c>
      <c r="S16" s="668">
        <f>IF(S$4="forecast",IF(YEAR(S$3)=YEAR(Headcount!$N$4),IF((S$5&lt;12),(SUMPRODUCT(--(Headcount!$F$6:$F$92="Sales"),--(Headcount!$H$6:$H$92&gt;=Sales!S$3),Headcount!$N$6:$N$92,Headcount!$L$6:$L$92)/12),0),IF(YEAR(S$3)=YEAR(Headcount!$O$4),IF((S$5&lt;=12),(SUMPRODUCT(--(Headcount!$F$6:$F$92="Sales"),--(Headcount!$H$6:$H$92&gt;=Sales!S$3),Headcount!$O$6:$O$92,Headcount!$L$6:$L$92)/12),0),IF(YEAR(S$3)=YEAR(Headcount!$P$4),IF((S$5&lt;=12),(SUMPRODUCT(--(Headcount!$F$6:$F$92="Sales"),--(Headcount!$H$6:$H$92&gt;=Sales!S$3),Headcount!$P$6:$P$92,Headcount!$L$6:$L$92)/12),0),IF(YEAR(S$3)=YEAR(Headcount!$Q$4),IF((S$5&lt;=12),(SUMPRODUCT(--(Headcount!$F$6:$F$92="Sales"),--(Headcount!$H$6:$H$92&gt;=Sales!S$3),Headcount!$Q$6:$Q$92,Headcount!$L$6:$L$92)/12),0),IF(YEAR(S$3)=YEAR(Headcount!$R$4),IF((S$5&lt;=12),(SUMPRODUCT(--(Headcount!$F$6:$F$92="Sales"),--(Headcount!$H$6:$H$92&gt;=Sales!S$3),Headcount!$R$6:$R$92,Headcount!$L$6:$L$92)/12),0),"New Year"))))),SUMIF('Dept. Cost Actuals'!$E$7:$E$176,"*bonus*",'Dept. Cost Actuals'!W$877:W$1046))</f>
        <v>29892.83</v>
      </c>
      <c r="T16" s="668">
        <f>IF(T$4="forecast",IF(YEAR(T$3)=YEAR(Headcount!$N$4),IF((T$5&lt;12),(SUMPRODUCT(--(Headcount!$F$6:$F$92="Sales"),--(Headcount!$H$6:$H$92&gt;=Sales!T$3),Headcount!$N$6:$N$92,Headcount!$L$6:$L$92)/12),0),IF(YEAR(T$3)=YEAR(Headcount!$O$4),IF((T$5&lt;=12),(SUMPRODUCT(--(Headcount!$F$6:$F$92="Sales"),--(Headcount!$H$6:$H$92&gt;=Sales!T$3),Headcount!$O$6:$O$92,Headcount!$L$6:$L$92)/12),0),IF(YEAR(T$3)=YEAR(Headcount!$P$4),IF((T$5&lt;=12),(SUMPRODUCT(--(Headcount!$F$6:$F$92="Sales"),--(Headcount!$H$6:$H$92&gt;=Sales!T$3),Headcount!$P$6:$P$92,Headcount!$L$6:$L$92)/12),0),IF(YEAR(T$3)=YEAR(Headcount!$Q$4),IF((T$5&lt;=12),(SUMPRODUCT(--(Headcount!$F$6:$F$92="Sales"),--(Headcount!$H$6:$H$92&gt;=Sales!T$3),Headcount!$Q$6:$Q$92,Headcount!$L$6:$L$92)/12),0),IF(YEAR(T$3)=YEAR(Headcount!$R$4),IF((T$5&lt;=12),(SUMPRODUCT(--(Headcount!$F$6:$F$92="Sales"),--(Headcount!$H$6:$H$92&gt;=Sales!T$3),Headcount!$R$6:$R$92,Headcount!$L$6:$L$92)/12),0),"New Year"))))),SUMIF('Dept. Cost Actuals'!$E$7:$E$176,"*bonus*",'Dept. Cost Actuals'!X$877:X$1046))</f>
        <v>29892.83</v>
      </c>
      <c r="U16" s="668">
        <f>IF(U$4="forecast",IF(YEAR(U$3)=YEAR(Headcount!$N$4),IF((U$5&lt;12),(SUMPRODUCT(--(Headcount!$F$6:$F$92="Sales"),--(Headcount!$H$6:$H$92&gt;=Sales!U$3),Headcount!$N$6:$N$92,Headcount!$L$6:$L$92)/12),0),IF(YEAR(U$3)=YEAR(Headcount!$O$4),IF((U$5&lt;=12),(SUMPRODUCT(--(Headcount!$F$6:$F$92="Sales"),--(Headcount!$H$6:$H$92&gt;=Sales!U$3),Headcount!$O$6:$O$92,Headcount!$L$6:$L$92)/12),0),IF(YEAR(U$3)=YEAR(Headcount!$P$4),IF((U$5&lt;=12),(SUMPRODUCT(--(Headcount!$F$6:$F$92="Sales"),--(Headcount!$H$6:$H$92&gt;=Sales!U$3),Headcount!$P$6:$P$92,Headcount!$L$6:$L$92)/12),0),IF(YEAR(U$3)=YEAR(Headcount!$Q$4),IF((U$5&lt;=12),(SUMPRODUCT(--(Headcount!$F$6:$F$92="Sales"),--(Headcount!$H$6:$H$92&gt;=Sales!U$3),Headcount!$Q$6:$Q$92,Headcount!$L$6:$L$92)/12),0),IF(YEAR(U$3)=YEAR(Headcount!$R$4),IF((U$5&lt;=12),(SUMPRODUCT(--(Headcount!$F$6:$F$92="Sales"),--(Headcount!$H$6:$H$92&gt;=Sales!U$3),Headcount!$R$6:$R$92,Headcount!$L$6:$L$92)/12),0),"New Year"))))),SUMIF('Dept. Cost Actuals'!$E$7:$E$176,"*bonus*",'Dept. Cost Actuals'!Y$877:Y$1046))</f>
        <v>29892.83</v>
      </c>
      <c r="V16" s="668">
        <f>IF(V$4="forecast",IF(YEAR(V$3)=YEAR(Headcount!$N$4),IF((V$5&lt;12),(SUMPRODUCT(--(Headcount!$F$6:$F$92="Sales"),--(Headcount!$H$6:$H$92&gt;=Sales!V$3),Headcount!$N$6:$N$92,Headcount!$L$6:$L$92)/12),0),IF(YEAR(V$3)=YEAR(Headcount!$O$4),IF((V$5&lt;=12),(SUMPRODUCT(--(Headcount!$F$6:$F$92="Sales"),--(Headcount!$H$6:$H$92&gt;=Sales!V$3),Headcount!$O$6:$O$92,Headcount!$L$6:$L$92)/12),0),IF(YEAR(V$3)=YEAR(Headcount!$P$4),IF((V$5&lt;=12),(SUMPRODUCT(--(Headcount!$F$6:$F$92="Sales"),--(Headcount!$H$6:$H$92&gt;=Sales!V$3),Headcount!$P$6:$P$92,Headcount!$L$6:$L$92)/12),0),IF(YEAR(V$3)=YEAR(Headcount!$Q$4),IF((V$5&lt;=12),(SUMPRODUCT(--(Headcount!$F$6:$F$92="Sales"),--(Headcount!$H$6:$H$92&gt;=Sales!V$3),Headcount!$Q$6:$Q$92,Headcount!$L$6:$L$92)/12),0),IF(YEAR(V$3)=YEAR(Headcount!$R$4),IF((V$5&lt;=12),(SUMPRODUCT(--(Headcount!$F$6:$F$92="Sales"),--(Headcount!$H$6:$H$92&gt;=Sales!V$3),Headcount!$R$6:$R$92,Headcount!$L$6:$L$92)/12),0),"New Year"))))),SUMIF('Dept. Cost Actuals'!$E$7:$E$176,"*bonus*",'Dept. Cost Actuals'!Z$877:Z$1046))</f>
        <v>29892.83</v>
      </c>
      <c r="W16" s="668">
        <f>IF(W$4="forecast",IF(YEAR(W$3)=YEAR(Headcount!$N$4),IF((W$5&lt;12),(SUMPRODUCT(--(Headcount!$F$6:$F$92="Sales"),--(Headcount!$H$6:$H$92&gt;=Sales!W$3),Headcount!$N$6:$N$92,Headcount!$L$6:$L$92)/12),0),IF(YEAR(W$3)=YEAR(Headcount!$O$4),IF((W$5&lt;=12),(SUMPRODUCT(--(Headcount!$F$6:$F$92="Sales"),--(Headcount!$H$6:$H$92&gt;=Sales!W$3),Headcount!$O$6:$O$92,Headcount!$L$6:$L$92)/12),0),IF(YEAR(W$3)=YEAR(Headcount!$P$4),IF((W$5&lt;=12),(SUMPRODUCT(--(Headcount!$F$6:$F$92="Sales"),--(Headcount!$H$6:$H$92&gt;=Sales!W$3),Headcount!$P$6:$P$92,Headcount!$L$6:$L$92)/12),0),IF(YEAR(W$3)=YEAR(Headcount!$Q$4),IF((W$5&lt;=12),(SUMPRODUCT(--(Headcount!$F$6:$F$92="Sales"),--(Headcount!$H$6:$H$92&gt;=Sales!W$3),Headcount!$Q$6:$Q$92,Headcount!$L$6:$L$92)/12),0),IF(YEAR(W$3)=YEAR(Headcount!$R$4),IF((W$5&lt;=12),(SUMPRODUCT(--(Headcount!$F$6:$F$92="Sales"),--(Headcount!$H$6:$H$92&gt;=Sales!W$3),Headcount!$R$6:$R$92,Headcount!$L$6:$L$92)/12),0),"New Year"))))),SUMIF('Dept. Cost Actuals'!$E$7:$E$176,"*bonus*",'Dept. Cost Actuals'!AA$877:AA$1046))</f>
        <v>30137.82</v>
      </c>
      <c r="X16" s="668">
        <f>IF(X$4="forecast",IF(YEAR(X$3)=YEAR(Headcount!$N$4),IF((X$5&lt;12),(SUMPRODUCT(--(Headcount!$F$6:$F$92="Sales"),--(Headcount!$H$6:$H$92&gt;=Sales!X$3),Headcount!$N$6:$N$92,Headcount!$L$6:$L$92)/12),0),IF(YEAR(X$3)=YEAR(Headcount!$O$4),IF((X$5&lt;=12),(SUMPRODUCT(--(Headcount!$F$6:$F$92="Sales"),--(Headcount!$H$6:$H$92&gt;=Sales!X$3),Headcount!$O$6:$O$92,Headcount!$L$6:$L$92)/12),0),IF(YEAR(X$3)=YEAR(Headcount!$P$4),IF((X$5&lt;=12),(SUMPRODUCT(--(Headcount!$F$6:$F$92="Sales"),--(Headcount!$H$6:$H$92&gt;=Sales!X$3),Headcount!$P$6:$P$92,Headcount!$L$6:$L$92)/12),0),IF(YEAR(X$3)=YEAR(Headcount!$Q$4),IF((X$5&lt;=12),(SUMPRODUCT(--(Headcount!$F$6:$F$92="Sales"),--(Headcount!$H$6:$H$92&gt;=Sales!X$3),Headcount!$Q$6:$Q$92,Headcount!$L$6:$L$92)/12),0),IF(YEAR(X$3)=YEAR(Headcount!$R$4),IF((X$5&lt;=12),(SUMPRODUCT(--(Headcount!$F$6:$F$92="Sales"),--(Headcount!$H$6:$H$92&gt;=Sales!X$3),Headcount!$R$6:$R$92,Headcount!$L$6:$L$92)/12),0),"New Year"))))),SUMIF('Dept. Cost Actuals'!$E$7:$E$176,"*bonus*",'Dept. Cost Actuals'!AB$877:AB$1046))</f>
        <v>29892.83</v>
      </c>
      <c r="Y16" s="668">
        <f>IF(Y$4="forecast",IF(YEAR(Y$3)=YEAR(Headcount!$N$4),IF((Y$5&lt;12),(SUMPRODUCT(--(Headcount!$F$6:$F$92="Sales"),--(Headcount!$H$6:$H$92&gt;=Sales!Y$3),Headcount!$N$6:$N$92,Headcount!$L$6:$L$92)/12),0),IF(YEAR(Y$3)=YEAR(Headcount!$O$4),IF((Y$5&lt;=12),(SUMPRODUCT(--(Headcount!$F$6:$F$92="Sales"),--(Headcount!$H$6:$H$92&gt;=Sales!Y$3),Headcount!$O$6:$O$92,Headcount!$L$6:$L$92)/12),0),IF(YEAR(Y$3)=YEAR(Headcount!$P$4),IF((Y$5&lt;=12),(SUMPRODUCT(--(Headcount!$F$6:$F$92="Sales"),--(Headcount!$H$6:$H$92&gt;=Sales!Y$3),Headcount!$P$6:$P$92,Headcount!$L$6:$L$92)/12),0),IF(YEAR(Y$3)=YEAR(Headcount!$Q$4),IF((Y$5&lt;=12),(SUMPRODUCT(--(Headcount!$F$6:$F$92="Sales"),--(Headcount!$H$6:$H$92&gt;=Sales!Y$3),Headcount!$Q$6:$Q$92,Headcount!$L$6:$L$92)/12),0),IF(YEAR(Y$3)=YEAR(Headcount!$R$4),IF((Y$5&lt;=12),(SUMPRODUCT(--(Headcount!$F$6:$F$92="Sales"),--(Headcount!$H$6:$H$92&gt;=Sales!Y$3),Headcount!$R$6:$R$92,Headcount!$L$6:$L$92)/12),0),"New Year"))))),SUMIF('Dept. Cost Actuals'!$E$7:$E$176,"*bonus*",'Dept. Cost Actuals'!AC$877:AC$1046))</f>
        <v>29892.83</v>
      </c>
      <c r="Z16" s="668">
        <f>IF(Z$4="forecast",IF(YEAR(Z$3)=YEAR(Headcount!$N$4),IF((Z$5&lt;12),(SUMPRODUCT(--(Headcount!$F$6:$F$92="Sales"),--(Headcount!$H$6:$H$92&gt;=Sales!Z$3),Headcount!$N$6:$N$92,Headcount!$L$6:$L$92)/12),0),IF(YEAR(Z$3)=YEAR(Headcount!$O$4),IF((Z$5&lt;=12),(SUMPRODUCT(--(Headcount!$F$6:$F$92="Sales"),--(Headcount!$H$6:$H$92&gt;=Sales!Z$3),Headcount!$O$6:$O$92,Headcount!$L$6:$L$92)/12),0),IF(YEAR(Z$3)=YEAR(Headcount!$P$4),IF((Z$5&lt;=12),(SUMPRODUCT(--(Headcount!$F$6:$F$92="Sales"),--(Headcount!$H$6:$H$92&gt;=Sales!Z$3),Headcount!$P$6:$P$92,Headcount!$L$6:$L$92)/12),0),IF(YEAR(Z$3)=YEAR(Headcount!$Q$4),IF((Z$5&lt;=12),(SUMPRODUCT(--(Headcount!$F$6:$F$92="Sales"),--(Headcount!$H$6:$H$92&gt;=Sales!Z$3),Headcount!$Q$6:$Q$92,Headcount!$L$6:$L$92)/12),0),IF(YEAR(Z$3)=YEAR(Headcount!$R$4),IF((Z$5&lt;=12),(SUMPRODUCT(--(Headcount!$F$6:$F$92="Sales"),--(Headcount!$H$6:$H$92&gt;=Sales!Z$3),Headcount!$R$6:$R$92,Headcount!$L$6:$L$92)/12),0),"New Year"))))),SUMIF('Dept. Cost Actuals'!$E$7:$E$176,"*bonus*",'Dept. Cost Actuals'!AD$877:AD$1046))</f>
        <v>-51357.13</v>
      </c>
      <c r="AA16" s="668">
        <f>IF(AA$4="forecast",IF(YEAR(AA$3)=YEAR(Headcount!$N$4),IF((AA$5&lt;12),(SUMPRODUCT(--(Headcount!$F$6:$F$92="Sales"),--(Headcount!$H$6:$H$92&gt;=Sales!AA$3),Headcount!$N$6:$N$92,Headcount!$L$6:$L$92)/12),0),IF(YEAR(AA$3)=YEAR(Headcount!$O$4),IF((AA$5&lt;=12),(SUMPRODUCT(--(Headcount!$F$6:$F$92="Sales"),--(Headcount!$H$6:$H$92&gt;=Sales!AA$3),Headcount!$O$6:$O$92,Headcount!$L$6:$L$92)/12),0),IF(YEAR(AA$3)=YEAR(Headcount!$P$4),IF((AA$5&lt;=12),(SUMPRODUCT(--(Headcount!$F$6:$F$92="Sales"),--(Headcount!$H$6:$H$92&gt;=Sales!AA$3),Headcount!$P$6:$P$92,Headcount!$L$6:$L$92)/12),0),IF(YEAR(AA$3)=YEAR(Headcount!$Q$4),IF((AA$5&lt;=12),(SUMPRODUCT(--(Headcount!$F$6:$F$92="Sales"),--(Headcount!$H$6:$H$92&gt;=Sales!AA$3),Headcount!$Q$6:$Q$92,Headcount!$L$6:$L$92)/12),0),IF(YEAR(AA$3)=YEAR(Headcount!$R$4),IF((AA$5&lt;=12),(SUMPRODUCT(--(Headcount!$F$6:$F$92="Sales"),--(Headcount!$H$6:$H$92&gt;=Sales!AA$3),Headcount!$R$6:$R$92,Headcount!$L$6:$L$92)/12),0),"New Year"))))),SUMIF('Dept. Cost Actuals'!$E$7:$E$176,"*bonus*",'Dept. Cost Actuals'!AE$877:AE$1046))</f>
        <v>33333.32</v>
      </c>
      <c r="AB16" s="668">
        <f>IF(AB$4="forecast",IF(YEAR(AB$3)=YEAR(Headcount!$N$4),IF((AB$5&lt;12),(SUMPRODUCT(--(Headcount!$F$6:$F$92="Sales"),--(Headcount!$H$6:$H$92&gt;=Sales!AB$3),Headcount!$N$6:$N$92,Headcount!$L$6:$L$92)/12),0),IF(YEAR(AB$3)=YEAR(Headcount!$O$4),IF((AB$5&lt;=12),(SUMPRODUCT(--(Headcount!$F$6:$F$92="Sales"),--(Headcount!$H$6:$H$92&gt;=Sales!AB$3),Headcount!$O$6:$O$92,Headcount!$L$6:$L$92)/12),0),IF(YEAR(AB$3)=YEAR(Headcount!$P$4),IF((AB$5&lt;=12),(SUMPRODUCT(--(Headcount!$F$6:$F$92="Sales"),--(Headcount!$H$6:$H$92&gt;=Sales!AB$3),Headcount!$P$6:$P$92,Headcount!$L$6:$L$92)/12),0),IF(YEAR(AB$3)=YEAR(Headcount!$Q$4),IF((AB$5&lt;=12),(SUMPRODUCT(--(Headcount!$F$6:$F$92="Sales"),--(Headcount!$H$6:$H$92&gt;=Sales!AB$3),Headcount!$Q$6:$Q$92,Headcount!$L$6:$L$92)/12),0),IF(YEAR(AB$3)=YEAR(Headcount!$R$4),IF((AB$5&lt;=12),(SUMPRODUCT(--(Headcount!$F$6:$F$92="Sales"),--(Headcount!$H$6:$H$92&gt;=Sales!AB$3),Headcount!$R$6:$R$92,Headcount!$L$6:$L$92)/12),0),"New Year"))))),SUMIF('Dept. Cost Actuals'!$E$7:$E$176,"*bonus*",'Dept. Cost Actuals'!AF$877:AF$1046))</f>
        <v>33333.32</v>
      </c>
      <c r="AC16" s="668">
        <f>IF(AC$4="forecast",IF(YEAR(AC$3)=YEAR(Headcount!$N$4),IF((AC$5&lt;12),(SUMPRODUCT(--(Headcount!$F$6:$F$92="Sales"),--(Headcount!$H$6:$H$92&gt;=Sales!AC$3),Headcount!$N$6:$N$92,Headcount!$L$6:$L$92)/12),0),IF(YEAR(AC$3)=YEAR(Headcount!$O$4),IF((AC$5&lt;=12),(SUMPRODUCT(--(Headcount!$F$6:$F$92="Sales"),--(Headcount!$H$6:$H$92&gt;=Sales!AC$3),Headcount!$O$6:$O$92,Headcount!$L$6:$L$92)/12),0),IF(YEAR(AC$3)=YEAR(Headcount!$P$4),IF((AC$5&lt;=12),(SUMPRODUCT(--(Headcount!$F$6:$F$92="Sales"),--(Headcount!$H$6:$H$92&gt;=Sales!AC$3),Headcount!$P$6:$P$92,Headcount!$L$6:$L$92)/12),0),IF(YEAR(AC$3)=YEAR(Headcount!$Q$4),IF((AC$5&lt;=12),(SUMPRODUCT(--(Headcount!$F$6:$F$92="Sales"),--(Headcount!$H$6:$H$92&gt;=Sales!AC$3),Headcount!$Q$6:$Q$92,Headcount!$L$6:$L$92)/12),0),IF(YEAR(AC$3)=YEAR(Headcount!$R$4),IF((AC$5&lt;=12),(SUMPRODUCT(--(Headcount!$F$6:$F$92="Sales"),--(Headcount!$H$6:$H$92&gt;=Sales!AC$3),Headcount!$R$6:$R$92,Headcount!$L$6:$L$92)/12),0),"New Year"))))),SUMIF('Dept. Cost Actuals'!$E$7:$E$176,"*bonus*",'Dept. Cost Actuals'!AG$877:AG$1046))</f>
        <v>8333.33</v>
      </c>
      <c r="AD16" s="668">
        <f>IF(AD$4="forecast",IF(YEAR(AD$3)=YEAR(Headcount!$N$4),IF((AD$5&lt;12),(SUMPRODUCT(--(Headcount!$F$6:$F$92="Sales"),--(Headcount!$H$6:$H$92&gt;=Sales!AD$3),Headcount!$N$6:$N$92,Headcount!$L$6:$L$92)/12),0),IF(YEAR(AD$3)=YEAR(Headcount!$O$4),IF((AD$5&lt;=12),(SUMPRODUCT(--(Headcount!$F$6:$F$92="Sales"),--(Headcount!$H$6:$H$92&gt;=Sales!AD$3),Headcount!$O$6:$O$92,Headcount!$L$6:$L$92)/12),0),IF(YEAR(AD$3)=YEAR(Headcount!$P$4),IF((AD$5&lt;=12),(SUMPRODUCT(--(Headcount!$F$6:$F$92="Sales"),--(Headcount!$H$6:$H$92&gt;=Sales!AD$3),Headcount!$P$6:$P$92,Headcount!$L$6:$L$92)/12),0),IF(YEAR(AD$3)=YEAR(Headcount!$Q$4),IF((AD$5&lt;=12),(SUMPRODUCT(--(Headcount!$F$6:$F$92="Sales"),--(Headcount!$H$6:$H$92&gt;=Sales!AD$3),Headcount!$Q$6:$Q$92,Headcount!$L$6:$L$92)/12),0),IF(YEAR(AD$3)=YEAR(Headcount!$R$4),IF((AD$5&lt;=12),(SUMPRODUCT(--(Headcount!$F$6:$F$92="Sales"),--(Headcount!$H$6:$H$92&gt;=Sales!AD$3),Headcount!$R$6:$R$92,Headcount!$L$6:$L$92)/12),0),"New Year"))))),SUMIF('Dept. Cost Actuals'!$E$7:$E$176,"*bonus*",'Dept. Cost Actuals'!AH$877:AH$1046))</f>
        <v>19070.833499999997</v>
      </c>
      <c r="AE16" s="668">
        <f>IF(AE$4="forecast",IF(YEAR(AE$3)=YEAR(Headcount!$N$4),IF((AE$5&lt;12),(SUMPRODUCT(--(Headcount!$F$6:$F$92="Sales"),--(Headcount!$H$6:$H$92&gt;=Sales!AE$3),Headcount!$N$6:$N$92,Headcount!$L$6:$L$92)/12),0),IF(YEAR(AE$3)=YEAR(Headcount!$O$4),IF((AE$5&lt;=12),(SUMPRODUCT(--(Headcount!$F$6:$F$92="Sales"),--(Headcount!$H$6:$H$92&gt;=Sales!AE$3),Headcount!$O$6:$O$92,Headcount!$L$6:$L$92)/12),0),IF(YEAR(AE$3)=YEAR(Headcount!$P$4),IF((AE$5&lt;=12),(SUMPRODUCT(--(Headcount!$F$6:$F$92="Sales"),--(Headcount!$H$6:$H$92&gt;=Sales!AE$3),Headcount!$P$6:$P$92,Headcount!$L$6:$L$92)/12),0),IF(YEAR(AE$3)=YEAR(Headcount!$Q$4),IF((AE$5&lt;=12),(SUMPRODUCT(--(Headcount!$F$6:$F$92="Sales"),--(Headcount!$H$6:$H$92&gt;=Sales!AE$3),Headcount!$Q$6:$Q$92,Headcount!$L$6:$L$92)/12),0),IF(YEAR(AE$3)=YEAR(Headcount!$R$4),IF((AE$5&lt;=12),(SUMPRODUCT(--(Headcount!$F$6:$F$92="Sales"),--(Headcount!$H$6:$H$92&gt;=Sales!AE$3),Headcount!$R$6:$R$92,Headcount!$L$6:$L$92)/12),0),"New Year"))))),SUMIF('Dept. Cost Actuals'!$E$7:$E$176,"*bonus*",'Dept. Cost Actuals'!AI$877:AI$1046))</f>
        <v>19070.833499999997</v>
      </c>
      <c r="AF16" s="668">
        <f>IF(AF$4="forecast",IF(YEAR(AF$3)=YEAR(Headcount!$N$4),IF((AF$5&lt;12),(SUMPRODUCT(--(Headcount!$F$6:$F$92="Sales"),--(Headcount!$H$6:$H$92&gt;=Sales!AF$3),Headcount!$N$6:$N$92,Headcount!$L$6:$L$92)/12),0),IF(YEAR(AF$3)=YEAR(Headcount!$O$4),IF((AF$5&lt;=12),(SUMPRODUCT(--(Headcount!$F$6:$F$92="Sales"),--(Headcount!$H$6:$H$92&gt;=Sales!AF$3),Headcount!$O$6:$O$92,Headcount!$L$6:$L$92)/12),0),IF(YEAR(AF$3)=YEAR(Headcount!$P$4),IF((AF$5&lt;=12),(SUMPRODUCT(--(Headcount!$F$6:$F$92="Sales"),--(Headcount!$H$6:$H$92&gt;=Sales!AF$3),Headcount!$P$6:$P$92,Headcount!$L$6:$L$92)/12),0),IF(YEAR(AF$3)=YEAR(Headcount!$Q$4),IF((AF$5&lt;=12),(SUMPRODUCT(--(Headcount!$F$6:$F$92="Sales"),--(Headcount!$H$6:$H$92&gt;=Sales!AF$3),Headcount!$Q$6:$Q$92,Headcount!$L$6:$L$92)/12),0),IF(YEAR(AF$3)=YEAR(Headcount!$R$4),IF((AF$5&lt;=12),(SUMPRODUCT(--(Headcount!$F$6:$F$92="Sales"),--(Headcount!$H$6:$H$92&gt;=Sales!AF$3),Headcount!$R$6:$R$92,Headcount!$L$6:$L$92)/12),0),"New Year"))))),SUMIF('Dept. Cost Actuals'!$E$7:$E$176,"*bonus*",'Dept. Cost Actuals'!AJ$877:AJ$1046))</f>
        <v>19070.833499999997</v>
      </c>
      <c r="AG16" s="668">
        <f>IF(AG$4="forecast",IF(YEAR(AG$3)=YEAR(Headcount!$N$4),IF((AG$5&lt;12),(SUMPRODUCT(--(Headcount!$F$6:$F$92="Sales"),--(Headcount!$H$6:$H$92&gt;=Sales!AG$3),Headcount!$N$6:$N$92,Headcount!$L$6:$L$92)/12),0),IF(YEAR(AG$3)=YEAR(Headcount!$O$4),IF((AG$5&lt;=12),(SUMPRODUCT(--(Headcount!$F$6:$F$92="Sales"),--(Headcount!$H$6:$H$92&gt;=Sales!AG$3),Headcount!$O$6:$O$92,Headcount!$L$6:$L$92)/12),0),IF(YEAR(AG$3)=YEAR(Headcount!$P$4),IF((AG$5&lt;=12),(SUMPRODUCT(--(Headcount!$F$6:$F$92="Sales"),--(Headcount!$H$6:$H$92&gt;=Sales!AG$3),Headcount!$P$6:$P$92,Headcount!$L$6:$L$92)/12),0),IF(YEAR(AG$3)=YEAR(Headcount!$Q$4),IF((AG$5&lt;=12),(SUMPRODUCT(--(Headcount!$F$6:$F$92="Sales"),--(Headcount!$H$6:$H$92&gt;=Sales!AG$3),Headcount!$Q$6:$Q$92,Headcount!$L$6:$L$92)/12),0),IF(YEAR(AG$3)=YEAR(Headcount!$R$4),IF((AG$5&lt;=12),(SUMPRODUCT(--(Headcount!$F$6:$F$92="Sales"),--(Headcount!$H$6:$H$92&gt;=Sales!AG$3),Headcount!$R$6:$R$92,Headcount!$L$6:$L$92)/12),0),"New Year"))))),SUMIF('Dept. Cost Actuals'!$E$7:$E$176,"*bonus*",'Dept. Cost Actuals'!AK$877:AK$1046))</f>
        <v>19070.833499999997</v>
      </c>
      <c r="AH16" s="668">
        <f>IF(AH$4="forecast",IF(YEAR(AH$3)=YEAR(Headcount!$N$4),IF((AH$5&lt;12),(SUMPRODUCT(--(Headcount!$F$6:$F$92="Sales"),--(Headcount!$H$6:$H$92&gt;=Sales!AH$3),Headcount!$N$6:$N$92,Headcount!$L$6:$L$92)/12),0),IF(YEAR(AH$3)=YEAR(Headcount!$O$4),IF((AH$5&lt;=12),(SUMPRODUCT(--(Headcount!$F$6:$F$92="Sales"),--(Headcount!$H$6:$H$92&gt;=Sales!AH$3),Headcount!$O$6:$O$92,Headcount!$L$6:$L$92)/12),0),IF(YEAR(AH$3)=YEAR(Headcount!$P$4),IF((AH$5&lt;=12),(SUMPRODUCT(--(Headcount!$F$6:$F$92="Sales"),--(Headcount!$H$6:$H$92&gt;=Sales!AH$3),Headcount!$P$6:$P$92,Headcount!$L$6:$L$92)/12),0),IF(YEAR(AH$3)=YEAR(Headcount!$Q$4),IF((AH$5&lt;=12),(SUMPRODUCT(--(Headcount!$F$6:$F$92="Sales"),--(Headcount!$H$6:$H$92&gt;=Sales!AH$3),Headcount!$Q$6:$Q$92,Headcount!$L$6:$L$92)/12),0),IF(YEAR(AH$3)=YEAR(Headcount!$R$4),IF((AH$5&lt;=12),(SUMPRODUCT(--(Headcount!$F$6:$F$92="Sales"),--(Headcount!$H$6:$H$92&gt;=Sales!AH$3),Headcount!$R$6:$R$92,Headcount!$L$6:$L$92)/12),0),"New Year"))))),SUMIF('Dept. Cost Actuals'!$E$7:$E$176,"*bonus*",'Dept. Cost Actuals'!AL$877:AL$1046))</f>
        <v>19070.833499999997</v>
      </c>
      <c r="AI16" s="668">
        <f>IF(AI$4="forecast",IF(YEAR(AI$3)=YEAR(Headcount!$N$4),IF((AI$5&lt;12),(SUMPRODUCT(--(Headcount!$F$6:$F$92="Sales"),--(Headcount!$H$6:$H$92&gt;=Sales!AI$3),Headcount!$N$6:$N$92,Headcount!$L$6:$L$92)/12),0),IF(YEAR(AI$3)=YEAR(Headcount!$O$4),IF((AI$5&lt;=12),(SUMPRODUCT(--(Headcount!$F$6:$F$92="Sales"),--(Headcount!$H$6:$H$92&gt;=Sales!AI$3),Headcount!$O$6:$O$92,Headcount!$L$6:$L$92)/12),0),IF(YEAR(AI$3)=YEAR(Headcount!$P$4),IF((AI$5&lt;=12),(SUMPRODUCT(--(Headcount!$F$6:$F$92="Sales"),--(Headcount!$H$6:$H$92&gt;=Sales!AI$3),Headcount!$P$6:$P$92,Headcount!$L$6:$L$92)/12),0),IF(YEAR(AI$3)=YEAR(Headcount!$Q$4),IF((AI$5&lt;=12),(SUMPRODUCT(--(Headcount!$F$6:$F$92="Sales"),--(Headcount!$H$6:$H$92&gt;=Sales!AI$3),Headcount!$Q$6:$Q$92,Headcount!$L$6:$L$92)/12),0),IF(YEAR(AI$3)=YEAR(Headcount!$R$4),IF((AI$5&lt;=12),(SUMPRODUCT(--(Headcount!$F$6:$F$92="Sales"),--(Headcount!$H$6:$H$92&gt;=Sales!AI$3),Headcount!$R$6:$R$92,Headcount!$L$6:$L$92)/12),0),"New Year"))))),SUMIF('Dept. Cost Actuals'!$E$7:$E$176,"*bonus*",'Dept. Cost Actuals'!AM$877:AM$1046))</f>
        <v>19070.833499999997</v>
      </c>
      <c r="AJ16" s="668">
        <f>IF(AJ$4="forecast",IF(YEAR(AJ$3)=YEAR(Headcount!$N$4),IF((AJ$5&lt;12),(SUMPRODUCT(--(Headcount!$F$6:$F$92="Sales"),--(Headcount!$H$6:$H$92&gt;=Sales!AJ$3),Headcount!$N$6:$N$92,Headcount!$L$6:$L$92)/12),0),IF(YEAR(AJ$3)=YEAR(Headcount!$O$4),IF((AJ$5&lt;=12),(SUMPRODUCT(--(Headcount!$F$6:$F$92="Sales"),--(Headcount!$H$6:$H$92&gt;=Sales!AJ$3),Headcount!$O$6:$O$92,Headcount!$L$6:$L$92)/12),0),IF(YEAR(AJ$3)=YEAR(Headcount!$P$4),IF((AJ$5&lt;=12),(SUMPRODUCT(--(Headcount!$F$6:$F$92="Sales"),--(Headcount!$H$6:$H$92&gt;=Sales!AJ$3),Headcount!$P$6:$P$92,Headcount!$L$6:$L$92)/12),0),IF(YEAR(AJ$3)=YEAR(Headcount!$Q$4),IF((AJ$5&lt;=12),(SUMPRODUCT(--(Headcount!$F$6:$F$92="Sales"),--(Headcount!$H$6:$H$92&gt;=Sales!AJ$3),Headcount!$Q$6:$Q$92,Headcount!$L$6:$L$92)/12),0),IF(YEAR(AJ$3)=YEAR(Headcount!$R$4),IF((AJ$5&lt;=12),(SUMPRODUCT(--(Headcount!$F$6:$F$92="Sales"),--(Headcount!$H$6:$H$92&gt;=Sales!AJ$3),Headcount!$R$6:$R$92,Headcount!$L$6:$L$92)/12),0),"New Year"))))),SUMIF('Dept. Cost Actuals'!$E$7:$E$176,"*bonus*",'Dept. Cost Actuals'!AN$877:AN$1046))</f>
        <v>19070.833499999997</v>
      </c>
      <c r="AK16" s="668">
        <f>IF(AK$4="forecast",IF(YEAR(AK$3)=YEAR(Headcount!$N$4),IF((AK$5&lt;12),(SUMPRODUCT(--(Headcount!$F$6:$F$92="Sales"),--(Headcount!$H$6:$H$92&gt;=Sales!AK$3),Headcount!$N$6:$N$92,Headcount!$L$6:$L$92)/12),0),IF(YEAR(AK$3)=YEAR(Headcount!$O$4),IF((AK$5&lt;=12),(SUMPRODUCT(--(Headcount!$F$6:$F$92="Sales"),--(Headcount!$H$6:$H$92&gt;=Sales!AK$3),Headcount!$O$6:$O$92,Headcount!$L$6:$L$92)/12),0),IF(YEAR(AK$3)=YEAR(Headcount!$P$4),IF((AK$5&lt;=12),(SUMPRODUCT(--(Headcount!$F$6:$F$92="Sales"),--(Headcount!$H$6:$H$92&gt;=Sales!AK$3),Headcount!$P$6:$P$92,Headcount!$L$6:$L$92)/12),0),IF(YEAR(AK$3)=YEAR(Headcount!$Q$4),IF((AK$5&lt;=12),(SUMPRODUCT(--(Headcount!$F$6:$F$92="Sales"),--(Headcount!$H$6:$H$92&gt;=Sales!AK$3),Headcount!$Q$6:$Q$92,Headcount!$L$6:$L$92)/12),0),IF(YEAR(AK$3)=YEAR(Headcount!$R$4),IF((AK$5&lt;=12),(SUMPRODUCT(--(Headcount!$F$6:$F$92="Sales"),--(Headcount!$H$6:$H$92&gt;=Sales!AK$3),Headcount!$R$6:$R$92,Headcount!$L$6:$L$92)/12),0),"New Year"))))),SUMIF('Dept. Cost Actuals'!$E$7:$E$176,"*bonus*",'Dept. Cost Actuals'!AO$877:AO$1046))</f>
        <v>19070.833499999997</v>
      </c>
      <c r="AL16" s="668">
        <f>IF(AL$4="forecast",IF(YEAR(AL$3)=YEAR(Headcount!$N$4),IF((AL$5&lt;12),(SUMPRODUCT(--(Headcount!$F$6:$F$92="Sales"),--(Headcount!$H$6:$H$92&gt;=Sales!AL$3),Headcount!$N$6:$N$92,Headcount!$L$6:$L$92)/12),0),IF(YEAR(AL$3)=YEAR(Headcount!$O$4),IF((AL$5&lt;=12),(SUMPRODUCT(--(Headcount!$F$6:$F$92="Sales"),--(Headcount!$H$6:$H$92&gt;=Sales!AL$3),Headcount!$O$6:$O$92,Headcount!$L$6:$L$92)/12),0),IF(YEAR(AL$3)=YEAR(Headcount!$P$4),IF((AL$5&lt;=12),(SUMPRODUCT(--(Headcount!$F$6:$F$92="Sales"),--(Headcount!$H$6:$H$92&gt;=Sales!AL$3),Headcount!$P$6:$P$92,Headcount!$L$6:$L$92)/12),0),IF(YEAR(AL$3)=YEAR(Headcount!$Q$4),IF((AL$5&lt;=12),(SUMPRODUCT(--(Headcount!$F$6:$F$92="Sales"),--(Headcount!$H$6:$H$92&gt;=Sales!AL$3),Headcount!$Q$6:$Q$92,Headcount!$L$6:$L$92)/12),0),IF(YEAR(AL$3)=YEAR(Headcount!$R$4),IF((AL$5&lt;=12),(SUMPRODUCT(--(Headcount!$F$6:$F$92="Sales"),--(Headcount!$H$6:$H$92&gt;=Sales!AL$3),Headcount!$R$6:$R$92,Headcount!$L$6:$L$92)/12),0),"New Year"))))),SUMIF('Dept. Cost Actuals'!$E$7:$E$176,"*bonus*",'Dept. Cost Actuals'!AP$877:AP$1046))</f>
        <v>19070.833499999997</v>
      </c>
      <c r="AM16" s="668">
        <f>IF(AM$4="forecast",IF(YEAR(AM$3)=YEAR(Headcount!$N$4),IF((AM$5&lt;12),(SUMPRODUCT(--(Headcount!$F$6:$F$92="Sales"),--(Headcount!$H$6:$H$92&gt;=Sales!AM$3),Headcount!$N$6:$N$92,Headcount!$L$6:$L$92)/12),0),IF(YEAR(AM$3)=YEAR(Headcount!$O$4),IF((AM$5&lt;=12),(SUMPRODUCT(--(Headcount!$F$6:$F$92="Sales"),--(Headcount!$H$6:$H$92&gt;=Sales!AM$3),Headcount!$O$6:$O$92,Headcount!$L$6:$L$92)/12),0),IF(YEAR(AM$3)=YEAR(Headcount!$P$4),IF((AM$5&lt;=12),(SUMPRODUCT(--(Headcount!$F$6:$F$92="Sales"),--(Headcount!$H$6:$H$92&gt;=Sales!AM$3),Headcount!$P$6:$P$92,Headcount!$L$6:$L$92)/12),0),IF(YEAR(AM$3)=YEAR(Headcount!$Q$4),IF((AM$5&lt;=12),(SUMPRODUCT(--(Headcount!$F$6:$F$92="Sales"),--(Headcount!$H$6:$H$92&gt;=Sales!AM$3),Headcount!$Q$6:$Q$92,Headcount!$L$6:$L$92)/12),0),IF(YEAR(AM$3)=YEAR(Headcount!$R$4),IF((AM$5&lt;=12),(SUMPRODUCT(--(Headcount!$F$6:$F$92="Sales"),--(Headcount!$H$6:$H$92&gt;=Sales!AM$3),Headcount!$R$6:$R$92,Headcount!$L$6:$L$92)/12),0),"New Year"))))),SUMIF('Dept. Cost Actuals'!$E$7:$E$176,"*bonus*",'Dept. Cost Actuals'!AQ$877:AQ$1046))</f>
        <v>19642.958504999999</v>
      </c>
      <c r="AN16" s="668">
        <f>IF(AN$4="forecast",IF(YEAR(AN$3)=YEAR(Headcount!$N$4),IF((AN$5&lt;12),(SUMPRODUCT(--(Headcount!$F$6:$F$92="Sales"),--(Headcount!$H$6:$H$92&gt;=Sales!AN$3),Headcount!$N$6:$N$92,Headcount!$L$6:$L$92)/12),0),IF(YEAR(AN$3)=YEAR(Headcount!$O$4),IF((AN$5&lt;=12),(SUMPRODUCT(--(Headcount!$F$6:$F$92="Sales"),--(Headcount!$H$6:$H$92&gt;=Sales!AN$3),Headcount!$O$6:$O$92,Headcount!$L$6:$L$92)/12),0),IF(YEAR(AN$3)=YEAR(Headcount!$P$4),IF((AN$5&lt;=12),(SUMPRODUCT(--(Headcount!$F$6:$F$92="Sales"),--(Headcount!$H$6:$H$92&gt;=Sales!AN$3),Headcount!$P$6:$P$92,Headcount!$L$6:$L$92)/12),0),IF(YEAR(AN$3)=YEAR(Headcount!$Q$4),IF((AN$5&lt;=12),(SUMPRODUCT(--(Headcount!$F$6:$F$92="Sales"),--(Headcount!$H$6:$H$92&gt;=Sales!AN$3),Headcount!$Q$6:$Q$92,Headcount!$L$6:$L$92)/12),0),IF(YEAR(AN$3)=YEAR(Headcount!$R$4),IF((AN$5&lt;=12),(SUMPRODUCT(--(Headcount!$F$6:$F$92="Sales"),--(Headcount!$H$6:$H$92&gt;=Sales!AN$3),Headcount!$R$6:$R$92,Headcount!$L$6:$L$92)/12),0),"New Year"))))),SUMIF('Dept. Cost Actuals'!$E$7:$E$176,"*bonus*",'Dept. Cost Actuals'!AR$877:AR$1046))</f>
        <v>19642.958504999999</v>
      </c>
      <c r="AO16" s="668">
        <f>IF(AO$4="forecast",IF(YEAR(AO$3)=YEAR(Headcount!$N$4),IF((AO$5&lt;12),(SUMPRODUCT(--(Headcount!$F$6:$F$92="Sales"),--(Headcount!$H$6:$H$92&gt;=Sales!AO$3),Headcount!$N$6:$N$92,Headcount!$L$6:$L$92)/12),0),IF(YEAR(AO$3)=YEAR(Headcount!$O$4),IF((AO$5&lt;=12),(SUMPRODUCT(--(Headcount!$F$6:$F$92="Sales"),--(Headcount!$H$6:$H$92&gt;=Sales!AO$3),Headcount!$O$6:$O$92,Headcount!$L$6:$L$92)/12),0),IF(YEAR(AO$3)=YEAR(Headcount!$P$4),IF((AO$5&lt;=12),(SUMPRODUCT(--(Headcount!$F$6:$F$92="Sales"),--(Headcount!$H$6:$H$92&gt;=Sales!AO$3),Headcount!$P$6:$P$92,Headcount!$L$6:$L$92)/12),0),IF(YEAR(AO$3)=YEAR(Headcount!$Q$4),IF((AO$5&lt;=12),(SUMPRODUCT(--(Headcount!$F$6:$F$92="Sales"),--(Headcount!$H$6:$H$92&gt;=Sales!AO$3),Headcount!$Q$6:$Q$92,Headcount!$L$6:$L$92)/12),0),IF(YEAR(AO$3)=YEAR(Headcount!$R$4),IF((AO$5&lt;=12),(SUMPRODUCT(--(Headcount!$F$6:$F$92="Sales"),--(Headcount!$H$6:$H$92&gt;=Sales!AO$3),Headcount!$R$6:$R$92,Headcount!$L$6:$L$92)/12),0),"New Year"))))),SUMIF('Dept. Cost Actuals'!$E$7:$E$176,"*bonus*",'Dept. Cost Actuals'!AS$877:AS$1046))</f>
        <v>19642.958504999999</v>
      </c>
      <c r="AP16" s="668">
        <f>IF(AP$4="forecast",IF(YEAR(AP$3)=YEAR(Headcount!$N$4),IF((AP$5&lt;12),(SUMPRODUCT(--(Headcount!$F$6:$F$92="Sales"),--(Headcount!$H$6:$H$92&gt;=Sales!AP$3),Headcount!$N$6:$N$92,Headcount!$L$6:$L$92)/12),0),IF(YEAR(AP$3)=YEAR(Headcount!$O$4),IF((AP$5&lt;=12),(SUMPRODUCT(--(Headcount!$F$6:$F$92="Sales"),--(Headcount!$H$6:$H$92&gt;=Sales!AP$3),Headcount!$O$6:$O$92,Headcount!$L$6:$L$92)/12),0),IF(YEAR(AP$3)=YEAR(Headcount!$P$4),IF((AP$5&lt;=12),(SUMPRODUCT(--(Headcount!$F$6:$F$92="Sales"),--(Headcount!$H$6:$H$92&gt;=Sales!AP$3),Headcount!$P$6:$P$92,Headcount!$L$6:$L$92)/12),0),IF(YEAR(AP$3)=YEAR(Headcount!$Q$4),IF((AP$5&lt;=12),(SUMPRODUCT(--(Headcount!$F$6:$F$92="Sales"),--(Headcount!$H$6:$H$92&gt;=Sales!AP$3),Headcount!$Q$6:$Q$92,Headcount!$L$6:$L$92)/12),0),IF(YEAR(AP$3)=YEAR(Headcount!$R$4),IF((AP$5&lt;=12),(SUMPRODUCT(--(Headcount!$F$6:$F$92="Sales"),--(Headcount!$H$6:$H$92&gt;=Sales!AP$3),Headcount!$R$6:$R$92,Headcount!$L$6:$L$92)/12),0),"New Year"))))),SUMIF('Dept. Cost Actuals'!$E$7:$E$176,"*bonus*",'Dept. Cost Actuals'!AT$877:AT$1046))</f>
        <v>19642.958504999999</v>
      </c>
      <c r="AQ16" s="668">
        <f>IF(AQ$4="forecast",IF(YEAR(AQ$3)=YEAR(Headcount!$N$4),IF((AQ$5&lt;12),(SUMPRODUCT(--(Headcount!$F$6:$F$92="Sales"),--(Headcount!$H$6:$H$92&gt;=Sales!AQ$3),Headcount!$N$6:$N$92,Headcount!$L$6:$L$92)/12),0),IF(YEAR(AQ$3)=YEAR(Headcount!$O$4),IF((AQ$5&lt;=12),(SUMPRODUCT(--(Headcount!$F$6:$F$92="Sales"),--(Headcount!$H$6:$H$92&gt;=Sales!AQ$3),Headcount!$O$6:$O$92,Headcount!$L$6:$L$92)/12),0),IF(YEAR(AQ$3)=YEAR(Headcount!$P$4),IF((AQ$5&lt;=12),(SUMPRODUCT(--(Headcount!$F$6:$F$92="Sales"),--(Headcount!$H$6:$H$92&gt;=Sales!AQ$3),Headcount!$P$6:$P$92,Headcount!$L$6:$L$92)/12),0),IF(YEAR(AQ$3)=YEAR(Headcount!$Q$4),IF((AQ$5&lt;=12),(SUMPRODUCT(--(Headcount!$F$6:$F$92="Sales"),--(Headcount!$H$6:$H$92&gt;=Sales!AQ$3),Headcount!$Q$6:$Q$92,Headcount!$L$6:$L$92)/12),0),IF(YEAR(AQ$3)=YEAR(Headcount!$R$4),IF((AQ$5&lt;=12),(SUMPRODUCT(--(Headcount!$F$6:$F$92="Sales"),--(Headcount!$H$6:$H$92&gt;=Sales!AQ$3),Headcount!$R$6:$R$92,Headcount!$L$6:$L$92)/12),0),"New Year"))))),SUMIF('Dept. Cost Actuals'!$E$7:$E$176,"*bonus*",'Dept. Cost Actuals'!AU$877:AU$1046))</f>
        <v>19642.958504999999</v>
      </c>
      <c r="AR16" s="668">
        <f>IF(AR$4="forecast",IF(YEAR(AR$3)=YEAR(Headcount!$N$4),IF((AR$5&lt;12),(SUMPRODUCT(--(Headcount!$F$6:$F$92="Sales"),--(Headcount!$H$6:$H$92&gt;=Sales!AR$3),Headcount!$N$6:$N$92,Headcount!$L$6:$L$92)/12),0),IF(YEAR(AR$3)=YEAR(Headcount!$O$4),IF((AR$5&lt;=12),(SUMPRODUCT(--(Headcount!$F$6:$F$92="Sales"),--(Headcount!$H$6:$H$92&gt;=Sales!AR$3),Headcount!$O$6:$O$92,Headcount!$L$6:$L$92)/12),0),IF(YEAR(AR$3)=YEAR(Headcount!$P$4),IF((AR$5&lt;=12),(SUMPRODUCT(--(Headcount!$F$6:$F$92="Sales"),--(Headcount!$H$6:$H$92&gt;=Sales!AR$3),Headcount!$P$6:$P$92,Headcount!$L$6:$L$92)/12),0),IF(YEAR(AR$3)=YEAR(Headcount!$Q$4),IF((AR$5&lt;=12),(SUMPRODUCT(--(Headcount!$F$6:$F$92="Sales"),--(Headcount!$H$6:$H$92&gt;=Sales!AR$3),Headcount!$Q$6:$Q$92,Headcount!$L$6:$L$92)/12),0),IF(YEAR(AR$3)=YEAR(Headcount!$R$4),IF((AR$5&lt;=12),(SUMPRODUCT(--(Headcount!$F$6:$F$92="Sales"),--(Headcount!$H$6:$H$92&gt;=Sales!AR$3),Headcount!$R$6:$R$92,Headcount!$L$6:$L$92)/12),0),"New Year"))))),SUMIF('Dept. Cost Actuals'!$E$7:$E$176,"*bonus*",'Dept. Cost Actuals'!AV$877:AV$1046))</f>
        <v>19642.958504999999</v>
      </c>
      <c r="AS16" s="668">
        <f>IF(AS$4="forecast",IF(YEAR(AS$3)=YEAR(Headcount!$N$4),IF((AS$5&lt;12),(SUMPRODUCT(--(Headcount!$F$6:$F$92="Sales"),--(Headcount!$H$6:$H$92&gt;=Sales!AS$3),Headcount!$N$6:$N$92,Headcount!$L$6:$L$92)/12),0),IF(YEAR(AS$3)=YEAR(Headcount!$O$4),IF((AS$5&lt;=12),(SUMPRODUCT(--(Headcount!$F$6:$F$92="Sales"),--(Headcount!$H$6:$H$92&gt;=Sales!AS$3),Headcount!$O$6:$O$92,Headcount!$L$6:$L$92)/12),0),IF(YEAR(AS$3)=YEAR(Headcount!$P$4),IF((AS$5&lt;=12),(SUMPRODUCT(--(Headcount!$F$6:$F$92="Sales"),--(Headcount!$H$6:$H$92&gt;=Sales!AS$3),Headcount!$P$6:$P$92,Headcount!$L$6:$L$92)/12),0),IF(YEAR(AS$3)=YEAR(Headcount!$Q$4),IF((AS$5&lt;=12),(SUMPRODUCT(--(Headcount!$F$6:$F$92="Sales"),--(Headcount!$H$6:$H$92&gt;=Sales!AS$3),Headcount!$Q$6:$Q$92,Headcount!$L$6:$L$92)/12),0),IF(YEAR(AS$3)=YEAR(Headcount!$R$4),IF((AS$5&lt;=12),(SUMPRODUCT(--(Headcount!$F$6:$F$92="Sales"),--(Headcount!$H$6:$H$92&gt;=Sales!AS$3),Headcount!$R$6:$R$92,Headcount!$L$6:$L$92)/12),0),"New Year"))))),SUMIF('Dept. Cost Actuals'!$E$7:$E$176,"*bonus*",'Dept. Cost Actuals'!AW$877:AW$1046))</f>
        <v>19642.958504999999</v>
      </c>
      <c r="AT16" s="668">
        <f>IF(AT$4="forecast",IF(YEAR(AT$3)=YEAR(Headcount!$N$4),IF((AT$5&lt;12),(SUMPRODUCT(--(Headcount!$F$6:$F$92="Sales"),--(Headcount!$H$6:$H$92&gt;=Sales!AT$3),Headcount!$N$6:$N$92,Headcount!$L$6:$L$92)/12),0),IF(YEAR(AT$3)=YEAR(Headcount!$O$4),IF((AT$5&lt;=12),(SUMPRODUCT(--(Headcount!$F$6:$F$92="Sales"),--(Headcount!$H$6:$H$92&gt;=Sales!AT$3),Headcount!$O$6:$O$92,Headcount!$L$6:$L$92)/12),0),IF(YEAR(AT$3)=YEAR(Headcount!$P$4),IF((AT$5&lt;=12),(SUMPRODUCT(--(Headcount!$F$6:$F$92="Sales"),--(Headcount!$H$6:$H$92&gt;=Sales!AT$3),Headcount!$P$6:$P$92,Headcount!$L$6:$L$92)/12),0),IF(YEAR(AT$3)=YEAR(Headcount!$Q$4),IF((AT$5&lt;=12),(SUMPRODUCT(--(Headcount!$F$6:$F$92="Sales"),--(Headcount!$H$6:$H$92&gt;=Sales!AT$3),Headcount!$Q$6:$Q$92,Headcount!$L$6:$L$92)/12),0),IF(YEAR(AT$3)=YEAR(Headcount!$R$4),IF((AT$5&lt;=12),(SUMPRODUCT(--(Headcount!$F$6:$F$92="Sales"),--(Headcount!$H$6:$H$92&gt;=Sales!AT$3),Headcount!$R$6:$R$92,Headcount!$L$6:$L$92)/12),0),"New Year"))))),SUMIF('Dept. Cost Actuals'!$E$7:$E$176,"*bonus*",'Dept. Cost Actuals'!AX$877:AX$1046))</f>
        <v>19642.958504999999</v>
      </c>
      <c r="AU16" s="668">
        <f>IF(AU$4="forecast",IF(YEAR(AU$3)=YEAR(Headcount!$N$4),IF((AU$5&lt;12),(SUMPRODUCT(--(Headcount!$F$6:$F$92="Sales"),--(Headcount!$H$6:$H$92&gt;=Sales!AU$3),Headcount!$N$6:$N$92,Headcount!$L$6:$L$92)/12),0),IF(YEAR(AU$3)=YEAR(Headcount!$O$4),IF((AU$5&lt;=12),(SUMPRODUCT(--(Headcount!$F$6:$F$92="Sales"),--(Headcount!$H$6:$H$92&gt;=Sales!AU$3),Headcount!$O$6:$O$92,Headcount!$L$6:$L$92)/12),0),IF(YEAR(AU$3)=YEAR(Headcount!$P$4),IF((AU$5&lt;=12),(SUMPRODUCT(--(Headcount!$F$6:$F$92="Sales"),--(Headcount!$H$6:$H$92&gt;=Sales!AU$3),Headcount!$P$6:$P$92,Headcount!$L$6:$L$92)/12),0),IF(YEAR(AU$3)=YEAR(Headcount!$Q$4),IF((AU$5&lt;=12),(SUMPRODUCT(--(Headcount!$F$6:$F$92="Sales"),--(Headcount!$H$6:$H$92&gt;=Sales!AU$3),Headcount!$Q$6:$Q$92,Headcount!$L$6:$L$92)/12),0),IF(YEAR(AU$3)=YEAR(Headcount!$R$4),IF((AU$5&lt;=12),(SUMPRODUCT(--(Headcount!$F$6:$F$92="Sales"),--(Headcount!$H$6:$H$92&gt;=Sales!AU$3),Headcount!$R$6:$R$92,Headcount!$L$6:$L$92)/12),0),"New Year"))))),SUMIF('Dept. Cost Actuals'!$E$7:$E$176,"*bonus*",'Dept. Cost Actuals'!AY$877:AY$1046))</f>
        <v>19642.958504999999</v>
      </c>
      <c r="AV16" s="668">
        <f>IF(AV$4="forecast",IF(YEAR(AV$3)=YEAR(Headcount!$N$4),IF((AV$5&lt;12),(SUMPRODUCT(--(Headcount!$F$6:$F$92="Sales"),--(Headcount!$H$6:$H$92&gt;=Sales!AV$3),Headcount!$N$6:$N$92,Headcount!$L$6:$L$92)/12),0),IF(YEAR(AV$3)=YEAR(Headcount!$O$4),IF((AV$5&lt;=12),(SUMPRODUCT(--(Headcount!$F$6:$F$92="Sales"),--(Headcount!$H$6:$H$92&gt;=Sales!AV$3),Headcount!$O$6:$O$92,Headcount!$L$6:$L$92)/12),0),IF(YEAR(AV$3)=YEAR(Headcount!$P$4),IF((AV$5&lt;=12),(SUMPRODUCT(--(Headcount!$F$6:$F$92="Sales"),--(Headcount!$H$6:$H$92&gt;=Sales!AV$3),Headcount!$P$6:$P$92,Headcount!$L$6:$L$92)/12),0),IF(YEAR(AV$3)=YEAR(Headcount!$Q$4),IF((AV$5&lt;=12),(SUMPRODUCT(--(Headcount!$F$6:$F$92="Sales"),--(Headcount!$H$6:$H$92&gt;=Sales!AV$3),Headcount!$Q$6:$Q$92,Headcount!$L$6:$L$92)/12),0),IF(YEAR(AV$3)=YEAR(Headcount!$R$4),IF((AV$5&lt;=12),(SUMPRODUCT(--(Headcount!$F$6:$F$92="Sales"),--(Headcount!$H$6:$H$92&gt;=Sales!AV$3),Headcount!$R$6:$R$92,Headcount!$L$6:$L$92)/12),0),"New Year"))))),SUMIF('Dept. Cost Actuals'!$E$7:$E$176,"*bonus*",'Dept. Cost Actuals'!AZ$877:AZ$1046))</f>
        <v>19642.958504999999</v>
      </c>
      <c r="AW16" s="668">
        <f>IF(AW$4="forecast",IF(YEAR(AW$3)=YEAR(Headcount!$N$4),IF((AW$5&lt;12),(SUMPRODUCT(--(Headcount!$F$6:$F$92="Sales"),--(Headcount!$H$6:$H$92&gt;=Sales!AW$3),Headcount!$N$6:$N$92,Headcount!$L$6:$L$92)/12),0),IF(YEAR(AW$3)=YEAR(Headcount!$O$4),IF((AW$5&lt;=12),(SUMPRODUCT(--(Headcount!$F$6:$F$92="Sales"),--(Headcount!$H$6:$H$92&gt;=Sales!AW$3),Headcount!$O$6:$O$92,Headcount!$L$6:$L$92)/12),0),IF(YEAR(AW$3)=YEAR(Headcount!$P$4),IF((AW$5&lt;=12),(SUMPRODUCT(--(Headcount!$F$6:$F$92="Sales"),--(Headcount!$H$6:$H$92&gt;=Sales!AW$3),Headcount!$P$6:$P$92,Headcount!$L$6:$L$92)/12),0),IF(YEAR(AW$3)=YEAR(Headcount!$Q$4),IF((AW$5&lt;=12),(SUMPRODUCT(--(Headcount!$F$6:$F$92="Sales"),--(Headcount!$H$6:$H$92&gt;=Sales!AW$3),Headcount!$Q$6:$Q$92,Headcount!$L$6:$L$92)/12),0),IF(YEAR(AW$3)=YEAR(Headcount!$R$4),IF((AW$5&lt;=12),(SUMPRODUCT(--(Headcount!$F$6:$F$92="Sales"),--(Headcount!$H$6:$H$92&gt;=Sales!AW$3),Headcount!$R$6:$R$92,Headcount!$L$6:$L$92)/12),0),"New Year"))))),SUMIF('Dept. Cost Actuals'!$E$7:$E$176,"*bonus*",'Dept. Cost Actuals'!BA$877:BA$1046))</f>
        <v>19642.958504999999</v>
      </c>
      <c r="AX16" s="668">
        <f>IF(AX$4="forecast",IF(YEAR(AX$3)=YEAR(Headcount!$N$4),IF((AX$5&lt;12),(SUMPRODUCT(--(Headcount!$F$6:$F$92="Sales"),--(Headcount!$H$6:$H$92&gt;=Sales!AX$3),Headcount!$N$6:$N$92,Headcount!$L$6:$L$92)/12),0),IF(YEAR(AX$3)=YEAR(Headcount!$O$4),IF((AX$5&lt;=12),(SUMPRODUCT(--(Headcount!$F$6:$F$92="Sales"),--(Headcount!$H$6:$H$92&gt;=Sales!AX$3),Headcount!$O$6:$O$92,Headcount!$L$6:$L$92)/12),0),IF(YEAR(AX$3)=YEAR(Headcount!$P$4),IF((AX$5&lt;=12),(SUMPRODUCT(--(Headcount!$F$6:$F$92="Sales"),--(Headcount!$H$6:$H$92&gt;=Sales!AX$3),Headcount!$P$6:$P$92,Headcount!$L$6:$L$92)/12),0),IF(YEAR(AX$3)=YEAR(Headcount!$Q$4),IF((AX$5&lt;=12),(SUMPRODUCT(--(Headcount!$F$6:$F$92="Sales"),--(Headcount!$H$6:$H$92&gt;=Sales!AX$3),Headcount!$Q$6:$Q$92,Headcount!$L$6:$L$92)/12),0),IF(YEAR(AX$3)=YEAR(Headcount!$R$4),IF((AX$5&lt;=12),(SUMPRODUCT(--(Headcount!$F$6:$F$92="Sales"),--(Headcount!$H$6:$H$92&gt;=Sales!AX$3),Headcount!$R$6:$R$92,Headcount!$L$6:$L$92)/12),0),"New Year"))))),SUMIF('Dept. Cost Actuals'!$E$7:$E$176,"*bonus*",'Dept. Cost Actuals'!BB$877:BB$1046))</f>
        <v>19642.958504999999</v>
      </c>
      <c r="AY16" s="668">
        <f>IF(AY$4="forecast",IF(YEAR(AY$3)=YEAR(Headcount!$N$4),IF((AY$5&lt;12),(SUMPRODUCT(--(Headcount!$F$6:$F$92="Sales"),--(Headcount!$H$6:$H$92&gt;=Sales!AY$3),Headcount!$N$6:$N$92,Headcount!$L$6:$L$92)/12),0),IF(YEAR(AY$3)=YEAR(Headcount!$O$4),IF((AY$5&lt;=12),(SUMPRODUCT(--(Headcount!$F$6:$F$92="Sales"),--(Headcount!$H$6:$H$92&gt;=Sales!AY$3),Headcount!$O$6:$O$92,Headcount!$L$6:$L$92)/12),0),IF(YEAR(AY$3)=YEAR(Headcount!$P$4),IF((AY$5&lt;=12),(SUMPRODUCT(--(Headcount!$F$6:$F$92="Sales"),--(Headcount!$H$6:$H$92&gt;=Sales!AY$3),Headcount!$P$6:$P$92,Headcount!$L$6:$L$92)/12),0),IF(YEAR(AY$3)=YEAR(Headcount!$Q$4),IF((AY$5&lt;=12),(SUMPRODUCT(--(Headcount!$F$6:$F$92="Sales"),--(Headcount!$H$6:$H$92&gt;=Sales!AY$3),Headcount!$Q$6:$Q$92,Headcount!$L$6:$L$92)/12),0),IF(YEAR(AY$3)=YEAR(Headcount!$R$4),IF((AY$5&lt;=12),(SUMPRODUCT(--(Headcount!$F$6:$F$92="Sales"),--(Headcount!$H$6:$H$92&gt;=Sales!AY$3),Headcount!$R$6:$R$92,Headcount!$L$6:$L$92)/12),0),"New Year"))))),SUMIF('Dept. Cost Actuals'!$E$7:$E$176,"*bonus*",'Dept. Cost Actuals'!BC$877:BC$1046))</f>
        <v>20232.24726014999</v>
      </c>
      <c r="AZ16" s="668">
        <f>IF(AZ$4="forecast",IF(YEAR(AZ$3)=YEAR(Headcount!$N$4),IF((AZ$5&lt;12),(SUMPRODUCT(--(Headcount!$F$6:$F$92="Sales"),--(Headcount!$H$6:$H$92&gt;=Sales!AZ$3),Headcount!$N$6:$N$92,Headcount!$L$6:$L$92)/12),0),IF(YEAR(AZ$3)=YEAR(Headcount!$O$4),IF((AZ$5&lt;=12),(SUMPRODUCT(--(Headcount!$F$6:$F$92="Sales"),--(Headcount!$H$6:$H$92&gt;=Sales!AZ$3),Headcount!$O$6:$O$92,Headcount!$L$6:$L$92)/12),0),IF(YEAR(AZ$3)=YEAR(Headcount!$P$4),IF((AZ$5&lt;=12),(SUMPRODUCT(--(Headcount!$F$6:$F$92="Sales"),--(Headcount!$H$6:$H$92&gt;=Sales!AZ$3),Headcount!$P$6:$P$92,Headcount!$L$6:$L$92)/12),0),IF(YEAR(AZ$3)=YEAR(Headcount!$Q$4),IF((AZ$5&lt;=12),(SUMPRODUCT(--(Headcount!$F$6:$F$92="Sales"),--(Headcount!$H$6:$H$92&gt;=Sales!AZ$3),Headcount!$Q$6:$Q$92,Headcount!$L$6:$L$92)/12),0),IF(YEAR(AZ$3)=YEAR(Headcount!$R$4),IF((AZ$5&lt;=12),(SUMPRODUCT(--(Headcount!$F$6:$F$92="Sales"),--(Headcount!$H$6:$H$92&gt;=Sales!AZ$3),Headcount!$R$6:$R$92,Headcount!$L$6:$L$92)/12),0),"New Year"))))),SUMIF('Dept. Cost Actuals'!$E$7:$E$176,"*bonus*",'Dept. Cost Actuals'!BD$877:BD$1046))</f>
        <v>20232.24726014999</v>
      </c>
      <c r="BA16" s="668">
        <f>IF(BA$4="forecast",IF(YEAR(BA$3)=YEAR(Headcount!$N$4),IF((BA$5&lt;12),(SUMPRODUCT(--(Headcount!$F$6:$F$92="Sales"),--(Headcount!$H$6:$H$92&gt;=Sales!BA$3),Headcount!$N$6:$N$92,Headcount!$L$6:$L$92)/12),0),IF(YEAR(BA$3)=YEAR(Headcount!$O$4),IF((BA$5&lt;=12),(SUMPRODUCT(--(Headcount!$F$6:$F$92="Sales"),--(Headcount!$H$6:$H$92&gt;=Sales!BA$3),Headcount!$O$6:$O$92,Headcount!$L$6:$L$92)/12),0),IF(YEAR(BA$3)=YEAR(Headcount!$P$4),IF((BA$5&lt;=12),(SUMPRODUCT(--(Headcount!$F$6:$F$92="Sales"),--(Headcount!$H$6:$H$92&gt;=Sales!BA$3),Headcount!$P$6:$P$92,Headcount!$L$6:$L$92)/12),0),IF(YEAR(BA$3)=YEAR(Headcount!$Q$4),IF((BA$5&lt;=12),(SUMPRODUCT(--(Headcount!$F$6:$F$92="Sales"),--(Headcount!$H$6:$H$92&gt;=Sales!BA$3),Headcount!$Q$6:$Q$92,Headcount!$L$6:$L$92)/12),0),IF(YEAR(BA$3)=YEAR(Headcount!$R$4),IF((BA$5&lt;=12),(SUMPRODUCT(--(Headcount!$F$6:$F$92="Sales"),--(Headcount!$H$6:$H$92&gt;=Sales!BA$3),Headcount!$R$6:$R$92,Headcount!$L$6:$L$92)/12),0),"New Year"))))),SUMIF('Dept. Cost Actuals'!$E$7:$E$176,"*bonus*",'Dept. Cost Actuals'!BE$877:BE$1046))</f>
        <v>20232.24726014999</v>
      </c>
      <c r="BB16" s="668">
        <f>IF(BB$4="forecast",IF(YEAR(BB$3)=YEAR(Headcount!$N$4),IF((BB$5&lt;12),(SUMPRODUCT(--(Headcount!$F$6:$F$92="Sales"),--(Headcount!$H$6:$H$92&gt;=Sales!BB$3),Headcount!$N$6:$N$92,Headcount!$L$6:$L$92)/12),0),IF(YEAR(BB$3)=YEAR(Headcount!$O$4),IF((BB$5&lt;=12),(SUMPRODUCT(--(Headcount!$F$6:$F$92="Sales"),--(Headcount!$H$6:$H$92&gt;=Sales!BB$3),Headcount!$O$6:$O$92,Headcount!$L$6:$L$92)/12),0),IF(YEAR(BB$3)=YEAR(Headcount!$P$4),IF((BB$5&lt;=12),(SUMPRODUCT(--(Headcount!$F$6:$F$92="Sales"),--(Headcount!$H$6:$H$92&gt;=Sales!BB$3),Headcount!$P$6:$P$92,Headcount!$L$6:$L$92)/12),0),IF(YEAR(BB$3)=YEAR(Headcount!$Q$4),IF((BB$5&lt;=12),(SUMPRODUCT(--(Headcount!$F$6:$F$92="Sales"),--(Headcount!$H$6:$H$92&gt;=Sales!BB$3),Headcount!$Q$6:$Q$92,Headcount!$L$6:$L$92)/12),0),IF(YEAR(BB$3)=YEAR(Headcount!$R$4),IF((BB$5&lt;=12),(SUMPRODUCT(--(Headcount!$F$6:$F$92="Sales"),--(Headcount!$H$6:$H$92&gt;=Sales!BB$3),Headcount!$R$6:$R$92,Headcount!$L$6:$L$92)/12),0),"New Year"))))),SUMIF('Dept. Cost Actuals'!$E$7:$E$176,"*bonus*",'Dept. Cost Actuals'!BF$877:BF$1046))</f>
        <v>20232.24726014999</v>
      </c>
      <c r="BC16" s="668">
        <f>IF(BC$4="forecast",IF(YEAR(BC$3)=YEAR(Headcount!$N$4),IF((BC$5&lt;12),(SUMPRODUCT(--(Headcount!$F$6:$F$92="Sales"),--(Headcount!$H$6:$H$92&gt;=Sales!BC$3),Headcount!$N$6:$N$92,Headcount!$L$6:$L$92)/12),0),IF(YEAR(BC$3)=YEAR(Headcount!$O$4),IF((BC$5&lt;=12),(SUMPRODUCT(--(Headcount!$F$6:$F$92="Sales"),--(Headcount!$H$6:$H$92&gt;=Sales!BC$3),Headcount!$O$6:$O$92,Headcount!$L$6:$L$92)/12),0),IF(YEAR(BC$3)=YEAR(Headcount!$P$4),IF((BC$5&lt;=12),(SUMPRODUCT(--(Headcount!$F$6:$F$92="Sales"),--(Headcount!$H$6:$H$92&gt;=Sales!BC$3),Headcount!$P$6:$P$92,Headcount!$L$6:$L$92)/12),0),IF(YEAR(BC$3)=YEAR(Headcount!$Q$4),IF((BC$5&lt;=12),(SUMPRODUCT(--(Headcount!$F$6:$F$92="Sales"),--(Headcount!$H$6:$H$92&gt;=Sales!BC$3),Headcount!$Q$6:$Q$92,Headcount!$L$6:$L$92)/12),0),IF(YEAR(BC$3)=YEAR(Headcount!$R$4),IF((BC$5&lt;=12),(SUMPRODUCT(--(Headcount!$F$6:$F$92="Sales"),--(Headcount!$H$6:$H$92&gt;=Sales!BC$3),Headcount!$R$6:$R$92,Headcount!$L$6:$L$92)/12),0),"New Year"))))),SUMIF('Dept. Cost Actuals'!$E$7:$E$176,"*bonus*",'Dept. Cost Actuals'!BG$877:BG$1046))</f>
        <v>20232.24726014999</v>
      </c>
      <c r="BD16" s="668">
        <f>IF(BD$4="forecast",IF(YEAR(BD$3)=YEAR(Headcount!$N$4),IF((BD$5&lt;12),(SUMPRODUCT(--(Headcount!$F$6:$F$92="Sales"),--(Headcount!$H$6:$H$92&gt;=Sales!BD$3),Headcount!$N$6:$N$92,Headcount!$L$6:$L$92)/12),0),IF(YEAR(BD$3)=YEAR(Headcount!$O$4),IF((BD$5&lt;=12),(SUMPRODUCT(--(Headcount!$F$6:$F$92="Sales"),--(Headcount!$H$6:$H$92&gt;=Sales!BD$3),Headcount!$O$6:$O$92,Headcount!$L$6:$L$92)/12),0),IF(YEAR(BD$3)=YEAR(Headcount!$P$4),IF((BD$5&lt;=12),(SUMPRODUCT(--(Headcount!$F$6:$F$92="Sales"),--(Headcount!$H$6:$H$92&gt;=Sales!BD$3),Headcount!$P$6:$P$92,Headcount!$L$6:$L$92)/12),0),IF(YEAR(BD$3)=YEAR(Headcount!$Q$4),IF((BD$5&lt;=12),(SUMPRODUCT(--(Headcount!$F$6:$F$92="Sales"),--(Headcount!$H$6:$H$92&gt;=Sales!BD$3),Headcount!$Q$6:$Q$92,Headcount!$L$6:$L$92)/12),0),IF(YEAR(BD$3)=YEAR(Headcount!$R$4),IF((BD$5&lt;=12),(SUMPRODUCT(--(Headcount!$F$6:$F$92="Sales"),--(Headcount!$H$6:$H$92&gt;=Sales!BD$3),Headcount!$R$6:$R$92,Headcount!$L$6:$L$92)/12),0),"New Year"))))),SUMIF('Dept. Cost Actuals'!$E$7:$E$176,"*bonus*",'Dept. Cost Actuals'!BH$877:BH$1046))</f>
        <v>20232.24726014999</v>
      </c>
      <c r="BE16" s="668">
        <f>IF(BE$4="forecast",IF(YEAR(BE$3)=YEAR(Headcount!$N$4),IF((BE$5&lt;12),(SUMPRODUCT(--(Headcount!$F$6:$F$92="Sales"),--(Headcount!$H$6:$H$92&gt;=Sales!BE$3),Headcount!$N$6:$N$92,Headcount!$L$6:$L$92)/12),0),IF(YEAR(BE$3)=YEAR(Headcount!$O$4),IF((BE$5&lt;=12),(SUMPRODUCT(--(Headcount!$F$6:$F$92="Sales"),--(Headcount!$H$6:$H$92&gt;=Sales!BE$3),Headcount!$O$6:$O$92,Headcount!$L$6:$L$92)/12),0),IF(YEAR(BE$3)=YEAR(Headcount!$P$4),IF((BE$5&lt;=12),(SUMPRODUCT(--(Headcount!$F$6:$F$92="Sales"),--(Headcount!$H$6:$H$92&gt;=Sales!BE$3),Headcount!$P$6:$P$92,Headcount!$L$6:$L$92)/12),0),IF(YEAR(BE$3)=YEAR(Headcount!$Q$4),IF((BE$5&lt;=12),(SUMPRODUCT(--(Headcount!$F$6:$F$92="Sales"),--(Headcount!$H$6:$H$92&gt;=Sales!BE$3),Headcount!$Q$6:$Q$92,Headcount!$L$6:$L$92)/12),0),IF(YEAR(BE$3)=YEAR(Headcount!$R$4),IF((BE$5&lt;=12),(SUMPRODUCT(--(Headcount!$F$6:$F$92="Sales"),--(Headcount!$H$6:$H$92&gt;=Sales!BE$3),Headcount!$R$6:$R$92,Headcount!$L$6:$L$92)/12),0),"New Year"))))),SUMIF('Dept. Cost Actuals'!$E$7:$E$176,"*bonus*",'Dept. Cost Actuals'!BI$877:BI$1046))</f>
        <v>20232.24726014999</v>
      </c>
      <c r="BF16" s="668">
        <f>IF(BF$4="forecast",IF(YEAR(BF$3)=YEAR(Headcount!$N$4),IF((BF$5&lt;12),(SUMPRODUCT(--(Headcount!$F$6:$F$92="Sales"),--(Headcount!$H$6:$H$92&gt;=Sales!BF$3),Headcount!$N$6:$N$92,Headcount!$L$6:$L$92)/12),0),IF(YEAR(BF$3)=YEAR(Headcount!$O$4),IF((BF$5&lt;=12),(SUMPRODUCT(--(Headcount!$F$6:$F$92="Sales"),--(Headcount!$H$6:$H$92&gt;=Sales!BF$3),Headcount!$O$6:$O$92,Headcount!$L$6:$L$92)/12),0),IF(YEAR(BF$3)=YEAR(Headcount!$P$4),IF((BF$5&lt;=12),(SUMPRODUCT(--(Headcount!$F$6:$F$92="Sales"),--(Headcount!$H$6:$H$92&gt;=Sales!BF$3),Headcount!$P$6:$P$92,Headcount!$L$6:$L$92)/12),0),IF(YEAR(BF$3)=YEAR(Headcount!$Q$4),IF((BF$5&lt;=12),(SUMPRODUCT(--(Headcount!$F$6:$F$92="Sales"),--(Headcount!$H$6:$H$92&gt;=Sales!BF$3),Headcount!$Q$6:$Q$92,Headcount!$L$6:$L$92)/12),0),IF(YEAR(BF$3)=YEAR(Headcount!$R$4),IF((BF$5&lt;=12),(SUMPRODUCT(--(Headcount!$F$6:$F$92="Sales"),--(Headcount!$H$6:$H$92&gt;=Sales!BF$3),Headcount!$R$6:$R$92,Headcount!$L$6:$L$92)/12),0),"New Year"))))),SUMIF('Dept. Cost Actuals'!$E$7:$E$176,"*bonus*",'Dept. Cost Actuals'!BJ$877:BJ$1046))</f>
        <v>20232.24726014999</v>
      </c>
      <c r="BG16" s="668">
        <f>IF(BG$4="forecast",IF(YEAR(BG$3)=YEAR(Headcount!$N$4),IF((BG$5&lt;12),(SUMPRODUCT(--(Headcount!$F$6:$F$92="Sales"),--(Headcount!$H$6:$H$92&gt;=Sales!BG$3),Headcount!$N$6:$N$92,Headcount!$L$6:$L$92)/12),0),IF(YEAR(BG$3)=YEAR(Headcount!$O$4),IF((BG$5&lt;=12),(SUMPRODUCT(--(Headcount!$F$6:$F$92="Sales"),--(Headcount!$H$6:$H$92&gt;=Sales!BG$3),Headcount!$O$6:$O$92,Headcount!$L$6:$L$92)/12),0),IF(YEAR(BG$3)=YEAR(Headcount!$P$4),IF((BG$5&lt;=12),(SUMPRODUCT(--(Headcount!$F$6:$F$92="Sales"),--(Headcount!$H$6:$H$92&gt;=Sales!BG$3),Headcount!$P$6:$P$92,Headcount!$L$6:$L$92)/12),0),IF(YEAR(BG$3)=YEAR(Headcount!$Q$4),IF((BG$5&lt;=12),(SUMPRODUCT(--(Headcount!$F$6:$F$92="Sales"),--(Headcount!$H$6:$H$92&gt;=Sales!BG$3),Headcount!$Q$6:$Q$92,Headcount!$L$6:$L$92)/12),0),IF(YEAR(BG$3)=YEAR(Headcount!$R$4),IF((BG$5&lt;=12),(SUMPRODUCT(--(Headcount!$F$6:$F$92="Sales"),--(Headcount!$H$6:$H$92&gt;=Sales!BG$3),Headcount!$R$6:$R$92,Headcount!$L$6:$L$92)/12),0),"New Year"))))),SUMIF('Dept. Cost Actuals'!$E$7:$E$176,"*bonus*",'Dept. Cost Actuals'!BK$877:BK$1046))</f>
        <v>20232.24726014999</v>
      </c>
      <c r="BH16" s="668">
        <f>IF(BH$4="forecast",IF(YEAR(BH$3)=YEAR(Headcount!$N$4),IF((BH$5&lt;12),(SUMPRODUCT(--(Headcount!$F$6:$F$92="Sales"),--(Headcount!$H$6:$H$92&gt;=Sales!BH$3),Headcount!$N$6:$N$92,Headcount!$L$6:$L$92)/12),0),IF(YEAR(BH$3)=YEAR(Headcount!$O$4),IF((BH$5&lt;=12),(SUMPRODUCT(--(Headcount!$F$6:$F$92="Sales"),--(Headcount!$H$6:$H$92&gt;=Sales!BH$3),Headcount!$O$6:$O$92,Headcount!$L$6:$L$92)/12),0),IF(YEAR(BH$3)=YEAR(Headcount!$P$4),IF((BH$5&lt;=12),(SUMPRODUCT(--(Headcount!$F$6:$F$92="Sales"),--(Headcount!$H$6:$H$92&gt;=Sales!BH$3),Headcount!$P$6:$P$92,Headcount!$L$6:$L$92)/12),0),IF(YEAR(BH$3)=YEAR(Headcount!$Q$4),IF((BH$5&lt;=12),(SUMPRODUCT(--(Headcount!$F$6:$F$92="Sales"),--(Headcount!$H$6:$H$92&gt;=Sales!BH$3),Headcount!$Q$6:$Q$92,Headcount!$L$6:$L$92)/12),0),IF(YEAR(BH$3)=YEAR(Headcount!$R$4),IF((BH$5&lt;=12),(SUMPRODUCT(--(Headcount!$F$6:$F$92="Sales"),--(Headcount!$H$6:$H$92&gt;=Sales!BH$3),Headcount!$R$6:$R$92,Headcount!$L$6:$L$92)/12),0),"New Year"))))),SUMIF('Dept. Cost Actuals'!$E$7:$E$176,"*bonus*",'Dept. Cost Actuals'!BL$877:BL$1046))</f>
        <v>20232.24726014999</v>
      </c>
      <c r="BI16" s="668">
        <f>IF(BI$4="forecast",IF(YEAR(BI$3)=YEAR(Headcount!$N$4),IF((BI$5&lt;12),(SUMPRODUCT(--(Headcount!$F$6:$F$92="Sales"),--(Headcount!$H$6:$H$92&gt;=Sales!BI$3),Headcount!$N$6:$N$92,Headcount!$L$6:$L$92)/12),0),IF(YEAR(BI$3)=YEAR(Headcount!$O$4),IF((BI$5&lt;=12),(SUMPRODUCT(--(Headcount!$F$6:$F$92="Sales"),--(Headcount!$H$6:$H$92&gt;=Sales!BI$3),Headcount!$O$6:$O$92,Headcount!$L$6:$L$92)/12),0),IF(YEAR(BI$3)=YEAR(Headcount!$P$4),IF((BI$5&lt;=12),(SUMPRODUCT(--(Headcount!$F$6:$F$92="Sales"),--(Headcount!$H$6:$H$92&gt;=Sales!BI$3),Headcount!$P$6:$P$92,Headcount!$L$6:$L$92)/12),0),IF(YEAR(BI$3)=YEAR(Headcount!$Q$4),IF((BI$5&lt;=12),(SUMPRODUCT(--(Headcount!$F$6:$F$92="Sales"),--(Headcount!$H$6:$H$92&gt;=Sales!BI$3),Headcount!$Q$6:$Q$92,Headcount!$L$6:$L$92)/12),0),IF(YEAR(BI$3)=YEAR(Headcount!$R$4),IF((BI$5&lt;=12),(SUMPRODUCT(--(Headcount!$F$6:$F$92="Sales"),--(Headcount!$H$6:$H$92&gt;=Sales!BI$3),Headcount!$R$6:$R$92,Headcount!$L$6:$L$92)/12),0),"New Year"))))),SUMIF('Dept. Cost Actuals'!$E$7:$E$176,"*bonus*",'Dept. Cost Actuals'!BM$877:BM$1046))</f>
        <v>20232.24726014999</v>
      </c>
      <c r="BJ16" s="668">
        <f>IF(BJ$4="forecast",IF(YEAR(BJ$3)=YEAR(Headcount!$N$4),IF((BJ$5&lt;12),(SUMPRODUCT(--(Headcount!$F$6:$F$92="Sales"),--(Headcount!$H$6:$H$92&gt;=Sales!BJ$3),Headcount!$N$6:$N$92,Headcount!$L$6:$L$92)/12),0),IF(YEAR(BJ$3)=YEAR(Headcount!$O$4),IF((BJ$5&lt;=12),(SUMPRODUCT(--(Headcount!$F$6:$F$92="Sales"),--(Headcount!$H$6:$H$92&gt;=Sales!BJ$3),Headcount!$O$6:$O$92,Headcount!$L$6:$L$92)/12),0),IF(YEAR(BJ$3)=YEAR(Headcount!$P$4),IF((BJ$5&lt;=12),(SUMPRODUCT(--(Headcount!$F$6:$F$92="Sales"),--(Headcount!$H$6:$H$92&gt;=Sales!BJ$3),Headcount!$P$6:$P$92,Headcount!$L$6:$L$92)/12),0),IF(YEAR(BJ$3)=YEAR(Headcount!$Q$4),IF((BJ$5&lt;=12),(SUMPRODUCT(--(Headcount!$F$6:$F$92="Sales"),--(Headcount!$H$6:$H$92&gt;=Sales!BJ$3),Headcount!$Q$6:$Q$92,Headcount!$L$6:$L$92)/12),0),IF(YEAR(BJ$3)=YEAR(Headcount!$R$4),IF((BJ$5&lt;=12),(SUMPRODUCT(--(Headcount!$F$6:$F$92="Sales"),--(Headcount!$H$6:$H$92&gt;=Sales!BJ$3),Headcount!$R$6:$R$92,Headcount!$L$6:$L$92)/12),0),"New Year"))))),SUMIF('Dept. Cost Actuals'!$E$7:$E$176,"*bonus*",'Dept. Cost Actuals'!BN$877:BN$1046))</f>
        <v>20232.24726014999</v>
      </c>
      <c r="BK16" s="668">
        <f>IF(BK$4="forecast",IF(YEAR(BK$3)=YEAR(Headcount!$N$4),IF((BK$5&lt;12),(SUMPRODUCT(--(Headcount!$F$6:$F$92="Sales"),--(Headcount!$H$6:$H$92&gt;=Sales!BK$3),Headcount!$N$6:$N$92,Headcount!$L$6:$L$92)/12),0),IF(YEAR(BK$3)=YEAR(Headcount!$O$4),IF((BK$5&lt;=12),(SUMPRODUCT(--(Headcount!$F$6:$F$92="Sales"),--(Headcount!$H$6:$H$92&gt;=Sales!BK$3),Headcount!$O$6:$O$92,Headcount!$L$6:$L$92)/12),0),IF(YEAR(BK$3)=YEAR(Headcount!$P$4),IF((BK$5&lt;=12),(SUMPRODUCT(--(Headcount!$F$6:$F$92="Sales"),--(Headcount!$H$6:$H$92&gt;=Sales!BK$3),Headcount!$P$6:$P$92,Headcount!$L$6:$L$92)/12),0),IF(YEAR(BK$3)=YEAR(Headcount!$Q$4),IF((BK$5&lt;=12),(SUMPRODUCT(--(Headcount!$F$6:$F$92="Sales"),--(Headcount!$H$6:$H$92&gt;=Sales!BK$3),Headcount!$Q$6:$Q$92,Headcount!$L$6:$L$92)/12),0),IF(YEAR(BK$3)=YEAR(Headcount!$R$4),IF((BK$5&lt;=12),(SUMPRODUCT(--(Headcount!$F$6:$F$92="Sales"),--(Headcount!$H$6:$H$92&gt;=Sales!BK$3),Headcount!$R$6:$R$92,Headcount!$L$6:$L$92)/12),0),"New Year"))))),SUMIF('Dept. Cost Actuals'!$E$7:$E$176,"*bonus*",'Dept. Cost Actuals'!BO$877:BO$1046))</f>
        <v>20839.2146779545</v>
      </c>
      <c r="BL16" s="668">
        <f>IF(BL$4="forecast",IF(YEAR(BL$3)=YEAR(Headcount!$N$4),IF((BL$5&lt;12),(SUMPRODUCT(--(Headcount!$F$6:$F$92="Sales"),--(Headcount!$H$6:$H$92&gt;=Sales!BL$3),Headcount!$N$6:$N$92,Headcount!$L$6:$L$92)/12),0),IF(YEAR(BL$3)=YEAR(Headcount!$O$4),IF((BL$5&lt;=12),(SUMPRODUCT(--(Headcount!$F$6:$F$92="Sales"),--(Headcount!$H$6:$H$92&gt;=Sales!BL$3),Headcount!$O$6:$O$92,Headcount!$L$6:$L$92)/12),0),IF(YEAR(BL$3)=YEAR(Headcount!$P$4),IF((BL$5&lt;=12),(SUMPRODUCT(--(Headcount!$F$6:$F$92="Sales"),--(Headcount!$H$6:$H$92&gt;=Sales!BL$3),Headcount!$P$6:$P$92,Headcount!$L$6:$L$92)/12),0),IF(YEAR(BL$3)=YEAR(Headcount!$Q$4),IF((BL$5&lt;=12),(SUMPRODUCT(--(Headcount!$F$6:$F$92="Sales"),--(Headcount!$H$6:$H$92&gt;=Sales!BL$3),Headcount!$Q$6:$Q$92,Headcount!$L$6:$L$92)/12),0),IF(YEAR(BL$3)=YEAR(Headcount!$R$4),IF((BL$5&lt;=12),(SUMPRODUCT(--(Headcount!$F$6:$F$92="Sales"),--(Headcount!$H$6:$H$92&gt;=Sales!BL$3),Headcount!$R$6:$R$92,Headcount!$L$6:$L$92)/12),0),"New Year"))))),SUMIF('Dept. Cost Actuals'!$E$7:$E$176,"*bonus*",'Dept. Cost Actuals'!BP$877:BP$1046))</f>
        <v>20839.2146779545</v>
      </c>
      <c r="BM16" s="668">
        <f>IF(BM$4="forecast",IF(YEAR(BM$3)=YEAR(Headcount!$N$4),IF((BM$5&lt;12),(SUMPRODUCT(--(Headcount!$F$6:$F$92="Sales"),--(Headcount!$H$6:$H$92&gt;=Sales!BM$3),Headcount!$N$6:$N$92,Headcount!$L$6:$L$92)/12),0),IF(YEAR(BM$3)=YEAR(Headcount!$O$4),IF((BM$5&lt;=12),(SUMPRODUCT(--(Headcount!$F$6:$F$92="Sales"),--(Headcount!$H$6:$H$92&gt;=Sales!BM$3),Headcount!$O$6:$O$92,Headcount!$L$6:$L$92)/12),0),IF(YEAR(BM$3)=YEAR(Headcount!$P$4),IF((BM$5&lt;=12),(SUMPRODUCT(--(Headcount!$F$6:$F$92="Sales"),--(Headcount!$H$6:$H$92&gt;=Sales!BM$3),Headcount!$P$6:$P$92,Headcount!$L$6:$L$92)/12),0),IF(YEAR(BM$3)=YEAR(Headcount!$Q$4),IF((BM$5&lt;=12),(SUMPRODUCT(--(Headcount!$F$6:$F$92="Sales"),--(Headcount!$H$6:$H$92&gt;=Sales!BM$3),Headcount!$Q$6:$Q$92,Headcount!$L$6:$L$92)/12),0),IF(YEAR(BM$3)=YEAR(Headcount!$R$4),IF((BM$5&lt;=12),(SUMPRODUCT(--(Headcount!$F$6:$F$92="Sales"),--(Headcount!$H$6:$H$92&gt;=Sales!BM$3),Headcount!$R$6:$R$92,Headcount!$L$6:$L$92)/12),0),"New Year"))))),SUMIF('Dept. Cost Actuals'!$E$7:$E$176,"*bonus*",'Dept. Cost Actuals'!BQ$877:BQ$1046))</f>
        <v>20839.2146779545</v>
      </c>
      <c r="BN16" s="668">
        <f>IF(BN$4="forecast",IF(YEAR(BN$3)=YEAR(Headcount!$N$4),IF((BN$5&lt;12),(SUMPRODUCT(--(Headcount!$F$6:$F$92="Sales"),--(Headcount!$H$6:$H$92&gt;=Sales!BN$3),Headcount!$N$6:$N$92,Headcount!$L$6:$L$92)/12),0),IF(YEAR(BN$3)=YEAR(Headcount!$O$4),IF((BN$5&lt;=12),(SUMPRODUCT(--(Headcount!$F$6:$F$92="Sales"),--(Headcount!$H$6:$H$92&gt;=Sales!BN$3),Headcount!$O$6:$O$92,Headcount!$L$6:$L$92)/12),0),IF(YEAR(BN$3)=YEAR(Headcount!$P$4),IF((BN$5&lt;=12),(SUMPRODUCT(--(Headcount!$F$6:$F$92="Sales"),--(Headcount!$H$6:$H$92&gt;=Sales!BN$3),Headcount!$P$6:$P$92,Headcount!$L$6:$L$92)/12),0),IF(YEAR(BN$3)=YEAR(Headcount!$Q$4),IF((BN$5&lt;=12),(SUMPRODUCT(--(Headcount!$F$6:$F$92="Sales"),--(Headcount!$H$6:$H$92&gt;=Sales!BN$3),Headcount!$Q$6:$Q$92,Headcount!$L$6:$L$92)/12),0),IF(YEAR(BN$3)=YEAR(Headcount!$R$4),IF((BN$5&lt;=12),(SUMPRODUCT(--(Headcount!$F$6:$F$92="Sales"),--(Headcount!$H$6:$H$92&gt;=Sales!BN$3),Headcount!$R$6:$R$92,Headcount!$L$6:$L$92)/12),0),"New Year"))))),SUMIF('Dept. Cost Actuals'!$E$7:$E$176,"*bonus*",'Dept. Cost Actuals'!BR$877:BR$1046))</f>
        <v>20839.2146779545</v>
      </c>
      <c r="BO16" s="668">
        <f>IF(BO$4="forecast",IF(YEAR(BO$3)=YEAR(Headcount!$N$4),IF((BO$5&lt;12),(SUMPRODUCT(--(Headcount!$F$6:$F$92="Sales"),--(Headcount!$H$6:$H$92&gt;=Sales!BO$3),Headcount!$N$6:$N$92,Headcount!$L$6:$L$92)/12),0),IF(YEAR(BO$3)=YEAR(Headcount!$O$4),IF((BO$5&lt;=12),(SUMPRODUCT(--(Headcount!$F$6:$F$92="Sales"),--(Headcount!$H$6:$H$92&gt;=Sales!BO$3),Headcount!$O$6:$O$92,Headcount!$L$6:$L$92)/12),0),IF(YEAR(BO$3)=YEAR(Headcount!$P$4),IF((BO$5&lt;=12),(SUMPRODUCT(--(Headcount!$F$6:$F$92="Sales"),--(Headcount!$H$6:$H$92&gt;=Sales!BO$3),Headcount!$P$6:$P$92,Headcount!$L$6:$L$92)/12),0),IF(YEAR(BO$3)=YEAR(Headcount!$Q$4),IF((BO$5&lt;=12),(SUMPRODUCT(--(Headcount!$F$6:$F$92="Sales"),--(Headcount!$H$6:$H$92&gt;=Sales!BO$3),Headcount!$Q$6:$Q$92,Headcount!$L$6:$L$92)/12),0),IF(YEAR(BO$3)=YEAR(Headcount!$R$4),IF((BO$5&lt;=12),(SUMPRODUCT(--(Headcount!$F$6:$F$92="Sales"),--(Headcount!$H$6:$H$92&gt;=Sales!BO$3),Headcount!$R$6:$R$92,Headcount!$L$6:$L$92)/12),0),"New Year"))))),SUMIF('Dept. Cost Actuals'!$E$7:$E$176,"*bonus*",'Dept. Cost Actuals'!BS$877:BS$1046))</f>
        <v>20839.2146779545</v>
      </c>
      <c r="BP16" s="668">
        <f>IF(BP$4="forecast",IF(YEAR(BP$3)=YEAR(Headcount!$N$4),IF((BP$5&lt;12),(SUMPRODUCT(--(Headcount!$F$6:$F$92="Sales"),--(Headcount!$H$6:$H$92&gt;=Sales!BP$3),Headcount!$N$6:$N$92,Headcount!$L$6:$L$92)/12),0),IF(YEAR(BP$3)=YEAR(Headcount!$O$4),IF((BP$5&lt;=12),(SUMPRODUCT(--(Headcount!$F$6:$F$92="Sales"),--(Headcount!$H$6:$H$92&gt;=Sales!BP$3),Headcount!$O$6:$O$92,Headcount!$L$6:$L$92)/12),0),IF(YEAR(BP$3)=YEAR(Headcount!$P$4),IF((BP$5&lt;=12),(SUMPRODUCT(--(Headcount!$F$6:$F$92="Sales"),--(Headcount!$H$6:$H$92&gt;=Sales!BP$3),Headcount!$P$6:$P$92,Headcount!$L$6:$L$92)/12),0),IF(YEAR(BP$3)=YEAR(Headcount!$Q$4),IF((BP$5&lt;=12),(SUMPRODUCT(--(Headcount!$F$6:$F$92="Sales"),--(Headcount!$H$6:$H$92&gt;=Sales!BP$3),Headcount!$Q$6:$Q$92,Headcount!$L$6:$L$92)/12),0),IF(YEAR(BP$3)=YEAR(Headcount!$R$4),IF((BP$5&lt;=12),(SUMPRODUCT(--(Headcount!$F$6:$F$92="Sales"),--(Headcount!$H$6:$H$92&gt;=Sales!BP$3),Headcount!$R$6:$R$92,Headcount!$L$6:$L$92)/12),0),"New Year"))))),SUMIF('Dept. Cost Actuals'!$E$7:$E$176,"*bonus*",'Dept. Cost Actuals'!BT$877:BT$1046))</f>
        <v>20839.2146779545</v>
      </c>
      <c r="BQ16" s="668">
        <f>IF(BQ$4="forecast",IF(YEAR(BQ$3)=YEAR(Headcount!$N$4),IF((BQ$5&lt;12),(SUMPRODUCT(--(Headcount!$F$6:$F$92="Sales"),--(Headcount!$H$6:$H$92&gt;=Sales!BQ$3),Headcount!$N$6:$N$92,Headcount!$L$6:$L$92)/12),0),IF(YEAR(BQ$3)=YEAR(Headcount!$O$4),IF((BQ$5&lt;=12),(SUMPRODUCT(--(Headcount!$F$6:$F$92="Sales"),--(Headcount!$H$6:$H$92&gt;=Sales!BQ$3),Headcount!$O$6:$O$92,Headcount!$L$6:$L$92)/12),0),IF(YEAR(BQ$3)=YEAR(Headcount!$P$4),IF((BQ$5&lt;=12),(SUMPRODUCT(--(Headcount!$F$6:$F$92="Sales"),--(Headcount!$H$6:$H$92&gt;=Sales!BQ$3),Headcount!$P$6:$P$92,Headcount!$L$6:$L$92)/12),0),IF(YEAR(BQ$3)=YEAR(Headcount!$Q$4),IF((BQ$5&lt;=12),(SUMPRODUCT(--(Headcount!$F$6:$F$92="Sales"),--(Headcount!$H$6:$H$92&gt;=Sales!BQ$3),Headcount!$Q$6:$Q$92,Headcount!$L$6:$L$92)/12),0),IF(YEAR(BQ$3)=YEAR(Headcount!$R$4),IF((BQ$5&lt;=12),(SUMPRODUCT(--(Headcount!$F$6:$F$92="Sales"),--(Headcount!$H$6:$H$92&gt;=Sales!BQ$3),Headcount!$R$6:$R$92,Headcount!$L$6:$L$92)/12),0),"New Year"))))),SUMIF('Dept. Cost Actuals'!$E$7:$E$176,"*bonus*",'Dept. Cost Actuals'!BU$877:BU$1046))</f>
        <v>20839.2146779545</v>
      </c>
      <c r="BR16" s="668">
        <f>IF(BR$4="forecast",IF(YEAR(BR$3)=YEAR(Headcount!$N$4),IF((BR$5&lt;12),(SUMPRODUCT(--(Headcount!$F$6:$F$92="Sales"),--(Headcount!$H$6:$H$92&gt;=Sales!BR$3),Headcount!$N$6:$N$92,Headcount!$L$6:$L$92)/12),0),IF(YEAR(BR$3)=YEAR(Headcount!$O$4),IF((BR$5&lt;=12),(SUMPRODUCT(--(Headcount!$F$6:$F$92="Sales"),--(Headcount!$H$6:$H$92&gt;=Sales!BR$3),Headcount!$O$6:$O$92,Headcount!$L$6:$L$92)/12),0),IF(YEAR(BR$3)=YEAR(Headcount!$P$4),IF((BR$5&lt;=12),(SUMPRODUCT(--(Headcount!$F$6:$F$92="Sales"),--(Headcount!$H$6:$H$92&gt;=Sales!BR$3),Headcount!$P$6:$P$92,Headcount!$L$6:$L$92)/12),0),IF(YEAR(BR$3)=YEAR(Headcount!$Q$4),IF((BR$5&lt;=12),(SUMPRODUCT(--(Headcount!$F$6:$F$92="Sales"),--(Headcount!$H$6:$H$92&gt;=Sales!BR$3),Headcount!$Q$6:$Q$92,Headcount!$L$6:$L$92)/12),0),IF(YEAR(BR$3)=YEAR(Headcount!$R$4),IF((BR$5&lt;=12),(SUMPRODUCT(--(Headcount!$F$6:$F$92="Sales"),--(Headcount!$H$6:$H$92&gt;=Sales!BR$3),Headcount!$R$6:$R$92,Headcount!$L$6:$L$92)/12),0),"New Year"))))),SUMIF('Dept. Cost Actuals'!$E$7:$E$176,"*bonus*",'Dept. Cost Actuals'!BV$877:BV$1046))</f>
        <v>20839.2146779545</v>
      </c>
      <c r="BS16" s="668">
        <f>IF(BS$4="forecast",IF(YEAR(BS$3)=YEAR(Headcount!$N$4),IF((BS$5&lt;12),(SUMPRODUCT(--(Headcount!$F$6:$F$92="Sales"),--(Headcount!$H$6:$H$92&gt;=Sales!BS$3),Headcount!$N$6:$N$92,Headcount!$L$6:$L$92)/12),0),IF(YEAR(BS$3)=YEAR(Headcount!$O$4),IF((BS$5&lt;=12),(SUMPRODUCT(--(Headcount!$F$6:$F$92="Sales"),--(Headcount!$H$6:$H$92&gt;=Sales!BS$3),Headcount!$O$6:$O$92,Headcount!$L$6:$L$92)/12),0),IF(YEAR(BS$3)=YEAR(Headcount!$P$4),IF((BS$5&lt;=12),(SUMPRODUCT(--(Headcount!$F$6:$F$92="Sales"),--(Headcount!$H$6:$H$92&gt;=Sales!BS$3),Headcount!$P$6:$P$92,Headcount!$L$6:$L$92)/12),0),IF(YEAR(BS$3)=YEAR(Headcount!$Q$4),IF((BS$5&lt;=12),(SUMPRODUCT(--(Headcount!$F$6:$F$92="Sales"),--(Headcount!$H$6:$H$92&gt;=Sales!BS$3),Headcount!$Q$6:$Q$92,Headcount!$L$6:$L$92)/12),0),IF(YEAR(BS$3)=YEAR(Headcount!$R$4),IF((BS$5&lt;=12),(SUMPRODUCT(--(Headcount!$F$6:$F$92="Sales"),--(Headcount!$H$6:$H$92&gt;=Sales!BS$3),Headcount!$R$6:$R$92,Headcount!$L$6:$L$92)/12),0),"New Year"))))),SUMIF('Dept. Cost Actuals'!$E$7:$E$176,"*bonus*",'Dept. Cost Actuals'!BW$877:BW$1046))</f>
        <v>20839.2146779545</v>
      </c>
      <c r="BT16" s="668">
        <f>IF(BT$4="forecast",IF(YEAR(BT$3)=YEAR(Headcount!$N$4),IF((BT$5&lt;12),(SUMPRODUCT(--(Headcount!$F$6:$F$92="Sales"),--(Headcount!$H$6:$H$92&gt;=Sales!BT$3),Headcount!$N$6:$N$92,Headcount!$L$6:$L$92)/12),0),IF(YEAR(BT$3)=YEAR(Headcount!$O$4),IF((BT$5&lt;=12),(SUMPRODUCT(--(Headcount!$F$6:$F$92="Sales"),--(Headcount!$H$6:$H$92&gt;=Sales!BT$3),Headcount!$O$6:$O$92,Headcount!$L$6:$L$92)/12),0),IF(YEAR(BT$3)=YEAR(Headcount!$P$4),IF((BT$5&lt;=12),(SUMPRODUCT(--(Headcount!$F$6:$F$92="Sales"),--(Headcount!$H$6:$H$92&gt;=Sales!BT$3),Headcount!$P$6:$P$92,Headcount!$L$6:$L$92)/12),0),IF(YEAR(BT$3)=YEAR(Headcount!$Q$4),IF((BT$5&lt;=12),(SUMPRODUCT(--(Headcount!$F$6:$F$92="Sales"),--(Headcount!$H$6:$H$92&gt;=Sales!BT$3),Headcount!$Q$6:$Q$92,Headcount!$L$6:$L$92)/12),0),IF(YEAR(BT$3)=YEAR(Headcount!$R$4),IF((BT$5&lt;=12),(SUMPRODUCT(--(Headcount!$F$6:$F$92="Sales"),--(Headcount!$H$6:$H$92&gt;=Sales!BT$3),Headcount!$R$6:$R$92,Headcount!$L$6:$L$92)/12),0),"New Year"))))),SUMIF('Dept. Cost Actuals'!$E$7:$E$176,"*bonus*",'Dept. Cost Actuals'!BX$877:BX$1046))</f>
        <v>20839.2146779545</v>
      </c>
      <c r="BU16" s="668">
        <f>IF(BU$4="forecast",IF(YEAR(BU$3)=YEAR(Headcount!$N$4),IF((BU$5&lt;12),(SUMPRODUCT(--(Headcount!$F$6:$F$92="Sales"),--(Headcount!$H$6:$H$92&gt;=Sales!BU$3),Headcount!$N$6:$N$92,Headcount!$L$6:$L$92)/12),0),IF(YEAR(BU$3)=YEAR(Headcount!$O$4),IF((BU$5&lt;=12),(SUMPRODUCT(--(Headcount!$F$6:$F$92="Sales"),--(Headcount!$H$6:$H$92&gt;=Sales!BU$3),Headcount!$O$6:$O$92,Headcount!$L$6:$L$92)/12),0),IF(YEAR(BU$3)=YEAR(Headcount!$P$4),IF((BU$5&lt;=12),(SUMPRODUCT(--(Headcount!$F$6:$F$92="Sales"),--(Headcount!$H$6:$H$92&gt;=Sales!BU$3),Headcount!$P$6:$P$92,Headcount!$L$6:$L$92)/12),0),IF(YEAR(BU$3)=YEAR(Headcount!$Q$4),IF((BU$5&lt;=12),(SUMPRODUCT(--(Headcount!$F$6:$F$92="Sales"),--(Headcount!$H$6:$H$92&gt;=Sales!BU$3),Headcount!$Q$6:$Q$92,Headcount!$L$6:$L$92)/12),0),IF(YEAR(BU$3)=YEAR(Headcount!$R$4),IF((BU$5&lt;=12),(SUMPRODUCT(--(Headcount!$F$6:$F$92="Sales"),--(Headcount!$H$6:$H$92&gt;=Sales!BU$3),Headcount!$R$6:$R$92,Headcount!$L$6:$L$92)/12),0),"New Year"))))),SUMIF('Dept. Cost Actuals'!$E$7:$E$176,"*bonus*",'Dept. Cost Actuals'!BY$877:BY$1046))</f>
        <v>20839.2146779545</v>
      </c>
      <c r="BV16" s="668">
        <f>IF(BV$4="forecast",IF(YEAR(BV$3)=YEAR(Headcount!$N$4),IF((BV$5&lt;12),(SUMPRODUCT(--(Headcount!$F$6:$F$92="Sales"),--(Headcount!$H$6:$H$92&gt;=Sales!BV$3),Headcount!$N$6:$N$92,Headcount!$L$6:$L$92)/12),0),IF(YEAR(BV$3)=YEAR(Headcount!$O$4),IF((BV$5&lt;=12),(SUMPRODUCT(--(Headcount!$F$6:$F$92="Sales"),--(Headcount!$H$6:$H$92&gt;=Sales!BV$3),Headcount!$O$6:$O$92,Headcount!$L$6:$L$92)/12),0),IF(YEAR(BV$3)=YEAR(Headcount!$P$4),IF((BV$5&lt;=12),(SUMPRODUCT(--(Headcount!$F$6:$F$92="Sales"),--(Headcount!$H$6:$H$92&gt;=Sales!BV$3),Headcount!$P$6:$P$92,Headcount!$L$6:$L$92)/12),0),IF(YEAR(BV$3)=YEAR(Headcount!$Q$4),IF((BV$5&lt;=12),(SUMPRODUCT(--(Headcount!$F$6:$F$92="Sales"),--(Headcount!$H$6:$H$92&gt;=Sales!BV$3),Headcount!$Q$6:$Q$92,Headcount!$L$6:$L$92)/12),0),IF(YEAR(BV$3)=YEAR(Headcount!$R$4),IF((BV$5&lt;=12),(SUMPRODUCT(--(Headcount!$F$6:$F$92="Sales"),--(Headcount!$H$6:$H$92&gt;=Sales!BV$3),Headcount!$R$6:$R$92,Headcount!$L$6:$L$92)/12),0),"New Year"))))),SUMIF('Dept. Cost Actuals'!$E$7:$E$176,"*bonus*",'Dept. Cost Actuals'!BZ$877:BZ$1046))</f>
        <v>20839.2146779545</v>
      </c>
    </row>
    <row r="17" spans="2:74" s="626" customFormat="1" ht="12.75" x14ac:dyDescent="0.2">
      <c r="B17" s="791" t="s">
        <v>932</v>
      </c>
      <c r="C17" s="1210">
        <f t="shared" ref="C17:AG17" si="5">SUM(C15:C16)</f>
        <v>0</v>
      </c>
      <c r="D17" s="1210">
        <f t="shared" si="5"/>
        <v>0</v>
      </c>
      <c r="E17" s="1210">
        <f t="shared" si="5"/>
        <v>0</v>
      </c>
      <c r="F17" s="1210">
        <f t="shared" si="5"/>
        <v>0</v>
      </c>
      <c r="G17" s="1210">
        <f t="shared" si="5"/>
        <v>0</v>
      </c>
      <c r="H17" s="1210">
        <f t="shared" si="5"/>
        <v>0</v>
      </c>
      <c r="I17" s="1210">
        <f t="shared" si="5"/>
        <v>0</v>
      </c>
      <c r="J17" s="1210">
        <f t="shared" si="5"/>
        <v>0</v>
      </c>
      <c r="K17" s="1210">
        <f t="shared" si="5"/>
        <v>0</v>
      </c>
      <c r="L17" s="1210">
        <f t="shared" si="5"/>
        <v>0</v>
      </c>
      <c r="M17" s="1210">
        <f t="shared" si="5"/>
        <v>0</v>
      </c>
      <c r="N17" s="1210">
        <f t="shared" si="5"/>
        <v>0</v>
      </c>
      <c r="O17" s="1210">
        <f t="shared" si="5"/>
        <v>29892.83</v>
      </c>
      <c r="P17" s="1210">
        <f t="shared" si="5"/>
        <v>29892.83</v>
      </c>
      <c r="Q17" s="1210">
        <f t="shared" si="5"/>
        <v>29892.83</v>
      </c>
      <c r="R17" s="1210">
        <f t="shared" si="5"/>
        <v>29892.83</v>
      </c>
      <c r="S17" s="1210">
        <f t="shared" si="5"/>
        <v>29892.83</v>
      </c>
      <c r="T17" s="1210">
        <f t="shared" si="5"/>
        <v>29892.83</v>
      </c>
      <c r="U17" s="1210">
        <f t="shared" si="5"/>
        <v>29892.83</v>
      </c>
      <c r="V17" s="1210">
        <f t="shared" si="5"/>
        <v>29892.83</v>
      </c>
      <c r="W17" s="1210">
        <f t="shared" si="5"/>
        <v>30137.82</v>
      </c>
      <c r="X17" s="1210">
        <f t="shared" si="5"/>
        <v>29892.83</v>
      </c>
      <c r="Y17" s="1210">
        <f t="shared" si="5"/>
        <v>29892.83</v>
      </c>
      <c r="Z17" s="1210">
        <f t="shared" si="5"/>
        <v>-51357.13</v>
      </c>
      <c r="AA17" s="1210">
        <f t="shared" si="5"/>
        <v>33333.32</v>
      </c>
      <c r="AB17" s="1210">
        <f t="shared" si="5"/>
        <v>33333.32</v>
      </c>
      <c r="AC17" s="1210">
        <f t="shared" si="5"/>
        <v>8333.33</v>
      </c>
      <c r="AD17" s="1210">
        <f t="shared" si="5"/>
        <v>19070.833499999997</v>
      </c>
      <c r="AE17" s="1210">
        <f t="shared" si="5"/>
        <v>19070.833499999997</v>
      </c>
      <c r="AF17" s="1210">
        <f t="shared" si="5"/>
        <v>19070.833499999997</v>
      </c>
      <c r="AG17" s="1210">
        <f t="shared" si="5"/>
        <v>19070.833499999997</v>
      </c>
      <c r="AH17" s="1210">
        <f t="shared" ref="AH17" si="6">SUM(AH15:AH16)</f>
        <v>19070.833499999997</v>
      </c>
      <c r="AI17" s="1210">
        <f t="shared" ref="AI17:BV17" si="7">SUM(AI15:AI16)</f>
        <v>19070.833499999997</v>
      </c>
      <c r="AJ17" s="1210">
        <f t="shared" si="7"/>
        <v>19070.833499999997</v>
      </c>
      <c r="AK17" s="1210">
        <f t="shared" si="7"/>
        <v>19070.833499999997</v>
      </c>
      <c r="AL17" s="1210">
        <f t="shared" si="7"/>
        <v>19070.833499999997</v>
      </c>
      <c r="AM17" s="1210">
        <f t="shared" si="7"/>
        <v>19642.958504999999</v>
      </c>
      <c r="AN17" s="1210">
        <f t="shared" si="7"/>
        <v>19642.958504999999</v>
      </c>
      <c r="AO17" s="1210">
        <f t="shared" si="7"/>
        <v>19642.958504999999</v>
      </c>
      <c r="AP17" s="1210">
        <f t="shared" si="7"/>
        <v>19642.958504999999</v>
      </c>
      <c r="AQ17" s="1210">
        <f t="shared" si="7"/>
        <v>19642.958504999999</v>
      </c>
      <c r="AR17" s="1210">
        <f t="shared" si="7"/>
        <v>19642.958504999999</v>
      </c>
      <c r="AS17" s="1210">
        <f t="shared" si="7"/>
        <v>19642.958504999999</v>
      </c>
      <c r="AT17" s="1210">
        <f t="shared" si="7"/>
        <v>19642.958504999999</v>
      </c>
      <c r="AU17" s="1210">
        <f t="shared" si="7"/>
        <v>19642.958504999999</v>
      </c>
      <c r="AV17" s="1210">
        <f t="shared" si="7"/>
        <v>19642.958504999999</v>
      </c>
      <c r="AW17" s="1210">
        <f t="shared" si="7"/>
        <v>19642.958504999999</v>
      </c>
      <c r="AX17" s="1210">
        <f t="shared" si="7"/>
        <v>19642.958504999999</v>
      </c>
      <c r="AY17" s="1210">
        <f t="shared" si="7"/>
        <v>20232.24726014999</v>
      </c>
      <c r="AZ17" s="1210">
        <f t="shared" si="7"/>
        <v>20232.24726014999</v>
      </c>
      <c r="BA17" s="1210">
        <f t="shared" si="7"/>
        <v>20232.24726014999</v>
      </c>
      <c r="BB17" s="1210">
        <f t="shared" si="7"/>
        <v>20232.24726014999</v>
      </c>
      <c r="BC17" s="1210">
        <f t="shared" si="7"/>
        <v>20232.24726014999</v>
      </c>
      <c r="BD17" s="1210">
        <f t="shared" si="7"/>
        <v>20232.24726014999</v>
      </c>
      <c r="BE17" s="1210">
        <f t="shared" si="7"/>
        <v>20232.24726014999</v>
      </c>
      <c r="BF17" s="1210">
        <f t="shared" si="7"/>
        <v>20232.24726014999</v>
      </c>
      <c r="BG17" s="1210">
        <f t="shared" si="7"/>
        <v>20232.24726014999</v>
      </c>
      <c r="BH17" s="1210">
        <f t="shared" si="7"/>
        <v>20232.24726014999</v>
      </c>
      <c r="BI17" s="1210">
        <f t="shared" si="7"/>
        <v>20232.24726014999</v>
      </c>
      <c r="BJ17" s="1210">
        <f t="shared" si="7"/>
        <v>20232.24726014999</v>
      </c>
      <c r="BK17" s="1210">
        <f t="shared" si="7"/>
        <v>20839.2146779545</v>
      </c>
      <c r="BL17" s="1210">
        <f t="shared" si="7"/>
        <v>20839.2146779545</v>
      </c>
      <c r="BM17" s="1210">
        <f t="shared" si="7"/>
        <v>20839.2146779545</v>
      </c>
      <c r="BN17" s="1210">
        <f t="shared" si="7"/>
        <v>20839.2146779545</v>
      </c>
      <c r="BO17" s="1210">
        <f t="shared" si="7"/>
        <v>20839.2146779545</v>
      </c>
      <c r="BP17" s="1210">
        <f t="shared" si="7"/>
        <v>20839.2146779545</v>
      </c>
      <c r="BQ17" s="1210">
        <f t="shared" si="7"/>
        <v>20839.2146779545</v>
      </c>
      <c r="BR17" s="1210">
        <f t="shared" si="7"/>
        <v>20839.2146779545</v>
      </c>
      <c r="BS17" s="1210">
        <f t="shared" si="7"/>
        <v>20839.2146779545</v>
      </c>
      <c r="BT17" s="1210">
        <f t="shared" si="7"/>
        <v>20839.2146779545</v>
      </c>
      <c r="BU17" s="1210">
        <f t="shared" si="7"/>
        <v>20839.2146779545</v>
      </c>
      <c r="BV17" s="1210">
        <f t="shared" si="7"/>
        <v>20839.2146779545</v>
      </c>
    </row>
    <row r="18" spans="2:74" s="626" customFormat="1" ht="12.75" x14ac:dyDescent="0.2">
      <c r="B18" s="794" t="s">
        <v>1344</v>
      </c>
      <c r="C18" s="991">
        <f>IF(C$4="forecast",C14*0.12,SUMIF('Dept. Cost Actuals'!$E$7:$E$176,"*payroll taxes*",'Dept. Cost Actuals'!G$877:G$1046))</f>
        <v>3356.1429466478548</v>
      </c>
      <c r="D18" s="991">
        <f>IF(D$4="forecast",D14*0.12,SUMIF('Dept. Cost Actuals'!$E$7:$E$176,"*payroll taxes*",'Dept. Cost Actuals'!H$877:H$1046))</f>
        <v>2161.4209902543175</v>
      </c>
      <c r="E18" s="991">
        <f>IF(E$4="forecast",E14*0.12,SUMIF('Dept. Cost Actuals'!$E$7:$E$176,"*payroll taxes*",'Dept. Cost Actuals'!I$877:I$1046))</f>
        <v>1942.1716186845044</v>
      </c>
      <c r="F18" s="991">
        <f>IF(F$4="forecast",F14*0.12,SUMIF('Dept. Cost Actuals'!$E$7:$E$176,"*payroll taxes*",'Dept. Cost Actuals'!J$877:J$1046))</f>
        <v>2966.7346454745566</v>
      </c>
      <c r="G18" s="991">
        <f>IF(G$4="forecast",G14*0.12,SUMIF('Dept. Cost Actuals'!$E$7:$E$176,"*payroll taxes*",'Dept. Cost Actuals'!K$877:K$1046))</f>
        <v>7780.1290051249052</v>
      </c>
      <c r="H18" s="991">
        <f>IF(H$4="forecast",H14*0.12,SUMIF('Dept. Cost Actuals'!$E$7:$E$176,"*payroll taxes*",'Dept. Cost Actuals'!L$877:L$1046))</f>
        <v>3674.2878019117188</v>
      </c>
      <c r="I18" s="991">
        <f>IF(I$4="forecast",I14*0.12,SUMIF('Dept. Cost Actuals'!$E$7:$E$176,"*payroll taxes*",'Dept. Cost Actuals'!M$877:M$1046))</f>
        <v>7733.5197856818604</v>
      </c>
      <c r="J18" s="991">
        <f>IF(J$4="forecast",J14*0.12,SUMIF('Dept. Cost Actuals'!$E$7:$E$176,"*payroll taxes*",'Dept. Cost Actuals'!N$877:N$1046))</f>
        <v>7361.8760464975157</v>
      </c>
      <c r="K18" s="991">
        <f>IF(K$4="forecast",K14*0.12,SUMIF('Dept. Cost Actuals'!$E$7:$E$176,"*payroll taxes*",'Dept. Cost Actuals'!O$877:O$1046))</f>
        <v>2588.6597220782828</v>
      </c>
      <c r="L18" s="991">
        <f>IF(L$4="forecast",L14*0.12,SUMIF('Dept. Cost Actuals'!$E$7:$E$176,"*payroll taxes*",'Dept. Cost Actuals'!P$877:P$1046))</f>
        <v>7385.2424888848445</v>
      </c>
      <c r="M18" s="991">
        <f>IF(M$4="forecast",M14*0.12,SUMIF('Dept. Cost Actuals'!$E$7:$E$176,"*payroll taxes*",'Dept. Cost Actuals'!Q$877:Q$1046))</f>
        <v>5481.6278966708078</v>
      </c>
      <c r="N18" s="991">
        <f>IF(N$4="forecast",N14*0.12,SUMIF('Dept. Cost Actuals'!$E$7:$E$176,"*payroll taxes*",'Dept. Cost Actuals'!R$877:R$1046))</f>
        <v>2133.6796088851474</v>
      </c>
      <c r="O18" s="991">
        <f>IF(O$4="forecast",O14*0.12,SUMIF('Dept. Cost Actuals'!$E$7:$E$176,"*payroll taxes*",'Dept. Cost Actuals'!S$877:S$1046))</f>
        <v>11344.720000000001</v>
      </c>
      <c r="P18" s="991">
        <f>IF(P$4="forecast",P14*0.12,SUMIF('Dept. Cost Actuals'!$E$7:$E$176,"*payroll taxes*",'Dept. Cost Actuals'!T$877:T$1046))</f>
        <v>9880.1899999999987</v>
      </c>
      <c r="Q18" s="991">
        <f>IF(Q$4="forecast",Q14*0.12,SUMIF('Dept. Cost Actuals'!$E$7:$E$176,"*payroll taxes*",'Dept. Cost Actuals'!U$877:U$1046))</f>
        <v>8221.7900000000009</v>
      </c>
      <c r="R18" s="991">
        <f>IF(R$4="forecast",R14*0.12,SUMIF('Dept. Cost Actuals'!$E$7:$E$176,"*payroll taxes*",'Dept. Cost Actuals'!V$877:V$1046))</f>
        <v>8719</v>
      </c>
      <c r="S18" s="991">
        <f>IF(S$4="forecast",S14*0.12,SUMIF('Dept. Cost Actuals'!$E$7:$E$176,"*payroll taxes*",'Dept. Cost Actuals'!W$877:W$1046))</f>
        <v>7954.6399999999994</v>
      </c>
      <c r="T18" s="991">
        <f>IF(T$4="forecast",T14*0.12,SUMIF('Dept. Cost Actuals'!$E$7:$E$176,"*payroll taxes*",'Dept. Cost Actuals'!X$877:X$1046))</f>
        <v>3143.67</v>
      </c>
      <c r="U18" s="991">
        <f>IF(U$4="forecast",U14*0.12,SUMIF('Dept. Cost Actuals'!$E$7:$E$176,"*payroll taxes*",'Dept. Cost Actuals'!Y$877:Y$1046))</f>
        <v>2309.3200000000002</v>
      </c>
      <c r="V18" s="991">
        <f>IF(V$4="forecast",V14*0.12,SUMIF('Dept. Cost Actuals'!$E$7:$E$176,"*payroll taxes*",'Dept. Cost Actuals'!Z$877:Z$1046))</f>
        <v>237.38</v>
      </c>
      <c r="W18" s="991">
        <f>IF(W$4="forecast",W14*0.12,SUMIF('Dept. Cost Actuals'!$E$7:$E$176,"*payroll taxes*",'Dept. Cost Actuals'!AA$877:AA$1046))</f>
        <v>4201.6400000000003</v>
      </c>
      <c r="X18" s="991">
        <f>IF(X$4="forecast",X14*0.12,SUMIF('Dept. Cost Actuals'!$E$7:$E$176,"*payroll taxes*",'Dept. Cost Actuals'!AB$877:AB$1046))</f>
        <v>2310.7400000000002</v>
      </c>
      <c r="Y18" s="991">
        <f>IF(Y$4="forecast",Y14*0.12,SUMIF('Dept. Cost Actuals'!$E$7:$E$176,"*payroll taxes*",'Dept. Cost Actuals'!AC$877:AC$1046))</f>
        <v>2195.85</v>
      </c>
      <c r="Z18" s="991">
        <f>IF(Z$4="forecast",Z14*0.12,SUMIF('Dept. Cost Actuals'!$E$7:$E$176,"*payroll taxes*",'Dept. Cost Actuals'!AD$877:AD$1046))</f>
        <v>-4200.6099999999997</v>
      </c>
      <c r="AA18" s="991">
        <f>IF(AA$4="forecast",AA14*0.12,SUMIF('Dept. Cost Actuals'!$E$7:$E$176,"*payroll taxes*",'Dept. Cost Actuals'!AE$877:AE$1046))</f>
        <v>9895.42</v>
      </c>
      <c r="AB18" s="991">
        <f>IF(AB$4="forecast",AB14*0.12,SUMIF('Dept. Cost Actuals'!$E$7:$E$176,"*payroll taxes*",'Dept. Cost Actuals'!AF$877:AF$1046))</f>
        <v>7081.8799999999992</v>
      </c>
      <c r="AC18" s="991">
        <f>IF(AC$4="forecast",AC14*0.12,SUMIF('Dept. Cost Actuals'!$E$7:$E$176,"*payroll taxes*",'Dept. Cost Actuals'!AG$877:AG$1046))</f>
        <v>7425.93</v>
      </c>
      <c r="AD18" s="991">
        <f>IF(AD$4="forecast",AD14*0.12,SUMIF('Dept. Cost Actuals'!$E$7:$E$176,"*payroll taxes*",'Dept. Cost Actuals'!AH$877:AH$1046))</f>
        <v>8450</v>
      </c>
      <c r="AE18" s="991">
        <f>IF(AE$4="forecast",AE14*0.12,SUMIF('Dept. Cost Actuals'!$E$7:$E$176,"*payroll taxes*",'Dept. Cost Actuals'!AI$877:AI$1046))</f>
        <v>8450</v>
      </c>
      <c r="AF18" s="991">
        <f>IF(AF$4="forecast",AF14*0.12,SUMIF('Dept. Cost Actuals'!$E$7:$E$176,"*payroll taxes*",'Dept. Cost Actuals'!AJ$877:AJ$1046))</f>
        <v>8450</v>
      </c>
      <c r="AG18" s="991">
        <f>IF(AG$4="forecast",AG14*0.12,SUMIF('Dept. Cost Actuals'!$E$7:$E$176,"*payroll taxes*",'Dept. Cost Actuals'!AK$877:AK$1046))</f>
        <v>8450</v>
      </c>
      <c r="AH18" s="991">
        <f>IF(AH$4="forecast",AH14*0.12,SUMIF('Dept. Cost Actuals'!$E$7:$E$176,"*payroll taxes*",'Dept. Cost Actuals'!AL$877:AL$1046))</f>
        <v>8450</v>
      </c>
      <c r="AI18" s="991">
        <f>IF(AI$4="forecast",AI14*0.12,SUMIF('Dept. Cost Actuals'!$E$7:$E$176,"*payroll taxes*",'Dept. Cost Actuals'!AM$877:AM$1046))</f>
        <v>8450</v>
      </c>
      <c r="AJ18" s="991">
        <f>IF(AJ$4="forecast",AJ14*0.12,SUMIF('Dept. Cost Actuals'!$E$7:$E$176,"*payroll taxes*",'Dept. Cost Actuals'!AN$877:AN$1046))</f>
        <v>8450</v>
      </c>
      <c r="AK18" s="991">
        <f>IF(AK$4="forecast",AK14*0.12,SUMIF('Dept. Cost Actuals'!$E$7:$E$176,"*payroll taxes*",'Dept. Cost Actuals'!AO$877:AO$1046))</f>
        <v>8450</v>
      </c>
      <c r="AL18" s="991">
        <f>IF(AL$4="forecast",AL14*0.12,SUMIF('Dept. Cost Actuals'!$E$7:$E$176,"*payroll taxes*",'Dept. Cost Actuals'!AP$877:AP$1046))</f>
        <v>5700</v>
      </c>
      <c r="AM18" s="991">
        <f>IF(AM$4="forecast",AM14*0.12,SUMIF('Dept. Cost Actuals'!$E$7:$E$176,"*payroll taxes*",'Dept. Cost Actuals'!AQ$877:AQ$1046))</f>
        <v>5700</v>
      </c>
      <c r="AN18" s="991">
        <f>IF(AN$4="forecast",AN14*0.12,SUMIF('Dept. Cost Actuals'!$E$7:$E$176,"*payroll taxes*",'Dept. Cost Actuals'!AR$877:AR$1046))</f>
        <v>5700</v>
      </c>
      <c r="AO18" s="991">
        <f>IF(AO$4="forecast",AO14*0.12,SUMIF('Dept. Cost Actuals'!$E$7:$E$176,"*payroll taxes*",'Dept. Cost Actuals'!AS$877:AS$1046))</f>
        <v>5700</v>
      </c>
      <c r="AP18" s="991">
        <f>IF(AP$4="forecast",AP14*0.12,SUMIF('Dept. Cost Actuals'!$E$7:$E$176,"*payroll taxes*",'Dept. Cost Actuals'!AT$877:AT$1046))</f>
        <v>5700</v>
      </c>
      <c r="AQ18" s="991">
        <f>IF(AQ$4="forecast",AQ14*0.12,SUMIF('Dept. Cost Actuals'!$E$7:$E$176,"*payroll taxes*",'Dept. Cost Actuals'!AU$877:AU$1046))</f>
        <v>5700</v>
      </c>
      <c r="AR18" s="991">
        <f>IF(AR$4="forecast",AR14*0.12,SUMIF('Dept. Cost Actuals'!$E$7:$E$176,"*payroll taxes*",'Dept. Cost Actuals'!AV$877:AV$1046))</f>
        <v>5700</v>
      </c>
      <c r="AS18" s="991">
        <f>IF(AS$4="forecast",AS14*0.12,SUMIF('Dept. Cost Actuals'!$E$7:$E$176,"*payroll taxes*",'Dept. Cost Actuals'!AW$877:AW$1046))</f>
        <v>5700</v>
      </c>
      <c r="AT18" s="991">
        <f>IF(AT$4="forecast",AT14*0.12,SUMIF('Dept. Cost Actuals'!$E$7:$E$176,"*payroll taxes*",'Dept. Cost Actuals'!AX$877:AX$1046))</f>
        <v>5700</v>
      </c>
      <c r="AU18" s="991">
        <f>IF(AU$4="forecast",AU14*0.12,SUMIF('Dept. Cost Actuals'!$E$7:$E$176,"*payroll taxes*",'Dept. Cost Actuals'!AY$877:AY$1046))</f>
        <v>5700</v>
      </c>
      <c r="AV18" s="991">
        <f>IF(AV$4="forecast",AV14*0.12,SUMIF('Dept. Cost Actuals'!$E$7:$E$176,"*payroll taxes*",'Dept. Cost Actuals'!AZ$877:AZ$1046))</f>
        <v>5700</v>
      </c>
      <c r="AW18" s="991">
        <f>IF(AW$4="forecast",AW14*0.12,SUMIF('Dept. Cost Actuals'!$E$7:$E$176,"*payroll taxes*",'Dept. Cost Actuals'!BA$877:BA$1046))</f>
        <v>5700</v>
      </c>
      <c r="AX18" s="991">
        <f>IF(AX$4="forecast",AX14*0.12,SUMIF('Dept. Cost Actuals'!$E$7:$E$176,"*payroll taxes*",'Dept. Cost Actuals'!BB$877:BB$1046))</f>
        <v>5700</v>
      </c>
      <c r="AY18" s="991">
        <f>IF(AY$4="forecast",AY14*0.12,SUMIF('Dept. Cost Actuals'!$E$7:$E$176,"*payroll taxes*",'Dept. Cost Actuals'!BC$877:BC$1046))</f>
        <v>5700</v>
      </c>
      <c r="AZ18" s="991">
        <f>IF(AZ$4="forecast",AZ14*0.12,SUMIF('Dept. Cost Actuals'!$E$7:$E$176,"*payroll taxes*",'Dept. Cost Actuals'!BD$877:BD$1046))</f>
        <v>5700</v>
      </c>
      <c r="BA18" s="991">
        <f>IF(BA$4="forecast",BA14*0.12,SUMIF('Dept. Cost Actuals'!$E$7:$E$176,"*payroll taxes*",'Dept. Cost Actuals'!BE$877:BE$1046))</f>
        <v>5700</v>
      </c>
      <c r="BB18" s="991">
        <f>IF(BB$4="forecast",BB14*0.12,SUMIF('Dept. Cost Actuals'!$E$7:$E$176,"*payroll taxes*",'Dept. Cost Actuals'!BF$877:BF$1046))</f>
        <v>5700</v>
      </c>
      <c r="BC18" s="991">
        <f>IF(BC$4="forecast",BC14*0.12,SUMIF('Dept. Cost Actuals'!$E$7:$E$176,"*payroll taxes*",'Dept. Cost Actuals'!BG$877:BG$1046))</f>
        <v>5700</v>
      </c>
      <c r="BD18" s="991">
        <f>IF(BD$4="forecast",BD14*0.12,SUMIF('Dept. Cost Actuals'!$E$7:$E$176,"*payroll taxes*",'Dept. Cost Actuals'!BH$877:BH$1046))</f>
        <v>5700</v>
      </c>
      <c r="BE18" s="991">
        <f>IF(BE$4="forecast",BE14*0.12,SUMIF('Dept. Cost Actuals'!$E$7:$E$176,"*payroll taxes*",'Dept. Cost Actuals'!BI$877:BI$1046))</f>
        <v>5700</v>
      </c>
      <c r="BF18" s="991">
        <f>IF(BF$4="forecast",BF14*0.12,SUMIF('Dept. Cost Actuals'!$E$7:$E$176,"*payroll taxes*",'Dept. Cost Actuals'!BJ$877:BJ$1046))</f>
        <v>5700</v>
      </c>
      <c r="BG18" s="991">
        <f>IF(BG$4="forecast",BG14*0.12,SUMIF('Dept. Cost Actuals'!$E$7:$E$176,"*payroll taxes*",'Dept. Cost Actuals'!BK$877:BK$1046))</f>
        <v>5700</v>
      </c>
      <c r="BH18" s="991">
        <f>IF(BH$4="forecast",BH14*0.12,SUMIF('Dept. Cost Actuals'!$E$7:$E$176,"*payroll taxes*",'Dept. Cost Actuals'!BL$877:BL$1046))</f>
        <v>5700</v>
      </c>
      <c r="BI18" s="991">
        <f>IF(BI$4="forecast",BI14*0.12,SUMIF('Dept. Cost Actuals'!$E$7:$E$176,"*payroll taxes*",'Dept. Cost Actuals'!BM$877:BM$1046))</f>
        <v>5700</v>
      </c>
      <c r="BJ18" s="991">
        <f>IF(BJ$4="forecast",BJ14*0.12,SUMIF('Dept. Cost Actuals'!$E$7:$E$176,"*payroll taxes*",'Dept. Cost Actuals'!BN$877:BN$1046))</f>
        <v>5700</v>
      </c>
      <c r="BK18" s="991">
        <f>IF(BK$4="forecast",BK14*0.12,SUMIF('Dept. Cost Actuals'!$E$7:$E$176,"*payroll taxes*",'Dept. Cost Actuals'!BO$877:BO$1046))</f>
        <v>5700</v>
      </c>
      <c r="BL18" s="991">
        <f>IF(BL$4="forecast",BL14*0.12,SUMIF('Dept. Cost Actuals'!$E$7:$E$176,"*payroll taxes*",'Dept. Cost Actuals'!BP$877:BP$1046))</f>
        <v>5700</v>
      </c>
      <c r="BM18" s="991">
        <f>IF(BM$4="forecast",BM14*0.12,SUMIF('Dept. Cost Actuals'!$E$7:$E$176,"*payroll taxes*",'Dept. Cost Actuals'!BQ$877:BQ$1046))</f>
        <v>5700</v>
      </c>
      <c r="BN18" s="991">
        <f>IF(BN$4="forecast",BN14*0.12,SUMIF('Dept. Cost Actuals'!$E$7:$E$176,"*payroll taxes*",'Dept. Cost Actuals'!BR$877:BR$1046))</f>
        <v>5700</v>
      </c>
      <c r="BO18" s="991">
        <f>IF(BO$4="forecast",BO14*0.12,SUMIF('Dept. Cost Actuals'!$E$7:$E$176,"*payroll taxes*",'Dept. Cost Actuals'!BS$877:BS$1046))</f>
        <v>5700</v>
      </c>
      <c r="BP18" s="991">
        <f>IF(BP$4="forecast",BP14*0.12,SUMIF('Dept. Cost Actuals'!$E$7:$E$176,"*payroll taxes*",'Dept. Cost Actuals'!BT$877:BT$1046))</f>
        <v>5700</v>
      </c>
      <c r="BQ18" s="991">
        <f>IF(BQ$4="forecast",BQ14*0.12,SUMIF('Dept. Cost Actuals'!$E$7:$E$176,"*payroll taxes*",'Dept. Cost Actuals'!BU$877:BU$1046))</f>
        <v>5700</v>
      </c>
      <c r="BR18" s="991">
        <f>IF(BR$4="forecast",BR14*0.12,SUMIF('Dept. Cost Actuals'!$E$7:$E$176,"*payroll taxes*",'Dept. Cost Actuals'!BV$877:BV$1046))</f>
        <v>5700</v>
      </c>
      <c r="BS18" s="991">
        <f>IF(BS$4="forecast",BS14*0.12,SUMIF('Dept. Cost Actuals'!$E$7:$E$176,"*payroll taxes*",'Dept. Cost Actuals'!BW$877:BW$1046))</f>
        <v>5700</v>
      </c>
      <c r="BT18" s="991">
        <f>IF(BT$4="forecast",BT14*0.12,SUMIF('Dept. Cost Actuals'!$E$7:$E$176,"*payroll taxes*",'Dept. Cost Actuals'!BX$877:BX$1046))</f>
        <v>5700</v>
      </c>
      <c r="BU18" s="991">
        <f>IF(BU$4="forecast",BU14*0.12,SUMIF('Dept. Cost Actuals'!$E$7:$E$176,"*payroll taxes*",'Dept. Cost Actuals'!BY$877:BY$1046))</f>
        <v>5700</v>
      </c>
      <c r="BV18" s="991">
        <f>IF(BV$4="forecast",BV14*0.12,SUMIF('Dept. Cost Actuals'!$E$7:$E$176,"*payroll taxes*",'Dept. Cost Actuals'!BZ$877:BZ$1046))</f>
        <v>5700</v>
      </c>
    </row>
    <row r="19" spans="2:74" s="626" customFormat="1" ht="12.75" x14ac:dyDescent="0.2">
      <c r="B19" s="794" t="s">
        <v>1349</v>
      </c>
      <c r="C19" s="991">
        <f>IF(C$4="forecast",((C14/251)+B$19),SUMIF('Dept. Cost Actuals'!$E$7:$E$176,"*vacation*",'Dept. Cost Actuals'!G$877:G$1046))</f>
        <v>0</v>
      </c>
      <c r="D19" s="991">
        <f>IF(D$4="forecast",((D14/251)+C$19),SUMIF('Dept. Cost Actuals'!$E$7:$E$176,"*vacation*",'Dept. Cost Actuals'!H$877:H$1046))</f>
        <v>0</v>
      </c>
      <c r="E19" s="991">
        <f>IF(E$4="forecast",((E14/251)+D$19),SUMIF('Dept. Cost Actuals'!$E$7:$E$176,"*vacation*",'Dept. Cost Actuals'!I$877:I$1046))</f>
        <v>0</v>
      </c>
      <c r="F19" s="991">
        <f>IF(F$4="forecast",((F14/251)+E$19),SUMIF('Dept. Cost Actuals'!$E$7:$E$176,"*vacation*",'Dept. Cost Actuals'!J$877:J$1046))</f>
        <v>0</v>
      </c>
      <c r="G19" s="991">
        <f>IF(G$4="forecast",((G14/251)+F$19),SUMIF('Dept. Cost Actuals'!$E$7:$E$176,"*vacation*",'Dept. Cost Actuals'!K$877:K$1046))</f>
        <v>0</v>
      </c>
      <c r="H19" s="991">
        <f>IF(H$4="forecast",((H14/251)+G$19),SUMIF('Dept. Cost Actuals'!$E$7:$E$176,"*vacation*",'Dept. Cost Actuals'!L$877:L$1046))</f>
        <v>0</v>
      </c>
      <c r="I19" s="991">
        <f>IF(I$4="forecast",((I14/251)+H$19),SUMIF('Dept. Cost Actuals'!$E$7:$E$176,"*vacation*",'Dept. Cost Actuals'!M$877:M$1046))</f>
        <v>0</v>
      </c>
      <c r="J19" s="991">
        <f>IF(J$4="forecast",((J14/251)+I$19),SUMIF('Dept. Cost Actuals'!$E$7:$E$176,"*vacation*",'Dept. Cost Actuals'!N$877:N$1046))</f>
        <v>0</v>
      </c>
      <c r="K19" s="991">
        <f>IF(K$4="forecast",((K14/251)+J$19),SUMIF('Dept. Cost Actuals'!$E$7:$E$176,"*vacation*",'Dept. Cost Actuals'!O$877:O$1046))</f>
        <v>0</v>
      </c>
      <c r="L19" s="991">
        <f>IF(L$4="forecast",((L14/251)+K$19),SUMIF('Dept. Cost Actuals'!$E$7:$E$176,"*vacation*",'Dept. Cost Actuals'!P$877:P$1046))</f>
        <v>0</v>
      </c>
      <c r="M19" s="991">
        <f>IF(M$4="forecast",((M14/251)+L$19),SUMIF('Dept. Cost Actuals'!$E$7:$E$176,"*vacation*",'Dept. Cost Actuals'!Q$877:Q$1046))</f>
        <v>0</v>
      </c>
      <c r="N19" s="991">
        <f>IF(N$4="forecast",((N14/251)+M$19),SUMIF('Dept. Cost Actuals'!$E$7:$E$176,"*vacation*",'Dept. Cost Actuals'!R$877:R$1046))</f>
        <v>0</v>
      </c>
      <c r="O19" s="991">
        <f>IF(O$4="forecast",((O14/251)+N$19),SUMIF('Dept. Cost Actuals'!$E$7:$E$176,"*vacation*",'Dept. Cost Actuals'!S$877:S$1046))</f>
        <v>-44.07</v>
      </c>
      <c r="P19" s="991">
        <f>IF(P$4="forecast",((P14/251)+O$19),SUMIF('Dept. Cost Actuals'!$E$7:$E$176,"*vacation*",'Dept. Cost Actuals'!T$877:T$1046))</f>
        <v>6125.8</v>
      </c>
      <c r="Q19" s="991">
        <f>IF(Q$4="forecast",((Q14/251)+P$19),SUMIF('Dept. Cost Actuals'!$E$7:$E$176,"*vacation*",'Dept. Cost Actuals'!U$877:U$1046))</f>
        <v>4053.61</v>
      </c>
      <c r="R19" s="991">
        <f>IF(R$4="forecast",((R14/251)+Q$19),SUMIF('Dept. Cost Actuals'!$E$7:$E$176,"*vacation*",'Dept. Cost Actuals'!V$877:V$1046))</f>
        <v>6875</v>
      </c>
      <c r="S19" s="991">
        <f>IF(S$4="forecast",((S14/251)+R$19),SUMIF('Dept. Cost Actuals'!$E$7:$E$176,"*vacation*",'Dept. Cost Actuals'!W$877:W$1046))</f>
        <v>7650.16</v>
      </c>
      <c r="T19" s="991">
        <f>IF(T$4="forecast",((T14/251)+S$19),SUMIF('Dept. Cost Actuals'!$E$7:$E$176,"*vacation*",'Dept. Cost Actuals'!X$877:X$1046))</f>
        <v>5708.64</v>
      </c>
      <c r="U19" s="991">
        <f>IF(U$4="forecast",((U14/251)+T$19),SUMIF('Dept. Cost Actuals'!$E$7:$E$176,"*vacation*",'Dept. Cost Actuals'!Y$877:Y$1046))</f>
        <v>7027.13</v>
      </c>
      <c r="V19" s="991">
        <f>IF(V$4="forecast",((V14/251)+U$19),SUMIF('Dept. Cost Actuals'!$E$7:$E$176,"*vacation*",'Dept. Cost Actuals'!Z$877:Z$1046))</f>
        <v>-8838.25</v>
      </c>
      <c r="W19" s="991">
        <f>IF(W$4="forecast",((W14/251)+V$19),SUMIF('Dept. Cost Actuals'!$E$7:$E$176,"*vacation*",'Dept. Cost Actuals'!AA$877:AA$1046))</f>
        <v>7824.03</v>
      </c>
      <c r="X19" s="991">
        <f>IF(X$4="forecast",((X14/251)+W$19),SUMIF('Dept. Cost Actuals'!$E$7:$E$176,"*vacation*",'Dept. Cost Actuals'!AB$877:AB$1046))</f>
        <v>7389.35</v>
      </c>
      <c r="Y19" s="991">
        <f>IF(Y$4="forecast",((Y14/251)+X$19),SUMIF('Dept. Cost Actuals'!$E$7:$E$176,"*vacation*",'Dept. Cost Actuals'!AC$877:AC$1046))</f>
        <v>57.96</v>
      </c>
      <c r="Z19" s="991">
        <f>IF(Z$4="forecast",((Z14/251)+Y$19),SUMIF('Dept. Cost Actuals'!$E$7:$E$176,"*vacation*",'Dept. Cost Actuals'!AD$877:AD$1046))</f>
        <v>8084.82</v>
      </c>
      <c r="AA19" s="991">
        <f>IF(AA$4="forecast",((AA14/251)+Z$19),SUMIF('Dept. Cost Actuals'!$E$7:$E$176,"*vacation*",'Dept. Cost Actuals'!AE$877:AE$1046))</f>
        <v>6288.2</v>
      </c>
      <c r="AB19" s="991">
        <f>IF(AB$4="forecast",((AB14/251)+AA$19),SUMIF('Dept. Cost Actuals'!$E$7:$E$176,"*vacation*",'Dept. Cost Actuals'!AF$877:AF$1046))</f>
        <v>4375.66</v>
      </c>
      <c r="AC19" s="991">
        <f>IF(AC$4="forecast",((AC14/251)+AB$19),SUMIF('Dept. Cost Actuals'!$E$7:$E$176,"*vacation*",'Dept. Cost Actuals'!AG$877:AG$1046))</f>
        <v>4491.57</v>
      </c>
      <c r="AD19" s="991">
        <f>IF(AD$4="forecast",((AD14/251)+AC$19),SUMIF('Dept. Cost Actuals'!$E$7:$E$176,"*vacation*",'Dept. Cost Actuals'!AH$877:AH$1046))</f>
        <v>4772.1144887118189</v>
      </c>
      <c r="AE19" s="991">
        <f>IF(AE$4="forecast",((AE14/251)+AD$19),SUMIF('Dept. Cost Actuals'!$E$7:$E$176,"*vacation*",'Dept. Cost Actuals'!AI$877:AI$1046))</f>
        <v>5052.6589774236381</v>
      </c>
      <c r="AF19" s="991">
        <f>IF(AF$4="forecast",((AF14/251)+AE$19),SUMIF('Dept. Cost Actuals'!$E$7:$E$176,"*vacation*",'Dept. Cost Actuals'!AJ$877:AJ$1046))</f>
        <v>5333.2034661354573</v>
      </c>
      <c r="AG19" s="991">
        <f>IF(AG$4="forecast",((AG14/251)+AF$19),SUMIF('Dept. Cost Actuals'!$E$7:$E$176,"*vacation*",'Dept. Cost Actuals'!AK$877:AK$1046))</f>
        <v>5613.7479548472766</v>
      </c>
      <c r="AH19" s="991">
        <f>IF(AH$4="forecast",((AH14/251)+AG$19),SUMIF('Dept. Cost Actuals'!$E$7:$E$176,"*vacation*",'Dept. Cost Actuals'!AL$877:AL$1046))</f>
        <v>5894.2924435590958</v>
      </c>
      <c r="AI19" s="991">
        <f>IF(AI$4="forecast",((AI14/251)+AH$19),SUMIF('Dept. Cost Actuals'!$E$7:$E$176,"*vacation*",'Dept. Cost Actuals'!AM$877:AM$1046))</f>
        <v>6174.836932270915</v>
      </c>
      <c r="AJ19" s="991">
        <f>IF(AJ$4="forecast",((AJ14/251)+AI$19),SUMIF('Dept. Cost Actuals'!$E$7:$E$176,"*vacation*",'Dept. Cost Actuals'!AN$877:AN$1046))</f>
        <v>6455.3814209827342</v>
      </c>
      <c r="AK19" s="991">
        <f>IF(AK$4="forecast",((AK14/251)+AJ$19),SUMIF('Dept. Cost Actuals'!$E$7:$E$176,"*vacation*",'Dept. Cost Actuals'!AO$877:AO$1046))</f>
        <v>6735.9259096945534</v>
      </c>
      <c r="AL19" s="991">
        <f>IF(AL$4="forecast",((AL14/251)+AK$19),SUMIF('Dept. Cost Actuals'!$E$7:$E$176,"*vacation*",'Dept. Cost Actuals'!AP$877:AP$1046))</f>
        <v>6925.1689375829992</v>
      </c>
      <c r="AM19" s="991">
        <f>IF(AM$4="forecast",((AM14/251)+AL$19),SUMIF('Dept. Cost Actuals'!$E$7:$E$176,"*vacation*",'Dept. Cost Actuals'!AQ$877:AQ$1046))</f>
        <v>7114.411965471445</v>
      </c>
      <c r="AN19" s="991">
        <f>IF(AN$4="forecast",((AN14/251)+AM$19),SUMIF('Dept. Cost Actuals'!$E$7:$E$176,"*vacation*",'Dept. Cost Actuals'!AR$877:AR$1046))</f>
        <v>7303.6549933598908</v>
      </c>
      <c r="AO19" s="991">
        <f>IF(AO$4="forecast",((AO14/251)+AN$19),SUMIF('Dept. Cost Actuals'!$E$7:$E$176,"*vacation*",'Dept. Cost Actuals'!AS$877:AS$1046))</f>
        <v>7492.8980212483366</v>
      </c>
      <c r="AP19" s="991">
        <f>IF(AP$4="forecast",((AP14/251)+AO$19),SUMIF('Dept. Cost Actuals'!$E$7:$E$176,"*vacation*",'Dept. Cost Actuals'!AT$877:AT$1046))</f>
        <v>7682.1410491367824</v>
      </c>
      <c r="AQ19" s="991">
        <f>IF(AQ$4="forecast",((AQ14/251)+AP$19),SUMIF('Dept. Cost Actuals'!$E$7:$E$176,"*vacation*",'Dept. Cost Actuals'!AU$877:AU$1046))</f>
        <v>7871.3840770252282</v>
      </c>
      <c r="AR19" s="991">
        <f>IF(AR$4="forecast",((AR14/251)+AQ$19),SUMIF('Dept. Cost Actuals'!$E$7:$E$176,"*vacation*",'Dept. Cost Actuals'!AV$877:AV$1046))</f>
        <v>8060.627104913674</v>
      </c>
      <c r="AS19" s="991">
        <f>IF(AS$4="forecast",((AS14/251)+AR$19),SUMIF('Dept. Cost Actuals'!$E$7:$E$176,"*vacation*",'Dept. Cost Actuals'!AW$877:AW$1046))</f>
        <v>8249.8701328021198</v>
      </c>
      <c r="AT19" s="991">
        <f>IF(AT$4="forecast",((AT14/251)+AS$19),SUMIF('Dept. Cost Actuals'!$E$7:$E$176,"*vacation*",'Dept. Cost Actuals'!AX$877:AX$1046))</f>
        <v>8439.1131606905656</v>
      </c>
      <c r="AU19" s="991">
        <f>IF(AU$4="forecast",((AU14/251)+AT$19),SUMIF('Dept. Cost Actuals'!$E$7:$E$176,"*vacation*",'Dept. Cost Actuals'!AY$877:AY$1046))</f>
        <v>8628.3561885790114</v>
      </c>
      <c r="AV19" s="991">
        <f>IF(AV$4="forecast",((AV14/251)+AU$19),SUMIF('Dept. Cost Actuals'!$E$7:$E$176,"*vacation*",'Dept. Cost Actuals'!AZ$877:AZ$1046))</f>
        <v>8817.5992164674572</v>
      </c>
      <c r="AW19" s="991">
        <f>IF(AW$4="forecast",((AW14/251)+AV$19),SUMIF('Dept. Cost Actuals'!$E$7:$E$176,"*vacation*",'Dept. Cost Actuals'!BA$877:BA$1046))</f>
        <v>9006.8422443559029</v>
      </c>
      <c r="AX19" s="991">
        <f>IF(AX$4="forecast",((AX14/251)+AW$19),SUMIF('Dept. Cost Actuals'!$E$7:$E$176,"*vacation*",'Dept. Cost Actuals'!BB$877:BB$1046))</f>
        <v>9196.0852722443487</v>
      </c>
      <c r="AY19" s="991">
        <f>IF(AY$4="forecast",((AY14/251)+AX$19),SUMIF('Dept. Cost Actuals'!$E$7:$E$176,"*vacation*",'Dept. Cost Actuals'!BC$877:BC$1046))</f>
        <v>9385.3283001327945</v>
      </c>
      <c r="AZ19" s="991">
        <f>IF(AZ$4="forecast",((AZ14/251)+AY$19),SUMIF('Dept. Cost Actuals'!$E$7:$E$176,"*vacation*",'Dept. Cost Actuals'!BD$877:BD$1046))</f>
        <v>9574.5713280212403</v>
      </c>
      <c r="BA19" s="991">
        <f>IF(BA$4="forecast",((BA14/251)+AZ$19),SUMIF('Dept. Cost Actuals'!$E$7:$E$176,"*vacation*",'Dept. Cost Actuals'!BE$877:BE$1046))</f>
        <v>9763.8143559096861</v>
      </c>
      <c r="BB19" s="991">
        <f>IF(BB$4="forecast",((BB14/251)+BA$19),SUMIF('Dept. Cost Actuals'!$E$7:$E$176,"*vacation*",'Dept. Cost Actuals'!BF$877:BF$1046))</f>
        <v>9953.0573837981319</v>
      </c>
      <c r="BC19" s="991">
        <f>IF(BC$4="forecast",((BC14/251)+BB$19),SUMIF('Dept. Cost Actuals'!$E$7:$E$176,"*vacation*",'Dept. Cost Actuals'!BG$877:BG$1046))</f>
        <v>10142.300411686578</v>
      </c>
      <c r="BD19" s="991">
        <f>IF(BD$4="forecast",((BD14/251)+BC$19),SUMIF('Dept. Cost Actuals'!$E$7:$E$176,"*vacation*",'Dept. Cost Actuals'!BH$877:BH$1046))</f>
        <v>10331.543439575024</v>
      </c>
      <c r="BE19" s="991">
        <f>IF(BE$4="forecast",((BE14/251)+BD$19),SUMIF('Dept. Cost Actuals'!$E$7:$E$176,"*vacation*",'Dept. Cost Actuals'!BI$877:BI$1046))</f>
        <v>10520.786467463469</v>
      </c>
      <c r="BF19" s="991">
        <f>IF(BF$4="forecast",((BF14/251)+BE$19),SUMIF('Dept. Cost Actuals'!$E$7:$E$176,"*vacation*",'Dept. Cost Actuals'!BJ$877:BJ$1046))</f>
        <v>10710.029495351915</v>
      </c>
      <c r="BG19" s="991">
        <f>IF(BG$4="forecast",((BG14/251)+BF$19),SUMIF('Dept. Cost Actuals'!$E$7:$E$176,"*vacation*",'Dept. Cost Actuals'!BK$877:BK$1046))</f>
        <v>10899.272523240361</v>
      </c>
      <c r="BH19" s="991">
        <f>IF(BH$4="forecast",((BH14/251)+BG$19),SUMIF('Dept. Cost Actuals'!$E$7:$E$176,"*vacation*",'Dept. Cost Actuals'!BL$877:BL$1046))</f>
        <v>11088.515551128807</v>
      </c>
      <c r="BI19" s="991">
        <f>IF(BI$4="forecast",((BI14/251)+BH$19),SUMIF('Dept. Cost Actuals'!$E$7:$E$176,"*vacation*",'Dept. Cost Actuals'!BM$877:BM$1046))</f>
        <v>11277.758579017252</v>
      </c>
      <c r="BJ19" s="991">
        <f>IF(BJ$4="forecast",((BJ14/251)+BI$19),SUMIF('Dept. Cost Actuals'!$E$7:$E$176,"*vacation*",'Dept. Cost Actuals'!BN$877:BN$1046))</f>
        <v>11467.001606905698</v>
      </c>
      <c r="BK19" s="991">
        <f>IF(BK$4="forecast",((BK14/251)+BJ$19),SUMIF('Dept. Cost Actuals'!$E$7:$E$176,"*vacation*",'Dept. Cost Actuals'!BO$877:BO$1046))</f>
        <v>11656.244634794144</v>
      </c>
      <c r="BL19" s="991">
        <f>IF(BL$4="forecast",((BL14/251)+BK$19),SUMIF('Dept. Cost Actuals'!$E$7:$E$176,"*vacation*",'Dept. Cost Actuals'!BP$877:BP$1046))</f>
        <v>11845.48766268259</v>
      </c>
      <c r="BM19" s="991">
        <f>IF(BM$4="forecast",((BM14/251)+BL$19),SUMIF('Dept. Cost Actuals'!$E$7:$E$176,"*vacation*",'Dept. Cost Actuals'!BQ$877:BQ$1046))</f>
        <v>12034.730690571036</v>
      </c>
      <c r="BN19" s="991">
        <f>IF(BN$4="forecast",((BN14/251)+BM$19),SUMIF('Dept. Cost Actuals'!$E$7:$E$176,"*vacation*",'Dept. Cost Actuals'!BR$877:BR$1046))</f>
        <v>12223.973718459481</v>
      </c>
      <c r="BO19" s="991">
        <f>IF(BO$4="forecast",((BO14/251)+BN$19),SUMIF('Dept. Cost Actuals'!$E$7:$E$176,"*vacation*",'Dept. Cost Actuals'!BS$877:BS$1046))</f>
        <v>12413.216746347927</v>
      </c>
      <c r="BP19" s="991">
        <f>IF(BP$4="forecast",((BP14/251)+BO$19),SUMIF('Dept. Cost Actuals'!$E$7:$E$176,"*vacation*",'Dept. Cost Actuals'!BT$877:BT$1046))</f>
        <v>12602.459774236373</v>
      </c>
      <c r="BQ19" s="991">
        <f>IF(BQ$4="forecast",((BQ14/251)+BP$19),SUMIF('Dept. Cost Actuals'!$E$7:$E$176,"*vacation*",'Dept. Cost Actuals'!BU$877:BU$1046))</f>
        <v>12791.702802124819</v>
      </c>
      <c r="BR19" s="991">
        <f>IF(BR$4="forecast",((BR14/251)+BQ$19),SUMIF('Dept. Cost Actuals'!$E$7:$E$176,"*vacation*",'Dept. Cost Actuals'!BV$877:BV$1046))</f>
        <v>12980.945830013265</v>
      </c>
      <c r="BS19" s="991">
        <f>IF(BS$4="forecast",((BS14/251)+BR$19),SUMIF('Dept. Cost Actuals'!$E$7:$E$176,"*vacation*",'Dept. Cost Actuals'!BW$877:BW$1046))</f>
        <v>13170.18885790171</v>
      </c>
      <c r="BT19" s="991">
        <f>IF(BT$4="forecast",((BT14/251)+BS$19),SUMIF('Dept. Cost Actuals'!$E$7:$E$176,"*vacation*",'Dept. Cost Actuals'!BX$877:BX$1046))</f>
        <v>13359.431885790156</v>
      </c>
      <c r="BU19" s="991">
        <f>IF(BU$4="forecast",((BU14/251)+BT$19),SUMIF('Dept. Cost Actuals'!$E$7:$E$176,"*vacation*",'Dept. Cost Actuals'!BY$877:BY$1046))</f>
        <v>13548.674913678602</v>
      </c>
      <c r="BV19" s="991">
        <f>IF(BV$4="forecast",((BV14/251)+BU$19),SUMIF('Dept. Cost Actuals'!$E$7:$E$176,"*vacation*",'Dept. Cost Actuals'!BZ$877:BZ$1046))</f>
        <v>13737.917941567048</v>
      </c>
    </row>
    <row r="20" spans="2:74" s="626" customFormat="1" ht="12.75" x14ac:dyDescent="0.2">
      <c r="B20" s="794" t="s">
        <v>657</v>
      </c>
      <c r="C20" s="668">
        <f>IF(C$4="forecast",(((SUM($O$20:$Z$20)/12)*1.03)),SUMIF('Dept. Cost Actuals'!$E$7:$E$176,"*Health Insurance*",'Dept. Cost Actuals'!G$877:G$1046))</f>
        <v>0</v>
      </c>
      <c r="D20" s="668">
        <f>IF(D$4="forecast",(((SUM($O$20:$Z$20)/12)*1.03)),SUMIF('Dept. Cost Actuals'!$E$7:$E$176,"*Health Insurance*",'Dept. Cost Actuals'!H$877:H$1046))</f>
        <v>0</v>
      </c>
      <c r="E20" s="668">
        <f>IF(E$4="forecast",(((SUM($O$20:$Z$20)/12)*1.03)),SUMIF('Dept. Cost Actuals'!$E$7:$E$176,"*Health Insurance*",'Dept. Cost Actuals'!I$877:I$1046))</f>
        <v>0</v>
      </c>
      <c r="F20" s="668">
        <f>IF(F$4="forecast",(((SUM($O$20:$Z$20)/12)*1.03)),SUMIF('Dept. Cost Actuals'!$E$7:$E$176,"*Health Insurance*",'Dept. Cost Actuals'!J$877:J$1046))</f>
        <v>0</v>
      </c>
      <c r="G20" s="668">
        <f>IF(G$4="forecast",(((SUM($O$20:$Z$20)/12)*1.03)),SUMIF('Dept. Cost Actuals'!$E$7:$E$176,"*Health Insurance*",'Dept. Cost Actuals'!K$877:K$1046))</f>
        <v>0</v>
      </c>
      <c r="H20" s="668">
        <f>IF(H$4="forecast",(((SUM($O$20:$Z$20)/12)*1.03)),SUMIF('Dept. Cost Actuals'!$E$7:$E$176,"*Health Insurance*",'Dept. Cost Actuals'!L$877:L$1046))</f>
        <v>0</v>
      </c>
      <c r="I20" s="668">
        <f>IF(I$4="forecast",(((SUM($O$20:$Z$20)/12)*1.03)),SUMIF('Dept. Cost Actuals'!$E$7:$E$176,"*Health Insurance*",'Dept. Cost Actuals'!M$877:M$1046))</f>
        <v>0</v>
      </c>
      <c r="J20" s="668">
        <f>IF(J$4="forecast",(((SUM($O$20:$Z$20)/12)*1.03)),SUMIF('Dept. Cost Actuals'!$E$7:$E$176,"*Health Insurance*",'Dept. Cost Actuals'!N$877:N$1046))</f>
        <v>0</v>
      </c>
      <c r="K20" s="668">
        <f>IF(K$4="forecast",(((SUM($O$20:$Z$20)/12)*1.03)),SUMIF('Dept. Cost Actuals'!$E$7:$E$176,"*Health Insurance*",'Dept. Cost Actuals'!O$877:O$1046))</f>
        <v>0</v>
      </c>
      <c r="L20" s="668">
        <f>IF(L$4="forecast",(((SUM($O$20:$Z$20)/12)*1.03)),SUMIF('Dept. Cost Actuals'!$E$7:$E$176,"*Health Insurance*",'Dept. Cost Actuals'!P$877:P$1046))</f>
        <v>0</v>
      </c>
      <c r="M20" s="668">
        <f>IF(M$4="forecast",(((SUM($O$20:$Z$20)/12)*1.03)),SUMIF('Dept. Cost Actuals'!$E$7:$E$176,"*Health Insurance*",'Dept. Cost Actuals'!Q$877:Q$1046))</f>
        <v>0</v>
      </c>
      <c r="N20" s="668">
        <f>IF(N$4="forecast",(((SUM($O$20:$Z$20)/12)*1.03)),SUMIF('Dept. Cost Actuals'!$E$7:$E$176,"*Health Insurance*",'Dept. Cost Actuals'!R$877:R$1046))</f>
        <v>0</v>
      </c>
      <c r="O20" s="668">
        <f>IF(O$4="forecast",(((SUM($O$20:$Z$20)/12)*1.03)),SUMIF('Dept. Cost Actuals'!$E$7:$E$176,"*Health Insurance*",'Dept. Cost Actuals'!S$877:S$1046))</f>
        <v>3735.36</v>
      </c>
      <c r="P20" s="668">
        <f>IF(P$4="forecast",(((SUM($O$20:$Z$20)/12)*1.03)),SUMIF('Dept. Cost Actuals'!$E$7:$E$176,"*Health Insurance*",'Dept. Cost Actuals'!T$877:T$1046))</f>
        <v>1589.32</v>
      </c>
      <c r="Q20" s="668">
        <f>IF(Q$4="forecast",(((SUM($O$20:$Z$20)/12)*1.03)),SUMIF('Dept. Cost Actuals'!$E$7:$E$176,"*Health Insurance*",'Dept. Cost Actuals'!U$877:U$1046))</f>
        <v>2817.71</v>
      </c>
      <c r="R20" s="668">
        <f>IF(R$4="forecast",(((SUM($O$20:$Z$20)/12)*1.03)),SUMIF('Dept. Cost Actuals'!$E$7:$E$176,"*Health Insurance*",'Dept. Cost Actuals'!V$877:V$1046))</f>
        <v>2604.85</v>
      </c>
      <c r="S20" s="668">
        <f>IF(S$4="forecast",(((SUM($O$20:$Z$20)/12)*1.03)),SUMIF('Dept. Cost Actuals'!$E$7:$E$176,"*Health Insurance*",'Dept. Cost Actuals'!W$877:W$1046))</f>
        <v>2282.0300000000002</v>
      </c>
      <c r="T20" s="668">
        <f>IF(T$4="forecast",(((SUM($O$20:$Z$20)/12)*1.03)),SUMIF('Dept. Cost Actuals'!$E$7:$E$176,"*Health Insurance*",'Dept. Cost Actuals'!X$877:X$1046))</f>
        <v>3341.21</v>
      </c>
      <c r="U20" s="668">
        <f>IF(U$4="forecast",(((SUM($O$20:$Z$20)/12)*1.03)),SUMIF('Dept. Cost Actuals'!$E$7:$E$176,"*Health Insurance*",'Dept. Cost Actuals'!Y$877:Y$1046))</f>
        <v>2796.62</v>
      </c>
      <c r="V20" s="668">
        <f>IF(V$4="forecast",(((SUM($O$20:$Z$20)/12)*1.03)),SUMIF('Dept. Cost Actuals'!$E$7:$E$176,"*Health Insurance*",'Dept. Cost Actuals'!Z$877:Z$1046))</f>
        <v>2756.05</v>
      </c>
      <c r="W20" s="668">
        <f>IF(W$4="forecast",(((SUM($O$20:$Z$20)/12)*1.03)),SUMIF('Dept. Cost Actuals'!$E$7:$E$176,"*Health Insurance*",'Dept. Cost Actuals'!AA$877:AA$1046))</f>
        <v>2782.52</v>
      </c>
      <c r="X20" s="668">
        <f>IF(X$4="forecast",(((SUM($O$20:$Z$20)/12)*1.03)),SUMIF('Dept. Cost Actuals'!$E$7:$E$176,"*Health Insurance*",'Dept. Cost Actuals'!AB$877:AB$1046))</f>
        <v>2838.62</v>
      </c>
      <c r="Y20" s="668">
        <f>IF(Y$4="forecast",(((SUM($O$20:$Z$20)/12)*1.03)),SUMIF('Dept. Cost Actuals'!$E$7:$E$176,"*Health Insurance*",'Dept. Cost Actuals'!AC$877:AC$1046))</f>
        <v>0</v>
      </c>
      <c r="Z20" s="668">
        <f>IF(Z$4="forecast",(((SUM($O$20:$Z$20)/12)*1.03)),SUMIF('Dept. Cost Actuals'!$E$7:$E$176,"*Health Insurance*",'Dept. Cost Actuals'!AD$877:AD$1046))</f>
        <v>1627.53</v>
      </c>
      <c r="AA20" s="668">
        <f>IF(AA$4="forecast",(((SUM($O$20:$Z$20)/12)*1.03)),SUMIF('Dept. Cost Actuals'!$E$7:$E$176,"*Health Insurance*",'Dept. Cost Actuals'!AE$877:AE$1046))</f>
        <v>2127.0499999999997</v>
      </c>
      <c r="AB20" s="668">
        <f>IF(AB$4="forecast",(((SUM($O$20:$Z$20)/12)*1.03)),SUMIF('Dept. Cost Actuals'!$E$7:$E$176,"*Health Insurance*",'Dept. Cost Actuals'!AF$877:AF$1046))</f>
        <v>4685.1900000000005</v>
      </c>
      <c r="AC20" s="668">
        <f>IF(AC$4="forecast",(((SUM($O$20:$Z$20)/12)*1.03)),SUMIF('Dept. Cost Actuals'!$E$7:$E$176,"*Health Insurance*",'Dept. Cost Actuals'!AG$877:AG$1046))</f>
        <v>3444.64</v>
      </c>
      <c r="AD20" s="668">
        <f>IF(AD$4="forecast",(((SUM($O$20:$Z$20)/12)*1.03)),SUMIF('Dept. Cost Actuals'!$E$7:$E$176,"*Health Insurance*",'Dept. Cost Actuals'!AH$877:AH$1046))</f>
        <v>2503.9145499999995</v>
      </c>
      <c r="AE20" s="668">
        <f>IF(AE$4="forecast",(((SUM($O$20:$Z$20)/12)*1.03)),SUMIF('Dept. Cost Actuals'!$E$7:$E$176,"*Health Insurance*",'Dept. Cost Actuals'!AI$877:AI$1046))</f>
        <v>2503.9145499999995</v>
      </c>
      <c r="AF20" s="668">
        <f>IF(AF$4="forecast",(((SUM($O$20:$Z$20)/12)*1.03)),SUMIF('Dept. Cost Actuals'!$E$7:$E$176,"*Health Insurance*",'Dept. Cost Actuals'!AJ$877:AJ$1046))</f>
        <v>2503.9145499999995</v>
      </c>
      <c r="AG20" s="668">
        <f>IF(AG$4="forecast",(((SUM($O$20:$Z$20)/12)*1.03)),SUMIF('Dept. Cost Actuals'!$E$7:$E$176,"*Health Insurance*",'Dept. Cost Actuals'!AK$877:AK$1046))</f>
        <v>2503.9145499999995</v>
      </c>
      <c r="AH20" s="668">
        <f>IF(AH$4="forecast",(((SUM($O$20:$Z$20)/12)*1.03)),SUMIF('Dept. Cost Actuals'!$E$7:$E$176,"*Health Insurance*",'Dept. Cost Actuals'!AL$877:AL$1046))</f>
        <v>2503.9145499999995</v>
      </c>
      <c r="AI20" s="668">
        <f>IF(AI$4="forecast",(((SUM($O$20:$Z$20)/12)*1.03)),SUMIF('Dept. Cost Actuals'!$E$7:$E$176,"*Health Insurance*",'Dept. Cost Actuals'!AM$877:AM$1046))</f>
        <v>2503.9145499999995</v>
      </c>
      <c r="AJ20" s="668">
        <f>IF(AJ$4="forecast",(((SUM($O$20:$Z$20)/12)*1.03)),SUMIF('Dept. Cost Actuals'!$E$7:$E$176,"*Health Insurance*",'Dept. Cost Actuals'!AN$877:AN$1046))</f>
        <v>2503.9145499999995</v>
      </c>
      <c r="AK20" s="668">
        <f>IF(AK$4="forecast",(((SUM($O$20:$Z$20)/12)*1.03)),SUMIF('Dept. Cost Actuals'!$E$7:$E$176,"*Health Insurance*",'Dept. Cost Actuals'!AO$877:AO$1046))</f>
        <v>2503.9145499999995</v>
      </c>
      <c r="AL20" s="668">
        <f>IF(AL$4="forecast",(((SUM($O$20:$Z$20)/12)*1.03)),SUMIF('Dept. Cost Actuals'!$E$7:$E$176,"*Health Insurance*",'Dept. Cost Actuals'!AP$877:AP$1046))</f>
        <v>2503.9145499999995</v>
      </c>
      <c r="AM20" s="668">
        <f>IF(AM$4="forecast",(((SUM($O$20:$Z$20)/12)*1.03)),SUMIF('Dept. Cost Actuals'!$E$7:$E$176,"*Health Insurance*",'Dept. Cost Actuals'!AQ$877:AQ$1046))</f>
        <v>2503.9145499999995</v>
      </c>
      <c r="AN20" s="668">
        <f>IF(AN$4="forecast",(((SUM($O$20:$Z$20)/12)*1.03)),SUMIF('Dept. Cost Actuals'!$E$7:$E$176,"*Health Insurance*",'Dept. Cost Actuals'!AR$877:AR$1046))</f>
        <v>2503.9145499999995</v>
      </c>
      <c r="AO20" s="668">
        <f>IF(AO$4="forecast",(((SUM($O$20:$Z$20)/12)*1.03)),SUMIF('Dept. Cost Actuals'!$E$7:$E$176,"*Health Insurance*",'Dept. Cost Actuals'!AS$877:AS$1046))</f>
        <v>2503.9145499999995</v>
      </c>
      <c r="AP20" s="668">
        <f>IF(AP$4="forecast",(((SUM($O$20:$Z$20)/12)*1.03)),SUMIF('Dept. Cost Actuals'!$E$7:$E$176,"*Health Insurance*",'Dept. Cost Actuals'!AT$877:AT$1046))</f>
        <v>2503.9145499999995</v>
      </c>
      <c r="AQ20" s="668">
        <f>IF(AQ$4="forecast",(((SUM($O$20:$Z$20)/12)*1.03)),SUMIF('Dept. Cost Actuals'!$E$7:$E$176,"*Health Insurance*",'Dept. Cost Actuals'!AU$877:AU$1046))</f>
        <v>2503.9145499999995</v>
      </c>
      <c r="AR20" s="668">
        <f>IF(AR$4="forecast",(((SUM($O$20:$Z$20)/12)*1.03)),SUMIF('Dept. Cost Actuals'!$E$7:$E$176,"*Health Insurance*",'Dept. Cost Actuals'!AV$877:AV$1046))</f>
        <v>2503.9145499999995</v>
      </c>
      <c r="AS20" s="668">
        <f>IF(AS$4="forecast",(((SUM($O$20:$Z$20)/12)*1.03)),SUMIF('Dept. Cost Actuals'!$E$7:$E$176,"*Health Insurance*",'Dept. Cost Actuals'!AW$877:AW$1046))</f>
        <v>2503.9145499999995</v>
      </c>
      <c r="AT20" s="668">
        <f>IF(AT$4="forecast",(((SUM($O$20:$Z$20)/12)*1.03)),SUMIF('Dept. Cost Actuals'!$E$7:$E$176,"*Health Insurance*",'Dept. Cost Actuals'!AX$877:AX$1046))</f>
        <v>2503.9145499999995</v>
      </c>
      <c r="AU20" s="668">
        <f>IF(AU$4="forecast",(((SUM($O$20:$Z$20)/12)*1.03)),SUMIF('Dept. Cost Actuals'!$E$7:$E$176,"*Health Insurance*",'Dept. Cost Actuals'!AY$877:AY$1046))</f>
        <v>2503.9145499999995</v>
      </c>
      <c r="AV20" s="668">
        <f>IF(AV$4="forecast",(((SUM($O$20:$Z$20)/12)*1.03)),SUMIF('Dept. Cost Actuals'!$E$7:$E$176,"*Health Insurance*",'Dept. Cost Actuals'!AZ$877:AZ$1046))</f>
        <v>2503.9145499999995</v>
      </c>
      <c r="AW20" s="668">
        <f>IF(AW$4="forecast",(((SUM($O$20:$Z$20)/12)*1.03)),SUMIF('Dept. Cost Actuals'!$E$7:$E$176,"*Health Insurance*",'Dept. Cost Actuals'!BA$877:BA$1046))</f>
        <v>2503.9145499999995</v>
      </c>
      <c r="AX20" s="668">
        <f>IF(AX$4="forecast",(((SUM($O$20:$Z$20)/12)*1.03)),SUMIF('Dept. Cost Actuals'!$E$7:$E$176,"*Health Insurance*",'Dept. Cost Actuals'!BB$877:BB$1046))</f>
        <v>2503.9145499999995</v>
      </c>
      <c r="AY20" s="668">
        <f>IF(AY$4="forecast",(((SUM($O$20:$Z$20)/12)*1.03)),SUMIF('Dept. Cost Actuals'!$E$7:$E$176,"*Health Insurance*",'Dept. Cost Actuals'!BC$877:BC$1046))</f>
        <v>2503.9145499999995</v>
      </c>
      <c r="AZ20" s="668">
        <f>IF(AZ$4="forecast",(((SUM($O$20:$Z$20)/12)*1.03)),SUMIF('Dept. Cost Actuals'!$E$7:$E$176,"*Health Insurance*",'Dept. Cost Actuals'!BD$877:BD$1046))</f>
        <v>2503.9145499999995</v>
      </c>
      <c r="BA20" s="668">
        <f>IF(BA$4="forecast",(((SUM($O$20:$Z$20)/12)*1.03)),SUMIF('Dept. Cost Actuals'!$E$7:$E$176,"*Health Insurance*",'Dept. Cost Actuals'!BE$877:BE$1046))</f>
        <v>2503.9145499999995</v>
      </c>
      <c r="BB20" s="668">
        <f>IF(BB$4="forecast",(((SUM($O$20:$Z$20)/12)*1.03)),SUMIF('Dept. Cost Actuals'!$E$7:$E$176,"*Health Insurance*",'Dept. Cost Actuals'!BF$877:BF$1046))</f>
        <v>2503.9145499999995</v>
      </c>
      <c r="BC20" s="668">
        <f>IF(BC$4="forecast",(((SUM($O$20:$Z$20)/12)*1.03)),SUMIF('Dept. Cost Actuals'!$E$7:$E$176,"*Health Insurance*",'Dept. Cost Actuals'!BG$877:BG$1046))</f>
        <v>2503.9145499999995</v>
      </c>
      <c r="BD20" s="668">
        <f>IF(BD$4="forecast",(((SUM($O$20:$Z$20)/12)*1.03)),SUMIF('Dept. Cost Actuals'!$E$7:$E$176,"*Health Insurance*",'Dept. Cost Actuals'!BH$877:BH$1046))</f>
        <v>2503.9145499999995</v>
      </c>
      <c r="BE20" s="668">
        <f>IF(BE$4="forecast",(((SUM($O$20:$Z$20)/12)*1.03)),SUMIF('Dept. Cost Actuals'!$E$7:$E$176,"*Health Insurance*",'Dept. Cost Actuals'!BI$877:BI$1046))</f>
        <v>2503.9145499999995</v>
      </c>
      <c r="BF20" s="668">
        <f>IF(BF$4="forecast",(((SUM($O$20:$Z$20)/12)*1.03)),SUMIF('Dept. Cost Actuals'!$E$7:$E$176,"*Health Insurance*",'Dept. Cost Actuals'!BJ$877:BJ$1046))</f>
        <v>2503.9145499999995</v>
      </c>
      <c r="BG20" s="668">
        <f>IF(BG$4="forecast",(((SUM($O$20:$Z$20)/12)*1.03)),SUMIF('Dept. Cost Actuals'!$E$7:$E$176,"*Health Insurance*",'Dept. Cost Actuals'!BK$877:BK$1046))</f>
        <v>2503.9145499999995</v>
      </c>
      <c r="BH20" s="668">
        <f>IF(BH$4="forecast",(((SUM($O$20:$Z$20)/12)*1.03)),SUMIF('Dept. Cost Actuals'!$E$7:$E$176,"*Health Insurance*",'Dept. Cost Actuals'!BL$877:BL$1046))</f>
        <v>2503.9145499999995</v>
      </c>
      <c r="BI20" s="668">
        <f>IF(BI$4="forecast",(((SUM($O$20:$Z$20)/12)*1.03)),SUMIF('Dept. Cost Actuals'!$E$7:$E$176,"*Health Insurance*",'Dept. Cost Actuals'!BM$877:BM$1046))</f>
        <v>2503.9145499999995</v>
      </c>
      <c r="BJ20" s="668">
        <f>IF(BJ$4="forecast",(((SUM($O$20:$Z$20)/12)*1.03)),SUMIF('Dept. Cost Actuals'!$E$7:$E$176,"*Health Insurance*",'Dept. Cost Actuals'!BN$877:BN$1046))</f>
        <v>2503.9145499999995</v>
      </c>
      <c r="BK20" s="668">
        <f>IF(BK$4="forecast",(((SUM($O$20:$Z$20)/12)*1.03)),SUMIF('Dept. Cost Actuals'!$E$7:$E$176,"*Health Insurance*",'Dept. Cost Actuals'!BO$877:BO$1046))</f>
        <v>2503.9145499999995</v>
      </c>
      <c r="BL20" s="668">
        <f>IF(BL$4="forecast",(((SUM($O$20:$Z$20)/12)*1.03)),SUMIF('Dept. Cost Actuals'!$E$7:$E$176,"*Health Insurance*",'Dept. Cost Actuals'!BP$877:BP$1046))</f>
        <v>2503.9145499999995</v>
      </c>
      <c r="BM20" s="668">
        <f>IF(BM$4="forecast",(((SUM($O$20:$Z$20)/12)*1.03)),SUMIF('Dept. Cost Actuals'!$E$7:$E$176,"*Health Insurance*",'Dept. Cost Actuals'!BQ$877:BQ$1046))</f>
        <v>2503.9145499999995</v>
      </c>
      <c r="BN20" s="668">
        <f>IF(BN$4="forecast",(((SUM($O$20:$Z$20)/12)*1.03)),SUMIF('Dept. Cost Actuals'!$E$7:$E$176,"*Health Insurance*",'Dept. Cost Actuals'!BR$877:BR$1046))</f>
        <v>2503.9145499999995</v>
      </c>
      <c r="BO20" s="668">
        <f>IF(BO$4="forecast",(((SUM($O$20:$Z$20)/12)*1.03)),SUMIF('Dept. Cost Actuals'!$E$7:$E$176,"*Health Insurance*",'Dept. Cost Actuals'!BS$877:BS$1046))</f>
        <v>2503.9145499999995</v>
      </c>
      <c r="BP20" s="668">
        <f>IF(BP$4="forecast",(((SUM($O$20:$Z$20)/12)*1.03)),SUMIF('Dept. Cost Actuals'!$E$7:$E$176,"*Health Insurance*",'Dept. Cost Actuals'!BT$877:BT$1046))</f>
        <v>2503.9145499999995</v>
      </c>
      <c r="BQ20" s="668">
        <f>IF(BQ$4="forecast",(((SUM($O$20:$Z$20)/12)*1.03)),SUMIF('Dept. Cost Actuals'!$E$7:$E$176,"*Health Insurance*",'Dept. Cost Actuals'!BU$877:BU$1046))</f>
        <v>2503.9145499999995</v>
      </c>
      <c r="BR20" s="668">
        <f>IF(BR$4="forecast",(((SUM($O$20:$Z$20)/12)*1.03)),SUMIF('Dept. Cost Actuals'!$E$7:$E$176,"*Health Insurance*",'Dept. Cost Actuals'!BV$877:BV$1046))</f>
        <v>2503.9145499999995</v>
      </c>
      <c r="BS20" s="668">
        <f>IF(BS$4="forecast",(((SUM($O$20:$Z$20)/12)*1.03)),SUMIF('Dept. Cost Actuals'!$E$7:$E$176,"*Health Insurance*",'Dept. Cost Actuals'!BW$877:BW$1046))</f>
        <v>2503.9145499999995</v>
      </c>
      <c r="BT20" s="668">
        <f>IF(BT$4="forecast",(((SUM($O$20:$Z$20)/12)*1.03)),SUMIF('Dept. Cost Actuals'!$E$7:$E$176,"*Health Insurance*",'Dept. Cost Actuals'!BX$877:BX$1046))</f>
        <v>2503.9145499999995</v>
      </c>
      <c r="BU20" s="668">
        <f>IF(BU$4="forecast",(((SUM($O$20:$Z$20)/12)*1.03)),SUMIF('Dept. Cost Actuals'!$E$7:$E$176,"*Health Insurance*",'Dept. Cost Actuals'!BY$877:BY$1046))</f>
        <v>2503.9145499999995</v>
      </c>
      <c r="BV20" s="668">
        <f>IF(BV$4="forecast",(((SUM($O$20:$Z$20)/12)*1.03)),SUMIF('Dept. Cost Actuals'!$E$7:$E$176,"*Health Insurance*",'Dept. Cost Actuals'!BZ$877:BZ$1046))</f>
        <v>2503.9145499999995</v>
      </c>
    </row>
    <row r="21" spans="2:74" s="626" customFormat="1" ht="12.75" x14ac:dyDescent="0.2">
      <c r="B21" s="794" t="s">
        <v>1348</v>
      </c>
      <c r="C21" s="668">
        <f>IF(C$4="forecast",(((400/12)*C$7)),(SUMIF('Dept. Cost Actuals'!$E$7:$E$176,"*Employee*",'Dept. Cost Actuals'!G$877:G$1046)))</f>
        <v>498.9166429974407</v>
      </c>
      <c r="D21" s="668">
        <f>IF(D$4="forecast",(((400/12)*D$7)),(SUMIF('Dept. Cost Actuals'!$E$7:$E$176,"*Employee*",'Dept. Cost Actuals'!H$877:H$1046)))</f>
        <v>284.08237098686425</v>
      </c>
      <c r="E21" s="668">
        <f>IF(E$4="forecast",(((400/12)*E$7)),(SUMIF('Dept. Cost Actuals'!$E$7:$E$176,"*Employee*",'Dept. Cost Actuals'!I$877:I$1046)))</f>
        <v>390.30392709956465</v>
      </c>
      <c r="F21" s="668">
        <f>IF(F$4="forecast",(((400/12)*F$7)),(SUMIF('Dept. Cost Actuals'!$E$7:$E$176,"*Employee*",'Dept. Cost Actuals'!J$877:J$1046)))</f>
        <v>1704.5009249673008</v>
      </c>
      <c r="G21" s="668">
        <f>IF(G$4="forecast",(((400/12)*G$7)),(SUMIF('Dept. Cost Actuals'!$E$7:$E$176,"*Employee*",'Dept. Cost Actuals'!K$877:K$1046)))</f>
        <v>759.21371792732486</v>
      </c>
      <c r="H21" s="668">
        <f>IF(H$4="forecast",(((400/12)*H$7)),(SUMIF('Dept. Cost Actuals'!$E$7:$E$176,"*Employee*",'Dept. Cost Actuals'!L$877:L$1046)))</f>
        <v>859.60331974991266</v>
      </c>
      <c r="I21" s="668">
        <f>IF(I$4="forecast",(((400/12)*I$7)),(SUMIF('Dept. Cost Actuals'!$E$7:$E$176,"*Employee*",'Dept. Cost Actuals'!M$877:M$1046)))</f>
        <v>697.64807902379493</v>
      </c>
      <c r="J21" s="668">
        <f>IF(J$4="forecast",(((400/12)*J$7)),(SUMIF('Dept. Cost Actuals'!$E$7:$E$176,"*Employee*",'Dept. Cost Actuals'!N$877:N$1046)))</f>
        <v>-132.64392549054753</v>
      </c>
      <c r="K21" s="668">
        <f>IF(K$4="forecast",(((400/12)*K$7)),(SUMIF('Dept. Cost Actuals'!$E$7:$E$176,"*Employee*",'Dept. Cost Actuals'!O$877:O$1046)))</f>
        <v>777.22941110747843</v>
      </c>
      <c r="L21" s="668">
        <f>IF(L$4="forecast",(((400/12)*L$7)),(SUMIF('Dept. Cost Actuals'!$E$7:$E$176,"*Employee*",'Dept. Cost Actuals'!P$877:P$1046)))</f>
        <v>219.58314546146966</v>
      </c>
      <c r="M21" s="668">
        <f>IF(M$4="forecast",(((400/12)*M$7)),(SUMIF('Dept. Cost Actuals'!$E$7:$E$176,"*Employee*",'Dept. Cost Actuals'!Q$877:Q$1046)))</f>
        <v>390.2680809568779</v>
      </c>
      <c r="N21" s="668">
        <f>IF(N$4="forecast",(((400/12)*N$7)),(SUMIF('Dept. Cost Actuals'!$E$7:$E$176,"*Employee*",'Dept. Cost Actuals'!R$877:R$1046)))</f>
        <v>2185.4290380057323</v>
      </c>
      <c r="O21" s="668">
        <f>IF(O$4="forecast",(((400/12)*O$7)),(SUMIF('Dept. Cost Actuals'!$E$7:$E$176,"*Employee*",'Dept. Cost Actuals'!S$877:S$1046)))</f>
        <v>0</v>
      </c>
      <c r="P21" s="668">
        <f>IF(P$4="forecast",(((400/12)*P$7)),(SUMIF('Dept. Cost Actuals'!$E$7:$E$176,"*Employee*",'Dept. Cost Actuals'!T$877:T$1046)))</f>
        <v>0</v>
      </c>
      <c r="Q21" s="668">
        <f>IF(Q$4="forecast",(((400/12)*Q$7)),(SUMIF('Dept. Cost Actuals'!$E$7:$E$176,"*Employee*",'Dept. Cost Actuals'!U$877:U$1046)))</f>
        <v>0</v>
      </c>
      <c r="R21" s="668">
        <f>IF(R$4="forecast",(((400/12)*R$7)),(SUMIF('Dept. Cost Actuals'!$E$7:$E$176,"*Employee*",'Dept. Cost Actuals'!V$877:V$1046)))</f>
        <v>0</v>
      </c>
      <c r="S21" s="668">
        <f>IF(S$4="forecast",(((400/12)*S$7)),(SUMIF('Dept. Cost Actuals'!$E$7:$E$176,"*Employee*",'Dept. Cost Actuals'!W$877:W$1046)))</f>
        <v>390</v>
      </c>
      <c r="T21" s="668">
        <f>IF(T$4="forecast",(((400/12)*T$7)),(SUMIF('Dept. Cost Actuals'!$E$7:$E$176,"*Employee*",'Dept. Cost Actuals'!X$877:X$1046)))</f>
        <v>60</v>
      </c>
      <c r="U21" s="668">
        <f>IF(U$4="forecast",(((400/12)*U$7)),(SUMIF('Dept. Cost Actuals'!$E$7:$E$176,"*Employee*",'Dept. Cost Actuals'!Y$877:Y$1046)))</f>
        <v>60</v>
      </c>
      <c r="V21" s="668">
        <f>IF(V$4="forecast",(((400/12)*V$7)),(SUMIF('Dept. Cost Actuals'!$E$7:$E$176,"*Employee*",'Dept. Cost Actuals'!Z$877:Z$1046)))</f>
        <v>60</v>
      </c>
      <c r="W21" s="668">
        <f>IF(W$4="forecast",(((400/12)*W$7)),(SUMIF('Dept. Cost Actuals'!$E$7:$E$176,"*Employee*",'Dept. Cost Actuals'!AA$877:AA$1046)))</f>
        <v>60</v>
      </c>
      <c r="X21" s="668">
        <f>IF(X$4="forecast",(((400/12)*X$7)),(SUMIF('Dept. Cost Actuals'!$E$7:$E$176,"*Employee*",'Dept. Cost Actuals'!AB$877:AB$1046)))</f>
        <v>30</v>
      </c>
      <c r="Y21" s="668">
        <f>IF(Y$4="forecast",(((400/12)*Y$7)),(SUMIF('Dept. Cost Actuals'!$E$7:$E$176,"*Employee*",'Dept. Cost Actuals'!AC$877:AC$1046)))</f>
        <v>2868.62</v>
      </c>
      <c r="Z21" s="668">
        <f>IF(Z$4="forecast",(((400/12)*Z$7)),(SUMIF('Dept. Cost Actuals'!$E$7:$E$176,"*Employee*",'Dept. Cost Actuals'!AD$877:AD$1046)))</f>
        <v>0</v>
      </c>
      <c r="AA21" s="668">
        <f>IF(AA$4="forecast",(((400/12)*AA$7)),(SUMIF('Dept. Cost Actuals'!$E$7:$E$176,"*Employee*",'Dept. Cost Actuals'!AE$877:AE$1046)))</f>
        <v>0</v>
      </c>
      <c r="AB21" s="668">
        <f>IF(AB$4="forecast",(((400/12)*AB$7)),(SUMIF('Dept. Cost Actuals'!$E$7:$E$176,"*Employee*",'Dept. Cost Actuals'!AF$877:AF$1046)))</f>
        <v>0</v>
      </c>
      <c r="AC21" s="668">
        <f>IF(AC$4="forecast",(((400/12)*AC$7)),(SUMIF('Dept. Cost Actuals'!$E$7:$E$176,"*Employee*",'Dept. Cost Actuals'!AG$877:AG$1046)))</f>
        <v>0</v>
      </c>
      <c r="AD21" s="668">
        <f>IF(AD$4="forecast",(((400/12)*AD$7)),(SUMIF('Dept. Cost Actuals'!$E$7:$E$176,"*Employee*",'Dept. Cost Actuals'!AH$877:AH$1046)))</f>
        <v>100</v>
      </c>
      <c r="AE21" s="668">
        <f>IF(AE$4="forecast",(((400/12)*AE$7)),(SUMIF('Dept. Cost Actuals'!$E$7:$E$176,"*Employee*",'Dept. Cost Actuals'!AI$877:AI$1046)))</f>
        <v>100</v>
      </c>
      <c r="AF21" s="668">
        <f>IF(AF$4="forecast",(((400/12)*AF$7)),(SUMIF('Dept. Cost Actuals'!$E$7:$E$176,"*Employee*",'Dept. Cost Actuals'!AJ$877:AJ$1046)))</f>
        <v>100</v>
      </c>
      <c r="AG21" s="668">
        <f>IF(AG$4="forecast",(((400/12)*AG$7)),(SUMIF('Dept. Cost Actuals'!$E$7:$E$176,"*Employee*",'Dept. Cost Actuals'!AK$877:AK$1046)))</f>
        <v>100</v>
      </c>
      <c r="AH21" s="668">
        <f>IF(AH$4="forecast",(((400/12)*AH$7)),(SUMIF('Dept. Cost Actuals'!$E$7:$E$176,"*Employee*",'Dept. Cost Actuals'!AL$877:AL$1046)))</f>
        <v>100</v>
      </c>
      <c r="AI21" s="668">
        <f>IF(AI$4="forecast",(((400/12)*AI$7)),(SUMIF('Dept. Cost Actuals'!$E$7:$E$176,"*Employee*",'Dept. Cost Actuals'!AM$877:AM$1046)))</f>
        <v>100</v>
      </c>
      <c r="AJ21" s="668">
        <f>IF(AJ$4="forecast",(((400/12)*AJ$7)),(SUMIF('Dept. Cost Actuals'!$E$7:$E$176,"*Employee*",'Dept. Cost Actuals'!AN$877:AN$1046)))</f>
        <v>66.666666666666671</v>
      </c>
      <c r="AK21" s="668">
        <f>IF(AK$4="forecast",(((400/12)*AK$7)),(SUMIF('Dept. Cost Actuals'!$E$7:$E$176,"*Employee*",'Dept. Cost Actuals'!AO$877:AO$1046)))</f>
        <v>66.666666666666671</v>
      </c>
      <c r="AL21" s="668">
        <f>IF(AL$4="forecast",(((400/12)*AL$7)),(SUMIF('Dept. Cost Actuals'!$E$7:$E$176,"*Employee*",'Dept. Cost Actuals'!AP$877:AP$1046)))</f>
        <v>66.666666666666671</v>
      </c>
      <c r="AM21" s="668">
        <f>IF(AM$4="forecast",(((400/12)*AM$7)),(SUMIF('Dept. Cost Actuals'!$E$7:$E$176,"*Employee*",'Dept. Cost Actuals'!AQ$877:AQ$1046)))</f>
        <v>66.666666666666671</v>
      </c>
      <c r="AN21" s="668">
        <f>IF(AN$4="forecast",(((400/12)*AN$7)),(SUMIF('Dept. Cost Actuals'!$E$7:$E$176,"*Employee*",'Dept. Cost Actuals'!AR$877:AR$1046)))</f>
        <v>66.666666666666671</v>
      </c>
      <c r="AO21" s="668">
        <f>IF(AO$4="forecast",(((400/12)*AO$7)),(SUMIF('Dept. Cost Actuals'!$E$7:$E$176,"*Employee*",'Dept. Cost Actuals'!AS$877:AS$1046)))</f>
        <v>66.666666666666671</v>
      </c>
      <c r="AP21" s="668">
        <f>IF(AP$4="forecast",(((400/12)*AP$7)),(SUMIF('Dept. Cost Actuals'!$E$7:$E$176,"*Employee*",'Dept. Cost Actuals'!AT$877:AT$1046)))</f>
        <v>66.666666666666671</v>
      </c>
      <c r="AQ21" s="668">
        <f>IF(AQ$4="forecast",(((400/12)*AQ$7)),(SUMIF('Dept. Cost Actuals'!$E$7:$E$176,"*Employee*",'Dept. Cost Actuals'!AU$877:AU$1046)))</f>
        <v>66.666666666666671</v>
      </c>
      <c r="AR21" s="668">
        <f>IF(AR$4="forecast",(((400/12)*AR$7)),(SUMIF('Dept. Cost Actuals'!$E$7:$E$176,"*Employee*",'Dept. Cost Actuals'!AV$877:AV$1046)))</f>
        <v>66.666666666666671</v>
      </c>
      <c r="AS21" s="668">
        <f>IF(AS$4="forecast",(((400/12)*AS$7)),(SUMIF('Dept. Cost Actuals'!$E$7:$E$176,"*Employee*",'Dept. Cost Actuals'!AW$877:AW$1046)))</f>
        <v>66.666666666666671</v>
      </c>
      <c r="AT21" s="668">
        <f>IF(AT$4="forecast",(((400/12)*AT$7)),(SUMIF('Dept. Cost Actuals'!$E$7:$E$176,"*Employee*",'Dept. Cost Actuals'!AX$877:AX$1046)))</f>
        <v>66.666666666666671</v>
      </c>
      <c r="AU21" s="668">
        <f>IF(AU$4="forecast",(((400/12)*AU$7)),(SUMIF('Dept. Cost Actuals'!$E$7:$E$176,"*Employee*",'Dept. Cost Actuals'!AY$877:AY$1046)))</f>
        <v>66.666666666666671</v>
      </c>
      <c r="AV21" s="668">
        <f>IF(AV$4="forecast",(((400/12)*AV$7)),(SUMIF('Dept. Cost Actuals'!$E$7:$E$176,"*Employee*",'Dept. Cost Actuals'!AZ$877:AZ$1046)))</f>
        <v>66.666666666666671</v>
      </c>
      <c r="AW21" s="668">
        <f>IF(AW$4="forecast",(((400/12)*AW$7)),(SUMIF('Dept. Cost Actuals'!$E$7:$E$176,"*Employee*",'Dept. Cost Actuals'!BA$877:BA$1046)))</f>
        <v>66.666666666666671</v>
      </c>
      <c r="AX21" s="668">
        <f>IF(AX$4="forecast",(((400/12)*AX$7)),(SUMIF('Dept. Cost Actuals'!$E$7:$E$176,"*Employee*",'Dept. Cost Actuals'!BB$877:BB$1046)))</f>
        <v>66.666666666666671</v>
      </c>
      <c r="AY21" s="668">
        <f>IF(AY$4="forecast",(((400/12)*AY$7)),(SUMIF('Dept. Cost Actuals'!$E$7:$E$176,"*Employee*",'Dept. Cost Actuals'!BC$877:BC$1046)))</f>
        <v>66.666666666666671</v>
      </c>
      <c r="AZ21" s="668">
        <f>IF(AZ$4="forecast",(((400/12)*AZ$7)),(SUMIF('Dept. Cost Actuals'!$E$7:$E$176,"*Employee*",'Dept. Cost Actuals'!BD$877:BD$1046)))</f>
        <v>66.666666666666671</v>
      </c>
      <c r="BA21" s="668">
        <f>IF(BA$4="forecast",(((400/12)*BA$7)),(SUMIF('Dept. Cost Actuals'!$E$7:$E$176,"*Employee*",'Dept. Cost Actuals'!BE$877:BE$1046)))</f>
        <v>66.666666666666671</v>
      </c>
      <c r="BB21" s="668">
        <f>IF(BB$4="forecast",(((400/12)*BB$7)),(SUMIF('Dept. Cost Actuals'!$E$7:$E$176,"*Employee*",'Dept. Cost Actuals'!BF$877:BF$1046)))</f>
        <v>66.666666666666671</v>
      </c>
      <c r="BC21" s="668">
        <f>IF(BC$4="forecast",(((400/12)*BC$7)),(SUMIF('Dept. Cost Actuals'!$E$7:$E$176,"*Employee*",'Dept. Cost Actuals'!BG$877:BG$1046)))</f>
        <v>66.666666666666671</v>
      </c>
      <c r="BD21" s="668">
        <f>IF(BD$4="forecast",(((400/12)*BD$7)),(SUMIF('Dept. Cost Actuals'!$E$7:$E$176,"*Employee*",'Dept. Cost Actuals'!BH$877:BH$1046)))</f>
        <v>66.666666666666671</v>
      </c>
      <c r="BE21" s="668">
        <f>IF(BE$4="forecast",(((400/12)*BE$7)),(SUMIF('Dept. Cost Actuals'!$E$7:$E$176,"*Employee*",'Dept. Cost Actuals'!BI$877:BI$1046)))</f>
        <v>66.666666666666671</v>
      </c>
      <c r="BF21" s="668">
        <f>IF(BF$4="forecast",(((400/12)*BF$7)),(SUMIF('Dept. Cost Actuals'!$E$7:$E$176,"*Employee*",'Dept. Cost Actuals'!BJ$877:BJ$1046)))</f>
        <v>66.666666666666671</v>
      </c>
      <c r="BG21" s="668">
        <f>IF(BG$4="forecast",(((400/12)*BG$7)),(SUMIF('Dept. Cost Actuals'!$E$7:$E$176,"*Employee*",'Dept. Cost Actuals'!BK$877:BK$1046)))</f>
        <v>66.666666666666671</v>
      </c>
      <c r="BH21" s="668">
        <f>IF(BH$4="forecast",(((400/12)*BH$7)),(SUMIF('Dept. Cost Actuals'!$E$7:$E$176,"*Employee*",'Dept. Cost Actuals'!BL$877:BL$1046)))</f>
        <v>66.666666666666671</v>
      </c>
      <c r="BI21" s="668">
        <f>IF(BI$4="forecast",(((400/12)*BI$7)),(SUMIF('Dept. Cost Actuals'!$E$7:$E$176,"*Employee*",'Dept. Cost Actuals'!BM$877:BM$1046)))</f>
        <v>66.666666666666671</v>
      </c>
      <c r="BJ21" s="668">
        <f>IF(BJ$4="forecast",(((400/12)*BJ$7)),(SUMIF('Dept. Cost Actuals'!$E$7:$E$176,"*Employee*",'Dept. Cost Actuals'!BN$877:BN$1046)))</f>
        <v>66.666666666666671</v>
      </c>
      <c r="BK21" s="668">
        <f>IF(BK$4="forecast",(((400/12)*BK$7)),(SUMIF('Dept. Cost Actuals'!$E$7:$E$176,"*Employee*",'Dept. Cost Actuals'!BO$877:BO$1046)))</f>
        <v>66.666666666666671</v>
      </c>
      <c r="BL21" s="668">
        <f>IF(BL$4="forecast",(((400/12)*BL$7)),(SUMIF('Dept. Cost Actuals'!$E$7:$E$176,"*Employee*",'Dept. Cost Actuals'!BP$877:BP$1046)))</f>
        <v>66.666666666666671</v>
      </c>
      <c r="BM21" s="668">
        <f>IF(BM$4="forecast",(((400/12)*BM$7)),(SUMIF('Dept. Cost Actuals'!$E$7:$E$176,"*Employee*",'Dept. Cost Actuals'!BQ$877:BQ$1046)))</f>
        <v>66.666666666666671</v>
      </c>
      <c r="BN21" s="668">
        <f>IF(BN$4="forecast",(((400/12)*BN$7)),(SUMIF('Dept. Cost Actuals'!$E$7:$E$176,"*Employee*",'Dept. Cost Actuals'!BR$877:BR$1046)))</f>
        <v>66.666666666666671</v>
      </c>
      <c r="BO21" s="668">
        <f>IF(BO$4="forecast",(((400/12)*BO$7)),(SUMIF('Dept. Cost Actuals'!$E$7:$E$176,"*Employee*",'Dept. Cost Actuals'!BS$877:BS$1046)))</f>
        <v>66.666666666666671</v>
      </c>
      <c r="BP21" s="668">
        <f>IF(BP$4="forecast",(((400/12)*BP$7)),(SUMIF('Dept. Cost Actuals'!$E$7:$E$176,"*Employee*",'Dept. Cost Actuals'!BT$877:BT$1046)))</f>
        <v>66.666666666666671</v>
      </c>
      <c r="BQ21" s="668">
        <f>IF(BQ$4="forecast",(((400/12)*BQ$7)),(SUMIF('Dept. Cost Actuals'!$E$7:$E$176,"*Employee*",'Dept. Cost Actuals'!BU$877:BU$1046)))</f>
        <v>66.666666666666671</v>
      </c>
      <c r="BR21" s="668">
        <f>IF(BR$4="forecast",(((400/12)*BR$7)),(SUMIF('Dept. Cost Actuals'!$E$7:$E$176,"*Employee*",'Dept. Cost Actuals'!BV$877:BV$1046)))</f>
        <v>66.666666666666671</v>
      </c>
      <c r="BS21" s="668">
        <f>IF(BS$4="forecast",(((400/12)*BS$7)),(SUMIF('Dept. Cost Actuals'!$E$7:$E$176,"*Employee*",'Dept. Cost Actuals'!BW$877:BW$1046)))</f>
        <v>66.666666666666671</v>
      </c>
      <c r="BT21" s="668">
        <f>IF(BT$4="forecast",(((400/12)*BT$7)),(SUMIF('Dept. Cost Actuals'!$E$7:$E$176,"*Employee*",'Dept. Cost Actuals'!BX$877:BX$1046)))</f>
        <v>66.666666666666671</v>
      </c>
      <c r="BU21" s="668">
        <f>IF(BU$4="forecast",(((400/12)*BU$7)),(SUMIF('Dept. Cost Actuals'!$E$7:$E$176,"*Employee*",'Dept. Cost Actuals'!BY$877:BY$1046)))</f>
        <v>66.666666666666671</v>
      </c>
      <c r="BV21" s="668">
        <f>IF(BV$4="forecast",(((400/12)*BV$7)),(SUMIF('Dept. Cost Actuals'!$E$7:$E$176,"*Employee*",'Dept. Cost Actuals'!BZ$877:BZ$1046)))</f>
        <v>66.666666666666671</v>
      </c>
    </row>
    <row r="22" spans="2:74" x14ac:dyDescent="0.25">
      <c r="B22" s="794" t="s">
        <v>934</v>
      </c>
      <c r="C22" s="668">
        <f>IF(C$4="forecast",C$8*'Direct People Department Costs'!$H$8,SUMIF('Dept. Cost Actuals'!$E$7:$E$176,"*On Board*",'Dept. Cost Actuals'!G$877:G$1046))</f>
        <v>0</v>
      </c>
      <c r="D22" s="668">
        <f>IF(D$4="forecast",D$8*'Direct People Department Costs'!$H$8,SUMIF('Dept. Cost Actuals'!$E$7:$E$176,"*On Board*",'Dept. Cost Actuals'!H$877:H$1046))</f>
        <v>0</v>
      </c>
      <c r="E22" s="668">
        <f>IF(E$4="forecast",E$8*'Direct People Department Costs'!$H$8,SUMIF('Dept. Cost Actuals'!$E$7:$E$176,"*On Board*",'Dept. Cost Actuals'!I$877:I$1046))</f>
        <v>0</v>
      </c>
      <c r="F22" s="668">
        <f>IF(F$4="forecast",F$8*'Direct People Department Costs'!$H$8,SUMIF('Dept. Cost Actuals'!$E$7:$E$176,"*On Board*",'Dept. Cost Actuals'!J$877:J$1046))</f>
        <v>0</v>
      </c>
      <c r="G22" s="668">
        <f>IF(G$4="forecast",G$8*'Direct People Department Costs'!$H$8,SUMIF('Dept. Cost Actuals'!$E$7:$E$176,"*On Board*",'Dept. Cost Actuals'!K$877:K$1046))</f>
        <v>0</v>
      </c>
      <c r="H22" s="668">
        <f>IF(H$4="forecast",H$8*'Direct People Department Costs'!$H$8,SUMIF('Dept. Cost Actuals'!$E$7:$E$176,"*On Board*",'Dept. Cost Actuals'!L$877:L$1046))</f>
        <v>0</v>
      </c>
      <c r="I22" s="668">
        <f>IF(I$4="forecast",I$8*'Direct People Department Costs'!$H$8,SUMIF('Dept. Cost Actuals'!$E$7:$E$176,"*On Board*",'Dept. Cost Actuals'!M$877:M$1046))</f>
        <v>0</v>
      </c>
      <c r="J22" s="668">
        <f>IF(J$4="forecast",J$8*'Direct People Department Costs'!$H$8,SUMIF('Dept. Cost Actuals'!$E$7:$E$176,"*On Board*",'Dept. Cost Actuals'!N$877:N$1046))</f>
        <v>0</v>
      </c>
      <c r="K22" s="668">
        <f>IF(K$4="forecast",K$8*'Direct People Department Costs'!$H$8,SUMIF('Dept. Cost Actuals'!$E$7:$E$176,"*On Board*",'Dept. Cost Actuals'!O$877:O$1046))</f>
        <v>0</v>
      </c>
      <c r="L22" s="668">
        <f>IF(L$4="forecast",L$8*'Direct People Department Costs'!$H$8,SUMIF('Dept. Cost Actuals'!$E$7:$E$176,"*On Board*",'Dept. Cost Actuals'!P$877:P$1046))</f>
        <v>0</v>
      </c>
      <c r="M22" s="668">
        <f>IF(M$4="forecast",M$8*'Direct People Department Costs'!$H$8,SUMIF('Dept. Cost Actuals'!$E$7:$E$176,"*On Board*",'Dept. Cost Actuals'!Q$877:Q$1046))</f>
        <v>0</v>
      </c>
      <c r="N22" s="668">
        <f>IF(N$4="forecast",N$8*'Direct People Department Costs'!$H$8,SUMIF('Dept. Cost Actuals'!$E$7:$E$176,"*On Board*",'Dept. Cost Actuals'!R$877:R$1046))</f>
        <v>0</v>
      </c>
      <c r="O22" s="668">
        <f>IF(O$4="forecast",O$8*'Direct People Department Costs'!$H$8,SUMIF('Dept. Cost Actuals'!$E$7:$E$176,"*On Board*",'Dept. Cost Actuals'!S$877:S$1046))</f>
        <v>0</v>
      </c>
      <c r="P22" s="668">
        <f>IF(P$4="forecast",P$8*'Direct People Department Costs'!$H$8,SUMIF('Dept. Cost Actuals'!$E$7:$E$176,"*On Board*",'Dept. Cost Actuals'!T$877:T$1046))</f>
        <v>0</v>
      </c>
      <c r="Q22" s="668">
        <f>IF(Q$4="forecast",Q$8*'Direct People Department Costs'!$H$8,SUMIF('Dept. Cost Actuals'!$E$7:$E$176,"*On Board*",'Dept. Cost Actuals'!U$877:U$1046))</f>
        <v>0</v>
      </c>
      <c r="R22" s="668">
        <f>IF(R$4="forecast",R$8*'Direct People Department Costs'!$H$8,SUMIF('Dept. Cost Actuals'!$E$7:$E$176,"*On Board*",'Dept. Cost Actuals'!V$877:V$1046))</f>
        <v>0</v>
      </c>
      <c r="S22" s="668">
        <f>IF(S$4="forecast",S$8*'Direct People Department Costs'!$H$8,SUMIF('Dept. Cost Actuals'!$E$7:$E$176,"*On Board*",'Dept. Cost Actuals'!W$877:W$1046))</f>
        <v>0</v>
      </c>
      <c r="T22" s="668">
        <f>IF(T$4="forecast",T$8*'Direct People Department Costs'!$H$8,SUMIF('Dept. Cost Actuals'!$E$7:$E$176,"*On Board*",'Dept. Cost Actuals'!X$877:X$1046))</f>
        <v>447.65</v>
      </c>
      <c r="U22" s="668">
        <f>IF(U$4="forecast",U$8*'Direct People Department Costs'!$H$8,SUMIF('Dept. Cost Actuals'!$E$7:$E$176,"*On Board*",'Dept. Cost Actuals'!Y$877:Y$1046))</f>
        <v>0</v>
      </c>
      <c r="V22" s="668">
        <f>IF(V$4="forecast",V$8*'Direct People Department Costs'!$H$8,SUMIF('Dept. Cost Actuals'!$E$7:$E$176,"*On Board*",'Dept. Cost Actuals'!Z$877:Z$1046))</f>
        <v>0</v>
      </c>
      <c r="W22" s="668">
        <f>IF(W$4="forecast",W$8*'Direct People Department Costs'!$H$8,SUMIF('Dept. Cost Actuals'!$E$7:$E$176,"*On Board*",'Dept. Cost Actuals'!AA$877:AA$1046))</f>
        <v>0</v>
      </c>
      <c r="X22" s="668">
        <f>IF(X$4="forecast",X$8*'Direct People Department Costs'!$H$8,SUMIF('Dept. Cost Actuals'!$E$7:$E$176,"*On Board*",'Dept. Cost Actuals'!AB$877:AB$1046))</f>
        <v>837.15</v>
      </c>
      <c r="Y22" s="668">
        <f>IF(Y$4="forecast",Y$8*'Direct People Department Costs'!$H$8,SUMIF('Dept. Cost Actuals'!$E$7:$E$176,"*On Board*",'Dept. Cost Actuals'!AC$877:AC$1046))</f>
        <v>0</v>
      </c>
      <c r="Z22" s="668">
        <f>IF(Z$4="forecast",Z$8*'Direct People Department Costs'!$H$8,SUMIF('Dept. Cost Actuals'!$E$7:$E$176,"*On Board*",'Dept. Cost Actuals'!AD$877:AD$1046))</f>
        <v>0</v>
      </c>
      <c r="AA22" s="668">
        <f>IF(AA$4="forecast",AA$8*'Direct People Department Costs'!$H$8,SUMIF('Dept. Cost Actuals'!$E$7:$E$176,"*On Board*",'Dept. Cost Actuals'!AE$877:AE$1046))</f>
        <v>0</v>
      </c>
      <c r="AB22" s="668">
        <f>IF(AB$4="forecast",AB$8*'Direct People Department Costs'!$H$8,SUMIF('Dept. Cost Actuals'!$E$7:$E$176,"*On Board*",'Dept. Cost Actuals'!AF$877:AF$1046))</f>
        <v>0</v>
      </c>
      <c r="AC22" s="668">
        <f>IF(AC$4="forecast",AC$8*'Direct People Department Costs'!$H$8,SUMIF('Dept. Cost Actuals'!$E$7:$E$176,"*On Board*",'Dept. Cost Actuals'!AG$877:AG$1046))</f>
        <v>99</v>
      </c>
      <c r="AD22" s="668">
        <f>IF(AD$4="forecast",AD$8*'Direct People Department Costs'!$H$8,SUMIF('Dept. Cost Actuals'!$E$7:$E$176,"*On Board*",'Dept. Cost Actuals'!AH$877:AH$1046))</f>
        <v>0</v>
      </c>
      <c r="AE22" s="668">
        <f>IF(AE$4="forecast",AE$8*'Direct People Department Costs'!$H$8,SUMIF('Dept. Cost Actuals'!$E$7:$E$176,"*On Board*",'Dept. Cost Actuals'!AI$877:AI$1046))</f>
        <v>0</v>
      </c>
      <c r="AF22" s="668">
        <f>IF(AF$4="forecast",AF$8*'Direct People Department Costs'!$H$8,SUMIF('Dept. Cost Actuals'!$E$7:$E$176,"*On Board*",'Dept. Cost Actuals'!AJ$877:AJ$1046))</f>
        <v>0</v>
      </c>
      <c r="AG22" s="668">
        <f>IF(AG$4="forecast",AG$8*'Direct People Department Costs'!$H$8,SUMIF('Dept. Cost Actuals'!$E$7:$E$176,"*On Board*",'Dept. Cost Actuals'!AK$877:AK$1046))</f>
        <v>0</v>
      </c>
      <c r="AH22" s="668">
        <f>IF(AH$4="forecast",AH$8*'Direct People Department Costs'!$H$8,SUMIF('Dept. Cost Actuals'!$E$7:$E$176,"*On Board*",'Dept. Cost Actuals'!AL$877:AL$1046))</f>
        <v>0</v>
      </c>
      <c r="AI22" s="668">
        <f>IF(AI$4="forecast",AI$8*'Direct People Department Costs'!$H$8,SUMIF('Dept. Cost Actuals'!$E$7:$E$176,"*On Board*",'Dept. Cost Actuals'!AM$877:AM$1046))</f>
        <v>0</v>
      </c>
      <c r="AJ22" s="668">
        <f>IF(AJ$4="forecast",AJ$8*'Direct People Department Costs'!$H$8,SUMIF('Dept. Cost Actuals'!$E$7:$E$176,"*On Board*",'Dept. Cost Actuals'!AN$877:AN$1046))</f>
        <v>0</v>
      </c>
      <c r="AK22" s="668">
        <f>IF(AK$4="forecast",AK$8*'Direct People Department Costs'!$H$8,SUMIF('Dept. Cost Actuals'!$E$7:$E$176,"*On Board*",'Dept. Cost Actuals'!AO$877:AO$1046))</f>
        <v>0</v>
      </c>
      <c r="AL22" s="668">
        <f>IF(AL$4="forecast",AL$8*'Direct People Department Costs'!$H$8,SUMIF('Dept. Cost Actuals'!$E$7:$E$176,"*On Board*",'Dept. Cost Actuals'!AP$877:AP$1046))</f>
        <v>0</v>
      </c>
      <c r="AM22" s="668">
        <f>IF(AM$4="forecast",AM$8*'Direct People Department Costs'!$H$8,SUMIF('Dept. Cost Actuals'!$E$7:$E$176,"*On Board*",'Dept. Cost Actuals'!AQ$877:AQ$1046))</f>
        <v>0</v>
      </c>
      <c r="AN22" s="668">
        <f>IF(AN$4="forecast",AN$8*'Direct People Department Costs'!$H$8,SUMIF('Dept. Cost Actuals'!$E$7:$E$176,"*On Board*",'Dept. Cost Actuals'!AR$877:AR$1046))</f>
        <v>0</v>
      </c>
      <c r="AO22" s="668">
        <f>IF(AO$4="forecast",AO$8*'Direct People Department Costs'!$H$8,SUMIF('Dept. Cost Actuals'!$E$7:$E$176,"*On Board*",'Dept. Cost Actuals'!AS$877:AS$1046))</f>
        <v>0</v>
      </c>
      <c r="AP22" s="668">
        <f>IF(AP$4="forecast",AP$8*'Direct People Department Costs'!$H$8,SUMIF('Dept. Cost Actuals'!$E$7:$E$176,"*On Board*",'Dept. Cost Actuals'!AT$877:AT$1046))</f>
        <v>0</v>
      </c>
      <c r="AQ22" s="668">
        <f>IF(AQ$4="forecast",AQ$8*'Direct People Department Costs'!$H$8,SUMIF('Dept. Cost Actuals'!$E$7:$E$176,"*On Board*",'Dept. Cost Actuals'!AU$877:AU$1046))</f>
        <v>0</v>
      </c>
      <c r="AR22" s="668">
        <f>IF(AR$4="forecast",AR$8*'Direct People Department Costs'!$H$8,SUMIF('Dept. Cost Actuals'!$E$7:$E$176,"*On Board*",'Dept. Cost Actuals'!AV$877:AV$1046))</f>
        <v>0</v>
      </c>
      <c r="AS22" s="668">
        <f>IF(AS$4="forecast",AS$8*'Direct People Department Costs'!$H$8,SUMIF('Dept. Cost Actuals'!$E$7:$E$176,"*On Board*",'Dept. Cost Actuals'!AW$877:AW$1046))</f>
        <v>0</v>
      </c>
      <c r="AT22" s="668">
        <f>IF(AT$4="forecast",AT$8*'Direct People Department Costs'!$H$8,SUMIF('Dept. Cost Actuals'!$E$7:$E$176,"*On Board*",'Dept. Cost Actuals'!AX$877:AX$1046))</f>
        <v>0</v>
      </c>
      <c r="AU22" s="668">
        <f>IF(AU$4="forecast",AU$8*'Direct People Department Costs'!$H$8,SUMIF('Dept. Cost Actuals'!$E$7:$E$176,"*On Board*",'Dept. Cost Actuals'!AY$877:AY$1046))</f>
        <v>0</v>
      </c>
      <c r="AV22" s="668">
        <f>IF(AV$4="forecast",AV$8*'Direct People Department Costs'!$H$8,SUMIF('Dept. Cost Actuals'!$E$7:$E$176,"*On Board*",'Dept. Cost Actuals'!AZ$877:AZ$1046))</f>
        <v>0</v>
      </c>
      <c r="AW22" s="668">
        <f>IF(AW$4="forecast",AW$8*'Direct People Department Costs'!$H$8,SUMIF('Dept. Cost Actuals'!$E$7:$E$176,"*On Board*",'Dept. Cost Actuals'!BA$877:BA$1046))</f>
        <v>0</v>
      </c>
      <c r="AX22" s="668">
        <f>IF(AX$4="forecast",AX$8*'Direct People Department Costs'!$H$8,SUMIF('Dept. Cost Actuals'!$E$7:$E$176,"*On Board*",'Dept. Cost Actuals'!BB$877:BB$1046))</f>
        <v>0</v>
      </c>
      <c r="AY22" s="668">
        <f>IF(AY$4="forecast",AY$8*'Direct People Department Costs'!$H$8,SUMIF('Dept. Cost Actuals'!$E$7:$E$176,"*On Board*",'Dept. Cost Actuals'!BC$877:BC$1046))</f>
        <v>0</v>
      </c>
      <c r="AZ22" s="668">
        <f>IF(AZ$4="forecast",AZ$8*'Direct People Department Costs'!$H$8,SUMIF('Dept. Cost Actuals'!$E$7:$E$176,"*On Board*",'Dept. Cost Actuals'!BD$877:BD$1046))</f>
        <v>0</v>
      </c>
      <c r="BA22" s="668">
        <f>IF(BA$4="forecast",BA$8*'Direct People Department Costs'!$H$8,SUMIF('Dept. Cost Actuals'!$E$7:$E$176,"*On Board*",'Dept. Cost Actuals'!BE$877:BE$1046))</f>
        <v>0</v>
      </c>
      <c r="BB22" s="668">
        <f>IF(BB$4="forecast",BB$8*'Direct People Department Costs'!$H$8,SUMIF('Dept. Cost Actuals'!$E$7:$E$176,"*On Board*",'Dept. Cost Actuals'!BF$877:BF$1046))</f>
        <v>0</v>
      </c>
      <c r="BC22" s="668">
        <f>IF(BC$4="forecast",BC$8*'Direct People Department Costs'!$H$8,SUMIF('Dept. Cost Actuals'!$E$7:$E$176,"*On Board*",'Dept. Cost Actuals'!BG$877:BG$1046))</f>
        <v>0</v>
      </c>
      <c r="BD22" s="668">
        <f>IF(BD$4="forecast",BD$8*'Direct People Department Costs'!$H$8,SUMIF('Dept. Cost Actuals'!$E$7:$E$176,"*On Board*",'Dept. Cost Actuals'!BH$877:BH$1046))</f>
        <v>0</v>
      </c>
      <c r="BE22" s="668">
        <f>IF(BE$4="forecast",BE$8*'Direct People Department Costs'!$H$8,SUMIF('Dept. Cost Actuals'!$E$7:$E$176,"*On Board*",'Dept. Cost Actuals'!BI$877:BI$1046))</f>
        <v>0</v>
      </c>
      <c r="BF22" s="668">
        <f>IF(BF$4="forecast",BF$8*'Direct People Department Costs'!$H$8,SUMIF('Dept. Cost Actuals'!$E$7:$E$176,"*On Board*",'Dept. Cost Actuals'!BJ$877:BJ$1046))</f>
        <v>0</v>
      </c>
      <c r="BG22" s="668">
        <f>IF(BG$4="forecast",BG$8*'Direct People Department Costs'!$H$8,SUMIF('Dept. Cost Actuals'!$E$7:$E$176,"*On Board*",'Dept. Cost Actuals'!BK$877:BK$1046))</f>
        <v>0</v>
      </c>
      <c r="BH22" s="668">
        <f>IF(BH$4="forecast",BH$8*'Direct People Department Costs'!$H$8,SUMIF('Dept. Cost Actuals'!$E$7:$E$176,"*On Board*",'Dept. Cost Actuals'!BL$877:BL$1046))</f>
        <v>0</v>
      </c>
      <c r="BI22" s="668">
        <f>IF(BI$4="forecast",BI$8*'Direct People Department Costs'!$H$8,SUMIF('Dept. Cost Actuals'!$E$7:$E$176,"*On Board*",'Dept. Cost Actuals'!BM$877:BM$1046))</f>
        <v>0</v>
      </c>
      <c r="BJ22" s="668">
        <f>IF(BJ$4="forecast",BJ$8*'Direct People Department Costs'!$H$8,SUMIF('Dept. Cost Actuals'!$E$7:$E$176,"*On Board*",'Dept. Cost Actuals'!BN$877:BN$1046))</f>
        <v>0</v>
      </c>
      <c r="BK22" s="668">
        <f>IF(BK$4="forecast",BK$8*'Direct People Department Costs'!$H$8,SUMIF('Dept. Cost Actuals'!$E$7:$E$176,"*On Board*",'Dept. Cost Actuals'!BO$877:BO$1046))</f>
        <v>0</v>
      </c>
      <c r="BL22" s="668">
        <f>IF(BL$4="forecast",BL$8*'Direct People Department Costs'!$H$8,SUMIF('Dept. Cost Actuals'!$E$7:$E$176,"*On Board*",'Dept. Cost Actuals'!BP$877:BP$1046))</f>
        <v>0</v>
      </c>
      <c r="BM22" s="668">
        <f>IF(BM$4="forecast",BM$8*'Direct People Department Costs'!$H$8,SUMIF('Dept. Cost Actuals'!$E$7:$E$176,"*On Board*",'Dept. Cost Actuals'!BQ$877:BQ$1046))</f>
        <v>0</v>
      </c>
      <c r="BN22" s="668">
        <f>IF(BN$4="forecast",BN$8*'Direct People Department Costs'!$H$8,SUMIF('Dept. Cost Actuals'!$E$7:$E$176,"*On Board*",'Dept. Cost Actuals'!BR$877:BR$1046))</f>
        <v>0</v>
      </c>
      <c r="BO22" s="668">
        <f>IF(BO$4="forecast",BO$8*'Direct People Department Costs'!$H$8,SUMIF('Dept. Cost Actuals'!$E$7:$E$176,"*On Board*",'Dept. Cost Actuals'!BS$877:BS$1046))</f>
        <v>0</v>
      </c>
      <c r="BP22" s="668">
        <f>IF(BP$4="forecast",BP$8*'Direct People Department Costs'!$H$8,SUMIF('Dept. Cost Actuals'!$E$7:$E$176,"*On Board*",'Dept. Cost Actuals'!BT$877:BT$1046))</f>
        <v>0</v>
      </c>
      <c r="BQ22" s="668">
        <f>IF(BQ$4="forecast",BQ$8*'Direct People Department Costs'!$H$8,SUMIF('Dept. Cost Actuals'!$E$7:$E$176,"*On Board*",'Dept. Cost Actuals'!BU$877:BU$1046))</f>
        <v>0</v>
      </c>
      <c r="BR22" s="668">
        <f>IF(BR$4="forecast",BR$8*'Direct People Department Costs'!$H$8,SUMIF('Dept. Cost Actuals'!$E$7:$E$176,"*On Board*",'Dept. Cost Actuals'!BV$877:BV$1046))</f>
        <v>0</v>
      </c>
      <c r="BS22" s="668">
        <f>IF(BS$4="forecast",BS$8*'Direct People Department Costs'!$H$8,SUMIF('Dept. Cost Actuals'!$E$7:$E$176,"*On Board*",'Dept. Cost Actuals'!BW$877:BW$1046))</f>
        <v>0</v>
      </c>
      <c r="BT22" s="668">
        <f>IF(BT$4="forecast",BT$8*'Direct People Department Costs'!$H$8,SUMIF('Dept. Cost Actuals'!$E$7:$E$176,"*On Board*",'Dept. Cost Actuals'!BX$877:BX$1046))</f>
        <v>0</v>
      </c>
      <c r="BU22" s="668">
        <f>IF(BU$4="forecast",BU$8*'Direct People Department Costs'!$H$8,SUMIF('Dept. Cost Actuals'!$E$7:$E$176,"*On Board*",'Dept. Cost Actuals'!BY$877:BY$1046))</f>
        <v>0</v>
      </c>
      <c r="BV22" s="668">
        <f>IF(BV$4="forecast",BV$8*'Direct People Department Costs'!$H$8,SUMIF('Dept. Cost Actuals'!$E$7:$E$176,"*On Board*",'Dept. Cost Actuals'!BZ$877:BZ$1046))</f>
        <v>0</v>
      </c>
    </row>
    <row r="23" spans="2:74" x14ac:dyDescent="0.25">
      <c r="B23" s="794" t="s">
        <v>918</v>
      </c>
      <c r="C23" s="668">
        <f>IF(C$4="forecast",C$8*'Direct People Department Costs'!$H$9,SUMIF('Dept. Cost Actuals'!$E$7:$E$176,"*Recruiting*",'Dept. Cost Actuals'!G$877:G$1046))</f>
        <v>166.69515673803267</v>
      </c>
      <c r="D23" s="668">
        <f>IF(D$4="forecast",D$8*'Direct People Department Costs'!$H$9,SUMIF('Dept. Cost Actuals'!$E$7:$E$176,"*Recruiting*",'Dept. Cost Actuals'!H$877:H$1046))</f>
        <v>26.520637690201514</v>
      </c>
      <c r="E23" s="668">
        <f>IF(E$4="forecast",E$8*'Direct People Department Costs'!$H$9,SUMIF('Dept. Cost Actuals'!$E$7:$E$176,"*Recruiting*",'Dept. Cost Actuals'!I$877:I$1046))</f>
        <v>16.653701799456318</v>
      </c>
      <c r="F23" s="668">
        <f>IF(F$4="forecast",F$8*'Direct People Department Costs'!$H$9,SUMIF('Dept. Cost Actuals'!$E$7:$E$176,"*Recruiting*",'Dept. Cost Actuals'!J$877:J$1046))</f>
        <v>2683.6246017295275</v>
      </c>
      <c r="G23" s="668">
        <f>IF(G$4="forecast",G$8*'Direct People Department Costs'!$H$9,SUMIF('Dept. Cost Actuals'!$E$7:$E$176,"*Recruiting*",'Dept. Cost Actuals'!K$877:K$1046))</f>
        <v>138.34601918959768</v>
      </c>
      <c r="H23" s="668">
        <f>IF(H$4="forecast",H$8*'Direct People Department Costs'!$H$9,SUMIF('Dept. Cost Actuals'!$E$7:$E$176,"*Recruiting*",'Dept. Cost Actuals'!L$877:L$1046))</f>
        <v>2204.2635476173446</v>
      </c>
      <c r="I23" s="668">
        <f>IF(I$4="forecast",I$8*'Direct People Department Costs'!$H$9,SUMIF('Dept. Cost Actuals'!$E$7:$E$176,"*Recruiting*",'Dept. Cost Actuals'!M$877:M$1046))</f>
        <v>1866.5488107701285</v>
      </c>
      <c r="J23" s="668">
        <f>IF(J$4="forecast",J$8*'Direct People Department Costs'!$H$9,SUMIF('Dept. Cost Actuals'!$E$7:$E$176,"*Recruiting*",'Dept. Cost Actuals'!N$877:N$1046))</f>
        <v>1953.8926965899468</v>
      </c>
      <c r="K23" s="668">
        <f>IF(K$4="forecast",K$8*'Direct People Department Costs'!$H$9,SUMIF('Dept. Cost Actuals'!$E$7:$E$176,"*Recruiting*",'Dept. Cost Actuals'!O$877:O$1046))</f>
        <v>13.224621937637316</v>
      </c>
      <c r="L23" s="668">
        <f>IF(L$4="forecast",L$8*'Direct People Department Costs'!$H$9,SUMIF('Dept. Cost Actuals'!$E$7:$E$176,"*Recruiting*",'Dept. Cost Actuals'!P$877:P$1046))</f>
        <v>1164.6089782585323</v>
      </c>
      <c r="M23" s="668">
        <f>IF(M$4="forecast",M$8*'Direct People Department Costs'!$H$9,SUMIF('Dept. Cost Actuals'!$E$7:$E$176,"*Recruiting*",'Dept. Cost Actuals'!Q$877:Q$1046))</f>
        <v>0</v>
      </c>
      <c r="N23" s="668">
        <f>IF(N$4="forecast",N$8*'Direct People Department Costs'!$H$9,SUMIF('Dept. Cost Actuals'!$E$7:$E$176,"*Recruiting*",'Dept. Cost Actuals'!R$877:R$1046))</f>
        <v>0</v>
      </c>
      <c r="O23" s="668">
        <f>IF(O$4="forecast",O$8*'Direct People Department Costs'!$H$9,SUMIF('Dept. Cost Actuals'!$E$7:$E$176,"*Recruiting*",'Dept. Cost Actuals'!S$877:S$1046))</f>
        <v>0</v>
      </c>
      <c r="P23" s="668">
        <f>IF(P$4="forecast",P$8*'Direct People Department Costs'!$H$9,SUMIF('Dept. Cost Actuals'!$E$7:$E$176,"*Recruiting*",'Dept. Cost Actuals'!T$877:T$1046))</f>
        <v>0</v>
      </c>
      <c r="Q23" s="668">
        <f>IF(Q$4="forecast",Q$8*'Direct People Department Costs'!$H$9,SUMIF('Dept. Cost Actuals'!$E$7:$E$176,"*Recruiting*",'Dept. Cost Actuals'!U$877:U$1046))</f>
        <v>0</v>
      </c>
      <c r="R23" s="668">
        <f>IF(R$4="forecast",R$8*'Direct People Department Costs'!$H$9,SUMIF('Dept. Cost Actuals'!$E$7:$E$176,"*Recruiting*",'Dept. Cost Actuals'!V$877:V$1046))</f>
        <v>0</v>
      </c>
      <c r="S23" s="668">
        <f>IF(S$4="forecast",S$8*'Direct People Department Costs'!$H$9,SUMIF('Dept. Cost Actuals'!$E$7:$E$176,"*Recruiting*",'Dept. Cost Actuals'!W$877:W$1046))</f>
        <v>0</v>
      </c>
      <c r="T23" s="668">
        <f>IF(T$4="forecast",T$8*'Direct People Department Costs'!$H$9,SUMIF('Dept. Cost Actuals'!$E$7:$E$176,"*Recruiting*",'Dept. Cost Actuals'!X$877:X$1046))</f>
        <v>0</v>
      </c>
      <c r="U23" s="668">
        <f>IF(U$4="forecast",U$8*'Direct People Department Costs'!$H$9,SUMIF('Dept. Cost Actuals'!$E$7:$E$176,"*Recruiting*",'Dept. Cost Actuals'!Y$877:Y$1046))</f>
        <v>0</v>
      </c>
      <c r="V23" s="668">
        <f>IF(V$4="forecast",V$8*'Direct People Department Costs'!$H$9,SUMIF('Dept. Cost Actuals'!$E$7:$E$176,"*Recruiting*",'Dept. Cost Actuals'!Z$877:Z$1046))</f>
        <v>0</v>
      </c>
      <c r="W23" s="668">
        <f>IF(W$4="forecast",W$8*'Direct People Department Costs'!$H$9,SUMIF('Dept. Cost Actuals'!$E$7:$E$176,"*Recruiting*",'Dept. Cost Actuals'!AA$877:AA$1046))</f>
        <v>0</v>
      </c>
      <c r="X23" s="668">
        <f>IF(X$4="forecast",X$8*'Direct People Department Costs'!$H$9,SUMIF('Dept. Cost Actuals'!$E$7:$E$176,"*Recruiting*",'Dept. Cost Actuals'!AB$877:AB$1046))</f>
        <v>0</v>
      </c>
      <c r="Y23" s="668">
        <f>IF(Y$4="forecast",Y$8*'Direct People Department Costs'!$H$9,SUMIF('Dept. Cost Actuals'!$E$7:$E$176,"*Recruiting*",'Dept. Cost Actuals'!AC$877:AC$1046))</f>
        <v>0</v>
      </c>
      <c r="Z23" s="668">
        <f>IF(Z$4="forecast",Z$8*'Direct People Department Costs'!$H$9,SUMIF('Dept. Cost Actuals'!$E$7:$E$176,"*Recruiting*",'Dept. Cost Actuals'!AD$877:AD$1046))</f>
        <v>0</v>
      </c>
      <c r="AA23" s="668">
        <f>IF(AA$4="forecast",AA$8*'Direct People Department Costs'!$H$9,SUMIF('Dept. Cost Actuals'!$E$7:$E$176,"*Recruiting*",'Dept. Cost Actuals'!AE$877:AE$1046))</f>
        <v>0</v>
      </c>
      <c r="AB23" s="668">
        <f>IF(AB$4="forecast",AB$8*'Direct People Department Costs'!$H$9,SUMIF('Dept. Cost Actuals'!$E$7:$E$176,"*Recruiting*",'Dept. Cost Actuals'!AF$877:AF$1046))</f>
        <v>0</v>
      </c>
      <c r="AC23" s="668">
        <f>IF(AC$4="forecast",AC$8*'Direct People Department Costs'!$H$9,SUMIF('Dept. Cost Actuals'!$E$7:$E$176,"*Recruiting*",'Dept. Cost Actuals'!AG$877:AG$1046))</f>
        <v>0</v>
      </c>
      <c r="AD23" s="668">
        <f>IF(AD$4="forecast",AD$8*'Direct People Department Costs'!$H$9,SUMIF('Dept. Cost Actuals'!$E$7:$E$176,"*Recruiting*",'Dept. Cost Actuals'!AH$877:AH$1046))</f>
        <v>0</v>
      </c>
      <c r="AE23" s="668">
        <f>IF(AE$4="forecast",AE$8*'Direct People Department Costs'!$H$9,SUMIF('Dept. Cost Actuals'!$E$7:$E$176,"*Recruiting*",'Dept. Cost Actuals'!AI$877:AI$1046))</f>
        <v>0</v>
      </c>
      <c r="AF23" s="668">
        <f>IF(AF$4="forecast",AF$8*'Direct People Department Costs'!$H$9,SUMIF('Dept. Cost Actuals'!$E$7:$E$176,"*Recruiting*",'Dept. Cost Actuals'!AJ$877:AJ$1046))</f>
        <v>0</v>
      </c>
      <c r="AG23" s="668">
        <f>IF(AG$4="forecast",AG$8*'Direct People Department Costs'!$H$9,SUMIF('Dept. Cost Actuals'!$E$7:$E$176,"*Recruiting*",'Dept. Cost Actuals'!AK$877:AK$1046))</f>
        <v>0</v>
      </c>
      <c r="AH23" s="668">
        <f>IF(AH$4="forecast",AH$8*'Direct People Department Costs'!$H$9,SUMIF('Dept. Cost Actuals'!$E$7:$E$176,"*Recruiting*",'Dept. Cost Actuals'!AL$877:AL$1046))</f>
        <v>0</v>
      </c>
      <c r="AI23" s="668">
        <f>IF(AI$4="forecast",AI$8*'Direct People Department Costs'!$H$9,SUMIF('Dept. Cost Actuals'!$E$7:$E$176,"*Recruiting*",'Dept. Cost Actuals'!AM$877:AM$1046))</f>
        <v>0</v>
      </c>
      <c r="AJ23" s="668">
        <f>IF(AJ$4="forecast",AJ$8*'Direct People Department Costs'!$H$9,SUMIF('Dept. Cost Actuals'!$E$7:$E$176,"*Recruiting*",'Dept. Cost Actuals'!AN$877:AN$1046))</f>
        <v>0</v>
      </c>
      <c r="AK23" s="668">
        <f>IF(AK$4="forecast",AK$8*'Direct People Department Costs'!$H$9,SUMIF('Dept. Cost Actuals'!$E$7:$E$176,"*Recruiting*",'Dept. Cost Actuals'!AO$877:AO$1046))</f>
        <v>0</v>
      </c>
      <c r="AL23" s="668">
        <f>IF(AL$4="forecast",AL$8*'Direct People Department Costs'!$H$9,SUMIF('Dept. Cost Actuals'!$E$7:$E$176,"*Recruiting*",'Dept. Cost Actuals'!AP$877:AP$1046))</f>
        <v>0</v>
      </c>
      <c r="AM23" s="668">
        <f>IF(AM$4="forecast",AM$8*'Direct People Department Costs'!$H$9,SUMIF('Dept. Cost Actuals'!$E$7:$E$176,"*Recruiting*",'Dept. Cost Actuals'!AQ$877:AQ$1046))</f>
        <v>0</v>
      </c>
      <c r="AN23" s="668">
        <f>IF(AN$4="forecast",AN$8*'Direct People Department Costs'!$H$9,SUMIF('Dept. Cost Actuals'!$E$7:$E$176,"*Recruiting*",'Dept. Cost Actuals'!AR$877:AR$1046))</f>
        <v>0</v>
      </c>
      <c r="AO23" s="668">
        <f>IF(AO$4="forecast",AO$8*'Direct People Department Costs'!$H$9,SUMIF('Dept. Cost Actuals'!$E$7:$E$176,"*Recruiting*",'Dept. Cost Actuals'!AS$877:AS$1046))</f>
        <v>0</v>
      </c>
      <c r="AP23" s="668">
        <f>IF(AP$4="forecast",AP$8*'Direct People Department Costs'!$H$9,SUMIF('Dept. Cost Actuals'!$E$7:$E$176,"*Recruiting*",'Dept. Cost Actuals'!AT$877:AT$1046))</f>
        <v>0</v>
      </c>
      <c r="AQ23" s="668">
        <f>IF(AQ$4="forecast",AQ$8*'Direct People Department Costs'!$H$9,SUMIF('Dept. Cost Actuals'!$E$7:$E$176,"*Recruiting*",'Dept. Cost Actuals'!AU$877:AU$1046))</f>
        <v>0</v>
      </c>
      <c r="AR23" s="668">
        <f>IF(AR$4="forecast",AR$8*'Direct People Department Costs'!$H$9,SUMIF('Dept. Cost Actuals'!$E$7:$E$176,"*Recruiting*",'Dept. Cost Actuals'!AV$877:AV$1046))</f>
        <v>0</v>
      </c>
      <c r="AS23" s="668">
        <f>IF(AS$4="forecast",AS$8*'Direct People Department Costs'!$H$9,SUMIF('Dept. Cost Actuals'!$E$7:$E$176,"*Recruiting*",'Dept. Cost Actuals'!AW$877:AW$1046))</f>
        <v>0</v>
      </c>
      <c r="AT23" s="668">
        <f>IF(AT$4="forecast",AT$8*'Direct People Department Costs'!$H$9,SUMIF('Dept. Cost Actuals'!$E$7:$E$176,"*Recruiting*",'Dept. Cost Actuals'!AX$877:AX$1046))</f>
        <v>0</v>
      </c>
      <c r="AU23" s="668">
        <f>IF(AU$4="forecast",AU$8*'Direct People Department Costs'!$H$9,SUMIF('Dept. Cost Actuals'!$E$7:$E$176,"*Recruiting*",'Dept. Cost Actuals'!AY$877:AY$1046))</f>
        <v>0</v>
      </c>
      <c r="AV23" s="668">
        <f>IF(AV$4="forecast",AV$8*'Direct People Department Costs'!$H$9,SUMIF('Dept. Cost Actuals'!$E$7:$E$176,"*Recruiting*",'Dept. Cost Actuals'!AZ$877:AZ$1046))</f>
        <v>0</v>
      </c>
      <c r="AW23" s="668">
        <f>IF(AW$4="forecast",AW$8*'Direct People Department Costs'!$H$9,SUMIF('Dept. Cost Actuals'!$E$7:$E$176,"*Recruiting*",'Dept. Cost Actuals'!BA$877:BA$1046))</f>
        <v>0</v>
      </c>
      <c r="AX23" s="668">
        <f>IF(AX$4="forecast",AX$8*'Direct People Department Costs'!$H$9,SUMIF('Dept. Cost Actuals'!$E$7:$E$176,"*Recruiting*",'Dept. Cost Actuals'!BB$877:BB$1046))</f>
        <v>0</v>
      </c>
      <c r="AY23" s="668">
        <f>IF(AY$4="forecast",AY$8*'Direct People Department Costs'!$H$9,SUMIF('Dept. Cost Actuals'!$E$7:$E$176,"*Recruiting*",'Dept. Cost Actuals'!BC$877:BC$1046))</f>
        <v>0</v>
      </c>
      <c r="AZ23" s="668">
        <f>IF(AZ$4="forecast",AZ$8*'Direct People Department Costs'!$H$9,SUMIF('Dept. Cost Actuals'!$E$7:$E$176,"*Recruiting*",'Dept. Cost Actuals'!BD$877:BD$1046))</f>
        <v>0</v>
      </c>
      <c r="BA23" s="668">
        <f>IF(BA$4="forecast",BA$8*'Direct People Department Costs'!$H$9,SUMIF('Dept. Cost Actuals'!$E$7:$E$176,"*Recruiting*",'Dept. Cost Actuals'!BE$877:BE$1046))</f>
        <v>0</v>
      </c>
      <c r="BB23" s="668">
        <f>IF(BB$4="forecast",BB$8*'Direct People Department Costs'!$H$9,SUMIF('Dept. Cost Actuals'!$E$7:$E$176,"*Recruiting*",'Dept. Cost Actuals'!BF$877:BF$1046))</f>
        <v>0</v>
      </c>
      <c r="BC23" s="668">
        <f>IF(BC$4="forecast",BC$8*'Direct People Department Costs'!$H$9,SUMIF('Dept. Cost Actuals'!$E$7:$E$176,"*Recruiting*",'Dept. Cost Actuals'!BG$877:BG$1046))</f>
        <v>0</v>
      </c>
      <c r="BD23" s="668">
        <f>IF(BD$4="forecast",BD$8*'Direct People Department Costs'!$H$9,SUMIF('Dept. Cost Actuals'!$E$7:$E$176,"*Recruiting*",'Dept. Cost Actuals'!BH$877:BH$1046))</f>
        <v>0</v>
      </c>
      <c r="BE23" s="668">
        <f>IF(BE$4="forecast",BE$8*'Direct People Department Costs'!$H$9,SUMIF('Dept. Cost Actuals'!$E$7:$E$176,"*Recruiting*",'Dept. Cost Actuals'!BI$877:BI$1046))</f>
        <v>0</v>
      </c>
      <c r="BF23" s="668">
        <f>IF(BF$4="forecast",BF$8*'Direct People Department Costs'!$H$9,SUMIF('Dept. Cost Actuals'!$E$7:$E$176,"*Recruiting*",'Dept. Cost Actuals'!BJ$877:BJ$1046))</f>
        <v>0</v>
      </c>
      <c r="BG23" s="668">
        <f>IF(BG$4="forecast",BG$8*'Direct People Department Costs'!$H$9,SUMIF('Dept. Cost Actuals'!$E$7:$E$176,"*Recruiting*",'Dept. Cost Actuals'!BK$877:BK$1046))</f>
        <v>0</v>
      </c>
      <c r="BH23" s="668">
        <f>IF(BH$4="forecast",BH$8*'Direct People Department Costs'!$H$9,SUMIF('Dept. Cost Actuals'!$E$7:$E$176,"*Recruiting*",'Dept. Cost Actuals'!BL$877:BL$1046))</f>
        <v>0</v>
      </c>
      <c r="BI23" s="668">
        <f>IF(BI$4="forecast",BI$8*'Direct People Department Costs'!$H$9,SUMIF('Dept. Cost Actuals'!$E$7:$E$176,"*Recruiting*",'Dept. Cost Actuals'!BM$877:BM$1046))</f>
        <v>0</v>
      </c>
      <c r="BJ23" s="668">
        <f>IF(BJ$4="forecast",BJ$8*'Direct People Department Costs'!$H$9,SUMIF('Dept. Cost Actuals'!$E$7:$E$176,"*Recruiting*",'Dept. Cost Actuals'!BN$877:BN$1046))</f>
        <v>0</v>
      </c>
      <c r="BK23" s="668">
        <f>IF(BK$4="forecast",BK$8*'Direct People Department Costs'!$H$9,SUMIF('Dept. Cost Actuals'!$E$7:$E$176,"*Recruiting*",'Dept. Cost Actuals'!BO$877:BO$1046))</f>
        <v>0</v>
      </c>
      <c r="BL23" s="668">
        <f>IF(BL$4="forecast",BL$8*'Direct People Department Costs'!$H$9,SUMIF('Dept. Cost Actuals'!$E$7:$E$176,"*Recruiting*",'Dept. Cost Actuals'!BP$877:BP$1046))</f>
        <v>0</v>
      </c>
      <c r="BM23" s="668">
        <f>IF(BM$4="forecast",BM$8*'Direct People Department Costs'!$H$9,SUMIF('Dept. Cost Actuals'!$E$7:$E$176,"*Recruiting*",'Dept. Cost Actuals'!BQ$877:BQ$1046))</f>
        <v>0</v>
      </c>
      <c r="BN23" s="668">
        <f>IF(BN$4="forecast",BN$8*'Direct People Department Costs'!$H$9,SUMIF('Dept. Cost Actuals'!$E$7:$E$176,"*Recruiting*",'Dept. Cost Actuals'!BR$877:BR$1046))</f>
        <v>0</v>
      </c>
      <c r="BO23" s="668">
        <f>IF(BO$4="forecast",BO$8*'Direct People Department Costs'!$H$9,SUMIF('Dept. Cost Actuals'!$E$7:$E$176,"*Recruiting*",'Dept. Cost Actuals'!BS$877:BS$1046))</f>
        <v>0</v>
      </c>
      <c r="BP23" s="668">
        <f>IF(BP$4="forecast",BP$8*'Direct People Department Costs'!$H$9,SUMIF('Dept. Cost Actuals'!$E$7:$E$176,"*Recruiting*",'Dept. Cost Actuals'!BT$877:BT$1046))</f>
        <v>0</v>
      </c>
      <c r="BQ23" s="668">
        <f>IF(BQ$4="forecast",BQ$8*'Direct People Department Costs'!$H$9,SUMIF('Dept. Cost Actuals'!$E$7:$E$176,"*Recruiting*",'Dept. Cost Actuals'!BU$877:BU$1046))</f>
        <v>0</v>
      </c>
      <c r="BR23" s="668">
        <f>IF(BR$4="forecast",BR$8*'Direct People Department Costs'!$H$9,SUMIF('Dept. Cost Actuals'!$E$7:$E$176,"*Recruiting*",'Dept. Cost Actuals'!BV$877:BV$1046))</f>
        <v>0</v>
      </c>
      <c r="BS23" s="668">
        <f>IF(BS$4="forecast",BS$8*'Direct People Department Costs'!$H$9,SUMIF('Dept. Cost Actuals'!$E$7:$E$176,"*Recruiting*",'Dept. Cost Actuals'!BW$877:BW$1046))</f>
        <v>0</v>
      </c>
      <c r="BT23" s="668">
        <f>IF(BT$4="forecast",BT$8*'Direct People Department Costs'!$H$9,SUMIF('Dept. Cost Actuals'!$E$7:$E$176,"*Recruiting*",'Dept. Cost Actuals'!BX$877:BX$1046))</f>
        <v>0</v>
      </c>
      <c r="BU23" s="668">
        <f>IF(BU$4="forecast",BU$8*'Direct People Department Costs'!$H$9,SUMIF('Dept. Cost Actuals'!$E$7:$E$176,"*Recruiting*",'Dept. Cost Actuals'!BY$877:BY$1046))</f>
        <v>0</v>
      </c>
      <c r="BV23" s="668">
        <f>IF(BV$4="forecast",BV$8*'Direct People Department Costs'!$H$9,SUMIF('Dept. Cost Actuals'!$E$7:$E$176,"*Recruiting*",'Dept. Cost Actuals'!BZ$877:BZ$1046))</f>
        <v>0</v>
      </c>
    </row>
    <row r="24" spans="2:74" x14ac:dyDescent="0.25">
      <c r="B24" s="794" t="s">
        <v>431</v>
      </c>
      <c r="C24" s="668">
        <f>IF(C$4="forecast",(4200),SUMIF('Dept. Cost Actuals'!$E$7:$E$176,"*Travel*",'Dept. Cost Actuals'!G$877:G$1046))</f>
        <v>65.117992140094188</v>
      </c>
      <c r="D24" s="668">
        <f>IF(D$4="forecast",(4200),SUMIF('Dept. Cost Actuals'!$E$7:$E$176,"*Travel*",'Dept. Cost Actuals'!H$877:H$1046))</f>
        <v>180.51565166673291</v>
      </c>
      <c r="E24" s="668">
        <f>IF(E$4="forecast",(4200),SUMIF('Dept. Cost Actuals'!$E$7:$E$176,"*Travel*",'Dept. Cost Actuals'!I$877:I$1046))</f>
        <v>127.46854381982527</v>
      </c>
      <c r="F24" s="668">
        <f>IF(F$4="forecast",(4200),SUMIF('Dept. Cost Actuals'!$E$7:$E$176,"*Travel*",'Dept. Cost Actuals'!J$877:J$1046))</f>
        <v>406.52180121215673</v>
      </c>
      <c r="G24" s="668">
        <f>IF(G$4="forecast",(4200),SUMIF('Dept. Cost Actuals'!$E$7:$E$176,"*Travel*",'Dept. Cost Actuals'!K$877:K$1046))</f>
        <v>409.20977470753769</v>
      </c>
      <c r="H24" s="668">
        <f>IF(H$4="forecast",(4200),SUMIF('Dept. Cost Actuals'!$E$7:$E$176,"*Travel*",'Dept. Cost Actuals'!L$877:L$1046))</f>
        <v>1809.5835095657551</v>
      </c>
      <c r="I24" s="668">
        <f>IF(I$4="forecast",(4200),SUMIF('Dept. Cost Actuals'!$E$7:$E$176,"*Travel*",'Dept. Cost Actuals'!M$877:M$1046))</f>
        <v>138.96280478750921</v>
      </c>
      <c r="J24" s="668">
        <f>IF(J$4="forecast",(4200),SUMIF('Dept. Cost Actuals'!$E$7:$E$176,"*Travel*",'Dept. Cost Actuals'!N$877:N$1046))</f>
        <v>408.63650401947751</v>
      </c>
      <c r="K24" s="668">
        <f>IF(K$4="forecast",(4200),SUMIF('Dept. Cost Actuals'!$E$7:$E$176,"*Travel*",'Dept. Cost Actuals'!O$877:O$1046))</f>
        <v>809.78355384644988</v>
      </c>
      <c r="L24" s="668">
        <f>IF(L$4="forecast",(4200),SUMIF('Dept. Cost Actuals'!$E$7:$E$176,"*Travel*",'Dept. Cost Actuals'!P$877:P$1046))</f>
        <v>596.09508245609743</v>
      </c>
      <c r="M24" s="668">
        <f>IF(M$4="forecast",(4200),SUMIF('Dept. Cost Actuals'!$E$7:$E$176,"*Travel*",'Dept. Cost Actuals'!Q$877:Q$1046))</f>
        <v>273.70431706133076</v>
      </c>
      <c r="N24" s="668">
        <f>IF(N$4="forecast",(4200),SUMIF('Dept. Cost Actuals'!$E$7:$E$176,"*Travel*",'Dept. Cost Actuals'!R$877:R$1046))</f>
        <v>50.791780503278034</v>
      </c>
      <c r="O24" s="668">
        <f>IF(O$4="forecast",(4200),SUMIF('Dept. Cost Actuals'!$E$7:$E$176,"*Travel*",'Dept. Cost Actuals'!S$877:S$1046))</f>
        <v>15553.65</v>
      </c>
      <c r="P24" s="668">
        <f>IF(P$4="forecast",(4200),SUMIF('Dept. Cost Actuals'!$E$7:$E$176,"*Travel*",'Dept. Cost Actuals'!T$877:T$1046))</f>
        <v>2738.56</v>
      </c>
      <c r="Q24" s="668">
        <f>IF(Q$4="forecast",(4200),SUMIF('Dept. Cost Actuals'!$E$7:$E$176,"*Travel*",'Dept. Cost Actuals'!U$877:U$1046))</f>
        <v>945.32</v>
      </c>
      <c r="R24" s="668">
        <f>IF(R$4="forecast",(4200),SUMIF('Dept. Cost Actuals'!$E$7:$E$176,"*Travel*",'Dept. Cost Actuals'!V$877:V$1046))</f>
        <v>1546.26</v>
      </c>
      <c r="S24" s="668">
        <f>IF(S$4="forecast",(4200),SUMIF('Dept. Cost Actuals'!$E$7:$E$176,"*Travel*",'Dept. Cost Actuals'!W$877:W$1046))</f>
        <v>1394.35</v>
      </c>
      <c r="T24" s="668">
        <f>IF(T$4="forecast",(4200),SUMIF('Dept. Cost Actuals'!$E$7:$E$176,"*Travel*",'Dept. Cost Actuals'!X$877:X$1046))</f>
        <v>1880.32</v>
      </c>
      <c r="U24" s="668">
        <f>IF(U$4="forecast",(4200),SUMIF('Dept. Cost Actuals'!$E$7:$E$176,"*Travel*",'Dept. Cost Actuals'!Y$877:Y$1046))</f>
        <v>1961.7</v>
      </c>
      <c r="V24" s="668">
        <f>IF(V$4="forecast",(4200),SUMIF('Dept. Cost Actuals'!$E$7:$E$176,"*Travel*",'Dept. Cost Actuals'!Z$877:Z$1046))</f>
        <v>882.14</v>
      </c>
      <c r="W24" s="668">
        <f>IF(W$4="forecast",(4200),SUMIF('Dept. Cost Actuals'!$E$7:$E$176,"*Travel*",'Dept. Cost Actuals'!AA$877:AA$1046))</f>
        <v>1939.87</v>
      </c>
      <c r="X24" s="668">
        <f>IF(X$4="forecast",(4200),SUMIF('Dept. Cost Actuals'!$E$7:$E$176,"*Travel*",'Dept. Cost Actuals'!AB$877:AB$1046))</f>
        <v>2982.61</v>
      </c>
      <c r="Y24" s="668">
        <f>IF(Y$4="forecast",(4200),SUMIF('Dept. Cost Actuals'!$E$7:$E$176,"*Travel*",'Dept. Cost Actuals'!AC$877:AC$1046))</f>
        <v>-210.73</v>
      </c>
      <c r="Z24" s="668">
        <f>IF(Z$4="forecast",(4200),SUMIF('Dept. Cost Actuals'!$E$7:$E$176,"*Travel*",'Dept. Cost Actuals'!AD$877:AD$1046))</f>
        <v>1421.8</v>
      </c>
      <c r="AA24" s="668">
        <f>IF(AA$4="forecast",(4200),SUMIF('Dept. Cost Actuals'!$E$7:$E$176,"*Travel*",'Dept. Cost Actuals'!AE$877:AE$1046))</f>
        <v>2268.34</v>
      </c>
      <c r="AB24" s="668">
        <f>IF(AB$4="forecast",(4200),SUMIF('Dept. Cost Actuals'!$E$7:$E$176,"*Travel*",'Dept. Cost Actuals'!AF$877:AF$1046))</f>
        <v>2623.28</v>
      </c>
      <c r="AC24" s="668">
        <f>IF(AC$4="forecast",(4200),SUMIF('Dept. Cost Actuals'!$E$7:$E$176,"*Travel*",'Dept. Cost Actuals'!AG$877:AG$1046))</f>
        <v>5346.12</v>
      </c>
      <c r="AD24" s="668">
        <f>IF(AD$4="forecast",(4200),SUMIF('Dept. Cost Actuals'!$E$7:$E$176,"*Travel*",'Dept. Cost Actuals'!AH$877:AH$1046))</f>
        <v>4200</v>
      </c>
      <c r="AE24" s="668">
        <f>IF(AE$4="forecast",(4200),SUMIF('Dept. Cost Actuals'!$E$7:$E$176,"*Travel*",'Dept. Cost Actuals'!AI$877:AI$1046))</f>
        <v>4200</v>
      </c>
      <c r="AF24" s="668">
        <f>IF(AF$4="forecast",(4200),SUMIF('Dept. Cost Actuals'!$E$7:$E$176,"*Travel*",'Dept. Cost Actuals'!AJ$877:AJ$1046))</f>
        <v>4200</v>
      </c>
      <c r="AG24" s="668">
        <f>IF(AG$4="forecast",(4200),SUMIF('Dept. Cost Actuals'!$E$7:$E$176,"*Travel*",'Dept. Cost Actuals'!AK$877:AK$1046))</f>
        <v>4200</v>
      </c>
      <c r="AH24" s="668">
        <f>IF(AH$4="forecast",(4200),SUMIF('Dept. Cost Actuals'!$E$7:$E$176,"*Travel*",'Dept. Cost Actuals'!AL$877:AL$1046))</f>
        <v>4200</v>
      </c>
      <c r="AI24" s="668">
        <f>IF(AI$4="forecast",(4200),SUMIF('Dept. Cost Actuals'!$E$7:$E$176,"*Travel*",'Dept. Cost Actuals'!AM$877:AM$1046))</f>
        <v>4200</v>
      </c>
      <c r="AJ24" s="668">
        <f>IF(AJ$4="forecast",(4200),SUMIF('Dept. Cost Actuals'!$E$7:$E$176,"*Travel*",'Dept. Cost Actuals'!AN$877:AN$1046))</f>
        <v>4200</v>
      </c>
      <c r="AK24" s="668">
        <f>IF(AK$4="forecast",(4200),SUMIF('Dept. Cost Actuals'!$E$7:$E$176,"*Travel*",'Dept. Cost Actuals'!AO$877:AO$1046))</f>
        <v>4200</v>
      </c>
      <c r="AL24" s="668">
        <f>IF(AL$4="forecast",(4200),SUMIF('Dept. Cost Actuals'!$E$7:$E$176,"*Travel*",'Dept. Cost Actuals'!AP$877:AP$1046))</f>
        <v>4200</v>
      </c>
      <c r="AM24" s="668">
        <f>IF(AM$4="forecast",(4200),SUMIF('Dept. Cost Actuals'!$E$7:$E$176,"*Travel*",'Dept. Cost Actuals'!AQ$877:AQ$1046))</f>
        <v>4200</v>
      </c>
      <c r="AN24" s="668">
        <f>IF(AN$4="forecast",(4200),SUMIF('Dept. Cost Actuals'!$E$7:$E$176,"*Travel*",'Dept. Cost Actuals'!AR$877:AR$1046))</f>
        <v>4200</v>
      </c>
      <c r="AO24" s="668">
        <f>IF(AO$4="forecast",(4200),SUMIF('Dept. Cost Actuals'!$E$7:$E$176,"*Travel*",'Dept. Cost Actuals'!AS$877:AS$1046))</f>
        <v>4200</v>
      </c>
      <c r="AP24" s="668">
        <f>IF(AP$4="forecast",(4200),SUMIF('Dept. Cost Actuals'!$E$7:$E$176,"*Travel*",'Dept. Cost Actuals'!AT$877:AT$1046))</f>
        <v>4200</v>
      </c>
      <c r="AQ24" s="668">
        <f>IF(AQ$4="forecast",(4200),SUMIF('Dept. Cost Actuals'!$E$7:$E$176,"*Travel*",'Dept. Cost Actuals'!AU$877:AU$1046))</f>
        <v>4200</v>
      </c>
      <c r="AR24" s="668">
        <f>IF(AR$4="forecast",(4200),SUMIF('Dept. Cost Actuals'!$E$7:$E$176,"*Travel*",'Dept. Cost Actuals'!AV$877:AV$1046))</f>
        <v>4200</v>
      </c>
      <c r="AS24" s="668">
        <f>IF(AS$4="forecast",(4200),SUMIF('Dept. Cost Actuals'!$E$7:$E$176,"*Travel*",'Dept. Cost Actuals'!AW$877:AW$1046))</f>
        <v>4200</v>
      </c>
      <c r="AT24" s="668">
        <f>IF(AT$4="forecast",(4200),SUMIF('Dept. Cost Actuals'!$E$7:$E$176,"*Travel*",'Dept. Cost Actuals'!AX$877:AX$1046))</f>
        <v>4200</v>
      </c>
      <c r="AU24" s="668">
        <f>IF(AU$4="forecast",(4200),SUMIF('Dept. Cost Actuals'!$E$7:$E$176,"*Travel*",'Dept. Cost Actuals'!AY$877:AY$1046))</f>
        <v>4200</v>
      </c>
      <c r="AV24" s="668">
        <f>IF(AV$4="forecast",(4200),SUMIF('Dept. Cost Actuals'!$E$7:$E$176,"*Travel*",'Dept. Cost Actuals'!AZ$877:AZ$1046))</f>
        <v>4200</v>
      </c>
      <c r="AW24" s="668">
        <f>IF(AW$4="forecast",(4200),SUMIF('Dept. Cost Actuals'!$E$7:$E$176,"*Travel*",'Dept. Cost Actuals'!BA$877:BA$1046))</f>
        <v>4200</v>
      </c>
      <c r="AX24" s="668">
        <f>IF(AX$4="forecast",(4200),SUMIF('Dept. Cost Actuals'!$E$7:$E$176,"*Travel*",'Dept. Cost Actuals'!BB$877:BB$1046))</f>
        <v>4200</v>
      </c>
      <c r="AY24" s="668">
        <f>IF(AY$4="forecast",(4200),SUMIF('Dept. Cost Actuals'!$E$7:$E$176,"*Travel*",'Dept. Cost Actuals'!BC$877:BC$1046))</f>
        <v>4200</v>
      </c>
      <c r="AZ24" s="668">
        <f>IF(AZ$4="forecast",(4200),SUMIF('Dept. Cost Actuals'!$E$7:$E$176,"*Travel*",'Dept. Cost Actuals'!BD$877:BD$1046))</f>
        <v>4200</v>
      </c>
      <c r="BA24" s="668">
        <f>IF(BA$4="forecast",(4200),SUMIF('Dept. Cost Actuals'!$E$7:$E$176,"*Travel*",'Dept. Cost Actuals'!BE$877:BE$1046))</f>
        <v>4200</v>
      </c>
      <c r="BB24" s="668">
        <f>IF(BB$4="forecast",(4200),SUMIF('Dept. Cost Actuals'!$E$7:$E$176,"*Travel*",'Dept. Cost Actuals'!BF$877:BF$1046))</f>
        <v>4200</v>
      </c>
      <c r="BC24" s="668">
        <f>IF(BC$4="forecast",(4200),SUMIF('Dept. Cost Actuals'!$E$7:$E$176,"*Travel*",'Dept. Cost Actuals'!BG$877:BG$1046))</f>
        <v>4200</v>
      </c>
      <c r="BD24" s="668">
        <f>IF(BD$4="forecast",(4200),SUMIF('Dept. Cost Actuals'!$E$7:$E$176,"*Travel*",'Dept. Cost Actuals'!BH$877:BH$1046))</f>
        <v>4200</v>
      </c>
      <c r="BE24" s="668">
        <f>IF(BE$4="forecast",(4200),SUMIF('Dept. Cost Actuals'!$E$7:$E$176,"*Travel*",'Dept. Cost Actuals'!BI$877:BI$1046))</f>
        <v>4200</v>
      </c>
      <c r="BF24" s="668">
        <f>IF(BF$4="forecast",(4200),SUMIF('Dept. Cost Actuals'!$E$7:$E$176,"*Travel*",'Dept. Cost Actuals'!BJ$877:BJ$1046))</f>
        <v>4200</v>
      </c>
      <c r="BG24" s="668">
        <f>IF(BG$4="forecast",(4200),SUMIF('Dept. Cost Actuals'!$E$7:$E$176,"*Travel*",'Dept. Cost Actuals'!BK$877:BK$1046))</f>
        <v>4200</v>
      </c>
      <c r="BH24" s="668">
        <f>IF(BH$4="forecast",(4200),SUMIF('Dept. Cost Actuals'!$E$7:$E$176,"*Travel*",'Dept. Cost Actuals'!BL$877:BL$1046))</f>
        <v>4200</v>
      </c>
      <c r="BI24" s="668">
        <f>IF(BI$4="forecast",(4200),SUMIF('Dept. Cost Actuals'!$E$7:$E$176,"*Travel*",'Dept. Cost Actuals'!BM$877:BM$1046))</f>
        <v>4200</v>
      </c>
      <c r="BJ24" s="668">
        <f>IF(BJ$4="forecast",(4200),SUMIF('Dept. Cost Actuals'!$E$7:$E$176,"*Travel*",'Dept. Cost Actuals'!BN$877:BN$1046))</f>
        <v>4200</v>
      </c>
      <c r="BK24" s="668">
        <f>IF(BK$4="forecast",(4200),SUMIF('Dept. Cost Actuals'!$E$7:$E$176,"*Travel*",'Dept. Cost Actuals'!BO$877:BO$1046))</f>
        <v>4200</v>
      </c>
      <c r="BL24" s="668">
        <f>IF(BL$4="forecast",(4200),SUMIF('Dept. Cost Actuals'!$E$7:$E$176,"*Travel*",'Dept. Cost Actuals'!BP$877:BP$1046))</f>
        <v>4200</v>
      </c>
      <c r="BM24" s="668">
        <f>IF(BM$4="forecast",(4200),SUMIF('Dept. Cost Actuals'!$E$7:$E$176,"*Travel*",'Dept. Cost Actuals'!BQ$877:BQ$1046))</f>
        <v>4200</v>
      </c>
      <c r="BN24" s="668">
        <f>IF(BN$4="forecast",(4200),SUMIF('Dept. Cost Actuals'!$E$7:$E$176,"*Travel*",'Dept. Cost Actuals'!BR$877:BR$1046))</f>
        <v>4200</v>
      </c>
      <c r="BO24" s="668">
        <f>IF(BO$4="forecast",(4200),SUMIF('Dept. Cost Actuals'!$E$7:$E$176,"*Travel*",'Dept. Cost Actuals'!BS$877:BS$1046))</f>
        <v>4200</v>
      </c>
      <c r="BP24" s="668">
        <f>IF(BP$4="forecast",(4200),SUMIF('Dept. Cost Actuals'!$E$7:$E$176,"*Travel*",'Dept. Cost Actuals'!BT$877:BT$1046))</f>
        <v>4200</v>
      </c>
      <c r="BQ24" s="668">
        <f>IF(BQ$4="forecast",(4200),SUMIF('Dept. Cost Actuals'!$E$7:$E$176,"*Travel*",'Dept. Cost Actuals'!BU$877:BU$1046))</f>
        <v>4200</v>
      </c>
      <c r="BR24" s="668">
        <f>IF(BR$4="forecast",(4200),SUMIF('Dept. Cost Actuals'!$E$7:$E$176,"*Travel*",'Dept. Cost Actuals'!BV$877:BV$1046))</f>
        <v>4200</v>
      </c>
      <c r="BS24" s="668">
        <f>IF(BS$4="forecast",(4200),SUMIF('Dept. Cost Actuals'!$E$7:$E$176,"*Travel*",'Dept. Cost Actuals'!BW$877:BW$1046))</f>
        <v>4200</v>
      </c>
      <c r="BT24" s="668">
        <f>IF(BT$4="forecast",(4200),SUMIF('Dept. Cost Actuals'!$E$7:$E$176,"*Travel*",'Dept. Cost Actuals'!BX$877:BX$1046))</f>
        <v>4200</v>
      </c>
      <c r="BU24" s="668">
        <f>IF(BU$4="forecast",(4200),SUMIF('Dept. Cost Actuals'!$E$7:$E$176,"*Travel*",'Dept. Cost Actuals'!BY$877:BY$1046))</f>
        <v>4200</v>
      </c>
      <c r="BV24" s="668">
        <f>IF(BV$4="forecast",(4200),SUMIF('Dept. Cost Actuals'!$E$7:$E$176,"*Travel*",'Dept. Cost Actuals'!BZ$877:BZ$1046))</f>
        <v>4200</v>
      </c>
    </row>
    <row r="25" spans="2:74" x14ac:dyDescent="0.25">
      <c r="B25" s="794" t="s">
        <v>1338</v>
      </c>
      <c r="C25" s="668">
        <f>IF(C$4="forecast",(AVERAGE(#REF!)+50000/12),SUMIF('Dept. Cost Actuals'!$E$7:$E$176,"*Meals and Entertainment*",'Dept. Cost Actuals'!G$877:G$1046))</f>
        <v>178.20496703092104</v>
      </c>
      <c r="D25" s="668">
        <f>IF(D$4="forecast",(AVERAGE(#REF!)+50000/12),SUMIF('Dept. Cost Actuals'!$E$7:$E$176,"*Meals and Entertainment*",'Dept. Cost Actuals'!H$877:H$1046))</f>
        <v>93.435277393259852</v>
      </c>
      <c r="E25" s="668">
        <f>IF(E$4="forecast",(AVERAGE(#REF!)+50000/12),SUMIF('Dept. Cost Actuals'!$E$7:$E$176,"*Meals and Entertainment*",'Dept. Cost Actuals'!I$877:I$1046))</f>
        <v>101.68417244712037</v>
      </c>
      <c r="F25" s="668">
        <f>IF(F$4="forecast",(AVERAGE(#REF!)+50000/12),SUMIF('Dept. Cost Actuals'!$E$7:$E$176,"*Meals and Entertainment*",'Dept. Cost Actuals'!J$877:J$1046))</f>
        <v>238.64825017097661</v>
      </c>
      <c r="G25" s="668">
        <f>IF(G$4="forecast",(AVERAGE(#REF!)+50000/12),SUMIF('Dept. Cost Actuals'!$E$7:$E$176,"*Meals and Entertainment*",'Dept. Cost Actuals'!K$877:K$1046))</f>
        <v>361.69809729468147</v>
      </c>
      <c r="H25" s="668">
        <f>IF(H$4="forecast",(AVERAGE(#REF!)+50000/12),SUMIF('Dept. Cost Actuals'!$E$7:$E$176,"*Meals and Entertainment*",'Dept. Cost Actuals'!L$877:L$1046))</f>
        <v>509.73025612929723</v>
      </c>
      <c r="I25" s="668">
        <f>IF(I$4="forecast",(AVERAGE(#REF!)+50000/12),SUMIF('Dept. Cost Actuals'!$E$7:$E$176,"*Meals and Entertainment*",'Dept. Cost Actuals'!M$877:M$1046))</f>
        <v>353.04517946267015</v>
      </c>
      <c r="J25" s="668">
        <f>IF(J$4="forecast",(AVERAGE(#REF!)+50000/12),SUMIF('Dept. Cost Actuals'!$E$7:$E$176,"*Meals and Entertainment*",'Dept. Cost Actuals'!N$877:N$1046))</f>
        <v>225.14555521442574</v>
      </c>
      <c r="K25" s="668">
        <f>IF(K$4="forecast",(AVERAGE(#REF!)+50000/12),SUMIF('Dept. Cost Actuals'!$E$7:$E$176,"*Meals and Entertainment*",'Dept. Cost Actuals'!O$877:O$1046))</f>
        <v>373.61621707929652</v>
      </c>
      <c r="L25" s="668">
        <f>IF(L$4="forecast",(AVERAGE(#REF!)+50000/12),SUMIF('Dept. Cost Actuals'!$E$7:$E$176,"*Meals and Entertainment*",'Dept. Cost Actuals'!P$877:P$1046))</f>
        <v>337.31358534213746</v>
      </c>
      <c r="M25" s="668">
        <f>IF(M$4="forecast",(AVERAGE(A25:L25)+50000/12),SUMIF('Dept. Cost Actuals'!$E$7:$E$176,"*Meals and Entertainment*",'Dept. Cost Actuals'!Q$877:Q$1046))</f>
        <v>116.87684289299979</v>
      </c>
      <c r="N25" s="668">
        <f>IF(N$4="forecast",(AVERAGE(B25:M25)+50000/12),SUMIF('Dept. Cost Actuals'!$E$7:$E$176,"*Meals and Entertainment*",'Dept. Cost Actuals'!R$877:R$1046))</f>
        <v>16.833784564535641</v>
      </c>
      <c r="O25" s="668">
        <f>IF(O$4="forecast",(AVERAGE(C25:N25)+50000/12),SUMIF('Dept. Cost Actuals'!$E$7:$E$176,"*Meals and Entertainment*",'Dept. Cost Actuals'!S$877:S$1046))</f>
        <v>1382.26</v>
      </c>
      <c r="P25" s="668">
        <f>IF(P$4="forecast",(AVERAGE(D25:O25)+50000/12),SUMIF('Dept. Cost Actuals'!$E$7:$E$176,"*Meals and Entertainment*",'Dept. Cost Actuals'!T$877:T$1046))</f>
        <v>3605.49</v>
      </c>
      <c r="Q25" s="668">
        <f>IF(Q$4="forecast",(AVERAGE(E25:P25)+50000/12),SUMIF('Dept. Cost Actuals'!$E$7:$E$176,"*Meals and Entertainment*",'Dept. Cost Actuals'!U$877:U$1046))</f>
        <v>1940.98</v>
      </c>
      <c r="R25" s="668">
        <f>IF(R$4="forecast",(AVERAGE(F25:Q25)+50000/12),SUMIF('Dept. Cost Actuals'!$E$7:$E$176,"*Meals and Entertainment*",'Dept. Cost Actuals'!V$877:V$1046))</f>
        <v>1114.97</v>
      </c>
      <c r="S25" s="668">
        <f>IF(S$4="forecast",(AVERAGE(G25:R25)+50000/12),SUMIF('Dept. Cost Actuals'!$E$7:$E$176,"*Meals and Entertainment*",'Dept. Cost Actuals'!W$877:W$1046))</f>
        <v>113.23</v>
      </c>
      <c r="T25" s="668">
        <f>IF(T$4="forecast",(AVERAGE(H25:S25)+50000/12),SUMIF('Dept. Cost Actuals'!$E$7:$E$176,"*Meals and Entertainment*",'Dept. Cost Actuals'!X$877:X$1046))</f>
        <v>565.83000000000004</v>
      </c>
      <c r="U25" s="668">
        <f>IF(U$4="forecast",(AVERAGE(I25:T25)+50000/12),SUMIF('Dept. Cost Actuals'!$E$7:$E$176,"*Meals and Entertainment*",'Dept. Cost Actuals'!Y$877:Y$1046))</f>
        <v>1048.0899999999999</v>
      </c>
      <c r="V25" s="668">
        <f>IF(V$4="forecast",(AVERAGE(J25:U25)+50000/12),SUMIF('Dept. Cost Actuals'!$E$7:$E$176,"*Meals and Entertainment*",'Dept. Cost Actuals'!Z$877:Z$1046))</f>
        <v>310.85000000000002</v>
      </c>
      <c r="W25" s="668">
        <f>IF(W$4="forecast",(AVERAGE(K25:V25)+50000/12),SUMIF('Dept. Cost Actuals'!$E$7:$E$176,"*Meals and Entertainment*",'Dept. Cost Actuals'!AA$877:AA$1046))</f>
        <v>17.989999999999998</v>
      </c>
      <c r="X25" s="668">
        <f>IF(X$4="forecast",(AVERAGE(L25:W25)+50000/12),SUMIF('Dept. Cost Actuals'!$E$7:$E$176,"*Meals and Entertainment*",'Dept. Cost Actuals'!AB$877:AB$1046))</f>
        <v>1098.76</v>
      </c>
      <c r="Y25" s="668">
        <f>IF(Y$4="forecast",(AVERAGE(M25:X25)+50000/12),SUMIF('Dept. Cost Actuals'!$E$7:$E$176,"*Meals and Entertainment*",'Dept. Cost Actuals'!AC$877:AC$1046))</f>
        <v>600.22</v>
      </c>
      <c r="Z25" s="668">
        <f>IF(Z$4="forecast",(AVERAGE(N25:Y25)+50000/12),SUMIF('Dept. Cost Actuals'!$E$7:$E$176,"*Meals and Entertainment*",'Dept. Cost Actuals'!AD$877:AD$1046))</f>
        <v>682.79</v>
      </c>
      <c r="AA25" s="668">
        <f>IF(AA$4="forecast",(AVERAGE(O25:Z25)+50000/12),SUMIF('Dept. Cost Actuals'!$E$7:$E$176,"*Meals and Entertainment*",'Dept. Cost Actuals'!AE$877:AE$1046))</f>
        <v>341.94</v>
      </c>
      <c r="AB25" s="668">
        <f>IF(AB$4="forecast",(AVERAGE(P25:AA25)+50000/12),SUMIF('Dept. Cost Actuals'!$E$7:$E$176,"*Meals and Entertainment*",'Dept. Cost Actuals'!AF$877:AF$1046))</f>
        <v>1016.66</v>
      </c>
      <c r="AC25" s="668">
        <f>IF(AC$4="forecast",(AVERAGE(Q25:AB25)+50000/12),SUMIF('Dept. Cost Actuals'!$E$7:$E$176,"*Meals and Entertainment*",'Dept. Cost Actuals'!AG$877:AG$1046))</f>
        <v>775.03</v>
      </c>
      <c r="AD25" s="668">
        <f>IF(AD$4="forecast",(AVERAGE(R25:AC25)+50000/12),SUMIF('Dept. Cost Actuals'!$E$7:$E$176,"*Meals and Entertainment*",'Dept. Cost Actuals'!AH$877:AH$1046))</f>
        <v>4807.1966666666667</v>
      </c>
      <c r="AE25" s="668">
        <f>IF(AE$4="forecast",(AVERAGE(S25:AD25)+50000/12),SUMIF('Dept. Cost Actuals'!$E$7:$E$176,"*Meals and Entertainment*",'Dept. Cost Actuals'!AI$877:AI$1046))</f>
        <v>5114.8822222222225</v>
      </c>
      <c r="AF25" s="668">
        <f>IF(AF$4="forecast",(AVERAGE(T25:AE25)+50000/12),SUMIF('Dept. Cost Actuals'!$E$7:$E$176,"*Meals and Entertainment*",'Dept. Cost Actuals'!AJ$877:AJ$1046))</f>
        <v>5531.6865740740741</v>
      </c>
      <c r="AG25" s="668">
        <f>IF(AG$4="forecast",(AVERAGE(U25:AF25)+50000/12),SUMIF('Dept. Cost Actuals'!$E$7:$E$176,"*Meals and Entertainment*",'Dept. Cost Actuals'!AK$877:AK$1046))</f>
        <v>5945.5079552469142</v>
      </c>
      <c r="AH25" s="668">
        <f>IF(AH$4="forecast",(AVERAGE(V25:AG25)+50000/12),SUMIF('Dept. Cost Actuals'!$E$7:$E$176,"*Meals and Entertainment*",'Dept. Cost Actuals'!AL$877:AL$1046))</f>
        <v>6353.6261181841564</v>
      </c>
      <c r="AI25" s="668">
        <f>IF(AI$4="forecast",(AVERAGE(W25:AH25)+50000/12),SUMIF('Dept. Cost Actuals'!$E$7:$E$176,"*Meals and Entertainment*",'Dept. Cost Actuals'!AM$877:AM$1046))</f>
        <v>6857.1907946995034</v>
      </c>
      <c r="AJ25" s="668">
        <f>IF(AJ$4="forecast",(AVERAGE(X25:AI25)+50000/12),SUMIF('Dept. Cost Actuals'!$E$7:$E$176,"*Meals and Entertainment*",'Dept. Cost Actuals'!AN$877:AN$1046))</f>
        <v>7427.1241942577954</v>
      </c>
      <c r="AK25" s="668">
        <f>IF(AK$4="forecast",(AVERAGE(Y25:AJ25)+50000/12),SUMIF('Dept. Cost Actuals'!$E$7:$E$176,"*Meals and Entertainment*",'Dept. Cost Actuals'!AO$877:AO$1046))</f>
        <v>7954.4878771126114</v>
      </c>
      <c r="AL25" s="668">
        <f>IF(AL$4="forecast",(AVERAGE(Z25:AK25)+50000/12),SUMIF('Dept. Cost Actuals'!$E$7:$E$176,"*Meals and Entertainment*",'Dept. Cost Actuals'!AP$877:AP$1046))</f>
        <v>8567.3435335386621</v>
      </c>
      <c r="AM25" s="668">
        <f>IF(AM$4="forecast",(AVERAGE(AA25:AL25)+50000/12),SUMIF('Dept. Cost Actuals'!$E$7:$E$176,"*Meals and Entertainment*",'Dept. Cost Actuals'!AQ$877:AQ$1046))</f>
        <v>9224.389661333551</v>
      </c>
      <c r="AN25" s="668">
        <f>IF(AN$4="forecast",(AVERAGE(AB25:AM25)+50000/12),SUMIF('Dept. Cost Actuals'!$E$7:$E$176,"*Meals and Entertainment*",'Dept. Cost Actuals'!AR$877:AR$1046))</f>
        <v>9964.5937997780129</v>
      </c>
      <c r="AO25" s="668">
        <f>IF(AO$4="forecast",(AVERAGE(AC25:AN25)+50000/12),SUMIF('Dept. Cost Actuals'!$E$7:$E$176,"*Meals and Entertainment*",'Dept. Cost Actuals'!AS$877:AS$1046))</f>
        <v>10710.254949759514</v>
      </c>
      <c r="AP25" s="668">
        <f>IF(AP$4="forecast",(AVERAGE(AD25:AO25)+50000/12),SUMIF('Dept. Cost Actuals'!$E$7:$E$176,"*Meals and Entertainment*",'Dept. Cost Actuals'!AT$877:AT$1046))</f>
        <v>11538.190362239475</v>
      </c>
      <c r="AQ25" s="668">
        <f>IF(AQ$4="forecast",(AVERAGE(AE25:AP25)+50000/12),SUMIF('Dept. Cost Actuals'!$E$7:$E$176,"*Meals and Entertainment*",'Dept. Cost Actuals'!AU$877:AU$1046))</f>
        <v>12099.106503537208</v>
      </c>
      <c r="AR25" s="668">
        <f>IF(AR$4="forecast",(AVERAGE(AF25:AQ25)+50000/12),SUMIF('Dept. Cost Actuals'!$E$7:$E$176,"*Meals and Entertainment*",'Dept. Cost Actuals'!AV$877:AV$1046))</f>
        <v>12681.125193646789</v>
      </c>
      <c r="AS25" s="668">
        <f>IF(AS$4="forecast",(AVERAGE(AG25:AR25)+50000/12),SUMIF('Dept. Cost Actuals'!$E$7:$E$176,"*Meals and Entertainment*",'Dept. Cost Actuals'!AW$877:AW$1046))</f>
        <v>13276.911745277848</v>
      </c>
      <c r="AT25" s="668">
        <f>IF(AT$4="forecast",(AVERAGE(AH25:AS25)+50000/12),SUMIF('Dept. Cost Actuals'!$E$7:$E$176,"*Meals and Entertainment*",'Dept. Cost Actuals'!AX$877:AX$1046))</f>
        <v>13887.862061113759</v>
      </c>
      <c r="AU25" s="668">
        <f>IF(AU$4="forecast",(AVERAGE(AI25:AT25)+50000/12),SUMIF('Dept. Cost Actuals'!$E$7:$E$176,"*Meals and Entertainment*",'Dept. Cost Actuals'!AY$877:AY$1046))</f>
        <v>14515.715056357894</v>
      </c>
      <c r="AV25" s="668">
        <f>IF(AV$4="forecast",(AVERAGE(AJ25:AU25)+50000/12),SUMIF('Dept. Cost Actuals'!$E$7:$E$176,"*Meals and Entertainment*",'Dept. Cost Actuals'!AZ$877:AZ$1046))</f>
        <v>15153.925411496093</v>
      </c>
      <c r="AW25" s="668">
        <f>IF(AW$4="forecast",(AVERAGE(AK25:AV25)+50000/12),SUMIF('Dept. Cost Actuals'!$E$7:$E$176,"*Meals and Entertainment*",'Dept. Cost Actuals'!BA$877:BA$1046))</f>
        <v>15797.825512932617</v>
      </c>
      <c r="AX25" s="668">
        <f>IF(AX$4="forecast",(AVERAGE(AL25:AW25)+50000/12),SUMIF('Dept. Cost Actuals'!$E$7:$E$176,"*Meals and Entertainment*",'Dept. Cost Actuals'!BB$877:BB$1046))</f>
        <v>16451.436982584284</v>
      </c>
      <c r="AY25" s="668">
        <f>IF(AY$4="forecast",(AVERAGE(AM25:AX25)+50000/12),SUMIF('Dept. Cost Actuals'!$E$7:$E$176,"*Meals and Entertainment*",'Dept. Cost Actuals'!BC$877:BC$1046))</f>
        <v>17108.444770004753</v>
      </c>
      <c r="AZ25" s="668">
        <f>IF(AZ$4="forecast",(AVERAGE(AN25:AY25)+50000/12),SUMIF('Dept. Cost Actuals'!$E$7:$E$176,"*Meals and Entertainment*",'Dept. Cost Actuals'!BD$877:BD$1046))</f>
        <v>17765.449362394018</v>
      </c>
      <c r="BA25" s="668">
        <f>IF(BA$4="forecast",(AVERAGE(AO25:AZ25)+50000/12),SUMIF('Dept. Cost Actuals'!$E$7:$E$176,"*Meals and Entertainment*",'Dept. Cost Actuals'!BE$877:BE$1046))</f>
        <v>18415.520659278685</v>
      </c>
      <c r="BB25" s="668">
        <f>IF(BB$4="forecast",(AVERAGE(AP25:BA25)+50000/12),SUMIF('Dept. Cost Actuals'!$E$7:$E$176,"*Meals and Entertainment*",'Dept. Cost Actuals'!BF$877:BF$1046))</f>
        <v>19057.626135071954</v>
      </c>
      <c r="BC25" s="668">
        <f>IF(BC$4="forecast",(AVERAGE(AQ25:BB25)+50000/12),SUMIF('Dept. Cost Actuals'!$E$7:$E$176,"*Meals and Entertainment*",'Dept. Cost Actuals'!BG$877:BG$1046))</f>
        <v>19684.24578280799</v>
      </c>
      <c r="BD25" s="668">
        <f>IF(BD$4="forecast",(AVERAGE(AR25:BC25)+50000/12),SUMIF('Dept. Cost Actuals'!$E$7:$E$176,"*Meals and Entertainment*",'Dept. Cost Actuals'!BH$877:BH$1046))</f>
        <v>20316.340722747223</v>
      </c>
      <c r="BE25" s="668">
        <f>IF(BE$4="forecast",(AVERAGE(AS25:BD25)+50000/12),SUMIF('Dept. Cost Actuals'!$E$7:$E$176,"*Meals and Entertainment*",'Dept. Cost Actuals'!BI$877:BI$1046))</f>
        <v>20952.608683505598</v>
      </c>
      <c r="BF25" s="668">
        <f>IF(BF$4="forecast",(AVERAGE(AT25:BE25)+50000/12),SUMIF('Dept. Cost Actuals'!$E$7:$E$176,"*Meals and Entertainment*",'Dept. Cost Actuals'!BJ$877:BJ$1046))</f>
        <v>21592.250095024574</v>
      </c>
      <c r="BG25" s="668">
        <f>IF(BG$4="forecast",(AVERAGE(AU25:BF25)+50000/12),SUMIF('Dept. Cost Actuals'!$E$7:$E$176,"*Meals and Entertainment*",'Dept. Cost Actuals'!BK$877:BK$1046))</f>
        <v>22234.282431183812</v>
      </c>
      <c r="BH25" s="668">
        <f>IF(BH$4="forecast",(AVERAGE(AV25:BG25)+50000/12),SUMIF('Dept. Cost Actuals'!$E$7:$E$176,"*Meals and Entertainment*",'Dept. Cost Actuals'!BL$877:BL$1046))</f>
        <v>22877.496379085969</v>
      </c>
      <c r="BI25" s="668">
        <f>IF(BI$4="forecast",(AVERAGE(AW25:BH25)+50000/12),SUMIF('Dept. Cost Actuals'!$E$7:$E$176,"*Meals and Entertainment*",'Dept. Cost Actuals'!BM$877:BM$1046))</f>
        <v>23521.127293051788</v>
      </c>
      <c r="BJ25" s="668">
        <f>IF(BJ$4="forecast",(AVERAGE(AX25:BI25)+50000/12),SUMIF('Dept. Cost Actuals'!$E$7:$E$176,"*Meals and Entertainment*",'Dept. Cost Actuals'!BN$877:BN$1046))</f>
        <v>24164.73577472839</v>
      </c>
      <c r="BK25" s="668">
        <f>IF(BK$4="forecast",(AVERAGE(AY25:BJ25)+50000/12),SUMIF('Dept. Cost Actuals'!$E$7:$E$176,"*Meals and Entertainment*",'Dept. Cost Actuals'!BO$877:BO$1046))</f>
        <v>24807.510674073732</v>
      </c>
      <c r="BL25" s="668">
        <f>IF(BL$4="forecast",(AVERAGE(AZ25:BK25)+50000/12),SUMIF('Dept. Cost Actuals'!$E$7:$E$176,"*Meals and Entertainment*",'Dept. Cost Actuals'!BP$877:BP$1046))</f>
        <v>25449.099499412812</v>
      </c>
      <c r="BM25" s="668">
        <f>IF(BM$4="forecast",(AVERAGE(BA25:BL25)+50000/12),SUMIF('Dept. Cost Actuals'!$E$7:$E$176,"*Meals and Entertainment*",'Dept. Cost Actuals'!BQ$877:BQ$1046))</f>
        <v>26089.40367749771</v>
      </c>
      <c r="BN25" s="668">
        <f>IF(BN$4="forecast",(AVERAGE(BB25:BM25)+50000/12),SUMIF('Dept. Cost Actuals'!$E$7:$E$176,"*Meals and Entertainment*",'Dept. Cost Actuals'!BR$877:BR$1046))</f>
        <v>26728.893929015961</v>
      </c>
      <c r="BO25" s="668">
        <f>IF(BO$4="forecast",(AVERAGE(BC25:BN25)+50000/12),SUMIF('Dept. Cost Actuals'!$E$7:$E$176,"*Meals and Entertainment*",'Dept. Cost Actuals'!BS$877:BS$1046))</f>
        <v>27368.166245177963</v>
      </c>
      <c r="BP25" s="668">
        <f>IF(BP$4="forecast",(AVERAGE(BD25:BO25)+50000/12),SUMIF('Dept. Cost Actuals'!$E$7:$E$176,"*Meals and Entertainment*",'Dept. Cost Actuals'!BT$877:BT$1046))</f>
        <v>28008.492950375461</v>
      </c>
      <c r="BQ25" s="668">
        <f>IF(BQ$4="forecast",(AVERAGE(BE25:BP25)+50000/12),SUMIF('Dept. Cost Actuals'!$E$7:$E$176,"*Meals and Entertainment*",'Dept. Cost Actuals'!BU$877:BU$1046))</f>
        <v>28649.505636011148</v>
      </c>
      <c r="BR25" s="668">
        <f>IF(BR$4="forecast",(AVERAGE(BF25:BQ25)+50000/12),SUMIF('Dept. Cost Actuals'!$E$7:$E$176,"*Meals and Entertainment*",'Dept. Cost Actuals'!BV$877:BV$1046))</f>
        <v>29290.91371538661</v>
      </c>
      <c r="BS25" s="668">
        <f>IF(BS$4="forecast",(AVERAGE(BG25:BR25)+50000/12),SUMIF('Dept. Cost Actuals'!$E$7:$E$176,"*Meals and Entertainment*",'Dept. Cost Actuals'!BW$877:BW$1046))</f>
        <v>29932.469017083447</v>
      </c>
      <c r="BT25" s="668">
        <f>IF(BT$4="forecast",(AVERAGE(BH25:BS25)+50000/12),SUMIF('Dept. Cost Actuals'!$E$7:$E$176,"*Meals and Entertainment*",'Dept. Cost Actuals'!BX$877:BX$1046))</f>
        <v>30573.984565908417</v>
      </c>
      <c r="BU25" s="668">
        <f>IF(BU$4="forecast",(AVERAGE(BI25:BT25)+50000/12),SUMIF('Dept. Cost Actuals'!$E$7:$E$176,"*Meals and Entertainment*",'Dept. Cost Actuals'!BY$877:BY$1046))</f>
        <v>31215.358581476958</v>
      </c>
      <c r="BV25" s="668">
        <f>IF(BV$4="forecast",(AVERAGE(BJ25:BU25)+50000/12),SUMIF('Dept. Cost Actuals'!$E$7:$E$176,"*Meals and Entertainment*",'Dept. Cost Actuals'!BZ$877:BZ$1046))</f>
        <v>31856.544522179054</v>
      </c>
    </row>
    <row r="26" spans="2:74" x14ac:dyDescent="0.25">
      <c r="B26" s="794" t="s">
        <v>1076</v>
      </c>
      <c r="C26" s="668">
        <f>IF(C$4="forecast",(AVERAGE(#REF!)),SUMIF('Dept. Cost Actuals'!$E$7:$E$176,"*Telephone*",'Dept. Cost Actuals'!G$877:G$1046))</f>
        <v>101.88996315675865</v>
      </c>
      <c r="D26" s="668">
        <f>IF(D$4="forecast",(AVERAGE(#REF!)),SUMIF('Dept. Cost Actuals'!$E$7:$E$176,"*Telephone*",'Dept. Cost Actuals'!H$877:H$1046))</f>
        <v>55.494573949050306</v>
      </c>
      <c r="E26" s="668">
        <f>IF(E$4="forecast",(AVERAGE(#REF!)),SUMIF('Dept. Cost Actuals'!$E$7:$E$176,"*Telephone*",'Dept. Cost Actuals'!I$877:I$1046))</f>
        <v>30.325835853416635</v>
      </c>
      <c r="F26" s="668">
        <f>IF(F$4="forecast",(AVERAGE(#REF!)),SUMIF('Dept. Cost Actuals'!$E$7:$E$176,"*Telephone*",'Dept. Cost Actuals'!J$877:J$1046))</f>
        <v>18.41145880116699</v>
      </c>
      <c r="G26" s="668">
        <f>IF(G$4="forecast",(AVERAGE(#REF!)),SUMIF('Dept. Cost Actuals'!$E$7:$E$176,"*Telephone*",'Dept. Cost Actuals'!K$877:K$1046))</f>
        <v>23.111616111409397</v>
      </c>
      <c r="H26" s="668">
        <f>IF(H$4="forecast",(AVERAGE(#REF!)),SUMIF('Dept. Cost Actuals'!$E$7:$E$176,"*Telephone*",'Dept. Cost Actuals'!L$877:L$1046))</f>
        <v>24.260766034100698</v>
      </c>
      <c r="I26" s="668">
        <f>IF(I$4="forecast",(AVERAGE(#REF!)),SUMIF('Dept. Cost Actuals'!$E$7:$E$176,"*Telephone*",'Dept. Cost Actuals'!M$877:M$1046))</f>
        <v>96.458978080981979</v>
      </c>
      <c r="J26" s="668">
        <f>IF(J$4="forecast",(AVERAGE(#REF!)),SUMIF('Dept. Cost Actuals'!$E$7:$E$176,"*Telephone*",'Dept. Cost Actuals'!N$877:N$1046))</f>
        <v>14.870551335231093</v>
      </c>
      <c r="K26" s="668">
        <f>IF(K$4="forecast",(AVERAGE(#REF!)),SUMIF('Dept. Cost Actuals'!$E$7:$E$176,"*Telephone*",'Dept. Cost Actuals'!O$877:O$1046))</f>
        <v>17.037497583461448</v>
      </c>
      <c r="L26" s="668">
        <f>IF(L$4="forecast",(AVERAGE(#REF!)),SUMIF('Dept. Cost Actuals'!$E$7:$E$176,"*Telephone*",'Dept. Cost Actuals'!P$877:P$1046))</f>
        <v>10.362117996910827</v>
      </c>
      <c r="M26" s="668">
        <f>IF(M$4="forecast",(AVERAGE(A26:L26)),SUMIF('Dept. Cost Actuals'!$E$7:$E$176,"*Telephone*",'Dept. Cost Actuals'!Q$877:Q$1046))</f>
        <v>17.420905154109651</v>
      </c>
      <c r="N26" s="668">
        <f>IF(N$4="forecast",(AVERAGE(B26:M26)),SUMIF('Dept. Cost Actuals'!$E$7:$E$176,"*Telephone*",'Dept. Cost Actuals'!R$877:R$1046))</f>
        <v>10.388965380541581</v>
      </c>
      <c r="O26" s="668">
        <f>IF(O$4="forecast",(AVERAGE(C26:N26)),SUMIF('Dept. Cost Actuals'!$E$7:$E$176,"*Telephone*",'Dept. Cost Actuals'!S$877:S$1046))</f>
        <v>0</v>
      </c>
      <c r="P26" s="668">
        <f>IF(P$4="forecast",(AVERAGE(D26:O26)),SUMIF('Dept. Cost Actuals'!$E$7:$E$176,"*Telephone*",'Dept. Cost Actuals'!T$877:T$1046))</f>
        <v>0</v>
      </c>
      <c r="Q26" s="668">
        <f>IF(Q$4="forecast",(AVERAGE(E26:P26)),SUMIF('Dept. Cost Actuals'!$E$7:$E$176,"*Telephone*",'Dept. Cost Actuals'!U$877:U$1046))</f>
        <v>0</v>
      </c>
      <c r="R26" s="668">
        <f>IF(R$4="forecast",(AVERAGE(F26:Q26)),SUMIF('Dept. Cost Actuals'!$E$7:$E$176,"*Telephone*",'Dept. Cost Actuals'!V$877:V$1046))</f>
        <v>0</v>
      </c>
      <c r="S26" s="668">
        <f>IF(S$4="forecast",(AVERAGE(G26:R26)),SUMIF('Dept. Cost Actuals'!$E$7:$E$176,"*Telephone*",'Dept. Cost Actuals'!W$877:W$1046))</f>
        <v>0</v>
      </c>
      <c r="T26" s="668">
        <f>IF(T$4="forecast",(AVERAGE(H26:S26)),SUMIF('Dept. Cost Actuals'!$E$7:$E$176,"*Telephone*",'Dept. Cost Actuals'!X$877:X$1046))</f>
        <v>0</v>
      </c>
      <c r="U26" s="668">
        <f>IF(U$4="forecast",(AVERAGE(I26:T26)),SUMIF('Dept. Cost Actuals'!$E$7:$E$176,"*Telephone*",'Dept. Cost Actuals'!Y$877:Y$1046))</f>
        <v>0</v>
      </c>
      <c r="V26" s="668">
        <f>IF(V$4="forecast",(AVERAGE(J26:U26)),SUMIF('Dept. Cost Actuals'!$E$7:$E$176,"*Telephone*",'Dept. Cost Actuals'!Z$877:Z$1046))</f>
        <v>0</v>
      </c>
      <c r="W26" s="668">
        <f>IF(W$4="forecast",(AVERAGE(K26:V26)),SUMIF('Dept. Cost Actuals'!$E$7:$E$176,"*Telephone*",'Dept. Cost Actuals'!AA$877:AA$1046))</f>
        <v>0</v>
      </c>
      <c r="X26" s="668">
        <f>IF(X$4="forecast",(AVERAGE(L26:W26)),SUMIF('Dept. Cost Actuals'!$E$7:$E$176,"*Telephone*",'Dept. Cost Actuals'!AB$877:AB$1046))</f>
        <v>0</v>
      </c>
      <c r="Y26" s="668">
        <f>IF(Y$4="forecast",(AVERAGE(M26:X26)),SUMIF('Dept. Cost Actuals'!$E$7:$E$176,"*Telephone*",'Dept. Cost Actuals'!AC$877:AC$1046))</f>
        <v>0</v>
      </c>
      <c r="Z26" s="668">
        <f>IF(Z$4="forecast",(AVERAGE(N26:Y26)),SUMIF('Dept. Cost Actuals'!$E$7:$E$176,"*Telephone*",'Dept. Cost Actuals'!AD$877:AD$1046))</f>
        <v>0</v>
      </c>
      <c r="AA26" s="668">
        <f>IF(AA$4="forecast",(AVERAGE(O26:Z26)),SUMIF('Dept. Cost Actuals'!$E$7:$E$176,"*Telephone*",'Dept. Cost Actuals'!AE$877:AE$1046))</f>
        <v>0</v>
      </c>
      <c r="AB26" s="668">
        <f>IF(AB$4="forecast",(AVERAGE(P26:AA26)),SUMIF('Dept. Cost Actuals'!$E$7:$E$176,"*Telephone*",'Dept. Cost Actuals'!AF$877:AF$1046))</f>
        <v>0</v>
      </c>
      <c r="AC26" s="668">
        <f>IF(AC$4="forecast",(AVERAGE(Q26:AB26)),SUMIF('Dept. Cost Actuals'!$E$7:$E$176,"*Telephone*",'Dept. Cost Actuals'!AG$877:AG$1046))</f>
        <v>0</v>
      </c>
      <c r="AD26" s="668">
        <f>IF(AD$4="forecast",(AVERAGE(R26:AC26)),SUMIF('Dept. Cost Actuals'!$E$7:$E$176,"*Telephone*",'Dept. Cost Actuals'!AH$877:AH$1046))</f>
        <v>0</v>
      </c>
      <c r="AE26" s="668">
        <f>IF(AE$4="forecast",(AVERAGE(S26:AD26)),SUMIF('Dept. Cost Actuals'!$E$7:$E$176,"*Telephone*",'Dept. Cost Actuals'!AI$877:AI$1046))</f>
        <v>0</v>
      </c>
      <c r="AF26" s="668">
        <f>IF(AF$4="forecast",(AVERAGE(T26:AE26)),SUMIF('Dept. Cost Actuals'!$E$7:$E$176,"*Telephone*",'Dept. Cost Actuals'!AJ$877:AJ$1046))</f>
        <v>0</v>
      </c>
      <c r="AG26" s="668">
        <f>IF(AG$4="forecast",(AVERAGE(U26:AF26)),SUMIF('Dept. Cost Actuals'!$E$7:$E$176,"*Telephone*",'Dept. Cost Actuals'!AK$877:AK$1046))</f>
        <v>0</v>
      </c>
      <c r="AH26" s="668">
        <f>IF(AH$4="forecast",(AVERAGE(V26:AG26)),SUMIF('Dept. Cost Actuals'!$E$7:$E$176,"*Telephone*",'Dept. Cost Actuals'!AL$877:AL$1046))</f>
        <v>0</v>
      </c>
      <c r="AI26" s="668">
        <f>IF(AI$4="forecast",(AVERAGE(W26:AH26)),SUMIF('Dept. Cost Actuals'!$E$7:$E$176,"*Telephone*",'Dept. Cost Actuals'!AM$877:AM$1046))</f>
        <v>0</v>
      </c>
      <c r="AJ26" s="668">
        <f>IF(AJ$4="forecast",(AVERAGE(X26:AI26)),SUMIF('Dept. Cost Actuals'!$E$7:$E$176,"*Telephone*",'Dept. Cost Actuals'!AN$877:AN$1046))</f>
        <v>0</v>
      </c>
      <c r="AK26" s="668">
        <f>IF(AK$4="forecast",(AVERAGE(Y26:AJ26)),SUMIF('Dept. Cost Actuals'!$E$7:$E$176,"*Telephone*",'Dept. Cost Actuals'!AO$877:AO$1046))</f>
        <v>0</v>
      </c>
      <c r="AL26" s="668">
        <f>IF(AL$4="forecast",(AVERAGE(Z26:AK26)),SUMIF('Dept. Cost Actuals'!$E$7:$E$176,"*Telephone*",'Dept. Cost Actuals'!AP$877:AP$1046))</f>
        <v>0</v>
      </c>
      <c r="AM26" s="668">
        <f>IF(AM$4="forecast",(AVERAGE(AA26:AL26)),SUMIF('Dept. Cost Actuals'!$E$7:$E$176,"*Telephone*",'Dept. Cost Actuals'!AQ$877:AQ$1046))</f>
        <v>0</v>
      </c>
      <c r="AN26" s="668">
        <f>IF(AN$4="forecast",(AVERAGE(AB26:AM26)),SUMIF('Dept. Cost Actuals'!$E$7:$E$176,"*Telephone*",'Dept. Cost Actuals'!AR$877:AR$1046))</f>
        <v>0</v>
      </c>
      <c r="AO26" s="668">
        <f>IF(AO$4="forecast",(AVERAGE(AC26:AN26)),SUMIF('Dept. Cost Actuals'!$E$7:$E$176,"*Telephone*",'Dept. Cost Actuals'!AS$877:AS$1046))</f>
        <v>0</v>
      </c>
      <c r="AP26" s="668">
        <f>IF(AP$4="forecast",(AVERAGE(AD26:AO26)),SUMIF('Dept. Cost Actuals'!$E$7:$E$176,"*Telephone*",'Dept. Cost Actuals'!AT$877:AT$1046))</f>
        <v>0</v>
      </c>
      <c r="AQ26" s="668">
        <f>IF(AQ$4="forecast",(AVERAGE(AE26:AP26)),SUMIF('Dept. Cost Actuals'!$E$7:$E$176,"*Telephone*",'Dept. Cost Actuals'!AU$877:AU$1046))</f>
        <v>0</v>
      </c>
      <c r="AR26" s="668">
        <f>IF(AR$4="forecast",(AVERAGE(AF26:AQ26)),SUMIF('Dept. Cost Actuals'!$E$7:$E$176,"*Telephone*",'Dept. Cost Actuals'!AV$877:AV$1046))</f>
        <v>0</v>
      </c>
      <c r="AS26" s="668">
        <f>IF(AS$4="forecast",(AVERAGE(AG26:AR26)),SUMIF('Dept. Cost Actuals'!$E$7:$E$176,"*Telephone*",'Dept. Cost Actuals'!AW$877:AW$1046))</f>
        <v>0</v>
      </c>
      <c r="AT26" s="668">
        <f>IF(AT$4="forecast",(AVERAGE(AH26:AS26)),SUMIF('Dept. Cost Actuals'!$E$7:$E$176,"*Telephone*",'Dept. Cost Actuals'!AX$877:AX$1046))</f>
        <v>0</v>
      </c>
      <c r="AU26" s="668">
        <f>IF(AU$4="forecast",(AVERAGE(AI26:AT26)),SUMIF('Dept. Cost Actuals'!$E$7:$E$176,"*Telephone*",'Dept. Cost Actuals'!AY$877:AY$1046))</f>
        <v>0</v>
      </c>
      <c r="AV26" s="668">
        <f>IF(AV$4="forecast",(AVERAGE(AJ26:AU26)),SUMIF('Dept. Cost Actuals'!$E$7:$E$176,"*Telephone*",'Dept. Cost Actuals'!AZ$877:AZ$1046))</f>
        <v>0</v>
      </c>
      <c r="AW26" s="668">
        <f>IF(AW$4="forecast",(AVERAGE(AK26:AV26)),SUMIF('Dept. Cost Actuals'!$E$7:$E$176,"*Telephone*",'Dept. Cost Actuals'!BA$877:BA$1046))</f>
        <v>0</v>
      </c>
      <c r="AX26" s="668">
        <f>IF(AX$4="forecast",(AVERAGE(AL26:AW26)),SUMIF('Dept. Cost Actuals'!$E$7:$E$176,"*Telephone*",'Dept. Cost Actuals'!BB$877:BB$1046))</f>
        <v>0</v>
      </c>
      <c r="AY26" s="668">
        <f>IF(AY$4="forecast",(AVERAGE(AM26:AX26)),SUMIF('Dept. Cost Actuals'!$E$7:$E$176,"*Telephone*",'Dept. Cost Actuals'!BC$877:BC$1046))</f>
        <v>0</v>
      </c>
      <c r="AZ26" s="668">
        <f>IF(AZ$4="forecast",(AVERAGE(AN26:AY26)),SUMIF('Dept. Cost Actuals'!$E$7:$E$176,"*Telephone*",'Dept. Cost Actuals'!BD$877:BD$1046))</f>
        <v>0</v>
      </c>
      <c r="BA26" s="668">
        <f>IF(BA$4="forecast",(AVERAGE(AO26:AZ26)),SUMIF('Dept. Cost Actuals'!$E$7:$E$176,"*Telephone*",'Dept. Cost Actuals'!BE$877:BE$1046))</f>
        <v>0</v>
      </c>
      <c r="BB26" s="668">
        <f>IF(BB$4="forecast",(AVERAGE(AP26:BA26)),SUMIF('Dept. Cost Actuals'!$E$7:$E$176,"*Telephone*",'Dept. Cost Actuals'!BF$877:BF$1046))</f>
        <v>0</v>
      </c>
      <c r="BC26" s="668">
        <f>IF(BC$4="forecast",(AVERAGE(AQ26:BB26)),SUMIF('Dept. Cost Actuals'!$E$7:$E$176,"*Telephone*",'Dept. Cost Actuals'!BG$877:BG$1046))</f>
        <v>0</v>
      </c>
      <c r="BD26" s="668">
        <f>IF(BD$4="forecast",(AVERAGE(AR26:BC26)),SUMIF('Dept. Cost Actuals'!$E$7:$E$176,"*Telephone*",'Dept. Cost Actuals'!BH$877:BH$1046))</f>
        <v>0</v>
      </c>
      <c r="BE26" s="668">
        <f>IF(BE$4="forecast",(AVERAGE(AS26:BD26)),SUMIF('Dept. Cost Actuals'!$E$7:$E$176,"*Telephone*",'Dept. Cost Actuals'!BI$877:BI$1046))</f>
        <v>0</v>
      </c>
      <c r="BF26" s="668">
        <f>IF(BF$4="forecast",(AVERAGE(AT26:BE26)),SUMIF('Dept. Cost Actuals'!$E$7:$E$176,"*Telephone*",'Dept. Cost Actuals'!BJ$877:BJ$1046))</f>
        <v>0</v>
      </c>
      <c r="BG26" s="668">
        <f>IF(BG$4="forecast",(AVERAGE(AU26:BF26)),SUMIF('Dept. Cost Actuals'!$E$7:$E$176,"*Telephone*",'Dept. Cost Actuals'!BK$877:BK$1046))</f>
        <v>0</v>
      </c>
      <c r="BH26" s="668">
        <f>IF(BH$4="forecast",(AVERAGE(AV26:BG26)),SUMIF('Dept. Cost Actuals'!$E$7:$E$176,"*Telephone*",'Dept. Cost Actuals'!BL$877:BL$1046))</f>
        <v>0</v>
      </c>
      <c r="BI26" s="668">
        <f>IF(BI$4="forecast",(AVERAGE(AW26:BH26)),SUMIF('Dept. Cost Actuals'!$E$7:$E$176,"*Telephone*",'Dept. Cost Actuals'!BM$877:BM$1046))</f>
        <v>0</v>
      </c>
      <c r="BJ26" s="668">
        <f>IF(BJ$4="forecast",(AVERAGE(AX26:BI26)),SUMIF('Dept. Cost Actuals'!$E$7:$E$176,"*Telephone*",'Dept. Cost Actuals'!BN$877:BN$1046))</f>
        <v>0</v>
      </c>
      <c r="BK26" s="668">
        <f>IF(BK$4="forecast",(AVERAGE(AY26:BJ26)),SUMIF('Dept. Cost Actuals'!$E$7:$E$176,"*Telephone*",'Dept. Cost Actuals'!BO$877:BO$1046))</f>
        <v>0</v>
      </c>
      <c r="BL26" s="668">
        <f>IF(BL$4="forecast",(AVERAGE(AZ26:BK26)),SUMIF('Dept. Cost Actuals'!$E$7:$E$176,"*Telephone*",'Dept. Cost Actuals'!BP$877:BP$1046))</f>
        <v>0</v>
      </c>
      <c r="BM26" s="668">
        <f>IF(BM$4="forecast",(AVERAGE(BA26:BL26)),SUMIF('Dept. Cost Actuals'!$E$7:$E$176,"*Telephone*",'Dept. Cost Actuals'!BQ$877:BQ$1046))</f>
        <v>0</v>
      </c>
      <c r="BN26" s="668">
        <f>IF(BN$4="forecast",(AVERAGE(BB26:BM26)),SUMIF('Dept. Cost Actuals'!$E$7:$E$176,"*Telephone*",'Dept. Cost Actuals'!BR$877:BR$1046))</f>
        <v>0</v>
      </c>
      <c r="BO26" s="668">
        <f>IF(BO$4="forecast",(AVERAGE(BC26:BN26)),SUMIF('Dept. Cost Actuals'!$E$7:$E$176,"*Telephone*",'Dept. Cost Actuals'!BS$877:BS$1046))</f>
        <v>0</v>
      </c>
      <c r="BP26" s="668">
        <f>IF(BP$4="forecast",(AVERAGE(BD26:BO26)),SUMIF('Dept. Cost Actuals'!$E$7:$E$176,"*Telephone*",'Dept. Cost Actuals'!BT$877:BT$1046))</f>
        <v>0</v>
      </c>
      <c r="BQ26" s="668">
        <f>IF(BQ$4="forecast",(AVERAGE(BE26:BP26)),SUMIF('Dept. Cost Actuals'!$E$7:$E$176,"*Telephone*",'Dept. Cost Actuals'!BU$877:BU$1046))</f>
        <v>0</v>
      </c>
      <c r="BR26" s="668">
        <f>IF(BR$4="forecast",(AVERAGE(BF26:BQ26)),SUMIF('Dept. Cost Actuals'!$E$7:$E$176,"*Telephone*",'Dept. Cost Actuals'!BV$877:BV$1046))</f>
        <v>0</v>
      </c>
      <c r="BS26" s="668">
        <f>IF(BS$4="forecast",(AVERAGE(BG26:BR26)),SUMIF('Dept. Cost Actuals'!$E$7:$E$176,"*Telephone*",'Dept. Cost Actuals'!BW$877:BW$1046))</f>
        <v>0</v>
      </c>
      <c r="BT26" s="668">
        <f>IF(BT$4="forecast",(AVERAGE(BH26:BS26)),SUMIF('Dept. Cost Actuals'!$E$7:$E$176,"*Telephone*",'Dept. Cost Actuals'!BX$877:BX$1046))</f>
        <v>0</v>
      </c>
      <c r="BU26" s="668">
        <f>IF(BU$4="forecast",(AVERAGE(BI26:BT26)),SUMIF('Dept. Cost Actuals'!$E$7:$E$176,"*Telephone*",'Dept. Cost Actuals'!BY$877:BY$1046))</f>
        <v>0</v>
      </c>
      <c r="BV26" s="668">
        <f>IF(BV$4="forecast",(AVERAGE(BJ26:BU26)),SUMIF('Dept. Cost Actuals'!$E$7:$E$176,"*Telephone*",'Dept. Cost Actuals'!BZ$877:BZ$1046))</f>
        <v>0</v>
      </c>
    </row>
    <row r="27" spans="2:74" x14ac:dyDescent="0.25">
      <c r="B27" s="1208" t="s">
        <v>936</v>
      </c>
      <c r="C27" s="668">
        <f>IF(C$4="forecast",(SUM(#REF!)/12)*1.1,SUMIF('Dept. Cost Actuals'!$E$7:$E$176,"*Software*",'Dept. Cost Actuals'!G$877:G$1046))</f>
        <v>0</v>
      </c>
      <c r="D27" s="668">
        <f>IF(D$4="forecast",(SUM(#REF!)/12)*1.1,SUMIF('Dept. Cost Actuals'!$E$7:$E$176,"*Software*",'Dept. Cost Actuals'!H$877:H$1046))</f>
        <v>0</v>
      </c>
      <c r="E27" s="668">
        <f>IF(E$4="forecast",(SUM(#REF!)/12)*1.1,SUMIF('Dept. Cost Actuals'!$E$7:$E$176,"*Software*",'Dept. Cost Actuals'!I$877:I$1046))</f>
        <v>0</v>
      </c>
      <c r="F27" s="668">
        <f>IF(F$4="forecast",(SUM(#REF!)/12)*1.1,SUMIF('Dept. Cost Actuals'!$E$7:$E$176,"*Software*",'Dept. Cost Actuals'!J$877:J$1046))</f>
        <v>0</v>
      </c>
      <c r="G27" s="668">
        <f>IF(G$4="forecast",(SUM(#REF!)/12)*1.1,SUMIF('Dept. Cost Actuals'!$E$7:$E$176,"*Software*",'Dept. Cost Actuals'!K$877:K$1046))</f>
        <v>0</v>
      </c>
      <c r="H27" s="668">
        <f>IF(H$4="forecast",(SUM(#REF!)/12)*1.1,SUMIF('Dept. Cost Actuals'!$E$7:$E$176,"*Software*",'Dept. Cost Actuals'!L$877:L$1046))</f>
        <v>0</v>
      </c>
      <c r="I27" s="668">
        <f>IF(I$4="forecast",(SUM(#REF!)/12)*1.1,SUMIF('Dept. Cost Actuals'!$E$7:$E$176,"*Software*",'Dept. Cost Actuals'!M$877:M$1046))</f>
        <v>0</v>
      </c>
      <c r="J27" s="668">
        <f>IF(J$4="forecast",(SUM(#REF!)/12)*1.1,SUMIF('Dept. Cost Actuals'!$E$7:$E$176,"*Software*",'Dept. Cost Actuals'!N$877:N$1046))</f>
        <v>0</v>
      </c>
      <c r="K27" s="668">
        <f>IF(K$4="forecast",(SUM(#REF!)/12)*1.1,SUMIF('Dept. Cost Actuals'!$E$7:$E$176,"*Software*",'Dept. Cost Actuals'!O$877:O$1046))</f>
        <v>0</v>
      </c>
      <c r="L27" s="668">
        <f>IF(L$4="forecast",(SUM(#REF!)/12)*1.1,SUMIF('Dept. Cost Actuals'!$E$7:$E$176,"*Software*",'Dept. Cost Actuals'!P$877:P$1046))</f>
        <v>0</v>
      </c>
      <c r="M27" s="668">
        <f>IF(M$4="forecast",(SUM(#REF!)/12)*1.1,SUMIF('Dept. Cost Actuals'!$E$7:$E$176,"*Software*",'Dept. Cost Actuals'!Q$877:Q$1046))</f>
        <v>0</v>
      </c>
      <c r="N27" s="668">
        <f>IF(N$4="forecast",(SUM(A$27:L$27)/12)*1.1,SUMIF('Dept. Cost Actuals'!$E$7:$E$176,"*Software*",'Dept. Cost Actuals'!R$877:R$1046))</f>
        <v>0</v>
      </c>
      <c r="O27" s="668">
        <f>IF(O$4="forecast",(SUM(B$27:M$27)/12)*1.1,SUMIF('Dept. Cost Actuals'!$E$7:$E$176,"*Software*",'Dept. Cost Actuals'!S$877:S$1046))</f>
        <v>0</v>
      </c>
      <c r="P27" s="668">
        <f>IF(P$4="forecast",(SUM(C$27:N$27)/12)*1.1,SUMIF('Dept. Cost Actuals'!$E$7:$E$176,"*Software*",'Dept. Cost Actuals'!T$877:T$1046))</f>
        <v>69.91</v>
      </c>
      <c r="Q27" s="668">
        <f>IF(Q$4="forecast",(SUM(D$27:O$27)/12)*1.1,SUMIF('Dept. Cost Actuals'!$E$7:$E$176,"*Software*",'Dept. Cost Actuals'!U$877:U$1046))</f>
        <v>209.87</v>
      </c>
      <c r="R27" s="668">
        <f>IF(R$4="forecast",(SUM(E$27:P$27)/12)*1.1,SUMIF('Dept. Cost Actuals'!$E$7:$E$176,"*Software*",'Dept. Cost Actuals'!V$877:V$1046))</f>
        <v>118.77</v>
      </c>
      <c r="S27" s="668">
        <f>IF(S$4="forecast",(SUM(F$27:Q$27)/12)*1.1,SUMIF('Dept. Cost Actuals'!$E$7:$E$176,"*Software*",'Dept. Cost Actuals'!W$877:W$1046))</f>
        <v>68.989999999999995</v>
      </c>
      <c r="T27" s="668">
        <f>IF(T$4="forecast",(SUM(G$27:R$27)/12)*1.1,SUMIF('Dept. Cost Actuals'!$E$7:$E$176,"*Software*",'Dept. Cost Actuals'!X$877:X$1046))</f>
        <v>82.48</v>
      </c>
      <c r="U27" s="668">
        <f>IF(U$4="forecast",(SUM(H$27:S$27)/12)*1.1,SUMIF('Dept. Cost Actuals'!$E$7:$E$176,"*Software*",'Dept. Cost Actuals'!Y$877:Y$1046))</f>
        <v>49</v>
      </c>
      <c r="V27" s="668">
        <f>IF(V$4="forecast",(SUM(I$27:T$27)/12)*1.1,SUMIF('Dept. Cost Actuals'!$E$7:$E$176,"*Software*",'Dept. Cost Actuals'!Z$877:Z$1046))</f>
        <v>51.49</v>
      </c>
      <c r="W27" s="668">
        <f>IF(W$4="forecast",(SUM(J$27:U$27)/12)*1.1,SUMIF('Dept. Cost Actuals'!$E$7:$E$176,"*Software*",'Dept. Cost Actuals'!AA$877:AA$1046))</f>
        <v>181.47</v>
      </c>
      <c r="X27" s="668">
        <f>IF(X$4="forecast",(SUM(K$27:V$27)/12)*1.1,SUMIF('Dept. Cost Actuals'!$E$7:$E$176,"*Software*",'Dept. Cost Actuals'!AB$877:AB$1046))</f>
        <v>0</v>
      </c>
      <c r="Y27" s="668">
        <f>IF(Y$4="forecast",(SUM(L$27:W$27)/12)*1.1,SUMIF('Dept. Cost Actuals'!$E$7:$E$176,"*Software*",'Dept. Cost Actuals'!AC$877:AC$1046))</f>
        <v>418.38</v>
      </c>
      <c r="Z27" s="668">
        <f>IF(Z$4="forecast",(SUM(M$27:X$27)/12)*1.1,SUMIF('Dept. Cost Actuals'!$E$7:$E$176,"*Software*",'Dept. Cost Actuals'!AD$877:AD$1046))</f>
        <v>1064.27</v>
      </c>
      <c r="AA27" s="668">
        <f>IF(AA$4="forecast",(SUM(N$27:Y$27)/12)*1.1,SUMIF('Dept. Cost Actuals'!$E$7:$E$176,"*Software*",'Dept. Cost Actuals'!AE$877:AE$1046))</f>
        <v>108.09</v>
      </c>
      <c r="AB27" s="668">
        <f>IF(AB$4="forecast",(SUM(O$27:Z$27)/12)*1.1,SUMIF('Dept. Cost Actuals'!$E$7:$E$176,"*Software*",'Dept. Cost Actuals'!AF$877:AF$1046))</f>
        <v>98.82</v>
      </c>
      <c r="AC27" s="668">
        <f>IF(AC$4="forecast",(SUM(P$27:AA$27)/12)*1.1,SUMIF('Dept. Cost Actuals'!$E$7:$E$176,"*Software*",'Dept. Cost Actuals'!AG$877:AG$1046))</f>
        <v>577.66999999999996</v>
      </c>
      <c r="AD27" s="668">
        <f>IF(AD$4="forecast",(SUM(Q$27:AB$27)/12)*1.3,SUMIF('Dept. Cost Actuals'!$E$7:$E$176,"*Software*",'Dept. Cost Actuals'!AH$877:AH$1046))</f>
        <v>265.59325000000007</v>
      </c>
      <c r="AE27" s="668">
        <f>IF(AE$4="forecast",(SUM(R$27:AC$27)/12)*1.3,SUMIF('Dept. Cost Actuals'!$E$7:$E$176,"*Software*",'Dept. Cost Actuals'!AI$877:AI$1046))</f>
        <v>305.43825000000004</v>
      </c>
      <c r="AF27" s="668">
        <f>IF(AF$4="forecast",(SUM(S$27:AD$27)/12)*1.3,SUMIF('Dept. Cost Actuals'!$E$7:$E$176,"*Software*",'Dept. Cost Actuals'!AJ$877:AJ$1046))</f>
        <v>321.34410208333333</v>
      </c>
      <c r="AG27" s="668">
        <f>IF(AG$4="forecast",(SUM(T$27:AE$27)/12)*1.3,SUMIF('Dept. Cost Actuals'!$E$7:$E$176,"*Software*",'Dept. Cost Actuals'!AK$877:AK$1046))</f>
        <v>346.95932916666669</v>
      </c>
      <c r="AH27" s="668">
        <f>IF(AH$4="forecast",(SUM(U$27:AF$27)/12)*1.3,SUMIF('Dept. Cost Actuals'!$E$7:$E$176,"*Software*",'Dept. Cost Actuals'!AL$877:AL$1046))</f>
        <v>372.83627355902786</v>
      </c>
      <c r="AI27" s="668">
        <f>IF(AI$4="forecast",(SUM(V$27:AG$27)/12)*1.3,SUMIF('Dept. Cost Actuals'!$E$7:$E$176,"*Software*",'Dept. Cost Actuals'!AM$877:AM$1046))</f>
        <v>405.1152008854167</v>
      </c>
      <c r="AJ27" s="668">
        <f>IF(AJ$4="forecast",(SUM(W$27:AH$27)/12)*1.3,SUMIF('Dept. Cost Actuals'!$E$7:$E$176,"*Software*",'Dept. Cost Actuals'!AN$877:AN$1046))</f>
        <v>439.92771385431132</v>
      </c>
      <c r="AK27" s="668">
        <f>IF(AK$4="forecast",(SUM(X$27:AI$27)/12)*1.3,SUMIF('Dept. Cost Actuals'!$E$7:$E$176,"*Software*",'Dept. Cost Actuals'!AO$877:AO$1046))</f>
        <v>464.15594395023157</v>
      </c>
      <c r="AL27" s="668">
        <f>IF(AL$4="forecast",(SUM(Y$27:AJ$27)/12)*1.3,SUMIF('Dept. Cost Actuals'!$E$7:$E$176,"*Software*",'Dept. Cost Actuals'!AP$877:AP$1046))</f>
        <v>511.81477961778194</v>
      </c>
      <c r="AM27" s="668">
        <f>IF(AM$4="forecast",(SUM(Z$27:AK$27)/12)*1.3,SUMIF('Dept. Cost Actuals'!$E$7:$E$176,"*Software*",'Dept. Cost Actuals'!AQ$877:AQ$1046))</f>
        <v>516.77384021239038</v>
      </c>
      <c r="AN27" s="668">
        <f>IF(AN$4="forecast",(SUM(AA$27:AL$27)/12)*1.3,SUMIF('Dept. Cost Actuals'!$E$7:$E$176,"*Software*",'Dept. Cost Actuals'!AR$877:AR$1046))</f>
        <v>456.92452467098332</v>
      </c>
      <c r="AO27" s="668">
        <f>IF(AO$4="forecast",(SUM(AB$27:AM$27)/12)*1.3,SUMIF('Dept. Cost Actuals'!$E$7:$E$176,"*Software*",'Dept. Cost Actuals'!AS$877:AS$1046))</f>
        <v>501.19860736065903</v>
      </c>
      <c r="AP27" s="668">
        <f>IF(AP$4="forecast",(SUM(AC$27:AN$27)/12)*1.3,SUMIF('Dept. Cost Actuals'!$E$7:$E$176,"*Software*",'Dept. Cost Actuals'!AT$877:AT$1046))</f>
        <v>539.99326420001557</v>
      </c>
      <c r="AQ27" s="668">
        <f>IF(AQ$4="forecast",(SUM(AD$27:AO$27)/12)*1.3,SUMIF('Dept. Cost Actuals'!$E$7:$E$176,"*Software*",'Dept. Cost Actuals'!AU$877:AU$1046))</f>
        <v>531.7088633307535</v>
      </c>
      <c r="AR27" s="668">
        <f>IF(AR$4="forecast",(SUM(AE$27:AP$27)/12)*1.3,SUMIF('Dept. Cost Actuals'!$E$7:$E$176,"*Software*",'Dept. Cost Actuals'!AV$877:AV$1046))</f>
        <v>561.43553153575522</v>
      </c>
      <c r="AS27" s="668">
        <f>IF(AS$4="forecast",(SUM(AF$27:AQ$27)/12)*1.3,SUMIF('Dept. Cost Actuals'!$E$7:$E$176,"*Software*",'Dept. Cost Actuals'!AW$877:AW$1046))</f>
        <v>585.9481813132536</v>
      </c>
      <c r="AT27" s="668">
        <f>IF(AT$4="forecast",(SUM(AG$27:AR$27)/12)*1.3,SUMIF('Dept. Cost Actuals'!$E$7:$E$176,"*Software*",'Dept. Cost Actuals'!AX$877:AX$1046))</f>
        <v>611.95808617059936</v>
      </c>
      <c r="AU27" s="668">
        <f>IF(AU$4="forecast",(SUM(AH$27:AS$27)/12)*1.3,SUMIF('Dept. Cost Actuals'!$E$7:$E$176,"*Software*",'Dept. Cost Actuals'!AY$877:AY$1046))</f>
        <v>637.84854515314612</v>
      </c>
      <c r="AV27" s="668">
        <f>IF(AV$4="forecast",(SUM(AI$27:AT$27)/12)*1.3,SUMIF('Dept. Cost Actuals'!$E$7:$E$176,"*Software*",'Dept. Cost Actuals'!AZ$877:AZ$1046))</f>
        <v>663.75340818606639</v>
      </c>
      <c r="AW27" s="668">
        <f>IF(AW$4="forecast",(SUM(AJ$27:AU$27)/12)*1.3,SUMIF('Dept. Cost Actuals'!$E$7:$E$176,"*Software*",'Dept. Cost Actuals'!BA$877:BA$1046))</f>
        <v>688.96618714840372</v>
      </c>
      <c r="AX27" s="668">
        <f>IF(AX$4="forecast",(SUM(AK$27:AV$27)/12)*1.3,SUMIF('Dept. Cost Actuals'!$E$7:$E$176,"*Software*",'Dept. Cost Actuals'!BB$877:BB$1046))</f>
        <v>713.21397070101057</v>
      </c>
      <c r="AY27" s="668">
        <f>IF(AY$4="forecast",(SUM(AL$27:AW$27)/12)*1.3,SUMIF('Dept. Cost Actuals'!$E$7:$E$176,"*Software*",'Dept. Cost Actuals'!BC$877:BC$1046))</f>
        <v>737.56841371414589</v>
      </c>
      <c r="AZ27" s="668">
        <f>IF(AZ$4="forecast",(SUM(AM$27:AX$27)/12)*1.3,SUMIF('Dept. Cost Actuals'!$E$7:$E$176,"*Software*",'Dept. Cost Actuals'!BD$877:BD$1046))</f>
        <v>759.38665941482918</v>
      </c>
      <c r="BA27" s="668">
        <f>IF(BA$4="forecast",(SUM(AN$27:AY$27)/12)*1.3,SUMIF('Dept. Cost Actuals'!$E$7:$E$176,"*Software*",'Dept. Cost Actuals'!BE$877:BE$1046))</f>
        <v>783.3060715441859</v>
      </c>
      <c r="BB27" s="668">
        <f>IF(BB$4="forecast",(SUM(AO$27:AZ$27)/12)*1.3,SUMIF('Dept. Cost Actuals'!$E$7:$E$176,"*Software*",'Dept. Cost Actuals'!BF$877:BF$1046))</f>
        <v>816.07280280810255</v>
      </c>
      <c r="BC27" s="668">
        <f>IF(BC$4="forecast",(SUM(AP$27:BA$27)/12)*1.3,SUMIF('Dept. Cost Actuals'!$E$7:$E$176,"*Software*",'Dept. Cost Actuals'!BG$877:BG$1046))</f>
        <v>846.63444476131804</v>
      </c>
      <c r="BD27" s="668">
        <f>IF(BD$4="forecast",(SUM(AQ$27:BB$27)/12)*1.3,SUMIF('Dept. Cost Actuals'!$E$7:$E$176,"*Software*",'Dept. Cost Actuals'!BH$877:BH$1046))</f>
        <v>876.54306144386067</v>
      </c>
      <c r="BE27" s="668">
        <f>IF(BE$4="forecast",(SUM(AR$27:BC$27)/12)*1.3,SUMIF('Dept. Cost Actuals'!$E$7:$E$176,"*Software*",'Dept. Cost Actuals'!BI$877:BI$1046))</f>
        <v>910.65999943217173</v>
      </c>
      <c r="BF27" s="668">
        <f>IF(BF$4="forecast",(SUM(AS$27:BD$27)/12)*1.3,SUMIF('Dept. Cost Actuals'!$E$7:$E$176,"*Software*",'Dept. Cost Actuals'!BJ$877:BJ$1046))</f>
        <v>944.7966485055498</v>
      </c>
      <c r="BG27" s="668">
        <f>IF(BG$4="forecast",(SUM(AT$27:BE$27)/12)*1.3,SUMIF('Dept. Cost Actuals'!$E$7:$E$176,"*Software*",'Dept. Cost Actuals'!BK$877:BK$1046))</f>
        <v>979.97376213509949</v>
      </c>
      <c r="BH27" s="668">
        <f>IF(BH$4="forecast",(SUM(AU$27:BF$27)/12)*1.3,SUMIF('Dept. Cost Actuals'!$E$7:$E$176,"*Software*",'Dept. Cost Actuals'!BL$877:BL$1046))</f>
        <v>1016.0312730547192</v>
      </c>
      <c r="BI27" s="668">
        <f>IF(BI$4="forecast",(SUM(AV$27:BG$27)/12)*1.3,SUMIF('Dept. Cost Actuals'!$E$7:$E$176,"*Software*",'Dept. Cost Actuals'!BM$877:BM$1046))</f>
        <v>1053.0948382277641</v>
      </c>
      <c r="BJ27" s="668">
        <f>IF(BJ$4="forecast",(SUM(AW$27:BH$27)/12)*1.3,SUMIF('Dept. Cost Actuals'!$E$7:$E$176,"*Software*",'Dept. Cost Actuals'!BN$877:BN$1046))</f>
        <v>1091.2582735885346</v>
      </c>
      <c r="BK27" s="668">
        <f>IF(BK$4="forecast",(SUM(AX$27:BI$27)/12)*1.3,SUMIF('Dept. Cost Actuals'!$E$7:$E$176,"*Software*",'Dept. Cost Actuals'!BO$877:BO$1046))</f>
        <v>1130.7055441221319</v>
      </c>
      <c r="BL27" s="668">
        <f>IF(BL$4="forecast",(SUM(AY$27:BJ$27)/12)*1.3,SUMIF('Dept. Cost Actuals'!$E$7:$E$176,"*Software*",'Dept. Cost Actuals'!BP$877:BP$1046))</f>
        <v>1171.6603436016139</v>
      </c>
      <c r="BM27" s="668">
        <f>IF(BM$4="forecast",(SUM(AZ$27:BK$27)/12)*1.3,SUMIF('Dept. Cost Actuals'!$E$7:$E$176,"*Software*",'Dept. Cost Actuals'!BQ$877:BQ$1046))</f>
        <v>1214.2501993958124</v>
      </c>
      <c r="BN27" s="668">
        <f>IF(BN$4="forecast",(SUM(BA$27:BL$27)/12)*1.3,SUMIF('Dept. Cost Actuals'!$E$7:$E$176,"*Software*",'Dept. Cost Actuals'!BR$877:BR$1046))</f>
        <v>1258.9131818493806</v>
      </c>
      <c r="BO27" s="668">
        <f>IF(BO$4="forecast",(SUM(BB$27:BM$27)/12)*1.3,SUMIF('Dept. Cost Actuals'!$E$7:$E$176,"*Software*",'Dept. Cost Actuals'!BS$877:BS$1046))</f>
        <v>1305.5987956999734</v>
      </c>
      <c r="BP27" s="668">
        <f>IF(BP$4="forecast",(SUM(BC$27:BN$27)/12)*1.3,SUMIF('Dept. Cost Actuals'!$E$7:$E$176,"*Software*",'Dept. Cost Actuals'!BT$877:BT$1046))</f>
        <v>1353.5731700961119</v>
      </c>
      <c r="BQ27" s="668">
        <f>IF(BQ$4="forecast",(SUM(BD$27:BO$27)/12)*1.3,SUMIF('Dept. Cost Actuals'!$E$7:$E$176,"*Software*",'Dept. Cost Actuals'!BU$877:BU$1046))</f>
        <v>1403.294308114466</v>
      </c>
      <c r="BR27" s="668">
        <f>IF(BR$4="forecast",(SUM(BE$27:BP$27)/12)*1.3,SUMIF('Dept. Cost Actuals'!$E$7:$E$176,"*Software*",'Dept. Cost Actuals'!BV$877:BV$1046))</f>
        <v>1454.9725698851266</v>
      </c>
      <c r="BS27" s="668">
        <f>IF(BS$4="forecast",(SUM(BF$27:BQ$27)/12)*1.3,SUMIF('Dept. Cost Actuals'!$E$7:$E$176,"*Software*",'Dept. Cost Actuals'!BW$877:BW$1046))</f>
        <v>1508.341286659042</v>
      </c>
      <c r="BT27" s="668">
        <f>IF(BT$4="forecast",(SUM(BG$27:BR$27)/12)*1.3,SUMIF('Dept. Cost Actuals'!$E$7:$E$176,"*Software*",'Dept. Cost Actuals'!BX$877:BX$1046))</f>
        <v>1563.6103448084964</v>
      </c>
      <c r="BU27" s="668">
        <f>IF(BU$4="forecast",(SUM(BH$27:BS$27)/12)*1.3,SUMIF('Dept. Cost Actuals'!$E$7:$E$176,"*Software*",'Dept. Cost Actuals'!BY$877:BY$1046))</f>
        <v>1620.8501599652566</v>
      </c>
      <c r="BV27" s="668">
        <f>IF(BV$4="forecast",(SUM(BI$27:BT$27)/12)*1.3,SUMIF('Dept. Cost Actuals'!$E$7:$E$176,"*Software*",'Dept. Cost Actuals'!BZ$877:BZ$1046))</f>
        <v>1680.1712260719157</v>
      </c>
    </row>
    <row r="28" spans="2:74" x14ac:dyDescent="0.25">
      <c r="B28" s="794" t="s">
        <v>1075</v>
      </c>
      <c r="C28" s="668">
        <f>IF(C$4="forecast",(AVERAGE(#REF!)),SUMIF('Dept. Cost Actuals'!$E$7:$E$176,"*Parking*",'Dept. Cost Actuals'!G$877:G$1046))</f>
        <v>0</v>
      </c>
      <c r="D28" s="668">
        <f>IF(D$4="forecast",(AVERAGE(#REF!)),SUMIF('Dept. Cost Actuals'!$E$7:$E$176,"*Parking*",'Dept. Cost Actuals'!H$877:H$1046))</f>
        <v>0</v>
      </c>
      <c r="E28" s="668">
        <f>IF(E$4="forecast",(AVERAGE(#REF!)),SUMIF('Dept. Cost Actuals'!$E$7:$E$176,"*Parking*",'Dept. Cost Actuals'!I$877:I$1046))</f>
        <v>0</v>
      </c>
      <c r="F28" s="668">
        <f>IF(F$4="forecast",(AVERAGE(#REF!)),SUMIF('Dept. Cost Actuals'!$E$7:$E$176,"*Parking*",'Dept. Cost Actuals'!J$877:J$1046))</f>
        <v>0</v>
      </c>
      <c r="G28" s="668">
        <f>IF(G$4="forecast",(AVERAGE(#REF!)),SUMIF('Dept. Cost Actuals'!$E$7:$E$176,"*Parking*",'Dept. Cost Actuals'!K$877:K$1046))</f>
        <v>0</v>
      </c>
      <c r="H28" s="668">
        <f>IF(H$4="forecast",(AVERAGE(#REF!)),SUMIF('Dept. Cost Actuals'!$E$7:$E$176,"*Parking*",'Dept. Cost Actuals'!L$877:L$1046))</f>
        <v>0</v>
      </c>
      <c r="I28" s="668">
        <f>IF(I$4="forecast",(AVERAGE(#REF!)),SUMIF('Dept. Cost Actuals'!$E$7:$E$176,"*Parking*",'Dept. Cost Actuals'!M$877:M$1046))</f>
        <v>0</v>
      </c>
      <c r="J28" s="668">
        <f>IF(J$4="forecast",(AVERAGE(#REF!)),SUMIF('Dept. Cost Actuals'!$E$7:$E$176,"*Parking*",'Dept. Cost Actuals'!N$877:N$1046))</f>
        <v>201.4</v>
      </c>
      <c r="K28" s="668">
        <f>IF(K$4="forecast",(AVERAGE(#REF!)),SUMIF('Dept. Cost Actuals'!$E$7:$E$176,"*Parking*",'Dept. Cost Actuals'!O$877:O$1046))</f>
        <v>0</v>
      </c>
      <c r="L28" s="668">
        <f>IF(L$4="forecast",(AVERAGE(#REF!)),SUMIF('Dept. Cost Actuals'!$E$7:$E$176,"*Parking*",'Dept. Cost Actuals'!P$877:P$1046))</f>
        <v>0</v>
      </c>
      <c r="M28" s="668">
        <f>IF(M$4="forecast",(AVERAGE(A28:L28)),SUMIF('Dept. Cost Actuals'!$E$7:$E$176,"*Parking*",'Dept. Cost Actuals'!Q$877:Q$1046))</f>
        <v>0</v>
      </c>
      <c r="N28" s="668">
        <f>IF(N$4="forecast",(AVERAGE(B28:M28)),SUMIF('Dept. Cost Actuals'!$E$7:$E$176,"*Parking*",'Dept. Cost Actuals'!R$877:R$1046))</f>
        <v>0</v>
      </c>
      <c r="O28" s="668">
        <f>IF(O$4="forecast",(AVERAGE(C28:N28)),SUMIF('Dept. Cost Actuals'!$E$7:$E$176,"*Parking*",'Dept. Cost Actuals'!S$877:S$1046))</f>
        <v>0</v>
      </c>
      <c r="P28" s="668">
        <f>IF(P$4="forecast",(AVERAGE(D28:O28)),SUMIF('Dept. Cost Actuals'!$E$7:$E$176,"*Parking*",'Dept. Cost Actuals'!T$877:T$1046))</f>
        <v>0</v>
      </c>
      <c r="Q28" s="668">
        <f>IF(Q$4="forecast",(AVERAGE(E28:P28)),SUMIF('Dept. Cost Actuals'!$E$7:$E$176,"*Parking*",'Dept. Cost Actuals'!U$877:U$1046))</f>
        <v>0</v>
      </c>
      <c r="R28" s="668">
        <f>IF(R$4="forecast",(AVERAGE(F28:Q28)),SUMIF('Dept. Cost Actuals'!$E$7:$E$176,"*Parking*",'Dept. Cost Actuals'!V$877:V$1046))</f>
        <v>0</v>
      </c>
      <c r="S28" s="668">
        <f>IF(S$4="forecast",(AVERAGE(G28:R28)),SUMIF('Dept. Cost Actuals'!$E$7:$E$176,"*Parking*",'Dept. Cost Actuals'!W$877:W$1046))</f>
        <v>0</v>
      </c>
      <c r="T28" s="668">
        <f>IF(T$4="forecast",(AVERAGE(H28:S28)),SUMIF('Dept. Cost Actuals'!$E$7:$E$176,"*Parking*",'Dept. Cost Actuals'!X$877:X$1046))</f>
        <v>0</v>
      </c>
      <c r="U28" s="668">
        <f>IF(U$4="forecast",(AVERAGE(I28:T28)),SUMIF('Dept. Cost Actuals'!$E$7:$E$176,"*Parking*",'Dept. Cost Actuals'!Y$877:Y$1046))</f>
        <v>0</v>
      </c>
      <c r="V28" s="668">
        <f>IF(V$4="forecast",(AVERAGE(J28:U28)),SUMIF('Dept. Cost Actuals'!$E$7:$E$176,"*Parking*",'Dept. Cost Actuals'!Z$877:Z$1046))</f>
        <v>0</v>
      </c>
      <c r="W28" s="668">
        <f>IF(W$4="forecast",(AVERAGE(K28:V28)),SUMIF('Dept. Cost Actuals'!$E$7:$E$176,"*Parking*",'Dept. Cost Actuals'!AA$877:AA$1046))</f>
        <v>0</v>
      </c>
      <c r="X28" s="668">
        <f>IF(X$4="forecast",(AVERAGE(L28:W28)),SUMIF('Dept. Cost Actuals'!$E$7:$E$176,"*Parking*",'Dept. Cost Actuals'!AB$877:AB$1046))</f>
        <v>0</v>
      </c>
      <c r="Y28" s="668">
        <f>IF(Y$4="forecast",(AVERAGE(M28:X28)),SUMIF('Dept. Cost Actuals'!$E$7:$E$176,"*Parking*",'Dept. Cost Actuals'!AC$877:AC$1046))</f>
        <v>0</v>
      </c>
      <c r="Z28" s="668">
        <f>IF(Z$4="forecast",(AVERAGE(N28:Y28)),SUMIF('Dept. Cost Actuals'!$E$7:$E$176,"*Parking*",'Dept. Cost Actuals'!AD$877:AD$1046))</f>
        <v>0</v>
      </c>
      <c r="AA28" s="668">
        <f>IF(AA$4="forecast",(AVERAGE(O28:Z28)),SUMIF('Dept. Cost Actuals'!$E$7:$E$176,"*Parking*",'Dept. Cost Actuals'!AE$877:AE$1046))</f>
        <v>0</v>
      </c>
      <c r="AB28" s="668">
        <f>IF(AB$4="forecast",(AVERAGE(P28:AA28)),SUMIF('Dept. Cost Actuals'!$E$7:$E$176,"*Parking*",'Dept. Cost Actuals'!AF$877:AF$1046))</f>
        <v>0</v>
      </c>
      <c r="AC28" s="668">
        <f>IF(AC$4="forecast",(AVERAGE(Q28:AB28)),SUMIF('Dept. Cost Actuals'!$E$7:$E$176,"*Parking*",'Dept. Cost Actuals'!AG$877:AG$1046))</f>
        <v>0</v>
      </c>
      <c r="AD28" s="668">
        <f>IF(AD$4="forecast",(AVERAGE(R28:AC28)),SUMIF('Dept. Cost Actuals'!$E$7:$E$176,"*Parking*",'Dept. Cost Actuals'!AH$877:AH$1046))</f>
        <v>0</v>
      </c>
      <c r="AE28" s="668">
        <f>IF(AE$4="forecast",(AVERAGE(S28:AD28)),SUMIF('Dept. Cost Actuals'!$E$7:$E$176,"*Parking*",'Dept. Cost Actuals'!AI$877:AI$1046))</f>
        <v>0</v>
      </c>
      <c r="AF28" s="668">
        <f>IF(AF$4="forecast",(AVERAGE(T28:AE28)),SUMIF('Dept. Cost Actuals'!$E$7:$E$176,"*Parking*",'Dept. Cost Actuals'!AJ$877:AJ$1046))</f>
        <v>0</v>
      </c>
      <c r="AG28" s="668">
        <f>IF(AG$4="forecast",(AVERAGE(U28:AF28)),SUMIF('Dept. Cost Actuals'!$E$7:$E$176,"*Parking*",'Dept. Cost Actuals'!AK$877:AK$1046))</f>
        <v>0</v>
      </c>
      <c r="AH28" s="668">
        <f>IF(AH$4="forecast",(AVERAGE(V28:AG28)),SUMIF('Dept. Cost Actuals'!$E$7:$E$176,"*Parking*",'Dept. Cost Actuals'!AL$877:AL$1046))</f>
        <v>0</v>
      </c>
      <c r="AI28" s="668">
        <f>IF(AI$4="forecast",(AVERAGE(W28:AH28)),SUMIF('Dept. Cost Actuals'!$E$7:$E$176,"*Parking*",'Dept. Cost Actuals'!AM$877:AM$1046))</f>
        <v>0</v>
      </c>
      <c r="AJ28" s="668">
        <f>IF(AJ$4="forecast",(AVERAGE(X28:AI28)),SUMIF('Dept. Cost Actuals'!$E$7:$E$176,"*Parking*",'Dept. Cost Actuals'!AN$877:AN$1046))</f>
        <v>0</v>
      </c>
      <c r="AK28" s="668">
        <f>IF(AK$4="forecast",(AVERAGE(Y28:AJ28)),SUMIF('Dept. Cost Actuals'!$E$7:$E$176,"*Parking*",'Dept. Cost Actuals'!AO$877:AO$1046))</f>
        <v>0</v>
      </c>
      <c r="AL28" s="668">
        <f>IF(AL$4="forecast",(AVERAGE(Z28:AK28)),SUMIF('Dept. Cost Actuals'!$E$7:$E$176,"*Parking*",'Dept. Cost Actuals'!AP$877:AP$1046))</f>
        <v>0</v>
      </c>
      <c r="AM28" s="668">
        <f>IF(AM$4="forecast",(AVERAGE(AA28:AL28)),SUMIF('Dept. Cost Actuals'!$E$7:$E$176,"*Parking*",'Dept. Cost Actuals'!AQ$877:AQ$1046))</f>
        <v>0</v>
      </c>
      <c r="AN28" s="668">
        <f>IF(AN$4="forecast",(AVERAGE(AB28:AM28)),SUMIF('Dept. Cost Actuals'!$E$7:$E$176,"*Parking*",'Dept. Cost Actuals'!AR$877:AR$1046))</f>
        <v>0</v>
      </c>
      <c r="AO28" s="668">
        <f>IF(AO$4="forecast",(AVERAGE(AC28:AN28)),SUMIF('Dept. Cost Actuals'!$E$7:$E$176,"*Parking*",'Dept. Cost Actuals'!AS$877:AS$1046))</f>
        <v>0</v>
      </c>
      <c r="AP28" s="668">
        <f>IF(AP$4="forecast",(AVERAGE(AD28:AO28)),SUMIF('Dept. Cost Actuals'!$E$7:$E$176,"*Parking*",'Dept. Cost Actuals'!AT$877:AT$1046))</f>
        <v>0</v>
      </c>
      <c r="AQ28" s="668">
        <f>IF(AQ$4="forecast",(AVERAGE(AE28:AP28)),SUMIF('Dept. Cost Actuals'!$E$7:$E$176,"*Parking*",'Dept. Cost Actuals'!AU$877:AU$1046))</f>
        <v>0</v>
      </c>
      <c r="AR28" s="668">
        <f>IF(AR$4="forecast",(AVERAGE(AF28:AQ28)),SUMIF('Dept. Cost Actuals'!$E$7:$E$176,"*Parking*",'Dept. Cost Actuals'!AV$877:AV$1046))</f>
        <v>0</v>
      </c>
      <c r="AS28" s="668">
        <f>IF(AS$4="forecast",(AVERAGE(AG28:AR28)),SUMIF('Dept. Cost Actuals'!$E$7:$E$176,"*Parking*",'Dept. Cost Actuals'!AW$877:AW$1046))</f>
        <v>0</v>
      </c>
      <c r="AT28" s="668">
        <f>IF(AT$4="forecast",(AVERAGE(AH28:AS28)),SUMIF('Dept. Cost Actuals'!$E$7:$E$176,"*Parking*",'Dept. Cost Actuals'!AX$877:AX$1046))</f>
        <v>0</v>
      </c>
      <c r="AU28" s="668">
        <f>IF(AU$4="forecast",(AVERAGE(AI28:AT28)),SUMIF('Dept. Cost Actuals'!$E$7:$E$176,"*Parking*",'Dept. Cost Actuals'!AY$877:AY$1046))</f>
        <v>0</v>
      </c>
      <c r="AV28" s="668">
        <f>IF(AV$4="forecast",(AVERAGE(AJ28:AU28)),SUMIF('Dept. Cost Actuals'!$E$7:$E$176,"*Parking*",'Dept. Cost Actuals'!AZ$877:AZ$1046))</f>
        <v>0</v>
      </c>
      <c r="AW28" s="668">
        <f>IF(AW$4="forecast",(AVERAGE(AK28:AV28)),SUMIF('Dept. Cost Actuals'!$E$7:$E$176,"*Parking*",'Dept. Cost Actuals'!BA$877:BA$1046))</f>
        <v>0</v>
      </c>
      <c r="AX28" s="668">
        <f>IF(AX$4="forecast",(AVERAGE(AL28:AW28)),SUMIF('Dept. Cost Actuals'!$E$7:$E$176,"*Parking*",'Dept. Cost Actuals'!BB$877:BB$1046))</f>
        <v>0</v>
      </c>
      <c r="AY28" s="668">
        <f>IF(AY$4="forecast",(AVERAGE(AM28:AX28)),SUMIF('Dept. Cost Actuals'!$E$7:$E$176,"*Parking*",'Dept. Cost Actuals'!BC$877:BC$1046))</f>
        <v>0</v>
      </c>
      <c r="AZ28" s="668">
        <f>IF(AZ$4="forecast",(AVERAGE(AN28:AY28)),SUMIF('Dept. Cost Actuals'!$E$7:$E$176,"*Parking*",'Dept. Cost Actuals'!BD$877:BD$1046))</f>
        <v>0</v>
      </c>
      <c r="BA28" s="668">
        <f>IF(BA$4="forecast",(AVERAGE(AO28:AZ28)),SUMIF('Dept. Cost Actuals'!$E$7:$E$176,"*Parking*",'Dept. Cost Actuals'!BE$877:BE$1046))</f>
        <v>0</v>
      </c>
      <c r="BB28" s="668">
        <f>IF(BB$4="forecast",(AVERAGE(AP28:BA28)),SUMIF('Dept. Cost Actuals'!$E$7:$E$176,"*Parking*",'Dept. Cost Actuals'!BF$877:BF$1046))</f>
        <v>0</v>
      </c>
      <c r="BC28" s="668">
        <f>IF(BC$4="forecast",(AVERAGE(AQ28:BB28)),SUMIF('Dept. Cost Actuals'!$E$7:$E$176,"*Parking*",'Dept. Cost Actuals'!BG$877:BG$1046))</f>
        <v>0</v>
      </c>
      <c r="BD28" s="668">
        <f>IF(BD$4="forecast",(AVERAGE(AR28:BC28)),SUMIF('Dept. Cost Actuals'!$E$7:$E$176,"*Parking*",'Dept. Cost Actuals'!BH$877:BH$1046))</f>
        <v>0</v>
      </c>
      <c r="BE28" s="668">
        <f>IF(BE$4="forecast",(AVERAGE(AS28:BD28)),SUMIF('Dept. Cost Actuals'!$E$7:$E$176,"*Parking*",'Dept. Cost Actuals'!BI$877:BI$1046))</f>
        <v>0</v>
      </c>
      <c r="BF28" s="668">
        <f>IF(BF$4="forecast",(AVERAGE(AT28:BE28)),SUMIF('Dept. Cost Actuals'!$E$7:$E$176,"*Parking*",'Dept. Cost Actuals'!BJ$877:BJ$1046))</f>
        <v>0</v>
      </c>
      <c r="BG28" s="668">
        <f>IF(BG$4="forecast",(AVERAGE(AU28:BF28)),SUMIF('Dept. Cost Actuals'!$E$7:$E$176,"*Parking*",'Dept. Cost Actuals'!BK$877:BK$1046))</f>
        <v>0</v>
      </c>
      <c r="BH28" s="668">
        <f>IF(BH$4="forecast",(AVERAGE(AV28:BG28)),SUMIF('Dept. Cost Actuals'!$E$7:$E$176,"*Parking*",'Dept. Cost Actuals'!BL$877:BL$1046))</f>
        <v>0</v>
      </c>
      <c r="BI28" s="668">
        <f>IF(BI$4="forecast",(AVERAGE(AW28:BH28)),SUMIF('Dept. Cost Actuals'!$E$7:$E$176,"*Parking*",'Dept. Cost Actuals'!BM$877:BM$1046))</f>
        <v>0</v>
      </c>
      <c r="BJ28" s="668">
        <f>IF(BJ$4="forecast",(AVERAGE(AX28:BI28)),SUMIF('Dept. Cost Actuals'!$E$7:$E$176,"*Parking*",'Dept. Cost Actuals'!BN$877:BN$1046))</f>
        <v>0</v>
      </c>
      <c r="BK28" s="668">
        <f>IF(BK$4="forecast",(AVERAGE(AY28:BJ28)),SUMIF('Dept. Cost Actuals'!$E$7:$E$176,"*Parking*",'Dept. Cost Actuals'!BO$877:BO$1046))</f>
        <v>0</v>
      </c>
      <c r="BL28" s="668">
        <f>IF(BL$4="forecast",(AVERAGE(AZ28:BK28)),SUMIF('Dept. Cost Actuals'!$E$7:$E$176,"*Parking*",'Dept. Cost Actuals'!BP$877:BP$1046))</f>
        <v>0</v>
      </c>
      <c r="BM28" s="668">
        <f>IF(BM$4="forecast",(AVERAGE(BA28:BL28)),SUMIF('Dept. Cost Actuals'!$E$7:$E$176,"*Parking*",'Dept. Cost Actuals'!BQ$877:BQ$1046))</f>
        <v>0</v>
      </c>
      <c r="BN28" s="668">
        <f>IF(BN$4="forecast",(AVERAGE(BB28:BM28)),SUMIF('Dept. Cost Actuals'!$E$7:$E$176,"*Parking*",'Dept. Cost Actuals'!BR$877:BR$1046))</f>
        <v>0</v>
      </c>
      <c r="BO28" s="668">
        <f>IF(BO$4="forecast",(AVERAGE(BC28:BN28)),SUMIF('Dept. Cost Actuals'!$E$7:$E$176,"*Parking*",'Dept. Cost Actuals'!BS$877:BS$1046))</f>
        <v>0</v>
      </c>
      <c r="BP28" s="668">
        <f>IF(BP$4="forecast",(AVERAGE(BD28:BO28)),SUMIF('Dept. Cost Actuals'!$E$7:$E$176,"*Parking*",'Dept. Cost Actuals'!BT$877:BT$1046))</f>
        <v>0</v>
      </c>
      <c r="BQ28" s="668">
        <f>IF(BQ$4="forecast",(AVERAGE(BE28:BP28)),SUMIF('Dept. Cost Actuals'!$E$7:$E$176,"*Parking*",'Dept. Cost Actuals'!BU$877:BU$1046))</f>
        <v>0</v>
      </c>
      <c r="BR28" s="668">
        <f>IF(BR$4="forecast",(AVERAGE(BF28:BQ28)),SUMIF('Dept. Cost Actuals'!$E$7:$E$176,"*Parking*",'Dept. Cost Actuals'!BV$877:BV$1046))</f>
        <v>0</v>
      </c>
      <c r="BS28" s="668">
        <f>IF(BS$4="forecast",(AVERAGE(BG28:BR28)),SUMIF('Dept. Cost Actuals'!$E$7:$E$176,"*Parking*",'Dept. Cost Actuals'!BW$877:BW$1046))</f>
        <v>0</v>
      </c>
      <c r="BT28" s="668">
        <f>IF(BT$4="forecast",(AVERAGE(BH28:BS28)),SUMIF('Dept. Cost Actuals'!$E$7:$E$176,"*Parking*",'Dept. Cost Actuals'!BX$877:BX$1046))</f>
        <v>0</v>
      </c>
      <c r="BU28" s="668">
        <f>IF(BU$4="forecast",(AVERAGE(BI28:BT28)),SUMIF('Dept. Cost Actuals'!$E$7:$E$176,"*Parking*",'Dept. Cost Actuals'!BY$877:BY$1046))</f>
        <v>0</v>
      </c>
      <c r="BV28" s="668">
        <f>IF(BV$4="forecast",(AVERAGE(BJ28:BU28)),SUMIF('Dept. Cost Actuals'!$E$7:$E$176,"*Parking*",'Dept. Cost Actuals'!BZ$877:BZ$1046))</f>
        <v>0</v>
      </c>
    </row>
    <row r="29" spans="2:74" x14ac:dyDescent="0.25">
      <c r="B29" s="795" t="s">
        <v>937</v>
      </c>
      <c r="C29" s="1156">
        <f t="shared" ref="C29:BN29" si="8">SUM(C17:C28,C14)</f>
        <v>45520.807668711095</v>
      </c>
      <c r="D29" s="1156">
        <f t="shared" si="8"/>
        <v>43955.309501940421</v>
      </c>
      <c r="E29" s="1156">
        <f t="shared" si="8"/>
        <v>43762.447799703885</v>
      </c>
      <c r="F29" s="1156">
        <f t="shared" si="8"/>
        <v>58633.831682355682</v>
      </c>
      <c r="G29" s="1156">
        <f t="shared" si="8"/>
        <v>363087.08823035547</v>
      </c>
      <c r="H29" s="1156">
        <f t="shared" si="8"/>
        <v>77004.799201008136</v>
      </c>
      <c r="I29" s="1156">
        <f t="shared" si="8"/>
        <v>363820.22363780695</v>
      </c>
      <c r="J29" s="1156">
        <f t="shared" si="8"/>
        <v>363648.55742816604</v>
      </c>
      <c r="K29" s="1156">
        <f t="shared" si="8"/>
        <v>58194.931023632613</v>
      </c>
      <c r="L29" s="1156">
        <f t="shared" si="8"/>
        <v>382621.91539839999</v>
      </c>
      <c r="M29" s="1156">
        <f t="shared" si="8"/>
        <v>153791.96804273615</v>
      </c>
      <c r="N29" s="1156">
        <f t="shared" si="8"/>
        <v>79839.343177339237</v>
      </c>
      <c r="O29" s="1156">
        <f t="shared" si="8"/>
        <v>175204.07</v>
      </c>
      <c r="P29" s="1156">
        <f t="shared" si="8"/>
        <v>164969.12</v>
      </c>
      <c r="Q29" s="1156">
        <f t="shared" si="8"/>
        <v>144860.93000000002</v>
      </c>
      <c r="R29" s="1156">
        <f t="shared" si="8"/>
        <v>154256.25</v>
      </c>
      <c r="S29" s="1156">
        <f t="shared" si="8"/>
        <v>147053.91</v>
      </c>
      <c r="T29" s="1156">
        <f t="shared" si="8"/>
        <v>129737.99</v>
      </c>
      <c r="U29" s="1156">
        <f t="shared" si="8"/>
        <v>142452.35</v>
      </c>
      <c r="V29" s="1156">
        <f t="shared" si="8"/>
        <v>118429.39</v>
      </c>
      <c r="W29" s="1156">
        <f t="shared" si="8"/>
        <v>135991.46</v>
      </c>
      <c r="X29" s="1156">
        <f t="shared" si="8"/>
        <v>144687.74</v>
      </c>
      <c r="Y29" s="1156">
        <f t="shared" si="8"/>
        <v>124669.25</v>
      </c>
      <c r="Z29" s="1156">
        <f t="shared" si="8"/>
        <v>50400.350000000006</v>
      </c>
      <c r="AA29" s="1156">
        <f t="shared" si="8"/>
        <v>151670.03999999998</v>
      </c>
      <c r="AB29" s="1156">
        <f t="shared" si="8"/>
        <v>137830.17000000001</v>
      </c>
      <c r="AC29" s="1156">
        <f t="shared" si="8"/>
        <v>127031.73</v>
      </c>
      <c r="AD29" s="1156">
        <f t="shared" si="8"/>
        <v>114586.31912204516</v>
      </c>
      <c r="AE29" s="1156">
        <f t="shared" si="8"/>
        <v>115214.39416631253</v>
      </c>
      <c r="AF29" s="1156">
        <f t="shared" si="8"/>
        <v>115927.64885895954</v>
      </c>
      <c r="AG29" s="1156">
        <f t="shared" si="8"/>
        <v>116647.62995592752</v>
      </c>
      <c r="AH29" s="1156">
        <f t="shared" si="8"/>
        <v>117362.16955196895</v>
      </c>
      <c r="AI29" s="1156">
        <f t="shared" si="8"/>
        <v>118178.55764452252</v>
      </c>
      <c r="AJ29" s="1156">
        <f t="shared" si="8"/>
        <v>119030.51471242818</v>
      </c>
      <c r="AK29" s="1156">
        <f t="shared" si="8"/>
        <v>119862.65111409072</v>
      </c>
      <c r="AL29" s="1156">
        <f t="shared" si="8"/>
        <v>95045.741967406095</v>
      </c>
      <c r="AM29" s="1156">
        <f t="shared" si="8"/>
        <v>96469.115188684053</v>
      </c>
      <c r="AN29" s="1156">
        <f t="shared" si="8"/>
        <v>97338.713039475551</v>
      </c>
      <c r="AO29" s="1156">
        <f t="shared" si="8"/>
        <v>98317.891300035175</v>
      </c>
      <c r="AP29" s="1156">
        <f t="shared" si="8"/>
        <v>99373.864397242927</v>
      </c>
      <c r="AQ29" s="1156">
        <f t="shared" si="8"/>
        <v>100115.73916555985</v>
      </c>
      <c r="AR29" s="1156">
        <f t="shared" si="8"/>
        <v>100916.72755176289</v>
      </c>
      <c r="AS29" s="1156">
        <f t="shared" si="8"/>
        <v>101726.26978105988</v>
      </c>
      <c r="AT29" s="1156">
        <f t="shared" si="8"/>
        <v>102552.47302964158</v>
      </c>
      <c r="AU29" s="1156">
        <f t="shared" si="8"/>
        <v>103395.45951175672</v>
      </c>
      <c r="AV29" s="1156">
        <f t="shared" si="8"/>
        <v>104248.81775781629</v>
      </c>
      <c r="AW29" s="1156">
        <f t="shared" si="8"/>
        <v>105107.1736661036</v>
      </c>
      <c r="AX29" s="1156">
        <f t="shared" si="8"/>
        <v>105974.27594719632</v>
      </c>
      <c r="AY29" s="1156">
        <f t="shared" si="8"/>
        <v>107434.16996066834</v>
      </c>
      <c r="AZ29" s="1156">
        <f t="shared" si="8"/>
        <v>108302.23582664673</v>
      </c>
      <c r="BA29" s="1156">
        <f t="shared" si="8"/>
        <v>109165.46956354921</v>
      </c>
      <c r="BB29" s="1156">
        <f t="shared" si="8"/>
        <v>110029.58479849485</v>
      </c>
      <c r="BC29" s="1156">
        <f t="shared" si="8"/>
        <v>110876.00911607253</v>
      </c>
      <c r="BD29" s="1156">
        <f t="shared" si="8"/>
        <v>111727.25570058275</v>
      </c>
      <c r="BE29" s="1156">
        <f t="shared" si="8"/>
        <v>112586.8836272179</v>
      </c>
      <c r="BF29" s="1156">
        <f t="shared" si="8"/>
        <v>113449.90471569869</v>
      </c>
      <c r="BG29" s="1156">
        <f t="shared" si="8"/>
        <v>114316.35719337592</v>
      </c>
      <c r="BH29" s="1156">
        <f t="shared" si="8"/>
        <v>115184.87168008614</v>
      </c>
      <c r="BI29" s="1156">
        <f t="shared" si="8"/>
        <v>116054.80918711347</v>
      </c>
      <c r="BJ29" s="1156">
        <f t="shared" si="8"/>
        <v>116925.82413203928</v>
      </c>
      <c r="BK29" s="1156">
        <f t="shared" si="8"/>
        <v>118404.25674761117</v>
      </c>
      <c r="BL29" s="1156">
        <f t="shared" si="8"/>
        <v>119276.04340031817</v>
      </c>
      <c r="BM29" s="1156">
        <f t="shared" si="8"/>
        <v>120148.18046208573</v>
      </c>
      <c r="BN29" s="1156">
        <f t="shared" si="8"/>
        <v>121021.576723946</v>
      </c>
      <c r="BO29" s="1156">
        <f t="shared" ref="BO29:BV29" si="9">SUM(BO17:BO28,BO14)</f>
        <v>121896.77768184703</v>
      </c>
      <c r="BP29" s="1156">
        <f t="shared" si="9"/>
        <v>122774.32178932911</v>
      </c>
      <c r="BQ29" s="1156">
        <f t="shared" si="9"/>
        <v>123654.2986408716</v>
      </c>
      <c r="BR29" s="1156">
        <f t="shared" si="9"/>
        <v>124536.62800990617</v>
      </c>
      <c r="BS29" s="1156">
        <f t="shared" si="9"/>
        <v>125420.79505626536</v>
      </c>
      <c r="BT29" s="1156">
        <f t="shared" si="9"/>
        <v>126306.82269112823</v>
      </c>
      <c r="BU29" s="1156">
        <f t="shared" si="9"/>
        <v>127194.67954974198</v>
      </c>
      <c r="BV29" s="1156">
        <f t="shared" si="9"/>
        <v>128084.42958443919</v>
      </c>
    </row>
    <row r="30" spans="2:74" x14ac:dyDescent="0.25">
      <c r="B30" s="852"/>
      <c r="C30" s="1166"/>
      <c r="D30" s="1166"/>
      <c r="E30" s="1166"/>
      <c r="F30" s="1166"/>
      <c r="G30" s="1166"/>
      <c r="H30" s="1166"/>
      <c r="I30" s="1166"/>
      <c r="J30" s="1166"/>
      <c r="K30" s="1166"/>
      <c r="L30" s="1166"/>
      <c r="M30" s="1166"/>
      <c r="N30" s="1166"/>
      <c r="O30" s="1166"/>
      <c r="P30" s="1166"/>
      <c r="Q30" s="1166"/>
      <c r="R30" s="1166"/>
      <c r="S30" s="1166"/>
      <c r="T30" s="1166"/>
      <c r="U30" s="1166"/>
      <c r="V30" s="1166"/>
      <c r="W30" s="1166"/>
      <c r="X30" s="1166"/>
      <c r="Y30" s="1166"/>
      <c r="Z30" s="1166"/>
      <c r="AA30" s="1166"/>
      <c r="AB30" s="1166"/>
      <c r="AC30" s="1166"/>
      <c r="AD30" s="1166"/>
      <c r="AE30" s="1166"/>
      <c r="AF30" s="1166"/>
      <c r="AG30" s="1166"/>
      <c r="AH30" s="1166"/>
      <c r="AI30" s="1166"/>
      <c r="AJ30" s="1166"/>
      <c r="AK30" s="1166"/>
      <c r="AL30" s="1166"/>
      <c r="AM30" s="1166"/>
      <c r="AN30" s="1166"/>
      <c r="AO30" s="1166"/>
      <c r="AP30" s="1166"/>
      <c r="AQ30" s="1166"/>
      <c r="AR30" s="1166"/>
      <c r="AS30" s="1166"/>
      <c r="AT30" s="1166"/>
      <c r="AU30" s="1166"/>
      <c r="AV30" s="1166"/>
      <c r="AW30" s="1166"/>
      <c r="AX30" s="1166"/>
      <c r="AY30" s="1166"/>
      <c r="AZ30" s="1166"/>
      <c r="BA30" s="1166"/>
      <c r="BB30" s="1166"/>
      <c r="BC30" s="1166"/>
      <c r="BD30" s="1166"/>
      <c r="BE30" s="1166"/>
      <c r="BF30" s="1166"/>
      <c r="BG30" s="1166"/>
      <c r="BH30" s="1166"/>
      <c r="BI30" s="1166"/>
      <c r="BJ30" s="1166"/>
      <c r="BK30" s="1166"/>
      <c r="BL30" s="1166"/>
      <c r="BM30" s="1166"/>
      <c r="BN30" s="1166"/>
      <c r="BO30" s="1166"/>
      <c r="BP30" s="1166"/>
      <c r="BQ30" s="1166"/>
      <c r="BR30" s="1166"/>
      <c r="BS30" s="1166"/>
      <c r="BT30" s="1166"/>
      <c r="BU30" s="1166"/>
      <c r="BV30" s="853"/>
    </row>
    <row r="31" spans="2:74" x14ac:dyDescent="0.25">
      <c r="B31" s="785" t="s">
        <v>938</v>
      </c>
      <c r="C31" s="786"/>
      <c r="D31" s="786"/>
      <c r="E31" s="786"/>
      <c r="F31" s="786"/>
      <c r="G31" s="786"/>
      <c r="H31" s="786"/>
      <c r="I31" s="786"/>
      <c r="J31" s="786"/>
      <c r="K31" s="786"/>
      <c r="L31" s="786"/>
      <c r="M31" s="786"/>
      <c r="N31" s="786"/>
      <c r="O31" s="787"/>
      <c r="P31" s="787"/>
      <c r="Q31" s="787"/>
      <c r="R31" s="787"/>
      <c r="S31" s="787"/>
      <c r="T31" s="787"/>
      <c r="U31" s="787"/>
      <c r="V31" s="787"/>
      <c r="W31" s="787"/>
      <c r="X31" s="787"/>
      <c r="Y31" s="787"/>
      <c r="Z31" s="787"/>
      <c r="AA31" s="787"/>
      <c r="AB31" s="787"/>
      <c r="AC31" s="787"/>
      <c r="AD31" s="787"/>
      <c r="AE31" s="787"/>
      <c r="AF31" s="787"/>
      <c r="AG31" s="787"/>
      <c r="AH31" s="787"/>
      <c r="AI31" s="787"/>
      <c r="AJ31" s="787"/>
      <c r="AK31" s="787"/>
      <c r="AL31" s="787"/>
      <c r="AM31" s="787"/>
      <c r="AN31" s="787"/>
      <c r="AO31" s="787"/>
      <c r="AP31" s="787"/>
      <c r="AQ31" s="787"/>
      <c r="AR31" s="787"/>
      <c r="AS31" s="787"/>
      <c r="AT31" s="787"/>
      <c r="AU31" s="787"/>
      <c r="AV31" s="787"/>
      <c r="AW31" s="787"/>
      <c r="AX31" s="787"/>
      <c r="AY31" s="787"/>
      <c r="AZ31" s="787"/>
      <c r="BA31" s="787"/>
      <c r="BB31" s="787"/>
      <c r="BC31" s="787"/>
      <c r="BD31" s="787"/>
      <c r="BE31" s="787"/>
      <c r="BF31" s="787"/>
      <c r="BG31" s="787"/>
      <c r="BH31" s="787"/>
      <c r="BI31" s="787"/>
      <c r="BJ31" s="787"/>
      <c r="BK31" s="787"/>
      <c r="BL31" s="787"/>
      <c r="BM31" s="787"/>
      <c r="BN31" s="787"/>
      <c r="BO31" s="787"/>
      <c r="BP31" s="787"/>
      <c r="BQ31" s="787"/>
      <c r="BR31" s="787"/>
      <c r="BS31" s="787"/>
      <c r="BT31" s="787"/>
      <c r="BU31" s="787"/>
      <c r="BV31" s="788"/>
    </row>
    <row r="32" spans="2:74" x14ac:dyDescent="0.25">
      <c r="B32" s="793" t="s">
        <v>939</v>
      </c>
      <c r="C32" s="668">
        <f>IF(C$4="forecast",(AVERAGE(#REF!)),SUMIF('Dept. Cost Actuals'!$E$7:$E$176,"*Professional Fees*",'Dept. Cost Actuals'!G$877:G$1046))</f>
        <v>0</v>
      </c>
      <c r="D32" s="668">
        <f>IF(D$4="forecast",(AVERAGE(#REF!)),SUMIF('Dept. Cost Actuals'!$E$7:$E$176,"*Professional Fees*",'Dept. Cost Actuals'!H$877:H$1046))</f>
        <v>55.832921453055825</v>
      </c>
      <c r="E32" s="668">
        <f>IF(E$4="forecast",(AVERAGE(#REF!)),SUMIF('Dept. Cost Actuals'!$E$7:$E$176,"*Professional Fees*",'Dept. Cost Actuals'!I$877:I$1046))</f>
        <v>0</v>
      </c>
      <c r="F32" s="668">
        <f>IF(F$4="forecast",(AVERAGE(#REF!)),SUMIF('Dept. Cost Actuals'!$E$7:$E$176,"*Professional Fees*",'Dept. Cost Actuals'!J$877:J$1046))</f>
        <v>103.44283361308359</v>
      </c>
      <c r="G32" s="668">
        <f>IF(G$4="forecast",(AVERAGE(#REF!)),SUMIF('Dept. Cost Actuals'!$E$7:$E$176,"*Professional Fees*",'Dept. Cost Actuals'!K$877:K$1046))</f>
        <v>101.80178770555302</v>
      </c>
      <c r="H32" s="668">
        <f>IF(H$4="forecast",(AVERAGE(#REF!)),SUMIF('Dept. Cost Actuals'!$E$7:$E$176,"*Professional Fees*",'Dept. Cost Actuals'!L$877:L$1046))</f>
        <v>1130.4627970036445</v>
      </c>
      <c r="I32" s="668">
        <f>IF(I$4="forecast",(AVERAGE(#REF!)),SUMIF('Dept. Cost Actuals'!$E$7:$E$176,"*Professional Fees*",'Dept. Cost Actuals'!M$877:M$1046))</f>
        <v>2297.2124127527545</v>
      </c>
      <c r="J32" s="668">
        <f>IF(J$4="forecast",(AVERAGE(#REF!)),SUMIF('Dept. Cost Actuals'!$E$7:$E$176,"*Professional Fees*",'Dept. Cost Actuals'!N$877:N$1046))</f>
        <v>2044.2670118808787</v>
      </c>
      <c r="K32" s="668">
        <f>IF(K$4="forecast",(AVERAGE(#REF!)),SUMIF('Dept. Cost Actuals'!$E$7:$E$176,"*Professional Fees*",'Dept. Cost Actuals'!O$877:O$1046))</f>
        <v>2679.5086837734311</v>
      </c>
      <c r="L32" s="668">
        <f>IF(L$4="forecast",(AVERAGE(#REF!)),SUMIF('Dept. Cost Actuals'!$E$7:$E$176,"*Professional Fees*",'Dept. Cost Actuals'!P$877:P$1046))</f>
        <v>745.96813139671644</v>
      </c>
      <c r="M32" s="668">
        <f>IF(M$4="forecast",(AVERAGE(A32:L32)),SUMIF('Dept. Cost Actuals'!$E$7:$E$176,"*Professional Fees*",'Dept. Cost Actuals'!Q$877:Q$1046))</f>
        <v>3026.0501909467307</v>
      </c>
      <c r="N32" s="668">
        <f>IF(N$4="forecast",(AVERAGE(B32:M32)),SUMIF('Dept. Cost Actuals'!$E$7:$E$176,"*Professional Fees*",'Dept. Cost Actuals'!R$877:R$1046))</f>
        <v>692.86714036847081</v>
      </c>
      <c r="O32" s="668">
        <f>IF(O$4="forecast",(AVERAGE(C32:N32)),SUMIF('Dept. Cost Actuals'!$E$7:$E$176,"*Professional Fees*",'Dept. Cost Actuals'!S$877:S$1046))</f>
        <v>0</v>
      </c>
      <c r="P32" s="668">
        <f>IF(P$4="forecast",(AVERAGE(D32:O32)),SUMIF('Dept. Cost Actuals'!$E$7:$E$176,"*Professional Fees*",'Dept. Cost Actuals'!T$877:T$1046))</f>
        <v>0</v>
      </c>
      <c r="Q32" s="668">
        <f>IF(Q$4="forecast",(AVERAGE(E32:P32)),SUMIF('Dept. Cost Actuals'!$E$7:$E$176,"*Professional Fees*",'Dept. Cost Actuals'!U$877:U$1046))</f>
        <v>0</v>
      </c>
      <c r="R32" s="668">
        <f>IF(R$4="forecast",(AVERAGE(F32:Q32)),SUMIF('Dept. Cost Actuals'!$E$7:$E$176,"*Professional Fees*",'Dept. Cost Actuals'!V$877:V$1046))</f>
        <v>0</v>
      </c>
      <c r="S32" s="668">
        <f>IF(S$4="forecast",(AVERAGE(G32:R32)),SUMIF('Dept. Cost Actuals'!$E$7:$E$176,"*Professional Fees*",'Dept. Cost Actuals'!W$877:W$1046))</f>
        <v>0</v>
      </c>
      <c r="T32" s="668">
        <f>IF(T$4="forecast",(AVERAGE(H32:S32)),SUMIF('Dept. Cost Actuals'!$E$7:$E$176,"*Professional Fees*",'Dept. Cost Actuals'!X$877:X$1046))</f>
        <v>0</v>
      </c>
      <c r="U32" s="668">
        <f>IF(U$4="forecast",(AVERAGE(I32:T32)),SUMIF('Dept. Cost Actuals'!$E$7:$E$176,"*Professional Fees*",'Dept. Cost Actuals'!Y$877:Y$1046))</f>
        <v>0</v>
      </c>
      <c r="V32" s="668">
        <f>IF(V$4="forecast",(AVERAGE(J32:U32)),SUMIF('Dept. Cost Actuals'!$E$7:$E$176,"*Professional Fees*",'Dept. Cost Actuals'!Z$877:Z$1046))</f>
        <v>0</v>
      </c>
      <c r="W32" s="668">
        <f>IF(W$4="forecast",(AVERAGE(K32:V32)),SUMIF('Dept. Cost Actuals'!$E$7:$E$176,"*Professional Fees*",'Dept. Cost Actuals'!AA$877:AA$1046))</f>
        <v>0</v>
      </c>
      <c r="X32" s="668">
        <f>IF(X$4="forecast",(AVERAGE(L32:W32)),SUMIF('Dept. Cost Actuals'!$E$7:$E$176,"*Professional Fees*",'Dept. Cost Actuals'!AB$877:AB$1046))</f>
        <v>0</v>
      </c>
      <c r="Y32" s="668">
        <f>IF(Y$4="forecast",(AVERAGE(M32:X32)),SUMIF('Dept. Cost Actuals'!$E$7:$E$176,"*Professional Fees*",'Dept. Cost Actuals'!AC$877:AC$1046))</f>
        <v>11937.5</v>
      </c>
      <c r="Z32" s="668">
        <f>IF(Z$4="forecast",(AVERAGE(N32:Y32)),SUMIF('Dept. Cost Actuals'!$E$7:$E$176,"*Professional Fees*",'Dept. Cost Actuals'!AD$877:AD$1046))</f>
        <v>11564</v>
      </c>
      <c r="AA32" s="668">
        <f>IF(AA$4="forecast",(AVERAGE(O32:Z32)),SUMIF('Dept. Cost Actuals'!$E$7:$E$176,"*Professional Fees*",'Dept. Cost Actuals'!AE$877:AE$1046))</f>
        <v>0</v>
      </c>
      <c r="AB32" s="668">
        <f>IF(AB$4="forecast",(AVERAGE(P32:AA32)),SUMIF('Dept. Cost Actuals'!$E$7:$E$176,"*Professional Fees*",'Dept. Cost Actuals'!AF$877:AF$1046))</f>
        <v>6814.5</v>
      </c>
      <c r="AC32" s="668">
        <f>IF(AC$4="forecast",(AVERAGE(Q32:AB32)),SUMIF('Dept. Cost Actuals'!$E$7:$E$176,"*Professional Fees*",'Dept. Cost Actuals'!AG$877:AG$1046))</f>
        <v>0</v>
      </c>
      <c r="AD32" s="668">
        <f>IF(AD$4="forecast",(AVERAGE(R32:AC32)),SUMIF('Dept. Cost Actuals'!$E$7:$E$176,"*Professional Fees*",'Dept. Cost Actuals'!AH$877:AH$1046))</f>
        <v>2526.3333333333335</v>
      </c>
      <c r="AE32" s="668">
        <f>IF(AE$4="forecast",(AVERAGE(S32:AD32)),SUMIF('Dept. Cost Actuals'!$E$7:$E$176,"*Professional Fees*",'Dept. Cost Actuals'!AI$877:AI$1046))</f>
        <v>2736.8611111111113</v>
      </c>
      <c r="AF32" s="668">
        <f>IF(AF$4="forecast",(AVERAGE(T32:AE32)),SUMIF('Dept. Cost Actuals'!$E$7:$E$176,"*Professional Fees*",'Dept. Cost Actuals'!AJ$877:AJ$1046))</f>
        <v>2964.9328703703704</v>
      </c>
      <c r="AG32" s="668">
        <f>IF(AG$4="forecast",(AVERAGE(U32:AF32)),SUMIF('Dept. Cost Actuals'!$E$7:$E$176,"*Professional Fees*",'Dept. Cost Actuals'!AK$877:AK$1046))</f>
        <v>3212.0106095679016</v>
      </c>
      <c r="AH32" s="668">
        <f>IF(AH$4="forecast",(AVERAGE(V32:AG32)),SUMIF('Dept. Cost Actuals'!$E$7:$E$176,"*Professional Fees*",'Dept. Cost Actuals'!AL$877:AL$1046))</f>
        <v>3479.6781603652266</v>
      </c>
      <c r="AI32" s="668">
        <f>IF(AI$4="forecast",(AVERAGE(W32:AH32)),SUMIF('Dept. Cost Actuals'!$E$7:$E$176,"*Professional Fees*",'Dept. Cost Actuals'!AM$877:AM$1046))</f>
        <v>3769.6513403956619</v>
      </c>
      <c r="AJ32" s="668">
        <f>IF(AJ$4="forecast",(AVERAGE(X32:AI32)),SUMIF('Dept. Cost Actuals'!$E$7:$E$176,"*Professional Fees*",'Dept. Cost Actuals'!AN$877:AN$1046))</f>
        <v>4083.7889520953008</v>
      </c>
      <c r="AK32" s="668">
        <f>IF(AK$4="forecast",(AVERAGE(Y32:AJ32)),SUMIF('Dept. Cost Actuals'!$E$7:$E$176,"*Professional Fees*",'Dept. Cost Actuals'!AO$877:AO$1046))</f>
        <v>4424.1046981032423</v>
      </c>
      <c r="AL32" s="668">
        <f>IF(AL$4="forecast",(AVERAGE(Z32:AK32)),SUMIF('Dept. Cost Actuals'!$E$7:$E$176,"*Professional Fees*",'Dept. Cost Actuals'!AP$877:AP$1046))</f>
        <v>3797.9884229451795</v>
      </c>
      <c r="AM32" s="668">
        <f>IF(AM$4="forecast",(AVERAGE(AA32:AL32)),SUMIF('Dept. Cost Actuals'!$E$7:$E$176,"*Professional Fees*",'Dept. Cost Actuals'!AQ$877:AQ$1046))</f>
        <v>3150.8207915239441</v>
      </c>
      <c r="AN32" s="668">
        <f>IF(AN$4="forecast",(AVERAGE(AB32:AM32)),SUMIF('Dept. Cost Actuals'!$E$7:$E$176,"*Professional Fees*",'Dept. Cost Actuals'!AR$877:AR$1046))</f>
        <v>3413.3891908176065</v>
      </c>
      <c r="AO32" s="668">
        <f>IF(AO$4="forecast",(AVERAGE(AC32:AN32)),SUMIF('Dept. Cost Actuals'!$E$7:$E$176,"*Professional Fees*",'Dept. Cost Actuals'!AS$877:AS$1046))</f>
        <v>3129.9632900524066</v>
      </c>
      <c r="AP32" s="668">
        <f>IF(AP$4="forecast",(AVERAGE(AD32:AO32)),SUMIF('Dept. Cost Actuals'!$E$7:$E$176,"*Professional Fees*",'Dept. Cost Actuals'!AT$877:AT$1046))</f>
        <v>3390.7935642234406</v>
      </c>
      <c r="AQ32" s="668">
        <f>IF(AQ$4="forecast",(AVERAGE(AE32:AP32)),SUMIF('Dept. Cost Actuals'!$E$7:$E$176,"*Professional Fees*",'Dept. Cost Actuals'!AU$877:AU$1046))</f>
        <v>3462.8319167976165</v>
      </c>
      <c r="AR32" s="668">
        <f>IF(AR$4="forecast",(AVERAGE(AF32:AQ32)),SUMIF('Dept. Cost Actuals'!$E$7:$E$176,"*Professional Fees*",'Dept. Cost Actuals'!AV$877:AV$1046))</f>
        <v>3523.3294839381583</v>
      </c>
      <c r="AS32" s="668">
        <f>IF(AS$4="forecast",(AVERAGE(AG32:AR32)),SUMIF('Dept. Cost Actuals'!$E$7:$E$176,"*Professional Fees*",'Dept. Cost Actuals'!AW$877:AW$1046))</f>
        <v>3569.8625350688067</v>
      </c>
      <c r="AT32" s="668">
        <f>IF(AT$4="forecast",(AVERAGE(AH32:AS32)),SUMIF('Dept. Cost Actuals'!$E$7:$E$176,"*Professional Fees*",'Dept. Cost Actuals'!AX$877:AX$1046))</f>
        <v>3599.6835288605494</v>
      </c>
      <c r="AU32" s="668">
        <f>IF(AU$4="forecast",(AVERAGE(AI32:AT32)),SUMIF('Dept. Cost Actuals'!$E$7:$E$176,"*Professional Fees*",'Dept. Cost Actuals'!AY$877:AY$1046))</f>
        <v>3609.6839762351597</v>
      </c>
      <c r="AV32" s="668">
        <f>IF(AV$4="forecast",(AVERAGE(AJ32:AU32)),SUMIF('Dept. Cost Actuals'!$E$7:$E$176,"*Professional Fees*",'Dept. Cost Actuals'!AZ$877:AZ$1046))</f>
        <v>3596.3533625551177</v>
      </c>
      <c r="AW32" s="668">
        <f>IF(AW$4="forecast",(AVERAGE(AK32:AV32)),SUMIF('Dept. Cost Actuals'!$E$7:$E$176,"*Professional Fees*",'Dept. Cost Actuals'!BA$877:BA$1046))</f>
        <v>3555.7337300934355</v>
      </c>
      <c r="AX32" s="668">
        <f>IF(AX$4="forecast",(AVERAGE(AL32:AW32)),SUMIF('Dept. Cost Actuals'!$E$7:$E$176,"*Professional Fees*",'Dept. Cost Actuals'!BB$877:BB$1046))</f>
        <v>3483.3694827592858</v>
      </c>
      <c r="AY32" s="668">
        <f>IF(AY$4="forecast",(AVERAGE(AM32:AX32)),SUMIF('Dept. Cost Actuals'!$E$7:$E$176,"*Professional Fees*",'Dept. Cost Actuals'!BC$877:BC$1046))</f>
        <v>3457.1512377437939</v>
      </c>
      <c r="AZ32" s="668">
        <f>IF(AZ$4="forecast",(AVERAGE(AN32:AY32)),SUMIF('Dept. Cost Actuals'!$E$7:$E$176,"*Professional Fees*",'Dept. Cost Actuals'!BD$877:BD$1046))</f>
        <v>3482.678774928781</v>
      </c>
      <c r="BA32" s="668">
        <f>IF(BA$4="forecast",(AVERAGE(AO32:AZ32)),SUMIF('Dept. Cost Actuals'!$E$7:$E$176,"*Professional Fees*",'Dept. Cost Actuals'!BE$877:BE$1046))</f>
        <v>3488.452906938046</v>
      </c>
      <c r="BB32" s="668">
        <f>IF(BB$4="forecast",(AVERAGE(AP32:BA32)),SUMIF('Dept. Cost Actuals'!$E$7:$E$176,"*Professional Fees*",'Dept. Cost Actuals'!BF$877:BF$1046))</f>
        <v>3518.3270416785158</v>
      </c>
      <c r="BC32" s="668">
        <f>IF(BC$4="forecast",(AVERAGE(AQ32:BB32)),SUMIF('Dept. Cost Actuals'!$E$7:$E$176,"*Professional Fees*",'Dept. Cost Actuals'!BG$877:BG$1046))</f>
        <v>3528.9548314664385</v>
      </c>
      <c r="BD32" s="668">
        <f>IF(BD$4="forecast",(AVERAGE(AR32:BC32)),SUMIF('Dept. Cost Actuals'!$E$7:$E$176,"*Professional Fees*",'Dept. Cost Actuals'!BH$877:BH$1046))</f>
        <v>3534.4650743555067</v>
      </c>
      <c r="BE32" s="668">
        <f>IF(BE$4="forecast",(AVERAGE(AS32:BD32)),SUMIF('Dept. Cost Actuals'!$E$7:$E$176,"*Professional Fees*",'Dept. Cost Actuals'!BI$877:BI$1046))</f>
        <v>3535.3930402236197</v>
      </c>
      <c r="BF32" s="668">
        <f>IF(BF$4="forecast",(AVERAGE(AT32:BE32)),SUMIF('Dept. Cost Actuals'!$E$7:$E$176,"*Professional Fees*",'Dept. Cost Actuals'!BJ$877:BJ$1046))</f>
        <v>3532.5205823198539</v>
      </c>
      <c r="BG32" s="668">
        <f>IF(BG$4="forecast",(AVERAGE(AU32:BF32)),SUMIF('Dept. Cost Actuals'!$E$7:$E$176,"*Professional Fees*",'Dept. Cost Actuals'!BK$877:BK$1046))</f>
        <v>3526.92367010813</v>
      </c>
      <c r="BH32" s="668">
        <f>IF(BH$4="forecast",(AVERAGE(AV32:BG32)),SUMIF('Dept. Cost Actuals'!$E$7:$E$176,"*Professional Fees*",'Dept. Cost Actuals'!BL$877:BL$1046))</f>
        <v>3520.0269779308778</v>
      </c>
      <c r="BI32" s="668">
        <f>IF(BI$4="forecast",(AVERAGE(AW32:BH32)),SUMIF('Dept. Cost Actuals'!$E$7:$E$176,"*Professional Fees*",'Dept. Cost Actuals'!BM$877:BM$1046))</f>
        <v>3513.6664458788578</v>
      </c>
      <c r="BJ32" s="668">
        <f>IF(BJ$4="forecast",(AVERAGE(AX32:BI32)),SUMIF('Dept. Cost Actuals'!$E$7:$E$176,"*Professional Fees*",'Dept. Cost Actuals'!BN$877:BN$1046))</f>
        <v>3510.1608388609761</v>
      </c>
      <c r="BK32" s="668">
        <f>IF(BK$4="forecast",(AVERAGE(AY32:BJ32)),SUMIF('Dept. Cost Actuals'!$E$7:$E$176,"*Professional Fees*",'Dept. Cost Actuals'!BO$877:BO$1046))</f>
        <v>3512.39345186945</v>
      </c>
      <c r="BL32" s="668">
        <f>IF(BL$4="forecast",(AVERAGE(AZ32:BK32)),SUMIF('Dept. Cost Actuals'!$E$7:$E$176,"*Professional Fees*",'Dept. Cost Actuals'!BP$877:BP$1046))</f>
        <v>3516.9969697132542</v>
      </c>
      <c r="BM32" s="668">
        <f>IF(BM$4="forecast",(AVERAGE(BA32:BL32)),SUMIF('Dept. Cost Actuals'!$E$7:$E$176,"*Professional Fees*",'Dept. Cost Actuals'!BQ$877:BQ$1046))</f>
        <v>3519.8568192786279</v>
      </c>
      <c r="BN32" s="668">
        <f>IF(BN$4="forecast",(AVERAGE(BB32:BM32)),SUMIF('Dept. Cost Actuals'!$E$7:$E$176,"*Professional Fees*",'Dept. Cost Actuals'!BR$877:BR$1046))</f>
        <v>3522.4738119736753</v>
      </c>
      <c r="BO32" s="668">
        <f>IF(BO$4="forecast",(AVERAGE(BC32:BN32)),SUMIF('Dept. Cost Actuals'!$E$7:$E$176,"*Professional Fees*",'Dept. Cost Actuals'!BS$877:BS$1046))</f>
        <v>3522.8193761649381</v>
      </c>
      <c r="BP32" s="668">
        <f>IF(BP$4="forecast",(AVERAGE(BD32:BO32)),SUMIF('Dept. Cost Actuals'!$E$7:$E$176,"*Professional Fees*",'Dept. Cost Actuals'!BT$877:BT$1046))</f>
        <v>3522.3080882231475</v>
      </c>
      <c r="BQ32" s="668">
        <f>IF(BQ$4="forecast",(AVERAGE(BE32:BP32)),SUMIF('Dept. Cost Actuals'!$E$7:$E$176,"*Professional Fees*",'Dept. Cost Actuals'!BU$877:BU$1046))</f>
        <v>3521.29500604545</v>
      </c>
      <c r="BR32" s="668">
        <f>IF(BR$4="forecast",(AVERAGE(BF32:BQ32)),SUMIF('Dept. Cost Actuals'!$E$7:$E$176,"*Professional Fees*",'Dept. Cost Actuals'!BV$877:BV$1046))</f>
        <v>3520.1201698639375</v>
      </c>
      <c r="BS32" s="668">
        <f>IF(BS$4="forecast",(AVERAGE(BG32:BR32)),SUMIF('Dept. Cost Actuals'!$E$7:$E$176,"*Professional Fees*",'Dept. Cost Actuals'!BW$877:BW$1046))</f>
        <v>3519.0868021592773</v>
      </c>
      <c r="BT32" s="668">
        <f>IF(BT$4="forecast",(AVERAGE(BH32:BS32)),SUMIF('Dept. Cost Actuals'!$E$7:$E$176,"*Professional Fees*",'Dept. Cost Actuals'!BX$877:BX$1046))</f>
        <v>3518.4337298302057</v>
      </c>
      <c r="BU32" s="668">
        <f>IF(BU$4="forecast",(AVERAGE(BI32:BT32)),SUMIF('Dept. Cost Actuals'!$E$7:$E$176,"*Professional Fees*",'Dept. Cost Actuals'!BY$877:BY$1046))</f>
        <v>3518.3009591551495</v>
      </c>
      <c r="BV32" s="668">
        <f>IF(BV$4="forecast",(AVERAGE(BJ32:BU32)),SUMIF('Dept. Cost Actuals'!$E$7:$E$176,"*Professional Fees*",'Dept. Cost Actuals'!BZ$877:BZ$1046))</f>
        <v>3518.6871685948408</v>
      </c>
    </row>
    <row r="33" spans="2:74" x14ac:dyDescent="0.25">
      <c r="B33" s="794" t="s">
        <v>919</v>
      </c>
      <c r="C33" s="668">
        <f>IF(C$4="forecast",AVERAGE(#REF!),SUMIF('Dept. Cost Actuals'!$E$7:$E$176,"*Conferences*",'Dept. Cost Actuals'!G$877:G$1046))</f>
        <v>0</v>
      </c>
      <c r="D33" s="668">
        <f>IF(D$4="forecast",AVERAGE(#REF!),SUMIF('Dept. Cost Actuals'!$E$7:$E$176,"*Conferences*",'Dept. Cost Actuals'!H$877:H$1046))</f>
        <v>0</v>
      </c>
      <c r="E33" s="668">
        <f>IF(E$4="forecast",AVERAGE(#REF!),SUMIF('Dept. Cost Actuals'!$E$7:$E$176,"*Conferences*",'Dept. Cost Actuals'!I$877:I$1046))</f>
        <v>0</v>
      </c>
      <c r="F33" s="668">
        <f>IF(F$4="forecast",AVERAGE(#REF!),SUMIF('Dept. Cost Actuals'!$E$7:$E$176,"*Conferences*",'Dept. Cost Actuals'!J$877:J$1046))</f>
        <v>0</v>
      </c>
      <c r="G33" s="668">
        <f>IF(G$4="forecast",AVERAGE(#REF!),SUMIF('Dept. Cost Actuals'!$E$7:$E$176,"*Conferences*",'Dept. Cost Actuals'!K$877:K$1046))</f>
        <v>0</v>
      </c>
      <c r="H33" s="668">
        <f>IF(H$4="forecast",AVERAGE(#REF!),SUMIF('Dept. Cost Actuals'!$E$7:$E$176,"*Conferences*",'Dept. Cost Actuals'!L$877:L$1046))</f>
        <v>0</v>
      </c>
      <c r="I33" s="668">
        <f>IF(I$4="forecast",AVERAGE(#REF!),SUMIF('Dept. Cost Actuals'!$E$7:$E$176,"*Conferences*",'Dept. Cost Actuals'!M$877:M$1046))</f>
        <v>107.47555061026705</v>
      </c>
      <c r="J33" s="668">
        <f>IF(J$4="forecast",AVERAGE(#REF!),SUMIF('Dept. Cost Actuals'!$E$7:$E$176,"*Conferences*",'Dept. Cost Actuals'!N$877:N$1046))</f>
        <v>0</v>
      </c>
      <c r="K33" s="668">
        <f>IF(K$4="forecast",AVERAGE(#REF!),SUMIF('Dept. Cost Actuals'!$E$7:$E$176,"*Conferences*",'Dept. Cost Actuals'!O$877:O$1046))</f>
        <v>68.824470141229853</v>
      </c>
      <c r="L33" s="668">
        <f>IF(L$4="forecast",AVERAGE(#REF!),SUMIF('Dept. Cost Actuals'!$E$7:$E$176,"*Conferences*",'Dept. Cost Actuals'!P$877:P$1046))</f>
        <v>60.615675753840229</v>
      </c>
      <c r="M33" s="668">
        <f>IF(M$4="forecast",AVERAGE(A33:L33),SUMIF('Dept. Cost Actuals'!$E$7:$E$176,"*Conferences*",'Dept. Cost Actuals'!Q$877:Q$1046))</f>
        <v>0</v>
      </c>
      <c r="N33" s="668">
        <f>IF(N$4="forecast",AVERAGE(B33:M33),SUMIF('Dept. Cost Actuals'!$E$7:$E$176,"*Conferences*",'Dept. Cost Actuals'!R$877:R$1046))</f>
        <v>0</v>
      </c>
      <c r="O33" s="668">
        <f>IF(O$4="forecast",AVERAGE(C33:N33),SUMIF('Dept. Cost Actuals'!$E$7:$E$176,"*Conferences*",'Dept. Cost Actuals'!S$877:S$1046))</f>
        <v>0</v>
      </c>
      <c r="P33" s="668">
        <f>IF(P$4="forecast",AVERAGE(D33:O33),SUMIF('Dept. Cost Actuals'!$E$7:$E$176,"*Conferences*",'Dept. Cost Actuals'!T$877:T$1046))</f>
        <v>500</v>
      </c>
      <c r="Q33" s="668">
        <f>IF(Q$4="forecast",AVERAGE(E33:P33),SUMIF('Dept. Cost Actuals'!$E$7:$E$176,"*Conferences*",'Dept. Cost Actuals'!U$877:U$1046))</f>
        <v>882</v>
      </c>
      <c r="R33" s="668">
        <f>IF(R$4="forecast",AVERAGE(F33:Q33),SUMIF('Dept. Cost Actuals'!$E$7:$E$176,"*Conferences*",'Dept. Cost Actuals'!V$877:V$1046))</f>
        <v>279</v>
      </c>
      <c r="S33" s="668">
        <f>IF(S$4="forecast",AVERAGE(G33:R33),SUMIF('Dept. Cost Actuals'!$E$7:$E$176,"*Conferences*",'Dept. Cost Actuals'!W$877:W$1046))</f>
        <v>0</v>
      </c>
      <c r="T33" s="668">
        <f>IF(T$4="forecast",AVERAGE(H33:S33),SUMIF('Dept. Cost Actuals'!$E$7:$E$176,"*Conferences*",'Dept. Cost Actuals'!X$877:X$1046))</f>
        <v>3250</v>
      </c>
      <c r="U33" s="668">
        <f>IF(U$4="forecast",AVERAGE(I33:T33),SUMIF('Dept. Cost Actuals'!$E$7:$E$176,"*Conferences*",'Dept. Cost Actuals'!Y$877:Y$1046))</f>
        <v>340</v>
      </c>
      <c r="V33" s="668">
        <f>IF(V$4="forecast",AVERAGE(J33:U33),SUMIF('Dept. Cost Actuals'!$E$7:$E$176,"*Conferences*",'Dept. Cost Actuals'!Z$877:Z$1046))</f>
        <v>-100</v>
      </c>
      <c r="W33" s="668">
        <f>IF(W$4="forecast",AVERAGE(K33:V33),SUMIF('Dept. Cost Actuals'!$E$7:$E$176,"*Conferences*",'Dept. Cost Actuals'!AA$877:AA$1046))</f>
        <v>0</v>
      </c>
      <c r="X33" s="668">
        <f>IF(X$4="forecast",AVERAGE(L33:W33),SUMIF('Dept. Cost Actuals'!$E$7:$E$176,"*Conferences*",'Dept. Cost Actuals'!AB$877:AB$1046))</f>
        <v>0</v>
      </c>
      <c r="Y33" s="668">
        <f>IF(Y$4="forecast",AVERAGE(M33:X33),SUMIF('Dept. Cost Actuals'!$E$7:$E$176,"*Conferences*",'Dept. Cost Actuals'!AC$877:AC$1046))</f>
        <v>525.17999999999995</v>
      </c>
      <c r="Z33" s="668">
        <f>IF(Z$4="forecast",AVERAGE(N33:Y33),SUMIF('Dept. Cost Actuals'!$E$7:$E$176,"*Conferences*",'Dept. Cost Actuals'!AD$877:AD$1046))</f>
        <v>480</v>
      </c>
      <c r="AA33" s="668">
        <f>IF(AA$4="forecast",AVERAGE(O33:Z33),SUMIF('Dept. Cost Actuals'!$E$7:$E$176,"*Conferences*",'Dept. Cost Actuals'!AE$877:AE$1046))</f>
        <v>0</v>
      </c>
      <c r="AB33" s="668">
        <f>IF(AB$4="forecast",AVERAGE(P33:AA33),SUMIF('Dept. Cost Actuals'!$E$7:$E$176,"*Conferences*",'Dept. Cost Actuals'!AF$877:AF$1046))</f>
        <v>45</v>
      </c>
      <c r="AC33" s="668">
        <f>IF(AC$4="forecast",AVERAGE(Q33:AB33),SUMIF('Dept. Cost Actuals'!$E$7:$E$176,"*Conferences*",'Dept. Cost Actuals'!AG$877:AG$1046))</f>
        <v>0</v>
      </c>
      <c r="AD33" s="668">
        <f>IF(AD$4="forecast",AVERAGE(R33:AC33),SUMIF('Dept. Cost Actuals'!$E$7:$E$176,"*Conferences*",'Dept. Cost Actuals'!AH$877:AH$1046))</f>
        <v>401.59833333333336</v>
      </c>
      <c r="AE33" s="668">
        <f>IF(AE$4="forecast",AVERAGE(S33:AD33),SUMIF('Dept. Cost Actuals'!$E$7:$E$176,"*Conferences*",'Dept. Cost Actuals'!AI$877:AI$1046))</f>
        <v>411.81486111111116</v>
      </c>
      <c r="AF33" s="668">
        <f>IF(AF$4="forecast",AVERAGE(T33:AE33),SUMIF('Dept. Cost Actuals'!$E$7:$E$176,"*Conferences*",'Dept. Cost Actuals'!AJ$877:AJ$1046))</f>
        <v>446.13276620370374</v>
      </c>
      <c r="AG33" s="668">
        <f>IF(AG$4="forecast",AVERAGE(U33:AF33),SUMIF('Dept. Cost Actuals'!$E$7:$E$176,"*Conferences*",'Dept. Cost Actuals'!AK$877:AK$1046))</f>
        <v>212.47716338734566</v>
      </c>
      <c r="AH33" s="668">
        <f>IF(AH$4="forecast",AVERAGE(V33:AG33),SUMIF('Dept. Cost Actuals'!$E$7:$E$176,"*Conferences*",'Dept. Cost Actuals'!AL$877:AL$1046))</f>
        <v>201.85026033629114</v>
      </c>
      <c r="AI33" s="668">
        <f>IF(AI$4="forecast",AVERAGE(W33:AH33),SUMIF('Dept. Cost Actuals'!$E$7:$E$176,"*Conferences*",'Dept. Cost Actuals'!AM$877:AM$1046))</f>
        <v>227.00444869764874</v>
      </c>
      <c r="AJ33" s="668">
        <f>IF(AJ$4="forecast",AVERAGE(X33:AI33),SUMIF('Dept. Cost Actuals'!$E$7:$E$176,"*Conferences*",'Dept. Cost Actuals'!AN$877:AN$1046))</f>
        <v>245.92148608911944</v>
      </c>
      <c r="AK33" s="668">
        <f>IF(AK$4="forecast",AVERAGE(Y33:AJ33),SUMIF('Dept. Cost Actuals'!$E$7:$E$176,"*Conferences*",'Dept. Cost Actuals'!AO$877:AO$1046))</f>
        <v>266.41494326321271</v>
      </c>
      <c r="AL33" s="668">
        <f>IF(AL$4="forecast",AVERAGE(Z33:AK33),SUMIF('Dept. Cost Actuals'!$E$7:$E$176,"*Conferences*",'Dept. Cost Actuals'!AP$877:AP$1046))</f>
        <v>244.85118853514714</v>
      </c>
      <c r="AM33" s="668">
        <f>IF(AM$4="forecast",AVERAGE(AA33:AL33),SUMIF('Dept. Cost Actuals'!$E$7:$E$176,"*Conferences*",'Dept. Cost Actuals'!AQ$877:AQ$1046))</f>
        <v>225.25545424640941</v>
      </c>
      <c r="AN33" s="668">
        <f>IF(AN$4="forecast",AVERAGE(AB33:AM33),SUMIF('Dept. Cost Actuals'!$E$7:$E$176,"*Conferences*",'Dept. Cost Actuals'!AR$877:AR$1046))</f>
        <v>244.02674210027689</v>
      </c>
      <c r="AO33" s="668">
        <f>IF(AO$4="forecast",AVERAGE(AC33:AN33),SUMIF('Dept. Cost Actuals'!$E$7:$E$176,"*Conferences*",'Dept. Cost Actuals'!AS$877:AS$1046))</f>
        <v>260.61230394196662</v>
      </c>
      <c r="AP33" s="668">
        <f>IF(AP$4="forecast",AVERAGE(AD33:AO33),SUMIF('Dept. Cost Actuals'!$E$7:$E$176,"*Conferences*",'Dept. Cost Actuals'!AT$877:AT$1046))</f>
        <v>282.32999593713049</v>
      </c>
      <c r="AQ33" s="668">
        <f>IF(AQ$4="forecast",AVERAGE(AE33:AP33),SUMIF('Dept. Cost Actuals'!$E$7:$E$176,"*Conferences*",'Dept. Cost Actuals'!AU$877:AU$1046))</f>
        <v>272.3909678207803</v>
      </c>
      <c r="AR33" s="668">
        <f>IF(AR$4="forecast",AVERAGE(AF33:AQ33),SUMIF('Dept. Cost Actuals'!$E$7:$E$176,"*Conferences*",'Dept. Cost Actuals'!AV$877:AV$1046))</f>
        <v>260.77231004658603</v>
      </c>
      <c r="AS33" s="668">
        <f>IF(AS$4="forecast",AVERAGE(AG33:AR33),SUMIF('Dept. Cost Actuals'!$E$7:$E$176,"*Conferences*",'Dept. Cost Actuals'!AW$877:AW$1046))</f>
        <v>245.32560536682624</v>
      </c>
      <c r="AT33" s="668">
        <f>IF(AT$4="forecast",AVERAGE(AH33:AS33),SUMIF('Dept. Cost Actuals'!$E$7:$E$176,"*Conferences*",'Dept. Cost Actuals'!AX$877:AX$1046))</f>
        <v>248.06297553178294</v>
      </c>
      <c r="AU33" s="668">
        <f>IF(AU$4="forecast",AVERAGE(AI33:AT33),SUMIF('Dept. Cost Actuals'!$E$7:$E$176,"*Conferences*",'Dept. Cost Actuals'!AY$877:AY$1046))</f>
        <v>251.91403513140719</v>
      </c>
      <c r="AV33" s="668">
        <f>IF(AV$4="forecast",AVERAGE(AJ33:AU33),SUMIF('Dept. Cost Actuals'!$E$7:$E$176,"*Conferences*",'Dept. Cost Actuals'!AZ$877:AZ$1046))</f>
        <v>253.98983400088707</v>
      </c>
      <c r="AW33" s="668">
        <f>IF(AW$4="forecast",AVERAGE(AK33:AV33),SUMIF('Dept. Cost Actuals'!$E$7:$E$176,"*Conferences*",'Dept. Cost Actuals'!BA$877:BA$1046))</f>
        <v>254.66219632686773</v>
      </c>
      <c r="AX33" s="668">
        <f>IF(AX$4="forecast",AVERAGE(AL33:AW33),SUMIF('Dept. Cost Actuals'!$E$7:$E$176,"*Conferences*",'Dept. Cost Actuals'!BB$877:BB$1046))</f>
        <v>253.68280074883899</v>
      </c>
      <c r="AY33" s="668">
        <f>IF(AY$4="forecast",AVERAGE(AM33:AX33),SUMIF('Dept. Cost Actuals'!$E$7:$E$176,"*Conferences*",'Dept. Cost Actuals'!BC$877:BC$1046))</f>
        <v>254.41876843331332</v>
      </c>
      <c r="AZ33" s="668">
        <f>IF(AZ$4="forecast",AVERAGE(AN33:AY33),SUMIF('Dept. Cost Actuals'!$E$7:$E$176,"*Conferences*",'Dept. Cost Actuals'!BD$877:BD$1046))</f>
        <v>256.84904461555533</v>
      </c>
      <c r="BA33" s="668">
        <f>IF(BA$4="forecast",AVERAGE(AO33:AZ33),SUMIF('Dept. Cost Actuals'!$E$7:$E$176,"*Conferences*",'Dept. Cost Actuals'!BE$877:BE$1046))</f>
        <v>257.91756982516182</v>
      </c>
      <c r="BB33" s="668">
        <f>IF(BB$4="forecast",AVERAGE(AP33:BA33),SUMIF('Dept. Cost Actuals'!$E$7:$E$176,"*Conferences*",'Dept. Cost Actuals'!BF$877:BF$1046))</f>
        <v>257.69300864876146</v>
      </c>
      <c r="BC33" s="668">
        <f>IF(BC$4="forecast",AVERAGE(AQ33:BB33),SUMIF('Dept. Cost Actuals'!$E$7:$E$176,"*Conferences*",'Dept. Cost Actuals'!BG$877:BG$1046))</f>
        <v>255.63992637473066</v>
      </c>
      <c r="BD33" s="668">
        <f>IF(BD$4="forecast",AVERAGE(AR33:BC33),SUMIF('Dept. Cost Actuals'!$E$7:$E$176,"*Conferences*",'Dept. Cost Actuals'!BH$877:BH$1046))</f>
        <v>254.24400625422655</v>
      </c>
      <c r="BE33" s="668">
        <f>IF(BE$4="forecast",AVERAGE(AS33:BD33),SUMIF('Dept. Cost Actuals'!$E$7:$E$176,"*Conferences*",'Dept. Cost Actuals'!BI$877:BI$1046))</f>
        <v>253.6999809381966</v>
      </c>
      <c r="BF33" s="668">
        <f>IF(BF$4="forecast",AVERAGE(AT33:BE33),SUMIF('Dept. Cost Actuals'!$E$7:$E$176,"*Conferences*",'Dept. Cost Actuals'!BJ$877:BJ$1046))</f>
        <v>254.39784556914412</v>
      </c>
      <c r="BG33" s="668">
        <f>IF(BG$4="forecast",AVERAGE(AU33:BF33),SUMIF('Dept. Cost Actuals'!$E$7:$E$176,"*Conferences*",'Dept. Cost Actuals'!BK$877:BK$1046))</f>
        <v>254.92575140559086</v>
      </c>
      <c r="BH33" s="668">
        <f>IF(BH$4="forecast",AVERAGE(AV33:BG33),SUMIF('Dept. Cost Actuals'!$E$7:$E$176,"*Conferences*",'Dept. Cost Actuals'!BL$877:BL$1046))</f>
        <v>255.17672776177281</v>
      </c>
      <c r="BI33" s="668">
        <f>IF(BI$4="forecast",AVERAGE(AW33:BH33),SUMIF('Dept. Cost Actuals'!$E$7:$E$176,"*Conferences*",'Dept. Cost Actuals'!BM$877:BM$1046))</f>
        <v>255.27563557517999</v>
      </c>
      <c r="BJ33" s="668">
        <f>IF(BJ$4="forecast",AVERAGE(AX33:BI33),SUMIF('Dept. Cost Actuals'!$E$7:$E$176,"*Conferences*",'Dept. Cost Actuals'!BN$877:BN$1046))</f>
        <v>255.32675551253934</v>
      </c>
      <c r="BK33" s="668">
        <f>IF(BK$4="forecast",AVERAGE(AY33:BJ33),SUMIF('Dept. Cost Actuals'!$E$7:$E$176,"*Conferences*",'Dept. Cost Actuals'!BO$877:BO$1046))</f>
        <v>255.46375174284773</v>
      </c>
      <c r="BL33" s="668">
        <f>IF(BL$4="forecast",AVERAGE(AZ33:BK33),SUMIF('Dept. Cost Actuals'!$E$7:$E$176,"*Conferences*",'Dept. Cost Actuals'!BP$877:BP$1046))</f>
        <v>255.55083368530893</v>
      </c>
      <c r="BM33" s="668">
        <f>IF(BM$4="forecast",AVERAGE(BA33:BL33),SUMIF('Dept. Cost Actuals'!$E$7:$E$176,"*Conferences*",'Dept. Cost Actuals'!BQ$877:BQ$1046))</f>
        <v>255.44264944112174</v>
      </c>
      <c r="BN33" s="668">
        <f>IF(BN$4="forecast",AVERAGE(BB33:BM33),SUMIF('Dept. Cost Actuals'!$E$7:$E$176,"*Conferences*",'Dept. Cost Actuals'!BR$877:BR$1046))</f>
        <v>255.23640607578508</v>
      </c>
      <c r="BO33" s="668">
        <f>IF(BO$4="forecast",AVERAGE(BC33:BN33),SUMIF('Dept. Cost Actuals'!$E$7:$E$176,"*Conferences*",'Dept. Cost Actuals'!BS$877:BS$1046))</f>
        <v>255.03168919470372</v>
      </c>
      <c r="BP33" s="668">
        <f>IF(BP$4="forecast",AVERAGE(BD33:BO33),SUMIF('Dept. Cost Actuals'!$E$7:$E$176,"*Conferences*",'Dept. Cost Actuals'!BT$877:BT$1046))</f>
        <v>254.98100276303481</v>
      </c>
      <c r="BQ33" s="668">
        <f>IF(BQ$4="forecast",AVERAGE(BE33:BP33),SUMIF('Dept. Cost Actuals'!$E$7:$E$176,"*Conferences*",'Dept. Cost Actuals'!BU$877:BU$1046))</f>
        <v>255.04241913876879</v>
      </c>
      <c r="BR33" s="668">
        <f>IF(BR$4="forecast",AVERAGE(BF33:BQ33),SUMIF('Dept. Cost Actuals'!$E$7:$E$176,"*Conferences*",'Dept. Cost Actuals'!BV$877:BV$1046))</f>
        <v>255.15428898881646</v>
      </c>
      <c r="BS33" s="668">
        <f>IF(BS$4="forecast",AVERAGE(BG33:BR33),SUMIF('Dept. Cost Actuals'!$E$7:$E$176,"*Conferences*",'Dept. Cost Actuals'!BW$877:BW$1046))</f>
        <v>255.21732594045582</v>
      </c>
      <c r="BT33" s="668">
        <f>IF(BT$4="forecast",AVERAGE(BH33:BS33),SUMIF('Dept. Cost Actuals'!$E$7:$E$176,"*Conferences*",'Dept. Cost Actuals'!BX$877:BX$1046))</f>
        <v>255.24162381836126</v>
      </c>
      <c r="BU33" s="668">
        <f>IF(BU$4="forecast",AVERAGE(BI33:BT33),SUMIF('Dept. Cost Actuals'!$E$7:$E$176,"*Conferences*",'Dept. Cost Actuals'!BY$877:BY$1046))</f>
        <v>255.24703182307698</v>
      </c>
      <c r="BV33" s="668">
        <f>IF(BV$4="forecast",AVERAGE(BJ33:BU33),SUMIF('Dept. Cost Actuals'!$E$7:$E$176,"*Conferences*",'Dept. Cost Actuals'!BZ$877:BZ$1046))</f>
        <v>255.2446481770684</v>
      </c>
    </row>
    <row r="34" spans="2:74" x14ac:dyDescent="0.25">
      <c r="B34" s="794" t="s">
        <v>940</v>
      </c>
      <c r="C34" s="668">
        <f>IF(C$4="forecast",AVERAGE(#REF!),SUMIF('Dept. Cost Actuals'!$E$7:$E$176,"*Books and Periodicals*",'Dept. Cost Actuals'!G$877:G$1046))</f>
        <v>0</v>
      </c>
      <c r="D34" s="668">
        <f>IF(D$4="forecast",AVERAGE(#REF!),SUMIF('Dept. Cost Actuals'!$E$7:$E$176,"*Books and Periodicals*",'Dept. Cost Actuals'!H$877:H$1046))</f>
        <v>7.7043848313071734</v>
      </c>
      <c r="E34" s="668">
        <f>IF(E$4="forecast",AVERAGE(#REF!),SUMIF('Dept. Cost Actuals'!$E$7:$E$176,"*Books and Periodicals*",'Dept. Cost Actuals'!I$877:I$1046))</f>
        <v>1.4322183547532432</v>
      </c>
      <c r="F34" s="668">
        <f>IF(F$4="forecast",AVERAGE(#REF!),SUMIF('Dept. Cost Actuals'!$E$7:$E$176,"*Books and Periodicals*",'Dept. Cost Actuals'!J$877:J$1046))</f>
        <v>21.957704458447207</v>
      </c>
      <c r="G34" s="668">
        <f>IF(G$4="forecast",AVERAGE(#REF!),SUMIF('Dept. Cost Actuals'!$E$7:$E$176,"*Books and Periodicals*",'Dept. Cost Actuals'!K$877:K$1046))</f>
        <v>4.6171026177841581</v>
      </c>
      <c r="H34" s="668">
        <f>IF(H$4="forecast",AVERAGE(#REF!),SUMIF('Dept. Cost Actuals'!$E$7:$E$176,"*Books and Periodicals*",'Dept. Cost Actuals'!L$877:L$1046))</f>
        <v>40.791235357501442</v>
      </c>
      <c r="I34" s="668">
        <f>IF(I$4="forecast",AVERAGE(#REF!),SUMIF('Dept. Cost Actuals'!$E$7:$E$176,"*Books and Periodicals*",'Dept. Cost Actuals'!M$877:M$1046))</f>
        <v>1.162709207997259</v>
      </c>
      <c r="J34" s="668">
        <f>IF(J$4="forecast",AVERAGE(#REF!),SUMIF('Dept. Cost Actuals'!$E$7:$E$176,"*Books and Periodicals*",'Dept. Cost Actuals'!N$877:N$1046))</f>
        <v>8.14453329401878</v>
      </c>
      <c r="K34" s="668">
        <f>IF(K$4="forecast",AVERAGE(#REF!),SUMIF('Dept. Cost Actuals'!$E$7:$E$176,"*Books and Periodicals*",'Dept. Cost Actuals'!O$877:O$1046))</f>
        <v>9.9778275587247993</v>
      </c>
      <c r="L34" s="668">
        <f>IF(L$4="forecast",AVERAGE(#REF!),SUMIF('Dept. Cost Actuals'!$E$7:$E$176,"*Books and Periodicals*",'Dept. Cost Actuals'!P$877:P$1046))</f>
        <v>48.2548217355506</v>
      </c>
      <c r="M34" s="668">
        <f>IF(M$4="forecast",AVERAGE(A34:L34),SUMIF('Dept. Cost Actuals'!$E$7:$E$176,"*Books and Periodicals*",'Dept. Cost Actuals'!Q$877:Q$1046))</f>
        <v>0</v>
      </c>
      <c r="N34" s="668">
        <f>IF(N$4="forecast",AVERAGE(B34:M34),SUMIF('Dept. Cost Actuals'!$E$7:$E$176,"*Books and Periodicals*",'Dept. Cost Actuals'!R$877:R$1046))</f>
        <v>0</v>
      </c>
      <c r="O34" s="668">
        <f>IF(O$4="forecast",AVERAGE(C34:N34),SUMIF('Dept. Cost Actuals'!$E$7:$E$176,"*Books and Periodicals*",'Dept. Cost Actuals'!S$877:S$1046))</f>
        <v>14.95</v>
      </c>
      <c r="P34" s="668">
        <f>IF(P$4="forecast",AVERAGE(D34:O34),SUMIF('Dept. Cost Actuals'!$E$7:$E$176,"*Books and Periodicals*",'Dept. Cost Actuals'!T$877:T$1046))</f>
        <v>14.95</v>
      </c>
      <c r="Q34" s="668">
        <f>IF(Q$4="forecast",AVERAGE(E34:P34),SUMIF('Dept. Cost Actuals'!$E$7:$E$176,"*Books and Periodicals*",'Dept. Cost Actuals'!U$877:U$1046))</f>
        <v>0</v>
      </c>
      <c r="R34" s="668">
        <f>IF(R$4="forecast",AVERAGE(F34:Q34),SUMIF('Dept. Cost Actuals'!$E$7:$E$176,"*Books and Periodicals*",'Dept. Cost Actuals'!V$877:V$1046))</f>
        <v>0</v>
      </c>
      <c r="S34" s="668">
        <f>IF(S$4="forecast",AVERAGE(G34:R34),SUMIF('Dept. Cost Actuals'!$E$7:$E$176,"*Books and Periodicals*",'Dept. Cost Actuals'!W$877:W$1046))</f>
        <v>48.83</v>
      </c>
      <c r="T34" s="668">
        <f>IF(T$4="forecast",AVERAGE(H34:S34),SUMIF('Dept. Cost Actuals'!$E$7:$E$176,"*Books and Periodicals*",'Dept. Cost Actuals'!X$877:X$1046))</f>
        <v>0</v>
      </c>
      <c r="U34" s="668">
        <f>IF(U$4="forecast",AVERAGE(I34:T34),SUMIF('Dept. Cost Actuals'!$E$7:$E$176,"*Books and Periodicals*",'Dept. Cost Actuals'!Y$877:Y$1046))</f>
        <v>0</v>
      </c>
      <c r="V34" s="668">
        <f>IF(V$4="forecast",AVERAGE(J34:U34),SUMIF('Dept. Cost Actuals'!$E$7:$E$176,"*Books and Periodicals*",'Dept. Cost Actuals'!Z$877:Z$1046))</f>
        <v>14.95</v>
      </c>
      <c r="W34" s="668">
        <f>IF(W$4="forecast",AVERAGE(K34:V34),SUMIF('Dept. Cost Actuals'!$E$7:$E$176,"*Books and Periodicals*",'Dept. Cost Actuals'!AA$877:AA$1046))</f>
        <v>14.95</v>
      </c>
      <c r="X34" s="668">
        <f>IF(X$4="forecast",AVERAGE(L34:W34),SUMIF('Dept. Cost Actuals'!$E$7:$E$176,"*Books and Periodicals*",'Dept. Cost Actuals'!AB$877:AB$1046))</f>
        <v>14.95</v>
      </c>
      <c r="Y34" s="668">
        <f>IF(Y$4="forecast",AVERAGE(M34:X34),SUMIF('Dept. Cost Actuals'!$E$7:$E$176,"*Books and Periodicals*",'Dept. Cost Actuals'!AC$877:AC$1046))</f>
        <v>14.95</v>
      </c>
      <c r="Z34" s="668">
        <f>IF(Z$4="forecast",AVERAGE(N34:Y34),SUMIF('Dept. Cost Actuals'!$E$7:$E$176,"*Books and Periodicals*",'Dept. Cost Actuals'!AD$877:AD$1046))</f>
        <v>14.95</v>
      </c>
      <c r="AA34" s="668">
        <f>IF(AA$4="forecast",AVERAGE(O34:Z34),SUMIF('Dept. Cost Actuals'!$E$7:$E$176,"*Books and Periodicals*",'Dept. Cost Actuals'!AE$877:AE$1046))</f>
        <v>14.95</v>
      </c>
      <c r="AB34" s="668">
        <f>IF(AB$4="forecast",AVERAGE(P34:AA34),SUMIF('Dept. Cost Actuals'!$E$7:$E$176,"*Books and Periodicals*",'Dept. Cost Actuals'!AF$877:AF$1046))</f>
        <v>14.95</v>
      </c>
      <c r="AC34" s="668">
        <f>IF(AC$4="forecast",AVERAGE(Q34:AB34),SUMIF('Dept. Cost Actuals'!$E$7:$E$176,"*Books and Periodicals*",'Dept. Cost Actuals'!AG$877:AG$1046))</f>
        <v>14.95</v>
      </c>
      <c r="AD34" s="668">
        <f>IF(AD$4="forecast",AVERAGE(R34:AC34),SUMIF('Dept. Cost Actuals'!$E$7:$E$176,"*Books and Periodicals*",'Dept. Cost Actuals'!AH$877:AH$1046))</f>
        <v>14.035833333333331</v>
      </c>
      <c r="AE34" s="668">
        <f>IF(AE$4="forecast",AVERAGE(S34:AD34),SUMIF('Dept. Cost Actuals'!$E$7:$E$176,"*Books and Periodicals*",'Dept. Cost Actuals'!AI$877:AI$1046))</f>
        <v>15.205486111111108</v>
      </c>
      <c r="AF34" s="668">
        <f>IF(AF$4="forecast",AVERAGE(T34:AE34),SUMIF('Dept. Cost Actuals'!$E$7:$E$176,"*Books and Periodicals*",'Dept. Cost Actuals'!AJ$877:AJ$1046))</f>
        <v>12.403443287037037</v>
      </c>
      <c r="AG34" s="668">
        <f>IF(AG$4="forecast",AVERAGE(U34:AF34),SUMIF('Dept. Cost Actuals'!$E$7:$E$176,"*Books and Periodicals*",'Dept. Cost Actuals'!AK$877:AK$1046))</f>
        <v>13.437063560956792</v>
      </c>
      <c r="AH34" s="668">
        <f>IF(AH$4="forecast",AVERAGE(V34:AG34),SUMIF('Dept. Cost Actuals'!$E$7:$E$176,"*Books and Periodicals*",'Dept. Cost Actuals'!AL$877:AL$1046))</f>
        <v>14.556818857703192</v>
      </c>
      <c r="AI34" s="668">
        <f>IF(AI$4="forecast",AVERAGE(W34:AH34),SUMIF('Dept. Cost Actuals'!$E$7:$E$176,"*Books and Periodicals*",'Dept. Cost Actuals'!AM$877:AM$1046))</f>
        <v>14.524053762511789</v>
      </c>
      <c r="AJ34" s="668">
        <f>IF(AJ$4="forecast",AVERAGE(X34:AI34),SUMIF('Dept. Cost Actuals'!$E$7:$E$176,"*Books and Periodicals*",'Dept. Cost Actuals'!AN$877:AN$1046))</f>
        <v>14.488558242721105</v>
      </c>
      <c r="AK34" s="668">
        <f>IF(AK$4="forecast",AVERAGE(Y34:AJ34),SUMIF('Dept. Cost Actuals'!$E$7:$E$176,"*Books and Periodicals*",'Dept. Cost Actuals'!AO$877:AO$1046))</f>
        <v>14.450104762947865</v>
      </c>
      <c r="AL34" s="668">
        <f>IF(AL$4="forecast",AVERAGE(Z34:AK34),SUMIF('Dept. Cost Actuals'!$E$7:$E$176,"*Books and Periodicals*",'Dept. Cost Actuals'!AP$877:AP$1046))</f>
        <v>14.408446826526848</v>
      </c>
      <c r="AM34" s="668">
        <f>IF(AM$4="forecast",AVERAGE(AA34:AL34),SUMIF('Dept. Cost Actuals'!$E$7:$E$176,"*Books and Periodicals*",'Dept. Cost Actuals'!AQ$877:AQ$1046))</f>
        <v>14.363317395404087</v>
      </c>
      <c r="AN34" s="668">
        <f>IF(AN$4="forecast",AVERAGE(AB34:AM34),SUMIF('Dept. Cost Actuals'!$E$7:$E$176,"*Books and Periodicals*",'Dept. Cost Actuals'!AR$877:AR$1046))</f>
        <v>14.314427178354428</v>
      </c>
      <c r="AO34" s="668">
        <f>IF(AO$4="forecast",AVERAGE(AC34:AN34),SUMIF('Dept. Cost Actuals'!$E$7:$E$176,"*Books and Periodicals*",'Dept. Cost Actuals'!AS$877:AS$1046))</f>
        <v>14.261462776550632</v>
      </c>
      <c r="AP34" s="668">
        <f>IF(AP$4="forecast",AVERAGE(AD34:AO34),SUMIF('Dept. Cost Actuals'!$E$7:$E$176,"*Books and Periodicals*",'Dept. Cost Actuals'!AT$877:AT$1046))</f>
        <v>14.204084674596517</v>
      </c>
      <c r="AQ34" s="668">
        <f>IF(AQ$4="forecast",AVERAGE(AE34:AP34),SUMIF('Dept. Cost Actuals'!$E$7:$E$176,"*Books and Periodicals*",'Dept. Cost Actuals'!AU$877:AU$1046))</f>
        <v>14.218105619701781</v>
      </c>
      <c r="AR34" s="668">
        <f>IF(AR$4="forecast",AVERAGE(AF34:AQ34),SUMIF('Dept. Cost Actuals'!$E$7:$E$176,"*Books and Periodicals*",'Dept. Cost Actuals'!AV$877:AV$1046))</f>
        <v>14.135823912084339</v>
      </c>
      <c r="AS34" s="668">
        <f>IF(AS$4="forecast",AVERAGE(AG34:AR34),SUMIF('Dept. Cost Actuals'!$E$7:$E$176,"*Books and Periodicals*",'Dept. Cost Actuals'!AW$877:AW$1046))</f>
        <v>14.280188964171614</v>
      </c>
      <c r="AT34" s="668">
        <f>IF(AT$4="forecast",AVERAGE(AH34:AS34),SUMIF('Dept. Cost Actuals'!$E$7:$E$176,"*Books and Periodicals*",'Dept. Cost Actuals'!AX$877:AX$1046))</f>
        <v>14.350449414439518</v>
      </c>
      <c r="AU34" s="668">
        <f>IF(AU$4="forecast",AVERAGE(AI34:AT34),SUMIF('Dept. Cost Actuals'!$E$7:$E$176,"*Books and Periodicals*",'Dept. Cost Actuals'!AY$877:AY$1046))</f>
        <v>14.333251960834206</v>
      </c>
      <c r="AV34" s="668">
        <f>IF(AV$4="forecast",AVERAGE(AJ34:AU34),SUMIF('Dept. Cost Actuals'!$E$7:$E$176,"*Books and Periodicals*",'Dept. Cost Actuals'!AZ$877:AZ$1046))</f>
        <v>14.317351810694412</v>
      </c>
      <c r="AW34" s="668">
        <f>IF(AW$4="forecast",AVERAGE(AK34:AV34),SUMIF('Dept. Cost Actuals'!$E$7:$E$176,"*Books and Periodicals*",'Dept. Cost Actuals'!BA$877:BA$1046))</f>
        <v>14.30308460802552</v>
      </c>
      <c r="AX34" s="668">
        <f>IF(AX$4="forecast",AVERAGE(AL34:AW34),SUMIF('Dept. Cost Actuals'!$E$7:$E$176,"*Books and Periodicals*",'Dept. Cost Actuals'!BB$877:BB$1046))</f>
        <v>14.29083292844866</v>
      </c>
      <c r="AY34" s="668">
        <f>IF(AY$4="forecast",AVERAGE(AM34:AX34),SUMIF('Dept. Cost Actuals'!$E$7:$E$176,"*Books and Periodicals*",'Dept. Cost Actuals'!BC$877:BC$1046))</f>
        <v>14.281031770275478</v>
      </c>
      <c r="AZ34" s="668">
        <f>IF(AZ$4="forecast",AVERAGE(AN34:AY34),SUMIF('Dept. Cost Actuals'!$E$7:$E$176,"*Books and Periodicals*",'Dept. Cost Actuals'!BD$877:BD$1046))</f>
        <v>14.274174634848093</v>
      </c>
      <c r="BA34" s="668">
        <f>IF(BA$4="forecast",AVERAGE(AO34:AZ34),SUMIF('Dept. Cost Actuals'!$E$7:$E$176,"*Books and Periodicals*",'Dept. Cost Actuals'!BE$877:BE$1046))</f>
        <v>14.270820256222565</v>
      </c>
      <c r="BB34" s="668">
        <f>IF(BB$4="forecast",AVERAGE(AP34:BA34),SUMIF('Dept. Cost Actuals'!$E$7:$E$176,"*Books and Periodicals*",'Dept. Cost Actuals'!BF$877:BF$1046))</f>
        <v>14.271600046195227</v>
      </c>
      <c r="BC34" s="668">
        <f>IF(BC$4="forecast",AVERAGE(AQ34:BB34),SUMIF('Dept. Cost Actuals'!$E$7:$E$176,"*Books and Periodicals*",'Dept. Cost Actuals'!BG$877:BG$1046))</f>
        <v>14.277226327161786</v>
      </c>
      <c r="BD34" s="668">
        <f>IF(BD$4="forecast",AVERAGE(AR34:BC34),SUMIF('Dept. Cost Actuals'!$E$7:$E$176,"*Books and Periodicals*",'Dept. Cost Actuals'!BH$877:BH$1046))</f>
        <v>14.282153052783451</v>
      </c>
      <c r="BE34" s="668">
        <f>IF(BE$4="forecast",AVERAGE(AS34:BD34),SUMIF('Dept. Cost Actuals'!$E$7:$E$176,"*Books and Periodicals*",'Dept. Cost Actuals'!BI$877:BI$1046))</f>
        <v>14.294347147841712</v>
      </c>
      <c r="BF34" s="668">
        <f>IF(BF$4="forecast",AVERAGE(AT34:BE34),SUMIF('Dept. Cost Actuals'!$E$7:$E$176,"*Books and Periodicals*",'Dept. Cost Actuals'!BJ$877:BJ$1046))</f>
        <v>14.295526996480886</v>
      </c>
      <c r="BG34" s="668">
        <f>IF(BG$4="forecast",AVERAGE(AU34:BF34),SUMIF('Dept. Cost Actuals'!$E$7:$E$176,"*Books and Periodicals*",'Dept. Cost Actuals'!BK$877:BK$1046))</f>
        <v>14.290950128317666</v>
      </c>
      <c r="BH34" s="668">
        <f>IF(BH$4="forecast",AVERAGE(AV34:BG34),SUMIF('Dept. Cost Actuals'!$E$7:$E$176,"*Books and Periodicals*",'Dept. Cost Actuals'!BL$877:BL$1046))</f>
        <v>14.287424975607953</v>
      </c>
      <c r="BI34" s="668">
        <f>IF(BI$4="forecast",AVERAGE(AW34:BH34),SUMIF('Dept. Cost Actuals'!$E$7:$E$176,"*Books and Periodicals*",'Dept. Cost Actuals'!BM$877:BM$1046))</f>
        <v>14.284931072684083</v>
      </c>
      <c r="BJ34" s="668">
        <f>IF(BJ$4="forecast",AVERAGE(AX34:BI34),SUMIF('Dept. Cost Actuals'!$E$7:$E$176,"*Books and Periodicals*",'Dept. Cost Actuals'!BN$877:BN$1046))</f>
        <v>14.283418278072297</v>
      </c>
      <c r="BK34" s="668">
        <f>IF(BK$4="forecast",AVERAGE(AY34:BJ34),SUMIF('Dept. Cost Actuals'!$E$7:$E$176,"*Books and Periodicals*",'Dept. Cost Actuals'!BO$877:BO$1046))</f>
        <v>14.282800390540936</v>
      </c>
      <c r="BL34" s="668">
        <f>IF(BL$4="forecast",AVERAGE(AZ34:BK34),SUMIF('Dept. Cost Actuals'!$E$7:$E$176,"*Books and Periodicals*",'Dept. Cost Actuals'!BP$877:BP$1046))</f>
        <v>14.282947775563054</v>
      </c>
      <c r="BM34" s="668">
        <f>IF(BM$4="forecast",AVERAGE(BA34:BL34),SUMIF('Dept. Cost Actuals'!$E$7:$E$176,"*Books and Periodicals*",'Dept. Cost Actuals'!BQ$877:BQ$1046))</f>
        <v>14.283678870622635</v>
      </c>
      <c r="BN34" s="668">
        <f>IF(BN$4="forecast",AVERAGE(BB34:BM34),SUMIF('Dept. Cost Actuals'!$E$7:$E$176,"*Books and Periodicals*",'Dept. Cost Actuals'!BR$877:BR$1046))</f>
        <v>14.284750421822638</v>
      </c>
      <c r="BO34" s="668">
        <f>IF(BO$4="forecast",AVERAGE(BC34:BN34),SUMIF('Dept. Cost Actuals'!$E$7:$E$176,"*Books and Periodicals*",'Dept. Cost Actuals'!BS$877:BS$1046))</f>
        <v>14.285846286458257</v>
      </c>
      <c r="BP34" s="668">
        <f>IF(BP$4="forecast",AVERAGE(BD34:BO34),SUMIF('Dept. Cost Actuals'!$E$7:$E$176,"*Books and Periodicals*",'Dept. Cost Actuals'!BT$877:BT$1046))</f>
        <v>14.28656461639963</v>
      </c>
      <c r="BQ34" s="668">
        <f>IF(BQ$4="forecast",AVERAGE(BE34:BP34),SUMIF('Dept. Cost Actuals'!$E$7:$E$176,"*Books and Periodicals*",'Dept. Cost Actuals'!BU$877:BU$1046))</f>
        <v>14.28693224670098</v>
      </c>
      <c r="BR34" s="668">
        <f>IF(BR$4="forecast",AVERAGE(BF34:BQ34),SUMIF('Dept. Cost Actuals'!$E$7:$E$176,"*Books and Periodicals*",'Dept. Cost Actuals'!BV$877:BV$1046))</f>
        <v>14.286314338272588</v>
      </c>
      <c r="BS34" s="668">
        <f>IF(BS$4="forecast",AVERAGE(BG34:BR34),SUMIF('Dept. Cost Actuals'!$E$7:$E$176,"*Books and Periodicals*",'Dept. Cost Actuals'!BW$877:BW$1046))</f>
        <v>14.285546616755227</v>
      </c>
      <c r="BT34" s="668">
        <f>IF(BT$4="forecast",AVERAGE(BH34:BS34),SUMIF('Dept. Cost Actuals'!$E$7:$E$176,"*Books and Periodicals*",'Dept. Cost Actuals'!BX$877:BX$1046))</f>
        <v>14.285096324125023</v>
      </c>
      <c r="BU34" s="668">
        <f>IF(BU$4="forecast",AVERAGE(BI34:BT34),SUMIF('Dept. Cost Actuals'!$E$7:$E$176,"*Books and Periodicals*",'Dept. Cost Actuals'!BY$877:BY$1046))</f>
        <v>14.284902269834776</v>
      </c>
      <c r="BV34" s="668">
        <f>IF(BV$4="forecast",AVERAGE(BJ34:BU34),SUMIF('Dept. Cost Actuals'!$E$7:$E$176,"*Books and Periodicals*",'Dept. Cost Actuals'!BZ$877:BZ$1046))</f>
        <v>14.284899869597337</v>
      </c>
    </row>
    <row r="35" spans="2:74" x14ac:dyDescent="0.25">
      <c r="B35" s="794" t="s">
        <v>941</v>
      </c>
      <c r="C35" s="668">
        <f>IF(C$4="forecast",AVERAGE(#REF!),SUMIF('Dept. Cost Actuals'!$E$7:$E$176,"*Postage and Delivery*",'Dept. Cost Actuals'!G$877:G$1046))</f>
        <v>4.9900685449402831</v>
      </c>
      <c r="D35" s="668">
        <f>IF(D$4="forecast",AVERAGE(#REF!),SUMIF('Dept. Cost Actuals'!$E$7:$E$176,"*Postage and Delivery*",'Dept. Cost Actuals'!H$877:H$1046))</f>
        <v>2.6459221476603156</v>
      </c>
      <c r="E35" s="668">
        <f>IF(E$4="forecast",AVERAGE(#REF!),SUMIF('Dept. Cost Actuals'!$E$7:$E$176,"*Postage and Delivery*",'Dept. Cost Actuals'!I$877:I$1046))</f>
        <v>0</v>
      </c>
      <c r="F35" s="668">
        <f>IF(F$4="forecast",AVERAGE(#REF!),SUMIF('Dept. Cost Actuals'!$E$7:$E$176,"*Postage and Delivery*",'Dept. Cost Actuals'!J$877:J$1046))</f>
        <v>5.5630395172448752</v>
      </c>
      <c r="G35" s="668">
        <f>IF(G$4="forecast",AVERAGE(#REF!),SUMIF('Dept. Cost Actuals'!$E$7:$E$176,"*Postage and Delivery*",'Dept. Cost Actuals'!K$877:K$1046))</f>
        <v>58.749550654649759</v>
      </c>
      <c r="H35" s="668">
        <f>IF(H$4="forecast",AVERAGE(#REF!),SUMIF('Dept. Cost Actuals'!$E$7:$E$176,"*Postage and Delivery*",'Dept. Cost Actuals'!L$877:L$1046))</f>
        <v>2.1385696206845415</v>
      </c>
      <c r="I35" s="668">
        <f>IF(I$4="forecast",AVERAGE(#REF!),SUMIF('Dept. Cost Actuals'!$E$7:$E$176,"*Postage and Delivery*",'Dept. Cost Actuals'!M$877:M$1046))</f>
        <v>0</v>
      </c>
      <c r="J35" s="668">
        <f>IF(J$4="forecast",AVERAGE(#REF!),SUMIF('Dept. Cost Actuals'!$E$7:$E$176,"*Postage and Delivery*",'Dept. Cost Actuals'!N$877:N$1046))</f>
        <v>2.5095139869985958</v>
      </c>
      <c r="K35" s="668">
        <f>IF(K$4="forecast",AVERAGE(#REF!),SUMIF('Dept. Cost Actuals'!$E$7:$E$176,"*Postage and Delivery*",'Dept. Cost Actuals'!O$877:O$1046))</f>
        <v>0.7390027481414555</v>
      </c>
      <c r="L35" s="668">
        <f>IF(L$4="forecast",AVERAGE(#REF!),SUMIF('Dept. Cost Actuals'!$E$7:$E$176,"*Postage and Delivery*",'Dept. Cost Actuals'!P$877:P$1046))</f>
        <v>11.61449056726843</v>
      </c>
      <c r="M35" s="668">
        <f>IF(M$4="forecast",AVERAGE(A35:L35),SUMIF('Dept. Cost Actuals'!$E$7:$E$176,"*Postage and Delivery*",'Dept. Cost Actuals'!Q$877:Q$1046))</f>
        <v>48.34422948008816</v>
      </c>
      <c r="N35" s="668">
        <f>IF(N$4="forecast",AVERAGE(B35:M35),SUMIF('Dept. Cost Actuals'!$E$7:$E$176,"*Postage and Delivery*",'Dept. Cost Actuals'!R$877:R$1046))</f>
        <v>13.785746536198008</v>
      </c>
      <c r="O35" s="668">
        <f>IF(O$4="forecast",AVERAGE(C35:N35),SUMIF('Dept. Cost Actuals'!$E$7:$E$176,"*Postage and Delivery*",'Dept. Cost Actuals'!S$877:S$1046))</f>
        <v>90</v>
      </c>
      <c r="P35" s="668">
        <f>IF(P$4="forecast",AVERAGE(D35:O35),SUMIF('Dept. Cost Actuals'!$E$7:$E$176,"*Postage and Delivery*",'Dept. Cost Actuals'!T$877:T$1046))</f>
        <v>0</v>
      </c>
      <c r="Q35" s="668">
        <f>IF(Q$4="forecast",AVERAGE(E35:P35),SUMIF('Dept. Cost Actuals'!$E$7:$E$176,"*Postage and Delivery*",'Dept. Cost Actuals'!U$877:U$1046))</f>
        <v>0</v>
      </c>
      <c r="R35" s="668">
        <f>IF(R$4="forecast",AVERAGE(F35:Q35),SUMIF('Dept. Cost Actuals'!$E$7:$E$176,"*Postage and Delivery*",'Dept. Cost Actuals'!V$877:V$1046))</f>
        <v>23.81</v>
      </c>
      <c r="S35" s="668">
        <f>IF(S$4="forecast",AVERAGE(G35:R35),SUMIF('Dept. Cost Actuals'!$E$7:$E$176,"*Postage and Delivery*",'Dept. Cost Actuals'!W$877:W$1046))</f>
        <v>0</v>
      </c>
      <c r="T35" s="668">
        <f>IF(T$4="forecast",AVERAGE(H35:S35),SUMIF('Dept. Cost Actuals'!$E$7:$E$176,"*Postage and Delivery*",'Dept. Cost Actuals'!X$877:X$1046))</f>
        <v>0</v>
      </c>
      <c r="U35" s="668">
        <f>IF(U$4="forecast",AVERAGE(I35:T35),SUMIF('Dept. Cost Actuals'!$E$7:$E$176,"*Postage and Delivery*",'Dept. Cost Actuals'!Y$877:Y$1046))</f>
        <v>0</v>
      </c>
      <c r="V35" s="668">
        <f>IF(V$4="forecast",AVERAGE(J35:U35),SUMIF('Dept. Cost Actuals'!$E$7:$E$176,"*Postage and Delivery*",'Dept. Cost Actuals'!Z$877:Z$1046))</f>
        <v>0</v>
      </c>
      <c r="W35" s="668">
        <f>IF(W$4="forecast",AVERAGE(K35:V35),SUMIF('Dept. Cost Actuals'!$E$7:$E$176,"*Postage and Delivery*",'Dept. Cost Actuals'!AA$877:AA$1046))</f>
        <v>0</v>
      </c>
      <c r="X35" s="668">
        <f>IF(X$4="forecast",AVERAGE(L35:W35),SUMIF('Dept. Cost Actuals'!$E$7:$E$176,"*Postage and Delivery*",'Dept. Cost Actuals'!AB$877:AB$1046))</f>
        <v>0</v>
      </c>
      <c r="Y35" s="668">
        <f>IF(Y$4="forecast",AVERAGE(M35:X35),SUMIF('Dept. Cost Actuals'!$E$7:$E$176,"*Postage and Delivery*",'Dept. Cost Actuals'!AC$877:AC$1046))</f>
        <v>140.5</v>
      </c>
      <c r="Z35" s="668">
        <f>IF(Z$4="forecast",AVERAGE(N35:Y35),SUMIF('Dept. Cost Actuals'!$E$7:$E$176,"*Postage and Delivery*",'Dept. Cost Actuals'!AD$877:AD$1046))</f>
        <v>0</v>
      </c>
      <c r="AA35" s="668">
        <f>IF(AA$4="forecast",AVERAGE(O35:Z35),SUMIF('Dept. Cost Actuals'!$E$7:$E$176,"*Postage and Delivery*",'Dept. Cost Actuals'!AE$877:AE$1046))</f>
        <v>0</v>
      </c>
      <c r="AB35" s="668">
        <f>IF(AB$4="forecast",AVERAGE(P35:AA35),SUMIF('Dept. Cost Actuals'!$E$7:$E$176,"*Postage and Delivery*",'Dept. Cost Actuals'!AF$877:AF$1046))</f>
        <v>49</v>
      </c>
      <c r="AC35" s="668">
        <f>IF(AC$4="forecast",AVERAGE(Q35:AB35),SUMIF('Dept. Cost Actuals'!$E$7:$E$176,"*Postage and Delivery*",'Dept. Cost Actuals'!AG$877:AG$1046))</f>
        <v>0</v>
      </c>
      <c r="AD35" s="668">
        <f>IF(AD$4="forecast",AVERAGE(R35:AC35),SUMIF('Dept. Cost Actuals'!$E$7:$E$176,"*Postage and Delivery*",'Dept. Cost Actuals'!AH$877:AH$1046))</f>
        <v>17.775833333333335</v>
      </c>
      <c r="AE35" s="668">
        <f>IF(AE$4="forecast",AVERAGE(S35:AD35),SUMIF('Dept. Cost Actuals'!$E$7:$E$176,"*Postage and Delivery*",'Dept. Cost Actuals'!AI$877:AI$1046))</f>
        <v>17.272986111111113</v>
      </c>
      <c r="AF35" s="668">
        <f>IF(AF$4="forecast",AVERAGE(T35:AE35),SUMIF('Dept. Cost Actuals'!$E$7:$E$176,"*Postage and Delivery*",'Dept. Cost Actuals'!AJ$877:AJ$1046))</f>
        <v>18.712401620370372</v>
      </c>
      <c r="AG35" s="668">
        <f>IF(AG$4="forecast",AVERAGE(U35:AF35),SUMIF('Dept. Cost Actuals'!$E$7:$E$176,"*Postage and Delivery*",'Dept. Cost Actuals'!AK$877:AK$1046))</f>
        <v>20.271768422067904</v>
      </c>
      <c r="AH35" s="668">
        <f>IF(AH$4="forecast",AVERAGE(V35:AG35),SUMIF('Dept. Cost Actuals'!$E$7:$E$176,"*Postage and Delivery*",'Dept. Cost Actuals'!AL$877:AL$1046))</f>
        <v>21.961082457240227</v>
      </c>
      <c r="AI35" s="668">
        <f>IF(AI$4="forecast",AVERAGE(W35:AH35),SUMIF('Dept. Cost Actuals'!$E$7:$E$176,"*Postage and Delivery*",'Dept. Cost Actuals'!AM$877:AM$1046))</f>
        <v>23.791172662010251</v>
      </c>
      <c r="AJ35" s="668">
        <f>IF(AJ$4="forecast",AVERAGE(X35:AI35),SUMIF('Dept. Cost Actuals'!$E$7:$E$176,"*Postage and Delivery*",'Dept. Cost Actuals'!AN$877:AN$1046))</f>
        <v>25.773770383844436</v>
      </c>
      <c r="AK35" s="668">
        <f>IF(AK$4="forecast",AVERAGE(Y35:AJ35),SUMIF('Dept. Cost Actuals'!$E$7:$E$176,"*Postage and Delivery*",'Dept. Cost Actuals'!AO$877:AO$1046))</f>
        <v>27.921584582498138</v>
      </c>
      <c r="AL35" s="668">
        <f>IF(AL$4="forecast",AVERAGE(Z35:AK35),SUMIF('Dept. Cost Actuals'!$E$7:$E$176,"*Postage and Delivery*",'Dept. Cost Actuals'!AP$877:AP$1046))</f>
        <v>18.540049964372979</v>
      </c>
      <c r="AM35" s="668">
        <f>IF(AM$4="forecast",AVERAGE(AA35:AL35),SUMIF('Dept. Cost Actuals'!$E$7:$E$176,"*Postage and Delivery*",'Dept. Cost Actuals'!AQ$877:AQ$1046))</f>
        <v>20.085054128070727</v>
      </c>
      <c r="AN35" s="668">
        <f>IF(AN$4="forecast",AVERAGE(AB35:AM35),SUMIF('Dept. Cost Actuals'!$E$7:$E$176,"*Postage and Delivery*",'Dept. Cost Actuals'!AR$877:AR$1046))</f>
        <v>21.75880863874329</v>
      </c>
      <c r="AO35" s="668">
        <f>IF(AO$4="forecast",AVERAGE(AC35:AN35),SUMIF('Dept. Cost Actuals'!$E$7:$E$176,"*Postage and Delivery*",'Dept. Cost Actuals'!AS$877:AS$1046))</f>
        <v>19.488709358638562</v>
      </c>
      <c r="AP35" s="668">
        <f>IF(AP$4="forecast",AVERAGE(AD35:AO35),SUMIF('Dept. Cost Actuals'!$E$7:$E$176,"*Postage and Delivery*",'Dept. Cost Actuals'!AT$877:AT$1046))</f>
        <v>21.112768471858445</v>
      </c>
      <c r="AQ35" s="668">
        <f>IF(AQ$4="forecast",AVERAGE(AE35:AP35),SUMIF('Dept. Cost Actuals'!$E$7:$E$176,"*Postage and Delivery*",'Dept. Cost Actuals'!AU$877:AU$1046))</f>
        <v>21.39084640006887</v>
      </c>
      <c r="AR35" s="668">
        <f>IF(AR$4="forecast",AVERAGE(AF35:AQ35),SUMIF('Dept. Cost Actuals'!$E$7:$E$176,"*Postage and Delivery*",'Dept. Cost Actuals'!AV$877:AV$1046))</f>
        <v>21.734001424148687</v>
      </c>
      <c r="AS35" s="668">
        <f>IF(AS$4="forecast",AVERAGE(AG35:AR35),SUMIF('Dept. Cost Actuals'!$E$7:$E$176,"*Postage and Delivery*",'Dept. Cost Actuals'!AW$877:AW$1046))</f>
        <v>21.985801407796881</v>
      </c>
      <c r="AT35" s="668">
        <f>IF(AT$4="forecast",AVERAGE(AH35:AS35),SUMIF('Dept. Cost Actuals'!$E$7:$E$176,"*Postage and Delivery*",'Dept. Cost Actuals'!AX$877:AX$1046))</f>
        <v>22.12863748994096</v>
      </c>
      <c r="AU35" s="668">
        <f>IF(AU$4="forecast",AVERAGE(AI35:AT35),SUMIF('Dept. Cost Actuals'!$E$7:$E$176,"*Postage and Delivery*",'Dept. Cost Actuals'!AY$877:AY$1046))</f>
        <v>22.142600409332687</v>
      </c>
      <c r="AV35" s="668">
        <f>IF(AV$4="forecast",AVERAGE(AJ35:AU35),SUMIF('Dept. Cost Actuals'!$E$7:$E$176,"*Postage and Delivery*",'Dept. Cost Actuals'!AZ$877:AZ$1046))</f>
        <v>22.00521938827622</v>
      </c>
      <c r="AW35" s="668">
        <f>IF(AW$4="forecast",AVERAGE(AK35:AV35),SUMIF('Dept. Cost Actuals'!$E$7:$E$176,"*Postage and Delivery*",'Dept. Cost Actuals'!BA$877:BA$1046))</f>
        <v>21.691173471978871</v>
      </c>
      <c r="AX35" s="668">
        <f>IF(AX$4="forecast",AVERAGE(AL35:AW35),SUMIF('Dept. Cost Actuals'!$E$7:$E$176,"*Postage and Delivery*",'Dept. Cost Actuals'!BB$877:BB$1046))</f>
        <v>21.171972546102264</v>
      </c>
      <c r="AY35" s="668">
        <f>IF(AY$4="forecast",AVERAGE(AM35:AX35),SUMIF('Dept. Cost Actuals'!$E$7:$E$176,"*Postage and Delivery*",'Dept. Cost Actuals'!BC$877:BC$1046))</f>
        <v>21.39129942791304</v>
      </c>
      <c r="AZ35" s="668">
        <f>IF(AZ$4="forecast",AVERAGE(AN35:AY35),SUMIF('Dept. Cost Actuals'!$E$7:$E$176,"*Postage and Delivery*",'Dept. Cost Actuals'!BD$877:BD$1046))</f>
        <v>21.500153202899899</v>
      </c>
      <c r="BA35" s="668">
        <f>IF(BA$4="forecast",AVERAGE(AO35:AZ35),SUMIF('Dept. Cost Actuals'!$E$7:$E$176,"*Postage and Delivery*",'Dept. Cost Actuals'!BE$877:BE$1046))</f>
        <v>21.478598583246285</v>
      </c>
      <c r="BB35" s="668">
        <f>IF(BB$4="forecast",AVERAGE(AP35:BA35),SUMIF('Dept. Cost Actuals'!$E$7:$E$176,"*Postage and Delivery*",'Dept. Cost Actuals'!BF$877:BF$1046))</f>
        <v>21.644422685296927</v>
      </c>
      <c r="BC35" s="668">
        <f>IF(BC$4="forecast",AVERAGE(AQ35:BB35),SUMIF('Dept. Cost Actuals'!$E$7:$E$176,"*Postage and Delivery*",'Dept. Cost Actuals'!BG$877:BG$1046))</f>
        <v>21.68872720308347</v>
      </c>
      <c r="BD35" s="668">
        <f>IF(BD$4="forecast",AVERAGE(AR35:BC35),SUMIF('Dept. Cost Actuals'!$E$7:$E$176,"*Postage and Delivery*",'Dept. Cost Actuals'!BH$877:BH$1046))</f>
        <v>21.713550603334681</v>
      </c>
      <c r="BE35" s="668">
        <f>IF(BE$4="forecast",AVERAGE(AS35:BD35),SUMIF('Dept. Cost Actuals'!$E$7:$E$176,"*Postage and Delivery*",'Dept. Cost Actuals'!BI$877:BI$1046))</f>
        <v>21.711846368266848</v>
      </c>
      <c r="BF35" s="668">
        <f>IF(BF$4="forecast",AVERAGE(AT35:BE35),SUMIF('Dept. Cost Actuals'!$E$7:$E$176,"*Postage and Delivery*",'Dept. Cost Actuals'!BJ$877:BJ$1046))</f>
        <v>21.689016781639342</v>
      </c>
      <c r="BG35" s="668">
        <f>IF(BG$4="forecast",AVERAGE(AU35:BF35),SUMIF('Dept. Cost Actuals'!$E$7:$E$176,"*Postage and Delivery*",'Dept. Cost Actuals'!BK$877:BK$1046))</f>
        <v>21.652381722614209</v>
      </c>
      <c r="BH35" s="668">
        <f>IF(BH$4="forecast",AVERAGE(AV35:BG35),SUMIF('Dept. Cost Actuals'!$E$7:$E$176,"*Postage and Delivery*",'Dept. Cost Actuals'!BL$877:BL$1046))</f>
        <v>21.611530165387673</v>
      </c>
      <c r="BI35" s="668">
        <f>IF(BI$4="forecast",AVERAGE(AW35:BH35),SUMIF('Dept. Cost Actuals'!$E$7:$E$176,"*Postage and Delivery*",'Dept. Cost Actuals'!BM$877:BM$1046))</f>
        <v>21.578722730146954</v>
      </c>
      <c r="BJ35" s="668">
        <f>IF(BJ$4="forecast",AVERAGE(AX35:BI35),SUMIF('Dept. Cost Actuals'!$E$7:$E$176,"*Postage and Delivery*",'Dept. Cost Actuals'!BN$877:BN$1046))</f>
        <v>21.569351834994297</v>
      </c>
      <c r="BK35" s="668">
        <f>IF(BK$4="forecast",AVERAGE(AY35:BJ35),SUMIF('Dept. Cost Actuals'!$E$7:$E$176,"*Postage and Delivery*",'Dept. Cost Actuals'!BO$877:BO$1046))</f>
        <v>21.602466775735298</v>
      </c>
      <c r="BL35" s="668">
        <f>IF(BL$4="forecast",AVERAGE(AZ35:BK35),SUMIF('Dept. Cost Actuals'!$E$7:$E$176,"*Postage and Delivery*",'Dept. Cost Actuals'!BP$877:BP$1046))</f>
        <v>21.620064054720491</v>
      </c>
      <c r="BM35" s="668">
        <f>IF(BM$4="forecast",AVERAGE(BA35:BL35),SUMIF('Dept. Cost Actuals'!$E$7:$E$176,"*Postage and Delivery*",'Dept. Cost Actuals'!BQ$877:BQ$1046))</f>
        <v>21.630056625705539</v>
      </c>
      <c r="BN35" s="668">
        <f>IF(BN$4="forecast",AVERAGE(BB35:BM35),SUMIF('Dept. Cost Actuals'!$E$7:$E$176,"*Postage and Delivery*",'Dept. Cost Actuals'!BR$877:BR$1046))</f>
        <v>21.642678129243816</v>
      </c>
      <c r="BO35" s="668">
        <f>IF(BO$4="forecast",AVERAGE(BC35:BN35),SUMIF('Dept. Cost Actuals'!$E$7:$E$176,"*Postage and Delivery*",'Dept. Cost Actuals'!BS$877:BS$1046))</f>
        <v>21.64253274957272</v>
      </c>
      <c r="BP35" s="668">
        <f>IF(BP$4="forecast",AVERAGE(BD35:BO35),SUMIF('Dept. Cost Actuals'!$E$7:$E$176,"*Postage and Delivery*",'Dept. Cost Actuals'!BT$877:BT$1046))</f>
        <v>21.638683211780158</v>
      </c>
      <c r="BQ35" s="668">
        <f>IF(BQ$4="forecast",AVERAGE(BE35:BP35),SUMIF('Dept. Cost Actuals'!$E$7:$E$176,"*Postage and Delivery*",'Dept. Cost Actuals'!BU$877:BU$1046))</f>
        <v>21.632444262483947</v>
      </c>
      <c r="BR35" s="668">
        <f>IF(BR$4="forecast",AVERAGE(BF35:BQ35),SUMIF('Dept. Cost Actuals'!$E$7:$E$176,"*Postage and Delivery*",'Dept. Cost Actuals'!BV$877:BV$1046))</f>
        <v>21.625827420335373</v>
      </c>
      <c r="BS35" s="668">
        <f>IF(BS$4="forecast",AVERAGE(BG35:BR35),SUMIF('Dept. Cost Actuals'!$E$7:$E$176,"*Postage and Delivery*",'Dept. Cost Actuals'!BW$877:BW$1046))</f>
        <v>21.620561640226708</v>
      </c>
      <c r="BT35" s="668">
        <f>IF(BT$4="forecast",AVERAGE(BH35:BS35),SUMIF('Dept. Cost Actuals'!$E$7:$E$176,"*Postage and Delivery*",'Dept. Cost Actuals'!BX$877:BX$1046))</f>
        <v>21.617909966694413</v>
      </c>
      <c r="BU35" s="668">
        <f>IF(BU$4="forecast",AVERAGE(BI35:BT35),SUMIF('Dept. Cost Actuals'!$E$7:$E$176,"*Postage and Delivery*",'Dept. Cost Actuals'!BY$877:BY$1046))</f>
        <v>21.618441616803306</v>
      </c>
      <c r="BV35" s="668">
        <f>IF(BV$4="forecast",AVERAGE(BJ35:BU35),SUMIF('Dept. Cost Actuals'!$E$7:$E$176,"*Postage and Delivery*",'Dept. Cost Actuals'!BZ$877:BZ$1046))</f>
        <v>21.62175152402467</v>
      </c>
    </row>
    <row r="36" spans="2:74" x14ac:dyDescent="0.25">
      <c r="B36" s="794" t="s">
        <v>942</v>
      </c>
      <c r="C36" s="668">
        <f>IF(C$4="forecast",AVERAGE(#REF!),SUMIF('Dept. Cost Actuals'!$E$7:$E$176,"*Computer Supplies*",'Dept. Cost Actuals'!G$877:G$1046))</f>
        <v>500.31099895556702</v>
      </c>
      <c r="D36" s="668">
        <f>IF(D$4="forecast",AVERAGE(#REF!),SUMIF('Dept. Cost Actuals'!$E$7:$E$176,"*Computer Supplies*",'Dept. Cost Actuals'!H$877:H$1046))</f>
        <v>157.31093118162838</v>
      </c>
      <c r="E36" s="668">
        <f>IF(E$4="forecast",AVERAGE(#REF!),SUMIF('Dept. Cost Actuals'!$E$7:$E$176,"*Computer Supplies*",'Dept. Cost Actuals'!I$877:I$1046))</f>
        <v>559.15858526121872</v>
      </c>
      <c r="F36" s="668">
        <f>IF(F$4="forecast",AVERAGE(#REF!),SUMIF('Dept. Cost Actuals'!$E$7:$E$176,"*Computer Supplies*",'Dept. Cost Actuals'!J$877:J$1046))</f>
        <v>243.40218237580234</v>
      </c>
      <c r="G36" s="668">
        <f>IF(G$4="forecast",AVERAGE(#REF!),SUMIF('Dept. Cost Actuals'!$E$7:$E$176,"*Computer Supplies*",'Dept. Cost Actuals'!K$877:K$1046))</f>
        <v>437.73098119948531</v>
      </c>
      <c r="H36" s="668">
        <f>IF(H$4="forecast",AVERAGE(#REF!),SUMIF('Dept. Cost Actuals'!$E$7:$E$176,"*Computer Supplies*",'Dept. Cost Actuals'!L$877:L$1046))</f>
        <v>832.85051128330622</v>
      </c>
      <c r="I36" s="668">
        <f>IF(I$4="forecast",AVERAGE(#REF!),SUMIF('Dept. Cost Actuals'!$E$7:$E$176,"*Computer Supplies*",'Dept. Cost Actuals'!M$877:M$1046))</f>
        <v>748.17576586337066</v>
      </c>
      <c r="J36" s="668">
        <f>IF(J$4="forecast",AVERAGE(#REF!),SUMIF('Dept. Cost Actuals'!$E$7:$E$176,"*Computer Supplies*",'Dept. Cost Actuals'!N$877:N$1046))</f>
        <v>284.23083656259234</v>
      </c>
      <c r="K36" s="668">
        <f>IF(K$4="forecast",AVERAGE(#REF!),SUMIF('Dept. Cost Actuals'!$E$7:$E$176,"*Computer Supplies*",'Dept. Cost Actuals'!O$877:O$1046))</f>
        <v>321.22789071366913</v>
      </c>
      <c r="L36" s="668">
        <f>IF(L$4="forecast",AVERAGE(#REF!),SUMIF('Dept. Cost Actuals'!$E$7:$E$176,"*Computer Supplies*",'Dept. Cost Actuals'!P$877:P$1046))</f>
        <v>679.89388226803464</v>
      </c>
      <c r="M36" s="668">
        <f>IF(M$4="forecast",AVERAGE(A36:L36),SUMIF('Dept. Cost Actuals'!$E$7:$E$176,"*Computer Supplies*",'Dept. Cost Actuals'!Q$877:Q$1046))</f>
        <v>361.88399193104539</v>
      </c>
      <c r="N36" s="668">
        <f>IF(N$4="forecast",AVERAGE(B36:M36),SUMIF('Dept. Cost Actuals'!$E$7:$E$176,"*Computer Supplies*",'Dept. Cost Actuals'!R$877:R$1046))</f>
        <v>32.772615739428673</v>
      </c>
      <c r="O36" s="668">
        <f>IF(O$4="forecast",AVERAGE(C36:N36),SUMIF('Dept. Cost Actuals'!$E$7:$E$176,"*Computer Supplies*",'Dept. Cost Actuals'!S$877:S$1046))</f>
        <v>169.8</v>
      </c>
      <c r="P36" s="668">
        <f>IF(P$4="forecast",AVERAGE(D36:O36),SUMIF('Dept. Cost Actuals'!$E$7:$E$176,"*Computer Supplies*",'Dept. Cost Actuals'!T$877:T$1046))</f>
        <v>154.80000000000001</v>
      </c>
      <c r="Q36" s="668">
        <f>IF(Q$4="forecast",AVERAGE(E36:P36),SUMIF('Dept. Cost Actuals'!$E$7:$E$176,"*Computer Supplies*",'Dept. Cost Actuals'!U$877:U$1046))</f>
        <v>129.85</v>
      </c>
      <c r="R36" s="668">
        <f>IF(R$4="forecast",AVERAGE(F36:Q36),SUMIF('Dept. Cost Actuals'!$E$7:$E$176,"*Computer Supplies*",'Dept. Cost Actuals'!V$877:V$1046))</f>
        <v>79.900000000000006</v>
      </c>
      <c r="S36" s="668">
        <f>IF(S$4="forecast",AVERAGE(G36:R36),SUMIF('Dept. Cost Actuals'!$E$7:$E$176,"*Computer Supplies*",'Dept. Cost Actuals'!W$877:W$1046))</f>
        <v>33.96</v>
      </c>
      <c r="T36" s="668">
        <f>IF(T$4="forecast",AVERAGE(H36:S36),SUMIF('Dept. Cost Actuals'!$E$7:$E$176,"*Computer Supplies*",'Dept. Cost Actuals'!X$877:X$1046))</f>
        <v>67.849999999999994</v>
      </c>
      <c r="U36" s="668">
        <f>IF(U$4="forecast",AVERAGE(I36:T36),SUMIF('Dept. Cost Actuals'!$E$7:$E$176,"*Computer Supplies*",'Dept. Cost Actuals'!Y$877:Y$1046))</f>
        <v>80.849999999999994</v>
      </c>
      <c r="V36" s="668">
        <f>IF(V$4="forecast",AVERAGE(J36:U36),SUMIF('Dept. Cost Actuals'!$E$7:$E$176,"*Computer Supplies*",'Dept. Cost Actuals'!Z$877:Z$1046))</f>
        <v>0</v>
      </c>
      <c r="W36" s="668">
        <f>IF(W$4="forecast",AVERAGE(K36:V36),SUMIF('Dept. Cost Actuals'!$E$7:$E$176,"*Computer Supplies*",'Dept. Cost Actuals'!AA$877:AA$1046))</f>
        <v>0</v>
      </c>
      <c r="X36" s="668">
        <f>IF(X$4="forecast",AVERAGE(L36:W36),SUMIF('Dept. Cost Actuals'!$E$7:$E$176,"*Computer Supplies*",'Dept. Cost Actuals'!AB$877:AB$1046))</f>
        <v>79.8</v>
      </c>
      <c r="Y36" s="668">
        <f>IF(Y$4="forecast",AVERAGE(M36:X36),SUMIF('Dept. Cost Actuals'!$E$7:$E$176,"*Computer Supplies*",'Dept. Cost Actuals'!AC$877:AC$1046))</f>
        <v>39.950000000000003</v>
      </c>
      <c r="Z36" s="668">
        <f>IF(Z$4="forecast",AVERAGE(N36:Y36),SUMIF('Dept. Cost Actuals'!$E$7:$E$176,"*Computer Supplies*",'Dept. Cost Actuals'!AD$877:AD$1046))</f>
        <v>0</v>
      </c>
      <c r="AA36" s="668">
        <f>IF(AA$4="forecast",AVERAGE(O36:Z36),SUMIF('Dept. Cost Actuals'!$E$7:$E$176,"*Computer Supplies*",'Dept. Cost Actuals'!AE$877:AE$1046))</f>
        <v>135.75</v>
      </c>
      <c r="AB36" s="668">
        <f>IF(AB$4="forecast",AVERAGE(P36:AA36),SUMIF('Dept. Cost Actuals'!$E$7:$E$176,"*Computer Supplies*",'Dept. Cost Actuals'!AF$877:AF$1046))</f>
        <v>18</v>
      </c>
      <c r="AC36" s="668">
        <f>IF(AC$4="forecast",AVERAGE(Q36:AB36),SUMIF('Dept. Cost Actuals'!$E$7:$E$176,"*Computer Supplies*",'Dept. Cost Actuals'!AG$877:AG$1046))</f>
        <v>108.75</v>
      </c>
      <c r="AD36" s="668">
        <f>IF(AD$4="forecast",AVERAGE(R36:AC36),SUMIF('Dept. Cost Actuals'!$E$7:$E$176,"*Computer Supplies*",'Dept. Cost Actuals'!AH$877:AH$1046))</f>
        <v>53.73416666666666</v>
      </c>
      <c r="AE36" s="668">
        <f>IF(AE$4="forecast",AVERAGE(S36:AD36),SUMIF('Dept. Cost Actuals'!$E$7:$E$176,"*Computer Supplies*",'Dept. Cost Actuals'!AI$877:AI$1046))</f>
        <v>51.553680555555552</v>
      </c>
      <c r="AF36" s="668">
        <f>IF(AF$4="forecast",AVERAGE(T36:AE36),SUMIF('Dept. Cost Actuals'!$E$7:$E$176,"*Computer Supplies*",'Dept. Cost Actuals'!AJ$877:AJ$1046))</f>
        <v>53.019820601851848</v>
      </c>
      <c r="AG36" s="668">
        <f>IF(AG$4="forecast",AVERAGE(U36:AF36),SUMIF('Dept. Cost Actuals'!$E$7:$E$176,"*Computer Supplies*",'Dept. Cost Actuals'!AK$877:AK$1046))</f>
        <v>51.783972318672831</v>
      </c>
      <c r="AH36" s="668">
        <f>IF(AH$4="forecast",AVERAGE(V36:AG36),SUMIF('Dept. Cost Actuals'!$E$7:$E$176,"*Computer Supplies*",'Dept. Cost Actuals'!AL$877:AL$1046))</f>
        <v>49.361803345228907</v>
      </c>
      <c r="AI36" s="668">
        <f>IF(AI$4="forecast",AVERAGE(W36:AH36),SUMIF('Dept. Cost Actuals'!$E$7:$E$176,"*Computer Supplies*",'Dept. Cost Actuals'!AM$877:AM$1046))</f>
        <v>53.475286957331321</v>
      </c>
      <c r="AJ36" s="668">
        <f>IF(AJ$4="forecast",AVERAGE(X36:AI36),SUMIF('Dept. Cost Actuals'!$E$7:$E$176,"*Computer Supplies*",'Dept. Cost Actuals'!AN$877:AN$1046))</f>
        <v>57.931560870442262</v>
      </c>
      <c r="AK36" s="668">
        <f>IF(AK$4="forecast",AVERAGE(Y36:AJ36),SUMIF('Dept. Cost Actuals'!$E$7:$E$176,"*Computer Supplies*",'Dept. Cost Actuals'!AO$877:AO$1046))</f>
        <v>56.109190942979119</v>
      </c>
      <c r="AL36" s="668">
        <f>IF(AL$4="forecast",AVERAGE(Z36:AK36),SUMIF('Dept. Cost Actuals'!$E$7:$E$176,"*Computer Supplies*",'Dept. Cost Actuals'!AP$877:AP$1046))</f>
        <v>57.455790188227375</v>
      </c>
      <c r="AM36" s="668">
        <f>IF(AM$4="forecast",AVERAGE(AA36:AL36),SUMIF('Dept. Cost Actuals'!$E$7:$E$176,"*Computer Supplies*",'Dept. Cost Actuals'!AQ$877:AQ$1046))</f>
        <v>62.243772703912988</v>
      </c>
      <c r="AN36" s="668">
        <f>IF(AN$4="forecast",AVERAGE(AB36:AM36),SUMIF('Dept. Cost Actuals'!$E$7:$E$176,"*Computer Supplies*",'Dept. Cost Actuals'!AR$877:AR$1046))</f>
        <v>56.118253762572408</v>
      </c>
      <c r="AO36" s="668">
        <f>IF(AO$4="forecast",AVERAGE(AC36:AN36),SUMIF('Dept. Cost Actuals'!$E$7:$E$176,"*Computer Supplies*",'Dept. Cost Actuals'!AS$877:AS$1046))</f>
        <v>59.294774909453444</v>
      </c>
      <c r="AP36" s="668">
        <f>IF(AP$4="forecast",AVERAGE(AD36:AO36),SUMIF('Dept. Cost Actuals'!$E$7:$E$176,"*Computer Supplies*",'Dept. Cost Actuals'!AT$877:AT$1046))</f>
        <v>55.17350615190788</v>
      </c>
      <c r="AQ36" s="668">
        <f>IF(AQ$4="forecast",AVERAGE(AE36:AP36),SUMIF('Dept. Cost Actuals'!$E$7:$E$176,"*Computer Supplies*",'Dept. Cost Actuals'!AU$877:AU$1046))</f>
        <v>55.293451109011322</v>
      </c>
      <c r="AR36" s="668">
        <f>IF(AR$4="forecast",AVERAGE(AF36:AQ36),SUMIF('Dept. Cost Actuals'!$E$7:$E$176,"*Computer Supplies*",'Dept. Cost Actuals'!AV$877:AV$1046))</f>
        <v>55.605098655132643</v>
      </c>
      <c r="AS36" s="668">
        <f>IF(AS$4="forecast",AVERAGE(AG36:AR36),SUMIF('Dept. Cost Actuals'!$E$7:$E$176,"*Computer Supplies*",'Dept. Cost Actuals'!AW$877:AW$1046))</f>
        <v>55.820538492906053</v>
      </c>
      <c r="AT36" s="668">
        <f>IF(AT$4="forecast",AVERAGE(AH36:AS36),SUMIF('Dept. Cost Actuals'!$E$7:$E$176,"*Computer Supplies*",'Dept. Cost Actuals'!AX$877:AX$1046))</f>
        <v>56.156919007425479</v>
      </c>
      <c r="AU36" s="668">
        <f>IF(AU$4="forecast",AVERAGE(AI36:AT36),SUMIF('Dept. Cost Actuals'!$E$7:$E$176,"*Computer Supplies*",'Dept. Cost Actuals'!AY$877:AY$1046))</f>
        <v>56.723178645941864</v>
      </c>
      <c r="AV36" s="668">
        <f>IF(AV$4="forecast",AVERAGE(AJ36:AU36),SUMIF('Dept. Cost Actuals'!$E$7:$E$176,"*Computer Supplies*",'Dept. Cost Actuals'!AZ$877:AZ$1046))</f>
        <v>56.993836286659395</v>
      </c>
      <c r="AW36" s="668">
        <f>IF(AW$4="forecast",AVERAGE(AK36:AV36),SUMIF('Dept. Cost Actuals'!$E$7:$E$176,"*Computer Supplies*",'Dept. Cost Actuals'!BA$877:BA$1046))</f>
        <v>56.915692571344159</v>
      </c>
      <c r="AX36" s="668">
        <f>IF(AX$4="forecast",AVERAGE(AL36:AW36),SUMIF('Dept. Cost Actuals'!$E$7:$E$176,"*Computer Supplies*",'Dept. Cost Actuals'!BB$877:BB$1046))</f>
        <v>56.982901040374578</v>
      </c>
      <c r="AY36" s="668">
        <f>IF(AY$4="forecast",AVERAGE(AM36:AX36),SUMIF('Dept. Cost Actuals'!$E$7:$E$176,"*Computer Supplies*",'Dept. Cost Actuals'!BC$877:BC$1046))</f>
        <v>56.943493611386856</v>
      </c>
      <c r="AZ36" s="668">
        <f>IF(AZ$4="forecast",AVERAGE(AN36:AY36),SUMIF('Dept. Cost Actuals'!$E$7:$E$176,"*Computer Supplies*",'Dept. Cost Actuals'!BD$877:BD$1046))</f>
        <v>56.501803687009676</v>
      </c>
      <c r="BA36" s="668">
        <f>IF(BA$4="forecast",AVERAGE(AO36:AZ36),SUMIF('Dept. Cost Actuals'!$E$7:$E$176,"*Computer Supplies*",'Dept. Cost Actuals'!BE$877:BE$1046))</f>
        <v>56.533766180712782</v>
      </c>
      <c r="BB36" s="668">
        <f>IF(BB$4="forecast",AVERAGE(AP36:BA36),SUMIF('Dept. Cost Actuals'!$E$7:$E$176,"*Computer Supplies*",'Dept. Cost Actuals'!BF$877:BF$1046))</f>
        <v>56.303682119984387</v>
      </c>
      <c r="BC36" s="668">
        <f>IF(BC$4="forecast",AVERAGE(AQ36:BB36),SUMIF('Dept. Cost Actuals'!$E$7:$E$176,"*Computer Supplies*",'Dept. Cost Actuals'!BG$877:BG$1046))</f>
        <v>56.397863450657432</v>
      </c>
      <c r="BD36" s="668">
        <f>IF(BD$4="forecast",AVERAGE(AR36:BC36),SUMIF('Dept. Cost Actuals'!$E$7:$E$176,"*Computer Supplies*",'Dept. Cost Actuals'!BH$877:BH$1046))</f>
        <v>56.489897812461265</v>
      </c>
      <c r="BE36" s="668">
        <f>IF(BE$4="forecast",AVERAGE(AS36:BD36),SUMIF('Dept. Cost Actuals'!$E$7:$E$176,"*Computer Supplies*",'Dept. Cost Actuals'!BI$877:BI$1046))</f>
        <v>56.563631075571983</v>
      </c>
      <c r="BF36" s="668">
        <f>IF(BF$4="forecast",AVERAGE(AT36:BE36),SUMIF('Dept. Cost Actuals'!$E$7:$E$176,"*Computer Supplies*",'Dept. Cost Actuals'!BJ$877:BJ$1046))</f>
        <v>56.625555457460827</v>
      </c>
      <c r="BG36" s="668">
        <f>IF(BG$4="forecast",AVERAGE(AU36:BF36),SUMIF('Dept. Cost Actuals'!$E$7:$E$176,"*Computer Supplies*",'Dept. Cost Actuals'!BK$877:BK$1046))</f>
        <v>56.664608494963765</v>
      </c>
      <c r="BH36" s="668">
        <f>IF(BH$4="forecast",AVERAGE(AV36:BG36),SUMIF('Dept. Cost Actuals'!$E$7:$E$176,"*Computer Supplies*",'Dept. Cost Actuals'!BL$877:BL$1046))</f>
        <v>56.659727649048925</v>
      </c>
      <c r="BI36" s="668">
        <f>IF(BI$4="forecast",AVERAGE(AW36:BH36),SUMIF('Dept. Cost Actuals'!$E$7:$E$176,"*Computer Supplies*",'Dept. Cost Actuals'!BM$877:BM$1046))</f>
        <v>56.631885262581392</v>
      </c>
      <c r="BJ36" s="668">
        <f>IF(BJ$4="forecast",AVERAGE(AX36:BI36),SUMIF('Dept. Cost Actuals'!$E$7:$E$176,"*Computer Supplies*",'Dept. Cost Actuals'!BN$877:BN$1046))</f>
        <v>56.608234653517826</v>
      </c>
      <c r="BK36" s="668">
        <f>IF(BK$4="forecast",AVERAGE(AY36:BJ36),SUMIF('Dept. Cost Actuals'!$E$7:$E$176,"*Computer Supplies*",'Dept. Cost Actuals'!BO$877:BO$1046))</f>
        <v>56.57701245461309</v>
      </c>
      <c r="BL36" s="668">
        <f>IF(BL$4="forecast",AVERAGE(AZ36:BK36),SUMIF('Dept. Cost Actuals'!$E$7:$E$176,"*Computer Supplies*",'Dept. Cost Actuals'!BP$877:BP$1046))</f>
        <v>56.546472358215283</v>
      </c>
      <c r="BM36" s="668">
        <f>IF(BM$4="forecast",AVERAGE(BA36:BL36),SUMIF('Dept. Cost Actuals'!$E$7:$E$176,"*Computer Supplies*",'Dept. Cost Actuals'!BQ$877:BQ$1046))</f>
        <v>56.550194747482408</v>
      </c>
      <c r="BN36" s="668">
        <f>IF(BN$4="forecast",AVERAGE(BB36:BM36),SUMIF('Dept. Cost Actuals'!$E$7:$E$176,"*Computer Supplies*",'Dept. Cost Actuals'!BR$877:BR$1046))</f>
        <v>56.551563794713218</v>
      </c>
      <c r="BO36" s="668">
        <f>IF(BO$4="forecast",AVERAGE(BC36:BN36),SUMIF('Dept. Cost Actuals'!$E$7:$E$176,"*Computer Supplies*",'Dept. Cost Actuals'!BS$877:BS$1046))</f>
        <v>56.572220600940625</v>
      </c>
      <c r="BP36" s="668">
        <f>IF(BP$4="forecast",AVERAGE(BD36:BO36),SUMIF('Dept. Cost Actuals'!$E$7:$E$176,"*Computer Supplies*",'Dept. Cost Actuals'!BT$877:BT$1046))</f>
        <v>56.586750363464226</v>
      </c>
      <c r="BQ36" s="668">
        <f>IF(BQ$4="forecast",AVERAGE(BE36:BP36),SUMIF('Dept. Cost Actuals'!$E$7:$E$176,"*Computer Supplies*",'Dept. Cost Actuals'!BU$877:BU$1046))</f>
        <v>56.594821409381133</v>
      </c>
      <c r="BR36" s="668">
        <f>IF(BR$4="forecast",AVERAGE(BF36:BQ36),SUMIF('Dept. Cost Actuals'!$E$7:$E$176,"*Computer Supplies*",'Dept. Cost Actuals'!BV$877:BV$1046))</f>
        <v>56.597420603865231</v>
      </c>
      <c r="BS36" s="668">
        <f>IF(BS$4="forecast",AVERAGE(BG36:BR36),SUMIF('Dept. Cost Actuals'!$E$7:$E$176,"*Computer Supplies*",'Dept. Cost Actuals'!BW$877:BW$1046))</f>
        <v>56.595076032732258</v>
      </c>
      <c r="BT36" s="668">
        <f>IF(BT$4="forecast",AVERAGE(BH36:BS36),SUMIF('Dept. Cost Actuals'!$E$7:$E$176,"*Computer Supplies*",'Dept. Cost Actuals'!BX$877:BX$1046))</f>
        <v>56.589281660879628</v>
      </c>
      <c r="BU36" s="668">
        <f>IF(BU$4="forecast",AVERAGE(BI36:BT36),SUMIF('Dept. Cost Actuals'!$E$7:$E$176,"*Computer Supplies*",'Dept. Cost Actuals'!BY$877:BY$1046))</f>
        <v>56.583411161865513</v>
      </c>
      <c r="BV36" s="668">
        <f>IF(BV$4="forecast",AVERAGE(BJ36:BU36),SUMIF('Dept. Cost Actuals'!$E$7:$E$176,"*Computer Supplies*",'Dept. Cost Actuals'!BZ$877:BZ$1046))</f>
        <v>56.579371653472528</v>
      </c>
    </row>
    <row r="37" spans="2:74" x14ac:dyDescent="0.25">
      <c r="B37" s="794" t="s">
        <v>943</v>
      </c>
      <c r="C37" s="668">
        <f>IF(C$4="forecast",AVERAGE(#REF!),SUMIF('Dept. Cost Actuals'!$E$7:$E$176,"*Printing and Reproduction*",'Dept. Cost Actuals'!G$877:G$1046))</f>
        <v>0</v>
      </c>
      <c r="D37" s="668">
        <f>IF(D$4="forecast",AVERAGE(#REF!),SUMIF('Dept. Cost Actuals'!$E$7:$E$176,"*Printing and Reproduction*",'Dept. Cost Actuals'!H$877:H$1046))</f>
        <v>0</v>
      </c>
      <c r="E37" s="668">
        <f>IF(E$4="forecast",AVERAGE(#REF!),SUMIF('Dept. Cost Actuals'!$E$7:$E$176,"*Printing and Reproduction*",'Dept. Cost Actuals'!I$877:I$1046))</f>
        <v>0</v>
      </c>
      <c r="F37" s="668">
        <f>IF(F$4="forecast",AVERAGE(#REF!),SUMIF('Dept. Cost Actuals'!$E$7:$E$176,"*Printing and Reproduction*",'Dept. Cost Actuals'!J$877:J$1046))</f>
        <v>132.79943183879004</v>
      </c>
      <c r="G37" s="668">
        <f>IF(G$4="forecast",AVERAGE(#REF!),SUMIF('Dept. Cost Actuals'!$E$7:$E$176,"*Printing and Reproduction*",'Dept. Cost Actuals'!K$877:K$1046))</f>
        <v>12.529450794529602</v>
      </c>
      <c r="H37" s="668">
        <f>IF(H$4="forecast",AVERAGE(#REF!),SUMIF('Dept. Cost Actuals'!$E$7:$E$176,"*Printing and Reproduction*",'Dept. Cost Actuals'!L$877:L$1046))</f>
        <v>0</v>
      </c>
      <c r="I37" s="668">
        <f>IF(I$4="forecast",AVERAGE(#REF!),SUMIF('Dept. Cost Actuals'!$E$7:$E$176,"*Printing and Reproduction*",'Dept. Cost Actuals'!M$877:M$1046))</f>
        <v>0</v>
      </c>
      <c r="J37" s="668">
        <f>IF(J$4="forecast",AVERAGE(#REF!),SUMIF('Dept. Cost Actuals'!$E$7:$E$176,"*Printing and Reproduction*",'Dept. Cost Actuals'!N$877:N$1046))</f>
        <v>0</v>
      </c>
      <c r="K37" s="668">
        <f>IF(K$4="forecast",AVERAGE(#REF!),SUMIF('Dept. Cost Actuals'!$E$7:$E$176,"*Printing and Reproduction*",'Dept. Cost Actuals'!O$877:O$1046))</f>
        <v>11.033422869515912</v>
      </c>
      <c r="L37" s="668">
        <f>IF(L$4="forecast",AVERAGE(#REF!),SUMIF('Dept. Cost Actuals'!$E$7:$E$176,"*Printing and Reproduction*",'Dept. Cost Actuals'!P$877:P$1046))</f>
        <v>0.21663515421589857</v>
      </c>
      <c r="M37" s="668">
        <f>IF(M$4="forecast",AVERAGE(A37:L37),SUMIF('Dept. Cost Actuals'!$E$7:$E$176,"*Printing and Reproduction*",'Dept. Cost Actuals'!Q$877:Q$1046))</f>
        <v>17.226076764688106</v>
      </c>
      <c r="N37" s="668">
        <f>IF(N$4="forecast",AVERAGE(B37:M37),SUMIF('Dept. Cost Actuals'!$E$7:$E$176,"*Printing and Reproduction*",'Dept. Cost Actuals'!R$877:R$1046))</f>
        <v>0</v>
      </c>
      <c r="O37" s="668">
        <f>IF(O$4="forecast",AVERAGE(C37:N37),SUMIF('Dept. Cost Actuals'!$E$7:$E$176,"*Printing and Reproduction*",'Dept. Cost Actuals'!S$877:S$1046))</f>
        <v>0</v>
      </c>
      <c r="P37" s="668">
        <f>IF(P$4="forecast",AVERAGE(D37:O37),SUMIF('Dept. Cost Actuals'!$E$7:$E$176,"*Printing and Reproduction*",'Dept. Cost Actuals'!T$877:T$1046))</f>
        <v>0</v>
      </c>
      <c r="Q37" s="668">
        <f>IF(Q$4="forecast",AVERAGE(E37:P37),SUMIF('Dept. Cost Actuals'!$E$7:$E$176,"*Printing and Reproduction*",'Dept. Cost Actuals'!U$877:U$1046))</f>
        <v>0</v>
      </c>
      <c r="R37" s="668">
        <f>IF(R$4="forecast",AVERAGE(F37:Q37),SUMIF('Dept. Cost Actuals'!$E$7:$E$176,"*Printing and Reproduction*",'Dept. Cost Actuals'!V$877:V$1046))</f>
        <v>502.62</v>
      </c>
      <c r="S37" s="668">
        <f>IF(S$4="forecast",AVERAGE(G37:R37),SUMIF('Dept. Cost Actuals'!$E$7:$E$176,"*Printing and Reproduction*",'Dept. Cost Actuals'!W$877:W$1046))</f>
        <v>0</v>
      </c>
      <c r="T37" s="668">
        <f>IF(T$4="forecast",AVERAGE(H37:S37),SUMIF('Dept. Cost Actuals'!$E$7:$E$176,"*Printing and Reproduction*",'Dept. Cost Actuals'!X$877:X$1046))</f>
        <v>0</v>
      </c>
      <c r="U37" s="668">
        <f>IF(U$4="forecast",AVERAGE(I37:T37),SUMIF('Dept. Cost Actuals'!$E$7:$E$176,"*Printing and Reproduction*",'Dept. Cost Actuals'!Y$877:Y$1046))</f>
        <v>0</v>
      </c>
      <c r="V37" s="668">
        <f>IF(V$4="forecast",AVERAGE(J37:U37),SUMIF('Dept. Cost Actuals'!$E$7:$E$176,"*Printing and Reproduction*",'Dept. Cost Actuals'!Z$877:Z$1046))</f>
        <v>446.1</v>
      </c>
      <c r="W37" s="668">
        <f>IF(W$4="forecast",AVERAGE(K37:V37),SUMIF('Dept. Cost Actuals'!$E$7:$E$176,"*Printing and Reproduction*",'Dept. Cost Actuals'!AA$877:AA$1046))</f>
        <v>0</v>
      </c>
      <c r="X37" s="668">
        <f>IF(X$4="forecast",AVERAGE(L37:W37),SUMIF('Dept. Cost Actuals'!$E$7:$E$176,"*Printing and Reproduction*",'Dept. Cost Actuals'!AB$877:AB$1046))</f>
        <v>0</v>
      </c>
      <c r="Y37" s="668">
        <f>IF(Y$4="forecast",AVERAGE(M37:X37),SUMIF('Dept. Cost Actuals'!$E$7:$E$176,"*Printing and Reproduction*",'Dept. Cost Actuals'!AC$877:AC$1046))</f>
        <v>246.6</v>
      </c>
      <c r="Z37" s="668">
        <f>IF(Z$4="forecast",AVERAGE(N37:Y37),SUMIF('Dept. Cost Actuals'!$E$7:$E$176,"*Printing and Reproduction*",'Dept. Cost Actuals'!AD$877:AD$1046))</f>
        <v>0</v>
      </c>
      <c r="AA37" s="668">
        <f>IF(AA$4="forecast",AVERAGE(O37:Z37),SUMIF('Dept. Cost Actuals'!$E$7:$E$176,"*Printing and Reproduction*",'Dept. Cost Actuals'!AE$877:AE$1046))</f>
        <v>0</v>
      </c>
      <c r="AB37" s="668">
        <f>IF(AB$4="forecast",AVERAGE(P37:AA37),SUMIF('Dept. Cost Actuals'!$E$7:$E$176,"*Printing and Reproduction*",'Dept. Cost Actuals'!AF$877:AF$1046))</f>
        <v>0</v>
      </c>
      <c r="AC37" s="668">
        <f>IF(AC$4="forecast",AVERAGE(Q37:AB37),SUMIF('Dept. Cost Actuals'!$E$7:$E$176,"*Printing and Reproduction*",'Dept. Cost Actuals'!AG$877:AG$1046))</f>
        <v>0</v>
      </c>
      <c r="AD37" s="668">
        <f>IF(AD$4="forecast",AVERAGE(R37:AC37),SUMIF('Dept. Cost Actuals'!$E$7:$E$176,"*Printing and Reproduction*",'Dept. Cost Actuals'!AH$877:AH$1046))</f>
        <v>99.61</v>
      </c>
      <c r="AE37" s="668">
        <f>IF(AE$4="forecast",AVERAGE(S37:AD37),SUMIF('Dept. Cost Actuals'!$E$7:$E$176,"*Printing and Reproduction*",'Dept. Cost Actuals'!AI$877:AI$1046))</f>
        <v>66.025833333333338</v>
      </c>
      <c r="AF37" s="668">
        <f>IF(AF$4="forecast",AVERAGE(T37:AE37),SUMIF('Dept. Cost Actuals'!$E$7:$E$176,"*Printing and Reproduction*",'Dept. Cost Actuals'!AJ$877:AJ$1046))</f>
        <v>71.527986111111119</v>
      </c>
      <c r="AG37" s="668">
        <f>IF(AG$4="forecast",AVERAGE(U37:AF37),SUMIF('Dept. Cost Actuals'!$E$7:$E$176,"*Printing and Reproduction*",'Dept. Cost Actuals'!AK$877:AK$1046))</f>
        <v>77.488651620370376</v>
      </c>
      <c r="AH37" s="668">
        <f>IF(AH$4="forecast",AVERAGE(V37:AG37),SUMIF('Dept. Cost Actuals'!$E$7:$E$176,"*Printing and Reproduction*",'Dept. Cost Actuals'!AL$877:AL$1046))</f>
        <v>83.946039255401232</v>
      </c>
      <c r="AI37" s="668">
        <f>IF(AI$4="forecast",AVERAGE(W37:AH37),SUMIF('Dept. Cost Actuals'!$E$7:$E$176,"*Printing and Reproduction*",'Dept. Cost Actuals'!AM$877:AM$1046))</f>
        <v>53.766542526684667</v>
      </c>
      <c r="AJ37" s="668">
        <f>IF(AJ$4="forecast",AVERAGE(X37:AI37),SUMIF('Dept. Cost Actuals'!$E$7:$E$176,"*Printing and Reproduction*",'Dept. Cost Actuals'!AN$877:AN$1046))</f>
        <v>58.247087737241721</v>
      </c>
      <c r="AK37" s="668">
        <f>IF(AK$4="forecast",AVERAGE(Y37:AJ37),SUMIF('Dept. Cost Actuals'!$E$7:$E$176,"*Printing and Reproduction*",'Dept. Cost Actuals'!AO$877:AO$1046))</f>
        <v>63.101011715345201</v>
      </c>
      <c r="AL37" s="668">
        <f>IF(AL$4="forecast",AVERAGE(Z37:AK37),SUMIF('Dept. Cost Actuals'!$E$7:$E$176,"*Printing and Reproduction*",'Dept. Cost Actuals'!AP$877:AP$1046))</f>
        <v>47.809429358290629</v>
      </c>
      <c r="AM37" s="668">
        <f>IF(AM$4="forecast",AVERAGE(AA37:AL37),SUMIF('Dept. Cost Actuals'!$E$7:$E$176,"*Printing and Reproduction*",'Dept. Cost Actuals'!AQ$877:AQ$1046))</f>
        <v>51.793548471481508</v>
      </c>
      <c r="AN37" s="668">
        <f>IF(AN$4="forecast",AVERAGE(AB37:AM37),SUMIF('Dept. Cost Actuals'!$E$7:$E$176,"*Printing and Reproduction*",'Dept. Cost Actuals'!AR$877:AR$1046))</f>
        <v>56.109677510771633</v>
      </c>
      <c r="AO37" s="668">
        <f>IF(AO$4="forecast",AVERAGE(AC37:AN37),SUMIF('Dept. Cost Actuals'!$E$7:$E$176,"*Printing and Reproduction*",'Dept. Cost Actuals'!AS$877:AS$1046))</f>
        <v>60.785483970002609</v>
      </c>
      <c r="AP37" s="668">
        <f>IF(AP$4="forecast",AVERAGE(AD37:AO37),SUMIF('Dept. Cost Actuals'!$E$7:$E$176,"*Printing and Reproduction*",'Dept. Cost Actuals'!AT$877:AT$1046))</f>
        <v>65.850940967502822</v>
      </c>
      <c r="AQ37" s="668">
        <f>IF(AQ$4="forecast",AVERAGE(AE37:AP37),SUMIF('Dept. Cost Actuals'!$E$7:$E$176,"*Printing and Reproduction*",'Dept. Cost Actuals'!AU$877:AU$1046))</f>
        <v>63.037686048128059</v>
      </c>
      <c r="AR37" s="668">
        <f>IF(AR$4="forecast",AVERAGE(AF37:AQ37),SUMIF('Dept. Cost Actuals'!$E$7:$E$176,"*Printing and Reproduction*",'Dept. Cost Actuals'!AV$877:AV$1046))</f>
        <v>62.788673774360952</v>
      </c>
      <c r="AS37" s="668">
        <f>IF(AS$4="forecast",AVERAGE(AG37:AR37),SUMIF('Dept. Cost Actuals'!$E$7:$E$176,"*Printing and Reproduction*",'Dept. Cost Actuals'!AW$877:AW$1046))</f>
        <v>62.060397746298456</v>
      </c>
      <c r="AT37" s="668">
        <f>IF(AT$4="forecast",AVERAGE(AH37:AS37),SUMIF('Dept. Cost Actuals'!$E$7:$E$176,"*Printing and Reproduction*",'Dept. Cost Actuals'!AX$877:AX$1046))</f>
        <v>60.774709923459135</v>
      </c>
      <c r="AU37" s="668">
        <f>IF(AU$4="forecast",AVERAGE(AI37:AT37),SUMIF('Dept. Cost Actuals'!$E$7:$E$176,"*Printing and Reproduction*",'Dept. Cost Actuals'!AY$877:AY$1046))</f>
        <v>58.84376581246395</v>
      </c>
      <c r="AV37" s="668">
        <f>IF(AV$4="forecast",AVERAGE(AJ37:AU37),SUMIF('Dept. Cost Actuals'!$E$7:$E$176,"*Printing and Reproduction*",'Dept. Cost Actuals'!AZ$877:AZ$1046))</f>
        <v>59.266867752945558</v>
      </c>
      <c r="AW37" s="668">
        <f>IF(AW$4="forecast",AVERAGE(AK37:AV37),SUMIF('Dept. Cost Actuals'!$E$7:$E$176,"*Printing and Reproduction*",'Dept. Cost Actuals'!BA$877:BA$1046))</f>
        <v>59.351849420920878</v>
      </c>
      <c r="AX37" s="668">
        <f>IF(AX$4="forecast",AVERAGE(AL37:AW37),SUMIF('Dept. Cost Actuals'!$E$7:$E$176,"*Printing and Reproduction*",'Dept. Cost Actuals'!BB$877:BB$1046))</f>
        <v>59.039419229718852</v>
      </c>
      <c r="AY37" s="668">
        <f>IF(AY$4="forecast",AVERAGE(AM37:AX37),SUMIF('Dept. Cost Actuals'!$E$7:$E$176,"*Printing and Reproduction*",'Dept. Cost Actuals'!BC$877:BC$1046))</f>
        <v>59.97525171900454</v>
      </c>
      <c r="AZ37" s="668">
        <f>IF(AZ$4="forecast",AVERAGE(AN37:AY37),SUMIF('Dept. Cost Actuals'!$E$7:$E$176,"*Printing and Reproduction*",'Dept. Cost Actuals'!BD$877:BD$1046))</f>
        <v>60.657060322964789</v>
      </c>
      <c r="BA37" s="668">
        <f>IF(BA$4="forecast",AVERAGE(AO37:AZ37),SUMIF('Dept. Cost Actuals'!$E$7:$E$176,"*Printing and Reproduction*",'Dept. Cost Actuals'!BE$877:BE$1046))</f>
        <v>61.036008890647544</v>
      </c>
      <c r="BB37" s="668">
        <f>IF(BB$4="forecast",AVERAGE(AP37:BA37),SUMIF('Dept. Cost Actuals'!$E$7:$E$176,"*Printing and Reproduction*",'Dept. Cost Actuals'!BF$877:BF$1046))</f>
        <v>61.056885967367954</v>
      </c>
      <c r="BC37" s="668">
        <f>IF(BC$4="forecast",AVERAGE(AQ37:BB37),SUMIF('Dept. Cost Actuals'!$E$7:$E$176,"*Printing and Reproduction*",'Dept. Cost Actuals'!BG$877:BG$1046))</f>
        <v>60.657381384023381</v>
      </c>
      <c r="BD37" s="668">
        <f>IF(BD$4="forecast",AVERAGE(AR37:BC37),SUMIF('Dept. Cost Actuals'!$E$7:$E$176,"*Printing and Reproduction*",'Dept. Cost Actuals'!BH$877:BH$1046))</f>
        <v>60.459022662014661</v>
      </c>
      <c r="BE37" s="668">
        <f>IF(BE$4="forecast",AVERAGE(AS37:BD37),SUMIF('Dept. Cost Actuals'!$E$7:$E$176,"*Printing and Reproduction*",'Dept. Cost Actuals'!BI$877:BI$1046))</f>
        <v>60.264885069319142</v>
      </c>
      <c r="BF37" s="668">
        <f>IF(BF$4="forecast",AVERAGE(AT37:BE37),SUMIF('Dept. Cost Actuals'!$E$7:$E$176,"*Printing and Reproduction*",'Dept. Cost Actuals'!BJ$877:BJ$1046))</f>
        <v>60.115259012904183</v>
      </c>
      <c r="BG37" s="668">
        <f>IF(BG$4="forecast",AVERAGE(AU37:BF37),SUMIF('Dept. Cost Actuals'!$E$7:$E$176,"*Printing and Reproduction*",'Dept. Cost Actuals'!BK$877:BK$1046))</f>
        <v>60.060304770357959</v>
      </c>
      <c r="BH37" s="668">
        <f>IF(BH$4="forecast",AVERAGE(AV37:BG37),SUMIF('Dept. Cost Actuals'!$E$7:$E$176,"*Printing and Reproduction*",'Dept. Cost Actuals'!BL$877:BL$1046))</f>
        <v>60.161683016849132</v>
      </c>
      <c r="BI37" s="668">
        <f>IF(BI$4="forecast",AVERAGE(AW37:BH37),SUMIF('Dept. Cost Actuals'!$E$7:$E$176,"*Printing and Reproduction*",'Dept. Cost Actuals'!BM$877:BM$1046))</f>
        <v>60.236250955507749</v>
      </c>
      <c r="BJ37" s="668">
        <f>IF(BJ$4="forecast",AVERAGE(AX37:BI37),SUMIF('Dept. Cost Actuals'!$E$7:$E$176,"*Printing and Reproduction*",'Dept. Cost Actuals'!BN$877:BN$1046))</f>
        <v>60.30995108338999</v>
      </c>
      <c r="BK37" s="668">
        <f>IF(BK$4="forecast",AVERAGE(AY37:BJ37),SUMIF('Dept. Cost Actuals'!$E$7:$E$176,"*Printing and Reproduction*",'Dept. Cost Actuals'!BO$877:BO$1046))</f>
        <v>60.41582873786259</v>
      </c>
      <c r="BL37" s="668">
        <f>IF(BL$4="forecast",AVERAGE(AZ37:BK37),SUMIF('Dept. Cost Actuals'!$E$7:$E$176,"*Printing and Reproduction*",'Dept. Cost Actuals'!BP$877:BP$1046))</f>
        <v>60.452543489434099</v>
      </c>
      <c r="BM37" s="668">
        <f>IF(BM$4="forecast",AVERAGE(BA37:BL37),SUMIF('Dept. Cost Actuals'!$E$7:$E$176,"*Printing and Reproduction*",'Dept. Cost Actuals'!BQ$877:BQ$1046))</f>
        <v>60.435500419973188</v>
      </c>
      <c r="BN37" s="668">
        <f>IF(BN$4="forecast",AVERAGE(BB37:BM37),SUMIF('Dept. Cost Actuals'!$E$7:$E$176,"*Printing and Reproduction*",'Dept. Cost Actuals'!BR$877:BR$1046))</f>
        <v>60.385458047416996</v>
      </c>
      <c r="BO37" s="668">
        <f>IF(BO$4="forecast",AVERAGE(BC37:BN37),SUMIF('Dept. Cost Actuals'!$E$7:$E$176,"*Printing and Reproduction*",'Dept. Cost Actuals'!BS$877:BS$1046))</f>
        <v>60.329505720754433</v>
      </c>
      <c r="BP37" s="668">
        <f>IF(BP$4="forecast",AVERAGE(BD37:BO37),SUMIF('Dept. Cost Actuals'!$E$7:$E$176,"*Printing and Reproduction*",'Dept. Cost Actuals'!BT$877:BT$1046))</f>
        <v>60.302182748815348</v>
      </c>
      <c r="BQ37" s="668">
        <f>IF(BQ$4="forecast",AVERAGE(BE37:BP37),SUMIF('Dept. Cost Actuals'!$E$7:$E$176,"*Printing and Reproduction*",'Dept. Cost Actuals'!BU$877:BU$1046))</f>
        <v>60.289112756048731</v>
      </c>
      <c r="BR37" s="668">
        <f>IF(BR$4="forecast",AVERAGE(BF37:BQ37),SUMIF('Dept. Cost Actuals'!$E$7:$E$176,"*Printing and Reproduction*",'Dept. Cost Actuals'!BV$877:BV$1046))</f>
        <v>60.291131729942869</v>
      </c>
      <c r="BS37" s="668">
        <f>IF(BS$4="forecast",AVERAGE(BG37:BR37),SUMIF('Dept. Cost Actuals'!$E$7:$E$176,"*Printing and Reproduction*",'Dept. Cost Actuals'!BW$877:BW$1046))</f>
        <v>60.305787789696097</v>
      </c>
      <c r="BT37" s="668">
        <f>IF(BT$4="forecast",AVERAGE(BH37:BS37),SUMIF('Dept. Cost Actuals'!$E$7:$E$176,"*Printing and Reproduction*",'Dept. Cost Actuals'!BX$877:BX$1046))</f>
        <v>60.326244707974269</v>
      </c>
      <c r="BU37" s="668">
        <f>IF(BU$4="forecast",AVERAGE(BI37:BT37),SUMIF('Dept. Cost Actuals'!$E$7:$E$176,"*Printing and Reproduction*",'Dept. Cost Actuals'!BY$877:BY$1046))</f>
        <v>60.339958182234703</v>
      </c>
      <c r="BV37" s="668">
        <f>IF(BV$4="forecast",AVERAGE(BJ37:BU37),SUMIF('Dept. Cost Actuals'!$E$7:$E$176,"*Printing and Reproduction*",'Dept. Cost Actuals'!BZ$877:BZ$1046))</f>
        <v>60.348600451128611</v>
      </c>
    </row>
    <row r="38" spans="2:74" x14ac:dyDescent="0.25">
      <c r="B38" s="794" t="s">
        <v>921</v>
      </c>
      <c r="C38" s="668">
        <f>IF(C$4="forecast",AVERAGE(#REF!),SUMIF('Dept. Cost Actuals'!$E$7:$E$176,"*Office Supplies*",'Dept. Cost Actuals'!G$877:G$1046))</f>
        <v>121.80218990898943</v>
      </c>
      <c r="D38" s="668">
        <f>IF(D$4="forecast",AVERAGE(#REF!),SUMIF('Dept. Cost Actuals'!$E$7:$E$176,"*Office Supplies*",'Dept. Cost Actuals'!H$877:H$1046))</f>
        <v>87.974817675151002</v>
      </c>
      <c r="E38" s="668">
        <f>IF(E$4="forecast",AVERAGE(#REF!),SUMIF('Dept. Cost Actuals'!$E$7:$E$176,"*Office Supplies*",'Dept. Cost Actuals'!I$877:I$1046))</f>
        <v>122.97926093808516</v>
      </c>
      <c r="F38" s="668">
        <f>IF(F$4="forecast",AVERAGE(#REF!),SUMIF('Dept. Cost Actuals'!$E$7:$E$176,"*Office Supplies*",'Dept. Cost Actuals'!J$877:J$1046))</f>
        <v>240.70003706871469</v>
      </c>
      <c r="G38" s="668">
        <f>IF(G$4="forecast",AVERAGE(#REF!),SUMIF('Dept. Cost Actuals'!$E$7:$E$176,"*Office Supplies*",'Dept. Cost Actuals'!K$877:K$1046))</f>
        <v>114.71443087021532</v>
      </c>
      <c r="H38" s="668">
        <f>IF(H$4="forecast",AVERAGE(#REF!),SUMIF('Dept. Cost Actuals'!$E$7:$E$176,"*Office Supplies*",'Dept. Cost Actuals'!L$877:L$1046))</f>
        <v>367.99428175041402</v>
      </c>
      <c r="I38" s="668">
        <f>IF(I$4="forecast",AVERAGE(#REF!),SUMIF('Dept. Cost Actuals'!$E$7:$E$176,"*Office Supplies*",'Dept. Cost Actuals'!M$877:M$1046))</f>
        <v>396.72727001542864</v>
      </c>
      <c r="J38" s="668">
        <f>IF(J$4="forecast",AVERAGE(#REF!),SUMIF('Dept. Cost Actuals'!$E$7:$E$176,"*Office Supplies*",'Dept. Cost Actuals'!N$877:N$1046))</f>
        <v>171.08725478000193</v>
      </c>
      <c r="K38" s="668">
        <f>IF(K$4="forecast",AVERAGE(#REF!),SUMIF('Dept. Cost Actuals'!$E$7:$E$176,"*Office Supplies*",'Dept. Cost Actuals'!O$877:O$1046))</f>
        <v>155.7239667533002</v>
      </c>
      <c r="L38" s="668">
        <f>IF(L$4="forecast",AVERAGE(#REF!),SUMIF('Dept. Cost Actuals'!$E$7:$E$176,"*Office Supplies*",'Dept. Cost Actuals'!P$877:P$1046))</f>
        <v>197.70461513155792</v>
      </c>
      <c r="M38" s="668">
        <f>IF(M$4="forecast",AVERAGE(A38:L38),SUMIF('Dept. Cost Actuals'!$E$7:$E$176,"*Office Supplies*",'Dept. Cost Actuals'!Q$877:Q$1046))</f>
        <v>154.94539453704144</v>
      </c>
      <c r="N38" s="668">
        <f>IF(N$4="forecast",AVERAGE(B38:M38),SUMIF('Dept. Cost Actuals'!$E$7:$E$176,"*Office Supplies*",'Dept. Cost Actuals'!R$877:R$1046))</f>
        <v>47.961418234872831</v>
      </c>
      <c r="O38" s="668">
        <f>IF(O$4="forecast",AVERAGE(C38:N38),SUMIF('Dept. Cost Actuals'!$E$7:$E$176,"*Office Supplies*",'Dept. Cost Actuals'!S$877:S$1046))</f>
        <v>0</v>
      </c>
      <c r="P38" s="668">
        <f>IF(P$4="forecast",AVERAGE(D38:O38),SUMIF('Dept. Cost Actuals'!$E$7:$E$176,"*Office Supplies*",'Dept. Cost Actuals'!T$877:T$1046))</f>
        <v>0</v>
      </c>
      <c r="Q38" s="668">
        <f>IF(Q$4="forecast",AVERAGE(E38:P38),SUMIF('Dept. Cost Actuals'!$E$7:$E$176,"*Office Supplies*",'Dept. Cost Actuals'!U$877:U$1046))</f>
        <v>0</v>
      </c>
      <c r="R38" s="668">
        <f>IF(R$4="forecast",AVERAGE(F38:Q38),SUMIF('Dept. Cost Actuals'!$E$7:$E$176,"*Office Supplies*",'Dept. Cost Actuals'!V$877:V$1046))</f>
        <v>50.9</v>
      </c>
      <c r="S38" s="668">
        <f>IF(S$4="forecast",AVERAGE(G38:R38),SUMIF('Dept. Cost Actuals'!$E$7:$E$176,"*Office Supplies*",'Dept. Cost Actuals'!W$877:W$1046))</f>
        <v>100.59</v>
      </c>
      <c r="T38" s="668">
        <f>IF(T$4="forecast",AVERAGE(H38:S38),SUMIF('Dept. Cost Actuals'!$E$7:$E$176,"*Office Supplies*",'Dept. Cost Actuals'!X$877:X$1046))</f>
        <v>93.82</v>
      </c>
      <c r="U38" s="668">
        <f>IF(U$4="forecast",AVERAGE(I38:T38),SUMIF('Dept. Cost Actuals'!$E$7:$E$176,"*Office Supplies*",'Dept. Cost Actuals'!Y$877:Y$1046))</f>
        <v>0</v>
      </c>
      <c r="V38" s="668">
        <f>IF(V$4="forecast",AVERAGE(J38:U38),SUMIF('Dept. Cost Actuals'!$E$7:$E$176,"*Office Supplies*",'Dept. Cost Actuals'!Z$877:Z$1046))</f>
        <v>0</v>
      </c>
      <c r="W38" s="668">
        <f>IF(W$4="forecast",AVERAGE(K38:V38),SUMIF('Dept. Cost Actuals'!$E$7:$E$176,"*Office Supplies*",'Dept. Cost Actuals'!AA$877:AA$1046))</f>
        <v>47.03</v>
      </c>
      <c r="X38" s="668">
        <f>IF(X$4="forecast",AVERAGE(L38:W38),SUMIF('Dept. Cost Actuals'!$E$7:$E$176,"*Office Supplies*",'Dept. Cost Actuals'!AB$877:AB$1046))</f>
        <v>0</v>
      </c>
      <c r="Y38" s="668">
        <f>IF(Y$4="forecast",AVERAGE(M38:X38),SUMIF('Dept. Cost Actuals'!$E$7:$E$176,"*Office Supplies*",'Dept. Cost Actuals'!AC$877:AC$1046))</f>
        <v>0</v>
      </c>
      <c r="Z38" s="668">
        <f>IF(Z$4="forecast",AVERAGE(N38:Y38),SUMIF('Dept. Cost Actuals'!$E$7:$E$176,"*Office Supplies*",'Dept. Cost Actuals'!AD$877:AD$1046))</f>
        <v>245.7</v>
      </c>
      <c r="AA38" s="668">
        <f>IF(AA$4="forecast",AVERAGE(O38:Z38),SUMIF('Dept. Cost Actuals'!$E$7:$E$176,"*Office Supplies*",'Dept. Cost Actuals'!AE$877:AE$1046))</f>
        <v>1460.12</v>
      </c>
      <c r="AB38" s="668">
        <f>IF(AB$4="forecast",AVERAGE(P38:AA38),SUMIF('Dept. Cost Actuals'!$E$7:$E$176,"*Office Supplies*",'Dept. Cost Actuals'!AF$877:AF$1046))</f>
        <v>42.79</v>
      </c>
      <c r="AC38" s="668">
        <f>IF(AC$4="forecast",AVERAGE(Q38:AB38),SUMIF('Dept. Cost Actuals'!$E$7:$E$176,"*Office Supplies*",'Dept. Cost Actuals'!AG$877:AG$1046))</f>
        <v>0</v>
      </c>
      <c r="AD38" s="668">
        <f>IF(AD$4="forecast",AVERAGE(R38:AC38),SUMIF('Dept. Cost Actuals'!$E$7:$E$176,"*Office Supplies*",'Dept. Cost Actuals'!AH$877:AH$1046))</f>
        <v>170.07916666666665</v>
      </c>
      <c r="AE38" s="668">
        <f>IF(AE$4="forecast",AVERAGE(S38:AD38),SUMIF('Dept. Cost Actuals'!$E$7:$E$176,"*Office Supplies*",'Dept. Cost Actuals'!AI$877:AI$1046))</f>
        <v>180.01076388888887</v>
      </c>
      <c r="AF38" s="668">
        <f>IF(AF$4="forecast",AVERAGE(T38:AE38),SUMIF('Dept. Cost Actuals'!$E$7:$E$176,"*Office Supplies*",'Dept. Cost Actuals'!AJ$877:AJ$1046))</f>
        <v>186.62916087962961</v>
      </c>
      <c r="AG38" s="668">
        <f>IF(AG$4="forecast",AVERAGE(U38:AF38),SUMIF('Dept. Cost Actuals'!$E$7:$E$176,"*Office Supplies*",'Dept. Cost Actuals'!AK$877:AK$1046))</f>
        <v>194.36325761959873</v>
      </c>
      <c r="AH38" s="668">
        <f>IF(AH$4="forecast",AVERAGE(V38:AG38),SUMIF('Dept. Cost Actuals'!$E$7:$E$176,"*Office Supplies*",'Dept. Cost Actuals'!AL$877:AL$1046))</f>
        <v>210.56019575456529</v>
      </c>
      <c r="AI38" s="668">
        <f>IF(AI$4="forecast",AVERAGE(W38:AH38),SUMIF('Dept. Cost Actuals'!$E$7:$E$176,"*Office Supplies*",'Dept. Cost Actuals'!AM$877:AM$1046))</f>
        <v>228.10687873411243</v>
      </c>
      <c r="AJ38" s="668">
        <f>IF(AJ$4="forecast",AVERAGE(X38:AI38),SUMIF('Dept. Cost Actuals'!$E$7:$E$176,"*Office Supplies*",'Dept. Cost Actuals'!AN$877:AN$1046))</f>
        <v>243.19661862862179</v>
      </c>
      <c r="AK38" s="668">
        <f>IF(AK$4="forecast",AVERAGE(Y38:AJ38),SUMIF('Dept. Cost Actuals'!$E$7:$E$176,"*Office Supplies*",'Dept. Cost Actuals'!AO$877:AO$1046))</f>
        <v>263.4630035143403</v>
      </c>
      <c r="AL38" s="668">
        <f>IF(AL$4="forecast",AVERAGE(Z38:AK38),SUMIF('Dept. Cost Actuals'!$E$7:$E$176,"*Office Supplies*",'Dept. Cost Actuals'!AP$877:AP$1046))</f>
        <v>285.41825380720201</v>
      </c>
      <c r="AM38" s="668">
        <f>IF(AM$4="forecast",AVERAGE(AA38:AL38),SUMIF('Dept. Cost Actuals'!$E$7:$E$176,"*Office Supplies*",'Dept. Cost Actuals'!AQ$877:AQ$1046))</f>
        <v>288.72810829113547</v>
      </c>
      <c r="AN38" s="668">
        <f>IF(AN$4="forecast",AVERAGE(AB38:AM38),SUMIF('Dept. Cost Actuals'!$E$7:$E$176,"*Office Supplies*",'Dept. Cost Actuals'!AR$877:AR$1046))</f>
        <v>191.11211731539674</v>
      </c>
      <c r="AO38" s="668">
        <f>IF(AO$4="forecast",AVERAGE(AC38:AN38),SUMIF('Dept. Cost Actuals'!$E$7:$E$176,"*Office Supplies*",'Dept. Cost Actuals'!AS$877:AS$1046))</f>
        <v>203.4722937583465</v>
      </c>
      <c r="AP38" s="668">
        <f>IF(AP$4="forecast",AVERAGE(AD38:AO38),SUMIF('Dept. Cost Actuals'!$E$7:$E$176,"*Office Supplies*",'Dept. Cost Actuals'!AT$877:AT$1046))</f>
        <v>220.4283182382087</v>
      </c>
      <c r="AQ38" s="668">
        <f>IF(AQ$4="forecast",AVERAGE(AE38:AP38),SUMIF('Dept. Cost Actuals'!$E$7:$E$176,"*Office Supplies*",'Dept. Cost Actuals'!AU$877:AU$1046))</f>
        <v>224.62408086917057</v>
      </c>
      <c r="AR38" s="668">
        <f>IF(AR$4="forecast",AVERAGE(AF38:AQ38),SUMIF('Dept. Cost Actuals'!$E$7:$E$176,"*Office Supplies*",'Dept. Cost Actuals'!AV$877:AV$1046))</f>
        <v>228.34185728419399</v>
      </c>
      <c r="AS38" s="668">
        <f>IF(AS$4="forecast",AVERAGE(AG38:AR38),SUMIF('Dept. Cost Actuals'!$E$7:$E$176,"*Office Supplies*",'Dept. Cost Actuals'!AW$877:AW$1046))</f>
        <v>231.8179153179077</v>
      </c>
      <c r="AT38" s="668">
        <f>IF(AT$4="forecast",AVERAGE(AH38:AS38),SUMIF('Dept. Cost Actuals'!$E$7:$E$176,"*Office Supplies*",'Dept. Cost Actuals'!AX$877:AX$1046))</f>
        <v>234.93913679276679</v>
      </c>
      <c r="AU38" s="668">
        <f>IF(AU$4="forecast",AVERAGE(AI38:AT38),SUMIF('Dept. Cost Actuals'!$E$7:$E$176,"*Office Supplies*",'Dept. Cost Actuals'!AY$877:AY$1046))</f>
        <v>236.97071521261691</v>
      </c>
      <c r="AV38" s="668">
        <f>IF(AV$4="forecast",AVERAGE(AJ38:AU38),SUMIF('Dept. Cost Actuals'!$E$7:$E$176,"*Office Supplies*",'Dept. Cost Actuals'!AZ$877:AZ$1046))</f>
        <v>237.70936825249228</v>
      </c>
      <c r="AW38" s="668">
        <f>IF(AW$4="forecast",AVERAGE(AK38:AV38),SUMIF('Dept. Cost Actuals'!$E$7:$E$176,"*Office Supplies*",'Dept. Cost Actuals'!BA$877:BA$1046))</f>
        <v>237.25209738781484</v>
      </c>
      <c r="AX38" s="668">
        <f>IF(AX$4="forecast",AVERAGE(AL38:AW38),SUMIF('Dept. Cost Actuals'!$E$7:$E$176,"*Office Supplies*",'Dept. Cost Actuals'!BB$877:BB$1046))</f>
        <v>235.06785521060442</v>
      </c>
      <c r="AY38" s="668">
        <f>IF(AY$4="forecast",AVERAGE(AM38:AX38),SUMIF('Dept. Cost Actuals'!$E$7:$E$176,"*Office Supplies*",'Dept. Cost Actuals'!BC$877:BC$1046))</f>
        <v>230.87198866088792</v>
      </c>
      <c r="AZ38" s="668">
        <f>IF(AZ$4="forecast",AVERAGE(AN38:AY38),SUMIF('Dept. Cost Actuals'!$E$7:$E$176,"*Office Supplies*",'Dept. Cost Actuals'!BD$877:BD$1046))</f>
        <v>226.05064535836723</v>
      </c>
      <c r="BA38" s="668">
        <f>IF(BA$4="forecast",AVERAGE(AO38:AZ38),SUMIF('Dept. Cost Actuals'!$E$7:$E$176,"*Office Supplies*",'Dept. Cost Actuals'!BE$877:BE$1046))</f>
        <v>228.96218936194816</v>
      </c>
      <c r="BB38" s="668">
        <f>IF(BB$4="forecast",AVERAGE(AP38:BA38),SUMIF('Dept. Cost Actuals'!$E$7:$E$176,"*Office Supplies*",'Dept. Cost Actuals'!BF$877:BF$1046))</f>
        <v>231.08634732891497</v>
      </c>
      <c r="BC38" s="668">
        <f>IF(BC$4="forecast",AVERAGE(AQ38:BB38),SUMIF('Dept. Cost Actuals'!$E$7:$E$176,"*Office Supplies*",'Dept. Cost Actuals'!BG$877:BG$1046))</f>
        <v>231.97451641980717</v>
      </c>
      <c r="BD38" s="668">
        <f>IF(BD$4="forecast",AVERAGE(AR38:BC38),SUMIF('Dept. Cost Actuals'!$E$7:$E$176,"*Office Supplies*",'Dept. Cost Actuals'!BH$877:BH$1046))</f>
        <v>232.58705271569355</v>
      </c>
      <c r="BE38" s="668">
        <f>IF(BE$4="forecast",AVERAGE(AS38:BD38),SUMIF('Dept. Cost Actuals'!$E$7:$E$176,"*Office Supplies*",'Dept. Cost Actuals'!BI$877:BI$1046))</f>
        <v>232.94081900165182</v>
      </c>
      <c r="BF38" s="668">
        <f>IF(BF$4="forecast",AVERAGE(AT38:BE38),SUMIF('Dept. Cost Actuals'!$E$7:$E$176,"*Office Supplies*",'Dept. Cost Actuals'!BJ$877:BJ$1046))</f>
        <v>233.03439430863054</v>
      </c>
      <c r="BG38" s="668">
        <f>IF(BG$4="forecast",AVERAGE(AU38:BF38),SUMIF('Dept. Cost Actuals'!$E$7:$E$176,"*Office Supplies*",'Dept. Cost Actuals'!BK$877:BK$1046))</f>
        <v>232.87566576828581</v>
      </c>
      <c r="BH38" s="668">
        <f>IF(BH$4="forecast",AVERAGE(AV38:BG38),SUMIF('Dept. Cost Actuals'!$E$7:$E$176,"*Office Supplies*",'Dept. Cost Actuals'!BL$877:BL$1046))</f>
        <v>232.53441164792488</v>
      </c>
      <c r="BI38" s="668">
        <f>IF(BI$4="forecast",AVERAGE(AW38:BH38),SUMIF('Dept. Cost Actuals'!$E$7:$E$176,"*Office Supplies*",'Dept. Cost Actuals'!BM$877:BM$1046))</f>
        <v>232.10316526421096</v>
      </c>
      <c r="BJ38" s="668">
        <f>IF(BJ$4="forecast",AVERAGE(AX38:BI38),SUMIF('Dept. Cost Actuals'!$E$7:$E$176,"*Office Supplies*",'Dept. Cost Actuals'!BN$877:BN$1046))</f>
        <v>231.67408758724397</v>
      </c>
      <c r="BK38" s="668">
        <f>IF(BK$4="forecast",AVERAGE(AY38:BJ38),SUMIF('Dept. Cost Actuals'!$E$7:$E$176,"*Office Supplies*",'Dept. Cost Actuals'!BO$877:BO$1046))</f>
        <v>231.39127361863055</v>
      </c>
      <c r="BL38" s="668">
        <f>IF(BL$4="forecast",AVERAGE(AZ38:BK38),SUMIF('Dept. Cost Actuals'!$E$7:$E$176,"*Office Supplies*",'Dept. Cost Actuals'!BP$877:BP$1046))</f>
        <v>231.43454736510913</v>
      </c>
      <c r="BM38" s="668">
        <f>IF(BM$4="forecast",AVERAGE(BA38:BL38),SUMIF('Dept. Cost Actuals'!$E$7:$E$176,"*Office Supplies*",'Dept. Cost Actuals'!BQ$877:BQ$1046))</f>
        <v>231.88320586567099</v>
      </c>
      <c r="BN38" s="668">
        <f>IF(BN$4="forecast",AVERAGE(BB38:BM38),SUMIF('Dept. Cost Actuals'!$E$7:$E$176,"*Office Supplies*",'Dept. Cost Actuals'!BR$877:BR$1046))</f>
        <v>232.12662390764785</v>
      </c>
      <c r="BO38" s="668">
        <f>IF(BO$4="forecast",AVERAGE(BC38:BN38),SUMIF('Dept. Cost Actuals'!$E$7:$E$176,"*Office Supplies*",'Dept. Cost Actuals'!BS$877:BS$1046))</f>
        <v>232.21331362254227</v>
      </c>
      <c r="BP38" s="668">
        <f>IF(BP$4="forecast",AVERAGE(BD38:BO38),SUMIF('Dept. Cost Actuals'!$E$7:$E$176,"*Office Supplies*",'Dept. Cost Actuals'!BT$877:BT$1046))</f>
        <v>232.23321338943683</v>
      </c>
      <c r="BQ38" s="668">
        <f>IF(BQ$4="forecast",AVERAGE(BE38:BP38),SUMIF('Dept. Cost Actuals'!$E$7:$E$176,"*Office Supplies*",'Dept. Cost Actuals'!BU$877:BU$1046))</f>
        <v>232.20372677891547</v>
      </c>
      <c r="BR38" s="668">
        <f>IF(BR$4="forecast",AVERAGE(BF38:BQ38),SUMIF('Dept. Cost Actuals'!$E$7:$E$176,"*Office Supplies*",'Dept. Cost Actuals'!BV$877:BV$1046))</f>
        <v>232.14230242702078</v>
      </c>
      <c r="BS38" s="668">
        <f>IF(BS$4="forecast",AVERAGE(BG38:BR38),SUMIF('Dept. Cost Actuals'!$E$7:$E$176,"*Office Supplies*",'Dept. Cost Actuals'!BW$877:BW$1046))</f>
        <v>232.06796143688666</v>
      </c>
      <c r="BT38" s="668">
        <f>IF(BT$4="forecast",AVERAGE(BH38:BS38),SUMIF('Dept. Cost Actuals'!$E$7:$E$176,"*Office Supplies*",'Dept. Cost Actuals'!BX$877:BX$1046))</f>
        <v>232.00065274260336</v>
      </c>
      <c r="BU38" s="668">
        <f>IF(BU$4="forecast",AVERAGE(BI38:BT38),SUMIF('Dept. Cost Actuals'!$E$7:$E$176,"*Office Supplies*",'Dept. Cost Actuals'!BY$877:BY$1046))</f>
        <v>231.95617283382651</v>
      </c>
      <c r="BV38" s="668">
        <f>IF(BV$4="forecast",AVERAGE(BJ38:BU38),SUMIF('Dept. Cost Actuals'!$E$7:$E$176,"*Office Supplies*",'Dept. Cost Actuals'!BZ$877:BZ$1046))</f>
        <v>231.94392346462789</v>
      </c>
    </row>
    <row r="39" spans="2:74" x14ac:dyDescent="0.25">
      <c r="B39" s="794" t="s">
        <v>922</v>
      </c>
      <c r="C39" s="668">
        <f>IF(C$4="forecast",AVERAGE(#REF!),SUMIF('Dept. Cost Actuals'!$E$7:$E$176,"*Development*",'Dept. Cost Actuals'!G$355:G$524))</f>
        <v>0</v>
      </c>
      <c r="D39" s="668">
        <f>IF(D$4="forecast",AVERAGE(#REF!),SUMIF('Dept. Cost Actuals'!$E$7:$E$176,"*Development*",'Dept. Cost Actuals'!H$355:H$524))</f>
        <v>45.376440658320917</v>
      </c>
      <c r="E39" s="668">
        <f>IF(E$4="forecast",AVERAGE(#REF!),SUMIF('Dept. Cost Actuals'!$E$7:$E$176,"*Development*",'Dept. Cost Actuals'!I$355:I$524))</f>
        <v>59.364835577093857</v>
      </c>
      <c r="F39" s="668">
        <f>IF(F$4="forecast",AVERAGE(#REF!),SUMIF('Dept. Cost Actuals'!$E$7:$E$176,"*Development*",'Dept. Cost Actuals'!J$355:J$524))</f>
        <v>50.301413282183894</v>
      </c>
      <c r="G39" s="668">
        <f>IF(G$4="forecast",AVERAGE(#REF!),SUMIF('Dept. Cost Actuals'!$E$7:$E$176,"*Development*",'Dept. Cost Actuals'!K$355:K$524))</f>
        <v>83.656320887310684</v>
      </c>
      <c r="H39" s="668">
        <f>IF(H$4="forecast",AVERAGE(#REF!),SUMIF('Dept. Cost Actuals'!$E$7:$E$176,"*Development*",'Dept. Cost Actuals'!L$355:L$524))</f>
        <v>0</v>
      </c>
      <c r="I39" s="668">
        <f>IF(I$4="forecast",AVERAGE(#REF!),SUMIF('Dept. Cost Actuals'!$E$7:$E$176,"*Development*",'Dept. Cost Actuals'!M$355:M$524))</f>
        <v>16.652783132326316</v>
      </c>
      <c r="J39" s="668">
        <f>IF(J$4="forecast",AVERAGE(#REF!),SUMIF('Dept. Cost Actuals'!$E$7:$E$176,"*Development*",'Dept. Cost Actuals'!N$355:N$524))</f>
        <v>0</v>
      </c>
      <c r="K39" s="668">
        <f>IF(K$4="forecast",AVERAGE(#REF!),SUMIF('Dept. Cost Actuals'!$E$7:$E$176,"*Development*",'Dept. Cost Actuals'!O$355:O$524))</f>
        <v>0</v>
      </c>
      <c r="L39" s="668">
        <f>IF(L$4="forecast",AVERAGE(#REF!),SUMIF('Dept. Cost Actuals'!$E$7:$E$176,"*Development*",'Dept. Cost Actuals'!P$355:P$524))</f>
        <v>4.9664615132242389</v>
      </c>
      <c r="M39" s="668">
        <f>IF(M$4="forecast",AVERAGE(A39:L39),SUMIF('Dept. Cost Actuals'!$E$7:$E$176,"*Development*",'Dept. Cost Actuals'!Q$355:Q$524))</f>
        <v>0</v>
      </c>
      <c r="N39" s="668">
        <f>IF(N$4="forecast",AVERAGE(B39:M39),SUMIF('Dept. Cost Actuals'!$E$7:$E$176,"*Development*",'Dept. Cost Actuals'!R$355:R$524))</f>
        <v>0</v>
      </c>
      <c r="O39" s="668">
        <f>IF(O$4="forecast",AVERAGE(C39:N39),SUMIF('Dept. Cost Actuals'!$E$7:$E$176,"*Development*",'Dept. Cost Actuals'!S$355:S$524))</f>
        <v>0</v>
      </c>
      <c r="P39" s="668">
        <f>IF(P$4="forecast",AVERAGE(D39:O39),SUMIF('Dept. Cost Actuals'!$E$7:$E$176,"*Development*",'Dept. Cost Actuals'!T$355:T$524))</f>
        <v>0</v>
      </c>
      <c r="Q39" s="668">
        <f>IF(Q$4="forecast",AVERAGE(E39:P39),SUMIF('Dept. Cost Actuals'!$E$7:$E$176,"*Development*",'Dept. Cost Actuals'!U$355:U$524))</f>
        <v>0</v>
      </c>
      <c r="R39" s="668">
        <f>IF(R$4="forecast",AVERAGE(F39:Q39),SUMIF('Dept. Cost Actuals'!$E$7:$E$176,"*Development*",'Dept. Cost Actuals'!V$355:V$524))</f>
        <v>0</v>
      </c>
      <c r="S39" s="668">
        <f>IF(S$4="forecast",AVERAGE(G39:R39),SUMIF('Dept. Cost Actuals'!$E$7:$E$176,"*Development*",'Dept. Cost Actuals'!W$355:W$524))</f>
        <v>0</v>
      </c>
      <c r="T39" s="668">
        <f>IF(T$4="forecast",AVERAGE(H39:S39),SUMIF('Dept. Cost Actuals'!$E$7:$E$176,"*Development*",'Dept. Cost Actuals'!X$355:X$524))</f>
        <v>17.95</v>
      </c>
      <c r="U39" s="668">
        <f>IF(U$4="forecast",AVERAGE(I39:T39),SUMIF('Dept. Cost Actuals'!$E$7:$E$176,"*Development*",'Dept. Cost Actuals'!Y$355:Y$524))</f>
        <v>71.849999999999994</v>
      </c>
      <c r="V39" s="668">
        <f>IF(V$4="forecast",AVERAGE(J39:U39),SUMIF('Dept. Cost Actuals'!$E$7:$E$176,"*Development*",'Dept. Cost Actuals'!Z$355:Z$524))</f>
        <v>0</v>
      </c>
      <c r="W39" s="668">
        <f>IF(W$4="forecast",AVERAGE(K39:V39),SUMIF('Dept. Cost Actuals'!$E$7:$E$176,"*Development*",'Dept. Cost Actuals'!AA$355:AA$524))</f>
        <v>0</v>
      </c>
      <c r="X39" s="668">
        <f>IF(X$4="forecast",AVERAGE(L39:W39),SUMIF('Dept. Cost Actuals'!$E$7:$E$176,"*Development*",'Dept. Cost Actuals'!AB$355:AB$524))</f>
        <v>0</v>
      </c>
      <c r="Y39" s="668">
        <f>IF(Y$4="forecast",AVERAGE(M39:X39),SUMIF('Dept. Cost Actuals'!$E$7:$E$176,"*Development*",'Dept. Cost Actuals'!AC$355:AC$524))</f>
        <v>0</v>
      </c>
      <c r="Z39" s="668">
        <f>IF(Z$4="forecast",AVERAGE(N39:Y39),SUMIF('Dept. Cost Actuals'!$E$7:$E$176,"*Development*",'Dept. Cost Actuals'!AD$355:AD$524))</f>
        <v>0</v>
      </c>
      <c r="AA39" s="668">
        <f>IF(AA$4="forecast",AVERAGE(O39:Z39),SUMIF('Dept. Cost Actuals'!$E$7:$E$176,"*Development*",'Dept. Cost Actuals'!AE$355:AE$524))</f>
        <v>0</v>
      </c>
      <c r="AB39" s="668">
        <f>IF(AB$4="forecast",AVERAGE(P39:AA39),SUMIF('Dept. Cost Actuals'!$E$7:$E$176,"*Development*",'Dept. Cost Actuals'!AF$355:AF$524))</f>
        <v>27.48</v>
      </c>
      <c r="AC39" s="668">
        <f>IF(AC$4="forecast",AVERAGE(Q39:AB39),SUMIF('Dept. Cost Actuals'!$E$7:$E$176,"*Development*",'Dept. Cost Actuals'!AG$355:AG$524))</f>
        <v>0</v>
      </c>
      <c r="AD39" s="668">
        <f>IF(AD$4="forecast",AVERAGE(R39:AC39),SUMIF('Dept. Cost Actuals'!$E$7:$E$176,"*Development*",'Dept. Cost Actuals'!AH$355:AH$524))</f>
        <v>9.7733333333333334</v>
      </c>
      <c r="AE39" s="668">
        <f>IF(AE$4="forecast",AVERAGE(S39:AD39),SUMIF('Dept. Cost Actuals'!$E$7:$E$176,"*Development*",'Dept. Cost Actuals'!AI$355:AI$524))</f>
        <v>10.587777777777779</v>
      </c>
      <c r="AF39" s="668">
        <f>IF(AF$4="forecast",AVERAGE(T39:AE39),SUMIF('Dept. Cost Actuals'!$E$7:$E$176,"*Development*",'Dept. Cost Actuals'!AJ$355:AJ$524))</f>
        <v>11.470092592592593</v>
      </c>
      <c r="AG39" s="668">
        <f>IF(AG$4="forecast",AVERAGE(U39:AF39),SUMIF('Dept. Cost Actuals'!$E$7:$E$176,"*Development*",'Dept. Cost Actuals'!AK$355:AK$524))</f>
        <v>10.930100308641974</v>
      </c>
      <c r="AH39" s="668">
        <f>IF(AH$4="forecast",AVERAGE(V39:AG39),SUMIF('Dept. Cost Actuals'!$E$7:$E$176,"*Development*",'Dept. Cost Actuals'!AL$355:AL$524))</f>
        <v>5.8534420010288066</v>
      </c>
      <c r="AI39" s="668">
        <f>IF(AI$4="forecast",AVERAGE(W39:AH39),SUMIF('Dept. Cost Actuals'!$E$7:$E$176,"*Development*",'Dept. Cost Actuals'!AM$355:AM$524))</f>
        <v>6.3412288344478744</v>
      </c>
      <c r="AJ39" s="668">
        <f>IF(AJ$4="forecast",AVERAGE(X39:AI39),SUMIF('Dept. Cost Actuals'!$E$7:$E$176,"*Development*",'Dept. Cost Actuals'!AN$355:AN$524))</f>
        <v>6.8696645706518638</v>
      </c>
      <c r="AK39" s="668">
        <f>IF(AK$4="forecast",AVERAGE(Y39:AJ39),SUMIF('Dept. Cost Actuals'!$E$7:$E$176,"*Development*",'Dept. Cost Actuals'!AO$355:AO$524))</f>
        <v>7.4421366182061854</v>
      </c>
      <c r="AL39" s="668">
        <f>IF(AL$4="forecast",AVERAGE(Z39:AK39),SUMIF('Dept. Cost Actuals'!$E$7:$E$176,"*Development*",'Dept. Cost Actuals'!AP$355:AP$524))</f>
        <v>8.062314669723369</v>
      </c>
      <c r="AM39" s="668">
        <f>IF(AM$4="forecast",AVERAGE(AA39:AL39),SUMIF('Dept. Cost Actuals'!$E$7:$E$176,"*Development*",'Dept. Cost Actuals'!AQ$355:AQ$524))</f>
        <v>8.7341742255336481</v>
      </c>
      <c r="AN39" s="668">
        <f>IF(AN$4="forecast",AVERAGE(AB39:AM39),SUMIF('Dept. Cost Actuals'!$E$7:$E$176,"*Development*",'Dept. Cost Actuals'!AR$355:AR$524))</f>
        <v>9.4620220776614534</v>
      </c>
      <c r="AO39" s="668">
        <f>IF(AO$4="forecast",AVERAGE(AC39:AN39),SUMIF('Dept. Cost Actuals'!$E$7:$E$176,"*Development*",'Dept. Cost Actuals'!AS$355:AS$524))</f>
        <v>7.9605239174665741</v>
      </c>
      <c r="AP39" s="668">
        <f>IF(AP$4="forecast",AVERAGE(AD39:AO39),SUMIF('Dept. Cost Actuals'!$E$7:$E$176,"*Development*",'Dept. Cost Actuals'!AT$355:AT$524))</f>
        <v>8.6239009105887892</v>
      </c>
      <c r="AQ39" s="668">
        <f>IF(AQ$4="forecast",AVERAGE(AE39:AP39),SUMIF('Dept. Cost Actuals'!$E$7:$E$176,"*Development*",'Dept. Cost Actuals'!AU$355:AU$524))</f>
        <v>8.5281148753600764</v>
      </c>
      <c r="AR39" s="668">
        <f>IF(AR$4="forecast",AVERAGE(AF39:AQ39),SUMIF('Dept. Cost Actuals'!$E$7:$E$176,"*Development*",'Dept. Cost Actuals'!AV$355:AV$524))</f>
        <v>8.3564763001586009</v>
      </c>
      <c r="AS39" s="668">
        <f>IF(AS$4="forecast",AVERAGE(AG39:AR39),SUMIF('Dept. Cost Actuals'!$E$7:$E$176,"*Development*",'Dept. Cost Actuals'!AW$355:AW$524))</f>
        <v>8.0970082757891024</v>
      </c>
      <c r="AT39" s="668">
        <f>IF(AT$4="forecast",AVERAGE(AH39:AS39),SUMIF('Dept. Cost Actuals'!$E$7:$E$176,"*Development*",'Dept. Cost Actuals'!AX$355:AX$524))</f>
        <v>7.8609172730513626</v>
      </c>
      <c r="AU39" s="668">
        <f>IF(AU$4="forecast",AVERAGE(AI39:AT39),SUMIF('Dept. Cost Actuals'!$E$7:$E$176,"*Development*",'Dept. Cost Actuals'!AY$355:AY$524))</f>
        <v>8.0282068790532417</v>
      </c>
      <c r="AV39" s="668">
        <f>IF(AV$4="forecast",AVERAGE(AJ39:AU39),SUMIF('Dept. Cost Actuals'!$E$7:$E$176,"*Development*",'Dept. Cost Actuals'!AZ$355:AZ$524))</f>
        <v>8.1687883827703569</v>
      </c>
      <c r="AW39" s="668">
        <f>IF(AW$4="forecast",AVERAGE(AK39:AV39),SUMIF('Dept. Cost Actuals'!$E$7:$E$176,"*Development*",'Dept. Cost Actuals'!BA$355:BA$524))</f>
        <v>8.2770487004468958</v>
      </c>
      <c r="AX39" s="668">
        <f>IF(AX$4="forecast",AVERAGE(AL39:AW39),SUMIF('Dept. Cost Actuals'!$E$7:$E$176,"*Development*",'Dept. Cost Actuals'!BB$355:BB$524))</f>
        <v>8.3466247073002897</v>
      </c>
      <c r="AY39" s="668">
        <f>IF(AY$4="forecast",AVERAGE(AM39:AX39),SUMIF('Dept. Cost Actuals'!$E$7:$E$176,"*Development*",'Dept. Cost Actuals'!BC$355:BC$524))</f>
        <v>8.3703172104316987</v>
      </c>
      <c r="AZ39" s="668">
        <f>IF(AZ$4="forecast",AVERAGE(AN39:AY39),SUMIF('Dept. Cost Actuals'!$E$7:$E$176,"*Development*",'Dept. Cost Actuals'!BD$355:BD$524))</f>
        <v>8.3399957925065369</v>
      </c>
      <c r="BA39" s="668">
        <f>IF(BA$4="forecast",AVERAGE(AO39:AZ39),SUMIF('Dept. Cost Actuals'!$E$7:$E$176,"*Development*",'Dept. Cost Actuals'!BE$355:BE$524))</f>
        <v>8.2464936020769617</v>
      </c>
      <c r="BB39" s="668">
        <f>IF(BB$4="forecast",AVERAGE(AP39:BA39),SUMIF('Dept. Cost Actuals'!$E$7:$E$176,"*Development*",'Dept. Cost Actuals'!BF$355:BF$524))</f>
        <v>8.2703244091278272</v>
      </c>
      <c r="BC39" s="668">
        <f>IF(BC$4="forecast",AVERAGE(AQ39:BB39),SUMIF('Dept. Cost Actuals'!$E$7:$E$176,"*Development*",'Dept. Cost Actuals'!BG$355:BG$524))</f>
        <v>8.2408597006727469</v>
      </c>
      <c r="BD39" s="668">
        <f>IF(BD$4="forecast",AVERAGE(AR39:BC39),SUMIF('Dept. Cost Actuals'!$E$7:$E$176,"*Development*",'Dept. Cost Actuals'!BH$355:BH$524))</f>
        <v>8.2169217694488026</v>
      </c>
      <c r="BE39" s="668">
        <f>IF(BE$4="forecast",AVERAGE(AS39:BD39),SUMIF('Dept. Cost Actuals'!$E$7:$E$176,"*Development*",'Dept. Cost Actuals'!BI$355:BI$524))</f>
        <v>8.2052922252229852</v>
      </c>
      <c r="BF39" s="668">
        <f>IF(BF$4="forecast",AVERAGE(AT39:BE39),SUMIF('Dept. Cost Actuals'!$E$7:$E$176,"*Development*",'Dept. Cost Actuals'!BJ$355:BJ$524))</f>
        <v>8.2143158876758093</v>
      </c>
      <c r="BG39" s="668">
        <f>IF(BG$4="forecast",AVERAGE(AU39:BF39),SUMIF('Dept. Cost Actuals'!$E$7:$E$176,"*Development*",'Dept. Cost Actuals'!BK$355:BK$524))</f>
        <v>8.2437657722278459</v>
      </c>
      <c r="BH39" s="668">
        <f>IF(BH$4="forecast",AVERAGE(AV39:BG39),SUMIF('Dept. Cost Actuals'!$E$7:$E$176,"*Development*",'Dept. Cost Actuals'!BL$355:BL$524))</f>
        <v>8.2617290133257288</v>
      </c>
      <c r="BI39" s="668">
        <f>IF(BI$4="forecast",AVERAGE(AW39:BH39),SUMIF('Dept. Cost Actuals'!$E$7:$E$176,"*Development*",'Dept. Cost Actuals'!BM$355:BM$524))</f>
        <v>8.2694740658720107</v>
      </c>
      <c r="BJ39" s="668">
        <f>IF(BJ$4="forecast",AVERAGE(AX39:BI39),SUMIF('Dept. Cost Actuals'!$E$7:$E$176,"*Development*",'Dept. Cost Actuals'!BN$355:BN$524))</f>
        <v>8.2688428463241035</v>
      </c>
      <c r="BK39" s="668">
        <f>IF(BK$4="forecast",AVERAGE(AY39:BJ39),SUMIF('Dept. Cost Actuals'!$E$7:$E$176,"*Development*",'Dept. Cost Actuals'!BO$355:BO$524))</f>
        <v>8.262361024576089</v>
      </c>
      <c r="BL39" s="668">
        <f>IF(BL$4="forecast",AVERAGE(AZ39:BK39),SUMIF('Dept. Cost Actuals'!$E$7:$E$176,"*Development*",'Dept. Cost Actuals'!BP$355:BP$524))</f>
        <v>8.2533646757547903</v>
      </c>
      <c r="BM39" s="668">
        <f>IF(BM$4="forecast",AVERAGE(BA39:BL39),SUMIF('Dept. Cost Actuals'!$E$7:$E$176,"*Development*",'Dept. Cost Actuals'!BQ$355:BQ$524))</f>
        <v>8.2461454160254757</v>
      </c>
      <c r="BN39" s="668">
        <f>IF(BN$4="forecast",AVERAGE(BB39:BM39),SUMIF('Dept. Cost Actuals'!$E$7:$E$176,"*Development*",'Dept. Cost Actuals'!BR$355:BR$524))</f>
        <v>8.2461164005211849</v>
      </c>
      <c r="BO39" s="668">
        <f>IF(BO$4="forecast",AVERAGE(BC39:BN39),SUMIF('Dept. Cost Actuals'!$E$7:$E$176,"*Development*",'Dept. Cost Actuals'!BS$355:BS$524))</f>
        <v>8.244099066470632</v>
      </c>
      <c r="BP39" s="668">
        <f>IF(BP$4="forecast",AVERAGE(BD39:BO39),SUMIF('Dept. Cost Actuals'!$E$7:$E$176,"*Development*",'Dept. Cost Actuals'!BT$355:BT$524))</f>
        <v>8.2443690136204548</v>
      </c>
      <c r="BQ39" s="668">
        <f>IF(BQ$4="forecast",AVERAGE(BE39:BP39),SUMIF('Dept. Cost Actuals'!$E$7:$E$176,"*Development*",'Dept. Cost Actuals'!BU$355:BU$524))</f>
        <v>8.2466562839680932</v>
      </c>
      <c r="BR39" s="668">
        <f>IF(BR$4="forecast",AVERAGE(BF39:BQ39),SUMIF('Dept. Cost Actuals'!$E$7:$E$176,"*Development*",'Dept. Cost Actuals'!BV$355:BV$524))</f>
        <v>8.2501032888635191</v>
      </c>
      <c r="BS39" s="668">
        <f>IF(BS$4="forecast",AVERAGE(BG39:BR39),SUMIF('Dept. Cost Actuals'!$E$7:$E$176,"*Development*",'Dept. Cost Actuals'!BW$355:BW$524))</f>
        <v>8.2530855722958272</v>
      </c>
      <c r="BT39" s="668">
        <f>IF(BT$4="forecast",AVERAGE(BH39:BS39),SUMIF('Dept. Cost Actuals'!$E$7:$E$176,"*Development*",'Dept. Cost Actuals'!BX$355:BX$524))</f>
        <v>8.2538622223014926</v>
      </c>
      <c r="BU39" s="668">
        <f>IF(BU$4="forecast",AVERAGE(BI39:BT39),SUMIF('Dept. Cost Actuals'!$E$7:$E$176,"*Development*",'Dept. Cost Actuals'!BY$355:BY$524))</f>
        <v>8.2532066563828064</v>
      </c>
      <c r="BV39" s="668">
        <f>IF(BV$4="forecast",AVERAGE(BJ39:BU39),SUMIF('Dept. Cost Actuals'!$E$7:$E$176,"*Development*",'Dept. Cost Actuals'!BZ$355:BZ$524))</f>
        <v>8.2518510389253716</v>
      </c>
    </row>
    <row r="40" spans="2:74" x14ac:dyDescent="0.25">
      <c r="B40" s="794" t="s">
        <v>944</v>
      </c>
      <c r="C40" s="668">
        <f>IF(C$4="forecast",AVERAGE(#REF!),SUMIF('Dept. Cost Actuals'!$E$7:$E$176,"*Dues and Subscriptions*",'Dept. Cost Actuals'!G$877:G$1046))</f>
        <v>12.94240808108996</v>
      </c>
      <c r="D40" s="668">
        <f>IF(D$4="forecast",AVERAGE(#REF!),SUMIF('Dept. Cost Actuals'!$E$7:$E$176,"*Dues and Subscriptions*",'Dept. Cost Actuals'!H$877:H$1046))</f>
        <v>19.541522508569539</v>
      </c>
      <c r="E40" s="668">
        <f>IF(E$4="forecast",AVERAGE(#REF!),SUMIF('Dept. Cost Actuals'!$E$7:$E$176,"*Dues and Subscriptions*",'Dept. Cost Actuals'!I$877:I$1046))</f>
        <v>2.6645922879130106</v>
      </c>
      <c r="F40" s="668">
        <f>IF(F$4="forecast",AVERAGE(#REF!),SUMIF('Dept. Cost Actuals'!$E$7:$E$176,"*Dues and Subscriptions*",'Dept. Cost Actuals'!J$877:J$1046))</f>
        <v>4.0967458856666763</v>
      </c>
      <c r="G40" s="668">
        <f>IF(G$4="forecast",AVERAGE(#REF!),SUMIF('Dept. Cost Actuals'!$E$7:$E$176,"*Dues and Subscriptions*",'Dept. Cost Actuals'!K$877:K$1046))</f>
        <v>190.76088834671319</v>
      </c>
      <c r="H40" s="668">
        <f>IF(H$4="forecast",AVERAGE(#REF!),SUMIF('Dept. Cost Actuals'!$E$7:$E$176,"*Dues and Subscriptions*",'Dept. Cost Actuals'!L$877:L$1046))</f>
        <v>262.11</v>
      </c>
      <c r="I40" s="668">
        <f>IF(I$4="forecast",AVERAGE(#REF!),SUMIF('Dept. Cost Actuals'!$E$7:$E$176,"*Dues and Subscriptions*",'Dept. Cost Actuals'!M$877:M$1046))</f>
        <v>0</v>
      </c>
      <c r="J40" s="668">
        <f>IF(J$4="forecast",AVERAGE(#REF!),SUMIF('Dept. Cost Actuals'!$E$7:$E$176,"*Dues and Subscriptions*",'Dept. Cost Actuals'!N$877:N$1046))</f>
        <v>6.9118276334504687</v>
      </c>
      <c r="K40" s="668">
        <f>IF(K$4="forecast",AVERAGE(#REF!),SUMIF('Dept. Cost Actuals'!$E$7:$E$176,"*Dues and Subscriptions*",'Dept. Cost Actuals'!O$877:O$1046))</f>
        <v>0</v>
      </c>
      <c r="L40" s="668">
        <f>IF(L$4="forecast",AVERAGE(#REF!),SUMIF('Dept. Cost Actuals'!$E$7:$E$176,"*Dues and Subscriptions*",'Dept. Cost Actuals'!P$877:P$1046))</f>
        <v>98.616448230493674</v>
      </c>
      <c r="M40" s="668">
        <f>IF(M$4="forecast",AVERAGE(A40:L40),SUMIF('Dept. Cost Actuals'!$E$7:$E$176,"*Dues and Subscriptions*",'Dept. Cost Actuals'!Q$877:Q$1046))</f>
        <v>0</v>
      </c>
      <c r="N40" s="668">
        <f>IF(N$4="forecast",AVERAGE(B40:M40),SUMIF('Dept. Cost Actuals'!$E$7:$E$176,"*Dues and Subscriptions*",'Dept. Cost Actuals'!R$877:R$1046))</f>
        <v>0</v>
      </c>
      <c r="O40" s="668">
        <f>IF(O$4="forecast",AVERAGE(C40:N40),SUMIF('Dept. Cost Actuals'!$E$7:$E$176,"*Dues and Subscriptions*",'Dept. Cost Actuals'!S$877:S$1046))</f>
        <v>0</v>
      </c>
      <c r="P40" s="668">
        <f>IF(P$4="forecast",AVERAGE(D40:O40),SUMIF('Dept. Cost Actuals'!$E$7:$E$176,"*Dues and Subscriptions*",'Dept. Cost Actuals'!T$877:T$1046))</f>
        <v>45</v>
      </c>
      <c r="Q40" s="668">
        <f>IF(Q$4="forecast",AVERAGE(E40:P40),SUMIF('Dept. Cost Actuals'!$E$7:$E$176,"*Dues and Subscriptions*",'Dept. Cost Actuals'!U$877:U$1046))</f>
        <v>0</v>
      </c>
      <c r="R40" s="668">
        <f>IF(R$4="forecast",AVERAGE(F40:Q40),SUMIF('Dept. Cost Actuals'!$E$7:$E$176,"*Dues and Subscriptions*",'Dept. Cost Actuals'!V$877:V$1046))</f>
        <v>0</v>
      </c>
      <c r="S40" s="668">
        <f>IF(S$4="forecast",AVERAGE(G40:R40),SUMIF('Dept. Cost Actuals'!$E$7:$E$176,"*Dues and Subscriptions*",'Dept. Cost Actuals'!W$877:W$1046))</f>
        <v>4470.83</v>
      </c>
      <c r="T40" s="668">
        <f>IF(T$4="forecast",AVERAGE(H40:S40),SUMIF('Dept. Cost Actuals'!$E$7:$E$176,"*Dues and Subscriptions*",'Dept. Cost Actuals'!X$877:X$1046))</f>
        <v>489.17</v>
      </c>
      <c r="U40" s="668">
        <f>IF(U$4="forecast",AVERAGE(I40:T40),SUMIF('Dept. Cost Actuals'!$E$7:$E$176,"*Dues and Subscriptions*",'Dept. Cost Actuals'!Y$877:Y$1046))</f>
        <v>4252.51</v>
      </c>
      <c r="V40" s="668">
        <f>IF(V$4="forecast",AVERAGE(J40:U40),SUMIF('Dept. Cost Actuals'!$E$7:$E$176,"*Dues and Subscriptions*",'Dept. Cost Actuals'!Z$877:Z$1046))</f>
        <v>745.79</v>
      </c>
      <c r="W40" s="668">
        <f>IF(W$4="forecast",AVERAGE(K40:V40),SUMIF('Dept. Cost Actuals'!$E$7:$E$176,"*Dues and Subscriptions*",'Dept. Cost Actuals'!AA$877:AA$1046))</f>
        <v>745.79</v>
      </c>
      <c r="X40" s="668">
        <f>IF(X$4="forecast",AVERAGE(L40:W40),SUMIF('Dept. Cost Actuals'!$E$7:$E$176,"*Dues and Subscriptions*",'Dept. Cost Actuals'!AB$877:AB$1046))</f>
        <v>745.79</v>
      </c>
      <c r="Y40" s="668">
        <f>IF(Y$4="forecast",AVERAGE(M40:X40),SUMIF('Dept. Cost Actuals'!$E$7:$E$176,"*Dues and Subscriptions*",'Dept. Cost Actuals'!AC$877:AC$1046))</f>
        <v>745.79</v>
      </c>
      <c r="Z40" s="668">
        <f>IF(Z$4="forecast",AVERAGE(N40:Y40),SUMIF('Dept. Cost Actuals'!$E$7:$E$176,"*Dues and Subscriptions*",'Dept. Cost Actuals'!AD$877:AD$1046))</f>
        <v>745.79</v>
      </c>
      <c r="AA40" s="668">
        <f>IF(AA$4="forecast",AVERAGE(O40:Z40),SUMIF('Dept. Cost Actuals'!$E$7:$E$176,"*Dues and Subscriptions*",'Dept. Cost Actuals'!AE$877:AE$1046))</f>
        <v>745.79</v>
      </c>
      <c r="AB40" s="668">
        <f>IF(AB$4="forecast",AVERAGE(P40:AA40),SUMIF('Dept. Cost Actuals'!$E$7:$E$176,"*Dues and Subscriptions*",'Dept. Cost Actuals'!AF$877:AF$1046))</f>
        <v>1790.79</v>
      </c>
      <c r="AC40" s="668">
        <f>IF(AC$4="forecast",AVERAGE(Q40:AB40),SUMIF('Dept. Cost Actuals'!$E$7:$E$176,"*Dues and Subscriptions*",'Dept. Cost Actuals'!AG$877:AG$1046))</f>
        <v>770.74</v>
      </c>
      <c r="AD40" s="668">
        <f>IF(AD$4="forecast",AVERAGE(R40:AC40),SUMIF('Dept. Cost Actuals'!$E$7:$E$176,"*Dues and Subscriptions*",'Dept. Cost Actuals'!AH$877:AH$1046))</f>
        <v>1354.0650000000003</v>
      </c>
      <c r="AE40" s="668">
        <f>IF(AE$4="forecast",AVERAGE(S40:AD40),SUMIF('Dept. Cost Actuals'!$E$7:$E$176,"*Dues and Subscriptions*",'Dept. Cost Actuals'!AI$877:AI$1046))</f>
        <v>1466.9037500000004</v>
      </c>
      <c r="AF40" s="668">
        <f>IF(AF$4="forecast",AVERAGE(T40:AE40),SUMIF('Dept. Cost Actuals'!$E$7:$E$176,"*Dues and Subscriptions*",'Dept. Cost Actuals'!AJ$877:AJ$1046))</f>
        <v>1216.5765625000004</v>
      </c>
      <c r="AG40" s="668">
        <f>IF(AG$4="forecast",AVERAGE(U40:AF40),SUMIF('Dept. Cost Actuals'!$E$7:$E$176,"*Dues and Subscriptions*",'Dept. Cost Actuals'!AK$877:AK$1046))</f>
        <v>1277.193776041667</v>
      </c>
      <c r="AH40" s="668">
        <f>IF(AH$4="forecast",AVERAGE(V40:AG40),SUMIF('Dept. Cost Actuals'!$E$7:$E$176,"*Dues and Subscriptions*",'Dept. Cost Actuals'!AL$877:AL$1046))</f>
        <v>1029.2507573784724</v>
      </c>
      <c r="AI40" s="668">
        <f>IF(AI$4="forecast",AVERAGE(W40:AH40),SUMIF('Dept. Cost Actuals'!$E$7:$E$176,"*Dues and Subscriptions*",'Dept. Cost Actuals'!AM$877:AM$1046))</f>
        <v>1052.8724871600116</v>
      </c>
      <c r="AJ40" s="668">
        <f>IF(AJ$4="forecast",AVERAGE(X40:AI40),SUMIF('Dept. Cost Actuals'!$E$7:$E$176,"*Dues and Subscriptions*",'Dept. Cost Actuals'!AN$877:AN$1046))</f>
        <v>1078.4626944233462</v>
      </c>
      <c r="AK40" s="668">
        <f>IF(AK$4="forecast",AVERAGE(Y40:AJ40),SUMIF('Dept. Cost Actuals'!$E$7:$E$176,"*Dues and Subscriptions*",'Dept. Cost Actuals'!AO$877:AO$1046))</f>
        <v>1106.185418958625</v>
      </c>
      <c r="AL40" s="668">
        <f>IF(AL$4="forecast",AVERAGE(Z40:AK40),SUMIF('Dept. Cost Actuals'!$E$7:$E$176,"*Dues and Subscriptions*",'Dept. Cost Actuals'!AP$877:AP$1046))</f>
        <v>1136.2183705385103</v>
      </c>
      <c r="AM40" s="668">
        <f>IF(AM$4="forecast",AVERAGE(AA40:AL40),SUMIF('Dept. Cost Actuals'!$E$7:$E$176,"*Dues and Subscriptions*",'Dept. Cost Actuals'!AQ$877:AQ$1046))</f>
        <v>1168.7540680833861</v>
      </c>
      <c r="AN40" s="668">
        <f>IF(AN$4="forecast",AVERAGE(AB40:AM40),SUMIF('Dept. Cost Actuals'!$E$7:$E$176,"*Dues and Subscriptions*",'Dept. Cost Actuals'!AR$877:AR$1046))</f>
        <v>1204.0010737570017</v>
      </c>
      <c r="AO40" s="668">
        <f>IF(AO$4="forecast",AVERAGE(AC40:AN40),SUMIF('Dept. Cost Actuals'!$E$7:$E$176,"*Dues and Subscriptions*",'Dept. Cost Actuals'!AS$877:AS$1046))</f>
        <v>1155.101996570085</v>
      </c>
      <c r="AP40" s="668">
        <f>IF(AP$4="forecast",AVERAGE(AD40:AO40),SUMIF('Dept. Cost Actuals'!$E$7:$E$176,"*Dues and Subscriptions*",'Dept. Cost Actuals'!AT$877:AT$1046))</f>
        <v>1187.1321629509255</v>
      </c>
      <c r="AQ40" s="668">
        <f>IF(AQ$4="forecast",AVERAGE(AE40:AP40),SUMIF('Dept. Cost Actuals'!$E$7:$E$176,"*Dues and Subscriptions*",'Dept. Cost Actuals'!AU$877:AU$1046))</f>
        <v>1173.2210931968359</v>
      </c>
      <c r="AR40" s="668">
        <f>IF(AR$4="forecast",AVERAGE(AF40:AQ40),SUMIF('Dept. Cost Actuals'!$E$7:$E$176,"*Dues and Subscriptions*",'Dept. Cost Actuals'!AV$877:AV$1046))</f>
        <v>1148.7475384632389</v>
      </c>
      <c r="AS40" s="668">
        <f>IF(AS$4="forecast",AVERAGE(AG40:AR40),SUMIF('Dept. Cost Actuals'!$E$7:$E$176,"*Dues and Subscriptions*",'Dept. Cost Actuals'!AW$877:AW$1046))</f>
        <v>1143.095119793509</v>
      </c>
      <c r="AT40" s="668">
        <f>IF(AT$4="forecast",AVERAGE(AH40:AS40),SUMIF('Dept. Cost Actuals'!$E$7:$E$176,"*Dues and Subscriptions*",'Dept. Cost Actuals'!AX$877:AX$1046))</f>
        <v>1131.9202317728291</v>
      </c>
      <c r="AU40" s="668">
        <f>IF(AU$4="forecast",AVERAGE(AI40:AT40),SUMIF('Dept. Cost Actuals'!$E$7:$E$176,"*Dues and Subscriptions*",'Dept. Cost Actuals'!AY$877:AY$1046))</f>
        <v>1140.4760213056918</v>
      </c>
      <c r="AV40" s="668">
        <f>IF(AV$4="forecast",AVERAGE(AJ40:AU40),SUMIF('Dept. Cost Actuals'!$E$7:$E$176,"*Dues and Subscriptions*",'Dept. Cost Actuals'!AZ$877:AZ$1046))</f>
        <v>1147.776315817832</v>
      </c>
      <c r="AW40" s="668">
        <f>IF(AW$4="forecast",AVERAGE(AK40:AV40),SUMIF('Dept. Cost Actuals'!$E$7:$E$176,"*Dues and Subscriptions*",'Dept. Cost Actuals'!BA$877:BA$1046))</f>
        <v>1153.5524509340391</v>
      </c>
      <c r="AX40" s="668">
        <f>IF(AX$4="forecast",AVERAGE(AL40:AW40),SUMIF('Dept. Cost Actuals'!$E$7:$E$176,"*Dues and Subscriptions*",'Dept. Cost Actuals'!BB$877:BB$1046))</f>
        <v>1157.4997035986569</v>
      </c>
      <c r="AY40" s="668">
        <f>IF(AY$4="forecast",AVERAGE(AM40:AX40),SUMIF('Dept. Cost Actuals'!$E$7:$E$176,"*Dues and Subscriptions*",'Dept. Cost Actuals'!BC$877:BC$1046))</f>
        <v>1159.2731480203358</v>
      </c>
      <c r="AZ40" s="668">
        <f>IF(AZ$4="forecast",AVERAGE(AN40:AY40),SUMIF('Dept. Cost Actuals'!$E$7:$E$176,"*Dues and Subscriptions*",'Dept. Cost Actuals'!BD$877:BD$1046))</f>
        <v>1158.483071348415</v>
      </c>
      <c r="BA40" s="668">
        <f>IF(BA$4="forecast",AVERAGE(AO40:AZ40),SUMIF('Dept. Cost Actuals'!$E$7:$E$176,"*Dues and Subscriptions*",'Dept. Cost Actuals'!BE$877:BE$1046))</f>
        <v>1154.689904481033</v>
      </c>
      <c r="BB40" s="668">
        <f>IF(BB$4="forecast",AVERAGE(AP40:BA40),SUMIF('Dept. Cost Actuals'!$E$7:$E$176,"*Dues and Subscriptions*",'Dept. Cost Actuals'!BF$877:BF$1046))</f>
        <v>1154.6555634736119</v>
      </c>
      <c r="BC40" s="668">
        <f>IF(BC$4="forecast",AVERAGE(AQ40:BB40),SUMIF('Dept. Cost Actuals'!$E$7:$E$176,"*Dues and Subscriptions*",'Dept. Cost Actuals'!BG$877:BG$1046))</f>
        <v>1151.9491801838358</v>
      </c>
      <c r="BD40" s="668">
        <f>IF(BD$4="forecast",AVERAGE(AR40:BC40),SUMIF('Dept. Cost Actuals'!$E$7:$E$176,"*Dues and Subscriptions*",'Dept. Cost Actuals'!BH$877:BH$1046))</f>
        <v>1150.1765207660858</v>
      </c>
      <c r="BE40" s="668">
        <f>IF(BE$4="forecast",AVERAGE(AS40:BD40),SUMIF('Dept. Cost Actuals'!$E$7:$E$176,"*Dues and Subscriptions*",'Dept. Cost Actuals'!BI$877:BI$1046))</f>
        <v>1150.2956026246563</v>
      </c>
      <c r="BF40" s="668">
        <f>IF(BF$4="forecast",AVERAGE(AT40:BE40),SUMIF('Dept. Cost Actuals'!$E$7:$E$176,"*Dues and Subscriptions*",'Dept. Cost Actuals'!BJ$877:BJ$1046))</f>
        <v>1150.8956428605854</v>
      </c>
      <c r="BG40" s="668">
        <f>IF(BG$4="forecast",AVERAGE(AU40:BF40),SUMIF('Dept. Cost Actuals'!$E$7:$E$176,"*Dues and Subscriptions*",'Dept. Cost Actuals'!BK$877:BK$1046))</f>
        <v>1152.4769271178982</v>
      </c>
      <c r="BH40" s="668">
        <f>IF(BH$4="forecast",AVERAGE(AV40:BG40),SUMIF('Dept. Cost Actuals'!$E$7:$E$176,"*Dues and Subscriptions*",'Dept. Cost Actuals'!BL$877:BL$1046))</f>
        <v>1153.4770026022486</v>
      </c>
      <c r="BI40" s="668">
        <f>IF(BI$4="forecast",AVERAGE(AW40:BH40),SUMIF('Dept. Cost Actuals'!$E$7:$E$176,"*Dues and Subscriptions*",'Dept. Cost Actuals'!BM$877:BM$1046))</f>
        <v>1153.9520598342835</v>
      </c>
      <c r="BJ40" s="668">
        <f>IF(BJ$4="forecast",AVERAGE(AX40:BI40),SUMIF('Dept. Cost Actuals'!$E$7:$E$176,"*Dues and Subscriptions*",'Dept. Cost Actuals'!BN$877:BN$1046))</f>
        <v>1153.9853605759706</v>
      </c>
      <c r="BK40" s="668">
        <f>IF(BK$4="forecast",AVERAGE(AY40:BJ40),SUMIF('Dept. Cost Actuals'!$E$7:$E$176,"*Dues and Subscriptions*",'Dept. Cost Actuals'!BO$877:BO$1046))</f>
        <v>1153.6924986574134</v>
      </c>
      <c r="BL40" s="668">
        <f>IF(BL$4="forecast",AVERAGE(AZ40:BK40),SUMIF('Dept. Cost Actuals'!$E$7:$E$176,"*Dues and Subscriptions*",'Dept. Cost Actuals'!BP$877:BP$1046))</f>
        <v>1153.2274445438366</v>
      </c>
      <c r="BM40" s="668">
        <f>IF(BM$4="forecast",AVERAGE(BA40:BL40),SUMIF('Dept. Cost Actuals'!$E$7:$E$176,"*Dues and Subscriptions*",'Dept. Cost Actuals'!BQ$877:BQ$1046))</f>
        <v>1152.789475643455</v>
      </c>
      <c r="BN40" s="668">
        <f>IF(BN$4="forecast",AVERAGE(BB40:BM40),SUMIF('Dept. Cost Actuals'!$E$7:$E$176,"*Dues and Subscriptions*",'Dept. Cost Actuals'!BR$877:BR$1046))</f>
        <v>1152.6311065736568</v>
      </c>
      <c r="BO40" s="668">
        <f>IF(BO$4="forecast",AVERAGE(BC40:BN40),SUMIF('Dept. Cost Actuals'!$E$7:$E$176,"*Dues and Subscriptions*",'Dept. Cost Actuals'!BS$877:BS$1046))</f>
        <v>1152.4624018319939</v>
      </c>
      <c r="BP40" s="668">
        <f>IF(BP$4="forecast",AVERAGE(BD40:BO40),SUMIF('Dept. Cost Actuals'!$E$7:$E$176,"*Dues and Subscriptions*",'Dept. Cost Actuals'!BT$877:BT$1046))</f>
        <v>1152.5051703026736</v>
      </c>
      <c r="BQ40" s="668">
        <f>IF(BQ$4="forecast",AVERAGE(BE40:BP40),SUMIF('Dept. Cost Actuals'!$E$7:$E$176,"*Dues and Subscriptions*",'Dept. Cost Actuals'!BU$877:BU$1046))</f>
        <v>1152.6992244307226</v>
      </c>
      <c r="BR40" s="668">
        <f>IF(BR$4="forecast",AVERAGE(BF40:BQ40),SUMIF('Dept. Cost Actuals'!$E$7:$E$176,"*Dues and Subscriptions*",'Dept. Cost Actuals'!BV$877:BV$1046))</f>
        <v>1152.8995262478948</v>
      </c>
      <c r="BS40" s="668">
        <f>IF(BS$4="forecast",AVERAGE(BG40:BR40),SUMIF('Dept. Cost Actuals'!$E$7:$E$176,"*Dues and Subscriptions*",'Dept. Cost Actuals'!BW$877:BW$1046))</f>
        <v>1153.0665165301705</v>
      </c>
      <c r="BT40" s="668">
        <f>IF(BT$4="forecast",AVERAGE(BH40:BS40),SUMIF('Dept. Cost Actuals'!$E$7:$E$176,"*Dues and Subscriptions*",'Dept. Cost Actuals'!BX$877:BX$1046))</f>
        <v>1153.1156489811931</v>
      </c>
      <c r="BU40" s="668">
        <f>IF(BU$4="forecast",AVERAGE(BI40:BT40),SUMIF('Dept. Cost Actuals'!$E$7:$E$176,"*Dues and Subscriptions*",'Dept. Cost Actuals'!BY$877:BY$1046))</f>
        <v>1153.0855361794386</v>
      </c>
      <c r="BV40" s="668">
        <f>IF(BV$4="forecast",AVERAGE(BJ40:BU40),SUMIF('Dept. Cost Actuals'!$E$7:$E$176,"*Dues and Subscriptions*",'Dept. Cost Actuals'!BZ$877:BZ$1046))</f>
        <v>1153.0133258748683</v>
      </c>
    </row>
    <row r="41" spans="2:74" x14ac:dyDescent="0.25">
      <c r="B41" s="794" t="s">
        <v>945</v>
      </c>
      <c r="C41" s="668">
        <f>IF(C$4="forecast",AVERAGE($O$41:$Z$41)+4200,SUMIF('Dept. Cost Actuals'!$E$7:$E$176,"*Miscellaneous*",'Dept. Cost Actuals'!G$877:G$1046))</f>
        <v>1500.6469980275397</v>
      </c>
      <c r="D41" s="668">
        <f>IF(D$4="forecast",AVERAGE($O$41:$Z$41)+4200,SUMIF('Dept. Cost Actuals'!$E$7:$E$176,"*Miscellaneous*",'Dept. Cost Actuals'!H$877:H$1046))</f>
        <v>677.05795228901479</v>
      </c>
      <c r="E41" s="668">
        <f>IF(E$4="forecast",AVERAGE($O$41:$Z$41)+4200,SUMIF('Dept. Cost Actuals'!$E$7:$E$176,"*Miscellaneous*",'Dept. Cost Actuals'!I$877:I$1046))</f>
        <v>810.771684504718</v>
      </c>
      <c r="F41" s="668">
        <f>IF(F$4="forecast",AVERAGE($O$41:$Z$41)+4200,SUMIF('Dept. Cost Actuals'!$E$7:$E$176,"*Miscellaneous*",'Dept. Cost Actuals'!J$877:J$1046))</f>
        <v>556.98339821380796</v>
      </c>
      <c r="G41" s="668">
        <f>IF(G$4="forecast",AVERAGE($O$41:$Z$41)+4200,SUMIF('Dept. Cost Actuals'!$E$7:$E$176,"*Miscellaneous*",'Dept. Cost Actuals'!K$877:K$1046))</f>
        <v>2641.6330484530063</v>
      </c>
      <c r="H41" s="668">
        <f>IF(H$4="forecast",AVERAGE($O$41:$Z$41)+4200,SUMIF('Dept. Cost Actuals'!$E$7:$E$176,"*Miscellaneous*",'Dept. Cost Actuals'!L$877:L$1046))</f>
        <v>365.2504301228559</v>
      </c>
      <c r="I41" s="668">
        <f>IF(I$4="forecast",AVERAGE($O$41:$Z$41)+4200,SUMIF('Dept. Cost Actuals'!$E$7:$E$176,"*Miscellaneous*",'Dept. Cost Actuals'!M$877:M$1046))</f>
        <v>2855.1055841707325</v>
      </c>
      <c r="J41" s="668">
        <f>IF(J$4="forecast",AVERAGE($O$41:$Z$41)+4200,SUMIF('Dept. Cost Actuals'!$E$7:$E$176,"*Miscellaneous*",'Dept. Cost Actuals'!N$877:N$1046))</f>
        <v>2565.8951464127836</v>
      </c>
      <c r="K41" s="668">
        <f>IF(K$4="forecast",AVERAGE($O$41:$Z$41)+4200,SUMIF('Dept. Cost Actuals'!$E$7:$E$176,"*Miscellaneous*",'Dept. Cost Actuals'!O$877:O$1046))</f>
        <v>1391.9578267173238</v>
      </c>
      <c r="L41" s="668">
        <f>IF(L$4="forecast",AVERAGE($O$41:$Z$41)+4200,SUMIF('Dept. Cost Actuals'!$E$7:$E$176,"*Miscellaneous*",'Dept. Cost Actuals'!P$877:P$1046))</f>
        <v>15909.80617326518</v>
      </c>
      <c r="M41" s="668">
        <f>IF(M$4="forecast",AVERAGE($O$41:$Z$41)+4200,SUMIF('Dept. Cost Actuals'!$E$7:$E$176,"*Miscellaneous*",'Dept. Cost Actuals'!Q$877:Q$1046))</f>
        <v>947.94628429078705</v>
      </c>
      <c r="N41" s="668">
        <f>IF(N$4="forecast",AVERAGE($O$41:$Z$41)+4200,SUMIF('Dept. Cost Actuals'!$E$7:$E$176,"*Miscellaneous*",'Dept. Cost Actuals'!R$877:R$1046))</f>
        <v>399.86514400663123</v>
      </c>
      <c r="O41" s="668">
        <f>IF(O$4="forecast",AVERAGE($O$41:$Z$41)+4200,SUMIF('Dept. Cost Actuals'!$E$7:$E$176,"*Miscellaneous*",'Dept. Cost Actuals'!S$877:S$1046))</f>
        <v>1986.2</v>
      </c>
      <c r="P41" s="668">
        <f>IF(P$4="forecast",AVERAGE($O$41:$Z$41)+4200,SUMIF('Dept. Cost Actuals'!$E$7:$E$176,"*Miscellaneous*",'Dept. Cost Actuals'!T$877:T$1046))</f>
        <v>0</v>
      </c>
      <c r="Q41" s="668">
        <f>IF(Q$4="forecast",AVERAGE($O$41:$Z$41)+4200,SUMIF('Dept. Cost Actuals'!$E$7:$E$176,"*Miscellaneous*",'Dept. Cost Actuals'!U$877:U$1046))</f>
        <v>-825</v>
      </c>
      <c r="R41" s="668">
        <f>IF(R$4="forecast",AVERAGE($O$41:$Z$41)+4200,SUMIF('Dept. Cost Actuals'!$E$7:$E$176,"*Miscellaneous*",'Dept. Cost Actuals'!V$877:V$1046))</f>
        <v>0</v>
      </c>
      <c r="S41" s="668">
        <f>IF(S$4="forecast",AVERAGE($O$41:$Z$41)+4200,SUMIF('Dept. Cost Actuals'!$E$7:$E$176,"*Miscellaneous*",'Dept. Cost Actuals'!W$877:W$1046))</f>
        <v>0</v>
      </c>
      <c r="T41" s="668">
        <f>IF(T$4="forecast",AVERAGE($O$41:$Z$41)+4200,SUMIF('Dept. Cost Actuals'!$E$7:$E$176,"*Miscellaneous*",'Dept. Cost Actuals'!X$877:X$1046))</f>
        <v>0</v>
      </c>
      <c r="U41" s="668">
        <f>IF(U$4="forecast",AVERAGE($O$41:$Z$41)+4200,SUMIF('Dept. Cost Actuals'!$E$7:$E$176,"*Miscellaneous*",'Dept. Cost Actuals'!Y$877:Y$1046))</f>
        <v>0</v>
      </c>
      <c r="V41" s="668">
        <f>IF(V$4="forecast",AVERAGE($O$41:$Z$41)+4200,SUMIF('Dept. Cost Actuals'!$E$7:$E$176,"*Miscellaneous*",'Dept. Cost Actuals'!Z$877:Z$1046))</f>
        <v>0</v>
      </c>
      <c r="W41" s="668">
        <f>IF(W$4="forecast",AVERAGE($O$41:$Z$41)+4200,SUMIF('Dept. Cost Actuals'!$E$7:$E$176,"*Miscellaneous*",'Dept. Cost Actuals'!AA$877:AA$1046))</f>
        <v>0</v>
      </c>
      <c r="X41" s="668">
        <f>IF(X$4="forecast",AVERAGE($O$41:$Z$41)+4200,SUMIF('Dept. Cost Actuals'!$E$7:$E$176,"*Miscellaneous*",'Dept. Cost Actuals'!AB$877:AB$1046))</f>
        <v>0</v>
      </c>
      <c r="Y41" s="668">
        <f>IF(Y$4="forecast",AVERAGE($O$41:$Z$41)+4200,SUMIF('Dept. Cost Actuals'!$E$7:$E$176,"*Miscellaneous*",'Dept. Cost Actuals'!AC$877:AC$1046))</f>
        <v>0</v>
      </c>
      <c r="Z41" s="668">
        <f>IF(Z$4="forecast",AVERAGE($O$41:$Z$41)+4200,SUMIF('Dept. Cost Actuals'!$E$7:$E$176,"*Miscellaneous*",'Dept. Cost Actuals'!AD$877:AD$1046))</f>
        <v>13200</v>
      </c>
      <c r="AA41" s="668">
        <f>IF(AA$4="forecast",AVERAGE($O$41:$Z$41)+4200,SUMIF('Dept. Cost Actuals'!$E$7:$E$176,"*Miscellaneous*",'Dept. Cost Actuals'!AE$877:AE$1046))</f>
        <v>275.42</v>
      </c>
      <c r="AB41" s="668">
        <f>IF(AB$4="forecast",AVERAGE($O$41:$Z$41)+4200,SUMIF('Dept. Cost Actuals'!$E$7:$E$176,"*Miscellaneous*",'Dept. Cost Actuals'!AF$877:AF$1046))</f>
        <v>0</v>
      </c>
      <c r="AC41" s="668">
        <f>IF(AC$4="forecast",AVERAGE($O$41:$Z$41)+4200,SUMIF('Dept. Cost Actuals'!$E$7:$E$176,"*Miscellaneous*",'Dept. Cost Actuals'!AG$877:AG$1046))</f>
        <v>0</v>
      </c>
      <c r="AD41" s="668">
        <f>IF(AD$4="forecast",AVERAGE($O$41:$Z$41)+4200,SUMIF('Dept. Cost Actuals'!$E$7:$E$176,"*Miscellaneous*",'Dept. Cost Actuals'!AH$877:AH$1046))</f>
        <v>5396.7666666666664</v>
      </c>
      <c r="AE41" s="668">
        <f>IF(AE$4="forecast",AVERAGE($O$41:$Z$41)+4200,SUMIF('Dept. Cost Actuals'!$E$7:$E$176,"*Miscellaneous*",'Dept. Cost Actuals'!AI$877:AI$1046))</f>
        <v>5396.7666666666664</v>
      </c>
      <c r="AF41" s="668">
        <f>IF(AF$4="forecast",AVERAGE($O$41:$Z$41)+4200,SUMIF('Dept. Cost Actuals'!$E$7:$E$176,"*Miscellaneous*",'Dept. Cost Actuals'!AJ$877:AJ$1046))</f>
        <v>5396.7666666666664</v>
      </c>
      <c r="AG41" s="668">
        <f>IF(AG$4="forecast",AVERAGE($O$41:$Z$41)+4200,SUMIF('Dept. Cost Actuals'!$E$7:$E$176,"*Miscellaneous*",'Dept. Cost Actuals'!AK$877:AK$1046))</f>
        <v>5396.7666666666664</v>
      </c>
      <c r="AH41" s="668">
        <f>IF(AH$4="forecast",AVERAGE($O$41:$Z$41)+4200,SUMIF('Dept. Cost Actuals'!$E$7:$E$176,"*Miscellaneous*",'Dept. Cost Actuals'!AL$877:AL$1046))</f>
        <v>5396.7666666666664</v>
      </c>
      <c r="AI41" s="668">
        <f>IF(AI$4="forecast",AVERAGE($O$41:$Z$41)+4200,SUMIF('Dept. Cost Actuals'!$E$7:$E$176,"*Miscellaneous*",'Dept. Cost Actuals'!AM$877:AM$1046))</f>
        <v>5396.7666666666664</v>
      </c>
      <c r="AJ41" s="668">
        <f>IF(AJ$4="forecast",AVERAGE($O$41:$Z$41)+4200,SUMIF('Dept. Cost Actuals'!$E$7:$E$176,"*Miscellaneous*",'Dept. Cost Actuals'!AN$877:AN$1046))</f>
        <v>5396.7666666666664</v>
      </c>
      <c r="AK41" s="668">
        <f>IF(AK$4="forecast",AVERAGE($O$41:$Z$41)+4200,SUMIF('Dept. Cost Actuals'!$E$7:$E$176,"*Miscellaneous*",'Dept. Cost Actuals'!AO$877:AO$1046))</f>
        <v>5396.7666666666664</v>
      </c>
      <c r="AL41" s="668">
        <f>IF(AL$4="forecast",AVERAGE($O$41:$Z$41)+4200,SUMIF('Dept. Cost Actuals'!$E$7:$E$176,"*Miscellaneous*",'Dept. Cost Actuals'!AP$877:AP$1046))</f>
        <v>5396.7666666666664</v>
      </c>
      <c r="AM41" s="668">
        <f>IF(AM$4="forecast",AVERAGE($O$41:$Z$41)+4200,SUMIF('Dept. Cost Actuals'!$E$7:$E$176,"*Miscellaneous*",'Dept. Cost Actuals'!AQ$877:AQ$1046))</f>
        <v>5396.7666666666664</v>
      </c>
      <c r="AN41" s="668">
        <f>IF(AN$4="forecast",AVERAGE($O$41:$Z$41)+4200,SUMIF('Dept. Cost Actuals'!$E$7:$E$176,"*Miscellaneous*",'Dept. Cost Actuals'!AR$877:AR$1046))</f>
        <v>5396.7666666666664</v>
      </c>
      <c r="AO41" s="668">
        <f>IF(AO$4="forecast",AVERAGE($O$41:$Z$41)+4200,SUMIF('Dept. Cost Actuals'!$E$7:$E$176,"*Miscellaneous*",'Dept. Cost Actuals'!AS$877:AS$1046))</f>
        <v>5396.7666666666664</v>
      </c>
      <c r="AP41" s="668">
        <f>IF(AP$4="forecast",AVERAGE($O$41:$Z$41)+4200,SUMIF('Dept. Cost Actuals'!$E$7:$E$176,"*Miscellaneous*",'Dept. Cost Actuals'!AT$877:AT$1046))</f>
        <v>5396.7666666666664</v>
      </c>
      <c r="AQ41" s="668">
        <f>IF(AQ$4="forecast",AVERAGE($O$41:$Z$41)+4200,SUMIF('Dept. Cost Actuals'!$E$7:$E$176,"*Miscellaneous*",'Dept. Cost Actuals'!AU$877:AU$1046))</f>
        <v>5396.7666666666664</v>
      </c>
      <c r="AR41" s="668">
        <f>IF(AR$4="forecast",AVERAGE($O$41:$Z$41)+4200,SUMIF('Dept. Cost Actuals'!$E$7:$E$176,"*Miscellaneous*",'Dept. Cost Actuals'!AV$877:AV$1046))</f>
        <v>5396.7666666666664</v>
      </c>
      <c r="AS41" s="668">
        <f>IF(AS$4="forecast",AVERAGE($O$41:$Z$41)+4200,SUMIF('Dept. Cost Actuals'!$E$7:$E$176,"*Miscellaneous*",'Dept. Cost Actuals'!AW$877:AW$1046))</f>
        <v>5396.7666666666664</v>
      </c>
      <c r="AT41" s="668">
        <f>IF(AT$4="forecast",AVERAGE($O$41:$Z$41)+4200,SUMIF('Dept. Cost Actuals'!$E$7:$E$176,"*Miscellaneous*",'Dept. Cost Actuals'!AX$877:AX$1046))</f>
        <v>5396.7666666666664</v>
      </c>
      <c r="AU41" s="668">
        <f>IF(AU$4="forecast",AVERAGE($O$41:$Z$41)+4200,SUMIF('Dept. Cost Actuals'!$E$7:$E$176,"*Miscellaneous*",'Dept. Cost Actuals'!AY$877:AY$1046))</f>
        <v>5396.7666666666664</v>
      </c>
      <c r="AV41" s="668">
        <f>IF(AV$4="forecast",AVERAGE($O$41:$Z$41)+4200,SUMIF('Dept. Cost Actuals'!$E$7:$E$176,"*Miscellaneous*",'Dept. Cost Actuals'!AZ$877:AZ$1046))</f>
        <v>5396.7666666666664</v>
      </c>
      <c r="AW41" s="668">
        <f>IF(AW$4="forecast",AVERAGE($O$41:$Z$41)+4200,SUMIF('Dept. Cost Actuals'!$E$7:$E$176,"*Miscellaneous*",'Dept. Cost Actuals'!BA$877:BA$1046))</f>
        <v>5396.7666666666664</v>
      </c>
      <c r="AX41" s="668">
        <f>IF(AX$4="forecast",AVERAGE($O$41:$Z$41)+4200,SUMIF('Dept. Cost Actuals'!$E$7:$E$176,"*Miscellaneous*",'Dept. Cost Actuals'!BB$877:BB$1046))</f>
        <v>5396.7666666666664</v>
      </c>
      <c r="AY41" s="668">
        <f>IF(AY$4="forecast",AVERAGE($O$41:$Z$41)+4200,SUMIF('Dept. Cost Actuals'!$E$7:$E$176,"*Miscellaneous*",'Dept. Cost Actuals'!BC$877:BC$1046))</f>
        <v>5396.7666666666664</v>
      </c>
      <c r="AZ41" s="668">
        <f>IF(AZ$4="forecast",AVERAGE($O$41:$Z$41)+4200,SUMIF('Dept. Cost Actuals'!$E$7:$E$176,"*Miscellaneous*",'Dept. Cost Actuals'!BD$877:BD$1046))</f>
        <v>5396.7666666666664</v>
      </c>
      <c r="BA41" s="668">
        <f>IF(BA$4="forecast",AVERAGE($O$41:$Z$41)+4200,SUMIF('Dept. Cost Actuals'!$E$7:$E$176,"*Miscellaneous*",'Dept. Cost Actuals'!BE$877:BE$1046))</f>
        <v>5396.7666666666664</v>
      </c>
      <c r="BB41" s="668">
        <f>IF(BB$4="forecast",AVERAGE($O$41:$Z$41)+4200,SUMIF('Dept. Cost Actuals'!$E$7:$E$176,"*Miscellaneous*",'Dept. Cost Actuals'!BF$877:BF$1046))</f>
        <v>5396.7666666666664</v>
      </c>
      <c r="BC41" s="668">
        <f>IF(BC$4="forecast",AVERAGE($O$41:$Z$41)+4200,SUMIF('Dept. Cost Actuals'!$E$7:$E$176,"*Miscellaneous*",'Dept. Cost Actuals'!BG$877:BG$1046))</f>
        <v>5396.7666666666664</v>
      </c>
      <c r="BD41" s="668">
        <f>IF(BD$4="forecast",AVERAGE($O$41:$Z$41)+4200,SUMIF('Dept. Cost Actuals'!$E$7:$E$176,"*Miscellaneous*",'Dept. Cost Actuals'!BH$877:BH$1046))</f>
        <v>5396.7666666666664</v>
      </c>
      <c r="BE41" s="668">
        <f>IF(BE$4="forecast",AVERAGE($O$41:$Z$41)+4200,SUMIF('Dept. Cost Actuals'!$E$7:$E$176,"*Miscellaneous*",'Dept. Cost Actuals'!BI$877:BI$1046))</f>
        <v>5396.7666666666664</v>
      </c>
      <c r="BF41" s="668">
        <f>IF(BF$4="forecast",AVERAGE($O$41:$Z$41)+4200,SUMIF('Dept. Cost Actuals'!$E$7:$E$176,"*Miscellaneous*",'Dept. Cost Actuals'!BJ$877:BJ$1046))</f>
        <v>5396.7666666666664</v>
      </c>
      <c r="BG41" s="668">
        <f>IF(BG$4="forecast",AVERAGE($O$41:$Z$41)+4200,SUMIF('Dept. Cost Actuals'!$E$7:$E$176,"*Miscellaneous*",'Dept. Cost Actuals'!BK$877:BK$1046))</f>
        <v>5396.7666666666664</v>
      </c>
      <c r="BH41" s="668">
        <f>IF(BH$4="forecast",AVERAGE($O$41:$Z$41)+4200,SUMIF('Dept. Cost Actuals'!$E$7:$E$176,"*Miscellaneous*",'Dept. Cost Actuals'!BL$877:BL$1046))</f>
        <v>5396.7666666666664</v>
      </c>
      <c r="BI41" s="668">
        <f>IF(BI$4="forecast",AVERAGE($O$41:$Z$41)+4200,SUMIF('Dept. Cost Actuals'!$E$7:$E$176,"*Miscellaneous*",'Dept. Cost Actuals'!BM$877:BM$1046))</f>
        <v>5396.7666666666664</v>
      </c>
      <c r="BJ41" s="668">
        <f>IF(BJ$4="forecast",AVERAGE($O$41:$Z$41)+4200,SUMIF('Dept. Cost Actuals'!$E$7:$E$176,"*Miscellaneous*",'Dept. Cost Actuals'!BN$877:BN$1046))</f>
        <v>5396.7666666666664</v>
      </c>
      <c r="BK41" s="668">
        <f>IF(BK$4="forecast",AVERAGE($O$41:$Z$41)+4200,SUMIF('Dept. Cost Actuals'!$E$7:$E$176,"*Miscellaneous*",'Dept. Cost Actuals'!BO$877:BO$1046))</f>
        <v>5396.7666666666664</v>
      </c>
      <c r="BL41" s="668">
        <f>IF(BL$4="forecast",AVERAGE($O$41:$Z$41)+4200,SUMIF('Dept. Cost Actuals'!$E$7:$E$176,"*Miscellaneous*",'Dept. Cost Actuals'!BP$877:BP$1046))</f>
        <v>5396.7666666666664</v>
      </c>
      <c r="BM41" s="668">
        <f>IF(BM$4="forecast",AVERAGE($O$41:$Z$41)+4200,SUMIF('Dept. Cost Actuals'!$E$7:$E$176,"*Miscellaneous*",'Dept. Cost Actuals'!BQ$877:BQ$1046))</f>
        <v>5396.7666666666664</v>
      </c>
      <c r="BN41" s="668">
        <f>IF(BN$4="forecast",AVERAGE($O$41:$Z$41)+4200,SUMIF('Dept. Cost Actuals'!$E$7:$E$176,"*Miscellaneous*",'Dept. Cost Actuals'!BR$877:BR$1046))</f>
        <v>5396.7666666666664</v>
      </c>
      <c r="BO41" s="668">
        <f>IF(BO$4="forecast",AVERAGE($O$41:$Z$41)+4200,SUMIF('Dept. Cost Actuals'!$E$7:$E$176,"*Miscellaneous*",'Dept. Cost Actuals'!BS$877:BS$1046))</f>
        <v>5396.7666666666664</v>
      </c>
      <c r="BP41" s="668">
        <f>IF(BP$4="forecast",AVERAGE($O$41:$Z$41)+4200,SUMIF('Dept. Cost Actuals'!$E$7:$E$176,"*Miscellaneous*",'Dept. Cost Actuals'!BT$877:BT$1046))</f>
        <v>5396.7666666666664</v>
      </c>
      <c r="BQ41" s="668">
        <f>IF(BQ$4="forecast",AVERAGE($O$41:$Z$41)+4200,SUMIF('Dept. Cost Actuals'!$E$7:$E$176,"*Miscellaneous*",'Dept. Cost Actuals'!BU$877:BU$1046))</f>
        <v>5396.7666666666664</v>
      </c>
      <c r="BR41" s="668">
        <f>IF(BR$4="forecast",AVERAGE($O$41:$Z$41)+4200,SUMIF('Dept. Cost Actuals'!$E$7:$E$176,"*Miscellaneous*",'Dept. Cost Actuals'!BV$877:BV$1046))</f>
        <v>5396.7666666666664</v>
      </c>
      <c r="BS41" s="668">
        <f>IF(BS$4="forecast",AVERAGE($O$41:$Z$41)+4200,SUMIF('Dept. Cost Actuals'!$E$7:$E$176,"*Miscellaneous*",'Dept. Cost Actuals'!BW$877:BW$1046))</f>
        <v>5396.7666666666664</v>
      </c>
      <c r="BT41" s="668">
        <f>IF(BT$4="forecast",AVERAGE($O$41:$Z$41)+4200,SUMIF('Dept. Cost Actuals'!$E$7:$E$176,"*Miscellaneous*",'Dept. Cost Actuals'!BX$877:BX$1046))</f>
        <v>5396.7666666666664</v>
      </c>
      <c r="BU41" s="668">
        <f>IF(BU$4="forecast",AVERAGE($O$41:$Z$41)+4200,SUMIF('Dept. Cost Actuals'!$E$7:$E$176,"*Miscellaneous*",'Dept. Cost Actuals'!BY$877:BY$1046))</f>
        <v>5396.7666666666664</v>
      </c>
      <c r="BV41" s="668">
        <f>IF(BV$4="forecast",AVERAGE($O$41:$Z$41)+4200,SUMIF('Dept. Cost Actuals'!$E$7:$E$176,"*Miscellaneous*",'Dept. Cost Actuals'!BZ$877:BZ$1046))</f>
        <v>5396.7666666666664</v>
      </c>
    </row>
    <row r="42" spans="2:74" x14ac:dyDescent="0.25">
      <c r="B42" s="797" t="s">
        <v>1336</v>
      </c>
      <c r="C42" s="792">
        <f>IF(C$4="forecast",AVERAGE(#REF!),SUMIF('Dept. Cost Actuals'!$E$7:$E$176,"*Liscenses and Permits*",'Dept. Cost Actuals'!G$877:G$1046))</f>
        <v>0</v>
      </c>
      <c r="D42" s="792">
        <f>IF(D$4="forecast",AVERAGE(#REF!),SUMIF('Dept. Cost Actuals'!$E$7:$E$176,"*Liscenses and Permits*",'Dept. Cost Actuals'!H$877:H$1046))</f>
        <v>0</v>
      </c>
      <c r="E42" s="792">
        <f>IF(E$4="forecast",AVERAGE(#REF!),SUMIF('Dept. Cost Actuals'!$E$7:$E$176,"*Liscenses and Permits*",'Dept. Cost Actuals'!I$877:I$1046))</f>
        <v>0</v>
      </c>
      <c r="F42" s="792">
        <f>IF(F$4="forecast",AVERAGE(#REF!),SUMIF('Dept. Cost Actuals'!$E$7:$E$176,"*Liscenses and Permits*",'Dept. Cost Actuals'!J$877:J$1046))</f>
        <v>0</v>
      </c>
      <c r="G42" s="792">
        <f>IF(G$4="forecast",AVERAGE(#REF!),SUMIF('Dept. Cost Actuals'!$E$7:$E$176,"*Liscenses and Permits*",'Dept. Cost Actuals'!K$877:K$1046))</f>
        <v>0</v>
      </c>
      <c r="H42" s="792">
        <f>IF(H$4="forecast",AVERAGE(#REF!),SUMIF('Dept. Cost Actuals'!$E$7:$E$176,"*Liscenses and Permits*",'Dept. Cost Actuals'!L$877:L$1046))</f>
        <v>0</v>
      </c>
      <c r="I42" s="792">
        <f>IF(I$4="forecast",AVERAGE(#REF!),SUMIF('Dept. Cost Actuals'!$E$7:$E$176,"*Liscenses and Permits*",'Dept. Cost Actuals'!M$877:M$1046))</f>
        <v>0</v>
      </c>
      <c r="J42" s="792">
        <f>IF(J$4="forecast",AVERAGE(#REF!),SUMIF('Dept. Cost Actuals'!$E$7:$E$176,"*Liscenses and Permits*",'Dept. Cost Actuals'!N$877:N$1046))</f>
        <v>0</v>
      </c>
      <c r="K42" s="792">
        <f>IF(K$4="forecast",AVERAGE(#REF!),SUMIF('Dept. Cost Actuals'!$E$7:$E$176,"*Liscenses and Permits*",'Dept. Cost Actuals'!O$877:O$1046))</f>
        <v>0</v>
      </c>
      <c r="L42" s="792">
        <f>IF(L$4="forecast",AVERAGE(#REF!),SUMIF('Dept. Cost Actuals'!$E$7:$E$176,"*Liscenses and Permits*",'Dept. Cost Actuals'!P$877:P$1046))</f>
        <v>0</v>
      </c>
      <c r="M42" s="792">
        <f>IF(M$4="forecast",AVERAGE(A42:L42),SUMIF('Dept. Cost Actuals'!$E$7:$E$176,"*Liscenses and Permits*",'Dept. Cost Actuals'!Q$877:Q$1046))</f>
        <v>0</v>
      </c>
      <c r="N42" s="792">
        <f>IF(N$4="forecast",AVERAGE(B42:M42),SUMIF('Dept. Cost Actuals'!$E$7:$E$176,"*Liscenses and Permits*",'Dept. Cost Actuals'!R$877:R$1046))</f>
        <v>0</v>
      </c>
      <c r="O42" s="792">
        <f>IF(O$4="forecast",AVERAGE(C42:N42),SUMIF('Dept. Cost Actuals'!$E$7:$E$176,"*Liscenses and Permits*",'Dept. Cost Actuals'!S$877:S$1046))</f>
        <v>0</v>
      </c>
      <c r="P42" s="792">
        <f>IF(P$4="forecast",AVERAGE(D42:O42),SUMIF('Dept. Cost Actuals'!$E$7:$E$176,"*Liscenses and Permits*",'Dept. Cost Actuals'!T$877:T$1046))</f>
        <v>0</v>
      </c>
      <c r="Q42" s="792">
        <f>IF(Q$4="forecast",AVERAGE(E42:P42),SUMIF('Dept. Cost Actuals'!$E$7:$E$176,"*Liscenses and Permits*",'Dept. Cost Actuals'!U$877:U$1046))</f>
        <v>0</v>
      </c>
      <c r="R42" s="792">
        <f>IF(R$4="forecast",AVERAGE(F42:Q42),SUMIF('Dept. Cost Actuals'!$E$7:$E$176,"*Liscenses and Permits*",'Dept. Cost Actuals'!V$877:V$1046))</f>
        <v>0</v>
      </c>
      <c r="S42" s="792">
        <f>IF(S$4="forecast",AVERAGE(G42:R42),SUMIF('Dept. Cost Actuals'!$E$7:$E$176,"*Liscenses and Permits*",'Dept. Cost Actuals'!W$877:W$1046))</f>
        <v>0</v>
      </c>
      <c r="T42" s="792">
        <f>IF(T$4="forecast",AVERAGE(H42:S42),SUMIF('Dept. Cost Actuals'!$E$7:$E$176,"*Liscenses and Permits*",'Dept. Cost Actuals'!X$877:X$1046))</f>
        <v>0</v>
      </c>
      <c r="U42" s="792">
        <f>IF(U$4="forecast",AVERAGE(I42:T42),SUMIF('Dept. Cost Actuals'!$E$7:$E$176,"*Liscenses and Permits*",'Dept. Cost Actuals'!Y$877:Y$1046))</f>
        <v>0</v>
      </c>
      <c r="V42" s="792">
        <f>IF(V$4="forecast",AVERAGE(J42:U42),SUMIF('Dept. Cost Actuals'!$E$7:$E$176,"*Liscenses and Permits*",'Dept. Cost Actuals'!Z$877:Z$1046))</f>
        <v>0</v>
      </c>
      <c r="W42" s="792">
        <f>IF(W$4="forecast",AVERAGE(K42:V42),SUMIF('Dept. Cost Actuals'!$E$7:$E$176,"*Liscenses and Permits*",'Dept. Cost Actuals'!AA$877:AA$1046))</f>
        <v>0</v>
      </c>
      <c r="X42" s="792">
        <f>IF(X$4="forecast",AVERAGE(L42:W42),SUMIF('Dept. Cost Actuals'!$E$7:$E$176,"*Liscenses and Permits*",'Dept. Cost Actuals'!AB$877:AB$1046))</f>
        <v>0</v>
      </c>
      <c r="Y42" s="792">
        <f>IF(Y$4="forecast",AVERAGE(M42:X42),SUMIF('Dept. Cost Actuals'!$E$7:$E$176,"*Liscenses and Permits*",'Dept. Cost Actuals'!AC$877:AC$1046))</f>
        <v>0</v>
      </c>
      <c r="Z42" s="792">
        <f>IF(Z$4="forecast",AVERAGE(N42:Y42),SUMIF('Dept. Cost Actuals'!$E$7:$E$176,"*Liscenses and Permits*",'Dept. Cost Actuals'!AD$877:AD$1046))</f>
        <v>0</v>
      </c>
      <c r="AA42" s="792">
        <f>IF(AA$4="forecast",AVERAGE(O42:Z42),SUMIF('Dept. Cost Actuals'!$E$7:$E$176,"*Liscenses and Permits*",'Dept. Cost Actuals'!AE$877:AE$1046))</f>
        <v>0</v>
      </c>
      <c r="AB42" s="792">
        <f>IF(AB$4="forecast",AVERAGE(P42:AA42),SUMIF('Dept. Cost Actuals'!$E$7:$E$176,"*Liscenses and Permits*",'Dept. Cost Actuals'!AF$877:AF$1046))</f>
        <v>0</v>
      </c>
      <c r="AC42" s="792">
        <f>IF(AC$4="forecast",AVERAGE(Q42:AB42),SUMIF('Dept. Cost Actuals'!$E$7:$E$176,"*Liscenses and Permits*",'Dept. Cost Actuals'!AG$877:AG$1046))</f>
        <v>0</v>
      </c>
      <c r="AD42" s="792">
        <f>IF(AD$4="forecast",AVERAGE(R42:AC42),SUMIF('Dept. Cost Actuals'!$E$7:$E$176,"*Liscenses and Permits*",'Dept. Cost Actuals'!AH$877:AH$1046))</f>
        <v>0</v>
      </c>
      <c r="AE42" s="792">
        <f>IF(AE$4="forecast",AVERAGE(S42:AD42),SUMIF('Dept. Cost Actuals'!$E$7:$E$176,"*Liscenses and Permits*",'Dept. Cost Actuals'!AI$877:AI$1046))</f>
        <v>0</v>
      </c>
      <c r="AF42" s="792">
        <f>IF(AF$4="forecast",AVERAGE(T42:AE42),SUMIF('Dept. Cost Actuals'!$E$7:$E$176,"*Liscenses and Permits*",'Dept. Cost Actuals'!AJ$877:AJ$1046))</f>
        <v>0</v>
      </c>
      <c r="AG42" s="792">
        <f>IF(AG$4="forecast",AVERAGE(U42:AF42),SUMIF('Dept. Cost Actuals'!$E$7:$E$176,"*Liscenses and Permits*",'Dept. Cost Actuals'!AK$877:AK$1046))</f>
        <v>0</v>
      </c>
      <c r="AH42" s="792">
        <f>IF(AH$4="forecast",AVERAGE(V42:AG42),SUMIF('Dept. Cost Actuals'!$E$7:$E$176,"*Liscenses and Permits*",'Dept. Cost Actuals'!AL$877:AL$1046))</f>
        <v>0</v>
      </c>
      <c r="AI42" s="792">
        <f>IF(AI$4="forecast",AVERAGE(W42:AH42),SUMIF('Dept. Cost Actuals'!$E$7:$E$176,"*Liscenses and Permits*",'Dept. Cost Actuals'!AM$877:AM$1046))</f>
        <v>0</v>
      </c>
      <c r="AJ42" s="792">
        <f>IF(AJ$4="forecast",AVERAGE(X42:AI42),SUMIF('Dept. Cost Actuals'!$E$7:$E$176,"*Liscenses and Permits*",'Dept. Cost Actuals'!AN$877:AN$1046))</f>
        <v>0</v>
      </c>
      <c r="AK42" s="792">
        <f>IF(AK$4="forecast",AVERAGE(Y42:AJ42),SUMIF('Dept. Cost Actuals'!$E$7:$E$176,"*Liscenses and Permits*",'Dept. Cost Actuals'!AO$877:AO$1046))</f>
        <v>0</v>
      </c>
      <c r="AL42" s="792">
        <f>IF(AL$4="forecast",AVERAGE(Z42:AK42),SUMIF('Dept. Cost Actuals'!$E$7:$E$176,"*Liscenses and Permits*",'Dept. Cost Actuals'!AP$877:AP$1046))</f>
        <v>0</v>
      </c>
      <c r="AM42" s="792">
        <f>IF(AM$4="forecast",AVERAGE(AA42:AL42),SUMIF('Dept. Cost Actuals'!$E$7:$E$176,"*Liscenses and Permits*",'Dept. Cost Actuals'!AQ$877:AQ$1046))</f>
        <v>0</v>
      </c>
      <c r="AN42" s="792">
        <f>IF(AN$4="forecast",AVERAGE(AB42:AM42),SUMIF('Dept. Cost Actuals'!$E$7:$E$176,"*Liscenses and Permits*",'Dept. Cost Actuals'!AR$877:AR$1046))</f>
        <v>0</v>
      </c>
      <c r="AO42" s="792">
        <f>IF(AO$4="forecast",AVERAGE(AC42:AN42),SUMIF('Dept. Cost Actuals'!$E$7:$E$176,"*Liscenses and Permits*",'Dept. Cost Actuals'!AS$877:AS$1046))</f>
        <v>0</v>
      </c>
      <c r="AP42" s="792">
        <f>IF(AP$4="forecast",AVERAGE(AD42:AO42),SUMIF('Dept. Cost Actuals'!$E$7:$E$176,"*Liscenses and Permits*",'Dept. Cost Actuals'!AT$877:AT$1046))</f>
        <v>0</v>
      </c>
      <c r="AQ42" s="792">
        <f>IF(AQ$4="forecast",AVERAGE(AE42:AP42),SUMIF('Dept. Cost Actuals'!$E$7:$E$176,"*Liscenses and Permits*",'Dept. Cost Actuals'!AU$877:AU$1046))</f>
        <v>0</v>
      </c>
      <c r="AR42" s="792">
        <f>IF(AR$4="forecast",AVERAGE(AF42:AQ42),SUMIF('Dept. Cost Actuals'!$E$7:$E$176,"*Liscenses and Permits*",'Dept. Cost Actuals'!AV$877:AV$1046))</f>
        <v>0</v>
      </c>
      <c r="AS42" s="792">
        <f>IF(AS$4="forecast",AVERAGE(AG42:AR42),SUMIF('Dept. Cost Actuals'!$E$7:$E$176,"*Liscenses and Permits*",'Dept. Cost Actuals'!AW$877:AW$1046))</f>
        <v>0</v>
      </c>
      <c r="AT42" s="792">
        <f>IF(AT$4="forecast",AVERAGE(AH42:AS42),SUMIF('Dept. Cost Actuals'!$E$7:$E$176,"*Liscenses and Permits*",'Dept. Cost Actuals'!AX$877:AX$1046))</f>
        <v>0</v>
      </c>
      <c r="AU42" s="792">
        <f>IF(AU$4="forecast",AVERAGE(AI42:AT42),SUMIF('Dept. Cost Actuals'!$E$7:$E$176,"*Liscenses and Permits*",'Dept. Cost Actuals'!AY$877:AY$1046))</f>
        <v>0</v>
      </c>
      <c r="AV42" s="792">
        <f>IF(AV$4="forecast",AVERAGE(AJ42:AU42),SUMIF('Dept. Cost Actuals'!$E$7:$E$176,"*Liscenses and Permits*",'Dept. Cost Actuals'!AZ$877:AZ$1046))</f>
        <v>0</v>
      </c>
      <c r="AW42" s="792">
        <f>IF(AW$4="forecast",AVERAGE(AK42:AV42),SUMIF('Dept. Cost Actuals'!$E$7:$E$176,"*Liscenses and Permits*",'Dept. Cost Actuals'!BA$877:BA$1046))</f>
        <v>0</v>
      </c>
      <c r="AX42" s="792">
        <f>IF(AX$4="forecast",AVERAGE(AL42:AW42),SUMIF('Dept. Cost Actuals'!$E$7:$E$176,"*Liscenses and Permits*",'Dept. Cost Actuals'!BB$877:BB$1046))</f>
        <v>0</v>
      </c>
      <c r="AY42" s="792">
        <f>IF(AY$4="forecast",AVERAGE(AM42:AX42),SUMIF('Dept. Cost Actuals'!$E$7:$E$176,"*Liscenses and Permits*",'Dept. Cost Actuals'!BC$877:BC$1046))</f>
        <v>0</v>
      </c>
      <c r="AZ42" s="792">
        <f>IF(AZ$4="forecast",AVERAGE(AN42:AY42),SUMIF('Dept. Cost Actuals'!$E$7:$E$176,"*Liscenses and Permits*",'Dept. Cost Actuals'!BD$877:BD$1046))</f>
        <v>0</v>
      </c>
      <c r="BA42" s="792">
        <f>IF(BA$4="forecast",AVERAGE(AO42:AZ42),SUMIF('Dept. Cost Actuals'!$E$7:$E$176,"*Liscenses and Permits*",'Dept. Cost Actuals'!BE$877:BE$1046))</f>
        <v>0</v>
      </c>
      <c r="BB42" s="792">
        <f>IF(BB$4="forecast",AVERAGE(AP42:BA42),SUMIF('Dept. Cost Actuals'!$E$7:$E$176,"*Liscenses and Permits*",'Dept. Cost Actuals'!BF$877:BF$1046))</f>
        <v>0</v>
      </c>
      <c r="BC42" s="792">
        <f>IF(BC$4="forecast",AVERAGE(AQ42:BB42),SUMIF('Dept. Cost Actuals'!$E$7:$E$176,"*Liscenses and Permits*",'Dept. Cost Actuals'!BG$877:BG$1046))</f>
        <v>0</v>
      </c>
      <c r="BD42" s="792">
        <f>IF(BD$4="forecast",AVERAGE(AR42:BC42),SUMIF('Dept. Cost Actuals'!$E$7:$E$176,"*Liscenses and Permits*",'Dept. Cost Actuals'!BH$877:BH$1046))</f>
        <v>0</v>
      </c>
      <c r="BE42" s="792">
        <f>IF(BE$4="forecast",AVERAGE(AS42:BD42),SUMIF('Dept. Cost Actuals'!$E$7:$E$176,"*Liscenses and Permits*",'Dept. Cost Actuals'!BI$877:BI$1046))</f>
        <v>0</v>
      </c>
      <c r="BF42" s="792">
        <f>IF(BF$4="forecast",AVERAGE(AT42:BE42),SUMIF('Dept. Cost Actuals'!$E$7:$E$176,"*Liscenses and Permits*",'Dept. Cost Actuals'!BJ$877:BJ$1046))</f>
        <v>0</v>
      </c>
      <c r="BG42" s="792">
        <f>IF(BG$4="forecast",AVERAGE(AU42:BF42),SUMIF('Dept. Cost Actuals'!$E$7:$E$176,"*Liscenses and Permits*",'Dept. Cost Actuals'!BK$877:BK$1046))</f>
        <v>0</v>
      </c>
      <c r="BH42" s="792">
        <f>IF(BH$4="forecast",AVERAGE(AV42:BG42),SUMIF('Dept. Cost Actuals'!$E$7:$E$176,"*Liscenses and Permits*",'Dept. Cost Actuals'!BL$877:BL$1046))</f>
        <v>0</v>
      </c>
      <c r="BI42" s="792">
        <f>IF(BI$4="forecast",AVERAGE(AW42:BH42),SUMIF('Dept. Cost Actuals'!$E$7:$E$176,"*Liscenses and Permits*",'Dept. Cost Actuals'!BM$877:BM$1046))</f>
        <v>0</v>
      </c>
      <c r="BJ42" s="792">
        <f>IF(BJ$4="forecast",AVERAGE(AX42:BI42),SUMIF('Dept. Cost Actuals'!$E$7:$E$176,"*Liscenses and Permits*",'Dept. Cost Actuals'!BN$877:BN$1046))</f>
        <v>0</v>
      </c>
      <c r="BK42" s="792">
        <f>IF(BK$4="forecast",AVERAGE(AY42:BJ42),SUMIF('Dept. Cost Actuals'!$E$7:$E$176,"*Liscenses and Permits*",'Dept. Cost Actuals'!BO$877:BO$1046))</f>
        <v>0</v>
      </c>
      <c r="BL42" s="792">
        <f>IF(BL$4="forecast",AVERAGE(AZ42:BK42),SUMIF('Dept. Cost Actuals'!$E$7:$E$176,"*Liscenses and Permits*",'Dept. Cost Actuals'!BP$877:BP$1046))</f>
        <v>0</v>
      </c>
      <c r="BM42" s="792">
        <f>IF(BM$4="forecast",AVERAGE(BA42:BL42),SUMIF('Dept. Cost Actuals'!$E$7:$E$176,"*Liscenses and Permits*",'Dept. Cost Actuals'!BQ$877:BQ$1046))</f>
        <v>0</v>
      </c>
      <c r="BN42" s="792">
        <f>IF(BN$4="forecast",AVERAGE(BB42:BM42),SUMIF('Dept. Cost Actuals'!$E$7:$E$176,"*Liscenses and Permits*",'Dept. Cost Actuals'!BR$877:BR$1046))</f>
        <v>0</v>
      </c>
      <c r="BO42" s="792">
        <f>IF(BO$4="forecast",AVERAGE(BC42:BN42),SUMIF('Dept. Cost Actuals'!$E$7:$E$176,"*Liscenses and Permits*",'Dept. Cost Actuals'!BS$877:BS$1046))</f>
        <v>0</v>
      </c>
      <c r="BP42" s="792">
        <f>IF(BP$4="forecast",AVERAGE(BD42:BO42),SUMIF('Dept. Cost Actuals'!$E$7:$E$176,"*Liscenses and Permits*",'Dept. Cost Actuals'!BT$877:BT$1046))</f>
        <v>0</v>
      </c>
      <c r="BQ42" s="792">
        <f>IF(BQ$4="forecast",AVERAGE(BE42:BP42),SUMIF('Dept. Cost Actuals'!$E$7:$E$176,"*Liscenses and Permits*",'Dept. Cost Actuals'!BU$877:BU$1046))</f>
        <v>0</v>
      </c>
      <c r="BR42" s="792">
        <f>IF(BR$4="forecast",AVERAGE(BF42:BQ42),SUMIF('Dept. Cost Actuals'!$E$7:$E$176,"*Liscenses and Permits*",'Dept. Cost Actuals'!BV$877:BV$1046))</f>
        <v>0</v>
      </c>
      <c r="BS42" s="792">
        <f>IF(BS$4="forecast",AVERAGE(BG42:BR42),SUMIF('Dept. Cost Actuals'!$E$7:$E$176,"*Liscenses and Permits*",'Dept. Cost Actuals'!BW$877:BW$1046))</f>
        <v>0</v>
      </c>
      <c r="BT42" s="792">
        <f>IF(BT$4="forecast",AVERAGE(BH42:BS42),SUMIF('Dept. Cost Actuals'!$E$7:$E$176,"*Liscenses and Permits*",'Dept. Cost Actuals'!BX$877:BX$1046))</f>
        <v>0</v>
      </c>
      <c r="BU42" s="792">
        <f>IF(BU$4="forecast",AVERAGE(BI42:BT42),SUMIF('Dept. Cost Actuals'!$E$7:$E$176,"*Liscenses and Permits*",'Dept. Cost Actuals'!BY$877:BY$1046))</f>
        <v>0</v>
      </c>
      <c r="BV42" s="792">
        <f>IF(BV$4="forecast",AVERAGE(BJ42:BU42),SUMIF('Dept. Cost Actuals'!$E$7:$E$176,"*Liscenses and Permits*",'Dept. Cost Actuals'!BZ$877:BZ$1046))</f>
        <v>0</v>
      </c>
    </row>
    <row r="43" spans="2:74" x14ac:dyDescent="0.25">
      <c r="B43" s="799" t="s">
        <v>946</v>
      </c>
      <c r="C43" s="800">
        <f>SUM(C32:C42,)</f>
        <v>2140.6926635181262</v>
      </c>
      <c r="D43" s="800">
        <f t="shared" ref="D43:BO43" si="10">SUM(D32:D42,)</f>
        <v>1053.4448927447079</v>
      </c>
      <c r="E43" s="800">
        <f t="shared" si="10"/>
        <v>1556.3711769237821</v>
      </c>
      <c r="F43" s="800">
        <f t="shared" si="10"/>
        <v>1359.2467862537414</v>
      </c>
      <c r="G43" s="800">
        <f t="shared" si="10"/>
        <v>3646.1935615292473</v>
      </c>
      <c r="H43" s="800">
        <f t="shared" si="10"/>
        <v>3001.5978251384067</v>
      </c>
      <c r="I43" s="800">
        <f t="shared" si="10"/>
        <v>6422.5120757528766</v>
      </c>
      <c r="J43" s="800">
        <f t="shared" si="10"/>
        <v>5083.0461245507249</v>
      </c>
      <c r="K43" s="800">
        <f t="shared" si="10"/>
        <v>4638.9930912753371</v>
      </c>
      <c r="L43" s="800">
        <f t="shared" si="10"/>
        <v>17757.657335016083</v>
      </c>
      <c r="M43" s="800">
        <f t="shared" si="10"/>
        <v>4556.3961679503809</v>
      </c>
      <c r="N43" s="800">
        <f t="shared" si="10"/>
        <v>1187.2520648856016</v>
      </c>
      <c r="O43" s="800">
        <f t="shared" si="10"/>
        <v>2260.9499999999998</v>
      </c>
      <c r="P43" s="800">
        <f t="shared" si="10"/>
        <v>714.75</v>
      </c>
      <c r="Q43" s="800">
        <f t="shared" si="10"/>
        <v>186.85000000000002</v>
      </c>
      <c r="R43" s="800">
        <f t="shared" si="10"/>
        <v>936.23</v>
      </c>
      <c r="S43" s="800">
        <f t="shared" si="10"/>
        <v>4654.21</v>
      </c>
      <c r="T43" s="800">
        <f t="shared" si="10"/>
        <v>3918.79</v>
      </c>
      <c r="U43" s="800">
        <f t="shared" si="10"/>
        <v>4745.21</v>
      </c>
      <c r="V43" s="800">
        <f t="shared" si="10"/>
        <v>1106.8399999999999</v>
      </c>
      <c r="W43" s="800">
        <f t="shared" si="10"/>
        <v>807.77</v>
      </c>
      <c r="X43" s="800">
        <f t="shared" si="10"/>
        <v>840.54</v>
      </c>
      <c r="Y43" s="800">
        <f t="shared" si="10"/>
        <v>13650.470000000001</v>
      </c>
      <c r="Z43" s="800">
        <f t="shared" si="10"/>
        <v>26250.440000000002</v>
      </c>
      <c r="AA43" s="800">
        <f t="shared" si="10"/>
        <v>2632.0299999999997</v>
      </c>
      <c r="AB43" s="800">
        <f t="shared" si="10"/>
        <v>8802.5099999999984</v>
      </c>
      <c r="AC43" s="800">
        <f t="shared" si="10"/>
        <v>894.44</v>
      </c>
      <c r="AD43" s="800">
        <f t="shared" si="10"/>
        <v>10043.771666666667</v>
      </c>
      <c r="AE43" s="800">
        <f t="shared" si="10"/>
        <v>10353.002916666666</v>
      </c>
      <c r="AF43" s="800">
        <f t="shared" si="10"/>
        <v>10378.171770833334</v>
      </c>
      <c r="AG43" s="800">
        <f t="shared" si="10"/>
        <v>10466.723029513891</v>
      </c>
      <c r="AH43" s="800">
        <f t="shared" si="10"/>
        <v>10493.785226417824</v>
      </c>
      <c r="AI43" s="800">
        <f t="shared" si="10"/>
        <v>10826.300106397088</v>
      </c>
      <c r="AJ43" s="800">
        <f t="shared" si="10"/>
        <v>11211.447059707956</v>
      </c>
      <c r="AK43" s="800">
        <f t="shared" si="10"/>
        <v>11625.958759128063</v>
      </c>
      <c r="AL43" s="800">
        <f t="shared" si="10"/>
        <v>11007.518933499847</v>
      </c>
      <c r="AM43" s="800">
        <f t="shared" si="10"/>
        <v>10387.544955735944</v>
      </c>
      <c r="AN43" s="800">
        <f t="shared" si="10"/>
        <v>10607.058979825051</v>
      </c>
      <c r="AO43" s="800">
        <f t="shared" si="10"/>
        <v>10307.707505921582</v>
      </c>
      <c r="AP43" s="800">
        <f t="shared" si="10"/>
        <v>10642.415909192827</v>
      </c>
      <c r="AQ43" s="800">
        <f t="shared" si="10"/>
        <v>10692.30292940334</v>
      </c>
      <c r="AR43" s="800">
        <f t="shared" si="10"/>
        <v>10720.577930464729</v>
      </c>
      <c r="AS43" s="800">
        <f t="shared" si="10"/>
        <v>10749.111777100679</v>
      </c>
      <c r="AT43" s="800">
        <f t="shared" si="10"/>
        <v>10772.644172732911</v>
      </c>
      <c r="AU43" s="800">
        <f t="shared" si="10"/>
        <v>10795.882418259167</v>
      </c>
      <c r="AV43" s="800">
        <f t="shared" si="10"/>
        <v>10793.347610914341</v>
      </c>
      <c r="AW43" s="800">
        <f t="shared" si="10"/>
        <v>10758.50599018154</v>
      </c>
      <c r="AX43" s="800">
        <f t="shared" si="10"/>
        <v>10686.218259435998</v>
      </c>
      <c r="AY43" s="800">
        <f t="shared" si="10"/>
        <v>10659.443203264009</v>
      </c>
      <c r="AZ43" s="800">
        <f t="shared" si="10"/>
        <v>10682.101390558015</v>
      </c>
      <c r="BA43" s="800">
        <f t="shared" si="10"/>
        <v>10688.354924785763</v>
      </c>
      <c r="BB43" s="800">
        <f t="shared" si="10"/>
        <v>10720.075543024443</v>
      </c>
      <c r="BC43" s="800">
        <f t="shared" si="10"/>
        <v>10726.547179177076</v>
      </c>
      <c r="BD43" s="800">
        <f t="shared" si="10"/>
        <v>10729.400866658223</v>
      </c>
      <c r="BE43" s="800">
        <f t="shared" si="10"/>
        <v>10730.136111341013</v>
      </c>
      <c r="BF43" s="800">
        <f t="shared" si="10"/>
        <v>10728.554805861042</v>
      </c>
      <c r="BG43" s="800">
        <f t="shared" si="10"/>
        <v>10724.880691955052</v>
      </c>
      <c r="BH43" s="800">
        <f t="shared" si="10"/>
        <v>10718.96388142971</v>
      </c>
      <c r="BI43" s="800">
        <f t="shared" si="10"/>
        <v>10712.76523730599</v>
      </c>
      <c r="BJ43" s="800">
        <f t="shared" si="10"/>
        <v>10708.953507899696</v>
      </c>
      <c r="BK43" s="800">
        <f t="shared" si="10"/>
        <v>10710.848111938336</v>
      </c>
      <c r="BL43" s="800">
        <f t="shared" si="10"/>
        <v>10715.131854327863</v>
      </c>
      <c r="BM43" s="800">
        <f t="shared" si="10"/>
        <v>10717.884392975353</v>
      </c>
      <c r="BN43" s="800">
        <f t="shared" si="10"/>
        <v>10720.34518199115</v>
      </c>
      <c r="BO43" s="800">
        <f t="shared" si="10"/>
        <v>10720.36765190504</v>
      </c>
      <c r="BP43" s="800">
        <f t="shared" ref="BP43:BV43" si="11">SUM(BP32:BP42,)</f>
        <v>10719.852691299038</v>
      </c>
      <c r="BQ43" s="800">
        <f t="shared" si="11"/>
        <v>10719.057010019105</v>
      </c>
      <c r="BR43" s="800">
        <f t="shared" si="11"/>
        <v>10718.133751575615</v>
      </c>
      <c r="BS43" s="800">
        <f t="shared" si="11"/>
        <v>10717.265330385164</v>
      </c>
      <c r="BT43" s="800">
        <f t="shared" si="11"/>
        <v>10716.630716921005</v>
      </c>
      <c r="BU43" s="800">
        <f t="shared" si="11"/>
        <v>10716.436286545279</v>
      </c>
      <c r="BV43" s="800">
        <f t="shared" si="11"/>
        <v>10716.742207315219</v>
      </c>
    </row>
    <row r="44" spans="2:74" x14ac:dyDescent="0.25">
      <c r="B44" s="783"/>
      <c r="C44" s="156"/>
      <c r="D44" s="156"/>
      <c r="E44" s="156"/>
      <c r="F44" s="156"/>
      <c r="G44" s="156"/>
      <c r="H44" s="156"/>
      <c r="I44" s="156"/>
      <c r="J44" s="156"/>
      <c r="K44" s="156"/>
      <c r="L44" s="156"/>
      <c r="M44" s="156"/>
      <c r="N44" s="156"/>
      <c r="O44" s="156"/>
      <c r="P44" s="156"/>
      <c r="Q44" s="156"/>
      <c r="R44" s="156"/>
      <c r="S44" s="156"/>
      <c r="T44" s="156"/>
      <c r="U44" s="156"/>
      <c r="V44" s="156"/>
      <c r="W44" s="156"/>
      <c r="X44" s="156"/>
      <c r="Y44" s="156"/>
      <c r="Z44" s="156"/>
      <c r="AA44" s="156"/>
      <c r="AB44" s="156"/>
      <c r="AC44" s="156"/>
      <c r="AD44" s="156"/>
      <c r="AE44" s="156"/>
      <c r="AF44" s="156"/>
      <c r="AG44" s="156"/>
      <c r="AH44" s="156"/>
      <c r="AI44" s="156"/>
      <c r="AJ44" s="156"/>
      <c r="AK44" s="156"/>
      <c r="AL44" s="156"/>
      <c r="AM44" s="156"/>
      <c r="AN44" s="156"/>
      <c r="AO44" s="156"/>
      <c r="AP44" s="156"/>
      <c r="AQ44" s="156"/>
      <c r="AR44" s="156"/>
      <c r="AS44" s="156"/>
      <c r="AT44" s="156"/>
      <c r="AU44" s="156"/>
      <c r="AV44" s="156"/>
      <c r="AW44" s="156"/>
      <c r="AX44" s="156"/>
      <c r="AY44" s="156"/>
      <c r="AZ44" s="156"/>
      <c r="BA44" s="156"/>
      <c r="BB44" s="156"/>
      <c r="BC44" s="156"/>
      <c r="BD44" s="156"/>
      <c r="BE44" s="156"/>
      <c r="BF44" s="156"/>
      <c r="BG44" s="156"/>
      <c r="BH44" s="156"/>
      <c r="BI44" s="156"/>
      <c r="BJ44" s="156"/>
      <c r="BK44" s="156"/>
      <c r="BL44" s="156"/>
      <c r="BM44" s="156"/>
      <c r="BN44" s="156"/>
      <c r="BO44" s="156"/>
      <c r="BP44" s="156"/>
      <c r="BQ44" s="156"/>
      <c r="BR44" s="156"/>
      <c r="BS44" s="156"/>
      <c r="BT44" s="156"/>
      <c r="BU44" s="156"/>
      <c r="BV44" s="784"/>
    </row>
    <row r="45" spans="2:74" x14ac:dyDescent="0.25">
      <c r="B45" s="855" t="s">
        <v>488</v>
      </c>
      <c r="C45" s="856">
        <f t="shared" ref="C45:BN45" si="12">C43+C29</f>
        <v>47661.500332229218</v>
      </c>
      <c r="D45" s="856">
        <f t="shared" si="12"/>
        <v>45008.754394685129</v>
      </c>
      <c r="E45" s="856">
        <f t="shared" si="12"/>
        <v>45318.81897662767</v>
      </c>
      <c r="F45" s="856">
        <f t="shared" si="12"/>
        <v>59993.078468609427</v>
      </c>
      <c r="G45" s="856">
        <f t="shared" si="12"/>
        <v>366733.28179188474</v>
      </c>
      <c r="H45" s="856">
        <f t="shared" si="12"/>
        <v>80006.397026146544</v>
      </c>
      <c r="I45" s="856">
        <f t="shared" si="12"/>
        <v>370242.73571355984</v>
      </c>
      <c r="J45" s="856">
        <f t="shared" si="12"/>
        <v>368731.60355271678</v>
      </c>
      <c r="K45" s="856">
        <f t="shared" si="12"/>
        <v>62833.924114907946</v>
      </c>
      <c r="L45" s="856">
        <f t="shared" si="12"/>
        <v>400379.57273341605</v>
      </c>
      <c r="M45" s="856">
        <f t="shared" si="12"/>
        <v>158348.36421068653</v>
      </c>
      <c r="N45" s="856">
        <f t="shared" si="12"/>
        <v>81026.595242224837</v>
      </c>
      <c r="O45" s="856">
        <f t="shared" si="12"/>
        <v>177465.02000000002</v>
      </c>
      <c r="P45" s="856">
        <f t="shared" si="12"/>
        <v>165683.87</v>
      </c>
      <c r="Q45" s="856">
        <f t="shared" si="12"/>
        <v>145047.78000000003</v>
      </c>
      <c r="R45" s="856">
        <f t="shared" si="12"/>
        <v>155192.48000000001</v>
      </c>
      <c r="S45" s="856">
        <f t="shared" si="12"/>
        <v>151708.12</v>
      </c>
      <c r="T45" s="856">
        <f t="shared" si="12"/>
        <v>133656.78</v>
      </c>
      <c r="U45" s="856">
        <f t="shared" si="12"/>
        <v>147197.56</v>
      </c>
      <c r="V45" s="856">
        <f t="shared" si="12"/>
        <v>119536.23</v>
      </c>
      <c r="W45" s="856">
        <f t="shared" si="12"/>
        <v>136799.22999999998</v>
      </c>
      <c r="X45" s="856">
        <f t="shared" si="12"/>
        <v>145528.28</v>
      </c>
      <c r="Y45" s="856">
        <f t="shared" si="12"/>
        <v>138319.72</v>
      </c>
      <c r="Z45" s="856">
        <f t="shared" si="12"/>
        <v>76650.790000000008</v>
      </c>
      <c r="AA45" s="856">
        <f t="shared" si="12"/>
        <v>154302.06999999998</v>
      </c>
      <c r="AB45" s="856">
        <f t="shared" si="12"/>
        <v>146632.68000000002</v>
      </c>
      <c r="AC45" s="856">
        <f t="shared" si="12"/>
        <v>127926.17</v>
      </c>
      <c r="AD45" s="856">
        <f t="shared" si="12"/>
        <v>124630.09078871182</v>
      </c>
      <c r="AE45" s="856">
        <f t="shared" si="12"/>
        <v>125567.39708297919</v>
      </c>
      <c r="AF45" s="856">
        <f t="shared" si="12"/>
        <v>126305.82062979287</v>
      </c>
      <c r="AG45" s="856">
        <f t="shared" si="12"/>
        <v>127114.35298544141</v>
      </c>
      <c r="AH45" s="856">
        <f t="shared" si="12"/>
        <v>127855.95477838677</v>
      </c>
      <c r="AI45" s="856">
        <f t="shared" si="12"/>
        <v>129004.8577509196</v>
      </c>
      <c r="AJ45" s="856">
        <f t="shared" si="12"/>
        <v>130241.96177213613</v>
      </c>
      <c r="AK45" s="856">
        <f t="shared" si="12"/>
        <v>131488.60987321878</v>
      </c>
      <c r="AL45" s="856">
        <f t="shared" si="12"/>
        <v>106053.26090090594</v>
      </c>
      <c r="AM45" s="856">
        <f t="shared" si="12"/>
        <v>106856.66014441999</v>
      </c>
      <c r="AN45" s="856">
        <f t="shared" si="12"/>
        <v>107945.77201930061</v>
      </c>
      <c r="AO45" s="856">
        <f t="shared" si="12"/>
        <v>108625.59880595676</v>
      </c>
      <c r="AP45" s="856">
        <f t="shared" si="12"/>
        <v>110016.28030643576</v>
      </c>
      <c r="AQ45" s="856">
        <f t="shared" si="12"/>
        <v>110808.0420949632</v>
      </c>
      <c r="AR45" s="856">
        <f t="shared" si="12"/>
        <v>111637.30548222762</v>
      </c>
      <c r="AS45" s="856">
        <f t="shared" si="12"/>
        <v>112475.38155816056</v>
      </c>
      <c r="AT45" s="856">
        <f t="shared" si="12"/>
        <v>113325.11720237449</v>
      </c>
      <c r="AU45" s="856">
        <f t="shared" si="12"/>
        <v>114191.34193001589</v>
      </c>
      <c r="AV45" s="856">
        <f t="shared" si="12"/>
        <v>115042.16536873062</v>
      </c>
      <c r="AW45" s="856">
        <f t="shared" si="12"/>
        <v>115865.67965628514</v>
      </c>
      <c r="AX45" s="856">
        <f t="shared" si="12"/>
        <v>116660.49420663231</v>
      </c>
      <c r="AY45" s="856">
        <f t="shared" si="12"/>
        <v>118093.61316393234</v>
      </c>
      <c r="AZ45" s="856">
        <f t="shared" si="12"/>
        <v>118984.33721720475</v>
      </c>
      <c r="BA45" s="856">
        <f t="shared" si="12"/>
        <v>119853.82448833497</v>
      </c>
      <c r="BB45" s="856">
        <f t="shared" si="12"/>
        <v>120749.66034151929</v>
      </c>
      <c r="BC45" s="856">
        <f t="shared" si="12"/>
        <v>121602.55629524961</v>
      </c>
      <c r="BD45" s="856">
        <f t="shared" si="12"/>
        <v>122456.65656724098</v>
      </c>
      <c r="BE45" s="856">
        <f t="shared" si="12"/>
        <v>123317.01973855891</v>
      </c>
      <c r="BF45" s="856">
        <f t="shared" si="12"/>
        <v>124178.45952155974</v>
      </c>
      <c r="BG45" s="856">
        <f t="shared" si="12"/>
        <v>125041.23788533098</v>
      </c>
      <c r="BH45" s="856">
        <f t="shared" si="12"/>
        <v>125903.83556151585</v>
      </c>
      <c r="BI45" s="856">
        <f t="shared" si="12"/>
        <v>126767.57442441946</v>
      </c>
      <c r="BJ45" s="856">
        <f t="shared" si="12"/>
        <v>127634.77763993898</v>
      </c>
      <c r="BK45" s="856">
        <f t="shared" si="12"/>
        <v>129115.10485954951</v>
      </c>
      <c r="BL45" s="856">
        <f t="shared" si="12"/>
        <v>129991.17525464603</v>
      </c>
      <c r="BM45" s="856">
        <f t="shared" si="12"/>
        <v>130866.06485506108</v>
      </c>
      <c r="BN45" s="856">
        <f t="shared" si="12"/>
        <v>131741.92190593714</v>
      </c>
      <c r="BO45" s="856">
        <f t="shared" ref="BO45:BV45" si="13">BO43+BO29</f>
        <v>132617.14533375207</v>
      </c>
      <c r="BP45" s="856">
        <f t="shared" si="13"/>
        <v>133494.17448062816</v>
      </c>
      <c r="BQ45" s="856">
        <f t="shared" si="13"/>
        <v>134373.35565089071</v>
      </c>
      <c r="BR45" s="856">
        <f t="shared" si="13"/>
        <v>135254.76176148179</v>
      </c>
      <c r="BS45" s="856">
        <f t="shared" si="13"/>
        <v>136138.06038665053</v>
      </c>
      <c r="BT45" s="856">
        <f t="shared" si="13"/>
        <v>137023.45340804924</v>
      </c>
      <c r="BU45" s="856">
        <f t="shared" si="13"/>
        <v>137911.11583628727</v>
      </c>
      <c r="BV45" s="856">
        <f t="shared" si="13"/>
        <v>138801.1717917544</v>
      </c>
    </row>
    <row r="46" spans="2:74" x14ac:dyDescent="0.25">
      <c r="O46" s="612"/>
      <c r="P46" s="612"/>
      <c r="Q46" s="612"/>
      <c r="R46" s="612"/>
      <c r="S46" s="612"/>
      <c r="T46" s="612"/>
      <c r="U46" s="612"/>
      <c r="V46" s="612"/>
      <c r="W46" s="612"/>
      <c r="X46" s="612"/>
      <c r="Y46" s="612"/>
      <c r="Z46" s="612"/>
      <c r="AA46" s="612"/>
      <c r="AB46" s="612"/>
      <c r="AC46" s="612"/>
      <c r="AD46" s="612"/>
      <c r="AE46" s="612"/>
      <c r="AF46" s="612"/>
      <c r="AG46" s="612"/>
      <c r="AH46" s="612"/>
      <c r="AI46" s="612"/>
      <c r="AJ46" s="612"/>
      <c r="AK46" s="612"/>
      <c r="AL46" s="612"/>
      <c r="AM46" s="612"/>
      <c r="AN46" s="612"/>
      <c r="AO46" s="612"/>
      <c r="AP46" s="612"/>
      <c r="AQ46" s="612"/>
      <c r="AR46" s="612"/>
      <c r="AS46" s="612"/>
      <c r="AT46" s="612"/>
      <c r="AU46" s="612"/>
      <c r="AV46" s="612"/>
      <c r="AW46" s="612"/>
      <c r="AX46" s="612"/>
      <c r="AY46" s="612"/>
      <c r="AZ46" s="612"/>
      <c r="BA46" s="612"/>
    </row>
    <row r="47" spans="2:74" x14ac:dyDescent="0.25">
      <c r="O47" s="571"/>
      <c r="P47" s="571"/>
      <c r="Q47" s="571"/>
      <c r="R47" s="571"/>
      <c r="S47" s="571"/>
      <c r="T47" s="571"/>
      <c r="U47" s="571"/>
      <c r="V47" s="571"/>
      <c r="W47" s="571"/>
      <c r="X47" s="571"/>
      <c r="Y47" s="571"/>
      <c r="Z47" s="571"/>
      <c r="AA47" s="571"/>
      <c r="AB47" s="571"/>
      <c r="AC47" s="571"/>
      <c r="AD47" s="571"/>
      <c r="AE47" s="571"/>
      <c r="AF47" s="571"/>
      <c r="AG47" s="571"/>
      <c r="AH47" s="571"/>
      <c r="AI47" s="571"/>
      <c r="AJ47" s="571"/>
      <c r="AK47" s="571"/>
      <c r="AL47" s="571"/>
      <c r="AM47" s="571"/>
      <c r="AN47" s="571"/>
      <c r="AO47" s="571"/>
      <c r="AP47" s="571"/>
      <c r="AQ47" s="571"/>
      <c r="AR47" s="571"/>
      <c r="AS47" s="571"/>
      <c r="AT47" s="571"/>
      <c r="AU47" s="571"/>
      <c r="AV47" s="571"/>
      <c r="AW47" s="571"/>
      <c r="AX47" s="571"/>
      <c r="AY47" s="571"/>
      <c r="AZ47" s="571"/>
      <c r="BA47" s="571"/>
      <c r="BB47" s="571"/>
      <c r="BC47" s="571"/>
      <c r="BD47" s="571"/>
      <c r="BE47" s="571"/>
      <c r="BF47" s="571"/>
      <c r="BG47" s="571"/>
      <c r="BH47" s="571"/>
      <c r="BI47" s="571"/>
      <c r="BJ47" s="571"/>
    </row>
    <row r="48" spans="2:74" x14ac:dyDescent="0.25">
      <c r="B48" s="570" t="s">
        <v>849</v>
      </c>
      <c r="M48" s="151"/>
      <c r="N48" s="151"/>
      <c r="O48" s="151"/>
      <c r="P48" s="151"/>
      <c r="Q48" s="151"/>
      <c r="R48" s="151"/>
      <c r="S48" s="151"/>
      <c r="T48" s="151"/>
      <c r="U48" s="151"/>
      <c r="V48" s="151"/>
      <c r="W48" s="151"/>
      <c r="X48" s="151"/>
      <c r="Y48" s="151"/>
      <c r="Z48" s="151"/>
      <c r="AA48" s="151"/>
      <c r="AB48" s="151"/>
      <c r="AC48" s="151"/>
      <c r="AD48" s="151"/>
      <c r="AE48" s="151"/>
      <c r="AF48" s="151"/>
      <c r="AG48" s="151"/>
      <c r="AH48" s="151"/>
      <c r="AI48" s="151"/>
      <c r="AJ48" s="151"/>
      <c r="AK48" s="151"/>
      <c r="AL48" s="151"/>
      <c r="AM48" s="151"/>
      <c r="AN48" s="151"/>
      <c r="AO48" s="151"/>
      <c r="AP48" s="151"/>
    </row>
    <row r="49" spans="3:40" x14ac:dyDescent="0.25">
      <c r="C49" s="405">
        <f>C45-'Dept. Cost Actuals'!G1047</f>
        <v>2.2292151697911322E-6</v>
      </c>
      <c r="D49" s="405">
        <f>D45-'Dept. Cost Actuals'!H1047</f>
        <v>18.973614685128268</v>
      </c>
      <c r="E49" s="405">
        <f>E45-'Dept. Cost Actuals'!I1047</f>
        <v>522.55979662766913</v>
      </c>
      <c r="F49" s="405">
        <f>F45-'Dept. Cost Actuals'!J1047</f>
        <v>-308.16385139057093</v>
      </c>
      <c r="G49" s="405">
        <f>G45-'Dept. Cost Actuals'!K1047</f>
        <v>15.788461884716526</v>
      </c>
      <c r="H49" s="405">
        <f>H45-'Dept. Cost Actuals'!L1047</f>
        <v>-597.00257385346049</v>
      </c>
      <c r="I49" s="405">
        <f>I45-'Dept. Cost Actuals'!M1047</f>
        <v>8.8754635598161258</v>
      </c>
      <c r="J49" s="405">
        <f>J45-'Dept. Cost Actuals'!N1047</f>
        <v>2.7167843654751778E-6</v>
      </c>
      <c r="K49" s="405">
        <f>K45-'Dept. Cost Actuals'!O1047</f>
        <v>4.9079462769441307E-6</v>
      </c>
      <c r="L49" s="405">
        <f>L45-'Dept. Cost Actuals'!P1047</f>
        <v>3.0694534160429612</v>
      </c>
      <c r="M49" s="405">
        <f>M45-'Dept. Cost Actuals'!Q1047</f>
        <v>6.8653025664389133E-7</v>
      </c>
      <c r="N49" s="405">
        <f>N45-'Dept. Cost Actuals'!R1047</f>
        <v>179.78207222484343</v>
      </c>
      <c r="O49" s="405">
        <f>O45-'Dept. Cost Actuals'!S1047</f>
        <v>0</v>
      </c>
      <c r="P49" s="405">
        <f>P45-'Dept. Cost Actuals'!T1047</f>
        <v>-17.239999999990687</v>
      </c>
      <c r="Q49" s="405">
        <f>Q45-'Dept. Cost Actuals'!U1047</f>
        <v>0</v>
      </c>
      <c r="R49" s="405">
        <f>R45-'Dept. Cost Actuals'!V1047</f>
        <v>0</v>
      </c>
      <c r="S49" s="405">
        <f>S45-'Dept. Cost Actuals'!W1047</f>
        <v>-380.41000000000349</v>
      </c>
      <c r="T49" s="405">
        <f>T45-'Dept. Cost Actuals'!X1047</f>
        <v>17.950000000011642</v>
      </c>
      <c r="U49" s="405">
        <f>U45-'Dept. Cost Actuals'!Y1047</f>
        <v>71.850000000005821</v>
      </c>
      <c r="V49" s="405">
        <f>V45-'Dept. Cost Actuals'!Z1047</f>
        <v>0</v>
      </c>
      <c r="W49" s="405">
        <f>W45-'Dept. Cost Actuals'!AA1047</f>
        <v>0</v>
      </c>
      <c r="X49" s="405">
        <f>X45-'Dept. Cost Actuals'!AB1047</f>
        <v>0</v>
      </c>
      <c r="Y49" s="405">
        <f>Y45-'Dept. Cost Actuals'!AC1047</f>
        <v>-2017.8999999999942</v>
      </c>
      <c r="Z49" s="405">
        <f>Z45-'Dept. Cost Actuals'!AD1047</f>
        <v>0</v>
      </c>
      <c r="AA49" s="405">
        <f>AA45-'Dept. Cost Actuals'!AE1047</f>
        <v>0</v>
      </c>
      <c r="AB49" s="405">
        <f>AB45-'Dept. Cost Actuals'!AF1047</f>
        <v>27.480000000010477</v>
      </c>
      <c r="AC49" s="405">
        <f>AC45-'Dept. Cost Actuals'!AG1047</f>
        <v>-238.44000000000233</v>
      </c>
      <c r="AN49" s="151"/>
    </row>
  </sheetData>
  <conditionalFormatting sqref="C4:BV4">
    <cfRule type="containsText" dxfId="256" priority="3" operator="containsText" text="actual">
      <formula>NOT(ISERROR(SEARCH("actual",C4)))</formula>
    </cfRule>
    <cfRule type="containsText" dxfId="255" priority="4" operator="containsText" text="forecast">
      <formula>NOT(ISERROR(SEARCH("forecast",C4)))</formula>
    </cfRule>
  </conditionalFormatting>
  <conditionalFormatting sqref="B4">
    <cfRule type="containsText" dxfId="254" priority="1" operator="containsText" text="actual">
      <formula>NOT(ISERROR(SEARCH("actual",B4)))</formula>
    </cfRule>
    <cfRule type="containsText" dxfId="253" priority="2" operator="containsText" text="forecast">
      <formula>NOT(ISERROR(SEARCH("forecast",B4)))</formula>
    </cfRule>
  </conditionalFormatting>
  <pageMargins left="0.7" right="0.7" top="0.75" bottom="0.75" header="0.3" footer="0.3"/>
  <pageSetup orientation="portrait" horizontalDpi="0"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V49"/>
  <sheetViews>
    <sheetView zoomScale="80" zoomScaleNormal="80" workbookViewId="0">
      <pane xSplit="2" ySplit="4" topLeftCell="Z6" activePane="bottomRight" state="frozen"/>
      <selection activeCell="D19" sqref="D19"/>
      <selection pane="topRight" activeCell="D19" sqref="D19"/>
      <selection pane="bottomLeft" activeCell="D19" sqref="D19"/>
      <selection pane="bottomRight" activeCell="AD12" sqref="AD12"/>
    </sheetView>
  </sheetViews>
  <sheetFormatPr defaultColWidth="9.140625" defaultRowHeight="15" outlineLevelCol="1" x14ac:dyDescent="0.25"/>
  <cols>
    <col min="1" max="1" width="2" style="570" customWidth="1"/>
    <col min="2" max="2" width="27.42578125" style="570" bestFit="1" customWidth="1"/>
    <col min="3" max="3" width="12.7109375" style="570" customWidth="1"/>
    <col min="4" max="7" width="12.7109375" style="570" hidden="1" customWidth="1" outlineLevel="1"/>
    <col min="8" max="12" width="16.42578125" style="570" hidden="1" customWidth="1" outlineLevel="1"/>
    <col min="13" max="13" width="19.28515625" style="570" hidden="1" customWidth="1" outlineLevel="1"/>
    <col min="14" max="14" width="16.42578125" style="570" customWidth="1" collapsed="1"/>
    <col min="15" max="15" width="12.7109375" style="570" bestFit="1" customWidth="1"/>
    <col min="16" max="18" width="12.7109375" style="570" hidden="1" customWidth="1" outlineLevel="1"/>
    <col min="19" max="19" width="12.140625" style="570" hidden="1" customWidth="1" outlineLevel="1"/>
    <col min="20" max="25" width="12.28515625" style="570" hidden="1" customWidth="1" outlineLevel="1"/>
    <col min="26" max="26" width="12.28515625" style="570" bestFit="1" customWidth="1" collapsed="1"/>
    <col min="27" max="27" width="12.28515625" style="570" customWidth="1"/>
    <col min="28" max="29" width="13.28515625" style="570" customWidth="1" outlineLevel="1"/>
    <col min="30" max="35" width="10.7109375" style="570" customWidth="1" outlineLevel="1"/>
    <col min="36" max="37" width="11.85546875" style="570" customWidth="1" outlineLevel="1"/>
    <col min="38" max="39" width="13.28515625" style="570" customWidth="1"/>
    <col min="40" max="47" width="10.7109375" style="570" hidden="1" customWidth="1" outlineLevel="1"/>
    <col min="48" max="49" width="11.85546875" style="570" hidden="1" customWidth="1" outlineLevel="1"/>
    <col min="50" max="50" width="11.85546875" style="570" customWidth="1" collapsed="1"/>
    <col min="51" max="51" width="10.7109375" style="570" bestFit="1" customWidth="1"/>
    <col min="52" max="57" width="10.7109375" style="570" hidden="1" customWidth="1" outlineLevel="1"/>
    <col min="58" max="61" width="13.28515625" style="570" hidden="1" customWidth="1" outlineLevel="1"/>
    <col min="62" max="62" width="13.28515625" style="570" bestFit="1" customWidth="1" collapsed="1"/>
    <col min="63" max="63" width="13" style="570" bestFit="1" customWidth="1"/>
    <col min="64" max="73" width="13" style="570" hidden="1" customWidth="1" outlineLevel="1"/>
    <col min="74" max="74" width="13" style="570" bestFit="1" customWidth="1" collapsed="1"/>
    <col min="75" max="16384" width="9.140625" style="570"/>
  </cols>
  <sheetData>
    <row r="2" spans="2:74" x14ac:dyDescent="0.25">
      <c r="B2" s="636" t="s">
        <v>1361</v>
      </c>
      <c r="C2" s="636"/>
      <c r="D2" s="636"/>
      <c r="E2" s="636"/>
      <c r="F2" s="636"/>
      <c r="G2" s="636"/>
      <c r="H2" s="636"/>
      <c r="I2" s="636"/>
      <c r="J2" s="636"/>
      <c r="K2" s="636"/>
      <c r="L2" s="636"/>
      <c r="M2" s="636"/>
      <c r="N2" s="636"/>
    </row>
    <row r="3" spans="2:74" x14ac:dyDescent="0.25">
      <c r="B3" s="771" t="s">
        <v>924</v>
      </c>
      <c r="C3" s="1140">
        <v>40939</v>
      </c>
      <c r="D3" s="1140">
        <v>40968</v>
      </c>
      <c r="E3" s="1140">
        <v>40999</v>
      </c>
      <c r="F3" s="1140">
        <v>41029</v>
      </c>
      <c r="G3" s="1140">
        <v>41060</v>
      </c>
      <c r="H3" s="1140">
        <v>41090</v>
      </c>
      <c r="I3" s="1140">
        <v>41121</v>
      </c>
      <c r="J3" s="1140">
        <v>41152</v>
      </c>
      <c r="K3" s="1140">
        <v>41182</v>
      </c>
      <c r="L3" s="1140">
        <v>41213</v>
      </c>
      <c r="M3" s="1140">
        <v>41243</v>
      </c>
      <c r="N3" s="1140">
        <v>41274</v>
      </c>
      <c r="O3" s="1140">
        <v>41305</v>
      </c>
      <c r="P3" s="1140">
        <v>41333</v>
      </c>
      <c r="Q3" s="1140">
        <v>41364</v>
      </c>
      <c r="R3" s="1140">
        <v>41394</v>
      </c>
      <c r="S3" s="1140">
        <v>41425</v>
      </c>
      <c r="T3" s="1140">
        <v>41455</v>
      </c>
      <c r="U3" s="1140">
        <v>41486</v>
      </c>
      <c r="V3" s="1140">
        <v>41517</v>
      </c>
      <c r="W3" s="1140">
        <v>41547</v>
      </c>
      <c r="X3" s="1140">
        <v>41578</v>
      </c>
      <c r="Y3" s="1140">
        <v>41608</v>
      </c>
      <c r="Z3" s="1140">
        <v>41639</v>
      </c>
      <c r="AA3" s="1140">
        <v>41670</v>
      </c>
      <c r="AB3" s="1140">
        <v>41698</v>
      </c>
      <c r="AC3" s="1140">
        <v>41729</v>
      </c>
      <c r="AD3" s="1140">
        <v>41759</v>
      </c>
      <c r="AE3" s="1140">
        <v>41790</v>
      </c>
      <c r="AF3" s="1140">
        <v>41820</v>
      </c>
      <c r="AG3" s="1140">
        <v>41851</v>
      </c>
      <c r="AH3" s="1140">
        <v>41882</v>
      </c>
      <c r="AI3" s="1140">
        <v>41912</v>
      </c>
      <c r="AJ3" s="1140">
        <v>41943</v>
      </c>
      <c r="AK3" s="1140">
        <v>41973</v>
      </c>
      <c r="AL3" s="1140">
        <v>42004</v>
      </c>
      <c r="AM3" s="1140">
        <v>42035</v>
      </c>
      <c r="AN3" s="1140">
        <v>42063</v>
      </c>
      <c r="AO3" s="1140">
        <v>42094</v>
      </c>
      <c r="AP3" s="1140">
        <v>42124</v>
      </c>
      <c r="AQ3" s="1140">
        <v>42155</v>
      </c>
      <c r="AR3" s="1140">
        <v>42185</v>
      </c>
      <c r="AS3" s="1140">
        <v>42216</v>
      </c>
      <c r="AT3" s="1140">
        <v>42247</v>
      </c>
      <c r="AU3" s="1140">
        <v>42277</v>
      </c>
      <c r="AV3" s="1140">
        <v>42308</v>
      </c>
      <c r="AW3" s="1140">
        <v>42338</v>
      </c>
      <c r="AX3" s="1140">
        <v>42369</v>
      </c>
      <c r="AY3" s="1140">
        <v>42400</v>
      </c>
      <c r="AZ3" s="1140">
        <v>42429</v>
      </c>
      <c r="BA3" s="1140">
        <v>42460</v>
      </c>
      <c r="BB3" s="1140">
        <v>42490</v>
      </c>
      <c r="BC3" s="1140">
        <v>42521</v>
      </c>
      <c r="BD3" s="1140">
        <v>42551</v>
      </c>
      <c r="BE3" s="1140">
        <v>42582</v>
      </c>
      <c r="BF3" s="1140">
        <v>42613</v>
      </c>
      <c r="BG3" s="1140">
        <v>42643</v>
      </c>
      <c r="BH3" s="1140">
        <v>42674</v>
      </c>
      <c r="BI3" s="1140">
        <v>42704</v>
      </c>
      <c r="BJ3" s="1140">
        <v>42735</v>
      </c>
      <c r="BK3" s="1140">
        <v>42766</v>
      </c>
      <c r="BL3" s="1140">
        <v>42794</v>
      </c>
      <c r="BM3" s="1140">
        <v>42825</v>
      </c>
      <c r="BN3" s="1140">
        <v>42855</v>
      </c>
      <c r="BO3" s="1140">
        <v>42886</v>
      </c>
      <c r="BP3" s="1140">
        <v>42916</v>
      </c>
      <c r="BQ3" s="1140">
        <v>42947</v>
      </c>
      <c r="BR3" s="1140">
        <v>42978</v>
      </c>
      <c r="BS3" s="1140">
        <v>43008</v>
      </c>
      <c r="BT3" s="1140">
        <v>43039</v>
      </c>
      <c r="BU3" s="1140">
        <v>43069</v>
      </c>
      <c r="BV3" s="773">
        <v>43100</v>
      </c>
    </row>
    <row r="4" spans="2:74" x14ac:dyDescent="0.25">
      <c r="B4" s="774" t="s">
        <v>925</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4" t="str">
        <f>IF(AA3&lt;=Headcount!$U$3,"Actual","Forecast")</f>
        <v>Actual</v>
      </c>
      <c r="AB4" s="4" t="str">
        <f>IF(AB3&lt;=Headcount!$U$3,"Actual","Forecast")</f>
        <v>Actual</v>
      </c>
      <c r="AC4" s="4" t="str">
        <f>IF(AC3&lt;=Headcount!$U$3,"Actual","Forecast")</f>
        <v>Actual</v>
      </c>
      <c r="AD4" s="4" t="str">
        <f>IF(AD3&lt;=Headcount!$U$3,"Actual","Forecast")</f>
        <v>Forecast</v>
      </c>
      <c r="AE4" s="4" t="str">
        <f>IF(AE3&lt;=Headcount!$U$3,"Actual","Forecast")</f>
        <v>Forecast</v>
      </c>
      <c r="AF4" s="4" t="str">
        <f>IF(AF3&lt;=Headcount!$U$3,"Actual","Forecast")</f>
        <v>Forecast</v>
      </c>
      <c r="AG4" s="4" t="str">
        <f>IF(AG3&lt;=Headcount!$U$3,"Actual","Forecast")</f>
        <v>Forecast</v>
      </c>
      <c r="AH4" s="4" t="str">
        <f>IF(AH3&lt;=Headcount!$U$3,"Actual","Forecast")</f>
        <v>Forecast</v>
      </c>
      <c r="AI4" s="4" t="str">
        <f>IF(AI3&lt;=Headcount!$U$3,"Actual","Forecast")</f>
        <v>Forecast</v>
      </c>
      <c r="AJ4" s="4" t="str">
        <f>IF(AJ3&lt;=Headcount!$U$3,"Actual","Forecast")</f>
        <v>Forecast</v>
      </c>
      <c r="AK4" s="4" t="str">
        <f>IF(AK3&lt;=Headcount!$U$3,"Actual","Forecast")</f>
        <v>Forecast</v>
      </c>
      <c r="AL4" s="4" t="str">
        <f>IF(AL3&lt;=Headcount!$U$3,"Actual","Forecast")</f>
        <v>Forecast</v>
      </c>
      <c r="AM4" s="4" t="str">
        <f>IF(AM3&lt;=Headcount!$U$3,"Actual","Forecast")</f>
        <v>Forecast</v>
      </c>
      <c r="AN4" s="4" t="str">
        <f>IF(AN3&lt;=Headcount!$U$3,"Actual","Forecast")</f>
        <v>Forecast</v>
      </c>
      <c r="AO4" s="4" t="str">
        <f>IF(AO3&lt;=Headcount!$U$3,"Actual","Forecast")</f>
        <v>Forecast</v>
      </c>
      <c r="AP4" s="4" t="str">
        <f>IF(AP3&lt;=Headcount!$U$3,"Actual","Forecast")</f>
        <v>Forecast</v>
      </c>
      <c r="AQ4" s="4" t="str">
        <f>IF(AQ3&lt;=Headcount!$U$3,"Actual","Forecast")</f>
        <v>Forecast</v>
      </c>
      <c r="AR4" s="4" t="str">
        <f>IF(AR3&lt;=Headcount!$U$3,"Actual","Forecast")</f>
        <v>Forecast</v>
      </c>
      <c r="AS4" s="4" t="str">
        <f>IF(AS3&lt;=Headcount!$U$3,"Actual","Forecast")</f>
        <v>Forecast</v>
      </c>
      <c r="AT4" s="4" t="str">
        <f>IF(AT3&lt;=Headcount!$U$3,"Actual","Forecast")</f>
        <v>Forecast</v>
      </c>
      <c r="AU4" s="4" t="str">
        <f>IF(AU3&lt;=Headcount!$U$3,"Actual","Forecast")</f>
        <v>Forecast</v>
      </c>
      <c r="AV4" s="4" t="str">
        <f>IF(AV3&lt;=Headcount!$U$3,"Actual","Forecast")</f>
        <v>Forecast</v>
      </c>
      <c r="AW4" s="4" t="str">
        <f>IF(AW3&lt;=Headcount!$U$3,"Actual","Forecast")</f>
        <v>Forecast</v>
      </c>
      <c r="AX4" s="4" t="str">
        <f>IF(AX3&lt;=Headcount!$U$3,"Actual","Forecast")</f>
        <v>Forecast</v>
      </c>
      <c r="AY4" s="4" t="str">
        <f>IF(AY3&lt;=Headcount!$U$3,"Actual","Forecast")</f>
        <v>Forecast</v>
      </c>
      <c r="AZ4" s="4" t="str">
        <f>IF(AZ3&lt;=Headcount!$U$3,"Actual","Forecast")</f>
        <v>Forecast</v>
      </c>
      <c r="BA4" s="4" t="str">
        <f>IF(BA3&lt;=Headcount!$U$3,"Actual","Forecast")</f>
        <v>Forecast</v>
      </c>
      <c r="BB4" s="4" t="str">
        <f>IF(BB3&lt;=Headcount!$U$3,"Actual","Forecast")</f>
        <v>Forecast</v>
      </c>
      <c r="BC4" s="4" t="str">
        <f>IF(BC3&lt;=Headcount!$U$3,"Actual","Forecast")</f>
        <v>Forecast</v>
      </c>
      <c r="BD4" s="4" t="str">
        <f>IF(BD3&lt;=Headcount!$U$3,"Actual","Forecast")</f>
        <v>Forecast</v>
      </c>
      <c r="BE4" s="4" t="str">
        <f>IF(BE3&lt;=Headcount!$U$3,"Actual","Forecast")</f>
        <v>Forecast</v>
      </c>
      <c r="BF4" s="4" t="str">
        <f>IF(BF3&lt;=Headcount!$U$3,"Actual","Forecast")</f>
        <v>Forecast</v>
      </c>
      <c r="BG4" s="4" t="str">
        <f>IF(BG3&lt;=Headcount!$U$3,"Actual","Forecast")</f>
        <v>Forecast</v>
      </c>
      <c r="BH4" s="4" t="str">
        <f>IF(BH3&lt;=Headcount!$U$3,"Actual","Forecast")</f>
        <v>Forecast</v>
      </c>
      <c r="BI4" s="4" t="str">
        <f>IF(BI3&lt;=Headcount!$U$3,"Actual","Forecast")</f>
        <v>Forecast</v>
      </c>
      <c r="BJ4" s="4" t="str">
        <f>IF(BJ3&lt;=Headcount!$U$3,"Actual","Forecast")</f>
        <v>Forecast</v>
      </c>
      <c r="BK4" s="4" t="str">
        <f>IF(BK3&lt;=Headcount!$U$3,"Actual","Forecast")</f>
        <v>Forecast</v>
      </c>
      <c r="BL4" s="4" t="str">
        <f>IF(BL3&lt;=Headcount!$U$3,"Actual","Forecast")</f>
        <v>Forecast</v>
      </c>
      <c r="BM4" s="4" t="str">
        <f>IF(BM3&lt;=Headcount!$U$3,"Actual","Forecast")</f>
        <v>Forecast</v>
      </c>
      <c r="BN4" s="4" t="str">
        <f>IF(BN3&lt;=Headcount!$U$3,"Actual","Forecast")</f>
        <v>Forecast</v>
      </c>
      <c r="BO4" s="4" t="str">
        <f>IF(BO3&lt;=Headcount!$U$3,"Actual","Forecast")</f>
        <v>Forecast</v>
      </c>
      <c r="BP4" s="4" t="str">
        <f>IF(BP3&lt;=Headcount!$U$3,"Actual","Forecast")</f>
        <v>Forecast</v>
      </c>
      <c r="BQ4" s="4" t="str">
        <f>IF(BQ3&lt;=Headcount!$U$3,"Actual","Forecast")</f>
        <v>Forecast</v>
      </c>
      <c r="BR4" s="4" t="str">
        <f>IF(BR3&lt;=Headcount!$U$3,"Actual","Forecast")</f>
        <v>Forecast</v>
      </c>
      <c r="BS4" s="4" t="str">
        <f>IF(BS3&lt;=Headcount!$U$3,"Actual","Forecast")</f>
        <v>Forecast</v>
      </c>
      <c r="BT4" s="4" t="str">
        <f>IF(BT3&lt;=Headcount!$U$3,"Actual","Forecast")</f>
        <v>Forecast</v>
      </c>
      <c r="BU4" s="4" t="str">
        <f>IF(BU3&lt;=Headcount!$U$3,"Actual","Forecast")</f>
        <v>Forecast</v>
      </c>
      <c r="BV4" s="1209" t="str">
        <f>IF(BV3&lt;=Headcount!$U$3,"Actual","Forecast")</f>
        <v>Forecast</v>
      </c>
    </row>
    <row r="5" spans="2:74" x14ac:dyDescent="0.25">
      <c r="B5" s="777" t="s">
        <v>67</v>
      </c>
      <c r="C5" s="778"/>
      <c r="D5" s="778"/>
      <c r="E5" s="778"/>
      <c r="F5" s="778"/>
      <c r="G5" s="778"/>
      <c r="H5" s="778"/>
      <c r="I5" s="778"/>
      <c r="J5" s="778"/>
      <c r="K5" s="778"/>
      <c r="L5" s="778"/>
      <c r="M5" s="778"/>
      <c r="N5" s="778"/>
      <c r="O5" s="778"/>
      <c r="P5" s="778"/>
      <c r="Q5" s="778"/>
      <c r="R5" s="778"/>
      <c r="S5" s="778"/>
      <c r="T5" s="778"/>
      <c r="U5" s="778"/>
      <c r="V5" s="778"/>
      <c r="W5" s="778"/>
      <c r="X5" s="778"/>
      <c r="Y5" s="778"/>
      <c r="Z5" s="778"/>
      <c r="AA5" s="778">
        <f t="shared" ref="AA5:BV5" si="0">MONTH(AA3)</f>
        <v>1</v>
      </c>
      <c r="AB5" s="778">
        <f t="shared" si="0"/>
        <v>2</v>
      </c>
      <c r="AC5" s="778">
        <f t="shared" si="0"/>
        <v>3</v>
      </c>
      <c r="AD5" s="778">
        <f t="shared" si="0"/>
        <v>4</v>
      </c>
      <c r="AE5" s="778">
        <f t="shared" si="0"/>
        <v>5</v>
      </c>
      <c r="AF5" s="778">
        <f t="shared" si="0"/>
        <v>6</v>
      </c>
      <c r="AG5" s="778">
        <f t="shared" si="0"/>
        <v>7</v>
      </c>
      <c r="AH5" s="778">
        <f t="shared" si="0"/>
        <v>8</v>
      </c>
      <c r="AI5" s="778">
        <f t="shared" si="0"/>
        <v>9</v>
      </c>
      <c r="AJ5" s="778">
        <f t="shared" si="0"/>
        <v>10</v>
      </c>
      <c r="AK5" s="778">
        <f t="shared" si="0"/>
        <v>11</v>
      </c>
      <c r="AL5" s="778">
        <f t="shared" si="0"/>
        <v>12</v>
      </c>
      <c r="AM5" s="778">
        <f t="shared" si="0"/>
        <v>1</v>
      </c>
      <c r="AN5" s="778">
        <f t="shared" si="0"/>
        <v>2</v>
      </c>
      <c r="AO5" s="778">
        <f t="shared" si="0"/>
        <v>3</v>
      </c>
      <c r="AP5" s="778">
        <f t="shared" si="0"/>
        <v>4</v>
      </c>
      <c r="AQ5" s="778">
        <f t="shared" si="0"/>
        <v>5</v>
      </c>
      <c r="AR5" s="778">
        <f t="shared" si="0"/>
        <v>6</v>
      </c>
      <c r="AS5" s="778">
        <f t="shared" si="0"/>
        <v>7</v>
      </c>
      <c r="AT5" s="778">
        <f t="shared" si="0"/>
        <v>8</v>
      </c>
      <c r="AU5" s="778">
        <f t="shared" si="0"/>
        <v>9</v>
      </c>
      <c r="AV5" s="778">
        <f t="shared" si="0"/>
        <v>10</v>
      </c>
      <c r="AW5" s="778">
        <f t="shared" si="0"/>
        <v>11</v>
      </c>
      <c r="AX5" s="778">
        <f t="shared" si="0"/>
        <v>12</v>
      </c>
      <c r="AY5" s="778">
        <f t="shared" si="0"/>
        <v>1</v>
      </c>
      <c r="AZ5" s="778">
        <f t="shared" si="0"/>
        <v>2</v>
      </c>
      <c r="BA5" s="778">
        <f t="shared" si="0"/>
        <v>3</v>
      </c>
      <c r="BB5" s="778">
        <f t="shared" si="0"/>
        <v>4</v>
      </c>
      <c r="BC5" s="778">
        <f t="shared" si="0"/>
        <v>5</v>
      </c>
      <c r="BD5" s="778">
        <f t="shared" si="0"/>
        <v>6</v>
      </c>
      <c r="BE5" s="778">
        <f t="shared" si="0"/>
        <v>7</v>
      </c>
      <c r="BF5" s="778">
        <f t="shared" si="0"/>
        <v>8</v>
      </c>
      <c r="BG5" s="778">
        <f t="shared" si="0"/>
        <v>9</v>
      </c>
      <c r="BH5" s="778">
        <f t="shared" si="0"/>
        <v>10</v>
      </c>
      <c r="BI5" s="778">
        <f t="shared" si="0"/>
        <v>11</v>
      </c>
      <c r="BJ5" s="778">
        <f t="shared" si="0"/>
        <v>12</v>
      </c>
      <c r="BK5" s="778">
        <f t="shared" si="0"/>
        <v>1</v>
      </c>
      <c r="BL5" s="778">
        <f t="shared" si="0"/>
        <v>2</v>
      </c>
      <c r="BM5" s="778">
        <f t="shared" si="0"/>
        <v>3</v>
      </c>
      <c r="BN5" s="778">
        <f t="shared" si="0"/>
        <v>4</v>
      </c>
      <c r="BO5" s="778">
        <f t="shared" si="0"/>
        <v>5</v>
      </c>
      <c r="BP5" s="778">
        <f t="shared" si="0"/>
        <v>6</v>
      </c>
      <c r="BQ5" s="778">
        <f t="shared" si="0"/>
        <v>7</v>
      </c>
      <c r="BR5" s="778">
        <f t="shared" si="0"/>
        <v>8</v>
      </c>
      <c r="BS5" s="778">
        <f t="shared" si="0"/>
        <v>9</v>
      </c>
      <c r="BT5" s="778">
        <f t="shared" si="0"/>
        <v>10</v>
      </c>
      <c r="BU5" s="778">
        <f t="shared" si="0"/>
        <v>11</v>
      </c>
      <c r="BV5" s="779">
        <f t="shared" si="0"/>
        <v>12</v>
      </c>
    </row>
    <row r="6" spans="2:74" x14ac:dyDescent="0.25">
      <c r="B6" s="780"/>
      <c r="C6" s="781"/>
      <c r="D6" s="781"/>
      <c r="E6" s="781"/>
      <c r="F6" s="781"/>
      <c r="G6" s="781"/>
      <c r="H6" s="781"/>
      <c r="I6" s="781"/>
      <c r="J6" s="781"/>
      <c r="K6" s="781"/>
      <c r="L6" s="781"/>
      <c r="M6" s="781"/>
      <c r="N6" s="781"/>
      <c r="O6" s="781"/>
      <c r="P6" s="781"/>
      <c r="Q6" s="781"/>
      <c r="R6" s="781"/>
      <c r="S6" s="781"/>
      <c r="T6" s="781"/>
      <c r="U6" s="781"/>
      <c r="V6" s="781"/>
      <c r="W6" s="781"/>
      <c r="X6" s="781"/>
      <c r="Y6" s="781"/>
      <c r="Z6" s="781"/>
      <c r="AA6" s="781"/>
      <c r="AB6" s="781"/>
      <c r="AC6" s="781"/>
      <c r="AD6" s="781"/>
      <c r="AE6" s="781"/>
      <c r="AF6" s="781"/>
      <c r="AG6" s="781"/>
      <c r="AH6" s="781"/>
      <c r="AI6" s="781"/>
      <c r="AJ6" s="781"/>
      <c r="AK6" s="781"/>
      <c r="AL6" s="781"/>
      <c r="AM6" s="781"/>
      <c r="AN6" s="781"/>
      <c r="AO6" s="781"/>
      <c r="AP6" s="781"/>
      <c r="AQ6" s="781"/>
      <c r="AR6" s="781"/>
      <c r="AS6" s="781"/>
      <c r="AT6" s="781"/>
      <c r="AU6" s="781"/>
      <c r="AV6" s="781"/>
      <c r="AW6" s="781"/>
      <c r="AX6" s="781"/>
      <c r="AY6" s="781"/>
      <c r="AZ6" s="781"/>
      <c r="BA6" s="781"/>
      <c r="BB6" s="781"/>
      <c r="BC6" s="781"/>
      <c r="BD6" s="781"/>
      <c r="BE6" s="781"/>
      <c r="BF6" s="781"/>
      <c r="BG6" s="781"/>
      <c r="BH6" s="781"/>
      <c r="BI6" s="781"/>
      <c r="BJ6" s="781"/>
      <c r="BK6" s="781"/>
      <c r="BL6" s="781"/>
      <c r="BM6" s="781"/>
      <c r="BN6" s="781"/>
      <c r="BO6" s="781"/>
      <c r="BP6" s="781"/>
      <c r="BQ6" s="781"/>
      <c r="BR6" s="781"/>
      <c r="BS6" s="781"/>
      <c r="BT6" s="781"/>
      <c r="BU6" s="781"/>
      <c r="BV6" s="782"/>
    </row>
    <row r="7" spans="2:74" x14ac:dyDescent="0.25">
      <c r="B7" s="777" t="s">
        <v>13</v>
      </c>
      <c r="C7" s="781"/>
      <c r="D7" s="782"/>
      <c r="E7" s="781"/>
      <c r="F7" s="781"/>
      <c r="G7" s="781"/>
      <c r="H7" s="781"/>
      <c r="I7" s="781"/>
      <c r="J7" s="781"/>
      <c r="K7" s="781"/>
      <c r="L7" s="781"/>
      <c r="M7" s="781"/>
      <c r="N7" s="781"/>
      <c r="O7" s="781"/>
      <c r="P7" s="781"/>
      <c r="Q7" s="781"/>
      <c r="R7" s="781"/>
      <c r="S7" s="781"/>
      <c r="T7" s="781"/>
      <c r="U7" s="781"/>
      <c r="V7" s="781"/>
      <c r="W7" s="781"/>
      <c r="X7" s="781"/>
      <c r="Y7" s="781"/>
      <c r="Z7" s="781"/>
      <c r="AA7" s="781">
        <f>IF(AA4="forecast",IF(Z4="actual",(SUMIFS(Headcount!$B$6:$B$89,Headcount!$F$6:$F$89,"BI",Headcount!$H$6:$H$89,"&gt;"&amp;AA3,Headcount!$G$6:$G$89,"&lt;"&amp;AA3)+AA8-AA9),(Z7+AA8-AA9)),SUMIFS(Headcount!$B$6:$B$89,Headcount!$F$6:$F$89,"BI",Headcount!$H$6:$H$89,"&gt;"&amp;AA3,Headcount!$G$6:$G$89,"&lt;"&amp;Z3))</f>
        <v>0</v>
      </c>
      <c r="AB7" s="781">
        <f>IF(AB4="forecast",IF(AA4="actual",(SUMIFS(Headcount!$B$6:$B$89,Headcount!$F$6:$F$89,"BI",Headcount!$H$6:$H$89,"&gt;"&amp;AB3,Headcount!$G$6:$G$89,"&lt;"&amp;AB3)+AB8-AB9),(AA7+AB8-AB9)),SUMIFS(Headcount!$B$6:$B$89,Headcount!$F$6:$F$89,"BI",Headcount!$H$6:$H$89,"&gt;"&amp;AB3,Headcount!$G$6:$G$89,"&lt;"&amp;AA3))</f>
        <v>0</v>
      </c>
      <c r="AC7" s="781">
        <f>IF(AC4="forecast",IF(AB4="actual",(SUMIFS(Headcount!$B$6:$B$89,Headcount!$F$6:$F$89,"BI",Headcount!$H$6:$H$89,"&gt;"&amp;AC3,Headcount!$G$6:$G$89,"&lt;"&amp;AC3)+AC8-AC9),(AB7+AC8-AC9)),SUMIFS(Headcount!$B$6:$B$89,Headcount!$F$6:$F$89,"BI",Headcount!$H$6:$H$89,"&gt;"&amp;AC3,Headcount!$G$6:$G$89,"&lt;"&amp;AB3))</f>
        <v>0</v>
      </c>
      <c r="AD7" s="781">
        <f>IF(AD4="forecast",IF(AC4="actual",(SUMIFS(Headcount!$B$6:$B$89,Headcount!$F$6:$F$89,"BI",Headcount!$H$6:$H$89,"&gt;"&amp;AD3,Headcount!$G$6:$G$89,"&lt;"&amp;AD3)+AD8-AD9),(AC7+AD8-AD9)),SUMIFS(Headcount!$B$6:$B$89,Headcount!$F$6:$F$89,"BI",Headcount!$H$6:$H$89,"&gt;"&amp;AD3,Headcount!$G$6:$G$89,"&lt;"&amp;AC3))</f>
        <v>0</v>
      </c>
      <c r="AE7" s="781">
        <f>IF(AE4="forecast",IF(AD4="actual",(SUMIFS(Headcount!$B$6:$B$89,Headcount!$F$6:$F$89,"BI",Headcount!$H$6:$H$89,"&gt;"&amp;AE3,Headcount!$G$6:$G$89,"&lt;"&amp;AE3)+AE8-AE9),(AD7+AE8-AE9)),SUMIFS(Headcount!$B$6:$B$89,Headcount!$F$6:$F$89,"BI",Headcount!$H$6:$H$89,"&gt;"&amp;AE3,Headcount!$G$6:$G$89,"&lt;"&amp;AD3))</f>
        <v>0</v>
      </c>
      <c r="AF7" s="781">
        <f>IF(AF4="forecast",IF(AE4="actual",(SUMIFS(Headcount!$B$6:$B$89,Headcount!$F$6:$F$89,"BI",Headcount!$H$6:$H$89,"&gt;"&amp;AF3,Headcount!$G$6:$G$89,"&lt;"&amp;AF3)+AF8-AF9),(AE7+AF8-AF9)),SUMIFS(Headcount!$B$6:$B$89,Headcount!$F$6:$F$89,"BI",Headcount!$H$6:$H$89,"&gt;"&amp;AF3,Headcount!$G$6:$G$89,"&lt;"&amp;AE3))</f>
        <v>0</v>
      </c>
      <c r="AG7" s="781">
        <f>IF(AG4="forecast",IF(AF4="actual",(SUMIFS(Headcount!$B$6:$B$89,Headcount!$F$6:$F$89,"BI",Headcount!$H$6:$H$89,"&gt;"&amp;AG3,Headcount!$G$6:$G$89,"&lt;"&amp;AG3)+AG8-AG9),(AF7+AG8-AG9)),SUMIFS(Headcount!$B$6:$B$89,Headcount!$F$6:$F$89,"BI",Headcount!$H$6:$H$89,"&gt;"&amp;AG3,Headcount!$G$6:$G$89,"&lt;"&amp;AF3))</f>
        <v>0</v>
      </c>
      <c r="AH7" s="781">
        <f>IF(AH4="forecast",IF(AG4="actual",(SUMIFS(Headcount!$B$6:$B$89,Headcount!$F$6:$F$89,"BI",Headcount!$H$6:$H$89,"&gt;"&amp;AH3,Headcount!$G$6:$G$89,"&lt;"&amp;AH3)+AH8-AH9),(AG7+AH8-AH9)),SUMIFS(Headcount!$B$6:$B$89,Headcount!$F$6:$F$89,"BI",Headcount!$H$6:$H$89,"&gt;"&amp;AH3,Headcount!$G$6:$G$89,"&lt;"&amp;AG3))</f>
        <v>0</v>
      </c>
      <c r="AI7" s="781">
        <f>IF(AI4="forecast",IF(AH4="actual",(SUMIFS(Headcount!$B$6:$B$89,Headcount!$F$6:$F$89,"BI",Headcount!$H$6:$H$89,"&gt;"&amp;AI3,Headcount!$G$6:$G$89,"&lt;"&amp;AI3)+AI8-AI9),(AH7+AI8-AI9)),SUMIFS(Headcount!$B$6:$B$89,Headcount!$F$6:$F$89,"BI",Headcount!$H$6:$H$89,"&gt;"&amp;AI3,Headcount!$G$6:$G$89,"&lt;"&amp;AH3))</f>
        <v>0</v>
      </c>
      <c r="AJ7" s="781">
        <f>IF(AJ4="forecast",IF(AI4="actual",(SUMIFS(Headcount!$B$6:$B$89,Headcount!$F$6:$F$89,"BI",Headcount!$H$6:$H$89,"&gt;"&amp;AJ3,Headcount!$G$6:$G$89,"&lt;"&amp;AJ3)+AJ8-AJ9),(AI7+AJ8-AJ9)),SUMIFS(Headcount!$B$6:$B$89,Headcount!$F$6:$F$89,"BI",Headcount!$H$6:$H$89,"&gt;"&amp;AJ3,Headcount!$G$6:$G$89,"&lt;"&amp;AI3))</f>
        <v>0</v>
      </c>
      <c r="AK7" s="781">
        <f>IF(AK4="forecast",IF(AJ4="actual",(SUMIFS(Headcount!$B$6:$B$89,Headcount!$F$6:$F$89,"BI",Headcount!$H$6:$H$89,"&gt;"&amp;AK3,Headcount!$G$6:$G$89,"&lt;"&amp;AK3)+AK8-AK9),(AJ7+AK8-AK9)),SUMIFS(Headcount!$B$6:$B$89,Headcount!$F$6:$F$89,"BI",Headcount!$H$6:$H$89,"&gt;"&amp;AK3,Headcount!$G$6:$G$89,"&lt;"&amp;AJ3))</f>
        <v>0</v>
      </c>
      <c r="AL7" s="781">
        <f>IF(AL4="forecast",IF(AK4="actual",(SUMIFS(Headcount!$B$6:$B$89,Headcount!$F$6:$F$89,"BI",Headcount!$H$6:$H$89,"&gt;"&amp;AL3,Headcount!$G$6:$G$89,"&lt;"&amp;AL3)+AL8-AL9),(AK7+AL8-AL9)),SUMIFS(Headcount!$B$6:$B$89,Headcount!$F$6:$F$89,"BI",Headcount!$H$6:$H$89,"&gt;"&amp;AL3,Headcount!$G$6:$G$89,"&lt;"&amp;AK3))</f>
        <v>0</v>
      </c>
      <c r="AM7" s="781">
        <f>IF(AM4="forecast",IF(AL4="actual",(SUMIFS(Headcount!$B$6:$B$89,Headcount!$F$6:$F$89,"BI",Headcount!$H$6:$H$89,"&gt;"&amp;AM3,Headcount!$G$6:$G$89,"&lt;"&amp;AM3)+AM8-AM9),(AL7+AM8-AM9)),SUMIFS(Headcount!$B$6:$B$89,Headcount!$F$6:$F$89,"BI",Headcount!$H$6:$H$89,"&gt;"&amp;AM3,Headcount!$G$6:$G$89,"&lt;"&amp;AL3))</f>
        <v>0</v>
      </c>
      <c r="AN7" s="781">
        <f>IF(AN4="forecast",IF(AM4="actual",(SUMIFS(Headcount!$B$6:$B$89,Headcount!$F$6:$F$89,"BI",Headcount!$H$6:$H$89,"&gt;"&amp;AN3,Headcount!$G$6:$G$89,"&lt;"&amp;AN3)+AN8-AN9),(AM7+AN8-AN9)),SUMIFS(Headcount!$B$6:$B$89,Headcount!$F$6:$F$89,"BI",Headcount!$H$6:$H$89,"&gt;"&amp;AN3,Headcount!$G$6:$G$89,"&lt;"&amp;AM3))</f>
        <v>0</v>
      </c>
      <c r="AO7" s="781">
        <f>IF(AO4="forecast",IF(AN4="actual",(SUMIFS(Headcount!$B$6:$B$89,Headcount!$F$6:$F$89,"BI",Headcount!$H$6:$H$89,"&gt;"&amp;AO3,Headcount!$G$6:$G$89,"&lt;"&amp;AO3)+AO8-AO9),(AN7+AO8-AO9)),SUMIFS(Headcount!$B$6:$B$89,Headcount!$F$6:$F$89,"BI",Headcount!$H$6:$H$89,"&gt;"&amp;AO3,Headcount!$G$6:$G$89,"&lt;"&amp;AN3))</f>
        <v>0</v>
      </c>
      <c r="AP7" s="781">
        <f>IF(AP4="forecast",IF(AO4="actual",(SUMIFS(Headcount!$B$6:$B$89,Headcount!$F$6:$F$89,"BI",Headcount!$H$6:$H$89,"&gt;"&amp;AP3,Headcount!$G$6:$G$89,"&lt;"&amp;AP3)+AP8-AP9),(AO7+AP8-AP9)),SUMIFS(Headcount!$B$6:$B$89,Headcount!$F$6:$F$89,"BI",Headcount!$H$6:$H$89,"&gt;"&amp;AP3,Headcount!$G$6:$G$89,"&lt;"&amp;AO3))</f>
        <v>0</v>
      </c>
      <c r="AQ7" s="781">
        <f>IF(AQ4="forecast",IF(AP4="actual",(SUMIFS(Headcount!$B$6:$B$89,Headcount!$F$6:$F$89,"BI",Headcount!$H$6:$H$89,"&gt;"&amp;AQ3,Headcount!$G$6:$G$89,"&lt;"&amp;AQ3)+AQ8-AQ9),(AP7+AQ8-AQ9)),SUMIFS(Headcount!$B$6:$B$89,Headcount!$F$6:$F$89,"BI",Headcount!$H$6:$H$89,"&gt;"&amp;AQ3,Headcount!$G$6:$G$89,"&lt;"&amp;AP3))</f>
        <v>0</v>
      </c>
      <c r="AR7" s="781">
        <f>IF(AR4="forecast",IF(AQ4="actual",(SUMIFS(Headcount!$B$6:$B$89,Headcount!$F$6:$F$89,"BI",Headcount!$H$6:$H$89,"&gt;"&amp;AR3,Headcount!$G$6:$G$89,"&lt;"&amp;AR3)+AR8-AR9),(AQ7+AR8-AR9)),SUMIFS(Headcount!$B$6:$B$89,Headcount!$F$6:$F$89,"BI",Headcount!$H$6:$H$89,"&gt;"&amp;AR3,Headcount!$G$6:$G$89,"&lt;"&amp;AQ3))</f>
        <v>0</v>
      </c>
      <c r="AS7" s="781">
        <f>IF(AS4="forecast",IF(AR4="actual",(SUMIFS(Headcount!$B$6:$B$89,Headcount!$F$6:$F$89,"BI",Headcount!$H$6:$H$89,"&gt;"&amp;AS3,Headcount!$G$6:$G$89,"&lt;"&amp;AS3)+AS8-AS9),(AR7+AS8-AS9)),SUMIFS(Headcount!$B$6:$B$89,Headcount!$F$6:$F$89,"BI",Headcount!$H$6:$H$89,"&gt;"&amp;AS3,Headcount!$G$6:$G$89,"&lt;"&amp;AR3))</f>
        <v>0</v>
      </c>
      <c r="AT7" s="781">
        <f>IF(AT4="forecast",IF(AS4="actual",(SUMIFS(Headcount!$B$6:$B$89,Headcount!$F$6:$F$89,"BI",Headcount!$H$6:$H$89,"&gt;"&amp;AT3,Headcount!$G$6:$G$89,"&lt;"&amp;AT3)+AT8-AT9),(AS7+AT8-AT9)),SUMIFS(Headcount!$B$6:$B$89,Headcount!$F$6:$F$89,"BI",Headcount!$H$6:$H$89,"&gt;"&amp;AT3,Headcount!$G$6:$G$89,"&lt;"&amp;AS3))</f>
        <v>0</v>
      </c>
      <c r="AU7" s="781">
        <f>IF(AU4="forecast",IF(AT4="actual",(SUMIFS(Headcount!$B$6:$B$89,Headcount!$F$6:$F$89,"BI",Headcount!$H$6:$H$89,"&gt;"&amp;AU3,Headcount!$G$6:$G$89,"&lt;"&amp;AU3)+AU8-AU9),(AT7+AU8-AU9)),SUMIFS(Headcount!$B$6:$B$89,Headcount!$F$6:$F$89,"BI",Headcount!$H$6:$H$89,"&gt;"&amp;AU3,Headcount!$G$6:$G$89,"&lt;"&amp;AT3))</f>
        <v>0</v>
      </c>
      <c r="AV7" s="781">
        <f>IF(AV4="forecast",IF(AU4="actual",(SUMIFS(Headcount!$B$6:$B$89,Headcount!$F$6:$F$89,"BI",Headcount!$H$6:$H$89,"&gt;"&amp;AV3,Headcount!$G$6:$G$89,"&lt;"&amp;AV3)+AV8-AV9),(AU7+AV8-AV9)),SUMIFS(Headcount!$B$6:$B$89,Headcount!$F$6:$F$89,"BI",Headcount!$H$6:$H$89,"&gt;"&amp;AV3,Headcount!$G$6:$G$89,"&lt;"&amp;AU3))</f>
        <v>0</v>
      </c>
      <c r="AW7" s="781">
        <f>IF(AW4="forecast",IF(AV4="actual",(SUMIFS(Headcount!$B$6:$B$89,Headcount!$F$6:$F$89,"BI",Headcount!$H$6:$H$89,"&gt;"&amp;AW3,Headcount!$G$6:$G$89,"&lt;"&amp;AW3)+AW8-AW9),(AV7+AW8-AW9)),SUMIFS(Headcount!$B$6:$B$89,Headcount!$F$6:$F$89,"BI",Headcount!$H$6:$H$89,"&gt;"&amp;AW3,Headcount!$G$6:$G$89,"&lt;"&amp;AV3))</f>
        <v>0</v>
      </c>
      <c r="AX7" s="781">
        <f>IF(AX4="forecast",IF(AW4="actual",(SUMIFS(Headcount!$B$6:$B$89,Headcount!$F$6:$F$89,"BI",Headcount!$H$6:$H$89,"&gt;"&amp;AX3,Headcount!$G$6:$G$89,"&lt;"&amp;AX3)+AX8-AX9),(AW7+AX8-AX9)),SUMIFS(Headcount!$B$6:$B$89,Headcount!$F$6:$F$89,"BI",Headcount!$H$6:$H$89,"&gt;"&amp;AX3,Headcount!$G$6:$G$89,"&lt;"&amp;AW3))</f>
        <v>0</v>
      </c>
      <c r="AY7" s="781">
        <f>IF(AY4="forecast",IF(AX4="actual",(SUMIFS(Headcount!$B$6:$B$89,Headcount!$F$6:$F$89,"BI",Headcount!$H$6:$H$89,"&gt;"&amp;AY3,Headcount!$G$6:$G$89,"&lt;"&amp;AY3)+AY8-AY9),(AX7+AY8-AY9)),SUMIFS(Headcount!$B$6:$B$89,Headcount!$F$6:$F$89,"BI",Headcount!$H$6:$H$89,"&gt;"&amp;AY3,Headcount!$G$6:$G$89,"&lt;"&amp;AX3))</f>
        <v>0</v>
      </c>
      <c r="AZ7" s="781">
        <f>IF(AZ4="forecast",IF(AY4="actual",(SUMIFS(Headcount!$B$6:$B$89,Headcount!$F$6:$F$89,"BI",Headcount!$H$6:$H$89,"&gt;"&amp;AZ3,Headcount!$G$6:$G$89,"&lt;"&amp;AZ3)+AZ8-AZ9),(AY7+AZ8-AZ9)),SUMIFS(Headcount!$B$6:$B$89,Headcount!$F$6:$F$89,"BI",Headcount!$H$6:$H$89,"&gt;"&amp;AZ3,Headcount!$G$6:$G$89,"&lt;"&amp;AY3))</f>
        <v>0</v>
      </c>
      <c r="BA7" s="781">
        <f>IF(BA4="forecast",IF(AZ4="actual",(SUMIFS(Headcount!$B$6:$B$89,Headcount!$F$6:$F$89,"BI",Headcount!$H$6:$H$89,"&gt;"&amp;BA3,Headcount!$G$6:$G$89,"&lt;"&amp;BA3)+BA8-BA9),(AZ7+BA8-BA9)),SUMIFS(Headcount!$B$6:$B$89,Headcount!$F$6:$F$89,"BI",Headcount!$H$6:$H$89,"&gt;"&amp;BA3,Headcount!$G$6:$G$89,"&lt;"&amp;AZ3))</f>
        <v>0</v>
      </c>
      <c r="BB7" s="781">
        <f>IF(BB4="forecast",IF(BA4="actual",(SUMIFS(Headcount!$B$6:$B$89,Headcount!$F$6:$F$89,"BI",Headcount!$H$6:$H$89,"&gt;"&amp;BB3,Headcount!$G$6:$G$89,"&lt;"&amp;BB3)+BB8-BB9),(BA7+BB8-BB9)),SUMIFS(Headcount!$B$6:$B$89,Headcount!$F$6:$F$89,"BI",Headcount!$H$6:$H$89,"&gt;"&amp;BB3,Headcount!$G$6:$G$89,"&lt;"&amp;BA3))</f>
        <v>0</v>
      </c>
      <c r="BC7" s="781">
        <f>IF(BC4="forecast",IF(BB4="actual",(SUMIFS(Headcount!$B$6:$B$89,Headcount!$F$6:$F$89,"BI",Headcount!$H$6:$H$89,"&gt;"&amp;BC3,Headcount!$G$6:$G$89,"&lt;"&amp;BC3)+BC8-BC9),(BB7+BC8-BC9)),SUMIFS(Headcount!$B$6:$B$89,Headcount!$F$6:$F$89,"BI",Headcount!$H$6:$H$89,"&gt;"&amp;BC3,Headcount!$G$6:$G$89,"&lt;"&amp;BB3))</f>
        <v>0</v>
      </c>
      <c r="BD7" s="781">
        <f>IF(BD4="forecast",IF(BC4="actual",(SUMIFS(Headcount!$B$6:$B$89,Headcount!$F$6:$F$89,"BI",Headcount!$H$6:$H$89,"&gt;"&amp;BD3,Headcount!$G$6:$G$89,"&lt;"&amp;BD3)+BD8-BD9),(BC7+BD8-BD9)),SUMIFS(Headcount!$B$6:$B$89,Headcount!$F$6:$F$89,"BI",Headcount!$H$6:$H$89,"&gt;"&amp;BD3,Headcount!$G$6:$G$89,"&lt;"&amp;BC3))</f>
        <v>0</v>
      </c>
      <c r="BE7" s="781">
        <f>IF(BE4="forecast",IF(BD4="actual",(SUMIFS(Headcount!$B$6:$B$89,Headcount!$F$6:$F$89,"BI",Headcount!$H$6:$H$89,"&gt;"&amp;BE3,Headcount!$G$6:$G$89,"&lt;"&amp;BE3)+BE8-BE9),(BD7+BE8-BE9)),SUMIFS(Headcount!$B$6:$B$89,Headcount!$F$6:$F$89,"BI",Headcount!$H$6:$H$89,"&gt;"&amp;BE3,Headcount!$G$6:$G$89,"&lt;"&amp;BD3))</f>
        <v>0</v>
      </c>
      <c r="BF7" s="781">
        <f>IF(BF4="forecast",IF(BE4="actual",(SUMIFS(Headcount!$B$6:$B$89,Headcount!$F$6:$F$89,"BI",Headcount!$H$6:$H$89,"&gt;"&amp;BF3,Headcount!$G$6:$G$89,"&lt;"&amp;BF3)+BF8-BF9),(BE7+BF8-BF9)),SUMIFS(Headcount!$B$6:$B$89,Headcount!$F$6:$F$89,"BI",Headcount!$H$6:$H$89,"&gt;"&amp;BF3,Headcount!$G$6:$G$89,"&lt;"&amp;BE3))</f>
        <v>0</v>
      </c>
      <c r="BG7" s="781">
        <f>IF(BG4="forecast",IF(BF4="actual",(SUMIFS(Headcount!$B$6:$B$89,Headcount!$F$6:$F$89,"BI",Headcount!$H$6:$H$89,"&gt;"&amp;BG3,Headcount!$G$6:$G$89,"&lt;"&amp;BG3)+BG8-BG9),(BF7+BG8-BG9)),SUMIFS(Headcount!$B$6:$B$89,Headcount!$F$6:$F$89,"BI",Headcount!$H$6:$H$89,"&gt;"&amp;BG3,Headcount!$G$6:$G$89,"&lt;"&amp;BF3))</f>
        <v>0</v>
      </c>
      <c r="BH7" s="781">
        <f>IF(BH4="forecast",IF(BG4="actual",(SUMIFS(Headcount!$B$6:$B$89,Headcount!$F$6:$F$89,"BI",Headcount!$H$6:$H$89,"&gt;"&amp;BH3,Headcount!$G$6:$G$89,"&lt;"&amp;BH3)+BH8-BH9),(BG7+BH8-BH9)),SUMIFS(Headcount!$B$6:$B$89,Headcount!$F$6:$F$89,"BI",Headcount!$H$6:$H$89,"&gt;"&amp;BH3,Headcount!$G$6:$G$89,"&lt;"&amp;BG3))</f>
        <v>0</v>
      </c>
      <c r="BI7" s="781">
        <f>IF(BI4="forecast",IF(BH4="actual",(SUMIFS(Headcount!$B$6:$B$89,Headcount!$F$6:$F$89,"BI",Headcount!$H$6:$H$89,"&gt;"&amp;BI3,Headcount!$G$6:$G$89,"&lt;"&amp;BI3)+BI8-BI9),(BH7+BI8-BI9)),SUMIFS(Headcount!$B$6:$B$89,Headcount!$F$6:$F$89,"BI",Headcount!$H$6:$H$89,"&gt;"&amp;BI3,Headcount!$G$6:$G$89,"&lt;"&amp;BH3))</f>
        <v>0</v>
      </c>
      <c r="BJ7" s="781">
        <f>IF(BJ4="forecast",IF(BI4="actual",(SUMIFS(Headcount!$B$6:$B$89,Headcount!$F$6:$F$89,"BI",Headcount!$H$6:$H$89,"&gt;"&amp;BJ3,Headcount!$G$6:$G$89,"&lt;"&amp;BJ3)+BJ8-BJ9),(BI7+BJ8-BJ9)),SUMIFS(Headcount!$B$6:$B$89,Headcount!$F$6:$F$89,"BI",Headcount!$H$6:$H$89,"&gt;"&amp;BJ3,Headcount!$G$6:$G$89,"&lt;"&amp;BI3))</f>
        <v>0</v>
      </c>
      <c r="BK7" s="781">
        <f>IF(BK4="forecast",IF(BJ4="actual",(SUMIFS(Headcount!$B$6:$B$89,Headcount!$F$6:$F$89,"BI",Headcount!$H$6:$H$89,"&gt;"&amp;BK3,Headcount!$G$6:$G$89,"&lt;"&amp;BK3)+BK8-BK9),(BJ7+BK8-BK9)),SUMIFS(Headcount!$B$6:$B$89,Headcount!$F$6:$F$89,"BI",Headcount!$H$6:$H$89,"&gt;"&amp;BK3,Headcount!$G$6:$G$89,"&lt;"&amp;BJ3))</f>
        <v>0</v>
      </c>
      <c r="BL7" s="781">
        <f>IF(BL4="forecast",IF(BK4="actual",(SUMIFS(Headcount!$B$6:$B$89,Headcount!$F$6:$F$89,"BI",Headcount!$H$6:$H$89,"&gt;"&amp;BL3,Headcount!$G$6:$G$89,"&lt;"&amp;BL3)+BL8-BL9),(BK7+BL8-BL9)),SUMIFS(Headcount!$B$6:$B$89,Headcount!$F$6:$F$89,"BI",Headcount!$H$6:$H$89,"&gt;"&amp;BL3,Headcount!$G$6:$G$89,"&lt;"&amp;BK3))</f>
        <v>0</v>
      </c>
      <c r="BM7" s="781">
        <f>IF(BM4="forecast",IF(BL4="actual",(SUMIFS(Headcount!$B$6:$B$89,Headcount!$F$6:$F$89,"BI",Headcount!$H$6:$H$89,"&gt;"&amp;BM3,Headcount!$G$6:$G$89,"&lt;"&amp;BM3)+BM8-BM9),(BL7+BM8-BM9)),SUMIFS(Headcount!$B$6:$B$89,Headcount!$F$6:$F$89,"BI",Headcount!$H$6:$H$89,"&gt;"&amp;BM3,Headcount!$G$6:$G$89,"&lt;"&amp;BL3))</f>
        <v>0</v>
      </c>
      <c r="BN7" s="781">
        <f>IF(BN4="forecast",IF(BM4="actual",(SUMIFS(Headcount!$B$6:$B$89,Headcount!$F$6:$F$89,"BI",Headcount!$H$6:$H$89,"&gt;"&amp;BN3,Headcount!$G$6:$G$89,"&lt;"&amp;BN3)+BN8-BN9),(BM7+BN8-BN9)),SUMIFS(Headcount!$B$6:$B$89,Headcount!$F$6:$F$89,"BI",Headcount!$H$6:$H$89,"&gt;"&amp;BN3,Headcount!$G$6:$G$89,"&lt;"&amp;BM3))</f>
        <v>0</v>
      </c>
      <c r="BO7" s="781">
        <f>IF(BO4="forecast",IF(BN4="actual",(SUMIFS(Headcount!$B$6:$B$89,Headcount!$F$6:$F$89,"BI",Headcount!$H$6:$H$89,"&gt;"&amp;BO3,Headcount!$G$6:$G$89,"&lt;"&amp;BO3)+BO8-BO9),(BN7+BO8-BO9)),SUMIFS(Headcount!$B$6:$B$89,Headcount!$F$6:$F$89,"BI",Headcount!$H$6:$H$89,"&gt;"&amp;BO3,Headcount!$G$6:$G$89,"&lt;"&amp;BN3))</f>
        <v>0</v>
      </c>
      <c r="BP7" s="781">
        <f>IF(BP4="forecast",IF(BO4="actual",(SUMIFS(Headcount!$B$6:$B$89,Headcount!$F$6:$F$89,"BI",Headcount!$H$6:$H$89,"&gt;"&amp;BP3,Headcount!$G$6:$G$89,"&lt;"&amp;BP3)+BP8-BP9),(BO7+BP8-BP9)),SUMIFS(Headcount!$B$6:$B$89,Headcount!$F$6:$F$89,"BI",Headcount!$H$6:$H$89,"&gt;"&amp;BP3,Headcount!$G$6:$G$89,"&lt;"&amp;BO3))</f>
        <v>0</v>
      </c>
      <c r="BQ7" s="781">
        <f>IF(BQ4="forecast",IF(BP4="actual",(SUMIFS(Headcount!$B$6:$B$89,Headcount!$F$6:$F$89,"BI",Headcount!$H$6:$H$89,"&gt;"&amp;BQ3,Headcount!$G$6:$G$89,"&lt;"&amp;BQ3)+BQ8-BQ9),(BP7+BQ8-BQ9)),SUMIFS(Headcount!$B$6:$B$89,Headcount!$F$6:$F$89,"BI",Headcount!$H$6:$H$89,"&gt;"&amp;BQ3,Headcount!$G$6:$G$89,"&lt;"&amp;BP3))</f>
        <v>0</v>
      </c>
      <c r="BR7" s="781">
        <f>IF(BR4="forecast",IF(BQ4="actual",(SUMIFS(Headcount!$B$6:$B$89,Headcount!$F$6:$F$89,"BI",Headcount!$H$6:$H$89,"&gt;"&amp;BR3,Headcount!$G$6:$G$89,"&lt;"&amp;BR3)+BR8-BR9),(BQ7+BR8-BR9)),SUMIFS(Headcount!$B$6:$B$89,Headcount!$F$6:$F$89,"BI",Headcount!$H$6:$H$89,"&gt;"&amp;BR3,Headcount!$G$6:$G$89,"&lt;"&amp;BQ3))</f>
        <v>0</v>
      </c>
      <c r="BS7" s="781">
        <f>IF(BS4="forecast",IF(BR4="actual",(SUMIFS(Headcount!$B$6:$B$89,Headcount!$F$6:$F$89,"BI",Headcount!$H$6:$H$89,"&gt;"&amp;BS3,Headcount!$G$6:$G$89,"&lt;"&amp;BS3)+BS8-BS9),(BR7+BS8-BS9)),SUMIFS(Headcount!$B$6:$B$89,Headcount!$F$6:$F$89,"BI",Headcount!$H$6:$H$89,"&gt;"&amp;BS3,Headcount!$G$6:$G$89,"&lt;"&amp;BR3))</f>
        <v>0</v>
      </c>
      <c r="BT7" s="781">
        <f>IF(BT4="forecast",IF(BS4="actual",(SUMIFS(Headcount!$B$6:$B$89,Headcount!$F$6:$F$89,"BI",Headcount!$H$6:$H$89,"&gt;"&amp;BT3,Headcount!$G$6:$G$89,"&lt;"&amp;BT3)+BT8-BT9),(BS7+BT8-BT9)),SUMIFS(Headcount!$B$6:$B$89,Headcount!$F$6:$F$89,"BI",Headcount!$H$6:$H$89,"&gt;"&amp;BT3,Headcount!$G$6:$G$89,"&lt;"&amp;BS3))</f>
        <v>0</v>
      </c>
      <c r="BU7" s="781">
        <f>IF(BU4="forecast",IF(BT4="actual",(SUMIFS(Headcount!$B$6:$B$89,Headcount!$F$6:$F$89,"BI",Headcount!$H$6:$H$89,"&gt;"&amp;BU3,Headcount!$G$6:$G$89,"&lt;"&amp;BU3)+BU8-BU9),(BT7+BU8-BU9)),SUMIFS(Headcount!$B$6:$B$89,Headcount!$F$6:$F$89,"BI",Headcount!$H$6:$H$89,"&gt;"&amp;BU3,Headcount!$G$6:$G$89,"&lt;"&amp;BT3))</f>
        <v>0</v>
      </c>
      <c r="BV7" s="782">
        <f>IF(BV4="forecast",IF(BU4="actual",(SUMIFS(Headcount!$B$6:$B$89,Headcount!$F$6:$F$89,"BI",Headcount!$H$6:$H$89,"&gt;"&amp;BV3,Headcount!$G$6:$G$89,"&lt;"&amp;BV3)+BV8-BV9),(BU7+BV8-BV9)),SUMIFS(Headcount!$B$6:$B$89,Headcount!$F$6:$F$89,"BI",Headcount!$H$6:$H$89,"&gt;"&amp;BV3,Headcount!$G$6:$G$89,"&lt;"&amp;BU3))</f>
        <v>0</v>
      </c>
    </row>
    <row r="8" spans="2:74" x14ac:dyDescent="0.25">
      <c r="B8" s="777" t="s">
        <v>14</v>
      </c>
      <c r="C8" s="781"/>
      <c r="D8" s="781"/>
      <c r="E8" s="781"/>
      <c r="F8" s="781"/>
      <c r="G8" s="781"/>
      <c r="H8" s="781"/>
      <c r="I8" s="781"/>
      <c r="J8" s="781"/>
      <c r="K8" s="781"/>
      <c r="L8" s="781"/>
      <c r="M8" s="781"/>
      <c r="N8" s="781"/>
      <c r="O8" s="781"/>
      <c r="P8" s="781"/>
      <c r="Q8" s="781"/>
      <c r="R8" s="781"/>
      <c r="S8" s="781"/>
      <c r="T8" s="781"/>
      <c r="U8" s="781"/>
      <c r="V8" s="781"/>
      <c r="W8" s="781"/>
      <c r="X8" s="781"/>
      <c r="Y8" s="781"/>
      <c r="Z8" s="781"/>
      <c r="AA8" s="781">
        <f>SUMIFS('New Hires Forecast'!$B$5:$B$84,'New Hires Forecast'!$G$5:$G$84,"&gt;"&amp;BI!Z3,'New Hires Forecast'!$G$5:$G$84,"&lt;="&amp;BI!AA3,'New Hires Forecast'!$F$5:$F$84,"Executive")</f>
        <v>0</v>
      </c>
      <c r="AB8" s="781">
        <f>SUMIFS('New Hires Forecast'!$B$5:$B$84,'New Hires Forecast'!$G$5:$G$84,"&gt;"&amp;BI!AA3,'New Hires Forecast'!$G$5:$G$84,"&lt;="&amp;BI!AB3,'New Hires Forecast'!$F$5:$F$84,"Executive")</f>
        <v>0</v>
      </c>
      <c r="AC8" s="781">
        <f>SUMIFS('New Hires Forecast'!$B$5:$B$84,'New Hires Forecast'!$G$5:$G$84,"&gt;"&amp;BI!AB3,'New Hires Forecast'!$G$5:$G$84,"&lt;="&amp;BI!AC3,'New Hires Forecast'!$F$5:$F$84,"Executive")</f>
        <v>0</v>
      </c>
      <c r="AD8" s="781">
        <f>SUMIFS('New Hires Forecast'!$B$5:$B$84,'New Hires Forecast'!$G$5:$G$84,"&gt;"&amp;BI!AC3,'New Hires Forecast'!$G$5:$G$84,"&lt;="&amp;BI!AD3,'New Hires Forecast'!$F$5:$F$84,"Executive")</f>
        <v>0</v>
      </c>
      <c r="AE8" s="781">
        <f>SUMIFS('New Hires Forecast'!$B$5:$B$84,'New Hires Forecast'!$G$5:$G$84,"&gt;"&amp;BI!AD3,'New Hires Forecast'!$G$5:$G$84,"&lt;="&amp;BI!AE3,'New Hires Forecast'!$F$5:$F$84,"Executive")</f>
        <v>0</v>
      </c>
      <c r="AF8" s="781">
        <f>SUMIFS('New Hires Forecast'!$B$5:$B$84,'New Hires Forecast'!$G$5:$G$84,"&gt;"&amp;BI!AE3,'New Hires Forecast'!$G$5:$G$84,"&lt;="&amp;BI!AF3,'New Hires Forecast'!$F$5:$F$84,"Executive")</f>
        <v>0</v>
      </c>
      <c r="AG8" s="781">
        <f>SUMIFS('New Hires Forecast'!$B$5:$B$84,'New Hires Forecast'!$G$5:$G$84,"&gt;"&amp;BI!AF3,'New Hires Forecast'!$G$5:$G$84,"&lt;="&amp;BI!AG3,'New Hires Forecast'!$F$5:$F$84,"Executive")</f>
        <v>0</v>
      </c>
      <c r="AH8" s="781">
        <f>SUMIFS('New Hires Forecast'!$B$5:$B$84,'New Hires Forecast'!$G$5:$G$84,"&gt;"&amp;BI!AG3,'New Hires Forecast'!$G$5:$G$84,"&lt;="&amp;BI!AH3,'New Hires Forecast'!$F$5:$F$84,"Executive")</f>
        <v>0</v>
      </c>
      <c r="AI8" s="781">
        <f>SUMIFS('New Hires Forecast'!$B$5:$B$84,'New Hires Forecast'!$G$5:$G$84,"&gt;"&amp;BI!AH3,'New Hires Forecast'!$G$5:$G$84,"&lt;="&amp;BI!AI3,'New Hires Forecast'!$F$5:$F$84,"Executive")</f>
        <v>0</v>
      </c>
      <c r="AJ8" s="781">
        <f>SUMIFS('New Hires Forecast'!$B$5:$B$84,'New Hires Forecast'!$G$5:$G$84,"&gt;"&amp;BI!AI3,'New Hires Forecast'!$G$5:$G$84,"&lt;="&amp;BI!AJ3,'New Hires Forecast'!$F$5:$F$84,"Executive")</f>
        <v>0</v>
      </c>
      <c r="AK8" s="781">
        <f>SUMIFS('New Hires Forecast'!$B$5:$B$84,'New Hires Forecast'!$G$5:$G$84,"&gt;"&amp;BI!AJ3,'New Hires Forecast'!$G$5:$G$84,"&lt;="&amp;BI!AK3,'New Hires Forecast'!$F$5:$F$84,"Executive")</f>
        <v>0</v>
      </c>
      <c r="AL8" s="781">
        <f>SUMIFS('New Hires Forecast'!$B$5:$B$84,'New Hires Forecast'!$G$5:$G$84,"&gt;"&amp;BI!AK3,'New Hires Forecast'!$G$5:$G$84,"&lt;="&amp;BI!AL3,'New Hires Forecast'!$F$5:$F$84,"Executive")</f>
        <v>0</v>
      </c>
      <c r="AM8" s="781">
        <f>SUMIFS('New Hires Forecast'!$B$5:$B$84,'New Hires Forecast'!$G$5:$G$84,"&gt;"&amp;BI!AL3,'New Hires Forecast'!$G$5:$G$84,"&lt;="&amp;BI!AM3,'New Hires Forecast'!$F$5:$F$84,"Executive")</f>
        <v>0</v>
      </c>
      <c r="AN8" s="781">
        <f>SUMIFS('New Hires Forecast'!$B$5:$B$84,'New Hires Forecast'!$G$5:$G$84,"&gt;"&amp;BI!AM3,'New Hires Forecast'!$G$5:$G$84,"&lt;="&amp;BI!AN3,'New Hires Forecast'!$F$5:$F$84,"Executive")</f>
        <v>0</v>
      </c>
      <c r="AO8" s="781">
        <f>SUMIFS('New Hires Forecast'!$B$5:$B$84,'New Hires Forecast'!$G$5:$G$84,"&gt;"&amp;BI!AN3,'New Hires Forecast'!$G$5:$G$84,"&lt;="&amp;BI!AO3,'New Hires Forecast'!$F$5:$F$84,"Executive")</f>
        <v>0</v>
      </c>
      <c r="AP8" s="781">
        <f>SUMIFS('New Hires Forecast'!$B$5:$B$84,'New Hires Forecast'!$G$5:$G$84,"&gt;"&amp;BI!AO3,'New Hires Forecast'!$G$5:$G$84,"&lt;="&amp;BI!AP3,'New Hires Forecast'!$F$5:$F$84,"Executive")</f>
        <v>0</v>
      </c>
      <c r="AQ8" s="781">
        <f>SUMIFS('New Hires Forecast'!$B$5:$B$84,'New Hires Forecast'!$G$5:$G$84,"&gt;"&amp;BI!AP3,'New Hires Forecast'!$G$5:$G$84,"&lt;="&amp;BI!AQ3,'New Hires Forecast'!$F$5:$F$84,"Executive")</f>
        <v>0</v>
      </c>
      <c r="AR8" s="781">
        <f>SUMIFS('New Hires Forecast'!$B$5:$B$84,'New Hires Forecast'!$G$5:$G$84,"&gt;"&amp;BI!AQ3,'New Hires Forecast'!$G$5:$G$84,"&lt;="&amp;BI!AR3,'New Hires Forecast'!$F$5:$F$84,"Executive")</f>
        <v>0</v>
      </c>
      <c r="AS8" s="781">
        <f>SUMIFS('New Hires Forecast'!$B$5:$B$84,'New Hires Forecast'!$G$5:$G$84,"&gt;"&amp;BI!AR3,'New Hires Forecast'!$G$5:$G$84,"&lt;="&amp;BI!AS3,'New Hires Forecast'!$F$5:$F$84,"Executive")</f>
        <v>0</v>
      </c>
      <c r="AT8" s="781">
        <f>SUMIFS('New Hires Forecast'!$B$5:$B$84,'New Hires Forecast'!$G$5:$G$84,"&gt;"&amp;BI!AS3,'New Hires Forecast'!$G$5:$G$84,"&lt;="&amp;BI!AT3,'New Hires Forecast'!$F$5:$F$84,"Executive")</f>
        <v>0</v>
      </c>
      <c r="AU8" s="781">
        <f>SUMIFS('New Hires Forecast'!$B$5:$B$84,'New Hires Forecast'!$G$5:$G$84,"&gt;"&amp;BI!AT3,'New Hires Forecast'!$G$5:$G$84,"&lt;="&amp;BI!AU3,'New Hires Forecast'!$F$5:$F$84,"Executive")</f>
        <v>0</v>
      </c>
      <c r="AV8" s="781">
        <f>SUMIFS('New Hires Forecast'!$B$5:$B$84,'New Hires Forecast'!$G$5:$G$84,"&gt;"&amp;BI!AU3,'New Hires Forecast'!$G$5:$G$84,"&lt;="&amp;BI!AV3,'New Hires Forecast'!$F$5:$F$84,"Executive")</f>
        <v>0</v>
      </c>
      <c r="AW8" s="781">
        <f>SUMIFS('New Hires Forecast'!$B$5:$B$84,'New Hires Forecast'!$G$5:$G$84,"&gt;"&amp;BI!AV3,'New Hires Forecast'!$G$5:$G$84,"&lt;="&amp;BI!AW3,'New Hires Forecast'!$F$5:$F$84,"Executive")</f>
        <v>0</v>
      </c>
      <c r="AX8" s="781">
        <f>SUMIFS('New Hires Forecast'!$B$5:$B$84,'New Hires Forecast'!$G$5:$G$84,"&gt;"&amp;BI!AW3,'New Hires Forecast'!$G$5:$G$84,"&lt;="&amp;BI!AX3,'New Hires Forecast'!$F$5:$F$84,"Executive")</f>
        <v>0</v>
      </c>
      <c r="AY8" s="781">
        <f>SUMIFS('New Hires Forecast'!$B$5:$B$84,'New Hires Forecast'!$G$5:$G$84,"&gt;"&amp;BI!AX3,'New Hires Forecast'!$G$5:$G$84,"&lt;="&amp;BI!AY3,'New Hires Forecast'!$F$5:$F$84,"Executive")</f>
        <v>0</v>
      </c>
      <c r="AZ8" s="781">
        <f>SUMIFS('New Hires Forecast'!$B$5:$B$84,'New Hires Forecast'!$G$5:$G$84,"&gt;"&amp;BI!AY3,'New Hires Forecast'!$G$5:$G$84,"&lt;="&amp;BI!AZ3,'New Hires Forecast'!$F$5:$F$84,"Executive")</f>
        <v>0</v>
      </c>
      <c r="BA8" s="781">
        <f>SUMIFS('New Hires Forecast'!$B$5:$B$84,'New Hires Forecast'!$G$5:$G$84,"&gt;"&amp;BI!AZ3,'New Hires Forecast'!$G$5:$G$84,"&lt;="&amp;BI!BA3,'New Hires Forecast'!$F$5:$F$84,"Executive")</f>
        <v>0</v>
      </c>
      <c r="BB8" s="781">
        <f>SUMIFS('New Hires Forecast'!$B$5:$B$84,'New Hires Forecast'!$G$5:$G$84,"&gt;"&amp;BI!BA3,'New Hires Forecast'!$G$5:$G$84,"&lt;="&amp;BI!BB3,'New Hires Forecast'!$F$5:$F$84,"Executive")</f>
        <v>0</v>
      </c>
      <c r="BC8" s="781">
        <f>SUMIFS('New Hires Forecast'!$B$5:$B$84,'New Hires Forecast'!$G$5:$G$84,"&gt;"&amp;BI!BB3,'New Hires Forecast'!$G$5:$G$84,"&lt;="&amp;BI!BC3,'New Hires Forecast'!$F$5:$F$84,"Executive")</f>
        <v>0</v>
      </c>
      <c r="BD8" s="781">
        <f>SUMIFS('New Hires Forecast'!$B$5:$B$84,'New Hires Forecast'!$G$5:$G$84,"&gt;"&amp;BI!BC3,'New Hires Forecast'!$G$5:$G$84,"&lt;="&amp;BI!BD3,'New Hires Forecast'!$F$5:$F$84,"Executive")</f>
        <v>0</v>
      </c>
      <c r="BE8" s="781">
        <f>SUMIFS('New Hires Forecast'!$B$5:$B$84,'New Hires Forecast'!$G$5:$G$84,"&gt;"&amp;BI!BD3,'New Hires Forecast'!$G$5:$G$84,"&lt;="&amp;BI!BE3,'New Hires Forecast'!$F$5:$F$84,"Executive")</f>
        <v>0</v>
      </c>
      <c r="BF8" s="781">
        <f>SUMIFS('New Hires Forecast'!$B$5:$B$84,'New Hires Forecast'!$G$5:$G$84,"&gt;"&amp;BI!BE3,'New Hires Forecast'!$G$5:$G$84,"&lt;="&amp;BI!BF3,'New Hires Forecast'!$F$5:$F$84,"Executive")</f>
        <v>0</v>
      </c>
      <c r="BG8" s="781">
        <f>SUMIFS('New Hires Forecast'!$B$5:$B$84,'New Hires Forecast'!$G$5:$G$84,"&gt;"&amp;BI!BF3,'New Hires Forecast'!$G$5:$G$84,"&lt;="&amp;BI!BG3,'New Hires Forecast'!$F$5:$F$84,"Executive")</f>
        <v>0</v>
      </c>
      <c r="BH8" s="781">
        <f>SUMIFS('New Hires Forecast'!$B$5:$B$84,'New Hires Forecast'!$G$5:$G$84,"&gt;"&amp;BI!BG3,'New Hires Forecast'!$G$5:$G$84,"&lt;="&amp;BI!BH3,'New Hires Forecast'!$F$5:$F$84,"Executive")</f>
        <v>0</v>
      </c>
      <c r="BI8" s="781">
        <f>SUMIFS('New Hires Forecast'!$B$5:$B$84,'New Hires Forecast'!$G$5:$G$84,"&gt;"&amp;BI!BH3,'New Hires Forecast'!$G$5:$G$84,"&lt;="&amp;BI!BI3,'New Hires Forecast'!$F$5:$F$84,"Executive")</f>
        <v>0</v>
      </c>
      <c r="BJ8" s="781">
        <f>SUMIFS('New Hires Forecast'!$B$5:$B$84,'New Hires Forecast'!$G$5:$G$84,"&gt;"&amp;BI!BI3,'New Hires Forecast'!$G$5:$G$84,"&lt;="&amp;BI!BJ3,'New Hires Forecast'!$F$5:$F$84,"Executive")</f>
        <v>0</v>
      </c>
      <c r="BK8" s="781">
        <f>SUMIFS('New Hires Forecast'!$B$5:$B$84,'New Hires Forecast'!$G$5:$G$84,"&gt;"&amp;BI!BJ3,'New Hires Forecast'!$G$5:$G$84,"&lt;="&amp;BI!BK3,'New Hires Forecast'!$F$5:$F$84,"Executive")</f>
        <v>0</v>
      </c>
      <c r="BL8" s="781">
        <f>SUMIFS('New Hires Forecast'!$B$5:$B$84,'New Hires Forecast'!$G$5:$G$84,"&gt;"&amp;BI!BK3,'New Hires Forecast'!$G$5:$G$84,"&lt;="&amp;BI!BL3,'New Hires Forecast'!$F$5:$F$84,"Executive")</f>
        <v>0</v>
      </c>
      <c r="BM8" s="781">
        <f>SUMIFS('New Hires Forecast'!$B$5:$B$84,'New Hires Forecast'!$G$5:$G$84,"&gt;"&amp;BI!BL3,'New Hires Forecast'!$G$5:$G$84,"&lt;="&amp;BI!BM3,'New Hires Forecast'!$F$5:$F$84,"Executive")</f>
        <v>0</v>
      </c>
      <c r="BN8" s="781">
        <f>SUMIFS('New Hires Forecast'!$B$5:$B$84,'New Hires Forecast'!$G$5:$G$84,"&gt;"&amp;BI!BM3,'New Hires Forecast'!$G$5:$G$84,"&lt;="&amp;BI!BN3,'New Hires Forecast'!$F$5:$F$84,"Executive")</f>
        <v>0</v>
      </c>
      <c r="BO8" s="781">
        <f>SUMIFS('New Hires Forecast'!$B$5:$B$84,'New Hires Forecast'!$G$5:$G$84,"&gt;"&amp;BI!BN3,'New Hires Forecast'!$G$5:$G$84,"&lt;="&amp;BI!BO3,'New Hires Forecast'!$F$5:$F$84,"Executive")</f>
        <v>0</v>
      </c>
      <c r="BP8" s="781">
        <f>SUMIFS('New Hires Forecast'!$B$5:$B$84,'New Hires Forecast'!$G$5:$G$84,"&gt;"&amp;BI!BO3,'New Hires Forecast'!$G$5:$G$84,"&lt;="&amp;BI!BP3,'New Hires Forecast'!$F$5:$F$84,"Executive")</f>
        <v>0</v>
      </c>
      <c r="BQ8" s="781">
        <f>SUMIFS('New Hires Forecast'!$B$5:$B$84,'New Hires Forecast'!$G$5:$G$84,"&gt;"&amp;BI!BP3,'New Hires Forecast'!$G$5:$G$84,"&lt;="&amp;BI!BQ3,'New Hires Forecast'!$F$5:$F$84,"Executive")</f>
        <v>0</v>
      </c>
      <c r="BR8" s="781">
        <f>SUMIFS('New Hires Forecast'!$B$5:$B$84,'New Hires Forecast'!$G$5:$G$84,"&gt;"&amp;BI!BQ3,'New Hires Forecast'!$G$5:$G$84,"&lt;="&amp;BI!BR3,'New Hires Forecast'!$F$5:$F$84,"Executive")</f>
        <v>0</v>
      </c>
      <c r="BS8" s="781">
        <f>SUMIFS('New Hires Forecast'!$B$5:$B$84,'New Hires Forecast'!$G$5:$G$84,"&gt;"&amp;BI!BR3,'New Hires Forecast'!$G$5:$G$84,"&lt;="&amp;BI!BS3,'New Hires Forecast'!$F$5:$F$84,"Executive")</f>
        <v>0</v>
      </c>
      <c r="BT8" s="781">
        <f>SUMIFS('New Hires Forecast'!$B$5:$B$84,'New Hires Forecast'!$G$5:$G$84,"&gt;"&amp;BI!BS3,'New Hires Forecast'!$G$5:$G$84,"&lt;="&amp;BI!BT3,'New Hires Forecast'!$F$5:$F$84,"Executive")</f>
        <v>0</v>
      </c>
      <c r="BU8" s="781">
        <f>SUMIFS('New Hires Forecast'!$B$5:$B$84,'New Hires Forecast'!$G$5:$G$84,"&gt;"&amp;BI!BT3,'New Hires Forecast'!$G$5:$G$84,"&lt;="&amp;BI!BU3,'New Hires Forecast'!$F$5:$F$84,"Executive")</f>
        <v>0</v>
      </c>
      <c r="BV8" s="781">
        <f>SUMIFS('New Hires Forecast'!$B$5:$B$84,'New Hires Forecast'!$G$5:$G$84,"&gt;"&amp;BI!BU3,'New Hires Forecast'!$G$5:$G$84,"&lt;="&amp;BI!BV3,'New Hires Forecast'!$F$5:$F$84,"Executive")</f>
        <v>0</v>
      </c>
    </row>
    <row r="9" spans="2:74" x14ac:dyDescent="0.25">
      <c r="B9" s="777" t="s">
        <v>149</v>
      </c>
      <c r="C9" s="781"/>
      <c r="D9" s="781"/>
      <c r="E9" s="781"/>
      <c r="F9" s="781"/>
      <c r="G9" s="781"/>
      <c r="H9" s="781"/>
      <c r="I9" s="781"/>
      <c r="J9" s="781"/>
      <c r="K9" s="781"/>
      <c r="L9" s="781"/>
      <c r="M9" s="781"/>
      <c r="N9" s="781"/>
      <c r="O9" s="781"/>
      <c r="P9" s="781"/>
      <c r="Q9" s="781"/>
      <c r="R9" s="781"/>
      <c r="S9" s="781"/>
      <c r="T9" s="781"/>
      <c r="U9" s="781"/>
      <c r="V9" s="781"/>
      <c r="W9" s="781"/>
      <c r="X9" s="781"/>
      <c r="Y9" s="781"/>
      <c r="Z9" s="781"/>
      <c r="AA9" s="781">
        <f>SUMIFS(Headcount!$B$6:$B$88,Headcount!$H$6:$H$88,"&gt;"&amp;Z3,Headcount!$H$6:$H$88,"&lt;="&amp;AA3,Headcount!$F$6:$F$88,"BI")</f>
        <v>0</v>
      </c>
      <c r="AB9" s="781">
        <f>SUMIFS(Headcount!$B$6:$B$88,Headcount!$H$6:$H$88,"&gt;"&amp;AA3,Headcount!$H$6:$H$88,"&lt;="&amp;AB3,Headcount!$F$6:$F$88,"BI")</f>
        <v>0</v>
      </c>
      <c r="AC9" s="781">
        <f>SUMIFS(Headcount!$B$6:$B$88,Headcount!$H$6:$H$88,"&gt;"&amp;AB3,Headcount!$H$6:$H$88,"&lt;="&amp;AC3,Headcount!$F$6:$F$88,"BI")</f>
        <v>0</v>
      </c>
      <c r="AD9" s="781">
        <f>SUMIFS(Headcount!$B$6:$B$88,Headcount!$H$6:$H$88,"&gt;"&amp;AC3,Headcount!$H$6:$H$88,"&lt;="&amp;AD3,Headcount!$F$6:$F$88,"BI")</f>
        <v>0</v>
      </c>
      <c r="AE9" s="781">
        <f>SUMIFS(Headcount!$B$6:$B$88,Headcount!$H$6:$H$88,"&gt;"&amp;AD3,Headcount!$H$6:$H$88,"&lt;="&amp;AE3,Headcount!$F$6:$F$88,"BI")</f>
        <v>0</v>
      </c>
      <c r="AF9" s="781">
        <f>SUMIFS(Headcount!$B$6:$B$88,Headcount!$H$6:$H$88,"&gt;"&amp;AE3,Headcount!$H$6:$H$88,"&lt;="&amp;AF3,Headcount!$F$6:$F$88,"BI")</f>
        <v>0</v>
      </c>
      <c r="AG9" s="781">
        <f>SUMIFS(Headcount!$B$6:$B$88,Headcount!$H$6:$H$88,"&gt;"&amp;AF3,Headcount!$H$6:$H$88,"&lt;="&amp;AG3,Headcount!$F$6:$F$88,"BI")</f>
        <v>0</v>
      </c>
      <c r="AH9" s="781">
        <f>SUMIFS(Headcount!$B$6:$B$88,Headcount!$H$6:$H$88,"&gt;"&amp;AG3,Headcount!$H$6:$H$88,"&lt;="&amp;AH3,Headcount!$F$6:$F$88,"BI")</f>
        <v>0</v>
      </c>
      <c r="AI9" s="781">
        <f>SUMIFS(Headcount!$B$6:$B$88,Headcount!$H$6:$H$88,"&gt;"&amp;AH3,Headcount!$H$6:$H$88,"&lt;="&amp;AI3,Headcount!$F$6:$F$88,"BI")</f>
        <v>0</v>
      </c>
      <c r="AJ9" s="781">
        <f>SUMIFS(Headcount!$B$6:$B$88,Headcount!$H$6:$H$88,"&gt;"&amp;AI3,Headcount!$H$6:$H$88,"&lt;="&amp;AJ3,Headcount!$F$6:$F$88,"BI")</f>
        <v>0</v>
      </c>
      <c r="AK9" s="781">
        <f>SUMIFS(Headcount!$B$6:$B$88,Headcount!$H$6:$H$88,"&gt;"&amp;AJ3,Headcount!$H$6:$H$88,"&lt;="&amp;AK3,Headcount!$F$6:$F$88,"BI")</f>
        <v>0</v>
      </c>
      <c r="AL9" s="781">
        <f>SUMIFS(Headcount!$B$6:$B$88,Headcount!$H$6:$H$88,"&gt;"&amp;AK3,Headcount!$H$6:$H$88,"&lt;="&amp;AL3,Headcount!$F$6:$F$88,"BI")</f>
        <v>0</v>
      </c>
      <c r="AM9" s="781">
        <f>SUMIFS(Headcount!$B$6:$B$88,Headcount!$H$6:$H$88,"&gt;"&amp;AL3,Headcount!$H$6:$H$88,"&lt;="&amp;AM3,Headcount!$F$6:$F$88,"BI")</f>
        <v>0</v>
      </c>
      <c r="AN9" s="781">
        <f>SUMIFS(Headcount!$B$6:$B$88,Headcount!$H$6:$H$88,"&gt;"&amp;AM3,Headcount!$H$6:$H$88,"&lt;="&amp;AN3,Headcount!$F$6:$F$88,"BI")</f>
        <v>0</v>
      </c>
      <c r="AO9" s="781">
        <f>SUMIFS(Headcount!$B$6:$B$88,Headcount!$H$6:$H$88,"&gt;"&amp;AN3,Headcount!$H$6:$H$88,"&lt;="&amp;AO3,Headcount!$F$6:$F$88,"BI")</f>
        <v>0</v>
      </c>
      <c r="AP9" s="781">
        <f>SUMIFS(Headcount!$B$6:$B$88,Headcount!$H$6:$H$88,"&gt;"&amp;AO3,Headcount!$H$6:$H$88,"&lt;="&amp;AP3,Headcount!$F$6:$F$88,"BI")</f>
        <v>0</v>
      </c>
      <c r="AQ9" s="781">
        <f>SUMIFS(Headcount!$B$6:$B$88,Headcount!$H$6:$H$88,"&gt;"&amp;AP3,Headcount!$H$6:$H$88,"&lt;="&amp;AQ3,Headcount!$F$6:$F$88,"BI")</f>
        <v>0</v>
      </c>
      <c r="AR9" s="781">
        <f>SUMIFS(Headcount!$B$6:$B$88,Headcount!$H$6:$H$88,"&gt;"&amp;AQ3,Headcount!$H$6:$H$88,"&lt;="&amp;AR3,Headcount!$F$6:$F$88,"BI")</f>
        <v>0</v>
      </c>
      <c r="AS9" s="781">
        <f>SUMIFS(Headcount!$B$6:$B$88,Headcount!$H$6:$H$88,"&gt;"&amp;AR3,Headcount!$H$6:$H$88,"&lt;="&amp;AS3,Headcount!$F$6:$F$88,"BI")</f>
        <v>0</v>
      </c>
      <c r="AT9" s="781">
        <f>SUMIFS(Headcount!$B$6:$B$88,Headcount!$H$6:$H$88,"&gt;"&amp;AS3,Headcount!$H$6:$H$88,"&lt;="&amp;AT3,Headcount!$F$6:$F$88,"BI")</f>
        <v>0</v>
      </c>
      <c r="AU9" s="781">
        <f>SUMIFS(Headcount!$B$6:$B$88,Headcount!$H$6:$H$88,"&gt;"&amp;AT3,Headcount!$H$6:$H$88,"&lt;="&amp;AU3,Headcount!$F$6:$F$88,"BI")</f>
        <v>0</v>
      </c>
      <c r="AV9" s="781">
        <f>SUMIFS(Headcount!$B$6:$B$88,Headcount!$H$6:$H$88,"&gt;"&amp;AU3,Headcount!$H$6:$H$88,"&lt;="&amp;AV3,Headcount!$F$6:$F$88,"BI")</f>
        <v>0</v>
      </c>
      <c r="AW9" s="781">
        <f>SUMIFS(Headcount!$B$6:$B$88,Headcount!$H$6:$H$88,"&gt;"&amp;AV3,Headcount!$H$6:$H$88,"&lt;="&amp;AW3,Headcount!$F$6:$F$88,"BI")</f>
        <v>0</v>
      </c>
      <c r="AX9" s="781">
        <f>SUMIFS(Headcount!$B$6:$B$88,Headcount!$H$6:$H$88,"&gt;"&amp;AW3,Headcount!$H$6:$H$88,"&lt;="&amp;AX3,Headcount!$F$6:$F$88,"BI")</f>
        <v>0</v>
      </c>
      <c r="AY9" s="781">
        <f>SUMIFS(Headcount!$B$6:$B$88,Headcount!$H$6:$H$88,"&gt;"&amp;AX3,Headcount!$H$6:$H$88,"&lt;="&amp;AY3,Headcount!$F$6:$F$88,"BI")</f>
        <v>0</v>
      </c>
      <c r="AZ9" s="781">
        <f>SUMIFS(Headcount!$B$6:$B$88,Headcount!$H$6:$H$88,"&gt;"&amp;AY3,Headcount!$H$6:$H$88,"&lt;="&amp;AZ3,Headcount!$F$6:$F$88,"BI")</f>
        <v>0</v>
      </c>
      <c r="BA9" s="781">
        <f>SUMIFS(Headcount!$B$6:$B$88,Headcount!$H$6:$H$88,"&gt;"&amp;AZ3,Headcount!$H$6:$H$88,"&lt;="&amp;BA3,Headcount!$F$6:$F$88,"BI")</f>
        <v>0</v>
      </c>
      <c r="BB9" s="781">
        <f>SUMIFS(Headcount!$B$6:$B$88,Headcount!$H$6:$H$88,"&gt;"&amp;BA3,Headcount!$H$6:$H$88,"&lt;="&amp;BB3,Headcount!$F$6:$F$88,"BI")</f>
        <v>0</v>
      </c>
      <c r="BC9" s="781">
        <f>SUMIFS(Headcount!$B$6:$B$88,Headcount!$H$6:$H$88,"&gt;"&amp;BB3,Headcount!$H$6:$H$88,"&lt;="&amp;BC3,Headcount!$F$6:$F$88,"BI")</f>
        <v>0</v>
      </c>
      <c r="BD9" s="781">
        <f>SUMIFS(Headcount!$B$6:$B$88,Headcount!$H$6:$H$88,"&gt;"&amp;BC3,Headcount!$H$6:$H$88,"&lt;="&amp;BD3,Headcount!$F$6:$F$88,"BI")</f>
        <v>0</v>
      </c>
      <c r="BE9" s="781">
        <f>SUMIFS(Headcount!$B$6:$B$88,Headcount!$H$6:$H$88,"&gt;"&amp;BD3,Headcount!$H$6:$H$88,"&lt;="&amp;BE3,Headcount!$F$6:$F$88,"BI")</f>
        <v>0</v>
      </c>
      <c r="BF9" s="781">
        <f>SUMIFS(Headcount!$B$6:$B$88,Headcount!$H$6:$H$88,"&gt;"&amp;BE3,Headcount!$H$6:$H$88,"&lt;="&amp;BF3,Headcount!$F$6:$F$88,"BI")</f>
        <v>0</v>
      </c>
      <c r="BG9" s="781">
        <f>SUMIFS(Headcount!$B$6:$B$88,Headcount!$H$6:$H$88,"&gt;"&amp;BF3,Headcount!$H$6:$H$88,"&lt;="&amp;BG3,Headcount!$F$6:$F$88,"BI")</f>
        <v>0</v>
      </c>
      <c r="BH9" s="781">
        <f>SUMIFS(Headcount!$B$6:$B$88,Headcount!$H$6:$H$88,"&gt;"&amp;BG3,Headcount!$H$6:$H$88,"&lt;="&amp;BH3,Headcount!$F$6:$F$88,"BI")</f>
        <v>0</v>
      </c>
      <c r="BI9" s="781">
        <f>SUMIFS(Headcount!$B$6:$B$88,Headcount!$H$6:$H$88,"&gt;"&amp;BH3,Headcount!$H$6:$H$88,"&lt;="&amp;BI3,Headcount!$F$6:$F$88,"BI")</f>
        <v>0</v>
      </c>
      <c r="BJ9" s="781">
        <f>SUMIFS(Headcount!$B$6:$B$88,Headcount!$H$6:$H$88,"&gt;"&amp;BI3,Headcount!$H$6:$H$88,"&lt;="&amp;BJ3,Headcount!$F$6:$F$88,"BI")</f>
        <v>0</v>
      </c>
      <c r="BK9" s="781">
        <f>SUMIFS(Headcount!$B$6:$B$88,Headcount!$H$6:$H$88,"&gt;"&amp;BJ3,Headcount!$H$6:$H$88,"&lt;="&amp;BK3,Headcount!$F$6:$F$88,"BI")</f>
        <v>0</v>
      </c>
      <c r="BL9" s="781">
        <f>SUMIFS(Headcount!$B$6:$B$88,Headcount!$H$6:$H$88,"&gt;"&amp;BK3,Headcount!$H$6:$H$88,"&lt;="&amp;BL3,Headcount!$F$6:$F$88,"BI")</f>
        <v>0</v>
      </c>
      <c r="BM9" s="781">
        <f>SUMIFS(Headcount!$B$6:$B$88,Headcount!$H$6:$H$88,"&gt;"&amp;BL3,Headcount!$H$6:$H$88,"&lt;="&amp;BM3,Headcount!$F$6:$F$88,"BI")</f>
        <v>0</v>
      </c>
      <c r="BN9" s="781">
        <f>SUMIFS(Headcount!$B$6:$B$88,Headcount!$H$6:$H$88,"&gt;"&amp;BM3,Headcount!$H$6:$H$88,"&lt;="&amp;BN3,Headcount!$F$6:$F$88,"BI")</f>
        <v>0</v>
      </c>
      <c r="BO9" s="781">
        <f>SUMIFS(Headcount!$B$6:$B$88,Headcount!$H$6:$H$88,"&gt;"&amp;BN3,Headcount!$H$6:$H$88,"&lt;="&amp;BO3,Headcount!$F$6:$F$88,"BI")</f>
        <v>0</v>
      </c>
      <c r="BP9" s="781">
        <f>SUMIFS(Headcount!$B$6:$B$88,Headcount!$H$6:$H$88,"&gt;"&amp;BO3,Headcount!$H$6:$H$88,"&lt;="&amp;BP3,Headcount!$F$6:$F$88,"BI")</f>
        <v>0</v>
      </c>
      <c r="BQ9" s="781">
        <f>SUMIFS(Headcount!$B$6:$B$88,Headcount!$H$6:$H$88,"&gt;"&amp;BP3,Headcount!$H$6:$H$88,"&lt;="&amp;BQ3,Headcount!$F$6:$F$88,"BI")</f>
        <v>0</v>
      </c>
      <c r="BR9" s="781">
        <f>SUMIFS(Headcount!$B$6:$B$88,Headcount!$H$6:$H$88,"&gt;"&amp;BQ3,Headcount!$H$6:$H$88,"&lt;="&amp;BR3,Headcount!$F$6:$F$88,"BI")</f>
        <v>0</v>
      </c>
      <c r="BS9" s="781">
        <f>SUMIFS(Headcount!$B$6:$B$88,Headcount!$H$6:$H$88,"&gt;"&amp;BR3,Headcount!$H$6:$H$88,"&lt;="&amp;BS3,Headcount!$F$6:$F$88,"BI")</f>
        <v>0</v>
      </c>
      <c r="BT9" s="781">
        <f>SUMIFS(Headcount!$B$6:$B$88,Headcount!$H$6:$H$88,"&gt;"&amp;BS3,Headcount!$H$6:$H$88,"&lt;="&amp;BT3,Headcount!$F$6:$F$88,"BI")</f>
        <v>0</v>
      </c>
      <c r="BU9" s="781">
        <f>SUMIFS(Headcount!$B$6:$B$88,Headcount!$H$6:$H$88,"&gt;"&amp;BT3,Headcount!$H$6:$H$88,"&lt;="&amp;BU3,Headcount!$F$6:$F$88,"BI")</f>
        <v>0</v>
      </c>
      <c r="BV9" s="781">
        <f>SUMIFS(Headcount!$B$6:$B$88,Headcount!$H$6:$H$88,"&gt;"&amp;BU3,Headcount!$H$6:$H$88,"&lt;="&amp;BV3,Headcount!$F$6:$F$88,"BI")</f>
        <v>0</v>
      </c>
    </row>
    <row r="10" spans="2:74" x14ac:dyDescent="0.25">
      <c r="B10" s="783"/>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784"/>
    </row>
    <row r="11" spans="2:74" x14ac:dyDescent="0.25">
      <c r="B11" s="785" t="s">
        <v>926</v>
      </c>
      <c r="C11" s="786"/>
      <c r="D11" s="786"/>
      <c r="E11" s="786"/>
      <c r="F11" s="786"/>
      <c r="G11" s="786"/>
      <c r="H11" s="786"/>
      <c r="I11" s="786"/>
      <c r="J11" s="786"/>
      <c r="K11" s="786"/>
      <c r="L11" s="786"/>
      <c r="M11" s="786"/>
      <c r="N11" s="786"/>
      <c r="O11" s="787"/>
      <c r="P11" s="787"/>
      <c r="Q11" s="787"/>
      <c r="R11" s="787"/>
      <c r="S11" s="787"/>
      <c r="T11" s="787"/>
      <c r="U11" s="787"/>
      <c r="V11" s="787"/>
      <c r="W11" s="787"/>
      <c r="X11" s="787"/>
      <c r="Y11" s="787"/>
      <c r="Z11" s="787"/>
      <c r="AA11" s="787"/>
      <c r="AB11" s="787"/>
      <c r="AC11" s="787"/>
      <c r="AD11" s="787"/>
      <c r="AE11" s="787"/>
      <c r="AF11" s="787"/>
      <c r="AG11" s="787"/>
      <c r="AH11" s="787"/>
      <c r="AI11" s="787"/>
      <c r="AJ11" s="787"/>
      <c r="AK11" s="787"/>
      <c r="AL11" s="787"/>
      <c r="AM11" s="787"/>
      <c r="AN11" s="787"/>
      <c r="AO11" s="787"/>
      <c r="AP11" s="787"/>
      <c r="AQ11" s="787"/>
      <c r="AR11" s="787"/>
      <c r="AS11" s="787"/>
      <c r="AT11" s="787"/>
      <c r="AU11" s="787"/>
      <c r="AV11" s="787"/>
      <c r="AW11" s="787"/>
      <c r="AX11" s="787"/>
      <c r="AY11" s="787"/>
      <c r="AZ11" s="787"/>
      <c r="BA11" s="787"/>
      <c r="BB11" s="787"/>
      <c r="BC11" s="787"/>
      <c r="BD11" s="787"/>
      <c r="BE11" s="787"/>
      <c r="BF11" s="787"/>
      <c r="BG11" s="787"/>
      <c r="BH11" s="787"/>
      <c r="BI11" s="787"/>
      <c r="BJ11" s="787"/>
      <c r="BK11" s="787"/>
      <c r="BL11" s="787"/>
      <c r="BM11" s="787"/>
      <c r="BN11" s="787"/>
      <c r="BO11" s="787"/>
      <c r="BP11" s="787"/>
      <c r="BQ11" s="787"/>
      <c r="BR11" s="787"/>
      <c r="BS11" s="787"/>
      <c r="BT11" s="787"/>
      <c r="BU11" s="787"/>
      <c r="BV11" s="788"/>
    </row>
    <row r="12" spans="2:74" x14ac:dyDescent="0.25">
      <c r="B12" s="780" t="s">
        <v>927</v>
      </c>
      <c r="C12" s="1139"/>
      <c r="D12" s="1139"/>
      <c r="E12" s="1139"/>
      <c r="F12" s="1139"/>
      <c r="G12" s="1139"/>
      <c r="H12" s="1139"/>
      <c r="I12" s="1139"/>
      <c r="J12" s="1139"/>
      <c r="K12" s="1139"/>
      <c r="L12" s="1139"/>
      <c r="M12" s="1139"/>
      <c r="N12" s="1139"/>
      <c r="O12" s="1139"/>
      <c r="P12" s="1139"/>
      <c r="Q12" s="1139"/>
      <c r="R12" s="1139"/>
      <c r="S12" s="1139"/>
      <c r="T12" s="1139"/>
      <c r="U12" s="1139"/>
      <c r="V12" s="1139"/>
      <c r="W12" s="1139"/>
      <c r="X12" s="1139"/>
      <c r="Y12" s="1139"/>
      <c r="Z12" s="1139"/>
      <c r="AA12" s="1139">
        <f>IF(AA$4="forecast",IF(YEAR(AA$3)=YEAR(Headcount!$N$4),((SUMIFS(Headcount!$N$6:$N$89,Headcount!$F$6:$F$89,"bi",Headcount!$H$6:$H$89,"&gt;="&amp;Sales!AA$3)/12)),IF(YEAR(AA$3)=YEAR(Headcount!$O$4),IF((AA$5=2),((SUMIFS(Headcount!$O$6:$O$89,Headcount!$F$6:$F$89,"bi",Headcount!$H$6:$H$89,"&gt;="&amp;Sales!AA$3)/12)),Z12),IF(YEAR(AA$3)=YEAR(Headcount!$P$4),IF((AA$5=2),((SUMIFS(Headcount!$P$6:$P$89,Headcount!$F$6:$F$89,"bi",Headcount!$H$6:$H$89,"&gt;="&amp;Sales!AA$3)/12)),Z12),IF(YEAR(AA$3)=YEAR(Headcount!$Q$4),IF((AA$5=2),((SUMIFS(Headcount!$Q$6:$Q$89,Headcount!$F$6:$F$89,"bi",Headcount!$H$6:$H$89,"&gt;="&amp;Sales!AA$3)/12)),Z12),IF(YEAR(AA$3)=YEAR(Headcount!$R$4),IF((AA$5=2),((SUMIFS(Headcount!$R$6:$R$89,Headcount!$F$6:$F$89,"bi",Headcount!$H$6:$H$89,"&gt;="&amp;Sales!AA$3)/12)),Z12),"New Year"))))),SUMIF('Dept. Cost Actuals'!$E$7:$E$176,"*salary*",'Dept. Cost Actuals'!AE$1400:AE$1569))</f>
        <v>26442.3</v>
      </c>
      <c r="AB12" s="1139">
        <f>IF(AB$4="forecast",IF(YEAR(AB$3)=YEAR(Headcount!$N$4),((SUMIFS(Headcount!$N$6:$N$89,Headcount!$F$6:$F$89,"bi",Headcount!$H$6:$H$89,"&gt;="&amp;Sales!AB$3)/12)),IF(YEAR(AB$3)=YEAR(Headcount!$O$4),IF((AB$5=2),((SUMIFS(Headcount!$O$6:$O$89,Headcount!$F$6:$F$89,"bi",Headcount!$H$6:$H$89,"&gt;="&amp;Sales!AB$3)/12)),AA12),IF(YEAR(AB$3)=YEAR(Headcount!$P$4),IF((AB$5=2),((SUMIFS(Headcount!$P$6:$P$89,Headcount!$F$6:$F$89,"bi",Headcount!$H$6:$H$89,"&gt;="&amp;Sales!AB$3)/12)),AA12),IF(YEAR(AB$3)=YEAR(Headcount!$Q$4),IF((AB$5=2),((SUMIFS(Headcount!$Q$6:$Q$89,Headcount!$F$6:$F$89,"bi",Headcount!$H$6:$H$89,"&gt;="&amp;Sales!AB$3)/12)),AA12),IF(YEAR(AB$3)=YEAR(Headcount!$R$4),IF((AB$5=2),((SUMIFS(Headcount!$R$6:$R$89,Headcount!$F$6:$F$89,"bi",Headcount!$H$6:$H$89,"&gt;="&amp;Sales!AB$3)/12)),AA12),"New Year"))))),SUMIF('Dept. Cost Actuals'!$E$7:$E$176,"*salary*",'Dept. Cost Actuals'!AF$1400:AF$1569))</f>
        <v>32692.3</v>
      </c>
      <c r="AC12" s="1139">
        <f>IF(AC$4="forecast",IF(YEAR(AC$3)=YEAR(Headcount!$N$4),((SUMIFS(Headcount!$N$6:$N$89,Headcount!$F$6:$F$89,"bi",Headcount!$H$6:$H$89,"&gt;="&amp;Sales!AC$3)/12)),IF(YEAR(AC$3)=YEAR(Headcount!$O$4),IF((AC$5=2),((SUMIFS(Headcount!$O$6:$O$89,Headcount!$F$6:$F$89,"bi",Headcount!$H$6:$H$89,"&gt;="&amp;Sales!AC$3)/12)),AB12),IF(YEAR(AC$3)=YEAR(Headcount!$P$4),IF((AC$5=2),((SUMIFS(Headcount!$P$6:$P$89,Headcount!$F$6:$F$89,"bi",Headcount!$H$6:$H$89,"&gt;="&amp;Sales!AC$3)/12)),AB12),IF(YEAR(AC$3)=YEAR(Headcount!$Q$4),IF((AC$5=2),((SUMIFS(Headcount!$Q$6:$Q$89,Headcount!$F$6:$F$89,"bi",Headcount!$H$6:$H$89,"&gt;="&amp;Sales!AC$3)/12)),AB12),IF(YEAR(AC$3)=YEAR(Headcount!$R$4),IF((AC$5=2),((SUMIFS(Headcount!$R$6:$R$89,Headcount!$F$6:$F$89,"bi",Headcount!$H$6:$H$89,"&gt;="&amp;Sales!AC$3)/12)),AB12),"New Year"))))),SUMIF('Dept. Cost Actuals'!$E$7:$E$176,"*salary*",'Dept. Cost Actuals'!AG$1400:AG$1569))</f>
        <v>31903.83</v>
      </c>
      <c r="AD12" s="1139">
        <f>IF(AD$4="forecast",IF(YEAR(AD$3)=YEAR(Headcount!$N$4),((SUMIFS(Headcount!$N$6:$N$89,Headcount!$F$6:$F$89,"bi",Headcount!$H$6:$H$89,"&gt;="&amp;Sales!AD$3)/12)),IF(YEAR(AD$3)=YEAR(Headcount!$O$4),IF((AD$5=2),((SUMIFS(Headcount!$O$6:$O$89,Headcount!$F$6:$F$89,"bi",Headcount!$H$6:$H$89,"&gt;="&amp;Sales!AD$3)/12)),AC12),IF(YEAR(AD$3)=YEAR(Headcount!$P$4),IF((AD$5=2),((SUMIFS(Headcount!$P$6:$P$89,Headcount!$F$6:$F$89,"bi",Headcount!$H$6:$H$89,"&gt;="&amp;Sales!AD$3)/12)),AC12),IF(YEAR(AD$3)=YEAR(Headcount!$Q$4),IF((AD$5=2),((SUMIFS(Headcount!$Q$6:$Q$89,Headcount!$F$6:$F$89,"bi",Headcount!$H$6:$H$89,"&gt;="&amp;Sales!AD$3)/12)),AC12),IF(YEAR(AD$3)=YEAR(Headcount!$R$4),IF((AD$5=2),((SUMIFS(Headcount!$R$6:$R$89,Headcount!$F$6:$F$89,"bi",Headcount!$H$6:$H$89,"&gt;="&amp;Sales!AD$3)/12)),AC12),"New Year"))))),SUMIF('Dept. Cost Actuals'!$E$7:$E$176,"*salary*",'Dept. Cost Actuals'!AH$1400:AH$1569))</f>
        <v>31903.83</v>
      </c>
      <c r="AE12" s="1139">
        <f>IF(AE$4="forecast",IF(YEAR(AE$3)=YEAR(Headcount!$N$4),((SUMIFS(Headcount!$N$6:$N$89,Headcount!$F$6:$F$89,"bi",Headcount!$H$6:$H$89,"&gt;="&amp;Sales!AE$3)/12)),IF(YEAR(AE$3)=YEAR(Headcount!$O$4),IF((AE$5=2),((SUMIFS(Headcount!$O$6:$O$89,Headcount!$F$6:$F$89,"bi",Headcount!$H$6:$H$89,"&gt;="&amp;Sales!AE$3)/12)),AD12),IF(YEAR(AE$3)=YEAR(Headcount!$P$4),IF((AE$5=2),((SUMIFS(Headcount!$P$6:$P$89,Headcount!$F$6:$F$89,"bi",Headcount!$H$6:$H$89,"&gt;="&amp;Sales!AE$3)/12)),AD12),IF(YEAR(AE$3)=YEAR(Headcount!$Q$4),IF((AE$5=2),((SUMIFS(Headcount!$Q$6:$Q$89,Headcount!$F$6:$F$89,"bi",Headcount!$H$6:$H$89,"&gt;="&amp;Sales!AE$3)/12)),AD12),IF(YEAR(AE$3)=YEAR(Headcount!$R$4),IF((AE$5=2),((SUMIFS(Headcount!$R$6:$R$89,Headcount!$F$6:$F$89,"bi",Headcount!$H$6:$H$89,"&gt;="&amp;Sales!AE$3)/12)),AD12),"New Year"))))),SUMIF('Dept. Cost Actuals'!$E$7:$E$176,"*salary*",'Dept. Cost Actuals'!AI$1400:AI$1569))</f>
        <v>31903.83</v>
      </c>
      <c r="AF12" s="1139">
        <f>IF(AF$4="forecast",IF(YEAR(AF$3)=YEAR(Headcount!$N$4),((SUMIFS(Headcount!$N$6:$N$89,Headcount!$F$6:$F$89,"bi",Headcount!$H$6:$H$89,"&gt;="&amp;Sales!AF$3)/12)),IF(YEAR(AF$3)=YEAR(Headcount!$O$4),IF((AF$5=2),((SUMIFS(Headcount!$O$6:$O$89,Headcount!$F$6:$F$89,"bi",Headcount!$H$6:$H$89,"&gt;="&amp;Sales!AF$3)/12)),AE12),IF(YEAR(AF$3)=YEAR(Headcount!$P$4),IF((AF$5=2),((SUMIFS(Headcount!$P$6:$P$89,Headcount!$F$6:$F$89,"bi",Headcount!$H$6:$H$89,"&gt;="&amp;Sales!AF$3)/12)),AE12),IF(YEAR(AF$3)=YEAR(Headcount!$Q$4),IF((AF$5=2),((SUMIFS(Headcount!$Q$6:$Q$89,Headcount!$F$6:$F$89,"bi",Headcount!$H$6:$H$89,"&gt;="&amp;Sales!AF$3)/12)),AE12),IF(YEAR(AF$3)=YEAR(Headcount!$R$4),IF((AF$5=2),((SUMIFS(Headcount!$R$6:$R$89,Headcount!$F$6:$F$89,"bi",Headcount!$H$6:$H$89,"&gt;="&amp;Sales!AF$3)/12)),AE12),"New Year"))))),SUMIF('Dept. Cost Actuals'!$E$7:$E$176,"*salary*",'Dept. Cost Actuals'!AJ$1400:AJ$1569))</f>
        <v>31903.83</v>
      </c>
      <c r="AG12" s="1139">
        <f>IF(AG$4="forecast",IF(YEAR(AG$3)=YEAR(Headcount!$N$4),((SUMIFS(Headcount!$N$6:$N$89,Headcount!$F$6:$F$89,"bi",Headcount!$H$6:$H$89,"&gt;="&amp;Sales!AG$3)/12)),IF(YEAR(AG$3)=YEAR(Headcount!$O$4),IF((AG$5=2),((SUMIFS(Headcount!$O$6:$O$89,Headcount!$F$6:$F$89,"bi",Headcount!$H$6:$H$89,"&gt;="&amp;Sales!AG$3)/12)),AF12),IF(YEAR(AG$3)=YEAR(Headcount!$P$4),IF((AG$5=2),((SUMIFS(Headcount!$P$6:$P$89,Headcount!$F$6:$F$89,"bi",Headcount!$H$6:$H$89,"&gt;="&amp;Sales!AG$3)/12)),AF12),IF(YEAR(AG$3)=YEAR(Headcount!$Q$4),IF((AG$5=2),((SUMIFS(Headcount!$Q$6:$Q$89,Headcount!$F$6:$F$89,"bi",Headcount!$H$6:$H$89,"&gt;="&amp;Sales!AG$3)/12)),AF12),IF(YEAR(AG$3)=YEAR(Headcount!$R$4),IF((AG$5=2),((SUMIFS(Headcount!$R$6:$R$89,Headcount!$F$6:$F$89,"bi",Headcount!$H$6:$H$89,"&gt;="&amp;Sales!AG$3)/12)),AF12),"New Year"))))),SUMIF('Dept. Cost Actuals'!$E$7:$E$176,"*salary*",'Dept. Cost Actuals'!AK$1400:AK$1569))</f>
        <v>31903.83</v>
      </c>
      <c r="AH12" s="1139">
        <f>IF(AH$4="forecast",IF(YEAR(AH$3)=YEAR(Headcount!$N$4),((SUMIFS(Headcount!$N$6:$N$89,Headcount!$F$6:$F$89,"bi",Headcount!$H$6:$H$89,"&gt;="&amp;Sales!AH$3)/12)),IF(YEAR(AH$3)=YEAR(Headcount!$O$4),IF((AH$5=2),((SUMIFS(Headcount!$O$6:$O$89,Headcount!$F$6:$F$89,"bi",Headcount!$H$6:$H$89,"&gt;="&amp;Sales!AH$3)/12)),AG12),IF(YEAR(AH$3)=YEAR(Headcount!$P$4),IF((AH$5=2),((SUMIFS(Headcount!$P$6:$P$89,Headcount!$F$6:$F$89,"bi",Headcount!$H$6:$H$89,"&gt;="&amp;Sales!AH$3)/12)),AG12),IF(YEAR(AH$3)=YEAR(Headcount!$Q$4),IF((AH$5=2),((SUMIFS(Headcount!$Q$6:$Q$89,Headcount!$F$6:$F$89,"bi",Headcount!$H$6:$H$89,"&gt;="&amp;Sales!AH$3)/12)),AG12),IF(YEAR(AH$3)=YEAR(Headcount!$R$4),IF((AH$5=2),((SUMIFS(Headcount!$R$6:$R$89,Headcount!$F$6:$F$89,"bi",Headcount!$H$6:$H$89,"&gt;="&amp;Sales!AH$3)/12)),AG12),"New Year"))))),SUMIF('Dept. Cost Actuals'!$E$7:$E$176,"*salary*",'Dept. Cost Actuals'!AL$1400:AL$1569))</f>
        <v>31903.83</v>
      </c>
      <c r="AI12" s="1139">
        <f>IF(AI$4="forecast",IF(YEAR(AI$3)=YEAR(Headcount!$N$4),((SUMIFS(Headcount!$N$6:$N$89,Headcount!$F$6:$F$89,"bi",Headcount!$H$6:$H$89,"&gt;="&amp;Sales!AI$3)/12)),IF(YEAR(AI$3)=YEAR(Headcount!$O$4),IF((AI$5=2),((SUMIFS(Headcount!$O$6:$O$89,Headcount!$F$6:$F$89,"bi",Headcount!$H$6:$H$89,"&gt;="&amp;Sales!AI$3)/12)),AH12),IF(YEAR(AI$3)=YEAR(Headcount!$P$4),IF((AI$5=2),((SUMIFS(Headcount!$P$6:$P$89,Headcount!$F$6:$F$89,"bi",Headcount!$H$6:$H$89,"&gt;="&amp;Sales!AI$3)/12)),AH12),IF(YEAR(AI$3)=YEAR(Headcount!$Q$4),IF((AI$5=2),((SUMIFS(Headcount!$Q$6:$Q$89,Headcount!$F$6:$F$89,"bi",Headcount!$H$6:$H$89,"&gt;="&amp;Sales!AI$3)/12)),AH12),IF(YEAR(AI$3)=YEAR(Headcount!$R$4),IF((AI$5=2),((SUMIFS(Headcount!$R$6:$R$89,Headcount!$F$6:$F$89,"bi",Headcount!$H$6:$H$89,"&gt;="&amp;Sales!AI$3)/12)),AH12),"New Year"))))),SUMIF('Dept. Cost Actuals'!$E$7:$E$176,"*salary*",'Dept. Cost Actuals'!AM$1400:AM$1569))</f>
        <v>31903.83</v>
      </c>
      <c r="AJ12" s="1139">
        <f>IF(AJ$4="forecast",IF(YEAR(AJ$3)=YEAR(Headcount!$N$4),((SUMIFS(Headcount!$N$6:$N$89,Headcount!$F$6:$F$89,"bi",Headcount!$H$6:$H$89,"&gt;="&amp;Sales!AJ$3)/12)),IF(YEAR(AJ$3)=YEAR(Headcount!$O$4),IF((AJ$5=2),((SUMIFS(Headcount!$O$6:$O$89,Headcount!$F$6:$F$89,"bi",Headcount!$H$6:$H$89,"&gt;="&amp;Sales!AJ$3)/12)),AI12),IF(YEAR(AJ$3)=YEAR(Headcount!$P$4),IF((AJ$5=2),((SUMIFS(Headcount!$P$6:$P$89,Headcount!$F$6:$F$89,"bi",Headcount!$H$6:$H$89,"&gt;="&amp;Sales!AJ$3)/12)),AI12),IF(YEAR(AJ$3)=YEAR(Headcount!$Q$4),IF((AJ$5=2),((SUMIFS(Headcount!$Q$6:$Q$89,Headcount!$F$6:$F$89,"bi",Headcount!$H$6:$H$89,"&gt;="&amp;Sales!AJ$3)/12)),AI12),IF(YEAR(AJ$3)=YEAR(Headcount!$R$4),IF((AJ$5=2),((SUMIFS(Headcount!$R$6:$R$89,Headcount!$F$6:$F$89,"bi",Headcount!$H$6:$H$89,"&gt;="&amp;Sales!AJ$3)/12)),AI12),"New Year"))))),SUMIF('Dept. Cost Actuals'!$E$7:$E$176,"*salary*",'Dept. Cost Actuals'!AN$1400:AN$1569))</f>
        <v>31903.83</v>
      </c>
      <c r="AK12" s="1139">
        <f>IF(AK$4="forecast",IF(YEAR(AK$3)=YEAR(Headcount!$N$4),((SUMIFS(Headcount!$N$6:$N$89,Headcount!$F$6:$F$89,"bi",Headcount!$H$6:$H$89,"&gt;="&amp;Sales!AK$3)/12)),IF(YEAR(AK$3)=YEAR(Headcount!$O$4),IF((AK$5=2),((SUMIFS(Headcount!$O$6:$O$89,Headcount!$F$6:$F$89,"bi",Headcount!$H$6:$H$89,"&gt;="&amp;Sales!AK$3)/12)),AJ12),IF(YEAR(AK$3)=YEAR(Headcount!$P$4),IF((AK$5=2),((SUMIFS(Headcount!$P$6:$P$89,Headcount!$F$6:$F$89,"bi",Headcount!$H$6:$H$89,"&gt;="&amp;Sales!AK$3)/12)),AJ12),IF(YEAR(AK$3)=YEAR(Headcount!$Q$4),IF((AK$5=2),((SUMIFS(Headcount!$Q$6:$Q$89,Headcount!$F$6:$F$89,"bi",Headcount!$H$6:$H$89,"&gt;="&amp;Sales!AK$3)/12)),AJ12),IF(YEAR(AK$3)=YEAR(Headcount!$R$4),IF((AK$5=2),((SUMIFS(Headcount!$R$6:$R$89,Headcount!$F$6:$F$89,"bi",Headcount!$H$6:$H$89,"&gt;="&amp;Sales!AK$3)/12)),AJ12),"New Year"))))),SUMIF('Dept. Cost Actuals'!$E$7:$E$176,"*salary*",'Dept. Cost Actuals'!AO$1400:AO$1569))</f>
        <v>31903.83</v>
      </c>
      <c r="AL12" s="1139">
        <f>IF(AL$4="forecast",IF(YEAR(AL$3)=YEAR(Headcount!$N$4),((SUMIFS(Headcount!$N$6:$N$89,Headcount!$F$6:$F$89,"bi",Headcount!$H$6:$H$89,"&gt;="&amp;Sales!AL$3)/12)),IF(YEAR(AL$3)=YEAR(Headcount!$O$4),IF((AL$5=2),((SUMIFS(Headcount!$O$6:$O$89,Headcount!$F$6:$F$89,"bi",Headcount!$H$6:$H$89,"&gt;="&amp;Sales!AL$3)/12)),AK12),IF(YEAR(AL$3)=YEAR(Headcount!$P$4),IF((AL$5=2),((SUMIFS(Headcount!$P$6:$P$89,Headcount!$F$6:$F$89,"bi",Headcount!$H$6:$H$89,"&gt;="&amp;Sales!AL$3)/12)),AK12),IF(YEAR(AL$3)=YEAR(Headcount!$Q$4),IF((AL$5=2),((SUMIFS(Headcount!$Q$6:$Q$89,Headcount!$F$6:$F$89,"bi",Headcount!$H$6:$H$89,"&gt;="&amp;Sales!AL$3)/12)),AK12),IF(YEAR(AL$3)=YEAR(Headcount!$R$4),IF((AL$5=2),((SUMIFS(Headcount!$R$6:$R$89,Headcount!$F$6:$F$89,"bi",Headcount!$H$6:$H$89,"&gt;="&amp;Sales!AL$3)/12)),AK12),"New Year"))))),SUMIF('Dept. Cost Actuals'!$E$7:$E$176,"*salary*",'Dept. Cost Actuals'!AP$1400:AP$1569))</f>
        <v>31903.83</v>
      </c>
      <c r="AM12" s="1139">
        <f>IF(AM$4="forecast",IF(YEAR(AM$3)=YEAR(Headcount!$N$4),((SUMIFS(Headcount!$N$6:$N$89,Headcount!$F$6:$F$89,"bi",Headcount!$H$6:$H$89,"&gt;="&amp;Sales!AM$3)/12)),IF(YEAR(AM$3)=YEAR(Headcount!$O$4),IF((AM$5=2),((SUMIFS(Headcount!$O$6:$O$89,Headcount!$F$6:$F$89,"bi",Headcount!$H$6:$H$89,"&gt;="&amp;Sales!AM$3)/12)),AL12),IF(YEAR(AM$3)=YEAR(Headcount!$P$4),IF((AM$5=2),((SUMIFS(Headcount!$P$6:$P$89,Headcount!$F$6:$F$89,"bi",Headcount!$H$6:$H$89,"&gt;="&amp;Sales!AM$3)/12)),AL12),IF(YEAR(AM$3)=YEAR(Headcount!$Q$4),IF((AM$5=2),((SUMIFS(Headcount!$Q$6:$Q$89,Headcount!$F$6:$F$89,"bi",Headcount!$H$6:$H$89,"&gt;="&amp;Sales!AM$3)/12)),AL12),IF(YEAR(AM$3)=YEAR(Headcount!$R$4),IF((AM$5=2),((SUMIFS(Headcount!$R$6:$R$89,Headcount!$F$6:$F$89,"bi",Headcount!$H$6:$H$89,"&gt;="&amp;Sales!AM$3)/12)),AL12),"New Year"))))),SUMIF('Dept. Cost Actuals'!$E$7:$E$176,"*salary*",'Dept. Cost Actuals'!AQ$1400:AQ$1569))</f>
        <v>31903.83</v>
      </c>
      <c r="AN12" s="1139">
        <f>IF(AN$4="forecast",IF(YEAR(AN$3)=YEAR(Headcount!$N$4),((SUMIFS(Headcount!$N$6:$N$89,Headcount!$F$6:$F$89,"bi",Headcount!$H$6:$H$89,"&gt;="&amp;Sales!AN$3)/12)),IF(YEAR(AN$3)=YEAR(Headcount!$O$4),IF((AN$5=2),((SUMIFS(Headcount!$O$6:$O$89,Headcount!$F$6:$F$89,"bi",Headcount!$H$6:$H$89,"&gt;="&amp;Sales!AN$3)/12)),AM12),IF(YEAR(AN$3)=YEAR(Headcount!$P$4),IF((AN$5=2),((SUMIFS(Headcount!$P$6:$P$89,Headcount!$F$6:$F$89,"bi",Headcount!$H$6:$H$89,"&gt;="&amp;Sales!AN$3)/12)),AM12),IF(YEAR(AN$3)=YEAR(Headcount!$Q$4),IF((AN$5=2),((SUMIFS(Headcount!$Q$6:$Q$89,Headcount!$F$6:$F$89,"bi",Headcount!$H$6:$H$89,"&gt;="&amp;Sales!AN$3)/12)),AM12),IF(YEAR(AN$3)=YEAR(Headcount!$R$4),IF((AN$5=2),((SUMIFS(Headcount!$R$6:$R$89,Headcount!$F$6:$F$89,"bi",Headcount!$H$6:$H$89,"&gt;="&amp;Sales!AN$3)/12)),AM12),"New Year"))))),SUMIF('Dept. Cost Actuals'!$E$7:$E$176,"*salary*",'Dept. Cost Actuals'!AR$1400:AR$1569))</f>
        <v>0</v>
      </c>
      <c r="AO12" s="1139">
        <f>IF(AO$4="forecast",IF(YEAR(AO$3)=YEAR(Headcount!$N$4),((SUMIFS(Headcount!$N$6:$N$89,Headcount!$F$6:$F$89,"bi",Headcount!$H$6:$H$89,"&gt;="&amp;Sales!AO$3)/12)),IF(YEAR(AO$3)=YEAR(Headcount!$O$4),IF((AO$5=2),((SUMIFS(Headcount!$O$6:$O$89,Headcount!$F$6:$F$89,"bi",Headcount!$H$6:$H$89,"&gt;="&amp;Sales!AO$3)/12)),AN12),IF(YEAR(AO$3)=YEAR(Headcount!$P$4),IF((AO$5=2),((SUMIFS(Headcount!$P$6:$P$89,Headcount!$F$6:$F$89,"bi",Headcount!$H$6:$H$89,"&gt;="&amp;Sales!AO$3)/12)),AN12),IF(YEAR(AO$3)=YEAR(Headcount!$Q$4),IF((AO$5=2),((SUMIFS(Headcount!$Q$6:$Q$89,Headcount!$F$6:$F$89,"bi",Headcount!$H$6:$H$89,"&gt;="&amp;Sales!AO$3)/12)),AN12),IF(YEAR(AO$3)=YEAR(Headcount!$R$4),IF((AO$5=2),((SUMIFS(Headcount!$R$6:$R$89,Headcount!$F$6:$F$89,"bi",Headcount!$H$6:$H$89,"&gt;="&amp;Sales!AO$3)/12)),AN12),"New Year"))))),SUMIF('Dept. Cost Actuals'!$E$7:$E$176,"*salary*",'Dept. Cost Actuals'!AS$1400:AS$1569))</f>
        <v>0</v>
      </c>
      <c r="AP12" s="1139">
        <f>IF(AP$4="forecast",IF(YEAR(AP$3)=YEAR(Headcount!$N$4),((SUMIFS(Headcount!$N$6:$N$89,Headcount!$F$6:$F$89,"bi",Headcount!$H$6:$H$89,"&gt;="&amp;Sales!AP$3)/12)),IF(YEAR(AP$3)=YEAR(Headcount!$O$4),IF((AP$5=2),((SUMIFS(Headcount!$O$6:$O$89,Headcount!$F$6:$F$89,"bi",Headcount!$H$6:$H$89,"&gt;="&amp;Sales!AP$3)/12)),AO12),IF(YEAR(AP$3)=YEAR(Headcount!$P$4),IF((AP$5=2),((SUMIFS(Headcount!$P$6:$P$89,Headcount!$F$6:$F$89,"bi",Headcount!$H$6:$H$89,"&gt;="&amp;Sales!AP$3)/12)),AO12),IF(YEAR(AP$3)=YEAR(Headcount!$Q$4),IF((AP$5=2),((SUMIFS(Headcount!$Q$6:$Q$89,Headcount!$F$6:$F$89,"bi",Headcount!$H$6:$H$89,"&gt;="&amp;Sales!AP$3)/12)),AO12),IF(YEAR(AP$3)=YEAR(Headcount!$R$4),IF((AP$5=2),((SUMIFS(Headcount!$R$6:$R$89,Headcount!$F$6:$F$89,"bi",Headcount!$H$6:$H$89,"&gt;="&amp;Sales!AP$3)/12)),AO12),"New Year"))))),SUMIF('Dept. Cost Actuals'!$E$7:$E$176,"*salary*",'Dept. Cost Actuals'!AT$1400:AT$1569))</f>
        <v>0</v>
      </c>
      <c r="AQ12" s="1139">
        <f>IF(AQ$4="forecast",IF(YEAR(AQ$3)=YEAR(Headcount!$N$4),((SUMIFS(Headcount!$N$6:$N$89,Headcount!$F$6:$F$89,"bi",Headcount!$H$6:$H$89,"&gt;="&amp;Sales!AQ$3)/12)),IF(YEAR(AQ$3)=YEAR(Headcount!$O$4),IF((AQ$5=2),((SUMIFS(Headcount!$O$6:$O$89,Headcount!$F$6:$F$89,"bi",Headcount!$H$6:$H$89,"&gt;="&amp;Sales!AQ$3)/12)),AP12),IF(YEAR(AQ$3)=YEAR(Headcount!$P$4),IF((AQ$5=2),((SUMIFS(Headcount!$P$6:$P$89,Headcount!$F$6:$F$89,"bi",Headcount!$H$6:$H$89,"&gt;="&amp;Sales!AQ$3)/12)),AP12),IF(YEAR(AQ$3)=YEAR(Headcount!$Q$4),IF((AQ$5=2),((SUMIFS(Headcount!$Q$6:$Q$89,Headcount!$F$6:$F$89,"bi",Headcount!$H$6:$H$89,"&gt;="&amp;Sales!AQ$3)/12)),AP12),IF(YEAR(AQ$3)=YEAR(Headcount!$R$4),IF((AQ$5=2),((SUMIFS(Headcount!$R$6:$R$89,Headcount!$F$6:$F$89,"bi",Headcount!$H$6:$H$89,"&gt;="&amp;Sales!AQ$3)/12)),AP12),"New Year"))))),SUMIF('Dept. Cost Actuals'!$E$7:$E$176,"*salary*",'Dept. Cost Actuals'!AU$1400:AU$1569))</f>
        <v>0</v>
      </c>
      <c r="AR12" s="1139">
        <f>IF(AR$4="forecast",IF(YEAR(AR$3)=YEAR(Headcount!$N$4),((SUMIFS(Headcount!$N$6:$N$89,Headcount!$F$6:$F$89,"bi",Headcount!$H$6:$H$89,"&gt;="&amp;Sales!AR$3)/12)),IF(YEAR(AR$3)=YEAR(Headcount!$O$4),IF((AR$5=2),((SUMIFS(Headcount!$O$6:$O$89,Headcount!$F$6:$F$89,"bi",Headcount!$H$6:$H$89,"&gt;="&amp;Sales!AR$3)/12)),AQ12),IF(YEAR(AR$3)=YEAR(Headcount!$P$4),IF((AR$5=2),((SUMIFS(Headcount!$P$6:$P$89,Headcount!$F$6:$F$89,"bi",Headcount!$H$6:$H$89,"&gt;="&amp;Sales!AR$3)/12)),AQ12),IF(YEAR(AR$3)=YEAR(Headcount!$Q$4),IF((AR$5=2),((SUMIFS(Headcount!$Q$6:$Q$89,Headcount!$F$6:$F$89,"bi",Headcount!$H$6:$H$89,"&gt;="&amp;Sales!AR$3)/12)),AQ12),IF(YEAR(AR$3)=YEAR(Headcount!$R$4),IF((AR$5=2),((SUMIFS(Headcount!$R$6:$R$89,Headcount!$F$6:$F$89,"bi",Headcount!$H$6:$H$89,"&gt;="&amp;Sales!AR$3)/12)),AQ12),"New Year"))))),SUMIF('Dept. Cost Actuals'!$E$7:$E$176,"*salary*",'Dept. Cost Actuals'!AV$1400:AV$1569))</f>
        <v>0</v>
      </c>
      <c r="AS12" s="1139">
        <f>IF(AS$4="forecast",IF(YEAR(AS$3)=YEAR(Headcount!$N$4),((SUMIFS(Headcount!$N$6:$N$89,Headcount!$F$6:$F$89,"bi",Headcount!$H$6:$H$89,"&gt;="&amp;Sales!AS$3)/12)),IF(YEAR(AS$3)=YEAR(Headcount!$O$4),IF((AS$5=2),((SUMIFS(Headcount!$O$6:$O$89,Headcount!$F$6:$F$89,"bi",Headcount!$H$6:$H$89,"&gt;="&amp;Sales!AS$3)/12)),AR12),IF(YEAR(AS$3)=YEAR(Headcount!$P$4),IF((AS$5=2),((SUMIFS(Headcount!$P$6:$P$89,Headcount!$F$6:$F$89,"bi",Headcount!$H$6:$H$89,"&gt;="&amp;Sales!AS$3)/12)),AR12),IF(YEAR(AS$3)=YEAR(Headcount!$Q$4),IF((AS$5=2),((SUMIFS(Headcount!$Q$6:$Q$89,Headcount!$F$6:$F$89,"bi",Headcount!$H$6:$H$89,"&gt;="&amp;Sales!AS$3)/12)),AR12),IF(YEAR(AS$3)=YEAR(Headcount!$R$4),IF((AS$5=2),((SUMIFS(Headcount!$R$6:$R$89,Headcount!$F$6:$F$89,"bi",Headcount!$H$6:$H$89,"&gt;="&amp;Sales!AS$3)/12)),AR12),"New Year"))))),SUMIF('Dept. Cost Actuals'!$E$7:$E$176,"*salary*",'Dept. Cost Actuals'!AW$1400:AW$1569))</f>
        <v>0</v>
      </c>
      <c r="AT12" s="1139">
        <f>IF(AT$4="forecast",IF(YEAR(AT$3)=YEAR(Headcount!$N$4),((SUMIFS(Headcount!$N$6:$N$89,Headcount!$F$6:$F$89,"bi",Headcount!$H$6:$H$89,"&gt;="&amp;Sales!AT$3)/12)),IF(YEAR(AT$3)=YEAR(Headcount!$O$4),IF((AT$5=2),((SUMIFS(Headcount!$O$6:$O$89,Headcount!$F$6:$F$89,"bi",Headcount!$H$6:$H$89,"&gt;="&amp;Sales!AT$3)/12)),AS12),IF(YEAR(AT$3)=YEAR(Headcount!$P$4),IF((AT$5=2),((SUMIFS(Headcount!$P$6:$P$89,Headcount!$F$6:$F$89,"bi",Headcount!$H$6:$H$89,"&gt;="&amp;Sales!AT$3)/12)),AS12),IF(YEAR(AT$3)=YEAR(Headcount!$Q$4),IF((AT$5=2),((SUMIFS(Headcount!$Q$6:$Q$89,Headcount!$F$6:$F$89,"bi",Headcount!$H$6:$H$89,"&gt;="&amp;Sales!AT$3)/12)),AS12),IF(YEAR(AT$3)=YEAR(Headcount!$R$4),IF((AT$5=2),((SUMIFS(Headcount!$R$6:$R$89,Headcount!$F$6:$F$89,"bi",Headcount!$H$6:$H$89,"&gt;="&amp;Sales!AT$3)/12)),AS12),"New Year"))))),SUMIF('Dept. Cost Actuals'!$E$7:$E$176,"*salary*",'Dept. Cost Actuals'!AX$1400:AX$1569))</f>
        <v>0</v>
      </c>
      <c r="AU12" s="1139">
        <f>IF(AU$4="forecast",IF(YEAR(AU$3)=YEAR(Headcount!$N$4),((SUMIFS(Headcount!$N$6:$N$89,Headcount!$F$6:$F$89,"bi",Headcount!$H$6:$H$89,"&gt;="&amp;Sales!AU$3)/12)),IF(YEAR(AU$3)=YEAR(Headcount!$O$4),IF((AU$5=2),((SUMIFS(Headcount!$O$6:$O$89,Headcount!$F$6:$F$89,"bi",Headcount!$H$6:$H$89,"&gt;="&amp;Sales!AU$3)/12)),AT12),IF(YEAR(AU$3)=YEAR(Headcount!$P$4),IF((AU$5=2),((SUMIFS(Headcount!$P$6:$P$89,Headcount!$F$6:$F$89,"bi",Headcount!$H$6:$H$89,"&gt;="&amp;Sales!AU$3)/12)),AT12),IF(YEAR(AU$3)=YEAR(Headcount!$Q$4),IF((AU$5=2),((SUMIFS(Headcount!$Q$6:$Q$89,Headcount!$F$6:$F$89,"bi",Headcount!$H$6:$H$89,"&gt;="&amp;Sales!AU$3)/12)),AT12),IF(YEAR(AU$3)=YEAR(Headcount!$R$4),IF((AU$5=2),((SUMIFS(Headcount!$R$6:$R$89,Headcount!$F$6:$F$89,"bi",Headcount!$H$6:$H$89,"&gt;="&amp;Sales!AU$3)/12)),AT12),"New Year"))))),SUMIF('Dept. Cost Actuals'!$E$7:$E$176,"*salary*",'Dept. Cost Actuals'!AY$1400:AY$1569))</f>
        <v>0</v>
      </c>
      <c r="AV12" s="1139">
        <f>IF(AV$4="forecast",IF(YEAR(AV$3)=YEAR(Headcount!$N$4),((SUMIFS(Headcount!$N$6:$N$89,Headcount!$F$6:$F$89,"bi",Headcount!$H$6:$H$89,"&gt;="&amp;Sales!AV$3)/12)),IF(YEAR(AV$3)=YEAR(Headcount!$O$4),IF((AV$5=2),((SUMIFS(Headcount!$O$6:$O$89,Headcount!$F$6:$F$89,"bi",Headcount!$H$6:$H$89,"&gt;="&amp;Sales!AV$3)/12)),AU12),IF(YEAR(AV$3)=YEAR(Headcount!$P$4),IF((AV$5=2),((SUMIFS(Headcount!$P$6:$P$89,Headcount!$F$6:$F$89,"bi",Headcount!$H$6:$H$89,"&gt;="&amp;Sales!AV$3)/12)),AU12),IF(YEAR(AV$3)=YEAR(Headcount!$Q$4),IF((AV$5=2),((SUMIFS(Headcount!$Q$6:$Q$89,Headcount!$F$6:$F$89,"bi",Headcount!$H$6:$H$89,"&gt;="&amp;Sales!AV$3)/12)),AU12),IF(YEAR(AV$3)=YEAR(Headcount!$R$4),IF((AV$5=2),((SUMIFS(Headcount!$R$6:$R$89,Headcount!$F$6:$F$89,"bi",Headcount!$H$6:$H$89,"&gt;="&amp;Sales!AV$3)/12)),AU12),"New Year"))))),SUMIF('Dept. Cost Actuals'!$E$7:$E$176,"*salary*",'Dept. Cost Actuals'!AZ$1400:AZ$1569))</f>
        <v>0</v>
      </c>
      <c r="AW12" s="1139">
        <f>IF(AW$4="forecast",IF(YEAR(AW$3)=YEAR(Headcount!$N$4),((SUMIFS(Headcount!$N$6:$N$89,Headcount!$F$6:$F$89,"bi",Headcount!$H$6:$H$89,"&gt;="&amp;Sales!AW$3)/12)),IF(YEAR(AW$3)=YEAR(Headcount!$O$4),IF((AW$5=2),((SUMIFS(Headcount!$O$6:$O$89,Headcount!$F$6:$F$89,"bi",Headcount!$H$6:$H$89,"&gt;="&amp;Sales!AW$3)/12)),AV12),IF(YEAR(AW$3)=YEAR(Headcount!$P$4),IF((AW$5=2),((SUMIFS(Headcount!$P$6:$P$89,Headcount!$F$6:$F$89,"bi",Headcount!$H$6:$H$89,"&gt;="&amp;Sales!AW$3)/12)),AV12),IF(YEAR(AW$3)=YEAR(Headcount!$Q$4),IF((AW$5=2),((SUMIFS(Headcount!$Q$6:$Q$89,Headcount!$F$6:$F$89,"bi",Headcount!$H$6:$H$89,"&gt;="&amp;Sales!AW$3)/12)),AV12),IF(YEAR(AW$3)=YEAR(Headcount!$R$4),IF((AW$5=2),((SUMIFS(Headcount!$R$6:$R$89,Headcount!$F$6:$F$89,"bi",Headcount!$H$6:$H$89,"&gt;="&amp;Sales!AW$3)/12)),AV12),"New Year"))))),SUMIF('Dept. Cost Actuals'!$E$7:$E$176,"*salary*",'Dept. Cost Actuals'!BA$1400:BA$1569))</f>
        <v>0</v>
      </c>
      <c r="AX12" s="1139">
        <f>IF(AX$4="forecast",IF(YEAR(AX$3)=YEAR(Headcount!$N$4),((SUMIFS(Headcount!$N$6:$N$89,Headcount!$F$6:$F$89,"bi",Headcount!$H$6:$H$89,"&gt;="&amp;Sales!AX$3)/12)),IF(YEAR(AX$3)=YEAR(Headcount!$O$4),IF((AX$5=2),((SUMIFS(Headcount!$O$6:$O$89,Headcount!$F$6:$F$89,"bi",Headcount!$H$6:$H$89,"&gt;="&amp;Sales!AX$3)/12)),AW12),IF(YEAR(AX$3)=YEAR(Headcount!$P$4),IF((AX$5=2),((SUMIFS(Headcount!$P$6:$P$89,Headcount!$F$6:$F$89,"bi",Headcount!$H$6:$H$89,"&gt;="&amp;Sales!AX$3)/12)),AW12),IF(YEAR(AX$3)=YEAR(Headcount!$Q$4),IF((AX$5=2),((SUMIFS(Headcount!$Q$6:$Q$89,Headcount!$F$6:$F$89,"bi",Headcount!$H$6:$H$89,"&gt;="&amp;Sales!AX$3)/12)),AW12),IF(YEAR(AX$3)=YEAR(Headcount!$R$4),IF((AX$5=2),((SUMIFS(Headcount!$R$6:$R$89,Headcount!$F$6:$F$89,"bi",Headcount!$H$6:$H$89,"&gt;="&amp;Sales!AX$3)/12)),AW12),"New Year"))))),SUMIF('Dept. Cost Actuals'!$E$7:$E$176,"*salary*",'Dept. Cost Actuals'!BB$1400:BB$1569))</f>
        <v>0</v>
      </c>
      <c r="AY12" s="1139">
        <f>IF(AY$4="forecast",IF(YEAR(AY$3)=YEAR(Headcount!$N$4),((SUMIFS(Headcount!$N$6:$N$89,Headcount!$F$6:$F$89,"bi",Headcount!$H$6:$H$89,"&gt;="&amp;Sales!AY$3)/12)),IF(YEAR(AY$3)=YEAR(Headcount!$O$4),IF((AY$5=2),((SUMIFS(Headcount!$O$6:$O$89,Headcount!$F$6:$F$89,"bi",Headcount!$H$6:$H$89,"&gt;="&amp;Sales!AY$3)/12)),AX12),IF(YEAR(AY$3)=YEAR(Headcount!$P$4),IF((AY$5=2),((SUMIFS(Headcount!$P$6:$P$89,Headcount!$F$6:$F$89,"bi",Headcount!$H$6:$H$89,"&gt;="&amp;Sales!AY$3)/12)),AX12),IF(YEAR(AY$3)=YEAR(Headcount!$Q$4),IF((AY$5=2),((SUMIFS(Headcount!$Q$6:$Q$89,Headcount!$F$6:$F$89,"bi",Headcount!$H$6:$H$89,"&gt;="&amp;Sales!AY$3)/12)),AX12),IF(YEAR(AY$3)=YEAR(Headcount!$R$4),IF((AY$5=2),((SUMIFS(Headcount!$R$6:$R$89,Headcount!$F$6:$F$89,"bi",Headcount!$H$6:$H$89,"&gt;="&amp;Sales!AY$3)/12)),AX12),"New Year"))))),SUMIF('Dept. Cost Actuals'!$E$7:$E$176,"*salary*",'Dept. Cost Actuals'!BC$1400:BC$1569))</f>
        <v>0</v>
      </c>
      <c r="AZ12" s="1139">
        <f>IF(AZ$4="forecast",IF(YEAR(AZ$3)=YEAR(Headcount!$N$4),((SUMIFS(Headcount!$N$6:$N$89,Headcount!$F$6:$F$89,"bi",Headcount!$H$6:$H$89,"&gt;="&amp;Sales!AZ$3)/12)),IF(YEAR(AZ$3)=YEAR(Headcount!$O$4),IF((AZ$5=2),((SUMIFS(Headcount!$O$6:$O$89,Headcount!$F$6:$F$89,"bi",Headcount!$H$6:$H$89,"&gt;="&amp;Sales!AZ$3)/12)),AY12),IF(YEAR(AZ$3)=YEAR(Headcount!$P$4),IF((AZ$5=2),((SUMIFS(Headcount!$P$6:$P$89,Headcount!$F$6:$F$89,"bi",Headcount!$H$6:$H$89,"&gt;="&amp;Sales!AZ$3)/12)),AY12),IF(YEAR(AZ$3)=YEAR(Headcount!$Q$4),IF((AZ$5=2),((SUMIFS(Headcount!$Q$6:$Q$89,Headcount!$F$6:$F$89,"bi",Headcount!$H$6:$H$89,"&gt;="&amp;Sales!AZ$3)/12)),AY12),IF(YEAR(AZ$3)=YEAR(Headcount!$R$4),IF((AZ$5=2),((SUMIFS(Headcount!$R$6:$R$89,Headcount!$F$6:$F$89,"bi",Headcount!$H$6:$H$89,"&gt;="&amp;Sales!AZ$3)/12)),AY12),"New Year"))))),SUMIF('Dept. Cost Actuals'!$E$7:$E$176,"*salary*",'Dept. Cost Actuals'!BD$1400:BD$1569))</f>
        <v>0</v>
      </c>
      <c r="BA12" s="1139">
        <f>IF(BA$4="forecast",IF(YEAR(BA$3)=YEAR(Headcount!$N$4),((SUMIFS(Headcount!$N$6:$N$89,Headcount!$F$6:$F$89,"bi",Headcount!$H$6:$H$89,"&gt;="&amp;Sales!BA$3)/12)),IF(YEAR(BA$3)=YEAR(Headcount!$O$4),IF((BA$5=2),((SUMIFS(Headcount!$O$6:$O$89,Headcount!$F$6:$F$89,"bi",Headcount!$H$6:$H$89,"&gt;="&amp;Sales!BA$3)/12)),AZ12),IF(YEAR(BA$3)=YEAR(Headcount!$P$4),IF((BA$5=2),((SUMIFS(Headcount!$P$6:$P$89,Headcount!$F$6:$F$89,"bi",Headcount!$H$6:$H$89,"&gt;="&amp;Sales!BA$3)/12)),AZ12),IF(YEAR(BA$3)=YEAR(Headcount!$Q$4),IF((BA$5=2),((SUMIFS(Headcount!$Q$6:$Q$89,Headcount!$F$6:$F$89,"bi",Headcount!$H$6:$H$89,"&gt;="&amp;Sales!BA$3)/12)),AZ12),IF(YEAR(BA$3)=YEAR(Headcount!$R$4),IF((BA$5=2),((SUMIFS(Headcount!$R$6:$R$89,Headcount!$F$6:$F$89,"bi",Headcount!$H$6:$H$89,"&gt;="&amp;Sales!BA$3)/12)),AZ12),"New Year"))))),SUMIF('Dept. Cost Actuals'!$E$7:$E$176,"*salary*",'Dept. Cost Actuals'!BE$1400:BE$1569))</f>
        <v>0</v>
      </c>
      <c r="BB12" s="1139">
        <f>IF(BB$4="forecast",IF(YEAR(BB$3)=YEAR(Headcount!$N$4),((SUMIFS(Headcount!$N$6:$N$89,Headcount!$F$6:$F$89,"bi",Headcount!$H$6:$H$89,"&gt;="&amp;Sales!BB$3)/12)),IF(YEAR(BB$3)=YEAR(Headcount!$O$4),IF((BB$5=2),((SUMIFS(Headcount!$O$6:$O$89,Headcount!$F$6:$F$89,"bi",Headcount!$H$6:$H$89,"&gt;="&amp;Sales!BB$3)/12)),BA12),IF(YEAR(BB$3)=YEAR(Headcount!$P$4),IF((BB$5=2),((SUMIFS(Headcount!$P$6:$P$89,Headcount!$F$6:$F$89,"bi",Headcount!$H$6:$H$89,"&gt;="&amp;Sales!BB$3)/12)),BA12),IF(YEAR(BB$3)=YEAR(Headcount!$Q$4),IF((BB$5=2),((SUMIFS(Headcount!$Q$6:$Q$89,Headcount!$F$6:$F$89,"bi",Headcount!$H$6:$H$89,"&gt;="&amp;Sales!BB$3)/12)),BA12),IF(YEAR(BB$3)=YEAR(Headcount!$R$4),IF((BB$5=2),((SUMIFS(Headcount!$R$6:$R$89,Headcount!$F$6:$F$89,"bi",Headcount!$H$6:$H$89,"&gt;="&amp;Sales!BB$3)/12)),BA12),"New Year"))))),SUMIF('Dept. Cost Actuals'!$E$7:$E$176,"*salary*",'Dept. Cost Actuals'!BF$1400:BF$1569))</f>
        <v>0</v>
      </c>
      <c r="BC12" s="1139">
        <f>IF(BC$4="forecast",IF(YEAR(BC$3)=YEAR(Headcount!$N$4),((SUMIFS(Headcount!$N$6:$N$89,Headcount!$F$6:$F$89,"bi",Headcount!$H$6:$H$89,"&gt;="&amp;Sales!BC$3)/12)),IF(YEAR(BC$3)=YEAR(Headcount!$O$4),IF((BC$5=2),((SUMIFS(Headcount!$O$6:$O$89,Headcount!$F$6:$F$89,"bi",Headcount!$H$6:$H$89,"&gt;="&amp;Sales!BC$3)/12)),BB12),IF(YEAR(BC$3)=YEAR(Headcount!$P$4),IF((BC$5=2),((SUMIFS(Headcount!$P$6:$P$89,Headcount!$F$6:$F$89,"bi",Headcount!$H$6:$H$89,"&gt;="&amp;Sales!BC$3)/12)),BB12),IF(YEAR(BC$3)=YEAR(Headcount!$Q$4),IF((BC$5=2),((SUMIFS(Headcount!$Q$6:$Q$89,Headcount!$F$6:$F$89,"bi",Headcount!$H$6:$H$89,"&gt;="&amp;Sales!BC$3)/12)),BB12),IF(YEAR(BC$3)=YEAR(Headcount!$R$4),IF((BC$5=2),((SUMIFS(Headcount!$R$6:$R$89,Headcount!$F$6:$F$89,"bi",Headcount!$H$6:$H$89,"&gt;="&amp;Sales!BC$3)/12)),BB12),"New Year"))))),SUMIF('Dept. Cost Actuals'!$E$7:$E$176,"*salary*",'Dept. Cost Actuals'!BG$1400:BG$1569))</f>
        <v>0</v>
      </c>
      <c r="BD12" s="1139">
        <f>IF(BD$4="forecast",IF(YEAR(BD$3)=YEAR(Headcount!$N$4),((SUMIFS(Headcount!$N$6:$N$89,Headcount!$F$6:$F$89,"bi",Headcount!$H$6:$H$89,"&gt;="&amp;Sales!BD$3)/12)),IF(YEAR(BD$3)=YEAR(Headcount!$O$4),IF((BD$5=2),((SUMIFS(Headcount!$O$6:$O$89,Headcount!$F$6:$F$89,"bi",Headcount!$H$6:$H$89,"&gt;="&amp;Sales!BD$3)/12)),BC12),IF(YEAR(BD$3)=YEAR(Headcount!$P$4),IF((BD$5=2),((SUMIFS(Headcount!$P$6:$P$89,Headcount!$F$6:$F$89,"bi",Headcount!$H$6:$H$89,"&gt;="&amp;Sales!BD$3)/12)),BC12),IF(YEAR(BD$3)=YEAR(Headcount!$Q$4),IF((BD$5=2),((SUMIFS(Headcount!$Q$6:$Q$89,Headcount!$F$6:$F$89,"bi",Headcount!$H$6:$H$89,"&gt;="&amp;Sales!BD$3)/12)),BC12),IF(YEAR(BD$3)=YEAR(Headcount!$R$4),IF((BD$5=2),((SUMIFS(Headcount!$R$6:$R$89,Headcount!$F$6:$F$89,"bi",Headcount!$H$6:$H$89,"&gt;="&amp;Sales!BD$3)/12)),BC12),"New Year"))))),SUMIF('Dept. Cost Actuals'!$E$7:$E$176,"*salary*",'Dept. Cost Actuals'!BH$1400:BH$1569))</f>
        <v>0</v>
      </c>
      <c r="BE12" s="1139">
        <f>IF(BE$4="forecast",IF(YEAR(BE$3)=YEAR(Headcount!$N$4),((SUMIFS(Headcount!$N$6:$N$89,Headcount!$F$6:$F$89,"bi",Headcount!$H$6:$H$89,"&gt;="&amp;Sales!BE$3)/12)),IF(YEAR(BE$3)=YEAR(Headcount!$O$4),IF((BE$5=2),((SUMIFS(Headcount!$O$6:$O$89,Headcount!$F$6:$F$89,"bi",Headcount!$H$6:$H$89,"&gt;="&amp;Sales!BE$3)/12)),BD12),IF(YEAR(BE$3)=YEAR(Headcount!$P$4),IF((BE$5=2),((SUMIFS(Headcount!$P$6:$P$89,Headcount!$F$6:$F$89,"bi",Headcount!$H$6:$H$89,"&gt;="&amp;Sales!BE$3)/12)),BD12),IF(YEAR(BE$3)=YEAR(Headcount!$Q$4),IF((BE$5=2),((SUMIFS(Headcount!$Q$6:$Q$89,Headcount!$F$6:$F$89,"bi",Headcount!$H$6:$H$89,"&gt;="&amp;Sales!BE$3)/12)),BD12),IF(YEAR(BE$3)=YEAR(Headcount!$R$4),IF((BE$5=2),((SUMIFS(Headcount!$R$6:$R$89,Headcount!$F$6:$F$89,"bi",Headcount!$H$6:$H$89,"&gt;="&amp;Sales!BE$3)/12)),BD12),"New Year"))))),SUMIF('Dept. Cost Actuals'!$E$7:$E$176,"*salary*",'Dept. Cost Actuals'!BI$1400:BI$1569))</f>
        <v>0</v>
      </c>
      <c r="BF12" s="1139">
        <f>IF(BF$4="forecast",IF(YEAR(BF$3)=YEAR(Headcount!$N$4),((SUMIFS(Headcount!$N$6:$N$89,Headcount!$F$6:$F$89,"bi",Headcount!$H$6:$H$89,"&gt;="&amp;Sales!BF$3)/12)),IF(YEAR(BF$3)=YEAR(Headcount!$O$4),IF((BF$5=2),((SUMIFS(Headcount!$O$6:$O$89,Headcount!$F$6:$F$89,"bi",Headcount!$H$6:$H$89,"&gt;="&amp;Sales!BF$3)/12)),BE12),IF(YEAR(BF$3)=YEAR(Headcount!$P$4),IF((BF$5=2),((SUMIFS(Headcount!$P$6:$P$89,Headcount!$F$6:$F$89,"bi",Headcount!$H$6:$H$89,"&gt;="&amp;Sales!BF$3)/12)),BE12),IF(YEAR(BF$3)=YEAR(Headcount!$Q$4),IF((BF$5=2),((SUMIFS(Headcount!$Q$6:$Q$89,Headcount!$F$6:$F$89,"bi",Headcount!$H$6:$H$89,"&gt;="&amp;Sales!BF$3)/12)),BE12),IF(YEAR(BF$3)=YEAR(Headcount!$R$4),IF((BF$5=2),((SUMIFS(Headcount!$R$6:$R$89,Headcount!$F$6:$F$89,"bi",Headcount!$H$6:$H$89,"&gt;="&amp;Sales!BF$3)/12)),BE12),"New Year"))))),SUMIF('Dept. Cost Actuals'!$E$7:$E$176,"*salary*",'Dept. Cost Actuals'!BJ$1400:BJ$1569))</f>
        <v>0</v>
      </c>
      <c r="BG12" s="1139">
        <f>IF(BG$4="forecast",IF(YEAR(BG$3)=YEAR(Headcount!$N$4),((SUMIFS(Headcount!$N$6:$N$89,Headcount!$F$6:$F$89,"bi",Headcount!$H$6:$H$89,"&gt;="&amp;Sales!BG$3)/12)),IF(YEAR(BG$3)=YEAR(Headcount!$O$4),IF((BG$5=2),((SUMIFS(Headcount!$O$6:$O$89,Headcount!$F$6:$F$89,"bi",Headcount!$H$6:$H$89,"&gt;="&amp;Sales!BG$3)/12)),BF12),IF(YEAR(BG$3)=YEAR(Headcount!$P$4),IF((BG$5=2),((SUMIFS(Headcount!$P$6:$P$89,Headcount!$F$6:$F$89,"bi",Headcount!$H$6:$H$89,"&gt;="&amp;Sales!BG$3)/12)),BF12),IF(YEAR(BG$3)=YEAR(Headcount!$Q$4),IF((BG$5=2),((SUMIFS(Headcount!$Q$6:$Q$89,Headcount!$F$6:$F$89,"bi",Headcount!$H$6:$H$89,"&gt;="&amp;Sales!BG$3)/12)),BF12),IF(YEAR(BG$3)=YEAR(Headcount!$R$4),IF((BG$5=2),((SUMIFS(Headcount!$R$6:$R$89,Headcount!$F$6:$F$89,"bi",Headcount!$H$6:$H$89,"&gt;="&amp;Sales!BG$3)/12)),BF12),"New Year"))))),SUMIF('Dept. Cost Actuals'!$E$7:$E$176,"*salary*",'Dept. Cost Actuals'!BK$1400:BK$1569))</f>
        <v>0</v>
      </c>
      <c r="BH12" s="1139">
        <f>IF(BH$4="forecast",IF(YEAR(BH$3)=YEAR(Headcount!$N$4),((SUMIFS(Headcount!$N$6:$N$89,Headcount!$F$6:$F$89,"bi",Headcount!$H$6:$H$89,"&gt;="&amp;Sales!BH$3)/12)),IF(YEAR(BH$3)=YEAR(Headcount!$O$4),IF((BH$5=2),((SUMIFS(Headcount!$O$6:$O$89,Headcount!$F$6:$F$89,"bi",Headcount!$H$6:$H$89,"&gt;="&amp;Sales!BH$3)/12)),BG12),IF(YEAR(BH$3)=YEAR(Headcount!$P$4),IF((BH$5=2),((SUMIFS(Headcount!$P$6:$P$89,Headcount!$F$6:$F$89,"bi",Headcount!$H$6:$H$89,"&gt;="&amp;Sales!BH$3)/12)),BG12),IF(YEAR(BH$3)=YEAR(Headcount!$Q$4),IF((BH$5=2),((SUMIFS(Headcount!$Q$6:$Q$89,Headcount!$F$6:$F$89,"bi",Headcount!$H$6:$H$89,"&gt;="&amp;Sales!BH$3)/12)),BG12),IF(YEAR(BH$3)=YEAR(Headcount!$R$4),IF((BH$5=2),((SUMIFS(Headcount!$R$6:$R$89,Headcount!$F$6:$F$89,"bi",Headcount!$H$6:$H$89,"&gt;="&amp;Sales!BH$3)/12)),BG12),"New Year"))))),SUMIF('Dept. Cost Actuals'!$E$7:$E$176,"*salary*",'Dept. Cost Actuals'!BL$1400:BL$1569))</f>
        <v>0</v>
      </c>
      <c r="BI12" s="1139">
        <f>IF(BI$4="forecast",IF(YEAR(BI$3)=YEAR(Headcount!$N$4),((SUMIFS(Headcount!$N$6:$N$89,Headcount!$F$6:$F$89,"bi",Headcount!$H$6:$H$89,"&gt;="&amp;Sales!BI$3)/12)),IF(YEAR(BI$3)=YEAR(Headcount!$O$4),IF((BI$5=2),((SUMIFS(Headcount!$O$6:$O$89,Headcount!$F$6:$F$89,"bi",Headcount!$H$6:$H$89,"&gt;="&amp;Sales!BI$3)/12)),BH12),IF(YEAR(BI$3)=YEAR(Headcount!$P$4),IF((BI$5=2),((SUMIFS(Headcount!$P$6:$P$89,Headcount!$F$6:$F$89,"bi",Headcount!$H$6:$H$89,"&gt;="&amp;Sales!BI$3)/12)),BH12),IF(YEAR(BI$3)=YEAR(Headcount!$Q$4),IF((BI$5=2),((SUMIFS(Headcount!$Q$6:$Q$89,Headcount!$F$6:$F$89,"bi",Headcount!$H$6:$H$89,"&gt;="&amp;Sales!BI$3)/12)),BH12),IF(YEAR(BI$3)=YEAR(Headcount!$R$4),IF((BI$5=2),((SUMIFS(Headcount!$R$6:$R$89,Headcount!$F$6:$F$89,"bi",Headcount!$H$6:$H$89,"&gt;="&amp;Sales!BI$3)/12)),BH12),"New Year"))))),SUMIF('Dept. Cost Actuals'!$E$7:$E$176,"*salary*",'Dept. Cost Actuals'!BM$1400:BM$1569))</f>
        <v>0</v>
      </c>
      <c r="BJ12" s="1139">
        <f>IF(BJ$4="forecast",IF(YEAR(BJ$3)=YEAR(Headcount!$N$4),((SUMIFS(Headcount!$N$6:$N$89,Headcount!$F$6:$F$89,"bi",Headcount!$H$6:$H$89,"&gt;="&amp;Sales!BJ$3)/12)),IF(YEAR(BJ$3)=YEAR(Headcount!$O$4),IF((BJ$5=2),((SUMIFS(Headcount!$O$6:$O$89,Headcount!$F$6:$F$89,"bi",Headcount!$H$6:$H$89,"&gt;="&amp;Sales!BJ$3)/12)),BI12),IF(YEAR(BJ$3)=YEAR(Headcount!$P$4),IF((BJ$5=2),((SUMIFS(Headcount!$P$6:$P$89,Headcount!$F$6:$F$89,"bi",Headcount!$H$6:$H$89,"&gt;="&amp;Sales!BJ$3)/12)),BI12),IF(YEAR(BJ$3)=YEAR(Headcount!$Q$4),IF((BJ$5=2),((SUMIFS(Headcount!$Q$6:$Q$89,Headcount!$F$6:$F$89,"bi",Headcount!$H$6:$H$89,"&gt;="&amp;Sales!BJ$3)/12)),BI12),IF(YEAR(BJ$3)=YEAR(Headcount!$R$4),IF((BJ$5=2),((SUMIFS(Headcount!$R$6:$R$89,Headcount!$F$6:$F$89,"bi",Headcount!$H$6:$H$89,"&gt;="&amp;Sales!BJ$3)/12)),BI12),"New Year"))))),SUMIF('Dept. Cost Actuals'!$E$7:$E$176,"*salary*",'Dept. Cost Actuals'!BN$1400:BN$1569))</f>
        <v>0</v>
      </c>
      <c r="BK12" s="1139">
        <f>IF(BK$4="forecast",IF(YEAR(BK$3)=YEAR(Headcount!$N$4),((SUMIFS(Headcount!$N$6:$N$89,Headcount!$F$6:$F$89,"bi",Headcount!$H$6:$H$89,"&gt;="&amp;Sales!BK$3)/12)),IF(YEAR(BK$3)=YEAR(Headcount!$O$4),IF((BK$5=2),((SUMIFS(Headcount!$O$6:$O$89,Headcount!$F$6:$F$89,"bi",Headcount!$H$6:$H$89,"&gt;="&amp;Sales!BK$3)/12)),BJ12),IF(YEAR(BK$3)=YEAR(Headcount!$P$4),IF((BK$5=2),((SUMIFS(Headcount!$P$6:$P$89,Headcount!$F$6:$F$89,"bi",Headcount!$H$6:$H$89,"&gt;="&amp;Sales!BK$3)/12)),BJ12),IF(YEAR(BK$3)=YEAR(Headcount!$Q$4),IF((BK$5=2),((SUMIFS(Headcount!$Q$6:$Q$89,Headcount!$F$6:$F$89,"bi",Headcount!$H$6:$H$89,"&gt;="&amp;Sales!BK$3)/12)),BJ12),IF(YEAR(BK$3)=YEAR(Headcount!$R$4),IF((BK$5=2),((SUMIFS(Headcount!$R$6:$R$89,Headcount!$F$6:$F$89,"bi",Headcount!$H$6:$H$89,"&gt;="&amp;Sales!BK$3)/12)),BJ12),"New Year"))))),SUMIF('Dept. Cost Actuals'!$E$7:$E$176,"*salary*",'Dept. Cost Actuals'!BO$1400:BO$1569))</f>
        <v>0</v>
      </c>
      <c r="BL12" s="1139">
        <f>IF(BL$4="forecast",IF(YEAR(BL$3)=YEAR(Headcount!$N$4),((SUMIFS(Headcount!$N$6:$N$89,Headcount!$F$6:$F$89,"bi",Headcount!$H$6:$H$89,"&gt;="&amp;Sales!BL$3)/12)),IF(YEAR(BL$3)=YEAR(Headcount!$O$4),IF((BL$5=2),((SUMIFS(Headcount!$O$6:$O$89,Headcount!$F$6:$F$89,"bi",Headcount!$H$6:$H$89,"&gt;="&amp;Sales!BL$3)/12)),BK12),IF(YEAR(BL$3)=YEAR(Headcount!$P$4),IF((BL$5=2),((SUMIFS(Headcount!$P$6:$P$89,Headcount!$F$6:$F$89,"bi",Headcount!$H$6:$H$89,"&gt;="&amp;Sales!BL$3)/12)),BK12),IF(YEAR(BL$3)=YEAR(Headcount!$Q$4),IF((BL$5=2),((SUMIFS(Headcount!$Q$6:$Q$89,Headcount!$F$6:$F$89,"bi",Headcount!$H$6:$H$89,"&gt;="&amp;Sales!BL$3)/12)),BK12),IF(YEAR(BL$3)=YEAR(Headcount!$R$4),IF((BL$5=2),((SUMIFS(Headcount!$R$6:$R$89,Headcount!$F$6:$F$89,"bi",Headcount!$H$6:$H$89,"&gt;="&amp;Sales!BL$3)/12)),BK12),"New Year"))))),SUMIF('Dept. Cost Actuals'!$E$7:$E$176,"*salary*",'Dept. Cost Actuals'!BP$1400:BP$1569))</f>
        <v>0</v>
      </c>
      <c r="BM12" s="1139">
        <f>IF(BM$4="forecast",IF(YEAR(BM$3)=YEAR(Headcount!$N$4),((SUMIFS(Headcount!$N$6:$N$89,Headcount!$F$6:$F$89,"bi",Headcount!$H$6:$H$89,"&gt;="&amp;Sales!BM$3)/12)),IF(YEAR(BM$3)=YEAR(Headcount!$O$4),IF((BM$5=2),((SUMIFS(Headcount!$O$6:$O$89,Headcount!$F$6:$F$89,"bi",Headcount!$H$6:$H$89,"&gt;="&amp;Sales!BM$3)/12)),BL12),IF(YEAR(BM$3)=YEAR(Headcount!$P$4),IF((BM$5=2),((SUMIFS(Headcount!$P$6:$P$89,Headcount!$F$6:$F$89,"bi",Headcount!$H$6:$H$89,"&gt;="&amp;Sales!BM$3)/12)),BL12),IF(YEAR(BM$3)=YEAR(Headcount!$Q$4),IF((BM$5=2),((SUMIFS(Headcount!$Q$6:$Q$89,Headcount!$F$6:$F$89,"bi",Headcount!$H$6:$H$89,"&gt;="&amp;Sales!BM$3)/12)),BL12),IF(YEAR(BM$3)=YEAR(Headcount!$R$4),IF((BM$5=2),((SUMIFS(Headcount!$R$6:$R$89,Headcount!$F$6:$F$89,"bi",Headcount!$H$6:$H$89,"&gt;="&amp;Sales!BM$3)/12)),BL12),"New Year"))))),SUMIF('Dept. Cost Actuals'!$E$7:$E$176,"*salary*",'Dept. Cost Actuals'!BQ$1400:BQ$1569))</f>
        <v>0</v>
      </c>
      <c r="BN12" s="1139">
        <f>IF(BN$4="forecast",IF(YEAR(BN$3)=YEAR(Headcount!$N$4),((SUMIFS(Headcount!$N$6:$N$89,Headcount!$F$6:$F$89,"bi",Headcount!$H$6:$H$89,"&gt;="&amp;Sales!BN$3)/12)),IF(YEAR(BN$3)=YEAR(Headcount!$O$4),IF((BN$5=2),((SUMIFS(Headcount!$O$6:$O$89,Headcount!$F$6:$F$89,"bi",Headcount!$H$6:$H$89,"&gt;="&amp;Sales!BN$3)/12)),BM12),IF(YEAR(BN$3)=YEAR(Headcount!$P$4),IF((BN$5=2),((SUMIFS(Headcount!$P$6:$P$89,Headcount!$F$6:$F$89,"bi",Headcount!$H$6:$H$89,"&gt;="&amp;Sales!BN$3)/12)),BM12),IF(YEAR(BN$3)=YEAR(Headcount!$Q$4),IF((BN$5=2),((SUMIFS(Headcount!$Q$6:$Q$89,Headcount!$F$6:$F$89,"bi",Headcount!$H$6:$H$89,"&gt;="&amp;Sales!BN$3)/12)),BM12),IF(YEAR(BN$3)=YEAR(Headcount!$R$4),IF((BN$5=2),((SUMIFS(Headcount!$R$6:$R$89,Headcount!$F$6:$F$89,"bi",Headcount!$H$6:$H$89,"&gt;="&amp;Sales!BN$3)/12)),BM12),"New Year"))))),SUMIF('Dept. Cost Actuals'!$E$7:$E$176,"*salary*",'Dept. Cost Actuals'!BR$1400:BR$1569))</f>
        <v>0</v>
      </c>
      <c r="BO12" s="1139">
        <f>IF(BO$4="forecast",IF(YEAR(BO$3)=YEAR(Headcount!$N$4),((SUMIFS(Headcount!$N$6:$N$89,Headcount!$F$6:$F$89,"bi",Headcount!$H$6:$H$89,"&gt;="&amp;Sales!BO$3)/12)),IF(YEAR(BO$3)=YEAR(Headcount!$O$4),IF((BO$5=2),((SUMIFS(Headcount!$O$6:$O$89,Headcount!$F$6:$F$89,"bi",Headcount!$H$6:$H$89,"&gt;="&amp;Sales!BO$3)/12)),BN12),IF(YEAR(BO$3)=YEAR(Headcount!$P$4),IF((BO$5=2),((SUMIFS(Headcount!$P$6:$P$89,Headcount!$F$6:$F$89,"bi",Headcount!$H$6:$H$89,"&gt;="&amp;Sales!BO$3)/12)),BN12),IF(YEAR(BO$3)=YEAR(Headcount!$Q$4),IF((BO$5=2),((SUMIFS(Headcount!$Q$6:$Q$89,Headcount!$F$6:$F$89,"bi",Headcount!$H$6:$H$89,"&gt;="&amp;Sales!BO$3)/12)),BN12),IF(YEAR(BO$3)=YEAR(Headcount!$R$4),IF((BO$5=2),((SUMIFS(Headcount!$R$6:$R$89,Headcount!$F$6:$F$89,"bi",Headcount!$H$6:$H$89,"&gt;="&amp;Sales!BO$3)/12)),BN12),"New Year"))))),SUMIF('Dept. Cost Actuals'!$E$7:$E$176,"*salary*",'Dept. Cost Actuals'!BS$1400:BS$1569))</f>
        <v>0</v>
      </c>
      <c r="BP12" s="1139">
        <f>IF(BP$4="forecast",IF(YEAR(BP$3)=YEAR(Headcount!$N$4),((SUMIFS(Headcount!$N$6:$N$89,Headcount!$F$6:$F$89,"bi",Headcount!$H$6:$H$89,"&gt;="&amp;Sales!BP$3)/12)),IF(YEAR(BP$3)=YEAR(Headcount!$O$4),IF((BP$5=2),((SUMIFS(Headcount!$O$6:$O$89,Headcount!$F$6:$F$89,"bi",Headcount!$H$6:$H$89,"&gt;="&amp;Sales!BP$3)/12)),BO12),IF(YEAR(BP$3)=YEAR(Headcount!$P$4),IF((BP$5=2),((SUMIFS(Headcount!$P$6:$P$89,Headcount!$F$6:$F$89,"bi",Headcount!$H$6:$H$89,"&gt;="&amp;Sales!BP$3)/12)),BO12),IF(YEAR(BP$3)=YEAR(Headcount!$Q$4),IF((BP$5=2),((SUMIFS(Headcount!$Q$6:$Q$89,Headcount!$F$6:$F$89,"bi",Headcount!$H$6:$H$89,"&gt;="&amp;Sales!BP$3)/12)),BO12),IF(YEAR(BP$3)=YEAR(Headcount!$R$4),IF((BP$5=2),((SUMIFS(Headcount!$R$6:$R$89,Headcount!$F$6:$F$89,"bi",Headcount!$H$6:$H$89,"&gt;="&amp;Sales!BP$3)/12)),BO12),"New Year"))))),SUMIF('Dept. Cost Actuals'!$E$7:$E$176,"*salary*",'Dept. Cost Actuals'!BT$1400:BT$1569))</f>
        <v>0</v>
      </c>
      <c r="BQ12" s="1139">
        <f>IF(BQ$4="forecast",IF(YEAR(BQ$3)=YEAR(Headcount!$N$4),((SUMIFS(Headcount!$N$6:$N$89,Headcount!$F$6:$F$89,"bi",Headcount!$H$6:$H$89,"&gt;="&amp;Sales!BQ$3)/12)),IF(YEAR(BQ$3)=YEAR(Headcount!$O$4),IF((BQ$5=2),((SUMIFS(Headcount!$O$6:$O$89,Headcount!$F$6:$F$89,"bi",Headcount!$H$6:$H$89,"&gt;="&amp;Sales!BQ$3)/12)),BP12),IF(YEAR(BQ$3)=YEAR(Headcount!$P$4),IF((BQ$5=2),((SUMIFS(Headcount!$P$6:$P$89,Headcount!$F$6:$F$89,"bi",Headcount!$H$6:$H$89,"&gt;="&amp;Sales!BQ$3)/12)),BP12),IF(YEAR(BQ$3)=YEAR(Headcount!$Q$4),IF((BQ$5=2),((SUMIFS(Headcount!$Q$6:$Q$89,Headcount!$F$6:$F$89,"bi",Headcount!$H$6:$H$89,"&gt;="&amp;Sales!BQ$3)/12)),BP12),IF(YEAR(BQ$3)=YEAR(Headcount!$R$4),IF((BQ$5=2),((SUMIFS(Headcount!$R$6:$R$89,Headcount!$F$6:$F$89,"bi",Headcount!$H$6:$H$89,"&gt;="&amp;Sales!BQ$3)/12)),BP12),"New Year"))))),SUMIF('Dept. Cost Actuals'!$E$7:$E$176,"*salary*",'Dept. Cost Actuals'!BU$1400:BU$1569))</f>
        <v>0</v>
      </c>
      <c r="BR12" s="1139">
        <f>IF(BR$4="forecast",IF(YEAR(BR$3)=YEAR(Headcount!$N$4),((SUMIFS(Headcount!$N$6:$N$89,Headcount!$F$6:$F$89,"bi",Headcount!$H$6:$H$89,"&gt;="&amp;Sales!BR$3)/12)),IF(YEAR(BR$3)=YEAR(Headcount!$O$4),IF((BR$5=2),((SUMIFS(Headcount!$O$6:$O$89,Headcount!$F$6:$F$89,"bi",Headcount!$H$6:$H$89,"&gt;="&amp;Sales!BR$3)/12)),BQ12),IF(YEAR(BR$3)=YEAR(Headcount!$P$4),IF((BR$5=2),((SUMIFS(Headcount!$P$6:$P$89,Headcount!$F$6:$F$89,"bi",Headcount!$H$6:$H$89,"&gt;="&amp;Sales!BR$3)/12)),BQ12),IF(YEAR(BR$3)=YEAR(Headcount!$Q$4),IF((BR$5=2),((SUMIFS(Headcount!$Q$6:$Q$89,Headcount!$F$6:$F$89,"bi",Headcount!$H$6:$H$89,"&gt;="&amp;Sales!BR$3)/12)),BQ12),IF(YEAR(BR$3)=YEAR(Headcount!$R$4),IF((BR$5=2),((SUMIFS(Headcount!$R$6:$R$89,Headcount!$F$6:$F$89,"bi",Headcount!$H$6:$H$89,"&gt;="&amp;Sales!BR$3)/12)),BQ12),"New Year"))))),SUMIF('Dept. Cost Actuals'!$E$7:$E$176,"*salary*",'Dept. Cost Actuals'!BV$1400:BV$1569))</f>
        <v>0</v>
      </c>
      <c r="BS12" s="1139">
        <f>IF(BS$4="forecast",IF(YEAR(BS$3)=YEAR(Headcount!$N$4),((SUMIFS(Headcount!$N$6:$N$89,Headcount!$F$6:$F$89,"bi",Headcount!$H$6:$H$89,"&gt;="&amp;Sales!BS$3)/12)),IF(YEAR(BS$3)=YEAR(Headcount!$O$4),IF((BS$5=2),((SUMIFS(Headcount!$O$6:$O$89,Headcount!$F$6:$F$89,"bi",Headcount!$H$6:$H$89,"&gt;="&amp;Sales!BS$3)/12)),BR12),IF(YEAR(BS$3)=YEAR(Headcount!$P$4),IF((BS$5=2),((SUMIFS(Headcount!$P$6:$P$89,Headcount!$F$6:$F$89,"bi",Headcount!$H$6:$H$89,"&gt;="&amp;Sales!BS$3)/12)),BR12),IF(YEAR(BS$3)=YEAR(Headcount!$Q$4),IF((BS$5=2),((SUMIFS(Headcount!$Q$6:$Q$89,Headcount!$F$6:$F$89,"bi",Headcount!$H$6:$H$89,"&gt;="&amp;Sales!BS$3)/12)),BR12),IF(YEAR(BS$3)=YEAR(Headcount!$R$4),IF((BS$5=2),((SUMIFS(Headcount!$R$6:$R$89,Headcount!$F$6:$F$89,"bi",Headcount!$H$6:$H$89,"&gt;="&amp;Sales!BS$3)/12)),BR12),"New Year"))))),SUMIF('Dept. Cost Actuals'!$E$7:$E$176,"*salary*",'Dept. Cost Actuals'!BW$1400:BW$1569))</f>
        <v>0</v>
      </c>
      <c r="BT12" s="1139">
        <f>IF(BT$4="forecast",IF(YEAR(BT$3)=YEAR(Headcount!$N$4),((SUMIFS(Headcount!$N$6:$N$89,Headcount!$F$6:$F$89,"bi",Headcount!$H$6:$H$89,"&gt;="&amp;Sales!BT$3)/12)),IF(YEAR(BT$3)=YEAR(Headcount!$O$4),IF((BT$5=2),((SUMIFS(Headcount!$O$6:$O$89,Headcount!$F$6:$F$89,"bi",Headcount!$H$6:$H$89,"&gt;="&amp;Sales!BT$3)/12)),BS12),IF(YEAR(BT$3)=YEAR(Headcount!$P$4),IF((BT$5=2),((SUMIFS(Headcount!$P$6:$P$89,Headcount!$F$6:$F$89,"bi",Headcount!$H$6:$H$89,"&gt;="&amp;Sales!BT$3)/12)),BS12),IF(YEAR(BT$3)=YEAR(Headcount!$Q$4),IF((BT$5=2),((SUMIFS(Headcount!$Q$6:$Q$89,Headcount!$F$6:$F$89,"bi",Headcount!$H$6:$H$89,"&gt;="&amp;Sales!BT$3)/12)),BS12),IF(YEAR(BT$3)=YEAR(Headcount!$R$4),IF((BT$5=2),((SUMIFS(Headcount!$R$6:$R$89,Headcount!$F$6:$F$89,"bi",Headcount!$H$6:$H$89,"&gt;="&amp;Sales!BT$3)/12)),BS12),"New Year"))))),SUMIF('Dept. Cost Actuals'!$E$7:$E$176,"*salary*",'Dept. Cost Actuals'!BX$1400:BX$1569))</f>
        <v>0</v>
      </c>
      <c r="BU12" s="1139">
        <f>IF(BU$4="forecast",IF(YEAR(BU$3)=YEAR(Headcount!$N$4),((SUMIFS(Headcount!$N$6:$N$89,Headcount!$F$6:$F$89,"bi",Headcount!$H$6:$H$89,"&gt;="&amp;Sales!BU$3)/12)),IF(YEAR(BU$3)=YEAR(Headcount!$O$4),IF((BU$5=2),((SUMIFS(Headcount!$O$6:$O$89,Headcount!$F$6:$F$89,"bi",Headcount!$H$6:$H$89,"&gt;="&amp;Sales!BU$3)/12)),BT12),IF(YEAR(BU$3)=YEAR(Headcount!$P$4),IF((BU$5=2),((SUMIFS(Headcount!$P$6:$P$89,Headcount!$F$6:$F$89,"bi",Headcount!$H$6:$H$89,"&gt;="&amp;Sales!BU$3)/12)),BT12),IF(YEAR(BU$3)=YEAR(Headcount!$Q$4),IF((BU$5=2),((SUMIFS(Headcount!$Q$6:$Q$89,Headcount!$F$6:$F$89,"bi",Headcount!$H$6:$H$89,"&gt;="&amp;Sales!BU$3)/12)),BT12),IF(YEAR(BU$3)=YEAR(Headcount!$R$4),IF((BU$5=2),((SUMIFS(Headcount!$R$6:$R$89,Headcount!$F$6:$F$89,"bi",Headcount!$H$6:$H$89,"&gt;="&amp;Sales!BU$3)/12)),BT12),"New Year"))))),SUMIF('Dept. Cost Actuals'!$E$7:$E$176,"*salary*",'Dept. Cost Actuals'!BY$1400:BY$1569))</f>
        <v>0</v>
      </c>
      <c r="BV12" s="1139">
        <f>IF(BV$4="forecast",IF(YEAR(BV$3)=YEAR(Headcount!$N$4),((SUMIFS(Headcount!$N$6:$N$89,Headcount!$F$6:$F$89,"bi",Headcount!$H$6:$H$89,"&gt;="&amp;Sales!BV$3)/12)),IF(YEAR(BV$3)=YEAR(Headcount!$O$4),IF((BV$5=2),((SUMIFS(Headcount!$O$6:$O$89,Headcount!$F$6:$F$89,"bi",Headcount!$H$6:$H$89,"&gt;="&amp;Sales!BV$3)/12)),BU12),IF(YEAR(BV$3)=YEAR(Headcount!$P$4),IF((BV$5=2),((SUMIFS(Headcount!$P$6:$P$89,Headcount!$F$6:$F$89,"bi",Headcount!$H$6:$H$89,"&gt;="&amp;Sales!BV$3)/12)),BU12),IF(YEAR(BV$3)=YEAR(Headcount!$Q$4),IF((BV$5=2),((SUMIFS(Headcount!$Q$6:$Q$89,Headcount!$F$6:$F$89,"bi",Headcount!$H$6:$H$89,"&gt;="&amp;Sales!BV$3)/12)),BU12),IF(YEAR(BV$3)=YEAR(Headcount!$R$4),IF((BV$5=2),((SUMIFS(Headcount!$R$6:$R$89,Headcount!$F$6:$F$89,"bi",Headcount!$H$6:$H$89,"&gt;="&amp;Sales!BV$3)/12)),BU12),"New Year"))))),SUMIF('Dept. Cost Actuals'!$E$7:$E$176,"*salary*",'Dept. Cost Actuals'!BZ$1400:BZ$1569))</f>
        <v>0</v>
      </c>
    </row>
    <row r="13" spans="2:74" x14ac:dyDescent="0.25">
      <c r="B13" s="780" t="s">
        <v>928</v>
      </c>
      <c r="C13" s="668"/>
      <c r="D13" s="668"/>
      <c r="E13" s="668"/>
      <c r="F13" s="668"/>
      <c r="G13" s="668"/>
      <c r="H13" s="668"/>
      <c r="I13" s="668"/>
      <c r="J13" s="668"/>
      <c r="K13" s="668"/>
      <c r="L13" s="668"/>
      <c r="M13" s="668"/>
      <c r="N13" s="668"/>
      <c r="O13" s="668"/>
      <c r="P13" s="668"/>
      <c r="Q13" s="668"/>
      <c r="R13" s="668"/>
      <c r="S13" s="668"/>
      <c r="T13" s="668"/>
      <c r="U13" s="668"/>
      <c r="V13" s="668"/>
      <c r="W13" s="668"/>
      <c r="X13" s="668"/>
      <c r="Y13" s="668"/>
      <c r="Z13" s="668"/>
      <c r="AA13" s="668">
        <f>IF(AA$4="forecast",IF(YEAR(AA$3)=YEAR('New Hires Forecast'!$N$3),((SUMIFS('New Hires Forecast'!$N$5:$N$82,'New Hires Forecast'!$F$5:$F$82,"Exec",'New Hires Forecast'!$H$5:$H$82,"&gt;="&amp;BI!AA$3,'New Hires Forecast'!$G$5:$G$82,"&lt;="&amp;BI!AA$3)/12)),IF(YEAR(AA$3)=YEAR('New Hires Forecast'!$O$3),((SUMIFS('New Hires Forecast'!$O$5:$O$82,'New Hires Forecast'!$F$5:$F$82,"Exec",'New Hires Forecast'!$H$5:$H$82,"&gt;="&amp;BI!AA$3,'New Hires Forecast'!$G$5:$G$82,"&lt;="&amp;BI!AA$3)/12)),IF(YEAR(AA$3)=YEAR('New Hires Forecast'!$P$3),((SUMIFS('New Hires Forecast'!$P$5:$P$82,'New Hires Forecast'!$F$5:$F$82,"Exec",'New Hires Forecast'!$H$5:$H$82,"&gt;="&amp;BI!AA$3,'New Hires Forecast'!$G$5:$G$82,"&lt;="&amp;BI!AA$3)/12)),IF(YEAR(AA$3)=YEAR('New Hires Forecast'!$Q$3),((SUMIFS('New Hires Forecast'!$Q$5:$Q$82,'New Hires Forecast'!$F$5:$F$82,"Exec",'New Hires Forecast'!$H$5:$H$82,"&gt;="&amp;BI!AA$3,'New Hires Forecast'!$G$5:$G$82,"&lt;="&amp;BI!AA$3)/12)),IF(YEAR(AA$3)=YEAR('New Hires Forecast'!$R$3),((SUMIFS('New Hires Forecast'!$R$5:$R$82,'New Hires Forecast'!$F$5:$F$82,"Exec",'New Hires Forecast'!$H$5:$H$82,"&gt;="&amp;BI!AA$3,'New Hires Forecast'!$G$5:$G$82,"&lt;="&amp;BI!AA$3)/12))))))),0)</f>
        <v>0</v>
      </c>
      <c r="AB13" s="668">
        <f>IF(AB$4="forecast",IF(YEAR(AB$3)=YEAR('New Hires Forecast'!$N$3),((SUMIFS('New Hires Forecast'!$N$5:$N$82,'New Hires Forecast'!$F$5:$F$82,"Exec",'New Hires Forecast'!$H$5:$H$82,"&gt;="&amp;BI!AB$3,'New Hires Forecast'!$G$5:$G$82,"&lt;="&amp;BI!AB$3)/12)),IF(YEAR(AB$3)=YEAR('New Hires Forecast'!$O$3),((SUMIFS('New Hires Forecast'!$O$5:$O$82,'New Hires Forecast'!$F$5:$F$82,"Exec",'New Hires Forecast'!$H$5:$H$82,"&gt;="&amp;BI!AB$3,'New Hires Forecast'!$G$5:$G$82,"&lt;="&amp;BI!AB$3)/12)),IF(YEAR(AB$3)=YEAR('New Hires Forecast'!$P$3),((SUMIFS('New Hires Forecast'!$P$5:$P$82,'New Hires Forecast'!$F$5:$F$82,"Exec",'New Hires Forecast'!$H$5:$H$82,"&gt;="&amp;BI!AB$3,'New Hires Forecast'!$G$5:$G$82,"&lt;="&amp;BI!AB$3)/12)),IF(YEAR(AB$3)=YEAR('New Hires Forecast'!$Q$3),((SUMIFS('New Hires Forecast'!$Q$5:$Q$82,'New Hires Forecast'!$F$5:$F$82,"Exec",'New Hires Forecast'!$H$5:$H$82,"&gt;="&amp;BI!AB$3,'New Hires Forecast'!$G$5:$G$82,"&lt;="&amp;BI!AB$3)/12)),IF(YEAR(AB$3)=YEAR('New Hires Forecast'!$R$3),((SUMIFS('New Hires Forecast'!$R$5:$R$82,'New Hires Forecast'!$F$5:$F$82,"Exec",'New Hires Forecast'!$H$5:$H$82,"&gt;="&amp;BI!AB$3,'New Hires Forecast'!$G$5:$G$82,"&lt;="&amp;BI!AB$3)/12))))))),0)</f>
        <v>0</v>
      </c>
      <c r="AC13" s="668">
        <f>IF(AC$4="forecast",IF(YEAR(AC$3)=YEAR('New Hires Forecast'!$N$3),((SUMIFS('New Hires Forecast'!$N$5:$N$82,'New Hires Forecast'!$F$5:$F$82,"Exec",'New Hires Forecast'!$H$5:$H$82,"&gt;="&amp;BI!AC$3,'New Hires Forecast'!$G$5:$G$82,"&lt;="&amp;BI!AC$3)/12)),IF(YEAR(AC$3)=YEAR('New Hires Forecast'!$O$3),((SUMIFS('New Hires Forecast'!$O$5:$O$82,'New Hires Forecast'!$F$5:$F$82,"Exec",'New Hires Forecast'!$H$5:$H$82,"&gt;="&amp;BI!AC$3,'New Hires Forecast'!$G$5:$G$82,"&lt;="&amp;BI!AC$3)/12)),IF(YEAR(AC$3)=YEAR('New Hires Forecast'!$P$3),((SUMIFS('New Hires Forecast'!$P$5:$P$82,'New Hires Forecast'!$F$5:$F$82,"Exec",'New Hires Forecast'!$H$5:$H$82,"&gt;="&amp;BI!AC$3,'New Hires Forecast'!$G$5:$G$82,"&lt;="&amp;BI!AC$3)/12)),IF(YEAR(AC$3)=YEAR('New Hires Forecast'!$Q$3),((SUMIFS('New Hires Forecast'!$Q$5:$Q$82,'New Hires Forecast'!$F$5:$F$82,"Exec",'New Hires Forecast'!$H$5:$H$82,"&gt;="&amp;BI!AC$3,'New Hires Forecast'!$G$5:$G$82,"&lt;="&amp;BI!AC$3)/12)),IF(YEAR(AC$3)=YEAR('New Hires Forecast'!$R$3),((SUMIFS('New Hires Forecast'!$R$5:$R$82,'New Hires Forecast'!$F$5:$F$82,"Exec",'New Hires Forecast'!$H$5:$H$82,"&gt;="&amp;BI!AC$3,'New Hires Forecast'!$G$5:$G$82,"&lt;="&amp;BI!AC$3)/12))))))),0)</f>
        <v>0</v>
      </c>
      <c r="AD13" s="668">
        <f>IF(AD$4="forecast",IF(YEAR(AD$3)=YEAR('New Hires Forecast'!$N$3),((SUMIFS('New Hires Forecast'!$N$5:$N$82,'New Hires Forecast'!$F$5:$F$82,"Exec",'New Hires Forecast'!$H$5:$H$82,"&gt;="&amp;BI!AD$3,'New Hires Forecast'!$G$5:$G$82,"&lt;="&amp;BI!AD$3)/12)),IF(YEAR(AD$3)=YEAR('New Hires Forecast'!$O$3),((SUMIFS('New Hires Forecast'!$O$5:$O$82,'New Hires Forecast'!$F$5:$F$82,"Exec",'New Hires Forecast'!$H$5:$H$82,"&gt;="&amp;BI!AD$3,'New Hires Forecast'!$G$5:$G$82,"&lt;="&amp;BI!AD$3)/12)),IF(YEAR(AD$3)=YEAR('New Hires Forecast'!$P$3),((SUMIFS('New Hires Forecast'!$P$5:$P$82,'New Hires Forecast'!$F$5:$F$82,"Exec",'New Hires Forecast'!$H$5:$H$82,"&gt;="&amp;BI!AD$3,'New Hires Forecast'!$G$5:$G$82,"&lt;="&amp;BI!AD$3)/12)),IF(YEAR(AD$3)=YEAR('New Hires Forecast'!$Q$3),((SUMIFS('New Hires Forecast'!$Q$5:$Q$82,'New Hires Forecast'!$F$5:$F$82,"Exec",'New Hires Forecast'!$H$5:$H$82,"&gt;="&amp;BI!AD$3,'New Hires Forecast'!$G$5:$G$82,"&lt;="&amp;BI!AD$3)/12)),IF(YEAR(AD$3)=YEAR('New Hires Forecast'!$R$3),((SUMIFS('New Hires Forecast'!$R$5:$R$82,'New Hires Forecast'!$F$5:$F$82,"Exec",'New Hires Forecast'!$H$5:$H$82,"&gt;="&amp;BI!AD$3,'New Hires Forecast'!$G$5:$G$82,"&lt;="&amp;BI!AD$3)/12))))))),0)</f>
        <v>0</v>
      </c>
      <c r="AE13" s="668">
        <f>IF(AE$4="forecast",IF(YEAR(AE$3)=YEAR('New Hires Forecast'!$N$3),((SUMIFS('New Hires Forecast'!$N$5:$N$82,'New Hires Forecast'!$F$5:$F$82,"Exec",'New Hires Forecast'!$H$5:$H$82,"&gt;="&amp;BI!AE$3,'New Hires Forecast'!$G$5:$G$82,"&lt;="&amp;BI!AE$3)/12)),IF(YEAR(AE$3)=YEAR('New Hires Forecast'!$O$3),((SUMIFS('New Hires Forecast'!$O$5:$O$82,'New Hires Forecast'!$F$5:$F$82,"Exec",'New Hires Forecast'!$H$5:$H$82,"&gt;="&amp;BI!AE$3,'New Hires Forecast'!$G$5:$G$82,"&lt;="&amp;BI!AE$3)/12)),IF(YEAR(AE$3)=YEAR('New Hires Forecast'!$P$3),((SUMIFS('New Hires Forecast'!$P$5:$P$82,'New Hires Forecast'!$F$5:$F$82,"Exec",'New Hires Forecast'!$H$5:$H$82,"&gt;="&amp;BI!AE$3,'New Hires Forecast'!$G$5:$G$82,"&lt;="&amp;BI!AE$3)/12)),IF(YEAR(AE$3)=YEAR('New Hires Forecast'!$Q$3),((SUMIFS('New Hires Forecast'!$Q$5:$Q$82,'New Hires Forecast'!$F$5:$F$82,"Exec",'New Hires Forecast'!$H$5:$H$82,"&gt;="&amp;BI!AE$3,'New Hires Forecast'!$G$5:$G$82,"&lt;="&amp;BI!AE$3)/12)),IF(YEAR(AE$3)=YEAR('New Hires Forecast'!$R$3),((SUMIFS('New Hires Forecast'!$R$5:$R$82,'New Hires Forecast'!$F$5:$F$82,"Exec",'New Hires Forecast'!$H$5:$H$82,"&gt;="&amp;BI!AE$3,'New Hires Forecast'!$G$5:$G$82,"&lt;="&amp;BI!AE$3)/12))))))),0)</f>
        <v>0</v>
      </c>
      <c r="AF13" s="668">
        <f>IF(AF$4="forecast",IF(YEAR(AF$3)=YEAR('New Hires Forecast'!$N$3),((SUMIFS('New Hires Forecast'!$N$5:$N$82,'New Hires Forecast'!$F$5:$F$82,"Exec",'New Hires Forecast'!$H$5:$H$82,"&gt;="&amp;BI!AF$3,'New Hires Forecast'!$G$5:$G$82,"&lt;="&amp;BI!AF$3)/12)),IF(YEAR(AF$3)=YEAR('New Hires Forecast'!$O$3),((SUMIFS('New Hires Forecast'!$O$5:$O$82,'New Hires Forecast'!$F$5:$F$82,"Exec",'New Hires Forecast'!$H$5:$H$82,"&gt;="&amp;BI!AF$3,'New Hires Forecast'!$G$5:$G$82,"&lt;="&amp;BI!AF$3)/12)),IF(YEAR(AF$3)=YEAR('New Hires Forecast'!$P$3),((SUMIFS('New Hires Forecast'!$P$5:$P$82,'New Hires Forecast'!$F$5:$F$82,"Exec",'New Hires Forecast'!$H$5:$H$82,"&gt;="&amp;BI!AF$3,'New Hires Forecast'!$G$5:$G$82,"&lt;="&amp;BI!AF$3)/12)),IF(YEAR(AF$3)=YEAR('New Hires Forecast'!$Q$3),((SUMIFS('New Hires Forecast'!$Q$5:$Q$82,'New Hires Forecast'!$F$5:$F$82,"Exec",'New Hires Forecast'!$H$5:$H$82,"&gt;="&amp;BI!AF$3,'New Hires Forecast'!$G$5:$G$82,"&lt;="&amp;BI!AF$3)/12)),IF(YEAR(AF$3)=YEAR('New Hires Forecast'!$R$3),((SUMIFS('New Hires Forecast'!$R$5:$R$82,'New Hires Forecast'!$F$5:$F$82,"Exec",'New Hires Forecast'!$H$5:$H$82,"&gt;="&amp;BI!AF$3,'New Hires Forecast'!$G$5:$G$82,"&lt;="&amp;BI!AF$3)/12))))))),0)</f>
        <v>0</v>
      </c>
      <c r="AG13" s="668">
        <f>IF(AG$4="forecast",IF(YEAR(AG$3)=YEAR('New Hires Forecast'!$N$3),((SUMIFS('New Hires Forecast'!$N$5:$N$82,'New Hires Forecast'!$F$5:$F$82,"Exec",'New Hires Forecast'!$H$5:$H$82,"&gt;="&amp;BI!AG$3,'New Hires Forecast'!$G$5:$G$82,"&lt;="&amp;BI!AG$3)/12)),IF(YEAR(AG$3)=YEAR('New Hires Forecast'!$O$3),((SUMIFS('New Hires Forecast'!$O$5:$O$82,'New Hires Forecast'!$F$5:$F$82,"Exec",'New Hires Forecast'!$H$5:$H$82,"&gt;="&amp;BI!AG$3,'New Hires Forecast'!$G$5:$G$82,"&lt;="&amp;BI!AG$3)/12)),IF(YEAR(AG$3)=YEAR('New Hires Forecast'!$P$3),((SUMIFS('New Hires Forecast'!$P$5:$P$82,'New Hires Forecast'!$F$5:$F$82,"Exec",'New Hires Forecast'!$H$5:$H$82,"&gt;="&amp;BI!AG$3,'New Hires Forecast'!$G$5:$G$82,"&lt;="&amp;BI!AG$3)/12)),IF(YEAR(AG$3)=YEAR('New Hires Forecast'!$Q$3),((SUMIFS('New Hires Forecast'!$Q$5:$Q$82,'New Hires Forecast'!$F$5:$F$82,"Exec",'New Hires Forecast'!$H$5:$H$82,"&gt;="&amp;BI!AG$3,'New Hires Forecast'!$G$5:$G$82,"&lt;="&amp;BI!AG$3)/12)),IF(YEAR(AG$3)=YEAR('New Hires Forecast'!$R$3),((SUMIFS('New Hires Forecast'!$R$5:$R$82,'New Hires Forecast'!$F$5:$F$82,"Exec",'New Hires Forecast'!$H$5:$H$82,"&gt;="&amp;BI!AG$3,'New Hires Forecast'!$G$5:$G$82,"&lt;="&amp;BI!AG$3)/12))))))),0)</f>
        <v>0</v>
      </c>
      <c r="AH13" s="668">
        <f>IF(AH$4="forecast",IF(YEAR(AH$3)=YEAR('New Hires Forecast'!$N$3),((SUMIFS('New Hires Forecast'!$N$5:$N$82,'New Hires Forecast'!$F$5:$F$82,"Exec",'New Hires Forecast'!$H$5:$H$82,"&gt;="&amp;BI!AH$3,'New Hires Forecast'!$G$5:$G$82,"&lt;="&amp;BI!AH$3)/12)),IF(YEAR(AH$3)=YEAR('New Hires Forecast'!$O$3),((SUMIFS('New Hires Forecast'!$O$5:$O$82,'New Hires Forecast'!$F$5:$F$82,"Exec",'New Hires Forecast'!$H$5:$H$82,"&gt;="&amp;BI!AH$3,'New Hires Forecast'!$G$5:$G$82,"&lt;="&amp;BI!AH$3)/12)),IF(YEAR(AH$3)=YEAR('New Hires Forecast'!$P$3),((SUMIFS('New Hires Forecast'!$P$5:$P$82,'New Hires Forecast'!$F$5:$F$82,"Exec",'New Hires Forecast'!$H$5:$H$82,"&gt;="&amp;BI!AH$3,'New Hires Forecast'!$G$5:$G$82,"&lt;="&amp;BI!AH$3)/12)),IF(YEAR(AH$3)=YEAR('New Hires Forecast'!$Q$3),((SUMIFS('New Hires Forecast'!$Q$5:$Q$82,'New Hires Forecast'!$F$5:$F$82,"Exec",'New Hires Forecast'!$H$5:$H$82,"&gt;="&amp;BI!AH$3,'New Hires Forecast'!$G$5:$G$82,"&lt;="&amp;BI!AH$3)/12)),IF(YEAR(AH$3)=YEAR('New Hires Forecast'!$R$3),((SUMIFS('New Hires Forecast'!$R$5:$R$82,'New Hires Forecast'!$F$5:$F$82,"Exec",'New Hires Forecast'!$H$5:$H$82,"&gt;="&amp;BI!AH$3,'New Hires Forecast'!$G$5:$G$82,"&lt;="&amp;BI!AH$3)/12))))))),0)</f>
        <v>0</v>
      </c>
      <c r="AI13" s="668">
        <f>IF(AI$4="forecast",IF(YEAR(AI$3)=YEAR('New Hires Forecast'!$N$3),((SUMIFS('New Hires Forecast'!$N$5:$N$82,'New Hires Forecast'!$F$5:$F$82,"Exec",'New Hires Forecast'!$H$5:$H$82,"&gt;="&amp;BI!AI$3,'New Hires Forecast'!$G$5:$G$82,"&lt;="&amp;BI!AI$3)/12)),IF(YEAR(AI$3)=YEAR('New Hires Forecast'!$O$3),((SUMIFS('New Hires Forecast'!$O$5:$O$82,'New Hires Forecast'!$F$5:$F$82,"Exec",'New Hires Forecast'!$H$5:$H$82,"&gt;="&amp;BI!AI$3,'New Hires Forecast'!$G$5:$G$82,"&lt;="&amp;BI!AI$3)/12)),IF(YEAR(AI$3)=YEAR('New Hires Forecast'!$P$3),((SUMIFS('New Hires Forecast'!$P$5:$P$82,'New Hires Forecast'!$F$5:$F$82,"Exec",'New Hires Forecast'!$H$5:$H$82,"&gt;="&amp;BI!AI$3,'New Hires Forecast'!$G$5:$G$82,"&lt;="&amp;BI!AI$3)/12)),IF(YEAR(AI$3)=YEAR('New Hires Forecast'!$Q$3),((SUMIFS('New Hires Forecast'!$Q$5:$Q$82,'New Hires Forecast'!$F$5:$F$82,"Exec",'New Hires Forecast'!$H$5:$H$82,"&gt;="&amp;BI!AI$3,'New Hires Forecast'!$G$5:$G$82,"&lt;="&amp;BI!AI$3)/12)),IF(YEAR(AI$3)=YEAR('New Hires Forecast'!$R$3),((SUMIFS('New Hires Forecast'!$R$5:$R$82,'New Hires Forecast'!$F$5:$F$82,"Exec",'New Hires Forecast'!$H$5:$H$82,"&gt;="&amp;BI!AI$3,'New Hires Forecast'!$G$5:$G$82,"&lt;="&amp;BI!AI$3)/12))))))),0)</f>
        <v>0</v>
      </c>
      <c r="AJ13" s="668">
        <f>IF(AJ$4="forecast",IF(YEAR(AJ$3)=YEAR('New Hires Forecast'!$N$3),((SUMIFS('New Hires Forecast'!$N$5:$N$82,'New Hires Forecast'!$F$5:$F$82,"Exec",'New Hires Forecast'!$H$5:$H$82,"&gt;="&amp;BI!AJ$3,'New Hires Forecast'!$G$5:$G$82,"&lt;="&amp;BI!AJ$3)/12)),IF(YEAR(AJ$3)=YEAR('New Hires Forecast'!$O$3),((SUMIFS('New Hires Forecast'!$O$5:$O$82,'New Hires Forecast'!$F$5:$F$82,"Exec",'New Hires Forecast'!$H$5:$H$82,"&gt;="&amp;BI!AJ$3,'New Hires Forecast'!$G$5:$G$82,"&lt;="&amp;BI!AJ$3)/12)),IF(YEAR(AJ$3)=YEAR('New Hires Forecast'!$P$3),((SUMIFS('New Hires Forecast'!$P$5:$P$82,'New Hires Forecast'!$F$5:$F$82,"Exec",'New Hires Forecast'!$H$5:$H$82,"&gt;="&amp;BI!AJ$3,'New Hires Forecast'!$G$5:$G$82,"&lt;="&amp;BI!AJ$3)/12)),IF(YEAR(AJ$3)=YEAR('New Hires Forecast'!$Q$3),((SUMIFS('New Hires Forecast'!$Q$5:$Q$82,'New Hires Forecast'!$F$5:$F$82,"Exec",'New Hires Forecast'!$H$5:$H$82,"&gt;="&amp;BI!AJ$3,'New Hires Forecast'!$G$5:$G$82,"&lt;="&amp;BI!AJ$3)/12)),IF(YEAR(AJ$3)=YEAR('New Hires Forecast'!$R$3),((SUMIFS('New Hires Forecast'!$R$5:$R$82,'New Hires Forecast'!$F$5:$F$82,"Exec",'New Hires Forecast'!$H$5:$H$82,"&gt;="&amp;BI!AJ$3,'New Hires Forecast'!$G$5:$G$82,"&lt;="&amp;BI!AJ$3)/12))))))),0)</f>
        <v>0</v>
      </c>
      <c r="AK13" s="668">
        <f>IF(AK$4="forecast",IF(YEAR(AK$3)=YEAR('New Hires Forecast'!$N$3),((SUMIFS('New Hires Forecast'!$N$5:$N$82,'New Hires Forecast'!$F$5:$F$82,"Exec",'New Hires Forecast'!$H$5:$H$82,"&gt;="&amp;BI!AK$3,'New Hires Forecast'!$G$5:$G$82,"&lt;="&amp;BI!AK$3)/12)),IF(YEAR(AK$3)=YEAR('New Hires Forecast'!$O$3),((SUMIFS('New Hires Forecast'!$O$5:$O$82,'New Hires Forecast'!$F$5:$F$82,"Exec",'New Hires Forecast'!$H$5:$H$82,"&gt;="&amp;BI!AK$3,'New Hires Forecast'!$G$5:$G$82,"&lt;="&amp;BI!AK$3)/12)),IF(YEAR(AK$3)=YEAR('New Hires Forecast'!$P$3),((SUMIFS('New Hires Forecast'!$P$5:$P$82,'New Hires Forecast'!$F$5:$F$82,"Exec",'New Hires Forecast'!$H$5:$H$82,"&gt;="&amp;BI!AK$3,'New Hires Forecast'!$G$5:$G$82,"&lt;="&amp;BI!AK$3)/12)),IF(YEAR(AK$3)=YEAR('New Hires Forecast'!$Q$3),((SUMIFS('New Hires Forecast'!$Q$5:$Q$82,'New Hires Forecast'!$F$5:$F$82,"Exec",'New Hires Forecast'!$H$5:$H$82,"&gt;="&amp;BI!AK$3,'New Hires Forecast'!$G$5:$G$82,"&lt;="&amp;BI!AK$3)/12)),IF(YEAR(AK$3)=YEAR('New Hires Forecast'!$R$3),((SUMIFS('New Hires Forecast'!$R$5:$R$82,'New Hires Forecast'!$F$5:$F$82,"Exec",'New Hires Forecast'!$H$5:$H$82,"&gt;="&amp;BI!AK$3,'New Hires Forecast'!$G$5:$G$82,"&lt;="&amp;BI!AK$3)/12))))))),0)</f>
        <v>0</v>
      </c>
      <c r="AL13" s="668">
        <f>IF(AL$4="forecast",IF(YEAR(AL$3)=YEAR('New Hires Forecast'!$N$3),((SUMIFS('New Hires Forecast'!$N$5:$N$82,'New Hires Forecast'!$F$5:$F$82,"Exec",'New Hires Forecast'!$H$5:$H$82,"&gt;="&amp;BI!AL$3,'New Hires Forecast'!$G$5:$G$82,"&lt;="&amp;BI!AL$3)/12)),IF(YEAR(AL$3)=YEAR('New Hires Forecast'!$O$3),((SUMIFS('New Hires Forecast'!$O$5:$O$82,'New Hires Forecast'!$F$5:$F$82,"Exec",'New Hires Forecast'!$H$5:$H$82,"&gt;="&amp;BI!AL$3,'New Hires Forecast'!$G$5:$G$82,"&lt;="&amp;BI!AL$3)/12)),IF(YEAR(AL$3)=YEAR('New Hires Forecast'!$P$3),((SUMIFS('New Hires Forecast'!$P$5:$P$82,'New Hires Forecast'!$F$5:$F$82,"Exec",'New Hires Forecast'!$H$5:$H$82,"&gt;="&amp;BI!AL$3,'New Hires Forecast'!$G$5:$G$82,"&lt;="&amp;BI!AL$3)/12)),IF(YEAR(AL$3)=YEAR('New Hires Forecast'!$Q$3),((SUMIFS('New Hires Forecast'!$Q$5:$Q$82,'New Hires Forecast'!$F$5:$F$82,"Exec",'New Hires Forecast'!$H$5:$H$82,"&gt;="&amp;BI!AL$3,'New Hires Forecast'!$G$5:$G$82,"&lt;="&amp;BI!AL$3)/12)),IF(YEAR(AL$3)=YEAR('New Hires Forecast'!$R$3),((SUMIFS('New Hires Forecast'!$R$5:$R$82,'New Hires Forecast'!$F$5:$F$82,"Exec",'New Hires Forecast'!$H$5:$H$82,"&gt;="&amp;BI!AL$3,'New Hires Forecast'!$G$5:$G$82,"&lt;="&amp;BI!AL$3)/12))))))),0)</f>
        <v>0</v>
      </c>
      <c r="AM13" s="668">
        <f>IF(AM$4="forecast",IF(YEAR(AM$3)=YEAR('New Hires Forecast'!$N$3),((SUMIFS('New Hires Forecast'!$N$5:$N$82,'New Hires Forecast'!$F$5:$F$82,"Exec",'New Hires Forecast'!$H$5:$H$82,"&gt;="&amp;BI!AM$3,'New Hires Forecast'!$G$5:$G$82,"&lt;="&amp;BI!AM$3)/12)),IF(YEAR(AM$3)=YEAR('New Hires Forecast'!$O$3),((SUMIFS('New Hires Forecast'!$O$5:$O$82,'New Hires Forecast'!$F$5:$F$82,"Exec",'New Hires Forecast'!$H$5:$H$82,"&gt;="&amp;BI!AM$3,'New Hires Forecast'!$G$5:$G$82,"&lt;="&amp;BI!AM$3)/12)),IF(YEAR(AM$3)=YEAR('New Hires Forecast'!$P$3),((SUMIFS('New Hires Forecast'!$P$5:$P$82,'New Hires Forecast'!$F$5:$F$82,"Exec",'New Hires Forecast'!$H$5:$H$82,"&gt;="&amp;BI!AM$3,'New Hires Forecast'!$G$5:$G$82,"&lt;="&amp;BI!AM$3)/12)),IF(YEAR(AM$3)=YEAR('New Hires Forecast'!$Q$3),((SUMIFS('New Hires Forecast'!$Q$5:$Q$82,'New Hires Forecast'!$F$5:$F$82,"Exec",'New Hires Forecast'!$H$5:$H$82,"&gt;="&amp;BI!AM$3,'New Hires Forecast'!$G$5:$G$82,"&lt;="&amp;BI!AM$3)/12)),IF(YEAR(AM$3)=YEAR('New Hires Forecast'!$R$3),((SUMIFS('New Hires Forecast'!$R$5:$R$82,'New Hires Forecast'!$F$5:$F$82,"Exec",'New Hires Forecast'!$H$5:$H$82,"&gt;="&amp;BI!AM$3,'New Hires Forecast'!$G$5:$G$82,"&lt;="&amp;BI!AM$3)/12))))))),0)</f>
        <v>0</v>
      </c>
      <c r="AN13" s="668">
        <f>IF(AN$4="forecast",IF(YEAR(AN$3)=YEAR('New Hires Forecast'!$N$3),((SUMIFS('New Hires Forecast'!$N$5:$N$82,'New Hires Forecast'!$F$5:$F$82,"Exec",'New Hires Forecast'!$H$5:$H$82,"&gt;="&amp;BI!AN$3,'New Hires Forecast'!$G$5:$G$82,"&lt;="&amp;BI!AN$3)/12)),IF(YEAR(AN$3)=YEAR('New Hires Forecast'!$O$3),((SUMIFS('New Hires Forecast'!$O$5:$O$82,'New Hires Forecast'!$F$5:$F$82,"Exec",'New Hires Forecast'!$H$5:$H$82,"&gt;="&amp;BI!AN$3,'New Hires Forecast'!$G$5:$G$82,"&lt;="&amp;BI!AN$3)/12)),IF(YEAR(AN$3)=YEAR('New Hires Forecast'!$P$3),((SUMIFS('New Hires Forecast'!$P$5:$P$82,'New Hires Forecast'!$F$5:$F$82,"Exec",'New Hires Forecast'!$H$5:$H$82,"&gt;="&amp;BI!AN$3,'New Hires Forecast'!$G$5:$G$82,"&lt;="&amp;BI!AN$3)/12)),IF(YEAR(AN$3)=YEAR('New Hires Forecast'!$Q$3),((SUMIFS('New Hires Forecast'!$Q$5:$Q$82,'New Hires Forecast'!$F$5:$F$82,"Exec",'New Hires Forecast'!$H$5:$H$82,"&gt;="&amp;BI!AN$3,'New Hires Forecast'!$G$5:$G$82,"&lt;="&amp;BI!AN$3)/12)),IF(YEAR(AN$3)=YEAR('New Hires Forecast'!$R$3),((SUMIFS('New Hires Forecast'!$R$5:$R$82,'New Hires Forecast'!$F$5:$F$82,"Exec",'New Hires Forecast'!$H$5:$H$82,"&gt;="&amp;BI!AN$3,'New Hires Forecast'!$G$5:$G$82,"&lt;="&amp;BI!AN$3)/12))))))),0)</f>
        <v>0</v>
      </c>
      <c r="AO13" s="668">
        <f>IF(AO$4="forecast",IF(YEAR(AO$3)=YEAR('New Hires Forecast'!$N$3),((SUMIFS('New Hires Forecast'!$N$5:$N$82,'New Hires Forecast'!$F$5:$F$82,"Exec",'New Hires Forecast'!$H$5:$H$82,"&gt;="&amp;BI!AO$3,'New Hires Forecast'!$G$5:$G$82,"&lt;="&amp;BI!AO$3)/12)),IF(YEAR(AO$3)=YEAR('New Hires Forecast'!$O$3),((SUMIFS('New Hires Forecast'!$O$5:$O$82,'New Hires Forecast'!$F$5:$F$82,"Exec",'New Hires Forecast'!$H$5:$H$82,"&gt;="&amp;BI!AO$3,'New Hires Forecast'!$G$5:$G$82,"&lt;="&amp;BI!AO$3)/12)),IF(YEAR(AO$3)=YEAR('New Hires Forecast'!$P$3),((SUMIFS('New Hires Forecast'!$P$5:$P$82,'New Hires Forecast'!$F$5:$F$82,"Exec",'New Hires Forecast'!$H$5:$H$82,"&gt;="&amp;BI!AO$3,'New Hires Forecast'!$G$5:$G$82,"&lt;="&amp;BI!AO$3)/12)),IF(YEAR(AO$3)=YEAR('New Hires Forecast'!$Q$3),((SUMIFS('New Hires Forecast'!$Q$5:$Q$82,'New Hires Forecast'!$F$5:$F$82,"Exec",'New Hires Forecast'!$H$5:$H$82,"&gt;="&amp;BI!AO$3,'New Hires Forecast'!$G$5:$G$82,"&lt;="&amp;BI!AO$3)/12)),IF(YEAR(AO$3)=YEAR('New Hires Forecast'!$R$3),((SUMIFS('New Hires Forecast'!$R$5:$R$82,'New Hires Forecast'!$F$5:$F$82,"Exec",'New Hires Forecast'!$H$5:$H$82,"&gt;="&amp;BI!AO$3,'New Hires Forecast'!$G$5:$G$82,"&lt;="&amp;BI!AO$3)/12))))))),0)</f>
        <v>0</v>
      </c>
      <c r="AP13" s="668">
        <f>IF(AP$4="forecast",IF(YEAR(AP$3)=YEAR('New Hires Forecast'!$N$3),((SUMIFS('New Hires Forecast'!$N$5:$N$82,'New Hires Forecast'!$F$5:$F$82,"Exec",'New Hires Forecast'!$H$5:$H$82,"&gt;="&amp;BI!AP$3,'New Hires Forecast'!$G$5:$G$82,"&lt;="&amp;BI!AP$3)/12)),IF(YEAR(AP$3)=YEAR('New Hires Forecast'!$O$3),((SUMIFS('New Hires Forecast'!$O$5:$O$82,'New Hires Forecast'!$F$5:$F$82,"Exec",'New Hires Forecast'!$H$5:$H$82,"&gt;="&amp;BI!AP$3,'New Hires Forecast'!$G$5:$G$82,"&lt;="&amp;BI!AP$3)/12)),IF(YEAR(AP$3)=YEAR('New Hires Forecast'!$P$3),((SUMIFS('New Hires Forecast'!$P$5:$P$82,'New Hires Forecast'!$F$5:$F$82,"Exec",'New Hires Forecast'!$H$5:$H$82,"&gt;="&amp;BI!AP$3,'New Hires Forecast'!$G$5:$G$82,"&lt;="&amp;BI!AP$3)/12)),IF(YEAR(AP$3)=YEAR('New Hires Forecast'!$Q$3),((SUMIFS('New Hires Forecast'!$Q$5:$Q$82,'New Hires Forecast'!$F$5:$F$82,"Exec",'New Hires Forecast'!$H$5:$H$82,"&gt;="&amp;BI!AP$3,'New Hires Forecast'!$G$5:$G$82,"&lt;="&amp;BI!AP$3)/12)),IF(YEAR(AP$3)=YEAR('New Hires Forecast'!$R$3),((SUMIFS('New Hires Forecast'!$R$5:$R$82,'New Hires Forecast'!$F$5:$F$82,"Exec",'New Hires Forecast'!$H$5:$H$82,"&gt;="&amp;BI!AP$3,'New Hires Forecast'!$G$5:$G$82,"&lt;="&amp;BI!AP$3)/12))))))),0)</f>
        <v>0</v>
      </c>
      <c r="AQ13" s="668">
        <f>IF(AQ$4="forecast",IF(YEAR(AQ$3)=YEAR('New Hires Forecast'!$N$3),((SUMIFS('New Hires Forecast'!$N$5:$N$82,'New Hires Forecast'!$F$5:$F$82,"Exec",'New Hires Forecast'!$H$5:$H$82,"&gt;="&amp;BI!AQ$3,'New Hires Forecast'!$G$5:$G$82,"&lt;="&amp;BI!AQ$3)/12)),IF(YEAR(AQ$3)=YEAR('New Hires Forecast'!$O$3),((SUMIFS('New Hires Forecast'!$O$5:$O$82,'New Hires Forecast'!$F$5:$F$82,"Exec",'New Hires Forecast'!$H$5:$H$82,"&gt;="&amp;BI!AQ$3,'New Hires Forecast'!$G$5:$G$82,"&lt;="&amp;BI!AQ$3)/12)),IF(YEAR(AQ$3)=YEAR('New Hires Forecast'!$P$3),((SUMIFS('New Hires Forecast'!$P$5:$P$82,'New Hires Forecast'!$F$5:$F$82,"Exec",'New Hires Forecast'!$H$5:$H$82,"&gt;="&amp;BI!AQ$3,'New Hires Forecast'!$G$5:$G$82,"&lt;="&amp;BI!AQ$3)/12)),IF(YEAR(AQ$3)=YEAR('New Hires Forecast'!$Q$3),((SUMIFS('New Hires Forecast'!$Q$5:$Q$82,'New Hires Forecast'!$F$5:$F$82,"Exec",'New Hires Forecast'!$H$5:$H$82,"&gt;="&amp;BI!AQ$3,'New Hires Forecast'!$G$5:$G$82,"&lt;="&amp;BI!AQ$3)/12)),IF(YEAR(AQ$3)=YEAR('New Hires Forecast'!$R$3),((SUMIFS('New Hires Forecast'!$R$5:$R$82,'New Hires Forecast'!$F$5:$F$82,"Exec",'New Hires Forecast'!$H$5:$H$82,"&gt;="&amp;BI!AQ$3,'New Hires Forecast'!$G$5:$G$82,"&lt;="&amp;BI!AQ$3)/12))))))),0)</f>
        <v>0</v>
      </c>
      <c r="AR13" s="668">
        <f>IF(AR$4="forecast",IF(YEAR(AR$3)=YEAR('New Hires Forecast'!$N$3),((SUMIFS('New Hires Forecast'!$N$5:$N$82,'New Hires Forecast'!$F$5:$F$82,"Exec",'New Hires Forecast'!$H$5:$H$82,"&gt;="&amp;BI!AR$3,'New Hires Forecast'!$G$5:$G$82,"&lt;="&amp;BI!AR$3)/12)),IF(YEAR(AR$3)=YEAR('New Hires Forecast'!$O$3),((SUMIFS('New Hires Forecast'!$O$5:$O$82,'New Hires Forecast'!$F$5:$F$82,"Exec",'New Hires Forecast'!$H$5:$H$82,"&gt;="&amp;BI!AR$3,'New Hires Forecast'!$G$5:$G$82,"&lt;="&amp;BI!AR$3)/12)),IF(YEAR(AR$3)=YEAR('New Hires Forecast'!$P$3),((SUMIFS('New Hires Forecast'!$P$5:$P$82,'New Hires Forecast'!$F$5:$F$82,"Exec",'New Hires Forecast'!$H$5:$H$82,"&gt;="&amp;BI!AR$3,'New Hires Forecast'!$G$5:$G$82,"&lt;="&amp;BI!AR$3)/12)),IF(YEAR(AR$3)=YEAR('New Hires Forecast'!$Q$3),((SUMIFS('New Hires Forecast'!$Q$5:$Q$82,'New Hires Forecast'!$F$5:$F$82,"Exec",'New Hires Forecast'!$H$5:$H$82,"&gt;="&amp;BI!AR$3,'New Hires Forecast'!$G$5:$G$82,"&lt;="&amp;BI!AR$3)/12)),IF(YEAR(AR$3)=YEAR('New Hires Forecast'!$R$3),((SUMIFS('New Hires Forecast'!$R$5:$R$82,'New Hires Forecast'!$F$5:$F$82,"Exec",'New Hires Forecast'!$H$5:$H$82,"&gt;="&amp;BI!AR$3,'New Hires Forecast'!$G$5:$G$82,"&lt;="&amp;BI!AR$3)/12))))))),0)</f>
        <v>0</v>
      </c>
      <c r="AS13" s="668">
        <f>IF(AS$4="forecast",IF(YEAR(AS$3)=YEAR('New Hires Forecast'!$N$3),((SUMIFS('New Hires Forecast'!$N$5:$N$82,'New Hires Forecast'!$F$5:$F$82,"Exec",'New Hires Forecast'!$H$5:$H$82,"&gt;="&amp;BI!AS$3,'New Hires Forecast'!$G$5:$G$82,"&lt;="&amp;BI!AS$3)/12)),IF(YEAR(AS$3)=YEAR('New Hires Forecast'!$O$3),((SUMIFS('New Hires Forecast'!$O$5:$O$82,'New Hires Forecast'!$F$5:$F$82,"Exec",'New Hires Forecast'!$H$5:$H$82,"&gt;="&amp;BI!AS$3,'New Hires Forecast'!$G$5:$G$82,"&lt;="&amp;BI!AS$3)/12)),IF(YEAR(AS$3)=YEAR('New Hires Forecast'!$P$3),((SUMIFS('New Hires Forecast'!$P$5:$P$82,'New Hires Forecast'!$F$5:$F$82,"Exec",'New Hires Forecast'!$H$5:$H$82,"&gt;="&amp;BI!AS$3,'New Hires Forecast'!$G$5:$G$82,"&lt;="&amp;BI!AS$3)/12)),IF(YEAR(AS$3)=YEAR('New Hires Forecast'!$Q$3),((SUMIFS('New Hires Forecast'!$Q$5:$Q$82,'New Hires Forecast'!$F$5:$F$82,"Exec",'New Hires Forecast'!$H$5:$H$82,"&gt;="&amp;BI!AS$3,'New Hires Forecast'!$G$5:$G$82,"&lt;="&amp;BI!AS$3)/12)),IF(YEAR(AS$3)=YEAR('New Hires Forecast'!$R$3),((SUMIFS('New Hires Forecast'!$R$5:$R$82,'New Hires Forecast'!$F$5:$F$82,"Exec",'New Hires Forecast'!$H$5:$H$82,"&gt;="&amp;BI!AS$3,'New Hires Forecast'!$G$5:$G$82,"&lt;="&amp;BI!AS$3)/12))))))),0)</f>
        <v>0</v>
      </c>
      <c r="AT13" s="668">
        <f>IF(AT$4="forecast",IF(YEAR(AT$3)=YEAR('New Hires Forecast'!$N$3),((SUMIFS('New Hires Forecast'!$N$5:$N$82,'New Hires Forecast'!$F$5:$F$82,"Exec",'New Hires Forecast'!$H$5:$H$82,"&gt;="&amp;BI!AT$3,'New Hires Forecast'!$G$5:$G$82,"&lt;="&amp;BI!AT$3)/12)),IF(YEAR(AT$3)=YEAR('New Hires Forecast'!$O$3),((SUMIFS('New Hires Forecast'!$O$5:$O$82,'New Hires Forecast'!$F$5:$F$82,"Exec",'New Hires Forecast'!$H$5:$H$82,"&gt;="&amp;BI!AT$3,'New Hires Forecast'!$G$5:$G$82,"&lt;="&amp;BI!AT$3)/12)),IF(YEAR(AT$3)=YEAR('New Hires Forecast'!$P$3),((SUMIFS('New Hires Forecast'!$P$5:$P$82,'New Hires Forecast'!$F$5:$F$82,"Exec",'New Hires Forecast'!$H$5:$H$82,"&gt;="&amp;BI!AT$3,'New Hires Forecast'!$G$5:$G$82,"&lt;="&amp;BI!AT$3)/12)),IF(YEAR(AT$3)=YEAR('New Hires Forecast'!$Q$3),((SUMIFS('New Hires Forecast'!$Q$5:$Q$82,'New Hires Forecast'!$F$5:$F$82,"Exec",'New Hires Forecast'!$H$5:$H$82,"&gt;="&amp;BI!AT$3,'New Hires Forecast'!$G$5:$G$82,"&lt;="&amp;BI!AT$3)/12)),IF(YEAR(AT$3)=YEAR('New Hires Forecast'!$R$3),((SUMIFS('New Hires Forecast'!$R$5:$R$82,'New Hires Forecast'!$F$5:$F$82,"Exec",'New Hires Forecast'!$H$5:$H$82,"&gt;="&amp;BI!AT$3,'New Hires Forecast'!$G$5:$G$82,"&lt;="&amp;BI!AT$3)/12))))))),0)</f>
        <v>0</v>
      </c>
      <c r="AU13" s="668">
        <f>IF(AU$4="forecast",IF(YEAR(AU$3)=YEAR('New Hires Forecast'!$N$3),((SUMIFS('New Hires Forecast'!$N$5:$N$82,'New Hires Forecast'!$F$5:$F$82,"Exec",'New Hires Forecast'!$H$5:$H$82,"&gt;="&amp;BI!AU$3,'New Hires Forecast'!$G$5:$G$82,"&lt;="&amp;BI!AU$3)/12)),IF(YEAR(AU$3)=YEAR('New Hires Forecast'!$O$3),((SUMIFS('New Hires Forecast'!$O$5:$O$82,'New Hires Forecast'!$F$5:$F$82,"Exec",'New Hires Forecast'!$H$5:$H$82,"&gt;="&amp;BI!AU$3,'New Hires Forecast'!$G$5:$G$82,"&lt;="&amp;BI!AU$3)/12)),IF(YEAR(AU$3)=YEAR('New Hires Forecast'!$P$3),((SUMIFS('New Hires Forecast'!$P$5:$P$82,'New Hires Forecast'!$F$5:$F$82,"Exec",'New Hires Forecast'!$H$5:$H$82,"&gt;="&amp;BI!AU$3,'New Hires Forecast'!$G$5:$G$82,"&lt;="&amp;BI!AU$3)/12)),IF(YEAR(AU$3)=YEAR('New Hires Forecast'!$Q$3),((SUMIFS('New Hires Forecast'!$Q$5:$Q$82,'New Hires Forecast'!$F$5:$F$82,"Exec",'New Hires Forecast'!$H$5:$H$82,"&gt;="&amp;BI!AU$3,'New Hires Forecast'!$G$5:$G$82,"&lt;="&amp;BI!AU$3)/12)),IF(YEAR(AU$3)=YEAR('New Hires Forecast'!$R$3),((SUMIFS('New Hires Forecast'!$R$5:$R$82,'New Hires Forecast'!$F$5:$F$82,"Exec",'New Hires Forecast'!$H$5:$H$82,"&gt;="&amp;BI!AU$3,'New Hires Forecast'!$G$5:$G$82,"&lt;="&amp;BI!AU$3)/12))))))),0)</f>
        <v>0</v>
      </c>
      <c r="AV13" s="668">
        <f>IF(AV$4="forecast",IF(YEAR(AV$3)=YEAR('New Hires Forecast'!$N$3),((SUMIFS('New Hires Forecast'!$N$5:$N$82,'New Hires Forecast'!$F$5:$F$82,"Exec",'New Hires Forecast'!$H$5:$H$82,"&gt;="&amp;BI!AV$3,'New Hires Forecast'!$G$5:$G$82,"&lt;="&amp;BI!AV$3)/12)),IF(YEAR(AV$3)=YEAR('New Hires Forecast'!$O$3),((SUMIFS('New Hires Forecast'!$O$5:$O$82,'New Hires Forecast'!$F$5:$F$82,"Exec",'New Hires Forecast'!$H$5:$H$82,"&gt;="&amp;BI!AV$3,'New Hires Forecast'!$G$5:$G$82,"&lt;="&amp;BI!AV$3)/12)),IF(YEAR(AV$3)=YEAR('New Hires Forecast'!$P$3),((SUMIFS('New Hires Forecast'!$P$5:$P$82,'New Hires Forecast'!$F$5:$F$82,"Exec",'New Hires Forecast'!$H$5:$H$82,"&gt;="&amp;BI!AV$3,'New Hires Forecast'!$G$5:$G$82,"&lt;="&amp;BI!AV$3)/12)),IF(YEAR(AV$3)=YEAR('New Hires Forecast'!$Q$3),((SUMIFS('New Hires Forecast'!$Q$5:$Q$82,'New Hires Forecast'!$F$5:$F$82,"Exec",'New Hires Forecast'!$H$5:$H$82,"&gt;="&amp;BI!AV$3,'New Hires Forecast'!$G$5:$G$82,"&lt;="&amp;BI!AV$3)/12)),IF(YEAR(AV$3)=YEAR('New Hires Forecast'!$R$3),((SUMIFS('New Hires Forecast'!$R$5:$R$82,'New Hires Forecast'!$F$5:$F$82,"Exec",'New Hires Forecast'!$H$5:$H$82,"&gt;="&amp;BI!AV$3,'New Hires Forecast'!$G$5:$G$82,"&lt;="&amp;BI!AV$3)/12))))))),0)</f>
        <v>0</v>
      </c>
      <c r="AW13" s="668">
        <f>IF(AW$4="forecast",IF(YEAR(AW$3)=YEAR('New Hires Forecast'!$N$3),((SUMIFS('New Hires Forecast'!$N$5:$N$82,'New Hires Forecast'!$F$5:$F$82,"Exec",'New Hires Forecast'!$H$5:$H$82,"&gt;="&amp;BI!AW$3,'New Hires Forecast'!$G$5:$G$82,"&lt;="&amp;BI!AW$3)/12)),IF(YEAR(AW$3)=YEAR('New Hires Forecast'!$O$3),((SUMIFS('New Hires Forecast'!$O$5:$O$82,'New Hires Forecast'!$F$5:$F$82,"Exec",'New Hires Forecast'!$H$5:$H$82,"&gt;="&amp;BI!AW$3,'New Hires Forecast'!$G$5:$G$82,"&lt;="&amp;BI!AW$3)/12)),IF(YEAR(AW$3)=YEAR('New Hires Forecast'!$P$3),((SUMIFS('New Hires Forecast'!$P$5:$P$82,'New Hires Forecast'!$F$5:$F$82,"Exec",'New Hires Forecast'!$H$5:$H$82,"&gt;="&amp;BI!AW$3,'New Hires Forecast'!$G$5:$G$82,"&lt;="&amp;BI!AW$3)/12)),IF(YEAR(AW$3)=YEAR('New Hires Forecast'!$Q$3),((SUMIFS('New Hires Forecast'!$Q$5:$Q$82,'New Hires Forecast'!$F$5:$F$82,"Exec",'New Hires Forecast'!$H$5:$H$82,"&gt;="&amp;BI!AW$3,'New Hires Forecast'!$G$5:$G$82,"&lt;="&amp;BI!AW$3)/12)),IF(YEAR(AW$3)=YEAR('New Hires Forecast'!$R$3),((SUMIFS('New Hires Forecast'!$R$5:$R$82,'New Hires Forecast'!$F$5:$F$82,"Exec",'New Hires Forecast'!$H$5:$H$82,"&gt;="&amp;BI!AW$3,'New Hires Forecast'!$G$5:$G$82,"&lt;="&amp;BI!AW$3)/12))))))),0)</f>
        <v>0</v>
      </c>
      <c r="AX13" s="668">
        <f>IF(AX$4="forecast",IF(YEAR(AX$3)=YEAR('New Hires Forecast'!$N$3),((SUMIFS('New Hires Forecast'!$N$5:$N$82,'New Hires Forecast'!$F$5:$F$82,"Exec",'New Hires Forecast'!$H$5:$H$82,"&gt;="&amp;BI!AX$3,'New Hires Forecast'!$G$5:$G$82,"&lt;="&amp;BI!AX$3)/12)),IF(YEAR(AX$3)=YEAR('New Hires Forecast'!$O$3),((SUMIFS('New Hires Forecast'!$O$5:$O$82,'New Hires Forecast'!$F$5:$F$82,"Exec",'New Hires Forecast'!$H$5:$H$82,"&gt;="&amp;BI!AX$3,'New Hires Forecast'!$G$5:$G$82,"&lt;="&amp;BI!AX$3)/12)),IF(YEAR(AX$3)=YEAR('New Hires Forecast'!$P$3),((SUMIFS('New Hires Forecast'!$P$5:$P$82,'New Hires Forecast'!$F$5:$F$82,"Exec",'New Hires Forecast'!$H$5:$H$82,"&gt;="&amp;BI!AX$3,'New Hires Forecast'!$G$5:$G$82,"&lt;="&amp;BI!AX$3)/12)),IF(YEAR(AX$3)=YEAR('New Hires Forecast'!$Q$3),((SUMIFS('New Hires Forecast'!$Q$5:$Q$82,'New Hires Forecast'!$F$5:$F$82,"Exec",'New Hires Forecast'!$H$5:$H$82,"&gt;="&amp;BI!AX$3,'New Hires Forecast'!$G$5:$G$82,"&lt;="&amp;BI!AX$3)/12)),IF(YEAR(AX$3)=YEAR('New Hires Forecast'!$R$3),((SUMIFS('New Hires Forecast'!$R$5:$R$82,'New Hires Forecast'!$F$5:$F$82,"Exec",'New Hires Forecast'!$H$5:$H$82,"&gt;="&amp;BI!AX$3,'New Hires Forecast'!$G$5:$G$82,"&lt;="&amp;BI!AX$3)/12))))))),0)</f>
        <v>0</v>
      </c>
      <c r="AY13" s="668">
        <f>IF(AY$4="forecast",IF(YEAR(AY$3)=YEAR('New Hires Forecast'!$N$3),((SUMIFS('New Hires Forecast'!$N$5:$N$82,'New Hires Forecast'!$F$5:$F$82,"Exec",'New Hires Forecast'!$H$5:$H$82,"&gt;="&amp;BI!AY$3,'New Hires Forecast'!$G$5:$G$82,"&lt;="&amp;BI!AY$3)/12)),IF(YEAR(AY$3)=YEAR('New Hires Forecast'!$O$3),((SUMIFS('New Hires Forecast'!$O$5:$O$82,'New Hires Forecast'!$F$5:$F$82,"Exec",'New Hires Forecast'!$H$5:$H$82,"&gt;="&amp;BI!AY$3,'New Hires Forecast'!$G$5:$G$82,"&lt;="&amp;BI!AY$3)/12)),IF(YEAR(AY$3)=YEAR('New Hires Forecast'!$P$3),((SUMIFS('New Hires Forecast'!$P$5:$P$82,'New Hires Forecast'!$F$5:$F$82,"Exec",'New Hires Forecast'!$H$5:$H$82,"&gt;="&amp;BI!AY$3,'New Hires Forecast'!$G$5:$G$82,"&lt;="&amp;BI!AY$3)/12)),IF(YEAR(AY$3)=YEAR('New Hires Forecast'!$Q$3),((SUMIFS('New Hires Forecast'!$Q$5:$Q$82,'New Hires Forecast'!$F$5:$F$82,"Exec",'New Hires Forecast'!$H$5:$H$82,"&gt;="&amp;BI!AY$3,'New Hires Forecast'!$G$5:$G$82,"&lt;="&amp;BI!AY$3)/12)),IF(YEAR(AY$3)=YEAR('New Hires Forecast'!$R$3),((SUMIFS('New Hires Forecast'!$R$5:$R$82,'New Hires Forecast'!$F$5:$F$82,"Exec",'New Hires Forecast'!$H$5:$H$82,"&gt;="&amp;BI!AY$3,'New Hires Forecast'!$G$5:$G$82,"&lt;="&amp;BI!AY$3)/12))))))),0)</f>
        <v>0</v>
      </c>
      <c r="AZ13" s="668">
        <f>IF(AZ$4="forecast",IF(YEAR(AZ$3)=YEAR('New Hires Forecast'!$N$3),((SUMIFS('New Hires Forecast'!$N$5:$N$82,'New Hires Forecast'!$F$5:$F$82,"Exec",'New Hires Forecast'!$H$5:$H$82,"&gt;="&amp;BI!AZ$3,'New Hires Forecast'!$G$5:$G$82,"&lt;="&amp;BI!AZ$3)/12)),IF(YEAR(AZ$3)=YEAR('New Hires Forecast'!$O$3),((SUMIFS('New Hires Forecast'!$O$5:$O$82,'New Hires Forecast'!$F$5:$F$82,"Exec",'New Hires Forecast'!$H$5:$H$82,"&gt;="&amp;BI!AZ$3,'New Hires Forecast'!$G$5:$G$82,"&lt;="&amp;BI!AZ$3)/12)),IF(YEAR(AZ$3)=YEAR('New Hires Forecast'!$P$3),((SUMIFS('New Hires Forecast'!$P$5:$P$82,'New Hires Forecast'!$F$5:$F$82,"Exec",'New Hires Forecast'!$H$5:$H$82,"&gt;="&amp;BI!AZ$3,'New Hires Forecast'!$G$5:$G$82,"&lt;="&amp;BI!AZ$3)/12)),IF(YEAR(AZ$3)=YEAR('New Hires Forecast'!$Q$3),((SUMIFS('New Hires Forecast'!$Q$5:$Q$82,'New Hires Forecast'!$F$5:$F$82,"Exec",'New Hires Forecast'!$H$5:$H$82,"&gt;="&amp;BI!AZ$3,'New Hires Forecast'!$G$5:$G$82,"&lt;="&amp;BI!AZ$3)/12)),IF(YEAR(AZ$3)=YEAR('New Hires Forecast'!$R$3),((SUMIFS('New Hires Forecast'!$R$5:$R$82,'New Hires Forecast'!$F$5:$F$82,"Exec",'New Hires Forecast'!$H$5:$H$82,"&gt;="&amp;BI!AZ$3,'New Hires Forecast'!$G$5:$G$82,"&lt;="&amp;BI!AZ$3)/12))))))),0)</f>
        <v>0</v>
      </c>
      <c r="BA13" s="668">
        <f>IF(BA$4="forecast",IF(YEAR(BA$3)=YEAR('New Hires Forecast'!$N$3),((SUMIFS('New Hires Forecast'!$N$5:$N$82,'New Hires Forecast'!$F$5:$F$82,"Exec",'New Hires Forecast'!$H$5:$H$82,"&gt;="&amp;BI!BA$3,'New Hires Forecast'!$G$5:$G$82,"&lt;="&amp;BI!BA$3)/12)),IF(YEAR(BA$3)=YEAR('New Hires Forecast'!$O$3),((SUMIFS('New Hires Forecast'!$O$5:$O$82,'New Hires Forecast'!$F$5:$F$82,"Exec",'New Hires Forecast'!$H$5:$H$82,"&gt;="&amp;BI!BA$3,'New Hires Forecast'!$G$5:$G$82,"&lt;="&amp;BI!BA$3)/12)),IF(YEAR(BA$3)=YEAR('New Hires Forecast'!$P$3),((SUMIFS('New Hires Forecast'!$P$5:$P$82,'New Hires Forecast'!$F$5:$F$82,"Exec",'New Hires Forecast'!$H$5:$H$82,"&gt;="&amp;BI!BA$3,'New Hires Forecast'!$G$5:$G$82,"&lt;="&amp;BI!BA$3)/12)),IF(YEAR(BA$3)=YEAR('New Hires Forecast'!$Q$3),((SUMIFS('New Hires Forecast'!$Q$5:$Q$82,'New Hires Forecast'!$F$5:$F$82,"Exec",'New Hires Forecast'!$H$5:$H$82,"&gt;="&amp;BI!BA$3,'New Hires Forecast'!$G$5:$G$82,"&lt;="&amp;BI!BA$3)/12)),IF(YEAR(BA$3)=YEAR('New Hires Forecast'!$R$3),((SUMIFS('New Hires Forecast'!$R$5:$R$82,'New Hires Forecast'!$F$5:$F$82,"Exec",'New Hires Forecast'!$H$5:$H$82,"&gt;="&amp;BI!BA$3,'New Hires Forecast'!$G$5:$G$82,"&lt;="&amp;BI!BA$3)/12))))))),0)</f>
        <v>0</v>
      </c>
      <c r="BB13" s="668">
        <f>IF(BB$4="forecast",IF(YEAR(BB$3)=YEAR('New Hires Forecast'!$N$3),((SUMIFS('New Hires Forecast'!$N$5:$N$82,'New Hires Forecast'!$F$5:$F$82,"Exec",'New Hires Forecast'!$H$5:$H$82,"&gt;="&amp;BI!BB$3,'New Hires Forecast'!$G$5:$G$82,"&lt;="&amp;BI!BB$3)/12)),IF(YEAR(BB$3)=YEAR('New Hires Forecast'!$O$3),((SUMIFS('New Hires Forecast'!$O$5:$O$82,'New Hires Forecast'!$F$5:$F$82,"Exec",'New Hires Forecast'!$H$5:$H$82,"&gt;="&amp;BI!BB$3,'New Hires Forecast'!$G$5:$G$82,"&lt;="&amp;BI!BB$3)/12)),IF(YEAR(BB$3)=YEAR('New Hires Forecast'!$P$3),((SUMIFS('New Hires Forecast'!$P$5:$P$82,'New Hires Forecast'!$F$5:$F$82,"Exec",'New Hires Forecast'!$H$5:$H$82,"&gt;="&amp;BI!BB$3,'New Hires Forecast'!$G$5:$G$82,"&lt;="&amp;BI!BB$3)/12)),IF(YEAR(BB$3)=YEAR('New Hires Forecast'!$Q$3),((SUMIFS('New Hires Forecast'!$Q$5:$Q$82,'New Hires Forecast'!$F$5:$F$82,"Exec",'New Hires Forecast'!$H$5:$H$82,"&gt;="&amp;BI!BB$3,'New Hires Forecast'!$G$5:$G$82,"&lt;="&amp;BI!BB$3)/12)),IF(YEAR(BB$3)=YEAR('New Hires Forecast'!$R$3),((SUMIFS('New Hires Forecast'!$R$5:$R$82,'New Hires Forecast'!$F$5:$F$82,"Exec",'New Hires Forecast'!$H$5:$H$82,"&gt;="&amp;BI!BB$3,'New Hires Forecast'!$G$5:$G$82,"&lt;="&amp;BI!BB$3)/12))))))),0)</f>
        <v>0</v>
      </c>
      <c r="BC13" s="668">
        <f>IF(BC$4="forecast",IF(YEAR(BC$3)=YEAR('New Hires Forecast'!$N$3),((SUMIFS('New Hires Forecast'!$N$5:$N$82,'New Hires Forecast'!$F$5:$F$82,"Exec",'New Hires Forecast'!$H$5:$H$82,"&gt;="&amp;BI!BC$3,'New Hires Forecast'!$G$5:$G$82,"&lt;="&amp;BI!BC$3)/12)),IF(YEAR(BC$3)=YEAR('New Hires Forecast'!$O$3),((SUMIFS('New Hires Forecast'!$O$5:$O$82,'New Hires Forecast'!$F$5:$F$82,"Exec",'New Hires Forecast'!$H$5:$H$82,"&gt;="&amp;BI!BC$3,'New Hires Forecast'!$G$5:$G$82,"&lt;="&amp;BI!BC$3)/12)),IF(YEAR(BC$3)=YEAR('New Hires Forecast'!$P$3),((SUMIFS('New Hires Forecast'!$P$5:$P$82,'New Hires Forecast'!$F$5:$F$82,"Exec",'New Hires Forecast'!$H$5:$H$82,"&gt;="&amp;BI!BC$3,'New Hires Forecast'!$G$5:$G$82,"&lt;="&amp;BI!BC$3)/12)),IF(YEAR(BC$3)=YEAR('New Hires Forecast'!$Q$3),((SUMIFS('New Hires Forecast'!$Q$5:$Q$82,'New Hires Forecast'!$F$5:$F$82,"Exec",'New Hires Forecast'!$H$5:$H$82,"&gt;="&amp;BI!BC$3,'New Hires Forecast'!$G$5:$G$82,"&lt;="&amp;BI!BC$3)/12)),IF(YEAR(BC$3)=YEAR('New Hires Forecast'!$R$3),((SUMIFS('New Hires Forecast'!$R$5:$R$82,'New Hires Forecast'!$F$5:$F$82,"Exec",'New Hires Forecast'!$H$5:$H$82,"&gt;="&amp;BI!BC$3,'New Hires Forecast'!$G$5:$G$82,"&lt;="&amp;BI!BC$3)/12))))))),0)</f>
        <v>0</v>
      </c>
      <c r="BD13" s="668">
        <f>IF(BD$4="forecast",IF(YEAR(BD$3)=YEAR('New Hires Forecast'!$N$3),((SUMIFS('New Hires Forecast'!$N$5:$N$82,'New Hires Forecast'!$F$5:$F$82,"Exec",'New Hires Forecast'!$H$5:$H$82,"&gt;="&amp;BI!BD$3,'New Hires Forecast'!$G$5:$G$82,"&lt;="&amp;BI!BD$3)/12)),IF(YEAR(BD$3)=YEAR('New Hires Forecast'!$O$3),((SUMIFS('New Hires Forecast'!$O$5:$O$82,'New Hires Forecast'!$F$5:$F$82,"Exec",'New Hires Forecast'!$H$5:$H$82,"&gt;="&amp;BI!BD$3,'New Hires Forecast'!$G$5:$G$82,"&lt;="&amp;BI!BD$3)/12)),IF(YEAR(BD$3)=YEAR('New Hires Forecast'!$P$3),((SUMIFS('New Hires Forecast'!$P$5:$P$82,'New Hires Forecast'!$F$5:$F$82,"Exec",'New Hires Forecast'!$H$5:$H$82,"&gt;="&amp;BI!BD$3,'New Hires Forecast'!$G$5:$G$82,"&lt;="&amp;BI!BD$3)/12)),IF(YEAR(BD$3)=YEAR('New Hires Forecast'!$Q$3),((SUMIFS('New Hires Forecast'!$Q$5:$Q$82,'New Hires Forecast'!$F$5:$F$82,"Exec",'New Hires Forecast'!$H$5:$H$82,"&gt;="&amp;BI!BD$3,'New Hires Forecast'!$G$5:$G$82,"&lt;="&amp;BI!BD$3)/12)),IF(YEAR(BD$3)=YEAR('New Hires Forecast'!$R$3),((SUMIFS('New Hires Forecast'!$R$5:$R$82,'New Hires Forecast'!$F$5:$F$82,"Exec",'New Hires Forecast'!$H$5:$H$82,"&gt;="&amp;BI!BD$3,'New Hires Forecast'!$G$5:$G$82,"&lt;="&amp;BI!BD$3)/12))))))),0)</f>
        <v>0</v>
      </c>
      <c r="BE13" s="668">
        <f>IF(BE$4="forecast",IF(YEAR(BE$3)=YEAR('New Hires Forecast'!$N$3),((SUMIFS('New Hires Forecast'!$N$5:$N$82,'New Hires Forecast'!$F$5:$F$82,"Exec",'New Hires Forecast'!$H$5:$H$82,"&gt;="&amp;BI!BE$3,'New Hires Forecast'!$G$5:$G$82,"&lt;="&amp;BI!BE$3)/12)),IF(YEAR(BE$3)=YEAR('New Hires Forecast'!$O$3),((SUMIFS('New Hires Forecast'!$O$5:$O$82,'New Hires Forecast'!$F$5:$F$82,"Exec",'New Hires Forecast'!$H$5:$H$82,"&gt;="&amp;BI!BE$3,'New Hires Forecast'!$G$5:$G$82,"&lt;="&amp;BI!BE$3)/12)),IF(YEAR(BE$3)=YEAR('New Hires Forecast'!$P$3),((SUMIFS('New Hires Forecast'!$P$5:$P$82,'New Hires Forecast'!$F$5:$F$82,"Exec",'New Hires Forecast'!$H$5:$H$82,"&gt;="&amp;BI!BE$3,'New Hires Forecast'!$G$5:$G$82,"&lt;="&amp;BI!BE$3)/12)),IF(YEAR(BE$3)=YEAR('New Hires Forecast'!$Q$3),((SUMIFS('New Hires Forecast'!$Q$5:$Q$82,'New Hires Forecast'!$F$5:$F$82,"Exec",'New Hires Forecast'!$H$5:$H$82,"&gt;="&amp;BI!BE$3,'New Hires Forecast'!$G$5:$G$82,"&lt;="&amp;BI!BE$3)/12)),IF(YEAR(BE$3)=YEAR('New Hires Forecast'!$R$3),((SUMIFS('New Hires Forecast'!$R$5:$R$82,'New Hires Forecast'!$F$5:$F$82,"Exec",'New Hires Forecast'!$H$5:$H$82,"&gt;="&amp;BI!BE$3,'New Hires Forecast'!$G$5:$G$82,"&lt;="&amp;BI!BE$3)/12))))))),0)</f>
        <v>0</v>
      </c>
      <c r="BF13" s="668">
        <f>IF(BF$4="forecast",IF(YEAR(BF$3)=YEAR('New Hires Forecast'!$N$3),((SUMIFS('New Hires Forecast'!$N$5:$N$82,'New Hires Forecast'!$F$5:$F$82,"Exec",'New Hires Forecast'!$H$5:$H$82,"&gt;="&amp;BI!BF$3,'New Hires Forecast'!$G$5:$G$82,"&lt;="&amp;BI!BF$3)/12)),IF(YEAR(BF$3)=YEAR('New Hires Forecast'!$O$3),((SUMIFS('New Hires Forecast'!$O$5:$O$82,'New Hires Forecast'!$F$5:$F$82,"Exec",'New Hires Forecast'!$H$5:$H$82,"&gt;="&amp;BI!BF$3,'New Hires Forecast'!$G$5:$G$82,"&lt;="&amp;BI!BF$3)/12)),IF(YEAR(BF$3)=YEAR('New Hires Forecast'!$P$3),((SUMIFS('New Hires Forecast'!$P$5:$P$82,'New Hires Forecast'!$F$5:$F$82,"Exec",'New Hires Forecast'!$H$5:$H$82,"&gt;="&amp;BI!BF$3,'New Hires Forecast'!$G$5:$G$82,"&lt;="&amp;BI!BF$3)/12)),IF(YEAR(BF$3)=YEAR('New Hires Forecast'!$Q$3),((SUMIFS('New Hires Forecast'!$Q$5:$Q$82,'New Hires Forecast'!$F$5:$F$82,"Exec",'New Hires Forecast'!$H$5:$H$82,"&gt;="&amp;BI!BF$3,'New Hires Forecast'!$G$5:$G$82,"&lt;="&amp;BI!BF$3)/12)),IF(YEAR(BF$3)=YEAR('New Hires Forecast'!$R$3),((SUMIFS('New Hires Forecast'!$R$5:$R$82,'New Hires Forecast'!$F$5:$F$82,"Exec",'New Hires Forecast'!$H$5:$H$82,"&gt;="&amp;BI!BF$3,'New Hires Forecast'!$G$5:$G$82,"&lt;="&amp;BI!BF$3)/12))))))),0)</f>
        <v>0</v>
      </c>
      <c r="BG13" s="668">
        <f>IF(BG$4="forecast",IF(YEAR(BG$3)=YEAR('New Hires Forecast'!$N$3),((SUMIFS('New Hires Forecast'!$N$5:$N$82,'New Hires Forecast'!$F$5:$F$82,"Exec",'New Hires Forecast'!$H$5:$H$82,"&gt;="&amp;BI!BG$3,'New Hires Forecast'!$G$5:$G$82,"&lt;="&amp;BI!BG$3)/12)),IF(YEAR(BG$3)=YEAR('New Hires Forecast'!$O$3),((SUMIFS('New Hires Forecast'!$O$5:$O$82,'New Hires Forecast'!$F$5:$F$82,"Exec",'New Hires Forecast'!$H$5:$H$82,"&gt;="&amp;BI!BG$3,'New Hires Forecast'!$G$5:$G$82,"&lt;="&amp;BI!BG$3)/12)),IF(YEAR(BG$3)=YEAR('New Hires Forecast'!$P$3),((SUMIFS('New Hires Forecast'!$P$5:$P$82,'New Hires Forecast'!$F$5:$F$82,"Exec",'New Hires Forecast'!$H$5:$H$82,"&gt;="&amp;BI!BG$3,'New Hires Forecast'!$G$5:$G$82,"&lt;="&amp;BI!BG$3)/12)),IF(YEAR(BG$3)=YEAR('New Hires Forecast'!$Q$3),((SUMIFS('New Hires Forecast'!$Q$5:$Q$82,'New Hires Forecast'!$F$5:$F$82,"Exec",'New Hires Forecast'!$H$5:$H$82,"&gt;="&amp;BI!BG$3,'New Hires Forecast'!$G$5:$G$82,"&lt;="&amp;BI!BG$3)/12)),IF(YEAR(BG$3)=YEAR('New Hires Forecast'!$R$3),((SUMIFS('New Hires Forecast'!$R$5:$R$82,'New Hires Forecast'!$F$5:$F$82,"Exec",'New Hires Forecast'!$H$5:$H$82,"&gt;="&amp;BI!BG$3,'New Hires Forecast'!$G$5:$G$82,"&lt;="&amp;BI!BG$3)/12))))))),0)</f>
        <v>0</v>
      </c>
      <c r="BH13" s="668">
        <f>IF(BH$4="forecast",IF(YEAR(BH$3)=YEAR('New Hires Forecast'!$N$3),((SUMIFS('New Hires Forecast'!$N$5:$N$82,'New Hires Forecast'!$F$5:$F$82,"Exec",'New Hires Forecast'!$H$5:$H$82,"&gt;="&amp;BI!BH$3,'New Hires Forecast'!$G$5:$G$82,"&lt;="&amp;BI!BH$3)/12)),IF(YEAR(BH$3)=YEAR('New Hires Forecast'!$O$3),((SUMIFS('New Hires Forecast'!$O$5:$O$82,'New Hires Forecast'!$F$5:$F$82,"Exec",'New Hires Forecast'!$H$5:$H$82,"&gt;="&amp;BI!BH$3,'New Hires Forecast'!$G$5:$G$82,"&lt;="&amp;BI!BH$3)/12)),IF(YEAR(BH$3)=YEAR('New Hires Forecast'!$P$3),((SUMIFS('New Hires Forecast'!$P$5:$P$82,'New Hires Forecast'!$F$5:$F$82,"Exec",'New Hires Forecast'!$H$5:$H$82,"&gt;="&amp;BI!BH$3,'New Hires Forecast'!$G$5:$G$82,"&lt;="&amp;BI!BH$3)/12)),IF(YEAR(BH$3)=YEAR('New Hires Forecast'!$Q$3),((SUMIFS('New Hires Forecast'!$Q$5:$Q$82,'New Hires Forecast'!$F$5:$F$82,"Exec",'New Hires Forecast'!$H$5:$H$82,"&gt;="&amp;BI!BH$3,'New Hires Forecast'!$G$5:$G$82,"&lt;="&amp;BI!BH$3)/12)),IF(YEAR(BH$3)=YEAR('New Hires Forecast'!$R$3),((SUMIFS('New Hires Forecast'!$R$5:$R$82,'New Hires Forecast'!$F$5:$F$82,"Exec",'New Hires Forecast'!$H$5:$H$82,"&gt;="&amp;BI!BH$3,'New Hires Forecast'!$G$5:$G$82,"&lt;="&amp;BI!BH$3)/12))))))),0)</f>
        <v>0</v>
      </c>
      <c r="BI13" s="668">
        <f>IF(BI$4="forecast",IF(YEAR(BI$3)=YEAR('New Hires Forecast'!$N$3),((SUMIFS('New Hires Forecast'!$N$5:$N$82,'New Hires Forecast'!$F$5:$F$82,"Exec",'New Hires Forecast'!$H$5:$H$82,"&gt;="&amp;BI!BI$3,'New Hires Forecast'!$G$5:$G$82,"&lt;="&amp;BI!BI$3)/12)),IF(YEAR(BI$3)=YEAR('New Hires Forecast'!$O$3),((SUMIFS('New Hires Forecast'!$O$5:$O$82,'New Hires Forecast'!$F$5:$F$82,"Exec",'New Hires Forecast'!$H$5:$H$82,"&gt;="&amp;BI!BI$3,'New Hires Forecast'!$G$5:$G$82,"&lt;="&amp;BI!BI$3)/12)),IF(YEAR(BI$3)=YEAR('New Hires Forecast'!$P$3),((SUMIFS('New Hires Forecast'!$P$5:$P$82,'New Hires Forecast'!$F$5:$F$82,"Exec",'New Hires Forecast'!$H$5:$H$82,"&gt;="&amp;BI!BI$3,'New Hires Forecast'!$G$5:$G$82,"&lt;="&amp;BI!BI$3)/12)),IF(YEAR(BI$3)=YEAR('New Hires Forecast'!$Q$3),((SUMIFS('New Hires Forecast'!$Q$5:$Q$82,'New Hires Forecast'!$F$5:$F$82,"Exec",'New Hires Forecast'!$H$5:$H$82,"&gt;="&amp;BI!BI$3,'New Hires Forecast'!$G$5:$G$82,"&lt;="&amp;BI!BI$3)/12)),IF(YEAR(BI$3)=YEAR('New Hires Forecast'!$R$3),((SUMIFS('New Hires Forecast'!$R$5:$R$82,'New Hires Forecast'!$F$5:$F$82,"Exec",'New Hires Forecast'!$H$5:$H$82,"&gt;="&amp;BI!BI$3,'New Hires Forecast'!$G$5:$G$82,"&lt;="&amp;BI!BI$3)/12))))))),0)</f>
        <v>0</v>
      </c>
      <c r="BJ13" s="668">
        <f>IF(BJ$4="forecast",IF(YEAR(BJ$3)=YEAR('New Hires Forecast'!$N$3),((SUMIFS('New Hires Forecast'!$N$5:$N$82,'New Hires Forecast'!$F$5:$F$82,"Exec",'New Hires Forecast'!$H$5:$H$82,"&gt;="&amp;BI!BJ$3,'New Hires Forecast'!$G$5:$G$82,"&lt;="&amp;BI!BJ$3)/12)),IF(YEAR(BJ$3)=YEAR('New Hires Forecast'!$O$3),((SUMIFS('New Hires Forecast'!$O$5:$O$82,'New Hires Forecast'!$F$5:$F$82,"Exec",'New Hires Forecast'!$H$5:$H$82,"&gt;="&amp;BI!BJ$3,'New Hires Forecast'!$G$5:$G$82,"&lt;="&amp;BI!BJ$3)/12)),IF(YEAR(BJ$3)=YEAR('New Hires Forecast'!$P$3),((SUMIFS('New Hires Forecast'!$P$5:$P$82,'New Hires Forecast'!$F$5:$F$82,"Exec",'New Hires Forecast'!$H$5:$H$82,"&gt;="&amp;BI!BJ$3,'New Hires Forecast'!$G$5:$G$82,"&lt;="&amp;BI!BJ$3)/12)),IF(YEAR(BJ$3)=YEAR('New Hires Forecast'!$Q$3),((SUMIFS('New Hires Forecast'!$Q$5:$Q$82,'New Hires Forecast'!$F$5:$F$82,"Exec",'New Hires Forecast'!$H$5:$H$82,"&gt;="&amp;BI!BJ$3,'New Hires Forecast'!$G$5:$G$82,"&lt;="&amp;BI!BJ$3)/12)),IF(YEAR(BJ$3)=YEAR('New Hires Forecast'!$R$3),((SUMIFS('New Hires Forecast'!$R$5:$R$82,'New Hires Forecast'!$F$5:$F$82,"Exec",'New Hires Forecast'!$H$5:$H$82,"&gt;="&amp;BI!BJ$3,'New Hires Forecast'!$G$5:$G$82,"&lt;="&amp;BI!BJ$3)/12))))))),0)</f>
        <v>0</v>
      </c>
      <c r="BK13" s="668">
        <f>IF(BK$4="forecast",IF(YEAR(BK$3)=YEAR('New Hires Forecast'!$N$3),((SUMIFS('New Hires Forecast'!$N$5:$N$82,'New Hires Forecast'!$F$5:$F$82,"Exec",'New Hires Forecast'!$H$5:$H$82,"&gt;="&amp;BI!BK$3,'New Hires Forecast'!$G$5:$G$82,"&lt;="&amp;BI!BK$3)/12)),IF(YEAR(BK$3)=YEAR('New Hires Forecast'!$O$3),((SUMIFS('New Hires Forecast'!$O$5:$O$82,'New Hires Forecast'!$F$5:$F$82,"Exec",'New Hires Forecast'!$H$5:$H$82,"&gt;="&amp;BI!BK$3,'New Hires Forecast'!$G$5:$G$82,"&lt;="&amp;BI!BK$3)/12)),IF(YEAR(BK$3)=YEAR('New Hires Forecast'!$P$3),((SUMIFS('New Hires Forecast'!$P$5:$P$82,'New Hires Forecast'!$F$5:$F$82,"Exec",'New Hires Forecast'!$H$5:$H$82,"&gt;="&amp;BI!BK$3,'New Hires Forecast'!$G$5:$G$82,"&lt;="&amp;BI!BK$3)/12)),IF(YEAR(BK$3)=YEAR('New Hires Forecast'!$Q$3),((SUMIFS('New Hires Forecast'!$Q$5:$Q$82,'New Hires Forecast'!$F$5:$F$82,"Exec",'New Hires Forecast'!$H$5:$H$82,"&gt;="&amp;BI!BK$3,'New Hires Forecast'!$G$5:$G$82,"&lt;="&amp;BI!BK$3)/12)),IF(YEAR(BK$3)=YEAR('New Hires Forecast'!$R$3),((SUMIFS('New Hires Forecast'!$R$5:$R$82,'New Hires Forecast'!$F$5:$F$82,"Exec",'New Hires Forecast'!$H$5:$H$82,"&gt;="&amp;BI!BK$3,'New Hires Forecast'!$G$5:$G$82,"&lt;="&amp;BI!BK$3)/12))))))),0)</f>
        <v>0</v>
      </c>
      <c r="BL13" s="668">
        <f>IF(BL$4="forecast",IF(YEAR(BL$3)=YEAR('New Hires Forecast'!$N$3),((SUMIFS('New Hires Forecast'!$N$5:$N$82,'New Hires Forecast'!$F$5:$F$82,"Exec",'New Hires Forecast'!$H$5:$H$82,"&gt;="&amp;BI!BL$3,'New Hires Forecast'!$G$5:$G$82,"&lt;="&amp;BI!BL$3)/12)),IF(YEAR(BL$3)=YEAR('New Hires Forecast'!$O$3),((SUMIFS('New Hires Forecast'!$O$5:$O$82,'New Hires Forecast'!$F$5:$F$82,"Exec",'New Hires Forecast'!$H$5:$H$82,"&gt;="&amp;BI!BL$3,'New Hires Forecast'!$G$5:$G$82,"&lt;="&amp;BI!BL$3)/12)),IF(YEAR(BL$3)=YEAR('New Hires Forecast'!$P$3),((SUMIFS('New Hires Forecast'!$P$5:$P$82,'New Hires Forecast'!$F$5:$F$82,"Exec",'New Hires Forecast'!$H$5:$H$82,"&gt;="&amp;BI!BL$3,'New Hires Forecast'!$G$5:$G$82,"&lt;="&amp;BI!BL$3)/12)),IF(YEAR(BL$3)=YEAR('New Hires Forecast'!$Q$3),((SUMIFS('New Hires Forecast'!$Q$5:$Q$82,'New Hires Forecast'!$F$5:$F$82,"Exec",'New Hires Forecast'!$H$5:$H$82,"&gt;="&amp;BI!BL$3,'New Hires Forecast'!$G$5:$G$82,"&lt;="&amp;BI!BL$3)/12)),IF(YEAR(BL$3)=YEAR('New Hires Forecast'!$R$3),((SUMIFS('New Hires Forecast'!$R$5:$R$82,'New Hires Forecast'!$F$5:$F$82,"Exec",'New Hires Forecast'!$H$5:$H$82,"&gt;="&amp;BI!BL$3,'New Hires Forecast'!$G$5:$G$82,"&lt;="&amp;BI!BL$3)/12))))))),0)</f>
        <v>0</v>
      </c>
      <c r="BM13" s="668">
        <f>IF(BM$4="forecast",IF(YEAR(BM$3)=YEAR('New Hires Forecast'!$N$3),((SUMIFS('New Hires Forecast'!$N$5:$N$82,'New Hires Forecast'!$F$5:$F$82,"Exec",'New Hires Forecast'!$H$5:$H$82,"&gt;="&amp;BI!BM$3,'New Hires Forecast'!$G$5:$G$82,"&lt;="&amp;BI!BM$3)/12)),IF(YEAR(BM$3)=YEAR('New Hires Forecast'!$O$3),((SUMIFS('New Hires Forecast'!$O$5:$O$82,'New Hires Forecast'!$F$5:$F$82,"Exec",'New Hires Forecast'!$H$5:$H$82,"&gt;="&amp;BI!BM$3,'New Hires Forecast'!$G$5:$G$82,"&lt;="&amp;BI!BM$3)/12)),IF(YEAR(BM$3)=YEAR('New Hires Forecast'!$P$3),((SUMIFS('New Hires Forecast'!$P$5:$P$82,'New Hires Forecast'!$F$5:$F$82,"Exec",'New Hires Forecast'!$H$5:$H$82,"&gt;="&amp;BI!BM$3,'New Hires Forecast'!$G$5:$G$82,"&lt;="&amp;BI!BM$3)/12)),IF(YEAR(BM$3)=YEAR('New Hires Forecast'!$Q$3),((SUMIFS('New Hires Forecast'!$Q$5:$Q$82,'New Hires Forecast'!$F$5:$F$82,"Exec",'New Hires Forecast'!$H$5:$H$82,"&gt;="&amp;BI!BM$3,'New Hires Forecast'!$G$5:$G$82,"&lt;="&amp;BI!BM$3)/12)),IF(YEAR(BM$3)=YEAR('New Hires Forecast'!$R$3),((SUMIFS('New Hires Forecast'!$R$5:$R$82,'New Hires Forecast'!$F$5:$F$82,"Exec",'New Hires Forecast'!$H$5:$H$82,"&gt;="&amp;BI!BM$3,'New Hires Forecast'!$G$5:$G$82,"&lt;="&amp;BI!BM$3)/12))))))),0)</f>
        <v>0</v>
      </c>
      <c r="BN13" s="668">
        <f>IF(BN$4="forecast",IF(YEAR(BN$3)=YEAR('New Hires Forecast'!$N$3),((SUMIFS('New Hires Forecast'!$N$5:$N$82,'New Hires Forecast'!$F$5:$F$82,"Exec",'New Hires Forecast'!$H$5:$H$82,"&gt;="&amp;BI!BN$3,'New Hires Forecast'!$G$5:$G$82,"&lt;="&amp;BI!BN$3)/12)),IF(YEAR(BN$3)=YEAR('New Hires Forecast'!$O$3),((SUMIFS('New Hires Forecast'!$O$5:$O$82,'New Hires Forecast'!$F$5:$F$82,"Exec",'New Hires Forecast'!$H$5:$H$82,"&gt;="&amp;BI!BN$3,'New Hires Forecast'!$G$5:$G$82,"&lt;="&amp;BI!BN$3)/12)),IF(YEAR(BN$3)=YEAR('New Hires Forecast'!$P$3),((SUMIFS('New Hires Forecast'!$P$5:$P$82,'New Hires Forecast'!$F$5:$F$82,"Exec",'New Hires Forecast'!$H$5:$H$82,"&gt;="&amp;BI!BN$3,'New Hires Forecast'!$G$5:$G$82,"&lt;="&amp;BI!BN$3)/12)),IF(YEAR(BN$3)=YEAR('New Hires Forecast'!$Q$3),((SUMIFS('New Hires Forecast'!$Q$5:$Q$82,'New Hires Forecast'!$F$5:$F$82,"Exec",'New Hires Forecast'!$H$5:$H$82,"&gt;="&amp;BI!BN$3,'New Hires Forecast'!$G$5:$G$82,"&lt;="&amp;BI!BN$3)/12)),IF(YEAR(BN$3)=YEAR('New Hires Forecast'!$R$3),((SUMIFS('New Hires Forecast'!$R$5:$R$82,'New Hires Forecast'!$F$5:$F$82,"Exec",'New Hires Forecast'!$H$5:$H$82,"&gt;="&amp;BI!BN$3,'New Hires Forecast'!$G$5:$G$82,"&lt;="&amp;BI!BN$3)/12))))))),0)</f>
        <v>0</v>
      </c>
      <c r="BO13" s="668">
        <f>IF(BO$4="forecast",IF(YEAR(BO$3)=YEAR('New Hires Forecast'!$N$3),((SUMIFS('New Hires Forecast'!$N$5:$N$82,'New Hires Forecast'!$F$5:$F$82,"Exec",'New Hires Forecast'!$H$5:$H$82,"&gt;="&amp;BI!BO$3,'New Hires Forecast'!$G$5:$G$82,"&lt;="&amp;BI!BO$3)/12)),IF(YEAR(BO$3)=YEAR('New Hires Forecast'!$O$3),((SUMIFS('New Hires Forecast'!$O$5:$O$82,'New Hires Forecast'!$F$5:$F$82,"Exec",'New Hires Forecast'!$H$5:$H$82,"&gt;="&amp;BI!BO$3,'New Hires Forecast'!$G$5:$G$82,"&lt;="&amp;BI!BO$3)/12)),IF(YEAR(BO$3)=YEAR('New Hires Forecast'!$P$3),((SUMIFS('New Hires Forecast'!$P$5:$P$82,'New Hires Forecast'!$F$5:$F$82,"Exec",'New Hires Forecast'!$H$5:$H$82,"&gt;="&amp;BI!BO$3,'New Hires Forecast'!$G$5:$G$82,"&lt;="&amp;BI!BO$3)/12)),IF(YEAR(BO$3)=YEAR('New Hires Forecast'!$Q$3),((SUMIFS('New Hires Forecast'!$Q$5:$Q$82,'New Hires Forecast'!$F$5:$F$82,"Exec",'New Hires Forecast'!$H$5:$H$82,"&gt;="&amp;BI!BO$3,'New Hires Forecast'!$G$5:$G$82,"&lt;="&amp;BI!BO$3)/12)),IF(YEAR(BO$3)=YEAR('New Hires Forecast'!$R$3),((SUMIFS('New Hires Forecast'!$R$5:$R$82,'New Hires Forecast'!$F$5:$F$82,"Exec",'New Hires Forecast'!$H$5:$H$82,"&gt;="&amp;BI!BO$3,'New Hires Forecast'!$G$5:$G$82,"&lt;="&amp;BI!BO$3)/12))))))),0)</f>
        <v>0</v>
      </c>
      <c r="BP13" s="668">
        <f>IF(BP$4="forecast",IF(YEAR(BP$3)=YEAR('New Hires Forecast'!$N$3),((SUMIFS('New Hires Forecast'!$N$5:$N$82,'New Hires Forecast'!$F$5:$F$82,"Exec",'New Hires Forecast'!$H$5:$H$82,"&gt;="&amp;BI!BP$3,'New Hires Forecast'!$G$5:$G$82,"&lt;="&amp;BI!BP$3)/12)),IF(YEAR(BP$3)=YEAR('New Hires Forecast'!$O$3),((SUMIFS('New Hires Forecast'!$O$5:$O$82,'New Hires Forecast'!$F$5:$F$82,"Exec",'New Hires Forecast'!$H$5:$H$82,"&gt;="&amp;BI!BP$3,'New Hires Forecast'!$G$5:$G$82,"&lt;="&amp;BI!BP$3)/12)),IF(YEAR(BP$3)=YEAR('New Hires Forecast'!$P$3),((SUMIFS('New Hires Forecast'!$P$5:$P$82,'New Hires Forecast'!$F$5:$F$82,"Exec",'New Hires Forecast'!$H$5:$H$82,"&gt;="&amp;BI!BP$3,'New Hires Forecast'!$G$5:$G$82,"&lt;="&amp;BI!BP$3)/12)),IF(YEAR(BP$3)=YEAR('New Hires Forecast'!$Q$3),((SUMIFS('New Hires Forecast'!$Q$5:$Q$82,'New Hires Forecast'!$F$5:$F$82,"Exec",'New Hires Forecast'!$H$5:$H$82,"&gt;="&amp;BI!BP$3,'New Hires Forecast'!$G$5:$G$82,"&lt;="&amp;BI!BP$3)/12)),IF(YEAR(BP$3)=YEAR('New Hires Forecast'!$R$3),((SUMIFS('New Hires Forecast'!$R$5:$R$82,'New Hires Forecast'!$F$5:$F$82,"Exec",'New Hires Forecast'!$H$5:$H$82,"&gt;="&amp;BI!BP$3,'New Hires Forecast'!$G$5:$G$82,"&lt;="&amp;BI!BP$3)/12))))))),0)</f>
        <v>0</v>
      </c>
      <c r="BQ13" s="668">
        <f>IF(BQ$4="forecast",IF(YEAR(BQ$3)=YEAR('New Hires Forecast'!$N$3),((SUMIFS('New Hires Forecast'!$N$5:$N$82,'New Hires Forecast'!$F$5:$F$82,"Exec",'New Hires Forecast'!$H$5:$H$82,"&gt;="&amp;BI!BQ$3,'New Hires Forecast'!$G$5:$G$82,"&lt;="&amp;BI!BQ$3)/12)),IF(YEAR(BQ$3)=YEAR('New Hires Forecast'!$O$3),((SUMIFS('New Hires Forecast'!$O$5:$O$82,'New Hires Forecast'!$F$5:$F$82,"Exec",'New Hires Forecast'!$H$5:$H$82,"&gt;="&amp;BI!BQ$3,'New Hires Forecast'!$G$5:$G$82,"&lt;="&amp;BI!BQ$3)/12)),IF(YEAR(BQ$3)=YEAR('New Hires Forecast'!$P$3),((SUMIFS('New Hires Forecast'!$P$5:$P$82,'New Hires Forecast'!$F$5:$F$82,"Exec",'New Hires Forecast'!$H$5:$H$82,"&gt;="&amp;BI!BQ$3,'New Hires Forecast'!$G$5:$G$82,"&lt;="&amp;BI!BQ$3)/12)),IF(YEAR(BQ$3)=YEAR('New Hires Forecast'!$Q$3),((SUMIFS('New Hires Forecast'!$Q$5:$Q$82,'New Hires Forecast'!$F$5:$F$82,"Exec",'New Hires Forecast'!$H$5:$H$82,"&gt;="&amp;BI!BQ$3,'New Hires Forecast'!$G$5:$G$82,"&lt;="&amp;BI!BQ$3)/12)),IF(YEAR(BQ$3)=YEAR('New Hires Forecast'!$R$3),((SUMIFS('New Hires Forecast'!$R$5:$R$82,'New Hires Forecast'!$F$5:$F$82,"Exec",'New Hires Forecast'!$H$5:$H$82,"&gt;="&amp;BI!BQ$3,'New Hires Forecast'!$G$5:$G$82,"&lt;="&amp;BI!BQ$3)/12))))))),0)</f>
        <v>0</v>
      </c>
      <c r="BR13" s="668">
        <f>IF(BR$4="forecast",IF(YEAR(BR$3)=YEAR('New Hires Forecast'!$N$3),((SUMIFS('New Hires Forecast'!$N$5:$N$82,'New Hires Forecast'!$F$5:$F$82,"Exec",'New Hires Forecast'!$H$5:$H$82,"&gt;="&amp;BI!BR$3,'New Hires Forecast'!$G$5:$G$82,"&lt;="&amp;BI!BR$3)/12)),IF(YEAR(BR$3)=YEAR('New Hires Forecast'!$O$3),((SUMIFS('New Hires Forecast'!$O$5:$O$82,'New Hires Forecast'!$F$5:$F$82,"Exec",'New Hires Forecast'!$H$5:$H$82,"&gt;="&amp;BI!BR$3,'New Hires Forecast'!$G$5:$G$82,"&lt;="&amp;BI!BR$3)/12)),IF(YEAR(BR$3)=YEAR('New Hires Forecast'!$P$3),((SUMIFS('New Hires Forecast'!$P$5:$P$82,'New Hires Forecast'!$F$5:$F$82,"Exec",'New Hires Forecast'!$H$5:$H$82,"&gt;="&amp;BI!BR$3,'New Hires Forecast'!$G$5:$G$82,"&lt;="&amp;BI!BR$3)/12)),IF(YEAR(BR$3)=YEAR('New Hires Forecast'!$Q$3),((SUMIFS('New Hires Forecast'!$Q$5:$Q$82,'New Hires Forecast'!$F$5:$F$82,"Exec",'New Hires Forecast'!$H$5:$H$82,"&gt;="&amp;BI!BR$3,'New Hires Forecast'!$G$5:$G$82,"&lt;="&amp;BI!BR$3)/12)),IF(YEAR(BR$3)=YEAR('New Hires Forecast'!$R$3),((SUMIFS('New Hires Forecast'!$R$5:$R$82,'New Hires Forecast'!$F$5:$F$82,"Exec",'New Hires Forecast'!$H$5:$H$82,"&gt;="&amp;BI!BR$3,'New Hires Forecast'!$G$5:$G$82,"&lt;="&amp;BI!BR$3)/12))))))),0)</f>
        <v>0</v>
      </c>
      <c r="BS13" s="668">
        <f>IF(BS$4="forecast",IF(YEAR(BS$3)=YEAR('New Hires Forecast'!$N$3),((SUMIFS('New Hires Forecast'!$N$5:$N$82,'New Hires Forecast'!$F$5:$F$82,"Exec",'New Hires Forecast'!$H$5:$H$82,"&gt;="&amp;BI!BS$3,'New Hires Forecast'!$G$5:$G$82,"&lt;="&amp;BI!BS$3)/12)),IF(YEAR(BS$3)=YEAR('New Hires Forecast'!$O$3),((SUMIFS('New Hires Forecast'!$O$5:$O$82,'New Hires Forecast'!$F$5:$F$82,"Exec",'New Hires Forecast'!$H$5:$H$82,"&gt;="&amp;BI!BS$3,'New Hires Forecast'!$G$5:$G$82,"&lt;="&amp;BI!BS$3)/12)),IF(YEAR(BS$3)=YEAR('New Hires Forecast'!$P$3),((SUMIFS('New Hires Forecast'!$P$5:$P$82,'New Hires Forecast'!$F$5:$F$82,"Exec",'New Hires Forecast'!$H$5:$H$82,"&gt;="&amp;BI!BS$3,'New Hires Forecast'!$G$5:$G$82,"&lt;="&amp;BI!BS$3)/12)),IF(YEAR(BS$3)=YEAR('New Hires Forecast'!$Q$3),((SUMIFS('New Hires Forecast'!$Q$5:$Q$82,'New Hires Forecast'!$F$5:$F$82,"Exec",'New Hires Forecast'!$H$5:$H$82,"&gt;="&amp;BI!BS$3,'New Hires Forecast'!$G$5:$G$82,"&lt;="&amp;BI!BS$3)/12)),IF(YEAR(BS$3)=YEAR('New Hires Forecast'!$R$3),((SUMIFS('New Hires Forecast'!$R$5:$R$82,'New Hires Forecast'!$F$5:$F$82,"Exec",'New Hires Forecast'!$H$5:$H$82,"&gt;="&amp;BI!BS$3,'New Hires Forecast'!$G$5:$G$82,"&lt;="&amp;BI!BS$3)/12))))))),0)</f>
        <v>0</v>
      </c>
      <c r="BT13" s="668">
        <f>IF(BT$4="forecast",IF(YEAR(BT$3)=YEAR('New Hires Forecast'!$N$3),((SUMIFS('New Hires Forecast'!$N$5:$N$82,'New Hires Forecast'!$F$5:$F$82,"Exec",'New Hires Forecast'!$H$5:$H$82,"&gt;="&amp;BI!BT$3,'New Hires Forecast'!$G$5:$G$82,"&lt;="&amp;BI!BT$3)/12)),IF(YEAR(BT$3)=YEAR('New Hires Forecast'!$O$3),((SUMIFS('New Hires Forecast'!$O$5:$O$82,'New Hires Forecast'!$F$5:$F$82,"Exec",'New Hires Forecast'!$H$5:$H$82,"&gt;="&amp;BI!BT$3,'New Hires Forecast'!$G$5:$G$82,"&lt;="&amp;BI!BT$3)/12)),IF(YEAR(BT$3)=YEAR('New Hires Forecast'!$P$3),((SUMIFS('New Hires Forecast'!$P$5:$P$82,'New Hires Forecast'!$F$5:$F$82,"Exec",'New Hires Forecast'!$H$5:$H$82,"&gt;="&amp;BI!BT$3,'New Hires Forecast'!$G$5:$G$82,"&lt;="&amp;BI!BT$3)/12)),IF(YEAR(BT$3)=YEAR('New Hires Forecast'!$Q$3),((SUMIFS('New Hires Forecast'!$Q$5:$Q$82,'New Hires Forecast'!$F$5:$F$82,"Exec",'New Hires Forecast'!$H$5:$H$82,"&gt;="&amp;BI!BT$3,'New Hires Forecast'!$G$5:$G$82,"&lt;="&amp;BI!BT$3)/12)),IF(YEAR(BT$3)=YEAR('New Hires Forecast'!$R$3),((SUMIFS('New Hires Forecast'!$R$5:$R$82,'New Hires Forecast'!$F$5:$F$82,"Exec",'New Hires Forecast'!$H$5:$H$82,"&gt;="&amp;BI!BT$3,'New Hires Forecast'!$G$5:$G$82,"&lt;="&amp;BI!BT$3)/12))))))),0)</f>
        <v>0</v>
      </c>
      <c r="BU13" s="668">
        <f>IF(BU$4="forecast",IF(YEAR(BU$3)=YEAR('New Hires Forecast'!$N$3),((SUMIFS('New Hires Forecast'!$N$5:$N$82,'New Hires Forecast'!$F$5:$F$82,"Exec",'New Hires Forecast'!$H$5:$H$82,"&gt;="&amp;BI!BU$3,'New Hires Forecast'!$G$5:$G$82,"&lt;="&amp;BI!BU$3)/12)),IF(YEAR(BU$3)=YEAR('New Hires Forecast'!$O$3),((SUMIFS('New Hires Forecast'!$O$5:$O$82,'New Hires Forecast'!$F$5:$F$82,"Exec",'New Hires Forecast'!$H$5:$H$82,"&gt;="&amp;BI!BU$3,'New Hires Forecast'!$G$5:$G$82,"&lt;="&amp;BI!BU$3)/12)),IF(YEAR(BU$3)=YEAR('New Hires Forecast'!$P$3),((SUMIFS('New Hires Forecast'!$P$5:$P$82,'New Hires Forecast'!$F$5:$F$82,"Exec",'New Hires Forecast'!$H$5:$H$82,"&gt;="&amp;BI!BU$3,'New Hires Forecast'!$G$5:$G$82,"&lt;="&amp;BI!BU$3)/12)),IF(YEAR(BU$3)=YEAR('New Hires Forecast'!$Q$3),((SUMIFS('New Hires Forecast'!$Q$5:$Q$82,'New Hires Forecast'!$F$5:$F$82,"Exec",'New Hires Forecast'!$H$5:$H$82,"&gt;="&amp;BI!BU$3,'New Hires Forecast'!$G$5:$G$82,"&lt;="&amp;BI!BU$3)/12)),IF(YEAR(BU$3)=YEAR('New Hires Forecast'!$R$3),((SUMIFS('New Hires Forecast'!$R$5:$R$82,'New Hires Forecast'!$F$5:$F$82,"Exec",'New Hires Forecast'!$H$5:$H$82,"&gt;="&amp;BI!BU$3,'New Hires Forecast'!$G$5:$G$82,"&lt;="&amp;BI!BU$3)/12))))))),0)</f>
        <v>0</v>
      </c>
      <c r="BV13" s="668">
        <f>IF(BV$4="forecast",IF(YEAR(BV$3)=YEAR('New Hires Forecast'!$N$3),((SUMIFS('New Hires Forecast'!$N$5:$N$82,'New Hires Forecast'!$F$5:$F$82,"Exec",'New Hires Forecast'!$H$5:$H$82,"&gt;="&amp;BI!BV$3,'New Hires Forecast'!$G$5:$G$82,"&lt;="&amp;BI!BV$3)/12)),IF(YEAR(BV$3)=YEAR('New Hires Forecast'!$O$3),((SUMIFS('New Hires Forecast'!$O$5:$O$82,'New Hires Forecast'!$F$5:$F$82,"Exec",'New Hires Forecast'!$H$5:$H$82,"&gt;="&amp;BI!BV$3,'New Hires Forecast'!$G$5:$G$82,"&lt;="&amp;BI!BV$3)/12)),IF(YEAR(BV$3)=YEAR('New Hires Forecast'!$P$3),((SUMIFS('New Hires Forecast'!$P$5:$P$82,'New Hires Forecast'!$F$5:$F$82,"Exec",'New Hires Forecast'!$H$5:$H$82,"&gt;="&amp;BI!BV$3,'New Hires Forecast'!$G$5:$G$82,"&lt;="&amp;BI!BV$3)/12)),IF(YEAR(BV$3)=YEAR('New Hires Forecast'!$Q$3),((SUMIFS('New Hires Forecast'!$Q$5:$Q$82,'New Hires Forecast'!$F$5:$F$82,"Exec",'New Hires Forecast'!$H$5:$H$82,"&gt;="&amp;BI!BV$3,'New Hires Forecast'!$G$5:$G$82,"&lt;="&amp;BI!BV$3)/12)),IF(YEAR(BV$3)=YEAR('New Hires Forecast'!$R$3),((SUMIFS('New Hires Forecast'!$R$5:$R$82,'New Hires Forecast'!$F$5:$F$82,"Exec",'New Hires Forecast'!$H$5:$H$82,"&gt;="&amp;BI!BV$3,'New Hires Forecast'!$G$5:$G$82,"&lt;="&amp;BI!BV$3)/12))))))),0)</f>
        <v>0</v>
      </c>
    </row>
    <row r="14" spans="2:74" x14ac:dyDescent="0.25">
      <c r="B14" s="791" t="s">
        <v>929</v>
      </c>
      <c r="C14" s="1139"/>
      <c r="D14" s="1139"/>
      <c r="E14" s="1139"/>
      <c r="F14" s="1139"/>
      <c r="G14" s="1139"/>
      <c r="H14" s="1139"/>
      <c r="I14" s="1139"/>
      <c r="J14" s="1139"/>
      <c r="K14" s="1139"/>
      <c r="L14" s="1139"/>
      <c r="M14" s="1139"/>
      <c r="N14" s="1139"/>
      <c r="O14" s="1139"/>
      <c r="P14" s="1139"/>
      <c r="Q14" s="1139"/>
      <c r="R14" s="1139"/>
      <c r="S14" s="1139"/>
      <c r="T14" s="1139"/>
      <c r="U14" s="1139"/>
      <c r="V14" s="1139"/>
      <c r="W14" s="1139"/>
      <c r="X14" s="1139"/>
      <c r="Y14" s="1139"/>
      <c r="Z14" s="1139"/>
      <c r="AA14" s="1139">
        <f t="shared" ref="AA14" si="1">SUM(AA12:AA13)</f>
        <v>26442.3</v>
      </c>
      <c r="AB14" s="1139">
        <f t="shared" ref="AB14" si="2">SUM(AB12:AB13)</f>
        <v>32692.3</v>
      </c>
      <c r="AC14" s="1139">
        <f t="shared" ref="AC14:BV14" si="3">SUM(AC12:AC13)</f>
        <v>31903.83</v>
      </c>
      <c r="AD14" s="1139">
        <f t="shared" si="3"/>
        <v>31903.83</v>
      </c>
      <c r="AE14" s="1139">
        <f t="shared" si="3"/>
        <v>31903.83</v>
      </c>
      <c r="AF14" s="1139">
        <f t="shared" si="3"/>
        <v>31903.83</v>
      </c>
      <c r="AG14" s="1139">
        <f t="shared" si="3"/>
        <v>31903.83</v>
      </c>
      <c r="AH14" s="1139">
        <f t="shared" si="3"/>
        <v>31903.83</v>
      </c>
      <c r="AI14" s="1139">
        <f t="shared" si="3"/>
        <v>31903.83</v>
      </c>
      <c r="AJ14" s="1139">
        <f t="shared" si="3"/>
        <v>31903.83</v>
      </c>
      <c r="AK14" s="1139">
        <f t="shared" si="3"/>
        <v>31903.83</v>
      </c>
      <c r="AL14" s="1139">
        <f t="shared" si="3"/>
        <v>31903.83</v>
      </c>
      <c r="AM14" s="1139">
        <f t="shared" si="3"/>
        <v>31903.83</v>
      </c>
      <c r="AN14" s="1139">
        <f t="shared" si="3"/>
        <v>0</v>
      </c>
      <c r="AO14" s="1139">
        <f t="shared" si="3"/>
        <v>0</v>
      </c>
      <c r="AP14" s="1139">
        <f t="shared" si="3"/>
        <v>0</v>
      </c>
      <c r="AQ14" s="1139">
        <f t="shared" si="3"/>
        <v>0</v>
      </c>
      <c r="AR14" s="1139">
        <f t="shared" si="3"/>
        <v>0</v>
      </c>
      <c r="AS14" s="1139">
        <f t="shared" si="3"/>
        <v>0</v>
      </c>
      <c r="AT14" s="1139">
        <f t="shared" si="3"/>
        <v>0</v>
      </c>
      <c r="AU14" s="1139">
        <f t="shared" si="3"/>
        <v>0</v>
      </c>
      <c r="AV14" s="1139">
        <f t="shared" si="3"/>
        <v>0</v>
      </c>
      <c r="AW14" s="1139">
        <f t="shared" si="3"/>
        <v>0</v>
      </c>
      <c r="AX14" s="1139">
        <f t="shared" si="3"/>
        <v>0</v>
      </c>
      <c r="AY14" s="1139">
        <f t="shared" si="3"/>
        <v>0</v>
      </c>
      <c r="AZ14" s="1139">
        <f t="shared" si="3"/>
        <v>0</v>
      </c>
      <c r="BA14" s="1139">
        <f t="shared" si="3"/>
        <v>0</v>
      </c>
      <c r="BB14" s="1139">
        <f t="shared" si="3"/>
        <v>0</v>
      </c>
      <c r="BC14" s="1139">
        <f t="shared" si="3"/>
        <v>0</v>
      </c>
      <c r="BD14" s="1139">
        <f t="shared" si="3"/>
        <v>0</v>
      </c>
      <c r="BE14" s="1139">
        <f t="shared" si="3"/>
        <v>0</v>
      </c>
      <c r="BF14" s="1139">
        <f t="shared" si="3"/>
        <v>0</v>
      </c>
      <c r="BG14" s="1139">
        <f t="shared" si="3"/>
        <v>0</v>
      </c>
      <c r="BH14" s="1139">
        <f t="shared" si="3"/>
        <v>0</v>
      </c>
      <c r="BI14" s="1139">
        <f t="shared" si="3"/>
        <v>0</v>
      </c>
      <c r="BJ14" s="1139">
        <f t="shared" si="3"/>
        <v>0</v>
      </c>
      <c r="BK14" s="1139">
        <f t="shared" si="3"/>
        <v>0</v>
      </c>
      <c r="BL14" s="1139">
        <f t="shared" si="3"/>
        <v>0</v>
      </c>
      <c r="BM14" s="1139">
        <f t="shared" si="3"/>
        <v>0</v>
      </c>
      <c r="BN14" s="1139">
        <f t="shared" si="3"/>
        <v>0</v>
      </c>
      <c r="BO14" s="1139">
        <f t="shared" si="3"/>
        <v>0</v>
      </c>
      <c r="BP14" s="1139">
        <f t="shared" si="3"/>
        <v>0</v>
      </c>
      <c r="BQ14" s="1139">
        <f t="shared" si="3"/>
        <v>0</v>
      </c>
      <c r="BR14" s="1139">
        <f t="shared" si="3"/>
        <v>0</v>
      </c>
      <c r="BS14" s="1139">
        <f t="shared" si="3"/>
        <v>0</v>
      </c>
      <c r="BT14" s="1139">
        <f t="shared" si="3"/>
        <v>0</v>
      </c>
      <c r="BU14" s="1139">
        <f t="shared" si="3"/>
        <v>0</v>
      </c>
      <c r="BV14" s="1139">
        <f t="shared" si="3"/>
        <v>0</v>
      </c>
    </row>
    <row r="15" spans="2:74" x14ac:dyDescent="0.25">
      <c r="B15" s="780" t="s">
        <v>931</v>
      </c>
      <c r="C15" s="668"/>
      <c r="D15" s="668"/>
      <c r="E15" s="668"/>
      <c r="F15" s="668"/>
      <c r="G15" s="668"/>
      <c r="H15" s="668"/>
      <c r="I15" s="668"/>
      <c r="J15" s="668"/>
      <c r="K15" s="668"/>
      <c r="L15" s="668"/>
      <c r="M15" s="668"/>
      <c r="N15" s="668"/>
      <c r="O15" s="668"/>
      <c r="P15" s="668"/>
      <c r="Q15" s="668"/>
      <c r="R15" s="668"/>
      <c r="S15" s="668"/>
      <c r="T15" s="668"/>
      <c r="U15" s="668"/>
      <c r="V15" s="668"/>
      <c r="W15" s="668"/>
      <c r="X15" s="668"/>
      <c r="Y15" s="668"/>
      <c r="Z15" s="668"/>
      <c r="AA15" s="668">
        <f>IF(AA$4="forecast",IF(YEAR(AA$3)=YEAR('New Hires Forecast'!$N$3),IF((AA$5&lt;=12),(SUMPRODUCT(--('New Hires Forecast'!$F$5:$F$85="bi"),--('New Hires Forecast'!$H$5:$H$85&gt;=BI!AA$3),'New Hires Forecast'!$N$5:$N$85,'New Hires Forecast'!$L$5:$L$85)/12),0),IF(YEAR(AA$3)=YEAR('New Hires Forecast'!$O$3),IF((AA$5&lt;=12),(SUMPRODUCT(--('New Hires Forecast'!$F$5:$F$85="bi"),--('New Hires Forecast'!$H$5:$H$85&gt;=BI!AA$3),'New Hires Forecast'!$O$5:$O$85,'New Hires Forecast'!$L$5:$L$85)/12),0),IF(YEAR(AA$3)=YEAR('New Hires Forecast'!$P$3),IF((AA$5&lt;=12),(SUMPRODUCT(--('New Hires Forecast'!$F$5:$F$85="bi"),--('New Hires Forecast'!$H$5:$H$85&gt;=BI!AA$3),'New Hires Forecast'!$P$5:$P$85,'New Hires Forecast'!$L$5:$L$85)/12),0),IF(YEAR(AA$3)=YEAR('New Hires Forecast'!$Q$3),IF((AA$5&lt;=12),(SUMPRODUCT(--('New Hires Forecast'!$F$5:$F$85="bi"),--('New Hires Forecast'!$H$5:$H$85&gt;=BI!AA$3),'New Hires Forecast'!$Q$5:$Q$85,'New Hires Forecast'!$L$5:$L$85)/12),0),IF(YEAR(AA$3)=YEAR('New Hires Forecast'!$R$3),IF((AA$5&lt;=12),(SUMPRODUCT(--('New Hires Forecast'!$F$5:$F$85="bi"),--('New Hires Forecast'!$H$5:$H$85&gt;=BI!AA$3),'New Hires Forecast'!$R$5:$R$85,'New Hires Forecast'!$L$5:$L$85)/12),0),"New Year"))))),0)</f>
        <v>0</v>
      </c>
      <c r="AB15" s="668">
        <f>IF(AB$4="forecast",IF(YEAR(AB$3)=YEAR('New Hires Forecast'!$N$3),IF((AB$5&lt;=12),(SUMPRODUCT(--('New Hires Forecast'!$F$5:$F$85="bi"),--('New Hires Forecast'!$H$5:$H$85&gt;=BI!AB$3),'New Hires Forecast'!$N$5:$N$85,'New Hires Forecast'!$L$5:$L$85)/12),0),IF(YEAR(AB$3)=YEAR('New Hires Forecast'!$O$3),IF((AB$5&lt;=12),(SUMPRODUCT(--('New Hires Forecast'!$F$5:$F$85="bi"),--('New Hires Forecast'!$H$5:$H$85&gt;=BI!AB$3),'New Hires Forecast'!$O$5:$O$85,'New Hires Forecast'!$L$5:$L$85)/12),0),IF(YEAR(AB$3)=YEAR('New Hires Forecast'!$P$3),IF((AB$5&lt;=12),(SUMPRODUCT(--('New Hires Forecast'!$F$5:$F$85="bi"),--('New Hires Forecast'!$H$5:$H$85&gt;=BI!AB$3),'New Hires Forecast'!$P$5:$P$85,'New Hires Forecast'!$L$5:$L$85)/12),0),IF(YEAR(AB$3)=YEAR('New Hires Forecast'!$Q$3),IF((AB$5&lt;=12),(SUMPRODUCT(--('New Hires Forecast'!$F$5:$F$85="bi"),--('New Hires Forecast'!$H$5:$H$85&gt;=BI!AB$3),'New Hires Forecast'!$Q$5:$Q$85,'New Hires Forecast'!$L$5:$L$85)/12),0),IF(YEAR(AB$3)=YEAR('New Hires Forecast'!$R$3),IF((AB$5&lt;=12),(SUMPRODUCT(--('New Hires Forecast'!$F$5:$F$85="bi"),--('New Hires Forecast'!$H$5:$H$85&gt;=BI!AB$3),'New Hires Forecast'!$R$5:$R$85,'New Hires Forecast'!$L$5:$L$85)/12),0),"New Year"))))),0)</f>
        <v>0</v>
      </c>
      <c r="AC15" s="668">
        <f>IF(AC$4="forecast",IF(YEAR(AC$3)=YEAR('New Hires Forecast'!$N$3),IF((AC$5&lt;=12),(SUMPRODUCT(--('New Hires Forecast'!$F$5:$F$85="bi"),--('New Hires Forecast'!$H$5:$H$85&gt;=BI!AC$3),'New Hires Forecast'!$N$5:$N$85,'New Hires Forecast'!$L$5:$L$85)/12),0),IF(YEAR(AC$3)=YEAR('New Hires Forecast'!$O$3),IF((AC$5&lt;=12),(SUMPRODUCT(--('New Hires Forecast'!$F$5:$F$85="bi"),--('New Hires Forecast'!$H$5:$H$85&gt;=BI!AC$3),'New Hires Forecast'!$O$5:$O$85,'New Hires Forecast'!$L$5:$L$85)/12),0),IF(YEAR(AC$3)=YEAR('New Hires Forecast'!$P$3),IF((AC$5&lt;=12),(SUMPRODUCT(--('New Hires Forecast'!$F$5:$F$85="bi"),--('New Hires Forecast'!$H$5:$H$85&gt;=BI!AC$3),'New Hires Forecast'!$P$5:$P$85,'New Hires Forecast'!$L$5:$L$85)/12),0),IF(YEAR(AC$3)=YEAR('New Hires Forecast'!$Q$3),IF((AC$5&lt;=12),(SUMPRODUCT(--('New Hires Forecast'!$F$5:$F$85="bi"),--('New Hires Forecast'!$H$5:$H$85&gt;=BI!AC$3),'New Hires Forecast'!$Q$5:$Q$85,'New Hires Forecast'!$L$5:$L$85)/12),0),IF(YEAR(AC$3)=YEAR('New Hires Forecast'!$R$3),IF((AC$5&lt;=12),(SUMPRODUCT(--('New Hires Forecast'!$F$5:$F$85="bi"),--('New Hires Forecast'!$H$5:$H$85&gt;=BI!AC$3),'New Hires Forecast'!$R$5:$R$85,'New Hires Forecast'!$L$5:$L$85)/12),0),"New Year"))))),0)</f>
        <v>0</v>
      </c>
      <c r="AD15" s="668">
        <f>IF(AD$4="forecast",IF(YEAR(AD$3)=YEAR('New Hires Forecast'!$N$3),IF((AD$5&lt;=12),(SUMPRODUCT(--('New Hires Forecast'!$F$5:$F$85="bi"),--('New Hires Forecast'!$H$5:$H$85&gt;=BI!AD$3),'New Hires Forecast'!$N$5:$N$85,'New Hires Forecast'!$L$5:$L$85)/12),0),IF(YEAR(AD$3)=YEAR('New Hires Forecast'!$O$3),IF((AD$5&lt;=12),(SUMPRODUCT(--('New Hires Forecast'!$F$5:$F$85="bi"),--('New Hires Forecast'!$H$5:$H$85&gt;=BI!AD$3),'New Hires Forecast'!$O$5:$O$85,'New Hires Forecast'!$L$5:$L$85)/12),0),IF(YEAR(AD$3)=YEAR('New Hires Forecast'!$P$3),IF((AD$5&lt;=12),(SUMPRODUCT(--('New Hires Forecast'!$F$5:$F$85="bi"),--('New Hires Forecast'!$H$5:$H$85&gt;=BI!AD$3),'New Hires Forecast'!$P$5:$P$85,'New Hires Forecast'!$L$5:$L$85)/12),0),IF(YEAR(AD$3)=YEAR('New Hires Forecast'!$Q$3),IF((AD$5&lt;=12),(SUMPRODUCT(--('New Hires Forecast'!$F$5:$F$85="bi"),--('New Hires Forecast'!$H$5:$H$85&gt;=BI!AD$3),'New Hires Forecast'!$Q$5:$Q$85,'New Hires Forecast'!$L$5:$L$85)/12),0),IF(YEAR(AD$3)=YEAR('New Hires Forecast'!$R$3),IF((AD$5&lt;=12),(SUMPRODUCT(--('New Hires Forecast'!$F$5:$F$85="bi"),--('New Hires Forecast'!$H$5:$H$85&gt;=BI!AD$3),'New Hires Forecast'!$R$5:$R$85,'New Hires Forecast'!$L$5:$L$85)/12),0),"New Year"))))),0)</f>
        <v>0</v>
      </c>
      <c r="AE15" s="668">
        <f>IF(AE$4="forecast",IF(YEAR(AE$3)=YEAR('New Hires Forecast'!$N$3),IF((AE$5&lt;=12),(SUMPRODUCT(--('New Hires Forecast'!$F$5:$F$85="bi"),--('New Hires Forecast'!$H$5:$H$85&gt;=BI!AE$3),'New Hires Forecast'!$N$5:$N$85,'New Hires Forecast'!$L$5:$L$85)/12),0),IF(YEAR(AE$3)=YEAR('New Hires Forecast'!$O$3),IF((AE$5&lt;=12),(SUMPRODUCT(--('New Hires Forecast'!$F$5:$F$85="bi"),--('New Hires Forecast'!$H$5:$H$85&gt;=BI!AE$3),'New Hires Forecast'!$O$5:$O$85,'New Hires Forecast'!$L$5:$L$85)/12),0),IF(YEAR(AE$3)=YEAR('New Hires Forecast'!$P$3),IF((AE$5&lt;=12),(SUMPRODUCT(--('New Hires Forecast'!$F$5:$F$85="bi"),--('New Hires Forecast'!$H$5:$H$85&gt;=BI!AE$3),'New Hires Forecast'!$P$5:$P$85,'New Hires Forecast'!$L$5:$L$85)/12),0),IF(YEAR(AE$3)=YEAR('New Hires Forecast'!$Q$3),IF((AE$5&lt;=12),(SUMPRODUCT(--('New Hires Forecast'!$F$5:$F$85="bi"),--('New Hires Forecast'!$H$5:$H$85&gt;=BI!AE$3),'New Hires Forecast'!$Q$5:$Q$85,'New Hires Forecast'!$L$5:$L$85)/12),0),IF(YEAR(AE$3)=YEAR('New Hires Forecast'!$R$3),IF((AE$5&lt;=12),(SUMPRODUCT(--('New Hires Forecast'!$F$5:$F$85="bi"),--('New Hires Forecast'!$H$5:$H$85&gt;=BI!AE$3),'New Hires Forecast'!$R$5:$R$85,'New Hires Forecast'!$L$5:$L$85)/12),0),"New Year"))))),0)</f>
        <v>0</v>
      </c>
      <c r="AF15" s="668">
        <f>IF(AF$4="forecast",IF(YEAR(AF$3)=YEAR('New Hires Forecast'!$N$3),IF((AF$5&lt;=12),(SUMPRODUCT(--('New Hires Forecast'!$F$5:$F$85="bi"),--('New Hires Forecast'!$H$5:$H$85&gt;=BI!AF$3),'New Hires Forecast'!$N$5:$N$85,'New Hires Forecast'!$L$5:$L$85)/12),0),IF(YEAR(AF$3)=YEAR('New Hires Forecast'!$O$3),IF((AF$5&lt;=12),(SUMPRODUCT(--('New Hires Forecast'!$F$5:$F$85="bi"),--('New Hires Forecast'!$H$5:$H$85&gt;=BI!AF$3),'New Hires Forecast'!$O$5:$O$85,'New Hires Forecast'!$L$5:$L$85)/12),0),IF(YEAR(AF$3)=YEAR('New Hires Forecast'!$P$3),IF((AF$5&lt;=12),(SUMPRODUCT(--('New Hires Forecast'!$F$5:$F$85="bi"),--('New Hires Forecast'!$H$5:$H$85&gt;=BI!AF$3),'New Hires Forecast'!$P$5:$P$85,'New Hires Forecast'!$L$5:$L$85)/12),0),IF(YEAR(AF$3)=YEAR('New Hires Forecast'!$Q$3),IF((AF$5&lt;=12),(SUMPRODUCT(--('New Hires Forecast'!$F$5:$F$85="bi"),--('New Hires Forecast'!$H$5:$H$85&gt;=BI!AF$3),'New Hires Forecast'!$Q$5:$Q$85,'New Hires Forecast'!$L$5:$L$85)/12),0),IF(YEAR(AF$3)=YEAR('New Hires Forecast'!$R$3),IF((AF$5&lt;=12),(SUMPRODUCT(--('New Hires Forecast'!$F$5:$F$85="bi"),--('New Hires Forecast'!$H$5:$H$85&gt;=BI!AF$3),'New Hires Forecast'!$R$5:$R$85,'New Hires Forecast'!$L$5:$L$85)/12),0),"New Year"))))),0)</f>
        <v>0</v>
      </c>
      <c r="AG15" s="668">
        <f>IF(AG$4="forecast",IF(YEAR(AG$3)=YEAR('New Hires Forecast'!$N$3),IF((AG$5&lt;=12),(SUMPRODUCT(--('New Hires Forecast'!$F$5:$F$85="bi"),--('New Hires Forecast'!$H$5:$H$85&gt;=BI!AG$3),'New Hires Forecast'!$N$5:$N$85,'New Hires Forecast'!$L$5:$L$85)/12),0),IF(YEAR(AG$3)=YEAR('New Hires Forecast'!$O$3),IF((AG$5&lt;=12),(SUMPRODUCT(--('New Hires Forecast'!$F$5:$F$85="bi"),--('New Hires Forecast'!$H$5:$H$85&gt;=BI!AG$3),'New Hires Forecast'!$O$5:$O$85,'New Hires Forecast'!$L$5:$L$85)/12),0),IF(YEAR(AG$3)=YEAR('New Hires Forecast'!$P$3),IF((AG$5&lt;=12),(SUMPRODUCT(--('New Hires Forecast'!$F$5:$F$85="bi"),--('New Hires Forecast'!$H$5:$H$85&gt;=BI!AG$3),'New Hires Forecast'!$P$5:$P$85,'New Hires Forecast'!$L$5:$L$85)/12),0),IF(YEAR(AG$3)=YEAR('New Hires Forecast'!$Q$3),IF((AG$5&lt;=12),(SUMPRODUCT(--('New Hires Forecast'!$F$5:$F$85="bi"),--('New Hires Forecast'!$H$5:$H$85&gt;=BI!AG$3),'New Hires Forecast'!$Q$5:$Q$85,'New Hires Forecast'!$L$5:$L$85)/12),0),IF(YEAR(AG$3)=YEAR('New Hires Forecast'!$R$3),IF((AG$5&lt;=12),(SUMPRODUCT(--('New Hires Forecast'!$F$5:$F$85="bi"),--('New Hires Forecast'!$H$5:$H$85&gt;=BI!AG$3),'New Hires Forecast'!$R$5:$R$85,'New Hires Forecast'!$L$5:$L$85)/12),0),"New Year"))))),0)</f>
        <v>0</v>
      </c>
      <c r="AH15" s="668">
        <f>IF(AH$4="forecast",IF(YEAR(AH$3)=YEAR('New Hires Forecast'!$N$3),IF((AH$5&lt;=12),(SUMPRODUCT(--('New Hires Forecast'!$F$5:$F$85="bi"),--('New Hires Forecast'!$H$5:$H$85&gt;=BI!AH$3),'New Hires Forecast'!$N$5:$N$85,'New Hires Forecast'!$L$5:$L$85)/12),0),IF(YEAR(AH$3)=YEAR('New Hires Forecast'!$O$3),IF((AH$5&lt;=12),(SUMPRODUCT(--('New Hires Forecast'!$F$5:$F$85="bi"),--('New Hires Forecast'!$H$5:$H$85&gt;=BI!AH$3),'New Hires Forecast'!$O$5:$O$85,'New Hires Forecast'!$L$5:$L$85)/12),0),IF(YEAR(AH$3)=YEAR('New Hires Forecast'!$P$3),IF((AH$5&lt;=12),(SUMPRODUCT(--('New Hires Forecast'!$F$5:$F$85="bi"),--('New Hires Forecast'!$H$5:$H$85&gt;=BI!AH$3),'New Hires Forecast'!$P$5:$P$85,'New Hires Forecast'!$L$5:$L$85)/12),0),IF(YEAR(AH$3)=YEAR('New Hires Forecast'!$Q$3),IF((AH$5&lt;=12),(SUMPRODUCT(--('New Hires Forecast'!$F$5:$F$85="bi"),--('New Hires Forecast'!$H$5:$H$85&gt;=BI!AH$3),'New Hires Forecast'!$Q$5:$Q$85,'New Hires Forecast'!$L$5:$L$85)/12),0),IF(YEAR(AH$3)=YEAR('New Hires Forecast'!$R$3),IF((AH$5&lt;=12),(SUMPRODUCT(--('New Hires Forecast'!$F$5:$F$85="bi"),--('New Hires Forecast'!$H$5:$H$85&gt;=BI!AH$3),'New Hires Forecast'!$R$5:$R$85,'New Hires Forecast'!$L$5:$L$85)/12),0),"New Year"))))),0)</f>
        <v>0</v>
      </c>
      <c r="AI15" s="668">
        <f>IF(AI$4="forecast",IF(YEAR(AI$3)=YEAR('New Hires Forecast'!$N$3),IF((AI$5&lt;=12),(SUMPRODUCT(--('New Hires Forecast'!$F$5:$F$85="bi"),--('New Hires Forecast'!$H$5:$H$85&gt;=BI!AI$3),'New Hires Forecast'!$N$5:$N$85,'New Hires Forecast'!$L$5:$L$85)/12),0),IF(YEAR(AI$3)=YEAR('New Hires Forecast'!$O$3),IF((AI$5&lt;=12),(SUMPRODUCT(--('New Hires Forecast'!$F$5:$F$85="bi"),--('New Hires Forecast'!$H$5:$H$85&gt;=BI!AI$3),'New Hires Forecast'!$O$5:$O$85,'New Hires Forecast'!$L$5:$L$85)/12),0),IF(YEAR(AI$3)=YEAR('New Hires Forecast'!$P$3),IF((AI$5&lt;=12),(SUMPRODUCT(--('New Hires Forecast'!$F$5:$F$85="bi"),--('New Hires Forecast'!$H$5:$H$85&gt;=BI!AI$3),'New Hires Forecast'!$P$5:$P$85,'New Hires Forecast'!$L$5:$L$85)/12),0),IF(YEAR(AI$3)=YEAR('New Hires Forecast'!$Q$3),IF((AI$5&lt;=12),(SUMPRODUCT(--('New Hires Forecast'!$F$5:$F$85="bi"),--('New Hires Forecast'!$H$5:$H$85&gt;=BI!AI$3),'New Hires Forecast'!$Q$5:$Q$85,'New Hires Forecast'!$L$5:$L$85)/12),0),IF(YEAR(AI$3)=YEAR('New Hires Forecast'!$R$3),IF((AI$5&lt;=12),(SUMPRODUCT(--('New Hires Forecast'!$F$5:$F$85="bi"),--('New Hires Forecast'!$H$5:$H$85&gt;=BI!AI$3),'New Hires Forecast'!$R$5:$R$85,'New Hires Forecast'!$L$5:$L$85)/12),0),"New Year"))))),0)</f>
        <v>0</v>
      </c>
      <c r="AJ15" s="668">
        <f>IF(AJ$4="forecast",IF(YEAR(AJ$3)=YEAR('New Hires Forecast'!$N$3),IF((AJ$5&lt;=12),(SUMPRODUCT(--('New Hires Forecast'!$F$5:$F$85="bi"),--('New Hires Forecast'!$H$5:$H$85&gt;=BI!AJ$3),'New Hires Forecast'!$N$5:$N$85,'New Hires Forecast'!$L$5:$L$85)/12),0),IF(YEAR(AJ$3)=YEAR('New Hires Forecast'!$O$3),IF((AJ$5&lt;=12),(SUMPRODUCT(--('New Hires Forecast'!$F$5:$F$85="bi"),--('New Hires Forecast'!$H$5:$H$85&gt;=BI!AJ$3),'New Hires Forecast'!$O$5:$O$85,'New Hires Forecast'!$L$5:$L$85)/12),0),IF(YEAR(AJ$3)=YEAR('New Hires Forecast'!$P$3),IF((AJ$5&lt;=12),(SUMPRODUCT(--('New Hires Forecast'!$F$5:$F$85="bi"),--('New Hires Forecast'!$H$5:$H$85&gt;=BI!AJ$3),'New Hires Forecast'!$P$5:$P$85,'New Hires Forecast'!$L$5:$L$85)/12),0),IF(YEAR(AJ$3)=YEAR('New Hires Forecast'!$Q$3),IF((AJ$5&lt;=12),(SUMPRODUCT(--('New Hires Forecast'!$F$5:$F$85="bi"),--('New Hires Forecast'!$H$5:$H$85&gt;=BI!AJ$3),'New Hires Forecast'!$Q$5:$Q$85,'New Hires Forecast'!$L$5:$L$85)/12),0),IF(YEAR(AJ$3)=YEAR('New Hires Forecast'!$R$3),IF((AJ$5&lt;=12),(SUMPRODUCT(--('New Hires Forecast'!$F$5:$F$85="bi"),--('New Hires Forecast'!$H$5:$H$85&gt;=BI!AJ$3),'New Hires Forecast'!$R$5:$R$85,'New Hires Forecast'!$L$5:$L$85)/12),0),"New Year"))))),0)</f>
        <v>0</v>
      </c>
      <c r="AK15" s="668">
        <f>IF(AK$4="forecast",IF(YEAR(AK$3)=YEAR('New Hires Forecast'!$N$3),IF((AK$5&lt;=12),(SUMPRODUCT(--('New Hires Forecast'!$F$5:$F$85="bi"),--('New Hires Forecast'!$H$5:$H$85&gt;=BI!AK$3),'New Hires Forecast'!$N$5:$N$85,'New Hires Forecast'!$L$5:$L$85)/12),0),IF(YEAR(AK$3)=YEAR('New Hires Forecast'!$O$3),IF((AK$5&lt;=12),(SUMPRODUCT(--('New Hires Forecast'!$F$5:$F$85="bi"),--('New Hires Forecast'!$H$5:$H$85&gt;=BI!AK$3),'New Hires Forecast'!$O$5:$O$85,'New Hires Forecast'!$L$5:$L$85)/12),0),IF(YEAR(AK$3)=YEAR('New Hires Forecast'!$P$3),IF((AK$5&lt;=12),(SUMPRODUCT(--('New Hires Forecast'!$F$5:$F$85="bi"),--('New Hires Forecast'!$H$5:$H$85&gt;=BI!AK$3),'New Hires Forecast'!$P$5:$P$85,'New Hires Forecast'!$L$5:$L$85)/12),0),IF(YEAR(AK$3)=YEAR('New Hires Forecast'!$Q$3),IF((AK$5&lt;=12),(SUMPRODUCT(--('New Hires Forecast'!$F$5:$F$85="bi"),--('New Hires Forecast'!$H$5:$H$85&gt;=BI!AK$3),'New Hires Forecast'!$Q$5:$Q$85,'New Hires Forecast'!$L$5:$L$85)/12),0),IF(YEAR(AK$3)=YEAR('New Hires Forecast'!$R$3),IF((AK$5&lt;=12),(SUMPRODUCT(--('New Hires Forecast'!$F$5:$F$85="bi"),--('New Hires Forecast'!$H$5:$H$85&gt;=BI!AK$3),'New Hires Forecast'!$R$5:$R$85,'New Hires Forecast'!$L$5:$L$85)/12),0),"New Year"))))),0)</f>
        <v>0</v>
      </c>
      <c r="AL15" s="668">
        <f>IF(AL$4="forecast",IF(YEAR(AL$3)=YEAR('New Hires Forecast'!$N$3),IF((AL$5&lt;=12),(SUMPRODUCT(--('New Hires Forecast'!$F$5:$F$85="bi"),--('New Hires Forecast'!$H$5:$H$85&gt;=BI!AL$3),'New Hires Forecast'!$N$5:$N$85,'New Hires Forecast'!$L$5:$L$85)/12),0),IF(YEAR(AL$3)=YEAR('New Hires Forecast'!$O$3),IF((AL$5&lt;=12),(SUMPRODUCT(--('New Hires Forecast'!$F$5:$F$85="bi"),--('New Hires Forecast'!$H$5:$H$85&gt;=BI!AL$3),'New Hires Forecast'!$O$5:$O$85,'New Hires Forecast'!$L$5:$L$85)/12),0),IF(YEAR(AL$3)=YEAR('New Hires Forecast'!$P$3),IF((AL$5&lt;=12),(SUMPRODUCT(--('New Hires Forecast'!$F$5:$F$85="bi"),--('New Hires Forecast'!$H$5:$H$85&gt;=BI!AL$3),'New Hires Forecast'!$P$5:$P$85,'New Hires Forecast'!$L$5:$L$85)/12),0),IF(YEAR(AL$3)=YEAR('New Hires Forecast'!$Q$3),IF((AL$5&lt;=12),(SUMPRODUCT(--('New Hires Forecast'!$F$5:$F$85="bi"),--('New Hires Forecast'!$H$5:$H$85&gt;=BI!AL$3),'New Hires Forecast'!$Q$5:$Q$85,'New Hires Forecast'!$L$5:$L$85)/12),0),IF(YEAR(AL$3)=YEAR('New Hires Forecast'!$R$3),IF((AL$5&lt;=12),(SUMPRODUCT(--('New Hires Forecast'!$F$5:$F$85="bi"),--('New Hires Forecast'!$H$5:$H$85&gt;=BI!AL$3),'New Hires Forecast'!$R$5:$R$85,'New Hires Forecast'!$L$5:$L$85)/12),0),"New Year"))))),0)</f>
        <v>0</v>
      </c>
      <c r="AM15" s="668">
        <f>IF(AM$4="forecast",IF(YEAR(AM$3)=YEAR('New Hires Forecast'!$N$3),IF((AM$5&lt;=12),(SUMPRODUCT(--('New Hires Forecast'!$F$5:$F$85="bi"),--('New Hires Forecast'!$H$5:$H$85&gt;=BI!AM$3),'New Hires Forecast'!$N$5:$N$85,'New Hires Forecast'!$L$5:$L$85)/12),0),IF(YEAR(AM$3)=YEAR('New Hires Forecast'!$O$3),IF((AM$5&lt;=12),(SUMPRODUCT(--('New Hires Forecast'!$F$5:$F$85="bi"),--('New Hires Forecast'!$H$5:$H$85&gt;=BI!AM$3),'New Hires Forecast'!$O$5:$O$85,'New Hires Forecast'!$L$5:$L$85)/12),0),IF(YEAR(AM$3)=YEAR('New Hires Forecast'!$P$3),IF((AM$5&lt;=12),(SUMPRODUCT(--('New Hires Forecast'!$F$5:$F$85="bi"),--('New Hires Forecast'!$H$5:$H$85&gt;=BI!AM$3),'New Hires Forecast'!$P$5:$P$85,'New Hires Forecast'!$L$5:$L$85)/12),0),IF(YEAR(AM$3)=YEAR('New Hires Forecast'!$Q$3),IF((AM$5&lt;=12),(SUMPRODUCT(--('New Hires Forecast'!$F$5:$F$85="bi"),--('New Hires Forecast'!$H$5:$H$85&gt;=BI!AM$3),'New Hires Forecast'!$Q$5:$Q$85,'New Hires Forecast'!$L$5:$L$85)/12),0),IF(YEAR(AM$3)=YEAR('New Hires Forecast'!$R$3),IF((AM$5&lt;=12),(SUMPRODUCT(--('New Hires Forecast'!$F$5:$F$85="bi"),--('New Hires Forecast'!$H$5:$H$85&gt;=BI!AM$3),'New Hires Forecast'!$R$5:$R$85,'New Hires Forecast'!$L$5:$L$85)/12),0),"New Year"))))),0)</f>
        <v>0</v>
      </c>
      <c r="AN15" s="668">
        <f>IF(AN$4="forecast",IF(YEAR(AN$3)=YEAR('New Hires Forecast'!$N$3),IF((AN$5&lt;=12),(SUMPRODUCT(--('New Hires Forecast'!$F$5:$F$85="bi"),--('New Hires Forecast'!$H$5:$H$85&gt;=BI!AN$3),'New Hires Forecast'!$N$5:$N$85,'New Hires Forecast'!$L$5:$L$85)/12),0),IF(YEAR(AN$3)=YEAR('New Hires Forecast'!$O$3),IF((AN$5&lt;=12),(SUMPRODUCT(--('New Hires Forecast'!$F$5:$F$85="bi"),--('New Hires Forecast'!$H$5:$H$85&gt;=BI!AN$3),'New Hires Forecast'!$O$5:$O$85,'New Hires Forecast'!$L$5:$L$85)/12),0),IF(YEAR(AN$3)=YEAR('New Hires Forecast'!$P$3),IF((AN$5&lt;=12),(SUMPRODUCT(--('New Hires Forecast'!$F$5:$F$85="bi"),--('New Hires Forecast'!$H$5:$H$85&gt;=BI!AN$3),'New Hires Forecast'!$P$5:$P$85,'New Hires Forecast'!$L$5:$L$85)/12),0),IF(YEAR(AN$3)=YEAR('New Hires Forecast'!$Q$3),IF((AN$5&lt;=12),(SUMPRODUCT(--('New Hires Forecast'!$F$5:$F$85="bi"),--('New Hires Forecast'!$H$5:$H$85&gt;=BI!AN$3),'New Hires Forecast'!$Q$5:$Q$85,'New Hires Forecast'!$L$5:$L$85)/12),0),IF(YEAR(AN$3)=YEAR('New Hires Forecast'!$R$3),IF((AN$5&lt;=12),(SUMPRODUCT(--('New Hires Forecast'!$F$5:$F$85="bi"),--('New Hires Forecast'!$H$5:$H$85&gt;=BI!AN$3),'New Hires Forecast'!$R$5:$R$85,'New Hires Forecast'!$L$5:$L$85)/12),0),"New Year"))))),0)</f>
        <v>0</v>
      </c>
      <c r="AO15" s="668">
        <f>IF(AO$4="forecast",IF(YEAR(AO$3)=YEAR('New Hires Forecast'!$N$3),IF((AO$5&lt;=12),(SUMPRODUCT(--('New Hires Forecast'!$F$5:$F$85="bi"),--('New Hires Forecast'!$H$5:$H$85&gt;=BI!AO$3),'New Hires Forecast'!$N$5:$N$85,'New Hires Forecast'!$L$5:$L$85)/12),0),IF(YEAR(AO$3)=YEAR('New Hires Forecast'!$O$3),IF((AO$5&lt;=12),(SUMPRODUCT(--('New Hires Forecast'!$F$5:$F$85="bi"),--('New Hires Forecast'!$H$5:$H$85&gt;=BI!AO$3),'New Hires Forecast'!$O$5:$O$85,'New Hires Forecast'!$L$5:$L$85)/12),0),IF(YEAR(AO$3)=YEAR('New Hires Forecast'!$P$3),IF((AO$5&lt;=12),(SUMPRODUCT(--('New Hires Forecast'!$F$5:$F$85="bi"),--('New Hires Forecast'!$H$5:$H$85&gt;=BI!AO$3),'New Hires Forecast'!$P$5:$P$85,'New Hires Forecast'!$L$5:$L$85)/12),0),IF(YEAR(AO$3)=YEAR('New Hires Forecast'!$Q$3),IF((AO$5&lt;=12),(SUMPRODUCT(--('New Hires Forecast'!$F$5:$F$85="bi"),--('New Hires Forecast'!$H$5:$H$85&gt;=BI!AO$3),'New Hires Forecast'!$Q$5:$Q$85,'New Hires Forecast'!$L$5:$L$85)/12),0),IF(YEAR(AO$3)=YEAR('New Hires Forecast'!$R$3),IF((AO$5&lt;=12),(SUMPRODUCT(--('New Hires Forecast'!$F$5:$F$85="bi"),--('New Hires Forecast'!$H$5:$H$85&gt;=BI!AO$3),'New Hires Forecast'!$R$5:$R$85,'New Hires Forecast'!$L$5:$L$85)/12),0),"New Year"))))),0)</f>
        <v>0</v>
      </c>
      <c r="AP15" s="668">
        <f>IF(AP$4="forecast",IF(YEAR(AP$3)=YEAR('New Hires Forecast'!$N$3),IF((AP$5&lt;=12),(SUMPRODUCT(--('New Hires Forecast'!$F$5:$F$85="bi"),--('New Hires Forecast'!$H$5:$H$85&gt;=BI!AP$3),'New Hires Forecast'!$N$5:$N$85,'New Hires Forecast'!$L$5:$L$85)/12),0),IF(YEAR(AP$3)=YEAR('New Hires Forecast'!$O$3),IF((AP$5&lt;=12),(SUMPRODUCT(--('New Hires Forecast'!$F$5:$F$85="bi"),--('New Hires Forecast'!$H$5:$H$85&gt;=BI!AP$3),'New Hires Forecast'!$O$5:$O$85,'New Hires Forecast'!$L$5:$L$85)/12),0),IF(YEAR(AP$3)=YEAR('New Hires Forecast'!$P$3),IF((AP$5&lt;=12),(SUMPRODUCT(--('New Hires Forecast'!$F$5:$F$85="bi"),--('New Hires Forecast'!$H$5:$H$85&gt;=BI!AP$3),'New Hires Forecast'!$P$5:$P$85,'New Hires Forecast'!$L$5:$L$85)/12),0),IF(YEAR(AP$3)=YEAR('New Hires Forecast'!$Q$3),IF((AP$5&lt;=12),(SUMPRODUCT(--('New Hires Forecast'!$F$5:$F$85="bi"),--('New Hires Forecast'!$H$5:$H$85&gt;=BI!AP$3),'New Hires Forecast'!$Q$5:$Q$85,'New Hires Forecast'!$L$5:$L$85)/12),0),IF(YEAR(AP$3)=YEAR('New Hires Forecast'!$R$3),IF((AP$5&lt;=12),(SUMPRODUCT(--('New Hires Forecast'!$F$5:$F$85="bi"),--('New Hires Forecast'!$H$5:$H$85&gt;=BI!AP$3),'New Hires Forecast'!$R$5:$R$85,'New Hires Forecast'!$L$5:$L$85)/12),0),"New Year"))))),0)</f>
        <v>0</v>
      </c>
      <c r="AQ15" s="668">
        <f>IF(AQ$4="forecast",IF(YEAR(AQ$3)=YEAR('New Hires Forecast'!$N$3),IF((AQ$5&lt;=12),(SUMPRODUCT(--('New Hires Forecast'!$F$5:$F$85="bi"),--('New Hires Forecast'!$H$5:$H$85&gt;=BI!AQ$3),'New Hires Forecast'!$N$5:$N$85,'New Hires Forecast'!$L$5:$L$85)/12),0),IF(YEAR(AQ$3)=YEAR('New Hires Forecast'!$O$3),IF((AQ$5&lt;=12),(SUMPRODUCT(--('New Hires Forecast'!$F$5:$F$85="bi"),--('New Hires Forecast'!$H$5:$H$85&gt;=BI!AQ$3),'New Hires Forecast'!$O$5:$O$85,'New Hires Forecast'!$L$5:$L$85)/12),0),IF(YEAR(AQ$3)=YEAR('New Hires Forecast'!$P$3),IF((AQ$5&lt;=12),(SUMPRODUCT(--('New Hires Forecast'!$F$5:$F$85="bi"),--('New Hires Forecast'!$H$5:$H$85&gt;=BI!AQ$3),'New Hires Forecast'!$P$5:$P$85,'New Hires Forecast'!$L$5:$L$85)/12),0),IF(YEAR(AQ$3)=YEAR('New Hires Forecast'!$Q$3),IF((AQ$5&lt;=12),(SUMPRODUCT(--('New Hires Forecast'!$F$5:$F$85="bi"),--('New Hires Forecast'!$H$5:$H$85&gt;=BI!AQ$3),'New Hires Forecast'!$Q$5:$Q$85,'New Hires Forecast'!$L$5:$L$85)/12),0),IF(YEAR(AQ$3)=YEAR('New Hires Forecast'!$R$3),IF((AQ$5&lt;=12),(SUMPRODUCT(--('New Hires Forecast'!$F$5:$F$85="bi"),--('New Hires Forecast'!$H$5:$H$85&gt;=BI!AQ$3),'New Hires Forecast'!$R$5:$R$85,'New Hires Forecast'!$L$5:$L$85)/12),0),"New Year"))))),0)</f>
        <v>0</v>
      </c>
      <c r="AR15" s="668">
        <f>IF(AR$4="forecast",IF(YEAR(AR$3)=YEAR('New Hires Forecast'!$N$3),IF((AR$5&lt;=12),(SUMPRODUCT(--('New Hires Forecast'!$F$5:$F$85="bi"),--('New Hires Forecast'!$H$5:$H$85&gt;=BI!AR$3),'New Hires Forecast'!$N$5:$N$85,'New Hires Forecast'!$L$5:$L$85)/12),0),IF(YEAR(AR$3)=YEAR('New Hires Forecast'!$O$3),IF((AR$5&lt;=12),(SUMPRODUCT(--('New Hires Forecast'!$F$5:$F$85="bi"),--('New Hires Forecast'!$H$5:$H$85&gt;=BI!AR$3),'New Hires Forecast'!$O$5:$O$85,'New Hires Forecast'!$L$5:$L$85)/12),0),IF(YEAR(AR$3)=YEAR('New Hires Forecast'!$P$3),IF((AR$5&lt;=12),(SUMPRODUCT(--('New Hires Forecast'!$F$5:$F$85="bi"),--('New Hires Forecast'!$H$5:$H$85&gt;=BI!AR$3),'New Hires Forecast'!$P$5:$P$85,'New Hires Forecast'!$L$5:$L$85)/12),0),IF(YEAR(AR$3)=YEAR('New Hires Forecast'!$Q$3),IF((AR$5&lt;=12),(SUMPRODUCT(--('New Hires Forecast'!$F$5:$F$85="bi"),--('New Hires Forecast'!$H$5:$H$85&gt;=BI!AR$3),'New Hires Forecast'!$Q$5:$Q$85,'New Hires Forecast'!$L$5:$L$85)/12),0),IF(YEAR(AR$3)=YEAR('New Hires Forecast'!$R$3),IF((AR$5&lt;=12),(SUMPRODUCT(--('New Hires Forecast'!$F$5:$F$85="bi"),--('New Hires Forecast'!$H$5:$H$85&gt;=BI!AR$3),'New Hires Forecast'!$R$5:$R$85,'New Hires Forecast'!$L$5:$L$85)/12),0),"New Year"))))),0)</f>
        <v>0</v>
      </c>
      <c r="AS15" s="668">
        <f>IF(AS$4="forecast",IF(YEAR(AS$3)=YEAR('New Hires Forecast'!$N$3),IF((AS$5&lt;=12),(SUMPRODUCT(--('New Hires Forecast'!$F$5:$F$85="bi"),--('New Hires Forecast'!$H$5:$H$85&gt;=BI!AS$3),'New Hires Forecast'!$N$5:$N$85,'New Hires Forecast'!$L$5:$L$85)/12),0),IF(YEAR(AS$3)=YEAR('New Hires Forecast'!$O$3),IF((AS$5&lt;=12),(SUMPRODUCT(--('New Hires Forecast'!$F$5:$F$85="bi"),--('New Hires Forecast'!$H$5:$H$85&gt;=BI!AS$3),'New Hires Forecast'!$O$5:$O$85,'New Hires Forecast'!$L$5:$L$85)/12),0),IF(YEAR(AS$3)=YEAR('New Hires Forecast'!$P$3),IF((AS$5&lt;=12),(SUMPRODUCT(--('New Hires Forecast'!$F$5:$F$85="bi"),--('New Hires Forecast'!$H$5:$H$85&gt;=BI!AS$3),'New Hires Forecast'!$P$5:$P$85,'New Hires Forecast'!$L$5:$L$85)/12),0),IF(YEAR(AS$3)=YEAR('New Hires Forecast'!$Q$3),IF((AS$5&lt;=12),(SUMPRODUCT(--('New Hires Forecast'!$F$5:$F$85="bi"),--('New Hires Forecast'!$H$5:$H$85&gt;=BI!AS$3),'New Hires Forecast'!$Q$5:$Q$85,'New Hires Forecast'!$L$5:$L$85)/12),0),IF(YEAR(AS$3)=YEAR('New Hires Forecast'!$R$3),IF((AS$5&lt;=12),(SUMPRODUCT(--('New Hires Forecast'!$F$5:$F$85="bi"),--('New Hires Forecast'!$H$5:$H$85&gt;=BI!AS$3),'New Hires Forecast'!$R$5:$R$85,'New Hires Forecast'!$L$5:$L$85)/12),0),"New Year"))))),0)</f>
        <v>0</v>
      </c>
      <c r="AT15" s="668">
        <f>IF(AT$4="forecast",IF(YEAR(AT$3)=YEAR('New Hires Forecast'!$N$3),IF((AT$5&lt;=12),(SUMPRODUCT(--('New Hires Forecast'!$F$5:$F$85="bi"),--('New Hires Forecast'!$H$5:$H$85&gt;=BI!AT$3),'New Hires Forecast'!$N$5:$N$85,'New Hires Forecast'!$L$5:$L$85)/12),0),IF(YEAR(AT$3)=YEAR('New Hires Forecast'!$O$3),IF((AT$5&lt;=12),(SUMPRODUCT(--('New Hires Forecast'!$F$5:$F$85="bi"),--('New Hires Forecast'!$H$5:$H$85&gt;=BI!AT$3),'New Hires Forecast'!$O$5:$O$85,'New Hires Forecast'!$L$5:$L$85)/12),0),IF(YEAR(AT$3)=YEAR('New Hires Forecast'!$P$3),IF((AT$5&lt;=12),(SUMPRODUCT(--('New Hires Forecast'!$F$5:$F$85="bi"),--('New Hires Forecast'!$H$5:$H$85&gt;=BI!AT$3),'New Hires Forecast'!$P$5:$P$85,'New Hires Forecast'!$L$5:$L$85)/12),0),IF(YEAR(AT$3)=YEAR('New Hires Forecast'!$Q$3),IF((AT$5&lt;=12),(SUMPRODUCT(--('New Hires Forecast'!$F$5:$F$85="bi"),--('New Hires Forecast'!$H$5:$H$85&gt;=BI!AT$3),'New Hires Forecast'!$Q$5:$Q$85,'New Hires Forecast'!$L$5:$L$85)/12),0),IF(YEAR(AT$3)=YEAR('New Hires Forecast'!$R$3),IF((AT$5&lt;=12),(SUMPRODUCT(--('New Hires Forecast'!$F$5:$F$85="bi"),--('New Hires Forecast'!$H$5:$H$85&gt;=BI!AT$3),'New Hires Forecast'!$R$5:$R$85,'New Hires Forecast'!$L$5:$L$85)/12),0),"New Year"))))),0)</f>
        <v>0</v>
      </c>
      <c r="AU15" s="668">
        <f>IF(AU$4="forecast",IF(YEAR(AU$3)=YEAR('New Hires Forecast'!$N$3),IF((AU$5&lt;=12),(SUMPRODUCT(--('New Hires Forecast'!$F$5:$F$85="bi"),--('New Hires Forecast'!$H$5:$H$85&gt;=BI!AU$3),'New Hires Forecast'!$N$5:$N$85,'New Hires Forecast'!$L$5:$L$85)/12),0),IF(YEAR(AU$3)=YEAR('New Hires Forecast'!$O$3),IF((AU$5&lt;=12),(SUMPRODUCT(--('New Hires Forecast'!$F$5:$F$85="bi"),--('New Hires Forecast'!$H$5:$H$85&gt;=BI!AU$3),'New Hires Forecast'!$O$5:$O$85,'New Hires Forecast'!$L$5:$L$85)/12),0),IF(YEAR(AU$3)=YEAR('New Hires Forecast'!$P$3),IF((AU$5&lt;=12),(SUMPRODUCT(--('New Hires Forecast'!$F$5:$F$85="bi"),--('New Hires Forecast'!$H$5:$H$85&gt;=BI!AU$3),'New Hires Forecast'!$P$5:$P$85,'New Hires Forecast'!$L$5:$L$85)/12),0),IF(YEAR(AU$3)=YEAR('New Hires Forecast'!$Q$3),IF((AU$5&lt;=12),(SUMPRODUCT(--('New Hires Forecast'!$F$5:$F$85="bi"),--('New Hires Forecast'!$H$5:$H$85&gt;=BI!AU$3),'New Hires Forecast'!$Q$5:$Q$85,'New Hires Forecast'!$L$5:$L$85)/12),0),IF(YEAR(AU$3)=YEAR('New Hires Forecast'!$R$3),IF((AU$5&lt;=12),(SUMPRODUCT(--('New Hires Forecast'!$F$5:$F$85="bi"),--('New Hires Forecast'!$H$5:$H$85&gt;=BI!AU$3),'New Hires Forecast'!$R$5:$R$85,'New Hires Forecast'!$L$5:$L$85)/12),0),"New Year"))))),0)</f>
        <v>0</v>
      </c>
      <c r="AV15" s="668">
        <f>IF(AV$4="forecast",IF(YEAR(AV$3)=YEAR('New Hires Forecast'!$N$3),IF((AV$5&lt;=12),(SUMPRODUCT(--('New Hires Forecast'!$F$5:$F$85="bi"),--('New Hires Forecast'!$H$5:$H$85&gt;=BI!AV$3),'New Hires Forecast'!$N$5:$N$85,'New Hires Forecast'!$L$5:$L$85)/12),0),IF(YEAR(AV$3)=YEAR('New Hires Forecast'!$O$3),IF((AV$5&lt;=12),(SUMPRODUCT(--('New Hires Forecast'!$F$5:$F$85="bi"),--('New Hires Forecast'!$H$5:$H$85&gt;=BI!AV$3),'New Hires Forecast'!$O$5:$O$85,'New Hires Forecast'!$L$5:$L$85)/12),0),IF(YEAR(AV$3)=YEAR('New Hires Forecast'!$P$3),IF((AV$5&lt;=12),(SUMPRODUCT(--('New Hires Forecast'!$F$5:$F$85="bi"),--('New Hires Forecast'!$H$5:$H$85&gt;=BI!AV$3),'New Hires Forecast'!$P$5:$P$85,'New Hires Forecast'!$L$5:$L$85)/12),0),IF(YEAR(AV$3)=YEAR('New Hires Forecast'!$Q$3),IF((AV$5&lt;=12),(SUMPRODUCT(--('New Hires Forecast'!$F$5:$F$85="bi"),--('New Hires Forecast'!$H$5:$H$85&gt;=BI!AV$3),'New Hires Forecast'!$Q$5:$Q$85,'New Hires Forecast'!$L$5:$L$85)/12),0),IF(YEAR(AV$3)=YEAR('New Hires Forecast'!$R$3),IF((AV$5&lt;=12),(SUMPRODUCT(--('New Hires Forecast'!$F$5:$F$85="bi"),--('New Hires Forecast'!$H$5:$H$85&gt;=BI!AV$3),'New Hires Forecast'!$R$5:$R$85,'New Hires Forecast'!$L$5:$L$85)/12),0),"New Year"))))),0)</f>
        <v>0</v>
      </c>
      <c r="AW15" s="668">
        <f>IF(AW$4="forecast",IF(YEAR(AW$3)=YEAR('New Hires Forecast'!$N$3),IF((AW$5&lt;=12),(SUMPRODUCT(--('New Hires Forecast'!$F$5:$F$85="bi"),--('New Hires Forecast'!$H$5:$H$85&gt;=BI!AW$3),'New Hires Forecast'!$N$5:$N$85,'New Hires Forecast'!$L$5:$L$85)/12),0),IF(YEAR(AW$3)=YEAR('New Hires Forecast'!$O$3),IF((AW$5&lt;=12),(SUMPRODUCT(--('New Hires Forecast'!$F$5:$F$85="bi"),--('New Hires Forecast'!$H$5:$H$85&gt;=BI!AW$3),'New Hires Forecast'!$O$5:$O$85,'New Hires Forecast'!$L$5:$L$85)/12),0),IF(YEAR(AW$3)=YEAR('New Hires Forecast'!$P$3),IF((AW$5&lt;=12),(SUMPRODUCT(--('New Hires Forecast'!$F$5:$F$85="bi"),--('New Hires Forecast'!$H$5:$H$85&gt;=BI!AW$3),'New Hires Forecast'!$P$5:$P$85,'New Hires Forecast'!$L$5:$L$85)/12),0),IF(YEAR(AW$3)=YEAR('New Hires Forecast'!$Q$3),IF((AW$5&lt;=12),(SUMPRODUCT(--('New Hires Forecast'!$F$5:$F$85="bi"),--('New Hires Forecast'!$H$5:$H$85&gt;=BI!AW$3),'New Hires Forecast'!$Q$5:$Q$85,'New Hires Forecast'!$L$5:$L$85)/12),0),IF(YEAR(AW$3)=YEAR('New Hires Forecast'!$R$3),IF((AW$5&lt;=12),(SUMPRODUCT(--('New Hires Forecast'!$F$5:$F$85="bi"),--('New Hires Forecast'!$H$5:$H$85&gt;=BI!AW$3),'New Hires Forecast'!$R$5:$R$85,'New Hires Forecast'!$L$5:$L$85)/12),0),"New Year"))))),0)</f>
        <v>0</v>
      </c>
      <c r="AX15" s="668">
        <f>IF(AX$4="forecast",IF(YEAR(AX$3)=YEAR('New Hires Forecast'!$N$3),IF((AX$5&lt;=12),(SUMPRODUCT(--('New Hires Forecast'!$F$5:$F$85="bi"),--('New Hires Forecast'!$H$5:$H$85&gt;=BI!AX$3),'New Hires Forecast'!$N$5:$N$85,'New Hires Forecast'!$L$5:$L$85)/12),0),IF(YEAR(AX$3)=YEAR('New Hires Forecast'!$O$3),IF((AX$5&lt;=12),(SUMPRODUCT(--('New Hires Forecast'!$F$5:$F$85="bi"),--('New Hires Forecast'!$H$5:$H$85&gt;=BI!AX$3),'New Hires Forecast'!$O$5:$O$85,'New Hires Forecast'!$L$5:$L$85)/12),0),IF(YEAR(AX$3)=YEAR('New Hires Forecast'!$P$3),IF((AX$5&lt;=12),(SUMPRODUCT(--('New Hires Forecast'!$F$5:$F$85="bi"),--('New Hires Forecast'!$H$5:$H$85&gt;=BI!AX$3),'New Hires Forecast'!$P$5:$P$85,'New Hires Forecast'!$L$5:$L$85)/12),0),IF(YEAR(AX$3)=YEAR('New Hires Forecast'!$Q$3),IF((AX$5&lt;=12),(SUMPRODUCT(--('New Hires Forecast'!$F$5:$F$85="bi"),--('New Hires Forecast'!$H$5:$H$85&gt;=BI!AX$3),'New Hires Forecast'!$Q$5:$Q$85,'New Hires Forecast'!$L$5:$L$85)/12),0),IF(YEAR(AX$3)=YEAR('New Hires Forecast'!$R$3),IF((AX$5&lt;=12),(SUMPRODUCT(--('New Hires Forecast'!$F$5:$F$85="bi"),--('New Hires Forecast'!$H$5:$H$85&gt;=BI!AX$3),'New Hires Forecast'!$R$5:$R$85,'New Hires Forecast'!$L$5:$L$85)/12),0),"New Year"))))),0)</f>
        <v>0</v>
      </c>
      <c r="AY15" s="668">
        <f>IF(AY$4="forecast",IF(YEAR(AY$3)=YEAR('New Hires Forecast'!$N$3),IF((AY$5&lt;=12),(SUMPRODUCT(--('New Hires Forecast'!$F$5:$F$85="bi"),--('New Hires Forecast'!$H$5:$H$85&gt;=BI!AY$3),'New Hires Forecast'!$N$5:$N$85,'New Hires Forecast'!$L$5:$L$85)/12),0),IF(YEAR(AY$3)=YEAR('New Hires Forecast'!$O$3),IF((AY$5&lt;=12),(SUMPRODUCT(--('New Hires Forecast'!$F$5:$F$85="bi"),--('New Hires Forecast'!$H$5:$H$85&gt;=BI!AY$3),'New Hires Forecast'!$O$5:$O$85,'New Hires Forecast'!$L$5:$L$85)/12),0),IF(YEAR(AY$3)=YEAR('New Hires Forecast'!$P$3),IF((AY$5&lt;=12),(SUMPRODUCT(--('New Hires Forecast'!$F$5:$F$85="bi"),--('New Hires Forecast'!$H$5:$H$85&gt;=BI!AY$3),'New Hires Forecast'!$P$5:$P$85,'New Hires Forecast'!$L$5:$L$85)/12),0),IF(YEAR(AY$3)=YEAR('New Hires Forecast'!$Q$3),IF((AY$5&lt;=12),(SUMPRODUCT(--('New Hires Forecast'!$F$5:$F$85="bi"),--('New Hires Forecast'!$H$5:$H$85&gt;=BI!AY$3),'New Hires Forecast'!$Q$5:$Q$85,'New Hires Forecast'!$L$5:$L$85)/12),0),IF(YEAR(AY$3)=YEAR('New Hires Forecast'!$R$3),IF((AY$5&lt;=12),(SUMPRODUCT(--('New Hires Forecast'!$F$5:$F$85="bi"),--('New Hires Forecast'!$H$5:$H$85&gt;=BI!AY$3),'New Hires Forecast'!$R$5:$R$85,'New Hires Forecast'!$L$5:$L$85)/12),0),"New Year"))))),0)</f>
        <v>0</v>
      </c>
      <c r="AZ15" s="668">
        <f>IF(AZ$4="forecast",IF(YEAR(AZ$3)=YEAR('New Hires Forecast'!$N$3),IF((AZ$5&lt;=12),(SUMPRODUCT(--('New Hires Forecast'!$F$5:$F$85="bi"),--('New Hires Forecast'!$H$5:$H$85&gt;=BI!AZ$3),'New Hires Forecast'!$N$5:$N$85,'New Hires Forecast'!$L$5:$L$85)/12),0),IF(YEAR(AZ$3)=YEAR('New Hires Forecast'!$O$3),IF((AZ$5&lt;=12),(SUMPRODUCT(--('New Hires Forecast'!$F$5:$F$85="bi"),--('New Hires Forecast'!$H$5:$H$85&gt;=BI!AZ$3),'New Hires Forecast'!$O$5:$O$85,'New Hires Forecast'!$L$5:$L$85)/12),0),IF(YEAR(AZ$3)=YEAR('New Hires Forecast'!$P$3),IF((AZ$5&lt;=12),(SUMPRODUCT(--('New Hires Forecast'!$F$5:$F$85="bi"),--('New Hires Forecast'!$H$5:$H$85&gt;=BI!AZ$3),'New Hires Forecast'!$P$5:$P$85,'New Hires Forecast'!$L$5:$L$85)/12),0),IF(YEAR(AZ$3)=YEAR('New Hires Forecast'!$Q$3),IF((AZ$5&lt;=12),(SUMPRODUCT(--('New Hires Forecast'!$F$5:$F$85="bi"),--('New Hires Forecast'!$H$5:$H$85&gt;=BI!AZ$3),'New Hires Forecast'!$Q$5:$Q$85,'New Hires Forecast'!$L$5:$L$85)/12),0),IF(YEAR(AZ$3)=YEAR('New Hires Forecast'!$R$3),IF((AZ$5&lt;=12),(SUMPRODUCT(--('New Hires Forecast'!$F$5:$F$85="bi"),--('New Hires Forecast'!$H$5:$H$85&gt;=BI!AZ$3),'New Hires Forecast'!$R$5:$R$85,'New Hires Forecast'!$L$5:$L$85)/12),0),"New Year"))))),0)</f>
        <v>0</v>
      </c>
      <c r="BA15" s="668">
        <f>IF(BA$4="forecast",IF(YEAR(BA$3)=YEAR('New Hires Forecast'!$N$3),IF((BA$5&lt;=12),(SUMPRODUCT(--('New Hires Forecast'!$F$5:$F$85="bi"),--('New Hires Forecast'!$H$5:$H$85&gt;=BI!BA$3),'New Hires Forecast'!$N$5:$N$85,'New Hires Forecast'!$L$5:$L$85)/12),0),IF(YEAR(BA$3)=YEAR('New Hires Forecast'!$O$3),IF((BA$5&lt;=12),(SUMPRODUCT(--('New Hires Forecast'!$F$5:$F$85="bi"),--('New Hires Forecast'!$H$5:$H$85&gt;=BI!BA$3),'New Hires Forecast'!$O$5:$O$85,'New Hires Forecast'!$L$5:$L$85)/12),0),IF(YEAR(BA$3)=YEAR('New Hires Forecast'!$P$3),IF((BA$5&lt;=12),(SUMPRODUCT(--('New Hires Forecast'!$F$5:$F$85="bi"),--('New Hires Forecast'!$H$5:$H$85&gt;=BI!BA$3),'New Hires Forecast'!$P$5:$P$85,'New Hires Forecast'!$L$5:$L$85)/12),0),IF(YEAR(BA$3)=YEAR('New Hires Forecast'!$Q$3),IF((BA$5&lt;=12),(SUMPRODUCT(--('New Hires Forecast'!$F$5:$F$85="bi"),--('New Hires Forecast'!$H$5:$H$85&gt;=BI!BA$3),'New Hires Forecast'!$Q$5:$Q$85,'New Hires Forecast'!$L$5:$L$85)/12),0),IF(YEAR(BA$3)=YEAR('New Hires Forecast'!$R$3),IF((BA$5&lt;=12),(SUMPRODUCT(--('New Hires Forecast'!$F$5:$F$85="bi"),--('New Hires Forecast'!$H$5:$H$85&gt;=BI!BA$3),'New Hires Forecast'!$R$5:$R$85,'New Hires Forecast'!$L$5:$L$85)/12),0),"New Year"))))),0)</f>
        <v>0</v>
      </c>
      <c r="BB15" s="668">
        <f>IF(BB$4="forecast",IF(YEAR(BB$3)=YEAR('New Hires Forecast'!$N$3),IF((BB$5&lt;=12),(SUMPRODUCT(--('New Hires Forecast'!$F$5:$F$85="bi"),--('New Hires Forecast'!$H$5:$H$85&gt;=BI!BB$3),'New Hires Forecast'!$N$5:$N$85,'New Hires Forecast'!$L$5:$L$85)/12),0),IF(YEAR(BB$3)=YEAR('New Hires Forecast'!$O$3),IF((BB$5&lt;=12),(SUMPRODUCT(--('New Hires Forecast'!$F$5:$F$85="bi"),--('New Hires Forecast'!$H$5:$H$85&gt;=BI!BB$3),'New Hires Forecast'!$O$5:$O$85,'New Hires Forecast'!$L$5:$L$85)/12),0),IF(YEAR(BB$3)=YEAR('New Hires Forecast'!$P$3),IF((BB$5&lt;=12),(SUMPRODUCT(--('New Hires Forecast'!$F$5:$F$85="bi"),--('New Hires Forecast'!$H$5:$H$85&gt;=BI!BB$3),'New Hires Forecast'!$P$5:$P$85,'New Hires Forecast'!$L$5:$L$85)/12),0),IF(YEAR(BB$3)=YEAR('New Hires Forecast'!$Q$3),IF((BB$5&lt;=12),(SUMPRODUCT(--('New Hires Forecast'!$F$5:$F$85="bi"),--('New Hires Forecast'!$H$5:$H$85&gt;=BI!BB$3),'New Hires Forecast'!$Q$5:$Q$85,'New Hires Forecast'!$L$5:$L$85)/12),0),IF(YEAR(BB$3)=YEAR('New Hires Forecast'!$R$3),IF((BB$5&lt;=12),(SUMPRODUCT(--('New Hires Forecast'!$F$5:$F$85="bi"),--('New Hires Forecast'!$H$5:$H$85&gt;=BI!BB$3),'New Hires Forecast'!$R$5:$R$85,'New Hires Forecast'!$L$5:$L$85)/12),0),"New Year"))))),0)</f>
        <v>0</v>
      </c>
      <c r="BC15" s="668">
        <f>IF(BC$4="forecast",IF(YEAR(BC$3)=YEAR('New Hires Forecast'!$N$3),IF((BC$5&lt;=12),(SUMPRODUCT(--('New Hires Forecast'!$F$5:$F$85="bi"),--('New Hires Forecast'!$H$5:$H$85&gt;=BI!BC$3),'New Hires Forecast'!$N$5:$N$85,'New Hires Forecast'!$L$5:$L$85)/12),0),IF(YEAR(BC$3)=YEAR('New Hires Forecast'!$O$3),IF((BC$5&lt;=12),(SUMPRODUCT(--('New Hires Forecast'!$F$5:$F$85="bi"),--('New Hires Forecast'!$H$5:$H$85&gt;=BI!BC$3),'New Hires Forecast'!$O$5:$O$85,'New Hires Forecast'!$L$5:$L$85)/12),0),IF(YEAR(BC$3)=YEAR('New Hires Forecast'!$P$3),IF((BC$5&lt;=12),(SUMPRODUCT(--('New Hires Forecast'!$F$5:$F$85="bi"),--('New Hires Forecast'!$H$5:$H$85&gt;=BI!BC$3),'New Hires Forecast'!$P$5:$P$85,'New Hires Forecast'!$L$5:$L$85)/12),0),IF(YEAR(BC$3)=YEAR('New Hires Forecast'!$Q$3),IF((BC$5&lt;=12),(SUMPRODUCT(--('New Hires Forecast'!$F$5:$F$85="bi"),--('New Hires Forecast'!$H$5:$H$85&gt;=BI!BC$3),'New Hires Forecast'!$Q$5:$Q$85,'New Hires Forecast'!$L$5:$L$85)/12),0),IF(YEAR(BC$3)=YEAR('New Hires Forecast'!$R$3),IF((BC$5&lt;=12),(SUMPRODUCT(--('New Hires Forecast'!$F$5:$F$85="bi"),--('New Hires Forecast'!$H$5:$H$85&gt;=BI!BC$3),'New Hires Forecast'!$R$5:$R$85,'New Hires Forecast'!$L$5:$L$85)/12),0),"New Year"))))),0)</f>
        <v>0</v>
      </c>
      <c r="BD15" s="668">
        <f>IF(BD$4="forecast",IF(YEAR(BD$3)=YEAR('New Hires Forecast'!$N$3),IF((BD$5&lt;=12),(SUMPRODUCT(--('New Hires Forecast'!$F$5:$F$85="bi"),--('New Hires Forecast'!$H$5:$H$85&gt;=BI!BD$3),'New Hires Forecast'!$N$5:$N$85,'New Hires Forecast'!$L$5:$L$85)/12),0),IF(YEAR(BD$3)=YEAR('New Hires Forecast'!$O$3),IF((BD$5&lt;=12),(SUMPRODUCT(--('New Hires Forecast'!$F$5:$F$85="bi"),--('New Hires Forecast'!$H$5:$H$85&gt;=BI!BD$3),'New Hires Forecast'!$O$5:$O$85,'New Hires Forecast'!$L$5:$L$85)/12),0),IF(YEAR(BD$3)=YEAR('New Hires Forecast'!$P$3),IF((BD$5&lt;=12),(SUMPRODUCT(--('New Hires Forecast'!$F$5:$F$85="bi"),--('New Hires Forecast'!$H$5:$H$85&gt;=BI!BD$3),'New Hires Forecast'!$P$5:$P$85,'New Hires Forecast'!$L$5:$L$85)/12),0),IF(YEAR(BD$3)=YEAR('New Hires Forecast'!$Q$3),IF((BD$5&lt;=12),(SUMPRODUCT(--('New Hires Forecast'!$F$5:$F$85="bi"),--('New Hires Forecast'!$H$5:$H$85&gt;=BI!BD$3),'New Hires Forecast'!$Q$5:$Q$85,'New Hires Forecast'!$L$5:$L$85)/12),0),IF(YEAR(BD$3)=YEAR('New Hires Forecast'!$R$3),IF((BD$5&lt;=12),(SUMPRODUCT(--('New Hires Forecast'!$F$5:$F$85="bi"),--('New Hires Forecast'!$H$5:$H$85&gt;=BI!BD$3),'New Hires Forecast'!$R$5:$R$85,'New Hires Forecast'!$L$5:$L$85)/12),0),"New Year"))))),0)</f>
        <v>0</v>
      </c>
      <c r="BE15" s="668">
        <f>IF(BE$4="forecast",IF(YEAR(BE$3)=YEAR('New Hires Forecast'!$N$3),IF((BE$5&lt;=12),(SUMPRODUCT(--('New Hires Forecast'!$F$5:$F$85="bi"),--('New Hires Forecast'!$H$5:$H$85&gt;=BI!BE$3),'New Hires Forecast'!$N$5:$N$85,'New Hires Forecast'!$L$5:$L$85)/12),0),IF(YEAR(BE$3)=YEAR('New Hires Forecast'!$O$3),IF((BE$5&lt;=12),(SUMPRODUCT(--('New Hires Forecast'!$F$5:$F$85="bi"),--('New Hires Forecast'!$H$5:$H$85&gt;=BI!BE$3),'New Hires Forecast'!$O$5:$O$85,'New Hires Forecast'!$L$5:$L$85)/12),0),IF(YEAR(BE$3)=YEAR('New Hires Forecast'!$P$3),IF((BE$5&lt;=12),(SUMPRODUCT(--('New Hires Forecast'!$F$5:$F$85="bi"),--('New Hires Forecast'!$H$5:$H$85&gt;=BI!BE$3),'New Hires Forecast'!$P$5:$P$85,'New Hires Forecast'!$L$5:$L$85)/12),0),IF(YEAR(BE$3)=YEAR('New Hires Forecast'!$Q$3),IF((BE$5&lt;=12),(SUMPRODUCT(--('New Hires Forecast'!$F$5:$F$85="bi"),--('New Hires Forecast'!$H$5:$H$85&gt;=BI!BE$3),'New Hires Forecast'!$Q$5:$Q$85,'New Hires Forecast'!$L$5:$L$85)/12),0),IF(YEAR(BE$3)=YEAR('New Hires Forecast'!$R$3),IF((BE$5&lt;=12),(SUMPRODUCT(--('New Hires Forecast'!$F$5:$F$85="bi"),--('New Hires Forecast'!$H$5:$H$85&gt;=BI!BE$3),'New Hires Forecast'!$R$5:$R$85,'New Hires Forecast'!$L$5:$L$85)/12),0),"New Year"))))),0)</f>
        <v>0</v>
      </c>
      <c r="BF15" s="668">
        <f>IF(BF$4="forecast",IF(YEAR(BF$3)=YEAR('New Hires Forecast'!$N$3),IF((BF$5&lt;=12),(SUMPRODUCT(--('New Hires Forecast'!$F$5:$F$85="bi"),--('New Hires Forecast'!$H$5:$H$85&gt;=BI!BF$3),'New Hires Forecast'!$N$5:$N$85,'New Hires Forecast'!$L$5:$L$85)/12),0),IF(YEAR(BF$3)=YEAR('New Hires Forecast'!$O$3),IF((BF$5&lt;=12),(SUMPRODUCT(--('New Hires Forecast'!$F$5:$F$85="bi"),--('New Hires Forecast'!$H$5:$H$85&gt;=BI!BF$3),'New Hires Forecast'!$O$5:$O$85,'New Hires Forecast'!$L$5:$L$85)/12),0),IF(YEAR(BF$3)=YEAR('New Hires Forecast'!$P$3),IF((BF$5&lt;=12),(SUMPRODUCT(--('New Hires Forecast'!$F$5:$F$85="bi"),--('New Hires Forecast'!$H$5:$H$85&gt;=BI!BF$3),'New Hires Forecast'!$P$5:$P$85,'New Hires Forecast'!$L$5:$L$85)/12),0),IF(YEAR(BF$3)=YEAR('New Hires Forecast'!$Q$3),IF((BF$5&lt;=12),(SUMPRODUCT(--('New Hires Forecast'!$F$5:$F$85="bi"),--('New Hires Forecast'!$H$5:$H$85&gt;=BI!BF$3),'New Hires Forecast'!$Q$5:$Q$85,'New Hires Forecast'!$L$5:$L$85)/12),0),IF(YEAR(BF$3)=YEAR('New Hires Forecast'!$R$3),IF((BF$5&lt;=12),(SUMPRODUCT(--('New Hires Forecast'!$F$5:$F$85="bi"),--('New Hires Forecast'!$H$5:$H$85&gt;=BI!BF$3),'New Hires Forecast'!$R$5:$R$85,'New Hires Forecast'!$L$5:$L$85)/12),0),"New Year"))))),0)</f>
        <v>0</v>
      </c>
      <c r="BG15" s="668">
        <f>IF(BG$4="forecast",IF(YEAR(BG$3)=YEAR('New Hires Forecast'!$N$3),IF((BG$5&lt;=12),(SUMPRODUCT(--('New Hires Forecast'!$F$5:$F$85="bi"),--('New Hires Forecast'!$H$5:$H$85&gt;=BI!BG$3),'New Hires Forecast'!$N$5:$N$85,'New Hires Forecast'!$L$5:$L$85)/12),0),IF(YEAR(BG$3)=YEAR('New Hires Forecast'!$O$3),IF((BG$5&lt;=12),(SUMPRODUCT(--('New Hires Forecast'!$F$5:$F$85="bi"),--('New Hires Forecast'!$H$5:$H$85&gt;=BI!BG$3),'New Hires Forecast'!$O$5:$O$85,'New Hires Forecast'!$L$5:$L$85)/12),0),IF(YEAR(BG$3)=YEAR('New Hires Forecast'!$P$3),IF((BG$5&lt;=12),(SUMPRODUCT(--('New Hires Forecast'!$F$5:$F$85="bi"),--('New Hires Forecast'!$H$5:$H$85&gt;=BI!BG$3),'New Hires Forecast'!$P$5:$P$85,'New Hires Forecast'!$L$5:$L$85)/12),0),IF(YEAR(BG$3)=YEAR('New Hires Forecast'!$Q$3),IF((BG$5&lt;=12),(SUMPRODUCT(--('New Hires Forecast'!$F$5:$F$85="bi"),--('New Hires Forecast'!$H$5:$H$85&gt;=BI!BG$3),'New Hires Forecast'!$Q$5:$Q$85,'New Hires Forecast'!$L$5:$L$85)/12),0),IF(YEAR(BG$3)=YEAR('New Hires Forecast'!$R$3),IF((BG$5&lt;=12),(SUMPRODUCT(--('New Hires Forecast'!$F$5:$F$85="bi"),--('New Hires Forecast'!$H$5:$H$85&gt;=BI!BG$3),'New Hires Forecast'!$R$5:$R$85,'New Hires Forecast'!$L$5:$L$85)/12),0),"New Year"))))),0)</f>
        <v>0</v>
      </c>
      <c r="BH15" s="668">
        <f>IF(BH$4="forecast",IF(YEAR(BH$3)=YEAR('New Hires Forecast'!$N$3),IF((BH$5&lt;=12),(SUMPRODUCT(--('New Hires Forecast'!$F$5:$F$85="bi"),--('New Hires Forecast'!$H$5:$H$85&gt;=BI!BH$3),'New Hires Forecast'!$N$5:$N$85,'New Hires Forecast'!$L$5:$L$85)/12),0),IF(YEAR(BH$3)=YEAR('New Hires Forecast'!$O$3),IF((BH$5&lt;=12),(SUMPRODUCT(--('New Hires Forecast'!$F$5:$F$85="bi"),--('New Hires Forecast'!$H$5:$H$85&gt;=BI!BH$3),'New Hires Forecast'!$O$5:$O$85,'New Hires Forecast'!$L$5:$L$85)/12),0),IF(YEAR(BH$3)=YEAR('New Hires Forecast'!$P$3),IF((BH$5&lt;=12),(SUMPRODUCT(--('New Hires Forecast'!$F$5:$F$85="bi"),--('New Hires Forecast'!$H$5:$H$85&gt;=BI!BH$3),'New Hires Forecast'!$P$5:$P$85,'New Hires Forecast'!$L$5:$L$85)/12),0),IF(YEAR(BH$3)=YEAR('New Hires Forecast'!$Q$3),IF((BH$5&lt;=12),(SUMPRODUCT(--('New Hires Forecast'!$F$5:$F$85="bi"),--('New Hires Forecast'!$H$5:$H$85&gt;=BI!BH$3),'New Hires Forecast'!$Q$5:$Q$85,'New Hires Forecast'!$L$5:$L$85)/12),0),IF(YEAR(BH$3)=YEAR('New Hires Forecast'!$R$3),IF((BH$5&lt;=12),(SUMPRODUCT(--('New Hires Forecast'!$F$5:$F$85="bi"),--('New Hires Forecast'!$H$5:$H$85&gt;=BI!BH$3),'New Hires Forecast'!$R$5:$R$85,'New Hires Forecast'!$L$5:$L$85)/12),0),"New Year"))))),0)</f>
        <v>0</v>
      </c>
      <c r="BI15" s="668">
        <f>IF(BI$4="forecast",IF(YEAR(BI$3)=YEAR('New Hires Forecast'!$N$3),IF((BI$5&lt;=12),(SUMPRODUCT(--('New Hires Forecast'!$F$5:$F$85="bi"),--('New Hires Forecast'!$H$5:$H$85&gt;=BI!BI$3),'New Hires Forecast'!$N$5:$N$85,'New Hires Forecast'!$L$5:$L$85)/12),0),IF(YEAR(BI$3)=YEAR('New Hires Forecast'!$O$3),IF((BI$5&lt;=12),(SUMPRODUCT(--('New Hires Forecast'!$F$5:$F$85="bi"),--('New Hires Forecast'!$H$5:$H$85&gt;=BI!BI$3),'New Hires Forecast'!$O$5:$O$85,'New Hires Forecast'!$L$5:$L$85)/12),0),IF(YEAR(BI$3)=YEAR('New Hires Forecast'!$P$3),IF((BI$5&lt;=12),(SUMPRODUCT(--('New Hires Forecast'!$F$5:$F$85="bi"),--('New Hires Forecast'!$H$5:$H$85&gt;=BI!BI$3),'New Hires Forecast'!$P$5:$P$85,'New Hires Forecast'!$L$5:$L$85)/12),0),IF(YEAR(BI$3)=YEAR('New Hires Forecast'!$Q$3),IF((BI$5&lt;=12),(SUMPRODUCT(--('New Hires Forecast'!$F$5:$F$85="bi"),--('New Hires Forecast'!$H$5:$H$85&gt;=BI!BI$3),'New Hires Forecast'!$Q$5:$Q$85,'New Hires Forecast'!$L$5:$L$85)/12),0),IF(YEAR(BI$3)=YEAR('New Hires Forecast'!$R$3),IF((BI$5&lt;=12),(SUMPRODUCT(--('New Hires Forecast'!$F$5:$F$85="bi"),--('New Hires Forecast'!$H$5:$H$85&gt;=BI!BI$3),'New Hires Forecast'!$R$5:$R$85,'New Hires Forecast'!$L$5:$L$85)/12),0),"New Year"))))),0)</f>
        <v>0</v>
      </c>
      <c r="BJ15" s="668">
        <f>IF(BJ$4="forecast",IF(YEAR(BJ$3)=YEAR('New Hires Forecast'!$N$3),IF((BJ$5&lt;=12),(SUMPRODUCT(--('New Hires Forecast'!$F$5:$F$85="bi"),--('New Hires Forecast'!$H$5:$H$85&gt;=BI!BJ$3),'New Hires Forecast'!$N$5:$N$85,'New Hires Forecast'!$L$5:$L$85)/12),0),IF(YEAR(BJ$3)=YEAR('New Hires Forecast'!$O$3),IF((BJ$5&lt;=12),(SUMPRODUCT(--('New Hires Forecast'!$F$5:$F$85="bi"),--('New Hires Forecast'!$H$5:$H$85&gt;=BI!BJ$3),'New Hires Forecast'!$O$5:$O$85,'New Hires Forecast'!$L$5:$L$85)/12),0),IF(YEAR(BJ$3)=YEAR('New Hires Forecast'!$P$3),IF((BJ$5&lt;=12),(SUMPRODUCT(--('New Hires Forecast'!$F$5:$F$85="bi"),--('New Hires Forecast'!$H$5:$H$85&gt;=BI!BJ$3),'New Hires Forecast'!$P$5:$P$85,'New Hires Forecast'!$L$5:$L$85)/12),0),IF(YEAR(BJ$3)=YEAR('New Hires Forecast'!$Q$3),IF((BJ$5&lt;=12),(SUMPRODUCT(--('New Hires Forecast'!$F$5:$F$85="bi"),--('New Hires Forecast'!$H$5:$H$85&gt;=BI!BJ$3),'New Hires Forecast'!$Q$5:$Q$85,'New Hires Forecast'!$L$5:$L$85)/12),0),IF(YEAR(BJ$3)=YEAR('New Hires Forecast'!$R$3),IF((BJ$5&lt;=12),(SUMPRODUCT(--('New Hires Forecast'!$F$5:$F$85="bi"),--('New Hires Forecast'!$H$5:$H$85&gt;=BI!BJ$3),'New Hires Forecast'!$R$5:$R$85,'New Hires Forecast'!$L$5:$L$85)/12),0),"New Year"))))),0)</f>
        <v>0</v>
      </c>
      <c r="BK15" s="668">
        <f>IF(BK$4="forecast",IF(YEAR(BK$3)=YEAR('New Hires Forecast'!$N$3),IF((BK$5&lt;=12),(SUMPRODUCT(--('New Hires Forecast'!$F$5:$F$85="bi"),--('New Hires Forecast'!$H$5:$H$85&gt;=BI!BK$3),'New Hires Forecast'!$N$5:$N$85,'New Hires Forecast'!$L$5:$L$85)/12),0),IF(YEAR(BK$3)=YEAR('New Hires Forecast'!$O$3),IF((BK$5&lt;=12),(SUMPRODUCT(--('New Hires Forecast'!$F$5:$F$85="bi"),--('New Hires Forecast'!$H$5:$H$85&gt;=BI!BK$3),'New Hires Forecast'!$O$5:$O$85,'New Hires Forecast'!$L$5:$L$85)/12),0),IF(YEAR(BK$3)=YEAR('New Hires Forecast'!$P$3),IF((BK$5&lt;=12),(SUMPRODUCT(--('New Hires Forecast'!$F$5:$F$85="bi"),--('New Hires Forecast'!$H$5:$H$85&gt;=BI!BK$3),'New Hires Forecast'!$P$5:$P$85,'New Hires Forecast'!$L$5:$L$85)/12),0),IF(YEAR(BK$3)=YEAR('New Hires Forecast'!$Q$3),IF((BK$5&lt;=12),(SUMPRODUCT(--('New Hires Forecast'!$F$5:$F$85="bi"),--('New Hires Forecast'!$H$5:$H$85&gt;=BI!BK$3),'New Hires Forecast'!$Q$5:$Q$85,'New Hires Forecast'!$L$5:$L$85)/12),0),IF(YEAR(BK$3)=YEAR('New Hires Forecast'!$R$3),IF((BK$5&lt;=12),(SUMPRODUCT(--('New Hires Forecast'!$F$5:$F$85="bi"),--('New Hires Forecast'!$H$5:$H$85&gt;=BI!BK$3),'New Hires Forecast'!$R$5:$R$85,'New Hires Forecast'!$L$5:$L$85)/12),0),"New Year"))))),0)</f>
        <v>0</v>
      </c>
      <c r="BL15" s="668">
        <f>IF(BL$4="forecast",IF(YEAR(BL$3)=YEAR('New Hires Forecast'!$N$3),IF((BL$5&lt;=12),(SUMPRODUCT(--('New Hires Forecast'!$F$5:$F$85="bi"),--('New Hires Forecast'!$H$5:$H$85&gt;=BI!BL$3),'New Hires Forecast'!$N$5:$N$85,'New Hires Forecast'!$L$5:$L$85)/12),0),IF(YEAR(BL$3)=YEAR('New Hires Forecast'!$O$3),IF((BL$5&lt;=12),(SUMPRODUCT(--('New Hires Forecast'!$F$5:$F$85="bi"),--('New Hires Forecast'!$H$5:$H$85&gt;=BI!BL$3),'New Hires Forecast'!$O$5:$O$85,'New Hires Forecast'!$L$5:$L$85)/12),0),IF(YEAR(BL$3)=YEAR('New Hires Forecast'!$P$3),IF((BL$5&lt;=12),(SUMPRODUCT(--('New Hires Forecast'!$F$5:$F$85="bi"),--('New Hires Forecast'!$H$5:$H$85&gt;=BI!BL$3),'New Hires Forecast'!$P$5:$P$85,'New Hires Forecast'!$L$5:$L$85)/12),0),IF(YEAR(BL$3)=YEAR('New Hires Forecast'!$Q$3),IF((BL$5&lt;=12),(SUMPRODUCT(--('New Hires Forecast'!$F$5:$F$85="bi"),--('New Hires Forecast'!$H$5:$H$85&gt;=BI!BL$3),'New Hires Forecast'!$Q$5:$Q$85,'New Hires Forecast'!$L$5:$L$85)/12),0),IF(YEAR(BL$3)=YEAR('New Hires Forecast'!$R$3),IF((BL$5&lt;=12),(SUMPRODUCT(--('New Hires Forecast'!$F$5:$F$85="bi"),--('New Hires Forecast'!$H$5:$H$85&gt;=BI!BL$3),'New Hires Forecast'!$R$5:$R$85,'New Hires Forecast'!$L$5:$L$85)/12),0),"New Year"))))),0)</f>
        <v>0</v>
      </c>
      <c r="BM15" s="668">
        <f>IF(BM$4="forecast",IF(YEAR(BM$3)=YEAR('New Hires Forecast'!$N$3),IF((BM$5&lt;=12),(SUMPRODUCT(--('New Hires Forecast'!$F$5:$F$85="bi"),--('New Hires Forecast'!$H$5:$H$85&gt;=BI!BM$3),'New Hires Forecast'!$N$5:$N$85,'New Hires Forecast'!$L$5:$L$85)/12),0),IF(YEAR(BM$3)=YEAR('New Hires Forecast'!$O$3),IF((BM$5&lt;=12),(SUMPRODUCT(--('New Hires Forecast'!$F$5:$F$85="bi"),--('New Hires Forecast'!$H$5:$H$85&gt;=BI!BM$3),'New Hires Forecast'!$O$5:$O$85,'New Hires Forecast'!$L$5:$L$85)/12),0),IF(YEAR(BM$3)=YEAR('New Hires Forecast'!$P$3),IF((BM$5&lt;=12),(SUMPRODUCT(--('New Hires Forecast'!$F$5:$F$85="bi"),--('New Hires Forecast'!$H$5:$H$85&gt;=BI!BM$3),'New Hires Forecast'!$P$5:$P$85,'New Hires Forecast'!$L$5:$L$85)/12),0),IF(YEAR(BM$3)=YEAR('New Hires Forecast'!$Q$3),IF((BM$5&lt;=12),(SUMPRODUCT(--('New Hires Forecast'!$F$5:$F$85="bi"),--('New Hires Forecast'!$H$5:$H$85&gt;=BI!BM$3),'New Hires Forecast'!$Q$5:$Q$85,'New Hires Forecast'!$L$5:$L$85)/12),0),IF(YEAR(BM$3)=YEAR('New Hires Forecast'!$R$3),IF((BM$5&lt;=12),(SUMPRODUCT(--('New Hires Forecast'!$F$5:$F$85="bi"),--('New Hires Forecast'!$H$5:$H$85&gt;=BI!BM$3),'New Hires Forecast'!$R$5:$R$85,'New Hires Forecast'!$L$5:$L$85)/12),0),"New Year"))))),0)</f>
        <v>0</v>
      </c>
      <c r="BN15" s="668">
        <f>IF(BN$4="forecast",IF(YEAR(BN$3)=YEAR('New Hires Forecast'!$N$3),IF((BN$5&lt;=12),(SUMPRODUCT(--('New Hires Forecast'!$F$5:$F$85="bi"),--('New Hires Forecast'!$H$5:$H$85&gt;=BI!BN$3),'New Hires Forecast'!$N$5:$N$85,'New Hires Forecast'!$L$5:$L$85)/12),0),IF(YEAR(BN$3)=YEAR('New Hires Forecast'!$O$3),IF((BN$5&lt;=12),(SUMPRODUCT(--('New Hires Forecast'!$F$5:$F$85="bi"),--('New Hires Forecast'!$H$5:$H$85&gt;=BI!BN$3),'New Hires Forecast'!$O$5:$O$85,'New Hires Forecast'!$L$5:$L$85)/12),0),IF(YEAR(BN$3)=YEAR('New Hires Forecast'!$P$3),IF((BN$5&lt;=12),(SUMPRODUCT(--('New Hires Forecast'!$F$5:$F$85="bi"),--('New Hires Forecast'!$H$5:$H$85&gt;=BI!BN$3),'New Hires Forecast'!$P$5:$P$85,'New Hires Forecast'!$L$5:$L$85)/12),0),IF(YEAR(BN$3)=YEAR('New Hires Forecast'!$Q$3),IF((BN$5&lt;=12),(SUMPRODUCT(--('New Hires Forecast'!$F$5:$F$85="bi"),--('New Hires Forecast'!$H$5:$H$85&gt;=BI!BN$3),'New Hires Forecast'!$Q$5:$Q$85,'New Hires Forecast'!$L$5:$L$85)/12),0),IF(YEAR(BN$3)=YEAR('New Hires Forecast'!$R$3),IF((BN$5&lt;=12),(SUMPRODUCT(--('New Hires Forecast'!$F$5:$F$85="bi"),--('New Hires Forecast'!$H$5:$H$85&gt;=BI!BN$3),'New Hires Forecast'!$R$5:$R$85,'New Hires Forecast'!$L$5:$L$85)/12),0),"New Year"))))),0)</f>
        <v>0</v>
      </c>
      <c r="BO15" s="668">
        <f>IF(BO$4="forecast",IF(YEAR(BO$3)=YEAR('New Hires Forecast'!$N$3),IF((BO$5&lt;=12),(SUMPRODUCT(--('New Hires Forecast'!$F$5:$F$85="bi"),--('New Hires Forecast'!$H$5:$H$85&gt;=BI!BO$3),'New Hires Forecast'!$N$5:$N$85,'New Hires Forecast'!$L$5:$L$85)/12),0),IF(YEAR(BO$3)=YEAR('New Hires Forecast'!$O$3),IF((BO$5&lt;=12),(SUMPRODUCT(--('New Hires Forecast'!$F$5:$F$85="bi"),--('New Hires Forecast'!$H$5:$H$85&gt;=BI!BO$3),'New Hires Forecast'!$O$5:$O$85,'New Hires Forecast'!$L$5:$L$85)/12),0),IF(YEAR(BO$3)=YEAR('New Hires Forecast'!$P$3),IF((BO$5&lt;=12),(SUMPRODUCT(--('New Hires Forecast'!$F$5:$F$85="bi"),--('New Hires Forecast'!$H$5:$H$85&gt;=BI!BO$3),'New Hires Forecast'!$P$5:$P$85,'New Hires Forecast'!$L$5:$L$85)/12),0),IF(YEAR(BO$3)=YEAR('New Hires Forecast'!$Q$3),IF((BO$5&lt;=12),(SUMPRODUCT(--('New Hires Forecast'!$F$5:$F$85="bi"),--('New Hires Forecast'!$H$5:$H$85&gt;=BI!BO$3),'New Hires Forecast'!$Q$5:$Q$85,'New Hires Forecast'!$L$5:$L$85)/12),0),IF(YEAR(BO$3)=YEAR('New Hires Forecast'!$R$3),IF((BO$5&lt;=12),(SUMPRODUCT(--('New Hires Forecast'!$F$5:$F$85="bi"),--('New Hires Forecast'!$H$5:$H$85&gt;=BI!BO$3),'New Hires Forecast'!$R$5:$R$85,'New Hires Forecast'!$L$5:$L$85)/12),0),"New Year"))))),0)</f>
        <v>0</v>
      </c>
      <c r="BP15" s="668">
        <f>IF(BP$4="forecast",IF(YEAR(BP$3)=YEAR('New Hires Forecast'!$N$3),IF((BP$5&lt;=12),(SUMPRODUCT(--('New Hires Forecast'!$F$5:$F$85="bi"),--('New Hires Forecast'!$H$5:$H$85&gt;=BI!BP$3),'New Hires Forecast'!$N$5:$N$85,'New Hires Forecast'!$L$5:$L$85)/12),0),IF(YEAR(BP$3)=YEAR('New Hires Forecast'!$O$3),IF((BP$5&lt;=12),(SUMPRODUCT(--('New Hires Forecast'!$F$5:$F$85="bi"),--('New Hires Forecast'!$H$5:$H$85&gt;=BI!BP$3),'New Hires Forecast'!$O$5:$O$85,'New Hires Forecast'!$L$5:$L$85)/12),0),IF(YEAR(BP$3)=YEAR('New Hires Forecast'!$P$3),IF((BP$5&lt;=12),(SUMPRODUCT(--('New Hires Forecast'!$F$5:$F$85="bi"),--('New Hires Forecast'!$H$5:$H$85&gt;=BI!BP$3),'New Hires Forecast'!$P$5:$P$85,'New Hires Forecast'!$L$5:$L$85)/12),0),IF(YEAR(BP$3)=YEAR('New Hires Forecast'!$Q$3),IF((BP$5&lt;=12),(SUMPRODUCT(--('New Hires Forecast'!$F$5:$F$85="bi"),--('New Hires Forecast'!$H$5:$H$85&gt;=BI!BP$3),'New Hires Forecast'!$Q$5:$Q$85,'New Hires Forecast'!$L$5:$L$85)/12),0),IF(YEAR(BP$3)=YEAR('New Hires Forecast'!$R$3),IF((BP$5&lt;=12),(SUMPRODUCT(--('New Hires Forecast'!$F$5:$F$85="bi"),--('New Hires Forecast'!$H$5:$H$85&gt;=BI!BP$3),'New Hires Forecast'!$R$5:$R$85,'New Hires Forecast'!$L$5:$L$85)/12),0),"New Year"))))),0)</f>
        <v>0</v>
      </c>
      <c r="BQ15" s="668">
        <f>IF(BQ$4="forecast",IF(YEAR(BQ$3)=YEAR('New Hires Forecast'!$N$3),IF((BQ$5&lt;=12),(SUMPRODUCT(--('New Hires Forecast'!$F$5:$F$85="bi"),--('New Hires Forecast'!$H$5:$H$85&gt;=BI!BQ$3),'New Hires Forecast'!$N$5:$N$85,'New Hires Forecast'!$L$5:$L$85)/12),0),IF(YEAR(BQ$3)=YEAR('New Hires Forecast'!$O$3),IF((BQ$5&lt;=12),(SUMPRODUCT(--('New Hires Forecast'!$F$5:$F$85="bi"),--('New Hires Forecast'!$H$5:$H$85&gt;=BI!BQ$3),'New Hires Forecast'!$O$5:$O$85,'New Hires Forecast'!$L$5:$L$85)/12),0),IF(YEAR(BQ$3)=YEAR('New Hires Forecast'!$P$3),IF((BQ$5&lt;=12),(SUMPRODUCT(--('New Hires Forecast'!$F$5:$F$85="bi"),--('New Hires Forecast'!$H$5:$H$85&gt;=BI!BQ$3),'New Hires Forecast'!$P$5:$P$85,'New Hires Forecast'!$L$5:$L$85)/12),0),IF(YEAR(BQ$3)=YEAR('New Hires Forecast'!$Q$3),IF((BQ$5&lt;=12),(SUMPRODUCT(--('New Hires Forecast'!$F$5:$F$85="bi"),--('New Hires Forecast'!$H$5:$H$85&gt;=BI!BQ$3),'New Hires Forecast'!$Q$5:$Q$85,'New Hires Forecast'!$L$5:$L$85)/12),0),IF(YEAR(BQ$3)=YEAR('New Hires Forecast'!$R$3),IF((BQ$5&lt;=12),(SUMPRODUCT(--('New Hires Forecast'!$F$5:$F$85="bi"),--('New Hires Forecast'!$H$5:$H$85&gt;=BI!BQ$3),'New Hires Forecast'!$R$5:$R$85,'New Hires Forecast'!$L$5:$L$85)/12),0),"New Year"))))),0)</f>
        <v>0</v>
      </c>
      <c r="BR15" s="668">
        <f>IF(BR$4="forecast",IF(YEAR(BR$3)=YEAR('New Hires Forecast'!$N$3),IF((BR$5&lt;=12),(SUMPRODUCT(--('New Hires Forecast'!$F$5:$F$85="bi"),--('New Hires Forecast'!$H$5:$H$85&gt;=BI!BR$3),'New Hires Forecast'!$N$5:$N$85,'New Hires Forecast'!$L$5:$L$85)/12),0),IF(YEAR(BR$3)=YEAR('New Hires Forecast'!$O$3),IF((BR$5&lt;=12),(SUMPRODUCT(--('New Hires Forecast'!$F$5:$F$85="bi"),--('New Hires Forecast'!$H$5:$H$85&gt;=BI!BR$3),'New Hires Forecast'!$O$5:$O$85,'New Hires Forecast'!$L$5:$L$85)/12),0),IF(YEAR(BR$3)=YEAR('New Hires Forecast'!$P$3),IF((BR$5&lt;=12),(SUMPRODUCT(--('New Hires Forecast'!$F$5:$F$85="bi"),--('New Hires Forecast'!$H$5:$H$85&gt;=BI!BR$3),'New Hires Forecast'!$P$5:$P$85,'New Hires Forecast'!$L$5:$L$85)/12),0),IF(YEAR(BR$3)=YEAR('New Hires Forecast'!$Q$3),IF((BR$5&lt;=12),(SUMPRODUCT(--('New Hires Forecast'!$F$5:$F$85="bi"),--('New Hires Forecast'!$H$5:$H$85&gt;=BI!BR$3),'New Hires Forecast'!$Q$5:$Q$85,'New Hires Forecast'!$L$5:$L$85)/12),0),IF(YEAR(BR$3)=YEAR('New Hires Forecast'!$R$3),IF((BR$5&lt;=12),(SUMPRODUCT(--('New Hires Forecast'!$F$5:$F$85="bi"),--('New Hires Forecast'!$H$5:$H$85&gt;=BI!BR$3),'New Hires Forecast'!$R$5:$R$85,'New Hires Forecast'!$L$5:$L$85)/12),0),"New Year"))))),0)</f>
        <v>0</v>
      </c>
      <c r="BS15" s="668">
        <f>IF(BS$4="forecast",IF(YEAR(BS$3)=YEAR('New Hires Forecast'!$N$3),IF((BS$5&lt;=12),(SUMPRODUCT(--('New Hires Forecast'!$F$5:$F$85="bi"),--('New Hires Forecast'!$H$5:$H$85&gt;=BI!BS$3),'New Hires Forecast'!$N$5:$N$85,'New Hires Forecast'!$L$5:$L$85)/12),0),IF(YEAR(BS$3)=YEAR('New Hires Forecast'!$O$3),IF((BS$5&lt;=12),(SUMPRODUCT(--('New Hires Forecast'!$F$5:$F$85="bi"),--('New Hires Forecast'!$H$5:$H$85&gt;=BI!BS$3),'New Hires Forecast'!$O$5:$O$85,'New Hires Forecast'!$L$5:$L$85)/12),0),IF(YEAR(BS$3)=YEAR('New Hires Forecast'!$P$3),IF((BS$5&lt;=12),(SUMPRODUCT(--('New Hires Forecast'!$F$5:$F$85="bi"),--('New Hires Forecast'!$H$5:$H$85&gt;=BI!BS$3),'New Hires Forecast'!$P$5:$P$85,'New Hires Forecast'!$L$5:$L$85)/12),0),IF(YEAR(BS$3)=YEAR('New Hires Forecast'!$Q$3),IF((BS$5&lt;=12),(SUMPRODUCT(--('New Hires Forecast'!$F$5:$F$85="bi"),--('New Hires Forecast'!$H$5:$H$85&gt;=BI!BS$3),'New Hires Forecast'!$Q$5:$Q$85,'New Hires Forecast'!$L$5:$L$85)/12),0),IF(YEAR(BS$3)=YEAR('New Hires Forecast'!$R$3),IF((BS$5&lt;=12),(SUMPRODUCT(--('New Hires Forecast'!$F$5:$F$85="bi"),--('New Hires Forecast'!$H$5:$H$85&gt;=BI!BS$3),'New Hires Forecast'!$R$5:$R$85,'New Hires Forecast'!$L$5:$L$85)/12),0),"New Year"))))),0)</f>
        <v>0</v>
      </c>
      <c r="BT15" s="668">
        <f>IF(BT$4="forecast",IF(YEAR(BT$3)=YEAR('New Hires Forecast'!$N$3),IF((BT$5&lt;=12),(SUMPRODUCT(--('New Hires Forecast'!$F$5:$F$85="bi"),--('New Hires Forecast'!$H$5:$H$85&gt;=BI!BT$3),'New Hires Forecast'!$N$5:$N$85,'New Hires Forecast'!$L$5:$L$85)/12),0),IF(YEAR(BT$3)=YEAR('New Hires Forecast'!$O$3),IF((BT$5&lt;=12),(SUMPRODUCT(--('New Hires Forecast'!$F$5:$F$85="bi"),--('New Hires Forecast'!$H$5:$H$85&gt;=BI!BT$3),'New Hires Forecast'!$O$5:$O$85,'New Hires Forecast'!$L$5:$L$85)/12),0),IF(YEAR(BT$3)=YEAR('New Hires Forecast'!$P$3),IF((BT$5&lt;=12),(SUMPRODUCT(--('New Hires Forecast'!$F$5:$F$85="bi"),--('New Hires Forecast'!$H$5:$H$85&gt;=BI!BT$3),'New Hires Forecast'!$P$5:$P$85,'New Hires Forecast'!$L$5:$L$85)/12),0),IF(YEAR(BT$3)=YEAR('New Hires Forecast'!$Q$3),IF((BT$5&lt;=12),(SUMPRODUCT(--('New Hires Forecast'!$F$5:$F$85="bi"),--('New Hires Forecast'!$H$5:$H$85&gt;=BI!BT$3),'New Hires Forecast'!$Q$5:$Q$85,'New Hires Forecast'!$L$5:$L$85)/12),0),IF(YEAR(BT$3)=YEAR('New Hires Forecast'!$R$3),IF((BT$5&lt;=12),(SUMPRODUCT(--('New Hires Forecast'!$F$5:$F$85="bi"),--('New Hires Forecast'!$H$5:$H$85&gt;=BI!BT$3),'New Hires Forecast'!$R$5:$R$85,'New Hires Forecast'!$L$5:$L$85)/12),0),"New Year"))))),0)</f>
        <v>0</v>
      </c>
      <c r="BU15" s="668">
        <f>IF(BU$4="forecast",IF(YEAR(BU$3)=YEAR('New Hires Forecast'!$N$3),IF((BU$5&lt;=12),(SUMPRODUCT(--('New Hires Forecast'!$F$5:$F$85="bi"),--('New Hires Forecast'!$H$5:$H$85&gt;=BI!BU$3),'New Hires Forecast'!$N$5:$N$85,'New Hires Forecast'!$L$5:$L$85)/12),0),IF(YEAR(BU$3)=YEAR('New Hires Forecast'!$O$3),IF((BU$5&lt;=12),(SUMPRODUCT(--('New Hires Forecast'!$F$5:$F$85="bi"),--('New Hires Forecast'!$H$5:$H$85&gt;=BI!BU$3),'New Hires Forecast'!$O$5:$O$85,'New Hires Forecast'!$L$5:$L$85)/12),0),IF(YEAR(BU$3)=YEAR('New Hires Forecast'!$P$3),IF((BU$5&lt;=12),(SUMPRODUCT(--('New Hires Forecast'!$F$5:$F$85="bi"),--('New Hires Forecast'!$H$5:$H$85&gt;=BI!BU$3),'New Hires Forecast'!$P$5:$P$85,'New Hires Forecast'!$L$5:$L$85)/12),0),IF(YEAR(BU$3)=YEAR('New Hires Forecast'!$Q$3),IF((BU$5&lt;=12),(SUMPRODUCT(--('New Hires Forecast'!$F$5:$F$85="bi"),--('New Hires Forecast'!$H$5:$H$85&gt;=BI!BU$3),'New Hires Forecast'!$Q$5:$Q$85,'New Hires Forecast'!$L$5:$L$85)/12),0),IF(YEAR(BU$3)=YEAR('New Hires Forecast'!$R$3),IF((BU$5&lt;=12),(SUMPRODUCT(--('New Hires Forecast'!$F$5:$F$85="bi"),--('New Hires Forecast'!$H$5:$H$85&gt;=BI!BU$3),'New Hires Forecast'!$R$5:$R$85,'New Hires Forecast'!$L$5:$L$85)/12),0),"New Year"))))),0)</f>
        <v>0</v>
      </c>
      <c r="BV15" s="668">
        <f>IF(BV$4="forecast",IF(YEAR(BV$3)=YEAR('New Hires Forecast'!$N$3),IF((BV$5&lt;=12),(SUMPRODUCT(--('New Hires Forecast'!$F$5:$F$85="bi"),--('New Hires Forecast'!$H$5:$H$85&gt;=BI!BV$3),'New Hires Forecast'!$N$5:$N$85,'New Hires Forecast'!$L$5:$L$85)/12),0),IF(YEAR(BV$3)=YEAR('New Hires Forecast'!$O$3),IF((BV$5&lt;=12),(SUMPRODUCT(--('New Hires Forecast'!$F$5:$F$85="bi"),--('New Hires Forecast'!$H$5:$H$85&gt;=BI!BV$3),'New Hires Forecast'!$O$5:$O$85,'New Hires Forecast'!$L$5:$L$85)/12),0),IF(YEAR(BV$3)=YEAR('New Hires Forecast'!$P$3),IF((BV$5&lt;=12),(SUMPRODUCT(--('New Hires Forecast'!$F$5:$F$85="bi"),--('New Hires Forecast'!$H$5:$H$85&gt;=BI!BV$3),'New Hires Forecast'!$P$5:$P$85,'New Hires Forecast'!$L$5:$L$85)/12),0),IF(YEAR(BV$3)=YEAR('New Hires Forecast'!$Q$3),IF((BV$5&lt;=12),(SUMPRODUCT(--('New Hires Forecast'!$F$5:$F$85="bi"),--('New Hires Forecast'!$H$5:$H$85&gt;=BI!BV$3),'New Hires Forecast'!$Q$5:$Q$85,'New Hires Forecast'!$L$5:$L$85)/12),0),IF(YEAR(BV$3)=YEAR('New Hires Forecast'!$R$3),IF((BV$5&lt;=12),(SUMPRODUCT(--('New Hires Forecast'!$F$5:$F$85="bi"),--('New Hires Forecast'!$H$5:$H$85&gt;=BI!BV$3),'New Hires Forecast'!$R$5:$R$85,'New Hires Forecast'!$L$5:$L$85)/12),0),"New Year"))))),0)</f>
        <v>0</v>
      </c>
    </row>
    <row r="16" spans="2:74" x14ac:dyDescent="0.25">
      <c r="B16" s="780" t="s">
        <v>930</v>
      </c>
      <c r="C16" s="668"/>
      <c r="D16" s="668"/>
      <c r="E16" s="668"/>
      <c r="F16" s="668"/>
      <c r="G16" s="668"/>
      <c r="H16" s="668"/>
      <c r="I16" s="668"/>
      <c r="J16" s="668"/>
      <c r="K16" s="668"/>
      <c r="L16" s="668"/>
      <c r="M16" s="668"/>
      <c r="N16" s="668"/>
      <c r="O16" s="668"/>
      <c r="P16" s="668"/>
      <c r="Q16" s="668"/>
      <c r="R16" s="668"/>
      <c r="S16" s="668"/>
      <c r="T16" s="668"/>
      <c r="U16" s="668"/>
      <c r="V16" s="668"/>
      <c r="W16" s="668"/>
      <c r="X16" s="668"/>
      <c r="Y16" s="668"/>
      <c r="Z16" s="668"/>
      <c r="AA16" s="668">
        <f>IF(AA$4="forecast",IF(YEAR(AA$3)=YEAR(Headcount!$N$4),IF((AA$5&lt;12),(SUMPRODUCT(--(Headcount!$F$6:$F$92="bi"),--(Headcount!$H$6:$H$92&gt;=BI!AA$3),Headcount!$N$6:$N$92,Headcount!$L$6:$L$92)/12),0),IF(YEAR(AA$3)=YEAR(Headcount!$O$4),IF((AA$5&lt;=12),(SUMPRODUCT(--(Headcount!$F$6:$F$92="bi"),--(Headcount!$H$6:$H$92&gt;=BI!AA$3),Headcount!$O$6:$O$92,Headcount!$L$6:$L$92)/12),0),IF(YEAR(AA$3)=YEAR(Headcount!$P$4),IF((AA$5&lt;=12),(SUMPRODUCT(--(Headcount!$F$6:$F$92="bi"),--(Headcount!$H$6:$H$92&gt;=BI!AA$3),Headcount!$P$6:$P$92,Headcount!$L$6:$L$92)/12),0),IF(YEAR(AA$3)=YEAR(Headcount!$Q$4),IF((AA$5&lt;=12),(SUMPRODUCT(--(Headcount!$F$6:$F$92="bi"),--(Headcount!$H$6:$H$92&gt;=BI!AA$3),Headcount!$Q$6:$Q$92,Headcount!$L$6:$L$92)/12),0),IF(YEAR(AA$3)=YEAR(Headcount!$R$4),IF((AA$5&lt;=12),(SUMPRODUCT(--(Headcount!$F$6:$F$92="bi"),--(Headcount!$H$6:$H$92&gt;=BI!AA$3),Headcount!$R$6:$R$92,Headcount!$L$6:$L$92)/12),0),"New Year"))))),SUMIF('Dept. Cost Actuals'!$E$7:$E$176,"*bonus*",'Dept. Cost Actuals'!AE$1400:AE$1569))</f>
        <v>9361.11</v>
      </c>
      <c r="AB16" s="668">
        <f>IF(AB$4="forecast",IF(YEAR(AB$3)=YEAR(Headcount!$N$4),IF((AB$5&lt;12),(SUMPRODUCT(--(Headcount!$F$6:$F$92="bi"),--(Headcount!$H$6:$H$92&gt;=BI!AB$3),Headcount!$N$6:$N$92,Headcount!$L$6:$L$92)/12),0),IF(YEAR(AB$3)=YEAR(Headcount!$O$4),IF((AB$5&lt;=12),(SUMPRODUCT(--(Headcount!$F$6:$F$92="bi"),--(Headcount!$H$6:$H$92&gt;=BI!AB$3),Headcount!$O$6:$O$92,Headcount!$L$6:$L$92)/12),0),IF(YEAR(AB$3)=YEAR(Headcount!$P$4),IF((AB$5&lt;=12),(SUMPRODUCT(--(Headcount!$F$6:$F$92="bi"),--(Headcount!$H$6:$H$92&gt;=BI!AB$3),Headcount!$P$6:$P$92,Headcount!$L$6:$L$92)/12),0),IF(YEAR(AB$3)=YEAR(Headcount!$Q$4),IF((AB$5&lt;=12),(SUMPRODUCT(--(Headcount!$F$6:$F$92="bi"),--(Headcount!$H$6:$H$92&gt;=BI!AB$3),Headcount!$Q$6:$Q$92,Headcount!$L$6:$L$92)/12),0),IF(YEAR(AB$3)=YEAR(Headcount!$R$4),IF((AB$5&lt;=12),(SUMPRODUCT(--(Headcount!$F$6:$F$92="bi"),--(Headcount!$H$6:$H$92&gt;=BI!AB$3),Headcount!$R$6:$R$92,Headcount!$L$6:$L$92)/12),0),"New Year"))))),SUMIF('Dept. Cost Actuals'!$E$7:$E$176,"*bonus*",'Dept. Cost Actuals'!AF$1400:AF$1569))</f>
        <v>9448.61</v>
      </c>
      <c r="AC16" s="668">
        <f>IF(AC$4="forecast",IF(YEAR(AC$3)=YEAR(Headcount!$N$4),IF((AC$5&lt;12),(SUMPRODUCT(--(Headcount!$F$6:$F$92="bi"),--(Headcount!$H$6:$H$92&gt;=BI!AC$3),Headcount!$N$6:$N$92,Headcount!$L$6:$L$92)/12),0),IF(YEAR(AC$3)=YEAR(Headcount!$O$4),IF((AC$5&lt;=12),(SUMPRODUCT(--(Headcount!$F$6:$F$92="bi"),--(Headcount!$H$6:$H$92&gt;=BI!AC$3),Headcount!$O$6:$O$92,Headcount!$L$6:$L$92)/12),0),IF(YEAR(AC$3)=YEAR(Headcount!$P$4),IF((AC$5&lt;=12),(SUMPRODUCT(--(Headcount!$F$6:$F$92="bi"),--(Headcount!$H$6:$H$92&gt;=BI!AC$3),Headcount!$P$6:$P$92,Headcount!$L$6:$L$92)/12),0),IF(YEAR(AC$3)=YEAR(Headcount!$Q$4),IF((AC$5&lt;=12),(SUMPRODUCT(--(Headcount!$F$6:$F$92="bi"),--(Headcount!$H$6:$H$92&gt;=BI!AC$3),Headcount!$Q$6:$Q$92,Headcount!$L$6:$L$92)/12),0),IF(YEAR(AC$3)=YEAR(Headcount!$R$4),IF((AC$5&lt;=12),(SUMPRODUCT(--(Headcount!$F$6:$F$92="bi"),--(Headcount!$H$6:$H$92&gt;=BI!AC$3),Headcount!$R$6:$R$92,Headcount!$L$6:$L$92)/12),0),"New Year"))))),SUMIF('Dept. Cost Actuals'!$E$7:$E$176,"*bonus*",'Dept. Cost Actuals'!AG$1400:AG$1569))</f>
        <v>9434.61</v>
      </c>
      <c r="AD16" s="668">
        <f>IF(AD$4="forecast",IF(YEAR(AD$3)=YEAR(Headcount!$N$4),IF((AD$5&lt;12),(SUMPRODUCT(--(Headcount!$F$6:$F$92="bi"),--(Headcount!$H$6:$H$92&gt;=BI!AD$3),Headcount!$N$6:$N$92,Headcount!$L$6:$L$92)/12),0),IF(YEAR(AD$3)=YEAR(Headcount!$O$4),IF((AD$5&lt;=12),(SUMPRODUCT(--(Headcount!$F$6:$F$92="bi"),--(Headcount!$H$6:$H$92&gt;=BI!AD$3),Headcount!$O$6:$O$92,Headcount!$L$6:$L$92)/12),0),IF(YEAR(AD$3)=YEAR(Headcount!$P$4),IF((AD$5&lt;=12),(SUMPRODUCT(--(Headcount!$F$6:$F$92="bi"),--(Headcount!$H$6:$H$92&gt;=BI!AD$3),Headcount!$P$6:$P$92,Headcount!$L$6:$L$92)/12),0),IF(YEAR(AD$3)=YEAR(Headcount!$Q$4),IF((AD$5&lt;=12),(SUMPRODUCT(--(Headcount!$F$6:$F$92="bi"),--(Headcount!$H$6:$H$92&gt;=BI!AD$3),Headcount!$Q$6:$Q$92,Headcount!$L$6:$L$92)/12),0),IF(YEAR(AD$3)=YEAR(Headcount!$R$4),IF((AD$5&lt;=12),(SUMPRODUCT(--(Headcount!$F$6:$F$92="bi"),--(Headcount!$H$6:$H$92&gt;=BI!AD$3),Headcount!$R$6:$R$92,Headcount!$L$6:$L$92)/12),0),"New Year"))))),SUMIF('Dept. Cost Actuals'!$E$7:$E$176,"*bonus*",'Dept. Cost Actuals'!AH$1400:AH$1569))</f>
        <v>0</v>
      </c>
      <c r="AE16" s="668">
        <f>IF(AE$4="forecast",IF(YEAR(AE$3)=YEAR(Headcount!$N$4),IF((AE$5&lt;12),(SUMPRODUCT(--(Headcount!$F$6:$F$92="bi"),--(Headcount!$H$6:$H$92&gt;=BI!AE$3),Headcount!$N$6:$N$92,Headcount!$L$6:$L$92)/12),0),IF(YEAR(AE$3)=YEAR(Headcount!$O$4),IF((AE$5&lt;=12),(SUMPRODUCT(--(Headcount!$F$6:$F$92="bi"),--(Headcount!$H$6:$H$92&gt;=BI!AE$3),Headcount!$O$6:$O$92,Headcount!$L$6:$L$92)/12),0),IF(YEAR(AE$3)=YEAR(Headcount!$P$4),IF((AE$5&lt;=12),(SUMPRODUCT(--(Headcount!$F$6:$F$92="bi"),--(Headcount!$H$6:$H$92&gt;=BI!AE$3),Headcount!$P$6:$P$92,Headcount!$L$6:$L$92)/12),0),IF(YEAR(AE$3)=YEAR(Headcount!$Q$4),IF((AE$5&lt;=12),(SUMPRODUCT(--(Headcount!$F$6:$F$92="bi"),--(Headcount!$H$6:$H$92&gt;=BI!AE$3),Headcount!$Q$6:$Q$92,Headcount!$L$6:$L$92)/12),0),IF(YEAR(AE$3)=YEAR(Headcount!$R$4),IF((AE$5&lt;=12),(SUMPRODUCT(--(Headcount!$F$6:$F$92="bi"),--(Headcount!$H$6:$H$92&gt;=BI!AE$3),Headcount!$R$6:$R$92,Headcount!$L$6:$L$92)/12),0),"New Year"))))),SUMIF('Dept. Cost Actuals'!$E$7:$E$176,"*bonus*",'Dept. Cost Actuals'!AI$1400:AI$1569))</f>
        <v>0</v>
      </c>
      <c r="AF16" s="668">
        <f>IF(AF$4="forecast",IF(YEAR(AF$3)=YEAR(Headcount!$N$4),IF((AF$5&lt;12),(SUMPRODUCT(--(Headcount!$F$6:$F$92="bi"),--(Headcount!$H$6:$H$92&gt;=BI!AF$3),Headcount!$N$6:$N$92,Headcount!$L$6:$L$92)/12),0),IF(YEAR(AF$3)=YEAR(Headcount!$O$4),IF((AF$5&lt;=12),(SUMPRODUCT(--(Headcount!$F$6:$F$92="bi"),--(Headcount!$H$6:$H$92&gt;=BI!AF$3),Headcount!$O$6:$O$92,Headcount!$L$6:$L$92)/12),0),IF(YEAR(AF$3)=YEAR(Headcount!$P$4),IF((AF$5&lt;=12),(SUMPRODUCT(--(Headcount!$F$6:$F$92="bi"),--(Headcount!$H$6:$H$92&gt;=BI!AF$3),Headcount!$P$6:$P$92,Headcount!$L$6:$L$92)/12),0),IF(YEAR(AF$3)=YEAR(Headcount!$Q$4),IF((AF$5&lt;=12),(SUMPRODUCT(--(Headcount!$F$6:$F$92="bi"),--(Headcount!$H$6:$H$92&gt;=BI!AF$3),Headcount!$Q$6:$Q$92,Headcount!$L$6:$L$92)/12),0),IF(YEAR(AF$3)=YEAR(Headcount!$R$4),IF((AF$5&lt;=12),(SUMPRODUCT(--(Headcount!$F$6:$F$92="bi"),--(Headcount!$H$6:$H$92&gt;=BI!AF$3),Headcount!$R$6:$R$92,Headcount!$L$6:$L$92)/12),0),"New Year"))))),SUMIF('Dept. Cost Actuals'!$E$7:$E$176,"*bonus*",'Dept. Cost Actuals'!AJ$1400:AJ$1569))</f>
        <v>0</v>
      </c>
      <c r="AG16" s="668">
        <f>IF(AG$4="forecast",IF(YEAR(AG$3)=YEAR(Headcount!$N$4),IF((AG$5&lt;12),(SUMPRODUCT(--(Headcount!$F$6:$F$92="bi"),--(Headcount!$H$6:$H$92&gt;=BI!AG$3),Headcount!$N$6:$N$92,Headcount!$L$6:$L$92)/12),0),IF(YEAR(AG$3)=YEAR(Headcount!$O$4),IF((AG$5&lt;=12),(SUMPRODUCT(--(Headcount!$F$6:$F$92="bi"),--(Headcount!$H$6:$H$92&gt;=BI!AG$3),Headcount!$O$6:$O$92,Headcount!$L$6:$L$92)/12),0),IF(YEAR(AG$3)=YEAR(Headcount!$P$4),IF((AG$5&lt;=12),(SUMPRODUCT(--(Headcount!$F$6:$F$92="bi"),--(Headcount!$H$6:$H$92&gt;=BI!AG$3),Headcount!$P$6:$P$92,Headcount!$L$6:$L$92)/12),0),IF(YEAR(AG$3)=YEAR(Headcount!$Q$4),IF((AG$5&lt;=12),(SUMPRODUCT(--(Headcount!$F$6:$F$92="bi"),--(Headcount!$H$6:$H$92&gt;=BI!AG$3),Headcount!$Q$6:$Q$92,Headcount!$L$6:$L$92)/12),0),IF(YEAR(AG$3)=YEAR(Headcount!$R$4),IF((AG$5&lt;=12),(SUMPRODUCT(--(Headcount!$F$6:$F$92="bi"),--(Headcount!$H$6:$H$92&gt;=BI!AG$3),Headcount!$R$6:$R$92,Headcount!$L$6:$L$92)/12),0),"New Year"))))),SUMIF('Dept. Cost Actuals'!$E$7:$E$176,"*bonus*",'Dept. Cost Actuals'!AK$1400:AK$1569))</f>
        <v>0</v>
      </c>
      <c r="AH16" s="668">
        <f>IF(AH$4="forecast",IF(YEAR(AH$3)=YEAR(Headcount!$N$4),IF((AH$5&lt;12),(SUMPRODUCT(--(Headcount!$F$6:$F$92="bi"),--(Headcount!$H$6:$H$92&gt;=BI!AH$3),Headcount!$N$6:$N$92,Headcount!$L$6:$L$92)/12),0),IF(YEAR(AH$3)=YEAR(Headcount!$O$4),IF((AH$5&lt;=12),(SUMPRODUCT(--(Headcount!$F$6:$F$92="bi"),--(Headcount!$H$6:$H$92&gt;=BI!AH$3),Headcount!$O$6:$O$92,Headcount!$L$6:$L$92)/12),0),IF(YEAR(AH$3)=YEAR(Headcount!$P$4),IF((AH$5&lt;=12),(SUMPRODUCT(--(Headcount!$F$6:$F$92="bi"),--(Headcount!$H$6:$H$92&gt;=BI!AH$3),Headcount!$P$6:$P$92,Headcount!$L$6:$L$92)/12),0),IF(YEAR(AH$3)=YEAR(Headcount!$Q$4),IF((AH$5&lt;=12),(SUMPRODUCT(--(Headcount!$F$6:$F$92="bi"),--(Headcount!$H$6:$H$92&gt;=BI!AH$3),Headcount!$Q$6:$Q$92,Headcount!$L$6:$L$92)/12),0),IF(YEAR(AH$3)=YEAR(Headcount!$R$4),IF((AH$5&lt;=12),(SUMPRODUCT(--(Headcount!$F$6:$F$92="bi"),--(Headcount!$H$6:$H$92&gt;=BI!AH$3),Headcount!$R$6:$R$92,Headcount!$L$6:$L$92)/12),0),"New Year"))))),SUMIF('Dept. Cost Actuals'!$E$7:$E$176,"*bonus*",'Dept. Cost Actuals'!AL$1400:AL$1569))</f>
        <v>0</v>
      </c>
      <c r="AI16" s="668">
        <f>IF(AI$4="forecast",IF(YEAR(AI$3)=YEAR(Headcount!$N$4),IF((AI$5&lt;12),(SUMPRODUCT(--(Headcount!$F$6:$F$92="bi"),--(Headcount!$H$6:$H$92&gt;=BI!AI$3),Headcount!$N$6:$N$92,Headcount!$L$6:$L$92)/12),0),IF(YEAR(AI$3)=YEAR(Headcount!$O$4),IF((AI$5&lt;=12),(SUMPRODUCT(--(Headcount!$F$6:$F$92="bi"),--(Headcount!$H$6:$H$92&gt;=BI!AI$3),Headcount!$O$6:$O$92,Headcount!$L$6:$L$92)/12),0),IF(YEAR(AI$3)=YEAR(Headcount!$P$4),IF((AI$5&lt;=12),(SUMPRODUCT(--(Headcount!$F$6:$F$92="bi"),--(Headcount!$H$6:$H$92&gt;=BI!AI$3),Headcount!$P$6:$P$92,Headcount!$L$6:$L$92)/12),0),IF(YEAR(AI$3)=YEAR(Headcount!$Q$4),IF((AI$5&lt;=12),(SUMPRODUCT(--(Headcount!$F$6:$F$92="bi"),--(Headcount!$H$6:$H$92&gt;=BI!AI$3),Headcount!$Q$6:$Q$92,Headcount!$L$6:$L$92)/12),0),IF(YEAR(AI$3)=YEAR(Headcount!$R$4),IF((AI$5&lt;=12),(SUMPRODUCT(--(Headcount!$F$6:$F$92="bi"),--(Headcount!$H$6:$H$92&gt;=BI!AI$3),Headcount!$R$6:$R$92,Headcount!$L$6:$L$92)/12),0),"New Year"))))),SUMIF('Dept. Cost Actuals'!$E$7:$E$176,"*bonus*",'Dept. Cost Actuals'!AM$1400:AM$1569))</f>
        <v>0</v>
      </c>
      <c r="AJ16" s="668">
        <f>IF(AJ$4="forecast",IF(YEAR(AJ$3)=YEAR(Headcount!$N$4),IF((AJ$5&lt;12),(SUMPRODUCT(--(Headcount!$F$6:$F$92="bi"),--(Headcount!$H$6:$H$92&gt;=BI!AJ$3),Headcount!$N$6:$N$92,Headcount!$L$6:$L$92)/12),0),IF(YEAR(AJ$3)=YEAR(Headcount!$O$4),IF((AJ$5&lt;=12),(SUMPRODUCT(--(Headcount!$F$6:$F$92="bi"),--(Headcount!$H$6:$H$92&gt;=BI!AJ$3),Headcount!$O$6:$O$92,Headcount!$L$6:$L$92)/12),0),IF(YEAR(AJ$3)=YEAR(Headcount!$P$4),IF((AJ$5&lt;=12),(SUMPRODUCT(--(Headcount!$F$6:$F$92="bi"),--(Headcount!$H$6:$H$92&gt;=BI!AJ$3),Headcount!$P$6:$P$92,Headcount!$L$6:$L$92)/12),0),IF(YEAR(AJ$3)=YEAR(Headcount!$Q$4),IF((AJ$5&lt;=12),(SUMPRODUCT(--(Headcount!$F$6:$F$92="bi"),--(Headcount!$H$6:$H$92&gt;=BI!AJ$3),Headcount!$Q$6:$Q$92,Headcount!$L$6:$L$92)/12),0),IF(YEAR(AJ$3)=YEAR(Headcount!$R$4),IF((AJ$5&lt;=12),(SUMPRODUCT(--(Headcount!$F$6:$F$92="bi"),--(Headcount!$H$6:$H$92&gt;=BI!AJ$3),Headcount!$R$6:$R$92,Headcount!$L$6:$L$92)/12),0),"New Year"))))),SUMIF('Dept. Cost Actuals'!$E$7:$E$176,"*bonus*",'Dept. Cost Actuals'!AN$1400:AN$1569))</f>
        <v>0</v>
      </c>
      <c r="AK16" s="668">
        <f>IF(AK$4="forecast",IF(YEAR(AK$3)=YEAR(Headcount!$N$4),IF((AK$5&lt;12),(SUMPRODUCT(--(Headcount!$F$6:$F$92="bi"),--(Headcount!$H$6:$H$92&gt;=BI!AK$3),Headcount!$N$6:$N$92,Headcount!$L$6:$L$92)/12),0),IF(YEAR(AK$3)=YEAR(Headcount!$O$4),IF((AK$5&lt;=12),(SUMPRODUCT(--(Headcount!$F$6:$F$92="bi"),--(Headcount!$H$6:$H$92&gt;=BI!AK$3),Headcount!$O$6:$O$92,Headcount!$L$6:$L$92)/12),0),IF(YEAR(AK$3)=YEAR(Headcount!$P$4),IF((AK$5&lt;=12),(SUMPRODUCT(--(Headcount!$F$6:$F$92="bi"),--(Headcount!$H$6:$H$92&gt;=BI!AK$3),Headcount!$P$6:$P$92,Headcount!$L$6:$L$92)/12),0),IF(YEAR(AK$3)=YEAR(Headcount!$Q$4),IF((AK$5&lt;=12),(SUMPRODUCT(--(Headcount!$F$6:$F$92="bi"),--(Headcount!$H$6:$H$92&gt;=BI!AK$3),Headcount!$Q$6:$Q$92,Headcount!$L$6:$L$92)/12),0),IF(YEAR(AK$3)=YEAR(Headcount!$R$4),IF((AK$5&lt;=12),(SUMPRODUCT(--(Headcount!$F$6:$F$92="bi"),--(Headcount!$H$6:$H$92&gt;=BI!AK$3),Headcount!$R$6:$R$92,Headcount!$L$6:$L$92)/12),0),"New Year"))))),SUMIF('Dept. Cost Actuals'!$E$7:$E$176,"*bonus*",'Dept. Cost Actuals'!AO$1400:AO$1569))</f>
        <v>0</v>
      </c>
      <c r="AL16" s="668">
        <f>IF(AL$4="forecast",IF(YEAR(AL$3)=YEAR(Headcount!$N$4),IF((AL$5&lt;12),(SUMPRODUCT(--(Headcount!$F$6:$F$92="bi"),--(Headcount!$H$6:$H$92&gt;=BI!AL$3),Headcount!$N$6:$N$92,Headcount!$L$6:$L$92)/12),0),IF(YEAR(AL$3)=YEAR(Headcount!$O$4),IF((AL$5&lt;=12),(SUMPRODUCT(--(Headcount!$F$6:$F$92="bi"),--(Headcount!$H$6:$H$92&gt;=BI!AL$3),Headcount!$O$6:$O$92,Headcount!$L$6:$L$92)/12),0),IF(YEAR(AL$3)=YEAR(Headcount!$P$4),IF((AL$5&lt;=12),(SUMPRODUCT(--(Headcount!$F$6:$F$92="bi"),--(Headcount!$H$6:$H$92&gt;=BI!AL$3),Headcount!$P$6:$P$92,Headcount!$L$6:$L$92)/12),0),IF(YEAR(AL$3)=YEAR(Headcount!$Q$4),IF((AL$5&lt;=12),(SUMPRODUCT(--(Headcount!$F$6:$F$92="bi"),--(Headcount!$H$6:$H$92&gt;=BI!AL$3),Headcount!$Q$6:$Q$92,Headcount!$L$6:$L$92)/12),0),IF(YEAR(AL$3)=YEAR(Headcount!$R$4),IF((AL$5&lt;=12),(SUMPRODUCT(--(Headcount!$F$6:$F$92="bi"),--(Headcount!$H$6:$H$92&gt;=BI!AL$3),Headcount!$R$6:$R$92,Headcount!$L$6:$L$92)/12),0),"New Year"))))),SUMIF('Dept. Cost Actuals'!$E$7:$E$176,"*bonus*",'Dept. Cost Actuals'!AP$1400:AP$1569))</f>
        <v>0</v>
      </c>
      <c r="AM16" s="668">
        <f>IF(AM$4="forecast",IF(YEAR(AM$3)=YEAR(Headcount!$N$4),IF((AM$5&lt;12),(SUMPRODUCT(--(Headcount!$F$6:$F$92="bi"),--(Headcount!$H$6:$H$92&gt;=BI!AM$3),Headcount!$N$6:$N$92,Headcount!$L$6:$L$92)/12),0),IF(YEAR(AM$3)=YEAR(Headcount!$O$4),IF((AM$5&lt;=12),(SUMPRODUCT(--(Headcount!$F$6:$F$92="bi"),--(Headcount!$H$6:$H$92&gt;=BI!AM$3),Headcount!$O$6:$O$92,Headcount!$L$6:$L$92)/12),0),IF(YEAR(AM$3)=YEAR(Headcount!$P$4),IF((AM$5&lt;=12),(SUMPRODUCT(--(Headcount!$F$6:$F$92="bi"),--(Headcount!$H$6:$H$92&gt;=BI!AM$3),Headcount!$P$6:$P$92,Headcount!$L$6:$L$92)/12),0),IF(YEAR(AM$3)=YEAR(Headcount!$Q$4),IF((AM$5&lt;=12),(SUMPRODUCT(--(Headcount!$F$6:$F$92="bi"),--(Headcount!$H$6:$H$92&gt;=BI!AM$3),Headcount!$Q$6:$Q$92,Headcount!$L$6:$L$92)/12),0),IF(YEAR(AM$3)=YEAR(Headcount!$R$4),IF((AM$5&lt;=12),(SUMPRODUCT(--(Headcount!$F$6:$F$92="bi"),--(Headcount!$H$6:$H$92&gt;=BI!AM$3),Headcount!$R$6:$R$92,Headcount!$L$6:$L$92)/12),0),"New Year"))))),SUMIF('Dept. Cost Actuals'!$E$7:$E$176,"*bonus*",'Dept. Cost Actuals'!AQ$1400:AQ$1569))</f>
        <v>0</v>
      </c>
      <c r="AN16" s="668">
        <f>IF(AN$4="forecast",IF(YEAR(AN$3)=YEAR(Headcount!$N$4),IF((AN$5&lt;12),(SUMPRODUCT(--(Headcount!$F$6:$F$92="bi"),--(Headcount!$H$6:$H$92&gt;=BI!AN$3),Headcount!$N$6:$N$92,Headcount!$L$6:$L$92)/12),0),IF(YEAR(AN$3)=YEAR(Headcount!$O$4),IF((AN$5&lt;=12),(SUMPRODUCT(--(Headcount!$F$6:$F$92="bi"),--(Headcount!$H$6:$H$92&gt;=BI!AN$3),Headcount!$O$6:$O$92,Headcount!$L$6:$L$92)/12),0),IF(YEAR(AN$3)=YEAR(Headcount!$P$4),IF((AN$5&lt;=12),(SUMPRODUCT(--(Headcount!$F$6:$F$92="bi"),--(Headcount!$H$6:$H$92&gt;=BI!AN$3),Headcount!$P$6:$P$92,Headcount!$L$6:$L$92)/12),0),IF(YEAR(AN$3)=YEAR(Headcount!$Q$4),IF((AN$5&lt;=12),(SUMPRODUCT(--(Headcount!$F$6:$F$92="bi"),--(Headcount!$H$6:$H$92&gt;=BI!AN$3),Headcount!$Q$6:$Q$92,Headcount!$L$6:$L$92)/12),0),IF(YEAR(AN$3)=YEAR(Headcount!$R$4),IF((AN$5&lt;=12),(SUMPRODUCT(--(Headcount!$F$6:$F$92="bi"),--(Headcount!$H$6:$H$92&gt;=BI!AN$3),Headcount!$R$6:$R$92,Headcount!$L$6:$L$92)/12),0),"New Year"))))),SUMIF('Dept. Cost Actuals'!$E$7:$E$176,"*bonus*",'Dept. Cost Actuals'!AR$1400:AR$1569))</f>
        <v>0</v>
      </c>
      <c r="AO16" s="668">
        <f>IF(AO$4="forecast",IF(YEAR(AO$3)=YEAR(Headcount!$N$4),IF((AO$5&lt;12),(SUMPRODUCT(--(Headcount!$F$6:$F$92="bi"),--(Headcount!$H$6:$H$92&gt;=BI!AO$3),Headcount!$N$6:$N$92,Headcount!$L$6:$L$92)/12),0),IF(YEAR(AO$3)=YEAR(Headcount!$O$4),IF((AO$5&lt;=12),(SUMPRODUCT(--(Headcount!$F$6:$F$92="bi"),--(Headcount!$H$6:$H$92&gt;=BI!AO$3),Headcount!$O$6:$O$92,Headcount!$L$6:$L$92)/12),0),IF(YEAR(AO$3)=YEAR(Headcount!$P$4),IF((AO$5&lt;=12),(SUMPRODUCT(--(Headcount!$F$6:$F$92="bi"),--(Headcount!$H$6:$H$92&gt;=BI!AO$3),Headcount!$P$6:$P$92,Headcount!$L$6:$L$92)/12),0),IF(YEAR(AO$3)=YEAR(Headcount!$Q$4),IF((AO$5&lt;=12),(SUMPRODUCT(--(Headcount!$F$6:$F$92="bi"),--(Headcount!$H$6:$H$92&gt;=BI!AO$3),Headcount!$Q$6:$Q$92,Headcount!$L$6:$L$92)/12),0),IF(YEAR(AO$3)=YEAR(Headcount!$R$4),IF((AO$5&lt;=12),(SUMPRODUCT(--(Headcount!$F$6:$F$92="bi"),--(Headcount!$H$6:$H$92&gt;=BI!AO$3),Headcount!$R$6:$R$92,Headcount!$L$6:$L$92)/12),0),"New Year"))))),SUMIF('Dept. Cost Actuals'!$E$7:$E$176,"*bonus*",'Dept. Cost Actuals'!AS$1400:AS$1569))</f>
        <v>0</v>
      </c>
      <c r="AP16" s="668">
        <f>IF(AP$4="forecast",IF(YEAR(AP$3)=YEAR(Headcount!$N$4),IF((AP$5&lt;12),(SUMPRODUCT(--(Headcount!$F$6:$F$92="bi"),--(Headcount!$H$6:$H$92&gt;=BI!AP$3),Headcount!$N$6:$N$92,Headcount!$L$6:$L$92)/12),0),IF(YEAR(AP$3)=YEAR(Headcount!$O$4),IF((AP$5&lt;=12),(SUMPRODUCT(--(Headcount!$F$6:$F$92="bi"),--(Headcount!$H$6:$H$92&gt;=BI!AP$3),Headcount!$O$6:$O$92,Headcount!$L$6:$L$92)/12),0),IF(YEAR(AP$3)=YEAR(Headcount!$P$4),IF((AP$5&lt;=12),(SUMPRODUCT(--(Headcount!$F$6:$F$92="bi"),--(Headcount!$H$6:$H$92&gt;=BI!AP$3),Headcount!$P$6:$P$92,Headcount!$L$6:$L$92)/12),0),IF(YEAR(AP$3)=YEAR(Headcount!$Q$4),IF((AP$5&lt;=12),(SUMPRODUCT(--(Headcount!$F$6:$F$92="bi"),--(Headcount!$H$6:$H$92&gt;=BI!AP$3),Headcount!$Q$6:$Q$92,Headcount!$L$6:$L$92)/12),0),IF(YEAR(AP$3)=YEAR(Headcount!$R$4),IF((AP$5&lt;=12),(SUMPRODUCT(--(Headcount!$F$6:$F$92="bi"),--(Headcount!$H$6:$H$92&gt;=BI!AP$3),Headcount!$R$6:$R$92,Headcount!$L$6:$L$92)/12),0),"New Year"))))),SUMIF('Dept. Cost Actuals'!$E$7:$E$176,"*bonus*",'Dept. Cost Actuals'!AT$1400:AT$1569))</f>
        <v>0</v>
      </c>
      <c r="AQ16" s="668">
        <f>IF(AQ$4="forecast",IF(YEAR(AQ$3)=YEAR(Headcount!$N$4),IF((AQ$5&lt;12),(SUMPRODUCT(--(Headcount!$F$6:$F$92="bi"),--(Headcount!$H$6:$H$92&gt;=BI!AQ$3),Headcount!$N$6:$N$92,Headcount!$L$6:$L$92)/12),0),IF(YEAR(AQ$3)=YEAR(Headcount!$O$4),IF((AQ$5&lt;=12),(SUMPRODUCT(--(Headcount!$F$6:$F$92="bi"),--(Headcount!$H$6:$H$92&gt;=BI!AQ$3),Headcount!$O$6:$O$92,Headcount!$L$6:$L$92)/12),0),IF(YEAR(AQ$3)=YEAR(Headcount!$P$4),IF((AQ$5&lt;=12),(SUMPRODUCT(--(Headcount!$F$6:$F$92="bi"),--(Headcount!$H$6:$H$92&gt;=BI!AQ$3),Headcount!$P$6:$P$92,Headcount!$L$6:$L$92)/12),0),IF(YEAR(AQ$3)=YEAR(Headcount!$Q$4),IF((AQ$5&lt;=12),(SUMPRODUCT(--(Headcount!$F$6:$F$92="bi"),--(Headcount!$H$6:$H$92&gt;=BI!AQ$3),Headcount!$Q$6:$Q$92,Headcount!$L$6:$L$92)/12),0),IF(YEAR(AQ$3)=YEAR(Headcount!$R$4),IF((AQ$5&lt;=12),(SUMPRODUCT(--(Headcount!$F$6:$F$92="bi"),--(Headcount!$H$6:$H$92&gt;=BI!AQ$3),Headcount!$R$6:$R$92,Headcount!$L$6:$L$92)/12),0),"New Year"))))),SUMIF('Dept. Cost Actuals'!$E$7:$E$176,"*bonus*",'Dept. Cost Actuals'!AU$1400:AU$1569))</f>
        <v>0</v>
      </c>
      <c r="AR16" s="668">
        <f>IF(AR$4="forecast",IF(YEAR(AR$3)=YEAR(Headcount!$N$4),IF((AR$5&lt;12),(SUMPRODUCT(--(Headcount!$F$6:$F$92="bi"),--(Headcount!$H$6:$H$92&gt;=BI!AR$3),Headcount!$N$6:$N$92,Headcount!$L$6:$L$92)/12),0),IF(YEAR(AR$3)=YEAR(Headcount!$O$4),IF((AR$5&lt;=12),(SUMPRODUCT(--(Headcount!$F$6:$F$92="bi"),--(Headcount!$H$6:$H$92&gt;=BI!AR$3),Headcount!$O$6:$O$92,Headcount!$L$6:$L$92)/12),0),IF(YEAR(AR$3)=YEAR(Headcount!$P$4),IF((AR$5&lt;=12),(SUMPRODUCT(--(Headcount!$F$6:$F$92="bi"),--(Headcount!$H$6:$H$92&gt;=BI!AR$3),Headcount!$P$6:$P$92,Headcount!$L$6:$L$92)/12),0),IF(YEAR(AR$3)=YEAR(Headcount!$Q$4),IF((AR$5&lt;=12),(SUMPRODUCT(--(Headcount!$F$6:$F$92="bi"),--(Headcount!$H$6:$H$92&gt;=BI!AR$3),Headcount!$Q$6:$Q$92,Headcount!$L$6:$L$92)/12),0),IF(YEAR(AR$3)=YEAR(Headcount!$R$4),IF((AR$5&lt;=12),(SUMPRODUCT(--(Headcount!$F$6:$F$92="bi"),--(Headcount!$H$6:$H$92&gt;=BI!AR$3),Headcount!$R$6:$R$92,Headcount!$L$6:$L$92)/12),0),"New Year"))))),SUMIF('Dept. Cost Actuals'!$E$7:$E$176,"*bonus*",'Dept. Cost Actuals'!AV$1400:AV$1569))</f>
        <v>0</v>
      </c>
      <c r="AS16" s="668">
        <f>IF(AS$4="forecast",IF(YEAR(AS$3)=YEAR(Headcount!$N$4),IF((AS$5&lt;12),(SUMPRODUCT(--(Headcount!$F$6:$F$92="bi"),--(Headcount!$H$6:$H$92&gt;=BI!AS$3),Headcount!$N$6:$N$92,Headcount!$L$6:$L$92)/12),0),IF(YEAR(AS$3)=YEAR(Headcount!$O$4),IF((AS$5&lt;=12),(SUMPRODUCT(--(Headcount!$F$6:$F$92="bi"),--(Headcount!$H$6:$H$92&gt;=BI!AS$3),Headcount!$O$6:$O$92,Headcount!$L$6:$L$92)/12),0),IF(YEAR(AS$3)=YEAR(Headcount!$P$4),IF((AS$5&lt;=12),(SUMPRODUCT(--(Headcount!$F$6:$F$92="bi"),--(Headcount!$H$6:$H$92&gt;=BI!AS$3),Headcount!$P$6:$P$92,Headcount!$L$6:$L$92)/12),0),IF(YEAR(AS$3)=YEAR(Headcount!$Q$4),IF((AS$5&lt;=12),(SUMPRODUCT(--(Headcount!$F$6:$F$92="bi"),--(Headcount!$H$6:$H$92&gt;=BI!AS$3),Headcount!$Q$6:$Q$92,Headcount!$L$6:$L$92)/12),0),IF(YEAR(AS$3)=YEAR(Headcount!$R$4),IF((AS$5&lt;=12),(SUMPRODUCT(--(Headcount!$F$6:$F$92="bi"),--(Headcount!$H$6:$H$92&gt;=BI!AS$3),Headcount!$R$6:$R$92,Headcount!$L$6:$L$92)/12),0),"New Year"))))),SUMIF('Dept. Cost Actuals'!$E$7:$E$176,"*bonus*",'Dept. Cost Actuals'!AW$1400:AW$1569))</f>
        <v>0</v>
      </c>
      <c r="AT16" s="668">
        <f>IF(AT$4="forecast",IF(YEAR(AT$3)=YEAR(Headcount!$N$4),IF((AT$5&lt;12),(SUMPRODUCT(--(Headcount!$F$6:$F$92="bi"),--(Headcount!$H$6:$H$92&gt;=BI!AT$3),Headcount!$N$6:$N$92,Headcount!$L$6:$L$92)/12),0),IF(YEAR(AT$3)=YEAR(Headcount!$O$4),IF((AT$5&lt;=12),(SUMPRODUCT(--(Headcount!$F$6:$F$92="bi"),--(Headcount!$H$6:$H$92&gt;=BI!AT$3),Headcount!$O$6:$O$92,Headcount!$L$6:$L$92)/12),0),IF(YEAR(AT$3)=YEAR(Headcount!$P$4),IF((AT$5&lt;=12),(SUMPRODUCT(--(Headcount!$F$6:$F$92="bi"),--(Headcount!$H$6:$H$92&gt;=BI!AT$3),Headcount!$P$6:$P$92,Headcount!$L$6:$L$92)/12),0),IF(YEAR(AT$3)=YEAR(Headcount!$Q$4),IF((AT$5&lt;=12),(SUMPRODUCT(--(Headcount!$F$6:$F$92="bi"),--(Headcount!$H$6:$H$92&gt;=BI!AT$3),Headcount!$Q$6:$Q$92,Headcount!$L$6:$L$92)/12),0),IF(YEAR(AT$3)=YEAR(Headcount!$R$4),IF((AT$5&lt;=12),(SUMPRODUCT(--(Headcount!$F$6:$F$92="bi"),--(Headcount!$H$6:$H$92&gt;=BI!AT$3),Headcount!$R$6:$R$92,Headcount!$L$6:$L$92)/12),0),"New Year"))))),SUMIF('Dept. Cost Actuals'!$E$7:$E$176,"*bonus*",'Dept. Cost Actuals'!AX$1400:AX$1569))</f>
        <v>0</v>
      </c>
      <c r="AU16" s="668">
        <f>IF(AU$4="forecast",IF(YEAR(AU$3)=YEAR(Headcount!$N$4),IF((AU$5&lt;12),(SUMPRODUCT(--(Headcount!$F$6:$F$92="bi"),--(Headcount!$H$6:$H$92&gt;=BI!AU$3),Headcount!$N$6:$N$92,Headcount!$L$6:$L$92)/12),0),IF(YEAR(AU$3)=YEAR(Headcount!$O$4),IF((AU$5&lt;=12),(SUMPRODUCT(--(Headcount!$F$6:$F$92="bi"),--(Headcount!$H$6:$H$92&gt;=BI!AU$3),Headcount!$O$6:$O$92,Headcount!$L$6:$L$92)/12),0),IF(YEAR(AU$3)=YEAR(Headcount!$P$4),IF((AU$5&lt;=12),(SUMPRODUCT(--(Headcount!$F$6:$F$92="bi"),--(Headcount!$H$6:$H$92&gt;=BI!AU$3),Headcount!$P$6:$P$92,Headcount!$L$6:$L$92)/12),0),IF(YEAR(AU$3)=YEAR(Headcount!$Q$4),IF((AU$5&lt;=12),(SUMPRODUCT(--(Headcount!$F$6:$F$92="bi"),--(Headcount!$H$6:$H$92&gt;=BI!AU$3),Headcount!$Q$6:$Q$92,Headcount!$L$6:$L$92)/12),0),IF(YEAR(AU$3)=YEAR(Headcount!$R$4),IF((AU$5&lt;=12),(SUMPRODUCT(--(Headcount!$F$6:$F$92="bi"),--(Headcount!$H$6:$H$92&gt;=BI!AU$3),Headcount!$R$6:$R$92,Headcount!$L$6:$L$92)/12),0),"New Year"))))),SUMIF('Dept. Cost Actuals'!$E$7:$E$176,"*bonus*",'Dept. Cost Actuals'!AY$1400:AY$1569))</f>
        <v>0</v>
      </c>
      <c r="AV16" s="668">
        <f>IF(AV$4="forecast",IF(YEAR(AV$3)=YEAR(Headcount!$N$4),IF((AV$5&lt;12),(SUMPRODUCT(--(Headcount!$F$6:$F$92="bi"),--(Headcount!$H$6:$H$92&gt;=BI!AV$3),Headcount!$N$6:$N$92,Headcount!$L$6:$L$92)/12),0),IF(YEAR(AV$3)=YEAR(Headcount!$O$4),IF((AV$5&lt;=12),(SUMPRODUCT(--(Headcount!$F$6:$F$92="bi"),--(Headcount!$H$6:$H$92&gt;=BI!AV$3),Headcount!$O$6:$O$92,Headcount!$L$6:$L$92)/12),0),IF(YEAR(AV$3)=YEAR(Headcount!$P$4),IF((AV$5&lt;=12),(SUMPRODUCT(--(Headcount!$F$6:$F$92="bi"),--(Headcount!$H$6:$H$92&gt;=BI!AV$3),Headcount!$P$6:$P$92,Headcount!$L$6:$L$92)/12),0),IF(YEAR(AV$3)=YEAR(Headcount!$Q$4),IF((AV$5&lt;=12),(SUMPRODUCT(--(Headcount!$F$6:$F$92="bi"),--(Headcount!$H$6:$H$92&gt;=BI!AV$3),Headcount!$Q$6:$Q$92,Headcount!$L$6:$L$92)/12),0),IF(YEAR(AV$3)=YEAR(Headcount!$R$4),IF((AV$5&lt;=12),(SUMPRODUCT(--(Headcount!$F$6:$F$92="bi"),--(Headcount!$H$6:$H$92&gt;=BI!AV$3),Headcount!$R$6:$R$92,Headcount!$L$6:$L$92)/12),0),"New Year"))))),SUMIF('Dept. Cost Actuals'!$E$7:$E$176,"*bonus*",'Dept. Cost Actuals'!AZ$1400:AZ$1569))</f>
        <v>0</v>
      </c>
      <c r="AW16" s="668">
        <f>IF(AW$4="forecast",IF(YEAR(AW$3)=YEAR(Headcount!$N$4),IF((AW$5&lt;12),(SUMPRODUCT(--(Headcount!$F$6:$F$92="bi"),--(Headcount!$H$6:$H$92&gt;=BI!AW$3),Headcount!$N$6:$N$92,Headcount!$L$6:$L$92)/12),0),IF(YEAR(AW$3)=YEAR(Headcount!$O$4),IF((AW$5&lt;=12),(SUMPRODUCT(--(Headcount!$F$6:$F$92="bi"),--(Headcount!$H$6:$H$92&gt;=BI!AW$3),Headcount!$O$6:$O$92,Headcount!$L$6:$L$92)/12),0),IF(YEAR(AW$3)=YEAR(Headcount!$P$4),IF((AW$5&lt;=12),(SUMPRODUCT(--(Headcount!$F$6:$F$92="bi"),--(Headcount!$H$6:$H$92&gt;=BI!AW$3),Headcount!$P$6:$P$92,Headcount!$L$6:$L$92)/12),0),IF(YEAR(AW$3)=YEAR(Headcount!$Q$4),IF((AW$5&lt;=12),(SUMPRODUCT(--(Headcount!$F$6:$F$92="bi"),--(Headcount!$H$6:$H$92&gt;=BI!AW$3),Headcount!$Q$6:$Q$92,Headcount!$L$6:$L$92)/12),0),IF(YEAR(AW$3)=YEAR(Headcount!$R$4),IF((AW$5&lt;=12),(SUMPRODUCT(--(Headcount!$F$6:$F$92="bi"),--(Headcount!$H$6:$H$92&gt;=BI!AW$3),Headcount!$R$6:$R$92,Headcount!$L$6:$L$92)/12),0),"New Year"))))),SUMIF('Dept. Cost Actuals'!$E$7:$E$176,"*bonus*",'Dept. Cost Actuals'!BA$1400:BA$1569))</f>
        <v>0</v>
      </c>
      <c r="AX16" s="668">
        <f>IF(AX$4="forecast",IF(YEAR(AX$3)=YEAR(Headcount!$N$4),IF((AX$5&lt;12),(SUMPRODUCT(--(Headcount!$F$6:$F$92="bi"),--(Headcount!$H$6:$H$92&gt;=BI!AX$3),Headcount!$N$6:$N$92,Headcount!$L$6:$L$92)/12),0),IF(YEAR(AX$3)=YEAR(Headcount!$O$4),IF((AX$5&lt;=12),(SUMPRODUCT(--(Headcount!$F$6:$F$92="bi"),--(Headcount!$H$6:$H$92&gt;=BI!AX$3),Headcount!$O$6:$O$92,Headcount!$L$6:$L$92)/12),0),IF(YEAR(AX$3)=YEAR(Headcount!$P$4),IF((AX$5&lt;=12),(SUMPRODUCT(--(Headcount!$F$6:$F$92="bi"),--(Headcount!$H$6:$H$92&gt;=BI!AX$3),Headcount!$P$6:$P$92,Headcount!$L$6:$L$92)/12),0),IF(YEAR(AX$3)=YEAR(Headcount!$Q$4),IF((AX$5&lt;=12),(SUMPRODUCT(--(Headcount!$F$6:$F$92="bi"),--(Headcount!$H$6:$H$92&gt;=BI!AX$3),Headcount!$Q$6:$Q$92,Headcount!$L$6:$L$92)/12),0),IF(YEAR(AX$3)=YEAR(Headcount!$R$4),IF((AX$5&lt;=12),(SUMPRODUCT(--(Headcount!$F$6:$F$92="bi"),--(Headcount!$H$6:$H$92&gt;=BI!AX$3),Headcount!$R$6:$R$92,Headcount!$L$6:$L$92)/12),0),"New Year"))))),SUMIF('Dept. Cost Actuals'!$E$7:$E$176,"*bonus*",'Dept. Cost Actuals'!BB$1400:BB$1569))</f>
        <v>0</v>
      </c>
      <c r="AY16" s="668">
        <f>IF(AY$4="forecast",IF(YEAR(AY$3)=YEAR(Headcount!$N$4),IF((AY$5&lt;12),(SUMPRODUCT(--(Headcount!$F$6:$F$92="bi"),--(Headcount!$H$6:$H$92&gt;=BI!AY$3),Headcount!$N$6:$N$92,Headcount!$L$6:$L$92)/12),0),IF(YEAR(AY$3)=YEAR(Headcount!$O$4),IF((AY$5&lt;=12),(SUMPRODUCT(--(Headcount!$F$6:$F$92="bi"),--(Headcount!$H$6:$H$92&gt;=BI!AY$3),Headcount!$O$6:$O$92,Headcount!$L$6:$L$92)/12),0),IF(YEAR(AY$3)=YEAR(Headcount!$P$4),IF((AY$5&lt;=12),(SUMPRODUCT(--(Headcount!$F$6:$F$92="bi"),--(Headcount!$H$6:$H$92&gt;=BI!AY$3),Headcount!$P$6:$P$92,Headcount!$L$6:$L$92)/12),0),IF(YEAR(AY$3)=YEAR(Headcount!$Q$4),IF((AY$5&lt;=12),(SUMPRODUCT(--(Headcount!$F$6:$F$92="bi"),--(Headcount!$H$6:$H$92&gt;=BI!AY$3),Headcount!$Q$6:$Q$92,Headcount!$L$6:$L$92)/12),0),IF(YEAR(AY$3)=YEAR(Headcount!$R$4),IF((AY$5&lt;=12),(SUMPRODUCT(--(Headcount!$F$6:$F$92="bi"),--(Headcount!$H$6:$H$92&gt;=BI!AY$3),Headcount!$R$6:$R$92,Headcount!$L$6:$L$92)/12),0),"New Year"))))),SUMIF('Dept. Cost Actuals'!$E$7:$E$176,"*bonus*",'Dept. Cost Actuals'!BC$1400:BC$1569))</f>
        <v>0</v>
      </c>
      <c r="AZ16" s="668">
        <f>IF(AZ$4="forecast",IF(YEAR(AZ$3)=YEAR(Headcount!$N$4),IF((AZ$5&lt;12),(SUMPRODUCT(--(Headcount!$F$6:$F$92="bi"),--(Headcount!$H$6:$H$92&gt;=BI!AZ$3),Headcount!$N$6:$N$92,Headcount!$L$6:$L$92)/12),0),IF(YEAR(AZ$3)=YEAR(Headcount!$O$4),IF((AZ$5&lt;=12),(SUMPRODUCT(--(Headcount!$F$6:$F$92="bi"),--(Headcount!$H$6:$H$92&gt;=BI!AZ$3),Headcount!$O$6:$O$92,Headcount!$L$6:$L$92)/12),0),IF(YEAR(AZ$3)=YEAR(Headcount!$P$4),IF((AZ$5&lt;=12),(SUMPRODUCT(--(Headcount!$F$6:$F$92="bi"),--(Headcount!$H$6:$H$92&gt;=BI!AZ$3),Headcount!$P$6:$P$92,Headcount!$L$6:$L$92)/12),0),IF(YEAR(AZ$3)=YEAR(Headcount!$Q$4),IF((AZ$5&lt;=12),(SUMPRODUCT(--(Headcount!$F$6:$F$92="bi"),--(Headcount!$H$6:$H$92&gt;=BI!AZ$3),Headcount!$Q$6:$Q$92,Headcount!$L$6:$L$92)/12),0),IF(YEAR(AZ$3)=YEAR(Headcount!$R$4),IF((AZ$5&lt;=12),(SUMPRODUCT(--(Headcount!$F$6:$F$92="bi"),--(Headcount!$H$6:$H$92&gt;=BI!AZ$3),Headcount!$R$6:$R$92,Headcount!$L$6:$L$92)/12),0),"New Year"))))),SUMIF('Dept. Cost Actuals'!$E$7:$E$176,"*bonus*",'Dept. Cost Actuals'!BD$1400:BD$1569))</f>
        <v>0</v>
      </c>
      <c r="BA16" s="668">
        <f>IF(BA$4="forecast",IF(YEAR(BA$3)=YEAR(Headcount!$N$4),IF((BA$5&lt;12),(SUMPRODUCT(--(Headcount!$F$6:$F$92="bi"),--(Headcount!$H$6:$H$92&gt;=BI!BA$3),Headcount!$N$6:$N$92,Headcount!$L$6:$L$92)/12),0),IF(YEAR(BA$3)=YEAR(Headcount!$O$4),IF((BA$5&lt;=12),(SUMPRODUCT(--(Headcount!$F$6:$F$92="bi"),--(Headcount!$H$6:$H$92&gt;=BI!BA$3),Headcount!$O$6:$O$92,Headcount!$L$6:$L$92)/12),0),IF(YEAR(BA$3)=YEAR(Headcount!$P$4),IF((BA$5&lt;=12),(SUMPRODUCT(--(Headcount!$F$6:$F$92="bi"),--(Headcount!$H$6:$H$92&gt;=BI!BA$3),Headcount!$P$6:$P$92,Headcount!$L$6:$L$92)/12),0),IF(YEAR(BA$3)=YEAR(Headcount!$Q$4),IF((BA$5&lt;=12),(SUMPRODUCT(--(Headcount!$F$6:$F$92="bi"),--(Headcount!$H$6:$H$92&gt;=BI!BA$3),Headcount!$Q$6:$Q$92,Headcount!$L$6:$L$92)/12),0),IF(YEAR(BA$3)=YEAR(Headcount!$R$4),IF((BA$5&lt;=12),(SUMPRODUCT(--(Headcount!$F$6:$F$92="bi"),--(Headcount!$H$6:$H$92&gt;=BI!BA$3),Headcount!$R$6:$R$92,Headcount!$L$6:$L$92)/12),0),"New Year"))))),SUMIF('Dept. Cost Actuals'!$E$7:$E$176,"*bonus*",'Dept. Cost Actuals'!BE$1400:BE$1569))</f>
        <v>0</v>
      </c>
      <c r="BB16" s="668">
        <f>IF(BB$4="forecast",IF(YEAR(BB$3)=YEAR(Headcount!$N$4),IF((BB$5&lt;12),(SUMPRODUCT(--(Headcount!$F$6:$F$92="bi"),--(Headcount!$H$6:$H$92&gt;=BI!BB$3),Headcount!$N$6:$N$92,Headcount!$L$6:$L$92)/12),0),IF(YEAR(BB$3)=YEAR(Headcount!$O$4),IF((BB$5&lt;=12),(SUMPRODUCT(--(Headcount!$F$6:$F$92="bi"),--(Headcount!$H$6:$H$92&gt;=BI!BB$3),Headcount!$O$6:$O$92,Headcount!$L$6:$L$92)/12),0),IF(YEAR(BB$3)=YEAR(Headcount!$P$4),IF((BB$5&lt;=12),(SUMPRODUCT(--(Headcount!$F$6:$F$92="bi"),--(Headcount!$H$6:$H$92&gt;=BI!BB$3),Headcount!$P$6:$P$92,Headcount!$L$6:$L$92)/12),0),IF(YEAR(BB$3)=YEAR(Headcount!$Q$4),IF((BB$5&lt;=12),(SUMPRODUCT(--(Headcount!$F$6:$F$92="bi"),--(Headcount!$H$6:$H$92&gt;=BI!BB$3),Headcount!$Q$6:$Q$92,Headcount!$L$6:$L$92)/12),0),IF(YEAR(BB$3)=YEAR(Headcount!$R$4),IF((BB$5&lt;=12),(SUMPRODUCT(--(Headcount!$F$6:$F$92="bi"),--(Headcount!$H$6:$H$92&gt;=BI!BB$3),Headcount!$R$6:$R$92,Headcount!$L$6:$L$92)/12),0),"New Year"))))),SUMIF('Dept. Cost Actuals'!$E$7:$E$176,"*bonus*",'Dept. Cost Actuals'!BF$1400:BF$1569))</f>
        <v>0</v>
      </c>
      <c r="BC16" s="668">
        <f>IF(BC$4="forecast",IF(YEAR(BC$3)=YEAR(Headcount!$N$4),IF((BC$5&lt;12),(SUMPRODUCT(--(Headcount!$F$6:$F$92="bi"),--(Headcount!$H$6:$H$92&gt;=BI!BC$3),Headcount!$N$6:$N$92,Headcount!$L$6:$L$92)/12),0),IF(YEAR(BC$3)=YEAR(Headcount!$O$4),IF((BC$5&lt;=12),(SUMPRODUCT(--(Headcount!$F$6:$F$92="bi"),--(Headcount!$H$6:$H$92&gt;=BI!BC$3),Headcount!$O$6:$O$92,Headcount!$L$6:$L$92)/12),0),IF(YEAR(BC$3)=YEAR(Headcount!$P$4),IF((BC$5&lt;=12),(SUMPRODUCT(--(Headcount!$F$6:$F$92="bi"),--(Headcount!$H$6:$H$92&gt;=BI!BC$3),Headcount!$P$6:$P$92,Headcount!$L$6:$L$92)/12),0),IF(YEAR(BC$3)=YEAR(Headcount!$Q$4),IF((BC$5&lt;=12),(SUMPRODUCT(--(Headcount!$F$6:$F$92="bi"),--(Headcount!$H$6:$H$92&gt;=BI!BC$3),Headcount!$Q$6:$Q$92,Headcount!$L$6:$L$92)/12),0),IF(YEAR(BC$3)=YEAR(Headcount!$R$4),IF((BC$5&lt;=12),(SUMPRODUCT(--(Headcount!$F$6:$F$92="bi"),--(Headcount!$H$6:$H$92&gt;=BI!BC$3),Headcount!$R$6:$R$92,Headcount!$L$6:$L$92)/12),0),"New Year"))))),SUMIF('Dept. Cost Actuals'!$E$7:$E$176,"*bonus*",'Dept. Cost Actuals'!BG$1400:BG$1569))</f>
        <v>0</v>
      </c>
      <c r="BD16" s="668">
        <f>IF(BD$4="forecast",IF(YEAR(BD$3)=YEAR(Headcount!$N$4),IF((BD$5&lt;12),(SUMPRODUCT(--(Headcount!$F$6:$F$92="bi"),--(Headcount!$H$6:$H$92&gt;=BI!BD$3),Headcount!$N$6:$N$92,Headcount!$L$6:$L$92)/12),0),IF(YEAR(BD$3)=YEAR(Headcount!$O$4),IF((BD$5&lt;=12),(SUMPRODUCT(--(Headcount!$F$6:$F$92="bi"),--(Headcount!$H$6:$H$92&gt;=BI!BD$3),Headcount!$O$6:$O$92,Headcount!$L$6:$L$92)/12),0),IF(YEAR(BD$3)=YEAR(Headcount!$P$4),IF((BD$5&lt;=12),(SUMPRODUCT(--(Headcount!$F$6:$F$92="bi"),--(Headcount!$H$6:$H$92&gt;=BI!BD$3),Headcount!$P$6:$P$92,Headcount!$L$6:$L$92)/12),0),IF(YEAR(BD$3)=YEAR(Headcount!$Q$4),IF((BD$5&lt;=12),(SUMPRODUCT(--(Headcount!$F$6:$F$92="bi"),--(Headcount!$H$6:$H$92&gt;=BI!BD$3),Headcount!$Q$6:$Q$92,Headcount!$L$6:$L$92)/12),0),IF(YEAR(BD$3)=YEAR(Headcount!$R$4),IF((BD$5&lt;=12),(SUMPRODUCT(--(Headcount!$F$6:$F$92="bi"),--(Headcount!$H$6:$H$92&gt;=BI!BD$3),Headcount!$R$6:$R$92,Headcount!$L$6:$L$92)/12),0),"New Year"))))),SUMIF('Dept. Cost Actuals'!$E$7:$E$176,"*bonus*",'Dept. Cost Actuals'!BH$1400:BH$1569))</f>
        <v>0</v>
      </c>
      <c r="BE16" s="668">
        <f>IF(BE$4="forecast",IF(YEAR(BE$3)=YEAR(Headcount!$N$4),IF((BE$5&lt;12),(SUMPRODUCT(--(Headcount!$F$6:$F$92="bi"),--(Headcount!$H$6:$H$92&gt;=BI!BE$3),Headcount!$N$6:$N$92,Headcount!$L$6:$L$92)/12),0),IF(YEAR(BE$3)=YEAR(Headcount!$O$4),IF((BE$5&lt;=12),(SUMPRODUCT(--(Headcount!$F$6:$F$92="bi"),--(Headcount!$H$6:$H$92&gt;=BI!BE$3),Headcount!$O$6:$O$92,Headcount!$L$6:$L$92)/12),0),IF(YEAR(BE$3)=YEAR(Headcount!$P$4),IF((BE$5&lt;=12),(SUMPRODUCT(--(Headcount!$F$6:$F$92="bi"),--(Headcount!$H$6:$H$92&gt;=BI!BE$3),Headcount!$P$6:$P$92,Headcount!$L$6:$L$92)/12),0),IF(YEAR(BE$3)=YEAR(Headcount!$Q$4),IF((BE$5&lt;=12),(SUMPRODUCT(--(Headcount!$F$6:$F$92="bi"),--(Headcount!$H$6:$H$92&gt;=BI!BE$3),Headcount!$Q$6:$Q$92,Headcount!$L$6:$L$92)/12),0),IF(YEAR(BE$3)=YEAR(Headcount!$R$4),IF((BE$5&lt;=12),(SUMPRODUCT(--(Headcount!$F$6:$F$92="bi"),--(Headcount!$H$6:$H$92&gt;=BI!BE$3),Headcount!$R$6:$R$92,Headcount!$L$6:$L$92)/12),0),"New Year"))))),SUMIF('Dept. Cost Actuals'!$E$7:$E$176,"*bonus*",'Dept. Cost Actuals'!BI$1400:BI$1569))</f>
        <v>0</v>
      </c>
      <c r="BF16" s="668">
        <f>IF(BF$4="forecast",IF(YEAR(BF$3)=YEAR(Headcount!$N$4),IF((BF$5&lt;12),(SUMPRODUCT(--(Headcount!$F$6:$F$92="bi"),--(Headcount!$H$6:$H$92&gt;=BI!BF$3),Headcount!$N$6:$N$92,Headcount!$L$6:$L$92)/12),0),IF(YEAR(BF$3)=YEAR(Headcount!$O$4),IF((BF$5&lt;=12),(SUMPRODUCT(--(Headcount!$F$6:$F$92="bi"),--(Headcount!$H$6:$H$92&gt;=BI!BF$3),Headcount!$O$6:$O$92,Headcount!$L$6:$L$92)/12),0),IF(YEAR(BF$3)=YEAR(Headcount!$P$4),IF((BF$5&lt;=12),(SUMPRODUCT(--(Headcount!$F$6:$F$92="bi"),--(Headcount!$H$6:$H$92&gt;=BI!BF$3),Headcount!$P$6:$P$92,Headcount!$L$6:$L$92)/12),0),IF(YEAR(BF$3)=YEAR(Headcount!$Q$4),IF((BF$5&lt;=12),(SUMPRODUCT(--(Headcount!$F$6:$F$92="bi"),--(Headcount!$H$6:$H$92&gt;=BI!BF$3),Headcount!$Q$6:$Q$92,Headcount!$L$6:$L$92)/12),0),IF(YEAR(BF$3)=YEAR(Headcount!$R$4),IF((BF$5&lt;=12),(SUMPRODUCT(--(Headcount!$F$6:$F$92="bi"),--(Headcount!$H$6:$H$92&gt;=BI!BF$3),Headcount!$R$6:$R$92,Headcount!$L$6:$L$92)/12),0),"New Year"))))),SUMIF('Dept. Cost Actuals'!$E$7:$E$176,"*bonus*",'Dept. Cost Actuals'!BJ$1400:BJ$1569))</f>
        <v>0</v>
      </c>
      <c r="BG16" s="668">
        <f>IF(BG$4="forecast",IF(YEAR(BG$3)=YEAR(Headcount!$N$4),IF((BG$5&lt;12),(SUMPRODUCT(--(Headcount!$F$6:$F$92="bi"),--(Headcount!$H$6:$H$92&gt;=BI!BG$3),Headcount!$N$6:$N$92,Headcount!$L$6:$L$92)/12),0),IF(YEAR(BG$3)=YEAR(Headcount!$O$4),IF((BG$5&lt;=12),(SUMPRODUCT(--(Headcount!$F$6:$F$92="bi"),--(Headcount!$H$6:$H$92&gt;=BI!BG$3),Headcount!$O$6:$O$92,Headcount!$L$6:$L$92)/12),0),IF(YEAR(BG$3)=YEAR(Headcount!$P$4),IF((BG$5&lt;=12),(SUMPRODUCT(--(Headcount!$F$6:$F$92="bi"),--(Headcount!$H$6:$H$92&gt;=BI!BG$3),Headcount!$P$6:$P$92,Headcount!$L$6:$L$92)/12),0),IF(YEAR(BG$3)=YEAR(Headcount!$Q$4),IF((BG$5&lt;=12),(SUMPRODUCT(--(Headcount!$F$6:$F$92="bi"),--(Headcount!$H$6:$H$92&gt;=BI!BG$3),Headcount!$Q$6:$Q$92,Headcount!$L$6:$L$92)/12),0),IF(YEAR(BG$3)=YEAR(Headcount!$R$4),IF((BG$5&lt;=12),(SUMPRODUCT(--(Headcount!$F$6:$F$92="bi"),--(Headcount!$H$6:$H$92&gt;=BI!BG$3),Headcount!$R$6:$R$92,Headcount!$L$6:$L$92)/12),0),"New Year"))))),SUMIF('Dept. Cost Actuals'!$E$7:$E$176,"*bonus*",'Dept. Cost Actuals'!BK$1400:BK$1569))</f>
        <v>0</v>
      </c>
      <c r="BH16" s="668">
        <f>IF(BH$4="forecast",IF(YEAR(BH$3)=YEAR(Headcount!$N$4),IF((BH$5&lt;12),(SUMPRODUCT(--(Headcount!$F$6:$F$92="bi"),--(Headcount!$H$6:$H$92&gt;=BI!BH$3),Headcount!$N$6:$N$92,Headcount!$L$6:$L$92)/12),0),IF(YEAR(BH$3)=YEAR(Headcount!$O$4),IF((BH$5&lt;=12),(SUMPRODUCT(--(Headcount!$F$6:$F$92="bi"),--(Headcount!$H$6:$H$92&gt;=BI!BH$3),Headcount!$O$6:$O$92,Headcount!$L$6:$L$92)/12),0),IF(YEAR(BH$3)=YEAR(Headcount!$P$4),IF((BH$5&lt;=12),(SUMPRODUCT(--(Headcount!$F$6:$F$92="bi"),--(Headcount!$H$6:$H$92&gt;=BI!BH$3),Headcount!$P$6:$P$92,Headcount!$L$6:$L$92)/12),0),IF(YEAR(BH$3)=YEAR(Headcount!$Q$4),IF((BH$5&lt;=12),(SUMPRODUCT(--(Headcount!$F$6:$F$92="bi"),--(Headcount!$H$6:$H$92&gt;=BI!BH$3),Headcount!$Q$6:$Q$92,Headcount!$L$6:$L$92)/12),0),IF(YEAR(BH$3)=YEAR(Headcount!$R$4),IF((BH$5&lt;=12),(SUMPRODUCT(--(Headcount!$F$6:$F$92="bi"),--(Headcount!$H$6:$H$92&gt;=BI!BH$3),Headcount!$R$6:$R$92,Headcount!$L$6:$L$92)/12),0),"New Year"))))),SUMIF('Dept. Cost Actuals'!$E$7:$E$176,"*bonus*",'Dept. Cost Actuals'!BL$1400:BL$1569))</f>
        <v>0</v>
      </c>
      <c r="BI16" s="668">
        <f>IF(BI$4="forecast",IF(YEAR(BI$3)=YEAR(Headcount!$N$4),IF((BI$5&lt;12),(SUMPRODUCT(--(Headcount!$F$6:$F$92="bi"),--(Headcount!$H$6:$H$92&gt;=BI!BI$3),Headcount!$N$6:$N$92,Headcount!$L$6:$L$92)/12),0),IF(YEAR(BI$3)=YEAR(Headcount!$O$4),IF((BI$5&lt;=12),(SUMPRODUCT(--(Headcount!$F$6:$F$92="bi"),--(Headcount!$H$6:$H$92&gt;=BI!BI$3),Headcount!$O$6:$O$92,Headcount!$L$6:$L$92)/12),0),IF(YEAR(BI$3)=YEAR(Headcount!$P$4),IF((BI$5&lt;=12),(SUMPRODUCT(--(Headcount!$F$6:$F$92="bi"),--(Headcount!$H$6:$H$92&gt;=BI!BI$3),Headcount!$P$6:$P$92,Headcount!$L$6:$L$92)/12),0),IF(YEAR(BI$3)=YEAR(Headcount!$Q$4),IF((BI$5&lt;=12),(SUMPRODUCT(--(Headcount!$F$6:$F$92="bi"),--(Headcount!$H$6:$H$92&gt;=BI!BI$3),Headcount!$Q$6:$Q$92,Headcount!$L$6:$L$92)/12),0),IF(YEAR(BI$3)=YEAR(Headcount!$R$4),IF((BI$5&lt;=12),(SUMPRODUCT(--(Headcount!$F$6:$F$92="bi"),--(Headcount!$H$6:$H$92&gt;=BI!BI$3),Headcount!$R$6:$R$92,Headcount!$L$6:$L$92)/12),0),"New Year"))))),SUMIF('Dept. Cost Actuals'!$E$7:$E$176,"*bonus*",'Dept. Cost Actuals'!BM$1400:BM$1569))</f>
        <v>0</v>
      </c>
      <c r="BJ16" s="668">
        <f>IF(BJ$4="forecast",IF(YEAR(BJ$3)=YEAR(Headcount!$N$4),IF((BJ$5&lt;12),(SUMPRODUCT(--(Headcount!$F$6:$F$92="bi"),--(Headcount!$H$6:$H$92&gt;=BI!BJ$3),Headcount!$N$6:$N$92,Headcount!$L$6:$L$92)/12),0),IF(YEAR(BJ$3)=YEAR(Headcount!$O$4),IF((BJ$5&lt;=12),(SUMPRODUCT(--(Headcount!$F$6:$F$92="bi"),--(Headcount!$H$6:$H$92&gt;=BI!BJ$3),Headcount!$O$6:$O$92,Headcount!$L$6:$L$92)/12),0),IF(YEAR(BJ$3)=YEAR(Headcount!$P$4),IF((BJ$5&lt;=12),(SUMPRODUCT(--(Headcount!$F$6:$F$92="bi"),--(Headcount!$H$6:$H$92&gt;=BI!BJ$3),Headcount!$P$6:$P$92,Headcount!$L$6:$L$92)/12),0),IF(YEAR(BJ$3)=YEAR(Headcount!$Q$4),IF((BJ$5&lt;=12),(SUMPRODUCT(--(Headcount!$F$6:$F$92="bi"),--(Headcount!$H$6:$H$92&gt;=BI!BJ$3),Headcount!$Q$6:$Q$92,Headcount!$L$6:$L$92)/12),0),IF(YEAR(BJ$3)=YEAR(Headcount!$R$4),IF((BJ$5&lt;=12),(SUMPRODUCT(--(Headcount!$F$6:$F$92="bi"),--(Headcount!$H$6:$H$92&gt;=BI!BJ$3),Headcount!$R$6:$R$92,Headcount!$L$6:$L$92)/12),0),"New Year"))))),SUMIF('Dept. Cost Actuals'!$E$7:$E$176,"*bonus*",'Dept. Cost Actuals'!BN$1400:BN$1569))</f>
        <v>0</v>
      </c>
      <c r="BK16" s="668">
        <f>IF(BK$4="forecast",IF(YEAR(BK$3)=YEAR(Headcount!$N$4),IF((BK$5&lt;12),(SUMPRODUCT(--(Headcount!$F$6:$F$92="bi"),--(Headcount!$H$6:$H$92&gt;=BI!BK$3),Headcount!$N$6:$N$92,Headcount!$L$6:$L$92)/12),0),IF(YEAR(BK$3)=YEAR(Headcount!$O$4),IF((BK$5&lt;=12),(SUMPRODUCT(--(Headcount!$F$6:$F$92="bi"),--(Headcount!$H$6:$H$92&gt;=BI!BK$3),Headcount!$O$6:$O$92,Headcount!$L$6:$L$92)/12),0),IF(YEAR(BK$3)=YEAR(Headcount!$P$4),IF((BK$5&lt;=12),(SUMPRODUCT(--(Headcount!$F$6:$F$92="bi"),--(Headcount!$H$6:$H$92&gt;=BI!BK$3),Headcount!$P$6:$P$92,Headcount!$L$6:$L$92)/12),0),IF(YEAR(BK$3)=YEAR(Headcount!$Q$4),IF((BK$5&lt;=12),(SUMPRODUCT(--(Headcount!$F$6:$F$92="bi"),--(Headcount!$H$6:$H$92&gt;=BI!BK$3),Headcount!$Q$6:$Q$92,Headcount!$L$6:$L$92)/12),0),IF(YEAR(BK$3)=YEAR(Headcount!$R$4),IF((BK$5&lt;=12),(SUMPRODUCT(--(Headcount!$F$6:$F$92="bi"),--(Headcount!$H$6:$H$92&gt;=BI!BK$3),Headcount!$R$6:$R$92,Headcount!$L$6:$L$92)/12),0),"New Year"))))),SUMIF('Dept. Cost Actuals'!$E$7:$E$176,"*bonus*",'Dept. Cost Actuals'!BO$1400:BO$1569))</f>
        <v>0</v>
      </c>
      <c r="BL16" s="668">
        <f>IF(BL$4="forecast",IF(YEAR(BL$3)=YEAR(Headcount!$N$4),IF((BL$5&lt;12),(SUMPRODUCT(--(Headcount!$F$6:$F$92="bi"),--(Headcount!$H$6:$H$92&gt;=BI!BL$3),Headcount!$N$6:$N$92,Headcount!$L$6:$L$92)/12),0),IF(YEAR(BL$3)=YEAR(Headcount!$O$4),IF((BL$5&lt;=12),(SUMPRODUCT(--(Headcount!$F$6:$F$92="bi"),--(Headcount!$H$6:$H$92&gt;=BI!BL$3),Headcount!$O$6:$O$92,Headcount!$L$6:$L$92)/12),0),IF(YEAR(BL$3)=YEAR(Headcount!$P$4),IF((BL$5&lt;=12),(SUMPRODUCT(--(Headcount!$F$6:$F$92="bi"),--(Headcount!$H$6:$H$92&gt;=BI!BL$3),Headcount!$P$6:$P$92,Headcount!$L$6:$L$92)/12),0),IF(YEAR(BL$3)=YEAR(Headcount!$Q$4),IF((BL$5&lt;=12),(SUMPRODUCT(--(Headcount!$F$6:$F$92="bi"),--(Headcount!$H$6:$H$92&gt;=BI!BL$3),Headcount!$Q$6:$Q$92,Headcount!$L$6:$L$92)/12),0),IF(YEAR(BL$3)=YEAR(Headcount!$R$4),IF((BL$5&lt;=12),(SUMPRODUCT(--(Headcount!$F$6:$F$92="bi"),--(Headcount!$H$6:$H$92&gt;=BI!BL$3),Headcount!$R$6:$R$92,Headcount!$L$6:$L$92)/12),0),"New Year"))))),SUMIF('Dept. Cost Actuals'!$E$7:$E$176,"*bonus*",'Dept. Cost Actuals'!BP$1400:BP$1569))</f>
        <v>0</v>
      </c>
      <c r="BM16" s="668">
        <f>IF(BM$4="forecast",IF(YEAR(BM$3)=YEAR(Headcount!$N$4),IF((BM$5&lt;12),(SUMPRODUCT(--(Headcount!$F$6:$F$92="bi"),--(Headcount!$H$6:$H$92&gt;=BI!BM$3),Headcount!$N$6:$N$92,Headcount!$L$6:$L$92)/12),0),IF(YEAR(BM$3)=YEAR(Headcount!$O$4),IF((BM$5&lt;=12),(SUMPRODUCT(--(Headcount!$F$6:$F$92="bi"),--(Headcount!$H$6:$H$92&gt;=BI!BM$3),Headcount!$O$6:$O$92,Headcount!$L$6:$L$92)/12),0),IF(YEAR(BM$3)=YEAR(Headcount!$P$4),IF((BM$5&lt;=12),(SUMPRODUCT(--(Headcount!$F$6:$F$92="bi"),--(Headcount!$H$6:$H$92&gt;=BI!BM$3),Headcount!$P$6:$P$92,Headcount!$L$6:$L$92)/12),0),IF(YEAR(BM$3)=YEAR(Headcount!$Q$4),IF((BM$5&lt;=12),(SUMPRODUCT(--(Headcount!$F$6:$F$92="bi"),--(Headcount!$H$6:$H$92&gt;=BI!BM$3),Headcount!$Q$6:$Q$92,Headcount!$L$6:$L$92)/12),0),IF(YEAR(BM$3)=YEAR(Headcount!$R$4),IF((BM$5&lt;=12),(SUMPRODUCT(--(Headcount!$F$6:$F$92="bi"),--(Headcount!$H$6:$H$92&gt;=BI!BM$3),Headcount!$R$6:$R$92,Headcount!$L$6:$L$92)/12),0),"New Year"))))),SUMIF('Dept. Cost Actuals'!$E$7:$E$176,"*bonus*",'Dept. Cost Actuals'!BQ$1400:BQ$1569))</f>
        <v>0</v>
      </c>
      <c r="BN16" s="668">
        <f>IF(BN$4="forecast",IF(YEAR(BN$3)=YEAR(Headcount!$N$4),IF((BN$5&lt;12),(SUMPRODUCT(--(Headcount!$F$6:$F$92="bi"),--(Headcount!$H$6:$H$92&gt;=BI!BN$3),Headcount!$N$6:$N$92,Headcount!$L$6:$L$92)/12),0),IF(YEAR(BN$3)=YEAR(Headcount!$O$4),IF((BN$5&lt;=12),(SUMPRODUCT(--(Headcount!$F$6:$F$92="bi"),--(Headcount!$H$6:$H$92&gt;=BI!BN$3),Headcount!$O$6:$O$92,Headcount!$L$6:$L$92)/12),0),IF(YEAR(BN$3)=YEAR(Headcount!$P$4),IF((BN$5&lt;=12),(SUMPRODUCT(--(Headcount!$F$6:$F$92="bi"),--(Headcount!$H$6:$H$92&gt;=BI!BN$3),Headcount!$P$6:$P$92,Headcount!$L$6:$L$92)/12),0),IF(YEAR(BN$3)=YEAR(Headcount!$Q$4),IF((BN$5&lt;=12),(SUMPRODUCT(--(Headcount!$F$6:$F$92="bi"),--(Headcount!$H$6:$H$92&gt;=BI!BN$3),Headcount!$Q$6:$Q$92,Headcount!$L$6:$L$92)/12),0),IF(YEAR(BN$3)=YEAR(Headcount!$R$4),IF((BN$5&lt;=12),(SUMPRODUCT(--(Headcount!$F$6:$F$92="bi"),--(Headcount!$H$6:$H$92&gt;=BI!BN$3),Headcount!$R$6:$R$92,Headcount!$L$6:$L$92)/12),0),"New Year"))))),SUMIF('Dept. Cost Actuals'!$E$7:$E$176,"*bonus*",'Dept. Cost Actuals'!BR$1400:BR$1569))</f>
        <v>0</v>
      </c>
      <c r="BO16" s="668">
        <f>IF(BO$4="forecast",IF(YEAR(BO$3)=YEAR(Headcount!$N$4),IF((BO$5&lt;12),(SUMPRODUCT(--(Headcount!$F$6:$F$92="bi"),--(Headcount!$H$6:$H$92&gt;=BI!BO$3),Headcount!$N$6:$N$92,Headcount!$L$6:$L$92)/12),0),IF(YEAR(BO$3)=YEAR(Headcount!$O$4),IF((BO$5&lt;=12),(SUMPRODUCT(--(Headcount!$F$6:$F$92="bi"),--(Headcount!$H$6:$H$92&gt;=BI!BO$3),Headcount!$O$6:$O$92,Headcount!$L$6:$L$92)/12),0),IF(YEAR(BO$3)=YEAR(Headcount!$P$4),IF((BO$5&lt;=12),(SUMPRODUCT(--(Headcount!$F$6:$F$92="bi"),--(Headcount!$H$6:$H$92&gt;=BI!BO$3),Headcount!$P$6:$P$92,Headcount!$L$6:$L$92)/12),0),IF(YEAR(BO$3)=YEAR(Headcount!$Q$4),IF((BO$5&lt;=12),(SUMPRODUCT(--(Headcount!$F$6:$F$92="bi"),--(Headcount!$H$6:$H$92&gt;=BI!BO$3),Headcount!$Q$6:$Q$92,Headcount!$L$6:$L$92)/12),0),IF(YEAR(BO$3)=YEAR(Headcount!$R$4),IF((BO$5&lt;=12),(SUMPRODUCT(--(Headcount!$F$6:$F$92="bi"),--(Headcount!$H$6:$H$92&gt;=BI!BO$3),Headcount!$R$6:$R$92,Headcount!$L$6:$L$92)/12),0),"New Year"))))),SUMIF('Dept. Cost Actuals'!$E$7:$E$176,"*bonus*",'Dept. Cost Actuals'!BS$1400:BS$1569))</f>
        <v>0</v>
      </c>
      <c r="BP16" s="668">
        <f>IF(BP$4="forecast",IF(YEAR(BP$3)=YEAR(Headcount!$N$4),IF((BP$5&lt;12),(SUMPRODUCT(--(Headcount!$F$6:$F$92="bi"),--(Headcount!$H$6:$H$92&gt;=BI!BP$3),Headcount!$N$6:$N$92,Headcount!$L$6:$L$92)/12),0),IF(YEAR(BP$3)=YEAR(Headcount!$O$4),IF((BP$5&lt;=12),(SUMPRODUCT(--(Headcount!$F$6:$F$92="bi"),--(Headcount!$H$6:$H$92&gt;=BI!BP$3),Headcount!$O$6:$O$92,Headcount!$L$6:$L$92)/12),0),IF(YEAR(BP$3)=YEAR(Headcount!$P$4),IF((BP$5&lt;=12),(SUMPRODUCT(--(Headcount!$F$6:$F$92="bi"),--(Headcount!$H$6:$H$92&gt;=BI!BP$3),Headcount!$P$6:$P$92,Headcount!$L$6:$L$92)/12),0),IF(YEAR(BP$3)=YEAR(Headcount!$Q$4),IF((BP$5&lt;=12),(SUMPRODUCT(--(Headcount!$F$6:$F$92="bi"),--(Headcount!$H$6:$H$92&gt;=BI!BP$3),Headcount!$Q$6:$Q$92,Headcount!$L$6:$L$92)/12),0),IF(YEAR(BP$3)=YEAR(Headcount!$R$4),IF((BP$5&lt;=12),(SUMPRODUCT(--(Headcount!$F$6:$F$92="bi"),--(Headcount!$H$6:$H$92&gt;=BI!BP$3),Headcount!$R$6:$R$92,Headcount!$L$6:$L$92)/12),0),"New Year"))))),SUMIF('Dept. Cost Actuals'!$E$7:$E$176,"*bonus*",'Dept. Cost Actuals'!BT$1400:BT$1569))</f>
        <v>0</v>
      </c>
      <c r="BQ16" s="668">
        <f>IF(BQ$4="forecast",IF(YEAR(BQ$3)=YEAR(Headcount!$N$4),IF((BQ$5&lt;12),(SUMPRODUCT(--(Headcount!$F$6:$F$92="bi"),--(Headcount!$H$6:$H$92&gt;=BI!BQ$3),Headcount!$N$6:$N$92,Headcount!$L$6:$L$92)/12),0),IF(YEAR(BQ$3)=YEAR(Headcount!$O$4),IF((BQ$5&lt;=12),(SUMPRODUCT(--(Headcount!$F$6:$F$92="bi"),--(Headcount!$H$6:$H$92&gt;=BI!BQ$3),Headcount!$O$6:$O$92,Headcount!$L$6:$L$92)/12),0),IF(YEAR(BQ$3)=YEAR(Headcount!$P$4),IF((BQ$5&lt;=12),(SUMPRODUCT(--(Headcount!$F$6:$F$92="bi"),--(Headcount!$H$6:$H$92&gt;=BI!BQ$3),Headcount!$P$6:$P$92,Headcount!$L$6:$L$92)/12),0),IF(YEAR(BQ$3)=YEAR(Headcount!$Q$4),IF((BQ$5&lt;=12),(SUMPRODUCT(--(Headcount!$F$6:$F$92="bi"),--(Headcount!$H$6:$H$92&gt;=BI!BQ$3),Headcount!$Q$6:$Q$92,Headcount!$L$6:$L$92)/12),0),IF(YEAR(BQ$3)=YEAR(Headcount!$R$4),IF((BQ$5&lt;=12),(SUMPRODUCT(--(Headcount!$F$6:$F$92="bi"),--(Headcount!$H$6:$H$92&gt;=BI!BQ$3),Headcount!$R$6:$R$92,Headcount!$L$6:$L$92)/12),0),"New Year"))))),SUMIF('Dept. Cost Actuals'!$E$7:$E$176,"*bonus*",'Dept. Cost Actuals'!BU$1400:BU$1569))</f>
        <v>0</v>
      </c>
      <c r="BR16" s="668">
        <f>IF(BR$4="forecast",IF(YEAR(BR$3)=YEAR(Headcount!$N$4),IF((BR$5&lt;12),(SUMPRODUCT(--(Headcount!$F$6:$F$92="bi"),--(Headcount!$H$6:$H$92&gt;=BI!BR$3),Headcount!$N$6:$N$92,Headcount!$L$6:$L$92)/12),0),IF(YEAR(BR$3)=YEAR(Headcount!$O$4),IF((BR$5&lt;=12),(SUMPRODUCT(--(Headcount!$F$6:$F$92="bi"),--(Headcount!$H$6:$H$92&gt;=BI!BR$3),Headcount!$O$6:$O$92,Headcount!$L$6:$L$92)/12),0),IF(YEAR(BR$3)=YEAR(Headcount!$P$4),IF((BR$5&lt;=12),(SUMPRODUCT(--(Headcount!$F$6:$F$92="bi"),--(Headcount!$H$6:$H$92&gt;=BI!BR$3),Headcount!$P$6:$P$92,Headcount!$L$6:$L$92)/12),0),IF(YEAR(BR$3)=YEAR(Headcount!$Q$4),IF((BR$5&lt;=12),(SUMPRODUCT(--(Headcount!$F$6:$F$92="bi"),--(Headcount!$H$6:$H$92&gt;=BI!BR$3),Headcount!$Q$6:$Q$92,Headcount!$L$6:$L$92)/12),0),IF(YEAR(BR$3)=YEAR(Headcount!$R$4),IF((BR$5&lt;=12),(SUMPRODUCT(--(Headcount!$F$6:$F$92="bi"),--(Headcount!$H$6:$H$92&gt;=BI!BR$3),Headcount!$R$6:$R$92,Headcount!$L$6:$L$92)/12),0),"New Year"))))),SUMIF('Dept. Cost Actuals'!$E$7:$E$176,"*bonus*",'Dept. Cost Actuals'!BV$1400:BV$1569))</f>
        <v>0</v>
      </c>
      <c r="BS16" s="668">
        <f>IF(BS$4="forecast",IF(YEAR(BS$3)=YEAR(Headcount!$N$4),IF((BS$5&lt;12),(SUMPRODUCT(--(Headcount!$F$6:$F$92="bi"),--(Headcount!$H$6:$H$92&gt;=BI!BS$3),Headcount!$N$6:$N$92,Headcount!$L$6:$L$92)/12),0),IF(YEAR(BS$3)=YEAR(Headcount!$O$4),IF((BS$5&lt;=12),(SUMPRODUCT(--(Headcount!$F$6:$F$92="bi"),--(Headcount!$H$6:$H$92&gt;=BI!BS$3),Headcount!$O$6:$O$92,Headcount!$L$6:$L$92)/12),0),IF(YEAR(BS$3)=YEAR(Headcount!$P$4),IF((BS$5&lt;=12),(SUMPRODUCT(--(Headcount!$F$6:$F$92="bi"),--(Headcount!$H$6:$H$92&gt;=BI!BS$3),Headcount!$P$6:$P$92,Headcount!$L$6:$L$92)/12),0),IF(YEAR(BS$3)=YEAR(Headcount!$Q$4),IF((BS$5&lt;=12),(SUMPRODUCT(--(Headcount!$F$6:$F$92="bi"),--(Headcount!$H$6:$H$92&gt;=BI!BS$3),Headcount!$Q$6:$Q$92,Headcount!$L$6:$L$92)/12),0),IF(YEAR(BS$3)=YEAR(Headcount!$R$4),IF((BS$5&lt;=12),(SUMPRODUCT(--(Headcount!$F$6:$F$92="bi"),--(Headcount!$H$6:$H$92&gt;=BI!BS$3),Headcount!$R$6:$R$92,Headcount!$L$6:$L$92)/12),0),"New Year"))))),SUMIF('Dept. Cost Actuals'!$E$7:$E$176,"*bonus*",'Dept. Cost Actuals'!BW$1400:BW$1569))</f>
        <v>0</v>
      </c>
      <c r="BT16" s="668">
        <f>IF(BT$4="forecast",IF(YEAR(BT$3)=YEAR(Headcount!$N$4),IF((BT$5&lt;12),(SUMPRODUCT(--(Headcount!$F$6:$F$92="bi"),--(Headcount!$H$6:$H$92&gt;=BI!BT$3),Headcount!$N$6:$N$92,Headcount!$L$6:$L$92)/12),0),IF(YEAR(BT$3)=YEAR(Headcount!$O$4),IF((BT$5&lt;=12),(SUMPRODUCT(--(Headcount!$F$6:$F$92="bi"),--(Headcount!$H$6:$H$92&gt;=BI!BT$3),Headcount!$O$6:$O$92,Headcount!$L$6:$L$92)/12),0),IF(YEAR(BT$3)=YEAR(Headcount!$P$4),IF((BT$5&lt;=12),(SUMPRODUCT(--(Headcount!$F$6:$F$92="bi"),--(Headcount!$H$6:$H$92&gt;=BI!BT$3),Headcount!$P$6:$P$92,Headcount!$L$6:$L$92)/12),0),IF(YEAR(BT$3)=YEAR(Headcount!$Q$4),IF((BT$5&lt;=12),(SUMPRODUCT(--(Headcount!$F$6:$F$92="bi"),--(Headcount!$H$6:$H$92&gt;=BI!BT$3),Headcount!$Q$6:$Q$92,Headcount!$L$6:$L$92)/12),0),IF(YEAR(BT$3)=YEAR(Headcount!$R$4),IF((BT$5&lt;=12),(SUMPRODUCT(--(Headcount!$F$6:$F$92="bi"),--(Headcount!$H$6:$H$92&gt;=BI!BT$3),Headcount!$R$6:$R$92,Headcount!$L$6:$L$92)/12),0),"New Year"))))),SUMIF('Dept. Cost Actuals'!$E$7:$E$176,"*bonus*",'Dept. Cost Actuals'!BX$1400:BX$1569))</f>
        <v>0</v>
      </c>
      <c r="BU16" s="668">
        <f>IF(BU$4="forecast",IF(YEAR(BU$3)=YEAR(Headcount!$N$4),IF((BU$5&lt;12),(SUMPRODUCT(--(Headcount!$F$6:$F$92="bi"),--(Headcount!$H$6:$H$92&gt;=BI!BU$3),Headcount!$N$6:$N$92,Headcount!$L$6:$L$92)/12),0),IF(YEAR(BU$3)=YEAR(Headcount!$O$4),IF((BU$5&lt;=12),(SUMPRODUCT(--(Headcount!$F$6:$F$92="bi"),--(Headcount!$H$6:$H$92&gt;=BI!BU$3),Headcount!$O$6:$O$92,Headcount!$L$6:$L$92)/12),0),IF(YEAR(BU$3)=YEAR(Headcount!$P$4),IF((BU$5&lt;=12),(SUMPRODUCT(--(Headcount!$F$6:$F$92="bi"),--(Headcount!$H$6:$H$92&gt;=BI!BU$3),Headcount!$P$6:$P$92,Headcount!$L$6:$L$92)/12),0),IF(YEAR(BU$3)=YEAR(Headcount!$Q$4),IF((BU$5&lt;=12),(SUMPRODUCT(--(Headcount!$F$6:$F$92="bi"),--(Headcount!$H$6:$H$92&gt;=BI!BU$3),Headcount!$Q$6:$Q$92,Headcount!$L$6:$L$92)/12),0),IF(YEAR(BU$3)=YEAR(Headcount!$R$4),IF((BU$5&lt;=12),(SUMPRODUCT(--(Headcount!$F$6:$F$92="bi"),--(Headcount!$H$6:$H$92&gt;=BI!BU$3),Headcount!$R$6:$R$92,Headcount!$L$6:$L$92)/12),0),"New Year"))))),SUMIF('Dept. Cost Actuals'!$E$7:$E$176,"*bonus*",'Dept. Cost Actuals'!BY$1400:BY$1569))</f>
        <v>0</v>
      </c>
      <c r="BV16" s="668">
        <f>IF(BV$4="forecast",IF(YEAR(BV$3)=YEAR(Headcount!$N$4),IF((BV$5&lt;12),(SUMPRODUCT(--(Headcount!$F$6:$F$92="bi"),--(Headcount!$H$6:$H$92&gt;=BI!BV$3),Headcount!$N$6:$N$92,Headcount!$L$6:$L$92)/12),0),IF(YEAR(BV$3)=YEAR(Headcount!$O$4),IF((BV$5&lt;=12),(SUMPRODUCT(--(Headcount!$F$6:$F$92="bi"),--(Headcount!$H$6:$H$92&gt;=BI!BV$3),Headcount!$O$6:$O$92,Headcount!$L$6:$L$92)/12),0),IF(YEAR(BV$3)=YEAR(Headcount!$P$4),IF((BV$5&lt;=12),(SUMPRODUCT(--(Headcount!$F$6:$F$92="bi"),--(Headcount!$H$6:$H$92&gt;=BI!BV$3),Headcount!$P$6:$P$92,Headcount!$L$6:$L$92)/12),0),IF(YEAR(BV$3)=YEAR(Headcount!$Q$4),IF((BV$5&lt;=12),(SUMPRODUCT(--(Headcount!$F$6:$F$92="bi"),--(Headcount!$H$6:$H$92&gt;=BI!BV$3),Headcount!$Q$6:$Q$92,Headcount!$L$6:$L$92)/12),0),IF(YEAR(BV$3)=YEAR(Headcount!$R$4),IF((BV$5&lt;=12),(SUMPRODUCT(--(Headcount!$F$6:$F$92="bi"),--(Headcount!$H$6:$H$92&gt;=BI!BV$3),Headcount!$R$6:$R$92,Headcount!$L$6:$L$92)/12),0),"New Year"))))),SUMIF('Dept. Cost Actuals'!$E$7:$E$176,"*bonus*",'Dept. Cost Actuals'!BZ$1400:BZ$1569))</f>
        <v>0</v>
      </c>
    </row>
    <row r="17" spans="2:74" s="626" customFormat="1" ht="12.75" x14ac:dyDescent="0.2">
      <c r="B17" s="791" t="s">
        <v>932</v>
      </c>
      <c r="C17" s="1210"/>
      <c r="D17" s="1210"/>
      <c r="E17" s="1210"/>
      <c r="F17" s="1210"/>
      <c r="G17" s="1210"/>
      <c r="H17" s="1210"/>
      <c r="I17" s="1210"/>
      <c r="J17" s="1210"/>
      <c r="K17" s="1210"/>
      <c r="L17" s="1210"/>
      <c r="M17" s="1210"/>
      <c r="N17" s="1210"/>
      <c r="O17" s="1210"/>
      <c r="P17" s="1210"/>
      <c r="Q17" s="1210"/>
      <c r="R17" s="1210"/>
      <c r="S17" s="1210"/>
      <c r="T17" s="1210"/>
      <c r="U17" s="1210"/>
      <c r="V17" s="1210"/>
      <c r="W17" s="1210"/>
      <c r="X17" s="1210"/>
      <c r="Y17" s="1210"/>
      <c r="Z17" s="1210"/>
      <c r="AA17" s="1210">
        <f t="shared" ref="AA17" si="4">SUM(AA15:AA16)</f>
        <v>9361.11</v>
      </c>
      <c r="AB17" s="1210">
        <f t="shared" ref="AB17" si="5">SUM(AB15:AB16)</f>
        <v>9448.61</v>
      </c>
      <c r="AC17" s="1210">
        <f t="shared" ref="AC17:BV17" si="6">SUM(AC15:AC16)</f>
        <v>9434.61</v>
      </c>
      <c r="AD17" s="1210">
        <f t="shared" si="6"/>
        <v>0</v>
      </c>
      <c r="AE17" s="1210">
        <f t="shared" si="6"/>
        <v>0</v>
      </c>
      <c r="AF17" s="1210">
        <f t="shared" si="6"/>
        <v>0</v>
      </c>
      <c r="AG17" s="1210">
        <f t="shared" si="6"/>
        <v>0</v>
      </c>
      <c r="AH17" s="1210">
        <f t="shared" si="6"/>
        <v>0</v>
      </c>
      <c r="AI17" s="1210">
        <f t="shared" si="6"/>
        <v>0</v>
      </c>
      <c r="AJ17" s="1210">
        <f t="shared" si="6"/>
        <v>0</v>
      </c>
      <c r="AK17" s="1210">
        <f t="shared" si="6"/>
        <v>0</v>
      </c>
      <c r="AL17" s="1210">
        <f t="shared" si="6"/>
        <v>0</v>
      </c>
      <c r="AM17" s="1210">
        <f t="shared" si="6"/>
        <v>0</v>
      </c>
      <c r="AN17" s="1210">
        <f t="shared" si="6"/>
        <v>0</v>
      </c>
      <c r="AO17" s="1210">
        <f t="shared" si="6"/>
        <v>0</v>
      </c>
      <c r="AP17" s="1210">
        <f t="shared" si="6"/>
        <v>0</v>
      </c>
      <c r="AQ17" s="1210">
        <f t="shared" si="6"/>
        <v>0</v>
      </c>
      <c r="AR17" s="1210">
        <f t="shared" si="6"/>
        <v>0</v>
      </c>
      <c r="AS17" s="1210">
        <f t="shared" si="6"/>
        <v>0</v>
      </c>
      <c r="AT17" s="1210">
        <f t="shared" si="6"/>
        <v>0</v>
      </c>
      <c r="AU17" s="1210">
        <f t="shared" si="6"/>
        <v>0</v>
      </c>
      <c r="AV17" s="1210">
        <f t="shared" si="6"/>
        <v>0</v>
      </c>
      <c r="AW17" s="1210">
        <f t="shared" si="6"/>
        <v>0</v>
      </c>
      <c r="AX17" s="1210">
        <f t="shared" si="6"/>
        <v>0</v>
      </c>
      <c r="AY17" s="1210">
        <f t="shared" si="6"/>
        <v>0</v>
      </c>
      <c r="AZ17" s="1210">
        <f t="shared" si="6"/>
        <v>0</v>
      </c>
      <c r="BA17" s="1210">
        <f t="shared" si="6"/>
        <v>0</v>
      </c>
      <c r="BB17" s="1210">
        <f t="shared" si="6"/>
        <v>0</v>
      </c>
      <c r="BC17" s="1210">
        <f t="shared" si="6"/>
        <v>0</v>
      </c>
      <c r="BD17" s="1210">
        <f t="shared" si="6"/>
        <v>0</v>
      </c>
      <c r="BE17" s="1210">
        <f t="shared" si="6"/>
        <v>0</v>
      </c>
      <c r="BF17" s="1210">
        <f t="shared" si="6"/>
        <v>0</v>
      </c>
      <c r="BG17" s="1210">
        <f t="shared" si="6"/>
        <v>0</v>
      </c>
      <c r="BH17" s="1210">
        <f t="shared" si="6"/>
        <v>0</v>
      </c>
      <c r="BI17" s="1210">
        <f t="shared" si="6"/>
        <v>0</v>
      </c>
      <c r="BJ17" s="1210">
        <f t="shared" si="6"/>
        <v>0</v>
      </c>
      <c r="BK17" s="1210">
        <f t="shared" si="6"/>
        <v>0</v>
      </c>
      <c r="BL17" s="1210">
        <f t="shared" si="6"/>
        <v>0</v>
      </c>
      <c r="BM17" s="1210">
        <f t="shared" si="6"/>
        <v>0</v>
      </c>
      <c r="BN17" s="1210">
        <f t="shared" si="6"/>
        <v>0</v>
      </c>
      <c r="BO17" s="1210">
        <f t="shared" si="6"/>
        <v>0</v>
      </c>
      <c r="BP17" s="1210">
        <f t="shared" si="6"/>
        <v>0</v>
      </c>
      <c r="BQ17" s="1210">
        <f t="shared" si="6"/>
        <v>0</v>
      </c>
      <c r="BR17" s="1210">
        <f t="shared" si="6"/>
        <v>0</v>
      </c>
      <c r="BS17" s="1210">
        <f t="shared" si="6"/>
        <v>0</v>
      </c>
      <c r="BT17" s="1210">
        <f t="shared" si="6"/>
        <v>0</v>
      </c>
      <c r="BU17" s="1210">
        <f t="shared" si="6"/>
        <v>0</v>
      </c>
      <c r="BV17" s="1210">
        <f t="shared" si="6"/>
        <v>0</v>
      </c>
    </row>
    <row r="18" spans="2:74" s="626" customFormat="1" ht="12.75" x14ac:dyDescent="0.2">
      <c r="B18" s="794" t="s">
        <v>1344</v>
      </c>
      <c r="C18" s="991"/>
      <c r="D18" s="991"/>
      <c r="E18" s="991"/>
      <c r="F18" s="991"/>
      <c r="G18" s="991"/>
      <c r="H18" s="991"/>
      <c r="I18" s="991"/>
      <c r="J18" s="991"/>
      <c r="K18" s="991"/>
      <c r="L18" s="991"/>
      <c r="M18" s="991"/>
      <c r="N18" s="991"/>
      <c r="O18" s="991"/>
      <c r="P18" s="991"/>
      <c r="Q18" s="991"/>
      <c r="R18" s="991"/>
      <c r="S18" s="991"/>
      <c r="T18" s="991"/>
      <c r="U18" s="991"/>
      <c r="V18" s="991"/>
      <c r="W18" s="991"/>
      <c r="X18" s="991"/>
      <c r="Y18" s="991"/>
      <c r="Z18" s="991"/>
      <c r="AA18" s="991">
        <f>IF(AA$4="forecast",AA14*0.12,SUMIF('Dept. Cost Actuals'!$E$7:$E$176,"*payroll taxes*",'Dept. Cost Actuals'!AE$1400:AE$1569))</f>
        <v>2442.7199999999998</v>
      </c>
      <c r="AB18" s="991">
        <f>IF(AB$4="forecast",AB14*0.12,SUMIF('Dept. Cost Actuals'!$E$7:$E$176,"*payroll taxes*",'Dept. Cost Actuals'!AF$1400:AF$1569))</f>
        <v>2917.37</v>
      </c>
      <c r="AC18" s="991">
        <f>IF(AC$4="forecast",AC14*0.12,SUMIF('Dept. Cost Actuals'!$E$7:$E$176,"*payroll taxes*",'Dept. Cost Actuals'!AG$1400:AG$1569))</f>
        <v>2528.2399999999998</v>
      </c>
      <c r="AD18" s="991">
        <f>IF(AD$4="forecast",AD14*0.12,SUMIF('Dept. Cost Actuals'!$E$7:$E$176,"*payroll taxes*",'Dept. Cost Actuals'!AH$1400:AH$1569))</f>
        <v>3828.4596000000001</v>
      </c>
      <c r="AE18" s="991">
        <f>IF(AE$4="forecast",AE14*0.12,SUMIF('Dept. Cost Actuals'!$E$7:$E$176,"*payroll taxes*",'Dept. Cost Actuals'!AI$1400:AI$1569))</f>
        <v>3828.4596000000001</v>
      </c>
      <c r="AF18" s="991">
        <f>IF(AF$4="forecast",AF14*0.12,SUMIF('Dept. Cost Actuals'!$E$7:$E$176,"*payroll taxes*",'Dept. Cost Actuals'!AJ$1400:AJ$1569))</f>
        <v>3828.4596000000001</v>
      </c>
      <c r="AG18" s="991">
        <f>IF(AG$4="forecast",AG14*0.12,SUMIF('Dept. Cost Actuals'!$E$7:$E$176,"*payroll taxes*",'Dept. Cost Actuals'!AK$1400:AK$1569))</f>
        <v>3828.4596000000001</v>
      </c>
      <c r="AH18" s="991">
        <f>IF(AH$4="forecast",AH14*0.12,SUMIF('Dept. Cost Actuals'!$E$7:$E$176,"*payroll taxes*",'Dept. Cost Actuals'!AL$1400:AL$1569))</f>
        <v>3828.4596000000001</v>
      </c>
      <c r="AI18" s="991">
        <f>IF(AI$4="forecast",AI14*0.12,SUMIF('Dept. Cost Actuals'!$E$7:$E$176,"*payroll taxes*",'Dept. Cost Actuals'!AM$1400:AM$1569))</f>
        <v>3828.4596000000001</v>
      </c>
      <c r="AJ18" s="991">
        <f>IF(AJ$4="forecast",AJ14*0.12,SUMIF('Dept. Cost Actuals'!$E$7:$E$176,"*payroll taxes*",'Dept. Cost Actuals'!AN$1400:AN$1569))</f>
        <v>3828.4596000000001</v>
      </c>
      <c r="AK18" s="991">
        <f>IF(AK$4="forecast",AK14*0.12,SUMIF('Dept. Cost Actuals'!$E$7:$E$176,"*payroll taxes*",'Dept. Cost Actuals'!AO$1400:AO$1569))</f>
        <v>3828.4596000000001</v>
      </c>
      <c r="AL18" s="991">
        <f>IF(AL$4="forecast",AL14*0.12,SUMIF('Dept. Cost Actuals'!$E$7:$E$176,"*payroll taxes*",'Dept. Cost Actuals'!AP$1400:AP$1569))</f>
        <v>3828.4596000000001</v>
      </c>
      <c r="AM18" s="991">
        <f>IF(AM$4="forecast",AM14*0.12,SUMIF('Dept. Cost Actuals'!$E$7:$E$176,"*payroll taxes*",'Dept. Cost Actuals'!AQ$1400:AQ$1569))</f>
        <v>3828.4596000000001</v>
      </c>
      <c r="AN18" s="991">
        <f>IF(AN$4="forecast",AN14*0.12,SUMIF('Dept. Cost Actuals'!$E$7:$E$176,"*payroll taxes*",'Dept. Cost Actuals'!AR$1400:AR$1569))</f>
        <v>0</v>
      </c>
      <c r="AO18" s="991">
        <f>IF(AO$4="forecast",AO14*0.12,SUMIF('Dept. Cost Actuals'!$E$7:$E$176,"*payroll taxes*",'Dept. Cost Actuals'!AS$1400:AS$1569))</f>
        <v>0</v>
      </c>
      <c r="AP18" s="991">
        <f>IF(AP$4="forecast",AP14*0.12,SUMIF('Dept. Cost Actuals'!$E$7:$E$176,"*payroll taxes*",'Dept. Cost Actuals'!AT$1400:AT$1569))</f>
        <v>0</v>
      </c>
      <c r="AQ18" s="991">
        <f>IF(AQ$4="forecast",AQ14*0.12,SUMIF('Dept. Cost Actuals'!$E$7:$E$176,"*payroll taxes*",'Dept. Cost Actuals'!AU$1400:AU$1569))</f>
        <v>0</v>
      </c>
      <c r="AR18" s="991">
        <f>IF(AR$4="forecast",AR14*0.12,SUMIF('Dept. Cost Actuals'!$E$7:$E$176,"*payroll taxes*",'Dept. Cost Actuals'!AV$1400:AV$1569))</f>
        <v>0</v>
      </c>
      <c r="AS18" s="991">
        <f>IF(AS$4="forecast",AS14*0.12,SUMIF('Dept. Cost Actuals'!$E$7:$E$176,"*payroll taxes*",'Dept. Cost Actuals'!AW$1400:AW$1569))</f>
        <v>0</v>
      </c>
      <c r="AT18" s="991">
        <f>IF(AT$4="forecast",AT14*0.12,SUMIF('Dept. Cost Actuals'!$E$7:$E$176,"*payroll taxes*",'Dept. Cost Actuals'!AX$1400:AX$1569))</f>
        <v>0</v>
      </c>
      <c r="AU18" s="991">
        <f>IF(AU$4="forecast",AU14*0.12,SUMIF('Dept. Cost Actuals'!$E$7:$E$176,"*payroll taxes*",'Dept. Cost Actuals'!AY$1400:AY$1569))</f>
        <v>0</v>
      </c>
      <c r="AV18" s="991">
        <f>IF(AV$4="forecast",AV14*0.12,SUMIF('Dept. Cost Actuals'!$E$7:$E$176,"*payroll taxes*",'Dept. Cost Actuals'!AZ$1400:AZ$1569))</f>
        <v>0</v>
      </c>
      <c r="AW18" s="991">
        <f>IF(AW$4="forecast",AW14*0.12,SUMIF('Dept. Cost Actuals'!$E$7:$E$176,"*payroll taxes*",'Dept. Cost Actuals'!BA$1400:BA$1569))</f>
        <v>0</v>
      </c>
      <c r="AX18" s="991">
        <f>IF(AX$4="forecast",AX14*0.12,SUMIF('Dept. Cost Actuals'!$E$7:$E$176,"*payroll taxes*",'Dept. Cost Actuals'!BB$1400:BB$1569))</f>
        <v>0</v>
      </c>
      <c r="AY18" s="991">
        <f>IF(AY$4="forecast",AY14*0.12,SUMIF('Dept. Cost Actuals'!$E$7:$E$176,"*payroll taxes*",'Dept. Cost Actuals'!BC$1400:BC$1569))</f>
        <v>0</v>
      </c>
      <c r="AZ18" s="991">
        <f>IF(AZ$4="forecast",AZ14*0.12,SUMIF('Dept. Cost Actuals'!$E$7:$E$176,"*payroll taxes*",'Dept. Cost Actuals'!BD$1400:BD$1569))</f>
        <v>0</v>
      </c>
      <c r="BA18" s="991">
        <f>IF(BA$4="forecast",BA14*0.12,SUMIF('Dept. Cost Actuals'!$E$7:$E$176,"*payroll taxes*",'Dept. Cost Actuals'!BE$1400:BE$1569))</f>
        <v>0</v>
      </c>
      <c r="BB18" s="991">
        <f>IF(BB$4="forecast",BB14*0.12,SUMIF('Dept. Cost Actuals'!$E$7:$E$176,"*payroll taxes*",'Dept. Cost Actuals'!BF$1400:BF$1569))</f>
        <v>0</v>
      </c>
      <c r="BC18" s="991">
        <f>IF(BC$4="forecast",BC14*0.12,SUMIF('Dept. Cost Actuals'!$E$7:$E$176,"*payroll taxes*",'Dept. Cost Actuals'!BG$1400:BG$1569))</f>
        <v>0</v>
      </c>
      <c r="BD18" s="991">
        <f>IF(BD$4="forecast",BD14*0.12,SUMIF('Dept. Cost Actuals'!$E$7:$E$176,"*payroll taxes*",'Dept. Cost Actuals'!BH$1400:BH$1569))</f>
        <v>0</v>
      </c>
      <c r="BE18" s="991">
        <f>IF(BE$4="forecast",BE14*0.12,SUMIF('Dept. Cost Actuals'!$E$7:$E$176,"*payroll taxes*",'Dept. Cost Actuals'!BI$1400:BI$1569))</f>
        <v>0</v>
      </c>
      <c r="BF18" s="991">
        <f>IF(BF$4="forecast",BF14*0.12,SUMIF('Dept. Cost Actuals'!$E$7:$E$176,"*payroll taxes*",'Dept. Cost Actuals'!BJ$1400:BJ$1569))</f>
        <v>0</v>
      </c>
      <c r="BG18" s="991">
        <f>IF(BG$4="forecast",BG14*0.12,SUMIF('Dept. Cost Actuals'!$E$7:$E$176,"*payroll taxes*",'Dept. Cost Actuals'!BK$1400:BK$1569))</f>
        <v>0</v>
      </c>
      <c r="BH18" s="991">
        <f>IF(BH$4="forecast",BH14*0.12,SUMIF('Dept. Cost Actuals'!$E$7:$E$176,"*payroll taxes*",'Dept. Cost Actuals'!BL$1400:BL$1569))</f>
        <v>0</v>
      </c>
      <c r="BI18" s="991">
        <f>IF(BI$4="forecast",BI14*0.12,SUMIF('Dept. Cost Actuals'!$E$7:$E$176,"*payroll taxes*",'Dept. Cost Actuals'!BM$1400:BM$1569))</f>
        <v>0</v>
      </c>
      <c r="BJ18" s="991">
        <f>IF(BJ$4="forecast",BJ14*0.12,SUMIF('Dept. Cost Actuals'!$E$7:$E$176,"*payroll taxes*",'Dept. Cost Actuals'!BN$1400:BN$1569))</f>
        <v>0</v>
      </c>
      <c r="BK18" s="991">
        <f>IF(BK$4="forecast",BK14*0.12,SUMIF('Dept. Cost Actuals'!$E$7:$E$176,"*payroll taxes*",'Dept. Cost Actuals'!BO$1400:BO$1569))</f>
        <v>0</v>
      </c>
      <c r="BL18" s="991">
        <f>IF(BL$4="forecast",BL14*0.12,SUMIF('Dept. Cost Actuals'!$E$7:$E$176,"*payroll taxes*",'Dept. Cost Actuals'!BP$1400:BP$1569))</f>
        <v>0</v>
      </c>
      <c r="BM18" s="991">
        <f>IF(BM$4="forecast",BM14*0.12,SUMIF('Dept. Cost Actuals'!$E$7:$E$176,"*payroll taxes*",'Dept. Cost Actuals'!BQ$1400:BQ$1569))</f>
        <v>0</v>
      </c>
      <c r="BN18" s="991">
        <f>IF(BN$4="forecast",BN14*0.12,SUMIF('Dept. Cost Actuals'!$E$7:$E$176,"*payroll taxes*",'Dept. Cost Actuals'!BR$1400:BR$1569))</f>
        <v>0</v>
      </c>
      <c r="BO18" s="991">
        <f>IF(BO$4="forecast",BO14*0.12,SUMIF('Dept. Cost Actuals'!$E$7:$E$176,"*payroll taxes*",'Dept. Cost Actuals'!BS$1400:BS$1569))</f>
        <v>0</v>
      </c>
      <c r="BP18" s="991">
        <f>IF(BP$4="forecast",BP14*0.12,SUMIF('Dept. Cost Actuals'!$E$7:$E$176,"*payroll taxes*",'Dept. Cost Actuals'!BT$1400:BT$1569))</f>
        <v>0</v>
      </c>
      <c r="BQ18" s="991">
        <f>IF(BQ$4="forecast",BQ14*0.12,SUMIF('Dept. Cost Actuals'!$E$7:$E$176,"*payroll taxes*",'Dept. Cost Actuals'!BU$1400:BU$1569))</f>
        <v>0</v>
      </c>
      <c r="BR18" s="991">
        <f>IF(BR$4="forecast",BR14*0.12,SUMIF('Dept. Cost Actuals'!$E$7:$E$176,"*payroll taxes*",'Dept. Cost Actuals'!BV$1400:BV$1569))</f>
        <v>0</v>
      </c>
      <c r="BS18" s="991">
        <f>IF(BS$4="forecast",BS14*0.12,SUMIF('Dept. Cost Actuals'!$E$7:$E$176,"*payroll taxes*",'Dept. Cost Actuals'!BW$1400:BW$1569))</f>
        <v>0</v>
      </c>
      <c r="BT18" s="991">
        <f>IF(BT$4="forecast",BT14*0.12,SUMIF('Dept. Cost Actuals'!$E$7:$E$176,"*payroll taxes*",'Dept. Cost Actuals'!BX$1400:BX$1569))</f>
        <v>0</v>
      </c>
      <c r="BU18" s="991">
        <f>IF(BU$4="forecast",BU14*0.12,SUMIF('Dept. Cost Actuals'!$E$7:$E$176,"*payroll taxes*",'Dept. Cost Actuals'!BY$1400:BY$1569))</f>
        <v>0</v>
      </c>
      <c r="BV18" s="991">
        <f>IF(BV$4="forecast",BV14*0.12,SUMIF('Dept. Cost Actuals'!$E$7:$E$176,"*payroll taxes*",'Dept. Cost Actuals'!BZ$1400:BZ$1569))</f>
        <v>0</v>
      </c>
    </row>
    <row r="19" spans="2:74" s="626" customFormat="1" ht="12.75" x14ac:dyDescent="0.2">
      <c r="B19" s="794" t="s">
        <v>1349</v>
      </c>
      <c r="C19" s="991"/>
      <c r="D19" s="991"/>
      <c r="E19" s="991"/>
      <c r="F19" s="991"/>
      <c r="G19" s="991"/>
      <c r="H19" s="991"/>
      <c r="I19" s="991"/>
      <c r="J19" s="991"/>
      <c r="K19" s="991"/>
      <c r="L19" s="991"/>
      <c r="M19" s="991"/>
      <c r="N19" s="991"/>
      <c r="O19" s="991"/>
      <c r="P19" s="991"/>
      <c r="Q19" s="991"/>
      <c r="R19" s="991"/>
      <c r="S19" s="991"/>
      <c r="T19" s="991"/>
      <c r="U19" s="991"/>
      <c r="V19" s="991"/>
      <c r="W19" s="991"/>
      <c r="X19" s="991"/>
      <c r="Y19" s="991"/>
      <c r="Z19" s="991"/>
      <c r="AA19" s="991">
        <f>IF(AA$4="forecast",((AA14/251)+Z$19),SUMIF('Dept. Cost Actuals'!$E$7:$E$176,"*vacation*",'Dept. Cost Actuals'!AE$1400:AE$1569))</f>
        <v>30860.12</v>
      </c>
      <c r="AB19" s="991">
        <f>IF(AB$4="forecast",((AB14/251)+AA$19),SUMIF('Dept. Cost Actuals'!$E$7:$E$176,"*vacation*",'Dept. Cost Actuals'!AF$1400:AF$1569))</f>
        <v>-3311.65</v>
      </c>
      <c r="AC19" s="991">
        <f>IF(AC$4="forecast",((AC14/251)+AB$19),SUMIF('Dept. Cost Actuals'!$E$7:$E$176,"*vacation*",'Dept. Cost Actuals'!AG$1400:AG$1569))</f>
        <v>2188.62</v>
      </c>
      <c r="AD19" s="991">
        <f>IF(AD$4="forecast",((AD14/251)+AC$19),SUMIF('Dept. Cost Actuals'!$E$7:$E$176,"*vacation*",'Dept. Cost Actuals'!AH$1400:AH$1569))</f>
        <v>2315.7268924302789</v>
      </c>
      <c r="AE19" s="991">
        <f>IF(AE$4="forecast",((AE14/251)+AD$19),SUMIF('Dept. Cost Actuals'!$E$7:$E$176,"*vacation*",'Dept. Cost Actuals'!AI$1400:AI$1569))</f>
        <v>2442.8337848605579</v>
      </c>
      <c r="AF19" s="991">
        <f>IF(AF$4="forecast",((AF14/251)+AE$19),SUMIF('Dept. Cost Actuals'!$E$7:$E$176,"*vacation*",'Dept. Cost Actuals'!AJ$1400:AJ$1569))</f>
        <v>2569.9406772908369</v>
      </c>
      <c r="AG19" s="991">
        <f>IF(AG$4="forecast",((AG14/251)+AF$19),SUMIF('Dept. Cost Actuals'!$E$7:$E$176,"*vacation*",'Dept. Cost Actuals'!AK$1400:AK$1569))</f>
        <v>2697.0475697211159</v>
      </c>
      <c r="AH19" s="991">
        <f>IF(AH$4="forecast",((AH14/251)+AG$19),SUMIF('Dept. Cost Actuals'!$E$7:$E$176,"*vacation*",'Dept. Cost Actuals'!AL$1400:AL$1569))</f>
        <v>2824.1544621513949</v>
      </c>
      <c r="AI19" s="991">
        <f>IF(AI$4="forecast",((AI14/251)+AH$19),SUMIF('Dept. Cost Actuals'!$E$7:$E$176,"*vacation*",'Dept. Cost Actuals'!AM$1400:AM$1569))</f>
        <v>2951.2613545816739</v>
      </c>
      <c r="AJ19" s="991">
        <f>IF(AJ$4="forecast",((AJ14/251)+AI$19),SUMIF('Dept. Cost Actuals'!$E$7:$E$176,"*vacation*",'Dept. Cost Actuals'!AN$1400:AN$1569))</f>
        <v>3078.3682470119529</v>
      </c>
      <c r="AK19" s="991">
        <f>IF(AK$4="forecast",((AK14/251)+AJ$19),SUMIF('Dept. Cost Actuals'!$E$7:$E$176,"*vacation*",'Dept. Cost Actuals'!AO$1400:AO$1569))</f>
        <v>3205.4751394422319</v>
      </c>
      <c r="AL19" s="991">
        <f>IF(AL$4="forecast",((AL14/251)+AK$19),SUMIF('Dept. Cost Actuals'!$E$7:$E$176,"*vacation*",'Dept. Cost Actuals'!AP$1400:AP$1569))</f>
        <v>3332.5820318725109</v>
      </c>
      <c r="AM19" s="991">
        <f>IF(AM$4="forecast",((AM14/251)+AL$19),SUMIF('Dept. Cost Actuals'!$E$7:$E$176,"*vacation*",'Dept. Cost Actuals'!AQ$1400:AQ$1569))</f>
        <v>3459.6889243027899</v>
      </c>
      <c r="AN19" s="991">
        <f>IF(AN$4="forecast",((AN14/251)+AM$19),SUMIF('Dept. Cost Actuals'!$E$7:$E$176,"*vacation*",'Dept. Cost Actuals'!AR$1400:AR$1569))</f>
        <v>3459.6889243027899</v>
      </c>
      <c r="AO19" s="991">
        <f>IF(AO$4="forecast",((AO14/251)+AN$19),SUMIF('Dept. Cost Actuals'!$E$7:$E$176,"*vacation*",'Dept. Cost Actuals'!AS$1400:AS$1569))</f>
        <v>3459.6889243027899</v>
      </c>
      <c r="AP19" s="991">
        <f>IF(AP$4="forecast",((AP14/251)+AO$19),SUMIF('Dept. Cost Actuals'!$E$7:$E$176,"*vacation*",'Dept. Cost Actuals'!AT$1400:AT$1569))</f>
        <v>3459.6889243027899</v>
      </c>
      <c r="AQ19" s="991">
        <f>IF(AQ$4="forecast",((AQ14/251)+AP$19),SUMIF('Dept. Cost Actuals'!$E$7:$E$176,"*vacation*",'Dept. Cost Actuals'!AU$1400:AU$1569))</f>
        <v>3459.6889243027899</v>
      </c>
      <c r="AR19" s="991">
        <f>IF(AR$4="forecast",((AR14/251)+AQ$19),SUMIF('Dept. Cost Actuals'!$E$7:$E$176,"*vacation*",'Dept. Cost Actuals'!AV$1400:AV$1569))</f>
        <v>3459.6889243027899</v>
      </c>
      <c r="AS19" s="991">
        <f>IF(AS$4="forecast",((AS14/251)+AR$19),SUMIF('Dept. Cost Actuals'!$E$7:$E$176,"*vacation*",'Dept. Cost Actuals'!AW$1400:AW$1569))</f>
        <v>3459.6889243027899</v>
      </c>
      <c r="AT19" s="991">
        <f>IF(AT$4="forecast",((AT14/251)+AS$19),SUMIF('Dept. Cost Actuals'!$E$7:$E$176,"*vacation*",'Dept. Cost Actuals'!AX$1400:AX$1569))</f>
        <v>3459.6889243027899</v>
      </c>
      <c r="AU19" s="991">
        <f>IF(AU$4="forecast",((AU14/251)+AT$19),SUMIF('Dept. Cost Actuals'!$E$7:$E$176,"*vacation*",'Dept. Cost Actuals'!AY$1400:AY$1569))</f>
        <v>3459.6889243027899</v>
      </c>
      <c r="AV19" s="991">
        <f>IF(AV$4="forecast",((AV14/251)+AU$19),SUMIF('Dept. Cost Actuals'!$E$7:$E$176,"*vacation*",'Dept. Cost Actuals'!AZ$1400:AZ$1569))</f>
        <v>3459.6889243027899</v>
      </c>
      <c r="AW19" s="991">
        <f>IF(AW$4="forecast",((AW14/251)+AV$19),SUMIF('Dept. Cost Actuals'!$E$7:$E$176,"*vacation*",'Dept. Cost Actuals'!BA$1400:BA$1569))</f>
        <v>3459.6889243027899</v>
      </c>
      <c r="AX19" s="991">
        <f>IF(AX$4="forecast",((AX14/251)+AW$19),SUMIF('Dept. Cost Actuals'!$E$7:$E$176,"*vacation*",'Dept. Cost Actuals'!BB$1400:BB$1569))</f>
        <v>3459.6889243027899</v>
      </c>
      <c r="AY19" s="991">
        <f>IF(AY$4="forecast",((AY14/251)+AX$19),SUMIF('Dept. Cost Actuals'!$E$7:$E$176,"*vacation*",'Dept. Cost Actuals'!BC$1400:BC$1569))</f>
        <v>3459.6889243027899</v>
      </c>
      <c r="AZ19" s="991">
        <f>IF(AZ$4="forecast",((AZ14/251)+AY$19),SUMIF('Dept. Cost Actuals'!$E$7:$E$176,"*vacation*",'Dept. Cost Actuals'!BD$1400:BD$1569))</f>
        <v>3459.6889243027899</v>
      </c>
      <c r="BA19" s="991">
        <f>IF(BA$4="forecast",((BA14/251)+AZ$19),SUMIF('Dept. Cost Actuals'!$E$7:$E$176,"*vacation*",'Dept. Cost Actuals'!BE$1400:BE$1569))</f>
        <v>3459.6889243027899</v>
      </c>
      <c r="BB19" s="991">
        <f>IF(BB$4="forecast",((BB14/251)+BA$19),SUMIF('Dept. Cost Actuals'!$E$7:$E$176,"*vacation*",'Dept. Cost Actuals'!BF$1400:BF$1569))</f>
        <v>3459.6889243027899</v>
      </c>
      <c r="BC19" s="991">
        <f>IF(BC$4="forecast",((BC14/251)+BB$19),SUMIF('Dept. Cost Actuals'!$E$7:$E$176,"*vacation*",'Dept. Cost Actuals'!BG$1400:BG$1569))</f>
        <v>3459.6889243027899</v>
      </c>
      <c r="BD19" s="991">
        <f>IF(BD$4="forecast",((BD14/251)+BC$19),SUMIF('Dept. Cost Actuals'!$E$7:$E$176,"*vacation*",'Dept. Cost Actuals'!BH$1400:BH$1569))</f>
        <v>3459.6889243027899</v>
      </c>
      <c r="BE19" s="991">
        <f>IF(BE$4="forecast",((BE14/251)+BD$19),SUMIF('Dept. Cost Actuals'!$E$7:$E$176,"*vacation*",'Dept. Cost Actuals'!BI$1400:BI$1569))</f>
        <v>3459.6889243027899</v>
      </c>
      <c r="BF19" s="991">
        <f>IF(BF$4="forecast",((BF14/251)+BE$19),SUMIF('Dept. Cost Actuals'!$E$7:$E$176,"*vacation*",'Dept. Cost Actuals'!BJ$1400:BJ$1569))</f>
        <v>3459.6889243027899</v>
      </c>
      <c r="BG19" s="991">
        <f>IF(BG$4="forecast",((BG14/251)+BF$19),SUMIF('Dept. Cost Actuals'!$E$7:$E$176,"*vacation*",'Dept. Cost Actuals'!BK$1400:BK$1569))</f>
        <v>3459.6889243027899</v>
      </c>
      <c r="BH19" s="991">
        <f>IF(BH$4="forecast",((BH14/251)+BG$19),SUMIF('Dept. Cost Actuals'!$E$7:$E$176,"*vacation*",'Dept. Cost Actuals'!BL$1400:BL$1569))</f>
        <v>3459.6889243027899</v>
      </c>
      <c r="BI19" s="991">
        <f>IF(BI$4="forecast",((BI14/251)+BH$19),SUMIF('Dept. Cost Actuals'!$E$7:$E$176,"*vacation*",'Dept. Cost Actuals'!BM$1400:BM$1569))</f>
        <v>3459.6889243027899</v>
      </c>
      <c r="BJ19" s="991">
        <f>IF(BJ$4="forecast",((BJ14/251)+BI$19),SUMIF('Dept. Cost Actuals'!$E$7:$E$176,"*vacation*",'Dept. Cost Actuals'!BN$1400:BN$1569))</f>
        <v>3459.6889243027899</v>
      </c>
      <c r="BK19" s="991">
        <f>IF(BK$4="forecast",((BK14/251)+BJ$19),SUMIF('Dept. Cost Actuals'!$E$7:$E$176,"*vacation*",'Dept. Cost Actuals'!BO$1400:BO$1569))</f>
        <v>3459.6889243027899</v>
      </c>
      <c r="BL19" s="991">
        <f>IF(BL$4="forecast",((BL14/251)+BK$19),SUMIF('Dept. Cost Actuals'!$E$7:$E$176,"*vacation*",'Dept. Cost Actuals'!BP$1400:BP$1569))</f>
        <v>3459.6889243027899</v>
      </c>
      <c r="BM19" s="991">
        <f>IF(BM$4="forecast",((BM14/251)+BL$19),SUMIF('Dept. Cost Actuals'!$E$7:$E$176,"*vacation*",'Dept. Cost Actuals'!BQ$1400:BQ$1569))</f>
        <v>3459.6889243027899</v>
      </c>
      <c r="BN19" s="991">
        <f>IF(BN$4="forecast",((BN14/251)+BM$19),SUMIF('Dept. Cost Actuals'!$E$7:$E$176,"*vacation*",'Dept. Cost Actuals'!BR$1400:BR$1569))</f>
        <v>3459.6889243027899</v>
      </c>
      <c r="BO19" s="991">
        <f>IF(BO$4="forecast",((BO14/251)+BN$19),SUMIF('Dept. Cost Actuals'!$E$7:$E$176,"*vacation*",'Dept. Cost Actuals'!BS$1400:BS$1569))</f>
        <v>3459.6889243027899</v>
      </c>
      <c r="BP19" s="991">
        <f>IF(BP$4="forecast",((BP14/251)+BO$19),SUMIF('Dept. Cost Actuals'!$E$7:$E$176,"*vacation*",'Dept. Cost Actuals'!BT$1400:BT$1569))</f>
        <v>3459.6889243027899</v>
      </c>
      <c r="BQ19" s="991">
        <f>IF(BQ$4="forecast",((BQ14/251)+BP$19),SUMIF('Dept. Cost Actuals'!$E$7:$E$176,"*vacation*",'Dept. Cost Actuals'!BU$1400:BU$1569))</f>
        <v>3459.6889243027899</v>
      </c>
      <c r="BR19" s="991">
        <f>IF(BR$4="forecast",((BR14/251)+BQ$19),SUMIF('Dept. Cost Actuals'!$E$7:$E$176,"*vacation*",'Dept. Cost Actuals'!BV$1400:BV$1569))</f>
        <v>3459.6889243027899</v>
      </c>
      <c r="BS19" s="991">
        <f>IF(BS$4="forecast",((BS14/251)+BR$19),SUMIF('Dept. Cost Actuals'!$E$7:$E$176,"*vacation*",'Dept. Cost Actuals'!BW$1400:BW$1569))</f>
        <v>3459.6889243027899</v>
      </c>
      <c r="BT19" s="991">
        <f>IF(BT$4="forecast",((BT14/251)+BS$19),SUMIF('Dept. Cost Actuals'!$E$7:$E$176,"*vacation*",'Dept. Cost Actuals'!BX$1400:BX$1569))</f>
        <v>3459.6889243027899</v>
      </c>
      <c r="BU19" s="991">
        <f>IF(BU$4="forecast",((BU14/251)+BT$19),SUMIF('Dept. Cost Actuals'!$E$7:$E$176,"*vacation*",'Dept. Cost Actuals'!BY$1400:BY$1569))</f>
        <v>3459.6889243027899</v>
      </c>
      <c r="BV19" s="991">
        <f>IF(BV$4="forecast",((BV14/251)+BU$19),SUMIF('Dept. Cost Actuals'!$E$7:$E$176,"*vacation*",'Dept. Cost Actuals'!BZ$1400:BZ$1569))</f>
        <v>3459.6889243027899</v>
      </c>
    </row>
    <row r="20" spans="2:74" s="626" customFormat="1" ht="12.75" x14ac:dyDescent="0.2">
      <c r="B20" s="794" t="s">
        <v>657</v>
      </c>
      <c r="C20" s="668"/>
      <c r="D20" s="668"/>
      <c r="E20" s="668"/>
      <c r="F20" s="668"/>
      <c r="G20" s="668"/>
      <c r="H20" s="668"/>
      <c r="I20" s="668"/>
      <c r="J20" s="668"/>
      <c r="K20" s="668"/>
      <c r="L20" s="668"/>
      <c r="M20" s="668"/>
      <c r="N20" s="668"/>
      <c r="O20" s="668"/>
      <c r="P20" s="668"/>
      <c r="Q20" s="668"/>
      <c r="R20" s="668"/>
      <c r="S20" s="668"/>
      <c r="T20" s="668"/>
      <c r="U20" s="668"/>
      <c r="V20" s="668"/>
      <c r="W20" s="668"/>
      <c r="X20" s="668"/>
      <c r="Y20" s="668"/>
      <c r="Z20" s="668"/>
      <c r="AA20" s="668">
        <f>IF(AA$4="forecast",(((SUM($O$20:$Z$20)/12)*1.03)),SUMIF('Dept. Cost Actuals'!$E$7:$E$176,"*Health Insurance*",'Dept. Cost Actuals'!AE$1400:AE$1569))</f>
        <v>1007.8199999999999</v>
      </c>
      <c r="AB20" s="668">
        <f>IF(AB$4="forecast",(((SUM($O$20:$Z$20)/12)*1.03)),SUMIF('Dept. Cost Actuals'!$E$7:$E$176,"*Health Insurance*",'Dept. Cost Actuals'!AF$1400:AF$1569))</f>
        <v>1007.8199999999999</v>
      </c>
      <c r="AC20" s="668">
        <f>IF(AC$4="forecast",(((SUM($O$20:$Z$20)/12)*1.03)),SUMIF('Dept. Cost Actuals'!$E$7:$E$176,"*Health Insurance*",'Dept. Cost Actuals'!AG$1400:AG$1569))</f>
        <v>1956.18</v>
      </c>
      <c r="AD20" s="668">
        <f>IF(AD$4="forecast",(((SUM($O$20:$Z$20)/12)*1.03)),SUMIF('Dept. Cost Actuals'!$E$7:$E$176,"*Health Insurance*",'Dept. Cost Actuals'!AH$1400:AH$1569))</f>
        <v>0</v>
      </c>
      <c r="AE20" s="668">
        <f>IF(AE$4="forecast",(((SUM($O$20:$Z$20)/12)*1.03)),SUMIF('Dept. Cost Actuals'!$E$7:$E$176,"*Health Insurance*",'Dept. Cost Actuals'!AI$1400:AI$1569))</f>
        <v>0</v>
      </c>
      <c r="AF20" s="668">
        <f>IF(AF$4="forecast",(((SUM($O$20:$Z$20)/12)*1.03)),SUMIF('Dept. Cost Actuals'!$E$7:$E$176,"*Health Insurance*",'Dept. Cost Actuals'!AJ$1400:AJ$1569))</f>
        <v>0</v>
      </c>
      <c r="AG20" s="668">
        <f>IF(AG$4="forecast",(((SUM($O$20:$Z$20)/12)*1.03)),SUMIF('Dept. Cost Actuals'!$E$7:$E$176,"*Health Insurance*",'Dept. Cost Actuals'!AK$1400:AK$1569))</f>
        <v>0</v>
      </c>
      <c r="AH20" s="668">
        <f>IF(AH$4="forecast",(((SUM($O$20:$Z$20)/12)*1.03)),SUMIF('Dept. Cost Actuals'!$E$7:$E$176,"*Health Insurance*",'Dept. Cost Actuals'!AL$1400:AL$1569))</f>
        <v>0</v>
      </c>
      <c r="AI20" s="668">
        <f>IF(AI$4="forecast",(((SUM($O$20:$Z$20)/12)*1.03)),SUMIF('Dept. Cost Actuals'!$E$7:$E$176,"*Health Insurance*",'Dept. Cost Actuals'!AM$1400:AM$1569))</f>
        <v>0</v>
      </c>
      <c r="AJ20" s="668">
        <f>IF(AJ$4="forecast",(((SUM($O$20:$Z$20)/12)*1.03)),SUMIF('Dept. Cost Actuals'!$E$7:$E$176,"*Health Insurance*",'Dept. Cost Actuals'!AN$1400:AN$1569))</f>
        <v>0</v>
      </c>
      <c r="AK20" s="668">
        <f>IF(AK$4="forecast",(((SUM($O$20:$Z$20)/12)*1.03)),SUMIF('Dept. Cost Actuals'!$E$7:$E$176,"*Health Insurance*",'Dept. Cost Actuals'!AO$1400:AO$1569))</f>
        <v>0</v>
      </c>
      <c r="AL20" s="668">
        <f>IF(AL$4="forecast",(((SUM($O$20:$Z$20)/12)*1.03)),SUMIF('Dept. Cost Actuals'!$E$7:$E$176,"*Health Insurance*",'Dept. Cost Actuals'!AP$1400:AP$1569))</f>
        <v>0</v>
      </c>
      <c r="AM20" s="668">
        <f>IF(AM$4="forecast",(((SUM($O$20:$Z$20)/12)*1.03)),SUMIF('Dept. Cost Actuals'!$E$7:$E$176,"*Health Insurance*",'Dept. Cost Actuals'!AQ$1400:AQ$1569))</f>
        <v>0</v>
      </c>
      <c r="AN20" s="668">
        <f>IF(AN$4="forecast",(((SUM($O$20:$Z$20)/12)*1.03)),SUMIF('Dept. Cost Actuals'!$E$7:$E$176,"*Health Insurance*",'Dept. Cost Actuals'!AR$1400:AR$1569))</f>
        <v>0</v>
      </c>
      <c r="AO20" s="668">
        <f>IF(AO$4="forecast",(((SUM($O$20:$Z$20)/12)*1.03)),SUMIF('Dept. Cost Actuals'!$E$7:$E$176,"*Health Insurance*",'Dept. Cost Actuals'!AS$1400:AS$1569))</f>
        <v>0</v>
      </c>
      <c r="AP20" s="668">
        <f>IF(AP$4="forecast",(((SUM($O$20:$Z$20)/12)*1.03)),SUMIF('Dept. Cost Actuals'!$E$7:$E$176,"*Health Insurance*",'Dept. Cost Actuals'!AT$1400:AT$1569))</f>
        <v>0</v>
      </c>
      <c r="AQ20" s="668">
        <f>IF(AQ$4="forecast",(((SUM($O$20:$Z$20)/12)*1.03)),SUMIF('Dept. Cost Actuals'!$E$7:$E$176,"*Health Insurance*",'Dept. Cost Actuals'!AU$1400:AU$1569))</f>
        <v>0</v>
      </c>
      <c r="AR20" s="668">
        <f>IF(AR$4="forecast",(((SUM($O$20:$Z$20)/12)*1.03)),SUMIF('Dept. Cost Actuals'!$E$7:$E$176,"*Health Insurance*",'Dept. Cost Actuals'!AV$1400:AV$1569))</f>
        <v>0</v>
      </c>
      <c r="AS20" s="668">
        <f>IF(AS$4="forecast",(((SUM($O$20:$Z$20)/12)*1.03)),SUMIF('Dept. Cost Actuals'!$E$7:$E$176,"*Health Insurance*",'Dept. Cost Actuals'!AW$1400:AW$1569))</f>
        <v>0</v>
      </c>
      <c r="AT20" s="668">
        <f>IF(AT$4="forecast",(((SUM($O$20:$Z$20)/12)*1.03)),SUMIF('Dept. Cost Actuals'!$E$7:$E$176,"*Health Insurance*",'Dept. Cost Actuals'!AX$1400:AX$1569))</f>
        <v>0</v>
      </c>
      <c r="AU20" s="668">
        <f>IF(AU$4="forecast",(((SUM($O$20:$Z$20)/12)*1.03)),SUMIF('Dept. Cost Actuals'!$E$7:$E$176,"*Health Insurance*",'Dept. Cost Actuals'!AY$1400:AY$1569))</f>
        <v>0</v>
      </c>
      <c r="AV20" s="668">
        <f>IF(AV$4="forecast",(((SUM($O$20:$Z$20)/12)*1.03)),SUMIF('Dept. Cost Actuals'!$E$7:$E$176,"*Health Insurance*",'Dept. Cost Actuals'!AZ$1400:AZ$1569))</f>
        <v>0</v>
      </c>
      <c r="AW20" s="668">
        <f>IF(AW$4="forecast",(((SUM($O$20:$Z$20)/12)*1.03)),SUMIF('Dept. Cost Actuals'!$E$7:$E$176,"*Health Insurance*",'Dept. Cost Actuals'!BA$1400:BA$1569))</f>
        <v>0</v>
      </c>
      <c r="AX20" s="668">
        <f>IF(AX$4="forecast",(((SUM($O$20:$Z$20)/12)*1.03)),SUMIF('Dept. Cost Actuals'!$E$7:$E$176,"*Health Insurance*",'Dept. Cost Actuals'!BB$1400:BB$1569))</f>
        <v>0</v>
      </c>
      <c r="AY20" s="668">
        <f>IF(AY$4="forecast",(((SUM($O$20:$Z$20)/12)*1.03)),SUMIF('Dept. Cost Actuals'!$E$7:$E$176,"*Health Insurance*",'Dept. Cost Actuals'!BC$1400:BC$1569))</f>
        <v>0</v>
      </c>
      <c r="AZ20" s="668">
        <f>IF(AZ$4="forecast",(((SUM($O$20:$Z$20)/12)*1.03)),SUMIF('Dept. Cost Actuals'!$E$7:$E$176,"*Health Insurance*",'Dept. Cost Actuals'!BD$1400:BD$1569))</f>
        <v>0</v>
      </c>
      <c r="BA20" s="668">
        <f>IF(BA$4="forecast",(((SUM($O$20:$Z$20)/12)*1.03)),SUMIF('Dept. Cost Actuals'!$E$7:$E$176,"*Health Insurance*",'Dept. Cost Actuals'!BE$1400:BE$1569))</f>
        <v>0</v>
      </c>
      <c r="BB20" s="668">
        <f>IF(BB$4="forecast",(((SUM($O$20:$Z$20)/12)*1.03)),SUMIF('Dept. Cost Actuals'!$E$7:$E$176,"*Health Insurance*",'Dept. Cost Actuals'!BF$1400:BF$1569))</f>
        <v>0</v>
      </c>
      <c r="BC20" s="668">
        <f>IF(BC$4="forecast",(((SUM($O$20:$Z$20)/12)*1.03)),SUMIF('Dept. Cost Actuals'!$E$7:$E$176,"*Health Insurance*",'Dept. Cost Actuals'!BG$1400:BG$1569))</f>
        <v>0</v>
      </c>
      <c r="BD20" s="668">
        <f>IF(BD$4="forecast",(((SUM($O$20:$Z$20)/12)*1.03)),SUMIF('Dept. Cost Actuals'!$E$7:$E$176,"*Health Insurance*",'Dept. Cost Actuals'!BH$1400:BH$1569))</f>
        <v>0</v>
      </c>
      <c r="BE20" s="668">
        <f>IF(BE$4="forecast",(((SUM($O$20:$Z$20)/12)*1.03)),SUMIF('Dept. Cost Actuals'!$E$7:$E$176,"*Health Insurance*",'Dept. Cost Actuals'!BI$1400:BI$1569))</f>
        <v>0</v>
      </c>
      <c r="BF20" s="668">
        <f>IF(BF$4="forecast",(((SUM($O$20:$Z$20)/12)*1.03)),SUMIF('Dept. Cost Actuals'!$E$7:$E$176,"*Health Insurance*",'Dept. Cost Actuals'!BJ$1400:BJ$1569))</f>
        <v>0</v>
      </c>
      <c r="BG20" s="668">
        <f>IF(BG$4="forecast",(((SUM($O$20:$Z$20)/12)*1.03)),SUMIF('Dept. Cost Actuals'!$E$7:$E$176,"*Health Insurance*",'Dept. Cost Actuals'!BK$1400:BK$1569))</f>
        <v>0</v>
      </c>
      <c r="BH20" s="668">
        <f>IF(BH$4="forecast",(((SUM($O$20:$Z$20)/12)*1.03)),SUMIF('Dept. Cost Actuals'!$E$7:$E$176,"*Health Insurance*",'Dept. Cost Actuals'!BL$1400:BL$1569))</f>
        <v>0</v>
      </c>
      <c r="BI20" s="668">
        <f>IF(BI$4="forecast",(((SUM($O$20:$Z$20)/12)*1.03)),SUMIF('Dept. Cost Actuals'!$E$7:$E$176,"*Health Insurance*",'Dept. Cost Actuals'!BM$1400:BM$1569))</f>
        <v>0</v>
      </c>
      <c r="BJ20" s="668">
        <f>IF(BJ$4="forecast",(((SUM($O$20:$Z$20)/12)*1.03)),SUMIF('Dept. Cost Actuals'!$E$7:$E$176,"*Health Insurance*",'Dept. Cost Actuals'!BN$1400:BN$1569))</f>
        <v>0</v>
      </c>
      <c r="BK20" s="668">
        <f>IF(BK$4="forecast",(((SUM($O$20:$Z$20)/12)*1.03)),SUMIF('Dept. Cost Actuals'!$E$7:$E$176,"*Health Insurance*",'Dept. Cost Actuals'!BO$1400:BO$1569))</f>
        <v>0</v>
      </c>
      <c r="BL20" s="668">
        <f>IF(BL$4="forecast",(((SUM($O$20:$Z$20)/12)*1.03)),SUMIF('Dept. Cost Actuals'!$E$7:$E$176,"*Health Insurance*",'Dept. Cost Actuals'!BP$1400:BP$1569))</f>
        <v>0</v>
      </c>
      <c r="BM20" s="668">
        <f>IF(BM$4="forecast",(((SUM($O$20:$Z$20)/12)*1.03)),SUMIF('Dept. Cost Actuals'!$E$7:$E$176,"*Health Insurance*",'Dept. Cost Actuals'!BQ$1400:BQ$1569))</f>
        <v>0</v>
      </c>
      <c r="BN20" s="668">
        <f>IF(BN$4="forecast",(((SUM($O$20:$Z$20)/12)*1.03)),SUMIF('Dept. Cost Actuals'!$E$7:$E$176,"*Health Insurance*",'Dept. Cost Actuals'!BR$1400:BR$1569))</f>
        <v>0</v>
      </c>
      <c r="BO20" s="668">
        <f>IF(BO$4="forecast",(((SUM($O$20:$Z$20)/12)*1.03)),SUMIF('Dept. Cost Actuals'!$E$7:$E$176,"*Health Insurance*",'Dept. Cost Actuals'!BS$1400:BS$1569))</f>
        <v>0</v>
      </c>
      <c r="BP20" s="668">
        <f>IF(BP$4="forecast",(((SUM($O$20:$Z$20)/12)*1.03)),SUMIF('Dept. Cost Actuals'!$E$7:$E$176,"*Health Insurance*",'Dept. Cost Actuals'!BT$1400:BT$1569))</f>
        <v>0</v>
      </c>
      <c r="BQ20" s="668">
        <f>IF(BQ$4="forecast",(((SUM($O$20:$Z$20)/12)*1.03)),SUMIF('Dept. Cost Actuals'!$E$7:$E$176,"*Health Insurance*",'Dept. Cost Actuals'!BU$1400:BU$1569))</f>
        <v>0</v>
      </c>
      <c r="BR20" s="668">
        <f>IF(BR$4="forecast",(((SUM($O$20:$Z$20)/12)*1.03)),SUMIF('Dept. Cost Actuals'!$E$7:$E$176,"*Health Insurance*",'Dept. Cost Actuals'!BV$1400:BV$1569))</f>
        <v>0</v>
      </c>
      <c r="BS20" s="668">
        <f>IF(BS$4="forecast",(((SUM($O$20:$Z$20)/12)*1.03)),SUMIF('Dept. Cost Actuals'!$E$7:$E$176,"*Health Insurance*",'Dept. Cost Actuals'!BW$1400:BW$1569))</f>
        <v>0</v>
      </c>
      <c r="BT20" s="668">
        <f>IF(BT$4="forecast",(((SUM($O$20:$Z$20)/12)*1.03)),SUMIF('Dept. Cost Actuals'!$E$7:$E$176,"*Health Insurance*",'Dept. Cost Actuals'!BX$1400:BX$1569))</f>
        <v>0</v>
      </c>
      <c r="BU20" s="668">
        <f>IF(BU$4="forecast",(((SUM($O$20:$Z$20)/12)*1.03)),SUMIF('Dept. Cost Actuals'!$E$7:$E$176,"*Health Insurance*",'Dept. Cost Actuals'!BY$1400:BY$1569))</f>
        <v>0</v>
      </c>
      <c r="BV20" s="668">
        <f>IF(BV$4="forecast",(((SUM($O$20:$Z$20)/12)*1.03)),SUMIF('Dept. Cost Actuals'!$E$7:$E$176,"*Health Insurance*",'Dept. Cost Actuals'!BZ$1400:BZ$1569))</f>
        <v>0</v>
      </c>
    </row>
    <row r="21" spans="2:74" s="626" customFormat="1" ht="12.75" x14ac:dyDescent="0.2">
      <c r="B21" s="794" t="s">
        <v>1348</v>
      </c>
      <c r="C21" s="668"/>
      <c r="D21" s="668"/>
      <c r="E21" s="668"/>
      <c r="F21" s="668"/>
      <c r="G21" s="668"/>
      <c r="H21" s="668"/>
      <c r="I21" s="668"/>
      <c r="J21" s="668"/>
      <c r="K21" s="668"/>
      <c r="L21" s="668"/>
      <c r="M21" s="668"/>
      <c r="N21" s="668"/>
      <c r="O21" s="668"/>
      <c r="P21" s="668"/>
      <c r="Q21" s="668"/>
      <c r="R21" s="668"/>
      <c r="S21" s="668"/>
      <c r="T21" s="668"/>
      <c r="U21" s="668"/>
      <c r="V21" s="668"/>
      <c r="W21" s="668"/>
      <c r="X21" s="668"/>
      <c r="Y21" s="668"/>
      <c r="Z21" s="668"/>
      <c r="AA21" s="668">
        <f>IF(AA$4="forecast",(((400/12)*AA$7)),(SUMIF('Dept. Cost Actuals'!$E$7:$E$176,"*Employee*",'Dept. Cost Actuals'!AE$1400:AE$1569)))</f>
        <v>0</v>
      </c>
      <c r="AB21" s="668">
        <f>IF(AB$4="forecast",(((400/12)*AB$7)),(SUMIF('Dept. Cost Actuals'!$E$7:$E$176,"*Employee*",'Dept. Cost Actuals'!AF$1400:AF$1569)))</f>
        <v>34.130000000000003</v>
      </c>
      <c r="AC21" s="668">
        <f>IF(AC$4="forecast",(((400/12)*AC$7)),(SUMIF('Dept. Cost Actuals'!$E$7:$E$176,"*Employee*",'Dept. Cost Actuals'!AG$1400:AG$1569)))</f>
        <v>28.66</v>
      </c>
      <c r="AD21" s="668">
        <f>IF(AD$4="forecast",(((400/12)*AD$7)),(SUMIF('Dept. Cost Actuals'!$E$7:$E$176,"*Employee*",'Dept. Cost Actuals'!AH$1400:AH$1569)))</f>
        <v>0</v>
      </c>
      <c r="AE21" s="668">
        <f>IF(AE$4="forecast",(((400/12)*AE$7)),(SUMIF('Dept. Cost Actuals'!$E$7:$E$176,"*Employee*",'Dept. Cost Actuals'!AI$1400:AI$1569)))</f>
        <v>0</v>
      </c>
      <c r="AF21" s="668">
        <f>IF(AF$4="forecast",(((400/12)*AF$7)),(SUMIF('Dept. Cost Actuals'!$E$7:$E$176,"*Employee*",'Dept. Cost Actuals'!AJ$1400:AJ$1569)))</f>
        <v>0</v>
      </c>
      <c r="AG21" s="668">
        <f>IF(AG$4="forecast",(((400/12)*AG$7)),(SUMIF('Dept. Cost Actuals'!$E$7:$E$176,"*Employee*",'Dept. Cost Actuals'!AK$1400:AK$1569)))</f>
        <v>0</v>
      </c>
      <c r="AH21" s="668">
        <f>IF(AH$4="forecast",(((400/12)*AH$7)),(SUMIF('Dept. Cost Actuals'!$E$7:$E$176,"*Employee*",'Dept. Cost Actuals'!AL$1400:AL$1569)))</f>
        <v>0</v>
      </c>
      <c r="AI21" s="668">
        <f>IF(AI$4="forecast",(((400/12)*AI$7)),(SUMIF('Dept. Cost Actuals'!$E$7:$E$176,"*Employee*",'Dept. Cost Actuals'!AM$1400:AM$1569)))</f>
        <v>0</v>
      </c>
      <c r="AJ21" s="668">
        <f>IF(AJ$4="forecast",(((400/12)*AJ$7)),(SUMIF('Dept. Cost Actuals'!$E$7:$E$176,"*Employee*",'Dept. Cost Actuals'!AN$1400:AN$1569)))</f>
        <v>0</v>
      </c>
      <c r="AK21" s="668">
        <f>IF(AK$4="forecast",(((400/12)*AK$7)),(SUMIF('Dept. Cost Actuals'!$E$7:$E$176,"*Employee*",'Dept. Cost Actuals'!AO$1400:AO$1569)))</f>
        <v>0</v>
      </c>
      <c r="AL21" s="668">
        <f>IF(AL$4="forecast",(((400/12)*AL$7)),(SUMIF('Dept. Cost Actuals'!$E$7:$E$176,"*Employee*",'Dept. Cost Actuals'!AP$1400:AP$1569)))</f>
        <v>0</v>
      </c>
      <c r="AM21" s="668">
        <f>IF(AM$4="forecast",(((400/12)*AM$7)),(SUMIF('Dept. Cost Actuals'!$E$7:$E$176,"*Employee*",'Dept. Cost Actuals'!AQ$1400:AQ$1569)))</f>
        <v>0</v>
      </c>
      <c r="AN21" s="668">
        <f>IF(AN$4="forecast",(((400/12)*AN$7)),(SUMIF('Dept. Cost Actuals'!$E$7:$E$176,"*Employee*",'Dept. Cost Actuals'!AR$1400:AR$1569)))</f>
        <v>0</v>
      </c>
      <c r="AO21" s="668">
        <f>IF(AO$4="forecast",(((400/12)*AO$7)),(SUMIF('Dept. Cost Actuals'!$E$7:$E$176,"*Employee*",'Dept. Cost Actuals'!AS$1400:AS$1569)))</f>
        <v>0</v>
      </c>
      <c r="AP21" s="668">
        <f>IF(AP$4="forecast",(((400/12)*AP$7)),(SUMIF('Dept. Cost Actuals'!$E$7:$E$176,"*Employee*",'Dept. Cost Actuals'!AT$1400:AT$1569)))</f>
        <v>0</v>
      </c>
      <c r="AQ21" s="668">
        <f>IF(AQ$4="forecast",(((400/12)*AQ$7)),(SUMIF('Dept. Cost Actuals'!$E$7:$E$176,"*Employee*",'Dept. Cost Actuals'!AU$1400:AU$1569)))</f>
        <v>0</v>
      </c>
      <c r="AR21" s="668">
        <f>IF(AR$4="forecast",(((400/12)*AR$7)),(SUMIF('Dept. Cost Actuals'!$E$7:$E$176,"*Employee*",'Dept. Cost Actuals'!AV$1400:AV$1569)))</f>
        <v>0</v>
      </c>
      <c r="AS21" s="668">
        <f>IF(AS$4="forecast",(((400/12)*AS$7)),(SUMIF('Dept. Cost Actuals'!$E$7:$E$176,"*Employee*",'Dept. Cost Actuals'!AW$1400:AW$1569)))</f>
        <v>0</v>
      </c>
      <c r="AT21" s="668">
        <f>IF(AT$4="forecast",(((400/12)*AT$7)),(SUMIF('Dept. Cost Actuals'!$E$7:$E$176,"*Employee*",'Dept. Cost Actuals'!AX$1400:AX$1569)))</f>
        <v>0</v>
      </c>
      <c r="AU21" s="668">
        <f>IF(AU$4="forecast",(((400/12)*AU$7)),(SUMIF('Dept. Cost Actuals'!$E$7:$E$176,"*Employee*",'Dept. Cost Actuals'!AY$1400:AY$1569)))</f>
        <v>0</v>
      </c>
      <c r="AV21" s="668">
        <f>IF(AV$4="forecast",(((400/12)*AV$7)),(SUMIF('Dept. Cost Actuals'!$E$7:$E$176,"*Employee*",'Dept. Cost Actuals'!AZ$1400:AZ$1569)))</f>
        <v>0</v>
      </c>
      <c r="AW21" s="668">
        <f>IF(AW$4="forecast",(((400/12)*AW$7)),(SUMIF('Dept. Cost Actuals'!$E$7:$E$176,"*Employee*",'Dept. Cost Actuals'!BA$1400:BA$1569)))</f>
        <v>0</v>
      </c>
      <c r="AX21" s="668">
        <f>IF(AX$4="forecast",(((400/12)*AX$7)),(SUMIF('Dept. Cost Actuals'!$E$7:$E$176,"*Employee*",'Dept. Cost Actuals'!BB$1400:BB$1569)))</f>
        <v>0</v>
      </c>
      <c r="AY21" s="668">
        <f>IF(AY$4="forecast",(((400/12)*AY$7)),(SUMIF('Dept. Cost Actuals'!$E$7:$E$176,"*Employee*",'Dept. Cost Actuals'!BC$1400:BC$1569)))</f>
        <v>0</v>
      </c>
      <c r="AZ21" s="668">
        <f>IF(AZ$4="forecast",(((400/12)*AZ$7)),(SUMIF('Dept. Cost Actuals'!$E$7:$E$176,"*Employee*",'Dept. Cost Actuals'!BD$1400:BD$1569)))</f>
        <v>0</v>
      </c>
      <c r="BA21" s="668">
        <f>IF(BA$4="forecast",(((400/12)*BA$7)),(SUMIF('Dept. Cost Actuals'!$E$7:$E$176,"*Employee*",'Dept. Cost Actuals'!BE$1400:BE$1569)))</f>
        <v>0</v>
      </c>
      <c r="BB21" s="668">
        <f>IF(BB$4="forecast",(((400/12)*BB$7)),(SUMIF('Dept. Cost Actuals'!$E$7:$E$176,"*Employee*",'Dept. Cost Actuals'!BF$1400:BF$1569)))</f>
        <v>0</v>
      </c>
      <c r="BC21" s="668">
        <f>IF(BC$4="forecast",(((400/12)*BC$7)),(SUMIF('Dept. Cost Actuals'!$E$7:$E$176,"*Employee*",'Dept. Cost Actuals'!BG$1400:BG$1569)))</f>
        <v>0</v>
      </c>
      <c r="BD21" s="668">
        <f>IF(BD$4="forecast",(((400/12)*BD$7)),(SUMIF('Dept. Cost Actuals'!$E$7:$E$176,"*Employee*",'Dept. Cost Actuals'!BH$1400:BH$1569)))</f>
        <v>0</v>
      </c>
      <c r="BE21" s="668">
        <f>IF(BE$4="forecast",(((400/12)*BE$7)),(SUMIF('Dept. Cost Actuals'!$E$7:$E$176,"*Employee*",'Dept. Cost Actuals'!BI$1400:BI$1569)))</f>
        <v>0</v>
      </c>
      <c r="BF21" s="668">
        <f>IF(BF$4="forecast",(((400/12)*BF$7)),(SUMIF('Dept. Cost Actuals'!$E$7:$E$176,"*Employee*",'Dept. Cost Actuals'!BJ$1400:BJ$1569)))</f>
        <v>0</v>
      </c>
      <c r="BG21" s="668">
        <f>IF(BG$4="forecast",(((400/12)*BG$7)),(SUMIF('Dept. Cost Actuals'!$E$7:$E$176,"*Employee*",'Dept. Cost Actuals'!BK$1400:BK$1569)))</f>
        <v>0</v>
      </c>
      <c r="BH21" s="668">
        <f>IF(BH$4="forecast",(((400/12)*BH$7)),(SUMIF('Dept. Cost Actuals'!$E$7:$E$176,"*Employee*",'Dept. Cost Actuals'!BL$1400:BL$1569)))</f>
        <v>0</v>
      </c>
      <c r="BI21" s="668">
        <f>IF(BI$4="forecast",(((400/12)*BI$7)),(SUMIF('Dept. Cost Actuals'!$E$7:$E$176,"*Employee*",'Dept. Cost Actuals'!BM$1400:BM$1569)))</f>
        <v>0</v>
      </c>
      <c r="BJ21" s="668">
        <f>IF(BJ$4="forecast",(((400/12)*BJ$7)),(SUMIF('Dept. Cost Actuals'!$E$7:$E$176,"*Employee*",'Dept. Cost Actuals'!BN$1400:BN$1569)))</f>
        <v>0</v>
      </c>
      <c r="BK21" s="668">
        <f>IF(BK$4="forecast",(((400/12)*BK$7)),(SUMIF('Dept. Cost Actuals'!$E$7:$E$176,"*Employee*",'Dept. Cost Actuals'!BO$1400:BO$1569)))</f>
        <v>0</v>
      </c>
      <c r="BL21" s="668">
        <f>IF(BL$4="forecast",(((400/12)*BL$7)),(SUMIF('Dept. Cost Actuals'!$E$7:$E$176,"*Employee*",'Dept. Cost Actuals'!BP$1400:BP$1569)))</f>
        <v>0</v>
      </c>
      <c r="BM21" s="668">
        <f>IF(BM$4="forecast",(((400/12)*BM$7)),(SUMIF('Dept. Cost Actuals'!$E$7:$E$176,"*Employee*",'Dept. Cost Actuals'!BQ$1400:BQ$1569)))</f>
        <v>0</v>
      </c>
      <c r="BN21" s="668">
        <f>IF(BN$4="forecast",(((400/12)*BN$7)),(SUMIF('Dept. Cost Actuals'!$E$7:$E$176,"*Employee*",'Dept. Cost Actuals'!BR$1400:BR$1569)))</f>
        <v>0</v>
      </c>
      <c r="BO21" s="668">
        <f>IF(BO$4="forecast",(((400/12)*BO$7)),(SUMIF('Dept. Cost Actuals'!$E$7:$E$176,"*Employee*",'Dept. Cost Actuals'!BS$1400:BS$1569)))</f>
        <v>0</v>
      </c>
      <c r="BP21" s="668">
        <f>IF(BP$4="forecast",(((400/12)*BP$7)),(SUMIF('Dept. Cost Actuals'!$E$7:$E$176,"*Employee*",'Dept. Cost Actuals'!BT$1400:BT$1569)))</f>
        <v>0</v>
      </c>
      <c r="BQ21" s="668">
        <f>IF(BQ$4="forecast",(((400/12)*BQ$7)),(SUMIF('Dept. Cost Actuals'!$E$7:$E$176,"*Employee*",'Dept. Cost Actuals'!BU$1400:BU$1569)))</f>
        <v>0</v>
      </c>
      <c r="BR21" s="668">
        <f>IF(BR$4="forecast",(((400/12)*BR$7)),(SUMIF('Dept. Cost Actuals'!$E$7:$E$176,"*Employee*",'Dept. Cost Actuals'!BV$1400:BV$1569)))</f>
        <v>0</v>
      </c>
      <c r="BS21" s="668">
        <f>IF(BS$4="forecast",(((400/12)*BS$7)),(SUMIF('Dept. Cost Actuals'!$E$7:$E$176,"*Employee*",'Dept. Cost Actuals'!BW$1400:BW$1569)))</f>
        <v>0</v>
      </c>
      <c r="BT21" s="668">
        <f>IF(BT$4="forecast",(((400/12)*BT$7)),(SUMIF('Dept. Cost Actuals'!$E$7:$E$176,"*Employee*",'Dept. Cost Actuals'!BX$1400:BX$1569)))</f>
        <v>0</v>
      </c>
      <c r="BU21" s="668">
        <f>IF(BU$4="forecast",(((400/12)*BU$7)),(SUMIF('Dept. Cost Actuals'!$E$7:$E$176,"*Employee*",'Dept. Cost Actuals'!BY$1400:BY$1569)))</f>
        <v>0</v>
      </c>
      <c r="BV21" s="668">
        <f>IF(BV$4="forecast",(((400/12)*BV$7)),(SUMIF('Dept. Cost Actuals'!$E$7:$E$176,"*Employee*",'Dept. Cost Actuals'!BZ$1400:BZ$1569)))</f>
        <v>0</v>
      </c>
    </row>
    <row r="22" spans="2:74" x14ac:dyDescent="0.25">
      <c r="B22" s="794" t="s">
        <v>934</v>
      </c>
      <c r="C22" s="668"/>
      <c r="D22" s="668"/>
      <c r="E22" s="668"/>
      <c r="F22" s="668"/>
      <c r="G22" s="668"/>
      <c r="H22" s="668"/>
      <c r="I22" s="668"/>
      <c r="J22" s="668"/>
      <c r="K22" s="668"/>
      <c r="L22" s="668"/>
      <c r="M22" s="668"/>
      <c r="N22" s="668"/>
      <c r="O22" s="668"/>
      <c r="P22" s="668"/>
      <c r="Q22" s="668"/>
      <c r="R22" s="668"/>
      <c r="S22" s="668"/>
      <c r="T22" s="668"/>
      <c r="U22" s="668"/>
      <c r="V22" s="668"/>
      <c r="W22" s="668"/>
      <c r="X22" s="668"/>
      <c r="Y22" s="668"/>
      <c r="Z22" s="668"/>
      <c r="AA22" s="668">
        <f>IF(AA$4="forecast",AA$8*'Direct People Department Costs'!$H$8,SUMIF('Dept. Cost Actuals'!$E$7:$E$176,"*On Board*",'Dept. Cost Actuals'!AE$1400:AE$1569))</f>
        <v>0</v>
      </c>
      <c r="AB22" s="668">
        <f>IF(AB$4="forecast",AB$8*'Direct People Department Costs'!$H$8,SUMIF('Dept. Cost Actuals'!$E$7:$E$176,"*On Board*",'Dept. Cost Actuals'!AF$1400:AF$1569))</f>
        <v>0</v>
      </c>
      <c r="AC22" s="668">
        <f>IF(AC$4="forecast",AC$8*'Direct People Department Costs'!$H$8,SUMIF('Dept. Cost Actuals'!$E$7:$E$176,"*On Board*",'Dept. Cost Actuals'!AG$1400:AG$1569))</f>
        <v>99.99</v>
      </c>
      <c r="AD22" s="668">
        <f>IF(AD$4="forecast",AD$8*'Direct People Department Costs'!$H$8,SUMIF('Dept. Cost Actuals'!$E$7:$E$176,"*On Board*",'Dept. Cost Actuals'!AH$1400:AH$1569))</f>
        <v>0</v>
      </c>
      <c r="AE22" s="668">
        <f>IF(AE$4="forecast",AE$8*'Direct People Department Costs'!$H$8,SUMIF('Dept. Cost Actuals'!$E$7:$E$176,"*On Board*",'Dept. Cost Actuals'!AI$1400:AI$1569))</f>
        <v>0</v>
      </c>
      <c r="AF22" s="668">
        <f>IF(AF$4="forecast",AF$8*'Direct People Department Costs'!$H$8,SUMIF('Dept. Cost Actuals'!$E$7:$E$176,"*On Board*",'Dept. Cost Actuals'!AJ$1400:AJ$1569))</f>
        <v>0</v>
      </c>
      <c r="AG22" s="668">
        <f>IF(AG$4="forecast",AG$8*'Direct People Department Costs'!$H$8,SUMIF('Dept. Cost Actuals'!$E$7:$E$176,"*On Board*",'Dept. Cost Actuals'!AK$1400:AK$1569))</f>
        <v>0</v>
      </c>
      <c r="AH22" s="668">
        <f>IF(AH$4="forecast",AH$8*'Direct People Department Costs'!$H$8,SUMIF('Dept. Cost Actuals'!$E$7:$E$176,"*On Board*",'Dept. Cost Actuals'!AL$1400:AL$1569))</f>
        <v>0</v>
      </c>
      <c r="AI22" s="668">
        <f>IF(AI$4="forecast",AI$8*'Direct People Department Costs'!$H$8,SUMIF('Dept. Cost Actuals'!$E$7:$E$176,"*On Board*",'Dept. Cost Actuals'!AM$1400:AM$1569))</f>
        <v>0</v>
      </c>
      <c r="AJ22" s="668">
        <f>IF(AJ$4="forecast",AJ$8*'Direct People Department Costs'!$H$8,SUMIF('Dept. Cost Actuals'!$E$7:$E$176,"*On Board*",'Dept. Cost Actuals'!AN$1400:AN$1569))</f>
        <v>0</v>
      </c>
      <c r="AK22" s="668">
        <f>IF(AK$4="forecast",AK$8*'Direct People Department Costs'!$H$8,SUMIF('Dept. Cost Actuals'!$E$7:$E$176,"*On Board*",'Dept. Cost Actuals'!AO$1400:AO$1569))</f>
        <v>0</v>
      </c>
      <c r="AL22" s="668">
        <f>IF(AL$4="forecast",AL$8*'Direct People Department Costs'!$H$8,SUMIF('Dept. Cost Actuals'!$E$7:$E$176,"*On Board*",'Dept. Cost Actuals'!AP$1400:AP$1569))</f>
        <v>0</v>
      </c>
      <c r="AM22" s="668">
        <f>IF(AM$4="forecast",AM$8*'Direct People Department Costs'!$H$8,SUMIF('Dept. Cost Actuals'!$E$7:$E$176,"*On Board*",'Dept. Cost Actuals'!AQ$1400:AQ$1569))</f>
        <v>0</v>
      </c>
      <c r="AN22" s="668">
        <f>IF(AN$4="forecast",AN$8*'Direct People Department Costs'!$H$8,SUMIF('Dept. Cost Actuals'!$E$7:$E$176,"*On Board*",'Dept. Cost Actuals'!AR$1400:AR$1569))</f>
        <v>0</v>
      </c>
      <c r="AO22" s="668">
        <f>IF(AO$4="forecast",AO$8*'Direct People Department Costs'!$H$8,SUMIF('Dept. Cost Actuals'!$E$7:$E$176,"*On Board*",'Dept. Cost Actuals'!AS$1400:AS$1569))</f>
        <v>0</v>
      </c>
      <c r="AP22" s="668">
        <f>IF(AP$4="forecast",AP$8*'Direct People Department Costs'!$H$8,SUMIF('Dept. Cost Actuals'!$E$7:$E$176,"*On Board*",'Dept. Cost Actuals'!AT$1400:AT$1569))</f>
        <v>0</v>
      </c>
      <c r="AQ22" s="668">
        <f>IF(AQ$4="forecast",AQ$8*'Direct People Department Costs'!$H$8,SUMIF('Dept. Cost Actuals'!$E$7:$E$176,"*On Board*",'Dept. Cost Actuals'!AU$1400:AU$1569))</f>
        <v>0</v>
      </c>
      <c r="AR22" s="668">
        <f>IF(AR$4="forecast",AR$8*'Direct People Department Costs'!$H$8,SUMIF('Dept. Cost Actuals'!$E$7:$E$176,"*On Board*",'Dept. Cost Actuals'!AV$1400:AV$1569))</f>
        <v>0</v>
      </c>
      <c r="AS22" s="668">
        <f>IF(AS$4="forecast",AS$8*'Direct People Department Costs'!$H$8,SUMIF('Dept. Cost Actuals'!$E$7:$E$176,"*On Board*",'Dept. Cost Actuals'!AW$1400:AW$1569))</f>
        <v>0</v>
      </c>
      <c r="AT22" s="668">
        <f>IF(AT$4="forecast",AT$8*'Direct People Department Costs'!$H$8,SUMIF('Dept. Cost Actuals'!$E$7:$E$176,"*On Board*",'Dept. Cost Actuals'!AX$1400:AX$1569))</f>
        <v>0</v>
      </c>
      <c r="AU22" s="668">
        <f>IF(AU$4="forecast",AU$8*'Direct People Department Costs'!$H$8,SUMIF('Dept. Cost Actuals'!$E$7:$E$176,"*On Board*",'Dept. Cost Actuals'!AY$1400:AY$1569))</f>
        <v>0</v>
      </c>
      <c r="AV22" s="668">
        <f>IF(AV$4="forecast",AV$8*'Direct People Department Costs'!$H$8,SUMIF('Dept. Cost Actuals'!$E$7:$E$176,"*On Board*",'Dept. Cost Actuals'!AZ$1400:AZ$1569))</f>
        <v>0</v>
      </c>
      <c r="AW22" s="668">
        <f>IF(AW$4="forecast",AW$8*'Direct People Department Costs'!$H$8,SUMIF('Dept. Cost Actuals'!$E$7:$E$176,"*On Board*",'Dept. Cost Actuals'!BA$1400:BA$1569))</f>
        <v>0</v>
      </c>
      <c r="AX22" s="668">
        <f>IF(AX$4="forecast",AX$8*'Direct People Department Costs'!$H$8,SUMIF('Dept. Cost Actuals'!$E$7:$E$176,"*On Board*",'Dept. Cost Actuals'!BB$1400:BB$1569))</f>
        <v>0</v>
      </c>
      <c r="AY22" s="668">
        <f>IF(AY$4="forecast",AY$8*'Direct People Department Costs'!$H$8,SUMIF('Dept. Cost Actuals'!$E$7:$E$176,"*On Board*",'Dept. Cost Actuals'!BC$1400:BC$1569))</f>
        <v>0</v>
      </c>
      <c r="AZ22" s="668">
        <f>IF(AZ$4="forecast",AZ$8*'Direct People Department Costs'!$H$8,SUMIF('Dept. Cost Actuals'!$E$7:$E$176,"*On Board*",'Dept. Cost Actuals'!BD$1400:BD$1569))</f>
        <v>0</v>
      </c>
      <c r="BA22" s="668">
        <f>IF(BA$4="forecast",BA$8*'Direct People Department Costs'!$H$8,SUMIF('Dept. Cost Actuals'!$E$7:$E$176,"*On Board*",'Dept. Cost Actuals'!BE$1400:BE$1569))</f>
        <v>0</v>
      </c>
      <c r="BB22" s="668">
        <f>IF(BB$4="forecast",BB$8*'Direct People Department Costs'!$H$8,SUMIF('Dept. Cost Actuals'!$E$7:$E$176,"*On Board*",'Dept. Cost Actuals'!BF$1400:BF$1569))</f>
        <v>0</v>
      </c>
      <c r="BC22" s="668">
        <f>IF(BC$4="forecast",BC$8*'Direct People Department Costs'!$H$8,SUMIF('Dept. Cost Actuals'!$E$7:$E$176,"*On Board*",'Dept. Cost Actuals'!BG$1400:BG$1569))</f>
        <v>0</v>
      </c>
      <c r="BD22" s="668">
        <f>IF(BD$4="forecast",BD$8*'Direct People Department Costs'!$H$8,SUMIF('Dept. Cost Actuals'!$E$7:$E$176,"*On Board*",'Dept. Cost Actuals'!BH$1400:BH$1569))</f>
        <v>0</v>
      </c>
      <c r="BE22" s="668">
        <f>IF(BE$4="forecast",BE$8*'Direct People Department Costs'!$H$8,SUMIF('Dept. Cost Actuals'!$E$7:$E$176,"*On Board*",'Dept. Cost Actuals'!BI$1400:BI$1569))</f>
        <v>0</v>
      </c>
      <c r="BF22" s="668">
        <f>IF(BF$4="forecast",BF$8*'Direct People Department Costs'!$H$8,SUMIF('Dept. Cost Actuals'!$E$7:$E$176,"*On Board*",'Dept. Cost Actuals'!BJ$1400:BJ$1569))</f>
        <v>0</v>
      </c>
      <c r="BG22" s="668">
        <f>IF(BG$4="forecast",BG$8*'Direct People Department Costs'!$H$8,SUMIF('Dept. Cost Actuals'!$E$7:$E$176,"*On Board*",'Dept. Cost Actuals'!BK$1400:BK$1569))</f>
        <v>0</v>
      </c>
      <c r="BH22" s="668">
        <f>IF(BH$4="forecast",BH$8*'Direct People Department Costs'!$H$8,SUMIF('Dept. Cost Actuals'!$E$7:$E$176,"*On Board*",'Dept. Cost Actuals'!BL$1400:BL$1569))</f>
        <v>0</v>
      </c>
      <c r="BI22" s="668">
        <f>IF(BI$4="forecast",BI$8*'Direct People Department Costs'!$H$8,SUMIF('Dept. Cost Actuals'!$E$7:$E$176,"*On Board*",'Dept. Cost Actuals'!BM$1400:BM$1569))</f>
        <v>0</v>
      </c>
      <c r="BJ22" s="668">
        <f>IF(BJ$4="forecast",BJ$8*'Direct People Department Costs'!$H$8,SUMIF('Dept. Cost Actuals'!$E$7:$E$176,"*On Board*",'Dept. Cost Actuals'!BN$1400:BN$1569))</f>
        <v>0</v>
      </c>
      <c r="BK22" s="668">
        <f>IF(BK$4="forecast",BK$8*'Direct People Department Costs'!$H$8,SUMIF('Dept. Cost Actuals'!$E$7:$E$176,"*On Board*",'Dept. Cost Actuals'!BO$1400:BO$1569))</f>
        <v>0</v>
      </c>
      <c r="BL22" s="668">
        <f>IF(BL$4="forecast",BL$8*'Direct People Department Costs'!$H$8,SUMIF('Dept. Cost Actuals'!$E$7:$E$176,"*On Board*",'Dept. Cost Actuals'!BP$1400:BP$1569))</f>
        <v>0</v>
      </c>
      <c r="BM22" s="668">
        <f>IF(BM$4="forecast",BM$8*'Direct People Department Costs'!$H$8,SUMIF('Dept. Cost Actuals'!$E$7:$E$176,"*On Board*",'Dept. Cost Actuals'!BQ$1400:BQ$1569))</f>
        <v>0</v>
      </c>
      <c r="BN22" s="668">
        <f>IF(BN$4="forecast",BN$8*'Direct People Department Costs'!$H$8,SUMIF('Dept. Cost Actuals'!$E$7:$E$176,"*On Board*",'Dept. Cost Actuals'!BR$1400:BR$1569))</f>
        <v>0</v>
      </c>
      <c r="BO22" s="668">
        <f>IF(BO$4="forecast",BO$8*'Direct People Department Costs'!$H$8,SUMIF('Dept. Cost Actuals'!$E$7:$E$176,"*On Board*",'Dept. Cost Actuals'!BS$1400:BS$1569))</f>
        <v>0</v>
      </c>
      <c r="BP22" s="668">
        <f>IF(BP$4="forecast",BP$8*'Direct People Department Costs'!$H$8,SUMIF('Dept. Cost Actuals'!$E$7:$E$176,"*On Board*",'Dept. Cost Actuals'!BT$1400:BT$1569))</f>
        <v>0</v>
      </c>
      <c r="BQ22" s="668">
        <f>IF(BQ$4="forecast",BQ$8*'Direct People Department Costs'!$H$8,SUMIF('Dept. Cost Actuals'!$E$7:$E$176,"*On Board*",'Dept. Cost Actuals'!BU$1400:BU$1569))</f>
        <v>0</v>
      </c>
      <c r="BR22" s="668">
        <f>IF(BR$4="forecast",BR$8*'Direct People Department Costs'!$H$8,SUMIF('Dept. Cost Actuals'!$E$7:$E$176,"*On Board*",'Dept. Cost Actuals'!BV$1400:BV$1569))</f>
        <v>0</v>
      </c>
      <c r="BS22" s="668">
        <f>IF(BS$4="forecast",BS$8*'Direct People Department Costs'!$H$8,SUMIF('Dept. Cost Actuals'!$E$7:$E$176,"*On Board*",'Dept. Cost Actuals'!BW$1400:BW$1569))</f>
        <v>0</v>
      </c>
      <c r="BT22" s="668">
        <f>IF(BT$4="forecast",BT$8*'Direct People Department Costs'!$H$8,SUMIF('Dept. Cost Actuals'!$E$7:$E$176,"*On Board*",'Dept. Cost Actuals'!BX$1400:BX$1569))</f>
        <v>0</v>
      </c>
      <c r="BU22" s="668">
        <f>IF(BU$4="forecast",BU$8*'Direct People Department Costs'!$H$8,SUMIF('Dept. Cost Actuals'!$E$7:$E$176,"*On Board*",'Dept. Cost Actuals'!BY$1400:BY$1569))</f>
        <v>0</v>
      </c>
      <c r="BV22" s="668">
        <f>IF(BV$4="forecast",BV$8*'Direct People Department Costs'!$H$8,SUMIF('Dept. Cost Actuals'!$E$7:$E$176,"*On Board*",'Dept. Cost Actuals'!BZ$1400:BZ$1569))</f>
        <v>0</v>
      </c>
    </row>
    <row r="23" spans="2:74" x14ac:dyDescent="0.25">
      <c r="B23" s="794" t="s">
        <v>918</v>
      </c>
      <c r="C23" s="668"/>
      <c r="D23" s="668"/>
      <c r="E23" s="668"/>
      <c r="F23" s="668"/>
      <c r="G23" s="668"/>
      <c r="H23" s="668"/>
      <c r="I23" s="668"/>
      <c r="J23" s="668"/>
      <c r="K23" s="668"/>
      <c r="L23" s="668"/>
      <c r="M23" s="668"/>
      <c r="N23" s="668"/>
      <c r="O23" s="668"/>
      <c r="P23" s="668"/>
      <c r="Q23" s="668"/>
      <c r="R23" s="668"/>
      <c r="S23" s="668"/>
      <c r="T23" s="668"/>
      <c r="U23" s="668"/>
      <c r="V23" s="668"/>
      <c r="W23" s="668"/>
      <c r="X23" s="668"/>
      <c r="Y23" s="668"/>
      <c r="Z23" s="668"/>
      <c r="AA23" s="668">
        <f>IF(AA$4="forecast",AA$8*'Direct People Department Costs'!$H$9,SUMIF('Dept. Cost Actuals'!$E$7:$E$176,"*Recruiting*",'Dept. Cost Actuals'!AE$1400:AE$1569))</f>
        <v>24000</v>
      </c>
      <c r="AB23" s="668">
        <f>IF(AB$4="forecast",AB$8*'Direct People Department Costs'!$H$9,SUMIF('Dept. Cost Actuals'!$E$7:$E$176,"*Recruiting*",'Dept. Cost Actuals'!AF$1400:AF$1569))</f>
        <v>0</v>
      </c>
      <c r="AC23" s="668">
        <f>IF(AC$4="forecast",AC$8*'Direct People Department Costs'!$H$9,SUMIF('Dept. Cost Actuals'!$E$7:$E$176,"*Recruiting*",'Dept. Cost Actuals'!AG$1400:AG$1569))</f>
        <v>0</v>
      </c>
      <c r="AD23" s="668">
        <f>IF(AD$4="forecast",AD$8*'Direct People Department Costs'!$H$9,SUMIF('Dept. Cost Actuals'!$E$7:$E$176,"*Recruiting*",'Dept. Cost Actuals'!AH$1400:AH$1569))</f>
        <v>0</v>
      </c>
      <c r="AE23" s="668">
        <f>IF(AE$4="forecast",AE$8*'Direct People Department Costs'!$H$9,SUMIF('Dept. Cost Actuals'!$E$7:$E$176,"*Recruiting*",'Dept. Cost Actuals'!AI$1400:AI$1569))</f>
        <v>0</v>
      </c>
      <c r="AF23" s="668">
        <f>IF(AF$4="forecast",AF$8*'Direct People Department Costs'!$H$9,SUMIF('Dept. Cost Actuals'!$E$7:$E$176,"*Recruiting*",'Dept. Cost Actuals'!AJ$1400:AJ$1569))</f>
        <v>0</v>
      </c>
      <c r="AG23" s="668">
        <f>IF(AG$4="forecast",AG$8*'Direct People Department Costs'!$H$9,SUMIF('Dept. Cost Actuals'!$E$7:$E$176,"*Recruiting*",'Dept. Cost Actuals'!AK$1400:AK$1569))</f>
        <v>0</v>
      </c>
      <c r="AH23" s="668">
        <f>IF(AH$4="forecast",AH$8*'Direct People Department Costs'!$H$9,SUMIF('Dept. Cost Actuals'!$E$7:$E$176,"*Recruiting*",'Dept. Cost Actuals'!AL$1400:AL$1569))</f>
        <v>0</v>
      </c>
      <c r="AI23" s="668">
        <f>IF(AI$4="forecast",AI$8*'Direct People Department Costs'!$H$9,SUMIF('Dept. Cost Actuals'!$E$7:$E$176,"*Recruiting*",'Dept. Cost Actuals'!AM$1400:AM$1569))</f>
        <v>0</v>
      </c>
      <c r="AJ23" s="668">
        <f>IF(AJ$4="forecast",AJ$8*'Direct People Department Costs'!$H$9,SUMIF('Dept. Cost Actuals'!$E$7:$E$176,"*Recruiting*",'Dept. Cost Actuals'!AN$1400:AN$1569))</f>
        <v>0</v>
      </c>
      <c r="AK23" s="668">
        <f>IF(AK$4="forecast",AK$8*'Direct People Department Costs'!$H$9,SUMIF('Dept. Cost Actuals'!$E$7:$E$176,"*Recruiting*",'Dept. Cost Actuals'!AO$1400:AO$1569))</f>
        <v>0</v>
      </c>
      <c r="AL23" s="668">
        <f>IF(AL$4="forecast",AL$8*'Direct People Department Costs'!$H$9,SUMIF('Dept. Cost Actuals'!$E$7:$E$176,"*Recruiting*",'Dept. Cost Actuals'!AP$1400:AP$1569))</f>
        <v>0</v>
      </c>
      <c r="AM23" s="668">
        <f>IF(AM$4="forecast",AM$8*'Direct People Department Costs'!$H$9,SUMIF('Dept. Cost Actuals'!$E$7:$E$176,"*Recruiting*",'Dept. Cost Actuals'!AQ$1400:AQ$1569))</f>
        <v>0</v>
      </c>
      <c r="AN23" s="668">
        <f>IF(AN$4="forecast",AN$8*'Direct People Department Costs'!$H$9,SUMIF('Dept. Cost Actuals'!$E$7:$E$176,"*Recruiting*",'Dept. Cost Actuals'!AR$1400:AR$1569))</f>
        <v>0</v>
      </c>
      <c r="AO23" s="668">
        <f>IF(AO$4="forecast",AO$8*'Direct People Department Costs'!$H$9,SUMIF('Dept. Cost Actuals'!$E$7:$E$176,"*Recruiting*",'Dept. Cost Actuals'!AS$1400:AS$1569))</f>
        <v>0</v>
      </c>
      <c r="AP23" s="668">
        <f>IF(AP$4="forecast",AP$8*'Direct People Department Costs'!$H$9,SUMIF('Dept. Cost Actuals'!$E$7:$E$176,"*Recruiting*",'Dept. Cost Actuals'!AT$1400:AT$1569))</f>
        <v>0</v>
      </c>
      <c r="AQ23" s="668">
        <f>IF(AQ$4="forecast",AQ$8*'Direct People Department Costs'!$H$9,SUMIF('Dept. Cost Actuals'!$E$7:$E$176,"*Recruiting*",'Dept. Cost Actuals'!AU$1400:AU$1569))</f>
        <v>0</v>
      </c>
      <c r="AR23" s="668">
        <f>IF(AR$4="forecast",AR$8*'Direct People Department Costs'!$H$9,SUMIF('Dept. Cost Actuals'!$E$7:$E$176,"*Recruiting*",'Dept. Cost Actuals'!AV$1400:AV$1569))</f>
        <v>0</v>
      </c>
      <c r="AS23" s="668">
        <f>IF(AS$4="forecast",AS$8*'Direct People Department Costs'!$H$9,SUMIF('Dept. Cost Actuals'!$E$7:$E$176,"*Recruiting*",'Dept. Cost Actuals'!AW$1400:AW$1569))</f>
        <v>0</v>
      </c>
      <c r="AT23" s="668">
        <f>IF(AT$4="forecast",AT$8*'Direct People Department Costs'!$H$9,SUMIF('Dept. Cost Actuals'!$E$7:$E$176,"*Recruiting*",'Dept. Cost Actuals'!AX$1400:AX$1569))</f>
        <v>0</v>
      </c>
      <c r="AU23" s="668">
        <f>IF(AU$4="forecast",AU$8*'Direct People Department Costs'!$H$9,SUMIF('Dept. Cost Actuals'!$E$7:$E$176,"*Recruiting*",'Dept. Cost Actuals'!AY$1400:AY$1569))</f>
        <v>0</v>
      </c>
      <c r="AV23" s="668">
        <f>IF(AV$4="forecast",AV$8*'Direct People Department Costs'!$H$9,SUMIF('Dept. Cost Actuals'!$E$7:$E$176,"*Recruiting*",'Dept. Cost Actuals'!AZ$1400:AZ$1569))</f>
        <v>0</v>
      </c>
      <c r="AW23" s="668">
        <f>IF(AW$4="forecast",AW$8*'Direct People Department Costs'!$H$9,SUMIF('Dept. Cost Actuals'!$E$7:$E$176,"*Recruiting*",'Dept. Cost Actuals'!BA$1400:BA$1569))</f>
        <v>0</v>
      </c>
      <c r="AX23" s="668">
        <f>IF(AX$4="forecast",AX$8*'Direct People Department Costs'!$H$9,SUMIF('Dept. Cost Actuals'!$E$7:$E$176,"*Recruiting*",'Dept. Cost Actuals'!BB$1400:BB$1569))</f>
        <v>0</v>
      </c>
      <c r="AY23" s="668">
        <f>IF(AY$4="forecast",AY$8*'Direct People Department Costs'!$H$9,SUMIF('Dept. Cost Actuals'!$E$7:$E$176,"*Recruiting*",'Dept. Cost Actuals'!BC$1400:BC$1569))</f>
        <v>0</v>
      </c>
      <c r="AZ23" s="668">
        <f>IF(AZ$4="forecast",AZ$8*'Direct People Department Costs'!$H$9,SUMIF('Dept. Cost Actuals'!$E$7:$E$176,"*Recruiting*",'Dept. Cost Actuals'!BD$1400:BD$1569))</f>
        <v>0</v>
      </c>
      <c r="BA23" s="668">
        <f>IF(BA$4="forecast",BA$8*'Direct People Department Costs'!$H$9,SUMIF('Dept. Cost Actuals'!$E$7:$E$176,"*Recruiting*",'Dept. Cost Actuals'!BE$1400:BE$1569))</f>
        <v>0</v>
      </c>
      <c r="BB23" s="668">
        <f>IF(BB$4="forecast",BB$8*'Direct People Department Costs'!$H$9,SUMIF('Dept. Cost Actuals'!$E$7:$E$176,"*Recruiting*",'Dept. Cost Actuals'!BF$1400:BF$1569))</f>
        <v>0</v>
      </c>
      <c r="BC23" s="668">
        <f>IF(BC$4="forecast",BC$8*'Direct People Department Costs'!$H$9,SUMIF('Dept. Cost Actuals'!$E$7:$E$176,"*Recruiting*",'Dept. Cost Actuals'!BG$1400:BG$1569))</f>
        <v>0</v>
      </c>
      <c r="BD23" s="668">
        <f>IF(BD$4="forecast",BD$8*'Direct People Department Costs'!$H$9,SUMIF('Dept. Cost Actuals'!$E$7:$E$176,"*Recruiting*",'Dept. Cost Actuals'!BH$1400:BH$1569))</f>
        <v>0</v>
      </c>
      <c r="BE23" s="668">
        <f>IF(BE$4="forecast",BE$8*'Direct People Department Costs'!$H$9,SUMIF('Dept. Cost Actuals'!$E$7:$E$176,"*Recruiting*",'Dept. Cost Actuals'!BI$1400:BI$1569))</f>
        <v>0</v>
      </c>
      <c r="BF23" s="668">
        <f>IF(BF$4="forecast",BF$8*'Direct People Department Costs'!$H$9,SUMIF('Dept. Cost Actuals'!$E$7:$E$176,"*Recruiting*",'Dept. Cost Actuals'!BJ$1400:BJ$1569))</f>
        <v>0</v>
      </c>
      <c r="BG23" s="668">
        <f>IF(BG$4="forecast",BG$8*'Direct People Department Costs'!$H$9,SUMIF('Dept. Cost Actuals'!$E$7:$E$176,"*Recruiting*",'Dept. Cost Actuals'!BK$1400:BK$1569))</f>
        <v>0</v>
      </c>
      <c r="BH23" s="668">
        <f>IF(BH$4="forecast",BH$8*'Direct People Department Costs'!$H$9,SUMIF('Dept. Cost Actuals'!$E$7:$E$176,"*Recruiting*",'Dept. Cost Actuals'!BL$1400:BL$1569))</f>
        <v>0</v>
      </c>
      <c r="BI23" s="668">
        <f>IF(BI$4="forecast",BI$8*'Direct People Department Costs'!$H$9,SUMIF('Dept. Cost Actuals'!$E$7:$E$176,"*Recruiting*",'Dept. Cost Actuals'!BM$1400:BM$1569))</f>
        <v>0</v>
      </c>
      <c r="BJ23" s="668">
        <f>IF(BJ$4="forecast",BJ$8*'Direct People Department Costs'!$H$9,SUMIF('Dept. Cost Actuals'!$E$7:$E$176,"*Recruiting*",'Dept. Cost Actuals'!BN$1400:BN$1569))</f>
        <v>0</v>
      </c>
      <c r="BK23" s="668">
        <f>IF(BK$4="forecast",BK$8*'Direct People Department Costs'!$H$9,SUMIF('Dept. Cost Actuals'!$E$7:$E$176,"*Recruiting*",'Dept. Cost Actuals'!BO$1400:BO$1569))</f>
        <v>0</v>
      </c>
      <c r="BL23" s="668">
        <f>IF(BL$4="forecast",BL$8*'Direct People Department Costs'!$H$9,SUMIF('Dept. Cost Actuals'!$E$7:$E$176,"*Recruiting*",'Dept. Cost Actuals'!BP$1400:BP$1569))</f>
        <v>0</v>
      </c>
      <c r="BM23" s="668">
        <f>IF(BM$4="forecast",BM$8*'Direct People Department Costs'!$H$9,SUMIF('Dept. Cost Actuals'!$E$7:$E$176,"*Recruiting*",'Dept. Cost Actuals'!BQ$1400:BQ$1569))</f>
        <v>0</v>
      </c>
      <c r="BN23" s="668">
        <f>IF(BN$4="forecast",BN$8*'Direct People Department Costs'!$H$9,SUMIF('Dept. Cost Actuals'!$E$7:$E$176,"*Recruiting*",'Dept. Cost Actuals'!BR$1400:BR$1569))</f>
        <v>0</v>
      </c>
      <c r="BO23" s="668">
        <f>IF(BO$4="forecast",BO$8*'Direct People Department Costs'!$H$9,SUMIF('Dept. Cost Actuals'!$E$7:$E$176,"*Recruiting*",'Dept. Cost Actuals'!BS$1400:BS$1569))</f>
        <v>0</v>
      </c>
      <c r="BP23" s="668">
        <f>IF(BP$4="forecast",BP$8*'Direct People Department Costs'!$H$9,SUMIF('Dept. Cost Actuals'!$E$7:$E$176,"*Recruiting*",'Dept. Cost Actuals'!BT$1400:BT$1569))</f>
        <v>0</v>
      </c>
      <c r="BQ23" s="668">
        <f>IF(BQ$4="forecast",BQ$8*'Direct People Department Costs'!$H$9,SUMIF('Dept. Cost Actuals'!$E$7:$E$176,"*Recruiting*",'Dept. Cost Actuals'!BU$1400:BU$1569))</f>
        <v>0</v>
      </c>
      <c r="BR23" s="668">
        <f>IF(BR$4="forecast",BR$8*'Direct People Department Costs'!$H$9,SUMIF('Dept. Cost Actuals'!$E$7:$E$176,"*Recruiting*",'Dept. Cost Actuals'!BV$1400:BV$1569))</f>
        <v>0</v>
      </c>
      <c r="BS23" s="668">
        <f>IF(BS$4="forecast",BS$8*'Direct People Department Costs'!$H$9,SUMIF('Dept. Cost Actuals'!$E$7:$E$176,"*Recruiting*",'Dept. Cost Actuals'!BW$1400:BW$1569))</f>
        <v>0</v>
      </c>
      <c r="BT23" s="668">
        <f>IF(BT$4="forecast",BT$8*'Direct People Department Costs'!$H$9,SUMIF('Dept. Cost Actuals'!$E$7:$E$176,"*Recruiting*",'Dept. Cost Actuals'!BX$1400:BX$1569))</f>
        <v>0</v>
      </c>
      <c r="BU23" s="668">
        <f>IF(BU$4="forecast",BU$8*'Direct People Department Costs'!$H$9,SUMIF('Dept. Cost Actuals'!$E$7:$E$176,"*Recruiting*",'Dept. Cost Actuals'!BY$1400:BY$1569))</f>
        <v>0</v>
      </c>
      <c r="BV23" s="668">
        <f>IF(BV$4="forecast",BV$8*'Direct People Department Costs'!$H$9,SUMIF('Dept. Cost Actuals'!$E$7:$E$176,"*Recruiting*",'Dept. Cost Actuals'!BZ$1400:BZ$1569))</f>
        <v>0</v>
      </c>
    </row>
    <row r="24" spans="2:74" x14ac:dyDescent="0.25">
      <c r="B24" s="794" t="s">
        <v>431</v>
      </c>
      <c r="C24" s="668"/>
      <c r="D24" s="668"/>
      <c r="E24" s="668"/>
      <c r="F24" s="668"/>
      <c r="G24" s="668"/>
      <c r="H24" s="668"/>
      <c r="I24" s="668"/>
      <c r="J24" s="668"/>
      <c r="K24" s="668"/>
      <c r="L24" s="668"/>
      <c r="M24" s="668"/>
      <c r="N24" s="668"/>
      <c r="O24" s="668"/>
      <c r="P24" s="668"/>
      <c r="Q24" s="668"/>
      <c r="R24" s="668"/>
      <c r="S24" s="668"/>
      <c r="T24" s="668"/>
      <c r="U24" s="668"/>
      <c r="V24" s="668"/>
      <c r="W24" s="668"/>
      <c r="X24" s="668"/>
      <c r="Y24" s="668"/>
      <c r="Z24" s="668"/>
      <c r="AA24" s="668">
        <f>IF(AA$4="forecast",(4200),SUMIF('Dept. Cost Actuals'!$E$7:$E$176,"*Travel*",'Dept. Cost Actuals'!AE$1400:AE$1569))</f>
        <v>0</v>
      </c>
      <c r="AB24" s="668">
        <f>IF(AB$4="forecast",(0),SUMIF('Dept. Cost Actuals'!$E$7:$E$176,"*Travel*",'Dept. Cost Actuals'!AF$1400:AF$1569))</f>
        <v>0</v>
      </c>
      <c r="AC24" s="668">
        <f>IF(AC$4="forecast",(0),SUMIF('Dept. Cost Actuals'!$E$7:$E$176,"*Travel*",'Dept. Cost Actuals'!AG$1400:AG$1569))</f>
        <v>0</v>
      </c>
      <c r="AD24" s="668">
        <f>IF(AD$4="forecast",(0),SUMIF('Dept. Cost Actuals'!$E$7:$E$176,"*Travel*",'Dept. Cost Actuals'!AH$1400:AH$1569))</f>
        <v>0</v>
      </c>
      <c r="AE24" s="668">
        <f>IF(AE$4="forecast",(0),SUMIF('Dept. Cost Actuals'!$E$7:$E$176,"*Travel*",'Dept. Cost Actuals'!AI$1400:AI$1569))</f>
        <v>0</v>
      </c>
      <c r="AF24" s="668">
        <f>IF(AF$4="forecast",(0),SUMIF('Dept. Cost Actuals'!$E$7:$E$176,"*Travel*",'Dept. Cost Actuals'!AJ$1400:AJ$1569))</f>
        <v>0</v>
      </c>
      <c r="AG24" s="668">
        <f>IF(AG$4="forecast",(0),SUMIF('Dept. Cost Actuals'!$E$7:$E$176,"*Travel*",'Dept. Cost Actuals'!AK$1400:AK$1569))</f>
        <v>0</v>
      </c>
      <c r="AH24" s="668">
        <f>IF(AH$4="forecast",(0),SUMIF('Dept. Cost Actuals'!$E$7:$E$176,"*Travel*",'Dept. Cost Actuals'!AL$1400:AL$1569))</f>
        <v>0</v>
      </c>
      <c r="AI24" s="668">
        <f>IF(AI$4="forecast",(0),SUMIF('Dept. Cost Actuals'!$E$7:$E$176,"*Travel*",'Dept. Cost Actuals'!AM$1400:AM$1569))</f>
        <v>0</v>
      </c>
      <c r="AJ24" s="668">
        <f>IF(AJ$4="forecast",(0),SUMIF('Dept. Cost Actuals'!$E$7:$E$176,"*Travel*",'Dept. Cost Actuals'!AN$1400:AN$1569))</f>
        <v>0</v>
      </c>
      <c r="AK24" s="668">
        <f>IF(AK$4="forecast",(0),SUMIF('Dept. Cost Actuals'!$E$7:$E$176,"*Travel*",'Dept. Cost Actuals'!AO$1400:AO$1569))</f>
        <v>0</v>
      </c>
      <c r="AL24" s="668">
        <f>IF(AL$4="forecast",(0),SUMIF('Dept. Cost Actuals'!$E$7:$E$176,"*Travel*",'Dept. Cost Actuals'!AP$1400:AP$1569))</f>
        <v>0</v>
      </c>
      <c r="AM24" s="668">
        <f>IF(AM$4="forecast",(0),SUMIF('Dept. Cost Actuals'!$E$7:$E$176,"*Travel*",'Dept. Cost Actuals'!AQ$1400:AQ$1569))</f>
        <v>0</v>
      </c>
      <c r="AN24" s="668">
        <f>IF(AN$4="forecast",(0),SUMIF('Dept. Cost Actuals'!$E$7:$E$176,"*Travel*",'Dept. Cost Actuals'!AR$1400:AR$1569))</f>
        <v>0</v>
      </c>
      <c r="AO24" s="668">
        <f>IF(AO$4="forecast",(0),SUMIF('Dept. Cost Actuals'!$E$7:$E$176,"*Travel*",'Dept. Cost Actuals'!AS$1400:AS$1569))</f>
        <v>0</v>
      </c>
      <c r="AP24" s="668">
        <f>IF(AP$4="forecast",(0),SUMIF('Dept. Cost Actuals'!$E$7:$E$176,"*Travel*",'Dept. Cost Actuals'!AT$1400:AT$1569))</f>
        <v>0</v>
      </c>
      <c r="AQ24" s="668">
        <f>IF(AQ$4="forecast",(0),SUMIF('Dept. Cost Actuals'!$E$7:$E$176,"*Travel*",'Dept. Cost Actuals'!AU$1400:AU$1569))</f>
        <v>0</v>
      </c>
      <c r="AR24" s="668">
        <f>IF(AR$4="forecast",(0),SUMIF('Dept. Cost Actuals'!$E$7:$E$176,"*Travel*",'Dept. Cost Actuals'!AV$1400:AV$1569))</f>
        <v>0</v>
      </c>
      <c r="AS24" s="668">
        <f>IF(AS$4="forecast",(0),SUMIF('Dept. Cost Actuals'!$E$7:$E$176,"*Travel*",'Dept. Cost Actuals'!AW$1400:AW$1569))</f>
        <v>0</v>
      </c>
      <c r="AT24" s="668">
        <f>IF(AT$4="forecast",(0),SUMIF('Dept. Cost Actuals'!$E$7:$E$176,"*Travel*",'Dept. Cost Actuals'!AX$1400:AX$1569))</f>
        <v>0</v>
      </c>
      <c r="AU24" s="668">
        <f>IF(AU$4="forecast",(0),SUMIF('Dept. Cost Actuals'!$E$7:$E$176,"*Travel*",'Dept. Cost Actuals'!AY$1400:AY$1569))</f>
        <v>0</v>
      </c>
      <c r="AV24" s="668">
        <f>IF(AV$4="forecast",(0),SUMIF('Dept. Cost Actuals'!$E$7:$E$176,"*Travel*",'Dept. Cost Actuals'!AZ$1400:AZ$1569))</f>
        <v>0</v>
      </c>
      <c r="AW24" s="668">
        <f>IF(AW$4="forecast",(0),SUMIF('Dept. Cost Actuals'!$E$7:$E$176,"*Travel*",'Dept. Cost Actuals'!BA$1400:BA$1569))</f>
        <v>0</v>
      </c>
      <c r="AX24" s="668">
        <f>IF(AX$4="forecast",(0),SUMIF('Dept. Cost Actuals'!$E$7:$E$176,"*Travel*",'Dept. Cost Actuals'!BB$1400:BB$1569))</f>
        <v>0</v>
      </c>
      <c r="AY24" s="668">
        <f>IF(AY$4="forecast",(0),SUMIF('Dept. Cost Actuals'!$E$7:$E$176,"*Travel*",'Dept. Cost Actuals'!BC$1400:BC$1569))</f>
        <v>0</v>
      </c>
      <c r="AZ24" s="668">
        <f>IF(AZ$4="forecast",(0),SUMIF('Dept. Cost Actuals'!$E$7:$E$176,"*Travel*",'Dept. Cost Actuals'!BD$1400:BD$1569))</f>
        <v>0</v>
      </c>
      <c r="BA24" s="668">
        <f>IF(BA$4="forecast",(0),SUMIF('Dept. Cost Actuals'!$E$7:$E$176,"*Travel*",'Dept. Cost Actuals'!BE$1400:BE$1569))</f>
        <v>0</v>
      </c>
      <c r="BB24" s="668">
        <f>IF(BB$4="forecast",(0),SUMIF('Dept. Cost Actuals'!$E$7:$E$176,"*Travel*",'Dept. Cost Actuals'!BF$1400:BF$1569))</f>
        <v>0</v>
      </c>
      <c r="BC24" s="668">
        <f>IF(BC$4="forecast",(0),SUMIF('Dept. Cost Actuals'!$E$7:$E$176,"*Travel*",'Dept. Cost Actuals'!BG$1400:BG$1569))</f>
        <v>0</v>
      </c>
      <c r="BD24" s="668">
        <f>IF(BD$4="forecast",(0),SUMIF('Dept. Cost Actuals'!$E$7:$E$176,"*Travel*",'Dept. Cost Actuals'!BH$1400:BH$1569))</f>
        <v>0</v>
      </c>
      <c r="BE24" s="668">
        <f>IF(BE$4="forecast",(0),SUMIF('Dept. Cost Actuals'!$E$7:$E$176,"*Travel*",'Dept. Cost Actuals'!BI$1400:BI$1569))</f>
        <v>0</v>
      </c>
      <c r="BF24" s="668">
        <f>IF(BF$4="forecast",(0),SUMIF('Dept. Cost Actuals'!$E$7:$E$176,"*Travel*",'Dept. Cost Actuals'!BJ$1400:BJ$1569))</f>
        <v>0</v>
      </c>
      <c r="BG24" s="668">
        <f>IF(BG$4="forecast",(0),SUMIF('Dept. Cost Actuals'!$E$7:$E$176,"*Travel*",'Dept. Cost Actuals'!BK$1400:BK$1569))</f>
        <v>0</v>
      </c>
      <c r="BH24" s="668">
        <f>IF(BH$4="forecast",(0),SUMIF('Dept. Cost Actuals'!$E$7:$E$176,"*Travel*",'Dept. Cost Actuals'!BL$1400:BL$1569))</f>
        <v>0</v>
      </c>
      <c r="BI24" s="668">
        <f>IF(BI$4="forecast",(0),SUMIF('Dept. Cost Actuals'!$E$7:$E$176,"*Travel*",'Dept. Cost Actuals'!BM$1400:BM$1569))</f>
        <v>0</v>
      </c>
      <c r="BJ24" s="668">
        <f>IF(BJ$4="forecast",(0),SUMIF('Dept. Cost Actuals'!$E$7:$E$176,"*Travel*",'Dept. Cost Actuals'!BN$1400:BN$1569))</f>
        <v>0</v>
      </c>
      <c r="BK24" s="668">
        <f>IF(BK$4="forecast",(0),SUMIF('Dept. Cost Actuals'!$E$7:$E$176,"*Travel*",'Dept. Cost Actuals'!BO$1400:BO$1569))</f>
        <v>0</v>
      </c>
      <c r="BL24" s="668">
        <f>IF(BL$4="forecast",(0),SUMIF('Dept. Cost Actuals'!$E$7:$E$176,"*Travel*",'Dept. Cost Actuals'!BP$1400:BP$1569))</f>
        <v>0</v>
      </c>
      <c r="BM24" s="668">
        <f>IF(BM$4="forecast",(0),SUMIF('Dept. Cost Actuals'!$E$7:$E$176,"*Travel*",'Dept. Cost Actuals'!BQ$1400:BQ$1569))</f>
        <v>0</v>
      </c>
      <c r="BN24" s="668">
        <f>IF(BN$4="forecast",(0),SUMIF('Dept. Cost Actuals'!$E$7:$E$176,"*Travel*",'Dept. Cost Actuals'!BR$1400:BR$1569))</f>
        <v>0</v>
      </c>
      <c r="BO24" s="668">
        <f>IF(BO$4="forecast",(0),SUMIF('Dept. Cost Actuals'!$E$7:$E$176,"*Travel*",'Dept. Cost Actuals'!BS$1400:BS$1569))</f>
        <v>0</v>
      </c>
      <c r="BP24" s="668">
        <f>IF(BP$4="forecast",(0),SUMIF('Dept. Cost Actuals'!$E$7:$E$176,"*Travel*",'Dept. Cost Actuals'!BT$1400:BT$1569))</f>
        <v>0</v>
      </c>
      <c r="BQ24" s="668">
        <f>IF(BQ$4="forecast",(0),SUMIF('Dept. Cost Actuals'!$E$7:$E$176,"*Travel*",'Dept. Cost Actuals'!BU$1400:BU$1569))</f>
        <v>0</v>
      </c>
      <c r="BR24" s="668">
        <f>IF(BR$4="forecast",(0),SUMIF('Dept. Cost Actuals'!$E$7:$E$176,"*Travel*",'Dept. Cost Actuals'!BV$1400:BV$1569))</f>
        <v>0</v>
      </c>
      <c r="BS24" s="668">
        <f>IF(BS$4="forecast",(0),SUMIF('Dept. Cost Actuals'!$E$7:$E$176,"*Travel*",'Dept. Cost Actuals'!BW$1400:BW$1569))</f>
        <v>0</v>
      </c>
      <c r="BT24" s="668">
        <f>IF(BT$4="forecast",(0),SUMIF('Dept. Cost Actuals'!$E$7:$E$176,"*Travel*",'Dept. Cost Actuals'!BX$1400:BX$1569))</f>
        <v>0</v>
      </c>
      <c r="BU24" s="668">
        <f>IF(BU$4="forecast",(0),SUMIF('Dept. Cost Actuals'!$E$7:$E$176,"*Travel*",'Dept. Cost Actuals'!BY$1400:BY$1569))</f>
        <v>0</v>
      </c>
      <c r="BV24" s="668">
        <f>IF(BV$4="forecast",(0),SUMIF('Dept. Cost Actuals'!$E$7:$E$176,"*Travel*",'Dept. Cost Actuals'!BZ$1400:BZ$1569))</f>
        <v>0</v>
      </c>
    </row>
    <row r="25" spans="2:74" x14ac:dyDescent="0.25">
      <c r="B25" s="794" t="s">
        <v>1338</v>
      </c>
      <c r="C25" s="668"/>
      <c r="D25" s="668"/>
      <c r="E25" s="668"/>
      <c r="F25" s="668"/>
      <c r="G25" s="668"/>
      <c r="H25" s="668"/>
      <c r="I25" s="668"/>
      <c r="J25" s="668"/>
      <c r="K25" s="668"/>
      <c r="L25" s="668"/>
      <c r="M25" s="668"/>
      <c r="N25" s="668"/>
      <c r="O25" s="668"/>
      <c r="P25" s="668"/>
      <c r="Q25" s="668"/>
      <c r="R25" s="668"/>
      <c r="S25" s="668"/>
      <c r="T25" s="668"/>
      <c r="U25" s="668"/>
      <c r="V25" s="668"/>
      <c r="W25" s="668"/>
      <c r="X25" s="668"/>
      <c r="Y25" s="668"/>
      <c r="Z25" s="668"/>
      <c r="AA25" s="668">
        <f>IF(AA$4="forecast",(AVERAGE(O25:Z25)+50000/12),SUMIF('Dept. Cost Actuals'!$E$7:$E$176,"*Meals and Entertainment*",'Dept. Cost Actuals'!AE$1400:AE$1569))</f>
        <v>0</v>
      </c>
      <c r="AB25" s="668">
        <f>IF(AB$4="forecast",(0),SUMIF('Dept. Cost Actuals'!$E$7:$E$176,"*Meals and Entertainment*",'Dept. Cost Actuals'!AF$1400:AF$1569))</f>
        <v>0</v>
      </c>
      <c r="AC25" s="668">
        <f>IF(AC$4="forecast",(0),SUMIF('Dept. Cost Actuals'!$E$7:$E$176,"*Meals and Entertainment*",'Dept. Cost Actuals'!AG$1400:AG$1569))</f>
        <v>0</v>
      </c>
      <c r="AD25" s="668">
        <f>IF(AD$4="forecast",(0),SUMIF('Dept. Cost Actuals'!$E$7:$E$176,"*Meals and Entertainment*",'Dept. Cost Actuals'!AH$1400:AH$1569))</f>
        <v>0</v>
      </c>
      <c r="AE25" s="668">
        <f>IF(AE$4="forecast",(0),SUMIF('Dept. Cost Actuals'!$E$7:$E$176,"*Meals and Entertainment*",'Dept. Cost Actuals'!AI$1400:AI$1569))</f>
        <v>0</v>
      </c>
      <c r="AF25" s="668">
        <f>IF(AF$4="forecast",(0),SUMIF('Dept. Cost Actuals'!$E$7:$E$176,"*Meals and Entertainment*",'Dept. Cost Actuals'!AJ$1400:AJ$1569))</f>
        <v>0</v>
      </c>
      <c r="AG25" s="668">
        <f>IF(AG$4="forecast",(0),SUMIF('Dept. Cost Actuals'!$E$7:$E$176,"*Meals and Entertainment*",'Dept. Cost Actuals'!AK$1400:AK$1569))</f>
        <v>0</v>
      </c>
      <c r="AH25" s="668">
        <f>IF(AH$4="forecast",(0),SUMIF('Dept. Cost Actuals'!$E$7:$E$176,"*Meals and Entertainment*",'Dept. Cost Actuals'!AL$1400:AL$1569))</f>
        <v>0</v>
      </c>
      <c r="AI25" s="668">
        <f>IF(AI$4="forecast",(0),SUMIF('Dept. Cost Actuals'!$E$7:$E$176,"*Meals and Entertainment*",'Dept. Cost Actuals'!AM$1400:AM$1569))</f>
        <v>0</v>
      </c>
      <c r="AJ25" s="668">
        <f>IF(AJ$4="forecast",(0),SUMIF('Dept. Cost Actuals'!$E$7:$E$176,"*Meals and Entertainment*",'Dept. Cost Actuals'!AN$1400:AN$1569))</f>
        <v>0</v>
      </c>
      <c r="AK25" s="668">
        <f>IF(AK$4="forecast",(0),SUMIF('Dept. Cost Actuals'!$E$7:$E$176,"*Meals and Entertainment*",'Dept. Cost Actuals'!AO$1400:AO$1569))</f>
        <v>0</v>
      </c>
      <c r="AL25" s="668">
        <f>IF(AL$4="forecast",(0),SUMIF('Dept. Cost Actuals'!$E$7:$E$176,"*Meals and Entertainment*",'Dept. Cost Actuals'!AP$1400:AP$1569))</f>
        <v>0</v>
      </c>
      <c r="AM25" s="668">
        <f>IF(AM$4="forecast",(0),SUMIF('Dept. Cost Actuals'!$E$7:$E$176,"*Meals and Entertainment*",'Dept. Cost Actuals'!AQ$1400:AQ$1569))</f>
        <v>0</v>
      </c>
      <c r="AN25" s="668">
        <f>IF(AN$4="forecast",(0),SUMIF('Dept. Cost Actuals'!$E$7:$E$176,"*Meals and Entertainment*",'Dept. Cost Actuals'!AR$1400:AR$1569))</f>
        <v>0</v>
      </c>
      <c r="AO25" s="668">
        <f>IF(AO$4="forecast",(0),SUMIF('Dept. Cost Actuals'!$E$7:$E$176,"*Meals and Entertainment*",'Dept. Cost Actuals'!AS$1400:AS$1569))</f>
        <v>0</v>
      </c>
      <c r="AP25" s="668">
        <f>IF(AP$4="forecast",(0),SUMIF('Dept. Cost Actuals'!$E$7:$E$176,"*Meals and Entertainment*",'Dept. Cost Actuals'!AT$1400:AT$1569))</f>
        <v>0</v>
      </c>
      <c r="AQ25" s="668">
        <f>IF(AQ$4="forecast",(0),SUMIF('Dept. Cost Actuals'!$E$7:$E$176,"*Meals and Entertainment*",'Dept. Cost Actuals'!AU$1400:AU$1569))</f>
        <v>0</v>
      </c>
      <c r="AR25" s="668">
        <f>IF(AR$4="forecast",(0),SUMIF('Dept. Cost Actuals'!$E$7:$E$176,"*Meals and Entertainment*",'Dept. Cost Actuals'!AV$1400:AV$1569))</f>
        <v>0</v>
      </c>
      <c r="AS25" s="668">
        <f>IF(AS$4="forecast",(0),SUMIF('Dept. Cost Actuals'!$E$7:$E$176,"*Meals and Entertainment*",'Dept. Cost Actuals'!AW$1400:AW$1569))</f>
        <v>0</v>
      </c>
      <c r="AT25" s="668">
        <f>IF(AT$4="forecast",(0),SUMIF('Dept. Cost Actuals'!$E$7:$E$176,"*Meals and Entertainment*",'Dept. Cost Actuals'!AX$1400:AX$1569))</f>
        <v>0</v>
      </c>
      <c r="AU25" s="668">
        <f>IF(AU$4="forecast",(0),SUMIF('Dept. Cost Actuals'!$E$7:$E$176,"*Meals and Entertainment*",'Dept. Cost Actuals'!AY$1400:AY$1569))</f>
        <v>0</v>
      </c>
      <c r="AV25" s="668">
        <f>IF(AV$4="forecast",(0),SUMIF('Dept. Cost Actuals'!$E$7:$E$176,"*Meals and Entertainment*",'Dept. Cost Actuals'!AZ$1400:AZ$1569))</f>
        <v>0</v>
      </c>
      <c r="AW25" s="668">
        <f>IF(AW$4="forecast",(0),SUMIF('Dept. Cost Actuals'!$E$7:$E$176,"*Meals and Entertainment*",'Dept. Cost Actuals'!BA$1400:BA$1569))</f>
        <v>0</v>
      </c>
      <c r="AX25" s="668">
        <f>IF(AX$4="forecast",(0),SUMIF('Dept. Cost Actuals'!$E$7:$E$176,"*Meals and Entertainment*",'Dept. Cost Actuals'!BB$1400:BB$1569))</f>
        <v>0</v>
      </c>
      <c r="AY25" s="668">
        <f>IF(AY$4="forecast",(0),SUMIF('Dept. Cost Actuals'!$E$7:$E$176,"*Meals and Entertainment*",'Dept. Cost Actuals'!BC$1400:BC$1569))</f>
        <v>0</v>
      </c>
      <c r="AZ25" s="668">
        <f>IF(AZ$4="forecast",(0),SUMIF('Dept. Cost Actuals'!$E$7:$E$176,"*Meals and Entertainment*",'Dept. Cost Actuals'!BD$1400:BD$1569))</f>
        <v>0</v>
      </c>
      <c r="BA25" s="668">
        <f>IF(BA$4="forecast",(0),SUMIF('Dept. Cost Actuals'!$E$7:$E$176,"*Meals and Entertainment*",'Dept. Cost Actuals'!BE$1400:BE$1569))</f>
        <v>0</v>
      </c>
      <c r="BB25" s="668">
        <f>IF(BB$4="forecast",(0),SUMIF('Dept. Cost Actuals'!$E$7:$E$176,"*Meals and Entertainment*",'Dept. Cost Actuals'!BF$1400:BF$1569))</f>
        <v>0</v>
      </c>
      <c r="BC25" s="668">
        <f>IF(BC$4="forecast",(0),SUMIF('Dept. Cost Actuals'!$E$7:$E$176,"*Meals and Entertainment*",'Dept. Cost Actuals'!BG$1400:BG$1569))</f>
        <v>0</v>
      </c>
      <c r="BD25" s="668">
        <f>IF(BD$4="forecast",(0),SUMIF('Dept. Cost Actuals'!$E$7:$E$176,"*Meals and Entertainment*",'Dept. Cost Actuals'!BH$1400:BH$1569))</f>
        <v>0</v>
      </c>
      <c r="BE25" s="668">
        <f>IF(BE$4="forecast",(0),SUMIF('Dept. Cost Actuals'!$E$7:$E$176,"*Meals and Entertainment*",'Dept. Cost Actuals'!BI$1400:BI$1569))</f>
        <v>0</v>
      </c>
      <c r="BF25" s="668">
        <f>IF(BF$4="forecast",(0),SUMIF('Dept. Cost Actuals'!$E$7:$E$176,"*Meals and Entertainment*",'Dept. Cost Actuals'!BJ$1400:BJ$1569))</f>
        <v>0</v>
      </c>
      <c r="BG25" s="668">
        <f>IF(BG$4="forecast",(0),SUMIF('Dept. Cost Actuals'!$E$7:$E$176,"*Meals and Entertainment*",'Dept. Cost Actuals'!BK$1400:BK$1569))</f>
        <v>0</v>
      </c>
      <c r="BH25" s="668">
        <f>IF(BH$4="forecast",(0),SUMIF('Dept. Cost Actuals'!$E$7:$E$176,"*Meals and Entertainment*",'Dept. Cost Actuals'!BL$1400:BL$1569))</f>
        <v>0</v>
      </c>
      <c r="BI25" s="668">
        <f>IF(BI$4="forecast",(0),SUMIF('Dept. Cost Actuals'!$E$7:$E$176,"*Meals and Entertainment*",'Dept. Cost Actuals'!BM$1400:BM$1569))</f>
        <v>0</v>
      </c>
      <c r="BJ25" s="668">
        <f>IF(BJ$4="forecast",(0),SUMIF('Dept. Cost Actuals'!$E$7:$E$176,"*Meals and Entertainment*",'Dept. Cost Actuals'!BN$1400:BN$1569))</f>
        <v>0</v>
      </c>
      <c r="BK25" s="668">
        <f>IF(BK$4="forecast",(0),SUMIF('Dept. Cost Actuals'!$E$7:$E$176,"*Meals and Entertainment*",'Dept. Cost Actuals'!BO$1400:BO$1569))</f>
        <v>0</v>
      </c>
      <c r="BL25" s="668">
        <f>IF(BL$4="forecast",(0),SUMIF('Dept. Cost Actuals'!$E$7:$E$176,"*Meals and Entertainment*",'Dept. Cost Actuals'!BP$1400:BP$1569))</f>
        <v>0</v>
      </c>
      <c r="BM25" s="668">
        <f>IF(BM$4="forecast",(0),SUMIF('Dept. Cost Actuals'!$E$7:$E$176,"*Meals and Entertainment*",'Dept. Cost Actuals'!BQ$1400:BQ$1569))</f>
        <v>0</v>
      </c>
      <c r="BN25" s="668">
        <f>IF(BN$4="forecast",(0),SUMIF('Dept. Cost Actuals'!$E$7:$E$176,"*Meals and Entertainment*",'Dept. Cost Actuals'!BR$1400:BR$1569))</f>
        <v>0</v>
      </c>
      <c r="BO25" s="668">
        <f>IF(BO$4="forecast",(0),SUMIF('Dept. Cost Actuals'!$E$7:$E$176,"*Meals and Entertainment*",'Dept. Cost Actuals'!BS$1400:BS$1569))</f>
        <v>0</v>
      </c>
      <c r="BP25" s="668">
        <f>IF(BP$4="forecast",(0),SUMIF('Dept. Cost Actuals'!$E$7:$E$176,"*Meals and Entertainment*",'Dept. Cost Actuals'!BT$1400:BT$1569))</f>
        <v>0</v>
      </c>
      <c r="BQ25" s="668">
        <f>IF(BQ$4="forecast",(0),SUMIF('Dept. Cost Actuals'!$E$7:$E$176,"*Meals and Entertainment*",'Dept. Cost Actuals'!BU$1400:BU$1569))</f>
        <v>0</v>
      </c>
      <c r="BR25" s="668">
        <f>IF(BR$4="forecast",(0),SUMIF('Dept. Cost Actuals'!$E$7:$E$176,"*Meals and Entertainment*",'Dept. Cost Actuals'!BV$1400:BV$1569))</f>
        <v>0</v>
      </c>
      <c r="BS25" s="668">
        <f>IF(BS$4="forecast",(0),SUMIF('Dept. Cost Actuals'!$E$7:$E$176,"*Meals and Entertainment*",'Dept. Cost Actuals'!BW$1400:BW$1569))</f>
        <v>0</v>
      </c>
      <c r="BT25" s="668">
        <f>IF(BT$4="forecast",(0),SUMIF('Dept. Cost Actuals'!$E$7:$E$176,"*Meals and Entertainment*",'Dept. Cost Actuals'!BX$1400:BX$1569))</f>
        <v>0</v>
      </c>
      <c r="BU25" s="668">
        <f>IF(BU$4="forecast",(0),SUMIF('Dept. Cost Actuals'!$E$7:$E$176,"*Meals and Entertainment*",'Dept. Cost Actuals'!BY$1400:BY$1569))</f>
        <v>0</v>
      </c>
      <c r="BV25" s="668">
        <f>IF(BV$4="forecast",(0),SUMIF('Dept. Cost Actuals'!$E$7:$E$176,"*Meals and Entertainment*",'Dept. Cost Actuals'!BZ$1400:BZ$1569))</f>
        <v>0</v>
      </c>
    </row>
    <row r="26" spans="2:74" x14ac:dyDescent="0.25">
      <c r="B26" s="794" t="s">
        <v>1076</v>
      </c>
      <c r="C26" s="668"/>
      <c r="D26" s="668"/>
      <c r="E26" s="668"/>
      <c r="F26" s="668"/>
      <c r="G26" s="668"/>
      <c r="H26" s="668"/>
      <c r="I26" s="668"/>
      <c r="J26" s="668"/>
      <c r="K26" s="668"/>
      <c r="L26" s="668"/>
      <c r="M26" s="668"/>
      <c r="N26" s="668"/>
      <c r="O26" s="668"/>
      <c r="P26" s="668"/>
      <c r="Q26" s="668"/>
      <c r="R26" s="668"/>
      <c r="S26" s="668"/>
      <c r="T26" s="668"/>
      <c r="U26" s="668"/>
      <c r="V26" s="668"/>
      <c r="W26" s="668"/>
      <c r="X26" s="668"/>
      <c r="Y26" s="668"/>
      <c r="Z26" s="668"/>
      <c r="AA26" s="668">
        <f>IF(AA$4="forecast",(AVERAGE(O26:Z26)),SUMIF('Dept. Cost Actuals'!$E$7:$E$176,"*Telephone*",'Dept. Cost Actuals'!AE$1400:AE$1569))</f>
        <v>0</v>
      </c>
      <c r="AB26" s="668">
        <f>IF(AB$4="forecast",(AVERAGE(P26:AA26)),SUMIF('Dept. Cost Actuals'!$E$7:$E$176,"*Telephone*",'Dept. Cost Actuals'!AF$1400:AF$1569))</f>
        <v>0</v>
      </c>
      <c r="AC26" s="668">
        <f>IF(AC$4="forecast",(AVERAGE(Q26:AB26)),SUMIF('Dept. Cost Actuals'!$E$7:$E$176,"*Telephone*",'Dept. Cost Actuals'!AG$1400:AG$1569))</f>
        <v>0</v>
      </c>
      <c r="AD26" s="668">
        <f>IF(AD$4="forecast",(AVERAGE(R26:AC26)),SUMIF('Dept. Cost Actuals'!$E$7:$E$176,"*Telephone*",'Dept. Cost Actuals'!AH$1400:AH$1569))</f>
        <v>0</v>
      </c>
      <c r="AE26" s="668">
        <f>IF(AE$4="forecast",(AVERAGE(S26:AD26)),SUMIF('Dept. Cost Actuals'!$E$7:$E$176,"*Telephone*",'Dept. Cost Actuals'!AI$1400:AI$1569))</f>
        <v>0</v>
      </c>
      <c r="AF26" s="668">
        <f>IF(AF$4="forecast",(AVERAGE(T26:AE26)),SUMIF('Dept. Cost Actuals'!$E$7:$E$176,"*Telephone*",'Dept. Cost Actuals'!AJ$1400:AJ$1569))</f>
        <v>0</v>
      </c>
      <c r="AG26" s="668">
        <f>IF(AG$4="forecast",(AVERAGE(U26:AF26)),SUMIF('Dept. Cost Actuals'!$E$7:$E$176,"*Telephone*",'Dept. Cost Actuals'!AK$1400:AK$1569))</f>
        <v>0</v>
      </c>
      <c r="AH26" s="668">
        <f>IF(AH$4="forecast",(AVERAGE(V26:AG26)),SUMIF('Dept. Cost Actuals'!$E$7:$E$176,"*Telephone*",'Dept. Cost Actuals'!AL$1400:AL$1569))</f>
        <v>0</v>
      </c>
      <c r="AI26" s="668">
        <f>IF(AI$4="forecast",(AVERAGE(W26:AH26)),SUMIF('Dept. Cost Actuals'!$E$7:$E$176,"*Telephone*",'Dept. Cost Actuals'!AM$1400:AM$1569))</f>
        <v>0</v>
      </c>
      <c r="AJ26" s="668">
        <f>IF(AJ$4="forecast",(AVERAGE(X26:AI26)),SUMIF('Dept. Cost Actuals'!$E$7:$E$176,"*Telephone*",'Dept. Cost Actuals'!AN$1400:AN$1569))</f>
        <v>0</v>
      </c>
      <c r="AK26" s="668">
        <f>IF(AK$4="forecast",(AVERAGE(Y26:AJ26)),SUMIF('Dept. Cost Actuals'!$E$7:$E$176,"*Telephone*",'Dept. Cost Actuals'!AO$1400:AO$1569))</f>
        <v>0</v>
      </c>
      <c r="AL26" s="668">
        <f>IF(AL$4="forecast",(AVERAGE(Z26:AK26)),SUMIF('Dept. Cost Actuals'!$E$7:$E$176,"*Telephone*",'Dept. Cost Actuals'!AP$1400:AP$1569))</f>
        <v>0</v>
      </c>
      <c r="AM26" s="668">
        <f>IF(AM$4="forecast",(AVERAGE(AA26:AL26)),SUMIF('Dept. Cost Actuals'!$E$7:$E$176,"*Telephone*",'Dept. Cost Actuals'!AQ$1400:AQ$1569))</f>
        <v>0</v>
      </c>
      <c r="AN26" s="668">
        <f>IF(AN$4="forecast",(AVERAGE(AB26:AM26)),SUMIF('Dept. Cost Actuals'!$E$7:$E$176,"*Telephone*",'Dept. Cost Actuals'!AR$1400:AR$1569))</f>
        <v>0</v>
      </c>
      <c r="AO26" s="668">
        <f>IF(AO$4="forecast",(AVERAGE(AC26:AN26)),SUMIF('Dept. Cost Actuals'!$E$7:$E$176,"*Telephone*",'Dept. Cost Actuals'!AS$1400:AS$1569))</f>
        <v>0</v>
      </c>
      <c r="AP26" s="668">
        <f>IF(AP$4="forecast",(AVERAGE(AD26:AO26)),SUMIF('Dept. Cost Actuals'!$E$7:$E$176,"*Telephone*",'Dept. Cost Actuals'!AT$1400:AT$1569))</f>
        <v>0</v>
      </c>
      <c r="AQ26" s="668">
        <f>IF(AQ$4="forecast",(AVERAGE(AE26:AP26)),SUMIF('Dept. Cost Actuals'!$E$7:$E$176,"*Telephone*",'Dept. Cost Actuals'!AU$1400:AU$1569))</f>
        <v>0</v>
      </c>
      <c r="AR26" s="668">
        <f>IF(AR$4="forecast",(AVERAGE(AF26:AQ26)),SUMIF('Dept. Cost Actuals'!$E$7:$E$176,"*Telephone*",'Dept. Cost Actuals'!AV$1400:AV$1569))</f>
        <v>0</v>
      </c>
      <c r="AS26" s="668">
        <f>IF(AS$4="forecast",(AVERAGE(AG26:AR26)),SUMIF('Dept. Cost Actuals'!$E$7:$E$176,"*Telephone*",'Dept. Cost Actuals'!AW$1400:AW$1569))</f>
        <v>0</v>
      </c>
      <c r="AT26" s="668">
        <f>IF(AT$4="forecast",(AVERAGE(AH26:AS26)),SUMIF('Dept. Cost Actuals'!$E$7:$E$176,"*Telephone*",'Dept. Cost Actuals'!AX$1400:AX$1569))</f>
        <v>0</v>
      </c>
      <c r="AU26" s="668">
        <f>IF(AU$4="forecast",(AVERAGE(AI26:AT26)),SUMIF('Dept. Cost Actuals'!$E$7:$E$176,"*Telephone*",'Dept. Cost Actuals'!AY$1400:AY$1569))</f>
        <v>0</v>
      </c>
      <c r="AV26" s="668">
        <f>IF(AV$4="forecast",(AVERAGE(AJ26:AU26)),SUMIF('Dept. Cost Actuals'!$E$7:$E$176,"*Telephone*",'Dept. Cost Actuals'!AZ$1400:AZ$1569))</f>
        <v>0</v>
      </c>
      <c r="AW26" s="668">
        <f>IF(AW$4="forecast",(AVERAGE(AK26:AV26)),SUMIF('Dept. Cost Actuals'!$E$7:$E$176,"*Telephone*",'Dept. Cost Actuals'!BA$1400:BA$1569))</f>
        <v>0</v>
      </c>
      <c r="AX26" s="668">
        <f>IF(AX$4="forecast",(AVERAGE(AL26:AW26)),SUMIF('Dept. Cost Actuals'!$E$7:$E$176,"*Telephone*",'Dept. Cost Actuals'!BB$1400:BB$1569))</f>
        <v>0</v>
      </c>
      <c r="AY26" s="668">
        <f>IF(AY$4="forecast",(AVERAGE(AM26:AX26)),SUMIF('Dept. Cost Actuals'!$E$7:$E$176,"*Telephone*",'Dept. Cost Actuals'!BC$1400:BC$1569))</f>
        <v>0</v>
      </c>
      <c r="AZ26" s="668">
        <f>IF(AZ$4="forecast",(AVERAGE(AN26:AY26)),SUMIF('Dept. Cost Actuals'!$E$7:$E$176,"*Telephone*",'Dept. Cost Actuals'!BD$1400:BD$1569))</f>
        <v>0</v>
      </c>
      <c r="BA26" s="668">
        <f>IF(BA$4="forecast",(AVERAGE(AO26:AZ26)),SUMIF('Dept. Cost Actuals'!$E$7:$E$176,"*Telephone*",'Dept. Cost Actuals'!BE$1400:BE$1569))</f>
        <v>0</v>
      </c>
      <c r="BB26" s="668">
        <f>IF(BB$4="forecast",(AVERAGE(AP26:BA26)),SUMIF('Dept. Cost Actuals'!$E$7:$E$176,"*Telephone*",'Dept. Cost Actuals'!BF$1400:BF$1569))</f>
        <v>0</v>
      </c>
      <c r="BC26" s="668">
        <f>IF(BC$4="forecast",(AVERAGE(AQ26:BB26)),SUMIF('Dept. Cost Actuals'!$E$7:$E$176,"*Telephone*",'Dept. Cost Actuals'!BG$1400:BG$1569))</f>
        <v>0</v>
      </c>
      <c r="BD26" s="668">
        <f>IF(BD$4="forecast",(AVERAGE(AR26:BC26)),SUMIF('Dept. Cost Actuals'!$E$7:$E$176,"*Telephone*",'Dept. Cost Actuals'!BH$1400:BH$1569))</f>
        <v>0</v>
      </c>
      <c r="BE26" s="668">
        <f>IF(BE$4="forecast",(AVERAGE(AS26:BD26)),SUMIF('Dept. Cost Actuals'!$E$7:$E$176,"*Telephone*",'Dept. Cost Actuals'!BI$1400:BI$1569))</f>
        <v>0</v>
      </c>
      <c r="BF26" s="668">
        <f>IF(BF$4="forecast",(AVERAGE(AT26:BE26)),SUMIF('Dept. Cost Actuals'!$E$7:$E$176,"*Telephone*",'Dept. Cost Actuals'!BJ$1400:BJ$1569))</f>
        <v>0</v>
      </c>
      <c r="BG26" s="668">
        <f>IF(BG$4="forecast",(AVERAGE(AU26:BF26)),SUMIF('Dept. Cost Actuals'!$E$7:$E$176,"*Telephone*",'Dept. Cost Actuals'!BK$1400:BK$1569))</f>
        <v>0</v>
      </c>
      <c r="BH26" s="668">
        <f>IF(BH$4="forecast",(AVERAGE(AV26:BG26)),SUMIF('Dept. Cost Actuals'!$E$7:$E$176,"*Telephone*",'Dept. Cost Actuals'!BL$1400:BL$1569))</f>
        <v>0</v>
      </c>
      <c r="BI26" s="668">
        <f>IF(BI$4="forecast",(AVERAGE(AW26:BH26)),SUMIF('Dept. Cost Actuals'!$E$7:$E$176,"*Telephone*",'Dept. Cost Actuals'!BM$1400:BM$1569))</f>
        <v>0</v>
      </c>
      <c r="BJ26" s="668">
        <f>IF(BJ$4="forecast",(AVERAGE(AX26:BI26)),SUMIF('Dept. Cost Actuals'!$E$7:$E$176,"*Telephone*",'Dept. Cost Actuals'!BN$1400:BN$1569))</f>
        <v>0</v>
      </c>
      <c r="BK26" s="668">
        <f>IF(BK$4="forecast",(AVERAGE(AY26:BJ26)),SUMIF('Dept. Cost Actuals'!$E$7:$E$176,"*Telephone*",'Dept. Cost Actuals'!BO$1400:BO$1569))</f>
        <v>0</v>
      </c>
      <c r="BL26" s="668">
        <f>IF(BL$4="forecast",(AVERAGE(AZ26:BK26)),SUMIF('Dept. Cost Actuals'!$E$7:$E$176,"*Telephone*",'Dept. Cost Actuals'!BP$1400:BP$1569))</f>
        <v>0</v>
      </c>
      <c r="BM26" s="668">
        <f>IF(BM$4="forecast",(AVERAGE(BA26:BL26)),SUMIF('Dept. Cost Actuals'!$E$7:$E$176,"*Telephone*",'Dept. Cost Actuals'!BQ$1400:BQ$1569))</f>
        <v>0</v>
      </c>
      <c r="BN26" s="668">
        <f>IF(BN$4="forecast",(AVERAGE(BB26:BM26)),SUMIF('Dept. Cost Actuals'!$E$7:$E$176,"*Telephone*",'Dept. Cost Actuals'!BR$1400:BR$1569))</f>
        <v>0</v>
      </c>
      <c r="BO26" s="668">
        <f>IF(BO$4="forecast",(AVERAGE(BC26:BN26)),SUMIF('Dept. Cost Actuals'!$E$7:$E$176,"*Telephone*",'Dept. Cost Actuals'!BS$1400:BS$1569))</f>
        <v>0</v>
      </c>
      <c r="BP26" s="668">
        <f>IF(BP$4="forecast",(AVERAGE(BD26:BO26)),SUMIF('Dept. Cost Actuals'!$E$7:$E$176,"*Telephone*",'Dept. Cost Actuals'!BT$1400:BT$1569))</f>
        <v>0</v>
      </c>
      <c r="BQ26" s="668">
        <f>IF(BQ$4="forecast",(AVERAGE(BE26:BP26)),SUMIF('Dept. Cost Actuals'!$E$7:$E$176,"*Telephone*",'Dept. Cost Actuals'!BU$1400:BU$1569))</f>
        <v>0</v>
      </c>
      <c r="BR26" s="668">
        <f>IF(BR$4="forecast",(AVERAGE(BF26:BQ26)),SUMIF('Dept. Cost Actuals'!$E$7:$E$176,"*Telephone*",'Dept. Cost Actuals'!BV$1400:BV$1569))</f>
        <v>0</v>
      </c>
      <c r="BS26" s="668">
        <f>IF(BS$4="forecast",(AVERAGE(BG26:BR26)),SUMIF('Dept. Cost Actuals'!$E$7:$E$176,"*Telephone*",'Dept. Cost Actuals'!BW$1400:BW$1569))</f>
        <v>0</v>
      </c>
      <c r="BT26" s="668">
        <f>IF(BT$4="forecast",(AVERAGE(BH26:BS26)),SUMIF('Dept. Cost Actuals'!$E$7:$E$176,"*Telephone*",'Dept. Cost Actuals'!BX$1400:BX$1569))</f>
        <v>0</v>
      </c>
      <c r="BU26" s="668">
        <f>IF(BU$4="forecast",(AVERAGE(BI26:BT26)),SUMIF('Dept. Cost Actuals'!$E$7:$E$176,"*Telephone*",'Dept. Cost Actuals'!BY$1400:BY$1569))</f>
        <v>0</v>
      </c>
      <c r="BV26" s="668">
        <f>IF(BV$4="forecast",(AVERAGE(BJ26:BU26)),SUMIF('Dept. Cost Actuals'!$E$7:$E$176,"*Telephone*",'Dept. Cost Actuals'!BZ$1400:BZ$1569))</f>
        <v>0</v>
      </c>
    </row>
    <row r="27" spans="2:74" x14ac:dyDescent="0.25">
      <c r="B27" s="1208" t="s">
        <v>936</v>
      </c>
      <c r="C27" s="668"/>
      <c r="D27" s="668"/>
      <c r="E27" s="668"/>
      <c r="F27" s="668"/>
      <c r="G27" s="668"/>
      <c r="H27" s="668"/>
      <c r="I27" s="668"/>
      <c r="J27" s="668"/>
      <c r="K27" s="668"/>
      <c r="L27" s="668"/>
      <c r="M27" s="668"/>
      <c r="N27" s="668"/>
      <c r="O27" s="668"/>
      <c r="P27" s="668"/>
      <c r="Q27" s="668"/>
      <c r="R27" s="668"/>
      <c r="S27" s="668"/>
      <c r="T27" s="668"/>
      <c r="U27" s="668"/>
      <c r="V27" s="668"/>
      <c r="W27" s="668"/>
      <c r="X27" s="668"/>
      <c r="Y27" s="668"/>
      <c r="Z27" s="668"/>
      <c r="AA27" s="668">
        <f>IF(AA$4="forecast",(SUM(N$27:Y$27)/12)*1.1,SUMIF('Dept. Cost Actuals'!$E$7:$E$176,"*Software*",'Dept. Cost Actuals'!AE$1400:AE$1569))</f>
        <v>0</v>
      </c>
      <c r="AB27" s="668">
        <f>IF(AB$4="forecast",(SUM(O$27:Z$27)/12)*1.1,SUMIF('Dept. Cost Actuals'!$E$7:$E$176,"*Software*",'Dept. Cost Actuals'!AF$1400:AF$1569))</f>
        <v>219</v>
      </c>
      <c r="AC27" s="668">
        <f>IF(AC$4="forecast",(SUM(P$27:AA$27)/12)*1.1,SUMIF('Dept. Cost Actuals'!$E$7:$E$176,"*Software*",'Dept. Cost Actuals'!AG$1400:AG$1569))</f>
        <v>1500</v>
      </c>
      <c r="AD27" s="668">
        <f>IF(AD$4="forecast",(SUM(Q$27:AB$27)/12)*1.3,SUMIF('Dept. Cost Actuals'!$E$7:$E$176,"*Software*",'Dept. Cost Actuals'!AH$1400:AH$1569))</f>
        <v>23.725000000000001</v>
      </c>
      <c r="AE27" s="668">
        <f>IF(AE$4="forecast",(SUM(R$27:AC$27)/12)*1.3,SUMIF('Dept. Cost Actuals'!$E$7:$E$176,"*Software*",'Dept. Cost Actuals'!AI$1400:AI$1569))</f>
        <v>186.22499999999999</v>
      </c>
      <c r="AF27" s="668">
        <f>IF(AF$4="forecast",(SUM(S$27:AD$27)/12)*1.3,SUMIF('Dept. Cost Actuals'!$E$7:$E$176,"*Software*",'Dept. Cost Actuals'!AJ$1400:AJ$1569))</f>
        <v>188.79520833333333</v>
      </c>
      <c r="AG27" s="668">
        <f>IF(AG$4="forecast",(SUM(T$27:AE$27)/12)*1.3,SUMIF('Dept. Cost Actuals'!$E$7:$E$176,"*Software*",'Dept. Cost Actuals'!AK$1400:AK$1569))</f>
        <v>208.9695833333333</v>
      </c>
      <c r="AH27" s="668">
        <f>IF(AH$4="forecast",(SUM(U$27:AF$27)/12)*1.3,SUMIF('Dept. Cost Actuals'!$E$7:$E$176,"*Software*",'Dept. Cost Actuals'!AL$1400:AL$1569))</f>
        <v>229.42239756944443</v>
      </c>
      <c r="AI27" s="668">
        <f>IF(AI$4="forecast",(SUM(V$27:AG$27)/12)*1.3,SUMIF('Dept. Cost Actuals'!$E$7:$E$176,"*Software*",'Dept. Cost Actuals'!AM$1400:AM$1569))</f>
        <v>252.06076909722225</v>
      </c>
      <c r="AJ27" s="668">
        <f>IF(AJ$4="forecast",(SUM(W$27:AH$27)/12)*1.3,SUMIF('Dept. Cost Actuals'!$E$7:$E$176,"*Software*",'Dept. Cost Actuals'!AN$1400:AN$1569))</f>
        <v>276.91486216724542</v>
      </c>
      <c r="AK27" s="668">
        <f>IF(AK$4="forecast",(SUM(X$27:AI$27)/12)*1.3,SUMIF('Dept. Cost Actuals'!$E$7:$E$176,"*Software*",'Dept. Cost Actuals'!AO$1400:AO$1569))</f>
        <v>304.22144548611118</v>
      </c>
      <c r="AL27" s="668">
        <f>IF(AL$4="forecast",(SUM(Y$27:AJ$27)/12)*1.3,SUMIF('Dept. Cost Actuals'!$E$7:$E$176,"*Software*",'Dept. Cost Actuals'!AP$1400:AP$1569))</f>
        <v>334.22055555422935</v>
      </c>
      <c r="AM27" s="668">
        <f>IF(AM$4="forecast",(SUM(Z$27:AK$27)/12)*1.1,SUMIF('Dept. Cost Actuals'!$E$7:$E$176,"*Software*",'Dept. Cost Actuals'!AQ$1400:AQ$1569))</f>
        <v>310.68897438211332</v>
      </c>
      <c r="AN27" s="668">
        <f>IF(AN$4="forecast",(SUM(AA$27:AL$27)/12)*1.1,SUMIF('Dept. Cost Actuals'!$E$7:$E$176,"*Software*",'Dept. Cost Actuals'!AR$1400:AR$1569))</f>
        <v>341.32585864125099</v>
      </c>
      <c r="AO27" s="668">
        <f>IF(AO$4="forecast",(SUM(AB$27:AM$27)/12)*1.1,SUMIF('Dept. Cost Actuals'!$E$7:$E$176,"*Software*",'Dept. Cost Actuals'!AS$1400:AS$1569))</f>
        <v>369.80568129294477</v>
      </c>
      <c r="AP27" s="668">
        <f>IF(AP$4="forecast",(SUM(AC$27:AN$27)/12)*1.1,SUMIF('Dept. Cost Actuals'!$E$7:$E$176,"*Software*",'Dept. Cost Actuals'!AT$1400:AT$1569))</f>
        <v>381.01888500172606</v>
      </c>
      <c r="AQ27" s="668">
        <f>IF(AQ$4="forecast",(SUM(AD$27:AO$27)/12)*1.1,SUMIF('Dept. Cost Actuals'!$E$7:$E$176,"*Software*",'Dept. Cost Actuals'!AU$1400:AU$1569))</f>
        <v>277.41773912024604</v>
      </c>
      <c r="AR27" s="668">
        <f>IF(AR$4="forecast",(SUM(AE$27:AP$27)/12)*1.1,SUMIF('Dept. Cost Actuals'!$E$7:$E$176,"*Software*",'Dept. Cost Actuals'!AV$1400:AV$1569))</f>
        <v>310.16967857873755</v>
      </c>
      <c r="AS27" s="668">
        <f>IF(AS$4="forecast",(SUM(AF$27:AQ$27)/12)*1.1,SUMIF('Dept. Cost Actuals'!$E$7:$E$176,"*Software*",'Dept. Cost Actuals'!AW$1400:AW$1569))</f>
        <v>318.52901299809338</v>
      </c>
      <c r="AT27" s="668">
        <f>IF(AT$4="forecast",(SUM(AG$27:AR$27)/12)*1.1,SUMIF('Dept. Cost Actuals'!$E$7:$E$176,"*Software*",'Dept. Cost Actuals'!AX$1400:AX$1569))</f>
        <v>329.65500610392212</v>
      </c>
      <c r="AU27" s="668">
        <f>IF(AU$4="forecast",(SUM(AH$27:AS$27)/12)*1.1,SUMIF('Dept. Cost Actuals'!$E$7:$E$176,"*Software*",'Dept. Cost Actuals'!AY$1400:AY$1569))</f>
        <v>339.69795382319182</v>
      </c>
      <c r="AV27" s="668">
        <f>IF(AV$4="forecast",(SUM(AI$27:AT$27)/12)*1.1,SUMIF('Dept. Cost Actuals'!$E$7:$E$176,"*Software*",'Dept. Cost Actuals'!AZ$1400:AZ$1569))</f>
        <v>348.88594293885228</v>
      </c>
      <c r="AW27" s="668">
        <f>IF(AW$4="forecast",(SUM(AJ$27:AU$27)/12)*1.1,SUMIF('Dept. Cost Actuals'!$E$7:$E$176,"*Software*",'Dept. Cost Actuals'!BA$1400:BA$1569))</f>
        <v>356.91935153873283</v>
      </c>
      <c r="AX27" s="668">
        <f>IF(AX$4="forecast",(SUM(AK$27:AV$27)/12)*1.1,SUMIF('Dept. Cost Actuals'!$E$7:$E$176,"*Software*",'Dept. Cost Actuals'!BB$1400:BB$1569))</f>
        <v>363.51670060946338</v>
      </c>
      <c r="AY27" s="668">
        <f>IF(AY$4="forecast",(SUM(AL$27:AW$27)/12)*1.1,SUMIF('Dept. Cost Actuals'!$E$7:$E$176,"*Software*",'Dept. Cost Actuals'!BC$1400:BC$1569))</f>
        <v>368.34734199762039</v>
      </c>
      <c r="AZ27" s="668">
        <f>IF(AZ$4="forecast",(SUM(AM$27:AX$27)/12)*1.1,SUMIF('Dept. Cost Actuals'!$E$7:$E$176,"*Software*",'Dept. Cost Actuals'!BD$1400:BD$1569))</f>
        <v>371.03282196101685</v>
      </c>
      <c r="BA27" s="668">
        <f>IF(BA$4="forecast",(SUM(AN$27:AY$27)/12)*1.1,SUMIF('Dept. Cost Actuals'!$E$7:$E$176,"*Software*",'Dept. Cost Actuals'!BE$1400:BE$1569))</f>
        <v>376.31817232577174</v>
      </c>
      <c r="BB27" s="668">
        <f>IF(BB$4="forecast",(SUM(AO$27:AZ$27)/12)*1.1,SUMIF('Dept. Cost Actuals'!$E$7:$E$176,"*Software*",'Dept. Cost Actuals'!BF$1400:BF$1569))</f>
        <v>379.04131063008356</v>
      </c>
      <c r="BC27" s="668">
        <f>IF(BC$4="forecast",(SUM(AP$27:BA$27)/12)*1.1,SUMIF('Dept. Cost Actuals'!$E$7:$E$176,"*Software*",'Dept. Cost Actuals'!BG$1400:BG$1569))</f>
        <v>379.63828897475935</v>
      </c>
      <c r="BD27" s="668">
        <f>IF(BD$4="forecast",(SUM(AQ$27:BB$27)/12)*1.1,SUMIF('Dept. Cost Actuals'!$E$7:$E$176,"*Software*",'Dept. Cost Actuals'!BH$1400:BH$1569))</f>
        <v>379.45701132402547</v>
      </c>
      <c r="BE27" s="668">
        <f>IF(BE$4="forecast",(SUM(AR$27:BC$27)/12)*1.1,SUMIF('Dept. Cost Actuals'!$E$7:$E$176,"*Software*",'Dept. Cost Actuals'!BI$1400:BI$1569))</f>
        <v>388.82722839402248</v>
      </c>
      <c r="BF27" s="668">
        <f>IF(BF$4="forecast",(SUM(AS$27:BD$27)/12)*1.1,SUMIF('Dept. Cost Actuals'!$E$7:$E$176,"*Software*",'Dept. Cost Actuals'!BJ$1400:BJ$1569))</f>
        <v>395.17856722900717</v>
      </c>
      <c r="BG27" s="668">
        <f>IF(BG$4="forecast",(SUM(AT$27:BE$27)/12)*1.1,SUMIF('Dept. Cost Actuals'!$E$7:$E$176,"*Software*",'Dept. Cost Actuals'!BK$1400:BK$1569))</f>
        <v>401.62257030696736</v>
      </c>
      <c r="BH27" s="668">
        <f>IF(BH$4="forecast",(SUM(AU$27:BF$27)/12)*1.1,SUMIF('Dept. Cost Actuals'!$E$7:$E$176,"*Software*",'Dept. Cost Actuals'!BL$1400:BL$1569))</f>
        <v>407.62889674343347</v>
      </c>
      <c r="BI27" s="668">
        <f>IF(BI$4="forecast",(SUM(AV$27:BG$27)/12)*1.1,SUMIF('Dept. Cost Actuals'!$E$7:$E$176,"*Software*",'Dept. Cost Actuals'!BM$1400:BM$1569))</f>
        <v>413.30531992111293</v>
      </c>
      <c r="BJ27" s="668">
        <f>IF(BJ$4="forecast",(SUM(AW$27:BH$27)/12)*1.1,SUMIF('Dept. Cost Actuals'!$E$7:$E$176,"*Software*",'Dept. Cost Actuals'!BN$1400:BN$1569))</f>
        <v>418.69009068653293</v>
      </c>
      <c r="BK27" s="668">
        <f>IF(BK$4="forecast",(SUM(AX$27:BI$27)/12)*1.1,SUMIF('Dept. Cost Actuals'!$E$7:$E$176,"*Software*",'Dept. Cost Actuals'!BO$1400:BO$1569))</f>
        <v>423.85880445491767</v>
      </c>
      <c r="BL27" s="668">
        <f>IF(BL$4="forecast",(SUM(AY$27:BJ$27)/12)*1.1,SUMIF('Dept. Cost Actuals'!$E$7:$E$176,"*Software*",'Dept. Cost Actuals'!BP$1400:BP$1569))</f>
        <v>428.91636521198245</v>
      </c>
      <c r="BM27" s="668">
        <f>IF(BM$4="forecast",(SUM(AZ$27:BK$27)/12)*1.1,SUMIF('Dept. Cost Actuals'!$E$7:$E$176,"*Software*",'Dept. Cost Actuals'!BQ$1400:BQ$1569))</f>
        <v>434.00491593723467</v>
      </c>
      <c r="BN27" s="668">
        <f>IF(BN$4="forecast",(SUM(BA$27:BL$27)/12)*1.1,SUMIF('Dept. Cost Actuals'!$E$7:$E$176,"*Software*",'Dept. Cost Actuals'!BR$1400:BR$1569))</f>
        <v>439.31090740190649</v>
      </c>
      <c r="BO27" s="668">
        <f>IF(BO$4="forecast",(SUM(BB$27:BM$27)/12)*1.1,SUMIF('Dept. Cost Actuals'!$E$7:$E$176,"*Software*",'Dept. Cost Actuals'!BS$1400:BS$1569))</f>
        <v>444.59885889962402</v>
      </c>
      <c r="BP27" s="668">
        <f>IF(BP$4="forecast",(SUM(BC$27:BN$27)/12)*1.1,SUMIF('Dept. Cost Actuals'!$E$7:$E$176,"*Software*",'Dept. Cost Actuals'!BT$1400:BT$1569))</f>
        <v>450.12357193704116</v>
      </c>
      <c r="BQ27" s="668">
        <f>IF(BQ$4="forecast",(SUM(BD$27:BO$27)/12)*1.1,SUMIF('Dept. Cost Actuals'!$E$7:$E$176,"*Software*",'Dept. Cost Actuals'!BU$1400:BU$1569))</f>
        <v>456.07829084682038</v>
      </c>
      <c r="BR27" s="668">
        <f>IF(BR$4="forecast",(SUM(BE$27:BP$27)/12)*1.1,SUMIF('Dept. Cost Actuals'!$E$7:$E$176,"*Software*",'Dept. Cost Actuals'!BV$1400:BV$1569))</f>
        <v>462.55605890301348</v>
      </c>
      <c r="BS27" s="668">
        <f>IF(BS$4="forecast",(SUM(BF$27:BQ$27)/12)*1.1,SUMIF('Dept. Cost Actuals'!$E$7:$E$176,"*Software*",'Dept. Cost Actuals'!BW$1400:BW$1569))</f>
        <v>468.72073962785328</v>
      </c>
      <c r="BT27" s="668">
        <f>IF(BT$4="forecast",(SUM(BG$27:BR$27)/12)*1.1,SUMIF('Dept. Cost Actuals'!$E$7:$E$176,"*Software*",'Dept. Cost Actuals'!BX$1400:BX$1569))</f>
        <v>474.89700969797053</v>
      </c>
      <c r="BU27" s="668">
        <f>IF(BU$4="forecast",(SUM(BH$27:BS$27)/12)*1.1,SUMIF('Dept. Cost Actuals'!$E$7:$E$176,"*Software*",'Dept. Cost Actuals'!BY$1400:BY$1569))</f>
        <v>481.04767521905177</v>
      </c>
      <c r="BV27" s="668">
        <f>IF(BV$4="forecast",(SUM(BI$27:BT$27)/12)*1.1,SUMIF('Dept. Cost Actuals'!$E$7:$E$176,"*Software*",'Dept. Cost Actuals'!BZ$1400:BZ$1569))</f>
        <v>487.21391890655099</v>
      </c>
    </row>
    <row r="28" spans="2:74" x14ac:dyDescent="0.25">
      <c r="B28" s="794" t="s">
        <v>1075</v>
      </c>
      <c r="C28" s="668"/>
      <c r="D28" s="668"/>
      <c r="E28" s="668"/>
      <c r="F28" s="668"/>
      <c r="G28" s="668"/>
      <c r="H28" s="668"/>
      <c r="I28" s="668"/>
      <c r="J28" s="668"/>
      <c r="K28" s="668"/>
      <c r="L28" s="668"/>
      <c r="M28" s="668"/>
      <c r="N28" s="668"/>
      <c r="O28" s="668"/>
      <c r="P28" s="668"/>
      <c r="Q28" s="668"/>
      <c r="R28" s="668"/>
      <c r="S28" s="668"/>
      <c r="T28" s="668"/>
      <c r="U28" s="668"/>
      <c r="V28" s="668"/>
      <c r="W28" s="668"/>
      <c r="X28" s="668"/>
      <c r="Y28" s="668"/>
      <c r="Z28" s="668"/>
      <c r="AA28" s="668">
        <f>IF(AA$4="forecast",(AVERAGE(O28:Z28)),SUMIF('Dept. Cost Actuals'!$E$7:$E$176,"*Parking*",'Dept. Cost Actuals'!AE$1400:AE$1569))</f>
        <v>0</v>
      </c>
      <c r="AB28" s="668">
        <f>IF(AB$4="forecast",(AVERAGE(P28:AA28)),SUMIF('Dept. Cost Actuals'!$E$7:$E$176,"*Parking*",'Dept. Cost Actuals'!AF$1400:AF$1569))</f>
        <v>20</v>
      </c>
      <c r="AC28" s="668">
        <f>IF(AC$4="forecast",(AVERAGE(Q28:AB28)),SUMIF('Dept. Cost Actuals'!$E$7:$E$176,"*Parking*",'Dept. Cost Actuals'!AG$1400:AG$1569))</f>
        <v>0</v>
      </c>
      <c r="AD28" s="668">
        <f>IF(AD$4="forecast",(AVERAGE(R28:AC28)),SUMIF('Dept. Cost Actuals'!$E$7:$E$176,"*Parking*",'Dept. Cost Actuals'!AH$1400:AH$1569))</f>
        <v>6.666666666666667</v>
      </c>
      <c r="AE28" s="668">
        <f>IF(AE$4="forecast",(AVERAGE(S28:AD28)),SUMIF('Dept. Cost Actuals'!$E$7:$E$176,"*Parking*",'Dept. Cost Actuals'!AI$1400:AI$1569))</f>
        <v>6.666666666666667</v>
      </c>
      <c r="AF28" s="668">
        <f>IF(AF$4="forecast",(AVERAGE(T28:AE28)),SUMIF('Dept. Cost Actuals'!$E$7:$E$176,"*Parking*",'Dept. Cost Actuals'!AJ$1400:AJ$1569))</f>
        <v>6.666666666666667</v>
      </c>
      <c r="AG28" s="668">
        <f>IF(AG$4="forecast",(AVERAGE(U28:AF28)),SUMIF('Dept. Cost Actuals'!$E$7:$E$176,"*Parking*",'Dept. Cost Actuals'!AK$1400:AK$1569))</f>
        <v>6.666666666666667</v>
      </c>
      <c r="AH28" s="668">
        <f>IF(AH$4="forecast",(AVERAGE(V28:AG28)),SUMIF('Dept. Cost Actuals'!$E$7:$E$176,"*Parking*",'Dept. Cost Actuals'!AL$1400:AL$1569))</f>
        <v>6.6666666666666661</v>
      </c>
      <c r="AI28" s="668">
        <f>IF(AI$4="forecast",(AVERAGE(W28:AH28)),SUMIF('Dept. Cost Actuals'!$E$7:$E$176,"*Parking*",'Dept. Cost Actuals'!AM$1400:AM$1569))</f>
        <v>6.6666666666666661</v>
      </c>
      <c r="AJ28" s="668">
        <f>IF(AJ$4="forecast",(AVERAGE(X28:AI28)),SUMIF('Dept. Cost Actuals'!$E$7:$E$176,"*Parking*",'Dept. Cost Actuals'!AN$1400:AN$1569))</f>
        <v>6.6666666666666661</v>
      </c>
      <c r="AK28" s="668">
        <f>IF(AK$4="forecast",(AVERAGE(Y28:AJ28)),SUMIF('Dept. Cost Actuals'!$E$7:$E$176,"*Parking*",'Dept. Cost Actuals'!AO$1400:AO$1569))</f>
        <v>6.6666666666666661</v>
      </c>
      <c r="AL28" s="668">
        <f>IF(AL$4="forecast",(AVERAGE(Z28:AK28)),SUMIF('Dept. Cost Actuals'!$E$7:$E$176,"*Parking*",'Dept. Cost Actuals'!AP$1400:AP$1569))</f>
        <v>6.6666666666666661</v>
      </c>
      <c r="AM28" s="668">
        <f>IF(AM$4="forecast",(AVERAGE(AA28:AL28)),SUMIF('Dept. Cost Actuals'!$E$7:$E$176,"*Parking*",'Dept. Cost Actuals'!AQ$1400:AQ$1569))</f>
        <v>6.666666666666667</v>
      </c>
      <c r="AN28" s="668">
        <f>IF(AN$4="forecast",(AVERAGE(AB28:AM28)),SUMIF('Dept. Cost Actuals'!$E$7:$E$176,"*Parking*",'Dept. Cost Actuals'!AR$1400:AR$1569))</f>
        <v>7.2222222222222223</v>
      </c>
      <c r="AO28" s="668">
        <f>IF(AO$4="forecast",(AVERAGE(AC28:AN28)),SUMIF('Dept. Cost Actuals'!$E$7:$E$176,"*Parking*",'Dept. Cost Actuals'!AS$1400:AS$1569))</f>
        <v>6.1574074074074074</v>
      </c>
      <c r="AP28" s="668">
        <f>IF(AP$4="forecast",(AVERAGE(AD28:AO28)),SUMIF('Dept. Cost Actuals'!$E$7:$E$176,"*Parking*",'Dept. Cost Actuals'!AT$1400:AT$1569))</f>
        <v>6.6705246913580245</v>
      </c>
      <c r="AQ28" s="668">
        <f>IF(AQ$4="forecast",(AVERAGE(AE28:AP28)),SUMIF('Dept. Cost Actuals'!$E$7:$E$176,"*Parking*",'Dept. Cost Actuals'!AU$1400:AU$1569))</f>
        <v>6.6708461934156373</v>
      </c>
      <c r="AR28" s="668">
        <f>IF(AR$4="forecast",(AVERAGE(AF28:AQ28)),SUMIF('Dept. Cost Actuals'!$E$7:$E$176,"*Parking*",'Dept. Cost Actuals'!AV$1400:AV$1569))</f>
        <v>6.6711944873113849</v>
      </c>
      <c r="AS28" s="668">
        <f>IF(AS$4="forecast",(AVERAGE(AG28:AR28)),SUMIF('Dept. Cost Actuals'!$E$7:$E$176,"*Parking*",'Dept. Cost Actuals'!AW$1400:AW$1569))</f>
        <v>6.6715718056984441</v>
      </c>
      <c r="AT28" s="668">
        <f>IF(AT$4="forecast",(AVERAGE(AH28:AS28)),SUMIF('Dept. Cost Actuals'!$E$7:$E$176,"*Parking*",'Dept. Cost Actuals'!AX$1400:AX$1569))</f>
        <v>6.6719805672844261</v>
      </c>
      <c r="AU28" s="668">
        <f>IF(AU$4="forecast",(AVERAGE(AI28:AT28)),SUMIF('Dept. Cost Actuals'!$E$7:$E$176,"*Parking*",'Dept. Cost Actuals'!AY$1400:AY$1569))</f>
        <v>6.6724233923359053</v>
      </c>
      <c r="AV28" s="668">
        <f>IF(AV$4="forecast",(AVERAGE(AJ28:AU28)),SUMIF('Dept. Cost Actuals'!$E$7:$E$176,"*Parking*",'Dept. Cost Actuals'!AZ$1400:AZ$1569))</f>
        <v>6.6729031194750092</v>
      </c>
      <c r="AW28" s="668">
        <f>IF(AW$4="forecast",(AVERAGE(AK28:AV28)),SUMIF('Dept. Cost Actuals'!$E$7:$E$176,"*Parking*",'Dept. Cost Actuals'!BA$1400:BA$1569))</f>
        <v>6.6734228238757041</v>
      </c>
      <c r="AX28" s="668">
        <f>IF(AX$4="forecast",(AVERAGE(AL28:AW28)),SUMIF('Dept. Cost Actuals'!$E$7:$E$176,"*Parking*",'Dept. Cost Actuals'!BB$1400:BB$1569))</f>
        <v>6.6739858369764589</v>
      </c>
      <c r="AY28" s="668">
        <f>IF(AY$4="forecast",(AVERAGE(AM28:AX28)),SUMIF('Dept. Cost Actuals'!$E$7:$E$176,"*Parking*",'Dept. Cost Actuals'!BC$1400:BC$1569))</f>
        <v>6.6745957678356085</v>
      </c>
      <c r="AZ28" s="668">
        <f>IF(AZ$4="forecast",(AVERAGE(AN28:AY28)),SUMIF('Dept. Cost Actuals'!$E$7:$E$176,"*Parking*",'Dept. Cost Actuals'!BD$1400:BD$1569))</f>
        <v>6.6752565262663524</v>
      </c>
      <c r="BA28" s="668">
        <f>IF(BA$4="forecast",(AVERAGE(AO28:AZ28)),SUMIF('Dept. Cost Actuals'!$E$7:$E$176,"*Parking*",'Dept. Cost Actuals'!BE$1400:BE$1569))</f>
        <v>6.6296760516033642</v>
      </c>
      <c r="BB28" s="668">
        <f>IF(BB$4="forecast",(AVERAGE(AP28:BA28)),SUMIF('Dept. Cost Actuals'!$E$7:$E$176,"*Parking*",'Dept. Cost Actuals'!BF$1400:BF$1569))</f>
        <v>6.6690317719530272</v>
      </c>
      <c r="BC28" s="668">
        <f>IF(BC$4="forecast",(AVERAGE(AQ28:BB28)),SUMIF('Dept. Cost Actuals'!$E$7:$E$176,"*Parking*",'Dept. Cost Actuals'!BG$1400:BG$1569))</f>
        <v>6.66890736200261</v>
      </c>
      <c r="BD28" s="668">
        <f>IF(BD$4="forecast",(AVERAGE(AR28:BC28)),SUMIF('Dept. Cost Actuals'!$E$7:$E$176,"*Parking*",'Dept. Cost Actuals'!BH$1400:BH$1569))</f>
        <v>6.6687457927181919</v>
      </c>
      <c r="BE28" s="668">
        <f>IF(BE$4="forecast",(AVERAGE(AS28:BD28)),SUMIF('Dept. Cost Actuals'!$E$7:$E$176,"*Parking*",'Dept. Cost Actuals'!BI$1400:BI$1569))</f>
        <v>6.6685417348354257</v>
      </c>
      <c r="BF28" s="668">
        <f>IF(BF$4="forecast",(AVERAGE(AT28:BE28)),SUMIF('Dept. Cost Actuals'!$E$7:$E$176,"*Parking*",'Dept. Cost Actuals'!BJ$1400:BJ$1569))</f>
        <v>6.6682892289301741</v>
      </c>
      <c r="BG28" s="668">
        <f>IF(BG$4="forecast",(AVERAGE(AU28:BF28)),SUMIF('Dept. Cost Actuals'!$E$7:$E$176,"*Parking*",'Dept. Cost Actuals'!BK$1400:BK$1569))</f>
        <v>6.6679816174006534</v>
      </c>
      <c r="BH28" s="668">
        <f>IF(BH$4="forecast",(AVERAGE(AV28:BG28)),SUMIF('Dept. Cost Actuals'!$E$7:$E$176,"*Parking*",'Dept. Cost Actuals'!BL$1400:BL$1569))</f>
        <v>6.6676114694893824</v>
      </c>
      <c r="BI28" s="668">
        <f>IF(BI$4="forecast",(AVERAGE(AW28:BH28)),SUMIF('Dept. Cost Actuals'!$E$7:$E$176,"*Parking*",'Dept. Cost Actuals'!BM$1400:BM$1569))</f>
        <v>6.6671704986572466</v>
      </c>
      <c r="BJ28" s="668">
        <f>IF(BJ$4="forecast",(AVERAGE(AX28:BI28)),SUMIF('Dept. Cost Actuals'!$E$7:$E$176,"*Parking*",'Dept. Cost Actuals'!BN$1400:BN$1569))</f>
        <v>6.6666494715557079</v>
      </c>
      <c r="BK28" s="668">
        <f>IF(BK$4="forecast",(AVERAGE(AY28:BJ28)),SUMIF('Dept. Cost Actuals'!$E$7:$E$176,"*Parking*",'Dept. Cost Actuals'!BO$1400:BO$1569))</f>
        <v>6.6660381077706461</v>
      </c>
      <c r="BL28" s="668">
        <f>IF(BL$4="forecast",(AVERAGE(AZ28:BK28)),SUMIF('Dept. Cost Actuals'!$E$7:$E$176,"*Parking*",'Dept. Cost Actuals'!BP$1400:BP$1569))</f>
        <v>6.6653249694319001</v>
      </c>
      <c r="BM28" s="668">
        <f>IF(BM$4="forecast",(AVERAGE(BA28:BL28)),SUMIF('Dept. Cost Actuals'!$E$7:$E$176,"*Parking*",'Dept. Cost Actuals'!BQ$1400:BQ$1569))</f>
        <v>6.6644973396956955</v>
      </c>
      <c r="BN28" s="668">
        <f>IF(BN$4="forecast",(AVERAGE(BB28:BM28)),SUMIF('Dept. Cost Actuals'!$E$7:$E$176,"*Parking*",'Dept. Cost Actuals'!BR$1400:BR$1569))</f>
        <v>6.6673991137033886</v>
      </c>
      <c r="BO28" s="668">
        <f>IF(BO$4="forecast",(AVERAGE(BC28:BN28)),SUMIF('Dept. Cost Actuals'!$E$7:$E$176,"*Parking*",'Dept. Cost Actuals'!BS$1400:BS$1569))</f>
        <v>6.667263058849251</v>
      </c>
      <c r="BP28" s="668">
        <f>IF(BP$4="forecast",(AVERAGE(BD28:BO28)),SUMIF('Dept. Cost Actuals'!$E$7:$E$176,"*Parking*",'Dept. Cost Actuals'!BT$1400:BT$1569))</f>
        <v>6.6671260335864728</v>
      </c>
      <c r="BQ28" s="668">
        <f>IF(BQ$4="forecast",(AVERAGE(BE28:BP28)),SUMIF('Dept. Cost Actuals'!$E$7:$E$176,"*Parking*",'Dept. Cost Actuals'!BU$1400:BU$1569))</f>
        <v>6.6669910536588288</v>
      </c>
      <c r="BR28" s="668">
        <f>IF(BR$4="forecast",(AVERAGE(BF28:BQ28)),SUMIF('Dept. Cost Actuals'!$E$7:$E$176,"*Parking*",'Dept. Cost Actuals'!BV$1400:BV$1569))</f>
        <v>6.6668618302274458</v>
      </c>
      <c r="BS28" s="668">
        <f>IF(BS$4="forecast",(AVERAGE(BG28:BR28)),SUMIF('Dept. Cost Actuals'!$E$7:$E$176,"*Parking*",'Dept. Cost Actuals'!BW$1400:BW$1569))</f>
        <v>6.6667428803355513</v>
      </c>
      <c r="BT28" s="668">
        <f>IF(BT$4="forecast",(AVERAGE(BH28:BS28)),SUMIF('Dept. Cost Actuals'!$E$7:$E$176,"*Parking*",'Dept. Cost Actuals'!BX$1400:BX$1569))</f>
        <v>6.6666396522467926</v>
      </c>
      <c r="BU28" s="668">
        <f>IF(BU$4="forecast",(AVERAGE(BI28:BT28)),SUMIF('Dept. Cost Actuals'!$E$7:$E$176,"*Parking*",'Dept. Cost Actuals'!BY$1400:BY$1569))</f>
        <v>6.6665586674765756</v>
      </c>
      <c r="BV28" s="668">
        <f>IF(BV$4="forecast",(AVERAGE(BJ28:BU28)),SUMIF('Dept. Cost Actuals'!$E$7:$E$176,"*Parking*",'Dept. Cost Actuals'!BZ$1400:BZ$1569))</f>
        <v>6.6665076815448536</v>
      </c>
    </row>
    <row r="29" spans="2:74" x14ac:dyDescent="0.25">
      <c r="B29" s="795" t="s">
        <v>937</v>
      </c>
      <c r="C29" s="1156"/>
      <c r="D29" s="1156"/>
      <c r="E29" s="1156"/>
      <c r="F29" s="1156"/>
      <c r="G29" s="1156"/>
      <c r="H29" s="1156"/>
      <c r="I29" s="1156"/>
      <c r="J29" s="1156"/>
      <c r="K29" s="1156"/>
      <c r="L29" s="1156"/>
      <c r="M29" s="1156"/>
      <c r="N29" s="1156"/>
      <c r="O29" s="1156"/>
      <c r="P29" s="1156"/>
      <c r="Q29" s="1156"/>
      <c r="R29" s="1156"/>
      <c r="S29" s="1156"/>
      <c r="T29" s="1156"/>
      <c r="U29" s="1156"/>
      <c r="V29" s="1156"/>
      <c r="W29" s="1156"/>
      <c r="X29" s="1156"/>
      <c r="Y29" s="1156"/>
      <c r="Z29" s="1156"/>
      <c r="AA29" s="1156">
        <f t="shared" ref="AA29:BN29" si="7">SUM(AA17:AA28,AA14)</f>
        <v>94114.069999999992</v>
      </c>
      <c r="AB29" s="1156">
        <f t="shared" si="7"/>
        <v>43027.58</v>
      </c>
      <c r="AC29" s="1156">
        <f t="shared" si="7"/>
        <v>49640.130000000005</v>
      </c>
      <c r="AD29" s="1156">
        <f t="shared" si="7"/>
        <v>38078.408159096951</v>
      </c>
      <c r="AE29" s="1156">
        <f t="shared" si="7"/>
        <v>38368.015051527225</v>
      </c>
      <c r="AF29" s="1156">
        <f t="shared" si="7"/>
        <v>38497.692152290838</v>
      </c>
      <c r="AG29" s="1156">
        <f t="shared" si="7"/>
        <v>38644.973419721122</v>
      </c>
      <c r="AH29" s="1156">
        <f t="shared" si="7"/>
        <v>38792.533126387505</v>
      </c>
      <c r="AI29" s="1156">
        <f t="shared" si="7"/>
        <v>38942.278390345564</v>
      </c>
      <c r="AJ29" s="1156">
        <f t="shared" si="7"/>
        <v>39094.239375845864</v>
      </c>
      <c r="AK29" s="1156">
        <f t="shared" si="7"/>
        <v>39248.652851595012</v>
      </c>
      <c r="AL29" s="1156">
        <f t="shared" si="7"/>
        <v>39405.758854093408</v>
      </c>
      <c r="AM29" s="1156">
        <f t="shared" si="7"/>
        <v>39509.334165351574</v>
      </c>
      <c r="AN29" s="1156">
        <f t="shared" si="7"/>
        <v>3808.2370051662633</v>
      </c>
      <c r="AO29" s="1156">
        <f t="shared" si="7"/>
        <v>3835.6520130031422</v>
      </c>
      <c r="AP29" s="1156">
        <f t="shared" si="7"/>
        <v>3847.3783339958741</v>
      </c>
      <c r="AQ29" s="1156">
        <f t="shared" si="7"/>
        <v>3743.7775096164519</v>
      </c>
      <c r="AR29" s="1156">
        <f t="shared" si="7"/>
        <v>3776.5297973688389</v>
      </c>
      <c r="AS29" s="1156">
        <f t="shared" si="7"/>
        <v>3784.889509106582</v>
      </c>
      <c r="AT29" s="1156">
        <f t="shared" si="7"/>
        <v>3796.0159109739961</v>
      </c>
      <c r="AU29" s="1156">
        <f t="shared" si="7"/>
        <v>3806.0593015183176</v>
      </c>
      <c r="AV29" s="1156">
        <f t="shared" si="7"/>
        <v>3815.2477703611171</v>
      </c>
      <c r="AW29" s="1156">
        <f t="shared" si="7"/>
        <v>3823.2816986653984</v>
      </c>
      <c r="AX29" s="1156">
        <f t="shared" si="7"/>
        <v>3829.8796107492299</v>
      </c>
      <c r="AY29" s="1156">
        <f t="shared" si="7"/>
        <v>3834.7108620682457</v>
      </c>
      <c r="AZ29" s="1156">
        <f t="shared" si="7"/>
        <v>3837.3970027900732</v>
      </c>
      <c r="BA29" s="1156">
        <f t="shared" si="7"/>
        <v>3842.636772680165</v>
      </c>
      <c r="BB29" s="1156">
        <f t="shared" si="7"/>
        <v>3845.3992667048265</v>
      </c>
      <c r="BC29" s="1156">
        <f t="shared" si="7"/>
        <v>3845.9961206395519</v>
      </c>
      <c r="BD29" s="1156">
        <f t="shared" si="7"/>
        <v>3845.8146814195338</v>
      </c>
      <c r="BE29" s="1156">
        <f t="shared" si="7"/>
        <v>3855.1846944316476</v>
      </c>
      <c r="BF29" s="1156">
        <f t="shared" si="7"/>
        <v>3861.535780760727</v>
      </c>
      <c r="BG29" s="1156">
        <f t="shared" si="7"/>
        <v>3867.9794762271576</v>
      </c>
      <c r="BH29" s="1156">
        <f t="shared" si="7"/>
        <v>3873.9854325157125</v>
      </c>
      <c r="BI29" s="1156">
        <f t="shared" si="7"/>
        <v>3879.6614147225605</v>
      </c>
      <c r="BJ29" s="1156">
        <f t="shared" si="7"/>
        <v>3885.0456644608785</v>
      </c>
      <c r="BK29" s="1156">
        <f t="shared" si="7"/>
        <v>3890.2137668654786</v>
      </c>
      <c r="BL29" s="1156">
        <f t="shared" si="7"/>
        <v>3895.2706144842041</v>
      </c>
      <c r="BM29" s="1156">
        <f t="shared" si="7"/>
        <v>3900.3583375797202</v>
      </c>
      <c r="BN29" s="1156">
        <f t="shared" si="7"/>
        <v>3905.6672308184002</v>
      </c>
      <c r="BO29" s="1156">
        <f t="shared" ref="BO29:BV29" si="8">SUM(BO17:BO28,BO14)</f>
        <v>3910.9550462612633</v>
      </c>
      <c r="BP29" s="1156">
        <f t="shared" si="8"/>
        <v>3916.4796222734176</v>
      </c>
      <c r="BQ29" s="1156">
        <f t="shared" si="8"/>
        <v>3922.4342062032692</v>
      </c>
      <c r="BR29" s="1156">
        <f t="shared" si="8"/>
        <v>3928.9118450360306</v>
      </c>
      <c r="BS29" s="1156">
        <f t="shared" si="8"/>
        <v>3935.0764068109788</v>
      </c>
      <c r="BT29" s="1156">
        <f t="shared" si="8"/>
        <v>3941.2525736530074</v>
      </c>
      <c r="BU29" s="1156">
        <f t="shared" si="8"/>
        <v>3947.4031581893182</v>
      </c>
      <c r="BV29" s="1156">
        <f t="shared" si="8"/>
        <v>3953.5693508908857</v>
      </c>
    </row>
    <row r="30" spans="2:74" x14ac:dyDescent="0.25">
      <c r="B30" s="852"/>
      <c r="C30" s="1166"/>
      <c r="D30" s="1166"/>
      <c r="E30" s="1166"/>
      <c r="F30" s="1166"/>
      <c r="G30" s="1166"/>
      <c r="H30" s="1166"/>
      <c r="I30" s="1166"/>
      <c r="J30" s="1166"/>
      <c r="K30" s="1166"/>
      <c r="L30" s="1166"/>
      <c r="M30" s="1166"/>
      <c r="N30" s="1166"/>
      <c r="O30" s="1166"/>
      <c r="P30" s="1166"/>
      <c r="Q30" s="1166"/>
      <c r="R30" s="1166"/>
      <c r="S30" s="1166"/>
      <c r="T30" s="1166"/>
      <c r="U30" s="1166"/>
      <c r="V30" s="1166"/>
      <c r="W30" s="1166"/>
      <c r="X30" s="1166"/>
      <c r="Y30" s="1166"/>
      <c r="Z30" s="1166"/>
      <c r="AA30" s="1166"/>
      <c r="AB30" s="1166"/>
      <c r="AC30" s="1166"/>
      <c r="AD30" s="1166"/>
      <c r="AE30" s="1166"/>
      <c r="AF30" s="1166"/>
      <c r="AG30" s="1166"/>
      <c r="AH30" s="1166"/>
      <c r="AI30" s="1166"/>
      <c r="AJ30" s="1166"/>
      <c r="AK30" s="1166"/>
      <c r="AL30" s="1166"/>
      <c r="AM30" s="1166"/>
      <c r="AN30" s="1166"/>
      <c r="AO30" s="1166"/>
      <c r="AP30" s="1166"/>
      <c r="AQ30" s="1166"/>
      <c r="AR30" s="1166"/>
      <c r="AS30" s="1166"/>
      <c r="AT30" s="1166"/>
      <c r="AU30" s="1166"/>
      <c r="AV30" s="1166"/>
      <c r="AW30" s="1166"/>
      <c r="AX30" s="1166"/>
      <c r="AY30" s="1166"/>
      <c r="AZ30" s="1166"/>
      <c r="BA30" s="1166"/>
      <c r="BB30" s="1166"/>
      <c r="BC30" s="1166"/>
      <c r="BD30" s="1166"/>
      <c r="BE30" s="1166"/>
      <c r="BF30" s="1166"/>
      <c r="BG30" s="1166"/>
      <c r="BH30" s="1166"/>
      <c r="BI30" s="1166"/>
      <c r="BJ30" s="1166"/>
      <c r="BK30" s="1166"/>
      <c r="BL30" s="1166"/>
      <c r="BM30" s="1166"/>
      <c r="BN30" s="1166"/>
      <c r="BO30" s="1166"/>
      <c r="BP30" s="1166"/>
      <c r="BQ30" s="1166"/>
      <c r="BR30" s="1166"/>
      <c r="BS30" s="1166"/>
      <c r="BT30" s="1166"/>
      <c r="BU30" s="1166"/>
      <c r="BV30" s="853"/>
    </row>
    <row r="31" spans="2:74" x14ac:dyDescent="0.25">
      <c r="B31" s="785" t="s">
        <v>938</v>
      </c>
      <c r="C31" s="786"/>
      <c r="D31" s="786"/>
      <c r="E31" s="786"/>
      <c r="F31" s="786"/>
      <c r="G31" s="786"/>
      <c r="H31" s="786"/>
      <c r="I31" s="786"/>
      <c r="J31" s="786"/>
      <c r="K31" s="786"/>
      <c r="L31" s="786"/>
      <c r="M31" s="786"/>
      <c r="N31" s="786"/>
      <c r="O31" s="787"/>
      <c r="P31" s="787"/>
      <c r="Q31" s="787"/>
      <c r="R31" s="787"/>
      <c r="S31" s="787"/>
      <c r="T31" s="787"/>
      <c r="U31" s="787"/>
      <c r="V31" s="787"/>
      <c r="W31" s="787"/>
      <c r="X31" s="787"/>
      <c r="Y31" s="787"/>
      <c r="Z31" s="787"/>
      <c r="AA31" s="787"/>
      <c r="AB31" s="787"/>
      <c r="AC31" s="787"/>
      <c r="AD31" s="787"/>
      <c r="AE31" s="787"/>
      <c r="AF31" s="787"/>
      <c r="AG31" s="787"/>
      <c r="AH31" s="787"/>
      <c r="AI31" s="787"/>
      <c r="AJ31" s="787"/>
      <c r="AK31" s="787"/>
      <c r="AL31" s="787"/>
      <c r="AM31" s="787"/>
      <c r="AN31" s="787"/>
      <c r="AO31" s="787"/>
      <c r="AP31" s="787"/>
      <c r="AQ31" s="787"/>
      <c r="AR31" s="787"/>
      <c r="AS31" s="787"/>
      <c r="AT31" s="787"/>
      <c r="AU31" s="787"/>
      <c r="AV31" s="787"/>
      <c r="AW31" s="787"/>
      <c r="AX31" s="787"/>
      <c r="AY31" s="787"/>
      <c r="AZ31" s="787"/>
      <c r="BA31" s="787"/>
      <c r="BB31" s="787"/>
      <c r="BC31" s="787"/>
      <c r="BD31" s="787"/>
      <c r="BE31" s="787"/>
      <c r="BF31" s="787"/>
      <c r="BG31" s="787"/>
      <c r="BH31" s="787"/>
      <c r="BI31" s="787"/>
      <c r="BJ31" s="787"/>
      <c r="BK31" s="787"/>
      <c r="BL31" s="787"/>
      <c r="BM31" s="787"/>
      <c r="BN31" s="787"/>
      <c r="BO31" s="787"/>
      <c r="BP31" s="787"/>
      <c r="BQ31" s="787"/>
      <c r="BR31" s="787"/>
      <c r="BS31" s="787"/>
      <c r="BT31" s="787"/>
      <c r="BU31" s="787"/>
      <c r="BV31" s="788"/>
    </row>
    <row r="32" spans="2:74" x14ac:dyDescent="0.25">
      <c r="B32" s="793" t="s">
        <v>939</v>
      </c>
      <c r="C32" s="668"/>
      <c r="D32" s="668"/>
      <c r="E32" s="668"/>
      <c r="F32" s="668"/>
      <c r="G32" s="668"/>
      <c r="H32" s="668"/>
      <c r="I32" s="668"/>
      <c r="J32" s="668"/>
      <c r="K32" s="668"/>
      <c r="L32" s="668"/>
      <c r="M32" s="668"/>
      <c r="N32" s="668"/>
      <c r="O32" s="668"/>
      <c r="P32" s="668"/>
      <c r="Q32" s="668"/>
      <c r="R32" s="668"/>
      <c r="S32" s="668"/>
      <c r="T32" s="668"/>
      <c r="U32" s="668"/>
      <c r="V32" s="668"/>
      <c r="W32" s="668"/>
      <c r="X32" s="668"/>
      <c r="Y32" s="668"/>
      <c r="Z32" s="668"/>
      <c r="AA32" s="668">
        <f>IF(AA$4="forecast",(AVERAGE(O32:Z32)),SUMIF('Dept. Cost Actuals'!$E$7:$E$176,"*Professional Fees*",'Dept. Cost Actuals'!AE$1400:AE$1569))</f>
        <v>3904</v>
      </c>
      <c r="AB32" s="668">
        <f>IF(AB$4="forecast",(AVERAGE(P32:AA32)),SUMIF('Dept. Cost Actuals'!$E$7:$E$176,"*Professional Fees*",'Dept. Cost Actuals'!AF$1400:AF$1569))</f>
        <v>20024</v>
      </c>
      <c r="AC32" s="668">
        <f>IF(AC$4="forecast",(AVERAGE(Q32:AB32)),SUMIF('Dept. Cost Actuals'!$E$7:$E$176,"*Professional Fees*",'Dept. Cost Actuals'!AG$1400:AG$1569))</f>
        <v>8720</v>
      </c>
      <c r="AD32" s="668">
        <f>IF(AD$4="forecast",(AVERAGE(R32:AC32)),SUMIF('Dept. Cost Actuals'!$E$7:$E$176,"*Professional Fees*",'Dept. Cost Actuals'!AH$1400:AH$1569))</f>
        <v>10882.666666666666</v>
      </c>
      <c r="AE32" s="668">
        <f>IF(AE$4="forecast",(AVERAGE(S32:AD32)),SUMIF('Dept. Cost Actuals'!$E$7:$E$176,"*Professional Fees*",'Dept. Cost Actuals'!AI$1400:AI$1569))</f>
        <v>10882.666666666666</v>
      </c>
      <c r="AF32" s="668">
        <f>IF(AF$4="forecast",(AVERAGE(T32:AE32)),SUMIF('Dept. Cost Actuals'!$E$7:$E$176,"*Professional Fees*",'Dept. Cost Actuals'!AJ$1400:AJ$1569))</f>
        <v>10882.666666666666</v>
      </c>
      <c r="AG32" s="668">
        <f>IF(AG$4="forecast",(AVERAGE(U32:AF32)),SUMIF('Dept. Cost Actuals'!$E$7:$E$176,"*Professional Fees*",'Dept. Cost Actuals'!AK$1400:AK$1569))</f>
        <v>10882.666666666666</v>
      </c>
      <c r="AH32" s="668">
        <f>IF(AH$4="forecast",(AVERAGE(V32:AG32)),SUMIF('Dept. Cost Actuals'!$E$7:$E$176,"*Professional Fees*",'Dept. Cost Actuals'!AL$1400:AL$1569))</f>
        <v>10882.666666666666</v>
      </c>
      <c r="AI32" s="668">
        <f>IF(AI$4="forecast",(AVERAGE(W32:AH32)),SUMIF('Dept. Cost Actuals'!$E$7:$E$176,"*Professional Fees*",'Dept. Cost Actuals'!AM$1400:AM$1569))</f>
        <v>10882.666666666666</v>
      </c>
      <c r="AJ32" s="668">
        <f>IF(AJ$4="forecast",(AVERAGE(X32:AI32)),SUMIF('Dept. Cost Actuals'!$E$7:$E$176,"*Professional Fees*",'Dept. Cost Actuals'!AN$1400:AN$1569))</f>
        <v>10882.666666666666</v>
      </c>
      <c r="AK32" s="668">
        <f>IF(AK$4="forecast",(AVERAGE(Y32:AJ32)),SUMIF('Dept. Cost Actuals'!$E$7:$E$176,"*Professional Fees*",'Dept. Cost Actuals'!AO$1400:AO$1569))</f>
        <v>10882.666666666668</v>
      </c>
      <c r="AL32" s="668">
        <f>IF(AL$4="forecast",(AVERAGE(Z32:AK32)),SUMIF('Dept. Cost Actuals'!$E$7:$E$176,"*Professional Fees*",'Dept. Cost Actuals'!AP$1400:AP$1569))</f>
        <v>10882.666666666668</v>
      </c>
      <c r="AM32" s="668">
        <f>IF(AM$4="forecast",(AVERAGE(AA32:AL32)),SUMIF('Dept. Cost Actuals'!$E$7:$E$176,"*Professional Fees*",'Dept. Cost Actuals'!AQ$1400:AQ$1569))</f>
        <v>10882.666666666668</v>
      </c>
      <c r="AN32" s="668">
        <f>IF(AN$4="forecast",(AVERAGE(AB32:AM32)),SUMIF('Dept. Cost Actuals'!$E$7:$E$176,"*Professional Fees*",'Dept. Cost Actuals'!AR$1400:AR$1569))</f>
        <v>11464.222222222224</v>
      </c>
      <c r="AO32" s="668">
        <f>IF(AO$4="forecast",(AVERAGE(AC32:AN32)),SUMIF('Dept. Cost Actuals'!$E$7:$E$176,"*Professional Fees*",'Dept. Cost Actuals'!AS$1400:AS$1569))</f>
        <v>10750.907407407407</v>
      </c>
      <c r="AP32" s="668">
        <f>IF(AP$4="forecast",(AVERAGE(AD32:AO32)),SUMIF('Dept. Cost Actuals'!$E$7:$E$176,"*Professional Fees*",'Dept. Cost Actuals'!AT$1400:AT$1569))</f>
        <v>10920.149691358025</v>
      </c>
      <c r="AQ32" s="668">
        <f>IF(AQ$4="forecast",(AVERAGE(AE32:AP32)),SUMIF('Dept. Cost Actuals'!$E$7:$E$176,"*Professional Fees*",'Dept. Cost Actuals'!AU$1400:AU$1569))</f>
        <v>10923.273276748971</v>
      </c>
      <c r="AR32" s="668">
        <f>IF(AR$4="forecast",(AVERAGE(AF32:AQ32)),SUMIF('Dept. Cost Actuals'!$E$7:$E$176,"*Professional Fees*",'Dept. Cost Actuals'!AV$1400:AV$1569))</f>
        <v>10926.657160922497</v>
      </c>
      <c r="AS32" s="668">
        <f>IF(AS$4="forecast",(AVERAGE(AG32:AR32)),SUMIF('Dept. Cost Actuals'!$E$7:$E$176,"*Professional Fees*",'Dept. Cost Actuals'!AW$1400:AW$1569))</f>
        <v>10930.323035443815</v>
      </c>
      <c r="AT32" s="668">
        <f>IF(AT$4="forecast",(AVERAGE(AH32:AS32)),SUMIF('Dept. Cost Actuals'!$E$7:$E$176,"*Professional Fees*",'Dept. Cost Actuals'!AX$1400:AX$1569))</f>
        <v>10934.294399508579</v>
      </c>
      <c r="AU32" s="668">
        <f>IF(AU$4="forecast",(AVERAGE(AI32:AT32)),SUMIF('Dept. Cost Actuals'!$E$7:$E$176,"*Professional Fees*",'Dept. Cost Actuals'!AY$1400:AY$1569))</f>
        <v>10938.596710578735</v>
      </c>
      <c r="AV32" s="668">
        <f>IF(AV$4="forecast",(AVERAGE(AJ32:AU32)),SUMIF('Dept. Cost Actuals'!$E$7:$E$176,"*Professional Fees*",'Dept. Cost Actuals'!AZ$1400:AZ$1569))</f>
        <v>10943.257547571409</v>
      </c>
      <c r="AW32" s="668">
        <f>IF(AW$4="forecast",(AVERAGE(AK32:AV32)),SUMIF('Dept. Cost Actuals'!$E$7:$E$176,"*Professional Fees*",'Dept. Cost Actuals'!BA$1400:BA$1569))</f>
        <v>10948.306787646805</v>
      </c>
      <c r="AX32" s="668">
        <f>IF(AX$4="forecast",(AVERAGE(AL32:AW32)),SUMIF('Dept. Cost Actuals'!$E$7:$E$176,"*Professional Fees*",'Dept. Cost Actuals'!BB$1400:BB$1569))</f>
        <v>10953.776797728484</v>
      </c>
      <c r="AY32" s="668">
        <f>IF(AY$4="forecast",(AVERAGE(AM32:AX32)),SUMIF('Dept. Cost Actuals'!$E$7:$E$176,"*Professional Fees*",'Dept. Cost Actuals'!BC$1400:BC$1569))</f>
        <v>10959.702641983638</v>
      </c>
      <c r="AZ32" s="668">
        <f>IF(AZ$4="forecast",(AVERAGE(AN32:AY32)),SUMIF('Dept. Cost Actuals'!$E$7:$E$176,"*Professional Fees*",'Dept. Cost Actuals'!BD$1400:BD$1569))</f>
        <v>10966.122306593383</v>
      </c>
      <c r="BA32" s="668">
        <f>IF(BA$4="forecast",(AVERAGE(AO32:AZ32)),SUMIF('Dept. Cost Actuals'!$E$7:$E$176,"*Professional Fees*",'Dept. Cost Actuals'!BE$1400:BE$1569))</f>
        <v>10924.61398029098</v>
      </c>
      <c r="BB32" s="668">
        <f>IF(BB$4="forecast",(AVERAGE(AP32:BA32)),SUMIF('Dept. Cost Actuals'!$E$7:$E$176,"*Professional Fees*",'Dept. Cost Actuals'!BF$1400:BF$1569))</f>
        <v>10939.089528031276</v>
      </c>
      <c r="BC32" s="668">
        <f>IF(BC$4="forecast",(AVERAGE(AQ32:BB32)),SUMIF('Dept. Cost Actuals'!$E$7:$E$176,"*Professional Fees*",'Dept. Cost Actuals'!BG$1400:BG$1569))</f>
        <v>10940.667847754046</v>
      </c>
      <c r="BD32" s="668">
        <f>IF(BD$4="forecast",(AVERAGE(AR32:BC32)),SUMIF('Dept. Cost Actuals'!$E$7:$E$176,"*Professional Fees*",'Dept. Cost Actuals'!BH$1400:BH$1569))</f>
        <v>10942.117395337804</v>
      </c>
      <c r="BE32" s="668">
        <f>IF(BE$4="forecast",(AVERAGE(AS32:BD32)),SUMIF('Dept. Cost Actuals'!$E$7:$E$176,"*Professional Fees*",'Dept. Cost Actuals'!BI$1400:BI$1569))</f>
        <v>10943.405748205745</v>
      </c>
      <c r="BF32" s="668">
        <f>IF(BF$4="forecast",(AVERAGE(AT32:BE32)),SUMIF('Dept. Cost Actuals'!$E$7:$E$176,"*Professional Fees*",'Dept. Cost Actuals'!BJ$1400:BJ$1569))</f>
        <v>10944.495974269239</v>
      </c>
      <c r="BG32" s="668">
        <f>IF(BG$4="forecast",(AVERAGE(AU32:BF32)),SUMIF('Dept. Cost Actuals'!$E$7:$E$176,"*Professional Fees*",'Dept. Cost Actuals'!BK$1400:BK$1569))</f>
        <v>10945.346105499295</v>
      </c>
      <c r="BH32" s="668">
        <f>IF(BH$4="forecast",(AVERAGE(AV32:BG32)),SUMIF('Dept. Cost Actuals'!$E$7:$E$176,"*Professional Fees*",'Dept. Cost Actuals'!BL$1400:BL$1569))</f>
        <v>10945.908555076006</v>
      </c>
      <c r="BI32" s="668">
        <f>IF(BI$4="forecast",(AVERAGE(AW32:BH32)),SUMIF('Dept. Cost Actuals'!$E$7:$E$176,"*Professional Fees*",'Dept. Cost Actuals'!BM$1400:BM$1569))</f>
        <v>10946.129472368057</v>
      </c>
      <c r="BJ32" s="668">
        <f>IF(BJ$4="forecast",(AVERAGE(AX32:BI32)),SUMIF('Dept. Cost Actuals'!$E$7:$E$176,"*Professional Fees*",'Dept. Cost Actuals'!BN$1400:BN$1569))</f>
        <v>10945.948029428162</v>
      </c>
      <c r="BK32" s="668">
        <f>IF(BK$4="forecast",(AVERAGE(AY32:BJ32)),SUMIF('Dept. Cost Actuals'!$E$7:$E$176,"*Professional Fees*",'Dept. Cost Actuals'!BO$1400:BO$1569))</f>
        <v>10945.295632069805</v>
      </c>
      <c r="BL32" s="668">
        <f>IF(BL$4="forecast",(AVERAGE(AZ32:BK32)),SUMIF('Dept. Cost Actuals'!$E$7:$E$176,"*Professional Fees*",'Dept. Cost Actuals'!BP$1400:BP$1569))</f>
        <v>10944.095047910318</v>
      </c>
      <c r="BM32" s="668">
        <f>IF(BM$4="forecast",(AVERAGE(BA32:BL32)),SUMIF('Dept. Cost Actuals'!$E$7:$E$176,"*Professional Fees*",'Dept. Cost Actuals'!BQ$1400:BQ$1569))</f>
        <v>10942.259443020062</v>
      </c>
      <c r="BN32" s="668">
        <f>IF(BN$4="forecast",(AVERAGE(BB32:BM32)),SUMIF('Dept. Cost Actuals'!$E$7:$E$176,"*Professional Fees*",'Dept. Cost Actuals'!BR$1400:BR$1569))</f>
        <v>10943.729898247484</v>
      </c>
      <c r="BO32" s="668">
        <f>IF(BO$4="forecast",(AVERAGE(BC32:BN32)),SUMIF('Dept. Cost Actuals'!$E$7:$E$176,"*Professional Fees*",'Dept. Cost Actuals'!BS$1400:BS$1569))</f>
        <v>10944.116595765503</v>
      </c>
      <c r="BP32" s="668">
        <f>IF(BP$4="forecast",(AVERAGE(BD32:BO32)),SUMIF('Dept. Cost Actuals'!$E$7:$E$176,"*Professional Fees*",'Dept. Cost Actuals'!BT$1400:BT$1569))</f>
        <v>10944.403991433122</v>
      </c>
      <c r="BQ32" s="668">
        <f>IF(BQ$4="forecast",(AVERAGE(BE32:BP32)),SUMIF('Dept. Cost Actuals'!$E$7:$E$176,"*Professional Fees*",'Dept. Cost Actuals'!BU$1400:BU$1569))</f>
        <v>10944.594541107732</v>
      </c>
      <c r="BR32" s="668">
        <f>IF(BR$4="forecast",(AVERAGE(BF32:BQ32)),SUMIF('Dept. Cost Actuals'!$E$7:$E$176,"*Professional Fees*",'Dept. Cost Actuals'!BV$1400:BV$1569))</f>
        <v>10944.693607182899</v>
      </c>
      <c r="BS32" s="668">
        <f>IF(BS$4="forecast",(AVERAGE(BG32:BR32)),SUMIF('Dept. Cost Actuals'!$E$7:$E$176,"*Professional Fees*",'Dept. Cost Actuals'!BW$1400:BW$1569))</f>
        <v>10944.71007659237</v>
      </c>
      <c r="BT32" s="668">
        <f>IF(BT$4="forecast",(AVERAGE(BH32:BS32)),SUMIF('Dept. Cost Actuals'!$E$7:$E$176,"*Professional Fees*",'Dept. Cost Actuals'!BX$1400:BX$1569))</f>
        <v>10944.65707418346</v>
      </c>
      <c r="BU32" s="668">
        <f>IF(BU$4="forecast",(AVERAGE(BI32:BT32)),SUMIF('Dept. Cost Actuals'!$E$7:$E$176,"*Professional Fees*",'Dept. Cost Actuals'!BY$1400:BY$1569))</f>
        <v>10944.552784109081</v>
      </c>
      <c r="BV32" s="668">
        <f>IF(BV$4="forecast",(AVERAGE(BJ32:BU32)),SUMIF('Dept. Cost Actuals'!$E$7:$E$176,"*Professional Fees*",'Dept. Cost Actuals'!BZ$1400:BZ$1569))</f>
        <v>10944.421393420833</v>
      </c>
    </row>
    <row r="33" spans="2:74" x14ac:dyDescent="0.25">
      <c r="B33" s="794" t="s">
        <v>919</v>
      </c>
      <c r="C33" s="668"/>
      <c r="D33" s="668"/>
      <c r="E33" s="668"/>
      <c r="F33" s="668"/>
      <c r="G33" s="668"/>
      <c r="H33" s="668"/>
      <c r="I33" s="668"/>
      <c r="J33" s="668"/>
      <c r="K33" s="668"/>
      <c r="L33" s="668"/>
      <c r="M33" s="668"/>
      <c r="N33" s="668"/>
      <c r="O33" s="668"/>
      <c r="P33" s="668"/>
      <c r="Q33" s="668"/>
      <c r="R33" s="668"/>
      <c r="S33" s="668"/>
      <c r="T33" s="668"/>
      <c r="U33" s="668"/>
      <c r="V33" s="668"/>
      <c r="W33" s="668"/>
      <c r="X33" s="668"/>
      <c r="Y33" s="668"/>
      <c r="Z33" s="668"/>
      <c r="AA33" s="668">
        <f>IF(AA$4="forecast",AVERAGE(O33:Z33),SUMIF('Dept. Cost Actuals'!$E$7:$E$176,"*Conferences*",'Dept. Cost Actuals'!AE$1400:AE$1569))</f>
        <v>0</v>
      </c>
      <c r="AB33" s="668">
        <f>IF(AB$4="forecast",AVERAGE(P33:AA33),SUMIF('Dept. Cost Actuals'!$E$7:$E$176,"*Conferences*",'Dept. Cost Actuals'!AF$1400:AF$1569))</f>
        <v>0</v>
      </c>
      <c r="AC33" s="668">
        <f>IF(AC$4="forecast",AVERAGE(Q33:AB33),SUMIF('Dept. Cost Actuals'!$E$7:$E$176,"*Conferences*",'Dept. Cost Actuals'!AG$1400:AG$1569))</f>
        <v>0</v>
      </c>
      <c r="AD33" s="668">
        <f>IF(AD$4="forecast",AVERAGE(R33:AC33),SUMIF('Dept. Cost Actuals'!$E$7:$E$176,"*Conferences*",'Dept. Cost Actuals'!AH$1400:AH$1569))</f>
        <v>0</v>
      </c>
      <c r="AE33" s="668">
        <f>IF(AE$4="forecast",AVERAGE(S33:AD33),SUMIF('Dept. Cost Actuals'!$E$7:$E$176,"*Conferences*",'Dept. Cost Actuals'!AI$1400:AI$1569))</f>
        <v>0</v>
      </c>
      <c r="AF33" s="668">
        <f>IF(AF$4="forecast",AVERAGE(T33:AE33),SUMIF('Dept. Cost Actuals'!$E$7:$E$176,"*Conferences*",'Dept. Cost Actuals'!AJ$1400:AJ$1569))</f>
        <v>0</v>
      </c>
      <c r="AG33" s="668">
        <f>IF(AG$4="forecast",AVERAGE(U33:AF33),SUMIF('Dept. Cost Actuals'!$E$7:$E$176,"*Conferences*",'Dept. Cost Actuals'!AK$1400:AK$1569))</f>
        <v>0</v>
      </c>
      <c r="AH33" s="668">
        <f>IF(AH$4="forecast",AVERAGE(V33:AG33),SUMIF('Dept. Cost Actuals'!$E$7:$E$176,"*Conferences*",'Dept. Cost Actuals'!AL$1400:AL$1569))</f>
        <v>0</v>
      </c>
      <c r="AI33" s="668">
        <f>IF(AI$4="forecast",AVERAGE(W33:AH33),SUMIF('Dept. Cost Actuals'!$E$7:$E$176,"*Conferences*",'Dept. Cost Actuals'!AM$1400:AM$1569))</f>
        <v>0</v>
      </c>
      <c r="AJ33" s="668">
        <f>IF(AJ$4="forecast",AVERAGE(X33:AI33),SUMIF('Dept. Cost Actuals'!$E$7:$E$176,"*Conferences*",'Dept. Cost Actuals'!AN$1400:AN$1569))</f>
        <v>0</v>
      </c>
      <c r="AK33" s="668">
        <f>IF(AK$4="forecast",AVERAGE(Y33:AJ33),SUMIF('Dept. Cost Actuals'!$E$7:$E$176,"*Conferences*",'Dept. Cost Actuals'!AO$1400:AO$1569))</f>
        <v>0</v>
      </c>
      <c r="AL33" s="668">
        <f>IF(AL$4="forecast",AVERAGE(Z33:AK33),SUMIF('Dept. Cost Actuals'!$E$7:$E$176,"*Conferences*",'Dept. Cost Actuals'!AP$1400:AP$1569))</f>
        <v>0</v>
      </c>
      <c r="AM33" s="668">
        <f>IF(AM$4="forecast",AVERAGE(AA33:AL33),SUMIF('Dept. Cost Actuals'!$E$7:$E$176,"*Conferences*",'Dept. Cost Actuals'!AQ$1400:AQ$1569))</f>
        <v>0</v>
      </c>
      <c r="AN33" s="668">
        <f>IF(AN$4="forecast",AVERAGE(AB33:AM33),SUMIF('Dept. Cost Actuals'!$E$7:$E$176,"*Conferences*",'Dept. Cost Actuals'!AR$1400:AR$1569))</f>
        <v>0</v>
      </c>
      <c r="AO33" s="668">
        <f>IF(AO$4="forecast",AVERAGE(AC33:AN33),SUMIF('Dept. Cost Actuals'!$E$7:$E$176,"*Conferences*",'Dept. Cost Actuals'!AS$1400:AS$1569))</f>
        <v>0</v>
      </c>
      <c r="AP33" s="668">
        <f>IF(AP$4="forecast",AVERAGE(AD33:AO33),SUMIF('Dept. Cost Actuals'!$E$7:$E$176,"*Conferences*",'Dept. Cost Actuals'!AT$1400:AT$1569))</f>
        <v>0</v>
      </c>
      <c r="AQ33" s="668">
        <f>IF(AQ$4="forecast",AVERAGE(AE33:AP33),SUMIF('Dept. Cost Actuals'!$E$7:$E$176,"*Conferences*",'Dept. Cost Actuals'!AU$1400:AU$1569))</f>
        <v>0</v>
      </c>
      <c r="AR33" s="668">
        <f>IF(AR$4="forecast",AVERAGE(AF33:AQ33),SUMIF('Dept. Cost Actuals'!$E$7:$E$176,"*Conferences*",'Dept. Cost Actuals'!AV$1400:AV$1569))</f>
        <v>0</v>
      </c>
      <c r="AS33" s="668">
        <f>IF(AS$4="forecast",AVERAGE(AG33:AR33),SUMIF('Dept. Cost Actuals'!$E$7:$E$176,"*Conferences*",'Dept. Cost Actuals'!AW$1400:AW$1569))</f>
        <v>0</v>
      </c>
      <c r="AT33" s="668">
        <f>IF(AT$4="forecast",AVERAGE(AH33:AS33),SUMIF('Dept. Cost Actuals'!$E$7:$E$176,"*Conferences*",'Dept. Cost Actuals'!AX$1400:AX$1569))</f>
        <v>0</v>
      </c>
      <c r="AU33" s="668">
        <f>IF(AU$4="forecast",AVERAGE(AI33:AT33),SUMIF('Dept. Cost Actuals'!$E$7:$E$176,"*Conferences*",'Dept. Cost Actuals'!AY$1400:AY$1569))</f>
        <v>0</v>
      </c>
      <c r="AV33" s="668">
        <f>IF(AV$4="forecast",AVERAGE(AJ33:AU33),SUMIF('Dept. Cost Actuals'!$E$7:$E$176,"*Conferences*",'Dept. Cost Actuals'!AZ$1400:AZ$1569))</f>
        <v>0</v>
      </c>
      <c r="AW33" s="668">
        <f>IF(AW$4="forecast",AVERAGE(AK33:AV33),SUMIF('Dept. Cost Actuals'!$E$7:$E$176,"*Conferences*",'Dept. Cost Actuals'!BA$1400:BA$1569))</f>
        <v>0</v>
      </c>
      <c r="AX33" s="668">
        <f>IF(AX$4="forecast",AVERAGE(AL33:AW33),SUMIF('Dept. Cost Actuals'!$E$7:$E$176,"*Conferences*",'Dept. Cost Actuals'!BB$1400:BB$1569))</f>
        <v>0</v>
      </c>
      <c r="AY33" s="668">
        <f>IF(AY$4="forecast",AVERAGE(AM33:AX33),SUMIF('Dept. Cost Actuals'!$E$7:$E$176,"*Conferences*",'Dept. Cost Actuals'!BC$1400:BC$1569))</f>
        <v>0</v>
      </c>
      <c r="AZ33" s="668">
        <f>IF(AZ$4="forecast",AVERAGE(AN33:AY33),SUMIF('Dept. Cost Actuals'!$E$7:$E$176,"*Conferences*",'Dept. Cost Actuals'!BD$1400:BD$1569))</f>
        <v>0</v>
      </c>
      <c r="BA33" s="668">
        <f>IF(BA$4="forecast",AVERAGE(AO33:AZ33),SUMIF('Dept. Cost Actuals'!$E$7:$E$176,"*Conferences*",'Dept. Cost Actuals'!BE$1400:BE$1569))</f>
        <v>0</v>
      </c>
      <c r="BB33" s="668">
        <f>IF(BB$4="forecast",AVERAGE(AP33:BA33),SUMIF('Dept. Cost Actuals'!$E$7:$E$176,"*Conferences*",'Dept. Cost Actuals'!BF$1400:BF$1569))</f>
        <v>0</v>
      </c>
      <c r="BC33" s="668">
        <f>IF(BC$4="forecast",AVERAGE(AQ33:BB33),SUMIF('Dept. Cost Actuals'!$E$7:$E$176,"*Conferences*",'Dept. Cost Actuals'!BG$1400:BG$1569))</f>
        <v>0</v>
      </c>
      <c r="BD33" s="668">
        <f>IF(BD$4="forecast",AVERAGE(AR33:BC33),SUMIF('Dept. Cost Actuals'!$E$7:$E$176,"*Conferences*",'Dept. Cost Actuals'!BH$1400:BH$1569))</f>
        <v>0</v>
      </c>
      <c r="BE33" s="668">
        <f>IF(BE$4="forecast",AVERAGE(AS33:BD33),SUMIF('Dept. Cost Actuals'!$E$7:$E$176,"*Conferences*",'Dept. Cost Actuals'!BI$1400:BI$1569))</f>
        <v>0</v>
      </c>
      <c r="BF33" s="668">
        <f>IF(BF$4="forecast",AVERAGE(AT33:BE33),SUMIF('Dept. Cost Actuals'!$E$7:$E$176,"*Conferences*",'Dept. Cost Actuals'!BJ$1400:BJ$1569))</f>
        <v>0</v>
      </c>
      <c r="BG33" s="668">
        <f>IF(BG$4="forecast",AVERAGE(AU33:BF33),SUMIF('Dept. Cost Actuals'!$E$7:$E$176,"*Conferences*",'Dept. Cost Actuals'!BK$1400:BK$1569))</f>
        <v>0</v>
      </c>
      <c r="BH33" s="668">
        <f>IF(BH$4="forecast",AVERAGE(AV33:BG33),SUMIF('Dept. Cost Actuals'!$E$7:$E$176,"*Conferences*",'Dept. Cost Actuals'!BL$1400:BL$1569))</f>
        <v>0</v>
      </c>
      <c r="BI33" s="668">
        <f>IF(BI$4="forecast",AVERAGE(AW33:BH33),SUMIF('Dept. Cost Actuals'!$E$7:$E$176,"*Conferences*",'Dept. Cost Actuals'!BM$1400:BM$1569))</f>
        <v>0</v>
      </c>
      <c r="BJ33" s="668">
        <f>IF(BJ$4="forecast",AVERAGE(AX33:BI33),SUMIF('Dept. Cost Actuals'!$E$7:$E$176,"*Conferences*",'Dept. Cost Actuals'!BN$1400:BN$1569))</f>
        <v>0</v>
      </c>
      <c r="BK33" s="668">
        <f>IF(BK$4="forecast",AVERAGE(AY33:BJ33),SUMIF('Dept. Cost Actuals'!$E$7:$E$176,"*Conferences*",'Dept. Cost Actuals'!BO$1400:BO$1569))</f>
        <v>0</v>
      </c>
      <c r="BL33" s="668">
        <f>IF(BL$4="forecast",AVERAGE(AZ33:BK33),SUMIF('Dept. Cost Actuals'!$E$7:$E$176,"*Conferences*",'Dept. Cost Actuals'!BP$1400:BP$1569))</f>
        <v>0</v>
      </c>
      <c r="BM33" s="668">
        <f>IF(BM$4="forecast",AVERAGE(BA33:BL33),SUMIF('Dept. Cost Actuals'!$E$7:$E$176,"*Conferences*",'Dept. Cost Actuals'!BQ$1400:BQ$1569))</f>
        <v>0</v>
      </c>
      <c r="BN33" s="668">
        <f>IF(BN$4="forecast",AVERAGE(BB33:BM33),SUMIF('Dept. Cost Actuals'!$E$7:$E$176,"*Conferences*",'Dept. Cost Actuals'!BR$1400:BR$1569))</f>
        <v>0</v>
      </c>
      <c r="BO33" s="668">
        <f>IF(BO$4="forecast",AVERAGE(BC33:BN33),SUMIF('Dept. Cost Actuals'!$E$7:$E$176,"*Conferences*",'Dept. Cost Actuals'!BS$1400:BS$1569))</f>
        <v>0</v>
      </c>
      <c r="BP33" s="668">
        <f>IF(BP$4="forecast",AVERAGE(BD33:BO33),SUMIF('Dept. Cost Actuals'!$E$7:$E$176,"*Conferences*",'Dept. Cost Actuals'!BT$1400:BT$1569))</f>
        <v>0</v>
      </c>
      <c r="BQ33" s="668">
        <f>IF(BQ$4="forecast",AVERAGE(BE33:BP33),SUMIF('Dept. Cost Actuals'!$E$7:$E$176,"*Conferences*",'Dept. Cost Actuals'!BU$1400:BU$1569))</f>
        <v>0</v>
      </c>
      <c r="BR33" s="668">
        <f>IF(BR$4="forecast",AVERAGE(BF33:BQ33),SUMIF('Dept. Cost Actuals'!$E$7:$E$176,"*Conferences*",'Dept. Cost Actuals'!BV$1400:BV$1569))</f>
        <v>0</v>
      </c>
      <c r="BS33" s="668">
        <f>IF(BS$4="forecast",AVERAGE(BG33:BR33),SUMIF('Dept. Cost Actuals'!$E$7:$E$176,"*Conferences*",'Dept. Cost Actuals'!BW$1400:BW$1569))</f>
        <v>0</v>
      </c>
      <c r="BT33" s="668">
        <f>IF(BT$4="forecast",AVERAGE(BH33:BS33),SUMIF('Dept. Cost Actuals'!$E$7:$E$176,"*Conferences*",'Dept. Cost Actuals'!BX$1400:BX$1569))</f>
        <v>0</v>
      </c>
      <c r="BU33" s="668">
        <f>IF(BU$4="forecast",AVERAGE(BI33:BT33),SUMIF('Dept. Cost Actuals'!$E$7:$E$176,"*Conferences*",'Dept. Cost Actuals'!BY$1400:BY$1569))</f>
        <v>0</v>
      </c>
      <c r="BV33" s="668">
        <f>IF(BV$4="forecast",AVERAGE(BJ33:BU33),SUMIF('Dept. Cost Actuals'!$E$7:$E$176,"*Conferences*",'Dept. Cost Actuals'!BZ$1400:BZ$1569))</f>
        <v>0</v>
      </c>
    </row>
    <row r="34" spans="2:74" x14ac:dyDescent="0.25">
      <c r="B34" s="794" t="s">
        <v>940</v>
      </c>
      <c r="C34" s="668"/>
      <c r="D34" s="668"/>
      <c r="E34" s="668"/>
      <c r="F34" s="668"/>
      <c r="G34" s="668"/>
      <c r="H34" s="668"/>
      <c r="I34" s="668"/>
      <c r="J34" s="668"/>
      <c r="K34" s="668"/>
      <c r="L34" s="668"/>
      <c r="M34" s="668"/>
      <c r="N34" s="668"/>
      <c r="O34" s="668"/>
      <c r="P34" s="668"/>
      <c r="Q34" s="668"/>
      <c r="R34" s="668"/>
      <c r="S34" s="668"/>
      <c r="T34" s="668"/>
      <c r="U34" s="668"/>
      <c r="V34" s="668"/>
      <c r="W34" s="668"/>
      <c r="X34" s="668"/>
      <c r="Y34" s="668"/>
      <c r="Z34" s="668"/>
      <c r="AA34" s="668">
        <f>IF(AA$4="forecast",AVERAGE(O34:Z34),SUMIF('Dept. Cost Actuals'!$E$7:$E$176,"*Books and Periodicals*",'Dept. Cost Actuals'!AE$1400:AE$1569))</f>
        <v>0</v>
      </c>
      <c r="AB34" s="668">
        <f>IF(AB$4="forecast",AVERAGE(P34:AA34),SUMIF('Dept. Cost Actuals'!$E$7:$E$176,"*Books and Periodicals*",'Dept. Cost Actuals'!AF$1400:AF$1569))</f>
        <v>0</v>
      </c>
      <c r="AC34" s="668">
        <f>IF(AC$4="forecast",AVERAGE(Q34:AB34),SUMIF('Dept. Cost Actuals'!$E$7:$E$176,"*Books and Periodicals*",'Dept. Cost Actuals'!AG$1400:AG$1569))</f>
        <v>0</v>
      </c>
      <c r="AD34" s="668">
        <f>IF(AD$4="forecast",AVERAGE(R34:AC34),SUMIF('Dept. Cost Actuals'!$E$7:$E$176,"*Books and Periodicals*",'Dept. Cost Actuals'!AH$1400:AH$1569))</f>
        <v>0</v>
      </c>
      <c r="AE34" s="668">
        <f>IF(AE$4="forecast",AVERAGE(S34:AD34),SUMIF('Dept. Cost Actuals'!$E$7:$E$176,"*Books and Periodicals*",'Dept. Cost Actuals'!AI$1400:AI$1569))</f>
        <v>0</v>
      </c>
      <c r="AF34" s="668">
        <f>IF(AF$4="forecast",AVERAGE(T34:AE34),SUMIF('Dept. Cost Actuals'!$E$7:$E$176,"*Books and Periodicals*",'Dept. Cost Actuals'!AJ$1400:AJ$1569))</f>
        <v>0</v>
      </c>
      <c r="AG34" s="668">
        <f>IF(AG$4="forecast",AVERAGE(U34:AF34),SUMIF('Dept. Cost Actuals'!$E$7:$E$176,"*Books and Periodicals*",'Dept. Cost Actuals'!AK$1400:AK$1569))</f>
        <v>0</v>
      </c>
      <c r="AH34" s="668">
        <f>IF(AH$4="forecast",AVERAGE(V34:AG34),SUMIF('Dept. Cost Actuals'!$E$7:$E$176,"*Books and Periodicals*",'Dept. Cost Actuals'!AL$1400:AL$1569))</f>
        <v>0</v>
      </c>
      <c r="AI34" s="668">
        <f>IF(AI$4="forecast",AVERAGE(W34:AH34),SUMIF('Dept. Cost Actuals'!$E$7:$E$176,"*Books and Periodicals*",'Dept. Cost Actuals'!AM$1400:AM$1569))</f>
        <v>0</v>
      </c>
      <c r="AJ34" s="668">
        <f>IF(AJ$4="forecast",AVERAGE(X34:AI34),SUMIF('Dept. Cost Actuals'!$E$7:$E$176,"*Books and Periodicals*",'Dept. Cost Actuals'!AN$1400:AN$1569))</f>
        <v>0</v>
      </c>
      <c r="AK34" s="668">
        <f>IF(AK$4="forecast",AVERAGE(Y34:AJ34),SUMIF('Dept. Cost Actuals'!$E$7:$E$176,"*Books and Periodicals*",'Dept. Cost Actuals'!AO$1400:AO$1569))</f>
        <v>0</v>
      </c>
      <c r="AL34" s="668">
        <f>IF(AL$4="forecast",AVERAGE(Z34:AK34),SUMIF('Dept. Cost Actuals'!$E$7:$E$176,"*Books and Periodicals*",'Dept. Cost Actuals'!AP$1400:AP$1569))</f>
        <v>0</v>
      </c>
      <c r="AM34" s="668">
        <f>IF(AM$4="forecast",AVERAGE(AA34:AL34),SUMIF('Dept. Cost Actuals'!$E$7:$E$176,"*Books and Periodicals*",'Dept. Cost Actuals'!AQ$1400:AQ$1569))</f>
        <v>0</v>
      </c>
      <c r="AN34" s="668">
        <f>IF(AN$4="forecast",AVERAGE(AB34:AM34),SUMIF('Dept. Cost Actuals'!$E$7:$E$176,"*Books and Periodicals*",'Dept. Cost Actuals'!AR$1400:AR$1569))</f>
        <v>0</v>
      </c>
      <c r="AO34" s="668">
        <f>IF(AO$4="forecast",AVERAGE(AC34:AN34),SUMIF('Dept. Cost Actuals'!$E$7:$E$176,"*Books and Periodicals*",'Dept. Cost Actuals'!AS$1400:AS$1569))</f>
        <v>0</v>
      </c>
      <c r="AP34" s="668">
        <f>IF(AP$4="forecast",AVERAGE(AD34:AO34),SUMIF('Dept. Cost Actuals'!$E$7:$E$176,"*Books and Periodicals*",'Dept. Cost Actuals'!AT$1400:AT$1569))</f>
        <v>0</v>
      </c>
      <c r="AQ34" s="668">
        <f>IF(AQ$4="forecast",AVERAGE(AE34:AP34),SUMIF('Dept. Cost Actuals'!$E$7:$E$176,"*Books and Periodicals*",'Dept. Cost Actuals'!AU$1400:AU$1569))</f>
        <v>0</v>
      </c>
      <c r="AR34" s="668">
        <f>IF(AR$4="forecast",AVERAGE(AF34:AQ34),SUMIF('Dept. Cost Actuals'!$E$7:$E$176,"*Books and Periodicals*",'Dept. Cost Actuals'!AV$1400:AV$1569))</f>
        <v>0</v>
      </c>
      <c r="AS34" s="668">
        <f>IF(AS$4="forecast",AVERAGE(AG34:AR34),SUMIF('Dept. Cost Actuals'!$E$7:$E$176,"*Books and Periodicals*",'Dept. Cost Actuals'!AW$1400:AW$1569))</f>
        <v>0</v>
      </c>
      <c r="AT34" s="668">
        <f>IF(AT$4="forecast",AVERAGE(AH34:AS34),SUMIF('Dept. Cost Actuals'!$E$7:$E$176,"*Books and Periodicals*",'Dept. Cost Actuals'!AX$1400:AX$1569))</f>
        <v>0</v>
      </c>
      <c r="AU34" s="668">
        <f>IF(AU$4="forecast",AVERAGE(AI34:AT34),SUMIF('Dept. Cost Actuals'!$E$7:$E$176,"*Books and Periodicals*",'Dept. Cost Actuals'!AY$1400:AY$1569))</f>
        <v>0</v>
      </c>
      <c r="AV34" s="668">
        <f>IF(AV$4="forecast",AVERAGE(AJ34:AU34),SUMIF('Dept. Cost Actuals'!$E$7:$E$176,"*Books and Periodicals*",'Dept. Cost Actuals'!AZ$1400:AZ$1569))</f>
        <v>0</v>
      </c>
      <c r="AW34" s="668">
        <f>IF(AW$4="forecast",AVERAGE(AK34:AV34),SUMIF('Dept. Cost Actuals'!$E$7:$E$176,"*Books and Periodicals*",'Dept. Cost Actuals'!BA$1400:BA$1569))</f>
        <v>0</v>
      </c>
      <c r="AX34" s="668">
        <f>IF(AX$4="forecast",AVERAGE(AL34:AW34),SUMIF('Dept. Cost Actuals'!$E$7:$E$176,"*Books and Periodicals*",'Dept. Cost Actuals'!BB$1400:BB$1569))</f>
        <v>0</v>
      </c>
      <c r="AY34" s="668">
        <f>IF(AY$4="forecast",AVERAGE(AM34:AX34),SUMIF('Dept. Cost Actuals'!$E$7:$E$176,"*Books and Periodicals*",'Dept. Cost Actuals'!BC$1400:BC$1569))</f>
        <v>0</v>
      </c>
      <c r="AZ34" s="668">
        <f>IF(AZ$4="forecast",AVERAGE(AN34:AY34),SUMIF('Dept. Cost Actuals'!$E$7:$E$176,"*Books and Periodicals*",'Dept. Cost Actuals'!BD$1400:BD$1569))</f>
        <v>0</v>
      </c>
      <c r="BA34" s="668">
        <f>IF(BA$4="forecast",AVERAGE(AO34:AZ34),SUMIF('Dept. Cost Actuals'!$E$7:$E$176,"*Books and Periodicals*",'Dept. Cost Actuals'!BE$1400:BE$1569))</f>
        <v>0</v>
      </c>
      <c r="BB34" s="668">
        <f>IF(BB$4="forecast",AVERAGE(AP34:BA34),SUMIF('Dept. Cost Actuals'!$E$7:$E$176,"*Books and Periodicals*",'Dept. Cost Actuals'!BF$1400:BF$1569))</f>
        <v>0</v>
      </c>
      <c r="BC34" s="668">
        <f>IF(BC$4="forecast",AVERAGE(AQ34:BB34),SUMIF('Dept. Cost Actuals'!$E$7:$E$176,"*Books and Periodicals*",'Dept. Cost Actuals'!BG$1400:BG$1569))</f>
        <v>0</v>
      </c>
      <c r="BD34" s="668">
        <f>IF(BD$4="forecast",AVERAGE(AR34:BC34),SUMIF('Dept. Cost Actuals'!$E$7:$E$176,"*Books and Periodicals*",'Dept. Cost Actuals'!BH$1400:BH$1569))</f>
        <v>0</v>
      </c>
      <c r="BE34" s="668">
        <f>IF(BE$4="forecast",AVERAGE(AS34:BD34),SUMIF('Dept. Cost Actuals'!$E$7:$E$176,"*Books and Periodicals*",'Dept. Cost Actuals'!BI$1400:BI$1569))</f>
        <v>0</v>
      </c>
      <c r="BF34" s="668">
        <f>IF(BF$4="forecast",AVERAGE(AT34:BE34),SUMIF('Dept. Cost Actuals'!$E$7:$E$176,"*Books and Periodicals*",'Dept. Cost Actuals'!BJ$1400:BJ$1569))</f>
        <v>0</v>
      </c>
      <c r="BG34" s="668">
        <f>IF(BG$4="forecast",AVERAGE(AU34:BF34),SUMIF('Dept. Cost Actuals'!$E$7:$E$176,"*Books and Periodicals*",'Dept. Cost Actuals'!BK$1400:BK$1569))</f>
        <v>0</v>
      </c>
      <c r="BH34" s="668">
        <f>IF(BH$4="forecast",AVERAGE(AV34:BG34),SUMIF('Dept. Cost Actuals'!$E$7:$E$176,"*Books and Periodicals*",'Dept. Cost Actuals'!BL$1400:BL$1569))</f>
        <v>0</v>
      </c>
      <c r="BI34" s="668">
        <f>IF(BI$4="forecast",AVERAGE(AW34:BH34),SUMIF('Dept. Cost Actuals'!$E$7:$E$176,"*Books and Periodicals*",'Dept. Cost Actuals'!BM$1400:BM$1569))</f>
        <v>0</v>
      </c>
      <c r="BJ34" s="668">
        <f>IF(BJ$4="forecast",AVERAGE(AX34:BI34),SUMIF('Dept. Cost Actuals'!$E$7:$E$176,"*Books and Periodicals*",'Dept. Cost Actuals'!BN$1400:BN$1569))</f>
        <v>0</v>
      </c>
      <c r="BK34" s="668">
        <f>IF(BK$4="forecast",AVERAGE(AY34:BJ34),SUMIF('Dept. Cost Actuals'!$E$7:$E$176,"*Books and Periodicals*",'Dept. Cost Actuals'!BO$1400:BO$1569))</f>
        <v>0</v>
      </c>
      <c r="BL34" s="668">
        <f>IF(BL$4="forecast",AVERAGE(AZ34:BK34),SUMIF('Dept. Cost Actuals'!$E$7:$E$176,"*Books and Periodicals*",'Dept. Cost Actuals'!BP$1400:BP$1569))</f>
        <v>0</v>
      </c>
      <c r="BM34" s="668">
        <f>IF(BM$4="forecast",AVERAGE(BA34:BL34),SUMIF('Dept. Cost Actuals'!$E$7:$E$176,"*Books and Periodicals*",'Dept. Cost Actuals'!BQ$1400:BQ$1569))</f>
        <v>0</v>
      </c>
      <c r="BN34" s="668">
        <f>IF(BN$4="forecast",AVERAGE(BB34:BM34),SUMIF('Dept. Cost Actuals'!$E$7:$E$176,"*Books and Periodicals*",'Dept. Cost Actuals'!BR$1400:BR$1569))</f>
        <v>0</v>
      </c>
      <c r="BO34" s="668">
        <f>IF(BO$4="forecast",AVERAGE(BC34:BN34),SUMIF('Dept. Cost Actuals'!$E$7:$E$176,"*Books and Periodicals*",'Dept. Cost Actuals'!BS$1400:BS$1569))</f>
        <v>0</v>
      </c>
      <c r="BP34" s="668">
        <f>IF(BP$4="forecast",AVERAGE(BD34:BO34),SUMIF('Dept. Cost Actuals'!$E$7:$E$176,"*Books and Periodicals*",'Dept. Cost Actuals'!BT$1400:BT$1569))</f>
        <v>0</v>
      </c>
      <c r="BQ34" s="668">
        <f>IF(BQ$4="forecast",AVERAGE(BE34:BP34),SUMIF('Dept. Cost Actuals'!$E$7:$E$176,"*Books and Periodicals*",'Dept. Cost Actuals'!BU$1400:BU$1569))</f>
        <v>0</v>
      </c>
      <c r="BR34" s="668">
        <f>IF(BR$4="forecast",AVERAGE(BF34:BQ34),SUMIF('Dept. Cost Actuals'!$E$7:$E$176,"*Books and Periodicals*",'Dept. Cost Actuals'!BV$1400:BV$1569))</f>
        <v>0</v>
      </c>
      <c r="BS34" s="668">
        <f>IF(BS$4="forecast",AVERAGE(BG34:BR34),SUMIF('Dept. Cost Actuals'!$E$7:$E$176,"*Books and Periodicals*",'Dept. Cost Actuals'!BW$1400:BW$1569))</f>
        <v>0</v>
      </c>
      <c r="BT34" s="668">
        <f>IF(BT$4="forecast",AVERAGE(BH34:BS34),SUMIF('Dept. Cost Actuals'!$E$7:$E$176,"*Books and Periodicals*",'Dept. Cost Actuals'!BX$1400:BX$1569))</f>
        <v>0</v>
      </c>
      <c r="BU34" s="668">
        <f>IF(BU$4="forecast",AVERAGE(BI34:BT34),SUMIF('Dept. Cost Actuals'!$E$7:$E$176,"*Books and Periodicals*",'Dept. Cost Actuals'!BY$1400:BY$1569))</f>
        <v>0</v>
      </c>
      <c r="BV34" s="668">
        <f>IF(BV$4="forecast",AVERAGE(BJ34:BU34),SUMIF('Dept. Cost Actuals'!$E$7:$E$176,"*Books and Periodicals*",'Dept. Cost Actuals'!BZ$1400:BZ$1569))</f>
        <v>0</v>
      </c>
    </row>
    <row r="35" spans="2:74" x14ac:dyDescent="0.25">
      <c r="B35" s="794" t="s">
        <v>941</v>
      </c>
      <c r="C35" s="668"/>
      <c r="D35" s="668"/>
      <c r="E35" s="668"/>
      <c r="F35" s="668"/>
      <c r="G35" s="668"/>
      <c r="H35" s="668"/>
      <c r="I35" s="668"/>
      <c r="J35" s="668"/>
      <c r="K35" s="668"/>
      <c r="L35" s="668"/>
      <c r="M35" s="668"/>
      <c r="N35" s="668"/>
      <c r="O35" s="668"/>
      <c r="P35" s="668"/>
      <c r="Q35" s="668"/>
      <c r="R35" s="668"/>
      <c r="S35" s="668"/>
      <c r="T35" s="668"/>
      <c r="U35" s="668"/>
      <c r="V35" s="668"/>
      <c r="W35" s="668"/>
      <c r="X35" s="668"/>
      <c r="Y35" s="668"/>
      <c r="Z35" s="668"/>
      <c r="AA35" s="668">
        <f>IF(AA$4="forecast",AVERAGE(O35:Z35),SUMIF('Dept. Cost Actuals'!$E$7:$E$176,"*Postage and Delivery*",'Dept. Cost Actuals'!AE$1400:AE$1569))</f>
        <v>0</v>
      </c>
      <c r="AB35" s="668">
        <f>IF(AB$4="forecast",AVERAGE(P35:AA35),SUMIF('Dept. Cost Actuals'!$E$7:$E$176,"*Postage and Delivery*",'Dept. Cost Actuals'!AF$1400:AF$1569))</f>
        <v>0</v>
      </c>
      <c r="AC35" s="668">
        <f>IF(AC$4="forecast",AVERAGE(Q35:AB35),SUMIF('Dept. Cost Actuals'!$E$7:$E$176,"*Postage and Delivery*",'Dept. Cost Actuals'!AG$1400:AG$1569))</f>
        <v>0</v>
      </c>
      <c r="AD35" s="668">
        <f>IF(AD$4="forecast",AVERAGE(R35:AC35),SUMIF('Dept. Cost Actuals'!$E$7:$E$176,"*Postage and Delivery*",'Dept. Cost Actuals'!AH$1400:AH$1569))</f>
        <v>0</v>
      </c>
      <c r="AE35" s="668">
        <f>IF(AE$4="forecast",AVERAGE(S35:AD35),SUMIF('Dept. Cost Actuals'!$E$7:$E$176,"*Postage and Delivery*",'Dept. Cost Actuals'!AI$1400:AI$1569))</f>
        <v>0</v>
      </c>
      <c r="AF35" s="668">
        <f>IF(AF$4="forecast",AVERAGE(T35:AE35),SUMIF('Dept. Cost Actuals'!$E$7:$E$176,"*Postage and Delivery*",'Dept. Cost Actuals'!AJ$1400:AJ$1569))</f>
        <v>0</v>
      </c>
      <c r="AG35" s="668">
        <f>IF(AG$4="forecast",AVERAGE(U35:AF35),SUMIF('Dept. Cost Actuals'!$E$7:$E$176,"*Postage and Delivery*",'Dept. Cost Actuals'!AK$1400:AK$1569))</f>
        <v>0</v>
      </c>
      <c r="AH35" s="668">
        <f>IF(AH$4="forecast",AVERAGE(V35:AG35),SUMIF('Dept. Cost Actuals'!$E$7:$E$176,"*Postage and Delivery*",'Dept. Cost Actuals'!AL$1400:AL$1569))</f>
        <v>0</v>
      </c>
      <c r="AI35" s="668">
        <f>IF(AI$4="forecast",AVERAGE(W35:AH35),SUMIF('Dept. Cost Actuals'!$E$7:$E$176,"*Postage and Delivery*",'Dept. Cost Actuals'!AM$1400:AM$1569))</f>
        <v>0</v>
      </c>
      <c r="AJ35" s="668">
        <f>IF(AJ$4="forecast",AVERAGE(X35:AI35),SUMIF('Dept. Cost Actuals'!$E$7:$E$176,"*Postage and Delivery*",'Dept. Cost Actuals'!AN$1400:AN$1569))</f>
        <v>0</v>
      </c>
      <c r="AK35" s="668">
        <f>IF(AK$4="forecast",AVERAGE(Y35:AJ35),SUMIF('Dept. Cost Actuals'!$E$7:$E$176,"*Postage and Delivery*",'Dept. Cost Actuals'!AO$1400:AO$1569))</f>
        <v>0</v>
      </c>
      <c r="AL35" s="668">
        <f>IF(AL$4="forecast",AVERAGE(Z35:AK35),SUMIF('Dept. Cost Actuals'!$E$7:$E$176,"*Postage and Delivery*",'Dept. Cost Actuals'!AP$1400:AP$1569))</f>
        <v>0</v>
      </c>
      <c r="AM35" s="668">
        <f>IF(AM$4="forecast",AVERAGE(AA35:AL35),SUMIF('Dept. Cost Actuals'!$E$7:$E$176,"*Postage and Delivery*",'Dept. Cost Actuals'!AQ$1400:AQ$1569))</f>
        <v>0</v>
      </c>
      <c r="AN35" s="668">
        <f>IF(AN$4="forecast",AVERAGE(AB35:AM35),SUMIF('Dept. Cost Actuals'!$E$7:$E$176,"*Postage and Delivery*",'Dept. Cost Actuals'!AR$1400:AR$1569))</f>
        <v>0</v>
      </c>
      <c r="AO35" s="668">
        <f>IF(AO$4="forecast",AVERAGE(AC35:AN35),SUMIF('Dept. Cost Actuals'!$E$7:$E$176,"*Postage and Delivery*",'Dept. Cost Actuals'!AS$1400:AS$1569))</f>
        <v>0</v>
      </c>
      <c r="AP35" s="668">
        <f>IF(AP$4="forecast",AVERAGE(AD35:AO35),SUMIF('Dept. Cost Actuals'!$E$7:$E$176,"*Postage and Delivery*",'Dept. Cost Actuals'!AT$1400:AT$1569))</f>
        <v>0</v>
      </c>
      <c r="AQ35" s="668">
        <f>IF(AQ$4="forecast",AVERAGE(AE35:AP35),SUMIF('Dept. Cost Actuals'!$E$7:$E$176,"*Postage and Delivery*",'Dept. Cost Actuals'!AU$1400:AU$1569))</f>
        <v>0</v>
      </c>
      <c r="AR35" s="668">
        <f>IF(AR$4="forecast",AVERAGE(AF35:AQ35),SUMIF('Dept. Cost Actuals'!$E$7:$E$176,"*Postage and Delivery*",'Dept. Cost Actuals'!AV$1400:AV$1569))</f>
        <v>0</v>
      </c>
      <c r="AS35" s="668">
        <f>IF(AS$4="forecast",AVERAGE(AG35:AR35),SUMIF('Dept. Cost Actuals'!$E$7:$E$176,"*Postage and Delivery*",'Dept. Cost Actuals'!AW$1400:AW$1569))</f>
        <v>0</v>
      </c>
      <c r="AT35" s="668">
        <f>IF(AT$4="forecast",AVERAGE(AH35:AS35),SUMIF('Dept. Cost Actuals'!$E$7:$E$176,"*Postage and Delivery*",'Dept. Cost Actuals'!AX$1400:AX$1569))</f>
        <v>0</v>
      </c>
      <c r="AU35" s="668">
        <f>IF(AU$4="forecast",AVERAGE(AI35:AT35),SUMIF('Dept. Cost Actuals'!$E$7:$E$176,"*Postage and Delivery*",'Dept. Cost Actuals'!AY$1400:AY$1569))</f>
        <v>0</v>
      </c>
      <c r="AV35" s="668">
        <f>IF(AV$4="forecast",AVERAGE(AJ35:AU35),SUMIF('Dept. Cost Actuals'!$E$7:$E$176,"*Postage and Delivery*",'Dept. Cost Actuals'!AZ$1400:AZ$1569))</f>
        <v>0</v>
      </c>
      <c r="AW35" s="668">
        <f>IF(AW$4="forecast",AVERAGE(AK35:AV35),SUMIF('Dept. Cost Actuals'!$E$7:$E$176,"*Postage and Delivery*",'Dept. Cost Actuals'!BA$1400:BA$1569))</f>
        <v>0</v>
      </c>
      <c r="AX35" s="668">
        <f>IF(AX$4="forecast",AVERAGE(AL35:AW35),SUMIF('Dept. Cost Actuals'!$E$7:$E$176,"*Postage and Delivery*",'Dept. Cost Actuals'!BB$1400:BB$1569))</f>
        <v>0</v>
      </c>
      <c r="AY35" s="668">
        <f>IF(AY$4="forecast",AVERAGE(AM35:AX35),SUMIF('Dept. Cost Actuals'!$E$7:$E$176,"*Postage and Delivery*",'Dept. Cost Actuals'!BC$1400:BC$1569))</f>
        <v>0</v>
      </c>
      <c r="AZ35" s="668">
        <f>IF(AZ$4="forecast",AVERAGE(AN35:AY35),SUMIF('Dept. Cost Actuals'!$E$7:$E$176,"*Postage and Delivery*",'Dept. Cost Actuals'!BD$1400:BD$1569))</f>
        <v>0</v>
      </c>
      <c r="BA35" s="668">
        <f>IF(BA$4="forecast",AVERAGE(AO35:AZ35),SUMIF('Dept. Cost Actuals'!$E$7:$E$176,"*Postage and Delivery*",'Dept. Cost Actuals'!BE$1400:BE$1569))</f>
        <v>0</v>
      </c>
      <c r="BB35" s="668">
        <f>IF(BB$4="forecast",AVERAGE(AP35:BA35),SUMIF('Dept. Cost Actuals'!$E$7:$E$176,"*Postage and Delivery*",'Dept. Cost Actuals'!BF$1400:BF$1569))</f>
        <v>0</v>
      </c>
      <c r="BC35" s="668">
        <f>IF(BC$4="forecast",AVERAGE(AQ35:BB35),SUMIF('Dept. Cost Actuals'!$E$7:$E$176,"*Postage and Delivery*",'Dept. Cost Actuals'!BG$1400:BG$1569))</f>
        <v>0</v>
      </c>
      <c r="BD35" s="668">
        <f>IF(BD$4="forecast",AVERAGE(AR35:BC35),SUMIF('Dept. Cost Actuals'!$E$7:$E$176,"*Postage and Delivery*",'Dept. Cost Actuals'!BH$1400:BH$1569))</f>
        <v>0</v>
      </c>
      <c r="BE35" s="668">
        <f>IF(BE$4="forecast",AVERAGE(AS35:BD35),SUMIF('Dept. Cost Actuals'!$E$7:$E$176,"*Postage and Delivery*",'Dept. Cost Actuals'!BI$1400:BI$1569))</f>
        <v>0</v>
      </c>
      <c r="BF35" s="668">
        <f>IF(BF$4="forecast",AVERAGE(AT35:BE35),SUMIF('Dept. Cost Actuals'!$E$7:$E$176,"*Postage and Delivery*",'Dept. Cost Actuals'!BJ$1400:BJ$1569))</f>
        <v>0</v>
      </c>
      <c r="BG35" s="668">
        <f>IF(BG$4="forecast",AVERAGE(AU35:BF35),SUMIF('Dept. Cost Actuals'!$E$7:$E$176,"*Postage and Delivery*",'Dept. Cost Actuals'!BK$1400:BK$1569))</f>
        <v>0</v>
      </c>
      <c r="BH35" s="668">
        <f>IF(BH$4="forecast",AVERAGE(AV35:BG35),SUMIF('Dept. Cost Actuals'!$E$7:$E$176,"*Postage and Delivery*",'Dept. Cost Actuals'!BL$1400:BL$1569))</f>
        <v>0</v>
      </c>
      <c r="BI35" s="668">
        <f>IF(BI$4="forecast",AVERAGE(AW35:BH35),SUMIF('Dept. Cost Actuals'!$E$7:$E$176,"*Postage and Delivery*",'Dept. Cost Actuals'!BM$1400:BM$1569))</f>
        <v>0</v>
      </c>
      <c r="BJ35" s="668">
        <f>IF(BJ$4="forecast",AVERAGE(AX35:BI35),SUMIF('Dept. Cost Actuals'!$E$7:$E$176,"*Postage and Delivery*",'Dept. Cost Actuals'!BN$1400:BN$1569))</f>
        <v>0</v>
      </c>
      <c r="BK35" s="668">
        <f>IF(BK$4="forecast",AVERAGE(AY35:BJ35),SUMIF('Dept. Cost Actuals'!$E$7:$E$176,"*Postage and Delivery*",'Dept. Cost Actuals'!BO$1400:BO$1569))</f>
        <v>0</v>
      </c>
      <c r="BL35" s="668">
        <f>IF(BL$4="forecast",AVERAGE(AZ35:BK35),SUMIF('Dept. Cost Actuals'!$E$7:$E$176,"*Postage and Delivery*",'Dept. Cost Actuals'!BP$1400:BP$1569))</f>
        <v>0</v>
      </c>
      <c r="BM35" s="668">
        <f>IF(BM$4="forecast",AVERAGE(BA35:BL35),SUMIF('Dept. Cost Actuals'!$E$7:$E$176,"*Postage and Delivery*",'Dept. Cost Actuals'!BQ$1400:BQ$1569))</f>
        <v>0</v>
      </c>
      <c r="BN35" s="668">
        <f>IF(BN$4="forecast",AVERAGE(BB35:BM35),SUMIF('Dept. Cost Actuals'!$E$7:$E$176,"*Postage and Delivery*",'Dept. Cost Actuals'!BR$1400:BR$1569))</f>
        <v>0</v>
      </c>
      <c r="BO35" s="668">
        <f>IF(BO$4="forecast",AVERAGE(BC35:BN35),SUMIF('Dept. Cost Actuals'!$E$7:$E$176,"*Postage and Delivery*",'Dept. Cost Actuals'!BS$1400:BS$1569))</f>
        <v>0</v>
      </c>
      <c r="BP35" s="668">
        <f>IF(BP$4="forecast",AVERAGE(BD35:BO35),SUMIF('Dept. Cost Actuals'!$E$7:$E$176,"*Postage and Delivery*",'Dept. Cost Actuals'!BT$1400:BT$1569))</f>
        <v>0</v>
      </c>
      <c r="BQ35" s="668">
        <f>IF(BQ$4="forecast",AVERAGE(BE35:BP35),SUMIF('Dept. Cost Actuals'!$E$7:$E$176,"*Postage and Delivery*",'Dept. Cost Actuals'!BU$1400:BU$1569))</f>
        <v>0</v>
      </c>
      <c r="BR35" s="668">
        <f>IF(BR$4="forecast",AVERAGE(BF35:BQ35),SUMIF('Dept. Cost Actuals'!$E$7:$E$176,"*Postage and Delivery*",'Dept. Cost Actuals'!BV$1400:BV$1569))</f>
        <v>0</v>
      </c>
      <c r="BS35" s="668">
        <f>IF(BS$4="forecast",AVERAGE(BG35:BR35),SUMIF('Dept. Cost Actuals'!$E$7:$E$176,"*Postage and Delivery*",'Dept. Cost Actuals'!BW$1400:BW$1569))</f>
        <v>0</v>
      </c>
      <c r="BT35" s="668">
        <f>IF(BT$4="forecast",AVERAGE(BH35:BS35),SUMIF('Dept. Cost Actuals'!$E$7:$E$176,"*Postage and Delivery*",'Dept. Cost Actuals'!BX$1400:BX$1569))</f>
        <v>0</v>
      </c>
      <c r="BU35" s="668">
        <f>IF(BU$4="forecast",AVERAGE(BI35:BT35),SUMIF('Dept. Cost Actuals'!$E$7:$E$176,"*Postage and Delivery*",'Dept. Cost Actuals'!BY$1400:BY$1569))</f>
        <v>0</v>
      </c>
      <c r="BV35" s="668">
        <f>IF(BV$4="forecast",AVERAGE(BJ35:BU35),SUMIF('Dept. Cost Actuals'!$E$7:$E$176,"*Postage and Delivery*",'Dept. Cost Actuals'!BZ$1400:BZ$1569))</f>
        <v>0</v>
      </c>
    </row>
    <row r="36" spans="2:74" x14ac:dyDescent="0.25">
      <c r="B36" s="794" t="s">
        <v>942</v>
      </c>
      <c r="C36" s="668"/>
      <c r="D36" s="668"/>
      <c r="E36" s="668"/>
      <c r="F36" s="668"/>
      <c r="G36" s="668"/>
      <c r="H36" s="668"/>
      <c r="I36" s="668"/>
      <c r="J36" s="668"/>
      <c r="K36" s="668"/>
      <c r="L36" s="668"/>
      <c r="M36" s="668"/>
      <c r="N36" s="668"/>
      <c r="O36" s="668"/>
      <c r="P36" s="668"/>
      <c r="Q36" s="668"/>
      <c r="R36" s="668"/>
      <c r="S36" s="668"/>
      <c r="T36" s="668"/>
      <c r="U36" s="668"/>
      <c r="V36" s="668"/>
      <c r="W36" s="668"/>
      <c r="X36" s="668"/>
      <c r="Y36" s="668"/>
      <c r="Z36" s="668"/>
      <c r="AA36" s="668">
        <f>IF(AA$4="forecast",AVERAGE(O36:Z36),SUMIF('Dept. Cost Actuals'!$E$7:$E$176,"*Computer Supplies*",'Dept. Cost Actuals'!AE$1400:AE$1569))</f>
        <v>0</v>
      </c>
      <c r="AB36" s="668">
        <f>IF(AB$4="forecast",AVERAGE(P36:AA36),SUMIF('Dept. Cost Actuals'!$E$7:$E$176,"*Computer Supplies*",'Dept. Cost Actuals'!AF$1400:AF$1569))</f>
        <v>0</v>
      </c>
      <c r="AC36" s="668">
        <f>IF(AC$4="forecast",AVERAGE(Q36:AB36),SUMIF('Dept. Cost Actuals'!$E$7:$E$176,"*Computer Supplies*",'Dept. Cost Actuals'!AG$1400:AG$1569))</f>
        <v>0</v>
      </c>
      <c r="AD36" s="668">
        <f>IF(AD$4="forecast",AVERAGE(R36:AC36),SUMIF('Dept. Cost Actuals'!$E$7:$E$176,"*Computer Supplies*",'Dept. Cost Actuals'!AH$1400:AH$1569))</f>
        <v>0</v>
      </c>
      <c r="AE36" s="668">
        <f>IF(AE$4="forecast",AVERAGE(S36:AD36),SUMIF('Dept. Cost Actuals'!$E$7:$E$176,"*Computer Supplies*",'Dept. Cost Actuals'!AI$1400:AI$1569))</f>
        <v>0</v>
      </c>
      <c r="AF36" s="668">
        <f>IF(AF$4="forecast",AVERAGE(T36:AE36),SUMIF('Dept. Cost Actuals'!$E$7:$E$176,"*Computer Supplies*",'Dept. Cost Actuals'!AJ$1400:AJ$1569))</f>
        <v>0</v>
      </c>
      <c r="AG36" s="668">
        <f>IF(AG$4="forecast",AVERAGE(U36:AF36),SUMIF('Dept. Cost Actuals'!$E$7:$E$176,"*Computer Supplies*",'Dept. Cost Actuals'!AK$1400:AK$1569))</f>
        <v>0</v>
      </c>
      <c r="AH36" s="668">
        <f>IF(AH$4="forecast",AVERAGE(V36:AG36),SUMIF('Dept. Cost Actuals'!$E$7:$E$176,"*Computer Supplies*",'Dept. Cost Actuals'!AL$1400:AL$1569))</f>
        <v>0</v>
      </c>
      <c r="AI36" s="668">
        <f>IF(AI$4="forecast",AVERAGE(W36:AH36),SUMIF('Dept. Cost Actuals'!$E$7:$E$176,"*Computer Supplies*",'Dept. Cost Actuals'!AM$1400:AM$1569))</f>
        <v>0</v>
      </c>
      <c r="AJ36" s="668">
        <f>IF(AJ$4="forecast",AVERAGE(X36:AI36),SUMIF('Dept. Cost Actuals'!$E$7:$E$176,"*Computer Supplies*",'Dept. Cost Actuals'!AN$1400:AN$1569))</f>
        <v>0</v>
      </c>
      <c r="AK36" s="668">
        <f>IF(AK$4="forecast",AVERAGE(Y36:AJ36),SUMIF('Dept. Cost Actuals'!$E$7:$E$176,"*Computer Supplies*",'Dept. Cost Actuals'!AO$1400:AO$1569))</f>
        <v>0</v>
      </c>
      <c r="AL36" s="668">
        <f>IF(AL$4="forecast",AVERAGE(Z36:AK36),SUMIF('Dept. Cost Actuals'!$E$7:$E$176,"*Computer Supplies*",'Dept. Cost Actuals'!AP$1400:AP$1569))</f>
        <v>0</v>
      </c>
      <c r="AM36" s="668">
        <f>IF(AM$4="forecast",AVERAGE(AA36:AL36),SUMIF('Dept. Cost Actuals'!$E$7:$E$176,"*Computer Supplies*",'Dept. Cost Actuals'!AQ$1400:AQ$1569))</f>
        <v>0</v>
      </c>
      <c r="AN36" s="668">
        <f>IF(AN$4="forecast",AVERAGE(AB36:AM36),SUMIF('Dept. Cost Actuals'!$E$7:$E$176,"*Computer Supplies*",'Dept. Cost Actuals'!AR$1400:AR$1569))</f>
        <v>0</v>
      </c>
      <c r="AO36" s="668">
        <f>IF(AO$4="forecast",AVERAGE(AC36:AN36),SUMIF('Dept. Cost Actuals'!$E$7:$E$176,"*Computer Supplies*",'Dept. Cost Actuals'!AS$1400:AS$1569))</f>
        <v>0</v>
      </c>
      <c r="AP36" s="668">
        <f>IF(AP$4="forecast",AVERAGE(AD36:AO36),SUMIF('Dept. Cost Actuals'!$E$7:$E$176,"*Computer Supplies*",'Dept. Cost Actuals'!AT$1400:AT$1569))</f>
        <v>0</v>
      </c>
      <c r="AQ36" s="668">
        <f>IF(AQ$4="forecast",AVERAGE(AE36:AP36),SUMIF('Dept. Cost Actuals'!$E$7:$E$176,"*Computer Supplies*",'Dept. Cost Actuals'!AU$1400:AU$1569))</f>
        <v>0</v>
      </c>
      <c r="AR36" s="668">
        <f>IF(AR$4="forecast",AVERAGE(AF36:AQ36),SUMIF('Dept. Cost Actuals'!$E$7:$E$176,"*Computer Supplies*",'Dept. Cost Actuals'!AV$1400:AV$1569))</f>
        <v>0</v>
      </c>
      <c r="AS36" s="668">
        <f>IF(AS$4="forecast",AVERAGE(AG36:AR36),SUMIF('Dept. Cost Actuals'!$E$7:$E$176,"*Computer Supplies*",'Dept. Cost Actuals'!AW$1400:AW$1569))</f>
        <v>0</v>
      </c>
      <c r="AT36" s="668">
        <f>IF(AT$4="forecast",AVERAGE(AH36:AS36),SUMIF('Dept. Cost Actuals'!$E$7:$E$176,"*Computer Supplies*",'Dept. Cost Actuals'!AX$1400:AX$1569))</f>
        <v>0</v>
      </c>
      <c r="AU36" s="668">
        <f>IF(AU$4="forecast",AVERAGE(AI36:AT36),SUMIF('Dept. Cost Actuals'!$E$7:$E$176,"*Computer Supplies*",'Dept. Cost Actuals'!AY$1400:AY$1569))</f>
        <v>0</v>
      </c>
      <c r="AV36" s="668">
        <f>IF(AV$4="forecast",AVERAGE(AJ36:AU36),SUMIF('Dept. Cost Actuals'!$E$7:$E$176,"*Computer Supplies*",'Dept. Cost Actuals'!AZ$1400:AZ$1569))</f>
        <v>0</v>
      </c>
      <c r="AW36" s="668">
        <f>IF(AW$4="forecast",AVERAGE(AK36:AV36),SUMIF('Dept. Cost Actuals'!$E$7:$E$176,"*Computer Supplies*",'Dept. Cost Actuals'!BA$1400:BA$1569))</f>
        <v>0</v>
      </c>
      <c r="AX36" s="668">
        <f>IF(AX$4="forecast",AVERAGE(AL36:AW36),SUMIF('Dept. Cost Actuals'!$E$7:$E$176,"*Computer Supplies*",'Dept. Cost Actuals'!BB$1400:BB$1569))</f>
        <v>0</v>
      </c>
      <c r="AY36" s="668">
        <f>IF(AY$4="forecast",AVERAGE(AM36:AX36),SUMIF('Dept. Cost Actuals'!$E$7:$E$176,"*Computer Supplies*",'Dept. Cost Actuals'!BC$1400:BC$1569))</f>
        <v>0</v>
      </c>
      <c r="AZ36" s="668">
        <f>IF(AZ$4="forecast",AVERAGE(AN36:AY36),SUMIF('Dept. Cost Actuals'!$E$7:$E$176,"*Computer Supplies*",'Dept. Cost Actuals'!BD$1400:BD$1569))</f>
        <v>0</v>
      </c>
      <c r="BA36" s="668">
        <f>IF(BA$4="forecast",AVERAGE(AO36:AZ36),SUMIF('Dept. Cost Actuals'!$E$7:$E$176,"*Computer Supplies*",'Dept. Cost Actuals'!BE$1400:BE$1569))</f>
        <v>0</v>
      </c>
      <c r="BB36" s="668">
        <f>IF(BB$4="forecast",AVERAGE(AP36:BA36),SUMIF('Dept. Cost Actuals'!$E$7:$E$176,"*Computer Supplies*",'Dept. Cost Actuals'!BF$1400:BF$1569))</f>
        <v>0</v>
      </c>
      <c r="BC36" s="668">
        <f>IF(BC$4="forecast",AVERAGE(AQ36:BB36),SUMIF('Dept. Cost Actuals'!$E$7:$E$176,"*Computer Supplies*",'Dept. Cost Actuals'!BG$1400:BG$1569))</f>
        <v>0</v>
      </c>
      <c r="BD36" s="668">
        <f>IF(BD$4="forecast",AVERAGE(AR36:BC36),SUMIF('Dept. Cost Actuals'!$E$7:$E$176,"*Computer Supplies*",'Dept. Cost Actuals'!BH$1400:BH$1569))</f>
        <v>0</v>
      </c>
      <c r="BE36" s="668">
        <f>IF(BE$4="forecast",AVERAGE(AS36:BD36),SUMIF('Dept. Cost Actuals'!$E$7:$E$176,"*Computer Supplies*",'Dept. Cost Actuals'!BI$1400:BI$1569))</f>
        <v>0</v>
      </c>
      <c r="BF36" s="668">
        <f>IF(BF$4="forecast",AVERAGE(AT36:BE36),SUMIF('Dept. Cost Actuals'!$E$7:$E$176,"*Computer Supplies*",'Dept. Cost Actuals'!BJ$1400:BJ$1569))</f>
        <v>0</v>
      </c>
      <c r="BG36" s="668">
        <f>IF(BG$4="forecast",AVERAGE(AU36:BF36),SUMIF('Dept. Cost Actuals'!$E$7:$E$176,"*Computer Supplies*",'Dept. Cost Actuals'!BK$1400:BK$1569))</f>
        <v>0</v>
      </c>
      <c r="BH36" s="668">
        <f>IF(BH$4="forecast",AVERAGE(AV36:BG36),SUMIF('Dept. Cost Actuals'!$E$7:$E$176,"*Computer Supplies*",'Dept. Cost Actuals'!BL$1400:BL$1569))</f>
        <v>0</v>
      </c>
      <c r="BI36" s="668">
        <f>IF(BI$4="forecast",AVERAGE(AW36:BH36),SUMIF('Dept. Cost Actuals'!$E$7:$E$176,"*Computer Supplies*",'Dept. Cost Actuals'!BM$1400:BM$1569))</f>
        <v>0</v>
      </c>
      <c r="BJ36" s="668">
        <f>IF(BJ$4="forecast",AVERAGE(AX36:BI36),SUMIF('Dept. Cost Actuals'!$E$7:$E$176,"*Computer Supplies*",'Dept. Cost Actuals'!BN$1400:BN$1569))</f>
        <v>0</v>
      </c>
      <c r="BK36" s="668">
        <f>IF(BK$4="forecast",AVERAGE(AY36:BJ36),SUMIF('Dept. Cost Actuals'!$E$7:$E$176,"*Computer Supplies*",'Dept. Cost Actuals'!BO$1400:BO$1569))</f>
        <v>0</v>
      </c>
      <c r="BL36" s="668">
        <f>IF(BL$4="forecast",AVERAGE(AZ36:BK36),SUMIF('Dept. Cost Actuals'!$E$7:$E$176,"*Computer Supplies*",'Dept. Cost Actuals'!BP$1400:BP$1569))</f>
        <v>0</v>
      </c>
      <c r="BM36" s="668">
        <f>IF(BM$4="forecast",AVERAGE(BA36:BL36),SUMIF('Dept. Cost Actuals'!$E$7:$E$176,"*Computer Supplies*",'Dept. Cost Actuals'!BQ$1400:BQ$1569))</f>
        <v>0</v>
      </c>
      <c r="BN36" s="668">
        <f>IF(BN$4="forecast",AVERAGE(BB36:BM36),SUMIF('Dept. Cost Actuals'!$E$7:$E$176,"*Computer Supplies*",'Dept. Cost Actuals'!BR$1400:BR$1569))</f>
        <v>0</v>
      </c>
      <c r="BO36" s="668">
        <f>IF(BO$4="forecast",AVERAGE(BC36:BN36),SUMIF('Dept. Cost Actuals'!$E$7:$E$176,"*Computer Supplies*",'Dept. Cost Actuals'!BS$1400:BS$1569))</f>
        <v>0</v>
      </c>
      <c r="BP36" s="668">
        <f>IF(BP$4="forecast",AVERAGE(BD36:BO36),SUMIF('Dept. Cost Actuals'!$E$7:$E$176,"*Computer Supplies*",'Dept. Cost Actuals'!BT$1400:BT$1569))</f>
        <v>0</v>
      </c>
      <c r="BQ36" s="668">
        <f>IF(BQ$4="forecast",AVERAGE(BE36:BP36),SUMIF('Dept. Cost Actuals'!$E$7:$E$176,"*Computer Supplies*",'Dept. Cost Actuals'!BU$1400:BU$1569))</f>
        <v>0</v>
      </c>
      <c r="BR36" s="668">
        <f>IF(BR$4="forecast",AVERAGE(BF36:BQ36),SUMIF('Dept. Cost Actuals'!$E$7:$E$176,"*Computer Supplies*",'Dept. Cost Actuals'!BV$1400:BV$1569))</f>
        <v>0</v>
      </c>
      <c r="BS36" s="668">
        <f>IF(BS$4="forecast",AVERAGE(BG36:BR36),SUMIF('Dept. Cost Actuals'!$E$7:$E$176,"*Computer Supplies*",'Dept. Cost Actuals'!BW$1400:BW$1569))</f>
        <v>0</v>
      </c>
      <c r="BT36" s="668">
        <f>IF(BT$4="forecast",AVERAGE(BH36:BS36),SUMIF('Dept. Cost Actuals'!$E$7:$E$176,"*Computer Supplies*",'Dept. Cost Actuals'!BX$1400:BX$1569))</f>
        <v>0</v>
      </c>
      <c r="BU36" s="668">
        <f>IF(BU$4="forecast",AVERAGE(BI36:BT36),SUMIF('Dept. Cost Actuals'!$E$7:$E$176,"*Computer Supplies*",'Dept. Cost Actuals'!BY$1400:BY$1569))</f>
        <v>0</v>
      </c>
      <c r="BV36" s="668">
        <f>IF(BV$4="forecast",AVERAGE(BJ36:BU36),SUMIF('Dept. Cost Actuals'!$E$7:$E$176,"*Computer Supplies*",'Dept. Cost Actuals'!BZ$1400:BZ$1569))</f>
        <v>0</v>
      </c>
    </row>
    <row r="37" spans="2:74" x14ac:dyDescent="0.25">
      <c r="B37" s="794" t="s">
        <v>943</v>
      </c>
      <c r="C37" s="668"/>
      <c r="D37" s="668"/>
      <c r="E37" s="668"/>
      <c r="F37" s="668"/>
      <c r="G37" s="668"/>
      <c r="H37" s="668"/>
      <c r="I37" s="668"/>
      <c r="J37" s="668"/>
      <c r="K37" s="668"/>
      <c r="L37" s="668"/>
      <c r="M37" s="668"/>
      <c r="N37" s="668"/>
      <c r="O37" s="668"/>
      <c r="P37" s="668"/>
      <c r="Q37" s="668"/>
      <c r="R37" s="668"/>
      <c r="S37" s="668"/>
      <c r="T37" s="668"/>
      <c r="U37" s="668"/>
      <c r="V37" s="668"/>
      <c r="W37" s="668"/>
      <c r="X37" s="668"/>
      <c r="Y37" s="668"/>
      <c r="Z37" s="668"/>
      <c r="AA37" s="668">
        <f>IF(AA$4="forecast",AVERAGE(O37:Z37),SUMIF('Dept. Cost Actuals'!$E$7:$E$176,"*Printing and Reproduction*",'Dept. Cost Actuals'!AE$1400:AE$1569))</f>
        <v>0</v>
      </c>
      <c r="AB37" s="668">
        <f>IF(AB$4="forecast",AVERAGE(P37:AA37),SUMIF('Dept. Cost Actuals'!$E$7:$E$176,"*Printing and Reproduction*",'Dept. Cost Actuals'!AF$1400:AF$1569))</f>
        <v>0</v>
      </c>
      <c r="AC37" s="668">
        <f>IF(AC$4="forecast",AVERAGE(Q37:AB37),SUMIF('Dept. Cost Actuals'!$E$7:$E$176,"*Printing and Reproduction*",'Dept. Cost Actuals'!AG$1400:AG$1569))</f>
        <v>0</v>
      </c>
      <c r="AD37" s="668">
        <f>IF(AD$4="forecast",AVERAGE(R37:AC37),SUMIF('Dept. Cost Actuals'!$E$7:$E$176,"*Printing and Reproduction*",'Dept. Cost Actuals'!AH$1400:AH$1569))</f>
        <v>0</v>
      </c>
      <c r="AE37" s="668">
        <f>IF(AE$4="forecast",AVERAGE(S37:AD37),SUMIF('Dept. Cost Actuals'!$E$7:$E$176,"*Printing and Reproduction*",'Dept. Cost Actuals'!AI$1400:AI$1569))</f>
        <v>0</v>
      </c>
      <c r="AF37" s="668">
        <f>IF(AF$4="forecast",AVERAGE(T37:AE37),SUMIF('Dept. Cost Actuals'!$E$7:$E$176,"*Printing and Reproduction*",'Dept. Cost Actuals'!AJ$1400:AJ$1569))</f>
        <v>0</v>
      </c>
      <c r="AG37" s="668">
        <f>IF(AG$4="forecast",AVERAGE(U37:AF37),SUMIF('Dept. Cost Actuals'!$E$7:$E$176,"*Printing and Reproduction*",'Dept. Cost Actuals'!AK$1400:AK$1569))</f>
        <v>0</v>
      </c>
      <c r="AH37" s="668">
        <f>IF(AH$4="forecast",AVERAGE(V37:AG37),SUMIF('Dept. Cost Actuals'!$E$7:$E$176,"*Printing and Reproduction*",'Dept. Cost Actuals'!AL$1400:AL$1569))</f>
        <v>0</v>
      </c>
      <c r="AI37" s="668">
        <f>IF(AI$4="forecast",AVERAGE(W37:AH37),SUMIF('Dept. Cost Actuals'!$E$7:$E$176,"*Printing and Reproduction*",'Dept. Cost Actuals'!AM$1400:AM$1569))</f>
        <v>0</v>
      </c>
      <c r="AJ37" s="668">
        <f>IF(AJ$4="forecast",AVERAGE(X37:AI37),SUMIF('Dept. Cost Actuals'!$E$7:$E$176,"*Printing and Reproduction*",'Dept. Cost Actuals'!AN$1400:AN$1569))</f>
        <v>0</v>
      </c>
      <c r="AK37" s="668">
        <f>IF(AK$4="forecast",AVERAGE(Y37:AJ37),SUMIF('Dept. Cost Actuals'!$E$7:$E$176,"*Printing and Reproduction*",'Dept. Cost Actuals'!AO$1400:AO$1569))</f>
        <v>0</v>
      </c>
      <c r="AL37" s="668">
        <f>IF(AL$4="forecast",AVERAGE(Z37:AK37),SUMIF('Dept. Cost Actuals'!$E$7:$E$176,"*Printing and Reproduction*",'Dept. Cost Actuals'!AP$1400:AP$1569))</f>
        <v>0</v>
      </c>
      <c r="AM37" s="668">
        <f>IF(AM$4="forecast",AVERAGE(AA37:AL37),SUMIF('Dept. Cost Actuals'!$E$7:$E$176,"*Printing and Reproduction*",'Dept. Cost Actuals'!AQ$1400:AQ$1569))</f>
        <v>0</v>
      </c>
      <c r="AN37" s="668">
        <f>IF(AN$4="forecast",AVERAGE(AB37:AM37),SUMIF('Dept. Cost Actuals'!$E$7:$E$176,"*Printing and Reproduction*",'Dept. Cost Actuals'!AR$1400:AR$1569))</f>
        <v>0</v>
      </c>
      <c r="AO37" s="668">
        <f>IF(AO$4="forecast",AVERAGE(AC37:AN37),SUMIF('Dept. Cost Actuals'!$E$7:$E$176,"*Printing and Reproduction*",'Dept. Cost Actuals'!AS$1400:AS$1569))</f>
        <v>0</v>
      </c>
      <c r="AP37" s="668">
        <f>IF(AP$4="forecast",AVERAGE(AD37:AO37),SUMIF('Dept. Cost Actuals'!$E$7:$E$176,"*Printing and Reproduction*",'Dept. Cost Actuals'!AT$1400:AT$1569))</f>
        <v>0</v>
      </c>
      <c r="AQ37" s="668">
        <f>IF(AQ$4="forecast",AVERAGE(AE37:AP37),SUMIF('Dept. Cost Actuals'!$E$7:$E$176,"*Printing and Reproduction*",'Dept. Cost Actuals'!AU$1400:AU$1569))</f>
        <v>0</v>
      </c>
      <c r="AR37" s="668">
        <f>IF(AR$4="forecast",AVERAGE(AF37:AQ37),SUMIF('Dept. Cost Actuals'!$E$7:$E$176,"*Printing and Reproduction*",'Dept. Cost Actuals'!AV$1400:AV$1569))</f>
        <v>0</v>
      </c>
      <c r="AS37" s="668">
        <f>IF(AS$4="forecast",AVERAGE(AG37:AR37),SUMIF('Dept. Cost Actuals'!$E$7:$E$176,"*Printing and Reproduction*",'Dept. Cost Actuals'!AW$1400:AW$1569))</f>
        <v>0</v>
      </c>
      <c r="AT37" s="668">
        <f>IF(AT$4="forecast",AVERAGE(AH37:AS37),SUMIF('Dept. Cost Actuals'!$E$7:$E$176,"*Printing and Reproduction*",'Dept. Cost Actuals'!AX$1400:AX$1569))</f>
        <v>0</v>
      </c>
      <c r="AU37" s="668">
        <f>IF(AU$4="forecast",AVERAGE(AI37:AT37),SUMIF('Dept. Cost Actuals'!$E$7:$E$176,"*Printing and Reproduction*",'Dept. Cost Actuals'!AY$1400:AY$1569))</f>
        <v>0</v>
      </c>
      <c r="AV37" s="668">
        <f>IF(AV$4="forecast",AVERAGE(AJ37:AU37),SUMIF('Dept. Cost Actuals'!$E$7:$E$176,"*Printing and Reproduction*",'Dept. Cost Actuals'!AZ$1400:AZ$1569))</f>
        <v>0</v>
      </c>
      <c r="AW37" s="668">
        <f>IF(AW$4="forecast",AVERAGE(AK37:AV37),SUMIF('Dept. Cost Actuals'!$E$7:$E$176,"*Printing and Reproduction*",'Dept. Cost Actuals'!BA$1400:BA$1569))</f>
        <v>0</v>
      </c>
      <c r="AX37" s="668">
        <f>IF(AX$4="forecast",AVERAGE(AL37:AW37),SUMIF('Dept. Cost Actuals'!$E$7:$E$176,"*Printing and Reproduction*",'Dept. Cost Actuals'!BB$1400:BB$1569))</f>
        <v>0</v>
      </c>
      <c r="AY37" s="668">
        <f>IF(AY$4="forecast",AVERAGE(AM37:AX37),SUMIF('Dept. Cost Actuals'!$E$7:$E$176,"*Printing and Reproduction*",'Dept. Cost Actuals'!BC$1400:BC$1569))</f>
        <v>0</v>
      </c>
      <c r="AZ37" s="668">
        <f>IF(AZ$4="forecast",AVERAGE(AN37:AY37),SUMIF('Dept. Cost Actuals'!$E$7:$E$176,"*Printing and Reproduction*",'Dept. Cost Actuals'!BD$1400:BD$1569))</f>
        <v>0</v>
      </c>
      <c r="BA37" s="668">
        <f>IF(BA$4="forecast",AVERAGE(AO37:AZ37),SUMIF('Dept. Cost Actuals'!$E$7:$E$176,"*Printing and Reproduction*",'Dept. Cost Actuals'!BE$1400:BE$1569))</f>
        <v>0</v>
      </c>
      <c r="BB37" s="668">
        <f>IF(BB$4="forecast",AVERAGE(AP37:BA37),SUMIF('Dept. Cost Actuals'!$E$7:$E$176,"*Printing and Reproduction*",'Dept. Cost Actuals'!BF$1400:BF$1569))</f>
        <v>0</v>
      </c>
      <c r="BC37" s="668">
        <f>IF(BC$4="forecast",AVERAGE(AQ37:BB37),SUMIF('Dept. Cost Actuals'!$E$7:$E$176,"*Printing and Reproduction*",'Dept. Cost Actuals'!BG$1400:BG$1569))</f>
        <v>0</v>
      </c>
      <c r="BD37" s="668">
        <f>IF(BD$4="forecast",AVERAGE(AR37:BC37),SUMIF('Dept. Cost Actuals'!$E$7:$E$176,"*Printing and Reproduction*",'Dept. Cost Actuals'!BH$1400:BH$1569))</f>
        <v>0</v>
      </c>
      <c r="BE37" s="668">
        <f>IF(BE$4="forecast",AVERAGE(AS37:BD37),SUMIF('Dept. Cost Actuals'!$E$7:$E$176,"*Printing and Reproduction*",'Dept. Cost Actuals'!BI$1400:BI$1569))</f>
        <v>0</v>
      </c>
      <c r="BF37" s="668">
        <f>IF(BF$4="forecast",AVERAGE(AT37:BE37),SUMIF('Dept. Cost Actuals'!$E$7:$E$176,"*Printing and Reproduction*",'Dept. Cost Actuals'!BJ$1400:BJ$1569))</f>
        <v>0</v>
      </c>
      <c r="BG37" s="668">
        <f>IF(BG$4="forecast",AVERAGE(AU37:BF37),SUMIF('Dept. Cost Actuals'!$E$7:$E$176,"*Printing and Reproduction*",'Dept. Cost Actuals'!BK$1400:BK$1569))</f>
        <v>0</v>
      </c>
      <c r="BH37" s="668">
        <f>IF(BH$4="forecast",AVERAGE(AV37:BG37),SUMIF('Dept. Cost Actuals'!$E$7:$E$176,"*Printing and Reproduction*",'Dept. Cost Actuals'!BL$1400:BL$1569))</f>
        <v>0</v>
      </c>
      <c r="BI37" s="668">
        <f>IF(BI$4="forecast",AVERAGE(AW37:BH37),SUMIF('Dept. Cost Actuals'!$E$7:$E$176,"*Printing and Reproduction*",'Dept. Cost Actuals'!BM$1400:BM$1569))</f>
        <v>0</v>
      </c>
      <c r="BJ37" s="668">
        <f>IF(BJ$4="forecast",AVERAGE(AX37:BI37),SUMIF('Dept. Cost Actuals'!$E$7:$E$176,"*Printing and Reproduction*",'Dept. Cost Actuals'!BN$1400:BN$1569))</f>
        <v>0</v>
      </c>
      <c r="BK37" s="668">
        <f>IF(BK$4="forecast",AVERAGE(AY37:BJ37),SUMIF('Dept. Cost Actuals'!$E$7:$E$176,"*Printing and Reproduction*",'Dept. Cost Actuals'!BO$1400:BO$1569))</f>
        <v>0</v>
      </c>
      <c r="BL37" s="668">
        <f>IF(BL$4="forecast",AVERAGE(AZ37:BK37),SUMIF('Dept. Cost Actuals'!$E$7:$E$176,"*Printing and Reproduction*",'Dept. Cost Actuals'!BP$1400:BP$1569))</f>
        <v>0</v>
      </c>
      <c r="BM37" s="668">
        <f>IF(BM$4="forecast",AVERAGE(BA37:BL37),SUMIF('Dept. Cost Actuals'!$E$7:$E$176,"*Printing and Reproduction*",'Dept. Cost Actuals'!BQ$1400:BQ$1569))</f>
        <v>0</v>
      </c>
      <c r="BN37" s="668">
        <f>IF(BN$4="forecast",AVERAGE(BB37:BM37),SUMIF('Dept. Cost Actuals'!$E$7:$E$176,"*Printing and Reproduction*",'Dept. Cost Actuals'!BR$1400:BR$1569))</f>
        <v>0</v>
      </c>
      <c r="BO37" s="668">
        <f>IF(BO$4="forecast",AVERAGE(BC37:BN37),SUMIF('Dept. Cost Actuals'!$E$7:$E$176,"*Printing and Reproduction*",'Dept. Cost Actuals'!BS$1400:BS$1569))</f>
        <v>0</v>
      </c>
      <c r="BP37" s="668">
        <f>IF(BP$4="forecast",AVERAGE(BD37:BO37),SUMIF('Dept. Cost Actuals'!$E$7:$E$176,"*Printing and Reproduction*",'Dept. Cost Actuals'!BT$1400:BT$1569))</f>
        <v>0</v>
      </c>
      <c r="BQ37" s="668">
        <f>IF(BQ$4="forecast",AVERAGE(BE37:BP37),SUMIF('Dept. Cost Actuals'!$E$7:$E$176,"*Printing and Reproduction*",'Dept. Cost Actuals'!BU$1400:BU$1569))</f>
        <v>0</v>
      </c>
      <c r="BR37" s="668">
        <f>IF(BR$4="forecast",AVERAGE(BF37:BQ37),SUMIF('Dept. Cost Actuals'!$E$7:$E$176,"*Printing and Reproduction*",'Dept. Cost Actuals'!BV$1400:BV$1569))</f>
        <v>0</v>
      </c>
      <c r="BS37" s="668">
        <f>IF(BS$4="forecast",AVERAGE(BG37:BR37),SUMIF('Dept. Cost Actuals'!$E$7:$E$176,"*Printing and Reproduction*",'Dept. Cost Actuals'!BW$1400:BW$1569))</f>
        <v>0</v>
      </c>
      <c r="BT37" s="668">
        <f>IF(BT$4="forecast",AVERAGE(BH37:BS37),SUMIF('Dept. Cost Actuals'!$E$7:$E$176,"*Printing and Reproduction*",'Dept. Cost Actuals'!BX$1400:BX$1569))</f>
        <v>0</v>
      </c>
      <c r="BU37" s="668">
        <f>IF(BU$4="forecast",AVERAGE(BI37:BT37),SUMIF('Dept. Cost Actuals'!$E$7:$E$176,"*Printing and Reproduction*",'Dept. Cost Actuals'!BY$1400:BY$1569))</f>
        <v>0</v>
      </c>
      <c r="BV37" s="668">
        <f>IF(BV$4="forecast",AVERAGE(BJ37:BU37),SUMIF('Dept. Cost Actuals'!$E$7:$E$176,"*Printing and Reproduction*",'Dept. Cost Actuals'!BZ$1400:BZ$1569))</f>
        <v>0</v>
      </c>
    </row>
    <row r="38" spans="2:74" x14ac:dyDescent="0.25">
      <c r="B38" s="794" t="s">
        <v>921</v>
      </c>
      <c r="C38" s="668"/>
      <c r="D38" s="668"/>
      <c r="E38" s="668"/>
      <c r="F38" s="668"/>
      <c r="G38" s="668"/>
      <c r="H38" s="668"/>
      <c r="I38" s="668"/>
      <c r="J38" s="668"/>
      <c r="K38" s="668"/>
      <c r="L38" s="668"/>
      <c r="M38" s="668"/>
      <c r="N38" s="668"/>
      <c r="O38" s="668"/>
      <c r="P38" s="668"/>
      <c r="Q38" s="668"/>
      <c r="R38" s="668"/>
      <c r="S38" s="668"/>
      <c r="T38" s="668"/>
      <c r="U38" s="668"/>
      <c r="V38" s="668"/>
      <c r="W38" s="668"/>
      <c r="X38" s="668"/>
      <c r="Y38" s="668"/>
      <c r="Z38" s="668"/>
      <c r="AA38" s="668">
        <f>IF(AA$4="forecast",AVERAGE(O38:Z38),SUMIF('Dept. Cost Actuals'!$E$7:$E$176,"*Office Supplies*",'Dept. Cost Actuals'!AE$1400:AE$1569))</f>
        <v>0</v>
      </c>
      <c r="AB38" s="668">
        <f>IF(AB$4="forecast",AVERAGE(P38:AA38),SUMIF('Dept. Cost Actuals'!$E$7:$E$176,"*Office Supplies*",'Dept. Cost Actuals'!AF$1400:AF$1569))</f>
        <v>0</v>
      </c>
      <c r="AC38" s="668">
        <f>IF(AC$4="forecast",AVERAGE(Q38:AB38),SUMIF('Dept. Cost Actuals'!$E$7:$E$176,"*Office Supplies*",'Dept. Cost Actuals'!AG$1400:AG$1569))</f>
        <v>0</v>
      </c>
      <c r="AD38" s="668">
        <f>IF(AD$4="forecast",AVERAGE(R38:AC38),SUMIF('Dept. Cost Actuals'!$E$7:$E$176,"*Office Supplies*",'Dept. Cost Actuals'!AH$1400:AH$1569))</f>
        <v>0</v>
      </c>
      <c r="AE38" s="668">
        <f>IF(AE$4="forecast",AVERAGE(S38:AD38),SUMIF('Dept. Cost Actuals'!$E$7:$E$176,"*Office Supplies*",'Dept. Cost Actuals'!AI$1400:AI$1569))</f>
        <v>0</v>
      </c>
      <c r="AF38" s="668">
        <f>IF(AF$4="forecast",AVERAGE(T38:AE38),SUMIF('Dept. Cost Actuals'!$E$7:$E$176,"*Office Supplies*",'Dept. Cost Actuals'!AJ$1400:AJ$1569))</f>
        <v>0</v>
      </c>
      <c r="AG38" s="668">
        <f>IF(AG$4="forecast",AVERAGE(U38:AF38),SUMIF('Dept. Cost Actuals'!$E$7:$E$176,"*Office Supplies*",'Dept. Cost Actuals'!AK$1400:AK$1569))</f>
        <v>0</v>
      </c>
      <c r="AH38" s="668">
        <f>IF(AH$4="forecast",AVERAGE(V38:AG38),SUMIF('Dept. Cost Actuals'!$E$7:$E$176,"*Office Supplies*",'Dept. Cost Actuals'!AL$1400:AL$1569))</f>
        <v>0</v>
      </c>
      <c r="AI38" s="668">
        <f>IF(AI$4="forecast",AVERAGE(W38:AH38),SUMIF('Dept. Cost Actuals'!$E$7:$E$176,"*Office Supplies*",'Dept. Cost Actuals'!AM$1400:AM$1569))</f>
        <v>0</v>
      </c>
      <c r="AJ38" s="668">
        <f>IF(AJ$4="forecast",AVERAGE(X38:AI38),SUMIF('Dept. Cost Actuals'!$E$7:$E$176,"*Office Supplies*",'Dept. Cost Actuals'!AN$1400:AN$1569))</f>
        <v>0</v>
      </c>
      <c r="AK38" s="668">
        <f>IF(AK$4="forecast",AVERAGE(Y38:AJ38),SUMIF('Dept. Cost Actuals'!$E$7:$E$176,"*Office Supplies*",'Dept. Cost Actuals'!AO$1400:AO$1569))</f>
        <v>0</v>
      </c>
      <c r="AL38" s="668">
        <f>IF(AL$4="forecast",AVERAGE(Z38:AK38),SUMIF('Dept. Cost Actuals'!$E$7:$E$176,"*Office Supplies*",'Dept. Cost Actuals'!AP$1400:AP$1569))</f>
        <v>0</v>
      </c>
      <c r="AM38" s="668">
        <f>IF(AM$4="forecast",AVERAGE(AA38:AL38),SUMIF('Dept. Cost Actuals'!$E$7:$E$176,"*Office Supplies*",'Dept. Cost Actuals'!AQ$1400:AQ$1569))</f>
        <v>0</v>
      </c>
      <c r="AN38" s="668">
        <f>IF(AN$4="forecast",AVERAGE(AB38:AM38),SUMIF('Dept. Cost Actuals'!$E$7:$E$176,"*Office Supplies*",'Dept. Cost Actuals'!AR$1400:AR$1569))</f>
        <v>0</v>
      </c>
      <c r="AO38" s="668">
        <f>IF(AO$4="forecast",AVERAGE(AC38:AN38),SUMIF('Dept. Cost Actuals'!$E$7:$E$176,"*Office Supplies*",'Dept. Cost Actuals'!AS$1400:AS$1569))</f>
        <v>0</v>
      </c>
      <c r="AP38" s="668">
        <f>IF(AP$4="forecast",AVERAGE(AD38:AO38),SUMIF('Dept. Cost Actuals'!$E$7:$E$176,"*Office Supplies*",'Dept. Cost Actuals'!AT$1400:AT$1569))</f>
        <v>0</v>
      </c>
      <c r="AQ38" s="668">
        <f>IF(AQ$4="forecast",AVERAGE(AE38:AP38),SUMIF('Dept. Cost Actuals'!$E$7:$E$176,"*Office Supplies*",'Dept. Cost Actuals'!AU$1400:AU$1569))</f>
        <v>0</v>
      </c>
      <c r="AR38" s="668">
        <f>IF(AR$4="forecast",AVERAGE(AF38:AQ38),SUMIF('Dept. Cost Actuals'!$E$7:$E$176,"*Office Supplies*",'Dept. Cost Actuals'!AV$1400:AV$1569))</f>
        <v>0</v>
      </c>
      <c r="AS38" s="668">
        <f>IF(AS$4="forecast",AVERAGE(AG38:AR38),SUMIF('Dept. Cost Actuals'!$E$7:$E$176,"*Office Supplies*",'Dept. Cost Actuals'!AW$1400:AW$1569))</f>
        <v>0</v>
      </c>
      <c r="AT38" s="668">
        <f>IF(AT$4="forecast",AVERAGE(AH38:AS38),SUMIF('Dept. Cost Actuals'!$E$7:$E$176,"*Office Supplies*",'Dept. Cost Actuals'!AX$1400:AX$1569))</f>
        <v>0</v>
      </c>
      <c r="AU38" s="668">
        <f>IF(AU$4="forecast",AVERAGE(AI38:AT38),SUMIF('Dept. Cost Actuals'!$E$7:$E$176,"*Office Supplies*",'Dept. Cost Actuals'!AY$1400:AY$1569))</f>
        <v>0</v>
      </c>
      <c r="AV38" s="668">
        <f>IF(AV$4="forecast",AVERAGE(AJ38:AU38),SUMIF('Dept. Cost Actuals'!$E$7:$E$176,"*Office Supplies*",'Dept. Cost Actuals'!AZ$1400:AZ$1569))</f>
        <v>0</v>
      </c>
      <c r="AW38" s="668">
        <f>IF(AW$4="forecast",AVERAGE(AK38:AV38),SUMIF('Dept. Cost Actuals'!$E$7:$E$176,"*Office Supplies*",'Dept. Cost Actuals'!BA$1400:BA$1569))</f>
        <v>0</v>
      </c>
      <c r="AX38" s="668">
        <f>IF(AX$4="forecast",AVERAGE(AL38:AW38),SUMIF('Dept. Cost Actuals'!$E$7:$E$176,"*Office Supplies*",'Dept. Cost Actuals'!BB$1400:BB$1569))</f>
        <v>0</v>
      </c>
      <c r="AY38" s="668">
        <f>IF(AY$4="forecast",AVERAGE(AM38:AX38),SUMIF('Dept. Cost Actuals'!$E$7:$E$176,"*Office Supplies*",'Dept. Cost Actuals'!BC$1400:BC$1569))</f>
        <v>0</v>
      </c>
      <c r="AZ38" s="668">
        <f>IF(AZ$4="forecast",AVERAGE(AN38:AY38),SUMIF('Dept. Cost Actuals'!$E$7:$E$176,"*Office Supplies*",'Dept. Cost Actuals'!BD$1400:BD$1569))</f>
        <v>0</v>
      </c>
      <c r="BA38" s="668">
        <f>IF(BA$4="forecast",AVERAGE(AO38:AZ38),SUMIF('Dept. Cost Actuals'!$E$7:$E$176,"*Office Supplies*",'Dept. Cost Actuals'!BE$1400:BE$1569))</f>
        <v>0</v>
      </c>
      <c r="BB38" s="668">
        <f>IF(BB$4="forecast",AVERAGE(AP38:BA38),SUMIF('Dept. Cost Actuals'!$E$7:$E$176,"*Office Supplies*",'Dept. Cost Actuals'!BF$1400:BF$1569))</f>
        <v>0</v>
      </c>
      <c r="BC38" s="668">
        <f>IF(BC$4="forecast",AVERAGE(AQ38:BB38),SUMIF('Dept. Cost Actuals'!$E$7:$E$176,"*Office Supplies*",'Dept. Cost Actuals'!BG$1400:BG$1569))</f>
        <v>0</v>
      </c>
      <c r="BD38" s="668">
        <f>IF(BD$4="forecast",AVERAGE(AR38:BC38),SUMIF('Dept. Cost Actuals'!$E$7:$E$176,"*Office Supplies*",'Dept. Cost Actuals'!BH$1400:BH$1569))</f>
        <v>0</v>
      </c>
      <c r="BE38" s="668">
        <f>IF(BE$4="forecast",AVERAGE(AS38:BD38),SUMIF('Dept. Cost Actuals'!$E$7:$E$176,"*Office Supplies*",'Dept. Cost Actuals'!BI$1400:BI$1569))</f>
        <v>0</v>
      </c>
      <c r="BF38" s="668">
        <f>IF(BF$4="forecast",AVERAGE(AT38:BE38),SUMIF('Dept. Cost Actuals'!$E$7:$E$176,"*Office Supplies*",'Dept. Cost Actuals'!BJ$1400:BJ$1569))</f>
        <v>0</v>
      </c>
      <c r="BG38" s="668">
        <f>IF(BG$4="forecast",AVERAGE(AU38:BF38),SUMIF('Dept. Cost Actuals'!$E$7:$E$176,"*Office Supplies*",'Dept. Cost Actuals'!BK$1400:BK$1569))</f>
        <v>0</v>
      </c>
      <c r="BH38" s="668">
        <f>IF(BH$4="forecast",AVERAGE(AV38:BG38),SUMIF('Dept. Cost Actuals'!$E$7:$E$176,"*Office Supplies*",'Dept. Cost Actuals'!BL$1400:BL$1569))</f>
        <v>0</v>
      </c>
      <c r="BI38" s="668">
        <f>IF(BI$4="forecast",AVERAGE(AW38:BH38),SUMIF('Dept. Cost Actuals'!$E$7:$E$176,"*Office Supplies*",'Dept. Cost Actuals'!BM$1400:BM$1569))</f>
        <v>0</v>
      </c>
      <c r="BJ38" s="668">
        <f>IF(BJ$4="forecast",AVERAGE(AX38:BI38),SUMIF('Dept. Cost Actuals'!$E$7:$E$176,"*Office Supplies*",'Dept. Cost Actuals'!BN$1400:BN$1569))</f>
        <v>0</v>
      </c>
      <c r="BK38" s="668">
        <f>IF(BK$4="forecast",AVERAGE(AY38:BJ38),SUMIF('Dept. Cost Actuals'!$E$7:$E$176,"*Office Supplies*",'Dept. Cost Actuals'!BO$1400:BO$1569))</f>
        <v>0</v>
      </c>
      <c r="BL38" s="668">
        <f>IF(BL$4="forecast",AVERAGE(AZ38:BK38),SUMIF('Dept. Cost Actuals'!$E$7:$E$176,"*Office Supplies*",'Dept. Cost Actuals'!BP$1400:BP$1569))</f>
        <v>0</v>
      </c>
      <c r="BM38" s="668">
        <f>IF(BM$4="forecast",AVERAGE(BA38:BL38),SUMIF('Dept. Cost Actuals'!$E$7:$E$176,"*Office Supplies*",'Dept. Cost Actuals'!BQ$1400:BQ$1569))</f>
        <v>0</v>
      </c>
      <c r="BN38" s="668">
        <f>IF(BN$4="forecast",AVERAGE(BB38:BM38),SUMIF('Dept. Cost Actuals'!$E$7:$E$176,"*Office Supplies*",'Dept. Cost Actuals'!BR$1400:BR$1569))</f>
        <v>0</v>
      </c>
      <c r="BO38" s="668">
        <f>IF(BO$4="forecast",AVERAGE(BC38:BN38),SUMIF('Dept. Cost Actuals'!$E$7:$E$176,"*Office Supplies*",'Dept. Cost Actuals'!BS$1400:BS$1569))</f>
        <v>0</v>
      </c>
      <c r="BP38" s="668">
        <f>IF(BP$4="forecast",AVERAGE(BD38:BO38),SUMIF('Dept. Cost Actuals'!$E$7:$E$176,"*Office Supplies*",'Dept. Cost Actuals'!BT$1400:BT$1569))</f>
        <v>0</v>
      </c>
      <c r="BQ38" s="668">
        <f>IF(BQ$4="forecast",AVERAGE(BE38:BP38),SUMIF('Dept. Cost Actuals'!$E$7:$E$176,"*Office Supplies*",'Dept. Cost Actuals'!BU$1400:BU$1569))</f>
        <v>0</v>
      </c>
      <c r="BR38" s="668">
        <f>IF(BR$4="forecast",AVERAGE(BF38:BQ38),SUMIF('Dept. Cost Actuals'!$E$7:$E$176,"*Office Supplies*",'Dept. Cost Actuals'!BV$1400:BV$1569))</f>
        <v>0</v>
      </c>
      <c r="BS38" s="668">
        <f>IF(BS$4="forecast",AVERAGE(BG38:BR38),SUMIF('Dept. Cost Actuals'!$E$7:$E$176,"*Office Supplies*",'Dept. Cost Actuals'!BW$1400:BW$1569))</f>
        <v>0</v>
      </c>
      <c r="BT38" s="668">
        <f>IF(BT$4="forecast",AVERAGE(BH38:BS38),SUMIF('Dept. Cost Actuals'!$E$7:$E$176,"*Office Supplies*",'Dept. Cost Actuals'!BX$1400:BX$1569))</f>
        <v>0</v>
      </c>
      <c r="BU38" s="668">
        <f>IF(BU$4="forecast",AVERAGE(BI38:BT38),SUMIF('Dept. Cost Actuals'!$E$7:$E$176,"*Office Supplies*",'Dept. Cost Actuals'!BY$1400:BY$1569))</f>
        <v>0</v>
      </c>
      <c r="BV38" s="668">
        <f>IF(BV$4="forecast",AVERAGE(BJ38:BU38),SUMIF('Dept. Cost Actuals'!$E$7:$E$176,"*Office Supplies*",'Dept. Cost Actuals'!BZ$1400:BZ$1569))</f>
        <v>0</v>
      </c>
    </row>
    <row r="39" spans="2:74" x14ac:dyDescent="0.25">
      <c r="B39" s="794" t="s">
        <v>922</v>
      </c>
      <c r="C39" s="668"/>
      <c r="D39" s="668"/>
      <c r="E39" s="668"/>
      <c r="F39" s="668"/>
      <c r="G39" s="668"/>
      <c r="H39" s="668"/>
      <c r="I39" s="668"/>
      <c r="J39" s="668"/>
      <c r="K39" s="668"/>
      <c r="L39" s="668"/>
      <c r="M39" s="668"/>
      <c r="N39" s="668"/>
      <c r="O39" s="668"/>
      <c r="P39" s="668"/>
      <c r="Q39" s="668"/>
      <c r="R39" s="668"/>
      <c r="S39" s="668"/>
      <c r="T39" s="668"/>
      <c r="U39" s="668"/>
      <c r="V39" s="668"/>
      <c r="W39" s="668"/>
      <c r="X39" s="668"/>
      <c r="Y39" s="668"/>
      <c r="Z39" s="668"/>
      <c r="AA39" s="668">
        <f>IF(AA$4="forecast",AVERAGE(O39:Z39),SUMIF('Dept. Cost Actuals'!$E$7:$E$176,"*Development*",'Dept. Cost Actuals'!AE$355:AE$524))</f>
        <v>0</v>
      </c>
      <c r="AB39" s="668">
        <f>IF(AB$4="forecast",AVERAGE(P39:AA39),SUMIF('Dept. Cost Actuals'!$E$7:$E$176,"*Development*",'Dept. Cost Actuals'!AF$355:AF$524))</f>
        <v>27.48</v>
      </c>
      <c r="AC39" s="668">
        <f>IF(AC$4="forecast",AVERAGE(Q39:AB39),SUMIF('Dept. Cost Actuals'!$E$7:$E$176,"*Development*",'Dept. Cost Actuals'!AG$355:AG$524))</f>
        <v>0</v>
      </c>
      <c r="AD39" s="668">
        <f>IF(AD$4="forecast",AVERAGE(R39:AC39),SUMIF('Dept. Cost Actuals'!$E$7:$E$176,"*Development*",'Dept. Cost Actuals'!AH$355:AH$524))</f>
        <v>9.16</v>
      </c>
      <c r="AE39" s="668">
        <f>IF(AE$4="forecast",AVERAGE(S39:AD39),SUMIF('Dept. Cost Actuals'!$E$7:$E$176,"*Development*",'Dept. Cost Actuals'!AI$355:AI$524))</f>
        <v>9.16</v>
      </c>
      <c r="AF39" s="668">
        <f>IF(AF$4="forecast",AVERAGE(T39:AE39),SUMIF('Dept. Cost Actuals'!$E$7:$E$176,"*Development*",'Dept. Cost Actuals'!AJ$355:AJ$524))</f>
        <v>9.16</v>
      </c>
      <c r="AG39" s="668">
        <f>IF(AG$4="forecast",AVERAGE(U39:AF39),SUMIF('Dept. Cost Actuals'!$E$7:$E$176,"*Development*",'Dept. Cost Actuals'!AK$355:AK$524))</f>
        <v>9.1599999999999984</v>
      </c>
      <c r="AH39" s="668">
        <f>IF(AH$4="forecast",AVERAGE(V39:AG39),SUMIF('Dept. Cost Actuals'!$E$7:$E$176,"*Development*",'Dept. Cost Actuals'!AL$355:AL$524))</f>
        <v>9.1599999999999984</v>
      </c>
      <c r="AI39" s="668">
        <f>IF(AI$4="forecast",AVERAGE(W39:AH39),SUMIF('Dept. Cost Actuals'!$E$7:$E$176,"*Development*",'Dept. Cost Actuals'!AM$355:AM$524))</f>
        <v>9.1599999999999984</v>
      </c>
      <c r="AJ39" s="668">
        <f>IF(AJ$4="forecast",AVERAGE(X39:AI39),SUMIF('Dept. Cost Actuals'!$E$7:$E$176,"*Development*",'Dept. Cost Actuals'!AN$355:AN$524))</f>
        <v>9.1599999999999984</v>
      </c>
      <c r="AK39" s="668">
        <f>IF(AK$4="forecast",AVERAGE(Y39:AJ39),SUMIF('Dept. Cost Actuals'!$E$7:$E$176,"*Development*",'Dept. Cost Actuals'!AO$355:AO$524))</f>
        <v>9.1599999999999984</v>
      </c>
      <c r="AL39" s="668">
        <f>IF(AL$4="forecast",AVERAGE(Z39:AK39),SUMIF('Dept. Cost Actuals'!$E$7:$E$176,"*Development*",'Dept. Cost Actuals'!AP$355:AP$524))</f>
        <v>9.1599999999999984</v>
      </c>
      <c r="AM39" s="668">
        <f>IF(AM$4="forecast",AVERAGE(AA39:AL39),SUMIF('Dept. Cost Actuals'!$E$7:$E$176,"*Development*",'Dept. Cost Actuals'!AQ$355:AQ$524))</f>
        <v>9.1599999999999984</v>
      </c>
      <c r="AN39" s="668">
        <f>IF(AN$4="forecast",AVERAGE(AB39:AM39),SUMIF('Dept. Cost Actuals'!$E$7:$E$176,"*Development*",'Dept. Cost Actuals'!AR$355:AR$524))</f>
        <v>9.9233333333333302</v>
      </c>
      <c r="AO39" s="668">
        <f>IF(AO$4="forecast",AVERAGE(AC39:AN39),SUMIF('Dept. Cost Actuals'!$E$7:$E$176,"*Development*",'Dept. Cost Actuals'!AS$355:AS$524))</f>
        <v>8.460277777777776</v>
      </c>
      <c r="AP39" s="668">
        <f>IF(AP$4="forecast",AVERAGE(AD39:AO39),SUMIF('Dept. Cost Actuals'!$E$7:$E$176,"*Development*",'Dept. Cost Actuals'!AT$355:AT$524))</f>
        <v>9.1653009259259246</v>
      </c>
      <c r="AQ39" s="668">
        <f>IF(AQ$4="forecast",AVERAGE(AE39:AP39),SUMIF('Dept. Cost Actuals'!$E$7:$E$176,"*Development*",'Dept. Cost Actuals'!AU$355:AU$524))</f>
        <v>9.1657426697530848</v>
      </c>
      <c r="AR39" s="668">
        <f>IF(AR$4="forecast",AVERAGE(AF39:AQ39),SUMIF('Dept. Cost Actuals'!$E$7:$E$176,"*Development*",'Dept. Cost Actuals'!AV$355:AV$524))</f>
        <v>9.1662212255658417</v>
      </c>
      <c r="AS39" s="668">
        <f>IF(AS$4="forecast",AVERAGE(AG39:AR39),SUMIF('Dept. Cost Actuals'!$E$7:$E$176,"*Development*",'Dept. Cost Actuals'!AW$355:AW$524))</f>
        <v>9.166739661029661</v>
      </c>
      <c r="AT39" s="668">
        <f>IF(AT$4="forecast",AVERAGE(AH39:AS39),SUMIF('Dept. Cost Actuals'!$E$7:$E$176,"*Development*",'Dept. Cost Actuals'!AX$355:AX$524))</f>
        <v>9.1673012994488001</v>
      </c>
      <c r="AU39" s="668">
        <f>IF(AU$4="forecast",AVERAGE(AI39:AT39),SUMIF('Dept. Cost Actuals'!$E$7:$E$176,"*Development*",'Dept. Cost Actuals'!AY$355:AY$524))</f>
        <v>9.1679097410695345</v>
      </c>
      <c r="AV39" s="668">
        <f>IF(AV$4="forecast",AVERAGE(AJ39:AU39),SUMIF('Dept. Cost Actuals'!$E$7:$E$176,"*Development*",'Dept. Cost Actuals'!AZ$355:AZ$524))</f>
        <v>9.1685688861586616</v>
      </c>
      <c r="AW39" s="668">
        <f>IF(AW$4="forecast",AVERAGE(AK39:AV39),SUMIF('Dept. Cost Actuals'!$E$7:$E$176,"*Development*",'Dept. Cost Actuals'!BA$355:BA$524))</f>
        <v>9.1692829600052175</v>
      </c>
      <c r="AX39" s="668">
        <f>IF(AX$4="forecast",AVERAGE(AL39:AW39),SUMIF('Dept. Cost Actuals'!$E$7:$E$176,"*Development*",'Dept. Cost Actuals'!BB$355:BB$524))</f>
        <v>9.1700565400056533</v>
      </c>
      <c r="AY39" s="668">
        <f>IF(AY$4="forecast",AVERAGE(AM39:AX39),SUMIF('Dept. Cost Actuals'!$E$7:$E$176,"*Development*",'Dept. Cost Actuals'!BC$355:BC$524))</f>
        <v>9.1708945850061241</v>
      </c>
      <c r="AZ39" s="668">
        <f>IF(AZ$4="forecast",AVERAGE(AN39:AY39),SUMIF('Dept. Cost Actuals'!$E$7:$E$176,"*Development*",'Dept. Cost Actuals'!BD$355:BD$524))</f>
        <v>9.171802467089968</v>
      </c>
      <c r="BA39" s="668">
        <f>IF(BA$4="forecast",AVERAGE(AO39:AZ39),SUMIF('Dept. Cost Actuals'!$E$7:$E$176,"*Development*",'Dept. Cost Actuals'!BE$355:BE$524))</f>
        <v>9.1091748949030222</v>
      </c>
      <c r="BB39" s="668">
        <f>IF(BB$4="forecast",AVERAGE(AP39:BA39),SUMIF('Dept. Cost Actuals'!$E$7:$E$176,"*Development*",'Dept. Cost Actuals'!BF$355:BF$524))</f>
        <v>9.1632496546634599</v>
      </c>
      <c r="BC39" s="668">
        <f>IF(BC$4="forecast",AVERAGE(AQ39:BB39),SUMIF('Dept. Cost Actuals'!$E$7:$E$176,"*Development*",'Dept. Cost Actuals'!BG$355:BG$524))</f>
        <v>9.1630787153915865</v>
      </c>
      <c r="BD39" s="668">
        <f>IF(BD$4="forecast",AVERAGE(AR39:BC39),SUMIF('Dept. Cost Actuals'!$E$7:$E$176,"*Development*",'Dept. Cost Actuals'!BH$355:BH$524))</f>
        <v>9.1628567191947941</v>
      </c>
      <c r="BE39" s="668">
        <f>IF(BE$4="forecast",AVERAGE(AS39:BD39),SUMIF('Dept. Cost Actuals'!$E$7:$E$176,"*Development*",'Dept. Cost Actuals'!BI$355:BI$524))</f>
        <v>9.1625763436638739</v>
      </c>
      <c r="BF39" s="668">
        <f>IF(BF$4="forecast",AVERAGE(AT39:BE39),SUMIF('Dept. Cost Actuals'!$E$7:$E$176,"*Development*",'Dept. Cost Actuals'!BJ$355:BJ$524))</f>
        <v>9.1622294005500589</v>
      </c>
      <c r="BG39" s="668">
        <f>IF(BG$4="forecast",AVERAGE(AU39:BF39),SUMIF('Dept. Cost Actuals'!$E$7:$E$176,"*Development*",'Dept. Cost Actuals'!BK$355:BK$524))</f>
        <v>9.1618067423084977</v>
      </c>
      <c r="BH39" s="668">
        <f>IF(BH$4="forecast",AVERAGE(AV39:BG39),SUMIF('Dept. Cost Actuals'!$E$7:$E$176,"*Development*",'Dept. Cost Actuals'!BL$355:BL$524))</f>
        <v>9.1612981590784095</v>
      </c>
      <c r="BI39" s="668">
        <f>IF(BI$4="forecast",AVERAGE(AW39:BH39),SUMIF('Dept. Cost Actuals'!$E$7:$E$176,"*Development*",'Dept. Cost Actuals'!BM$355:BM$524))</f>
        <v>9.1606922651550562</v>
      </c>
      <c r="BJ39" s="668">
        <f>IF(BJ$4="forecast",AVERAGE(AX39:BI39),SUMIF('Dept. Cost Actuals'!$E$7:$E$176,"*Development*",'Dept. Cost Actuals'!BN$355:BN$524))</f>
        <v>9.1599763739175426</v>
      </c>
      <c r="BK39" s="668">
        <f>IF(BK$4="forecast",AVERAGE(AY39:BJ39),SUMIF('Dept. Cost Actuals'!$E$7:$E$176,"*Development*",'Dept. Cost Actuals'!BO$355:BO$524))</f>
        <v>9.1591363600768663</v>
      </c>
      <c r="BL39" s="668">
        <f>IF(BL$4="forecast",AVERAGE(AZ39:BK39),SUMIF('Dept. Cost Actuals'!$E$7:$E$176,"*Development*",'Dept. Cost Actuals'!BP$355:BP$524))</f>
        <v>9.1581565079994292</v>
      </c>
      <c r="BM39" s="668">
        <f>IF(BM$4="forecast",AVERAGE(BA39:BL39),SUMIF('Dept. Cost Actuals'!$E$7:$E$176,"*Development*",'Dept. Cost Actuals'!BQ$355:BQ$524))</f>
        <v>9.1570193447418831</v>
      </c>
      <c r="BN39" s="668">
        <f>IF(BN$4="forecast",AVERAGE(BB39:BM39),SUMIF('Dept. Cost Actuals'!$E$7:$E$176,"*Development*",'Dept. Cost Actuals'!BR$355:BR$524))</f>
        <v>9.1610063822284555</v>
      </c>
      <c r="BO39" s="668">
        <f>IF(BO$4="forecast",AVERAGE(BC39:BN39),SUMIF('Dept. Cost Actuals'!$E$7:$E$176,"*Development*",'Dept. Cost Actuals'!BS$355:BS$524))</f>
        <v>9.1608194428588714</v>
      </c>
      <c r="BP39" s="668">
        <f>IF(BP$4="forecast",AVERAGE(BD39:BO39),SUMIF('Dept. Cost Actuals'!$E$7:$E$176,"*Development*",'Dept. Cost Actuals'!BT$355:BT$524))</f>
        <v>9.1606311701478109</v>
      </c>
      <c r="BQ39" s="668">
        <f>IF(BQ$4="forecast",AVERAGE(BE39:BP39),SUMIF('Dept. Cost Actuals'!$E$7:$E$176,"*Development*",'Dept. Cost Actuals'!BU$355:BU$524))</f>
        <v>9.160445707727229</v>
      </c>
      <c r="BR39" s="668">
        <f>IF(BR$4="forecast",AVERAGE(BF39:BQ39),SUMIF('Dept. Cost Actuals'!$E$7:$E$176,"*Development*",'Dept. Cost Actuals'!BV$355:BV$524))</f>
        <v>9.160268154732508</v>
      </c>
      <c r="BS39" s="668">
        <f>IF(BS$4="forecast",AVERAGE(BG39:BR39),SUMIF('Dept. Cost Actuals'!$E$7:$E$176,"*Development*",'Dept. Cost Actuals'!BW$355:BW$524))</f>
        <v>9.1601047175810457</v>
      </c>
      <c r="BT39" s="668">
        <f>IF(BT$4="forecast",AVERAGE(BH39:BS39),SUMIF('Dept. Cost Actuals'!$E$7:$E$176,"*Development*",'Dept. Cost Actuals'!BX$355:BX$524))</f>
        <v>9.1599628821870915</v>
      </c>
      <c r="BU39" s="668">
        <f>IF(BU$4="forecast",AVERAGE(BI39:BT39),SUMIF('Dept. Cost Actuals'!$E$7:$E$176,"*Development*",'Dept. Cost Actuals'!BY$355:BY$524))</f>
        <v>9.159851609112815</v>
      </c>
      <c r="BV39" s="668">
        <f>IF(BV$4="forecast",AVERAGE(BJ39:BU39),SUMIF('Dept. Cost Actuals'!$E$7:$E$176,"*Development*",'Dept. Cost Actuals'!BZ$355:BZ$524))</f>
        <v>9.1597815544426293</v>
      </c>
    </row>
    <row r="40" spans="2:74" x14ac:dyDescent="0.25">
      <c r="B40" s="794" t="s">
        <v>944</v>
      </c>
      <c r="C40" s="668"/>
      <c r="D40" s="668"/>
      <c r="E40" s="668"/>
      <c r="F40" s="668"/>
      <c r="G40" s="668"/>
      <c r="H40" s="668"/>
      <c r="I40" s="668"/>
      <c r="J40" s="668"/>
      <c r="K40" s="668"/>
      <c r="L40" s="668"/>
      <c r="M40" s="668"/>
      <c r="N40" s="668"/>
      <c r="O40" s="668"/>
      <c r="P40" s="668"/>
      <c r="Q40" s="668"/>
      <c r="R40" s="668"/>
      <c r="S40" s="668"/>
      <c r="T40" s="668"/>
      <c r="U40" s="668"/>
      <c r="V40" s="668"/>
      <c r="W40" s="668"/>
      <c r="X40" s="668"/>
      <c r="Y40" s="668"/>
      <c r="Z40" s="668"/>
      <c r="AA40" s="668">
        <f>IF(AA$4="forecast",AVERAGE(O40:Z40),SUMIF('Dept. Cost Actuals'!$E$7:$E$176,"*Dues and Subscriptions*",'Dept. Cost Actuals'!AE$1400:AE$1569))</f>
        <v>0</v>
      </c>
      <c r="AB40" s="668">
        <f>IF(AB$4="forecast",AVERAGE(P40:AA40),SUMIF('Dept. Cost Actuals'!$E$7:$E$176,"*Dues and Subscriptions*",'Dept. Cost Actuals'!AF$1400:AF$1569))</f>
        <v>45</v>
      </c>
      <c r="AC40" s="668">
        <f>IF(AC$4="forecast",AVERAGE(Q40:AB40),SUMIF('Dept. Cost Actuals'!$E$7:$E$176,"*Dues and Subscriptions*",'Dept. Cost Actuals'!AG$1400:AG$1569))</f>
        <v>0</v>
      </c>
      <c r="AD40" s="668">
        <f>IF(AD$4="forecast",AVERAGE(R40:AC40),SUMIF('Dept. Cost Actuals'!$E$7:$E$176,"*Dues and Subscriptions*",'Dept. Cost Actuals'!AH$1400:AH$1569))</f>
        <v>15</v>
      </c>
      <c r="AE40" s="668">
        <f>IF(AE$4="forecast",AVERAGE(S40:AD40),SUMIF('Dept. Cost Actuals'!$E$7:$E$176,"*Dues and Subscriptions*",'Dept. Cost Actuals'!AI$1400:AI$1569))</f>
        <v>15</v>
      </c>
      <c r="AF40" s="668">
        <f>IF(AF$4="forecast",AVERAGE(T40:AE40),SUMIF('Dept. Cost Actuals'!$E$7:$E$176,"*Dues and Subscriptions*",'Dept. Cost Actuals'!AJ$1400:AJ$1569))</f>
        <v>15</v>
      </c>
      <c r="AG40" s="668">
        <f>IF(AG$4="forecast",AVERAGE(U40:AF40),SUMIF('Dept. Cost Actuals'!$E$7:$E$176,"*Dues and Subscriptions*",'Dept. Cost Actuals'!AK$1400:AK$1569))</f>
        <v>15</v>
      </c>
      <c r="AH40" s="668">
        <f>IF(AH$4="forecast",AVERAGE(V40:AG40),SUMIF('Dept. Cost Actuals'!$E$7:$E$176,"*Dues and Subscriptions*",'Dept. Cost Actuals'!AL$1400:AL$1569))</f>
        <v>15</v>
      </c>
      <c r="AI40" s="668">
        <f>IF(AI$4="forecast",AVERAGE(W40:AH40),SUMIF('Dept. Cost Actuals'!$E$7:$E$176,"*Dues and Subscriptions*",'Dept. Cost Actuals'!AM$1400:AM$1569))</f>
        <v>15</v>
      </c>
      <c r="AJ40" s="668">
        <f>IF(AJ$4="forecast",AVERAGE(X40:AI40),SUMIF('Dept. Cost Actuals'!$E$7:$E$176,"*Dues and Subscriptions*",'Dept. Cost Actuals'!AN$1400:AN$1569))</f>
        <v>15</v>
      </c>
      <c r="AK40" s="668">
        <f>IF(AK$4="forecast",AVERAGE(Y40:AJ40),SUMIF('Dept. Cost Actuals'!$E$7:$E$176,"*Dues and Subscriptions*",'Dept. Cost Actuals'!AO$1400:AO$1569))</f>
        <v>15</v>
      </c>
      <c r="AL40" s="668">
        <f>IF(AL$4="forecast",AVERAGE(Z40:AK40),SUMIF('Dept. Cost Actuals'!$E$7:$E$176,"*Dues and Subscriptions*",'Dept. Cost Actuals'!AP$1400:AP$1569))</f>
        <v>15</v>
      </c>
      <c r="AM40" s="668">
        <f>IF(AM$4="forecast",AVERAGE(AA40:AL40),SUMIF('Dept. Cost Actuals'!$E$7:$E$176,"*Dues and Subscriptions*",'Dept. Cost Actuals'!AQ$1400:AQ$1569))</f>
        <v>15</v>
      </c>
      <c r="AN40" s="668">
        <f>IF(AN$4="forecast",AVERAGE(AB40:AM40),SUMIF('Dept. Cost Actuals'!$E$7:$E$176,"*Dues and Subscriptions*",'Dept. Cost Actuals'!AR$1400:AR$1569))</f>
        <v>16.25</v>
      </c>
      <c r="AO40" s="668">
        <f>IF(AO$4="forecast",AVERAGE(AC40:AN40),SUMIF('Dept. Cost Actuals'!$E$7:$E$176,"*Dues and Subscriptions*",'Dept. Cost Actuals'!AS$1400:AS$1569))</f>
        <v>13.854166666666666</v>
      </c>
      <c r="AP40" s="668">
        <f>IF(AP$4="forecast",AVERAGE(AD40:AO40),SUMIF('Dept. Cost Actuals'!$E$7:$E$176,"*Dues and Subscriptions*",'Dept. Cost Actuals'!AT$1400:AT$1569))</f>
        <v>15.008680555555555</v>
      </c>
      <c r="AQ40" s="668">
        <f>IF(AQ$4="forecast",AVERAGE(AE40:AP40),SUMIF('Dept. Cost Actuals'!$E$7:$E$176,"*Dues and Subscriptions*",'Dept. Cost Actuals'!AU$1400:AU$1569))</f>
        <v>15.009403935185183</v>
      </c>
      <c r="AR40" s="668">
        <f>IF(AR$4="forecast",AVERAGE(AF40:AQ40),SUMIF('Dept. Cost Actuals'!$E$7:$E$176,"*Dues and Subscriptions*",'Dept. Cost Actuals'!AV$1400:AV$1569))</f>
        <v>15.010187596450615</v>
      </c>
      <c r="AS40" s="668">
        <f>IF(AS$4="forecast",AVERAGE(AG40:AR40),SUMIF('Dept. Cost Actuals'!$E$7:$E$176,"*Dues and Subscriptions*",'Dept. Cost Actuals'!AW$1400:AW$1569))</f>
        <v>15.0110365628215</v>
      </c>
      <c r="AT40" s="668">
        <f>IF(AT$4="forecast",AVERAGE(AH40:AS40),SUMIF('Dept. Cost Actuals'!$E$7:$E$176,"*Dues and Subscriptions*",'Dept. Cost Actuals'!AX$1400:AX$1569))</f>
        <v>15.011956276389959</v>
      </c>
      <c r="AU40" s="668">
        <f>IF(AU$4="forecast",AVERAGE(AI40:AT40),SUMIF('Dept. Cost Actuals'!$E$7:$E$176,"*Dues and Subscriptions*",'Dept. Cost Actuals'!AY$1400:AY$1569))</f>
        <v>15.012952632755789</v>
      </c>
      <c r="AV40" s="668">
        <f>IF(AV$4="forecast",AVERAGE(AJ40:AU40),SUMIF('Dept. Cost Actuals'!$E$7:$E$176,"*Dues and Subscriptions*",'Dept. Cost Actuals'!AZ$1400:AZ$1569))</f>
        <v>15.014032018818773</v>
      </c>
      <c r="AW40" s="668">
        <f>IF(AW$4="forecast",AVERAGE(AK40:AV40),SUMIF('Dept. Cost Actuals'!$E$7:$E$176,"*Dues and Subscriptions*",'Dept. Cost Actuals'!BA$1400:BA$1569))</f>
        <v>15.015201353720338</v>
      </c>
      <c r="AX40" s="668">
        <f>IF(AX$4="forecast",AVERAGE(AL40:AW40),SUMIF('Dept. Cost Actuals'!$E$7:$E$176,"*Dues and Subscriptions*",'Dept. Cost Actuals'!BB$1400:BB$1569))</f>
        <v>15.01646813319703</v>
      </c>
      <c r="AY40" s="668">
        <f>IF(AY$4="forecast",AVERAGE(AM40:AX40),SUMIF('Dept. Cost Actuals'!$E$7:$E$176,"*Dues and Subscriptions*",'Dept. Cost Actuals'!BC$1400:BC$1569))</f>
        <v>15.017840477630118</v>
      </c>
      <c r="AZ40" s="668">
        <f>IF(AZ$4="forecast",AVERAGE(AN40:AY40),SUMIF('Dept. Cost Actuals'!$E$7:$E$176,"*Dues and Subscriptions*",'Dept. Cost Actuals'!BD$1400:BD$1569))</f>
        <v>15.019327184099296</v>
      </c>
      <c r="BA40" s="668">
        <f>IF(BA$4="forecast",AVERAGE(AO40:AZ40),SUMIF('Dept. Cost Actuals'!$E$7:$E$176,"*Dues and Subscriptions*",'Dept. Cost Actuals'!BE$1400:BE$1569))</f>
        <v>14.916771116107569</v>
      </c>
      <c r="BB40" s="668">
        <f>IF(BB$4="forecast",AVERAGE(AP40:BA40),SUMIF('Dept. Cost Actuals'!$E$7:$E$176,"*Dues and Subscriptions*",'Dept. Cost Actuals'!BF$1400:BF$1569))</f>
        <v>15.005321486894312</v>
      </c>
      <c r="BC40" s="668">
        <f>IF(BC$4="forecast",AVERAGE(AQ40:BB40),SUMIF('Dept. Cost Actuals'!$E$7:$E$176,"*Dues and Subscriptions*",'Dept. Cost Actuals'!BG$1400:BG$1569))</f>
        <v>15.005041564505875</v>
      </c>
      <c r="BD40" s="668">
        <f>IF(BD$4="forecast",AVERAGE(AR40:BC40),SUMIF('Dept. Cost Actuals'!$E$7:$E$176,"*Dues and Subscriptions*",'Dept. Cost Actuals'!BH$1400:BH$1569))</f>
        <v>15.004678033615932</v>
      </c>
      <c r="BE40" s="668">
        <f>IF(BE$4="forecast",AVERAGE(AS40:BD40),SUMIF('Dept. Cost Actuals'!$E$7:$E$176,"*Dues and Subscriptions*",'Dept. Cost Actuals'!BI$1400:BI$1569))</f>
        <v>15.004218903379709</v>
      </c>
      <c r="BF40" s="668">
        <f>IF(BF$4="forecast",AVERAGE(AT40:BE40),SUMIF('Dept. Cost Actuals'!$E$7:$E$176,"*Dues and Subscriptions*",'Dept. Cost Actuals'!BJ$1400:BJ$1569))</f>
        <v>15.003650765092891</v>
      </c>
      <c r="BG40" s="668">
        <f>IF(BG$4="forecast",AVERAGE(AU40:BF40),SUMIF('Dept. Cost Actuals'!$E$7:$E$176,"*Dues and Subscriptions*",'Dept. Cost Actuals'!BK$1400:BK$1569))</f>
        <v>15.002958639151471</v>
      </c>
      <c r="BH40" s="668">
        <f>IF(BH$4="forecast",AVERAGE(AV40:BG40),SUMIF('Dept. Cost Actuals'!$E$7:$E$176,"*Dues and Subscriptions*",'Dept. Cost Actuals'!BL$1400:BL$1569))</f>
        <v>15.00212580635111</v>
      </c>
      <c r="BI40" s="668">
        <f>IF(BI$4="forecast",AVERAGE(AW40:BH40),SUMIF('Dept. Cost Actuals'!$E$7:$E$176,"*Dues and Subscriptions*",'Dept. Cost Actuals'!BM$1400:BM$1569))</f>
        <v>15.001133621978802</v>
      </c>
      <c r="BJ40" s="668">
        <f>IF(BJ$4="forecast",AVERAGE(AX40:BI40),SUMIF('Dept. Cost Actuals'!$E$7:$E$176,"*Dues and Subscriptions*",'Dept. Cost Actuals'!BN$1400:BN$1569))</f>
        <v>14.999961311000341</v>
      </c>
      <c r="BK40" s="668">
        <f>IF(BK$4="forecast",AVERAGE(AY40:BJ40),SUMIF('Dept. Cost Actuals'!$E$7:$E$176,"*Dues and Subscriptions*",'Dept. Cost Actuals'!BO$1400:BO$1569))</f>
        <v>14.998585742483948</v>
      </c>
      <c r="BL40" s="668">
        <f>IF(BL$4="forecast",AVERAGE(AZ40:BK40),SUMIF('Dept. Cost Actuals'!$E$7:$E$176,"*Dues and Subscriptions*",'Dept. Cost Actuals'!BP$1400:BP$1569))</f>
        <v>14.99698118122177</v>
      </c>
      <c r="BM40" s="668">
        <f>IF(BM$4="forecast",AVERAGE(BA40:BL40),SUMIF('Dept. Cost Actuals'!$E$7:$E$176,"*Dues and Subscriptions*",'Dept. Cost Actuals'!BQ$1400:BQ$1569))</f>
        <v>14.995119014315309</v>
      </c>
      <c r="BN40" s="668">
        <f>IF(BN$4="forecast",AVERAGE(BB40:BM40),SUMIF('Dept. Cost Actuals'!$E$7:$E$176,"*Dues and Subscriptions*",'Dept. Cost Actuals'!BR$1400:BR$1569))</f>
        <v>15.001648005832623</v>
      </c>
      <c r="BO40" s="668">
        <f>IF(BO$4="forecast",AVERAGE(BC40:BN40),SUMIF('Dept. Cost Actuals'!$E$7:$E$176,"*Dues and Subscriptions*",'Dept. Cost Actuals'!BS$1400:BS$1569))</f>
        <v>15.001341882410815</v>
      </c>
      <c r="BP40" s="668">
        <f>IF(BP$4="forecast",AVERAGE(BD40:BO40),SUMIF('Dept. Cost Actuals'!$E$7:$E$176,"*Dues and Subscriptions*",'Dept. Cost Actuals'!BT$1400:BT$1569))</f>
        <v>15.001033575569563</v>
      </c>
      <c r="BQ40" s="668">
        <f>IF(BQ$4="forecast",AVERAGE(BE40:BP40),SUMIF('Dept. Cost Actuals'!$E$7:$E$176,"*Dues and Subscriptions*",'Dept. Cost Actuals'!BU$1400:BU$1569))</f>
        <v>15.000729870732364</v>
      </c>
      <c r="BR40" s="668">
        <f>IF(BR$4="forecast",AVERAGE(BF40:BQ40),SUMIF('Dept. Cost Actuals'!$E$7:$E$176,"*Dues and Subscriptions*",'Dept. Cost Actuals'!BV$1400:BV$1569))</f>
        <v>15.00043911801175</v>
      </c>
      <c r="BS40" s="668">
        <f>IF(BS$4="forecast",AVERAGE(BG40:BR40),SUMIF('Dept. Cost Actuals'!$E$7:$E$176,"*Dues and Subscriptions*",'Dept. Cost Actuals'!BW$1400:BW$1569))</f>
        <v>15.000171480754986</v>
      </c>
      <c r="BT40" s="668">
        <f>IF(BT$4="forecast",AVERAGE(BH40:BS40),SUMIF('Dept. Cost Actuals'!$E$7:$E$176,"*Dues and Subscriptions*",'Dept. Cost Actuals'!BX$1400:BX$1569))</f>
        <v>14.99993921755528</v>
      </c>
      <c r="BU40" s="668">
        <f>IF(BU$4="forecast",AVERAGE(BI40:BT40),SUMIF('Dept. Cost Actuals'!$E$7:$E$176,"*Dues and Subscriptions*",'Dept. Cost Actuals'!BY$1400:BY$1569))</f>
        <v>14.999757001822294</v>
      </c>
      <c r="BV40" s="668">
        <f>IF(BV$4="forecast",AVERAGE(BJ40:BU40),SUMIF('Dept. Cost Actuals'!$E$7:$E$176,"*Dues and Subscriptions*",'Dept. Cost Actuals'!BZ$1400:BZ$1569))</f>
        <v>14.99964228347592</v>
      </c>
    </row>
    <row r="41" spans="2:74" x14ac:dyDescent="0.25">
      <c r="B41" s="794" t="s">
        <v>945</v>
      </c>
      <c r="C41" s="668"/>
      <c r="D41" s="668"/>
      <c r="E41" s="668"/>
      <c r="F41" s="668"/>
      <c r="G41" s="668"/>
      <c r="H41" s="668"/>
      <c r="I41" s="668"/>
      <c r="J41" s="668"/>
      <c r="K41" s="668"/>
      <c r="L41" s="668"/>
      <c r="M41" s="668"/>
      <c r="N41" s="668"/>
      <c r="O41" s="668"/>
      <c r="P41" s="668"/>
      <c r="Q41" s="668"/>
      <c r="R41" s="668"/>
      <c r="S41" s="668"/>
      <c r="T41" s="668"/>
      <c r="U41" s="668"/>
      <c r="V41" s="668"/>
      <c r="W41" s="668"/>
      <c r="X41" s="668"/>
      <c r="Y41" s="668"/>
      <c r="Z41" s="668"/>
      <c r="AA41" s="668">
        <f>IF(AA$4="forecast",0,SUMIF('Dept. Cost Actuals'!$E$7:$E$176,"*Miscellaneous*",'Dept. Cost Actuals'!AE$1400:AE$1569))</f>
        <v>0</v>
      </c>
      <c r="AB41" s="668">
        <f>IF(AB$4="forecast",0,SUMIF('Dept. Cost Actuals'!$E$7:$E$176,"*Miscellaneous*",'Dept. Cost Actuals'!AF$1400:AF$1569))</f>
        <v>0</v>
      </c>
      <c r="AC41" s="668">
        <f>IF(AC$4="forecast",0,SUMIF('Dept. Cost Actuals'!$E$7:$E$176,"*Miscellaneous*",'Dept. Cost Actuals'!AG$1400:AG$1569))</f>
        <v>0</v>
      </c>
      <c r="AD41" s="668">
        <f>IF(AD$4="forecast",0,SUMIF('Dept. Cost Actuals'!$E$7:$E$176,"*Miscellaneous*",'Dept. Cost Actuals'!AH$1400:AH$1569))</f>
        <v>0</v>
      </c>
      <c r="AE41" s="668">
        <f>IF(AE$4="forecast",0,SUMIF('Dept. Cost Actuals'!$E$7:$E$176,"*Miscellaneous*",'Dept. Cost Actuals'!AI$1400:AI$1569))</f>
        <v>0</v>
      </c>
      <c r="AF41" s="668">
        <f>IF(AF$4="forecast",0,SUMIF('Dept. Cost Actuals'!$E$7:$E$176,"*Miscellaneous*",'Dept. Cost Actuals'!AJ$1400:AJ$1569))</f>
        <v>0</v>
      </c>
      <c r="AG41" s="668">
        <f>IF(AG$4="forecast",0,SUMIF('Dept. Cost Actuals'!$E$7:$E$176,"*Miscellaneous*",'Dept. Cost Actuals'!AK$1400:AK$1569))</f>
        <v>0</v>
      </c>
      <c r="AH41" s="668">
        <f>IF(AH$4="forecast",0,SUMIF('Dept. Cost Actuals'!$E$7:$E$176,"*Miscellaneous*",'Dept. Cost Actuals'!AL$1400:AL$1569))</f>
        <v>0</v>
      </c>
      <c r="AI41" s="668">
        <f>IF(AI$4="forecast",0,SUMIF('Dept. Cost Actuals'!$E$7:$E$176,"*Miscellaneous*",'Dept. Cost Actuals'!AM$1400:AM$1569))</f>
        <v>0</v>
      </c>
      <c r="AJ41" s="668">
        <f>IF(AJ$4="forecast",0,SUMIF('Dept. Cost Actuals'!$E$7:$E$176,"*Miscellaneous*",'Dept. Cost Actuals'!AN$1400:AN$1569))</f>
        <v>0</v>
      </c>
      <c r="AK41" s="668">
        <f>IF(AK$4="forecast",0,SUMIF('Dept. Cost Actuals'!$E$7:$E$176,"*Miscellaneous*",'Dept. Cost Actuals'!AO$1400:AO$1569))</f>
        <v>0</v>
      </c>
      <c r="AL41" s="668">
        <f>IF(AL$4="forecast",0,SUMIF('Dept. Cost Actuals'!$E$7:$E$176,"*Miscellaneous*",'Dept. Cost Actuals'!AP$1400:AP$1569))</f>
        <v>0</v>
      </c>
      <c r="AM41" s="668">
        <f>IF(AM$4="forecast",0,SUMIF('Dept. Cost Actuals'!$E$7:$E$176,"*Miscellaneous*",'Dept. Cost Actuals'!AQ$1400:AQ$1569))</f>
        <v>0</v>
      </c>
      <c r="AN41" s="668">
        <f>IF(AN$4="forecast",0,SUMIF('Dept. Cost Actuals'!$E$7:$E$176,"*Miscellaneous*",'Dept. Cost Actuals'!AR$1400:AR$1569))</f>
        <v>0</v>
      </c>
      <c r="AO41" s="668">
        <f>IF(AO$4="forecast",0,SUMIF('Dept. Cost Actuals'!$E$7:$E$176,"*Miscellaneous*",'Dept. Cost Actuals'!AS$1400:AS$1569))</f>
        <v>0</v>
      </c>
      <c r="AP41" s="668">
        <f>IF(AP$4="forecast",0,SUMIF('Dept. Cost Actuals'!$E$7:$E$176,"*Miscellaneous*",'Dept. Cost Actuals'!AT$1400:AT$1569))</f>
        <v>0</v>
      </c>
      <c r="AQ41" s="668">
        <f>IF(AQ$4="forecast",0,SUMIF('Dept. Cost Actuals'!$E$7:$E$176,"*Miscellaneous*",'Dept. Cost Actuals'!AU$1400:AU$1569))</f>
        <v>0</v>
      </c>
      <c r="AR41" s="668">
        <f>IF(AR$4="forecast",0,SUMIF('Dept. Cost Actuals'!$E$7:$E$176,"*Miscellaneous*",'Dept. Cost Actuals'!AV$1400:AV$1569))</f>
        <v>0</v>
      </c>
      <c r="AS41" s="668">
        <f>IF(AS$4="forecast",0,SUMIF('Dept. Cost Actuals'!$E$7:$E$176,"*Miscellaneous*",'Dept. Cost Actuals'!AW$1400:AW$1569))</f>
        <v>0</v>
      </c>
      <c r="AT41" s="668">
        <f>IF(AT$4="forecast",0,SUMIF('Dept. Cost Actuals'!$E$7:$E$176,"*Miscellaneous*",'Dept. Cost Actuals'!AX$1400:AX$1569))</f>
        <v>0</v>
      </c>
      <c r="AU41" s="668">
        <f>IF(AU$4="forecast",0,SUMIF('Dept. Cost Actuals'!$E$7:$E$176,"*Miscellaneous*",'Dept. Cost Actuals'!AY$1400:AY$1569))</f>
        <v>0</v>
      </c>
      <c r="AV41" s="668">
        <f>IF(AV$4="forecast",0,SUMIF('Dept. Cost Actuals'!$E$7:$E$176,"*Miscellaneous*",'Dept. Cost Actuals'!AZ$1400:AZ$1569))</f>
        <v>0</v>
      </c>
      <c r="AW41" s="668">
        <f>IF(AW$4="forecast",0,SUMIF('Dept. Cost Actuals'!$E$7:$E$176,"*Miscellaneous*",'Dept. Cost Actuals'!BA$1400:BA$1569))</f>
        <v>0</v>
      </c>
      <c r="AX41" s="668">
        <f>IF(AX$4="forecast",0,SUMIF('Dept. Cost Actuals'!$E$7:$E$176,"*Miscellaneous*",'Dept. Cost Actuals'!BB$1400:BB$1569))</f>
        <v>0</v>
      </c>
      <c r="AY41" s="668">
        <f>IF(AY$4="forecast",0,SUMIF('Dept. Cost Actuals'!$E$7:$E$176,"*Miscellaneous*",'Dept. Cost Actuals'!BC$1400:BC$1569))</f>
        <v>0</v>
      </c>
      <c r="AZ41" s="668">
        <f>IF(AZ$4="forecast",0,SUMIF('Dept. Cost Actuals'!$E$7:$E$176,"*Miscellaneous*",'Dept. Cost Actuals'!BD$1400:BD$1569))</f>
        <v>0</v>
      </c>
      <c r="BA41" s="668">
        <f>IF(BA$4="forecast",0,SUMIF('Dept. Cost Actuals'!$E$7:$E$176,"*Miscellaneous*",'Dept. Cost Actuals'!BE$1400:BE$1569))</f>
        <v>0</v>
      </c>
      <c r="BB41" s="668">
        <f>IF(BB$4="forecast",0,SUMIF('Dept. Cost Actuals'!$E$7:$E$176,"*Miscellaneous*",'Dept. Cost Actuals'!BF$1400:BF$1569))</f>
        <v>0</v>
      </c>
      <c r="BC41" s="668">
        <f>IF(BC$4="forecast",0,SUMIF('Dept. Cost Actuals'!$E$7:$E$176,"*Miscellaneous*",'Dept. Cost Actuals'!BG$1400:BG$1569))</f>
        <v>0</v>
      </c>
      <c r="BD41" s="668">
        <f>IF(BD$4="forecast",0,SUMIF('Dept. Cost Actuals'!$E$7:$E$176,"*Miscellaneous*",'Dept. Cost Actuals'!BH$1400:BH$1569))</f>
        <v>0</v>
      </c>
      <c r="BE41" s="668">
        <f>IF(BE$4="forecast",0,SUMIF('Dept. Cost Actuals'!$E$7:$E$176,"*Miscellaneous*",'Dept. Cost Actuals'!BI$1400:BI$1569))</f>
        <v>0</v>
      </c>
      <c r="BF41" s="668">
        <f>IF(BF$4="forecast",0,SUMIF('Dept. Cost Actuals'!$E$7:$E$176,"*Miscellaneous*",'Dept. Cost Actuals'!BJ$1400:BJ$1569))</f>
        <v>0</v>
      </c>
      <c r="BG41" s="668">
        <f>IF(BG$4="forecast",0,SUMIF('Dept. Cost Actuals'!$E$7:$E$176,"*Miscellaneous*",'Dept. Cost Actuals'!BK$1400:BK$1569))</f>
        <v>0</v>
      </c>
      <c r="BH41" s="668">
        <f>IF(BH$4="forecast",0,SUMIF('Dept. Cost Actuals'!$E$7:$E$176,"*Miscellaneous*",'Dept. Cost Actuals'!BL$1400:BL$1569))</f>
        <v>0</v>
      </c>
      <c r="BI41" s="668">
        <f>IF(BI$4="forecast",0,SUMIF('Dept. Cost Actuals'!$E$7:$E$176,"*Miscellaneous*",'Dept. Cost Actuals'!BM$1400:BM$1569))</f>
        <v>0</v>
      </c>
      <c r="BJ41" s="668">
        <f>IF(BJ$4="forecast",0,SUMIF('Dept. Cost Actuals'!$E$7:$E$176,"*Miscellaneous*",'Dept. Cost Actuals'!BN$1400:BN$1569))</f>
        <v>0</v>
      </c>
      <c r="BK41" s="668">
        <f>IF(BK$4="forecast",0,SUMIF('Dept. Cost Actuals'!$E$7:$E$176,"*Miscellaneous*",'Dept. Cost Actuals'!BO$1400:BO$1569))</f>
        <v>0</v>
      </c>
      <c r="BL41" s="668">
        <f>IF(BL$4="forecast",0,SUMIF('Dept. Cost Actuals'!$E$7:$E$176,"*Miscellaneous*",'Dept. Cost Actuals'!BP$1400:BP$1569))</f>
        <v>0</v>
      </c>
      <c r="BM41" s="668">
        <f>IF(BM$4="forecast",0,SUMIF('Dept. Cost Actuals'!$E$7:$E$176,"*Miscellaneous*",'Dept. Cost Actuals'!BQ$1400:BQ$1569))</f>
        <v>0</v>
      </c>
      <c r="BN41" s="668">
        <f>IF(BN$4="forecast",0,SUMIF('Dept. Cost Actuals'!$E$7:$E$176,"*Miscellaneous*",'Dept. Cost Actuals'!BR$1400:BR$1569))</f>
        <v>0</v>
      </c>
      <c r="BO41" s="668">
        <f>IF(BO$4="forecast",0,SUMIF('Dept. Cost Actuals'!$E$7:$E$176,"*Miscellaneous*",'Dept. Cost Actuals'!BS$1400:BS$1569))</f>
        <v>0</v>
      </c>
      <c r="BP41" s="668">
        <f>IF(BP$4="forecast",0,SUMIF('Dept. Cost Actuals'!$E$7:$E$176,"*Miscellaneous*",'Dept. Cost Actuals'!BT$1400:BT$1569))</f>
        <v>0</v>
      </c>
      <c r="BQ41" s="668">
        <f>IF(BQ$4="forecast",0,SUMIF('Dept. Cost Actuals'!$E$7:$E$176,"*Miscellaneous*",'Dept. Cost Actuals'!BU$1400:BU$1569))</f>
        <v>0</v>
      </c>
      <c r="BR41" s="668">
        <f>IF(BR$4="forecast",0,SUMIF('Dept. Cost Actuals'!$E$7:$E$176,"*Miscellaneous*",'Dept. Cost Actuals'!BV$1400:BV$1569))</f>
        <v>0</v>
      </c>
      <c r="BS41" s="668">
        <f>IF(BS$4="forecast",0,SUMIF('Dept. Cost Actuals'!$E$7:$E$176,"*Miscellaneous*",'Dept. Cost Actuals'!BW$1400:BW$1569))</f>
        <v>0</v>
      </c>
      <c r="BT41" s="668">
        <f>IF(BT$4="forecast",0,SUMIF('Dept. Cost Actuals'!$E$7:$E$176,"*Miscellaneous*",'Dept. Cost Actuals'!BX$1400:BX$1569))</f>
        <v>0</v>
      </c>
      <c r="BU41" s="668">
        <f>IF(BU$4="forecast",0,SUMIF('Dept. Cost Actuals'!$E$7:$E$176,"*Miscellaneous*",'Dept. Cost Actuals'!BY$1400:BY$1569))</f>
        <v>0</v>
      </c>
      <c r="BV41" s="668">
        <f>IF(BV$4="forecast",0,SUMIF('Dept. Cost Actuals'!$E$7:$E$176,"*Miscellaneous*",'Dept. Cost Actuals'!BZ$1400:BZ$1569))</f>
        <v>0</v>
      </c>
    </row>
    <row r="42" spans="2:74" x14ac:dyDescent="0.25">
      <c r="B42" s="797" t="s">
        <v>1336</v>
      </c>
      <c r="C42" s="792"/>
      <c r="D42" s="792"/>
      <c r="E42" s="792"/>
      <c r="F42" s="792"/>
      <c r="G42" s="792"/>
      <c r="H42" s="792"/>
      <c r="I42" s="792"/>
      <c r="J42" s="792"/>
      <c r="K42" s="792"/>
      <c r="L42" s="792"/>
      <c r="M42" s="792"/>
      <c r="N42" s="792"/>
      <c r="O42" s="792"/>
      <c r="P42" s="792"/>
      <c r="Q42" s="792"/>
      <c r="R42" s="792"/>
      <c r="S42" s="792"/>
      <c r="T42" s="792"/>
      <c r="U42" s="792"/>
      <c r="V42" s="792"/>
      <c r="W42" s="792"/>
      <c r="X42" s="792"/>
      <c r="Y42" s="792"/>
      <c r="Z42" s="792"/>
      <c r="AA42" s="792">
        <f>IF(AA$4="forecast",AVERAGE(O42:Z42),SUMIF('Dept. Cost Actuals'!$E$7:$E$176,"*Liscenses and Permits*",'Dept. Cost Actuals'!AE$1400:AE$1569))</f>
        <v>0</v>
      </c>
      <c r="AB42" s="792">
        <f>IF(AB$4="forecast",AVERAGE(P42:AA42),SUMIF('Dept. Cost Actuals'!$E$7:$E$176,"*Liscenses and Permits*",'Dept. Cost Actuals'!AF$1400:AF$1569))</f>
        <v>0</v>
      </c>
      <c r="AC42" s="792">
        <f>IF(AC$4="forecast",AVERAGE(Q42:AB42),SUMIF('Dept. Cost Actuals'!$E$7:$E$176,"*Liscenses and Permits*",'Dept. Cost Actuals'!AG$1400:AG$1569))</f>
        <v>0</v>
      </c>
      <c r="AD42" s="792">
        <f>IF(AD$4="forecast",AVERAGE(R42:AC42),SUMIF('Dept. Cost Actuals'!$E$7:$E$176,"*Liscenses and Permits*",'Dept. Cost Actuals'!AH$1400:AH$1569))</f>
        <v>0</v>
      </c>
      <c r="AE42" s="792">
        <f>IF(AE$4="forecast",AVERAGE(S42:AD42),SUMIF('Dept. Cost Actuals'!$E$7:$E$176,"*Liscenses and Permits*",'Dept. Cost Actuals'!AI$1400:AI$1569))</f>
        <v>0</v>
      </c>
      <c r="AF42" s="792">
        <f>IF(AF$4="forecast",AVERAGE(T42:AE42),SUMIF('Dept. Cost Actuals'!$E$7:$E$176,"*Liscenses and Permits*",'Dept. Cost Actuals'!AJ$1400:AJ$1569))</f>
        <v>0</v>
      </c>
      <c r="AG42" s="792">
        <f>IF(AG$4="forecast",AVERAGE(U42:AF42),SUMIF('Dept. Cost Actuals'!$E$7:$E$176,"*Liscenses and Permits*",'Dept. Cost Actuals'!AK$1400:AK$1569))</f>
        <v>0</v>
      </c>
      <c r="AH42" s="792">
        <f>IF(AH$4="forecast",AVERAGE(V42:AG42),SUMIF('Dept. Cost Actuals'!$E$7:$E$176,"*Liscenses and Permits*",'Dept. Cost Actuals'!AL$1400:AL$1569))</f>
        <v>0</v>
      </c>
      <c r="AI42" s="792">
        <f>IF(AI$4="forecast",AVERAGE(W42:AH42),SUMIF('Dept. Cost Actuals'!$E$7:$E$176,"*Liscenses and Permits*",'Dept. Cost Actuals'!AM$1400:AM$1569))</f>
        <v>0</v>
      </c>
      <c r="AJ42" s="792">
        <f>IF(AJ$4="forecast",AVERAGE(X42:AI42),SUMIF('Dept. Cost Actuals'!$E$7:$E$176,"*Liscenses and Permits*",'Dept. Cost Actuals'!AN$1400:AN$1569))</f>
        <v>0</v>
      </c>
      <c r="AK42" s="792">
        <f>IF(AK$4="forecast",AVERAGE(Y42:AJ42),SUMIF('Dept. Cost Actuals'!$E$7:$E$176,"*Liscenses and Permits*",'Dept. Cost Actuals'!AO$1400:AO$1569))</f>
        <v>0</v>
      </c>
      <c r="AL42" s="792">
        <f>IF(AL$4="forecast",AVERAGE(Z42:AK42),SUMIF('Dept. Cost Actuals'!$E$7:$E$176,"*Liscenses and Permits*",'Dept. Cost Actuals'!AP$1400:AP$1569))</f>
        <v>0</v>
      </c>
      <c r="AM42" s="792">
        <f>IF(AM$4="forecast",AVERAGE(AA42:AL42),SUMIF('Dept. Cost Actuals'!$E$7:$E$176,"*Liscenses and Permits*",'Dept. Cost Actuals'!AQ$1400:AQ$1569))</f>
        <v>0</v>
      </c>
      <c r="AN42" s="792">
        <f>IF(AN$4="forecast",AVERAGE(AB42:AM42),SUMIF('Dept. Cost Actuals'!$E$7:$E$176,"*Liscenses and Permits*",'Dept. Cost Actuals'!AR$1400:AR$1569))</f>
        <v>0</v>
      </c>
      <c r="AO42" s="792">
        <f>IF(AO$4="forecast",AVERAGE(AC42:AN42),SUMIF('Dept. Cost Actuals'!$E$7:$E$176,"*Liscenses and Permits*",'Dept. Cost Actuals'!AS$1400:AS$1569))</f>
        <v>0</v>
      </c>
      <c r="AP42" s="792">
        <f>IF(AP$4="forecast",AVERAGE(AD42:AO42),SUMIF('Dept. Cost Actuals'!$E$7:$E$176,"*Liscenses and Permits*",'Dept. Cost Actuals'!AT$1400:AT$1569))</f>
        <v>0</v>
      </c>
      <c r="AQ42" s="792">
        <f>IF(AQ$4="forecast",AVERAGE(AE42:AP42),SUMIF('Dept. Cost Actuals'!$E$7:$E$176,"*Liscenses and Permits*",'Dept. Cost Actuals'!AU$1400:AU$1569))</f>
        <v>0</v>
      </c>
      <c r="AR42" s="792">
        <f>IF(AR$4="forecast",AVERAGE(AF42:AQ42),SUMIF('Dept. Cost Actuals'!$E$7:$E$176,"*Liscenses and Permits*",'Dept. Cost Actuals'!AV$1400:AV$1569))</f>
        <v>0</v>
      </c>
      <c r="AS42" s="792">
        <f>IF(AS$4="forecast",AVERAGE(AG42:AR42),SUMIF('Dept. Cost Actuals'!$E$7:$E$176,"*Liscenses and Permits*",'Dept. Cost Actuals'!AW$1400:AW$1569))</f>
        <v>0</v>
      </c>
      <c r="AT42" s="792">
        <f>IF(AT$4="forecast",AVERAGE(AH42:AS42),SUMIF('Dept. Cost Actuals'!$E$7:$E$176,"*Liscenses and Permits*",'Dept. Cost Actuals'!AX$1400:AX$1569))</f>
        <v>0</v>
      </c>
      <c r="AU42" s="792">
        <f>IF(AU$4="forecast",AVERAGE(AI42:AT42),SUMIF('Dept. Cost Actuals'!$E$7:$E$176,"*Liscenses and Permits*",'Dept. Cost Actuals'!AY$1400:AY$1569))</f>
        <v>0</v>
      </c>
      <c r="AV42" s="792">
        <f>IF(AV$4="forecast",AVERAGE(AJ42:AU42),SUMIF('Dept. Cost Actuals'!$E$7:$E$176,"*Liscenses and Permits*",'Dept. Cost Actuals'!AZ$1400:AZ$1569))</f>
        <v>0</v>
      </c>
      <c r="AW42" s="792">
        <f>IF(AW$4="forecast",AVERAGE(AK42:AV42),SUMIF('Dept. Cost Actuals'!$E$7:$E$176,"*Liscenses and Permits*",'Dept. Cost Actuals'!BA$1400:BA$1569))</f>
        <v>0</v>
      </c>
      <c r="AX42" s="792">
        <f>IF(AX$4="forecast",AVERAGE(AL42:AW42),SUMIF('Dept. Cost Actuals'!$E$7:$E$176,"*Liscenses and Permits*",'Dept. Cost Actuals'!BB$1400:BB$1569))</f>
        <v>0</v>
      </c>
      <c r="AY42" s="792">
        <f>IF(AY$4="forecast",AVERAGE(AM42:AX42),SUMIF('Dept. Cost Actuals'!$E$7:$E$176,"*Liscenses and Permits*",'Dept. Cost Actuals'!BC$1400:BC$1569))</f>
        <v>0</v>
      </c>
      <c r="AZ42" s="792">
        <f>IF(AZ$4="forecast",AVERAGE(AN42:AY42),SUMIF('Dept. Cost Actuals'!$E$7:$E$176,"*Liscenses and Permits*",'Dept. Cost Actuals'!BD$1400:BD$1569))</f>
        <v>0</v>
      </c>
      <c r="BA42" s="792">
        <f>IF(BA$4="forecast",AVERAGE(AO42:AZ42),SUMIF('Dept. Cost Actuals'!$E$7:$E$176,"*Liscenses and Permits*",'Dept. Cost Actuals'!BE$1400:BE$1569))</f>
        <v>0</v>
      </c>
      <c r="BB42" s="792">
        <f>IF(BB$4="forecast",AVERAGE(AP42:BA42),SUMIF('Dept. Cost Actuals'!$E$7:$E$176,"*Liscenses and Permits*",'Dept. Cost Actuals'!BF$1400:BF$1569))</f>
        <v>0</v>
      </c>
      <c r="BC42" s="792">
        <f>IF(BC$4="forecast",AVERAGE(AQ42:BB42),SUMIF('Dept. Cost Actuals'!$E$7:$E$176,"*Liscenses and Permits*",'Dept. Cost Actuals'!BG$1400:BG$1569))</f>
        <v>0</v>
      </c>
      <c r="BD42" s="792">
        <f>IF(BD$4="forecast",AVERAGE(AR42:BC42),SUMIF('Dept. Cost Actuals'!$E$7:$E$176,"*Liscenses and Permits*",'Dept. Cost Actuals'!BH$1400:BH$1569))</f>
        <v>0</v>
      </c>
      <c r="BE42" s="792">
        <f>IF(BE$4="forecast",AVERAGE(AS42:BD42),SUMIF('Dept. Cost Actuals'!$E$7:$E$176,"*Liscenses and Permits*",'Dept. Cost Actuals'!BI$1400:BI$1569))</f>
        <v>0</v>
      </c>
      <c r="BF42" s="792">
        <f>IF(BF$4="forecast",AVERAGE(AT42:BE42),SUMIF('Dept. Cost Actuals'!$E$7:$E$176,"*Liscenses and Permits*",'Dept. Cost Actuals'!BJ$1400:BJ$1569))</f>
        <v>0</v>
      </c>
      <c r="BG42" s="792">
        <f>IF(BG$4="forecast",AVERAGE(AU42:BF42),SUMIF('Dept. Cost Actuals'!$E$7:$E$176,"*Liscenses and Permits*",'Dept. Cost Actuals'!BK$1400:BK$1569))</f>
        <v>0</v>
      </c>
      <c r="BH42" s="792">
        <f>IF(BH$4="forecast",AVERAGE(AV42:BG42),SUMIF('Dept. Cost Actuals'!$E$7:$E$176,"*Liscenses and Permits*",'Dept. Cost Actuals'!BL$1400:BL$1569))</f>
        <v>0</v>
      </c>
      <c r="BI42" s="792">
        <f>IF(BI$4="forecast",AVERAGE(AW42:BH42),SUMIF('Dept. Cost Actuals'!$E$7:$E$176,"*Liscenses and Permits*",'Dept. Cost Actuals'!BM$1400:BM$1569))</f>
        <v>0</v>
      </c>
      <c r="BJ42" s="792">
        <f>IF(BJ$4="forecast",AVERAGE(AX42:BI42),SUMIF('Dept. Cost Actuals'!$E$7:$E$176,"*Liscenses and Permits*",'Dept. Cost Actuals'!BN$1400:BN$1569))</f>
        <v>0</v>
      </c>
      <c r="BK42" s="792">
        <f>IF(BK$4="forecast",AVERAGE(AY42:BJ42),SUMIF('Dept. Cost Actuals'!$E$7:$E$176,"*Liscenses and Permits*",'Dept. Cost Actuals'!BO$1400:BO$1569))</f>
        <v>0</v>
      </c>
      <c r="BL42" s="792">
        <f>IF(BL$4="forecast",AVERAGE(AZ42:BK42),SUMIF('Dept. Cost Actuals'!$E$7:$E$176,"*Liscenses and Permits*",'Dept. Cost Actuals'!BP$1400:BP$1569))</f>
        <v>0</v>
      </c>
      <c r="BM42" s="792">
        <f>IF(BM$4="forecast",AVERAGE(BA42:BL42),SUMIF('Dept. Cost Actuals'!$E$7:$E$176,"*Liscenses and Permits*",'Dept. Cost Actuals'!BQ$1400:BQ$1569))</f>
        <v>0</v>
      </c>
      <c r="BN42" s="792">
        <f>IF(BN$4="forecast",AVERAGE(BB42:BM42),SUMIF('Dept. Cost Actuals'!$E$7:$E$176,"*Liscenses and Permits*",'Dept. Cost Actuals'!BR$1400:BR$1569))</f>
        <v>0</v>
      </c>
      <c r="BO42" s="792">
        <f>IF(BO$4="forecast",AVERAGE(BC42:BN42),SUMIF('Dept. Cost Actuals'!$E$7:$E$176,"*Liscenses and Permits*",'Dept. Cost Actuals'!BS$1400:BS$1569))</f>
        <v>0</v>
      </c>
      <c r="BP42" s="792">
        <f>IF(BP$4="forecast",AVERAGE(BD42:BO42),SUMIF('Dept. Cost Actuals'!$E$7:$E$176,"*Liscenses and Permits*",'Dept. Cost Actuals'!BT$1400:BT$1569))</f>
        <v>0</v>
      </c>
      <c r="BQ42" s="792">
        <f>IF(BQ$4="forecast",AVERAGE(BE42:BP42),SUMIF('Dept. Cost Actuals'!$E$7:$E$176,"*Liscenses and Permits*",'Dept. Cost Actuals'!BU$1400:BU$1569))</f>
        <v>0</v>
      </c>
      <c r="BR42" s="792">
        <f>IF(BR$4="forecast",AVERAGE(BF42:BQ42),SUMIF('Dept. Cost Actuals'!$E$7:$E$176,"*Liscenses and Permits*",'Dept. Cost Actuals'!BV$1400:BV$1569))</f>
        <v>0</v>
      </c>
      <c r="BS42" s="792">
        <f>IF(BS$4="forecast",AVERAGE(BG42:BR42),SUMIF('Dept. Cost Actuals'!$E$7:$E$176,"*Liscenses and Permits*",'Dept. Cost Actuals'!BW$1400:BW$1569))</f>
        <v>0</v>
      </c>
      <c r="BT42" s="792">
        <f>IF(BT$4="forecast",AVERAGE(BH42:BS42),SUMIF('Dept. Cost Actuals'!$E$7:$E$176,"*Liscenses and Permits*",'Dept. Cost Actuals'!BX$1400:BX$1569))</f>
        <v>0</v>
      </c>
      <c r="BU42" s="792">
        <f>IF(BU$4="forecast",AVERAGE(BI42:BT42),SUMIF('Dept. Cost Actuals'!$E$7:$E$176,"*Liscenses and Permits*",'Dept. Cost Actuals'!BY$1400:BY$1569))</f>
        <v>0</v>
      </c>
      <c r="BV42" s="792">
        <f>IF(BV$4="forecast",AVERAGE(BJ42:BU42),SUMIF('Dept. Cost Actuals'!$E$7:$E$176,"*Liscenses and Permits*",'Dept. Cost Actuals'!BZ$1400:BZ$1569))</f>
        <v>0</v>
      </c>
    </row>
    <row r="43" spans="2:74" x14ac:dyDescent="0.25">
      <c r="B43" s="799" t="s">
        <v>946</v>
      </c>
      <c r="C43" s="800"/>
      <c r="D43" s="800"/>
      <c r="E43" s="800"/>
      <c r="F43" s="800"/>
      <c r="G43" s="800"/>
      <c r="H43" s="800"/>
      <c r="I43" s="800"/>
      <c r="J43" s="800"/>
      <c r="K43" s="800"/>
      <c r="L43" s="800"/>
      <c r="M43" s="800"/>
      <c r="N43" s="800"/>
      <c r="O43" s="800"/>
      <c r="P43" s="800"/>
      <c r="Q43" s="800"/>
      <c r="R43" s="800"/>
      <c r="S43" s="800"/>
      <c r="T43" s="800"/>
      <c r="U43" s="800"/>
      <c r="V43" s="800"/>
      <c r="W43" s="800"/>
      <c r="X43" s="800"/>
      <c r="Y43" s="800"/>
      <c r="Z43" s="800"/>
      <c r="AA43" s="800">
        <f t="shared" ref="AA43:BO43" si="9">SUM(AA32:AA42,)</f>
        <v>3904</v>
      </c>
      <c r="AB43" s="800">
        <f t="shared" si="9"/>
        <v>20096.48</v>
      </c>
      <c r="AC43" s="800">
        <f t="shared" si="9"/>
        <v>8720</v>
      </c>
      <c r="AD43" s="800">
        <f t="shared" si="9"/>
        <v>10906.826666666666</v>
      </c>
      <c r="AE43" s="800">
        <f t="shared" si="9"/>
        <v>10906.826666666666</v>
      </c>
      <c r="AF43" s="800">
        <f t="shared" si="9"/>
        <v>10906.826666666666</v>
      </c>
      <c r="AG43" s="800">
        <f t="shared" si="9"/>
        <v>10906.826666666666</v>
      </c>
      <c r="AH43" s="800">
        <f t="shared" si="9"/>
        <v>10906.826666666666</v>
      </c>
      <c r="AI43" s="800">
        <f t="shared" si="9"/>
        <v>10906.826666666666</v>
      </c>
      <c r="AJ43" s="800">
        <f t="shared" si="9"/>
        <v>10906.826666666666</v>
      </c>
      <c r="AK43" s="800">
        <f t="shared" si="9"/>
        <v>10906.826666666668</v>
      </c>
      <c r="AL43" s="800">
        <f t="shared" si="9"/>
        <v>10906.826666666668</v>
      </c>
      <c r="AM43" s="800">
        <f t="shared" si="9"/>
        <v>10906.826666666668</v>
      </c>
      <c r="AN43" s="800">
        <f t="shared" si="9"/>
        <v>11490.395555555559</v>
      </c>
      <c r="AO43" s="800">
        <f t="shared" si="9"/>
        <v>10773.221851851851</v>
      </c>
      <c r="AP43" s="800">
        <f t="shared" si="9"/>
        <v>10944.323672839506</v>
      </c>
      <c r="AQ43" s="800">
        <f t="shared" si="9"/>
        <v>10947.448423353908</v>
      </c>
      <c r="AR43" s="800">
        <f t="shared" si="9"/>
        <v>10950.833569744513</v>
      </c>
      <c r="AS43" s="800">
        <f t="shared" si="9"/>
        <v>10954.500811667665</v>
      </c>
      <c r="AT43" s="800">
        <f t="shared" si="9"/>
        <v>10958.473657084418</v>
      </c>
      <c r="AU43" s="800">
        <f t="shared" si="9"/>
        <v>10962.77757295256</v>
      </c>
      <c r="AV43" s="800">
        <f t="shared" si="9"/>
        <v>10967.440148476386</v>
      </c>
      <c r="AW43" s="800">
        <f t="shared" si="9"/>
        <v>10972.491271960531</v>
      </c>
      <c r="AX43" s="800">
        <f t="shared" si="9"/>
        <v>10977.963322401687</v>
      </c>
      <c r="AY43" s="800">
        <f t="shared" si="9"/>
        <v>10983.891377046275</v>
      </c>
      <c r="AZ43" s="800">
        <f t="shared" si="9"/>
        <v>10990.313436244573</v>
      </c>
      <c r="BA43" s="800">
        <f t="shared" si="9"/>
        <v>10948.639926301992</v>
      </c>
      <c r="BB43" s="800">
        <f t="shared" si="9"/>
        <v>10963.258099172834</v>
      </c>
      <c r="BC43" s="800">
        <f t="shared" si="9"/>
        <v>10964.835968033944</v>
      </c>
      <c r="BD43" s="800">
        <f t="shared" si="9"/>
        <v>10966.284930090615</v>
      </c>
      <c r="BE43" s="800">
        <f t="shared" si="9"/>
        <v>10967.572543452789</v>
      </c>
      <c r="BF43" s="800">
        <f t="shared" si="9"/>
        <v>10968.661854434882</v>
      </c>
      <c r="BG43" s="800">
        <f t="shared" si="9"/>
        <v>10969.510870880755</v>
      </c>
      <c r="BH43" s="800">
        <f t="shared" si="9"/>
        <v>10970.071979041437</v>
      </c>
      <c r="BI43" s="800">
        <f t="shared" si="9"/>
        <v>10970.291298255192</v>
      </c>
      <c r="BJ43" s="800">
        <f t="shared" si="9"/>
        <v>10970.107967113081</v>
      </c>
      <c r="BK43" s="800">
        <f t="shared" si="9"/>
        <v>10969.453354172365</v>
      </c>
      <c r="BL43" s="800">
        <f t="shared" si="9"/>
        <v>10968.25018559954</v>
      </c>
      <c r="BM43" s="800">
        <f t="shared" si="9"/>
        <v>10966.41158137912</v>
      </c>
      <c r="BN43" s="800">
        <f t="shared" si="9"/>
        <v>10967.892552635545</v>
      </c>
      <c r="BO43" s="800">
        <f t="shared" si="9"/>
        <v>10968.278757090773</v>
      </c>
      <c r="BP43" s="800">
        <f t="shared" ref="BP43:BV43" si="10">SUM(BP32:BP42,)</f>
        <v>10968.565656178838</v>
      </c>
      <c r="BQ43" s="800">
        <f t="shared" si="10"/>
        <v>10968.755716686192</v>
      </c>
      <c r="BR43" s="800">
        <f t="shared" si="10"/>
        <v>10968.854314455642</v>
      </c>
      <c r="BS43" s="800">
        <f t="shared" si="10"/>
        <v>10968.870352790706</v>
      </c>
      <c r="BT43" s="800">
        <f t="shared" si="10"/>
        <v>10968.816976283204</v>
      </c>
      <c r="BU43" s="800">
        <f t="shared" si="10"/>
        <v>10968.712392720015</v>
      </c>
      <c r="BV43" s="800">
        <f t="shared" si="10"/>
        <v>10968.580817258751</v>
      </c>
    </row>
    <row r="44" spans="2:74" x14ac:dyDescent="0.25">
      <c r="B44" s="783"/>
      <c r="C44" s="156"/>
      <c r="D44" s="156"/>
      <c r="E44" s="156"/>
      <c r="F44" s="156"/>
      <c r="G44" s="156"/>
      <c r="H44" s="156"/>
      <c r="I44" s="156"/>
      <c r="J44" s="156"/>
      <c r="K44" s="156"/>
      <c r="L44" s="156"/>
      <c r="M44" s="156"/>
      <c r="N44" s="156"/>
      <c r="O44" s="156"/>
      <c r="P44" s="156"/>
      <c r="Q44" s="156"/>
      <c r="R44" s="156"/>
      <c r="S44" s="156"/>
      <c r="T44" s="156"/>
      <c r="U44" s="156"/>
      <c r="V44" s="156"/>
      <c r="W44" s="156"/>
      <c r="X44" s="156"/>
      <c r="Y44" s="156"/>
      <c r="Z44" s="156"/>
      <c r="AA44" s="156"/>
      <c r="AB44" s="156"/>
      <c r="AC44" s="156"/>
      <c r="AD44" s="156"/>
      <c r="AE44" s="156"/>
      <c r="AF44" s="156"/>
      <c r="AG44" s="156"/>
      <c r="AH44" s="156"/>
      <c r="AI44" s="156"/>
      <c r="AJ44" s="156"/>
      <c r="AK44" s="156"/>
      <c r="AL44" s="156"/>
      <c r="AM44" s="156"/>
      <c r="AN44" s="156"/>
      <c r="AO44" s="156"/>
      <c r="AP44" s="156"/>
      <c r="AQ44" s="156"/>
      <c r="AR44" s="156"/>
      <c r="AS44" s="156"/>
      <c r="AT44" s="156"/>
      <c r="AU44" s="156"/>
      <c r="AV44" s="156"/>
      <c r="AW44" s="156"/>
      <c r="AX44" s="156"/>
      <c r="AY44" s="156"/>
      <c r="AZ44" s="156"/>
      <c r="BA44" s="156"/>
      <c r="BB44" s="156"/>
      <c r="BC44" s="156"/>
      <c r="BD44" s="156"/>
      <c r="BE44" s="156"/>
      <c r="BF44" s="156"/>
      <c r="BG44" s="156"/>
      <c r="BH44" s="156"/>
      <c r="BI44" s="156"/>
      <c r="BJ44" s="156"/>
      <c r="BK44" s="156"/>
      <c r="BL44" s="156"/>
      <c r="BM44" s="156"/>
      <c r="BN44" s="156"/>
      <c r="BO44" s="156"/>
      <c r="BP44" s="156"/>
      <c r="BQ44" s="156"/>
      <c r="BR44" s="156"/>
      <c r="BS44" s="156"/>
      <c r="BT44" s="156"/>
      <c r="BU44" s="156"/>
      <c r="BV44" s="784"/>
    </row>
    <row r="45" spans="2:74" x14ac:dyDescent="0.25">
      <c r="B45" s="855" t="s">
        <v>488</v>
      </c>
      <c r="C45" s="856"/>
      <c r="D45" s="856"/>
      <c r="E45" s="856"/>
      <c r="F45" s="856"/>
      <c r="G45" s="856"/>
      <c r="H45" s="856"/>
      <c r="I45" s="856"/>
      <c r="J45" s="856"/>
      <c r="K45" s="856"/>
      <c r="L45" s="856"/>
      <c r="M45" s="856"/>
      <c r="N45" s="856"/>
      <c r="O45" s="856"/>
      <c r="P45" s="856"/>
      <c r="Q45" s="856"/>
      <c r="R45" s="856"/>
      <c r="S45" s="856"/>
      <c r="T45" s="856"/>
      <c r="U45" s="856"/>
      <c r="V45" s="856"/>
      <c r="W45" s="856"/>
      <c r="X45" s="856"/>
      <c r="Y45" s="856"/>
      <c r="Z45" s="856"/>
      <c r="AA45" s="856">
        <f t="shared" ref="AA45:BN45" si="11">AA43+AA29</f>
        <v>98018.069999999992</v>
      </c>
      <c r="AB45" s="856">
        <f t="shared" si="11"/>
        <v>63124.06</v>
      </c>
      <c r="AC45" s="856">
        <f t="shared" si="11"/>
        <v>58360.130000000005</v>
      </c>
      <c r="AD45" s="856">
        <f t="shared" si="11"/>
        <v>48985.234825763619</v>
      </c>
      <c r="AE45" s="856">
        <f t="shared" si="11"/>
        <v>49274.841718193893</v>
      </c>
      <c r="AF45" s="856">
        <f t="shared" si="11"/>
        <v>49404.518818957506</v>
      </c>
      <c r="AG45" s="856">
        <f t="shared" si="11"/>
        <v>49551.80008638779</v>
      </c>
      <c r="AH45" s="856">
        <f t="shared" si="11"/>
        <v>49699.359793054173</v>
      </c>
      <c r="AI45" s="856">
        <f t="shared" si="11"/>
        <v>49849.105057012232</v>
      </c>
      <c r="AJ45" s="856">
        <f t="shared" si="11"/>
        <v>50001.066042512532</v>
      </c>
      <c r="AK45" s="856">
        <f t="shared" si="11"/>
        <v>50155.47951826168</v>
      </c>
      <c r="AL45" s="856">
        <f t="shared" si="11"/>
        <v>50312.585520760076</v>
      </c>
      <c r="AM45" s="856">
        <f t="shared" si="11"/>
        <v>50416.160832018242</v>
      </c>
      <c r="AN45" s="856">
        <f t="shared" si="11"/>
        <v>15298.632560721822</v>
      </c>
      <c r="AO45" s="856">
        <f t="shared" si="11"/>
        <v>14608.873864854993</v>
      </c>
      <c r="AP45" s="856">
        <f t="shared" si="11"/>
        <v>14791.70200683538</v>
      </c>
      <c r="AQ45" s="856">
        <f t="shared" si="11"/>
        <v>14691.225932970359</v>
      </c>
      <c r="AR45" s="856">
        <f t="shared" si="11"/>
        <v>14727.363367113352</v>
      </c>
      <c r="AS45" s="856">
        <f t="shared" si="11"/>
        <v>14739.390320774248</v>
      </c>
      <c r="AT45" s="856">
        <f t="shared" si="11"/>
        <v>14754.489568058414</v>
      </c>
      <c r="AU45" s="856">
        <f t="shared" si="11"/>
        <v>14768.836874470879</v>
      </c>
      <c r="AV45" s="856">
        <f t="shared" si="11"/>
        <v>14782.687918837502</v>
      </c>
      <c r="AW45" s="856">
        <f t="shared" si="11"/>
        <v>14795.772970625929</v>
      </c>
      <c r="AX45" s="856">
        <f t="shared" si="11"/>
        <v>14807.842933150918</v>
      </c>
      <c r="AY45" s="856">
        <f t="shared" si="11"/>
        <v>14818.60223911452</v>
      </c>
      <c r="AZ45" s="856">
        <f t="shared" si="11"/>
        <v>14827.710439034647</v>
      </c>
      <c r="BA45" s="856">
        <f t="shared" si="11"/>
        <v>14791.276698982158</v>
      </c>
      <c r="BB45" s="856">
        <f t="shared" si="11"/>
        <v>14808.65736587766</v>
      </c>
      <c r="BC45" s="856">
        <f t="shared" si="11"/>
        <v>14810.832088673495</v>
      </c>
      <c r="BD45" s="856">
        <f t="shared" si="11"/>
        <v>14812.099611510148</v>
      </c>
      <c r="BE45" s="856">
        <f t="shared" si="11"/>
        <v>14822.757237884436</v>
      </c>
      <c r="BF45" s="856">
        <f t="shared" si="11"/>
        <v>14830.197635195609</v>
      </c>
      <c r="BG45" s="856">
        <f t="shared" si="11"/>
        <v>14837.490347107912</v>
      </c>
      <c r="BH45" s="856">
        <f t="shared" si="11"/>
        <v>14844.057411557149</v>
      </c>
      <c r="BI45" s="856">
        <f t="shared" si="11"/>
        <v>14849.952712977753</v>
      </c>
      <c r="BJ45" s="856">
        <f t="shared" si="11"/>
        <v>14855.15363157396</v>
      </c>
      <c r="BK45" s="856">
        <f t="shared" si="11"/>
        <v>14859.667121037844</v>
      </c>
      <c r="BL45" s="856">
        <f t="shared" si="11"/>
        <v>14863.520800083745</v>
      </c>
      <c r="BM45" s="856">
        <f t="shared" si="11"/>
        <v>14866.76991895884</v>
      </c>
      <c r="BN45" s="856">
        <f t="shared" si="11"/>
        <v>14873.559783453946</v>
      </c>
      <c r="BO45" s="856">
        <f t="shared" ref="BO45:BV45" si="12">BO43+BO29</f>
        <v>14879.233803352035</v>
      </c>
      <c r="BP45" s="856">
        <f t="shared" si="12"/>
        <v>14885.045278452257</v>
      </c>
      <c r="BQ45" s="856">
        <f t="shared" si="12"/>
        <v>14891.189922889462</v>
      </c>
      <c r="BR45" s="856">
        <f t="shared" si="12"/>
        <v>14897.766159491674</v>
      </c>
      <c r="BS45" s="856">
        <f t="shared" si="12"/>
        <v>14903.946759601684</v>
      </c>
      <c r="BT45" s="856">
        <f t="shared" si="12"/>
        <v>14910.069549936212</v>
      </c>
      <c r="BU45" s="856">
        <f t="shared" si="12"/>
        <v>14916.115550909333</v>
      </c>
      <c r="BV45" s="856">
        <f t="shared" si="12"/>
        <v>14922.150168149637</v>
      </c>
    </row>
    <row r="46" spans="2:74" x14ac:dyDescent="0.25">
      <c r="O46" s="612"/>
      <c r="P46" s="612"/>
      <c r="Q46" s="612"/>
      <c r="R46" s="612"/>
      <c r="S46" s="612"/>
      <c r="T46" s="612"/>
      <c r="U46" s="612"/>
      <c r="V46" s="612"/>
      <c r="W46" s="612"/>
      <c r="X46" s="612"/>
      <c r="Y46" s="612"/>
      <c r="Z46" s="612"/>
      <c r="AA46" s="612"/>
      <c r="AB46" s="612"/>
      <c r="AC46" s="612"/>
      <c r="AD46" s="612"/>
      <c r="AE46" s="612"/>
      <c r="AF46" s="612"/>
      <c r="AG46" s="612"/>
      <c r="AH46" s="612"/>
      <c r="AI46" s="612"/>
      <c r="AJ46" s="612"/>
      <c r="AK46" s="612"/>
      <c r="AL46" s="612"/>
      <c r="AM46" s="612"/>
      <c r="AN46" s="612"/>
      <c r="AO46" s="612"/>
      <c r="AP46" s="612"/>
      <c r="AQ46" s="612"/>
      <c r="AR46" s="612"/>
      <c r="AS46" s="612"/>
      <c r="AT46" s="612"/>
      <c r="AU46" s="612"/>
      <c r="AV46" s="612"/>
      <c r="AW46" s="612"/>
      <c r="AX46" s="612"/>
      <c r="AY46" s="612"/>
      <c r="AZ46" s="612"/>
      <c r="BA46" s="612"/>
    </row>
    <row r="47" spans="2:74" x14ac:dyDescent="0.25">
      <c r="O47" s="571"/>
      <c r="P47" s="571"/>
      <c r="Q47" s="571"/>
      <c r="R47" s="571"/>
      <c r="S47" s="571"/>
      <c r="T47" s="571"/>
      <c r="U47" s="571"/>
      <c r="V47" s="571"/>
      <c r="W47" s="571"/>
      <c r="X47" s="571"/>
      <c r="Y47" s="571"/>
      <c r="Z47" s="571"/>
      <c r="AA47" s="571"/>
      <c r="AB47" s="571"/>
      <c r="AC47" s="571"/>
      <c r="AD47" s="571"/>
      <c r="AE47" s="571"/>
      <c r="AF47" s="571"/>
      <c r="AG47" s="571"/>
      <c r="AH47" s="571"/>
      <c r="AI47" s="571"/>
      <c r="AJ47" s="571"/>
      <c r="AK47" s="571"/>
      <c r="AL47" s="571"/>
      <c r="AM47" s="571"/>
      <c r="AN47" s="571"/>
      <c r="AO47" s="571"/>
      <c r="AP47" s="571"/>
      <c r="AQ47" s="571"/>
      <c r="AR47" s="571"/>
      <c r="AS47" s="571"/>
      <c r="AT47" s="571"/>
      <c r="AU47" s="571"/>
      <c r="AV47" s="571"/>
      <c r="AW47" s="571"/>
      <c r="AX47" s="571"/>
      <c r="AY47" s="571"/>
      <c r="AZ47" s="571"/>
      <c r="BA47" s="571"/>
      <c r="BB47" s="571"/>
      <c r="BC47" s="571"/>
      <c r="BD47" s="571"/>
      <c r="BE47" s="571"/>
      <c r="BF47" s="571"/>
      <c r="BG47" s="571"/>
      <c r="BH47" s="571"/>
      <c r="BI47" s="571"/>
      <c r="BJ47" s="571"/>
    </row>
    <row r="48" spans="2:74" x14ac:dyDescent="0.25">
      <c r="B48" s="570" t="s">
        <v>849</v>
      </c>
      <c r="M48" s="151"/>
      <c r="N48" s="151"/>
      <c r="O48" s="151"/>
      <c r="P48" s="151"/>
      <c r="Q48" s="151"/>
      <c r="R48" s="151"/>
      <c r="S48" s="151"/>
      <c r="T48" s="151"/>
      <c r="U48" s="151"/>
      <c r="V48" s="151"/>
      <c r="W48" s="151"/>
      <c r="X48" s="151"/>
      <c r="Y48" s="151"/>
      <c r="Z48" s="151"/>
      <c r="AA48" s="151"/>
      <c r="AB48" s="151"/>
      <c r="AC48" s="151"/>
      <c r="AD48" s="151"/>
      <c r="AE48" s="151"/>
      <c r="AF48" s="151"/>
      <c r="AG48" s="151"/>
      <c r="AH48" s="151"/>
      <c r="AI48" s="151"/>
      <c r="AJ48" s="151"/>
      <c r="AK48" s="151"/>
      <c r="AL48" s="151"/>
      <c r="AM48" s="151"/>
      <c r="AN48" s="151"/>
      <c r="AO48" s="151"/>
      <c r="AP48" s="151"/>
    </row>
    <row r="49" spans="3:40" x14ac:dyDescent="0.25">
      <c r="C49" s="405"/>
      <c r="D49" s="405"/>
      <c r="E49" s="405"/>
      <c r="F49" s="405"/>
      <c r="G49" s="405"/>
      <c r="H49" s="405"/>
      <c r="I49" s="405"/>
      <c r="J49" s="405"/>
      <c r="K49" s="405"/>
      <c r="L49" s="405"/>
      <c r="M49" s="405"/>
      <c r="N49" s="405"/>
      <c r="O49" s="405"/>
      <c r="P49" s="405"/>
      <c r="Q49" s="405"/>
      <c r="R49" s="405"/>
      <c r="S49" s="405"/>
      <c r="T49" s="405"/>
      <c r="U49" s="405"/>
      <c r="V49" s="405"/>
      <c r="W49" s="405"/>
      <c r="X49" s="405"/>
      <c r="Y49" s="405"/>
      <c r="Z49" s="405"/>
      <c r="AA49" s="405">
        <f>AA45-'Dept. Cost Actuals'!AE1570</f>
        <v>0</v>
      </c>
      <c r="AB49" s="405">
        <f>AB45-'Dept. Cost Actuals'!AF1570</f>
        <v>27.479999999995925</v>
      </c>
      <c r="AC49" s="405">
        <f>AC45-'Dept. Cost Actuals'!AG1570</f>
        <v>0</v>
      </c>
      <c r="AN49" s="151"/>
    </row>
  </sheetData>
  <conditionalFormatting sqref="C4:BV4">
    <cfRule type="containsText" dxfId="252" priority="3" operator="containsText" text="actual">
      <formula>NOT(ISERROR(SEARCH("actual",C4)))</formula>
    </cfRule>
    <cfRule type="containsText" dxfId="251" priority="4" operator="containsText" text="forecast">
      <formula>NOT(ISERROR(SEARCH("forecast",C4)))</formula>
    </cfRule>
  </conditionalFormatting>
  <conditionalFormatting sqref="B4">
    <cfRule type="containsText" dxfId="250" priority="1" operator="containsText" text="actual">
      <formula>NOT(ISERROR(SEARCH("actual",B4)))</formula>
    </cfRule>
    <cfRule type="containsText" dxfId="249" priority="2" operator="containsText" text="forecast">
      <formula>NOT(ISERROR(SEARCH("forecast",B4)))</formula>
    </cfRule>
  </conditionalFormatting>
  <pageMargins left="0.7" right="0.7" top="0.75" bottom="0.75" header="0.3" footer="0.3"/>
  <pageSetup orientation="portrait" horizontalDpi="0"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V58"/>
  <sheetViews>
    <sheetView zoomScale="80" zoomScaleNormal="80" workbookViewId="0">
      <pane xSplit="2" ySplit="4" topLeftCell="C8" activePane="bottomRight" state="frozen"/>
      <selection activeCell="AD39" sqref="AD39:BV39"/>
      <selection pane="topRight" activeCell="AD39" sqref="AD39:BV39"/>
      <selection pane="bottomLeft" activeCell="AD39" sqref="AD39:BV39"/>
      <selection pane="bottomRight" activeCell="AD12" sqref="AD12"/>
    </sheetView>
  </sheetViews>
  <sheetFormatPr defaultColWidth="9.140625" defaultRowHeight="15" outlineLevelCol="1" x14ac:dyDescent="0.25"/>
  <cols>
    <col min="1" max="1" width="2" style="570" customWidth="1"/>
    <col min="2" max="2" width="27.42578125" style="570" bestFit="1" customWidth="1"/>
    <col min="3" max="3" width="12.7109375" style="570" customWidth="1"/>
    <col min="4" max="7" width="12.7109375" style="570" hidden="1" customWidth="1" outlineLevel="1"/>
    <col min="8" max="12" width="16.42578125" style="570" hidden="1" customWidth="1" outlineLevel="1"/>
    <col min="13" max="13" width="19.28515625" style="570" hidden="1" customWidth="1" outlineLevel="1"/>
    <col min="14" max="14" width="16.42578125" style="570" customWidth="1" collapsed="1"/>
    <col min="15" max="15" width="12.7109375" style="570" bestFit="1" customWidth="1"/>
    <col min="16" max="18" width="12.7109375" style="570" hidden="1" customWidth="1" outlineLevel="1"/>
    <col min="19" max="19" width="12.140625" style="570" hidden="1" customWidth="1" outlineLevel="1"/>
    <col min="20" max="25" width="12.28515625" style="570" hidden="1" customWidth="1" outlineLevel="1"/>
    <col min="26" max="26" width="12.28515625" style="570" bestFit="1" customWidth="1" collapsed="1"/>
    <col min="27" max="27" width="12.28515625" style="570" customWidth="1"/>
    <col min="28" max="29" width="13.28515625" style="570" customWidth="1" outlineLevel="1"/>
    <col min="30" max="35" width="10.7109375" style="570" customWidth="1" outlineLevel="1"/>
    <col min="36" max="37" width="11.85546875" style="570" customWidth="1" outlineLevel="1"/>
    <col min="38" max="39" width="13.28515625" style="570" customWidth="1"/>
    <col min="40" max="47" width="10.7109375" style="570" hidden="1" customWidth="1" outlineLevel="1"/>
    <col min="48" max="49" width="11.85546875" style="570" hidden="1" customWidth="1" outlineLevel="1"/>
    <col min="50" max="50" width="11.85546875" style="570" customWidth="1" collapsed="1"/>
    <col min="51" max="51" width="10.7109375" style="570" bestFit="1" customWidth="1"/>
    <col min="52" max="57" width="10.7109375" style="570" hidden="1" customWidth="1" outlineLevel="1"/>
    <col min="58" max="61" width="13.28515625" style="570" hidden="1" customWidth="1" outlineLevel="1"/>
    <col min="62" max="62" width="13.28515625" style="570" bestFit="1" customWidth="1" collapsed="1"/>
    <col min="63" max="63" width="13" style="570" bestFit="1" customWidth="1"/>
    <col min="64" max="73" width="13" style="570" hidden="1" customWidth="1" outlineLevel="1"/>
    <col min="74" max="74" width="13" style="570" bestFit="1" customWidth="1" collapsed="1"/>
    <col min="75" max="16384" width="9.140625" style="570"/>
  </cols>
  <sheetData>
    <row r="2" spans="2:74" x14ac:dyDescent="0.25">
      <c r="B2" s="636" t="s">
        <v>1360</v>
      </c>
      <c r="C2" s="636"/>
      <c r="D2" s="636"/>
      <c r="E2" s="636"/>
      <c r="F2" s="636"/>
      <c r="G2" s="636"/>
      <c r="H2" s="636"/>
      <c r="I2" s="636"/>
      <c r="J2" s="636"/>
      <c r="K2" s="636"/>
      <c r="L2" s="636"/>
      <c r="M2" s="636"/>
      <c r="N2" s="636"/>
    </row>
    <row r="3" spans="2:74" x14ac:dyDescent="0.25">
      <c r="B3" s="771" t="s">
        <v>924</v>
      </c>
      <c r="C3" s="1140">
        <v>40939</v>
      </c>
      <c r="D3" s="1140">
        <v>40968</v>
      </c>
      <c r="E3" s="1140">
        <v>40999</v>
      </c>
      <c r="F3" s="1140">
        <v>41029</v>
      </c>
      <c r="G3" s="1140">
        <v>41060</v>
      </c>
      <c r="H3" s="1140">
        <v>41090</v>
      </c>
      <c r="I3" s="1140">
        <v>41121</v>
      </c>
      <c r="J3" s="1140">
        <v>41152</v>
      </c>
      <c r="K3" s="1140">
        <v>41182</v>
      </c>
      <c r="L3" s="1140">
        <v>41213</v>
      </c>
      <c r="M3" s="1140">
        <v>41243</v>
      </c>
      <c r="N3" s="1140">
        <v>41274</v>
      </c>
      <c r="O3" s="1140">
        <v>41305</v>
      </c>
      <c r="P3" s="1140">
        <v>41333</v>
      </c>
      <c r="Q3" s="1140">
        <v>41364</v>
      </c>
      <c r="R3" s="1140">
        <v>41394</v>
      </c>
      <c r="S3" s="1140">
        <v>41425</v>
      </c>
      <c r="T3" s="1140">
        <v>41455</v>
      </c>
      <c r="U3" s="1140">
        <v>41486</v>
      </c>
      <c r="V3" s="1140">
        <v>41517</v>
      </c>
      <c r="W3" s="1140">
        <v>41547</v>
      </c>
      <c r="X3" s="1140">
        <v>41578</v>
      </c>
      <c r="Y3" s="1140">
        <v>41608</v>
      </c>
      <c r="Z3" s="1140">
        <v>41639</v>
      </c>
      <c r="AA3" s="1140">
        <v>41670</v>
      </c>
      <c r="AB3" s="1140">
        <v>41698</v>
      </c>
      <c r="AC3" s="1140">
        <v>41729</v>
      </c>
      <c r="AD3" s="1140">
        <v>41759</v>
      </c>
      <c r="AE3" s="1140">
        <v>41790</v>
      </c>
      <c r="AF3" s="1140">
        <v>41820</v>
      </c>
      <c r="AG3" s="1140">
        <v>41851</v>
      </c>
      <c r="AH3" s="1140">
        <v>41882</v>
      </c>
      <c r="AI3" s="1140">
        <v>41912</v>
      </c>
      <c r="AJ3" s="1140">
        <v>41943</v>
      </c>
      <c r="AK3" s="1140">
        <v>41973</v>
      </c>
      <c r="AL3" s="1140">
        <v>42004</v>
      </c>
      <c r="AM3" s="1140">
        <v>42035</v>
      </c>
      <c r="AN3" s="1140">
        <v>42063</v>
      </c>
      <c r="AO3" s="1140">
        <v>42094</v>
      </c>
      <c r="AP3" s="1140">
        <v>42124</v>
      </c>
      <c r="AQ3" s="1140">
        <v>42155</v>
      </c>
      <c r="AR3" s="1140">
        <v>42185</v>
      </c>
      <c r="AS3" s="1140">
        <v>42216</v>
      </c>
      <c r="AT3" s="1140">
        <v>42247</v>
      </c>
      <c r="AU3" s="1140">
        <v>42277</v>
      </c>
      <c r="AV3" s="1140">
        <v>42308</v>
      </c>
      <c r="AW3" s="1140">
        <v>42338</v>
      </c>
      <c r="AX3" s="1140">
        <v>42369</v>
      </c>
      <c r="AY3" s="1140">
        <v>42400</v>
      </c>
      <c r="AZ3" s="1140">
        <v>42429</v>
      </c>
      <c r="BA3" s="1140">
        <v>42460</v>
      </c>
      <c r="BB3" s="1140">
        <v>42490</v>
      </c>
      <c r="BC3" s="1140">
        <v>42521</v>
      </c>
      <c r="BD3" s="1140">
        <v>42551</v>
      </c>
      <c r="BE3" s="1140">
        <v>42582</v>
      </c>
      <c r="BF3" s="1140">
        <v>42613</v>
      </c>
      <c r="BG3" s="1140">
        <v>42643</v>
      </c>
      <c r="BH3" s="1140">
        <v>42674</v>
      </c>
      <c r="BI3" s="1140">
        <v>42704</v>
      </c>
      <c r="BJ3" s="1140">
        <v>42735</v>
      </c>
      <c r="BK3" s="1140">
        <v>42766</v>
      </c>
      <c r="BL3" s="1140">
        <v>42794</v>
      </c>
      <c r="BM3" s="1140">
        <v>42825</v>
      </c>
      <c r="BN3" s="1140">
        <v>42855</v>
      </c>
      <c r="BO3" s="1140">
        <v>42886</v>
      </c>
      <c r="BP3" s="1140">
        <v>42916</v>
      </c>
      <c r="BQ3" s="1140">
        <v>42947</v>
      </c>
      <c r="BR3" s="1140">
        <v>42978</v>
      </c>
      <c r="BS3" s="1140">
        <v>43008</v>
      </c>
      <c r="BT3" s="1140">
        <v>43039</v>
      </c>
      <c r="BU3" s="1140">
        <v>43069</v>
      </c>
      <c r="BV3" s="773">
        <v>43100</v>
      </c>
    </row>
    <row r="4" spans="2:74" x14ac:dyDescent="0.25">
      <c r="B4" s="774" t="s">
        <v>925</v>
      </c>
      <c r="C4" s="4" t="str">
        <f>IF(C3&lt;=Headcount!$U$3,"Actual","Forecast")</f>
        <v>Actual</v>
      </c>
      <c r="D4" s="4" t="str">
        <f>IF(D3&lt;=Headcount!$U$3,"Actual","Forecast")</f>
        <v>Actual</v>
      </c>
      <c r="E4" s="4" t="str">
        <f>IF(E3&lt;=Headcount!$U$3,"Actual","Forecast")</f>
        <v>Actual</v>
      </c>
      <c r="F4" s="4" t="str">
        <f>IF(F3&lt;=Headcount!$U$3,"Actual","Forecast")</f>
        <v>Actual</v>
      </c>
      <c r="G4" s="4" t="str">
        <f>IF(G3&lt;=Headcount!$U$3,"Actual","Forecast")</f>
        <v>Actual</v>
      </c>
      <c r="H4" s="4" t="str">
        <f>IF(H3&lt;=Headcount!$U$3,"Actual","Forecast")</f>
        <v>Actual</v>
      </c>
      <c r="I4" s="4" t="str">
        <f>IF(I3&lt;=Headcount!$U$3,"Actual","Forecast")</f>
        <v>Actual</v>
      </c>
      <c r="J4" s="4" t="str">
        <f>IF(J3&lt;=Headcount!$U$3,"Actual","Forecast")</f>
        <v>Actual</v>
      </c>
      <c r="K4" s="4" t="str">
        <f>IF(K3&lt;=Headcount!$U$3,"Actual","Forecast")</f>
        <v>Actual</v>
      </c>
      <c r="L4" s="4" t="str">
        <f>IF(L3&lt;=Headcount!$U$3,"Actual","Forecast")</f>
        <v>Actual</v>
      </c>
      <c r="M4" s="4" t="str">
        <f>IF(M3&lt;=Headcount!$U$3,"Actual","Forecast")</f>
        <v>Actual</v>
      </c>
      <c r="N4" s="4" t="str">
        <f>IF(N3&lt;=Headcount!$U$3,"Actual","Forecast")</f>
        <v>Actual</v>
      </c>
      <c r="O4" s="4" t="str">
        <f>IF(O3&lt;=Headcount!$U$3,"Actual","Forecast")</f>
        <v>Actual</v>
      </c>
      <c r="P4" s="4" t="str">
        <f>IF(P3&lt;=Headcount!$U$3,"Actual","Forecast")</f>
        <v>Actual</v>
      </c>
      <c r="Q4" s="4" t="str">
        <f>IF(Q3&lt;=Headcount!$U$3,"Actual","Forecast")</f>
        <v>Actual</v>
      </c>
      <c r="R4" s="4" t="str">
        <f>IF(R3&lt;=Headcount!$U$3,"Actual","Forecast")</f>
        <v>Actual</v>
      </c>
      <c r="S4" s="4" t="str">
        <f>IF(S3&lt;=Headcount!$U$3,"Actual","Forecast")</f>
        <v>Actual</v>
      </c>
      <c r="T4" s="4" t="str">
        <f>IF(T3&lt;=Headcount!$U$3,"Actual","Forecast")</f>
        <v>Actual</v>
      </c>
      <c r="U4" s="4" t="str">
        <f>IF(U3&lt;=Headcount!$U$3,"Actual","Forecast")</f>
        <v>Actual</v>
      </c>
      <c r="V4" s="4" t="str">
        <f>IF(V3&lt;=Headcount!$U$3,"Actual","Forecast")</f>
        <v>Actual</v>
      </c>
      <c r="W4" s="4" t="str">
        <f>IF(W3&lt;=Headcount!$U$3,"Actual","Forecast")</f>
        <v>Actual</v>
      </c>
      <c r="X4" s="4" t="str">
        <f>IF(X3&lt;=Headcount!$U$3,"Actual","Forecast")</f>
        <v>Actual</v>
      </c>
      <c r="Y4" s="4" t="str">
        <f>IF(Y3&lt;=Headcount!$U$3,"Actual","Forecast")</f>
        <v>Actual</v>
      </c>
      <c r="Z4" s="4" t="str">
        <f>IF(Z3&lt;=Headcount!$U$3,"Actual","Forecast")</f>
        <v>Actual</v>
      </c>
      <c r="AA4" s="4" t="str">
        <f>IF(AA3&lt;=Headcount!$U$3,"Actual","Forecast")</f>
        <v>Actual</v>
      </c>
      <c r="AB4" s="4" t="str">
        <f>IF(AB3&lt;=Headcount!$U$3,"Actual","Forecast")</f>
        <v>Actual</v>
      </c>
      <c r="AC4" s="4" t="str">
        <f>IF(AC3&lt;=Headcount!$U$3,"Actual","Forecast")</f>
        <v>Actual</v>
      </c>
      <c r="AD4" s="4" t="str">
        <f>IF(AD3&lt;=Headcount!$U$3,"Actual","Forecast")</f>
        <v>Forecast</v>
      </c>
      <c r="AE4" s="4" t="str">
        <f>IF(AE3&lt;=Headcount!$U$3,"Actual","Forecast")</f>
        <v>Forecast</v>
      </c>
      <c r="AF4" s="4" t="str">
        <f>IF(AF3&lt;=Headcount!$U$3,"Actual","Forecast")</f>
        <v>Forecast</v>
      </c>
      <c r="AG4" s="4" t="str">
        <f>IF(AG3&lt;=Headcount!$U$3,"Actual","Forecast")</f>
        <v>Forecast</v>
      </c>
      <c r="AH4" s="4" t="str">
        <f>IF(AH3&lt;=Headcount!$U$3,"Actual","Forecast")</f>
        <v>Forecast</v>
      </c>
      <c r="AI4" s="4" t="str">
        <f>IF(AI3&lt;=Headcount!$U$3,"Actual","Forecast")</f>
        <v>Forecast</v>
      </c>
      <c r="AJ4" s="4" t="str">
        <f>IF(AJ3&lt;=Headcount!$U$3,"Actual","Forecast")</f>
        <v>Forecast</v>
      </c>
      <c r="AK4" s="4" t="str">
        <f>IF(AK3&lt;=Headcount!$U$3,"Actual","Forecast")</f>
        <v>Forecast</v>
      </c>
      <c r="AL4" s="4" t="str">
        <f>IF(AL3&lt;=Headcount!$U$3,"Actual","Forecast")</f>
        <v>Forecast</v>
      </c>
      <c r="AM4" s="4" t="str">
        <f>IF(AM3&lt;=Headcount!$U$3,"Actual","Forecast")</f>
        <v>Forecast</v>
      </c>
      <c r="AN4" s="4" t="str">
        <f>IF(AN3&lt;=Headcount!$U$3,"Actual","Forecast")</f>
        <v>Forecast</v>
      </c>
      <c r="AO4" s="4" t="str">
        <f>IF(AO3&lt;=Headcount!$U$3,"Actual","Forecast")</f>
        <v>Forecast</v>
      </c>
      <c r="AP4" s="4" t="str">
        <f>IF(AP3&lt;=Headcount!$U$3,"Actual","Forecast")</f>
        <v>Forecast</v>
      </c>
      <c r="AQ4" s="4" t="str">
        <f>IF(AQ3&lt;=Headcount!$U$3,"Actual","Forecast")</f>
        <v>Forecast</v>
      </c>
      <c r="AR4" s="4" t="str">
        <f>IF(AR3&lt;=Headcount!$U$3,"Actual","Forecast")</f>
        <v>Forecast</v>
      </c>
      <c r="AS4" s="4" t="str">
        <f>IF(AS3&lt;=Headcount!$U$3,"Actual","Forecast")</f>
        <v>Forecast</v>
      </c>
      <c r="AT4" s="4" t="str">
        <f>IF(AT3&lt;=Headcount!$U$3,"Actual","Forecast")</f>
        <v>Forecast</v>
      </c>
      <c r="AU4" s="4" t="str">
        <f>IF(AU3&lt;=Headcount!$U$3,"Actual","Forecast")</f>
        <v>Forecast</v>
      </c>
      <c r="AV4" s="4" t="str">
        <f>IF(AV3&lt;=Headcount!$U$3,"Actual","Forecast")</f>
        <v>Forecast</v>
      </c>
      <c r="AW4" s="4" t="str">
        <f>IF(AW3&lt;=Headcount!$U$3,"Actual","Forecast")</f>
        <v>Forecast</v>
      </c>
      <c r="AX4" s="4" t="str">
        <f>IF(AX3&lt;=Headcount!$U$3,"Actual","Forecast")</f>
        <v>Forecast</v>
      </c>
      <c r="AY4" s="4" t="str">
        <f>IF(AY3&lt;=Headcount!$U$3,"Actual","Forecast")</f>
        <v>Forecast</v>
      </c>
      <c r="AZ4" s="4" t="str">
        <f>IF(AZ3&lt;=Headcount!$U$3,"Actual","Forecast")</f>
        <v>Forecast</v>
      </c>
      <c r="BA4" s="4" t="str">
        <f>IF(BA3&lt;=Headcount!$U$3,"Actual","Forecast")</f>
        <v>Forecast</v>
      </c>
      <c r="BB4" s="4" t="str">
        <f>IF(BB3&lt;=Headcount!$U$3,"Actual","Forecast")</f>
        <v>Forecast</v>
      </c>
      <c r="BC4" s="4" t="str">
        <f>IF(BC3&lt;=Headcount!$U$3,"Actual","Forecast")</f>
        <v>Forecast</v>
      </c>
      <c r="BD4" s="4" t="str">
        <f>IF(BD3&lt;=Headcount!$U$3,"Actual","Forecast")</f>
        <v>Forecast</v>
      </c>
      <c r="BE4" s="4" t="str">
        <f>IF(BE3&lt;=Headcount!$U$3,"Actual","Forecast")</f>
        <v>Forecast</v>
      </c>
      <c r="BF4" s="4" t="str">
        <f>IF(BF3&lt;=Headcount!$U$3,"Actual","Forecast")</f>
        <v>Forecast</v>
      </c>
      <c r="BG4" s="4" t="str">
        <f>IF(BG3&lt;=Headcount!$U$3,"Actual","Forecast")</f>
        <v>Forecast</v>
      </c>
      <c r="BH4" s="4" t="str">
        <f>IF(BH3&lt;=Headcount!$U$3,"Actual","Forecast")</f>
        <v>Forecast</v>
      </c>
      <c r="BI4" s="4" t="str">
        <f>IF(BI3&lt;=Headcount!$U$3,"Actual","Forecast")</f>
        <v>Forecast</v>
      </c>
      <c r="BJ4" s="4" t="str">
        <f>IF(BJ3&lt;=Headcount!$U$3,"Actual","Forecast")</f>
        <v>Forecast</v>
      </c>
      <c r="BK4" s="4" t="str">
        <f>IF(BK3&lt;=Headcount!$U$3,"Actual","Forecast")</f>
        <v>Forecast</v>
      </c>
      <c r="BL4" s="4" t="str">
        <f>IF(BL3&lt;=Headcount!$U$3,"Actual","Forecast")</f>
        <v>Forecast</v>
      </c>
      <c r="BM4" s="4" t="str">
        <f>IF(BM3&lt;=Headcount!$U$3,"Actual","Forecast")</f>
        <v>Forecast</v>
      </c>
      <c r="BN4" s="4" t="str">
        <f>IF(BN3&lt;=Headcount!$U$3,"Actual","Forecast")</f>
        <v>Forecast</v>
      </c>
      <c r="BO4" s="4" t="str">
        <f>IF(BO3&lt;=Headcount!$U$3,"Actual","Forecast")</f>
        <v>Forecast</v>
      </c>
      <c r="BP4" s="4" t="str">
        <f>IF(BP3&lt;=Headcount!$U$3,"Actual","Forecast")</f>
        <v>Forecast</v>
      </c>
      <c r="BQ4" s="4" t="str">
        <f>IF(BQ3&lt;=Headcount!$U$3,"Actual","Forecast")</f>
        <v>Forecast</v>
      </c>
      <c r="BR4" s="4" t="str">
        <f>IF(BR3&lt;=Headcount!$U$3,"Actual","Forecast")</f>
        <v>Forecast</v>
      </c>
      <c r="BS4" s="4" t="str">
        <f>IF(BS3&lt;=Headcount!$U$3,"Actual","Forecast")</f>
        <v>Forecast</v>
      </c>
      <c r="BT4" s="4" t="str">
        <f>IF(BT3&lt;=Headcount!$U$3,"Actual","Forecast")</f>
        <v>Forecast</v>
      </c>
      <c r="BU4" s="4" t="str">
        <f>IF(BU3&lt;=Headcount!$U$3,"Actual","Forecast")</f>
        <v>Forecast</v>
      </c>
      <c r="BV4" s="1209" t="str">
        <f>IF(BV3&lt;=Headcount!$U$3,"Actual","Forecast")</f>
        <v>Forecast</v>
      </c>
    </row>
    <row r="5" spans="2:74" x14ac:dyDescent="0.25">
      <c r="B5" s="777" t="s">
        <v>67</v>
      </c>
      <c r="C5" s="778">
        <f t="shared" ref="C5:N5" si="0">MONTH(C3)</f>
        <v>1</v>
      </c>
      <c r="D5" s="778">
        <f t="shared" si="0"/>
        <v>2</v>
      </c>
      <c r="E5" s="778">
        <f t="shared" si="0"/>
        <v>3</v>
      </c>
      <c r="F5" s="778">
        <f t="shared" si="0"/>
        <v>4</v>
      </c>
      <c r="G5" s="778">
        <f t="shared" si="0"/>
        <v>5</v>
      </c>
      <c r="H5" s="778">
        <f t="shared" si="0"/>
        <v>6</v>
      </c>
      <c r="I5" s="778">
        <f t="shared" si="0"/>
        <v>7</v>
      </c>
      <c r="J5" s="778">
        <f t="shared" si="0"/>
        <v>8</v>
      </c>
      <c r="K5" s="778">
        <f t="shared" si="0"/>
        <v>9</v>
      </c>
      <c r="L5" s="778">
        <f t="shared" si="0"/>
        <v>10</v>
      </c>
      <c r="M5" s="778">
        <f t="shared" si="0"/>
        <v>11</v>
      </c>
      <c r="N5" s="778">
        <f t="shared" si="0"/>
        <v>12</v>
      </c>
      <c r="O5" s="778">
        <f>MONTH(O3)</f>
        <v>1</v>
      </c>
      <c r="P5" s="778">
        <f t="shared" ref="P5:BV5" si="1">MONTH(P3)</f>
        <v>2</v>
      </c>
      <c r="Q5" s="778">
        <f t="shared" si="1"/>
        <v>3</v>
      </c>
      <c r="R5" s="778">
        <f t="shared" si="1"/>
        <v>4</v>
      </c>
      <c r="S5" s="778">
        <f t="shared" si="1"/>
        <v>5</v>
      </c>
      <c r="T5" s="778">
        <f t="shared" si="1"/>
        <v>6</v>
      </c>
      <c r="U5" s="778">
        <f t="shared" si="1"/>
        <v>7</v>
      </c>
      <c r="V5" s="778">
        <f t="shared" si="1"/>
        <v>8</v>
      </c>
      <c r="W5" s="778">
        <f t="shared" si="1"/>
        <v>9</v>
      </c>
      <c r="X5" s="778">
        <f t="shared" si="1"/>
        <v>10</v>
      </c>
      <c r="Y5" s="778">
        <f t="shared" si="1"/>
        <v>11</v>
      </c>
      <c r="Z5" s="778">
        <f t="shared" si="1"/>
        <v>12</v>
      </c>
      <c r="AA5" s="778">
        <f t="shared" si="1"/>
        <v>1</v>
      </c>
      <c r="AB5" s="778">
        <f t="shared" si="1"/>
        <v>2</v>
      </c>
      <c r="AC5" s="778">
        <f t="shared" si="1"/>
        <v>3</v>
      </c>
      <c r="AD5" s="778">
        <f t="shared" si="1"/>
        <v>4</v>
      </c>
      <c r="AE5" s="778">
        <f t="shared" si="1"/>
        <v>5</v>
      </c>
      <c r="AF5" s="778">
        <f t="shared" si="1"/>
        <v>6</v>
      </c>
      <c r="AG5" s="778">
        <f t="shared" si="1"/>
        <v>7</v>
      </c>
      <c r="AH5" s="778">
        <f t="shared" si="1"/>
        <v>8</v>
      </c>
      <c r="AI5" s="778">
        <f t="shared" si="1"/>
        <v>9</v>
      </c>
      <c r="AJ5" s="778">
        <f t="shared" si="1"/>
        <v>10</v>
      </c>
      <c r="AK5" s="778">
        <f t="shared" si="1"/>
        <v>11</v>
      </c>
      <c r="AL5" s="778">
        <f t="shared" si="1"/>
        <v>12</v>
      </c>
      <c r="AM5" s="778">
        <f t="shared" si="1"/>
        <v>1</v>
      </c>
      <c r="AN5" s="778">
        <f t="shared" si="1"/>
        <v>2</v>
      </c>
      <c r="AO5" s="778">
        <f t="shared" si="1"/>
        <v>3</v>
      </c>
      <c r="AP5" s="778">
        <f t="shared" si="1"/>
        <v>4</v>
      </c>
      <c r="AQ5" s="778">
        <f t="shared" si="1"/>
        <v>5</v>
      </c>
      <c r="AR5" s="778">
        <f t="shared" si="1"/>
        <v>6</v>
      </c>
      <c r="AS5" s="778">
        <f t="shared" si="1"/>
        <v>7</v>
      </c>
      <c r="AT5" s="778">
        <f t="shared" si="1"/>
        <v>8</v>
      </c>
      <c r="AU5" s="778">
        <f t="shared" si="1"/>
        <v>9</v>
      </c>
      <c r="AV5" s="778">
        <f t="shared" si="1"/>
        <v>10</v>
      </c>
      <c r="AW5" s="778">
        <f t="shared" si="1"/>
        <v>11</v>
      </c>
      <c r="AX5" s="778">
        <f t="shared" si="1"/>
        <v>12</v>
      </c>
      <c r="AY5" s="778">
        <f t="shared" si="1"/>
        <v>1</v>
      </c>
      <c r="AZ5" s="778">
        <f t="shared" si="1"/>
        <v>2</v>
      </c>
      <c r="BA5" s="778">
        <f t="shared" si="1"/>
        <v>3</v>
      </c>
      <c r="BB5" s="778">
        <f t="shared" si="1"/>
        <v>4</v>
      </c>
      <c r="BC5" s="778">
        <f t="shared" si="1"/>
        <v>5</v>
      </c>
      <c r="BD5" s="778">
        <f t="shared" si="1"/>
        <v>6</v>
      </c>
      <c r="BE5" s="778">
        <f t="shared" si="1"/>
        <v>7</v>
      </c>
      <c r="BF5" s="778">
        <f t="shared" si="1"/>
        <v>8</v>
      </c>
      <c r="BG5" s="778">
        <f t="shared" si="1"/>
        <v>9</v>
      </c>
      <c r="BH5" s="778">
        <f t="shared" si="1"/>
        <v>10</v>
      </c>
      <c r="BI5" s="778">
        <f t="shared" si="1"/>
        <v>11</v>
      </c>
      <c r="BJ5" s="778">
        <f t="shared" si="1"/>
        <v>12</v>
      </c>
      <c r="BK5" s="778">
        <f t="shared" si="1"/>
        <v>1</v>
      </c>
      <c r="BL5" s="778">
        <f t="shared" si="1"/>
        <v>2</v>
      </c>
      <c r="BM5" s="778">
        <f t="shared" si="1"/>
        <v>3</v>
      </c>
      <c r="BN5" s="778">
        <f t="shared" si="1"/>
        <v>4</v>
      </c>
      <c r="BO5" s="778">
        <f t="shared" si="1"/>
        <v>5</v>
      </c>
      <c r="BP5" s="778">
        <f t="shared" si="1"/>
        <v>6</v>
      </c>
      <c r="BQ5" s="778">
        <f t="shared" si="1"/>
        <v>7</v>
      </c>
      <c r="BR5" s="778">
        <f t="shared" si="1"/>
        <v>8</v>
      </c>
      <c r="BS5" s="778">
        <f t="shared" si="1"/>
        <v>9</v>
      </c>
      <c r="BT5" s="778">
        <f t="shared" si="1"/>
        <v>10</v>
      </c>
      <c r="BU5" s="778">
        <f t="shared" si="1"/>
        <v>11</v>
      </c>
      <c r="BV5" s="779">
        <f t="shared" si="1"/>
        <v>12</v>
      </c>
    </row>
    <row r="6" spans="2:74" x14ac:dyDescent="0.25">
      <c r="B6" s="780"/>
      <c r="C6" s="781"/>
      <c r="D6" s="781"/>
      <c r="E6" s="781"/>
      <c r="F6" s="781"/>
      <c r="G6" s="781"/>
      <c r="H6" s="781"/>
      <c r="I6" s="781"/>
      <c r="J6" s="781"/>
      <c r="K6" s="781"/>
      <c r="L6" s="781"/>
      <c r="M6" s="781"/>
      <c r="N6" s="781"/>
      <c r="O6" s="781"/>
      <c r="P6" s="781"/>
      <c r="Q6" s="781"/>
      <c r="R6" s="781"/>
      <c r="S6" s="781"/>
      <c r="T6" s="781"/>
      <c r="U6" s="781"/>
      <c r="V6" s="781"/>
      <c r="W6" s="781"/>
      <c r="X6" s="781"/>
      <c r="Y6" s="781"/>
      <c r="Z6" s="781"/>
      <c r="AA6" s="781"/>
      <c r="AB6" s="781"/>
      <c r="AC6" s="781"/>
      <c r="AD6" s="781"/>
      <c r="AE6" s="781"/>
      <c r="AF6" s="781"/>
      <c r="AG6" s="781"/>
      <c r="AH6" s="781"/>
      <c r="AI6" s="781"/>
      <c r="AJ6" s="781"/>
      <c r="AK6" s="781"/>
      <c r="AL6" s="781"/>
      <c r="AM6" s="781"/>
      <c r="AN6" s="781"/>
      <c r="AO6" s="781"/>
      <c r="AP6" s="781"/>
      <c r="AQ6" s="781"/>
      <c r="AR6" s="781"/>
      <c r="AS6" s="781"/>
      <c r="AT6" s="781"/>
      <c r="AU6" s="781"/>
      <c r="AV6" s="781"/>
      <c r="AW6" s="781"/>
      <c r="AX6" s="781"/>
      <c r="AY6" s="781"/>
      <c r="AZ6" s="781"/>
      <c r="BA6" s="781"/>
      <c r="BB6" s="781"/>
      <c r="BC6" s="781"/>
      <c r="BD6" s="781"/>
      <c r="BE6" s="781"/>
      <c r="BF6" s="781"/>
      <c r="BG6" s="781"/>
      <c r="BH6" s="781"/>
      <c r="BI6" s="781"/>
      <c r="BJ6" s="781"/>
      <c r="BK6" s="781"/>
      <c r="BL6" s="781"/>
      <c r="BM6" s="781"/>
      <c r="BN6" s="781"/>
      <c r="BO6" s="781"/>
      <c r="BP6" s="781"/>
      <c r="BQ6" s="781"/>
      <c r="BR6" s="781"/>
      <c r="BS6" s="781"/>
      <c r="BT6" s="781"/>
      <c r="BU6" s="781"/>
      <c r="BV6" s="782"/>
    </row>
    <row r="7" spans="2:74" x14ac:dyDescent="0.25">
      <c r="B7" s="777" t="s">
        <v>13</v>
      </c>
      <c r="C7" s="781">
        <f>SUMIFS(Headcount!$B$6:$B$89,Headcount!$F$6:$F$89,"G&amp;A",Headcount!$H$6:$H$89,"&gt;"&amp;C3,Headcount!$G$6:$G$89,"&lt;"&amp;C3)</f>
        <v>0</v>
      </c>
      <c r="D7" s="782">
        <f>IF(D4="forecast",IF(C4="actual",(SUMIFS(Headcount!$B$6:$B$89,Headcount!$F$6:$F$89,"G&amp;A",Headcount!$H$6:$H$89,"&gt;"&amp;D3,Headcount!$G$6:$G$89,"&lt;"&amp;D3)+D8-D9),(C7+D8-D9)),SUMIFS(Headcount!$B$6:$B$89,Headcount!$F$6:$F$89,"G&amp;A",Headcount!$H$6:$H$89,"&gt;"&amp;D3,Headcount!$G$6:$G$89,"&lt;"&amp;C3))</f>
        <v>0</v>
      </c>
      <c r="E7" s="781">
        <f>IF(E4="forecast",IF(D4="actual",(SUMIFS(Headcount!$B$6:$B$89,Headcount!$F$6:$F$89,"G&amp;A",Headcount!$H$6:$H$89,"&gt;"&amp;E3,Headcount!$G$6:$G$89,"&lt;"&amp;E3)+E8-E9),(D7+E8-E9)),SUMIFS(Headcount!$B$6:$B$89,Headcount!$F$6:$F$89,"G&amp;A",Headcount!$H$6:$H$89,"&gt;"&amp;E3,Headcount!$G$6:$G$89,"&lt;"&amp;D3))</f>
        <v>0</v>
      </c>
      <c r="F7" s="781">
        <f>IF(F4="forecast",IF(E4="actual",(SUMIFS(Headcount!$B$6:$B$89,Headcount!$F$6:$F$89,"G&amp;A",Headcount!$H$6:$H$89,"&gt;"&amp;F3,Headcount!$G$6:$G$89,"&lt;"&amp;F3)+F8-F9),(E7+F8-F9)),SUMIFS(Headcount!$B$6:$B$89,Headcount!$F$6:$F$89,"G&amp;A",Headcount!$H$6:$H$89,"&gt;"&amp;F3,Headcount!$G$6:$G$89,"&lt;"&amp;E3))</f>
        <v>0</v>
      </c>
      <c r="G7" s="781">
        <f>IF(G4="forecast",IF(F4="actual",(SUMIFS(Headcount!$B$6:$B$89,Headcount!$F$6:$F$89,"G&amp;A",Headcount!$H$6:$H$89,"&gt;"&amp;G3,Headcount!$G$6:$G$89,"&lt;"&amp;G3)+G8-G9),(F7+G8-G9)),SUMIFS(Headcount!$B$6:$B$89,Headcount!$F$6:$F$89,"G&amp;A",Headcount!$H$6:$H$89,"&gt;"&amp;G3,Headcount!$G$6:$G$89,"&lt;"&amp;F3))</f>
        <v>0</v>
      </c>
      <c r="H7" s="781">
        <f>IF(H4="forecast",IF(G4="actual",(SUMIFS(Headcount!$B$6:$B$89,Headcount!$F$6:$F$89,"G&amp;A",Headcount!$H$6:$H$89,"&gt;"&amp;H3,Headcount!$G$6:$G$89,"&lt;"&amp;H3)+H8-H9),(G7+H8-H9)),SUMIFS(Headcount!$B$6:$B$89,Headcount!$F$6:$F$89,"G&amp;A",Headcount!$H$6:$H$89,"&gt;"&amp;H3,Headcount!$G$6:$G$89,"&lt;"&amp;G3))</f>
        <v>0</v>
      </c>
      <c r="I7" s="781">
        <f>IF(I4="forecast",IF(H4="actual",(SUMIFS(Headcount!$B$6:$B$89,Headcount!$F$6:$F$89,"G&amp;A",Headcount!$H$6:$H$89,"&gt;"&amp;I3,Headcount!$G$6:$G$89,"&lt;"&amp;I3)+I8-I9),(H7+I8-I9)),SUMIFS(Headcount!$B$6:$B$89,Headcount!$F$6:$F$89,"G&amp;A",Headcount!$H$6:$H$89,"&gt;"&amp;I3,Headcount!$G$6:$G$89,"&lt;"&amp;H3))</f>
        <v>0</v>
      </c>
      <c r="J7" s="781">
        <f>IF(J4="forecast",IF(I4="actual",(SUMIFS(Headcount!$B$6:$B$89,Headcount!$F$6:$F$89,"G&amp;A",Headcount!$H$6:$H$89,"&gt;"&amp;J3,Headcount!$G$6:$G$89,"&lt;"&amp;J3)+J8-J9),(I7+J8-J9)),SUMIFS(Headcount!$B$6:$B$89,Headcount!$F$6:$F$89,"G&amp;A",Headcount!$H$6:$H$89,"&gt;"&amp;J3,Headcount!$G$6:$G$89,"&lt;"&amp;I3))</f>
        <v>0</v>
      </c>
      <c r="K7" s="781">
        <f>IF(K4="forecast",IF(J4="actual",(SUMIFS(Headcount!$B$6:$B$89,Headcount!$F$6:$F$89,"G&amp;A",Headcount!$H$6:$H$89,"&gt;"&amp;K3,Headcount!$G$6:$G$89,"&lt;"&amp;K3)+K8-K9),(J7+K8-K9)),SUMIFS(Headcount!$B$6:$B$89,Headcount!$F$6:$F$89,"G&amp;A",Headcount!$H$6:$H$89,"&gt;"&amp;K3,Headcount!$G$6:$G$89,"&lt;"&amp;J3))</f>
        <v>0</v>
      </c>
      <c r="L7" s="781">
        <f>IF(L4="forecast",IF(K4="actual",(SUMIFS(Headcount!$B$6:$B$89,Headcount!$F$6:$F$89,"G&amp;A",Headcount!$H$6:$H$89,"&gt;"&amp;L3,Headcount!$G$6:$G$89,"&lt;"&amp;L3)+L8-L9),(K7+L8-L9)),SUMIFS(Headcount!$B$6:$B$89,Headcount!$F$6:$F$89,"G&amp;A",Headcount!$H$6:$H$89,"&gt;"&amp;L3,Headcount!$G$6:$G$89,"&lt;"&amp;K3))</f>
        <v>0</v>
      </c>
      <c r="M7" s="781">
        <f>IF(M4="forecast",IF(L4="actual",(SUMIFS(Headcount!$B$6:$B$89,Headcount!$F$6:$F$89,"G&amp;A",Headcount!$H$6:$H$89,"&gt;"&amp;M3,Headcount!$G$6:$G$89,"&lt;"&amp;M3)+M8-M9),(L7+M8-M9)),SUMIFS(Headcount!$B$6:$B$89,Headcount!$F$6:$F$89,"G&amp;A",Headcount!$H$6:$H$89,"&gt;"&amp;M3,Headcount!$G$6:$G$89,"&lt;"&amp;L3))</f>
        <v>0</v>
      </c>
      <c r="N7" s="781">
        <f>IF(N4="forecast",IF(M4="actual",(SUMIFS(Headcount!$B$6:$B$89,Headcount!$F$6:$F$89,"G&amp;A",Headcount!$H$6:$H$89,"&gt;"&amp;N3,Headcount!$G$6:$G$89,"&lt;"&amp;N3)+N8-N9),(M7+N8-N9)),SUMIFS(Headcount!$B$6:$B$89,Headcount!$F$6:$F$89,"G&amp;A",Headcount!$H$6:$H$89,"&gt;"&amp;N3,Headcount!$G$6:$G$89,"&lt;"&amp;M3))</f>
        <v>0</v>
      </c>
      <c r="O7" s="781">
        <f>IF(O4="forecast",IF(N4="actual",(SUMIFS(Headcount!$B$6:$B$89,Headcount!$F$6:$F$89,"G&amp;A",Headcount!$H$6:$H$89,"&gt;"&amp;O3,Headcount!$G$6:$G$89,"&lt;"&amp;O3)+O8-O9),(N7+O8-O9)),SUMIFS(Headcount!$B$6:$B$89,Headcount!$F$6:$F$89,"G&amp;A",Headcount!$H$6:$H$89,"&gt;"&amp;O3,Headcount!$G$6:$G$89,"&lt;"&amp;N3))</f>
        <v>0</v>
      </c>
      <c r="P7" s="781">
        <f>IF(P4="forecast",IF(O4="actual",(SUMIFS(Headcount!$B$6:$B$89,Headcount!$F$6:$F$89,"G&amp;A",Headcount!$H$6:$H$89,"&gt;"&amp;P3,Headcount!$G$6:$G$89,"&lt;"&amp;P3)+P8-P9),(O7+P8-P9)),SUMIFS(Headcount!$B$6:$B$89,Headcount!$F$6:$F$89,"G&amp;A",Headcount!$H$6:$H$89,"&gt;"&amp;P3,Headcount!$G$6:$G$89,"&lt;"&amp;O3))</f>
        <v>0</v>
      </c>
      <c r="Q7" s="781">
        <f>IF(Q4="forecast",IF(P4="actual",(SUMIFS(Headcount!$B$6:$B$89,Headcount!$F$6:$F$89,"G&amp;A",Headcount!$H$6:$H$89,"&gt;"&amp;Q3,Headcount!$G$6:$G$89,"&lt;"&amp;Q3)+Q8-Q9),(P7+Q8-Q9)),SUMIFS(Headcount!$B$6:$B$89,Headcount!$F$6:$F$89,"G&amp;A",Headcount!$H$6:$H$89,"&gt;"&amp;Q3,Headcount!$G$6:$G$89,"&lt;"&amp;P3))</f>
        <v>0</v>
      </c>
      <c r="R7" s="781">
        <f>IF(R4="forecast",IF(Q4="actual",(SUMIFS(Headcount!$B$6:$B$89,Headcount!$F$6:$F$89,"G&amp;A",Headcount!$H$6:$H$89,"&gt;"&amp;R3,Headcount!$G$6:$G$89,"&lt;"&amp;R3)+R8-R9),(Q7+R8-R9)),SUMIFS(Headcount!$B$6:$B$89,Headcount!$F$6:$F$89,"G&amp;A",Headcount!$H$6:$H$89,"&gt;"&amp;R3,Headcount!$G$6:$G$89,"&lt;"&amp;Q3))</f>
        <v>0</v>
      </c>
      <c r="S7" s="781">
        <f>IF(S4="forecast",IF(R4="actual",(SUMIFS(Headcount!$B$6:$B$89,Headcount!$F$6:$F$89,"G&amp;A",Headcount!$H$6:$H$89,"&gt;"&amp;S3,Headcount!$G$6:$G$89,"&lt;"&amp;S3)+S8-S9),(R7+S8-S9)),SUMIFS(Headcount!$B$6:$B$89,Headcount!$F$6:$F$89,"G&amp;A",Headcount!$H$6:$H$89,"&gt;"&amp;S3,Headcount!$G$6:$G$89,"&lt;"&amp;R3))</f>
        <v>0</v>
      </c>
      <c r="T7" s="781">
        <f>IF(T4="forecast",IF(S4="actual",(SUMIFS(Headcount!$B$6:$B$89,Headcount!$F$6:$F$89,"G&amp;A",Headcount!$H$6:$H$89,"&gt;"&amp;T3,Headcount!$G$6:$G$89,"&lt;"&amp;T3)+T8-T9),(S7+T8-T9)),SUMIFS(Headcount!$B$6:$B$89,Headcount!$F$6:$F$89,"G&amp;A",Headcount!$H$6:$H$89,"&gt;"&amp;T3,Headcount!$G$6:$G$89,"&lt;"&amp;S3))</f>
        <v>0</v>
      </c>
      <c r="U7" s="781">
        <f>IF(U4="forecast",IF(T4="actual",(SUMIFS(Headcount!$B$6:$B$89,Headcount!$F$6:$F$89,"G&amp;A",Headcount!$H$6:$H$89,"&gt;"&amp;U3,Headcount!$G$6:$G$89,"&lt;"&amp;U3)+U8-U9),(T7+U8-U9)),SUMIFS(Headcount!$B$6:$B$89,Headcount!$F$6:$F$89,"G&amp;A",Headcount!$H$6:$H$89,"&gt;"&amp;U3,Headcount!$G$6:$G$89,"&lt;"&amp;T3))</f>
        <v>0</v>
      </c>
      <c r="V7" s="781">
        <f>IF(V4="forecast",IF(U4="actual",(SUMIFS(Headcount!$B$6:$B$89,Headcount!$F$6:$F$89,"G&amp;A",Headcount!$H$6:$H$89,"&gt;"&amp;V3,Headcount!$G$6:$G$89,"&lt;"&amp;V3)+V8-V9),(U7+V8-V9)),SUMIFS(Headcount!$B$6:$B$89,Headcount!$F$6:$F$89,"G&amp;A",Headcount!$H$6:$H$89,"&gt;"&amp;V3,Headcount!$G$6:$G$89,"&lt;"&amp;U3))</f>
        <v>0</v>
      </c>
      <c r="W7" s="781">
        <f>IF(W4="forecast",IF(V4="actual",(SUMIFS(Headcount!$B$6:$B$89,Headcount!$F$6:$F$89,"G&amp;A",Headcount!$H$6:$H$89,"&gt;"&amp;W3,Headcount!$G$6:$G$89,"&lt;"&amp;W3)+W8-W9),(V7+W8-W9)),SUMIFS(Headcount!$B$6:$B$89,Headcount!$F$6:$F$89,"G&amp;A",Headcount!$H$6:$H$89,"&gt;"&amp;W3,Headcount!$G$6:$G$89,"&lt;"&amp;V3))</f>
        <v>0</v>
      </c>
      <c r="X7" s="781">
        <f>IF(X4="forecast",IF(W4="actual",(SUMIFS(Headcount!$B$6:$B$89,Headcount!$F$6:$F$89,"G&amp;A",Headcount!$H$6:$H$89,"&gt;"&amp;X3,Headcount!$G$6:$G$89,"&lt;"&amp;X3)+X8-X9),(W7+X8-X9)),SUMIFS(Headcount!$B$6:$B$89,Headcount!$F$6:$F$89,"G&amp;A",Headcount!$H$6:$H$89,"&gt;"&amp;X3,Headcount!$G$6:$G$89,"&lt;"&amp;W3))</f>
        <v>0</v>
      </c>
      <c r="Y7" s="781">
        <f>IF(Y4="forecast",IF(X4="actual",(SUMIFS(Headcount!$B$6:$B$89,Headcount!$F$6:$F$89,"G&amp;A",Headcount!$H$6:$H$89,"&gt;"&amp;Y3,Headcount!$G$6:$G$89,"&lt;"&amp;Y3)+Y8-Y9),(X7+Y8-Y9)),SUMIFS(Headcount!$B$6:$B$89,Headcount!$F$6:$F$89,"G&amp;A",Headcount!$H$6:$H$89,"&gt;"&amp;Y3,Headcount!$G$6:$G$89,"&lt;"&amp;X3))</f>
        <v>0</v>
      </c>
      <c r="Z7" s="781">
        <f>IF(Z4="forecast",IF(Y4="actual",(SUMIFS(Headcount!$B$6:$B$89,Headcount!$F$6:$F$89,"G&amp;A",Headcount!$H$6:$H$89,"&gt;"&amp;Z3,Headcount!$G$6:$G$89,"&lt;"&amp;Z3)+Z8-Z9),(Y7+Z8-Z9)),SUMIFS(Headcount!$B$6:$B$89,Headcount!$F$6:$F$89,"G&amp;A",Headcount!$H$6:$H$89,"&gt;"&amp;Z3,Headcount!$G$6:$G$89,"&lt;"&amp;Y3))</f>
        <v>0</v>
      </c>
      <c r="AA7" s="781">
        <f>IF(AA4="forecast",IF(Z4="actual",(SUMIFS(Headcount!$B$6:$B$89,Headcount!$F$6:$F$89,"G&amp;A",Headcount!$H$6:$H$89,"&gt;"&amp;AA3,Headcount!$G$6:$G$89,"&lt;"&amp;AA3)+AA8-AA9),(Z7+AA8-AA9)),SUMIFS(Headcount!$B$6:$B$89,Headcount!$F$6:$F$89,"G&amp;A",Headcount!$H$6:$H$89,"&gt;"&amp;AA3,Headcount!$G$6:$G$89,"&lt;"&amp;Z3))</f>
        <v>0</v>
      </c>
      <c r="AB7" s="781">
        <f>IF(AB4="forecast",IF(AA4="actual",(SUMIFS(Headcount!$B$6:$B$89,Headcount!$F$6:$F$89,"G&amp;A",Headcount!$H$6:$H$89,"&gt;"&amp;AB3,Headcount!$G$6:$G$89,"&lt;"&amp;AB3)+AB8-AB9),(AA7+AB8-AB9)),SUMIFS(Headcount!$B$6:$B$89,Headcount!$F$6:$F$89,"G&amp;A",Headcount!$H$6:$H$89,"&gt;"&amp;AB3,Headcount!$G$6:$G$89,"&lt;"&amp;AA3))</f>
        <v>0</v>
      </c>
      <c r="AC7" s="781">
        <f>IF(AC4="forecast",IF(AB4="actual",(SUMIFS(Headcount!$B$6:$B$89,Headcount!$F$6:$F$89,"G&amp;A",Headcount!$H$6:$H$89,"&gt;"&amp;AC3,Headcount!$G$6:$G$89,"&lt;"&amp;AC3)+AC8-AC9),(AB7+AC8-AC9)),SUMIFS(Headcount!$B$6:$B$89,Headcount!$F$6:$F$89,"G&amp;A",Headcount!$H$6:$H$89,"&gt;"&amp;AC3,Headcount!$G$6:$G$89,"&lt;"&amp;AB3))</f>
        <v>0</v>
      </c>
      <c r="AD7" s="781">
        <f>IF(AD4="forecast",IF(AC4="actual",(SUMIFS(Headcount!$B$6:$B$89,Headcount!$F$6:$F$89,"G&amp;A",Headcount!$H$6:$H$89,"&gt;"&amp;AD3,Headcount!$G$6:$G$89,"&lt;"&amp;AD3)+AD8-AD9),(AC7+AD8-AD9)),SUMIFS(Headcount!$B$6:$B$89,Headcount!$F$6:$F$89,"G&amp;A",Headcount!$H$6:$H$89,"&gt;"&amp;AD3,Headcount!$G$6:$G$89,"&lt;"&amp;AC3))</f>
        <v>0</v>
      </c>
      <c r="AE7" s="781">
        <f>IF(AE4="forecast",IF(AD4="actual",(SUMIFS(Headcount!$B$6:$B$89,Headcount!$F$6:$F$89,"G&amp;A",Headcount!$H$6:$H$89,"&gt;"&amp;AE3,Headcount!$G$6:$G$89,"&lt;"&amp;AE3)+AE8-AE9),(AD7+AE8-AE9)),SUMIFS(Headcount!$B$6:$B$89,Headcount!$F$6:$F$89,"G&amp;A",Headcount!$H$6:$H$89,"&gt;"&amp;AE3,Headcount!$G$6:$G$89,"&lt;"&amp;AD3))</f>
        <v>0</v>
      </c>
      <c r="AF7" s="781">
        <f>IF(AF4="forecast",IF(AE4="actual",(SUMIFS(Headcount!$B$6:$B$89,Headcount!$F$6:$F$89,"G&amp;A",Headcount!$H$6:$H$89,"&gt;"&amp;AF3,Headcount!$G$6:$G$89,"&lt;"&amp;AF3)+AF8-AF9),(AE7+AF8-AF9)),SUMIFS(Headcount!$B$6:$B$89,Headcount!$F$6:$F$89,"G&amp;A",Headcount!$H$6:$H$89,"&gt;"&amp;AF3,Headcount!$G$6:$G$89,"&lt;"&amp;AE3))</f>
        <v>0</v>
      </c>
      <c r="AG7" s="781">
        <f>IF(AG4="forecast",IF(AF4="actual",(SUMIFS(Headcount!$B$6:$B$89,Headcount!$F$6:$F$89,"G&amp;A",Headcount!$H$6:$H$89,"&gt;"&amp;AG3,Headcount!$G$6:$G$89,"&lt;"&amp;AG3)+AG8-AG9),(AF7+AG8-AG9)),SUMIFS(Headcount!$B$6:$B$89,Headcount!$F$6:$F$89,"G&amp;A",Headcount!$H$6:$H$89,"&gt;"&amp;AG3,Headcount!$G$6:$G$89,"&lt;"&amp;AF3))</f>
        <v>0</v>
      </c>
      <c r="AH7" s="781">
        <f>IF(AH4="forecast",IF(AG4="actual",(SUMIFS(Headcount!$B$6:$B$89,Headcount!$F$6:$F$89,"G&amp;A",Headcount!$H$6:$H$89,"&gt;"&amp;AH3,Headcount!$G$6:$G$89,"&lt;"&amp;AH3)+AH8-AH9),(AG7+AH8-AH9)),SUMIFS(Headcount!$B$6:$B$89,Headcount!$F$6:$F$89,"G&amp;A",Headcount!$H$6:$H$89,"&gt;"&amp;AH3,Headcount!$G$6:$G$89,"&lt;"&amp;AG3))</f>
        <v>0</v>
      </c>
      <c r="AI7" s="781">
        <f>IF(AI4="forecast",IF(AH4="actual",(SUMIFS(Headcount!$B$6:$B$89,Headcount!$F$6:$F$89,"G&amp;A",Headcount!$H$6:$H$89,"&gt;"&amp;AI3,Headcount!$G$6:$G$89,"&lt;"&amp;AI3)+AI8-AI9),(AH7+AI8-AI9)),SUMIFS(Headcount!$B$6:$B$89,Headcount!$F$6:$F$89,"G&amp;A",Headcount!$H$6:$H$89,"&gt;"&amp;AI3,Headcount!$G$6:$G$89,"&lt;"&amp;AH3))</f>
        <v>0</v>
      </c>
      <c r="AJ7" s="781">
        <f>IF(AJ4="forecast",IF(AI4="actual",(SUMIFS(Headcount!$B$6:$B$89,Headcount!$F$6:$F$89,"G&amp;A",Headcount!$H$6:$H$89,"&gt;"&amp;AJ3,Headcount!$G$6:$G$89,"&lt;"&amp;AJ3)+AJ8-AJ9),(AI7+AJ8-AJ9)),SUMIFS(Headcount!$B$6:$B$89,Headcount!$F$6:$F$89,"G&amp;A",Headcount!$H$6:$H$89,"&gt;"&amp;AJ3,Headcount!$G$6:$G$89,"&lt;"&amp;AI3))</f>
        <v>0</v>
      </c>
      <c r="AK7" s="781">
        <f>IF(AK4="forecast",IF(AJ4="actual",(SUMIFS(Headcount!$B$6:$B$89,Headcount!$F$6:$F$89,"G&amp;A",Headcount!$H$6:$H$89,"&gt;"&amp;AK3,Headcount!$G$6:$G$89,"&lt;"&amp;AK3)+AK8-AK9),(AJ7+AK8-AK9)),SUMIFS(Headcount!$B$6:$B$89,Headcount!$F$6:$F$89,"G&amp;A",Headcount!$H$6:$H$89,"&gt;"&amp;AK3,Headcount!$G$6:$G$89,"&lt;"&amp;AJ3))</f>
        <v>0</v>
      </c>
      <c r="AL7" s="781">
        <f>IF(AL4="forecast",IF(AK4="actual",(SUMIFS(Headcount!$B$6:$B$89,Headcount!$F$6:$F$89,"G&amp;A",Headcount!$H$6:$H$89,"&gt;"&amp;AL3,Headcount!$G$6:$G$89,"&lt;"&amp;AL3)+AL8-AL9),(AK7+AL8-AL9)),SUMIFS(Headcount!$B$6:$B$89,Headcount!$F$6:$F$89,"G&amp;A",Headcount!$H$6:$H$89,"&gt;"&amp;AL3,Headcount!$G$6:$G$89,"&lt;"&amp;AK3))</f>
        <v>0</v>
      </c>
      <c r="AM7" s="781">
        <f>IF(AM4="forecast",IF(AL4="actual",(SUMIFS(Headcount!$B$6:$B$89,Headcount!$F$6:$F$89,"G&amp;A",Headcount!$H$6:$H$89,"&gt;"&amp;AM3,Headcount!$G$6:$G$89,"&lt;"&amp;AM3)+AM8-AM9),(AL7+AM8-AM9)),SUMIFS(Headcount!$B$6:$B$89,Headcount!$F$6:$F$89,"G&amp;A",Headcount!$H$6:$H$89,"&gt;"&amp;AM3,Headcount!$G$6:$G$89,"&lt;"&amp;AL3))</f>
        <v>0</v>
      </c>
      <c r="AN7" s="781">
        <f>IF(AN4="forecast",IF(AM4="actual",(SUMIFS(Headcount!$B$6:$B$89,Headcount!$F$6:$F$89,"G&amp;A",Headcount!$H$6:$H$89,"&gt;"&amp;AN3,Headcount!$G$6:$G$89,"&lt;"&amp;AN3)+AN8-AN9),(AM7+AN8-AN9)),SUMIFS(Headcount!$B$6:$B$89,Headcount!$F$6:$F$89,"G&amp;A",Headcount!$H$6:$H$89,"&gt;"&amp;AN3,Headcount!$G$6:$G$89,"&lt;"&amp;AM3))</f>
        <v>0</v>
      </c>
      <c r="AO7" s="781">
        <f>IF(AO4="forecast",IF(AN4="actual",(SUMIFS(Headcount!$B$6:$B$89,Headcount!$F$6:$F$89,"G&amp;A",Headcount!$H$6:$H$89,"&gt;"&amp;AO3,Headcount!$G$6:$G$89,"&lt;"&amp;AO3)+AO8-AO9),(AN7+AO8-AO9)),SUMIFS(Headcount!$B$6:$B$89,Headcount!$F$6:$F$89,"G&amp;A",Headcount!$H$6:$H$89,"&gt;"&amp;AO3,Headcount!$G$6:$G$89,"&lt;"&amp;AN3))</f>
        <v>0</v>
      </c>
      <c r="AP7" s="781">
        <f>IF(AP4="forecast",IF(AO4="actual",(SUMIFS(Headcount!$B$6:$B$89,Headcount!$F$6:$F$89,"G&amp;A",Headcount!$H$6:$H$89,"&gt;"&amp;AP3,Headcount!$G$6:$G$89,"&lt;"&amp;AP3)+AP8-AP9),(AO7+AP8-AP9)),SUMIFS(Headcount!$B$6:$B$89,Headcount!$F$6:$F$89,"G&amp;A",Headcount!$H$6:$H$89,"&gt;"&amp;AP3,Headcount!$G$6:$G$89,"&lt;"&amp;AO3))</f>
        <v>0</v>
      </c>
      <c r="AQ7" s="781">
        <f>IF(AQ4="forecast",IF(AP4="actual",(SUMIFS(Headcount!$B$6:$B$89,Headcount!$F$6:$F$89,"G&amp;A",Headcount!$H$6:$H$89,"&gt;"&amp;AQ3,Headcount!$G$6:$G$89,"&lt;"&amp;AQ3)+AQ8-AQ9),(AP7+AQ8-AQ9)),SUMIFS(Headcount!$B$6:$B$89,Headcount!$F$6:$F$89,"G&amp;A",Headcount!$H$6:$H$89,"&gt;"&amp;AQ3,Headcount!$G$6:$G$89,"&lt;"&amp;AP3))</f>
        <v>0</v>
      </c>
      <c r="AR7" s="781">
        <f>IF(AR4="forecast",IF(AQ4="actual",(SUMIFS(Headcount!$B$6:$B$89,Headcount!$F$6:$F$89,"G&amp;A",Headcount!$H$6:$H$89,"&gt;"&amp;AR3,Headcount!$G$6:$G$89,"&lt;"&amp;AR3)+AR8-AR9),(AQ7+AR8-AR9)),SUMIFS(Headcount!$B$6:$B$89,Headcount!$F$6:$F$89,"G&amp;A",Headcount!$H$6:$H$89,"&gt;"&amp;AR3,Headcount!$G$6:$G$89,"&lt;"&amp;AQ3))</f>
        <v>0</v>
      </c>
      <c r="AS7" s="781">
        <f>IF(AS4="forecast",IF(AR4="actual",(SUMIFS(Headcount!$B$6:$B$89,Headcount!$F$6:$F$89,"G&amp;A",Headcount!$H$6:$H$89,"&gt;"&amp;AS3,Headcount!$G$6:$G$89,"&lt;"&amp;AS3)+AS8-AS9),(AR7+AS8-AS9)),SUMIFS(Headcount!$B$6:$B$89,Headcount!$F$6:$F$89,"G&amp;A",Headcount!$H$6:$H$89,"&gt;"&amp;AS3,Headcount!$G$6:$G$89,"&lt;"&amp;AR3))</f>
        <v>0</v>
      </c>
      <c r="AT7" s="781">
        <f>IF(AT4="forecast",IF(AS4="actual",(SUMIFS(Headcount!$B$6:$B$89,Headcount!$F$6:$F$89,"G&amp;A",Headcount!$H$6:$H$89,"&gt;"&amp;AT3,Headcount!$G$6:$G$89,"&lt;"&amp;AT3)+AT8-AT9),(AS7+AT8-AT9)),SUMIFS(Headcount!$B$6:$B$89,Headcount!$F$6:$F$89,"G&amp;A",Headcount!$H$6:$H$89,"&gt;"&amp;AT3,Headcount!$G$6:$G$89,"&lt;"&amp;AS3))</f>
        <v>0</v>
      </c>
      <c r="AU7" s="781">
        <f>IF(AU4="forecast",IF(AT4="actual",(SUMIFS(Headcount!$B$6:$B$89,Headcount!$F$6:$F$89,"G&amp;A",Headcount!$H$6:$H$89,"&gt;"&amp;AU3,Headcount!$G$6:$G$89,"&lt;"&amp;AU3)+AU8-AU9),(AT7+AU8-AU9)),SUMIFS(Headcount!$B$6:$B$89,Headcount!$F$6:$F$89,"G&amp;A",Headcount!$H$6:$H$89,"&gt;"&amp;AU3,Headcount!$G$6:$G$89,"&lt;"&amp;AT3))</f>
        <v>0</v>
      </c>
      <c r="AV7" s="781">
        <f>IF(AV4="forecast",IF(AU4="actual",(SUMIFS(Headcount!$B$6:$B$89,Headcount!$F$6:$F$89,"G&amp;A",Headcount!$H$6:$H$89,"&gt;"&amp;AV3,Headcount!$G$6:$G$89,"&lt;"&amp;AV3)+AV8-AV9),(AU7+AV8-AV9)),SUMIFS(Headcount!$B$6:$B$89,Headcount!$F$6:$F$89,"G&amp;A",Headcount!$H$6:$H$89,"&gt;"&amp;AV3,Headcount!$G$6:$G$89,"&lt;"&amp;AU3))</f>
        <v>0</v>
      </c>
      <c r="AW7" s="781">
        <f>IF(AW4="forecast",IF(AV4="actual",(SUMIFS(Headcount!$B$6:$B$89,Headcount!$F$6:$F$89,"G&amp;A",Headcount!$H$6:$H$89,"&gt;"&amp;AW3,Headcount!$G$6:$G$89,"&lt;"&amp;AW3)+AW8-AW9),(AV7+AW8-AW9)),SUMIFS(Headcount!$B$6:$B$89,Headcount!$F$6:$F$89,"G&amp;A",Headcount!$H$6:$H$89,"&gt;"&amp;AW3,Headcount!$G$6:$G$89,"&lt;"&amp;AV3))</f>
        <v>0</v>
      </c>
      <c r="AX7" s="781">
        <f>IF(AX4="forecast",IF(AW4="actual",(SUMIFS(Headcount!$B$6:$B$89,Headcount!$F$6:$F$89,"G&amp;A",Headcount!$H$6:$H$89,"&gt;"&amp;AX3,Headcount!$G$6:$G$89,"&lt;"&amp;AX3)+AX8-AX9),(AW7+AX8-AX9)),SUMIFS(Headcount!$B$6:$B$89,Headcount!$F$6:$F$89,"G&amp;A",Headcount!$H$6:$H$89,"&gt;"&amp;AX3,Headcount!$G$6:$G$89,"&lt;"&amp;AW3))</f>
        <v>0</v>
      </c>
      <c r="AY7" s="781">
        <f>IF(AY4="forecast",IF(AX4="actual",(SUMIFS(Headcount!$B$6:$B$89,Headcount!$F$6:$F$89,"G&amp;A",Headcount!$H$6:$H$89,"&gt;"&amp;AY3,Headcount!$G$6:$G$89,"&lt;"&amp;AY3)+AY8-AY9),(AX7+AY8-AY9)),SUMIFS(Headcount!$B$6:$B$89,Headcount!$F$6:$F$89,"G&amp;A",Headcount!$H$6:$H$89,"&gt;"&amp;AY3,Headcount!$G$6:$G$89,"&lt;"&amp;AX3))</f>
        <v>0</v>
      </c>
      <c r="AZ7" s="781">
        <f>IF(AZ4="forecast",IF(AY4="actual",(SUMIFS(Headcount!$B$6:$B$89,Headcount!$F$6:$F$89,"G&amp;A",Headcount!$H$6:$H$89,"&gt;"&amp;AZ3,Headcount!$G$6:$G$89,"&lt;"&amp;AZ3)+AZ8-AZ9),(AY7+AZ8-AZ9)),SUMIFS(Headcount!$B$6:$B$89,Headcount!$F$6:$F$89,"G&amp;A",Headcount!$H$6:$H$89,"&gt;"&amp;AZ3,Headcount!$G$6:$G$89,"&lt;"&amp;AY3))</f>
        <v>0</v>
      </c>
      <c r="BA7" s="781">
        <f>IF(BA4="forecast",IF(AZ4="actual",(SUMIFS(Headcount!$B$6:$B$89,Headcount!$F$6:$F$89,"G&amp;A",Headcount!$H$6:$H$89,"&gt;"&amp;BA3,Headcount!$G$6:$G$89,"&lt;"&amp;BA3)+BA8-BA9),(AZ7+BA8-BA9)),SUMIFS(Headcount!$B$6:$B$89,Headcount!$F$6:$F$89,"G&amp;A",Headcount!$H$6:$H$89,"&gt;"&amp;BA3,Headcount!$G$6:$G$89,"&lt;"&amp;AZ3))</f>
        <v>0</v>
      </c>
      <c r="BB7" s="781">
        <f>IF(BB4="forecast",IF(BA4="actual",(SUMIFS(Headcount!$B$6:$B$89,Headcount!$F$6:$F$89,"G&amp;A",Headcount!$H$6:$H$89,"&gt;"&amp;BB3,Headcount!$G$6:$G$89,"&lt;"&amp;BB3)+BB8-BB9),(BA7+BB8-BB9)),SUMIFS(Headcount!$B$6:$B$89,Headcount!$F$6:$F$89,"G&amp;A",Headcount!$H$6:$H$89,"&gt;"&amp;BB3,Headcount!$G$6:$G$89,"&lt;"&amp;BA3))</f>
        <v>0</v>
      </c>
      <c r="BC7" s="781">
        <f>IF(BC4="forecast",IF(BB4="actual",(SUMIFS(Headcount!$B$6:$B$89,Headcount!$F$6:$F$89,"G&amp;A",Headcount!$H$6:$H$89,"&gt;"&amp;BC3,Headcount!$G$6:$G$89,"&lt;"&amp;BC3)+BC8-BC9),(BB7+BC8-BC9)),SUMIFS(Headcount!$B$6:$B$89,Headcount!$F$6:$F$89,"G&amp;A",Headcount!$H$6:$H$89,"&gt;"&amp;BC3,Headcount!$G$6:$G$89,"&lt;"&amp;BB3))</f>
        <v>0</v>
      </c>
      <c r="BD7" s="781">
        <f>IF(BD4="forecast",IF(BC4="actual",(SUMIFS(Headcount!$B$6:$B$89,Headcount!$F$6:$F$89,"G&amp;A",Headcount!$H$6:$H$89,"&gt;"&amp;BD3,Headcount!$G$6:$G$89,"&lt;"&amp;BD3)+BD8-BD9),(BC7+BD8-BD9)),SUMIFS(Headcount!$B$6:$B$89,Headcount!$F$6:$F$89,"G&amp;A",Headcount!$H$6:$H$89,"&gt;"&amp;BD3,Headcount!$G$6:$G$89,"&lt;"&amp;BC3))</f>
        <v>0</v>
      </c>
      <c r="BE7" s="781">
        <f>IF(BE4="forecast",IF(BD4="actual",(SUMIFS(Headcount!$B$6:$B$89,Headcount!$F$6:$F$89,"G&amp;A",Headcount!$H$6:$H$89,"&gt;"&amp;BE3,Headcount!$G$6:$G$89,"&lt;"&amp;BE3)+BE8-BE9),(BD7+BE8-BE9)),SUMIFS(Headcount!$B$6:$B$89,Headcount!$F$6:$F$89,"G&amp;A",Headcount!$H$6:$H$89,"&gt;"&amp;BE3,Headcount!$G$6:$G$89,"&lt;"&amp;BD3))</f>
        <v>0</v>
      </c>
      <c r="BF7" s="781">
        <f>IF(BF4="forecast",IF(BE4="actual",(SUMIFS(Headcount!$B$6:$B$89,Headcount!$F$6:$F$89,"G&amp;A",Headcount!$H$6:$H$89,"&gt;"&amp;BF3,Headcount!$G$6:$G$89,"&lt;"&amp;BF3)+BF8-BF9),(BE7+BF8-BF9)),SUMIFS(Headcount!$B$6:$B$89,Headcount!$F$6:$F$89,"G&amp;A",Headcount!$H$6:$H$89,"&gt;"&amp;BF3,Headcount!$G$6:$G$89,"&lt;"&amp;BE3))</f>
        <v>0</v>
      </c>
      <c r="BG7" s="781">
        <f>IF(BG4="forecast",IF(BF4="actual",(SUMIFS(Headcount!$B$6:$B$89,Headcount!$F$6:$F$89,"G&amp;A",Headcount!$H$6:$H$89,"&gt;"&amp;BG3,Headcount!$G$6:$G$89,"&lt;"&amp;BG3)+BG8-BG9),(BF7+BG8-BG9)),SUMIFS(Headcount!$B$6:$B$89,Headcount!$F$6:$F$89,"G&amp;A",Headcount!$H$6:$H$89,"&gt;"&amp;BG3,Headcount!$G$6:$G$89,"&lt;"&amp;BF3))</f>
        <v>0</v>
      </c>
      <c r="BH7" s="781">
        <f>IF(BH4="forecast",IF(BG4="actual",(SUMIFS(Headcount!$B$6:$B$89,Headcount!$F$6:$F$89,"G&amp;A",Headcount!$H$6:$H$89,"&gt;"&amp;BH3,Headcount!$G$6:$G$89,"&lt;"&amp;BH3)+BH8-BH9),(BG7+BH8-BH9)),SUMIFS(Headcount!$B$6:$B$89,Headcount!$F$6:$F$89,"G&amp;A",Headcount!$H$6:$H$89,"&gt;"&amp;BH3,Headcount!$G$6:$G$89,"&lt;"&amp;BG3))</f>
        <v>0</v>
      </c>
      <c r="BI7" s="781">
        <f>IF(BI4="forecast",IF(BH4="actual",(SUMIFS(Headcount!$B$6:$B$89,Headcount!$F$6:$F$89,"G&amp;A",Headcount!$H$6:$H$89,"&gt;"&amp;BI3,Headcount!$G$6:$G$89,"&lt;"&amp;BI3)+BI8-BI9),(BH7+BI8-BI9)),SUMIFS(Headcount!$B$6:$B$89,Headcount!$F$6:$F$89,"G&amp;A",Headcount!$H$6:$H$89,"&gt;"&amp;BI3,Headcount!$G$6:$G$89,"&lt;"&amp;BH3))</f>
        <v>0</v>
      </c>
      <c r="BJ7" s="781">
        <f>IF(BJ4="forecast",IF(BI4="actual",(SUMIFS(Headcount!$B$6:$B$89,Headcount!$F$6:$F$89,"G&amp;A",Headcount!$H$6:$H$89,"&gt;"&amp;BJ3,Headcount!$G$6:$G$89,"&lt;"&amp;BJ3)+BJ8-BJ9),(BI7+BJ8-BJ9)),SUMIFS(Headcount!$B$6:$B$89,Headcount!$F$6:$F$89,"G&amp;A",Headcount!$H$6:$H$89,"&gt;"&amp;BJ3,Headcount!$G$6:$G$89,"&lt;"&amp;BI3))</f>
        <v>0</v>
      </c>
      <c r="BK7" s="781">
        <f>IF(BK4="forecast",IF(BJ4="actual",(SUMIFS(Headcount!$B$6:$B$89,Headcount!$F$6:$F$89,"G&amp;A",Headcount!$H$6:$H$89,"&gt;"&amp;BK3,Headcount!$G$6:$G$89,"&lt;"&amp;BK3)+BK8-BK9),(BJ7+BK8-BK9)),SUMIFS(Headcount!$B$6:$B$89,Headcount!$F$6:$F$89,"G&amp;A",Headcount!$H$6:$H$89,"&gt;"&amp;BK3,Headcount!$G$6:$G$89,"&lt;"&amp;BJ3))</f>
        <v>0</v>
      </c>
      <c r="BL7" s="781">
        <f>IF(BL4="forecast",IF(BK4="actual",(SUMIFS(Headcount!$B$6:$B$89,Headcount!$F$6:$F$89,"G&amp;A",Headcount!$H$6:$H$89,"&gt;"&amp;BL3,Headcount!$G$6:$G$89,"&lt;"&amp;BL3)+BL8-BL9),(BK7+BL8-BL9)),SUMIFS(Headcount!$B$6:$B$89,Headcount!$F$6:$F$89,"G&amp;A",Headcount!$H$6:$H$89,"&gt;"&amp;BL3,Headcount!$G$6:$G$89,"&lt;"&amp;BK3))</f>
        <v>0</v>
      </c>
      <c r="BM7" s="781">
        <f>IF(BM4="forecast",IF(BL4="actual",(SUMIFS(Headcount!$B$6:$B$89,Headcount!$F$6:$F$89,"G&amp;A",Headcount!$H$6:$H$89,"&gt;"&amp;BM3,Headcount!$G$6:$G$89,"&lt;"&amp;BM3)+BM8-BM9),(BL7+BM8-BM9)),SUMIFS(Headcount!$B$6:$B$89,Headcount!$F$6:$F$89,"G&amp;A",Headcount!$H$6:$H$89,"&gt;"&amp;BM3,Headcount!$G$6:$G$89,"&lt;"&amp;BL3))</f>
        <v>0</v>
      </c>
      <c r="BN7" s="781">
        <f>IF(BN4="forecast",IF(BM4="actual",(SUMIFS(Headcount!$B$6:$B$89,Headcount!$F$6:$F$89,"G&amp;A",Headcount!$H$6:$H$89,"&gt;"&amp;BN3,Headcount!$G$6:$G$89,"&lt;"&amp;BN3)+BN8-BN9),(BM7+BN8-BN9)),SUMIFS(Headcount!$B$6:$B$89,Headcount!$F$6:$F$89,"G&amp;A",Headcount!$H$6:$H$89,"&gt;"&amp;BN3,Headcount!$G$6:$G$89,"&lt;"&amp;BM3))</f>
        <v>0</v>
      </c>
      <c r="BO7" s="781">
        <f>IF(BO4="forecast",IF(BN4="actual",(SUMIFS(Headcount!$B$6:$B$89,Headcount!$F$6:$F$89,"G&amp;A",Headcount!$H$6:$H$89,"&gt;"&amp;BO3,Headcount!$G$6:$G$89,"&lt;"&amp;BO3)+BO8-BO9),(BN7+BO8-BO9)),SUMIFS(Headcount!$B$6:$B$89,Headcount!$F$6:$F$89,"G&amp;A",Headcount!$H$6:$H$89,"&gt;"&amp;BO3,Headcount!$G$6:$G$89,"&lt;"&amp;BN3))</f>
        <v>0</v>
      </c>
      <c r="BP7" s="781">
        <f>IF(BP4="forecast",IF(BO4="actual",(SUMIFS(Headcount!$B$6:$B$89,Headcount!$F$6:$F$89,"G&amp;A",Headcount!$H$6:$H$89,"&gt;"&amp;BP3,Headcount!$G$6:$G$89,"&lt;"&amp;BP3)+BP8-BP9),(BO7+BP8-BP9)),SUMIFS(Headcount!$B$6:$B$89,Headcount!$F$6:$F$89,"G&amp;A",Headcount!$H$6:$H$89,"&gt;"&amp;BP3,Headcount!$G$6:$G$89,"&lt;"&amp;BO3))</f>
        <v>0</v>
      </c>
      <c r="BQ7" s="781">
        <f>IF(BQ4="forecast",IF(BP4="actual",(SUMIFS(Headcount!$B$6:$B$89,Headcount!$F$6:$F$89,"G&amp;A",Headcount!$H$6:$H$89,"&gt;"&amp;BQ3,Headcount!$G$6:$G$89,"&lt;"&amp;BQ3)+BQ8-BQ9),(BP7+BQ8-BQ9)),SUMIFS(Headcount!$B$6:$B$89,Headcount!$F$6:$F$89,"G&amp;A",Headcount!$H$6:$H$89,"&gt;"&amp;BQ3,Headcount!$G$6:$G$89,"&lt;"&amp;BP3))</f>
        <v>0</v>
      </c>
      <c r="BR7" s="781">
        <f>IF(BR4="forecast",IF(BQ4="actual",(SUMIFS(Headcount!$B$6:$B$89,Headcount!$F$6:$F$89,"G&amp;A",Headcount!$H$6:$H$89,"&gt;"&amp;BR3,Headcount!$G$6:$G$89,"&lt;"&amp;BR3)+BR8-BR9),(BQ7+BR8-BR9)),SUMIFS(Headcount!$B$6:$B$89,Headcount!$F$6:$F$89,"G&amp;A",Headcount!$H$6:$H$89,"&gt;"&amp;BR3,Headcount!$G$6:$G$89,"&lt;"&amp;BQ3))</f>
        <v>0</v>
      </c>
      <c r="BS7" s="781">
        <f>IF(BS4="forecast",IF(BR4="actual",(SUMIFS(Headcount!$B$6:$B$89,Headcount!$F$6:$F$89,"G&amp;A",Headcount!$H$6:$H$89,"&gt;"&amp;BS3,Headcount!$G$6:$G$89,"&lt;"&amp;BS3)+BS8-BS9),(BR7+BS8-BS9)),SUMIFS(Headcount!$B$6:$B$89,Headcount!$F$6:$F$89,"G&amp;A",Headcount!$H$6:$H$89,"&gt;"&amp;BS3,Headcount!$G$6:$G$89,"&lt;"&amp;BR3))</f>
        <v>0</v>
      </c>
      <c r="BT7" s="781">
        <f>IF(BT4="forecast",IF(BS4="actual",(SUMIFS(Headcount!$B$6:$B$89,Headcount!$F$6:$F$89,"G&amp;A",Headcount!$H$6:$H$89,"&gt;"&amp;BT3,Headcount!$G$6:$G$89,"&lt;"&amp;BT3)+BT8-BT9),(BS7+BT8-BT9)),SUMIFS(Headcount!$B$6:$B$89,Headcount!$F$6:$F$89,"G&amp;A",Headcount!$H$6:$H$89,"&gt;"&amp;BT3,Headcount!$G$6:$G$89,"&lt;"&amp;BS3))</f>
        <v>0</v>
      </c>
      <c r="BU7" s="781">
        <f>IF(BU4="forecast",IF(BT4="actual",(SUMIFS(Headcount!$B$6:$B$89,Headcount!$F$6:$F$89,"G&amp;A",Headcount!$H$6:$H$89,"&gt;"&amp;BU3,Headcount!$G$6:$G$89,"&lt;"&amp;BU3)+BU8-BU9),(BT7+BU8-BU9)),SUMIFS(Headcount!$B$6:$B$89,Headcount!$F$6:$F$89,"G&amp;A",Headcount!$H$6:$H$89,"&gt;"&amp;BU3,Headcount!$G$6:$G$89,"&lt;"&amp;BT3))</f>
        <v>0</v>
      </c>
      <c r="BV7" s="782">
        <f>IF(BV4="forecast",IF(BU4="actual",(SUMIFS(Headcount!$B$6:$B$89,Headcount!$F$6:$F$89,"G&amp;A",Headcount!$H$6:$H$89,"&gt;"&amp;BV3,Headcount!$G$6:$G$89,"&lt;"&amp;BV3)+BV8-BV9),(BU7+BV8-BV9)),SUMIFS(Headcount!$B$6:$B$89,Headcount!$F$6:$F$89,"G&amp;A",Headcount!$H$6:$H$89,"&gt;"&amp;BV3,Headcount!$G$6:$G$89,"&lt;"&amp;BU3))</f>
        <v>0</v>
      </c>
    </row>
    <row r="8" spans="2:74" x14ac:dyDescent="0.25">
      <c r="B8" s="777" t="s">
        <v>14</v>
      </c>
      <c r="C8" s="781">
        <f>SUMIFS('New Hires Forecast'!$B$5:$B$84,'New Hires Forecast'!$G$5:$G$84,"&gt;"&amp;'G&amp;A'!B3,'New Hires Forecast'!$G$5:$G$84,"&lt;="&amp;'G&amp;A'!C3,'New Hires Forecast'!$G$5:$G$84,"Executive")</f>
        <v>0</v>
      </c>
      <c r="D8" s="781">
        <f>SUMIFS('New Hires Forecast'!$B$5:$B$84,'New Hires Forecast'!$G$5:$G$84,"&gt;"&amp;'G&amp;A'!C3,'New Hires Forecast'!$G$5:$G$84,"&lt;="&amp;'G&amp;A'!D3,'New Hires Forecast'!$G$5:$G$84,"Executive")</f>
        <v>0</v>
      </c>
      <c r="E8" s="781">
        <f>SUMIFS('New Hires Forecast'!$B$5:$B$84,'New Hires Forecast'!$G$5:$G$84,"&gt;"&amp;'G&amp;A'!D3,'New Hires Forecast'!$G$5:$G$84,"&lt;="&amp;'G&amp;A'!E3,'New Hires Forecast'!$G$5:$G$84,"Executive")</f>
        <v>0</v>
      </c>
      <c r="F8" s="781">
        <f>SUMIFS('New Hires Forecast'!$B$5:$B$84,'New Hires Forecast'!$G$5:$G$84,"&gt;"&amp;'G&amp;A'!E3,'New Hires Forecast'!$G$5:$G$84,"&lt;="&amp;'G&amp;A'!F3,'New Hires Forecast'!$G$5:$G$84,"Executive")</f>
        <v>0</v>
      </c>
      <c r="G8" s="781">
        <f>SUMIFS('New Hires Forecast'!$B$5:$B$84,'New Hires Forecast'!$G$5:$G$84,"&gt;"&amp;'G&amp;A'!F3,'New Hires Forecast'!$G$5:$G$84,"&lt;="&amp;'G&amp;A'!G3,'New Hires Forecast'!$G$5:$G$84,"Executive")</f>
        <v>0</v>
      </c>
      <c r="H8" s="781">
        <f>SUMIFS('New Hires Forecast'!$B$5:$B$84,'New Hires Forecast'!$G$5:$G$84,"&gt;"&amp;'G&amp;A'!G3,'New Hires Forecast'!$G$5:$G$84,"&lt;="&amp;'G&amp;A'!H3,'New Hires Forecast'!$G$5:$G$84,"Executive")</f>
        <v>0</v>
      </c>
      <c r="I8" s="781">
        <f>SUMIFS('New Hires Forecast'!$B$5:$B$84,'New Hires Forecast'!$G$5:$G$84,"&gt;"&amp;'G&amp;A'!H3,'New Hires Forecast'!$G$5:$G$84,"&lt;="&amp;'G&amp;A'!I3,'New Hires Forecast'!$G$5:$G$84,"Executive")</f>
        <v>0</v>
      </c>
      <c r="J8" s="781">
        <f>SUMIFS('New Hires Forecast'!$B$5:$B$84,'New Hires Forecast'!$G$5:$G$84,"&gt;"&amp;'G&amp;A'!I3,'New Hires Forecast'!$G$5:$G$84,"&lt;="&amp;'G&amp;A'!J3,'New Hires Forecast'!$G$5:$G$84,"Executive")</f>
        <v>0</v>
      </c>
      <c r="K8" s="781">
        <f>SUMIFS('New Hires Forecast'!$B$5:$B$84,'New Hires Forecast'!$G$5:$G$84,"&gt;"&amp;'G&amp;A'!J3,'New Hires Forecast'!$G$5:$G$84,"&lt;="&amp;'G&amp;A'!K3,'New Hires Forecast'!$G$5:$G$84,"Executive")</f>
        <v>0</v>
      </c>
      <c r="L8" s="781">
        <f>SUMIFS('New Hires Forecast'!$B$5:$B$84,'New Hires Forecast'!$G$5:$G$84,"&gt;"&amp;'G&amp;A'!K3,'New Hires Forecast'!$G$5:$G$84,"&lt;="&amp;'G&amp;A'!L3,'New Hires Forecast'!$G$5:$G$84,"Executive")</f>
        <v>0</v>
      </c>
      <c r="M8" s="781">
        <f>SUMIFS('New Hires Forecast'!$B$5:$B$84,'New Hires Forecast'!$G$5:$G$84,"&gt;"&amp;'G&amp;A'!L3,'New Hires Forecast'!$G$5:$G$84,"&lt;="&amp;'G&amp;A'!M3,'New Hires Forecast'!$G$5:$G$84,"Executive")</f>
        <v>0</v>
      </c>
      <c r="N8" s="781">
        <f>SUMIFS('New Hires Forecast'!$B$5:$B$84,'New Hires Forecast'!$G$5:$G$84,"&gt;"&amp;'G&amp;A'!M3,'New Hires Forecast'!$G$5:$G$84,"&lt;="&amp;'G&amp;A'!N3,'New Hires Forecast'!$G$5:$G$84,"Executive")</f>
        <v>0</v>
      </c>
      <c r="O8" s="781">
        <f>SUMIFS('New Hires Forecast'!$B$5:$B$84,'New Hires Forecast'!$G$5:$G$84,"&gt;"&amp;'G&amp;A'!N3,'New Hires Forecast'!$G$5:$G$84,"&lt;="&amp;'G&amp;A'!O3,'New Hires Forecast'!$G$5:$G$84,"Executive")</f>
        <v>0</v>
      </c>
      <c r="P8" s="781">
        <f>SUMIFS('New Hires Forecast'!$B$5:$B$84,'New Hires Forecast'!$G$5:$G$84,"&gt;"&amp;'G&amp;A'!O3,'New Hires Forecast'!$G$5:$G$84,"&lt;="&amp;'G&amp;A'!P3,'New Hires Forecast'!$G$5:$G$84,"Executive")</f>
        <v>0</v>
      </c>
      <c r="Q8" s="781">
        <f>SUMIFS('New Hires Forecast'!$B$5:$B$84,'New Hires Forecast'!$G$5:$G$84,"&gt;"&amp;'G&amp;A'!P3,'New Hires Forecast'!$G$5:$G$84,"&lt;="&amp;'G&amp;A'!Q3,'New Hires Forecast'!$G$5:$G$84,"Executive")</f>
        <v>0</v>
      </c>
      <c r="R8" s="781">
        <f>SUMIFS('New Hires Forecast'!$B$5:$B$84,'New Hires Forecast'!$G$5:$G$84,"&gt;"&amp;'G&amp;A'!Q3,'New Hires Forecast'!$G$5:$G$84,"&lt;="&amp;'G&amp;A'!R3,'New Hires Forecast'!$G$5:$G$84,"Executive")</f>
        <v>0</v>
      </c>
      <c r="S8" s="781">
        <f>SUMIFS('New Hires Forecast'!$B$5:$B$84,'New Hires Forecast'!$G$5:$G$84,"&gt;"&amp;'G&amp;A'!R3,'New Hires Forecast'!$G$5:$G$84,"&lt;="&amp;'G&amp;A'!S3,'New Hires Forecast'!$G$5:$G$84,"Executive")</f>
        <v>0</v>
      </c>
      <c r="T8" s="781">
        <f>SUMIFS('New Hires Forecast'!$B$5:$B$84,'New Hires Forecast'!$G$5:$G$84,"&gt;"&amp;'G&amp;A'!S3,'New Hires Forecast'!$G$5:$G$84,"&lt;="&amp;'G&amp;A'!T3,'New Hires Forecast'!$G$5:$G$84,"Executive")</f>
        <v>0</v>
      </c>
      <c r="U8" s="781">
        <f>SUMIFS('New Hires Forecast'!$B$5:$B$84,'New Hires Forecast'!$G$5:$G$84,"&gt;"&amp;'G&amp;A'!T3,'New Hires Forecast'!$G$5:$G$84,"&lt;="&amp;'G&amp;A'!U3,'New Hires Forecast'!$G$5:$G$84,"Executive")</f>
        <v>0</v>
      </c>
      <c r="V8" s="781">
        <f>SUMIFS('New Hires Forecast'!$B$5:$B$84,'New Hires Forecast'!$G$5:$G$84,"&gt;"&amp;'G&amp;A'!U3,'New Hires Forecast'!$G$5:$G$84,"&lt;="&amp;'G&amp;A'!V3,'New Hires Forecast'!$G$5:$G$84,"Executive")</f>
        <v>0</v>
      </c>
      <c r="W8" s="781">
        <f>SUMIFS('New Hires Forecast'!$B$5:$B$84,'New Hires Forecast'!$G$5:$G$84,"&gt;"&amp;'G&amp;A'!V3,'New Hires Forecast'!$G$5:$G$84,"&lt;="&amp;'G&amp;A'!W3,'New Hires Forecast'!$G$5:$G$84,"Executive")</f>
        <v>0</v>
      </c>
      <c r="X8" s="781">
        <f>SUMIFS('New Hires Forecast'!$B$5:$B$84,'New Hires Forecast'!$G$5:$G$84,"&gt;"&amp;'G&amp;A'!W3,'New Hires Forecast'!$G$5:$G$84,"&lt;="&amp;'G&amp;A'!X3,'New Hires Forecast'!$G$5:$G$84,"Executive")</f>
        <v>0</v>
      </c>
      <c r="Y8" s="781">
        <f>SUMIFS('New Hires Forecast'!$B$5:$B$84,'New Hires Forecast'!$G$5:$G$84,"&gt;"&amp;'G&amp;A'!X3,'New Hires Forecast'!$G$5:$G$84,"&lt;="&amp;'G&amp;A'!Y3,'New Hires Forecast'!$G$5:$G$84,"Executive")</f>
        <v>0</v>
      </c>
      <c r="Z8" s="781">
        <f>SUMIFS('New Hires Forecast'!$B$5:$B$84,'New Hires Forecast'!$G$5:$G$84,"&gt;"&amp;'G&amp;A'!Y3,'New Hires Forecast'!$G$5:$G$84,"&lt;="&amp;'G&amp;A'!Z3,'New Hires Forecast'!$G$5:$G$84,"Executive")</f>
        <v>0</v>
      </c>
      <c r="AA8" s="781">
        <f>SUMIFS('New Hires Forecast'!$B$5:$B$84,'New Hires Forecast'!$G$5:$G$84,"&gt;"&amp;'G&amp;A'!Z3,'New Hires Forecast'!$G$5:$G$84,"&lt;="&amp;'G&amp;A'!AA3,'New Hires Forecast'!$G$5:$G$84,"Executive")</f>
        <v>0</v>
      </c>
      <c r="AB8" s="781">
        <f>SUMIFS('New Hires Forecast'!$B$5:$B$84,'New Hires Forecast'!$G$5:$G$84,"&gt;"&amp;'G&amp;A'!AA3,'New Hires Forecast'!$G$5:$G$84,"&lt;="&amp;'G&amp;A'!AB3,'New Hires Forecast'!$G$5:$G$84,"Executive")</f>
        <v>0</v>
      </c>
      <c r="AC8" s="781">
        <f>SUMIFS('New Hires Forecast'!$B$5:$B$84,'New Hires Forecast'!$G$5:$G$84,"&gt;"&amp;'G&amp;A'!AB3,'New Hires Forecast'!$G$5:$G$84,"&lt;="&amp;'G&amp;A'!AC3,'New Hires Forecast'!$G$5:$G$84,"Executive")</f>
        <v>0</v>
      </c>
      <c r="AD8" s="781">
        <f>SUMIFS('New Hires Forecast'!$B$5:$B$84,'New Hires Forecast'!$G$5:$G$84,"&gt;"&amp;'G&amp;A'!AC3,'New Hires Forecast'!$G$5:$G$84,"&lt;="&amp;'G&amp;A'!AD3,'New Hires Forecast'!$G$5:$G$84,"Executive")</f>
        <v>0</v>
      </c>
      <c r="AE8" s="781">
        <f>SUMIFS('New Hires Forecast'!$B$5:$B$84,'New Hires Forecast'!$G$5:$G$84,"&gt;"&amp;'G&amp;A'!AD3,'New Hires Forecast'!$G$5:$G$84,"&lt;="&amp;'G&amp;A'!AE3,'New Hires Forecast'!$G$5:$G$84,"Executive")</f>
        <v>0</v>
      </c>
      <c r="AF8" s="781">
        <f>SUMIFS('New Hires Forecast'!$B$5:$B$84,'New Hires Forecast'!$G$5:$G$84,"&gt;"&amp;'G&amp;A'!AE3,'New Hires Forecast'!$G$5:$G$84,"&lt;="&amp;'G&amp;A'!AF3,'New Hires Forecast'!$G$5:$G$84,"Executive")</f>
        <v>0</v>
      </c>
      <c r="AG8" s="781">
        <f>SUMIFS('New Hires Forecast'!$B$5:$B$84,'New Hires Forecast'!$G$5:$G$84,"&gt;"&amp;'G&amp;A'!AF3,'New Hires Forecast'!$G$5:$G$84,"&lt;="&amp;'G&amp;A'!AG3,'New Hires Forecast'!$G$5:$G$84,"Executive")</f>
        <v>0</v>
      </c>
      <c r="AH8" s="781">
        <f>SUMIFS('New Hires Forecast'!$B$5:$B$84,'New Hires Forecast'!$G$5:$G$84,"&gt;"&amp;'G&amp;A'!AG3,'New Hires Forecast'!$G$5:$G$84,"&lt;="&amp;'G&amp;A'!AH3,'New Hires Forecast'!$G$5:$G$84,"Executive")</f>
        <v>0</v>
      </c>
      <c r="AI8" s="781">
        <f>SUMIFS('New Hires Forecast'!$B$5:$B$84,'New Hires Forecast'!$G$5:$G$84,"&gt;"&amp;'G&amp;A'!AH3,'New Hires Forecast'!$G$5:$G$84,"&lt;="&amp;'G&amp;A'!AI3,'New Hires Forecast'!$G$5:$G$84,"Executive")</f>
        <v>0</v>
      </c>
      <c r="AJ8" s="781">
        <f>SUMIFS('New Hires Forecast'!$B$5:$B$84,'New Hires Forecast'!$G$5:$G$84,"&gt;"&amp;'G&amp;A'!AI3,'New Hires Forecast'!$G$5:$G$84,"&lt;="&amp;'G&amp;A'!AJ3,'New Hires Forecast'!$G$5:$G$84,"Executive")</f>
        <v>0</v>
      </c>
      <c r="AK8" s="781">
        <f>SUMIFS('New Hires Forecast'!$B$5:$B$84,'New Hires Forecast'!$G$5:$G$84,"&gt;"&amp;'G&amp;A'!AJ3,'New Hires Forecast'!$G$5:$G$84,"&lt;="&amp;'G&amp;A'!AK3,'New Hires Forecast'!$G$5:$G$84,"Executive")</f>
        <v>0</v>
      </c>
      <c r="AL8" s="781">
        <f>SUMIFS('New Hires Forecast'!$B$5:$B$84,'New Hires Forecast'!$G$5:$G$84,"&gt;"&amp;'G&amp;A'!AK3,'New Hires Forecast'!$G$5:$G$84,"&lt;="&amp;'G&amp;A'!AL3,'New Hires Forecast'!$G$5:$G$84,"Executive")</f>
        <v>0</v>
      </c>
      <c r="AM8" s="781">
        <f>SUMIFS('New Hires Forecast'!$B$5:$B$84,'New Hires Forecast'!$G$5:$G$84,"&gt;"&amp;'G&amp;A'!AL3,'New Hires Forecast'!$G$5:$G$84,"&lt;="&amp;'G&amp;A'!AM3,'New Hires Forecast'!$G$5:$G$84,"Executive")</f>
        <v>0</v>
      </c>
      <c r="AN8" s="781">
        <f>SUMIFS('New Hires Forecast'!$B$5:$B$84,'New Hires Forecast'!$G$5:$G$84,"&gt;"&amp;'G&amp;A'!AM3,'New Hires Forecast'!$G$5:$G$84,"&lt;="&amp;'G&amp;A'!AN3,'New Hires Forecast'!$G$5:$G$84,"Executive")</f>
        <v>0</v>
      </c>
      <c r="AO8" s="781">
        <f>SUMIFS('New Hires Forecast'!$B$5:$B$84,'New Hires Forecast'!$G$5:$G$84,"&gt;"&amp;'G&amp;A'!AN3,'New Hires Forecast'!$G$5:$G$84,"&lt;="&amp;'G&amp;A'!AO3,'New Hires Forecast'!$G$5:$G$84,"Executive")</f>
        <v>0</v>
      </c>
      <c r="AP8" s="781">
        <f>SUMIFS('New Hires Forecast'!$B$5:$B$84,'New Hires Forecast'!$G$5:$G$84,"&gt;"&amp;'G&amp;A'!AO3,'New Hires Forecast'!$G$5:$G$84,"&lt;="&amp;'G&amp;A'!AP3,'New Hires Forecast'!$G$5:$G$84,"Executive")</f>
        <v>0</v>
      </c>
      <c r="AQ8" s="781">
        <f>SUMIFS('New Hires Forecast'!$B$5:$B$84,'New Hires Forecast'!$G$5:$G$84,"&gt;"&amp;'G&amp;A'!AP3,'New Hires Forecast'!$G$5:$G$84,"&lt;="&amp;'G&amp;A'!AQ3,'New Hires Forecast'!$G$5:$G$84,"Executive")</f>
        <v>0</v>
      </c>
      <c r="AR8" s="781">
        <f>SUMIFS('New Hires Forecast'!$B$5:$B$84,'New Hires Forecast'!$G$5:$G$84,"&gt;"&amp;'G&amp;A'!AQ3,'New Hires Forecast'!$G$5:$G$84,"&lt;="&amp;'G&amp;A'!AR3,'New Hires Forecast'!$G$5:$G$84,"Executive")</f>
        <v>0</v>
      </c>
      <c r="AS8" s="781">
        <f>SUMIFS('New Hires Forecast'!$B$5:$B$84,'New Hires Forecast'!$G$5:$G$84,"&gt;"&amp;'G&amp;A'!AR3,'New Hires Forecast'!$G$5:$G$84,"&lt;="&amp;'G&amp;A'!AS3,'New Hires Forecast'!$G$5:$G$84,"Executive")</f>
        <v>0</v>
      </c>
      <c r="AT8" s="781">
        <f>SUMIFS('New Hires Forecast'!$B$5:$B$84,'New Hires Forecast'!$G$5:$G$84,"&gt;"&amp;'G&amp;A'!AS3,'New Hires Forecast'!$G$5:$G$84,"&lt;="&amp;'G&amp;A'!AT3,'New Hires Forecast'!$G$5:$G$84,"Executive")</f>
        <v>0</v>
      </c>
      <c r="AU8" s="781">
        <f>SUMIFS('New Hires Forecast'!$B$5:$B$84,'New Hires Forecast'!$G$5:$G$84,"&gt;"&amp;'G&amp;A'!AT3,'New Hires Forecast'!$G$5:$G$84,"&lt;="&amp;'G&amp;A'!AU3,'New Hires Forecast'!$G$5:$G$84,"Executive")</f>
        <v>0</v>
      </c>
      <c r="AV8" s="781">
        <f>SUMIFS('New Hires Forecast'!$B$5:$B$84,'New Hires Forecast'!$G$5:$G$84,"&gt;"&amp;'G&amp;A'!AU3,'New Hires Forecast'!$G$5:$G$84,"&lt;="&amp;'G&amp;A'!AV3,'New Hires Forecast'!$G$5:$G$84,"Executive")</f>
        <v>0</v>
      </c>
      <c r="AW8" s="781">
        <f>SUMIFS('New Hires Forecast'!$B$5:$B$84,'New Hires Forecast'!$G$5:$G$84,"&gt;"&amp;'G&amp;A'!AV3,'New Hires Forecast'!$G$5:$G$84,"&lt;="&amp;'G&amp;A'!AW3,'New Hires Forecast'!$G$5:$G$84,"Executive")</f>
        <v>0</v>
      </c>
      <c r="AX8" s="781">
        <f>SUMIFS('New Hires Forecast'!$B$5:$B$84,'New Hires Forecast'!$G$5:$G$84,"&gt;"&amp;'G&amp;A'!AW3,'New Hires Forecast'!$G$5:$G$84,"&lt;="&amp;'G&amp;A'!AX3,'New Hires Forecast'!$G$5:$G$84,"Executive")</f>
        <v>0</v>
      </c>
      <c r="AY8" s="781">
        <f>SUMIFS('New Hires Forecast'!$B$5:$B$84,'New Hires Forecast'!$G$5:$G$84,"&gt;"&amp;'G&amp;A'!AX3,'New Hires Forecast'!$G$5:$G$84,"&lt;="&amp;'G&amp;A'!AY3,'New Hires Forecast'!$G$5:$G$84,"Executive")</f>
        <v>0</v>
      </c>
      <c r="AZ8" s="781">
        <f>SUMIFS('New Hires Forecast'!$B$5:$B$84,'New Hires Forecast'!$G$5:$G$84,"&gt;"&amp;'G&amp;A'!AY3,'New Hires Forecast'!$G$5:$G$84,"&lt;="&amp;'G&amp;A'!AZ3,'New Hires Forecast'!$G$5:$G$84,"Executive")</f>
        <v>0</v>
      </c>
      <c r="BA8" s="781">
        <f>SUMIFS('New Hires Forecast'!$B$5:$B$84,'New Hires Forecast'!$G$5:$G$84,"&gt;"&amp;'G&amp;A'!AZ3,'New Hires Forecast'!$G$5:$G$84,"&lt;="&amp;'G&amp;A'!BA3,'New Hires Forecast'!$G$5:$G$84,"Executive")</f>
        <v>0</v>
      </c>
      <c r="BB8" s="781">
        <f>SUMIFS('New Hires Forecast'!$B$5:$B$84,'New Hires Forecast'!$G$5:$G$84,"&gt;"&amp;'G&amp;A'!BA3,'New Hires Forecast'!$G$5:$G$84,"&lt;="&amp;'G&amp;A'!BB3,'New Hires Forecast'!$G$5:$G$84,"Executive")</f>
        <v>0</v>
      </c>
      <c r="BC8" s="781">
        <f>SUMIFS('New Hires Forecast'!$B$5:$B$84,'New Hires Forecast'!$G$5:$G$84,"&gt;"&amp;'G&amp;A'!BB3,'New Hires Forecast'!$G$5:$G$84,"&lt;="&amp;'G&amp;A'!BC3,'New Hires Forecast'!$G$5:$G$84,"Executive")</f>
        <v>0</v>
      </c>
      <c r="BD8" s="781">
        <f>SUMIFS('New Hires Forecast'!$B$5:$B$84,'New Hires Forecast'!$G$5:$G$84,"&gt;"&amp;'G&amp;A'!BC3,'New Hires Forecast'!$G$5:$G$84,"&lt;="&amp;'G&amp;A'!BD3,'New Hires Forecast'!$G$5:$G$84,"Executive")</f>
        <v>0</v>
      </c>
      <c r="BE8" s="781">
        <f>SUMIFS('New Hires Forecast'!$B$5:$B$84,'New Hires Forecast'!$G$5:$G$84,"&gt;"&amp;'G&amp;A'!BD3,'New Hires Forecast'!$G$5:$G$84,"&lt;="&amp;'G&amp;A'!BE3,'New Hires Forecast'!$G$5:$G$84,"Executive")</f>
        <v>0</v>
      </c>
      <c r="BF8" s="781">
        <f>SUMIFS('New Hires Forecast'!$B$5:$B$84,'New Hires Forecast'!$G$5:$G$84,"&gt;"&amp;'G&amp;A'!BE3,'New Hires Forecast'!$G$5:$G$84,"&lt;="&amp;'G&amp;A'!BF3,'New Hires Forecast'!$G$5:$G$84,"Executive")</f>
        <v>0</v>
      </c>
      <c r="BG8" s="781">
        <f>SUMIFS('New Hires Forecast'!$B$5:$B$84,'New Hires Forecast'!$G$5:$G$84,"&gt;"&amp;'G&amp;A'!BF3,'New Hires Forecast'!$G$5:$G$84,"&lt;="&amp;'G&amp;A'!BG3,'New Hires Forecast'!$G$5:$G$84,"Executive")</f>
        <v>0</v>
      </c>
      <c r="BH8" s="781">
        <f>SUMIFS('New Hires Forecast'!$B$5:$B$84,'New Hires Forecast'!$G$5:$G$84,"&gt;"&amp;'G&amp;A'!BG3,'New Hires Forecast'!$G$5:$G$84,"&lt;="&amp;'G&amp;A'!BH3,'New Hires Forecast'!$G$5:$G$84,"Executive")</f>
        <v>0</v>
      </c>
      <c r="BI8" s="781">
        <f>SUMIFS('New Hires Forecast'!$B$5:$B$84,'New Hires Forecast'!$G$5:$G$84,"&gt;"&amp;'G&amp;A'!BH3,'New Hires Forecast'!$G$5:$G$84,"&lt;="&amp;'G&amp;A'!BI3,'New Hires Forecast'!$G$5:$G$84,"Executive")</f>
        <v>0</v>
      </c>
      <c r="BJ8" s="781">
        <f>SUMIFS('New Hires Forecast'!$B$5:$B$84,'New Hires Forecast'!$G$5:$G$84,"&gt;"&amp;'G&amp;A'!BI3,'New Hires Forecast'!$G$5:$G$84,"&lt;="&amp;'G&amp;A'!BJ3,'New Hires Forecast'!$G$5:$G$84,"Executive")</f>
        <v>0</v>
      </c>
      <c r="BK8" s="781">
        <f>SUMIFS('New Hires Forecast'!$B$5:$B$84,'New Hires Forecast'!$G$5:$G$84,"&gt;"&amp;'G&amp;A'!BJ3,'New Hires Forecast'!$G$5:$G$84,"&lt;="&amp;'G&amp;A'!BK3,'New Hires Forecast'!$G$5:$G$84,"Executive")</f>
        <v>0</v>
      </c>
      <c r="BL8" s="781">
        <f>SUMIFS('New Hires Forecast'!$B$5:$B$84,'New Hires Forecast'!$G$5:$G$84,"&gt;"&amp;'G&amp;A'!BK3,'New Hires Forecast'!$G$5:$G$84,"&lt;="&amp;'G&amp;A'!BL3,'New Hires Forecast'!$G$5:$G$84,"Executive")</f>
        <v>0</v>
      </c>
      <c r="BM8" s="781">
        <f>SUMIFS('New Hires Forecast'!$B$5:$B$84,'New Hires Forecast'!$G$5:$G$84,"&gt;"&amp;'G&amp;A'!BL3,'New Hires Forecast'!$G$5:$G$84,"&lt;="&amp;'G&amp;A'!BM3,'New Hires Forecast'!$G$5:$G$84,"Executive")</f>
        <v>0</v>
      </c>
      <c r="BN8" s="781">
        <f>SUMIFS('New Hires Forecast'!$B$5:$B$84,'New Hires Forecast'!$G$5:$G$84,"&gt;"&amp;'G&amp;A'!BM3,'New Hires Forecast'!$G$5:$G$84,"&lt;="&amp;'G&amp;A'!BN3,'New Hires Forecast'!$G$5:$G$84,"Executive")</f>
        <v>0</v>
      </c>
      <c r="BO8" s="781">
        <f>SUMIFS('New Hires Forecast'!$B$5:$B$84,'New Hires Forecast'!$G$5:$G$84,"&gt;"&amp;'G&amp;A'!BN3,'New Hires Forecast'!$G$5:$G$84,"&lt;="&amp;'G&amp;A'!BO3,'New Hires Forecast'!$G$5:$G$84,"Executive")</f>
        <v>0</v>
      </c>
      <c r="BP8" s="781">
        <f>SUMIFS('New Hires Forecast'!$B$5:$B$84,'New Hires Forecast'!$G$5:$G$84,"&gt;"&amp;'G&amp;A'!BO3,'New Hires Forecast'!$G$5:$G$84,"&lt;="&amp;'G&amp;A'!BP3,'New Hires Forecast'!$G$5:$G$84,"Executive")</f>
        <v>0</v>
      </c>
      <c r="BQ8" s="781">
        <f>SUMIFS('New Hires Forecast'!$B$5:$B$84,'New Hires Forecast'!$G$5:$G$84,"&gt;"&amp;'G&amp;A'!BP3,'New Hires Forecast'!$G$5:$G$84,"&lt;="&amp;'G&amp;A'!BQ3,'New Hires Forecast'!$G$5:$G$84,"Executive")</f>
        <v>0</v>
      </c>
      <c r="BR8" s="781">
        <f>SUMIFS('New Hires Forecast'!$B$5:$B$84,'New Hires Forecast'!$G$5:$G$84,"&gt;"&amp;'G&amp;A'!BQ3,'New Hires Forecast'!$G$5:$G$84,"&lt;="&amp;'G&amp;A'!BR3,'New Hires Forecast'!$G$5:$G$84,"Executive")</f>
        <v>0</v>
      </c>
      <c r="BS8" s="781">
        <f>SUMIFS('New Hires Forecast'!$B$5:$B$84,'New Hires Forecast'!$G$5:$G$84,"&gt;"&amp;'G&amp;A'!BR3,'New Hires Forecast'!$G$5:$G$84,"&lt;="&amp;'G&amp;A'!BS3,'New Hires Forecast'!$G$5:$G$84,"Executive")</f>
        <v>0</v>
      </c>
      <c r="BT8" s="781">
        <f>SUMIFS('New Hires Forecast'!$B$5:$B$84,'New Hires Forecast'!$G$5:$G$84,"&gt;"&amp;'G&amp;A'!BS3,'New Hires Forecast'!$G$5:$G$84,"&lt;="&amp;'G&amp;A'!BT3,'New Hires Forecast'!$G$5:$G$84,"Executive")</f>
        <v>0</v>
      </c>
      <c r="BU8" s="781">
        <f>SUMIFS('New Hires Forecast'!$B$5:$B$84,'New Hires Forecast'!$G$5:$G$84,"&gt;"&amp;'G&amp;A'!BT3,'New Hires Forecast'!$G$5:$G$84,"&lt;="&amp;'G&amp;A'!BU3,'New Hires Forecast'!$G$5:$G$84,"Executive")</f>
        <v>0</v>
      </c>
      <c r="BV8" s="782">
        <f>SUMIFS('New Hires Forecast'!$B$5:$B$84,'New Hires Forecast'!$G$5:$G$84,"&gt;"&amp;'G&amp;A'!BU3,'New Hires Forecast'!$G$5:$G$84,"&lt;="&amp;'G&amp;A'!BV3,'New Hires Forecast'!$G$5:$G$84,"Executive")</f>
        <v>0</v>
      </c>
    </row>
    <row r="9" spans="2:74" x14ac:dyDescent="0.25">
      <c r="B9" s="777" t="s">
        <v>149</v>
      </c>
      <c r="C9" s="781">
        <f>SUMIFS(Headcount!$B$6:$B$88,Headcount!$H$6:$H$88,"&gt;"&amp;B3,Headcount!$H$6:$H$88,"&lt;="&amp;C3,Headcount!$H$6:$H$88,"Executive")</f>
        <v>0</v>
      </c>
      <c r="D9" s="781">
        <f>SUMIFS(Headcount!$B$6:$B$88,Headcount!$H$6:$H$88,"&gt;"&amp;C3,Headcount!$H$6:$H$88,"&lt;="&amp;D3,Headcount!$H$6:$H$88,"Executive")</f>
        <v>0</v>
      </c>
      <c r="E9" s="781">
        <f>SUMIFS(Headcount!$B$6:$B$88,Headcount!$H$6:$H$88,"&gt;"&amp;D3,Headcount!$H$6:$H$88,"&lt;="&amp;E3,Headcount!$H$6:$H$88,"Executive")</f>
        <v>0</v>
      </c>
      <c r="F9" s="781">
        <f>SUMIFS(Headcount!$B$6:$B$88,Headcount!$H$6:$H$88,"&gt;"&amp;E3,Headcount!$H$6:$H$88,"&lt;="&amp;F3,Headcount!$H$6:$H$88,"Executive")</f>
        <v>0</v>
      </c>
      <c r="G9" s="781">
        <f>SUMIFS(Headcount!$B$6:$B$88,Headcount!$H$6:$H$88,"&gt;"&amp;F3,Headcount!$H$6:$H$88,"&lt;="&amp;G3,Headcount!$H$6:$H$88,"Executive")</f>
        <v>0</v>
      </c>
      <c r="H9" s="781">
        <f>SUMIFS(Headcount!$B$6:$B$88,Headcount!$H$6:$H$88,"&gt;"&amp;G3,Headcount!$H$6:$H$88,"&lt;="&amp;H3,Headcount!$H$6:$H$88,"Executive")</f>
        <v>0</v>
      </c>
      <c r="I9" s="781">
        <f>SUMIFS(Headcount!$B$6:$B$88,Headcount!$H$6:$H$88,"&gt;"&amp;H3,Headcount!$H$6:$H$88,"&lt;="&amp;I3,Headcount!$H$6:$H$88,"Executive")</f>
        <v>0</v>
      </c>
      <c r="J9" s="781">
        <f>SUMIFS(Headcount!$B$6:$B$88,Headcount!$H$6:$H$88,"&gt;"&amp;I3,Headcount!$H$6:$H$88,"&lt;="&amp;J3,Headcount!$H$6:$H$88,"Executive")</f>
        <v>0</v>
      </c>
      <c r="K9" s="781">
        <f>SUMIFS(Headcount!$B$6:$B$88,Headcount!$H$6:$H$88,"&gt;"&amp;J3,Headcount!$H$6:$H$88,"&lt;="&amp;K3,Headcount!$H$6:$H$88,"Executive")</f>
        <v>0</v>
      </c>
      <c r="L9" s="781">
        <f>SUMIFS(Headcount!$B$6:$B$88,Headcount!$H$6:$H$88,"&gt;"&amp;K3,Headcount!$H$6:$H$88,"&lt;="&amp;L3,Headcount!$H$6:$H$88,"Executive")</f>
        <v>0</v>
      </c>
      <c r="M9" s="781">
        <f>SUMIFS(Headcount!$B$6:$B$88,Headcount!$H$6:$H$88,"&gt;"&amp;L3,Headcount!$H$6:$H$88,"&lt;="&amp;M3,Headcount!$H$6:$H$88,"Executive")</f>
        <v>0</v>
      </c>
      <c r="N9" s="781">
        <f>SUMIFS(Headcount!$B$6:$B$88,Headcount!$H$6:$H$88,"&gt;"&amp;M3,Headcount!$H$6:$H$88,"&lt;="&amp;N3,Headcount!$H$6:$H$88,"Executive")</f>
        <v>0</v>
      </c>
      <c r="O9" s="781">
        <f>SUMIFS(Headcount!$B$6:$B$88,Headcount!$H$6:$H$88,"&gt;"&amp;N3,Headcount!$H$6:$H$88,"&lt;="&amp;O3,Headcount!$H$6:$H$88,"Executive")</f>
        <v>0</v>
      </c>
      <c r="P9" s="781">
        <f>SUMIFS(Headcount!$B$6:$B$88,Headcount!$H$6:$H$88,"&gt;"&amp;O3,Headcount!$H$6:$H$88,"&lt;="&amp;P3,Headcount!$H$6:$H$88,"Executive")</f>
        <v>0</v>
      </c>
      <c r="Q9" s="781">
        <f>SUMIFS(Headcount!$B$6:$B$88,Headcount!$H$6:$H$88,"&gt;"&amp;P3,Headcount!$H$6:$H$88,"&lt;="&amp;Q3,Headcount!$H$6:$H$88,"Executive")</f>
        <v>0</v>
      </c>
      <c r="R9" s="781">
        <f>SUMIFS(Headcount!$B$6:$B$88,Headcount!$H$6:$H$88,"&gt;"&amp;Q3,Headcount!$H$6:$H$88,"&lt;="&amp;R3,Headcount!$H$6:$H$88,"Executive")</f>
        <v>0</v>
      </c>
      <c r="S9" s="781">
        <f>SUMIFS(Headcount!$B$6:$B$88,Headcount!$H$6:$H$88,"&gt;"&amp;R3,Headcount!$H$6:$H$88,"&lt;="&amp;S3,Headcount!$H$6:$H$88,"Executive")</f>
        <v>0</v>
      </c>
      <c r="T9" s="781">
        <f>SUMIFS(Headcount!$B$6:$B$88,Headcount!$H$6:$H$88,"&gt;"&amp;S3,Headcount!$H$6:$H$88,"&lt;="&amp;T3,Headcount!$H$6:$H$88,"Executive")</f>
        <v>0</v>
      </c>
      <c r="U9" s="781">
        <f>SUMIFS(Headcount!$B$6:$B$88,Headcount!$H$6:$H$88,"&gt;"&amp;T3,Headcount!$H$6:$H$88,"&lt;="&amp;U3,Headcount!$H$6:$H$88,"Executive")</f>
        <v>0</v>
      </c>
      <c r="V9" s="781">
        <f>SUMIFS(Headcount!$B$6:$B$88,Headcount!$H$6:$H$88,"&gt;"&amp;U3,Headcount!$H$6:$H$88,"&lt;="&amp;V3,Headcount!$H$6:$H$88,"Executive")</f>
        <v>0</v>
      </c>
      <c r="W9" s="781">
        <f>SUMIFS(Headcount!$B$6:$B$88,Headcount!$H$6:$H$88,"&gt;"&amp;V3,Headcount!$H$6:$H$88,"&lt;="&amp;W3,Headcount!$H$6:$H$88,"Executive")</f>
        <v>0</v>
      </c>
      <c r="X9" s="781">
        <f>SUMIFS(Headcount!$B$6:$B$88,Headcount!$H$6:$H$88,"&gt;"&amp;W3,Headcount!$H$6:$H$88,"&lt;="&amp;X3,Headcount!$H$6:$H$88,"Executive")</f>
        <v>0</v>
      </c>
      <c r="Y9" s="781">
        <f>SUMIFS(Headcount!$B$6:$B$88,Headcount!$H$6:$H$88,"&gt;"&amp;X3,Headcount!$H$6:$H$88,"&lt;="&amp;Y3,Headcount!$H$6:$H$88,"Executive")</f>
        <v>0</v>
      </c>
      <c r="Z9" s="781">
        <f>SUMIFS(Headcount!$B$6:$B$88,Headcount!$H$6:$H$88,"&gt;"&amp;Y3,Headcount!$H$6:$H$88,"&lt;="&amp;Z3,Headcount!$H$6:$H$88,"Executive")</f>
        <v>0</v>
      </c>
      <c r="AA9" s="781">
        <f>SUMIFS(Headcount!$B$6:$B$88,Headcount!$H$6:$H$88,"&gt;"&amp;Z3,Headcount!$H$6:$H$88,"&lt;="&amp;AA3,Headcount!$H$6:$H$88,"Executive")</f>
        <v>0</v>
      </c>
      <c r="AB9" s="781">
        <f>SUMIFS(Headcount!$B$6:$B$88,Headcount!$H$6:$H$88,"&gt;"&amp;AA3,Headcount!$H$6:$H$88,"&lt;="&amp;AB3,Headcount!$H$6:$H$88,"Executive")</f>
        <v>0</v>
      </c>
      <c r="AC9" s="781">
        <f>SUMIFS(Headcount!$B$6:$B$88,Headcount!$H$6:$H$88,"&gt;"&amp;AB3,Headcount!$H$6:$H$88,"&lt;="&amp;AC3,Headcount!$H$6:$H$88,"Executive")</f>
        <v>0</v>
      </c>
      <c r="AD9" s="781">
        <f>SUMIFS(Headcount!$B$6:$B$88,Headcount!$H$6:$H$88,"&gt;"&amp;AC3,Headcount!$H$6:$H$88,"&lt;="&amp;AD3,Headcount!$H$6:$H$88,"Executive")</f>
        <v>0</v>
      </c>
      <c r="AE9" s="781">
        <f>SUMIFS(Headcount!$B$6:$B$88,Headcount!$H$6:$H$88,"&gt;"&amp;AD3,Headcount!$H$6:$H$88,"&lt;="&amp;AE3,Headcount!$H$6:$H$88,"Executive")</f>
        <v>0</v>
      </c>
      <c r="AF9" s="781">
        <f>SUMIFS(Headcount!$B$6:$B$88,Headcount!$H$6:$H$88,"&gt;"&amp;AE3,Headcount!$H$6:$H$88,"&lt;="&amp;AF3,Headcount!$H$6:$H$88,"Executive")</f>
        <v>0</v>
      </c>
      <c r="AG9" s="781">
        <f>SUMIFS(Headcount!$B$6:$B$88,Headcount!$H$6:$H$88,"&gt;"&amp;AF3,Headcount!$H$6:$H$88,"&lt;="&amp;AG3,Headcount!$H$6:$H$88,"Executive")</f>
        <v>0</v>
      </c>
      <c r="AH9" s="781">
        <f>SUMIFS(Headcount!$B$6:$B$88,Headcount!$H$6:$H$88,"&gt;"&amp;AG3,Headcount!$H$6:$H$88,"&lt;="&amp;AH3,Headcount!$H$6:$H$88,"Executive")</f>
        <v>0</v>
      </c>
      <c r="AI9" s="781">
        <f>SUMIFS(Headcount!$B$6:$B$88,Headcount!$H$6:$H$88,"&gt;"&amp;AH3,Headcount!$H$6:$H$88,"&lt;="&amp;AI3,Headcount!$H$6:$H$88,"Executive")</f>
        <v>0</v>
      </c>
      <c r="AJ9" s="781">
        <f>SUMIFS(Headcount!$B$6:$B$88,Headcount!$H$6:$H$88,"&gt;"&amp;AI3,Headcount!$H$6:$H$88,"&lt;="&amp;AJ3,Headcount!$H$6:$H$88,"Executive")</f>
        <v>0</v>
      </c>
      <c r="AK9" s="781">
        <f>SUMIFS(Headcount!$B$6:$B$88,Headcount!$H$6:$H$88,"&gt;"&amp;AJ3,Headcount!$H$6:$H$88,"&lt;="&amp;AK3,Headcount!$H$6:$H$88,"Executive")</f>
        <v>0</v>
      </c>
      <c r="AL9" s="781">
        <f>SUMIFS(Headcount!$B$6:$B$88,Headcount!$H$6:$H$88,"&gt;"&amp;AK3,Headcount!$H$6:$H$88,"&lt;="&amp;AL3,Headcount!$H$6:$H$88,"Executive")</f>
        <v>0</v>
      </c>
      <c r="AM9" s="781">
        <f>SUMIFS(Headcount!$B$6:$B$88,Headcount!$H$6:$H$88,"&gt;"&amp;AL3,Headcount!$H$6:$H$88,"&lt;="&amp;AM3,Headcount!$H$6:$H$88,"Executive")</f>
        <v>0</v>
      </c>
      <c r="AN9" s="781">
        <f>SUMIFS(Headcount!$B$6:$B$88,Headcount!$H$6:$H$88,"&gt;"&amp;AM3,Headcount!$H$6:$H$88,"&lt;="&amp;AN3,Headcount!$H$6:$H$88,"Executive")</f>
        <v>0</v>
      </c>
      <c r="AO9" s="781">
        <f>SUMIFS(Headcount!$B$6:$B$88,Headcount!$H$6:$H$88,"&gt;"&amp;AN3,Headcount!$H$6:$H$88,"&lt;="&amp;AO3,Headcount!$H$6:$H$88,"Executive")</f>
        <v>0</v>
      </c>
      <c r="AP9" s="781">
        <f>SUMIFS(Headcount!$B$6:$B$88,Headcount!$H$6:$H$88,"&gt;"&amp;AO3,Headcount!$H$6:$H$88,"&lt;="&amp;AP3,Headcount!$H$6:$H$88,"Executive")</f>
        <v>0</v>
      </c>
      <c r="AQ9" s="781">
        <f>SUMIFS(Headcount!$B$6:$B$88,Headcount!$H$6:$H$88,"&gt;"&amp;AP3,Headcount!$H$6:$H$88,"&lt;="&amp;AQ3,Headcount!$H$6:$H$88,"Executive")</f>
        <v>0</v>
      </c>
      <c r="AR9" s="781">
        <f>SUMIFS(Headcount!$B$6:$B$88,Headcount!$H$6:$H$88,"&gt;"&amp;AQ3,Headcount!$H$6:$H$88,"&lt;="&amp;AR3,Headcount!$H$6:$H$88,"Executive")</f>
        <v>0</v>
      </c>
      <c r="AS9" s="781">
        <f>SUMIFS(Headcount!$B$6:$B$88,Headcount!$H$6:$H$88,"&gt;"&amp;AR3,Headcount!$H$6:$H$88,"&lt;="&amp;AS3,Headcount!$H$6:$H$88,"Executive")</f>
        <v>0</v>
      </c>
      <c r="AT9" s="781">
        <f>SUMIFS(Headcount!$B$6:$B$88,Headcount!$H$6:$H$88,"&gt;"&amp;AS3,Headcount!$H$6:$H$88,"&lt;="&amp;AT3,Headcount!$H$6:$H$88,"Executive")</f>
        <v>0</v>
      </c>
      <c r="AU9" s="781">
        <f>SUMIFS(Headcount!$B$6:$B$88,Headcount!$H$6:$H$88,"&gt;"&amp;AT3,Headcount!$H$6:$H$88,"&lt;="&amp;AU3,Headcount!$H$6:$H$88,"Executive")</f>
        <v>0</v>
      </c>
      <c r="AV9" s="781">
        <f>SUMIFS(Headcount!$B$6:$B$88,Headcount!$H$6:$H$88,"&gt;"&amp;AU3,Headcount!$H$6:$H$88,"&lt;="&amp;AV3,Headcount!$H$6:$H$88,"Executive")</f>
        <v>0</v>
      </c>
      <c r="AW9" s="781">
        <f>SUMIFS(Headcount!$B$6:$B$88,Headcount!$H$6:$H$88,"&gt;"&amp;AV3,Headcount!$H$6:$H$88,"&lt;="&amp;AW3,Headcount!$H$6:$H$88,"Executive")</f>
        <v>0</v>
      </c>
      <c r="AX9" s="781">
        <f>SUMIFS(Headcount!$B$6:$B$88,Headcount!$H$6:$H$88,"&gt;"&amp;AW3,Headcount!$H$6:$H$88,"&lt;="&amp;AX3,Headcount!$H$6:$H$88,"Executive")</f>
        <v>0</v>
      </c>
      <c r="AY9" s="781">
        <f>SUMIFS(Headcount!$B$6:$B$88,Headcount!$H$6:$H$88,"&gt;"&amp;AX3,Headcount!$H$6:$H$88,"&lt;="&amp;AY3,Headcount!$H$6:$H$88,"Executive")</f>
        <v>0</v>
      </c>
      <c r="AZ9" s="781">
        <f>SUMIFS(Headcount!$B$6:$B$88,Headcount!$H$6:$H$88,"&gt;"&amp;AY3,Headcount!$H$6:$H$88,"&lt;="&amp;AZ3,Headcount!$H$6:$H$88,"Executive")</f>
        <v>0</v>
      </c>
      <c r="BA9" s="781">
        <f>SUMIFS(Headcount!$B$6:$B$88,Headcount!$H$6:$H$88,"&gt;"&amp;AZ3,Headcount!$H$6:$H$88,"&lt;="&amp;BA3,Headcount!$H$6:$H$88,"Executive")</f>
        <v>0</v>
      </c>
      <c r="BB9" s="781">
        <f>SUMIFS(Headcount!$B$6:$B$88,Headcount!$H$6:$H$88,"&gt;"&amp;BA3,Headcount!$H$6:$H$88,"&lt;="&amp;BB3,Headcount!$H$6:$H$88,"Executive")</f>
        <v>0</v>
      </c>
      <c r="BC9" s="781">
        <f>SUMIFS(Headcount!$B$6:$B$88,Headcount!$H$6:$H$88,"&gt;"&amp;BB3,Headcount!$H$6:$H$88,"&lt;="&amp;BC3,Headcount!$H$6:$H$88,"Executive")</f>
        <v>0</v>
      </c>
      <c r="BD9" s="781">
        <f>SUMIFS(Headcount!$B$6:$B$88,Headcount!$H$6:$H$88,"&gt;"&amp;BC3,Headcount!$H$6:$H$88,"&lt;="&amp;BD3,Headcount!$H$6:$H$88,"Executive")</f>
        <v>0</v>
      </c>
      <c r="BE9" s="781">
        <f>SUMIFS(Headcount!$B$6:$B$88,Headcount!$H$6:$H$88,"&gt;"&amp;BD3,Headcount!$H$6:$H$88,"&lt;="&amp;BE3,Headcount!$H$6:$H$88,"Executive")</f>
        <v>0</v>
      </c>
      <c r="BF9" s="781">
        <f>SUMIFS(Headcount!$B$6:$B$88,Headcount!$H$6:$H$88,"&gt;"&amp;BE3,Headcount!$H$6:$H$88,"&lt;="&amp;BF3,Headcount!$H$6:$H$88,"Executive")</f>
        <v>0</v>
      </c>
      <c r="BG9" s="781">
        <f>SUMIFS(Headcount!$B$6:$B$88,Headcount!$H$6:$H$88,"&gt;"&amp;BF3,Headcount!$H$6:$H$88,"&lt;="&amp;BG3,Headcount!$H$6:$H$88,"Executive")</f>
        <v>0</v>
      </c>
      <c r="BH9" s="781">
        <f>SUMIFS(Headcount!$B$6:$B$88,Headcount!$H$6:$H$88,"&gt;"&amp;BG3,Headcount!$H$6:$H$88,"&lt;="&amp;BH3,Headcount!$H$6:$H$88,"Executive")</f>
        <v>0</v>
      </c>
      <c r="BI9" s="781">
        <f>SUMIFS(Headcount!$B$6:$B$88,Headcount!$H$6:$H$88,"&gt;"&amp;BH3,Headcount!$H$6:$H$88,"&lt;="&amp;BI3,Headcount!$H$6:$H$88,"Executive")</f>
        <v>0</v>
      </c>
      <c r="BJ9" s="781">
        <f>SUMIFS(Headcount!$B$6:$B$88,Headcount!$H$6:$H$88,"&gt;"&amp;BI3,Headcount!$H$6:$H$88,"&lt;="&amp;BJ3,Headcount!$H$6:$H$88,"Executive")</f>
        <v>0</v>
      </c>
      <c r="BK9" s="781">
        <f>SUMIFS(Headcount!$B$6:$B$88,Headcount!$H$6:$H$88,"&gt;"&amp;BJ3,Headcount!$H$6:$H$88,"&lt;="&amp;BK3,Headcount!$H$6:$H$88,"Executive")</f>
        <v>0</v>
      </c>
      <c r="BL9" s="781">
        <f>SUMIFS(Headcount!$B$6:$B$88,Headcount!$H$6:$H$88,"&gt;"&amp;BK3,Headcount!$H$6:$H$88,"&lt;="&amp;BL3,Headcount!$H$6:$H$88,"Executive")</f>
        <v>0</v>
      </c>
      <c r="BM9" s="781">
        <f>SUMIFS(Headcount!$B$6:$B$88,Headcount!$H$6:$H$88,"&gt;"&amp;BL3,Headcount!$H$6:$H$88,"&lt;="&amp;BM3,Headcount!$H$6:$H$88,"Executive")</f>
        <v>0</v>
      </c>
      <c r="BN9" s="781">
        <f>SUMIFS(Headcount!$B$6:$B$88,Headcount!$H$6:$H$88,"&gt;"&amp;BM3,Headcount!$H$6:$H$88,"&lt;="&amp;BN3,Headcount!$H$6:$H$88,"Executive")</f>
        <v>0</v>
      </c>
      <c r="BO9" s="781">
        <f>SUMIFS(Headcount!$B$6:$B$88,Headcount!$H$6:$H$88,"&gt;"&amp;BN3,Headcount!$H$6:$H$88,"&lt;="&amp;BO3,Headcount!$H$6:$H$88,"Executive")</f>
        <v>0</v>
      </c>
      <c r="BP9" s="781">
        <f>SUMIFS(Headcount!$B$6:$B$88,Headcount!$H$6:$H$88,"&gt;"&amp;BO3,Headcount!$H$6:$H$88,"&lt;="&amp;BP3,Headcount!$H$6:$H$88,"Executive")</f>
        <v>0</v>
      </c>
      <c r="BQ9" s="781">
        <f>SUMIFS(Headcount!$B$6:$B$88,Headcount!$H$6:$H$88,"&gt;"&amp;BP3,Headcount!$H$6:$H$88,"&lt;="&amp;BQ3,Headcount!$H$6:$H$88,"Executive")</f>
        <v>0</v>
      </c>
      <c r="BR9" s="781">
        <f>SUMIFS(Headcount!$B$6:$B$88,Headcount!$H$6:$H$88,"&gt;"&amp;BQ3,Headcount!$H$6:$H$88,"&lt;="&amp;BR3,Headcount!$H$6:$H$88,"Executive")</f>
        <v>0</v>
      </c>
      <c r="BS9" s="781">
        <f>SUMIFS(Headcount!$B$6:$B$88,Headcount!$H$6:$H$88,"&gt;"&amp;BR3,Headcount!$H$6:$H$88,"&lt;="&amp;BS3,Headcount!$H$6:$H$88,"Executive")</f>
        <v>0</v>
      </c>
      <c r="BT9" s="781">
        <f>SUMIFS(Headcount!$B$6:$B$88,Headcount!$H$6:$H$88,"&gt;"&amp;BS3,Headcount!$H$6:$H$88,"&lt;="&amp;BT3,Headcount!$H$6:$H$88,"Executive")</f>
        <v>0</v>
      </c>
      <c r="BU9" s="781">
        <f>SUMIFS(Headcount!$B$6:$B$88,Headcount!$H$6:$H$88,"&gt;"&amp;BT3,Headcount!$H$6:$H$88,"&lt;="&amp;BU3,Headcount!$H$6:$H$88,"Executive")</f>
        <v>0</v>
      </c>
      <c r="BV9" s="782">
        <f>SUMIFS(Headcount!$B$6:$B$88,Headcount!$H$6:$H$88,"&gt;"&amp;BU3,Headcount!$H$6:$H$88,"&lt;="&amp;BV3,Headcount!$H$6:$H$88,"Executive")</f>
        <v>0</v>
      </c>
    </row>
    <row r="10" spans="2:74" x14ac:dyDescent="0.25">
      <c r="B10" s="783"/>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784"/>
    </row>
    <row r="11" spans="2:74" x14ac:dyDescent="0.25">
      <c r="B11" s="785" t="s">
        <v>926</v>
      </c>
      <c r="C11" s="786"/>
      <c r="D11" s="786"/>
      <c r="E11" s="786"/>
      <c r="F11" s="786"/>
      <c r="G11" s="786"/>
      <c r="H11" s="786"/>
      <c r="I11" s="786"/>
      <c r="J11" s="786"/>
      <c r="K11" s="786"/>
      <c r="L11" s="786"/>
      <c r="M11" s="786"/>
      <c r="N11" s="786"/>
      <c r="O11" s="787"/>
      <c r="P11" s="787"/>
      <c r="Q11" s="787"/>
      <c r="R11" s="787"/>
      <c r="S11" s="787"/>
      <c r="T11" s="787"/>
      <c r="U11" s="787"/>
      <c r="V11" s="787"/>
      <c r="W11" s="787"/>
      <c r="X11" s="787"/>
      <c r="Y11" s="787"/>
      <c r="Z11" s="787"/>
      <c r="AA11" s="787"/>
      <c r="AB11" s="787"/>
      <c r="AC11" s="787"/>
      <c r="AD11" s="787"/>
      <c r="AE11" s="787"/>
      <c r="AF11" s="787"/>
      <c r="AG11" s="787"/>
      <c r="AH11" s="787"/>
      <c r="AI11" s="787"/>
      <c r="AJ11" s="787"/>
      <c r="AK11" s="787"/>
      <c r="AL11" s="787"/>
      <c r="AM11" s="787"/>
      <c r="AN11" s="787"/>
      <c r="AO11" s="787"/>
      <c r="AP11" s="787"/>
      <c r="AQ11" s="787"/>
      <c r="AR11" s="787"/>
      <c r="AS11" s="787"/>
      <c r="AT11" s="787"/>
      <c r="AU11" s="787"/>
      <c r="AV11" s="787"/>
      <c r="AW11" s="787"/>
      <c r="AX11" s="787"/>
      <c r="AY11" s="787"/>
      <c r="AZ11" s="787"/>
      <c r="BA11" s="787"/>
      <c r="BB11" s="787"/>
      <c r="BC11" s="787"/>
      <c r="BD11" s="787"/>
      <c r="BE11" s="787"/>
      <c r="BF11" s="787"/>
      <c r="BG11" s="787"/>
      <c r="BH11" s="787"/>
      <c r="BI11" s="787"/>
      <c r="BJ11" s="787"/>
      <c r="BK11" s="787"/>
      <c r="BL11" s="787"/>
      <c r="BM11" s="787"/>
      <c r="BN11" s="787"/>
      <c r="BO11" s="787"/>
      <c r="BP11" s="787"/>
      <c r="BQ11" s="787"/>
      <c r="BR11" s="787"/>
      <c r="BS11" s="787"/>
      <c r="BT11" s="787"/>
      <c r="BU11" s="787"/>
      <c r="BV11" s="788"/>
    </row>
    <row r="12" spans="2:74" x14ac:dyDescent="0.25">
      <c r="B12" s="780" t="s">
        <v>927</v>
      </c>
      <c r="C12" s="1139">
        <f>IF(C$4="forecast",0,SUMIF('Dept. Cost Actuals'!$E$7:$E$176,"*salary*",'Dept. Cost Actuals'!G$1225:G$1394))</f>
        <v>-0.03</v>
      </c>
      <c r="D12" s="1139">
        <f>IF(D$4="forecast",0,SUMIF('Dept. Cost Actuals'!$E$7:$E$176,"*salary*",'Dept. Cost Actuals'!H$1225:H$1394))</f>
        <v>0</v>
      </c>
      <c r="E12" s="1139">
        <f>IF(E$4="forecast",0,SUMIF('Dept. Cost Actuals'!$E$7:$E$176,"*salary*",'Dept. Cost Actuals'!I$1225:I$1394))</f>
        <v>0</v>
      </c>
      <c r="F12" s="1139">
        <f>IF(F$4="forecast",0,SUMIF('Dept. Cost Actuals'!$E$7:$E$176,"*salary*",'Dept. Cost Actuals'!J$1225:J$1394))</f>
        <v>0</v>
      </c>
      <c r="G12" s="1139">
        <f>IF(G$4="forecast",0,SUMIF('Dept. Cost Actuals'!$E$7:$E$176,"*salary*",'Dept. Cost Actuals'!K$1225:K$1394))</f>
        <v>0</v>
      </c>
      <c r="H12" s="1139">
        <f>IF(H$4="forecast",0,SUMIF('Dept. Cost Actuals'!$E$7:$E$176,"*salary*",'Dept. Cost Actuals'!L$1225:L$1394))</f>
        <v>2.73</v>
      </c>
      <c r="I12" s="1139">
        <f>IF(I$4="forecast",0,SUMIF('Dept. Cost Actuals'!$E$7:$E$176,"*salary*",'Dept. Cost Actuals'!M$1225:M$1394))</f>
        <v>0</v>
      </c>
      <c r="J12" s="1139">
        <f>IF(J$4="forecast",0,SUMIF('Dept. Cost Actuals'!$E$7:$E$176,"*salary*",'Dept. Cost Actuals'!N$1225:N$1394))</f>
        <v>0</v>
      </c>
      <c r="K12" s="1139">
        <f>IF(K$4="forecast",0,SUMIF('Dept. Cost Actuals'!$E$7:$E$176,"*salary*",'Dept. Cost Actuals'!O$1225:O$1394))</f>
        <v>0</v>
      </c>
      <c r="L12" s="1139">
        <f>IF(L$4="forecast",0,SUMIF('Dept. Cost Actuals'!$E$7:$E$176,"*salary*",'Dept. Cost Actuals'!P$1225:P$1394))</f>
        <v>241.32</v>
      </c>
      <c r="M12" s="1139">
        <f>IF(M$4="forecast",0,SUMIF('Dept. Cost Actuals'!$E$7:$E$176,"*salary*",'Dept. Cost Actuals'!Q$1225:Q$1394))</f>
        <v>370.06</v>
      </c>
      <c r="N12" s="1139">
        <f>IF(N$4="forecast",0,SUMIF('Dept. Cost Actuals'!$E$7:$E$176,"*salary*",'Dept. Cost Actuals'!R$1225:R$1394))</f>
        <v>74.97</v>
      </c>
      <c r="O12" s="1139">
        <f>IF(O$4="forecast",0,SUMIF('Dept. Cost Actuals'!$E$7:$E$176,"*salary*",'Dept. Cost Actuals'!S$1225:S$1394))</f>
        <v>0.02</v>
      </c>
      <c r="P12" s="1139">
        <f>IF(P$4="forecast",0,SUMIF('Dept. Cost Actuals'!$E$7:$E$176,"*salary*",'Dept. Cost Actuals'!T$1225:T$1394))</f>
        <v>3164.98</v>
      </c>
      <c r="Q12" s="1139">
        <f>IF(Q$4="forecast",0,SUMIF('Dept. Cost Actuals'!$E$7:$E$176,"*salary*",'Dept. Cost Actuals'!U$1225:U$1394))</f>
        <v>0</v>
      </c>
      <c r="R12" s="1139">
        <f>IF(R$4="forecast",0,SUMIF('Dept. Cost Actuals'!$E$7:$E$176,"*salary*",'Dept. Cost Actuals'!V$1225:V$1394))</f>
        <v>0</v>
      </c>
      <c r="S12" s="1139">
        <f>IF(S$4="forecast",0,SUMIF('Dept. Cost Actuals'!$E$7:$E$176,"*salary*",'Dept. Cost Actuals'!W$1225:W$1394))</f>
        <v>0</v>
      </c>
      <c r="T12" s="1139">
        <f>IF(T$4="forecast",0,SUMIF('Dept. Cost Actuals'!$E$7:$E$176,"*salary*",'Dept. Cost Actuals'!X$1225:X$1394))</f>
        <v>0</v>
      </c>
      <c r="U12" s="1139">
        <f>IF(U$4="forecast",0,SUMIF('Dept. Cost Actuals'!$E$7:$E$176,"*salary*",'Dept. Cost Actuals'!Y$1225:Y$1394))</f>
        <v>0</v>
      </c>
      <c r="V12" s="1139">
        <f>IF(V$4="forecast",0,SUMIF('Dept. Cost Actuals'!$E$7:$E$176,"*salary*",'Dept. Cost Actuals'!Z$1225:Z$1394))</f>
        <v>0</v>
      </c>
      <c r="W12" s="1139">
        <f>IF(W$4="forecast",0,SUMIF('Dept. Cost Actuals'!$E$7:$E$176,"*salary*",'Dept. Cost Actuals'!AA$1225:AA$1394))</f>
        <v>0</v>
      </c>
      <c r="X12" s="1139">
        <f>IF(X$4="forecast",0,SUMIF('Dept. Cost Actuals'!$E$7:$E$176,"*salary*",'Dept. Cost Actuals'!AB$1225:AB$1394))</f>
        <v>0</v>
      </c>
      <c r="Y12" s="1139">
        <f>IF(Y$4="forecast",0,SUMIF('Dept. Cost Actuals'!$E$7:$E$176,"*salary*",'Dept. Cost Actuals'!AC$1225:AC$1394))</f>
        <v>0</v>
      </c>
      <c r="Z12" s="1139">
        <f>IF(Z$4="forecast",0,SUMIF('Dept. Cost Actuals'!$E$7:$E$176,"*salary*",'Dept. Cost Actuals'!AD$1225:AD$1394))</f>
        <v>0</v>
      </c>
      <c r="AA12" s="1139">
        <f>IF(AA$4="forecast",0,SUMIF('Dept. Cost Actuals'!$E$7:$E$176,"*salary*",'Dept. Cost Actuals'!AE$1225:AE$1394))</f>
        <v>0</v>
      </c>
      <c r="AB12" s="1139">
        <f>IF(AB$4="forecast",0,SUMIF('Dept. Cost Actuals'!$E$7:$E$176,"*salary*",'Dept. Cost Actuals'!AF$1225:AF$1394))</f>
        <v>0</v>
      </c>
      <c r="AC12" s="1139">
        <f>IF(AC$4="forecast",0,SUMIF('Dept. Cost Actuals'!$E$7:$E$176,"*salary*",'Dept. Cost Actuals'!AG$1225:AG$1394))</f>
        <v>0</v>
      </c>
      <c r="AD12" s="1139">
        <f>IF(AD$4="forecast",0,SUMIF('Dept. Cost Actuals'!$E$7:$E$176,"*salary*",'Dept. Cost Actuals'!AH$1225:AH$1394))</f>
        <v>0</v>
      </c>
      <c r="AE12" s="1139">
        <f>IF(AE$4="forecast",0,SUMIF('Dept. Cost Actuals'!$E$7:$E$176,"*salary*",'Dept. Cost Actuals'!AI$1225:AI$1394))</f>
        <v>0</v>
      </c>
      <c r="AF12" s="1139">
        <f>IF(AF$4="forecast",0,SUMIF('Dept. Cost Actuals'!$E$7:$E$176,"*salary*",'Dept. Cost Actuals'!AJ$1225:AJ$1394))</f>
        <v>0</v>
      </c>
      <c r="AG12" s="1139">
        <f>IF(AG$4="forecast",0,SUMIF('Dept. Cost Actuals'!$E$7:$E$176,"*salary*",'Dept. Cost Actuals'!AK$1225:AK$1394))</f>
        <v>0</v>
      </c>
      <c r="AH12" s="1139">
        <f>IF(AH$4="forecast",0,SUMIF('Dept. Cost Actuals'!$E$7:$E$176,"*salary*",'Dept. Cost Actuals'!AL$1225:AL$1394))</f>
        <v>0</v>
      </c>
      <c r="AI12" s="1139">
        <f>IF(AI$4="forecast",0,SUMIF('Dept. Cost Actuals'!$E$7:$E$176,"*salary*",'Dept. Cost Actuals'!AM$1225:AM$1394))</f>
        <v>0</v>
      </c>
      <c r="AJ12" s="1139">
        <f>IF(AJ$4="forecast",0,SUMIF('Dept. Cost Actuals'!$E$7:$E$176,"*salary*",'Dept. Cost Actuals'!AN$1225:AN$1394))</f>
        <v>0</v>
      </c>
      <c r="AK12" s="1139">
        <f>IF(AK$4="forecast",0,SUMIF('Dept. Cost Actuals'!$E$7:$E$176,"*salary*",'Dept. Cost Actuals'!AO$1225:AO$1394))</f>
        <v>0</v>
      </c>
      <c r="AL12" s="1139">
        <f>IF(AL$4="forecast",0,SUMIF('Dept. Cost Actuals'!$E$7:$E$176,"*salary*",'Dept. Cost Actuals'!AP$1225:AP$1394))</f>
        <v>0</v>
      </c>
      <c r="AM12" s="1139">
        <f>IF(AM$4="forecast",0,SUMIF('Dept. Cost Actuals'!$E$7:$E$176,"*salary*",'Dept. Cost Actuals'!AQ$1225:AQ$1394))</f>
        <v>0</v>
      </c>
      <c r="AN12" s="1139">
        <f>IF(AN$4="forecast",0,SUMIF('Dept. Cost Actuals'!$E$7:$E$176,"*salary*",'Dept. Cost Actuals'!AR$1225:AR$1394))</f>
        <v>0</v>
      </c>
      <c r="AO12" s="1139">
        <f>IF(AO$4="forecast",0,SUMIF('Dept. Cost Actuals'!$E$7:$E$176,"*salary*",'Dept. Cost Actuals'!AS$1225:AS$1394))</f>
        <v>0</v>
      </c>
      <c r="AP12" s="1139">
        <f>IF(AP$4="forecast",0,SUMIF('Dept. Cost Actuals'!$E$7:$E$176,"*salary*",'Dept. Cost Actuals'!AT$1225:AT$1394))</f>
        <v>0</v>
      </c>
      <c r="AQ12" s="1139">
        <f>IF(AQ$4="forecast",0,SUMIF('Dept. Cost Actuals'!$E$7:$E$176,"*salary*",'Dept. Cost Actuals'!AU$1225:AU$1394))</f>
        <v>0</v>
      </c>
      <c r="AR12" s="1139">
        <f>IF(AR$4="forecast",0,SUMIF('Dept. Cost Actuals'!$E$7:$E$176,"*salary*",'Dept. Cost Actuals'!AV$1225:AV$1394))</f>
        <v>0</v>
      </c>
      <c r="AS12" s="1139">
        <f>IF(AS$4="forecast",0,SUMIF('Dept. Cost Actuals'!$E$7:$E$176,"*salary*",'Dept. Cost Actuals'!AW$1225:AW$1394))</f>
        <v>0</v>
      </c>
      <c r="AT12" s="1139">
        <f>IF(AT$4="forecast",0,SUMIF('Dept. Cost Actuals'!$E$7:$E$176,"*salary*",'Dept. Cost Actuals'!AX$1225:AX$1394))</f>
        <v>0</v>
      </c>
      <c r="AU12" s="1139">
        <f>IF(AU$4="forecast",0,SUMIF('Dept. Cost Actuals'!$E$7:$E$176,"*salary*",'Dept. Cost Actuals'!AY$1225:AY$1394))</f>
        <v>0</v>
      </c>
      <c r="AV12" s="1139">
        <f>IF(AV$4="forecast",0,SUMIF('Dept. Cost Actuals'!$E$7:$E$176,"*salary*",'Dept. Cost Actuals'!AZ$1225:AZ$1394))</f>
        <v>0</v>
      </c>
      <c r="AW12" s="1139">
        <f>IF(AW$4="forecast",0,SUMIF('Dept. Cost Actuals'!$E$7:$E$176,"*salary*",'Dept. Cost Actuals'!BA$1225:BA$1394))</f>
        <v>0</v>
      </c>
      <c r="AX12" s="1139">
        <f>IF(AX$4="forecast",0,SUMIF('Dept. Cost Actuals'!$E$7:$E$176,"*salary*",'Dept. Cost Actuals'!BB$1225:BB$1394))</f>
        <v>0</v>
      </c>
      <c r="AY12" s="1139">
        <f>IF(AY$4="forecast",0,SUMIF('Dept. Cost Actuals'!$E$7:$E$176,"*salary*",'Dept. Cost Actuals'!BC$1225:BC$1394))</f>
        <v>0</v>
      </c>
      <c r="AZ12" s="1139">
        <f>IF(AZ$4="forecast",0,SUMIF('Dept. Cost Actuals'!$E$7:$E$176,"*salary*",'Dept. Cost Actuals'!BD$1225:BD$1394))</f>
        <v>0</v>
      </c>
      <c r="BA12" s="1139">
        <f>IF(BA$4="forecast",0,SUMIF('Dept. Cost Actuals'!$E$7:$E$176,"*salary*",'Dept. Cost Actuals'!BE$1225:BE$1394))</f>
        <v>0</v>
      </c>
      <c r="BB12" s="1139">
        <f>IF(BB$4="forecast",0,SUMIF('Dept. Cost Actuals'!$E$7:$E$176,"*salary*",'Dept. Cost Actuals'!BF$1225:BF$1394))</f>
        <v>0</v>
      </c>
      <c r="BC12" s="1139">
        <f>IF(BC$4="forecast",0,SUMIF('Dept. Cost Actuals'!$E$7:$E$176,"*salary*",'Dept. Cost Actuals'!BG$1225:BG$1394))</f>
        <v>0</v>
      </c>
      <c r="BD12" s="1139">
        <f>IF(BD$4="forecast",0,SUMIF('Dept. Cost Actuals'!$E$7:$E$176,"*salary*",'Dept. Cost Actuals'!BH$1225:BH$1394))</f>
        <v>0</v>
      </c>
      <c r="BE12" s="1139">
        <f>IF(BE$4="forecast",0,SUMIF('Dept. Cost Actuals'!$E$7:$E$176,"*salary*",'Dept. Cost Actuals'!BI$1225:BI$1394))</f>
        <v>0</v>
      </c>
      <c r="BF12" s="1139">
        <f>IF(BF$4="forecast",0,SUMIF('Dept. Cost Actuals'!$E$7:$E$176,"*salary*",'Dept. Cost Actuals'!BJ$1225:BJ$1394))</f>
        <v>0</v>
      </c>
      <c r="BG12" s="1139">
        <f>IF(BG$4="forecast",0,SUMIF('Dept. Cost Actuals'!$E$7:$E$176,"*salary*",'Dept. Cost Actuals'!BK$1225:BK$1394))</f>
        <v>0</v>
      </c>
      <c r="BH12" s="1139">
        <f>IF(BH$4="forecast",0,SUMIF('Dept. Cost Actuals'!$E$7:$E$176,"*salary*",'Dept. Cost Actuals'!BL$1225:BL$1394))</f>
        <v>0</v>
      </c>
      <c r="BI12" s="1139">
        <f>IF(BI$4="forecast",0,SUMIF('Dept. Cost Actuals'!$E$7:$E$176,"*salary*",'Dept. Cost Actuals'!BM$1225:BM$1394))</f>
        <v>0</v>
      </c>
      <c r="BJ12" s="1139">
        <f>IF(BJ$4="forecast",0,SUMIF('Dept. Cost Actuals'!$E$7:$E$176,"*salary*",'Dept. Cost Actuals'!BN$1225:BN$1394))</f>
        <v>0</v>
      </c>
      <c r="BK12" s="1139">
        <f>IF(BK$4="forecast",0,SUMIF('Dept. Cost Actuals'!$E$7:$E$176,"*salary*",'Dept. Cost Actuals'!BO$1225:BO$1394))</f>
        <v>0</v>
      </c>
      <c r="BL12" s="1139">
        <f>IF(BL$4="forecast",0,SUMIF('Dept. Cost Actuals'!$E$7:$E$176,"*salary*",'Dept. Cost Actuals'!BP$1225:BP$1394))</f>
        <v>0</v>
      </c>
      <c r="BM12" s="1139">
        <f>IF(BM$4="forecast",0,SUMIF('Dept. Cost Actuals'!$E$7:$E$176,"*salary*",'Dept. Cost Actuals'!BQ$1225:BQ$1394))</f>
        <v>0</v>
      </c>
      <c r="BN12" s="1139">
        <f>IF(BN$4="forecast",0,SUMIF('Dept. Cost Actuals'!$E$7:$E$176,"*salary*",'Dept. Cost Actuals'!BR$1225:BR$1394))</f>
        <v>0</v>
      </c>
      <c r="BO12" s="1139">
        <f>IF(BO$4="forecast",0,SUMIF('Dept. Cost Actuals'!$E$7:$E$176,"*salary*",'Dept. Cost Actuals'!BS$1225:BS$1394))</f>
        <v>0</v>
      </c>
      <c r="BP12" s="1139">
        <f>IF(BP$4="forecast",0,SUMIF('Dept. Cost Actuals'!$E$7:$E$176,"*salary*",'Dept. Cost Actuals'!BT$1225:BT$1394))</f>
        <v>0</v>
      </c>
      <c r="BQ12" s="1139">
        <f>IF(BQ$4="forecast",0,SUMIF('Dept. Cost Actuals'!$E$7:$E$176,"*salary*",'Dept. Cost Actuals'!BU$1225:BU$1394))</f>
        <v>0</v>
      </c>
      <c r="BR12" s="1139">
        <f>IF(BR$4="forecast",0,SUMIF('Dept. Cost Actuals'!$E$7:$E$176,"*salary*",'Dept. Cost Actuals'!BV$1225:BV$1394))</f>
        <v>0</v>
      </c>
      <c r="BS12" s="1139">
        <f>IF(BS$4="forecast",0,SUMIF('Dept. Cost Actuals'!$E$7:$E$176,"*salary*",'Dept. Cost Actuals'!BW$1225:BW$1394))</f>
        <v>0</v>
      </c>
      <c r="BT12" s="1139">
        <f>IF(BT$4="forecast",0,SUMIF('Dept. Cost Actuals'!$E$7:$E$176,"*salary*",'Dept. Cost Actuals'!BX$1225:BX$1394))</f>
        <v>0</v>
      </c>
      <c r="BU12" s="1139">
        <f>IF(BU$4="forecast",0,SUMIF('Dept. Cost Actuals'!$E$7:$E$176,"*salary*",'Dept. Cost Actuals'!BY$1225:BY$1394))</f>
        <v>0</v>
      </c>
      <c r="BV12" s="1139">
        <f>IF(BV$4="forecast",0,SUMIF('Dept. Cost Actuals'!$E$7:$E$176,"*salary*",'Dept. Cost Actuals'!BZ$1225:BZ$1394))</f>
        <v>0</v>
      </c>
    </row>
    <row r="13" spans="2:74" x14ac:dyDescent="0.25">
      <c r="B13" s="780" t="s">
        <v>928</v>
      </c>
      <c r="C13" s="668">
        <f>IF(C$4="forecast",0,0)</f>
        <v>0</v>
      </c>
      <c r="D13" s="668">
        <f t="shared" ref="D13:BO13" si="2">IF(D$4="forecast",0,0)</f>
        <v>0</v>
      </c>
      <c r="E13" s="668">
        <f t="shared" si="2"/>
        <v>0</v>
      </c>
      <c r="F13" s="668">
        <f t="shared" si="2"/>
        <v>0</v>
      </c>
      <c r="G13" s="668">
        <f t="shared" si="2"/>
        <v>0</v>
      </c>
      <c r="H13" s="668">
        <f t="shared" si="2"/>
        <v>0</v>
      </c>
      <c r="I13" s="668">
        <f t="shared" si="2"/>
        <v>0</v>
      </c>
      <c r="J13" s="668">
        <f t="shared" si="2"/>
        <v>0</v>
      </c>
      <c r="K13" s="668">
        <f t="shared" si="2"/>
        <v>0</v>
      </c>
      <c r="L13" s="668">
        <f t="shared" si="2"/>
        <v>0</v>
      </c>
      <c r="M13" s="668">
        <f t="shared" si="2"/>
        <v>0</v>
      </c>
      <c r="N13" s="668">
        <f t="shared" si="2"/>
        <v>0</v>
      </c>
      <c r="O13" s="668">
        <f t="shared" si="2"/>
        <v>0</v>
      </c>
      <c r="P13" s="668">
        <f t="shared" si="2"/>
        <v>0</v>
      </c>
      <c r="Q13" s="668">
        <f t="shared" si="2"/>
        <v>0</v>
      </c>
      <c r="R13" s="668">
        <f t="shared" si="2"/>
        <v>0</v>
      </c>
      <c r="S13" s="668">
        <f t="shared" si="2"/>
        <v>0</v>
      </c>
      <c r="T13" s="668">
        <f t="shared" si="2"/>
        <v>0</v>
      </c>
      <c r="U13" s="668">
        <f t="shared" si="2"/>
        <v>0</v>
      </c>
      <c r="V13" s="668">
        <f t="shared" si="2"/>
        <v>0</v>
      </c>
      <c r="W13" s="668">
        <f t="shared" si="2"/>
        <v>0</v>
      </c>
      <c r="X13" s="668">
        <f t="shared" si="2"/>
        <v>0</v>
      </c>
      <c r="Y13" s="668">
        <f t="shared" si="2"/>
        <v>0</v>
      </c>
      <c r="Z13" s="668">
        <f t="shared" si="2"/>
        <v>0</v>
      </c>
      <c r="AA13" s="668">
        <f t="shared" si="2"/>
        <v>0</v>
      </c>
      <c r="AB13" s="668">
        <f t="shared" si="2"/>
        <v>0</v>
      </c>
      <c r="AC13" s="668">
        <f t="shared" si="2"/>
        <v>0</v>
      </c>
      <c r="AD13" s="668">
        <f t="shared" si="2"/>
        <v>0</v>
      </c>
      <c r="AE13" s="668">
        <f t="shared" si="2"/>
        <v>0</v>
      </c>
      <c r="AF13" s="668">
        <f t="shared" si="2"/>
        <v>0</v>
      </c>
      <c r="AG13" s="668">
        <f t="shared" si="2"/>
        <v>0</v>
      </c>
      <c r="AH13" s="668">
        <f t="shared" si="2"/>
        <v>0</v>
      </c>
      <c r="AI13" s="668">
        <f t="shared" si="2"/>
        <v>0</v>
      </c>
      <c r="AJ13" s="668">
        <f t="shared" si="2"/>
        <v>0</v>
      </c>
      <c r="AK13" s="668">
        <f t="shared" si="2"/>
        <v>0</v>
      </c>
      <c r="AL13" s="668">
        <f t="shared" si="2"/>
        <v>0</v>
      </c>
      <c r="AM13" s="668">
        <f t="shared" si="2"/>
        <v>0</v>
      </c>
      <c r="AN13" s="668">
        <f t="shared" si="2"/>
        <v>0</v>
      </c>
      <c r="AO13" s="668">
        <f t="shared" si="2"/>
        <v>0</v>
      </c>
      <c r="AP13" s="668">
        <f t="shared" si="2"/>
        <v>0</v>
      </c>
      <c r="AQ13" s="668">
        <f t="shared" si="2"/>
        <v>0</v>
      </c>
      <c r="AR13" s="668">
        <f t="shared" si="2"/>
        <v>0</v>
      </c>
      <c r="AS13" s="668">
        <f t="shared" si="2"/>
        <v>0</v>
      </c>
      <c r="AT13" s="668">
        <f t="shared" si="2"/>
        <v>0</v>
      </c>
      <c r="AU13" s="668">
        <f t="shared" si="2"/>
        <v>0</v>
      </c>
      <c r="AV13" s="668">
        <f t="shared" si="2"/>
        <v>0</v>
      </c>
      <c r="AW13" s="668">
        <f t="shared" si="2"/>
        <v>0</v>
      </c>
      <c r="AX13" s="668">
        <f t="shared" si="2"/>
        <v>0</v>
      </c>
      <c r="AY13" s="668">
        <f t="shared" si="2"/>
        <v>0</v>
      </c>
      <c r="AZ13" s="668">
        <f t="shared" si="2"/>
        <v>0</v>
      </c>
      <c r="BA13" s="668">
        <f t="shared" si="2"/>
        <v>0</v>
      </c>
      <c r="BB13" s="668">
        <f t="shared" si="2"/>
        <v>0</v>
      </c>
      <c r="BC13" s="668">
        <f t="shared" si="2"/>
        <v>0</v>
      </c>
      <c r="BD13" s="668">
        <f t="shared" si="2"/>
        <v>0</v>
      </c>
      <c r="BE13" s="668">
        <f t="shared" si="2"/>
        <v>0</v>
      </c>
      <c r="BF13" s="668">
        <f t="shared" si="2"/>
        <v>0</v>
      </c>
      <c r="BG13" s="668">
        <f t="shared" si="2"/>
        <v>0</v>
      </c>
      <c r="BH13" s="668">
        <f t="shared" si="2"/>
        <v>0</v>
      </c>
      <c r="BI13" s="668">
        <f t="shared" si="2"/>
        <v>0</v>
      </c>
      <c r="BJ13" s="668">
        <f t="shared" si="2"/>
        <v>0</v>
      </c>
      <c r="BK13" s="668">
        <f t="shared" si="2"/>
        <v>0</v>
      </c>
      <c r="BL13" s="668">
        <f t="shared" si="2"/>
        <v>0</v>
      </c>
      <c r="BM13" s="668">
        <f t="shared" si="2"/>
        <v>0</v>
      </c>
      <c r="BN13" s="668">
        <f t="shared" si="2"/>
        <v>0</v>
      </c>
      <c r="BO13" s="668">
        <f t="shared" si="2"/>
        <v>0</v>
      </c>
      <c r="BP13" s="668">
        <f t="shared" ref="BP13:BV13" si="3">IF(BP$4="forecast",0,0)</f>
        <v>0</v>
      </c>
      <c r="BQ13" s="668">
        <f t="shared" si="3"/>
        <v>0</v>
      </c>
      <c r="BR13" s="668">
        <f t="shared" si="3"/>
        <v>0</v>
      </c>
      <c r="BS13" s="668">
        <f t="shared" si="3"/>
        <v>0</v>
      </c>
      <c r="BT13" s="668">
        <f t="shared" si="3"/>
        <v>0</v>
      </c>
      <c r="BU13" s="668">
        <f t="shared" si="3"/>
        <v>0</v>
      </c>
      <c r="BV13" s="668">
        <f t="shared" si="3"/>
        <v>0</v>
      </c>
    </row>
    <row r="14" spans="2:74" x14ac:dyDescent="0.25">
      <c r="B14" s="791" t="s">
        <v>929</v>
      </c>
      <c r="C14" s="1139">
        <f t="shared" ref="C14" si="4">SUM(C12:C13)</f>
        <v>-0.03</v>
      </c>
      <c r="D14" s="1139">
        <f t="shared" ref="D14:BO14" si="5">SUM(D12:D13)</f>
        <v>0</v>
      </c>
      <c r="E14" s="1139">
        <f t="shared" si="5"/>
        <v>0</v>
      </c>
      <c r="F14" s="1139">
        <f t="shared" si="5"/>
        <v>0</v>
      </c>
      <c r="G14" s="1139">
        <f t="shared" si="5"/>
        <v>0</v>
      </c>
      <c r="H14" s="1139">
        <f t="shared" si="5"/>
        <v>2.73</v>
      </c>
      <c r="I14" s="1139">
        <f t="shared" si="5"/>
        <v>0</v>
      </c>
      <c r="J14" s="1139">
        <f t="shared" si="5"/>
        <v>0</v>
      </c>
      <c r="K14" s="1139">
        <f t="shared" si="5"/>
        <v>0</v>
      </c>
      <c r="L14" s="1139">
        <f t="shared" si="5"/>
        <v>241.32</v>
      </c>
      <c r="M14" s="1139">
        <f t="shared" si="5"/>
        <v>370.06</v>
      </c>
      <c r="N14" s="1139">
        <f t="shared" si="5"/>
        <v>74.97</v>
      </c>
      <c r="O14" s="1139">
        <f t="shared" si="5"/>
        <v>0.02</v>
      </c>
      <c r="P14" s="1139">
        <f t="shared" si="5"/>
        <v>3164.98</v>
      </c>
      <c r="Q14" s="1139">
        <f t="shared" si="5"/>
        <v>0</v>
      </c>
      <c r="R14" s="1139">
        <f t="shared" si="5"/>
        <v>0</v>
      </c>
      <c r="S14" s="1139">
        <f t="shared" si="5"/>
        <v>0</v>
      </c>
      <c r="T14" s="1139">
        <f t="shared" si="5"/>
        <v>0</v>
      </c>
      <c r="U14" s="1139">
        <f t="shared" si="5"/>
        <v>0</v>
      </c>
      <c r="V14" s="1139">
        <f t="shared" si="5"/>
        <v>0</v>
      </c>
      <c r="W14" s="1139">
        <f t="shared" si="5"/>
        <v>0</v>
      </c>
      <c r="X14" s="1139">
        <f t="shared" si="5"/>
        <v>0</v>
      </c>
      <c r="Y14" s="1139">
        <f t="shared" si="5"/>
        <v>0</v>
      </c>
      <c r="Z14" s="1139">
        <f t="shared" si="5"/>
        <v>0</v>
      </c>
      <c r="AA14" s="1139">
        <f t="shared" si="5"/>
        <v>0</v>
      </c>
      <c r="AB14" s="1139">
        <f t="shared" si="5"/>
        <v>0</v>
      </c>
      <c r="AC14" s="1139">
        <f t="shared" si="5"/>
        <v>0</v>
      </c>
      <c r="AD14" s="1139">
        <f t="shared" si="5"/>
        <v>0</v>
      </c>
      <c r="AE14" s="1139">
        <f t="shared" si="5"/>
        <v>0</v>
      </c>
      <c r="AF14" s="1139">
        <f t="shared" si="5"/>
        <v>0</v>
      </c>
      <c r="AG14" s="1139">
        <f t="shared" si="5"/>
        <v>0</v>
      </c>
      <c r="AH14" s="1139">
        <f t="shared" si="5"/>
        <v>0</v>
      </c>
      <c r="AI14" s="1139">
        <f t="shared" si="5"/>
        <v>0</v>
      </c>
      <c r="AJ14" s="1139">
        <f t="shared" si="5"/>
        <v>0</v>
      </c>
      <c r="AK14" s="1139">
        <f t="shared" si="5"/>
        <v>0</v>
      </c>
      <c r="AL14" s="1139">
        <f t="shared" si="5"/>
        <v>0</v>
      </c>
      <c r="AM14" s="1139">
        <f t="shared" si="5"/>
        <v>0</v>
      </c>
      <c r="AN14" s="1139">
        <f t="shared" si="5"/>
        <v>0</v>
      </c>
      <c r="AO14" s="1139">
        <f t="shared" si="5"/>
        <v>0</v>
      </c>
      <c r="AP14" s="1139">
        <f t="shared" si="5"/>
        <v>0</v>
      </c>
      <c r="AQ14" s="1139">
        <f t="shared" si="5"/>
        <v>0</v>
      </c>
      <c r="AR14" s="1139">
        <f t="shared" si="5"/>
        <v>0</v>
      </c>
      <c r="AS14" s="1139">
        <f t="shared" si="5"/>
        <v>0</v>
      </c>
      <c r="AT14" s="1139">
        <f t="shared" si="5"/>
        <v>0</v>
      </c>
      <c r="AU14" s="1139">
        <f t="shared" si="5"/>
        <v>0</v>
      </c>
      <c r="AV14" s="1139">
        <f t="shared" si="5"/>
        <v>0</v>
      </c>
      <c r="AW14" s="1139">
        <f t="shared" si="5"/>
        <v>0</v>
      </c>
      <c r="AX14" s="1139">
        <f t="shared" si="5"/>
        <v>0</v>
      </c>
      <c r="AY14" s="1139">
        <f t="shared" si="5"/>
        <v>0</v>
      </c>
      <c r="AZ14" s="1139">
        <f t="shared" si="5"/>
        <v>0</v>
      </c>
      <c r="BA14" s="1139">
        <f t="shared" si="5"/>
        <v>0</v>
      </c>
      <c r="BB14" s="1139">
        <f t="shared" si="5"/>
        <v>0</v>
      </c>
      <c r="BC14" s="1139">
        <f t="shared" si="5"/>
        <v>0</v>
      </c>
      <c r="BD14" s="1139">
        <f t="shared" si="5"/>
        <v>0</v>
      </c>
      <c r="BE14" s="1139">
        <f t="shared" si="5"/>
        <v>0</v>
      </c>
      <c r="BF14" s="1139">
        <f t="shared" si="5"/>
        <v>0</v>
      </c>
      <c r="BG14" s="1139">
        <f t="shared" si="5"/>
        <v>0</v>
      </c>
      <c r="BH14" s="1139">
        <f t="shared" si="5"/>
        <v>0</v>
      </c>
      <c r="BI14" s="1139">
        <f t="shared" si="5"/>
        <v>0</v>
      </c>
      <c r="BJ14" s="1139">
        <f t="shared" si="5"/>
        <v>0</v>
      </c>
      <c r="BK14" s="1139">
        <f t="shared" si="5"/>
        <v>0</v>
      </c>
      <c r="BL14" s="1139">
        <f t="shared" si="5"/>
        <v>0</v>
      </c>
      <c r="BM14" s="1139">
        <f t="shared" si="5"/>
        <v>0</v>
      </c>
      <c r="BN14" s="1139">
        <f t="shared" si="5"/>
        <v>0</v>
      </c>
      <c r="BO14" s="1139">
        <f t="shared" si="5"/>
        <v>0</v>
      </c>
      <c r="BP14" s="1139">
        <f t="shared" ref="BP14:BV14" si="6">SUM(BP12:BP13)</f>
        <v>0</v>
      </c>
      <c r="BQ14" s="1139">
        <f t="shared" si="6"/>
        <v>0</v>
      </c>
      <c r="BR14" s="1139">
        <f t="shared" si="6"/>
        <v>0</v>
      </c>
      <c r="BS14" s="1139">
        <f t="shared" si="6"/>
        <v>0</v>
      </c>
      <c r="BT14" s="1139">
        <f t="shared" si="6"/>
        <v>0</v>
      </c>
      <c r="BU14" s="1139">
        <f t="shared" si="6"/>
        <v>0</v>
      </c>
      <c r="BV14" s="1139">
        <f t="shared" si="6"/>
        <v>0</v>
      </c>
    </row>
    <row r="15" spans="2:74" x14ac:dyDescent="0.25">
      <c r="B15" s="780" t="s">
        <v>931</v>
      </c>
      <c r="C15" s="668">
        <f>IF(C$4="forecast",0,0)</f>
        <v>0</v>
      </c>
      <c r="D15" s="668">
        <f t="shared" ref="D15:BO15" si="7">IF(D$4="forecast",0,0)</f>
        <v>0</v>
      </c>
      <c r="E15" s="668">
        <f t="shared" si="7"/>
        <v>0</v>
      </c>
      <c r="F15" s="668">
        <f t="shared" si="7"/>
        <v>0</v>
      </c>
      <c r="G15" s="668">
        <f t="shared" si="7"/>
        <v>0</v>
      </c>
      <c r="H15" s="668">
        <f t="shared" si="7"/>
        <v>0</v>
      </c>
      <c r="I15" s="668">
        <f t="shared" si="7"/>
        <v>0</v>
      </c>
      <c r="J15" s="668">
        <f t="shared" si="7"/>
        <v>0</v>
      </c>
      <c r="K15" s="668">
        <f t="shared" si="7"/>
        <v>0</v>
      </c>
      <c r="L15" s="668">
        <f t="shared" si="7"/>
        <v>0</v>
      </c>
      <c r="M15" s="668">
        <f t="shared" si="7"/>
        <v>0</v>
      </c>
      <c r="N15" s="668">
        <f t="shared" si="7"/>
        <v>0</v>
      </c>
      <c r="O15" s="668">
        <f t="shared" si="7"/>
        <v>0</v>
      </c>
      <c r="P15" s="668">
        <f t="shared" si="7"/>
        <v>0</v>
      </c>
      <c r="Q15" s="668">
        <f t="shared" si="7"/>
        <v>0</v>
      </c>
      <c r="R15" s="668">
        <f t="shared" si="7"/>
        <v>0</v>
      </c>
      <c r="S15" s="668">
        <f t="shared" si="7"/>
        <v>0</v>
      </c>
      <c r="T15" s="668">
        <f t="shared" si="7"/>
        <v>0</v>
      </c>
      <c r="U15" s="668">
        <f t="shared" si="7"/>
        <v>0</v>
      </c>
      <c r="V15" s="668">
        <f t="shared" si="7"/>
        <v>0</v>
      </c>
      <c r="W15" s="668">
        <f t="shared" si="7"/>
        <v>0</v>
      </c>
      <c r="X15" s="668">
        <f t="shared" si="7"/>
        <v>0</v>
      </c>
      <c r="Y15" s="668">
        <f t="shared" si="7"/>
        <v>0</v>
      </c>
      <c r="Z15" s="668">
        <f t="shared" si="7"/>
        <v>0</v>
      </c>
      <c r="AA15" s="668">
        <f t="shared" si="7"/>
        <v>0</v>
      </c>
      <c r="AB15" s="668">
        <f t="shared" si="7"/>
        <v>0</v>
      </c>
      <c r="AC15" s="668">
        <f t="shared" si="7"/>
        <v>0</v>
      </c>
      <c r="AD15" s="668">
        <f t="shared" si="7"/>
        <v>0</v>
      </c>
      <c r="AE15" s="668">
        <f t="shared" si="7"/>
        <v>0</v>
      </c>
      <c r="AF15" s="668">
        <f t="shared" si="7"/>
        <v>0</v>
      </c>
      <c r="AG15" s="668">
        <f t="shared" si="7"/>
        <v>0</v>
      </c>
      <c r="AH15" s="668">
        <f t="shared" si="7"/>
        <v>0</v>
      </c>
      <c r="AI15" s="668">
        <f t="shared" si="7"/>
        <v>0</v>
      </c>
      <c r="AJ15" s="668">
        <f t="shared" si="7"/>
        <v>0</v>
      </c>
      <c r="AK15" s="668">
        <f t="shared" si="7"/>
        <v>0</v>
      </c>
      <c r="AL15" s="668">
        <f t="shared" si="7"/>
        <v>0</v>
      </c>
      <c r="AM15" s="668">
        <f t="shared" si="7"/>
        <v>0</v>
      </c>
      <c r="AN15" s="668">
        <f t="shared" si="7"/>
        <v>0</v>
      </c>
      <c r="AO15" s="668">
        <f t="shared" si="7"/>
        <v>0</v>
      </c>
      <c r="AP15" s="668">
        <f t="shared" si="7"/>
        <v>0</v>
      </c>
      <c r="AQ15" s="668">
        <f t="shared" si="7"/>
        <v>0</v>
      </c>
      <c r="AR15" s="668">
        <f t="shared" si="7"/>
        <v>0</v>
      </c>
      <c r="AS15" s="668">
        <f t="shared" si="7"/>
        <v>0</v>
      </c>
      <c r="AT15" s="668">
        <f t="shared" si="7"/>
        <v>0</v>
      </c>
      <c r="AU15" s="668">
        <f t="shared" si="7"/>
        <v>0</v>
      </c>
      <c r="AV15" s="668">
        <f t="shared" si="7"/>
        <v>0</v>
      </c>
      <c r="AW15" s="668">
        <f t="shared" si="7"/>
        <v>0</v>
      </c>
      <c r="AX15" s="668">
        <f t="shared" si="7"/>
        <v>0</v>
      </c>
      <c r="AY15" s="668">
        <f t="shared" si="7"/>
        <v>0</v>
      </c>
      <c r="AZ15" s="668">
        <f t="shared" si="7"/>
        <v>0</v>
      </c>
      <c r="BA15" s="668">
        <f t="shared" si="7"/>
        <v>0</v>
      </c>
      <c r="BB15" s="668">
        <f t="shared" si="7"/>
        <v>0</v>
      </c>
      <c r="BC15" s="668">
        <f t="shared" si="7"/>
        <v>0</v>
      </c>
      <c r="BD15" s="668">
        <f t="shared" si="7"/>
        <v>0</v>
      </c>
      <c r="BE15" s="668">
        <f t="shared" si="7"/>
        <v>0</v>
      </c>
      <c r="BF15" s="668">
        <f t="shared" si="7"/>
        <v>0</v>
      </c>
      <c r="BG15" s="668">
        <f t="shared" si="7"/>
        <v>0</v>
      </c>
      <c r="BH15" s="668">
        <f t="shared" si="7"/>
        <v>0</v>
      </c>
      <c r="BI15" s="668">
        <f t="shared" si="7"/>
        <v>0</v>
      </c>
      <c r="BJ15" s="668">
        <f t="shared" si="7"/>
        <v>0</v>
      </c>
      <c r="BK15" s="668">
        <f t="shared" si="7"/>
        <v>0</v>
      </c>
      <c r="BL15" s="668">
        <f t="shared" si="7"/>
        <v>0</v>
      </c>
      <c r="BM15" s="668">
        <f t="shared" si="7"/>
        <v>0</v>
      </c>
      <c r="BN15" s="668">
        <f t="shared" si="7"/>
        <v>0</v>
      </c>
      <c r="BO15" s="668">
        <f t="shared" si="7"/>
        <v>0</v>
      </c>
      <c r="BP15" s="668">
        <f t="shared" ref="BP15:BV15" si="8">IF(BP$4="forecast",0,0)</f>
        <v>0</v>
      </c>
      <c r="BQ15" s="668">
        <f t="shared" si="8"/>
        <v>0</v>
      </c>
      <c r="BR15" s="668">
        <f t="shared" si="8"/>
        <v>0</v>
      </c>
      <c r="BS15" s="668">
        <f t="shared" si="8"/>
        <v>0</v>
      </c>
      <c r="BT15" s="668">
        <f t="shared" si="8"/>
        <v>0</v>
      </c>
      <c r="BU15" s="668">
        <f t="shared" si="8"/>
        <v>0</v>
      </c>
      <c r="BV15" s="668">
        <f t="shared" si="8"/>
        <v>0</v>
      </c>
    </row>
    <row r="16" spans="2:74" x14ac:dyDescent="0.25">
      <c r="B16" s="780" t="s">
        <v>930</v>
      </c>
      <c r="C16" s="668">
        <f>IF(C$4="forecast",0,SUMIF('Dept. Cost Actuals'!$E$7:$E$176,"*bonus*",'Dept. Cost Actuals'!G$1225:G$1394))</f>
        <v>0</v>
      </c>
      <c r="D16" s="668">
        <f>IF(D$4="forecast",0,SUMIF('Dept. Cost Actuals'!$E$7:$E$176,"*bonus*",'Dept. Cost Actuals'!H$1225:H$1394))</f>
        <v>0</v>
      </c>
      <c r="E16" s="668">
        <f>IF(E$4="forecast",0,SUMIF('Dept. Cost Actuals'!$E$7:$E$176,"*bonus*",'Dept. Cost Actuals'!I$1225:I$1394))</f>
        <v>0</v>
      </c>
      <c r="F16" s="668">
        <f>IF(F$4="forecast",0,SUMIF('Dept. Cost Actuals'!$E$7:$E$176,"*bonus*",'Dept. Cost Actuals'!J$1225:J$1394))</f>
        <v>0</v>
      </c>
      <c r="G16" s="668">
        <f>IF(G$4="forecast",0,SUMIF('Dept. Cost Actuals'!$E$7:$E$176,"*bonus*",'Dept. Cost Actuals'!K$1225:K$1394))</f>
        <v>0</v>
      </c>
      <c r="H16" s="668">
        <f>IF(H$4="forecast",0,SUMIF('Dept. Cost Actuals'!$E$7:$E$176,"*bonus*",'Dept. Cost Actuals'!L$1225:L$1394))</f>
        <v>0</v>
      </c>
      <c r="I16" s="668">
        <f>IF(I$4="forecast",0,SUMIF('Dept. Cost Actuals'!$E$7:$E$176,"*bonus*",'Dept. Cost Actuals'!M$1225:M$1394))</f>
        <v>0</v>
      </c>
      <c r="J16" s="668">
        <f>IF(J$4="forecast",0,SUMIF('Dept. Cost Actuals'!$E$7:$E$176,"*bonus*",'Dept. Cost Actuals'!N$1225:N$1394))</f>
        <v>0</v>
      </c>
      <c r="K16" s="668">
        <f>IF(K$4="forecast",0,SUMIF('Dept. Cost Actuals'!$E$7:$E$176,"*bonus*",'Dept. Cost Actuals'!O$1225:O$1394))</f>
        <v>0</v>
      </c>
      <c r="L16" s="668">
        <f>IF(L$4="forecast",0,SUMIF('Dept. Cost Actuals'!$E$7:$E$176,"*bonus*",'Dept. Cost Actuals'!P$1225:P$1394))</f>
        <v>0</v>
      </c>
      <c r="M16" s="668">
        <f>IF(M$4="forecast",0,SUMIF('Dept. Cost Actuals'!$E$7:$E$176,"*bonus*",'Dept. Cost Actuals'!Q$1225:Q$1394))</f>
        <v>0</v>
      </c>
      <c r="N16" s="668">
        <f>IF(N$4="forecast",0,SUMIF('Dept. Cost Actuals'!$E$7:$E$176,"*bonus*",'Dept. Cost Actuals'!R$1225:R$1394))</f>
        <v>0</v>
      </c>
      <c r="O16" s="668">
        <f>IF(O$4="forecast",0,SUMIF('Dept. Cost Actuals'!$E$7:$E$176,"*bonus*",'Dept. Cost Actuals'!S$1225:S$1394))</f>
        <v>0</v>
      </c>
      <c r="P16" s="668">
        <f>IF(P$4="forecast",0,SUMIF('Dept. Cost Actuals'!$E$7:$E$176,"*bonus*",'Dept. Cost Actuals'!T$1225:T$1394))</f>
        <v>0</v>
      </c>
      <c r="Q16" s="668">
        <f>IF(Q$4="forecast",0,SUMIF('Dept. Cost Actuals'!$E$7:$E$176,"*bonus*",'Dept. Cost Actuals'!U$1225:U$1394))</f>
        <v>0</v>
      </c>
      <c r="R16" s="668">
        <f>IF(R$4="forecast",0,SUMIF('Dept. Cost Actuals'!$E$7:$E$176,"*bonus*",'Dept. Cost Actuals'!V$1225:V$1394))</f>
        <v>0</v>
      </c>
      <c r="S16" s="668">
        <f>IF(S$4="forecast",0,SUMIF('Dept. Cost Actuals'!$E$7:$E$176,"*bonus*",'Dept. Cost Actuals'!W$1225:W$1394))</f>
        <v>0</v>
      </c>
      <c r="T16" s="668">
        <f>IF(T$4="forecast",0,SUMIF('Dept. Cost Actuals'!$E$7:$E$176,"*bonus*",'Dept. Cost Actuals'!X$1225:X$1394))</f>
        <v>0</v>
      </c>
      <c r="U16" s="668">
        <f>IF(U$4="forecast",0,SUMIF('Dept. Cost Actuals'!$E$7:$E$176,"*bonus*",'Dept. Cost Actuals'!Y$1225:Y$1394))</f>
        <v>0</v>
      </c>
      <c r="V16" s="668">
        <f>IF(V$4="forecast",0,SUMIF('Dept. Cost Actuals'!$E$7:$E$176,"*bonus*",'Dept. Cost Actuals'!Z$1225:Z$1394))</f>
        <v>0</v>
      </c>
      <c r="W16" s="668">
        <f>IF(W$4="forecast",0,SUMIF('Dept. Cost Actuals'!$E$7:$E$176,"*bonus*",'Dept. Cost Actuals'!AA$1225:AA$1394))</f>
        <v>0</v>
      </c>
      <c r="X16" s="668">
        <f>IF(X$4="forecast",0,SUMIF('Dept. Cost Actuals'!$E$7:$E$176,"*bonus*",'Dept. Cost Actuals'!AB$1225:AB$1394))</f>
        <v>0</v>
      </c>
      <c r="Y16" s="668">
        <f>IF(Y$4="forecast",0,SUMIF('Dept. Cost Actuals'!$E$7:$E$176,"*bonus*",'Dept. Cost Actuals'!AC$1225:AC$1394))</f>
        <v>0</v>
      </c>
      <c r="Z16" s="668">
        <f>IF(Z$4="forecast",0,SUMIF('Dept. Cost Actuals'!$E$7:$E$176,"*bonus*",'Dept. Cost Actuals'!AD$1225:AD$1394))</f>
        <v>0</v>
      </c>
      <c r="AA16" s="668">
        <f>IF(AA$4="forecast",0,SUMIF('Dept. Cost Actuals'!$E$7:$E$176,"*bonus*",'Dept. Cost Actuals'!AE$1225:AE$1394))</f>
        <v>0</v>
      </c>
      <c r="AB16" s="668">
        <f>IF(AB$4="forecast",0,SUMIF('Dept. Cost Actuals'!$E$7:$E$176,"*bonus*",'Dept. Cost Actuals'!AF$1225:AF$1394))</f>
        <v>0</v>
      </c>
      <c r="AC16" s="668">
        <f>IF(AC$4="forecast",0,SUMIF('Dept. Cost Actuals'!$E$7:$E$176,"*bonus*",'Dept. Cost Actuals'!AG$1225:AG$1394))</f>
        <v>0</v>
      </c>
      <c r="AD16" s="668">
        <f>IF(AD$4="forecast",0,SUMIF('Dept. Cost Actuals'!$E$7:$E$176,"*bonus*",'Dept. Cost Actuals'!AH$1225:AH$1394))</f>
        <v>0</v>
      </c>
      <c r="AE16" s="668">
        <f>IF(AE$4="forecast",0,SUMIF('Dept. Cost Actuals'!$E$7:$E$176,"*bonus*",'Dept. Cost Actuals'!AI$1225:AI$1394))</f>
        <v>0</v>
      </c>
      <c r="AF16" s="668">
        <f>IF(AF$4="forecast",0,SUMIF('Dept. Cost Actuals'!$E$7:$E$176,"*bonus*",'Dept. Cost Actuals'!AJ$1225:AJ$1394))</f>
        <v>0</v>
      </c>
      <c r="AG16" s="668">
        <f>IF(AG$4="forecast",0,SUMIF('Dept. Cost Actuals'!$E$7:$E$176,"*bonus*",'Dept. Cost Actuals'!AK$1225:AK$1394))</f>
        <v>0</v>
      </c>
      <c r="AH16" s="668">
        <f>IF(AH$4="forecast",0,SUMIF('Dept. Cost Actuals'!$E$7:$E$176,"*bonus*",'Dept. Cost Actuals'!AL$1225:AL$1394))</f>
        <v>0</v>
      </c>
      <c r="AI16" s="668">
        <f>IF(AI$4="forecast",0,SUMIF('Dept. Cost Actuals'!$E$7:$E$176,"*bonus*",'Dept. Cost Actuals'!AM$1225:AM$1394))</f>
        <v>0</v>
      </c>
      <c r="AJ16" s="668">
        <f>IF(AJ$4="forecast",0,SUMIF('Dept. Cost Actuals'!$E$7:$E$176,"*bonus*",'Dept. Cost Actuals'!AN$1225:AN$1394))</f>
        <v>0</v>
      </c>
      <c r="AK16" s="668">
        <f>IF(AK$4="forecast",0,SUMIF('Dept. Cost Actuals'!$E$7:$E$176,"*bonus*",'Dept. Cost Actuals'!AO$1225:AO$1394))</f>
        <v>0</v>
      </c>
      <c r="AL16" s="668">
        <f>IF(AL$4="forecast",0,SUMIF('Dept. Cost Actuals'!$E$7:$E$176,"*bonus*",'Dept. Cost Actuals'!AP$1225:AP$1394))</f>
        <v>0</v>
      </c>
      <c r="AM16" s="668">
        <f>IF(AM$4="forecast",0,SUMIF('Dept. Cost Actuals'!$E$7:$E$176,"*bonus*",'Dept. Cost Actuals'!AQ$1225:AQ$1394))</f>
        <v>0</v>
      </c>
      <c r="AN16" s="668">
        <f>IF(AN$4="forecast",0,SUMIF('Dept. Cost Actuals'!$E$7:$E$176,"*bonus*",'Dept. Cost Actuals'!AR$1225:AR$1394))</f>
        <v>0</v>
      </c>
      <c r="AO16" s="668">
        <f>IF(AO$4="forecast",0,SUMIF('Dept. Cost Actuals'!$E$7:$E$176,"*bonus*",'Dept. Cost Actuals'!AS$1225:AS$1394))</f>
        <v>0</v>
      </c>
      <c r="AP16" s="668">
        <f>IF(AP$4="forecast",0,SUMIF('Dept. Cost Actuals'!$E$7:$E$176,"*bonus*",'Dept. Cost Actuals'!AT$1225:AT$1394))</f>
        <v>0</v>
      </c>
      <c r="AQ16" s="668">
        <f>IF(AQ$4="forecast",0,SUMIF('Dept. Cost Actuals'!$E$7:$E$176,"*bonus*",'Dept. Cost Actuals'!AU$1225:AU$1394))</f>
        <v>0</v>
      </c>
      <c r="AR16" s="668">
        <f>IF(AR$4="forecast",0,SUMIF('Dept. Cost Actuals'!$E$7:$E$176,"*bonus*",'Dept. Cost Actuals'!AV$1225:AV$1394))</f>
        <v>0</v>
      </c>
      <c r="AS16" s="668">
        <f>IF(AS$4="forecast",0,SUMIF('Dept. Cost Actuals'!$E$7:$E$176,"*bonus*",'Dept. Cost Actuals'!AW$1225:AW$1394))</f>
        <v>0</v>
      </c>
      <c r="AT16" s="668">
        <f>IF(AT$4="forecast",0,SUMIF('Dept. Cost Actuals'!$E$7:$E$176,"*bonus*",'Dept. Cost Actuals'!AX$1225:AX$1394))</f>
        <v>0</v>
      </c>
      <c r="AU16" s="668">
        <f>IF(AU$4="forecast",0,SUMIF('Dept. Cost Actuals'!$E$7:$E$176,"*bonus*",'Dept. Cost Actuals'!AY$1225:AY$1394))</f>
        <v>0</v>
      </c>
      <c r="AV16" s="668">
        <f>IF(AV$4="forecast",0,SUMIF('Dept. Cost Actuals'!$E$7:$E$176,"*bonus*",'Dept. Cost Actuals'!AZ$1225:AZ$1394))</f>
        <v>0</v>
      </c>
      <c r="AW16" s="668">
        <f>IF(AW$4="forecast",0,SUMIF('Dept. Cost Actuals'!$E$7:$E$176,"*bonus*",'Dept. Cost Actuals'!BA$1225:BA$1394))</f>
        <v>0</v>
      </c>
      <c r="AX16" s="668">
        <f>IF(AX$4="forecast",0,SUMIF('Dept. Cost Actuals'!$E$7:$E$176,"*bonus*",'Dept. Cost Actuals'!BB$1225:BB$1394))</f>
        <v>0</v>
      </c>
      <c r="AY16" s="668">
        <f>IF(AY$4="forecast",0,SUMIF('Dept. Cost Actuals'!$E$7:$E$176,"*bonus*",'Dept. Cost Actuals'!BC$1225:BC$1394))</f>
        <v>0</v>
      </c>
      <c r="AZ16" s="668">
        <f>IF(AZ$4="forecast",0,SUMIF('Dept. Cost Actuals'!$E$7:$E$176,"*bonus*",'Dept. Cost Actuals'!BD$1225:BD$1394))</f>
        <v>0</v>
      </c>
      <c r="BA16" s="668">
        <f>IF(BA$4="forecast",0,SUMIF('Dept. Cost Actuals'!$E$7:$E$176,"*bonus*",'Dept. Cost Actuals'!BE$1225:BE$1394))</f>
        <v>0</v>
      </c>
      <c r="BB16" s="668">
        <f>IF(BB$4="forecast",0,SUMIF('Dept. Cost Actuals'!$E$7:$E$176,"*bonus*",'Dept. Cost Actuals'!BF$1225:BF$1394))</f>
        <v>0</v>
      </c>
      <c r="BC16" s="668">
        <f>IF(BC$4="forecast",0,SUMIF('Dept. Cost Actuals'!$E$7:$E$176,"*bonus*",'Dept. Cost Actuals'!BG$1225:BG$1394))</f>
        <v>0</v>
      </c>
      <c r="BD16" s="668">
        <f>IF(BD$4="forecast",0,SUMIF('Dept. Cost Actuals'!$E$7:$E$176,"*bonus*",'Dept. Cost Actuals'!BH$1225:BH$1394))</f>
        <v>0</v>
      </c>
      <c r="BE16" s="668">
        <f>IF(BE$4="forecast",0,SUMIF('Dept. Cost Actuals'!$E$7:$E$176,"*bonus*",'Dept. Cost Actuals'!BI$1225:BI$1394))</f>
        <v>0</v>
      </c>
      <c r="BF16" s="668">
        <f>IF(BF$4="forecast",0,SUMIF('Dept. Cost Actuals'!$E$7:$E$176,"*bonus*",'Dept. Cost Actuals'!BJ$1225:BJ$1394))</f>
        <v>0</v>
      </c>
      <c r="BG16" s="668">
        <f>IF(BG$4="forecast",0,SUMIF('Dept. Cost Actuals'!$E$7:$E$176,"*bonus*",'Dept. Cost Actuals'!BK$1225:BK$1394))</f>
        <v>0</v>
      </c>
      <c r="BH16" s="668">
        <f>IF(BH$4="forecast",0,SUMIF('Dept. Cost Actuals'!$E$7:$E$176,"*bonus*",'Dept. Cost Actuals'!BL$1225:BL$1394))</f>
        <v>0</v>
      </c>
      <c r="BI16" s="668">
        <f>IF(BI$4="forecast",0,SUMIF('Dept. Cost Actuals'!$E$7:$E$176,"*bonus*",'Dept. Cost Actuals'!BM$1225:BM$1394))</f>
        <v>0</v>
      </c>
      <c r="BJ16" s="668">
        <f>IF(BJ$4="forecast",0,SUMIF('Dept. Cost Actuals'!$E$7:$E$176,"*bonus*",'Dept. Cost Actuals'!BN$1225:BN$1394))</f>
        <v>0</v>
      </c>
      <c r="BK16" s="668">
        <f>IF(BK$4="forecast",0,SUMIF('Dept. Cost Actuals'!$E$7:$E$176,"*bonus*",'Dept. Cost Actuals'!BO$1225:BO$1394))</f>
        <v>0</v>
      </c>
      <c r="BL16" s="668">
        <f>IF(BL$4="forecast",0,SUMIF('Dept. Cost Actuals'!$E$7:$E$176,"*bonus*",'Dept. Cost Actuals'!BP$1225:BP$1394))</f>
        <v>0</v>
      </c>
      <c r="BM16" s="668">
        <f>IF(BM$4="forecast",0,SUMIF('Dept. Cost Actuals'!$E$7:$E$176,"*bonus*",'Dept. Cost Actuals'!BQ$1225:BQ$1394))</f>
        <v>0</v>
      </c>
      <c r="BN16" s="668">
        <f>IF(BN$4="forecast",0,SUMIF('Dept. Cost Actuals'!$E$7:$E$176,"*bonus*",'Dept. Cost Actuals'!BR$1225:BR$1394))</f>
        <v>0</v>
      </c>
      <c r="BO16" s="668">
        <f>IF(BO$4="forecast",0,SUMIF('Dept. Cost Actuals'!$E$7:$E$176,"*bonus*",'Dept. Cost Actuals'!BS$1225:BS$1394))</f>
        <v>0</v>
      </c>
      <c r="BP16" s="668">
        <f>IF(BP$4="forecast",0,SUMIF('Dept. Cost Actuals'!$E$7:$E$176,"*bonus*",'Dept. Cost Actuals'!BT$1225:BT$1394))</f>
        <v>0</v>
      </c>
      <c r="BQ16" s="668">
        <f>IF(BQ$4="forecast",0,SUMIF('Dept. Cost Actuals'!$E$7:$E$176,"*bonus*",'Dept. Cost Actuals'!BU$1225:BU$1394))</f>
        <v>0</v>
      </c>
      <c r="BR16" s="668">
        <f>IF(BR$4="forecast",0,SUMIF('Dept. Cost Actuals'!$E$7:$E$176,"*bonus*",'Dept. Cost Actuals'!BV$1225:BV$1394))</f>
        <v>0</v>
      </c>
      <c r="BS16" s="668">
        <f>IF(BS$4="forecast",0,SUMIF('Dept. Cost Actuals'!$E$7:$E$176,"*bonus*",'Dept. Cost Actuals'!BW$1225:BW$1394))</f>
        <v>0</v>
      </c>
      <c r="BT16" s="668">
        <f>IF(BT$4="forecast",0,SUMIF('Dept. Cost Actuals'!$E$7:$E$176,"*bonus*",'Dept. Cost Actuals'!BX$1225:BX$1394))</f>
        <v>0</v>
      </c>
      <c r="BU16" s="668">
        <f>IF(BU$4="forecast",0,SUMIF('Dept. Cost Actuals'!$E$7:$E$176,"*bonus*",'Dept. Cost Actuals'!BY$1225:BY$1394))</f>
        <v>0</v>
      </c>
      <c r="BV16" s="668">
        <f>IF(BV$4="forecast",0,SUMIF('Dept. Cost Actuals'!$E$7:$E$176,"*bonus*",'Dept. Cost Actuals'!BZ$1225:BZ$1394))</f>
        <v>0</v>
      </c>
    </row>
    <row r="17" spans="2:74" s="626" customFormat="1" ht="12.75" x14ac:dyDescent="0.2">
      <c r="B17" s="791" t="s">
        <v>932</v>
      </c>
      <c r="C17" s="1210">
        <f t="shared" ref="C17:AA17" si="9">SUM(C15:C16)</f>
        <v>0</v>
      </c>
      <c r="D17" s="1210">
        <f t="shared" si="9"/>
        <v>0</v>
      </c>
      <c r="E17" s="1210">
        <f t="shared" si="9"/>
        <v>0</v>
      </c>
      <c r="F17" s="1210">
        <f t="shared" si="9"/>
        <v>0</v>
      </c>
      <c r="G17" s="1210">
        <f t="shared" si="9"/>
        <v>0</v>
      </c>
      <c r="H17" s="1210">
        <f t="shared" si="9"/>
        <v>0</v>
      </c>
      <c r="I17" s="1210">
        <f t="shared" si="9"/>
        <v>0</v>
      </c>
      <c r="J17" s="1210">
        <f t="shared" si="9"/>
        <v>0</v>
      </c>
      <c r="K17" s="1210">
        <f t="shared" si="9"/>
        <v>0</v>
      </c>
      <c r="L17" s="1210">
        <f t="shared" si="9"/>
        <v>0</v>
      </c>
      <c r="M17" s="1210">
        <f t="shared" si="9"/>
        <v>0</v>
      </c>
      <c r="N17" s="1210">
        <f t="shared" si="9"/>
        <v>0</v>
      </c>
      <c r="O17" s="1210">
        <f t="shared" si="9"/>
        <v>0</v>
      </c>
      <c r="P17" s="1210">
        <f t="shared" si="9"/>
        <v>0</v>
      </c>
      <c r="Q17" s="1210">
        <f t="shared" si="9"/>
        <v>0</v>
      </c>
      <c r="R17" s="1210">
        <f t="shared" si="9"/>
        <v>0</v>
      </c>
      <c r="S17" s="1210">
        <f t="shared" si="9"/>
        <v>0</v>
      </c>
      <c r="T17" s="1210">
        <f t="shared" si="9"/>
        <v>0</v>
      </c>
      <c r="U17" s="1210">
        <f t="shared" si="9"/>
        <v>0</v>
      </c>
      <c r="V17" s="1210">
        <f t="shared" si="9"/>
        <v>0</v>
      </c>
      <c r="W17" s="1210">
        <f t="shared" si="9"/>
        <v>0</v>
      </c>
      <c r="X17" s="1210">
        <f t="shared" si="9"/>
        <v>0</v>
      </c>
      <c r="Y17" s="1210">
        <f t="shared" si="9"/>
        <v>0</v>
      </c>
      <c r="Z17" s="1210">
        <f t="shared" si="9"/>
        <v>0</v>
      </c>
      <c r="AA17" s="1210">
        <f t="shared" si="9"/>
        <v>0</v>
      </c>
      <c r="AB17" s="1210">
        <f t="shared" ref="AB17" si="10">SUM(AB15:AB16)</f>
        <v>0</v>
      </c>
      <c r="AC17" s="1210">
        <f t="shared" ref="AC17:BV17" si="11">SUM(AC15:AC16)</f>
        <v>0</v>
      </c>
      <c r="AD17" s="1210">
        <f t="shared" si="11"/>
        <v>0</v>
      </c>
      <c r="AE17" s="1210">
        <f t="shared" si="11"/>
        <v>0</v>
      </c>
      <c r="AF17" s="1210">
        <f t="shared" si="11"/>
        <v>0</v>
      </c>
      <c r="AG17" s="1210">
        <f t="shared" si="11"/>
        <v>0</v>
      </c>
      <c r="AH17" s="1210">
        <f t="shared" si="11"/>
        <v>0</v>
      </c>
      <c r="AI17" s="1210">
        <f t="shared" si="11"/>
        <v>0</v>
      </c>
      <c r="AJ17" s="1210">
        <f t="shared" si="11"/>
        <v>0</v>
      </c>
      <c r="AK17" s="1210">
        <f t="shared" si="11"/>
        <v>0</v>
      </c>
      <c r="AL17" s="1210">
        <f t="shared" si="11"/>
        <v>0</v>
      </c>
      <c r="AM17" s="1210">
        <f t="shared" si="11"/>
        <v>0</v>
      </c>
      <c r="AN17" s="1210">
        <f t="shared" si="11"/>
        <v>0</v>
      </c>
      <c r="AO17" s="1210">
        <f t="shared" si="11"/>
        <v>0</v>
      </c>
      <c r="AP17" s="1210">
        <f t="shared" si="11"/>
        <v>0</v>
      </c>
      <c r="AQ17" s="1210">
        <f t="shared" si="11"/>
        <v>0</v>
      </c>
      <c r="AR17" s="1210">
        <f t="shared" si="11"/>
        <v>0</v>
      </c>
      <c r="AS17" s="1210">
        <f t="shared" si="11"/>
        <v>0</v>
      </c>
      <c r="AT17" s="1210">
        <f t="shared" si="11"/>
        <v>0</v>
      </c>
      <c r="AU17" s="1210">
        <f t="shared" si="11"/>
        <v>0</v>
      </c>
      <c r="AV17" s="1210">
        <f t="shared" si="11"/>
        <v>0</v>
      </c>
      <c r="AW17" s="1210">
        <f t="shared" si="11"/>
        <v>0</v>
      </c>
      <c r="AX17" s="1210">
        <f t="shared" si="11"/>
        <v>0</v>
      </c>
      <c r="AY17" s="1210">
        <f t="shared" si="11"/>
        <v>0</v>
      </c>
      <c r="AZ17" s="1210">
        <f t="shared" si="11"/>
        <v>0</v>
      </c>
      <c r="BA17" s="1210">
        <f t="shared" si="11"/>
        <v>0</v>
      </c>
      <c r="BB17" s="1210">
        <f t="shared" si="11"/>
        <v>0</v>
      </c>
      <c r="BC17" s="1210">
        <f t="shared" si="11"/>
        <v>0</v>
      </c>
      <c r="BD17" s="1210">
        <f t="shared" si="11"/>
        <v>0</v>
      </c>
      <c r="BE17" s="1210">
        <f t="shared" si="11"/>
        <v>0</v>
      </c>
      <c r="BF17" s="1210">
        <f t="shared" si="11"/>
        <v>0</v>
      </c>
      <c r="BG17" s="1210">
        <f t="shared" si="11"/>
        <v>0</v>
      </c>
      <c r="BH17" s="1210">
        <f t="shared" si="11"/>
        <v>0</v>
      </c>
      <c r="BI17" s="1210">
        <f t="shared" si="11"/>
        <v>0</v>
      </c>
      <c r="BJ17" s="1210">
        <f t="shared" si="11"/>
        <v>0</v>
      </c>
      <c r="BK17" s="1210">
        <f t="shared" si="11"/>
        <v>0</v>
      </c>
      <c r="BL17" s="1210">
        <f t="shared" si="11"/>
        <v>0</v>
      </c>
      <c r="BM17" s="1210">
        <f t="shared" si="11"/>
        <v>0</v>
      </c>
      <c r="BN17" s="1210">
        <f t="shared" si="11"/>
        <v>0</v>
      </c>
      <c r="BO17" s="1210">
        <f t="shared" si="11"/>
        <v>0</v>
      </c>
      <c r="BP17" s="1210">
        <f t="shared" si="11"/>
        <v>0</v>
      </c>
      <c r="BQ17" s="1210">
        <f t="shared" si="11"/>
        <v>0</v>
      </c>
      <c r="BR17" s="1210">
        <f t="shared" si="11"/>
        <v>0</v>
      </c>
      <c r="BS17" s="1210">
        <f t="shared" si="11"/>
        <v>0</v>
      </c>
      <c r="BT17" s="1210">
        <f t="shared" si="11"/>
        <v>0</v>
      </c>
      <c r="BU17" s="1210">
        <f t="shared" si="11"/>
        <v>0</v>
      </c>
      <c r="BV17" s="1210">
        <f t="shared" si="11"/>
        <v>0</v>
      </c>
    </row>
    <row r="18" spans="2:74" s="626" customFormat="1" ht="12.75" x14ac:dyDescent="0.2">
      <c r="B18" s="794" t="s">
        <v>1341</v>
      </c>
      <c r="C18" s="991">
        <f>IF(C$4="forecast",C14*0.12,SUMIF('Dept. Cost Actuals'!$E$7:$E$176,"*taxes*",'Dept. Cost Actuals'!G$1225:G$1394))</f>
        <v>-704.69</v>
      </c>
      <c r="D18" s="991">
        <f>IF(D$4="forecast",D14*0.12,SUMIF('Dept. Cost Actuals'!$E$7:$E$176,"*taxes*",'Dept. Cost Actuals'!H$1225:H$1394))</f>
        <v>0.05</v>
      </c>
      <c r="E18" s="991">
        <f>IF(E$4="forecast",E14*0.12,SUMIF('Dept. Cost Actuals'!$E$7:$E$176,"*taxes*",'Dept. Cost Actuals'!I$1225:I$1394))</f>
        <v>-5441.5059982256089</v>
      </c>
      <c r="F18" s="991">
        <f>IF(F$4="forecast",F14*0.12,SUMIF('Dept. Cost Actuals'!$E$7:$E$176,"*taxes*",'Dept. Cost Actuals'!J$1225:J$1394))</f>
        <v>4689.0231667761482</v>
      </c>
      <c r="G18" s="991">
        <f>IF(G$4="forecast",G14*0.12,SUMIF('Dept. Cost Actuals'!$E$7:$E$176,"*taxes*",'Dept. Cost Actuals'!K$1225:K$1394))</f>
        <v>0</v>
      </c>
      <c r="H18" s="991">
        <f>IF(H$4="forecast",H14*0.12,SUMIF('Dept. Cost Actuals'!$E$7:$E$176,"*taxes*",'Dept. Cost Actuals'!L$1225:L$1394))</f>
        <v>2869.411553375126</v>
      </c>
      <c r="I18" s="991">
        <f>IF(I$4="forecast",I14*0.12,SUMIF('Dept. Cost Actuals'!$E$7:$E$176,"*taxes*",'Dept. Cost Actuals'!M$1225:M$1394))</f>
        <v>8760.11</v>
      </c>
      <c r="J18" s="991">
        <f>IF(J$4="forecast",J14*0.12,SUMIF('Dept. Cost Actuals'!$E$7:$E$176,"*taxes*",'Dept. Cost Actuals'!N$1225:N$1394))</f>
        <v>-0.04</v>
      </c>
      <c r="K18" s="991">
        <f>IF(K$4="forecast",K14*0.12,SUMIF('Dept. Cost Actuals'!$E$7:$E$176,"*taxes*",'Dept. Cost Actuals'!O$1225:O$1394))</f>
        <v>500.06</v>
      </c>
      <c r="L18" s="991">
        <f>IF(L$4="forecast",L14*0.12,SUMIF('Dept. Cost Actuals'!$E$7:$E$176,"*taxes*",'Dept. Cost Actuals'!P$1225:P$1394))</f>
        <v>-0.01</v>
      </c>
      <c r="M18" s="991">
        <f>IF(M$4="forecast",M14*0.12,SUMIF('Dept. Cost Actuals'!$E$7:$E$176,"*taxes*",'Dept. Cost Actuals'!Q$1225:Q$1394))</f>
        <v>-0.05</v>
      </c>
      <c r="N18" s="991">
        <f>IF(N$4="forecast",N14*0.12,SUMIF('Dept. Cost Actuals'!$E$7:$E$176,"*taxes*",'Dept. Cost Actuals'!R$1225:R$1394))</f>
        <v>2285.2652781623701</v>
      </c>
      <c r="O18" s="991">
        <f>IF(O$4="forecast",O14*0.12,SUMIF('Dept. Cost Actuals'!$E$7:$E$176,"*taxes*",'Dept. Cost Actuals'!S$1225:S$1394))</f>
        <v>1334.77</v>
      </c>
      <c r="P18" s="991">
        <f>IF(P$4="forecast",P14*0.12,SUMIF('Dept. Cost Actuals'!$E$7:$E$176,"*taxes*",'Dept. Cost Actuals'!T$1225:T$1394))</f>
        <v>327.05999999999995</v>
      </c>
      <c r="Q18" s="991">
        <f>IF(Q$4="forecast",Q14*0.12,SUMIF('Dept. Cost Actuals'!$E$7:$E$176,"*taxes*",'Dept. Cost Actuals'!U$1225:U$1394))</f>
        <v>0</v>
      </c>
      <c r="R18" s="991">
        <f>IF(R$4="forecast",R14*0.12,SUMIF('Dept. Cost Actuals'!$E$7:$E$176,"*taxes*",'Dept. Cost Actuals'!V$1225:V$1394))</f>
        <v>2396</v>
      </c>
      <c r="S18" s="991">
        <f>IF(S$4="forecast",S14*0.12,SUMIF('Dept. Cost Actuals'!$E$7:$E$176,"*taxes*",'Dept. Cost Actuals'!W$1225:W$1394))</f>
        <v>21</v>
      </c>
      <c r="T18" s="991">
        <f>IF(T$4="forecast",T14*0.12,SUMIF('Dept. Cost Actuals'!$E$7:$E$176,"*taxes*",'Dept. Cost Actuals'!X$1225:X$1394))</f>
        <v>5980.51</v>
      </c>
      <c r="U18" s="991">
        <f>IF(U$4="forecast",U14*0.12,SUMIF('Dept. Cost Actuals'!$E$7:$E$176,"*taxes*",'Dept. Cost Actuals'!Y$1225:Y$1394))</f>
        <v>747.29</v>
      </c>
      <c r="V18" s="991">
        <f>IF(V$4="forecast",V14*0.12,SUMIF('Dept. Cost Actuals'!$E$7:$E$176,"*taxes*",'Dept. Cost Actuals'!Z$1225:Z$1394))</f>
        <v>747.28</v>
      </c>
      <c r="W18" s="991">
        <f>IF(W$4="forecast",W14*0.12,SUMIF('Dept. Cost Actuals'!$E$7:$E$176,"*taxes*",'Dept. Cost Actuals'!AA$1225:AA$1394))</f>
        <v>747.29</v>
      </c>
      <c r="X18" s="991">
        <f>IF(X$4="forecast",X14*0.12,SUMIF('Dept. Cost Actuals'!$E$7:$E$176,"*taxes*",'Dept. Cost Actuals'!AB$1225:AB$1394))</f>
        <v>-7359.72</v>
      </c>
      <c r="Y18" s="991">
        <f>IF(Y$4="forecast",Y14*0.12,SUMIF('Dept. Cost Actuals'!$E$7:$E$176,"*taxes*",'Dept. Cost Actuals'!AC$1225:AC$1394))</f>
        <v>763.31</v>
      </c>
      <c r="Z18" s="991">
        <f>IF(Z$4="forecast",Z14*0.12,SUMIF('Dept. Cost Actuals'!$E$7:$E$176,"*taxes*",'Dept. Cost Actuals'!AD$1225:AD$1394))</f>
        <v>755.3</v>
      </c>
      <c r="AA18" s="991">
        <f>IF(AA$4="forecast",AA14*0.12,SUMIF('Dept. Cost Actuals'!$E$7:$E$176,"*taxes*",'Dept. Cost Actuals'!AE$1225:AE$1394))</f>
        <v>4343.05</v>
      </c>
      <c r="AB18" s="991">
        <f>IF(AB$4="forecast",AB14*0.12,SUMIF('Dept. Cost Actuals'!$E$7:$E$176,"*taxes*",'Dept. Cost Actuals'!AF$1225:AF$1394))</f>
        <v>-12984.460000000001</v>
      </c>
      <c r="AC18" s="991">
        <f>IF(AC$4="forecast",AC14*0.12,SUMIF('Dept. Cost Actuals'!$E$7:$E$176,"*taxes*",'Dept. Cost Actuals'!AG$1225:AG$1394))</f>
        <v>21565.29</v>
      </c>
      <c r="AD18" s="991">
        <f>IF(AD$4="forecast",AD14*0.12,SUMIF('Dept. Cost Actuals'!$E$7:$E$176,"*taxes*",'Dept. Cost Actuals'!AH$1225:AH$1394))</f>
        <v>0</v>
      </c>
      <c r="AE18" s="991">
        <f>IF(AE$4="forecast",AE14*0.12,SUMIF('Dept. Cost Actuals'!$E$7:$E$176,"*taxes*",'Dept. Cost Actuals'!AI$1225:AI$1394))</f>
        <v>0</v>
      </c>
      <c r="AF18" s="991">
        <f>IF(AF$4="forecast",AF14*0.12,SUMIF('Dept. Cost Actuals'!$E$7:$E$176,"*taxes*",'Dept. Cost Actuals'!AJ$1225:AJ$1394))</f>
        <v>0</v>
      </c>
      <c r="AG18" s="991">
        <f>IF(AG$4="forecast",AG14*0.12,SUMIF('Dept. Cost Actuals'!$E$7:$E$176,"*taxes*",'Dept. Cost Actuals'!AK$1225:AK$1394))</f>
        <v>0</v>
      </c>
      <c r="AH18" s="991">
        <f>IF(AH$4="forecast",AH14*0.12,SUMIF('Dept. Cost Actuals'!$E$7:$E$176,"*taxes*",'Dept. Cost Actuals'!AL$1225:AL$1394))</f>
        <v>0</v>
      </c>
      <c r="AI18" s="991">
        <f>IF(AI$4="forecast",AI14*0.12,SUMIF('Dept. Cost Actuals'!$E$7:$E$176,"*taxes*",'Dept. Cost Actuals'!AM$1225:AM$1394))</f>
        <v>0</v>
      </c>
      <c r="AJ18" s="991">
        <f>IF(AJ$4="forecast",AJ14*0.12,SUMIF('Dept. Cost Actuals'!$E$7:$E$176,"*taxes*",'Dept. Cost Actuals'!AN$1225:AN$1394))</f>
        <v>0</v>
      </c>
      <c r="AK18" s="991">
        <f>IF(AK$4="forecast",AK14*0.12,SUMIF('Dept. Cost Actuals'!$E$7:$E$176,"*taxes*",'Dept. Cost Actuals'!AO$1225:AO$1394))</f>
        <v>0</v>
      </c>
      <c r="AL18" s="991">
        <f>IF(AL$4="forecast",AL14*0.12,SUMIF('Dept. Cost Actuals'!$E$7:$E$176,"*taxes*",'Dept. Cost Actuals'!AP$1225:AP$1394))</f>
        <v>0</v>
      </c>
      <c r="AM18" s="991">
        <f>IF(AM$4="forecast",AM14*0.12,SUMIF('Dept. Cost Actuals'!$E$7:$E$176,"*taxes*",'Dept. Cost Actuals'!AQ$1225:AQ$1394))</f>
        <v>0</v>
      </c>
      <c r="AN18" s="991">
        <f>IF(AN$4="forecast",AN14*0.12,SUMIF('Dept. Cost Actuals'!$E$7:$E$176,"*taxes*",'Dept. Cost Actuals'!AR$1225:AR$1394))</f>
        <v>0</v>
      </c>
      <c r="AO18" s="991">
        <f>IF(AO$4="forecast",AO14*0.12,SUMIF('Dept. Cost Actuals'!$E$7:$E$176,"*taxes*",'Dept. Cost Actuals'!AS$1225:AS$1394))</f>
        <v>0</v>
      </c>
      <c r="AP18" s="991">
        <f>IF(AP$4="forecast",AP14*0.12,SUMIF('Dept. Cost Actuals'!$E$7:$E$176,"*taxes*",'Dept. Cost Actuals'!AT$1225:AT$1394))</f>
        <v>0</v>
      </c>
      <c r="AQ18" s="991">
        <f>IF(AQ$4="forecast",AQ14*0.12,SUMIF('Dept. Cost Actuals'!$E$7:$E$176,"*taxes*",'Dept. Cost Actuals'!AU$1225:AU$1394))</f>
        <v>0</v>
      </c>
      <c r="AR18" s="991">
        <f>IF(AR$4="forecast",AR14*0.12,SUMIF('Dept. Cost Actuals'!$E$7:$E$176,"*taxes*",'Dept. Cost Actuals'!AV$1225:AV$1394))</f>
        <v>0</v>
      </c>
      <c r="AS18" s="991">
        <f>IF(AS$4="forecast",AS14*0.12,SUMIF('Dept. Cost Actuals'!$E$7:$E$176,"*taxes*",'Dept. Cost Actuals'!AW$1225:AW$1394))</f>
        <v>0</v>
      </c>
      <c r="AT18" s="991">
        <f>IF(AT$4="forecast",AT14*0.12,SUMIF('Dept. Cost Actuals'!$E$7:$E$176,"*taxes*",'Dept. Cost Actuals'!AX$1225:AX$1394))</f>
        <v>0</v>
      </c>
      <c r="AU18" s="991">
        <f>IF(AU$4="forecast",AU14*0.12,SUMIF('Dept. Cost Actuals'!$E$7:$E$176,"*taxes*",'Dept. Cost Actuals'!AY$1225:AY$1394))</f>
        <v>0</v>
      </c>
      <c r="AV18" s="991">
        <f>IF(AV$4="forecast",AV14*0.12,SUMIF('Dept. Cost Actuals'!$E$7:$E$176,"*taxes*",'Dept. Cost Actuals'!AZ$1225:AZ$1394))</f>
        <v>0</v>
      </c>
      <c r="AW18" s="991">
        <f>IF(AW$4="forecast",AW14*0.12,SUMIF('Dept. Cost Actuals'!$E$7:$E$176,"*taxes*",'Dept. Cost Actuals'!BA$1225:BA$1394))</f>
        <v>0</v>
      </c>
      <c r="AX18" s="991">
        <f>IF(AX$4="forecast",AX14*0.12,SUMIF('Dept. Cost Actuals'!$E$7:$E$176,"*taxes*",'Dept. Cost Actuals'!BB$1225:BB$1394))</f>
        <v>0</v>
      </c>
      <c r="AY18" s="991">
        <f>IF(AY$4="forecast",AY14*0.12,SUMIF('Dept. Cost Actuals'!$E$7:$E$176,"*taxes*",'Dept. Cost Actuals'!BC$1225:BC$1394))</f>
        <v>0</v>
      </c>
      <c r="AZ18" s="991">
        <f>IF(AZ$4="forecast",AZ14*0.12,SUMIF('Dept. Cost Actuals'!$E$7:$E$176,"*taxes*",'Dept. Cost Actuals'!BD$1225:BD$1394))</f>
        <v>0</v>
      </c>
      <c r="BA18" s="991">
        <f>IF(BA$4="forecast",BA14*0.12,SUMIF('Dept. Cost Actuals'!$E$7:$E$176,"*taxes*",'Dept. Cost Actuals'!BE$1225:BE$1394))</f>
        <v>0</v>
      </c>
      <c r="BB18" s="991">
        <f>IF(BB$4="forecast",BB14*0.12,SUMIF('Dept. Cost Actuals'!$E$7:$E$176,"*taxes*",'Dept. Cost Actuals'!BF$1225:BF$1394))</f>
        <v>0</v>
      </c>
      <c r="BC18" s="991">
        <f>IF(BC$4="forecast",BC14*0.12,SUMIF('Dept. Cost Actuals'!$E$7:$E$176,"*taxes*",'Dept. Cost Actuals'!BG$1225:BG$1394))</f>
        <v>0</v>
      </c>
      <c r="BD18" s="991">
        <f>IF(BD$4="forecast",BD14*0.12,SUMIF('Dept. Cost Actuals'!$E$7:$E$176,"*taxes*",'Dept. Cost Actuals'!BH$1225:BH$1394))</f>
        <v>0</v>
      </c>
      <c r="BE18" s="991">
        <f>IF(BE$4="forecast",BE14*0.12,SUMIF('Dept. Cost Actuals'!$E$7:$E$176,"*taxes*",'Dept. Cost Actuals'!BI$1225:BI$1394))</f>
        <v>0</v>
      </c>
      <c r="BF18" s="991">
        <f>IF(BF$4="forecast",BF14*0.12,SUMIF('Dept. Cost Actuals'!$E$7:$E$176,"*taxes*",'Dept. Cost Actuals'!BJ$1225:BJ$1394))</f>
        <v>0</v>
      </c>
      <c r="BG18" s="991">
        <f>IF(BG$4="forecast",BG14*0.12,SUMIF('Dept. Cost Actuals'!$E$7:$E$176,"*taxes*",'Dept. Cost Actuals'!BK$1225:BK$1394))</f>
        <v>0</v>
      </c>
      <c r="BH18" s="991">
        <f>IF(BH$4="forecast",BH14*0.12,SUMIF('Dept. Cost Actuals'!$E$7:$E$176,"*taxes*",'Dept. Cost Actuals'!BL$1225:BL$1394))</f>
        <v>0</v>
      </c>
      <c r="BI18" s="991">
        <f>IF(BI$4="forecast",BI14*0.12,SUMIF('Dept. Cost Actuals'!$E$7:$E$176,"*taxes*",'Dept. Cost Actuals'!BM$1225:BM$1394))</f>
        <v>0</v>
      </c>
      <c r="BJ18" s="991">
        <f>IF(BJ$4="forecast",BJ14*0.12,SUMIF('Dept. Cost Actuals'!$E$7:$E$176,"*taxes*",'Dept. Cost Actuals'!BN$1225:BN$1394))</f>
        <v>0</v>
      </c>
      <c r="BK18" s="991">
        <f>IF(BK$4="forecast",BK14*0.12,SUMIF('Dept. Cost Actuals'!$E$7:$E$176,"*taxes*",'Dept. Cost Actuals'!BO$1225:BO$1394))</f>
        <v>0</v>
      </c>
      <c r="BL18" s="991">
        <f>IF(BL$4="forecast",BL14*0.12,SUMIF('Dept. Cost Actuals'!$E$7:$E$176,"*taxes*",'Dept. Cost Actuals'!BP$1225:BP$1394))</f>
        <v>0</v>
      </c>
      <c r="BM18" s="991">
        <f>IF(BM$4="forecast",BM14*0.12,SUMIF('Dept. Cost Actuals'!$E$7:$E$176,"*taxes*",'Dept. Cost Actuals'!BQ$1225:BQ$1394))</f>
        <v>0</v>
      </c>
      <c r="BN18" s="991">
        <f>IF(BN$4="forecast",BN14*0.12,SUMIF('Dept. Cost Actuals'!$E$7:$E$176,"*taxes*",'Dept. Cost Actuals'!BR$1225:BR$1394))</f>
        <v>0</v>
      </c>
      <c r="BO18" s="991">
        <f>IF(BO$4="forecast",BO14*0.12,SUMIF('Dept. Cost Actuals'!$E$7:$E$176,"*taxes*",'Dept. Cost Actuals'!BS$1225:BS$1394))</f>
        <v>0</v>
      </c>
      <c r="BP18" s="991">
        <f>IF(BP$4="forecast",BP14*0.12,SUMIF('Dept. Cost Actuals'!$E$7:$E$176,"*taxes*",'Dept. Cost Actuals'!BT$1225:BT$1394))</f>
        <v>0</v>
      </c>
      <c r="BQ18" s="991">
        <f>IF(BQ$4="forecast",BQ14*0.12,SUMIF('Dept. Cost Actuals'!$E$7:$E$176,"*taxes*",'Dept. Cost Actuals'!BU$1225:BU$1394))</f>
        <v>0</v>
      </c>
      <c r="BR18" s="991">
        <f>IF(BR$4="forecast",BR14*0.12,SUMIF('Dept. Cost Actuals'!$E$7:$E$176,"*taxes*",'Dept. Cost Actuals'!BV$1225:BV$1394))</f>
        <v>0</v>
      </c>
      <c r="BS18" s="991">
        <f>IF(BS$4="forecast",BS14*0.12,SUMIF('Dept. Cost Actuals'!$E$7:$E$176,"*taxes*",'Dept. Cost Actuals'!BW$1225:BW$1394))</f>
        <v>0</v>
      </c>
      <c r="BT18" s="991">
        <f>IF(BT$4="forecast",BT14*0.12,SUMIF('Dept. Cost Actuals'!$E$7:$E$176,"*taxes*",'Dept. Cost Actuals'!BX$1225:BX$1394))</f>
        <v>0</v>
      </c>
      <c r="BU18" s="991">
        <f>IF(BU$4="forecast",BU14*0.12,SUMIF('Dept. Cost Actuals'!$E$7:$E$176,"*taxes*",'Dept. Cost Actuals'!BY$1225:BY$1394))</f>
        <v>0</v>
      </c>
      <c r="BV18" s="991">
        <f>IF(BV$4="forecast",BV14*0.12,SUMIF('Dept. Cost Actuals'!$E$7:$E$176,"*taxes*",'Dept. Cost Actuals'!BZ$1225:BZ$1394))</f>
        <v>0</v>
      </c>
    </row>
    <row r="19" spans="2:74" s="626" customFormat="1" ht="12.75" x14ac:dyDescent="0.2">
      <c r="B19" s="794" t="s">
        <v>1349</v>
      </c>
      <c r="C19" s="991">
        <f>IF(C$4="forecast",((C14/251)+B$19),SUMIF('Dept. Cost Actuals'!$E$7:$E$176,"*vacation*",'Dept. Cost Actuals'!G$1225:G$1394))</f>
        <v>0</v>
      </c>
      <c r="D19" s="991">
        <f>IF(D$4="forecast",((D14/251)+C$19),SUMIF('Dept. Cost Actuals'!$E$7:$E$176,"*vacation*",'Dept. Cost Actuals'!H$1225:H$1394))</f>
        <v>0</v>
      </c>
      <c r="E19" s="991">
        <f>IF(E$4="forecast",((E14/251)+D$19),SUMIF('Dept. Cost Actuals'!$E$7:$E$176,"*vacation*",'Dept. Cost Actuals'!I$1225:I$1394))</f>
        <v>0</v>
      </c>
      <c r="F19" s="991">
        <f>IF(F$4="forecast",((F14/251)+E$19),SUMIF('Dept. Cost Actuals'!$E$7:$E$176,"*vacation*",'Dept. Cost Actuals'!J$1225:J$1394))</f>
        <v>0</v>
      </c>
      <c r="G19" s="991">
        <f>IF(G$4="forecast",((G14/251)+F$19),SUMIF('Dept. Cost Actuals'!$E$7:$E$176,"*vacation*",'Dept. Cost Actuals'!K$1225:K$1394))</f>
        <v>0</v>
      </c>
      <c r="H19" s="991">
        <f>IF(H$4="forecast",((H14/251)+G$19),SUMIF('Dept. Cost Actuals'!$E$7:$E$176,"*vacation*",'Dept. Cost Actuals'!L$1225:L$1394))</f>
        <v>0</v>
      </c>
      <c r="I19" s="991">
        <f>IF(I$4="forecast",((I14/251)+H$19),SUMIF('Dept. Cost Actuals'!$E$7:$E$176,"*vacation*",'Dept. Cost Actuals'!M$1225:M$1394))</f>
        <v>0</v>
      </c>
      <c r="J19" s="991">
        <f>IF(J$4="forecast",((J14/251)+I$19),SUMIF('Dept. Cost Actuals'!$E$7:$E$176,"*vacation*",'Dept. Cost Actuals'!N$1225:N$1394))</f>
        <v>0</v>
      </c>
      <c r="K19" s="991">
        <f>IF(K$4="forecast",((K14/251)+J$19),SUMIF('Dept. Cost Actuals'!$E$7:$E$176,"*vacation*",'Dept. Cost Actuals'!O$1225:O$1394))</f>
        <v>0</v>
      </c>
      <c r="L19" s="991">
        <f>IF(L$4="forecast",((L14/251)+K$19),SUMIF('Dept. Cost Actuals'!$E$7:$E$176,"*vacation*",'Dept. Cost Actuals'!P$1225:P$1394))</f>
        <v>0</v>
      </c>
      <c r="M19" s="991">
        <f>IF(M$4="forecast",((M14/251)+L$19),SUMIF('Dept. Cost Actuals'!$E$7:$E$176,"*vacation*",'Dept. Cost Actuals'!Q$1225:Q$1394))</f>
        <v>0</v>
      </c>
      <c r="N19" s="991">
        <f>IF(N$4="forecast",((N14/251)+M$19),SUMIF('Dept. Cost Actuals'!$E$7:$E$176,"*vacation*",'Dept. Cost Actuals'!R$1225:R$1394))</f>
        <v>0</v>
      </c>
      <c r="O19" s="991">
        <f>IF(O$4="forecast",((O14/251)+N$19),SUMIF('Dept. Cost Actuals'!$E$7:$E$176,"*vacation*",'Dept. Cost Actuals'!S$1225:S$1394))</f>
        <v>0</v>
      </c>
      <c r="P19" s="991">
        <f>IF(P$4="forecast",((P14/251)+O$19),SUMIF('Dept. Cost Actuals'!$E$7:$E$176,"*vacation*",'Dept. Cost Actuals'!T$1225:T$1394))</f>
        <v>0</v>
      </c>
      <c r="Q19" s="991">
        <f>IF(Q$4="forecast",((Q14/251)+P$19),SUMIF('Dept. Cost Actuals'!$E$7:$E$176,"*vacation*",'Dept. Cost Actuals'!U$1225:U$1394))</f>
        <v>0</v>
      </c>
      <c r="R19" s="991">
        <f>IF(R$4="forecast",((R14/251)+Q$19),SUMIF('Dept. Cost Actuals'!$E$7:$E$176,"*vacation*",'Dept. Cost Actuals'!V$1225:V$1394))</f>
        <v>0</v>
      </c>
      <c r="S19" s="991">
        <f>IF(S$4="forecast",((S14/251)+R$19),SUMIF('Dept. Cost Actuals'!$E$7:$E$176,"*vacation*",'Dept. Cost Actuals'!W$1225:W$1394))</f>
        <v>0</v>
      </c>
      <c r="T19" s="991">
        <f>IF(T$4="forecast",((T14/251)+S$19),SUMIF('Dept. Cost Actuals'!$E$7:$E$176,"*vacation*",'Dept. Cost Actuals'!X$1225:X$1394))</f>
        <v>0</v>
      </c>
      <c r="U19" s="991">
        <f>IF(U$4="forecast",((U14/251)+T$19),SUMIF('Dept. Cost Actuals'!$E$7:$E$176,"*vacation*",'Dept. Cost Actuals'!Y$1225:Y$1394))</f>
        <v>0</v>
      </c>
      <c r="V19" s="991">
        <f>IF(V$4="forecast",((V14/251)+U$19),SUMIF('Dept. Cost Actuals'!$E$7:$E$176,"*vacation*",'Dept. Cost Actuals'!Z$1225:Z$1394))</f>
        <v>0</v>
      </c>
      <c r="W19" s="991">
        <f>IF(W$4="forecast",((W14/251)+V$19),SUMIF('Dept. Cost Actuals'!$E$7:$E$176,"*vacation*",'Dept. Cost Actuals'!AA$1225:AA$1394))</f>
        <v>0</v>
      </c>
      <c r="X19" s="991">
        <f>IF(X$4="forecast",((X14/251)+W$19),SUMIF('Dept. Cost Actuals'!$E$7:$E$176,"*vacation*",'Dept. Cost Actuals'!AB$1225:AB$1394))</f>
        <v>0</v>
      </c>
      <c r="Y19" s="991">
        <f>IF(Y$4="forecast",((Y14/251)+X$19),SUMIF('Dept. Cost Actuals'!$E$7:$E$176,"*vacation*",'Dept. Cost Actuals'!AC$1225:AC$1394))</f>
        <v>0</v>
      </c>
      <c r="Z19" s="991">
        <f>IF(Z$4="forecast",((Z14/251)+Y$19),SUMIF('Dept. Cost Actuals'!$E$7:$E$176,"*vacation*",'Dept. Cost Actuals'!AD$1225:AD$1394))</f>
        <v>0</v>
      </c>
      <c r="AA19" s="991">
        <f>IF(AA$4="forecast",((AA14/251)+Z$19),SUMIF('Dept. Cost Actuals'!$E$7:$E$176,"*vacation*",'Dept. Cost Actuals'!AE$1225:AE$1394))</f>
        <v>0</v>
      </c>
      <c r="AB19" s="991">
        <f>IF(AB$4="forecast",((AB14/251)+AA$19),SUMIF('Dept. Cost Actuals'!$E$7:$E$176,"*vacation*",'Dept. Cost Actuals'!AF$1225:AF$1394))</f>
        <v>0</v>
      </c>
      <c r="AC19" s="991">
        <f>IF(AC$4="forecast",((AC14/251)+AB$19),SUMIF('Dept. Cost Actuals'!$E$7:$E$176,"*vacation*",'Dept. Cost Actuals'!AG$1225:AG$1394))</f>
        <v>0</v>
      </c>
      <c r="AD19" s="991">
        <f>IF(AD$4="forecast",((AD14/251)+AC$19),SUMIF('Dept. Cost Actuals'!$E$7:$E$176,"*vacation*",'Dept. Cost Actuals'!AH$1225:AH$1394))</f>
        <v>0</v>
      </c>
      <c r="AE19" s="991">
        <f>IF(AE$4="forecast",((AE14/251)+AD$19),SUMIF('Dept. Cost Actuals'!$E$7:$E$176,"*vacation*",'Dept. Cost Actuals'!AI$1225:AI$1394))</f>
        <v>0</v>
      </c>
      <c r="AF19" s="991">
        <f>IF(AF$4="forecast",((AF14/251)+AE$19),SUMIF('Dept. Cost Actuals'!$E$7:$E$176,"*vacation*",'Dept. Cost Actuals'!AJ$1225:AJ$1394))</f>
        <v>0</v>
      </c>
      <c r="AG19" s="991">
        <f>IF(AG$4="forecast",((AG14/251)+AF$19),SUMIF('Dept. Cost Actuals'!$E$7:$E$176,"*vacation*",'Dept. Cost Actuals'!AK$1225:AK$1394))</f>
        <v>0</v>
      </c>
      <c r="AH19" s="991">
        <f>IF(AH$4="forecast",((AH14/251)+AG$19),SUMIF('Dept. Cost Actuals'!$E$7:$E$176,"*vacation*",'Dept. Cost Actuals'!AL$1225:AL$1394))</f>
        <v>0</v>
      </c>
      <c r="AI19" s="991">
        <f>IF(AI$4="forecast",((AI14/251)+AH$19),SUMIF('Dept. Cost Actuals'!$E$7:$E$176,"*vacation*",'Dept. Cost Actuals'!AM$1225:AM$1394))</f>
        <v>0</v>
      </c>
      <c r="AJ19" s="991">
        <f>IF(AJ$4="forecast",((AJ14/251)+AI$19),SUMIF('Dept. Cost Actuals'!$E$7:$E$176,"*vacation*",'Dept. Cost Actuals'!AN$1225:AN$1394))</f>
        <v>0</v>
      </c>
      <c r="AK19" s="991">
        <f>IF(AK$4="forecast",((AK14/251)+AJ$19),SUMIF('Dept. Cost Actuals'!$E$7:$E$176,"*vacation*",'Dept. Cost Actuals'!AO$1225:AO$1394))</f>
        <v>0</v>
      </c>
      <c r="AL19" s="991">
        <f>IF(AL$4="forecast",((AL14/251)+AK$19),SUMIF('Dept. Cost Actuals'!$E$7:$E$176,"*vacation*",'Dept. Cost Actuals'!AP$1225:AP$1394))</f>
        <v>0</v>
      </c>
      <c r="AM19" s="991">
        <f>IF(AM$4="forecast",((AM14/251)+AL$19),SUMIF('Dept. Cost Actuals'!$E$7:$E$176,"*vacation*",'Dept. Cost Actuals'!AQ$1225:AQ$1394))</f>
        <v>0</v>
      </c>
      <c r="AN19" s="991">
        <f>IF(AN$4="forecast",((AN14/251)+AM$19),SUMIF('Dept. Cost Actuals'!$E$7:$E$176,"*vacation*",'Dept. Cost Actuals'!AR$1225:AR$1394))</f>
        <v>0</v>
      </c>
      <c r="AO19" s="991">
        <f>IF(AO$4="forecast",((AO14/251)+AN$19),SUMIF('Dept. Cost Actuals'!$E$7:$E$176,"*vacation*",'Dept. Cost Actuals'!AS$1225:AS$1394))</f>
        <v>0</v>
      </c>
      <c r="AP19" s="991">
        <f>IF(AP$4="forecast",((AP14/251)+AO$19),SUMIF('Dept. Cost Actuals'!$E$7:$E$176,"*vacation*",'Dept. Cost Actuals'!AT$1225:AT$1394))</f>
        <v>0</v>
      </c>
      <c r="AQ19" s="991">
        <f>IF(AQ$4="forecast",((AQ14/251)+AP$19),SUMIF('Dept. Cost Actuals'!$E$7:$E$176,"*vacation*",'Dept. Cost Actuals'!AU$1225:AU$1394))</f>
        <v>0</v>
      </c>
      <c r="AR19" s="991">
        <f>IF(AR$4="forecast",((AR14/251)+AQ$19),SUMIF('Dept. Cost Actuals'!$E$7:$E$176,"*vacation*",'Dept. Cost Actuals'!AV$1225:AV$1394))</f>
        <v>0</v>
      </c>
      <c r="AS19" s="991">
        <f>IF(AS$4="forecast",((AS14/251)+AR$19),SUMIF('Dept. Cost Actuals'!$E$7:$E$176,"*vacation*",'Dept. Cost Actuals'!AW$1225:AW$1394))</f>
        <v>0</v>
      </c>
      <c r="AT19" s="991">
        <f>IF(AT$4="forecast",((AT14/251)+AS$19),SUMIF('Dept. Cost Actuals'!$E$7:$E$176,"*vacation*",'Dept. Cost Actuals'!AX$1225:AX$1394))</f>
        <v>0</v>
      </c>
      <c r="AU19" s="991">
        <f>IF(AU$4="forecast",((AU14/251)+AT$19),SUMIF('Dept. Cost Actuals'!$E$7:$E$176,"*vacation*",'Dept. Cost Actuals'!AY$1225:AY$1394))</f>
        <v>0</v>
      </c>
      <c r="AV19" s="991">
        <f>IF(AV$4="forecast",((AV14/251)+AU$19),SUMIF('Dept. Cost Actuals'!$E$7:$E$176,"*vacation*",'Dept. Cost Actuals'!AZ$1225:AZ$1394))</f>
        <v>0</v>
      </c>
      <c r="AW19" s="991">
        <f>IF(AW$4="forecast",((AW14/251)+AV$19),SUMIF('Dept. Cost Actuals'!$E$7:$E$176,"*vacation*",'Dept. Cost Actuals'!BA$1225:BA$1394))</f>
        <v>0</v>
      </c>
      <c r="AX19" s="991">
        <f>IF(AX$4="forecast",((AX14/251)+AW$19),SUMIF('Dept. Cost Actuals'!$E$7:$E$176,"*vacation*",'Dept. Cost Actuals'!BB$1225:BB$1394))</f>
        <v>0</v>
      </c>
      <c r="AY19" s="991">
        <f>IF(AY$4="forecast",((AY14/251)+AX$19),SUMIF('Dept. Cost Actuals'!$E$7:$E$176,"*vacation*",'Dept. Cost Actuals'!BC$1225:BC$1394))</f>
        <v>0</v>
      </c>
      <c r="AZ19" s="991">
        <f>IF(AZ$4="forecast",((AZ14/251)+AY$19),SUMIF('Dept. Cost Actuals'!$E$7:$E$176,"*vacation*",'Dept. Cost Actuals'!BD$1225:BD$1394))</f>
        <v>0</v>
      </c>
      <c r="BA19" s="991">
        <f>IF(BA$4="forecast",((BA14/251)+AZ$19),SUMIF('Dept. Cost Actuals'!$E$7:$E$176,"*vacation*",'Dept. Cost Actuals'!BE$1225:BE$1394))</f>
        <v>0</v>
      </c>
      <c r="BB19" s="991">
        <f>IF(BB$4="forecast",((BB14/251)+BA$19),SUMIF('Dept. Cost Actuals'!$E$7:$E$176,"*vacation*",'Dept. Cost Actuals'!BF$1225:BF$1394))</f>
        <v>0</v>
      </c>
      <c r="BC19" s="991">
        <f>IF(BC$4="forecast",((BC14/251)+BB$19),SUMIF('Dept. Cost Actuals'!$E$7:$E$176,"*vacation*",'Dept. Cost Actuals'!BG$1225:BG$1394))</f>
        <v>0</v>
      </c>
      <c r="BD19" s="991">
        <f>IF(BD$4="forecast",((BD14/251)+BC$19),SUMIF('Dept. Cost Actuals'!$E$7:$E$176,"*vacation*",'Dept. Cost Actuals'!BH$1225:BH$1394))</f>
        <v>0</v>
      </c>
      <c r="BE19" s="991">
        <f>IF(BE$4="forecast",((BE14/251)+BD$19),SUMIF('Dept. Cost Actuals'!$E$7:$E$176,"*vacation*",'Dept. Cost Actuals'!BI$1225:BI$1394))</f>
        <v>0</v>
      </c>
      <c r="BF19" s="991">
        <f>IF(BF$4="forecast",((BF14/251)+BE$19),SUMIF('Dept. Cost Actuals'!$E$7:$E$176,"*vacation*",'Dept. Cost Actuals'!BJ$1225:BJ$1394))</f>
        <v>0</v>
      </c>
      <c r="BG19" s="991">
        <f>IF(BG$4="forecast",((BG14/251)+BF$19),SUMIF('Dept. Cost Actuals'!$E$7:$E$176,"*vacation*",'Dept. Cost Actuals'!BK$1225:BK$1394))</f>
        <v>0</v>
      </c>
      <c r="BH19" s="991">
        <f>IF(BH$4="forecast",((BH14/251)+BG$19),SUMIF('Dept. Cost Actuals'!$E$7:$E$176,"*vacation*",'Dept. Cost Actuals'!BL$1225:BL$1394))</f>
        <v>0</v>
      </c>
      <c r="BI19" s="991">
        <f>IF(BI$4="forecast",((BI14/251)+BH$19),SUMIF('Dept. Cost Actuals'!$E$7:$E$176,"*vacation*",'Dept. Cost Actuals'!BM$1225:BM$1394))</f>
        <v>0</v>
      </c>
      <c r="BJ19" s="991">
        <f>IF(BJ$4="forecast",((BJ14/251)+BI$19),SUMIF('Dept. Cost Actuals'!$E$7:$E$176,"*vacation*",'Dept. Cost Actuals'!BN$1225:BN$1394))</f>
        <v>0</v>
      </c>
      <c r="BK19" s="991">
        <f>IF(BK$4="forecast",((BK14/251)+BJ$19),SUMIF('Dept. Cost Actuals'!$E$7:$E$176,"*vacation*",'Dept. Cost Actuals'!BO$1225:BO$1394))</f>
        <v>0</v>
      </c>
      <c r="BL19" s="991">
        <f>IF(BL$4="forecast",((BL14/251)+BK$19),SUMIF('Dept. Cost Actuals'!$E$7:$E$176,"*vacation*",'Dept. Cost Actuals'!BP$1225:BP$1394))</f>
        <v>0</v>
      </c>
      <c r="BM19" s="991">
        <f>IF(BM$4="forecast",((BM14/251)+BL$19),SUMIF('Dept. Cost Actuals'!$E$7:$E$176,"*vacation*",'Dept. Cost Actuals'!BQ$1225:BQ$1394))</f>
        <v>0</v>
      </c>
      <c r="BN19" s="991">
        <f>IF(BN$4="forecast",((BN14/251)+BM$19),SUMIF('Dept. Cost Actuals'!$E$7:$E$176,"*vacation*",'Dept. Cost Actuals'!BR$1225:BR$1394))</f>
        <v>0</v>
      </c>
      <c r="BO19" s="991">
        <f>IF(BO$4="forecast",((BO14/251)+BN$19),SUMIF('Dept. Cost Actuals'!$E$7:$E$176,"*vacation*",'Dept. Cost Actuals'!BS$1225:BS$1394))</f>
        <v>0</v>
      </c>
      <c r="BP19" s="991">
        <f>IF(BP$4="forecast",((BP14/251)+BO$19),SUMIF('Dept. Cost Actuals'!$E$7:$E$176,"*vacation*",'Dept. Cost Actuals'!BT$1225:BT$1394))</f>
        <v>0</v>
      </c>
      <c r="BQ19" s="991">
        <f>IF(BQ$4="forecast",((BQ14/251)+BP$19),SUMIF('Dept. Cost Actuals'!$E$7:$E$176,"*vacation*",'Dept. Cost Actuals'!BU$1225:BU$1394))</f>
        <v>0</v>
      </c>
      <c r="BR19" s="991">
        <f>IF(BR$4="forecast",((BR14/251)+BQ$19),SUMIF('Dept. Cost Actuals'!$E$7:$E$176,"*vacation*",'Dept. Cost Actuals'!BV$1225:BV$1394))</f>
        <v>0</v>
      </c>
      <c r="BS19" s="991">
        <f>IF(BS$4="forecast",((BS14/251)+BR$19),SUMIF('Dept. Cost Actuals'!$E$7:$E$176,"*vacation*",'Dept. Cost Actuals'!BW$1225:BW$1394))</f>
        <v>0</v>
      </c>
      <c r="BT19" s="991">
        <f>IF(BT$4="forecast",((BT14/251)+BS$19),SUMIF('Dept. Cost Actuals'!$E$7:$E$176,"*vacation*",'Dept. Cost Actuals'!BX$1225:BX$1394))</f>
        <v>0</v>
      </c>
      <c r="BU19" s="991">
        <f>IF(BU$4="forecast",((BU14/251)+BT$19),SUMIF('Dept. Cost Actuals'!$E$7:$E$176,"*vacation*",'Dept. Cost Actuals'!BY$1225:BY$1394))</f>
        <v>0</v>
      </c>
      <c r="BV19" s="991">
        <f>IF(BV$4="forecast",((BV14/251)+BU$19),SUMIF('Dept. Cost Actuals'!$E$7:$E$176,"*vacation*",'Dept. Cost Actuals'!BZ$1225:BZ$1394))</f>
        <v>0</v>
      </c>
    </row>
    <row r="20" spans="2:74" s="626" customFormat="1" ht="12.75" x14ac:dyDescent="0.2">
      <c r="B20" s="794" t="s">
        <v>657</v>
      </c>
      <c r="C20" s="668">
        <f>IF(C$4="forecast",(((SUM($O$20:$Z$20)/12)*1.03)),SUMIF('Dept. Cost Actuals'!$E$7:$E$176,"*Health Insurance*",'Dept. Cost Actuals'!G$1225:G$1394))</f>
        <v>2359.9499999999998</v>
      </c>
      <c r="D20" s="668">
        <f>IF(D$4="forecast",(((SUM($O$20:$Z$20)/12)*1.03)),SUMIF('Dept. Cost Actuals'!$E$7:$E$176,"*Health Insurance*",'Dept. Cost Actuals'!H$1225:H$1394))</f>
        <v>1976.95</v>
      </c>
      <c r="E20" s="668">
        <f>IF(E$4="forecast",(((SUM($O$20:$Z$20)/12)*1.03)),SUMIF('Dept. Cost Actuals'!$E$7:$E$176,"*Health Insurance*",'Dept. Cost Actuals'!I$1225:I$1394))</f>
        <v>3270.17</v>
      </c>
      <c r="F20" s="668">
        <f>IF(F$4="forecast",(((SUM($O$20:$Z$20)/12)*1.03)),SUMIF('Dept. Cost Actuals'!$E$7:$E$176,"*Health Insurance*",'Dept. Cost Actuals'!J$1225:J$1394))</f>
        <v>-286.6099999999999</v>
      </c>
      <c r="G20" s="668">
        <f>IF(G$4="forecast",(((SUM($O$20:$Z$20)/12)*1.03)),SUMIF('Dept. Cost Actuals'!$E$7:$E$176,"*Health Insurance*",'Dept. Cost Actuals'!K$1225:K$1394))</f>
        <v>2364.37</v>
      </c>
      <c r="H20" s="668">
        <f>IF(H$4="forecast",(((SUM($O$20:$Z$20)/12)*1.03)),SUMIF('Dept. Cost Actuals'!$E$7:$E$176,"*Health Insurance*",'Dept. Cost Actuals'!L$1225:L$1394))</f>
        <v>3123.37</v>
      </c>
      <c r="I20" s="668">
        <f>IF(I$4="forecast",(((SUM($O$20:$Z$20)/12)*1.03)),SUMIF('Dept. Cost Actuals'!$E$7:$E$176,"*Health Insurance*",'Dept. Cost Actuals'!M$1225:M$1394))</f>
        <v>7209.34</v>
      </c>
      <c r="J20" s="668">
        <f>IF(J$4="forecast",(((SUM($O$20:$Z$20)/12)*1.03)),SUMIF('Dept. Cost Actuals'!$E$7:$E$176,"*Health Insurance*",'Dept. Cost Actuals'!N$1225:N$1394))</f>
        <v>2458.9499999999998</v>
      </c>
      <c r="K20" s="668">
        <f>IF(K$4="forecast",(((SUM($O$20:$Z$20)/12)*1.03)),SUMIF('Dept. Cost Actuals'!$E$7:$E$176,"*Health Insurance*",'Dept. Cost Actuals'!O$1225:O$1394))</f>
        <v>3601.17</v>
      </c>
      <c r="L20" s="668">
        <f>IF(L$4="forecast",(((SUM($O$20:$Z$20)/12)*1.03)),SUMIF('Dept. Cost Actuals'!$E$7:$E$176,"*Health Insurance*",'Dept. Cost Actuals'!P$1225:P$1394))</f>
        <v>3000.2</v>
      </c>
      <c r="M20" s="668">
        <f>IF(M$4="forecast",(((SUM($O$20:$Z$20)/12)*1.03)),SUMIF('Dept. Cost Actuals'!$E$7:$E$176,"*Health Insurance*",'Dept. Cost Actuals'!Q$1225:Q$1394))</f>
        <v>5158.2299999999996</v>
      </c>
      <c r="N20" s="668">
        <f>IF(N$4="forecast",(((SUM($O$20:$Z$20)/12)*1.03)),SUMIF('Dept. Cost Actuals'!$E$7:$E$176,"*Health Insurance*",'Dept. Cost Actuals'!R$1225:R$1394))</f>
        <v>5082.18</v>
      </c>
      <c r="O20" s="668">
        <f>IF(O$4="forecast",(((SUM($O$20:$Z$20)/12)*1.03)),SUMIF('Dept. Cost Actuals'!$E$7:$E$176,"*Health Insurance*",'Dept. Cost Actuals'!S$1225:S$1394))</f>
        <v>-17191.939999999999</v>
      </c>
      <c r="P20" s="668">
        <f>IF(P$4="forecast",(((SUM($O$20:$Z$20)/12)*1.03)),SUMIF('Dept. Cost Actuals'!$E$7:$E$176,"*Health Insurance*",'Dept. Cost Actuals'!T$1225:T$1394))</f>
        <v>0</v>
      </c>
      <c r="Q20" s="668">
        <f>IF(Q$4="forecast",(((SUM($O$20:$Z$20)/12)*1.03)),SUMIF('Dept. Cost Actuals'!$E$7:$E$176,"*Health Insurance*",'Dept. Cost Actuals'!U$1225:U$1394))</f>
        <v>0</v>
      </c>
      <c r="R20" s="668">
        <f>IF(R$4="forecast",(((SUM($O$20:$Z$20)/12)*1.03)),SUMIF('Dept. Cost Actuals'!$E$7:$E$176,"*Health Insurance*",'Dept. Cost Actuals'!V$1225:V$1394))</f>
        <v>0</v>
      </c>
      <c r="S20" s="668">
        <f>IF(S$4="forecast",(((SUM($O$20:$Z$20)/12)*1.03)),SUMIF('Dept. Cost Actuals'!$E$7:$E$176,"*Health Insurance*",'Dept. Cost Actuals'!W$1225:W$1394))</f>
        <v>-185</v>
      </c>
      <c r="T20" s="668">
        <f>IF(T$4="forecast",(((SUM($O$20:$Z$20)/12)*1.03)),SUMIF('Dept. Cost Actuals'!$E$7:$E$176,"*Health Insurance*",'Dept. Cost Actuals'!X$1225:X$1394))</f>
        <v>-175</v>
      </c>
      <c r="U20" s="668">
        <f>IF(U$4="forecast",(((SUM($O$20:$Z$20)/12)*1.03)),SUMIF('Dept. Cost Actuals'!$E$7:$E$176,"*Health Insurance*",'Dept. Cost Actuals'!Y$1225:Y$1394))</f>
        <v>-59.91</v>
      </c>
      <c r="V20" s="668">
        <f>IF(V$4="forecast",(((SUM($O$20:$Z$20)/12)*1.03)),SUMIF('Dept. Cost Actuals'!$E$7:$E$176,"*Health Insurance*",'Dept. Cost Actuals'!Z$1225:Z$1394))</f>
        <v>0</v>
      </c>
      <c r="W20" s="668">
        <f>IF(W$4="forecast",(((SUM($O$20:$Z$20)/12)*1.03)),SUMIF('Dept. Cost Actuals'!$E$7:$E$176,"*Health Insurance*",'Dept. Cost Actuals'!AA$1225:AA$1394))</f>
        <v>0</v>
      </c>
      <c r="X20" s="668">
        <f>IF(X$4="forecast",(((SUM($O$20:$Z$20)/12)*1.03)),SUMIF('Dept. Cost Actuals'!$E$7:$E$176,"*Health Insurance*",'Dept. Cost Actuals'!AB$1225:AB$1394))</f>
        <v>-195</v>
      </c>
      <c r="Y20" s="668">
        <f>IF(Y$4="forecast",(((SUM($O$20:$Z$20)/12)*1.03)),SUMIF('Dept. Cost Actuals'!$E$7:$E$176,"*Health Insurance*",'Dept. Cost Actuals'!AC$1225:AC$1394))</f>
        <v>0</v>
      </c>
      <c r="Z20" s="668">
        <f>IF(Z$4="forecast",(((SUM($O$20:$Z$20)/12)*1.03)),SUMIF('Dept. Cost Actuals'!$E$7:$E$176,"*Health Insurance*",'Dept. Cost Actuals'!AD$1225:AD$1394))</f>
        <v>41.83</v>
      </c>
      <c r="AA20" s="668">
        <f>IF(AA$4="forecast",(((SUM($O$20:$Z$20)/12)*1.03)),SUMIF('Dept. Cost Actuals'!$E$7:$E$176,"*Health Insurance*",'Dept. Cost Actuals'!AE$1225:AE$1394))</f>
        <v>0</v>
      </c>
      <c r="AB20" s="668">
        <f>IF(AB$4="forecast",((0)),SUMIF('Dept. Cost Actuals'!$E$7:$E$176,"*Health Insurance*",'Dept. Cost Actuals'!AF$1225:AF$1394))</f>
        <v>-578.41999999999996</v>
      </c>
      <c r="AC20" s="668">
        <f>IF(AC$4="forecast",((0)),SUMIF('Dept. Cost Actuals'!$E$7:$E$176,"*Health Insurance*",'Dept. Cost Actuals'!AG$1225:AG$1394))</f>
        <v>0</v>
      </c>
      <c r="AD20" s="668">
        <f>IF(AD$4="forecast",((0)),SUMIF('Dept. Cost Actuals'!$E$7:$E$176,"*Health Insurance*",'Dept. Cost Actuals'!AH$1225:AH$1394))</f>
        <v>0</v>
      </c>
      <c r="AE20" s="668">
        <f>IF(AE$4="forecast",((0)),SUMIF('Dept. Cost Actuals'!$E$7:$E$176,"*Health Insurance*",'Dept. Cost Actuals'!AI$1225:AI$1394))</f>
        <v>0</v>
      </c>
      <c r="AF20" s="668">
        <f>IF(AF$4="forecast",((0)),SUMIF('Dept. Cost Actuals'!$E$7:$E$176,"*Health Insurance*",'Dept. Cost Actuals'!AJ$1225:AJ$1394))</f>
        <v>0</v>
      </c>
      <c r="AG20" s="668">
        <f>IF(AG$4="forecast",((0)),SUMIF('Dept. Cost Actuals'!$E$7:$E$176,"*Health Insurance*",'Dept. Cost Actuals'!AK$1225:AK$1394))</f>
        <v>0</v>
      </c>
      <c r="AH20" s="668">
        <f>IF(AH$4="forecast",((0)),SUMIF('Dept. Cost Actuals'!$E$7:$E$176,"*Health Insurance*",'Dept. Cost Actuals'!AL$1225:AL$1394))</f>
        <v>0</v>
      </c>
      <c r="AI20" s="668">
        <f>IF(AI$4="forecast",((0)),SUMIF('Dept. Cost Actuals'!$E$7:$E$176,"*Health Insurance*",'Dept. Cost Actuals'!AM$1225:AM$1394))</f>
        <v>0</v>
      </c>
      <c r="AJ20" s="668">
        <f>IF(AJ$4="forecast",((0)),SUMIF('Dept. Cost Actuals'!$E$7:$E$176,"*Health Insurance*",'Dept. Cost Actuals'!AN$1225:AN$1394))</f>
        <v>0</v>
      </c>
      <c r="AK20" s="668">
        <f>IF(AK$4="forecast",((0)),SUMIF('Dept. Cost Actuals'!$E$7:$E$176,"*Health Insurance*",'Dept. Cost Actuals'!AO$1225:AO$1394))</f>
        <v>0</v>
      </c>
      <c r="AL20" s="668">
        <f>IF(AL$4="forecast",((0)),SUMIF('Dept. Cost Actuals'!$E$7:$E$176,"*Health Insurance*",'Dept. Cost Actuals'!AP$1225:AP$1394))</f>
        <v>0</v>
      </c>
      <c r="AM20" s="668">
        <f>IF(AM$4="forecast",((0)),SUMIF('Dept. Cost Actuals'!$E$7:$E$176,"*Health Insurance*",'Dept. Cost Actuals'!AQ$1225:AQ$1394))</f>
        <v>0</v>
      </c>
      <c r="AN20" s="668">
        <f>IF(AN$4="forecast",((0)),SUMIF('Dept. Cost Actuals'!$E$7:$E$176,"*Health Insurance*",'Dept. Cost Actuals'!AR$1225:AR$1394))</f>
        <v>0</v>
      </c>
      <c r="AO20" s="668">
        <f>IF(AO$4="forecast",((0)),SUMIF('Dept. Cost Actuals'!$E$7:$E$176,"*Health Insurance*",'Dept. Cost Actuals'!AS$1225:AS$1394))</f>
        <v>0</v>
      </c>
      <c r="AP20" s="668">
        <f>IF(AP$4="forecast",((0)),SUMIF('Dept. Cost Actuals'!$E$7:$E$176,"*Health Insurance*",'Dept. Cost Actuals'!AT$1225:AT$1394))</f>
        <v>0</v>
      </c>
      <c r="AQ20" s="668">
        <f>IF(AQ$4="forecast",((0)),SUMIF('Dept. Cost Actuals'!$E$7:$E$176,"*Health Insurance*",'Dept. Cost Actuals'!AU$1225:AU$1394))</f>
        <v>0</v>
      </c>
      <c r="AR20" s="668">
        <f>IF(AR$4="forecast",((0)),SUMIF('Dept. Cost Actuals'!$E$7:$E$176,"*Health Insurance*",'Dept. Cost Actuals'!AV$1225:AV$1394))</f>
        <v>0</v>
      </c>
      <c r="AS20" s="668">
        <f>IF(AS$4="forecast",((0)),SUMIF('Dept. Cost Actuals'!$E$7:$E$176,"*Health Insurance*",'Dept. Cost Actuals'!AW$1225:AW$1394))</f>
        <v>0</v>
      </c>
      <c r="AT20" s="668">
        <f>IF(AT$4="forecast",((0)),SUMIF('Dept. Cost Actuals'!$E$7:$E$176,"*Health Insurance*",'Dept. Cost Actuals'!AX$1225:AX$1394))</f>
        <v>0</v>
      </c>
      <c r="AU20" s="668">
        <f>IF(AU$4="forecast",((0)),SUMIF('Dept. Cost Actuals'!$E$7:$E$176,"*Health Insurance*",'Dept. Cost Actuals'!AY$1225:AY$1394))</f>
        <v>0</v>
      </c>
      <c r="AV20" s="668">
        <f>IF(AV$4="forecast",((0)),SUMIF('Dept. Cost Actuals'!$E$7:$E$176,"*Health Insurance*",'Dept. Cost Actuals'!AZ$1225:AZ$1394))</f>
        <v>0</v>
      </c>
      <c r="AW20" s="668">
        <f>IF(AW$4="forecast",((0)),SUMIF('Dept. Cost Actuals'!$E$7:$E$176,"*Health Insurance*",'Dept. Cost Actuals'!BA$1225:BA$1394))</f>
        <v>0</v>
      </c>
      <c r="AX20" s="668">
        <f>IF(AX$4="forecast",((0)),SUMIF('Dept. Cost Actuals'!$E$7:$E$176,"*Health Insurance*",'Dept. Cost Actuals'!BB$1225:BB$1394))</f>
        <v>0</v>
      </c>
      <c r="AY20" s="668">
        <f>IF(AY$4="forecast",((0)),SUMIF('Dept. Cost Actuals'!$E$7:$E$176,"*Health Insurance*",'Dept. Cost Actuals'!BC$1225:BC$1394))</f>
        <v>0</v>
      </c>
      <c r="AZ20" s="668">
        <f>IF(AZ$4="forecast",((0)),SUMIF('Dept. Cost Actuals'!$E$7:$E$176,"*Health Insurance*",'Dept. Cost Actuals'!BD$1225:BD$1394))</f>
        <v>0</v>
      </c>
      <c r="BA20" s="668">
        <f>IF(BA$4="forecast",((0)),SUMIF('Dept. Cost Actuals'!$E$7:$E$176,"*Health Insurance*",'Dept. Cost Actuals'!BE$1225:BE$1394))</f>
        <v>0</v>
      </c>
      <c r="BB20" s="668">
        <f>IF(BB$4="forecast",((0)),SUMIF('Dept. Cost Actuals'!$E$7:$E$176,"*Health Insurance*",'Dept. Cost Actuals'!BF$1225:BF$1394))</f>
        <v>0</v>
      </c>
      <c r="BC20" s="668">
        <f>IF(BC$4="forecast",((0)),SUMIF('Dept. Cost Actuals'!$E$7:$E$176,"*Health Insurance*",'Dept. Cost Actuals'!BG$1225:BG$1394))</f>
        <v>0</v>
      </c>
      <c r="BD20" s="668">
        <f>IF(BD$4="forecast",((0)),SUMIF('Dept. Cost Actuals'!$E$7:$E$176,"*Health Insurance*",'Dept. Cost Actuals'!BH$1225:BH$1394))</f>
        <v>0</v>
      </c>
      <c r="BE20" s="668">
        <f>IF(BE$4="forecast",((0)),SUMIF('Dept. Cost Actuals'!$E$7:$E$176,"*Health Insurance*",'Dept. Cost Actuals'!BI$1225:BI$1394))</f>
        <v>0</v>
      </c>
      <c r="BF20" s="668">
        <f>IF(BF$4="forecast",((0)),SUMIF('Dept. Cost Actuals'!$E$7:$E$176,"*Health Insurance*",'Dept. Cost Actuals'!BJ$1225:BJ$1394))</f>
        <v>0</v>
      </c>
      <c r="BG20" s="668">
        <f>IF(BG$4="forecast",((0)),SUMIF('Dept. Cost Actuals'!$E$7:$E$176,"*Health Insurance*",'Dept. Cost Actuals'!BK$1225:BK$1394))</f>
        <v>0</v>
      </c>
      <c r="BH20" s="668">
        <f>IF(BH$4="forecast",((0)),SUMIF('Dept. Cost Actuals'!$E$7:$E$176,"*Health Insurance*",'Dept. Cost Actuals'!BL$1225:BL$1394))</f>
        <v>0</v>
      </c>
      <c r="BI20" s="668">
        <f>IF(BI$4="forecast",((0)),SUMIF('Dept. Cost Actuals'!$E$7:$E$176,"*Health Insurance*",'Dept. Cost Actuals'!BM$1225:BM$1394))</f>
        <v>0</v>
      </c>
      <c r="BJ20" s="668">
        <f>IF(BJ$4="forecast",((0)),SUMIF('Dept. Cost Actuals'!$E$7:$E$176,"*Health Insurance*",'Dept. Cost Actuals'!BN$1225:BN$1394))</f>
        <v>0</v>
      </c>
      <c r="BK20" s="668">
        <f>IF(BK$4="forecast",((0)),SUMIF('Dept. Cost Actuals'!$E$7:$E$176,"*Health Insurance*",'Dept. Cost Actuals'!BO$1225:BO$1394))</f>
        <v>0</v>
      </c>
      <c r="BL20" s="668">
        <f>IF(BL$4="forecast",((0)),SUMIF('Dept. Cost Actuals'!$E$7:$E$176,"*Health Insurance*",'Dept. Cost Actuals'!BP$1225:BP$1394))</f>
        <v>0</v>
      </c>
      <c r="BM20" s="668">
        <f>IF(BM$4="forecast",((0)),SUMIF('Dept. Cost Actuals'!$E$7:$E$176,"*Health Insurance*",'Dept. Cost Actuals'!BQ$1225:BQ$1394))</f>
        <v>0</v>
      </c>
      <c r="BN20" s="668">
        <f>IF(BN$4="forecast",((0)),SUMIF('Dept. Cost Actuals'!$E$7:$E$176,"*Health Insurance*",'Dept. Cost Actuals'!BR$1225:BR$1394))</f>
        <v>0</v>
      </c>
      <c r="BO20" s="668">
        <f>IF(BO$4="forecast",((0)),SUMIF('Dept. Cost Actuals'!$E$7:$E$176,"*Health Insurance*",'Dept. Cost Actuals'!BS$1225:BS$1394))</f>
        <v>0</v>
      </c>
      <c r="BP20" s="668">
        <f>IF(BP$4="forecast",((0)),SUMIF('Dept. Cost Actuals'!$E$7:$E$176,"*Health Insurance*",'Dept. Cost Actuals'!BT$1225:BT$1394))</f>
        <v>0</v>
      </c>
      <c r="BQ20" s="668">
        <f>IF(BQ$4="forecast",((0)),SUMIF('Dept. Cost Actuals'!$E$7:$E$176,"*Health Insurance*",'Dept. Cost Actuals'!BU$1225:BU$1394))</f>
        <v>0</v>
      </c>
      <c r="BR20" s="668">
        <f>IF(BR$4="forecast",((0)),SUMIF('Dept. Cost Actuals'!$E$7:$E$176,"*Health Insurance*",'Dept. Cost Actuals'!BV$1225:BV$1394))</f>
        <v>0</v>
      </c>
      <c r="BS20" s="668">
        <f>IF(BS$4="forecast",((0)),SUMIF('Dept. Cost Actuals'!$E$7:$E$176,"*Health Insurance*",'Dept. Cost Actuals'!BW$1225:BW$1394))</f>
        <v>0</v>
      </c>
      <c r="BT20" s="668">
        <f>IF(BT$4="forecast",((0)),SUMIF('Dept. Cost Actuals'!$E$7:$E$176,"*Health Insurance*",'Dept. Cost Actuals'!BX$1225:BX$1394))</f>
        <v>0</v>
      </c>
      <c r="BU20" s="668">
        <f>IF(BU$4="forecast",((0)),SUMIF('Dept. Cost Actuals'!$E$7:$E$176,"*Health Insurance*",'Dept. Cost Actuals'!BY$1225:BY$1394))</f>
        <v>0</v>
      </c>
      <c r="BV20" s="668">
        <f>IF(BV$4="forecast",((0)),SUMIF('Dept. Cost Actuals'!$E$7:$E$176,"*Health Insurance*",'Dept. Cost Actuals'!BZ$1225:BZ$1394))</f>
        <v>0</v>
      </c>
    </row>
    <row r="21" spans="2:74" s="626" customFormat="1" ht="12.75" x14ac:dyDescent="0.2">
      <c r="B21" s="794" t="s">
        <v>1348</v>
      </c>
      <c r="C21" s="668">
        <f>IF(C$4="forecast",(((400/12)*C$7)),(SUMIF('Dept. Cost Actuals'!$E$7:$E$176,"*Employee*",'Dept. Cost Actuals'!G$1225:G$1394)))</f>
        <v>1937.0320559999998</v>
      </c>
      <c r="D21" s="668">
        <f>IF(D$4="forecast",(((400/12)*D$7)),(SUMIF('Dept. Cost Actuals'!$E$7:$E$176,"*Employee*",'Dept. Cost Actuals'!H$1225:H$1394)))</f>
        <v>3281.6960383836245</v>
      </c>
      <c r="E21" s="668">
        <f>IF(E$4="forecast",(((400/12)*E$7)),(SUMIF('Dept. Cost Actuals'!$E$7:$E$176,"*Employee*",'Dept. Cost Actuals'!I$1225:I$1394)))</f>
        <v>4330.8457386194659</v>
      </c>
      <c r="F21" s="668">
        <f>IF(F$4="forecast",(((400/12)*F$7)),(SUMIF('Dept. Cost Actuals'!$E$7:$E$176,"*Employee*",'Dept. Cost Actuals'!J$1225:J$1394)))</f>
        <v>1768.18915910905</v>
      </c>
      <c r="G21" s="668">
        <f>IF(G$4="forecast",(((400/12)*G$7)),(SUMIF('Dept. Cost Actuals'!$E$7:$E$176,"*Employee*",'Dept. Cost Actuals'!K$1225:K$1394)))</f>
        <v>3713.0111149308213</v>
      </c>
      <c r="H21" s="668">
        <f>IF(H$4="forecast",(((400/12)*H$7)),(SUMIF('Dept. Cost Actuals'!$E$7:$E$176,"*Employee*",'Dept. Cost Actuals'!L$1225:L$1394)))</f>
        <v>3411.6767833440836</v>
      </c>
      <c r="I21" s="668">
        <f>IF(I$4="forecast",(((400/12)*I$7)),(SUMIF('Dept. Cost Actuals'!$E$7:$E$176,"*Employee*",'Dept. Cost Actuals'!M$1225:M$1394)))</f>
        <v>5253.9086822988347</v>
      </c>
      <c r="J21" s="668">
        <f>IF(J$4="forecast",(((400/12)*J$7)),(SUMIF('Dept. Cost Actuals'!$E$7:$E$176,"*Employee*",'Dept. Cost Actuals'!N$1225:N$1394)))</f>
        <v>5091.3480491251375</v>
      </c>
      <c r="K21" s="668">
        <f>IF(K$4="forecast",(((400/12)*K$7)),(SUMIF('Dept. Cost Actuals'!$E$7:$E$176,"*Employee*",'Dept. Cost Actuals'!O$1225:O$1394)))</f>
        <v>6820.9260781099329</v>
      </c>
      <c r="L21" s="668">
        <f>IF(L$4="forecast",(((400/12)*L$7)),(SUMIF('Dept. Cost Actuals'!$E$7:$E$176,"*Employee*",'Dept. Cost Actuals'!P$1225:P$1394)))</f>
        <v>8226.6667518779377</v>
      </c>
      <c r="M21" s="668">
        <f>IF(M$4="forecast",(((400/12)*M$7)),(SUMIF('Dept. Cost Actuals'!$E$7:$E$176,"*Employee*",'Dept. Cost Actuals'!Q$1225:Q$1394)))</f>
        <v>4770.8599980045465</v>
      </c>
      <c r="N21" s="668">
        <f>IF(N$4="forecast",(((400/12)*N$7)),(SUMIF('Dept. Cost Actuals'!$E$7:$E$176,"*Employee*",'Dept. Cost Actuals'!R$1225:R$1394)))</f>
        <v>21030.255498310453</v>
      </c>
      <c r="O21" s="668">
        <f>IF(O$4="forecast",(((400/12)*O$7)),(SUMIF('Dept. Cost Actuals'!$E$7:$E$176,"*Employee*",'Dept. Cost Actuals'!S$1225:S$1394)))</f>
        <v>1749.6399999999999</v>
      </c>
      <c r="P21" s="668">
        <f>IF(P$4="forecast",(((400/12)*P$7)),(SUMIF('Dept. Cost Actuals'!$E$7:$E$176,"*Employee*",'Dept. Cost Actuals'!T$1225:T$1394)))</f>
        <v>1641.6399999999999</v>
      </c>
      <c r="Q21" s="668">
        <f>IF(Q$4="forecast",(((400/12)*Q$7)),(SUMIF('Dept. Cost Actuals'!$E$7:$E$176,"*Employee*",'Dept. Cost Actuals'!U$1225:U$1394)))</f>
        <v>1817.53</v>
      </c>
      <c r="R21" s="668">
        <f>IF(R$4="forecast",(((400/12)*R$7)),(SUMIF('Dept. Cost Actuals'!$E$7:$E$176,"*Employee*",'Dept. Cost Actuals'!V$1225:V$1394)))</f>
        <v>2058.9</v>
      </c>
      <c r="S21" s="668">
        <f>IF(S$4="forecast",(((400/12)*S$7)),(SUMIF('Dept. Cost Actuals'!$E$7:$E$176,"*Employee*",'Dept. Cost Actuals'!W$1225:W$1394)))</f>
        <v>2800.56</v>
      </c>
      <c r="T21" s="668">
        <f>IF(T$4="forecast",(((400/12)*T$7)),(SUMIF('Dept. Cost Actuals'!$E$7:$E$176,"*Employee*",'Dept. Cost Actuals'!X$1225:X$1394)))</f>
        <v>2741.9300000000003</v>
      </c>
      <c r="U21" s="668">
        <f>IF(U$4="forecast",(((400/12)*U$7)),(SUMIF('Dept. Cost Actuals'!$E$7:$E$176,"*Employee*",'Dept. Cost Actuals'!Y$1225:Y$1394)))</f>
        <v>2189.87</v>
      </c>
      <c r="V21" s="668">
        <f>IF(V$4="forecast",(((400/12)*V$7)),(SUMIF('Dept. Cost Actuals'!$E$7:$E$176,"*Employee*",'Dept. Cost Actuals'!Z$1225:Z$1394)))</f>
        <v>1557.75</v>
      </c>
      <c r="W21" s="668">
        <f>IF(W$4="forecast",(((400/12)*W$7)),(SUMIF('Dept. Cost Actuals'!$E$7:$E$176,"*Employee*",'Dept. Cost Actuals'!AA$1225:AA$1394)))</f>
        <v>1306.1600000000001</v>
      </c>
      <c r="X21" s="668">
        <f>IF(X$4="forecast",(((400/12)*X$7)),(SUMIF('Dept. Cost Actuals'!$E$7:$E$176,"*Employee*",'Dept. Cost Actuals'!AB$1225:AB$1394)))</f>
        <v>1557.75</v>
      </c>
      <c r="Y21" s="668">
        <f>IF(Y$4="forecast",(((400/12)*Y$7)),(SUMIF('Dept. Cost Actuals'!$E$7:$E$176,"*Employee*",'Dept. Cost Actuals'!AC$1225:AC$1394)))</f>
        <v>1322.5</v>
      </c>
      <c r="Z21" s="668">
        <f>IF(Z$4="forecast",(((400/12)*Z$7)),(SUMIF('Dept. Cost Actuals'!$E$7:$E$176,"*Employee*",'Dept. Cost Actuals'!AD$1225:AD$1394)))</f>
        <v>1560.25</v>
      </c>
      <c r="AA21" s="668">
        <f>IF(AA$4="forecast",(((400/12)*AA$7)),(SUMIF('Dept. Cost Actuals'!$E$7:$E$176,"*Employee*",'Dept. Cost Actuals'!AE$1225:AE$1394)))</f>
        <v>2417.79</v>
      </c>
      <c r="AB21" s="668">
        <f>IF(AB$4="forecast",(((400/12)*AB$7)),(SUMIF('Dept. Cost Actuals'!$E$7:$E$176,"*Employee*",'Dept. Cost Actuals'!AF$1225:AF$1394)))</f>
        <v>1459.92</v>
      </c>
      <c r="AC21" s="668">
        <f>IF(AC$4="forecast",(((400/12)*AC$7)),(SUMIF('Dept. Cost Actuals'!$E$7:$E$176,"*Employee*",'Dept. Cost Actuals'!AG$1225:AG$1394)))</f>
        <v>1616.34</v>
      </c>
      <c r="AD21" s="668">
        <f>IF(AD$4="forecast",(((400/12)*AD$7)),(SUMIF('Dept. Cost Actuals'!$E$7:$E$176,"*Employee*",'Dept. Cost Actuals'!AH$1225:AH$1394)))</f>
        <v>0</v>
      </c>
      <c r="AE21" s="668">
        <f>IF(AE$4="forecast",(((400/12)*AE$7)),(SUMIF('Dept. Cost Actuals'!$E$7:$E$176,"*Employee*",'Dept. Cost Actuals'!AI$1225:AI$1394)))</f>
        <v>0</v>
      </c>
      <c r="AF21" s="668">
        <f>IF(AF$4="forecast",(((400/12)*AF$7)),(SUMIF('Dept. Cost Actuals'!$E$7:$E$176,"*Employee*",'Dept. Cost Actuals'!AJ$1225:AJ$1394)))</f>
        <v>0</v>
      </c>
      <c r="AG21" s="668">
        <f>IF(AG$4="forecast",(((400/12)*AG$7)),(SUMIF('Dept. Cost Actuals'!$E$7:$E$176,"*Employee*",'Dept. Cost Actuals'!AK$1225:AK$1394)))</f>
        <v>0</v>
      </c>
      <c r="AH21" s="668">
        <f>IF(AH$4="forecast",(((400/12)*AH$7)),(SUMIF('Dept. Cost Actuals'!$E$7:$E$176,"*Employee*",'Dept. Cost Actuals'!AL$1225:AL$1394)))</f>
        <v>0</v>
      </c>
      <c r="AI21" s="668">
        <f>IF(AI$4="forecast",(((400/12)*AI$7)),(SUMIF('Dept. Cost Actuals'!$E$7:$E$176,"*Employee*",'Dept. Cost Actuals'!AM$1225:AM$1394)))</f>
        <v>0</v>
      </c>
      <c r="AJ21" s="668">
        <f>IF(AJ$4="forecast",(((400/12)*AJ$7)),(SUMIF('Dept. Cost Actuals'!$E$7:$E$176,"*Employee*",'Dept. Cost Actuals'!AN$1225:AN$1394)))</f>
        <v>0</v>
      </c>
      <c r="AK21" s="668">
        <f>IF(AK$4="forecast",(((400/12)*AK$7)),(SUMIF('Dept. Cost Actuals'!$E$7:$E$176,"*Employee*",'Dept. Cost Actuals'!AO$1225:AO$1394)))</f>
        <v>0</v>
      </c>
      <c r="AL21" s="668">
        <f>IF(AL$4="forecast",(((400/12)*AL$7)),(SUMIF('Dept. Cost Actuals'!$E$7:$E$176,"*Employee*",'Dept. Cost Actuals'!AP$1225:AP$1394)))</f>
        <v>0</v>
      </c>
      <c r="AM21" s="668">
        <f>IF(AM$4="forecast",(((400/12)*AM$7)),(SUMIF('Dept. Cost Actuals'!$E$7:$E$176,"*Employee*",'Dept. Cost Actuals'!AQ$1225:AQ$1394)))</f>
        <v>0</v>
      </c>
      <c r="AN21" s="668">
        <f>IF(AN$4="forecast",(((400/12)*AN$7)),(SUMIF('Dept. Cost Actuals'!$E$7:$E$176,"*Employee*",'Dept. Cost Actuals'!AR$1225:AR$1394)))</f>
        <v>0</v>
      </c>
      <c r="AO21" s="668">
        <f>IF(AO$4="forecast",(((400/12)*AO$7)),(SUMIF('Dept. Cost Actuals'!$E$7:$E$176,"*Employee*",'Dept. Cost Actuals'!AS$1225:AS$1394)))</f>
        <v>0</v>
      </c>
      <c r="AP21" s="668">
        <f>IF(AP$4="forecast",(((400/12)*AP$7)),(SUMIF('Dept. Cost Actuals'!$E$7:$E$176,"*Employee*",'Dept. Cost Actuals'!AT$1225:AT$1394)))</f>
        <v>0</v>
      </c>
      <c r="AQ21" s="668">
        <f>IF(AQ$4="forecast",(((400/12)*AQ$7)),(SUMIF('Dept. Cost Actuals'!$E$7:$E$176,"*Employee*",'Dept. Cost Actuals'!AU$1225:AU$1394)))</f>
        <v>0</v>
      </c>
      <c r="AR21" s="668">
        <f>IF(AR$4="forecast",(((400/12)*AR$7)),(SUMIF('Dept. Cost Actuals'!$E$7:$E$176,"*Employee*",'Dept. Cost Actuals'!AV$1225:AV$1394)))</f>
        <v>0</v>
      </c>
      <c r="AS21" s="668">
        <f>IF(AS$4="forecast",(((400/12)*AS$7)),(SUMIF('Dept. Cost Actuals'!$E$7:$E$176,"*Employee*",'Dept. Cost Actuals'!AW$1225:AW$1394)))</f>
        <v>0</v>
      </c>
      <c r="AT21" s="668">
        <f>IF(AT$4="forecast",(((400/12)*AT$7)),(SUMIF('Dept. Cost Actuals'!$E$7:$E$176,"*Employee*",'Dept. Cost Actuals'!AX$1225:AX$1394)))</f>
        <v>0</v>
      </c>
      <c r="AU21" s="668">
        <f>IF(AU$4="forecast",(((400/12)*AU$7)),(SUMIF('Dept. Cost Actuals'!$E$7:$E$176,"*Employee*",'Dept. Cost Actuals'!AY$1225:AY$1394)))</f>
        <v>0</v>
      </c>
      <c r="AV21" s="668">
        <f>IF(AV$4="forecast",(((400/12)*AV$7)),(SUMIF('Dept. Cost Actuals'!$E$7:$E$176,"*Employee*",'Dept. Cost Actuals'!AZ$1225:AZ$1394)))</f>
        <v>0</v>
      </c>
      <c r="AW21" s="668">
        <f>IF(AW$4="forecast",(((400/12)*AW$7)),(SUMIF('Dept. Cost Actuals'!$E$7:$E$176,"*Employee*",'Dept. Cost Actuals'!BA$1225:BA$1394)))</f>
        <v>0</v>
      </c>
      <c r="AX21" s="668">
        <f>IF(AX$4="forecast",(((400/12)*AX$7)),(SUMIF('Dept. Cost Actuals'!$E$7:$E$176,"*Employee*",'Dept. Cost Actuals'!BB$1225:BB$1394)))</f>
        <v>0</v>
      </c>
      <c r="AY21" s="668">
        <f>IF(AY$4="forecast",(((400/12)*AY$7)),(SUMIF('Dept. Cost Actuals'!$E$7:$E$176,"*Employee*",'Dept. Cost Actuals'!BC$1225:BC$1394)))</f>
        <v>0</v>
      </c>
      <c r="AZ21" s="668">
        <f>IF(AZ$4="forecast",(((400/12)*AZ$7)),(SUMIF('Dept. Cost Actuals'!$E$7:$E$176,"*Employee*",'Dept. Cost Actuals'!BD$1225:BD$1394)))</f>
        <v>0</v>
      </c>
      <c r="BA21" s="668">
        <f>IF(BA$4="forecast",(((400/12)*BA$7)),(SUMIF('Dept. Cost Actuals'!$E$7:$E$176,"*Employee*",'Dept. Cost Actuals'!BE$1225:BE$1394)))</f>
        <v>0</v>
      </c>
      <c r="BB21" s="668">
        <f>IF(BB$4="forecast",(((400/12)*BB$7)),(SUMIF('Dept. Cost Actuals'!$E$7:$E$176,"*Employee*",'Dept. Cost Actuals'!BF$1225:BF$1394)))</f>
        <v>0</v>
      </c>
      <c r="BC21" s="668">
        <f>IF(BC$4="forecast",(((400/12)*BC$7)),(SUMIF('Dept. Cost Actuals'!$E$7:$E$176,"*Employee*",'Dept. Cost Actuals'!BG$1225:BG$1394)))</f>
        <v>0</v>
      </c>
      <c r="BD21" s="668">
        <f>IF(BD$4="forecast",(((400/12)*BD$7)),(SUMIF('Dept. Cost Actuals'!$E$7:$E$176,"*Employee*",'Dept. Cost Actuals'!BH$1225:BH$1394)))</f>
        <v>0</v>
      </c>
      <c r="BE21" s="668">
        <f>IF(BE$4="forecast",(((400/12)*BE$7)),(SUMIF('Dept. Cost Actuals'!$E$7:$E$176,"*Employee*",'Dept. Cost Actuals'!BI$1225:BI$1394)))</f>
        <v>0</v>
      </c>
      <c r="BF21" s="668">
        <f>IF(BF$4="forecast",(((400/12)*BF$7)),(SUMIF('Dept. Cost Actuals'!$E$7:$E$176,"*Employee*",'Dept. Cost Actuals'!BJ$1225:BJ$1394)))</f>
        <v>0</v>
      </c>
      <c r="BG21" s="668">
        <f>IF(BG$4="forecast",(((400/12)*BG$7)),(SUMIF('Dept. Cost Actuals'!$E$7:$E$176,"*Employee*",'Dept. Cost Actuals'!BK$1225:BK$1394)))</f>
        <v>0</v>
      </c>
      <c r="BH21" s="668">
        <f>IF(BH$4="forecast",(((400/12)*BH$7)),(SUMIF('Dept. Cost Actuals'!$E$7:$E$176,"*Employee*",'Dept. Cost Actuals'!BL$1225:BL$1394)))</f>
        <v>0</v>
      </c>
      <c r="BI21" s="668">
        <f>IF(BI$4="forecast",(((400/12)*BI$7)),(SUMIF('Dept. Cost Actuals'!$E$7:$E$176,"*Employee*",'Dept. Cost Actuals'!BM$1225:BM$1394)))</f>
        <v>0</v>
      </c>
      <c r="BJ21" s="668">
        <f>IF(BJ$4="forecast",(((400/12)*BJ$7)),(SUMIF('Dept. Cost Actuals'!$E$7:$E$176,"*Employee*",'Dept. Cost Actuals'!BN$1225:BN$1394)))</f>
        <v>0</v>
      </c>
      <c r="BK21" s="668">
        <f>IF(BK$4="forecast",(((400/12)*BK$7)),(SUMIF('Dept. Cost Actuals'!$E$7:$E$176,"*Employee*",'Dept. Cost Actuals'!BO$1225:BO$1394)))</f>
        <v>0</v>
      </c>
      <c r="BL21" s="668">
        <f>IF(BL$4="forecast",(((400/12)*BL$7)),(SUMIF('Dept. Cost Actuals'!$E$7:$E$176,"*Employee*",'Dept. Cost Actuals'!BP$1225:BP$1394)))</f>
        <v>0</v>
      </c>
      <c r="BM21" s="668">
        <f>IF(BM$4="forecast",(((400/12)*BM$7)),(SUMIF('Dept. Cost Actuals'!$E$7:$E$176,"*Employee*",'Dept. Cost Actuals'!BQ$1225:BQ$1394)))</f>
        <v>0</v>
      </c>
      <c r="BN21" s="668">
        <f>IF(BN$4="forecast",(((400/12)*BN$7)),(SUMIF('Dept. Cost Actuals'!$E$7:$E$176,"*Employee*",'Dept. Cost Actuals'!BR$1225:BR$1394)))</f>
        <v>0</v>
      </c>
      <c r="BO21" s="668">
        <f>IF(BO$4="forecast",(((400/12)*BO$7)),(SUMIF('Dept. Cost Actuals'!$E$7:$E$176,"*Employee*",'Dept. Cost Actuals'!BS$1225:BS$1394)))</f>
        <v>0</v>
      </c>
      <c r="BP21" s="668">
        <f>IF(BP$4="forecast",(((400/12)*BP$7)),(SUMIF('Dept. Cost Actuals'!$E$7:$E$176,"*Employee*",'Dept. Cost Actuals'!BT$1225:BT$1394)))</f>
        <v>0</v>
      </c>
      <c r="BQ21" s="668">
        <f>IF(BQ$4="forecast",(((400/12)*BQ$7)),(SUMIF('Dept. Cost Actuals'!$E$7:$E$176,"*Employee*",'Dept. Cost Actuals'!BU$1225:BU$1394)))</f>
        <v>0</v>
      </c>
      <c r="BR21" s="668">
        <f>IF(BR$4="forecast",(((400/12)*BR$7)),(SUMIF('Dept. Cost Actuals'!$E$7:$E$176,"*Employee*",'Dept. Cost Actuals'!BV$1225:BV$1394)))</f>
        <v>0</v>
      </c>
      <c r="BS21" s="668">
        <f>IF(BS$4="forecast",(((400/12)*BS$7)),(SUMIF('Dept. Cost Actuals'!$E$7:$E$176,"*Employee*",'Dept. Cost Actuals'!BW$1225:BW$1394)))</f>
        <v>0</v>
      </c>
      <c r="BT21" s="668">
        <f>IF(BT$4="forecast",(((400/12)*BT$7)),(SUMIF('Dept. Cost Actuals'!$E$7:$E$176,"*Employee*",'Dept. Cost Actuals'!BX$1225:BX$1394)))</f>
        <v>0</v>
      </c>
      <c r="BU21" s="668">
        <f>IF(BU$4="forecast",(((400/12)*BU$7)),(SUMIF('Dept. Cost Actuals'!$E$7:$E$176,"*Employee*",'Dept. Cost Actuals'!BY$1225:BY$1394)))</f>
        <v>0</v>
      </c>
      <c r="BV21" s="668">
        <f>IF(BV$4="forecast",(((400/12)*BV$7)),(SUMIF('Dept. Cost Actuals'!$E$7:$E$176,"*Employee*",'Dept. Cost Actuals'!BZ$1225:BZ$1394)))</f>
        <v>0</v>
      </c>
    </row>
    <row r="22" spans="2:74" x14ac:dyDescent="0.25">
      <c r="B22" s="794" t="s">
        <v>934</v>
      </c>
      <c r="C22" s="668">
        <f>IF(C$4="forecast",C$8*'Direct People Department Costs'!$H$8,SUMIF('Dept. Cost Actuals'!$E$7:$E$176,"*On Board*",'Dept. Cost Actuals'!G$1225:G$1394))</f>
        <v>0</v>
      </c>
      <c r="D22" s="668">
        <f>IF(D$4="forecast",D$8*'Direct People Department Costs'!$H$8,SUMIF('Dept. Cost Actuals'!$E$7:$E$176,"*On Board*",'Dept. Cost Actuals'!H$1225:H$1394))</f>
        <v>0</v>
      </c>
      <c r="E22" s="668">
        <f>IF(E$4="forecast",E$8*'Direct People Department Costs'!$H$8,SUMIF('Dept. Cost Actuals'!$E$7:$E$176,"*On Board*",'Dept. Cost Actuals'!I$1225:I$1394))</f>
        <v>0</v>
      </c>
      <c r="F22" s="668">
        <f>IF(F$4="forecast",F$8*'Direct People Department Costs'!$H$8,SUMIF('Dept. Cost Actuals'!$E$7:$E$176,"*On Board*",'Dept. Cost Actuals'!J$1225:J$1394))</f>
        <v>0</v>
      </c>
      <c r="G22" s="668">
        <f>IF(G$4="forecast",G$8*'Direct People Department Costs'!$H$8,SUMIF('Dept. Cost Actuals'!$E$7:$E$176,"*On Board*",'Dept. Cost Actuals'!K$1225:K$1394))</f>
        <v>0</v>
      </c>
      <c r="H22" s="668">
        <f>IF(H$4="forecast",H$8*'Direct People Department Costs'!$H$8,SUMIF('Dept. Cost Actuals'!$E$7:$E$176,"*On Board*",'Dept. Cost Actuals'!L$1225:L$1394))</f>
        <v>0</v>
      </c>
      <c r="I22" s="668">
        <f>IF(I$4="forecast",I$8*'Direct People Department Costs'!$H$8,SUMIF('Dept. Cost Actuals'!$E$7:$E$176,"*On Board*",'Dept. Cost Actuals'!M$1225:M$1394))</f>
        <v>0</v>
      </c>
      <c r="J22" s="668">
        <f>IF(J$4="forecast",J$8*'Direct People Department Costs'!$H$8,SUMIF('Dept. Cost Actuals'!$E$7:$E$176,"*On Board*",'Dept. Cost Actuals'!N$1225:N$1394))</f>
        <v>0</v>
      </c>
      <c r="K22" s="668">
        <f>IF(K$4="forecast",K$8*'Direct People Department Costs'!$H$8,SUMIF('Dept. Cost Actuals'!$E$7:$E$176,"*On Board*",'Dept. Cost Actuals'!O$1225:O$1394))</f>
        <v>0</v>
      </c>
      <c r="L22" s="668">
        <f>IF(L$4="forecast",L$8*'Direct People Department Costs'!$H$8,SUMIF('Dept. Cost Actuals'!$E$7:$E$176,"*On Board*",'Dept. Cost Actuals'!P$1225:P$1394))</f>
        <v>0</v>
      </c>
      <c r="M22" s="668">
        <f>IF(M$4="forecast",M$8*'Direct People Department Costs'!$H$8,SUMIF('Dept. Cost Actuals'!$E$7:$E$176,"*On Board*",'Dept. Cost Actuals'!Q$1225:Q$1394))</f>
        <v>0</v>
      </c>
      <c r="N22" s="668">
        <f>IF(N$4="forecast",N$8*'Direct People Department Costs'!$H$8,SUMIF('Dept. Cost Actuals'!$E$7:$E$176,"*On Board*",'Dept. Cost Actuals'!R$1225:R$1394))</f>
        <v>0</v>
      </c>
      <c r="O22" s="668">
        <f>IF(O$4="forecast",O$8*'Direct People Department Costs'!$H$8,SUMIF('Dept. Cost Actuals'!$E$7:$E$176,"*On Board*",'Dept. Cost Actuals'!S$1225:S$1394))</f>
        <v>343.13</v>
      </c>
      <c r="P22" s="668">
        <f>IF(P$4="forecast",P$8*'Direct People Department Costs'!$H$8,SUMIF('Dept. Cost Actuals'!$E$7:$E$176,"*On Board*",'Dept. Cost Actuals'!T$1225:T$1394))</f>
        <v>402.26</v>
      </c>
      <c r="Q22" s="668">
        <f>IF(Q$4="forecast",Q$8*'Direct People Department Costs'!$H$8,SUMIF('Dept. Cost Actuals'!$E$7:$E$176,"*On Board*",'Dept. Cost Actuals'!U$1225:U$1394))</f>
        <v>84.94</v>
      </c>
      <c r="R22" s="668">
        <f>IF(R$4="forecast",R$8*'Direct People Department Costs'!$H$8,SUMIF('Dept. Cost Actuals'!$E$7:$E$176,"*On Board*",'Dept. Cost Actuals'!V$1225:V$1394))</f>
        <v>1050.51</v>
      </c>
      <c r="S22" s="668">
        <f>IF(S$4="forecast",S$8*'Direct People Department Costs'!$H$8,SUMIF('Dept. Cost Actuals'!$E$7:$E$176,"*On Board*",'Dept. Cost Actuals'!W$1225:W$1394))</f>
        <v>2453.8200000000002</v>
      </c>
      <c r="T22" s="668">
        <f>IF(T$4="forecast",T$8*'Direct People Department Costs'!$H$8,SUMIF('Dept. Cost Actuals'!$E$7:$E$176,"*On Board*",'Dept. Cost Actuals'!X$1225:X$1394))</f>
        <v>0</v>
      </c>
      <c r="U22" s="668">
        <f>IF(U$4="forecast",U$8*'Direct People Department Costs'!$H$8,SUMIF('Dept. Cost Actuals'!$E$7:$E$176,"*On Board*",'Dept. Cost Actuals'!Y$1225:Y$1394))</f>
        <v>1354.68</v>
      </c>
      <c r="V22" s="668">
        <f>IF(V$4="forecast",V$8*'Direct People Department Costs'!$H$8,SUMIF('Dept. Cost Actuals'!$E$7:$E$176,"*On Board*",'Dept. Cost Actuals'!Z$1225:Z$1394))</f>
        <v>95.98</v>
      </c>
      <c r="W22" s="668">
        <f>IF(W$4="forecast",W$8*'Direct People Department Costs'!$H$8,SUMIF('Dept. Cost Actuals'!$E$7:$E$176,"*On Board*",'Dept. Cost Actuals'!AA$1225:AA$1394))</f>
        <v>0</v>
      </c>
      <c r="X22" s="668">
        <f>IF(X$4="forecast",X$8*'Direct People Department Costs'!$H$8,SUMIF('Dept. Cost Actuals'!$E$7:$E$176,"*On Board*",'Dept. Cost Actuals'!AB$1225:AB$1394))</f>
        <v>70.83</v>
      </c>
      <c r="Y22" s="668">
        <f>IF(Y$4="forecast",Y$8*'Direct People Department Costs'!$H$8,SUMIF('Dept. Cost Actuals'!$E$7:$E$176,"*On Board*",'Dept. Cost Actuals'!AC$1225:AC$1394))</f>
        <v>511.75</v>
      </c>
      <c r="Z22" s="668">
        <f>IF(Z$4="forecast",Z$8*'Direct People Department Costs'!$H$8,SUMIF('Dept. Cost Actuals'!$E$7:$E$176,"*On Board*",'Dept. Cost Actuals'!AD$1225:AD$1394))</f>
        <v>414.43</v>
      </c>
      <c r="AA22" s="668">
        <f>IF(AA$4="forecast",AA$8*'Direct People Department Costs'!$H$8,SUMIF('Dept. Cost Actuals'!$E$7:$E$176,"*On Board*",'Dept. Cost Actuals'!AE$1225:AE$1394))</f>
        <v>670.47</v>
      </c>
      <c r="AB22" s="668">
        <f>IF(AB$4="forecast",AB$8*'Direct People Department Costs'!$H$8,SUMIF('Dept. Cost Actuals'!$E$7:$E$176,"*On Board*",'Dept. Cost Actuals'!AF$1225:AF$1394))</f>
        <v>98.92</v>
      </c>
      <c r="AC22" s="668">
        <f>IF(AC$4="forecast",AC$8*'Direct People Department Costs'!$H$8,SUMIF('Dept. Cost Actuals'!$E$7:$E$176,"*On Board*",'Dept. Cost Actuals'!AG$1225:AG$1394))</f>
        <v>31.76</v>
      </c>
      <c r="AD22" s="668">
        <f>IF(AD$4="forecast",AD$8*'Direct People Department Costs'!$H$8,SUMIF('Dept. Cost Actuals'!$E$7:$E$176,"*On Board*",'Dept. Cost Actuals'!AH$1225:AH$1394))</f>
        <v>0</v>
      </c>
      <c r="AE22" s="668">
        <f>IF(AE$4="forecast",AE$8*'Direct People Department Costs'!$H$8,SUMIF('Dept. Cost Actuals'!$E$7:$E$176,"*On Board*",'Dept. Cost Actuals'!AI$1225:AI$1394))</f>
        <v>0</v>
      </c>
      <c r="AF22" s="668">
        <f>IF(AF$4="forecast",AF$8*'Direct People Department Costs'!$H$8,SUMIF('Dept. Cost Actuals'!$E$7:$E$176,"*On Board*",'Dept. Cost Actuals'!AJ$1225:AJ$1394))</f>
        <v>0</v>
      </c>
      <c r="AG22" s="668">
        <f>IF(AG$4="forecast",AG$8*'Direct People Department Costs'!$H$8,SUMIF('Dept. Cost Actuals'!$E$7:$E$176,"*On Board*",'Dept. Cost Actuals'!AK$1225:AK$1394))</f>
        <v>0</v>
      </c>
      <c r="AH22" s="668">
        <f>IF(AH$4="forecast",AH$8*'Direct People Department Costs'!$H$8,SUMIF('Dept. Cost Actuals'!$E$7:$E$176,"*On Board*",'Dept. Cost Actuals'!AL$1225:AL$1394))</f>
        <v>0</v>
      </c>
      <c r="AI22" s="668">
        <f>IF(AI$4="forecast",AI$8*'Direct People Department Costs'!$H$8,SUMIF('Dept. Cost Actuals'!$E$7:$E$176,"*On Board*",'Dept. Cost Actuals'!AM$1225:AM$1394))</f>
        <v>0</v>
      </c>
      <c r="AJ22" s="668">
        <f>IF(AJ$4="forecast",AJ$8*'Direct People Department Costs'!$H$8,SUMIF('Dept. Cost Actuals'!$E$7:$E$176,"*On Board*",'Dept. Cost Actuals'!AN$1225:AN$1394))</f>
        <v>0</v>
      </c>
      <c r="AK22" s="668">
        <f>IF(AK$4="forecast",AK$8*'Direct People Department Costs'!$H$8,SUMIF('Dept. Cost Actuals'!$E$7:$E$176,"*On Board*",'Dept. Cost Actuals'!AO$1225:AO$1394))</f>
        <v>0</v>
      </c>
      <c r="AL22" s="668">
        <f>IF(AL$4="forecast",AL$8*'Direct People Department Costs'!$H$8,SUMIF('Dept. Cost Actuals'!$E$7:$E$176,"*On Board*",'Dept. Cost Actuals'!AP$1225:AP$1394))</f>
        <v>0</v>
      </c>
      <c r="AM22" s="668">
        <f>IF(AM$4="forecast",AM$8*'Direct People Department Costs'!$H$8,SUMIF('Dept. Cost Actuals'!$E$7:$E$176,"*On Board*",'Dept. Cost Actuals'!AQ$1225:AQ$1394))</f>
        <v>0</v>
      </c>
      <c r="AN22" s="668">
        <f>IF(AN$4="forecast",AN$8*'Direct People Department Costs'!$H$8,SUMIF('Dept. Cost Actuals'!$E$7:$E$176,"*On Board*",'Dept. Cost Actuals'!AR$1225:AR$1394))</f>
        <v>0</v>
      </c>
      <c r="AO22" s="668">
        <f>IF(AO$4="forecast",AO$8*'Direct People Department Costs'!$H$8,SUMIF('Dept. Cost Actuals'!$E$7:$E$176,"*On Board*",'Dept. Cost Actuals'!AS$1225:AS$1394))</f>
        <v>0</v>
      </c>
      <c r="AP22" s="668">
        <f>IF(AP$4="forecast",AP$8*'Direct People Department Costs'!$H$8,SUMIF('Dept. Cost Actuals'!$E$7:$E$176,"*On Board*",'Dept. Cost Actuals'!AT$1225:AT$1394))</f>
        <v>0</v>
      </c>
      <c r="AQ22" s="668">
        <f>IF(AQ$4="forecast",AQ$8*'Direct People Department Costs'!$H$8,SUMIF('Dept. Cost Actuals'!$E$7:$E$176,"*On Board*",'Dept. Cost Actuals'!AU$1225:AU$1394))</f>
        <v>0</v>
      </c>
      <c r="AR22" s="668">
        <f>IF(AR$4="forecast",AR$8*'Direct People Department Costs'!$H$8,SUMIF('Dept. Cost Actuals'!$E$7:$E$176,"*On Board*",'Dept. Cost Actuals'!AV$1225:AV$1394))</f>
        <v>0</v>
      </c>
      <c r="AS22" s="668">
        <f>IF(AS$4="forecast",AS$8*'Direct People Department Costs'!$H$8,SUMIF('Dept. Cost Actuals'!$E$7:$E$176,"*On Board*",'Dept. Cost Actuals'!AW$1225:AW$1394))</f>
        <v>0</v>
      </c>
      <c r="AT22" s="668">
        <f>IF(AT$4="forecast",AT$8*'Direct People Department Costs'!$H$8,SUMIF('Dept. Cost Actuals'!$E$7:$E$176,"*On Board*",'Dept. Cost Actuals'!AX$1225:AX$1394))</f>
        <v>0</v>
      </c>
      <c r="AU22" s="668">
        <f>IF(AU$4="forecast",AU$8*'Direct People Department Costs'!$H$8,SUMIF('Dept. Cost Actuals'!$E$7:$E$176,"*On Board*",'Dept. Cost Actuals'!AY$1225:AY$1394))</f>
        <v>0</v>
      </c>
      <c r="AV22" s="668">
        <f>IF(AV$4="forecast",AV$8*'Direct People Department Costs'!$H$8,SUMIF('Dept. Cost Actuals'!$E$7:$E$176,"*On Board*",'Dept. Cost Actuals'!AZ$1225:AZ$1394))</f>
        <v>0</v>
      </c>
      <c r="AW22" s="668">
        <f>IF(AW$4="forecast",AW$8*'Direct People Department Costs'!$H$8,SUMIF('Dept. Cost Actuals'!$E$7:$E$176,"*On Board*",'Dept. Cost Actuals'!BA$1225:BA$1394))</f>
        <v>0</v>
      </c>
      <c r="AX22" s="668">
        <f>IF(AX$4="forecast",AX$8*'Direct People Department Costs'!$H$8,SUMIF('Dept. Cost Actuals'!$E$7:$E$176,"*On Board*",'Dept. Cost Actuals'!BB$1225:BB$1394))</f>
        <v>0</v>
      </c>
      <c r="AY22" s="668">
        <f>IF(AY$4="forecast",AY$8*'Direct People Department Costs'!$H$8,SUMIF('Dept. Cost Actuals'!$E$7:$E$176,"*On Board*",'Dept. Cost Actuals'!BC$1225:BC$1394))</f>
        <v>0</v>
      </c>
      <c r="AZ22" s="668">
        <f>IF(AZ$4="forecast",AZ$8*'Direct People Department Costs'!$H$8,SUMIF('Dept. Cost Actuals'!$E$7:$E$176,"*On Board*",'Dept. Cost Actuals'!BD$1225:BD$1394))</f>
        <v>0</v>
      </c>
      <c r="BA22" s="668">
        <f>IF(BA$4="forecast",BA$8*'Direct People Department Costs'!$H$8,SUMIF('Dept. Cost Actuals'!$E$7:$E$176,"*On Board*",'Dept. Cost Actuals'!BE$1225:BE$1394))</f>
        <v>0</v>
      </c>
      <c r="BB22" s="668">
        <f>IF(BB$4="forecast",BB$8*'Direct People Department Costs'!$H$8,SUMIF('Dept. Cost Actuals'!$E$7:$E$176,"*On Board*",'Dept. Cost Actuals'!BF$1225:BF$1394))</f>
        <v>0</v>
      </c>
      <c r="BC22" s="668">
        <f>IF(BC$4="forecast",BC$8*'Direct People Department Costs'!$H$8,SUMIF('Dept. Cost Actuals'!$E$7:$E$176,"*On Board*",'Dept. Cost Actuals'!BG$1225:BG$1394))</f>
        <v>0</v>
      </c>
      <c r="BD22" s="668">
        <f>IF(BD$4="forecast",BD$8*'Direct People Department Costs'!$H$8,SUMIF('Dept. Cost Actuals'!$E$7:$E$176,"*On Board*",'Dept. Cost Actuals'!BH$1225:BH$1394))</f>
        <v>0</v>
      </c>
      <c r="BE22" s="668">
        <f>IF(BE$4="forecast",BE$8*'Direct People Department Costs'!$H$8,SUMIF('Dept. Cost Actuals'!$E$7:$E$176,"*On Board*",'Dept. Cost Actuals'!BI$1225:BI$1394))</f>
        <v>0</v>
      </c>
      <c r="BF22" s="668">
        <f>IF(BF$4="forecast",BF$8*'Direct People Department Costs'!$H$8,SUMIF('Dept. Cost Actuals'!$E$7:$E$176,"*On Board*",'Dept. Cost Actuals'!BJ$1225:BJ$1394))</f>
        <v>0</v>
      </c>
      <c r="BG22" s="668">
        <f>IF(BG$4="forecast",BG$8*'Direct People Department Costs'!$H$8,SUMIF('Dept. Cost Actuals'!$E$7:$E$176,"*On Board*",'Dept. Cost Actuals'!BK$1225:BK$1394))</f>
        <v>0</v>
      </c>
      <c r="BH22" s="668">
        <f>IF(BH$4="forecast",BH$8*'Direct People Department Costs'!$H$8,SUMIF('Dept. Cost Actuals'!$E$7:$E$176,"*On Board*",'Dept. Cost Actuals'!BL$1225:BL$1394))</f>
        <v>0</v>
      </c>
      <c r="BI22" s="668">
        <f>IF(BI$4="forecast",BI$8*'Direct People Department Costs'!$H$8,SUMIF('Dept. Cost Actuals'!$E$7:$E$176,"*On Board*",'Dept. Cost Actuals'!BM$1225:BM$1394))</f>
        <v>0</v>
      </c>
      <c r="BJ22" s="668">
        <f>IF(BJ$4="forecast",BJ$8*'Direct People Department Costs'!$H$8,SUMIF('Dept. Cost Actuals'!$E$7:$E$176,"*On Board*",'Dept. Cost Actuals'!BN$1225:BN$1394))</f>
        <v>0</v>
      </c>
      <c r="BK22" s="668">
        <f>IF(BK$4="forecast",BK$8*'Direct People Department Costs'!$H$8,SUMIF('Dept. Cost Actuals'!$E$7:$E$176,"*On Board*",'Dept. Cost Actuals'!BO$1225:BO$1394))</f>
        <v>0</v>
      </c>
      <c r="BL22" s="668">
        <f>IF(BL$4="forecast",BL$8*'Direct People Department Costs'!$H$8,SUMIF('Dept. Cost Actuals'!$E$7:$E$176,"*On Board*",'Dept. Cost Actuals'!BP$1225:BP$1394))</f>
        <v>0</v>
      </c>
      <c r="BM22" s="668">
        <f>IF(BM$4="forecast",BM$8*'Direct People Department Costs'!$H$8,SUMIF('Dept. Cost Actuals'!$E$7:$E$176,"*On Board*",'Dept. Cost Actuals'!BQ$1225:BQ$1394))</f>
        <v>0</v>
      </c>
      <c r="BN22" s="668">
        <f>IF(BN$4="forecast",BN$8*'Direct People Department Costs'!$H$8,SUMIF('Dept. Cost Actuals'!$E$7:$E$176,"*On Board*",'Dept. Cost Actuals'!BR$1225:BR$1394))</f>
        <v>0</v>
      </c>
      <c r="BO22" s="668">
        <f>IF(BO$4="forecast",BO$8*'Direct People Department Costs'!$H$8,SUMIF('Dept. Cost Actuals'!$E$7:$E$176,"*On Board*",'Dept. Cost Actuals'!BS$1225:BS$1394))</f>
        <v>0</v>
      </c>
      <c r="BP22" s="668">
        <f>IF(BP$4="forecast",BP$8*'Direct People Department Costs'!$H$8,SUMIF('Dept. Cost Actuals'!$E$7:$E$176,"*On Board*",'Dept. Cost Actuals'!BT$1225:BT$1394))</f>
        <v>0</v>
      </c>
      <c r="BQ22" s="668">
        <f>IF(BQ$4="forecast",BQ$8*'Direct People Department Costs'!$H$8,SUMIF('Dept. Cost Actuals'!$E$7:$E$176,"*On Board*",'Dept. Cost Actuals'!BU$1225:BU$1394))</f>
        <v>0</v>
      </c>
      <c r="BR22" s="668">
        <f>IF(BR$4="forecast",BR$8*'Direct People Department Costs'!$H$8,SUMIF('Dept. Cost Actuals'!$E$7:$E$176,"*On Board*",'Dept. Cost Actuals'!BV$1225:BV$1394))</f>
        <v>0</v>
      </c>
      <c r="BS22" s="668">
        <f>IF(BS$4="forecast",BS$8*'Direct People Department Costs'!$H$8,SUMIF('Dept. Cost Actuals'!$E$7:$E$176,"*On Board*",'Dept. Cost Actuals'!BW$1225:BW$1394))</f>
        <v>0</v>
      </c>
      <c r="BT22" s="668">
        <f>IF(BT$4="forecast",BT$8*'Direct People Department Costs'!$H$8,SUMIF('Dept. Cost Actuals'!$E$7:$E$176,"*On Board*",'Dept. Cost Actuals'!BX$1225:BX$1394))</f>
        <v>0</v>
      </c>
      <c r="BU22" s="668">
        <f>IF(BU$4="forecast",BU$8*'Direct People Department Costs'!$H$8,SUMIF('Dept. Cost Actuals'!$E$7:$E$176,"*On Board*",'Dept. Cost Actuals'!BY$1225:BY$1394))</f>
        <v>0</v>
      </c>
      <c r="BV22" s="668">
        <f>IF(BV$4="forecast",BV$8*'Direct People Department Costs'!$H$8,SUMIF('Dept. Cost Actuals'!$E$7:$E$176,"*On Board*",'Dept. Cost Actuals'!BZ$1225:BZ$1394))</f>
        <v>0</v>
      </c>
    </row>
    <row r="23" spans="2:74" x14ac:dyDescent="0.25">
      <c r="B23" s="794" t="s">
        <v>918</v>
      </c>
      <c r="C23" s="668">
        <f>IF(C$4="forecast",C$8*'Direct People Department Costs'!$H$9,SUMIF('Dept. Cost Actuals'!$E$7:$E$176,"*Recruiting*",'Dept. Cost Actuals'!G$1225:G$1394))</f>
        <v>647.18999999999994</v>
      </c>
      <c r="D23" s="668">
        <f>IF(D$4="forecast",D$8*'Direct People Department Costs'!$H$9,SUMIF('Dept. Cost Actuals'!$E$7:$E$176,"*Recruiting*",'Dept. Cost Actuals'!H$1225:H$1394))</f>
        <v>306.36421169325592</v>
      </c>
      <c r="E23" s="668">
        <f>IF(E$4="forecast",E$8*'Direct People Department Costs'!$H$9,SUMIF('Dept. Cost Actuals'!$E$7:$E$176,"*Recruiting*",'Dept. Cost Actuals'!I$1225:I$1394))</f>
        <v>184.79089873983278</v>
      </c>
      <c r="F23" s="668">
        <f>IF(F$4="forecast",F$8*'Direct People Department Costs'!$H$9,SUMIF('Dept. Cost Actuals'!$E$7:$E$176,"*Recruiting*",'Dept. Cost Actuals'!J$1225:J$1394))</f>
        <v>18112.600863932217</v>
      </c>
      <c r="G23" s="668">
        <f>IF(G$4="forecast",G$8*'Direct People Department Costs'!$H$9,SUMIF('Dept. Cost Actuals'!$E$7:$E$176,"*Recruiting*",'Dept. Cost Actuals'!K$1225:K$1394))</f>
        <v>676.59513365982218</v>
      </c>
      <c r="H23" s="668">
        <f>IF(H$4="forecast",H$8*'Direct People Department Costs'!$H$9,SUMIF('Dept. Cost Actuals'!$E$7:$E$176,"*Recruiting*",'Dept. Cost Actuals'!L$1225:L$1394))</f>
        <v>8748.4943310428898</v>
      </c>
      <c r="I23" s="668">
        <f>IF(I$4="forecast",I$8*'Direct People Department Costs'!$H$9,SUMIF('Dept. Cost Actuals'!$E$7:$E$176,"*Recruiting*",'Dept. Cost Actuals'!M$1225:M$1394))</f>
        <v>14056.767728167517</v>
      </c>
      <c r="J23" s="668">
        <f>IF(J$4="forecast",J$8*'Direct People Department Costs'!$H$9,SUMIF('Dept. Cost Actuals'!$E$7:$E$176,"*Recruiting*",'Dept. Cost Actuals'!N$1225:N$1394))</f>
        <v>14141.935748632695</v>
      </c>
      <c r="K23" s="668">
        <f>IF(K$4="forecast",K$8*'Direct People Department Costs'!$H$9,SUMIF('Dept. Cost Actuals'!$E$7:$E$176,"*Recruiting*",'Dept. Cost Actuals'!O$1225:O$1394))</f>
        <v>75.467645879096239</v>
      </c>
      <c r="L23" s="668">
        <f>IF(L$4="forecast",L$8*'Direct People Department Costs'!$H$9,SUMIF('Dept. Cost Actuals'!$E$7:$E$176,"*Recruiting*",'Dept. Cost Actuals'!P$1225:P$1394))</f>
        <v>24.475343135235985</v>
      </c>
      <c r="M23" s="668">
        <f>IF(M$4="forecast",M$8*'Direct People Department Costs'!$H$9,SUMIF('Dept. Cost Actuals'!$E$7:$E$176,"*Recruiting*",'Dept. Cost Actuals'!Q$1225:Q$1394))</f>
        <v>0</v>
      </c>
      <c r="N23" s="668">
        <f>IF(N$4="forecast",N$8*'Direct People Department Costs'!$H$9,SUMIF('Dept. Cost Actuals'!$E$7:$E$176,"*Recruiting*",'Dept. Cost Actuals'!R$1225:R$1394))</f>
        <v>0</v>
      </c>
      <c r="O23" s="668">
        <f>IF(O$4="forecast",O$8*'Direct People Department Costs'!$H$9,SUMIF('Dept. Cost Actuals'!$E$7:$E$176,"*Recruiting*",'Dept. Cost Actuals'!S$1225:S$1394))</f>
        <v>0</v>
      </c>
      <c r="P23" s="668">
        <f>IF(P$4="forecast",P$8*'Direct People Department Costs'!$H$9,SUMIF('Dept. Cost Actuals'!$E$7:$E$176,"*Recruiting*",'Dept. Cost Actuals'!T$1225:T$1394))</f>
        <v>0</v>
      </c>
      <c r="Q23" s="668">
        <f>IF(Q$4="forecast",Q$8*'Direct People Department Costs'!$H$9,SUMIF('Dept. Cost Actuals'!$E$7:$E$176,"*Recruiting*",'Dept. Cost Actuals'!U$1225:U$1394))</f>
        <v>0</v>
      </c>
      <c r="R23" s="668">
        <f>IF(R$4="forecast",R$8*'Direct People Department Costs'!$H$9,SUMIF('Dept. Cost Actuals'!$E$7:$E$176,"*Recruiting*",'Dept. Cost Actuals'!V$1225:V$1394))</f>
        <v>60</v>
      </c>
      <c r="S23" s="668">
        <f>IF(S$4="forecast",S$8*'Direct People Department Costs'!$H$9,SUMIF('Dept. Cost Actuals'!$E$7:$E$176,"*Recruiting*",'Dept. Cost Actuals'!W$1225:W$1394))</f>
        <v>0</v>
      </c>
      <c r="T23" s="668">
        <f>IF(T$4="forecast",T$8*'Direct People Department Costs'!$H$9,SUMIF('Dept. Cost Actuals'!$E$7:$E$176,"*Recruiting*",'Dept. Cost Actuals'!X$1225:X$1394))</f>
        <v>0</v>
      </c>
      <c r="U23" s="668">
        <f>IF(U$4="forecast",U$8*'Direct People Department Costs'!$H$9,SUMIF('Dept. Cost Actuals'!$E$7:$E$176,"*Recruiting*",'Dept. Cost Actuals'!Y$1225:Y$1394))</f>
        <v>0</v>
      </c>
      <c r="V23" s="668">
        <f>IF(V$4="forecast",V$8*'Direct People Department Costs'!$H$9,SUMIF('Dept. Cost Actuals'!$E$7:$E$176,"*Recruiting*",'Dept. Cost Actuals'!Z$1225:Z$1394))</f>
        <v>0</v>
      </c>
      <c r="W23" s="668">
        <f>IF(W$4="forecast",W$8*'Direct People Department Costs'!$H$9,SUMIF('Dept. Cost Actuals'!$E$7:$E$176,"*Recruiting*",'Dept. Cost Actuals'!AA$1225:AA$1394))</f>
        <v>0</v>
      </c>
      <c r="X23" s="668">
        <f>IF(X$4="forecast",X$8*'Direct People Department Costs'!$H$9,SUMIF('Dept. Cost Actuals'!$E$7:$E$176,"*Recruiting*",'Dept. Cost Actuals'!AB$1225:AB$1394))</f>
        <v>0</v>
      </c>
      <c r="Y23" s="668">
        <f>IF(Y$4="forecast",Y$8*'Direct People Department Costs'!$H$9,SUMIF('Dept. Cost Actuals'!$E$7:$E$176,"*Recruiting*",'Dept. Cost Actuals'!AC$1225:AC$1394))</f>
        <v>0</v>
      </c>
      <c r="Z23" s="668">
        <f>IF(Z$4="forecast",Z$8*'Direct People Department Costs'!$H$9,SUMIF('Dept. Cost Actuals'!$E$7:$E$176,"*Recruiting*",'Dept. Cost Actuals'!AD$1225:AD$1394))</f>
        <v>0</v>
      </c>
      <c r="AA23" s="668">
        <f>IF(AA$4="forecast",AA$8*'Direct People Department Costs'!$H$9,SUMIF('Dept. Cost Actuals'!$E$7:$E$176,"*Recruiting*",'Dept. Cost Actuals'!AE$1225:AE$1394))</f>
        <v>0</v>
      </c>
      <c r="AB23" s="668">
        <f>IF(AB$4="forecast",AB$8*'Direct People Department Costs'!$H$9,SUMIF('Dept. Cost Actuals'!$E$7:$E$176,"*Recruiting*",'Dept. Cost Actuals'!AF$1225:AF$1394))</f>
        <v>59</v>
      </c>
      <c r="AC23" s="668">
        <f>IF(AC$4="forecast",AC$8*'Direct People Department Costs'!$H$9,SUMIF('Dept. Cost Actuals'!$E$7:$E$176,"*Recruiting*",'Dept. Cost Actuals'!AG$1225:AG$1394))</f>
        <v>0</v>
      </c>
      <c r="AD23" s="668">
        <f>IF(AD$4="forecast",AD$8*'Direct People Department Costs'!$H$9,SUMIF('Dept. Cost Actuals'!$E$7:$E$176,"*Recruiting*",'Dept. Cost Actuals'!AH$1225:AH$1394))</f>
        <v>0</v>
      </c>
      <c r="AE23" s="668">
        <f>IF(AE$4="forecast",AE$8*'Direct People Department Costs'!$H$9,SUMIF('Dept. Cost Actuals'!$E$7:$E$176,"*Recruiting*",'Dept. Cost Actuals'!AI$1225:AI$1394))</f>
        <v>0</v>
      </c>
      <c r="AF23" s="668">
        <f>IF(AF$4="forecast",AF$8*'Direct People Department Costs'!$H$9,SUMIF('Dept. Cost Actuals'!$E$7:$E$176,"*Recruiting*",'Dept. Cost Actuals'!AJ$1225:AJ$1394))</f>
        <v>0</v>
      </c>
      <c r="AG23" s="668">
        <f>IF(AG$4="forecast",AG$8*'Direct People Department Costs'!$H$9,SUMIF('Dept. Cost Actuals'!$E$7:$E$176,"*Recruiting*",'Dept. Cost Actuals'!AK$1225:AK$1394))</f>
        <v>0</v>
      </c>
      <c r="AH23" s="668">
        <f>IF(AH$4="forecast",AH$8*'Direct People Department Costs'!$H$9,SUMIF('Dept. Cost Actuals'!$E$7:$E$176,"*Recruiting*",'Dept. Cost Actuals'!AL$1225:AL$1394))</f>
        <v>0</v>
      </c>
      <c r="AI23" s="668">
        <f>IF(AI$4="forecast",AI$8*'Direct People Department Costs'!$H$9,SUMIF('Dept. Cost Actuals'!$E$7:$E$176,"*Recruiting*",'Dept. Cost Actuals'!AM$1225:AM$1394))</f>
        <v>0</v>
      </c>
      <c r="AJ23" s="668">
        <f>IF(AJ$4="forecast",AJ$8*'Direct People Department Costs'!$H$9,SUMIF('Dept. Cost Actuals'!$E$7:$E$176,"*Recruiting*",'Dept. Cost Actuals'!AN$1225:AN$1394))</f>
        <v>0</v>
      </c>
      <c r="AK23" s="668">
        <f>IF(AK$4="forecast",AK$8*'Direct People Department Costs'!$H$9,SUMIF('Dept. Cost Actuals'!$E$7:$E$176,"*Recruiting*",'Dept. Cost Actuals'!AO$1225:AO$1394))</f>
        <v>0</v>
      </c>
      <c r="AL23" s="668">
        <f>IF(AL$4="forecast",AL$8*'Direct People Department Costs'!$H$9,SUMIF('Dept. Cost Actuals'!$E$7:$E$176,"*Recruiting*",'Dept. Cost Actuals'!AP$1225:AP$1394))</f>
        <v>0</v>
      </c>
      <c r="AM23" s="668">
        <f>IF(AM$4="forecast",AM$8*'Direct People Department Costs'!$H$9,SUMIF('Dept. Cost Actuals'!$E$7:$E$176,"*Recruiting*",'Dept. Cost Actuals'!AQ$1225:AQ$1394))</f>
        <v>0</v>
      </c>
      <c r="AN23" s="668">
        <f>IF(AN$4="forecast",AN$8*'Direct People Department Costs'!$H$9,SUMIF('Dept. Cost Actuals'!$E$7:$E$176,"*Recruiting*",'Dept. Cost Actuals'!AR$1225:AR$1394))</f>
        <v>0</v>
      </c>
      <c r="AO23" s="668">
        <f>IF(AO$4="forecast",AO$8*'Direct People Department Costs'!$H$9,SUMIF('Dept. Cost Actuals'!$E$7:$E$176,"*Recruiting*",'Dept. Cost Actuals'!AS$1225:AS$1394))</f>
        <v>0</v>
      </c>
      <c r="AP23" s="668">
        <f>IF(AP$4="forecast",AP$8*'Direct People Department Costs'!$H$9,SUMIF('Dept. Cost Actuals'!$E$7:$E$176,"*Recruiting*",'Dept. Cost Actuals'!AT$1225:AT$1394))</f>
        <v>0</v>
      </c>
      <c r="AQ23" s="668">
        <f>IF(AQ$4="forecast",AQ$8*'Direct People Department Costs'!$H$9,SUMIF('Dept. Cost Actuals'!$E$7:$E$176,"*Recruiting*",'Dept. Cost Actuals'!AU$1225:AU$1394))</f>
        <v>0</v>
      </c>
      <c r="AR23" s="668">
        <f>IF(AR$4="forecast",AR$8*'Direct People Department Costs'!$H$9,SUMIF('Dept. Cost Actuals'!$E$7:$E$176,"*Recruiting*",'Dept. Cost Actuals'!AV$1225:AV$1394))</f>
        <v>0</v>
      </c>
      <c r="AS23" s="668">
        <f>IF(AS$4="forecast",AS$8*'Direct People Department Costs'!$H$9,SUMIF('Dept. Cost Actuals'!$E$7:$E$176,"*Recruiting*",'Dept. Cost Actuals'!AW$1225:AW$1394))</f>
        <v>0</v>
      </c>
      <c r="AT23" s="668">
        <f>IF(AT$4="forecast",AT$8*'Direct People Department Costs'!$H$9,SUMIF('Dept. Cost Actuals'!$E$7:$E$176,"*Recruiting*",'Dept. Cost Actuals'!AX$1225:AX$1394))</f>
        <v>0</v>
      </c>
      <c r="AU23" s="668">
        <f>IF(AU$4="forecast",AU$8*'Direct People Department Costs'!$H$9,SUMIF('Dept. Cost Actuals'!$E$7:$E$176,"*Recruiting*",'Dept. Cost Actuals'!AY$1225:AY$1394))</f>
        <v>0</v>
      </c>
      <c r="AV23" s="668">
        <f>IF(AV$4="forecast",AV$8*'Direct People Department Costs'!$H$9,SUMIF('Dept. Cost Actuals'!$E$7:$E$176,"*Recruiting*",'Dept. Cost Actuals'!AZ$1225:AZ$1394))</f>
        <v>0</v>
      </c>
      <c r="AW23" s="668">
        <f>IF(AW$4="forecast",AW$8*'Direct People Department Costs'!$H$9,SUMIF('Dept. Cost Actuals'!$E$7:$E$176,"*Recruiting*",'Dept. Cost Actuals'!BA$1225:BA$1394))</f>
        <v>0</v>
      </c>
      <c r="AX23" s="668">
        <f>IF(AX$4="forecast",AX$8*'Direct People Department Costs'!$H$9,SUMIF('Dept. Cost Actuals'!$E$7:$E$176,"*Recruiting*",'Dept. Cost Actuals'!BB$1225:BB$1394))</f>
        <v>0</v>
      </c>
      <c r="AY23" s="668">
        <f>IF(AY$4="forecast",AY$8*'Direct People Department Costs'!$H$9,SUMIF('Dept. Cost Actuals'!$E$7:$E$176,"*Recruiting*",'Dept. Cost Actuals'!BC$1225:BC$1394))</f>
        <v>0</v>
      </c>
      <c r="AZ23" s="668">
        <f>IF(AZ$4="forecast",AZ$8*'Direct People Department Costs'!$H$9,SUMIF('Dept. Cost Actuals'!$E$7:$E$176,"*Recruiting*",'Dept. Cost Actuals'!BD$1225:BD$1394))</f>
        <v>0</v>
      </c>
      <c r="BA23" s="668">
        <f>IF(BA$4="forecast",BA$8*'Direct People Department Costs'!$H$9,SUMIF('Dept. Cost Actuals'!$E$7:$E$176,"*Recruiting*",'Dept. Cost Actuals'!BE$1225:BE$1394))</f>
        <v>0</v>
      </c>
      <c r="BB23" s="668">
        <f>IF(BB$4="forecast",BB$8*'Direct People Department Costs'!$H$9,SUMIF('Dept. Cost Actuals'!$E$7:$E$176,"*Recruiting*",'Dept. Cost Actuals'!BF$1225:BF$1394))</f>
        <v>0</v>
      </c>
      <c r="BC23" s="668">
        <f>IF(BC$4="forecast",BC$8*'Direct People Department Costs'!$H$9,SUMIF('Dept. Cost Actuals'!$E$7:$E$176,"*Recruiting*",'Dept. Cost Actuals'!BG$1225:BG$1394))</f>
        <v>0</v>
      </c>
      <c r="BD23" s="668">
        <f>IF(BD$4="forecast",BD$8*'Direct People Department Costs'!$H$9,SUMIF('Dept. Cost Actuals'!$E$7:$E$176,"*Recruiting*",'Dept. Cost Actuals'!BH$1225:BH$1394))</f>
        <v>0</v>
      </c>
      <c r="BE23" s="668">
        <f>IF(BE$4="forecast",BE$8*'Direct People Department Costs'!$H$9,SUMIF('Dept. Cost Actuals'!$E$7:$E$176,"*Recruiting*",'Dept. Cost Actuals'!BI$1225:BI$1394))</f>
        <v>0</v>
      </c>
      <c r="BF23" s="668">
        <f>IF(BF$4="forecast",BF$8*'Direct People Department Costs'!$H$9,SUMIF('Dept. Cost Actuals'!$E$7:$E$176,"*Recruiting*",'Dept. Cost Actuals'!BJ$1225:BJ$1394))</f>
        <v>0</v>
      </c>
      <c r="BG23" s="668">
        <f>IF(BG$4="forecast",BG$8*'Direct People Department Costs'!$H$9,SUMIF('Dept. Cost Actuals'!$E$7:$E$176,"*Recruiting*",'Dept. Cost Actuals'!BK$1225:BK$1394))</f>
        <v>0</v>
      </c>
      <c r="BH23" s="668">
        <f>IF(BH$4="forecast",BH$8*'Direct People Department Costs'!$H$9,SUMIF('Dept. Cost Actuals'!$E$7:$E$176,"*Recruiting*",'Dept. Cost Actuals'!BL$1225:BL$1394))</f>
        <v>0</v>
      </c>
      <c r="BI23" s="668">
        <f>IF(BI$4="forecast",BI$8*'Direct People Department Costs'!$H$9,SUMIF('Dept. Cost Actuals'!$E$7:$E$176,"*Recruiting*",'Dept. Cost Actuals'!BM$1225:BM$1394))</f>
        <v>0</v>
      </c>
      <c r="BJ23" s="668">
        <f>IF(BJ$4="forecast",BJ$8*'Direct People Department Costs'!$H$9,SUMIF('Dept. Cost Actuals'!$E$7:$E$176,"*Recruiting*",'Dept. Cost Actuals'!BN$1225:BN$1394))</f>
        <v>0</v>
      </c>
      <c r="BK23" s="668">
        <f>IF(BK$4="forecast",BK$8*'Direct People Department Costs'!$H$9,SUMIF('Dept. Cost Actuals'!$E$7:$E$176,"*Recruiting*",'Dept. Cost Actuals'!BO$1225:BO$1394))</f>
        <v>0</v>
      </c>
      <c r="BL23" s="668">
        <f>IF(BL$4="forecast",BL$8*'Direct People Department Costs'!$H$9,SUMIF('Dept. Cost Actuals'!$E$7:$E$176,"*Recruiting*",'Dept. Cost Actuals'!BP$1225:BP$1394))</f>
        <v>0</v>
      </c>
      <c r="BM23" s="668">
        <f>IF(BM$4="forecast",BM$8*'Direct People Department Costs'!$H$9,SUMIF('Dept. Cost Actuals'!$E$7:$E$176,"*Recruiting*",'Dept. Cost Actuals'!BQ$1225:BQ$1394))</f>
        <v>0</v>
      </c>
      <c r="BN23" s="668">
        <f>IF(BN$4="forecast",BN$8*'Direct People Department Costs'!$H$9,SUMIF('Dept. Cost Actuals'!$E$7:$E$176,"*Recruiting*",'Dept. Cost Actuals'!BR$1225:BR$1394))</f>
        <v>0</v>
      </c>
      <c r="BO23" s="668">
        <f>IF(BO$4="forecast",BO$8*'Direct People Department Costs'!$H$9,SUMIF('Dept. Cost Actuals'!$E$7:$E$176,"*Recruiting*",'Dept. Cost Actuals'!BS$1225:BS$1394))</f>
        <v>0</v>
      </c>
      <c r="BP23" s="668">
        <f>IF(BP$4="forecast",BP$8*'Direct People Department Costs'!$H$9,SUMIF('Dept. Cost Actuals'!$E$7:$E$176,"*Recruiting*",'Dept. Cost Actuals'!BT$1225:BT$1394))</f>
        <v>0</v>
      </c>
      <c r="BQ23" s="668">
        <f>IF(BQ$4="forecast",BQ$8*'Direct People Department Costs'!$H$9,SUMIF('Dept. Cost Actuals'!$E$7:$E$176,"*Recruiting*",'Dept. Cost Actuals'!BU$1225:BU$1394))</f>
        <v>0</v>
      </c>
      <c r="BR23" s="668">
        <f>IF(BR$4="forecast",BR$8*'Direct People Department Costs'!$H$9,SUMIF('Dept. Cost Actuals'!$E$7:$E$176,"*Recruiting*",'Dept. Cost Actuals'!BV$1225:BV$1394))</f>
        <v>0</v>
      </c>
      <c r="BS23" s="668">
        <f>IF(BS$4="forecast",BS$8*'Direct People Department Costs'!$H$9,SUMIF('Dept. Cost Actuals'!$E$7:$E$176,"*Recruiting*",'Dept. Cost Actuals'!BW$1225:BW$1394))</f>
        <v>0</v>
      </c>
      <c r="BT23" s="668">
        <f>IF(BT$4="forecast",BT$8*'Direct People Department Costs'!$H$9,SUMIF('Dept. Cost Actuals'!$E$7:$E$176,"*Recruiting*",'Dept. Cost Actuals'!BX$1225:BX$1394))</f>
        <v>0</v>
      </c>
      <c r="BU23" s="668">
        <f>IF(BU$4="forecast",BU$8*'Direct People Department Costs'!$H$9,SUMIF('Dept. Cost Actuals'!$E$7:$E$176,"*Recruiting*",'Dept. Cost Actuals'!BY$1225:BY$1394))</f>
        <v>0</v>
      </c>
      <c r="BV23" s="668">
        <f>IF(BV$4="forecast",BV$8*'Direct People Department Costs'!$H$9,SUMIF('Dept. Cost Actuals'!$E$7:$E$176,"*Recruiting*",'Dept. Cost Actuals'!BZ$1225:BZ$1394))</f>
        <v>0</v>
      </c>
    </row>
    <row r="24" spans="2:74" x14ac:dyDescent="0.25">
      <c r="B24" s="794" t="s">
        <v>431</v>
      </c>
      <c r="C24" s="668">
        <f>IF(C$4="forecast",(4200),SUMIF('Dept. Cost Actuals'!$E$7:$E$176,"*Travel*",'Dept. Cost Actuals'!G$1225:G$1394))</f>
        <v>252.819063</v>
      </c>
      <c r="D24" s="668">
        <f>IF(D$4="forecast",(4200),SUMIF('Dept. Cost Actuals'!$E$7:$E$176,"*Travel*",'Dept. Cost Actuals'!H$1225:H$1394))</f>
        <v>2085.3018681977546</v>
      </c>
      <c r="E24" s="668">
        <f>IF(E$4="forecast",(4200),SUMIF('Dept. Cost Actuals'!$E$7:$E$176,"*Travel*",'Dept. Cost Actuals'!I$1225:I$1394))</f>
        <v>1414.4018583479294</v>
      </c>
      <c r="F24" s="668">
        <f>IF(F$4="forecast",(4200),SUMIF('Dept. Cost Actuals'!$E$7:$E$176,"*Travel*",'Dept. Cost Actuals'!J$1225:J$1394))</f>
        <v>2743.7396136170528</v>
      </c>
      <c r="G24" s="668">
        <f>IF(G$4="forecast",(4200),SUMIF('Dept. Cost Actuals'!$E$7:$E$176,"*Travel*",'Dept. Cost Actuals'!K$1225:K$1394))</f>
        <v>2001.2815969335109</v>
      </c>
      <c r="H24" s="668">
        <f>IF(H$4="forecast",(4200),SUMIF('Dept. Cost Actuals'!$E$7:$E$176,"*Travel*",'Dept. Cost Actuals'!L$1225:L$1394))</f>
        <v>1452.7491900272742</v>
      </c>
      <c r="I24" s="668">
        <f>IF(I$4="forecast",(4200),SUMIF('Dept. Cost Actuals'!$E$7:$E$176,"*Travel*",'Dept. Cost Actuals'!M$1225:M$1394))</f>
        <v>1046.5131468738566</v>
      </c>
      <c r="J24" s="668">
        <f>IF(J$4="forecast",(4200),SUMIF('Dept. Cost Actuals'!$E$7:$E$176,"*Travel*",'Dept. Cost Actuals'!N$1225:N$1394))</f>
        <v>2957.6399944966511</v>
      </c>
      <c r="K24" s="668">
        <f>IF(K$4="forecast",(4200),SUMIF('Dept. Cost Actuals'!$E$7:$E$176,"*Travel*",'Dept. Cost Actuals'!O$1225:O$1394))</f>
        <v>4621.1119507676576</v>
      </c>
      <c r="L24" s="668">
        <f>IF(L$4="forecast",(4200),SUMIF('Dept. Cost Actuals'!$E$7:$E$176,"*Travel*",'Dept. Cost Actuals'!P$1225:P$1394))</f>
        <v>7690.868235735722</v>
      </c>
      <c r="M24" s="668">
        <f>IF(M$4="forecast",(4200),SUMIF('Dept. Cost Actuals'!$E$7:$E$176,"*Travel*",'Dept. Cost Actuals'!Q$1225:Q$1394))</f>
        <v>801.55499999114079</v>
      </c>
      <c r="N24" s="668">
        <f>IF(N$4="forecast",(4200),SUMIF('Dept. Cost Actuals'!$E$7:$E$176,"*Travel*",'Dept. Cost Actuals'!R$1225:R$1394))</f>
        <v>413.27720081417721</v>
      </c>
      <c r="O24" s="668">
        <f>IF(O$4="forecast",(4200),SUMIF('Dept. Cost Actuals'!$E$7:$E$176,"*Travel*",'Dept. Cost Actuals'!S$1225:S$1394))</f>
        <v>1131.8</v>
      </c>
      <c r="P24" s="668">
        <f>IF(P$4="forecast",(4200),SUMIF('Dept. Cost Actuals'!$E$7:$E$176,"*Travel*",'Dept. Cost Actuals'!T$1225:T$1394))</f>
        <v>4066.46</v>
      </c>
      <c r="Q24" s="668">
        <f>IF(Q$4="forecast",(4200),SUMIF('Dept. Cost Actuals'!$E$7:$E$176,"*Travel*",'Dept. Cost Actuals'!U$1225:U$1394))</f>
        <v>340</v>
      </c>
      <c r="R24" s="668">
        <f>IF(R$4="forecast",(4200),SUMIF('Dept. Cost Actuals'!$E$7:$E$176,"*Travel*",'Dept. Cost Actuals'!V$1225:V$1394))</f>
        <v>583</v>
      </c>
      <c r="S24" s="668">
        <f>IF(S$4="forecast",(4200),SUMIF('Dept. Cost Actuals'!$E$7:$E$176,"*Travel*",'Dept. Cost Actuals'!W$1225:W$1394))</f>
        <v>652.5</v>
      </c>
      <c r="T24" s="668">
        <f>IF(T$4="forecast",(4200),SUMIF('Dept. Cost Actuals'!$E$7:$E$176,"*Travel*",'Dept. Cost Actuals'!X$1225:X$1394))</f>
        <v>651.85</v>
      </c>
      <c r="U24" s="668">
        <f>IF(U$4="forecast",(4200),SUMIF('Dept. Cost Actuals'!$E$7:$E$176,"*Travel*",'Dept. Cost Actuals'!Y$1225:Y$1394))</f>
        <v>767</v>
      </c>
      <c r="V24" s="668">
        <f>IF(V$4="forecast",(4200),SUMIF('Dept. Cost Actuals'!$E$7:$E$176,"*Travel*",'Dept. Cost Actuals'!Z$1225:Z$1394))</f>
        <v>907</v>
      </c>
      <c r="W24" s="668">
        <f>IF(W$4="forecast",(4200),SUMIF('Dept. Cost Actuals'!$E$7:$E$176,"*Travel*",'Dept. Cost Actuals'!AA$1225:AA$1394))</f>
        <v>493</v>
      </c>
      <c r="X24" s="668">
        <f>IF(X$4="forecast",(4200),SUMIF('Dept. Cost Actuals'!$E$7:$E$176,"*Travel*",'Dept. Cost Actuals'!AB$1225:AB$1394))</f>
        <v>992</v>
      </c>
      <c r="Y24" s="668">
        <f>IF(Y$4="forecast",(4200),SUMIF('Dept. Cost Actuals'!$E$7:$E$176,"*Travel*",'Dept. Cost Actuals'!AC$1225:AC$1394))</f>
        <v>851</v>
      </c>
      <c r="Z24" s="668">
        <f>IF(Z$4="forecast",(4200),SUMIF('Dept. Cost Actuals'!$E$7:$E$176,"*Travel*",'Dept. Cost Actuals'!AD$1225:AD$1394))</f>
        <v>653</v>
      </c>
      <c r="AA24" s="668">
        <f>IF(AA$4="forecast",(4200),SUMIF('Dept. Cost Actuals'!$E$7:$E$176,"*Travel*",'Dept. Cost Actuals'!AE$1225:AE$1394))</f>
        <v>768.5</v>
      </c>
      <c r="AB24" s="668">
        <f>IF(AB$4="forecast",(4200),SUMIF('Dept. Cost Actuals'!$E$7:$E$176,"*Travel*",'Dept. Cost Actuals'!AF$1225:AF$1394))</f>
        <v>417.5</v>
      </c>
      <c r="AC24" s="668">
        <f>IF(AC$4="forecast",(4200),SUMIF('Dept. Cost Actuals'!$E$7:$E$176,"*Travel*",'Dept. Cost Actuals'!AG$1225:AG$1394))</f>
        <v>684</v>
      </c>
      <c r="AD24" s="668">
        <f>IF(AD$4="forecast",(4200),SUMIF('Dept. Cost Actuals'!$E$7:$E$176,"*Travel*",'Dept. Cost Actuals'!AH$1225:AH$1394))</f>
        <v>4200</v>
      </c>
      <c r="AE24" s="668">
        <f>IF(AE$4="forecast",(4200),SUMIF('Dept. Cost Actuals'!$E$7:$E$176,"*Travel*",'Dept. Cost Actuals'!AI$1225:AI$1394))</f>
        <v>4200</v>
      </c>
      <c r="AF24" s="668">
        <f>IF(AF$4="forecast",(4200),SUMIF('Dept. Cost Actuals'!$E$7:$E$176,"*Travel*",'Dept. Cost Actuals'!AJ$1225:AJ$1394))</f>
        <v>4200</v>
      </c>
      <c r="AG24" s="668">
        <f>IF(AG$4="forecast",(4200),SUMIF('Dept. Cost Actuals'!$E$7:$E$176,"*Travel*",'Dept. Cost Actuals'!AK$1225:AK$1394))</f>
        <v>4200</v>
      </c>
      <c r="AH24" s="668">
        <f>IF(AH$4="forecast",(4200),SUMIF('Dept. Cost Actuals'!$E$7:$E$176,"*Travel*",'Dept. Cost Actuals'!AL$1225:AL$1394))</f>
        <v>4200</v>
      </c>
      <c r="AI24" s="668">
        <f>IF(AI$4="forecast",(4200),SUMIF('Dept. Cost Actuals'!$E$7:$E$176,"*Travel*",'Dept. Cost Actuals'!AM$1225:AM$1394))</f>
        <v>4200</v>
      </c>
      <c r="AJ24" s="668">
        <f>IF(AJ$4="forecast",(4200),SUMIF('Dept. Cost Actuals'!$E$7:$E$176,"*Travel*",'Dept. Cost Actuals'!AN$1225:AN$1394))</f>
        <v>4200</v>
      </c>
      <c r="AK24" s="668">
        <f>IF(AK$4="forecast",(4200),SUMIF('Dept. Cost Actuals'!$E$7:$E$176,"*Travel*",'Dept. Cost Actuals'!AO$1225:AO$1394))</f>
        <v>4200</v>
      </c>
      <c r="AL24" s="668">
        <f>IF(AL$4="forecast",(4200),SUMIF('Dept. Cost Actuals'!$E$7:$E$176,"*Travel*",'Dept. Cost Actuals'!AP$1225:AP$1394))</f>
        <v>4200</v>
      </c>
      <c r="AM24" s="668">
        <f>IF(AM$4="forecast",(4200),SUMIF('Dept. Cost Actuals'!$E$7:$E$176,"*Travel*",'Dept. Cost Actuals'!AQ$1225:AQ$1394))</f>
        <v>4200</v>
      </c>
      <c r="AN24" s="668">
        <f>IF(AN$4="forecast",(4200),SUMIF('Dept. Cost Actuals'!$E$7:$E$176,"*Travel*",'Dept. Cost Actuals'!AR$1225:AR$1394))</f>
        <v>4200</v>
      </c>
      <c r="AO24" s="668">
        <f>IF(AO$4="forecast",(4200),SUMIF('Dept. Cost Actuals'!$E$7:$E$176,"*Travel*",'Dept. Cost Actuals'!AS$1225:AS$1394))</f>
        <v>4200</v>
      </c>
      <c r="AP24" s="668">
        <f>IF(AP$4="forecast",(4200),SUMIF('Dept. Cost Actuals'!$E$7:$E$176,"*Travel*",'Dept. Cost Actuals'!AT$1225:AT$1394))</f>
        <v>4200</v>
      </c>
      <c r="AQ24" s="668">
        <f>IF(AQ$4="forecast",(4200),SUMIF('Dept. Cost Actuals'!$E$7:$E$176,"*Travel*",'Dept. Cost Actuals'!AU$1225:AU$1394))</f>
        <v>4200</v>
      </c>
      <c r="AR24" s="668">
        <f>IF(AR$4="forecast",(4200),SUMIF('Dept. Cost Actuals'!$E$7:$E$176,"*Travel*",'Dept. Cost Actuals'!AV$1225:AV$1394))</f>
        <v>4200</v>
      </c>
      <c r="AS24" s="668">
        <f>IF(AS$4="forecast",(4200),SUMIF('Dept. Cost Actuals'!$E$7:$E$176,"*Travel*",'Dept. Cost Actuals'!AW$1225:AW$1394))</f>
        <v>4200</v>
      </c>
      <c r="AT24" s="668">
        <f>IF(AT$4="forecast",(4200),SUMIF('Dept. Cost Actuals'!$E$7:$E$176,"*Travel*",'Dept. Cost Actuals'!AX$1225:AX$1394))</f>
        <v>4200</v>
      </c>
      <c r="AU24" s="668">
        <f>IF(AU$4="forecast",(4200),SUMIF('Dept. Cost Actuals'!$E$7:$E$176,"*Travel*",'Dept. Cost Actuals'!AY$1225:AY$1394))</f>
        <v>4200</v>
      </c>
      <c r="AV24" s="668">
        <f>IF(AV$4="forecast",(4200),SUMIF('Dept. Cost Actuals'!$E$7:$E$176,"*Travel*",'Dept. Cost Actuals'!AZ$1225:AZ$1394))</f>
        <v>4200</v>
      </c>
      <c r="AW24" s="668">
        <f>IF(AW$4="forecast",(4200),SUMIF('Dept. Cost Actuals'!$E$7:$E$176,"*Travel*",'Dept. Cost Actuals'!BA$1225:BA$1394))</f>
        <v>4200</v>
      </c>
      <c r="AX24" s="668">
        <f>IF(AX$4="forecast",(4200),SUMIF('Dept. Cost Actuals'!$E$7:$E$176,"*Travel*",'Dept. Cost Actuals'!BB$1225:BB$1394))</f>
        <v>4200</v>
      </c>
      <c r="AY24" s="668">
        <f>IF(AY$4="forecast",(4200),SUMIF('Dept. Cost Actuals'!$E$7:$E$176,"*Travel*",'Dept. Cost Actuals'!BC$1225:BC$1394))</f>
        <v>4200</v>
      </c>
      <c r="AZ24" s="668">
        <f>IF(AZ$4="forecast",(4200),SUMIF('Dept. Cost Actuals'!$E$7:$E$176,"*Travel*",'Dept. Cost Actuals'!BD$1225:BD$1394))</f>
        <v>4200</v>
      </c>
      <c r="BA24" s="668">
        <f>IF(BA$4="forecast",(4200),SUMIF('Dept. Cost Actuals'!$E$7:$E$176,"*Travel*",'Dept. Cost Actuals'!BE$1225:BE$1394))</f>
        <v>4200</v>
      </c>
      <c r="BB24" s="668">
        <f>IF(BB$4="forecast",(4200),SUMIF('Dept. Cost Actuals'!$E$7:$E$176,"*Travel*",'Dept. Cost Actuals'!BF$1225:BF$1394))</f>
        <v>4200</v>
      </c>
      <c r="BC24" s="668">
        <f>IF(BC$4="forecast",(4200),SUMIF('Dept. Cost Actuals'!$E$7:$E$176,"*Travel*",'Dept. Cost Actuals'!BG$1225:BG$1394))</f>
        <v>4200</v>
      </c>
      <c r="BD24" s="668">
        <f>IF(BD$4="forecast",(4200),SUMIF('Dept. Cost Actuals'!$E$7:$E$176,"*Travel*",'Dept. Cost Actuals'!BH$1225:BH$1394))</f>
        <v>4200</v>
      </c>
      <c r="BE24" s="668">
        <f>IF(BE$4="forecast",(4200),SUMIF('Dept. Cost Actuals'!$E$7:$E$176,"*Travel*",'Dept. Cost Actuals'!BI$1225:BI$1394))</f>
        <v>4200</v>
      </c>
      <c r="BF24" s="668">
        <f>IF(BF$4="forecast",(4200),SUMIF('Dept. Cost Actuals'!$E$7:$E$176,"*Travel*",'Dept. Cost Actuals'!BJ$1225:BJ$1394))</f>
        <v>4200</v>
      </c>
      <c r="BG24" s="668">
        <f>IF(BG$4="forecast",(4200),SUMIF('Dept. Cost Actuals'!$E$7:$E$176,"*Travel*",'Dept. Cost Actuals'!BK$1225:BK$1394))</f>
        <v>4200</v>
      </c>
      <c r="BH24" s="668">
        <f>IF(BH$4="forecast",(4200),SUMIF('Dept. Cost Actuals'!$E$7:$E$176,"*Travel*",'Dept. Cost Actuals'!BL$1225:BL$1394))</f>
        <v>4200</v>
      </c>
      <c r="BI24" s="668">
        <f>IF(BI$4="forecast",(4200),SUMIF('Dept. Cost Actuals'!$E$7:$E$176,"*Travel*",'Dept. Cost Actuals'!BM$1225:BM$1394))</f>
        <v>4200</v>
      </c>
      <c r="BJ24" s="668">
        <f>IF(BJ$4="forecast",(4200),SUMIF('Dept. Cost Actuals'!$E$7:$E$176,"*Travel*",'Dept. Cost Actuals'!BN$1225:BN$1394))</f>
        <v>4200</v>
      </c>
      <c r="BK24" s="668">
        <f>IF(BK$4="forecast",(4200),SUMIF('Dept. Cost Actuals'!$E$7:$E$176,"*Travel*",'Dept. Cost Actuals'!BO$1225:BO$1394))</f>
        <v>4200</v>
      </c>
      <c r="BL24" s="668">
        <f>IF(BL$4="forecast",(4200),SUMIF('Dept. Cost Actuals'!$E$7:$E$176,"*Travel*",'Dept. Cost Actuals'!BP$1225:BP$1394))</f>
        <v>4200</v>
      </c>
      <c r="BM24" s="668">
        <f>IF(BM$4="forecast",(4200),SUMIF('Dept. Cost Actuals'!$E$7:$E$176,"*Travel*",'Dept. Cost Actuals'!BQ$1225:BQ$1394))</f>
        <v>4200</v>
      </c>
      <c r="BN24" s="668">
        <f>IF(BN$4="forecast",(4200),SUMIF('Dept. Cost Actuals'!$E$7:$E$176,"*Travel*",'Dept. Cost Actuals'!BR$1225:BR$1394))</f>
        <v>4200</v>
      </c>
      <c r="BO24" s="668">
        <f>IF(BO$4="forecast",(4200),SUMIF('Dept. Cost Actuals'!$E$7:$E$176,"*Travel*",'Dept. Cost Actuals'!BS$1225:BS$1394))</f>
        <v>4200</v>
      </c>
      <c r="BP24" s="668">
        <f>IF(BP$4="forecast",(4200),SUMIF('Dept. Cost Actuals'!$E$7:$E$176,"*Travel*",'Dept. Cost Actuals'!BT$1225:BT$1394))</f>
        <v>4200</v>
      </c>
      <c r="BQ24" s="668">
        <f>IF(BQ$4="forecast",(4200),SUMIF('Dept. Cost Actuals'!$E$7:$E$176,"*Travel*",'Dept. Cost Actuals'!BU$1225:BU$1394))</f>
        <v>4200</v>
      </c>
      <c r="BR24" s="668">
        <f>IF(BR$4="forecast",(4200),SUMIF('Dept. Cost Actuals'!$E$7:$E$176,"*Travel*",'Dept. Cost Actuals'!BV$1225:BV$1394))</f>
        <v>4200</v>
      </c>
      <c r="BS24" s="668">
        <f>IF(BS$4="forecast",(4200),SUMIF('Dept. Cost Actuals'!$E$7:$E$176,"*Travel*",'Dept. Cost Actuals'!BW$1225:BW$1394))</f>
        <v>4200</v>
      </c>
      <c r="BT24" s="668">
        <f>IF(BT$4="forecast",(4200),SUMIF('Dept. Cost Actuals'!$E$7:$E$176,"*Travel*",'Dept. Cost Actuals'!BX$1225:BX$1394))</f>
        <v>4200</v>
      </c>
      <c r="BU24" s="668">
        <f>IF(BU$4="forecast",(4200),SUMIF('Dept. Cost Actuals'!$E$7:$E$176,"*Travel*",'Dept. Cost Actuals'!BY$1225:BY$1394))</f>
        <v>4200</v>
      </c>
      <c r="BV24" s="668">
        <f>IF(BV$4="forecast",(4200),SUMIF('Dept. Cost Actuals'!$E$7:$E$176,"*Travel*",'Dept. Cost Actuals'!BZ$1225:BZ$1394))</f>
        <v>4200</v>
      </c>
    </row>
    <row r="25" spans="2:74" x14ac:dyDescent="0.25">
      <c r="B25" s="794" t="s">
        <v>1338</v>
      </c>
      <c r="C25" s="668">
        <f>IF(C$4="forecast",(AVERAGE(#REF!)),SUMIF('Dept. Cost Actuals'!$E$7:$E$176,"*Meals and Entertainment*",'Dept. Cost Actuals'!G$1225:G$1394))</f>
        <v>691.87656600000003</v>
      </c>
      <c r="D25" s="668">
        <f>IF(D$4="forecast",(AVERAGE(#REF!)),SUMIF('Dept. Cost Actuals'!$E$7:$E$176,"*Meals and Entertainment*",'Dept. Cost Actuals'!H$1225:H$1394))</f>
        <v>1079.3565915461684</v>
      </c>
      <c r="E25" s="668">
        <f>IF(E$4="forecast",(AVERAGE(#REF!)),SUMIF('Dept. Cost Actuals'!$E$7:$E$176,"*Meals and Entertainment*",'Dept. Cost Actuals'!I$1225:I$1394))</f>
        <v>1128.2962695256711</v>
      </c>
      <c r="F25" s="668">
        <f>IF(F$4="forecast",(AVERAGE(#REF!)),SUMIF('Dept. Cost Actuals'!$E$7:$E$176,"*Meals and Entertainment*",'Dept. Cost Actuals'!J$1225:J$1394))</f>
        <v>1610.7098211266123</v>
      </c>
      <c r="G25" s="668">
        <f>IF(G$4="forecast",(AVERAGE(#REF!)),SUMIF('Dept. Cost Actuals'!$E$7:$E$176,"*Meals and Entertainment*",'Dept. Cost Actuals'!K$1225:K$1394))</f>
        <v>1768.9209557104425</v>
      </c>
      <c r="H25" s="668">
        <f>IF(H$4="forecast",(AVERAGE(#REF!)),SUMIF('Dept. Cost Actuals'!$E$7:$E$176,"*Meals and Entertainment*",'Dept. Cost Actuals'!L$1225:L$1394))</f>
        <v>2023.0667339794591</v>
      </c>
      <c r="I25" s="668">
        <f>IF(I$4="forecast",(AVERAGE(#REF!)),SUMIF('Dept. Cost Actuals'!$E$7:$E$176,"*Meals and Entertainment*",'Dept. Cost Actuals'!M$1225:M$1394))</f>
        <v>2658.7432681218752</v>
      </c>
      <c r="J25" s="668">
        <f>IF(J$4="forecast",(AVERAGE(#REF!)),SUMIF('Dept. Cost Actuals'!$E$7:$E$176,"*Meals and Entertainment*",'Dept. Cost Actuals'!N$1225:N$1394))</f>
        <v>1629.564398029403</v>
      </c>
      <c r="K25" s="668">
        <f>IF(K$4="forecast",(AVERAGE(#REF!)),SUMIF('Dept. Cost Actuals'!$E$7:$E$176,"*Meals and Entertainment*",'Dept. Cost Actuals'!O$1225:O$1394))</f>
        <v>2132.0788222294791</v>
      </c>
      <c r="L25" s="668">
        <f>IF(L$4="forecast",(AVERAGE(#REF!)),SUMIF('Dept. Cost Actuals'!$E$7:$E$176,"*Meals and Entertainment*",'Dept. Cost Actuals'!P$1225:P$1394))</f>
        <v>4352.0478785044188</v>
      </c>
      <c r="M25" s="668">
        <f>IF(M$4="forecast",(AVERAGE(A25:L25)),SUMIF('Dept. Cost Actuals'!$E$7:$E$176,"*Meals and Entertainment*",'Dept. Cost Actuals'!Q$1225:Q$1394))</f>
        <v>622.55377909659751</v>
      </c>
      <c r="N25" s="668">
        <f>IF(N$4="forecast",(AVERAGE(B25:M25)),SUMIF('Dept. Cost Actuals'!$E$7:$E$176,"*Meals and Entertainment*",'Dept. Cost Actuals'!R$1225:R$1394))</f>
        <v>136.97136219690498</v>
      </c>
      <c r="O25" s="668">
        <f>IF(O$4="forecast",(AVERAGE(C25:N25)),SUMIF('Dept. Cost Actuals'!$E$7:$E$176,"*Meals and Entertainment*",'Dept. Cost Actuals'!S$1225:S$1394))</f>
        <v>2367.1799999999998</v>
      </c>
      <c r="P25" s="668">
        <f>IF(P$4="forecast",(AVERAGE(D25:O25)),SUMIF('Dept. Cost Actuals'!$E$7:$E$176,"*Meals and Entertainment*",'Dept. Cost Actuals'!T$1225:T$1394))</f>
        <v>2724.16</v>
      </c>
      <c r="Q25" s="668">
        <f>IF(Q$4="forecast",(AVERAGE(E25:P25)),SUMIF('Dept. Cost Actuals'!$E$7:$E$176,"*Meals and Entertainment*",'Dept. Cost Actuals'!U$1225:U$1394))</f>
        <v>2941.28</v>
      </c>
      <c r="R25" s="668">
        <f>IF(R$4="forecast",(AVERAGE(F25:Q25)),SUMIF('Dept. Cost Actuals'!$E$7:$E$176,"*Meals and Entertainment*",'Dept. Cost Actuals'!V$1225:V$1394))</f>
        <v>2316</v>
      </c>
      <c r="S25" s="668">
        <f>IF(S$4="forecast",(AVERAGE(G25:R25)),SUMIF('Dept. Cost Actuals'!$E$7:$E$176,"*Meals and Entertainment*",'Dept. Cost Actuals'!W$1225:W$1394))</f>
        <v>2499.16</v>
      </c>
      <c r="T25" s="668">
        <f>IF(T$4="forecast",(AVERAGE(H25:S25)),SUMIF('Dept. Cost Actuals'!$E$7:$E$176,"*Meals and Entertainment*",'Dept. Cost Actuals'!X$1225:X$1394))</f>
        <v>3201.35</v>
      </c>
      <c r="U25" s="668">
        <f>IF(U$4="forecast",(AVERAGE(I25:T25)),SUMIF('Dept. Cost Actuals'!$E$7:$E$176,"*Meals and Entertainment*",'Dept. Cost Actuals'!Y$1225:Y$1394))</f>
        <v>2295.84</v>
      </c>
      <c r="V25" s="668">
        <f>IF(V$4="forecast",(AVERAGE(J25:U25)),SUMIF('Dept. Cost Actuals'!$E$7:$E$176,"*Meals and Entertainment*",'Dept. Cost Actuals'!Z$1225:Z$1394))</f>
        <v>3095.99</v>
      </c>
      <c r="W25" s="668">
        <f>IF(W$4="forecast",(AVERAGE(K25:V25)),SUMIF('Dept. Cost Actuals'!$E$7:$E$176,"*Meals and Entertainment*",'Dept. Cost Actuals'!AA$1225:AA$1394))</f>
        <v>2444.3200000000002</v>
      </c>
      <c r="X25" s="668">
        <f>IF(X$4="forecast",(AVERAGE(L25:W25)),SUMIF('Dept. Cost Actuals'!$E$7:$E$176,"*Meals and Entertainment*",'Dept. Cost Actuals'!AB$1225:AB$1394))</f>
        <v>5038.9399999999996</v>
      </c>
      <c r="Y25" s="668">
        <f>IF(Y$4="forecast",(AVERAGE(M25:X25)),SUMIF('Dept. Cost Actuals'!$E$7:$E$176,"*Meals and Entertainment*",'Dept. Cost Actuals'!AC$1225:AC$1394))</f>
        <v>1426.62</v>
      </c>
      <c r="Z25" s="668">
        <f>IF(Z$4="forecast",(AVERAGE(N25:Y25)),SUMIF('Dept. Cost Actuals'!$E$7:$E$176,"*Meals and Entertainment*",'Dept. Cost Actuals'!AD$1225:AD$1394))</f>
        <v>2248.34</v>
      </c>
      <c r="AA25" s="668">
        <f>IF(AA$4="forecast",(AVERAGE(O25:Z25)),SUMIF('Dept. Cost Actuals'!$E$7:$E$176,"*Meals and Entertainment*",'Dept. Cost Actuals'!AE$1225:AE$1394))</f>
        <v>3410.27</v>
      </c>
      <c r="AB25" s="668">
        <f>IF(AB$4="forecast",(AVERAGE(P25:AA25)),SUMIF('Dept. Cost Actuals'!$E$7:$E$176,"*Meals and Entertainment*",'Dept. Cost Actuals'!AF$1225:AF$1394))</f>
        <v>4993.43</v>
      </c>
      <c r="AC25" s="668">
        <f>IF(AC$4="forecast",(AVERAGE(Q25:AB25)),SUMIF('Dept. Cost Actuals'!$E$7:$E$176,"*Meals and Entertainment*",'Dept. Cost Actuals'!AG$1225:AG$1394))</f>
        <v>2562.64</v>
      </c>
      <c r="AD25" s="668">
        <f>IF(AD$4="forecast",(AVERAGE(R25:AC25)),SUMIF('Dept. Cost Actuals'!$E$7:$E$176,"*Meals and Entertainment*",'Dept. Cost Actuals'!AH$1225:AH$1394))</f>
        <v>2961.0749999999994</v>
      </c>
      <c r="AE25" s="668">
        <f>IF(AE$4="forecast",(AVERAGE(S25:AD25)),SUMIF('Dept. Cost Actuals'!$E$7:$E$176,"*Meals and Entertainment*",'Dept. Cost Actuals'!AI$1225:AI$1394))</f>
        <v>3014.8312499999997</v>
      </c>
      <c r="AF25" s="668">
        <f>IF(AF$4="forecast",(AVERAGE(T25:AE25)),SUMIF('Dept. Cost Actuals'!$E$7:$E$176,"*Meals and Entertainment*",'Dept. Cost Actuals'!AJ$1225:AJ$1394))</f>
        <v>3057.8038541666665</v>
      </c>
      <c r="AG25" s="668">
        <f>IF(AG$4="forecast",(AVERAGE(U25:AF25)),SUMIF('Dept. Cost Actuals'!$E$7:$E$176,"*Meals and Entertainment*",'Dept. Cost Actuals'!AK$1225:AK$1394))</f>
        <v>3045.8416753472225</v>
      </c>
      <c r="AH25" s="668">
        <f>IF(AH$4="forecast",(AVERAGE(V25:AG25)),SUMIF('Dept. Cost Actuals'!$E$7:$E$176,"*Meals and Entertainment*",'Dept. Cost Actuals'!AL$1225:AL$1394))</f>
        <v>3108.3418149594904</v>
      </c>
      <c r="AI25" s="668">
        <f>IF(AI$4="forecast",(AVERAGE(W25:AH25)),SUMIF('Dept. Cost Actuals'!$E$7:$E$176,"*Meals and Entertainment*",'Dept. Cost Actuals'!AM$1225:AM$1394))</f>
        <v>3109.3711328727809</v>
      </c>
      <c r="AJ25" s="668">
        <f>IF(AJ$4="forecast",(AVERAGE(X25:AI25)),SUMIF('Dept. Cost Actuals'!$E$7:$E$176,"*Meals and Entertainment*",'Dept. Cost Actuals'!AN$1225:AN$1394))</f>
        <v>3164.7920606121802</v>
      </c>
      <c r="AK25" s="668">
        <f>IF(AK$4="forecast",(AVERAGE(Y25:AJ25)),SUMIF('Dept. Cost Actuals'!$E$7:$E$176,"*Meals and Entertainment*",'Dept. Cost Actuals'!AO$1225:AO$1394))</f>
        <v>3008.6130656631944</v>
      </c>
      <c r="AL25" s="668">
        <f>IF(AL$4="forecast",(AVERAGE(Z25:AK25)),SUMIF('Dept. Cost Actuals'!$E$7:$E$176,"*Meals and Entertainment*",'Dept. Cost Actuals'!AP$1225:AP$1394))</f>
        <v>3140.445821135128</v>
      </c>
      <c r="AM25" s="668">
        <f>IF(AM$4="forecast",(AVERAGE(AA25:AL25)),SUMIF('Dept. Cost Actuals'!$E$7:$E$176,"*Meals and Entertainment*",'Dept. Cost Actuals'!AQ$1225:AQ$1394))</f>
        <v>3214.787972896389</v>
      </c>
      <c r="AN25" s="668">
        <f>IF(AN$4="forecast",(AVERAGE(AB25:AM25)),SUMIF('Dept. Cost Actuals'!$E$7:$E$176,"*Meals and Entertainment*",'Dept. Cost Actuals'!AR$1225:AR$1394))</f>
        <v>3198.4978039710877</v>
      </c>
      <c r="AO25" s="668">
        <f>IF(AO$4="forecast",(AVERAGE(AC25:AN25)),SUMIF('Dept. Cost Actuals'!$E$7:$E$176,"*Meals and Entertainment*",'Dept. Cost Actuals'!AS$1225:AS$1394))</f>
        <v>3048.9201209686776</v>
      </c>
      <c r="AP25" s="668">
        <f>IF(AP$4="forecast",(AVERAGE(AD25:AO25)),SUMIF('Dept. Cost Actuals'!$E$7:$E$176,"*Meals and Entertainment*",'Dept. Cost Actuals'!AT$1225:AT$1394))</f>
        <v>3089.4434643827349</v>
      </c>
      <c r="AQ25" s="668">
        <f>IF(AQ$4="forecast",(AVERAGE(AE25:AP25)),SUMIF('Dept. Cost Actuals'!$E$7:$E$176,"*Meals and Entertainment*",'Dept. Cost Actuals'!AU$1225:AU$1394))</f>
        <v>3100.1408364146287</v>
      </c>
      <c r="AR25" s="668">
        <f>IF(AR$4="forecast",(AVERAGE(AF25:AQ25)),SUMIF('Dept. Cost Actuals'!$E$7:$E$176,"*Meals and Entertainment*",'Dept. Cost Actuals'!AV$1225:AV$1394))</f>
        <v>3107.249968615848</v>
      </c>
      <c r="AS25" s="668">
        <f>IF(AS$4="forecast",(AVERAGE(AG25:AR25)),SUMIF('Dept. Cost Actuals'!$E$7:$E$176,"*Meals and Entertainment*",'Dept. Cost Actuals'!AW$1225:AW$1394))</f>
        <v>3111.3704781532797</v>
      </c>
      <c r="AT25" s="668">
        <f>IF(AT$4="forecast",(AVERAGE(AH25:AS25)),SUMIF('Dept. Cost Actuals'!$E$7:$E$176,"*Meals and Entertainment*",'Dept. Cost Actuals'!AX$1225:AX$1394))</f>
        <v>3116.8312117204518</v>
      </c>
      <c r="AU25" s="668">
        <f>IF(AU$4="forecast",(AVERAGE(AI25:AT25)),SUMIF('Dept. Cost Actuals'!$E$7:$E$176,"*Meals and Entertainment*",'Dept. Cost Actuals'!AY$1225:AY$1394))</f>
        <v>3117.5386614505319</v>
      </c>
      <c r="AV25" s="668">
        <f>IF(AV$4="forecast",(AVERAGE(AJ25:AU25)),SUMIF('Dept. Cost Actuals'!$E$7:$E$176,"*Meals and Entertainment*",'Dept. Cost Actuals'!AZ$1225:AZ$1394))</f>
        <v>3118.2192888320114</v>
      </c>
      <c r="AW25" s="668">
        <f>IF(AW$4="forecast",(AVERAGE(AK25:AV25)),SUMIF('Dept. Cost Actuals'!$E$7:$E$176,"*Meals and Entertainment*",'Dept. Cost Actuals'!BA$1225:BA$1394))</f>
        <v>3114.3382245169973</v>
      </c>
      <c r="AX25" s="668">
        <f>IF(AX$4="forecast",(AVERAGE(AL25:AW25)),SUMIF('Dept. Cost Actuals'!$E$7:$E$176,"*Meals and Entertainment*",'Dept. Cost Actuals'!BB$1225:BB$1394))</f>
        <v>3123.1486544214808</v>
      </c>
      <c r="AY25" s="668">
        <f>IF(AY$4="forecast",(AVERAGE(AM25:AX25)),SUMIF('Dept. Cost Actuals'!$E$7:$E$176,"*Meals and Entertainment*",'Dept. Cost Actuals'!BC$1225:BC$1394))</f>
        <v>3121.7072238620099</v>
      </c>
      <c r="AZ25" s="668">
        <f>IF(AZ$4="forecast",(AVERAGE(AN25:AY25)),SUMIF('Dept. Cost Actuals'!$E$7:$E$176,"*Meals and Entertainment*",'Dept. Cost Actuals'!BD$1225:BD$1394))</f>
        <v>3113.9504947758119</v>
      </c>
      <c r="BA25" s="668">
        <f>IF(BA$4="forecast",(AVERAGE(AO25:AZ25)),SUMIF('Dept. Cost Actuals'!$E$7:$E$176,"*Meals and Entertainment*",'Dept. Cost Actuals'!BE$1225:BE$1394))</f>
        <v>3106.9048856762056</v>
      </c>
      <c r="BB25" s="668">
        <f>IF(BB$4="forecast",(AVERAGE(AP25:BA25)),SUMIF('Dept. Cost Actuals'!$E$7:$E$176,"*Meals and Entertainment*",'Dept. Cost Actuals'!BF$1225:BF$1394))</f>
        <v>3111.7369494018326</v>
      </c>
      <c r="BC25" s="668">
        <f>IF(BC$4="forecast",(AVERAGE(AQ25:BB25)),SUMIF('Dept. Cost Actuals'!$E$7:$E$176,"*Meals and Entertainment*",'Dept. Cost Actuals'!BG$1225:BG$1394))</f>
        <v>3113.5947398200901</v>
      </c>
      <c r="BD25" s="668">
        <f>IF(BD$4="forecast",(AVERAGE(AR25:BC25)),SUMIF('Dept. Cost Actuals'!$E$7:$E$176,"*Meals and Entertainment*",'Dept. Cost Actuals'!BH$1225:BH$1394))</f>
        <v>3114.7158984372122</v>
      </c>
      <c r="BE25" s="668">
        <f>IF(BE$4="forecast",(AVERAGE(AS25:BD25)),SUMIF('Dept. Cost Actuals'!$E$7:$E$176,"*Meals and Entertainment*",'Dept. Cost Actuals'!BI$1225:BI$1394))</f>
        <v>3115.3380592556591</v>
      </c>
      <c r="BF25" s="668">
        <f>IF(BF$4="forecast",(AVERAGE(AT25:BE25)),SUMIF('Dept. Cost Actuals'!$E$7:$E$176,"*Meals and Entertainment*",'Dept. Cost Actuals'!BJ$1225:BJ$1394))</f>
        <v>3115.6686910141907</v>
      </c>
      <c r="BG25" s="668">
        <f>IF(BG$4="forecast",(AVERAGE(AU25:BF25)),SUMIF('Dept. Cost Actuals'!$E$7:$E$176,"*Meals and Entertainment*",'Dept. Cost Actuals'!BK$1225:BK$1394))</f>
        <v>3115.571814288669</v>
      </c>
      <c r="BH25" s="668">
        <f>IF(BH$4="forecast",(AVERAGE(AV25:BG25)),SUMIF('Dept. Cost Actuals'!$E$7:$E$176,"*Meals and Entertainment*",'Dept. Cost Actuals'!BL$1225:BL$1394))</f>
        <v>3115.4079103585141</v>
      </c>
      <c r="BI25" s="668">
        <f>IF(BI$4="forecast",(AVERAGE(AW25:BH25)),SUMIF('Dept. Cost Actuals'!$E$7:$E$176,"*Meals and Entertainment*",'Dept. Cost Actuals'!BM$1225:BM$1394))</f>
        <v>3115.1736288190568</v>
      </c>
      <c r="BJ25" s="668">
        <f>IF(BJ$4="forecast",(AVERAGE(AX25:BI25)),SUMIF('Dept. Cost Actuals'!$E$7:$E$176,"*Meals and Entertainment*",'Dept. Cost Actuals'!BN$1225:BN$1394))</f>
        <v>3115.2432458442277</v>
      </c>
      <c r="BK25" s="668">
        <f>IF(BK$4="forecast",(AVERAGE(AY25:BJ25)),SUMIF('Dept. Cost Actuals'!$E$7:$E$176,"*Meals and Entertainment*",'Dept. Cost Actuals'!BO$1225:BO$1394))</f>
        <v>3114.5844617961234</v>
      </c>
      <c r="BL25" s="668">
        <f>IF(BL$4="forecast",(AVERAGE(AZ25:BK25)),SUMIF('Dept. Cost Actuals'!$E$7:$E$176,"*Meals and Entertainment*",'Dept. Cost Actuals'!BP$1225:BP$1394))</f>
        <v>3113.9908982906331</v>
      </c>
      <c r="BM25" s="668">
        <f>IF(BM$4="forecast",(AVERAGE(BA25:BL25)),SUMIF('Dept. Cost Actuals'!$E$7:$E$176,"*Meals and Entertainment*",'Dept. Cost Actuals'!BQ$1225:BQ$1394))</f>
        <v>3113.9942652502014</v>
      </c>
      <c r="BN25" s="668">
        <f>IF(BN$4="forecast",(AVERAGE(BB25:BM25)),SUMIF('Dept. Cost Actuals'!$E$7:$E$176,"*Meals and Entertainment*",'Dept. Cost Actuals'!BR$1225:BR$1394))</f>
        <v>3114.5850468813674</v>
      </c>
      <c r="BO25" s="668">
        <f>IF(BO$4="forecast",(AVERAGE(BC25:BN25)),SUMIF('Dept. Cost Actuals'!$E$7:$E$176,"*Meals and Entertainment*",'Dept. Cost Actuals'!BS$1225:BS$1394))</f>
        <v>3114.8223883379956</v>
      </c>
      <c r="BP25" s="668">
        <f>IF(BP$4="forecast",(AVERAGE(BD25:BO25)),SUMIF('Dept. Cost Actuals'!$E$7:$E$176,"*Meals and Entertainment*",'Dept. Cost Actuals'!BT$1225:BT$1394))</f>
        <v>3114.9246923811547</v>
      </c>
      <c r="BQ25" s="668">
        <f>IF(BQ$4="forecast",(AVERAGE(BE25:BP25)),SUMIF('Dept. Cost Actuals'!$E$7:$E$176,"*Meals and Entertainment*",'Dept. Cost Actuals'!BU$1225:BU$1394))</f>
        <v>3114.9420918764827</v>
      </c>
      <c r="BR25" s="668">
        <f>IF(BR$4="forecast",(AVERAGE(BF25:BQ25)),SUMIF('Dept. Cost Actuals'!$E$7:$E$176,"*Meals and Entertainment*",'Dept. Cost Actuals'!BV$1225:BV$1394))</f>
        <v>3114.9090945948847</v>
      </c>
      <c r="BS25" s="668">
        <f>IF(BS$4="forecast",(AVERAGE(BG25:BR25)),SUMIF('Dept. Cost Actuals'!$E$7:$E$176,"*Meals and Entertainment*",'Dept. Cost Actuals'!BW$1225:BW$1394))</f>
        <v>3114.8457948932755</v>
      </c>
      <c r="BT25" s="668">
        <f>IF(BT$4="forecast",(AVERAGE(BH25:BS25)),SUMIF('Dept. Cost Actuals'!$E$7:$E$176,"*Meals and Entertainment*",'Dept. Cost Actuals'!BX$1225:BX$1394))</f>
        <v>3114.7852932769929</v>
      </c>
      <c r="BU25" s="668">
        <f>IF(BU$4="forecast",(AVERAGE(BI25:BT25)),SUMIF('Dept. Cost Actuals'!$E$7:$E$176,"*Meals and Entertainment*",'Dept. Cost Actuals'!BY$1225:BY$1394))</f>
        <v>3114.7334085201996</v>
      </c>
      <c r="BV25" s="668">
        <f>IF(BV$4="forecast",(AVERAGE(BJ25:BU25)),SUMIF('Dept. Cost Actuals'!$E$7:$E$176,"*Meals and Entertainment*",'Dept. Cost Actuals'!BZ$1225:BZ$1394))</f>
        <v>3114.6967234952949</v>
      </c>
    </row>
    <row r="26" spans="2:74" x14ac:dyDescent="0.25">
      <c r="B26" s="794" t="s">
        <v>1076</v>
      </c>
      <c r="C26" s="668">
        <f>IF(C$4="forecast",(AVERAGE(#REF!)),SUMIF('Dept. Cost Actuals'!$E$7:$E$176,"*Telephone*",'Dept. Cost Actuals'!G$1225:G$1394))</f>
        <v>395.58536999999995</v>
      </c>
      <c r="D26" s="668">
        <f>IF(D$4="forecast",(AVERAGE(#REF!)),SUMIF('Dept. Cost Actuals'!$E$7:$E$176,"*Telephone*",'Dept. Cost Actuals'!H$1225:H$1394))</f>
        <v>641.06872541135749</v>
      </c>
      <c r="E26" s="668">
        <f>IF(E$4="forecast",(AVERAGE(#REF!)),SUMIF('Dept. Cost Actuals'!$E$7:$E$176,"*Telephone*",'Dept. Cost Actuals'!I$1225:I$1394))</f>
        <v>336.49806690861084</v>
      </c>
      <c r="F26" s="668">
        <f>IF(F$4="forecast",(AVERAGE(#REF!)),SUMIF('Dept. Cost Actuals'!$E$7:$E$176,"*Telephone*",'Dept. Cost Actuals'!J$1225:J$1394))</f>
        <v>124.26455040446071</v>
      </c>
      <c r="G26" s="668">
        <f>IF(G$4="forecast",(AVERAGE(#REF!)),SUMIF('Dept. Cost Actuals'!$E$7:$E$176,"*Telephone*",'Dept. Cost Actuals'!K$1225:K$1394))</f>
        <v>113.02968515894463</v>
      </c>
      <c r="H26" s="668">
        <f>IF(H$4="forecast",(AVERAGE(#REF!)),SUMIF('Dept. Cost Actuals'!$E$7:$E$176,"*Telephone*",'Dept. Cost Actuals'!L$1225:L$1394))</f>
        <v>96.288474372998692</v>
      </c>
      <c r="I26" s="668">
        <f>IF(I$4="forecast",(AVERAGE(#REF!)),SUMIF('Dept. Cost Actuals'!$E$7:$E$176,"*Telephone*",'Dept. Cost Actuals'!M$1225:M$1394))</f>
        <v>726.42164102921447</v>
      </c>
      <c r="J26" s="668">
        <f>IF(J$4="forecast",(AVERAGE(#REF!)),SUMIF('Dept. Cost Actuals'!$E$7:$E$176,"*Telephone*",'Dept. Cost Actuals'!N$1225:N$1394))</f>
        <v>107.63046604176773</v>
      </c>
      <c r="K26" s="668">
        <f>IF(K$4="forecast",(AVERAGE(#REF!)),SUMIF('Dept. Cost Actuals'!$E$7:$E$176,"*Telephone*",'Dept. Cost Actuals'!O$1225:O$1394))</f>
        <v>97.226207324331369</v>
      </c>
      <c r="L26" s="668">
        <f>IF(L$4="forecast",(AVERAGE(#REF!)),SUMIF('Dept. Cost Actuals'!$E$7:$E$176,"*Telephone*",'Dept. Cost Actuals'!P$1225:P$1394))</f>
        <v>133.69290655615566</v>
      </c>
      <c r="M26" s="668">
        <f>IF(M$4="forecast",(AVERAGE(A26:L26)),SUMIF('Dept. Cost Actuals'!$E$7:$E$176,"*Telephone*",'Dept. Cost Actuals'!Q$1225:Q$1394))</f>
        <v>102.82304666604826</v>
      </c>
      <c r="N26" s="668">
        <f>IF(N$4="forecast",(AVERAGE(B26:M26)),SUMIF('Dept. Cost Actuals'!$E$7:$E$176,"*Telephone*",'Dept. Cost Actuals'!R$1225:R$1394))</f>
        <v>84.531837420988211</v>
      </c>
      <c r="O26" s="668">
        <f>IF(O$4="forecast",(AVERAGE(C26:N26)),SUMIF('Dept. Cost Actuals'!$E$7:$E$176,"*Telephone*",'Dept. Cost Actuals'!S$1225:S$1394))</f>
        <v>661.47</v>
      </c>
      <c r="P26" s="668">
        <f>IF(P$4="forecast",(AVERAGE(D26:O26)),SUMIF('Dept. Cost Actuals'!$E$7:$E$176,"*Telephone*",'Dept. Cost Actuals'!T$1225:T$1394))</f>
        <v>644.41</v>
      </c>
      <c r="Q26" s="668">
        <f>IF(Q$4="forecast",(AVERAGE(E26:P26)),SUMIF('Dept. Cost Actuals'!$E$7:$E$176,"*Telephone*",'Dept. Cost Actuals'!U$1225:U$1394))</f>
        <v>1565.14</v>
      </c>
      <c r="R26" s="668">
        <f>IF(R$4="forecast",(AVERAGE(F26:Q26)),SUMIF('Dept. Cost Actuals'!$E$7:$E$176,"*Telephone*",'Dept. Cost Actuals'!V$1225:V$1394))</f>
        <v>991.43</v>
      </c>
      <c r="S26" s="668">
        <f>IF(S$4="forecast",(AVERAGE(G26:R26)),SUMIF('Dept. Cost Actuals'!$E$7:$E$176,"*Telephone*",'Dept. Cost Actuals'!W$1225:W$1394))</f>
        <v>987.12</v>
      </c>
      <c r="T26" s="668">
        <f>IF(T$4="forecast",(AVERAGE(H26:S26)),SUMIF('Dept. Cost Actuals'!$E$7:$E$176,"*Telephone*",'Dept. Cost Actuals'!X$1225:X$1394))</f>
        <v>1100.42</v>
      </c>
      <c r="U26" s="668">
        <f>IF(U$4="forecast",(AVERAGE(I26:T26)),SUMIF('Dept. Cost Actuals'!$E$7:$E$176,"*Telephone*",'Dept. Cost Actuals'!Y$1225:Y$1394))</f>
        <v>1162.1199999999999</v>
      </c>
      <c r="V26" s="668">
        <f>IF(V$4="forecast",(AVERAGE(J26:U26)),SUMIF('Dept. Cost Actuals'!$E$7:$E$176,"*Telephone*",'Dept. Cost Actuals'!Z$1225:Z$1394))</f>
        <v>1223.83</v>
      </c>
      <c r="W26" s="668">
        <f>IF(W$4="forecast",(AVERAGE(K26:V26)),SUMIF('Dept. Cost Actuals'!$E$7:$E$176,"*Telephone*",'Dept. Cost Actuals'!AA$1225:AA$1394))</f>
        <v>1231.43</v>
      </c>
      <c r="X26" s="668">
        <f>IF(X$4="forecast",(AVERAGE(L26:W26)),SUMIF('Dept. Cost Actuals'!$E$7:$E$176,"*Telephone*",'Dept. Cost Actuals'!AB$1225:AB$1394))</f>
        <v>1401.7</v>
      </c>
      <c r="Y26" s="668">
        <f>IF(Y$4="forecast",(AVERAGE(M26:X26)),SUMIF('Dept. Cost Actuals'!$E$7:$E$176,"*Telephone*",'Dept. Cost Actuals'!AC$1225:AC$1394))</f>
        <v>1517.88</v>
      </c>
      <c r="Z26" s="668">
        <f>IF(Z$4="forecast",(AVERAGE(N26:Y26)),SUMIF('Dept. Cost Actuals'!$E$7:$E$176,"*Telephone*",'Dept. Cost Actuals'!AD$1225:AD$1394))</f>
        <v>1406.65</v>
      </c>
      <c r="AA26" s="668">
        <f>IF(AA$4="forecast",(AVERAGE(O26:Z26)),SUMIF('Dept. Cost Actuals'!$E$7:$E$176,"*Telephone*",'Dept. Cost Actuals'!AE$1225:AE$1394))</f>
        <v>1007.13</v>
      </c>
      <c r="AB26" s="668">
        <f>IF(AB$4="forecast",(AVERAGE(P26:AA26)),SUMIF('Dept. Cost Actuals'!$E$7:$E$176,"*Telephone*",'Dept. Cost Actuals'!AF$1225:AF$1394))</f>
        <v>1227.1199999999999</v>
      </c>
      <c r="AC26" s="668">
        <f>IF(AC$4="forecast",(AVERAGE(Q26:AB26)),SUMIF('Dept. Cost Actuals'!$E$7:$E$176,"*Telephone*",'Dept. Cost Actuals'!AG$1225:AG$1394))</f>
        <v>908.61</v>
      </c>
      <c r="AD26" s="668">
        <f>IF(AD$4="forecast",(AVERAGE(R26:AC26)),SUMIF('Dept. Cost Actuals'!$E$7:$E$176,"*Telephone*",'Dept. Cost Actuals'!AH$1225:AH$1394))</f>
        <v>1180.4533333333331</v>
      </c>
      <c r="AE26" s="668">
        <f>IF(AE$4="forecast",(AVERAGE(S26:AD26)),SUMIF('Dept. Cost Actuals'!$E$7:$E$176,"*Telephone*",'Dept. Cost Actuals'!AI$1225:AI$1394))</f>
        <v>1196.2052777777776</v>
      </c>
      <c r="AF26" s="668">
        <f>IF(AF$4="forecast",(AVERAGE(T26:AE26)),SUMIF('Dept. Cost Actuals'!$E$7:$E$176,"*Telephone*",'Dept. Cost Actuals'!AJ$1225:AJ$1394))</f>
        <v>1213.6290509259259</v>
      </c>
      <c r="AG26" s="668">
        <f>IF(AG$4="forecast",(AVERAGE(U26:AF26)),SUMIF('Dept. Cost Actuals'!$E$7:$E$176,"*Telephone*",'Dept. Cost Actuals'!AK$1225:AK$1394))</f>
        <v>1223.0631385030863</v>
      </c>
      <c r="AH26" s="668">
        <f>IF(AH$4="forecast",(AVERAGE(V26:AG26)),SUMIF('Dept. Cost Actuals'!$E$7:$E$176,"*Telephone*",'Dept. Cost Actuals'!AL$1225:AL$1394))</f>
        <v>1228.1417333783436</v>
      </c>
      <c r="AI26" s="668">
        <f>IF(AI$4="forecast",(AVERAGE(W26:AH26)),SUMIF('Dept. Cost Actuals'!$E$7:$E$176,"*Telephone*",'Dept. Cost Actuals'!AM$1225:AM$1394))</f>
        <v>1228.5010444932054</v>
      </c>
      <c r="AJ26" s="668">
        <f>IF(AJ$4="forecast",(AVERAGE(X26:AI26)),SUMIF('Dept. Cost Actuals'!$E$7:$E$176,"*Telephone*",'Dept. Cost Actuals'!AN$1225:AN$1394))</f>
        <v>1228.2569648676392</v>
      </c>
      <c r="AK26" s="668">
        <f>IF(AK$4="forecast",(AVERAGE(Y26:AJ26)),SUMIF('Dept. Cost Actuals'!$E$7:$E$176,"*Telephone*",'Dept. Cost Actuals'!AO$1225:AO$1394))</f>
        <v>1213.8033786066092</v>
      </c>
      <c r="AL26" s="668">
        <f>IF(AL$4="forecast",(AVERAGE(Z26:AK26)),SUMIF('Dept. Cost Actuals'!$E$7:$E$176,"*Telephone*",'Dept. Cost Actuals'!AP$1225:AP$1394))</f>
        <v>1188.4636601571599</v>
      </c>
      <c r="AM26" s="668">
        <f>IF(AM$4="forecast",(AVERAGE(AA26:AL26)),SUMIF('Dept. Cost Actuals'!$E$7:$E$176,"*Telephone*",'Dept. Cost Actuals'!AQ$1225:AQ$1394))</f>
        <v>1170.2814651702568</v>
      </c>
      <c r="AN26" s="668">
        <f>IF(AN$4="forecast",(AVERAGE(AB26:AM26)),SUMIF('Dept. Cost Actuals'!$E$7:$E$176,"*Telephone*",'Dept. Cost Actuals'!AR$1225:AR$1394))</f>
        <v>1183.8774206011117</v>
      </c>
      <c r="AO26" s="668">
        <f>IF(AO$4="forecast",(AVERAGE(AC26:AN26)),SUMIF('Dept. Cost Actuals'!$E$7:$E$176,"*Telephone*",'Dept. Cost Actuals'!AS$1225:AS$1394))</f>
        <v>1180.2738723178709</v>
      </c>
      <c r="AP26" s="668">
        <f>IF(AP$4="forecast",(AVERAGE(AD26:AO26)),SUMIF('Dept. Cost Actuals'!$E$7:$E$176,"*Telephone*",'Dept. Cost Actuals'!AT$1225:AT$1394))</f>
        <v>1202.9125283443602</v>
      </c>
      <c r="AQ26" s="668">
        <f>IF(AQ$4="forecast",(AVERAGE(AE26:AP26)),SUMIF('Dept. Cost Actuals'!$E$7:$E$176,"*Telephone*",'Dept. Cost Actuals'!AU$1225:AU$1394))</f>
        <v>1204.7841279286122</v>
      </c>
      <c r="AR26" s="668">
        <f>IF(AR$4="forecast",(AVERAGE(AF26:AQ26)),SUMIF('Dept. Cost Actuals'!$E$7:$E$176,"*Telephone*",'Dept. Cost Actuals'!AV$1225:AV$1394))</f>
        <v>1205.4990321078485</v>
      </c>
      <c r="AS26" s="668">
        <f>IF(AS$4="forecast",(AVERAGE(AG26:AR26)),SUMIF('Dept. Cost Actuals'!$E$7:$E$176,"*Telephone*",'Dept. Cost Actuals'!AW$1225:AW$1394))</f>
        <v>1204.8215305396752</v>
      </c>
      <c r="AT26" s="668">
        <f>IF(AT$4="forecast",(AVERAGE(AH26:AS26)),SUMIF('Dept. Cost Actuals'!$E$7:$E$176,"*Telephone*",'Dept. Cost Actuals'!AX$1225:AX$1394))</f>
        <v>1203.3013965427242</v>
      </c>
      <c r="AU26" s="668">
        <f>IF(AU$4="forecast",(AVERAGE(AI26:AT26)),SUMIF('Dept. Cost Actuals'!$E$7:$E$176,"*Telephone*",'Dept. Cost Actuals'!AY$1225:AY$1394))</f>
        <v>1201.2313684730893</v>
      </c>
      <c r="AV26" s="668">
        <f>IF(AV$4="forecast",(AVERAGE(AJ26:AU26)),SUMIF('Dept. Cost Actuals'!$E$7:$E$176,"*Telephone*",'Dept. Cost Actuals'!AZ$1225:AZ$1394))</f>
        <v>1198.9588954714129</v>
      </c>
      <c r="AW26" s="668">
        <f>IF(AW$4="forecast",(AVERAGE(AK26:AV26)),SUMIF('Dept. Cost Actuals'!$E$7:$E$176,"*Telephone*",'Dept. Cost Actuals'!BA$1225:BA$1394))</f>
        <v>1196.5173896883941</v>
      </c>
      <c r="AX26" s="668">
        <f>IF(AX$4="forecast",(AVERAGE(AL26:AW26)),SUMIF('Dept. Cost Actuals'!$E$7:$E$176,"*Telephone*",'Dept. Cost Actuals'!BB$1225:BB$1394))</f>
        <v>1195.0768906118763</v>
      </c>
      <c r="AY26" s="668">
        <f>IF(AY$4="forecast",(AVERAGE(AM26:AX26)),SUMIF('Dept. Cost Actuals'!$E$7:$E$176,"*Telephone*",'Dept. Cost Actuals'!BC$1225:BC$1394))</f>
        <v>1195.6279931497691</v>
      </c>
      <c r="AZ26" s="668">
        <f>IF(AZ$4="forecast",(AVERAGE(AN26:AY26)),SUMIF('Dept. Cost Actuals'!$E$7:$E$176,"*Telephone*",'Dept. Cost Actuals'!BD$1225:BD$1394))</f>
        <v>1197.7402038147286</v>
      </c>
      <c r="BA26" s="668">
        <f>IF(BA$4="forecast",(AVERAGE(AO26:AZ26)),SUMIF('Dept. Cost Actuals'!$E$7:$E$176,"*Telephone*",'Dept. Cost Actuals'!BE$1225:BE$1394))</f>
        <v>1198.8954357491966</v>
      </c>
      <c r="BB26" s="668">
        <f>IF(BB$4="forecast",(AVERAGE(AP26:BA26)),SUMIF('Dept. Cost Actuals'!$E$7:$E$176,"*Telephone*",'Dept. Cost Actuals'!BF$1225:BF$1394))</f>
        <v>1200.447232701807</v>
      </c>
      <c r="BC26" s="668">
        <f>IF(BC$4="forecast",(AVERAGE(AQ26:BB26)),SUMIF('Dept. Cost Actuals'!$E$7:$E$176,"*Telephone*",'Dept. Cost Actuals'!BG$1225:BG$1394))</f>
        <v>1200.2417913982611</v>
      </c>
      <c r="BD26" s="668">
        <f>IF(BD$4="forecast",(AVERAGE(AR26:BC26)),SUMIF('Dept. Cost Actuals'!$E$7:$E$176,"*Telephone*",'Dept. Cost Actuals'!BH$1225:BH$1394))</f>
        <v>1199.8632633540651</v>
      </c>
      <c r="BE26" s="668">
        <f>IF(BE$4="forecast",(AVERAGE(AS26:BD26)),SUMIF('Dept. Cost Actuals'!$E$7:$E$176,"*Telephone*",'Dept. Cost Actuals'!BI$1225:BI$1394))</f>
        <v>1199.3936159579166</v>
      </c>
      <c r="BF26" s="668">
        <f>IF(BF$4="forecast",(AVERAGE(AT26:BE26)),SUMIF('Dept. Cost Actuals'!$E$7:$E$176,"*Telephone*",'Dept. Cost Actuals'!BJ$1225:BJ$1394))</f>
        <v>1198.9412897427701</v>
      </c>
      <c r="BG26" s="668">
        <f>IF(BG$4="forecast",(AVERAGE(AU26:BF26)),SUMIF('Dept. Cost Actuals'!$E$7:$E$176,"*Telephone*",'Dept. Cost Actuals'!BK$1225:BK$1394))</f>
        <v>1198.5779475094407</v>
      </c>
      <c r="BH26" s="668">
        <f>IF(BH$4="forecast",(AVERAGE(AV26:BG26)),SUMIF('Dept. Cost Actuals'!$E$7:$E$176,"*Telephone*",'Dept. Cost Actuals'!BL$1225:BL$1394))</f>
        <v>1198.3568290958033</v>
      </c>
      <c r="BI26" s="668">
        <f>IF(BI$4="forecast",(AVERAGE(AW26:BH26)),SUMIF('Dept. Cost Actuals'!$E$7:$E$176,"*Telephone*",'Dept. Cost Actuals'!BM$1225:BM$1394))</f>
        <v>1198.3066568978356</v>
      </c>
      <c r="BJ26" s="668">
        <f>IF(BJ$4="forecast",(AVERAGE(AX26:BI26)),SUMIF('Dept. Cost Actuals'!$E$7:$E$176,"*Telephone*",'Dept. Cost Actuals'!BN$1225:BN$1394))</f>
        <v>1198.4557624986226</v>
      </c>
      <c r="BK26" s="668">
        <f>IF(BK$4="forecast",(AVERAGE(AY26:BJ26)),SUMIF('Dept. Cost Actuals'!$E$7:$E$176,"*Telephone*",'Dept. Cost Actuals'!BO$1225:BO$1394))</f>
        <v>1198.7373351558515</v>
      </c>
      <c r="BL26" s="668">
        <f>IF(BL$4="forecast",(AVERAGE(AZ26:BK26)),SUMIF('Dept. Cost Actuals'!$E$7:$E$176,"*Telephone*",'Dept. Cost Actuals'!BP$1225:BP$1394))</f>
        <v>1198.9964469896915</v>
      </c>
      <c r="BM26" s="668">
        <f>IF(BM$4="forecast",(AVERAGE(BA26:BL26)),SUMIF('Dept. Cost Actuals'!$E$7:$E$176,"*Telephone*",'Dept. Cost Actuals'!BQ$1225:BQ$1394))</f>
        <v>1199.1011339209383</v>
      </c>
      <c r="BN26" s="668">
        <f>IF(BN$4="forecast",(AVERAGE(BB26:BM26)),SUMIF('Dept. Cost Actuals'!$E$7:$E$176,"*Telephone*",'Dept. Cost Actuals'!BR$1225:BR$1394))</f>
        <v>1199.1182754352501</v>
      </c>
      <c r="BO26" s="668">
        <f>IF(BO$4="forecast",(AVERAGE(BC26:BN26)),SUMIF('Dept. Cost Actuals'!$E$7:$E$176,"*Telephone*",'Dept. Cost Actuals'!BS$1225:BS$1394))</f>
        <v>1199.0075289963704</v>
      </c>
      <c r="BP26" s="668">
        <f>IF(BP$4="forecast",(AVERAGE(BD26:BO26)),SUMIF('Dept. Cost Actuals'!$E$7:$E$176,"*Telephone*",'Dept. Cost Actuals'!BT$1225:BT$1394))</f>
        <v>1198.9046737962128</v>
      </c>
      <c r="BQ26" s="668">
        <f>IF(BQ$4="forecast",(AVERAGE(BE26:BP26)),SUMIF('Dept. Cost Actuals'!$E$7:$E$176,"*Telephone*",'Dept. Cost Actuals'!BU$1225:BU$1394))</f>
        <v>1198.8247913330586</v>
      </c>
      <c r="BR26" s="668">
        <f>IF(BR$4="forecast",(AVERAGE(BF26:BQ26)),SUMIF('Dept. Cost Actuals'!$E$7:$E$176,"*Telephone*",'Dept. Cost Actuals'!BV$1225:BV$1394))</f>
        <v>1198.7773892809871</v>
      </c>
      <c r="BS26" s="668">
        <f>IF(BS$4="forecast",(AVERAGE(BG26:BR26)),SUMIF('Dept. Cost Actuals'!$E$7:$E$176,"*Telephone*",'Dept. Cost Actuals'!BW$1225:BW$1394))</f>
        <v>1198.7637309091717</v>
      </c>
      <c r="BT26" s="668">
        <f>IF(BT$4="forecast",(AVERAGE(BH26:BS26)),SUMIF('Dept. Cost Actuals'!$E$7:$E$176,"*Telephone*",'Dept. Cost Actuals'!BX$1225:BX$1394))</f>
        <v>1198.7792128591493</v>
      </c>
      <c r="BU26" s="668">
        <f>IF(BU$4="forecast",(AVERAGE(BI26:BT26)),SUMIF('Dept. Cost Actuals'!$E$7:$E$176,"*Telephone*",'Dept. Cost Actuals'!BY$1225:BY$1394))</f>
        <v>1198.814411506095</v>
      </c>
      <c r="BV26" s="668">
        <f>IF(BV$4="forecast",(AVERAGE(BJ26:BU26)),SUMIF('Dept. Cost Actuals'!$E$7:$E$176,"*Telephone*",'Dept. Cost Actuals'!BZ$1225:BZ$1394))</f>
        <v>1198.8567243901166</v>
      </c>
    </row>
    <row r="27" spans="2:74" x14ac:dyDescent="0.25">
      <c r="B27" s="1208" t="s">
        <v>936</v>
      </c>
      <c r="C27" s="668">
        <f>IF(C$4="forecast",(SUM(#REF!)/12)*1.1,SUMIF('Dept. Cost Actuals'!$E$7:$E$176,"*Software*",'Dept. Cost Actuals'!G$1225:G$1394))</f>
        <v>0</v>
      </c>
      <c r="D27" s="668">
        <f>IF(D$4="forecast",(SUM(#REF!)/12)*1.1,SUMIF('Dept. Cost Actuals'!$E$7:$E$176,"*Software*",'Dept. Cost Actuals'!H$1225:H$1394))</f>
        <v>0</v>
      </c>
      <c r="E27" s="668">
        <f>IF(E$4="forecast",(SUM(#REF!)/12)*1.1,SUMIF('Dept. Cost Actuals'!$E$7:$E$176,"*Software*",'Dept. Cost Actuals'!I$1225:I$1394))</f>
        <v>0</v>
      </c>
      <c r="F27" s="668">
        <f>IF(F$4="forecast",(SUM(#REF!)/12)*1.1,SUMIF('Dept. Cost Actuals'!$E$7:$E$176,"*Software*",'Dept. Cost Actuals'!J$1225:J$1394))</f>
        <v>0</v>
      </c>
      <c r="G27" s="668">
        <f>IF(G$4="forecast",(SUM(#REF!)/12)*1.1,SUMIF('Dept. Cost Actuals'!$E$7:$E$176,"*Software*",'Dept. Cost Actuals'!K$1225:K$1394))</f>
        <v>0</v>
      </c>
      <c r="H27" s="668">
        <f>IF(H$4="forecast",(SUM(#REF!)/12)*1.1,SUMIF('Dept. Cost Actuals'!$E$7:$E$176,"*Software*",'Dept. Cost Actuals'!L$1225:L$1394))</f>
        <v>0</v>
      </c>
      <c r="I27" s="668">
        <f>IF(I$4="forecast",(SUM(#REF!)/12)*1.1,SUMIF('Dept. Cost Actuals'!$E$7:$E$176,"*Software*",'Dept. Cost Actuals'!M$1225:M$1394))</f>
        <v>0</v>
      </c>
      <c r="J27" s="668">
        <f>IF(J$4="forecast",(SUM(#REF!)/12)*1.1,SUMIF('Dept. Cost Actuals'!$E$7:$E$176,"*Software*",'Dept. Cost Actuals'!N$1225:N$1394))</f>
        <v>0</v>
      </c>
      <c r="K27" s="668">
        <f>IF(K$4="forecast",(SUM(#REF!)/12)*1.1,SUMIF('Dept. Cost Actuals'!$E$7:$E$176,"*Software*",'Dept. Cost Actuals'!O$1225:O$1394))</f>
        <v>0</v>
      </c>
      <c r="L27" s="668">
        <f>IF(L$4="forecast",(SUM(#REF!)/12)*1.1,SUMIF('Dept. Cost Actuals'!$E$7:$E$176,"*Software*",'Dept. Cost Actuals'!P$1225:P$1394))</f>
        <v>0</v>
      </c>
      <c r="M27" s="668">
        <f>IF(M$4="forecast",(SUM(#REF!)/12)*1.1,SUMIF('Dept. Cost Actuals'!$E$7:$E$176,"*Software*",'Dept. Cost Actuals'!Q$1225:Q$1394))</f>
        <v>0</v>
      </c>
      <c r="N27" s="668">
        <f>IF(N$4="forecast",(SUM(A$27:L$27)/12)*1.1,SUMIF('Dept. Cost Actuals'!$E$7:$E$176,"*Software*",'Dept. Cost Actuals'!R$1225:R$1394))</f>
        <v>0</v>
      </c>
      <c r="O27" s="668">
        <f>IF(O$4="forecast",(SUM(B$27:M$27)/12)*1.1,SUMIF('Dept. Cost Actuals'!$E$7:$E$176,"*Software*",'Dept. Cost Actuals'!S$1225:S$1394))</f>
        <v>726.5</v>
      </c>
      <c r="P27" s="668">
        <f>IF(P$4="forecast",(SUM(C$27:N$27)/12)*1.1,SUMIF('Dept. Cost Actuals'!$E$7:$E$176,"*Software*",'Dept. Cost Actuals'!T$1225:T$1394))</f>
        <v>784.73</v>
      </c>
      <c r="Q27" s="668">
        <f>IF(Q$4="forecast",(SUM(D$27:O$27)/12)*1.1,SUMIF('Dept. Cost Actuals'!$E$7:$E$176,"*Software*",'Dept. Cost Actuals'!U$1225:U$1394))</f>
        <v>1692.21</v>
      </c>
      <c r="R27" s="668">
        <f>IF(R$4="forecast",(SUM(E$27:P$27)/12)*1.1,SUMIF('Dept. Cost Actuals'!$E$7:$E$176,"*Software*",'Dept. Cost Actuals'!V$1225:V$1394))</f>
        <v>897.36</v>
      </c>
      <c r="S27" s="668">
        <f>IF(S$4="forecast",(SUM(F$27:Q$27)/12)*1.1,SUMIF('Dept. Cost Actuals'!$E$7:$E$176,"*Software*",'Dept. Cost Actuals'!W$1225:W$1394))</f>
        <v>876.15</v>
      </c>
      <c r="T27" s="668">
        <f>IF(T$4="forecast",(SUM(G$27:R$27)/12)*1.1,SUMIF('Dept. Cost Actuals'!$E$7:$E$176,"*Software*",'Dept. Cost Actuals'!X$1225:X$1394))</f>
        <v>1253.78</v>
      </c>
      <c r="U27" s="668">
        <f>IF(U$4="forecast",(SUM(H$27:S$27)/12)*1.1,SUMIF('Dept. Cost Actuals'!$E$7:$E$176,"*Software*",'Dept. Cost Actuals'!Y$1225:Y$1394))</f>
        <v>544.95000000000005</v>
      </c>
      <c r="V27" s="668">
        <f>IF(V$4="forecast",(SUM(I$27:T$27)/12)*1.1,SUMIF('Dept. Cost Actuals'!$E$7:$E$176,"*Software*",'Dept. Cost Actuals'!Z$1225:Z$1394))</f>
        <v>706.92</v>
      </c>
      <c r="W27" s="668">
        <f>IF(W$4="forecast",(SUM(J$27:U$27)/12)*1.1,SUMIF('Dept. Cost Actuals'!$E$7:$E$176,"*Software*",'Dept. Cost Actuals'!AA$1225:AA$1394))</f>
        <v>566.85</v>
      </c>
      <c r="X27" s="668">
        <f>IF(X$4="forecast",(SUM(K$27:V$27)/12)*1.1,SUMIF('Dept. Cost Actuals'!$E$7:$E$176,"*Software*",'Dept. Cost Actuals'!AB$1225:AB$1394))</f>
        <v>2023.7</v>
      </c>
      <c r="Y27" s="668">
        <f>IF(Y$4="forecast",(SUM(L$27:W$27)/12)*1.1,SUMIF('Dept. Cost Actuals'!$E$7:$E$176,"*Software*",'Dept. Cost Actuals'!AC$1225:AC$1394))</f>
        <v>-1380.11</v>
      </c>
      <c r="Z27" s="668">
        <f>IF(Z$4="forecast",(SUM(M$27:X$27)/12)*1.1,SUMIF('Dept. Cost Actuals'!$E$7:$E$176,"*Software*",'Dept. Cost Actuals'!AD$1225:AD$1394))</f>
        <v>60</v>
      </c>
      <c r="AA27" s="668">
        <f>IF(AA$4="forecast",(SUM(N$27:Y$27)/12)*1.1,SUMIF('Dept. Cost Actuals'!$E$7:$E$176,"*Software*",'Dept. Cost Actuals'!AE$1225:AE$1394))</f>
        <v>247.24</v>
      </c>
      <c r="AB27" s="668">
        <f>IF(AB$4="forecast",(SUM(O$27:Z$27)/12)*1.1,SUMIF('Dept. Cost Actuals'!$E$7:$E$176,"*Software*",'Dept. Cost Actuals'!AF$1225:AF$1394))</f>
        <v>970.37</v>
      </c>
      <c r="AC27" s="668">
        <f>IF(AC$4="forecast",(SUM(P$27:AA$27)/12)*1.1,SUMIF('Dept. Cost Actuals'!$E$7:$E$176,"*Software*",'Dept. Cost Actuals'!AG$1225:AG$1394))</f>
        <v>781.35</v>
      </c>
      <c r="AD27" s="668">
        <f>IF(AD$4="forecast",(SUM(Q$27:AB$27)/12)*1.3,SUMIF('Dept. Cost Actuals'!$E$7:$E$176,"*Software*",'Dept. Cost Actuals'!AH$1225:AH$1394))</f>
        <v>916.43716666666671</v>
      </c>
      <c r="AE27" s="668">
        <f>IF(AE$4="forecast",(SUM(R$27:AC$27)/12)*1.3,SUMIF('Dept. Cost Actuals'!$E$7:$E$176,"*Software*",'Dept. Cost Actuals'!AI$1225:AI$1394))</f>
        <v>817.76066666666679</v>
      </c>
      <c r="AF27" s="668">
        <f>IF(AF$4="forecast",(SUM(S$27:AD$27)/12)*1.3,SUMIF('Dept. Cost Actuals'!$E$7:$E$176,"*Software*",'Dept. Cost Actuals'!AJ$1225:AJ$1394))</f>
        <v>819.82735972222235</v>
      </c>
      <c r="AG27" s="668">
        <f>IF(AG$4="forecast",(SUM(T$27:AE$27)/12)*1.3,SUMIF('Dept. Cost Actuals'!$E$7:$E$176,"*Software*",'Dept. Cost Actuals'!AK$1225:AK$1394))</f>
        <v>813.5018486111112</v>
      </c>
      <c r="AH27" s="668">
        <f>IF(AH$4="forecast",(SUM(U$27:AF$27)/12)*1.3,SUMIF('Dept. Cost Actuals'!$E$7:$E$176,"*Software*",'Dept. Cost Actuals'!AL$1225:AL$1394))</f>
        <v>766.49031258101866</v>
      </c>
      <c r="AI27" s="668">
        <f>IF(AI$4="forecast",(SUM(V$27:AG$27)/12)*1.3,SUMIF('Dept. Cost Actuals'!$E$7:$E$176,"*Software*",'Dept. Cost Actuals'!AM$1225:AM$1394))</f>
        <v>795.58342951388897</v>
      </c>
      <c r="AJ27" s="668">
        <f>IF(AJ$4="forecast",(SUM(W$27:AH$27)/12)*1.3,SUMIF('Dept. Cost Actuals'!$E$7:$E$176,"*Software*",'Dept. Cost Actuals'!AN$1225:AN$1394))</f>
        <v>802.03688004349931</v>
      </c>
      <c r="AK27" s="668">
        <f>IF(AK$4="forecast",(SUM(X$27:AI$27)/12)*1.3,SUMIF('Dept. Cost Actuals'!$E$7:$E$176,"*Software*",'Dept. Cost Actuals'!AO$1225:AO$1394))</f>
        <v>826.81633490750403</v>
      </c>
      <c r="AL27" s="668">
        <f>IF(AL$4="forecast",(SUM(Y$27:AJ$27)/12)*1.3,SUMIF('Dept. Cost Actuals'!$E$7:$E$176,"*Software*",'Dept. Cost Actuals'!AP$1225:AP$1394))</f>
        <v>694.46949691221641</v>
      </c>
      <c r="AM27" s="668">
        <f>IF(AM$4="forecast",(SUM(Z$27:AK$27)/12)*1.3,SUMIF('Dept. Cost Actuals'!$E$7:$E$176,"*Software*",'Dept. Cost Actuals'!AQ$1225:AQ$1394))</f>
        <v>933.55318319386276</v>
      </c>
      <c r="AN27" s="668">
        <f>IF(AN$4="forecast",(SUM(AA$27:AL$27)/12)*1.3,SUMIF('Dept. Cost Actuals'!$E$7:$E$176,"*Software*",'Dept. Cost Actuals'!AR$1225:AR$1394))</f>
        <v>1002.2873786926859</v>
      </c>
      <c r="AO27" s="668">
        <f>IF(AO$4="forecast",(SUM(AB$27:AM$27)/12)*1.3,SUMIF('Dept. Cost Actuals'!$E$7:$E$176,"*Software*",'Dept. Cost Actuals'!AS$1225:AS$1394))</f>
        <v>1076.6379735386877</v>
      </c>
      <c r="AP27" s="668">
        <f>IF(AP$4="forecast",(SUM(AC$27:AN$27)/12)*1.3,SUMIF('Dept. Cost Actuals'!$E$7:$E$176,"*Software*",'Dept. Cost Actuals'!AT$1225:AT$1394))</f>
        <v>1080.0956895637291</v>
      </c>
      <c r="AQ27" s="668">
        <f>IF(AQ$4="forecast",(SUM(AD$27:AO$27)/12)*1.3,SUMIF('Dept. Cost Actuals'!$E$7:$E$176,"*Software*",'Dept. Cost Actuals'!AU$1225:AU$1394))</f>
        <v>1112.08522003042</v>
      </c>
      <c r="AR27" s="668">
        <f>IF(AR$4="forecast",(SUM(AE$27:AP$27)/12)*1.3,SUMIF('Dept. Cost Actuals'!$E$7:$E$176,"*Software*",'Dept. Cost Actuals'!AV$1225:AV$1394))</f>
        <v>1129.8148933442685</v>
      </c>
      <c r="AS27" s="668">
        <f>IF(AS$4="forecast",(SUM(AF$27:AQ$27)/12)*1.3,SUMIF('Dept. Cost Actuals'!$E$7:$E$176,"*Software*",'Dept. Cost Actuals'!AW$1225:AW$1394))</f>
        <v>1161.7000532920085</v>
      </c>
      <c r="AT27" s="668">
        <f>IF(AT$4="forecast",(SUM(AG$27:AR$27)/12)*1.3,SUMIF('Dept. Cost Actuals'!$E$7:$E$176,"*Software*",'Dept. Cost Actuals'!AX$1225:AX$1394))</f>
        <v>1195.2820361010631</v>
      </c>
      <c r="AU27" s="668">
        <f>IF(AU$4="forecast",(SUM(AH$27:AS$27)/12)*1.3,SUMIF('Dept. Cost Actuals'!$E$7:$E$176,"*Software*",'Dept. Cost Actuals'!AY$1225:AY$1394))</f>
        <v>1233.0035082748273</v>
      </c>
      <c r="AV27" s="668">
        <f>IF(AV$4="forecast",(SUM(AI$27:AT$27)/12)*1.3,SUMIF('Dept. Cost Actuals'!$E$7:$E$176,"*Software*",'Dept. Cost Actuals'!AZ$1225:AZ$1394))</f>
        <v>1279.4559449894989</v>
      </c>
      <c r="AW27" s="668">
        <f>IF(AW$4="forecast",(SUM(AJ$27:AU$27)/12)*1.3,SUMIF('Dept. Cost Actuals'!$E$7:$E$176,"*Software*",'Dept. Cost Actuals'!BA$1225:BA$1394))</f>
        <v>1326.8431201886006</v>
      </c>
      <c r="AX27" s="668">
        <f>IF(AX$4="forecast",(SUM(AK$27:AV$27)/12)*1.3,SUMIF('Dept. Cost Actuals'!$E$7:$E$176,"*Software*",'Dept. Cost Actuals'!BB$1225:BB$1394))</f>
        <v>1378.5635188910837</v>
      </c>
      <c r="AY27" s="668">
        <f>IF(AY$4="forecast",(SUM(AL$27:AW$27)/12)*1.3,SUMIF('Dept. Cost Actuals'!$E$7:$E$176,"*Software*",'Dept. Cost Actuals'!BC$1225:BC$1394))</f>
        <v>1432.7330872965358</v>
      </c>
      <c r="AZ27" s="668">
        <f>IF(AZ$4="forecast",(SUM(AM$27:AX$27)/12)*1.3,SUMIF('Dept. Cost Actuals'!$E$7:$E$176,"*Software*",'Dept. Cost Actuals'!BD$1225:BD$1394))</f>
        <v>1506.8432730109132</v>
      </c>
      <c r="BA27" s="668">
        <f>IF(BA$4="forecast",(SUM(AN$27:AY$27)/12)*1.3,SUMIF('Dept. Cost Actuals'!$E$7:$E$176,"*Software*",'Dept. Cost Actuals'!BE$1225:BE$1394))</f>
        <v>1560.9210959553695</v>
      </c>
      <c r="BB27" s="668">
        <f>IF(BB$4="forecast",(SUM(AO$27:AZ$27)/12)*1.3,SUMIF('Dept. Cost Actuals'!$E$7:$E$176,"*Software*",'Dept. Cost Actuals'!BF$1225:BF$1394))</f>
        <v>1615.5813178398439</v>
      </c>
      <c r="BC27" s="668">
        <f>IF(BC$4="forecast",(SUM(AP$27:BA$27)/12)*1.3,SUMIF('Dept. Cost Actuals'!$E$7:$E$176,"*Software*",'Dept. Cost Actuals'!BG$1225:BG$1394))</f>
        <v>1668.0453227683181</v>
      </c>
      <c r="BD27" s="668">
        <f>IF(BD$4="forecast",(SUM(AQ$27:BB$27)/12)*1.3,SUMIF('Dept. Cost Actuals'!$E$7:$E$176,"*Software*",'Dept. Cost Actuals'!BH$1225:BH$1394))</f>
        <v>1726.0562658315635</v>
      </c>
      <c r="BE27" s="668">
        <f>IF(BE$4="forecast",(SUM(AR$27:BC$27)/12)*1.3,SUMIF('Dept. Cost Actuals'!$E$7:$E$176,"*Software*",'Dept. Cost Actuals'!BI$1225:BI$1394))</f>
        <v>1786.2852769615022</v>
      </c>
      <c r="BF27" s="668">
        <f>IF(BF$4="forecast",(SUM(AS$27:BD$27)/12)*1.3,SUMIF('Dept. Cost Actuals'!$E$7:$E$176,"*Software*",'Dept. Cost Actuals'!BJ$1225:BJ$1394))</f>
        <v>1850.8780923142929</v>
      </c>
      <c r="BG27" s="668">
        <f>IF(BG$4="forecast",(SUM(AT$27:BE$27)/12)*1.3,SUMIF('Dept. Cost Actuals'!$E$7:$E$176,"*Software*",'Dept. Cost Actuals'!BK$1225:BK$1394))</f>
        <v>1918.5414915451547</v>
      </c>
      <c r="BH27" s="668">
        <f>IF(BH$4="forecast",(SUM(AU$27:BF$27)/12)*1.3,SUMIF('Dept. Cost Actuals'!$E$7:$E$176,"*Software*",'Dept. Cost Actuals'!BL$1225:BL$1394))</f>
        <v>1989.5643976349213</v>
      </c>
      <c r="BI27" s="668">
        <f>IF(BI$4="forecast",(SUM(AV$27:BG$27)/12)*1.3,SUMIF('Dept. Cost Actuals'!$E$7:$E$176,"*Software*",'Dept. Cost Actuals'!BM$1225:BM$1394))</f>
        <v>2063.8310124892064</v>
      </c>
      <c r="BJ27" s="668">
        <f>IF(BJ$4="forecast",(SUM(AW$27:BH$27)/12)*1.3,SUMIF('Dept. Cost Actuals'!$E$7:$E$176,"*Software*",'Dept. Cost Actuals'!BN$1225:BN$1394))</f>
        <v>2140.7594281924603</v>
      </c>
      <c r="BK27" s="668">
        <f>IF(BK$4="forecast",(SUM(AX$27:BI$27)/12)*1.3,SUMIF('Dept. Cost Actuals'!$E$7:$E$176,"*Software*",'Dept. Cost Actuals'!BO$1225:BO$1394))</f>
        <v>2220.5997831916929</v>
      </c>
      <c r="BL27" s="668">
        <f>IF(BL$4="forecast",(SUM(AY$27:BJ$27)/12)*1.3,SUMIF('Dept. Cost Actuals'!$E$7:$E$176,"*Software*",'Dept. Cost Actuals'!BP$1225:BP$1394))</f>
        <v>2303.1710066993423</v>
      </c>
      <c r="BM27" s="668">
        <f>IF(BM$4="forecast",(SUM(AZ$27:BK$27)/12)*1.3,SUMIF('Dept. Cost Actuals'!$E$7:$E$176,"*Software*",'Dept. Cost Actuals'!BQ$1225:BQ$1394))</f>
        <v>2388.5232320879845</v>
      </c>
      <c r="BN27" s="668">
        <f>IF(BN$4="forecast",(SUM(BA$27:BL$27)/12)*1.3,SUMIF('Dept. Cost Actuals'!$E$7:$E$176,"*Software*",'Dept. Cost Actuals'!BR$1225:BR$1394))</f>
        <v>2474.7920699042311</v>
      </c>
      <c r="BO27" s="668">
        <f>IF(BO$4="forecast",(SUM(BB$27:BM$27)/12)*1.3,SUMIF('Dept. Cost Actuals'!$E$7:$E$176,"*Software*",'Dept. Cost Actuals'!BS$1225:BS$1394))</f>
        <v>2564.4489679852645</v>
      </c>
      <c r="BP27" s="668">
        <f>IF(BP$4="forecast",(SUM(BC$27:BN$27)/12)*1.3,SUMIF('Dept. Cost Actuals'!$E$7:$E$176,"*Software*",'Dept. Cost Actuals'!BT$1225:BT$1394))</f>
        <v>2657.5301327922393</v>
      </c>
      <c r="BQ27" s="668">
        <f>IF(BQ$4="forecast",(SUM(BD$27:BO$27)/12)*1.3,SUMIF('Dept. Cost Actuals'!$E$7:$E$176,"*Software*",'Dept. Cost Actuals'!BU$1225:BU$1394))</f>
        <v>2754.6405276907421</v>
      </c>
      <c r="BR27" s="668">
        <f>IF(BR$4="forecast",(SUM(BE$27:BP$27)/12)*1.3,SUMIF('Dept. Cost Actuals'!$E$7:$E$176,"*Software*",'Dept. Cost Actuals'!BV$1225:BV$1394))</f>
        <v>2855.5501966114821</v>
      </c>
      <c r="BS27" s="668">
        <f>IF(BS$4="forecast",(SUM(BF$27:BQ$27)/12)*1.3,SUMIF('Dept. Cost Actuals'!$E$7:$E$176,"*Software*",'Dept. Cost Actuals'!BW$1225:BW$1394))</f>
        <v>2960.4553487738162</v>
      </c>
      <c r="BT27" s="668">
        <f>IF(BT$4="forecast",(SUM(BG$27:BR$27)/12)*1.3,SUMIF('Dept. Cost Actuals'!$E$7:$E$176,"*Software*",'Dept. Cost Actuals'!BX$1225:BX$1394))</f>
        <v>3069.2948267393449</v>
      </c>
      <c r="BU27" s="668">
        <f>IF(BU$4="forecast",(SUM(BH$27:BS$27)/12)*1.3,SUMIF('Dept. Cost Actuals'!$E$7:$E$176,"*Software*",'Dept. Cost Actuals'!BY$1225:BY$1394))</f>
        <v>3182.168827939116</v>
      </c>
      <c r="BV27" s="668">
        <f>IF(BV$4="forecast",(SUM(BI$27:BT$27)/12)*1.3,SUMIF('Dept. Cost Actuals'!$E$7:$E$176,"*Software*",'Dept. Cost Actuals'!BZ$1225:BZ$1394))</f>
        <v>3299.1396244254292</v>
      </c>
    </row>
    <row r="28" spans="2:74" x14ac:dyDescent="0.25">
      <c r="B28" s="794" t="s">
        <v>1075</v>
      </c>
      <c r="C28" s="668">
        <f>IF(C$4="forecast",(AVERAGE(#REF!)),SUMIF('Dept. Cost Actuals'!$E$7:$E$176,"*Parking*",'Dept. Cost Actuals'!G$1225:G$1394))</f>
        <v>1225</v>
      </c>
      <c r="D28" s="668">
        <f>IF(D$4="forecast",(AVERAGE(#REF!)),SUMIF('Dept. Cost Actuals'!$E$7:$E$176,"*Parking*",'Dept. Cost Actuals'!H$1225:H$1394))</f>
        <v>1885</v>
      </c>
      <c r="E28" s="668">
        <f>IF(E$4="forecast",(AVERAGE(#REF!)),SUMIF('Dept. Cost Actuals'!$E$7:$E$176,"*Parking*",'Dept. Cost Actuals'!I$1225:I$1394))</f>
        <v>1969</v>
      </c>
      <c r="F28" s="668">
        <f>IF(F$4="forecast",(AVERAGE(#REF!)),SUMIF('Dept. Cost Actuals'!$E$7:$E$176,"*Parking*",'Dept. Cost Actuals'!J$1225:J$1394))</f>
        <v>1885</v>
      </c>
      <c r="G28" s="668">
        <f>IF(G$4="forecast",(AVERAGE(#REF!)),SUMIF('Dept. Cost Actuals'!$E$7:$E$176,"*Parking*",'Dept. Cost Actuals'!K$1225:K$1394))</f>
        <v>1891</v>
      </c>
      <c r="H28" s="668">
        <f>IF(H$4="forecast",(AVERAGE(#REF!)),SUMIF('Dept. Cost Actuals'!$E$7:$E$176,"*Parking*",'Dept. Cost Actuals'!L$1225:L$1394))</f>
        <v>1900.5</v>
      </c>
      <c r="I28" s="668">
        <f>IF(I$4="forecast",(AVERAGE(#REF!)),SUMIF('Dept. Cost Actuals'!$E$7:$E$176,"*Parking*",'Dept. Cost Actuals'!M$1225:M$1394))</f>
        <v>1885</v>
      </c>
      <c r="J28" s="668">
        <f>IF(J$4="forecast",(AVERAGE(#REF!)),SUMIF('Dept. Cost Actuals'!$E$7:$E$176,"*Parking*",'Dept. Cost Actuals'!N$1225:N$1394))</f>
        <v>2598</v>
      </c>
      <c r="K28" s="668">
        <f>IF(K$4="forecast",(AVERAGE(#REF!)),SUMIF('Dept. Cost Actuals'!$E$7:$E$176,"*Parking*",'Dept. Cost Actuals'!O$1225:O$1394))</f>
        <v>3173</v>
      </c>
      <c r="L28" s="668">
        <f>IF(L$4="forecast",(AVERAGE(#REF!)),SUMIF('Dept. Cost Actuals'!$E$7:$E$176,"*Parking*",'Dept. Cost Actuals'!P$1225:P$1394))</f>
        <v>3140</v>
      </c>
      <c r="M28" s="668">
        <f>IF(M$4="forecast",(AVERAGE(A28:L28)),SUMIF('Dept. Cost Actuals'!$E$7:$E$176,"*Parking*",'Dept. Cost Actuals'!Q$1225:Q$1394))</f>
        <v>3213.5</v>
      </c>
      <c r="N28" s="668">
        <f>IF(N$4="forecast",(AVERAGE(B28:M28)),SUMIF('Dept. Cost Actuals'!$E$7:$E$176,"*Parking*",'Dept. Cost Actuals'!R$1225:R$1394))</f>
        <v>3198.5</v>
      </c>
      <c r="O28" s="668">
        <f>IF(O$4="forecast",(AVERAGE(C28:N28)),SUMIF('Dept. Cost Actuals'!$E$7:$E$176,"*Parking*",'Dept. Cost Actuals'!S$1225:S$1394))</f>
        <v>3764</v>
      </c>
      <c r="P28" s="668">
        <f>IF(P$4="forecast",(AVERAGE(D28:O28)),SUMIF('Dept. Cost Actuals'!$E$7:$E$176,"*Parking*",'Dept. Cost Actuals'!T$1225:T$1394))</f>
        <v>3710</v>
      </c>
      <c r="Q28" s="668">
        <f>IF(Q$4="forecast",(AVERAGE(E28:P28)),SUMIF('Dept. Cost Actuals'!$E$7:$E$176,"*Parking*",'Dept. Cost Actuals'!U$1225:U$1394))</f>
        <v>3750</v>
      </c>
      <c r="R28" s="668">
        <f>IF(R$4="forecast",(AVERAGE(F28:Q28)),SUMIF('Dept. Cost Actuals'!$E$7:$E$176,"*Parking*",'Dept. Cost Actuals'!V$1225:V$1394))</f>
        <v>3124</v>
      </c>
      <c r="S28" s="668">
        <f>IF(S$4="forecast",(AVERAGE(G28:R28)),SUMIF('Dept. Cost Actuals'!$E$7:$E$176,"*Parking*",'Dept. Cost Actuals'!W$1225:W$1394))</f>
        <v>4263</v>
      </c>
      <c r="T28" s="668">
        <f>IF(T$4="forecast",(AVERAGE(H28:S28)),SUMIF('Dept. Cost Actuals'!$E$7:$E$176,"*Parking*",'Dept. Cost Actuals'!X$1225:X$1394))</f>
        <v>3809</v>
      </c>
      <c r="U28" s="668">
        <f>IF(U$4="forecast",(AVERAGE(I28:T28)),SUMIF('Dept. Cost Actuals'!$E$7:$E$176,"*Parking*",'Dept. Cost Actuals'!Y$1225:Y$1394))</f>
        <v>3135</v>
      </c>
      <c r="V28" s="668">
        <f>IF(V$4="forecast",(AVERAGE(J28:U28)),SUMIF('Dept. Cost Actuals'!$E$7:$E$176,"*Parking*",'Dept. Cost Actuals'!Z$1225:Z$1394))</f>
        <v>4120</v>
      </c>
      <c r="W28" s="668">
        <f>IF(W$4="forecast",(AVERAGE(K28:V28)),SUMIF('Dept. Cost Actuals'!$E$7:$E$176,"*Parking*",'Dept. Cost Actuals'!AA$1225:AA$1394))</f>
        <v>3795</v>
      </c>
      <c r="X28" s="668">
        <f>IF(X$4="forecast",(AVERAGE(L28:W28)),SUMIF('Dept. Cost Actuals'!$E$7:$E$176,"*Parking*",'Dept. Cost Actuals'!AB$1225:AB$1394))</f>
        <v>4950.41</v>
      </c>
      <c r="Y28" s="668">
        <f>IF(Y$4="forecast",(AVERAGE(M28:X28)),SUMIF('Dept. Cost Actuals'!$E$7:$E$176,"*Parking*",'Dept. Cost Actuals'!AC$1225:AC$1394))</f>
        <v>4031</v>
      </c>
      <c r="Z28" s="668">
        <f>IF(Z$4="forecast",(AVERAGE(N28:Y28)),SUMIF('Dept. Cost Actuals'!$E$7:$E$176,"*Parking*",'Dept. Cost Actuals'!AD$1225:AD$1394))</f>
        <v>4192.5</v>
      </c>
      <c r="AA28" s="668">
        <f>IF(AA$4="forecast",(AVERAGE(O28:Z28)),SUMIF('Dept. Cost Actuals'!$E$7:$E$176,"*Parking*",'Dept. Cost Actuals'!AE$1225:AE$1394))</f>
        <v>4561</v>
      </c>
      <c r="AB28" s="668">
        <f>IF(AB$4="forecast",(AVERAGE(P28:AA28)),SUMIF('Dept. Cost Actuals'!$E$7:$E$176,"*Parking*",'Dept. Cost Actuals'!AF$1225:AF$1394))</f>
        <v>4850.5</v>
      </c>
      <c r="AC28" s="668">
        <f>IF(AC$4="forecast",(AVERAGE(Q28:AB28)),SUMIF('Dept. Cost Actuals'!$E$7:$E$176,"*Parking*",'Dept. Cost Actuals'!AG$1225:AG$1394))</f>
        <v>3945</v>
      </c>
      <c r="AD28" s="668">
        <f>IF(AD$4="forecast",(AVERAGE(R28:AC28)),SUMIF('Dept. Cost Actuals'!$E$7:$E$176,"*Parking*",'Dept. Cost Actuals'!AH$1225:AH$1394))</f>
        <v>4064.7008333333338</v>
      </c>
      <c r="AE28" s="668">
        <f>IF(AE$4="forecast",(AVERAGE(S28:AD28)),SUMIF('Dept. Cost Actuals'!$E$7:$E$176,"*Parking*",'Dept. Cost Actuals'!AI$1225:AI$1394))</f>
        <v>4143.092569444445</v>
      </c>
      <c r="AF28" s="668">
        <f>IF(AF$4="forecast",(AVERAGE(T28:AE28)),SUMIF('Dept. Cost Actuals'!$E$7:$E$176,"*Parking*",'Dept. Cost Actuals'!AJ$1225:AJ$1394))</f>
        <v>4133.1002835648151</v>
      </c>
      <c r="AG28" s="668">
        <f>IF(AG$4="forecast",(AVERAGE(U28:AF28)),SUMIF('Dept. Cost Actuals'!$E$7:$E$176,"*Parking*",'Dept. Cost Actuals'!AK$1225:AK$1394))</f>
        <v>4160.1086405285505</v>
      </c>
      <c r="AH28" s="668">
        <f>IF(AH$4="forecast",(AVERAGE(V28:AG28)),SUMIF('Dept. Cost Actuals'!$E$7:$E$176,"*Parking*",'Dept. Cost Actuals'!AL$1225:AL$1394))</f>
        <v>4245.5343605725966</v>
      </c>
      <c r="AI28" s="668">
        <f>IF(AI$4="forecast",(AVERAGE(W28:AH28)),SUMIF('Dept. Cost Actuals'!$E$7:$E$176,"*Parking*",'Dept. Cost Actuals'!AM$1225:AM$1394))</f>
        <v>4255.9955572869785</v>
      </c>
      <c r="AJ28" s="668">
        <f>IF(AJ$4="forecast",(AVERAGE(X28:AI28)),SUMIF('Dept. Cost Actuals'!$E$7:$E$176,"*Parking*",'Dept. Cost Actuals'!AN$1225:AN$1394))</f>
        <v>4294.4118537275599</v>
      </c>
      <c r="AK28" s="668">
        <f>IF(AK$4="forecast",(AVERAGE(Y28:AJ28)),SUMIF('Dept. Cost Actuals'!$E$7:$E$176,"*Parking*",'Dept. Cost Actuals'!AO$1225:AO$1394))</f>
        <v>4239.7453415381897</v>
      </c>
      <c r="AL28" s="668">
        <f>IF(AL$4="forecast",(AVERAGE(Z28:AK28)),SUMIF('Dept. Cost Actuals'!$E$7:$E$176,"*Parking*",'Dept. Cost Actuals'!AP$1225:AP$1394))</f>
        <v>4257.1407866663722</v>
      </c>
      <c r="AM28" s="668">
        <f>IF(AM$4="forecast",(AVERAGE(AA28:AL28)),SUMIF('Dept. Cost Actuals'!$E$7:$E$176,"*Parking*",'Dept. Cost Actuals'!AQ$1225:AQ$1394))</f>
        <v>4262.5275188885698</v>
      </c>
      <c r="AN28" s="668">
        <f>IF(AN$4="forecast",(AVERAGE(AB28:AM28)),SUMIF('Dept. Cost Actuals'!$E$7:$E$176,"*Parking*",'Dept. Cost Actuals'!AR$1225:AR$1394))</f>
        <v>4237.6548121292844</v>
      </c>
      <c r="AO28" s="668">
        <f>IF(AO$4="forecast",(AVERAGE(AC28:AN28)),SUMIF('Dept. Cost Actuals'!$E$7:$E$176,"*Parking*",'Dept. Cost Actuals'!AS$1225:AS$1394))</f>
        <v>4186.5843798067244</v>
      </c>
      <c r="AP28" s="668">
        <f>IF(AP$4="forecast",(AVERAGE(AD28:AO28)),SUMIF('Dept. Cost Actuals'!$E$7:$E$176,"*Parking*",'Dept. Cost Actuals'!AT$1225:AT$1394))</f>
        <v>4206.7164114572852</v>
      </c>
      <c r="AQ28" s="668">
        <f>IF(AQ$4="forecast",(AVERAGE(AE28:AP28)),SUMIF('Dept. Cost Actuals'!$E$7:$E$176,"*Parking*",'Dept. Cost Actuals'!AU$1225:AU$1394))</f>
        <v>4218.5510429676151</v>
      </c>
      <c r="AR28" s="668">
        <f>IF(AR$4="forecast",(AVERAGE(AF28:AQ28)),SUMIF('Dept. Cost Actuals'!$E$7:$E$176,"*Parking*",'Dept. Cost Actuals'!AV$1225:AV$1394))</f>
        <v>4224.8392490945453</v>
      </c>
      <c r="AS28" s="668">
        <f>IF(AS$4="forecast",(AVERAGE(AG28:AR28)),SUMIF('Dept. Cost Actuals'!$E$7:$E$176,"*Parking*",'Dept. Cost Actuals'!AW$1225:AW$1394))</f>
        <v>4232.4841628886898</v>
      </c>
      <c r="AT28" s="668">
        <f>IF(AT$4="forecast",(AVERAGE(AH28:AS28)),SUMIF('Dept. Cost Actuals'!$E$7:$E$176,"*Parking*",'Dept. Cost Actuals'!AX$1225:AX$1394))</f>
        <v>4238.5154564187005</v>
      </c>
      <c r="AU28" s="668">
        <f>IF(AU$4="forecast",(AVERAGE(AI28:AT28)),SUMIF('Dept. Cost Actuals'!$E$7:$E$176,"*Parking*",'Dept. Cost Actuals'!AY$1225:AY$1394))</f>
        <v>4237.9305477392099</v>
      </c>
      <c r="AV28" s="668">
        <f>IF(AV$4="forecast",(AVERAGE(AJ28:AU28)),SUMIF('Dept. Cost Actuals'!$E$7:$E$176,"*Parking*",'Dept. Cost Actuals'!AZ$1225:AZ$1394))</f>
        <v>4236.4251302768962</v>
      </c>
      <c r="AW28" s="668">
        <f>IF(AW$4="forecast",(AVERAGE(AK28:AV28)),SUMIF('Dept. Cost Actuals'!$E$7:$E$176,"*Parking*",'Dept. Cost Actuals'!BA$1225:BA$1394))</f>
        <v>4231.5929033226739</v>
      </c>
      <c r="AX28" s="668">
        <f>IF(AX$4="forecast",(AVERAGE(AL28:AW28)),SUMIF('Dept. Cost Actuals'!$E$7:$E$176,"*Parking*",'Dept. Cost Actuals'!BB$1225:BB$1394))</f>
        <v>4230.9135334713801</v>
      </c>
      <c r="AY28" s="668">
        <f>IF(AY$4="forecast",(AVERAGE(AM28:AX28)),SUMIF('Dept. Cost Actuals'!$E$7:$E$176,"*Parking*",'Dept. Cost Actuals'!BC$1225:BC$1394))</f>
        <v>4228.727929038464</v>
      </c>
      <c r="AZ28" s="668">
        <f>IF(AZ$4="forecast",(AVERAGE(AN28:AY28)),SUMIF('Dept. Cost Actuals'!$E$7:$E$176,"*Parking*",'Dept. Cost Actuals'!BD$1225:BD$1394))</f>
        <v>4225.9112965509548</v>
      </c>
      <c r="BA28" s="668">
        <f>IF(BA$4="forecast",(AVERAGE(AO28:AZ28)),SUMIF('Dept. Cost Actuals'!$E$7:$E$176,"*Parking*",'Dept. Cost Actuals'!BE$1225:BE$1394))</f>
        <v>4224.9326702527605</v>
      </c>
      <c r="BB28" s="668">
        <f>IF(BB$4="forecast",(AVERAGE(AP28:BA28)),SUMIF('Dept. Cost Actuals'!$E$7:$E$176,"*Parking*",'Dept. Cost Actuals'!BF$1225:BF$1394))</f>
        <v>4228.1283611232639</v>
      </c>
      <c r="BC28" s="668">
        <f>IF(BC$4="forecast",(AVERAGE(AQ28:BB28)),SUMIF('Dept. Cost Actuals'!$E$7:$E$176,"*Parking*",'Dept. Cost Actuals'!BG$1225:BG$1394))</f>
        <v>4229.9126902620965</v>
      </c>
      <c r="BD28" s="668">
        <f>IF(BD$4="forecast",(AVERAGE(AR28:BC28)),SUMIF('Dept. Cost Actuals'!$E$7:$E$176,"*Parking*",'Dept. Cost Actuals'!BH$1225:BH$1394))</f>
        <v>4230.8594942033033</v>
      </c>
      <c r="BE28" s="668">
        <f>IF(BE$4="forecast",(AVERAGE(AS28:BD28)),SUMIF('Dept. Cost Actuals'!$E$7:$E$176,"*Parking*",'Dept. Cost Actuals'!BI$1225:BI$1394))</f>
        <v>4231.3611812956997</v>
      </c>
      <c r="BF28" s="668">
        <f>IF(BF$4="forecast",(AVERAGE(AT28:BE28)),SUMIF('Dept. Cost Actuals'!$E$7:$E$176,"*Parking*",'Dept. Cost Actuals'!BJ$1225:BJ$1394))</f>
        <v>4231.2675994962838</v>
      </c>
      <c r="BG28" s="668">
        <f>IF(BG$4="forecast",(AVERAGE(AU28:BF28)),SUMIF('Dept. Cost Actuals'!$E$7:$E$176,"*Parking*",'Dept. Cost Actuals'!BK$1225:BK$1394))</f>
        <v>4230.6636114194162</v>
      </c>
      <c r="BH28" s="668">
        <f>IF(BH$4="forecast",(AVERAGE(AV28:BG28)),SUMIF('Dept. Cost Actuals'!$E$7:$E$176,"*Parking*",'Dept. Cost Actuals'!BL$1225:BL$1394))</f>
        <v>4230.0580333927674</v>
      </c>
      <c r="BI28" s="668">
        <f>IF(BI$4="forecast",(AVERAGE(AW28:BH28)),SUMIF('Dept. Cost Actuals'!$E$7:$E$176,"*Parking*",'Dept. Cost Actuals'!BM$1225:BM$1394))</f>
        <v>4229.527441985756</v>
      </c>
      <c r="BJ28" s="668">
        <f>IF(BJ$4="forecast",(AVERAGE(AX28:BI28)),SUMIF('Dept. Cost Actuals'!$E$7:$E$176,"*Parking*",'Dept. Cost Actuals'!BN$1225:BN$1394))</f>
        <v>4229.3553202076791</v>
      </c>
      <c r="BK28" s="668">
        <f>IF(BK$4="forecast",(AVERAGE(AY28:BJ28)),SUMIF('Dept. Cost Actuals'!$E$7:$E$176,"*Parking*",'Dept. Cost Actuals'!BO$1225:BO$1394))</f>
        <v>4229.2254691023709</v>
      </c>
      <c r="BL28" s="668">
        <f>IF(BL$4="forecast",(AVERAGE(AZ28:BK28)),SUMIF('Dept. Cost Actuals'!$E$7:$E$176,"*Parking*",'Dept. Cost Actuals'!BP$1225:BP$1394))</f>
        <v>4229.2669307743618</v>
      </c>
      <c r="BM28" s="668">
        <f>IF(BM$4="forecast",(AVERAGE(BA28:BL28)),SUMIF('Dept. Cost Actuals'!$E$7:$E$176,"*Parking*",'Dept. Cost Actuals'!BQ$1225:BQ$1394))</f>
        <v>4229.546566959647</v>
      </c>
      <c r="BN28" s="668">
        <f>IF(BN$4="forecast",(AVERAGE(BB28:BM28)),SUMIF('Dept. Cost Actuals'!$E$7:$E$176,"*Parking*",'Dept. Cost Actuals'!BR$1225:BR$1394))</f>
        <v>4229.9310583518873</v>
      </c>
      <c r="BO28" s="668">
        <f>IF(BO$4="forecast",(AVERAGE(BC28:BN28)),SUMIF('Dept. Cost Actuals'!$E$7:$E$176,"*Parking*",'Dept. Cost Actuals'!BS$1225:BS$1394))</f>
        <v>4230.0812831209396</v>
      </c>
      <c r="BP28" s="668">
        <f>IF(BP$4="forecast",(AVERAGE(BD28:BO28)),SUMIF('Dept. Cost Actuals'!$E$7:$E$176,"*Parking*",'Dept. Cost Actuals'!BT$1225:BT$1394))</f>
        <v>4230.0953325258433</v>
      </c>
      <c r="BQ28" s="668">
        <f>IF(BQ$4="forecast",(AVERAGE(BE28:BP28)),SUMIF('Dept. Cost Actuals'!$E$7:$E$176,"*Parking*",'Dept. Cost Actuals'!BU$1225:BU$1394))</f>
        <v>4230.0316523860547</v>
      </c>
      <c r="BR28" s="668">
        <f>IF(BR$4="forecast",(AVERAGE(BF28:BQ28)),SUMIF('Dept. Cost Actuals'!$E$7:$E$176,"*Parking*",'Dept. Cost Actuals'!BV$1225:BV$1394))</f>
        <v>4229.9208583102509</v>
      </c>
      <c r="BS28" s="668">
        <f>IF(BS$4="forecast",(AVERAGE(BG28:BR28)),SUMIF('Dept. Cost Actuals'!$E$7:$E$176,"*Parking*",'Dept. Cost Actuals'!BW$1225:BW$1394))</f>
        <v>4229.8086298780809</v>
      </c>
      <c r="BT28" s="668">
        <f>IF(BT$4="forecast",(AVERAGE(BH28:BS28)),SUMIF('Dept. Cost Actuals'!$E$7:$E$176,"*Parking*",'Dept. Cost Actuals'!BX$1225:BX$1394))</f>
        <v>4229.7373814163038</v>
      </c>
      <c r="BU28" s="668">
        <f>IF(BU$4="forecast",(AVERAGE(BI28:BT28)),SUMIF('Dept. Cost Actuals'!$E$7:$E$176,"*Parking*",'Dept. Cost Actuals'!BY$1225:BY$1394))</f>
        <v>4229.7106604182654</v>
      </c>
      <c r="BV28" s="668">
        <f>IF(BV$4="forecast",(AVERAGE(BJ28:BU28)),SUMIF('Dept. Cost Actuals'!$E$7:$E$176,"*Parking*",'Dept. Cost Actuals'!BZ$1225:BZ$1394))</f>
        <v>4229.7259286209737</v>
      </c>
    </row>
    <row r="29" spans="2:74" x14ac:dyDescent="0.25">
      <c r="B29" s="795" t="s">
        <v>937</v>
      </c>
      <c r="C29" s="1156">
        <f t="shared" ref="C29:BN29" si="12">SUM(C17:C28,C14)</f>
        <v>6804.7330549999988</v>
      </c>
      <c r="D29" s="1156">
        <f t="shared" si="12"/>
        <v>11255.787435232161</v>
      </c>
      <c r="E29" s="1156">
        <f t="shared" si="12"/>
        <v>7192.4968339159013</v>
      </c>
      <c r="F29" s="1156">
        <f t="shared" si="12"/>
        <v>30646.917174965543</v>
      </c>
      <c r="G29" s="1156">
        <f t="shared" si="12"/>
        <v>12528.208486393542</v>
      </c>
      <c r="H29" s="1156">
        <f t="shared" si="12"/>
        <v>23628.287066141831</v>
      </c>
      <c r="I29" s="1156">
        <f t="shared" si="12"/>
        <v>41596.804466491303</v>
      </c>
      <c r="J29" s="1156">
        <f t="shared" si="12"/>
        <v>28985.028656325656</v>
      </c>
      <c r="K29" s="1156">
        <f t="shared" si="12"/>
        <v>21021.040704310497</v>
      </c>
      <c r="L29" s="1156">
        <f t="shared" si="12"/>
        <v>26809.26111580947</v>
      </c>
      <c r="M29" s="1156">
        <f t="shared" si="12"/>
        <v>15039.531823758331</v>
      </c>
      <c r="N29" s="1156">
        <f t="shared" si="12"/>
        <v>32305.951176904895</v>
      </c>
      <c r="O29" s="1156">
        <f t="shared" si="12"/>
        <v>-5113.43</v>
      </c>
      <c r="P29" s="1156">
        <f t="shared" si="12"/>
        <v>17465.7</v>
      </c>
      <c r="Q29" s="1156">
        <f t="shared" si="12"/>
        <v>12191.1</v>
      </c>
      <c r="R29" s="1156">
        <f t="shared" si="12"/>
        <v>13477.2</v>
      </c>
      <c r="S29" s="1156">
        <f t="shared" si="12"/>
        <v>14368.310000000001</v>
      </c>
      <c r="T29" s="1156">
        <f t="shared" si="12"/>
        <v>18563.840000000004</v>
      </c>
      <c r="U29" s="1156">
        <f t="shared" si="12"/>
        <v>12136.84</v>
      </c>
      <c r="V29" s="1156">
        <f t="shared" si="12"/>
        <v>12454.75</v>
      </c>
      <c r="W29" s="1156">
        <f t="shared" si="12"/>
        <v>10584.050000000001</v>
      </c>
      <c r="X29" s="1156">
        <f t="shared" si="12"/>
        <v>8480.6099999999988</v>
      </c>
      <c r="Y29" s="1156">
        <f t="shared" si="12"/>
        <v>9043.9500000000007</v>
      </c>
      <c r="Z29" s="1156">
        <f t="shared" si="12"/>
        <v>11332.3</v>
      </c>
      <c r="AA29" s="1156">
        <f t="shared" si="12"/>
        <v>17425.45</v>
      </c>
      <c r="AB29" s="1156">
        <f t="shared" si="12"/>
        <v>513.8799999999992</v>
      </c>
      <c r="AC29" s="1156">
        <f t="shared" si="12"/>
        <v>32094.989999999998</v>
      </c>
      <c r="AD29" s="1156">
        <f t="shared" si="12"/>
        <v>13322.666333333333</v>
      </c>
      <c r="AE29" s="1156">
        <f t="shared" si="12"/>
        <v>13371.889763888888</v>
      </c>
      <c r="AF29" s="1156">
        <f t="shared" si="12"/>
        <v>13424.360548379627</v>
      </c>
      <c r="AG29" s="1156">
        <f t="shared" si="12"/>
        <v>13442.51530298997</v>
      </c>
      <c r="AH29" s="1156">
        <f t="shared" si="12"/>
        <v>13548.508221491447</v>
      </c>
      <c r="AI29" s="1156">
        <f t="shared" si="12"/>
        <v>13589.451164166852</v>
      </c>
      <c r="AJ29" s="1156">
        <f t="shared" si="12"/>
        <v>13689.49775925088</v>
      </c>
      <c r="AK29" s="1156">
        <f t="shared" si="12"/>
        <v>13488.978120715497</v>
      </c>
      <c r="AL29" s="1156">
        <f t="shared" si="12"/>
        <v>13480.519764870876</v>
      </c>
      <c r="AM29" s="1156">
        <f t="shared" si="12"/>
        <v>13781.150140149079</v>
      </c>
      <c r="AN29" s="1156">
        <f t="shared" si="12"/>
        <v>13822.317415394169</v>
      </c>
      <c r="AO29" s="1156">
        <f t="shared" si="12"/>
        <v>13692.416346631962</v>
      </c>
      <c r="AP29" s="1156">
        <f t="shared" si="12"/>
        <v>13779.168093748111</v>
      </c>
      <c r="AQ29" s="1156">
        <f t="shared" si="12"/>
        <v>13835.561227341277</v>
      </c>
      <c r="AR29" s="1156">
        <f t="shared" si="12"/>
        <v>13867.403143162508</v>
      </c>
      <c r="AS29" s="1156">
        <f t="shared" si="12"/>
        <v>13910.376224873653</v>
      </c>
      <c r="AT29" s="1156">
        <f t="shared" si="12"/>
        <v>13953.930100782938</v>
      </c>
      <c r="AU29" s="1156">
        <f t="shared" si="12"/>
        <v>13989.704085937658</v>
      </c>
      <c r="AV29" s="1156">
        <f t="shared" si="12"/>
        <v>14033.059259569818</v>
      </c>
      <c r="AW29" s="1156">
        <f t="shared" si="12"/>
        <v>14069.291637716666</v>
      </c>
      <c r="AX29" s="1156">
        <f t="shared" si="12"/>
        <v>14127.702597395819</v>
      </c>
      <c r="AY29" s="1156">
        <f t="shared" si="12"/>
        <v>14178.796233346777</v>
      </c>
      <c r="AZ29" s="1156">
        <f t="shared" si="12"/>
        <v>14244.445268152409</v>
      </c>
      <c r="BA29" s="1156">
        <f t="shared" si="12"/>
        <v>14291.654087633531</v>
      </c>
      <c r="BB29" s="1156">
        <f t="shared" si="12"/>
        <v>14355.893861066746</v>
      </c>
      <c r="BC29" s="1156">
        <f t="shared" si="12"/>
        <v>14411.794544248765</v>
      </c>
      <c r="BD29" s="1156">
        <f t="shared" si="12"/>
        <v>14471.494921826144</v>
      </c>
      <c r="BE29" s="1156">
        <f t="shared" si="12"/>
        <v>14532.378133470778</v>
      </c>
      <c r="BF29" s="1156">
        <f t="shared" si="12"/>
        <v>14596.755672567539</v>
      </c>
      <c r="BG29" s="1156">
        <f t="shared" si="12"/>
        <v>14663.354864762681</v>
      </c>
      <c r="BH29" s="1156">
        <f t="shared" si="12"/>
        <v>14733.387170482005</v>
      </c>
      <c r="BI29" s="1156">
        <f t="shared" si="12"/>
        <v>14806.838740191855</v>
      </c>
      <c r="BJ29" s="1156">
        <f t="shared" si="12"/>
        <v>14883.813756742991</v>
      </c>
      <c r="BK29" s="1156">
        <f t="shared" si="12"/>
        <v>14963.147049246036</v>
      </c>
      <c r="BL29" s="1156">
        <f t="shared" si="12"/>
        <v>15045.425282754028</v>
      </c>
      <c r="BM29" s="1156">
        <f t="shared" si="12"/>
        <v>15131.16519821877</v>
      </c>
      <c r="BN29" s="1156">
        <f t="shared" si="12"/>
        <v>15218.426450572737</v>
      </c>
      <c r="BO29" s="1156">
        <f t="shared" ref="BO29:BV29" si="13">SUM(BO17:BO28,BO14)</f>
        <v>15308.360168440569</v>
      </c>
      <c r="BP29" s="1156">
        <f t="shared" si="13"/>
        <v>15401.45483149545</v>
      </c>
      <c r="BQ29" s="1156">
        <f t="shared" si="13"/>
        <v>15498.439063286338</v>
      </c>
      <c r="BR29" s="1156">
        <f t="shared" si="13"/>
        <v>15599.157538797605</v>
      </c>
      <c r="BS29" s="1156">
        <f t="shared" si="13"/>
        <v>15703.873504454343</v>
      </c>
      <c r="BT29" s="1156">
        <f t="shared" si="13"/>
        <v>15812.596714291791</v>
      </c>
      <c r="BU29" s="1156">
        <f t="shared" si="13"/>
        <v>15925.427308383678</v>
      </c>
      <c r="BV29" s="1156">
        <f t="shared" si="13"/>
        <v>16042.419000931815</v>
      </c>
    </row>
    <row r="30" spans="2:74" x14ac:dyDescent="0.25">
      <c r="B30" s="852"/>
      <c r="C30" s="1166"/>
      <c r="D30" s="1166"/>
      <c r="E30" s="1166"/>
      <c r="F30" s="1166"/>
      <c r="G30" s="1166"/>
      <c r="H30" s="1166"/>
      <c r="I30" s="1166"/>
      <c r="J30" s="1166"/>
      <c r="K30" s="1166"/>
      <c r="L30" s="1166"/>
      <c r="M30" s="1166"/>
      <c r="N30" s="1166"/>
      <c r="O30" s="1166"/>
      <c r="P30" s="1166"/>
      <c r="Q30" s="1166"/>
      <c r="R30" s="1166"/>
      <c r="S30" s="1166"/>
      <c r="T30" s="1166"/>
      <c r="U30" s="1166"/>
      <c r="V30" s="1166"/>
      <c r="W30" s="1166"/>
      <c r="X30" s="1166"/>
      <c r="Y30" s="1166"/>
      <c r="Z30" s="1166"/>
      <c r="AA30" s="1166"/>
      <c r="AB30" s="1166"/>
      <c r="AC30" s="1166"/>
      <c r="AD30" s="1166"/>
      <c r="AE30" s="1166"/>
      <c r="AF30" s="1166"/>
      <c r="AG30" s="1166"/>
      <c r="AH30" s="1166"/>
      <c r="AI30" s="1166"/>
      <c r="AJ30" s="1166"/>
      <c r="AK30" s="1166"/>
      <c r="AL30" s="1166"/>
      <c r="AM30" s="1166"/>
      <c r="AN30" s="1166"/>
      <c r="AO30" s="1166"/>
      <c r="AP30" s="1166"/>
      <c r="AQ30" s="1166"/>
      <c r="AR30" s="1166"/>
      <c r="AS30" s="1166"/>
      <c r="AT30" s="1166"/>
      <c r="AU30" s="1166"/>
      <c r="AV30" s="1166"/>
      <c r="AW30" s="1166"/>
      <c r="AX30" s="1166"/>
      <c r="AY30" s="1166"/>
      <c r="AZ30" s="1166"/>
      <c r="BA30" s="1166"/>
      <c r="BB30" s="1166"/>
      <c r="BC30" s="1166"/>
      <c r="BD30" s="1166"/>
      <c r="BE30" s="1166"/>
      <c r="BF30" s="1166"/>
      <c r="BG30" s="1166"/>
      <c r="BH30" s="1166"/>
      <c r="BI30" s="1166"/>
      <c r="BJ30" s="1166"/>
      <c r="BK30" s="1166"/>
      <c r="BL30" s="1166"/>
      <c r="BM30" s="1166"/>
      <c r="BN30" s="1166"/>
      <c r="BO30" s="1166"/>
      <c r="BP30" s="1166"/>
      <c r="BQ30" s="1166"/>
      <c r="BR30" s="1166"/>
      <c r="BS30" s="1166"/>
      <c r="BT30" s="1166"/>
      <c r="BU30" s="1166"/>
      <c r="BV30" s="853"/>
    </row>
    <row r="31" spans="2:74" x14ac:dyDescent="0.25">
      <c r="B31" s="785" t="s">
        <v>938</v>
      </c>
      <c r="C31" s="786"/>
      <c r="D31" s="786"/>
      <c r="E31" s="786"/>
      <c r="F31" s="786"/>
      <c r="G31" s="786"/>
      <c r="H31" s="786"/>
      <c r="I31" s="786"/>
      <c r="J31" s="786"/>
      <c r="K31" s="786"/>
      <c r="L31" s="786"/>
      <c r="M31" s="786"/>
      <c r="N31" s="786"/>
      <c r="O31" s="787"/>
      <c r="P31" s="787"/>
      <c r="Q31" s="787"/>
      <c r="R31" s="787"/>
      <c r="S31" s="787"/>
      <c r="T31" s="787"/>
      <c r="U31" s="787"/>
      <c r="V31" s="787"/>
      <c r="W31" s="787"/>
      <c r="X31" s="787"/>
      <c r="Y31" s="787"/>
      <c r="Z31" s="787"/>
      <c r="AA31" s="787"/>
      <c r="AB31" s="787"/>
      <c r="AC31" s="787"/>
      <c r="AD31" s="787"/>
      <c r="AE31" s="787"/>
      <c r="AF31" s="787"/>
      <c r="AG31" s="787"/>
      <c r="AH31" s="787"/>
      <c r="AI31" s="787"/>
      <c r="AJ31" s="787"/>
      <c r="AK31" s="787"/>
      <c r="AL31" s="787"/>
      <c r="AM31" s="787"/>
      <c r="AN31" s="787"/>
      <c r="AO31" s="787"/>
      <c r="AP31" s="787"/>
      <c r="AQ31" s="787"/>
      <c r="AR31" s="787"/>
      <c r="AS31" s="787"/>
      <c r="AT31" s="787"/>
      <c r="AU31" s="787"/>
      <c r="AV31" s="787"/>
      <c r="AW31" s="787"/>
      <c r="AX31" s="787"/>
      <c r="AY31" s="787"/>
      <c r="AZ31" s="787"/>
      <c r="BA31" s="787"/>
      <c r="BB31" s="787"/>
      <c r="BC31" s="787"/>
      <c r="BD31" s="787"/>
      <c r="BE31" s="787"/>
      <c r="BF31" s="787"/>
      <c r="BG31" s="787"/>
      <c r="BH31" s="787"/>
      <c r="BI31" s="787"/>
      <c r="BJ31" s="787"/>
      <c r="BK31" s="787"/>
      <c r="BL31" s="787"/>
      <c r="BM31" s="787"/>
      <c r="BN31" s="787"/>
      <c r="BO31" s="787"/>
      <c r="BP31" s="787"/>
      <c r="BQ31" s="787"/>
      <c r="BR31" s="787"/>
      <c r="BS31" s="787"/>
      <c r="BT31" s="787"/>
      <c r="BU31" s="787"/>
      <c r="BV31" s="788"/>
    </row>
    <row r="32" spans="2:74" x14ac:dyDescent="0.25">
      <c r="B32" s="793" t="s">
        <v>939</v>
      </c>
      <c r="C32" s="668">
        <f>IF(C$4="forecast",(AVERAGE(#REF!)),SUMIF('Dept. Cost Actuals'!$E$7:$E$176,"*Professional Fees*",'Dept. Cost Actuals'!G$1225:G$1394))</f>
        <v>12184.75</v>
      </c>
      <c r="D32" s="668">
        <f>IF(D$4="forecast",(AVERAGE(#REF!)),SUMIF('Dept. Cost Actuals'!$E$7:$E$176,"*Professional Fees*",'Dept. Cost Actuals'!H$1225:H$1394))</f>
        <v>78452.977287775269</v>
      </c>
      <c r="E32" s="668">
        <f>IF(E$4="forecast",(AVERAGE(#REF!)),SUMIF('Dept. Cost Actuals'!$E$7:$E$176,"*Professional Fees*",'Dept. Cost Actuals'!I$1225:I$1394))</f>
        <v>56608.24</v>
      </c>
      <c r="F32" s="668">
        <f>IF(F$4="forecast",(AVERAGE(#REF!)),SUMIF('Dept. Cost Actuals'!$E$7:$E$176,"*Professional Fees*",'Dept. Cost Actuals'!J$1225:J$1394))</f>
        <v>23152.917231087551</v>
      </c>
      <c r="G32" s="668">
        <f>IF(G$4="forecast",(AVERAGE(#REF!)),SUMIF('Dept. Cost Actuals'!$E$7:$E$176,"*Professional Fees*",'Dept. Cost Actuals'!K$1225:K$1394))</f>
        <v>33478.371890806287</v>
      </c>
      <c r="H32" s="668">
        <f>IF(H$4="forecast",(AVERAGE(#REF!)),SUMIF('Dept. Cost Actuals'!$E$7:$E$176,"*Professional Fees*",'Dept. Cost Actuals'!L$1225:L$1394))</f>
        <v>36854.440070128643</v>
      </c>
      <c r="I32" s="668">
        <f>IF(I$4="forecast",(AVERAGE(#REF!)),SUMIF('Dept. Cost Actuals'!$E$7:$E$176,"*Professional Fees*",'Dept. Cost Actuals'!M$1225:M$1394))</f>
        <v>59257.97654687037</v>
      </c>
      <c r="J32" s="668">
        <f>IF(J$4="forecast",(AVERAGE(#REF!)),SUMIF('Dept. Cost Actuals'!$E$7:$E$176,"*Professional Fees*",'Dept. Cost Actuals'!N$1225:N$1394))</f>
        <v>38346.469335525973</v>
      </c>
      <c r="K32" s="668">
        <f>IF(K$4="forecast",(AVERAGE(#REF!)),SUMIF('Dept. Cost Actuals'!$E$7:$E$176,"*Professional Fees*",'Dept. Cost Actuals'!O$1225:O$1394))</f>
        <v>21315.887968711497</v>
      </c>
      <c r="L32" s="668">
        <f>IF(L$4="forecast",(AVERAGE(#REF!)),SUMIF('Dept. Cost Actuals'!$E$7:$E$176,"*Professional Fees*",'Dept. Cost Actuals'!P$1225:P$1394))</f>
        <v>167154.292754138</v>
      </c>
      <c r="M32" s="668">
        <f>IF(M$4="forecast",(AVERAGE(A32:L32)),SUMIF('Dept. Cost Actuals'!$E$7:$E$176,"*Professional Fees*",'Dept. Cost Actuals'!Q$1225:Q$1394))</f>
        <v>73995.983192203857</v>
      </c>
      <c r="N32" s="668">
        <f>IF(N$4="forecast",(AVERAGE(B32:M32)),SUMIF('Dept. Cost Actuals'!$E$7:$E$176,"*Professional Fees*",'Dept. Cost Actuals'!R$1225:R$1394))</f>
        <v>102742.19824682853</v>
      </c>
      <c r="O32" s="668">
        <f>IF(O$4="forecast",(AVERAGE(C32:N32)),SUMIF('Dept. Cost Actuals'!$E$7:$E$176,"*Professional Fees*",'Dept. Cost Actuals'!S$1225:S$1394))</f>
        <v>8274.06</v>
      </c>
      <c r="P32" s="668">
        <f>IF(P$4="forecast",(AVERAGE(D32:O32)),SUMIF('Dept. Cost Actuals'!$E$7:$E$176,"*Professional Fees*",'Dept. Cost Actuals'!T$1225:T$1394))</f>
        <v>5240.5</v>
      </c>
      <c r="Q32" s="668">
        <f>IF(Q$4="forecast",(AVERAGE(E32:P32)),SUMIF('Dept. Cost Actuals'!$E$7:$E$176,"*Professional Fees*",'Dept. Cost Actuals'!U$1225:U$1394))</f>
        <v>4161.4699999999993</v>
      </c>
      <c r="R32" s="668">
        <f>IF(R$4="forecast",(AVERAGE(F32:Q32)),SUMIF('Dept. Cost Actuals'!$E$7:$E$176,"*Professional Fees*",'Dept. Cost Actuals'!V$1225:V$1394))</f>
        <v>8067.4</v>
      </c>
      <c r="S32" s="668">
        <f>IF(S$4="forecast",(AVERAGE(G32:R32)),SUMIF('Dept. Cost Actuals'!$E$7:$E$176,"*Professional Fees*",'Dept. Cost Actuals'!W$1225:W$1394))</f>
        <v>11210.12</v>
      </c>
      <c r="T32" s="668">
        <f>IF(T$4="forecast",(AVERAGE(H32:S32)),SUMIF('Dept. Cost Actuals'!$E$7:$E$176,"*Professional Fees*",'Dept. Cost Actuals'!X$1225:X$1394))</f>
        <v>49256.5</v>
      </c>
      <c r="U32" s="668">
        <f>IF(U$4="forecast",(AVERAGE(I32:T32)),SUMIF('Dept. Cost Actuals'!$E$7:$E$176,"*Professional Fees*",'Dept. Cost Actuals'!Y$1225:Y$1394))</f>
        <v>50794</v>
      </c>
      <c r="V32" s="668">
        <f>IF(V$4="forecast",(AVERAGE(J32:U32)),SUMIF('Dept. Cost Actuals'!$E$7:$E$176,"*Professional Fees*",'Dept. Cost Actuals'!Z$1225:Z$1394))</f>
        <v>30365.4</v>
      </c>
      <c r="W32" s="668">
        <f>IF(W$4="forecast",(AVERAGE(K32:V32)),SUMIF('Dept. Cost Actuals'!$E$7:$E$176,"*Professional Fees*",'Dept. Cost Actuals'!AA$1225:AA$1394))</f>
        <v>66155</v>
      </c>
      <c r="X32" s="668">
        <f>IF(X$4="forecast",(AVERAGE(L32:W32)),SUMIF('Dept. Cost Actuals'!$E$7:$E$176,"*Professional Fees*",'Dept. Cost Actuals'!AB$1225:AB$1394))</f>
        <v>56580.15</v>
      </c>
      <c r="Y32" s="668">
        <f>IF(Y$4="forecast",(AVERAGE(M32:X32)),SUMIF('Dept. Cost Actuals'!$E$7:$E$176,"*Professional Fees*",'Dept. Cost Actuals'!AC$1225:AC$1394))</f>
        <v>43660.42</v>
      </c>
      <c r="Z32" s="668">
        <f>IF(Z$4="forecast",(AVERAGE(N32:Y32)),SUMIF('Dept. Cost Actuals'!$E$7:$E$176,"*Professional Fees*",'Dept. Cost Actuals'!AD$1225:AD$1394))</f>
        <v>50513.27</v>
      </c>
      <c r="AA32" s="668">
        <f>IF(AA$4="forecast",(AVERAGE(O32:Z32)),SUMIF('Dept. Cost Actuals'!$E$7:$E$176,"*Professional Fees*",'Dept. Cost Actuals'!AE$1225:AE$1394))</f>
        <v>47857.24</v>
      </c>
      <c r="AB32" s="668">
        <f>IF(AB$4="forecast",(AVERAGE(P32:AA32)),SUMIF('Dept. Cost Actuals'!$E$7:$E$176,"*Professional Fees*",'Dept. Cost Actuals'!AF$1225:AF$1394))</f>
        <v>56583.8</v>
      </c>
      <c r="AC32" s="668">
        <f>IF(AC$4="forecast",(AVERAGE(Q32:AB32)),SUMIF('Dept. Cost Actuals'!$E$7:$E$176,"*Professional Fees*",'Dept. Cost Actuals'!AG$1225:AG$1394))</f>
        <v>33443.86</v>
      </c>
      <c r="AD32" s="668">
        <f>IF(AD$4="forecast",(AVERAGE(R32:AC32)),SUMIF('Dept. Cost Actuals'!$E$7:$E$176,"*Professional Fees*",'Dept. Cost Actuals'!AH$1225:AH$1394))</f>
        <v>42040.596666666665</v>
      </c>
      <c r="AE32" s="668">
        <f>IF(AE$4="forecast",(AVERAGE(S32:AD32)),SUMIF('Dept. Cost Actuals'!$E$7:$E$176,"*Professional Fees*",'Dept. Cost Actuals'!AI$1225:AI$1394))</f>
        <v>44871.696388888879</v>
      </c>
      <c r="AF32" s="668">
        <f>IF(AF$4="forecast",(AVERAGE(T32:AE32)),SUMIF('Dept. Cost Actuals'!$E$7:$E$176,"*Professional Fees*",'Dept. Cost Actuals'!AJ$1225:AJ$1394))</f>
        <v>47676.827754629623</v>
      </c>
      <c r="AG32" s="668">
        <f>IF(AG$4="forecast",(AVERAGE(U32:AF32)),SUMIF('Dept. Cost Actuals'!$E$7:$E$176,"*Professional Fees*",'Dept. Cost Actuals'!AK$1225:AK$1394))</f>
        <v>47545.188400848761</v>
      </c>
      <c r="AH32" s="668">
        <f>IF(AH$4="forecast",(AVERAGE(V32:AG32)),SUMIF('Dept. Cost Actuals'!$E$7:$E$176,"*Professional Fees*",'Dept. Cost Actuals'!AL$1225:AL$1394))</f>
        <v>47274.454100919487</v>
      </c>
      <c r="AI32" s="668">
        <f>IF(AI$4="forecast",(AVERAGE(W32:AH32)),SUMIF('Dept. Cost Actuals'!$E$7:$E$176,"*Professional Fees*",'Dept. Cost Actuals'!AM$1225:AM$1394))</f>
        <v>48683.541942662785</v>
      </c>
      <c r="AJ32" s="668">
        <f>IF(AJ$4="forecast",(AVERAGE(X32:AI32)),SUMIF('Dept. Cost Actuals'!$E$7:$E$176,"*Professional Fees*",'Dept. Cost Actuals'!AN$1225:AN$1394))</f>
        <v>47227.587104551349</v>
      </c>
      <c r="AK32" s="668">
        <f>IF(AK$4="forecast",(AVERAGE(Y32:AJ32)),SUMIF('Dept. Cost Actuals'!$E$7:$E$176,"*Professional Fees*",'Dept. Cost Actuals'!AO$1225:AO$1394))</f>
        <v>46448.206863263964</v>
      </c>
      <c r="AL32" s="668">
        <f>IF(AL$4="forecast",(AVERAGE(Z32:AK32)),SUMIF('Dept. Cost Actuals'!$E$7:$E$176,"*Professional Fees*",'Dept. Cost Actuals'!AP$1225:AP$1394))</f>
        <v>46680.52243520262</v>
      </c>
      <c r="AM32" s="668">
        <f>IF(AM$4="forecast",(AVERAGE(AA32:AL32)),SUMIF('Dept. Cost Actuals'!$E$7:$E$176,"*Professional Fees*",'Dept. Cost Actuals'!AQ$1225:AQ$1394))</f>
        <v>46361.126804802851</v>
      </c>
      <c r="AN32" s="668">
        <f>IF(AN$4="forecast",(AVERAGE(AB32:AM32)),SUMIF('Dept. Cost Actuals'!$E$7:$E$176,"*Professional Fees*",'Dept. Cost Actuals'!AR$1225:AR$1394))</f>
        <v>46236.450705203075</v>
      </c>
      <c r="AO32" s="668">
        <f>IF(AO$4="forecast",(AVERAGE(AC32:AN32)),SUMIF('Dept. Cost Actuals'!$E$7:$E$176,"*Professional Fees*",'Dept. Cost Actuals'!AS$1225:AS$1394))</f>
        <v>45374.171597303335</v>
      </c>
      <c r="AP32" s="668">
        <f>IF(AP$4="forecast",(AVERAGE(AD32:AO32)),SUMIF('Dept. Cost Actuals'!$E$7:$E$176,"*Professional Fees*",'Dept. Cost Actuals'!AT$1225:AT$1394))</f>
        <v>46368.364230411949</v>
      </c>
      <c r="AQ32" s="668">
        <f>IF(AQ$4="forecast",(AVERAGE(AE32:AP32)),SUMIF('Dept. Cost Actuals'!$E$7:$E$176,"*Professional Fees*",'Dept. Cost Actuals'!AU$1225:AU$1394))</f>
        <v>46729.011527390721</v>
      </c>
      <c r="AR32" s="668">
        <f>IF(AR$4="forecast",(AVERAGE(AF32:AQ32)),SUMIF('Dept. Cost Actuals'!$E$7:$E$176,"*Professional Fees*",'Dept. Cost Actuals'!AV$1225:AV$1394))</f>
        <v>46883.787788932539</v>
      </c>
      <c r="AS32" s="668">
        <f>IF(AS$4="forecast",(AVERAGE(AG32:AR32)),SUMIF('Dept. Cost Actuals'!$E$7:$E$176,"*Professional Fees*",'Dept. Cost Actuals'!AW$1225:AW$1394))</f>
        <v>46817.701125124462</v>
      </c>
      <c r="AT32" s="668">
        <f>IF(AT$4="forecast",(AVERAGE(AH32:AS32)),SUMIF('Dept. Cost Actuals'!$E$7:$E$176,"*Professional Fees*",'Dept. Cost Actuals'!AX$1225:AX$1394))</f>
        <v>46757.077185480761</v>
      </c>
      <c r="AU32" s="668">
        <f>IF(AU$4="forecast",(AVERAGE(AI32:AT32)),SUMIF('Dept. Cost Actuals'!$E$7:$E$176,"*Professional Fees*",'Dept. Cost Actuals'!AY$1225:AY$1394))</f>
        <v>46713.962442527547</v>
      </c>
      <c r="AV32" s="668">
        <f>IF(AV$4="forecast",(AVERAGE(AJ32:AU32)),SUMIF('Dept. Cost Actuals'!$E$7:$E$176,"*Professional Fees*",'Dept. Cost Actuals'!AZ$1225:AZ$1394))</f>
        <v>46549.830817516275</v>
      </c>
      <c r="AW32" s="668">
        <f>IF(AW$4="forecast",(AVERAGE(AK32:AV32)),SUMIF('Dept. Cost Actuals'!$E$7:$E$176,"*Professional Fees*",'Dept. Cost Actuals'!BA$1225:BA$1394))</f>
        <v>46493.351126930007</v>
      </c>
      <c r="AX32" s="668">
        <f>IF(AX$4="forecast",(AVERAGE(AL32:AW32)),SUMIF('Dept. Cost Actuals'!$E$7:$E$176,"*Professional Fees*",'Dept. Cost Actuals'!BB$1225:BB$1394))</f>
        <v>46497.113148902172</v>
      </c>
      <c r="AY32" s="668">
        <f>IF(AY$4="forecast",(AVERAGE(AM32:AX32)),SUMIF('Dept. Cost Actuals'!$E$7:$E$176,"*Professional Fees*",'Dept. Cost Actuals'!BC$1225:BC$1394))</f>
        <v>46481.829041710473</v>
      </c>
      <c r="AZ32" s="668">
        <f>IF(AZ$4="forecast",(AVERAGE(AN32:AY32)),SUMIF('Dept. Cost Actuals'!$E$7:$E$176,"*Professional Fees*",'Dept. Cost Actuals'!BD$1225:BD$1394))</f>
        <v>46491.887561452771</v>
      </c>
      <c r="BA32" s="668">
        <f>IF(BA$4="forecast",(AVERAGE(AO32:AZ32)),SUMIF('Dept. Cost Actuals'!$E$7:$E$176,"*Professional Fees*",'Dept. Cost Actuals'!BE$1225:BE$1394))</f>
        <v>46513.173966140253</v>
      </c>
      <c r="BB32" s="668">
        <f>IF(BB$4="forecast",(AVERAGE(AP32:BA32)),SUMIF('Dept. Cost Actuals'!$E$7:$E$176,"*Professional Fees*",'Dept. Cost Actuals'!BF$1225:BF$1394))</f>
        <v>46608.090830209992</v>
      </c>
      <c r="BC32" s="668">
        <f>IF(BC$4="forecast",(AVERAGE(AQ32:BB32)),SUMIF('Dept. Cost Actuals'!$E$7:$E$176,"*Professional Fees*",'Dept. Cost Actuals'!BG$1225:BG$1394))</f>
        <v>46628.068046859822</v>
      </c>
      <c r="BD32" s="668">
        <f>IF(BD$4="forecast",(AVERAGE(AR32:BC32)),SUMIF('Dept. Cost Actuals'!$E$7:$E$176,"*Professional Fees*",'Dept. Cost Actuals'!BH$1225:BH$1394))</f>
        <v>46619.656090148928</v>
      </c>
      <c r="BE32" s="668">
        <f>IF(BE$4="forecast",(AVERAGE(AS32:BD32)),SUMIF('Dept. Cost Actuals'!$E$7:$E$176,"*Professional Fees*",'Dept. Cost Actuals'!BI$1225:BI$1394))</f>
        <v>46597.645115250285</v>
      </c>
      <c r="BF32" s="668">
        <f>IF(BF$4="forecast",(AVERAGE(AT32:BE32)),SUMIF('Dept. Cost Actuals'!$E$7:$E$176,"*Professional Fees*",'Dept. Cost Actuals'!BJ$1225:BJ$1394))</f>
        <v>46579.307114427436</v>
      </c>
      <c r="BG32" s="668">
        <f>IF(BG$4="forecast",(AVERAGE(AU32:BF32)),SUMIF('Dept. Cost Actuals'!$E$7:$E$176,"*Professional Fees*",'Dept. Cost Actuals'!BK$1225:BK$1394))</f>
        <v>46564.492941839657</v>
      </c>
      <c r="BH32" s="668">
        <f>IF(BH$4="forecast",(AVERAGE(AV32:BG32)),SUMIF('Dept. Cost Actuals'!$E$7:$E$176,"*Professional Fees*",'Dept. Cost Actuals'!BL$1225:BL$1394))</f>
        <v>46552.03715011567</v>
      </c>
      <c r="BI32" s="668">
        <f>IF(BI$4="forecast",(AVERAGE(AW32:BH32)),SUMIF('Dept. Cost Actuals'!$E$7:$E$176,"*Professional Fees*",'Dept. Cost Actuals'!BM$1225:BM$1394))</f>
        <v>46552.221011165617</v>
      </c>
      <c r="BJ32" s="668">
        <f>IF(BJ$4="forecast",(AVERAGE(AX32:BI32)),SUMIF('Dept. Cost Actuals'!$E$7:$E$176,"*Professional Fees*",'Dept. Cost Actuals'!BN$1225:BN$1394))</f>
        <v>46557.126834851922</v>
      </c>
      <c r="BK32" s="668">
        <f>IF(BK$4="forecast",(AVERAGE(AY32:BJ32)),SUMIF('Dept. Cost Actuals'!$E$7:$E$176,"*Professional Fees*",'Dept. Cost Actuals'!BO$1225:BO$1394))</f>
        <v>46562.127975347736</v>
      </c>
      <c r="BL32" s="668">
        <f>IF(BL$4="forecast",(AVERAGE(AZ32:BK32)),SUMIF('Dept. Cost Actuals'!$E$7:$E$176,"*Professional Fees*",'Dept. Cost Actuals'!BP$1225:BP$1394))</f>
        <v>46568.819553150832</v>
      </c>
      <c r="BM32" s="668">
        <f>IF(BM$4="forecast",(AVERAGE(BA32:BL32)),SUMIF('Dept. Cost Actuals'!$E$7:$E$176,"*Professional Fees*",'Dept. Cost Actuals'!BQ$1225:BQ$1394))</f>
        <v>46575.230552459012</v>
      </c>
      <c r="BN32" s="668">
        <f>IF(BN$4="forecast",(AVERAGE(BB32:BM32)),SUMIF('Dept. Cost Actuals'!$E$7:$E$176,"*Professional Fees*",'Dept. Cost Actuals'!BR$1225:BR$1394))</f>
        <v>46580.40193465224</v>
      </c>
      <c r="BO32" s="668">
        <f>IF(BO$4="forecast",(AVERAGE(BC32:BN32)),SUMIF('Dept. Cost Actuals'!$E$7:$E$176,"*Professional Fees*",'Dept. Cost Actuals'!BS$1225:BS$1394))</f>
        <v>46578.094526689099</v>
      </c>
      <c r="BP32" s="668">
        <f>IF(BP$4="forecast",(AVERAGE(BD32:BO32)),SUMIF('Dept. Cost Actuals'!$E$7:$E$176,"*Professional Fees*",'Dept. Cost Actuals'!BT$1225:BT$1394))</f>
        <v>46573.930066674882</v>
      </c>
      <c r="BQ32" s="668">
        <f>IF(BQ$4="forecast",(AVERAGE(BE32:BP32)),SUMIF('Dept. Cost Actuals'!$E$7:$E$176,"*Professional Fees*",'Dept. Cost Actuals'!BU$1225:BU$1394))</f>
        <v>46570.119564718705</v>
      </c>
      <c r="BR32" s="668">
        <f>IF(BR$4="forecast",(AVERAGE(BF32:BQ32)),SUMIF('Dept. Cost Actuals'!$E$7:$E$176,"*Professional Fees*",'Dept. Cost Actuals'!BV$1225:BV$1394))</f>
        <v>46567.825768841074</v>
      </c>
      <c r="BS32" s="668">
        <f>IF(BS$4="forecast",(AVERAGE(BG32:BR32)),SUMIF('Dept. Cost Actuals'!$E$7:$E$176,"*Professional Fees*",'Dept. Cost Actuals'!BW$1225:BW$1394))</f>
        <v>46566.868990042196</v>
      </c>
      <c r="BT32" s="668">
        <f>IF(BT$4="forecast",(AVERAGE(BH32:BS32)),SUMIF('Dept. Cost Actuals'!$E$7:$E$176,"*Professional Fees*",'Dept. Cost Actuals'!BX$1225:BX$1394))</f>
        <v>46567.066994059081</v>
      </c>
      <c r="BU32" s="668">
        <f>IF(BU$4="forecast",(AVERAGE(BI32:BT32)),SUMIF('Dept. Cost Actuals'!$E$7:$E$176,"*Professional Fees*",'Dept. Cost Actuals'!BY$1225:BY$1394))</f>
        <v>46568.319481054372</v>
      </c>
      <c r="BV32" s="668">
        <f>IF(BV$4="forecast",(AVERAGE(BJ32:BU32)),SUMIF('Dept. Cost Actuals'!$E$7:$E$176,"*Professional Fees*",'Dept. Cost Actuals'!BZ$1225:BZ$1394))</f>
        <v>46569.661020211759</v>
      </c>
    </row>
    <row r="33" spans="1:74" x14ac:dyDescent="0.25">
      <c r="B33" s="794" t="s">
        <v>919</v>
      </c>
      <c r="C33" s="668">
        <f>IF(C$4="forecast",AVERAGE(#REF!),SUMIF('Dept. Cost Actuals'!$E$7:$E$176,"*Conferences*",'Dept. Cost Actuals'!G$1225:G$1394))</f>
        <v>0</v>
      </c>
      <c r="D33" s="668">
        <f>IF(D$4="forecast",AVERAGE(#REF!),SUMIF('Dept. Cost Actuals'!$E$7:$E$176,"*Conferences*",'Dept. Cost Actuals'!H$1225:H$1394))</f>
        <v>0</v>
      </c>
      <c r="E33" s="668">
        <f>IF(E$4="forecast",AVERAGE(#REF!),SUMIF('Dept. Cost Actuals'!$E$7:$E$176,"*Conferences*",'Dept. Cost Actuals'!I$1225:I$1394))</f>
        <v>0</v>
      </c>
      <c r="F33" s="668">
        <f>IF(F$4="forecast",AVERAGE(#REF!),SUMIF('Dept. Cost Actuals'!$E$7:$E$176,"*Conferences*",'Dept. Cost Actuals'!J$1225:J$1394))</f>
        <v>0</v>
      </c>
      <c r="G33" s="668">
        <f>IF(G$4="forecast",AVERAGE(#REF!),SUMIF('Dept. Cost Actuals'!$E$7:$E$176,"*Conferences*",'Dept. Cost Actuals'!K$1225:K$1394))</f>
        <v>0</v>
      </c>
      <c r="H33" s="668">
        <f>IF(H$4="forecast",AVERAGE(#REF!),SUMIF('Dept. Cost Actuals'!$E$7:$E$176,"*Conferences*",'Dept. Cost Actuals'!L$1225:L$1394))</f>
        <v>0</v>
      </c>
      <c r="I33" s="668">
        <f>IF(I$4="forecast",AVERAGE(#REF!),SUMIF('Dept. Cost Actuals'!$E$7:$E$176,"*Conferences*",'Dept. Cost Actuals'!M$1225:M$1394))</f>
        <v>809.38620124383738</v>
      </c>
      <c r="J33" s="668">
        <f>IF(J$4="forecast",AVERAGE(#REF!),SUMIF('Dept. Cost Actuals'!$E$7:$E$176,"*Conferences*",'Dept. Cost Actuals'!N$1225:N$1394))</f>
        <v>0</v>
      </c>
      <c r="K33" s="668">
        <f>IF(K$4="forecast",AVERAGE(#REF!),SUMIF('Dept. Cost Actuals'!$E$7:$E$176,"*Conferences*",'Dept. Cost Actuals'!O$1225:O$1394))</f>
        <v>392.75381670099529</v>
      </c>
      <c r="L33" s="668">
        <f>IF(L$4="forecast",AVERAGE(#REF!),SUMIF('Dept. Cost Actuals'!$E$7:$E$176,"*Conferences*",'Dept. Cost Actuals'!P$1225:P$1394))</f>
        <v>782.06848028678473</v>
      </c>
      <c r="M33" s="668">
        <f>IF(M$4="forecast",AVERAGE(A33:L33),SUMIF('Dept. Cost Actuals'!$E$7:$E$176,"*Conferences*",'Dept. Cost Actuals'!Q$1225:Q$1394))</f>
        <v>0</v>
      </c>
      <c r="N33" s="668">
        <f>IF(N$4="forecast",AVERAGE(B33:M33),SUMIF('Dept. Cost Actuals'!$E$7:$E$176,"*Conferences*",'Dept. Cost Actuals'!R$1225:R$1394))</f>
        <v>0</v>
      </c>
      <c r="O33" s="668">
        <f>IF(O$4="forecast",AVERAGE(C33:N33),SUMIF('Dept. Cost Actuals'!$E$7:$E$176,"*Conferences*",'Dept. Cost Actuals'!S$1225:S$1394))</f>
        <v>0</v>
      </c>
      <c r="P33" s="668">
        <f>IF(P$4="forecast",AVERAGE(D33:O33),SUMIF('Dept. Cost Actuals'!$E$7:$E$176,"*Conferences*",'Dept. Cost Actuals'!T$1225:T$1394))</f>
        <v>0</v>
      </c>
      <c r="Q33" s="668">
        <f>IF(Q$4="forecast",AVERAGE(E33:P33),SUMIF('Dept. Cost Actuals'!$E$7:$E$176,"*Conferences*",'Dept. Cost Actuals'!U$1225:U$1394))</f>
        <v>0</v>
      </c>
      <c r="R33" s="668">
        <f>IF(R$4="forecast",AVERAGE(F33:Q33),SUMIF('Dept. Cost Actuals'!$E$7:$E$176,"*Conferences*",'Dept. Cost Actuals'!V$1225:V$1394))</f>
        <v>0</v>
      </c>
      <c r="S33" s="668">
        <f>IF(S$4="forecast",AVERAGE(G33:R33),SUMIF('Dept. Cost Actuals'!$E$7:$E$176,"*Conferences*",'Dept. Cost Actuals'!W$1225:W$1394))</f>
        <v>0</v>
      </c>
      <c r="T33" s="668">
        <f>IF(T$4="forecast",AVERAGE(H33:S33),SUMIF('Dept. Cost Actuals'!$E$7:$E$176,"*Conferences*",'Dept. Cost Actuals'!X$1225:X$1394))</f>
        <v>0</v>
      </c>
      <c r="U33" s="668">
        <f>IF(U$4="forecast",AVERAGE(I33:T33),SUMIF('Dept. Cost Actuals'!$E$7:$E$176,"*Conferences*",'Dept. Cost Actuals'!Y$1225:Y$1394))</f>
        <v>0</v>
      </c>
      <c r="V33" s="668">
        <f>IF(V$4="forecast",AVERAGE(J33:U33),SUMIF('Dept. Cost Actuals'!$E$7:$E$176,"*Conferences*",'Dept. Cost Actuals'!Z$1225:Z$1394))</f>
        <v>0</v>
      </c>
      <c r="W33" s="668">
        <f>IF(W$4="forecast",AVERAGE(K33:V33),SUMIF('Dept. Cost Actuals'!$E$7:$E$176,"*Conferences*",'Dept. Cost Actuals'!AA$1225:AA$1394))</f>
        <v>0</v>
      </c>
      <c r="X33" s="668">
        <f>IF(X$4="forecast",AVERAGE(L33:W33),SUMIF('Dept. Cost Actuals'!$E$7:$E$176,"*Conferences*",'Dept. Cost Actuals'!AB$1225:AB$1394))</f>
        <v>0</v>
      </c>
      <c r="Y33" s="668">
        <f>IF(Y$4="forecast",AVERAGE(M33:X33),SUMIF('Dept. Cost Actuals'!$E$7:$E$176,"*Conferences*",'Dept. Cost Actuals'!AC$1225:AC$1394))</f>
        <v>0</v>
      </c>
      <c r="Z33" s="668">
        <f>IF(Z$4="forecast",AVERAGE(N33:Y33),SUMIF('Dept. Cost Actuals'!$E$7:$E$176,"*Conferences*",'Dept. Cost Actuals'!AD$1225:AD$1394))</f>
        <v>0</v>
      </c>
      <c r="AA33" s="668">
        <f>IF(AA$4="forecast",AVERAGE(O33:Z33),SUMIF('Dept. Cost Actuals'!$E$7:$E$176,"*Conferences*",'Dept. Cost Actuals'!AE$1225:AE$1394))</f>
        <v>0</v>
      </c>
      <c r="AB33" s="668">
        <f>IF(AB$4="forecast",AVERAGE(P33:AA33),SUMIF('Dept. Cost Actuals'!$E$7:$E$176,"*Conferences*",'Dept. Cost Actuals'!AF$1225:AF$1394))</f>
        <v>0</v>
      </c>
      <c r="AC33" s="668">
        <f>IF(AC$4="forecast",AVERAGE(Q33:AB33),SUMIF('Dept. Cost Actuals'!$E$7:$E$176,"*Conferences*",'Dept. Cost Actuals'!AG$1225:AG$1394))</f>
        <v>0</v>
      </c>
      <c r="AD33" s="668">
        <f>IF(AD$4="forecast",AVERAGE(R33:AC33),SUMIF('Dept. Cost Actuals'!$E$7:$E$176,"*Conferences*",'Dept. Cost Actuals'!AH$1225:AH$1394))</f>
        <v>0</v>
      </c>
      <c r="AE33" s="668">
        <f>IF(AE$4="forecast",AVERAGE(S33:AD33),SUMIF('Dept. Cost Actuals'!$E$7:$E$176,"*Conferences*",'Dept. Cost Actuals'!AI$1225:AI$1394))</f>
        <v>0</v>
      </c>
      <c r="AF33" s="668">
        <f>IF(AF$4="forecast",AVERAGE(T33:AE33),SUMIF('Dept. Cost Actuals'!$E$7:$E$176,"*Conferences*",'Dept. Cost Actuals'!AJ$1225:AJ$1394))</f>
        <v>0</v>
      </c>
      <c r="AG33" s="668">
        <f>IF(AG$4="forecast",AVERAGE(U33:AF33),SUMIF('Dept. Cost Actuals'!$E$7:$E$176,"*Conferences*",'Dept. Cost Actuals'!AK$1225:AK$1394))</f>
        <v>0</v>
      </c>
      <c r="AH33" s="668">
        <f>IF(AH$4="forecast",AVERAGE(V33:AG33),SUMIF('Dept. Cost Actuals'!$E$7:$E$176,"*Conferences*",'Dept. Cost Actuals'!AL$1225:AL$1394))</f>
        <v>0</v>
      </c>
      <c r="AI33" s="668">
        <f>IF(AI$4="forecast",AVERAGE(W33:AH33),SUMIF('Dept. Cost Actuals'!$E$7:$E$176,"*Conferences*",'Dept. Cost Actuals'!AM$1225:AM$1394))</f>
        <v>0</v>
      </c>
      <c r="AJ33" s="668">
        <f>IF(AJ$4="forecast",AVERAGE(X33:AI33),SUMIF('Dept. Cost Actuals'!$E$7:$E$176,"*Conferences*",'Dept. Cost Actuals'!AN$1225:AN$1394))</f>
        <v>0</v>
      </c>
      <c r="AK33" s="668">
        <f>IF(AK$4="forecast",AVERAGE(Y33:AJ33),SUMIF('Dept. Cost Actuals'!$E$7:$E$176,"*Conferences*",'Dept. Cost Actuals'!AO$1225:AO$1394))</f>
        <v>0</v>
      </c>
      <c r="AL33" s="668">
        <f>IF(AL$4="forecast",AVERAGE(Z33:AK33),SUMIF('Dept. Cost Actuals'!$E$7:$E$176,"*Conferences*",'Dept. Cost Actuals'!AP$1225:AP$1394))</f>
        <v>0</v>
      </c>
      <c r="AM33" s="668">
        <f>IF(AM$4="forecast",AVERAGE(AA33:AL33),SUMIF('Dept. Cost Actuals'!$E$7:$E$176,"*Conferences*",'Dept. Cost Actuals'!AQ$1225:AQ$1394))</f>
        <v>0</v>
      </c>
      <c r="AN33" s="668">
        <f>IF(AN$4="forecast",AVERAGE(AB33:AM33),SUMIF('Dept. Cost Actuals'!$E$7:$E$176,"*Conferences*",'Dept. Cost Actuals'!AR$1225:AR$1394))</f>
        <v>0</v>
      </c>
      <c r="AO33" s="668">
        <f>IF(AO$4="forecast",AVERAGE(AC33:AN33),SUMIF('Dept. Cost Actuals'!$E$7:$E$176,"*Conferences*",'Dept. Cost Actuals'!AS$1225:AS$1394))</f>
        <v>0</v>
      </c>
      <c r="AP33" s="668">
        <f>IF(AP$4="forecast",AVERAGE(AD33:AO33),SUMIF('Dept. Cost Actuals'!$E$7:$E$176,"*Conferences*",'Dept. Cost Actuals'!AT$1225:AT$1394))</f>
        <v>0</v>
      </c>
      <c r="AQ33" s="668">
        <f>IF(AQ$4="forecast",AVERAGE(AE33:AP33),SUMIF('Dept. Cost Actuals'!$E$7:$E$176,"*Conferences*",'Dept. Cost Actuals'!AU$1225:AU$1394))</f>
        <v>0</v>
      </c>
      <c r="AR33" s="668">
        <f>IF(AR$4="forecast",AVERAGE(AF33:AQ33),SUMIF('Dept. Cost Actuals'!$E$7:$E$176,"*Conferences*",'Dept. Cost Actuals'!AV$1225:AV$1394))</f>
        <v>0</v>
      </c>
      <c r="AS33" s="668">
        <f>IF(AS$4="forecast",AVERAGE(AG33:AR33),SUMIF('Dept. Cost Actuals'!$E$7:$E$176,"*Conferences*",'Dept. Cost Actuals'!AW$1225:AW$1394))</f>
        <v>0</v>
      </c>
      <c r="AT33" s="668">
        <f>IF(AT$4="forecast",AVERAGE(AH33:AS33),SUMIF('Dept. Cost Actuals'!$E$7:$E$176,"*Conferences*",'Dept. Cost Actuals'!AX$1225:AX$1394))</f>
        <v>0</v>
      </c>
      <c r="AU33" s="668">
        <f>IF(AU$4="forecast",AVERAGE(AI33:AT33),SUMIF('Dept. Cost Actuals'!$E$7:$E$176,"*Conferences*",'Dept. Cost Actuals'!AY$1225:AY$1394))</f>
        <v>0</v>
      </c>
      <c r="AV33" s="668">
        <f>IF(AV$4="forecast",AVERAGE(AJ33:AU33),SUMIF('Dept. Cost Actuals'!$E$7:$E$176,"*Conferences*",'Dept. Cost Actuals'!AZ$1225:AZ$1394))</f>
        <v>0</v>
      </c>
      <c r="AW33" s="668">
        <f>IF(AW$4="forecast",AVERAGE(AK33:AV33),SUMIF('Dept. Cost Actuals'!$E$7:$E$176,"*Conferences*",'Dept. Cost Actuals'!BA$1225:BA$1394))</f>
        <v>0</v>
      </c>
      <c r="AX33" s="668">
        <f>IF(AX$4="forecast",AVERAGE(AL33:AW33),SUMIF('Dept. Cost Actuals'!$E$7:$E$176,"*Conferences*",'Dept. Cost Actuals'!BB$1225:BB$1394))</f>
        <v>0</v>
      </c>
      <c r="AY33" s="668">
        <f>IF(AY$4="forecast",AVERAGE(AM33:AX33),SUMIF('Dept. Cost Actuals'!$E$7:$E$176,"*Conferences*",'Dept. Cost Actuals'!BC$1225:BC$1394))</f>
        <v>0</v>
      </c>
      <c r="AZ33" s="668">
        <f>IF(AZ$4="forecast",AVERAGE(AN33:AY33),SUMIF('Dept. Cost Actuals'!$E$7:$E$176,"*Conferences*",'Dept. Cost Actuals'!BD$1225:BD$1394))</f>
        <v>0</v>
      </c>
      <c r="BA33" s="668">
        <f>IF(BA$4="forecast",AVERAGE(AO33:AZ33),SUMIF('Dept. Cost Actuals'!$E$7:$E$176,"*Conferences*",'Dept. Cost Actuals'!BE$1225:BE$1394))</f>
        <v>0</v>
      </c>
      <c r="BB33" s="668">
        <f>IF(BB$4="forecast",AVERAGE(AP33:BA33),SUMIF('Dept. Cost Actuals'!$E$7:$E$176,"*Conferences*",'Dept. Cost Actuals'!BF$1225:BF$1394))</f>
        <v>0</v>
      </c>
      <c r="BC33" s="668">
        <f>IF(BC$4="forecast",AVERAGE(AQ33:BB33),SUMIF('Dept. Cost Actuals'!$E$7:$E$176,"*Conferences*",'Dept. Cost Actuals'!BG$1225:BG$1394))</f>
        <v>0</v>
      </c>
      <c r="BD33" s="668">
        <f>IF(BD$4="forecast",AVERAGE(AR33:BC33),SUMIF('Dept. Cost Actuals'!$E$7:$E$176,"*Conferences*",'Dept. Cost Actuals'!BH$1225:BH$1394))</f>
        <v>0</v>
      </c>
      <c r="BE33" s="668">
        <f>IF(BE$4="forecast",AVERAGE(AS33:BD33),SUMIF('Dept. Cost Actuals'!$E$7:$E$176,"*Conferences*",'Dept. Cost Actuals'!BI$1225:BI$1394))</f>
        <v>0</v>
      </c>
      <c r="BF33" s="668">
        <f>IF(BF$4="forecast",AVERAGE(AT33:BE33),SUMIF('Dept. Cost Actuals'!$E$7:$E$176,"*Conferences*",'Dept. Cost Actuals'!BJ$1225:BJ$1394))</f>
        <v>0</v>
      </c>
      <c r="BG33" s="668">
        <f>IF(BG$4="forecast",AVERAGE(AU33:BF33),SUMIF('Dept. Cost Actuals'!$E$7:$E$176,"*Conferences*",'Dept. Cost Actuals'!BK$1225:BK$1394))</f>
        <v>0</v>
      </c>
      <c r="BH33" s="668">
        <f>IF(BH$4="forecast",AVERAGE(AV33:BG33),SUMIF('Dept. Cost Actuals'!$E$7:$E$176,"*Conferences*",'Dept. Cost Actuals'!BL$1225:BL$1394))</f>
        <v>0</v>
      </c>
      <c r="BI33" s="668">
        <f>IF(BI$4="forecast",AVERAGE(AW33:BH33),SUMIF('Dept. Cost Actuals'!$E$7:$E$176,"*Conferences*",'Dept. Cost Actuals'!BM$1225:BM$1394))</f>
        <v>0</v>
      </c>
      <c r="BJ33" s="668">
        <f>IF(BJ$4="forecast",AVERAGE(AX33:BI33),SUMIF('Dept. Cost Actuals'!$E$7:$E$176,"*Conferences*",'Dept. Cost Actuals'!BN$1225:BN$1394))</f>
        <v>0</v>
      </c>
      <c r="BK33" s="668">
        <f>IF(BK$4="forecast",AVERAGE(AY33:BJ33),SUMIF('Dept. Cost Actuals'!$E$7:$E$176,"*Conferences*",'Dept. Cost Actuals'!BO$1225:BO$1394))</f>
        <v>0</v>
      </c>
      <c r="BL33" s="668">
        <f>IF(BL$4="forecast",AVERAGE(AZ33:BK33),SUMIF('Dept. Cost Actuals'!$E$7:$E$176,"*Conferences*",'Dept. Cost Actuals'!BP$1225:BP$1394))</f>
        <v>0</v>
      </c>
      <c r="BM33" s="668">
        <f>IF(BM$4="forecast",AVERAGE(BA33:BL33),SUMIF('Dept. Cost Actuals'!$E$7:$E$176,"*Conferences*",'Dept. Cost Actuals'!BQ$1225:BQ$1394))</f>
        <v>0</v>
      </c>
      <c r="BN33" s="668">
        <f>IF(BN$4="forecast",AVERAGE(BB33:BM33),SUMIF('Dept. Cost Actuals'!$E$7:$E$176,"*Conferences*",'Dept. Cost Actuals'!BR$1225:BR$1394))</f>
        <v>0</v>
      </c>
      <c r="BO33" s="668">
        <f>IF(BO$4="forecast",AVERAGE(BC33:BN33),SUMIF('Dept. Cost Actuals'!$E$7:$E$176,"*Conferences*",'Dept. Cost Actuals'!BS$1225:BS$1394))</f>
        <v>0</v>
      </c>
      <c r="BP33" s="668">
        <f>IF(BP$4="forecast",AVERAGE(BD33:BO33),SUMIF('Dept. Cost Actuals'!$E$7:$E$176,"*Conferences*",'Dept. Cost Actuals'!BT$1225:BT$1394))</f>
        <v>0</v>
      </c>
      <c r="BQ33" s="668">
        <f>IF(BQ$4="forecast",AVERAGE(BE33:BP33),SUMIF('Dept. Cost Actuals'!$E$7:$E$176,"*Conferences*",'Dept. Cost Actuals'!BU$1225:BU$1394))</f>
        <v>0</v>
      </c>
      <c r="BR33" s="668">
        <f>IF(BR$4="forecast",AVERAGE(BF33:BQ33),SUMIF('Dept. Cost Actuals'!$E$7:$E$176,"*Conferences*",'Dept. Cost Actuals'!BV$1225:BV$1394))</f>
        <v>0</v>
      </c>
      <c r="BS33" s="668">
        <f>IF(BS$4="forecast",AVERAGE(BG33:BR33),SUMIF('Dept. Cost Actuals'!$E$7:$E$176,"*Conferences*",'Dept. Cost Actuals'!BW$1225:BW$1394))</f>
        <v>0</v>
      </c>
      <c r="BT33" s="668">
        <f>IF(BT$4="forecast",AVERAGE(BH33:BS33),SUMIF('Dept. Cost Actuals'!$E$7:$E$176,"*Conferences*",'Dept. Cost Actuals'!BX$1225:BX$1394))</f>
        <v>0</v>
      </c>
      <c r="BU33" s="668">
        <f>IF(BU$4="forecast",AVERAGE(BI33:BT33),SUMIF('Dept. Cost Actuals'!$E$7:$E$176,"*Conferences*",'Dept. Cost Actuals'!BY$1225:BY$1394))</f>
        <v>0</v>
      </c>
      <c r="BV33" s="668">
        <f>IF(BV$4="forecast",AVERAGE(BJ33:BU33),SUMIF('Dept. Cost Actuals'!$E$7:$E$176,"*Conferences*",'Dept. Cost Actuals'!BZ$1225:BZ$1394))</f>
        <v>0</v>
      </c>
    </row>
    <row r="34" spans="1:74" x14ac:dyDescent="0.25">
      <c r="B34" s="794" t="s">
        <v>940</v>
      </c>
      <c r="C34" s="668">
        <f>IF(C$4="forecast",AVERAGE(#REF!),SUMIF('Dept. Cost Actuals'!$E$7:$E$176,"*Books and Periodicals*",'Dept. Cost Actuals'!G$1225:G$1394))</f>
        <v>0</v>
      </c>
      <c r="D34" s="668">
        <f>IF(D$4="forecast",AVERAGE(#REF!),SUMIF('Dept. Cost Actuals'!$E$7:$E$176,"*Books and Periodicals*",'Dept. Cost Actuals'!H$1225:H$1394))</f>
        <v>89.000415940110287</v>
      </c>
      <c r="E34" s="668">
        <f>IF(E$4="forecast",AVERAGE(#REF!),SUMIF('Dept. Cost Actuals'!$E$7:$E$176,"*Books and Periodicals*",'Dept. Cost Actuals'!I$1225:I$1394))</f>
        <v>15.892017291625621</v>
      </c>
      <c r="F34" s="668">
        <f>IF(F$4="forecast",AVERAGE(#REF!),SUMIF('Dept. Cost Actuals'!$E$7:$E$176,"*Books and Periodicals*",'Dept. Cost Actuals'!J$1225:J$1394))</f>
        <v>148.19924384644727</v>
      </c>
      <c r="G34" s="668">
        <f>IF(G$4="forecast",AVERAGE(#REF!),SUMIF('Dept. Cost Actuals'!$E$7:$E$176,"*Books and Periodicals*",'Dept. Cost Actuals'!K$1225:K$1394))</f>
        <v>22.580405139952706</v>
      </c>
      <c r="H34" s="668">
        <f>IF(H$4="forecast",AVERAGE(#REF!),SUMIF('Dept. Cost Actuals'!$E$7:$E$176,"*Books and Periodicals*",'Dept. Cost Actuals'!L$1225:L$1394))</f>
        <v>161.89619960239352</v>
      </c>
      <c r="I34" s="668">
        <f>IF(I$4="forecast",AVERAGE(#REF!),SUMIF('Dept. Cost Actuals'!$E$7:$E$176,"*Books and Periodicals*",'Dept. Cost Actuals'!M$1225:M$1394))</f>
        <v>8.7562313816351054</v>
      </c>
      <c r="J34" s="668">
        <f>IF(J$4="forecast",AVERAGE(#REF!),SUMIF('Dept. Cost Actuals'!$E$7:$E$176,"*Books and Periodicals*",'Dept. Cost Actuals'!N$1225:N$1394))</f>
        <v>58.948716450822324</v>
      </c>
      <c r="K34" s="668">
        <f>IF(K$4="forecast",AVERAGE(#REF!),SUMIF('Dept. Cost Actuals'!$E$7:$E$176,"*Books and Periodicals*",'Dept. Cost Actuals'!O$1225:O$1394))</f>
        <v>56.939484576226789</v>
      </c>
      <c r="L34" s="668">
        <f>IF(L$4="forecast",AVERAGE(#REF!),SUMIF('Dept. Cost Actuals'!$E$7:$E$176,"*Books and Periodicals*",'Dept. Cost Actuals'!P$1225:P$1394))</f>
        <v>622.58771566760743</v>
      </c>
      <c r="M34" s="668">
        <f>IF(M$4="forecast",AVERAGE(A34:L34),SUMIF('Dept. Cost Actuals'!$E$7:$E$176,"*Books and Periodicals*",'Dept. Cost Actuals'!Q$1225:Q$1394))</f>
        <v>0</v>
      </c>
      <c r="N34" s="668">
        <f>IF(N$4="forecast",AVERAGE(B34:M34),SUMIF('Dept. Cost Actuals'!$E$7:$E$176,"*Books and Periodicals*",'Dept. Cost Actuals'!R$1225:R$1394))</f>
        <v>0</v>
      </c>
      <c r="O34" s="668">
        <f>IF(O$4="forecast",AVERAGE(C34:N34),SUMIF('Dept. Cost Actuals'!$E$7:$E$176,"*Books and Periodicals*",'Dept. Cost Actuals'!S$1225:S$1394))</f>
        <v>0</v>
      </c>
      <c r="P34" s="668">
        <f>IF(P$4="forecast",AVERAGE(D34:O34),SUMIF('Dept. Cost Actuals'!$E$7:$E$176,"*Books and Periodicals*",'Dept. Cost Actuals'!T$1225:T$1394))</f>
        <v>0</v>
      </c>
      <c r="Q34" s="668">
        <f>IF(Q$4="forecast",AVERAGE(E34:P34),SUMIF('Dept. Cost Actuals'!$E$7:$E$176,"*Books and Periodicals*",'Dept. Cost Actuals'!U$1225:U$1394))</f>
        <v>14.95</v>
      </c>
      <c r="R34" s="668">
        <f>IF(R$4="forecast",AVERAGE(F34:Q34),SUMIF('Dept. Cost Actuals'!$E$7:$E$176,"*Books and Periodicals*",'Dept. Cost Actuals'!V$1225:V$1394))</f>
        <v>14.95</v>
      </c>
      <c r="S34" s="668">
        <f>IF(S$4="forecast",AVERAGE(G34:R34),SUMIF('Dept. Cost Actuals'!$E$7:$E$176,"*Books and Periodicals*",'Dept. Cost Actuals'!W$1225:W$1394))</f>
        <v>14.95</v>
      </c>
      <c r="T34" s="668">
        <f>IF(T$4="forecast",AVERAGE(H34:S34),SUMIF('Dept. Cost Actuals'!$E$7:$E$176,"*Books and Periodicals*",'Dept. Cost Actuals'!X$1225:X$1394))</f>
        <v>34.94</v>
      </c>
      <c r="U34" s="668">
        <f>IF(U$4="forecast",AVERAGE(I34:T34),SUMIF('Dept. Cost Actuals'!$E$7:$E$176,"*Books and Periodicals*",'Dept. Cost Actuals'!Y$1225:Y$1394))</f>
        <v>14.95</v>
      </c>
      <c r="V34" s="668">
        <f>IF(V$4="forecast",AVERAGE(J34:U34),SUMIF('Dept. Cost Actuals'!$E$7:$E$176,"*Books and Periodicals*",'Dept. Cost Actuals'!Z$1225:Z$1394))</f>
        <v>0</v>
      </c>
      <c r="W34" s="668">
        <f>IF(W$4="forecast",AVERAGE(K34:V34),SUMIF('Dept. Cost Actuals'!$E$7:$E$176,"*Books and Periodicals*",'Dept. Cost Actuals'!AA$1225:AA$1394))</f>
        <v>0</v>
      </c>
      <c r="X34" s="668">
        <f>IF(X$4="forecast",AVERAGE(L34:W34),SUMIF('Dept. Cost Actuals'!$E$7:$E$176,"*Books and Periodicals*",'Dept. Cost Actuals'!AB$1225:AB$1394))</f>
        <v>0</v>
      </c>
      <c r="Y34" s="668">
        <f>IF(Y$4="forecast",AVERAGE(M34:X34),SUMIF('Dept. Cost Actuals'!$E$7:$E$176,"*Books and Periodicals*",'Dept. Cost Actuals'!AC$1225:AC$1394))</f>
        <v>0</v>
      </c>
      <c r="Z34" s="668">
        <f>IF(Z$4="forecast",AVERAGE(N34:Y34),SUMIF('Dept. Cost Actuals'!$E$7:$E$176,"*Books and Periodicals*",'Dept. Cost Actuals'!AD$1225:AD$1394))</f>
        <v>0</v>
      </c>
      <c r="AA34" s="668">
        <f>IF(AA$4="forecast",AVERAGE(O34:Z34),SUMIF('Dept. Cost Actuals'!$E$7:$E$176,"*Books and Periodicals*",'Dept. Cost Actuals'!AE$1225:AE$1394))</f>
        <v>0</v>
      </c>
      <c r="AB34" s="668">
        <f>IF(AB$4="forecast",AVERAGE(P34:AA34),SUMIF('Dept. Cost Actuals'!$E$7:$E$176,"*Books and Periodicals*",'Dept. Cost Actuals'!AF$1225:AF$1394))</f>
        <v>0</v>
      </c>
      <c r="AC34" s="668">
        <f>IF(AC$4="forecast",AVERAGE(Q34:AB34),SUMIF('Dept. Cost Actuals'!$E$7:$E$176,"*Books and Periodicals*",'Dept. Cost Actuals'!AG$1225:AG$1394))</f>
        <v>0</v>
      </c>
      <c r="AD34" s="668">
        <f>IF(AD$4="forecast",AVERAGE(R34:AC34),SUMIF('Dept. Cost Actuals'!$E$7:$E$176,"*Books and Periodicals*",'Dept. Cost Actuals'!AH$1225:AH$1394))</f>
        <v>6.6491666666666669</v>
      </c>
      <c r="AE34" s="668">
        <f>IF(AE$4="forecast",AVERAGE(S34:AD34),SUMIF('Dept. Cost Actuals'!$E$7:$E$176,"*Books and Periodicals*",'Dept. Cost Actuals'!AI$1225:AI$1394))</f>
        <v>5.9574305555555567</v>
      </c>
      <c r="AF34" s="668">
        <f>IF(AF$4="forecast",AVERAGE(T34:AE34),SUMIF('Dept. Cost Actuals'!$E$7:$E$176,"*Books and Periodicals*",'Dept. Cost Actuals'!AJ$1225:AJ$1394))</f>
        <v>5.2080497685185181</v>
      </c>
      <c r="AG34" s="668">
        <f>IF(AG$4="forecast",AVERAGE(U34:AF34),SUMIF('Dept. Cost Actuals'!$E$7:$E$176,"*Books and Periodicals*",'Dept. Cost Actuals'!AK$1225:AK$1394))</f>
        <v>2.7303872492283952</v>
      </c>
      <c r="AH34" s="668">
        <f>IF(AH$4="forecast",AVERAGE(V34:AG34),SUMIF('Dept. Cost Actuals'!$E$7:$E$176,"*Books and Periodicals*",'Dept. Cost Actuals'!AL$1225:AL$1394))</f>
        <v>1.7120861866640948</v>
      </c>
      <c r="AI34" s="668">
        <f>IF(AI$4="forecast",AVERAGE(W34:AH34),SUMIF('Dept. Cost Actuals'!$E$7:$E$176,"*Books and Periodicals*",'Dept. Cost Actuals'!AM$1225:AM$1394))</f>
        <v>1.8547600355527694</v>
      </c>
      <c r="AJ34" s="668">
        <f>IF(AJ$4="forecast",AVERAGE(X34:AI34),SUMIF('Dept. Cost Actuals'!$E$7:$E$176,"*Books and Periodicals*",'Dept. Cost Actuals'!AN$1225:AN$1394))</f>
        <v>2.0093233718488333</v>
      </c>
      <c r="AK34" s="668">
        <f>IF(AK$4="forecast",AVERAGE(Y34:AJ34),SUMIF('Dept. Cost Actuals'!$E$7:$E$176,"*Books and Periodicals*",'Dept. Cost Actuals'!AO$1225:AO$1394))</f>
        <v>2.1767669861695693</v>
      </c>
      <c r="AL34" s="668">
        <f>IF(AL$4="forecast",AVERAGE(Z34:AK34),SUMIF('Dept. Cost Actuals'!$E$7:$E$176,"*Books and Periodicals*",'Dept. Cost Actuals'!AP$1225:AP$1394))</f>
        <v>2.3581642350170333</v>
      </c>
      <c r="AM34" s="668">
        <f>IF(AM$4="forecast",AVERAGE(AA34:AL34),SUMIF('Dept. Cost Actuals'!$E$7:$E$176,"*Books and Periodicals*",'Dept. Cost Actuals'!AQ$1225:AQ$1394))</f>
        <v>2.5546779212684529</v>
      </c>
      <c r="AN34" s="668">
        <f>IF(AN$4="forecast",AVERAGE(AB34:AM34),SUMIF('Dept. Cost Actuals'!$E$7:$E$176,"*Books and Periodicals*",'Dept. Cost Actuals'!AR$1225:AR$1394))</f>
        <v>2.7675677480408236</v>
      </c>
      <c r="AO34" s="668">
        <f>IF(AO$4="forecast",AVERAGE(AC34:AN34),SUMIF('Dept. Cost Actuals'!$E$7:$E$176,"*Books and Periodicals*",'Dept. Cost Actuals'!AS$1225:AS$1394))</f>
        <v>2.9981983937108923</v>
      </c>
      <c r="AP34" s="668">
        <f>IF(AP$4="forecast",AVERAGE(AD34:AO34),SUMIF('Dept. Cost Actuals'!$E$7:$E$176,"*Books and Periodicals*",'Dept. Cost Actuals'!AT$1225:AT$1394))</f>
        <v>3.248048259853467</v>
      </c>
      <c r="AQ34" s="668">
        <f>IF(AQ$4="forecast",AVERAGE(AE34:AP34),SUMIF('Dept. Cost Actuals'!$E$7:$E$176,"*Books and Periodicals*",'Dept. Cost Actuals'!AU$1225:AU$1394))</f>
        <v>2.9646217259523673</v>
      </c>
      <c r="AR34" s="668">
        <f>IF(AR$4="forecast",AVERAGE(AF34:AQ34),SUMIF('Dept. Cost Actuals'!$E$7:$E$176,"*Books and Periodicals*",'Dept. Cost Actuals'!AV$1225:AV$1394))</f>
        <v>2.7152209901521012</v>
      </c>
      <c r="AS34" s="668">
        <f>IF(AS$4="forecast",AVERAGE(AG34:AR34),SUMIF('Dept. Cost Actuals'!$E$7:$E$176,"*Books and Periodicals*",'Dept. Cost Actuals'!AW$1225:AW$1394))</f>
        <v>2.5074852586215668</v>
      </c>
      <c r="AT34" s="668">
        <f>IF(AT$4="forecast",AVERAGE(AH34:AS34),SUMIF('Dept. Cost Actuals'!$E$7:$E$176,"*Books and Periodicals*",'Dept. Cost Actuals'!AX$1225:AX$1394))</f>
        <v>2.4889100927376644</v>
      </c>
      <c r="AU34" s="668">
        <f>IF(AU$4="forecast",AVERAGE(AI34:AT34),SUMIF('Dept. Cost Actuals'!$E$7:$E$176,"*Books and Periodicals*",'Dept. Cost Actuals'!AY$1225:AY$1394))</f>
        <v>2.5536454182437951</v>
      </c>
      <c r="AV34" s="668">
        <f>IF(AV$4="forecast",AVERAGE(AJ34:AU34),SUMIF('Dept. Cost Actuals'!$E$7:$E$176,"*Books and Periodicals*",'Dept. Cost Actuals'!AZ$1225:AZ$1394))</f>
        <v>2.6118858668013805</v>
      </c>
      <c r="AW34" s="668">
        <f>IF(AW$4="forecast",AVERAGE(AK34:AV34),SUMIF('Dept. Cost Actuals'!$E$7:$E$176,"*Books and Periodicals*",'Dept. Cost Actuals'!BA$1225:BA$1394))</f>
        <v>2.6620994080474261</v>
      </c>
      <c r="AX34" s="668">
        <f>IF(AX$4="forecast",AVERAGE(AL34:AW34),SUMIF('Dept. Cost Actuals'!$E$7:$E$176,"*Books and Periodicals*",'Dept. Cost Actuals'!BB$1225:BB$1394))</f>
        <v>2.7025437765372478</v>
      </c>
      <c r="AY34" s="668">
        <f>IF(AY$4="forecast",AVERAGE(AM34:AX34),SUMIF('Dept. Cost Actuals'!$E$7:$E$176,"*Books and Periodicals*",'Dept. Cost Actuals'!BC$1225:BC$1394))</f>
        <v>2.7312420716639321</v>
      </c>
      <c r="AZ34" s="668">
        <f>IF(AZ$4="forecast",AVERAGE(AN34:AY34),SUMIF('Dept. Cost Actuals'!$E$7:$E$176,"*Books and Periodicals*",'Dept. Cost Actuals'!BD$1225:BD$1394))</f>
        <v>2.7459557508635553</v>
      </c>
      <c r="BA34" s="668">
        <f>IF(BA$4="forecast",AVERAGE(AO34:AZ34),SUMIF('Dept. Cost Actuals'!$E$7:$E$176,"*Books and Periodicals*",'Dept. Cost Actuals'!BE$1225:BE$1394))</f>
        <v>2.7441547510987832</v>
      </c>
      <c r="BB34" s="668">
        <f>IF(BB$4="forecast",AVERAGE(AP34:BA34),SUMIF('Dept. Cost Actuals'!$E$7:$E$176,"*Books and Periodicals*",'Dept. Cost Actuals'!BF$1225:BF$1394))</f>
        <v>2.7229844475477738</v>
      </c>
      <c r="BC34" s="668">
        <f>IF(BC$4="forecast",AVERAGE(AQ34:BB34),SUMIF('Dept. Cost Actuals'!$E$7:$E$176,"*Books and Periodicals*",'Dept. Cost Actuals'!BG$1225:BG$1394))</f>
        <v>2.6792291298556328</v>
      </c>
      <c r="BD34" s="668">
        <f>IF(BD$4="forecast",AVERAGE(AR34:BC34),SUMIF('Dept. Cost Actuals'!$E$7:$E$176,"*Books and Periodicals*",'Dept. Cost Actuals'!BH$1225:BH$1394))</f>
        <v>2.6554464135142379</v>
      </c>
      <c r="BE34" s="668">
        <f>IF(BE$4="forecast",AVERAGE(AS34:BD34),SUMIF('Dept. Cost Actuals'!$E$7:$E$176,"*Books and Periodicals*",'Dept. Cost Actuals'!BI$1225:BI$1394))</f>
        <v>2.6504651987944161</v>
      </c>
      <c r="BF34" s="668">
        <f>IF(BF$4="forecast",AVERAGE(AT34:BE34),SUMIF('Dept. Cost Actuals'!$E$7:$E$176,"*Books and Periodicals*",'Dept. Cost Actuals'!BJ$1225:BJ$1394))</f>
        <v>2.6623801938088203</v>
      </c>
      <c r="BG34" s="668">
        <f>IF(BG$4="forecast",AVERAGE(AU34:BF34),SUMIF('Dept. Cost Actuals'!$E$7:$E$176,"*Books and Periodicals*",'Dept. Cost Actuals'!BK$1225:BK$1394))</f>
        <v>2.6768360355647496</v>
      </c>
      <c r="BH34" s="668">
        <f>IF(BH$4="forecast",AVERAGE(AV34:BG34),SUMIF('Dept. Cost Actuals'!$E$7:$E$176,"*Books and Periodicals*",'Dept. Cost Actuals'!BL$1225:BL$1394))</f>
        <v>2.6871019203414956</v>
      </c>
      <c r="BI34" s="668">
        <f>IF(BI$4="forecast",AVERAGE(AW34:BH34),SUMIF('Dept. Cost Actuals'!$E$7:$E$176,"*Books and Periodicals*",'Dept. Cost Actuals'!BM$1225:BM$1394))</f>
        <v>2.6933699248031728</v>
      </c>
      <c r="BJ34" s="668">
        <f>IF(BJ$4="forecast",AVERAGE(AX34:BI34),SUMIF('Dept. Cost Actuals'!$E$7:$E$176,"*Books and Periodicals*",'Dept. Cost Actuals'!BN$1225:BN$1394))</f>
        <v>2.6959758011994848</v>
      </c>
      <c r="BK34" s="668">
        <f>IF(BK$4="forecast",AVERAGE(AY34:BJ34),SUMIF('Dept. Cost Actuals'!$E$7:$E$176,"*Books and Periodicals*",'Dept. Cost Actuals'!BO$1225:BO$1394))</f>
        <v>2.6954284699213384</v>
      </c>
      <c r="BL34" s="668">
        <f>IF(BL$4="forecast",AVERAGE(AZ34:BK34),SUMIF('Dept. Cost Actuals'!$E$7:$E$176,"*Books and Periodicals*",'Dept. Cost Actuals'!BP$1225:BP$1394))</f>
        <v>2.6924440031094545</v>
      </c>
      <c r="BM34" s="668">
        <f>IF(BM$4="forecast",AVERAGE(BA34:BL34),SUMIF('Dept. Cost Actuals'!$E$7:$E$176,"*Books and Periodicals*",'Dept. Cost Actuals'!BQ$1225:BQ$1394))</f>
        <v>2.687984690796613</v>
      </c>
      <c r="BN34" s="668">
        <f>IF(BN$4="forecast",AVERAGE(BB34:BM34),SUMIF('Dept. Cost Actuals'!$E$7:$E$176,"*Books and Periodicals*",'Dept. Cost Actuals'!BR$1225:BR$1394))</f>
        <v>2.6833038524380988</v>
      </c>
      <c r="BO34" s="668">
        <f>IF(BO$4="forecast",AVERAGE(BC34:BN34),SUMIF('Dept. Cost Actuals'!$E$7:$E$176,"*Books and Periodicals*",'Dept. Cost Actuals'!BS$1225:BS$1394))</f>
        <v>2.6799971361789594</v>
      </c>
      <c r="BP34" s="668">
        <f>IF(BP$4="forecast",AVERAGE(BD34:BO34),SUMIF('Dept. Cost Actuals'!$E$7:$E$176,"*Books and Periodicals*",'Dept. Cost Actuals'!BT$1225:BT$1394))</f>
        <v>2.6800611367059033</v>
      </c>
      <c r="BQ34" s="668">
        <f>IF(BQ$4="forecast",AVERAGE(BE34:BP34),SUMIF('Dept. Cost Actuals'!$E$7:$E$176,"*Books and Periodicals*",'Dept. Cost Actuals'!BU$1225:BU$1394))</f>
        <v>2.682112363638542</v>
      </c>
      <c r="BR34" s="668">
        <f>IF(BR$4="forecast",AVERAGE(BF34:BQ34),SUMIF('Dept. Cost Actuals'!$E$7:$E$176,"*Books and Periodicals*",'Dept. Cost Actuals'!BV$1225:BV$1394))</f>
        <v>2.6847496273755524</v>
      </c>
      <c r="BS34" s="668">
        <f>IF(BS$4="forecast",AVERAGE(BG34:BR34),SUMIF('Dept. Cost Actuals'!$E$7:$E$176,"*Books and Periodicals*",'Dept. Cost Actuals'!BW$1225:BW$1394))</f>
        <v>2.6866137468394471</v>
      </c>
      <c r="BT34" s="668">
        <f>IF(BT$4="forecast",AVERAGE(BH34:BS34),SUMIF('Dept. Cost Actuals'!$E$7:$E$176,"*Books and Periodicals*",'Dept. Cost Actuals'!BX$1225:BX$1394))</f>
        <v>2.6874285561123377</v>
      </c>
      <c r="BU34" s="668">
        <f>IF(BU$4="forecast",AVERAGE(BI34:BT34),SUMIF('Dept. Cost Actuals'!$E$7:$E$176,"*Books and Periodicals*",'Dept. Cost Actuals'!BY$1225:BY$1394))</f>
        <v>2.6874557757599082</v>
      </c>
      <c r="BV34" s="668">
        <f>IF(BV$4="forecast",AVERAGE(BJ34:BU34),SUMIF('Dept. Cost Actuals'!$E$7:$E$176,"*Books and Periodicals*",'Dept. Cost Actuals'!BZ$1225:BZ$1394))</f>
        <v>2.6869629300063029</v>
      </c>
    </row>
    <row r="35" spans="1:74" x14ac:dyDescent="0.25">
      <c r="B35" s="794" t="s">
        <v>941</v>
      </c>
      <c r="C35" s="668">
        <f>IF(C$4="forecast",AVERAGE(#REF!),SUMIF('Dept. Cost Actuals'!$E$7:$E$176,"*Postage and Delivery*",'Dept. Cost Actuals'!G$1225:G$1394))</f>
        <v>19.373822999999998</v>
      </c>
      <c r="D35" s="668">
        <f>IF(D$4="forecast",AVERAGE(#REF!),SUMIF('Dept. Cost Actuals'!$E$7:$E$176,"*Postage and Delivery*",'Dept. Cost Actuals'!H$1225:H$1394))</f>
        <v>30.565473667670311</v>
      </c>
      <c r="E35" s="668">
        <f>IF(E$4="forecast",AVERAGE(#REF!),SUMIF('Dept. Cost Actuals'!$E$7:$E$176,"*Postage and Delivery*",'Dept. Cost Actuals'!I$1225:I$1394))</f>
        <v>0</v>
      </c>
      <c r="F35" s="668">
        <f>IF(F$4="forecast",AVERAGE(#REF!),SUMIF('Dept. Cost Actuals'!$E$7:$E$176,"*Postage and Delivery*",'Dept. Cost Actuals'!J$1225:J$1394))</f>
        <v>37.546650265912987</v>
      </c>
      <c r="G35" s="668">
        <f>IF(G$4="forecast",AVERAGE(#REF!),SUMIF('Dept. Cost Actuals'!$E$7:$E$176,"*Postage and Delivery*",'Dept. Cost Actuals'!K$1225:K$1394))</f>
        <v>287.32059158971481</v>
      </c>
      <c r="H35" s="668">
        <f>IF(H$4="forecast",AVERAGE(#REF!),SUMIF('Dept. Cost Actuals'!$E$7:$E$176,"*Postage and Delivery*",'Dept. Cost Actuals'!L$1225:L$1394))</f>
        <v>8.4877619209021855</v>
      </c>
      <c r="I35" s="668">
        <f>IF(I$4="forecast",AVERAGE(#REF!),SUMIF('Dept. Cost Actuals'!$E$7:$E$176,"*Postage and Delivery*",'Dept. Cost Actuals'!M$1225:M$1394))</f>
        <v>0</v>
      </c>
      <c r="J35" s="668">
        <f>IF(J$4="forecast",AVERAGE(#REF!),SUMIF('Dept. Cost Actuals'!$E$7:$E$176,"*Postage and Delivery*",'Dept. Cost Actuals'!N$1225:N$1394))</f>
        <v>18.163426080852577</v>
      </c>
      <c r="K35" s="668">
        <f>IF(K$4="forecast",AVERAGE(#REF!),SUMIF('Dept. Cost Actuals'!$E$7:$E$176,"*Postage and Delivery*",'Dept. Cost Actuals'!O$1225:O$1394))</f>
        <v>4.2171941068269367</v>
      </c>
      <c r="L35" s="668">
        <f>IF(L$4="forecast",AVERAGE(#REF!),SUMIF('Dept. Cost Actuals'!$E$7:$E$176,"*Postage and Delivery*",'Dept. Cost Actuals'!P$1225:P$1394))</f>
        <v>149.8511214184287</v>
      </c>
      <c r="M35" s="668">
        <f>IF(M$4="forecast",AVERAGE(A35:L35),SUMIF('Dept. Cost Actuals'!$E$7:$E$176,"*Postage and Delivery*",'Dept. Cost Actuals'!Q$1225:Q$1394))</f>
        <v>285.34114157051124</v>
      </c>
      <c r="N35" s="668">
        <f>IF(N$4="forecast",AVERAGE(B35:M35),SUMIF('Dept. Cost Actuals'!$E$7:$E$176,"*Postage and Delivery*",'Dept. Cost Actuals'!R$1225:R$1394))</f>
        <v>112.1704079510651</v>
      </c>
      <c r="O35" s="668">
        <f>IF(O$4="forecast",AVERAGE(C35:N35),SUMIF('Dept. Cost Actuals'!$E$7:$E$176,"*Postage and Delivery*",'Dept. Cost Actuals'!S$1225:S$1394))</f>
        <v>128.16</v>
      </c>
      <c r="P35" s="668">
        <f>IF(P$4="forecast",AVERAGE(D35:O35),SUMIF('Dept. Cost Actuals'!$E$7:$E$176,"*Postage and Delivery*",'Dept. Cost Actuals'!T$1225:T$1394))</f>
        <v>284.20999999999998</v>
      </c>
      <c r="Q35" s="668">
        <f>IF(Q$4="forecast",AVERAGE(E35:P35),SUMIF('Dept. Cost Actuals'!$E$7:$E$176,"*Postage and Delivery*",'Dept. Cost Actuals'!U$1225:U$1394))</f>
        <v>72.7</v>
      </c>
      <c r="R35" s="668">
        <f>IF(R$4="forecast",AVERAGE(F35:Q35),SUMIF('Dept. Cost Actuals'!$E$7:$E$176,"*Postage and Delivery*",'Dept. Cost Actuals'!V$1225:V$1394))</f>
        <v>42.48</v>
      </c>
      <c r="S35" s="668">
        <f>IF(S$4="forecast",AVERAGE(G35:R35),SUMIF('Dept. Cost Actuals'!$E$7:$E$176,"*Postage and Delivery*",'Dept. Cost Actuals'!W$1225:W$1394))</f>
        <v>132.84</v>
      </c>
      <c r="T35" s="668">
        <f>IF(T$4="forecast",AVERAGE(H35:S35),SUMIF('Dept. Cost Actuals'!$E$7:$E$176,"*Postage and Delivery*",'Dept. Cost Actuals'!X$1225:X$1394))</f>
        <v>127.07</v>
      </c>
      <c r="U35" s="668">
        <f>IF(U$4="forecast",AVERAGE(I35:T35),SUMIF('Dept. Cost Actuals'!$E$7:$E$176,"*Postage and Delivery*",'Dept. Cost Actuals'!Y$1225:Y$1394))</f>
        <v>0</v>
      </c>
      <c r="V35" s="668">
        <f>IF(V$4="forecast",AVERAGE(J35:U35),SUMIF('Dept. Cost Actuals'!$E$7:$E$176,"*Postage and Delivery*",'Dept. Cost Actuals'!Z$1225:Z$1394))</f>
        <v>0</v>
      </c>
      <c r="W35" s="668">
        <f>IF(W$4="forecast",AVERAGE(K35:V35),SUMIF('Dept. Cost Actuals'!$E$7:$E$176,"*Postage and Delivery*",'Dept. Cost Actuals'!AA$1225:AA$1394))</f>
        <v>-1.18</v>
      </c>
      <c r="X35" s="668">
        <f>IF(X$4="forecast",AVERAGE(L35:W35),SUMIF('Dept. Cost Actuals'!$E$7:$E$176,"*Postage and Delivery*",'Dept. Cost Actuals'!AB$1225:AB$1394))</f>
        <v>722</v>
      </c>
      <c r="Y35" s="668">
        <f>IF(Y$4="forecast",AVERAGE(M35:X35),SUMIF('Dept. Cost Actuals'!$E$7:$E$176,"*Postage and Delivery*",'Dept. Cost Actuals'!AC$1225:AC$1394))</f>
        <v>-90.96</v>
      </c>
      <c r="Z35" s="668">
        <f>IF(Z$4="forecast",AVERAGE(N35:Y35),SUMIF('Dept. Cost Actuals'!$E$7:$E$176,"*Postage and Delivery*",'Dept. Cost Actuals'!AD$1225:AD$1394))</f>
        <v>69.52</v>
      </c>
      <c r="AA35" s="668">
        <f>IF(AA$4="forecast",AVERAGE(O35:Z35),SUMIF('Dept. Cost Actuals'!$E$7:$E$176,"*Postage and Delivery*",'Dept. Cost Actuals'!AE$1225:AE$1394))</f>
        <v>47.25</v>
      </c>
      <c r="AB35" s="668">
        <f>IF(AB$4="forecast",AVERAGE(P35:AA35),SUMIF('Dept. Cost Actuals'!$E$7:$E$176,"*Postage and Delivery*",'Dept. Cost Actuals'!AF$1225:AF$1394))</f>
        <v>187.84</v>
      </c>
      <c r="AC35" s="668">
        <f>IF(AC$4="forecast",AVERAGE(Q35:AB35),SUMIF('Dept. Cost Actuals'!$E$7:$E$176,"*Postage and Delivery*",'Dept. Cost Actuals'!AG$1225:AG$1394))</f>
        <v>41.99</v>
      </c>
      <c r="AD35" s="668">
        <f>IF(AD$4="forecast",AVERAGE(R35:AC35),SUMIF('Dept. Cost Actuals'!$E$7:$E$176,"*Postage and Delivery*",'Dept. Cost Actuals'!AH$1225:AH$1394))</f>
        <v>106.57083333333333</v>
      </c>
      <c r="AE35" s="668">
        <f>IF(AE$4="forecast",AVERAGE(S35:AD35),SUMIF('Dept. Cost Actuals'!$E$7:$E$176,"*Postage and Delivery*",'Dept. Cost Actuals'!AI$1225:AI$1394))</f>
        <v>111.9117361111111</v>
      </c>
      <c r="AF35" s="668">
        <f>IF(AF$4="forecast",AVERAGE(T35:AE35),SUMIF('Dept. Cost Actuals'!$E$7:$E$176,"*Postage and Delivery*",'Dept. Cost Actuals'!AJ$1225:AJ$1394))</f>
        <v>110.16771412037038</v>
      </c>
      <c r="AG35" s="668">
        <f>IF(AG$4="forecast",AVERAGE(U35:AF35),SUMIF('Dept. Cost Actuals'!$E$7:$E$176,"*Postage and Delivery*",'Dept. Cost Actuals'!AK$1225:AK$1394))</f>
        <v>108.7591902970679</v>
      </c>
      <c r="AH35" s="668">
        <f>IF(AH$4="forecast",AVERAGE(V35:AG35),SUMIF('Dept. Cost Actuals'!$E$7:$E$176,"*Postage and Delivery*",'Dept. Cost Actuals'!AL$1225:AL$1394))</f>
        <v>117.8224561551569</v>
      </c>
      <c r="AI35" s="668">
        <f>IF(AI$4="forecast",AVERAGE(W35:AH35),SUMIF('Dept. Cost Actuals'!$E$7:$E$176,"*Postage and Delivery*",'Dept. Cost Actuals'!AM$1225:AM$1394))</f>
        <v>127.64099416808665</v>
      </c>
      <c r="AJ35" s="668">
        <f>IF(AJ$4="forecast",AVERAGE(X35:AI35),SUMIF('Dept. Cost Actuals'!$E$7:$E$176,"*Postage and Delivery*",'Dept. Cost Actuals'!AN$1225:AN$1394))</f>
        <v>138.3760770154272</v>
      </c>
      <c r="AK35" s="668">
        <f>IF(AK$4="forecast",AVERAGE(Y35:AJ35),SUMIF('Dept. Cost Actuals'!$E$7:$E$176,"*Postage and Delivery*",'Dept. Cost Actuals'!AO$1225:AO$1394))</f>
        <v>89.740750100046128</v>
      </c>
      <c r="AL35" s="668">
        <f>IF(AL$4="forecast",AVERAGE(Z35:AK35),SUMIF('Dept. Cost Actuals'!$E$7:$E$176,"*Postage and Delivery*",'Dept. Cost Actuals'!AP$1225:AP$1394))</f>
        <v>104.79914594171665</v>
      </c>
      <c r="AM35" s="668">
        <f>IF(AM$4="forecast",AVERAGE(AA35:AL35),SUMIF('Dept. Cost Actuals'!$E$7:$E$176,"*Postage and Delivery*",'Dept. Cost Actuals'!AQ$1225:AQ$1394))</f>
        <v>107.73907477019304</v>
      </c>
      <c r="AN35" s="668">
        <f>IF(AN$4="forecast",AVERAGE(AB35:AM35),SUMIF('Dept. Cost Actuals'!$E$7:$E$176,"*Postage and Delivery*",'Dept. Cost Actuals'!AR$1225:AR$1394))</f>
        <v>112.77983100104245</v>
      </c>
      <c r="AO35" s="668">
        <f>IF(AO$4="forecast",AVERAGE(AC35:AN35),SUMIF('Dept. Cost Actuals'!$E$7:$E$176,"*Postage and Delivery*",'Dept. Cost Actuals'!AS$1225:AS$1394))</f>
        <v>106.52481691779599</v>
      </c>
      <c r="AP35" s="668">
        <f>IF(AP$4="forecast",AVERAGE(AD35:AO35),SUMIF('Dept. Cost Actuals'!$E$7:$E$176,"*Postage and Delivery*",'Dept. Cost Actuals'!AT$1225:AT$1394))</f>
        <v>111.90271832761233</v>
      </c>
      <c r="AQ35" s="668">
        <f>IF(AQ$4="forecast",AVERAGE(AE35:AP35),SUMIF('Dept. Cost Actuals'!$E$7:$E$176,"*Postage and Delivery*",'Dept. Cost Actuals'!AU$1225:AU$1394))</f>
        <v>112.34704207713555</v>
      </c>
      <c r="AR35" s="668">
        <f>IF(AR$4="forecast",AVERAGE(AF35:AQ35),SUMIF('Dept. Cost Actuals'!$E$7:$E$176,"*Postage and Delivery*",'Dept. Cost Actuals'!AV$1225:AV$1394))</f>
        <v>112.38331757430427</v>
      </c>
      <c r="AS35" s="668">
        <f>IF(AS$4="forecast",AVERAGE(AG35:AR35),SUMIF('Dept. Cost Actuals'!$E$7:$E$176,"*Postage and Delivery*",'Dept. Cost Actuals'!AW$1225:AW$1394))</f>
        <v>112.56795119546543</v>
      </c>
      <c r="AT35" s="668">
        <f>IF(AT$4="forecast",AVERAGE(AH35:AS35),SUMIF('Dept. Cost Actuals'!$E$7:$E$176,"*Postage and Delivery*",'Dept. Cost Actuals'!AX$1225:AX$1394))</f>
        <v>112.88534793699854</v>
      </c>
      <c r="AU35" s="668">
        <f>IF(AU$4="forecast",AVERAGE(AI35:AT35),SUMIF('Dept. Cost Actuals'!$E$7:$E$176,"*Postage and Delivery*",'Dept. Cost Actuals'!AY$1225:AY$1394))</f>
        <v>112.47392225215202</v>
      </c>
      <c r="AV35" s="668">
        <f>IF(AV$4="forecast",AVERAGE(AJ35:AU35),SUMIF('Dept. Cost Actuals'!$E$7:$E$176,"*Postage and Delivery*",'Dept. Cost Actuals'!AZ$1225:AZ$1394))</f>
        <v>111.20999959249082</v>
      </c>
      <c r="AW35" s="668">
        <f>IF(AW$4="forecast",AVERAGE(AK35:AV35),SUMIF('Dept. Cost Actuals'!$E$7:$E$176,"*Postage and Delivery*",'Dept. Cost Actuals'!BA$1225:BA$1394))</f>
        <v>108.94615980724613</v>
      </c>
      <c r="AX35" s="668">
        <f>IF(AX$4="forecast",AVERAGE(AL35:AW35),SUMIF('Dept. Cost Actuals'!$E$7:$E$176,"*Postage and Delivery*",'Dept. Cost Actuals'!BB$1225:BB$1394))</f>
        <v>110.54661061617942</v>
      </c>
      <c r="AY35" s="668">
        <f>IF(AY$4="forecast",AVERAGE(AM35:AX35),SUMIF('Dept. Cost Actuals'!$E$7:$E$176,"*Postage and Delivery*",'Dept. Cost Actuals'!BC$1225:BC$1394))</f>
        <v>111.02556600571798</v>
      </c>
      <c r="AZ35" s="668">
        <f>IF(AZ$4="forecast",AVERAGE(AN35:AY35),SUMIF('Dept. Cost Actuals'!$E$7:$E$176,"*Postage and Delivery*",'Dept. Cost Actuals'!BD$1225:BD$1394))</f>
        <v>111.29944027534508</v>
      </c>
      <c r="BA35" s="668">
        <f>IF(BA$4="forecast",AVERAGE(AO35:AZ35),SUMIF('Dept. Cost Actuals'!$E$7:$E$176,"*Postage and Delivery*",'Dept. Cost Actuals'!BE$1225:BE$1394))</f>
        <v>111.17607438153694</v>
      </c>
      <c r="BB35" s="668">
        <f>IF(BB$4="forecast",AVERAGE(AP35:BA35),SUMIF('Dept. Cost Actuals'!$E$7:$E$176,"*Postage and Delivery*",'Dept. Cost Actuals'!BF$1225:BF$1394))</f>
        <v>111.56367917018201</v>
      </c>
      <c r="BC35" s="668">
        <f>IF(BC$4="forecast",AVERAGE(AQ35:BB35),SUMIF('Dept. Cost Actuals'!$E$7:$E$176,"*Postage and Delivery*",'Dept. Cost Actuals'!BG$1225:BG$1394))</f>
        <v>111.53542590706284</v>
      </c>
      <c r="BD35" s="668">
        <f>IF(BD$4="forecast",AVERAGE(AR35:BC35),SUMIF('Dept. Cost Actuals'!$E$7:$E$176,"*Postage and Delivery*",'Dept. Cost Actuals'!BH$1225:BH$1394))</f>
        <v>111.46779122622344</v>
      </c>
      <c r="BE35" s="668">
        <f>IF(BE$4="forecast",AVERAGE(AS35:BD35),SUMIF('Dept. Cost Actuals'!$E$7:$E$176,"*Postage and Delivery*",'Dept. Cost Actuals'!BI$1225:BI$1394))</f>
        <v>111.39149736388339</v>
      </c>
      <c r="BF35" s="668">
        <f>IF(BF$4="forecast",AVERAGE(AT35:BE35),SUMIF('Dept. Cost Actuals'!$E$7:$E$176,"*Postage and Delivery*",'Dept. Cost Actuals'!BJ$1225:BJ$1394))</f>
        <v>111.29345954458489</v>
      </c>
      <c r="BG35" s="668">
        <f>IF(BG$4="forecast",AVERAGE(AU35:BF35),SUMIF('Dept. Cost Actuals'!$E$7:$E$176,"*Postage and Delivery*",'Dept. Cost Actuals'!BK$1225:BK$1394))</f>
        <v>111.16080217855044</v>
      </c>
      <c r="BH35" s="668">
        <f>IF(BH$4="forecast",AVERAGE(AV35:BG35),SUMIF('Dept. Cost Actuals'!$E$7:$E$176,"*Postage and Delivery*",'Dept. Cost Actuals'!BL$1225:BL$1394))</f>
        <v>111.05137550575029</v>
      </c>
      <c r="BI35" s="668">
        <f>IF(BI$4="forecast",AVERAGE(AW35:BH35),SUMIF('Dept. Cost Actuals'!$E$7:$E$176,"*Postage and Delivery*",'Dept. Cost Actuals'!BM$1225:BM$1394))</f>
        <v>111.03815683185525</v>
      </c>
      <c r="BJ35" s="668">
        <f>IF(BJ$4="forecast",AVERAGE(AX35:BI35),SUMIF('Dept. Cost Actuals'!$E$7:$E$176,"*Postage and Delivery*",'Dept. Cost Actuals'!BN$1225:BN$1394))</f>
        <v>111.21248991723934</v>
      </c>
      <c r="BK35" s="668">
        <f>IF(BK$4="forecast",AVERAGE(AY35:BJ35),SUMIF('Dept. Cost Actuals'!$E$7:$E$176,"*Postage and Delivery*",'Dept. Cost Actuals'!BO$1225:BO$1394))</f>
        <v>111.26797985899434</v>
      </c>
      <c r="BL35" s="668">
        <f>IF(BL$4="forecast",AVERAGE(AZ35:BK35),SUMIF('Dept. Cost Actuals'!$E$7:$E$176,"*Postage and Delivery*",'Dept. Cost Actuals'!BP$1225:BP$1394))</f>
        <v>111.28818101343403</v>
      </c>
      <c r="BM35" s="668">
        <f>IF(BM$4="forecast",AVERAGE(BA35:BL35),SUMIF('Dept. Cost Actuals'!$E$7:$E$176,"*Postage and Delivery*",'Dept. Cost Actuals'!BQ$1225:BQ$1394))</f>
        <v>111.2872427416081</v>
      </c>
      <c r="BN35" s="668">
        <f>IF(BN$4="forecast",AVERAGE(BB35:BM35),SUMIF('Dept. Cost Actuals'!$E$7:$E$176,"*Postage and Delivery*",'Dept. Cost Actuals'!BR$1225:BR$1394))</f>
        <v>111.29650677161402</v>
      </c>
      <c r="BO35" s="668">
        <f>IF(BO$4="forecast",AVERAGE(BC35:BN35),SUMIF('Dept. Cost Actuals'!$E$7:$E$176,"*Postage and Delivery*",'Dept. Cost Actuals'!BS$1225:BS$1394))</f>
        <v>111.27424240506669</v>
      </c>
      <c r="BP35" s="668">
        <f>IF(BP$4="forecast",AVERAGE(BD35:BO35),SUMIF('Dept. Cost Actuals'!$E$7:$E$176,"*Postage and Delivery*",'Dept. Cost Actuals'!BT$1225:BT$1394))</f>
        <v>111.25247711323367</v>
      </c>
      <c r="BQ35" s="668">
        <f>IF(BQ$4="forecast",AVERAGE(BE35:BP35),SUMIF('Dept. Cost Actuals'!$E$7:$E$176,"*Postage and Delivery*",'Dept. Cost Actuals'!BU$1225:BU$1394))</f>
        <v>111.23453427048452</v>
      </c>
      <c r="BR35" s="668">
        <f>IF(BR$4="forecast",AVERAGE(BF35:BQ35),SUMIF('Dept. Cost Actuals'!$E$7:$E$176,"*Postage and Delivery*",'Dept. Cost Actuals'!BV$1225:BV$1394))</f>
        <v>111.2214540127013</v>
      </c>
      <c r="BS35" s="668">
        <f>IF(BS$4="forecast",AVERAGE(BG35:BR35),SUMIF('Dept. Cost Actuals'!$E$7:$E$176,"*Postage and Delivery*",'Dept. Cost Actuals'!BW$1225:BW$1394))</f>
        <v>111.21545355171099</v>
      </c>
      <c r="BT35" s="668">
        <f>IF(BT$4="forecast",AVERAGE(BH35:BS35),SUMIF('Dept. Cost Actuals'!$E$7:$E$176,"*Postage and Delivery*",'Dept. Cost Actuals'!BX$1225:BX$1394))</f>
        <v>111.22000783280771</v>
      </c>
      <c r="BU35" s="668">
        <f>IF(BU$4="forecast",AVERAGE(BI35:BT35),SUMIF('Dept. Cost Actuals'!$E$7:$E$176,"*Postage and Delivery*",'Dept. Cost Actuals'!BY$1225:BY$1394))</f>
        <v>111.23406052672915</v>
      </c>
      <c r="BV35" s="668">
        <f>IF(BV$4="forecast",AVERAGE(BJ35:BU35),SUMIF('Dept. Cost Actuals'!$E$7:$E$176,"*Postage and Delivery*",'Dept. Cost Actuals'!BZ$1225:BZ$1394))</f>
        <v>111.25038583463534</v>
      </c>
    </row>
    <row r="36" spans="1:74" x14ac:dyDescent="0.25">
      <c r="B36" s="794" t="s">
        <v>942</v>
      </c>
      <c r="C36" s="668">
        <f>IF(C$4="forecast",AVERAGE(#REF!),SUMIF('Dept. Cost Actuals'!$E$7:$E$176,"*Computer Supplies*",'Dept. Cost Actuals'!G$1225:G$1394))</f>
        <v>1942.4456099999998</v>
      </c>
      <c r="D36" s="668">
        <f>IF(D$4="forecast",AVERAGE(#REF!),SUMIF('Dept. Cost Actuals'!$E$7:$E$176,"*Computer Supplies*",'Dept. Cost Actuals'!H$1225:H$1394))</f>
        <v>1817.2428576254722</v>
      </c>
      <c r="E36" s="668">
        <f>IF(E$4="forecast",AVERAGE(#REF!),SUMIF('Dept. Cost Actuals'!$E$7:$E$176,"*Computer Supplies*",'Dept. Cost Actuals'!I$1225:I$1394))</f>
        <v>6204.4714594257539</v>
      </c>
      <c r="F36" s="668">
        <f>IF(F$4="forecast",AVERAGE(#REF!),SUMIF('Dept. Cost Actuals'!$E$7:$E$176,"*Computer Supplies*",'Dept. Cost Actuals'!J$1225:J$1394))</f>
        <v>1642.795559386989</v>
      </c>
      <c r="G36" s="668">
        <f>IF(G$4="forecast",AVERAGE(#REF!),SUMIF('Dept. Cost Actuals'!$E$7:$E$176,"*Computer Supplies*",'Dept. Cost Actuals'!K$1225:K$1394))</f>
        <v>2140.7674284131463</v>
      </c>
      <c r="H36" s="668">
        <f>IF(H$4="forecast",AVERAGE(#REF!),SUMIF('Dept. Cost Actuals'!$E$7:$E$176,"*Computer Supplies*",'Dept. Cost Actuals'!L$1225:L$1394))</f>
        <v>3305.4976499720501</v>
      </c>
      <c r="I36" s="668">
        <f>IF(I$4="forecast",AVERAGE(#REF!),SUMIF('Dept. Cost Actuals'!$E$7:$E$176,"*Computer Supplies*",'Dept. Cost Actuals'!M$1225:M$1394))</f>
        <v>5634.4269701931953</v>
      </c>
      <c r="J36" s="668">
        <f>IF(J$4="forecast",AVERAGE(#REF!),SUMIF('Dept. Cost Actuals'!$E$7:$E$176,"*Computer Supplies*",'Dept. Cost Actuals'!N$1225:N$1394))</f>
        <v>2057.2133953228386</v>
      </c>
      <c r="K36" s="668">
        <f>IF(K$4="forecast",AVERAGE(#REF!),SUMIF('Dept. Cost Actuals'!$E$7:$E$176,"*Computer Supplies*",'Dept. Cost Actuals'!O$1225:O$1394))</f>
        <v>1833.1195263793902</v>
      </c>
      <c r="L36" s="668">
        <f>IF(L$4="forecast",AVERAGE(#REF!),SUMIF('Dept. Cost Actuals'!$E$7:$E$176,"*Computer Supplies*",'Dept. Cost Actuals'!P$1225:P$1394))</f>
        <v>8772.0473070525386</v>
      </c>
      <c r="M36" s="668">
        <f>IF(M$4="forecast",AVERAGE(A36:L36),SUMIF('Dept. Cost Actuals'!$E$7:$E$176,"*Computer Supplies*",'Dept. Cost Actuals'!Q$1225:Q$1394))</f>
        <v>2135.9403693925592</v>
      </c>
      <c r="N36" s="668">
        <f>IF(N$4="forecast",AVERAGE(B36:M36),SUMIF('Dept. Cost Actuals'!$E$7:$E$176,"*Computer Supplies*",'Dept. Cost Actuals'!R$1225:R$1394))</f>
        <v>266.66076207498975</v>
      </c>
      <c r="O36" s="668">
        <f>IF(O$4="forecast",AVERAGE(C36:N36),SUMIF('Dept. Cost Actuals'!$E$7:$E$176,"*Computer Supplies*",'Dept. Cost Actuals'!S$1225:S$1394))</f>
        <v>1146.3499999999999</v>
      </c>
      <c r="P36" s="668">
        <f>IF(P$4="forecast",AVERAGE(D36:O36),SUMIF('Dept. Cost Actuals'!$E$7:$E$176,"*Computer Supplies*",'Dept. Cost Actuals'!T$1225:T$1394))</f>
        <v>368.7</v>
      </c>
      <c r="Q36" s="668">
        <f>IF(Q$4="forecast",AVERAGE(E36:P36),SUMIF('Dept. Cost Actuals'!$E$7:$E$176,"*Computer Supplies*",'Dept. Cost Actuals'!U$1225:U$1394))</f>
        <v>558.65</v>
      </c>
      <c r="R36" s="668">
        <f>IF(R$4="forecast",AVERAGE(F36:Q36),SUMIF('Dept. Cost Actuals'!$E$7:$E$176,"*Computer Supplies*",'Dept. Cost Actuals'!V$1225:V$1394))</f>
        <v>443.7</v>
      </c>
      <c r="S36" s="668">
        <f>IF(S$4="forecast",AVERAGE(G36:R36),SUMIF('Dept. Cost Actuals'!$E$7:$E$176,"*Computer Supplies*",'Dept. Cost Actuals'!W$1225:W$1394))</f>
        <v>443.7</v>
      </c>
      <c r="T36" s="668">
        <f>IF(T$4="forecast",AVERAGE(H36:S36),SUMIF('Dept. Cost Actuals'!$E$7:$E$176,"*Computer Supplies*",'Dept. Cost Actuals'!X$1225:X$1394))</f>
        <v>776.78</v>
      </c>
      <c r="U36" s="668">
        <f>IF(U$4="forecast",AVERAGE(I36:T36),SUMIF('Dept. Cost Actuals'!$E$7:$E$176,"*Computer Supplies*",'Dept. Cost Actuals'!Y$1225:Y$1394))</f>
        <v>130.16</v>
      </c>
      <c r="V36" s="668">
        <f>IF(V$4="forecast",AVERAGE(J36:U36),SUMIF('Dept. Cost Actuals'!$E$7:$E$176,"*Computer Supplies*",'Dept. Cost Actuals'!Z$1225:Z$1394))</f>
        <v>1038.3699999999999</v>
      </c>
      <c r="W36" s="668">
        <f>IF(W$4="forecast",AVERAGE(K36:V36),SUMIF('Dept. Cost Actuals'!$E$7:$E$176,"*Computer Supplies*",'Dept. Cost Actuals'!AA$1225:AA$1394))</f>
        <v>782.59</v>
      </c>
      <c r="X36" s="668">
        <f>IF(X$4="forecast",AVERAGE(L36:W36),SUMIF('Dept. Cost Actuals'!$E$7:$E$176,"*Computer Supplies*",'Dept. Cost Actuals'!AB$1225:AB$1394))</f>
        <v>2284.5500000000002</v>
      </c>
      <c r="Y36" s="668">
        <f>IF(Y$4="forecast",AVERAGE(M36:X36),SUMIF('Dept. Cost Actuals'!$E$7:$E$176,"*Computer Supplies*",'Dept. Cost Actuals'!AC$1225:AC$1394))</f>
        <v>2267.61</v>
      </c>
      <c r="Z36" s="668">
        <f>IF(Z$4="forecast",AVERAGE(N36:Y36),SUMIF('Dept. Cost Actuals'!$E$7:$E$176,"*Computer Supplies*",'Dept. Cost Actuals'!AD$1225:AD$1394))</f>
        <v>-1676.14</v>
      </c>
      <c r="AA36" s="668">
        <f>IF(AA$4="forecast",AVERAGE(O36:Z36),SUMIF('Dept. Cost Actuals'!$E$7:$E$176,"*Computer Supplies*",'Dept. Cost Actuals'!AE$1225:AE$1394))</f>
        <v>2724.85</v>
      </c>
      <c r="AB36" s="668">
        <f>IF(AB$4="forecast",AVERAGE(P36:AA36),SUMIF('Dept. Cost Actuals'!$E$7:$E$176,"*Computer Supplies*",'Dept. Cost Actuals'!AF$1225:AF$1394))</f>
        <v>2525.4</v>
      </c>
      <c r="AC36" s="668">
        <f>IF(AC$4="forecast",AVERAGE(Q36:AB36),SUMIF('Dept. Cost Actuals'!$E$7:$E$176,"*Computer Supplies*",'Dept. Cost Actuals'!AG$1225:AG$1394))</f>
        <v>2724.8</v>
      </c>
      <c r="AD36" s="668">
        <f>IF(AD$4="forecast",AVERAGE(R36:AC36),SUMIF('Dept. Cost Actuals'!$E$7:$E$176,"*Computer Supplies*",'Dept. Cost Actuals'!AH$1225:AH$1394))</f>
        <v>1205.5308333333332</v>
      </c>
      <c r="AE36" s="668">
        <f>IF(AE$4="forecast",AVERAGE(S36:AD36),SUMIF('Dept. Cost Actuals'!$E$7:$E$176,"*Computer Supplies*",'Dept. Cost Actuals'!AI$1225:AI$1394))</f>
        <v>1269.016736111111</v>
      </c>
      <c r="AF36" s="668">
        <f>IF(AF$4="forecast",AVERAGE(T36:AE36),SUMIF('Dept. Cost Actuals'!$E$7:$E$176,"*Computer Supplies*",'Dept. Cost Actuals'!AJ$1225:AJ$1394))</f>
        <v>1337.7931307870372</v>
      </c>
      <c r="AG36" s="668">
        <f>IF(AG$4="forecast",AVERAGE(U36:AF36),SUMIF('Dept. Cost Actuals'!$E$7:$E$176,"*Computer Supplies*",'Dept. Cost Actuals'!AK$1225:AK$1394))</f>
        <v>1384.54422501929</v>
      </c>
      <c r="AH36" s="668">
        <f>IF(AH$4="forecast",AVERAGE(V36:AG36),SUMIF('Dept. Cost Actuals'!$E$7:$E$176,"*Computer Supplies*",'Dept. Cost Actuals'!AL$1225:AL$1394))</f>
        <v>1489.0762437708975</v>
      </c>
      <c r="AI36" s="668">
        <f>IF(AI$4="forecast",AVERAGE(W36:AH36),SUMIF('Dept. Cost Actuals'!$E$7:$E$176,"*Computer Supplies*",'Dept. Cost Actuals'!AM$1225:AM$1394))</f>
        <v>1526.6350974184725</v>
      </c>
      <c r="AJ36" s="668">
        <f>IF(AJ$4="forecast",AVERAGE(X36:AI36),SUMIF('Dept. Cost Actuals'!$E$7:$E$176,"*Computer Supplies*",'Dept. Cost Actuals'!AN$1225:AN$1394))</f>
        <v>1588.6388555366784</v>
      </c>
      <c r="AK36" s="668">
        <f>IF(AK$4="forecast",AVERAGE(Y36:AJ36),SUMIF('Dept. Cost Actuals'!$E$7:$E$176,"*Computer Supplies*",'Dept. Cost Actuals'!AO$1225:AO$1394))</f>
        <v>1530.6462601647352</v>
      </c>
      <c r="AL36" s="668">
        <f>IF(AL$4="forecast",AVERAGE(Z36:AK36),SUMIF('Dept. Cost Actuals'!$E$7:$E$176,"*Computer Supplies*",'Dept. Cost Actuals'!AP$1225:AP$1394))</f>
        <v>1469.232615178463</v>
      </c>
      <c r="AM36" s="668">
        <f>IF(AM$4="forecast",AVERAGE(AA36:AL36),SUMIF('Dept. Cost Actuals'!$E$7:$E$176,"*Computer Supplies*",'Dept. Cost Actuals'!AQ$1225:AQ$1394))</f>
        <v>1731.3469997766681</v>
      </c>
      <c r="AN36" s="668">
        <f>IF(AN$4="forecast",AVERAGE(AB36:AM36),SUMIF('Dept. Cost Actuals'!$E$7:$E$176,"*Computer Supplies*",'Dept. Cost Actuals'!AR$1225:AR$1394))</f>
        <v>1648.5550830913908</v>
      </c>
      <c r="AO36" s="668">
        <f>IF(AO$4="forecast",AVERAGE(AC36:AN36),SUMIF('Dept. Cost Actuals'!$E$7:$E$176,"*Computer Supplies*",'Dept. Cost Actuals'!AS$1225:AS$1394))</f>
        <v>1575.4846733490067</v>
      </c>
      <c r="AP36" s="668">
        <f>IF(AP$4="forecast",AVERAGE(AD36:AO36),SUMIF('Dept. Cost Actuals'!$E$7:$E$176,"*Computer Supplies*",'Dept. Cost Actuals'!AT$1225:AT$1394))</f>
        <v>1479.7083961280903</v>
      </c>
      <c r="AQ36" s="668">
        <f>IF(AQ$4="forecast",AVERAGE(AE36:AP36),SUMIF('Dept. Cost Actuals'!$E$7:$E$176,"*Computer Supplies*",'Dept. Cost Actuals'!AU$1225:AU$1394))</f>
        <v>1502.5565263609869</v>
      </c>
      <c r="AR36" s="668">
        <f>IF(AR$4="forecast",AVERAGE(AF36:AQ36),SUMIF('Dept. Cost Actuals'!$E$7:$E$176,"*Computer Supplies*",'Dept. Cost Actuals'!AV$1225:AV$1394))</f>
        <v>1522.0181755484764</v>
      </c>
      <c r="AS36" s="668">
        <f>IF(AS$4="forecast",AVERAGE(AG36:AR36),SUMIF('Dept. Cost Actuals'!$E$7:$E$176,"*Computer Supplies*",'Dept. Cost Actuals'!AW$1225:AW$1394))</f>
        <v>1537.3702626119295</v>
      </c>
      <c r="AT36" s="668">
        <f>IF(AT$4="forecast",AVERAGE(AH36:AS36),SUMIF('Dept. Cost Actuals'!$E$7:$E$176,"*Computer Supplies*",'Dept. Cost Actuals'!AX$1225:AX$1394))</f>
        <v>1550.1057657446497</v>
      </c>
      <c r="AU36" s="668">
        <f>IF(AU$4="forecast",AVERAGE(AI36:AT36),SUMIF('Dept. Cost Actuals'!$E$7:$E$176,"*Computer Supplies*",'Dept. Cost Actuals'!AY$1225:AY$1394))</f>
        <v>1555.1915592424623</v>
      </c>
      <c r="AV36" s="668">
        <f>IF(AV$4="forecast",AVERAGE(AJ36:AU36),SUMIF('Dept. Cost Actuals'!$E$7:$E$176,"*Computer Supplies*",'Dept. Cost Actuals'!AZ$1225:AZ$1394))</f>
        <v>1557.5712643944617</v>
      </c>
      <c r="AW36" s="668">
        <f>IF(AW$4="forecast",AVERAGE(AK36:AV36),SUMIF('Dept. Cost Actuals'!$E$7:$E$176,"*Computer Supplies*",'Dept. Cost Actuals'!BA$1225:BA$1394))</f>
        <v>1554.9822984659431</v>
      </c>
      <c r="AX36" s="668">
        <f>IF(AX$4="forecast",AVERAGE(AL36:AW36),SUMIF('Dept. Cost Actuals'!$E$7:$E$176,"*Computer Supplies*",'Dept. Cost Actuals'!BB$1225:BB$1394))</f>
        <v>1557.0103016577111</v>
      </c>
      <c r="AY36" s="668">
        <f>IF(AY$4="forecast",AVERAGE(AM36:AX36),SUMIF('Dept. Cost Actuals'!$E$7:$E$176,"*Computer Supplies*",'Dept. Cost Actuals'!BC$1225:BC$1394))</f>
        <v>1564.3251088643149</v>
      </c>
      <c r="AZ36" s="668">
        <f>IF(AZ$4="forecast",AVERAGE(AN36:AY36),SUMIF('Dept. Cost Actuals'!$E$7:$E$176,"*Computer Supplies*",'Dept. Cost Actuals'!BD$1225:BD$1394))</f>
        <v>1550.406617954952</v>
      </c>
      <c r="BA36" s="668">
        <f>IF(BA$4="forecast",AVERAGE(AO36:AZ36),SUMIF('Dept. Cost Actuals'!$E$7:$E$176,"*Computer Supplies*",'Dept. Cost Actuals'!BE$1225:BE$1394))</f>
        <v>1542.227579193582</v>
      </c>
      <c r="BB36" s="668">
        <f>IF(BB$4="forecast",AVERAGE(AP36:BA36),SUMIF('Dept. Cost Actuals'!$E$7:$E$176,"*Computer Supplies*",'Dept. Cost Actuals'!BF$1225:BF$1394))</f>
        <v>1539.4561546806301</v>
      </c>
      <c r="BC36" s="668">
        <f>IF(BC$4="forecast",AVERAGE(AQ36:BB36),SUMIF('Dept. Cost Actuals'!$E$7:$E$176,"*Computer Supplies*",'Dept. Cost Actuals'!BG$1225:BG$1394))</f>
        <v>1544.435134560008</v>
      </c>
      <c r="BD36" s="668">
        <f>IF(BD$4="forecast",AVERAGE(AR36:BC36),SUMIF('Dept. Cost Actuals'!$E$7:$E$176,"*Computer Supplies*",'Dept. Cost Actuals'!BH$1225:BH$1394))</f>
        <v>1547.9250185765934</v>
      </c>
      <c r="BE36" s="668">
        <f>IF(BE$4="forecast",AVERAGE(AS36:BD36),SUMIF('Dept. Cost Actuals'!$E$7:$E$176,"*Computer Supplies*",'Dept. Cost Actuals'!BI$1225:BI$1394))</f>
        <v>1550.08392216227</v>
      </c>
      <c r="BF36" s="668">
        <f>IF(BF$4="forecast",AVERAGE(AT36:BE36),SUMIF('Dept. Cost Actuals'!$E$7:$E$176,"*Computer Supplies*",'Dept. Cost Actuals'!BJ$1225:BJ$1394))</f>
        <v>1551.1433937914651</v>
      </c>
      <c r="BG36" s="668">
        <f>IF(BG$4="forecast",AVERAGE(AU36:BF36),SUMIF('Dept. Cost Actuals'!$E$7:$E$176,"*Computer Supplies*",'Dept. Cost Actuals'!BK$1225:BK$1394))</f>
        <v>1551.2298627953662</v>
      </c>
      <c r="BH36" s="668">
        <f>IF(BH$4="forecast",AVERAGE(AV36:BG36),SUMIF('Dept. Cost Actuals'!$E$7:$E$176,"*Computer Supplies*",'Dept. Cost Actuals'!BL$1225:BL$1394))</f>
        <v>1550.899721424775</v>
      </c>
      <c r="BI36" s="668">
        <f>IF(BI$4="forecast",AVERAGE(AW36:BH36),SUMIF('Dept. Cost Actuals'!$E$7:$E$176,"*Computer Supplies*",'Dept. Cost Actuals'!BM$1225:BM$1394))</f>
        <v>1550.3437595106343</v>
      </c>
      <c r="BJ36" s="668">
        <f>IF(BJ$4="forecast",AVERAGE(AX36:BI36),SUMIF('Dept. Cost Actuals'!$E$7:$E$176,"*Computer Supplies*",'Dept. Cost Actuals'!BN$1225:BN$1394))</f>
        <v>1549.9572145976917</v>
      </c>
      <c r="BK36" s="668">
        <f>IF(BK$4="forecast",AVERAGE(AY36:BJ36),SUMIF('Dept. Cost Actuals'!$E$7:$E$176,"*Computer Supplies*",'Dept. Cost Actuals'!BO$1225:BO$1394))</f>
        <v>1549.3694573426903</v>
      </c>
      <c r="BL36" s="668">
        <f>IF(BL$4="forecast",AVERAGE(AZ36:BK36),SUMIF('Dept. Cost Actuals'!$E$7:$E$176,"*Computer Supplies*",'Dept. Cost Actuals'!BP$1225:BP$1394))</f>
        <v>1548.1231530492216</v>
      </c>
      <c r="BM36" s="668">
        <f>IF(BM$4="forecast",AVERAGE(BA36:BL36),SUMIF('Dept. Cost Actuals'!$E$7:$E$176,"*Computer Supplies*",'Dept. Cost Actuals'!BQ$1225:BQ$1394))</f>
        <v>1547.9328643070776</v>
      </c>
      <c r="BN36" s="668">
        <f>IF(BN$4="forecast",AVERAGE(BB36:BM36),SUMIF('Dept. Cost Actuals'!$E$7:$E$176,"*Computer Supplies*",'Dept. Cost Actuals'!BR$1225:BR$1394))</f>
        <v>1548.4083047332022</v>
      </c>
      <c r="BO36" s="668">
        <f>IF(BO$4="forecast",AVERAGE(BC36:BN36),SUMIF('Dept. Cost Actuals'!$E$7:$E$176,"*Computer Supplies*",'Dept. Cost Actuals'!BS$1225:BS$1394))</f>
        <v>1549.1543172375832</v>
      </c>
      <c r="BP36" s="668">
        <f>IF(BP$4="forecast",AVERAGE(BD36:BO36),SUMIF('Dept. Cost Actuals'!$E$7:$E$176,"*Computer Supplies*",'Dept. Cost Actuals'!BT$1225:BT$1394))</f>
        <v>1549.547582460714</v>
      </c>
      <c r="BQ36" s="668">
        <f>IF(BQ$4="forecast",AVERAGE(BE36:BP36),SUMIF('Dept. Cost Actuals'!$E$7:$E$176,"*Computer Supplies*",'Dept. Cost Actuals'!BU$1225:BU$1394))</f>
        <v>1549.6827961177241</v>
      </c>
      <c r="BR36" s="668">
        <f>IF(BR$4="forecast",AVERAGE(BF36:BQ36),SUMIF('Dept. Cost Actuals'!$E$7:$E$176,"*Computer Supplies*",'Dept. Cost Actuals'!BV$1225:BV$1394))</f>
        <v>1549.6493689473452</v>
      </c>
      <c r="BS36" s="668">
        <f>IF(BS$4="forecast",AVERAGE(BG36:BR36),SUMIF('Dept. Cost Actuals'!$E$7:$E$176,"*Computer Supplies*",'Dept. Cost Actuals'!BW$1225:BW$1394))</f>
        <v>1549.5248668770021</v>
      </c>
      <c r="BT36" s="668">
        <f>IF(BT$4="forecast",AVERAGE(BH36:BS36),SUMIF('Dept. Cost Actuals'!$E$7:$E$176,"*Computer Supplies*",'Dept. Cost Actuals'!BX$1225:BX$1394))</f>
        <v>1549.3827838838054</v>
      </c>
      <c r="BU36" s="668">
        <f>IF(BU$4="forecast",AVERAGE(BI36:BT36),SUMIF('Dept. Cost Actuals'!$E$7:$E$176,"*Computer Supplies*",'Dept. Cost Actuals'!BY$1225:BY$1394))</f>
        <v>1549.2563724220574</v>
      </c>
      <c r="BV36" s="668">
        <f>IF(BV$4="forecast",AVERAGE(BJ36:BU36),SUMIF('Dept. Cost Actuals'!$E$7:$E$176,"*Computer Supplies*",'Dept. Cost Actuals'!BZ$1225:BZ$1394))</f>
        <v>1549.1657568313428</v>
      </c>
    </row>
    <row r="37" spans="1:74" x14ac:dyDescent="0.25">
      <c r="B37" s="794" t="s">
        <v>943</v>
      </c>
      <c r="C37" s="668">
        <f>IF(C$4="forecast",AVERAGE(#REF!),SUMIF('Dept. Cost Actuals'!$E$7:$E$176,"*Printing and Reproduction*",'Dept. Cost Actuals'!G$1225:G$1394))</f>
        <v>0</v>
      </c>
      <c r="D37" s="668">
        <f>IF(D$4="forecast",AVERAGE(#REF!),SUMIF('Dept. Cost Actuals'!$E$7:$E$176,"*Printing and Reproduction*",'Dept. Cost Actuals'!H$1225:H$1394))</f>
        <v>0</v>
      </c>
      <c r="E37" s="668">
        <f>IF(E$4="forecast",AVERAGE(#REF!),SUMIF('Dept. Cost Actuals'!$E$7:$E$176,"*Printing and Reproduction*",'Dept. Cost Actuals'!I$1225:I$1394))</f>
        <v>0</v>
      </c>
      <c r="F37" s="668">
        <f>IF(F$4="forecast",AVERAGE(#REF!),SUMIF('Dept. Cost Actuals'!$E$7:$E$176,"*Printing and Reproduction*",'Dept. Cost Actuals'!J$1225:J$1394))</f>
        <v>896.30386541500411</v>
      </c>
      <c r="G37" s="668">
        <f>IF(G$4="forecast",AVERAGE(#REF!),SUMIF('Dept. Cost Actuals'!$E$7:$E$176,"*Printing and Reproduction*",'Dept. Cost Actuals'!K$1225:K$1394))</f>
        <v>61.276540406927296</v>
      </c>
      <c r="H37" s="668">
        <f>IF(H$4="forecast",AVERAGE(#REF!),SUMIF('Dept. Cost Actuals'!$E$7:$E$176,"*Printing and Reproduction*",'Dept. Cost Actuals'!L$1225:L$1394))</f>
        <v>0</v>
      </c>
      <c r="I37" s="668">
        <f>IF(I$4="forecast",AVERAGE(#REF!),SUMIF('Dept. Cost Actuals'!$E$7:$E$176,"*Printing and Reproduction*",'Dept. Cost Actuals'!M$1225:M$1394))</f>
        <v>0</v>
      </c>
      <c r="J37" s="668">
        <f>IF(J$4="forecast",AVERAGE(#REF!),SUMIF('Dept. Cost Actuals'!$E$7:$E$176,"*Printing and Reproduction*",'Dept. Cost Actuals'!N$1225:N$1394))</f>
        <v>0</v>
      </c>
      <c r="K37" s="668">
        <f>IF(K$4="forecast",AVERAGE(#REF!),SUMIF('Dept. Cost Actuals'!$E$7:$E$176,"*Printing and Reproduction*",'Dept. Cost Actuals'!O$1225:O$1394))</f>
        <v>62.963346239878305</v>
      </c>
      <c r="L37" s="668">
        <f>IF(L$4="forecast",AVERAGE(#REF!),SUMIF('Dept. Cost Actuals'!$E$7:$E$176,"*Printing and Reproduction*",'Dept. Cost Actuals'!P$1225:P$1394))</f>
        <v>2.7950447425901612</v>
      </c>
      <c r="M37" s="668">
        <f>IF(M$4="forecast",AVERAGE(A37:L37),SUMIF('Dept. Cost Actuals'!$E$7:$E$176,"*Printing and Reproduction*",'Dept. Cost Actuals'!Q$1225:Q$1394))</f>
        <v>101.6731151096712</v>
      </c>
      <c r="N37" s="668">
        <f>IF(N$4="forecast",AVERAGE(B37:M37),SUMIF('Dept. Cost Actuals'!$E$7:$E$176,"*Printing and Reproduction*",'Dept. Cost Actuals'!R$1225:R$1394))</f>
        <v>0</v>
      </c>
      <c r="O37" s="668">
        <f>IF(O$4="forecast",AVERAGE(C37:N37),SUMIF('Dept. Cost Actuals'!$E$7:$E$176,"*Printing and Reproduction*",'Dept. Cost Actuals'!S$1225:S$1394))</f>
        <v>0</v>
      </c>
      <c r="P37" s="668">
        <f>IF(P$4="forecast",AVERAGE(D37:O37),SUMIF('Dept. Cost Actuals'!$E$7:$E$176,"*Printing and Reproduction*",'Dept. Cost Actuals'!T$1225:T$1394))</f>
        <v>0</v>
      </c>
      <c r="Q37" s="668">
        <f>IF(Q$4="forecast",AVERAGE(E37:P37),SUMIF('Dept. Cost Actuals'!$E$7:$E$176,"*Printing and Reproduction*",'Dept. Cost Actuals'!U$1225:U$1394))</f>
        <v>0</v>
      </c>
      <c r="R37" s="668">
        <f>IF(R$4="forecast",AVERAGE(F37:Q37),SUMIF('Dept. Cost Actuals'!$E$7:$E$176,"*Printing and Reproduction*",'Dept. Cost Actuals'!V$1225:V$1394))</f>
        <v>0</v>
      </c>
      <c r="S37" s="668">
        <f>IF(S$4="forecast",AVERAGE(G37:R37),SUMIF('Dept. Cost Actuals'!$E$7:$E$176,"*Printing and Reproduction*",'Dept. Cost Actuals'!W$1225:W$1394))</f>
        <v>0</v>
      </c>
      <c r="T37" s="668">
        <f>IF(T$4="forecast",AVERAGE(H37:S37),SUMIF('Dept. Cost Actuals'!$E$7:$E$176,"*Printing and Reproduction*",'Dept. Cost Actuals'!X$1225:X$1394))</f>
        <v>0</v>
      </c>
      <c r="U37" s="668">
        <f>IF(U$4="forecast",AVERAGE(I37:T37),SUMIF('Dept. Cost Actuals'!$E$7:$E$176,"*Printing and Reproduction*",'Dept. Cost Actuals'!Y$1225:Y$1394))</f>
        <v>0</v>
      </c>
      <c r="V37" s="668">
        <f>IF(V$4="forecast",AVERAGE(J37:U37),SUMIF('Dept. Cost Actuals'!$E$7:$E$176,"*Printing and Reproduction*",'Dept. Cost Actuals'!Z$1225:Z$1394))</f>
        <v>0</v>
      </c>
      <c r="W37" s="668">
        <f>IF(W$4="forecast",AVERAGE(K37:V37),SUMIF('Dept. Cost Actuals'!$E$7:$E$176,"*Printing and Reproduction*",'Dept. Cost Actuals'!AA$1225:AA$1394))</f>
        <v>0</v>
      </c>
      <c r="X37" s="668">
        <f>IF(X$4="forecast",AVERAGE(L37:W37),SUMIF('Dept. Cost Actuals'!$E$7:$E$176,"*Printing and Reproduction*",'Dept. Cost Actuals'!AB$1225:AB$1394))</f>
        <v>52.8</v>
      </c>
      <c r="Y37" s="668">
        <f>IF(Y$4="forecast",AVERAGE(M37:X37),SUMIF('Dept. Cost Actuals'!$E$7:$E$176,"*Printing and Reproduction*",'Dept. Cost Actuals'!AC$1225:AC$1394))</f>
        <v>0</v>
      </c>
      <c r="Z37" s="668">
        <f>IF(Z$4="forecast",AVERAGE(N37:Y37),SUMIF('Dept. Cost Actuals'!$E$7:$E$176,"*Printing and Reproduction*",'Dept. Cost Actuals'!AD$1225:AD$1394))</f>
        <v>542.79999999999995</v>
      </c>
      <c r="AA37" s="668">
        <f>IF(AA$4="forecast",AVERAGE(O37:Z37),SUMIF('Dept. Cost Actuals'!$E$7:$E$176,"*Printing and Reproduction*",'Dept. Cost Actuals'!AE$1225:AE$1394))</f>
        <v>3512.01</v>
      </c>
      <c r="AB37" s="668">
        <f>IF(AB$4="forecast",AVERAGE(P37:AA37),SUMIF('Dept. Cost Actuals'!$E$7:$E$176,"*Printing and Reproduction*",'Dept. Cost Actuals'!AF$1225:AF$1394))</f>
        <v>0</v>
      </c>
      <c r="AC37" s="668">
        <f>IF(AC$4="forecast",AVERAGE(Q37:AB37),SUMIF('Dept. Cost Actuals'!$E$7:$E$176,"*Printing and Reproduction*",'Dept. Cost Actuals'!AG$1225:AG$1394))</f>
        <v>519.75</v>
      </c>
      <c r="AD37" s="668">
        <f>IF(AD$4="forecast",AVERAGE(R37:AC37),SUMIF('Dept. Cost Actuals'!$E$7:$E$176,"*Printing and Reproduction*",'Dept. Cost Actuals'!AH$1225:AH$1394))</f>
        <v>385.6133333333334</v>
      </c>
      <c r="AE37" s="668">
        <f>IF(AE$4="forecast",AVERAGE(S37:AD37),SUMIF('Dept. Cost Actuals'!$E$7:$E$176,"*Printing and Reproduction*",'Dept. Cost Actuals'!AI$1225:AI$1394))</f>
        <v>417.74777777777786</v>
      </c>
      <c r="AF37" s="668">
        <f>IF(AF$4="forecast",AVERAGE(T37:AE37),SUMIF('Dept. Cost Actuals'!$E$7:$E$176,"*Printing and Reproduction*",'Dept. Cost Actuals'!AJ$1225:AJ$1394))</f>
        <v>452.56009259259264</v>
      </c>
      <c r="AG37" s="668">
        <f>IF(AG$4="forecast",AVERAGE(U37:AF37),SUMIF('Dept. Cost Actuals'!$E$7:$E$176,"*Printing and Reproduction*",'Dept. Cost Actuals'!AK$1225:AK$1394))</f>
        <v>490.27343364197537</v>
      </c>
      <c r="AH37" s="668">
        <f>IF(AH$4="forecast",AVERAGE(V37:AG37),SUMIF('Dept. Cost Actuals'!$E$7:$E$176,"*Printing and Reproduction*",'Dept. Cost Actuals'!AL$1225:AL$1394))</f>
        <v>531.12955311214</v>
      </c>
      <c r="AI37" s="668">
        <f>IF(AI$4="forecast",AVERAGE(W37:AH37),SUMIF('Dept. Cost Actuals'!$E$7:$E$176,"*Printing and Reproduction*",'Dept. Cost Actuals'!AM$1225:AM$1394))</f>
        <v>575.39034920481834</v>
      </c>
      <c r="AJ37" s="668">
        <f>IF(AJ$4="forecast",AVERAGE(X37:AI37),SUMIF('Dept. Cost Actuals'!$E$7:$E$176,"*Printing and Reproduction*",'Dept. Cost Actuals'!AN$1225:AN$1394))</f>
        <v>623.33954497188654</v>
      </c>
      <c r="AK37" s="668">
        <f>IF(AK$4="forecast",AVERAGE(Y37:AJ37),SUMIF('Dept. Cost Actuals'!$E$7:$E$176,"*Printing and Reproduction*",'Dept. Cost Actuals'!AO$1225:AO$1394))</f>
        <v>670.8845070528771</v>
      </c>
      <c r="AL37" s="668">
        <f>IF(AL$4="forecast",AVERAGE(Z37:AK37),SUMIF('Dept. Cost Actuals'!$E$7:$E$176,"*Printing and Reproduction*",'Dept. Cost Actuals'!AP$1225:AP$1394))</f>
        <v>726.79154930728362</v>
      </c>
      <c r="AM37" s="668">
        <f>IF(AM$4="forecast",AVERAGE(AA37:AL37),SUMIF('Dept. Cost Actuals'!$E$7:$E$176,"*Printing and Reproduction*",'Dept. Cost Actuals'!AQ$1225:AQ$1394))</f>
        <v>742.1241784162238</v>
      </c>
      <c r="AN37" s="668">
        <f>IF(AN$4="forecast",AVERAGE(AB37:AM37),SUMIF('Dept. Cost Actuals'!$E$7:$E$176,"*Printing and Reproduction*",'Dept. Cost Actuals'!AR$1225:AR$1394))</f>
        <v>511.30035995090907</v>
      </c>
      <c r="AO37" s="668">
        <f>IF(AO$4="forecast",AVERAGE(AC37:AN37),SUMIF('Dept. Cost Actuals'!$E$7:$E$176,"*Printing and Reproduction*",'Dept. Cost Actuals'!AS$1225:AS$1394))</f>
        <v>553.90872328015155</v>
      </c>
      <c r="AP37" s="668">
        <f>IF(AP$4="forecast",AVERAGE(AD37:AO37),SUMIF('Dept. Cost Actuals'!$E$7:$E$176,"*Printing and Reproduction*",'Dept. Cost Actuals'!AT$1225:AT$1394))</f>
        <v>556.75528355349741</v>
      </c>
      <c r="AQ37" s="668">
        <f>IF(AQ$4="forecast",AVERAGE(AE37:AP37),SUMIF('Dept. Cost Actuals'!$E$7:$E$176,"*Printing and Reproduction*",'Dept. Cost Actuals'!AU$1225:AU$1394))</f>
        <v>571.01711273851106</v>
      </c>
      <c r="AR37" s="668">
        <f>IF(AR$4="forecast",AVERAGE(AF37:AQ37),SUMIF('Dept. Cost Actuals'!$E$7:$E$176,"*Printing and Reproduction*",'Dept. Cost Actuals'!AV$1225:AV$1394))</f>
        <v>583.78955731857218</v>
      </c>
      <c r="AS37" s="668">
        <f>IF(AS$4="forecast",AVERAGE(AG37:AR37),SUMIF('Dept. Cost Actuals'!$E$7:$E$176,"*Printing and Reproduction*",'Dept. Cost Actuals'!AW$1225:AW$1394))</f>
        <v>594.72534604573718</v>
      </c>
      <c r="AT37" s="668">
        <f>IF(AT$4="forecast",AVERAGE(AH37:AS37),SUMIF('Dept. Cost Actuals'!$E$7:$E$176,"*Printing and Reproduction*",'Dept. Cost Actuals'!AX$1225:AX$1394))</f>
        <v>603.42967207938398</v>
      </c>
      <c r="AU37" s="668">
        <f>IF(AU$4="forecast",AVERAGE(AI37:AT37),SUMIF('Dept. Cost Actuals'!$E$7:$E$176,"*Printing and Reproduction*",'Dept. Cost Actuals'!AY$1225:AY$1394))</f>
        <v>609.45468199332083</v>
      </c>
      <c r="AV37" s="668">
        <f>IF(AV$4="forecast",AVERAGE(AJ37:AU37),SUMIF('Dept. Cost Actuals'!$E$7:$E$176,"*Printing and Reproduction*",'Dept. Cost Actuals'!AZ$1225:AZ$1394))</f>
        <v>612.29337639236292</v>
      </c>
      <c r="AW37" s="668">
        <f>IF(AW$4="forecast",AVERAGE(AK37:AV37),SUMIF('Dept. Cost Actuals'!$E$7:$E$176,"*Printing and Reproduction*",'Dept. Cost Actuals'!BA$1225:BA$1394))</f>
        <v>611.37286234406918</v>
      </c>
      <c r="AX37" s="668">
        <f>IF(AX$4="forecast",AVERAGE(AL37:AW37),SUMIF('Dept. Cost Actuals'!$E$7:$E$176,"*Printing and Reproduction*",'Dept. Cost Actuals'!BB$1225:BB$1394))</f>
        <v>606.41355861833529</v>
      </c>
      <c r="AY37" s="668">
        <f>IF(AY$4="forecast",AVERAGE(AM37:AX37),SUMIF('Dept. Cost Actuals'!$E$7:$E$176,"*Printing and Reproduction*",'Dept. Cost Actuals'!BC$1225:BC$1394))</f>
        <v>596.3820593942562</v>
      </c>
      <c r="AZ37" s="668">
        <f>IF(AZ$4="forecast",AVERAGE(AN37:AY37),SUMIF('Dept. Cost Actuals'!$E$7:$E$176,"*Printing and Reproduction*",'Dept. Cost Actuals'!BD$1225:BD$1394))</f>
        <v>584.23688280909232</v>
      </c>
      <c r="BA37" s="668">
        <f>IF(BA$4="forecast",AVERAGE(AO37:AZ37),SUMIF('Dept. Cost Actuals'!$E$7:$E$176,"*Printing and Reproduction*",'Dept. Cost Actuals'!BE$1225:BE$1394))</f>
        <v>590.31492638060752</v>
      </c>
      <c r="BB37" s="668">
        <f>IF(BB$4="forecast",AVERAGE(AP37:BA37),SUMIF('Dept. Cost Actuals'!$E$7:$E$176,"*Printing and Reproduction*",'Dept. Cost Actuals'!BF$1225:BF$1394))</f>
        <v>593.34877663897885</v>
      </c>
      <c r="BC37" s="668">
        <f>IF(BC$4="forecast",AVERAGE(AQ37:BB37),SUMIF('Dept. Cost Actuals'!$E$7:$E$176,"*Printing and Reproduction*",'Dept. Cost Actuals'!BG$1225:BG$1394))</f>
        <v>596.39823439610234</v>
      </c>
      <c r="BD37" s="668">
        <f>IF(BD$4="forecast",AVERAGE(AR37:BC37),SUMIF('Dept. Cost Actuals'!$E$7:$E$176,"*Printing and Reproduction*",'Dept. Cost Actuals'!BH$1225:BH$1394))</f>
        <v>598.51332786756825</v>
      </c>
      <c r="BE37" s="668">
        <f>IF(BE$4="forecast",AVERAGE(AS37:BD37),SUMIF('Dept. Cost Actuals'!$E$7:$E$176,"*Printing and Reproduction*",'Dept. Cost Actuals'!BI$1225:BI$1394))</f>
        <v>599.74030874665129</v>
      </c>
      <c r="BF37" s="668">
        <f>IF(BF$4="forecast",AVERAGE(AT37:BE37),SUMIF('Dept. Cost Actuals'!$E$7:$E$176,"*Printing and Reproduction*",'Dept. Cost Actuals'!BJ$1225:BJ$1394))</f>
        <v>600.15822230506069</v>
      </c>
      <c r="BG37" s="668">
        <f>IF(BG$4="forecast",AVERAGE(AU37:BF37),SUMIF('Dept. Cost Actuals'!$E$7:$E$176,"*Printing and Reproduction*",'Dept. Cost Actuals'!BK$1225:BK$1394))</f>
        <v>599.88560149053376</v>
      </c>
      <c r="BH37" s="668">
        <f>IF(BH$4="forecast",AVERAGE(AV37:BG37),SUMIF('Dept. Cost Actuals'!$E$7:$E$176,"*Printing and Reproduction*",'Dept. Cost Actuals'!BL$1225:BL$1394))</f>
        <v>599.0881781153015</v>
      </c>
      <c r="BI37" s="668">
        <f>IF(BI$4="forecast",AVERAGE(AW37:BH37),SUMIF('Dept. Cost Actuals'!$E$7:$E$176,"*Printing and Reproduction*",'Dept. Cost Actuals'!BM$1225:BM$1394))</f>
        <v>597.98774492554651</v>
      </c>
      <c r="BJ37" s="668">
        <f>IF(BJ$4="forecast",AVERAGE(AX37:BI37),SUMIF('Dept. Cost Actuals'!$E$7:$E$176,"*Printing and Reproduction*",'Dept. Cost Actuals'!BN$1225:BN$1394))</f>
        <v>596.8723184740029</v>
      </c>
      <c r="BK37" s="668">
        <f>IF(BK$4="forecast",AVERAGE(AY37:BJ37),SUMIF('Dept. Cost Actuals'!$E$7:$E$176,"*Printing and Reproduction*",'Dept. Cost Actuals'!BO$1225:BO$1394))</f>
        <v>596.0772151286418</v>
      </c>
      <c r="BL37" s="668">
        <f>IF(BL$4="forecast",AVERAGE(AZ37:BK37),SUMIF('Dept. Cost Actuals'!$E$7:$E$176,"*Printing and Reproduction*",'Dept. Cost Actuals'!BP$1225:BP$1394))</f>
        <v>596.05181143984066</v>
      </c>
      <c r="BM37" s="668">
        <f>IF(BM$4="forecast",AVERAGE(BA37:BL37),SUMIF('Dept. Cost Actuals'!$E$7:$E$176,"*Printing and Reproduction*",'Dept. Cost Actuals'!BQ$1225:BQ$1394))</f>
        <v>597.03638882573637</v>
      </c>
      <c r="BN37" s="668">
        <f>IF(BN$4="forecast",AVERAGE(BB37:BM37),SUMIF('Dept. Cost Actuals'!$E$7:$E$176,"*Printing and Reproduction*",'Dept. Cost Actuals'!BR$1225:BR$1394))</f>
        <v>597.59651069616382</v>
      </c>
      <c r="BO37" s="668">
        <f>IF(BO$4="forecast",AVERAGE(BC37:BN37),SUMIF('Dept. Cost Actuals'!$E$7:$E$176,"*Printing and Reproduction*",'Dept. Cost Actuals'!BS$1225:BS$1394))</f>
        <v>597.95048853426249</v>
      </c>
      <c r="BP37" s="668">
        <f>IF(BP$4="forecast",AVERAGE(BD37:BO37),SUMIF('Dept. Cost Actuals'!$E$7:$E$176,"*Printing and Reproduction*",'Dept. Cost Actuals'!BT$1225:BT$1394))</f>
        <v>598.07984304577587</v>
      </c>
      <c r="BQ37" s="668">
        <f>IF(BQ$4="forecast",AVERAGE(BE37:BP37),SUMIF('Dept. Cost Actuals'!$E$7:$E$176,"*Printing and Reproduction*",'Dept. Cost Actuals'!BU$1225:BU$1394))</f>
        <v>598.04371931062644</v>
      </c>
      <c r="BR37" s="668">
        <f>IF(BR$4="forecast",AVERAGE(BF37:BQ37),SUMIF('Dept. Cost Actuals'!$E$7:$E$176,"*Printing and Reproduction*",'Dept. Cost Actuals'!BV$1225:BV$1394))</f>
        <v>597.90233685762439</v>
      </c>
      <c r="BS37" s="668">
        <f>IF(BS$4="forecast",AVERAGE(BG37:BR37),SUMIF('Dept. Cost Actuals'!$E$7:$E$176,"*Printing and Reproduction*",'Dept. Cost Actuals'!BW$1225:BW$1394))</f>
        <v>597.71434640367136</v>
      </c>
      <c r="BT37" s="668">
        <f>IF(BT$4="forecast",AVERAGE(BH37:BS37),SUMIF('Dept. Cost Actuals'!$E$7:$E$176,"*Printing and Reproduction*",'Dept. Cost Actuals'!BX$1225:BX$1394))</f>
        <v>597.53340847976619</v>
      </c>
      <c r="BU37" s="668">
        <f>IF(BU$4="forecast",AVERAGE(BI37:BT37),SUMIF('Dept. Cost Actuals'!$E$7:$E$176,"*Printing and Reproduction*",'Dept. Cost Actuals'!BY$1225:BY$1394))</f>
        <v>597.40384434347163</v>
      </c>
      <c r="BV37" s="668">
        <f>IF(BV$4="forecast",AVERAGE(BJ37:BU37),SUMIF('Dept. Cost Actuals'!$E$7:$E$176,"*Printing and Reproduction*",'Dept. Cost Actuals'!BZ$1225:BZ$1394))</f>
        <v>597.35518596163206</v>
      </c>
    </row>
    <row r="38" spans="1:74" x14ac:dyDescent="0.25">
      <c r="B38" s="794" t="s">
        <v>921</v>
      </c>
      <c r="C38" s="668">
        <f>IF(C$4="forecast",AVERAGE(#REF!),SUMIF('Dept. Cost Actuals'!$E$7:$E$176,"*Office Supplies*",'Dept. Cost Actuals'!G$1225:G$1394))</f>
        <v>472.89411899999999</v>
      </c>
      <c r="D38" s="668">
        <f>IF(D$4="forecast",AVERAGE(#REF!),SUMIF('Dept. Cost Actuals'!$E$7:$E$176,"*Office Supplies*",'Dept. Cost Actuals'!H$1225:H$1394))</f>
        <v>1016.2778128017463</v>
      </c>
      <c r="E38" s="668">
        <f>IF(E$4="forecast",AVERAGE(#REF!),SUMIF('Dept. Cost Actuals'!$E$7:$E$176,"*Office Supplies*",'Dept. Cost Actuals'!I$1225:I$1394))</f>
        <v>1364.5883917442952</v>
      </c>
      <c r="F38" s="668">
        <f>IF(F$4="forecast",AVERAGE(#REF!),SUMIF('Dept. Cost Actuals'!$E$7:$E$176,"*Office Supplies*",'Dept. Cost Actuals'!J$1225:J$1394))</f>
        <v>1624.5579566343224</v>
      </c>
      <c r="G38" s="668">
        <f>IF(G$4="forecast",AVERAGE(#REF!),SUMIF('Dept. Cost Actuals'!$E$7:$E$176,"*Office Supplies*",'Dept. Cost Actuals'!K$1225:K$1394))</f>
        <v>561.02247207399012</v>
      </c>
      <c r="H38" s="668">
        <f>IF(H$4="forecast",AVERAGE(#REF!),SUMIF('Dept. Cost Actuals'!$E$7:$E$176,"*Office Supplies*",'Dept. Cost Actuals'!L$1225:L$1394))</f>
        <v>1408.9356351254585</v>
      </c>
      <c r="I38" s="668">
        <f>IF(I$4="forecast",AVERAGE(#REF!),SUMIF('Dept. Cost Actuals'!$E$7:$E$176,"*Office Supplies*",'Dept. Cost Actuals'!M$1225:M$1394))</f>
        <v>2987.7081455673047</v>
      </c>
      <c r="J38" s="668">
        <f>IF(J$4="forecast",AVERAGE(#REF!),SUMIF('Dept. Cost Actuals'!$E$7:$E$176,"*Office Supplies*",'Dept. Cost Actuals'!N$1225:N$1394))</f>
        <v>1238.2998148933191</v>
      </c>
      <c r="K38" s="668">
        <f>IF(K$4="forecast",AVERAGE(#REF!),SUMIF('Dept. Cost Actuals'!$E$7:$E$176,"*Office Supplies*",'Dept. Cost Actuals'!O$1225:O$1394))</f>
        <v>888.65460451308934</v>
      </c>
      <c r="L38" s="668">
        <f>IF(L$4="forecast",AVERAGE(#REF!),SUMIF('Dept. Cost Actuals'!$E$7:$E$176,"*Office Supplies*",'Dept. Cost Actuals'!P$1225:P$1394))</f>
        <v>2550.8013558988578</v>
      </c>
      <c r="M38" s="668">
        <f>IF(M$4="forecast",AVERAGE(A38:L38),SUMIF('Dept. Cost Actuals'!$E$7:$E$176,"*Office Supplies*",'Dept. Cost Actuals'!Q$1225:Q$1394))</f>
        <v>914.53098402370142</v>
      </c>
      <c r="N38" s="668">
        <f>IF(N$4="forecast",AVERAGE(B38:M38),SUMIF('Dept. Cost Actuals'!$E$7:$E$176,"*Office Supplies*",'Dept. Cost Actuals'!R$1225:R$1394))</f>
        <v>390.24740772588262</v>
      </c>
      <c r="O38" s="668">
        <f>IF(O$4="forecast",AVERAGE(C38:N38),SUMIF('Dept. Cost Actuals'!$E$7:$E$176,"*Office Supplies*",'Dept. Cost Actuals'!S$1225:S$1394))</f>
        <v>5403.93</v>
      </c>
      <c r="P38" s="668">
        <f>IF(P$4="forecast",AVERAGE(D38:O38),SUMIF('Dept. Cost Actuals'!$E$7:$E$176,"*Office Supplies*",'Dept. Cost Actuals'!T$1225:T$1394))</f>
        <v>3073.97</v>
      </c>
      <c r="Q38" s="668">
        <f>IF(Q$4="forecast",AVERAGE(E38:P38),SUMIF('Dept. Cost Actuals'!$E$7:$E$176,"*Office Supplies*",'Dept. Cost Actuals'!U$1225:U$1394))</f>
        <v>3613.55</v>
      </c>
      <c r="R38" s="668">
        <f>IF(R$4="forecast",AVERAGE(F38:Q38),SUMIF('Dept. Cost Actuals'!$E$7:$E$176,"*Office Supplies*",'Dept. Cost Actuals'!V$1225:V$1394))</f>
        <v>4962.79</v>
      </c>
      <c r="S38" s="668">
        <f>IF(S$4="forecast",AVERAGE(G38:R38),SUMIF('Dept. Cost Actuals'!$E$7:$E$176,"*Office Supplies*",'Dept. Cost Actuals'!W$1225:W$1394))</f>
        <v>4688.28</v>
      </c>
      <c r="T38" s="668">
        <f>IF(T$4="forecast",AVERAGE(H38:S38),SUMIF('Dept. Cost Actuals'!$E$7:$E$176,"*Office Supplies*",'Dept. Cost Actuals'!X$1225:X$1394))</f>
        <v>6223.74</v>
      </c>
      <c r="U38" s="668">
        <f>IF(U$4="forecast",AVERAGE(I38:T38),SUMIF('Dept. Cost Actuals'!$E$7:$E$176,"*Office Supplies*",'Dept. Cost Actuals'!Y$1225:Y$1394))</f>
        <v>3188.09</v>
      </c>
      <c r="V38" s="668">
        <f>IF(V$4="forecast",AVERAGE(J38:U38),SUMIF('Dept. Cost Actuals'!$E$7:$E$176,"*Office Supplies*",'Dept. Cost Actuals'!Z$1225:Z$1394))</f>
        <v>5365.85</v>
      </c>
      <c r="W38" s="668">
        <f>IF(W$4="forecast",AVERAGE(K38:V38),SUMIF('Dept. Cost Actuals'!$E$7:$E$176,"*Office Supplies*",'Dept. Cost Actuals'!AA$1225:AA$1394))</f>
        <v>3488.67</v>
      </c>
      <c r="X38" s="668">
        <f>IF(X$4="forecast",AVERAGE(L38:W38),SUMIF('Dept. Cost Actuals'!$E$7:$E$176,"*Office Supplies*",'Dept. Cost Actuals'!AB$1225:AB$1394))</f>
        <v>3738.09</v>
      </c>
      <c r="Y38" s="668">
        <f>IF(Y$4="forecast",AVERAGE(M38:X38),SUMIF('Dept. Cost Actuals'!$E$7:$E$176,"*Office Supplies*",'Dept. Cost Actuals'!AC$1225:AC$1394))</f>
        <v>5107.43</v>
      </c>
      <c r="Z38" s="668">
        <f>IF(Z$4="forecast",AVERAGE(N38:Y38),SUMIF('Dept. Cost Actuals'!$E$7:$E$176,"*Office Supplies*",'Dept. Cost Actuals'!AD$1225:AD$1394))</f>
        <v>2940.1</v>
      </c>
      <c r="AA38" s="668">
        <f>IF(AA$4="forecast",AVERAGE(O38:Z38),SUMIF('Dept. Cost Actuals'!$E$7:$E$176,"*Office Supplies*",'Dept. Cost Actuals'!AE$1225:AE$1394))</f>
        <v>5315.16</v>
      </c>
      <c r="AB38" s="668">
        <f>IF(AB$4="forecast",AVERAGE(P38:AA38),SUMIF('Dept. Cost Actuals'!$E$7:$E$176,"*Office Supplies*",'Dept. Cost Actuals'!AF$1225:AF$1394))</f>
        <v>3757.13</v>
      </c>
      <c r="AC38" s="668">
        <f>IF(AC$4="forecast",AVERAGE(Q38:AB38),SUMIF('Dept. Cost Actuals'!$E$7:$E$176,"*Office Supplies*",'Dept. Cost Actuals'!AG$1225:AG$1394))</f>
        <v>2837.02</v>
      </c>
      <c r="AD38" s="668">
        <f>IF(AD$4="forecast",AVERAGE(R38:AC38),SUMIF('Dept. Cost Actuals'!$E$7:$E$176,"*Office Supplies*",'Dept. Cost Actuals'!AH$1225:AH$1394))</f>
        <v>4301.0291666666662</v>
      </c>
      <c r="AE38" s="668">
        <f>IF(AE$4="forecast",AVERAGE(S38:AD38),SUMIF('Dept. Cost Actuals'!$E$7:$E$176,"*Office Supplies*",'Dept. Cost Actuals'!AI$1225:AI$1394))</f>
        <v>4245.8824305555554</v>
      </c>
      <c r="AF38" s="668">
        <f>IF(AF$4="forecast",AVERAGE(T38:AE38),SUMIF('Dept. Cost Actuals'!$E$7:$E$176,"*Office Supplies*",'Dept. Cost Actuals'!AJ$1225:AJ$1394))</f>
        <v>4209.0159664351841</v>
      </c>
      <c r="AG38" s="668">
        <f>IF(AG$4="forecast",AVERAGE(U38:AF38),SUMIF('Dept. Cost Actuals'!$E$7:$E$176,"*Office Supplies*",'Dept. Cost Actuals'!AK$1225:AK$1394))</f>
        <v>4041.1222969714495</v>
      </c>
      <c r="AH38" s="668">
        <f>IF(AH$4="forecast",AVERAGE(V38:AG38),SUMIF('Dept. Cost Actuals'!$E$7:$E$176,"*Office Supplies*",'Dept. Cost Actuals'!AL$1225:AL$1394))</f>
        <v>4112.2083217190711</v>
      </c>
      <c r="AI38" s="668">
        <f>IF(AI$4="forecast",AVERAGE(W38:AH38),SUMIF('Dept. Cost Actuals'!$E$7:$E$176,"*Office Supplies*",'Dept. Cost Actuals'!AM$1225:AM$1394))</f>
        <v>4007.7381818623276</v>
      </c>
      <c r="AJ38" s="668">
        <f>IF(AJ$4="forecast",AVERAGE(X38:AI38),SUMIF('Dept. Cost Actuals'!$E$7:$E$176,"*Office Supplies*",'Dept. Cost Actuals'!AN$1225:AN$1394))</f>
        <v>4050.9938636841875</v>
      </c>
      <c r="AK38" s="668">
        <f>IF(AK$4="forecast",AVERAGE(Y38:AJ38),SUMIF('Dept. Cost Actuals'!$E$7:$E$176,"*Office Supplies*",'Dept. Cost Actuals'!AO$1225:AO$1394))</f>
        <v>4077.0691856578705</v>
      </c>
      <c r="AL38" s="668">
        <f>IF(AL$4="forecast",AVERAGE(Z38:AK38),SUMIF('Dept. Cost Actuals'!$E$7:$E$176,"*Office Supplies*",'Dept. Cost Actuals'!AP$1225:AP$1394))</f>
        <v>3991.2057844626929</v>
      </c>
      <c r="AM38" s="668">
        <f>IF(AM$4="forecast",AVERAGE(AA38:AL38),SUMIF('Dept. Cost Actuals'!$E$7:$E$176,"*Office Supplies*",'Dept. Cost Actuals'!AQ$1225:AQ$1394))</f>
        <v>4078.7979331679176</v>
      </c>
      <c r="AN38" s="668">
        <f>IF(AN$4="forecast",AVERAGE(AB38:AM38),SUMIF('Dept. Cost Actuals'!$E$7:$E$176,"*Office Supplies*",'Dept. Cost Actuals'!AR$1225:AR$1394))</f>
        <v>3975.7677609319103</v>
      </c>
      <c r="AO38" s="668">
        <f>IF(AO$4="forecast",AVERAGE(AC38:AN38),SUMIF('Dept. Cost Actuals'!$E$7:$E$176,"*Office Supplies*",'Dept. Cost Actuals'!AS$1225:AS$1394))</f>
        <v>3993.9875743429025</v>
      </c>
      <c r="AP38" s="668">
        <f>IF(AP$4="forecast",AVERAGE(AD38:AO38),SUMIF('Dept. Cost Actuals'!$E$7:$E$176,"*Office Supplies*",'Dept. Cost Actuals'!AT$1225:AT$1394))</f>
        <v>4090.4015388714774</v>
      </c>
      <c r="AQ38" s="668">
        <f>IF(AQ$4="forecast",AVERAGE(AE38:AP38),SUMIF('Dept. Cost Actuals'!$E$7:$E$176,"*Office Supplies*",'Dept. Cost Actuals'!AU$1225:AU$1394))</f>
        <v>4072.849236555212</v>
      </c>
      <c r="AR38" s="668">
        <f>IF(AR$4="forecast",AVERAGE(AF38:AQ38),SUMIF('Dept. Cost Actuals'!$E$7:$E$176,"*Office Supplies*",'Dept. Cost Actuals'!AV$1225:AV$1394))</f>
        <v>4058.4298037218505</v>
      </c>
      <c r="AS38" s="668">
        <f>IF(AS$4="forecast",AVERAGE(AG38:AR38),SUMIF('Dept. Cost Actuals'!$E$7:$E$176,"*Office Supplies*",'Dept. Cost Actuals'!AW$1225:AW$1394))</f>
        <v>4045.8809568290721</v>
      </c>
      <c r="AT38" s="668">
        <f>IF(AT$4="forecast",AVERAGE(AH38:AS38),SUMIF('Dept. Cost Actuals'!$E$7:$E$176,"*Office Supplies*",'Dept. Cost Actuals'!AX$1225:AX$1394))</f>
        <v>4046.2775118172081</v>
      </c>
      <c r="AU38" s="668">
        <f>IF(AU$4="forecast",AVERAGE(AI38:AT38),SUMIF('Dept. Cost Actuals'!$E$7:$E$176,"*Office Supplies*",'Dept. Cost Actuals'!AY$1225:AY$1394))</f>
        <v>4040.7832776587197</v>
      </c>
      <c r="AV38" s="668">
        <f>IF(AV$4="forecast",AVERAGE(AJ38:AU38),SUMIF('Dept. Cost Actuals'!$E$7:$E$176,"*Office Supplies*",'Dept. Cost Actuals'!AZ$1225:AZ$1394))</f>
        <v>4043.5370356417516</v>
      </c>
      <c r="AW38" s="668">
        <f>IF(AW$4="forecast",AVERAGE(AK38:AV38),SUMIF('Dept. Cost Actuals'!$E$7:$E$176,"*Office Supplies*",'Dept. Cost Actuals'!BA$1225:BA$1394))</f>
        <v>4042.9156333048813</v>
      </c>
      <c r="AX38" s="668">
        <f>IF(AX$4="forecast",AVERAGE(AL38:AW38),SUMIF('Dept. Cost Actuals'!$E$7:$E$176,"*Office Supplies*",'Dept. Cost Actuals'!BB$1225:BB$1394))</f>
        <v>4040.069503942133</v>
      </c>
      <c r="AY38" s="668">
        <f>IF(AY$4="forecast",AVERAGE(AM38:AX38),SUMIF('Dept. Cost Actuals'!$E$7:$E$176,"*Office Supplies*",'Dept. Cost Actuals'!BC$1225:BC$1394))</f>
        <v>4044.141480565419</v>
      </c>
      <c r="AZ38" s="668">
        <f>IF(AZ$4="forecast",AVERAGE(AN38:AY38),SUMIF('Dept. Cost Actuals'!$E$7:$E$176,"*Office Supplies*",'Dept. Cost Actuals'!BD$1225:BD$1394))</f>
        <v>4041.2534428485451</v>
      </c>
      <c r="BA38" s="668">
        <f>IF(BA$4="forecast",AVERAGE(AO38:AZ38),SUMIF('Dept. Cost Actuals'!$E$7:$E$176,"*Office Supplies*",'Dept. Cost Actuals'!BE$1225:BE$1394))</f>
        <v>4046.7105830082642</v>
      </c>
      <c r="BB38" s="668">
        <f>IF(BB$4="forecast",AVERAGE(AP38:BA38),SUMIF('Dept. Cost Actuals'!$E$7:$E$176,"*Office Supplies*",'Dept. Cost Actuals'!BF$1225:BF$1394))</f>
        <v>4051.1041670637114</v>
      </c>
      <c r="BC38" s="668">
        <f>IF(BC$4="forecast",AVERAGE(AQ38:BB38),SUMIF('Dept. Cost Actuals'!$E$7:$E$176,"*Office Supplies*",'Dept. Cost Actuals'!BG$1225:BG$1394))</f>
        <v>4047.8293860797312</v>
      </c>
      <c r="BD38" s="668">
        <f>IF(BD$4="forecast",AVERAGE(AR38:BC38),SUMIF('Dept. Cost Actuals'!$E$7:$E$176,"*Office Supplies*",'Dept. Cost Actuals'!BH$1225:BH$1394))</f>
        <v>4045.7443985401078</v>
      </c>
      <c r="BE38" s="668">
        <f>IF(BE$4="forecast",AVERAGE(AS38:BD38),SUMIF('Dept. Cost Actuals'!$E$7:$E$176,"*Office Supplies*",'Dept. Cost Actuals'!BI$1225:BI$1394))</f>
        <v>4044.6872814416288</v>
      </c>
      <c r="BF38" s="668">
        <f>IF(BF$4="forecast",AVERAGE(AT38:BE38),SUMIF('Dept. Cost Actuals'!$E$7:$E$176,"*Office Supplies*",'Dept. Cost Actuals'!BJ$1225:BJ$1394))</f>
        <v>4044.5878084926749</v>
      </c>
      <c r="BG38" s="668">
        <f>IF(BG$4="forecast",AVERAGE(AU38:BF38),SUMIF('Dept. Cost Actuals'!$E$7:$E$176,"*Office Supplies*",'Dept. Cost Actuals'!BK$1225:BK$1394))</f>
        <v>4044.4469998822974</v>
      </c>
      <c r="BH38" s="668">
        <f>IF(BH$4="forecast",AVERAGE(AV38:BG38),SUMIF('Dept. Cost Actuals'!$E$7:$E$176,"*Office Supplies*",'Dept. Cost Actuals'!BL$1225:BL$1394))</f>
        <v>4044.7523100675953</v>
      </c>
      <c r="BI38" s="668">
        <f>IF(BI$4="forecast",AVERAGE(AW38:BH38),SUMIF('Dept. Cost Actuals'!$E$7:$E$176,"*Office Supplies*",'Dept. Cost Actuals'!BM$1225:BM$1394))</f>
        <v>4044.8535829364155</v>
      </c>
      <c r="BJ38" s="668">
        <f>IF(BJ$4="forecast",AVERAGE(AX38:BI38),SUMIF('Dept. Cost Actuals'!$E$7:$E$176,"*Office Supplies*",'Dept. Cost Actuals'!BN$1225:BN$1394))</f>
        <v>4045.0150787390435</v>
      </c>
      <c r="BK38" s="668">
        <f>IF(BK$4="forecast",AVERAGE(AY38:BJ38),SUMIF('Dept. Cost Actuals'!$E$7:$E$176,"*Office Supplies*",'Dept. Cost Actuals'!BO$1225:BO$1394))</f>
        <v>4045.4272099721202</v>
      </c>
      <c r="BL38" s="668">
        <f>IF(BL$4="forecast",AVERAGE(AZ38:BK38),SUMIF('Dept. Cost Actuals'!$E$7:$E$176,"*Office Supplies*",'Dept. Cost Actuals'!BP$1225:BP$1394))</f>
        <v>4045.5343540893441</v>
      </c>
      <c r="BM38" s="668">
        <f>IF(BM$4="forecast",AVERAGE(BA38:BL38),SUMIF('Dept. Cost Actuals'!$E$7:$E$176,"*Office Supplies*",'Dept. Cost Actuals'!BQ$1225:BQ$1394))</f>
        <v>4045.8910966927447</v>
      </c>
      <c r="BN38" s="668">
        <f>IF(BN$4="forecast",AVERAGE(BB38:BM38),SUMIF('Dept. Cost Actuals'!$E$7:$E$176,"*Office Supplies*",'Dept. Cost Actuals'!BR$1225:BR$1394))</f>
        <v>4045.8228061664508</v>
      </c>
      <c r="BO38" s="668">
        <f>IF(BO$4="forecast",AVERAGE(BC38:BN38),SUMIF('Dept. Cost Actuals'!$E$7:$E$176,"*Office Supplies*",'Dept. Cost Actuals'!BS$1225:BS$1394))</f>
        <v>4045.3826927583464</v>
      </c>
      <c r="BP38" s="668">
        <f>IF(BP$4="forecast",AVERAGE(BD38:BO38),SUMIF('Dept. Cost Actuals'!$E$7:$E$176,"*Office Supplies*",'Dept. Cost Actuals'!BT$1225:BT$1394))</f>
        <v>4045.1788016482301</v>
      </c>
      <c r="BQ38" s="668">
        <f>IF(BQ$4="forecast",AVERAGE(BE38:BP38),SUMIF('Dept. Cost Actuals'!$E$7:$E$176,"*Office Supplies*",'Dept. Cost Actuals'!BU$1225:BU$1394))</f>
        <v>4045.1316685739075</v>
      </c>
      <c r="BR38" s="668">
        <f>IF(BR$4="forecast",AVERAGE(BF38:BQ38),SUMIF('Dept. Cost Actuals'!$E$7:$E$176,"*Office Supplies*",'Dept. Cost Actuals'!BV$1225:BV$1394))</f>
        <v>4045.1687008349309</v>
      </c>
      <c r="BS38" s="668">
        <f>IF(BS$4="forecast",AVERAGE(BG38:BR38),SUMIF('Dept. Cost Actuals'!$E$7:$E$176,"*Office Supplies*",'Dept. Cost Actuals'!BW$1225:BW$1394))</f>
        <v>4045.2171085301193</v>
      </c>
      <c r="BT38" s="668">
        <f>IF(BT$4="forecast",AVERAGE(BH38:BS38),SUMIF('Dept. Cost Actuals'!$E$7:$E$176,"*Office Supplies*",'Dept. Cost Actuals'!BX$1225:BX$1394))</f>
        <v>4045.2812842507706</v>
      </c>
      <c r="BU38" s="668">
        <f>IF(BU$4="forecast",AVERAGE(BI38:BT38),SUMIF('Dept. Cost Actuals'!$E$7:$E$176,"*Office Supplies*",'Dept. Cost Actuals'!BY$1225:BY$1394))</f>
        <v>4045.3253654327018</v>
      </c>
      <c r="BV38" s="668">
        <f>IF(BV$4="forecast",AVERAGE(BJ38:BU38),SUMIF('Dept. Cost Actuals'!$E$7:$E$176,"*Office Supplies*",'Dept. Cost Actuals'!BZ$1225:BZ$1394))</f>
        <v>4045.3646806407255</v>
      </c>
    </row>
    <row r="39" spans="1:74" x14ac:dyDescent="0.25">
      <c r="B39" s="794" t="s">
        <v>922</v>
      </c>
      <c r="C39" s="668">
        <f>IF(C$4="forecast",AVERAGE(#REF!),SUMIF('Dept. Cost Actuals'!$E$7:$E$176,"*Development*",'Dept. Cost Actuals'!G$355:G$524))</f>
        <v>0</v>
      </c>
      <c r="D39" s="668">
        <f>IF(D$4="forecast",AVERAGE(#REF!),SUMIF('Dept. Cost Actuals'!$E$7:$E$176,"*Development*",'Dept. Cost Actuals'!H$355:H$524))</f>
        <v>45.376440658320917</v>
      </c>
      <c r="E39" s="668">
        <f>IF(E$4="forecast",AVERAGE(#REF!),SUMIF('Dept. Cost Actuals'!$E$7:$E$176,"*Development*",'Dept. Cost Actuals'!I$355:I$524))</f>
        <v>59.364835577093857</v>
      </c>
      <c r="F39" s="668">
        <f>IF(F$4="forecast",AVERAGE(#REF!),SUMIF('Dept. Cost Actuals'!$E$7:$E$176,"*Development*",'Dept. Cost Actuals'!J$355:J$524))</f>
        <v>50.301413282183894</v>
      </c>
      <c r="G39" s="668">
        <f>IF(G$4="forecast",AVERAGE(#REF!),SUMIF('Dept. Cost Actuals'!$E$7:$E$176,"*Development*",'Dept. Cost Actuals'!K$355:K$524))</f>
        <v>83.656320887310684</v>
      </c>
      <c r="H39" s="668">
        <f>IF(H$4="forecast",AVERAGE(#REF!),SUMIF('Dept. Cost Actuals'!$E$7:$E$176,"*Development*",'Dept. Cost Actuals'!L$355:L$524))</f>
        <v>0</v>
      </c>
      <c r="I39" s="668">
        <f>IF(I$4="forecast",AVERAGE(#REF!),SUMIF('Dept. Cost Actuals'!$E$7:$E$176,"*Development*",'Dept. Cost Actuals'!M$355:M$524))</f>
        <v>16.652783132326316</v>
      </c>
      <c r="J39" s="668">
        <f>IF(J$4="forecast",AVERAGE(#REF!),SUMIF('Dept. Cost Actuals'!$E$7:$E$176,"*Development*",'Dept. Cost Actuals'!N$355:N$524))</f>
        <v>0</v>
      </c>
      <c r="K39" s="668">
        <f>IF(K$4="forecast",AVERAGE(#REF!),SUMIF('Dept. Cost Actuals'!$E$7:$E$176,"*Development*",'Dept. Cost Actuals'!O$355:O$524))</f>
        <v>0</v>
      </c>
      <c r="L39" s="668">
        <f>IF(L$4="forecast",AVERAGE(#REF!),SUMIF('Dept. Cost Actuals'!$E$7:$E$176,"*Development*",'Dept. Cost Actuals'!P$355:P$524))</f>
        <v>4.9664615132242389</v>
      </c>
      <c r="M39" s="668">
        <f>IF(M$4="forecast",AVERAGE(A39:L39),SUMIF('Dept. Cost Actuals'!$E$7:$E$176,"*Development*",'Dept. Cost Actuals'!Q$355:Q$524))</f>
        <v>0</v>
      </c>
      <c r="N39" s="668">
        <f>IF(N$4="forecast",AVERAGE(B39:M39),SUMIF('Dept. Cost Actuals'!$E$7:$E$176,"*Development*",'Dept. Cost Actuals'!R$355:R$524))</f>
        <v>0</v>
      </c>
      <c r="O39" s="668">
        <f>IF(O$4="forecast",AVERAGE(C39:N39),SUMIF('Dept. Cost Actuals'!$E$7:$E$176,"*Development*",'Dept. Cost Actuals'!S$355:S$524))</f>
        <v>0</v>
      </c>
      <c r="P39" s="668">
        <f>IF(P$4="forecast",AVERAGE(D39:O39),SUMIF('Dept. Cost Actuals'!$E$7:$E$176,"*Development*",'Dept. Cost Actuals'!T$355:T$524))</f>
        <v>0</v>
      </c>
      <c r="Q39" s="668">
        <f>IF(Q$4="forecast",AVERAGE(E39:P39),SUMIF('Dept. Cost Actuals'!$E$7:$E$176,"*Development*",'Dept. Cost Actuals'!U$355:U$524))</f>
        <v>0</v>
      </c>
      <c r="R39" s="668">
        <f>IF(R$4="forecast",AVERAGE(F39:Q39),SUMIF('Dept. Cost Actuals'!$E$7:$E$176,"*Development*",'Dept. Cost Actuals'!V$355:V$524))</f>
        <v>0</v>
      </c>
      <c r="S39" s="668">
        <f>IF(S$4="forecast",AVERAGE(G39:R39),SUMIF('Dept. Cost Actuals'!$E$7:$E$176,"*Development*",'Dept. Cost Actuals'!W$355:W$524))</f>
        <v>0</v>
      </c>
      <c r="T39" s="668">
        <f>IF(T$4="forecast",AVERAGE(H39:S39),SUMIF('Dept. Cost Actuals'!$E$7:$E$176,"*Development*",'Dept. Cost Actuals'!X$355:X$524))</f>
        <v>17.95</v>
      </c>
      <c r="U39" s="668">
        <f>IF(U$4="forecast",AVERAGE(I39:T39),SUMIF('Dept. Cost Actuals'!$E$7:$E$176,"*Development*",'Dept. Cost Actuals'!Y$355:Y$524))</f>
        <v>71.849999999999994</v>
      </c>
      <c r="V39" s="668">
        <f>IF(V$4="forecast",AVERAGE(J39:U39),SUMIF('Dept. Cost Actuals'!$E$7:$E$176,"*Development*",'Dept. Cost Actuals'!Z$355:Z$524))</f>
        <v>0</v>
      </c>
      <c r="W39" s="668">
        <f>IF(W$4="forecast",AVERAGE(K39:V39),SUMIF('Dept. Cost Actuals'!$E$7:$E$176,"*Development*",'Dept. Cost Actuals'!AA$355:AA$524))</f>
        <v>0</v>
      </c>
      <c r="X39" s="668">
        <f>IF(X$4="forecast",AVERAGE(L39:W39),SUMIF('Dept. Cost Actuals'!$E$7:$E$176,"*Development*",'Dept. Cost Actuals'!AB$355:AB$524))</f>
        <v>0</v>
      </c>
      <c r="Y39" s="668">
        <f>IF(Y$4="forecast",AVERAGE(M39:X39),SUMIF('Dept. Cost Actuals'!$E$7:$E$176,"*Development*",'Dept. Cost Actuals'!AC$355:AC$524))</f>
        <v>0</v>
      </c>
      <c r="Z39" s="668">
        <f>IF(Z$4="forecast",AVERAGE(N39:Y39),SUMIF('Dept. Cost Actuals'!$E$7:$E$176,"*Development*",'Dept. Cost Actuals'!AD$355:AD$524))</f>
        <v>0</v>
      </c>
      <c r="AA39" s="668">
        <f>IF(AA$4="forecast",AVERAGE(O39:Z39),SUMIF('Dept. Cost Actuals'!$E$7:$E$176,"*Development*",'Dept. Cost Actuals'!AE$355:AE$524))</f>
        <v>0</v>
      </c>
      <c r="AB39" s="668">
        <f>IF(AB$4="forecast",AVERAGE(P39:AA39),SUMIF('Dept. Cost Actuals'!$E$7:$E$176,"*Development*",'Dept. Cost Actuals'!AF$355:AF$524))</f>
        <v>27.48</v>
      </c>
      <c r="AC39" s="668">
        <f>IF(AC$4="forecast",AVERAGE(Q39:AB39),SUMIF('Dept. Cost Actuals'!$E$7:$E$176,"*Development*",'Dept. Cost Actuals'!AG$355:AG$524))</f>
        <v>0</v>
      </c>
      <c r="AD39" s="668">
        <f>IF(AD$4="forecast",AVERAGE(R39:AC39),SUMIF('Dept. Cost Actuals'!$E$7:$E$176,"*Development*",'Dept. Cost Actuals'!AH$355:AH$524))</f>
        <v>9.7733333333333334</v>
      </c>
      <c r="AE39" s="668">
        <f>IF(AE$4="forecast",AVERAGE(S39:AD39),SUMIF('Dept. Cost Actuals'!$E$7:$E$176,"*Development*",'Dept. Cost Actuals'!AI$355:AI$524))</f>
        <v>10.587777777777779</v>
      </c>
      <c r="AF39" s="668">
        <f>IF(AF$4="forecast",AVERAGE(T39:AE39),SUMIF('Dept. Cost Actuals'!$E$7:$E$176,"*Development*",'Dept. Cost Actuals'!AJ$355:AJ$524))</f>
        <v>11.470092592592593</v>
      </c>
      <c r="AG39" s="668">
        <f>IF(AG$4="forecast",AVERAGE(U39:AF39),SUMIF('Dept. Cost Actuals'!$E$7:$E$176,"*Development*",'Dept. Cost Actuals'!AK$355:AK$524))</f>
        <v>10.930100308641974</v>
      </c>
      <c r="AH39" s="668">
        <f>IF(AH$4="forecast",AVERAGE(V39:AG39),SUMIF('Dept. Cost Actuals'!$E$7:$E$176,"*Development*",'Dept. Cost Actuals'!AL$355:AL$524))</f>
        <v>5.8534420010288066</v>
      </c>
      <c r="AI39" s="668">
        <f>IF(AI$4="forecast",AVERAGE(W39:AH39),SUMIF('Dept. Cost Actuals'!$E$7:$E$176,"*Development*",'Dept. Cost Actuals'!AM$355:AM$524))</f>
        <v>6.3412288344478744</v>
      </c>
      <c r="AJ39" s="668">
        <f>IF(AJ$4="forecast",AVERAGE(X39:AI39),SUMIF('Dept. Cost Actuals'!$E$7:$E$176,"*Development*",'Dept. Cost Actuals'!AN$355:AN$524))</f>
        <v>6.8696645706518638</v>
      </c>
      <c r="AK39" s="668">
        <f>IF(AK$4="forecast",AVERAGE(Y39:AJ39),SUMIF('Dept. Cost Actuals'!$E$7:$E$176,"*Development*",'Dept. Cost Actuals'!AO$355:AO$524))</f>
        <v>7.4421366182061854</v>
      </c>
      <c r="AL39" s="668">
        <f>IF(AL$4="forecast",AVERAGE(Z39:AK39),SUMIF('Dept. Cost Actuals'!$E$7:$E$176,"*Development*",'Dept. Cost Actuals'!AP$355:AP$524))</f>
        <v>8.062314669723369</v>
      </c>
      <c r="AM39" s="668">
        <f>IF(AM$4="forecast",AVERAGE(AA39:AL39),SUMIF('Dept. Cost Actuals'!$E$7:$E$176,"*Development*",'Dept. Cost Actuals'!AQ$355:AQ$524))</f>
        <v>8.7341742255336481</v>
      </c>
      <c r="AN39" s="668">
        <f>IF(AN$4="forecast",AVERAGE(AB39:AM39),SUMIF('Dept. Cost Actuals'!$E$7:$E$176,"*Development*",'Dept. Cost Actuals'!AR$355:AR$524))</f>
        <v>9.4620220776614534</v>
      </c>
      <c r="AO39" s="668">
        <f>IF(AO$4="forecast",AVERAGE(AC39:AN39),SUMIF('Dept. Cost Actuals'!$E$7:$E$176,"*Development*",'Dept. Cost Actuals'!AS$355:AS$524))</f>
        <v>7.9605239174665741</v>
      </c>
      <c r="AP39" s="668">
        <f>IF(AP$4="forecast",AVERAGE(AD39:AO39),SUMIF('Dept. Cost Actuals'!$E$7:$E$176,"*Development*",'Dept. Cost Actuals'!AT$355:AT$524))</f>
        <v>8.6239009105887892</v>
      </c>
      <c r="AQ39" s="668">
        <f>IF(AQ$4="forecast",AVERAGE(AE39:AP39),SUMIF('Dept. Cost Actuals'!$E$7:$E$176,"*Development*",'Dept. Cost Actuals'!AU$355:AU$524))</f>
        <v>8.5281148753600764</v>
      </c>
      <c r="AR39" s="668">
        <f>IF(AR$4="forecast",AVERAGE(AF39:AQ39),SUMIF('Dept. Cost Actuals'!$E$7:$E$176,"*Development*",'Dept. Cost Actuals'!AV$355:AV$524))</f>
        <v>8.3564763001586009</v>
      </c>
      <c r="AS39" s="668">
        <f>IF(AS$4="forecast",AVERAGE(AG39:AR39),SUMIF('Dept. Cost Actuals'!$E$7:$E$176,"*Development*",'Dept. Cost Actuals'!AW$355:AW$524))</f>
        <v>8.0970082757891024</v>
      </c>
      <c r="AT39" s="668">
        <f>IF(AT$4="forecast",AVERAGE(AH39:AS39),SUMIF('Dept. Cost Actuals'!$E$7:$E$176,"*Development*",'Dept. Cost Actuals'!AX$355:AX$524))</f>
        <v>7.8609172730513626</v>
      </c>
      <c r="AU39" s="668">
        <f>IF(AU$4="forecast",AVERAGE(AI39:AT39),SUMIF('Dept. Cost Actuals'!$E$7:$E$176,"*Development*",'Dept. Cost Actuals'!AY$355:AY$524))</f>
        <v>8.0282068790532417</v>
      </c>
      <c r="AV39" s="668">
        <f>IF(AV$4="forecast",AVERAGE(AJ39:AU39),SUMIF('Dept. Cost Actuals'!$E$7:$E$176,"*Development*",'Dept. Cost Actuals'!AZ$355:AZ$524))</f>
        <v>8.1687883827703569</v>
      </c>
      <c r="AW39" s="668">
        <f>IF(AW$4="forecast",AVERAGE(AK39:AV39),SUMIF('Dept. Cost Actuals'!$E$7:$E$176,"*Development*",'Dept. Cost Actuals'!BA$355:BA$524))</f>
        <v>8.2770487004468958</v>
      </c>
      <c r="AX39" s="668">
        <f>IF(AX$4="forecast",AVERAGE(AL39:AW39),SUMIF('Dept. Cost Actuals'!$E$7:$E$176,"*Development*",'Dept. Cost Actuals'!BB$355:BB$524))</f>
        <v>8.3466247073002897</v>
      </c>
      <c r="AY39" s="668">
        <f>IF(AY$4="forecast",AVERAGE(AM39:AX39),SUMIF('Dept. Cost Actuals'!$E$7:$E$176,"*Development*",'Dept. Cost Actuals'!BC$355:BC$524))</f>
        <v>8.3703172104316987</v>
      </c>
      <c r="AZ39" s="668">
        <f>IF(AZ$4="forecast",AVERAGE(AN39:AY39),SUMIF('Dept. Cost Actuals'!$E$7:$E$176,"*Development*",'Dept. Cost Actuals'!BD$355:BD$524))</f>
        <v>8.3399957925065369</v>
      </c>
      <c r="BA39" s="668">
        <f>IF(BA$4="forecast",AVERAGE(AO39:AZ39),SUMIF('Dept. Cost Actuals'!$E$7:$E$176,"*Development*",'Dept. Cost Actuals'!BE$355:BE$524))</f>
        <v>8.2464936020769617</v>
      </c>
      <c r="BB39" s="668">
        <f>IF(BB$4="forecast",AVERAGE(AP39:BA39),SUMIF('Dept. Cost Actuals'!$E$7:$E$176,"*Development*",'Dept. Cost Actuals'!BF$355:BF$524))</f>
        <v>8.2703244091278272</v>
      </c>
      <c r="BC39" s="668">
        <f>IF(BC$4="forecast",AVERAGE(AQ39:BB39),SUMIF('Dept. Cost Actuals'!$E$7:$E$176,"*Development*",'Dept. Cost Actuals'!BG$355:BG$524))</f>
        <v>8.2408597006727469</v>
      </c>
      <c r="BD39" s="668">
        <f>IF(BD$4="forecast",AVERAGE(AR39:BC39),SUMIF('Dept. Cost Actuals'!$E$7:$E$176,"*Development*",'Dept. Cost Actuals'!BH$355:BH$524))</f>
        <v>8.2169217694488026</v>
      </c>
      <c r="BE39" s="668">
        <f>IF(BE$4="forecast",AVERAGE(AS39:BD39),SUMIF('Dept. Cost Actuals'!$E$7:$E$176,"*Development*",'Dept. Cost Actuals'!BI$355:BI$524))</f>
        <v>8.2052922252229852</v>
      </c>
      <c r="BF39" s="668">
        <f>IF(BF$4="forecast",AVERAGE(AT39:BE39),SUMIF('Dept. Cost Actuals'!$E$7:$E$176,"*Development*",'Dept. Cost Actuals'!BJ$355:BJ$524))</f>
        <v>8.2143158876758093</v>
      </c>
      <c r="BG39" s="668">
        <f>IF(BG$4="forecast",AVERAGE(AU39:BF39),SUMIF('Dept. Cost Actuals'!$E$7:$E$176,"*Development*",'Dept. Cost Actuals'!BK$355:BK$524))</f>
        <v>8.2437657722278459</v>
      </c>
      <c r="BH39" s="668">
        <f>IF(BH$4="forecast",AVERAGE(AV39:BG39),SUMIF('Dept. Cost Actuals'!$E$7:$E$176,"*Development*",'Dept. Cost Actuals'!BL$355:BL$524))</f>
        <v>8.2617290133257288</v>
      </c>
      <c r="BI39" s="668">
        <f>IF(BI$4="forecast",AVERAGE(AW39:BH39),SUMIF('Dept. Cost Actuals'!$E$7:$E$176,"*Development*",'Dept. Cost Actuals'!BM$355:BM$524))</f>
        <v>8.2694740658720107</v>
      </c>
      <c r="BJ39" s="668">
        <f>IF(BJ$4="forecast",AVERAGE(AX39:BI39),SUMIF('Dept. Cost Actuals'!$E$7:$E$176,"*Development*",'Dept. Cost Actuals'!BN$355:BN$524))</f>
        <v>8.2688428463241035</v>
      </c>
      <c r="BK39" s="668">
        <f>IF(BK$4="forecast",AVERAGE(AY39:BJ39),SUMIF('Dept. Cost Actuals'!$E$7:$E$176,"*Development*",'Dept. Cost Actuals'!BO$355:BO$524))</f>
        <v>8.262361024576089</v>
      </c>
      <c r="BL39" s="668">
        <f>IF(BL$4="forecast",AVERAGE(AZ39:BK39),SUMIF('Dept. Cost Actuals'!$E$7:$E$176,"*Development*",'Dept. Cost Actuals'!BP$355:BP$524))</f>
        <v>8.2533646757547903</v>
      </c>
      <c r="BM39" s="668">
        <f>IF(BM$4="forecast",AVERAGE(BA39:BL39),SUMIF('Dept. Cost Actuals'!$E$7:$E$176,"*Development*",'Dept. Cost Actuals'!BQ$355:BQ$524))</f>
        <v>8.2461454160254757</v>
      </c>
      <c r="BN39" s="668">
        <f>IF(BN$4="forecast",AVERAGE(BB39:BM39),SUMIF('Dept. Cost Actuals'!$E$7:$E$176,"*Development*",'Dept. Cost Actuals'!BR$355:BR$524))</f>
        <v>8.2461164005211849</v>
      </c>
      <c r="BO39" s="668">
        <f>IF(BO$4="forecast",AVERAGE(BC39:BN39),SUMIF('Dept. Cost Actuals'!$E$7:$E$176,"*Development*",'Dept. Cost Actuals'!BS$355:BS$524))</f>
        <v>8.244099066470632</v>
      </c>
      <c r="BP39" s="668">
        <f>IF(BP$4="forecast",AVERAGE(BD39:BO39),SUMIF('Dept. Cost Actuals'!$E$7:$E$176,"*Development*",'Dept. Cost Actuals'!BT$355:BT$524))</f>
        <v>8.2443690136204548</v>
      </c>
      <c r="BQ39" s="668">
        <f>IF(BQ$4="forecast",AVERAGE(BE39:BP39),SUMIF('Dept. Cost Actuals'!$E$7:$E$176,"*Development*",'Dept. Cost Actuals'!BU$355:BU$524))</f>
        <v>8.2466562839680932</v>
      </c>
      <c r="BR39" s="668">
        <f>IF(BR$4="forecast",AVERAGE(BF39:BQ39),SUMIF('Dept. Cost Actuals'!$E$7:$E$176,"*Development*",'Dept. Cost Actuals'!BV$355:BV$524))</f>
        <v>8.2501032888635191</v>
      </c>
      <c r="BS39" s="668">
        <f>IF(BS$4="forecast",AVERAGE(BG39:BR39),SUMIF('Dept. Cost Actuals'!$E$7:$E$176,"*Development*",'Dept. Cost Actuals'!BW$355:BW$524))</f>
        <v>8.2530855722958272</v>
      </c>
      <c r="BT39" s="668">
        <f>IF(BT$4="forecast",AVERAGE(BH39:BS39),SUMIF('Dept. Cost Actuals'!$E$7:$E$176,"*Development*",'Dept. Cost Actuals'!BX$355:BX$524))</f>
        <v>8.2538622223014926</v>
      </c>
      <c r="BU39" s="668">
        <f>IF(BU$4="forecast",AVERAGE(BI39:BT39),SUMIF('Dept. Cost Actuals'!$E$7:$E$176,"*Development*",'Dept. Cost Actuals'!BY$355:BY$524))</f>
        <v>8.2532066563828064</v>
      </c>
      <c r="BV39" s="668">
        <f>IF(BV$4="forecast",AVERAGE(BJ39:BU39),SUMIF('Dept. Cost Actuals'!$E$7:$E$176,"*Development*",'Dept. Cost Actuals'!BZ$355:BZ$524))</f>
        <v>8.2518510389253716</v>
      </c>
    </row>
    <row r="40" spans="1:74" x14ac:dyDescent="0.25">
      <c r="B40" s="794" t="s">
        <v>944</v>
      </c>
      <c r="C40" s="668">
        <f>IF(C$4="forecast",AVERAGE(#REF!),SUMIF('Dept. Cost Actuals'!$E$7:$E$176,"*Dues and Subscriptions*",'Dept. Cost Actuals'!G$1225:G$1394))</f>
        <v>50.248593</v>
      </c>
      <c r="D40" s="668">
        <f>IF(D$4="forecast",AVERAGE(#REF!),SUMIF('Dept. Cost Actuals'!$E$7:$E$176,"*Dues and Subscriptions*",'Dept. Cost Actuals'!H$1225:H$1394))</f>
        <v>225.74205072134646</v>
      </c>
      <c r="E40" s="668">
        <f>IF(E$4="forecast",AVERAGE(#REF!),SUMIF('Dept. Cost Actuals'!$E$7:$E$176,"*Dues and Subscriptions*",'Dept. Cost Actuals'!I$1225:I$1394))</f>
        <v>29.566543798373246</v>
      </c>
      <c r="F40" s="668">
        <f>IF(F$4="forecast",AVERAGE(#REF!),SUMIF('Dept. Cost Actuals'!$E$7:$E$176,"*Dues and Subscriptions*",'Dept. Cost Actuals'!J$1225:J$1394))</f>
        <v>27.650187369803977</v>
      </c>
      <c r="G40" s="668">
        <f>IF(G$4="forecast",AVERAGE(#REF!),SUMIF('Dept. Cost Actuals'!$E$7:$E$176,"*Dues and Subscriptions*",'Dept. Cost Actuals'!K$1225:K$1394))</f>
        <v>932.935327695468</v>
      </c>
      <c r="H40" s="668">
        <f>IF(H$4="forecast",AVERAGE(#REF!),SUMIF('Dept. Cost Actuals'!$E$7:$E$176,"*Dues and Subscriptions*",'Dept. Cost Actuals'!L$1225:L$1394))</f>
        <v>0</v>
      </c>
      <c r="I40" s="668">
        <f>IF(I$4="forecast",AVERAGE(#REF!),SUMIF('Dept. Cost Actuals'!$E$7:$E$176,"*Dues and Subscriptions*",'Dept. Cost Actuals'!M$1225:M$1394))</f>
        <v>0</v>
      </c>
      <c r="J40" s="668">
        <f>IF(J$4="forecast",AVERAGE(#REF!),SUMIF('Dept. Cost Actuals'!$E$7:$E$176,"*Dues and Subscriptions*",'Dept. Cost Actuals'!N$1225:N$1394))</f>
        <v>50.026607125597991</v>
      </c>
      <c r="K40" s="668">
        <f>IF(K$4="forecast",AVERAGE(#REF!),SUMIF('Dept. Cost Actuals'!$E$7:$E$176,"*Dues and Subscriptions*",'Dept. Cost Actuals'!O$1225:O$1394))</f>
        <v>0</v>
      </c>
      <c r="L40" s="668">
        <f>IF(L$4="forecast",AVERAGE(#REF!),SUMIF('Dept. Cost Actuals'!$E$7:$E$176,"*Dues and Subscriptions*",'Dept. Cost Actuals'!P$1225:P$1394))</f>
        <v>582.06181416767049</v>
      </c>
      <c r="M40" s="668">
        <f>IF(M$4="forecast",AVERAGE(A40:L40),SUMIF('Dept. Cost Actuals'!$E$7:$E$176,"*Dues and Subscriptions*",'Dept. Cost Actuals'!Q$1225:Q$1394))</f>
        <v>0</v>
      </c>
      <c r="N40" s="668">
        <f>IF(N$4="forecast",AVERAGE(B40:M40),SUMIF('Dept. Cost Actuals'!$E$7:$E$176,"*Dues and Subscriptions*",'Dept. Cost Actuals'!R$1225:R$1394))</f>
        <v>0</v>
      </c>
      <c r="O40" s="668">
        <f>IF(O$4="forecast",AVERAGE(C40:N40),SUMIF('Dept. Cost Actuals'!$E$7:$E$176,"*Dues and Subscriptions*",'Dept. Cost Actuals'!S$1225:S$1394))</f>
        <v>115</v>
      </c>
      <c r="P40" s="668">
        <f>IF(P$4="forecast",AVERAGE(D40:O40),SUMIF('Dept. Cost Actuals'!$E$7:$E$176,"*Dues and Subscriptions*",'Dept. Cost Actuals'!T$1225:T$1394))</f>
        <v>425</v>
      </c>
      <c r="Q40" s="668">
        <f>IF(Q$4="forecast",AVERAGE(E40:P40),SUMIF('Dept. Cost Actuals'!$E$7:$E$176,"*Dues and Subscriptions*",'Dept. Cost Actuals'!U$1225:U$1394))</f>
        <v>0</v>
      </c>
      <c r="R40" s="668">
        <f>IF(R$4="forecast",AVERAGE(F40:Q40),SUMIF('Dept. Cost Actuals'!$E$7:$E$176,"*Dues and Subscriptions*",'Dept. Cost Actuals'!V$1225:V$1394))</f>
        <v>458.62</v>
      </c>
      <c r="S40" s="668">
        <f>IF(S$4="forecast",AVERAGE(G40:R40),SUMIF('Dept. Cost Actuals'!$E$7:$E$176,"*Dues and Subscriptions*",'Dept. Cost Actuals'!W$1225:W$1394))</f>
        <v>533.6</v>
      </c>
      <c r="T40" s="668">
        <f>IF(T$4="forecast",AVERAGE(H40:S40),SUMIF('Dept. Cost Actuals'!$E$7:$E$176,"*Dues and Subscriptions*",'Dept. Cost Actuals'!X$1225:X$1394))</f>
        <v>560.39</v>
      </c>
      <c r="U40" s="668">
        <f>IF(U$4="forecast",AVERAGE(I40:T40),SUMIF('Dept. Cost Actuals'!$E$7:$E$176,"*Dues and Subscriptions*",'Dept. Cost Actuals'!Y$1225:Y$1394))</f>
        <v>554.32000000000005</v>
      </c>
      <c r="V40" s="668">
        <f>IF(V$4="forecast",AVERAGE(J40:U40),SUMIF('Dept. Cost Actuals'!$E$7:$E$176,"*Dues and Subscriptions*",'Dept. Cost Actuals'!Z$1225:Z$1394))</f>
        <v>659.32</v>
      </c>
      <c r="W40" s="668">
        <f>IF(W$4="forecast",AVERAGE(K40:V40),SUMIF('Dept. Cost Actuals'!$E$7:$E$176,"*Dues and Subscriptions*",'Dept. Cost Actuals'!AA$1225:AA$1394))</f>
        <v>659.01</v>
      </c>
      <c r="X40" s="668">
        <f>IF(X$4="forecast",AVERAGE(L40:W40),SUMIF('Dept. Cost Actuals'!$E$7:$E$176,"*Dues and Subscriptions*",'Dept. Cost Actuals'!AB$1225:AB$1394))</f>
        <v>770.59</v>
      </c>
      <c r="Y40" s="668">
        <f>IF(Y$4="forecast",AVERAGE(M40:X40),SUMIF('Dept. Cost Actuals'!$E$7:$E$176,"*Dues and Subscriptions*",'Dept. Cost Actuals'!AC$1225:AC$1394))</f>
        <v>692.51</v>
      </c>
      <c r="Z40" s="668">
        <f>IF(Z$4="forecast",AVERAGE(N40:Y40),SUMIF('Dept. Cost Actuals'!$E$7:$E$176,"*Dues and Subscriptions*",'Dept. Cost Actuals'!AD$1225:AD$1394))</f>
        <v>82.92</v>
      </c>
      <c r="AA40" s="668">
        <f>IF(AA$4="forecast",AVERAGE(O40:Z40),SUMIF('Dept. Cost Actuals'!$E$7:$E$176,"*Dues and Subscriptions*",'Dept. Cost Actuals'!AE$1225:AE$1394))</f>
        <v>650.89</v>
      </c>
      <c r="AB40" s="668">
        <f>IF(AB$4="forecast",AVERAGE(P40:AA40),SUMIF('Dept. Cost Actuals'!$E$7:$E$176,"*Dues and Subscriptions*",'Dept. Cost Actuals'!AF$1225:AF$1394))</f>
        <v>861.68</v>
      </c>
      <c r="AC40" s="668">
        <f>IF(AC$4="forecast",AVERAGE(Q40:AB40),SUMIF('Dept. Cost Actuals'!$E$7:$E$176,"*Dues and Subscriptions*",'Dept. Cost Actuals'!AG$1225:AG$1394))</f>
        <v>701.57</v>
      </c>
      <c r="AD40" s="668">
        <f>IF(AD$4="forecast",AVERAGE(R40:AC40),SUMIF('Dept. Cost Actuals'!$E$7:$E$176,"*Dues and Subscriptions*",'Dept. Cost Actuals'!AH$1225:AH$1394))</f>
        <v>598.78500000000008</v>
      </c>
      <c r="AE40" s="668">
        <f>IF(AE$4="forecast",AVERAGE(S40:AD40),SUMIF('Dept. Cost Actuals'!$E$7:$E$176,"*Dues and Subscriptions*",'Dept. Cost Actuals'!AI$1225:AI$1394))</f>
        <v>610.46541666666678</v>
      </c>
      <c r="AF40" s="668">
        <f>IF(AF$4="forecast",AVERAGE(T40:AE40),SUMIF('Dept. Cost Actuals'!$E$7:$E$176,"*Dues and Subscriptions*",'Dept. Cost Actuals'!AJ$1225:AJ$1394))</f>
        <v>616.87086805555566</v>
      </c>
      <c r="AG40" s="668">
        <f>IF(AG$4="forecast",AVERAGE(U40:AF40),SUMIF('Dept. Cost Actuals'!$E$7:$E$176,"*Dues and Subscriptions*",'Dept. Cost Actuals'!AK$1225:AK$1394))</f>
        <v>621.57760706018519</v>
      </c>
      <c r="AH40" s="668">
        <f>IF(AH$4="forecast",AVERAGE(V40:AG40),SUMIF('Dept. Cost Actuals'!$E$7:$E$176,"*Dues and Subscriptions*",'Dept. Cost Actuals'!AL$1225:AL$1394))</f>
        <v>627.18240764853397</v>
      </c>
      <c r="AI40" s="668">
        <f>IF(AI$4="forecast",AVERAGE(W40:AH40),SUMIF('Dept. Cost Actuals'!$E$7:$E$176,"*Dues and Subscriptions*",'Dept. Cost Actuals'!AM$1225:AM$1394))</f>
        <v>624.50427495257838</v>
      </c>
      <c r="AJ40" s="668">
        <f>IF(AJ$4="forecast",AVERAGE(X40:AI40),SUMIF('Dept. Cost Actuals'!$E$7:$E$176,"*Dues and Subscriptions*",'Dept. Cost Actuals'!AN$1225:AN$1394))</f>
        <v>621.62879786529322</v>
      </c>
      <c r="AK40" s="668">
        <f>IF(AK$4="forecast",AVERAGE(Y40:AJ40),SUMIF('Dept. Cost Actuals'!$E$7:$E$176,"*Dues and Subscriptions*",'Dept. Cost Actuals'!AO$1225:AO$1394))</f>
        <v>609.21536435406779</v>
      </c>
      <c r="AL40" s="668">
        <f>IF(AL$4="forecast",AVERAGE(Z40:AK40),SUMIF('Dept. Cost Actuals'!$E$7:$E$176,"*Dues and Subscriptions*",'Dept. Cost Actuals'!AP$1225:AP$1394))</f>
        <v>602.27414471690679</v>
      </c>
      <c r="AM40" s="668">
        <f>IF(AM$4="forecast",AVERAGE(AA40:AL40),SUMIF('Dept. Cost Actuals'!$E$7:$E$176,"*Dues and Subscriptions*",'Dept. Cost Actuals'!AQ$1225:AQ$1394))</f>
        <v>645.55365677664895</v>
      </c>
      <c r="AN40" s="668">
        <f>IF(AN$4="forecast",AVERAGE(AB40:AM40),SUMIF('Dept. Cost Actuals'!$E$7:$E$176,"*Dues and Subscriptions*",'Dept. Cost Actuals'!AR$1225:AR$1394))</f>
        <v>645.10896150803637</v>
      </c>
      <c r="AO40" s="668">
        <f>IF(AO$4="forecast",AVERAGE(AC40:AN40),SUMIF('Dept. Cost Actuals'!$E$7:$E$176,"*Dues and Subscriptions*",'Dept. Cost Actuals'!AS$1225:AS$1394))</f>
        <v>627.06137496703934</v>
      </c>
      <c r="AP40" s="668">
        <f>IF(AP$4="forecast",AVERAGE(AD40:AO40),SUMIF('Dept. Cost Actuals'!$E$7:$E$176,"*Dues and Subscriptions*",'Dept. Cost Actuals'!AT$1225:AT$1394))</f>
        <v>620.85232288095938</v>
      </c>
      <c r="AQ40" s="668">
        <f>IF(AQ$4="forecast",AVERAGE(AE40:AP40),SUMIF('Dept. Cost Actuals'!$E$7:$E$176,"*Dues and Subscriptions*",'Dept. Cost Actuals'!AU$1225:AU$1394))</f>
        <v>622.69126645437257</v>
      </c>
      <c r="AR40" s="668">
        <f>IF(AR$4="forecast",AVERAGE(AF40:AQ40),SUMIF('Dept. Cost Actuals'!$E$7:$E$176,"*Dues and Subscriptions*",'Dept. Cost Actuals'!AV$1225:AV$1394))</f>
        <v>623.7100872700147</v>
      </c>
      <c r="AS40" s="668">
        <f>IF(AS$4="forecast",AVERAGE(AG40:AR40),SUMIF('Dept. Cost Actuals'!$E$7:$E$176,"*Dues and Subscriptions*",'Dept. Cost Actuals'!AW$1225:AW$1394))</f>
        <v>624.28002220455301</v>
      </c>
      <c r="AT40" s="668">
        <f>IF(AT$4="forecast",AVERAGE(AH40:AS40),SUMIF('Dept. Cost Actuals'!$E$7:$E$176,"*Dues and Subscriptions*",'Dept. Cost Actuals'!AX$1225:AX$1394))</f>
        <v>624.50522346658363</v>
      </c>
      <c r="AU40" s="668">
        <f>IF(AU$4="forecast",AVERAGE(AI40:AT40),SUMIF('Dept. Cost Actuals'!$E$7:$E$176,"*Dues and Subscriptions*",'Dept. Cost Actuals'!AY$1225:AY$1394))</f>
        <v>624.2821247847545</v>
      </c>
      <c r="AV40" s="668">
        <f>IF(AV$4="forecast",AVERAGE(AJ40:AU40),SUMIF('Dept. Cost Actuals'!$E$7:$E$176,"*Dues and Subscriptions*",'Dept. Cost Actuals'!AZ$1225:AZ$1394))</f>
        <v>624.26361227076916</v>
      </c>
      <c r="AW40" s="668">
        <f>IF(AW$4="forecast",AVERAGE(AK40:AV40),SUMIF('Dept. Cost Actuals'!$E$7:$E$176,"*Dues and Subscriptions*",'Dept. Cost Actuals'!BA$1225:BA$1394))</f>
        <v>624.48318013789219</v>
      </c>
      <c r="AX40" s="668">
        <f>IF(AX$4="forecast",AVERAGE(AL40:AW40),SUMIF('Dept. Cost Actuals'!$E$7:$E$176,"*Dues and Subscriptions*",'Dept. Cost Actuals'!BB$1225:BB$1394))</f>
        <v>625.75549811987753</v>
      </c>
      <c r="AY40" s="668">
        <f>IF(AY$4="forecast",AVERAGE(AM40:AX40),SUMIF('Dept. Cost Actuals'!$E$7:$E$176,"*Dues and Subscriptions*",'Dept. Cost Actuals'!BC$1225:BC$1394))</f>
        <v>627.71227757012514</v>
      </c>
      <c r="AZ40" s="668">
        <f>IF(AZ$4="forecast",AVERAGE(AN40:AY40),SUMIF('Dept. Cost Actuals'!$E$7:$E$176,"*Dues and Subscriptions*",'Dept. Cost Actuals'!BD$1225:BD$1394))</f>
        <v>626.2254959695814</v>
      </c>
      <c r="BA40" s="668">
        <f>IF(BA$4="forecast",AVERAGE(AO40:AZ40),SUMIF('Dept. Cost Actuals'!$E$7:$E$176,"*Dues and Subscriptions*",'Dept. Cost Actuals'!BE$1225:BE$1394))</f>
        <v>624.65187384137687</v>
      </c>
      <c r="BB40" s="668">
        <f>IF(BB$4="forecast",AVERAGE(AP40:BA40),SUMIF('Dept. Cost Actuals'!$E$7:$E$176,"*Dues and Subscriptions*",'Dept. Cost Actuals'!BF$1225:BF$1394))</f>
        <v>624.45108208090505</v>
      </c>
      <c r="BC40" s="668">
        <f>IF(BC$4="forecast",AVERAGE(AQ40:BB40),SUMIF('Dept. Cost Actuals'!$E$7:$E$176,"*Dues and Subscriptions*",'Dept. Cost Actuals'!BG$1225:BG$1394))</f>
        <v>624.75097868090052</v>
      </c>
      <c r="BD40" s="668">
        <f>IF(BD$4="forecast",AVERAGE(AR40:BC40),SUMIF('Dept. Cost Actuals'!$E$7:$E$176,"*Dues and Subscriptions*",'Dept. Cost Actuals'!BH$1225:BH$1394))</f>
        <v>624.92262136644456</v>
      </c>
      <c r="BE40" s="668">
        <f>IF(BE$4="forecast",AVERAGE(AS40:BD40),SUMIF('Dept. Cost Actuals'!$E$7:$E$176,"*Dues and Subscriptions*",'Dept. Cost Actuals'!BI$1225:BI$1394))</f>
        <v>625.02366587448023</v>
      </c>
      <c r="BF40" s="668">
        <f>IF(BF$4="forecast",AVERAGE(AT40:BE40),SUMIF('Dept. Cost Actuals'!$E$7:$E$176,"*Dues and Subscriptions*",'Dept. Cost Actuals'!BJ$1225:BJ$1394))</f>
        <v>625.08563618030757</v>
      </c>
      <c r="BG40" s="668">
        <f>IF(BG$4="forecast",AVERAGE(AU40:BF40),SUMIF('Dept. Cost Actuals'!$E$7:$E$176,"*Dues and Subscriptions*",'Dept. Cost Actuals'!BK$1225:BK$1394))</f>
        <v>625.1340039064512</v>
      </c>
      <c r="BH40" s="668">
        <f>IF(BH$4="forecast",AVERAGE(AV40:BG40),SUMIF('Dept. Cost Actuals'!$E$7:$E$176,"*Dues and Subscriptions*",'Dept. Cost Actuals'!BL$1225:BL$1394))</f>
        <v>625.20499383325921</v>
      </c>
      <c r="BI40" s="668">
        <f>IF(BI$4="forecast",AVERAGE(AW40:BH40),SUMIF('Dept. Cost Actuals'!$E$7:$E$176,"*Dues and Subscriptions*",'Dept. Cost Actuals'!BM$1225:BM$1394))</f>
        <v>625.28344229679999</v>
      </c>
      <c r="BJ40" s="668">
        <f>IF(BJ$4="forecast",AVERAGE(AX40:BI40),SUMIF('Dept. Cost Actuals'!$E$7:$E$176,"*Dues and Subscriptions*",'Dept. Cost Actuals'!BN$1225:BN$1394))</f>
        <v>625.35013081004229</v>
      </c>
      <c r="BK40" s="668">
        <f>IF(BK$4="forecast",AVERAGE(AY40:BJ40),SUMIF('Dept. Cost Actuals'!$E$7:$E$176,"*Dues and Subscriptions*",'Dept. Cost Actuals'!BO$1225:BO$1394))</f>
        <v>625.31635020088936</v>
      </c>
      <c r="BL40" s="668">
        <f>IF(BL$4="forecast",AVERAGE(AZ40:BK40),SUMIF('Dept. Cost Actuals'!$E$7:$E$176,"*Dues and Subscriptions*",'Dept. Cost Actuals'!BP$1225:BP$1394))</f>
        <v>625.11668958678649</v>
      </c>
      <c r="BM40" s="668">
        <f>IF(BM$4="forecast",AVERAGE(BA40:BL40),SUMIF('Dept. Cost Actuals'!$E$7:$E$176,"*Dues and Subscriptions*",'Dept. Cost Actuals'!BQ$1225:BQ$1394))</f>
        <v>625.02428905488694</v>
      </c>
      <c r="BN40" s="668">
        <f>IF(BN$4="forecast",AVERAGE(BB40:BM40),SUMIF('Dept. Cost Actuals'!$E$7:$E$176,"*Dues and Subscriptions*",'Dept. Cost Actuals'!BR$1225:BR$1394))</f>
        <v>625.05532365601277</v>
      </c>
      <c r="BO40" s="668">
        <f>IF(BO$4="forecast",AVERAGE(BC40:BN40),SUMIF('Dept. Cost Actuals'!$E$7:$E$176,"*Dues and Subscriptions*",'Dept. Cost Actuals'!BS$1225:BS$1394))</f>
        <v>625.10567712060504</v>
      </c>
      <c r="BP40" s="668">
        <f>IF(BP$4="forecast",AVERAGE(BD40:BO40),SUMIF('Dept. Cost Actuals'!$E$7:$E$176,"*Dues and Subscriptions*",'Dept. Cost Actuals'!BT$1225:BT$1394))</f>
        <v>625.13523532391378</v>
      </c>
      <c r="BQ40" s="668">
        <f>IF(BQ$4="forecast",AVERAGE(BE40:BP40),SUMIF('Dept. Cost Actuals'!$E$7:$E$176,"*Dues and Subscriptions*",'Dept. Cost Actuals'!BU$1225:BU$1394))</f>
        <v>625.15295315370292</v>
      </c>
      <c r="BR40" s="668">
        <f>IF(BR$4="forecast",AVERAGE(BF40:BQ40),SUMIF('Dept. Cost Actuals'!$E$7:$E$176,"*Dues and Subscriptions*",'Dept. Cost Actuals'!BV$1225:BV$1394))</f>
        <v>625.16372709363804</v>
      </c>
      <c r="BS40" s="668">
        <f>IF(BS$4="forecast",AVERAGE(BG40:BR40),SUMIF('Dept. Cost Actuals'!$E$7:$E$176,"*Dues and Subscriptions*",'Dept. Cost Actuals'!BW$1225:BW$1394))</f>
        <v>625.17023466974888</v>
      </c>
      <c r="BT40" s="668">
        <f>IF(BT$4="forecast",AVERAGE(BH40:BS40),SUMIF('Dept. Cost Actuals'!$E$7:$E$176,"*Dues and Subscriptions*",'Dept. Cost Actuals'!BX$1225:BX$1394))</f>
        <v>625.17325390002372</v>
      </c>
      <c r="BU40" s="668">
        <f>IF(BU$4="forecast",AVERAGE(BI40:BT40),SUMIF('Dept. Cost Actuals'!$E$7:$E$176,"*Dues and Subscriptions*",'Dept. Cost Actuals'!BY$1225:BY$1394))</f>
        <v>625.17060890558753</v>
      </c>
      <c r="BV40" s="668">
        <f>IF(BV$4="forecast",AVERAGE(BJ40:BU40),SUMIF('Dept. Cost Actuals'!$E$7:$E$176,"*Dues and Subscriptions*",'Dept. Cost Actuals'!BZ$1225:BZ$1394))</f>
        <v>625.16120612298653</v>
      </c>
    </row>
    <row r="41" spans="1:74" x14ac:dyDescent="0.25">
      <c r="B41" s="794" t="s">
        <v>945</v>
      </c>
      <c r="C41" s="668">
        <f>IF(C$4="forecast",AVERAGE($O$41:$Z$41)+4200,SUMIF('Dept. Cost Actuals'!$E$7:$E$176,"*Miscellaneous*",'Dept. Cost Actuals'!G$1225:G$1394))</f>
        <v>16433.845988657093</v>
      </c>
      <c r="D41" s="668">
        <f>IF(D$4="forecast",AVERAGE($O$41:$Z$41)+4200,SUMIF('Dept. Cost Actuals'!$E$7:$E$176,"*Miscellaneous*",'Dept. Cost Actuals'!H$1225:H$1394))</f>
        <v>8638.3101052027905</v>
      </c>
      <c r="E41" s="668">
        <f>IF(E$4="forecast",AVERAGE($O$41:$Z$41)+4200,SUMIF('Dept. Cost Actuals'!$E$7:$E$176,"*Miscellaneous*",'Dept. Cost Actuals'!I$1225:I$1394))</f>
        <v>15335.904285292123</v>
      </c>
      <c r="F41" s="668">
        <f>IF(F$4="forecast",AVERAGE($O$41:$Z$41)+4200,SUMIF('Dept. Cost Actuals'!$E$7:$E$176,"*Miscellaneous*",'Dept. Cost Actuals'!J$1225:J$1394))</f>
        <v>15076.625613616643</v>
      </c>
      <c r="G41" s="668">
        <f>IF(G$4="forecast",AVERAGE($O$41:$Z$41)+4200,SUMIF('Dept. Cost Actuals'!$E$7:$E$176,"*Miscellaneous*",'Dept. Cost Actuals'!K$1225:K$1394))</f>
        <v>10849.552617484669</v>
      </c>
      <c r="H41" s="668">
        <f>IF(H$4="forecast",AVERAGE($O$41:$Z$41)+4200,SUMIF('Dept. Cost Actuals'!$E$7:$E$176,"*Miscellaneous*",'Dept. Cost Actuals'!L$1225:L$1394))</f>
        <v>10908.519039564277</v>
      </c>
      <c r="I41" s="668">
        <f>IF(I$4="forecast",AVERAGE($O$41:$Z$41)+4200,SUMIF('Dept. Cost Actuals'!$E$7:$E$176,"*Miscellaneous*",'Dept. Cost Actuals'!M$1225:M$1394))</f>
        <v>9777.8130995026186</v>
      </c>
      <c r="J41" s="668">
        <f>IF(J$4="forecast",AVERAGE($O$41:$Z$41)+4200,SUMIF('Dept. Cost Actuals'!$E$7:$E$176,"*Miscellaneous*",'Dept. Cost Actuals'!N$1225:N$1394))</f>
        <v>10890.102709312196</v>
      </c>
      <c r="K41" s="668">
        <f>IF(K$4="forecast",AVERAGE($O$41:$Z$41)+4200,SUMIF('Dept. Cost Actuals'!$E$7:$E$176,"*Miscellaneous*",'Dept. Cost Actuals'!O$1225:O$1394))</f>
        <v>13931.678968137614</v>
      </c>
      <c r="L41" s="668">
        <f>IF(L$4="forecast",AVERAGE($O$41:$Z$41)+4200,SUMIF('Dept. Cost Actuals'!$E$7:$E$176,"*Miscellaneous*",'Dept. Cost Actuals'!P$1225:P$1394))</f>
        <v>19121.385916522468</v>
      </c>
      <c r="M41" s="668">
        <f>IF(M$4="forecast",AVERAGE($O$41:$Z$41)+4200,SUMIF('Dept. Cost Actuals'!$E$7:$E$176,"*Miscellaneous*",'Dept. Cost Actuals'!Q$1225:Q$1394))</f>
        <v>11949.209344118688</v>
      </c>
      <c r="N41" s="668">
        <f>IF(N$4="forecast",AVERAGE($O$41:$Z$41)+4200,SUMIF('Dept. Cost Actuals'!$E$7:$E$176,"*Miscellaneous*",'Dept. Cost Actuals'!R$1225:R$1394))</f>
        <v>12254.503144626946</v>
      </c>
      <c r="O41" s="668">
        <f>IF(O$4="forecast",AVERAGE($O$41:$Z$41)+4200,SUMIF('Dept. Cost Actuals'!$E$7:$E$176,"*Miscellaneous*",'Dept. Cost Actuals'!S$1225:S$1394))</f>
        <v>4652.57</v>
      </c>
      <c r="P41" s="668">
        <f>IF(P$4="forecast",AVERAGE($O$41:$Z$41)+4200,SUMIF('Dept. Cost Actuals'!$E$7:$E$176,"*Miscellaneous*",'Dept. Cost Actuals'!T$1225:T$1394))</f>
        <v>57.42</v>
      </c>
      <c r="Q41" s="668">
        <f>IF(Q$4="forecast",AVERAGE($O$41:$Z$41)+4200,SUMIF('Dept. Cost Actuals'!$E$7:$E$176,"*Miscellaneous*",'Dept. Cost Actuals'!U$1225:U$1394))</f>
        <v>111.83</v>
      </c>
      <c r="R41" s="668">
        <f>IF(R$4="forecast",AVERAGE($O$41:$Z$41)+4200,SUMIF('Dept. Cost Actuals'!$E$7:$E$176,"*Miscellaneous*",'Dept. Cost Actuals'!V$1225:V$1394))</f>
        <v>463.34</v>
      </c>
      <c r="S41" s="668">
        <f>IF(S$4="forecast",AVERAGE($O$41:$Z$41)+4200,SUMIF('Dept. Cost Actuals'!$E$7:$E$176,"*Miscellaneous*",'Dept. Cost Actuals'!W$1225:W$1394))</f>
        <v>217.87</v>
      </c>
      <c r="T41" s="668">
        <f>IF(T$4="forecast",AVERAGE($O$41:$Z$41)+4200,SUMIF('Dept. Cost Actuals'!$E$7:$E$176,"*Miscellaneous*",'Dept. Cost Actuals'!X$1225:X$1394))</f>
        <v>1222.82</v>
      </c>
      <c r="U41" s="668">
        <f>IF(U$4="forecast",AVERAGE($O$41:$Z$41)+4200,SUMIF('Dept. Cost Actuals'!$E$7:$E$176,"*Miscellaneous*",'Dept. Cost Actuals'!Y$1225:Y$1394))</f>
        <v>545</v>
      </c>
      <c r="V41" s="668">
        <f>IF(V$4="forecast",AVERAGE($O$41:$Z$41)+4200,SUMIF('Dept. Cost Actuals'!$E$7:$E$176,"*Miscellaneous*",'Dept. Cost Actuals'!Z$1225:Z$1394))</f>
        <v>0</v>
      </c>
      <c r="W41" s="668">
        <f>IF(W$4="forecast",AVERAGE($O$41:$Z$41)+4200,SUMIF('Dept. Cost Actuals'!$E$7:$E$176,"*Miscellaneous*",'Dept. Cost Actuals'!AA$1225:AA$1394))</f>
        <v>-47.23</v>
      </c>
      <c r="X41" s="668">
        <f>IF(X$4="forecast",AVERAGE($O$41:$Z$41)+4200,SUMIF('Dept. Cost Actuals'!$E$7:$E$176,"*Miscellaneous*",'Dept. Cost Actuals'!AB$1225:AB$1394))</f>
        <v>2508.98</v>
      </c>
      <c r="Y41" s="668">
        <f>IF(Y$4="forecast",AVERAGE($O$41:$Z$41)+4200,SUMIF('Dept. Cost Actuals'!$E$7:$E$176,"*Miscellaneous*",'Dept. Cost Actuals'!AC$1225:AC$1394))</f>
        <v>5975</v>
      </c>
      <c r="Z41" s="668">
        <f>IF(Z$4="forecast",AVERAGE($O$41:$Z$41)+4200,SUMIF('Dept. Cost Actuals'!$E$7:$E$176,"*Miscellaneous*",'Dept. Cost Actuals'!AD$1225:AD$1394))</f>
        <v>-1799</v>
      </c>
      <c r="AA41" s="668">
        <f>IF(AA$4="forecast",AVERAGE($O$41:$Z$41)+4200,SUMIF('Dept. Cost Actuals'!$E$7:$E$176,"*Miscellaneous*",'Dept. Cost Actuals'!AE$1225:AE$1394))</f>
        <v>200</v>
      </c>
      <c r="AB41" s="668">
        <f>IF(AB$4="forecast",AVERAGE($O$41:$Z$41)+4200,SUMIF('Dept. Cost Actuals'!$E$7:$E$176,"*Miscellaneous*",'Dept. Cost Actuals'!AF$1225:AF$1394))</f>
        <v>4704.34</v>
      </c>
      <c r="AC41" s="668">
        <f>IF(AC$4="forecast",AVERAGE($O$41:$Z$41)+4200,SUMIF('Dept. Cost Actuals'!$E$7:$E$176,"*Miscellaneous*",'Dept. Cost Actuals'!AG$1225:AG$1394))</f>
        <v>96.13</v>
      </c>
      <c r="AD41" s="668">
        <f>IF(AD$4="forecast",AVERAGE($O$41:$Z$41)+4200,SUMIF('Dept. Cost Actuals'!$E$7:$E$176,"*Miscellaneous*",'Dept. Cost Actuals'!AH$1225:AH$1394))</f>
        <v>5359.05</v>
      </c>
      <c r="AE41" s="668">
        <f>IF(AE$4="forecast",AVERAGE($O$41:$Z$41)+4200,SUMIF('Dept. Cost Actuals'!$E$7:$E$176,"*Miscellaneous*",'Dept. Cost Actuals'!AI$1225:AI$1394))</f>
        <v>5359.05</v>
      </c>
      <c r="AF41" s="668">
        <f>IF(AF$4="forecast",AVERAGE($O$41:$Z$41)+4200,SUMIF('Dept. Cost Actuals'!$E$7:$E$176,"*Miscellaneous*",'Dept. Cost Actuals'!AJ$1225:AJ$1394))</f>
        <v>5359.05</v>
      </c>
      <c r="AG41" s="668">
        <f>IF(AG$4="forecast",AVERAGE($O$41:$Z$41)+4200,SUMIF('Dept. Cost Actuals'!$E$7:$E$176,"*Miscellaneous*",'Dept. Cost Actuals'!AK$1225:AK$1394))</f>
        <v>5359.05</v>
      </c>
      <c r="AH41" s="668">
        <f>IF(AH$4="forecast",AVERAGE($O$41:$Z$41)+4200,SUMIF('Dept. Cost Actuals'!$E$7:$E$176,"*Miscellaneous*",'Dept. Cost Actuals'!AL$1225:AL$1394))</f>
        <v>5359.05</v>
      </c>
      <c r="AI41" s="668">
        <f>IF(AI$4="forecast",AVERAGE($O$41:$Z$41)+4200,SUMIF('Dept. Cost Actuals'!$E$7:$E$176,"*Miscellaneous*",'Dept. Cost Actuals'!AM$1225:AM$1394))</f>
        <v>5359.05</v>
      </c>
      <c r="AJ41" s="668">
        <f>IF(AJ$4="forecast",AVERAGE($O$41:$Z$41)+4200,SUMIF('Dept. Cost Actuals'!$E$7:$E$176,"*Miscellaneous*",'Dept. Cost Actuals'!AN$1225:AN$1394))</f>
        <v>5359.05</v>
      </c>
      <c r="AK41" s="668">
        <f>IF(AK$4="forecast",AVERAGE($O$41:$Z$41)+4200,SUMIF('Dept. Cost Actuals'!$E$7:$E$176,"*Miscellaneous*",'Dept. Cost Actuals'!AO$1225:AO$1394))</f>
        <v>5359.05</v>
      </c>
      <c r="AL41" s="668">
        <f>IF(AL$4="forecast",AVERAGE($O$41:$Z$41)+4200,SUMIF('Dept. Cost Actuals'!$E$7:$E$176,"*Miscellaneous*",'Dept. Cost Actuals'!AP$1225:AP$1394))</f>
        <v>5359.05</v>
      </c>
      <c r="AM41" s="668">
        <f>IF(AM$4="forecast",AVERAGE($O$41:$Z$41)+4200,SUMIF('Dept. Cost Actuals'!$E$7:$E$176,"*Miscellaneous*",'Dept. Cost Actuals'!AQ$1225:AQ$1394))</f>
        <v>5359.05</v>
      </c>
      <c r="AN41" s="668">
        <f>IF(AN$4="forecast",AVERAGE($O$41:$Z$41)+4200,SUMIF('Dept. Cost Actuals'!$E$7:$E$176,"*Miscellaneous*",'Dept. Cost Actuals'!AR$1225:AR$1394))</f>
        <v>5359.05</v>
      </c>
      <c r="AO41" s="668">
        <f>IF(AO$4="forecast",AVERAGE($O$41:$Z$41)+4200,SUMIF('Dept. Cost Actuals'!$E$7:$E$176,"*Miscellaneous*",'Dept. Cost Actuals'!AS$1225:AS$1394))</f>
        <v>5359.05</v>
      </c>
      <c r="AP41" s="668">
        <f>IF(AP$4="forecast",AVERAGE($O$41:$Z$41)+4200,SUMIF('Dept. Cost Actuals'!$E$7:$E$176,"*Miscellaneous*",'Dept. Cost Actuals'!AT$1225:AT$1394))</f>
        <v>5359.05</v>
      </c>
      <c r="AQ41" s="668">
        <f>IF(AQ$4="forecast",AVERAGE($O$41:$Z$41)+4200,SUMIF('Dept. Cost Actuals'!$E$7:$E$176,"*Miscellaneous*",'Dept. Cost Actuals'!AU$1225:AU$1394))</f>
        <v>5359.05</v>
      </c>
      <c r="AR41" s="668">
        <f>IF(AR$4="forecast",AVERAGE($O$41:$Z$41)+4200,SUMIF('Dept. Cost Actuals'!$E$7:$E$176,"*Miscellaneous*",'Dept. Cost Actuals'!AV$1225:AV$1394))</f>
        <v>5359.05</v>
      </c>
      <c r="AS41" s="668">
        <f>IF(AS$4="forecast",AVERAGE($O$41:$Z$41)+4200,SUMIF('Dept. Cost Actuals'!$E$7:$E$176,"*Miscellaneous*",'Dept. Cost Actuals'!AW$1225:AW$1394))</f>
        <v>5359.05</v>
      </c>
      <c r="AT41" s="668">
        <f>IF(AT$4="forecast",AVERAGE($O$41:$Z$41)+4200,SUMIF('Dept. Cost Actuals'!$E$7:$E$176,"*Miscellaneous*",'Dept. Cost Actuals'!AX$1225:AX$1394))</f>
        <v>5359.05</v>
      </c>
      <c r="AU41" s="668">
        <f>IF(AU$4="forecast",AVERAGE($O$41:$Z$41)+4200,SUMIF('Dept. Cost Actuals'!$E$7:$E$176,"*Miscellaneous*",'Dept. Cost Actuals'!AY$1225:AY$1394))</f>
        <v>5359.05</v>
      </c>
      <c r="AV41" s="668">
        <f>IF(AV$4="forecast",AVERAGE($O$41:$Z$41)+4200,SUMIF('Dept. Cost Actuals'!$E$7:$E$176,"*Miscellaneous*",'Dept. Cost Actuals'!AZ$1225:AZ$1394))</f>
        <v>5359.05</v>
      </c>
      <c r="AW41" s="668">
        <f>IF(AW$4="forecast",AVERAGE($O$41:$Z$41)+4200,SUMIF('Dept. Cost Actuals'!$E$7:$E$176,"*Miscellaneous*",'Dept. Cost Actuals'!BA$1225:BA$1394))</f>
        <v>5359.05</v>
      </c>
      <c r="AX41" s="668">
        <f>IF(AX$4="forecast",AVERAGE($O$41:$Z$41)+4200,SUMIF('Dept. Cost Actuals'!$E$7:$E$176,"*Miscellaneous*",'Dept. Cost Actuals'!BB$1225:BB$1394))</f>
        <v>5359.05</v>
      </c>
      <c r="AY41" s="668">
        <f>IF(AY$4="forecast",AVERAGE($O$41:$Z$41)+4200,SUMIF('Dept. Cost Actuals'!$E$7:$E$176,"*Miscellaneous*",'Dept. Cost Actuals'!BC$1225:BC$1394))</f>
        <v>5359.05</v>
      </c>
      <c r="AZ41" s="668">
        <f>IF(AZ$4="forecast",AVERAGE($O$41:$Z$41)+4200,SUMIF('Dept. Cost Actuals'!$E$7:$E$176,"*Miscellaneous*",'Dept. Cost Actuals'!BD$1225:BD$1394))</f>
        <v>5359.05</v>
      </c>
      <c r="BA41" s="668">
        <f>IF(BA$4="forecast",AVERAGE($O$41:$Z$41)+4200,SUMIF('Dept. Cost Actuals'!$E$7:$E$176,"*Miscellaneous*",'Dept. Cost Actuals'!BE$1225:BE$1394))</f>
        <v>5359.05</v>
      </c>
      <c r="BB41" s="668">
        <f>IF(BB$4="forecast",AVERAGE($O$41:$Z$41)+4200,SUMIF('Dept. Cost Actuals'!$E$7:$E$176,"*Miscellaneous*",'Dept. Cost Actuals'!BF$1225:BF$1394))</f>
        <v>5359.05</v>
      </c>
      <c r="BC41" s="668">
        <f>IF(BC$4="forecast",AVERAGE($O$41:$Z$41)+4200,SUMIF('Dept. Cost Actuals'!$E$7:$E$176,"*Miscellaneous*",'Dept. Cost Actuals'!BG$1225:BG$1394))</f>
        <v>5359.05</v>
      </c>
      <c r="BD41" s="668">
        <f>IF(BD$4="forecast",AVERAGE($O$41:$Z$41)+4200,SUMIF('Dept. Cost Actuals'!$E$7:$E$176,"*Miscellaneous*",'Dept. Cost Actuals'!BH$1225:BH$1394))</f>
        <v>5359.05</v>
      </c>
      <c r="BE41" s="668">
        <f>IF(BE$4="forecast",AVERAGE($O$41:$Z$41)+4200,SUMIF('Dept. Cost Actuals'!$E$7:$E$176,"*Miscellaneous*",'Dept. Cost Actuals'!BI$1225:BI$1394))</f>
        <v>5359.05</v>
      </c>
      <c r="BF41" s="668">
        <f>IF(BF$4="forecast",AVERAGE($O$41:$Z$41)+4200,SUMIF('Dept. Cost Actuals'!$E$7:$E$176,"*Miscellaneous*",'Dept. Cost Actuals'!BJ$1225:BJ$1394))</f>
        <v>5359.05</v>
      </c>
      <c r="BG41" s="668">
        <f>IF(BG$4="forecast",AVERAGE($O$41:$Z$41)+4200,SUMIF('Dept. Cost Actuals'!$E$7:$E$176,"*Miscellaneous*",'Dept. Cost Actuals'!BK$1225:BK$1394))</f>
        <v>5359.05</v>
      </c>
      <c r="BH41" s="668">
        <f>IF(BH$4="forecast",AVERAGE($O$41:$Z$41)+4200,SUMIF('Dept. Cost Actuals'!$E$7:$E$176,"*Miscellaneous*",'Dept. Cost Actuals'!BL$1225:BL$1394))</f>
        <v>5359.05</v>
      </c>
      <c r="BI41" s="668">
        <f>IF(BI$4="forecast",AVERAGE($O$41:$Z$41)+4200,SUMIF('Dept. Cost Actuals'!$E$7:$E$176,"*Miscellaneous*",'Dept. Cost Actuals'!BM$1225:BM$1394))</f>
        <v>5359.05</v>
      </c>
      <c r="BJ41" s="668">
        <f>IF(BJ$4="forecast",AVERAGE($O$41:$Z$41)+4200,SUMIF('Dept. Cost Actuals'!$E$7:$E$176,"*Miscellaneous*",'Dept. Cost Actuals'!BN$1225:BN$1394))</f>
        <v>5359.05</v>
      </c>
      <c r="BK41" s="668">
        <f>IF(BK$4="forecast",AVERAGE($O$41:$Z$41)+4200,SUMIF('Dept. Cost Actuals'!$E$7:$E$176,"*Miscellaneous*",'Dept. Cost Actuals'!BO$1225:BO$1394))</f>
        <v>5359.05</v>
      </c>
      <c r="BL41" s="668">
        <f>IF(BL$4="forecast",AVERAGE($O$41:$Z$41)+4200,SUMIF('Dept. Cost Actuals'!$E$7:$E$176,"*Miscellaneous*",'Dept. Cost Actuals'!BP$1225:BP$1394))</f>
        <v>5359.05</v>
      </c>
      <c r="BM41" s="668">
        <f>IF(BM$4="forecast",AVERAGE($O$41:$Z$41)+4200,SUMIF('Dept. Cost Actuals'!$E$7:$E$176,"*Miscellaneous*",'Dept. Cost Actuals'!BQ$1225:BQ$1394))</f>
        <v>5359.05</v>
      </c>
      <c r="BN41" s="668">
        <f>IF(BN$4="forecast",AVERAGE($O$41:$Z$41)+4200,SUMIF('Dept. Cost Actuals'!$E$7:$E$176,"*Miscellaneous*",'Dept. Cost Actuals'!BR$1225:BR$1394))</f>
        <v>5359.05</v>
      </c>
      <c r="BO41" s="668">
        <f>IF(BO$4="forecast",AVERAGE($O$41:$Z$41)+4200,SUMIF('Dept. Cost Actuals'!$E$7:$E$176,"*Miscellaneous*",'Dept. Cost Actuals'!BS$1225:BS$1394))</f>
        <v>5359.05</v>
      </c>
      <c r="BP41" s="668">
        <f>IF(BP$4="forecast",AVERAGE($O$41:$Z$41)+4200,SUMIF('Dept. Cost Actuals'!$E$7:$E$176,"*Miscellaneous*",'Dept. Cost Actuals'!BT$1225:BT$1394))</f>
        <v>5359.05</v>
      </c>
      <c r="BQ41" s="668">
        <f>IF(BQ$4="forecast",AVERAGE($O$41:$Z$41)+4200,SUMIF('Dept. Cost Actuals'!$E$7:$E$176,"*Miscellaneous*",'Dept. Cost Actuals'!BU$1225:BU$1394))</f>
        <v>5359.05</v>
      </c>
      <c r="BR41" s="668">
        <f>IF(BR$4="forecast",AVERAGE($O$41:$Z$41)+4200,SUMIF('Dept. Cost Actuals'!$E$7:$E$176,"*Miscellaneous*",'Dept. Cost Actuals'!BV$1225:BV$1394))</f>
        <v>5359.05</v>
      </c>
      <c r="BS41" s="668">
        <f>IF(BS$4="forecast",AVERAGE($O$41:$Z$41)+4200,SUMIF('Dept. Cost Actuals'!$E$7:$E$176,"*Miscellaneous*",'Dept. Cost Actuals'!BW$1225:BW$1394))</f>
        <v>5359.05</v>
      </c>
      <c r="BT41" s="668">
        <f>IF(BT$4="forecast",AVERAGE($O$41:$Z$41)+4200,SUMIF('Dept. Cost Actuals'!$E$7:$E$176,"*Miscellaneous*",'Dept. Cost Actuals'!BX$1225:BX$1394))</f>
        <v>5359.05</v>
      </c>
      <c r="BU41" s="668">
        <f>IF(BU$4="forecast",AVERAGE($O$41:$Z$41)+4200,SUMIF('Dept. Cost Actuals'!$E$7:$E$176,"*Miscellaneous*",'Dept. Cost Actuals'!BY$1225:BY$1394))</f>
        <v>5359.05</v>
      </c>
      <c r="BV41" s="668">
        <f>IF(BV$4="forecast",AVERAGE($O$41:$Z$41)+4200,SUMIF('Dept. Cost Actuals'!$E$7:$E$176,"*Miscellaneous*",'Dept. Cost Actuals'!BZ$1225:BZ$1394))</f>
        <v>5359.05</v>
      </c>
    </row>
    <row r="42" spans="1:74" x14ac:dyDescent="0.25">
      <c r="B42" s="794" t="s">
        <v>1336</v>
      </c>
      <c r="C42" s="668">
        <f>IF(C$4="forecast",AVERAGE(#REF!),SUMIF('Dept. Cost Actuals'!$E$7:$E$176,"*Liscenses and Permits*",'Dept. Cost Actuals'!G$1225:G$1394))</f>
        <v>54</v>
      </c>
      <c r="D42" s="668">
        <f>IF(D$4="forecast",AVERAGE(#REF!),SUMIF('Dept. Cost Actuals'!$E$7:$E$176,"*Liscenses and Permits*",'Dept. Cost Actuals'!H$1225:H$1394))</f>
        <v>54</v>
      </c>
      <c r="E42" s="668">
        <f>IF(E$4="forecast",AVERAGE(#REF!),SUMIF('Dept. Cost Actuals'!$E$7:$E$176,"*Liscenses and Permits*",'Dept. Cost Actuals'!I$1225:I$1394))</f>
        <v>54</v>
      </c>
      <c r="F42" s="668">
        <f>IF(F$4="forecast",AVERAGE(#REF!),SUMIF('Dept. Cost Actuals'!$E$7:$E$176,"*Liscenses and Permits*",'Dept. Cost Actuals'!J$1225:J$1394))</f>
        <v>54</v>
      </c>
      <c r="G42" s="668">
        <f>IF(G$4="forecast",AVERAGE(#REF!),SUMIF('Dept. Cost Actuals'!$E$7:$E$176,"*Liscenses and Permits*",'Dept. Cost Actuals'!K$1225:K$1394))</f>
        <v>54</v>
      </c>
      <c r="H42" s="668">
        <f>IF(H$4="forecast",AVERAGE(#REF!),SUMIF('Dept. Cost Actuals'!$E$7:$E$176,"*Liscenses and Permits*",'Dept. Cost Actuals'!L$1225:L$1394))</f>
        <v>54</v>
      </c>
      <c r="I42" s="668">
        <f>IF(I$4="forecast",AVERAGE(#REF!),SUMIF('Dept. Cost Actuals'!$E$7:$E$176,"*Liscenses and Permits*",'Dept. Cost Actuals'!M$1225:M$1394))</f>
        <v>54</v>
      </c>
      <c r="J42" s="668">
        <f>IF(J$4="forecast",AVERAGE(#REF!),SUMIF('Dept. Cost Actuals'!$E$7:$E$176,"*Liscenses and Permits*",'Dept. Cost Actuals'!N$1225:N$1394))</f>
        <v>54</v>
      </c>
      <c r="K42" s="668">
        <f>IF(K$4="forecast",AVERAGE(#REF!),SUMIF('Dept. Cost Actuals'!$E$7:$E$176,"*Liscenses and Permits*",'Dept. Cost Actuals'!O$1225:O$1394))</f>
        <v>54</v>
      </c>
      <c r="L42" s="668">
        <f>IF(L$4="forecast",AVERAGE(#REF!),SUMIF('Dept. Cost Actuals'!$E$7:$E$176,"*Liscenses and Permits*",'Dept. Cost Actuals'!P$1225:P$1394))</f>
        <v>54</v>
      </c>
      <c r="M42" s="668">
        <f>IF(M$4="forecast",AVERAGE(A42:L42),SUMIF('Dept. Cost Actuals'!$E$7:$E$176,"*Liscenses and Permits*",'Dept. Cost Actuals'!Q$1225:Q$1394))</f>
        <v>54</v>
      </c>
      <c r="N42" s="668">
        <f>IF(N$4="forecast",AVERAGE(B42:M42),SUMIF('Dept. Cost Actuals'!$E$7:$E$176,"*Liscenses and Permits*",'Dept. Cost Actuals'!R$1225:R$1394))</f>
        <v>3304.45</v>
      </c>
      <c r="O42" s="668">
        <f>IF(O$4="forecast",AVERAGE(C42:N42),SUMIF('Dept. Cost Actuals'!$E$7:$E$176,"*Liscenses and Permits*",'Dept. Cost Actuals'!S$1225:S$1394))</f>
        <v>0</v>
      </c>
      <c r="P42" s="668">
        <f>IF(P$4="forecast",AVERAGE(D42:O42),SUMIF('Dept. Cost Actuals'!$E$7:$E$176,"*Liscenses and Permits*",'Dept. Cost Actuals'!T$1225:T$1394))</f>
        <v>54</v>
      </c>
      <c r="Q42" s="668">
        <f>IF(Q$4="forecast",AVERAGE(E42:P42),SUMIF('Dept. Cost Actuals'!$E$7:$E$176,"*Liscenses and Permits*",'Dept. Cost Actuals'!U$1225:U$1394))</f>
        <v>54</v>
      </c>
      <c r="R42" s="668">
        <f>IF(R$4="forecast",AVERAGE(F42:Q42),SUMIF('Dept. Cost Actuals'!$E$7:$E$176,"*Liscenses and Permits*",'Dept. Cost Actuals'!V$1225:V$1394))</f>
        <v>54</v>
      </c>
      <c r="S42" s="668">
        <f>IF(S$4="forecast",AVERAGE(G42:R42),SUMIF('Dept. Cost Actuals'!$E$7:$E$176,"*Liscenses and Permits*",'Dept. Cost Actuals'!W$1225:W$1394))</f>
        <v>54</v>
      </c>
      <c r="T42" s="668">
        <f>IF(T$4="forecast",AVERAGE(H42:S42),SUMIF('Dept. Cost Actuals'!$E$7:$E$176,"*Liscenses and Permits*",'Dept. Cost Actuals'!X$1225:X$1394))</f>
        <v>0</v>
      </c>
      <c r="U42" s="668">
        <f>IF(U$4="forecast",AVERAGE(I42:T42),SUMIF('Dept. Cost Actuals'!$E$7:$E$176,"*Liscenses and Permits*",'Dept. Cost Actuals'!Y$1225:Y$1394))</f>
        <v>0</v>
      </c>
      <c r="V42" s="668">
        <f>IF(V$4="forecast",AVERAGE(J42:U42),SUMIF('Dept. Cost Actuals'!$E$7:$E$176,"*Liscenses and Permits*",'Dept. Cost Actuals'!Z$1225:Z$1394))</f>
        <v>378.14</v>
      </c>
      <c r="W42" s="668">
        <f>IF(W$4="forecast",AVERAGE(K42:V42),SUMIF('Dept. Cost Actuals'!$E$7:$E$176,"*Liscenses and Permits*",'Dept. Cost Actuals'!AA$1225:AA$1394))</f>
        <v>0</v>
      </c>
      <c r="X42" s="668">
        <f>IF(X$4="forecast",AVERAGE(L42:W42),SUMIF('Dept. Cost Actuals'!$E$7:$E$176,"*Liscenses and Permits*",'Dept. Cost Actuals'!AB$1225:AB$1394))</f>
        <v>0</v>
      </c>
      <c r="Y42" s="668">
        <f>IF(Y$4="forecast",AVERAGE(M42:X42),SUMIF('Dept. Cost Actuals'!$E$7:$E$176,"*Liscenses and Permits*",'Dept. Cost Actuals'!AC$1225:AC$1394))</f>
        <v>0</v>
      </c>
      <c r="Z42" s="668">
        <f>IF(Z$4="forecast",AVERAGE(N42:Y42),SUMIF('Dept. Cost Actuals'!$E$7:$E$176,"*Liscenses and Permits*",'Dept. Cost Actuals'!AD$1225:AD$1394))</f>
        <v>0</v>
      </c>
      <c r="AA42" s="668">
        <f>IF(AA$4="forecast",AVERAGE(O42:Z42),SUMIF('Dept. Cost Actuals'!$E$7:$E$176,"*Liscenses and Permits*",'Dept. Cost Actuals'!AE$1225:AE$1394))</f>
        <v>0</v>
      </c>
      <c r="AB42" s="668">
        <f>IF(AB$4="forecast",AVERAGE(P42:AA42),SUMIF('Dept. Cost Actuals'!$E$7:$E$176,"*Liscenses and Permits*",'Dept. Cost Actuals'!AF$1225:AF$1394))</f>
        <v>0</v>
      </c>
      <c r="AC42" s="668">
        <f>IF(AC$4="forecast",AVERAGE(Q42:AB42),SUMIF('Dept. Cost Actuals'!$E$7:$E$176,"*Liscenses and Permits*",'Dept. Cost Actuals'!AG$1225:AG$1394))</f>
        <v>0</v>
      </c>
      <c r="AD42" s="668">
        <f>IF(AD$4="forecast",AVERAGE(R42:AC42),SUMIF('Dept. Cost Actuals'!$E$7:$E$176,"*Liscenses and Permits*",'Dept. Cost Actuals'!AH$1225:AH$1394))</f>
        <v>40.511666666666663</v>
      </c>
      <c r="AE42" s="668">
        <f>IF(AE$4="forecast",AVERAGE(S42:AD42),SUMIF('Dept. Cost Actuals'!$E$7:$E$176,"*Liscenses and Permits*",'Dept. Cost Actuals'!AI$1225:AI$1394))</f>
        <v>39.387638888888887</v>
      </c>
      <c r="AF42" s="668">
        <f>IF(AF$4="forecast",AVERAGE(T42:AE42),SUMIF('Dept. Cost Actuals'!$E$7:$E$176,"*Liscenses and Permits*",'Dept. Cost Actuals'!AJ$1225:AJ$1394))</f>
        <v>38.169942129629625</v>
      </c>
      <c r="AG42" s="668">
        <f>IF(AG$4="forecast",AVERAGE(U42:AF42),SUMIF('Dept. Cost Actuals'!$E$7:$E$176,"*Liscenses and Permits*",'Dept. Cost Actuals'!AK$1225:AK$1394))</f>
        <v>41.350770640432096</v>
      </c>
      <c r="AH42" s="668">
        <f>IF(AH$4="forecast",AVERAGE(V42:AG42),SUMIF('Dept. Cost Actuals'!$E$7:$E$176,"*Liscenses and Permits*",'Dept. Cost Actuals'!AL$1225:AL$1394))</f>
        <v>44.796668193801445</v>
      </c>
      <c r="AI42" s="668">
        <f>IF(AI$4="forecast",AVERAGE(W42:AH42),SUMIF('Dept. Cost Actuals'!$E$7:$E$176,"*Liscenses and Permits*",'Dept. Cost Actuals'!AM$1225:AM$1394))</f>
        <v>17.018057209951561</v>
      </c>
      <c r="AJ42" s="668">
        <f>IF(AJ$4="forecast",AVERAGE(X42:AI42),SUMIF('Dept. Cost Actuals'!$E$7:$E$176,"*Liscenses and Permits*",'Dept. Cost Actuals'!AN$1225:AN$1394))</f>
        <v>18.436228644114191</v>
      </c>
      <c r="AK42" s="668">
        <f>IF(AK$4="forecast",AVERAGE(Y42:AJ42),SUMIF('Dept. Cost Actuals'!$E$7:$E$176,"*Liscenses and Permits*",'Dept. Cost Actuals'!AO$1225:AO$1394))</f>
        <v>19.972581031123706</v>
      </c>
      <c r="AL42" s="668">
        <f>IF(AL$4="forecast",AVERAGE(Z42:AK42),SUMIF('Dept. Cost Actuals'!$E$7:$E$176,"*Liscenses and Permits*",'Dept. Cost Actuals'!AP$1225:AP$1394))</f>
        <v>21.636962783717347</v>
      </c>
      <c r="AM42" s="668">
        <f>IF(AM$4="forecast",AVERAGE(AA42:AL42),SUMIF('Dept. Cost Actuals'!$E$7:$E$176,"*Liscenses and Permits*",'Dept. Cost Actuals'!AQ$1225:AQ$1394))</f>
        <v>23.440043015693792</v>
      </c>
      <c r="AN42" s="668">
        <f>IF(AN$4="forecast",AVERAGE(AB42:AM42),SUMIF('Dept. Cost Actuals'!$E$7:$E$176,"*Liscenses and Permits*",'Dept. Cost Actuals'!AR$1225:AR$1394))</f>
        <v>25.393379933668275</v>
      </c>
      <c r="AO42" s="668">
        <f>IF(AO$4="forecast",AVERAGE(AC42:AN42),SUMIF('Dept. Cost Actuals'!$E$7:$E$176,"*Liscenses and Permits*",'Dept. Cost Actuals'!AS$1225:AS$1394))</f>
        <v>27.509494928140629</v>
      </c>
      <c r="AP42" s="668">
        <f>IF(AP$4="forecast",AVERAGE(AD42:AO42),SUMIF('Dept. Cost Actuals'!$E$7:$E$176,"*Liscenses and Permits*",'Dept. Cost Actuals'!AT$1225:AT$1394))</f>
        <v>29.801952838819016</v>
      </c>
      <c r="AQ42" s="668">
        <f>IF(AQ$4="forecast",AVERAGE(AE42:AP42),SUMIF('Dept. Cost Actuals'!$E$7:$E$176,"*Liscenses and Permits*",'Dept. Cost Actuals'!AU$1225:AU$1394))</f>
        <v>28.90947668649838</v>
      </c>
      <c r="AR42" s="668">
        <f>IF(AR$4="forecast",AVERAGE(AF42:AQ42),SUMIF('Dept. Cost Actuals'!$E$7:$E$176,"*Liscenses and Permits*",'Dept. Cost Actuals'!AV$1225:AV$1394))</f>
        <v>28.036296502965836</v>
      </c>
      <c r="AS42" s="668">
        <f>IF(AS$4="forecast",AVERAGE(AG42:AR42),SUMIF('Dept. Cost Actuals'!$E$7:$E$176,"*Liscenses and Permits*",'Dept. Cost Actuals'!AW$1225:AW$1394))</f>
        <v>27.191826034077192</v>
      </c>
      <c r="AT42" s="668">
        <f>IF(AT$4="forecast",AVERAGE(AH42:AS42),SUMIF('Dept. Cost Actuals'!$E$7:$E$176,"*Liscenses and Permits*",'Dept. Cost Actuals'!AX$1225:AX$1394))</f>
        <v>26.011913983547615</v>
      </c>
      <c r="AU42" s="668">
        <f>IF(AU$4="forecast",AVERAGE(AI42:AT42),SUMIF('Dept. Cost Actuals'!$E$7:$E$176,"*Liscenses and Permits*",'Dept. Cost Actuals'!AY$1225:AY$1394))</f>
        <v>24.446517799359793</v>
      </c>
      <c r="AV42" s="668">
        <f>IF(AV$4="forecast",AVERAGE(AJ42:AU42),SUMIF('Dept. Cost Actuals'!$E$7:$E$176,"*Liscenses and Permits*",'Dept. Cost Actuals'!AZ$1225:AZ$1394))</f>
        <v>25.065556181810479</v>
      </c>
      <c r="AW42" s="668">
        <f>IF(AW$4="forecast",AVERAGE(AK42:AV42),SUMIF('Dept. Cost Actuals'!$E$7:$E$176,"*Liscenses and Permits*",'Dept. Cost Actuals'!BA$1225:BA$1394))</f>
        <v>25.618000143285172</v>
      </c>
      <c r="AX42" s="668">
        <f>IF(AX$4="forecast",AVERAGE(AL42:AW42),SUMIF('Dept. Cost Actuals'!$E$7:$E$176,"*Liscenses and Permits*",'Dept. Cost Actuals'!BB$1225:BB$1394))</f>
        <v>26.088451735965293</v>
      </c>
      <c r="AY42" s="668">
        <f>IF(AY$4="forecast",AVERAGE(AM42:AX42),SUMIF('Dept. Cost Actuals'!$E$7:$E$176,"*Liscenses and Permits*",'Dept. Cost Actuals'!BC$1225:BC$1394))</f>
        <v>26.459409148652625</v>
      </c>
      <c r="AZ42" s="668">
        <f>IF(AZ$4="forecast",AVERAGE(AN42:AY42),SUMIF('Dept. Cost Actuals'!$E$7:$E$176,"*Liscenses and Permits*",'Dept. Cost Actuals'!BD$1225:BD$1394))</f>
        <v>26.711022993065857</v>
      </c>
      <c r="BA42" s="668">
        <f>IF(BA$4="forecast",AVERAGE(AO42:AZ42),SUMIF('Dept. Cost Actuals'!$E$7:$E$176,"*Liscenses and Permits*",'Dept. Cost Actuals'!BE$1225:BE$1394))</f>
        <v>26.820826581348985</v>
      </c>
      <c r="BB42" s="668">
        <f>IF(BB$4="forecast",AVERAGE(AP42:BA42),SUMIF('Dept. Cost Actuals'!$E$7:$E$176,"*Liscenses and Permits*",'Dept. Cost Actuals'!BF$1225:BF$1394))</f>
        <v>26.763437552449684</v>
      </c>
      <c r="BC42" s="668">
        <f>IF(BC$4="forecast",AVERAGE(AQ42:BB42),SUMIF('Dept. Cost Actuals'!$E$7:$E$176,"*Liscenses and Permits*",'Dept. Cost Actuals'!BG$1225:BG$1394))</f>
        <v>26.51022794525224</v>
      </c>
      <c r="BD42" s="668">
        <f>IF(BD$4="forecast",AVERAGE(AR42:BC42),SUMIF('Dept. Cost Actuals'!$E$7:$E$176,"*Liscenses and Permits*",'Dept. Cost Actuals'!BH$1225:BH$1394))</f>
        <v>26.310290550148391</v>
      </c>
      <c r="BE42" s="668">
        <f>IF(BE$4="forecast",AVERAGE(AS42:BD42),SUMIF('Dept. Cost Actuals'!$E$7:$E$176,"*Liscenses and Permits*",'Dept. Cost Actuals'!BI$1225:BI$1394))</f>
        <v>26.16645672074695</v>
      </c>
      <c r="BF42" s="668">
        <f>IF(BF$4="forecast",AVERAGE(AT42:BE42),SUMIF('Dept. Cost Actuals'!$E$7:$E$176,"*Liscenses and Permits*",'Dept. Cost Actuals'!BJ$1225:BJ$1394))</f>
        <v>26.081009277969425</v>
      </c>
      <c r="BG42" s="668">
        <f>IF(BG$4="forecast",AVERAGE(AU42:BF42),SUMIF('Dept. Cost Actuals'!$E$7:$E$176,"*Liscenses and Permits*",'Dept. Cost Actuals'!BK$1225:BK$1394))</f>
        <v>26.086767219171247</v>
      </c>
      <c r="BH42" s="668">
        <f>IF(BH$4="forecast",AVERAGE(AV42:BG42),SUMIF('Dept. Cost Actuals'!$E$7:$E$176,"*Liscenses and Permits*",'Dept. Cost Actuals'!BL$1225:BL$1394))</f>
        <v>26.223454670822196</v>
      </c>
      <c r="BI42" s="668">
        <f>IF(BI$4="forecast",AVERAGE(AW42:BH42),SUMIF('Dept. Cost Actuals'!$E$7:$E$176,"*Liscenses and Permits*",'Dept. Cost Actuals'!BM$1225:BM$1394))</f>
        <v>26.319946211573171</v>
      </c>
      <c r="BJ42" s="668">
        <f>IF(BJ$4="forecast",AVERAGE(AX42:BI42),SUMIF('Dept. Cost Actuals'!$E$7:$E$176,"*Liscenses and Permits*",'Dept. Cost Actuals'!BN$1225:BN$1394))</f>
        <v>26.378441717263836</v>
      </c>
      <c r="BK42" s="668">
        <f>IF(BK$4="forecast",AVERAGE(AY42:BJ42),SUMIF('Dept. Cost Actuals'!$E$7:$E$176,"*Liscenses and Permits*",'Dept. Cost Actuals'!BO$1225:BO$1394))</f>
        <v>26.402607549038716</v>
      </c>
      <c r="BL42" s="668">
        <f>IF(BL$4="forecast",AVERAGE(AZ42:BK42),SUMIF('Dept. Cost Actuals'!$E$7:$E$176,"*Liscenses and Permits*",'Dept. Cost Actuals'!BP$1225:BP$1394))</f>
        <v>26.397874082404226</v>
      </c>
      <c r="BM42" s="668">
        <f>IF(BM$4="forecast",AVERAGE(BA42:BL42),SUMIF('Dept. Cost Actuals'!$E$7:$E$176,"*Liscenses and Permits*",'Dept. Cost Actuals'!BQ$1225:BQ$1394))</f>
        <v>26.371778339849087</v>
      </c>
      <c r="BN42" s="668">
        <f>IF(BN$4="forecast",AVERAGE(BB42:BM42),SUMIF('Dept. Cost Actuals'!$E$7:$E$176,"*Liscenses and Permits*",'Dept. Cost Actuals'!BR$1225:BR$1394))</f>
        <v>26.334357653057427</v>
      </c>
      <c r="BO42" s="668">
        <f>IF(BO$4="forecast",AVERAGE(BC42:BN42),SUMIF('Dept. Cost Actuals'!$E$7:$E$176,"*Liscenses and Permits*",'Dept. Cost Actuals'!BS$1225:BS$1394))</f>
        <v>26.298600994774745</v>
      </c>
      <c r="BP42" s="668">
        <f>IF(BP$4="forecast",AVERAGE(BD42:BO42),SUMIF('Dept. Cost Actuals'!$E$7:$E$176,"*Liscenses and Permits*",'Dept. Cost Actuals'!BT$1225:BT$1394))</f>
        <v>26.280965415568289</v>
      </c>
      <c r="BQ42" s="668">
        <f>IF(BQ$4="forecast",AVERAGE(BE42:BP42),SUMIF('Dept. Cost Actuals'!$E$7:$E$176,"*Liscenses and Permits*",'Dept. Cost Actuals'!BU$1225:BU$1394))</f>
        <v>26.27852165435328</v>
      </c>
      <c r="BR42" s="668">
        <f>IF(BR$4="forecast",AVERAGE(BF42:BQ42),SUMIF('Dept. Cost Actuals'!$E$7:$E$176,"*Liscenses and Permits*",'Dept. Cost Actuals'!BV$1225:BV$1394))</f>
        <v>26.287860398820467</v>
      </c>
      <c r="BS42" s="668">
        <f>IF(BS$4="forecast",AVERAGE(BG42:BR42),SUMIF('Dept. Cost Actuals'!$E$7:$E$176,"*Liscenses and Permits*",'Dept. Cost Actuals'!BW$1225:BW$1394))</f>
        <v>26.305097992224717</v>
      </c>
      <c r="BT42" s="668">
        <f>IF(BT$4="forecast",AVERAGE(BH42:BS42),SUMIF('Dept. Cost Actuals'!$E$7:$E$176,"*Liscenses and Permits*",'Dept. Cost Actuals'!BX$1225:BX$1394))</f>
        <v>26.32329222331251</v>
      </c>
      <c r="BU42" s="668">
        <f>IF(BU$4="forecast",AVERAGE(BI42:BT42),SUMIF('Dept. Cost Actuals'!$E$7:$E$176,"*Liscenses and Permits*",'Dept. Cost Actuals'!BY$1225:BY$1394))</f>
        <v>26.331612019353372</v>
      </c>
      <c r="BV42" s="668">
        <f>IF(BV$4="forecast",AVERAGE(BJ42:BU42),SUMIF('Dept. Cost Actuals'!$E$7:$E$176,"*Liscenses and Permits*",'Dept. Cost Actuals'!BZ$1225:BZ$1394))</f>
        <v>26.332584170001724</v>
      </c>
    </row>
    <row r="43" spans="1:74" s="156" customFormat="1" x14ac:dyDescent="0.25">
      <c r="A43" s="783"/>
      <c r="B43" s="794" t="s">
        <v>1359</v>
      </c>
      <c r="C43" s="668">
        <f>IF(C$4="forecast",AVERAGE(#REF!),SUMIF('Dept. Cost Actuals'!$E$7:$E$176,"*Bank*",'Dept. Cost Actuals'!G$1225:G$1394))</f>
        <v>67.94</v>
      </c>
      <c r="D43" s="668">
        <f>IF(D$4="forecast",AVERAGE(#REF!),SUMIF('Dept. Cost Actuals'!$E$7:$E$176,"*Bank*",'Dept. Cost Actuals'!H$1225:H$1394))</f>
        <v>44.95</v>
      </c>
      <c r="E43" s="668">
        <f>IF(E$4="forecast",AVERAGE(#REF!),SUMIF('Dept. Cost Actuals'!$E$7:$E$176,"*Bank*",'Dept. Cost Actuals'!I$1225:I$1394))</f>
        <v>357.67</v>
      </c>
      <c r="F43" s="668">
        <f>IF(F$4="forecast",AVERAGE(#REF!),SUMIF('Dept. Cost Actuals'!$E$7:$E$176,"*Bank*",'Dept. Cost Actuals'!J$1225:J$1394))</f>
        <v>44.95</v>
      </c>
      <c r="G43" s="668">
        <f>IF(G$4="forecast",AVERAGE(#REF!),SUMIF('Dept. Cost Actuals'!$E$7:$E$176,"*Bank*",'Dept. Cost Actuals'!K$1225:K$1394))</f>
        <v>115</v>
      </c>
      <c r="H43" s="668">
        <f>IF(H$4="forecast",AVERAGE(#REF!),SUMIF('Dept. Cost Actuals'!$E$7:$E$176,"*Bank*",'Dept. Cost Actuals'!L$1225:L$1394))</f>
        <v>15</v>
      </c>
      <c r="I43" s="668">
        <f>IF(I$4="forecast",AVERAGE(#REF!),SUMIF('Dept. Cost Actuals'!$E$7:$E$176,"*Bank*",'Dept. Cost Actuals'!M$1225:M$1394))</f>
        <v>65</v>
      </c>
      <c r="J43" s="668">
        <f>IF(J$4="forecast",AVERAGE(#REF!),SUMIF('Dept. Cost Actuals'!$E$7:$E$176,"*Bank*",'Dept. Cost Actuals'!N$1225:N$1394))</f>
        <v>54.95</v>
      </c>
      <c r="K43" s="668">
        <f>IF(K$4="forecast",AVERAGE(#REF!),SUMIF('Dept. Cost Actuals'!$E$7:$E$176,"*Bank*",'Dept. Cost Actuals'!O$1225:O$1394))</f>
        <v>44.95</v>
      </c>
      <c r="L43" s="668">
        <f>IF(L$4="forecast",AVERAGE(#REF!),SUMIF('Dept. Cost Actuals'!$E$7:$E$176,"*Bank*",'Dept. Cost Actuals'!P$1225:P$1394))</f>
        <v>41.08</v>
      </c>
      <c r="M43" s="668">
        <f>IF(M$4="forecast",AVERAGE(A43:L43),SUMIF('Dept. Cost Actuals'!$E$7:$E$176,"*Bank*",'Dept. Cost Actuals'!Q$1225:Q$1394))</f>
        <v>40</v>
      </c>
      <c r="N43" s="668">
        <f>IF(N$4="forecast",AVERAGE(B43:M43),SUMIF('Dept. Cost Actuals'!$E$7:$E$176,"*Bank*",'Dept. Cost Actuals'!R$1225:R$1394))</f>
        <v>200</v>
      </c>
      <c r="O43" s="668">
        <f>IF(O$4="forecast",AVERAGE(C43:N43),SUMIF('Dept. Cost Actuals'!$E$7:$E$176,"*Bank*",'Dept. Cost Actuals'!S$1225:S$1394))</f>
        <v>0</v>
      </c>
      <c r="P43" s="668">
        <f>IF(P$4="forecast",AVERAGE(D43:O43),SUMIF('Dept. Cost Actuals'!$E$7:$E$176,"*Bank*",'Dept. Cost Actuals'!T$1225:T$1394))</f>
        <v>0</v>
      </c>
      <c r="Q43" s="668">
        <f>IF(Q$4="forecast",AVERAGE(E43:P43),SUMIF('Dept. Cost Actuals'!$E$7:$E$176,"*Bank*",'Dept. Cost Actuals'!U$1225:U$1394))</f>
        <v>101.52</v>
      </c>
      <c r="R43" s="668">
        <f>IF(R$4="forecast",AVERAGE(F43:Q43),SUMIF('Dept. Cost Actuals'!$E$7:$E$176,"*Bank*",'Dept. Cost Actuals'!V$1225:V$1394))</f>
        <v>0</v>
      </c>
      <c r="S43" s="668">
        <f>IF(S$4="forecast",AVERAGE(G43:R43),SUMIF('Dept. Cost Actuals'!$E$7:$E$176,"*Bank*",'Dept. Cost Actuals'!W$1225:W$1394))</f>
        <v>0</v>
      </c>
      <c r="T43" s="668">
        <f>IF(T$4="forecast",AVERAGE(H43:S43),SUMIF('Dept. Cost Actuals'!$E$7:$E$176,"*Bank*",'Dept. Cost Actuals'!X$1225:X$1394))</f>
        <v>90.64</v>
      </c>
      <c r="U43" s="668">
        <f>IF(U$4="forecast",AVERAGE(I43:T43),SUMIF('Dept. Cost Actuals'!$E$7:$E$176,"*Bank*",'Dept. Cost Actuals'!Y$1225:Y$1394))</f>
        <v>0</v>
      </c>
      <c r="V43" s="668">
        <f>IF(V$4="forecast",AVERAGE(J43:U43),SUMIF('Dept. Cost Actuals'!$E$7:$E$176,"*Bank*",'Dept. Cost Actuals'!Z$1225:Z$1394))</f>
        <v>0</v>
      </c>
      <c r="W43" s="668">
        <f>IF(W$4="forecast",AVERAGE(K43:V43),SUMIF('Dept. Cost Actuals'!$E$7:$E$176,"*Bank*",'Dept. Cost Actuals'!AA$1225:AA$1394))</f>
        <v>0</v>
      </c>
      <c r="X43" s="668">
        <f>IF(X$4="forecast",AVERAGE(L43:W43),SUMIF('Dept. Cost Actuals'!$E$7:$E$176,"*Bank*",'Dept. Cost Actuals'!AB$1225:AB$1394))</f>
        <v>0</v>
      </c>
      <c r="Y43" s="668">
        <f>IF(Y$4="forecast",AVERAGE(M43:X43),SUMIF('Dept. Cost Actuals'!$E$7:$E$176,"*Bank*",'Dept. Cost Actuals'!AC$1225:AC$1394))</f>
        <v>-5254.32</v>
      </c>
      <c r="Z43" s="668">
        <f>IF(Z$4="forecast",AVERAGE(N43:Y43),SUMIF('Dept. Cost Actuals'!$E$7:$E$176,"*Bank*",'Dept. Cost Actuals'!AD$1225:AD$1394))</f>
        <v>150.12</v>
      </c>
      <c r="AA43" s="668">
        <f>IF(AA$4="forecast",AVERAGE(O43:Z43),SUMIF('Dept. Cost Actuals'!$E$7:$E$176,"*Bank*",'Dept. Cost Actuals'!AE$1225:AE$1394))</f>
        <v>150.12</v>
      </c>
      <c r="AB43" s="668">
        <f>IF(AB$4="forecast",AVERAGE(P43:AA43),SUMIF('Dept. Cost Actuals'!$E$7:$E$176,"*Bank*",'Dept. Cost Actuals'!AF$1225:AF$1394))</f>
        <v>150.12</v>
      </c>
      <c r="AC43" s="668">
        <f>IF(AC$4="forecast",AVERAGE(Q43:AB43),SUMIF('Dept. Cost Actuals'!$E$7:$E$176,"*Bank*",'Dept. Cost Actuals'!AG$1225:AG$1394))</f>
        <v>150.12</v>
      </c>
      <c r="AD43" s="668">
        <f>IF(AD$4="forecast",AVERAGE(R43:AC43),SUMIF('Dept. Cost Actuals'!$E$7:$E$176,"*Bank*",'Dept. Cost Actuals'!AH$1225:AH$1394))</f>
        <v>-380.26666666666665</v>
      </c>
      <c r="AE43" s="668">
        <f>IF(AE$4="forecast",AVERAGE(S43:AD43),SUMIF('Dept. Cost Actuals'!$E$7:$E$176,"*Bank*",'Dept. Cost Actuals'!AI$1225:AI$1394))</f>
        <v>-411.95555555555552</v>
      </c>
      <c r="AF43" s="668">
        <f>IF(AF$4="forecast",AVERAGE(T43:AE43),SUMIF('Dept. Cost Actuals'!$E$7:$E$176,"*Bank*",'Dept. Cost Actuals'!AJ$1225:AJ$1394))</f>
        <v>-446.28518518518513</v>
      </c>
      <c r="AG43" s="668">
        <f>IF(AG$4="forecast",AVERAGE(U43:AF43),SUMIF('Dept. Cost Actuals'!$E$7:$E$176,"*Bank*",'Dept. Cost Actuals'!AK$1225:AK$1394))</f>
        <v>-491.02895061728395</v>
      </c>
      <c r="AH43" s="668">
        <f>IF(AH$4="forecast",AVERAGE(V43:AG43),SUMIF('Dept. Cost Actuals'!$E$7:$E$176,"*Bank*",'Dept. Cost Actuals'!AL$1225:AL$1394))</f>
        <v>-531.94802983539091</v>
      </c>
      <c r="AI43" s="668">
        <f>IF(AI$4="forecast",AVERAGE(W43:AH43),SUMIF('Dept. Cost Actuals'!$E$7:$E$176,"*Bank*",'Dept. Cost Actuals'!AM$1225:AM$1394))</f>
        <v>-576.27703232167357</v>
      </c>
      <c r="AJ43" s="668">
        <f>IF(AJ$4="forecast",AVERAGE(X43:AI43),SUMIF('Dept. Cost Actuals'!$E$7:$E$176,"*Bank*",'Dept. Cost Actuals'!AN$1225:AN$1394))</f>
        <v>-624.30011834847971</v>
      </c>
      <c r="AK43" s="668">
        <f>IF(AK$4="forecast",AVERAGE(Y43:AJ43),SUMIF('Dept. Cost Actuals'!$E$7:$E$176,"*Bank*",'Dept. Cost Actuals'!AO$1225:AO$1394))</f>
        <v>-676.32512821085299</v>
      </c>
      <c r="AL43" s="668">
        <f>IF(AL$4="forecast",AVERAGE(Z43:AK43),SUMIF('Dept. Cost Actuals'!$E$7:$E$176,"*Bank*",'Dept. Cost Actuals'!AP$1225:AP$1394))</f>
        <v>-294.82555556175743</v>
      </c>
      <c r="AM43" s="668">
        <f>IF(AM$4="forecast",AVERAGE(AA43:AL43),SUMIF('Dept. Cost Actuals'!$E$7:$E$176,"*Bank*",'Dept. Cost Actuals'!AQ$1225:AQ$1394))</f>
        <v>-331.90435185857052</v>
      </c>
      <c r="AN43" s="668">
        <f>IF(AN$4="forecast",AVERAGE(AB43:AM43),SUMIF('Dept. Cost Actuals'!$E$7:$E$176,"*Bank*",'Dept. Cost Actuals'!AR$1225:AR$1394))</f>
        <v>-372.07304784678468</v>
      </c>
      <c r="AO43" s="668">
        <f>IF(AO$4="forecast",AVERAGE(AC43:AN43),SUMIF('Dept. Cost Actuals'!$E$7:$E$176,"*Bank*",'Dept. Cost Actuals'!AS$1225:AS$1394))</f>
        <v>-415.58913516735015</v>
      </c>
      <c r="AP43" s="668">
        <f>IF(AP$4="forecast",AVERAGE(AD43:AO43),SUMIF('Dept. Cost Actuals'!$E$7:$E$176,"*Bank*",'Dept. Cost Actuals'!AT$1225:AT$1394))</f>
        <v>-462.73156309796258</v>
      </c>
      <c r="AQ43" s="668">
        <f>IF(AQ$4="forecast",AVERAGE(AE43:AP43),SUMIF('Dept. Cost Actuals'!$E$7:$E$176,"*Bank*",'Dept. Cost Actuals'!AU$1225:AU$1394))</f>
        <v>-469.60363780057065</v>
      </c>
      <c r="AR43" s="668">
        <f>IF(AR$4="forecast",AVERAGE(AF43:AQ43),SUMIF('Dept. Cost Actuals'!$E$7:$E$176,"*Bank*",'Dept. Cost Actuals'!AV$1225:AV$1394))</f>
        <v>-474.40764465432193</v>
      </c>
      <c r="AS43" s="668">
        <f>IF(AS$4="forecast",AVERAGE(AG43:AR43),SUMIF('Dept. Cost Actuals'!$E$7:$E$176,"*Bank*",'Dept. Cost Actuals'!AW$1225:AW$1394))</f>
        <v>-476.75118294341661</v>
      </c>
      <c r="AT43" s="668">
        <f>IF(AT$4="forecast",AVERAGE(AH43:AS43),SUMIF('Dept. Cost Actuals'!$E$7:$E$176,"*Bank*",'Dept. Cost Actuals'!AX$1225:AX$1394))</f>
        <v>-475.5613689705944</v>
      </c>
      <c r="AU43" s="668">
        <f>IF(AU$4="forecast",AVERAGE(AI43:AT43),SUMIF('Dept. Cost Actuals'!$E$7:$E$176,"*Bank*",'Dept. Cost Actuals'!AY$1225:AY$1394))</f>
        <v>-470.86248056519457</v>
      </c>
      <c r="AV43" s="668">
        <f>IF(AV$4="forecast",AVERAGE(AJ43:AU43),SUMIF('Dept. Cost Actuals'!$E$7:$E$176,"*Bank*",'Dept. Cost Actuals'!AZ$1225:AZ$1394))</f>
        <v>-462.07793458548804</v>
      </c>
      <c r="AW43" s="668">
        <f>IF(AW$4="forecast",AVERAGE(AK43:AV43),SUMIF('Dept. Cost Actuals'!$E$7:$E$176,"*Bank*",'Dept. Cost Actuals'!BA$1225:BA$1394))</f>
        <v>-448.55941927190537</v>
      </c>
      <c r="AX43" s="668">
        <f>IF(AX$4="forecast",AVERAGE(AL43:AW43),SUMIF('Dept. Cost Actuals'!$E$7:$E$176,"*Bank*",'Dept. Cost Actuals'!BB$1225:BB$1394))</f>
        <v>-429.57894352699304</v>
      </c>
      <c r="AY43" s="668">
        <f>IF(AY$4="forecast",AVERAGE(AM43:AX43),SUMIF('Dept. Cost Actuals'!$E$7:$E$176,"*Bank*",'Dept. Cost Actuals'!BC$1225:BC$1394))</f>
        <v>-440.80839252409606</v>
      </c>
      <c r="AZ43" s="668">
        <f>IF(AZ$4="forecast",AVERAGE(AN43:AY43),SUMIF('Dept. Cost Actuals'!$E$7:$E$176,"*Bank*",'Dept. Cost Actuals'!BD$1225:BD$1394))</f>
        <v>-449.88372924622314</v>
      </c>
      <c r="BA43" s="668">
        <f>IF(BA$4="forecast",AVERAGE(AO43:AZ43),SUMIF('Dept. Cost Actuals'!$E$7:$E$176,"*Bank*",'Dept. Cost Actuals'!BE$1225:BE$1394))</f>
        <v>-456.36795269617636</v>
      </c>
      <c r="BB43" s="668">
        <f>IF(BB$4="forecast",AVERAGE(AP43:BA43),SUMIF('Dept. Cost Actuals'!$E$7:$E$176,"*Bank*",'Dept. Cost Actuals'!BF$1225:BF$1394))</f>
        <v>-459.76618749024527</v>
      </c>
      <c r="BC43" s="668">
        <f>IF(BC$4="forecast",AVERAGE(AQ43:BB43),SUMIF('Dept. Cost Actuals'!$E$7:$E$176,"*Bank*",'Dept. Cost Actuals'!BG$1225:BG$1394))</f>
        <v>-459.51907285626868</v>
      </c>
      <c r="BD43" s="668">
        <f>IF(BD$4="forecast",AVERAGE(AR43:BC43),SUMIF('Dept. Cost Actuals'!$E$7:$E$176,"*Bank*",'Dept. Cost Actuals'!BH$1225:BH$1394))</f>
        <v>-458.67869244424361</v>
      </c>
      <c r="BE43" s="668">
        <f>IF(BE$4="forecast",AVERAGE(AS43:BD43),SUMIF('Dept. Cost Actuals'!$E$7:$E$176,"*Bank*",'Dept. Cost Actuals'!BI$1225:BI$1394))</f>
        <v>-457.36794642673709</v>
      </c>
      <c r="BF43" s="668">
        <f>IF(BF$4="forecast",AVERAGE(AT43:BE43),SUMIF('Dept. Cost Actuals'!$E$7:$E$176,"*Bank*",'Dept. Cost Actuals'!BJ$1225:BJ$1394))</f>
        <v>-455.75267671701386</v>
      </c>
      <c r="BG43" s="668">
        <f>IF(BG$4="forecast",AVERAGE(AU43:BF43),SUMIF('Dept. Cost Actuals'!$E$7:$E$176,"*Bank*",'Dept. Cost Actuals'!BK$1225:BK$1394))</f>
        <v>-454.10195236254873</v>
      </c>
      <c r="BH43" s="668">
        <f>IF(BH$4="forecast",AVERAGE(AV43:BG43),SUMIF('Dept. Cost Actuals'!$E$7:$E$176,"*Bank*",'Dept. Cost Actuals'!BL$1225:BL$1394))</f>
        <v>-452.70524167899498</v>
      </c>
      <c r="BI43" s="668">
        <f>IF(BI$4="forecast",AVERAGE(AW43:BH43),SUMIF('Dept. Cost Actuals'!$E$7:$E$176,"*Bank*",'Dept. Cost Actuals'!BM$1225:BM$1394))</f>
        <v>-451.92418393678713</v>
      </c>
      <c r="BJ43" s="668">
        <f>IF(BJ$4="forecast",AVERAGE(AX43:BI43),SUMIF('Dept. Cost Actuals'!$E$7:$E$176,"*Bank*",'Dept. Cost Actuals'!BN$1225:BN$1394))</f>
        <v>-452.204580992194</v>
      </c>
      <c r="BK43" s="668">
        <f>IF(BK$4="forecast",AVERAGE(AY43:BJ43),SUMIF('Dept. Cost Actuals'!$E$7:$E$176,"*Bank*",'Dept. Cost Actuals'!BO$1225:BO$1394))</f>
        <v>-454.09005078096067</v>
      </c>
      <c r="BL43" s="668">
        <f>IF(BL$4="forecast",AVERAGE(AZ43:BK43),SUMIF('Dept. Cost Actuals'!$E$7:$E$176,"*Bank*",'Dept. Cost Actuals'!BP$1225:BP$1394))</f>
        <v>-455.19685563569942</v>
      </c>
      <c r="BM43" s="668">
        <f>IF(BM$4="forecast",AVERAGE(BA43:BL43),SUMIF('Dept. Cost Actuals'!$E$7:$E$176,"*Bank*",'Dept. Cost Actuals'!BQ$1225:BQ$1394))</f>
        <v>-455.63961616815578</v>
      </c>
      <c r="BN43" s="668">
        <f>IF(BN$4="forecast",AVERAGE(BB43:BM43),SUMIF('Dept. Cost Actuals'!$E$7:$E$176,"*Bank*",'Dept. Cost Actuals'!BR$1225:BR$1394))</f>
        <v>-455.57892145748747</v>
      </c>
      <c r="BO43" s="668">
        <f>IF(BO$4="forecast",AVERAGE(BC43:BN43),SUMIF('Dept. Cost Actuals'!$E$7:$E$176,"*Bank*",'Dept. Cost Actuals'!BS$1225:BS$1394))</f>
        <v>-455.22998262142437</v>
      </c>
      <c r="BP43" s="668">
        <f>IF(BP$4="forecast",AVERAGE(BD43:BO43),SUMIF('Dept. Cost Actuals'!$E$7:$E$176,"*Bank*",'Dept. Cost Actuals'!BT$1225:BT$1394))</f>
        <v>-454.87255843518716</v>
      </c>
      <c r="BQ43" s="668">
        <f>IF(BQ$4="forecast",AVERAGE(BE43:BP43),SUMIF('Dept. Cost Actuals'!$E$7:$E$176,"*Bank*",'Dept. Cost Actuals'!BU$1225:BU$1394))</f>
        <v>-454.5553806010991</v>
      </c>
      <c r="BR43" s="668">
        <f>IF(BR$4="forecast",AVERAGE(BF43:BQ43),SUMIF('Dept. Cost Actuals'!$E$7:$E$176,"*Bank*",'Dept. Cost Actuals'!BV$1225:BV$1394))</f>
        <v>-454.32100011562937</v>
      </c>
      <c r="BS43" s="668">
        <f>IF(BS$4="forecast",AVERAGE(BG43:BR43),SUMIF('Dept. Cost Actuals'!$E$7:$E$176,"*Bank*",'Dept. Cost Actuals'!BW$1225:BW$1394))</f>
        <v>-454.20169373218073</v>
      </c>
      <c r="BT43" s="668">
        <f>IF(BT$4="forecast",AVERAGE(BH43:BS43),SUMIF('Dept. Cost Actuals'!$E$7:$E$176,"*Bank*",'Dept. Cost Actuals'!BX$1225:BX$1394))</f>
        <v>-454.21000551298334</v>
      </c>
      <c r="BU43" s="668">
        <f>IF(BU$4="forecast",AVERAGE(BI43:BT43),SUMIF('Dept. Cost Actuals'!$E$7:$E$176,"*Bank*",'Dept. Cost Actuals'!BY$1225:BY$1394))</f>
        <v>-454.33540249914898</v>
      </c>
      <c r="BV43" s="668">
        <f>IF(BV$4="forecast",AVERAGE(BJ43:BU43),SUMIF('Dept. Cost Actuals'!$E$7:$E$176,"*Bank*",'Dept. Cost Actuals'!BZ$1225:BZ$1394))</f>
        <v>-454.53633737934587</v>
      </c>
    </row>
    <row r="44" spans="1:74" s="156" customFormat="1" x14ac:dyDescent="0.25">
      <c r="A44" s="783"/>
      <c r="B44" s="794" t="s">
        <v>856</v>
      </c>
      <c r="C44" s="668">
        <f>IF(C$4="forecast",AVERAGE(#REF!),SUMIF('Dept. Cost Actuals'!$E$7:$E$176,"*Organizational and Business Exp*",'Dept. Cost Actuals'!G$1225:G$1394))</f>
        <v>0</v>
      </c>
      <c r="D44" s="668">
        <f>IF(D$4="forecast",AVERAGE(#REF!),SUMIF('Dept. Cost Actuals'!$E$7:$E$176,"*Organizational and Business Exp*",'Dept. Cost Actuals'!H$1225:H$1394))</f>
        <v>0</v>
      </c>
      <c r="E44" s="668">
        <f>IF(E$4="forecast",AVERAGE(#REF!),SUMIF('Dept. Cost Actuals'!$E$7:$E$176,"*Organizational and Business Exp*",'Dept. Cost Actuals'!I$1225:I$1394))</f>
        <v>0</v>
      </c>
      <c r="F44" s="668">
        <f>IF(F$4="forecast",AVERAGE(#REF!),SUMIF('Dept. Cost Actuals'!$E$7:$E$176,"*Organizational and Business Exp*",'Dept. Cost Actuals'!J$1225:J$1394))</f>
        <v>0</v>
      </c>
      <c r="G44" s="668">
        <f>IF(G$4="forecast",AVERAGE(#REF!),SUMIF('Dept. Cost Actuals'!$E$7:$E$176,"*Organizational and Business Exp*",'Dept. Cost Actuals'!K$1225:K$1394))</f>
        <v>0</v>
      </c>
      <c r="H44" s="668">
        <f>IF(H$4="forecast",AVERAGE(#REF!),SUMIF('Dept. Cost Actuals'!$E$7:$E$176,"*Organizational and Business Exp*",'Dept. Cost Actuals'!L$1225:L$1394))</f>
        <v>0</v>
      </c>
      <c r="I44" s="668">
        <f>IF(I$4="forecast",AVERAGE(#REF!),SUMIF('Dept. Cost Actuals'!$E$7:$E$176,"*Organizational and Business Exp*",'Dept. Cost Actuals'!M$1225:M$1394))</f>
        <v>0</v>
      </c>
      <c r="J44" s="668">
        <f>IF(J$4="forecast",AVERAGE(#REF!),SUMIF('Dept. Cost Actuals'!$E$7:$E$176,"*Organizational and Business Exp*",'Dept. Cost Actuals'!N$1225:N$1394))</f>
        <v>0</v>
      </c>
      <c r="K44" s="668">
        <f>IF(K$4="forecast",AVERAGE(#REF!),SUMIF('Dept. Cost Actuals'!$E$7:$E$176,"*Organizational and Business Exp*",'Dept. Cost Actuals'!O$1225:O$1394))</f>
        <v>0</v>
      </c>
      <c r="L44" s="668">
        <f>IF(L$4="forecast",AVERAGE(#REF!),SUMIF('Dept. Cost Actuals'!$E$7:$E$176,"*Organizational and Business Exp*",'Dept. Cost Actuals'!P$1225:P$1394))</f>
        <v>0</v>
      </c>
      <c r="M44" s="668">
        <f>IF(M$4="forecast",AVERAGE(A44:L44),SUMIF('Dept. Cost Actuals'!$E$7:$E$176,"*Organizational and Business Exp*",'Dept. Cost Actuals'!Q$1225:Q$1394))</f>
        <v>0</v>
      </c>
      <c r="N44" s="668">
        <f>IF(N$4="forecast",AVERAGE(B44:M44),SUMIF('Dept. Cost Actuals'!$E$7:$E$176,"*Organizational and Business Exp*",'Dept. Cost Actuals'!R$1225:R$1394))</f>
        <v>0</v>
      </c>
      <c r="O44" s="668">
        <f>IF(O$4="forecast",AVERAGE(C44:N44),SUMIF('Dept. Cost Actuals'!$E$7:$E$176,"*Organizational and Business Exp*",'Dept. Cost Actuals'!S$1225:S$1394))</f>
        <v>0</v>
      </c>
      <c r="P44" s="668">
        <f>IF(P$4="forecast",AVERAGE(D44:O44),SUMIF('Dept. Cost Actuals'!$E$7:$E$176,"*Organizational and Business Exp*",'Dept. Cost Actuals'!T$1225:T$1394))</f>
        <v>0</v>
      </c>
      <c r="Q44" s="668">
        <f>IF(Q$4="forecast",AVERAGE(E44:P44),SUMIF('Dept. Cost Actuals'!$E$7:$E$176,"*Organizational and Business Exp*",'Dept. Cost Actuals'!U$1225:U$1394))</f>
        <v>0</v>
      </c>
      <c r="R44" s="668">
        <f>IF(R$4="forecast",AVERAGE(F44:Q44),SUMIF('Dept. Cost Actuals'!$E$7:$E$176,"*Organizational and Business Exp*",'Dept. Cost Actuals'!V$1225:V$1394))</f>
        <v>0</v>
      </c>
      <c r="S44" s="668">
        <f>IF(S$4="forecast",AVERAGE(G44:R44),SUMIF('Dept. Cost Actuals'!$E$7:$E$176,"*Organizational and Business Exp*",'Dept. Cost Actuals'!W$1225:W$1394))</f>
        <v>0</v>
      </c>
      <c r="T44" s="668">
        <f>IF(T$4="forecast",AVERAGE(H44:S44),SUMIF('Dept. Cost Actuals'!$E$7:$E$176,"*Organizational and Business Exp*",'Dept. Cost Actuals'!X$1225:X$1394))</f>
        <v>0</v>
      </c>
      <c r="U44" s="668">
        <f>IF(U$4="forecast",AVERAGE(I44:T44),SUMIF('Dept. Cost Actuals'!$E$7:$E$176,"*Organizational and Business Exp*",'Dept. Cost Actuals'!Y$1225:Y$1394))</f>
        <v>0</v>
      </c>
      <c r="V44" s="668">
        <f>IF(V$4="forecast",AVERAGE(J44:U44),SUMIF('Dept. Cost Actuals'!$E$7:$E$176,"*Organizational and Business Exp*",'Dept. Cost Actuals'!Z$1225:Z$1394))</f>
        <v>0</v>
      </c>
      <c r="W44" s="668">
        <f>IF(W$4="forecast",AVERAGE(K44:V44),SUMIF('Dept. Cost Actuals'!$E$7:$E$176,"*Organizational and Business Exp*",'Dept. Cost Actuals'!AA$1225:AA$1394))</f>
        <v>0</v>
      </c>
      <c r="X44" s="668">
        <f>IF(X$4="forecast",AVERAGE(L44:W44),SUMIF('Dept. Cost Actuals'!$E$7:$E$176,"*Organizational and Business Exp*",'Dept. Cost Actuals'!AB$1225:AB$1394))</f>
        <v>0</v>
      </c>
      <c r="Y44" s="668">
        <f>IF(Y$4="forecast",AVERAGE(M44:X44),SUMIF('Dept. Cost Actuals'!$E$7:$E$176,"*Organizational and Business Exp*",'Dept. Cost Actuals'!AC$1225:AC$1394))</f>
        <v>0</v>
      </c>
      <c r="Z44" s="668">
        <f>IF(Z$4="forecast",AVERAGE(N44:Y44),SUMIF('Dept. Cost Actuals'!$E$7:$E$176,"*Organizational and Business Exp*",'Dept. Cost Actuals'!AD$1225:AD$1394))</f>
        <v>0</v>
      </c>
      <c r="AA44" s="668">
        <f>IF(AA$4="forecast",AVERAGE(O44:Z44),SUMIF('Dept. Cost Actuals'!$E$7:$E$176,"*Organizational and Business Exp*",'Dept. Cost Actuals'!AE$1225:AE$1394))</f>
        <v>0</v>
      </c>
      <c r="AB44" s="668">
        <f>IF(AB$4="forecast",AVERAGE(P44:AA44),SUMIF('Dept. Cost Actuals'!$E$7:$E$176,"*Organizational and Business Exp*",'Dept. Cost Actuals'!AF$1225:AF$1394))</f>
        <v>0</v>
      </c>
      <c r="AC44" s="668">
        <f>IF(AC$4="forecast",AVERAGE(Q44:AB44),SUMIF('Dept. Cost Actuals'!$E$7:$E$176,"*Organizational and Business Exp*",'Dept. Cost Actuals'!AG$1225:AG$1394))</f>
        <v>0</v>
      </c>
      <c r="AD44" s="668">
        <f>IF(AD$4="forecast",AVERAGE(R44:AC44),SUMIF('Dept. Cost Actuals'!$E$7:$E$176,"*Organizational and Business Exp*",'Dept. Cost Actuals'!AH$1225:AH$1394))</f>
        <v>0</v>
      </c>
      <c r="AE44" s="668">
        <f>IF(AE$4="forecast",AVERAGE(S44:AD44),SUMIF('Dept. Cost Actuals'!$E$7:$E$176,"*Organizational and Business Exp*",'Dept. Cost Actuals'!AI$1225:AI$1394))</f>
        <v>0</v>
      </c>
      <c r="AF44" s="668">
        <f>IF(AF$4="forecast",AVERAGE(T44:AE44),SUMIF('Dept. Cost Actuals'!$E$7:$E$176,"*Organizational and Business Exp*",'Dept. Cost Actuals'!AJ$1225:AJ$1394))</f>
        <v>0</v>
      </c>
      <c r="AG44" s="668">
        <f>IF(AG$4="forecast",AVERAGE(U44:AF44),SUMIF('Dept. Cost Actuals'!$E$7:$E$176,"*Organizational and Business Exp*",'Dept. Cost Actuals'!AK$1225:AK$1394))</f>
        <v>0</v>
      </c>
      <c r="AH44" s="668">
        <f>IF(AH$4="forecast",AVERAGE(V44:AG44),SUMIF('Dept. Cost Actuals'!$E$7:$E$176,"*Organizational and Business Exp*",'Dept. Cost Actuals'!AL$1225:AL$1394))</f>
        <v>0</v>
      </c>
      <c r="AI44" s="668">
        <f>IF(AI$4="forecast",AVERAGE(W44:AH44),SUMIF('Dept. Cost Actuals'!$E$7:$E$176,"*Organizational and Business Exp*",'Dept. Cost Actuals'!AM$1225:AM$1394))</f>
        <v>0</v>
      </c>
      <c r="AJ44" s="668">
        <f>IF(AJ$4="forecast",AVERAGE(X44:AI44),SUMIF('Dept. Cost Actuals'!$E$7:$E$176,"*Organizational and Business Exp*",'Dept. Cost Actuals'!AN$1225:AN$1394))</f>
        <v>0</v>
      </c>
      <c r="AK44" s="668">
        <f>IF(AK$4="forecast",AVERAGE(Y44:AJ44),SUMIF('Dept. Cost Actuals'!$E$7:$E$176,"*Organizational and Business Exp*",'Dept. Cost Actuals'!AO$1225:AO$1394))</f>
        <v>0</v>
      </c>
      <c r="AL44" s="668">
        <f>IF(AL$4="forecast",AVERAGE(Z44:AK44),SUMIF('Dept. Cost Actuals'!$E$7:$E$176,"*Organizational and Business Exp*",'Dept. Cost Actuals'!AP$1225:AP$1394))</f>
        <v>0</v>
      </c>
      <c r="AM44" s="668">
        <f>IF(AM$4="forecast",AVERAGE(AA44:AL44),SUMIF('Dept. Cost Actuals'!$E$7:$E$176,"*Organizational and Business Exp*",'Dept. Cost Actuals'!AQ$1225:AQ$1394))</f>
        <v>0</v>
      </c>
      <c r="AN44" s="668">
        <f>IF(AN$4="forecast",AVERAGE(AB44:AM44),SUMIF('Dept. Cost Actuals'!$E$7:$E$176,"*Organizational and Business Exp*",'Dept. Cost Actuals'!AR$1225:AR$1394))</f>
        <v>0</v>
      </c>
      <c r="AO44" s="668">
        <f>IF(AO$4="forecast",AVERAGE(AC44:AN44),SUMIF('Dept. Cost Actuals'!$E$7:$E$176,"*Organizational and Business Exp*",'Dept. Cost Actuals'!AS$1225:AS$1394))</f>
        <v>0</v>
      </c>
      <c r="AP44" s="668">
        <f>IF(AP$4="forecast",AVERAGE(AD44:AO44),SUMIF('Dept. Cost Actuals'!$E$7:$E$176,"*Organizational and Business Exp*",'Dept. Cost Actuals'!AT$1225:AT$1394))</f>
        <v>0</v>
      </c>
      <c r="AQ44" s="668">
        <f>IF(AQ$4="forecast",AVERAGE(AE44:AP44),SUMIF('Dept. Cost Actuals'!$E$7:$E$176,"*Organizational and Business Exp*",'Dept. Cost Actuals'!AU$1225:AU$1394))</f>
        <v>0</v>
      </c>
      <c r="AR44" s="668">
        <f>IF(AR$4="forecast",AVERAGE(AF44:AQ44),SUMIF('Dept. Cost Actuals'!$E$7:$E$176,"*Organizational and Business Exp*",'Dept. Cost Actuals'!AV$1225:AV$1394))</f>
        <v>0</v>
      </c>
      <c r="AS44" s="668">
        <f>IF(AS$4="forecast",AVERAGE(AG44:AR44),SUMIF('Dept. Cost Actuals'!$E$7:$E$176,"*Organizational and Business Exp*",'Dept. Cost Actuals'!AW$1225:AW$1394))</f>
        <v>0</v>
      </c>
      <c r="AT44" s="668">
        <f>IF(AT$4="forecast",AVERAGE(AH44:AS44),SUMIF('Dept. Cost Actuals'!$E$7:$E$176,"*Organizational and Business Exp*",'Dept. Cost Actuals'!AX$1225:AX$1394))</f>
        <v>0</v>
      </c>
      <c r="AU44" s="668">
        <f>IF(AU$4="forecast",AVERAGE(AI44:AT44),SUMIF('Dept. Cost Actuals'!$E$7:$E$176,"*Organizational and Business Exp*",'Dept. Cost Actuals'!AY$1225:AY$1394))</f>
        <v>0</v>
      </c>
      <c r="AV44" s="668">
        <f>IF(AV$4="forecast",AVERAGE(AJ44:AU44),SUMIF('Dept. Cost Actuals'!$E$7:$E$176,"*Organizational and Business Exp*",'Dept. Cost Actuals'!AZ$1225:AZ$1394))</f>
        <v>0</v>
      </c>
      <c r="AW44" s="668">
        <f>IF(AW$4="forecast",AVERAGE(AK44:AV44),SUMIF('Dept. Cost Actuals'!$E$7:$E$176,"*Organizational and Business Exp*",'Dept. Cost Actuals'!BA$1225:BA$1394))</f>
        <v>0</v>
      </c>
      <c r="AX44" s="668">
        <f>IF(AX$4="forecast",AVERAGE(AL44:AW44),SUMIF('Dept. Cost Actuals'!$E$7:$E$176,"*Organizational and Business Exp*",'Dept. Cost Actuals'!BB$1225:BB$1394))</f>
        <v>0</v>
      </c>
      <c r="AY44" s="668">
        <f>IF(AY$4="forecast",AVERAGE(AM44:AX44),SUMIF('Dept. Cost Actuals'!$E$7:$E$176,"*Organizational and Business Exp*",'Dept. Cost Actuals'!BC$1225:BC$1394))</f>
        <v>0</v>
      </c>
      <c r="AZ44" s="668">
        <f>IF(AZ$4="forecast",AVERAGE(AN44:AY44),SUMIF('Dept. Cost Actuals'!$E$7:$E$176,"*Organizational and Business Exp*",'Dept. Cost Actuals'!BD$1225:BD$1394))</f>
        <v>0</v>
      </c>
      <c r="BA44" s="668">
        <f>IF(BA$4="forecast",AVERAGE(AO44:AZ44),SUMIF('Dept. Cost Actuals'!$E$7:$E$176,"*Organizational and Business Exp*",'Dept. Cost Actuals'!BE$1225:BE$1394))</f>
        <v>0</v>
      </c>
      <c r="BB44" s="668">
        <f>IF(BB$4="forecast",AVERAGE(AP44:BA44),SUMIF('Dept. Cost Actuals'!$E$7:$E$176,"*Organizational and Business Exp*",'Dept. Cost Actuals'!BF$1225:BF$1394))</f>
        <v>0</v>
      </c>
      <c r="BC44" s="668">
        <f>IF(BC$4="forecast",AVERAGE(AQ44:BB44),SUMIF('Dept. Cost Actuals'!$E$7:$E$176,"*Organizational and Business Exp*",'Dept. Cost Actuals'!BG$1225:BG$1394))</f>
        <v>0</v>
      </c>
      <c r="BD44" s="668">
        <f>IF(BD$4="forecast",AVERAGE(AR44:BC44),SUMIF('Dept. Cost Actuals'!$E$7:$E$176,"*Organizational and Business Exp*",'Dept. Cost Actuals'!BH$1225:BH$1394))</f>
        <v>0</v>
      </c>
      <c r="BE44" s="668">
        <f>IF(BE$4="forecast",AVERAGE(AS44:BD44),SUMIF('Dept. Cost Actuals'!$E$7:$E$176,"*Organizational and Business Exp*",'Dept. Cost Actuals'!BI$1225:BI$1394))</f>
        <v>0</v>
      </c>
      <c r="BF44" s="668">
        <f>IF(BF$4="forecast",AVERAGE(AT44:BE44),SUMIF('Dept. Cost Actuals'!$E$7:$E$176,"*Organizational and Business Exp*",'Dept. Cost Actuals'!BJ$1225:BJ$1394))</f>
        <v>0</v>
      </c>
      <c r="BG44" s="668">
        <f>IF(BG$4="forecast",AVERAGE(AU44:BF44),SUMIF('Dept. Cost Actuals'!$E$7:$E$176,"*Organizational and Business Exp*",'Dept. Cost Actuals'!BK$1225:BK$1394))</f>
        <v>0</v>
      </c>
      <c r="BH44" s="668">
        <f>IF(BH$4="forecast",AVERAGE(AV44:BG44),SUMIF('Dept. Cost Actuals'!$E$7:$E$176,"*Organizational and Business Exp*",'Dept. Cost Actuals'!BL$1225:BL$1394))</f>
        <v>0</v>
      </c>
      <c r="BI44" s="668">
        <f>IF(BI$4="forecast",AVERAGE(AW44:BH44),SUMIF('Dept. Cost Actuals'!$E$7:$E$176,"*Organizational and Business Exp*",'Dept. Cost Actuals'!BM$1225:BM$1394))</f>
        <v>0</v>
      </c>
      <c r="BJ44" s="668">
        <f>IF(BJ$4="forecast",AVERAGE(AX44:BI44),SUMIF('Dept. Cost Actuals'!$E$7:$E$176,"*Organizational and Business Exp*",'Dept. Cost Actuals'!BN$1225:BN$1394))</f>
        <v>0</v>
      </c>
      <c r="BK44" s="668">
        <f>IF(BK$4="forecast",AVERAGE(AY44:BJ44),SUMIF('Dept. Cost Actuals'!$E$7:$E$176,"*Organizational and Business Exp*",'Dept. Cost Actuals'!BO$1225:BO$1394))</f>
        <v>0</v>
      </c>
      <c r="BL44" s="668">
        <f>IF(BL$4="forecast",AVERAGE(AZ44:BK44),SUMIF('Dept. Cost Actuals'!$E$7:$E$176,"*Organizational and Business Exp*",'Dept. Cost Actuals'!BP$1225:BP$1394))</f>
        <v>0</v>
      </c>
      <c r="BM44" s="668">
        <f>IF(BM$4="forecast",AVERAGE(BA44:BL44),SUMIF('Dept. Cost Actuals'!$E$7:$E$176,"*Organizational and Business Exp*",'Dept. Cost Actuals'!BQ$1225:BQ$1394))</f>
        <v>0</v>
      </c>
      <c r="BN44" s="668">
        <f>IF(BN$4="forecast",AVERAGE(BB44:BM44),SUMIF('Dept. Cost Actuals'!$E$7:$E$176,"*Organizational and Business Exp*",'Dept. Cost Actuals'!BR$1225:BR$1394))</f>
        <v>0</v>
      </c>
      <c r="BO44" s="668">
        <f>IF(BO$4="forecast",AVERAGE(BC44:BN44),SUMIF('Dept. Cost Actuals'!$E$7:$E$176,"*Organizational and Business Exp*",'Dept. Cost Actuals'!BS$1225:BS$1394))</f>
        <v>0</v>
      </c>
      <c r="BP44" s="668">
        <f>IF(BP$4="forecast",AVERAGE(BD44:BO44),SUMIF('Dept. Cost Actuals'!$E$7:$E$176,"*Organizational and Business Exp*",'Dept. Cost Actuals'!BT$1225:BT$1394))</f>
        <v>0</v>
      </c>
      <c r="BQ44" s="668">
        <f>IF(BQ$4="forecast",AVERAGE(BE44:BP44),SUMIF('Dept. Cost Actuals'!$E$7:$E$176,"*Organizational and Business Exp*",'Dept. Cost Actuals'!BU$1225:BU$1394))</f>
        <v>0</v>
      </c>
      <c r="BR44" s="668">
        <f>IF(BR$4="forecast",AVERAGE(BF44:BQ44),SUMIF('Dept. Cost Actuals'!$E$7:$E$176,"*Organizational and Business Exp*",'Dept. Cost Actuals'!BV$1225:BV$1394))</f>
        <v>0</v>
      </c>
      <c r="BS44" s="668">
        <f>IF(BS$4="forecast",AVERAGE(BG44:BR44),SUMIF('Dept. Cost Actuals'!$E$7:$E$176,"*Organizational and Business Exp*",'Dept. Cost Actuals'!BW$1225:BW$1394))</f>
        <v>0</v>
      </c>
      <c r="BT44" s="668">
        <f>IF(BT$4="forecast",AVERAGE(BH44:BS44),SUMIF('Dept. Cost Actuals'!$E$7:$E$176,"*Organizational and Business Exp*",'Dept. Cost Actuals'!BX$1225:BX$1394))</f>
        <v>0</v>
      </c>
      <c r="BU44" s="668">
        <f>IF(BU$4="forecast",AVERAGE(BI44:BT44),SUMIF('Dept. Cost Actuals'!$E$7:$E$176,"*Organizational and Business Exp*",'Dept. Cost Actuals'!BY$1225:BY$1394))</f>
        <v>0</v>
      </c>
      <c r="BV44" s="668">
        <f>IF(BV$4="forecast",AVERAGE(BJ44:BU44),SUMIF('Dept. Cost Actuals'!$E$7:$E$176,"*Organizational and Business Exp*",'Dept. Cost Actuals'!BZ$1225:BZ$1394))</f>
        <v>0</v>
      </c>
    </row>
    <row r="45" spans="1:74" s="156" customFormat="1" x14ac:dyDescent="0.25">
      <c r="A45" s="783"/>
      <c r="B45" s="794" t="s">
        <v>1325</v>
      </c>
      <c r="C45" s="668">
        <f>IF(C$4="forecast",AVERAGE(#REF!),SUMIF('Dept. Cost Actuals'!$E$7:$E$176,"*Contributions*",'Dept. Cost Actuals'!G$1225:G$1394))</f>
        <v>0</v>
      </c>
      <c r="D45" s="668">
        <f>IF(D$4="forecast",AVERAGE(#REF!),SUMIF('Dept. Cost Actuals'!$E$7:$E$176,"*Contributions*",'Dept. Cost Actuals'!H$1225:H$1394))</f>
        <v>0</v>
      </c>
      <c r="E45" s="668">
        <f>IF(E$4="forecast",AVERAGE(#REF!),SUMIF('Dept. Cost Actuals'!$E$7:$E$176,"*Contributions*",'Dept. Cost Actuals'!I$1225:I$1394))</f>
        <v>0</v>
      </c>
      <c r="F45" s="668">
        <f>IF(F$4="forecast",AVERAGE(#REF!),SUMIF('Dept. Cost Actuals'!$E$7:$E$176,"*Contributions*",'Dept. Cost Actuals'!J$1225:J$1394))</f>
        <v>0</v>
      </c>
      <c r="G45" s="668">
        <f>IF(G$4="forecast",AVERAGE(#REF!),SUMIF('Dept. Cost Actuals'!$E$7:$E$176,"*Contributions*",'Dept. Cost Actuals'!K$1225:K$1394))</f>
        <v>0</v>
      </c>
      <c r="H45" s="668">
        <f>IF(H$4="forecast",AVERAGE(#REF!),SUMIF('Dept. Cost Actuals'!$E$7:$E$176,"*Contributions*",'Dept. Cost Actuals'!L$1225:L$1394))</f>
        <v>300</v>
      </c>
      <c r="I45" s="668">
        <f>IF(I$4="forecast",AVERAGE(#REF!),SUMIF('Dept. Cost Actuals'!$E$7:$E$176,"*Contributions*",'Dept. Cost Actuals'!M$1225:M$1394))</f>
        <v>0</v>
      </c>
      <c r="J45" s="668">
        <f>IF(J$4="forecast",AVERAGE(#REF!),SUMIF('Dept. Cost Actuals'!$E$7:$E$176,"*Contributions*",'Dept. Cost Actuals'!N$1225:N$1394))</f>
        <v>0</v>
      </c>
      <c r="K45" s="668">
        <f>IF(K$4="forecast",AVERAGE(#REF!),SUMIF('Dept. Cost Actuals'!$E$7:$E$176,"*Contributions*",'Dept. Cost Actuals'!O$1225:O$1394))</f>
        <v>0</v>
      </c>
      <c r="L45" s="668">
        <f>IF(L$4="forecast",AVERAGE(#REF!),SUMIF('Dept. Cost Actuals'!$E$7:$E$176,"*Contributions*",'Dept. Cost Actuals'!P$1225:P$1394))</f>
        <v>0</v>
      </c>
      <c r="M45" s="668">
        <f>IF(M$4="forecast",AVERAGE(A45:L45),SUMIF('Dept. Cost Actuals'!$E$7:$E$176,"*Contributions*",'Dept. Cost Actuals'!Q$1225:Q$1394))</f>
        <v>0</v>
      </c>
      <c r="N45" s="668">
        <f>IF(N$4="forecast",AVERAGE(B45:M45),SUMIF('Dept. Cost Actuals'!$E$7:$E$176,"*Contributions*",'Dept. Cost Actuals'!R$1225:R$1394))</f>
        <v>0</v>
      </c>
      <c r="O45" s="668">
        <f>IF(O$4="forecast",AVERAGE(C45:N45),SUMIF('Dept. Cost Actuals'!$E$7:$E$176,"*Contributions*",'Dept. Cost Actuals'!S$1225:S$1394))</f>
        <v>0</v>
      </c>
      <c r="P45" s="668">
        <f>IF(P$4="forecast",AVERAGE(D45:O45),SUMIF('Dept. Cost Actuals'!$E$7:$E$176,"*Contributions*",'Dept. Cost Actuals'!T$1225:T$1394))</f>
        <v>0</v>
      </c>
      <c r="Q45" s="668">
        <f>IF(Q$4="forecast",AVERAGE(E45:P45),SUMIF('Dept. Cost Actuals'!$E$7:$E$176,"*Contributions*",'Dept. Cost Actuals'!U$1225:U$1394))</f>
        <v>0</v>
      </c>
      <c r="R45" s="668">
        <f>IF(R$4="forecast",AVERAGE(F45:Q45),SUMIF('Dept. Cost Actuals'!$E$7:$E$176,"*Contributions*",'Dept. Cost Actuals'!V$1225:V$1394))</f>
        <v>0</v>
      </c>
      <c r="S45" s="668">
        <f>IF(S$4="forecast",AVERAGE(G45:R45),SUMIF('Dept. Cost Actuals'!$E$7:$E$176,"*Contributions*",'Dept. Cost Actuals'!W$1225:W$1394))</f>
        <v>0</v>
      </c>
      <c r="T45" s="668">
        <f>IF(T$4="forecast",AVERAGE(H45:S45),SUMIF('Dept. Cost Actuals'!$E$7:$E$176,"*Contributions*",'Dept. Cost Actuals'!X$1225:X$1394))</f>
        <v>0</v>
      </c>
      <c r="U45" s="668">
        <f>IF(U$4="forecast",AVERAGE(I45:T45),SUMIF('Dept. Cost Actuals'!$E$7:$E$176,"*Contributions*",'Dept. Cost Actuals'!Y$1225:Y$1394))</f>
        <v>0</v>
      </c>
      <c r="V45" s="668">
        <f>IF(V$4="forecast",AVERAGE(J45:U45),SUMIF('Dept. Cost Actuals'!$E$7:$E$176,"*Contributions*",'Dept. Cost Actuals'!Z$1225:Z$1394))</f>
        <v>0</v>
      </c>
      <c r="W45" s="668">
        <f>IF(W$4="forecast",AVERAGE(K45:V45),SUMIF('Dept. Cost Actuals'!$E$7:$E$176,"*Contributions*",'Dept. Cost Actuals'!AA$1225:AA$1394))</f>
        <v>0</v>
      </c>
      <c r="X45" s="668">
        <f>IF(X$4="forecast",AVERAGE(L45:W45),SUMIF('Dept. Cost Actuals'!$E$7:$E$176,"*Contributions*",'Dept. Cost Actuals'!AB$1225:AB$1394))</f>
        <v>0</v>
      </c>
      <c r="Y45" s="668">
        <f>IF(Y$4="forecast",AVERAGE(M45:X45),SUMIF('Dept. Cost Actuals'!$E$7:$E$176,"*Contributions*",'Dept. Cost Actuals'!AC$1225:AC$1394))</f>
        <v>0</v>
      </c>
      <c r="Z45" s="668">
        <f>IF(Z$4="forecast",AVERAGE(N45:Y45),SUMIF('Dept. Cost Actuals'!$E$7:$E$176,"*Contributions*",'Dept. Cost Actuals'!AD$1225:AD$1394))</f>
        <v>0</v>
      </c>
      <c r="AA45" s="668">
        <f>IF(AA$4="forecast",AVERAGE(O45:Z45),SUMIF('Dept. Cost Actuals'!$E$7:$E$176,"*Contributions*",'Dept. Cost Actuals'!AE$1225:AE$1394))</f>
        <v>0</v>
      </c>
      <c r="AB45" s="668">
        <f>IF(AB$4="forecast",AVERAGE(P45:AA45),SUMIF('Dept. Cost Actuals'!$E$7:$E$176,"*Contributions*",'Dept. Cost Actuals'!AF$1225:AF$1394))</f>
        <v>0</v>
      </c>
      <c r="AC45" s="668">
        <f>IF(AC$4="forecast",AVERAGE(Q45:AB45),SUMIF('Dept. Cost Actuals'!$E$7:$E$176,"*Contributions*",'Dept. Cost Actuals'!AG$1225:AG$1394))</f>
        <v>0</v>
      </c>
      <c r="AD45" s="668">
        <f>IF(AD$4="forecast",AVERAGE(R45:AC45),SUMIF('Dept. Cost Actuals'!$E$7:$E$176,"*Contributions*",'Dept. Cost Actuals'!AH$1225:AH$1394))</f>
        <v>0</v>
      </c>
      <c r="AE45" s="668">
        <f>IF(AE$4="forecast",AVERAGE(S45:AD45),SUMIF('Dept. Cost Actuals'!$E$7:$E$176,"*Contributions*",'Dept. Cost Actuals'!AI$1225:AI$1394))</f>
        <v>0</v>
      </c>
      <c r="AF45" s="668">
        <f>IF(AF$4="forecast",AVERAGE(T45:AE45),SUMIF('Dept. Cost Actuals'!$E$7:$E$176,"*Contributions*",'Dept. Cost Actuals'!AJ$1225:AJ$1394))</f>
        <v>0</v>
      </c>
      <c r="AG45" s="668">
        <f>IF(AG$4="forecast",AVERAGE(U45:AF45),SUMIF('Dept. Cost Actuals'!$E$7:$E$176,"*Contributions*",'Dept. Cost Actuals'!AK$1225:AK$1394))</f>
        <v>0</v>
      </c>
      <c r="AH45" s="668">
        <f>IF(AH$4="forecast",AVERAGE(V45:AG45),SUMIF('Dept. Cost Actuals'!$E$7:$E$176,"*Contributions*",'Dept. Cost Actuals'!AL$1225:AL$1394))</f>
        <v>0</v>
      </c>
      <c r="AI45" s="668">
        <f>IF(AI$4="forecast",AVERAGE(W45:AH45),SUMIF('Dept. Cost Actuals'!$E$7:$E$176,"*Contributions*",'Dept. Cost Actuals'!AM$1225:AM$1394))</f>
        <v>0</v>
      </c>
      <c r="AJ45" s="668">
        <f>IF(AJ$4="forecast",AVERAGE(X45:AI45),SUMIF('Dept. Cost Actuals'!$E$7:$E$176,"*Contributions*",'Dept. Cost Actuals'!AN$1225:AN$1394))</f>
        <v>0</v>
      </c>
      <c r="AK45" s="668">
        <f>IF(AK$4="forecast",AVERAGE(Y45:AJ45),SUMIF('Dept. Cost Actuals'!$E$7:$E$176,"*Contributions*",'Dept. Cost Actuals'!AO$1225:AO$1394))</f>
        <v>0</v>
      </c>
      <c r="AL45" s="668">
        <f>IF(AL$4="forecast",AVERAGE(Z45:AK45),SUMIF('Dept. Cost Actuals'!$E$7:$E$176,"*Contributions*",'Dept. Cost Actuals'!AP$1225:AP$1394))</f>
        <v>0</v>
      </c>
      <c r="AM45" s="668">
        <f>IF(AM$4="forecast",AVERAGE(AA45:AL45),SUMIF('Dept. Cost Actuals'!$E$7:$E$176,"*Contributions*",'Dept. Cost Actuals'!AQ$1225:AQ$1394))</f>
        <v>0</v>
      </c>
      <c r="AN45" s="668">
        <f>IF(AN$4="forecast",AVERAGE(AB45:AM45),SUMIF('Dept. Cost Actuals'!$E$7:$E$176,"*Contributions*",'Dept. Cost Actuals'!AR$1225:AR$1394))</f>
        <v>0</v>
      </c>
      <c r="AO45" s="668">
        <f>IF(AO$4="forecast",AVERAGE(AC45:AN45),SUMIF('Dept. Cost Actuals'!$E$7:$E$176,"*Contributions*",'Dept. Cost Actuals'!AS$1225:AS$1394))</f>
        <v>0</v>
      </c>
      <c r="AP45" s="668">
        <f>IF(AP$4="forecast",AVERAGE(AD45:AO45),SUMIF('Dept. Cost Actuals'!$E$7:$E$176,"*Contributions*",'Dept. Cost Actuals'!AT$1225:AT$1394))</f>
        <v>0</v>
      </c>
      <c r="AQ45" s="668">
        <f>IF(AQ$4="forecast",AVERAGE(AE45:AP45),SUMIF('Dept. Cost Actuals'!$E$7:$E$176,"*Contributions*",'Dept. Cost Actuals'!AU$1225:AU$1394))</f>
        <v>0</v>
      </c>
      <c r="AR45" s="668">
        <f>IF(AR$4="forecast",AVERAGE(AF45:AQ45),SUMIF('Dept. Cost Actuals'!$E$7:$E$176,"*Contributions*",'Dept. Cost Actuals'!AV$1225:AV$1394))</f>
        <v>0</v>
      </c>
      <c r="AS45" s="668">
        <f>IF(AS$4="forecast",AVERAGE(AG45:AR45),SUMIF('Dept. Cost Actuals'!$E$7:$E$176,"*Contributions*",'Dept. Cost Actuals'!AW$1225:AW$1394))</f>
        <v>0</v>
      </c>
      <c r="AT45" s="668">
        <f>IF(AT$4="forecast",AVERAGE(AH45:AS45),SUMIF('Dept. Cost Actuals'!$E$7:$E$176,"*Contributions*",'Dept. Cost Actuals'!AX$1225:AX$1394))</f>
        <v>0</v>
      </c>
      <c r="AU45" s="668">
        <f>IF(AU$4="forecast",AVERAGE(AI45:AT45),SUMIF('Dept. Cost Actuals'!$E$7:$E$176,"*Contributions*",'Dept. Cost Actuals'!AY$1225:AY$1394))</f>
        <v>0</v>
      </c>
      <c r="AV45" s="668">
        <f>IF(AV$4="forecast",AVERAGE(AJ45:AU45),SUMIF('Dept. Cost Actuals'!$E$7:$E$176,"*Contributions*",'Dept. Cost Actuals'!AZ$1225:AZ$1394))</f>
        <v>0</v>
      </c>
      <c r="AW45" s="668">
        <f>IF(AW$4="forecast",AVERAGE(AK45:AV45),SUMIF('Dept. Cost Actuals'!$E$7:$E$176,"*Contributions*",'Dept. Cost Actuals'!BA$1225:BA$1394))</f>
        <v>0</v>
      </c>
      <c r="AX45" s="668">
        <f>IF(AX$4="forecast",AVERAGE(AL45:AW45),SUMIF('Dept. Cost Actuals'!$E$7:$E$176,"*Contributions*",'Dept. Cost Actuals'!BB$1225:BB$1394))</f>
        <v>0</v>
      </c>
      <c r="AY45" s="668">
        <f>IF(AY$4="forecast",AVERAGE(AM45:AX45),SUMIF('Dept. Cost Actuals'!$E$7:$E$176,"*Contributions*",'Dept. Cost Actuals'!BC$1225:BC$1394))</f>
        <v>0</v>
      </c>
      <c r="AZ45" s="668">
        <f>IF(AZ$4="forecast",AVERAGE(AN45:AY45),SUMIF('Dept. Cost Actuals'!$E$7:$E$176,"*Contributions*",'Dept. Cost Actuals'!BD$1225:BD$1394))</f>
        <v>0</v>
      </c>
      <c r="BA45" s="668">
        <f>IF(BA$4="forecast",AVERAGE(AO45:AZ45),SUMIF('Dept. Cost Actuals'!$E$7:$E$176,"*Contributions*",'Dept. Cost Actuals'!BE$1225:BE$1394))</f>
        <v>0</v>
      </c>
      <c r="BB45" s="668">
        <f>IF(BB$4="forecast",AVERAGE(AP45:BA45),SUMIF('Dept. Cost Actuals'!$E$7:$E$176,"*Contributions*",'Dept. Cost Actuals'!BF$1225:BF$1394))</f>
        <v>0</v>
      </c>
      <c r="BC45" s="668">
        <f>IF(BC$4="forecast",AVERAGE(AQ45:BB45),SUMIF('Dept. Cost Actuals'!$E$7:$E$176,"*Contributions*",'Dept. Cost Actuals'!BG$1225:BG$1394))</f>
        <v>0</v>
      </c>
      <c r="BD45" s="668">
        <f>IF(BD$4="forecast",AVERAGE(AR45:BC45),SUMIF('Dept. Cost Actuals'!$E$7:$E$176,"*Contributions*",'Dept. Cost Actuals'!BH$1225:BH$1394))</f>
        <v>0</v>
      </c>
      <c r="BE45" s="668">
        <f>IF(BE$4="forecast",AVERAGE(AS45:BD45),SUMIF('Dept. Cost Actuals'!$E$7:$E$176,"*Contributions*",'Dept. Cost Actuals'!BI$1225:BI$1394))</f>
        <v>0</v>
      </c>
      <c r="BF45" s="668">
        <f>IF(BF$4="forecast",AVERAGE(AT45:BE45),SUMIF('Dept. Cost Actuals'!$E$7:$E$176,"*Contributions*",'Dept. Cost Actuals'!BJ$1225:BJ$1394))</f>
        <v>0</v>
      </c>
      <c r="BG45" s="668">
        <f>IF(BG$4="forecast",AVERAGE(AU45:BF45),SUMIF('Dept. Cost Actuals'!$E$7:$E$176,"*Contributions*",'Dept. Cost Actuals'!BK$1225:BK$1394))</f>
        <v>0</v>
      </c>
      <c r="BH45" s="668">
        <f>IF(BH$4="forecast",AVERAGE(AV45:BG45),SUMIF('Dept. Cost Actuals'!$E$7:$E$176,"*Contributions*",'Dept. Cost Actuals'!BL$1225:BL$1394))</f>
        <v>0</v>
      </c>
      <c r="BI45" s="668">
        <f>IF(BI$4="forecast",AVERAGE(AW45:BH45),SUMIF('Dept. Cost Actuals'!$E$7:$E$176,"*Contributions*",'Dept. Cost Actuals'!BM$1225:BM$1394))</f>
        <v>0</v>
      </c>
      <c r="BJ45" s="668">
        <f>IF(BJ$4="forecast",AVERAGE(AX45:BI45),SUMIF('Dept. Cost Actuals'!$E$7:$E$176,"*Contributions*",'Dept. Cost Actuals'!BN$1225:BN$1394))</f>
        <v>0</v>
      </c>
      <c r="BK45" s="668">
        <f>IF(BK$4="forecast",AVERAGE(AY45:BJ45),SUMIF('Dept. Cost Actuals'!$E$7:$E$176,"*Contributions*",'Dept. Cost Actuals'!BO$1225:BO$1394))</f>
        <v>0</v>
      </c>
      <c r="BL45" s="668">
        <f>IF(BL$4="forecast",AVERAGE(AZ45:BK45),SUMIF('Dept. Cost Actuals'!$E$7:$E$176,"*Contributions*",'Dept. Cost Actuals'!BP$1225:BP$1394))</f>
        <v>0</v>
      </c>
      <c r="BM45" s="668">
        <f>IF(BM$4="forecast",AVERAGE(BA45:BL45),SUMIF('Dept. Cost Actuals'!$E$7:$E$176,"*Contributions*",'Dept. Cost Actuals'!BQ$1225:BQ$1394))</f>
        <v>0</v>
      </c>
      <c r="BN45" s="668">
        <f>IF(BN$4="forecast",AVERAGE(BB45:BM45),SUMIF('Dept. Cost Actuals'!$E$7:$E$176,"*Contributions*",'Dept. Cost Actuals'!BR$1225:BR$1394))</f>
        <v>0</v>
      </c>
      <c r="BO45" s="668">
        <f>IF(BO$4="forecast",AVERAGE(BC45:BN45),SUMIF('Dept. Cost Actuals'!$E$7:$E$176,"*Contributions*",'Dept. Cost Actuals'!BS$1225:BS$1394))</f>
        <v>0</v>
      </c>
      <c r="BP45" s="668">
        <f>IF(BP$4="forecast",AVERAGE(BD45:BO45),SUMIF('Dept. Cost Actuals'!$E$7:$E$176,"*Contributions*",'Dept. Cost Actuals'!BT$1225:BT$1394))</f>
        <v>0</v>
      </c>
      <c r="BQ45" s="668">
        <f>IF(BQ$4="forecast",AVERAGE(BE45:BP45),SUMIF('Dept. Cost Actuals'!$E$7:$E$176,"*Contributions*",'Dept. Cost Actuals'!BU$1225:BU$1394))</f>
        <v>0</v>
      </c>
      <c r="BR45" s="668">
        <f>IF(BR$4="forecast",AVERAGE(BF45:BQ45),SUMIF('Dept. Cost Actuals'!$E$7:$E$176,"*Contributions*",'Dept. Cost Actuals'!BV$1225:BV$1394))</f>
        <v>0</v>
      </c>
      <c r="BS45" s="668">
        <f>IF(BS$4="forecast",AVERAGE(BG45:BR45),SUMIF('Dept. Cost Actuals'!$E$7:$E$176,"*Contributions*",'Dept. Cost Actuals'!BW$1225:BW$1394))</f>
        <v>0</v>
      </c>
      <c r="BT45" s="668">
        <f>IF(BT$4="forecast",AVERAGE(BH45:BS45),SUMIF('Dept. Cost Actuals'!$E$7:$E$176,"*Contributions*",'Dept. Cost Actuals'!BX$1225:BX$1394))</f>
        <v>0</v>
      </c>
      <c r="BU45" s="668">
        <f>IF(BU$4="forecast",AVERAGE(BI45:BT45),SUMIF('Dept. Cost Actuals'!$E$7:$E$176,"*Contributions*",'Dept. Cost Actuals'!BY$1225:BY$1394))</f>
        <v>0</v>
      </c>
      <c r="BV45" s="668">
        <f>IF(BV$4="forecast",AVERAGE(BJ45:BU45),SUMIF('Dept. Cost Actuals'!$E$7:$E$176,"*Contributions*",'Dept. Cost Actuals'!BZ$1225:BZ$1394))</f>
        <v>0</v>
      </c>
    </row>
    <row r="46" spans="1:74" s="156" customFormat="1" x14ac:dyDescent="0.25">
      <c r="A46" s="783"/>
      <c r="B46" s="794" t="s">
        <v>1333</v>
      </c>
      <c r="C46" s="668">
        <f>IF(C$4="forecast",AVERAGE(#REF!),SUMIF('Dept. Cost Actuals'!$E$7:$E$176,"*Equipment*",'Dept. Cost Actuals'!G$1225:G$1394))</f>
        <v>0</v>
      </c>
      <c r="D46" s="668">
        <f>IF(D$4="forecast",AVERAGE(#REF!),SUMIF('Dept. Cost Actuals'!$E$7:$E$176,"*Equipment*",'Dept. Cost Actuals'!H$1225:H$1394))</f>
        <v>0</v>
      </c>
      <c r="E46" s="668">
        <f>IF(E$4="forecast",AVERAGE(#REF!),SUMIF('Dept. Cost Actuals'!$E$7:$E$176,"*Equipment*",'Dept. Cost Actuals'!I$1225:I$1394))</f>
        <v>0</v>
      </c>
      <c r="F46" s="668">
        <f>IF(F$4="forecast",AVERAGE(#REF!),SUMIF('Dept. Cost Actuals'!$E$7:$E$176,"*Equipment*",'Dept. Cost Actuals'!J$1225:J$1394))</f>
        <v>0</v>
      </c>
      <c r="G46" s="668">
        <f>IF(G$4="forecast",AVERAGE(#REF!),SUMIF('Dept. Cost Actuals'!$E$7:$E$176,"*Equipment*",'Dept. Cost Actuals'!K$1225:K$1394))</f>
        <v>0</v>
      </c>
      <c r="H46" s="668">
        <f>IF(H$4="forecast",AVERAGE(#REF!),SUMIF('Dept. Cost Actuals'!$E$7:$E$176,"*Equipment*",'Dept. Cost Actuals'!L$1225:L$1394))</f>
        <v>0</v>
      </c>
      <c r="I46" s="668">
        <f>IF(I$4="forecast",AVERAGE(#REF!),SUMIF('Dept. Cost Actuals'!$E$7:$E$176,"*Equipment*",'Dept. Cost Actuals'!M$1225:M$1394))</f>
        <v>0</v>
      </c>
      <c r="J46" s="668">
        <f>IF(J$4="forecast",AVERAGE(#REF!),SUMIF('Dept. Cost Actuals'!$E$7:$E$176,"*Equipment*",'Dept. Cost Actuals'!N$1225:N$1394))</f>
        <v>0</v>
      </c>
      <c r="K46" s="668">
        <f>IF(K$4="forecast",AVERAGE(#REF!),SUMIF('Dept. Cost Actuals'!$E$7:$E$176,"*Equipment*",'Dept. Cost Actuals'!O$1225:O$1394))</f>
        <v>0</v>
      </c>
      <c r="L46" s="668">
        <f>IF(L$4="forecast",AVERAGE(#REF!),SUMIF('Dept. Cost Actuals'!$E$7:$E$176,"*Equipment*",'Dept. Cost Actuals'!P$1225:P$1394))</f>
        <v>0</v>
      </c>
      <c r="M46" s="668">
        <f>IF(M$4="forecast",AVERAGE(A46:L46),SUMIF('Dept. Cost Actuals'!$E$7:$E$176,"*Equipment*",'Dept. Cost Actuals'!Q$1225:Q$1394))</f>
        <v>0</v>
      </c>
      <c r="N46" s="668">
        <f>IF(N$4="forecast",AVERAGE(B46:M46),SUMIF('Dept. Cost Actuals'!$E$7:$E$176,"*Equipment*",'Dept. Cost Actuals'!R$1225:R$1394))</f>
        <v>0</v>
      </c>
      <c r="O46" s="668">
        <f>IF(O$4="forecast",AVERAGE(C46:N46),SUMIF('Dept. Cost Actuals'!$E$7:$E$176,"*Equipment*",'Dept. Cost Actuals'!S$1225:S$1394))</f>
        <v>0</v>
      </c>
      <c r="P46" s="668">
        <f>IF(P$4="forecast",AVERAGE(D46:O46),SUMIF('Dept. Cost Actuals'!$E$7:$E$176,"*Equipment*",'Dept. Cost Actuals'!T$1225:T$1394))</f>
        <v>0</v>
      </c>
      <c r="Q46" s="668">
        <f>IF(Q$4="forecast",AVERAGE(E46:P46),SUMIF('Dept. Cost Actuals'!$E$7:$E$176,"*Equipment*",'Dept. Cost Actuals'!U$1225:U$1394))</f>
        <v>0</v>
      </c>
      <c r="R46" s="668">
        <f>IF(R$4="forecast",AVERAGE(F46:Q46),SUMIF('Dept. Cost Actuals'!$E$7:$E$176,"*Equipment*",'Dept. Cost Actuals'!V$1225:V$1394))</f>
        <v>0</v>
      </c>
      <c r="S46" s="668">
        <f>IF(S$4="forecast",AVERAGE(G46:R46),SUMIF('Dept. Cost Actuals'!$E$7:$E$176,"*Equipment*",'Dept. Cost Actuals'!W$1225:W$1394))</f>
        <v>0</v>
      </c>
      <c r="T46" s="668">
        <f>IF(T$4="forecast",AVERAGE(H46:S46),SUMIF('Dept. Cost Actuals'!$E$7:$E$176,"*Equipment*",'Dept. Cost Actuals'!X$1225:X$1394))</f>
        <v>0</v>
      </c>
      <c r="U46" s="668">
        <f>IF(U$4="forecast",AVERAGE(I46:T46),SUMIF('Dept. Cost Actuals'!$E$7:$E$176,"*Equipment*",'Dept. Cost Actuals'!Y$1225:Y$1394))</f>
        <v>0</v>
      </c>
      <c r="V46" s="668">
        <f>IF(V$4="forecast",AVERAGE(J46:U46),SUMIF('Dept. Cost Actuals'!$E$7:$E$176,"*Equipment*",'Dept. Cost Actuals'!Z$1225:Z$1394))</f>
        <v>0</v>
      </c>
      <c r="W46" s="668">
        <f>IF(W$4="forecast",AVERAGE(K46:V46),SUMIF('Dept. Cost Actuals'!$E$7:$E$176,"*Equipment*",'Dept. Cost Actuals'!AA$1225:AA$1394))</f>
        <v>0</v>
      </c>
      <c r="X46" s="668">
        <f>IF(X$4="forecast",AVERAGE(L46:W46),SUMIF('Dept. Cost Actuals'!$E$7:$E$176,"*Equipment*",'Dept. Cost Actuals'!AB$1225:AB$1394))</f>
        <v>0</v>
      </c>
      <c r="Y46" s="668">
        <f>IF(Y$4="forecast",AVERAGE(M46:X46),SUMIF('Dept. Cost Actuals'!$E$7:$E$176,"*Equipment*",'Dept. Cost Actuals'!AC$1225:AC$1394))</f>
        <v>0</v>
      </c>
      <c r="Z46" s="668">
        <f>IF(Z$4="forecast",AVERAGE(N46:Y46),SUMIF('Dept. Cost Actuals'!$E$7:$E$176,"*Equipment*",'Dept. Cost Actuals'!AD$1225:AD$1394))</f>
        <v>0</v>
      </c>
      <c r="AA46" s="668">
        <f>IF(AA$4="forecast",AVERAGE(O46:Z46),SUMIF('Dept. Cost Actuals'!$E$7:$E$176,"*Equipment*",'Dept. Cost Actuals'!AE$1225:AE$1394))</f>
        <v>0</v>
      </c>
      <c r="AB46" s="668">
        <f>IF(AB$4="forecast",AVERAGE(P46:AA46),SUMIF('Dept. Cost Actuals'!$E$7:$E$176,"*Equipment*",'Dept. Cost Actuals'!AF$1225:AF$1394))</f>
        <v>0</v>
      </c>
      <c r="AC46" s="668">
        <f>IF(AC$4="forecast",AVERAGE(Q46:AB46),SUMIF('Dept. Cost Actuals'!$E$7:$E$176,"*Equipment*",'Dept. Cost Actuals'!AG$1225:AG$1394))</f>
        <v>0</v>
      </c>
      <c r="AD46" s="668">
        <f>IF(AD$4="forecast",AVERAGE(R46:AC46),SUMIF('Dept. Cost Actuals'!$E$7:$E$176,"*Equipment*",'Dept. Cost Actuals'!AH$1225:AH$1394))</f>
        <v>0</v>
      </c>
      <c r="AE46" s="668">
        <f>IF(AE$4="forecast",AVERAGE(S46:AD46),SUMIF('Dept. Cost Actuals'!$E$7:$E$176,"*Equipment*",'Dept. Cost Actuals'!AI$1225:AI$1394))</f>
        <v>0</v>
      </c>
      <c r="AF46" s="668">
        <f>IF(AF$4="forecast",AVERAGE(T46:AE46),SUMIF('Dept. Cost Actuals'!$E$7:$E$176,"*Equipment*",'Dept. Cost Actuals'!AJ$1225:AJ$1394))</f>
        <v>0</v>
      </c>
      <c r="AG46" s="668">
        <f>IF(AG$4="forecast",AVERAGE(U46:AF46),SUMIF('Dept. Cost Actuals'!$E$7:$E$176,"*Equipment*",'Dept. Cost Actuals'!AK$1225:AK$1394))</f>
        <v>0</v>
      </c>
      <c r="AH46" s="668">
        <f>IF(AH$4="forecast",AVERAGE(V46:AG46),SUMIF('Dept. Cost Actuals'!$E$7:$E$176,"*Equipment*",'Dept. Cost Actuals'!AL$1225:AL$1394))</f>
        <v>0</v>
      </c>
      <c r="AI46" s="668">
        <f>IF(AI$4="forecast",AVERAGE(W46:AH46),SUMIF('Dept. Cost Actuals'!$E$7:$E$176,"*Equipment*",'Dept. Cost Actuals'!AM$1225:AM$1394))</f>
        <v>0</v>
      </c>
      <c r="AJ46" s="668">
        <f>IF(AJ$4="forecast",AVERAGE(X46:AI46),SUMIF('Dept. Cost Actuals'!$E$7:$E$176,"*Equipment*",'Dept. Cost Actuals'!AN$1225:AN$1394))</f>
        <v>0</v>
      </c>
      <c r="AK46" s="668">
        <f>IF(AK$4="forecast",AVERAGE(Y46:AJ46),SUMIF('Dept. Cost Actuals'!$E$7:$E$176,"*Equipment*",'Dept. Cost Actuals'!AO$1225:AO$1394))</f>
        <v>0</v>
      </c>
      <c r="AL46" s="668">
        <f>IF(AL$4="forecast",AVERAGE(Z46:AK46),SUMIF('Dept. Cost Actuals'!$E$7:$E$176,"*Equipment*",'Dept. Cost Actuals'!AP$1225:AP$1394))</f>
        <v>0</v>
      </c>
      <c r="AM46" s="668">
        <f>IF(AM$4="forecast",AVERAGE(AA46:AL46),SUMIF('Dept. Cost Actuals'!$E$7:$E$176,"*Equipment*",'Dept. Cost Actuals'!AQ$1225:AQ$1394))</f>
        <v>0</v>
      </c>
      <c r="AN46" s="668">
        <f>IF(AN$4="forecast",AVERAGE(AB46:AM46),SUMIF('Dept. Cost Actuals'!$E$7:$E$176,"*Equipment*",'Dept. Cost Actuals'!AR$1225:AR$1394))</f>
        <v>0</v>
      </c>
      <c r="AO46" s="668">
        <f>IF(AO$4="forecast",AVERAGE(AC46:AN46),SUMIF('Dept. Cost Actuals'!$E$7:$E$176,"*Equipment*",'Dept. Cost Actuals'!AS$1225:AS$1394))</f>
        <v>0</v>
      </c>
      <c r="AP46" s="668">
        <f>IF(AP$4="forecast",AVERAGE(AD46:AO46),SUMIF('Dept. Cost Actuals'!$E$7:$E$176,"*Equipment*",'Dept. Cost Actuals'!AT$1225:AT$1394))</f>
        <v>0</v>
      </c>
      <c r="AQ46" s="668">
        <f>IF(AQ$4="forecast",AVERAGE(AE46:AP46),SUMIF('Dept. Cost Actuals'!$E$7:$E$176,"*Equipment*",'Dept. Cost Actuals'!AU$1225:AU$1394))</f>
        <v>0</v>
      </c>
      <c r="AR46" s="668">
        <f>IF(AR$4="forecast",AVERAGE(AF46:AQ46),SUMIF('Dept. Cost Actuals'!$E$7:$E$176,"*Equipment*",'Dept. Cost Actuals'!AV$1225:AV$1394))</f>
        <v>0</v>
      </c>
      <c r="AS46" s="668">
        <f>IF(AS$4="forecast",AVERAGE(AG46:AR46),SUMIF('Dept. Cost Actuals'!$E$7:$E$176,"*Equipment*",'Dept. Cost Actuals'!AW$1225:AW$1394))</f>
        <v>0</v>
      </c>
      <c r="AT46" s="668">
        <f>IF(AT$4="forecast",AVERAGE(AH46:AS46),SUMIF('Dept. Cost Actuals'!$E$7:$E$176,"*Equipment*",'Dept. Cost Actuals'!AX$1225:AX$1394))</f>
        <v>0</v>
      </c>
      <c r="AU46" s="668">
        <f>IF(AU$4="forecast",AVERAGE(AI46:AT46),SUMIF('Dept. Cost Actuals'!$E$7:$E$176,"*Equipment*",'Dept. Cost Actuals'!AY$1225:AY$1394))</f>
        <v>0</v>
      </c>
      <c r="AV46" s="668">
        <f>IF(AV$4="forecast",AVERAGE(AJ46:AU46),SUMIF('Dept. Cost Actuals'!$E$7:$E$176,"*Equipment*",'Dept. Cost Actuals'!AZ$1225:AZ$1394))</f>
        <v>0</v>
      </c>
      <c r="AW46" s="668">
        <f>IF(AW$4="forecast",AVERAGE(AK46:AV46),SUMIF('Dept. Cost Actuals'!$E$7:$E$176,"*Equipment*",'Dept. Cost Actuals'!BA$1225:BA$1394))</f>
        <v>0</v>
      </c>
      <c r="AX46" s="668">
        <f>IF(AX$4="forecast",AVERAGE(AL46:AW46),SUMIF('Dept. Cost Actuals'!$E$7:$E$176,"*Equipment*",'Dept. Cost Actuals'!BB$1225:BB$1394))</f>
        <v>0</v>
      </c>
      <c r="AY46" s="668">
        <f>IF(AY$4="forecast",AVERAGE(AM46:AX46),SUMIF('Dept. Cost Actuals'!$E$7:$E$176,"*Equipment*",'Dept. Cost Actuals'!BC$1225:BC$1394))</f>
        <v>0</v>
      </c>
      <c r="AZ46" s="668">
        <f>IF(AZ$4="forecast",AVERAGE(AN46:AY46),SUMIF('Dept. Cost Actuals'!$E$7:$E$176,"*Equipment*",'Dept. Cost Actuals'!BD$1225:BD$1394))</f>
        <v>0</v>
      </c>
      <c r="BA46" s="668">
        <f>IF(BA$4="forecast",AVERAGE(AO46:AZ46),SUMIF('Dept. Cost Actuals'!$E$7:$E$176,"*Equipment*",'Dept. Cost Actuals'!BE$1225:BE$1394))</f>
        <v>0</v>
      </c>
      <c r="BB46" s="668">
        <f>IF(BB$4="forecast",AVERAGE(AP46:BA46),SUMIF('Dept. Cost Actuals'!$E$7:$E$176,"*Equipment*",'Dept. Cost Actuals'!BF$1225:BF$1394))</f>
        <v>0</v>
      </c>
      <c r="BC46" s="668">
        <f>IF(BC$4="forecast",AVERAGE(AQ46:BB46),SUMIF('Dept. Cost Actuals'!$E$7:$E$176,"*Equipment*",'Dept. Cost Actuals'!BG$1225:BG$1394))</f>
        <v>0</v>
      </c>
      <c r="BD46" s="668">
        <f>IF(BD$4="forecast",AVERAGE(AR46:BC46),SUMIF('Dept. Cost Actuals'!$E$7:$E$176,"*Equipment*",'Dept. Cost Actuals'!BH$1225:BH$1394))</f>
        <v>0</v>
      </c>
      <c r="BE46" s="668">
        <f>IF(BE$4="forecast",AVERAGE(AS46:BD46),SUMIF('Dept. Cost Actuals'!$E$7:$E$176,"*Equipment*",'Dept. Cost Actuals'!BI$1225:BI$1394))</f>
        <v>0</v>
      </c>
      <c r="BF46" s="668">
        <f>IF(BF$4="forecast",AVERAGE(AT46:BE46),SUMIF('Dept. Cost Actuals'!$E$7:$E$176,"*Equipment*",'Dept. Cost Actuals'!BJ$1225:BJ$1394))</f>
        <v>0</v>
      </c>
      <c r="BG46" s="668">
        <f>IF(BG$4="forecast",AVERAGE(AU46:BF46),SUMIF('Dept. Cost Actuals'!$E$7:$E$176,"*Equipment*",'Dept. Cost Actuals'!BK$1225:BK$1394))</f>
        <v>0</v>
      </c>
      <c r="BH46" s="668">
        <f>IF(BH$4="forecast",AVERAGE(AV46:BG46),SUMIF('Dept. Cost Actuals'!$E$7:$E$176,"*Equipment*",'Dept. Cost Actuals'!BL$1225:BL$1394))</f>
        <v>0</v>
      </c>
      <c r="BI46" s="668">
        <f>IF(BI$4="forecast",AVERAGE(AW46:BH46),SUMIF('Dept. Cost Actuals'!$E$7:$E$176,"*Equipment*",'Dept. Cost Actuals'!BM$1225:BM$1394))</f>
        <v>0</v>
      </c>
      <c r="BJ46" s="668">
        <f>IF(BJ$4="forecast",AVERAGE(AX46:BI46),SUMIF('Dept. Cost Actuals'!$E$7:$E$176,"*Equipment*",'Dept. Cost Actuals'!BN$1225:BN$1394))</f>
        <v>0</v>
      </c>
      <c r="BK46" s="668">
        <f>IF(BK$4="forecast",AVERAGE(AY46:BJ46),SUMIF('Dept. Cost Actuals'!$E$7:$E$176,"*Equipment*",'Dept. Cost Actuals'!BO$1225:BO$1394))</f>
        <v>0</v>
      </c>
      <c r="BL46" s="668">
        <f>IF(BL$4="forecast",AVERAGE(AZ46:BK46),SUMIF('Dept. Cost Actuals'!$E$7:$E$176,"*Equipment*",'Dept. Cost Actuals'!BP$1225:BP$1394))</f>
        <v>0</v>
      </c>
      <c r="BM46" s="668">
        <f>IF(BM$4="forecast",AVERAGE(BA46:BL46),SUMIF('Dept. Cost Actuals'!$E$7:$E$176,"*Equipment*",'Dept. Cost Actuals'!BQ$1225:BQ$1394))</f>
        <v>0</v>
      </c>
      <c r="BN46" s="668">
        <f>IF(BN$4="forecast",AVERAGE(BB46:BM46),SUMIF('Dept. Cost Actuals'!$E$7:$E$176,"*Equipment*",'Dept. Cost Actuals'!BR$1225:BR$1394))</f>
        <v>0</v>
      </c>
      <c r="BO46" s="668">
        <f>IF(BO$4="forecast",AVERAGE(BC46:BN46),SUMIF('Dept. Cost Actuals'!$E$7:$E$176,"*Equipment*",'Dept. Cost Actuals'!BS$1225:BS$1394))</f>
        <v>0</v>
      </c>
      <c r="BP46" s="668">
        <f>IF(BP$4="forecast",AVERAGE(BD46:BO46),SUMIF('Dept. Cost Actuals'!$E$7:$E$176,"*Equipment*",'Dept. Cost Actuals'!BT$1225:BT$1394))</f>
        <v>0</v>
      </c>
      <c r="BQ46" s="668">
        <f>IF(BQ$4="forecast",AVERAGE(BE46:BP46),SUMIF('Dept. Cost Actuals'!$E$7:$E$176,"*Equipment*",'Dept. Cost Actuals'!BU$1225:BU$1394))</f>
        <v>0</v>
      </c>
      <c r="BR46" s="668">
        <f>IF(BR$4="forecast",AVERAGE(BF46:BQ46),SUMIF('Dept. Cost Actuals'!$E$7:$E$176,"*Equipment*",'Dept. Cost Actuals'!BV$1225:BV$1394))</f>
        <v>0</v>
      </c>
      <c r="BS46" s="668">
        <f>IF(BS$4="forecast",AVERAGE(BG46:BR46),SUMIF('Dept. Cost Actuals'!$E$7:$E$176,"*Equipment*",'Dept. Cost Actuals'!BW$1225:BW$1394))</f>
        <v>0</v>
      </c>
      <c r="BT46" s="668">
        <f>IF(BT$4="forecast",AVERAGE(BH46:BS46),SUMIF('Dept. Cost Actuals'!$E$7:$E$176,"*Equipment*",'Dept. Cost Actuals'!BX$1225:BX$1394))</f>
        <v>0</v>
      </c>
      <c r="BU46" s="668">
        <f>IF(BU$4="forecast",AVERAGE(BI46:BT46),SUMIF('Dept. Cost Actuals'!$E$7:$E$176,"*Equipment*",'Dept. Cost Actuals'!BY$1225:BY$1394))</f>
        <v>0</v>
      </c>
      <c r="BV46" s="668">
        <f>IF(BV$4="forecast",AVERAGE(BJ46:BU46),SUMIF('Dept. Cost Actuals'!$E$7:$E$176,"*Equipment*",'Dept. Cost Actuals'!BZ$1225:BZ$1394))</f>
        <v>0</v>
      </c>
    </row>
    <row r="47" spans="1:74" s="156" customFormat="1" x14ac:dyDescent="0.25">
      <c r="A47" s="783"/>
      <c r="B47" s="794" t="s">
        <v>20</v>
      </c>
      <c r="C47" s="668">
        <f>IF(C$4="forecast",AVERAGE(#REF!),SUMIF('Dept. Cost Actuals'!$E$7:$E$176,"*Business*",'Dept. Cost Actuals'!G$1225:G$1394))</f>
        <v>0</v>
      </c>
      <c r="D47" s="668">
        <f>IF(D$4="forecast",AVERAGE(#REF!),SUMIF('Dept. Cost Actuals'!$E$7:$E$176,"*Business*",'Dept. Cost Actuals'!H$1225:H$1394))</f>
        <v>0</v>
      </c>
      <c r="E47" s="668">
        <f>IF(E$4="forecast",AVERAGE(#REF!),SUMIF('Dept. Cost Actuals'!$E$7:$E$176,"*Business*",'Dept. Cost Actuals'!I$1225:I$1394))</f>
        <v>0</v>
      </c>
      <c r="F47" s="668">
        <f>IF(F$4="forecast",AVERAGE(#REF!),SUMIF('Dept. Cost Actuals'!$E$7:$E$176,"*Business*",'Dept. Cost Actuals'!J$1225:J$1394))</f>
        <v>0</v>
      </c>
      <c r="G47" s="668">
        <f>IF(G$4="forecast",AVERAGE(#REF!),SUMIF('Dept. Cost Actuals'!$E$7:$E$176,"*Business*",'Dept. Cost Actuals'!K$1225:K$1394))</f>
        <v>0</v>
      </c>
      <c r="H47" s="668">
        <f>IF(H$4="forecast",AVERAGE(#REF!),SUMIF('Dept. Cost Actuals'!$E$7:$E$176,"*Business*",'Dept. Cost Actuals'!L$1225:L$1394))</f>
        <v>0</v>
      </c>
      <c r="I47" s="668">
        <f>IF(I$4="forecast",AVERAGE(#REF!),SUMIF('Dept. Cost Actuals'!$E$7:$E$176,"*Business*",'Dept. Cost Actuals'!M$1225:M$1394))</f>
        <v>0</v>
      </c>
      <c r="J47" s="668">
        <f>IF(J$4="forecast",AVERAGE(#REF!),SUMIF('Dept. Cost Actuals'!$E$7:$E$176,"*Business*",'Dept. Cost Actuals'!N$1225:N$1394))</f>
        <v>0</v>
      </c>
      <c r="K47" s="668">
        <f>IF(K$4="forecast",AVERAGE(#REF!),SUMIF('Dept. Cost Actuals'!$E$7:$E$176,"*Business*",'Dept. Cost Actuals'!O$1225:O$1394))</f>
        <v>0</v>
      </c>
      <c r="L47" s="668">
        <f>IF(L$4="forecast",AVERAGE(#REF!),SUMIF('Dept. Cost Actuals'!$E$7:$E$176,"*Business*",'Dept. Cost Actuals'!P$1225:P$1394))</f>
        <v>0</v>
      </c>
      <c r="M47" s="668">
        <f>IF(M$4="forecast",AVERAGE(A47:L47),SUMIF('Dept. Cost Actuals'!$E$7:$E$176,"*Business*",'Dept. Cost Actuals'!Q$1225:Q$1394))</f>
        <v>0</v>
      </c>
      <c r="N47" s="668">
        <f>IF(N$4="forecast",AVERAGE(B47:M47),SUMIF('Dept. Cost Actuals'!$E$7:$E$176,"*Business*",'Dept. Cost Actuals'!R$1225:R$1394))</f>
        <v>0</v>
      </c>
      <c r="O47" s="668">
        <f>IF(O$4="forecast",AVERAGE(C47:N47),SUMIF('Dept. Cost Actuals'!$E$7:$E$176,"*Business*",'Dept. Cost Actuals'!S$1225:S$1394))</f>
        <v>324.57</v>
      </c>
      <c r="P47" s="668">
        <f>IF(P$4="forecast",AVERAGE(D47:O47),SUMIF('Dept. Cost Actuals'!$E$7:$E$176,"*Business*",'Dept. Cost Actuals'!T$1225:T$1394))</f>
        <v>293.16000000000003</v>
      </c>
      <c r="Q47" s="668">
        <f>IF(Q$4="forecast",AVERAGE(E47:P47),SUMIF('Dept. Cost Actuals'!$E$7:$E$176,"*Business*",'Dept. Cost Actuals'!U$1225:U$1394))</f>
        <v>324.57</v>
      </c>
      <c r="R47" s="668">
        <f>IF(R$4="forecast",AVERAGE(F47:Q47),SUMIF('Dept. Cost Actuals'!$E$7:$E$176,"*Business*",'Dept. Cost Actuals'!V$1225:V$1394))</f>
        <v>390.73</v>
      </c>
      <c r="S47" s="668">
        <f>IF(S$4="forecast",AVERAGE(G47:R47),SUMIF('Dept. Cost Actuals'!$E$7:$E$176,"*Business*",'Dept. Cost Actuals'!W$1225:W$1394))</f>
        <v>324.57</v>
      </c>
      <c r="T47" s="668">
        <f>IF(T$4="forecast",AVERAGE(H47:S47),SUMIF('Dept. Cost Actuals'!$E$7:$E$176,"*Business*",'Dept. Cost Actuals'!X$1225:X$1394))</f>
        <v>4384.1000000000004</v>
      </c>
      <c r="U47" s="668">
        <f>IF(U$4="forecast",AVERAGE(I47:T47),SUMIF('Dept. Cost Actuals'!$E$7:$E$176,"*Business*",'Dept. Cost Actuals'!Y$1225:Y$1394))</f>
        <v>663.74</v>
      </c>
      <c r="V47" s="668">
        <f>IF(V$4="forecast",AVERAGE(J47:U47),SUMIF('Dept. Cost Actuals'!$E$7:$E$176,"*Business*",'Dept. Cost Actuals'!Z$1225:Z$1394))</f>
        <v>663.73</v>
      </c>
      <c r="W47" s="668">
        <f>IF(W$4="forecast",AVERAGE(K47:V47),SUMIF('Dept. Cost Actuals'!$E$7:$E$176,"*Business*",'Dept. Cost Actuals'!AA$1225:AA$1394))</f>
        <v>653.27</v>
      </c>
      <c r="X47" s="668">
        <f>IF(X$4="forecast",AVERAGE(L47:W47),SUMIF('Dept. Cost Actuals'!$E$7:$E$176,"*Business*",'Dept. Cost Actuals'!AB$1225:AB$1394))</f>
        <v>663.74</v>
      </c>
      <c r="Y47" s="668">
        <f>IF(Y$4="forecast",AVERAGE(M47:X47),SUMIF('Dept. Cost Actuals'!$E$7:$E$176,"*Business*",'Dept. Cost Actuals'!AC$1225:AC$1394))</f>
        <v>653.26</v>
      </c>
      <c r="Z47" s="668">
        <f>IF(Z$4="forecast",AVERAGE(N47:Y47),SUMIF('Dept. Cost Actuals'!$E$7:$E$176,"*Business*",'Dept. Cost Actuals'!AD$1225:AD$1394))</f>
        <v>663.66</v>
      </c>
      <c r="AA47" s="668">
        <f>IF(AA$4="forecast",AVERAGE(O47:Z47),SUMIF('Dept. Cost Actuals'!$E$7:$E$176,"*Business*",'Dept. Cost Actuals'!AE$1225:AE$1394))</f>
        <v>1325.74</v>
      </c>
      <c r="AB47" s="668">
        <f>IF(AB$4="forecast",AVERAGE(P47:AA47),SUMIF('Dept. Cost Actuals'!$E$7:$E$176,"*Business*",'Dept. Cost Actuals'!AF$1225:AF$1394))</f>
        <v>1288.32</v>
      </c>
      <c r="AC47" s="668">
        <f>IF(AC$4="forecast",AVERAGE(Q47:AB47),SUMIF('Dept. Cost Actuals'!$E$7:$E$176,"*Business*",'Dept. Cost Actuals'!AG$1225:AG$1394))</f>
        <v>1325.74</v>
      </c>
      <c r="AD47" s="668">
        <f>IF(AD$4="forecast",AVERAGE(R47:AC47),SUMIF('Dept. Cost Actuals'!$E$7:$E$176,"*Business*",'Dept. Cost Actuals'!AH$1225:AH$1394))</f>
        <v>1083.3833333333334</v>
      </c>
      <c r="AE47" s="668">
        <f>IF(AE$4="forecast",AVERAGE(S47:AD47),SUMIF('Dept. Cost Actuals'!$E$7:$E$176,"*Business*",'Dept. Cost Actuals'!AI$1225:AI$1394))</f>
        <v>1141.1044444444444</v>
      </c>
      <c r="AF47" s="668">
        <f>IF(AF$4="forecast",AVERAGE(T47:AE47),SUMIF('Dept. Cost Actuals'!$E$7:$E$176,"*Business*",'Dept. Cost Actuals'!AJ$1225:AJ$1394))</f>
        <v>1209.1489814814815</v>
      </c>
      <c r="AG47" s="668">
        <f>IF(AG$4="forecast",AVERAGE(U47:AF47),SUMIF('Dept. Cost Actuals'!$E$7:$E$176,"*Business*",'Dept. Cost Actuals'!AK$1225:AK$1394))</f>
        <v>944.56972993827151</v>
      </c>
      <c r="AH47" s="668">
        <f>IF(AH$4="forecast",AVERAGE(V47:AG47),SUMIF('Dept. Cost Actuals'!$E$7:$E$176,"*Business*",'Dept. Cost Actuals'!AL$1225:AL$1394))</f>
        <v>967.97220743312755</v>
      </c>
      <c r="AI47" s="668">
        <f>IF(AI$4="forecast",AVERAGE(W47:AH47),SUMIF('Dept. Cost Actuals'!$E$7:$E$176,"*Business*",'Dept. Cost Actuals'!AM$1225:AM$1394))</f>
        <v>993.32572471922151</v>
      </c>
      <c r="AJ47" s="668">
        <f>IF(AJ$4="forecast",AVERAGE(X47:AI47),SUMIF('Dept. Cost Actuals'!$E$7:$E$176,"*Business*",'Dept. Cost Actuals'!AN$1225:AN$1394))</f>
        <v>1021.6637017791567</v>
      </c>
      <c r="AK47" s="668">
        <f>IF(AK$4="forecast",AVERAGE(Y47:AJ47),SUMIF('Dept. Cost Actuals'!$E$7:$E$176,"*Business*",'Dept. Cost Actuals'!AO$1225:AO$1394))</f>
        <v>1051.4906769274196</v>
      </c>
      <c r="AL47" s="668">
        <f>IF(AL$4="forecast",AVERAGE(Z47:AK47),SUMIF('Dept. Cost Actuals'!$E$7:$E$176,"*Business*",'Dept. Cost Actuals'!AP$1225:AP$1394))</f>
        <v>1084.6765666713713</v>
      </c>
      <c r="AM47" s="668">
        <f>IF(AM$4="forecast",AVERAGE(AA47:AL47),SUMIF('Dept. Cost Actuals'!$E$7:$E$176,"*Business*",'Dept. Cost Actuals'!AQ$1225:AQ$1394))</f>
        <v>1119.7612805606523</v>
      </c>
      <c r="AN47" s="668">
        <f>IF(AN$4="forecast",AVERAGE(AB47:AM47),SUMIF('Dept. Cost Actuals'!$E$7:$E$176,"*Business*",'Dept. Cost Actuals'!AR$1225:AR$1394))</f>
        <v>1102.5963872740401</v>
      </c>
      <c r="AO47" s="668">
        <f>IF(AO$4="forecast",AVERAGE(AC47:AN47),SUMIF('Dept. Cost Actuals'!$E$7:$E$176,"*Business*",'Dept. Cost Actuals'!AS$1225:AS$1394))</f>
        <v>1087.1194195468768</v>
      </c>
      <c r="AP47" s="668">
        <f>IF(AP$4="forecast",AVERAGE(AD47:AO47),SUMIF('Dept. Cost Actuals'!$E$7:$E$176,"*Business*",'Dept. Cost Actuals'!AT$1225:AT$1394))</f>
        <v>1067.2343711757828</v>
      </c>
      <c r="AQ47" s="668">
        <f>IF(AQ$4="forecast",AVERAGE(AE47:AP47),SUMIF('Dept. Cost Actuals'!$E$7:$E$176,"*Business*",'Dept. Cost Actuals'!AU$1225:AU$1394))</f>
        <v>1065.8886243293202</v>
      </c>
      <c r="AR47" s="668">
        <f>IF(AR$4="forecast",AVERAGE(AF47:AQ47),SUMIF('Dept. Cost Actuals'!$E$7:$E$176,"*Business*",'Dept. Cost Actuals'!AV$1225:AV$1394))</f>
        <v>1059.6206393197267</v>
      </c>
      <c r="AS47" s="668">
        <f>IF(AS$4="forecast",AVERAGE(AG47:AR47),SUMIF('Dept. Cost Actuals'!$E$7:$E$176,"*Business*",'Dept. Cost Actuals'!AW$1225:AW$1394))</f>
        <v>1047.1599441395804</v>
      </c>
      <c r="AT47" s="668">
        <f>IF(AT$4="forecast",AVERAGE(AH47:AS47),SUMIF('Dept. Cost Actuals'!$E$7:$E$176,"*Business*",'Dept. Cost Actuals'!AX$1225:AX$1394))</f>
        <v>1055.7091286563561</v>
      </c>
      <c r="AU47" s="668">
        <f>IF(AU$4="forecast",AVERAGE(AI47:AT47),SUMIF('Dept. Cost Actuals'!$E$7:$E$176,"*Business*",'Dept. Cost Actuals'!AY$1225:AY$1394))</f>
        <v>1063.0205387582921</v>
      </c>
      <c r="AV47" s="668">
        <f>IF(AV$4="forecast",AVERAGE(AJ47:AU47),SUMIF('Dept. Cost Actuals'!$E$7:$E$176,"*Business*",'Dept. Cost Actuals'!AZ$1225:AZ$1394))</f>
        <v>1068.8284399282145</v>
      </c>
      <c r="AW47" s="668">
        <f>IF(AW$4="forecast",AVERAGE(AK47:AV47),SUMIF('Dept. Cost Actuals'!$E$7:$E$176,"*Business*",'Dept. Cost Actuals'!BA$1225:BA$1394))</f>
        <v>1072.7588347739695</v>
      </c>
      <c r="AX47" s="668">
        <f>IF(AX$4="forecast",AVERAGE(AL47:AW47),SUMIF('Dept. Cost Actuals'!$E$7:$E$176,"*Business*",'Dept. Cost Actuals'!BB$1225:BB$1394))</f>
        <v>1074.5311812611819</v>
      </c>
      <c r="AY47" s="668">
        <f>IF(AY$4="forecast",AVERAGE(AM47:AX47),SUMIF('Dept. Cost Actuals'!$E$7:$E$176,"*Business*",'Dept. Cost Actuals'!BC$1225:BC$1394))</f>
        <v>1073.6857324769994</v>
      </c>
      <c r="AZ47" s="668">
        <f>IF(AZ$4="forecast",AVERAGE(AN47:AY47),SUMIF('Dept. Cost Actuals'!$E$7:$E$176,"*Business*",'Dept. Cost Actuals'!BD$1225:BD$1394))</f>
        <v>1069.8461034700283</v>
      </c>
      <c r="BA47" s="668">
        <f>IF(BA$4="forecast",AVERAGE(AO47:AZ47),SUMIF('Dept. Cost Actuals'!$E$7:$E$176,"*Business*",'Dept. Cost Actuals'!BE$1225:BE$1394))</f>
        <v>1067.1169131530273</v>
      </c>
      <c r="BB47" s="668">
        <f>IF(BB$4="forecast",AVERAGE(AP47:BA47),SUMIF('Dept. Cost Actuals'!$E$7:$E$176,"*Business*",'Dept. Cost Actuals'!BF$1225:BF$1394))</f>
        <v>1065.4500376202066</v>
      </c>
      <c r="BC47" s="668">
        <f>IF(BC$4="forecast",AVERAGE(AQ47:BB47),SUMIF('Dept. Cost Actuals'!$E$7:$E$176,"*Business*",'Dept. Cost Actuals'!BG$1225:BG$1394))</f>
        <v>1065.3013431572419</v>
      </c>
      <c r="BD47" s="668">
        <f>IF(BD$4="forecast",AVERAGE(AR47:BC47),SUMIF('Dept. Cost Actuals'!$E$7:$E$176,"*Business*",'Dept. Cost Actuals'!BH$1225:BH$1394))</f>
        <v>1065.2524030595689</v>
      </c>
      <c r="BE47" s="668">
        <f>IF(BE$4="forecast",AVERAGE(AS47:BD47),SUMIF('Dept. Cost Actuals'!$E$7:$E$176,"*Business*",'Dept. Cost Actuals'!BI$1225:BI$1394))</f>
        <v>1065.7217167045555</v>
      </c>
      <c r="BF47" s="668">
        <f>IF(BF$4="forecast",AVERAGE(AT47:BE47),SUMIF('Dept. Cost Actuals'!$E$7:$E$176,"*Business*",'Dept. Cost Actuals'!BJ$1225:BJ$1394))</f>
        <v>1067.2685310849702</v>
      </c>
      <c r="BG47" s="668">
        <f>IF(BG$4="forecast",AVERAGE(AU47:BF47),SUMIF('Dept. Cost Actuals'!$E$7:$E$176,"*Business*",'Dept. Cost Actuals'!BK$1225:BK$1394))</f>
        <v>1068.2318146206881</v>
      </c>
      <c r="BH47" s="668">
        <f>IF(BH$4="forecast",AVERAGE(AV47:BG47),SUMIF('Dept. Cost Actuals'!$E$7:$E$176,"*Business*",'Dept. Cost Actuals'!BL$1225:BL$1394))</f>
        <v>1068.666087609221</v>
      </c>
      <c r="BI47" s="668">
        <f>IF(BI$4="forecast",AVERAGE(AW47:BH47),SUMIF('Dept. Cost Actuals'!$E$7:$E$176,"*Business*",'Dept. Cost Actuals'!BM$1225:BM$1394))</f>
        <v>1068.652558249305</v>
      </c>
      <c r="BJ47" s="668">
        <f>IF(BJ$4="forecast",AVERAGE(AX47:BI47),SUMIF('Dept. Cost Actuals'!$E$7:$E$176,"*Business*",'Dept. Cost Actuals'!BN$1225:BN$1394))</f>
        <v>1068.3103685389162</v>
      </c>
      <c r="BK47" s="668">
        <f>IF(BK$4="forecast",AVERAGE(AY47:BJ47),SUMIF('Dept. Cost Actuals'!$E$7:$E$176,"*Business*",'Dept. Cost Actuals'!BO$1225:BO$1394))</f>
        <v>1067.7919674787274</v>
      </c>
      <c r="BL47" s="668">
        <f>IF(BL$4="forecast",AVERAGE(AZ47:BK47),SUMIF('Dept. Cost Actuals'!$E$7:$E$176,"*Business*",'Dept. Cost Actuals'!BP$1225:BP$1394))</f>
        <v>1067.300820395538</v>
      </c>
      <c r="BM47" s="668">
        <f>IF(BM$4="forecast",AVERAGE(BA47:BL47),SUMIF('Dept. Cost Actuals'!$E$7:$E$176,"*Business*",'Dept. Cost Actuals'!BQ$1225:BQ$1394))</f>
        <v>1067.0887134726638</v>
      </c>
      <c r="BN47" s="668">
        <f>IF(BN$4="forecast",AVERAGE(BB47:BM47),SUMIF('Dept. Cost Actuals'!$E$7:$E$176,"*Business*",'Dept. Cost Actuals'!BR$1225:BR$1394))</f>
        <v>1067.0863634993002</v>
      </c>
      <c r="BO47" s="668">
        <f>IF(BO$4="forecast",AVERAGE(BC47:BN47),SUMIF('Dept. Cost Actuals'!$E$7:$E$176,"*Business*",'Dept. Cost Actuals'!BS$1225:BS$1394))</f>
        <v>1067.2227239892247</v>
      </c>
      <c r="BP47" s="668">
        <f>IF(BP$4="forecast",AVERAGE(BD47:BO47),SUMIF('Dept. Cost Actuals'!$E$7:$E$176,"*Business*",'Dept. Cost Actuals'!BT$1225:BT$1394))</f>
        <v>1067.3828390585566</v>
      </c>
      <c r="BQ47" s="668">
        <f>IF(BQ$4="forecast",AVERAGE(BE47:BP47),SUMIF('Dept. Cost Actuals'!$E$7:$E$176,"*Business*",'Dept. Cost Actuals'!BU$1225:BU$1394))</f>
        <v>1067.5603753918056</v>
      </c>
      <c r="BR47" s="668">
        <f>IF(BR$4="forecast",AVERAGE(BF47:BQ47),SUMIF('Dept. Cost Actuals'!$E$7:$E$176,"*Business*",'Dept. Cost Actuals'!BV$1225:BV$1394))</f>
        <v>1067.7135969490764</v>
      </c>
      <c r="BS47" s="668">
        <f>IF(BS$4="forecast",AVERAGE(BG47:BR47),SUMIF('Dept. Cost Actuals'!$E$7:$E$176,"*Business*",'Dept. Cost Actuals'!BW$1225:BW$1394))</f>
        <v>1067.7506857710853</v>
      </c>
      <c r="BT47" s="668">
        <f>IF(BT$4="forecast",AVERAGE(BH47:BS47),SUMIF('Dept. Cost Actuals'!$E$7:$E$176,"*Business*",'Dept. Cost Actuals'!BX$1225:BX$1394))</f>
        <v>1067.710591700285</v>
      </c>
      <c r="BU47" s="668">
        <f>IF(BU$4="forecast",AVERAGE(BI47:BT47),SUMIF('Dept. Cost Actuals'!$E$7:$E$176,"*Business*",'Dept. Cost Actuals'!BY$1225:BY$1394))</f>
        <v>1067.630967041207</v>
      </c>
      <c r="BV47" s="668">
        <f>IF(BV$4="forecast",AVERAGE(BJ47:BU47),SUMIF('Dept. Cost Actuals'!$E$7:$E$176,"*Business*",'Dept. Cost Actuals'!BZ$1225:BZ$1394))</f>
        <v>1067.5458344405322</v>
      </c>
    </row>
    <row r="48" spans="1:74" s="156" customFormat="1" x14ac:dyDescent="0.25">
      <c r="A48" s="783"/>
      <c r="B48" s="794" t="s">
        <v>1335</v>
      </c>
      <c r="C48" s="668">
        <f>IF(C$4="forecast",AVERAGE(#REF!),SUMIF('Dept. Cost Actuals'!$E$7:$E$176,"*Property*",'Dept. Cost Actuals'!G$1225:G$1394))</f>
        <v>0</v>
      </c>
      <c r="D48" s="668">
        <f>IF(D$4="forecast",AVERAGE(#REF!),SUMIF('Dept. Cost Actuals'!$E$7:$E$176,"*Property*",'Dept. Cost Actuals'!H$1225:H$1394))</f>
        <v>0</v>
      </c>
      <c r="E48" s="668">
        <f>IF(E$4="forecast",AVERAGE(#REF!),SUMIF('Dept. Cost Actuals'!$E$7:$E$176,"*Property*",'Dept. Cost Actuals'!I$1225:I$1394))</f>
        <v>0</v>
      </c>
      <c r="F48" s="668">
        <f>IF(F$4="forecast",AVERAGE(#REF!),SUMIF('Dept. Cost Actuals'!$E$7:$E$176,"*Property*",'Dept. Cost Actuals'!J$1225:J$1394))</f>
        <v>0</v>
      </c>
      <c r="G48" s="668">
        <f>IF(G$4="forecast",AVERAGE(#REF!),SUMIF('Dept. Cost Actuals'!$E$7:$E$176,"*Property*",'Dept. Cost Actuals'!K$1225:K$1394))</f>
        <v>0</v>
      </c>
      <c r="H48" s="668">
        <f>IF(H$4="forecast",AVERAGE(#REF!),SUMIF('Dept. Cost Actuals'!$E$7:$E$176,"*Property*",'Dept. Cost Actuals'!L$1225:L$1394))</f>
        <v>0</v>
      </c>
      <c r="I48" s="668">
        <f>IF(I$4="forecast",AVERAGE(#REF!),SUMIF('Dept. Cost Actuals'!$E$7:$E$176,"*Property*",'Dept. Cost Actuals'!M$1225:M$1394))</f>
        <v>0</v>
      </c>
      <c r="J48" s="668">
        <f>IF(J$4="forecast",AVERAGE(#REF!),SUMIF('Dept. Cost Actuals'!$E$7:$E$176,"*Property*",'Dept. Cost Actuals'!N$1225:N$1394))</f>
        <v>0</v>
      </c>
      <c r="K48" s="668">
        <f>IF(K$4="forecast",AVERAGE(#REF!),SUMIF('Dept. Cost Actuals'!$E$7:$E$176,"*Property*",'Dept. Cost Actuals'!O$1225:O$1394))</f>
        <v>0</v>
      </c>
      <c r="L48" s="668">
        <f>IF(L$4="forecast",AVERAGE(#REF!),SUMIF('Dept. Cost Actuals'!$E$7:$E$176,"*Property*",'Dept. Cost Actuals'!P$1225:P$1394))</f>
        <v>0</v>
      </c>
      <c r="M48" s="668">
        <f>IF(M$4="forecast",AVERAGE(A48:L48),SUMIF('Dept. Cost Actuals'!$E$7:$E$176,"*Property*",'Dept. Cost Actuals'!Q$1225:Q$1394))</f>
        <v>0</v>
      </c>
      <c r="N48" s="668">
        <f>IF(N$4="forecast",AVERAGE(B48:M48),SUMIF('Dept. Cost Actuals'!$E$7:$E$176,"*Property*",'Dept. Cost Actuals'!R$1225:R$1394))</f>
        <v>0</v>
      </c>
      <c r="O48" s="668">
        <f>IF(O$4="forecast",AVERAGE(C48:N48),SUMIF('Dept. Cost Actuals'!$E$7:$E$176,"*Property*",'Dept. Cost Actuals'!S$1225:S$1394))</f>
        <v>351.54</v>
      </c>
      <c r="P48" s="668">
        <f>IF(P$4="forecast",AVERAGE(D48:O48),SUMIF('Dept. Cost Actuals'!$E$7:$E$176,"*Property*",'Dept. Cost Actuals'!T$1225:T$1394))</f>
        <v>317.52</v>
      </c>
      <c r="Q48" s="668">
        <f>IF(Q$4="forecast",AVERAGE(E48:P48),SUMIF('Dept. Cost Actuals'!$E$7:$E$176,"*Property*",'Dept. Cost Actuals'!U$1225:U$1394))</f>
        <v>351.54</v>
      </c>
      <c r="R48" s="668">
        <f>IF(R$4="forecast",AVERAGE(F48:Q48),SUMIF('Dept. Cost Actuals'!$E$7:$E$176,"*Property*",'Dept. Cost Actuals'!V$1225:V$1394))</f>
        <v>340.2</v>
      </c>
      <c r="S48" s="668">
        <f>IF(S$4="forecast",AVERAGE(G48:R48),SUMIF('Dept. Cost Actuals'!$E$7:$E$176,"*Property*",'Dept. Cost Actuals'!W$1225:W$1394))</f>
        <v>351.54</v>
      </c>
      <c r="T48" s="668">
        <f>IF(T$4="forecast",AVERAGE(H48:S48),SUMIF('Dept. Cost Actuals'!$E$7:$E$176,"*Property*",'Dept. Cost Actuals'!X$1225:X$1394))</f>
        <v>340.2</v>
      </c>
      <c r="U48" s="668">
        <f>IF(U$4="forecast",AVERAGE(I48:T48),SUMIF('Dept. Cost Actuals'!$E$7:$E$176,"*Property*",'Dept. Cost Actuals'!Y$1225:Y$1394))</f>
        <v>351.54</v>
      </c>
      <c r="V48" s="668">
        <f>IF(V$4="forecast",AVERAGE(J48:U48),SUMIF('Dept. Cost Actuals'!$E$7:$E$176,"*Property*",'Dept. Cost Actuals'!Z$1225:Z$1394))</f>
        <v>351.54</v>
      </c>
      <c r="W48" s="668">
        <f>IF(W$4="forecast",AVERAGE(K48:V48),SUMIF('Dept. Cost Actuals'!$E$7:$E$176,"*Property*",'Dept. Cost Actuals'!AA$1225:AA$1394))</f>
        <v>340.2</v>
      </c>
      <c r="X48" s="668">
        <f>IF(X$4="forecast",AVERAGE(L48:W48),SUMIF('Dept. Cost Actuals'!$E$7:$E$176,"*Property*",'Dept. Cost Actuals'!AB$1225:AB$1394))</f>
        <v>351.54</v>
      </c>
      <c r="Y48" s="668">
        <f>IF(Y$4="forecast",AVERAGE(M48:X48),SUMIF('Dept. Cost Actuals'!$E$7:$E$176,"*Property*",'Dept. Cost Actuals'!AC$1225:AC$1394))</f>
        <v>340.2</v>
      </c>
      <c r="Z48" s="668">
        <f>IF(Z$4="forecast",AVERAGE(N48:Y48),SUMIF('Dept. Cost Actuals'!$E$7:$E$176,"*Property*",'Dept. Cost Actuals'!AD$1225:AD$1394))</f>
        <v>351.91</v>
      </c>
      <c r="AA48" s="668">
        <f>IF(AA$4="forecast",AVERAGE(O48:Z48),SUMIF('Dept. Cost Actuals'!$E$7:$E$176,"*Property*",'Dept. Cost Actuals'!AE$1225:AE$1394))</f>
        <v>620.62</v>
      </c>
      <c r="AB48" s="668">
        <f>IF(AB$4="forecast",AVERAGE(P48:AA48),SUMIF('Dept. Cost Actuals'!$E$7:$E$176,"*Property*",'Dept. Cost Actuals'!AF$1225:AF$1394))</f>
        <v>560.55999999999995</v>
      </c>
      <c r="AC48" s="668">
        <f>IF(AC$4="forecast",AVERAGE(Q48:AB48),SUMIF('Dept. Cost Actuals'!$E$7:$E$176,"*Property*",'Dept. Cost Actuals'!AG$1225:AG$1394))</f>
        <v>620.62</v>
      </c>
      <c r="AD48" s="668">
        <f>IF(AD$4="forecast",AVERAGE(R48:AC48),SUMIF('Dept. Cost Actuals'!$E$7:$E$176,"*Property*",'Dept. Cost Actuals'!AH$1225:AH$1394))</f>
        <v>410.05583333333328</v>
      </c>
      <c r="AE48" s="668">
        <f>IF(AE$4="forecast",AVERAGE(S48:AD48),SUMIF('Dept. Cost Actuals'!$E$7:$E$176,"*Property*",'Dept. Cost Actuals'!AI$1225:AI$1394))</f>
        <v>415.87715277777767</v>
      </c>
      <c r="AF48" s="668">
        <f>IF(AF$4="forecast",AVERAGE(T48:AE48),SUMIF('Dept. Cost Actuals'!$E$7:$E$176,"*Property*",'Dept. Cost Actuals'!AJ$1225:AJ$1394))</f>
        <v>421.23858217592584</v>
      </c>
      <c r="AG48" s="668">
        <f>IF(AG$4="forecast",AVERAGE(U48:AF48),SUMIF('Dept. Cost Actuals'!$E$7:$E$176,"*Property*",'Dept. Cost Actuals'!AK$1225:AK$1394))</f>
        <v>427.99179735725306</v>
      </c>
      <c r="AH48" s="668">
        <f>IF(AH$4="forecast",AVERAGE(V48:AG48),SUMIF('Dept. Cost Actuals'!$E$7:$E$176,"*Property*",'Dept. Cost Actuals'!AL$1225:AL$1394))</f>
        <v>434.36278047035756</v>
      </c>
      <c r="AI48" s="668">
        <f>IF(AI$4="forecast",AVERAGE(W48:AH48),SUMIF('Dept. Cost Actuals'!$E$7:$E$176,"*Property*",'Dept. Cost Actuals'!AM$1225:AM$1394))</f>
        <v>441.26467884288724</v>
      </c>
      <c r="AJ48" s="668">
        <f>IF(AJ$4="forecast",AVERAGE(X48:AI48),SUMIF('Dept. Cost Actuals'!$E$7:$E$176,"*Property*",'Dept. Cost Actuals'!AN$1225:AN$1394))</f>
        <v>449.68673541312791</v>
      </c>
      <c r="AK48" s="668">
        <f>IF(AK$4="forecast",AVERAGE(Y48:AJ48),SUMIF('Dept. Cost Actuals'!$E$7:$E$176,"*Property*",'Dept. Cost Actuals'!AO$1225:AO$1394))</f>
        <v>457.86563003088855</v>
      </c>
      <c r="AL48" s="668">
        <f>IF(AL$4="forecast",AVERAGE(Z48:AK48),SUMIF('Dept. Cost Actuals'!$E$7:$E$176,"*Property*",'Dept. Cost Actuals'!AP$1225:AP$1394))</f>
        <v>467.67109920012928</v>
      </c>
      <c r="AM48" s="668">
        <f>IF(AM$4="forecast",AVERAGE(AA48:AL48),SUMIF('Dept. Cost Actuals'!$E$7:$E$176,"*Property*",'Dept. Cost Actuals'!AQ$1225:AQ$1394))</f>
        <v>477.31785746680663</v>
      </c>
      <c r="AN48" s="668">
        <f>IF(AN$4="forecast",AVERAGE(AB48:AM48),SUMIF('Dept. Cost Actuals'!$E$7:$E$176,"*Property*",'Dept. Cost Actuals'!AR$1225:AR$1394))</f>
        <v>465.37601225570717</v>
      </c>
      <c r="AO48" s="668">
        <f>IF(AO$4="forecast",AVERAGE(AC48:AN48),SUMIF('Dept. Cost Actuals'!$E$7:$E$176,"*Property*",'Dept. Cost Actuals'!AS$1225:AS$1394))</f>
        <v>457.44401327701615</v>
      </c>
      <c r="AP48" s="668">
        <f>IF(AP$4="forecast",AVERAGE(AD48:AO48),SUMIF('Dept. Cost Actuals'!$E$7:$E$176,"*Property*",'Dept. Cost Actuals'!AT$1225:AT$1394))</f>
        <v>443.84601438343412</v>
      </c>
      <c r="AQ48" s="668">
        <f>IF(AQ$4="forecast",AVERAGE(AE48:AP48),SUMIF('Dept. Cost Actuals'!$E$7:$E$176,"*Property*",'Dept. Cost Actuals'!AU$1225:AU$1394))</f>
        <v>446.66186280427593</v>
      </c>
      <c r="AR48" s="668">
        <f>IF(AR$4="forecast",AVERAGE(AF48:AQ48),SUMIF('Dept. Cost Actuals'!$E$7:$E$176,"*Property*",'Dept. Cost Actuals'!AV$1225:AV$1394))</f>
        <v>449.22725530648421</v>
      </c>
      <c r="AS48" s="668">
        <f>IF(AS$4="forecast",AVERAGE(AG48:AR48),SUMIF('Dept. Cost Actuals'!$E$7:$E$176,"*Property*",'Dept. Cost Actuals'!AW$1225:AW$1394))</f>
        <v>451.55964473403066</v>
      </c>
      <c r="AT48" s="668">
        <f>IF(AT$4="forecast",AVERAGE(AH48:AS48),SUMIF('Dept. Cost Actuals'!$E$7:$E$176,"*Property*",'Dept. Cost Actuals'!AX$1225:AX$1394))</f>
        <v>453.52363201542875</v>
      </c>
      <c r="AU48" s="668">
        <f>IF(AU$4="forecast",AVERAGE(AI48:AT48),SUMIF('Dept. Cost Actuals'!$E$7:$E$176,"*Property*",'Dept. Cost Actuals'!AY$1225:AY$1394))</f>
        <v>455.12036964418468</v>
      </c>
      <c r="AV48" s="668">
        <f>IF(AV$4="forecast",AVERAGE(AJ48:AU48),SUMIF('Dept. Cost Actuals'!$E$7:$E$176,"*Property*",'Dept. Cost Actuals'!AZ$1225:AZ$1394))</f>
        <v>456.2750105442928</v>
      </c>
      <c r="AW48" s="668">
        <f>IF(AW$4="forecast",AVERAGE(AK48:AV48),SUMIF('Dept. Cost Actuals'!$E$7:$E$176,"*Property*",'Dept. Cost Actuals'!BA$1225:BA$1394))</f>
        <v>456.82403347188989</v>
      </c>
      <c r="AX48" s="668">
        <f>IF(AX$4="forecast",AVERAGE(AL48:AW48),SUMIF('Dept. Cost Actuals'!$E$7:$E$176,"*Property*",'Dept. Cost Actuals'!BB$1225:BB$1394))</f>
        <v>456.73723375864006</v>
      </c>
      <c r="AY48" s="668">
        <f>IF(AY$4="forecast",AVERAGE(AM48:AX48),SUMIF('Dept. Cost Actuals'!$E$7:$E$176,"*Property*",'Dept. Cost Actuals'!BC$1225:BC$1394))</f>
        <v>455.82607830518259</v>
      </c>
      <c r="AZ48" s="668">
        <f>IF(AZ$4="forecast",AVERAGE(AN48:AY48),SUMIF('Dept. Cost Actuals'!$E$7:$E$176,"*Property*",'Dept. Cost Actuals'!BD$1225:BD$1394))</f>
        <v>454.03509670838065</v>
      </c>
      <c r="BA48" s="668">
        <f>IF(BA$4="forecast",AVERAGE(AO48:AZ48),SUMIF('Dept. Cost Actuals'!$E$7:$E$176,"*Property*",'Dept. Cost Actuals'!BE$1225:BE$1394))</f>
        <v>453.09002041277</v>
      </c>
      <c r="BB48" s="668">
        <f>IF(BB$4="forecast",AVERAGE(AP48:BA48),SUMIF('Dept. Cost Actuals'!$E$7:$E$176,"*Property*",'Dept. Cost Actuals'!BF$1225:BF$1394))</f>
        <v>452.72718767408287</v>
      </c>
      <c r="BC48" s="668">
        <f>IF(BC$4="forecast",AVERAGE(AQ48:BB48),SUMIF('Dept. Cost Actuals'!$E$7:$E$176,"*Property*",'Dept. Cost Actuals'!BG$1225:BG$1394))</f>
        <v>453.46728544830358</v>
      </c>
      <c r="BD48" s="668">
        <f>IF(BD$4="forecast",AVERAGE(AR48:BC48),SUMIF('Dept. Cost Actuals'!$E$7:$E$176,"*Property*",'Dept. Cost Actuals'!BH$1225:BH$1394))</f>
        <v>454.03440400197252</v>
      </c>
      <c r="BE48" s="668">
        <f>IF(BE$4="forecast",AVERAGE(AS48:BD48),SUMIF('Dept. Cost Actuals'!$E$7:$E$176,"*Property*",'Dept. Cost Actuals'!BI$1225:BI$1394))</f>
        <v>454.43499972659669</v>
      </c>
      <c r="BF48" s="668">
        <f>IF(BF$4="forecast",AVERAGE(AT48:BE48),SUMIF('Dept. Cost Actuals'!$E$7:$E$176,"*Property*",'Dept. Cost Actuals'!BJ$1225:BJ$1394))</f>
        <v>454.67461264264375</v>
      </c>
      <c r="BG48" s="668">
        <f>IF(BG$4="forecast",AVERAGE(AU48:BF48),SUMIF('Dept. Cost Actuals'!$E$7:$E$176,"*Property*",'Dept. Cost Actuals'!BK$1225:BK$1394))</f>
        <v>454.77052769491166</v>
      </c>
      <c r="BH48" s="668">
        <f>IF(BH$4="forecast",AVERAGE(AV48:BG48),SUMIF('Dept. Cost Actuals'!$E$7:$E$176,"*Property*",'Dept. Cost Actuals'!BL$1225:BL$1394))</f>
        <v>454.74137419913899</v>
      </c>
      <c r="BI48" s="668">
        <f>IF(BI$4="forecast",AVERAGE(AW48:BH48),SUMIF('Dept. Cost Actuals'!$E$7:$E$176,"*Property*",'Dept. Cost Actuals'!BM$1225:BM$1394))</f>
        <v>454.61357117037613</v>
      </c>
      <c r="BJ48" s="668">
        <f>IF(BJ$4="forecast",AVERAGE(AX48:BI48),SUMIF('Dept. Cost Actuals'!$E$7:$E$176,"*Property*",'Dept. Cost Actuals'!BN$1225:BN$1394))</f>
        <v>454.42936597858329</v>
      </c>
      <c r="BK48" s="668">
        <f>IF(BK$4="forecast",AVERAGE(AY48:BJ48),SUMIF('Dept. Cost Actuals'!$E$7:$E$176,"*Property*",'Dept. Cost Actuals'!BO$1225:BO$1394))</f>
        <v>454.23704366357862</v>
      </c>
      <c r="BL48" s="668">
        <f>IF(BL$4="forecast",AVERAGE(AZ48:BK48),SUMIF('Dept. Cost Actuals'!$E$7:$E$176,"*Property*",'Dept. Cost Actuals'!BP$1225:BP$1394))</f>
        <v>454.10462411011162</v>
      </c>
      <c r="BM48" s="668">
        <f>IF(BM$4="forecast",AVERAGE(BA48:BL48),SUMIF('Dept. Cost Actuals'!$E$7:$E$176,"*Property*",'Dept. Cost Actuals'!BQ$1225:BQ$1394))</f>
        <v>454.11041806025577</v>
      </c>
      <c r="BN48" s="668">
        <f>IF(BN$4="forecast",AVERAGE(BB48:BM48),SUMIF('Dept. Cost Actuals'!$E$7:$E$176,"*Property*",'Dept. Cost Actuals'!BR$1225:BR$1394))</f>
        <v>454.19545119754622</v>
      </c>
      <c r="BO48" s="668">
        <f>IF(BO$4="forecast",AVERAGE(BC48:BN48),SUMIF('Dept. Cost Actuals'!$E$7:$E$176,"*Property*",'Dept. Cost Actuals'!BS$1225:BS$1394))</f>
        <v>454.31780649116831</v>
      </c>
      <c r="BP48" s="668">
        <f>IF(BP$4="forecast",AVERAGE(BD48:BO48),SUMIF('Dept. Cost Actuals'!$E$7:$E$176,"*Property*",'Dept. Cost Actuals'!BT$1225:BT$1394))</f>
        <v>454.38868324474032</v>
      </c>
      <c r="BQ48" s="668">
        <f>IF(BQ$4="forecast",AVERAGE(BE48:BP48),SUMIF('Dept. Cost Actuals'!$E$7:$E$176,"*Property*",'Dept. Cost Actuals'!BU$1225:BU$1394))</f>
        <v>454.41820651497096</v>
      </c>
      <c r="BR48" s="668">
        <f>IF(BR$4="forecast",AVERAGE(BF48:BQ48),SUMIF('Dept. Cost Actuals'!$E$7:$E$176,"*Property*",'Dept. Cost Actuals'!BV$1225:BV$1394))</f>
        <v>454.41680708066883</v>
      </c>
      <c r="BS48" s="668">
        <f>IF(BS$4="forecast",AVERAGE(BG48:BR48),SUMIF('Dept. Cost Actuals'!$E$7:$E$176,"*Property*",'Dept. Cost Actuals'!BW$1225:BW$1394))</f>
        <v>454.39532328383757</v>
      </c>
      <c r="BT48" s="668">
        <f>IF(BT$4="forecast",AVERAGE(BH48:BS48),SUMIF('Dept. Cost Actuals'!$E$7:$E$176,"*Property*",'Dept. Cost Actuals'!BX$1225:BX$1394))</f>
        <v>454.36405624958138</v>
      </c>
      <c r="BU48" s="668">
        <f>IF(BU$4="forecast",AVERAGE(BI48:BT48),SUMIF('Dept. Cost Actuals'!$E$7:$E$176,"*Property*",'Dept. Cost Actuals'!BY$1225:BY$1394))</f>
        <v>454.33261308711826</v>
      </c>
      <c r="BV48" s="668">
        <f>IF(BV$4="forecast",AVERAGE(BJ48:BU48),SUMIF('Dept. Cost Actuals'!$E$7:$E$176,"*Property*",'Dept. Cost Actuals'!BZ$1225:BZ$1394))</f>
        <v>454.3091999135134</v>
      </c>
    </row>
    <row r="49" spans="1:74" s="156" customFormat="1" x14ac:dyDescent="0.25">
      <c r="A49" s="783"/>
      <c r="B49" s="794" t="s">
        <v>1340</v>
      </c>
      <c r="C49" s="668">
        <f>IF(C$4="forecast",AVERAGE(#REF!),SUMIF('Dept. Cost Actuals'!$E$7:$E$176,"*Rent*",'Dept. Cost Actuals'!G$1225:G$1394))</f>
        <v>14022</v>
      </c>
      <c r="D49" s="668">
        <f>IF(D$4="forecast",AVERAGE(#REF!),SUMIF('Dept. Cost Actuals'!$E$7:$E$176,"*Rent*",'Dept. Cost Actuals'!H$1225:H$1394))</f>
        <v>14022</v>
      </c>
      <c r="E49" s="668">
        <f>IF(E$4="forecast",AVERAGE(#REF!),SUMIF('Dept. Cost Actuals'!$E$7:$E$176,"*Rent*",'Dept. Cost Actuals'!I$1225:I$1394))</f>
        <v>14022</v>
      </c>
      <c r="F49" s="668">
        <f>IF(F$4="forecast",AVERAGE(#REF!),SUMIF('Dept. Cost Actuals'!$E$7:$E$176,"*Rent*",'Dept. Cost Actuals'!J$1225:J$1394))</f>
        <v>14022</v>
      </c>
      <c r="G49" s="668">
        <f>IF(G$4="forecast",AVERAGE(#REF!),SUMIF('Dept. Cost Actuals'!$E$7:$E$176,"*Rent*",'Dept. Cost Actuals'!K$1225:K$1394))</f>
        <v>14042</v>
      </c>
      <c r="H49" s="668">
        <f>IF(H$4="forecast",AVERAGE(#REF!),SUMIF('Dept. Cost Actuals'!$E$7:$E$176,"*Rent*",'Dept. Cost Actuals'!L$1225:L$1394))</f>
        <v>14543</v>
      </c>
      <c r="I49" s="668">
        <f>IF(I$4="forecast",AVERAGE(#REF!),SUMIF('Dept. Cost Actuals'!$E$7:$E$176,"*Rent*",'Dept. Cost Actuals'!M$1225:M$1394))</f>
        <v>15028</v>
      </c>
      <c r="J49" s="668">
        <f>IF(J$4="forecast",AVERAGE(#REF!),SUMIF('Dept. Cost Actuals'!$E$7:$E$176,"*Rent*",'Dept. Cost Actuals'!N$1225:N$1394))</f>
        <v>14543</v>
      </c>
      <c r="K49" s="668">
        <f>IF(K$4="forecast",AVERAGE(#REF!),SUMIF('Dept. Cost Actuals'!$E$7:$E$176,"*Rent*",'Dept. Cost Actuals'!O$1225:O$1394))</f>
        <v>14572.4</v>
      </c>
      <c r="L49" s="668">
        <f>IF(L$4="forecast",AVERAGE(#REF!),SUMIF('Dept. Cost Actuals'!$E$7:$E$176,"*Rent*",'Dept. Cost Actuals'!P$1225:P$1394))</f>
        <v>14865</v>
      </c>
      <c r="M49" s="668">
        <f>IF(M$4="forecast",AVERAGE(A49:L49),SUMIF('Dept. Cost Actuals'!$E$7:$E$176,"*Rent*",'Dept. Cost Actuals'!Q$1225:Q$1394))</f>
        <v>14744</v>
      </c>
      <c r="N49" s="668">
        <f>IF(N$4="forecast",AVERAGE(B49:M49),SUMIF('Dept. Cost Actuals'!$E$7:$E$176,"*Rent*",'Dept. Cost Actuals'!R$1225:R$1394))</f>
        <v>15013.99</v>
      </c>
      <c r="O49" s="668">
        <f>IF(O$4="forecast",AVERAGE(C49:N49),SUMIF('Dept. Cost Actuals'!$E$7:$E$176,"*Rent*",'Dept. Cost Actuals'!S$1225:S$1394))</f>
        <v>15010.93</v>
      </c>
      <c r="P49" s="668">
        <f>IF(P$4="forecast",AVERAGE(D49:O49),SUMIF('Dept. Cost Actuals'!$E$7:$E$176,"*Rent*",'Dept. Cost Actuals'!T$1225:T$1394))</f>
        <v>15303.810000000001</v>
      </c>
      <c r="Q49" s="668">
        <f>IF(Q$4="forecast",AVERAGE(E49:P49),SUMIF('Dept. Cost Actuals'!$E$7:$E$176,"*Rent*",'Dept. Cost Actuals'!U$1225:U$1394))</f>
        <v>15623.9</v>
      </c>
      <c r="R49" s="668">
        <f>IF(R$4="forecast",AVERAGE(F49:Q49),SUMIF('Dept. Cost Actuals'!$E$7:$E$176,"*Rent*",'Dept. Cost Actuals'!V$1225:V$1394))</f>
        <v>16699.830000000002</v>
      </c>
      <c r="S49" s="668">
        <f>IF(S$4="forecast",AVERAGE(G49:R49),SUMIF('Dept. Cost Actuals'!$E$7:$E$176,"*Rent*",'Dept. Cost Actuals'!W$1225:W$1394))</f>
        <v>15432.1</v>
      </c>
      <c r="T49" s="668">
        <f>IF(T$4="forecast",AVERAGE(H49:S49),SUMIF('Dept. Cost Actuals'!$E$7:$E$176,"*Rent*",'Dept. Cost Actuals'!X$1225:X$1394))</f>
        <v>15973.28</v>
      </c>
      <c r="U49" s="668">
        <f>IF(U$4="forecast",AVERAGE(I49:T49),SUMIF('Dept. Cost Actuals'!$E$7:$E$176,"*Rent*",'Dept. Cost Actuals'!Y$1225:Y$1394))</f>
        <v>16112.53</v>
      </c>
      <c r="V49" s="668">
        <f>IF(V$4="forecast",AVERAGE(J49:U49),SUMIF('Dept. Cost Actuals'!$E$7:$E$176,"*Rent*",'Dept. Cost Actuals'!Z$1225:Z$1394))</f>
        <v>15919.03</v>
      </c>
      <c r="W49" s="668">
        <f>IF(W$4="forecast",AVERAGE(K49:V49),SUMIF('Dept. Cost Actuals'!$E$7:$E$176,"*Rent*",'Dept. Cost Actuals'!AA$1225:AA$1394))</f>
        <v>15772.78</v>
      </c>
      <c r="X49" s="668">
        <f>IF(X$4="forecast",AVERAGE(L49:W49),SUMIF('Dept. Cost Actuals'!$E$7:$E$176,"*Rent*",'Dept. Cost Actuals'!AB$1225:AB$1394))</f>
        <v>84930.19</v>
      </c>
      <c r="Y49" s="668">
        <f>IF(Y$4="forecast",AVERAGE(M49:X49),SUMIF('Dept. Cost Actuals'!$E$7:$E$176,"*Rent*",'Dept. Cost Actuals'!AC$1225:AC$1394))</f>
        <v>11077.980000000003</v>
      </c>
      <c r="Z49" s="668">
        <f>IF(Z$4="forecast",AVERAGE(N49:Y49),SUMIF('Dept. Cost Actuals'!$E$7:$E$176,"*Rent*",'Dept. Cost Actuals'!AD$1225:AD$1394))</f>
        <v>30445.06</v>
      </c>
      <c r="AA49" s="668">
        <f>IF(AA$4="forecast",AVERAGE(O49:Z49),SUMIF('Dept. Cost Actuals'!$E$7:$E$176,"*Rent*",'Dept. Cost Actuals'!AE$1225:AE$1394))</f>
        <v>47796.69</v>
      </c>
      <c r="AB49" s="668">
        <f>IF(AB$4="forecast",AVERAGE(P49:AA49),SUMIF('Dept. Cost Actuals'!$E$7:$E$176,"*Rent*",'Dept. Cost Actuals'!AF$1225:AF$1394))</f>
        <v>49570.090000000004</v>
      </c>
      <c r="AC49" s="668">
        <f>IF(AC$4="forecast",AVERAGE(Q49:AB49),SUMIF('Dept. Cost Actuals'!$E$7:$E$176,"*Rent*",'Dept. Cost Actuals'!AG$1225:AG$1394))</f>
        <v>49570.239999999998</v>
      </c>
      <c r="AD49" s="668">
        <f>IF(AD$4="forecast",AVERAGE(R49:AC49),SUMIF('Dept. Cost Actuals'!$E$7:$E$176,"*Rent*",'Dept. Cost Actuals'!AH$1225:AH$1394))</f>
        <v>30774.983333333334</v>
      </c>
      <c r="AE49" s="668">
        <f>IF(AE$4="forecast",AVERAGE(S49:AD49),SUMIF('Dept. Cost Actuals'!$E$7:$E$176,"*Rent*",'Dept. Cost Actuals'!AI$1225:AI$1394))</f>
        <v>31947.912777777779</v>
      </c>
      <c r="AF49" s="668">
        <f>IF(AF$4="forecast",AVERAGE(T49:AE49),SUMIF('Dept. Cost Actuals'!$E$7:$E$176,"*Rent*",'Dept. Cost Actuals'!AJ$1225:AJ$1394))</f>
        <v>33324.230509259258</v>
      </c>
      <c r="AG49" s="668">
        <f>IF(AG$4="forecast",AVERAGE(U49:AF49),SUMIF('Dept. Cost Actuals'!$E$7:$E$176,"*Rent*",'Dept. Cost Actuals'!AK$1225:AK$1394))</f>
        <v>34770.143051697531</v>
      </c>
      <c r="AH49" s="668">
        <f>IF(AH$4="forecast",AVERAGE(V49:AG49),SUMIF('Dept. Cost Actuals'!$E$7:$E$176,"*Rent*",'Dept. Cost Actuals'!AL$1225:AL$1394))</f>
        <v>36324.944139338993</v>
      </c>
      <c r="AI49" s="668">
        <f>IF(AI$4="forecast",AVERAGE(W49:AH49),SUMIF('Dept. Cost Actuals'!$E$7:$E$176,"*Rent*",'Dept. Cost Actuals'!AM$1225:AM$1394))</f>
        <v>38025.436984283908</v>
      </c>
      <c r="AJ49" s="668">
        <f>IF(AJ$4="forecast",AVERAGE(X49:AI49),SUMIF('Dept. Cost Actuals'!$E$7:$E$176,"*Rent*",'Dept. Cost Actuals'!AN$1225:AN$1394))</f>
        <v>39879.825066307567</v>
      </c>
      <c r="AK49" s="668">
        <f>IF(AK$4="forecast",AVERAGE(Y49:AJ49),SUMIF('Dept. Cost Actuals'!$E$7:$E$176,"*Rent*",'Dept. Cost Actuals'!AO$1225:AO$1394))</f>
        <v>36125.627988499858</v>
      </c>
      <c r="AL49" s="668">
        <f>IF(AL$4="forecast",AVERAGE(Z49:AK49),SUMIF('Dept. Cost Actuals'!$E$7:$E$176,"*Rent*",'Dept. Cost Actuals'!AP$1225:AP$1394))</f>
        <v>38212.931987541517</v>
      </c>
      <c r="AM49" s="668">
        <f>IF(AM$4="forecast",AVERAGE(AA49:AL49),SUMIF('Dept. Cost Actuals'!$E$7:$E$176,"*Rent*",'Dept. Cost Actuals'!AQ$1225:AQ$1394))</f>
        <v>38860.254653169977</v>
      </c>
      <c r="AN49" s="668">
        <f>IF(AN$4="forecast",AVERAGE(AB49:AM49),SUMIF('Dept. Cost Actuals'!$E$7:$E$176,"*Rent*",'Dept. Cost Actuals'!AR$1225:AR$1394))</f>
        <v>38115.551707600804</v>
      </c>
      <c r="AO49" s="668">
        <f>IF(AO$4="forecast",AVERAGE(AC49:AN49),SUMIF('Dept. Cost Actuals'!$E$7:$E$176,"*Rent*",'Dept. Cost Actuals'!AS$1225:AS$1394))</f>
        <v>37161.006849900878</v>
      </c>
      <c r="AP49" s="668">
        <f>IF(AP$4="forecast",AVERAGE(AD49:AO49),SUMIF('Dept. Cost Actuals'!$E$7:$E$176,"*Rent*",'Dept. Cost Actuals'!AT$1225:AT$1394))</f>
        <v>36126.904087392621</v>
      </c>
      <c r="AQ49" s="668">
        <f>IF(AQ$4="forecast",AVERAGE(AE49:AP49),SUMIF('Dept. Cost Actuals'!$E$7:$E$176,"*Rent*",'Dept. Cost Actuals'!AU$1225:AU$1394))</f>
        <v>36572.897483564222</v>
      </c>
      <c r="AR49" s="668">
        <f>IF(AR$4="forecast",AVERAGE(AF49:AQ49),SUMIF('Dept. Cost Actuals'!$E$7:$E$176,"*Rent*",'Dept. Cost Actuals'!AV$1225:AV$1394))</f>
        <v>36958.312875713098</v>
      </c>
      <c r="AS49" s="668">
        <f>IF(AS$4="forecast",AVERAGE(AG49:AR49),SUMIF('Dept. Cost Actuals'!$E$7:$E$176,"*Rent*",'Dept. Cost Actuals'!AW$1225:AW$1394))</f>
        <v>37261.153072917579</v>
      </c>
      <c r="AT49" s="668">
        <f>IF(AT$4="forecast",AVERAGE(AH49:AS49),SUMIF('Dept. Cost Actuals'!$E$7:$E$176,"*Rent*",'Dept. Cost Actuals'!AX$1225:AX$1394))</f>
        <v>37468.737241352588</v>
      </c>
      <c r="AU49" s="668">
        <f>IF(AU$4="forecast",AVERAGE(AI49:AT49),SUMIF('Dept. Cost Actuals'!$E$7:$E$176,"*Rent*",'Dept. Cost Actuals'!AY$1225:AY$1394))</f>
        <v>37564.053333187047</v>
      </c>
      <c r="AV49" s="668">
        <f>IF(AV$4="forecast",AVERAGE(AJ49:AU49),SUMIF('Dept. Cost Actuals'!$E$7:$E$176,"*Rent*",'Dept. Cost Actuals'!AZ$1225:AZ$1394))</f>
        <v>37525.604695595648</v>
      </c>
      <c r="AW49" s="668">
        <f>IF(AW$4="forecast",AVERAGE(AK49:AV49),SUMIF('Dept. Cost Actuals'!$E$7:$E$176,"*Rent*",'Dept. Cost Actuals'!BA$1225:BA$1394))</f>
        <v>37329.419664702989</v>
      </c>
      <c r="AX49" s="668">
        <f>IF(AX$4="forecast",AVERAGE(AL49:AW49),SUMIF('Dept. Cost Actuals'!$E$7:$E$176,"*Rent*",'Dept. Cost Actuals'!BB$1225:BB$1394))</f>
        <v>37429.73563771991</v>
      </c>
      <c r="AY49" s="668">
        <f>IF(AY$4="forecast",AVERAGE(AM49:AX49),SUMIF('Dept. Cost Actuals'!$E$7:$E$176,"*Rent*",'Dept. Cost Actuals'!BC$1225:BC$1394))</f>
        <v>37364.469275234776</v>
      </c>
      <c r="AZ49" s="668">
        <f>IF(AZ$4="forecast",AVERAGE(AN49:AY49),SUMIF('Dept. Cost Actuals'!$E$7:$E$176,"*Rent*",'Dept. Cost Actuals'!BD$1225:BD$1394))</f>
        <v>37239.820493740175</v>
      </c>
      <c r="BA49" s="668">
        <f>IF(BA$4="forecast",AVERAGE(AO49:AZ49),SUMIF('Dept. Cost Actuals'!$E$7:$E$176,"*Rent*",'Dept. Cost Actuals'!BE$1225:BE$1394))</f>
        <v>37166.842892585126</v>
      </c>
      <c r="BB49" s="668">
        <f>IF(BB$4="forecast",AVERAGE(AP49:BA49),SUMIF('Dept. Cost Actuals'!$E$7:$E$176,"*Rent*",'Dept. Cost Actuals'!BF$1225:BF$1394))</f>
        <v>37167.329229475479</v>
      </c>
      <c r="BC49" s="668">
        <f>IF(BC$4="forecast",AVERAGE(AQ49:BB49),SUMIF('Dept. Cost Actuals'!$E$7:$E$176,"*Rent*",'Dept. Cost Actuals'!BG$1225:BG$1394))</f>
        <v>37254.031324649048</v>
      </c>
      <c r="BD49" s="668">
        <f>IF(BD$4="forecast",AVERAGE(AR49:BC49),SUMIF('Dept. Cost Actuals'!$E$7:$E$176,"*Rent*",'Dept. Cost Actuals'!BH$1225:BH$1394))</f>
        <v>37310.792478072784</v>
      </c>
      <c r="BE49" s="668">
        <f>IF(BE$4="forecast",AVERAGE(AS49:BD49),SUMIF('Dept. Cost Actuals'!$E$7:$E$176,"*Rent*",'Dept. Cost Actuals'!BI$1225:BI$1394))</f>
        <v>37340.165778269431</v>
      </c>
      <c r="BF49" s="668">
        <f>IF(BF$4="forecast",AVERAGE(AT49:BE49),SUMIF('Dept. Cost Actuals'!$E$7:$E$176,"*Rent*",'Dept. Cost Actuals'!BJ$1225:BJ$1394))</f>
        <v>37346.750170382082</v>
      </c>
      <c r="BG49" s="668">
        <f>IF(BG$4="forecast",AVERAGE(AU49:BF49),SUMIF('Dept. Cost Actuals'!$E$7:$E$176,"*Rent*",'Dept. Cost Actuals'!BK$1225:BK$1394))</f>
        <v>37336.584581134543</v>
      </c>
      <c r="BH49" s="668">
        <f>IF(BH$4="forecast",AVERAGE(AV49:BG49),SUMIF('Dept. Cost Actuals'!$E$7:$E$176,"*Rent*",'Dept. Cost Actuals'!BL$1225:BL$1394))</f>
        <v>37317.628851796835</v>
      </c>
      <c r="BI49" s="668">
        <f>IF(BI$4="forecast",AVERAGE(AW49:BH49),SUMIF('Dept. Cost Actuals'!$E$7:$E$176,"*Rent*",'Dept. Cost Actuals'!BM$1225:BM$1394))</f>
        <v>37300.297531480268</v>
      </c>
      <c r="BJ49" s="668">
        <f>IF(BJ$4="forecast",AVERAGE(AX49:BI49),SUMIF('Dept. Cost Actuals'!$E$7:$E$176,"*Rent*",'Dept. Cost Actuals'!BN$1225:BN$1394))</f>
        <v>37297.870687045041</v>
      </c>
      <c r="BK49" s="668">
        <f>IF(BK$4="forecast",AVERAGE(AY49:BJ49),SUMIF('Dept. Cost Actuals'!$E$7:$E$176,"*Rent*",'Dept. Cost Actuals'!BO$1225:BO$1394))</f>
        <v>37286.881941155465</v>
      </c>
      <c r="BL49" s="668">
        <f>IF(BL$4="forecast",AVERAGE(AZ49:BK49),SUMIF('Dept. Cost Actuals'!$E$7:$E$176,"*Rent*",'Dept. Cost Actuals'!BP$1225:BP$1394))</f>
        <v>37280.416329982188</v>
      </c>
      <c r="BM49" s="668">
        <f>IF(BM$4="forecast",AVERAGE(BA49:BL49),SUMIF('Dept. Cost Actuals'!$E$7:$E$176,"*Rent*",'Dept. Cost Actuals'!BQ$1225:BQ$1394))</f>
        <v>37283.799316335695</v>
      </c>
      <c r="BN49" s="668">
        <f>IF(BN$4="forecast",AVERAGE(BB49:BM49),SUMIF('Dept. Cost Actuals'!$E$7:$E$176,"*Rent*",'Dept. Cost Actuals'!BR$1225:BR$1394))</f>
        <v>37293.545684981575</v>
      </c>
      <c r="BO49" s="668">
        <f>IF(BO$4="forecast",AVERAGE(BC49:BN49),SUMIF('Dept. Cost Actuals'!$E$7:$E$176,"*Rent*",'Dept. Cost Actuals'!BS$1225:BS$1394))</f>
        <v>37304.063722940416</v>
      </c>
      <c r="BP49" s="668">
        <f>IF(BP$4="forecast",AVERAGE(BD49:BO49),SUMIF('Dept. Cost Actuals'!$E$7:$E$176,"*Rent*",'Dept. Cost Actuals'!BT$1225:BT$1394))</f>
        <v>37308.233089464695</v>
      </c>
      <c r="BQ49" s="668">
        <f>IF(BQ$4="forecast",AVERAGE(BE49:BP49),SUMIF('Dept. Cost Actuals'!$E$7:$E$176,"*Rent*",'Dept. Cost Actuals'!BU$1225:BU$1394))</f>
        <v>37308.019807080687</v>
      </c>
      <c r="BR49" s="668">
        <f>IF(BR$4="forecast",AVERAGE(BF49:BQ49),SUMIF('Dept. Cost Actuals'!$E$7:$E$176,"*Rent*",'Dept. Cost Actuals'!BV$1225:BV$1394))</f>
        <v>37305.340976148291</v>
      </c>
      <c r="BS49" s="668">
        <f>IF(BS$4="forecast",AVERAGE(BG49:BR49),SUMIF('Dept. Cost Actuals'!$E$7:$E$176,"*Rent*",'Dept. Cost Actuals'!BW$1225:BW$1394))</f>
        <v>37301.890209962141</v>
      </c>
      <c r="BT49" s="668">
        <f>IF(BT$4="forecast",AVERAGE(BH49:BS49),SUMIF('Dept. Cost Actuals'!$E$7:$E$176,"*Rent*",'Dept. Cost Actuals'!BX$1225:BX$1394))</f>
        <v>37298.999012364446</v>
      </c>
      <c r="BU49" s="668">
        <f>IF(BU$4="forecast",AVERAGE(BI49:BT49),SUMIF('Dept. Cost Actuals'!$E$7:$E$176,"*Rent*",'Dept. Cost Actuals'!BY$1225:BY$1394))</f>
        <v>37297.446525745072</v>
      </c>
      <c r="BV49" s="668">
        <f>IF(BV$4="forecast",AVERAGE(BJ49:BU49),SUMIF('Dept. Cost Actuals'!$E$7:$E$176,"*Rent*",'Dept. Cost Actuals'!BZ$1225:BZ$1394))</f>
        <v>37297.208941933815</v>
      </c>
    </row>
    <row r="50" spans="1:74" s="156" customFormat="1" x14ac:dyDescent="0.25">
      <c r="A50" s="783"/>
      <c r="B50" s="794" t="s">
        <v>1342</v>
      </c>
      <c r="C50" s="668">
        <f>IF(C$4="forecast",AVERAGE(#REF!),SUMIF('Dept. Cost Actuals'!$E$7:$E$176,"*Repairs*",'Dept. Cost Actuals'!G$1225:G$1394))</f>
        <v>1400</v>
      </c>
      <c r="D50" s="668">
        <f>IF(D$4="forecast",AVERAGE(#REF!),SUMIF('Dept. Cost Actuals'!$E$7:$E$176,"*Repairs*",'Dept. Cost Actuals'!H$1225:H$1394))</f>
        <v>161.91</v>
      </c>
      <c r="E50" s="668">
        <f>IF(E$4="forecast",AVERAGE(#REF!),SUMIF('Dept. Cost Actuals'!$E$7:$E$176,"*Repairs*",'Dept. Cost Actuals'!I$1225:I$1394))</f>
        <v>0</v>
      </c>
      <c r="F50" s="668">
        <f>IF(F$4="forecast",AVERAGE(#REF!),SUMIF('Dept. Cost Actuals'!$E$7:$E$176,"*Repairs*",'Dept. Cost Actuals'!J$1225:J$1394))</f>
        <v>0</v>
      </c>
      <c r="G50" s="668">
        <f>IF(G$4="forecast",AVERAGE(#REF!),SUMIF('Dept. Cost Actuals'!$E$7:$E$176,"*Repairs*",'Dept. Cost Actuals'!K$1225:K$1394))</f>
        <v>0</v>
      </c>
      <c r="H50" s="668">
        <f>IF(H$4="forecast",AVERAGE(#REF!),SUMIF('Dept. Cost Actuals'!$E$7:$E$176,"*Repairs*",'Dept. Cost Actuals'!L$1225:L$1394))</f>
        <v>0</v>
      </c>
      <c r="I50" s="668">
        <f>IF(I$4="forecast",AVERAGE(#REF!),SUMIF('Dept. Cost Actuals'!$E$7:$E$176,"*Repairs*",'Dept. Cost Actuals'!M$1225:M$1394))</f>
        <v>85</v>
      </c>
      <c r="J50" s="668">
        <f>IF(J$4="forecast",AVERAGE(#REF!),SUMIF('Dept. Cost Actuals'!$E$7:$E$176,"*Repairs*",'Dept. Cost Actuals'!N$1225:N$1394))</f>
        <v>146.19</v>
      </c>
      <c r="K50" s="668">
        <f>IF(K$4="forecast",AVERAGE(#REF!),SUMIF('Dept. Cost Actuals'!$E$7:$E$176,"*Repairs*",'Dept. Cost Actuals'!O$1225:O$1394))</f>
        <v>0</v>
      </c>
      <c r="L50" s="668">
        <f>IF(L$4="forecast",AVERAGE(#REF!),SUMIF('Dept. Cost Actuals'!$E$7:$E$176,"*Repairs*",'Dept. Cost Actuals'!P$1225:P$1394))</f>
        <v>390</v>
      </c>
      <c r="M50" s="668">
        <f>IF(M$4="forecast",AVERAGE(A50:L50),SUMIF('Dept. Cost Actuals'!$E$7:$E$176,"*Repairs*",'Dept. Cost Actuals'!Q$1225:Q$1394))</f>
        <v>0</v>
      </c>
      <c r="N50" s="668">
        <f>IF(N$4="forecast",AVERAGE(B50:M50),SUMIF('Dept. Cost Actuals'!$E$7:$E$176,"*Repairs*",'Dept. Cost Actuals'!R$1225:R$1394))</f>
        <v>450</v>
      </c>
      <c r="O50" s="668">
        <f>IF(O$4="forecast",AVERAGE(C50:N50),SUMIF('Dept. Cost Actuals'!$E$7:$E$176,"*Repairs*",'Dept. Cost Actuals'!S$1225:S$1394))</f>
        <v>2831</v>
      </c>
      <c r="P50" s="668">
        <f>IF(P$4="forecast",AVERAGE(D50:O50),SUMIF('Dept. Cost Actuals'!$E$7:$E$176,"*Repairs*",'Dept. Cost Actuals'!T$1225:T$1394))</f>
        <v>750</v>
      </c>
      <c r="Q50" s="668">
        <f>IF(Q$4="forecast",AVERAGE(E50:P50),SUMIF('Dept. Cost Actuals'!$E$7:$E$176,"*Repairs*",'Dept. Cost Actuals'!U$1225:U$1394))</f>
        <v>0</v>
      </c>
      <c r="R50" s="668">
        <f>IF(R$4="forecast",AVERAGE(F50:Q50),SUMIF('Dept. Cost Actuals'!$E$7:$E$176,"*Repairs*",'Dept. Cost Actuals'!V$1225:V$1394))</f>
        <v>0</v>
      </c>
      <c r="S50" s="668">
        <f>IF(S$4="forecast",AVERAGE(G50:R50),SUMIF('Dept. Cost Actuals'!$E$7:$E$176,"*Repairs*",'Dept. Cost Actuals'!W$1225:W$1394))</f>
        <v>120</v>
      </c>
      <c r="T50" s="668">
        <f>IF(T$4="forecast",AVERAGE(H50:S50),SUMIF('Dept. Cost Actuals'!$E$7:$E$176,"*Repairs*",'Dept. Cost Actuals'!X$1225:X$1394))</f>
        <v>0</v>
      </c>
      <c r="U50" s="668">
        <f>IF(U$4="forecast",AVERAGE(I50:T50),SUMIF('Dept. Cost Actuals'!$E$7:$E$176,"*Repairs*",'Dept. Cost Actuals'!Y$1225:Y$1394))</f>
        <v>0</v>
      </c>
      <c r="V50" s="668">
        <f>IF(V$4="forecast",AVERAGE(J50:U50),SUMIF('Dept. Cost Actuals'!$E$7:$E$176,"*Repairs*",'Dept. Cost Actuals'!Z$1225:Z$1394))</f>
        <v>0</v>
      </c>
      <c r="W50" s="668">
        <f>IF(W$4="forecast",AVERAGE(K50:V50),SUMIF('Dept. Cost Actuals'!$E$7:$E$176,"*Repairs*",'Dept. Cost Actuals'!AA$1225:AA$1394))</f>
        <v>1431.13</v>
      </c>
      <c r="X50" s="668">
        <f>IF(X$4="forecast",AVERAGE(L50:W50),SUMIF('Dept. Cost Actuals'!$E$7:$E$176,"*Repairs*",'Dept. Cost Actuals'!AB$1225:AB$1394))</f>
        <v>0</v>
      </c>
      <c r="Y50" s="668">
        <f>IF(Y$4="forecast",AVERAGE(M50:X50),SUMIF('Dept. Cost Actuals'!$E$7:$E$176,"*Repairs*",'Dept. Cost Actuals'!AC$1225:AC$1394))</f>
        <v>0</v>
      </c>
      <c r="Z50" s="668">
        <f>IF(Z$4="forecast",AVERAGE(N50:Y50),SUMIF('Dept. Cost Actuals'!$E$7:$E$176,"*Repairs*",'Dept. Cost Actuals'!AD$1225:AD$1394))</f>
        <v>0</v>
      </c>
      <c r="AA50" s="668">
        <f>IF(AA$4="forecast",AVERAGE(O50:Z50),SUMIF('Dept. Cost Actuals'!$E$7:$E$176,"*Repairs*",'Dept. Cost Actuals'!AE$1225:AE$1394))</f>
        <v>0</v>
      </c>
      <c r="AB50" s="668">
        <f>IF(AB$4="forecast",AVERAGE(P50:AA50),SUMIF('Dept. Cost Actuals'!$E$7:$E$176,"*Repairs*",'Dept. Cost Actuals'!AF$1225:AF$1394))</f>
        <v>0</v>
      </c>
      <c r="AC50" s="668">
        <f>IF(AC$4="forecast",AVERAGE(Q50:AB50),SUMIF('Dept. Cost Actuals'!$E$7:$E$176,"*Repairs*",'Dept. Cost Actuals'!AG$1225:AG$1394))</f>
        <v>0</v>
      </c>
      <c r="AD50" s="668">
        <f>IF(AD$4="forecast",AVERAGE(R50:AC50),SUMIF('Dept. Cost Actuals'!$E$7:$E$176,"*Repairs*",'Dept. Cost Actuals'!AH$1225:AH$1394))</f>
        <v>129.26083333333335</v>
      </c>
      <c r="AE50" s="668">
        <f>IF(AE$4="forecast",AVERAGE(S50:AD50),SUMIF('Dept. Cost Actuals'!$E$7:$E$176,"*Repairs*",'Dept. Cost Actuals'!AI$1225:AI$1394))</f>
        <v>140.03256944444445</v>
      </c>
      <c r="AF50" s="668">
        <f>IF(AF$4="forecast",AVERAGE(T50:AE50),SUMIF('Dept. Cost Actuals'!$E$7:$E$176,"*Repairs*",'Dept. Cost Actuals'!AJ$1225:AJ$1394))</f>
        <v>141.7019502314815</v>
      </c>
      <c r="AG50" s="668">
        <f>IF(AG$4="forecast",AVERAGE(U50:AF50),SUMIF('Dept. Cost Actuals'!$E$7:$E$176,"*Repairs*",'Dept. Cost Actuals'!AK$1225:AK$1394))</f>
        <v>153.51044608410496</v>
      </c>
      <c r="AH50" s="668">
        <f>IF(AH$4="forecast",AVERAGE(V50:AG50),SUMIF('Dept. Cost Actuals'!$E$7:$E$176,"*Repairs*",'Dept. Cost Actuals'!AL$1225:AL$1394))</f>
        <v>166.30298325778037</v>
      </c>
      <c r="AI50" s="668">
        <f>IF(AI$4="forecast",AVERAGE(W50:AH50),SUMIF('Dept. Cost Actuals'!$E$7:$E$176,"*Repairs*",'Dept. Cost Actuals'!AM$1225:AM$1394))</f>
        <v>180.16156519592872</v>
      </c>
      <c r="AJ50" s="668">
        <f>IF(AJ$4="forecast",AVERAGE(X50:AI50),SUMIF('Dept. Cost Actuals'!$E$7:$E$176,"*Repairs*",'Dept. Cost Actuals'!AN$1225:AN$1394))</f>
        <v>75.914195628922783</v>
      </c>
      <c r="AK50" s="668">
        <f>IF(AK$4="forecast",AVERAGE(Y50:AJ50),SUMIF('Dept. Cost Actuals'!$E$7:$E$176,"*Repairs*",'Dept. Cost Actuals'!AO$1225:AO$1394))</f>
        <v>82.24037859799968</v>
      </c>
      <c r="AL50" s="668">
        <f>IF(AL$4="forecast",AVERAGE(Z50:AK50),SUMIF('Dept. Cost Actuals'!$E$7:$E$176,"*Repairs*",'Dept. Cost Actuals'!AP$1225:AP$1394))</f>
        <v>89.093743481166328</v>
      </c>
      <c r="AM50" s="668">
        <f>IF(AM$4="forecast",AVERAGE(AA50:AL50),SUMIF('Dept. Cost Actuals'!$E$7:$E$176,"*Repairs*",'Dept. Cost Actuals'!AQ$1225:AQ$1394))</f>
        <v>96.518222104596859</v>
      </c>
      <c r="AN50" s="668">
        <f>IF(AN$4="forecast",AVERAGE(AB50:AM50),SUMIF('Dept. Cost Actuals'!$E$7:$E$176,"*Repairs*",'Dept. Cost Actuals'!AR$1225:AR$1394))</f>
        <v>104.56140727997992</v>
      </c>
      <c r="AO50" s="668">
        <f>IF(AO$4="forecast",AVERAGE(AC50:AN50),SUMIF('Dept. Cost Actuals'!$E$7:$E$176,"*Repairs*",'Dept. Cost Actuals'!AS$1225:AS$1394))</f>
        <v>113.27485788664491</v>
      </c>
      <c r="AP50" s="668">
        <f>IF(AP$4="forecast",AVERAGE(AD50:AO50),SUMIF('Dept. Cost Actuals'!$E$7:$E$176,"*Repairs*",'Dept. Cost Actuals'!AT$1225:AT$1394))</f>
        <v>122.71442937719866</v>
      </c>
      <c r="AQ50" s="668">
        <f>IF(AQ$4="forecast",AVERAGE(AE50:AP50),SUMIF('Dept. Cost Actuals'!$E$7:$E$176,"*Repairs*",'Dept. Cost Actuals'!AU$1225:AU$1394))</f>
        <v>122.16889571418743</v>
      </c>
      <c r="AR50" s="668">
        <f>IF(AR$4="forecast",AVERAGE(AF50:AQ50),SUMIF('Dept. Cost Actuals'!$E$7:$E$176,"*Repairs*",'Dept. Cost Actuals'!AV$1225:AV$1394))</f>
        <v>120.68025623666601</v>
      </c>
      <c r="AS50" s="668">
        <f>IF(AS$4="forecast",AVERAGE(AG50:AR50),SUMIF('Dept. Cost Actuals'!$E$7:$E$176,"*Repairs*",'Dept. Cost Actuals'!AW$1225:AW$1394))</f>
        <v>118.92844840376472</v>
      </c>
      <c r="AT50" s="668">
        <f>IF(AT$4="forecast",AVERAGE(AH50:AS50),SUMIF('Dept. Cost Actuals'!$E$7:$E$176,"*Repairs*",'Dept. Cost Actuals'!AX$1225:AX$1394))</f>
        <v>116.04661526373634</v>
      </c>
      <c r="AU50" s="668">
        <f>IF(AU$4="forecast",AVERAGE(AI50:AT50),SUMIF('Dept. Cost Actuals'!$E$7:$E$176,"*Repairs*",'Dept. Cost Actuals'!AY$1225:AY$1394))</f>
        <v>111.85858459756601</v>
      </c>
      <c r="AV50" s="668">
        <f>IF(AV$4="forecast",AVERAGE(AJ50:AU50),SUMIF('Dept. Cost Actuals'!$E$7:$E$176,"*Repairs*",'Dept. Cost Actuals'!AZ$1225:AZ$1394))</f>
        <v>106.16666954770245</v>
      </c>
      <c r="AW50" s="668">
        <f>IF(AW$4="forecast",AVERAGE(AK50:AV50),SUMIF('Dept. Cost Actuals'!$E$7:$E$176,"*Repairs*",'Dept. Cost Actuals'!BA$1225:BA$1394))</f>
        <v>108.68770904093411</v>
      </c>
      <c r="AX50" s="668">
        <f>IF(AX$4="forecast",AVERAGE(AL50:AW50),SUMIF('Dept. Cost Actuals'!$E$7:$E$176,"*Repairs*",'Dept. Cost Actuals'!BB$1225:BB$1394))</f>
        <v>110.89165324451197</v>
      </c>
      <c r="AY50" s="668">
        <f>IF(AY$4="forecast",AVERAGE(AM50:AX50),SUMIF('Dept. Cost Actuals'!$E$7:$E$176,"*Repairs*",'Dept. Cost Actuals'!BC$1225:BC$1394))</f>
        <v>112.70814572479077</v>
      </c>
      <c r="AZ50" s="668">
        <f>IF(AZ$4="forecast",AVERAGE(AN50:AY50),SUMIF('Dept. Cost Actuals'!$E$7:$E$176,"*Repairs*",'Dept. Cost Actuals'!BD$1225:BD$1394))</f>
        <v>114.05730602647361</v>
      </c>
      <c r="BA50" s="668">
        <f>IF(BA$4="forecast",AVERAGE(AO50:AZ50),SUMIF('Dept. Cost Actuals'!$E$7:$E$176,"*Repairs*",'Dept. Cost Actuals'!BE$1225:BE$1394))</f>
        <v>114.84863092201472</v>
      </c>
      <c r="BB50" s="668">
        <f>IF(BB$4="forecast",AVERAGE(AP50:BA50),SUMIF('Dept. Cost Actuals'!$E$7:$E$176,"*Repairs*",'Dept. Cost Actuals'!BF$1225:BF$1394))</f>
        <v>114.97977867496225</v>
      </c>
      <c r="BC50" s="668">
        <f>IF(BC$4="forecast",AVERAGE(AQ50:BB50),SUMIF('Dept. Cost Actuals'!$E$7:$E$176,"*Repairs*",'Dept. Cost Actuals'!BG$1225:BG$1394))</f>
        <v>114.33522444977586</v>
      </c>
      <c r="BD50" s="668">
        <f>IF(BD$4="forecast",AVERAGE(AR50:BC50),SUMIF('Dept. Cost Actuals'!$E$7:$E$176,"*Repairs*",'Dept. Cost Actuals'!BH$1225:BH$1394))</f>
        <v>113.68241851107491</v>
      </c>
      <c r="BE50" s="668">
        <f>IF(BE$4="forecast",AVERAGE(AS50:BD50),SUMIF('Dept. Cost Actuals'!$E$7:$E$176,"*Repairs*",'Dept. Cost Actuals'!BI$1225:BI$1394))</f>
        <v>113.09926536727566</v>
      </c>
      <c r="BF50" s="668">
        <f>IF(BF$4="forecast",AVERAGE(AT50:BE50),SUMIF('Dept. Cost Actuals'!$E$7:$E$176,"*Repairs*",'Dept. Cost Actuals'!BJ$1225:BJ$1394))</f>
        <v>112.6135001142349</v>
      </c>
      <c r="BG50" s="668">
        <f>IF(BG$4="forecast",AVERAGE(AU50:BF50),SUMIF('Dept. Cost Actuals'!$E$7:$E$176,"*Repairs*",'Dept. Cost Actuals'!BK$1225:BK$1394))</f>
        <v>112.32740718510978</v>
      </c>
      <c r="BH50" s="668">
        <f>IF(BH$4="forecast",AVERAGE(AV50:BG50),SUMIF('Dept. Cost Actuals'!$E$7:$E$176,"*Repairs*",'Dept. Cost Actuals'!BL$1225:BL$1394))</f>
        <v>112.36647573407176</v>
      </c>
      <c r="BI50" s="668">
        <f>IF(BI$4="forecast",AVERAGE(AW50:BH50),SUMIF('Dept. Cost Actuals'!$E$7:$E$176,"*Repairs*",'Dept. Cost Actuals'!BM$1225:BM$1394))</f>
        <v>112.88312624960253</v>
      </c>
      <c r="BJ50" s="668">
        <f>IF(BJ$4="forecast",AVERAGE(AX50:BI50),SUMIF('Dept. Cost Actuals'!$E$7:$E$176,"*Repairs*",'Dept. Cost Actuals'!BN$1225:BN$1394))</f>
        <v>113.23274435032489</v>
      </c>
      <c r="BK50" s="668">
        <f>IF(BK$4="forecast",AVERAGE(AY50:BJ50),SUMIF('Dept. Cost Actuals'!$E$7:$E$176,"*Repairs*",'Dept. Cost Actuals'!BO$1225:BO$1394))</f>
        <v>113.42783527580933</v>
      </c>
      <c r="BL50" s="668">
        <f>IF(BL$4="forecast",AVERAGE(AZ50:BK50),SUMIF('Dept. Cost Actuals'!$E$7:$E$176,"*Repairs*",'Dept. Cost Actuals'!BP$1225:BP$1394))</f>
        <v>113.48780940506084</v>
      </c>
      <c r="BM50" s="668">
        <f>IF(BM$4="forecast",AVERAGE(BA50:BL50),SUMIF('Dept. Cost Actuals'!$E$7:$E$176,"*Repairs*",'Dept. Cost Actuals'!BQ$1225:BQ$1394))</f>
        <v>113.44035135327645</v>
      </c>
      <c r="BN50" s="668">
        <f>IF(BN$4="forecast",AVERAGE(BB50:BM50),SUMIF('Dept. Cost Actuals'!$E$7:$E$176,"*Repairs*",'Dept. Cost Actuals'!BR$1225:BR$1394))</f>
        <v>113.32299472254827</v>
      </c>
      <c r="BO50" s="668">
        <f>IF(BO$4="forecast",AVERAGE(BC50:BN50),SUMIF('Dept. Cost Actuals'!$E$7:$E$176,"*Repairs*",'Dept. Cost Actuals'!BS$1225:BS$1394))</f>
        <v>113.18492939318043</v>
      </c>
      <c r="BP50" s="668">
        <f>IF(BP$4="forecast",AVERAGE(BD50:BO50),SUMIF('Dept. Cost Actuals'!$E$7:$E$176,"*Repairs*",'Dept. Cost Actuals'!BT$1225:BT$1394))</f>
        <v>113.08907147179748</v>
      </c>
      <c r="BQ50" s="668">
        <f>IF(BQ$4="forecast",AVERAGE(BE50:BP50),SUMIF('Dept. Cost Actuals'!$E$7:$E$176,"*Repairs*",'Dept. Cost Actuals'!BU$1225:BU$1394))</f>
        <v>113.03962588519103</v>
      </c>
      <c r="BR50" s="668">
        <f>IF(BR$4="forecast",AVERAGE(BF50:BQ50),SUMIF('Dept. Cost Actuals'!$E$7:$E$176,"*Repairs*",'Dept. Cost Actuals'!BV$1225:BV$1394))</f>
        <v>113.03465592835066</v>
      </c>
      <c r="BS50" s="668">
        <f>IF(BS$4="forecast",AVERAGE(BG50:BR50),SUMIF('Dept. Cost Actuals'!$E$7:$E$176,"*Repairs*",'Dept. Cost Actuals'!BW$1225:BW$1394))</f>
        <v>113.06975224619363</v>
      </c>
      <c r="BT50" s="668">
        <f>IF(BT$4="forecast",AVERAGE(BH50:BS50),SUMIF('Dept. Cost Actuals'!$E$7:$E$176,"*Repairs*",'Dept. Cost Actuals'!BX$1225:BX$1394))</f>
        <v>113.13161433461731</v>
      </c>
      <c r="BU50" s="668">
        <f>IF(BU$4="forecast",AVERAGE(BI50:BT50),SUMIF('Dept. Cost Actuals'!$E$7:$E$176,"*Repairs*",'Dept. Cost Actuals'!BY$1225:BY$1394))</f>
        <v>113.19537588466277</v>
      </c>
      <c r="BV50" s="668">
        <f>IF(BV$4="forecast",AVERAGE(BJ50:BU50),SUMIF('Dept. Cost Actuals'!$E$7:$E$176,"*Repairs*",'Dept. Cost Actuals'!BZ$1225:BZ$1394))</f>
        <v>113.22139668758443</v>
      </c>
    </row>
    <row r="51" spans="1:74" s="156" customFormat="1" x14ac:dyDescent="0.25">
      <c r="A51" s="783"/>
      <c r="B51" s="794" t="s">
        <v>1343</v>
      </c>
      <c r="C51" s="668">
        <f>IF(C$4="forecast",AVERAGE(#REF!),SUMIF('Dept. Cost Actuals'!$E$7:$E$176,"*Utilities*",'Dept. Cost Actuals'!G$1225:G$1394))</f>
        <v>703.56</v>
      </c>
      <c r="D51" s="668">
        <f>IF(D$4="forecast",AVERAGE(#REF!),SUMIF('Dept. Cost Actuals'!$E$7:$E$176,"*Utilities*",'Dept. Cost Actuals'!H$1225:H$1394))</f>
        <v>949.16000000000008</v>
      </c>
      <c r="E51" s="668">
        <f>IF(E$4="forecast",AVERAGE(#REF!),SUMIF('Dept. Cost Actuals'!$E$7:$E$176,"*Utilities*",'Dept. Cost Actuals'!I$1225:I$1394))</f>
        <v>951.90000000000009</v>
      </c>
      <c r="F51" s="668">
        <f>IF(F$4="forecast",AVERAGE(#REF!),SUMIF('Dept. Cost Actuals'!$E$7:$E$176,"*Utilities*",'Dept. Cost Actuals'!J$1225:J$1394))</f>
        <v>827.64</v>
      </c>
      <c r="G51" s="668">
        <f>IF(G$4="forecast",AVERAGE(#REF!),SUMIF('Dept. Cost Actuals'!$E$7:$E$176,"*Utilities*",'Dept. Cost Actuals'!K$1225:K$1394))</f>
        <v>791.07999999999993</v>
      </c>
      <c r="H51" s="668">
        <f>IF(H$4="forecast",AVERAGE(#REF!),SUMIF('Dept. Cost Actuals'!$E$7:$E$176,"*Utilities*",'Dept. Cost Actuals'!L$1225:L$1394))</f>
        <v>959.01</v>
      </c>
      <c r="I51" s="668">
        <f>IF(I$4="forecast",AVERAGE(#REF!),SUMIF('Dept. Cost Actuals'!$E$7:$E$176,"*Utilities*",'Dept. Cost Actuals'!M$1225:M$1394))</f>
        <v>1175.54</v>
      </c>
      <c r="J51" s="668">
        <f>IF(J$4="forecast",AVERAGE(#REF!),SUMIF('Dept. Cost Actuals'!$E$7:$E$176,"*Utilities*",'Dept. Cost Actuals'!N$1225:N$1394))</f>
        <v>1201.9299999999998</v>
      </c>
      <c r="K51" s="668">
        <f>IF(K$4="forecast",AVERAGE(#REF!),SUMIF('Dept. Cost Actuals'!$E$7:$E$176,"*Utilities*",'Dept. Cost Actuals'!O$1225:O$1394))</f>
        <v>281.18</v>
      </c>
      <c r="L51" s="668">
        <f>IF(L$4="forecast",AVERAGE(#REF!),SUMIF('Dept. Cost Actuals'!$E$7:$E$176,"*Utilities*",'Dept. Cost Actuals'!P$1225:P$1394))</f>
        <v>1519.33</v>
      </c>
      <c r="M51" s="668">
        <f>IF(M$4="forecast",AVERAGE(A51:L51),SUMIF('Dept. Cost Actuals'!$E$7:$E$176,"*Utilities*",'Dept. Cost Actuals'!Q$1225:Q$1394))</f>
        <v>1163.28</v>
      </c>
      <c r="N51" s="668">
        <f>IF(N$4="forecast",AVERAGE(B51:M51),SUMIF('Dept. Cost Actuals'!$E$7:$E$176,"*Utilities*",'Dept. Cost Actuals'!R$1225:R$1394))</f>
        <v>1118.8899999999999</v>
      </c>
      <c r="O51" s="668">
        <f>IF(O$4="forecast",AVERAGE(C51:N51),SUMIF('Dept. Cost Actuals'!$E$7:$E$176,"*Utilities*",'Dept. Cost Actuals'!S$1225:S$1394))</f>
        <v>684.97</v>
      </c>
      <c r="P51" s="668">
        <f>IF(P$4="forecast",AVERAGE(D51:O51),SUMIF('Dept. Cost Actuals'!$E$7:$E$176,"*Utilities*",'Dept. Cost Actuals'!T$1225:T$1394))</f>
        <v>1034.31</v>
      </c>
      <c r="Q51" s="668">
        <f>IF(Q$4="forecast",AVERAGE(E51:P51),SUMIF('Dept. Cost Actuals'!$E$7:$E$176,"*Utilities*",'Dept. Cost Actuals'!U$1225:U$1394))</f>
        <v>1550.29</v>
      </c>
      <c r="R51" s="668">
        <f>IF(R$4="forecast",AVERAGE(F51:Q51),SUMIF('Dept. Cost Actuals'!$E$7:$E$176,"*Utilities*",'Dept. Cost Actuals'!V$1225:V$1394))</f>
        <v>885.46</v>
      </c>
      <c r="S51" s="668">
        <f>IF(S$4="forecast",AVERAGE(G51:R51),SUMIF('Dept. Cost Actuals'!$E$7:$E$176,"*Utilities*",'Dept. Cost Actuals'!W$1225:W$1394))</f>
        <v>1195.7</v>
      </c>
      <c r="T51" s="668">
        <f>IF(T$4="forecast",AVERAGE(H51:S51),SUMIF('Dept. Cost Actuals'!$E$7:$E$176,"*Utilities*",'Dept. Cost Actuals'!X$1225:X$1394))</f>
        <v>1100.69</v>
      </c>
      <c r="U51" s="668">
        <f>IF(U$4="forecast",AVERAGE(I51:T51),SUMIF('Dept. Cost Actuals'!$E$7:$E$176,"*Utilities*",'Dept. Cost Actuals'!Y$1225:Y$1394))</f>
        <v>2109.7399999999998</v>
      </c>
      <c r="V51" s="668">
        <f>IF(V$4="forecast",AVERAGE(J51:U51),SUMIF('Dept. Cost Actuals'!$E$7:$E$176,"*Utilities*",'Dept. Cost Actuals'!Z$1225:Z$1394))</f>
        <v>802.01</v>
      </c>
      <c r="W51" s="668">
        <f>IF(W$4="forecast",AVERAGE(K51:V51),SUMIF('Dept. Cost Actuals'!$E$7:$E$176,"*Utilities*",'Dept. Cost Actuals'!AA$1225:AA$1394))</f>
        <v>1309.44</v>
      </c>
      <c r="X51" s="668">
        <f>IF(X$4="forecast",AVERAGE(L51:W51),SUMIF('Dept. Cost Actuals'!$E$7:$E$176,"*Utilities*",'Dept. Cost Actuals'!AB$1225:AB$1394))</f>
        <v>2507.8399999999997</v>
      </c>
      <c r="Y51" s="668">
        <f>IF(Y$4="forecast",AVERAGE(M51:X51),SUMIF('Dept. Cost Actuals'!$E$7:$E$176,"*Utilities*",'Dept. Cost Actuals'!AC$1225:AC$1394))</f>
        <v>2603.14</v>
      </c>
      <c r="Z51" s="668">
        <f>IF(Z$4="forecast",AVERAGE(N51:Y51),SUMIF('Dept. Cost Actuals'!$E$7:$E$176,"*Utilities*",'Dept. Cost Actuals'!AD$1225:AD$1394))</f>
        <v>3893.45</v>
      </c>
      <c r="AA51" s="668">
        <f>IF(AA$4="forecast",AVERAGE(O51:Z51),SUMIF('Dept. Cost Actuals'!$E$7:$E$176,"*Utilities*",'Dept. Cost Actuals'!AE$1225:AE$1394))</f>
        <v>2174.08</v>
      </c>
      <c r="AB51" s="668">
        <f>IF(AB$4="forecast",AVERAGE(P51:AA51),SUMIF('Dept. Cost Actuals'!$E$7:$E$176,"*Utilities*",'Dept. Cost Actuals'!AF$1225:AF$1394))</f>
        <v>2503.41</v>
      </c>
      <c r="AC51" s="668">
        <f>IF(AC$4="forecast",AVERAGE(Q51:AB51),SUMIF('Dept. Cost Actuals'!$E$7:$E$176,"*Utilities*",'Dept. Cost Actuals'!AG$1225:AG$1394))</f>
        <v>2214.71</v>
      </c>
      <c r="AD51" s="668">
        <f>IF(AD$4="forecast",AVERAGE(R51:AC51),SUMIF('Dept. Cost Actuals'!$E$7:$E$176,"*Utilities*",'Dept. Cost Actuals'!AH$1225:AH$1394))</f>
        <v>1941.6391666666668</v>
      </c>
      <c r="AE51" s="668">
        <f>IF(AE$4="forecast",AVERAGE(S51:AD51),SUMIF('Dept. Cost Actuals'!$E$7:$E$176,"*Utilities*",'Dept. Cost Actuals'!AI$1225:AI$1394))</f>
        <v>2029.6540972222219</v>
      </c>
      <c r="AF51" s="668">
        <f>IF(AF$4="forecast",AVERAGE(T51:AE51),SUMIF('Dept. Cost Actuals'!$E$7:$E$176,"*Utilities*",'Dept. Cost Actuals'!AJ$1225:AJ$1394))</f>
        <v>2099.1502719907407</v>
      </c>
      <c r="AG51" s="668">
        <f>IF(AG$4="forecast",AVERAGE(U51:AF51),SUMIF('Dept. Cost Actuals'!$E$7:$E$176,"*Utilities*",'Dept. Cost Actuals'!AK$1225:AK$1394))</f>
        <v>2182.3552946566356</v>
      </c>
      <c r="AH51" s="668">
        <f>IF(AH$4="forecast",AVERAGE(V51:AG51),SUMIF('Dept. Cost Actuals'!$E$7:$E$176,"*Utilities*",'Dept. Cost Actuals'!AL$1225:AL$1394))</f>
        <v>2188.406569211355</v>
      </c>
      <c r="AI51" s="668">
        <f>IF(AI$4="forecast",AVERAGE(W51:AH51),SUMIF('Dept. Cost Actuals'!$E$7:$E$176,"*Utilities*",'Dept. Cost Actuals'!AM$1225:AM$1394))</f>
        <v>2303.9396166456349</v>
      </c>
      <c r="AJ51" s="668">
        <f>IF(AJ$4="forecast",AVERAGE(X51:AI51),SUMIF('Dept. Cost Actuals'!$E$7:$E$176,"*Utilities*",'Dept. Cost Actuals'!AN$1225:AN$1394))</f>
        <v>2386.814584699438</v>
      </c>
      <c r="AK51" s="668">
        <f>IF(AK$4="forecast",AVERAGE(Y51:AJ51),SUMIF('Dept. Cost Actuals'!$E$7:$E$176,"*Utilities*",'Dept. Cost Actuals'!AO$1225:AO$1394))</f>
        <v>2376.729133424391</v>
      </c>
      <c r="AL51" s="668">
        <f>IF(AL$4="forecast",AVERAGE(Z51:AK51),SUMIF('Dept. Cost Actuals'!$E$7:$E$176,"*Utilities*",'Dept. Cost Actuals'!AP$1225:AP$1394))</f>
        <v>2357.8615612097565</v>
      </c>
      <c r="AM51" s="668">
        <f>IF(AM$4="forecast",AVERAGE(AA51:AL51),SUMIF('Dept. Cost Actuals'!$E$7:$E$176,"*Utilities*",'Dept. Cost Actuals'!AQ$1225:AQ$1394))</f>
        <v>2229.895857977237</v>
      </c>
      <c r="AN51" s="668">
        <f>IF(AN$4="forecast",AVERAGE(AB51:AM51),SUMIF('Dept. Cost Actuals'!$E$7:$E$176,"*Utilities*",'Dept. Cost Actuals'!AR$1225:AR$1394))</f>
        <v>2234.5471794753394</v>
      </c>
      <c r="AO51" s="668">
        <f>IF(AO$4="forecast",AVERAGE(AC51:AN51),SUMIF('Dept. Cost Actuals'!$E$7:$E$176,"*Utilities*",'Dept. Cost Actuals'!AS$1225:AS$1394))</f>
        <v>2212.141944431618</v>
      </c>
      <c r="AP51" s="668">
        <f>IF(AP$4="forecast",AVERAGE(AD51:AO51),SUMIF('Dept. Cost Actuals'!$E$7:$E$176,"*Utilities*",'Dept. Cost Actuals'!AT$1225:AT$1394))</f>
        <v>2211.9279398009198</v>
      </c>
      <c r="AQ51" s="668">
        <f>IF(AQ$4="forecast",AVERAGE(AE51:AP51),SUMIF('Dept. Cost Actuals'!$E$7:$E$176,"*Utilities*",'Dept. Cost Actuals'!AU$1225:AU$1394))</f>
        <v>2234.4520042287741</v>
      </c>
      <c r="AR51" s="668">
        <f>IF(AR$4="forecast",AVERAGE(AF51:AQ51),SUMIF('Dept. Cost Actuals'!$E$7:$E$176,"*Utilities*",'Dept. Cost Actuals'!AV$1225:AV$1394))</f>
        <v>2251.5184964793202</v>
      </c>
      <c r="AS51" s="668">
        <f>IF(AS$4="forecast",AVERAGE(AG51:AR51),SUMIF('Dept. Cost Actuals'!$E$7:$E$176,"*Utilities*",'Dept. Cost Actuals'!AW$1225:AW$1394))</f>
        <v>2264.2158485200348</v>
      </c>
      <c r="AT51" s="668">
        <f>IF(AT$4="forecast",AVERAGE(AH51:AS51),SUMIF('Dept. Cost Actuals'!$E$7:$E$176,"*Utilities*",'Dept. Cost Actuals'!AX$1225:AX$1394))</f>
        <v>2271.0375613419847</v>
      </c>
      <c r="AU51" s="668">
        <f>IF(AU$4="forecast",AVERAGE(AI51:AT51),SUMIF('Dept. Cost Actuals'!$E$7:$E$176,"*Utilities*",'Dept. Cost Actuals'!AY$1225:AY$1394))</f>
        <v>2277.9234773528706</v>
      </c>
      <c r="AV51" s="668">
        <f>IF(AV$4="forecast",AVERAGE(AJ51:AU51),SUMIF('Dept. Cost Actuals'!$E$7:$E$176,"*Utilities*",'Dept. Cost Actuals'!AZ$1225:AZ$1394))</f>
        <v>2275.7554657451401</v>
      </c>
      <c r="AW51" s="668">
        <f>IF(AW$4="forecast",AVERAGE(AK51:AV51),SUMIF('Dept. Cost Actuals'!$E$7:$E$176,"*Utilities*",'Dept. Cost Actuals'!BA$1225:BA$1394))</f>
        <v>2266.5005391656155</v>
      </c>
      <c r="AX51" s="668">
        <f>IF(AX$4="forecast",AVERAGE(AL51:AW51),SUMIF('Dept. Cost Actuals'!$E$7:$E$176,"*Utilities*",'Dept. Cost Actuals'!BB$1225:BB$1394))</f>
        <v>2257.3148229773847</v>
      </c>
      <c r="AY51" s="668">
        <f>IF(AY$4="forecast",AVERAGE(AM51:AX51),SUMIF('Dept. Cost Actuals'!$E$7:$E$176,"*Utilities*",'Dept. Cost Actuals'!BC$1225:BC$1394))</f>
        <v>2248.9359281246866</v>
      </c>
      <c r="AZ51" s="668">
        <f>IF(AZ$4="forecast",AVERAGE(AN51:AY51),SUMIF('Dept. Cost Actuals'!$E$7:$E$176,"*Utilities*",'Dept. Cost Actuals'!BD$1225:BD$1394))</f>
        <v>2250.5226006369739</v>
      </c>
      <c r="BA51" s="668">
        <f>IF(BA$4="forecast",AVERAGE(AO51:AZ51),SUMIF('Dept. Cost Actuals'!$E$7:$E$176,"*Utilities*",'Dept. Cost Actuals'!BE$1225:BE$1394))</f>
        <v>2251.8538857337767</v>
      </c>
      <c r="BB51" s="668">
        <f>IF(BB$4="forecast",AVERAGE(AP51:BA51),SUMIF('Dept. Cost Actuals'!$E$7:$E$176,"*Utilities*",'Dept. Cost Actuals'!BF$1225:BF$1394))</f>
        <v>2255.1632141756231</v>
      </c>
      <c r="BC51" s="668">
        <f>IF(BC$4="forecast",AVERAGE(AQ51:BB51),SUMIF('Dept. Cost Actuals'!$E$7:$E$176,"*Utilities*",'Dept. Cost Actuals'!BG$1225:BG$1394))</f>
        <v>2258.7661537068484</v>
      </c>
      <c r="BD51" s="668">
        <f>IF(BD$4="forecast",AVERAGE(AR51:BC51),SUMIF('Dept. Cost Actuals'!$E$7:$E$176,"*Utilities*",'Dept. Cost Actuals'!BH$1225:BH$1394))</f>
        <v>2260.7923328300217</v>
      </c>
      <c r="BE51" s="668">
        <f>IF(BE$4="forecast",AVERAGE(AS51:BD51),SUMIF('Dept. Cost Actuals'!$E$7:$E$176,"*Utilities*",'Dept. Cost Actuals'!BI$1225:BI$1394))</f>
        <v>2261.5651525259132</v>
      </c>
      <c r="BF51" s="668">
        <f>IF(BF$4="forecast",AVERAGE(AT51:BE51),SUMIF('Dept. Cost Actuals'!$E$7:$E$176,"*Utilities*",'Dept. Cost Actuals'!BJ$1225:BJ$1394))</f>
        <v>2261.34426119307</v>
      </c>
      <c r="BG51" s="668">
        <f>IF(BG$4="forecast",AVERAGE(AU51:BF51),SUMIF('Dept. Cost Actuals'!$E$7:$E$176,"*Utilities*",'Dept. Cost Actuals'!BK$1225:BK$1394))</f>
        <v>2260.5364861806602</v>
      </c>
      <c r="BH51" s="668">
        <f>IF(BH$4="forecast",AVERAGE(AV51:BG51),SUMIF('Dept. Cost Actuals'!$E$7:$E$176,"*Utilities*",'Dept. Cost Actuals'!BL$1225:BL$1394))</f>
        <v>2259.0875702496428</v>
      </c>
      <c r="BI51" s="668">
        <f>IF(BI$4="forecast",AVERAGE(AW51:BH51),SUMIF('Dept. Cost Actuals'!$E$7:$E$176,"*Utilities*",'Dept. Cost Actuals'!BM$1225:BM$1394))</f>
        <v>2257.6985789583509</v>
      </c>
      <c r="BJ51" s="668">
        <f>IF(BJ$4="forecast",AVERAGE(AX51:BI51),SUMIF('Dept. Cost Actuals'!$E$7:$E$176,"*Utilities*",'Dept. Cost Actuals'!BN$1225:BN$1394))</f>
        <v>2256.9650822744129</v>
      </c>
      <c r="BK51" s="668">
        <f>IF(BK$4="forecast",AVERAGE(AY51:BJ51),SUMIF('Dept. Cost Actuals'!$E$7:$E$176,"*Utilities*",'Dept. Cost Actuals'!BO$1225:BO$1394))</f>
        <v>2256.9359372158319</v>
      </c>
      <c r="BL51" s="668">
        <f>IF(BL$4="forecast",AVERAGE(AZ51:BK51),SUMIF('Dept. Cost Actuals'!$E$7:$E$176,"*Utilities*",'Dept. Cost Actuals'!BP$1225:BP$1394))</f>
        <v>2257.6026046400939</v>
      </c>
      <c r="BM51" s="668">
        <f>IF(BM$4="forecast",AVERAGE(BA51:BL51),SUMIF('Dept. Cost Actuals'!$E$7:$E$176,"*Utilities*",'Dept. Cost Actuals'!BQ$1225:BQ$1394))</f>
        <v>2258.1926049736871</v>
      </c>
      <c r="BN51" s="668">
        <f>IF(BN$4="forecast",AVERAGE(BB51:BM51),SUMIF('Dept. Cost Actuals'!$E$7:$E$176,"*Utilities*",'Dept. Cost Actuals'!BR$1225:BR$1394))</f>
        <v>2258.7208315770126</v>
      </c>
      <c r="BO51" s="668">
        <f>IF(BO$4="forecast",AVERAGE(BC51:BN51),SUMIF('Dept. Cost Actuals'!$E$7:$E$176,"*Utilities*",'Dept. Cost Actuals'!BS$1225:BS$1394))</f>
        <v>2259.0172996937954</v>
      </c>
      <c r="BP51" s="668">
        <f>IF(BP$4="forecast",AVERAGE(BD51:BO51),SUMIF('Dept. Cost Actuals'!$E$7:$E$176,"*Utilities*",'Dept. Cost Actuals'!BT$1225:BT$1394))</f>
        <v>2259.0382285260407</v>
      </c>
      <c r="BQ51" s="668">
        <f>IF(BQ$4="forecast",AVERAGE(BE51:BP51),SUMIF('Dept. Cost Actuals'!$E$7:$E$176,"*Utilities*",'Dept. Cost Actuals'!BU$1225:BU$1394))</f>
        <v>2258.8920531673762</v>
      </c>
      <c r="BR51" s="668">
        <f>IF(BR$4="forecast",AVERAGE(BF51:BQ51),SUMIF('Dept. Cost Actuals'!$E$7:$E$176,"*Utilities*",'Dept. Cost Actuals'!BV$1225:BV$1394))</f>
        <v>2258.6692948874979</v>
      </c>
      <c r="BS51" s="668">
        <f>IF(BS$4="forecast",AVERAGE(BG51:BR51),SUMIF('Dept. Cost Actuals'!$E$7:$E$176,"*Utilities*",'Dept. Cost Actuals'!BW$1225:BW$1394))</f>
        <v>2258.4463810287002</v>
      </c>
      <c r="BT51" s="668">
        <f>IF(BT$4="forecast",AVERAGE(BH51:BS51),SUMIF('Dept. Cost Actuals'!$E$7:$E$176,"*Utilities*",'Dept. Cost Actuals'!BX$1225:BX$1394))</f>
        <v>2258.2722055993704</v>
      </c>
      <c r="BU51" s="668">
        <f>IF(BU$4="forecast",AVERAGE(BI51:BT51),SUMIF('Dept. Cost Actuals'!$E$7:$E$176,"*Utilities*",'Dept. Cost Actuals'!BY$1225:BY$1394))</f>
        <v>2258.2042585451813</v>
      </c>
      <c r="BV51" s="668">
        <f>IF(BV$4="forecast",AVERAGE(BJ51:BU51),SUMIF('Dept. Cost Actuals'!$E$7:$E$176,"*Utilities*",'Dept. Cost Actuals'!BZ$1225:BZ$1394))</f>
        <v>2258.2463985107502</v>
      </c>
    </row>
    <row r="52" spans="1:74" x14ac:dyDescent="0.25">
      <c r="B52" s="799" t="s">
        <v>946</v>
      </c>
      <c r="C52" s="800">
        <f t="shared" ref="C52:Z52" si="14">SUM(C32:C51,)</f>
        <v>47351.05813365709</v>
      </c>
      <c r="D52" s="800">
        <f t="shared" si="14"/>
        <v>105547.51244439275</v>
      </c>
      <c r="E52" s="800">
        <f t="shared" si="14"/>
        <v>95003.597533129243</v>
      </c>
      <c r="F52" s="800">
        <f t="shared" si="14"/>
        <v>57605.487720904857</v>
      </c>
      <c r="G52" s="800">
        <f t="shared" si="14"/>
        <v>63419.563594497471</v>
      </c>
      <c r="H52" s="800">
        <f t="shared" si="14"/>
        <v>68518.786356313722</v>
      </c>
      <c r="I52" s="800">
        <f t="shared" si="14"/>
        <v>94900.259977891285</v>
      </c>
      <c r="J52" s="800">
        <f t="shared" si="14"/>
        <v>68659.294004711584</v>
      </c>
      <c r="K52" s="800">
        <f t="shared" si="14"/>
        <v>53438.744909365516</v>
      </c>
      <c r="L52" s="800">
        <f t="shared" si="14"/>
        <v>216612.26797140815</v>
      </c>
      <c r="M52" s="800">
        <f t="shared" si="14"/>
        <v>105383.95814641898</v>
      </c>
      <c r="N52" s="800">
        <f t="shared" si="14"/>
        <v>135853.10996920741</v>
      </c>
      <c r="O52" s="800">
        <f t="shared" si="14"/>
        <v>38923.08</v>
      </c>
      <c r="P52" s="800">
        <f t="shared" si="14"/>
        <v>27202.600000000002</v>
      </c>
      <c r="Q52" s="800">
        <f t="shared" si="14"/>
        <v>26538.97</v>
      </c>
      <c r="R52" s="800">
        <f t="shared" si="14"/>
        <v>32823.5</v>
      </c>
      <c r="S52" s="800">
        <f t="shared" si="14"/>
        <v>34719.269999999997</v>
      </c>
      <c r="T52" s="800">
        <f t="shared" si="14"/>
        <v>80109.099999999991</v>
      </c>
      <c r="U52" s="800">
        <f t="shared" si="14"/>
        <v>74535.92</v>
      </c>
      <c r="V52" s="800">
        <f t="shared" si="14"/>
        <v>55543.390000000007</v>
      </c>
      <c r="W52" s="800">
        <f t="shared" si="14"/>
        <v>90543.680000000008</v>
      </c>
      <c r="X52" s="800">
        <f t="shared" si="14"/>
        <v>155110.47</v>
      </c>
      <c r="Y52" s="800">
        <f t="shared" si="14"/>
        <v>67032.27</v>
      </c>
      <c r="Z52" s="800">
        <f t="shared" si="14"/>
        <v>86177.67</v>
      </c>
      <c r="AA52" s="800">
        <f t="shared" ref="AA52:BO52" si="15">SUM(AA32:AA51,)</f>
        <v>112374.65000000001</v>
      </c>
      <c r="AB52" s="800">
        <f t="shared" si="15"/>
        <v>122720.17000000001</v>
      </c>
      <c r="AC52" s="800">
        <f t="shared" si="15"/>
        <v>94246.55</v>
      </c>
      <c r="AD52" s="800">
        <f t="shared" si="15"/>
        <v>88013.165833333318</v>
      </c>
      <c r="AE52" s="800">
        <f t="shared" si="15"/>
        <v>92204.328819444447</v>
      </c>
      <c r="AF52" s="800">
        <f t="shared" si="15"/>
        <v>96566.318721064803</v>
      </c>
      <c r="AG52" s="800">
        <f t="shared" si="15"/>
        <v>97593.067781153557</v>
      </c>
      <c r="AH52" s="800">
        <f t="shared" si="15"/>
        <v>99113.325929583007</v>
      </c>
      <c r="AI52" s="800">
        <f t="shared" si="15"/>
        <v>102297.56642371493</v>
      </c>
      <c r="AJ52" s="800">
        <f t="shared" si="15"/>
        <v>102826.53362569118</v>
      </c>
      <c r="AK52" s="800">
        <f t="shared" si="15"/>
        <v>98232.033094498765</v>
      </c>
      <c r="AL52" s="800">
        <f t="shared" si="15"/>
        <v>100883.34251904034</v>
      </c>
      <c r="AM52" s="800">
        <f t="shared" si="15"/>
        <v>101512.31106229371</v>
      </c>
      <c r="AN52" s="800">
        <f t="shared" si="15"/>
        <v>100177.19531748482</v>
      </c>
      <c r="AO52" s="800">
        <f t="shared" si="15"/>
        <v>98244.054927275225</v>
      </c>
      <c r="AP52" s="800">
        <f t="shared" si="15"/>
        <v>98138.603671214834</v>
      </c>
      <c r="AQ52" s="800">
        <f t="shared" si="15"/>
        <v>98982.390157704969</v>
      </c>
      <c r="AR52" s="800">
        <f t="shared" si="15"/>
        <v>99547.228602560004</v>
      </c>
      <c r="AS52" s="800">
        <f t="shared" si="15"/>
        <v>99795.637759351288</v>
      </c>
      <c r="AT52" s="800">
        <f t="shared" si="15"/>
        <v>99979.185257534438</v>
      </c>
      <c r="AU52" s="800">
        <f t="shared" si="15"/>
        <v>100051.34020153039</v>
      </c>
      <c r="AV52" s="800">
        <f t="shared" si="15"/>
        <v>99864.154683015004</v>
      </c>
      <c r="AW52" s="800">
        <f t="shared" si="15"/>
        <v>99617.289771125317</v>
      </c>
      <c r="AX52" s="800">
        <f t="shared" si="15"/>
        <v>99732.727827510855</v>
      </c>
      <c r="AY52" s="800">
        <f t="shared" si="15"/>
        <v>99636.843269883393</v>
      </c>
      <c r="AZ52" s="800">
        <f t="shared" si="15"/>
        <v>99480.554287182546</v>
      </c>
      <c r="BA52" s="800">
        <f t="shared" si="15"/>
        <v>99422.50086799069</v>
      </c>
      <c r="BB52" s="800">
        <f t="shared" si="15"/>
        <v>99520.704696383633</v>
      </c>
      <c r="BC52" s="800">
        <f t="shared" si="15"/>
        <v>99635.879781814379</v>
      </c>
      <c r="BD52" s="800">
        <f t="shared" si="15"/>
        <v>99690.337250490149</v>
      </c>
      <c r="BE52" s="800">
        <f t="shared" si="15"/>
        <v>99702.262971150994</v>
      </c>
      <c r="BF52" s="800">
        <f t="shared" si="15"/>
        <v>99694.481738800969</v>
      </c>
      <c r="BG52" s="800">
        <f t="shared" si="15"/>
        <v>99670.756445573177</v>
      </c>
      <c r="BH52" s="800">
        <f t="shared" si="15"/>
        <v>99639.041132576749</v>
      </c>
      <c r="BI52" s="800">
        <f t="shared" si="15"/>
        <v>99620.281670040247</v>
      </c>
      <c r="BJ52" s="800">
        <f t="shared" si="15"/>
        <v>99620.530994949833</v>
      </c>
      <c r="BK52" s="800">
        <f t="shared" si="15"/>
        <v>99611.181258903074</v>
      </c>
      <c r="BL52" s="800">
        <f t="shared" si="15"/>
        <v>99609.042757988034</v>
      </c>
      <c r="BM52" s="800">
        <f t="shared" si="15"/>
        <v>99619.750130555156</v>
      </c>
      <c r="BN52" s="800">
        <f t="shared" si="15"/>
        <v>99636.1875691022</v>
      </c>
      <c r="BO52" s="800">
        <f t="shared" si="15"/>
        <v>99645.81114182873</v>
      </c>
      <c r="BP52" s="800">
        <f t="shared" ref="BP52:BV52" si="16">SUM(BP32:BP51,)</f>
        <v>99646.638755163294</v>
      </c>
      <c r="BQ52" s="800">
        <f t="shared" si="16"/>
        <v>99642.997213886061</v>
      </c>
      <c r="BR52" s="800">
        <f t="shared" si="16"/>
        <v>99638.058400780646</v>
      </c>
      <c r="BS52" s="800">
        <f t="shared" si="16"/>
        <v>99633.356455945584</v>
      </c>
      <c r="BT52" s="800">
        <f t="shared" si="16"/>
        <v>99630.239790143285</v>
      </c>
      <c r="BU52" s="800">
        <f t="shared" si="16"/>
        <v>99629.506344940528</v>
      </c>
      <c r="BV52" s="800">
        <f t="shared" si="16"/>
        <v>99630.275067848866</v>
      </c>
    </row>
    <row r="53" spans="1:74" x14ac:dyDescent="0.25">
      <c r="B53" s="783"/>
      <c r="C53" s="156"/>
      <c r="D53" s="156"/>
      <c r="E53" s="156"/>
      <c r="F53" s="156"/>
      <c r="G53" s="156"/>
      <c r="H53" s="156"/>
      <c r="I53" s="156"/>
      <c r="J53" s="156"/>
      <c r="K53" s="156"/>
      <c r="L53" s="156"/>
      <c r="M53" s="156"/>
      <c r="N53" s="156"/>
      <c r="O53" s="156"/>
      <c r="P53" s="156"/>
      <c r="Q53" s="156"/>
      <c r="R53" s="156"/>
      <c r="S53" s="156"/>
      <c r="T53" s="156"/>
      <c r="U53" s="156"/>
      <c r="V53" s="156"/>
      <c r="W53" s="156"/>
      <c r="X53" s="156"/>
      <c r="Y53" s="156"/>
      <c r="Z53" s="156"/>
      <c r="AA53" s="156"/>
      <c r="AB53" s="156"/>
      <c r="AC53" s="156"/>
      <c r="AD53" s="156"/>
      <c r="AE53" s="156"/>
      <c r="AF53" s="156"/>
      <c r="AG53" s="156"/>
      <c r="AH53" s="156"/>
      <c r="AI53" s="156"/>
      <c r="AJ53" s="156"/>
      <c r="AK53" s="156"/>
      <c r="AL53" s="156"/>
      <c r="AM53" s="156"/>
      <c r="AN53" s="156"/>
      <c r="AO53" s="156"/>
      <c r="AP53" s="156"/>
      <c r="AQ53" s="156"/>
      <c r="AR53" s="156"/>
      <c r="AS53" s="156"/>
      <c r="AT53" s="156"/>
      <c r="AU53" s="156"/>
      <c r="AV53" s="156"/>
      <c r="AW53" s="156"/>
      <c r="AX53" s="156"/>
      <c r="AY53" s="156"/>
      <c r="AZ53" s="156"/>
      <c r="BA53" s="156"/>
      <c r="BB53" s="156"/>
      <c r="BC53" s="156"/>
      <c r="BD53" s="156"/>
      <c r="BE53" s="156"/>
      <c r="BF53" s="156"/>
      <c r="BG53" s="156"/>
      <c r="BH53" s="156"/>
      <c r="BI53" s="156"/>
      <c r="BJ53" s="156"/>
      <c r="BK53" s="156"/>
      <c r="BL53" s="156"/>
      <c r="BM53" s="156"/>
      <c r="BN53" s="156"/>
      <c r="BO53" s="156"/>
      <c r="BP53" s="156"/>
      <c r="BQ53" s="156"/>
      <c r="BR53" s="156"/>
      <c r="BS53" s="156"/>
      <c r="BT53" s="156"/>
      <c r="BU53" s="156"/>
      <c r="BV53" s="784"/>
    </row>
    <row r="54" spans="1:74" x14ac:dyDescent="0.25">
      <c r="B54" s="855" t="s">
        <v>488</v>
      </c>
      <c r="C54" s="856">
        <f t="shared" ref="C54:AH54" si="17">C52+C29</f>
        <v>54155.791188657087</v>
      </c>
      <c r="D54" s="856">
        <f t="shared" si="17"/>
        <v>116803.29987962492</v>
      </c>
      <c r="E54" s="856">
        <f t="shared" si="17"/>
        <v>102196.09436704514</v>
      </c>
      <c r="F54" s="856">
        <f t="shared" si="17"/>
        <v>88252.404895870393</v>
      </c>
      <c r="G54" s="856">
        <f t="shared" si="17"/>
        <v>75947.772080891009</v>
      </c>
      <c r="H54" s="856">
        <f t="shared" si="17"/>
        <v>92147.073422455549</v>
      </c>
      <c r="I54" s="856">
        <f t="shared" si="17"/>
        <v>136497.06444438259</v>
      </c>
      <c r="J54" s="856">
        <f t="shared" si="17"/>
        <v>97644.322661037237</v>
      </c>
      <c r="K54" s="856">
        <f t="shared" si="17"/>
        <v>74459.785613676009</v>
      </c>
      <c r="L54" s="856">
        <f t="shared" si="17"/>
        <v>243421.52908721761</v>
      </c>
      <c r="M54" s="856">
        <f t="shared" si="17"/>
        <v>120423.48997017731</v>
      </c>
      <c r="N54" s="856">
        <f t="shared" si="17"/>
        <v>168159.0611461123</v>
      </c>
      <c r="O54" s="856">
        <f t="shared" si="17"/>
        <v>33809.65</v>
      </c>
      <c r="P54" s="856">
        <f t="shared" si="17"/>
        <v>44668.3</v>
      </c>
      <c r="Q54" s="856">
        <f t="shared" si="17"/>
        <v>38730.07</v>
      </c>
      <c r="R54" s="856">
        <f t="shared" si="17"/>
        <v>46300.7</v>
      </c>
      <c r="S54" s="856">
        <f t="shared" si="17"/>
        <v>49087.58</v>
      </c>
      <c r="T54" s="856">
        <f t="shared" si="17"/>
        <v>98672.94</v>
      </c>
      <c r="U54" s="856">
        <f t="shared" si="17"/>
        <v>86672.76</v>
      </c>
      <c r="V54" s="856">
        <f t="shared" si="17"/>
        <v>67998.140000000014</v>
      </c>
      <c r="W54" s="856">
        <f t="shared" si="17"/>
        <v>101127.73000000001</v>
      </c>
      <c r="X54" s="856">
        <f t="shared" si="17"/>
        <v>163591.07999999999</v>
      </c>
      <c r="Y54" s="856">
        <f t="shared" si="17"/>
        <v>76076.22</v>
      </c>
      <c r="Z54" s="856">
        <f t="shared" si="17"/>
        <v>97509.97</v>
      </c>
      <c r="AA54" s="856">
        <f t="shared" si="17"/>
        <v>129800.1</v>
      </c>
      <c r="AB54" s="856">
        <f t="shared" si="17"/>
        <v>123234.05000000002</v>
      </c>
      <c r="AC54" s="856">
        <f t="shared" si="17"/>
        <v>126341.54000000001</v>
      </c>
      <c r="AD54" s="856">
        <f t="shared" si="17"/>
        <v>101335.83216666665</v>
      </c>
      <c r="AE54" s="856">
        <f t="shared" si="17"/>
        <v>105576.21858333334</v>
      </c>
      <c r="AF54" s="856">
        <f t="shared" si="17"/>
        <v>109990.67926944443</v>
      </c>
      <c r="AG54" s="856">
        <f t="shared" si="17"/>
        <v>111035.58308414352</v>
      </c>
      <c r="AH54" s="856">
        <f t="shared" si="17"/>
        <v>112661.83415107445</v>
      </c>
      <c r="AI54" s="856">
        <f t="shared" ref="AI54:BN54" si="18">AI52+AI29</f>
        <v>115887.01758788178</v>
      </c>
      <c r="AJ54" s="856">
        <f t="shared" si="18"/>
        <v>116516.03138494206</v>
      </c>
      <c r="AK54" s="856">
        <f t="shared" si="18"/>
        <v>111721.01121521427</v>
      </c>
      <c r="AL54" s="856">
        <f t="shared" si="18"/>
        <v>114363.86228391121</v>
      </c>
      <c r="AM54" s="856">
        <f t="shared" si="18"/>
        <v>115293.46120244279</v>
      </c>
      <c r="AN54" s="856">
        <f t="shared" si="18"/>
        <v>113999.51273287898</v>
      </c>
      <c r="AO54" s="856">
        <f t="shared" si="18"/>
        <v>111936.47127390718</v>
      </c>
      <c r="AP54" s="856">
        <f t="shared" si="18"/>
        <v>111917.77176496295</v>
      </c>
      <c r="AQ54" s="856">
        <f t="shared" si="18"/>
        <v>112817.95138504624</v>
      </c>
      <c r="AR54" s="856">
        <f t="shared" si="18"/>
        <v>113414.63174572251</v>
      </c>
      <c r="AS54" s="856">
        <f t="shared" si="18"/>
        <v>113706.01398422493</v>
      </c>
      <c r="AT54" s="856">
        <f t="shared" si="18"/>
        <v>113933.11535831737</v>
      </c>
      <c r="AU54" s="856">
        <f t="shared" si="18"/>
        <v>114041.04428746804</v>
      </c>
      <c r="AV54" s="856">
        <f t="shared" si="18"/>
        <v>113897.21394258481</v>
      </c>
      <c r="AW54" s="856">
        <f t="shared" si="18"/>
        <v>113686.58140884199</v>
      </c>
      <c r="AX54" s="856">
        <f t="shared" si="18"/>
        <v>113860.43042490668</v>
      </c>
      <c r="AY54" s="856">
        <f t="shared" si="18"/>
        <v>113815.63950323017</v>
      </c>
      <c r="AZ54" s="856">
        <f t="shared" si="18"/>
        <v>113724.99955533496</v>
      </c>
      <c r="BA54" s="856">
        <f t="shared" si="18"/>
        <v>113714.15495562422</v>
      </c>
      <c r="BB54" s="856">
        <f t="shared" si="18"/>
        <v>113876.59855745037</v>
      </c>
      <c r="BC54" s="856">
        <f t="shared" si="18"/>
        <v>114047.67432606315</v>
      </c>
      <c r="BD54" s="856">
        <f t="shared" si="18"/>
        <v>114161.8321723163</v>
      </c>
      <c r="BE54" s="856">
        <f t="shared" si="18"/>
        <v>114234.64110462177</v>
      </c>
      <c r="BF54" s="856">
        <f t="shared" si="18"/>
        <v>114291.23741136851</v>
      </c>
      <c r="BG54" s="856">
        <f t="shared" si="18"/>
        <v>114334.11131033587</v>
      </c>
      <c r="BH54" s="856">
        <f t="shared" si="18"/>
        <v>114372.42830305875</v>
      </c>
      <c r="BI54" s="856">
        <f t="shared" si="18"/>
        <v>114427.12041023211</v>
      </c>
      <c r="BJ54" s="856">
        <f t="shared" si="18"/>
        <v>114504.34475169283</v>
      </c>
      <c r="BK54" s="856">
        <f t="shared" si="18"/>
        <v>114574.32830814911</v>
      </c>
      <c r="BL54" s="856">
        <f t="shared" si="18"/>
        <v>114654.46804074207</v>
      </c>
      <c r="BM54" s="856">
        <f t="shared" si="18"/>
        <v>114750.91532877393</v>
      </c>
      <c r="BN54" s="856">
        <f t="shared" si="18"/>
        <v>114854.61401967493</v>
      </c>
      <c r="BO54" s="856">
        <f t="shared" ref="BO54:BV54" si="19">BO52+BO29</f>
        <v>114954.1713102693</v>
      </c>
      <c r="BP54" s="856">
        <f t="shared" si="19"/>
        <v>115048.09358665874</v>
      </c>
      <c r="BQ54" s="856">
        <f t="shared" si="19"/>
        <v>115141.4362771724</v>
      </c>
      <c r="BR54" s="856">
        <f t="shared" si="19"/>
        <v>115237.21593957825</v>
      </c>
      <c r="BS54" s="856">
        <f t="shared" si="19"/>
        <v>115337.22996039993</v>
      </c>
      <c r="BT54" s="856">
        <f t="shared" si="19"/>
        <v>115442.83650443508</v>
      </c>
      <c r="BU54" s="856">
        <f t="shared" si="19"/>
        <v>115554.9336533242</v>
      </c>
      <c r="BV54" s="856">
        <f t="shared" si="19"/>
        <v>115672.69406878068</v>
      </c>
    </row>
    <row r="55" spans="1:74" x14ac:dyDescent="0.25">
      <c r="O55" s="612"/>
      <c r="P55" s="612"/>
      <c r="Q55" s="612"/>
      <c r="R55" s="612"/>
      <c r="S55" s="612"/>
      <c r="T55" s="612"/>
      <c r="U55" s="612"/>
      <c r="V55" s="612"/>
      <c r="W55" s="612"/>
      <c r="X55" s="612"/>
      <c r="Y55" s="612"/>
      <c r="Z55" s="612"/>
      <c r="AA55" s="612"/>
      <c r="AB55" s="612"/>
      <c r="AC55" s="612"/>
      <c r="AD55" s="612"/>
      <c r="AE55" s="612"/>
      <c r="AF55" s="612"/>
      <c r="AG55" s="612"/>
      <c r="AH55" s="612"/>
      <c r="AI55" s="612"/>
      <c r="AJ55" s="612"/>
      <c r="AK55" s="612"/>
      <c r="AL55" s="612"/>
      <c r="AM55" s="612"/>
      <c r="AN55" s="612"/>
      <c r="AO55" s="612"/>
      <c r="AP55" s="612"/>
      <c r="AQ55" s="612"/>
      <c r="AR55" s="612"/>
      <c r="AS55" s="612"/>
      <c r="AT55" s="612"/>
      <c r="AU55" s="612"/>
      <c r="AV55" s="612"/>
      <c r="AW55" s="612"/>
      <c r="AX55" s="612"/>
      <c r="AY55" s="612"/>
      <c r="AZ55" s="612"/>
      <c r="BA55" s="612"/>
    </row>
    <row r="56" spans="1:74" x14ac:dyDescent="0.25">
      <c r="O56" s="571"/>
      <c r="P56" s="571"/>
      <c r="Q56" s="571"/>
      <c r="R56" s="571"/>
      <c r="S56" s="571"/>
      <c r="T56" s="571"/>
      <c r="U56" s="571"/>
      <c r="V56" s="571"/>
      <c r="W56" s="571"/>
      <c r="X56" s="571"/>
      <c r="Y56" s="571"/>
      <c r="Z56" s="571"/>
      <c r="AA56" s="571"/>
      <c r="AB56" s="571"/>
      <c r="AC56" s="571"/>
      <c r="AD56" s="571"/>
      <c r="AE56" s="571"/>
      <c r="AF56" s="571"/>
      <c r="AG56" s="571"/>
      <c r="AH56" s="571"/>
      <c r="AI56" s="571"/>
      <c r="AJ56" s="571"/>
      <c r="AK56" s="571"/>
      <c r="AL56" s="571"/>
      <c r="AM56" s="571"/>
      <c r="AN56" s="571"/>
      <c r="AO56" s="571"/>
      <c r="AP56" s="571"/>
      <c r="AQ56" s="571"/>
      <c r="AR56" s="571"/>
      <c r="AS56" s="571"/>
      <c r="AT56" s="571"/>
      <c r="AU56" s="571"/>
      <c r="AV56" s="571"/>
      <c r="AW56" s="571"/>
      <c r="AX56" s="571"/>
      <c r="AY56" s="571"/>
      <c r="AZ56" s="571"/>
      <c r="BA56" s="571"/>
      <c r="BB56" s="571"/>
      <c r="BC56" s="571"/>
      <c r="BD56" s="571"/>
      <c r="BE56" s="571"/>
      <c r="BF56" s="571"/>
      <c r="BG56" s="571"/>
      <c r="BH56" s="571"/>
      <c r="BI56" s="571"/>
      <c r="BJ56" s="571"/>
    </row>
    <row r="57" spans="1:74" x14ac:dyDescent="0.25">
      <c r="B57" s="570" t="s">
        <v>849</v>
      </c>
      <c r="M57" s="151"/>
      <c r="N57" s="151"/>
      <c r="O57" s="151"/>
      <c r="P57" s="151"/>
      <c r="Q57" s="151"/>
      <c r="R57" s="151"/>
      <c r="S57" s="151"/>
      <c r="T57" s="151"/>
      <c r="U57" s="151"/>
      <c r="V57" s="151"/>
      <c r="W57" s="151"/>
      <c r="X57" s="151"/>
      <c r="Y57" s="151"/>
      <c r="Z57" s="151"/>
      <c r="AA57" s="151"/>
      <c r="AB57" s="151"/>
      <c r="AC57" s="151"/>
      <c r="AD57" s="151"/>
      <c r="AE57" s="151"/>
      <c r="AF57" s="151"/>
      <c r="AG57" s="151"/>
      <c r="AH57" s="151"/>
      <c r="AI57" s="151"/>
      <c r="AJ57" s="151"/>
      <c r="AK57" s="151"/>
      <c r="AL57" s="151"/>
      <c r="AM57" s="151"/>
      <c r="AN57" s="151"/>
      <c r="AO57" s="151"/>
      <c r="AP57" s="151"/>
    </row>
    <row r="58" spans="1:74" x14ac:dyDescent="0.25">
      <c r="C58" s="405"/>
      <c r="D58" s="405"/>
      <c r="E58" s="405"/>
      <c r="F58" s="405"/>
      <c r="G58" s="405"/>
      <c r="H58" s="405"/>
      <c r="I58" s="405"/>
      <c r="J58" s="405"/>
      <c r="K58" s="405"/>
      <c r="L58" s="405"/>
      <c r="M58" s="405"/>
      <c r="N58" s="405"/>
      <c r="O58" s="405">
        <f>O54-'Dept. Cost Actuals'!S1395</f>
        <v>-36.529999999998836</v>
      </c>
      <c r="P58" s="405">
        <f>P54-'Dept. Cost Actuals'!T1395</f>
        <v>-804.29999999999563</v>
      </c>
      <c r="Q58" s="405">
        <f>Q54-'Dept. Cost Actuals'!U1395</f>
        <v>0</v>
      </c>
      <c r="R58" s="405">
        <f>R54-'Dept. Cost Actuals'!V1395</f>
        <v>-8.4000000000014552</v>
      </c>
      <c r="S58" s="405">
        <f>S54-'Dept. Cost Actuals'!W1395</f>
        <v>0</v>
      </c>
      <c r="T58" s="405">
        <f>T54-'Dept. Cost Actuals'!X1395</f>
        <v>17.94999999999709</v>
      </c>
      <c r="U58" s="405">
        <f>U54-'Dept. Cost Actuals'!Y1395</f>
        <v>71.849999999991269</v>
      </c>
      <c r="V58" s="405">
        <f>V54-'Dept. Cost Actuals'!Z1395</f>
        <v>0</v>
      </c>
      <c r="W58" s="405">
        <f>W54-'Dept. Cost Actuals'!AA1395</f>
        <v>0</v>
      </c>
      <c r="X58" s="405">
        <f>X54-'Dept. Cost Actuals'!AB1395</f>
        <v>0</v>
      </c>
      <c r="Y58" s="405">
        <f>Y54-'Dept. Cost Actuals'!AC1395</f>
        <v>0</v>
      </c>
      <c r="Z58" s="405">
        <f>Z54-'Dept. Cost Actuals'!AD1395</f>
        <v>0</v>
      </c>
      <c r="AA58" s="405">
        <f>AA54-'Dept. Cost Actuals'!AE1395</f>
        <v>0</v>
      </c>
      <c r="AB58" s="405">
        <f>AB54-'Dept. Cost Actuals'!AF1395</f>
        <v>27.480000000010477</v>
      </c>
      <c r="AC58" s="405">
        <f>AC54-'Dept. Cost Actuals'!AG1395</f>
        <v>0</v>
      </c>
      <c r="AN58" s="151"/>
    </row>
  </sheetData>
  <conditionalFormatting sqref="C4:BV4">
    <cfRule type="containsText" dxfId="248" priority="3" operator="containsText" text="actual">
      <formula>NOT(ISERROR(SEARCH("actual",C4)))</formula>
    </cfRule>
    <cfRule type="containsText" dxfId="247" priority="4" operator="containsText" text="forecast">
      <formula>NOT(ISERROR(SEARCH("forecast",C4)))</formula>
    </cfRule>
  </conditionalFormatting>
  <conditionalFormatting sqref="B4">
    <cfRule type="containsText" dxfId="246" priority="1" operator="containsText" text="actual">
      <formula>NOT(ISERROR(SEARCH("actual",B4)))</formula>
    </cfRule>
    <cfRule type="containsText" dxfId="245" priority="2" operator="containsText" text="forecast">
      <formula>NOT(ISERROR(SEARCH("forecast",B4)))</formula>
    </cfRule>
  </conditionalFormatting>
  <pageMargins left="0.7" right="0.7" top="0.75" bottom="0.75" header="0.3" footer="0.3"/>
  <pageSetup orientation="portrait" horizontalDpi="0"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W46"/>
  <sheetViews>
    <sheetView zoomScale="80" zoomScaleNormal="80" workbookViewId="0">
      <pane xSplit="2" ySplit="4" topLeftCell="C5" activePane="bottomRight" state="frozen"/>
      <selection activeCell="C20" sqref="C20"/>
      <selection pane="topRight" activeCell="C20" sqref="C20"/>
      <selection pane="bottomLeft" activeCell="C20" sqref="C20"/>
      <selection pane="bottomRight" activeCell="AC18" sqref="AC18:AY18"/>
    </sheetView>
  </sheetViews>
  <sheetFormatPr defaultColWidth="9.140625" defaultRowHeight="15" x14ac:dyDescent="0.25"/>
  <cols>
    <col min="1" max="1" width="3" style="570" customWidth="1"/>
    <col min="2" max="2" width="29" style="570" customWidth="1"/>
    <col min="3" max="10" width="11.140625" style="570" bestFit="1" customWidth="1"/>
    <col min="11" max="11" width="11.28515625" style="570" bestFit="1" customWidth="1"/>
    <col min="12" max="15" width="11.140625" style="570" bestFit="1" customWidth="1"/>
    <col min="16" max="20" width="12.28515625" style="570" bestFit="1" customWidth="1"/>
    <col min="21" max="25" width="12.42578125" style="570" bestFit="1" customWidth="1"/>
    <col min="26" max="26" width="11.42578125" style="570" bestFit="1" customWidth="1"/>
    <col min="27" max="75" width="10.85546875" style="570" bestFit="1" customWidth="1"/>
    <col min="76" max="16384" width="9.140625" style="570"/>
  </cols>
  <sheetData>
    <row r="2" spans="2:75" x14ac:dyDescent="0.25">
      <c r="B2" s="636" t="s">
        <v>1111</v>
      </c>
    </row>
    <row r="3" spans="2:75" x14ac:dyDescent="0.25">
      <c r="B3" s="999" t="s">
        <v>924</v>
      </c>
      <c r="C3" s="865">
        <v>40909</v>
      </c>
      <c r="D3" s="865">
        <v>40942</v>
      </c>
      <c r="E3" s="865">
        <v>40975</v>
      </c>
      <c r="F3" s="865">
        <v>41008</v>
      </c>
      <c r="G3" s="865">
        <v>41041</v>
      </c>
      <c r="H3" s="865">
        <v>41074</v>
      </c>
      <c r="I3" s="865">
        <v>41107</v>
      </c>
      <c r="J3" s="865">
        <v>41140</v>
      </c>
      <c r="K3" s="865">
        <v>41173</v>
      </c>
      <c r="L3" s="865">
        <v>41206</v>
      </c>
      <c r="M3" s="865">
        <v>41239</v>
      </c>
      <c r="N3" s="865">
        <v>41272</v>
      </c>
      <c r="O3" s="865">
        <v>41282</v>
      </c>
      <c r="P3" s="865">
        <v>41312</v>
      </c>
      <c r="Q3" s="865">
        <v>41342</v>
      </c>
      <c r="R3" s="865">
        <v>41372</v>
      </c>
      <c r="S3" s="865">
        <v>41402</v>
      </c>
      <c r="T3" s="865">
        <v>41432</v>
      </c>
      <c r="U3" s="865">
        <v>41462</v>
      </c>
      <c r="V3" s="865">
        <v>41492</v>
      </c>
      <c r="W3" s="865">
        <v>41522</v>
      </c>
      <c r="X3" s="865">
        <v>41552</v>
      </c>
      <c r="Y3" s="865">
        <v>41582</v>
      </c>
      <c r="Z3" s="865">
        <v>41612</v>
      </c>
      <c r="AA3" s="865">
        <v>41642</v>
      </c>
      <c r="AB3" s="865">
        <v>41675</v>
      </c>
      <c r="AC3" s="865">
        <v>41708</v>
      </c>
      <c r="AD3" s="865">
        <v>41741</v>
      </c>
      <c r="AE3" s="865">
        <v>41774</v>
      </c>
      <c r="AF3" s="865">
        <v>41807</v>
      </c>
      <c r="AG3" s="865">
        <v>41840</v>
      </c>
      <c r="AH3" s="865">
        <v>41873</v>
      </c>
      <c r="AI3" s="865">
        <v>41906</v>
      </c>
      <c r="AJ3" s="865">
        <v>41939</v>
      </c>
      <c r="AK3" s="865">
        <v>41972</v>
      </c>
      <c r="AL3" s="865">
        <v>41982</v>
      </c>
      <c r="AM3" s="865">
        <v>42012</v>
      </c>
      <c r="AN3" s="865">
        <v>42042</v>
      </c>
      <c r="AO3" s="865">
        <v>42072</v>
      </c>
      <c r="AP3" s="865">
        <v>42102</v>
      </c>
      <c r="AQ3" s="865">
        <v>42132</v>
      </c>
      <c r="AR3" s="865">
        <v>42162</v>
      </c>
      <c r="AS3" s="865">
        <v>42192</v>
      </c>
      <c r="AT3" s="865">
        <v>42222</v>
      </c>
      <c r="AU3" s="865">
        <v>42252</v>
      </c>
      <c r="AV3" s="865">
        <v>42282</v>
      </c>
      <c r="AW3" s="865">
        <v>42312</v>
      </c>
      <c r="AX3" s="865">
        <v>42342</v>
      </c>
      <c r="AY3" s="865">
        <v>42372</v>
      </c>
      <c r="AZ3" s="865">
        <v>42402</v>
      </c>
      <c r="BA3" s="865">
        <v>42432</v>
      </c>
      <c r="BB3" s="865">
        <v>42462</v>
      </c>
      <c r="BC3" s="865">
        <v>42492</v>
      </c>
      <c r="BD3" s="865">
        <v>42522</v>
      </c>
      <c r="BE3" s="865">
        <v>42552</v>
      </c>
      <c r="BF3" s="865">
        <v>42582</v>
      </c>
      <c r="BG3" s="865">
        <v>42612</v>
      </c>
      <c r="BH3" s="865">
        <v>42642</v>
      </c>
      <c r="BI3" s="865">
        <v>42672</v>
      </c>
      <c r="BJ3" s="865">
        <v>42702</v>
      </c>
      <c r="BK3" s="865">
        <v>42732</v>
      </c>
      <c r="BL3" s="865">
        <v>42762</v>
      </c>
      <c r="BM3" s="865">
        <v>42792</v>
      </c>
      <c r="BN3" s="865">
        <v>42822</v>
      </c>
      <c r="BO3" s="865">
        <v>42852</v>
      </c>
      <c r="BP3" s="865">
        <v>42882</v>
      </c>
      <c r="BQ3" s="865">
        <v>42912</v>
      </c>
      <c r="BR3" s="865">
        <v>42942</v>
      </c>
      <c r="BS3" s="865">
        <v>42972</v>
      </c>
      <c r="BT3" s="865">
        <v>43002</v>
      </c>
      <c r="BU3" s="865">
        <v>43032</v>
      </c>
      <c r="BV3" s="865">
        <v>43062</v>
      </c>
      <c r="BW3" s="865">
        <v>43092</v>
      </c>
    </row>
    <row r="5" spans="2:75" x14ac:dyDescent="0.25">
      <c r="B5" s="570" t="s">
        <v>50</v>
      </c>
      <c r="C5" s="575">
        <v>141198.6</v>
      </c>
      <c r="D5" s="575">
        <v>161800.12</v>
      </c>
      <c r="E5" s="575">
        <v>168911.1</v>
      </c>
      <c r="F5" s="575">
        <v>172829.16</v>
      </c>
      <c r="G5" s="575">
        <v>178814.28</v>
      </c>
      <c r="H5" s="575">
        <v>180033.28</v>
      </c>
      <c r="I5" s="575">
        <v>188816.75</v>
      </c>
      <c r="J5" s="575">
        <v>209850.96000000002</v>
      </c>
      <c r="K5" s="575">
        <v>222747.24</v>
      </c>
      <c r="L5" s="575">
        <v>234383.51</v>
      </c>
      <c r="M5" s="575">
        <v>248406.51</v>
      </c>
      <c r="N5" s="575">
        <v>255582.27000000002</v>
      </c>
      <c r="O5" s="575">
        <v>264164.8</v>
      </c>
      <c r="P5" s="575">
        <v>280415.81</v>
      </c>
      <c r="Q5" s="575">
        <v>287238.53999999998</v>
      </c>
      <c r="R5" s="575">
        <v>299315.68</v>
      </c>
      <c r="S5" s="575">
        <v>324498.96000000002</v>
      </c>
      <c r="T5" s="575">
        <v>336671.58999999997</v>
      </c>
      <c r="U5" s="575">
        <v>349957.82</v>
      </c>
      <c r="V5" s="575">
        <v>349957.82</v>
      </c>
      <c r="W5" s="575">
        <v>369664.7</v>
      </c>
      <c r="X5" s="575">
        <v>382658.59</v>
      </c>
      <c r="Y5" s="575">
        <v>478935.35</v>
      </c>
      <c r="Z5" s="575">
        <v>478935.35</v>
      </c>
      <c r="AA5" s="575">
        <v>478935.35</v>
      </c>
      <c r="AB5" s="575">
        <v>478935.35</v>
      </c>
      <c r="AC5" s="575">
        <v>478935.35</v>
      </c>
      <c r="AD5" s="575">
        <v>478935.35</v>
      </c>
      <c r="AE5" s="575">
        <v>478935.35</v>
      </c>
      <c r="AF5" s="575">
        <v>478935.35</v>
      </c>
      <c r="AG5" s="575">
        <v>478935.35</v>
      </c>
      <c r="AH5" s="575">
        <v>478935.35</v>
      </c>
      <c r="AI5" s="575">
        <v>478935.35</v>
      </c>
      <c r="AJ5" s="575">
        <v>478935.35</v>
      </c>
      <c r="AK5" s="575">
        <v>478935.35</v>
      </c>
      <c r="AL5" s="575">
        <v>478935.35</v>
      </c>
      <c r="AM5" s="575">
        <v>478935.35</v>
      </c>
      <c r="AN5" s="575">
        <v>478935.35</v>
      </c>
      <c r="AO5" s="575">
        <v>478935.35</v>
      </c>
      <c r="AP5" s="575">
        <v>478935.35</v>
      </c>
      <c r="AQ5" s="575">
        <v>478935.35</v>
      </c>
      <c r="AR5" s="575">
        <v>478935.35</v>
      </c>
      <c r="AS5" s="575">
        <v>478935.35</v>
      </c>
      <c r="AT5" s="575">
        <v>478935.35</v>
      </c>
      <c r="AU5" s="575">
        <v>478935.35</v>
      </c>
      <c r="AV5" s="575">
        <v>478935.35</v>
      </c>
      <c r="AW5" s="575">
        <v>478935.35</v>
      </c>
      <c r="AX5" s="575">
        <v>478935.35</v>
      </c>
      <c r="AY5" s="575">
        <v>478935.35</v>
      </c>
      <c r="AZ5" s="575">
        <v>478935.35</v>
      </c>
      <c r="BA5" s="575">
        <v>478935.35</v>
      </c>
      <c r="BB5" s="575">
        <v>478935.35</v>
      </c>
      <c r="BC5" s="575">
        <v>478935.35</v>
      </c>
      <c r="BD5" s="575">
        <v>478935.35</v>
      </c>
      <c r="BE5" s="575">
        <v>478935.35</v>
      </c>
      <c r="BF5" s="575">
        <v>478935.35</v>
      </c>
      <c r="BG5" s="575">
        <v>478935.35</v>
      </c>
      <c r="BH5" s="575">
        <v>478935.35</v>
      </c>
      <c r="BI5" s="575">
        <v>478935.35</v>
      </c>
      <c r="BJ5" s="575">
        <v>478935.35</v>
      </c>
      <c r="BK5" s="575">
        <v>478935.35</v>
      </c>
      <c r="BL5" s="575">
        <v>478935.35</v>
      </c>
      <c r="BM5" s="575">
        <v>478935.35</v>
      </c>
      <c r="BN5" s="575">
        <v>478935.35</v>
      </c>
      <c r="BO5" s="575">
        <v>478935.35</v>
      </c>
      <c r="BP5" s="575">
        <v>478935.35</v>
      </c>
      <c r="BQ5" s="575">
        <v>478935.35</v>
      </c>
      <c r="BR5" s="575">
        <v>478935.35</v>
      </c>
      <c r="BS5" s="575">
        <v>478935.35</v>
      </c>
      <c r="BT5" s="575">
        <v>478935.35</v>
      </c>
      <c r="BU5" s="575">
        <v>478935.35</v>
      </c>
      <c r="BV5" s="575">
        <v>478935.35</v>
      </c>
      <c r="BW5" s="575">
        <v>478935.35</v>
      </c>
    </row>
    <row r="6" spans="2:75" x14ac:dyDescent="0.25">
      <c r="B6" s="229" t="s">
        <v>442</v>
      </c>
      <c r="C6" s="226">
        <v>315759.84999999998</v>
      </c>
      <c r="D6" s="575">
        <v>324949.84999999998</v>
      </c>
      <c r="E6" s="575">
        <v>324949.84999999998</v>
      </c>
      <c r="F6" s="575">
        <v>341008.32</v>
      </c>
      <c r="G6" s="575">
        <v>373612.26</v>
      </c>
      <c r="H6" s="575">
        <v>373612.26</v>
      </c>
      <c r="I6" s="575">
        <v>374118.25</v>
      </c>
      <c r="J6" s="575">
        <v>376518.25</v>
      </c>
      <c r="K6" s="575">
        <v>376518.25</v>
      </c>
      <c r="L6" s="575">
        <v>376518.25</v>
      </c>
      <c r="M6" s="575">
        <v>416973.49</v>
      </c>
      <c r="N6" s="575">
        <v>416973.49</v>
      </c>
      <c r="O6" s="575">
        <v>416384.7</v>
      </c>
      <c r="P6" s="575">
        <v>431756.89</v>
      </c>
      <c r="Q6" s="575">
        <v>482146.62</v>
      </c>
      <c r="R6" s="575">
        <v>502147.06999999995</v>
      </c>
      <c r="S6" s="575">
        <v>511947.06999999995</v>
      </c>
      <c r="T6" s="575">
        <v>511947.06999999995</v>
      </c>
      <c r="U6" s="575">
        <v>511947.06999999995</v>
      </c>
      <c r="V6" s="575">
        <v>515595.75</v>
      </c>
      <c r="W6" s="575">
        <v>521881.78</v>
      </c>
      <c r="X6" s="575">
        <v>522745.63</v>
      </c>
      <c r="Y6" s="575">
        <v>522745.63</v>
      </c>
      <c r="Z6" s="575">
        <v>522745.63</v>
      </c>
      <c r="AA6" s="575">
        <v>522745.63</v>
      </c>
      <c r="AB6" s="575">
        <v>522745.63</v>
      </c>
      <c r="AC6" s="575">
        <v>522745.63</v>
      </c>
      <c r="AD6" s="575">
        <v>522745.63</v>
      </c>
      <c r="AE6" s="575">
        <v>522745.63</v>
      </c>
      <c r="AF6" s="575">
        <v>522745.63</v>
      </c>
      <c r="AG6" s="575">
        <v>522745.63</v>
      </c>
      <c r="AH6" s="575">
        <v>522745.63</v>
      </c>
      <c r="AI6" s="575">
        <v>522745.63</v>
      </c>
      <c r="AJ6" s="575">
        <v>522745.63</v>
      </c>
      <c r="AK6" s="575">
        <v>522745.63</v>
      </c>
      <c r="AL6" s="575">
        <v>522745.63</v>
      </c>
      <c r="AM6" s="575">
        <v>522745.63</v>
      </c>
      <c r="AN6" s="575">
        <v>522745.63</v>
      </c>
      <c r="AO6" s="575">
        <v>522745.63</v>
      </c>
      <c r="AP6" s="575">
        <v>522745.63</v>
      </c>
      <c r="AQ6" s="575">
        <v>522745.63</v>
      </c>
      <c r="AR6" s="575">
        <v>522745.63</v>
      </c>
      <c r="AS6" s="575">
        <v>522745.63</v>
      </c>
      <c r="AT6" s="575">
        <v>522745.63</v>
      </c>
      <c r="AU6" s="575">
        <v>522745.63</v>
      </c>
      <c r="AV6" s="575">
        <v>522745.63</v>
      </c>
      <c r="AW6" s="575">
        <v>522745.63</v>
      </c>
      <c r="AX6" s="575">
        <v>522745.63</v>
      </c>
      <c r="AY6" s="575">
        <v>522745.63</v>
      </c>
      <c r="AZ6" s="575">
        <v>522745.63</v>
      </c>
      <c r="BA6" s="575">
        <v>522745.63</v>
      </c>
      <c r="BB6" s="575">
        <v>522745.63</v>
      </c>
      <c r="BC6" s="575">
        <v>522745.63</v>
      </c>
      <c r="BD6" s="575">
        <v>522745.63</v>
      </c>
      <c r="BE6" s="575">
        <v>522745.63</v>
      </c>
      <c r="BF6" s="575">
        <v>522745.63</v>
      </c>
      <c r="BG6" s="575">
        <v>522745.63</v>
      </c>
      <c r="BH6" s="575">
        <v>522745.63</v>
      </c>
      <c r="BI6" s="575">
        <v>522745.63</v>
      </c>
      <c r="BJ6" s="575">
        <v>522745.63</v>
      </c>
      <c r="BK6" s="575">
        <v>522745.63</v>
      </c>
      <c r="BL6" s="575">
        <v>522745.63</v>
      </c>
      <c r="BM6" s="575">
        <v>522745.63</v>
      </c>
      <c r="BN6" s="575">
        <v>522745.63</v>
      </c>
      <c r="BO6" s="575">
        <v>522745.63</v>
      </c>
      <c r="BP6" s="575">
        <v>522745.63</v>
      </c>
      <c r="BQ6" s="575">
        <v>522745.63</v>
      </c>
      <c r="BR6" s="575">
        <v>522745.63</v>
      </c>
      <c r="BS6" s="575">
        <v>522745.63</v>
      </c>
      <c r="BT6" s="575">
        <v>522745.63</v>
      </c>
      <c r="BU6" s="575">
        <v>522745.63</v>
      </c>
      <c r="BV6" s="575">
        <v>522745.63</v>
      </c>
      <c r="BW6" s="575">
        <v>522745.63</v>
      </c>
    </row>
    <row r="7" spans="2:75" x14ac:dyDescent="0.25">
      <c r="B7" s="570" t="s">
        <v>66</v>
      </c>
      <c r="C7" s="226">
        <v>9190</v>
      </c>
      <c r="D7" s="226">
        <v>9190</v>
      </c>
      <c r="E7" s="226">
        <v>9190</v>
      </c>
      <c r="F7" s="226">
        <v>9190</v>
      </c>
      <c r="G7" s="226">
        <v>9190</v>
      </c>
      <c r="H7" s="226">
        <v>9190</v>
      </c>
      <c r="I7" s="226">
        <v>11590</v>
      </c>
      <c r="J7" s="226">
        <v>11590</v>
      </c>
      <c r="K7" s="575">
        <v>11590</v>
      </c>
      <c r="L7" s="575">
        <v>12539</v>
      </c>
      <c r="M7" s="575">
        <v>12539</v>
      </c>
      <c r="N7" s="575">
        <v>11950.2</v>
      </c>
      <c r="O7" s="575">
        <v>11950.2</v>
      </c>
      <c r="P7" s="575">
        <v>12278.16</v>
      </c>
      <c r="Q7" s="575">
        <v>17375.16</v>
      </c>
      <c r="R7" s="575">
        <v>27175.16</v>
      </c>
      <c r="S7" s="575">
        <v>27175.16</v>
      </c>
      <c r="T7" s="575">
        <v>27175.16</v>
      </c>
      <c r="U7" s="575">
        <v>30823.84</v>
      </c>
      <c r="V7" s="575">
        <v>32722.84</v>
      </c>
      <c r="W7" s="575">
        <v>33586.69</v>
      </c>
      <c r="X7" s="575">
        <v>33586.69</v>
      </c>
      <c r="Y7" s="575">
        <v>33586.69</v>
      </c>
      <c r="Z7" s="575">
        <v>33586.69</v>
      </c>
      <c r="AA7" s="575">
        <v>33586.69</v>
      </c>
      <c r="AB7" s="575">
        <v>33586.69</v>
      </c>
      <c r="AC7" s="575">
        <v>33586.69</v>
      </c>
      <c r="AD7" s="575">
        <v>33586.69</v>
      </c>
      <c r="AE7" s="575">
        <v>33586.69</v>
      </c>
      <c r="AF7" s="575">
        <v>33586.69</v>
      </c>
      <c r="AG7" s="575">
        <v>33586.69</v>
      </c>
      <c r="AH7" s="575">
        <v>33586.69</v>
      </c>
      <c r="AI7" s="575">
        <v>33586.69</v>
      </c>
      <c r="AJ7" s="575">
        <v>33586.69</v>
      </c>
      <c r="AK7" s="575">
        <v>33586.69</v>
      </c>
      <c r="AL7" s="575">
        <v>33586.69</v>
      </c>
      <c r="AM7" s="575">
        <v>33586.69</v>
      </c>
      <c r="AN7" s="575">
        <v>33586.69</v>
      </c>
      <c r="AO7" s="575">
        <v>33586.69</v>
      </c>
      <c r="AP7" s="575">
        <v>33586.69</v>
      </c>
      <c r="AQ7" s="575">
        <v>33586.69</v>
      </c>
      <c r="AR7" s="575">
        <v>33586.69</v>
      </c>
      <c r="AS7" s="575">
        <v>33586.69</v>
      </c>
      <c r="AT7" s="575">
        <v>33586.69</v>
      </c>
      <c r="AU7" s="575">
        <v>33586.69</v>
      </c>
      <c r="AV7" s="575">
        <v>33586.69</v>
      </c>
      <c r="AW7" s="575">
        <v>33586.69</v>
      </c>
      <c r="AX7" s="575">
        <v>33586.69</v>
      </c>
      <c r="AY7" s="575">
        <v>33586.69</v>
      </c>
      <c r="AZ7" s="575">
        <v>33586.69</v>
      </c>
      <c r="BA7" s="575">
        <v>33586.69</v>
      </c>
      <c r="BB7" s="575">
        <v>33586.69</v>
      </c>
      <c r="BC7" s="575">
        <v>33586.69</v>
      </c>
      <c r="BD7" s="575">
        <v>33586.69</v>
      </c>
      <c r="BE7" s="575">
        <v>33586.69</v>
      </c>
      <c r="BF7" s="575">
        <v>33586.69</v>
      </c>
      <c r="BG7" s="575">
        <v>33586.69</v>
      </c>
      <c r="BH7" s="575">
        <v>33586.69</v>
      </c>
      <c r="BI7" s="575">
        <v>33586.69</v>
      </c>
      <c r="BJ7" s="575">
        <v>33586.69</v>
      </c>
      <c r="BK7" s="575">
        <v>33586.69</v>
      </c>
      <c r="BL7" s="575">
        <v>33586.69</v>
      </c>
      <c r="BM7" s="575">
        <v>33586.69</v>
      </c>
      <c r="BN7" s="575">
        <v>33586.69</v>
      </c>
      <c r="BO7" s="575">
        <v>33586.69</v>
      </c>
      <c r="BP7" s="575">
        <v>33586.69</v>
      </c>
      <c r="BQ7" s="575">
        <v>33586.69</v>
      </c>
      <c r="BR7" s="575">
        <v>33586.69</v>
      </c>
      <c r="BS7" s="575">
        <v>33586.69</v>
      </c>
      <c r="BT7" s="575">
        <v>33586.69</v>
      </c>
      <c r="BU7" s="575">
        <v>33586.69</v>
      </c>
      <c r="BV7" s="575">
        <v>33586.69</v>
      </c>
      <c r="BW7" s="575">
        <v>33586.69</v>
      </c>
    </row>
    <row r="8" spans="2:75" ht="15.75" thickBot="1" x14ac:dyDescent="0.3">
      <c r="B8" s="892" t="s">
        <v>51</v>
      </c>
      <c r="C8" s="893">
        <v>0</v>
      </c>
      <c r="D8" s="893">
        <f t="shared" ref="D8:Z8" si="0">SUM(D5:D6)</f>
        <v>486749.97</v>
      </c>
      <c r="E8" s="893">
        <f t="shared" si="0"/>
        <v>493860.94999999995</v>
      </c>
      <c r="F8" s="893">
        <f t="shared" si="0"/>
        <v>513837.48</v>
      </c>
      <c r="G8" s="893">
        <f t="shared" si="0"/>
        <v>552426.54</v>
      </c>
      <c r="H8" s="893">
        <f t="shared" si="0"/>
        <v>553645.54</v>
      </c>
      <c r="I8" s="893">
        <f t="shared" si="0"/>
        <v>562935</v>
      </c>
      <c r="J8" s="893">
        <f t="shared" si="0"/>
        <v>586369.21</v>
      </c>
      <c r="K8" s="893">
        <f t="shared" si="0"/>
        <v>599265.49</v>
      </c>
      <c r="L8" s="893">
        <f t="shared" si="0"/>
        <v>610901.76000000001</v>
      </c>
      <c r="M8" s="893">
        <f t="shared" si="0"/>
        <v>665380</v>
      </c>
      <c r="N8" s="893">
        <f t="shared" si="0"/>
        <v>672555.76</v>
      </c>
      <c r="O8" s="894">
        <f t="shared" si="0"/>
        <v>680549.5</v>
      </c>
      <c r="P8" s="894">
        <f t="shared" si="0"/>
        <v>712172.7</v>
      </c>
      <c r="Q8" s="894">
        <f t="shared" si="0"/>
        <v>769385.15999999992</v>
      </c>
      <c r="R8" s="894">
        <f t="shared" si="0"/>
        <v>801462.75</v>
      </c>
      <c r="S8" s="894">
        <f t="shared" si="0"/>
        <v>836446.03</v>
      </c>
      <c r="T8" s="894">
        <f t="shared" si="0"/>
        <v>848618.65999999992</v>
      </c>
      <c r="U8" s="894">
        <f t="shared" si="0"/>
        <v>861904.8899999999</v>
      </c>
      <c r="V8" s="894">
        <f t="shared" si="0"/>
        <v>865553.57000000007</v>
      </c>
      <c r="W8" s="894">
        <f t="shared" si="0"/>
        <v>891546.48</v>
      </c>
      <c r="X8" s="894">
        <f t="shared" si="0"/>
        <v>905404.22</v>
      </c>
      <c r="Y8" s="893">
        <f t="shared" si="0"/>
        <v>1001680.98</v>
      </c>
      <c r="Z8" s="893">
        <f t="shared" si="0"/>
        <v>1001680.98</v>
      </c>
      <c r="AA8" s="893">
        <f t="shared" ref="AA8:AY8" si="1">SUM(AA5:AA6)</f>
        <v>1001680.98</v>
      </c>
      <c r="AB8" s="893">
        <f t="shared" si="1"/>
        <v>1001680.98</v>
      </c>
      <c r="AC8" s="893">
        <f t="shared" si="1"/>
        <v>1001680.98</v>
      </c>
      <c r="AD8" s="893">
        <f t="shared" si="1"/>
        <v>1001680.98</v>
      </c>
      <c r="AE8" s="893">
        <f t="shared" si="1"/>
        <v>1001680.98</v>
      </c>
      <c r="AF8" s="893">
        <f t="shared" si="1"/>
        <v>1001680.98</v>
      </c>
      <c r="AG8" s="893">
        <f t="shared" si="1"/>
        <v>1001680.98</v>
      </c>
      <c r="AH8" s="893">
        <f t="shared" si="1"/>
        <v>1001680.98</v>
      </c>
      <c r="AI8" s="893">
        <f t="shared" si="1"/>
        <v>1001680.98</v>
      </c>
      <c r="AJ8" s="893">
        <f t="shared" si="1"/>
        <v>1001680.98</v>
      </c>
      <c r="AK8" s="893">
        <f t="shared" si="1"/>
        <v>1001680.98</v>
      </c>
      <c r="AL8" s="893">
        <f t="shared" si="1"/>
        <v>1001680.98</v>
      </c>
      <c r="AM8" s="893">
        <f t="shared" si="1"/>
        <v>1001680.98</v>
      </c>
      <c r="AN8" s="893">
        <f t="shared" si="1"/>
        <v>1001680.98</v>
      </c>
      <c r="AO8" s="893">
        <f t="shared" si="1"/>
        <v>1001680.98</v>
      </c>
      <c r="AP8" s="893">
        <f t="shared" si="1"/>
        <v>1001680.98</v>
      </c>
      <c r="AQ8" s="893">
        <f t="shared" si="1"/>
        <v>1001680.98</v>
      </c>
      <c r="AR8" s="893">
        <f t="shared" si="1"/>
        <v>1001680.98</v>
      </c>
      <c r="AS8" s="893">
        <f t="shared" si="1"/>
        <v>1001680.98</v>
      </c>
      <c r="AT8" s="893">
        <f t="shared" si="1"/>
        <v>1001680.98</v>
      </c>
      <c r="AU8" s="893">
        <f t="shared" si="1"/>
        <v>1001680.98</v>
      </c>
      <c r="AV8" s="893">
        <f t="shared" si="1"/>
        <v>1001680.98</v>
      </c>
      <c r="AW8" s="893">
        <f t="shared" si="1"/>
        <v>1001680.98</v>
      </c>
      <c r="AX8" s="893">
        <f t="shared" si="1"/>
        <v>1001680.98</v>
      </c>
      <c r="AY8" s="893">
        <f t="shared" si="1"/>
        <v>1001680.98</v>
      </c>
      <c r="AZ8" s="893">
        <f t="shared" ref="AZ8:BW8" si="2">SUM(AZ5:AZ6)</f>
        <v>1001680.98</v>
      </c>
      <c r="BA8" s="893">
        <f t="shared" si="2"/>
        <v>1001680.98</v>
      </c>
      <c r="BB8" s="893">
        <f t="shared" si="2"/>
        <v>1001680.98</v>
      </c>
      <c r="BC8" s="893">
        <f t="shared" si="2"/>
        <v>1001680.98</v>
      </c>
      <c r="BD8" s="893">
        <f t="shared" si="2"/>
        <v>1001680.98</v>
      </c>
      <c r="BE8" s="893">
        <f t="shared" si="2"/>
        <v>1001680.98</v>
      </c>
      <c r="BF8" s="893">
        <f t="shared" si="2"/>
        <v>1001680.98</v>
      </c>
      <c r="BG8" s="893">
        <f t="shared" si="2"/>
        <v>1001680.98</v>
      </c>
      <c r="BH8" s="893">
        <f t="shared" si="2"/>
        <v>1001680.98</v>
      </c>
      <c r="BI8" s="893">
        <f t="shared" si="2"/>
        <v>1001680.98</v>
      </c>
      <c r="BJ8" s="893">
        <f t="shared" si="2"/>
        <v>1001680.98</v>
      </c>
      <c r="BK8" s="893">
        <f t="shared" si="2"/>
        <v>1001680.98</v>
      </c>
      <c r="BL8" s="893">
        <f t="shared" si="2"/>
        <v>1001680.98</v>
      </c>
      <c r="BM8" s="893">
        <f t="shared" si="2"/>
        <v>1001680.98</v>
      </c>
      <c r="BN8" s="893">
        <f t="shared" si="2"/>
        <v>1001680.98</v>
      </c>
      <c r="BO8" s="893">
        <f t="shared" si="2"/>
        <v>1001680.98</v>
      </c>
      <c r="BP8" s="893">
        <f t="shared" si="2"/>
        <v>1001680.98</v>
      </c>
      <c r="BQ8" s="893">
        <f t="shared" si="2"/>
        <v>1001680.98</v>
      </c>
      <c r="BR8" s="893">
        <f t="shared" si="2"/>
        <v>1001680.98</v>
      </c>
      <c r="BS8" s="893">
        <f t="shared" si="2"/>
        <v>1001680.98</v>
      </c>
      <c r="BT8" s="893">
        <f t="shared" si="2"/>
        <v>1001680.98</v>
      </c>
      <c r="BU8" s="893">
        <f t="shared" si="2"/>
        <v>1001680.98</v>
      </c>
      <c r="BV8" s="893">
        <f t="shared" si="2"/>
        <v>1001680.98</v>
      </c>
      <c r="BW8" s="893">
        <f t="shared" si="2"/>
        <v>1001680.98</v>
      </c>
    </row>
    <row r="9" spans="2:75" ht="15.75" thickTop="1" x14ac:dyDescent="0.25">
      <c r="C9" s="575"/>
      <c r="D9" s="575"/>
      <c r="E9" s="575"/>
      <c r="F9" s="575"/>
      <c r="G9" s="575"/>
      <c r="H9" s="575"/>
      <c r="I9" s="575"/>
      <c r="J9" s="575"/>
      <c r="K9" s="575"/>
      <c r="L9" s="575"/>
      <c r="M9" s="575"/>
      <c r="N9" s="575"/>
      <c r="O9" s="575"/>
      <c r="P9" s="575"/>
      <c r="Q9" s="575"/>
      <c r="R9" s="575"/>
      <c r="S9" s="575"/>
      <c r="T9" s="575"/>
      <c r="U9" s="575"/>
      <c r="V9" s="575"/>
      <c r="W9" s="575"/>
      <c r="X9" s="575"/>
      <c r="Y9" s="575"/>
      <c r="Z9" s="575"/>
    </row>
    <row r="10" spans="2:75" x14ac:dyDescent="0.25">
      <c r="B10" s="570" t="s">
        <v>52</v>
      </c>
      <c r="C10" s="575">
        <v>0</v>
      </c>
      <c r="D10" s="575">
        <f t="shared" ref="D10:N10" si="3">+C10</f>
        <v>0</v>
      </c>
      <c r="E10" s="575">
        <f t="shared" si="3"/>
        <v>0</v>
      </c>
      <c r="F10" s="575">
        <f t="shared" si="3"/>
        <v>0</v>
      </c>
      <c r="G10" s="575">
        <f t="shared" si="3"/>
        <v>0</v>
      </c>
      <c r="H10" s="575">
        <v>0</v>
      </c>
      <c r="I10" s="575">
        <f t="shared" si="3"/>
        <v>0</v>
      </c>
      <c r="J10" s="575">
        <f t="shared" si="3"/>
        <v>0</v>
      </c>
      <c r="K10" s="575">
        <f t="shared" si="3"/>
        <v>0</v>
      </c>
      <c r="L10" s="575">
        <f t="shared" si="3"/>
        <v>0</v>
      </c>
      <c r="M10" s="575">
        <f t="shared" si="3"/>
        <v>0</v>
      </c>
      <c r="N10" s="575">
        <f t="shared" si="3"/>
        <v>0</v>
      </c>
      <c r="O10" s="575">
        <f>+N10</f>
        <v>0</v>
      </c>
      <c r="P10" s="575">
        <f t="shared" ref="P10:Z10" si="4">+O10</f>
        <v>0</v>
      </c>
      <c r="Q10" s="575">
        <f t="shared" si="4"/>
        <v>0</v>
      </c>
      <c r="R10" s="575">
        <f t="shared" si="4"/>
        <v>0</v>
      </c>
      <c r="S10" s="575">
        <f t="shared" si="4"/>
        <v>0</v>
      </c>
      <c r="T10" s="575">
        <f t="shared" si="4"/>
        <v>0</v>
      </c>
      <c r="U10" s="575">
        <f t="shared" si="4"/>
        <v>0</v>
      </c>
      <c r="V10" s="575">
        <f t="shared" si="4"/>
        <v>0</v>
      </c>
      <c r="W10" s="575">
        <f t="shared" si="4"/>
        <v>0</v>
      </c>
      <c r="X10" s="575">
        <f t="shared" si="4"/>
        <v>0</v>
      </c>
      <c r="Y10" s="575">
        <f t="shared" si="4"/>
        <v>0</v>
      </c>
      <c r="Z10" s="575">
        <f t="shared" si="4"/>
        <v>0</v>
      </c>
    </row>
    <row r="11" spans="2:75" x14ac:dyDescent="0.25">
      <c r="B11" s="755" t="s">
        <v>439</v>
      </c>
      <c r="C11" s="927"/>
      <c r="D11" s="927"/>
      <c r="E11" s="927"/>
      <c r="F11" s="927"/>
      <c r="G11" s="927"/>
      <c r="H11" s="927"/>
      <c r="I11" s="927"/>
      <c r="J11" s="927"/>
      <c r="K11" s="927"/>
      <c r="L11" s="927"/>
      <c r="M11" s="927"/>
      <c r="N11" s="927"/>
      <c r="O11" s="927"/>
      <c r="P11" s="927"/>
      <c r="Q11" s="927"/>
      <c r="R11" s="927"/>
      <c r="S11" s="927"/>
      <c r="T11" s="927"/>
      <c r="U11" s="927"/>
      <c r="V11" s="927"/>
      <c r="W11" s="927"/>
      <c r="X11" s="927"/>
      <c r="Y11" s="927"/>
      <c r="Z11" s="927"/>
      <c r="AA11" s="927"/>
      <c r="AB11" s="927"/>
      <c r="AC11" s="927"/>
      <c r="AD11" s="927"/>
      <c r="AE11" s="927"/>
      <c r="AF11" s="927"/>
      <c r="AG11" s="927"/>
      <c r="AH11" s="927"/>
      <c r="AI11" s="927"/>
      <c r="AJ11" s="927"/>
      <c r="AK11" s="927"/>
      <c r="AL11" s="927"/>
      <c r="AM11" s="927"/>
      <c r="AN11" s="927"/>
      <c r="AO11" s="927"/>
      <c r="AP11" s="927"/>
      <c r="AQ11" s="927"/>
      <c r="AR11" s="927"/>
      <c r="AS11" s="927"/>
      <c r="AT11" s="927"/>
      <c r="AU11" s="927"/>
      <c r="AV11" s="927"/>
      <c r="AW11" s="927"/>
      <c r="AX11" s="927"/>
      <c r="AY11" s="927"/>
      <c r="AZ11" s="927"/>
      <c r="BA11" s="927"/>
      <c r="BB11" s="927"/>
      <c r="BC11" s="927"/>
      <c r="BD11" s="927"/>
      <c r="BE11" s="927"/>
      <c r="BF11" s="927"/>
      <c r="BG11" s="927"/>
      <c r="BH11" s="927"/>
      <c r="BI11" s="927"/>
      <c r="BJ11" s="927"/>
      <c r="BK11" s="927"/>
      <c r="BL11" s="927"/>
      <c r="BM11" s="927"/>
      <c r="BN11" s="927"/>
      <c r="BO11" s="927"/>
      <c r="BP11" s="927"/>
      <c r="BQ11" s="927"/>
      <c r="BR11" s="927"/>
      <c r="BS11" s="927"/>
      <c r="BT11" s="927"/>
      <c r="BU11" s="927"/>
      <c r="BV11" s="927"/>
      <c r="BW11" s="927"/>
    </row>
    <row r="12" spans="2:75" x14ac:dyDescent="0.25">
      <c r="B12" s="988" t="s">
        <v>53</v>
      </c>
      <c r="C12" s="575">
        <v>0</v>
      </c>
      <c r="D12" s="575">
        <v>0</v>
      </c>
      <c r="E12" s="575">
        <v>0</v>
      </c>
      <c r="F12" s="575">
        <v>0</v>
      </c>
      <c r="G12" s="575">
        <v>0</v>
      </c>
      <c r="H12" s="575">
        <v>0</v>
      </c>
      <c r="I12" s="575">
        <v>0</v>
      </c>
      <c r="J12" s="575">
        <v>0</v>
      </c>
      <c r="K12" s="575">
        <v>0</v>
      </c>
      <c r="L12" s="575">
        <v>0</v>
      </c>
      <c r="M12" s="575">
        <v>0</v>
      </c>
      <c r="N12" s="575">
        <v>0</v>
      </c>
      <c r="O12" s="575">
        <v>0</v>
      </c>
      <c r="P12" s="575">
        <v>0</v>
      </c>
      <c r="Q12" s="575">
        <v>0</v>
      </c>
      <c r="R12" s="575">
        <v>0</v>
      </c>
      <c r="S12" s="575">
        <v>0</v>
      </c>
      <c r="T12" s="575">
        <v>0</v>
      </c>
      <c r="U12" s="575">
        <v>0</v>
      </c>
      <c r="V12" s="575">
        <v>0</v>
      </c>
      <c r="W12" s="575">
        <v>0</v>
      </c>
      <c r="X12" s="575">
        <v>0</v>
      </c>
      <c r="Y12" s="575">
        <v>0</v>
      </c>
      <c r="Z12" s="575">
        <v>0</v>
      </c>
    </row>
    <row r="13" spans="2:75" x14ac:dyDescent="0.25">
      <c r="B13" s="989" t="s">
        <v>54</v>
      </c>
      <c r="C13" s="575">
        <v>0</v>
      </c>
      <c r="D13" s="575">
        <v>0</v>
      </c>
      <c r="E13" s="575">
        <v>0</v>
      </c>
      <c r="F13" s="575">
        <v>0</v>
      </c>
      <c r="G13" s="575">
        <v>0</v>
      </c>
      <c r="H13" s="575">
        <v>0</v>
      </c>
      <c r="I13" s="575">
        <v>0</v>
      </c>
      <c r="J13" s="575">
        <v>0</v>
      </c>
      <c r="K13" s="575">
        <v>0</v>
      </c>
      <c r="L13" s="575">
        <v>0</v>
      </c>
      <c r="M13" s="575">
        <v>0</v>
      </c>
      <c r="N13" s="575">
        <v>0</v>
      </c>
      <c r="O13" s="575">
        <v>0</v>
      </c>
      <c r="P13" s="575">
        <v>0</v>
      </c>
      <c r="Q13" s="575">
        <v>0</v>
      </c>
      <c r="R13" s="575">
        <v>0</v>
      </c>
      <c r="S13" s="575">
        <v>0</v>
      </c>
      <c r="T13" s="575">
        <v>0</v>
      </c>
      <c r="U13" s="575">
        <v>0</v>
      </c>
      <c r="V13" s="575">
        <v>0</v>
      </c>
      <c r="W13" s="575">
        <v>0</v>
      </c>
      <c r="X13" s="575">
        <v>0</v>
      </c>
      <c r="Y13" s="575">
        <v>0</v>
      </c>
      <c r="Z13" s="575">
        <v>0</v>
      </c>
    </row>
    <row r="14" spans="2:75" ht="15.75" thickBot="1" x14ac:dyDescent="0.3">
      <c r="B14" s="892" t="s">
        <v>440</v>
      </c>
      <c r="C14" s="893">
        <f>SUM(C12:C13)</f>
        <v>0</v>
      </c>
      <c r="D14" s="893">
        <f t="shared" ref="D14:Z14" si="5">SUM(D12:D13)+C14</f>
        <v>0</v>
      </c>
      <c r="E14" s="893">
        <f t="shared" si="5"/>
        <v>0</v>
      </c>
      <c r="F14" s="893">
        <f t="shared" si="5"/>
        <v>0</v>
      </c>
      <c r="G14" s="893">
        <f t="shared" si="5"/>
        <v>0</v>
      </c>
      <c r="H14" s="893">
        <f t="shared" si="5"/>
        <v>0</v>
      </c>
      <c r="I14" s="893">
        <f t="shared" si="5"/>
        <v>0</v>
      </c>
      <c r="J14" s="893">
        <f t="shared" si="5"/>
        <v>0</v>
      </c>
      <c r="K14" s="893">
        <f t="shared" si="5"/>
        <v>0</v>
      </c>
      <c r="L14" s="893">
        <f t="shared" si="5"/>
        <v>0</v>
      </c>
      <c r="M14" s="893">
        <f t="shared" si="5"/>
        <v>0</v>
      </c>
      <c r="N14" s="893">
        <f t="shared" si="5"/>
        <v>0</v>
      </c>
      <c r="O14" s="894">
        <f t="shared" si="5"/>
        <v>0</v>
      </c>
      <c r="P14" s="894">
        <f t="shared" si="5"/>
        <v>0</v>
      </c>
      <c r="Q14" s="894">
        <f t="shared" si="5"/>
        <v>0</v>
      </c>
      <c r="R14" s="894">
        <f t="shared" si="5"/>
        <v>0</v>
      </c>
      <c r="S14" s="894">
        <f t="shared" si="5"/>
        <v>0</v>
      </c>
      <c r="T14" s="894">
        <f t="shared" si="5"/>
        <v>0</v>
      </c>
      <c r="U14" s="894">
        <f t="shared" si="5"/>
        <v>0</v>
      </c>
      <c r="V14" s="894">
        <f t="shared" si="5"/>
        <v>0</v>
      </c>
      <c r="W14" s="894">
        <f t="shared" si="5"/>
        <v>0</v>
      </c>
      <c r="X14" s="894">
        <f t="shared" si="5"/>
        <v>0</v>
      </c>
      <c r="Y14" s="894">
        <f t="shared" si="5"/>
        <v>0</v>
      </c>
      <c r="Z14" s="894">
        <f t="shared" si="5"/>
        <v>0</v>
      </c>
      <c r="AA14" s="894"/>
      <c r="AB14" s="894"/>
      <c r="AC14" s="894"/>
      <c r="AD14" s="894"/>
      <c r="AE14" s="894"/>
      <c r="AF14" s="894"/>
      <c r="AG14" s="894"/>
      <c r="AH14" s="894"/>
      <c r="AI14" s="894"/>
      <c r="AJ14" s="894"/>
      <c r="AK14" s="894"/>
      <c r="AL14" s="894"/>
      <c r="AM14" s="894"/>
      <c r="AN14" s="894"/>
      <c r="AO14" s="894"/>
      <c r="AP14" s="894"/>
      <c r="AQ14" s="894"/>
      <c r="AR14" s="894"/>
      <c r="AS14" s="894"/>
      <c r="AT14" s="894"/>
      <c r="AU14" s="894"/>
      <c r="AV14" s="894"/>
      <c r="AW14" s="894"/>
      <c r="AX14" s="894"/>
      <c r="AY14" s="894"/>
      <c r="AZ14" s="893"/>
      <c r="BA14" s="893"/>
      <c r="BB14" s="893"/>
      <c r="BC14" s="893"/>
      <c r="BD14" s="893"/>
      <c r="BE14" s="893"/>
      <c r="BF14" s="893"/>
      <c r="BG14" s="893"/>
      <c r="BH14" s="893"/>
      <c r="BI14" s="893"/>
      <c r="BJ14" s="893"/>
      <c r="BK14" s="893"/>
      <c r="BL14" s="893"/>
      <c r="BM14" s="893"/>
      <c r="BN14" s="893"/>
      <c r="BO14" s="893"/>
      <c r="BP14" s="893"/>
      <c r="BQ14" s="893"/>
      <c r="BR14" s="893"/>
      <c r="BS14" s="893"/>
      <c r="BT14" s="893"/>
      <c r="BU14" s="893"/>
      <c r="BV14" s="893"/>
      <c r="BW14" s="893"/>
    </row>
    <row r="15" spans="2:75" ht="15.75" thickTop="1" x14ac:dyDescent="0.25">
      <c r="C15" s="575"/>
      <c r="D15" s="575"/>
      <c r="E15" s="575"/>
      <c r="F15" s="575"/>
      <c r="G15" s="575"/>
      <c r="H15" s="575"/>
      <c r="I15" s="575"/>
      <c r="J15" s="575"/>
      <c r="K15" s="575"/>
      <c r="L15" s="575"/>
      <c r="M15" s="575"/>
      <c r="N15" s="575"/>
      <c r="O15" s="575"/>
      <c r="P15" s="575"/>
      <c r="Q15" s="575"/>
      <c r="R15" s="575"/>
      <c r="S15" s="575"/>
      <c r="T15" s="575"/>
      <c r="U15" s="575"/>
      <c r="V15" s="575"/>
      <c r="W15" s="575"/>
      <c r="X15" s="575"/>
      <c r="Y15" s="575"/>
      <c r="Z15" s="575"/>
    </row>
    <row r="16" spans="2:75" s="223" customFormat="1" ht="15.75" thickBot="1" x14ac:dyDescent="0.3">
      <c r="B16" s="892" t="s">
        <v>55</v>
      </c>
      <c r="C16" s="893">
        <v>0</v>
      </c>
      <c r="D16" s="893">
        <v>0</v>
      </c>
      <c r="E16" s="893">
        <v>0</v>
      </c>
      <c r="F16" s="893">
        <v>0</v>
      </c>
      <c r="G16" s="893">
        <f>F16+SUM(G12:G13)</f>
        <v>0</v>
      </c>
      <c r="H16" s="893">
        <f>G16+SUM(H12:H13)</f>
        <v>0</v>
      </c>
      <c r="I16" s="893">
        <f>H16+SUM(I12:I13)</f>
        <v>0</v>
      </c>
      <c r="J16" s="893">
        <f>I16+SUM(J12:J13)</f>
        <v>0</v>
      </c>
      <c r="K16" s="893">
        <v>0</v>
      </c>
      <c r="L16" s="893">
        <f t="shared" ref="L16:Z16" si="6">K16+SUM(L12:L13)</f>
        <v>0</v>
      </c>
      <c r="M16" s="893">
        <f t="shared" si="6"/>
        <v>0</v>
      </c>
      <c r="N16" s="893">
        <f t="shared" si="6"/>
        <v>0</v>
      </c>
      <c r="O16" s="894">
        <f t="shared" si="6"/>
        <v>0</v>
      </c>
      <c r="P16" s="894">
        <f t="shared" si="6"/>
        <v>0</v>
      </c>
      <c r="Q16" s="894">
        <f t="shared" si="6"/>
        <v>0</v>
      </c>
      <c r="R16" s="894">
        <f t="shared" si="6"/>
        <v>0</v>
      </c>
      <c r="S16" s="894">
        <f t="shared" si="6"/>
        <v>0</v>
      </c>
      <c r="T16" s="894">
        <f t="shared" si="6"/>
        <v>0</v>
      </c>
      <c r="U16" s="894">
        <f t="shared" si="6"/>
        <v>0</v>
      </c>
      <c r="V16" s="894">
        <f t="shared" si="6"/>
        <v>0</v>
      </c>
      <c r="W16" s="894">
        <f t="shared" si="6"/>
        <v>0</v>
      </c>
      <c r="X16" s="894">
        <f t="shared" si="6"/>
        <v>0</v>
      </c>
      <c r="Y16" s="894">
        <f t="shared" si="6"/>
        <v>0</v>
      </c>
      <c r="Z16" s="894">
        <f t="shared" si="6"/>
        <v>0</v>
      </c>
      <c r="AA16" s="894"/>
      <c r="AB16" s="894"/>
      <c r="AC16" s="894"/>
      <c r="AD16" s="894"/>
      <c r="AE16" s="894"/>
      <c r="AF16" s="894"/>
      <c r="AG16" s="894"/>
      <c r="AH16" s="894"/>
      <c r="AI16" s="894"/>
      <c r="AJ16" s="894"/>
      <c r="AK16" s="894"/>
      <c r="AL16" s="894"/>
      <c r="AM16" s="894"/>
      <c r="AN16" s="894"/>
      <c r="AO16" s="894"/>
      <c r="AP16" s="894"/>
      <c r="AQ16" s="894"/>
      <c r="AR16" s="894"/>
      <c r="AS16" s="894"/>
      <c r="AT16" s="894"/>
      <c r="AU16" s="894"/>
      <c r="AV16" s="894"/>
      <c r="AW16" s="894"/>
      <c r="AX16" s="894"/>
      <c r="AY16" s="894"/>
      <c r="AZ16" s="893"/>
      <c r="BA16" s="893"/>
      <c r="BB16" s="893"/>
      <c r="BC16" s="893"/>
      <c r="BD16" s="893"/>
      <c r="BE16" s="893"/>
      <c r="BF16" s="893"/>
      <c r="BG16" s="893"/>
      <c r="BH16" s="893"/>
      <c r="BI16" s="893"/>
      <c r="BJ16" s="893"/>
      <c r="BK16" s="893"/>
      <c r="BL16" s="893"/>
      <c r="BM16" s="893"/>
      <c r="BN16" s="893"/>
      <c r="BO16" s="893"/>
      <c r="BP16" s="893"/>
      <c r="BQ16" s="893"/>
      <c r="BR16" s="893"/>
      <c r="BS16" s="893"/>
      <c r="BT16" s="893"/>
      <c r="BU16" s="893"/>
      <c r="BV16" s="893"/>
      <c r="BW16" s="893"/>
    </row>
    <row r="17" spans="2:75" ht="15.75" thickTop="1" x14ac:dyDescent="0.25">
      <c r="C17" s="575"/>
      <c r="D17" s="575"/>
      <c r="E17" s="575"/>
      <c r="F17" s="575"/>
      <c r="G17" s="575"/>
      <c r="H17" s="575"/>
      <c r="I17" s="575"/>
      <c r="J17" s="575"/>
      <c r="K17" s="575"/>
      <c r="L17" s="575"/>
      <c r="M17" s="575"/>
      <c r="N17" s="575"/>
      <c r="O17" s="575"/>
      <c r="P17" s="575"/>
      <c r="Q17" s="575"/>
      <c r="R17" s="575"/>
      <c r="S17" s="575"/>
      <c r="T17" s="575"/>
      <c r="U17" s="575"/>
      <c r="V17" s="575"/>
      <c r="W17" s="575"/>
      <c r="X17" s="575"/>
      <c r="Y17" s="575"/>
      <c r="Z17" s="575"/>
    </row>
    <row r="18" spans="2:75" x14ac:dyDescent="0.25">
      <c r="B18" s="570" t="s">
        <v>441</v>
      </c>
      <c r="C18" s="575">
        <f t="shared" ref="C18:T18" si="7">+C14/36</f>
        <v>0</v>
      </c>
      <c r="D18" s="575">
        <f t="shared" si="7"/>
        <v>0</v>
      </c>
      <c r="E18" s="575">
        <f t="shared" si="7"/>
        <v>0</v>
      </c>
      <c r="F18" s="575">
        <f t="shared" si="7"/>
        <v>0</v>
      </c>
      <c r="G18" s="575">
        <f t="shared" si="7"/>
        <v>0</v>
      </c>
      <c r="H18" s="575">
        <f t="shared" si="7"/>
        <v>0</v>
      </c>
      <c r="I18" s="575">
        <f t="shared" si="7"/>
        <v>0</v>
      </c>
      <c r="J18" s="575">
        <f t="shared" si="7"/>
        <v>0</v>
      </c>
      <c r="K18" s="575">
        <f t="shared" si="7"/>
        <v>0</v>
      </c>
      <c r="L18" s="575">
        <f t="shared" si="7"/>
        <v>0</v>
      </c>
      <c r="M18" s="575">
        <f t="shared" si="7"/>
        <v>0</v>
      </c>
      <c r="N18" s="575">
        <f t="shared" si="7"/>
        <v>0</v>
      </c>
      <c r="O18" s="575">
        <f t="shared" si="7"/>
        <v>0</v>
      </c>
      <c r="P18" s="575">
        <f t="shared" si="7"/>
        <v>0</v>
      </c>
      <c r="Q18" s="575">
        <f t="shared" si="7"/>
        <v>0</v>
      </c>
      <c r="R18" s="575">
        <f t="shared" si="7"/>
        <v>0</v>
      </c>
      <c r="S18" s="575">
        <f t="shared" si="7"/>
        <v>0</v>
      </c>
      <c r="T18" s="575">
        <f t="shared" si="7"/>
        <v>0</v>
      </c>
      <c r="U18" s="575">
        <v>12000</v>
      </c>
      <c r="V18" s="575">
        <v>12000</v>
      </c>
      <c r="W18" s="575">
        <v>12000</v>
      </c>
      <c r="X18" s="575">
        <v>12000</v>
      </c>
      <c r="Y18" s="575">
        <v>12275.999999999998</v>
      </c>
      <c r="Z18" s="575">
        <v>12000</v>
      </c>
      <c r="AA18" s="570">
        <v>12847.190003999995</v>
      </c>
      <c r="AB18" s="570">
        <v>15000</v>
      </c>
      <c r="AC18" s="570">
        <f>AB18*1.03</f>
        <v>15450</v>
      </c>
      <c r="AD18" s="570">
        <f t="shared" ref="AD18:AY18" si="8">AC18*1.03</f>
        <v>15913.5</v>
      </c>
      <c r="AE18" s="570">
        <f t="shared" si="8"/>
        <v>16390.904999999999</v>
      </c>
      <c r="AF18" s="570">
        <f t="shared" si="8"/>
        <v>16882.632149999998</v>
      </c>
      <c r="AG18" s="570">
        <f t="shared" si="8"/>
        <v>17389.1111145</v>
      </c>
      <c r="AH18" s="570">
        <f t="shared" si="8"/>
        <v>17910.784447934999</v>
      </c>
      <c r="AI18" s="570">
        <f t="shared" si="8"/>
        <v>18448.10798137305</v>
      </c>
      <c r="AJ18" s="570">
        <f t="shared" si="8"/>
        <v>19001.551220814243</v>
      </c>
      <c r="AK18" s="570">
        <f t="shared" si="8"/>
        <v>19571.597757438671</v>
      </c>
      <c r="AL18" s="570">
        <f t="shared" si="8"/>
        <v>20158.745690161832</v>
      </c>
      <c r="AM18" s="570">
        <f t="shared" si="8"/>
        <v>20763.508060866687</v>
      </c>
      <c r="AN18" s="570">
        <f t="shared" si="8"/>
        <v>21386.413302692687</v>
      </c>
      <c r="AO18" s="570">
        <f t="shared" si="8"/>
        <v>22028.005701773469</v>
      </c>
      <c r="AP18" s="570">
        <f t="shared" si="8"/>
        <v>22688.845872826674</v>
      </c>
      <c r="AQ18" s="570">
        <f t="shared" si="8"/>
        <v>23369.511249011473</v>
      </c>
      <c r="AR18" s="570">
        <f t="shared" si="8"/>
        <v>24070.596586481817</v>
      </c>
      <c r="AS18" s="570">
        <f t="shared" si="8"/>
        <v>24792.714484076274</v>
      </c>
      <c r="AT18" s="570">
        <f t="shared" si="8"/>
        <v>25536.495918598564</v>
      </c>
      <c r="AU18" s="570">
        <f t="shared" si="8"/>
        <v>26302.590796156521</v>
      </c>
      <c r="AV18" s="570">
        <f t="shared" si="8"/>
        <v>27091.668520041218</v>
      </c>
      <c r="AW18" s="570">
        <f t="shared" si="8"/>
        <v>27904.418575642456</v>
      </c>
      <c r="AX18" s="570">
        <f t="shared" si="8"/>
        <v>28741.551132911729</v>
      </c>
      <c r="AY18" s="570">
        <f t="shared" si="8"/>
        <v>29603.797666899081</v>
      </c>
    </row>
    <row r="19" spans="2:75" s="223" customFormat="1" ht="15.75" thickBot="1" x14ac:dyDescent="0.3">
      <c r="B19" s="892" t="s">
        <v>56</v>
      </c>
      <c r="C19" s="893">
        <f t="shared" ref="C19:S19" si="9">+C10+C18</f>
        <v>0</v>
      </c>
      <c r="D19" s="893">
        <f t="shared" si="9"/>
        <v>0</v>
      </c>
      <c r="E19" s="893">
        <f t="shared" si="9"/>
        <v>0</v>
      </c>
      <c r="F19" s="893">
        <f t="shared" si="9"/>
        <v>0</v>
      </c>
      <c r="G19" s="893">
        <f t="shared" si="9"/>
        <v>0</v>
      </c>
      <c r="H19" s="893">
        <f t="shared" si="9"/>
        <v>0</v>
      </c>
      <c r="I19" s="893">
        <f t="shared" si="9"/>
        <v>0</v>
      </c>
      <c r="J19" s="893">
        <f t="shared" si="9"/>
        <v>0</v>
      </c>
      <c r="K19" s="893">
        <f t="shared" si="9"/>
        <v>0</v>
      </c>
      <c r="L19" s="893">
        <f t="shared" si="9"/>
        <v>0</v>
      </c>
      <c r="M19" s="893">
        <f t="shared" si="9"/>
        <v>0</v>
      </c>
      <c r="N19" s="893">
        <f t="shared" si="9"/>
        <v>0</v>
      </c>
      <c r="O19" s="894">
        <f t="shared" si="9"/>
        <v>0</v>
      </c>
      <c r="P19" s="894">
        <f t="shared" si="9"/>
        <v>0</v>
      </c>
      <c r="Q19" s="894">
        <f t="shared" si="9"/>
        <v>0</v>
      </c>
      <c r="R19" s="894">
        <f t="shared" si="9"/>
        <v>0</v>
      </c>
      <c r="S19" s="894">
        <f t="shared" si="9"/>
        <v>0</v>
      </c>
      <c r="T19" s="894">
        <f t="shared" ref="T19:AY19" si="10">+T10+T18</f>
        <v>0</v>
      </c>
      <c r="U19" s="894">
        <f t="shared" si="10"/>
        <v>12000</v>
      </c>
      <c r="V19" s="894">
        <f t="shared" si="10"/>
        <v>12000</v>
      </c>
      <c r="W19" s="894">
        <f t="shared" si="10"/>
        <v>12000</v>
      </c>
      <c r="X19" s="894">
        <f t="shared" si="10"/>
        <v>12000</v>
      </c>
      <c r="Y19" s="894">
        <f t="shared" si="10"/>
        <v>12275.999999999998</v>
      </c>
      <c r="Z19" s="894">
        <f t="shared" si="10"/>
        <v>12000</v>
      </c>
      <c r="AA19" s="894">
        <f t="shared" si="10"/>
        <v>12847.190003999995</v>
      </c>
      <c r="AB19" s="894">
        <f t="shared" si="10"/>
        <v>15000</v>
      </c>
      <c r="AC19" s="894">
        <f t="shared" si="10"/>
        <v>15450</v>
      </c>
      <c r="AD19" s="894">
        <f t="shared" si="10"/>
        <v>15913.5</v>
      </c>
      <c r="AE19" s="894">
        <f t="shared" si="10"/>
        <v>16390.904999999999</v>
      </c>
      <c r="AF19" s="894">
        <f t="shared" si="10"/>
        <v>16882.632149999998</v>
      </c>
      <c r="AG19" s="894">
        <f t="shared" si="10"/>
        <v>17389.1111145</v>
      </c>
      <c r="AH19" s="894">
        <f t="shared" si="10"/>
        <v>17910.784447934999</v>
      </c>
      <c r="AI19" s="894">
        <f t="shared" si="10"/>
        <v>18448.10798137305</v>
      </c>
      <c r="AJ19" s="894">
        <f t="shared" si="10"/>
        <v>19001.551220814243</v>
      </c>
      <c r="AK19" s="894">
        <f t="shared" si="10"/>
        <v>19571.597757438671</v>
      </c>
      <c r="AL19" s="894">
        <f t="shared" si="10"/>
        <v>20158.745690161832</v>
      </c>
      <c r="AM19" s="894">
        <f t="shared" si="10"/>
        <v>20763.508060866687</v>
      </c>
      <c r="AN19" s="894">
        <f t="shared" si="10"/>
        <v>21386.413302692687</v>
      </c>
      <c r="AO19" s="894">
        <f t="shared" si="10"/>
        <v>22028.005701773469</v>
      </c>
      <c r="AP19" s="894">
        <f t="shared" si="10"/>
        <v>22688.845872826674</v>
      </c>
      <c r="AQ19" s="894">
        <f t="shared" si="10"/>
        <v>23369.511249011473</v>
      </c>
      <c r="AR19" s="894">
        <f t="shared" si="10"/>
        <v>24070.596586481817</v>
      </c>
      <c r="AS19" s="894">
        <f t="shared" si="10"/>
        <v>24792.714484076274</v>
      </c>
      <c r="AT19" s="894">
        <f t="shared" si="10"/>
        <v>25536.495918598564</v>
      </c>
      <c r="AU19" s="894">
        <f t="shared" si="10"/>
        <v>26302.590796156521</v>
      </c>
      <c r="AV19" s="894">
        <f t="shared" si="10"/>
        <v>27091.668520041218</v>
      </c>
      <c r="AW19" s="894">
        <f t="shared" si="10"/>
        <v>27904.418575642456</v>
      </c>
      <c r="AX19" s="894">
        <f t="shared" si="10"/>
        <v>28741.551132911729</v>
      </c>
      <c r="AY19" s="894">
        <f t="shared" si="10"/>
        <v>29603.797666899081</v>
      </c>
      <c r="AZ19" s="893"/>
      <c r="BA19" s="893"/>
      <c r="BB19" s="893"/>
      <c r="BC19" s="893"/>
      <c r="BD19" s="893"/>
      <c r="BE19" s="893"/>
      <c r="BF19" s="893"/>
      <c r="BG19" s="893"/>
      <c r="BH19" s="893"/>
      <c r="BI19" s="893"/>
      <c r="BJ19" s="893"/>
      <c r="BK19" s="893"/>
      <c r="BL19" s="893"/>
      <c r="BM19" s="893"/>
      <c r="BN19" s="893"/>
      <c r="BO19" s="893"/>
      <c r="BP19" s="893"/>
      <c r="BQ19" s="893"/>
      <c r="BR19" s="893"/>
      <c r="BS19" s="893"/>
      <c r="BT19" s="893"/>
      <c r="BU19" s="893"/>
      <c r="BV19" s="893"/>
      <c r="BW19" s="893"/>
    </row>
    <row r="20" spans="2:75" ht="15.75" thickTop="1" x14ac:dyDescent="0.25"/>
    <row r="21" spans="2:75" x14ac:dyDescent="0.25">
      <c r="B21" s="755" t="s">
        <v>57</v>
      </c>
      <c r="C21" s="927"/>
      <c r="D21" s="927"/>
      <c r="E21" s="927"/>
      <c r="F21" s="927"/>
      <c r="G21" s="927"/>
      <c r="H21" s="927"/>
      <c r="I21" s="927"/>
      <c r="J21" s="927"/>
      <c r="K21" s="927"/>
      <c r="L21" s="927"/>
      <c r="M21" s="927"/>
      <c r="N21" s="927"/>
      <c r="O21" s="927"/>
      <c r="P21" s="927"/>
      <c r="Q21" s="927"/>
      <c r="R21" s="927"/>
      <c r="S21" s="927"/>
      <c r="T21" s="927"/>
      <c r="U21" s="927"/>
      <c r="V21" s="927"/>
      <c r="W21" s="927"/>
      <c r="X21" s="927"/>
      <c r="Y21" s="927"/>
      <c r="Z21" s="927"/>
      <c r="AA21" s="927"/>
      <c r="AB21" s="927"/>
      <c r="AC21" s="927"/>
      <c r="AD21" s="927"/>
      <c r="AE21" s="927"/>
      <c r="AF21" s="927"/>
      <c r="AG21" s="927"/>
      <c r="AH21" s="927"/>
      <c r="AI21" s="927"/>
      <c r="AJ21" s="927"/>
      <c r="AK21" s="927"/>
      <c r="AL21" s="927"/>
      <c r="AM21" s="927"/>
      <c r="AN21" s="927"/>
      <c r="AO21" s="927"/>
      <c r="AP21" s="927"/>
      <c r="AQ21" s="927"/>
      <c r="AR21" s="927"/>
      <c r="AS21" s="927"/>
      <c r="AT21" s="927"/>
      <c r="AU21" s="927"/>
      <c r="AV21" s="927"/>
      <c r="AW21" s="927"/>
      <c r="AX21" s="927"/>
      <c r="AY21" s="927"/>
      <c r="AZ21" s="927"/>
      <c r="BA21" s="927"/>
      <c r="BB21" s="927"/>
      <c r="BC21" s="927"/>
      <c r="BD21" s="927"/>
      <c r="BE21" s="927"/>
      <c r="BF21" s="927"/>
      <c r="BG21" s="927"/>
      <c r="BH21" s="927"/>
      <c r="BI21" s="927"/>
      <c r="BJ21" s="927"/>
      <c r="BK21" s="927"/>
      <c r="BL21" s="927"/>
      <c r="BM21" s="927"/>
      <c r="BN21" s="927"/>
      <c r="BO21" s="927"/>
      <c r="BP21" s="927"/>
      <c r="BQ21" s="927"/>
      <c r="BR21" s="927"/>
      <c r="BS21" s="927"/>
      <c r="BT21" s="927"/>
      <c r="BU21" s="927"/>
      <c r="BV21" s="927"/>
      <c r="BW21" s="927"/>
    </row>
    <row r="22" spans="2:75" x14ac:dyDescent="0.25">
      <c r="B22" s="988" t="s">
        <v>334</v>
      </c>
      <c r="C22" s="575">
        <v>0</v>
      </c>
      <c r="D22" s="575">
        <v>0</v>
      </c>
      <c r="E22" s="575">
        <v>0</v>
      </c>
      <c r="F22" s="575">
        <v>0</v>
      </c>
      <c r="G22" s="575">
        <v>0</v>
      </c>
      <c r="H22" s="575">
        <v>0</v>
      </c>
      <c r="I22" s="575">
        <v>0</v>
      </c>
      <c r="J22" s="575">
        <v>0</v>
      </c>
      <c r="K22" s="575">
        <v>0</v>
      </c>
      <c r="L22" s="575">
        <v>0</v>
      </c>
      <c r="M22" s="575">
        <v>0</v>
      </c>
      <c r="N22" s="575">
        <v>0</v>
      </c>
      <c r="O22" s="575">
        <v>0</v>
      </c>
      <c r="P22" s="575">
        <v>0</v>
      </c>
      <c r="Q22" s="575">
        <v>0</v>
      </c>
      <c r="R22" s="575">
        <v>0</v>
      </c>
      <c r="S22" s="575">
        <v>0</v>
      </c>
      <c r="T22" s="575">
        <v>0</v>
      </c>
      <c r="U22" s="575">
        <v>0</v>
      </c>
      <c r="V22" s="575">
        <v>0</v>
      </c>
      <c r="W22" s="575">
        <v>0</v>
      </c>
      <c r="X22" s="575">
        <v>0</v>
      </c>
      <c r="Y22" s="575">
        <v>0</v>
      </c>
      <c r="Z22" s="575">
        <v>0</v>
      </c>
    </row>
    <row r="23" spans="2:75" x14ac:dyDescent="0.25">
      <c r="B23" s="989" t="s">
        <v>437</v>
      </c>
      <c r="C23" s="575">
        <v>0</v>
      </c>
      <c r="D23" s="575">
        <v>0</v>
      </c>
      <c r="E23" s="575">
        <v>0</v>
      </c>
      <c r="F23" s="575">
        <v>0</v>
      </c>
      <c r="G23" s="575">
        <v>0</v>
      </c>
      <c r="H23" s="575">
        <v>0</v>
      </c>
      <c r="I23" s="575">
        <v>0</v>
      </c>
      <c r="J23" s="575">
        <v>0</v>
      </c>
      <c r="K23" s="575">
        <v>0</v>
      </c>
      <c r="L23" s="575">
        <v>0</v>
      </c>
      <c r="M23" s="575">
        <v>0</v>
      </c>
      <c r="N23" s="575">
        <v>0</v>
      </c>
      <c r="O23" s="575">
        <v>0</v>
      </c>
      <c r="P23" s="575">
        <v>0</v>
      </c>
      <c r="Q23" s="575">
        <v>0</v>
      </c>
      <c r="R23" s="575">
        <v>0</v>
      </c>
      <c r="S23" s="575">
        <v>0</v>
      </c>
      <c r="T23" s="575">
        <v>0</v>
      </c>
      <c r="U23" s="575">
        <v>0</v>
      </c>
      <c r="V23" s="575">
        <v>0</v>
      </c>
      <c r="W23" s="575">
        <v>0</v>
      </c>
      <c r="X23" s="575">
        <v>0</v>
      </c>
      <c r="Y23" s="575">
        <v>0</v>
      </c>
      <c r="Z23" s="575">
        <v>0</v>
      </c>
    </row>
    <row r="24" spans="2:75" x14ac:dyDescent="0.25">
      <c r="B24" s="988" t="s">
        <v>336</v>
      </c>
      <c r="C24" s="575">
        <v>0</v>
      </c>
      <c r="D24" s="575">
        <v>0</v>
      </c>
      <c r="E24" s="575">
        <v>0</v>
      </c>
      <c r="F24" s="575">
        <v>0</v>
      </c>
      <c r="G24" s="575">
        <v>0</v>
      </c>
      <c r="H24" s="575">
        <v>0</v>
      </c>
      <c r="I24" s="575">
        <v>0</v>
      </c>
      <c r="J24" s="575">
        <v>0</v>
      </c>
      <c r="K24" s="575">
        <v>0</v>
      </c>
      <c r="L24" s="575">
        <v>0</v>
      </c>
      <c r="M24" s="575">
        <v>0</v>
      </c>
      <c r="N24" s="575">
        <v>0</v>
      </c>
      <c r="O24" s="575">
        <v>0</v>
      </c>
      <c r="P24" s="575">
        <v>0</v>
      </c>
      <c r="Q24" s="575">
        <v>0</v>
      </c>
      <c r="R24" s="575">
        <v>0</v>
      </c>
      <c r="S24" s="575">
        <v>0</v>
      </c>
      <c r="T24" s="575">
        <v>0</v>
      </c>
      <c r="U24" s="575">
        <v>0</v>
      </c>
      <c r="V24" s="575">
        <v>0</v>
      </c>
      <c r="W24" s="575">
        <v>0</v>
      </c>
      <c r="X24" s="575">
        <v>0</v>
      </c>
      <c r="Y24" s="575">
        <v>0</v>
      </c>
      <c r="Z24" s="575">
        <v>0</v>
      </c>
    </row>
    <row r="25" spans="2:75" ht="15.75" thickBot="1" x14ac:dyDescent="0.3">
      <c r="B25" s="892" t="s">
        <v>443</v>
      </c>
      <c r="C25" s="893">
        <f t="shared" ref="C25:Z25" si="11">SUM(C22:C24)</f>
        <v>0</v>
      </c>
      <c r="D25" s="893">
        <f t="shared" si="11"/>
        <v>0</v>
      </c>
      <c r="E25" s="893">
        <f t="shared" si="11"/>
        <v>0</v>
      </c>
      <c r="F25" s="893">
        <f t="shared" si="11"/>
        <v>0</v>
      </c>
      <c r="G25" s="893">
        <f t="shared" si="11"/>
        <v>0</v>
      </c>
      <c r="H25" s="893">
        <f t="shared" si="11"/>
        <v>0</v>
      </c>
      <c r="I25" s="893">
        <f t="shared" si="11"/>
        <v>0</v>
      </c>
      <c r="J25" s="893">
        <f t="shared" si="11"/>
        <v>0</v>
      </c>
      <c r="K25" s="893">
        <f t="shared" si="11"/>
        <v>0</v>
      </c>
      <c r="L25" s="893">
        <f t="shared" si="11"/>
        <v>0</v>
      </c>
      <c r="M25" s="893">
        <f t="shared" si="11"/>
        <v>0</v>
      </c>
      <c r="N25" s="893">
        <f t="shared" si="11"/>
        <v>0</v>
      </c>
      <c r="O25" s="894">
        <f t="shared" si="11"/>
        <v>0</v>
      </c>
      <c r="P25" s="894">
        <f t="shared" si="11"/>
        <v>0</v>
      </c>
      <c r="Q25" s="894">
        <f t="shared" si="11"/>
        <v>0</v>
      </c>
      <c r="R25" s="894">
        <f t="shared" si="11"/>
        <v>0</v>
      </c>
      <c r="S25" s="894">
        <f t="shared" si="11"/>
        <v>0</v>
      </c>
      <c r="T25" s="894">
        <f t="shared" si="11"/>
        <v>0</v>
      </c>
      <c r="U25" s="894">
        <f t="shared" si="11"/>
        <v>0</v>
      </c>
      <c r="V25" s="894">
        <f t="shared" si="11"/>
        <v>0</v>
      </c>
      <c r="W25" s="894">
        <f t="shared" si="11"/>
        <v>0</v>
      </c>
      <c r="X25" s="894">
        <f t="shared" si="11"/>
        <v>0</v>
      </c>
      <c r="Y25" s="893">
        <f t="shared" si="11"/>
        <v>0</v>
      </c>
      <c r="Z25" s="893">
        <f t="shared" si="11"/>
        <v>0</v>
      </c>
      <c r="AA25" s="893"/>
      <c r="AB25" s="893"/>
      <c r="AC25" s="893"/>
      <c r="AD25" s="893"/>
      <c r="AE25" s="893"/>
      <c r="AF25" s="893"/>
      <c r="AG25" s="893"/>
      <c r="AH25" s="893"/>
      <c r="AI25" s="893"/>
      <c r="AJ25" s="893"/>
      <c r="AK25" s="893"/>
      <c r="AL25" s="893"/>
      <c r="AM25" s="893"/>
      <c r="AN25" s="893"/>
      <c r="AO25" s="893"/>
      <c r="AP25" s="893"/>
      <c r="AQ25" s="893"/>
      <c r="AR25" s="893"/>
      <c r="AS25" s="893"/>
      <c r="AT25" s="893"/>
      <c r="AU25" s="893"/>
      <c r="AV25" s="893"/>
      <c r="AW25" s="893"/>
      <c r="AX25" s="893"/>
      <c r="AY25" s="893"/>
      <c r="AZ25" s="893"/>
      <c r="BA25" s="893"/>
      <c r="BB25" s="893"/>
      <c r="BC25" s="893"/>
      <c r="BD25" s="893"/>
      <c r="BE25" s="893"/>
      <c r="BF25" s="893"/>
      <c r="BG25" s="893"/>
      <c r="BH25" s="893"/>
      <c r="BI25" s="893"/>
      <c r="BJ25" s="893"/>
      <c r="BK25" s="893"/>
      <c r="BL25" s="893"/>
      <c r="BM25" s="893"/>
      <c r="BN25" s="893"/>
      <c r="BO25" s="893"/>
      <c r="BP25" s="893"/>
      <c r="BQ25" s="893"/>
      <c r="BR25" s="893"/>
      <c r="BS25" s="893"/>
      <c r="BT25" s="893"/>
      <c r="BU25" s="893"/>
      <c r="BV25" s="893"/>
      <c r="BW25" s="893"/>
    </row>
    <row r="26" spans="2:75" ht="15.75" thickTop="1" x14ac:dyDescent="0.25">
      <c r="C26" s="575"/>
      <c r="D26" s="575"/>
      <c r="E26" s="575"/>
      <c r="F26" s="575"/>
      <c r="G26" s="575"/>
      <c r="H26" s="575"/>
      <c r="I26" s="575"/>
      <c r="J26" s="575"/>
      <c r="K26" s="575"/>
      <c r="L26" s="575"/>
      <c r="M26" s="575"/>
      <c r="N26" s="575"/>
      <c r="O26" s="575"/>
      <c r="P26" s="575"/>
      <c r="Q26" s="575"/>
      <c r="R26" s="575"/>
      <c r="S26" s="575"/>
      <c r="T26" s="575"/>
      <c r="U26" s="575"/>
      <c r="V26" s="575"/>
      <c r="W26" s="575"/>
      <c r="X26" s="575"/>
      <c r="Y26" s="575"/>
      <c r="Z26" s="575"/>
    </row>
    <row r="27" spans="2:75" x14ac:dyDescent="0.25">
      <c r="B27" s="755" t="s">
        <v>58</v>
      </c>
      <c r="C27" s="927"/>
      <c r="D27" s="927"/>
      <c r="E27" s="927"/>
      <c r="F27" s="927"/>
      <c r="G27" s="927"/>
      <c r="H27" s="927"/>
      <c r="I27" s="927"/>
      <c r="J27" s="927"/>
      <c r="K27" s="927"/>
      <c r="L27" s="927"/>
      <c r="M27" s="927"/>
      <c r="N27" s="927"/>
      <c r="O27" s="927"/>
      <c r="P27" s="927"/>
      <c r="Q27" s="927"/>
      <c r="R27" s="927"/>
      <c r="S27" s="927"/>
      <c r="T27" s="927"/>
      <c r="U27" s="927"/>
      <c r="V27" s="927"/>
      <c r="W27" s="927"/>
      <c r="X27" s="927"/>
      <c r="Y27" s="927"/>
      <c r="Z27" s="927"/>
      <c r="AA27" s="927"/>
      <c r="AB27" s="927"/>
      <c r="AC27" s="927"/>
      <c r="AD27" s="927"/>
      <c r="AE27" s="927"/>
      <c r="AF27" s="927"/>
      <c r="AG27" s="927"/>
      <c r="AH27" s="927"/>
      <c r="AI27" s="927"/>
      <c r="AJ27" s="927"/>
      <c r="AK27" s="927"/>
      <c r="AL27" s="927"/>
      <c r="AM27" s="927"/>
      <c r="AN27" s="927"/>
      <c r="AO27" s="927"/>
      <c r="AP27" s="927"/>
      <c r="AQ27" s="927"/>
      <c r="AR27" s="927"/>
      <c r="AS27" s="927"/>
      <c r="AT27" s="927"/>
      <c r="AU27" s="927"/>
      <c r="AV27" s="927"/>
      <c r="AW27" s="927"/>
      <c r="AX27" s="927"/>
      <c r="AY27" s="927"/>
      <c r="AZ27" s="927"/>
      <c r="BA27" s="927"/>
      <c r="BB27" s="927"/>
      <c r="BC27" s="927"/>
      <c r="BD27" s="927"/>
      <c r="BE27" s="927"/>
      <c r="BF27" s="927"/>
      <c r="BG27" s="927"/>
      <c r="BH27" s="927"/>
      <c r="BI27" s="927"/>
      <c r="BJ27" s="927"/>
      <c r="BK27" s="927"/>
      <c r="BL27" s="927"/>
      <c r="BM27" s="927"/>
      <c r="BN27" s="927"/>
      <c r="BO27" s="927"/>
      <c r="BP27" s="927"/>
      <c r="BQ27" s="927"/>
      <c r="BR27" s="927"/>
      <c r="BS27" s="927"/>
      <c r="BT27" s="927"/>
      <c r="BU27" s="927"/>
      <c r="BV27" s="927"/>
      <c r="BW27" s="927"/>
    </row>
    <row r="28" spans="2:75" x14ac:dyDescent="0.25">
      <c r="B28" s="988" t="s">
        <v>334</v>
      </c>
      <c r="C28" s="575">
        <v>0</v>
      </c>
      <c r="D28" s="575">
        <v>0</v>
      </c>
      <c r="E28" s="575">
        <v>0</v>
      </c>
      <c r="F28" s="575">
        <v>0</v>
      </c>
      <c r="G28" s="575">
        <v>0</v>
      </c>
      <c r="H28" s="575">
        <v>0</v>
      </c>
      <c r="I28" s="575">
        <v>0</v>
      </c>
      <c r="J28" s="575">
        <v>0</v>
      </c>
      <c r="K28" s="575">
        <v>0</v>
      </c>
      <c r="L28" s="575">
        <v>0</v>
      </c>
      <c r="M28" s="575">
        <v>0</v>
      </c>
      <c r="N28" s="575">
        <v>0</v>
      </c>
      <c r="O28" s="575">
        <v>0</v>
      </c>
      <c r="P28" s="575">
        <v>0</v>
      </c>
      <c r="Q28" s="575">
        <v>0</v>
      </c>
      <c r="R28" s="575">
        <v>0</v>
      </c>
      <c r="S28" s="575">
        <v>0</v>
      </c>
      <c r="T28" s="575">
        <v>0</v>
      </c>
      <c r="U28" s="575">
        <v>0</v>
      </c>
      <c r="V28" s="575">
        <v>0</v>
      </c>
      <c r="W28" s="575">
        <v>0</v>
      </c>
      <c r="X28" s="575">
        <v>0</v>
      </c>
      <c r="Y28" s="575">
        <v>0</v>
      </c>
      <c r="Z28" s="575">
        <v>0</v>
      </c>
      <c r="AA28" s="575">
        <v>0</v>
      </c>
      <c r="AB28" s="575">
        <v>0</v>
      </c>
      <c r="AC28" s="575">
        <v>0</v>
      </c>
      <c r="AD28" s="575">
        <v>0</v>
      </c>
      <c r="AE28" s="575">
        <v>0</v>
      </c>
      <c r="AF28" s="575">
        <v>0</v>
      </c>
      <c r="AG28" s="575">
        <v>0</v>
      </c>
      <c r="AH28" s="575">
        <v>0</v>
      </c>
      <c r="AI28" s="575">
        <v>0</v>
      </c>
      <c r="AJ28" s="575">
        <v>0</v>
      </c>
      <c r="AK28" s="575">
        <v>0</v>
      </c>
      <c r="AL28" s="575">
        <v>0</v>
      </c>
      <c r="AM28" s="575">
        <v>0</v>
      </c>
      <c r="AN28" s="575">
        <v>0</v>
      </c>
      <c r="AO28" s="575">
        <v>0</v>
      </c>
      <c r="AP28" s="575">
        <v>0</v>
      </c>
      <c r="AQ28" s="575">
        <v>0</v>
      </c>
      <c r="AR28" s="575">
        <v>0</v>
      </c>
      <c r="AS28" s="575">
        <v>0</v>
      </c>
      <c r="AT28" s="575">
        <v>0</v>
      </c>
      <c r="AU28" s="575">
        <v>0</v>
      </c>
      <c r="AV28" s="575">
        <v>0</v>
      </c>
      <c r="AW28" s="575">
        <v>0</v>
      </c>
      <c r="AX28" s="575">
        <v>0</v>
      </c>
      <c r="AY28" s="575">
        <v>0</v>
      </c>
      <c r="AZ28" s="575">
        <v>0</v>
      </c>
      <c r="BA28" s="575">
        <v>0</v>
      </c>
      <c r="BB28" s="575">
        <v>0</v>
      </c>
      <c r="BC28" s="575">
        <v>0</v>
      </c>
      <c r="BD28" s="575">
        <v>0</v>
      </c>
      <c r="BE28" s="575">
        <v>0</v>
      </c>
      <c r="BF28" s="575">
        <v>0</v>
      </c>
      <c r="BG28" s="575">
        <v>0</v>
      </c>
      <c r="BH28" s="575">
        <v>0</v>
      </c>
      <c r="BI28" s="575">
        <v>0</v>
      </c>
      <c r="BJ28" s="575">
        <v>0</v>
      </c>
      <c r="BK28" s="575">
        <v>0</v>
      </c>
      <c r="BL28" s="575">
        <v>0</v>
      </c>
      <c r="BM28" s="575">
        <v>0</v>
      </c>
      <c r="BN28" s="575">
        <v>0</v>
      </c>
      <c r="BO28" s="575">
        <v>0</v>
      </c>
      <c r="BP28" s="575">
        <v>0</v>
      </c>
      <c r="BQ28" s="575">
        <v>0</v>
      </c>
      <c r="BR28" s="575">
        <v>0</v>
      </c>
      <c r="BS28" s="575">
        <v>0</v>
      </c>
      <c r="BT28" s="575">
        <v>0</v>
      </c>
      <c r="BU28" s="575">
        <v>0</v>
      </c>
      <c r="BV28" s="575">
        <v>0</v>
      </c>
      <c r="BW28" s="575">
        <v>0</v>
      </c>
    </row>
    <row r="29" spans="2:75" x14ac:dyDescent="0.25">
      <c r="B29" s="989" t="s">
        <v>335</v>
      </c>
      <c r="C29" s="575">
        <v>0</v>
      </c>
      <c r="D29" s="575">
        <v>0</v>
      </c>
      <c r="E29" s="575">
        <v>0</v>
      </c>
      <c r="F29" s="575">
        <v>0</v>
      </c>
      <c r="G29" s="575">
        <v>0</v>
      </c>
      <c r="H29" s="575">
        <v>0</v>
      </c>
      <c r="I29" s="575">
        <v>0</v>
      </c>
      <c r="J29" s="575">
        <v>0</v>
      </c>
      <c r="K29" s="575">
        <v>0</v>
      </c>
      <c r="L29" s="575">
        <v>0</v>
      </c>
      <c r="M29" s="575">
        <v>0</v>
      </c>
      <c r="N29" s="575">
        <v>0</v>
      </c>
      <c r="O29" s="575">
        <v>0</v>
      </c>
      <c r="P29" s="575">
        <v>0</v>
      </c>
      <c r="Q29" s="575">
        <v>0</v>
      </c>
      <c r="R29" s="575">
        <v>0</v>
      </c>
      <c r="S29" s="575">
        <v>0</v>
      </c>
      <c r="T29" s="575">
        <v>0</v>
      </c>
      <c r="U29" s="575">
        <v>0</v>
      </c>
      <c r="V29" s="575">
        <v>0</v>
      </c>
      <c r="W29" s="575">
        <v>0</v>
      </c>
      <c r="X29" s="575">
        <v>0</v>
      </c>
      <c r="Y29" s="575">
        <v>0</v>
      </c>
      <c r="Z29" s="575">
        <v>0</v>
      </c>
      <c r="AA29" s="575">
        <v>0</v>
      </c>
      <c r="AB29" s="575">
        <v>0</v>
      </c>
      <c r="AC29" s="575">
        <v>0</v>
      </c>
      <c r="AD29" s="575">
        <v>0</v>
      </c>
      <c r="AE29" s="575">
        <v>0</v>
      </c>
      <c r="AF29" s="575">
        <v>0</v>
      </c>
      <c r="AG29" s="575">
        <v>0</v>
      </c>
      <c r="AH29" s="575">
        <v>0</v>
      </c>
      <c r="AI29" s="575">
        <v>0</v>
      </c>
      <c r="AJ29" s="575">
        <v>0</v>
      </c>
      <c r="AK29" s="575">
        <v>0</v>
      </c>
      <c r="AL29" s="575">
        <v>0</v>
      </c>
      <c r="AM29" s="575">
        <v>0</v>
      </c>
      <c r="AN29" s="575">
        <v>0</v>
      </c>
      <c r="AO29" s="575">
        <v>0</v>
      </c>
      <c r="AP29" s="575">
        <v>0</v>
      </c>
      <c r="AQ29" s="575">
        <v>0</v>
      </c>
      <c r="AR29" s="575">
        <v>0</v>
      </c>
      <c r="AS29" s="575">
        <v>0</v>
      </c>
      <c r="AT29" s="575">
        <v>0</v>
      </c>
      <c r="AU29" s="575">
        <v>0</v>
      </c>
      <c r="AV29" s="575">
        <v>0</v>
      </c>
      <c r="AW29" s="575">
        <v>0</v>
      </c>
      <c r="AX29" s="575">
        <v>0</v>
      </c>
      <c r="AY29" s="575">
        <v>0</v>
      </c>
      <c r="AZ29" s="575">
        <v>0</v>
      </c>
      <c r="BA29" s="575">
        <v>0</v>
      </c>
      <c r="BB29" s="575">
        <v>0</v>
      </c>
      <c r="BC29" s="575">
        <v>0</v>
      </c>
      <c r="BD29" s="575">
        <v>0</v>
      </c>
      <c r="BE29" s="575">
        <v>0</v>
      </c>
      <c r="BF29" s="575">
        <v>0</v>
      </c>
      <c r="BG29" s="575">
        <v>0</v>
      </c>
      <c r="BH29" s="575">
        <v>0</v>
      </c>
      <c r="BI29" s="575">
        <v>0</v>
      </c>
      <c r="BJ29" s="575">
        <v>0</v>
      </c>
      <c r="BK29" s="575">
        <v>0</v>
      </c>
      <c r="BL29" s="575">
        <v>0</v>
      </c>
      <c r="BM29" s="575">
        <v>0</v>
      </c>
      <c r="BN29" s="575">
        <v>0</v>
      </c>
      <c r="BO29" s="575">
        <v>0</v>
      </c>
      <c r="BP29" s="575">
        <v>0</v>
      </c>
      <c r="BQ29" s="575">
        <v>0</v>
      </c>
      <c r="BR29" s="575">
        <v>0</v>
      </c>
      <c r="BS29" s="575">
        <v>0</v>
      </c>
      <c r="BT29" s="575">
        <v>0</v>
      </c>
      <c r="BU29" s="575">
        <v>0</v>
      </c>
      <c r="BV29" s="575">
        <v>0</v>
      </c>
      <c r="BW29" s="575">
        <v>0</v>
      </c>
    </row>
    <row r="30" spans="2:75" x14ac:dyDescent="0.25">
      <c r="B30" s="988" t="s">
        <v>336</v>
      </c>
      <c r="C30" s="575">
        <v>0</v>
      </c>
      <c r="D30" s="575">
        <v>0</v>
      </c>
      <c r="E30" s="575">
        <v>0</v>
      </c>
      <c r="F30" s="575">
        <v>0</v>
      </c>
      <c r="G30" s="575">
        <v>0</v>
      </c>
      <c r="H30" s="575">
        <v>0</v>
      </c>
      <c r="I30" s="575">
        <v>0</v>
      </c>
      <c r="J30" s="575">
        <v>0</v>
      </c>
      <c r="K30" s="575">
        <v>0</v>
      </c>
      <c r="L30" s="575">
        <v>0</v>
      </c>
      <c r="M30" s="575">
        <v>0</v>
      </c>
      <c r="N30" s="575">
        <v>0</v>
      </c>
      <c r="O30" s="575">
        <v>0</v>
      </c>
      <c r="P30" s="575">
        <v>0</v>
      </c>
      <c r="Q30" s="575">
        <v>0</v>
      </c>
      <c r="R30" s="575">
        <v>0</v>
      </c>
      <c r="S30" s="575">
        <v>0</v>
      </c>
      <c r="T30" s="575">
        <v>0</v>
      </c>
      <c r="U30" s="575">
        <v>0</v>
      </c>
      <c r="V30" s="575">
        <v>0</v>
      </c>
      <c r="W30" s="575">
        <v>0</v>
      </c>
      <c r="X30" s="575">
        <v>0</v>
      </c>
      <c r="Y30" s="575">
        <v>0</v>
      </c>
      <c r="Z30" s="575">
        <v>0</v>
      </c>
      <c r="AA30" s="575">
        <v>0</v>
      </c>
      <c r="AB30" s="575">
        <v>0</v>
      </c>
      <c r="AC30" s="575">
        <v>0</v>
      </c>
      <c r="AD30" s="575">
        <v>0</v>
      </c>
      <c r="AE30" s="575">
        <v>0</v>
      </c>
      <c r="AF30" s="575">
        <v>0</v>
      </c>
      <c r="AG30" s="575">
        <v>0</v>
      </c>
      <c r="AH30" s="575">
        <v>0</v>
      </c>
      <c r="AI30" s="575">
        <v>0</v>
      </c>
      <c r="AJ30" s="575">
        <v>0</v>
      </c>
      <c r="AK30" s="575">
        <v>0</v>
      </c>
      <c r="AL30" s="575">
        <v>0</v>
      </c>
      <c r="AM30" s="575">
        <v>0</v>
      </c>
      <c r="AN30" s="575">
        <v>0</v>
      </c>
      <c r="AO30" s="575">
        <v>0</v>
      </c>
      <c r="AP30" s="575">
        <v>0</v>
      </c>
      <c r="AQ30" s="575">
        <v>0</v>
      </c>
      <c r="AR30" s="575">
        <v>0</v>
      </c>
      <c r="AS30" s="575">
        <v>0</v>
      </c>
      <c r="AT30" s="575">
        <v>0</v>
      </c>
      <c r="AU30" s="575">
        <v>0</v>
      </c>
      <c r="AV30" s="575">
        <v>0</v>
      </c>
      <c r="AW30" s="575">
        <v>0</v>
      </c>
      <c r="AX30" s="575">
        <v>0</v>
      </c>
      <c r="AY30" s="575">
        <v>0</v>
      </c>
      <c r="AZ30" s="575">
        <v>0</v>
      </c>
      <c r="BA30" s="575">
        <v>0</v>
      </c>
      <c r="BB30" s="575">
        <v>0</v>
      </c>
      <c r="BC30" s="575">
        <v>0</v>
      </c>
      <c r="BD30" s="575">
        <v>0</v>
      </c>
      <c r="BE30" s="575">
        <v>0</v>
      </c>
      <c r="BF30" s="575">
        <v>0</v>
      </c>
      <c r="BG30" s="575">
        <v>0</v>
      </c>
      <c r="BH30" s="575">
        <v>0</v>
      </c>
      <c r="BI30" s="575">
        <v>0</v>
      </c>
      <c r="BJ30" s="575">
        <v>0</v>
      </c>
      <c r="BK30" s="575">
        <v>0</v>
      </c>
      <c r="BL30" s="575">
        <v>0</v>
      </c>
      <c r="BM30" s="575">
        <v>0</v>
      </c>
      <c r="BN30" s="575">
        <v>0</v>
      </c>
      <c r="BO30" s="575">
        <v>0</v>
      </c>
      <c r="BP30" s="575">
        <v>0</v>
      </c>
      <c r="BQ30" s="575">
        <v>0</v>
      </c>
      <c r="BR30" s="575">
        <v>0</v>
      </c>
      <c r="BS30" s="575">
        <v>0</v>
      </c>
      <c r="BT30" s="575">
        <v>0</v>
      </c>
      <c r="BU30" s="575">
        <v>0</v>
      </c>
      <c r="BV30" s="575">
        <v>0</v>
      </c>
      <c r="BW30" s="575">
        <v>0</v>
      </c>
    </row>
    <row r="31" spans="2:75" ht="15.75" thickBot="1" x14ac:dyDescent="0.3">
      <c r="B31" s="892" t="s">
        <v>49</v>
      </c>
      <c r="C31" s="893">
        <f t="shared" ref="C31:Z31" si="12">SUM(C28:C30)</f>
        <v>0</v>
      </c>
      <c r="D31" s="893">
        <f t="shared" si="12"/>
        <v>0</v>
      </c>
      <c r="E31" s="893">
        <f t="shared" si="12"/>
        <v>0</v>
      </c>
      <c r="F31" s="893">
        <f t="shared" si="12"/>
        <v>0</v>
      </c>
      <c r="G31" s="893">
        <f t="shared" si="12"/>
        <v>0</v>
      </c>
      <c r="H31" s="893">
        <f t="shared" si="12"/>
        <v>0</v>
      </c>
      <c r="I31" s="893">
        <f t="shared" si="12"/>
        <v>0</v>
      </c>
      <c r="J31" s="893">
        <f t="shared" si="12"/>
        <v>0</v>
      </c>
      <c r="K31" s="893">
        <f t="shared" si="12"/>
        <v>0</v>
      </c>
      <c r="L31" s="893">
        <f t="shared" si="12"/>
        <v>0</v>
      </c>
      <c r="M31" s="893">
        <f t="shared" si="12"/>
        <v>0</v>
      </c>
      <c r="N31" s="893">
        <f t="shared" si="12"/>
        <v>0</v>
      </c>
      <c r="O31" s="894">
        <f t="shared" si="12"/>
        <v>0</v>
      </c>
      <c r="P31" s="894">
        <f t="shared" si="12"/>
        <v>0</v>
      </c>
      <c r="Q31" s="894">
        <f t="shared" si="12"/>
        <v>0</v>
      </c>
      <c r="R31" s="894">
        <f t="shared" si="12"/>
        <v>0</v>
      </c>
      <c r="S31" s="894">
        <f t="shared" si="12"/>
        <v>0</v>
      </c>
      <c r="T31" s="894">
        <f t="shared" si="12"/>
        <v>0</v>
      </c>
      <c r="U31" s="894">
        <f t="shared" si="12"/>
        <v>0</v>
      </c>
      <c r="V31" s="894">
        <f t="shared" si="12"/>
        <v>0</v>
      </c>
      <c r="W31" s="894">
        <f t="shared" si="12"/>
        <v>0</v>
      </c>
      <c r="X31" s="894">
        <f t="shared" si="12"/>
        <v>0</v>
      </c>
      <c r="Y31" s="893">
        <f t="shared" si="12"/>
        <v>0</v>
      </c>
      <c r="Z31" s="893">
        <f t="shared" si="12"/>
        <v>0</v>
      </c>
      <c r="AA31" s="893"/>
      <c r="AB31" s="893"/>
      <c r="AC31" s="893"/>
      <c r="AD31" s="893"/>
      <c r="AE31" s="893"/>
      <c r="AF31" s="893"/>
      <c r="AG31" s="893"/>
      <c r="AH31" s="893"/>
      <c r="AI31" s="893"/>
      <c r="AJ31" s="893"/>
      <c r="AK31" s="893"/>
      <c r="AL31" s="893"/>
      <c r="AM31" s="893"/>
      <c r="AN31" s="893"/>
      <c r="AO31" s="893"/>
      <c r="AP31" s="893"/>
      <c r="AQ31" s="893"/>
      <c r="AR31" s="893"/>
      <c r="AS31" s="893"/>
      <c r="AT31" s="893"/>
      <c r="AU31" s="893"/>
      <c r="AV31" s="893"/>
      <c r="AW31" s="893"/>
      <c r="AX31" s="893"/>
      <c r="AY31" s="893"/>
      <c r="AZ31" s="893"/>
      <c r="BA31" s="893"/>
      <c r="BB31" s="893"/>
      <c r="BC31" s="893"/>
      <c r="BD31" s="893"/>
      <c r="BE31" s="893"/>
      <c r="BF31" s="893"/>
      <c r="BG31" s="893"/>
      <c r="BH31" s="893"/>
      <c r="BI31" s="893"/>
      <c r="BJ31" s="893"/>
      <c r="BK31" s="893"/>
      <c r="BL31" s="893"/>
      <c r="BM31" s="893"/>
      <c r="BN31" s="893"/>
      <c r="BO31" s="893"/>
      <c r="BP31" s="893"/>
      <c r="BQ31" s="893"/>
      <c r="BR31" s="893"/>
      <c r="BS31" s="893"/>
      <c r="BT31" s="893"/>
      <c r="BU31" s="893"/>
      <c r="BV31" s="893"/>
      <c r="BW31" s="893"/>
    </row>
    <row r="32" spans="2:75" ht="15.75" thickTop="1" x14ac:dyDescent="0.25">
      <c r="C32" s="575"/>
      <c r="D32" s="575"/>
      <c r="E32" s="575"/>
      <c r="F32" s="575"/>
      <c r="G32" s="575"/>
      <c r="H32" s="575"/>
      <c r="I32" s="575"/>
      <c r="J32" s="575"/>
      <c r="K32" s="575"/>
      <c r="L32" s="575"/>
      <c r="M32" s="575"/>
      <c r="N32" s="575"/>
      <c r="O32" s="575"/>
      <c r="P32" s="575"/>
      <c r="Q32" s="575"/>
      <c r="R32" s="575"/>
      <c r="S32" s="575"/>
      <c r="T32" s="575"/>
      <c r="U32" s="575"/>
      <c r="V32" s="575"/>
      <c r="W32" s="575"/>
      <c r="X32" s="575"/>
      <c r="Y32" s="575"/>
      <c r="Z32" s="575"/>
    </row>
    <row r="33" spans="2:75" x14ac:dyDescent="0.25">
      <c r="B33" s="755" t="s">
        <v>59</v>
      </c>
      <c r="C33" s="927"/>
      <c r="D33" s="927"/>
      <c r="E33" s="927"/>
      <c r="F33" s="927"/>
      <c r="G33" s="927"/>
      <c r="H33" s="927"/>
      <c r="I33" s="927"/>
      <c r="J33" s="927"/>
      <c r="K33" s="927"/>
      <c r="L33" s="927"/>
      <c r="M33" s="927"/>
      <c r="N33" s="927"/>
      <c r="O33" s="927"/>
      <c r="P33" s="927"/>
      <c r="Q33" s="927"/>
      <c r="R33" s="927"/>
      <c r="S33" s="927"/>
      <c r="T33" s="927"/>
      <c r="U33" s="927"/>
      <c r="V33" s="927"/>
      <c r="W33" s="927"/>
      <c r="X33" s="927"/>
      <c r="Y33" s="927"/>
      <c r="Z33" s="927"/>
      <c r="AA33" s="927"/>
      <c r="AB33" s="927"/>
      <c r="AC33" s="927"/>
      <c r="AD33" s="927"/>
      <c r="AE33" s="927"/>
      <c r="AF33" s="927"/>
      <c r="AG33" s="927"/>
      <c r="AH33" s="927"/>
      <c r="AI33" s="927"/>
      <c r="AJ33" s="927"/>
      <c r="AK33" s="927"/>
      <c r="AL33" s="927"/>
      <c r="AM33" s="927"/>
      <c r="AN33" s="927"/>
      <c r="AO33" s="927"/>
      <c r="AP33" s="927"/>
      <c r="AQ33" s="927"/>
      <c r="AR33" s="927"/>
      <c r="AS33" s="927"/>
      <c r="AT33" s="927"/>
      <c r="AU33" s="927"/>
      <c r="AV33" s="927"/>
      <c r="AW33" s="927"/>
      <c r="AX33" s="927"/>
      <c r="AY33" s="927"/>
      <c r="AZ33" s="927"/>
      <c r="BA33" s="927"/>
      <c r="BB33" s="927"/>
      <c r="BC33" s="927"/>
      <c r="BD33" s="927"/>
      <c r="BE33" s="927"/>
      <c r="BF33" s="927"/>
      <c r="BG33" s="927"/>
      <c r="BH33" s="927"/>
      <c r="BI33" s="927"/>
      <c r="BJ33" s="927"/>
      <c r="BK33" s="927"/>
      <c r="BL33" s="927"/>
      <c r="BM33" s="927"/>
      <c r="BN33" s="927"/>
      <c r="BO33" s="927"/>
      <c r="BP33" s="927"/>
      <c r="BQ33" s="927"/>
      <c r="BR33" s="927"/>
      <c r="BS33" s="927"/>
      <c r="BT33" s="927"/>
      <c r="BU33" s="927"/>
      <c r="BV33" s="927"/>
      <c r="BW33" s="927"/>
    </row>
    <row r="34" spans="2:75" x14ac:dyDescent="0.25">
      <c r="B34" s="988" t="s">
        <v>334</v>
      </c>
      <c r="C34" s="575">
        <v>0</v>
      </c>
      <c r="D34" s="575">
        <v>0</v>
      </c>
      <c r="E34" s="575">
        <v>0</v>
      </c>
      <c r="F34" s="575">
        <v>0</v>
      </c>
      <c r="G34" s="575">
        <v>0</v>
      </c>
      <c r="H34" s="575">
        <v>0</v>
      </c>
      <c r="I34" s="575">
        <v>0</v>
      </c>
      <c r="J34" s="575">
        <v>0</v>
      </c>
      <c r="K34" s="575">
        <v>0</v>
      </c>
      <c r="L34" s="575">
        <v>0</v>
      </c>
      <c r="M34" s="575">
        <v>0</v>
      </c>
      <c r="N34" s="575">
        <v>0</v>
      </c>
      <c r="O34" s="575">
        <v>0</v>
      </c>
      <c r="P34" s="575">
        <v>0</v>
      </c>
      <c r="Q34" s="575">
        <v>0</v>
      </c>
      <c r="R34" s="575">
        <v>0</v>
      </c>
      <c r="S34" s="575">
        <v>0</v>
      </c>
      <c r="T34" s="575">
        <v>0</v>
      </c>
      <c r="U34" s="575">
        <v>0</v>
      </c>
      <c r="V34" s="575">
        <v>0</v>
      </c>
      <c r="W34" s="575">
        <v>0</v>
      </c>
      <c r="X34" s="575">
        <v>0</v>
      </c>
      <c r="Y34" s="575">
        <v>0</v>
      </c>
      <c r="Z34" s="575">
        <v>0</v>
      </c>
    </row>
    <row r="35" spans="2:75" x14ac:dyDescent="0.25">
      <c r="B35" s="989" t="s">
        <v>335</v>
      </c>
      <c r="C35" s="575">
        <v>0</v>
      </c>
      <c r="D35" s="575">
        <v>0</v>
      </c>
      <c r="E35" s="575">
        <v>0</v>
      </c>
      <c r="F35" s="575">
        <v>0</v>
      </c>
      <c r="G35" s="575">
        <v>0</v>
      </c>
      <c r="H35" s="575">
        <v>0</v>
      </c>
      <c r="I35" s="575">
        <v>0</v>
      </c>
      <c r="J35" s="575">
        <v>0</v>
      </c>
      <c r="K35" s="575">
        <v>0</v>
      </c>
      <c r="L35" s="575">
        <v>0</v>
      </c>
      <c r="M35" s="575">
        <v>0</v>
      </c>
      <c r="N35" s="575">
        <v>0</v>
      </c>
      <c r="O35" s="575">
        <v>0</v>
      </c>
      <c r="P35" s="575">
        <v>0</v>
      </c>
      <c r="Q35" s="575">
        <v>0</v>
      </c>
      <c r="R35" s="575">
        <v>0</v>
      </c>
      <c r="S35" s="575">
        <v>0</v>
      </c>
      <c r="T35" s="575">
        <v>0</v>
      </c>
      <c r="U35" s="575">
        <v>0</v>
      </c>
      <c r="V35" s="575">
        <v>0</v>
      </c>
      <c r="W35" s="575">
        <v>0</v>
      </c>
      <c r="X35" s="575">
        <v>0</v>
      </c>
      <c r="Y35" s="575">
        <v>0</v>
      </c>
      <c r="Z35" s="575">
        <v>0</v>
      </c>
    </row>
    <row r="36" spans="2:75" x14ac:dyDescent="0.25">
      <c r="B36" s="988" t="s">
        <v>336</v>
      </c>
      <c r="C36" s="575">
        <v>0</v>
      </c>
      <c r="D36" s="575">
        <v>0</v>
      </c>
      <c r="E36" s="575">
        <v>0</v>
      </c>
      <c r="F36" s="575">
        <v>0</v>
      </c>
      <c r="G36" s="575">
        <v>0</v>
      </c>
      <c r="H36" s="575">
        <v>0</v>
      </c>
      <c r="I36" s="575">
        <v>0</v>
      </c>
      <c r="J36" s="575">
        <v>0</v>
      </c>
      <c r="K36" s="575">
        <v>0</v>
      </c>
      <c r="L36" s="575">
        <v>0</v>
      </c>
      <c r="M36" s="575">
        <v>0</v>
      </c>
      <c r="N36" s="575">
        <v>0</v>
      </c>
      <c r="O36" s="575">
        <v>0</v>
      </c>
      <c r="P36" s="575">
        <v>0</v>
      </c>
      <c r="Q36" s="575">
        <v>0</v>
      </c>
      <c r="R36" s="575">
        <v>0</v>
      </c>
      <c r="S36" s="575">
        <v>0</v>
      </c>
      <c r="T36" s="575">
        <v>0</v>
      </c>
      <c r="U36" s="575">
        <v>0</v>
      </c>
      <c r="V36" s="575">
        <v>0</v>
      </c>
      <c r="W36" s="575">
        <v>0</v>
      </c>
      <c r="X36" s="575">
        <v>0</v>
      </c>
      <c r="Y36" s="575">
        <v>0</v>
      </c>
      <c r="Z36" s="575">
        <v>0</v>
      </c>
    </row>
    <row r="37" spans="2:75" ht="15.75" thickBot="1" x14ac:dyDescent="0.3">
      <c r="B37" s="892" t="s">
        <v>49</v>
      </c>
      <c r="C37" s="893">
        <f t="shared" ref="C37:Z37" si="13">SUM(C33:C36)</f>
        <v>0</v>
      </c>
      <c r="D37" s="893">
        <f t="shared" si="13"/>
        <v>0</v>
      </c>
      <c r="E37" s="893">
        <f t="shared" si="13"/>
        <v>0</v>
      </c>
      <c r="F37" s="893">
        <f t="shared" si="13"/>
        <v>0</v>
      </c>
      <c r="G37" s="893">
        <f t="shared" si="13"/>
        <v>0</v>
      </c>
      <c r="H37" s="893">
        <f t="shared" si="13"/>
        <v>0</v>
      </c>
      <c r="I37" s="893">
        <f t="shared" si="13"/>
        <v>0</v>
      </c>
      <c r="J37" s="893">
        <f t="shared" si="13"/>
        <v>0</v>
      </c>
      <c r="K37" s="893">
        <f t="shared" si="13"/>
        <v>0</v>
      </c>
      <c r="L37" s="893">
        <f t="shared" si="13"/>
        <v>0</v>
      </c>
      <c r="M37" s="893">
        <f t="shared" si="13"/>
        <v>0</v>
      </c>
      <c r="N37" s="893">
        <f t="shared" si="13"/>
        <v>0</v>
      </c>
      <c r="O37" s="894">
        <f t="shared" si="13"/>
        <v>0</v>
      </c>
      <c r="P37" s="894">
        <f t="shared" si="13"/>
        <v>0</v>
      </c>
      <c r="Q37" s="894">
        <f t="shared" si="13"/>
        <v>0</v>
      </c>
      <c r="R37" s="894">
        <f t="shared" si="13"/>
        <v>0</v>
      </c>
      <c r="S37" s="894">
        <f t="shared" si="13"/>
        <v>0</v>
      </c>
      <c r="T37" s="894">
        <f t="shared" si="13"/>
        <v>0</v>
      </c>
      <c r="U37" s="894">
        <f t="shared" si="13"/>
        <v>0</v>
      </c>
      <c r="V37" s="894">
        <f t="shared" si="13"/>
        <v>0</v>
      </c>
      <c r="W37" s="894">
        <f t="shared" si="13"/>
        <v>0</v>
      </c>
      <c r="X37" s="894">
        <f t="shared" si="13"/>
        <v>0</v>
      </c>
      <c r="Y37" s="893">
        <f t="shared" si="13"/>
        <v>0</v>
      </c>
      <c r="Z37" s="893">
        <f t="shared" si="13"/>
        <v>0</v>
      </c>
      <c r="AA37" s="893"/>
      <c r="AB37" s="893"/>
      <c r="AC37" s="893"/>
      <c r="AD37" s="893"/>
      <c r="AE37" s="893"/>
      <c r="AF37" s="893"/>
      <c r="AG37" s="893"/>
      <c r="AH37" s="893"/>
      <c r="AI37" s="893"/>
      <c r="AJ37" s="893"/>
      <c r="AK37" s="893"/>
      <c r="AL37" s="893"/>
      <c r="AM37" s="893"/>
      <c r="AN37" s="893"/>
      <c r="AO37" s="893"/>
      <c r="AP37" s="893"/>
      <c r="AQ37" s="893"/>
      <c r="AR37" s="893"/>
      <c r="AS37" s="893"/>
      <c r="AT37" s="893"/>
      <c r="AU37" s="893"/>
      <c r="AV37" s="893"/>
      <c r="AW37" s="893"/>
      <c r="AX37" s="893"/>
      <c r="AY37" s="893"/>
      <c r="AZ37" s="893"/>
      <c r="BA37" s="893"/>
      <c r="BB37" s="893"/>
      <c r="BC37" s="893"/>
      <c r="BD37" s="893"/>
      <c r="BE37" s="893"/>
      <c r="BF37" s="893"/>
      <c r="BG37" s="893"/>
      <c r="BH37" s="893"/>
      <c r="BI37" s="893"/>
      <c r="BJ37" s="893"/>
      <c r="BK37" s="893"/>
      <c r="BL37" s="893"/>
      <c r="BM37" s="893"/>
      <c r="BN37" s="893"/>
      <c r="BO37" s="893"/>
      <c r="BP37" s="893"/>
      <c r="BQ37" s="893"/>
      <c r="BR37" s="893"/>
      <c r="BS37" s="893"/>
      <c r="BT37" s="893"/>
      <c r="BU37" s="893"/>
      <c r="BV37" s="893"/>
      <c r="BW37" s="893"/>
    </row>
    <row r="38" spans="2:75" ht="15.75" thickTop="1" x14ac:dyDescent="0.25">
      <c r="B38" s="168"/>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2:75" x14ac:dyDescent="0.25">
      <c r="B39" s="26" t="s">
        <v>60</v>
      </c>
      <c r="C39" s="575">
        <f t="shared" ref="C39:Z39" si="14">-C31</f>
        <v>0</v>
      </c>
      <c r="D39" s="575">
        <f t="shared" si="14"/>
        <v>0</v>
      </c>
      <c r="E39" s="575">
        <f t="shared" si="14"/>
        <v>0</v>
      </c>
      <c r="F39" s="575">
        <f t="shared" si="14"/>
        <v>0</v>
      </c>
      <c r="G39" s="575">
        <f t="shared" si="14"/>
        <v>0</v>
      </c>
      <c r="H39" s="575">
        <f t="shared" si="14"/>
        <v>0</v>
      </c>
      <c r="I39" s="575">
        <f t="shared" si="14"/>
        <v>0</v>
      </c>
      <c r="J39" s="575">
        <f t="shared" si="14"/>
        <v>0</v>
      </c>
      <c r="K39" s="575">
        <f t="shared" si="14"/>
        <v>0</v>
      </c>
      <c r="L39" s="575">
        <f t="shared" si="14"/>
        <v>0</v>
      </c>
      <c r="M39" s="575">
        <f t="shared" si="14"/>
        <v>0</v>
      </c>
      <c r="N39" s="575">
        <f t="shared" si="14"/>
        <v>0</v>
      </c>
      <c r="O39" s="575">
        <f t="shared" si="14"/>
        <v>0</v>
      </c>
      <c r="P39" s="575">
        <f t="shared" si="14"/>
        <v>0</v>
      </c>
      <c r="Q39" s="575">
        <f t="shared" si="14"/>
        <v>0</v>
      </c>
      <c r="R39" s="575">
        <f t="shared" si="14"/>
        <v>0</v>
      </c>
      <c r="S39" s="575">
        <f t="shared" si="14"/>
        <v>0</v>
      </c>
      <c r="T39" s="575">
        <f t="shared" si="14"/>
        <v>0</v>
      </c>
      <c r="U39" s="575">
        <f t="shared" si="14"/>
        <v>0</v>
      </c>
      <c r="V39" s="575">
        <f t="shared" si="14"/>
        <v>0</v>
      </c>
      <c r="W39" s="575">
        <f t="shared" si="14"/>
        <v>0</v>
      </c>
      <c r="X39" s="575">
        <f t="shared" si="14"/>
        <v>0</v>
      </c>
      <c r="Y39" s="575">
        <f t="shared" si="14"/>
        <v>0</v>
      </c>
      <c r="Z39" s="575">
        <f t="shared" si="14"/>
        <v>0</v>
      </c>
    </row>
    <row r="40" spans="2:75" x14ac:dyDescent="0.25">
      <c r="B40" s="26" t="s">
        <v>61</v>
      </c>
      <c r="C40" s="575">
        <v>0</v>
      </c>
      <c r="D40" s="575">
        <f t="shared" ref="D40:N40" si="15">+C40+D39</f>
        <v>0</v>
      </c>
      <c r="E40" s="575">
        <f t="shared" si="15"/>
        <v>0</v>
      </c>
      <c r="F40" s="575">
        <f t="shared" si="15"/>
        <v>0</v>
      </c>
      <c r="G40" s="575">
        <f t="shared" si="15"/>
        <v>0</v>
      </c>
      <c r="H40" s="575">
        <f t="shared" si="15"/>
        <v>0</v>
      </c>
      <c r="I40" s="575">
        <f t="shared" si="15"/>
        <v>0</v>
      </c>
      <c r="J40" s="575">
        <f t="shared" si="15"/>
        <v>0</v>
      </c>
      <c r="K40" s="575">
        <v>0</v>
      </c>
      <c r="L40" s="575">
        <f t="shared" si="15"/>
        <v>0</v>
      </c>
      <c r="M40" s="575">
        <f t="shared" si="15"/>
        <v>0</v>
      </c>
      <c r="N40" s="575">
        <f t="shared" si="15"/>
        <v>0</v>
      </c>
      <c r="O40" s="575">
        <f>+N40+O39</f>
        <v>0</v>
      </c>
      <c r="P40" s="575">
        <f t="shared" ref="P40:Z40" si="16">+O40+P39</f>
        <v>0</v>
      </c>
      <c r="Q40" s="575">
        <f t="shared" si="16"/>
        <v>0</v>
      </c>
      <c r="R40" s="575">
        <f t="shared" si="16"/>
        <v>0</v>
      </c>
      <c r="S40" s="575">
        <f t="shared" si="16"/>
        <v>0</v>
      </c>
      <c r="T40" s="575">
        <f t="shared" si="16"/>
        <v>0</v>
      </c>
      <c r="U40" s="575">
        <f t="shared" si="16"/>
        <v>0</v>
      </c>
      <c r="V40" s="575">
        <f t="shared" si="16"/>
        <v>0</v>
      </c>
      <c r="W40" s="575">
        <f t="shared" si="16"/>
        <v>0</v>
      </c>
      <c r="X40" s="575">
        <f t="shared" si="16"/>
        <v>0</v>
      </c>
      <c r="Y40" s="575">
        <f t="shared" si="16"/>
        <v>0</v>
      </c>
      <c r="Z40" s="575">
        <f t="shared" si="16"/>
        <v>0</v>
      </c>
    </row>
    <row r="41" spans="2:75" ht="15.75" thickBot="1" x14ac:dyDescent="0.3">
      <c r="B41" s="892" t="s">
        <v>62</v>
      </c>
      <c r="C41" s="893">
        <f t="shared" ref="C41:Z41" si="17">+C31+C37</f>
        <v>0</v>
      </c>
      <c r="D41" s="893">
        <f t="shared" si="17"/>
        <v>0</v>
      </c>
      <c r="E41" s="893">
        <f t="shared" si="17"/>
        <v>0</v>
      </c>
      <c r="F41" s="893">
        <f t="shared" si="17"/>
        <v>0</v>
      </c>
      <c r="G41" s="893">
        <f t="shared" si="17"/>
        <v>0</v>
      </c>
      <c r="H41" s="893">
        <f t="shared" si="17"/>
        <v>0</v>
      </c>
      <c r="I41" s="893">
        <f t="shared" si="17"/>
        <v>0</v>
      </c>
      <c r="J41" s="893">
        <f t="shared" si="17"/>
        <v>0</v>
      </c>
      <c r="K41" s="893">
        <f t="shared" si="17"/>
        <v>0</v>
      </c>
      <c r="L41" s="893">
        <f t="shared" si="17"/>
        <v>0</v>
      </c>
      <c r="M41" s="893">
        <f t="shared" si="17"/>
        <v>0</v>
      </c>
      <c r="N41" s="893">
        <f t="shared" si="17"/>
        <v>0</v>
      </c>
      <c r="O41" s="894">
        <f t="shared" si="17"/>
        <v>0</v>
      </c>
      <c r="P41" s="894">
        <f t="shared" si="17"/>
        <v>0</v>
      </c>
      <c r="Q41" s="894">
        <f t="shared" si="17"/>
        <v>0</v>
      </c>
      <c r="R41" s="894">
        <f t="shared" si="17"/>
        <v>0</v>
      </c>
      <c r="S41" s="894">
        <f t="shared" si="17"/>
        <v>0</v>
      </c>
      <c r="T41" s="894">
        <f t="shared" si="17"/>
        <v>0</v>
      </c>
      <c r="U41" s="894">
        <f t="shared" si="17"/>
        <v>0</v>
      </c>
      <c r="V41" s="894">
        <f t="shared" si="17"/>
        <v>0</v>
      </c>
      <c r="W41" s="894">
        <f t="shared" si="17"/>
        <v>0</v>
      </c>
      <c r="X41" s="894">
        <f t="shared" si="17"/>
        <v>0</v>
      </c>
      <c r="Y41" s="893">
        <f t="shared" si="17"/>
        <v>0</v>
      </c>
      <c r="Z41" s="893">
        <f t="shared" si="17"/>
        <v>0</v>
      </c>
      <c r="AA41" s="893"/>
      <c r="AB41" s="893"/>
      <c r="AC41" s="893"/>
      <c r="AD41" s="893"/>
      <c r="AE41" s="893"/>
      <c r="AF41" s="893"/>
      <c r="AG41" s="893"/>
      <c r="AH41" s="893"/>
      <c r="AI41" s="893"/>
      <c r="AJ41" s="893"/>
      <c r="AK41" s="893"/>
      <c r="AL41" s="893"/>
      <c r="AM41" s="893"/>
      <c r="AN41" s="893"/>
      <c r="AO41" s="893"/>
      <c r="AP41" s="893"/>
      <c r="AQ41" s="893"/>
      <c r="AR41" s="893"/>
      <c r="AS41" s="893"/>
      <c r="AT41" s="893"/>
      <c r="AU41" s="893"/>
      <c r="AV41" s="893"/>
      <c r="AW41" s="893"/>
      <c r="AX41" s="893"/>
      <c r="AY41" s="893"/>
      <c r="AZ41" s="893"/>
      <c r="BA41" s="893"/>
      <c r="BB41" s="893"/>
      <c r="BC41" s="893"/>
      <c r="BD41" s="893"/>
      <c r="BE41" s="893"/>
      <c r="BF41" s="893"/>
      <c r="BG41" s="893"/>
      <c r="BH41" s="893"/>
      <c r="BI41" s="893"/>
      <c r="BJ41" s="893"/>
      <c r="BK41" s="893"/>
      <c r="BL41" s="893"/>
      <c r="BM41" s="893"/>
      <c r="BN41" s="893"/>
      <c r="BO41" s="893"/>
      <c r="BP41" s="893"/>
      <c r="BQ41" s="893"/>
      <c r="BR41" s="893"/>
      <c r="BS41" s="893"/>
      <c r="BT41" s="893"/>
      <c r="BU41" s="893"/>
      <c r="BV41" s="893"/>
      <c r="BW41" s="893"/>
    </row>
    <row r="42" spans="2:75" ht="15.75" thickTop="1" x14ac:dyDescent="0.25">
      <c r="B42" s="26"/>
      <c r="C42" s="575"/>
      <c r="D42" s="575"/>
      <c r="E42" s="575"/>
      <c r="F42" s="575"/>
      <c r="G42" s="575"/>
      <c r="H42" s="575"/>
      <c r="I42" s="575"/>
      <c r="J42" s="575"/>
      <c r="K42" s="575"/>
      <c r="L42" s="575"/>
      <c r="M42" s="575"/>
      <c r="N42" s="575"/>
      <c r="O42" s="575"/>
      <c r="P42" s="575"/>
      <c r="Q42" s="575"/>
      <c r="R42" s="575"/>
      <c r="S42" s="575"/>
      <c r="T42" s="575"/>
      <c r="U42" s="575"/>
      <c r="V42" s="575"/>
      <c r="W42" s="575"/>
      <c r="X42" s="575"/>
      <c r="Y42" s="575"/>
      <c r="Z42" s="575"/>
    </row>
    <row r="43" spans="2:75" x14ac:dyDescent="0.25">
      <c r="B43" s="571" t="s">
        <v>438</v>
      </c>
    </row>
    <row r="44" spans="2:75" x14ac:dyDescent="0.25">
      <c r="B44" s="571" t="s">
        <v>63</v>
      </c>
      <c r="C44" s="572">
        <v>0</v>
      </c>
      <c r="D44" s="572">
        <v>0</v>
      </c>
      <c r="E44" s="572">
        <v>0</v>
      </c>
      <c r="F44" s="572">
        <v>0</v>
      </c>
      <c r="G44" s="572">
        <v>0</v>
      </c>
      <c r="H44" s="572">
        <f>+G46</f>
        <v>0</v>
      </c>
      <c r="I44" s="572">
        <f>+H46</f>
        <v>0</v>
      </c>
      <c r="J44" s="572">
        <f>+I46</f>
        <v>0</v>
      </c>
      <c r="K44" s="572">
        <f>+J46</f>
        <v>0</v>
      </c>
      <c r="L44" s="572"/>
      <c r="M44" s="572"/>
      <c r="N44" s="572"/>
    </row>
    <row r="45" spans="2:75" s="223" customFormat="1" x14ac:dyDescent="0.25">
      <c r="B45" s="990" t="s">
        <v>64</v>
      </c>
      <c r="C45" s="299">
        <v>0</v>
      </c>
      <c r="D45" s="299">
        <f t="shared" ref="D45:K45" si="18">+C45</f>
        <v>0</v>
      </c>
      <c r="E45" s="299">
        <f t="shared" si="18"/>
        <v>0</v>
      </c>
      <c r="F45" s="299">
        <f t="shared" si="18"/>
        <v>0</v>
      </c>
      <c r="G45" s="299">
        <f t="shared" si="18"/>
        <v>0</v>
      </c>
      <c r="H45" s="299">
        <f t="shared" si="18"/>
        <v>0</v>
      </c>
      <c r="I45" s="299">
        <f t="shared" si="18"/>
        <v>0</v>
      </c>
      <c r="J45" s="299">
        <f t="shared" si="18"/>
        <v>0</v>
      </c>
      <c r="K45" s="299">
        <f t="shared" si="18"/>
        <v>0</v>
      </c>
      <c r="L45" s="299"/>
      <c r="M45" s="299"/>
      <c r="N45" s="299"/>
      <c r="U45" s="875">
        <v>236350</v>
      </c>
      <c r="V45" s="875">
        <v>236350</v>
      </c>
      <c r="W45" s="875">
        <v>236350</v>
      </c>
      <c r="X45" s="875">
        <v>236350</v>
      </c>
      <c r="Y45" s="875">
        <v>236350</v>
      </c>
      <c r="Z45" s="875">
        <v>236350</v>
      </c>
      <c r="AA45" s="875">
        <v>236350</v>
      </c>
      <c r="AB45" s="875">
        <v>236350</v>
      </c>
      <c r="AC45" s="875">
        <v>236350</v>
      </c>
      <c r="AD45" s="875">
        <v>236350</v>
      </c>
      <c r="AE45" s="875">
        <v>236350</v>
      </c>
      <c r="AF45" s="875">
        <v>236350</v>
      </c>
      <c r="AG45" s="875">
        <v>236350</v>
      </c>
      <c r="AH45" s="875">
        <v>236350</v>
      </c>
      <c r="AI45" s="875">
        <v>236350</v>
      </c>
      <c r="AJ45" s="875">
        <v>236350</v>
      </c>
      <c r="AK45" s="875">
        <v>236350</v>
      </c>
      <c r="AL45" s="875">
        <v>236350</v>
      </c>
      <c r="AM45" s="875">
        <v>236350</v>
      </c>
      <c r="AN45" s="875">
        <v>236350</v>
      </c>
      <c r="AO45" s="875">
        <v>236350</v>
      </c>
      <c r="AP45" s="875">
        <v>236350</v>
      </c>
      <c r="AQ45" s="875">
        <v>236350</v>
      </c>
      <c r="AR45" s="875">
        <v>236350</v>
      </c>
      <c r="AS45" s="875">
        <v>236350</v>
      </c>
      <c r="AT45" s="875">
        <v>236350</v>
      </c>
      <c r="AU45" s="875">
        <v>236350</v>
      </c>
      <c r="AV45" s="875">
        <v>236350</v>
      </c>
      <c r="AW45" s="875">
        <v>236350</v>
      </c>
      <c r="AX45" s="875">
        <v>236350</v>
      </c>
      <c r="AY45" s="875">
        <v>236350</v>
      </c>
      <c r="AZ45" s="875">
        <v>236350</v>
      </c>
      <c r="BA45" s="875">
        <v>236350</v>
      </c>
      <c r="BB45" s="875">
        <v>236350</v>
      </c>
      <c r="BC45" s="875">
        <v>236350</v>
      </c>
      <c r="BD45" s="875">
        <v>236350</v>
      </c>
      <c r="BE45" s="875">
        <v>236350</v>
      </c>
      <c r="BF45" s="875">
        <v>236350</v>
      </c>
      <c r="BG45" s="875">
        <v>236350</v>
      </c>
      <c r="BH45" s="875">
        <v>236350</v>
      </c>
      <c r="BI45" s="875">
        <v>236350</v>
      </c>
      <c r="BJ45" s="875">
        <v>236350</v>
      </c>
      <c r="BK45" s="875">
        <v>236350</v>
      </c>
      <c r="BL45" s="875">
        <v>236350</v>
      </c>
      <c r="BM45" s="875">
        <v>236350</v>
      </c>
      <c r="BN45" s="875">
        <v>236350</v>
      </c>
      <c r="BO45" s="875">
        <v>236350</v>
      </c>
      <c r="BP45" s="875">
        <v>236350</v>
      </c>
      <c r="BQ45" s="875">
        <v>236350</v>
      </c>
      <c r="BR45" s="875">
        <v>236350</v>
      </c>
      <c r="BS45" s="875">
        <v>236350</v>
      </c>
      <c r="BT45" s="875">
        <v>236350</v>
      </c>
      <c r="BU45" s="875">
        <v>236350</v>
      </c>
      <c r="BV45" s="875">
        <v>236350</v>
      </c>
      <c r="BW45" s="875">
        <v>236350</v>
      </c>
    </row>
    <row r="46" spans="2:75" x14ac:dyDescent="0.25">
      <c r="B46" s="990" t="s">
        <v>65</v>
      </c>
      <c r="C46" s="572">
        <f t="shared" ref="C46:K46" si="19">+C44-C45</f>
        <v>0</v>
      </c>
      <c r="D46" s="572">
        <f t="shared" si="19"/>
        <v>0</v>
      </c>
      <c r="E46" s="572">
        <f t="shared" si="19"/>
        <v>0</v>
      </c>
      <c r="F46" s="572">
        <f t="shared" si="19"/>
        <v>0</v>
      </c>
      <c r="G46" s="572">
        <f t="shared" si="19"/>
        <v>0</v>
      </c>
      <c r="H46" s="572">
        <f t="shared" si="19"/>
        <v>0</v>
      </c>
      <c r="I46" s="572">
        <f t="shared" si="19"/>
        <v>0</v>
      </c>
      <c r="J46" s="572">
        <f t="shared" si="19"/>
        <v>0</v>
      </c>
      <c r="K46" s="572">
        <f t="shared" si="19"/>
        <v>0</v>
      </c>
      <c r="L46" s="572">
        <f>+K46</f>
        <v>0</v>
      </c>
      <c r="M46" s="572">
        <f>+L46</f>
        <v>0</v>
      </c>
      <c r="N46" s="572">
        <f>+M46</f>
        <v>0</v>
      </c>
      <c r="O46" s="572">
        <f>+N46</f>
        <v>0</v>
      </c>
      <c r="P46" s="572">
        <f t="shared" ref="P46:Z46" si="20">+O46</f>
        <v>0</v>
      </c>
      <c r="Q46" s="572">
        <f t="shared" si="20"/>
        <v>0</v>
      </c>
      <c r="R46" s="572">
        <f t="shared" si="20"/>
        <v>0</v>
      </c>
      <c r="S46" s="572">
        <f t="shared" si="20"/>
        <v>0</v>
      </c>
      <c r="T46" s="572">
        <f t="shared" si="20"/>
        <v>0</v>
      </c>
      <c r="U46" s="572">
        <f t="shared" si="20"/>
        <v>0</v>
      </c>
      <c r="V46" s="572">
        <f t="shared" si="20"/>
        <v>0</v>
      </c>
      <c r="W46" s="572">
        <f t="shared" si="20"/>
        <v>0</v>
      </c>
      <c r="X46" s="572">
        <f t="shared" si="20"/>
        <v>0</v>
      </c>
      <c r="Y46" s="572">
        <f t="shared" si="20"/>
        <v>0</v>
      </c>
      <c r="Z46" s="572">
        <f t="shared" si="20"/>
        <v>0</v>
      </c>
    </row>
  </sheetData>
  <pageMargins left="0.7" right="0.7" top="0.75" bottom="0.75" header="0.3" footer="0.3"/>
  <pageSetup orientation="portrait" horizontalDpi="200" verticalDpi="1200"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tabColor rgb="FFFF0000"/>
  </sheetPr>
  <dimension ref="B2:BV52"/>
  <sheetViews>
    <sheetView zoomScale="70" zoomScaleNormal="70" workbookViewId="0">
      <pane xSplit="2" ySplit="6" topLeftCell="AA7" activePane="bottomRight" state="frozen"/>
      <selection activeCell="Z64" sqref="Z64"/>
      <selection pane="topRight" activeCell="Z64" sqref="Z64"/>
      <selection pane="bottomLeft" activeCell="Z64" sqref="Z64"/>
      <selection pane="bottomRight" activeCell="AF8" sqref="AF8"/>
    </sheetView>
  </sheetViews>
  <sheetFormatPr defaultColWidth="10.7109375" defaultRowHeight="15" outlineLevelCol="1" x14ac:dyDescent="0.25"/>
  <cols>
    <col min="1" max="1" width="3.28515625" style="40" customWidth="1"/>
    <col min="2" max="2" width="30.140625" style="40" bestFit="1" customWidth="1"/>
    <col min="3" max="3" width="15.7109375" style="40" hidden="1" customWidth="1" outlineLevel="1"/>
    <col min="4" max="4" width="16" style="40" hidden="1" customWidth="1" outlineLevel="1"/>
    <col min="5" max="5" width="15.7109375" style="40" hidden="1" customWidth="1" outlineLevel="1"/>
    <col min="6" max="6" width="14.85546875" style="40" hidden="1" customWidth="1" outlineLevel="1"/>
    <col min="7" max="7" width="16" style="40" hidden="1" customWidth="1" outlineLevel="1"/>
    <col min="8" max="8" width="15.7109375" style="40" hidden="1" customWidth="1" outlineLevel="1"/>
    <col min="9" max="13" width="16" style="40" hidden="1" customWidth="1" outlineLevel="1"/>
    <col min="14" max="14" width="18.140625" style="40" hidden="1" customWidth="1" outlineLevel="1"/>
    <col min="15" max="18" width="14.85546875" style="40" hidden="1" customWidth="1" outlineLevel="1"/>
    <col min="19" max="19" width="14.42578125" style="40" hidden="1" customWidth="1" outlineLevel="1"/>
    <col min="20" max="24" width="14.85546875" style="40" hidden="1" customWidth="1" outlineLevel="1"/>
    <col min="25" max="25" width="15.5703125" style="40" hidden="1" customWidth="1" outlineLevel="1"/>
    <col min="26" max="26" width="15" style="40" hidden="1" customWidth="1" outlineLevel="1"/>
    <col min="27" max="27" width="15.85546875" style="40" bestFit="1" customWidth="1" collapsed="1"/>
    <col min="28" max="29" width="16.42578125" style="40" bestFit="1" customWidth="1"/>
    <col min="30" max="30" width="16.85546875" style="40" bestFit="1" customWidth="1"/>
    <col min="31" max="31" width="15.85546875" style="40" bestFit="1" customWidth="1"/>
    <col min="32" max="35" width="14.5703125" style="40" customWidth="1"/>
    <col min="36" max="36" width="14.5703125" style="40" bestFit="1" customWidth="1"/>
    <col min="37" max="37" width="13.7109375" style="40" customWidth="1"/>
    <col min="38" max="38" width="14.5703125" style="40" bestFit="1" customWidth="1"/>
    <col min="39" max="49" width="13.7109375" style="40" customWidth="1"/>
    <col min="50" max="50" width="16.42578125" style="40" bestFit="1" customWidth="1"/>
    <col min="51" max="74" width="13.7109375" style="40" customWidth="1"/>
    <col min="75" max="16384" width="10.7109375" style="40"/>
  </cols>
  <sheetData>
    <row r="2" spans="2:74" x14ac:dyDescent="0.25">
      <c r="B2" s="636" t="s">
        <v>1110</v>
      </c>
    </row>
    <row r="3" spans="2:74" x14ac:dyDescent="0.25">
      <c r="B3" s="999" t="s">
        <v>924</v>
      </c>
      <c r="C3" s="865">
        <f>Sensativities!B3</f>
        <v>40909</v>
      </c>
      <c r="D3" s="865">
        <f t="shared" ref="D3:N3" si="0">C3+33</f>
        <v>40942</v>
      </c>
      <c r="E3" s="865">
        <f t="shared" si="0"/>
        <v>40975</v>
      </c>
      <c r="F3" s="865">
        <f t="shared" si="0"/>
        <v>41008</v>
      </c>
      <c r="G3" s="865">
        <f t="shared" si="0"/>
        <v>41041</v>
      </c>
      <c r="H3" s="865">
        <f t="shared" si="0"/>
        <v>41074</v>
      </c>
      <c r="I3" s="865">
        <f t="shared" si="0"/>
        <v>41107</v>
      </c>
      <c r="J3" s="865">
        <f t="shared" si="0"/>
        <v>41140</v>
      </c>
      <c r="K3" s="865">
        <f t="shared" si="0"/>
        <v>41173</v>
      </c>
      <c r="L3" s="865">
        <f t="shared" si="0"/>
        <v>41206</v>
      </c>
      <c r="M3" s="865">
        <f t="shared" si="0"/>
        <v>41239</v>
      </c>
      <c r="N3" s="865">
        <f t="shared" si="0"/>
        <v>41272</v>
      </c>
      <c r="O3" s="865">
        <f>N3+10</f>
        <v>41282</v>
      </c>
      <c r="P3" s="865">
        <f t="shared" ref="P3:AA3" si="1">O3+30</f>
        <v>41312</v>
      </c>
      <c r="Q3" s="865">
        <f t="shared" si="1"/>
        <v>41342</v>
      </c>
      <c r="R3" s="865">
        <f t="shared" si="1"/>
        <v>41372</v>
      </c>
      <c r="S3" s="865">
        <f t="shared" si="1"/>
        <v>41402</v>
      </c>
      <c r="T3" s="865">
        <f t="shared" si="1"/>
        <v>41432</v>
      </c>
      <c r="U3" s="865">
        <f t="shared" si="1"/>
        <v>41462</v>
      </c>
      <c r="V3" s="865">
        <f t="shared" si="1"/>
        <v>41492</v>
      </c>
      <c r="W3" s="865">
        <f t="shared" si="1"/>
        <v>41522</v>
      </c>
      <c r="X3" s="865">
        <f t="shared" si="1"/>
        <v>41552</v>
      </c>
      <c r="Y3" s="865">
        <f t="shared" si="1"/>
        <v>41582</v>
      </c>
      <c r="Z3" s="865">
        <f t="shared" si="1"/>
        <v>41612</v>
      </c>
      <c r="AA3" s="865">
        <f t="shared" si="1"/>
        <v>41642</v>
      </c>
      <c r="AB3" s="865">
        <f t="shared" ref="AB3:AK3" si="2">AA3+33</f>
        <v>41675</v>
      </c>
      <c r="AC3" s="865">
        <f t="shared" si="2"/>
        <v>41708</v>
      </c>
      <c r="AD3" s="865">
        <f t="shared" si="2"/>
        <v>41741</v>
      </c>
      <c r="AE3" s="865">
        <f t="shared" si="2"/>
        <v>41774</v>
      </c>
      <c r="AF3" s="865">
        <f t="shared" si="2"/>
        <v>41807</v>
      </c>
      <c r="AG3" s="865">
        <f t="shared" si="2"/>
        <v>41840</v>
      </c>
      <c r="AH3" s="865">
        <f t="shared" si="2"/>
        <v>41873</v>
      </c>
      <c r="AI3" s="865">
        <f t="shared" si="2"/>
        <v>41906</v>
      </c>
      <c r="AJ3" s="865">
        <f t="shared" si="2"/>
        <v>41939</v>
      </c>
      <c r="AK3" s="865">
        <f t="shared" si="2"/>
        <v>41972</v>
      </c>
      <c r="AL3" s="865">
        <f>AK3+10</f>
        <v>41982</v>
      </c>
      <c r="AM3" s="865">
        <f t="shared" ref="AM3:BD3" si="3">AL3+30</f>
        <v>42012</v>
      </c>
      <c r="AN3" s="865">
        <f t="shared" si="3"/>
        <v>42042</v>
      </c>
      <c r="AO3" s="865">
        <f t="shared" si="3"/>
        <v>42072</v>
      </c>
      <c r="AP3" s="865">
        <f t="shared" si="3"/>
        <v>42102</v>
      </c>
      <c r="AQ3" s="865">
        <f t="shared" si="3"/>
        <v>42132</v>
      </c>
      <c r="AR3" s="865">
        <f t="shared" si="3"/>
        <v>42162</v>
      </c>
      <c r="AS3" s="865">
        <f t="shared" si="3"/>
        <v>42192</v>
      </c>
      <c r="AT3" s="865">
        <f t="shared" si="3"/>
        <v>42222</v>
      </c>
      <c r="AU3" s="865">
        <f t="shared" si="3"/>
        <v>42252</v>
      </c>
      <c r="AV3" s="865">
        <f t="shared" si="3"/>
        <v>42282</v>
      </c>
      <c r="AW3" s="865">
        <f t="shared" si="3"/>
        <v>42312</v>
      </c>
      <c r="AX3" s="865">
        <f t="shared" si="3"/>
        <v>42342</v>
      </c>
      <c r="AY3" s="865">
        <f t="shared" si="3"/>
        <v>42372</v>
      </c>
      <c r="AZ3" s="865">
        <f t="shared" si="3"/>
        <v>42402</v>
      </c>
      <c r="BA3" s="865">
        <f t="shared" si="3"/>
        <v>42432</v>
      </c>
      <c r="BB3" s="865">
        <f t="shared" si="3"/>
        <v>42462</v>
      </c>
      <c r="BC3" s="865">
        <f t="shared" si="3"/>
        <v>42492</v>
      </c>
      <c r="BD3" s="865">
        <f t="shared" si="3"/>
        <v>42522</v>
      </c>
      <c r="BE3" s="865">
        <f>BD3+33</f>
        <v>42555</v>
      </c>
      <c r="BF3" s="865">
        <f>BE3+30</f>
        <v>42585</v>
      </c>
      <c r="BG3" s="865">
        <f>BF3+30</f>
        <v>42615</v>
      </c>
      <c r="BH3" s="865">
        <f>BG3+30</f>
        <v>42645</v>
      </c>
      <c r="BI3" s="865">
        <f>BH3+30</f>
        <v>42675</v>
      </c>
      <c r="BJ3" s="865">
        <f>BI3+30</f>
        <v>42705</v>
      </c>
      <c r="BK3" s="865">
        <v>42736</v>
      </c>
      <c r="BL3" s="865">
        <v>42767</v>
      </c>
      <c r="BM3" s="865">
        <v>42795</v>
      </c>
      <c r="BN3" s="865">
        <v>42826</v>
      </c>
      <c r="BO3" s="865">
        <v>42856</v>
      </c>
      <c r="BP3" s="865">
        <v>42887</v>
      </c>
      <c r="BQ3" s="865">
        <v>42917</v>
      </c>
      <c r="BR3" s="865">
        <v>42948</v>
      </c>
      <c r="BS3" s="865">
        <v>42979</v>
      </c>
      <c r="BT3" s="865">
        <v>43009</v>
      </c>
      <c r="BU3" s="865">
        <v>43040</v>
      </c>
      <c r="BV3" s="865">
        <v>43070</v>
      </c>
    </row>
    <row r="4" spans="2:74" x14ac:dyDescent="0.25">
      <c r="B4" s="571" t="s">
        <v>1108</v>
      </c>
      <c r="C4" s="56" t="str">
        <f t="shared" ref="C4:BC4" si="4">CONCATENATE(IF(MONTH(C3)&lt;4,"1Q",IF(MONTH(C3)&lt;7,"2Q",IF(MONTH(C3)&lt;10,"3Q","4Q")))&amp; ""&amp;YEAR(C3))</f>
        <v>1Q2012</v>
      </c>
      <c r="D4" s="56" t="str">
        <f t="shared" si="4"/>
        <v>1Q2012</v>
      </c>
      <c r="E4" s="56" t="str">
        <f t="shared" si="4"/>
        <v>1Q2012</v>
      </c>
      <c r="F4" s="56" t="str">
        <f t="shared" si="4"/>
        <v>2Q2012</v>
      </c>
      <c r="G4" s="56" t="str">
        <f t="shared" si="4"/>
        <v>2Q2012</v>
      </c>
      <c r="H4" s="56" t="str">
        <f t="shared" si="4"/>
        <v>2Q2012</v>
      </c>
      <c r="I4" s="56" t="str">
        <f t="shared" si="4"/>
        <v>3Q2012</v>
      </c>
      <c r="J4" s="56" t="str">
        <f t="shared" si="4"/>
        <v>3Q2012</v>
      </c>
      <c r="K4" s="56" t="str">
        <f t="shared" si="4"/>
        <v>3Q2012</v>
      </c>
      <c r="L4" s="56" t="str">
        <f t="shared" si="4"/>
        <v>4Q2012</v>
      </c>
      <c r="M4" s="56" t="str">
        <f t="shared" si="4"/>
        <v>4Q2012</v>
      </c>
      <c r="N4" s="56" t="str">
        <f t="shared" si="4"/>
        <v>4Q2012</v>
      </c>
      <c r="O4" s="56" t="str">
        <f t="shared" si="4"/>
        <v>1Q2013</v>
      </c>
      <c r="P4" s="56" t="str">
        <f t="shared" si="4"/>
        <v>1Q2013</v>
      </c>
      <c r="Q4" s="56" t="str">
        <f t="shared" si="4"/>
        <v>1Q2013</v>
      </c>
      <c r="R4" s="56" t="str">
        <f t="shared" si="4"/>
        <v>2Q2013</v>
      </c>
      <c r="S4" s="56" t="str">
        <f t="shared" si="4"/>
        <v>2Q2013</v>
      </c>
      <c r="T4" s="56" t="str">
        <f t="shared" si="4"/>
        <v>2Q2013</v>
      </c>
      <c r="U4" s="56" t="str">
        <f t="shared" si="4"/>
        <v>3Q2013</v>
      </c>
      <c r="V4" s="56" t="str">
        <f t="shared" si="4"/>
        <v>3Q2013</v>
      </c>
      <c r="W4" s="56" t="str">
        <f t="shared" si="4"/>
        <v>3Q2013</v>
      </c>
      <c r="X4" s="56" t="str">
        <f t="shared" si="4"/>
        <v>4Q2013</v>
      </c>
      <c r="Y4" s="56" t="str">
        <f t="shared" si="4"/>
        <v>4Q2013</v>
      </c>
      <c r="Z4" s="56" t="str">
        <f t="shared" si="4"/>
        <v>4Q2013</v>
      </c>
      <c r="AA4" s="56" t="str">
        <f t="shared" si="4"/>
        <v>1Q2014</v>
      </c>
      <c r="AB4" s="56" t="str">
        <f t="shared" si="4"/>
        <v>1Q2014</v>
      </c>
      <c r="AC4" s="56" t="str">
        <f t="shared" si="4"/>
        <v>1Q2014</v>
      </c>
      <c r="AD4" s="56" t="str">
        <f t="shared" si="4"/>
        <v>2Q2014</v>
      </c>
      <c r="AE4" s="56" t="str">
        <f t="shared" si="4"/>
        <v>2Q2014</v>
      </c>
      <c r="AF4" s="56" t="str">
        <f t="shared" si="4"/>
        <v>2Q2014</v>
      </c>
      <c r="AG4" s="56" t="str">
        <f t="shared" si="4"/>
        <v>3Q2014</v>
      </c>
      <c r="AH4" s="56" t="str">
        <f t="shared" si="4"/>
        <v>3Q2014</v>
      </c>
      <c r="AI4" s="56" t="str">
        <f t="shared" si="4"/>
        <v>3Q2014</v>
      </c>
      <c r="AJ4" s="56" t="str">
        <f t="shared" si="4"/>
        <v>4Q2014</v>
      </c>
      <c r="AK4" s="56" t="str">
        <f t="shared" si="4"/>
        <v>4Q2014</v>
      </c>
      <c r="AL4" s="56" t="str">
        <f t="shared" si="4"/>
        <v>4Q2014</v>
      </c>
      <c r="AM4" s="56" t="str">
        <f t="shared" si="4"/>
        <v>1Q2015</v>
      </c>
      <c r="AN4" s="56" t="str">
        <f t="shared" si="4"/>
        <v>1Q2015</v>
      </c>
      <c r="AO4" s="56" t="str">
        <f t="shared" si="4"/>
        <v>1Q2015</v>
      </c>
      <c r="AP4" s="56" t="str">
        <f t="shared" si="4"/>
        <v>2Q2015</v>
      </c>
      <c r="AQ4" s="56" t="str">
        <f t="shared" si="4"/>
        <v>2Q2015</v>
      </c>
      <c r="AR4" s="56" t="str">
        <f t="shared" si="4"/>
        <v>2Q2015</v>
      </c>
      <c r="AS4" s="56" t="str">
        <f t="shared" si="4"/>
        <v>3Q2015</v>
      </c>
      <c r="AT4" s="56" t="str">
        <f t="shared" si="4"/>
        <v>3Q2015</v>
      </c>
      <c r="AU4" s="56" t="str">
        <f t="shared" si="4"/>
        <v>3Q2015</v>
      </c>
      <c r="AV4" s="56" t="str">
        <f t="shared" si="4"/>
        <v>4Q2015</v>
      </c>
      <c r="AW4" s="56" t="str">
        <f t="shared" si="4"/>
        <v>4Q2015</v>
      </c>
      <c r="AX4" s="56" t="str">
        <f t="shared" si="4"/>
        <v>4Q2015</v>
      </c>
      <c r="AY4" s="56" t="str">
        <f t="shared" si="4"/>
        <v>1Q2016</v>
      </c>
      <c r="AZ4" s="56" t="str">
        <f t="shared" si="4"/>
        <v>1Q2016</v>
      </c>
      <c r="BA4" s="56" t="str">
        <f t="shared" si="4"/>
        <v>1Q2016</v>
      </c>
      <c r="BB4" s="56" t="str">
        <f t="shared" si="4"/>
        <v>2Q2016</v>
      </c>
      <c r="BC4" s="56" t="str">
        <f t="shared" si="4"/>
        <v>2Q2016</v>
      </c>
      <c r="BD4" s="56" t="str">
        <f t="shared" ref="BD4:BO4" si="5">CONCATENATE(IF(MONTH(BD3)&lt;4,"1Q",IF(MONTH(BD3)&lt;7,"2Q",IF(MONTH(BD3)&lt;10,"3Q","4Q")))&amp; ""&amp;YEAR(BD3))</f>
        <v>2Q2016</v>
      </c>
      <c r="BE4" s="56" t="str">
        <f t="shared" si="5"/>
        <v>3Q2016</v>
      </c>
      <c r="BF4" s="56" t="str">
        <f t="shared" si="5"/>
        <v>3Q2016</v>
      </c>
      <c r="BG4" s="56" t="str">
        <f t="shared" si="5"/>
        <v>3Q2016</v>
      </c>
      <c r="BH4" s="56" t="str">
        <f t="shared" si="5"/>
        <v>4Q2016</v>
      </c>
      <c r="BI4" s="56" t="str">
        <f t="shared" si="5"/>
        <v>4Q2016</v>
      </c>
      <c r="BJ4" s="56" t="str">
        <f t="shared" si="5"/>
        <v>4Q2016</v>
      </c>
      <c r="BK4" s="56" t="str">
        <f t="shared" si="5"/>
        <v>1Q2017</v>
      </c>
      <c r="BL4" s="56" t="str">
        <f t="shared" si="5"/>
        <v>1Q2017</v>
      </c>
      <c r="BM4" s="56" t="str">
        <f t="shared" si="5"/>
        <v>1Q2017</v>
      </c>
      <c r="BN4" s="56" t="str">
        <f t="shared" si="5"/>
        <v>2Q2017</v>
      </c>
      <c r="BO4" s="56" t="str">
        <f t="shared" si="5"/>
        <v>2Q2017</v>
      </c>
      <c r="BP4" s="56" t="str">
        <f t="shared" ref="BP4:BV4" si="6">CONCATENATE(IF(MONTH(BP3)&lt;4,"1Q",IF(MONTH(BP3)&lt;7,"2Q",IF(MONTH(BP3)&lt;10,"3Q","4Q")))&amp; ""&amp;YEAR(BP3))</f>
        <v>2Q2017</v>
      </c>
      <c r="BQ4" s="56" t="str">
        <f t="shared" si="6"/>
        <v>3Q2017</v>
      </c>
      <c r="BR4" s="56" t="str">
        <f t="shared" si="6"/>
        <v>3Q2017</v>
      </c>
      <c r="BS4" s="56" t="str">
        <f t="shared" si="6"/>
        <v>3Q2017</v>
      </c>
      <c r="BT4" s="56" t="str">
        <f t="shared" si="6"/>
        <v>4Q2017</v>
      </c>
      <c r="BU4" s="56" t="str">
        <f t="shared" si="6"/>
        <v>4Q2017</v>
      </c>
      <c r="BV4" s="56" t="str">
        <f t="shared" si="6"/>
        <v>4Q2017</v>
      </c>
    </row>
    <row r="5" spans="2:74" x14ac:dyDescent="0.25">
      <c r="B5" s="571" t="s">
        <v>1109</v>
      </c>
      <c r="C5" s="55">
        <f t="shared" ref="C5:BC5" si="7">YEAR(C3)</f>
        <v>2012</v>
      </c>
      <c r="D5" s="55">
        <f t="shared" si="7"/>
        <v>2012</v>
      </c>
      <c r="E5" s="55">
        <f t="shared" si="7"/>
        <v>2012</v>
      </c>
      <c r="F5" s="55">
        <f t="shared" si="7"/>
        <v>2012</v>
      </c>
      <c r="G5" s="55">
        <f t="shared" si="7"/>
        <v>2012</v>
      </c>
      <c r="H5" s="55">
        <f t="shared" si="7"/>
        <v>2012</v>
      </c>
      <c r="I5" s="55">
        <f t="shared" si="7"/>
        <v>2012</v>
      </c>
      <c r="J5" s="55">
        <f t="shared" si="7"/>
        <v>2012</v>
      </c>
      <c r="K5" s="55">
        <f t="shared" si="7"/>
        <v>2012</v>
      </c>
      <c r="L5" s="55">
        <f t="shared" si="7"/>
        <v>2012</v>
      </c>
      <c r="M5" s="55">
        <f t="shared" si="7"/>
        <v>2012</v>
      </c>
      <c r="N5" s="55">
        <f t="shared" si="7"/>
        <v>2012</v>
      </c>
      <c r="O5" s="55">
        <f t="shared" si="7"/>
        <v>2013</v>
      </c>
      <c r="P5" s="55">
        <f t="shared" si="7"/>
        <v>2013</v>
      </c>
      <c r="Q5" s="55">
        <f t="shared" si="7"/>
        <v>2013</v>
      </c>
      <c r="R5" s="55">
        <f t="shared" si="7"/>
        <v>2013</v>
      </c>
      <c r="S5" s="55">
        <f t="shared" si="7"/>
        <v>2013</v>
      </c>
      <c r="T5" s="55">
        <f t="shared" si="7"/>
        <v>2013</v>
      </c>
      <c r="U5" s="55">
        <f t="shared" si="7"/>
        <v>2013</v>
      </c>
      <c r="V5" s="55">
        <f t="shared" si="7"/>
        <v>2013</v>
      </c>
      <c r="W5" s="55">
        <f t="shared" si="7"/>
        <v>2013</v>
      </c>
      <c r="X5" s="55">
        <f t="shared" si="7"/>
        <v>2013</v>
      </c>
      <c r="Y5" s="55">
        <f t="shared" si="7"/>
        <v>2013</v>
      </c>
      <c r="Z5" s="55">
        <f t="shared" si="7"/>
        <v>2013</v>
      </c>
      <c r="AA5" s="55">
        <f t="shared" si="7"/>
        <v>2014</v>
      </c>
      <c r="AB5" s="55">
        <f t="shared" si="7"/>
        <v>2014</v>
      </c>
      <c r="AC5" s="55">
        <f t="shared" si="7"/>
        <v>2014</v>
      </c>
      <c r="AD5" s="55">
        <f t="shared" si="7"/>
        <v>2014</v>
      </c>
      <c r="AE5" s="55">
        <f t="shared" si="7"/>
        <v>2014</v>
      </c>
      <c r="AF5" s="55">
        <f t="shared" si="7"/>
        <v>2014</v>
      </c>
      <c r="AG5" s="55">
        <f t="shared" si="7"/>
        <v>2014</v>
      </c>
      <c r="AH5" s="55">
        <f t="shared" si="7"/>
        <v>2014</v>
      </c>
      <c r="AI5" s="55">
        <f t="shared" si="7"/>
        <v>2014</v>
      </c>
      <c r="AJ5" s="55">
        <f t="shared" si="7"/>
        <v>2014</v>
      </c>
      <c r="AK5" s="55">
        <f t="shared" si="7"/>
        <v>2014</v>
      </c>
      <c r="AL5" s="55">
        <f t="shared" si="7"/>
        <v>2014</v>
      </c>
      <c r="AM5" s="55">
        <f t="shared" si="7"/>
        <v>2015</v>
      </c>
      <c r="AN5" s="55">
        <f t="shared" si="7"/>
        <v>2015</v>
      </c>
      <c r="AO5" s="55">
        <f t="shared" si="7"/>
        <v>2015</v>
      </c>
      <c r="AP5" s="55">
        <f t="shared" si="7"/>
        <v>2015</v>
      </c>
      <c r="AQ5" s="55">
        <f t="shared" si="7"/>
        <v>2015</v>
      </c>
      <c r="AR5" s="55">
        <f t="shared" si="7"/>
        <v>2015</v>
      </c>
      <c r="AS5" s="55">
        <f t="shared" si="7"/>
        <v>2015</v>
      </c>
      <c r="AT5" s="55">
        <f t="shared" si="7"/>
        <v>2015</v>
      </c>
      <c r="AU5" s="55">
        <f t="shared" si="7"/>
        <v>2015</v>
      </c>
      <c r="AV5" s="55">
        <f t="shared" si="7"/>
        <v>2015</v>
      </c>
      <c r="AW5" s="55">
        <f t="shared" si="7"/>
        <v>2015</v>
      </c>
      <c r="AX5" s="55">
        <f t="shared" si="7"/>
        <v>2015</v>
      </c>
      <c r="AY5" s="55">
        <f t="shared" si="7"/>
        <v>2016</v>
      </c>
      <c r="AZ5" s="55">
        <f t="shared" si="7"/>
        <v>2016</v>
      </c>
      <c r="BA5" s="55">
        <f t="shared" si="7"/>
        <v>2016</v>
      </c>
      <c r="BB5" s="55">
        <f t="shared" si="7"/>
        <v>2016</v>
      </c>
      <c r="BC5" s="55">
        <f t="shared" si="7"/>
        <v>2016</v>
      </c>
      <c r="BD5" s="55">
        <f t="shared" ref="BD5:BO5" si="8">YEAR(BD3)</f>
        <v>2016</v>
      </c>
      <c r="BE5" s="55">
        <f t="shared" si="8"/>
        <v>2016</v>
      </c>
      <c r="BF5" s="55">
        <f t="shared" si="8"/>
        <v>2016</v>
      </c>
      <c r="BG5" s="55">
        <f t="shared" si="8"/>
        <v>2016</v>
      </c>
      <c r="BH5" s="55">
        <f t="shared" si="8"/>
        <v>2016</v>
      </c>
      <c r="BI5" s="55">
        <f t="shared" si="8"/>
        <v>2016</v>
      </c>
      <c r="BJ5" s="55">
        <f t="shared" si="8"/>
        <v>2016</v>
      </c>
      <c r="BK5" s="55">
        <f t="shared" si="8"/>
        <v>2017</v>
      </c>
      <c r="BL5" s="55">
        <f t="shared" si="8"/>
        <v>2017</v>
      </c>
      <c r="BM5" s="55">
        <f t="shared" si="8"/>
        <v>2017</v>
      </c>
      <c r="BN5" s="55">
        <f t="shared" si="8"/>
        <v>2017</v>
      </c>
      <c r="BO5" s="55">
        <f t="shared" si="8"/>
        <v>2017</v>
      </c>
      <c r="BP5" s="55">
        <f t="shared" ref="BP5:BV5" si="9">YEAR(BP3)</f>
        <v>2017</v>
      </c>
      <c r="BQ5" s="55">
        <f t="shared" si="9"/>
        <v>2017</v>
      </c>
      <c r="BR5" s="55">
        <f t="shared" si="9"/>
        <v>2017</v>
      </c>
      <c r="BS5" s="55">
        <f t="shared" si="9"/>
        <v>2017</v>
      </c>
      <c r="BT5" s="55">
        <f t="shared" si="9"/>
        <v>2017</v>
      </c>
      <c r="BU5" s="55">
        <f t="shared" si="9"/>
        <v>2017</v>
      </c>
      <c r="BV5" s="55">
        <f t="shared" si="9"/>
        <v>2017</v>
      </c>
    </row>
    <row r="6" spans="2:74" x14ac:dyDescent="0.25">
      <c r="B6" s="998" t="s">
        <v>1107</v>
      </c>
      <c r="C6" s="980" t="str">
        <f>'Dept. Cost Actuals'!G4</f>
        <v>Actual</v>
      </c>
      <c r="D6" s="980" t="str">
        <f>'Dept. Cost Actuals'!H4</f>
        <v>Actual</v>
      </c>
      <c r="E6" s="980" t="str">
        <f>'Dept. Cost Actuals'!I4</f>
        <v>Actual</v>
      </c>
      <c r="F6" s="980" t="str">
        <f>'Dept. Cost Actuals'!J4</f>
        <v>Actual</v>
      </c>
      <c r="G6" s="980" t="str">
        <f>'Dept. Cost Actuals'!K4</f>
        <v>Actual</v>
      </c>
      <c r="H6" s="980" t="str">
        <f>'Dept. Cost Actuals'!L4</f>
        <v>Actual</v>
      </c>
      <c r="I6" s="980" t="str">
        <f>'Dept. Cost Actuals'!M4</f>
        <v>Actual</v>
      </c>
      <c r="J6" s="980" t="str">
        <f>'Dept. Cost Actuals'!N4</f>
        <v>Actual</v>
      </c>
      <c r="K6" s="980" t="str">
        <f>'Dept. Cost Actuals'!O4</f>
        <v>Actual</v>
      </c>
      <c r="L6" s="980" t="str">
        <f>'Dept. Cost Actuals'!P4</f>
        <v>Actual</v>
      </c>
      <c r="M6" s="980" t="str">
        <f>'Dept. Cost Actuals'!Q4</f>
        <v>Actual</v>
      </c>
      <c r="N6" s="980" t="str">
        <f>'Dept. Cost Actuals'!R4</f>
        <v>Actual</v>
      </c>
      <c r="O6" s="980" t="str">
        <f>'Dept. Cost Actuals'!S4</f>
        <v>Actual</v>
      </c>
      <c r="P6" s="980" t="str">
        <f>'Dept. Cost Actuals'!T4</f>
        <v>Actual</v>
      </c>
      <c r="Q6" s="980" t="str">
        <f>'Dept. Cost Actuals'!U4</f>
        <v>Actual</v>
      </c>
      <c r="R6" s="980" t="str">
        <f>'Dept. Cost Actuals'!V4</f>
        <v>Actual</v>
      </c>
      <c r="S6" s="980" t="str">
        <f>'Dept. Cost Actuals'!W4</f>
        <v>Actual</v>
      </c>
      <c r="T6" s="980" t="str">
        <f>'Dept. Cost Actuals'!X4</f>
        <v>Actual</v>
      </c>
      <c r="U6" s="980" t="str">
        <f>'Dept. Cost Actuals'!Y4</f>
        <v>Actual</v>
      </c>
      <c r="V6" s="980" t="str">
        <f>'Dept. Cost Actuals'!Z4</f>
        <v>Actual</v>
      </c>
      <c r="W6" s="980" t="str">
        <f>'Dept. Cost Actuals'!AA4</f>
        <v>Actual</v>
      </c>
      <c r="X6" s="980" t="str">
        <f>'Dept. Cost Actuals'!AB4</f>
        <v>Actual</v>
      </c>
      <c r="Y6" s="980" t="str">
        <f>'Dept. Cost Actuals'!AC4</f>
        <v>Actual</v>
      </c>
      <c r="Z6" s="980" t="str">
        <f>'Dept. Cost Actuals'!AD4</f>
        <v>Actual</v>
      </c>
      <c r="AA6" s="980" t="s">
        <v>5</v>
      </c>
      <c r="AB6" s="980" t="str">
        <f>'Dept. Cost Actuals'!AF4</f>
        <v>Actual</v>
      </c>
      <c r="AC6" s="980" t="str">
        <f>'Dept. Cost Actuals'!AG4</f>
        <v>Actual</v>
      </c>
      <c r="AD6" s="980" t="str">
        <f>'Dept. Cost Actuals'!AH4</f>
        <v>Forecast</v>
      </c>
      <c r="AE6" s="980" t="str">
        <f>'Dept. Cost Actuals'!AI4</f>
        <v>Forecast</v>
      </c>
      <c r="AF6" s="980" t="str">
        <f>'Dept. Cost Actuals'!AJ4</f>
        <v>Forecast</v>
      </c>
      <c r="AG6" s="980" t="str">
        <f>'Dept. Cost Actuals'!AK4</f>
        <v>Forecast</v>
      </c>
      <c r="AH6" s="980" t="str">
        <f>'Dept. Cost Actuals'!AL4</f>
        <v>Forecast</v>
      </c>
      <c r="AI6" s="980" t="str">
        <f>'Dept. Cost Actuals'!AM4</f>
        <v>Forecast</v>
      </c>
      <c r="AJ6" s="980" t="str">
        <f>'Dept. Cost Actuals'!AN4</f>
        <v>Forecast</v>
      </c>
      <c r="AK6" s="980" t="str">
        <f>'Dept. Cost Actuals'!AO4</f>
        <v>Forecast</v>
      </c>
      <c r="AL6" s="980" t="str">
        <f>'Dept. Cost Actuals'!AP4</f>
        <v>Forecast</v>
      </c>
      <c r="AM6" s="980" t="str">
        <f>'Dept. Cost Actuals'!AQ4</f>
        <v>Forecast</v>
      </c>
      <c r="AN6" s="980" t="str">
        <f>'Dept. Cost Actuals'!AR4</f>
        <v>Forecast</v>
      </c>
      <c r="AO6" s="980" t="str">
        <f>'Dept. Cost Actuals'!AS4</f>
        <v>Forecast</v>
      </c>
      <c r="AP6" s="980" t="str">
        <f>'Dept. Cost Actuals'!AT4</f>
        <v>Forecast</v>
      </c>
      <c r="AQ6" s="980" t="str">
        <f>'Dept. Cost Actuals'!AU4</f>
        <v>Forecast</v>
      </c>
      <c r="AR6" s="980" t="str">
        <f>'Dept. Cost Actuals'!AV4</f>
        <v>Forecast</v>
      </c>
      <c r="AS6" s="980" t="str">
        <f>'Dept. Cost Actuals'!AW4</f>
        <v>Forecast</v>
      </c>
      <c r="AT6" s="980" t="str">
        <f>'Dept. Cost Actuals'!AX4</f>
        <v>Forecast</v>
      </c>
      <c r="AU6" s="980" t="str">
        <f>'Dept. Cost Actuals'!AY4</f>
        <v>Forecast</v>
      </c>
      <c r="AV6" s="980" t="str">
        <f>'Dept. Cost Actuals'!AZ4</f>
        <v>Forecast</v>
      </c>
      <c r="AW6" s="980" t="str">
        <f>'Dept. Cost Actuals'!BA4</f>
        <v>Forecast</v>
      </c>
      <c r="AX6" s="980" t="str">
        <f>'Dept. Cost Actuals'!BB4</f>
        <v>Forecast</v>
      </c>
      <c r="AY6" s="980" t="str">
        <f>'Dept. Cost Actuals'!BC4</f>
        <v>Forecast</v>
      </c>
      <c r="AZ6" s="980" t="str">
        <f>'Dept. Cost Actuals'!BD4</f>
        <v>Forecast</v>
      </c>
      <c r="BA6" s="980" t="str">
        <f>'Dept. Cost Actuals'!BE4</f>
        <v>Forecast</v>
      </c>
      <c r="BB6" s="980" t="str">
        <f>'Dept. Cost Actuals'!BF4</f>
        <v>Forecast</v>
      </c>
      <c r="BC6" s="980" t="str">
        <f>'Dept. Cost Actuals'!BG4</f>
        <v>Forecast</v>
      </c>
      <c r="BD6" s="980" t="str">
        <f>'Dept. Cost Actuals'!BH4</f>
        <v>Forecast</v>
      </c>
      <c r="BE6" s="980" t="str">
        <f>'Dept. Cost Actuals'!BI4</f>
        <v>Forecast</v>
      </c>
      <c r="BF6" s="980" t="str">
        <f>'Dept. Cost Actuals'!BJ4</f>
        <v>Forecast</v>
      </c>
      <c r="BG6" s="980" t="str">
        <f>'Dept. Cost Actuals'!BK4</f>
        <v>Forecast</v>
      </c>
      <c r="BH6" s="980" t="str">
        <f>'Dept. Cost Actuals'!BL4</f>
        <v>Forecast</v>
      </c>
      <c r="BI6" s="980" t="str">
        <f>'Dept. Cost Actuals'!BM4</f>
        <v>Forecast</v>
      </c>
      <c r="BJ6" s="980" t="str">
        <f>'Dept. Cost Actuals'!BN4</f>
        <v>Forecast</v>
      </c>
      <c r="BK6" s="980" t="str">
        <f>'Dept. Cost Actuals'!BO4</f>
        <v>Forecast</v>
      </c>
      <c r="BL6" s="980" t="str">
        <f>'Dept. Cost Actuals'!BP4</f>
        <v>Forecast</v>
      </c>
      <c r="BM6" s="980" t="str">
        <f>'Dept. Cost Actuals'!BQ4</f>
        <v>Forecast</v>
      </c>
      <c r="BN6" s="980" t="str">
        <f>'Dept. Cost Actuals'!BR4</f>
        <v>Forecast</v>
      </c>
      <c r="BO6" s="980" t="str">
        <f>'Dept. Cost Actuals'!BS4</f>
        <v>Forecast</v>
      </c>
      <c r="BP6" s="980" t="str">
        <f>'Dept. Cost Actuals'!BT4</f>
        <v>Forecast</v>
      </c>
      <c r="BQ6" s="980" t="str">
        <f>'Dept. Cost Actuals'!BU4</f>
        <v>Forecast</v>
      </c>
      <c r="BR6" s="980" t="str">
        <f>'Dept. Cost Actuals'!BV4</f>
        <v>Forecast</v>
      </c>
      <c r="BS6" s="980" t="str">
        <f>'Dept. Cost Actuals'!BW4</f>
        <v>Forecast</v>
      </c>
      <c r="BT6" s="980" t="str">
        <f>'Dept. Cost Actuals'!BX4</f>
        <v>Forecast</v>
      </c>
      <c r="BU6" s="980" t="str">
        <f>'Dept. Cost Actuals'!BY4</f>
        <v>Forecast</v>
      </c>
      <c r="BV6" s="980" t="str">
        <f>'Dept. Cost Actuals'!BZ4</f>
        <v>Forecast</v>
      </c>
    </row>
    <row r="7" spans="2:74" x14ac:dyDescent="0.25">
      <c r="B7" s="998"/>
      <c r="C7" s="980"/>
      <c r="D7" s="980"/>
      <c r="E7" s="980"/>
      <c r="F7" s="980"/>
      <c r="G7" s="980"/>
      <c r="H7" s="980"/>
      <c r="I7" s="980"/>
      <c r="J7" s="980"/>
      <c r="K7" s="980"/>
      <c r="L7" s="980"/>
      <c r="M7" s="980"/>
      <c r="N7" s="980"/>
      <c r="O7" s="980"/>
      <c r="P7" s="980"/>
      <c r="Q7" s="980"/>
      <c r="R7" s="980"/>
      <c r="S7" s="980"/>
      <c r="T7" s="980"/>
      <c r="U7" s="980"/>
      <c r="V7" s="980"/>
      <c r="W7" s="980"/>
      <c r="X7" s="980"/>
      <c r="Y7" s="980"/>
      <c r="Z7" s="980"/>
      <c r="AA7" s="980"/>
      <c r="AB7" s="980"/>
      <c r="AC7" s="980"/>
      <c r="AD7" s="980"/>
      <c r="AE7" s="980"/>
      <c r="AF7" s="980"/>
      <c r="AG7" s="980"/>
      <c r="AH7" s="980"/>
      <c r="AI7" s="980"/>
      <c r="AJ7" s="980"/>
      <c r="AK7" s="980"/>
      <c r="AL7" s="980"/>
      <c r="AM7" s="980"/>
      <c r="AN7" s="980"/>
      <c r="AO7" s="980"/>
      <c r="AP7" s="980"/>
      <c r="AQ7" s="980"/>
      <c r="AR7" s="980"/>
      <c r="AS7" s="980"/>
      <c r="AT7" s="980"/>
      <c r="AU7" s="980"/>
      <c r="AV7" s="980"/>
      <c r="AW7" s="980"/>
      <c r="AX7" s="980"/>
      <c r="AY7" s="980"/>
      <c r="AZ7" s="980"/>
      <c r="BA7" s="980"/>
      <c r="BB7" s="980"/>
      <c r="BC7" s="980"/>
      <c r="BD7" s="980"/>
      <c r="BE7" s="980"/>
      <c r="BF7" s="980"/>
      <c r="BG7" s="980"/>
      <c r="BH7" s="980"/>
      <c r="BI7" s="980"/>
      <c r="BJ7" s="980"/>
      <c r="BK7" s="980"/>
      <c r="BL7" s="980"/>
      <c r="BM7" s="980"/>
      <c r="BN7" s="980"/>
      <c r="BO7" s="980"/>
      <c r="BP7" s="980"/>
      <c r="BQ7" s="980"/>
      <c r="BR7" s="980"/>
      <c r="BS7" s="980"/>
      <c r="BT7" s="980"/>
      <c r="BU7" s="980"/>
      <c r="BV7" s="980"/>
    </row>
    <row r="8" spans="2:74" x14ac:dyDescent="0.25">
      <c r="B8" s="979" t="s">
        <v>219</v>
      </c>
      <c r="C8" s="230">
        <f>IF(C6="forecast",'Voice Exp'!E11,'Gross Margin Actual'!D39)</f>
        <v>114123.61</v>
      </c>
      <c r="D8" s="230">
        <f>IF(D6="forecast",'Voice Exp'!F11,'Gross Margin Actual'!E39)</f>
        <v>154940.40000000002</v>
      </c>
      <c r="E8" s="230">
        <f>IF(E6="forecast",'Voice Exp'!G11,'Gross Margin Actual'!F39)</f>
        <v>153693.6</v>
      </c>
      <c r="F8" s="230">
        <f>IF(F6="forecast",'Voice Exp'!H11,'Gross Margin Actual'!G39)</f>
        <v>140652.93</v>
      </c>
      <c r="G8" s="230">
        <f>IF(G6="forecast",'Voice Exp'!I11,'Gross Margin Actual'!H39)</f>
        <v>151105.10999999999</v>
      </c>
      <c r="H8" s="230">
        <f>IF(H6="forecast",'Voice Exp'!J11,'Gross Margin Actual'!I39)</f>
        <v>174986.84</v>
      </c>
      <c r="I8" s="230">
        <f>IF(I6="forecast",'Voice Exp'!K11,'Gross Margin Actual'!J39)</f>
        <v>124185.39</v>
      </c>
      <c r="J8" s="230">
        <f>IF(J6="forecast",'Voice Exp'!L11,'Gross Margin Actual'!K39)</f>
        <v>37615.32</v>
      </c>
      <c r="K8" s="230">
        <f>IF(K6="forecast",'Voice Exp'!M11,'Gross Margin Actual'!L39)</f>
        <v>102063.34</v>
      </c>
      <c r="L8" s="230">
        <f>IF(L6="forecast",'Voice Exp'!N11,'Gross Margin Actual'!M39)</f>
        <v>54380.88</v>
      </c>
      <c r="M8" s="230">
        <f>IF(M6="forecast",'Voice Exp'!O11,'Gross Margin Actual'!N39)</f>
        <v>130805.63999999998</v>
      </c>
      <c r="N8" s="230">
        <f>IF(N6="forecast",'Voice Exp'!P11,'Gross Margin Actual'!O39)</f>
        <v>251407.58</v>
      </c>
      <c r="O8" s="230">
        <f>IF(O6="forecast",'Voice Exp'!Q11,'Gross Margin Actual'!P39)</f>
        <v>64638.600000000006</v>
      </c>
      <c r="P8" s="230">
        <f>IF(P6="forecast",'Voice Exp'!R11,'Gross Margin Actual'!Q39)</f>
        <v>75914.48</v>
      </c>
      <c r="Q8" s="230">
        <f>IF(Q6="forecast",'Voice Exp'!S11,'Gross Margin Actual'!R39)</f>
        <v>103069.56999999999</v>
      </c>
      <c r="R8" s="230">
        <f>IF(R6="forecast",'Voice Exp'!T11,'Gross Margin Actual'!S39)</f>
        <v>87362.32</v>
      </c>
      <c r="S8" s="230">
        <f>IF(S6="forecast",'Voice Exp'!U11,'Gross Margin Actual'!T39)</f>
        <v>98240.57</v>
      </c>
      <c r="T8" s="230">
        <f>IF(T6="forecast",'Voice Exp'!V11,'Gross Margin Actual'!U39)</f>
        <v>86387.87000000001</v>
      </c>
      <c r="U8" s="230">
        <f>IF(U6="forecast",'Voice Exp'!W11,'Gross Margin Actual'!V39)</f>
        <v>100398.06000000001</v>
      </c>
      <c r="V8" s="230">
        <f>IF(V6="forecast",'Voice Exp'!X11,'Gross Margin Actual'!W39)</f>
        <v>80790.740000000005</v>
      </c>
      <c r="W8" s="230">
        <f>IF(W6="forecast",'Voice Exp'!Y11,'Gross Margin Actual'!X39)</f>
        <v>107041.31</v>
      </c>
      <c r="X8" s="230">
        <f>IF(X6="forecast",'Voice Exp'!Z11,'Gross Margin Actual'!Y39)</f>
        <v>119074.54999999999</v>
      </c>
      <c r="Y8" s="230">
        <f>IF(Y6="forecast",'Voice Exp'!AA11,'Gross Margin Actual'!Z39)</f>
        <v>110198.93999999999</v>
      </c>
      <c r="Z8" s="230">
        <f>IF(Z6="forecast",'Voice Exp'!AB11,'Gross Margin Actual'!AA39)</f>
        <v>109527.41</v>
      </c>
      <c r="AA8" s="230">
        <f>IF(AA6="forecast",'Voice Exp'!AC11,'Gross Margin Actual'!AB39)</f>
        <v>95913.24</v>
      </c>
      <c r="AB8" s="230">
        <f>IF(AB6="forecast",'Voice Exp'!AD11,'Gross Margin Actual'!AC39)</f>
        <v>86837.359999999986</v>
      </c>
      <c r="AC8" s="230">
        <f>IF(AC6="forecast",'Voice Exp'!AE11,'Gross Margin Actual'!AD39)</f>
        <v>97737.79</v>
      </c>
      <c r="AD8" s="230">
        <f>IF(AD6="forecast",'Voice Exp'!AF11,'Gross Margin Actual'!AE39)</f>
        <v>106375.92874019642</v>
      </c>
      <c r="AE8" s="230">
        <f>IF(AE6="forecast",'Voice Exp'!AG11,'Gross Margin Actual'!AF39)</f>
        <v>113758.62199782125</v>
      </c>
      <c r="AF8" s="230">
        <f>IF(AF6="forecast",'Voice Exp'!AH11,'Gross Margin Actual'!AG39)</f>
        <v>121016.12032518894</v>
      </c>
      <c r="AG8" s="230">
        <f>IF(AG6="forecast",'Voice Exp'!AI11,'Gross Margin Actual'!AH39)</f>
        <v>106503.07307608381</v>
      </c>
      <c r="AH8" s="230">
        <f>IF(AH6="forecast",'Voice Exp'!AJ11,'Gross Margin Actual'!AI39)</f>
        <v>110897.30680928218</v>
      </c>
      <c r="AI8" s="230">
        <f>IF(AI6="forecast",'Voice Exp'!AK11,'Gross Margin Actual'!AJ39)</f>
        <v>153168.07042049314</v>
      </c>
      <c r="AJ8" s="230">
        <f>IF(AJ6="forecast",'Voice Exp'!AL11,'Gross Margin Actual'!AK39)</f>
        <v>161482.14688315432</v>
      </c>
      <c r="AK8" s="230">
        <f>IF(AK6="forecast",'Voice Exp'!AM11,'Gross Margin Actual'!AL39)</f>
        <v>136712.67075147803</v>
      </c>
      <c r="AL8" s="230">
        <f>IF(AL6="forecast",'Voice Exp'!AN11,'Gross Margin Actual'!AM39)</f>
        <v>124785.42221252894</v>
      </c>
      <c r="AM8" s="230">
        <f>IF(AM6="forecast",'Voice Exp'!AO11,'Gross Margin Actual'!AN39)</f>
        <v>165417.97439844202</v>
      </c>
      <c r="AN8" s="230">
        <f>IF(AN6="forecast",'Voice Exp'!AP11,'Gross Margin Actual'!AO39)</f>
        <v>173511.98954127773</v>
      </c>
      <c r="AO8" s="230">
        <f>IF(AO6="forecast",'Voice Exp'!AQ11,'Gross Margin Actual'!AP39)</f>
        <v>182477.02514302492</v>
      </c>
      <c r="AP8" s="230">
        <f>IF(AP6="forecast",'Voice Exp'!AR11,'Gross Margin Actual'!AQ39)</f>
        <v>190302.79463049801</v>
      </c>
      <c r="AQ8" s="230">
        <f>IF(AQ6="forecast",'Voice Exp'!AS11,'Gross Margin Actual'!AR39)</f>
        <v>197280.17091557494</v>
      </c>
      <c r="AR8" s="230">
        <f>IF(AR6="forecast",'Voice Exp'!AT11,'Gross Margin Actual'!AS39)</f>
        <v>204034.92317507431</v>
      </c>
      <c r="AS8" s="230">
        <f>IF(AS6="forecast",'Voice Exp'!AU11,'Gross Margin Actual'!AT39)</f>
        <v>210799.78652862625</v>
      </c>
      <c r="AT8" s="230">
        <f>IF(AT6="forecast",'Voice Exp'!AV11,'Gross Margin Actual'!AU39)</f>
        <v>217830.61972341663</v>
      </c>
      <c r="AU8" s="230">
        <f>IF(AU6="forecast",'Voice Exp'!AW11,'Gross Margin Actual'!AV39)</f>
        <v>225096.85082384167</v>
      </c>
      <c r="AV8" s="230">
        <f>IF(AV6="forecast",'Voice Exp'!AX11,'Gross Margin Actual'!AW39)</f>
        <v>231901.4386788104</v>
      </c>
      <c r="AW8" s="230">
        <f>IF(AW6="forecast",'Voice Exp'!AY11,'Gross Margin Actual'!AX39)</f>
        <v>238706.02653377916</v>
      </c>
      <c r="AX8" s="230">
        <f>IF(AX6="forecast",'Voice Exp'!AZ11,'Gross Margin Actual'!AY39)</f>
        <v>245510.61438874793</v>
      </c>
      <c r="AY8" s="230">
        <f>IF(AY6="forecast",'Voice Exp'!BA11,'Gross Margin Actual'!AZ39)</f>
        <v>0</v>
      </c>
      <c r="AZ8" s="230">
        <f>IF(AZ6="forecast",'Voice Exp'!BB11,'Gross Margin Actual'!BA39)</f>
        <v>0</v>
      </c>
      <c r="BA8" s="230">
        <f>IF(BA6="forecast",'Voice Exp'!BC11,'Gross Margin Actual'!BB39)</f>
        <v>0</v>
      </c>
      <c r="BB8" s="230">
        <f>IF(BB6="forecast",'Voice Exp'!BD11,'Gross Margin Actual'!BC39)</f>
        <v>0</v>
      </c>
      <c r="BC8" s="230">
        <f>IF(BC6="forecast",'Voice Exp'!BE11,'Gross Margin Actual'!BD39)</f>
        <v>0</v>
      </c>
      <c r="BD8" s="230">
        <f>IF(BD6="forecast",'Voice Exp'!BF11,'Gross Margin Actual'!BE39)</f>
        <v>0</v>
      </c>
      <c r="BE8" s="230">
        <f>IF(BE6="forecast",'Voice Exp'!BG11,'Gross Margin Actual'!BF39)</f>
        <v>0</v>
      </c>
      <c r="BF8" s="230">
        <f>IF(BF6="forecast",'Voice Exp'!BH11,'Gross Margin Actual'!BG39)</f>
        <v>0</v>
      </c>
      <c r="BG8" s="230">
        <f>IF(BG6="forecast",'Voice Exp'!BI11,'Gross Margin Actual'!BH39)</f>
        <v>0</v>
      </c>
      <c r="BH8" s="230">
        <f>IF(BH6="forecast",'Voice Exp'!BJ11,'Gross Margin Actual'!BI39)</f>
        <v>0</v>
      </c>
      <c r="BI8" s="230">
        <f>IF(BI6="forecast",'Voice Exp'!BK11,'Gross Margin Actual'!BJ39)</f>
        <v>0</v>
      </c>
      <c r="BJ8" s="230">
        <f>IF(BJ6="forecast",'Voice Exp'!BL11,'Gross Margin Actual'!BK39)</f>
        <v>0</v>
      </c>
      <c r="BK8" s="230">
        <f>IF(BK6="forecast",'Voice Exp'!BM11,'Gross Margin Actual'!BL39)</f>
        <v>0</v>
      </c>
      <c r="BL8" s="230">
        <f>IF(BL6="forecast",'Voice Exp'!BN11,'Gross Margin Actual'!BM39)</f>
        <v>0</v>
      </c>
      <c r="BM8" s="230">
        <f>IF(BM6="forecast",'Voice Exp'!BO11,'Gross Margin Actual'!BN39)</f>
        <v>0</v>
      </c>
      <c r="BN8" s="230">
        <f>IF(BN6="forecast",'Voice Exp'!BP11,'Gross Margin Actual'!BO39)</f>
        <v>0</v>
      </c>
      <c r="BO8" s="230">
        <f>IF(BO6="forecast",'Voice Exp'!BQ11,'Gross Margin Actual'!BP39)</f>
        <v>0</v>
      </c>
      <c r="BP8" s="230">
        <f>IF(BP6="forecast",'Voice Exp'!BR11,'Gross Margin Actual'!BQ39)</f>
        <v>0</v>
      </c>
      <c r="BQ8" s="230">
        <f>IF(BQ6="forecast",'Voice Exp'!BS11,'Gross Margin Actual'!BR39)</f>
        <v>0</v>
      </c>
      <c r="BR8" s="230">
        <f>IF(BR6="forecast",'Voice Exp'!BT11,'Gross Margin Actual'!BS39)</f>
        <v>0</v>
      </c>
      <c r="BS8" s="230">
        <f>IF(BS6="forecast",'Voice Exp'!BU11,'Gross Margin Actual'!BT39)</f>
        <v>0</v>
      </c>
      <c r="BT8" s="230">
        <f>IF(BT6="forecast",'Voice Exp'!BV11,'Gross Margin Actual'!BU39)</f>
        <v>0</v>
      </c>
      <c r="BU8" s="230">
        <f>IF(BU6="forecast",'Voice Exp'!BW11,'Gross Margin Actual'!BV39)</f>
        <v>0</v>
      </c>
      <c r="BV8" s="230">
        <f>IF(BV6="forecast",'Voice Exp'!BX11,'Gross Margin Actual'!BW39)</f>
        <v>0</v>
      </c>
    </row>
    <row r="9" spans="2:74" x14ac:dyDescent="0.25">
      <c r="B9" s="979" t="s">
        <v>218</v>
      </c>
      <c r="C9" s="230">
        <f>IF(C6="forecast",'SMS Exp'!E11,'Gross Margin Actual'!D43)</f>
        <v>28462.22</v>
      </c>
      <c r="D9" s="230">
        <f>IF(D6="forecast",'SMS Exp'!F11,'Gross Margin Actual'!E43)</f>
        <v>32415.870000000003</v>
      </c>
      <c r="E9" s="230">
        <f>IF(E6="forecast",'SMS Exp'!G11,'Gross Margin Actual'!F43)</f>
        <v>33964.15</v>
      </c>
      <c r="F9" s="230">
        <f>IF(F6="forecast",'SMS Exp'!H11,'Gross Margin Actual'!G43)</f>
        <v>32920.99</v>
      </c>
      <c r="G9" s="230">
        <f>IF(G6="forecast",'SMS Exp'!I11,'Gross Margin Actual'!H43)</f>
        <v>38367.51</v>
      </c>
      <c r="H9" s="230">
        <f>IF(H6="forecast",'SMS Exp'!J11,'Gross Margin Actual'!I43)</f>
        <v>69265.509999999995</v>
      </c>
      <c r="I9" s="230">
        <f>IF(I6="forecast",'SMS Exp'!K11,'Gross Margin Actual'!J43)</f>
        <v>41789.490000000005</v>
      </c>
      <c r="J9" s="230">
        <f>IF(J6="forecast",'SMS Exp'!L11,'Gross Margin Actual'!K43)</f>
        <v>39656.43</v>
      </c>
      <c r="K9" s="230">
        <f>IF(K6="forecast",'SMS Exp'!M11,'Gross Margin Actual'!L43)</f>
        <v>40158.36</v>
      </c>
      <c r="L9" s="230">
        <f>IF(L6="forecast",'SMS Exp'!N11,'Gross Margin Actual'!M43)</f>
        <v>48012.869999999995</v>
      </c>
      <c r="M9" s="230">
        <f>IF(M6="forecast",'SMS Exp'!O11,'Gross Margin Actual'!N43)</f>
        <v>43573.91</v>
      </c>
      <c r="N9" s="230">
        <f>IF(N6="forecast",'SMS Exp'!P11,'Gross Margin Actual'!O43)</f>
        <v>69313.539999999994</v>
      </c>
      <c r="O9" s="230">
        <f>IF(O6="forecast",'SMS Exp'!Q11,'Gross Margin Actual'!P43)</f>
        <v>28986.98</v>
      </c>
      <c r="P9" s="230">
        <f>IF(P6="forecast",'SMS Exp'!R11,'Gross Margin Actual'!Q43)</f>
        <v>27795.119999999999</v>
      </c>
      <c r="Q9" s="230">
        <f>IF(Q6="forecast",'SMS Exp'!S11,'Gross Margin Actual'!R43)</f>
        <v>35112.93</v>
      </c>
      <c r="R9" s="230">
        <f>IF(R6="forecast",'SMS Exp'!T11,'Gross Margin Actual'!S43)</f>
        <v>64951.85</v>
      </c>
      <c r="S9" s="230">
        <f>IF(S6="forecast",'SMS Exp'!U11,'Gross Margin Actual'!T43)</f>
        <v>41650.379999999997</v>
      </c>
      <c r="T9" s="230">
        <f>IF(T6="forecast",'SMS Exp'!V11,'Gross Margin Actual'!U43)</f>
        <v>41628.949999999997</v>
      </c>
      <c r="U9" s="230">
        <f>IF(U6="forecast",'SMS Exp'!W11,'Gross Margin Actual'!V43)</f>
        <v>46305.83</v>
      </c>
      <c r="V9" s="230">
        <f>IF(V6="forecast",'SMS Exp'!X11,'Gross Margin Actual'!W43)</f>
        <v>47929.09</v>
      </c>
      <c r="W9" s="230">
        <f>IF(W6="forecast",'SMS Exp'!Y11,'Gross Margin Actual'!X43)</f>
        <v>55027.8</v>
      </c>
      <c r="X9" s="230">
        <f>IF(X6="forecast",'SMS Exp'!Z11,'Gross Margin Actual'!Y43)</f>
        <v>69821.600000000006</v>
      </c>
      <c r="Y9" s="230">
        <f>IF(Y6="forecast",'SMS Exp'!AA11,'Gross Margin Actual'!Z43)</f>
        <v>59081.45</v>
      </c>
      <c r="Z9" s="230">
        <f>IF(Z6="forecast",'SMS Exp'!AB11,'Gross Margin Actual'!AA43)</f>
        <v>41188.42</v>
      </c>
      <c r="AA9" s="230">
        <f>IF(AA6="forecast",'SMS Exp'!AC11,'Gross Margin Actual'!AB43)</f>
        <v>43688.49</v>
      </c>
      <c r="AB9" s="230">
        <f>IF(AB6="forecast",'SMS Exp'!AD11,'Gross Margin Actual'!AC43)</f>
        <v>65161.93</v>
      </c>
      <c r="AC9" s="230">
        <f>IF(AC6="forecast",'SMS Exp'!AE11,'Gross Margin Actual'!AD43)</f>
        <v>54496.79</v>
      </c>
      <c r="AD9" s="230">
        <f>IF(AD6="forecast",'SMS Exp'!AF11,'Gross Margin Actual'!AE43)</f>
        <v>93389.445800000001</v>
      </c>
      <c r="AE9" s="230">
        <f>IF(AE6="forecast",'SMS Exp'!AG11,'Gross Margin Actual'!AF43)</f>
        <v>99327.353300000002</v>
      </c>
      <c r="AF9" s="230">
        <f>IF(AF6="forecast",'SMS Exp'!AH11,'Gross Margin Actual'!AG43)</f>
        <v>104679.8333</v>
      </c>
      <c r="AG9" s="230">
        <f>IF(AG6="forecast",'SMS Exp'!AI11,'Gross Margin Actual'!AH43)</f>
        <v>109497.06530000002</v>
      </c>
      <c r="AH9" s="230">
        <f>IF(AH6="forecast",'SMS Exp'!AJ11,'Gross Margin Actual'!AI43)</f>
        <v>113779.0493</v>
      </c>
      <c r="AI9" s="230">
        <f>IF(AI6="forecast",'SMS Exp'!AK11,'Gross Margin Actual'!AJ43)</f>
        <v>118061.03330000001</v>
      </c>
      <c r="AJ9" s="230">
        <f>IF(AJ6="forecast",'SMS Exp'!AL11,'Gross Margin Actual'!AK43)</f>
        <v>124384.1965642297</v>
      </c>
      <c r="AK9" s="230">
        <f>IF(AK6="forecast",'SMS Exp'!AM11,'Gross Margin Actual'!AL43)</f>
        <v>130707.35982845942</v>
      </c>
      <c r="AL9" s="230">
        <f>IF(AL6="forecast",'SMS Exp'!AN11,'Gross Margin Actual'!AM43)</f>
        <v>137030.52309268917</v>
      </c>
      <c r="AM9" s="230">
        <f>IF(AM6="forecast",'SMS Exp'!AO11,'Gross Margin Actual'!AN43)</f>
        <v>143353.14009268914</v>
      </c>
      <c r="AN9" s="230">
        <f>IF(AN6="forecast",'SMS Exp'!AP11,'Gross Margin Actual'!AO43)</f>
        <v>149675.75709268913</v>
      </c>
      <c r="AO9" s="230">
        <f>IF(AO6="forecast",'SMS Exp'!AQ11,'Gross Margin Actual'!AP43)</f>
        <v>155998.37409268913</v>
      </c>
      <c r="AP9" s="230">
        <f>IF(AP6="forecast",'SMS Exp'!AR11,'Gross Margin Actual'!AQ43)</f>
        <v>162320.9910926891</v>
      </c>
      <c r="AQ9" s="230">
        <f>IF(AQ6="forecast",'SMS Exp'!AS11,'Gross Margin Actual'!AR43)</f>
        <v>168643.60809268913</v>
      </c>
      <c r="AR9" s="230">
        <f>IF(AR6="forecast",'SMS Exp'!AT11,'Gross Margin Actual'!AS43)</f>
        <v>174966.22509268913</v>
      </c>
      <c r="AS9" s="230">
        <f>IF(AS6="forecast",'SMS Exp'!AU11,'Gross Margin Actual'!AT43)</f>
        <v>181288.8420926891</v>
      </c>
      <c r="AT9" s="230">
        <f>IF(AT6="forecast",'SMS Exp'!AV11,'Gross Margin Actual'!AU43)</f>
        <v>187611.45909268913</v>
      </c>
      <c r="AU9" s="230">
        <f>IF(AU6="forecast",'SMS Exp'!AW11,'Gross Margin Actual'!AV43)</f>
        <v>193934.07609268912</v>
      </c>
      <c r="AV9" s="230">
        <f>IF(AV6="forecast",'SMS Exp'!AX11,'Gross Margin Actual'!AW43)</f>
        <v>200256.69309268909</v>
      </c>
      <c r="AW9" s="230">
        <f>IF(AW6="forecast",'SMS Exp'!AY11,'Gross Margin Actual'!AX43)</f>
        <v>206579.31009268906</v>
      </c>
      <c r="AX9" s="230">
        <f>IF(AX6="forecast",'SMS Exp'!AZ11,'Gross Margin Actual'!AY43)</f>
        <v>212901.92709268903</v>
      </c>
      <c r="AY9" s="230">
        <f>IF(AY6="forecast",'SMS Exp'!BA11,'Gross Margin Actual'!AZ43)</f>
        <v>22652</v>
      </c>
      <c r="AZ9" s="230">
        <f>IF(AZ6="forecast",'SMS Exp'!BB11,'Gross Margin Actual'!BA43)</f>
        <v>22652</v>
      </c>
      <c r="BA9" s="230">
        <f>IF(BA6="forecast",'SMS Exp'!BC11,'Gross Margin Actual'!BB43)</f>
        <v>22652</v>
      </c>
      <c r="BB9" s="230">
        <f>IF(BB6="forecast",'SMS Exp'!BD11,'Gross Margin Actual'!BC43)</f>
        <v>0</v>
      </c>
      <c r="BC9" s="230">
        <f>IF(BC6="forecast",'SMS Exp'!BE11,'Gross Margin Actual'!BD43)</f>
        <v>0</v>
      </c>
      <c r="BD9" s="230">
        <f>IF(BD6="forecast",'SMS Exp'!BF11,'Gross Margin Actual'!BE43)</f>
        <v>0</v>
      </c>
      <c r="BE9" s="230">
        <f>IF(BE6="forecast",'SMS Exp'!BG11,'Gross Margin Actual'!BF43)</f>
        <v>0</v>
      </c>
      <c r="BF9" s="230">
        <f>IF(BF6="forecast",'SMS Exp'!BH11,'Gross Margin Actual'!BG43)</f>
        <v>0</v>
      </c>
      <c r="BG9" s="230">
        <f>IF(BG6="forecast",'SMS Exp'!BI11,'Gross Margin Actual'!BH43)</f>
        <v>0</v>
      </c>
      <c r="BH9" s="230">
        <f>IF(BH6="forecast",'SMS Exp'!BJ11,'Gross Margin Actual'!BI43)</f>
        <v>0</v>
      </c>
      <c r="BI9" s="230">
        <f>IF(BI6="forecast",'SMS Exp'!BK11,'Gross Margin Actual'!BJ43)</f>
        <v>0</v>
      </c>
      <c r="BJ9" s="230">
        <f>IF(BJ6="forecast",'SMS Exp'!BL11,'Gross Margin Actual'!BK43)</f>
        <v>0</v>
      </c>
      <c r="BK9" s="230">
        <f>IF(BK6="forecast",'SMS Exp'!BM11,'Gross Margin Actual'!BL43)</f>
        <v>0</v>
      </c>
      <c r="BL9" s="230">
        <f>IF(BL6="forecast",'SMS Exp'!BN11,'Gross Margin Actual'!BM43)</f>
        <v>0</v>
      </c>
      <c r="BM9" s="230">
        <f>IF(BM6="forecast",'SMS Exp'!BO11,'Gross Margin Actual'!BN43)</f>
        <v>0</v>
      </c>
      <c r="BN9" s="230">
        <f>IF(BN6="forecast",'SMS Exp'!BP11,'Gross Margin Actual'!BO43)</f>
        <v>0</v>
      </c>
      <c r="BO9" s="230">
        <f>IF(BO6="forecast",'SMS Exp'!BQ11,'Gross Margin Actual'!BP43)</f>
        <v>0</v>
      </c>
      <c r="BP9" s="230">
        <f>IF(BP6="forecast",'SMS Exp'!BR11,'Gross Margin Actual'!BQ43)</f>
        <v>0</v>
      </c>
      <c r="BQ9" s="230">
        <f>IF(BQ6="forecast",'SMS Exp'!BS11,'Gross Margin Actual'!BR43)</f>
        <v>0</v>
      </c>
      <c r="BR9" s="230">
        <f>IF(BR6="forecast",'SMS Exp'!BT11,'Gross Margin Actual'!BS43)</f>
        <v>0</v>
      </c>
      <c r="BS9" s="230">
        <f>IF(BS6="forecast",'SMS Exp'!BU11,'Gross Margin Actual'!BT43)</f>
        <v>0</v>
      </c>
      <c r="BT9" s="230">
        <f>IF(BT6="forecast",'SMS Exp'!BV11,'Gross Margin Actual'!BU43)</f>
        <v>0</v>
      </c>
      <c r="BU9" s="230">
        <f>IF(BU6="forecast",'SMS Exp'!BW11,'Gross Margin Actual'!BV43)</f>
        <v>0</v>
      </c>
      <c r="BV9" s="230">
        <f>IF(BV6="forecast",'SMS Exp'!BX11,'Gross Margin Actual'!BW43)</f>
        <v>0</v>
      </c>
    </row>
    <row r="10" spans="2:74" x14ac:dyDescent="0.25">
      <c r="B10" s="997" t="s">
        <v>1101</v>
      </c>
      <c r="C10" s="995">
        <f t="shared" ref="C10:AH10" si="10">SUM(C8:C9)</f>
        <v>142585.83000000002</v>
      </c>
      <c r="D10" s="995">
        <f t="shared" si="10"/>
        <v>187356.27000000002</v>
      </c>
      <c r="E10" s="995">
        <f t="shared" si="10"/>
        <v>187657.75</v>
      </c>
      <c r="F10" s="995">
        <f t="shared" si="10"/>
        <v>173573.91999999998</v>
      </c>
      <c r="G10" s="995">
        <f t="shared" si="10"/>
        <v>189472.62</v>
      </c>
      <c r="H10" s="995">
        <f t="shared" si="10"/>
        <v>244252.34999999998</v>
      </c>
      <c r="I10" s="995">
        <f t="shared" si="10"/>
        <v>165974.88</v>
      </c>
      <c r="J10" s="995">
        <f t="shared" si="10"/>
        <v>77271.75</v>
      </c>
      <c r="K10" s="995">
        <f t="shared" si="10"/>
        <v>142221.70000000001</v>
      </c>
      <c r="L10" s="995">
        <f t="shared" si="10"/>
        <v>102393.75</v>
      </c>
      <c r="M10" s="995">
        <f t="shared" si="10"/>
        <v>174379.55</v>
      </c>
      <c r="N10" s="995">
        <f t="shared" si="10"/>
        <v>320721.12</v>
      </c>
      <c r="O10" s="996">
        <f t="shared" si="10"/>
        <v>93625.58</v>
      </c>
      <c r="P10" s="996">
        <f t="shared" si="10"/>
        <v>103709.59999999999</v>
      </c>
      <c r="Q10" s="996">
        <f t="shared" si="10"/>
        <v>138182.5</v>
      </c>
      <c r="R10" s="996">
        <f t="shared" si="10"/>
        <v>152314.17000000001</v>
      </c>
      <c r="S10" s="996">
        <f t="shared" si="10"/>
        <v>139890.95000000001</v>
      </c>
      <c r="T10" s="996">
        <f t="shared" si="10"/>
        <v>128016.82</v>
      </c>
      <c r="U10" s="996">
        <f t="shared" si="10"/>
        <v>146703.89000000001</v>
      </c>
      <c r="V10" s="996">
        <f t="shared" si="10"/>
        <v>128719.83</v>
      </c>
      <c r="W10" s="996">
        <f t="shared" si="10"/>
        <v>162069.10999999999</v>
      </c>
      <c r="X10" s="996">
        <f t="shared" si="10"/>
        <v>188896.15</v>
      </c>
      <c r="Y10" s="995">
        <f t="shared" si="10"/>
        <v>169280.38999999998</v>
      </c>
      <c r="Z10" s="995">
        <f t="shared" si="10"/>
        <v>150715.83000000002</v>
      </c>
      <c r="AA10" s="995">
        <f t="shared" si="10"/>
        <v>139601.73000000001</v>
      </c>
      <c r="AB10" s="995">
        <f t="shared" si="10"/>
        <v>151999.28999999998</v>
      </c>
      <c r="AC10" s="995">
        <f t="shared" si="10"/>
        <v>152234.57999999999</v>
      </c>
      <c r="AD10" s="995">
        <f t="shared" si="10"/>
        <v>199765.37454019644</v>
      </c>
      <c r="AE10" s="995">
        <f t="shared" si="10"/>
        <v>213085.97529782125</v>
      </c>
      <c r="AF10" s="995">
        <f t="shared" si="10"/>
        <v>225695.95362518894</v>
      </c>
      <c r="AG10" s="995">
        <f t="shared" si="10"/>
        <v>216000.13837608381</v>
      </c>
      <c r="AH10" s="995">
        <f t="shared" si="10"/>
        <v>224676.35610928218</v>
      </c>
      <c r="AI10" s="995">
        <f t="shared" ref="AI10:BN10" si="11">SUM(AI8:AI9)</f>
        <v>271229.10372049315</v>
      </c>
      <c r="AJ10" s="995">
        <f t="shared" si="11"/>
        <v>285866.34344738402</v>
      </c>
      <c r="AK10" s="995">
        <f t="shared" si="11"/>
        <v>267420.03057993745</v>
      </c>
      <c r="AL10" s="995">
        <f t="shared" si="11"/>
        <v>261815.94530521811</v>
      </c>
      <c r="AM10" s="995">
        <f t="shared" si="11"/>
        <v>308771.11449113116</v>
      </c>
      <c r="AN10" s="995">
        <f t="shared" si="11"/>
        <v>323187.74663396686</v>
      </c>
      <c r="AO10" s="995">
        <f t="shared" si="11"/>
        <v>338475.39923571405</v>
      </c>
      <c r="AP10" s="995">
        <f t="shared" si="11"/>
        <v>352623.78572318715</v>
      </c>
      <c r="AQ10" s="995">
        <f t="shared" si="11"/>
        <v>365923.77900826407</v>
      </c>
      <c r="AR10" s="995">
        <f t="shared" si="11"/>
        <v>379001.14826776343</v>
      </c>
      <c r="AS10" s="995">
        <f t="shared" si="11"/>
        <v>392088.62862131535</v>
      </c>
      <c r="AT10" s="995">
        <f t="shared" si="11"/>
        <v>405442.07881610573</v>
      </c>
      <c r="AU10" s="995">
        <f t="shared" si="11"/>
        <v>419030.92691653082</v>
      </c>
      <c r="AV10" s="995">
        <f t="shared" si="11"/>
        <v>432158.13177149952</v>
      </c>
      <c r="AW10" s="995">
        <f t="shared" si="11"/>
        <v>445285.33662646823</v>
      </c>
      <c r="AX10" s="995">
        <f t="shared" si="11"/>
        <v>458412.54148143693</v>
      </c>
      <c r="AY10" s="995">
        <f t="shared" si="11"/>
        <v>22652</v>
      </c>
      <c r="AZ10" s="995">
        <f t="shared" si="11"/>
        <v>22652</v>
      </c>
      <c r="BA10" s="995">
        <f t="shared" si="11"/>
        <v>22652</v>
      </c>
      <c r="BB10" s="995">
        <f t="shared" si="11"/>
        <v>0</v>
      </c>
      <c r="BC10" s="995">
        <f t="shared" si="11"/>
        <v>0</v>
      </c>
      <c r="BD10" s="995">
        <f t="shared" si="11"/>
        <v>0</v>
      </c>
      <c r="BE10" s="995">
        <f t="shared" si="11"/>
        <v>0</v>
      </c>
      <c r="BF10" s="995">
        <f t="shared" si="11"/>
        <v>0</v>
      </c>
      <c r="BG10" s="995">
        <f t="shared" si="11"/>
        <v>0</v>
      </c>
      <c r="BH10" s="995">
        <f t="shared" si="11"/>
        <v>0</v>
      </c>
      <c r="BI10" s="995">
        <f t="shared" si="11"/>
        <v>0</v>
      </c>
      <c r="BJ10" s="995">
        <f t="shared" si="11"/>
        <v>0</v>
      </c>
      <c r="BK10" s="995">
        <f t="shared" si="11"/>
        <v>0</v>
      </c>
      <c r="BL10" s="995">
        <f t="shared" si="11"/>
        <v>0</v>
      </c>
      <c r="BM10" s="995">
        <f t="shared" si="11"/>
        <v>0</v>
      </c>
      <c r="BN10" s="995">
        <f t="shared" si="11"/>
        <v>0</v>
      </c>
      <c r="BO10" s="995">
        <f t="shared" ref="BO10:BV10" si="12">SUM(BO8:BO9)</f>
        <v>0</v>
      </c>
      <c r="BP10" s="995">
        <f t="shared" si="12"/>
        <v>0</v>
      </c>
      <c r="BQ10" s="995">
        <f t="shared" si="12"/>
        <v>0</v>
      </c>
      <c r="BR10" s="995">
        <f t="shared" si="12"/>
        <v>0</v>
      </c>
      <c r="BS10" s="995">
        <f t="shared" si="12"/>
        <v>0</v>
      </c>
      <c r="BT10" s="995">
        <f t="shared" si="12"/>
        <v>0</v>
      </c>
      <c r="BU10" s="995">
        <f t="shared" si="12"/>
        <v>0</v>
      </c>
      <c r="BV10" s="995">
        <f t="shared" si="12"/>
        <v>0</v>
      </c>
    </row>
    <row r="11" spans="2:74" x14ac:dyDescent="0.25">
      <c r="B11" s="571" t="s">
        <v>74</v>
      </c>
      <c r="C11" s="230">
        <f>IF(C6="forecast",'Voice Exp'!E5*Sensativities!D14,0)</f>
        <v>0</v>
      </c>
      <c r="D11" s="230">
        <f>IF(D6="forecast",'Voice Exp'!F5*Sensativities!E14,0)</f>
        <v>0</v>
      </c>
      <c r="E11" s="230">
        <f>IF(E6="forecast",'Voice Exp'!G5*Sensativities!F14,0)</f>
        <v>0</v>
      </c>
      <c r="F11" s="230">
        <f>IF(F6="forecast",'Voice Exp'!H5*Sensativities!G14,0)</f>
        <v>0</v>
      </c>
      <c r="G11" s="230">
        <f>IF(G6="forecast",'Voice Exp'!I5*Sensativities!H14,0)</f>
        <v>0</v>
      </c>
      <c r="H11" s="230">
        <f>IF(H6="forecast",'Voice Exp'!J5*Sensativities!I14,0)</f>
        <v>0</v>
      </c>
      <c r="I11" s="230">
        <f>IF(I6="forecast",'Voice Exp'!K5*Sensativities!J14,0)</f>
        <v>0</v>
      </c>
      <c r="J11" s="230">
        <f>IF(J6="forecast",'Voice Exp'!L5*Sensativities!K14,0)</f>
        <v>0</v>
      </c>
      <c r="K11" s="230">
        <f>IF(K6="forecast",'Voice Exp'!M5*Sensativities!L14,0)</f>
        <v>0</v>
      </c>
      <c r="L11" s="230">
        <f>IF(L6="forecast",'Voice Exp'!N5*Sensativities!M14,0)</f>
        <v>0</v>
      </c>
      <c r="M11" s="230">
        <f>IF(M6="forecast",'Voice Exp'!O5*Sensativities!N14,0)</f>
        <v>0</v>
      </c>
      <c r="N11" s="230">
        <f>IF(N6="forecast",'Voice Exp'!P5*Sensativities!O14,0)</f>
        <v>0</v>
      </c>
      <c r="O11" s="230">
        <f>IF(O6="forecast",'Voice Exp'!Q5*Sensativities!P14,0)</f>
        <v>0</v>
      </c>
      <c r="P11" s="230">
        <f>IF(P6="forecast",'Voice Exp'!R5*Sensativities!Q14,0)</f>
        <v>0</v>
      </c>
      <c r="Q11" s="230">
        <f>IF(Q6="forecast",'Voice Exp'!S5*Sensativities!R14,0)</f>
        <v>0</v>
      </c>
      <c r="R11" s="230">
        <f>IF(R6="forecast",'Voice Exp'!T5*Sensativities!S14,0)</f>
        <v>0</v>
      </c>
      <c r="S11" s="230">
        <f>IF(S6="forecast",'Voice Exp'!U5*Sensativities!T14,0)</f>
        <v>0</v>
      </c>
      <c r="T11" s="230">
        <f>IF(T6="forecast",'Voice Exp'!V5*Sensativities!U14,0)</f>
        <v>0</v>
      </c>
      <c r="U11" s="230">
        <f>IF(U6="forecast",'Voice Exp'!W5*Sensativities!V14,0)</f>
        <v>0</v>
      </c>
      <c r="V11" s="230">
        <f>IF(V6="forecast",'Voice Exp'!X5*Sensativities!W14,0)</f>
        <v>0</v>
      </c>
      <c r="W11" s="230">
        <f>IF(W6="forecast",'Voice Exp'!Y5*Sensativities!X14,0)</f>
        <v>0</v>
      </c>
      <c r="X11" s="230">
        <f>IF(X6="forecast",'Voice Exp'!Z5*Sensativities!Y14,0)</f>
        <v>0</v>
      </c>
      <c r="Y11" s="230">
        <f>IF(Y6="forecast",'Voice Exp'!AA5*Sensativities!Z14,0)</f>
        <v>0</v>
      </c>
      <c r="Z11" s="230">
        <f>IF(Z6="forecast",'Voice Exp'!AB5*Sensativities!AA14,0)</f>
        <v>0</v>
      </c>
      <c r="AA11" s="230">
        <f>IF(AA6="forecast",'Voice Exp'!AC5*Sensativities!AB14,0)</f>
        <v>0</v>
      </c>
      <c r="AB11" s="230">
        <f>IF(AB6="forecast",'Voice Exp'!AD5*Sensativities!AC14,0)</f>
        <v>0</v>
      </c>
      <c r="AC11" s="230">
        <f>IF(AC6="forecast",'Voice Exp'!AE5*Sensativities!AD14,0)</f>
        <v>0</v>
      </c>
      <c r="AD11" s="230">
        <f>IF(AD6="forecast",'Voice Exp'!AF5*Sensativities!AE14,0)</f>
        <v>7091.7285826797624</v>
      </c>
      <c r="AE11" s="230">
        <f>IF(AE6="forecast",'Voice Exp'!AG5*Sensativities!AF14,0)</f>
        <v>7583.9081331880834</v>
      </c>
      <c r="AF11" s="230">
        <f>IF(AF6="forecast",'Voice Exp'!AH5*Sensativities!AG14,0)</f>
        <v>8067.7413550125957</v>
      </c>
      <c r="AG11" s="230">
        <f>IF(AG6="forecast",'Voice Exp'!AI5*Sensativities!AH14,0)</f>
        <v>7100.2048717389207</v>
      </c>
      <c r="AH11" s="230">
        <f>IF(AH6="forecast",'Voice Exp'!AJ5*Sensativities!AI14,0)</f>
        <v>7393.1537872854788</v>
      </c>
      <c r="AI11" s="230">
        <f>IF(AI6="forecast",'Voice Exp'!AK5*Sensativities!AJ14,0)</f>
        <v>10211.204694699543</v>
      </c>
      <c r="AJ11" s="230">
        <f>IF(AJ6="forecast",'Voice Exp'!AL5*Sensativities!AK14,0)</f>
        <v>10765.476458876956</v>
      </c>
      <c r="AK11" s="230">
        <f>IF(AK6="forecast",'Voice Exp'!AM5*Sensativities!AL14,0)</f>
        <v>9114.1780500985351</v>
      </c>
      <c r="AL11" s="230">
        <f>IF(AL6="forecast",'Voice Exp'!AN5*Sensativities!AM14,0)</f>
        <v>8319.0281475019292</v>
      </c>
      <c r="AM11" s="230">
        <f>IF(AM6="forecast",'Voice Exp'!AO5*Sensativities!AN14,0)</f>
        <v>11027.864959896135</v>
      </c>
      <c r="AN11" s="230">
        <f>IF(AN6="forecast",'Voice Exp'!AP5*Sensativities!AO14,0)</f>
        <v>11567.465969418516</v>
      </c>
      <c r="AO11" s="230">
        <f>IF(AO6="forecast",'Voice Exp'!AQ5*Sensativities!AP14,0)</f>
        <v>12165.135009534995</v>
      </c>
      <c r="AP11" s="230">
        <f>IF(AP6="forecast",'Voice Exp'!AR5*Sensativities!AQ14,0)</f>
        <v>12686.852975366535</v>
      </c>
      <c r="AQ11" s="230">
        <f>IF(AQ6="forecast",'Voice Exp'!AS5*Sensativities!AR14,0)</f>
        <v>13152.011394371662</v>
      </c>
      <c r="AR11" s="230">
        <f>IF(AR6="forecast",'Voice Exp'!AT5*Sensativities!AS14,0)</f>
        <v>13602.328211671622</v>
      </c>
      <c r="AS11" s="230">
        <f>IF(AS6="forecast",'Voice Exp'!AU5*Sensativities!AT14,0)</f>
        <v>14053.319101908417</v>
      </c>
      <c r="AT11" s="230">
        <f>IF(AT6="forecast",'Voice Exp'!AV5*Sensativities!AU14,0)</f>
        <v>14522.041314894443</v>
      </c>
      <c r="AU11" s="230">
        <f>IF(AU6="forecast",'Voice Exp'!AW5*Sensativities!AV14,0)</f>
        <v>15006.456721589444</v>
      </c>
      <c r="AV11" s="230">
        <f>IF(AV6="forecast",'Voice Exp'!AX5*Sensativities!AW14,0)</f>
        <v>15460.095911920695</v>
      </c>
      <c r="AW11" s="230">
        <f>IF(AW6="forecast",'Voice Exp'!AY5*Sensativities!AX14,0)</f>
        <v>15913.735102251945</v>
      </c>
      <c r="AX11" s="230">
        <f>IF(AX6="forecast",'Voice Exp'!AZ5*Sensativities!AY14,0)</f>
        <v>16367.374292583196</v>
      </c>
      <c r="AY11" s="230">
        <f>IF(AY6="forecast",'Voice Exp'!BA5*Sensativities!AZ14,0)</f>
        <v>0</v>
      </c>
      <c r="AZ11" s="230">
        <f>IF(AZ6="forecast",'Voice Exp'!BB5*Sensativities!BA14,0)</f>
        <v>0</v>
      </c>
      <c r="BA11" s="230">
        <f>IF(BA6="forecast",'Voice Exp'!BC5*Sensativities!BB14,0)</f>
        <v>0</v>
      </c>
      <c r="BB11" s="230">
        <f>IF(BB6="forecast",'Voice Exp'!BD5*Sensativities!BC14,0)</f>
        <v>0</v>
      </c>
      <c r="BC11" s="230">
        <f>IF(BC6="forecast",'Voice Exp'!BE5*Sensativities!BD14,0)</f>
        <v>0</v>
      </c>
      <c r="BD11" s="230">
        <f>IF(BD6="forecast",'Voice Exp'!BF5*Sensativities!BE14,0)</f>
        <v>0</v>
      </c>
      <c r="BE11" s="230">
        <f>IF(BE6="forecast",'Voice Exp'!BG5*Sensativities!BF14,0)</f>
        <v>0</v>
      </c>
      <c r="BF11" s="230">
        <f>IF(BF6="forecast",'Voice Exp'!BH5*Sensativities!BG14,0)</f>
        <v>0</v>
      </c>
      <c r="BG11" s="230">
        <f>IF(BG6="forecast",'Voice Exp'!BI5*Sensativities!BH14,0)</f>
        <v>0</v>
      </c>
      <c r="BH11" s="230">
        <f>IF(BH6="forecast",'Voice Exp'!BJ5*Sensativities!BI14,0)</f>
        <v>0</v>
      </c>
      <c r="BI11" s="230">
        <f>IF(BI6="forecast",'Voice Exp'!BK5*Sensativities!BJ14,0)</f>
        <v>0</v>
      </c>
      <c r="BJ11" s="230">
        <f>IF(BJ6="forecast",'Voice Exp'!BL5*Sensativities!BK14,0)</f>
        <v>0</v>
      </c>
      <c r="BK11" s="230">
        <f>IF(BK6="forecast",'Voice Exp'!BM5*Sensativities!BL14,0)</f>
        <v>0</v>
      </c>
      <c r="BL11" s="230">
        <f>IF(BL6="forecast",'Voice Exp'!BN5*Sensativities!BM14,0)</f>
        <v>0</v>
      </c>
      <c r="BM11" s="230">
        <f>IF(BM6="forecast",'Voice Exp'!BO5*Sensativities!BN14,0)</f>
        <v>0</v>
      </c>
      <c r="BN11" s="230">
        <f>IF(BN6="forecast",'Voice Exp'!BP5*Sensativities!BO14,0)</f>
        <v>0</v>
      </c>
      <c r="BO11" s="230">
        <f>IF(BO6="forecast",'Voice Exp'!BQ5*Sensativities!BP14,0)</f>
        <v>0</v>
      </c>
      <c r="BP11" s="230">
        <f>IF(BP6="forecast",'Voice Exp'!BR5*Sensativities!BQ14,0)</f>
        <v>0</v>
      </c>
      <c r="BQ11" s="230">
        <f>IF(BQ6="forecast",'Voice Exp'!BS5*Sensativities!BR14,0)</f>
        <v>0</v>
      </c>
      <c r="BR11" s="230">
        <f>IF(BR6="forecast",'Voice Exp'!BT5*Sensativities!BS14,0)</f>
        <v>0</v>
      </c>
      <c r="BS11" s="230">
        <f>IF(BS6="forecast",'Voice Exp'!BU5*Sensativities!BT14,0)</f>
        <v>0</v>
      </c>
      <c r="BT11" s="230">
        <f>IF(BT6="forecast",'Voice Exp'!BV5*Sensativities!BU14,0)</f>
        <v>0</v>
      </c>
      <c r="BU11" s="230">
        <f>IF(BU6="forecast",'Voice Exp'!BW5*Sensativities!BV14,0)</f>
        <v>0</v>
      </c>
      <c r="BV11" s="230">
        <f>IF(BV6="forecast",'Voice Exp'!BX5*Sensativities!BW14,0)</f>
        <v>0</v>
      </c>
    </row>
    <row r="12" spans="2:74" x14ac:dyDescent="0.25">
      <c r="B12" s="308" t="s">
        <v>86</v>
      </c>
      <c r="C12" s="573">
        <f>IF(C6="Forecast",12000+5350,'Gross Margin Actual'!D49)</f>
        <v>22161.71</v>
      </c>
      <c r="D12" s="573">
        <f>IF(D6="Forecast",12000+5350,'Gross Margin Actual'!E49)</f>
        <v>16538.16</v>
      </c>
      <c r="E12" s="573">
        <f>IF(E6="Forecast",12000+5350,'Gross Margin Actual'!F49)</f>
        <v>16577.8</v>
      </c>
      <c r="F12" s="573">
        <f>IF(F6="Forecast",12000+5350,'Gross Margin Actual'!G49)</f>
        <v>27760.080000000002</v>
      </c>
      <c r="G12" s="573">
        <f>IF(G6="Forecast",12000+5350,'Gross Margin Actual'!H49)</f>
        <v>25496.159999999996</v>
      </c>
      <c r="H12" s="573">
        <f>IF(H6="Forecast",12000+5350,'Gross Margin Actual'!I49)</f>
        <v>18014.29</v>
      </c>
      <c r="I12" s="573">
        <f>IF(I6="Forecast",12000+5350,'Gross Margin Actual'!J49)</f>
        <v>21669.42</v>
      </c>
      <c r="J12" s="573">
        <f>IF(J6="Forecast",12000+5350,'Gross Margin Actual'!K49)</f>
        <v>24773.83</v>
      </c>
      <c r="K12" s="573">
        <f>IF(K6="Forecast",12000+5350,'Gross Margin Actual'!L49)</f>
        <v>21977.45</v>
      </c>
      <c r="L12" s="573">
        <f>IF(L6="Forecast",12000+5350,'Gross Margin Actual'!M49)</f>
        <v>21326.42</v>
      </c>
      <c r="M12" s="573">
        <f>IF(M6="Forecast",12000+5350,'Gross Margin Actual'!N49)</f>
        <v>22974</v>
      </c>
      <c r="N12" s="573">
        <f>IF(N6="Forecast",12000+5350,'Gross Margin Actual'!O49)</f>
        <v>39383.899999999994</v>
      </c>
      <c r="O12" s="573">
        <f>IF(O6="Forecast",20000+5350,'Gross Margin Actual'!P49)</f>
        <v>23677.3</v>
      </c>
      <c r="P12" s="573">
        <f>IF(P6="Forecast",20000+5350,'Gross Margin Actual'!Q49)</f>
        <v>35916.199999999997</v>
      </c>
      <c r="Q12" s="573">
        <f>IF(Q6="Forecast",20000+5350,'Gross Margin Actual'!R49)</f>
        <v>25322.559999999998</v>
      </c>
      <c r="R12" s="573">
        <f>IF(R6="Forecast",20000+5350,'Gross Margin Actual'!S49)</f>
        <v>33812.629999999997</v>
      </c>
      <c r="S12" s="573">
        <f>IF(S6="Forecast",20000+5350,'Gross Margin Actual'!T49)</f>
        <v>28943.33</v>
      </c>
      <c r="T12" s="573">
        <f>IF(T6="Forecast",20000+5350,'Gross Margin Actual'!U49)</f>
        <v>28552.67</v>
      </c>
      <c r="U12" s="573">
        <f>IF(U6="Forecast",20000+5350,'Gross Margin Actual'!V49)</f>
        <v>23645.519999999997</v>
      </c>
      <c r="V12" s="573">
        <f>IF(V6="Forecast",20000+5350,'Gross Margin Actual'!W49)</f>
        <v>43556.01</v>
      </c>
      <c r="W12" s="573">
        <f>IF(W6="Forecast",20000+5350,'Gross Margin Actual'!X49)</f>
        <v>37610.559999999998</v>
      </c>
      <c r="X12" s="573">
        <f>IF(X6="Forecast",20000+5350,'Gross Margin Actual'!Y49)</f>
        <v>46571.200000000004</v>
      </c>
      <c r="Y12" s="573">
        <f>IF(Y6="Forecast",20000+5350,'Gross Margin Actual'!Z49)</f>
        <v>36427.620000000003</v>
      </c>
      <c r="Z12" s="573">
        <f>IF(Z6="Forecast",20000+5350,'Gross Margin Actual'!AA49)</f>
        <v>34493.99</v>
      </c>
      <c r="AA12" s="573">
        <f>IF(AA6="Forecast",20000+5350,'Gross Margin Actual'!AB49)</f>
        <v>39539.440000000002</v>
      </c>
      <c r="AB12" s="573">
        <f>IF(AB6="Forecast",20000+5350,'Gross Margin Actual'!AC49)</f>
        <v>39221.22</v>
      </c>
      <c r="AC12" s="573">
        <f>IF(AC6="Forecast",20000+5350,'Gross Margin Actual'!AD49)</f>
        <v>36380.620000000003</v>
      </c>
      <c r="AD12" s="573">
        <f>IF(AD6="Forecast",20000+5350,'Gross Margin Actual'!AE49)</f>
        <v>25350</v>
      </c>
      <c r="AE12" s="573">
        <f>IF(AE6="Forecast",20000+5350,'Gross Margin Actual'!AF49)</f>
        <v>25350</v>
      </c>
      <c r="AF12" s="573">
        <f>IF(AF6="Forecast",20000+5350,'Gross Margin Actual'!AG49)</f>
        <v>25350</v>
      </c>
      <c r="AG12" s="573">
        <f>IF(AG6="Forecast",20000+5350,'Gross Margin Actual'!AH49)</f>
        <v>25350</v>
      </c>
      <c r="AH12" s="573">
        <f>IF(AH6="Forecast",20000+5350,'Gross Margin Actual'!AI49)</f>
        <v>25350</v>
      </c>
      <c r="AI12" s="573">
        <f>IF(AI6="Forecast",20000+5350,'Gross Margin Actual'!AJ49)</f>
        <v>25350</v>
      </c>
      <c r="AJ12" s="573">
        <f>IF(AJ6="Forecast",20000+5350,'Gross Margin Actual'!AK49)</f>
        <v>25350</v>
      </c>
      <c r="AK12" s="573">
        <f>IF(AK6="Forecast",20000+5350,'Gross Margin Actual'!AL49)</f>
        <v>25350</v>
      </c>
      <c r="AL12" s="573">
        <f>IF(AL6="Forecast",20000+5350,'Gross Margin Actual'!AM49)</f>
        <v>25350</v>
      </c>
      <c r="AM12" s="573">
        <f>IF(AM6="Forecast",20000+5350,'Gross Margin Actual'!AN49)</f>
        <v>25350</v>
      </c>
      <c r="AN12" s="573">
        <f>IF(AN6="Forecast",20000+5350,'Gross Margin Actual'!AO49)</f>
        <v>25350</v>
      </c>
      <c r="AO12" s="573">
        <f>IF(AO6="Forecast",20000+5350,'Gross Margin Actual'!AP49)</f>
        <v>25350</v>
      </c>
      <c r="AP12" s="573">
        <f>IF(AP6="Forecast",20000+5350,'Gross Margin Actual'!AQ49)</f>
        <v>25350</v>
      </c>
      <c r="AQ12" s="573">
        <f>IF(AQ6="Forecast",20000+5350,'Gross Margin Actual'!AR49)</f>
        <v>25350</v>
      </c>
      <c r="AR12" s="573">
        <f>IF(AR6="Forecast",20000+5350,'Gross Margin Actual'!AS49)</f>
        <v>25350</v>
      </c>
      <c r="AS12" s="573">
        <f>IF(AS6="Forecast",20000+5350,'Gross Margin Actual'!AT49)</f>
        <v>25350</v>
      </c>
      <c r="AT12" s="573">
        <f>IF(AT6="Forecast",20000+5350,'Gross Margin Actual'!AU49)</f>
        <v>25350</v>
      </c>
      <c r="AU12" s="573">
        <f>IF(AU6="Forecast",20000+5350,'Gross Margin Actual'!AV49)</f>
        <v>25350</v>
      </c>
      <c r="AV12" s="573">
        <f>IF(AV6="Forecast",20000+5350,'Gross Margin Actual'!AW49)</f>
        <v>25350</v>
      </c>
      <c r="AW12" s="573">
        <f>IF(AW6="Forecast",20000+5350,'Gross Margin Actual'!AX49)</f>
        <v>25350</v>
      </c>
      <c r="AX12" s="573">
        <f>IF(AX6="Forecast",20000+5350,'Gross Margin Actual'!AY49)</f>
        <v>25350</v>
      </c>
      <c r="AY12" s="573">
        <f>IF(AY6="Forecast",20000+5350,'Gross Margin Actual'!AZ49)</f>
        <v>25350</v>
      </c>
      <c r="AZ12" s="573">
        <f>IF(AZ6="Forecast",20000+5350,'Gross Margin Actual'!BA49)</f>
        <v>25350</v>
      </c>
      <c r="BA12" s="573">
        <f>IF(BA6="Forecast",20000+5350,'Gross Margin Actual'!BB49)</f>
        <v>25350</v>
      </c>
      <c r="BB12" s="573">
        <f>IF(BB6="Forecast",20000+5350,'Gross Margin Actual'!BC49)</f>
        <v>25350</v>
      </c>
      <c r="BC12" s="573">
        <f>IF(BC6="Forecast",20000+5350,'Gross Margin Actual'!BD49)</f>
        <v>25350</v>
      </c>
      <c r="BD12" s="573">
        <f>IF(BD6="Forecast",20000+5350,'Gross Margin Actual'!BE49)</f>
        <v>25350</v>
      </c>
      <c r="BE12" s="573">
        <f>IF(BE6="Forecast",20000+5350,'Gross Margin Actual'!BF49)</f>
        <v>25350</v>
      </c>
      <c r="BF12" s="573">
        <f>IF(BF6="Forecast",20000+5350,'Gross Margin Actual'!BG49)</f>
        <v>25350</v>
      </c>
      <c r="BG12" s="573">
        <f>IF(BG6="Forecast",20000+5350,'Gross Margin Actual'!BH49)</f>
        <v>25350</v>
      </c>
      <c r="BH12" s="573">
        <f>IF(BH6="Forecast",20000+5350,'Gross Margin Actual'!BI49)</f>
        <v>25350</v>
      </c>
      <c r="BI12" s="573">
        <f>IF(BI6="Forecast",20000+5350,'Gross Margin Actual'!BJ49)</f>
        <v>25350</v>
      </c>
      <c r="BJ12" s="573">
        <f>IF(BJ6="Forecast",20000+5350,'Gross Margin Actual'!BK49)</f>
        <v>25350</v>
      </c>
      <c r="BK12" s="573">
        <f>IF(BK6="Forecast",20000+5350,'Gross Margin Actual'!BL49)</f>
        <v>25350</v>
      </c>
      <c r="BL12" s="573">
        <f>IF(BL6="Forecast",20000+5350,'Gross Margin Actual'!BM49)</f>
        <v>25350</v>
      </c>
      <c r="BM12" s="573">
        <f>IF(BM6="Forecast",20000+5350,'Gross Margin Actual'!BN49)</f>
        <v>25350</v>
      </c>
      <c r="BN12" s="573">
        <f>IF(BN6="Forecast",20000+5350,'Gross Margin Actual'!BO49)</f>
        <v>25350</v>
      </c>
      <c r="BO12" s="573">
        <f>IF(BO6="Forecast",20000+5350,'Gross Margin Actual'!BP49)</f>
        <v>25350</v>
      </c>
      <c r="BP12" s="573">
        <f>IF(BP6="Forecast",20000+5350,'Gross Margin Actual'!BQ49)</f>
        <v>25350</v>
      </c>
      <c r="BQ12" s="573">
        <f>IF(BQ6="Forecast",20000+5350,'Gross Margin Actual'!BR49)</f>
        <v>25350</v>
      </c>
      <c r="BR12" s="573">
        <f>IF(BR6="Forecast",20000+5350,'Gross Margin Actual'!BS49)</f>
        <v>25350</v>
      </c>
      <c r="BS12" s="573">
        <f>IF(BS6="Forecast",20000+5350,'Gross Margin Actual'!BT49)</f>
        <v>25350</v>
      </c>
      <c r="BT12" s="573">
        <f>IF(BT6="Forecast",20000+5350,'Gross Margin Actual'!BU49)</f>
        <v>25350</v>
      </c>
      <c r="BU12" s="573">
        <f>IF(BU6="Forecast",20000+5350,'Gross Margin Actual'!BV49)</f>
        <v>25350</v>
      </c>
      <c r="BV12" s="573">
        <f>IF(BV6="Forecast",20000+5350,'Gross Margin Actual'!BW49)</f>
        <v>25350</v>
      </c>
    </row>
    <row r="13" spans="2:74" x14ac:dyDescent="0.25">
      <c r="B13" s="308" t="s">
        <v>147</v>
      </c>
      <c r="C13" s="230">
        <f>IF(C6="forecast",('Voice Revenue'!B65+'SMS Revenue'!B66+'SMS Sub'!B66)*Sensativities!D13,'Gross Margin Actual'!D52)</f>
        <v>20576.849999999999</v>
      </c>
      <c r="D13" s="230">
        <f>IF(D6="forecast",('Voice Revenue'!C65+'SMS Revenue'!C66+'SMS Sub'!C66)*Sensativities!E13,'Gross Margin Actual'!E52)</f>
        <v>20279.760000000002</v>
      </c>
      <c r="E13" s="230">
        <f>IF(E6="forecast",('Voice Revenue'!D65+'SMS Revenue'!D66+'SMS Sub'!D66)*Sensativities!F13,'Gross Margin Actual'!F52)</f>
        <v>20182.7</v>
      </c>
      <c r="F13" s="230">
        <f>IF(F6="forecast",('Voice Revenue'!E65+'SMS Revenue'!E66+'SMS Sub'!E66)*Sensativities!G13,'Gross Margin Actual'!G52)</f>
        <v>25924.18</v>
      </c>
      <c r="G13" s="230">
        <f>IF(G6="forecast",('Voice Revenue'!F65+'SMS Revenue'!F66+'SMS Sub'!F66)*Sensativities!H13,'Gross Margin Actual'!H52)</f>
        <v>26600.04</v>
      </c>
      <c r="H13" s="230">
        <f>IF(H6="forecast",('Voice Revenue'!G65+'SMS Revenue'!G66+'SMS Sub'!G66)*Sensativities!I13,'Gross Margin Actual'!I52)</f>
        <v>28612.95</v>
      </c>
      <c r="I13" s="230">
        <f>IF(I6="forecast",('Voice Revenue'!H65+'SMS Revenue'!H66+'SMS Sub'!H66)*Sensativities!J13,'Gross Margin Actual'!J52)</f>
        <v>26847.27</v>
      </c>
      <c r="J13" s="230">
        <f>IF(J6="forecast",('Voice Revenue'!I65+'SMS Revenue'!I66+'SMS Sub'!I66)*Sensativities!K13,'Gross Margin Actual'!K52)</f>
        <v>26671.67</v>
      </c>
      <c r="K13" s="230">
        <f>IF(K6="forecast",('Voice Revenue'!J65+'SMS Revenue'!J66+'SMS Sub'!J66)*Sensativities!L13,'Gross Margin Actual'!L52)</f>
        <v>26885.89</v>
      </c>
      <c r="L13" s="230">
        <f>IF(L6="forecast",('Voice Revenue'!K65+'SMS Revenue'!K66+'SMS Sub'!K66)*Sensativities!M13,'Gross Margin Actual'!M52)</f>
        <v>29707.010000000002</v>
      </c>
      <c r="M13" s="230">
        <f>IF(M6="forecast",('Voice Revenue'!L65+'SMS Revenue'!L66+'SMS Sub'!L66)*Sensativities!N13,'Gross Margin Actual'!N52)</f>
        <v>33841.120000000003</v>
      </c>
      <c r="N13" s="230">
        <f>IF(N6="forecast",('Voice Revenue'!M65+'SMS Revenue'!M66+'SMS Sub'!M66)*Sensativities!O13,'Gross Margin Actual'!O52)</f>
        <v>31757.35</v>
      </c>
      <c r="O13" s="230">
        <f>IF(O6="forecast",('Voice Revenue'!N65+'SMS Revenue'!N66+'SMS Sub'!N66)*Sensativities!P13,'Gross Margin Actual'!P52)</f>
        <v>15810.7</v>
      </c>
      <c r="P13" s="230">
        <f>IF(P6="forecast",('Voice Revenue'!O65+'SMS Revenue'!O66+'SMS Sub'!O66)*Sensativities!Q13,'Gross Margin Actual'!Q52)</f>
        <v>28578.89</v>
      </c>
      <c r="Q13" s="230">
        <f>IF(Q6="forecast",('Voice Revenue'!P65+'SMS Revenue'!P66+'SMS Sub'!P66)*Sensativities!R13,'Gross Margin Actual'!R52)</f>
        <v>27683.75</v>
      </c>
      <c r="R13" s="230">
        <f>IF(R6="forecast",('Voice Revenue'!Q65+'SMS Revenue'!Q66+'SMS Sub'!Q66)*Sensativities!S13,'Gross Margin Actual'!S52)</f>
        <v>32422.07</v>
      </c>
      <c r="S13" s="230">
        <f>IF(S6="forecast",('Voice Revenue'!R65+'SMS Revenue'!R66+'SMS Sub'!R66)*Sensativities!T13,'Gross Margin Actual'!T52)</f>
        <v>30649.41</v>
      </c>
      <c r="T13" s="230">
        <f>IF(T6="forecast",('Voice Revenue'!S65+'SMS Revenue'!S66+'SMS Sub'!S66)*Sensativities!U13,'Gross Margin Actual'!U52)</f>
        <v>36002.61</v>
      </c>
      <c r="U13" s="230">
        <f>IF(U6="forecast",('Voice Revenue'!T65+'SMS Revenue'!T66+'SMS Sub'!T66)*Sensativities!V13,'Gross Margin Actual'!V52)</f>
        <v>37367.67</v>
      </c>
      <c r="V13" s="230">
        <f>IF(V6="forecast",('Voice Revenue'!U65+'SMS Revenue'!U66+'SMS Sub'!U66)*Sensativities!W13,'Gross Margin Actual'!W52)</f>
        <v>30284.080000000002</v>
      </c>
      <c r="W13" s="230">
        <f>IF(W6="forecast",('Voice Revenue'!V65+'SMS Revenue'!V66+'SMS Sub'!V66)*Sensativities!X13,'Gross Margin Actual'!X52)</f>
        <v>35976.410000000003</v>
      </c>
      <c r="X13" s="230">
        <f>IF(X6="forecast",('Voice Revenue'!W65+'SMS Revenue'!W66+'SMS Sub'!W66)*Sensativities!Y13,'Gross Margin Actual'!Y52)</f>
        <v>43264.55</v>
      </c>
      <c r="Y13" s="230">
        <f>IF(Y6="forecast",('Voice Revenue'!X65+'SMS Revenue'!X66+'SMS Sub'!X66)*Sensativities!Z13,'Gross Margin Actual'!Z52)</f>
        <v>35930.800000000003</v>
      </c>
      <c r="Z13" s="230">
        <f>IF(Z6="forecast",('Voice Revenue'!Y65+'SMS Revenue'!Y66+'SMS Sub'!Y66)*Sensativities!AA13,'Gross Margin Actual'!AA52)</f>
        <v>34948.92</v>
      </c>
      <c r="AA13" s="230">
        <f>IF(AA6="forecast",('Voice Revenue'!Z65+'SMS Revenue'!Z66+'SMS Sub'!Z66)*Sensativities!AB13,'Gross Margin Actual'!AB52)</f>
        <v>33832.550000000003</v>
      </c>
      <c r="AB13" s="230">
        <f>IF(AB6="forecast",('Voice Revenue'!AA65+'SMS Revenue'!AA66+'SMS Sub'!AA66)*Sensativities!AC13,'Gross Margin Actual'!AC52)</f>
        <v>36325.089999999997</v>
      </c>
      <c r="AC13" s="230">
        <f>IF(AC6="forecast",('Voice Revenue'!AB65+'SMS Revenue'!AB66+'SMS Sub'!AB66)*Sensativities!AD13,'Gross Margin Actual'!AD52)</f>
        <v>35313.760000000002</v>
      </c>
      <c r="AD13" s="230">
        <f>IF(AD6="forecast",('Voice Revenue'!AC65+'SMS Revenue'!AC66+'SMS Sub'!AC66)*Sensativities!AE13,'Gross Margin Actual'!AE52)</f>
        <v>42992.694956699408</v>
      </c>
      <c r="AE13" s="230">
        <f>IF(AE6="forecast",('Voice Revenue'!AD65+'SMS Revenue'!AD66+'SMS Sub'!AD66)*Sensativities!AF13,'Gross Margin Actual'!AF52)</f>
        <v>46343.825082970201</v>
      </c>
      <c r="AF13" s="230">
        <f>IF(AF6="forecast",('Voice Revenue'!AE65+'SMS Revenue'!AE66+'SMS Sub'!AE66)*Sensativities!AG13,'Gross Margin Actual'!AG52)</f>
        <v>49465.008137531491</v>
      </c>
      <c r="AG13" s="230">
        <f>IF(AG6="forecast",('Voice Revenue'!AF65+'SMS Revenue'!AF66+'SMS Sub'!AF66)*Sensativities!AH13,'Gross Margin Actual'!AH52)</f>
        <v>48766.606929347297</v>
      </c>
      <c r="AH13" s="230">
        <f>IF(AH6="forecast",('Voice Revenue'!AG65+'SMS Revenue'!AG66+'SMS Sub'!AG66)*Sensativities!AI13,'Gross Margin Actual'!AI52)</f>
        <v>51028.259218213701</v>
      </c>
      <c r="AI13" s="230">
        <f>IF(AI6="forecast",('Voice Revenue'!AH65+'SMS Revenue'!AH66+'SMS Sub'!AH66)*Sensativities!AJ13,'Gross Margin Actual'!AJ52)</f>
        <v>59602.666486748858</v>
      </c>
      <c r="AJ13" s="230">
        <f>IF(AJ6="forecast",('Voice Revenue'!AI65+'SMS Revenue'!AI66+'SMS Sub'!AI66)*Sensativities!AK13,'Gross Margin Actual'!AK52)</f>
        <v>63246.618491560141</v>
      </c>
      <c r="AK13" s="230">
        <f>IF(AK6="forecast",('Voice Revenue'!AJ65+'SMS Revenue'!AJ66+'SMS Sub'!AJ66)*Sensativities!AL13,'Gross Margin Actual'!AL52)</f>
        <v>61376.64506398185</v>
      </c>
      <c r="AL13" s="230">
        <f>IF(AL6="forecast",('Voice Revenue'!AK65+'SMS Revenue'!AK66+'SMS Sub'!AK66)*Sensativities!AM13,'Gross Margin Actual'!AM52)</f>
        <v>61647.042901858083</v>
      </c>
      <c r="AM13" s="230">
        <f>IF(AM6="forecast",('Voice Revenue'!AL65+'SMS Revenue'!AL66+'SMS Sub'!AL66)*Sensativities!AN13,'Gross Margin Actual'!AN52)</f>
        <v>70677.212432843604</v>
      </c>
      <c r="AN13" s="230">
        <f>IF(AN6="forecast",('Voice Revenue'!AM65+'SMS Revenue'!AM66+'SMS Sub'!AM66)*Sensativities!AO13,'Gross Margin Actual'!AO52)</f>
        <v>74284.292456649535</v>
      </c>
      <c r="AO13" s="230">
        <f>IF(AO6="forecast",('Voice Revenue'!AN65+'SMS Revenue'!AN66+'SMS Sub'!AN66)*Sensativities!AP13,'Gross Margin Actual'!AP52)</f>
        <v>78036.542556940738</v>
      </c>
      <c r="AP13" s="230">
        <f>IF(AP6="forecast",('Voice Revenue'!AO65+'SMS Revenue'!AO66+'SMS Sub'!AO66)*Sensativities!AQ13,'Gross Margin Actual'!AQ52)</f>
        <v>81598.914971519596</v>
      </c>
      <c r="AQ13" s="230">
        <f>IF(AQ6="forecast",('Voice Revenue'!AP65+'SMS Revenue'!AP66+'SMS Sub'!AP66)*Sensativities!AR13,'Gross Margin Actual'!AR52)</f>
        <v>85019.888519032422</v>
      </c>
      <c r="AR13" s="230">
        <f>IF(AR6="forecast",('Voice Revenue'!AQ65+'SMS Revenue'!AQ66+'SMS Sub'!AQ66)*Sensativities!AS13,'Gross Margin Actual'!AS52)</f>
        <v>88403.758062282301</v>
      </c>
      <c r="AS13" s="230">
        <f>IF(AS6="forecast",('Voice Revenue'!AR65+'SMS Revenue'!AR66+'SMS Sub'!AR66)*Sensativities!AT13,'Gross Margin Actual'!AT52)</f>
        <v>91789.312787874282</v>
      </c>
      <c r="AT13" s="230">
        <f>IF(AT6="forecast",('Voice Revenue'!AS65+'SMS Revenue'!AS66+'SMS Sub'!AS66)*Sensativities!AU13,'Gross Margin Actual'!AU52)</f>
        <v>95219.195820339359</v>
      </c>
      <c r="AU13" s="230">
        <f>IF(AU6="forecast",('Voice Revenue'!AT65+'SMS Revenue'!AT66+'SMS Sub'!AT66)*Sensativities!AV13,'Gross Margin Actual'!AV52)</f>
        <v>98688.311837076864</v>
      </c>
      <c r="AV13" s="230">
        <f>IF(AV6="forecast",('Voice Revenue'!AU65+'SMS Revenue'!AU66+'SMS Sub'!AU66)*Sensativities!AW13,'Gross Margin Actual'!AW52)</f>
        <v>102080.48731290498</v>
      </c>
      <c r="AW13" s="230">
        <f>IF(AW6="forecast",('Voice Revenue'!AV65+'SMS Revenue'!AV66+'SMS Sub'!AV66)*Sensativities!AX13,'Gross Margin Actual'!AX52)</f>
        <v>105472.6627887331</v>
      </c>
      <c r="AX13" s="230">
        <f>IF(AX6="forecast",('Voice Revenue'!AW65+'SMS Revenue'!AW66+'SMS Sub'!AW66)*Sensativities!AY13,'Gross Margin Actual'!AY52)</f>
        <v>108864.83826456121</v>
      </c>
      <c r="AY13" s="230">
        <f>IF(AY6="forecast",('Voice Revenue'!AX65+'SMS Revenue'!AX66+'SMS Sub'!AX66)*Sensativities!AZ13,'Gross Margin Actual'!AZ52)</f>
        <v>0</v>
      </c>
      <c r="AZ13" s="230">
        <f>IF(AZ6="forecast",('Voice Revenue'!AY65+'SMS Revenue'!AY66+'SMS Sub'!AY66)*Sensativities!BA13,'Gross Margin Actual'!BA52)</f>
        <v>0</v>
      </c>
      <c r="BA13" s="230">
        <f>IF(BA6="forecast",('Voice Revenue'!AZ65+'SMS Revenue'!AZ66+'SMS Sub'!AZ66)*Sensativities!BB13,'Gross Margin Actual'!BB52)</f>
        <v>0</v>
      </c>
      <c r="BB13" s="230">
        <f>IF(BB6="forecast",('Voice Revenue'!BA65+'SMS Revenue'!BA66+'SMS Sub'!BA66)*Sensativities!BC13,'Gross Margin Actual'!BC52)</f>
        <v>0</v>
      </c>
      <c r="BC13" s="230">
        <f>IF(BC6="forecast",('Voice Revenue'!BB65+'SMS Revenue'!BB66+'SMS Sub'!BB66)*Sensativities!BD13,'Gross Margin Actual'!BD52)</f>
        <v>0</v>
      </c>
      <c r="BD13" s="230">
        <f>IF(BD6="forecast",('Voice Revenue'!BC65+'SMS Revenue'!BC66+'SMS Sub'!BC66)*Sensativities!BE13,'Gross Margin Actual'!BE52)</f>
        <v>0</v>
      </c>
      <c r="BE13" s="230">
        <f>IF(BE6="forecast",('Voice Revenue'!BD65+'SMS Revenue'!BD66+'SMS Sub'!BD66)*Sensativities!BF13,'Gross Margin Actual'!BF52)</f>
        <v>0</v>
      </c>
      <c r="BF13" s="230">
        <f>IF(BF6="forecast",('Voice Revenue'!BE65+'SMS Revenue'!BE66+'SMS Sub'!BE66)*Sensativities!BG13,'Gross Margin Actual'!BG52)</f>
        <v>0</v>
      </c>
      <c r="BG13" s="230">
        <f>IF(BG6="forecast",('Voice Revenue'!BF65+'SMS Revenue'!BF66+'SMS Sub'!BF66)*Sensativities!BH13,'Gross Margin Actual'!BH52)</f>
        <v>0</v>
      </c>
      <c r="BH13" s="230">
        <f>IF(BH6="forecast",('Voice Revenue'!BG65+'SMS Revenue'!BG66+'SMS Sub'!BG66)*Sensativities!BI13,'Gross Margin Actual'!BI52)</f>
        <v>0</v>
      </c>
      <c r="BI13" s="230">
        <f>IF(BI6="forecast",('Voice Revenue'!BH65+'SMS Revenue'!BH66+'SMS Sub'!BH66)*Sensativities!BJ13,'Gross Margin Actual'!BJ52)</f>
        <v>0</v>
      </c>
      <c r="BJ13" s="230">
        <f>IF(BJ6="forecast",('Voice Revenue'!BI65+'SMS Revenue'!BI66+'SMS Sub'!BI66)*Sensativities!BK13,'Gross Margin Actual'!BK52)</f>
        <v>0</v>
      </c>
      <c r="BK13" s="230">
        <f>IF(BK6="forecast",('Voice Revenue'!BJ65+'SMS Revenue'!BJ66+'SMS Sub'!BJ66)*Sensativities!BL13,'Gross Margin Actual'!BL52)</f>
        <v>0</v>
      </c>
      <c r="BL13" s="230">
        <f>IF(BL6="forecast",('Voice Revenue'!BK65+'SMS Revenue'!BK66+'SMS Sub'!BK66)*Sensativities!BM13,'Gross Margin Actual'!BM52)</f>
        <v>0</v>
      </c>
      <c r="BM13" s="230">
        <f>IF(BM6="forecast",('Voice Revenue'!BL65+'SMS Revenue'!BL66+'SMS Sub'!BL66)*Sensativities!BN13,'Gross Margin Actual'!BN52)</f>
        <v>0</v>
      </c>
      <c r="BN13" s="230">
        <f>IF(BN6="forecast",('Voice Revenue'!BM65+'SMS Revenue'!BM66+'SMS Sub'!BM66)*Sensativities!BO13,'Gross Margin Actual'!BO52)</f>
        <v>0</v>
      </c>
      <c r="BO13" s="230">
        <f>IF(BO6="forecast",('Voice Revenue'!BN65+'SMS Revenue'!BN66+'SMS Sub'!BN66)*Sensativities!BP13,'Gross Margin Actual'!BP52)</f>
        <v>0</v>
      </c>
      <c r="BP13" s="230">
        <f>IF(BP6="forecast",('Voice Revenue'!BO65+'SMS Revenue'!BO66+'SMS Sub'!BO66)*Sensativities!BQ13,'Gross Margin Actual'!BQ52)</f>
        <v>0</v>
      </c>
      <c r="BQ13" s="230">
        <f>IF(BQ6="forecast",('Voice Revenue'!BP65+'SMS Revenue'!BP66+'SMS Sub'!BP66)*Sensativities!BR13,'Gross Margin Actual'!BR52)</f>
        <v>0</v>
      </c>
      <c r="BR13" s="230">
        <f>IF(BR6="forecast",('Voice Revenue'!BQ65+'SMS Revenue'!BQ66+'SMS Sub'!BQ66)*Sensativities!BS13,'Gross Margin Actual'!BS52)</f>
        <v>0</v>
      </c>
      <c r="BS13" s="230">
        <f>IF(BS6="forecast",('Voice Revenue'!BR65+'SMS Revenue'!BR66+'SMS Sub'!BR66)*Sensativities!BT13,'Gross Margin Actual'!BT52)</f>
        <v>0</v>
      </c>
      <c r="BT13" s="230">
        <f>IF(BT6="forecast",('Voice Revenue'!BS65+'SMS Revenue'!BS66+'SMS Sub'!BS66)*Sensativities!BU13,'Gross Margin Actual'!BU52)</f>
        <v>0</v>
      </c>
      <c r="BU13" s="230">
        <f>IF(BU6="forecast",('Voice Revenue'!BT65+'SMS Revenue'!BT66+'SMS Sub'!BT66)*Sensativities!BV13,'Gross Margin Actual'!BV52)</f>
        <v>0</v>
      </c>
      <c r="BV13" s="230">
        <f>IF(BV6="forecast",('Voice Revenue'!BU65+'SMS Revenue'!BU66+'SMS Sub'!BU66)*Sensativities!BW13,'Gross Margin Actual'!BW52)</f>
        <v>0</v>
      </c>
    </row>
    <row r="14" spans="2:74" x14ac:dyDescent="0.25">
      <c r="B14" s="308"/>
      <c r="C14" s="230"/>
      <c r="D14" s="230"/>
      <c r="E14" s="230"/>
      <c r="F14" s="230"/>
      <c r="G14" s="230"/>
      <c r="H14" s="230"/>
      <c r="I14" s="230"/>
      <c r="J14" s="230"/>
      <c r="K14" s="230"/>
      <c r="L14" s="230"/>
      <c r="M14" s="230"/>
      <c r="N14" s="230"/>
      <c r="O14" s="230"/>
      <c r="P14" s="230"/>
      <c r="Q14" s="230"/>
      <c r="R14" s="230"/>
      <c r="S14" s="230"/>
      <c r="T14" s="230"/>
      <c r="U14" s="230"/>
      <c r="V14" s="230"/>
      <c r="W14" s="230"/>
      <c r="X14" s="230"/>
      <c r="Y14" s="230"/>
      <c r="Z14" s="230"/>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c r="BQ14" s="230"/>
      <c r="BR14" s="230"/>
      <c r="BS14" s="230"/>
      <c r="BT14" s="230"/>
      <c r="BU14" s="230"/>
      <c r="BV14" s="230"/>
    </row>
    <row r="15" spans="2:74" x14ac:dyDescent="0.25">
      <c r="B15" s="981" t="s">
        <v>15</v>
      </c>
      <c r="C15" s="978"/>
      <c r="D15" s="978"/>
      <c r="E15" s="978"/>
      <c r="F15" s="978"/>
      <c r="G15" s="978"/>
      <c r="H15" s="978"/>
      <c r="I15" s="978"/>
      <c r="J15" s="978"/>
      <c r="K15" s="978"/>
      <c r="L15" s="978"/>
      <c r="M15" s="978"/>
      <c r="N15" s="978"/>
      <c r="O15" s="978"/>
      <c r="P15" s="978"/>
      <c r="Q15" s="978"/>
      <c r="R15" s="978"/>
      <c r="S15" s="978"/>
      <c r="T15" s="978"/>
      <c r="U15" s="978"/>
      <c r="V15" s="978"/>
      <c r="W15" s="978"/>
      <c r="X15" s="978"/>
      <c r="Y15" s="978"/>
      <c r="Z15" s="978"/>
      <c r="AA15" s="978"/>
      <c r="AB15" s="978"/>
      <c r="AC15" s="978"/>
      <c r="AD15" s="978"/>
      <c r="AE15" s="978"/>
      <c r="AF15" s="978"/>
      <c r="AG15" s="978"/>
      <c r="AH15" s="978"/>
      <c r="AI15" s="978"/>
      <c r="AJ15" s="978"/>
      <c r="AK15" s="978"/>
      <c r="AL15" s="978"/>
      <c r="AM15" s="978"/>
      <c r="AN15" s="978"/>
      <c r="AO15" s="978"/>
      <c r="AP15" s="978"/>
      <c r="AQ15" s="978"/>
      <c r="AR15" s="978"/>
      <c r="AS15" s="978"/>
      <c r="AT15" s="978"/>
      <c r="AU15" s="978"/>
      <c r="AV15" s="978"/>
      <c r="AW15" s="978"/>
      <c r="AX15" s="978"/>
      <c r="AY15" s="978"/>
      <c r="AZ15" s="978"/>
      <c r="BA15" s="978"/>
      <c r="BB15" s="978"/>
      <c r="BC15" s="978"/>
      <c r="BD15" s="978"/>
      <c r="BE15" s="978"/>
      <c r="BF15" s="978"/>
      <c r="BG15" s="978"/>
      <c r="BH15" s="978"/>
      <c r="BI15" s="978"/>
      <c r="BJ15" s="978"/>
      <c r="BK15" s="978"/>
      <c r="BL15" s="978"/>
      <c r="BM15" s="978"/>
      <c r="BN15" s="978"/>
      <c r="BO15" s="978"/>
      <c r="BP15" s="978"/>
      <c r="BQ15" s="978"/>
      <c r="BR15" s="978"/>
      <c r="BS15" s="978"/>
      <c r="BT15" s="978"/>
      <c r="BU15" s="978"/>
      <c r="BV15" s="978"/>
    </row>
    <row r="16" spans="2:74" x14ac:dyDescent="0.25">
      <c r="B16" s="755" t="s">
        <v>16</v>
      </c>
      <c r="C16" s="927"/>
      <c r="D16" s="927"/>
      <c r="E16" s="927"/>
      <c r="F16" s="927"/>
      <c r="G16" s="927"/>
      <c r="H16" s="927"/>
      <c r="I16" s="927"/>
      <c r="J16" s="927"/>
      <c r="K16" s="927"/>
      <c r="L16" s="927"/>
      <c r="M16" s="927"/>
      <c r="N16" s="927"/>
      <c r="O16" s="927"/>
      <c r="P16" s="927"/>
      <c r="Q16" s="927"/>
      <c r="R16" s="927"/>
      <c r="S16" s="927"/>
      <c r="T16" s="927"/>
      <c r="U16" s="927"/>
      <c r="V16" s="927"/>
      <c r="W16" s="927"/>
      <c r="X16" s="927"/>
      <c r="Y16" s="927"/>
      <c r="Z16" s="927"/>
      <c r="AA16" s="927"/>
      <c r="AB16" s="927"/>
      <c r="AC16" s="927"/>
      <c r="AD16" s="927"/>
      <c r="AE16" s="927"/>
      <c r="AF16" s="927"/>
      <c r="AG16" s="927"/>
      <c r="AH16" s="927"/>
      <c r="AI16" s="927"/>
      <c r="AJ16" s="927"/>
      <c r="AK16" s="927"/>
      <c r="AL16" s="927"/>
      <c r="AM16" s="927"/>
      <c r="AN16" s="927"/>
      <c r="AO16" s="927"/>
      <c r="AP16" s="927"/>
      <c r="AQ16" s="927"/>
      <c r="AR16" s="927"/>
      <c r="AS16" s="927"/>
      <c r="AT16" s="927"/>
      <c r="AU16" s="927"/>
      <c r="AV16" s="927"/>
      <c r="AW16" s="927"/>
      <c r="AX16" s="927"/>
      <c r="AY16" s="927"/>
      <c r="AZ16" s="927"/>
      <c r="BA16" s="927"/>
      <c r="BB16" s="927"/>
      <c r="BC16" s="927"/>
      <c r="BD16" s="927"/>
      <c r="BE16" s="927"/>
      <c r="BF16" s="927"/>
      <c r="BG16" s="927"/>
      <c r="BH16" s="927"/>
      <c r="BI16" s="927"/>
      <c r="BJ16" s="927"/>
      <c r="BK16" s="927"/>
      <c r="BL16" s="927"/>
      <c r="BM16" s="927"/>
      <c r="BN16" s="927"/>
      <c r="BO16" s="927"/>
      <c r="BP16" s="927"/>
      <c r="BQ16" s="927"/>
      <c r="BR16" s="927"/>
      <c r="BS16" s="927"/>
      <c r="BT16" s="927"/>
      <c r="BU16" s="927"/>
      <c r="BV16" s="927"/>
    </row>
    <row r="17" spans="2:74" x14ac:dyDescent="0.25">
      <c r="B17" s="982" t="s">
        <v>223</v>
      </c>
      <c r="C17" s="575">
        <f>IF(C$6="Forecast",Sales!D45,'Dept. Cost Actuals'!G177)</f>
        <v>34017.993179999998</v>
      </c>
      <c r="D17" s="575">
        <f>IF(D$6="Forecast",Sales!E45,'Dept. Cost Actuals'!H177)</f>
        <v>34542.950689999998</v>
      </c>
      <c r="E17" s="575">
        <f>IF(E$6="Forecast",Sales!F45,'Dept. Cost Actuals'!I177)</f>
        <v>30852.619060000001</v>
      </c>
      <c r="F17" s="575">
        <f>IF(F$6="Forecast",Sales!G45,'Dept. Cost Actuals'!J177)</f>
        <v>35093.753120000001</v>
      </c>
      <c r="G17" s="575">
        <f>IF(G$6="Forecast",Sales!H45,'Dept. Cost Actuals'!K177)</f>
        <v>39242.344689999998</v>
      </c>
      <c r="H17" s="575">
        <f>IF(H$6="Forecast",Sales!I45,'Dept. Cost Actuals'!L177)</f>
        <v>58312.668250000002</v>
      </c>
      <c r="I17" s="575">
        <f>IF(I$6="Forecast",Sales!J45,'Dept. Cost Actuals'!M177)</f>
        <v>49675.559130000001</v>
      </c>
      <c r="J17" s="575">
        <f>IF(J$6="Forecast",Sales!K45,'Dept. Cost Actuals'!N177)</f>
        <v>63917.624900000003</v>
      </c>
      <c r="K17" s="575">
        <f>IF(K$6="Forecast",Sales!L45,'Dept. Cost Actuals'!O177)</f>
        <v>49268.545660000003</v>
      </c>
      <c r="L17" s="575">
        <f>IF(L$6="Forecast",Sales!M45,'Dept. Cost Actuals'!P177)</f>
        <v>44395.188029999998</v>
      </c>
      <c r="M17" s="575">
        <f>IF(M$6="Forecast",Sales!N45,'Dept. Cost Actuals'!Q177)</f>
        <v>68735.622730000003</v>
      </c>
      <c r="N17" s="575">
        <f>IF(N$6="Forecast",Sales!O45,'Dept. Cost Actuals'!R177)</f>
        <v>68706.519369999995</v>
      </c>
      <c r="O17" s="575">
        <f>IF(O$6="Forecast",Sales!P45,'Dept. Cost Actuals'!S177)</f>
        <v>108819.14</v>
      </c>
      <c r="P17" s="575">
        <f>IF(P$6="Forecast",Sales!Q45,'Dept. Cost Actuals'!T177)</f>
        <v>88746.52</v>
      </c>
      <c r="Q17" s="575">
        <f>IF(Q$6="Forecast",Sales!R45,'Dept. Cost Actuals'!U177)</f>
        <v>147580.19</v>
      </c>
      <c r="R17" s="575">
        <f>IF(R$6="Forecast",Sales!S45,'Dept. Cost Actuals'!V177)</f>
        <v>118226.94</v>
      </c>
      <c r="S17" s="575">
        <f>IF(S$6="Forecast",Sales!T45,'Dept. Cost Actuals'!W177)</f>
        <v>122808.24</v>
      </c>
      <c r="T17" s="575">
        <f>IF(T$6="Forecast",Sales!U45,'Dept. Cost Actuals'!X177)</f>
        <v>103263.89</v>
      </c>
      <c r="U17" s="575">
        <f>IF(U$6="Forecast",Sales!V45,'Dept. Cost Actuals'!Y177)</f>
        <v>132491.95000000001</v>
      </c>
      <c r="V17" s="575">
        <f>IF(V$6="Forecast",Sales!W45,'Dept. Cost Actuals'!Z177)</f>
        <v>115863.47</v>
      </c>
      <c r="W17" s="575">
        <f>IF(W$6="Forecast",Sales!X45,'Dept. Cost Actuals'!AA177)</f>
        <v>131784.16</v>
      </c>
      <c r="X17" s="575">
        <f>IF(X$6="Forecast",Sales!Y45,'Dept. Cost Actuals'!AB177)</f>
        <v>163135.63</v>
      </c>
      <c r="Y17" s="575">
        <f>IF(Y$6="Forecast",Sales!Z45,'Dept. Cost Actuals'!AC177)</f>
        <v>129571.93</v>
      </c>
      <c r="Z17" s="575">
        <f>IF(Z$6="Forecast",Sales!AA45,'Dept. Cost Actuals'!AD177)</f>
        <v>137228.06</v>
      </c>
      <c r="AA17" s="575">
        <f>IF(AA$6="Forecast",Sales!AB45,'Dept. Cost Actuals'!AE177)</f>
        <v>146192.46</v>
      </c>
      <c r="AB17" s="575">
        <f>IF(AB$6="Forecast",Sales!AC45,'Dept. Cost Actuals'!AF177)</f>
        <v>125489.62</v>
      </c>
      <c r="AC17" s="575">
        <f>IF(AC$6="Forecast",Sales!AD45,'Dept. Cost Actuals'!AG177)</f>
        <v>136806.78</v>
      </c>
      <c r="AD17" s="575">
        <f>IF(AD$6="Forecast",Sales!AE45,'Dept. Cost Actuals'!AH177)</f>
        <v>203234.43053637672</v>
      </c>
      <c r="AE17" s="575">
        <f>IF(AE$6="Forecast",Sales!AF45,'Dept. Cost Actuals'!AI177)</f>
        <v>199916.41758612401</v>
      </c>
      <c r="AF17" s="575">
        <f>IF(AF$6="Forecast",Sales!AG45,'Dept. Cost Actuals'!AJ177)</f>
        <v>220076.88128856901</v>
      </c>
      <c r="AG17" s="575">
        <f>IF(AG$6="Forecast",Sales!AH45,'Dept. Cost Actuals'!AK177)</f>
        <v>207814.06972838673</v>
      </c>
      <c r="AH17" s="575">
        <f>IF(AH$6="Forecast",Sales!AI45,'Dept. Cost Actuals'!AL177)</f>
        <v>209497.62162489718</v>
      </c>
      <c r="AI17" s="575">
        <f>IF(AI$6="Forecast",Sales!AJ45,'Dept. Cost Actuals'!AM177)</f>
        <v>210620.25906908672</v>
      </c>
      <c r="AJ17" s="575">
        <f>IF(AJ$6="Forecast",Sales!AK45,'Dept. Cost Actuals'!AN177)</f>
        <v>211632.00712357208</v>
      </c>
      <c r="AK17" s="575">
        <f>IF(AK$6="Forecast",Sales!AL45,'Dept. Cost Actuals'!AO177)</f>
        <v>212639.10474594988</v>
      </c>
      <c r="AL17" s="575">
        <f>IF(AL$6="Forecast",Sales!AM45,'Dept. Cost Actuals'!AP177)</f>
        <v>214941.71466265741</v>
      </c>
      <c r="AM17" s="575">
        <f>IF(AM$6="Forecast",Sales!AN45,'Dept. Cost Actuals'!AQ177)</f>
        <v>219822.1416366054</v>
      </c>
      <c r="AN17" s="575">
        <f>IF(AN$6="Forecast",Sales!AO45,'Dept. Cost Actuals'!AR177)</f>
        <v>217925.81179156931</v>
      </c>
      <c r="AO17" s="575">
        <f>IF(AO$6="Forecast",Sales!AP45,'Dept. Cost Actuals'!AS177)</f>
        <v>219460.328523693</v>
      </c>
      <c r="AP17" s="575">
        <f>IF(AP$6="Forecast",Sales!AQ45,'Dept. Cost Actuals'!AT177)</f>
        <v>221027.70083512948</v>
      </c>
      <c r="AQ17" s="575">
        <f>IF(AQ$6="Forecast",Sales!AR45,'Dept. Cost Actuals'!AU177)</f>
        <v>222425.86535239327</v>
      </c>
      <c r="AR17" s="575">
        <f>IF(AR$6="Forecast",Sales!AS45,'Dept. Cost Actuals'!AV177)</f>
        <v>223849.62084449935</v>
      </c>
      <c r="AS17" s="575">
        <f>IF(AS$6="Forecast",Sales!AT45,'Dept. Cost Actuals'!AW177)</f>
        <v>225269.74209882884</v>
      </c>
      <c r="AT17" s="575">
        <f>IF(AT$6="Forecast",Sales!AU45,'Dept. Cost Actuals'!AX177)</f>
        <v>226676.50555925863</v>
      </c>
      <c r="AU17" s="575">
        <f>IF(AU$6="Forecast",Sales!AV45,'Dept. Cost Actuals'!AY177)</f>
        <v>228059.95079993008</v>
      </c>
      <c r="AV17" s="575">
        <f>IF(AV$6="Forecast",Sales!AW45,'Dept. Cost Actuals'!AZ177)</f>
        <v>229465.22345385817</v>
      </c>
      <c r="AW17" s="575">
        <f>IF(AW$6="Forecast",Sales!AX45,'Dept. Cost Actuals'!BA177)</f>
        <v>230902.62505476264</v>
      </c>
      <c r="AX17" s="575">
        <f>IF(AX$6="Forecast",Sales!AY45,'Dept. Cost Actuals'!BB177)</f>
        <v>237494.18790812782</v>
      </c>
      <c r="AY17" s="575">
        <f>IF(AY$6="Forecast",Sales!AZ45,'Dept. Cost Actuals'!BC177)</f>
        <v>242891.10659508422</v>
      </c>
      <c r="AZ17" s="575">
        <f>IF(AZ$6="Forecast",Sales!BA45,'Dept. Cost Actuals'!BD177)</f>
        <v>240649.9951737668</v>
      </c>
      <c r="BA17" s="575">
        <f>IF(BA$6="Forecast",Sales!BB45,'Dept. Cost Actuals'!BE177)</f>
        <v>242229.34396785547</v>
      </c>
      <c r="BB17" s="575">
        <f>IF(BB$6="Forecast",Sales!BC45,'Dept. Cost Actuals'!BF177)</f>
        <v>243816.23815440887</v>
      </c>
      <c r="BC17" s="575">
        <f>IF(BC$6="Forecast",Sales!BD45,'Dept. Cost Actuals'!BG177)</f>
        <v>245410.30842892686</v>
      </c>
      <c r="BD17" s="575">
        <f>IF(BD$6="Forecast",Sales!BE45,'Dept. Cost Actuals'!BH177)</f>
        <v>247004.30357949642</v>
      </c>
      <c r="BE17" s="575">
        <f>IF(BE$6="Forecast",Sales!BF45,'Dept. Cost Actuals'!BI177)</f>
        <v>248618.34075918075</v>
      </c>
      <c r="BF17" s="575">
        <f>IF(BF$6="Forecast",Sales!BG45,'Dept. Cost Actuals'!BJ177)</f>
        <v>250250.8477828383</v>
      </c>
      <c r="BG17" s="575">
        <f>IF(BG$6="Forecast",Sales!BH45,'Dept. Cost Actuals'!BK177)</f>
        <v>251904.52560834278</v>
      </c>
      <c r="BH17" s="575">
        <f>IF(BH$6="Forecast",Sales!BI45,'Dept. Cost Actuals'!BL177)</f>
        <v>253584.06776208663</v>
      </c>
      <c r="BI17" s="575">
        <f>IF(BI$6="Forecast",Sales!BJ45,'Dept. Cost Actuals'!BM177)</f>
        <v>255290.21345623824</v>
      </c>
      <c r="BJ17" s="575">
        <f>IF(BJ$6="Forecast",Sales!BK45,'Dept. Cost Actuals'!BN177)</f>
        <v>262279.30718901794</v>
      </c>
      <c r="BK17" s="575">
        <f>IF(BK$6="Forecast",Sales!BL45,'Dept. Cost Actuals'!BO177)</f>
        <v>268006.42157869349</v>
      </c>
      <c r="BL17" s="575">
        <f>IF(BL$6="Forecast",Sales!BM45,'Dept. Cost Actuals'!BP177)</f>
        <v>265863.35038046213</v>
      </c>
      <c r="BM17" s="575">
        <f>IF(BM$6="Forecast",Sales!BN45,'Dept. Cost Actuals'!BQ177)</f>
        <v>267680.0424887868</v>
      </c>
      <c r="BN17" s="575">
        <f>IF(BN$6="Forecast",Sales!BO45,'Dept. Cost Actuals'!BR177)</f>
        <v>269521.10406981327</v>
      </c>
      <c r="BO17" s="575">
        <f>IF(BO$6="Forecast",Sales!BP45,'Dept. Cost Actuals'!BS177)</f>
        <v>271386.57610850781</v>
      </c>
      <c r="BP17" s="575">
        <f>IF(BP$6="Forecast",Sales!BQ45,'Dept. Cost Actuals'!BT177)</f>
        <v>273277.98373379256</v>
      </c>
      <c r="BQ17" s="575">
        <f>IF(BQ$6="Forecast",Sales!BR45,'Dept. Cost Actuals'!BU177)</f>
        <v>275197.2475055512</v>
      </c>
      <c r="BR17" s="575">
        <f>IF(BR$6="Forecast",Sales!BS45,'Dept. Cost Actuals'!BV177)</f>
        <v>277147.15913759149</v>
      </c>
      <c r="BS17" s="575">
        <f>IF(BS$6="Forecast",Sales!BT45,'Dept. Cost Actuals'!BW177)</f>
        <v>279128.43617762142</v>
      </c>
      <c r="BT17" s="575">
        <f>IF(BT$6="Forecast",Sales!BU45,'Dept. Cost Actuals'!BX177)</f>
        <v>281142.24684484926</v>
      </c>
      <c r="BU17" s="575">
        <f>IF(BU$6="Forecast",Sales!BV45,'Dept. Cost Actuals'!BY177)</f>
        <v>283189.42810586671</v>
      </c>
      <c r="BV17" s="575" t="e">
        <f>IF(BV$6="Forecast",Sales!#REF!,'Dept. Cost Actuals'!BZ177)</f>
        <v>#REF!</v>
      </c>
    </row>
    <row r="18" spans="2:74" x14ac:dyDescent="0.25">
      <c r="B18" s="983" t="s">
        <v>4</v>
      </c>
      <c r="C18" s="21">
        <f>IF(C$6="Forecast",Marketing!C57,'Dept. Cost Actuals'!G351)</f>
        <v>122743.50469</v>
      </c>
      <c r="D18" s="21">
        <f>IF(D$6="Forecast",Marketing!D57,'Dept. Cost Actuals'!H351)</f>
        <v>165589.8769</v>
      </c>
      <c r="E18" s="21">
        <f>IF(E$6="Forecast",Marketing!E57,'Dept. Cost Actuals'!I351)</f>
        <v>193250.67444999999</v>
      </c>
      <c r="F18" s="21">
        <f>IF(F$6="Forecast",Marketing!F57,'Dept. Cost Actuals'!J351)</f>
        <v>185825.60762</v>
      </c>
      <c r="G18" s="21">
        <f>IF(G$6="Forecast",Marketing!G57,'Dept. Cost Actuals'!K351)</f>
        <v>149635.46805</v>
      </c>
      <c r="H18" s="21">
        <f>IF(H$6="Forecast",Marketing!H57,'Dept. Cost Actuals'!L351)</f>
        <v>169801.64715999999</v>
      </c>
      <c r="I18" s="21">
        <f>IF(I$6="Forecast",Marketing!I57,'Dept. Cost Actuals'!M351)</f>
        <v>149358.31896999999</v>
      </c>
      <c r="J18" s="21">
        <f>IF(J$6="Forecast",Marketing!J57,'Dept. Cost Actuals'!N351)</f>
        <v>172621.19657999999</v>
      </c>
      <c r="K18" s="21">
        <f>IF(K$6="Forecast",Marketing!K57,'Dept. Cost Actuals'!O351)</f>
        <v>167594.95439999999</v>
      </c>
      <c r="L18" s="21">
        <f>IF(L$6="Forecast",Marketing!L57,'Dept. Cost Actuals'!P351)</f>
        <v>180125.49536999999</v>
      </c>
      <c r="M18" s="21">
        <f>IF(M$6="Forecast",Marketing!M57,'Dept. Cost Actuals'!Q351)</f>
        <v>120151.0729</v>
      </c>
      <c r="N18" s="21">
        <f>IF(N$6="Forecast",Marketing!N57,'Dept. Cost Actuals'!R351)</f>
        <v>98802.597529999999</v>
      </c>
      <c r="O18" s="21">
        <f>IF(O$6="Forecast",Marketing!O57,'Dept. Cost Actuals'!S351)</f>
        <v>296216.34999999998</v>
      </c>
      <c r="P18" s="21">
        <f>IF(P$6="Forecast",Marketing!P57,'Dept. Cost Actuals'!T351)</f>
        <v>221717.66</v>
      </c>
      <c r="Q18" s="21">
        <f>IF(Q$6="Forecast",Marketing!Q57,'Dept. Cost Actuals'!U351)</f>
        <v>288431.05</v>
      </c>
      <c r="R18" s="21">
        <f>IF(R$6="Forecast",Marketing!R57,'Dept. Cost Actuals'!V351)</f>
        <v>276885.86</v>
      </c>
      <c r="S18" s="21">
        <f>IF(S$6="Forecast",Marketing!S57,'Dept. Cost Actuals'!W351)</f>
        <v>308903.64</v>
      </c>
      <c r="T18" s="21">
        <f>IF(T$6="Forecast",Marketing!T57,'Dept. Cost Actuals'!X351)</f>
        <v>489734.78</v>
      </c>
      <c r="U18" s="21">
        <f>IF(U$6="Forecast",Marketing!U57,'Dept. Cost Actuals'!Y351)</f>
        <v>734273.72</v>
      </c>
      <c r="V18" s="21">
        <f>IF(V$6="Forecast",Marketing!V57,'Dept. Cost Actuals'!Z351)</f>
        <v>694948.04</v>
      </c>
      <c r="W18" s="21">
        <f>IF(W$6="Forecast",Marketing!W57,'Dept. Cost Actuals'!AA351)</f>
        <v>478873.26</v>
      </c>
      <c r="X18" s="21">
        <f>IF(X$6="Forecast",Marketing!X57,'Dept. Cost Actuals'!AB351)</f>
        <v>431771.88</v>
      </c>
      <c r="Y18" s="21">
        <f>IF(Y$6="Forecast",Marketing!Y57,'Dept. Cost Actuals'!AC351)</f>
        <v>469217.29</v>
      </c>
      <c r="Z18" s="21">
        <f>IF(Z$6="Forecast",Marketing!Z57,'Dept. Cost Actuals'!AD351)</f>
        <v>373012.06</v>
      </c>
      <c r="AA18" s="21">
        <f>IF(AA$6="Forecast",Marketing!AA57,'Dept. Cost Actuals'!AE351)</f>
        <v>416289.09</v>
      </c>
      <c r="AB18" s="21">
        <f>IF(AB$6="Forecast",Marketing!AB57,'Dept. Cost Actuals'!AF351)</f>
        <v>421370.4</v>
      </c>
      <c r="AC18" s="21">
        <f>IF(AC$6="Forecast",Marketing!AC57,'Dept. Cost Actuals'!AG351)</f>
        <v>624553.94999999995</v>
      </c>
      <c r="AD18" s="21">
        <f>IF(AD$6="Forecast",Marketing!AD57,'Dept. Cost Actuals'!AH351)</f>
        <v>992824.26982257632</v>
      </c>
      <c r="AE18" s="21">
        <f>IF(AE$6="Forecast",Marketing!AE57,'Dept. Cost Actuals'!AI351)</f>
        <v>856260.54917848599</v>
      </c>
      <c r="AF18" s="21">
        <f>IF(AF$6="Forecast",Marketing!AF57,'Dept. Cost Actuals'!AJ351)</f>
        <v>917452.69703410799</v>
      </c>
      <c r="AG18" s="21">
        <f>IF(AG$6="Forecast",Marketing!AG57,'Dept. Cost Actuals'!AK351)</f>
        <v>995698.94098174374</v>
      </c>
      <c r="AH18" s="21">
        <f>IF(AH$6="Forecast",Marketing!AH57,'Dept. Cost Actuals'!AL351)</f>
        <v>703139.76439230214</v>
      </c>
      <c r="AI18" s="21">
        <f>IF(AI$6="Forecast",Marketing!AI57,'Dept. Cost Actuals'!AM351)</f>
        <v>743646.84171212488</v>
      </c>
      <c r="AJ18" s="21">
        <f>IF(AJ$6="Forecast",Marketing!AJ57,'Dept. Cost Actuals'!AN351)</f>
        <v>884217.69731595251</v>
      </c>
      <c r="AK18" s="21">
        <f>IF(AK$6="Forecast",Marketing!AK57,'Dept. Cost Actuals'!AO351)</f>
        <v>704687.88195740036</v>
      </c>
      <c r="AL18" s="21">
        <f>IF(AL$6="Forecast",Marketing!AL57,'Dept. Cost Actuals'!AP351)</f>
        <v>702454.33487068978</v>
      </c>
      <c r="AM18" s="21">
        <f>IF(AM$6="Forecast",Marketing!AM57,'Dept. Cost Actuals'!AQ351)</f>
        <v>7659523.7152593788</v>
      </c>
      <c r="AN18" s="21">
        <f>IF(AN$6="Forecast",Marketing!AN57,'Dept. Cost Actuals'!AR351)</f>
        <v>143448.01819817346</v>
      </c>
      <c r="AO18" s="21">
        <f>IF(AO$6="Forecast",Marketing!AO57,'Dept. Cost Actuals'!AS351)</f>
        <v>143915.49302760494</v>
      </c>
      <c r="AP18" s="21">
        <f>IF(AP$6="Forecast",Marketing!AP57,'Dept. Cost Actuals'!AT351)</f>
        <v>144423.13972494262</v>
      </c>
      <c r="AQ18" s="21">
        <f>IF(AQ$6="Forecast",Marketing!AQ57,'Dept. Cost Actuals'!AU351)</f>
        <v>144880.77863365723</v>
      </c>
      <c r="AR18" s="21">
        <f>IF(AR$6="Forecast",Marketing!AR57,'Dept. Cost Actuals'!AV351)</f>
        <v>145436.69942233351</v>
      </c>
      <c r="AS18" s="21">
        <f>IF(AS$6="Forecast",Marketing!AS57,'Dept. Cost Actuals'!AW351)</f>
        <v>145983.64780205308</v>
      </c>
      <c r="AT18" s="21">
        <f>IF(AT$6="Forecast",Marketing!AT57,'Dept. Cost Actuals'!AX351)</f>
        <v>146549.6301020268</v>
      </c>
      <c r="AU18" s="21">
        <f>IF(AU$6="Forecast",Marketing!AU57,'Dept. Cost Actuals'!AY351)</f>
        <v>147124.19063448117</v>
      </c>
      <c r="AV18" s="21">
        <f>IF(AV$6="Forecast",Marketing!AV57,'Dept. Cost Actuals'!AZ351)</f>
        <v>147704.89059482093</v>
      </c>
      <c r="AW18" s="21">
        <f>IF(AW$6="Forecast",Marketing!AW57,'Dept. Cost Actuals'!BA351)</f>
        <v>148295.72773583303</v>
      </c>
      <c r="AX18" s="21">
        <f>IF(AX$6="Forecast",Marketing!AX57,'Dept. Cost Actuals'!BB351)</f>
        <v>148890.08112179255</v>
      </c>
      <c r="AY18" s="21">
        <f>IF(AY$6="Forecast",Marketing!AY57,'Dept. Cost Actuals'!BC351)</f>
        <v>151151.3135750308</v>
      </c>
      <c r="AZ18" s="21">
        <f>IF(AZ$6="Forecast",Marketing!AZ57,'Dept. Cost Actuals'!BD351)</f>
        <v>553898.58887443761</v>
      </c>
      <c r="BA18" s="21">
        <f>IF(BA$6="Forecast",Marketing!BA57,'Dept. Cost Actuals'!BE351)</f>
        <v>554527.43524138536</v>
      </c>
      <c r="BB18" s="21">
        <f>IF(BB$6="Forecast",Marketing!BB57,'Dept. Cost Actuals'!BF351)</f>
        <v>555145.82920107374</v>
      </c>
      <c r="BC18" s="21">
        <f>IF(BC$6="Forecast",Marketing!BC57,'Dept. Cost Actuals'!BG351)</f>
        <v>555783.51611000474</v>
      </c>
      <c r="BD18" s="21">
        <f>IF(BD$6="Forecast",Marketing!BD57,'Dept. Cost Actuals'!BH351)</f>
        <v>556430.82226857438</v>
      </c>
      <c r="BE18" s="21">
        <f>IF(BE$6="Forecast",Marketing!BE57,'Dept. Cost Actuals'!BI351)</f>
        <v>557096.43063380639</v>
      </c>
      <c r="BF18" s="21">
        <f>IF(BF$6="Forecast",Marketing!BF57,'Dept. Cost Actuals'!BJ351)</f>
        <v>557770.28110744513</v>
      </c>
      <c r="BG18" s="21">
        <f>IF(BG$6="Forecast",Marketing!BG57,'Dept. Cost Actuals'!BK351)</f>
        <v>558454.79968813248</v>
      </c>
      <c r="BH18" s="21">
        <f>IF(BH$6="Forecast",Marketing!BH57,'Dept. Cost Actuals'!BL351)</f>
        <v>559149.9607396744</v>
      </c>
      <c r="BI18" s="21">
        <f>IF(BI$6="Forecast",Marketing!BI57,'Dept. Cost Actuals'!BM351)</f>
        <v>559855.84787920176</v>
      </c>
      <c r="BJ18" s="21">
        <f>IF(BJ$6="Forecast",Marketing!BJ57,'Dept. Cost Actuals'!BN351)</f>
        <v>560572.61750566808</v>
      </c>
      <c r="BK18" s="21">
        <f>IF(BK$6="Forecast",Marketing!BK57,'Dept. Cost Actuals'!BO351)</f>
        <v>163015.62621492424</v>
      </c>
      <c r="BL18" s="21">
        <f>IF(BL$6="Forecast",Marketing!BL57,'Dept. Cost Actuals'!BP351)</f>
        <v>165958.47491921863</v>
      </c>
      <c r="BM18" s="21">
        <f>IF(BM$6="Forecast",Marketing!BM57,'Dept. Cost Actuals'!BQ351)</f>
        <v>166723.85881278952</v>
      </c>
      <c r="BN18" s="21">
        <f>IF(BN$6="Forecast",Marketing!BN57,'Dept. Cost Actuals'!BR351)</f>
        <v>167502.27527709852</v>
      </c>
      <c r="BO18" s="21">
        <f>IF(BO$6="Forecast",Marketing!BO57,'Dept. Cost Actuals'!BS351)</f>
        <v>168294.32149610706</v>
      </c>
      <c r="BP18" s="21">
        <f>IF(BP$6="Forecast",Marketing!BP57,'Dept. Cost Actuals'!BT351)</f>
        <v>169102.29697429587</v>
      </c>
      <c r="BQ18" s="21">
        <f>IF(BQ$6="Forecast",Marketing!BQ57,'Dept. Cost Actuals'!BU351)</f>
        <v>169925.67222259211</v>
      </c>
      <c r="BR18" s="21">
        <f>IF(BR$6="Forecast",Marketing!BR57,'Dept. Cost Actuals'!BV351)</f>
        <v>170765.12390291388</v>
      </c>
      <c r="BS18" s="21">
        <f>IF(BS$6="Forecast",Marketing!BS57,'Dept. Cost Actuals'!BW351)</f>
        <v>171620.36800031218</v>
      </c>
      <c r="BT18" s="21">
        <f>IF(BT$6="Forecast",Marketing!BT57,'Dept. Cost Actuals'!BX351)</f>
        <v>172492.33024611211</v>
      </c>
      <c r="BU18" s="21">
        <f>IF(BU$6="Forecast",Marketing!BU57,'Dept. Cost Actuals'!BY351)</f>
        <v>173381.5539148477</v>
      </c>
      <c r="BV18" s="21">
        <f>IF(BV$6="Forecast",Marketing!BV57,'Dept. Cost Actuals'!BZ351)</f>
        <v>174288.69625644223</v>
      </c>
    </row>
    <row r="19" spans="2:74" x14ac:dyDescent="0.25">
      <c r="B19" s="997" t="s">
        <v>1098</v>
      </c>
      <c r="C19" s="995">
        <f t="shared" ref="C19:AH19" si="13">SUM(C17:C18)</f>
        <v>156761.49786999999</v>
      </c>
      <c r="D19" s="995">
        <f t="shared" si="13"/>
        <v>200132.82759</v>
      </c>
      <c r="E19" s="995">
        <f t="shared" si="13"/>
        <v>224103.29350999999</v>
      </c>
      <c r="F19" s="995">
        <f t="shared" si="13"/>
        <v>220919.36074</v>
      </c>
      <c r="G19" s="995">
        <f t="shared" si="13"/>
        <v>188877.81273999999</v>
      </c>
      <c r="H19" s="995">
        <f t="shared" si="13"/>
        <v>228114.31540999998</v>
      </c>
      <c r="I19" s="995">
        <f t="shared" si="13"/>
        <v>199033.8781</v>
      </c>
      <c r="J19" s="995">
        <f t="shared" si="13"/>
        <v>236538.82147999998</v>
      </c>
      <c r="K19" s="995">
        <f t="shared" si="13"/>
        <v>216863.50005999999</v>
      </c>
      <c r="L19" s="995">
        <f t="shared" si="13"/>
        <v>224520.68339999998</v>
      </c>
      <c r="M19" s="995">
        <f t="shared" si="13"/>
        <v>188886.69563</v>
      </c>
      <c r="N19" s="995">
        <f t="shared" si="13"/>
        <v>167509.11689999999</v>
      </c>
      <c r="O19" s="996">
        <f t="shared" si="13"/>
        <v>405035.49</v>
      </c>
      <c r="P19" s="996">
        <f t="shared" si="13"/>
        <v>310464.18</v>
      </c>
      <c r="Q19" s="996">
        <f t="shared" si="13"/>
        <v>436011.24</v>
      </c>
      <c r="R19" s="996">
        <f t="shared" si="13"/>
        <v>395112.8</v>
      </c>
      <c r="S19" s="996">
        <f t="shared" si="13"/>
        <v>431711.88</v>
      </c>
      <c r="T19" s="996">
        <f t="shared" si="13"/>
        <v>592998.67000000004</v>
      </c>
      <c r="U19" s="996">
        <f t="shared" si="13"/>
        <v>866765.66999999993</v>
      </c>
      <c r="V19" s="996">
        <f t="shared" si="13"/>
        <v>810811.51</v>
      </c>
      <c r="W19" s="996">
        <f t="shared" si="13"/>
        <v>610657.42000000004</v>
      </c>
      <c r="X19" s="996">
        <f t="shared" si="13"/>
        <v>594907.51</v>
      </c>
      <c r="Y19" s="995">
        <f t="shared" si="13"/>
        <v>598789.22</v>
      </c>
      <c r="Z19" s="995">
        <f t="shared" si="13"/>
        <v>510240.12</v>
      </c>
      <c r="AA19" s="995">
        <f t="shared" si="13"/>
        <v>562481.55000000005</v>
      </c>
      <c r="AB19" s="995">
        <f t="shared" si="13"/>
        <v>546860.02</v>
      </c>
      <c r="AC19" s="995">
        <f t="shared" si="13"/>
        <v>761360.73</v>
      </c>
      <c r="AD19" s="995">
        <f t="shared" si="13"/>
        <v>1196058.7003589531</v>
      </c>
      <c r="AE19" s="995">
        <f t="shared" si="13"/>
        <v>1056176.96676461</v>
      </c>
      <c r="AF19" s="995">
        <f t="shared" si="13"/>
        <v>1137529.5783226769</v>
      </c>
      <c r="AG19" s="995">
        <f t="shared" si="13"/>
        <v>1203513.0107101304</v>
      </c>
      <c r="AH19" s="995">
        <f t="shared" si="13"/>
        <v>912637.38601719937</v>
      </c>
      <c r="AI19" s="995">
        <f t="shared" ref="AI19:BJ19" si="14">SUM(AI17:AI18)</f>
        <v>954267.10078121163</v>
      </c>
      <c r="AJ19" s="995">
        <f t="shared" si="14"/>
        <v>1095849.7044395246</v>
      </c>
      <c r="AK19" s="995">
        <f t="shared" si="14"/>
        <v>917326.98670335021</v>
      </c>
      <c r="AL19" s="995">
        <f t="shared" si="14"/>
        <v>917396.04953334713</v>
      </c>
      <c r="AM19" s="995">
        <f t="shared" ref="AM19" si="15">SUM(AM17:AM18)</f>
        <v>7879345.8568959842</v>
      </c>
      <c r="AN19" s="995">
        <f t="shared" si="14"/>
        <v>361373.82998974278</v>
      </c>
      <c r="AO19" s="995">
        <f t="shared" si="14"/>
        <v>363375.82155129791</v>
      </c>
      <c r="AP19" s="995">
        <f t="shared" si="14"/>
        <v>365450.8405600721</v>
      </c>
      <c r="AQ19" s="995">
        <f t="shared" si="14"/>
        <v>367306.64398605051</v>
      </c>
      <c r="AR19" s="995">
        <f t="shared" si="14"/>
        <v>369286.32026683283</v>
      </c>
      <c r="AS19" s="995">
        <f t="shared" si="14"/>
        <v>371253.38990088191</v>
      </c>
      <c r="AT19" s="995">
        <f t="shared" si="14"/>
        <v>373226.13566128543</v>
      </c>
      <c r="AU19" s="995">
        <f t="shared" si="14"/>
        <v>375184.14143441129</v>
      </c>
      <c r="AV19" s="995">
        <f t="shared" si="14"/>
        <v>377170.11404867913</v>
      </c>
      <c r="AW19" s="995">
        <f t="shared" si="14"/>
        <v>379198.35279059567</v>
      </c>
      <c r="AX19" s="995">
        <f t="shared" si="14"/>
        <v>386384.26902992034</v>
      </c>
      <c r="AY19" s="995">
        <f t="shared" si="14"/>
        <v>394042.42017011502</v>
      </c>
      <c r="AZ19" s="995">
        <f t="shared" si="14"/>
        <v>794548.58404820436</v>
      </c>
      <c r="BA19" s="995">
        <f t="shared" si="14"/>
        <v>796756.77920924081</v>
      </c>
      <c r="BB19" s="995">
        <f t="shared" si="14"/>
        <v>798962.06735548261</v>
      </c>
      <c r="BC19" s="995">
        <f t="shared" si="14"/>
        <v>801193.8245389316</v>
      </c>
      <c r="BD19" s="995">
        <f t="shared" si="14"/>
        <v>803435.12584807083</v>
      </c>
      <c r="BE19" s="995">
        <f t="shared" si="14"/>
        <v>805714.77139298711</v>
      </c>
      <c r="BF19" s="995">
        <f t="shared" si="14"/>
        <v>808021.12889028341</v>
      </c>
      <c r="BG19" s="995">
        <f t="shared" si="14"/>
        <v>810359.32529647532</v>
      </c>
      <c r="BH19" s="995">
        <f t="shared" si="14"/>
        <v>812734.02850176103</v>
      </c>
      <c r="BI19" s="995">
        <f t="shared" si="14"/>
        <v>815146.06133544003</v>
      </c>
      <c r="BJ19" s="995">
        <f t="shared" si="14"/>
        <v>822851.92469468596</v>
      </c>
      <c r="BK19" s="995">
        <f t="shared" ref="BK19:BL19" si="16">SUM(BK17:BK18)</f>
        <v>431022.0477936177</v>
      </c>
      <c r="BL19" s="995">
        <f t="shared" si="16"/>
        <v>431821.82529968076</v>
      </c>
      <c r="BM19" s="995">
        <f t="shared" ref="BM19:BV19" si="17">SUM(BM17:BM18)</f>
        <v>434403.90130157629</v>
      </c>
      <c r="BN19" s="995">
        <f t="shared" si="17"/>
        <v>437023.3793469118</v>
      </c>
      <c r="BO19" s="995">
        <f t="shared" si="17"/>
        <v>439680.89760461485</v>
      </c>
      <c r="BP19" s="995">
        <f t="shared" si="17"/>
        <v>442380.28070808842</v>
      </c>
      <c r="BQ19" s="995">
        <f t="shared" si="17"/>
        <v>445122.91972814332</v>
      </c>
      <c r="BR19" s="995">
        <f t="shared" si="17"/>
        <v>447912.28304050537</v>
      </c>
      <c r="BS19" s="995">
        <f t="shared" si="17"/>
        <v>450748.80417793361</v>
      </c>
      <c r="BT19" s="995">
        <f t="shared" si="17"/>
        <v>453634.57709096139</v>
      </c>
      <c r="BU19" s="995">
        <f t="shared" si="17"/>
        <v>456570.98202071444</v>
      </c>
      <c r="BV19" s="995" t="e">
        <f t="shared" si="17"/>
        <v>#REF!</v>
      </c>
    </row>
    <row r="20" spans="2:74" x14ac:dyDescent="0.25">
      <c r="B20" s="755" t="s">
        <v>17</v>
      </c>
      <c r="C20" s="927"/>
      <c r="D20" s="927"/>
      <c r="E20" s="927"/>
      <c r="F20" s="927"/>
      <c r="G20" s="927"/>
      <c r="H20" s="927"/>
      <c r="I20" s="927"/>
      <c r="J20" s="927"/>
      <c r="K20" s="927"/>
      <c r="L20" s="927"/>
      <c r="M20" s="927"/>
      <c r="N20" s="927"/>
      <c r="O20" s="927"/>
      <c r="P20" s="927"/>
      <c r="Q20" s="927"/>
      <c r="R20" s="927"/>
      <c r="S20" s="927"/>
      <c r="T20" s="927"/>
      <c r="U20" s="927"/>
      <c r="V20" s="927"/>
      <c r="W20" s="927"/>
      <c r="X20" s="927"/>
      <c r="Y20" s="927"/>
      <c r="Z20" s="927"/>
      <c r="AA20" s="927"/>
      <c r="AB20" s="927"/>
      <c r="AC20" s="927"/>
      <c r="AD20" s="927"/>
      <c r="AE20" s="927"/>
      <c r="AF20" s="927"/>
      <c r="AG20" s="927"/>
      <c r="AH20" s="927"/>
      <c r="AI20" s="927"/>
      <c r="AJ20" s="927"/>
      <c r="AK20" s="927"/>
      <c r="AL20" s="927"/>
      <c r="AM20" s="927"/>
      <c r="AN20" s="927"/>
      <c r="AO20" s="927"/>
      <c r="AP20" s="927"/>
      <c r="AQ20" s="927"/>
      <c r="AR20" s="927"/>
      <c r="AS20" s="927"/>
      <c r="AT20" s="927"/>
      <c r="AU20" s="927"/>
      <c r="AV20" s="927"/>
      <c r="AW20" s="927"/>
      <c r="AX20" s="927"/>
      <c r="AY20" s="927"/>
      <c r="AZ20" s="927"/>
      <c r="BA20" s="927"/>
      <c r="BB20" s="927"/>
      <c r="BC20" s="927"/>
      <c r="BD20" s="927"/>
      <c r="BE20" s="927"/>
      <c r="BF20" s="927"/>
      <c r="BG20" s="927"/>
      <c r="BH20" s="927"/>
      <c r="BI20" s="927"/>
      <c r="BJ20" s="927"/>
      <c r="BK20" s="927"/>
      <c r="BL20" s="927"/>
      <c r="BM20" s="927"/>
      <c r="BN20" s="927"/>
      <c r="BO20" s="927"/>
      <c r="BP20" s="927"/>
      <c r="BQ20" s="927"/>
      <c r="BR20" s="927"/>
      <c r="BS20" s="927"/>
      <c r="BT20" s="927"/>
      <c r="BU20" s="927"/>
      <c r="BV20" s="927"/>
    </row>
    <row r="21" spans="2:74" x14ac:dyDescent="0.25">
      <c r="B21" s="982" t="s">
        <v>340</v>
      </c>
      <c r="C21" s="575">
        <f>IF(C$6="Forecast",'Dev Ops'!C45,'Dept. Cost Actuals'!G873)</f>
        <v>28936.19499</v>
      </c>
      <c r="D21" s="575">
        <f>IF(D$6="Forecast",'Dev Ops'!D45,'Dept. Cost Actuals'!H873)</f>
        <v>29068.384699999999</v>
      </c>
      <c r="E21" s="575">
        <f>IF(E$6="Forecast",'Dev Ops'!E45,'Dept. Cost Actuals'!I873)</f>
        <v>24260.56236</v>
      </c>
      <c r="F21" s="575">
        <f>IF(F$6="Forecast",'Dev Ops'!F45,'Dept. Cost Actuals'!J873)</f>
        <v>33096.835249999996</v>
      </c>
      <c r="G21" s="575">
        <f>IF(G$6="Forecast",'Dev Ops'!G45,'Dept. Cost Actuals'!K873)</f>
        <v>30687.359680000001</v>
      </c>
      <c r="H21" s="575">
        <f>IF(H$6="Forecast",'Dev Ops'!H45,'Dept. Cost Actuals'!L873)</f>
        <v>42573.263429999999</v>
      </c>
      <c r="I21" s="575">
        <f>IF(I$6="Forecast",'Dev Ops'!I45,'Dept. Cost Actuals'!M873)</f>
        <v>31775.71715</v>
      </c>
      <c r="J21" s="575">
        <f>IF(J$6="Forecast",'Dev Ops'!J45,'Dept. Cost Actuals'!N873)</f>
        <v>37195.632060000004</v>
      </c>
      <c r="K21" s="575">
        <f>IF(K$6="Forecast",'Dev Ops'!K45,'Dept. Cost Actuals'!O873)</f>
        <v>32910.646090000002</v>
      </c>
      <c r="L21" s="575">
        <f>IF(L$6="Forecast",'Dev Ops'!L45,'Dept. Cost Actuals'!P873)</f>
        <v>39324.872450000003</v>
      </c>
      <c r="M21" s="575">
        <f>IF(M$6="Forecast",'Dev Ops'!M45,'Dept. Cost Actuals'!Q873)</f>
        <v>67613.394060000006</v>
      </c>
      <c r="N21" s="575">
        <f>IF(N$6="Forecast",'Dev Ops'!N45,'Dept. Cost Actuals'!R873)</f>
        <v>60692.076639999999</v>
      </c>
      <c r="O21" s="575">
        <f>IF(O$6="Forecast",'Dev Ops'!O45,'Dept. Cost Actuals'!S873)</f>
        <v>65871.12</v>
      </c>
      <c r="P21" s="575">
        <f>IF(P$6="Forecast",'Dev Ops'!P45,'Dept. Cost Actuals'!T873)</f>
        <v>36487.94</v>
      </c>
      <c r="Q21" s="575">
        <f>IF(Q$6="Forecast",'Dev Ops'!Q45,'Dept. Cost Actuals'!U873)</f>
        <v>74794.22</v>
      </c>
      <c r="R21" s="575">
        <f>IF(R$6="Forecast",'Dev Ops'!R45,'Dept. Cost Actuals'!V873)</f>
        <v>63212.36</v>
      </c>
      <c r="S21" s="575">
        <f>IF(S$6="Forecast",'Dev Ops'!S45,'Dept. Cost Actuals'!W873)</f>
        <v>98531.67</v>
      </c>
      <c r="T21" s="575">
        <f>IF(T$6="Forecast",'Dev Ops'!T45,'Dept. Cost Actuals'!X873)</f>
        <v>83189.5</v>
      </c>
      <c r="U21" s="575">
        <f>IF(U$6="Forecast",'Dev Ops'!U45,'Dept. Cost Actuals'!Y873)</f>
        <v>111312.5</v>
      </c>
      <c r="V21" s="575">
        <f>IF(V$6="Forecast",'Dev Ops'!V45,'Dept. Cost Actuals'!Z873)</f>
        <v>108879.77</v>
      </c>
      <c r="W21" s="575">
        <f>IF(W$6="Forecast",'Dev Ops'!W45,'Dept. Cost Actuals'!AA873)</f>
        <v>97885.34</v>
      </c>
      <c r="X21" s="575">
        <f>IF(X$6="Forecast",'Dev Ops'!X45,'Dept. Cost Actuals'!AB873)</f>
        <v>110090.17</v>
      </c>
      <c r="Y21" s="575">
        <f>IF(Y$6="Forecast",'Dev Ops'!Y45,'Dept. Cost Actuals'!AC873)</f>
        <v>105787.7</v>
      </c>
      <c r="Z21" s="575">
        <f>IF(Z$6="Forecast",'Dev Ops'!Z45,'Dept. Cost Actuals'!AD873)</f>
        <v>135096.85</v>
      </c>
      <c r="AA21" s="575">
        <f>IF(AA$6="Forecast",'Dev Ops'!AA45,'Dept. Cost Actuals'!AE873)</f>
        <v>173259.54</v>
      </c>
      <c r="AB21" s="575">
        <f>IF(AB$6="Forecast",'Dev Ops'!AB45,'Dept. Cost Actuals'!AF873)</f>
        <v>137737.29999999999</v>
      </c>
      <c r="AC21" s="575">
        <f>IF(AC$6="Forecast",'Dev Ops'!AC45,'Dept. Cost Actuals'!AG873)</f>
        <v>143437.01</v>
      </c>
      <c r="AD21" s="575">
        <f>IF(AD$6="Forecast",'Dev Ops'!AD45,'Dept. Cost Actuals'!AH873)</f>
        <v>237780.44377061751</v>
      </c>
      <c r="AE21" s="575">
        <f>IF(AE$6="Forecast",'Dev Ops'!AE45,'Dept. Cost Actuals'!AI873)</f>
        <v>251213.41672347276</v>
      </c>
      <c r="AF21" s="575">
        <f>IF(AF$6="Forecast",'Dev Ops'!AF45,'Dept. Cost Actuals'!AJ873)</f>
        <v>255595.10432728531</v>
      </c>
      <c r="AG21" s="575">
        <f>IF(AG$6="Forecast",'Dev Ops'!AG45,'Dept. Cost Actuals'!AK873)</f>
        <v>252324.58778144507</v>
      </c>
      <c r="AH21" s="575">
        <f>IF(AH$6="Forecast",'Dev Ops'!AH45,'Dept. Cost Actuals'!AL873)</f>
        <v>253533.87649724251</v>
      </c>
      <c r="AI21" s="575">
        <f>IF(AI$6="Forecast",'Dev Ops'!AI45,'Dept. Cost Actuals'!AM873)</f>
        <v>251206.80057180446</v>
      </c>
      <c r="AJ21" s="575">
        <f>IF(AJ$6="Forecast",'Dev Ops'!AJ45,'Dept. Cost Actuals'!AN873)</f>
        <v>252466.81315373944</v>
      </c>
      <c r="AK21" s="575">
        <f>IF(AK$6="Forecast",'Dev Ops'!AK45,'Dept. Cost Actuals'!AO873)</f>
        <v>253162.99743894039</v>
      </c>
      <c r="AL21" s="575">
        <f>IF(AL$6="Forecast",'Dev Ops'!AL45,'Dept. Cost Actuals'!AP873)</f>
        <v>254038.4077724026</v>
      </c>
      <c r="AM21" s="575">
        <f>IF(AM$6="Forecast",'Dev Ops'!AM45,'Dept. Cost Actuals'!AQ873)</f>
        <v>245773.51327880847</v>
      </c>
      <c r="AN21" s="575">
        <f>IF(AN$6="Forecast",'Dev Ops'!AN45,'Dept. Cost Actuals'!AR873)</f>
        <v>213425.87908339451</v>
      </c>
      <c r="AO21" s="575">
        <f>IF(AO$6="Forecast",'Dev Ops'!AO45,'Dept. Cost Actuals'!AS873)</f>
        <v>214267.60800014989</v>
      </c>
      <c r="AP21" s="575">
        <f>IF(AP$6="Forecast",'Dev Ops'!AP45,'Dept. Cost Actuals'!AT873)</f>
        <v>215171.57288279859</v>
      </c>
      <c r="AQ21" s="575">
        <f>IF(AQ$6="Forecast",'Dev Ops'!AQ45,'Dept. Cost Actuals'!AU873)</f>
        <v>215904.15878812029</v>
      </c>
      <c r="AR21" s="575">
        <f>IF(AR$6="Forecast",'Dev Ops'!AR45,'Dept. Cost Actuals'!AV873)</f>
        <v>216872.63882349854</v>
      </c>
      <c r="AS21" s="575">
        <f>IF(AS$6="Forecast",'Dev Ops'!AS45,'Dept. Cost Actuals'!AW873)</f>
        <v>217806.63229517368</v>
      </c>
      <c r="AT21" s="575">
        <f>IF(AT$6="Forecast",'Dev Ops'!AT45,'Dept. Cost Actuals'!AX873)</f>
        <v>218728.20924499788</v>
      </c>
      <c r="AU21" s="575">
        <f>IF(AU$6="Forecast",'Dev Ops'!AU45,'Dept. Cost Actuals'!AY873)</f>
        <v>219635.60147553985</v>
      </c>
      <c r="AV21" s="575">
        <f>IF(AV$6="Forecast",'Dev Ops'!AV45,'Dept. Cost Actuals'!AZ873)</f>
        <v>220544.16983393533</v>
      </c>
      <c r="AW21" s="575">
        <f>IF(AW$6="Forecast",'Dev Ops'!AW45,'Dept. Cost Actuals'!BA873)</f>
        <v>221437.1986135522</v>
      </c>
      <c r="AX21" s="575">
        <f>IF(AX$6="Forecast",'Dev Ops'!AX45,'Dept. Cost Actuals'!BB873)</f>
        <v>222344.93160230739</v>
      </c>
      <c r="AY21" s="575">
        <f>IF(AY$6="Forecast",'Dev Ops'!AY45,'Dept. Cost Actuals'!BC873)</f>
        <v>217838.79942629687</v>
      </c>
      <c r="AZ21" s="575">
        <f>IF(AZ$6="Forecast",'Dev Ops'!AZ45,'Dept. Cost Actuals'!BD873)</f>
        <v>222951.14280841697</v>
      </c>
      <c r="BA21" s="575">
        <f>IF(BA$6="Forecast",'Dev Ops'!BA45,'Dept. Cost Actuals'!BE873)</f>
        <v>223931.8716007997</v>
      </c>
      <c r="BB21" s="575">
        <f>IF(BB$6="Forecast",'Dev Ops'!BB45,'Dept. Cost Actuals'!BF873)</f>
        <v>224892.69788370602</v>
      </c>
      <c r="BC21" s="575">
        <f>IF(BC$6="Forecast",'Dev Ops'!BC45,'Dept. Cost Actuals'!BG873)</f>
        <v>225865.40955998318</v>
      </c>
      <c r="BD21" s="575">
        <f>IF(BD$6="Forecast",'Dev Ops'!BD45,'Dept. Cost Actuals'!BH873)</f>
        <v>226848.48609917125</v>
      </c>
      <c r="BE21" s="575">
        <f>IF(BE$6="Forecast",'Dev Ops'!BE45,'Dept. Cost Actuals'!BI873)</f>
        <v>227855.99668089004</v>
      </c>
      <c r="BF21" s="575">
        <f>IF(BF$6="Forecast",'Dev Ops'!BF45,'Dept. Cost Actuals'!BJ873)</f>
        <v>228862.84413263758</v>
      </c>
      <c r="BG21" s="575">
        <f>IF(BG$6="Forecast",'Dev Ops'!BG45,'Dept. Cost Actuals'!BK873)</f>
        <v>229877.59890231353</v>
      </c>
      <c r="BH21" s="575">
        <f>IF(BH$6="Forecast",'Dev Ops'!BH45,'Dept. Cost Actuals'!BL873)</f>
        <v>230900.66031240337</v>
      </c>
      <c r="BI21" s="575">
        <f>IF(BI$6="Forecast",'Dev Ops'!BI45,'Dept. Cost Actuals'!BM873)</f>
        <v>231933.16780236043</v>
      </c>
      <c r="BJ21" s="575">
        <f>IF(BJ$6="Forecast",'Dev Ops'!BJ45,'Dept. Cost Actuals'!BN873)</f>
        <v>232977.01385587451</v>
      </c>
      <c r="BK21" s="575">
        <f>IF(BK$6="Forecast",'Dev Ops'!BK45,'Dept. Cost Actuals'!BO873)</f>
        <v>235430.92069560022</v>
      </c>
      <c r="BL21" s="575">
        <f>IF(BL$6="Forecast",'Dev Ops'!BL45,'Dept. Cost Actuals'!BP873)</f>
        <v>240857.11118414431</v>
      </c>
      <c r="BM21" s="575">
        <f>IF(BM$6="Forecast",'Dev Ops'!BM45,'Dept. Cost Actuals'!BQ873)</f>
        <v>241953.35129897686</v>
      </c>
      <c r="BN21" s="575">
        <f>IF(BN$6="Forecast",'Dev Ops'!BN45,'Dept. Cost Actuals'!BR873)</f>
        <v>243063.34710577744</v>
      </c>
      <c r="BO21" s="575">
        <f>IF(BO$6="Forecast",'Dev Ops'!BO45,'Dept. Cost Actuals'!BS873)</f>
        <v>244184.30008675769</v>
      </c>
      <c r="BP21" s="575">
        <f>IF(BP$6="Forecast",'Dev Ops'!BP45,'Dept. Cost Actuals'!BT873)</f>
        <v>245319.99723332858</v>
      </c>
      <c r="BQ21" s="575">
        <f>IF(BQ$6="Forecast",'Dev Ops'!BQ45,'Dept. Cost Actuals'!BU873)</f>
        <v>246469.87558148909</v>
      </c>
      <c r="BR21" s="575">
        <f>IF(BR$6="Forecast",'Dev Ops'!BR45,'Dept. Cost Actuals'!BV873)</f>
        <v>247634.3906532423</v>
      </c>
      <c r="BS21" s="575">
        <f>IF(BS$6="Forecast",'Dev Ops'!BS45,'Dept. Cost Actuals'!BW873)</f>
        <v>248812.46664943016</v>
      </c>
      <c r="BT21" s="575">
        <f>IF(BT$6="Forecast",'Dev Ops'!BT45,'Dept. Cost Actuals'!BX873)</f>
        <v>250005.61660805385</v>
      </c>
      <c r="BU21" s="575">
        <f>IF(BU$6="Forecast",'Dev Ops'!BU45,'Dept. Cost Actuals'!BY873)</f>
        <v>251214.36934997485</v>
      </c>
      <c r="BV21" s="575">
        <f>IF(BV$6="Forecast",'Dev Ops'!BV45,'Dept. Cost Actuals'!BZ873)</f>
        <v>252439.47186618566</v>
      </c>
    </row>
    <row r="22" spans="2:74" x14ac:dyDescent="0.25">
      <c r="B22" s="982" t="s">
        <v>66</v>
      </c>
      <c r="C22" s="575">
        <f>IF(C$6="Forecast",Software!C45,'Dept. Cost Actuals'!G525+'Dept. Cost Actuals'!G1221)</f>
        <v>60951.026539999999</v>
      </c>
      <c r="D22" s="575">
        <f>IF(D$6="Forecast",Software!D45,'Dept. Cost Actuals'!H525+'Dept. Cost Actuals'!H1221)</f>
        <v>54573.89733</v>
      </c>
      <c r="E22" s="575">
        <f>IF(E$6="Forecast",Software!E45,'Dept. Cost Actuals'!I525+'Dept. Cost Actuals'!I1221)</f>
        <v>76876.314729999998</v>
      </c>
      <c r="F22" s="575">
        <f>IF(F$6="Forecast",Software!F45,'Dept. Cost Actuals'!J525+'Dept. Cost Actuals'!J1221)</f>
        <v>86237.985629999996</v>
      </c>
      <c r="G22" s="575">
        <f>IF(G$6="Forecast",Software!G45,'Dept. Cost Actuals'!K525+'Dept. Cost Actuals'!K1221)</f>
        <v>79829.350699999995</v>
      </c>
      <c r="H22" s="575">
        <f>IF(H$6="Forecast",Software!H45,'Dept. Cost Actuals'!L525+'Dept. Cost Actuals'!L1221)</f>
        <v>106990.47821</v>
      </c>
      <c r="I22" s="575">
        <f>IF(I$6="Forecast",Software!I45,'Dept. Cost Actuals'!M525+'Dept. Cost Actuals'!M1221)</f>
        <v>117372.99169</v>
      </c>
      <c r="J22" s="575">
        <f>IF(J$6="Forecast",Software!J45,'Dept. Cost Actuals'!N525+'Dept. Cost Actuals'!N1221)</f>
        <v>130340.79027</v>
      </c>
      <c r="K22" s="575">
        <f>IF(K$6="Forecast",Software!K45,'Dept. Cost Actuals'!O525+'Dept. Cost Actuals'!O1221)</f>
        <v>134907.88183</v>
      </c>
      <c r="L22" s="575">
        <f>IF(L$6="Forecast",Software!L45,'Dept. Cost Actuals'!P525+'Dept. Cost Actuals'!P1221)</f>
        <v>135611.68799000001</v>
      </c>
      <c r="M22" s="575">
        <f>IF(M$6="Forecast",Software!M45,'Dept. Cost Actuals'!Q525+'Dept. Cost Actuals'!Q1221)</f>
        <v>179290.10190000001</v>
      </c>
      <c r="N22" s="575">
        <f>IF(N$6="Forecast",Software!N45,'Dept. Cost Actuals'!R525+'Dept. Cost Actuals'!R1221)</f>
        <v>208819.66216000001</v>
      </c>
      <c r="O22" s="575">
        <f>IF(O$6="Forecast",Software!O45,'Dept. Cost Actuals'!S525+'Dept. Cost Actuals'!S1221+'Dept. Cost Actuals'!AE1570)</f>
        <v>321543.2</v>
      </c>
      <c r="P22" s="575">
        <f>IF(P$6="Forecast",Software!P45,'Dept. Cost Actuals'!T525+'Dept. Cost Actuals'!T1221)</f>
        <v>204416.35</v>
      </c>
      <c r="Q22" s="575">
        <f>IF(Q$6="Forecast",Software!Q45,'Dept. Cost Actuals'!U525+'Dept. Cost Actuals'!U1221)</f>
        <v>270280.2</v>
      </c>
      <c r="R22" s="575">
        <f>IF(R$6="Forecast",Software!R45,'Dept. Cost Actuals'!V525+'Dept. Cost Actuals'!V1221)</f>
        <v>302619.27</v>
      </c>
      <c r="S22" s="575">
        <f>IF(S$6="Forecast",Software!S45,'Dept. Cost Actuals'!W525+'Dept. Cost Actuals'!W1221)</f>
        <v>256681.38</v>
      </c>
      <c r="T22" s="575">
        <f>IF(T$6="Forecast",Software!T45,'Dept. Cost Actuals'!X525+'Dept. Cost Actuals'!X1221)</f>
        <v>216287.32</v>
      </c>
      <c r="U22" s="575">
        <f>IF(U$6="Forecast",Software!U45,'Dept. Cost Actuals'!Y525+'Dept. Cost Actuals'!Y1221)</f>
        <v>307011.43</v>
      </c>
      <c r="V22" s="575">
        <f>IF(V$6="Forecast",Software!V45,'Dept. Cost Actuals'!Z525+'Dept. Cost Actuals'!Z1221)</f>
        <v>296560.23</v>
      </c>
      <c r="W22" s="575">
        <f>IF(W$6="Forecast",Software!W45,'Dept. Cost Actuals'!AA525+'Dept. Cost Actuals'!AA1221)</f>
        <v>259876.5</v>
      </c>
      <c r="X22" s="575">
        <f>IF(X$6="Forecast",Software!X45,'Dept. Cost Actuals'!AB525+'Dept. Cost Actuals'!AB1221)</f>
        <v>285864.71999999997</v>
      </c>
      <c r="Y22" s="575">
        <f>IF(Y$6="Forecast",Software!Y45,'Dept. Cost Actuals'!AC525+'Dept. Cost Actuals'!AC1221)</f>
        <v>277660.88</v>
      </c>
      <c r="Z22" s="575">
        <f>IF(Z$6="Forecast",Software!Z45,'Dept. Cost Actuals'!AD525+'Dept. Cost Actuals'!AD1221)</f>
        <v>238550.02000000002</v>
      </c>
      <c r="AA22" s="575">
        <f>IF(AA$6="Forecast",Software!AA45,'Dept. Cost Actuals'!AE525+'Dept. Cost Actuals'!AE1221+'Dept. Cost Actuals'!AE1570)</f>
        <v>326021.43</v>
      </c>
      <c r="AB22" s="575">
        <f>IF(AB$6="Forecast",Software!AB45,'Dept. Cost Actuals'!AF525+'Dept. Cost Actuals'!AF1221+'Dept. Cost Actuals'!AF1570)</f>
        <v>300185.33000000013</v>
      </c>
      <c r="AC22" s="575">
        <f>IF(AC$6="Forecast",Software!AC45,'Dept. Cost Actuals'!AG525+'Dept. Cost Actuals'!AG1221+'Dept. Cost Actuals'!AG1570)</f>
        <v>311936.83999999997</v>
      </c>
      <c r="AD22" s="575">
        <f>IF(AD$6="Forecast",Software!AD45,'Dept. Cost Actuals'!AH525+'Dept. Cost Actuals'!AH1221+'Dept. Cost Actuals'!AH1570)</f>
        <v>335017.06191613543</v>
      </c>
      <c r="AE22" s="575">
        <f>IF(AE$6="Forecast",Software!AE45,'Dept. Cost Actuals'!AI525+'Dept. Cost Actuals'!AI1221+'Dept. Cost Actuals'!AI1570)</f>
        <v>325837.1060947153</v>
      </c>
      <c r="AF22" s="575">
        <f>IF(AF$6="Forecast",Software!AF45,'Dept. Cost Actuals'!AJ525+'Dept. Cost Actuals'!AJ1221+'Dept. Cost Actuals'!AJ1570)</f>
        <v>326973.65499647625</v>
      </c>
      <c r="AG22" s="575">
        <f>IF(AG$6="Forecast",Software!AG45,'Dept. Cost Actuals'!AK525+'Dept. Cost Actuals'!AK1221+'Dept. Cost Actuals'!AK1570)</f>
        <v>343900.72111102781</v>
      </c>
      <c r="AH22" s="575">
        <f>IF(AH$6="Forecast",Software!AH45,'Dept. Cost Actuals'!AL525+'Dept. Cost Actuals'!AL1221+'Dept. Cost Actuals'!AL1570)</f>
        <v>340475.73659145</v>
      </c>
      <c r="AI22" s="575">
        <f>IF(AI$6="Forecast",Software!AI45,'Dept. Cost Actuals'!AM525+'Dept. Cost Actuals'!AM1221+'Dept. Cost Actuals'!AM1570)</f>
        <v>341851.22273470904</v>
      </c>
      <c r="AJ22" s="575">
        <f>IF(AJ$6="Forecast",Software!AJ45,'Dept. Cost Actuals'!AN525+'Dept. Cost Actuals'!AN1221+'Dept. Cost Actuals'!AN1570)</f>
        <v>359123.51878449164</v>
      </c>
      <c r="AK22" s="575">
        <f>IF(AK$6="Forecast",Software!AK45,'Dept. Cost Actuals'!AO525+'Dept. Cost Actuals'!AO1221+'Dept. Cost Actuals'!AO1570)</f>
        <v>355592.96064549149</v>
      </c>
      <c r="AL22" s="575">
        <f>IF(AL$6="Forecast",Software!AL45,'Dept. Cost Actuals'!AP525+'Dept. Cost Actuals'!AP1221+'Dept. Cost Actuals'!AP1570)</f>
        <v>357610.53610878094</v>
      </c>
      <c r="AM22" s="575">
        <f>IF(AM$6="Forecast",Software!AM45,'Dept. Cost Actuals'!AQ525+'Dept. Cost Actuals'!AQ1221+'Dept. Cost Actuals'!AQ1570)</f>
        <v>361378.12692394987</v>
      </c>
      <c r="AN22" s="575">
        <f>IF(AN$6="Forecast",Software!AN45,'Dept. Cost Actuals'!AR525+'Dept. Cost Actuals'!AR1221+'Dept. Cost Actuals'!AR1570)</f>
        <v>368616.72377300472</v>
      </c>
      <c r="AO22" s="575">
        <f>IF(AO$6="Forecast",Software!AO45,'Dept. Cost Actuals'!AS525+'Dept. Cost Actuals'!AS1221+'Dept. Cost Actuals'!AS1570)</f>
        <v>370462.17483642237</v>
      </c>
      <c r="AP22" s="575">
        <f>IF(AP$6="Forecast",Software!AP45,'Dept. Cost Actuals'!AT525+'Dept. Cost Actuals'!AT1221+'Dept. Cost Actuals'!AT1570)</f>
        <v>371383.42521484289</v>
      </c>
      <c r="AQ22" s="575">
        <f>IF(AQ$6="Forecast",Software!AQ45,'Dept. Cost Actuals'!AU525+'Dept. Cost Actuals'!AU1221+'Dept. Cost Actuals'!AU1570)</f>
        <v>372827.63682585291</v>
      </c>
      <c r="AR22" s="575">
        <f>IF(AR$6="Forecast",Software!AR45,'Dept. Cost Actuals'!AV525+'Dept. Cost Actuals'!AV1221+'Dept. Cost Actuals'!AV1570)</f>
        <v>374364.46136301477</v>
      </c>
      <c r="AS22" s="575">
        <f>IF(AS$6="Forecast",Software!AS45,'Dept. Cost Actuals'!AW525+'Dept. Cost Actuals'!AW1221+'Dept. Cost Actuals'!AW1570)</f>
        <v>375929.79663108301</v>
      </c>
      <c r="AT22" s="575">
        <f>IF(AT$6="Forecast",Software!AT45,'Dept. Cost Actuals'!AX525+'Dept. Cost Actuals'!AX1221+'Dept. Cost Actuals'!AX1570)</f>
        <v>377538.68067737215</v>
      </c>
      <c r="AU22" s="575">
        <f>IF(AU$6="Forecast",Software!AU45,'Dept. Cost Actuals'!AY525+'Dept. Cost Actuals'!AY1221+'Dept. Cost Actuals'!AY1570)</f>
        <v>379185.85315253964</v>
      </c>
      <c r="AV22" s="575">
        <f>IF(AV$6="Forecast",Software!AV45,'Dept. Cost Actuals'!AZ525+'Dept. Cost Actuals'!AZ1221+'Dept. Cost Actuals'!AZ1570)</f>
        <v>380856.9196269121</v>
      </c>
      <c r="AW22" s="575">
        <f>IF(AW$6="Forecast",Software!AW45,'Dept. Cost Actuals'!BA525+'Dept. Cost Actuals'!BA1221+'Dept. Cost Actuals'!BA1570)</f>
        <v>382552.14312630607</v>
      </c>
      <c r="AX22" s="575">
        <f>IF(AX$6="Forecast",Software!AX45,'Dept. Cost Actuals'!BB525+'Dept. Cost Actuals'!BB1221+'Dept. Cost Actuals'!BB1570)</f>
        <v>384304.85421610804</v>
      </c>
      <c r="AY22" s="575">
        <f>IF(AY$6="Forecast",Software!AY45,'Dept. Cost Actuals'!BC525+'Dept. Cost Actuals'!BC1221+'Dept. Cost Actuals'!BC1570)</f>
        <v>388305.54532707739</v>
      </c>
      <c r="AZ22" s="575">
        <f>IF(AZ$6="Forecast",Software!AZ45,'Dept. Cost Actuals'!BD525+'Dept. Cost Actuals'!BD1221+'Dept. Cost Actuals'!BD1570)</f>
        <v>397377.16250981827</v>
      </c>
      <c r="BA22" s="575">
        <f>IF(BA$6="Forecast",Software!BA45,'Dept. Cost Actuals'!BE525+'Dept. Cost Actuals'!BE1221+'Dept. Cost Actuals'!BE1570)</f>
        <v>399182.78092839778</v>
      </c>
      <c r="BB22" s="575">
        <f>IF(BB$6="Forecast",Software!BB45,'Dept. Cost Actuals'!BF525+'Dept. Cost Actuals'!BF1221+'Dept. Cost Actuals'!BF1570)</f>
        <v>400988.290306254</v>
      </c>
      <c r="BC22" s="575">
        <f>IF(BC$6="Forecast",Software!BC45,'Dept. Cost Actuals'!BG525+'Dept. Cost Actuals'!BG1221+'Dept. Cost Actuals'!BG1570)</f>
        <v>402870.90681232337</v>
      </c>
      <c r="BD22" s="575">
        <f>IF(BD$6="Forecast",Software!BD45,'Dept. Cost Actuals'!BH525+'Dept. Cost Actuals'!BH1221+'Dept. Cost Actuals'!BH1570)</f>
        <v>404796.43788412894</v>
      </c>
      <c r="BE22" s="575">
        <f>IF(BE$6="Forecast",Software!BE45,'Dept. Cost Actuals'!BI525+'Dept. Cost Actuals'!BI1221+'Dept. Cost Actuals'!BI1570)</f>
        <v>406761.68250707031</v>
      </c>
      <c r="BF22" s="575">
        <f>IF(BF$6="Forecast",Software!BF45,'Dept. Cost Actuals'!BJ525+'Dept. Cost Actuals'!BJ1221+'Dept. Cost Actuals'!BJ1570)</f>
        <v>408767.03795218002</v>
      </c>
      <c r="BG22" s="575">
        <f>IF(BG$6="Forecast",Software!BG45,'Dept. Cost Actuals'!BK525+'Dept. Cost Actuals'!BK1221+'Dept. Cost Actuals'!BK1570)</f>
        <v>410812.69271133101</v>
      </c>
      <c r="BH22" s="575">
        <f>IF(BH$6="Forecast",Software!BH45,'Dept. Cost Actuals'!BL525+'Dept. Cost Actuals'!BL1221+'Dept. Cost Actuals'!BL1570)</f>
        <v>412898.88130893465</v>
      </c>
      <c r="BI22" s="575">
        <f>IF(BI$6="Forecast",Software!BI45,'Dept. Cost Actuals'!BM525+'Dept. Cost Actuals'!BM1221+'Dept. Cost Actuals'!BM1570)</f>
        <v>415027.27351388719</v>
      </c>
      <c r="BJ22" s="575">
        <f>IF(BJ$6="Forecast",Software!BJ45,'Dept. Cost Actuals'!BN525+'Dept. Cost Actuals'!BN1221+'Dept. Cost Actuals'!BN1570)</f>
        <v>417199.74762090266</v>
      </c>
      <c r="BK22" s="575">
        <f>IF(BK$6="Forecast",Software!BK45,'Dept. Cost Actuals'!BO525+'Dept. Cost Actuals'!BO1221+'Dept. Cost Actuals'!BO1570)</f>
        <v>421750.12700212654</v>
      </c>
      <c r="BL22" s="575">
        <f>IF(BL$6="Forecast",Software!BL45,'Dept. Cost Actuals'!BP525+'Dept. Cost Actuals'!BP1221+'Dept. Cost Actuals'!BP1570)</f>
        <v>431563.5809474432</v>
      </c>
      <c r="BM22" s="575">
        <f>IF(BM$6="Forecast",Software!BM45,'Dept. Cost Actuals'!BQ525+'Dept. Cost Actuals'!BQ1221+'Dept. Cost Actuals'!BQ1570)</f>
        <v>433911.8973187363</v>
      </c>
      <c r="BN22" s="575">
        <f>IF(BN$6="Forecast",Software!BN45,'Dept. Cost Actuals'!BR525+'Dept. Cost Actuals'!BR1221+'Dept. Cost Actuals'!BR1570)</f>
        <v>436315.18628768984</v>
      </c>
      <c r="BO22" s="575">
        <f>IF(BO$6="Forecast",Software!BO45,'Dept. Cost Actuals'!BS525+'Dept. Cost Actuals'!BS1221+'Dept. Cost Actuals'!BS1570)</f>
        <v>438778.74718027393</v>
      </c>
      <c r="BP22" s="575">
        <f>IF(BP$6="Forecast",Software!BP45,'Dept. Cost Actuals'!BT525+'Dept. Cost Actuals'!BT1221+'Dept. Cost Actuals'!BT1570)</f>
        <v>441301.96250697179</v>
      </c>
      <c r="BQ22" s="575">
        <f>IF(BQ$6="Forecast",Software!BQ45,'Dept. Cost Actuals'!BU525+'Dept. Cost Actuals'!BU1221+'Dept. Cost Actuals'!BU1570)</f>
        <v>443886.75995129964</v>
      </c>
      <c r="BR22" s="575">
        <f>IF(BR$6="Forecast",Software!BR45,'Dept. Cost Actuals'!BV525+'Dept. Cost Actuals'!BV1221+'Dept. Cost Actuals'!BV1570)</f>
        <v>446535.52132118004</v>
      </c>
      <c r="BS22" s="575">
        <f>IF(BS$6="Forecast",Software!BS45,'Dept. Cost Actuals'!BW525+'Dept. Cost Actuals'!BW1221+'Dept. Cost Actuals'!BW1570)</f>
        <v>449250.76941785519</v>
      </c>
      <c r="BT22" s="575">
        <f>IF(BT$6="Forecast",Software!BT45,'Dept. Cost Actuals'!BX525+'Dept. Cost Actuals'!BX1221+'Dept. Cost Actuals'!BX1570)</f>
        <v>452035.33165205776</v>
      </c>
      <c r="BU22" s="575">
        <f>IF(BU$6="Forecast",Software!BU45,'Dept. Cost Actuals'!BY525+'Dept. Cost Actuals'!BY1221+'Dept. Cost Actuals'!BY1570)</f>
        <v>454892.26592330582</v>
      </c>
      <c r="BV22" s="575">
        <f>IF(BV$6="Forecast",Software!BV45,'Dept. Cost Actuals'!BZ525+'Dept. Cost Actuals'!BZ1221+'Dept. Cost Actuals'!BZ1570)</f>
        <v>457824.80383558461</v>
      </c>
    </row>
    <row r="23" spans="2:74" x14ac:dyDescent="0.25">
      <c r="B23" s="997" t="s">
        <v>1099</v>
      </c>
      <c r="C23" s="995">
        <f t="shared" ref="C23:BJ23" si="18">SUM(C21:C22)</f>
        <v>89887.221529999995</v>
      </c>
      <c r="D23" s="995">
        <f t="shared" si="18"/>
        <v>83642.282030000002</v>
      </c>
      <c r="E23" s="995">
        <f t="shared" si="18"/>
        <v>101136.87708999999</v>
      </c>
      <c r="F23" s="995">
        <f t="shared" si="18"/>
        <v>119334.82087999998</v>
      </c>
      <c r="G23" s="995">
        <f t="shared" si="18"/>
        <v>110516.71038</v>
      </c>
      <c r="H23" s="995">
        <f t="shared" si="18"/>
        <v>149563.74163999999</v>
      </c>
      <c r="I23" s="995">
        <f t="shared" si="18"/>
        <v>149148.70884000001</v>
      </c>
      <c r="J23" s="995">
        <f t="shared" si="18"/>
        <v>167536.42233</v>
      </c>
      <c r="K23" s="995">
        <f t="shared" si="18"/>
        <v>167818.52791999999</v>
      </c>
      <c r="L23" s="995">
        <f t="shared" si="18"/>
        <v>174936.56044</v>
      </c>
      <c r="M23" s="995">
        <f t="shared" si="18"/>
        <v>246903.49596000003</v>
      </c>
      <c r="N23" s="995">
        <f t="shared" si="18"/>
        <v>269511.73879999999</v>
      </c>
      <c r="O23" s="996">
        <f t="shared" si="18"/>
        <v>387414.32</v>
      </c>
      <c r="P23" s="996">
        <f t="shared" si="18"/>
        <v>240904.29</v>
      </c>
      <c r="Q23" s="996">
        <f t="shared" si="18"/>
        <v>345074.42000000004</v>
      </c>
      <c r="R23" s="996">
        <f t="shared" si="18"/>
        <v>365831.63</v>
      </c>
      <c r="S23" s="996">
        <f t="shared" si="18"/>
        <v>355213.05</v>
      </c>
      <c r="T23" s="996">
        <f t="shared" si="18"/>
        <v>299476.82</v>
      </c>
      <c r="U23" s="996">
        <f t="shared" si="18"/>
        <v>418323.93</v>
      </c>
      <c r="V23" s="996">
        <f t="shared" si="18"/>
        <v>405440</v>
      </c>
      <c r="W23" s="996">
        <f t="shared" si="18"/>
        <v>357761.83999999997</v>
      </c>
      <c r="X23" s="996">
        <f t="shared" si="18"/>
        <v>395954.88999999996</v>
      </c>
      <c r="Y23" s="995">
        <f t="shared" si="18"/>
        <v>383448.58</v>
      </c>
      <c r="Z23" s="995">
        <f t="shared" si="18"/>
        <v>373646.87</v>
      </c>
      <c r="AA23" s="995">
        <f t="shared" si="18"/>
        <v>499280.97</v>
      </c>
      <c r="AB23" s="995">
        <f t="shared" si="18"/>
        <v>437922.63000000012</v>
      </c>
      <c r="AC23" s="995">
        <f t="shared" si="18"/>
        <v>455373.85</v>
      </c>
      <c r="AD23" s="995">
        <f t="shared" si="18"/>
        <v>572797.50568675296</v>
      </c>
      <c r="AE23" s="995">
        <f t="shared" si="18"/>
        <v>577050.52281818807</v>
      </c>
      <c r="AF23" s="995">
        <f t="shared" si="18"/>
        <v>582568.75932376157</v>
      </c>
      <c r="AG23" s="995">
        <f t="shared" si="18"/>
        <v>596225.30889247288</v>
      </c>
      <c r="AH23" s="995">
        <f t="shared" si="18"/>
        <v>594009.61308869254</v>
      </c>
      <c r="AI23" s="995">
        <f t="shared" si="18"/>
        <v>593058.02330651344</v>
      </c>
      <c r="AJ23" s="995">
        <f t="shared" si="18"/>
        <v>611590.33193823113</v>
      </c>
      <c r="AK23" s="995">
        <f t="shared" si="18"/>
        <v>608755.95808443194</v>
      </c>
      <c r="AL23" s="995">
        <f t="shared" si="18"/>
        <v>611648.94388118351</v>
      </c>
      <c r="AM23" s="995">
        <f t="shared" ref="AM23" si="19">SUM(AM21:AM22)</f>
        <v>607151.64020275837</v>
      </c>
      <c r="AN23" s="995">
        <f t="shared" si="18"/>
        <v>582042.60285639926</v>
      </c>
      <c r="AO23" s="995">
        <f t="shared" si="18"/>
        <v>584729.78283657227</v>
      </c>
      <c r="AP23" s="995">
        <f t="shared" si="18"/>
        <v>586554.99809764151</v>
      </c>
      <c r="AQ23" s="995">
        <f t="shared" si="18"/>
        <v>588731.79561397317</v>
      </c>
      <c r="AR23" s="995">
        <f t="shared" si="18"/>
        <v>591237.10018651327</v>
      </c>
      <c r="AS23" s="995">
        <f t="shared" si="18"/>
        <v>593736.42892625672</v>
      </c>
      <c r="AT23" s="995">
        <f t="shared" si="18"/>
        <v>596266.88992236997</v>
      </c>
      <c r="AU23" s="995">
        <f t="shared" si="18"/>
        <v>598821.45462807943</v>
      </c>
      <c r="AV23" s="995">
        <f t="shared" si="18"/>
        <v>601401.08946084743</v>
      </c>
      <c r="AW23" s="995">
        <f t="shared" si="18"/>
        <v>603989.34173985827</v>
      </c>
      <c r="AX23" s="995">
        <f t="shared" si="18"/>
        <v>606649.78581841546</v>
      </c>
      <c r="AY23" s="995">
        <f t="shared" si="18"/>
        <v>606144.34475337423</v>
      </c>
      <c r="AZ23" s="995">
        <f t="shared" si="18"/>
        <v>620328.30531823519</v>
      </c>
      <c r="BA23" s="995">
        <f t="shared" si="18"/>
        <v>623114.65252919751</v>
      </c>
      <c r="BB23" s="995">
        <f t="shared" si="18"/>
        <v>625880.98818996002</v>
      </c>
      <c r="BC23" s="995">
        <f t="shared" si="18"/>
        <v>628736.31637230655</v>
      </c>
      <c r="BD23" s="995">
        <f t="shared" si="18"/>
        <v>631644.92398330022</v>
      </c>
      <c r="BE23" s="995">
        <f t="shared" si="18"/>
        <v>634617.67918796034</v>
      </c>
      <c r="BF23" s="995">
        <f t="shared" si="18"/>
        <v>637629.88208481763</v>
      </c>
      <c r="BG23" s="995">
        <f t="shared" si="18"/>
        <v>640690.29161364457</v>
      </c>
      <c r="BH23" s="995">
        <f t="shared" si="18"/>
        <v>643799.54162133799</v>
      </c>
      <c r="BI23" s="995">
        <f t="shared" si="18"/>
        <v>646960.44131624768</v>
      </c>
      <c r="BJ23" s="995">
        <f t="shared" si="18"/>
        <v>650176.76147677714</v>
      </c>
      <c r="BK23" s="995">
        <f t="shared" ref="BK23:BL23" si="20">SUM(BK21:BK22)</f>
        <v>657181.04769772675</v>
      </c>
      <c r="BL23" s="995">
        <f t="shared" si="20"/>
        <v>672420.69213158754</v>
      </c>
      <c r="BM23" s="995">
        <f t="shared" ref="BM23:BV23" si="21">SUM(BM21:BM22)</f>
        <v>675865.24861771311</v>
      </c>
      <c r="BN23" s="995">
        <f t="shared" si="21"/>
        <v>679378.53339346731</v>
      </c>
      <c r="BO23" s="995">
        <f t="shared" si="21"/>
        <v>682963.04726703162</v>
      </c>
      <c r="BP23" s="995">
        <f t="shared" si="21"/>
        <v>686621.95974030043</v>
      </c>
      <c r="BQ23" s="995">
        <f t="shared" si="21"/>
        <v>690356.6355327887</v>
      </c>
      <c r="BR23" s="995">
        <f t="shared" si="21"/>
        <v>694169.9119744224</v>
      </c>
      <c r="BS23" s="995">
        <f t="shared" si="21"/>
        <v>698063.2360672853</v>
      </c>
      <c r="BT23" s="995">
        <f t="shared" si="21"/>
        <v>702040.94826011162</v>
      </c>
      <c r="BU23" s="995">
        <f t="shared" si="21"/>
        <v>706106.63527328067</v>
      </c>
      <c r="BV23" s="995">
        <f t="shared" si="21"/>
        <v>710264.27570177033</v>
      </c>
    </row>
    <row r="24" spans="2:74" x14ac:dyDescent="0.25">
      <c r="B24" s="755" t="s">
        <v>18</v>
      </c>
      <c r="C24" s="927"/>
      <c r="D24" s="927"/>
      <c r="E24" s="927"/>
      <c r="F24" s="927"/>
      <c r="G24" s="927"/>
      <c r="H24" s="927"/>
      <c r="I24" s="927"/>
      <c r="J24" s="927"/>
      <c r="K24" s="927"/>
      <c r="L24" s="927"/>
      <c r="M24" s="927"/>
      <c r="N24" s="927"/>
      <c r="O24" s="927"/>
      <c r="P24" s="927"/>
      <c r="Q24" s="927"/>
      <c r="R24" s="927"/>
      <c r="S24" s="927"/>
      <c r="T24" s="927"/>
      <c r="U24" s="927"/>
      <c r="V24" s="927"/>
      <c r="W24" s="927"/>
      <c r="X24" s="927"/>
      <c r="Y24" s="927"/>
      <c r="Z24" s="927"/>
      <c r="AA24" s="927"/>
      <c r="AB24" s="927"/>
      <c r="AC24" s="927"/>
      <c r="AD24" s="927"/>
      <c r="AE24" s="927"/>
      <c r="AF24" s="927"/>
      <c r="AG24" s="927"/>
      <c r="AH24" s="927"/>
      <c r="AI24" s="927"/>
      <c r="AJ24" s="927"/>
      <c r="AK24" s="927"/>
      <c r="AL24" s="927"/>
      <c r="AM24" s="927"/>
      <c r="AN24" s="927"/>
      <c r="AO24" s="927"/>
      <c r="AP24" s="927"/>
      <c r="AQ24" s="927"/>
      <c r="AR24" s="927"/>
      <c r="AS24" s="927"/>
      <c r="AT24" s="927"/>
      <c r="AU24" s="927"/>
      <c r="AV24" s="927"/>
      <c r="AW24" s="927"/>
      <c r="AX24" s="927"/>
      <c r="AY24" s="927"/>
      <c r="AZ24" s="927"/>
      <c r="BA24" s="927"/>
      <c r="BB24" s="927"/>
      <c r="BC24" s="927"/>
      <c r="BD24" s="927"/>
      <c r="BE24" s="927"/>
      <c r="BF24" s="927"/>
      <c r="BG24" s="927"/>
      <c r="BH24" s="927"/>
      <c r="BI24" s="927"/>
      <c r="BJ24" s="927"/>
      <c r="BK24" s="927"/>
      <c r="BL24" s="927"/>
      <c r="BM24" s="927"/>
      <c r="BN24" s="927"/>
      <c r="BO24" s="927"/>
      <c r="BP24" s="927"/>
      <c r="BQ24" s="927"/>
      <c r="BR24" s="927"/>
      <c r="BS24" s="927"/>
      <c r="BT24" s="927"/>
      <c r="BU24" s="927"/>
      <c r="BV24" s="927"/>
    </row>
    <row r="25" spans="2:74" x14ac:dyDescent="0.25">
      <c r="B25" s="982" t="s">
        <v>3</v>
      </c>
      <c r="C25" s="575">
        <f>'Dept. Cost Actuals'!G699</f>
        <v>9635.0423499999997</v>
      </c>
      <c r="D25" s="575">
        <f>'Dept. Cost Actuals'!H699</f>
        <v>9277.1477699999996</v>
      </c>
      <c r="E25" s="575">
        <f>'Dept. Cost Actuals'!I699</f>
        <v>9308.0311500000007</v>
      </c>
      <c r="F25" s="575">
        <f>'Dept. Cost Actuals'!J699</f>
        <v>9862.4723699999995</v>
      </c>
      <c r="G25" s="575">
        <f>'Dept. Cost Actuals'!K699</f>
        <v>6708.4937200000004</v>
      </c>
      <c r="H25" s="575">
        <f>'Dept. Cost Actuals'!L699</f>
        <v>10477.386780000001</v>
      </c>
      <c r="I25" s="575">
        <f>'Dept. Cost Actuals'!M699</f>
        <v>9821.2936200000004</v>
      </c>
      <c r="J25" s="575">
        <f>'Dept. Cost Actuals'!N699</f>
        <v>12153.213589999999</v>
      </c>
      <c r="K25" s="575">
        <f>'Dept. Cost Actuals'!O699</f>
        <v>10264.047909999999</v>
      </c>
      <c r="L25" s="575">
        <f>'Dept. Cost Actuals'!P699</f>
        <v>11650.98136</v>
      </c>
      <c r="M25" s="575">
        <f>'Dept. Cost Actuals'!Q699</f>
        <v>15711.28535</v>
      </c>
      <c r="N25" s="575">
        <f>'Dept. Cost Actuals'!R699</f>
        <v>12669.161840000001</v>
      </c>
      <c r="O25" s="575">
        <f>IF(O$6="Forecast",#REF!,'Dept. Cost Actuals'!S699)</f>
        <v>18751.82</v>
      </c>
      <c r="P25" s="575">
        <f>IF(P$6="Forecast",#REF!,'Dept. Cost Actuals'!T699)</f>
        <v>42229.19</v>
      </c>
      <c r="Q25" s="575">
        <f>IF(Q$6="Forecast",#REF!,'Dept. Cost Actuals'!U699)</f>
        <v>21295.49</v>
      </c>
      <c r="R25" s="575">
        <f>IF(R$6="Forecast",#REF!,'Dept. Cost Actuals'!V699)</f>
        <v>13352.83</v>
      </c>
      <c r="S25" s="575">
        <f>IF(S$6="Forecast",#REF!,'Dept. Cost Actuals'!W699)</f>
        <v>32762.05</v>
      </c>
      <c r="T25" s="575">
        <f>IF(T$6="Forecast",#REF!,'Dept. Cost Actuals'!X699)</f>
        <v>21728.84</v>
      </c>
      <c r="U25" s="575">
        <f>IF(U$6="Forecast",#REF!,'Dept. Cost Actuals'!Y699)</f>
        <v>53607.71</v>
      </c>
      <c r="V25" s="575">
        <f>IF(V$6="Forecast",#REF!,'Dept. Cost Actuals'!Z699)</f>
        <v>51547.13</v>
      </c>
      <c r="W25" s="575">
        <f>IF(W$6="Forecast",#REF!,'Dept. Cost Actuals'!AA699)</f>
        <v>41961.1</v>
      </c>
      <c r="X25" s="575">
        <f>IF(X$6="Forecast",#REF!,'Dept. Cost Actuals'!AB699)</f>
        <v>40709.93</v>
      </c>
      <c r="Y25" s="575">
        <f>IF(Y$6="Forecast",Finance!Y43,'Dept. Cost Actuals'!AC699)</f>
        <v>43557.17</v>
      </c>
      <c r="Z25" s="575">
        <f>IF(Z$6="Forecast",Finance!Z43,'Dept. Cost Actuals'!AD699)</f>
        <v>74841.59</v>
      </c>
      <c r="AA25" s="575">
        <f>IF(AA$6="Forecast",Finance!AA45,'Dept. Cost Actuals'!AE699)</f>
        <v>49491.91</v>
      </c>
      <c r="AB25" s="575">
        <f>IF(AB$6="Forecast",Finance!AB45,'Dept. Cost Actuals'!AF699)</f>
        <v>-23751.86</v>
      </c>
      <c r="AC25" s="575">
        <f>IF(AC$6="Forecast",Finance!AC45,'Dept. Cost Actuals'!AG699)</f>
        <v>52990.13</v>
      </c>
      <c r="AD25" s="575">
        <f ca="1">IF(AD$6="Forecast",Finance!AD45,'Dept. Cost Actuals'!AH699)</f>
        <v>74124.260264409022</v>
      </c>
      <c r="AE25" s="575">
        <f ca="1">IF(AE$6="Forecast",Finance!AE45,'Dept. Cost Actuals'!AI699)</f>
        <v>100838.54597019698</v>
      </c>
      <c r="AF25" s="575">
        <f ca="1">IF(AF$6="Forecast",Finance!AF45,'Dept. Cost Actuals'!AJ699)</f>
        <v>96567.054343809024</v>
      </c>
      <c r="AG25" s="575">
        <f ca="1">IF(AG$6="Forecast",Finance!AG45,'Dept. Cost Actuals'!AK699)</f>
        <v>97817.754774230474</v>
      </c>
      <c r="AH25" s="575">
        <f ca="1">IF(AH$6="Forecast",Finance!AH45,'Dept. Cost Actuals'!AL699)</f>
        <v>96746.514932862119</v>
      </c>
      <c r="AI25" s="575">
        <f ca="1">IF(AI$6="Forecast",Finance!AI45,'Dept. Cost Actuals'!AM699)</f>
        <v>96407.91729705481</v>
      </c>
      <c r="AJ25" s="575">
        <f ca="1">IF(AJ$6="Forecast",Finance!AJ45,'Dept. Cost Actuals'!AN699)</f>
        <v>96977.654550605293</v>
      </c>
      <c r="AK25" s="575">
        <f ca="1">IF(AK$6="Forecast",Finance!AK45,'Dept. Cost Actuals'!AO699)</f>
        <v>97878.850434293417</v>
      </c>
      <c r="AL25" s="575">
        <f ca="1">IF(AL$6="Forecast",Finance!AL45,'Dept. Cost Actuals'!AP699)</f>
        <v>98756.850667297273</v>
      </c>
      <c r="AM25" s="575">
        <f ca="1">IF(AM$6="Forecast",Finance!AM45,'Dept. Cost Actuals'!AQ699)</f>
        <v>96348.549566243149</v>
      </c>
      <c r="AN25" s="575">
        <f ca="1">IF(AN$6="Forecast",Finance!AN45,'Dept. Cost Actuals'!AR699)</f>
        <v>97578.90380116801</v>
      </c>
      <c r="AO25" s="575">
        <f ca="1">IF(AO$6="Forecast",Finance!AO45,'Dept. Cost Actuals'!AS699)</f>
        <v>103906.52622211528</v>
      </c>
      <c r="AP25" s="575">
        <f ca="1">IF(AP$6="Forecast",Finance!AP45,'Dept. Cost Actuals'!AT699)</f>
        <v>105111.97334458682</v>
      </c>
      <c r="AQ25" s="575">
        <f ca="1">IF(AQ$6="Forecast",Finance!AQ45,'Dept. Cost Actuals'!AU699)</f>
        <v>105744.16104648742</v>
      </c>
      <c r="AR25" s="575">
        <f ca="1">IF(AR$6="Forecast",Finance!AR45,'Dept. Cost Actuals'!AV699)</f>
        <v>106343.93038883434</v>
      </c>
      <c r="AS25" s="575">
        <f ca="1">IF(AS$6="Forecast",Finance!AS45,'Dept. Cost Actuals'!AW699)</f>
        <v>106965.7279526794</v>
      </c>
      <c r="AT25" s="575">
        <f ca="1">IF(AT$6="Forecast",Finance!AT45,'Dept. Cost Actuals'!AX699)</f>
        <v>107534.54008508004</v>
      </c>
      <c r="AU25" s="575">
        <f ca="1">IF(AU$6="Forecast",Finance!AU45,'Dept. Cost Actuals'!AY699)</f>
        <v>108239.44635606499</v>
      </c>
      <c r="AV25" s="575">
        <f ca="1">IF(AV$6="Forecast",Finance!AV45,'Dept. Cost Actuals'!AZ699)</f>
        <v>109030.73442671956</v>
      </c>
      <c r="AW25" s="575">
        <f ca="1">IF(AW$6="Forecast",Finance!AW45,'Dept. Cost Actuals'!BA699)</f>
        <v>109839.90820623637</v>
      </c>
      <c r="AX25" s="575">
        <f ca="1">IF(AX$6="Forecast",Finance!AX45,'Dept. Cost Actuals'!BB699)</f>
        <v>110640.83661784252</v>
      </c>
      <c r="AY25" s="575">
        <f ca="1">IF(AY$6="Forecast",Finance!AY45,'Dept. Cost Actuals'!BC699)</f>
        <v>112845.61981624452</v>
      </c>
      <c r="AZ25" s="575">
        <f ca="1">IF(AZ$6="Forecast",Finance!AZ45,'Dept. Cost Actuals'!BD699)</f>
        <v>115050.9211256736</v>
      </c>
      <c r="BA25" s="575">
        <f ca="1">IF(BA$6="Forecast",Finance!BA45,'Dept. Cost Actuals'!BE699)</f>
        <v>116310.56885963804</v>
      </c>
      <c r="BB25" s="575">
        <f ca="1">IF(BB$6="Forecast",Finance!BB45,'Dept. Cost Actuals'!BF699)</f>
        <v>117147.2912046806</v>
      </c>
      <c r="BC25" s="575">
        <f ca="1">IF(BC$6="Forecast",Finance!BC45,'Dept. Cost Actuals'!BG699)</f>
        <v>117952.69231993079</v>
      </c>
      <c r="BD25" s="575">
        <f ca="1">IF(BD$6="Forecast",Finance!BD45,'Dept. Cost Actuals'!BH699)</f>
        <v>118771.9337212868</v>
      </c>
      <c r="BE25" s="575">
        <f ca="1">IF(BE$6="Forecast",Finance!BE45,'Dept. Cost Actuals'!BI699)</f>
        <v>119608.87029588693</v>
      </c>
      <c r="BF25" s="575">
        <f ca="1">IF(BF$6="Forecast",Finance!BF45,'Dept. Cost Actuals'!BJ699)</f>
        <v>120463.14095637665</v>
      </c>
      <c r="BG25" s="575">
        <f ca="1">IF(BG$6="Forecast",Finance!BG45,'Dept. Cost Actuals'!BK699)</f>
        <v>121340.60566253384</v>
      </c>
      <c r="BH25" s="575">
        <f ca="1">IF(BH$6="Forecast",Finance!BH45,'Dept. Cost Actuals'!BL699)</f>
        <v>122231.85607328205</v>
      </c>
      <c r="BI25" s="575">
        <f ca="1">IF(BI$6="Forecast",Finance!BI45,'Dept. Cost Actuals'!BM699)</f>
        <v>123130.84251403146</v>
      </c>
      <c r="BJ25" s="575">
        <f ca="1">IF(BJ$6="Forecast",Finance!BJ45,'Dept. Cost Actuals'!BN699)</f>
        <v>124036.71917821027</v>
      </c>
      <c r="BK25" s="575">
        <f ca="1">IF(BK$6="Forecast",Finance!BK45,'Dept. Cost Actuals'!BO699)</f>
        <v>126403.92729183985</v>
      </c>
      <c r="BL25" s="575">
        <f ca="1">IF(BL$6="Forecast",Finance!BL45,'Dept. Cost Actuals'!BP699)</f>
        <v>128389.24806705963</v>
      </c>
      <c r="BM25" s="575">
        <f ca="1">IF(BM$6="Forecast",Finance!BM45,'Dept. Cost Actuals'!BQ699)</f>
        <v>129298.53099113842</v>
      </c>
      <c r="BN25" s="575">
        <f ca="1">IF(BN$6="Forecast",Finance!BN45,'Dept. Cost Actuals'!BR699)</f>
        <v>130178.00485776993</v>
      </c>
      <c r="BO25" s="575">
        <f ca="1">IF(BO$6="Forecast",Finance!BO45,'Dept. Cost Actuals'!BS699)</f>
        <v>131060.4293612437</v>
      </c>
      <c r="BP25" s="575">
        <f ca="1">IF(BP$6="Forecast",Finance!BP45,'Dept. Cost Actuals'!BT699)</f>
        <v>131948.66049044588</v>
      </c>
      <c r="BQ25" s="575">
        <f ca="1">IF(BQ$6="Forecast",Finance!BQ45,'Dept. Cost Actuals'!BU699)</f>
        <v>132842.02877367847</v>
      </c>
      <c r="BR25" s="575">
        <f ca="1">IF(BR$6="Forecast",Finance!BR45,'Dept. Cost Actuals'!BV699)</f>
        <v>133739.48770934017</v>
      </c>
      <c r="BS25" s="575">
        <f ca="1">IF(BS$6="Forecast",Finance!BS45,'Dept. Cost Actuals'!BW699)</f>
        <v>134639.93367797608</v>
      </c>
      <c r="BT25" s="575">
        <f ca="1">IF(BT$6="Forecast",Finance!BT45,'Dept. Cost Actuals'!BX699)</f>
        <v>135541.68276186171</v>
      </c>
      <c r="BU25" s="575">
        <f ca="1">IF(BU$6="Forecast",Finance!BU45,'Dept. Cost Actuals'!BY699)</f>
        <v>136443.69474521861</v>
      </c>
      <c r="BV25" s="575">
        <f ca="1">IF(BV$6="Forecast",Finance!BV45,'Dept. Cost Actuals'!BZ699)</f>
        <v>137345.34686716931</v>
      </c>
    </row>
    <row r="26" spans="2:74" x14ac:dyDescent="0.25">
      <c r="B26" s="982" t="s">
        <v>2</v>
      </c>
      <c r="C26" s="575">
        <f>IF(C$6="Forecast",Exec!C45,'Dept. Cost Actuals'!G1047)</f>
        <v>47661.500330000003</v>
      </c>
      <c r="D26" s="575">
        <f>IF(D$6="Forecast",Exec!D45,'Dept. Cost Actuals'!H1047)</f>
        <v>44989.780780000001</v>
      </c>
      <c r="E26" s="575">
        <f>IF(E$6="Forecast",Exec!E45,'Dept. Cost Actuals'!I1047)</f>
        <v>44796.259180000001</v>
      </c>
      <c r="F26" s="575">
        <f>IF(F$6="Forecast",Exec!F45,'Dept. Cost Actuals'!J1047)</f>
        <v>60301.242319999998</v>
      </c>
      <c r="G26" s="575">
        <f>IF(G$6="Forecast",Exec!G45,'Dept. Cost Actuals'!K1047)</f>
        <v>366717.49333000003</v>
      </c>
      <c r="H26" s="575">
        <f>IF(H$6="Forecast",Exec!H45,'Dept. Cost Actuals'!L1047)</f>
        <v>80603.399600000004</v>
      </c>
      <c r="I26" s="575">
        <f>IF(I$6="Forecast",Exec!I45,'Dept. Cost Actuals'!M1047)</f>
        <v>370233.86025000003</v>
      </c>
      <c r="J26" s="575">
        <f>IF(J$6="Forecast",Exec!J45,'Dept. Cost Actuals'!N1047)</f>
        <v>368731.60355</v>
      </c>
      <c r="K26" s="575">
        <f>IF(K$6="Forecast",Exec!K45,'Dept. Cost Actuals'!O1047)</f>
        <v>62833.92411</v>
      </c>
      <c r="L26" s="575">
        <f>IF(L$6="Forecast",Exec!L45,'Dept. Cost Actuals'!P1047)</f>
        <v>400376.50328</v>
      </c>
      <c r="M26" s="575">
        <f>IF(M$6="Forecast",Exec!M45,'Dept. Cost Actuals'!Q1047)</f>
        <v>158348.36421</v>
      </c>
      <c r="N26" s="575">
        <f>IF(N$6="Forecast",Exec!N45,'Dept. Cost Actuals'!R1047)</f>
        <v>80846.813169999994</v>
      </c>
      <c r="O26" s="575">
        <f>IF(O$6="Forecast",Exec!O45,'Dept. Cost Actuals'!S1047)</f>
        <v>177465.02</v>
      </c>
      <c r="P26" s="575">
        <f>IF(P$6="Forecast",Exec!P45,'Dept. Cost Actuals'!T1047)</f>
        <v>165701.10999999999</v>
      </c>
      <c r="Q26" s="575">
        <f>IF(Q$6="Forecast",Exec!Q45,'Dept. Cost Actuals'!U1047)</f>
        <v>145047.78</v>
      </c>
      <c r="R26" s="575">
        <f>IF(R$6="Forecast",Exec!R45,'Dept. Cost Actuals'!V1047)</f>
        <v>155192.48000000001</v>
      </c>
      <c r="S26" s="575">
        <f>IF(S$6="Forecast",Exec!S45,'Dept. Cost Actuals'!W1047)</f>
        <v>152088.53</v>
      </c>
      <c r="T26" s="575">
        <f>IF(T$6="Forecast",Exec!T45,'Dept. Cost Actuals'!X1047)</f>
        <v>133638.82999999999</v>
      </c>
      <c r="U26" s="575">
        <f>IF(U$6="Forecast",Exec!U45,'Dept. Cost Actuals'!Y1047)</f>
        <v>147125.71</v>
      </c>
      <c r="V26" s="575">
        <f>IF(V$6="Forecast",Exec!V45,'Dept. Cost Actuals'!Z1047)</f>
        <v>119536.23</v>
      </c>
      <c r="W26" s="575">
        <f>IF(W$6="Forecast",Exec!W45,'Dept. Cost Actuals'!AA1047)</f>
        <v>136799.23000000001</v>
      </c>
      <c r="X26" s="575">
        <f>IF(X$6="Forecast",Exec!X45,'Dept. Cost Actuals'!AB1047)</f>
        <v>145528.28</v>
      </c>
      <c r="Y26" s="575">
        <f>IF(Y$6="Forecast",Exec!Y45,'Dept. Cost Actuals'!AC1047)</f>
        <v>140337.62</v>
      </c>
      <c r="Z26" s="575">
        <f>IF(Z$6="Forecast",Exec!Z45,'Dept. Cost Actuals'!AD1047)</f>
        <v>76650.789999999994</v>
      </c>
      <c r="AA26" s="575">
        <f>IF(AA$6="Forecast",Exec!AA45,'Dept. Cost Actuals'!AE1047)</f>
        <v>154302.07</v>
      </c>
      <c r="AB26" s="575">
        <f>IF(AB$6="Forecast",Exec!AB45,'Dept. Cost Actuals'!AF1047)</f>
        <v>146605.20000000001</v>
      </c>
      <c r="AC26" s="575">
        <f>IF(AC$6="Forecast",Exec!AC45,'Dept. Cost Actuals'!AG1047)</f>
        <v>128164.61</v>
      </c>
      <c r="AD26" s="575">
        <f>IF(AD$6="Forecast",Exec!AD45,'Dept. Cost Actuals'!AH1047)</f>
        <v>124630.09078871182</v>
      </c>
      <c r="AE26" s="575">
        <f>IF(AE$6="Forecast",Exec!AE45,'Dept. Cost Actuals'!AI1047)</f>
        <v>125567.39708297919</v>
      </c>
      <c r="AF26" s="575">
        <f>IF(AF$6="Forecast",Exec!AF45,'Dept. Cost Actuals'!AJ1047)</f>
        <v>126305.82062979287</v>
      </c>
      <c r="AG26" s="575">
        <f>IF(AG$6="Forecast",Exec!AG45,'Dept. Cost Actuals'!AK1047)</f>
        <v>127114.35298544141</v>
      </c>
      <c r="AH26" s="575">
        <f>IF(AH$6="Forecast",Exec!AH45,'Dept. Cost Actuals'!AL1047)</f>
        <v>127855.95477838677</v>
      </c>
      <c r="AI26" s="575">
        <f>IF(AI$6="Forecast",Exec!AI45,'Dept. Cost Actuals'!AM1047)</f>
        <v>129004.8577509196</v>
      </c>
      <c r="AJ26" s="575">
        <f>IF(AJ$6="Forecast",Exec!AJ45,'Dept. Cost Actuals'!AN1047)</f>
        <v>130241.96177213613</v>
      </c>
      <c r="AK26" s="575">
        <f>IF(AK$6="Forecast",Exec!AK45,'Dept. Cost Actuals'!AO1047)</f>
        <v>131488.60987321878</v>
      </c>
      <c r="AL26" s="575">
        <f>IF(AL$6="Forecast",Exec!AL45,'Dept. Cost Actuals'!AP1047)</f>
        <v>106053.26090090594</v>
      </c>
      <c r="AM26" s="575">
        <f>IF(AM$6="Forecast",Exec!AM45,'Dept. Cost Actuals'!AQ1047)</f>
        <v>106856.66014441999</v>
      </c>
      <c r="AN26" s="575">
        <f>IF(AN$6="Forecast",Exec!AN45,'Dept. Cost Actuals'!AR1047)</f>
        <v>107945.77201930061</v>
      </c>
      <c r="AO26" s="575">
        <f>IF(AO$6="Forecast",Exec!AO45,'Dept. Cost Actuals'!AS1047)</f>
        <v>108625.59880595676</v>
      </c>
      <c r="AP26" s="575">
        <f>IF(AP$6="Forecast",Exec!AP45,'Dept. Cost Actuals'!AT1047)</f>
        <v>110016.28030643576</v>
      </c>
      <c r="AQ26" s="575">
        <f>IF(AQ$6="Forecast",Exec!AQ45,'Dept. Cost Actuals'!AU1047)</f>
        <v>110808.0420949632</v>
      </c>
      <c r="AR26" s="575">
        <f>IF(AR$6="Forecast",Exec!AR45,'Dept. Cost Actuals'!AV1047)</f>
        <v>111637.30548222762</v>
      </c>
      <c r="AS26" s="575">
        <f>IF(AS$6="Forecast",Exec!AS45,'Dept. Cost Actuals'!AW1047)</f>
        <v>112475.38155816056</v>
      </c>
      <c r="AT26" s="575">
        <f>IF(AT$6="Forecast",Exec!AT45,'Dept. Cost Actuals'!AX1047)</f>
        <v>113325.11720237449</v>
      </c>
      <c r="AU26" s="575">
        <f>IF(AU$6="Forecast",Exec!AU45,'Dept. Cost Actuals'!AY1047)</f>
        <v>114191.34193001589</v>
      </c>
      <c r="AV26" s="575">
        <f>IF(AV$6="Forecast",Exec!AV45,'Dept. Cost Actuals'!AZ1047)</f>
        <v>115042.16536873062</v>
      </c>
      <c r="AW26" s="575">
        <f>IF(AW$6="Forecast",Exec!AW45,'Dept. Cost Actuals'!BA1047)</f>
        <v>115865.67965628514</v>
      </c>
      <c r="AX26" s="575">
        <f>IF(AX$6="Forecast",Exec!AX45,'Dept. Cost Actuals'!BB1047)</f>
        <v>116660.49420663231</v>
      </c>
      <c r="AY26" s="575">
        <f>IF(AY$6="Forecast",Exec!AY45,'Dept. Cost Actuals'!BC1047)</f>
        <v>118093.61316393234</v>
      </c>
      <c r="AZ26" s="575">
        <f>IF(AZ$6="Forecast",Exec!AZ45,'Dept. Cost Actuals'!BD1047)</f>
        <v>118984.33721720475</v>
      </c>
      <c r="BA26" s="575">
        <f>IF(BA$6="Forecast",Exec!BA45,'Dept. Cost Actuals'!BE1047)</f>
        <v>119853.82448833497</v>
      </c>
      <c r="BB26" s="575">
        <f>IF(BB$6="Forecast",Exec!BB45,'Dept. Cost Actuals'!BF1047)</f>
        <v>120749.66034151929</v>
      </c>
      <c r="BC26" s="575">
        <f>IF(BC$6="Forecast",Exec!BC45,'Dept. Cost Actuals'!BG1047)</f>
        <v>121602.55629524961</v>
      </c>
      <c r="BD26" s="575">
        <f>IF(BD$6="Forecast",Exec!BD45,'Dept. Cost Actuals'!BH1047)</f>
        <v>122456.65656724098</v>
      </c>
      <c r="BE26" s="575">
        <f>IF(BE$6="Forecast",Exec!BE45,'Dept. Cost Actuals'!BI1047)</f>
        <v>123317.01973855891</v>
      </c>
      <c r="BF26" s="575">
        <f>IF(BF$6="Forecast",Exec!BF45,'Dept. Cost Actuals'!BJ1047)</f>
        <v>124178.45952155974</v>
      </c>
      <c r="BG26" s="575">
        <f>IF(BG$6="Forecast",Exec!BG45,'Dept. Cost Actuals'!BK1047)</f>
        <v>125041.23788533098</v>
      </c>
      <c r="BH26" s="575">
        <f>IF(BH$6="Forecast",Exec!BH45,'Dept. Cost Actuals'!BL1047)</f>
        <v>125903.83556151585</v>
      </c>
      <c r="BI26" s="575">
        <f>IF(BI$6="Forecast",Exec!BI45,'Dept. Cost Actuals'!BM1047)</f>
        <v>126767.57442441946</v>
      </c>
      <c r="BJ26" s="575">
        <f>IF(BJ$6="Forecast",Exec!BJ45,'Dept. Cost Actuals'!BN1047)</f>
        <v>127634.77763993898</v>
      </c>
      <c r="BK26" s="575">
        <f>IF(BK$6="Forecast",Exec!BK45,'Dept. Cost Actuals'!BO1047)</f>
        <v>129115.10485954951</v>
      </c>
      <c r="BL26" s="575">
        <f>IF(BL$6="Forecast",Exec!BL45,'Dept. Cost Actuals'!BP1047)</f>
        <v>129991.17525464603</v>
      </c>
      <c r="BM26" s="575">
        <f>IF(BM$6="Forecast",Exec!BM45,'Dept. Cost Actuals'!BQ1047)</f>
        <v>130866.06485506108</v>
      </c>
      <c r="BN26" s="575">
        <f>IF(BN$6="Forecast",Exec!BN45,'Dept. Cost Actuals'!BR1047)</f>
        <v>131741.92190593714</v>
      </c>
      <c r="BO26" s="575">
        <f>IF(BO$6="Forecast",Exec!BO45,'Dept. Cost Actuals'!BS1047)</f>
        <v>132617.14533375207</v>
      </c>
      <c r="BP26" s="575">
        <f>IF(BP$6="Forecast",Exec!BP45,'Dept. Cost Actuals'!BT1047)</f>
        <v>133494.17448062816</v>
      </c>
      <c r="BQ26" s="575">
        <f>IF(BQ$6="Forecast",Exec!BQ45,'Dept. Cost Actuals'!BU1047)</f>
        <v>134373.35565089071</v>
      </c>
      <c r="BR26" s="575">
        <f>IF(BR$6="Forecast",Exec!BR45,'Dept. Cost Actuals'!BV1047)</f>
        <v>135254.76176148179</v>
      </c>
      <c r="BS26" s="575">
        <f>IF(BS$6="Forecast",Exec!BS45,'Dept. Cost Actuals'!BW1047)</f>
        <v>136138.06038665053</v>
      </c>
      <c r="BT26" s="575">
        <f>IF(BT$6="Forecast",Exec!BT45,'Dept. Cost Actuals'!BX1047)</f>
        <v>137023.45340804924</v>
      </c>
      <c r="BU26" s="575">
        <f>IF(BU$6="Forecast",Exec!BU45,'Dept. Cost Actuals'!BY1047)</f>
        <v>137911.11583628727</v>
      </c>
      <c r="BV26" s="575">
        <f>IF(BV$6="Forecast",Exec!BV45,'Dept. Cost Actuals'!BZ1047)</f>
        <v>138801.1717917544</v>
      </c>
    </row>
    <row r="27" spans="2:74" x14ac:dyDescent="0.25">
      <c r="B27" s="984" t="s">
        <v>19</v>
      </c>
      <c r="C27" s="575"/>
      <c r="D27" s="575"/>
      <c r="E27" s="575"/>
      <c r="F27" s="575"/>
      <c r="G27" s="575"/>
      <c r="H27" s="575"/>
      <c r="I27" s="575"/>
      <c r="J27" s="575"/>
      <c r="K27" s="575"/>
      <c r="L27" s="575"/>
      <c r="M27" s="575"/>
      <c r="N27" s="575"/>
      <c r="O27" s="575">
        <f>IF(O$6="Forecast",1000,0)</f>
        <v>0</v>
      </c>
      <c r="P27" s="575">
        <f t="shared" ref="P27:BV27" si="22">IF(P$6="Forecast",1000,0)</f>
        <v>0</v>
      </c>
      <c r="Q27" s="575">
        <f t="shared" si="22"/>
        <v>0</v>
      </c>
      <c r="R27" s="575">
        <f t="shared" si="22"/>
        <v>0</v>
      </c>
      <c r="S27" s="575">
        <f t="shared" si="22"/>
        <v>0</v>
      </c>
      <c r="T27" s="575">
        <f t="shared" si="22"/>
        <v>0</v>
      </c>
      <c r="U27" s="575">
        <f t="shared" si="22"/>
        <v>0</v>
      </c>
      <c r="V27" s="575">
        <f t="shared" si="22"/>
        <v>0</v>
      </c>
      <c r="W27" s="575">
        <f t="shared" si="22"/>
        <v>0</v>
      </c>
      <c r="X27" s="575">
        <f t="shared" si="22"/>
        <v>0</v>
      </c>
      <c r="Y27" s="575">
        <f t="shared" si="22"/>
        <v>0</v>
      </c>
      <c r="Z27" s="575">
        <f t="shared" si="22"/>
        <v>0</v>
      </c>
      <c r="AA27" s="575">
        <f>IF(AA$6="Forecast",87000/12,0)</f>
        <v>0</v>
      </c>
      <c r="AB27" s="575">
        <f t="shared" ref="AB27:AX27" si="23">IF(AB$6="Forecast",87000/12,0)</f>
        <v>0</v>
      </c>
      <c r="AC27" s="575">
        <f t="shared" si="23"/>
        <v>0</v>
      </c>
      <c r="AD27" s="575">
        <f t="shared" si="23"/>
        <v>7250</v>
      </c>
      <c r="AE27" s="575">
        <f t="shared" si="23"/>
        <v>7250</v>
      </c>
      <c r="AF27" s="575">
        <f t="shared" si="23"/>
        <v>7250</v>
      </c>
      <c r="AG27" s="575">
        <f t="shared" si="23"/>
        <v>7250</v>
      </c>
      <c r="AH27" s="575">
        <f t="shared" si="23"/>
        <v>7250</v>
      </c>
      <c r="AI27" s="575">
        <f t="shared" si="23"/>
        <v>7250</v>
      </c>
      <c r="AJ27" s="575">
        <f t="shared" si="23"/>
        <v>7250</v>
      </c>
      <c r="AK27" s="575">
        <f t="shared" si="23"/>
        <v>7250</v>
      </c>
      <c r="AL27" s="575">
        <f t="shared" si="23"/>
        <v>7250</v>
      </c>
      <c r="AM27" s="575">
        <f t="shared" si="23"/>
        <v>7250</v>
      </c>
      <c r="AN27" s="575">
        <f t="shared" si="23"/>
        <v>7250</v>
      </c>
      <c r="AO27" s="575">
        <f t="shared" si="23"/>
        <v>7250</v>
      </c>
      <c r="AP27" s="575">
        <f t="shared" si="23"/>
        <v>7250</v>
      </c>
      <c r="AQ27" s="575">
        <f t="shared" si="23"/>
        <v>7250</v>
      </c>
      <c r="AR27" s="575">
        <f t="shared" si="23"/>
        <v>7250</v>
      </c>
      <c r="AS27" s="575">
        <f t="shared" si="23"/>
        <v>7250</v>
      </c>
      <c r="AT27" s="575">
        <f t="shared" si="23"/>
        <v>7250</v>
      </c>
      <c r="AU27" s="575">
        <f t="shared" si="23"/>
        <v>7250</v>
      </c>
      <c r="AV27" s="575">
        <f t="shared" si="23"/>
        <v>7250</v>
      </c>
      <c r="AW27" s="575">
        <f t="shared" si="23"/>
        <v>7250</v>
      </c>
      <c r="AX27" s="575">
        <f t="shared" si="23"/>
        <v>7250</v>
      </c>
      <c r="AY27" s="575">
        <f t="shared" si="22"/>
        <v>1000</v>
      </c>
      <c r="AZ27" s="575">
        <f t="shared" si="22"/>
        <v>1000</v>
      </c>
      <c r="BA27" s="575">
        <f t="shared" si="22"/>
        <v>1000</v>
      </c>
      <c r="BB27" s="575">
        <f t="shared" si="22"/>
        <v>1000</v>
      </c>
      <c r="BC27" s="575">
        <f t="shared" si="22"/>
        <v>1000</v>
      </c>
      <c r="BD27" s="575">
        <f t="shared" si="22"/>
        <v>1000</v>
      </c>
      <c r="BE27" s="575">
        <f t="shared" si="22"/>
        <v>1000</v>
      </c>
      <c r="BF27" s="575">
        <f t="shared" si="22"/>
        <v>1000</v>
      </c>
      <c r="BG27" s="575">
        <f t="shared" si="22"/>
        <v>1000</v>
      </c>
      <c r="BH27" s="575">
        <f t="shared" si="22"/>
        <v>1000</v>
      </c>
      <c r="BI27" s="575">
        <f t="shared" si="22"/>
        <v>1000</v>
      </c>
      <c r="BJ27" s="575">
        <f t="shared" si="22"/>
        <v>1000</v>
      </c>
      <c r="BK27" s="575">
        <f t="shared" si="22"/>
        <v>1000</v>
      </c>
      <c r="BL27" s="575">
        <f t="shared" si="22"/>
        <v>1000</v>
      </c>
      <c r="BM27" s="575">
        <f t="shared" si="22"/>
        <v>1000</v>
      </c>
      <c r="BN27" s="575">
        <f t="shared" si="22"/>
        <v>1000</v>
      </c>
      <c r="BO27" s="575">
        <f t="shared" si="22"/>
        <v>1000</v>
      </c>
      <c r="BP27" s="575">
        <f t="shared" si="22"/>
        <v>1000</v>
      </c>
      <c r="BQ27" s="575">
        <f t="shared" si="22"/>
        <v>1000</v>
      </c>
      <c r="BR27" s="575">
        <f t="shared" si="22"/>
        <v>1000</v>
      </c>
      <c r="BS27" s="575">
        <f t="shared" si="22"/>
        <v>1000</v>
      </c>
      <c r="BT27" s="575">
        <f t="shared" si="22"/>
        <v>1000</v>
      </c>
      <c r="BU27" s="575">
        <f t="shared" si="22"/>
        <v>1000</v>
      </c>
      <c r="BV27" s="575">
        <f t="shared" si="22"/>
        <v>1000</v>
      </c>
    </row>
    <row r="28" spans="2:74" x14ac:dyDescent="0.25">
      <c r="B28" s="984" t="s">
        <v>20</v>
      </c>
      <c r="C28" s="575"/>
      <c r="D28" s="575"/>
      <c r="E28" s="575"/>
      <c r="F28" s="575"/>
      <c r="G28" s="575"/>
      <c r="H28" s="575"/>
      <c r="I28" s="575"/>
      <c r="J28" s="575"/>
      <c r="K28" s="575"/>
      <c r="L28" s="575"/>
      <c r="M28" s="575"/>
      <c r="N28" s="575"/>
      <c r="O28" s="575">
        <f>IF(O$6="Forecast",2000+6000,0)</f>
        <v>0</v>
      </c>
      <c r="P28" s="575">
        <f t="shared" ref="P28:BV28" si="24">IF(P$6="Forecast",2000+6000,0)</f>
        <v>0</v>
      </c>
      <c r="Q28" s="575">
        <f t="shared" si="24"/>
        <v>0</v>
      </c>
      <c r="R28" s="575">
        <f t="shared" si="24"/>
        <v>0</v>
      </c>
      <c r="S28" s="575">
        <f t="shared" si="24"/>
        <v>0</v>
      </c>
      <c r="T28" s="575">
        <f t="shared" si="24"/>
        <v>0</v>
      </c>
      <c r="U28" s="575">
        <f t="shared" si="24"/>
        <v>0</v>
      </c>
      <c r="V28" s="575">
        <f t="shared" si="24"/>
        <v>0</v>
      </c>
      <c r="W28" s="575">
        <f t="shared" si="24"/>
        <v>0</v>
      </c>
      <c r="X28" s="575">
        <f t="shared" si="24"/>
        <v>0</v>
      </c>
      <c r="Y28" s="575">
        <f t="shared" si="24"/>
        <v>0</v>
      </c>
      <c r="Z28" s="575">
        <f t="shared" si="24"/>
        <v>0</v>
      </c>
      <c r="AA28" s="575">
        <f t="shared" si="24"/>
        <v>0</v>
      </c>
      <c r="AB28" s="575">
        <f t="shared" si="24"/>
        <v>0</v>
      </c>
      <c r="AC28" s="575">
        <f t="shared" si="24"/>
        <v>0</v>
      </c>
      <c r="AD28" s="575">
        <f t="shared" si="24"/>
        <v>8000</v>
      </c>
      <c r="AE28" s="575">
        <f t="shared" si="24"/>
        <v>8000</v>
      </c>
      <c r="AF28" s="575">
        <f t="shared" si="24"/>
        <v>8000</v>
      </c>
      <c r="AG28" s="575">
        <f t="shared" si="24"/>
        <v>8000</v>
      </c>
      <c r="AH28" s="575">
        <f t="shared" si="24"/>
        <v>8000</v>
      </c>
      <c r="AI28" s="575">
        <f t="shared" si="24"/>
        <v>8000</v>
      </c>
      <c r="AJ28" s="575">
        <f t="shared" si="24"/>
        <v>8000</v>
      </c>
      <c r="AK28" s="575">
        <f t="shared" si="24"/>
        <v>8000</v>
      </c>
      <c r="AL28" s="575">
        <f t="shared" si="24"/>
        <v>8000</v>
      </c>
      <c r="AM28" s="575">
        <f t="shared" si="24"/>
        <v>8000</v>
      </c>
      <c r="AN28" s="575">
        <f t="shared" si="24"/>
        <v>8000</v>
      </c>
      <c r="AO28" s="575">
        <f t="shared" si="24"/>
        <v>8000</v>
      </c>
      <c r="AP28" s="575">
        <f t="shared" si="24"/>
        <v>8000</v>
      </c>
      <c r="AQ28" s="575">
        <f t="shared" si="24"/>
        <v>8000</v>
      </c>
      <c r="AR28" s="575">
        <f t="shared" si="24"/>
        <v>8000</v>
      </c>
      <c r="AS28" s="575">
        <f t="shared" si="24"/>
        <v>8000</v>
      </c>
      <c r="AT28" s="575">
        <f t="shared" si="24"/>
        <v>8000</v>
      </c>
      <c r="AU28" s="575">
        <f t="shared" si="24"/>
        <v>8000</v>
      </c>
      <c r="AV28" s="575">
        <f t="shared" si="24"/>
        <v>8000</v>
      </c>
      <c r="AW28" s="575">
        <f t="shared" si="24"/>
        <v>8000</v>
      </c>
      <c r="AX28" s="575">
        <f t="shared" si="24"/>
        <v>8000</v>
      </c>
      <c r="AY28" s="575">
        <f t="shared" si="24"/>
        <v>8000</v>
      </c>
      <c r="AZ28" s="575">
        <f t="shared" si="24"/>
        <v>8000</v>
      </c>
      <c r="BA28" s="575">
        <f t="shared" si="24"/>
        <v>8000</v>
      </c>
      <c r="BB28" s="575">
        <f t="shared" si="24"/>
        <v>8000</v>
      </c>
      <c r="BC28" s="575">
        <f t="shared" si="24"/>
        <v>8000</v>
      </c>
      <c r="BD28" s="575">
        <f t="shared" si="24"/>
        <v>8000</v>
      </c>
      <c r="BE28" s="575">
        <f t="shared" si="24"/>
        <v>8000</v>
      </c>
      <c r="BF28" s="575">
        <f t="shared" si="24"/>
        <v>8000</v>
      </c>
      <c r="BG28" s="575">
        <f t="shared" si="24"/>
        <v>8000</v>
      </c>
      <c r="BH28" s="575">
        <f t="shared" si="24"/>
        <v>8000</v>
      </c>
      <c r="BI28" s="575">
        <f t="shared" si="24"/>
        <v>8000</v>
      </c>
      <c r="BJ28" s="575">
        <f t="shared" si="24"/>
        <v>8000</v>
      </c>
      <c r="BK28" s="575">
        <f t="shared" si="24"/>
        <v>8000</v>
      </c>
      <c r="BL28" s="575">
        <f t="shared" si="24"/>
        <v>8000</v>
      </c>
      <c r="BM28" s="575">
        <f t="shared" si="24"/>
        <v>8000</v>
      </c>
      <c r="BN28" s="575">
        <f t="shared" si="24"/>
        <v>8000</v>
      </c>
      <c r="BO28" s="575">
        <f t="shared" si="24"/>
        <v>8000</v>
      </c>
      <c r="BP28" s="575">
        <f t="shared" si="24"/>
        <v>8000</v>
      </c>
      <c r="BQ28" s="575">
        <f t="shared" si="24"/>
        <v>8000</v>
      </c>
      <c r="BR28" s="575">
        <f t="shared" si="24"/>
        <v>8000</v>
      </c>
      <c r="BS28" s="575">
        <f t="shared" si="24"/>
        <v>8000</v>
      </c>
      <c r="BT28" s="575">
        <f t="shared" si="24"/>
        <v>8000</v>
      </c>
      <c r="BU28" s="575">
        <f t="shared" si="24"/>
        <v>8000</v>
      </c>
      <c r="BV28" s="575">
        <f t="shared" si="24"/>
        <v>8000</v>
      </c>
    </row>
    <row r="29" spans="2:74" x14ac:dyDescent="0.25">
      <c r="B29" s="984" t="s">
        <v>431</v>
      </c>
      <c r="C29" s="575"/>
      <c r="D29" s="575"/>
      <c r="E29" s="575"/>
      <c r="F29" s="575"/>
      <c r="G29" s="575"/>
      <c r="H29" s="575"/>
      <c r="I29" s="575"/>
      <c r="J29" s="575"/>
      <c r="K29" s="575"/>
      <c r="L29" s="575"/>
      <c r="M29" s="575"/>
      <c r="N29" s="575"/>
      <c r="O29" s="575">
        <f>IF(O$6="Forecast",,0)</f>
        <v>0</v>
      </c>
      <c r="P29" s="575">
        <f t="shared" ref="P29:BV29" si="25">IF(P$6="Forecast",,0)</f>
        <v>0</v>
      </c>
      <c r="Q29" s="575">
        <f t="shared" si="25"/>
        <v>0</v>
      </c>
      <c r="R29" s="575">
        <f t="shared" si="25"/>
        <v>0</v>
      </c>
      <c r="S29" s="575">
        <f t="shared" si="25"/>
        <v>0</v>
      </c>
      <c r="T29" s="575">
        <f t="shared" si="25"/>
        <v>0</v>
      </c>
      <c r="U29" s="575">
        <f t="shared" si="25"/>
        <v>0</v>
      </c>
      <c r="V29" s="575">
        <f t="shared" si="25"/>
        <v>0</v>
      </c>
      <c r="W29" s="575">
        <f t="shared" si="25"/>
        <v>0</v>
      </c>
      <c r="X29" s="575">
        <f t="shared" si="25"/>
        <v>0</v>
      </c>
      <c r="Y29" s="575">
        <f t="shared" si="25"/>
        <v>0</v>
      </c>
      <c r="Z29" s="575">
        <f t="shared" si="25"/>
        <v>0</v>
      </c>
      <c r="AA29" s="575">
        <f t="shared" si="25"/>
        <v>0</v>
      </c>
      <c r="AB29" s="575">
        <f t="shared" si="25"/>
        <v>0</v>
      </c>
      <c r="AC29" s="575">
        <f t="shared" si="25"/>
        <v>0</v>
      </c>
      <c r="AD29" s="575">
        <f t="shared" si="25"/>
        <v>0</v>
      </c>
      <c r="AE29" s="575">
        <f t="shared" si="25"/>
        <v>0</v>
      </c>
      <c r="AF29" s="575">
        <f t="shared" si="25"/>
        <v>0</v>
      </c>
      <c r="AG29" s="575">
        <f t="shared" si="25"/>
        <v>0</v>
      </c>
      <c r="AH29" s="575">
        <f t="shared" si="25"/>
        <v>0</v>
      </c>
      <c r="AI29" s="575">
        <f t="shared" si="25"/>
        <v>0</v>
      </c>
      <c r="AJ29" s="575">
        <f t="shared" si="25"/>
        <v>0</v>
      </c>
      <c r="AK29" s="575">
        <f t="shared" si="25"/>
        <v>0</v>
      </c>
      <c r="AL29" s="575">
        <f t="shared" si="25"/>
        <v>0</v>
      </c>
      <c r="AM29" s="575">
        <f t="shared" si="25"/>
        <v>0</v>
      </c>
      <c r="AN29" s="575">
        <f t="shared" si="25"/>
        <v>0</v>
      </c>
      <c r="AO29" s="575">
        <f t="shared" si="25"/>
        <v>0</v>
      </c>
      <c r="AP29" s="575">
        <f t="shared" si="25"/>
        <v>0</v>
      </c>
      <c r="AQ29" s="575">
        <f t="shared" si="25"/>
        <v>0</v>
      </c>
      <c r="AR29" s="575">
        <f t="shared" si="25"/>
        <v>0</v>
      </c>
      <c r="AS29" s="575">
        <f t="shared" si="25"/>
        <v>0</v>
      </c>
      <c r="AT29" s="575">
        <f t="shared" si="25"/>
        <v>0</v>
      </c>
      <c r="AU29" s="575">
        <f t="shared" si="25"/>
        <v>0</v>
      </c>
      <c r="AV29" s="575">
        <f t="shared" si="25"/>
        <v>0</v>
      </c>
      <c r="AW29" s="575">
        <f t="shared" si="25"/>
        <v>0</v>
      </c>
      <c r="AX29" s="575">
        <f t="shared" si="25"/>
        <v>0</v>
      </c>
      <c r="AY29" s="575">
        <f t="shared" si="25"/>
        <v>0</v>
      </c>
      <c r="AZ29" s="575">
        <f t="shared" si="25"/>
        <v>0</v>
      </c>
      <c r="BA29" s="575">
        <f t="shared" si="25"/>
        <v>0</v>
      </c>
      <c r="BB29" s="575">
        <f t="shared" si="25"/>
        <v>0</v>
      </c>
      <c r="BC29" s="575">
        <f t="shared" si="25"/>
        <v>0</v>
      </c>
      <c r="BD29" s="575">
        <f t="shared" si="25"/>
        <v>0</v>
      </c>
      <c r="BE29" s="575">
        <f t="shared" si="25"/>
        <v>0</v>
      </c>
      <c r="BF29" s="575">
        <f t="shared" si="25"/>
        <v>0</v>
      </c>
      <c r="BG29" s="575">
        <f t="shared" si="25"/>
        <v>0</v>
      </c>
      <c r="BH29" s="575">
        <f t="shared" si="25"/>
        <v>0</v>
      </c>
      <c r="BI29" s="575">
        <f t="shared" si="25"/>
        <v>0</v>
      </c>
      <c r="BJ29" s="575">
        <f t="shared" si="25"/>
        <v>0</v>
      </c>
      <c r="BK29" s="575">
        <f t="shared" si="25"/>
        <v>0</v>
      </c>
      <c r="BL29" s="575">
        <f t="shared" si="25"/>
        <v>0</v>
      </c>
      <c r="BM29" s="575">
        <f t="shared" si="25"/>
        <v>0</v>
      </c>
      <c r="BN29" s="575">
        <f t="shared" si="25"/>
        <v>0</v>
      </c>
      <c r="BO29" s="575">
        <f t="shared" si="25"/>
        <v>0</v>
      </c>
      <c r="BP29" s="575">
        <f t="shared" si="25"/>
        <v>0</v>
      </c>
      <c r="BQ29" s="575">
        <f t="shared" si="25"/>
        <v>0</v>
      </c>
      <c r="BR29" s="575">
        <f t="shared" si="25"/>
        <v>0</v>
      </c>
      <c r="BS29" s="575">
        <f t="shared" si="25"/>
        <v>0</v>
      </c>
      <c r="BT29" s="575">
        <f t="shared" si="25"/>
        <v>0</v>
      </c>
      <c r="BU29" s="575">
        <f t="shared" si="25"/>
        <v>0</v>
      </c>
      <c r="BV29" s="575">
        <f t="shared" si="25"/>
        <v>0</v>
      </c>
    </row>
    <row r="30" spans="2:74" x14ac:dyDescent="0.25">
      <c r="B30" s="984" t="s">
        <v>22</v>
      </c>
      <c r="C30" s="575"/>
      <c r="D30" s="575"/>
      <c r="E30" s="575"/>
      <c r="F30" s="575"/>
      <c r="G30" s="575"/>
      <c r="H30" s="575"/>
      <c r="I30" s="575"/>
      <c r="J30" s="575"/>
      <c r="K30" s="575"/>
      <c r="L30" s="575"/>
      <c r="M30" s="575"/>
      <c r="N30" s="575"/>
      <c r="O30" s="575">
        <f>IF(O$6="Forecast",500,0)</f>
        <v>0</v>
      </c>
      <c r="P30" s="575">
        <f t="shared" ref="P30:BV30" si="26">IF(P$6="Forecast",500,0)</f>
        <v>0</v>
      </c>
      <c r="Q30" s="575">
        <f t="shared" si="26"/>
        <v>0</v>
      </c>
      <c r="R30" s="575">
        <f t="shared" si="26"/>
        <v>0</v>
      </c>
      <c r="S30" s="575">
        <f t="shared" si="26"/>
        <v>0</v>
      </c>
      <c r="T30" s="575">
        <f t="shared" si="26"/>
        <v>0</v>
      </c>
      <c r="U30" s="575">
        <f t="shared" si="26"/>
        <v>0</v>
      </c>
      <c r="V30" s="575">
        <f t="shared" si="26"/>
        <v>0</v>
      </c>
      <c r="W30" s="575">
        <f t="shared" si="26"/>
        <v>0</v>
      </c>
      <c r="X30" s="575">
        <f t="shared" si="26"/>
        <v>0</v>
      </c>
      <c r="Y30" s="575">
        <f t="shared" si="26"/>
        <v>0</v>
      </c>
      <c r="Z30" s="575">
        <f t="shared" si="26"/>
        <v>0</v>
      </c>
      <c r="AA30" s="575">
        <f t="shared" si="26"/>
        <v>0</v>
      </c>
      <c r="AB30" s="575">
        <f t="shared" si="26"/>
        <v>0</v>
      </c>
      <c r="AC30" s="575">
        <f t="shared" si="26"/>
        <v>0</v>
      </c>
      <c r="AD30" s="575">
        <f t="shared" si="26"/>
        <v>500</v>
      </c>
      <c r="AE30" s="575">
        <f t="shared" si="26"/>
        <v>500</v>
      </c>
      <c r="AF30" s="575">
        <f t="shared" si="26"/>
        <v>500</v>
      </c>
      <c r="AG30" s="575">
        <f t="shared" si="26"/>
        <v>500</v>
      </c>
      <c r="AH30" s="575">
        <f t="shared" si="26"/>
        <v>500</v>
      </c>
      <c r="AI30" s="575">
        <f t="shared" si="26"/>
        <v>500</v>
      </c>
      <c r="AJ30" s="575">
        <f t="shared" si="26"/>
        <v>500</v>
      </c>
      <c r="AK30" s="575">
        <f t="shared" si="26"/>
        <v>500</v>
      </c>
      <c r="AL30" s="575">
        <f t="shared" si="26"/>
        <v>500</v>
      </c>
      <c r="AM30" s="575">
        <f t="shared" si="26"/>
        <v>500</v>
      </c>
      <c r="AN30" s="575">
        <f t="shared" si="26"/>
        <v>500</v>
      </c>
      <c r="AO30" s="575">
        <f t="shared" si="26"/>
        <v>500</v>
      </c>
      <c r="AP30" s="575">
        <f t="shared" si="26"/>
        <v>500</v>
      </c>
      <c r="AQ30" s="575">
        <f t="shared" si="26"/>
        <v>500</v>
      </c>
      <c r="AR30" s="575">
        <f t="shared" si="26"/>
        <v>500</v>
      </c>
      <c r="AS30" s="575">
        <f t="shared" si="26"/>
        <v>500</v>
      </c>
      <c r="AT30" s="575">
        <f t="shared" si="26"/>
        <v>500</v>
      </c>
      <c r="AU30" s="575">
        <f t="shared" si="26"/>
        <v>500</v>
      </c>
      <c r="AV30" s="575">
        <f t="shared" si="26"/>
        <v>500</v>
      </c>
      <c r="AW30" s="575">
        <f t="shared" si="26"/>
        <v>500</v>
      </c>
      <c r="AX30" s="575">
        <f t="shared" si="26"/>
        <v>500</v>
      </c>
      <c r="AY30" s="575">
        <f t="shared" si="26"/>
        <v>500</v>
      </c>
      <c r="AZ30" s="575">
        <f t="shared" si="26"/>
        <v>500</v>
      </c>
      <c r="BA30" s="575">
        <f t="shared" si="26"/>
        <v>500</v>
      </c>
      <c r="BB30" s="575">
        <f t="shared" si="26"/>
        <v>500</v>
      </c>
      <c r="BC30" s="575">
        <f t="shared" si="26"/>
        <v>500</v>
      </c>
      <c r="BD30" s="575">
        <f t="shared" si="26"/>
        <v>500</v>
      </c>
      <c r="BE30" s="575">
        <f t="shared" si="26"/>
        <v>500</v>
      </c>
      <c r="BF30" s="575">
        <f t="shared" si="26"/>
        <v>500</v>
      </c>
      <c r="BG30" s="575">
        <f t="shared" si="26"/>
        <v>500</v>
      </c>
      <c r="BH30" s="575">
        <f t="shared" si="26"/>
        <v>500</v>
      </c>
      <c r="BI30" s="575">
        <f t="shared" si="26"/>
        <v>500</v>
      </c>
      <c r="BJ30" s="575">
        <f t="shared" si="26"/>
        <v>500</v>
      </c>
      <c r="BK30" s="575">
        <f t="shared" si="26"/>
        <v>500</v>
      </c>
      <c r="BL30" s="575">
        <f t="shared" si="26"/>
        <v>500</v>
      </c>
      <c r="BM30" s="575">
        <f t="shared" si="26"/>
        <v>500</v>
      </c>
      <c r="BN30" s="575">
        <f t="shared" si="26"/>
        <v>500</v>
      </c>
      <c r="BO30" s="575">
        <f t="shared" si="26"/>
        <v>500</v>
      </c>
      <c r="BP30" s="575">
        <f t="shared" si="26"/>
        <v>500</v>
      </c>
      <c r="BQ30" s="575">
        <f t="shared" si="26"/>
        <v>500</v>
      </c>
      <c r="BR30" s="575">
        <f t="shared" si="26"/>
        <v>500</v>
      </c>
      <c r="BS30" s="575">
        <f t="shared" si="26"/>
        <v>500</v>
      </c>
      <c r="BT30" s="575">
        <f t="shared" si="26"/>
        <v>500</v>
      </c>
      <c r="BU30" s="575">
        <f t="shared" si="26"/>
        <v>500</v>
      </c>
      <c r="BV30" s="575">
        <f t="shared" si="26"/>
        <v>500</v>
      </c>
    </row>
    <row r="31" spans="2:74" x14ac:dyDescent="0.25">
      <c r="B31" s="984" t="s">
        <v>23</v>
      </c>
      <c r="C31" s="575"/>
      <c r="D31" s="575"/>
      <c r="E31" s="575"/>
      <c r="F31" s="575"/>
      <c r="G31" s="575"/>
      <c r="H31" s="575"/>
      <c r="I31" s="575"/>
      <c r="J31" s="575"/>
      <c r="K31" s="575"/>
      <c r="L31" s="575"/>
      <c r="M31" s="575"/>
      <c r="N31" s="575"/>
      <c r="O31" s="575">
        <f>IF(O$6="Forecast",,0)</f>
        <v>0</v>
      </c>
      <c r="P31" s="575">
        <f t="shared" ref="P31:AA31" si="27">IF(P$6="Forecast",,0)</f>
        <v>0</v>
      </c>
      <c r="Q31" s="575">
        <f t="shared" si="27"/>
        <v>0</v>
      </c>
      <c r="R31" s="575">
        <f t="shared" si="27"/>
        <v>0</v>
      </c>
      <c r="S31" s="575">
        <f t="shared" si="27"/>
        <v>0</v>
      </c>
      <c r="T31" s="575">
        <f t="shared" si="27"/>
        <v>0</v>
      </c>
      <c r="U31" s="575">
        <f t="shared" si="27"/>
        <v>0</v>
      </c>
      <c r="V31" s="575">
        <f t="shared" si="27"/>
        <v>0</v>
      </c>
      <c r="W31" s="575">
        <f t="shared" si="27"/>
        <v>0</v>
      </c>
      <c r="X31" s="575">
        <f t="shared" si="27"/>
        <v>0</v>
      </c>
      <c r="Y31" s="575">
        <f t="shared" si="27"/>
        <v>0</v>
      </c>
      <c r="Z31" s="575">
        <f t="shared" si="27"/>
        <v>0</v>
      </c>
      <c r="AA31" s="575">
        <f t="shared" si="27"/>
        <v>0</v>
      </c>
      <c r="AB31" s="575">
        <f>IF(AB$6="Forecast",2000,0)</f>
        <v>0</v>
      </c>
      <c r="AC31" s="575">
        <f t="shared" ref="AC31:BV31" si="28">IF(AC$6="Forecast",2000,0)</f>
        <v>0</v>
      </c>
      <c r="AD31" s="575">
        <f t="shared" si="28"/>
        <v>2000</v>
      </c>
      <c r="AE31" s="575">
        <f t="shared" si="28"/>
        <v>2000</v>
      </c>
      <c r="AF31" s="575">
        <f t="shared" si="28"/>
        <v>2000</v>
      </c>
      <c r="AG31" s="575">
        <f t="shared" si="28"/>
        <v>2000</v>
      </c>
      <c r="AH31" s="575">
        <f t="shared" si="28"/>
        <v>2000</v>
      </c>
      <c r="AI31" s="575">
        <f t="shared" si="28"/>
        <v>2000</v>
      </c>
      <c r="AJ31" s="575">
        <f t="shared" si="28"/>
        <v>2000</v>
      </c>
      <c r="AK31" s="575">
        <f t="shared" si="28"/>
        <v>2000</v>
      </c>
      <c r="AL31" s="575">
        <f t="shared" si="28"/>
        <v>2000</v>
      </c>
      <c r="AM31" s="575">
        <f t="shared" si="28"/>
        <v>2000</v>
      </c>
      <c r="AN31" s="575">
        <f t="shared" si="28"/>
        <v>2000</v>
      </c>
      <c r="AO31" s="575">
        <f t="shared" si="28"/>
        <v>2000</v>
      </c>
      <c r="AP31" s="575">
        <f t="shared" si="28"/>
        <v>2000</v>
      </c>
      <c r="AQ31" s="575">
        <f t="shared" si="28"/>
        <v>2000</v>
      </c>
      <c r="AR31" s="575">
        <f t="shared" si="28"/>
        <v>2000</v>
      </c>
      <c r="AS31" s="575">
        <f t="shared" si="28"/>
        <v>2000</v>
      </c>
      <c r="AT31" s="575">
        <f t="shared" si="28"/>
        <v>2000</v>
      </c>
      <c r="AU31" s="575">
        <f t="shared" si="28"/>
        <v>2000</v>
      </c>
      <c r="AV31" s="575">
        <f t="shared" si="28"/>
        <v>2000</v>
      </c>
      <c r="AW31" s="575">
        <f t="shared" si="28"/>
        <v>2000</v>
      </c>
      <c r="AX31" s="575">
        <f t="shared" si="28"/>
        <v>2000</v>
      </c>
      <c r="AY31" s="575">
        <f t="shared" si="28"/>
        <v>2000</v>
      </c>
      <c r="AZ31" s="575">
        <f t="shared" si="28"/>
        <v>2000</v>
      </c>
      <c r="BA31" s="575">
        <f t="shared" si="28"/>
        <v>2000</v>
      </c>
      <c r="BB31" s="575">
        <f t="shared" si="28"/>
        <v>2000</v>
      </c>
      <c r="BC31" s="575">
        <f t="shared" si="28"/>
        <v>2000</v>
      </c>
      <c r="BD31" s="575">
        <f t="shared" si="28"/>
        <v>2000</v>
      </c>
      <c r="BE31" s="575">
        <f t="shared" si="28"/>
        <v>2000</v>
      </c>
      <c r="BF31" s="575">
        <f t="shared" si="28"/>
        <v>2000</v>
      </c>
      <c r="BG31" s="575">
        <f t="shared" si="28"/>
        <v>2000</v>
      </c>
      <c r="BH31" s="575">
        <f t="shared" si="28"/>
        <v>2000</v>
      </c>
      <c r="BI31" s="575">
        <f t="shared" si="28"/>
        <v>2000</v>
      </c>
      <c r="BJ31" s="575">
        <f t="shared" si="28"/>
        <v>2000</v>
      </c>
      <c r="BK31" s="575">
        <f t="shared" si="28"/>
        <v>2000</v>
      </c>
      <c r="BL31" s="575">
        <f t="shared" si="28"/>
        <v>2000</v>
      </c>
      <c r="BM31" s="575">
        <f t="shared" si="28"/>
        <v>2000</v>
      </c>
      <c r="BN31" s="575">
        <f t="shared" si="28"/>
        <v>2000</v>
      </c>
      <c r="BO31" s="575">
        <f t="shared" si="28"/>
        <v>2000</v>
      </c>
      <c r="BP31" s="575">
        <f t="shared" si="28"/>
        <v>2000</v>
      </c>
      <c r="BQ31" s="575">
        <f t="shared" si="28"/>
        <v>2000</v>
      </c>
      <c r="BR31" s="575">
        <f t="shared" si="28"/>
        <v>2000</v>
      </c>
      <c r="BS31" s="575">
        <f t="shared" si="28"/>
        <v>2000</v>
      </c>
      <c r="BT31" s="575">
        <f t="shared" si="28"/>
        <v>2000</v>
      </c>
      <c r="BU31" s="575">
        <f t="shared" si="28"/>
        <v>2000</v>
      </c>
      <c r="BV31" s="575">
        <f t="shared" si="28"/>
        <v>2000</v>
      </c>
    </row>
    <row r="32" spans="2:74" x14ac:dyDescent="0.25">
      <c r="B32" s="984" t="s">
        <v>24</v>
      </c>
      <c r="C32" s="575"/>
      <c r="D32" s="575"/>
      <c r="E32" s="575"/>
      <c r="F32" s="575"/>
      <c r="G32" s="575"/>
      <c r="H32" s="575"/>
      <c r="I32" s="575"/>
      <c r="J32" s="575"/>
      <c r="K32" s="575"/>
      <c r="L32" s="575"/>
      <c r="M32" s="575"/>
      <c r="N32" s="575"/>
      <c r="O32" s="575">
        <f>IF(O$6="Forecast",2000,0)</f>
        <v>0</v>
      </c>
      <c r="P32" s="575">
        <f t="shared" ref="P32:Z32" si="29">IF(P$6="Forecast",2000,0)</f>
        <v>0</v>
      </c>
      <c r="Q32" s="575">
        <f t="shared" si="29"/>
        <v>0</v>
      </c>
      <c r="R32" s="575">
        <f t="shared" si="29"/>
        <v>0</v>
      </c>
      <c r="S32" s="575">
        <f t="shared" si="29"/>
        <v>0</v>
      </c>
      <c r="T32" s="575">
        <f t="shared" si="29"/>
        <v>0</v>
      </c>
      <c r="U32" s="575">
        <f t="shared" si="29"/>
        <v>0</v>
      </c>
      <c r="V32" s="575">
        <f t="shared" si="29"/>
        <v>0</v>
      </c>
      <c r="W32" s="575">
        <f t="shared" si="29"/>
        <v>0</v>
      </c>
      <c r="X32" s="575">
        <f t="shared" si="29"/>
        <v>0</v>
      </c>
      <c r="Y32" s="575">
        <f t="shared" si="29"/>
        <v>0</v>
      </c>
      <c r="Z32" s="575">
        <f t="shared" si="29"/>
        <v>0</v>
      </c>
      <c r="AA32" s="575">
        <f>IF(AA$6="Forecast",20000,0)</f>
        <v>0</v>
      </c>
      <c r="AB32" s="575">
        <f t="shared" ref="AB32:AL32" si="30">IF(AB$6="Forecast",20000,0)</f>
        <v>0</v>
      </c>
      <c r="AC32" s="575">
        <f t="shared" si="30"/>
        <v>0</v>
      </c>
      <c r="AD32" s="575">
        <f t="shared" si="30"/>
        <v>20000</v>
      </c>
      <c r="AE32" s="575">
        <f t="shared" si="30"/>
        <v>20000</v>
      </c>
      <c r="AF32" s="575">
        <f t="shared" si="30"/>
        <v>20000</v>
      </c>
      <c r="AG32" s="575">
        <f t="shared" si="30"/>
        <v>20000</v>
      </c>
      <c r="AH32" s="575">
        <f t="shared" si="30"/>
        <v>20000</v>
      </c>
      <c r="AI32" s="575">
        <f t="shared" si="30"/>
        <v>20000</v>
      </c>
      <c r="AJ32" s="575">
        <f t="shared" si="30"/>
        <v>20000</v>
      </c>
      <c r="AK32" s="575">
        <f t="shared" si="30"/>
        <v>20000</v>
      </c>
      <c r="AL32" s="575">
        <f t="shared" si="30"/>
        <v>20000</v>
      </c>
      <c r="AM32" s="575">
        <f t="shared" ref="AM32:BV32" si="31">IF(AM$6="Forecast",10000,0)</f>
        <v>10000</v>
      </c>
      <c r="AN32" s="575">
        <f t="shared" si="31"/>
        <v>10000</v>
      </c>
      <c r="AO32" s="575">
        <f t="shared" si="31"/>
        <v>10000</v>
      </c>
      <c r="AP32" s="575">
        <f t="shared" si="31"/>
        <v>10000</v>
      </c>
      <c r="AQ32" s="575">
        <f t="shared" si="31"/>
        <v>10000</v>
      </c>
      <c r="AR32" s="575">
        <f t="shared" si="31"/>
        <v>10000</v>
      </c>
      <c r="AS32" s="575">
        <f t="shared" si="31"/>
        <v>10000</v>
      </c>
      <c r="AT32" s="575">
        <f t="shared" si="31"/>
        <v>10000</v>
      </c>
      <c r="AU32" s="575">
        <f t="shared" si="31"/>
        <v>10000</v>
      </c>
      <c r="AV32" s="575">
        <f t="shared" si="31"/>
        <v>10000</v>
      </c>
      <c r="AW32" s="575">
        <f t="shared" si="31"/>
        <v>10000</v>
      </c>
      <c r="AX32" s="575">
        <f t="shared" si="31"/>
        <v>10000</v>
      </c>
      <c r="AY32" s="575">
        <f t="shared" si="31"/>
        <v>10000</v>
      </c>
      <c r="AZ32" s="575">
        <f t="shared" si="31"/>
        <v>10000</v>
      </c>
      <c r="BA32" s="575">
        <f t="shared" si="31"/>
        <v>10000</v>
      </c>
      <c r="BB32" s="575">
        <f t="shared" si="31"/>
        <v>10000</v>
      </c>
      <c r="BC32" s="575">
        <f t="shared" si="31"/>
        <v>10000</v>
      </c>
      <c r="BD32" s="575">
        <f t="shared" si="31"/>
        <v>10000</v>
      </c>
      <c r="BE32" s="575">
        <f t="shared" si="31"/>
        <v>10000</v>
      </c>
      <c r="BF32" s="575">
        <f t="shared" si="31"/>
        <v>10000</v>
      </c>
      <c r="BG32" s="575">
        <f t="shared" si="31"/>
        <v>10000</v>
      </c>
      <c r="BH32" s="575">
        <f t="shared" si="31"/>
        <v>10000</v>
      </c>
      <c r="BI32" s="575">
        <f t="shared" si="31"/>
        <v>10000</v>
      </c>
      <c r="BJ32" s="575">
        <f t="shared" si="31"/>
        <v>10000</v>
      </c>
      <c r="BK32" s="575">
        <f t="shared" si="31"/>
        <v>10000</v>
      </c>
      <c r="BL32" s="575">
        <f t="shared" si="31"/>
        <v>10000</v>
      </c>
      <c r="BM32" s="575">
        <f t="shared" si="31"/>
        <v>10000</v>
      </c>
      <c r="BN32" s="575">
        <f t="shared" si="31"/>
        <v>10000</v>
      </c>
      <c r="BO32" s="575">
        <f t="shared" si="31"/>
        <v>10000</v>
      </c>
      <c r="BP32" s="575">
        <f t="shared" si="31"/>
        <v>10000</v>
      </c>
      <c r="BQ32" s="575">
        <f t="shared" si="31"/>
        <v>10000</v>
      </c>
      <c r="BR32" s="575">
        <f t="shared" si="31"/>
        <v>10000</v>
      </c>
      <c r="BS32" s="575">
        <f t="shared" si="31"/>
        <v>10000</v>
      </c>
      <c r="BT32" s="575">
        <f t="shared" si="31"/>
        <v>10000</v>
      </c>
      <c r="BU32" s="575">
        <f t="shared" si="31"/>
        <v>10000</v>
      </c>
      <c r="BV32" s="575">
        <f t="shared" si="31"/>
        <v>10000</v>
      </c>
    </row>
    <row r="33" spans="2:74" x14ac:dyDescent="0.25">
      <c r="B33" s="984" t="s">
        <v>25</v>
      </c>
      <c r="C33" s="575"/>
      <c r="D33" s="575"/>
      <c r="E33" s="575"/>
      <c r="F33" s="575"/>
      <c r="G33" s="575"/>
      <c r="H33" s="575"/>
      <c r="I33" s="575"/>
      <c r="J33" s="575"/>
      <c r="K33" s="575"/>
      <c r="L33" s="575"/>
      <c r="M33" s="575"/>
      <c r="N33" s="575"/>
      <c r="O33" s="575">
        <f>IF(O$6="Forecast",2500+3605,0)</f>
        <v>0</v>
      </c>
      <c r="P33" s="575">
        <f t="shared" ref="P33:BV33" si="32">IF(P$6="Forecast",2500+3605,0)</f>
        <v>0</v>
      </c>
      <c r="Q33" s="575">
        <f t="shared" si="32"/>
        <v>0</v>
      </c>
      <c r="R33" s="575">
        <f t="shared" si="32"/>
        <v>0</v>
      </c>
      <c r="S33" s="575">
        <f t="shared" si="32"/>
        <v>0</v>
      </c>
      <c r="T33" s="575">
        <f t="shared" si="32"/>
        <v>0</v>
      </c>
      <c r="U33" s="575">
        <f t="shared" si="32"/>
        <v>0</v>
      </c>
      <c r="V33" s="575">
        <f t="shared" si="32"/>
        <v>0</v>
      </c>
      <c r="W33" s="575">
        <f t="shared" si="32"/>
        <v>0</v>
      </c>
      <c r="X33" s="575">
        <f t="shared" si="32"/>
        <v>0</v>
      </c>
      <c r="Y33" s="575">
        <f t="shared" si="32"/>
        <v>0</v>
      </c>
      <c r="Z33" s="575">
        <f t="shared" si="32"/>
        <v>0</v>
      </c>
      <c r="AA33" s="575">
        <f t="shared" si="32"/>
        <v>0</v>
      </c>
      <c r="AB33" s="575">
        <f t="shared" si="32"/>
        <v>0</v>
      </c>
      <c r="AC33" s="575">
        <f t="shared" si="32"/>
        <v>0</v>
      </c>
      <c r="AD33" s="575">
        <f t="shared" si="32"/>
        <v>6105</v>
      </c>
      <c r="AE33" s="575">
        <f t="shared" si="32"/>
        <v>6105</v>
      </c>
      <c r="AF33" s="575">
        <f t="shared" si="32"/>
        <v>6105</v>
      </c>
      <c r="AG33" s="575">
        <f t="shared" si="32"/>
        <v>6105</v>
      </c>
      <c r="AH33" s="575">
        <f t="shared" si="32"/>
        <v>6105</v>
      </c>
      <c r="AI33" s="575">
        <f t="shared" si="32"/>
        <v>6105</v>
      </c>
      <c r="AJ33" s="575">
        <f t="shared" si="32"/>
        <v>6105</v>
      </c>
      <c r="AK33" s="575">
        <f t="shared" si="32"/>
        <v>6105</v>
      </c>
      <c r="AL33" s="575">
        <f t="shared" si="32"/>
        <v>6105</v>
      </c>
      <c r="AM33" s="575">
        <f t="shared" si="32"/>
        <v>6105</v>
      </c>
      <c r="AN33" s="575">
        <f t="shared" si="32"/>
        <v>6105</v>
      </c>
      <c r="AO33" s="575">
        <f t="shared" si="32"/>
        <v>6105</v>
      </c>
      <c r="AP33" s="575">
        <f t="shared" si="32"/>
        <v>6105</v>
      </c>
      <c r="AQ33" s="575">
        <f t="shared" si="32"/>
        <v>6105</v>
      </c>
      <c r="AR33" s="575">
        <f t="shared" si="32"/>
        <v>6105</v>
      </c>
      <c r="AS33" s="575">
        <f t="shared" si="32"/>
        <v>6105</v>
      </c>
      <c r="AT33" s="575">
        <f t="shared" si="32"/>
        <v>6105</v>
      </c>
      <c r="AU33" s="575">
        <f t="shared" si="32"/>
        <v>6105</v>
      </c>
      <c r="AV33" s="575">
        <f t="shared" si="32"/>
        <v>6105</v>
      </c>
      <c r="AW33" s="575">
        <f t="shared" si="32"/>
        <v>6105</v>
      </c>
      <c r="AX33" s="575">
        <f t="shared" si="32"/>
        <v>6105</v>
      </c>
      <c r="AY33" s="575">
        <f t="shared" si="32"/>
        <v>6105</v>
      </c>
      <c r="AZ33" s="575">
        <f t="shared" si="32"/>
        <v>6105</v>
      </c>
      <c r="BA33" s="575">
        <f t="shared" si="32"/>
        <v>6105</v>
      </c>
      <c r="BB33" s="575">
        <f t="shared" si="32"/>
        <v>6105</v>
      </c>
      <c r="BC33" s="575">
        <f t="shared" si="32"/>
        <v>6105</v>
      </c>
      <c r="BD33" s="575">
        <f t="shared" si="32"/>
        <v>6105</v>
      </c>
      <c r="BE33" s="575">
        <f t="shared" si="32"/>
        <v>6105</v>
      </c>
      <c r="BF33" s="575">
        <f t="shared" si="32"/>
        <v>6105</v>
      </c>
      <c r="BG33" s="575">
        <f t="shared" si="32"/>
        <v>6105</v>
      </c>
      <c r="BH33" s="575">
        <f t="shared" si="32"/>
        <v>6105</v>
      </c>
      <c r="BI33" s="575">
        <f t="shared" si="32"/>
        <v>6105</v>
      </c>
      <c r="BJ33" s="575">
        <f t="shared" si="32"/>
        <v>6105</v>
      </c>
      <c r="BK33" s="575">
        <f t="shared" si="32"/>
        <v>6105</v>
      </c>
      <c r="BL33" s="575">
        <f t="shared" si="32"/>
        <v>6105</v>
      </c>
      <c r="BM33" s="575">
        <f t="shared" si="32"/>
        <v>6105</v>
      </c>
      <c r="BN33" s="575">
        <f t="shared" si="32"/>
        <v>6105</v>
      </c>
      <c r="BO33" s="575">
        <f t="shared" si="32"/>
        <v>6105</v>
      </c>
      <c r="BP33" s="575">
        <f t="shared" si="32"/>
        <v>6105</v>
      </c>
      <c r="BQ33" s="575">
        <f t="shared" si="32"/>
        <v>6105</v>
      </c>
      <c r="BR33" s="575">
        <f t="shared" si="32"/>
        <v>6105</v>
      </c>
      <c r="BS33" s="575">
        <f t="shared" si="32"/>
        <v>6105</v>
      </c>
      <c r="BT33" s="575">
        <f t="shared" si="32"/>
        <v>6105</v>
      </c>
      <c r="BU33" s="575">
        <f t="shared" si="32"/>
        <v>6105</v>
      </c>
      <c r="BV33" s="575">
        <f t="shared" si="32"/>
        <v>6105</v>
      </c>
    </row>
    <row r="34" spans="2:74" x14ac:dyDescent="0.25">
      <c r="B34" s="984" t="s">
        <v>26</v>
      </c>
      <c r="C34" s="575"/>
      <c r="D34" s="575"/>
      <c r="E34" s="575"/>
      <c r="F34" s="575"/>
      <c r="G34" s="575"/>
      <c r="H34" s="575"/>
      <c r="I34" s="575"/>
      <c r="J34" s="575"/>
      <c r="K34" s="575"/>
      <c r="L34" s="575"/>
      <c r="M34" s="575"/>
      <c r="N34" s="575"/>
      <c r="O34" s="575">
        <f>IF(O$6="Forecast",2500+600,0)</f>
        <v>0</v>
      </c>
      <c r="P34" s="575">
        <f t="shared" ref="P34:BV34" si="33">IF(P$6="Forecast",2500+600,0)</f>
        <v>0</v>
      </c>
      <c r="Q34" s="575">
        <f t="shared" si="33"/>
        <v>0</v>
      </c>
      <c r="R34" s="575">
        <f t="shared" si="33"/>
        <v>0</v>
      </c>
      <c r="S34" s="575">
        <f t="shared" si="33"/>
        <v>0</v>
      </c>
      <c r="T34" s="575">
        <f t="shared" si="33"/>
        <v>0</v>
      </c>
      <c r="U34" s="575">
        <f t="shared" si="33"/>
        <v>0</v>
      </c>
      <c r="V34" s="575">
        <f t="shared" si="33"/>
        <v>0</v>
      </c>
      <c r="W34" s="575">
        <f t="shared" si="33"/>
        <v>0</v>
      </c>
      <c r="X34" s="575">
        <f t="shared" si="33"/>
        <v>0</v>
      </c>
      <c r="Y34" s="575">
        <f t="shared" si="33"/>
        <v>0</v>
      </c>
      <c r="Z34" s="575">
        <f t="shared" si="33"/>
        <v>0</v>
      </c>
      <c r="AA34" s="575">
        <f t="shared" si="33"/>
        <v>0</v>
      </c>
      <c r="AB34" s="575">
        <f t="shared" si="33"/>
        <v>0</v>
      </c>
      <c r="AC34" s="575">
        <f t="shared" si="33"/>
        <v>0</v>
      </c>
      <c r="AD34" s="575">
        <f t="shared" si="33"/>
        <v>3100</v>
      </c>
      <c r="AE34" s="575">
        <f t="shared" si="33"/>
        <v>3100</v>
      </c>
      <c r="AF34" s="575">
        <f t="shared" si="33"/>
        <v>3100</v>
      </c>
      <c r="AG34" s="575">
        <f t="shared" si="33"/>
        <v>3100</v>
      </c>
      <c r="AH34" s="575">
        <f t="shared" si="33"/>
        <v>3100</v>
      </c>
      <c r="AI34" s="575">
        <f t="shared" si="33"/>
        <v>3100</v>
      </c>
      <c r="AJ34" s="575">
        <f t="shared" si="33"/>
        <v>3100</v>
      </c>
      <c r="AK34" s="575">
        <f t="shared" si="33"/>
        <v>3100</v>
      </c>
      <c r="AL34" s="575">
        <f t="shared" si="33"/>
        <v>3100</v>
      </c>
      <c r="AM34" s="575">
        <f t="shared" si="33"/>
        <v>3100</v>
      </c>
      <c r="AN34" s="575">
        <f t="shared" si="33"/>
        <v>3100</v>
      </c>
      <c r="AO34" s="575">
        <f t="shared" si="33"/>
        <v>3100</v>
      </c>
      <c r="AP34" s="575">
        <f t="shared" si="33"/>
        <v>3100</v>
      </c>
      <c r="AQ34" s="575">
        <f t="shared" si="33"/>
        <v>3100</v>
      </c>
      <c r="AR34" s="575">
        <f t="shared" si="33"/>
        <v>3100</v>
      </c>
      <c r="AS34" s="575">
        <f t="shared" si="33"/>
        <v>3100</v>
      </c>
      <c r="AT34" s="575">
        <f t="shared" si="33"/>
        <v>3100</v>
      </c>
      <c r="AU34" s="575">
        <f t="shared" si="33"/>
        <v>3100</v>
      </c>
      <c r="AV34" s="575">
        <f t="shared" si="33"/>
        <v>3100</v>
      </c>
      <c r="AW34" s="575">
        <f t="shared" si="33"/>
        <v>3100</v>
      </c>
      <c r="AX34" s="575">
        <f t="shared" si="33"/>
        <v>3100</v>
      </c>
      <c r="AY34" s="575">
        <f t="shared" si="33"/>
        <v>3100</v>
      </c>
      <c r="AZ34" s="575">
        <f t="shared" si="33"/>
        <v>3100</v>
      </c>
      <c r="BA34" s="575">
        <f t="shared" si="33"/>
        <v>3100</v>
      </c>
      <c r="BB34" s="575">
        <f t="shared" si="33"/>
        <v>3100</v>
      </c>
      <c r="BC34" s="575">
        <f t="shared" si="33"/>
        <v>3100</v>
      </c>
      <c r="BD34" s="575">
        <f t="shared" si="33"/>
        <v>3100</v>
      </c>
      <c r="BE34" s="575">
        <f t="shared" si="33"/>
        <v>3100</v>
      </c>
      <c r="BF34" s="575">
        <f t="shared" si="33"/>
        <v>3100</v>
      </c>
      <c r="BG34" s="575">
        <f t="shared" si="33"/>
        <v>3100</v>
      </c>
      <c r="BH34" s="575">
        <f t="shared" si="33"/>
        <v>3100</v>
      </c>
      <c r="BI34" s="575">
        <f t="shared" si="33"/>
        <v>3100</v>
      </c>
      <c r="BJ34" s="575">
        <f t="shared" si="33"/>
        <v>3100</v>
      </c>
      <c r="BK34" s="575">
        <f t="shared" si="33"/>
        <v>3100</v>
      </c>
      <c r="BL34" s="575">
        <f t="shared" si="33"/>
        <v>3100</v>
      </c>
      <c r="BM34" s="575">
        <f t="shared" si="33"/>
        <v>3100</v>
      </c>
      <c r="BN34" s="575">
        <f t="shared" si="33"/>
        <v>3100</v>
      </c>
      <c r="BO34" s="575">
        <f t="shared" si="33"/>
        <v>3100</v>
      </c>
      <c r="BP34" s="575">
        <f t="shared" si="33"/>
        <v>3100</v>
      </c>
      <c r="BQ34" s="575">
        <f t="shared" si="33"/>
        <v>3100</v>
      </c>
      <c r="BR34" s="575">
        <f t="shared" si="33"/>
        <v>3100</v>
      </c>
      <c r="BS34" s="575">
        <f t="shared" si="33"/>
        <v>3100</v>
      </c>
      <c r="BT34" s="575">
        <f t="shared" si="33"/>
        <v>3100</v>
      </c>
      <c r="BU34" s="575">
        <f t="shared" si="33"/>
        <v>3100</v>
      </c>
      <c r="BV34" s="575">
        <f t="shared" si="33"/>
        <v>3100</v>
      </c>
    </row>
    <row r="35" spans="2:74" x14ac:dyDescent="0.25">
      <c r="B35" s="984" t="s">
        <v>27</v>
      </c>
      <c r="C35" s="575"/>
      <c r="D35" s="575"/>
      <c r="E35" s="575"/>
      <c r="F35" s="575"/>
      <c r="G35" s="575"/>
      <c r="H35" s="575"/>
      <c r="I35" s="575"/>
      <c r="J35" s="575"/>
      <c r="K35" s="575"/>
      <c r="L35" s="575"/>
      <c r="M35" s="575"/>
      <c r="N35" s="575"/>
      <c r="O35" s="575">
        <f>IF(O$6="Forecast",1000,0)</f>
        <v>0</v>
      </c>
      <c r="P35" s="575">
        <f t="shared" ref="P35:BV35" si="34">IF(P$6="Forecast",1000,0)</f>
        <v>0</v>
      </c>
      <c r="Q35" s="575">
        <f t="shared" si="34"/>
        <v>0</v>
      </c>
      <c r="R35" s="575">
        <f t="shared" si="34"/>
        <v>0</v>
      </c>
      <c r="S35" s="575">
        <f t="shared" si="34"/>
        <v>0</v>
      </c>
      <c r="T35" s="575">
        <f t="shared" si="34"/>
        <v>0</v>
      </c>
      <c r="U35" s="575">
        <f t="shared" si="34"/>
        <v>0</v>
      </c>
      <c r="V35" s="575">
        <f t="shared" si="34"/>
        <v>0</v>
      </c>
      <c r="W35" s="575">
        <f t="shared" si="34"/>
        <v>0</v>
      </c>
      <c r="X35" s="575">
        <f t="shared" si="34"/>
        <v>0</v>
      </c>
      <c r="Y35" s="575">
        <f t="shared" si="34"/>
        <v>0</v>
      </c>
      <c r="Z35" s="575">
        <f t="shared" si="34"/>
        <v>0</v>
      </c>
      <c r="AA35" s="575">
        <f t="shared" si="34"/>
        <v>0</v>
      </c>
      <c r="AB35" s="575">
        <f t="shared" si="34"/>
        <v>0</v>
      </c>
      <c r="AC35" s="575">
        <f t="shared" si="34"/>
        <v>0</v>
      </c>
      <c r="AD35" s="575">
        <f t="shared" si="34"/>
        <v>1000</v>
      </c>
      <c r="AE35" s="575">
        <f t="shared" si="34"/>
        <v>1000</v>
      </c>
      <c r="AF35" s="575">
        <f t="shared" si="34"/>
        <v>1000</v>
      </c>
      <c r="AG35" s="575">
        <f t="shared" si="34"/>
        <v>1000</v>
      </c>
      <c r="AH35" s="575">
        <f t="shared" si="34"/>
        <v>1000</v>
      </c>
      <c r="AI35" s="575">
        <f t="shared" si="34"/>
        <v>1000</v>
      </c>
      <c r="AJ35" s="575">
        <f t="shared" si="34"/>
        <v>1000</v>
      </c>
      <c r="AK35" s="575">
        <f t="shared" si="34"/>
        <v>1000</v>
      </c>
      <c r="AL35" s="575">
        <f t="shared" si="34"/>
        <v>1000</v>
      </c>
      <c r="AM35" s="575">
        <f t="shared" si="34"/>
        <v>1000</v>
      </c>
      <c r="AN35" s="575">
        <f t="shared" si="34"/>
        <v>1000</v>
      </c>
      <c r="AO35" s="575">
        <f t="shared" si="34"/>
        <v>1000</v>
      </c>
      <c r="AP35" s="575">
        <f t="shared" si="34"/>
        <v>1000</v>
      </c>
      <c r="AQ35" s="575">
        <f t="shared" si="34"/>
        <v>1000</v>
      </c>
      <c r="AR35" s="575">
        <f t="shared" si="34"/>
        <v>1000</v>
      </c>
      <c r="AS35" s="575">
        <f t="shared" si="34"/>
        <v>1000</v>
      </c>
      <c r="AT35" s="575">
        <f t="shared" si="34"/>
        <v>1000</v>
      </c>
      <c r="AU35" s="575">
        <f t="shared" si="34"/>
        <v>1000</v>
      </c>
      <c r="AV35" s="575">
        <f t="shared" si="34"/>
        <v>1000</v>
      </c>
      <c r="AW35" s="575">
        <f t="shared" si="34"/>
        <v>1000</v>
      </c>
      <c r="AX35" s="575">
        <f t="shared" si="34"/>
        <v>1000</v>
      </c>
      <c r="AY35" s="575">
        <f t="shared" si="34"/>
        <v>1000</v>
      </c>
      <c r="AZ35" s="575">
        <f t="shared" si="34"/>
        <v>1000</v>
      </c>
      <c r="BA35" s="575">
        <f t="shared" si="34"/>
        <v>1000</v>
      </c>
      <c r="BB35" s="575">
        <f t="shared" si="34"/>
        <v>1000</v>
      </c>
      <c r="BC35" s="575">
        <f t="shared" si="34"/>
        <v>1000</v>
      </c>
      <c r="BD35" s="575">
        <f t="shared" si="34"/>
        <v>1000</v>
      </c>
      <c r="BE35" s="575">
        <f t="shared" si="34"/>
        <v>1000</v>
      </c>
      <c r="BF35" s="575">
        <f t="shared" si="34"/>
        <v>1000</v>
      </c>
      <c r="BG35" s="575">
        <f t="shared" si="34"/>
        <v>1000</v>
      </c>
      <c r="BH35" s="575">
        <f t="shared" si="34"/>
        <v>1000</v>
      </c>
      <c r="BI35" s="575">
        <f t="shared" si="34"/>
        <v>1000</v>
      </c>
      <c r="BJ35" s="575">
        <f t="shared" si="34"/>
        <v>1000</v>
      </c>
      <c r="BK35" s="575">
        <f t="shared" si="34"/>
        <v>1000</v>
      </c>
      <c r="BL35" s="575">
        <f t="shared" si="34"/>
        <v>1000</v>
      </c>
      <c r="BM35" s="575">
        <f t="shared" si="34"/>
        <v>1000</v>
      </c>
      <c r="BN35" s="575">
        <f t="shared" si="34"/>
        <v>1000</v>
      </c>
      <c r="BO35" s="575">
        <f t="shared" si="34"/>
        <v>1000</v>
      </c>
      <c r="BP35" s="575">
        <f t="shared" si="34"/>
        <v>1000</v>
      </c>
      <c r="BQ35" s="575">
        <f t="shared" si="34"/>
        <v>1000</v>
      </c>
      <c r="BR35" s="575">
        <f t="shared" si="34"/>
        <v>1000</v>
      </c>
      <c r="BS35" s="575">
        <f t="shared" si="34"/>
        <v>1000</v>
      </c>
      <c r="BT35" s="575">
        <f t="shared" si="34"/>
        <v>1000</v>
      </c>
      <c r="BU35" s="575">
        <f t="shared" si="34"/>
        <v>1000</v>
      </c>
      <c r="BV35" s="575">
        <f t="shared" si="34"/>
        <v>1000</v>
      </c>
    </row>
    <row r="36" spans="2:74" x14ac:dyDescent="0.25">
      <c r="B36" s="984" t="s">
        <v>47</v>
      </c>
      <c r="C36" s="575"/>
      <c r="D36" s="575"/>
      <c r="E36" s="575"/>
      <c r="F36" s="575"/>
      <c r="G36" s="575"/>
      <c r="H36" s="575"/>
      <c r="I36" s="575"/>
      <c r="J36" s="575"/>
      <c r="K36" s="575"/>
      <c r="L36" s="575"/>
      <c r="M36" s="575"/>
      <c r="N36" s="575"/>
      <c r="O36" s="575">
        <f>IF(O$6="Forecast",20000,0)</f>
        <v>0</v>
      </c>
      <c r="P36" s="575">
        <f t="shared" ref="P36:Z36" si="35">IF(P$6="Forecast",20000,0)</f>
        <v>0</v>
      </c>
      <c r="Q36" s="575">
        <f t="shared" si="35"/>
        <v>0</v>
      </c>
      <c r="R36" s="575">
        <f t="shared" si="35"/>
        <v>0</v>
      </c>
      <c r="S36" s="575">
        <f t="shared" si="35"/>
        <v>0</v>
      </c>
      <c r="T36" s="575">
        <f t="shared" si="35"/>
        <v>0</v>
      </c>
      <c r="U36" s="575">
        <f t="shared" si="35"/>
        <v>0</v>
      </c>
      <c r="V36" s="575">
        <f t="shared" si="35"/>
        <v>0</v>
      </c>
      <c r="W36" s="575">
        <f t="shared" si="35"/>
        <v>0</v>
      </c>
      <c r="X36" s="575">
        <f t="shared" si="35"/>
        <v>0</v>
      </c>
      <c r="Y36" s="575">
        <f t="shared" si="35"/>
        <v>0</v>
      </c>
      <c r="Z36" s="575">
        <f t="shared" si="35"/>
        <v>0</v>
      </c>
      <c r="AA36" s="575">
        <f>IF(AA$6="Forecast",40000,0)</f>
        <v>0</v>
      </c>
      <c r="AB36" s="575">
        <f>IF(AB$6="Forecast",43000,0)</f>
        <v>0</v>
      </c>
      <c r="AC36" s="575">
        <f t="shared" ref="AC36:BV36" si="36">IF(AC$6="Forecast",43000,0)</f>
        <v>0</v>
      </c>
      <c r="AD36" s="575">
        <f t="shared" si="36"/>
        <v>43000</v>
      </c>
      <c r="AE36" s="575">
        <f t="shared" si="36"/>
        <v>43000</v>
      </c>
      <c r="AF36" s="575">
        <f t="shared" si="36"/>
        <v>43000</v>
      </c>
      <c r="AG36" s="575">
        <f t="shared" si="36"/>
        <v>43000</v>
      </c>
      <c r="AH36" s="575">
        <f t="shared" si="36"/>
        <v>43000</v>
      </c>
      <c r="AI36" s="575">
        <f t="shared" si="36"/>
        <v>43000</v>
      </c>
      <c r="AJ36" s="575">
        <f t="shared" si="36"/>
        <v>43000</v>
      </c>
      <c r="AK36" s="575">
        <f t="shared" si="36"/>
        <v>43000</v>
      </c>
      <c r="AL36" s="575">
        <f t="shared" si="36"/>
        <v>43000</v>
      </c>
      <c r="AM36" s="575">
        <f t="shared" si="36"/>
        <v>43000</v>
      </c>
      <c r="AN36" s="575">
        <f t="shared" si="36"/>
        <v>43000</v>
      </c>
      <c r="AO36" s="575">
        <f t="shared" si="36"/>
        <v>43000</v>
      </c>
      <c r="AP36" s="575">
        <f t="shared" si="36"/>
        <v>43000</v>
      </c>
      <c r="AQ36" s="575">
        <f t="shared" si="36"/>
        <v>43000</v>
      </c>
      <c r="AR36" s="575">
        <f t="shared" si="36"/>
        <v>43000</v>
      </c>
      <c r="AS36" s="575">
        <f t="shared" si="36"/>
        <v>43000</v>
      </c>
      <c r="AT36" s="575">
        <f t="shared" si="36"/>
        <v>43000</v>
      </c>
      <c r="AU36" s="575">
        <f t="shared" si="36"/>
        <v>43000</v>
      </c>
      <c r="AV36" s="575">
        <f t="shared" si="36"/>
        <v>43000</v>
      </c>
      <c r="AW36" s="575">
        <f t="shared" si="36"/>
        <v>43000</v>
      </c>
      <c r="AX36" s="575">
        <f t="shared" si="36"/>
        <v>43000</v>
      </c>
      <c r="AY36" s="575">
        <f t="shared" si="36"/>
        <v>43000</v>
      </c>
      <c r="AZ36" s="575">
        <f t="shared" si="36"/>
        <v>43000</v>
      </c>
      <c r="BA36" s="575">
        <f t="shared" si="36"/>
        <v>43000</v>
      </c>
      <c r="BB36" s="575">
        <f t="shared" si="36"/>
        <v>43000</v>
      </c>
      <c r="BC36" s="575">
        <f t="shared" si="36"/>
        <v>43000</v>
      </c>
      <c r="BD36" s="575">
        <f t="shared" si="36"/>
        <v>43000</v>
      </c>
      <c r="BE36" s="575">
        <f t="shared" si="36"/>
        <v>43000</v>
      </c>
      <c r="BF36" s="575">
        <f t="shared" si="36"/>
        <v>43000</v>
      </c>
      <c r="BG36" s="575">
        <f t="shared" si="36"/>
        <v>43000</v>
      </c>
      <c r="BH36" s="575">
        <f t="shared" si="36"/>
        <v>43000</v>
      </c>
      <c r="BI36" s="575">
        <f t="shared" si="36"/>
        <v>43000</v>
      </c>
      <c r="BJ36" s="575">
        <f t="shared" si="36"/>
        <v>43000</v>
      </c>
      <c r="BK36" s="575">
        <f t="shared" si="36"/>
        <v>43000</v>
      </c>
      <c r="BL36" s="575">
        <f t="shared" si="36"/>
        <v>43000</v>
      </c>
      <c r="BM36" s="575">
        <f t="shared" si="36"/>
        <v>43000</v>
      </c>
      <c r="BN36" s="575">
        <f t="shared" si="36"/>
        <v>43000</v>
      </c>
      <c r="BO36" s="575">
        <f t="shared" si="36"/>
        <v>43000</v>
      </c>
      <c r="BP36" s="575">
        <f t="shared" si="36"/>
        <v>43000</v>
      </c>
      <c r="BQ36" s="575">
        <f t="shared" si="36"/>
        <v>43000</v>
      </c>
      <c r="BR36" s="575">
        <f t="shared" si="36"/>
        <v>43000</v>
      </c>
      <c r="BS36" s="575">
        <f t="shared" si="36"/>
        <v>43000</v>
      </c>
      <c r="BT36" s="575">
        <f t="shared" si="36"/>
        <v>43000</v>
      </c>
      <c r="BU36" s="575">
        <f t="shared" si="36"/>
        <v>43000</v>
      </c>
      <c r="BV36" s="575">
        <f t="shared" si="36"/>
        <v>43000</v>
      </c>
    </row>
    <row r="37" spans="2:74" x14ac:dyDescent="0.25">
      <c r="B37" s="985" t="s">
        <v>28</v>
      </c>
      <c r="C37" s="21">
        <f>IF(C$6="Forecast",0,'Dept. Cost Actuals'!G1573+'Dept. Cost Actuals'!G1395)</f>
        <v>54155.821190000002</v>
      </c>
      <c r="D37" s="21">
        <f>IF(D$6="Forecast",0,'Dept. Cost Actuals'!H1573+'Dept. Cost Actuals'!H1395)</f>
        <v>117062.92675</v>
      </c>
      <c r="E37" s="21">
        <f>IF(E$6="Forecast",0,'Dept. Cost Actuals'!I1573+'Dept. Cost Actuals'!I1395)</f>
        <v>102438.55467</v>
      </c>
      <c r="F37" s="21">
        <f>IF(F$6="Forecast",0,'Dept. Cost Actuals'!J1573+'Dept. Cost Actuals'!J1395)</f>
        <v>88432.521710000001</v>
      </c>
      <c r="G37" s="21">
        <f>IF(G$6="Forecast",0,'Dept. Cost Actuals'!K1573+'Dept. Cost Actuals'!K1395)</f>
        <v>76196.030350000001</v>
      </c>
      <c r="H37" s="21">
        <f>IF(H$6="Forecast",0,'Dept. Cost Actuals'!L1573+'Dept. Cost Actuals'!L1395)</f>
        <v>92144.343420000005</v>
      </c>
      <c r="I37" s="21">
        <f>IF(I$6="Forecast",0,'Dept. Cost Actuals'!M1573+'Dept. Cost Actuals'!M1395)</f>
        <v>136538.98177000001</v>
      </c>
      <c r="J37" s="21">
        <f>IF(J$6="Forecast",0,'Dept. Cost Actuals'!N1573+'Dept. Cost Actuals'!N1395)</f>
        <v>102769.32266000001</v>
      </c>
      <c r="K37" s="21">
        <f>IF(K$6="Forecast",0,'Dept. Cost Actuals'!O1573+'Dept. Cost Actuals'!O1395)</f>
        <v>76459.785610000006</v>
      </c>
      <c r="L37" s="21">
        <f>IF(L$6="Forecast",0,'Dept. Cost Actuals'!P1573+'Dept. Cost Actuals'!P1395)</f>
        <v>283861.12433999998</v>
      </c>
      <c r="M37" s="21">
        <f>IF(M$6="Forecast",0,'Dept. Cost Actuals'!Q1573+'Dept. Cost Actuals'!Q1395)</f>
        <v>163730.92997</v>
      </c>
      <c r="N37" s="21">
        <f>IF(N$6="Forecast",0,'Dept. Cost Actuals'!R1573+'Dept. Cost Actuals'!R1395)</f>
        <v>196870.49114999999</v>
      </c>
      <c r="O37" s="21">
        <f>IF(O$6="Forecast",0,'Dept. Cost Actuals'!S1573+'Dept. Cost Actuals'!S1395)</f>
        <v>82749.41</v>
      </c>
      <c r="P37" s="21">
        <f>IF(P$6="Forecast",0,'Dept. Cost Actuals'!T1573+'Dept. Cost Actuals'!T1395)</f>
        <v>47805.14</v>
      </c>
      <c r="Q37" s="21">
        <f>IF(Q$6="Forecast",0,'Dept. Cost Actuals'!U1573+'Dept. Cost Actuals'!U1395)</f>
        <v>-34371.040000000001</v>
      </c>
      <c r="R37" s="21">
        <f>IF(R$6="Forecast",0,'Dept. Cost Actuals'!V1573+'Dept. Cost Actuals'!V1395)</f>
        <v>46309.1</v>
      </c>
      <c r="S37" s="21">
        <f>IF(S$6="Forecast",0,'Dept. Cost Actuals'!W1573+'Dept. Cost Actuals'!W1395)</f>
        <v>49087.58</v>
      </c>
      <c r="T37" s="21">
        <f>IF(T$6="Forecast",0,'Dept. Cost Actuals'!X1573+'Dept. Cost Actuals'!X1395)</f>
        <v>98654.99</v>
      </c>
      <c r="U37" s="21">
        <f>IF(U$6="Forecast",0,'Dept. Cost Actuals'!Y1573+'Dept. Cost Actuals'!Y1395)</f>
        <v>86600.91</v>
      </c>
      <c r="V37" s="21">
        <f>IF(V$6="Forecast",0,'Dept. Cost Actuals'!Z1573+'Dept. Cost Actuals'!Z1395)</f>
        <v>67998.14</v>
      </c>
      <c r="W37" s="21">
        <f>IF(W$6="Forecast",0,'Dept. Cost Actuals'!AA1573+'Dept. Cost Actuals'!AA1395)</f>
        <v>101127.73</v>
      </c>
      <c r="X37" s="21">
        <f>IF(X$6="Forecast",0,'Dept. Cost Actuals'!AB1573+'Dept. Cost Actuals'!AB1395)</f>
        <v>163591.07999999999</v>
      </c>
      <c r="Y37" s="21">
        <f>IF(Y$6="Forecast",0,'Dept. Cost Actuals'!AC1573+'Dept. Cost Actuals'!AC1395)</f>
        <v>76076.22</v>
      </c>
      <c r="Z37" s="21">
        <f>IF(Z$6="Forecast",0,'Dept. Cost Actuals'!AD1573+'Dept. Cost Actuals'!AD1395)</f>
        <v>119617.69</v>
      </c>
      <c r="AA37" s="21">
        <f>IF(AA$6="Forecast",100000/12,'Dept. Cost Actuals'!AE1573+'Dept. Cost Actuals'!AE1395)</f>
        <v>129800.1</v>
      </c>
      <c r="AB37" s="21">
        <f>IF(AB$6="Forecast",100000/12 +10000,'Dept. Cost Actuals'!AF1573+'Dept. Cost Actuals'!AF1395)</f>
        <v>119451.57</v>
      </c>
      <c r="AC37" s="21">
        <f>IF(AC$6="Forecast",100000/12 +10000,'Dept. Cost Actuals'!AG1573+'Dept. Cost Actuals'!AG1395)</f>
        <v>126341.54</v>
      </c>
      <c r="AD37" s="21">
        <f>IF(AD$6="Forecast",100000/12 +10000,'Dept. Cost Actuals'!AH1573+'Dept. Cost Actuals'!AH1395)</f>
        <v>18333.333333333336</v>
      </c>
      <c r="AE37" s="21">
        <f>IF(AE$6="Forecast",100000/12 +10000,'Dept. Cost Actuals'!AI1573+'Dept. Cost Actuals'!AI1395)</f>
        <v>18333.333333333336</v>
      </c>
      <c r="AF37" s="21">
        <f>IF(AF$6="Forecast",100000/12 +10000,'Dept. Cost Actuals'!AJ1573+'Dept. Cost Actuals'!AJ1395)</f>
        <v>18333.333333333336</v>
      </c>
      <c r="AG37" s="21">
        <f>IF(AG$6="Forecast",100000/12 +10000,'Dept. Cost Actuals'!AK1573+'Dept. Cost Actuals'!AK1395)</f>
        <v>18333.333333333336</v>
      </c>
      <c r="AH37" s="21">
        <f>IF(AH$6="Forecast",100000/12 +10000,'Dept. Cost Actuals'!AL1573+'Dept. Cost Actuals'!AL1395)</f>
        <v>18333.333333333336</v>
      </c>
      <c r="AI37" s="21">
        <f>IF(AI$6="Forecast",100000/12 +10000,'Dept. Cost Actuals'!AM1573+'Dept. Cost Actuals'!AM1395)</f>
        <v>18333.333333333336</v>
      </c>
      <c r="AJ37" s="21">
        <f>IF(AJ$6="Forecast",100000/12 +10000,'Dept. Cost Actuals'!AN1573+'Dept. Cost Actuals'!AN1395)</f>
        <v>18333.333333333336</v>
      </c>
      <c r="AK37" s="21">
        <f>IF(AK$6="Forecast",100000/12 +10000,'Dept. Cost Actuals'!AO1573+'Dept. Cost Actuals'!AO1395)</f>
        <v>18333.333333333336</v>
      </c>
      <c r="AL37" s="21">
        <f>IF(AL$6="Forecast",100000/12 +10000,'Dept. Cost Actuals'!AP1573+'Dept. Cost Actuals'!AP1395)</f>
        <v>18333.333333333336</v>
      </c>
      <c r="AM37" s="21">
        <f>IF(AM$6="Forecast",100000/12 +10000,'Dept. Cost Actuals'!AQ1573+'Dept. Cost Actuals'!AQ1395)</f>
        <v>18333.333333333336</v>
      </c>
      <c r="AN37" s="21">
        <f>IF(AN$6="Forecast",100000/12 +10000,'Dept. Cost Actuals'!AR1573+'Dept. Cost Actuals'!AR1395)</f>
        <v>18333.333333333336</v>
      </c>
      <c r="AO37" s="21">
        <f>IF(AO$6="Forecast",100000/12 +10000,'Dept. Cost Actuals'!AS1573+'Dept. Cost Actuals'!AS1395)</f>
        <v>18333.333333333336</v>
      </c>
      <c r="AP37" s="21">
        <f>IF(AP$6="Forecast",100000/12 +10000,'Dept. Cost Actuals'!AT1573+'Dept. Cost Actuals'!AT1395)</f>
        <v>18333.333333333336</v>
      </c>
      <c r="AQ37" s="21">
        <f>IF(AQ$6="Forecast",100000/12 +10000,'Dept. Cost Actuals'!AU1573+'Dept. Cost Actuals'!AU1395)</f>
        <v>18333.333333333336</v>
      </c>
      <c r="AR37" s="21">
        <f>IF(AR$6="Forecast",100000/12 +10000,'Dept. Cost Actuals'!AV1573+'Dept. Cost Actuals'!AV1395)</f>
        <v>18333.333333333336</v>
      </c>
      <c r="AS37" s="21">
        <f>IF(AS$6="Forecast",100000/12 +10000,'Dept. Cost Actuals'!AW1573+'Dept. Cost Actuals'!AW1395)</f>
        <v>18333.333333333336</v>
      </c>
      <c r="AT37" s="21">
        <f>IF(AT$6="Forecast",100000/12 +10000,'Dept. Cost Actuals'!AX1573+'Dept. Cost Actuals'!AX1395)</f>
        <v>18333.333333333336</v>
      </c>
      <c r="AU37" s="21">
        <f>IF(AU$6="Forecast",100000/12 +10000,'Dept. Cost Actuals'!AY1573+'Dept. Cost Actuals'!AY1395)</f>
        <v>18333.333333333336</v>
      </c>
      <c r="AV37" s="21">
        <f>IF(AV$6="Forecast",100000/12 +10000,'Dept. Cost Actuals'!AZ1573+'Dept. Cost Actuals'!AZ1395)</f>
        <v>18333.333333333336</v>
      </c>
      <c r="AW37" s="21">
        <f>IF(AW$6="Forecast",100000/12 +10000,'Dept. Cost Actuals'!BA1573+'Dept. Cost Actuals'!BA1395)</f>
        <v>18333.333333333336</v>
      </c>
      <c r="AX37" s="21">
        <f>IF(AX$6="Forecast",100000/12 +10000,'Dept. Cost Actuals'!BB1573+'Dept. Cost Actuals'!BB1395)</f>
        <v>18333.333333333336</v>
      </c>
      <c r="AY37" s="21">
        <f>IF(AY$6="Forecast",100000/12 +10000,'Dept. Cost Actuals'!BC1573+'Dept. Cost Actuals'!BC1395)</f>
        <v>18333.333333333336</v>
      </c>
      <c r="AZ37" s="21">
        <f>IF(AZ$6="Forecast",100000/12 +10000,'Dept. Cost Actuals'!BD1573+'Dept. Cost Actuals'!BD1395)</f>
        <v>18333.333333333336</v>
      </c>
      <c r="BA37" s="21">
        <f>IF(BA$6="Forecast",100000/12 +10000,'Dept. Cost Actuals'!BE1573+'Dept. Cost Actuals'!BE1395)</f>
        <v>18333.333333333336</v>
      </c>
      <c r="BB37" s="21">
        <f>IF(BB$6="Forecast",100000/12 +10000,'Dept. Cost Actuals'!BF1573+'Dept. Cost Actuals'!BF1395)</f>
        <v>18333.333333333336</v>
      </c>
      <c r="BC37" s="21">
        <f>IF(BC$6="Forecast",100000/12 +10000,'Dept. Cost Actuals'!BG1573+'Dept. Cost Actuals'!BG1395)</f>
        <v>18333.333333333336</v>
      </c>
      <c r="BD37" s="21">
        <f>IF(BD$6="Forecast",100000/12 +10000,'Dept. Cost Actuals'!BH1573+'Dept. Cost Actuals'!BH1395)</f>
        <v>18333.333333333336</v>
      </c>
      <c r="BE37" s="21">
        <f>IF(BE$6="Forecast",100000/12 +10000,'Dept. Cost Actuals'!BI1573+'Dept. Cost Actuals'!BI1395)</f>
        <v>18333.333333333336</v>
      </c>
      <c r="BF37" s="21">
        <f>IF(BF$6="Forecast",100000/12 +10000,'Dept. Cost Actuals'!BJ1573+'Dept. Cost Actuals'!BJ1395)</f>
        <v>18333.333333333336</v>
      </c>
      <c r="BG37" s="21">
        <f>IF(BG$6="Forecast",100000/12 +10000,'Dept. Cost Actuals'!BK1573+'Dept. Cost Actuals'!BK1395)</f>
        <v>18333.333333333336</v>
      </c>
      <c r="BH37" s="21">
        <f>IF(BH$6="Forecast",100000/12 +10000,'Dept. Cost Actuals'!BL1573+'Dept. Cost Actuals'!BL1395)</f>
        <v>18333.333333333336</v>
      </c>
      <c r="BI37" s="21">
        <f>IF(BI$6="Forecast",100000/12 +10000,'Dept. Cost Actuals'!BM1573+'Dept. Cost Actuals'!BM1395)</f>
        <v>18333.333333333336</v>
      </c>
      <c r="BJ37" s="21">
        <f>IF(BJ$6="Forecast",100000/12 +10000,'Dept. Cost Actuals'!BN1573+'Dept. Cost Actuals'!BN1395)</f>
        <v>18333.333333333336</v>
      </c>
      <c r="BK37" s="21">
        <f>IF(BK$6="Forecast",100000/12 +10000,'Dept. Cost Actuals'!BO1573+'Dept. Cost Actuals'!BO1395)</f>
        <v>18333.333333333336</v>
      </c>
      <c r="BL37" s="21">
        <f>IF(BL$6="Forecast",100000/12 +10000,'Dept. Cost Actuals'!BP1573+'Dept. Cost Actuals'!BP1395)</f>
        <v>18333.333333333336</v>
      </c>
      <c r="BM37" s="21">
        <f>IF(BM$6="Forecast",100000/12 +10000,'Dept. Cost Actuals'!BQ1573+'Dept. Cost Actuals'!BQ1395)</f>
        <v>18333.333333333336</v>
      </c>
      <c r="BN37" s="21">
        <f>IF(BN$6="Forecast",100000/12 +10000,'Dept. Cost Actuals'!BR1573+'Dept. Cost Actuals'!BR1395)</f>
        <v>18333.333333333336</v>
      </c>
      <c r="BO37" s="21">
        <f>IF(BO$6="Forecast",100000/12 +10000,'Dept. Cost Actuals'!BS1573+'Dept. Cost Actuals'!BS1395)</f>
        <v>18333.333333333336</v>
      </c>
      <c r="BP37" s="21">
        <f>IF(BP$6="Forecast",100000/12 +10000,'Dept. Cost Actuals'!BT1573+'Dept. Cost Actuals'!BT1395)</f>
        <v>18333.333333333336</v>
      </c>
      <c r="BQ37" s="21">
        <f>IF(BQ$6="Forecast",100000/12 +10000,'Dept. Cost Actuals'!BU1573+'Dept. Cost Actuals'!BU1395)</f>
        <v>18333.333333333336</v>
      </c>
      <c r="BR37" s="21">
        <f>IF(BR$6="Forecast",100000/12 +10000,'Dept. Cost Actuals'!BV1573+'Dept. Cost Actuals'!BV1395)</f>
        <v>18333.333333333336</v>
      </c>
      <c r="BS37" s="21">
        <f>IF(BS$6="Forecast",100000/12 +10000,'Dept. Cost Actuals'!BW1573+'Dept. Cost Actuals'!BW1395)</f>
        <v>18333.333333333336</v>
      </c>
      <c r="BT37" s="21">
        <f>IF(BT$6="Forecast",100000/12 +10000,'Dept. Cost Actuals'!BX1573+'Dept. Cost Actuals'!BX1395)</f>
        <v>18333.333333333336</v>
      </c>
      <c r="BU37" s="21">
        <f>IF(BU$6="Forecast",100000/12 +10000,'Dept. Cost Actuals'!BY1573+'Dept. Cost Actuals'!BY1395)</f>
        <v>18333.333333333336</v>
      </c>
      <c r="BV37" s="21">
        <f>IF(BV$6="Forecast",100000/12 +10000,'Dept. Cost Actuals'!BZ1573+'Dept. Cost Actuals'!BZ1395)</f>
        <v>18333.333333333336</v>
      </c>
    </row>
    <row r="38" spans="2:74" x14ac:dyDescent="0.25">
      <c r="B38" s="997" t="s">
        <v>1100</v>
      </c>
      <c r="C38" s="995">
        <f t="shared" ref="C38:AH38" si="37">SUM(C25:C37)</f>
        <v>111452.36387</v>
      </c>
      <c r="D38" s="995">
        <f t="shared" si="37"/>
        <v>171329.8553</v>
      </c>
      <c r="E38" s="995">
        <f t="shared" si="37"/>
        <v>156542.845</v>
      </c>
      <c r="F38" s="995">
        <f t="shared" si="37"/>
        <v>158596.23639999999</v>
      </c>
      <c r="G38" s="995">
        <f t="shared" si="37"/>
        <v>449622.01740000007</v>
      </c>
      <c r="H38" s="995">
        <f t="shared" si="37"/>
        <v>183225.1298</v>
      </c>
      <c r="I38" s="995">
        <f t="shared" si="37"/>
        <v>516594.13564000005</v>
      </c>
      <c r="J38" s="995">
        <f t="shared" si="37"/>
        <v>483654.1398</v>
      </c>
      <c r="K38" s="995">
        <f t="shared" si="37"/>
        <v>149557.75763000001</v>
      </c>
      <c r="L38" s="995">
        <f t="shared" si="37"/>
        <v>695888.60898000002</v>
      </c>
      <c r="M38" s="995">
        <f t="shared" si="37"/>
        <v>337790.57952999999</v>
      </c>
      <c r="N38" s="995">
        <f t="shared" si="37"/>
        <v>290386.46615999995</v>
      </c>
      <c r="O38" s="996">
        <f t="shared" si="37"/>
        <v>278966.25</v>
      </c>
      <c r="P38" s="996">
        <f t="shared" si="37"/>
        <v>255735.44</v>
      </c>
      <c r="Q38" s="996">
        <f t="shared" si="37"/>
        <v>131972.22999999998</v>
      </c>
      <c r="R38" s="996">
        <f t="shared" si="37"/>
        <v>214854.41</v>
      </c>
      <c r="S38" s="996">
        <f t="shared" si="37"/>
        <v>233938.15999999997</v>
      </c>
      <c r="T38" s="996">
        <f t="shared" si="37"/>
        <v>254022.65999999997</v>
      </c>
      <c r="U38" s="996">
        <f t="shared" si="37"/>
        <v>287334.32999999996</v>
      </c>
      <c r="V38" s="996">
        <f t="shared" si="37"/>
        <v>239081.5</v>
      </c>
      <c r="W38" s="996">
        <f t="shared" si="37"/>
        <v>279888.06</v>
      </c>
      <c r="X38" s="996">
        <f t="shared" si="37"/>
        <v>349829.29</v>
      </c>
      <c r="Y38" s="995">
        <f t="shared" si="37"/>
        <v>259971.00999999998</v>
      </c>
      <c r="Z38" s="995">
        <f t="shared" si="37"/>
        <v>271110.07</v>
      </c>
      <c r="AA38" s="995">
        <f t="shared" si="37"/>
        <v>333594.08</v>
      </c>
      <c r="AB38" s="995">
        <f t="shared" si="37"/>
        <v>242304.91000000003</v>
      </c>
      <c r="AC38" s="995">
        <f t="shared" si="37"/>
        <v>307496.27999999997</v>
      </c>
      <c r="AD38" s="995">
        <f t="shared" ca="1" si="37"/>
        <v>308042.68438645417</v>
      </c>
      <c r="AE38" s="995">
        <f t="shared" ca="1" si="37"/>
        <v>335694.27638650947</v>
      </c>
      <c r="AF38" s="995">
        <f t="shared" ca="1" si="37"/>
        <v>332161.20830693521</v>
      </c>
      <c r="AG38" s="995">
        <f t="shared" ca="1" si="37"/>
        <v>334220.44109300518</v>
      </c>
      <c r="AH38" s="995">
        <f t="shared" ca="1" si="37"/>
        <v>333890.80304458219</v>
      </c>
      <c r="AI38" s="995">
        <f t="shared" ref="AI38:BJ38" ca="1" si="38">SUM(AI25:AI37)</f>
        <v>334701.10838130774</v>
      </c>
      <c r="AJ38" s="995">
        <f t="shared" ca="1" si="38"/>
        <v>336507.94965607475</v>
      </c>
      <c r="AK38" s="995">
        <f t="shared" ca="1" si="38"/>
        <v>338655.79364084551</v>
      </c>
      <c r="AL38" s="995">
        <f t="shared" ca="1" si="38"/>
        <v>314098.44490153651</v>
      </c>
      <c r="AM38" s="995">
        <f t="shared" ref="AM38" ca="1" si="39">SUM(AM25:AM37)</f>
        <v>302493.54304399644</v>
      </c>
      <c r="AN38" s="995">
        <f t="shared" ca="1" si="38"/>
        <v>304813.00915380195</v>
      </c>
      <c r="AO38" s="995">
        <f t="shared" ca="1" si="38"/>
        <v>311820.45836140536</v>
      </c>
      <c r="AP38" s="995">
        <f t="shared" ca="1" si="38"/>
        <v>314416.58698435588</v>
      </c>
      <c r="AQ38" s="995">
        <f t="shared" ca="1" si="38"/>
        <v>315840.53647478396</v>
      </c>
      <c r="AR38" s="995">
        <f t="shared" ca="1" si="38"/>
        <v>317269.56920439529</v>
      </c>
      <c r="AS38" s="995">
        <f t="shared" ca="1" si="38"/>
        <v>318729.44284417329</v>
      </c>
      <c r="AT38" s="995">
        <f t="shared" ca="1" si="38"/>
        <v>320147.99062078784</v>
      </c>
      <c r="AU38" s="995">
        <f t="shared" ca="1" si="38"/>
        <v>321719.12161941419</v>
      </c>
      <c r="AV38" s="995">
        <f t="shared" ca="1" si="38"/>
        <v>323361.23312878347</v>
      </c>
      <c r="AW38" s="995">
        <f t="shared" ca="1" si="38"/>
        <v>324993.92119585484</v>
      </c>
      <c r="AX38" s="995">
        <f t="shared" ca="1" si="38"/>
        <v>326589.66415780812</v>
      </c>
      <c r="AY38" s="995">
        <f t="shared" ca="1" si="38"/>
        <v>323977.56631351018</v>
      </c>
      <c r="AZ38" s="995">
        <f t="shared" ca="1" si="38"/>
        <v>327073.59167621168</v>
      </c>
      <c r="BA38" s="995">
        <f t="shared" ca="1" si="38"/>
        <v>329202.72668130632</v>
      </c>
      <c r="BB38" s="995">
        <f t="shared" ca="1" si="38"/>
        <v>330935.28487953322</v>
      </c>
      <c r="BC38" s="995">
        <f t="shared" ca="1" si="38"/>
        <v>332593.58194851369</v>
      </c>
      <c r="BD38" s="995">
        <f t="shared" ca="1" si="38"/>
        <v>334266.92362186109</v>
      </c>
      <c r="BE38" s="995">
        <f t="shared" ca="1" si="38"/>
        <v>335964.22336777917</v>
      </c>
      <c r="BF38" s="995">
        <f t="shared" ca="1" si="38"/>
        <v>337679.9338112697</v>
      </c>
      <c r="BG38" s="995">
        <f t="shared" ca="1" si="38"/>
        <v>339420.17688119813</v>
      </c>
      <c r="BH38" s="995">
        <f t="shared" ca="1" si="38"/>
        <v>341174.02496813121</v>
      </c>
      <c r="BI38" s="995">
        <f t="shared" ca="1" si="38"/>
        <v>342936.75027178426</v>
      </c>
      <c r="BJ38" s="995">
        <f t="shared" ca="1" si="38"/>
        <v>344709.83015148254</v>
      </c>
      <c r="BK38" s="995">
        <f t="shared" ref="BK38:BL38" ca="1" si="40">SUM(BK25:BK37)</f>
        <v>348557.36548472266</v>
      </c>
      <c r="BL38" s="995">
        <f t="shared" ca="1" si="40"/>
        <v>351418.75665503897</v>
      </c>
      <c r="BM38" s="995">
        <f t="shared" ref="BM38:BV38" ca="1" si="41">SUM(BM25:BM37)</f>
        <v>353202.9291795328</v>
      </c>
      <c r="BN38" s="995">
        <f t="shared" ca="1" si="41"/>
        <v>354958.26009704039</v>
      </c>
      <c r="BO38" s="995">
        <f t="shared" ca="1" si="41"/>
        <v>356715.90802832908</v>
      </c>
      <c r="BP38" s="995">
        <f t="shared" ca="1" si="41"/>
        <v>358481.16830440733</v>
      </c>
      <c r="BQ38" s="995">
        <f t="shared" ca="1" si="41"/>
        <v>360253.71775790252</v>
      </c>
      <c r="BR38" s="995">
        <f t="shared" ca="1" si="41"/>
        <v>362032.58280415524</v>
      </c>
      <c r="BS38" s="995">
        <f t="shared" ca="1" si="41"/>
        <v>363816.32739795995</v>
      </c>
      <c r="BT38" s="995">
        <f t="shared" ca="1" si="41"/>
        <v>365603.46950324427</v>
      </c>
      <c r="BU38" s="995">
        <f t="shared" ca="1" si="41"/>
        <v>367393.14391483919</v>
      </c>
      <c r="BV38" s="995">
        <f t="shared" ca="1" si="41"/>
        <v>369184.851992257</v>
      </c>
    </row>
    <row r="39" spans="2:74" s="42" customFormat="1" x14ac:dyDescent="0.25">
      <c r="B39" s="1001"/>
      <c r="C39" s="1002"/>
      <c r="D39" s="1002"/>
      <c r="E39" s="1002"/>
      <c r="F39" s="1002"/>
      <c r="G39" s="1002"/>
      <c r="H39" s="1002"/>
      <c r="I39" s="1002"/>
      <c r="J39" s="1002"/>
      <c r="K39" s="1002"/>
      <c r="L39" s="1002"/>
      <c r="M39" s="1002"/>
      <c r="N39" s="1002"/>
      <c r="O39" s="1003"/>
      <c r="P39" s="1003"/>
      <c r="Q39" s="1003"/>
      <c r="R39" s="1003"/>
      <c r="S39" s="1003"/>
      <c r="T39" s="1003"/>
      <c r="U39" s="1003"/>
      <c r="V39" s="1003"/>
      <c r="W39" s="1003"/>
      <c r="X39" s="1003"/>
      <c r="Y39" s="1002"/>
      <c r="Z39" s="1002"/>
      <c r="AA39" s="1002"/>
      <c r="AB39" s="1002"/>
      <c r="AC39" s="1002"/>
      <c r="AD39" s="1002"/>
      <c r="AE39" s="1002"/>
      <c r="AF39" s="1002"/>
      <c r="AG39" s="1002"/>
      <c r="AH39" s="1002"/>
      <c r="AI39" s="1002"/>
      <c r="AJ39" s="1002"/>
      <c r="AK39" s="1002"/>
      <c r="AL39" s="1002"/>
      <c r="AM39" s="1002"/>
      <c r="AN39" s="1002"/>
      <c r="AO39" s="1002"/>
      <c r="AP39" s="1002"/>
      <c r="AQ39" s="1002"/>
      <c r="AR39" s="1002"/>
      <c r="AS39" s="1002"/>
      <c r="AT39" s="1002"/>
      <c r="AU39" s="1002"/>
      <c r="AV39" s="1002"/>
      <c r="AW39" s="1002"/>
      <c r="AX39" s="1002"/>
      <c r="AY39" s="1002"/>
      <c r="AZ39" s="1002"/>
      <c r="BA39" s="1002"/>
      <c r="BB39" s="1002"/>
      <c r="BC39" s="1002"/>
      <c r="BD39" s="1002"/>
      <c r="BE39" s="1002"/>
      <c r="BF39" s="1002"/>
      <c r="BG39" s="1002"/>
      <c r="BH39" s="1002"/>
      <c r="BI39" s="1002"/>
      <c r="BJ39" s="1002"/>
      <c r="BK39" s="1002"/>
      <c r="BL39" s="1002"/>
      <c r="BM39" s="1002"/>
      <c r="BN39" s="1002"/>
      <c r="BO39" s="1002"/>
      <c r="BP39" s="1002"/>
      <c r="BQ39" s="1002"/>
      <c r="BR39" s="1002"/>
      <c r="BS39" s="1002"/>
      <c r="BT39" s="1002"/>
      <c r="BU39" s="1002"/>
      <c r="BV39" s="1002"/>
    </row>
    <row r="40" spans="2:74" x14ac:dyDescent="0.25">
      <c r="B40" s="855" t="s">
        <v>144</v>
      </c>
      <c r="C40" s="856">
        <f>SUM(C38,C23,C19)</f>
        <v>358101.08326999994</v>
      </c>
      <c r="D40" s="856">
        <f t="shared" ref="D40:BO40" si="42">SUM(D38,D23,D19)</f>
        <v>455104.96492</v>
      </c>
      <c r="E40" s="856">
        <f t="shared" si="42"/>
        <v>481783.01559999998</v>
      </c>
      <c r="F40" s="856">
        <f t="shared" si="42"/>
        <v>498850.41801999998</v>
      </c>
      <c r="G40" s="856">
        <f t="shared" si="42"/>
        <v>749016.54052000004</v>
      </c>
      <c r="H40" s="856">
        <f t="shared" si="42"/>
        <v>560903.18684999994</v>
      </c>
      <c r="I40" s="856">
        <f t="shared" si="42"/>
        <v>864776.72258000006</v>
      </c>
      <c r="J40" s="856">
        <f t="shared" si="42"/>
        <v>887729.3836099999</v>
      </c>
      <c r="K40" s="856">
        <f t="shared" si="42"/>
        <v>534239.78561000002</v>
      </c>
      <c r="L40" s="856">
        <f t="shared" si="42"/>
        <v>1095345.8528200001</v>
      </c>
      <c r="M40" s="856">
        <f t="shared" si="42"/>
        <v>773580.77111999993</v>
      </c>
      <c r="N40" s="856">
        <f t="shared" si="42"/>
        <v>727407.32186000003</v>
      </c>
      <c r="O40" s="856">
        <f t="shared" si="42"/>
        <v>1071416.06</v>
      </c>
      <c r="P40" s="856">
        <f t="shared" si="42"/>
        <v>807103.90999999992</v>
      </c>
      <c r="Q40" s="856">
        <f t="shared" si="42"/>
        <v>913057.89</v>
      </c>
      <c r="R40" s="856">
        <f t="shared" si="42"/>
        <v>975798.84000000008</v>
      </c>
      <c r="S40" s="856">
        <f t="shared" si="42"/>
        <v>1020863.09</v>
      </c>
      <c r="T40" s="856">
        <f t="shared" si="42"/>
        <v>1146498.1499999999</v>
      </c>
      <c r="U40" s="856">
        <f t="shared" si="42"/>
        <v>1572423.93</v>
      </c>
      <c r="V40" s="856">
        <f t="shared" si="42"/>
        <v>1455333.01</v>
      </c>
      <c r="W40" s="856">
        <f t="shared" si="42"/>
        <v>1248307.3199999998</v>
      </c>
      <c r="X40" s="856">
        <f t="shared" si="42"/>
        <v>1340691.69</v>
      </c>
      <c r="Y40" s="856">
        <f t="shared" si="42"/>
        <v>1242208.81</v>
      </c>
      <c r="Z40" s="856">
        <f t="shared" si="42"/>
        <v>1154997.06</v>
      </c>
      <c r="AA40" s="856">
        <f t="shared" si="42"/>
        <v>1395356.6</v>
      </c>
      <c r="AB40" s="856">
        <f t="shared" si="42"/>
        <v>1227087.56</v>
      </c>
      <c r="AC40" s="856">
        <f t="shared" si="42"/>
        <v>1524230.8599999999</v>
      </c>
      <c r="AD40" s="856">
        <f t="shared" ca="1" si="42"/>
        <v>2076898.8904321603</v>
      </c>
      <c r="AE40" s="856">
        <f t="shared" ca="1" si="42"/>
        <v>1968921.7659693076</v>
      </c>
      <c r="AF40" s="856">
        <f t="shared" ca="1" si="42"/>
        <v>2052259.5459533737</v>
      </c>
      <c r="AG40" s="856">
        <f t="shared" ca="1" si="42"/>
        <v>2133958.7606956083</v>
      </c>
      <c r="AH40" s="856">
        <f t="shared" ca="1" si="42"/>
        <v>1840537.8021504742</v>
      </c>
      <c r="AI40" s="856">
        <f t="shared" ca="1" si="42"/>
        <v>1882026.2324690328</v>
      </c>
      <c r="AJ40" s="856">
        <f t="shared" ca="1" si="42"/>
        <v>2043947.9860338303</v>
      </c>
      <c r="AK40" s="856">
        <f t="shared" ca="1" si="42"/>
        <v>1864738.7384286276</v>
      </c>
      <c r="AL40" s="856">
        <f t="shared" ca="1" si="42"/>
        <v>1843143.4383160672</v>
      </c>
      <c r="AM40" s="856">
        <f t="shared" ca="1" si="42"/>
        <v>8788991.0401427392</v>
      </c>
      <c r="AN40" s="856">
        <f t="shared" ca="1" si="42"/>
        <v>1248229.4419999439</v>
      </c>
      <c r="AO40" s="856">
        <f t="shared" ca="1" si="42"/>
        <v>1259926.0627492755</v>
      </c>
      <c r="AP40" s="856">
        <f t="shared" ca="1" si="42"/>
        <v>1266422.4256420694</v>
      </c>
      <c r="AQ40" s="856">
        <f t="shared" ca="1" si="42"/>
        <v>1271878.9760748076</v>
      </c>
      <c r="AR40" s="856">
        <f t="shared" ca="1" si="42"/>
        <v>1277792.9896577415</v>
      </c>
      <c r="AS40" s="856">
        <f t="shared" ca="1" si="42"/>
        <v>1283719.2616713119</v>
      </c>
      <c r="AT40" s="856">
        <f t="shared" ca="1" si="42"/>
        <v>1289641.0162044433</v>
      </c>
      <c r="AU40" s="856">
        <f t="shared" ca="1" si="42"/>
        <v>1295724.7176819048</v>
      </c>
      <c r="AV40" s="856">
        <f t="shared" ca="1" si="42"/>
        <v>1301932.4366383101</v>
      </c>
      <c r="AW40" s="856">
        <f t="shared" ca="1" si="42"/>
        <v>1308181.6157263089</v>
      </c>
      <c r="AX40" s="856">
        <f t="shared" ca="1" si="42"/>
        <v>1319623.719006144</v>
      </c>
      <c r="AY40" s="856">
        <f t="shared" ca="1" si="42"/>
        <v>1324164.3312369995</v>
      </c>
      <c r="AZ40" s="856">
        <f t="shared" ca="1" si="42"/>
        <v>1741950.4810426512</v>
      </c>
      <c r="BA40" s="856">
        <f t="shared" ca="1" si="42"/>
        <v>1749074.1584197446</v>
      </c>
      <c r="BB40" s="856">
        <f t="shared" ca="1" si="42"/>
        <v>1755778.3404249758</v>
      </c>
      <c r="BC40" s="856">
        <f t="shared" ca="1" si="42"/>
        <v>1762523.7228597519</v>
      </c>
      <c r="BD40" s="856">
        <f t="shared" ca="1" si="42"/>
        <v>1769346.9734532321</v>
      </c>
      <c r="BE40" s="856">
        <f t="shared" ca="1" si="42"/>
        <v>1776296.6739487266</v>
      </c>
      <c r="BF40" s="856">
        <f t="shared" ca="1" si="42"/>
        <v>1783330.9447863707</v>
      </c>
      <c r="BG40" s="856">
        <f t="shared" ca="1" si="42"/>
        <v>1790469.7937913181</v>
      </c>
      <c r="BH40" s="856">
        <f t="shared" ca="1" si="42"/>
        <v>1797707.5950912302</v>
      </c>
      <c r="BI40" s="856">
        <f t="shared" ca="1" si="42"/>
        <v>1805043.2529234719</v>
      </c>
      <c r="BJ40" s="856">
        <f t="shared" ca="1" si="42"/>
        <v>1817738.5163229457</v>
      </c>
      <c r="BK40" s="856">
        <f t="shared" ca="1" si="42"/>
        <v>1436760.460976067</v>
      </c>
      <c r="BL40" s="856">
        <f t="shared" ca="1" si="42"/>
        <v>1455661.2740863073</v>
      </c>
      <c r="BM40" s="856">
        <f t="shared" ca="1" si="42"/>
        <v>1463472.0790988221</v>
      </c>
      <c r="BN40" s="856">
        <f t="shared" ca="1" si="42"/>
        <v>1471360.1728374194</v>
      </c>
      <c r="BO40" s="856">
        <f t="shared" ca="1" si="42"/>
        <v>1479359.8528999756</v>
      </c>
      <c r="BP40" s="856">
        <f t="shared" ref="BP40:BV40" ca="1" si="43">SUM(BP38,BP23,BP19)</f>
        <v>1487483.4087527962</v>
      </c>
      <c r="BQ40" s="856">
        <f t="shared" ca="1" si="43"/>
        <v>1495733.2730188346</v>
      </c>
      <c r="BR40" s="856">
        <f t="shared" ca="1" si="43"/>
        <v>1504114.7778190831</v>
      </c>
      <c r="BS40" s="856">
        <f t="shared" ca="1" si="43"/>
        <v>1512628.3676431789</v>
      </c>
      <c r="BT40" s="856">
        <f t="shared" ca="1" si="43"/>
        <v>1521278.9948543173</v>
      </c>
      <c r="BU40" s="856">
        <f t="shared" ca="1" si="43"/>
        <v>1530070.7612088341</v>
      </c>
      <c r="BV40" s="856" t="e">
        <f t="shared" ca="1" si="43"/>
        <v>#REF!</v>
      </c>
    </row>
    <row r="41" spans="2:74" s="42" customFormat="1" x14ac:dyDescent="0.25">
      <c r="B41" s="1000"/>
      <c r="C41" s="890"/>
      <c r="D41" s="890"/>
      <c r="E41" s="890"/>
      <c r="F41" s="890"/>
      <c r="G41" s="890"/>
      <c r="H41" s="890"/>
      <c r="I41" s="890"/>
      <c r="J41" s="890"/>
      <c r="K41" s="890"/>
      <c r="L41" s="890"/>
      <c r="M41" s="890"/>
      <c r="N41" s="890"/>
      <c r="O41" s="890"/>
      <c r="P41" s="890"/>
      <c r="Q41" s="890"/>
      <c r="R41" s="890"/>
      <c r="S41" s="890"/>
      <c r="T41" s="890"/>
      <c r="U41" s="890"/>
      <c r="V41" s="890"/>
      <c r="W41" s="890"/>
      <c r="X41" s="890"/>
      <c r="Y41" s="890"/>
      <c r="Z41" s="890"/>
      <c r="AA41" s="890"/>
      <c r="AB41" s="890"/>
      <c r="AC41" s="890"/>
      <c r="AD41" s="890"/>
      <c r="AE41" s="890"/>
      <c r="AF41" s="890"/>
      <c r="AG41" s="890"/>
      <c r="AH41" s="890"/>
      <c r="AI41" s="890"/>
      <c r="AJ41" s="890"/>
      <c r="AK41" s="890"/>
      <c r="AL41" s="890"/>
      <c r="AM41" s="890"/>
      <c r="AN41" s="890"/>
      <c r="AO41" s="890"/>
      <c r="AP41" s="890"/>
      <c r="AQ41" s="890"/>
      <c r="AR41" s="890"/>
      <c r="AS41" s="890"/>
      <c r="AT41" s="890"/>
      <c r="AU41" s="890"/>
      <c r="AV41" s="890"/>
      <c r="AW41" s="890"/>
      <c r="AX41" s="890"/>
      <c r="AY41" s="890"/>
      <c r="AZ41" s="890"/>
      <c r="BA41" s="890"/>
      <c r="BB41" s="890"/>
      <c r="BC41" s="890"/>
      <c r="BD41" s="890"/>
      <c r="BE41" s="890"/>
      <c r="BF41" s="890"/>
      <c r="BG41" s="890"/>
      <c r="BH41" s="890"/>
      <c r="BI41" s="890"/>
      <c r="BJ41" s="890"/>
      <c r="BK41" s="890"/>
      <c r="BL41" s="890"/>
      <c r="BM41" s="890"/>
      <c r="BN41" s="890"/>
      <c r="BO41" s="890"/>
      <c r="BP41" s="890"/>
      <c r="BQ41" s="890"/>
      <c r="BR41" s="890"/>
      <c r="BS41" s="890"/>
      <c r="BT41" s="890"/>
      <c r="BU41" s="890"/>
      <c r="BV41" s="890"/>
    </row>
    <row r="42" spans="2:74" x14ac:dyDescent="0.25">
      <c r="B42" s="571" t="s">
        <v>143</v>
      </c>
      <c r="C42" s="306">
        <v>0</v>
      </c>
      <c r="D42" s="306">
        <v>0</v>
      </c>
      <c r="E42" s="306">
        <v>0</v>
      </c>
      <c r="F42" s="306">
        <v>0</v>
      </c>
      <c r="G42" s="306">
        <v>0</v>
      </c>
      <c r="H42" s="306">
        <v>0</v>
      </c>
      <c r="I42" s="306">
        <v>0</v>
      </c>
      <c r="J42" s="306">
        <v>0</v>
      </c>
      <c r="K42" s="306">
        <v>0</v>
      </c>
      <c r="L42" s="306">
        <v>0</v>
      </c>
      <c r="M42" s="306">
        <v>0</v>
      </c>
      <c r="N42" s="306">
        <v>0</v>
      </c>
      <c r="O42" s="306">
        <v>0</v>
      </c>
      <c r="P42" s="306">
        <v>0</v>
      </c>
      <c r="Q42" s="306">
        <v>0</v>
      </c>
      <c r="R42" s="306">
        <v>0</v>
      </c>
      <c r="S42" s="306">
        <v>0</v>
      </c>
      <c r="T42" s="306">
        <v>0</v>
      </c>
      <c r="U42" s="306">
        <v>0</v>
      </c>
      <c r="V42" s="306">
        <v>0</v>
      </c>
      <c r="W42" s="306">
        <v>0</v>
      </c>
      <c r="X42" s="306">
        <v>0</v>
      </c>
      <c r="Y42" s="306">
        <v>0</v>
      </c>
      <c r="Z42" s="306">
        <v>0</v>
      </c>
      <c r="AA42" s="306">
        <v>0</v>
      </c>
      <c r="AB42" s="306">
        <v>0</v>
      </c>
      <c r="AC42" s="306">
        <v>0</v>
      </c>
      <c r="AD42" s="306">
        <v>0</v>
      </c>
      <c r="AE42" s="306">
        <v>0</v>
      </c>
      <c r="AF42" s="306">
        <v>0</v>
      </c>
      <c r="AG42" s="306">
        <v>0</v>
      </c>
      <c r="AH42" s="306">
        <v>0</v>
      </c>
      <c r="AI42" s="306">
        <v>0</v>
      </c>
      <c r="AJ42" s="306">
        <v>0</v>
      </c>
      <c r="AK42" s="306">
        <v>0</v>
      </c>
      <c r="AL42" s="306">
        <v>0</v>
      </c>
      <c r="AM42" s="306">
        <v>0</v>
      </c>
      <c r="AN42" s="306">
        <v>0</v>
      </c>
      <c r="AO42" s="306">
        <v>0</v>
      </c>
      <c r="AP42" s="306">
        <v>0</v>
      </c>
      <c r="AQ42" s="306">
        <v>0</v>
      </c>
      <c r="AR42" s="306">
        <v>0</v>
      </c>
      <c r="AS42" s="306">
        <v>0</v>
      </c>
      <c r="AT42" s="306">
        <v>0</v>
      </c>
      <c r="AU42" s="306">
        <v>0</v>
      </c>
      <c r="AV42" s="306">
        <v>0</v>
      </c>
      <c r="AW42" s="306">
        <v>0</v>
      </c>
      <c r="AX42" s="306">
        <v>0</v>
      </c>
      <c r="AY42" s="306">
        <v>0</v>
      </c>
      <c r="AZ42" s="306">
        <v>0</v>
      </c>
      <c r="BA42" s="306">
        <v>0</v>
      </c>
      <c r="BB42" s="306">
        <v>0</v>
      </c>
      <c r="BC42" s="306">
        <v>0</v>
      </c>
      <c r="BD42" s="306">
        <v>0</v>
      </c>
      <c r="BE42" s="306">
        <v>0</v>
      </c>
      <c r="BF42" s="306">
        <v>0</v>
      </c>
      <c r="BG42" s="306">
        <v>0</v>
      </c>
      <c r="BH42" s="306">
        <v>0</v>
      </c>
      <c r="BI42" s="306">
        <v>0</v>
      </c>
      <c r="BJ42" s="306">
        <v>0</v>
      </c>
      <c r="BK42" s="306">
        <v>0</v>
      </c>
      <c r="BL42" s="306">
        <v>0</v>
      </c>
      <c r="BM42" s="306">
        <v>0</v>
      </c>
      <c r="BN42" s="306">
        <v>0</v>
      </c>
      <c r="BO42" s="306">
        <v>0</v>
      </c>
      <c r="BP42" s="306">
        <v>0</v>
      </c>
      <c r="BQ42" s="306">
        <v>0</v>
      </c>
      <c r="BR42" s="306">
        <v>0</v>
      </c>
      <c r="BS42" s="306">
        <v>0</v>
      </c>
      <c r="BT42" s="306">
        <v>0</v>
      </c>
      <c r="BU42" s="306">
        <v>0</v>
      </c>
      <c r="BV42" s="306">
        <v>0</v>
      </c>
    </row>
    <row r="43" spans="2:74" x14ac:dyDescent="0.25">
      <c r="C43" s="986"/>
      <c r="D43" s="986"/>
      <c r="E43" s="986"/>
      <c r="F43" s="986"/>
      <c r="G43" s="986"/>
      <c r="H43" s="986"/>
      <c r="I43" s="986"/>
      <c r="J43" s="986"/>
      <c r="AA43" s="987"/>
      <c r="AB43" s="987"/>
      <c r="AC43" s="987"/>
      <c r="AD43" s="987"/>
    </row>
    <row r="44" spans="2:74" x14ac:dyDescent="0.25">
      <c r="B44" s="571" t="s">
        <v>524</v>
      </c>
      <c r="O44" s="40">
        <v>236350</v>
      </c>
      <c r="P44" s="40">
        <v>236350</v>
      </c>
      <c r="Q44" s="40">
        <v>236350</v>
      </c>
      <c r="R44" s="40">
        <v>236350</v>
      </c>
      <c r="S44" s="40">
        <v>236350</v>
      </c>
      <c r="T44" s="40">
        <v>236350</v>
      </c>
      <c r="U44" s="40">
        <v>236350</v>
      </c>
      <c r="V44" s="40">
        <v>236350</v>
      </c>
      <c r="W44" s="40">
        <v>236350</v>
      </c>
      <c r="X44" s="40">
        <v>236350</v>
      </c>
      <c r="Y44" s="40">
        <v>236350</v>
      </c>
      <c r="Z44" s="40">
        <v>236350</v>
      </c>
      <c r="AA44" s="987">
        <v>236350</v>
      </c>
      <c r="AB44" s="987">
        <v>236350</v>
      </c>
      <c r="AC44" s="987">
        <v>236350</v>
      </c>
      <c r="AD44" s="987"/>
    </row>
    <row r="45" spans="2:74" x14ac:dyDescent="0.25">
      <c r="B45" s="571" t="s">
        <v>137</v>
      </c>
      <c r="C45" s="573">
        <v>-408</v>
      </c>
      <c r="D45" s="573">
        <v>-378</v>
      </c>
      <c r="E45" s="40">
        <v>-282</v>
      </c>
      <c r="H45" s="40">
        <v>-30</v>
      </c>
      <c r="I45" s="40">
        <v>-90</v>
      </c>
      <c r="J45" s="40">
        <v>-132</v>
      </c>
      <c r="O45" s="40">
        <v>101084.6</v>
      </c>
      <c r="P45" s="40">
        <v>91527.78</v>
      </c>
      <c r="Q45" s="40">
        <v>100923.6</v>
      </c>
      <c r="R45" s="40">
        <v>131827.06</v>
      </c>
      <c r="S45" s="40">
        <f>108792+75000</f>
        <v>183792</v>
      </c>
      <c r="T45" s="40">
        <v>105294.1</v>
      </c>
      <c r="U45" s="40">
        <v>108060.06</v>
      </c>
      <c r="V45" s="40">
        <v>107694.1</v>
      </c>
      <c r="W45" s="40">
        <v>104196.18</v>
      </c>
      <c r="X45" s="40">
        <v>106962.14</v>
      </c>
      <c r="Y45" s="40">
        <v>103464.24</v>
      </c>
      <c r="Z45" s="40">
        <v>106230.2</v>
      </c>
      <c r="AA45" s="987">
        <v>106230.2</v>
      </c>
      <c r="AB45" s="987">
        <v>96307.15</v>
      </c>
      <c r="AC45" s="987">
        <v>192934.3</v>
      </c>
      <c r="AD45" s="987"/>
    </row>
    <row r="46" spans="2:74" x14ac:dyDescent="0.25">
      <c r="B46" s="571" t="s">
        <v>1102</v>
      </c>
      <c r="F46" s="40">
        <v>37532</v>
      </c>
      <c r="G46" s="40">
        <v>54</v>
      </c>
      <c r="K46" s="40">
        <v>662</v>
      </c>
      <c r="L46" s="40">
        <v>39</v>
      </c>
      <c r="M46" s="40">
        <v>80</v>
      </c>
      <c r="N46" s="40">
        <v>2</v>
      </c>
      <c r="O46" s="40">
        <v>8.1199999999999992</v>
      </c>
      <c r="P46" s="40">
        <f>4693.43+64.84</f>
        <v>4758.2700000000004</v>
      </c>
      <c r="Q46" s="40">
        <v>57</v>
      </c>
      <c r="R46" s="40">
        <v>15087.66</v>
      </c>
      <c r="S46" s="40">
        <v>6010.3</v>
      </c>
      <c r="T46" s="40">
        <v>6388.13</v>
      </c>
      <c r="U46" s="40">
        <v>8245.48</v>
      </c>
      <c r="V46" s="40">
        <v>11872.02</v>
      </c>
      <c r="W46" s="40">
        <v>12933.45</v>
      </c>
      <c r="X46" s="40">
        <v>9040.23</v>
      </c>
      <c r="Y46" s="40">
        <v>11523.51</v>
      </c>
      <c r="Z46" s="40">
        <v>9917.9699999999993</v>
      </c>
      <c r="AA46" s="987">
        <v>9588.67</v>
      </c>
      <c r="AB46" s="987">
        <v>10534.61</v>
      </c>
      <c r="AC46" s="987">
        <v>8080.3</v>
      </c>
      <c r="AD46" s="987"/>
    </row>
    <row r="49" spans="2:74" x14ac:dyDescent="0.25">
      <c r="B49" s="571" t="s">
        <v>383</v>
      </c>
      <c r="C49" s="987">
        <f>SUM(C10+C11+C12+C13+C21)</f>
        <v>214260.58499</v>
      </c>
      <c r="D49" s="987">
        <f t="shared" ref="D49:AH49" si="44">SUM(D10+D11+D12+D13+D21)</f>
        <v>253242.57470000003</v>
      </c>
      <c r="E49" s="987">
        <f t="shared" si="44"/>
        <v>248678.81236000001</v>
      </c>
      <c r="F49" s="987">
        <f t="shared" si="44"/>
        <v>260355.01525</v>
      </c>
      <c r="G49" s="987">
        <f t="shared" si="44"/>
        <v>272256.17968</v>
      </c>
      <c r="H49" s="987">
        <f t="shared" si="44"/>
        <v>333452.85342999996</v>
      </c>
      <c r="I49" s="987">
        <f t="shared" si="44"/>
        <v>246267.28714999999</v>
      </c>
      <c r="J49" s="987">
        <f t="shared" si="44"/>
        <v>165912.88206</v>
      </c>
      <c r="K49" s="987">
        <f t="shared" si="44"/>
        <v>223995.68609000003</v>
      </c>
      <c r="L49" s="987">
        <f t="shared" si="44"/>
        <v>192752.05244999999</v>
      </c>
      <c r="M49" s="987">
        <f t="shared" si="44"/>
        <v>298808.06406</v>
      </c>
      <c r="N49" s="987">
        <f t="shared" si="44"/>
        <v>452554.44663999998</v>
      </c>
      <c r="O49" s="987">
        <f t="shared" si="44"/>
        <v>198984.7</v>
      </c>
      <c r="P49" s="987">
        <f t="shared" si="44"/>
        <v>204692.63</v>
      </c>
      <c r="Q49" s="987">
        <f t="shared" si="44"/>
        <v>265983.03000000003</v>
      </c>
      <c r="R49" s="987">
        <f t="shared" si="44"/>
        <v>281761.23000000004</v>
      </c>
      <c r="S49" s="987">
        <f t="shared" si="44"/>
        <v>298015.36000000004</v>
      </c>
      <c r="T49" s="987">
        <f t="shared" si="44"/>
        <v>275761.59999999998</v>
      </c>
      <c r="U49" s="987">
        <f t="shared" si="44"/>
        <v>319029.58</v>
      </c>
      <c r="V49" s="987">
        <f t="shared" si="44"/>
        <v>311439.69</v>
      </c>
      <c r="W49" s="987">
        <f t="shared" si="44"/>
        <v>333541.42</v>
      </c>
      <c r="X49" s="987">
        <f t="shared" si="44"/>
        <v>388822.07</v>
      </c>
      <c r="Y49" s="987">
        <f t="shared" si="44"/>
        <v>347426.51</v>
      </c>
      <c r="Z49" s="987">
        <f t="shared" si="44"/>
        <v>355255.58999999997</v>
      </c>
      <c r="AA49" s="987">
        <f t="shared" si="44"/>
        <v>386233.26</v>
      </c>
      <c r="AB49" s="987">
        <f t="shared" si="44"/>
        <v>365282.89999999997</v>
      </c>
      <c r="AC49" s="987">
        <f>SUM(AC10+AC11+AC12+AC13+AC21)</f>
        <v>367365.97</v>
      </c>
      <c r="AD49" s="987">
        <f t="shared" si="44"/>
        <v>512980.24185019312</v>
      </c>
      <c r="AE49" s="987">
        <f t="shared" si="44"/>
        <v>543577.12523745233</v>
      </c>
      <c r="AF49" s="987">
        <f t="shared" si="44"/>
        <v>564173.80744501832</v>
      </c>
      <c r="AG49" s="987">
        <f t="shared" si="44"/>
        <v>549541.53795861499</v>
      </c>
      <c r="AH49" s="987">
        <f t="shared" si="44"/>
        <v>561981.64561202389</v>
      </c>
      <c r="AI49" s="987">
        <f t="shared" ref="AI49:BN49" si="45">SUM(AI10+AI11+AI12+AI13+AI21)</f>
        <v>617599.77547374601</v>
      </c>
      <c r="AJ49" s="987">
        <f t="shared" si="45"/>
        <v>637695.25155156059</v>
      </c>
      <c r="AK49" s="987">
        <f t="shared" si="45"/>
        <v>616423.8511329582</v>
      </c>
      <c r="AL49" s="987">
        <f t="shared" si="45"/>
        <v>611170.42412698071</v>
      </c>
      <c r="AM49" s="987">
        <f t="shared" si="45"/>
        <v>661599.70516267931</v>
      </c>
      <c r="AN49" s="987">
        <f t="shared" si="45"/>
        <v>647815.38414342946</v>
      </c>
      <c r="AO49" s="987">
        <f t="shared" si="45"/>
        <v>668294.68480233965</v>
      </c>
      <c r="AP49" s="987">
        <f t="shared" si="45"/>
        <v>687431.12655287189</v>
      </c>
      <c r="AQ49" s="987">
        <f t="shared" si="45"/>
        <v>705349.83770978847</v>
      </c>
      <c r="AR49" s="987">
        <f t="shared" si="45"/>
        <v>723229.87336521584</v>
      </c>
      <c r="AS49" s="987">
        <f t="shared" si="45"/>
        <v>741087.89280627179</v>
      </c>
      <c r="AT49" s="987">
        <f t="shared" si="45"/>
        <v>759261.52519633737</v>
      </c>
      <c r="AU49" s="987">
        <f t="shared" si="45"/>
        <v>777711.29695073701</v>
      </c>
      <c r="AV49" s="987">
        <f t="shared" si="45"/>
        <v>795592.88483026053</v>
      </c>
      <c r="AW49" s="987">
        <f t="shared" si="45"/>
        <v>813458.93313100538</v>
      </c>
      <c r="AX49" s="987">
        <f t="shared" si="45"/>
        <v>831339.68564088875</v>
      </c>
      <c r="AY49" s="987">
        <f t="shared" si="45"/>
        <v>265840.79942629684</v>
      </c>
      <c r="AZ49" s="987">
        <f t="shared" si="45"/>
        <v>270953.14280841697</v>
      </c>
      <c r="BA49" s="987">
        <f t="shared" si="45"/>
        <v>271933.87160079973</v>
      </c>
      <c r="BB49" s="987">
        <f t="shared" si="45"/>
        <v>250242.69788370602</v>
      </c>
      <c r="BC49" s="987">
        <f t="shared" si="45"/>
        <v>251215.40955998318</v>
      </c>
      <c r="BD49" s="987">
        <f t="shared" si="45"/>
        <v>252198.48609917125</v>
      </c>
      <c r="BE49" s="987">
        <f t="shared" si="45"/>
        <v>253205.99668089004</v>
      </c>
      <c r="BF49" s="987">
        <f t="shared" si="45"/>
        <v>254212.84413263758</v>
      </c>
      <c r="BG49" s="987">
        <f t="shared" si="45"/>
        <v>255227.59890231353</v>
      </c>
      <c r="BH49" s="987">
        <f t="shared" si="45"/>
        <v>256250.66031240337</v>
      </c>
      <c r="BI49" s="987">
        <f t="shared" si="45"/>
        <v>257283.16780236043</v>
      </c>
      <c r="BJ49" s="987">
        <f t="shared" si="45"/>
        <v>258327.01385587451</v>
      </c>
      <c r="BK49" s="987">
        <f t="shared" si="45"/>
        <v>260780.92069560022</v>
      </c>
      <c r="BL49" s="987">
        <f t="shared" si="45"/>
        <v>266207.11118414428</v>
      </c>
      <c r="BM49" s="987">
        <f t="shared" si="45"/>
        <v>267303.35129897686</v>
      </c>
      <c r="BN49" s="987">
        <f t="shared" si="45"/>
        <v>268413.34710577747</v>
      </c>
      <c r="BO49" s="987">
        <f t="shared" ref="BO49:BV49" si="46">SUM(BO10+BO11+BO12+BO13+BO21)</f>
        <v>269534.30008675769</v>
      </c>
      <c r="BP49" s="987">
        <f t="shared" si="46"/>
        <v>270669.99723332858</v>
      </c>
      <c r="BQ49" s="987">
        <f t="shared" si="46"/>
        <v>271819.87558148906</v>
      </c>
      <c r="BR49" s="987">
        <f t="shared" si="46"/>
        <v>272984.3906532423</v>
      </c>
      <c r="BS49" s="987">
        <f t="shared" si="46"/>
        <v>274162.46664943016</v>
      </c>
      <c r="BT49" s="987">
        <f t="shared" si="46"/>
        <v>275355.61660805385</v>
      </c>
      <c r="BU49" s="987">
        <f t="shared" si="46"/>
        <v>276564.36934997485</v>
      </c>
      <c r="BV49" s="987">
        <f t="shared" si="46"/>
        <v>277789.47186618566</v>
      </c>
    </row>
    <row r="52" spans="2:74" ht="12.6" customHeight="1" x14ac:dyDescent="0.25">
      <c r="O52" s="40">
        <f>+O45-O46</f>
        <v>101076.48000000001</v>
      </c>
      <c r="P52" s="40">
        <f t="shared" ref="P52:S52" si="47">+P45-P46</f>
        <v>86769.51</v>
      </c>
      <c r="Q52" s="40">
        <f t="shared" si="47"/>
        <v>100866.6</v>
      </c>
      <c r="R52" s="40">
        <f t="shared" si="47"/>
        <v>116739.4</v>
      </c>
      <c r="S52" s="40">
        <f t="shared" si="47"/>
        <v>177781.7</v>
      </c>
      <c r="T52" s="40">
        <f>+T45-T46</f>
        <v>98905.97</v>
      </c>
      <c r="U52" s="40">
        <f>+U46+U45</f>
        <v>116305.54</v>
      </c>
    </row>
  </sheetData>
  <conditionalFormatting sqref="C6:BV7">
    <cfRule type="expression" dxfId="244" priority="69">
      <formula>C6="actual"</formula>
    </cfRule>
  </conditionalFormatting>
  <conditionalFormatting sqref="AB17:BV17 AC14:BV14 AC11:BV11 Y21:BV22 Y25:BV35">
    <cfRule type="expression" dxfId="243" priority="74">
      <formula>Y$6="actual"</formula>
    </cfRule>
  </conditionalFormatting>
  <conditionalFormatting sqref="Y36:BV36">
    <cfRule type="expression" dxfId="242" priority="19">
      <formula>Y$6="actual"</formula>
    </cfRule>
  </conditionalFormatting>
  <conditionalFormatting sqref="Y37:BV37">
    <cfRule type="expression" dxfId="241" priority="7">
      <formula>Y$6="actual"</formula>
    </cfRule>
  </conditionalFormatting>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tabColor rgb="FFFF0000"/>
  </sheetPr>
  <dimension ref="A1:XFD127"/>
  <sheetViews>
    <sheetView zoomScale="90" zoomScaleNormal="90" workbookViewId="0">
      <pane xSplit="7" ySplit="4" topLeftCell="AD80" activePane="bottomRight" state="frozen"/>
      <selection activeCell="D8" sqref="D8"/>
      <selection pane="topRight" activeCell="D8" sqref="D8"/>
      <selection pane="bottomLeft" activeCell="D8" sqref="D8"/>
      <selection pane="bottomRight" activeCell="AH86" sqref="AH86"/>
    </sheetView>
  </sheetViews>
  <sheetFormatPr defaultColWidth="14.7109375" defaultRowHeight="15" outlineLevelCol="1" x14ac:dyDescent="0.25"/>
  <cols>
    <col min="1" max="1" width="3.42578125" style="884" customWidth="1"/>
    <col min="2" max="4" width="3" style="922" customWidth="1"/>
    <col min="5" max="6" width="3" style="958" customWidth="1"/>
    <col min="7" max="7" width="43.5703125" style="958" customWidth="1"/>
    <col min="8" max="9" width="14.28515625" style="887" customWidth="1"/>
    <col min="10" max="10" width="14.28515625" style="887" hidden="1" customWidth="1" outlineLevel="1"/>
    <col min="11" max="12" width="14.85546875" style="887" hidden="1" customWidth="1" outlineLevel="1"/>
    <col min="13" max="13" width="15.7109375" style="887" hidden="1" customWidth="1" outlineLevel="1"/>
    <col min="14" max="15" width="15.42578125" style="887" hidden="1" customWidth="1" outlineLevel="1"/>
    <col min="16" max="17" width="15.7109375" style="887" hidden="1" customWidth="1" outlineLevel="1"/>
    <col min="18" max="20" width="14.7109375" style="887" hidden="1" customWidth="1" outlineLevel="1"/>
    <col min="21" max="21" width="16.140625" style="887" customWidth="1" collapsed="1"/>
    <col min="22" max="22" width="15.85546875" style="887" customWidth="1"/>
    <col min="23" max="25" width="15.5703125" style="887" bestFit="1" customWidth="1"/>
    <col min="26" max="26" width="18.28515625" style="887" bestFit="1" customWidth="1"/>
    <col min="27" max="27" width="14.7109375" style="887"/>
    <col min="28" max="31" width="15.5703125" style="887" bestFit="1" customWidth="1"/>
    <col min="32" max="34" width="14.7109375" style="887"/>
    <col min="35" max="36" width="14.7109375" style="887" customWidth="1" collapsed="1"/>
    <col min="37" max="81" width="14.7109375" style="887"/>
    <col min="82" max="16384" width="14.7109375" style="956"/>
  </cols>
  <sheetData>
    <row r="1" spans="1:81 16384:16384" s="168" customFormat="1" x14ac:dyDescent="0.25">
      <c r="A1" s="570"/>
      <c r="B1" s="208"/>
      <c r="C1" s="208"/>
      <c r="D1" s="208"/>
      <c r="E1" s="208"/>
      <c r="F1" s="208"/>
      <c r="G1" s="208"/>
      <c r="H1" s="40"/>
      <c r="I1" s="40"/>
      <c r="J1" s="40"/>
      <c r="K1" s="40"/>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row>
    <row r="2" spans="1:81 16384:16384" s="168" customFormat="1" x14ac:dyDescent="0.25">
      <c r="A2" s="570"/>
      <c r="B2" s="905" t="s">
        <v>1112</v>
      </c>
      <c r="C2" s="208"/>
      <c r="D2" s="208"/>
      <c r="E2" s="208"/>
      <c r="F2" s="208"/>
      <c r="G2" s="208"/>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row>
    <row r="3" spans="1:81 16384:16384" s="168" customFormat="1" x14ac:dyDescent="0.25">
      <c r="A3" s="570"/>
      <c r="B3" s="209"/>
      <c r="C3" s="209"/>
      <c r="D3" s="209"/>
      <c r="E3" s="209"/>
      <c r="F3" s="209"/>
      <c r="G3" s="999" t="s">
        <v>924</v>
      </c>
      <c r="H3" s="865">
        <v>40513</v>
      </c>
      <c r="I3" s="865">
        <v>40878</v>
      </c>
      <c r="J3" s="865">
        <f>'Cost Summary'!C3</f>
        <v>40909</v>
      </c>
      <c r="K3" s="865">
        <f>'Cost Summary'!D3</f>
        <v>40942</v>
      </c>
      <c r="L3" s="865">
        <f>'Cost Summary'!E3</f>
        <v>40975</v>
      </c>
      <c r="M3" s="865">
        <f>'Cost Summary'!F3</f>
        <v>41008</v>
      </c>
      <c r="N3" s="865">
        <f>'Cost Summary'!G3</f>
        <v>41041</v>
      </c>
      <c r="O3" s="865">
        <f>'Cost Summary'!H3</f>
        <v>41074</v>
      </c>
      <c r="P3" s="865">
        <f>'Cost Summary'!I3</f>
        <v>41107</v>
      </c>
      <c r="Q3" s="865">
        <f>'Cost Summary'!J3</f>
        <v>41140</v>
      </c>
      <c r="R3" s="865">
        <f>'Cost Summary'!K3</f>
        <v>41173</v>
      </c>
      <c r="S3" s="865">
        <f>'Cost Summary'!L3</f>
        <v>41206</v>
      </c>
      <c r="T3" s="865">
        <f>'Cost Summary'!M3</f>
        <v>41239</v>
      </c>
      <c r="U3" s="865">
        <f>'Cost Summary'!N3</f>
        <v>41272</v>
      </c>
      <c r="V3" s="865">
        <f>'Cost Summary'!O3</f>
        <v>41282</v>
      </c>
      <c r="W3" s="865">
        <f>'Cost Summary'!P3</f>
        <v>41312</v>
      </c>
      <c r="X3" s="865">
        <f>'Cost Summary'!Q3</f>
        <v>41342</v>
      </c>
      <c r="Y3" s="865">
        <f>'Cost Summary'!R3</f>
        <v>41372</v>
      </c>
      <c r="Z3" s="865">
        <f>'Cost Summary'!S3</f>
        <v>41402</v>
      </c>
      <c r="AA3" s="865">
        <f>'Cost Summary'!T3</f>
        <v>41432</v>
      </c>
      <c r="AB3" s="865">
        <f>'Cost Summary'!U3</f>
        <v>41462</v>
      </c>
      <c r="AC3" s="865">
        <f>'Cost Summary'!V3</f>
        <v>41492</v>
      </c>
      <c r="AD3" s="865">
        <f>'Cost Summary'!W3</f>
        <v>41522</v>
      </c>
      <c r="AE3" s="865">
        <f>'Cost Summary'!X3</f>
        <v>41552</v>
      </c>
      <c r="AF3" s="865">
        <f>'Cost Summary'!Y3</f>
        <v>41582</v>
      </c>
      <c r="AG3" s="865">
        <f>'Cost Summary'!Z3</f>
        <v>41612</v>
      </c>
      <c r="AH3" s="865">
        <f>'Cost Summary'!AA3</f>
        <v>41642</v>
      </c>
      <c r="AI3" s="865">
        <v>41675</v>
      </c>
      <c r="AJ3" s="865">
        <f>'Cost Summary'!AC3</f>
        <v>41708</v>
      </c>
      <c r="AK3" s="865">
        <f>'Cost Summary'!AD3</f>
        <v>41741</v>
      </c>
      <c r="AL3" s="865">
        <f>'Cost Summary'!AE3</f>
        <v>41774</v>
      </c>
      <c r="AM3" s="865">
        <f>'Cost Summary'!AF3</f>
        <v>41807</v>
      </c>
      <c r="AN3" s="865">
        <f>'Cost Summary'!AG3</f>
        <v>41840</v>
      </c>
      <c r="AO3" s="865">
        <f>'Cost Summary'!AH3</f>
        <v>41873</v>
      </c>
      <c r="AP3" s="865">
        <f>'Cost Summary'!AI3</f>
        <v>41906</v>
      </c>
      <c r="AQ3" s="865">
        <f>'Cost Summary'!AJ3</f>
        <v>41939</v>
      </c>
      <c r="AR3" s="865">
        <f>'Cost Summary'!AK3</f>
        <v>41972</v>
      </c>
      <c r="AS3" s="865">
        <f>'Cost Summary'!AL3</f>
        <v>41982</v>
      </c>
      <c r="AT3" s="865">
        <f>'Cost Summary'!AM3</f>
        <v>42012</v>
      </c>
      <c r="AU3" s="865">
        <f>'Cost Summary'!AN3</f>
        <v>42042</v>
      </c>
      <c r="AV3" s="865">
        <f>'Cost Summary'!AO3</f>
        <v>42072</v>
      </c>
      <c r="AW3" s="865">
        <f>'Cost Summary'!AP3</f>
        <v>42102</v>
      </c>
      <c r="AX3" s="865">
        <f>'Cost Summary'!AQ3</f>
        <v>42132</v>
      </c>
      <c r="AY3" s="865">
        <f>'Cost Summary'!AR3</f>
        <v>42162</v>
      </c>
      <c r="AZ3" s="865">
        <f>'Cost Summary'!AS3</f>
        <v>42192</v>
      </c>
      <c r="BA3" s="865">
        <f>'Cost Summary'!AT3</f>
        <v>42222</v>
      </c>
      <c r="BB3" s="865">
        <f>'Cost Summary'!AU3</f>
        <v>42252</v>
      </c>
      <c r="BC3" s="865">
        <f>'Cost Summary'!AV3</f>
        <v>42282</v>
      </c>
      <c r="BD3" s="865">
        <f>'Cost Summary'!AW3</f>
        <v>42312</v>
      </c>
      <c r="BE3" s="865">
        <f>'Cost Summary'!AX3</f>
        <v>42342</v>
      </c>
      <c r="BF3" s="865">
        <f>'Cost Summary'!AY3</f>
        <v>42372</v>
      </c>
      <c r="BG3" s="865">
        <v>42403</v>
      </c>
      <c r="BH3" s="865">
        <v>42432</v>
      </c>
      <c r="BI3" s="865">
        <v>42463</v>
      </c>
      <c r="BJ3" s="865">
        <v>42493</v>
      </c>
      <c r="BK3" s="865">
        <v>42524</v>
      </c>
      <c r="BL3" s="865">
        <v>42554</v>
      </c>
      <c r="BM3" s="865">
        <v>42585</v>
      </c>
      <c r="BN3" s="865">
        <v>42616</v>
      </c>
      <c r="BO3" s="865">
        <v>42646</v>
      </c>
      <c r="BP3" s="865">
        <v>42677</v>
      </c>
      <c r="BQ3" s="865">
        <v>42707</v>
      </c>
      <c r="BR3" s="865">
        <v>42738</v>
      </c>
      <c r="BS3" s="865">
        <v>42769</v>
      </c>
      <c r="BT3" s="865">
        <v>42797</v>
      </c>
      <c r="BU3" s="865">
        <v>42828</v>
      </c>
      <c r="BV3" s="865">
        <v>42858</v>
      </c>
      <c r="BW3" s="865">
        <v>42889</v>
      </c>
      <c r="BX3" s="865">
        <v>42919</v>
      </c>
      <c r="BY3" s="865">
        <v>42950</v>
      </c>
      <c r="BZ3" s="865">
        <v>42981</v>
      </c>
      <c r="CA3" s="865">
        <v>43011</v>
      </c>
      <c r="CB3" s="865">
        <v>43042</v>
      </c>
      <c r="CC3" s="865">
        <v>43072</v>
      </c>
    </row>
    <row r="4" spans="1:81 16384:16384" s="168" customFormat="1" x14ac:dyDescent="0.25">
      <c r="A4" s="570"/>
      <c r="B4" s="209"/>
      <c r="C4" s="209"/>
      <c r="D4" s="209"/>
      <c r="E4" s="209"/>
      <c r="F4" s="209"/>
      <c r="G4" s="998" t="s">
        <v>1107</v>
      </c>
      <c r="H4" s="943" t="s">
        <v>5</v>
      </c>
      <c r="I4" s="943" t="s">
        <v>5</v>
      </c>
      <c r="J4" s="943" t="s">
        <v>5</v>
      </c>
      <c r="K4" s="943" t="s">
        <v>5</v>
      </c>
      <c r="L4" s="943" t="s">
        <v>5</v>
      </c>
      <c r="M4" s="943" t="s">
        <v>5</v>
      </c>
      <c r="N4" s="943" t="s">
        <v>5</v>
      </c>
      <c r="O4" s="943" t="s">
        <v>5</v>
      </c>
      <c r="P4" s="943" t="s">
        <v>5</v>
      </c>
      <c r="Q4" s="943" t="s">
        <v>5</v>
      </c>
      <c r="R4" s="231" t="s">
        <v>5</v>
      </c>
      <c r="S4" s="231" t="s">
        <v>5</v>
      </c>
      <c r="T4" s="231" t="s">
        <v>5</v>
      </c>
      <c r="U4" s="231" t="s">
        <v>5</v>
      </c>
      <c r="V4" s="231" t="s">
        <v>5</v>
      </c>
      <c r="W4" s="231" t="s">
        <v>5</v>
      </c>
      <c r="X4" s="231" t="s">
        <v>5</v>
      </c>
      <c r="Y4" s="231" t="s">
        <v>5</v>
      </c>
      <c r="Z4" s="231" t="s">
        <v>5</v>
      </c>
      <c r="AA4" s="231" t="s">
        <v>5</v>
      </c>
      <c r="AB4" s="231" t="s">
        <v>5</v>
      </c>
      <c r="AC4" s="231" t="s">
        <v>5</v>
      </c>
      <c r="AD4" s="231" t="s">
        <v>5</v>
      </c>
      <c r="AE4" s="231" t="s">
        <v>5</v>
      </c>
      <c r="AF4" s="231" t="s">
        <v>5</v>
      </c>
      <c r="AG4" s="231" t="s">
        <v>5</v>
      </c>
      <c r="AH4" s="231" t="s">
        <v>5</v>
      </c>
      <c r="AI4" s="231" t="s">
        <v>5</v>
      </c>
      <c r="AJ4" s="231" t="s">
        <v>5</v>
      </c>
      <c r="AK4" s="231" t="s">
        <v>6</v>
      </c>
      <c r="AL4" s="231" t="s">
        <v>6</v>
      </c>
      <c r="AM4" s="231" t="s">
        <v>6</v>
      </c>
      <c r="AN4" s="231" t="s">
        <v>6</v>
      </c>
      <c r="AO4" s="231" t="s">
        <v>6</v>
      </c>
      <c r="AP4" s="231" t="s">
        <v>6</v>
      </c>
      <c r="AQ4" s="231" t="s">
        <v>6</v>
      </c>
      <c r="AR4" s="231" t="s">
        <v>6</v>
      </c>
      <c r="AS4" s="231" t="s">
        <v>6</v>
      </c>
      <c r="AT4" s="231" t="s">
        <v>6</v>
      </c>
      <c r="AU4" s="231" t="s">
        <v>6</v>
      </c>
      <c r="AV4" s="231" t="s">
        <v>6</v>
      </c>
      <c r="AW4" s="231" t="s">
        <v>6</v>
      </c>
      <c r="AX4" s="231" t="s">
        <v>6</v>
      </c>
      <c r="AY4" s="231" t="s">
        <v>6</v>
      </c>
      <c r="AZ4" s="231" t="s">
        <v>6</v>
      </c>
      <c r="BA4" s="231" t="s">
        <v>6</v>
      </c>
      <c r="BB4" s="231" t="s">
        <v>6</v>
      </c>
      <c r="BC4" s="231" t="s">
        <v>6</v>
      </c>
      <c r="BD4" s="231" t="s">
        <v>6</v>
      </c>
      <c r="BE4" s="231" t="s">
        <v>6</v>
      </c>
      <c r="BF4" s="231" t="s">
        <v>6</v>
      </c>
      <c r="BG4" s="231" t="s">
        <v>6</v>
      </c>
      <c r="BH4" s="231" t="s">
        <v>6</v>
      </c>
      <c r="BI4" s="231" t="s">
        <v>6</v>
      </c>
      <c r="BJ4" s="231" t="s">
        <v>6</v>
      </c>
      <c r="BK4" s="231" t="s">
        <v>6</v>
      </c>
      <c r="BL4" s="231" t="s">
        <v>6</v>
      </c>
      <c r="BM4" s="231" t="s">
        <v>6</v>
      </c>
      <c r="BN4" s="231" t="s">
        <v>6</v>
      </c>
      <c r="BO4" s="231" t="s">
        <v>6</v>
      </c>
      <c r="BP4" s="231" t="s">
        <v>6</v>
      </c>
      <c r="BQ4" s="231" t="s">
        <v>6</v>
      </c>
      <c r="BR4" s="231" t="s">
        <v>6</v>
      </c>
      <c r="BS4" s="231" t="s">
        <v>6</v>
      </c>
      <c r="BT4" s="231" t="s">
        <v>6</v>
      </c>
      <c r="BU4" s="231" t="s">
        <v>6</v>
      </c>
      <c r="BV4" s="231" t="s">
        <v>6</v>
      </c>
      <c r="BW4" s="231" t="s">
        <v>6</v>
      </c>
      <c r="BX4" s="231" t="s">
        <v>6</v>
      </c>
      <c r="BY4" s="231" t="s">
        <v>6</v>
      </c>
      <c r="BZ4" s="231" t="s">
        <v>6</v>
      </c>
      <c r="CA4" s="231" t="s">
        <v>6</v>
      </c>
      <c r="CB4" s="231" t="s">
        <v>6</v>
      </c>
      <c r="CC4" s="231" t="s">
        <v>6</v>
      </c>
    </row>
    <row r="5" spans="1:81 16384:16384" s="168" customFormat="1" x14ac:dyDescent="0.25">
      <c r="A5" s="570"/>
      <c r="B5" s="209"/>
      <c r="C5" s="209"/>
      <c r="D5" s="209"/>
      <c r="E5" s="209"/>
      <c r="F5" s="209"/>
      <c r="G5" s="571"/>
      <c r="H5" s="40"/>
      <c r="I5" s="40"/>
      <c r="J5" s="40"/>
      <c r="K5" s="40"/>
      <c r="L5" s="40"/>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row>
    <row r="6" spans="1:81 16384:16384" s="954" customFormat="1" x14ac:dyDescent="0.25">
      <c r="A6" s="890"/>
      <c r="B6" s="905" t="s">
        <v>1070</v>
      </c>
      <c r="C6" s="906"/>
      <c r="D6" s="906"/>
      <c r="E6" s="906"/>
      <c r="F6" s="906"/>
      <c r="G6" s="998"/>
      <c r="H6" s="890"/>
      <c r="I6" s="890"/>
      <c r="J6" s="890"/>
      <c r="K6" s="890"/>
      <c r="L6" s="890"/>
      <c r="M6" s="890"/>
      <c r="N6" s="890"/>
      <c r="O6" s="890"/>
      <c r="P6" s="890"/>
      <c r="Q6" s="890"/>
      <c r="R6" s="890"/>
      <c r="S6" s="890"/>
      <c r="T6" s="890"/>
      <c r="U6" s="890"/>
      <c r="V6" s="890"/>
      <c r="W6" s="890"/>
      <c r="X6" s="890"/>
      <c r="Y6" s="890"/>
      <c r="Z6" s="890"/>
      <c r="AA6" s="890"/>
      <c r="AB6" s="890"/>
      <c r="AC6" s="890"/>
      <c r="AD6" s="890"/>
      <c r="AE6" s="890"/>
      <c r="AF6" s="890"/>
      <c r="AG6" s="890"/>
      <c r="AH6" s="890"/>
      <c r="AI6" s="890"/>
      <c r="AJ6" s="890"/>
      <c r="AK6" s="890"/>
      <c r="AL6" s="890"/>
      <c r="AM6" s="890"/>
      <c r="AN6" s="890"/>
      <c r="AO6" s="890"/>
      <c r="AP6" s="890"/>
      <c r="AQ6" s="890"/>
      <c r="AR6" s="890"/>
      <c r="AS6" s="890"/>
      <c r="AT6" s="890"/>
      <c r="AU6" s="890"/>
      <c r="AV6" s="890"/>
      <c r="AW6" s="890"/>
      <c r="AX6" s="890"/>
      <c r="AY6" s="890"/>
      <c r="AZ6" s="890"/>
      <c r="BA6" s="890"/>
      <c r="BB6" s="890"/>
      <c r="BC6" s="890"/>
      <c r="BD6" s="890"/>
      <c r="BE6" s="890"/>
      <c r="BF6" s="890"/>
      <c r="BG6" s="890"/>
      <c r="BH6" s="890"/>
      <c r="BI6" s="890"/>
      <c r="BJ6" s="890"/>
      <c r="BK6" s="890"/>
      <c r="BL6" s="890"/>
      <c r="BM6" s="890"/>
      <c r="BN6" s="890"/>
      <c r="BO6" s="890"/>
      <c r="BP6" s="890"/>
      <c r="BQ6" s="890"/>
      <c r="BR6" s="890"/>
      <c r="BS6" s="890"/>
      <c r="BT6" s="890"/>
      <c r="BU6" s="890"/>
      <c r="BV6" s="890"/>
      <c r="BW6" s="890"/>
      <c r="BX6" s="890"/>
      <c r="BY6" s="890"/>
      <c r="BZ6" s="890"/>
      <c r="CA6" s="890"/>
      <c r="CB6" s="890"/>
      <c r="CC6" s="890"/>
    </row>
    <row r="7" spans="1:81 16384:16384" s="954" customFormat="1" x14ac:dyDescent="0.25">
      <c r="A7" s="890"/>
      <c r="B7" s="906"/>
      <c r="C7" s="907" t="s">
        <v>89</v>
      </c>
      <c r="D7" s="907"/>
      <c r="E7" s="907"/>
      <c r="F7" s="907"/>
      <c r="G7" s="907"/>
      <c r="H7" s="903"/>
      <c r="I7" s="903"/>
      <c r="J7" s="903"/>
      <c r="K7" s="903"/>
      <c r="L7" s="903"/>
      <c r="M7" s="903"/>
      <c r="N7" s="903"/>
      <c r="O7" s="903"/>
      <c r="P7" s="903"/>
      <c r="Q7" s="903"/>
      <c r="R7" s="903"/>
      <c r="S7" s="903"/>
      <c r="T7" s="903"/>
      <c r="U7" s="903"/>
      <c r="V7" s="903"/>
      <c r="W7" s="903"/>
      <c r="X7" s="903"/>
      <c r="Y7" s="903"/>
      <c r="Z7" s="903"/>
      <c r="AA7" s="903"/>
      <c r="AB7" s="903"/>
      <c r="AC7" s="903"/>
      <c r="AD7" s="903"/>
      <c r="AE7" s="903"/>
      <c r="AF7" s="903"/>
      <c r="AG7" s="903"/>
      <c r="AH7" s="903"/>
      <c r="AI7" s="903"/>
      <c r="AJ7" s="903"/>
      <c r="AK7" s="903"/>
      <c r="AL7" s="903"/>
      <c r="AM7" s="903"/>
      <c r="AN7" s="903"/>
      <c r="AO7" s="903"/>
      <c r="AP7" s="903"/>
      <c r="AQ7" s="903"/>
      <c r="AR7" s="903"/>
      <c r="AS7" s="903"/>
      <c r="AT7" s="903"/>
      <c r="AU7" s="903"/>
      <c r="AV7" s="903"/>
      <c r="AW7" s="903"/>
      <c r="AX7" s="903"/>
      <c r="AY7" s="903"/>
      <c r="AZ7" s="903"/>
      <c r="BA7" s="903"/>
      <c r="BB7" s="903"/>
      <c r="BC7" s="903"/>
      <c r="BD7" s="903"/>
      <c r="BE7" s="903"/>
      <c r="BF7" s="903"/>
      <c r="BG7" s="903"/>
      <c r="BH7" s="903"/>
      <c r="BI7" s="903"/>
      <c r="BJ7" s="903"/>
      <c r="BK7" s="903"/>
      <c r="BL7" s="903"/>
      <c r="BM7" s="903"/>
      <c r="BN7" s="903"/>
      <c r="BO7" s="903"/>
      <c r="BP7" s="903"/>
      <c r="BQ7" s="903"/>
      <c r="BR7" s="903"/>
      <c r="BS7" s="903"/>
      <c r="BT7" s="903"/>
      <c r="BU7" s="903"/>
      <c r="BV7" s="903"/>
      <c r="BW7" s="903"/>
      <c r="BX7" s="903"/>
      <c r="BY7" s="903"/>
      <c r="BZ7" s="903"/>
      <c r="CA7" s="903"/>
      <c r="CB7" s="903"/>
      <c r="CC7" s="903"/>
    </row>
    <row r="8" spans="1:81 16384:16384" s="954" customFormat="1" x14ac:dyDescent="0.25">
      <c r="A8" s="890"/>
      <c r="B8" s="906"/>
      <c r="C8" s="906"/>
      <c r="D8" s="908" t="s">
        <v>150</v>
      </c>
      <c r="E8" s="908"/>
      <c r="F8" s="908"/>
      <c r="G8" s="908"/>
      <c r="H8" s="904"/>
      <c r="I8" s="904"/>
      <c r="J8" s="904"/>
      <c r="K8" s="904"/>
      <c r="L8" s="904"/>
      <c r="M8" s="904"/>
      <c r="N8" s="904"/>
      <c r="O8" s="904"/>
      <c r="P8" s="904"/>
      <c r="Q8" s="904"/>
      <c r="R8" s="904"/>
      <c r="S8" s="904"/>
      <c r="T8" s="904"/>
      <c r="U8" s="904"/>
      <c r="V8" s="904"/>
      <c r="W8" s="904"/>
      <c r="X8" s="904"/>
      <c r="Y8" s="904"/>
      <c r="Z8" s="904"/>
      <c r="AA8" s="904"/>
      <c r="AB8" s="904"/>
      <c r="AC8" s="904"/>
      <c r="AD8" s="904"/>
      <c r="AE8" s="904"/>
      <c r="AF8" s="904"/>
      <c r="AG8" s="904"/>
      <c r="AH8" s="904"/>
      <c r="AI8" s="904"/>
      <c r="AJ8" s="904"/>
      <c r="AK8" s="904"/>
      <c r="AL8" s="904"/>
      <c r="AM8" s="904"/>
      <c r="AN8" s="904"/>
      <c r="AO8" s="904"/>
      <c r="AP8" s="904"/>
      <c r="AQ8" s="904"/>
      <c r="AR8" s="904"/>
      <c r="AS8" s="904"/>
      <c r="AT8" s="904"/>
      <c r="AU8" s="904"/>
      <c r="AV8" s="904"/>
      <c r="AW8" s="904"/>
      <c r="AX8" s="904"/>
      <c r="AY8" s="904"/>
      <c r="AZ8" s="904"/>
      <c r="BA8" s="904"/>
      <c r="BB8" s="904"/>
      <c r="BC8" s="904"/>
      <c r="BD8" s="904"/>
      <c r="BE8" s="904"/>
      <c r="BF8" s="904"/>
      <c r="BG8" s="904"/>
      <c r="BH8" s="904"/>
      <c r="BI8" s="904"/>
      <c r="BJ8" s="904"/>
      <c r="BK8" s="904"/>
      <c r="BL8" s="904"/>
      <c r="BM8" s="904"/>
      <c r="BN8" s="904"/>
      <c r="BO8" s="904"/>
      <c r="BP8" s="904"/>
      <c r="BQ8" s="904"/>
      <c r="BR8" s="904"/>
      <c r="BS8" s="904"/>
      <c r="BT8" s="904"/>
      <c r="BU8" s="904"/>
      <c r="BV8" s="904"/>
      <c r="BW8" s="904"/>
      <c r="BX8" s="904"/>
      <c r="BY8" s="904"/>
      <c r="BZ8" s="904"/>
      <c r="CA8" s="904"/>
      <c r="CB8" s="904"/>
      <c r="CC8" s="904"/>
    </row>
    <row r="9" spans="1:81 16384:16384" s="953" customFormat="1" x14ac:dyDescent="0.25">
      <c r="A9" s="570"/>
      <c r="B9" s="909"/>
      <c r="C9" s="909"/>
      <c r="D9" s="909"/>
      <c r="E9" s="972" t="s">
        <v>719</v>
      </c>
      <c r="F9" s="972"/>
      <c r="G9" s="972"/>
      <c r="H9" s="929"/>
      <c r="I9" s="929"/>
      <c r="J9" s="929"/>
      <c r="K9" s="929"/>
      <c r="L9" s="929"/>
      <c r="M9" s="929"/>
      <c r="N9" s="929"/>
      <c r="O9" s="929"/>
      <c r="P9" s="929"/>
      <c r="Q9" s="930"/>
      <c r="R9" s="930"/>
      <c r="S9" s="930"/>
      <c r="T9" s="930"/>
      <c r="U9" s="930"/>
      <c r="V9" s="929">
        <v>0</v>
      </c>
      <c r="W9" s="929">
        <v>0</v>
      </c>
      <c r="X9" s="929">
        <v>0</v>
      </c>
      <c r="Y9" s="929">
        <v>980.88</v>
      </c>
      <c r="Z9" s="929">
        <v>2633.86</v>
      </c>
      <c r="AA9" s="929">
        <v>3548.55</v>
      </c>
      <c r="AB9" s="929">
        <v>4180.67</v>
      </c>
      <c r="AC9" s="929">
        <v>3969.41</v>
      </c>
      <c r="AD9" s="929">
        <v>4170.75</v>
      </c>
      <c r="AE9" s="930">
        <v>4170.75</v>
      </c>
      <c r="AF9" s="930">
        <v>4170.75</v>
      </c>
      <c r="AG9" s="930">
        <v>4170.75</v>
      </c>
      <c r="AH9" s="930">
        <v>4170.75</v>
      </c>
      <c r="AI9" s="930">
        <v>4170.75</v>
      </c>
      <c r="AJ9" s="930">
        <v>4170.75</v>
      </c>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s="40"/>
      <c r="BM9" s="40"/>
      <c r="BN9" s="40"/>
      <c r="BO9" s="40"/>
      <c r="BP9" s="40"/>
      <c r="BQ9" s="40"/>
      <c r="BR9" s="40"/>
      <c r="BS9" s="40"/>
      <c r="BT9" s="40"/>
      <c r="BU9" s="40"/>
      <c r="BV9" s="40"/>
      <c r="BW9" s="40"/>
      <c r="BX9" s="40"/>
      <c r="BY9" s="40"/>
      <c r="BZ9" s="40"/>
      <c r="CA9" s="40"/>
      <c r="CB9" s="40"/>
      <c r="CC9" s="40"/>
    </row>
    <row r="10" spans="1:81 16384:16384" s="953" customFormat="1" x14ac:dyDescent="0.25">
      <c r="A10" s="570"/>
      <c r="B10" s="909"/>
      <c r="C10" s="909"/>
      <c r="D10" s="909"/>
      <c r="E10" s="972" t="s">
        <v>720</v>
      </c>
      <c r="F10" s="972"/>
      <c r="G10" s="972"/>
      <c r="H10" s="929"/>
      <c r="I10" s="929"/>
      <c r="J10" s="929"/>
      <c r="K10" s="929"/>
      <c r="L10" s="929"/>
      <c r="M10" s="929"/>
      <c r="N10" s="929"/>
      <c r="O10" s="929"/>
      <c r="P10" s="929"/>
      <c r="Q10" s="930"/>
      <c r="R10" s="930"/>
      <c r="S10" s="930"/>
      <c r="T10" s="930"/>
      <c r="U10" s="930"/>
      <c r="V10" s="929">
        <v>0</v>
      </c>
      <c r="W10" s="929">
        <v>0</v>
      </c>
      <c r="X10" s="929">
        <v>0</v>
      </c>
      <c r="Y10" s="929">
        <v>-980.88</v>
      </c>
      <c r="Z10" s="929">
        <v>-2633.86</v>
      </c>
      <c r="AA10" s="929">
        <v>-3548.55</v>
      </c>
      <c r="AB10" s="929">
        <v>-4170.75</v>
      </c>
      <c r="AC10" s="929">
        <v>-4170.75</v>
      </c>
      <c r="AD10" s="929">
        <v>-4170.75</v>
      </c>
      <c r="AE10" s="930">
        <v>-4170.75</v>
      </c>
      <c r="AF10" s="929">
        <v>-4170.75</v>
      </c>
      <c r="AG10" s="929">
        <v>-4170.75</v>
      </c>
      <c r="AH10" s="930">
        <v>-4170.75</v>
      </c>
      <c r="AI10" s="930">
        <v>-4170.75</v>
      </c>
      <c r="AJ10" s="930">
        <v>-4170.75</v>
      </c>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row>
    <row r="11" spans="1:81 16384:16384" s="953" customFormat="1" x14ac:dyDescent="0.25">
      <c r="A11" s="570"/>
      <c r="B11" s="909"/>
      <c r="C11" s="909"/>
      <c r="D11" s="909"/>
      <c r="E11" s="972" t="s">
        <v>760</v>
      </c>
      <c r="F11" s="972"/>
      <c r="G11" s="972"/>
      <c r="H11" s="929"/>
      <c r="I11" s="929"/>
      <c r="J11" s="929"/>
      <c r="K11" s="929"/>
      <c r="L11" s="929"/>
      <c r="M11" s="929"/>
      <c r="N11" s="929"/>
      <c r="O11" s="929"/>
      <c r="P11" s="929"/>
      <c r="Q11" s="930"/>
      <c r="R11" s="930"/>
      <c r="S11" s="930"/>
      <c r="T11" s="930"/>
      <c r="U11" s="930"/>
      <c r="V11" s="929">
        <v>0</v>
      </c>
      <c r="W11" s="929">
        <v>0</v>
      </c>
      <c r="X11" s="929">
        <v>0</v>
      </c>
      <c r="Y11" s="929">
        <v>0</v>
      </c>
      <c r="Z11" s="929">
        <v>0</v>
      </c>
      <c r="AA11" s="929">
        <v>0</v>
      </c>
      <c r="AB11" s="929">
        <v>3650570.77</v>
      </c>
      <c r="AC11" s="929">
        <v>2675292.02</v>
      </c>
      <c r="AD11" s="929">
        <v>2338207.8199999998</v>
      </c>
      <c r="AE11" s="930">
        <v>2123517.2000000002</v>
      </c>
      <c r="AF11" s="930">
        <v>1750667.09</v>
      </c>
      <c r="AG11" s="438">
        <v>1833221.33</v>
      </c>
      <c r="AH11" s="930">
        <v>1029839.96</v>
      </c>
      <c r="AI11" s="930">
        <v>1140050.56</v>
      </c>
      <c r="AJ11" s="930">
        <v>1344007.29</v>
      </c>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row>
    <row r="12" spans="1:81 16384:16384" s="953" customFormat="1" x14ac:dyDescent="0.25">
      <c r="A12" s="570"/>
      <c r="B12" s="909"/>
      <c r="C12" s="909"/>
      <c r="D12" s="909"/>
      <c r="E12" s="972" t="s">
        <v>342</v>
      </c>
      <c r="F12" s="972"/>
      <c r="G12" s="972"/>
      <c r="H12" s="929">
        <f>156405.94+1693036.66+1303131.39</f>
        <v>3152573.9899999998</v>
      </c>
      <c r="I12" s="929">
        <f>299664.69+2335798.8+1333419.2</f>
        <v>3968882.6899999995</v>
      </c>
      <c r="J12" s="929">
        <v>556239.32999999996</v>
      </c>
      <c r="K12" s="929">
        <v>625022.69999999995</v>
      </c>
      <c r="L12" s="929">
        <v>508440.57</v>
      </c>
      <c r="M12" s="929">
        <v>790936.38</v>
      </c>
      <c r="N12" s="929">
        <v>1579237.08</v>
      </c>
      <c r="O12" s="929">
        <v>341919.92000000004</v>
      </c>
      <c r="P12" s="929">
        <v>488849.85000000003</v>
      </c>
      <c r="Q12" s="930">
        <v>505430.76</v>
      </c>
      <c r="R12" s="930">
        <v>761113.43</v>
      </c>
      <c r="S12" s="930">
        <v>447146.44000000006</v>
      </c>
      <c r="T12" s="930">
        <v>434617.82</v>
      </c>
      <c r="U12" s="930">
        <v>3155548.55</v>
      </c>
      <c r="V12" s="929">
        <v>3055968.97</v>
      </c>
      <c r="W12" s="929">
        <v>3122254.29</v>
      </c>
      <c r="X12" s="929">
        <v>4273164.28</v>
      </c>
      <c r="Y12" s="931">
        <v>4368796.71</v>
      </c>
      <c r="Z12" s="929">
        <v>4309267.96</v>
      </c>
      <c r="AA12" s="929">
        <v>4359931.88</v>
      </c>
      <c r="AB12" s="929">
        <v>356332.19</v>
      </c>
      <c r="AC12" s="929">
        <v>525761.01</v>
      </c>
      <c r="AD12" s="929">
        <v>1311738.7</v>
      </c>
      <c r="AE12" s="929">
        <v>1064781.67</v>
      </c>
      <c r="AF12" s="929">
        <v>1067893.07</v>
      </c>
      <c r="AG12" s="929">
        <v>488453.19</v>
      </c>
      <c r="AH12" s="930">
        <v>921105.14</v>
      </c>
      <c r="AI12" s="930">
        <v>844798.7</v>
      </c>
      <c r="AJ12" s="930">
        <v>950244.8600000001</v>
      </c>
      <c r="AK12" s="40"/>
      <c r="AL12" s="40"/>
      <c r="AM12" s="40"/>
      <c r="AN12" s="40"/>
      <c r="AO12" s="40"/>
      <c r="AP12" s="930" t="s">
        <v>917</v>
      </c>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XFD12" s="930" t="s">
        <v>917</v>
      </c>
    </row>
    <row r="13" spans="1:81 16384:16384" s="953" customFormat="1" x14ac:dyDescent="0.25">
      <c r="A13" s="570"/>
      <c r="B13" s="909"/>
      <c r="C13" s="909"/>
      <c r="D13" s="909"/>
      <c r="E13" s="972" t="s">
        <v>721</v>
      </c>
      <c r="F13" s="972"/>
      <c r="G13" s="972"/>
      <c r="H13" s="929"/>
      <c r="I13" s="929"/>
      <c r="J13" s="929"/>
      <c r="K13" s="929"/>
      <c r="L13" s="929"/>
      <c r="M13" s="929"/>
      <c r="N13" s="929"/>
      <c r="O13" s="929"/>
      <c r="P13" s="929"/>
      <c r="Q13" s="930"/>
      <c r="R13" s="930"/>
      <c r="S13" s="930"/>
      <c r="T13" s="930"/>
      <c r="U13" s="930"/>
      <c r="V13" s="929"/>
      <c r="W13" s="929"/>
      <c r="X13" s="929"/>
      <c r="Y13" s="931"/>
      <c r="Z13" s="929"/>
      <c r="AA13" s="929"/>
      <c r="AB13" s="929"/>
      <c r="AC13" s="929"/>
      <c r="AD13" s="929"/>
      <c r="AE13" s="929"/>
      <c r="AF13" s="930"/>
      <c r="AG13" s="930"/>
      <c r="AH13" s="930"/>
      <c r="AI13" s="930">
        <v>6645.05</v>
      </c>
      <c r="AJ13" s="930">
        <v>371.98</v>
      </c>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row>
    <row r="14" spans="1:81 16384:16384" s="953" customFormat="1" x14ac:dyDescent="0.25">
      <c r="A14" s="570"/>
      <c r="B14" s="909"/>
      <c r="C14" s="909"/>
      <c r="D14" s="909"/>
      <c r="E14" s="972" t="s">
        <v>341</v>
      </c>
      <c r="F14" s="972"/>
      <c r="G14" s="972"/>
      <c r="H14" s="929">
        <v>441249.61</v>
      </c>
      <c r="I14" s="929">
        <v>702822.32</v>
      </c>
      <c r="J14" s="929">
        <v>1015422.8300000001</v>
      </c>
      <c r="K14" s="929">
        <v>764070.04</v>
      </c>
      <c r="L14" s="929">
        <v>1053586.2</v>
      </c>
      <c r="M14" s="929">
        <v>863720.9</v>
      </c>
      <c r="N14" s="929">
        <v>942529.74</v>
      </c>
      <c r="O14" s="929">
        <v>2096710.3699999999</v>
      </c>
      <c r="P14" s="929">
        <v>2182337.8200000003</v>
      </c>
      <c r="Q14" s="930">
        <v>2232674.9900000002</v>
      </c>
      <c r="R14" s="930">
        <v>1707551.0899999999</v>
      </c>
      <c r="S14" s="930">
        <v>1819836.0899999999</v>
      </c>
      <c r="T14" s="930">
        <v>1178861.6599999999</v>
      </c>
      <c r="U14" s="930">
        <v>6073.95</v>
      </c>
      <c r="V14" s="929">
        <v>6079.93</v>
      </c>
      <c r="W14" s="929">
        <v>6079.93</v>
      </c>
      <c r="X14" s="929">
        <v>6079.93</v>
      </c>
      <c r="Y14" s="929">
        <v>6079.93</v>
      </c>
      <c r="Z14" s="929">
        <v>6079.93</v>
      </c>
      <c r="AA14" s="929">
        <v>6085.99</v>
      </c>
      <c r="AB14" s="929">
        <v>6092.11</v>
      </c>
      <c r="AC14" s="929">
        <v>6092.11</v>
      </c>
      <c r="AD14" s="929">
        <v>6092.11</v>
      </c>
      <c r="AE14" s="930">
        <v>6092.11</v>
      </c>
      <c r="AF14" s="930">
        <v>6092.11</v>
      </c>
      <c r="AG14" s="930">
        <v>6098.25</v>
      </c>
      <c r="AH14" s="930">
        <v>6098.25</v>
      </c>
      <c r="AI14" s="930">
        <v>0.8</v>
      </c>
      <c r="AJ14" s="93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row>
    <row r="15" spans="1:81 16384:16384" s="953" customFormat="1" x14ac:dyDescent="0.25">
      <c r="A15" s="570"/>
      <c r="B15" s="909"/>
      <c r="C15" s="909"/>
      <c r="D15" s="909"/>
      <c r="E15" s="972" t="s">
        <v>515</v>
      </c>
      <c r="F15" s="972"/>
      <c r="G15" s="972"/>
      <c r="H15" s="929"/>
      <c r="I15" s="929"/>
      <c r="J15" s="929">
        <v>0</v>
      </c>
      <c r="K15" s="929">
        <v>0</v>
      </c>
      <c r="L15" s="929">
        <v>0</v>
      </c>
      <c r="M15" s="929">
        <v>0</v>
      </c>
      <c r="N15" s="929">
        <v>0</v>
      </c>
      <c r="O15" s="929">
        <v>0</v>
      </c>
      <c r="P15" s="929">
        <v>0</v>
      </c>
      <c r="Q15" s="930">
        <v>0</v>
      </c>
      <c r="R15" s="930">
        <v>0</v>
      </c>
      <c r="S15" s="930">
        <v>0</v>
      </c>
      <c r="T15" s="930">
        <v>0</v>
      </c>
      <c r="U15" s="930">
        <v>2601319.7999999998</v>
      </c>
      <c r="V15" s="930">
        <v>2540871.9500000002</v>
      </c>
      <c r="W15" s="930">
        <v>2480669.7799999998</v>
      </c>
      <c r="X15" s="930">
        <v>2420642.88</v>
      </c>
      <c r="Y15" s="930">
        <v>2309136.86</v>
      </c>
      <c r="Z15" s="930">
        <v>2197992.13</v>
      </c>
      <c r="AA15" s="930">
        <v>2087212.48</v>
      </c>
      <c r="AB15" s="930">
        <v>1976794.47</v>
      </c>
      <c r="AC15" s="930">
        <v>1866740.87</v>
      </c>
      <c r="AD15" s="40">
        <v>1757050.46</v>
      </c>
      <c r="AE15" s="930">
        <v>1647721.97</v>
      </c>
      <c r="AF15" s="930">
        <v>1538756.07</v>
      </c>
      <c r="AG15" s="930">
        <v>1430155.79</v>
      </c>
      <c r="AH15" s="930">
        <v>1321918.49</v>
      </c>
      <c r="AI15" s="930">
        <v>1214045.51</v>
      </c>
      <c r="AJ15" s="930">
        <v>1106530.56</v>
      </c>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row>
    <row r="16" spans="1:81 16384:16384" s="953" customFormat="1" x14ac:dyDescent="0.25">
      <c r="A16" s="570"/>
      <c r="B16" s="909"/>
      <c r="C16" s="909"/>
      <c r="D16" s="909"/>
      <c r="E16" s="972" t="s">
        <v>1314</v>
      </c>
      <c r="F16" s="972"/>
      <c r="G16" s="972"/>
      <c r="H16" s="929"/>
      <c r="I16" s="929"/>
      <c r="J16" s="929"/>
      <c r="K16" s="929"/>
      <c r="L16" s="929"/>
      <c r="M16" s="929"/>
      <c r="N16" s="929"/>
      <c r="O16" s="929"/>
      <c r="P16" s="929"/>
      <c r="Q16" s="930"/>
      <c r="R16" s="930"/>
      <c r="S16" s="930"/>
      <c r="T16" s="930"/>
      <c r="U16" s="930"/>
      <c r="V16" s="930"/>
      <c r="W16" s="930"/>
      <c r="X16" s="930"/>
      <c r="Y16" s="930"/>
      <c r="Z16" s="930"/>
      <c r="AA16" s="930"/>
      <c r="AB16" s="930"/>
      <c r="AC16" s="930"/>
      <c r="AD16" s="40"/>
      <c r="AE16" s="930"/>
      <c r="AF16" s="930"/>
      <c r="AG16" s="438">
        <v>85.89</v>
      </c>
      <c r="AH16" s="930">
        <v>338.65</v>
      </c>
      <c r="AI16" s="930">
        <v>19.12</v>
      </c>
      <c r="AJ16" s="930">
        <v>95.3</v>
      </c>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row>
    <row r="17" spans="1:16182" s="953" customFormat="1" x14ac:dyDescent="0.25">
      <c r="A17" s="570"/>
      <c r="B17" s="909"/>
      <c r="C17" s="909"/>
      <c r="D17" s="909"/>
      <c r="E17" s="972" t="s">
        <v>343</v>
      </c>
      <c r="F17" s="972"/>
      <c r="G17" s="972"/>
      <c r="H17" s="932">
        <v>1106.8</v>
      </c>
      <c r="I17" s="932">
        <v>941.8</v>
      </c>
      <c r="J17" s="932">
        <v>926.8</v>
      </c>
      <c r="K17" s="932">
        <v>911.8</v>
      </c>
      <c r="L17" s="932">
        <v>896.8</v>
      </c>
      <c r="M17" s="932">
        <v>881.8</v>
      </c>
      <c r="N17" s="932">
        <v>866.8</v>
      </c>
      <c r="O17" s="932">
        <v>851.8</v>
      </c>
      <c r="P17" s="932">
        <v>836.8</v>
      </c>
      <c r="Q17" s="933">
        <v>821.8</v>
      </c>
      <c r="R17" s="933">
        <v>806.8</v>
      </c>
      <c r="S17" s="933">
        <v>791.8</v>
      </c>
      <c r="T17" s="933">
        <v>776.8</v>
      </c>
      <c r="U17" s="933">
        <v>0</v>
      </c>
      <c r="V17" s="933">
        <v>0</v>
      </c>
      <c r="W17" s="933">
        <v>0</v>
      </c>
      <c r="X17" s="933">
        <v>0</v>
      </c>
      <c r="Y17" s="933">
        <v>0</v>
      </c>
      <c r="Z17" s="933"/>
      <c r="AA17" s="933"/>
      <c r="AB17" s="933"/>
      <c r="AC17" s="933"/>
      <c r="AD17" s="933"/>
      <c r="AE17" s="933"/>
      <c r="AF17" s="933"/>
      <c r="AG17" s="933"/>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row>
    <row r="18" spans="1:16182" s="953" customFormat="1" x14ac:dyDescent="0.25">
      <c r="A18" s="570"/>
      <c r="B18" s="909"/>
      <c r="C18" s="909"/>
      <c r="D18" s="900" t="s">
        <v>151</v>
      </c>
      <c r="E18" s="900"/>
      <c r="F18" s="900"/>
      <c r="G18" s="900"/>
      <c r="H18" s="900">
        <f>SUM(H12:H17)</f>
        <v>3594930.3999999994</v>
      </c>
      <c r="I18" s="900">
        <f>SUM(I12:I17)</f>
        <v>4672646.8099999996</v>
      </c>
      <c r="J18" s="900">
        <v>1572588.96</v>
      </c>
      <c r="K18" s="900">
        <v>1390004.54</v>
      </c>
      <c r="L18" s="900">
        <v>1562923.57</v>
      </c>
      <c r="M18" s="900">
        <v>1655539.08</v>
      </c>
      <c r="N18" s="900">
        <v>2522633.6199999996</v>
      </c>
      <c r="O18" s="900">
        <v>2439482.09</v>
      </c>
      <c r="P18" s="900">
        <v>2672024.4699999997</v>
      </c>
      <c r="Q18" s="901">
        <v>2738927.5500000003</v>
      </c>
      <c r="R18" s="901">
        <v>2469471.3199999998</v>
      </c>
      <c r="S18" s="901">
        <v>2267774.33</v>
      </c>
      <c r="T18" s="901">
        <v>1614256.28</v>
      </c>
      <c r="U18" s="901">
        <f>SUM(U12:U17)</f>
        <v>5762942.2999999998</v>
      </c>
      <c r="V18" s="901">
        <f>SUM(V12:V17)</f>
        <v>5602920.8500000006</v>
      </c>
      <c r="W18" s="901">
        <f t="shared" ref="W18:AA18" si="0">SUM(W12:W17)</f>
        <v>5609004</v>
      </c>
      <c r="X18" s="901">
        <f t="shared" si="0"/>
        <v>6699887.0899999999</v>
      </c>
      <c r="Y18" s="901">
        <f t="shared" si="0"/>
        <v>6684013.5</v>
      </c>
      <c r="Z18" s="901">
        <f t="shared" si="0"/>
        <v>6513340.0199999996</v>
      </c>
      <c r="AA18" s="901">
        <f t="shared" si="0"/>
        <v>6453230.3499999996</v>
      </c>
      <c r="AB18" s="901">
        <f>SUM(AB9:AB17)</f>
        <v>5989799.46</v>
      </c>
      <c r="AC18" s="901">
        <f>SUM(AC9:AC17)</f>
        <v>5073684.67</v>
      </c>
      <c r="AD18" s="901">
        <f>SUM(AD9:AD17)</f>
        <v>5413089.0899999999</v>
      </c>
      <c r="AE18" s="901">
        <f>SUM(AE9:AE17)</f>
        <v>4842112.95</v>
      </c>
      <c r="AF18" s="901">
        <f>SUM(AF9:AF17)</f>
        <v>4363408.34</v>
      </c>
      <c r="AG18" s="901">
        <f t="shared" ref="AG18:AJ18" si="1">SUM(AG9:AG17)</f>
        <v>3758014.45</v>
      </c>
      <c r="AH18" s="901">
        <f t="shared" si="1"/>
        <v>3279300.4899999998</v>
      </c>
      <c r="AI18" s="901">
        <f t="shared" si="1"/>
        <v>3205559.74</v>
      </c>
      <c r="AJ18" s="901">
        <f t="shared" si="1"/>
        <v>3401249.99</v>
      </c>
      <c r="AK18" s="902"/>
      <c r="AL18" s="902"/>
      <c r="AM18" s="902"/>
      <c r="AN18" s="902"/>
      <c r="AO18" s="902"/>
      <c r="AP18" s="902"/>
      <c r="AQ18" s="902"/>
      <c r="AR18" s="902"/>
      <c r="AS18" s="902"/>
      <c r="AT18" s="902"/>
      <c r="AU18" s="902"/>
      <c r="AV18" s="902"/>
      <c r="AW18" s="902"/>
      <c r="AX18" s="902"/>
      <c r="AY18" s="902"/>
      <c r="AZ18" s="902"/>
      <c r="BA18" s="902"/>
      <c r="BB18" s="902"/>
      <c r="BC18" s="902"/>
      <c r="BD18" s="902"/>
      <c r="BE18" s="902"/>
      <c r="BF18" s="902"/>
      <c r="BG18" s="902"/>
      <c r="BH18" s="902"/>
      <c r="BI18" s="902"/>
      <c r="BJ18" s="902"/>
      <c r="BK18" s="902"/>
      <c r="BL18" s="902"/>
      <c r="BM18" s="902"/>
      <c r="BN18" s="902"/>
      <c r="BO18" s="902"/>
      <c r="BP18" s="902"/>
      <c r="BQ18" s="902"/>
      <c r="BR18" s="902"/>
      <c r="BS18" s="902"/>
      <c r="BT18" s="902"/>
      <c r="BU18" s="902"/>
      <c r="BV18" s="902"/>
      <c r="BW18" s="902"/>
      <c r="BX18" s="902"/>
      <c r="BY18" s="902"/>
      <c r="BZ18" s="902"/>
      <c r="CA18" s="902"/>
      <c r="CB18" s="902"/>
      <c r="CC18" s="902"/>
    </row>
    <row r="19" spans="1:16182" s="953" customFormat="1" x14ac:dyDescent="0.25">
      <c r="A19" s="570"/>
      <c r="B19" s="909"/>
      <c r="C19" s="909"/>
      <c r="D19" s="911" t="s">
        <v>91</v>
      </c>
      <c r="E19" s="911"/>
      <c r="F19" s="911"/>
      <c r="G19" s="911"/>
      <c r="H19" s="934"/>
      <c r="I19" s="934"/>
      <c r="J19" s="934"/>
      <c r="K19" s="934"/>
      <c r="L19" s="934"/>
      <c r="M19" s="934"/>
      <c r="N19" s="934"/>
      <c r="O19" s="934"/>
      <c r="P19" s="934"/>
      <c r="Q19" s="934"/>
      <c r="R19" s="934"/>
      <c r="S19" s="927"/>
      <c r="T19" s="927"/>
      <c r="U19" s="927"/>
      <c r="V19" s="927"/>
      <c r="W19" s="927"/>
      <c r="X19" s="927"/>
      <c r="Y19" s="927"/>
      <c r="Z19" s="927"/>
      <c r="AA19" s="927"/>
      <c r="AB19" s="927"/>
      <c r="AC19" s="927"/>
      <c r="AD19" s="927"/>
      <c r="AE19" s="927"/>
      <c r="AF19" s="927"/>
      <c r="AG19" s="927"/>
      <c r="AH19" s="927"/>
      <c r="AI19" s="927"/>
      <c r="AJ19" s="927"/>
      <c r="AK19" s="927"/>
      <c r="AL19" s="927"/>
      <c r="AM19" s="927"/>
      <c r="AN19" s="927"/>
      <c r="AO19" s="927"/>
      <c r="AP19" s="927"/>
      <c r="AQ19" s="927"/>
      <c r="AR19" s="927"/>
      <c r="AS19" s="927"/>
      <c r="AT19" s="927"/>
      <c r="AU19" s="927"/>
      <c r="AV19" s="927"/>
      <c r="AW19" s="927"/>
      <c r="AX19" s="927"/>
      <c r="AY19" s="927"/>
      <c r="AZ19" s="927"/>
      <c r="BA19" s="927"/>
      <c r="BB19" s="927"/>
      <c r="BC19" s="927"/>
      <c r="BD19" s="927"/>
      <c r="BE19" s="927"/>
      <c r="BF19" s="927"/>
      <c r="BG19" s="927"/>
      <c r="BH19" s="927"/>
      <c r="BI19" s="927"/>
      <c r="BJ19" s="927"/>
      <c r="BK19" s="927"/>
      <c r="BL19" s="927"/>
      <c r="BM19" s="927"/>
      <c r="BN19" s="927"/>
      <c r="BO19" s="927"/>
      <c r="BP19" s="927"/>
      <c r="BQ19" s="927"/>
      <c r="BR19" s="927"/>
      <c r="BS19" s="927"/>
      <c r="BT19" s="927"/>
      <c r="BU19" s="927"/>
      <c r="BV19" s="927"/>
      <c r="BW19" s="927"/>
      <c r="BX19" s="927"/>
      <c r="BY19" s="927"/>
      <c r="BZ19" s="927"/>
      <c r="CA19" s="927"/>
      <c r="CB19" s="927"/>
      <c r="CC19" s="927"/>
    </row>
    <row r="20" spans="1:16182" s="953" customFormat="1" x14ac:dyDescent="0.25">
      <c r="A20" s="570"/>
      <c r="B20" s="909"/>
      <c r="C20" s="909"/>
      <c r="D20" s="909"/>
      <c r="E20" s="909" t="s">
        <v>344</v>
      </c>
      <c r="F20" s="909"/>
      <c r="G20" s="909"/>
      <c r="H20" s="930">
        <v>43393.87</v>
      </c>
      <c r="I20" s="930">
        <v>238713.42</v>
      </c>
      <c r="J20" s="930">
        <v>164788.24</v>
      </c>
      <c r="K20" s="930">
        <v>166599.56999999998</v>
      </c>
      <c r="L20" s="930">
        <v>191231.68</v>
      </c>
      <c r="M20" s="930">
        <v>1058598.46</v>
      </c>
      <c r="N20" s="930">
        <v>481639.58999999997</v>
      </c>
      <c r="O20" s="930">
        <v>470798.19</v>
      </c>
      <c r="P20" s="930">
        <v>171448.87</v>
      </c>
      <c r="Q20" s="930">
        <v>162626.36000000002</v>
      </c>
      <c r="R20" s="930">
        <v>107082.9</v>
      </c>
      <c r="S20" s="930">
        <v>76979.429999999993</v>
      </c>
      <c r="T20" s="930">
        <v>151692.14000000001</v>
      </c>
      <c r="U20" s="930">
        <v>122001.32</v>
      </c>
      <c r="V20" s="930">
        <v>1071884.29</v>
      </c>
      <c r="W20" s="930">
        <v>992059.81</v>
      </c>
      <c r="X20" s="930">
        <v>168475.67</v>
      </c>
      <c r="Y20" s="930">
        <v>181522.59</v>
      </c>
      <c r="Z20" s="930">
        <v>76470.039999999994</v>
      </c>
      <c r="AA20" s="930">
        <v>96790.7</v>
      </c>
      <c r="AB20" s="930">
        <v>73573.72</v>
      </c>
      <c r="AC20" s="930">
        <v>95000.48</v>
      </c>
      <c r="AD20" s="40">
        <v>203163.07</v>
      </c>
      <c r="AE20" s="930">
        <v>210393.88</v>
      </c>
      <c r="AF20" s="930">
        <v>177051.64</v>
      </c>
      <c r="AG20" s="930">
        <v>62844.36</v>
      </c>
      <c r="AH20" s="930">
        <v>499067.3</v>
      </c>
      <c r="AI20" s="930">
        <v>468237.94</v>
      </c>
      <c r="AJ20" s="930">
        <v>213965.93</v>
      </c>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row>
    <row r="21" spans="1:16182" s="953" customFormat="1" x14ac:dyDescent="0.25">
      <c r="A21" s="570"/>
      <c r="B21" s="909"/>
      <c r="C21" s="909"/>
      <c r="D21" s="900" t="s">
        <v>152</v>
      </c>
      <c r="E21" s="900"/>
      <c r="F21" s="900"/>
      <c r="G21" s="900"/>
      <c r="H21" s="900">
        <f>SUM(H20)</f>
        <v>43393.87</v>
      </c>
      <c r="I21" s="900">
        <f>SUM(I20)</f>
        <v>238713.42</v>
      </c>
      <c r="J21" s="900">
        <f t="shared" ref="J21:T21" si="2">SUM(J20:J20)</f>
        <v>164788.24</v>
      </c>
      <c r="K21" s="900">
        <f t="shared" si="2"/>
        <v>166599.56999999998</v>
      </c>
      <c r="L21" s="900">
        <f t="shared" si="2"/>
        <v>191231.68</v>
      </c>
      <c r="M21" s="900">
        <f t="shared" si="2"/>
        <v>1058598.46</v>
      </c>
      <c r="N21" s="900">
        <f t="shared" si="2"/>
        <v>481639.58999999997</v>
      </c>
      <c r="O21" s="900">
        <f t="shared" si="2"/>
        <v>470798.19</v>
      </c>
      <c r="P21" s="900">
        <f t="shared" si="2"/>
        <v>171448.87</v>
      </c>
      <c r="Q21" s="901">
        <f t="shared" si="2"/>
        <v>162626.36000000002</v>
      </c>
      <c r="R21" s="901">
        <f t="shared" si="2"/>
        <v>107082.9</v>
      </c>
      <c r="S21" s="901">
        <f t="shared" si="2"/>
        <v>76979.429999999993</v>
      </c>
      <c r="T21" s="901">
        <f t="shared" si="2"/>
        <v>151692.14000000001</v>
      </c>
      <c r="U21" s="901">
        <v>122001.32</v>
      </c>
      <c r="V21" s="901">
        <f t="shared" ref="V21:AJ21" si="3">SUM(V20:V20)</f>
        <v>1071884.29</v>
      </c>
      <c r="W21" s="901">
        <f t="shared" si="3"/>
        <v>992059.81</v>
      </c>
      <c r="X21" s="901">
        <f t="shared" si="3"/>
        <v>168475.67</v>
      </c>
      <c r="Y21" s="901">
        <f t="shared" si="3"/>
        <v>181522.59</v>
      </c>
      <c r="Z21" s="901">
        <f t="shared" si="3"/>
        <v>76470.039999999994</v>
      </c>
      <c r="AA21" s="901">
        <f t="shared" si="3"/>
        <v>96790.7</v>
      </c>
      <c r="AB21" s="901">
        <f t="shared" si="3"/>
        <v>73573.72</v>
      </c>
      <c r="AC21" s="901">
        <f t="shared" si="3"/>
        <v>95000.48</v>
      </c>
      <c r="AD21" s="901">
        <f t="shared" si="3"/>
        <v>203163.07</v>
      </c>
      <c r="AE21" s="901">
        <f t="shared" si="3"/>
        <v>210393.88</v>
      </c>
      <c r="AF21" s="901">
        <f t="shared" si="3"/>
        <v>177051.64</v>
      </c>
      <c r="AG21" s="901">
        <f t="shared" si="3"/>
        <v>62844.36</v>
      </c>
      <c r="AH21" s="901">
        <f t="shared" si="3"/>
        <v>499067.3</v>
      </c>
      <c r="AI21" s="901">
        <f t="shared" si="3"/>
        <v>468237.94</v>
      </c>
      <c r="AJ21" s="901">
        <f t="shared" si="3"/>
        <v>213965.93</v>
      </c>
      <c r="AK21" s="902"/>
      <c r="AL21" s="902"/>
      <c r="AM21" s="902"/>
      <c r="AN21" s="902"/>
      <c r="AO21" s="902"/>
      <c r="AP21" s="902"/>
      <c r="AQ21" s="902"/>
      <c r="AR21" s="902"/>
      <c r="AS21" s="902"/>
      <c r="AT21" s="902"/>
      <c r="AU21" s="902"/>
      <c r="AV21" s="902"/>
      <c r="AW21" s="902"/>
      <c r="AX21" s="902"/>
      <c r="AY21" s="902"/>
      <c r="AZ21" s="902"/>
      <c r="BA21" s="902"/>
      <c r="BB21" s="902"/>
      <c r="BC21" s="902"/>
      <c r="BD21" s="902"/>
      <c r="BE21" s="902"/>
      <c r="BF21" s="902"/>
      <c r="BG21" s="902"/>
      <c r="BH21" s="902"/>
      <c r="BI21" s="902"/>
      <c r="BJ21" s="902"/>
      <c r="BK21" s="902"/>
      <c r="BL21" s="902"/>
      <c r="BM21" s="902"/>
      <c r="BN21" s="902"/>
      <c r="BO21" s="902"/>
      <c r="BP21" s="902"/>
      <c r="BQ21" s="902"/>
      <c r="BR21" s="902"/>
      <c r="BS21" s="902"/>
      <c r="BT21" s="902"/>
      <c r="BU21" s="902"/>
      <c r="BV21" s="902"/>
      <c r="BW21" s="902"/>
      <c r="BX21" s="902"/>
      <c r="BY21" s="902"/>
      <c r="BZ21" s="902"/>
      <c r="CA21" s="902"/>
      <c r="CB21" s="902"/>
      <c r="CC21" s="902"/>
    </row>
    <row r="22" spans="1:16182" s="954" customFormat="1" x14ac:dyDescent="0.25">
      <c r="A22" s="899"/>
      <c r="B22" s="906"/>
      <c r="C22" s="906"/>
      <c r="D22" s="911" t="s">
        <v>93</v>
      </c>
      <c r="E22" s="911"/>
      <c r="F22" s="911"/>
      <c r="G22" s="911"/>
      <c r="H22" s="934"/>
      <c r="I22" s="934"/>
      <c r="J22" s="934"/>
      <c r="K22" s="934"/>
      <c r="L22" s="934"/>
      <c r="M22" s="934"/>
      <c r="N22" s="934"/>
      <c r="O22" s="934"/>
      <c r="P22" s="934"/>
      <c r="Q22" s="934"/>
      <c r="R22" s="934"/>
      <c r="S22" s="927"/>
      <c r="T22" s="927"/>
      <c r="U22" s="927"/>
      <c r="V22" s="927"/>
      <c r="W22" s="927"/>
      <c r="X22" s="927"/>
      <c r="Y22" s="927"/>
      <c r="Z22" s="927"/>
      <c r="AA22" s="927"/>
      <c r="AB22" s="927"/>
      <c r="AC22" s="927"/>
      <c r="AD22" s="927"/>
      <c r="AE22" s="927"/>
      <c r="AF22" s="927"/>
      <c r="AG22" s="927"/>
      <c r="AH22" s="927"/>
      <c r="AI22" s="927"/>
      <c r="AJ22" s="927"/>
      <c r="AK22" s="927"/>
      <c r="AL22" s="927"/>
      <c r="AM22" s="927"/>
      <c r="AN22" s="927"/>
      <c r="AO22" s="927"/>
      <c r="AP22" s="927"/>
      <c r="AQ22" s="927"/>
      <c r="AR22" s="927"/>
      <c r="AS22" s="927"/>
      <c r="AT22" s="927"/>
      <c r="AU22" s="927"/>
      <c r="AV22" s="927"/>
      <c r="AW22" s="927"/>
      <c r="AX22" s="927"/>
      <c r="AY22" s="927"/>
      <c r="AZ22" s="927"/>
      <c r="BA22" s="927"/>
      <c r="BB22" s="927"/>
      <c r="BC22" s="927"/>
      <c r="BD22" s="927"/>
      <c r="BE22" s="927"/>
      <c r="BF22" s="927"/>
      <c r="BG22" s="927"/>
      <c r="BH22" s="927"/>
      <c r="BI22" s="927"/>
      <c r="BJ22" s="927"/>
      <c r="BK22" s="927"/>
      <c r="BL22" s="927"/>
      <c r="BM22" s="927"/>
      <c r="BN22" s="927"/>
      <c r="BO22" s="927"/>
      <c r="BP22" s="927"/>
      <c r="BQ22" s="927"/>
      <c r="BR22" s="927"/>
      <c r="BS22" s="927"/>
      <c r="BT22" s="927"/>
      <c r="BU22" s="927"/>
      <c r="BV22" s="927"/>
      <c r="BW22" s="927"/>
      <c r="BX22" s="927"/>
      <c r="BY22" s="927"/>
      <c r="BZ22" s="927"/>
      <c r="CA22" s="927"/>
      <c r="CB22" s="927"/>
      <c r="CC22" s="927"/>
      <c r="CD22" s="953"/>
      <c r="CE22" s="953"/>
      <c r="CF22" s="953"/>
      <c r="CG22" s="953"/>
      <c r="CH22" s="953"/>
      <c r="CI22" s="953"/>
      <c r="CJ22" s="953"/>
      <c r="CK22" s="953"/>
      <c r="CL22" s="953"/>
      <c r="CM22" s="953"/>
      <c r="CN22" s="953"/>
      <c r="CO22" s="953"/>
      <c r="CP22" s="953"/>
      <c r="CQ22" s="953"/>
      <c r="CR22" s="953"/>
      <c r="CS22" s="953"/>
      <c r="CT22" s="953"/>
      <c r="CU22" s="953"/>
      <c r="CV22" s="953"/>
      <c r="CW22" s="953"/>
      <c r="CX22" s="953"/>
      <c r="CY22" s="953"/>
      <c r="CZ22" s="953"/>
      <c r="DA22" s="953"/>
      <c r="DB22" s="953"/>
      <c r="DC22" s="953"/>
      <c r="DD22" s="953"/>
      <c r="DE22" s="953"/>
      <c r="DF22" s="953"/>
      <c r="DG22" s="953"/>
      <c r="DH22" s="953"/>
      <c r="DI22" s="953"/>
      <c r="DJ22" s="953"/>
      <c r="DK22" s="953"/>
      <c r="DL22" s="953"/>
      <c r="DM22" s="953"/>
      <c r="DN22" s="953"/>
      <c r="DO22" s="953"/>
      <c r="DP22" s="953"/>
      <c r="DQ22" s="953"/>
      <c r="DR22" s="953"/>
      <c r="DS22" s="953"/>
      <c r="DT22" s="953"/>
      <c r="DU22" s="953"/>
      <c r="DV22" s="953"/>
      <c r="DW22" s="953"/>
      <c r="DX22" s="953"/>
      <c r="DY22" s="953"/>
      <c r="DZ22" s="953"/>
      <c r="EA22" s="953"/>
      <c r="EB22" s="953"/>
      <c r="EC22" s="953"/>
      <c r="ED22" s="953"/>
      <c r="EE22" s="953"/>
      <c r="EF22" s="953"/>
      <c r="EG22" s="953"/>
      <c r="EH22" s="953"/>
      <c r="EI22" s="953"/>
      <c r="EJ22" s="953"/>
      <c r="EK22" s="953"/>
      <c r="EL22" s="953"/>
      <c r="EM22" s="953"/>
      <c r="EN22" s="953"/>
      <c r="EO22" s="953"/>
      <c r="EP22" s="953"/>
      <c r="EQ22" s="953"/>
      <c r="ER22" s="953"/>
      <c r="ES22" s="953"/>
      <c r="ET22" s="953"/>
      <c r="EU22" s="953"/>
      <c r="EV22" s="953"/>
      <c r="EW22" s="953"/>
      <c r="EX22" s="953"/>
      <c r="EY22" s="953"/>
      <c r="EZ22" s="953"/>
      <c r="FA22" s="953"/>
      <c r="FB22" s="953"/>
      <c r="FC22" s="953"/>
      <c r="FD22" s="953"/>
      <c r="FE22" s="953"/>
      <c r="FF22" s="953"/>
      <c r="FG22" s="953"/>
      <c r="FH22" s="953"/>
      <c r="FI22" s="953"/>
      <c r="FJ22" s="953"/>
      <c r="FK22" s="953"/>
      <c r="FL22" s="953"/>
      <c r="FM22" s="953"/>
      <c r="FN22" s="953"/>
      <c r="FO22" s="953"/>
      <c r="FP22" s="953"/>
      <c r="FQ22" s="953"/>
      <c r="FR22" s="953"/>
      <c r="FS22" s="953"/>
      <c r="FT22" s="953"/>
      <c r="FU22" s="953"/>
      <c r="FV22" s="953"/>
      <c r="FW22" s="953"/>
      <c r="FX22" s="953"/>
      <c r="FY22" s="953"/>
      <c r="FZ22" s="953"/>
      <c r="GA22" s="953"/>
      <c r="GB22" s="953"/>
      <c r="GC22" s="953"/>
      <c r="GD22" s="953"/>
      <c r="GE22" s="953"/>
      <c r="GF22" s="953"/>
      <c r="GG22" s="953"/>
      <c r="GH22" s="953"/>
      <c r="GI22" s="953"/>
      <c r="GJ22" s="953"/>
      <c r="GK22" s="953"/>
      <c r="GL22" s="953"/>
      <c r="GM22" s="953"/>
      <c r="GN22" s="953"/>
      <c r="GO22" s="953"/>
      <c r="GP22" s="953"/>
      <c r="GQ22" s="953"/>
      <c r="GR22" s="953"/>
      <c r="GS22" s="953"/>
      <c r="GT22" s="953"/>
      <c r="GU22" s="953"/>
      <c r="GV22" s="953"/>
      <c r="GW22" s="953"/>
      <c r="GX22" s="953"/>
      <c r="GY22" s="953"/>
      <c r="GZ22" s="953"/>
      <c r="HA22" s="953"/>
      <c r="HB22" s="953"/>
      <c r="HC22" s="953"/>
      <c r="HD22" s="953"/>
      <c r="HE22" s="953"/>
      <c r="HF22" s="953"/>
      <c r="HG22" s="953"/>
      <c r="HH22" s="953"/>
      <c r="HI22" s="953"/>
      <c r="HJ22" s="953"/>
      <c r="HK22" s="953"/>
      <c r="HL22" s="953"/>
      <c r="HM22" s="953"/>
      <c r="HN22" s="953"/>
      <c r="HO22" s="953"/>
      <c r="HP22" s="953"/>
      <c r="HQ22" s="953"/>
      <c r="HR22" s="953"/>
      <c r="HS22" s="953"/>
      <c r="HT22" s="953"/>
      <c r="HU22" s="953"/>
      <c r="HV22" s="953"/>
      <c r="HW22" s="953"/>
      <c r="HX22" s="953"/>
      <c r="HY22" s="953"/>
      <c r="HZ22" s="953"/>
      <c r="IA22" s="953"/>
      <c r="IB22" s="953"/>
      <c r="IC22" s="953"/>
      <c r="ID22" s="953"/>
      <c r="IE22" s="953"/>
      <c r="IF22" s="953"/>
      <c r="IG22" s="953"/>
      <c r="IH22" s="953"/>
      <c r="II22" s="953"/>
      <c r="IJ22" s="953"/>
      <c r="IK22" s="953"/>
      <c r="IL22" s="953"/>
      <c r="IM22" s="953"/>
      <c r="IN22" s="953"/>
      <c r="IO22" s="953"/>
      <c r="IP22" s="953"/>
      <c r="IQ22" s="953"/>
      <c r="IR22" s="953"/>
      <c r="IS22" s="953"/>
      <c r="IT22" s="953"/>
      <c r="IU22" s="953"/>
      <c r="IV22" s="953"/>
      <c r="IW22" s="953"/>
      <c r="IX22" s="953"/>
      <c r="IY22" s="953"/>
      <c r="IZ22" s="953"/>
      <c r="JA22" s="953"/>
      <c r="JB22" s="953"/>
      <c r="JC22" s="953"/>
      <c r="JD22" s="953"/>
      <c r="JE22" s="953"/>
      <c r="JF22" s="953"/>
      <c r="JG22" s="953"/>
      <c r="JH22" s="953"/>
      <c r="JI22" s="953"/>
      <c r="JJ22" s="953"/>
      <c r="JK22" s="953"/>
      <c r="JL22" s="953"/>
      <c r="JM22" s="953"/>
      <c r="JN22" s="953"/>
      <c r="JO22" s="953"/>
      <c r="JP22" s="953"/>
      <c r="JQ22" s="953"/>
      <c r="JR22" s="953"/>
      <c r="JS22" s="953"/>
      <c r="JT22" s="953"/>
      <c r="JU22" s="953"/>
      <c r="JV22" s="953"/>
      <c r="JW22" s="953"/>
      <c r="JX22" s="953"/>
      <c r="JY22" s="953"/>
      <c r="JZ22" s="953"/>
      <c r="KA22" s="953"/>
      <c r="KB22" s="953"/>
      <c r="KC22" s="953"/>
      <c r="KD22" s="953"/>
      <c r="KE22" s="953"/>
      <c r="KF22" s="953"/>
      <c r="KG22" s="953"/>
      <c r="KH22" s="953"/>
      <c r="KI22" s="953"/>
      <c r="KJ22" s="953"/>
      <c r="KK22" s="953"/>
      <c r="KL22" s="953"/>
      <c r="KM22" s="953"/>
      <c r="KN22" s="953"/>
      <c r="KO22" s="953"/>
      <c r="KP22" s="953"/>
      <c r="KQ22" s="953"/>
      <c r="KR22" s="953"/>
      <c r="KS22" s="953"/>
      <c r="KT22" s="953"/>
      <c r="KU22" s="953"/>
      <c r="KV22" s="953"/>
      <c r="KW22" s="953"/>
      <c r="KX22" s="953"/>
      <c r="KY22" s="953"/>
      <c r="KZ22" s="953"/>
      <c r="LA22" s="953"/>
      <c r="LB22" s="953"/>
      <c r="LC22" s="953"/>
      <c r="LD22" s="953"/>
      <c r="LE22" s="953"/>
      <c r="LF22" s="953"/>
      <c r="LG22" s="953"/>
      <c r="LH22" s="953"/>
      <c r="LI22" s="953"/>
      <c r="LJ22" s="953"/>
      <c r="LK22" s="953"/>
      <c r="LL22" s="953"/>
      <c r="LM22" s="953"/>
      <c r="LN22" s="953"/>
      <c r="LO22" s="953"/>
      <c r="LP22" s="953"/>
      <c r="LQ22" s="953"/>
      <c r="LR22" s="953"/>
      <c r="LS22" s="953"/>
      <c r="LT22" s="953"/>
      <c r="LU22" s="953"/>
      <c r="LV22" s="953"/>
      <c r="LW22" s="953"/>
      <c r="LX22" s="953"/>
      <c r="LY22" s="953"/>
      <c r="LZ22" s="953"/>
      <c r="MA22" s="953"/>
      <c r="MB22" s="953"/>
      <c r="MC22" s="953"/>
      <c r="MD22" s="953"/>
      <c r="ME22" s="953"/>
      <c r="MF22" s="953"/>
      <c r="MG22" s="953"/>
      <c r="MH22" s="953"/>
      <c r="MI22" s="953"/>
      <c r="MJ22" s="953"/>
      <c r="MK22" s="953"/>
      <c r="ML22" s="953"/>
      <c r="MM22" s="953"/>
      <c r="MN22" s="953"/>
      <c r="MO22" s="953"/>
      <c r="MP22" s="953"/>
      <c r="MQ22" s="953"/>
      <c r="MR22" s="953"/>
      <c r="MS22" s="953"/>
      <c r="MT22" s="953"/>
      <c r="MU22" s="953"/>
      <c r="MV22" s="953"/>
      <c r="MW22" s="953"/>
      <c r="MX22" s="953"/>
      <c r="MY22" s="953"/>
      <c r="MZ22" s="953"/>
      <c r="NA22" s="953"/>
      <c r="NB22" s="953"/>
      <c r="NC22" s="953"/>
      <c r="ND22" s="953"/>
      <c r="NE22" s="953"/>
      <c r="NF22" s="953"/>
      <c r="NG22" s="953"/>
      <c r="NH22" s="953"/>
      <c r="NI22" s="953"/>
      <c r="NJ22" s="953"/>
      <c r="NK22" s="953"/>
      <c r="NL22" s="953"/>
      <c r="NM22" s="953"/>
      <c r="NN22" s="953"/>
      <c r="NO22" s="953"/>
      <c r="NP22" s="953"/>
      <c r="NQ22" s="953"/>
      <c r="NR22" s="953"/>
      <c r="NS22" s="953"/>
      <c r="NT22" s="953"/>
      <c r="NU22" s="953"/>
      <c r="NV22" s="953"/>
      <c r="NW22" s="953"/>
      <c r="NX22" s="953"/>
      <c r="NY22" s="953"/>
      <c r="NZ22" s="953"/>
      <c r="OA22" s="953"/>
      <c r="OB22" s="953"/>
      <c r="OC22" s="953"/>
      <c r="OD22" s="953"/>
      <c r="OE22" s="953"/>
      <c r="OF22" s="953"/>
      <c r="OG22" s="953"/>
      <c r="OH22" s="953"/>
      <c r="OI22" s="953"/>
      <c r="OJ22" s="953"/>
      <c r="OK22" s="953"/>
      <c r="OL22" s="953"/>
      <c r="OM22" s="953"/>
      <c r="ON22" s="953"/>
      <c r="OO22" s="953"/>
      <c r="OP22" s="953"/>
      <c r="OQ22" s="953"/>
      <c r="OR22" s="953"/>
      <c r="OS22" s="953"/>
      <c r="OT22" s="953"/>
      <c r="OU22" s="953"/>
      <c r="OV22" s="953"/>
      <c r="OW22" s="953"/>
      <c r="OX22" s="953"/>
      <c r="OY22" s="953"/>
      <c r="OZ22" s="953"/>
      <c r="PA22" s="953"/>
      <c r="PB22" s="953"/>
      <c r="PC22" s="953"/>
      <c r="PD22" s="953"/>
      <c r="PE22" s="953"/>
      <c r="PF22" s="953"/>
      <c r="PG22" s="953"/>
      <c r="PH22" s="953"/>
      <c r="PI22" s="953"/>
      <c r="PJ22" s="953"/>
      <c r="PK22" s="953"/>
      <c r="PL22" s="953"/>
      <c r="PM22" s="953"/>
      <c r="PN22" s="953"/>
      <c r="PO22" s="953"/>
      <c r="PP22" s="953"/>
      <c r="PQ22" s="953"/>
      <c r="PR22" s="953"/>
      <c r="PS22" s="953"/>
      <c r="PT22" s="953"/>
      <c r="PU22" s="953"/>
      <c r="PV22" s="953"/>
      <c r="PW22" s="953"/>
      <c r="PX22" s="953"/>
      <c r="PY22" s="953"/>
      <c r="PZ22" s="953"/>
      <c r="QA22" s="953"/>
      <c r="QB22" s="953"/>
      <c r="QC22" s="953"/>
      <c r="QD22" s="953"/>
      <c r="QE22" s="953"/>
      <c r="QF22" s="953"/>
      <c r="QG22" s="953"/>
      <c r="QH22" s="953"/>
      <c r="QI22" s="953"/>
      <c r="QJ22" s="953"/>
      <c r="QK22" s="953"/>
      <c r="QL22" s="953"/>
      <c r="QM22" s="953"/>
      <c r="QN22" s="953"/>
      <c r="QO22" s="953"/>
      <c r="QP22" s="953"/>
      <c r="QQ22" s="953"/>
      <c r="QR22" s="953"/>
      <c r="QS22" s="953"/>
      <c r="QT22" s="953"/>
      <c r="QU22" s="953"/>
      <c r="QV22" s="953"/>
      <c r="QW22" s="953"/>
      <c r="QX22" s="953"/>
      <c r="QY22" s="953"/>
      <c r="QZ22" s="953"/>
      <c r="RA22" s="953"/>
      <c r="RB22" s="953"/>
      <c r="RC22" s="953"/>
      <c r="RD22" s="953"/>
      <c r="RE22" s="953"/>
      <c r="RF22" s="953"/>
      <c r="RG22" s="953"/>
      <c r="RH22" s="953"/>
      <c r="RI22" s="953"/>
      <c r="RJ22" s="953"/>
      <c r="RK22" s="953"/>
      <c r="RL22" s="953"/>
      <c r="RM22" s="953"/>
      <c r="RN22" s="953"/>
      <c r="RO22" s="953"/>
      <c r="RP22" s="953"/>
      <c r="RQ22" s="953"/>
      <c r="RR22" s="953"/>
      <c r="RS22" s="953"/>
      <c r="RT22" s="953"/>
      <c r="RU22" s="953"/>
      <c r="RV22" s="953"/>
      <c r="RW22" s="953"/>
      <c r="RX22" s="953"/>
      <c r="RY22" s="953"/>
      <c r="RZ22" s="953"/>
      <c r="SA22" s="953"/>
      <c r="SB22" s="953"/>
      <c r="SC22" s="953"/>
      <c r="SD22" s="953"/>
      <c r="SE22" s="953"/>
      <c r="SF22" s="953"/>
      <c r="SG22" s="953"/>
      <c r="SH22" s="953"/>
      <c r="SI22" s="953"/>
      <c r="SJ22" s="953"/>
      <c r="SK22" s="953"/>
      <c r="SL22" s="953"/>
      <c r="SM22" s="953"/>
      <c r="SN22" s="953"/>
      <c r="SO22" s="953"/>
      <c r="SP22" s="953"/>
      <c r="SQ22" s="953"/>
      <c r="SR22" s="953"/>
      <c r="SS22" s="953"/>
      <c r="ST22" s="953"/>
      <c r="SU22" s="953"/>
      <c r="SV22" s="953"/>
      <c r="SW22" s="953"/>
      <c r="SX22" s="953"/>
      <c r="SY22" s="953"/>
      <c r="SZ22" s="953"/>
      <c r="TA22" s="953"/>
      <c r="TB22" s="953"/>
      <c r="TC22" s="953"/>
      <c r="TD22" s="953"/>
      <c r="TE22" s="953"/>
      <c r="TF22" s="953"/>
      <c r="TG22" s="953"/>
      <c r="TH22" s="953"/>
      <c r="TI22" s="953"/>
      <c r="TJ22" s="953"/>
      <c r="TK22" s="953"/>
      <c r="TL22" s="953"/>
      <c r="TM22" s="953"/>
      <c r="TN22" s="953"/>
      <c r="TO22" s="953"/>
      <c r="TP22" s="953"/>
      <c r="TQ22" s="953"/>
      <c r="TR22" s="953"/>
      <c r="TS22" s="953"/>
      <c r="TT22" s="953"/>
      <c r="TU22" s="953"/>
      <c r="TV22" s="953"/>
      <c r="TW22" s="953"/>
      <c r="TX22" s="953"/>
      <c r="TY22" s="953"/>
      <c r="TZ22" s="953"/>
      <c r="UA22" s="953"/>
      <c r="UB22" s="953"/>
      <c r="UC22" s="953"/>
      <c r="UD22" s="953"/>
      <c r="UE22" s="953"/>
      <c r="UF22" s="953"/>
      <c r="UG22" s="953"/>
      <c r="UH22" s="953"/>
      <c r="UI22" s="953"/>
      <c r="UJ22" s="953"/>
      <c r="UK22" s="953"/>
      <c r="UL22" s="953"/>
      <c r="UM22" s="953"/>
      <c r="UN22" s="953"/>
      <c r="UO22" s="953"/>
      <c r="UP22" s="953"/>
      <c r="UQ22" s="953"/>
      <c r="UR22" s="953"/>
      <c r="US22" s="953"/>
      <c r="UT22" s="953"/>
      <c r="UU22" s="953"/>
      <c r="UV22" s="953"/>
      <c r="UW22" s="953"/>
      <c r="UX22" s="953"/>
      <c r="UY22" s="953"/>
      <c r="UZ22" s="953"/>
      <c r="VA22" s="953"/>
      <c r="VB22" s="953"/>
      <c r="VC22" s="953"/>
      <c r="VD22" s="953"/>
      <c r="VE22" s="953"/>
      <c r="VF22" s="953"/>
      <c r="VG22" s="953"/>
      <c r="VH22" s="953"/>
      <c r="VI22" s="953"/>
      <c r="VJ22" s="953"/>
      <c r="VK22" s="953"/>
      <c r="VL22" s="953"/>
      <c r="VM22" s="953"/>
      <c r="VN22" s="953"/>
      <c r="VO22" s="953"/>
      <c r="VP22" s="953"/>
      <c r="VQ22" s="953"/>
      <c r="VR22" s="953"/>
      <c r="VS22" s="953"/>
      <c r="VT22" s="953"/>
      <c r="VU22" s="953"/>
      <c r="VV22" s="953"/>
      <c r="VW22" s="953"/>
      <c r="VX22" s="953"/>
      <c r="VY22" s="953"/>
      <c r="VZ22" s="953"/>
      <c r="WA22" s="953"/>
      <c r="WB22" s="953"/>
      <c r="WC22" s="953"/>
      <c r="WD22" s="953"/>
      <c r="WE22" s="953"/>
      <c r="WF22" s="953"/>
      <c r="WG22" s="953"/>
      <c r="WH22" s="953"/>
      <c r="WI22" s="953"/>
      <c r="WJ22" s="953"/>
      <c r="WK22" s="953"/>
      <c r="WL22" s="953"/>
      <c r="WM22" s="953"/>
      <c r="WN22" s="953"/>
      <c r="WO22" s="953"/>
      <c r="WP22" s="953"/>
      <c r="WQ22" s="953"/>
      <c r="WR22" s="953"/>
      <c r="WS22" s="953"/>
      <c r="WT22" s="953"/>
      <c r="WU22" s="953"/>
      <c r="WV22" s="953"/>
      <c r="WW22" s="953"/>
      <c r="WX22" s="953"/>
      <c r="WY22" s="953"/>
      <c r="WZ22" s="953"/>
      <c r="XA22" s="953"/>
      <c r="XB22" s="953"/>
      <c r="XC22" s="953"/>
      <c r="XD22" s="953"/>
      <c r="XE22" s="953"/>
      <c r="XF22" s="953"/>
      <c r="XG22" s="953"/>
      <c r="XH22" s="953"/>
      <c r="XI22" s="953"/>
      <c r="XJ22" s="953"/>
      <c r="XK22" s="953"/>
      <c r="XL22" s="953"/>
      <c r="XM22" s="953"/>
      <c r="XN22" s="953"/>
      <c r="XO22" s="953"/>
      <c r="XP22" s="953"/>
      <c r="XQ22" s="953"/>
      <c r="XR22" s="953"/>
      <c r="XS22" s="953"/>
      <c r="XT22" s="953"/>
      <c r="XU22" s="953"/>
      <c r="XV22" s="953"/>
      <c r="XW22" s="953"/>
      <c r="XX22" s="953"/>
      <c r="XY22" s="953"/>
      <c r="XZ22" s="953"/>
      <c r="YA22" s="953"/>
      <c r="YB22" s="953"/>
      <c r="YC22" s="953"/>
      <c r="YD22" s="953"/>
      <c r="YE22" s="953"/>
      <c r="YF22" s="953"/>
      <c r="YG22" s="953"/>
      <c r="YH22" s="953"/>
      <c r="YI22" s="953"/>
      <c r="YJ22" s="953"/>
      <c r="YK22" s="953"/>
      <c r="YL22" s="953"/>
      <c r="YM22" s="953"/>
      <c r="YN22" s="953"/>
      <c r="YO22" s="953"/>
      <c r="YP22" s="953"/>
      <c r="YQ22" s="953"/>
      <c r="YR22" s="953"/>
      <c r="YS22" s="953"/>
      <c r="YT22" s="953"/>
      <c r="YU22" s="953"/>
      <c r="YV22" s="953"/>
      <c r="YW22" s="953"/>
      <c r="YX22" s="953"/>
      <c r="YY22" s="953"/>
      <c r="YZ22" s="953"/>
      <c r="ZA22" s="953"/>
      <c r="ZB22" s="953"/>
      <c r="ZC22" s="953"/>
      <c r="ZD22" s="953"/>
      <c r="ZE22" s="953"/>
      <c r="ZF22" s="953"/>
      <c r="ZG22" s="953"/>
      <c r="ZH22" s="953"/>
      <c r="ZI22" s="953"/>
      <c r="ZJ22" s="953"/>
      <c r="ZK22" s="953"/>
      <c r="ZL22" s="953"/>
      <c r="ZM22" s="953"/>
      <c r="ZN22" s="953"/>
      <c r="ZO22" s="953"/>
      <c r="ZP22" s="953"/>
      <c r="ZQ22" s="953"/>
      <c r="ZR22" s="953"/>
      <c r="ZS22" s="953"/>
      <c r="ZT22" s="953"/>
      <c r="ZU22" s="953"/>
      <c r="ZV22" s="953"/>
      <c r="ZW22" s="953"/>
      <c r="ZX22" s="953"/>
      <c r="ZY22" s="953"/>
      <c r="ZZ22" s="953"/>
      <c r="AAA22" s="953"/>
      <c r="AAB22" s="953"/>
      <c r="AAC22" s="953"/>
      <c r="AAD22" s="953"/>
      <c r="AAE22" s="953"/>
      <c r="AAF22" s="953"/>
      <c r="AAG22" s="953"/>
      <c r="AAH22" s="953"/>
      <c r="AAI22" s="953"/>
      <c r="AAJ22" s="953"/>
      <c r="AAK22" s="953"/>
      <c r="AAL22" s="953"/>
      <c r="AAM22" s="953"/>
      <c r="AAN22" s="953"/>
      <c r="AAO22" s="953"/>
      <c r="AAP22" s="953"/>
      <c r="AAQ22" s="953"/>
      <c r="AAR22" s="953"/>
      <c r="AAS22" s="953"/>
      <c r="AAT22" s="953"/>
      <c r="AAU22" s="953"/>
      <c r="AAV22" s="953"/>
      <c r="AAW22" s="953"/>
      <c r="AAX22" s="953"/>
      <c r="AAY22" s="953"/>
      <c r="AAZ22" s="953"/>
      <c r="ABA22" s="953"/>
      <c r="ABB22" s="953"/>
      <c r="ABC22" s="953"/>
      <c r="ABD22" s="953"/>
      <c r="ABE22" s="953"/>
      <c r="ABF22" s="953"/>
      <c r="ABG22" s="953"/>
      <c r="ABH22" s="953"/>
      <c r="ABI22" s="953"/>
      <c r="ABJ22" s="953"/>
      <c r="ABK22" s="953"/>
      <c r="ABL22" s="953"/>
      <c r="ABM22" s="953"/>
      <c r="ABN22" s="953"/>
      <c r="ABO22" s="953"/>
      <c r="ABP22" s="953"/>
      <c r="ABQ22" s="953"/>
      <c r="ABR22" s="953"/>
      <c r="ABS22" s="953"/>
      <c r="ABT22" s="953"/>
      <c r="ABU22" s="953"/>
      <c r="ABV22" s="953"/>
      <c r="ABW22" s="953"/>
      <c r="ABX22" s="953"/>
      <c r="ABY22" s="953"/>
      <c r="ABZ22" s="953"/>
      <c r="ACA22" s="953"/>
      <c r="ACB22" s="953"/>
      <c r="ACC22" s="953"/>
      <c r="ACD22" s="953"/>
      <c r="ACE22" s="953"/>
      <c r="ACF22" s="953"/>
      <c r="ACG22" s="953"/>
      <c r="ACH22" s="953"/>
      <c r="ACI22" s="953"/>
      <c r="ACJ22" s="953"/>
      <c r="ACK22" s="953"/>
      <c r="ACL22" s="953"/>
      <c r="ACM22" s="953"/>
      <c r="ACN22" s="953"/>
      <c r="ACO22" s="953"/>
      <c r="ACP22" s="953"/>
      <c r="ACQ22" s="953"/>
      <c r="ACR22" s="953"/>
      <c r="ACS22" s="953"/>
      <c r="ACT22" s="953"/>
      <c r="ACU22" s="953"/>
      <c r="ACV22" s="953"/>
      <c r="ACW22" s="953"/>
      <c r="ACX22" s="953"/>
      <c r="ACY22" s="953"/>
      <c r="ACZ22" s="953"/>
      <c r="ADA22" s="953"/>
      <c r="ADB22" s="953"/>
      <c r="ADC22" s="953"/>
      <c r="ADD22" s="953"/>
      <c r="ADE22" s="953"/>
      <c r="ADF22" s="953"/>
      <c r="ADG22" s="953"/>
      <c r="ADH22" s="953"/>
      <c r="ADI22" s="953"/>
      <c r="ADJ22" s="953"/>
      <c r="ADK22" s="953"/>
      <c r="ADL22" s="953"/>
      <c r="ADM22" s="953"/>
      <c r="ADN22" s="953"/>
      <c r="ADO22" s="953"/>
      <c r="ADP22" s="953"/>
      <c r="ADQ22" s="953"/>
      <c r="ADR22" s="953"/>
      <c r="ADS22" s="953"/>
      <c r="ADT22" s="953"/>
      <c r="ADU22" s="953"/>
      <c r="ADV22" s="953"/>
      <c r="ADW22" s="953"/>
      <c r="ADX22" s="953"/>
      <c r="ADY22" s="953"/>
      <c r="ADZ22" s="953"/>
      <c r="AEA22" s="953"/>
      <c r="AEB22" s="953"/>
      <c r="AEC22" s="953"/>
      <c r="AED22" s="953"/>
      <c r="AEE22" s="953"/>
      <c r="AEF22" s="953"/>
      <c r="AEG22" s="953"/>
      <c r="AEH22" s="953"/>
      <c r="AEI22" s="953"/>
      <c r="AEJ22" s="953"/>
      <c r="AEK22" s="953"/>
      <c r="AEL22" s="953"/>
      <c r="AEM22" s="953"/>
      <c r="AEN22" s="953"/>
      <c r="AEO22" s="953"/>
      <c r="AEP22" s="953"/>
      <c r="AEQ22" s="953"/>
      <c r="AER22" s="953"/>
      <c r="AES22" s="953"/>
      <c r="AET22" s="953"/>
      <c r="AEU22" s="953"/>
      <c r="AEV22" s="953"/>
      <c r="AEW22" s="953"/>
      <c r="AEX22" s="953"/>
      <c r="AEY22" s="953"/>
      <c r="AEZ22" s="953"/>
      <c r="AFA22" s="953"/>
      <c r="AFB22" s="953"/>
      <c r="AFC22" s="953"/>
      <c r="AFD22" s="953"/>
      <c r="AFE22" s="953"/>
      <c r="AFF22" s="953"/>
      <c r="AFG22" s="953"/>
      <c r="AFH22" s="953"/>
      <c r="AFI22" s="953"/>
      <c r="AFJ22" s="953"/>
      <c r="AFK22" s="953"/>
      <c r="AFL22" s="953"/>
      <c r="AFM22" s="953"/>
      <c r="AFN22" s="953"/>
      <c r="AFO22" s="953"/>
      <c r="AFP22" s="953"/>
      <c r="AFQ22" s="953"/>
      <c r="AFR22" s="953"/>
      <c r="AFS22" s="953"/>
      <c r="AFT22" s="953"/>
      <c r="AFU22" s="953"/>
      <c r="AFV22" s="953"/>
      <c r="AFW22" s="953"/>
      <c r="AFX22" s="953"/>
      <c r="AFY22" s="953"/>
      <c r="AFZ22" s="953"/>
      <c r="AGA22" s="953"/>
      <c r="AGB22" s="953"/>
      <c r="AGC22" s="953"/>
      <c r="AGD22" s="953"/>
      <c r="AGE22" s="953"/>
      <c r="AGF22" s="953"/>
      <c r="AGG22" s="953"/>
      <c r="AGH22" s="953"/>
      <c r="AGI22" s="953"/>
      <c r="AGJ22" s="953"/>
      <c r="AGK22" s="953"/>
      <c r="AGL22" s="953"/>
      <c r="AGM22" s="953"/>
      <c r="AGN22" s="953"/>
      <c r="AGO22" s="953"/>
      <c r="AGP22" s="953"/>
      <c r="AGQ22" s="953"/>
      <c r="AGR22" s="953"/>
      <c r="AGS22" s="953"/>
      <c r="AGT22" s="953"/>
      <c r="AGU22" s="953"/>
      <c r="AGV22" s="953"/>
      <c r="AGW22" s="953"/>
      <c r="AGX22" s="953"/>
      <c r="AGY22" s="953"/>
      <c r="AGZ22" s="953"/>
      <c r="AHA22" s="953"/>
      <c r="AHB22" s="953"/>
      <c r="AHC22" s="953"/>
      <c r="AHD22" s="953"/>
      <c r="AHE22" s="953"/>
      <c r="AHF22" s="953"/>
      <c r="AHG22" s="953"/>
      <c r="AHH22" s="953"/>
      <c r="AHI22" s="953"/>
      <c r="AHJ22" s="953"/>
      <c r="AHK22" s="953"/>
      <c r="AHL22" s="953"/>
      <c r="AHM22" s="953"/>
      <c r="AHN22" s="953"/>
      <c r="AHO22" s="953"/>
      <c r="AHP22" s="953"/>
      <c r="AHQ22" s="953"/>
      <c r="AHR22" s="953"/>
      <c r="AHS22" s="953"/>
      <c r="AHT22" s="953"/>
      <c r="AHU22" s="953"/>
      <c r="AHV22" s="953"/>
      <c r="AHW22" s="953"/>
      <c r="AHX22" s="953"/>
      <c r="AHY22" s="953"/>
      <c r="AHZ22" s="953"/>
      <c r="AIA22" s="953"/>
      <c r="AIB22" s="953"/>
      <c r="AIC22" s="953"/>
      <c r="AID22" s="953"/>
      <c r="AIE22" s="953"/>
      <c r="AIF22" s="953"/>
      <c r="AIG22" s="953"/>
      <c r="AIH22" s="953"/>
      <c r="AII22" s="953"/>
      <c r="AIJ22" s="953"/>
      <c r="AIK22" s="953"/>
      <c r="AIL22" s="953"/>
      <c r="AIM22" s="953"/>
      <c r="AIN22" s="953"/>
      <c r="AIO22" s="953"/>
      <c r="AIP22" s="953"/>
      <c r="AIQ22" s="953"/>
      <c r="AIR22" s="953"/>
      <c r="AIS22" s="953"/>
      <c r="AIT22" s="953"/>
      <c r="AIU22" s="953"/>
      <c r="AIV22" s="953"/>
      <c r="AIW22" s="953"/>
      <c r="AIX22" s="953"/>
      <c r="AIY22" s="953"/>
      <c r="AIZ22" s="953"/>
      <c r="AJA22" s="953"/>
      <c r="AJB22" s="953"/>
      <c r="AJC22" s="953"/>
      <c r="AJD22" s="953"/>
      <c r="AJE22" s="953"/>
      <c r="AJF22" s="953"/>
      <c r="AJG22" s="953"/>
      <c r="AJH22" s="953"/>
      <c r="AJI22" s="953"/>
      <c r="AJJ22" s="953"/>
      <c r="AJK22" s="953"/>
      <c r="AJL22" s="953"/>
      <c r="AJM22" s="953"/>
      <c r="AJN22" s="953"/>
      <c r="AJO22" s="953"/>
      <c r="AJP22" s="953"/>
      <c r="AJQ22" s="953"/>
      <c r="AJR22" s="953"/>
      <c r="AJS22" s="953"/>
      <c r="AJT22" s="953"/>
      <c r="AJU22" s="953"/>
      <c r="AJV22" s="953"/>
      <c r="AJW22" s="953"/>
      <c r="AJX22" s="953"/>
      <c r="AJY22" s="953"/>
      <c r="AJZ22" s="953"/>
      <c r="AKA22" s="953"/>
      <c r="AKB22" s="953"/>
      <c r="AKC22" s="953"/>
      <c r="AKD22" s="953"/>
      <c r="AKE22" s="953"/>
      <c r="AKF22" s="953"/>
      <c r="AKG22" s="953"/>
      <c r="AKH22" s="953"/>
      <c r="AKI22" s="953"/>
      <c r="AKJ22" s="953"/>
      <c r="AKK22" s="953"/>
      <c r="AKL22" s="953"/>
      <c r="AKM22" s="953"/>
      <c r="AKN22" s="953"/>
      <c r="AKO22" s="953"/>
      <c r="AKP22" s="953"/>
      <c r="AKQ22" s="953"/>
      <c r="AKR22" s="953"/>
      <c r="AKS22" s="953"/>
      <c r="AKT22" s="953"/>
      <c r="AKU22" s="953"/>
      <c r="AKV22" s="953"/>
      <c r="AKW22" s="953"/>
      <c r="AKX22" s="953"/>
      <c r="AKY22" s="953"/>
      <c r="AKZ22" s="953"/>
      <c r="ALA22" s="953"/>
      <c r="ALB22" s="953"/>
      <c r="ALC22" s="953"/>
      <c r="ALD22" s="953"/>
      <c r="ALE22" s="953"/>
      <c r="ALF22" s="953"/>
      <c r="ALG22" s="953"/>
      <c r="ALH22" s="953"/>
      <c r="ALI22" s="953"/>
      <c r="ALJ22" s="953"/>
      <c r="ALK22" s="953"/>
      <c r="ALL22" s="953"/>
      <c r="ALM22" s="953"/>
      <c r="ALN22" s="953"/>
      <c r="ALO22" s="953"/>
      <c r="ALP22" s="953"/>
      <c r="ALQ22" s="953"/>
      <c r="ALR22" s="953"/>
      <c r="ALS22" s="953"/>
      <c r="ALT22" s="953"/>
      <c r="ALU22" s="953"/>
      <c r="ALV22" s="953"/>
      <c r="ALW22" s="953"/>
      <c r="ALX22" s="953"/>
      <c r="ALY22" s="953"/>
      <c r="ALZ22" s="953"/>
      <c r="AMA22" s="953"/>
      <c r="AMB22" s="953"/>
      <c r="AMC22" s="953"/>
      <c r="AMD22" s="953"/>
      <c r="AME22" s="953"/>
      <c r="AMF22" s="953"/>
      <c r="AMG22" s="953"/>
      <c r="AMH22" s="953"/>
      <c r="AMI22" s="953"/>
      <c r="AMJ22" s="953"/>
      <c r="AMK22" s="953"/>
      <c r="AML22" s="953"/>
      <c r="AMM22" s="953"/>
      <c r="AMN22" s="953"/>
      <c r="AMO22" s="953"/>
      <c r="AMP22" s="953"/>
      <c r="AMQ22" s="953"/>
      <c r="AMR22" s="953"/>
      <c r="AMS22" s="953"/>
      <c r="AMT22" s="953"/>
      <c r="AMU22" s="953"/>
      <c r="AMV22" s="953"/>
      <c r="AMW22" s="953"/>
      <c r="AMX22" s="953"/>
      <c r="AMY22" s="953"/>
      <c r="AMZ22" s="953"/>
      <c r="ANA22" s="953"/>
      <c r="ANB22" s="953"/>
      <c r="ANC22" s="953"/>
      <c r="AND22" s="953"/>
      <c r="ANE22" s="953"/>
      <c r="ANF22" s="953"/>
      <c r="ANG22" s="953"/>
      <c r="ANH22" s="953"/>
      <c r="ANI22" s="953"/>
      <c r="ANJ22" s="953"/>
      <c r="ANK22" s="953"/>
      <c r="ANL22" s="953"/>
      <c r="ANM22" s="953"/>
      <c r="ANN22" s="953"/>
      <c r="ANO22" s="953"/>
      <c r="ANP22" s="953"/>
      <c r="ANQ22" s="953"/>
      <c r="ANR22" s="953"/>
      <c r="ANS22" s="953"/>
      <c r="ANT22" s="953"/>
      <c r="ANU22" s="953"/>
      <c r="ANV22" s="953"/>
      <c r="ANW22" s="953"/>
      <c r="ANX22" s="953"/>
      <c r="ANY22" s="953"/>
      <c r="ANZ22" s="953"/>
      <c r="AOA22" s="953"/>
      <c r="AOB22" s="953"/>
      <c r="AOC22" s="953"/>
      <c r="AOD22" s="953"/>
      <c r="AOE22" s="953"/>
      <c r="AOF22" s="953"/>
      <c r="AOG22" s="953"/>
      <c r="AOH22" s="953"/>
      <c r="AOI22" s="953"/>
      <c r="AOJ22" s="953"/>
      <c r="AOK22" s="953"/>
      <c r="AOL22" s="953"/>
      <c r="AOM22" s="953"/>
      <c r="AON22" s="953"/>
      <c r="AOO22" s="953"/>
      <c r="AOP22" s="953"/>
      <c r="AOQ22" s="953"/>
      <c r="AOR22" s="953"/>
      <c r="AOS22" s="953"/>
      <c r="AOT22" s="953"/>
      <c r="AOU22" s="953"/>
      <c r="AOV22" s="953"/>
      <c r="AOW22" s="953"/>
      <c r="AOX22" s="953"/>
      <c r="AOY22" s="953"/>
      <c r="AOZ22" s="953"/>
      <c r="APA22" s="953"/>
      <c r="APB22" s="953"/>
      <c r="APC22" s="953"/>
      <c r="APD22" s="953"/>
      <c r="APE22" s="953"/>
      <c r="APF22" s="953"/>
      <c r="APG22" s="953"/>
      <c r="APH22" s="953"/>
      <c r="API22" s="953"/>
      <c r="APJ22" s="953"/>
      <c r="APK22" s="953"/>
      <c r="APL22" s="953"/>
      <c r="APM22" s="953"/>
      <c r="APN22" s="953"/>
      <c r="APO22" s="953"/>
      <c r="APP22" s="953"/>
      <c r="APQ22" s="953"/>
      <c r="APR22" s="953"/>
      <c r="APS22" s="953"/>
      <c r="APT22" s="953"/>
      <c r="APU22" s="953"/>
      <c r="APV22" s="953"/>
      <c r="APW22" s="953"/>
      <c r="APX22" s="953"/>
      <c r="APY22" s="953"/>
      <c r="APZ22" s="953"/>
      <c r="AQA22" s="953"/>
      <c r="AQB22" s="953"/>
      <c r="AQC22" s="953"/>
      <c r="AQD22" s="953"/>
      <c r="AQE22" s="953"/>
      <c r="AQF22" s="953"/>
      <c r="AQG22" s="953"/>
      <c r="AQH22" s="953"/>
      <c r="AQI22" s="953"/>
      <c r="AQJ22" s="953"/>
      <c r="AQK22" s="953"/>
      <c r="AQL22" s="953"/>
      <c r="AQM22" s="953"/>
      <c r="AQN22" s="953"/>
      <c r="AQO22" s="953"/>
      <c r="AQP22" s="953"/>
      <c r="AQQ22" s="953"/>
      <c r="AQR22" s="953"/>
      <c r="AQS22" s="953"/>
      <c r="AQT22" s="953"/>
      <c r="AQU22" s="953"/>
      <c r="AQV22" s="953"/>
      <c r="AQW22" s="953"/>
      <c r="AQX22" s="953"/>
      <c r="AQY22" s="953"/>
      <c r="AQZ22" s="953"/>
      <c r="ARA22" s="953"/>
      <c r="ARB22" s="953"/>
      <c r="ARC22" s="953"/>
      <c r="ARD22" s="953"/>
      <c r="ARE22" s="953"/>
      <c r="ARF22" s="953"/>
      <c r="ARG22" s="953"/>
      <c r="ARH22" s="953"/>
      <c r="ARI22" s="953"/>
      <c r="ARJ22" s="953"/>
      <c r="ARK22" s="953"/>
      <c r="ARL22" s="953"/>
      <c r="ARM22" s="953"/>
      <c r="ARN22" s="953"/>
      <c r="ARO22" s="953"/>
      <c r="ARP22" s="953"/>
      <c r="ARQ22" s="953"/>
      <c r="ARR22" s="953"/>
      <c r="ARS22" s="953"/>
      <c r="ART22" s="953"/>
      <c r="ARU22" s="953"/>
      <c r="ARV22" s="953"/>
      <c r="ARW22" s="953"/>
      <c r="ARX22" s="953"/>
      <c r="ARY22" s="953"/>
      <c r="ARZ22" s="953"/>
      <c r="ASA22" s="953"/>
      <c r="ASB22" s="953"/>
      <c r="ASC22" s="953"/>
      <c r="ASD22" s="953"/>
      <c r="ASE22" s="953"/>
      <c r="ASF22" s="953"/>
      <c r="ASG22" s="953"/>
      <c r="ASH22" s="953"/>
      <c r="ASI22" s="953"/>
      <c r="ASJ22" s="953"/>
      <c r="ASK22" s="953"/>
      <c r="ASL22" s="953"/>
      <c r="ASM22" s="953"/>
      <c r="ASN22" s="953"/>
      <c r="ASO22" s="953"/>
      <c r="ASP22" s="953"/>
      <c r="ASQ22" s="953"/>
      <c r="ASR22" s="953"/>
      <c r="ASS22" s="953"/>
      <c r="AST22" s="953"/>
      <c r="ASU22" s="953"/>
      <c r="ASV22" s="953"/>
      <c r="ASW22" s="953"/>
      <c r="ASX22" s="953"/>
      <c r="ASY22" s="953"/>
      <c r="ASZ22" s="953"/>
      <c r="ATA22" s="953"/>
      <c r="ATB22" s="953"/>
      <c r="ATC22" s="953"/>
      <c r="ATD22" s="953"/>
      <c r="ATE22" s="953"/>
      <c r="ATF22" s="953"/>
      <c r="ATG22" s="953"/>
      <c r="ATH22" s="953"/>
      <c r="ATI22" s="953"/>
      <c r="ATJ22" s="953"/>
      <c r="ATK22" s="953"/>
      <c r="ATL22" s="953"/>
      <c r="ATM22" s="953"/>
      <c r="ATN22" s="953"/>
      <c r="ATO22" s="953"/>
      <c r="ATP22" s="953"/>
      <c r="ATQ22" s="953"/>
      <c r="ATR22" s="953"/>
      <c r="ATS22" s="953"/>
      <c r="ATT22" s="953"/>
      <c r="ATU22" s="953"/>
      <c r="ATV22" s="953"/>
      <c r="ATW22" s="953"/>
      <c r="ATX22" s="953"/>
      <c r="ATY22" s="953"/>
      <c r="ATZ22" s="953"/>
      <c r="AUA22" s="953"/>
      <c r="AUB22" s="953"/>
      <c r="AUC22" s="953"/>
      <c r="AUD22" s="953"/>
      <c r="AUE22" s="953"/>
      <c r="AUF22" s="953"/>
      <c r="AUG22" s="953"/>
      <c r="AUH22" s="953"/>
      <c r="AUI22" s="953"/>
      <c r="AUJ22" s="953"/>
      <c r="AUK22" s="953"/>
      <c r="AUL22" s="953"/>
      <c r="AUM22" s="953"/>
      <c r="AUN22" s="953"/>
      <c r="AUO22" s="953"/>
      <c r="AUP22" s="953"/>
      <c r="AUQ22" s="953"/>
      <c r="AUR22" s="953"/>
      <c r="AUS22" s="953"/>
      <c r="AUT22" s="953"/>
      <c r="AUU22" s="953"/>
      <c r="AUV22" s="953"/>
      <c r="AUW22" s="953"/>
      <c r="AUX22" s="953"/>
      <c r="AUY22" s="953"/>
      <c r="AUZ22" s="953"/>
      <c r="AVA22" s="953"/>
      <c r="AVB22" s="953"/>
      <c r="AVC22" s="953"/>
      <c r="AVD22" s="953"/>
      <c r="AVE22" s="953"/>
      <c r="AVF22" s="953"/>
      <c r="AVG22" s="953"/>
      <c r="AVH22" s="953"/>
      <c r="AVI22" s="953"/>
      <c r="AVJ22" s="953"/>
      <c r="AVK22" s="953"/>
      <c r="AVL22" s="953"/>
      <c r="AVM22" s="953"/>
      <c r="AVN22" s="953"/>
      <c r="AVO22" s="953"/>
      <c r="AVP22" s="953"/>
      <c r="AVQ22" s="953"/>
      <c r="AVR22" s="953"/>
      <c r="AVS22" s="953"/>
      <c r="AVT22" s="953"/>
      <c r="AVU22" s="953"/>
      <c r="AVV22" s="953"/>
      <c r="AVW22" s="953"/>
      <c r="AVX22" s="953"/>
      <c r="AVY22" s="953"/>
      <c r="AVZ22" s="953"/>
      <c r="AWA22" s="953"/>
      <c r="AWB22" s="953"/>
      <c r="AWC22" s="953"/>
      <c r="AWD22" s="953"/>
      <c r="AWE22" s="953"/>
      <c r="AWF22" s="953"/>
      <c r="AWG22" s="953"/>
      <c r="AWH22" s="953"/>
      <c r="AWI22" s="953"/>
      <c r="AWJ22" s="953"/>
      <c r="AWK22" s="953"/>
      <c r="AWL22" s="953"/>
      <c r="AWM22" s="953"/>
      <c r="AWN22" s="953"/>
      <c r="AWO22" s="953"/>
      <c r="AWP22" s="953"/>
      <c r="AWQ22" s="953"/>
      <c r="AWR22" s="953"/>
      <c r="AWS22" s="953"/>
      <c r="AWT22" s="953"/>
      <c r="AWU22" s="953"/>
      <c r="AWV22" s="953"/>
      <c r="AWW22" s="953"/>
      <c r="AWX22" s="953"/>
      <c r="AWY22" s="953"/>
      <c r="AWZ22" s="953"/>
      <c r="AXA22" s="953"/>
      <c r="AXB22" s="953"/>
      <c r="AXC22" s="953"/>
      <c r="AXD22" s="953"/>
      <c r="AXE22" s="953"/>
      <c r="AXF22" s="953"/>
      <c r="AXG22" s="953"/>
      <c r="AXH22" s="953"/>
      <c r="AXI22" s="953"/>
      <c r="AXJ22" s="953"/>
      <c r="AXK22" s="953"/>
      <c r="AXL22" s="953"/>
      <c r="AXM22" s="953"/>
      <c r="AXN22" s="953"/>
      <c r="AXO22" s="953"/>
      <c r="AXP22" s="953"/>
      <c r="AXQ22" s="953"/>
      <c r="AXR22" s="953"/>
      <c r="AXS22" s="953"/>
      <c r="AXT22" s="953"/>
      <c r="AXU22" s="953"/>
      <c r="AXV22" s="953"/>
      <c r="AXW22" s="953"/>
      <c r="AXX22" s="953"/>
      <c r="AXY22" s="953"/>
      <c r="AXZ22" s="953"/>
      <c r="AYA22" s="953"/>
      <c r="AYB22" s="953"/>
      <c r="AYC22" s="953"/>
      <c r="AYD22" s="953"/>
      <c r="AYE22" s="953"/>
      <c r="AYF22" s="953"/>
      <c r="AYG22" s="953"/>
      <c r="AYH22" s="953"/>
      <c r="AYI22" s="953"/>
      <c r="AYJ22" s="953"/>
      <c r="AYK22" s="953"/>
      <c r="AYL22" s="953"/>
      <c r="AYM22" s="953"/>
      <c r="AYN22" s="953"/>
      <c r="AYO22" s="953"/>
      <c r="AYP22" s="953"/>
      <c r="AYQ22" s="953"/>
      <c r="AYR22" s="953"/>
      <c r="AYS22" s="953"/>
      <c r="AYT22" s="953"/>
      <c r="AYU22" s="953"/>
      <c r="AYV22" s="953"/>
      <c r="AYW22" s="953"/>
      <c r="AYX22" s="953"/>
      <c r="AYY22" s="953"/>
      <c r="AYZ22" s="953"/>
      <c r="AZA22" s="953"/>
      <c r="AZB22" s="953"/>
      <c r="AZC22" s="953"/>
      <c r="AZD22" s="953"/>
      <c r="AZE22" s="953"/>
      <c r="AZF22" s="953"/>
      <c r="AZG22" s="953"/>
      <c r="AZH22" s="953"/>
      <c r="AZI22" s="953"/>
      <c r="AZJ22" s="953"/>
      <c r="AZK22" s="953"/>
      <c r="AZL22" s="953"/>
      <c r="AZM22" s="953"/>
      <c r="AZN22" s="953"/>
      <c r="AZO22" s="953"/>
      <c r="AZP22" s="953"/>
      <c r="AZQ22" s="953"/>
      <c r="AZR22" s="953"/>
      <c r="AZS22" s="953"/>
      <c r="AZT22" s="953"/>
      <c r="AZU22" s="953"/>
      <c r="AZV22" s="953"/>
      <c r="AZW22" s="953"/>
      <c r="AZX22" s="953"/>
      <c r="AZY22" s="953"/>
      <c r="AZZ22" s="953"/>
      <c r="BAA22" s="953"/>
      <c r="BAB22" s="953"/>
      <c r="BAC22" s="953"/>
      <c r="BAD22" s="953"/>
      <c r="BAE22" s="953"/>
      <c r="BAF22" s="953"/>
      <c r="BAG22" s="953"/>
      <c r="BAH22" s="953"/>
      <c r="BAI22" s="953"/>
      <c r="BAJ22" s="953"/>
      <c r="BAK22" s="953"/>
      <c r="BAL22" s="953"/>
      <c r="BAM22" s="953"/>
      <c r="BAN22" s="953"/>
      <c r="BAO22" s="953"/>
      <c r="BAP22" s="953"/>
      <c r="BAQ22" s="953"/>
      <c r="BAR22" s="953"/>
      <c r="BAS22" s="953"/>
      <c r="BAT22" s="953"/>
      <c r="BAU22" s="953"/>
      <c r="BAV22" s="953"/>
      <c r="BAW22" s="953"/>
      <c r="BAX22" s="953"/>
      <c r="BAY22" s="953"/>
      <c r="BAZ22" s="953"/>
      <c r="BBA22" s="953"/>
      <c r="BBB22" s="953"/>
      <c r="BBC22" s="953"/>
      <c r="BBD22" s="953"/>
      <c r="BBE22" s="953"/>
      <c r="BBF22" s="953"/>
      <c r="BBG22" s="953"/>
      <c r="BBH22" s="953"/>
      <c r="BBI22" s="953"/>
      <c r="BBJ22" s="953"/>
      <c r="BBK22" s="953"/>
      <c r="BBL22" s="953"/>
      <c r="BBM22" s="953"/>
      <c r="BBN22" s="953"/>
      <c r="BBO22" s="953"/>
      <c r="BBP22" s="953"/>
      <c r="BBQ22" s="953"/>
      <c r="BBR22" s="953"/>
      <c r="BBS22" s="953"/>
      <c r="BBT22" s="953"/>
      <c r="BBU22" s="953"/>
      <c r="BBV22" s="953"/>
      <c r="BBW22" s="953"/>
      <c r="BBX22" s="953"/>
      <c r="BBY22" s="953"/>
      <c r="BBZ22" s="953"/>
      <c r="BCA22" s="953"/>
      <c r="BCB22" s="953"/>
      <c r="BCC22" s="953"/>
      <c r="BCD22" s="953"/>
      <c r="BCE22" s="953"/>
      <c r="BCF22" s="953"/>
      <c r="BCG22" s="953"/>
      <c r="BCH22" s="953"/>
      <c r="BCI22" s="953"/>
      <c r="BCJ22" s="953"/>
      <c r="BCK22" s="953"/>
      <c r="BCL22" s="953"/>
      <c r="BCM22" s="953"/>
      <c r="BCN22" s="953"/>
      <c r="BCO22" s="953"/>
      <c r="BCP22" s="953"/>
      <c r="BCQ22" s="953"/>
      <c r="BCR22" s="953"/>
      <c r="BCS22" s="953"/>
      <c r="BCT22" s="953"/>
      <c r="BCU22" s="953"/>
      <c r="BCV22" s="953"/>
      <c r="BCW22" s="953"/>
      <c r="BCX22" s="953"/>
      <c r="BCY22" s="953"/>
      <c r="BCZ22" s="953"/>
      <c r="BDA22" s="953"/>
      <c r="BDB22" s="953"/>
      <c r="BDC22" s="953"/>
      <c r="BDD22" s="953"/>
      <c r="BDE22" s="953"/>
      <c r="BDF22" s="953"/>
      <c r="BDG22" s="953"/>
      <c r="BDH22" s="953"/>
      <c r="BDI22" s="953"/>
      <c r="BDJ22" s="953"/>
      <c r="BDK22" s="953"/>
      <c r="BDL22" s="953"/>
      <c r="BDM22" s="953"/>
      <c r="BDN22" s="953"/>
      <c r="BDO22" s="953"/>
      <c r="BDP22" s="953"/>
      <c r="BDQ22" s="953"/>
      <c r="BDR22" s="953"/>
      <c r="BDS22" s="953"/>
      <c r="BDT22" s="953"/>
      <c r="BDU22" s="953"/>
      <c r="BDV22" s="953"/>
      <c r="BDW22" s="953"/>
      <c r="BDX22" s="953"/>
      <c r="BDY22" s="953"/>
      <c r="BDZ22" s="953"/>
      <c r="BEA22" s="953"/>
      <c r="BEB22" s="953"/>
      <c r="BEC22" s="953"/>
      <c r="BED22" s="953"/>
      <c r="BEE22" s="953"/>
      <c r="BEF22" s="953"/>
      <c r="BEG22" s="953"/>
      <c r="BEH22" s="953"/>
      <c r="BEI22" s="953"/>
      <c r="BEJ22" s="953"/>
      <c r="BEK22" s="953"/>
      <c r="BEL22" s="953"/>
      <c r="BEM22" s="953"/>
      <c r="BEN22" s="953"/>
      <c r="BEO22" s="953"/>
      <c r="BEP22" s="953"/>
      <c r="BEQ22" s="953"/>
      <c r="BER22" s="953"/>
      <c r="BES22" s="953"/>
      <c r="BET22" s="953"/>
      <c r="BEU22" s="953"/>
      <c r="BEV22" s="953"/>
      <c r="BEW22" s="953"/>
      <c r="BEX22" s="953"/>
      <c r="BEY22" s="953"/>
      <c r="BEZ22" s="953"/>
      <c r="BFA22" s="953"/>
      <c r="BFB22" s="953"/>
      <c r="BFC22" s="953"/>
      <c r="BFD22" s="953"/>
      <c r="BFE22" s="953"/>
      <c r="BFF22" s="953"/>
      <c r="BFG22" s="953"/>
      <c r="BFH22" s="953"/>
      <c r="BFI22" s="953"/>
      <c r="BFJ22" s="953"/>
      <c r="BFK22" s="953"/>
      <c r="BFL22" s="953"/>
      <c r="BFM22" s="953"/>
      <c r="BFN22" s="953"/>
      <c r="BFO22" s="953"/>
      <c r="BFP22" s="953"/>
      <c r="BFQ22" s="953"/>
      <c r="BFR22" s="953"/>
      <c r="BFS22" s="953"/>
      <c r="BFT22" s="953"/>
      <c r="BFU22" s="953"/>
      <c r="BFV22" s="953"/>
      <c r="BFW22" s="953"/>
      <c r="BFX22" s="953"/>
      <c r="BFY22" s="953"/>
      <c r="BFZ22" s="953"/>
      <c r="BGA22" s="953"/>
      <c r="BGB22" s="953"/>
      <c r="BGC22" s="953"/>
      <c r="BGD22" s="953"/>
      <c r="BGE22" s="953"/>
      <c r="BGF22" s="953"/>
      <c r="BGG22" s="953"/>
      <c r="BGH22" s="953"/>
      <c r="BGI22" s="953"/>
      <c r="BGJ22" s="953"/>
      <c r="BGK22" s="953"/>
      <c r="BGL22" s="953"/>
      <c r="BGM22" s="953"/>
      <c r="BGN22" s="953"/>
      <c r="BGO22" s="953"/>
      <c r="BGP22" s="953"/>
      <c r="BGQ22" s="953"/>
      <c r="BGR22" s="953"/>
      <c r="BGS22" s="953"/>
      <c r="BGT22" s="953"/>
      <c r="BGU22" s="953"/>
      <c r="BGV22" s="953"/>
      <c r="BGW22" s="953"/>
      <c r="BGX22" s="953"/>
      <c r="BGY22" s="953"/>
      <c r="BGZ22" s="953"/>
      <c r="BHA22" s="953"/>
      <c r="BHB22" s="953"/>
      <c r="BHC22" s="953"/>
      <c r="BHD22" s="953"/>
      <c r="BHE22" s="953"/>
      <c r="BHF22" s="953"/>
      <c r="BHG22" s="953"/>
      <c r="BHH22" s="953"/>
      <c r="BHI22" s="953"/>
      <c r="BHJ22" s="953"/>
      <c r="BHK22" s="953"/>
      <c r="BHL22" s="953"/>
      <c r="BHM22" s="953"/>
      <c r="BHN22" s="953"/>
      <c r="BHO22" s="953"/>
      <c r="BHP22" s="953"/>
      <c r="BHQ22" s="953"/>
      <c r="BHR22" s="953"/>
      <c r="BHS22" s="953"/>
      <c r="BHT22" s="953"/>
      <c r="BHU22" s="953"/>
      <c r="BHV22" s="953"/>
      <c r="BHW22" s="953"/>
      <c r="BHX22" s="953"/>
      <c r="BHY22" s="953"/>
      <c r="BHZ22" s="953"/>
      <c r="BIA22" s="953"/>
      <c r="BIB22" s="953"/>
      <c r="BIC22" s="953"/>
      <c r="BID22" s="953"/>
      <c r="BIE22" s="953"/>
      <c r="BIF22" s="953"/>
      <c r="BIG22" s="953"/>
      <c r="BIH22" s="953"/>
      <c r="BII22" s="953"/>
      <c r="BIJ22" s="953"/>
      <c r="BIK22" s="953"/>
      <c r="BIL22" s="953"/>
      <c r="BIM22" s="953"/>
      <c r="BIN22" s="953"/>
      <c r="BIO22" s="953"/>
      <c r="BIP22" s="953"/>
      <c r="BIQ22" s="953"/>
      <c r="BIR22" s="953"/>
      <c r="BIS22" s="953"/>
      <c r="BIT22" s="953"/>
      <c r="BIU22" s="953"/>
      <c r="BIV22" s="953"/>
      <c r="BIW22" s="953"/>
      <c r="BIX22" s="953"/>
      <c r="BIY22" s="953"/>
      <c r="BIZ22" s="953"/>
      <c r="BJA22" s="953"/>
      <c r="BJB22" s="953"/>
      <c r="BJC22" s="953"/>
      <c r="BJD22" s="953"/>
      <c r="BJE22" s="953"/>
      <c r="BJF22" s="953"/>
      <c r="BJG22" s="953"/>
      <c r="BJH22" s="953"/>
      <c r="BJI22" s="953"/>
      <c r="BJJ22" s="953"/>
      <c r="BJK22" s="953"/>
      <c r="BJL22" s="953"/>
      <c r="BJM22" s="953"/>
      <c r="BJN22" s="953"/>
      <c r="BJO22" s="953"/>
      <c r="BJP22" s="953"/>
      <c r="BJQ22" s="953"/>
      <c r="BJR22" s="953"/>
      <c r="BJS22" s="953"/>
      <c r="BJT22" s="953"/>
      <c r="BJU22" s="953"/>
      <c r="BJV22" s="953"/>
      <c r="BJW22" s="953"/>
      <c r="BJX22" s="953"/>
      <c r="BJY22" s="953"/>
      <c r="BJZ22" s="953"/>
      <c r="BKA22" s="953"/>
      <c r="BKB22" s="953"/>
      <c r="BKC22" s="953"/>
      <c r="BKD22" s="953"/>
      <c r="BKE22" s="953"/>
      <c r="BKF22" s="953"/>
      <c r="BKG22" s="953"/>
      <c r="BKH22" s="953"/>
      <c r="BKI22" s="953"/>
      <c r="BKJ22" s="953"/>
      <c r="BKK22" s="953"/>
      <c r="BKL22" s="953"/>
      <c r="BKM22" s="953"/>
      <c r="BKN22" s="953"/>
      <c r="BKO22" s="953"/>
      <c r="BKP22" s="953"/>
      <c r="BKQ22" s="953"/>
      <c r="BKR22" s="953"/>
      <c r="BKS22" s="953"/>
      <c r="BKT22" s="953"/>
      <c r="BKU22" s="953"/>
      <c r="BKV22" s="953"/>
      <c r="BKW22" s="953"/>
      <c r="BKX22" s="953"/>
      <c r="BKY22" s="953"/>
      <c r="BKZ22" s="953"/>
      <c r="BLA22" s="953"/>
      <c r="BLB22" s="953"/>
      <c r="BLC22" s="953"/>
      <c r="BLD22" s="953"/>
      <c r="BLE22" s="953"/>
      <c r="BLF22" s="953"/>
      <c r="BLG22" s="953"/>
      <c r="BLH22" s="953"/>
      <c r="BLI22" s="953"/>
      <c r="BLJ22" s="953"/>
      <c r="BLK22" s="953"/>
      <c r="BLL22" s="953"/>
      <c r="BLM22" s="953"/>
      <c r="BLN22" s="953"/>
      <c r="BLO22" s="953"/>
      <c r="BLP22" s="953"/>
      <c r="BLQ22" s="953"/>
      <c r="BLR22" s="953"/>
      <c r="BLS22" s="953"/>
      <c r="BLT22" s="953"/>
      <c r="BLU22" s="953"/>
      <c r="BLV22" s="953"/>
      <c r="BLW22" s="953"/>
      <c r="BLX22" s="953"/>
      <c r="BLY22" s="953"/>
      <c r="BLZ22" s="953"/>
      <c r="BMA22" s="953"/>
      <c r="BMB22" s="953"/>
      <c r="BMC22" s="953"/>
      <c r="BMD22" s="953"/>
      <c r="BME22" s="953"/>
      <c r="BMF22" s="953"/>
      <c r="BMG22" s="953"/>
      <c r="BMH22" s="953"/>
      <c r="BMI22" s="953"/>
      <c r="BMJ22" s="953"/>
      <c r="BMK22" s="953"/>
      <c r="BML22" s="953"/>
      <c r="BMM22" s="953"/>
      <c r="BMN22" s="953"/>
      <c r="BMO22" s="953"/>
      <c r="BMP22" s="953"/>
      <c r="BMQ22" s="953"/>
      <c r="BMR22" s="953"/>
      <c r="BMS22" s="953"/>
      <c r="BMT22" s="953"/>
      <c r="BMU22" s="953"/>
      <c r="BMV22" s="953"/>
      <c r="BMW22" s="953"/>
      <c r="BMX22" s="953"/>
      <c r="BMY22" s="953"/>
      <c r="BMZ22" s="953"/>
      <c r="BNA22" s="953"/>
      <c r="BNB22" s="953"/>
      <c r="BNC22" s="953"/>
      <c r="BND22" s="953"/>
      <c r="BNE22" s="953"/>
      <c r="BNF22" s="953"/>
      <c r="BNG22" s="953"/>
      <c r="BNH22" s="953"/>
      <c r="BNI22" s="953"/>
      <c r="BNJ22" s="953"/>
      <c r="BNK22" s="953"/>
      <c r="BNL22" s="953"/>
      <c r="BNM22" s="953"/>
      <c r="BNN22" s="953"/>
      <c r="BNO22" s="953"/>
      <c r="BNP22" s="953"/>
      <c r="BNQ22" s="953"/>
      <c r="BNR22" s="953"/>
      <c r="BNS22" s="953"/>
      <c r="BNT22" s="953"/>
      <c r="BNU22" s="953"/>
      <c r="BNV22" s="953"/>
      <c r="BNW22" s="953"/>
      <c r="BNX22" s="953"/>
      <c r="BNY22" s="953"/>
      <c r="BNZ22" s="953"/>
      <c r="BOA22" s="953"/>
      <c r="BOB22" s="953"/>
      <c r="BOC22" s="953"/>
      <c r="BOD22" s="953"/>
      <c r="BOE22" s="953"/>
      <c r="BOF22" s="953"/>
      <c r="BOG22" s="953"/>
      <c r="BOH22" s="953"/>
      <c r="BOI22" s="953"/>
      <c r="BOJ22" s="953"/>
      <c r="BOK22" s="953"/>
      <c r="BOL22" s="953"/>
      <c r="BOM22" s="953"/>
      <c r="BON22" s="953"/>
      <c r="BOO22" s="953"/>
      <c r="BOP22" s="953"/>
      <c r="BOQ22" s="953"/>
      <c r="BOR22" s="953"/>
      <c r="BOS22" s="953"/>
      <c r="BOT22" s="953"/>
      <c r="BOU22" s="953"/>
      <c r="BOV22" s="953"/>
      <c r="BOW22" s="953"/>
      <c r="BOX22" s="953"/>
      <c r="BOY22" s="953"/>
      <c r="BOZ22" s="953"/>
      <c r="BPA22" s="953"/>
      <c r="BPB22" s="953"/>
      <c r="BPC22" s="953"/>
      <c r="BPD22" s="953"/>
      <c r="BPE22" s="953"/>
      <c r="BPF22" s="953"/>
      <c r="BPG22" s="953"/>
      <c r="BPH22" s="953"/>
      <c r="BPI22" s="953"/>
      <c r="BPJ22" s="953"/>
      <c r="BPK22" s="953"/>
      <c r="BPL22" s="953"/>
      <c r="BPM22" s="953"/>
      <c r="BPN22" s="953"/>
      <c r="BPO22" s="953"/>
      <c r="BPP22" s="953"/>
      <c r="BPQ22" s="953"/>
      <c r="BPR22" s="953"/>
      <c r="BPS22" s="953"/>
      <c r="BPT22" s="953"/>
      <c r="BPU22" s="953"/>
      <c r="BPV22" s="953"/>
      <c r="BPW22" s="953"/>
      <c r="BPX22" s="953"/>
      <c r="BPY22" s="953"/>
      <c r="BPZ22" s="953"/>
      <c r="BQA22" s="953"/>
      <c r="BQB22" s="953"/>
      <c r="BQC22" s="953"/>
      <c r="BQD22" s="953"/>
      <c r="BQE22" s="953"/>
      <c r="BQF22" s="953"/>
      <c r="BQG22" s="953"/>
      <c r="BQH22" s="953"/>
      <c r="BQI22" s="953"/>
      <c r="BQJ22" s="953"/>
      <c r="BQK22" s="953"/>
      <c r="BQL22" s="953"/>
      <c r="BQM22" s="953"/>
      <c r="BQN22" s="953"/>
      <c r="BQO22" s="953"/>
      <c r="BQP22" s="953"/>
      <c r="BQQ22" s="953"/>
      <c r="BQR22" s="953"/>
      <c r="BQS22" s="953"/>
      <c r="BQT22" s="953"/>
      <c r="BQU22" s="953"/>
      <c r="BQV22" s="953"/>
      <c r="BQW22" s="953"/>
      <c r="BQX22" s="953"/>
      <c r="BQY22" s="953"/>
      <c r="BQZ22" s="953"/>
      <c r="BRA22" s="953"/>
      <c r="BRB22" s="953"/>
      <c r="BRC22" s="953"/>
      <c r="BRD22" s="953"/>
      <c r="BRE22" s="953"/>
      <c r="BRF22" s="953"/>
      <c r="BRG22" s="953"/>
      <c r="BRH22" s="953"/>
      <c r="BRI22" s="953"/>
      <c r="BRJ22" s="953"/>
      <c r="BRK22" s="953"/>
      <c r="BRL22" s="953"/>
      <c r="BRM22" s="953"/>
      <c r="BRN22" s="953"/>
      <c r="BRO22" s="953"/>
      <c r="BRP22" s="953"/>
      <c r="BRQ22" s="953"/>
      <c r="BRR22" s="953"/>
      <c r="BRS22" s="953"/>
      <c r="BRT22" s="953"/>
      <c r="BRU22" s="953"/>
      <c r="BRV22" s="953"/>
      <c r="BRW22" s="953"/>
      <c r="BRX22" s="953"/>
      <c r="BRY22" s="953"/>
      <c r="BRZ22" s="953"/>
      <c r="BSA22" s="953"/>
      <c r="BSB22" s="953"/>
      <c r="BSC22" s="953"/>
      <c r="BSD22" s="953"/>
      <c r="BSE22" s="953"/>
      <c r="BSF22" s="953"/>
      <c r="BSG22" s="953"/>
      <c r="BSH22" s="953"/>
      <c r="BSI22" s="953"/>
      <c r="BSJ22" s="953"/>
      <c r="BSK22" s="953"/>
      <c r="BSL22" s="953"/>
      <c r="BSM22" s="953"/>
      <c r="BSN22" s="953"/>
      <c r="BSO22" s="953"/>
      <c r="BSP22" s="953"/>
      <c r="BSQ22" s="953"/>
      <c r="BSR22" s="953"/>
      <c r="BSS22" s="953"/>
      <c r="BST22" s="953"/>
      <c r="BSU22" s="953"/>
      <c r="BSV22" s="953"/>
      <c r="BSW22" s="953"/>
      <c r="BSX22" s="953"/>
      <c r="BSY22" s="953"/>
      <c r="BSZ22" s="953"/>
      <c r="BTA22" s="953"/>
      <c r="BTB22" s="953"/>
      <c r="BTC22" s="953"/>
      <c r="BTD22" s="953"/>
      <c r="BTE22" s="953"/>
      <c r="BTF22" s="953"/>
      <c r="BTG22" s="953"/>
      <c r="BTH22" s="953"/>
      <c r="BTI22" s="953"/>
      <c r="BTJ22" s="953"/>
      <c r="BTK22" s="953"/>
      <c r="BTL22" s="953"/>
      <c r="BTM22" s="953"/>
      <c r="BTN22" s="953"/>
      <c r="BTO22" s="953"/>
      <c r="BTP22" s="953"/>
      <c r="BTQ22" s="953"/>
      <c r="BTR22" s="953"/>
      <c r="BTS22" s="953"/>
      <c r="BTT22" s="953"/>
      <c r="BTU22" s="953"/>
      <c r="BTV22" s="953"/>
      <c r="BTW22" s="953"/>
      <c r="BTX22" s="953"/>
      <c r="BTY22" s="953"/>
      <c r="BTZ22" s="953"/>
      <c r="BUA22" s="953"/>
      <c r="BUB22" s="953"/>
      <c r="BUC22" s="953"/>
      <c r="BUD22" s="953"/>
      <c r="BUE22" s="953"/>
      <c r="BUF22" s="953"/>
      <c r="BUG22" s="953"/>
      <c r="BUH22" s="953"/>
      <c r="BUI22" s="953"/>
      <c r="BUJ22" s="953"/>
      <c r="BUK22" s="953"/>
      <c r="BUL22" s="953"/>
      <c r="BUM22" s="953"/>
      <c r="BUN22" s="953"/>
      <c r="BUO22" s="953"/>
      <c r="BUP22" s="953"/>
      <c r="BUQ22" s="953"/>
      <c r="BUR22" s="953"/>
      <c r="BUS22" s="953"/>
      <c r="BUT22" s="953"/>
      <c r="BUU22" s="953"/>
      <c r="BUV22" s="953"/>
      <c r="BUW22" s="953"/>
      <c r="BUX22" s="953"/>
      <c r="BUY22" s="953"/>
      <c r="BUZ22" s="953"/>
      <c r="BVA22" s="953"/>
      <c r="BVB22" s="953"/>
      <c r="BVC22" s="953"/>
      <c r="BVD22" s="953"/>
      <c r="BVE22" s="953"/>
      <c r="BVF22" s="953"/>
      <c r="BVG22" s="953"/>
      <c r="BVH22" s="953"/>
      <c r="BVI22" s="953"/>
      <c r="BVJ22" s="953"/>
      <c r="BVK22" s="953"/>
      <c r="BVL22" s="953"/>
      <c r="BVM22" s="953"/>
      <c r="BVN22" s="953"/>
      <c r="BVO22" s="953"/>
      <c r="BVP22" s="953"/>
      <c r="BVQ22" s="953"/>
      <c r="BVR22" s="953"/>
      <c r="BVS22" s="953"/>
      <c r="BVT22" s="953"/>
      <c r="BVU22" s="953"/>
      <c r="BVV22" s="953"/>
      <c r="BVW22" s="953"/>
      <c r="BVX22" s="953"/>
      <c r="BVY22" s="953"/>
      <c r="BVZ22" s="953"/>
      <c r="BWA22" s="953"/>
      <c r="BWB22" s="953"/>
      <c r="BWC22" s="953"/>
      <c r="BWD22" s="953"/>
      <c r="BWE22" s="953"/>
      <c r="BWF22" s="953"/>
      <c r="BWG22" s="953"/>
      <c r="BWH22" s="953"/>
      <c r="BWI22" s="953"/>
      <c r="BWJ22" s="953"/>
      <c r="BWK22" s="953"/>
      <c r="BWL22" s="953"/>
      <c r="BWM22" s="953"/>
      <c r="BWN22" s="953"/>
      <c r="BWO22" s="953"/>
      <c r="BWP22" s="953"/>
      <c r="BWQ22" s="953"/>
      <c r="BWR22" s="953"/>
      <c r="BWS22" s="953"/>
      <c r="BWT22" s="953"/>
      <c r="BWU22" s="953"/>
      <c r="BWV22" s="953"/>
      <c r="BWW22" s="953"/>
      <c r="BWX22" s="953"/>
      <c r="BWY22" s="953"/>
      <c r="BWZ22" s="953"/>
      <c r="BXA22" s="953"/>
      <c r="BXB22" s="953"/>
      <c r="BXC22" s="953"/>
      <c r="BXD22" s="953"/>
      <c r="BXE22" s="953"/>
      <c r="BXF22" s="953"/>
      <c r="BXG22" s="953"/>
      <c r="BXH22" s="953"/>
      <c r="BXI22" s="953"/>
      <c r="BXJ22" s="953"/>
      <c r="BXK22" s="953"/>
      <c r="BXL22" s="953"/>
      <c r="BXM22" s="953"/>
      <c r="BXN22" s="953"/>
      <c r="BXO22" s="953"/>
      <c r="BXP22" s="953"/>
      <c r="BXQ22" s="953"/>
      <c r="BXR22" s="953"/>
      <c r="BXS22" s="953"/>
      <c r="BXT22" s="953"/>
      <c r="BXU22" s="953"/>
      <c r="BXV22" s="953"/>
      <c r="BXW22" s="953"/>
      <c r="BXX22" s="953"/>
      <c r="BXY22" s="953"/>
      <c r="BXZ22" s="953"/>
      <c r="BYA22" s="953"/>
      <c r="BYB22" s="953"/>
      <c r="BYC22" s="953"/>
      <c r="BYD22" s="953"/>
      <c r="BYE22" s="953"/>
      <c r="BYF22" s="953"/>
      <c r="BYG22" s="953"/>
      <c r="BYH22" s="953"/>
      <c r="BYI22" s="953"/>
      <c r="BYJ22" s="953"/>
      <c r="BYK22" s="953"/>
      <c r="BYL22" s="953"/>
      <c r="BYM22" s="953"/>
      <c r="BYN22" s="953"/>
      <c r="BYO22" s="953"/>
      <c r="BYP22" s="953"/>
      <c r="BYQ22" s="953"/>
      <c r="BYR22" s="953"/>
      <c r="BYS22" s="953"/>
      <c r="BYT22" s="953"/>
      <c r="BYU22" s="953"/>
      <c r="BYV22" s="953"/>
      <c r="BYW22" s="953"/>
      <c r="BYX22" s="953"/>
      <c r="BYY22" s="953"/>
      <c r="BYZ22" s="953"/>
      <c r="BZA22" s="953"/>
      <c r="BZB22" s="953"/>
      <c r="BZC22" s="953"/>
      <c r="BZD22" s="953"/>
      <c r="BZE22" s="953"/>
      <c r="BZF22" s="953"/>
      <c r="BZG22" s="953"/>
      <c r="BZH22" s="953"/>
      <c r="BZI22" s="953"/>
      <c r="BZJ22" s="953"/>
      <c r="BZK22" s="953"/>
      <c r="BZL22" s="953"/>
      <c r="BZM22" s="953"/>
      <c r="BZN22" s="953"/>
      <c r="BZO22" s="953"/>
      <c r="BZP22" s="953"/>
      <c r="BZQ22" s="953"/>
      <c r="BZR22" s="953"/>
      <c r="BZS22" s="953"/>
      <c r="BZT22" s="953"/>
      <c r="BZU22" s="953"/>
      <c r="BZV22" s="953"/>
      <c r="BZW22" s="953"/>
      <c r="BZX22" s="953"/>
      <c r="BZY22" s="953"/>
      <c r="BZZ22" s="953"/>
      <c r="CAA22" s="953"/>
      <c r="CAB22" s="953"/>
      <c r="CAC22" s="953"/>
      <c r="CAD22" s="953"/>
      <c r="CAE22" s="953"/>
      <c r="CAF22" s="953"/>
      <c r="CAG22" s="953"/>
      <c r="CAH22" s="953"/>
      <c r="CAI22" s="953"/>
      <c r="CAJ22" s="953"/>
      <c r="CAK22" s="953"/>
      <c r="CAL22" s="953"/>
      <c r="CAM22" s="953"/>
      <c r="CAN22" s="953"/>
      <c r="CAO22" s="953"/>
      <c r="CAP22" s="953"/>
      <c r="CAQ22" s="953"/>
      <c r="CAR22" s="953"/>
      <c r="CAS22" s="953"/>
      <c r="CAT22" s="953"/>
      <c r="CAU22" s="953"/>
      <c r="CAV22" s="953"/>
      <c r="CAW22" s="953"/>
      <c r="CAX22" s="953"/>
      <c r="CAY22" s="953"/>
      <c r="CAZ22" s="953"/>
      <c r="CBA22" s="953"/>
      <c r="CBB22" s="953"/>
      <c r="CBC22" s="953"/>
      <c r="CBD22" s="953"/>
      <c r="CBE22" s="953"/>
      <c r="CBF22" s="953"/>
      <c r="CBG22" s="953"/>
      <c r="CBH22" s="953"/>
      <c r="CBI22" s="953"/>
      <c r="CBJ22" s="953"/>
      <c r="CBK22" s="953"/>
      <c r="CBL22" s="953"/>
      <c r="CBM22" s="953"/>
      <c r="CBN22" s="953"/>
      <c r="CBO22" s="953"/>
      <c r="CBP22" s="953"/>
      <c r="CBQ22" s="953"/>
      <c r="CBR22" s="953"/>
      <c r="CBS22" s="953"/>
      <c r="CBT22" s="953"/>
      <c r="CBU22" s="953"/>
      <c r="CBV22" s="953"/>
      <c r="CBW22" s="953"/>
      <c r="CBX22" s="953"/>
      <c r="CBY22" s="953"/>
      <c r="CBZ22" s="953"/>
      <c r="CCA22" s="953"/>
      <c r="CCB22" s="953"/>
      <c r="CCC22" s="953"/>
      <c r="CCD22" s="953"/>
      <c r="CCE22" s="953"/>
      <c r="CCF22" s="953"/>
      <c r="CCG22" s="953"/>
      <c r="CCH22" s="953"/>
      <c r="CCI22" s="953"/>
      <c r="CCJ22" s="953"/>
      <c r="CCK22" s="953"/>
      <c r="CCL22" s="953"/>
      <c r="CCM22" s="953"/>
      <c r="CCN22" s="953"/>
      <c r="CCO22" s="953"/>
      <c r="CCP22" s="953"/>
      <c r="CCQ22" s="953"/>
      <c r="CCR22" s="953"/>
      <c r="CCS22" s="953"/>
      <c r="CCT22" s="953"/>
      <c r="CCU22" s="953"/>
      <c r="CCV22" s="953"/>
      <c r="CCW22" s="953"/>
      <c r="CCX22" s="953"/>
      <c r="CCY22" s="953"/>
      <c r="CCZ22" s="953"/>
      <c r="CDA22" s="953"/>
      <c r="CDB22" s="953"/>
      <c r="CDC22" s="953"/>
      <c r="CDD22" s="953"/>
      <c r="CDE22" s="953"/>
      <c r="CDF22" s="953"/>
      <c r="CDG22" s="953"/>
      <c r="CDH22" s="953"/>
      <c r="CDI22" s="953"/>
      <c r="CDJ22" s="953"/>
      <c r="CDK22" s="953"/>
      <c r="CDL22" s="953"/>
      <c r="CDM22" s="953"/>
      <c r="CDN22" s="953"/>
      <c r="CDO22" s="953"/>
      <c r="CDP22" s="953"/>
      <c r="CDQ22" s="953"/>
      <c r="CDR22" s="953"/>
      <c r="CDS22" s="953"/>
      <c r="CDT22" s="953"/>
      <c r="CDU22" s="953"/>
      <c r="CDV22" s="953"/>
      <c r="CDW22" s="953"/>
      <c r="CDX22" s="953"/>
      <c r="CDY22" s="953"/>
      <c r="CDZ22" s="953"/>
      <c r="CEA22" s="953"/>
      <c r="CEB22" s="953"/>
      <c r="CEC22" s="953"/>
      <c r="CED22" s="953"/>
      <c r="CEE22" s="953"/>
      <c r="CEF22" s="953"/>
      <c r="CEG22" s="953"/>
      <c r="CEH22" s="953"/>
      <c r="CEI22" s="953"/>
      <c r="CEJ22" s="953"/>
      <c r="CEK22" s="953"/>
      <c r="CEL22" s="953"/>
      <c r="CEM22" s="953"/>
      <c r="CEN22" s="953"/>
      <c r="CEO22" s="953"/>
      <c r="CEP22" s="953"/>
      <c r="CEQ22" s="953"/>
      <c r="CER22" s="953"/>
      <c r="CES22" s="953"/>
      <c r="CET22" s="953"/>
      <c r="CEU22" s="953"/>
      <c r="CEV22" s="953"/>
      <c r="CEW22" s="953"/>
      <c r="CEX22" s="953"/>
      <c r="CEY22" s="953"/>
      <c r="CEZ22" s="953"/>
      <c r="CFA22" s="953"/>
      <c r="CFB22" s="953"/>
      <c r="CFC22" s="953"/>
      <c r="CFD22" s="953"/>
      <c r="CFE22" s="953"/>
      <c r="CFF22" s="953"/>
      <c r="CFG22" s="953"/>
      <c r="CFH22" s="953"/>
      <c r="CFI22" s="953"/>
      <c r="CFJ22" s="953"/>
      <c r="CFK22" s="953"/>
      <c r="CFL22" s="953"/>
      <c r="CFM22" s="953"/>
      <c r="CFN22" s="953"/>
      <c r="CFO22" s="953"/>
      <c r="CFP22" s="953"/>
      <c r="CFQ22" s="953"/>
      <c r="CFR22" s="953"/>
      <c r="CFS22" s="953"/>
      <c r="CFT22" s="953"/>
      <c r="CFU22" s="953"/>
      <c r="CFV22" s="953"/>
      <c r="CFW22" s="953"/>
      <c r="CFX22" s="953"/>
      <c r="CFY22" s="953"/>
      <c r="CFZ22" s="953"/>
      <c r="CGA22" s="953"/>
      <c r="CGB22" s="953"/>
      <c r="CGC22" s="953"/>
      <c r="CGD22" s="953"/>
      <c r="CGE22" s="953"/>
      <c r="CGF22" s="953"/>
      <c r="CGG22" s="953"/>
      <c r="CGH22" s="953"/>
      <c r="CGI22" s="953"/>
      <c r="CGJ22" s="953"/>
      <c r="CGK22" s="953"/>
      <c r="CGL22" s="953"/>
      <c r="CGM22" s="953"/>
      <c r="CGN22" s="953"/>
      <c r="CGO22" s="953"/>
      <c r="CGP22" s="953"/>
      <c r="CGQ22" s="953"/>
      <c r="CGR22" s="953"/>
      <c r="CGS22" s="953"/>
      <c r="CGT22" s="953"/>
      <c r="CGU22" s="953"/>
      <c r="CGV22" s="953"/>
      <c r="CGW22" s="953"/>
      <c r="CGX22" s="953"/>
      <c r="CGY22" s="953"/>
      <c r="CGZ22" s="953"/>
      <c r="CHA22" s="953"/>
      <c r="CHB22" s="953"/>
      <c r="CHC22" s="953"/>
      <c r="CHD22" s="953"/>
      <c r="CHE22" s="953"/>
      <c r="CHF22" s="953"/>
      <c r="CHG22" s="953"/>
      <c r="CHH22" s="953"/>
      <c r="CHI22" s="953"/>
      <c r="CHJ22" s="953"/>
      <c r="CHK22" s="953"/>
      <c r="CHL22" s="953"/>
      <c r="CHM22" s="953"/>
      <c r="CHN22" s="953"/>
      <c r="CHO22" s="953"/>
      <c r="CHP22" s="953"/>
      <c r="CHQ22" s="953"/>
      <c r="CHR22" s="953"/>
      <c r="CHS22" s="953"/>
      <c r="CHT22" s="953"/>
      <c r="CHU22" s="953"/>
      <c r="CHV22" s="953"/>
      <c r="CHW22" s="953"/>
      <c r="CHX22" s="953"/>
      <c r="CHY22" s="953"/>
      <c r="CHZ22" s="953"/>
      <c r="CIA22" s="953"/>
      <c r="CIB22" s="953"/>
      <c r="CIC22" s="953"/>
      <c r="CID22" s="953"/>
      <c r="CIE22" s="953"/>
      <c r="CIF22" s="953"/>
      <c r="CIG22" s="953"/>
      <c r="CIH22" s="953"/>
      <c r="CII22" s="953"/>
      <c r="CIJ22" s="953"/>
      <c r="CIK22" s="953"/>
      <c r="CIL22" s="953"/>
      <c r="CIM22" s="953"/>
      <c r="CIN22" s="953"/>
      <c r="CIO22" s="953"/>
      <c r="CIP22" s="953"/>
      <c r="CIQ22" s="953"/>
      <c r="CIR22" s="953"/>
      <c r="CIS22" s="953"/>
      <c r="CIT22" s="953"/>
      <c r="CIU22" s="953"/>
      <c r="CIV22" s="953"/>
      <c r="CIW22" s="953"/>
      <c r="CIX22" s="953"/>
      <c r="CIY22" s="953"/>
      <c r="CIZ22" s="953"/>
      <c r="CJA22" s="953"/>
      <c r="CJB22" s="953"/>
      <c r="CJC22" s="953"/>
      <c r="CJD22" s="953"/>
      <c r="CJE22" s="953"/>
      <c r="CJF22" s="953"/>
      <c r="CJG22" s="953"/>
      <c r="CJH22" s="953"/>
      <c r="CJI22" s="953"/>
      <c r="CJJ22" s="953"/>
      <c r="CJK22" s="953"/>
      <c r="CJL22" s="953"/>
      <c r="CJM22" s="953"/>
      <c r="CJN22" s="953"/>
      <c r="CJO22" s="953"/>
      <c r="CJP22" s="953"/>
      <c r="CJQ22" s="953"/>
      <c r="CJR22" s="953"/>
      <c r="CJS22" s="953"/>
      <c r="CJT22" s="953"/>
      <c r="CJU22" s="953"/>
      <c r="CJV22" s="953"/>
      <c r="CJW22" s="953"/>
      <c r="CJX22" s="953"/>
      <c r="CJY22" s="953"/>
      <c r="CJZ22" s="953"/>
      <c r="CKA22" s="953"/>
      <c r="CKB22" s="953"/>
      <c r="CKC22" s="953"/>
      <c r="CKD22" s="953"/>
      <c r="CKE22" s="953"/>
      <c r="CKF22" s="953"/>
      <c r="CKG22" s="953"/>
      <c r="CKH22" s="953"/>
      <c r="CKI22" s="953"/>
      <c r="CKJ22" s="953"/>
      <c r="CKK22" s="953"/>
      <c r="CKL22" s="953"/>
      <c r="CKM22" s="953"/>
      <c r="CKN22" s="953"/>
      <c r="CKO22" s="953"/>
      <c r="CKP22" s="953"/>
      <c r="CKQ22" s="953"/>
      <c r="CKR22" s="953"/>
      <c r="CKS22" s="953"/>
      <c r="CKT22" s="953"/>
      <c r="CKU22" s="953"/>
      <c r="CKV22" s="953"/>
      <c r="CKW22" s="953"/>
      <c r="CKX22" s="953"/>
      <c r="CKY22" s="953"/>
      <c r="CKZ22" s="953"/>
      <c r="CLA22" s="953"/>
      <c r="CLB22" s="953"/>
      <c r="CLC22" s="953"/>
      <c r="CLD22" s="953"/>
      <c r="CLE22" s="953"/>
      <c r="CLF22" s="953"/>
      <c r="CLG22" s="953"/>
      <c r="CLH22" s="953"/>
      <c r="CLI22" s="953"/>
      <c r="CLJ22" s="953"/>
      <c r="CLK22" s="953"/>
      <c r="CLL22" s="953"/>
      <c r="CLM22" s="953"/>
      <c r="CLN22" s="953"/>
      <c r="CLO22" s="953"/>
      <c r="CLP22" s="953"/>
      <c r="CLQ22" s="953"/>
      <c r="CLR22" s="953"/>
      <c r="CLS22" s="953"/>
      <c r="CLT22" s="953"/>
      <c r="CLU22" s="953"/>
      <c r="CLV22" s="953"/>
      <c r="CLW22" s="953"/>
      <c r="CLX22" s="953"/>
      <c r="CLY22" s="953"/>
      <c r="CLZ22" s="953"/>
      <c r="CMA22" s="953"/>
      <c r="CMB22" s="953"/>
      <c r="CMC22" s="953"/>
      <c r="CMD22" s="953"/>
      <c r="CME22" s="953"/>
      <c r="CMF22" s="953"/>
      <c r="CMG22" s="953"/>
      <c r="CMH22" s="953"/>
      <c r="CMI22" s="953"/>
      <c r="CMJ22" s="953"/>
      <c r="CMK22" s="953"/>
      <c r="CML22" s="953"/>
      <c r="CMM22" s="953"/>
      <c r="CMN22" s="953"/>
      <c r="CMO22" s="953"/>
      <c r="CMP22" s="953"/>
      <c r="CMQ22" s="953"/>
      <c r="CMR22" s="953"/>
      <c r="CMS22" s="953"/>
      <c r="CMT22" s="953"/>
      <c r="CMU22" s="953"/>
      <c r="CMV22" s="953"/>
      <c r="CMW22" s="953"/>
      <c r="CMX22" s="953"/>
      <c r="CMY22" s="953"/>
      <c r="CMZ22" s="953"/>
      <c r="CNA22" s="953"/>
      <c r="CNB22" s="953"/>
      <c r="CNC22" s="953"/>
      <c r="CND22" s="953"/>
      <c r="CNE22" s="953"/>
      <c r="CNF22" s="953"/>
      <c r="CNG22" s="953"/>
      <c r="CNH22" s="953"/>
      <c r="CNI22" s="953"/>
      <c r="CNJ22" s="953"/>
      <c r="CNK22" s="953"/>
      <c r="CNL22" s="953"/>
      <c r="CNM22" s="953"/>
      <c r="CNN22" s="953"/>
      <c r="CNO22" s="953"/>
      <c r="CNP22" s="953"/>
      <c r="CNQ22" s="953"/>
      <c r="CNR22" s="953"/>
      <c r="CNS22" s="953"/>
      <c r="CNT22" s="953"/>
      <c r="CNU22" s="953"/>
      <c r="CNV22" s="953"/>
      <c r="CNW22" s="953"/>
      <c r="CNX22" s="953"/>
      <c r="CNY22" s="953"/>
      <c r="CNZ22" s="953"/>
      <c r="COA22" s="953"/>
      <c r="COB22" s="953"/>
      <c r="COC22" s="953"/>
      <c r="COD22" s="953"/>
      <c r="COE22" s="953"/>
      <c r="COF22" s="953"/>
      <c r="COG22" s="953"/>
      <c r="COH22" s="953"/>
      <c r="COI22" s="953"/>
      <c r="COJ22" s="953"/>
      <c r="COK22" s="953"/>
      <c r="COL22" s="953"/>
      <c r="COM22" s="953"/>
      <c r="CON22" s="953"/>
      <c r="COO22" s="953"/>
      <c r="COP22" s="953"/>
      <c r="COQ22" s="953"/>
      <c r="COR22" s="953"/>
      <c r="COS22" s="953"/>
      <c r="COT22" s="953"/>
      <c r="COU22" s="953"/>
      <c r="COV22" s="953"/>
      <c r="COW22" s="953"/>
      <c r="COX22" s="953"/>
      <c r="COY22" s="953"/>
      <c r="COZ22" s="953"/>
      <c r="CPA22" s="953"/>
      <c r="CPB22" s="953"/>
      <c r="CPC22" s="953"/>
      <c r="CPD22" s="953"/>
      <c r="CPE22" s="953"/>
      <c r="CPF22" s="953"/>
      <c r="CPG22" s="953"/>
      <c r="CPH22" s="953"/>
      <c r="CPI22" s="953"/>
      <c r="CPJ22" s="953"/>
      <c r="CPK22" s="953"/>
      <c r="CPL22" s="953"/>
      <c r="CPM22" s="953"/>
      <c r="CPN22" s="953"/>
      <c r="CPO22" s="953"/>
      <c r="CPP22" s="953"/>
      <c r="CPQ22" s="953"/>
      <c r="CPR22" s="953"/>
      <c r="CPS22" s="953"/>
      <c r="CPT22" s="953"/>
      <c r="CPU22" s="953"/>
      <c r="CPV22" s="953"/>
      <c r="CPW22" s="953"/>
      <c r="CPX22" s="953"/>
      <c r="CPY22" s="953"/>
      <c r="CPZ22" s="953"/>
      <c r="CQA22" s="953"/>
      <c r="CQB22" s="953"/>
      <c r="CQC22" s="953"/>
      <c r="CQD22" s="953"/>
      <c r="CQE22" s="953"/>
      <c r="CQF22" s="953"/>
      <c r="CQG22" s="953"/>
      <c r="CQH22" s="953"/>
      <c r="CQI22" s="953"/>
      <c r="CQJ22" s="953"/>
      <c r="CQK22" s="953"/>
      <c r="CQL22" s="953"/>
      <c r="CQM22" s="953"/>
      <c r="CQN22" s="953"/>
      <c r="CQO22" s="953"/>
      <c r="CQP22" s="953"/>
      <c r="CQQ22" s="953"/>
      <c r="CQR22" s="953"/>
      <c r="CQS22" s="953"/>
      <c r="CQT22" s="953"/>
      <c r="CQU22" s="953"/>
      <c r="CQV22" s="953"/>
      <c r="CQW22" s="953"/>
      <c r="CQX22" s="953"/>
      <c r="CQY22" s="953"/>
      <c r="CQZ22" s="953"/>
      <c r="CRA22" s="953"/>
      <c r="CRB22" s="953"/>
      <c r="CRC22" s="953"/>
      <c r="CRD22" s="953"/>
      <c r="CRE22" s="953"/>
      <c r="CRF22" s="953"/>
      <c r="CRG22" s="953"/>
      <c r="CRH22" s="953"/>
      <c r="CRI22" s="953"/>
      <c r="CRJ22" s="953"/>
      <c r="CRK22" s="953"/>
      <c r="CRL22" s="953"/>
      <c r="CRM22" s="953"/>
      <c r="CRN22" s="953"/>
      <c r="CRO22" s="953"/>
      <c r="CRP22" s="953"/>
      <c r="CRQ22" s="953"/>
      <c r="CRR22" s="953"/>
      <c r="CRS22" s="953"/>
      <c r="CRT22" s="953"/>
      <c r="CRU22" s="953"/>
      <c r="CRV22" s="953"/>
      <c r="CRW22" s="953"/>
      <c r="CRX22" s="953"/>
      <c r="CRY22" s="953"/>
      <c r="CRZ22" s="953"/>
      <c r="CSA22" s="953"/>
      <c r="CSB22" s="953"/>
      <c r="CSC22" s="953"/>
      <c r="CSD22" s="953"/>
      <c r="CSE22" s="953"/>
      <c r="CSF22" s="953"/>
      <c r="CSG22" s="953"/>
      <c r="CSH22" s="953"/>
      <c r="CSI22" s="953"/>
      <c r="CSJ22" s="953"/>
      <c r="CSK22" s="953"/>
      <c r="CSL22" s="953"/>
      <c r="CSM22" s="953"/>
      <c r="CSN22" s="953"/>
      <c r="CSO22" s="953"/>
      <c r="CSP22" s="953"/>
      <c r="CSQ22" s="953"/>
      <c r="CSR22" s="953"/>
      <c r="CSS22" s="953"/>
      <c r="CST22" s="953"/>
      <c r="CSU22" s="953"/>
      <c r="CSV22" s="953"/>
      <c r="CSW22" s="953"/>
      <c r="CSX22" s="953"/>
      <c r="CSY22" s="953"/>
      <c r="CSZ22" s="953"/>
      <c r="CTA22" s="953"/>
      <c r="CTB22" s="953"/>
      <c r="CTC22" s="953"/>
      <c r="CTD22" s="953"/>
      <c r="CTE22" s="953"/>
      <c r="CTF22" s="953"/>
      <c r="CTG22" s="953"/>
      <c r="CTH22" s="953"/>
      <c r="CTI22" s="953"/>
      <c r="CTJ22" s="953"/>
      <c r="CTK22" s="953"/>
      <c r="CTL22" s="953"/>
      <c r="CTM22" s="953"/>
      <c r="CTN22" s="953"/>
      <c r="CTO22" s="953"/>
      <c r="CTP22" s="953"/>
      <c r="CTQ22" s="953"/>
      <c r="CTR22" s="953"/>
      <c r="CTS22" s="953"/>
      <c r="CTT22" s="953"/>
      <c r="CTU22" s="953"/>
      <c r="CTV22" s="953"/>
      <c r="CTW22" s="953"/>
      <c r="CTX22" s="953"/>
      <c r="CTY22" s="953"/>
      <c r="CTZ22" s="953"/>
      <c r="CUA22" s="953"/>
      <c r="CUB22" s="953"/>
      <c r="CUC22" s="953"/>
      <c r="CUD22" s="953"/>
      <c r="CUE22" s="953"/>
      <c r="CUF22" s="953"/>
      <c r="CUG22" s="953"/>
      <c r="CUH22" s="953"/>
      <c r="CUI22" s="953"/>
      <c r="CUJ22" s="953"/>
      <c r="CUK22" s="953"/>
      <c r="CUL22" s="953"/>
      <c r="CUM22" s="953"/>
      <c r="CUN22" s="953"/>
      <c r="CUO22" s="953"/>
      <c r="CUP22" s="953"/>
      <c r="CUQ22" s="953"/>
      <c r="CUR22" s="953"/>
      <c r="CUS22" s="953"/>
      <c r="CUT22" s="953"/>
      <c r="CUU22" s="953"/>
      <c r="CUV22" s="953"/>
      <c r="CUW22" s="953"/>
      <c r="CUX22" s="953"/>
      <c r="CUY22" s="953"/>
      <c r="CUZ22" s="953"/>
      <c r="CVA22" s="953"/>
      <c r="CVB22" s="953"/>
      <c r="CVC22" s="953"/>
      <c r="CVD22" s="953"/>
      <c r="CVE22" s="953"/>
      <c r="CVF22" s="953"/>
      <c r="CVG22" s="953"/>
      <c r="CVH22" s="953"/>
      <c r="CVI22" s="953"/>
      <c r="CVJ22" s="953"/>
      <c r="CVK22" s="953"/>
      <c r="CVL22" s="953"/>
      <c r="CVM22" s="953"/>
      <c r="CVN22" s="953"/>
      <c r="CVO22" s="953"/>
      <c r="CVP22" s="953"/>
      <c r="CVQ22" s="953"/>
      <c r="CVR22" s="953"/>
      <c r="CVS22" s="953"/>
      <c r="CVT22" s="953"/>
      <c r="CVU22" s="953"/>
      <c r="CVV22" s="953"/>
      <c r="CVW22" s="953"/>
      <c r="CVX22" s="953"/>
      <c r="CVY22" s="953"/>
      <c r="CVZ22" s="953"/>
      <c r="CWA22" s="953"/>
      <c r="CWB22" s="953"/>
      <c r="CWC22" s="953"/>
      <c r="CWD22" s="953"/>
      <c r="CWE22" s="953"/>
      <c r="CWF22" s="953"/>
      <c r="CWG22" s="953"/>
      <c r="CWH22" s="953"/>
      <c r="CWI22" s="953"/>
      <c r="CWJ22" s="953"/>
      <c r="CWK22" s="953"/>
      <c r="CWL22" s="953"/>
      <c r="CWM22" s="953"/>
      <c r="CWN22" s="953"/>
      <c r="CWO22" s="953"/>
      <c r="CWP22" s="953"/>
      <c r="CWQ22" s="953"/>
      <c r="CWR22" s="953"/>
      <c r="CWS22" s="953"/>
      <c r="CWT22" s="953"/>
      <c r="CWU22" s="953"/>
      <c r="CWV22" s="953"/>
      <c r="CWW22" s="953"/>
      <c r="CWX22" s="953"/>
      <c r="CWY22" s="953"/>
      <c r="CWZ22" s="953"/>
      <c r="CXA22" s="953"/>
      <c r="CXB22" s="953"/>
      <c r="CXC22" s="953"/>
      <c r="CXD22" s="953"/>
      <c r="CXE22" s="953"/>
      <c r="CXF22" s="953"/>
      <c r="CXG22" s="953"/>
      <c r="CXH22" s="953"/>
      <c r="CXI22" s="953"/>
      <c r="CXJ22" s="953"/>
      <c r="CXK22" s="953"/>
      <c r="CXL22" s="953"/>
      <c r="CXM22" s="953"/>
      <c r="CXN22" s="953"/>
      <c r="CXO22" s="953"/>
      <c r="CXP22" s="953"/>
      <c r="CXQ22" s="953"/>
      <c r="CXR22" s="953"/>
      <c r="CXS22" s="953"/>
      <c r="CXT22" s="953"/>
      <c r="CXU22" s="953"/>
      <c r="CXV22" s="953"/>
      <c r="CXW22" s="953"/>
      <c r="CXX22" s="953"/>
      <c r="CXY22" s="953"/>
      <c r="CXZ22" s="953"/>
      <c r="CYA22" s="953"/>
      <c r="CYB22" s="953"/>
      <c r="CYC22" s="953"/>
      <c r="CYD22" s="953"/>
      <c r="CYE22" s="953"/>
      <c r="CYF22" s="953"/>
      <c r="CYG22" s="953"/>
      <c r="CYH22" s="953"/>
      <c r="CYI22" s="953"/>
      <c r="CYJ22" s="953"/>
      <c r="CYK22" s="953"/>
      <c r="CYL22" s="953"/>
      <c r="CYM22" s="953"/>
      <c r="CYN22" s="953"/>
      <c r="CYO22" s="953"/>
      <c r="CYP22" s="953"/>
      <c r="CYQ22" s="953"/>
      <c r="CYR22" s="953"/>
      <c r="CYS22" s="953"/>
      <c r="CYT22" s="953"/>
      <c r="CYU22" s="953"/>
      <c r="CYV22" s="953"/>
      <c r="CYW22" s="953"/>
      <c r="CYX22" s="953"/>
      <c r="CYY22" s="953"/>
      <c r="CYZ22" s="953"/>
      <c r="CZA22" s="953"/>
      <c r="CZB22" s="953"/>
      <c r="CZC22" s="953"/>
      <c r="CZD22" s="953"/>
      <c r="CZE22" s="953"/>
      <c r="CZF22" s="953"/>
      <c r="CZG22" s="953"/>
      <c r="CZH22" s="953"/>
      <c r="CZI22" s="953"/>
      <c r="CZJ22" s="953"/>
      <c r="CZK22" s="953"/>
      <c r="CZL22" s="953"/>
      <c r="CZM22" s="953"/>
      <c r="CZN22" s="953"/>
      <c r="CZO22" s="953"/>
      <c r="CZP22" s="953"/>
      <c r="CZQ22" s="953"/>
      <c r="CZR22" s="953"/>
      <c r="CZS22" s="953"/>
      <c r="CZT22" s="953"/>
      <c r="CZU22" s="953"/>
      <c r="CZV22" s="953"/>
      <c r="CZW22" s="953"/>
      <c r="CZX22" s="953"/>
      <c r="CZY22" s="953"/>
      <c r="CZZ22" s="953"/>
      <c r="DAA22" s="953"/>
      <c r="DAB22" s="953"/>
      <c r="DAC22" s="953"/>
      <c r="DAD22" s="953"/>
      <c r="DAE22" s="953"/>
      <c r="DAF22" s="953"/>
      <c r="DAG22" s="953"/>
      <c r="DAH22" s="953"/>
      <c r="DAI22" s="953"/>
      <c r="DAJ22" s="953"/>
      <c r="DAK22" s="953"/>
      <c r="DAL22" s="953"/>
      <c r="DAM22" s="953"/>
      <c r="DAN22" s="953"/>
      <c r="DAO22" s="953"/>
      <c r="DAP22" s="953"/>
      <c r="DAQ22" s="953"/>
      <c r="DAR22" s="953"/>
      <c r="DAS22" s="953"/>
      <c r="DAT22" s="953"/>
      <c r="DAU22" s="953"/>
      <c r="DAV22" s="953"/>
      <c r="DAW22" s="953"/>
      <c r="DAX22" s="953"/>
      <c r="DAY22" s="953"/>
      <c r="DAZ22" s="953"/>
      <c r="DBA22" s="953"/>
      <c r="DBB22" s="953"/>
      <c r="DBC22" s="953"/>
      <c r="DBD22" s="953"/>
      <c r="DBE22" s="953"/>
      <c r="DBF22" s="953"/>
      <c r="DBG22" s="953"/>
      <c r="DBH22" s="953"/>
      <c r="DBI22" s="953"/>
      <c r="DBJ22" s="953"/>
      <c r="DBK22" s="953"/>
      <c r="DBL22" s="953"/>
      <c r="DBM22" s="953"/>
      <c r="DBN22" s="953"/>
      <c r="DBO22" s="953"/>
      <c r="DBP22" s="953"/>
      <c r="DBQ22" s="953"/>
      <c r="DBR22" s="953"/>
      <c r="DBS22" s="953"/>
      <c r="DBT22" s="953"/>
      <c r="DBU22" s="953"/>
      <c r="DBV22" s="953"/>
      <c r="DBW22" s="953"/>
      <c r="DBX22" s="953"/>
      <c r="DBY22" s="953"/>
      <c r="DBZ22" s="953"/>
      <c r="DCA22" s="953"/>
      <c r="DCB22" s="953"/>
      <c r="DCC22" s="953"/>
      <c r="DCD22" s="953"/>
      <c r="DCE22" s="953"/>
      <c r="DCF22" s="953"/>
      <c r="DCG22" s="953"/>
      <c r="DCH22" s="953"/>
      <c r="DCI22" s="953"/>
      <c r="DCJ22" s="953"/>
      <c r="DCK22" s="953"/>
      <c r="DCL22" s="953"/>
      <c r="DCM22" s="953"/>
      <c r="DCN22" s="953"/>
      <c r="DCO22" s="953"/>
      <c r="DCP22" s="953"/>
      <c r="DCQ22" s="953"/>
      <c r="DCR22" s="953"/>
      <c r="DCS22" s="953"/>
      <c r="DCT22" s="953"/>
      <c r="DCU22" s="953"/>
      <c r="DCV22" s="953"/>
      <c r="DCW22" s="953"/>
      <c r="DCX22" s="953"/>
      <c r="DCY22" s="953"/>
      <c r="DCZ22" s="953"/>
      <c r="DDA22" s="953"/>
      <c r="DDB22" s="953"/>
      <c r="DDC22" s="953"/>
      <c r="DDD22" s="953"/>
      <c r="DDE22" s="953"/>
      <c r="DDF22" s="953"/>
      <c r="DDG22" s="953"/>
      <c r="DDH22" s="953"/>
      <c r="DDI22" s="953"/>
      <c r="DDJ22" s="953"/>
      <c r="DDK22" s="953"/>
      <c r="DDL22" s="953"/>
      <c r="DDM22" s="953"/>
      <c r="DDN22" s="953"/>
      <c r="DDO22" s="953"/>
      <c r="DDP22" s="953"/>
      <c r="DDQ22" s="953"/>
      <c r="DDR22" s="953"/>
      <c r="DDS22" s="953"/>
      <c r="DDT22" s="953"/>
      <c r="DDU22" s="953"/>
      <c r="DDV22" s="953"/>
      <c r="DDW22" s="953"/>
      <c r="DDX22" s="953"/>
      <c r="DDY22" s="953"/>
      <c r="DDZ22" s="953"/>
      <c r="DEA22" s="953"/>
      <c r="DEB22" s="953"/>
      <c r="DEC22" s="953"/>
      <c r="DED22" s="953"/>
      <c r="DEE22" s="953"/>
      <c r="DEF22" s="953"/>
      <c r="DEG22" s="953"/>
      <c r="DEH22" s="953"/>
      <c r="DEI22" s="953"/>
      <c r="DEJ22" s="953"/>
      <c r="DEK22" s="953"/>
      <c r="DEL22" s="953"/>
      <c r="DEM22" s="953"/>
      <c r="DEN22" s="953"/>
      <c r="DEO22" s="953"/>
      <c r="DEP22" s="953"/>
      <c r="DEQ22" s="953"/>
      <c r="DER22" s="953"/>
      <c r="DES22" s="953"/>
      <c r="DET22" s="953"/>
      <c r="DEU22" s="953"/>
      <c r="DEV22" s="953"/>
      <c r="DEW22" s="953"/>
      <c r="DEX22" s="953"/>
      <c r="DEY22" s="953"/>
      <c r="DEZ22" s="953"/>
      <c r="DFA22" s="953"/>
      <c r="DFB22" s="953"/>
      <c r="DFC22" s="953"/>
      <c r="DFD22" s="953"/>
      <c r="DFE22" s="953"/>
      <c r="DFF22" s="953"/>
      <c r="DFG22" s="953"/>
      <c r="DFH22" s="953"/>
      <c r="DFI22" s="953"/>
      <c r="DFJ22" s="953"/>
      <c r="DFK22" s="953"/>
      <c r="DFL22" s="953"/>
      <c r="DFM22" s="953"/>
      <c r="DFN22" s="953"/>
      <c r="DFO22" s="953"/>
      <c r="DFP22" s="953"/>
      <c r="DFQ22" s="953"/>
      <c r="DFR22" s="953"/>
      <c r="DFS22" s="953"/>
      <c r="DFT22" s="953"/>
      <c r="DFU22" s="953"/>
      <c r="DFV22" s="953"/>
      <c r="DFW22" s="953"/>
      <c r="DFX22" s="953"/>
      <c r="DFY22" s="953"/>
      <c r="DFZ22" s="953"/>
      <c r="DGA22" s="953"/>
      <c r="DGB22" s="953"/>
      <c r="DGC22" s="953"/>
      <c r="DGD22" s="953"/>
      <c r="DGE22" s="953"/>
      <c r="DGF22" s="953"/>
      <c r="DGG22" s="953"/>
      <c r="DGH22" s="953"/>
      <c r="DGI22" s="953"/>
      <c r="DGJ22" s="953"/>
      <c r="DGK22" s="953"/>
      <c r="DGL22" s="953"/>
      <c r="DGM22" s="953"/>
      <c r="DGN22" s="953"/>
      <c r="DGO22" s="953"/>
      <c r="DGP22" s="953"/>
      <c r="DGQ22" s="953"/>
      <c r="DGR22" s="953"/>
      <c r="DGS22" s="953"/>
      <c r="DGT22" s="953"/>
      <c r="DGU22" s="953"/>
      <c r="DGV22" s="953"/>
      <c r="DGW22" s="953"/>
      <c r="DGX22" s="953"/>
      <c r="DGY22" s="953"/>
      <c r="DGZ22" s="953"/>
      <c r="DHA22" s="953"/>
      <c r="DHB22" s="953"/>
      <c r="DHC22" s="953"/>
      <c r="DHD22" s="953"/>
      <c r="DHE22" s="953"/>
      <c r="DHF22" s="953"/>
      <c r="DHG22" s="953"/>
      <c r="DHH22" s="953"/>
      <c r="DHI22" s="953"/>
      <c r="DHJ22" s="953"/>
      <c r="DHK22" s="953"/>
      <c r="DHL22" s="953"/>
      <c r="DHM22" s="953"/>
      <c r="DHN22" s="953"/>
      <c r="DHO22" s="953"/>
      <c r="DHP22" s="953"/>
      <c r="DHQ22" s="953"/>
      <c r="DHR22" s="953"/>
      <c r="DHS22" s="953"/>
      <c r="DHT22" s="953"/>
      <c r="DHU22" s="953"/>
      <c r="DHV22" s="953"/>
      <c r="DHW22" s="953"/>
      <c r="DHX22" s="953"/>
      <c r="DHY22" s="953"/>
      <c r="DHZ22" s="953"/>
      <c r="DIA22" s="953"/>
      <c r="DIB22" s="953"/>
      <c r="DIC22" s="953"/>
      <c r="DID22" s="953"/>
      <c r="DIE22" s="953"/>
      <c r="DIF22" s="953"/>
      <c r="DIG22" s="953"/>
      <c r="DIH22" s="953"/>
      <c r="DII22" s="953"/>
      <c r="DIJ22" s="953"/>
      <c r="DIK22" s="953"/>
      <c r="DIL22" s="953"/>
      <c r="DIM22" s="953"/>
      <c r="DIN22" s="953"/>
      <c r="DIO22" s="953"/>
      <c r="DIP22" s="953"/>
      <c r="DIQ22" s="953"/>
      <c r="DIR22" s="953"/>
      <c r="DIS22" s="953"/>
      <c r="DIT22" s="953"/>
      <c r="DIU22" s="953"/>
      <c r="DIV22" s="953"/>
      <c r="DIW22" s="953"/>
      <c r="DIX22" s="953"/>
      <c r="DIY22" s="953"/>
      <c r="DIZ22" s="953"/>
      <c r="DJA22" s="953"/>
      <c r="DJB22" s="953"/>
      <c r="DJC22" s="953"/>
      <c r="DJD22" s="953"/>
      <c r="DJE22" s="953"/>
      <c r="DJF22" s="953"/>
      <c r="DJG22" s="953"/>
      <c r="DJH22" s="953"/>
      <c r="DJI22" s="953"/>
      <c r="DJJ22" s="953"/>
      <c r="DJK22" s="953"/>
      <c r="DJL22" s="953"/>
      <c r="DJM22" s="953"/>
      <c r="DJN22" s="953"/>
      <c r="DJO22" s="953"/>
      <c r="DJP22" s="953"/>
      <c r="DJQ22" s="953"/>
      <c r="DJR22" s="953"/>
      <c r="DJS22" s="953"/>
      <c r="DJT22" s="953"/>
      <c r="DJU22" s="953"/>
      <c r="DJV22" s="953"/>
      <c r="DJW22" s="953"/>
      <c r="DJX22" s="953"/>
      <c r="DJY22" s="953"/>
      <c r="DJZ22" s="953"/>
      <c r="DKA22" s="953"/>
      <c r="DKB22" s="953"/>
      <c r="DKC22" s="953"/>
      <c r="DKD22" s="953"/>
      <c r="DKE22" s="953"/>
      <c r="DKF22" s="953"/>
      <c r="DKG22" s="953"/>
      <c r="DKH22" s="953"/>
      <c r="DKI22" s="953"/>
      <c r="DKJ22" s="953"/>
      <c r="DKK22" s="953"/>
      <c r="DKL22" s="953"/>
      <c r="DKM22" s="953"/>
      <c r="DKN22" s="953"/>
      <c r="DKO22" s="953"/>
      <c r="DKP22" s="953"/>
      <c r="DKQ22" s="953"/>
      <c r="DKR22" s="953"/>
      <c r="DKS22" s="953"/>
      <c r="DKT22" s="953"/>
      <c r="DKU22" s="953"/>
      <c r="DKV22" s="953"/>
      <c r="DKW22" s="953"/>
      <c r="DKX22" s="953"/>
      <c r="DKY22" s="953"/>
      <c r="DKZ22" s="953"/>
      <c r="DLA22" s="953"/>
      <c r="DLB22" s="953"/>
      <c r="DLC22" s="953"/>
      <c r="DLD22" s="953"/>
      <c r="DLE22" s="953"/>
      <c r="DLF22" s="953"/>
      <c r="DLG22" s="953"/>
      <c r="DLH22" s="953"/>
      <c r="DLI22" s="953"/>
      <c r="DLJ22" s="953"/>
      <c r="DLK22" s="953"/>
      <c r="DLL22" s="953"/>
      <c r="DLM22" s="953"/>
      <c r="DLN22" s="953"/>
      <c r="DLO22" s="953"/>
      <c r="DLP22" s="953"/>
      <c r="DLQ22" s="953"/>
      <c r="DLR22" s="953"/>
      <c r="DLS22" s="953"/>
      <c r="DLT22" s="953"/>
      <c r="DLU22" s="953"/>
      <c r="DLV22" s="953"/>
      <c r="DLW22" s="953"/>
      <c r="DLX22" s="953"/>
      <c r="DLY22" s="953"/>
      <c r="DLZ22" s="953"/>
      <c r="DMA22" s="953"/>
      <c r="DMB22" s="953"/>
      <c r="DMC22" s="953"/>
      <c r="DMD22" s="953"/>
      <c r="DME22" s="953"/>
      <c r="DMF22" s="953"/>
      <c r="DMG22" s="953"/>
      <c r="DMH22" s="953"/>
      <c r="DMI22" s="953"/>
      <c r="DMJ22" s="953"/>
      <c r="DMK22" s="953"/>
      <c r="DML22" s="953"/>
      <c r="DMM22" s="953"/>
      <c r="DMN22" s="953"/>
      <c r="DMO22" s="953"/>
      <c r="DMP22" s="953"/>
      <c r="DMQ22" s="953"/>
      <c r="DMR22" s="953"/>
      <c r="DMS22" s="953"/>
      <c r="DMT22" s="953"/>
      <c r="DMU22" s="953"/>
      <c r="DMV22" s="953"/>
      <c r="DMW22" s="953"/>
      <c r="DMX22" s="953"/>
      <c r="DMY22" s="953"/>
      <c r="DMZ22" s="953"/>
      <c r="DNA22" s="953"/>
      <c r="DNB22" s="953"/>
      <c r="DNC22" s="953"/>
      <c r="DND22" s="953"/>
      <c r="DNE22" s="953"/>
      <c r="DNF22" s="953"/>
      <c r="DNG22" s="953"/>
      <c r="DNH22" s="953"/>
      <c r="DNI22" s="953"/>
      <c r="DNJ22" s="953"/>
      <c r="DNK22" s="953"/>
      <c r="DNL22" s="953"/>
      <c r="DNM22" s="953"/>
      <c r="DNN22" s="953"/>
      <c r="DNO22" s="953"/>
      <c r="DNP22" s="953"/>
      <c r="DNQ22" s="953"/>
      <c r="DNR22" s="953"/>
      <c r="DNS22" s="953"/>
      <c r="DNT22" s="953"/>
      <c r="DNU22" s="953"/>
      <c r="DNV22" s="953"/>
      <c r="DNW22" s="953"/>
      <c r="DNX22" s="953"/>
      <c r="DNY22" s="953"/>
      <c r="DNZ22" s="953"/>
      <c r="DOA22" s="953"/>
      <c r="DOB22" s="953"/>
      <c r="DOC22" s="953"/>
      <c r="DOD22" s="953"/>
      <c r="DOE22" s="953"/>
      <c r="DOF22" s="953"/>
      <c r="DOG22" s="953"/>
      <c r="DOH22" s="953"/>
      <c r="DOI22" s="953"/>
      <c r="DOJ22" s="953"/>
      <c r="DOK22" s="953"/>
      <c r="DOL22" s="953"/>
      <c r="DOM22" s="953"/>
      <c r="DON22" s="953"/>
      <c r="DOO22" s="953"/>
      <c r="DOP22" s="953"/>
      <c r="DOQ22" s="953"/>
      <c r="DOR22" s="953"/>
      <c r="DOS22" s="953"/>
      <c r="DOT22" s="953"/>
      <c r="DOU22" s="953"/>
      <c r="DOV22" s="953"/>
      <c r="DOW22" s="953"/>
      <c r="DOX22" s="953"/>
      <c r="DOY22" s="953"/>
      <c r="DOZ22" s="953"/>
      <c r="DPA22" s="953"/>
      <c r="DPB22" s="953"/>
      <c r="DPC22" s="953"/>
      <c r="DPD22" s="953"/>
      <c r="DPE22" s="953"/>
      <c r="DPF22" s="953"/>
      <c r="DPG22" s="953"/>
      <c r="DPH22" s="953"/>
      <c r="DPI22" s="953"/>
      <c r="DPJ22" s="953"/>
      <c r="DPK22" s="953"/>
      <c r="DPL22" s="953"/>
      <c r="DPM22" s="953"/>
      <c r="DPN22" s="953"/>
      <c r="DPO22" s="953"/>
      <c r="DPP22" s="953"/>
      <c r="DPQ22" s="953"/>
      <c r="DPR22" s="953"/>
      <c r="DPS22" s="953"/>
      <c r="DPT22" s="953"/>
      <c r="DPU22" s="953"/>
      <c r="DPV22" s="953"/>
      <c r="DPW22" s="953"/>
      <c r="DPX22" s="953"/>
      <c r="DPY22" s="953"/>
      <c r="DPZ22" s="953"/>
      <c r="DQA22" s="953"/>
      <c r="DQB22" s="953"/>
      <c r="DQC22" s="953"/>
      <c r="DQD22" s="953"/>
      <c r="DQE22" s="953"/>
      <c r="DQF22" s="953"/>
      <c r="DQG22" s="953"/>
      <c r="DQH22" s="953"/>
      <c r="DQI22" s="953"/>
      <c r="DQJ22" s="953"/>
      <c r="DQK22" s="953"/>
      <c r="DQL22" s="953"/>
      <c r="DQM22" s="953"/>
      <c r="DQN22" s="953"/>
      <c r="DQO22" s="953"/>
      <c r="DQP22" s="953"/>
      <c r="DQQ22" s="953"/>
      <c r="DQR22" s="953"/>
      <c r="DQS22" s="953"/>
      <c r="DQT22" s="953"/>
      <c r="DQU22" s="953"/>
      <c r="DQV22" s="953"/>
      <c r="DQW22" s="953"/>
      <c r="DQX22" s="953"/>
      <c r="DQY22" s="953"/>
      <c r="DQZ22" s="953"/>
      <c r="DRA22" s="953"/>
      <c r="DRB22" s="953"/>
      <c r="DRC22" s="953"/>
      <c r="DRD22" s="953"/>
      <c r="DRE22" s="953"/>
      <c r="DRF22" s="953"/>
      <c r="DRG22" s="953"/>
      <c r="DRH22" s="953"/>
      <c r="DRI22" s="953"/>
      <c r="DRJ22" s="953"/>
      <c r="DRK22" s="953"/>
      <c r="DRL22" s="953"/>
      <c r="DRM22" s="953"/>
      <c r="DRN22" s="953"/>
      <c r="DRO22" s="953"/>
      <c r="DRP22" s="953"/>
      <c r="DRQ22" s="953"/>
      <c r="DRR22" s="953"/>
      <c r="DRS22" s="953"/>
      <c r="DRT22" s="953"/>
      <c r="DRU22" s="953"/>
      <c r="DRV22" s="953"/>
      <c r="DRW22" s="953"/>
      <c r="DRX22" s="953"/>
      <c r="DRY22" s="953"/>
      <c r="DRZ22" s="953"/>
      <c r="DSA22" s="953"/>
      <c r="DSB22" s="953"/>
      <c r="DSC22" s="953"/>
      <c r="DSD22" s="953"/>
      <c r="DSE22" s="953"/>
      <c r="DSF22" s="953"/>
      <c r="DSG22" s="953"/>
      <c r="DSH22" s="953"/>
      <c r="DSI22" s="953"/>
      <c r="DSJ22" s="953"/>
      <c r="DSK22" s="953"/>
      <c r="DSL22" s="953"/>
      <c r="DSM22" s="953"/>
      <c r="DSN22" s="953"/>
      <c r="DSO22" s="953"/>
      <c r="DSP22" s="953"/>
      <c r="DSQ22" s="953"/>
      <c r="DSR22" s="953"/>
      <c r="DSS22" s="953"/>
      <c r="DST22" s="953"/>
      <c r="DSU22" s="953"/>
      <c r="DSV22" s="953"/>
      <c r="DSW22" s="953"/>
      <c r="DSX22" s="953"/>
      <c r="DSY22" s="953"/>
      <c r="DSZ22" s="953"/>
      <c r="DTA22" s="953"/>
      <c r="DTB22" s="953"/>
      <c r="DTC22" s="953"/>
      <c r="DTD22" s="953"/>
      <c r="DTE22" s="953"/>
      <c r="DTF22" s="953"/>
      <c r="DTG22" s="953"/>
      <c r="DTH22" s="953"/>
      <c r="DTI22" s="953"/>
      <c r="DTJ22" s="953"/>
      <c r="DTK22" s="953"/>
      <c r="DTL22" s="953"/>
      <c r="DTM22" s="953"/>
      <c r="DTN22" s="953"/>
      <c r="DTO22" s="953"/>
      <c r="DTP22" s="953"/>
      <c r="DTQ22" s="953"/>
      <c r="DTR22" s="953"/>
      <c r="DTS22" s="953"/>
      <c r="DTT22" s="953"/>
      <c r="DTU22" s="953"/>
      <c r="DTV22" s="953"/>
      <c r="DTW22" s="953"/>
      <c r="DTX22" s="953"/>
      <c r="DTY22" s="953"/>
      <c r="DTZ22" s="953"/>
      <c r="DUA22" s="953"/>
      <c r="DUB22" s="953"/>
      <c r="DUC22" s="953"/>
      <c r="DUD22" s="953"/>
      <c r="DUE22" s="953"/>
      <c r="DUF22" s="953"/>
      <c r="DUG22" s="953"/>
      <c r="DUH22" s="953"/>
      <c r="DUI22" s="953"/>
      <c r="DUJ22" s="953"/>
      <c r="DUK22" s="953"/>
      <c r="DUL22" s="953"/>
      <c r="DUM22" s="953"/>
      <c r="DUN22" s="953"/>
      <c r="DUO22" s="953"/>
      <c r="DUP22" s="953"/>
      <c r="DUQ22" s="953"/>
      <c r="DUR22" s="953"/>
      <c r="DUS22" s="953"/>
      <c r="DUT22" s="953"/>
      <c r="DUU22" s="953"/>
      <c r="DUV22" s="953"/>
      <c r="DUW22" s="953"/>
      <c r="DUX22" s="953"/>
      <c r="DUY22" s="953"/>
      <c r="DUZ22" s="953"/>
      <c r="DVA22" s="953"/>
      <c r="DVB22" s="953"/>
      <c r="DVC22" s="953"/>
      <c r="DVD22" s="953"/>
      <c r="DVE22" s="953"/>
      <c r="DVF22" s="953"/>
      <c r="DVG22" s="953"/>
      <c r="DVH22" s="953"/>
      <c r="DVI22" s="953"/>
      <c r="DVJ22" s="953"/>
      <c r="DVK22" s="953"/>
      <c r="DVL22" s="953"/>
      <c r="DVM22" s="953"/>
      <c r="DVN22" s="953"/>
      <c r="DVO22" s="953"/>
      <c r="DVP22" s="953"/>
      <c r="DVQ22" s="953"/>
      <c r="DVR22" s="953"/>
      <c r="DVS22" s="953"/>
      <c r="DVT22" s="953"/>
      <c r="DVU22" s="953"/>
      <c r="DVV22" s="953"/>
      <c r="DVW22" s="953"/>
      <c r="DVX22" s="953"/>
      <c r="DVY22" s="953"/>
      <c r="DVZ22" s="953"/>
      <c r="DWA22" s="953"/>
      <c r="DWB22" s="953"/>
      <c r="DWC22" s="953"/>
      <c r="DWD22" s="953"/>
      <c r="DWE22" s="953"/>
      <c r="DWF22" s="953"/>
      <c r="DWG22" s="953"/>
      <c r="DWH22" s="953"/>
      <c r="DWI22" s="953"/>
      <c r="DWJ22" s="953"/>
      <c r="DWK22" s="953"/>
      <c r="DWL22" s="953"/>
      <c r="DWM22" s="953"/>
      <c r="DWN22" s="953"/>
      <c r="DWO22" s="953"/>
      <c r="DWP22" s="953"/>
      <c r="DWQ22" s="953"/>
      <c r="DWR22" s="953"/>
      <c r="DWS22" s="953"/>
      <c r="DWT22" s="953"/>
      <c r="DWU22" s="953"/>
      <c r="DWV22" s="953"/>
      <c r="DWW22" s="953"/>
      <c r="DWX22" s="953"/>
      <c r="DWY22" s="953"/>
      <c r="DWZ22" s="953"/>
      <c r="DXA22" s="953"/>
      <c r="DXB22" s="953"/>
      <c r="DXC22" s="953"/>
      <c r="DXD22" s="953"/>
      <c r="DXE22" s="953"/>
      <c r="DXF22" s="953"/>
      <c r="DXG22" s="953"/>
      <c r="DXH22" s="953"/>
      <c r="DXI22" s="953"/>
      <c r="DXJ22" s="953"/>
      <c r="DXK22" s="953"/>
      <c r="DXL22" s="953"/>
      <c r="DXM22" s="953"/>
      <c r="DXN22" s="953"/>
      <c r="DXO22" s="953"/>
      <c r="DXP22" s="953"/>
      <c r="DXQ22" s="953"/>
      <c r="DXR22" s="953"/>
      <c r="DXS22" s="953"/>
      <c r="DXT22" s="953"/>
      <c r="DXU22" s="953"/>
      <c r="DXV22" s="953"/>
      <c r="DXW22" s="953"/>
      <c r="DXX22" s="953"/>
      <c r="DXY22" s="953"/>
      <c r="DXZ22" s="953"/>
      <c r="DYA22" s="953"/>
      <c r="DYB22" s="953"/>
      <c r="DYC22" s="953"/>
      <c r="DYD22" s="953"/>
      <c r="DYE22" s="953"/>
      <c r="DYF22" s="953"/>
      <c r="DYG22" s="953"/>
      <c r="DYH22" s="953"/>
      <c r="DYI22" s="953"/>
      <c r="DYJ22" s="953"/>
      <c r="DYK22" s="953"/>
      <c r="DYL22" s="953"/>
      <c r="DYM22" s="953"/>
      <c r="DYN22" s="953"/>
      <c r="DYO22" s="953"/>
      <c r="DYP22" s="953"/>
      <c r="DYQ22" s="953"/>
      <c r="DYR22" s="953"/>
      <c r="DYS22" s="953"/>
      <c r="DYT22" s="953"/>
      <c r="DYU22" s="953"/>
      <c r="DYV22" s="953"/>
      <c r="DYW22" s="953"/>
      <c r="DYX22" s="953"/>
      <c r="DYY22" s="953"/>
      <c r="DYZ22" s="953"/>
      <c r="DZA22" s="953"/>
      <c r="DZB22" s="953"/>
      <c r="DZC22" s="953"/>
      <c r="DZD22" s="953"/>
      <c r="DZE22" s="953"/>
      <c r="DZF22" s="953"/>
      <c r="DZG22" s="953"/>
      <c r="DZH22" s="953"/>
      <c r="DZI22" s="953"/>
      <c r="DZJ22" s="953"/>
      <c r="DZK22" s="953"/>
      <c r="DZL22" s="953"/>
      <c r="DZM22" s="953"/>
      <c r="DZN22" s="953"/>
      <c r="DZO22" s="953"/>
      <c r="DZP22" s="953"/>
      <c r="DZQ22" s="953"/>
      <c r="DZR22" s="953"/>
      <c r="DZS22" s="953"/>
      <c r="DZT22" s="953"/>
      <c r="DZU22" s="953"/>
      <c r="DZV22" s="953"/>
      <c r="DZW22" s="953"/>
      <c r="DZX22" s="953"/>
      <c r="DZY22" s="953"/>
      <c r="DZZ22" s="953"/>
      <c r="EAA22" s="953"/>
      <c r="EAB22" s="953"/>
      <c r="EAC22" s="953"/>
      <c r="EAD22" s="953"/>
      <c r="EAE22" s="953"/>
      <c r="EAF22" s="953"/>
      <c r="EAG22" s="953"/>
      <c r="EAH22" s="953"/>
      <c r="EAI22" s="953"/>
      <c r="EAJ22" s="953"/>
      <c r="EAK22" s="953"/>
      <c r="EAL22" s="953"/>
      <c r="EAM22" s="953"/>
      <c r="EAN22" s="953"/>
      <c r="EAO22" s="953"/>
      <c r="EAP22" s="953"/>
      <c r="EAQ22" s="953"/>
      <c r="EAR22" s="953"/>
      <c r="EAS22" s="953"/>
      <c r="EAT22" s="953"/>
      <c r="EAU22" s="953"/>
      <c r="EAV22" s="953"/>
      <c r="EAW22" s="953"/>
      <c r="EAX22" s="953"/>
      <c r="EAY22" s="953"/>
      <c r="EAZ22" s="953"/>
      <c r="EBA22" s="953"/>
      <c r="EBB22" s="953"/>
      <c r="EBC22" s="953"/>
      <c r="EBD22" s="953"/>
      <c r="EBE22" s="953"/>
      <c r="EBF22" s="953"/>
      <c r="EBG22" s="953"/>
      <c r="EBH22" s="953"/>
      <c r="EBI22" s="953"/>
      <c r="EBJ22" s="953"/>
      <c r="EBK22" s="953"/>
      <c r="EBL22" s="953"/>
      <c r="EBM22" s="953"/>
      <c r="EBN22" s="953"/>
      <c r="EBO22" s="953"/>
      <c r="EBP22" s="953"/>
      <c r="EBQ22" s="953"/>
      <c r="EBR22" s="953"/>
      <c r="EBS22" s="953"/>
      <c r="EBT22" s="953"/>
      <c r="EBU22" s="953"/>
      <c r="EBV22" s="953"/>
      <c r="EBW22" s="953"/>
      <c r="EBX22" s="953"/>
      <c r="EBY22" s="953"/>
      <c r="EBZ22" s="953"/>
      <c r="ECA22" s="953"/>
      <c r="ECB22" s="953"/>
      <c r="ECC22" s="953"/>
      <c r="ECD22" s="953"/>
      <c r="ECE22" s="953"/>
      <c r="ECF22" s="953"/>
      <c r="ECG22" s="953"/>
      <c r="ECH22" s="953"/>
      <c r="ECI22" s="953"/>
      <c r="ECJ22" s="953"/>
      <c r="ECK22" s="953"/>
      <c r="ECL22" s="953"/>
      <c r="ECM22" s="953"/>
      <c r="ECN22" s="953"/>
      <c r="ECO22" s="953"/>
      <c r="ECP22" s="953"/>
      <c r="ECQ22" s="953"/>
      <c r="ECR22" s="953"/>
      <c r="ECS22" s="953"/>
      <c r="ECT22" s="953"/>
      <c r="ECU22" s="953"/>
      <c r="ECV22" s="953"/>
      <c r="ECW22" s="953"/>
      <c r="ECX22" s="953"/>
      <c r="ECY22" s="953"/>
      <c r="ECZ22" s="953"/>
      <c r="EDA22" s="953"/>
      <c r="EDB22" s="953"/>
      <c r="EDC22" s="953"/>
      <c r="EDD22" s="953"/>
      <c r="EDE22" s="953"/>
      <c r="EDF22" s="953"/>
      <c r="EDG22" s="953"/>
      <c r="EDH22" s="953"/>
      <c r="EDI22" s="953"/>
      <c r="EDJ22" s="953"/>
      <c r="EDK22" s="953"/>
      <c r="EDL22" s="953"/>
      <c r="EDM22" s="953"/>
      <c r="EDN22" s="953"/>
      <c r="EDO22" s="953"/>
      <c r="EDP22" s="953"/>
      <c r="EDQ22" s="953"/>
      <c r="EDR22" s="953"/>
      <c r="EDS22" s="953"/>
      <c r="EDT22" s="953"/>
      <c r="EDU22" s="953"/>
      <c r="EDV22" s="953"/>
      <c r="EDW22" s="953"/>
      <c r="EDX22" s="953"/>
      <c r="EDY22" s="953"/>
      <c r="EDZ22" s="953"/>
      <c r="EEA22" s="953"/>
      <c r="EEB22" s="953"/>
      <c r="EEC22" s="953"/>
      <c r="EED22" s="953"/>
      <c r="EEE22" s="953"/>
      <c r="EEF22" s="953"/>
      <c r="EEG22" s="953"/>
      <c r="EEH22" s="953"/>
      <c r="EEI22" s="953"/>
      <c r="EEJ22" s="953"/>
      <c r="EEK22" s="953"/>
      <c r="EEL22" s="953"/>
      <c r="EEM22" s="953"/>
      <c r="EEN22" s="953"/>
      <c r="EEO22" s="953"/>
      <c r="EEP22" s="953"/>
      <c r="EEQ22" s="953"/>
      <c r="EER22" s="953"/>
      <c r="EES22" s="953"/>
      <c r="EET22" s="953"/>
      <c r="EEU22" s="953"/>
      <c r="EEV22" s="953"/>
      <c r="EEW22" s="953"/>
      <c r="EEX22" s="953"/>
      <c r="EEY22" s="953"/>
      <c r="EEZ22" s="953"/>
      <c r="EFA22" s="953"/>
      <c r="EFB22" s="953"/>
      <c r="EFC22" s="953"/>
      <c r="EFD22" s="953"/>
      <c r="EFE22" s="953"/>
      <c r="EFF22" s="953"/>
      <c r="EFG22" s="953"/>
      <c r="EFH22" s="953"/>
      <c r="EFI22" s="953"/>
      <c r="EFJ22" s="953"/>
      <c r="EFK22" s="953"/>
      <c r="EFL22" s="953"/>
      <c r="EFM22" s="953"/>
      <c r="EFN22" s="953"/>
      <c r="EFO22" s="953"/>
      <c r="EFP22" s="953"/>
      <c r="EFQ22" s="953"/>
      <c r="EFR22" s="953"/>
      <c r="EFS22" s="953"/>
      <c r="EFT22" s="953"/>
      <c r="EFU22" s="953"/>
      <c r="EFV22" s="953"/>
      <c r="EFW22" s="953"/>
      <c r="EFX22" s="953"/>
      <c r="EFY22" s="953"/>
      <c r="EFZ22" s="953"/>
      <c r="EGA22" s="953"/>
      <c r="EGB22" s="953"/>
      <c r="EGC22" s="953"/>
      <c r="EGD22" s="953"/>
      <c r="EGE22" s="953"/>
      <c r="EGF22" s="953"/>
      <c r="EGG22" s="953"/>
      <c r="EGH22" s="953"/>
      <c r="EGI22" s="953"/>
      <c r="EGJ22" s="953"/>
      <c r="EGK22" s="953"/>
      <c r="EGL22" s="953"/>
      <c r="EGM22" s="953"/>
      <c r="EGN22" s="953"/>
      <c r="EGO22" s="953"/>
      <c r="EGP22" s="953"/>
      <c r="EGQ22" s="953"/>
      <c r="EGR22" s="953"/>
      <c r="EGS22" s="953"/>
      <c r="EGT22" s="953"/>
      <c r="EGU22" s="953"/>
      <c r="EGV22" s="953"/>
      <c r="EGW22" s="953"/>
      <c r="EGX22" s="953"/>
      <c r="EGY22" s="953"/>
      <c r="EGZ22" s="953"/>
      <c r="EHA22" s="953"/>
      <c r="EHB22" s="953"/>
      <c r="EHC22" s="953"/>
      <c r="EHD22" s="953"/>
      <c r="EHE22" s="953"/>
      <c r="EHF22" s="953"/>
      <c r="EHG22" s="953"/>
      <c r="EHH22" s="953"/>
      <c r="EHI22" s="953"/>
      <c r="EHJ22" s="953"/>
      <c r="EHK22" s="953"/>
      <c r="EHL22" s="953"/>
      <c r="EHM22" s="953"/>
      <c r="EHN22" s="953"/>
      <c r="EHO22" s="953"/>
      <c r="EHP22" s="953"/>
      <c r="EHQ22" s="953"/>
      <c r="EHR22" s="953"/>
      <c r="EHS22" s="953"/>
      <c r="EHT22" s="953"/>
      <c r="EHU22" s="953"/>
      <c r="EHV22" s="953"/>
      <c r="EHW22" s="953"/>
      <c r="EHX22" s="953"/>
      <c r="EHY22" s="953"/>
      <c r="EHZ22" s="953"/>
      <c r="EIA22" s="953"/>
      <c r="EIB22" s="953"/>
      <c r="EIC22" s="953"/>
      <c r="EID22" s="953"/>
      <c r="EIE22" s="953"/>
      <c r="EIF22" s="953"/>
      <c r="EIG22" s="953"/>
      <c r="EIH22" s="953"/>
      <c r="EII22" s="953"/>
      <c r="EIJ22" s="953"/>
      <c r="EIK22" s="953"/>
      <c r="EIL22" s="953"/>
      <c r="EIM22" s="953"/>
      <c r="EIN22" s="953"/>
      <c r="EIO22" s="953"/>
      <c r="EIP22" s="953"/>
      <c r="EIQ22" s="953"/>
      <c r="EIR22" s="953"/>
      <c r="EIS22" s="953"/>
      <c r="EIT22" s="953"/>
      <c r="EIU22" s="953"/>
      <c r="EIV22" s="953"/>
      <c r="EIW22" s="953"/>
      <c r="EIX22" s="953"/>
      <c r="EIY22" s="953"/>
      <c r="EIZ22" s="953"/>
      <c r="EJA22" s="953"/>
      <c r="EJB22" s="953"/>
      <c r="EJC22" s="953"/>
      <c r="EJD22" s="953"/>
      <c r="EJE22" s="953"/>
      <c r="EJF22" s="953"/>
      <c r="EJG22" s="953"/>
      <c r="EJH22" s="953"/>
      <c r="EJI22" s="953"/>
      <c r="EJJ22" s="953"/>
      <c r="EJK22" s="953"/>
      <c r="EJL22" s="953"/>
      <c r="EJM22" s="953"/>
      <c r="EJN22" s="953"/>
      <c r="EJO22" s="953"/>
      <c r="EJP22" s="953"/>
      <c r="EJQ22" s="953"/>
      <c r="EJR22" s="953"/>
      <c r="EJS22" s="953"/>
      <c r="EJT22" s="953"/>
      <c r="EJU22" s="953"/>
      <c r="EJV22" s="953"/>
      <c r="EJW22" s="953"/>
      <c r="EJX22" s="953"/>
      <c r="EJY22" s="953"/>
      <c r="EJZ22" s="953"/>
      <c r="EKA22" s="953"/>
      <c r="EKB22" s="953"/>
      <c r="EKC22" s="953"/>
      <c r="EKD22" s="953"/>
      <c r="EKE22" s="953"/>
      <c r="EKF22" s="953"/>
      <c r="EKG22" s="953"/>
      <c r="EKH22" s="953"/>
      <c r="EKI22" s="953"/>
      <c r="EKJ22" s="953"/>
      <c r="EKK22" s="953"/>
      <c r="EKL22" s="953"/>
      <c r="EKM22" s="953"/>
      <c r="EKN22" s="953"/>
      <c r="EKO22" s="953"/>
      <c r="EKP22" s="953"/>
      <c r="EKQ22" s="953"/>
      <c r="EKR22" s="953"/>
      <c r="EKS22" s="953"/>
      <c r="EKT22" s="953"/>
      <c r="EKU22" s="953"/>
      <c r="EKV22" s="953"/>
      <c r="EKW22" s="953"/>
      <c r="EKX22" s="953"/>
      <c r="EKY22" s="953"/>
      <c r="EKZ22" s="953"/>
      <c r="ELA22" s="953"/>
      <c r="ELB22" s="953"/>
      <c r="ELC22" s="953"/>
      <c r="ELD22" s="953"/>
      <c r="ELE22" s="953"/>
      <c r="ELF22" s="953"/>
      <c r="ELG22" s="953"/>
      <c r="ELH22" s="953"/>
      <c r="ELI22" s="953"/>
      <c r="ELJ22" s="953"/>
      <c r="ELK22" s="953"/>
      <c r="ELL22" s="953"/>
      <c r="ELM22" s="953"/>
      <c r="ELN22" s="953"/>
      <c r="ELO22" s="953"/>
      <c r="ELP22" s="953"/>
      <c r="ELQ22" s="953"/>
      <c r="ELR22" s="953"/>
      <c r="ELS22" s="953"/>
      <c r="ELT22" s="953"/>
      <c r="ELU22" s="953"/>
      <c r="ELV22" s="953"/>
      <c r="ELW22" s="953"/>
      <c r="ELX22" s="953"/>
      <c r="ELY22" s="953"/>
      <c r="ELZ22" s="953"/>
      <c r="EMA22" s="953"/>
      <c r="EMB22" s="953"/>
      <c r="EMC22" s="953"/>
      <c r="EMD22" s="953"/>
      <c r="EME22" s="953"/>
      <c r="EMF22" s="953"/>
      <c r="EMG22" s="953"/>
      <c r="EMH22" s="953"/>
      <c r="EMI22" s="953"/>
      <c r="EMJ22" s="953"/>
      <c r="EMK22" s="953"/>
      <c r="EML22" s="953"/>
      <c r="EMM22" s="953"/>
      <c r="EMN22" s="953"/>
      <c r="EMO22" s="953"/>
      <c r="EMP22" s="953"/>
      <c r="EMQ22" s="953"/>
      <c r="EMR22" s="953"/>
      <c r="EMS22" s="953"/>
      <c r="EMT22" s="953"/>
      <c r="EMU22" s="953"/>
      <c r="EMV22" s="953"/>
      <c r="EMW22" s="953"/>
      <c r="EMX22" s="953"/>
      <c r="EMY22" s="953"/>
      <c r="EMZ22" s="953"/>
      <c r="ENA22" s="953"/>
      <c r="ENB22" s="953"/>
      <c r="ENC22" s="953"/>
      <c r="END22" s="953"/>
      <c r="ENE22" s="953"/>
      <c r="ENF22" s="953"/>
      <c r="ENG22" s="953"/>
      <c r="ENH22" s="953"/>
      <c r="ENI22" s="953"/>
      <c r="ENJ22" s="953"/>
      <c r="ENK22" s="953"/>
      <c r="ENL22" s="953"/>
      <c r="ENM22" s="953"/>
      <c r="ENN22" s="953"/>
      <c r="ENO22" s="953"/>
      <c r="ENP22" s="953"/>
      <c r="ENQ22" s="953"/>
      <c r="ENR22" s="953"/>
      <c r="ENS22" s="953"/>
      <c r="ENT22" s="953"/>
      <c r="ENU22" s="953"/>
      <c r="ENV22" s="953"/>
      <c r="ENW22" s="953"/>
      <c r="ENX22" s="953"/>
      <c r="ENY22" s="953"/>
      <c r="ENZ22" s="953"/>
      <c r="EOA22" s="953"/>
      <c r="EOB22" s="953"/>
      <c r="EOC22" s="953"/>
      <c r="EOD22" s="953"/>
      <c r="EOE22" s="953"/>
      <c r="EOF22" s="953"/>
      <c r="EOG22" s="953"/>
      <c r="EOH22" s="953"/>
      <c r="EOI22" s="953"/>
      <c r="EOJ22" s="953"/>
      <c r="EOK22" s="953"/>
      <c r="EOL22" s="953"/>
      <c r="EOM22" s="953"/>
      <c r="EON22" s="953"/>
      <c r="EOO22" s="953"/>
      <c r="EOP22" s="953"/>
      <c r="EOQ22" s="953"/>
      <c r="EOR22" s="953"/>
      <c r="EOS22" s="953"/>
      <c r="EOT22" s="953"/>
      <c r="EOU22" s="953"/>
      <c r="EOV22" s="953"/>
      <c r="EOW22" s="953"/>
      <c r="EOX22" s="953"/>
      <c r="EOY22" s="953"/>
      <c r="EOZ22" s="953"/>
      <c r="EPA22" s="953"/>
      <c r="EPB22" s="953"/>
      <c r="EPC22" s="953"/>
      <c r="EPD22" s="953"/>
      <c r="EPE22" s="953"/>
      <c r="EPF22" s="953"/>
      <c r="EPG22" s="953"/>
      <c r="EPH22" s="953"/>
      <c r="EPI22" s="953"/>
      <c r="EPJ22" s="953"/>
      <c r="EPK22" s="953"/>
      <c r="EPL22" s="953"/>
      <c r="EPM22" s="953"/>
      <c r="EPN22" s="953"/>
      <c r="EPO22" s="953"/>
      <c r="EPP22" s="953"/>
      <c r="EPQ22" s="953"/>
      <c r="EPR22" s="953"/>
      <c r="EPS22" s="953"/>
      <c r="EPT22" s="953"/>
      <c r="EPU22" s="953"/>
      <c r="EPV22" s="953"/>
      <c r="EPW22" s="953"/>
      <c r="EPX22" s="953"/>
      <c r="EPY22" s="953"/>
      <c r="EPZ22" s="953"/>
      <c r="EQA22" s="953"/>
      <c r="EQB22" s="953"/>
      <c r="EQC22" s="953"/>
      <c r="EQD22" s="953"/>
      <c r="EQE22" s="953"/>
      <c r="EQF22" s="953"/>
      <c r="EQG22" s="953"/>
      <c r="EQH22" s="953"/>
      <c r="EQI22" s="953"/>
      <c r="EQJ22" s="953"/>
      <c r="EQK22" s="953"/>
      <c r="EQL22" s="953"/>
      <c r="EQM22" s="953"/>
      <c r="EQN22" s="953"/>
      <c r="EQO22" s="953"/>
      <c r="EQP22" s="953"/>
      <c r="EQQ22" s="953"/>
      <c r="EQR22" s="953"/>
      <c r="EQS22" s="953"/>
      <c r="EQT22" s="953"/>
      <c r="EQU22" s="953"/>
      <c r="EQV22" s="953"/>
      <c r="EQW22" s="953"/>
      <c r="EQX22" s="953"/>
      <c r="EQY22" s="953"/>
      <c r="EQZ22" s="953"/>
      <c r="ERA22" s="953"/>
      <c r="ERB22" s="953"/>
      <c r="ERC22" s="953"/>
      <c r="ERD22" s="953"/>
      <c r="ERE22" s="953"/>
      <c r="ERF22" s="953"/>
      <c r="ERG22" s="953"/>
      <c r="ERH22" s="953"/>
      <c r="ERI22" s="953"/>
      <c r="ERJ22" s="953"/>
      <c r="ERK22" s="953"/>
      <c r="ERL22" s="953"/>
      <c r="ERM22" s="953"/>
      <c r="ERN22" s="953"/>
      <c r="ERO22" s="953"/>
      <c r="ERP22" s="953"/>
      <c r="ERQ22" s="953"/>
      <c r="ERR22" s="953"/>
      <c r="ERS22" s="953"/>
      <c r="ERT22" s="953"/>
      <c r="ERU22" s="953"/>
      <c r="ERV22" s="953"/>
      <c r="ERW22" s="953"/>
      <c r="ERX22" s="953"/>
      <c r="ERY22" s="953"/>
      <c r="ERZ22" s="953"/>
      <c r="ESA22" s="953"/>
      <c r="ESB22" s="953"/>
      <c r="ESC22" s="953"/>
      <c r="ESD22" s="953"/>
      <c r="ESE22" s="953"/>
      <c r="ESF22" s="953"/>
      <c r="ESG22" s="953"/>
      <c r="ESH22" s="953"/>
      <c r="ESI22" s="953"/>
      <c r="ESJ22" s="953"/>
      <c r="ESK22" s="953"/>
      <c r="ESL22" s="953"/>
      <c r="ESM22" s="953"/>
      <c r="ESN22" s="953"/>
      <c r="ESO22" s="953"/>
      <c r="ESP22" s="953"/>
      <c r="ESQ22" s="953"/>
      <c r="ESR22" s="953"/>
      <c r="ESS22" s="953"/>
      <c r="EST22" s="953"/>
      <c r="ESU22" s="953"/>
      <c r="ESV22" s="953"/>
      <c r="ESW22" s="953"/>
      <c r="ESX22" s="953"/>
      <c r="ESY22" s="953"/>
      <c r="ESZ22" s="953"/>
      <c r="ETA22" s="953"/>
      <c r="ETB22" s="953"/>
      <c r="ETC22" s="953"/>
      <c r="ETD22" s="953"/>
      <c r="ETE22" s="953"/>
      <c r="ETF22" s="953"/>
      <c r="ETG22" s="953"/>
      <c r="ETH22" s="953"/>
      <c r="ETI22" s="953"/>
      <c r="ETJ22" s="953"/>
      <c r="ETK22" s="953"/>
      <c r="ETL22" s="953"/>
      <c r="ETM22" s="953"/>
      <c r="ETN22" s="953"/>
      <c r="ETO22" s="953"/>
      <c r="ETP22" s="953"/>
      <c r="ETQ22" s="953"/>
      <c r="ETR22" s="953"/>
      <c r="ETS22" s="953"/>
      <c r="ETT22" s="953"/>
      <c r="ETU22" s="953"/>
      <c r="ETV22" s="953"/>
      <c r="ETW22" s="953"/>
      <c r="ETX22" s="953"/>
      <c r="ETY22" s="953"/>
      <c r="ETZ22" s="953"/>
      <c r="EUA22" s="953"/>
      <c r="EUB22" s="953"/>
      <c r="EUC22" s="953"/>
      <c r="EUD22" s="953"/>
      <c r="EUE22" s="953"/>
      <c r="EUF22" s="953"/>
      <c r="EUG22" s="953"/>
      <c r="EUH22" s="953"/>
      <c r="EUI22" s="953"/>
      <c r="EUJ22" s="953"/>
      <c r="EUK22" s="953"/>
      <c r="EUL22" s="953"/>
      <c r="EUM22" s="953"/>
      <c r="EUN22" s="953"/>
      <c r="EUO22" s="953"/>
      <c r="EUP22" s="953"/>
      <c r="EUQ22" s="953"/>
      <c r="EUR22" s="953"/>
      <c r="EUS22" s="953"/>
      <c r="EUT22" s="953"/>
      <c r="EUU22" s="953"/>
      <c r="EUV22" s="953"/>
      <c r="EUW22" s="953"/>
      <c r="EUX22" s="953"/>
      <c r="EUY22" s="953"/>
      <c r="EUZ22" s="953"/>
      <c r="EVA22" s="953"/>
      <c r="EVB22" s="953"/>
      <c r="EVC22" s="953"/>
      <c r="EVD22" s="953"/>
      <c r="EVE22" s="953"/>
      <c r="EVF22" s="953"/>
      <c r="EVG22" s="953"/>
      <c r="EVH22" s="953"/>
      <c r="EVI22" s="953"/>
      <c r="EVJ22" s="953"/>
      <c r="EVK22" s="953"/>
      <c r="EVL22" s="953"/>
      <c r="EVM22" s="953"/>
      <c r="EVN22" s="953"/>
      <c r="EVO22" s="953"/>
      <c r="EVP22" s="953"/>
      <c r="EVQ22" s="953"/>
      <c r="EVR22" s="953"/>
      <c r="EVS22" s="953"/>
      <c r="EVT22" s="953"/>
      <c r="EVU22" s="953"/>
      <c r="EVV22" s="953"/>
      <c r="EVW22" s="953"/>
      <c r="EVX22" s="953"/>
      <c r="EVY22" s="953"/>
      <c r="EVZ22" s="953"/>
      <c r="EWA22" s="953"/>
      <c r="EWB22" s="953"/>
      <c r="EWC22" s="953"/>
      <c r="EWD22" s="953"/>
      <c r="EWE22" s="953"/>
      <c r="EWF22" s="953"/>
      <c r="EWG22" s="953"/>
      <c r="EWH22" s="953"/>
      <c r="EWI22" s="953"/>
      <c r="EWJ22" s="953"/>
      <c r="EWK22" s="953"/>
      <c r="EWL22" s="953"/>
      <c r="EWM22" s="953"/>
      <c r="EWN22" s="953"/>
      <c r="EWO22" s="953"/>
      <c r="EWP22" s="953"/>
      <c r="EWQ22" s="953"/>
      <c r="EWR22" s="953"/>
      <c r="EWS22" s="953"/>
      <c r="EWT22" s="953"/>
      <c r="EWU22" s="953"/>
      <c r="EWV22" s="953"/>
      <c r="EWW22" s="953"/>
      <c r="EWX22" s="953"/>
      <c r="EWY22" s="953"/>
      <c r="EWZ22" s="953"/>
      <c r="EXA22" s="953"/>
      <c r="EXB22" s="953"/>
      <c r="EXC22" s="953"/>
      <c r="EXD22" s="953"/>
      <c r="EXE22" s="953"/>
      <c r="EXF22" s="953"/>
      <c r="EXG22" s="953"/>
      <c r="EXH22" s="953"/>
      <c r="EXI22" s="953"/>
      <c r="EXJ22" s="953"/>
      <c r="EXK22" s="953"/>
      <c r="EXL22" s="953"/>
      <c r="EXM22" s="953"/>
      <c r="EXN22" s="953"/>
      <c r="EXO22" s="953"/>
      <c r="EXP22" s="953"/>
      <c r="EXQ22" s="953"/>
      <c r="EXR22" s="953"/>
      <c r="EXS22" s="953"/>
      <c r="EXT22" s="953"/>
      <c r="EXU22" s="953"/>
      <c r="EXV22" s="953"/>
      <c r="EXW22" s="953"/>
      <c r="EXX22" s="953"/>
      <c r="EXY22" s="953"/>
      <c r="EXZ22" s="953"/>
      <c r="EYA22" s="953"/>
      <c r="EYB22" s="953"/>
      <c r="EYC22" s="953"/>
      <c r="EYD22" s="953"/>
      <c r="EYE22" s="953"/>
      <c r="EYF22" s="953"/>
      <c r="EYG22" s="953"/>
      <c r="EYH22" s="953"/>
      <c r="EYI22" s="953"/>
      <c r="EYJ22" s="953"/>
      <c r="EYK22" s="953"/>
      <c r="EYL22" s="953"/>
      <c r="EYM22" s="953"/>
      <c r="EYN22" s="953"/>
      <c r="EYO22" s="953"/>
      <c r="EYP22" s="953"/>
      <c r="EYQ22" s="953"/>
      <c r="EYR22" s="953"/>
      <c r="EYS22" s="953"/>
      <c r="EYT22" s="953"/>
      <c r="EYU22" s="953"/>
      <c r="EYV22" s="953"/>
      <c r="EYW22" s="953"/>
      <c r="EYX22" s="953"/>
      <c r="EYY22" s="953"/>
      <c r="EYZ22" s="953"/>
      <c r="EZA22" s="953"/>
      <c r="EZB22" s="953"/>
      <c r="EZC22" s="953"/>
      <c r="EZD22" s="953"/>
      <c r="EZE22" s="953"/>
      <c r="EZF22" s="953"/>
      <c r="EZG22" s="953"/>
      <c r="EZH22" s="953"/>
      <c r="EZI22" s="953"/>
      <c r="EZJ22" s="953"/>
      <c r="EZK22" s="953"/>
      <c r="EZL22" s="953"/>
      <c r="EZM22" s="953"/>
      <c r="EZN22" s="953"/>
      <c r="EZO22" s="953"/>
      <c r="EZP22" s="953"/>
      <c r="EZQ22" s="953"/>
      <c r="EZR22" s="953"/>
      <c r="EZS22" s="953"/>
      <c r="EZT22" s="953"/>
      <c r="EZU22" s="953"/>
      <c r="EZV22" s="953"/>
      <c r="EZW22" s="953"/>
      <c r="EZX22" s="953"/>
      <c r="EZY22" s="953"/>
      <c r="EZZ22" s="953"/>
      <c r="FAA22" s="953"/>
      <c r="FAB22" s="953"/>
      <c r="FAC22" s="953"/>
      <c r="FAD22" s="953"/>
      <c r="FAE22" s="953"/>
      <c r="FAF22" s="953"/>
      <c r="FAG22" s="953"/>
      <c r="FAH22" s="953"/>
      <c r="FAI22" s="953"/>
      <c r="FAJ22" s="953"/>
      <c r="FAK22" s="953"/>
      <c r="FAL22" s="953"/>
      <c r="FAM22" s="953"/>
      <c r="FAN22" s="953"/>
      <c r="FAO22" s="953"/>
      <c r="FAP22" s="953"/>
      <c r="FAQ22" s="953"/>
      <c r="FAR22" s="953"/>
      <c r="FAS22" s="953"/>
      <c r="FAT22" s="953"/>
      <c r="FAU22" s="953"/>
      <c r="FAV22" s="953"/>
      <c r="FAW22" s="953"/>
      <c r="FAX22" s="953"/>
      <c r="FAY22" s="953"/>
      <c r="FAZ22" s="953"/>
      <c r="FBA22" s="953"/>
      <c r="FBB22" s="953"/>
      <c r="FBC22" s="953"/>
      <c r="FBD22" s="953"/>
      <c r="FBE22" s="953"/>
      <c r="FBF22" s="953"/>
      <c r="FBG22" s="953"/>
      <c r="FBH22" s="953"/>
      <c r="FBI22" s="953"/>
      <c r="FBJ22" s="953"/>
      <c r="FBK22" s="953"/>
      <c r="FBL22" s="953"/>
      <c r="FBM22" s="953"/>
      <c r="FBN22" s="953"/>
      <c r="FBO22" s="953"/>
      <c r="FBP22" s="953"/>
      <c r="FBQ22" s="953"/>
      <c r="FBR22" s="953"/>
      <c r="FBS22" s="953"/>
      <c r="FBT22" s="953"/>
      <c r="FBU22" s="953"/>
      <c r="FBV22" s="953"/>
      <c r="FBW22" s="953"/>
      <c r="FBX22" s="953"/>
      <c r="FBY22" s="953"/>
      <c r="FBZ22" s="953"/>
      <c r="FCA22" s="953"/>
      <c r="FCB22" s="953"/>
      <c r="FCC22" s="953"/>
      <c r="FCD22" s="953"/>
      <c r="FCE22" s="953"/>
      <c r="FCF22" s="953"/>
      <c r="FCG22" s="953"/>
      <c r="FCH22" s="953"/>
      <c r="FCI22" s="953"/>
      <c r="FCJ22" s="953"/>
      <c r="FCK22" s="953"/>
      <c r="FCL22" s="953"/>
      <c r="FCM22" s="953"/>
      <c r="FCN22" s="953"/>
      <c r="FCO22" s="953"/>
      <c r="FCP22" s="953"/>
      <c r="FCQ22" s="953"/>
      <c r="FCR22" s="953"/>
      <c r="FCS22" s="953"/>
      <c r="FCT22" s="953"/>
      <c r="FCU22" s="953"/>
      <c r="FCV22" s="953"/>
      <c r="FCW22" s="953"/>
      <c r="FCX22" s="953"/>
      <c r="FCY22" s="953"/>
      <c r="FCZ22" s="953"/>
      <c r="FDA22" s="953"/>
      <c r="FDB22" s="953"/>
      <c r="FDC22" s="953"/>
      <c r="FDD22" s="953"/>
      <c r="FDE22" s="953"/>
      <c r="FDF22" s="953"/>
      <c r="FDG22" s="953"/>
      <c r="FDH22" s="953"/>
      <c r="FDI22" s="953"/>
      <c r="FDJ22" s="953"/>
      <c r="FDK22" s="953"/>
      <c r="FDL22" s="953"/>
      <c r="FDM22" s="953"/>
      <c r="FDN22" s="953"/>
      <c r="FDO22" s="953"/>
      <c r="FDP22" s="953"/>
      <c r="FDQ22" s="953"/>
      <c r="FDR22" s="953"/>
      <c r="FDS22" s="953"/>
      <c r="FDT22" s="953"/>
      <c r="FDU22" s="953"/>
      <c r="FDV22" s="953"/>
      <c r="FDW22" s="953"/>
      <c r="FDX22" s="953"/>
      <c r="FDY22" s="953"/>
      <c r="FDZ22" s="953"/>
      <c r="FEA22" s="953"/>
      <c r="FEB22" s="953"/>
      <c r="FEC22" s="953"/>
      <c r="FED22" s="953"/>
      <c r="FEE22" s="953"/>
      <c r="FEF22" s="953"/>
      <c r="FEG22" s="953"/>
      <c r="FEH22" s="953"/>
      <c r="FEI22" s="953"/>
      <c r="FEJ22" s="953"/>
      <c r="FEK22" s="953"/>
      <c r="FEL22" s="953"/>
      <c r="FEM22" s="953"/>
      <c r="FEN22" s="953"/>
      <c r="FEO22" s="953"/>
      <c r="FEP22" s="953"/>
      <c r="FEQ22" s="953"/>
      <c r="FER22" s="953"/>
      <c r="FES22" s="953"/>
      <c r="FET22" s="953"/>
      <c r="FEU22" s="953"/>
      <c r="FEV22" s="953"/>
      <c r="FEW22" s="953"/>
      <c r="FEX22" s="953"/>
      <c r="FEY22" s="953"/>
      <c r="FEZ22" s="953"/>
      <c r="FFA22" s="953"/>
      <c r="FFB22" s="953"/>
      <c r="FFC22" s="953"/>
      <c r="FFD22" s="953"/>
      <c r="FFE22" s="953"/>
      <c r="FFF22" s="953"/>
      <c r="FFG22" s="953"/>
      <c r="FFH22" s="953"/>
      <c r="FFI22" s="953"/>
      <c r="FFJ22" s="953"/>
      <c r="FFK22" s="953"/>
      <c r="FFL22" s="953"/>
      <c r="FFM22" s="953"/>
      <c r="FFN22" s="953"/>
      <c r="FFO22" s="953"/>
      <c r="FFP22" s="953"/>
      <c r="FFQ22" s="953"/>
      <c r="FFR22" s="953"/>
      <c r="FFS22" s="953"/>
      <c r="FFT22" s="953"/>
      <c r="FFU22" s="953"/>
      <c r="FFV22" s="953"/>
      <c r="FFW22" s="953"/>
      <c r="FFX22" s="953"/>
      <c r="FFY22" s="953"/>
      <c r="FFZ22" s="953"/>
      <c r="FGA22" s="953"/>
      <c r="FGB22" s="953"/>
      <c r="FGC22" s="953"/>
      <c r="FGD22" s="953"/>
      <c r="FGE22" s="953"/>
      <c r="FGF22" s="953"/>
      <c r="FGG22" s="953"/>
      <c r="FGH22" s="953"/>
      <c r="FGI22" s="953"/>
      <c r="FGJ22" s="953"/>
      <c r="FGK22" s="953"/>
      <c r="FGL22" s="953"/>
      <c r="FGM22" s="953"/>
      <c r="FGN22" s="953"/>
      <c r="FGO22" s="953"/>
      <c r="FGP22" s="953"/>
      <c r="FGQ22" s="953"/>
      <c r="FGR22" s="953"/>
      <c r="FGS22" s="953"/>
      <c r="FGT22" s="953"/>
      <c r="FGU22" s="953"/>
      <c r="FGV22" s="953"/>
      <c r="FGW22" s="953"/>
      <c r="FGX22" s="953"/>
      <c r="FGY22" s="953"/>
      <c r="FGZ22" s="953"/>
      <c r="FHA22" s="953"/>
      <c r="FHB22" s="953"/>
      <c r="FHC22" s="953"/>
      <c r="FHD22" s="953"/>
      <c r="FHE22" s="953"/>
      <c r="FHF22" s="953"/>
      <c r="FHG22" s="953"/>
      <c r="FHH22" s="953"/>
      <c r="FHI22" s="953"/>
      <c r="FHJ22" s="953"/>
      <c r="FHK22" s="953"/>
      <c r="FHL22" s="953"/>
      <c r="FHM22" s="953"/>
      <c r="FHN22" s="953"/>
      <c r="FHO22" s="953"/>
      <c r="FHP22" s="953"/>
      <c r="FHQ22" s="953"/>
      <c r="FHR22" s="953"/>
      <c r="FHS22" s="953"/>
      <c r="FHT22" s="953"/>
      <c r="FHU22" s="953"/>
      <c r="FHV22" s="953"/>
      <c r="FHW22" s="953"/>
      <c r="FHX22" s="953"/>
      <c r="FHY22" s="953"/>
      <c r="FHZ22" s="953"/>
      <c r="FIA22" s="953"/>
      <c r="FIB22" s="953"/>
      <c r="FIC22" s="953"/>
      <c r="FID22" s="953"/>
      <c r="FIE22" s="953"/>
      <c r="FIF22" s="953"/>
      <c r="FIG22" s="953"/>
      <c r="FIH22" s="953"/>
      <c r="FII22" s="953"/>
      <c r="FIJ22" s="953"/>
      <c r="FIK22" s="953"/>
      <c r="FIL22" s="953"/>
      <c r="FIM22" s="953"/>
      <c r="FIN22" s="953"/>
      <c r="FIO22" s="953"/>
      <c r="FIP22" s="953"/>
      <c r="FIQ22" s="953"/>
      <c r="FIR22" s="953"/>
      <c r="FIS22" s="953"/>
      <c r="FIT22" s="953"/>
      <c r="FIU22" s="953"/>
      <c r="FIV22" s="953"/>
      <c r="FIW22" s="953"/>
      <c r="FIX22" s="953"/>
      <c r="FIY22" s="953"/>
      <c r="FIZ22" s="953"/>
      <c r="FJA22" s="953"/>
      <c r="FJB22" s="953"/>
      <c r="FJC22" s="953"/>
      <c r="FJD22" s="953"/>
      <c r="FJE22" s="953"/>
      <c r="FJF22" s="953"/>
      <c r="FJG22" s="953"/>
      <c r="FJH22" s="953"/>
      <c r="FJI22" s="953"/>
      <c r="FJJ22" s="953"/>
      <c r="FJK22" s="953"/>
      <c r="FJL22" s="953"/>
      <c r="FJM22" s="953"/>
      <c r="FJN22" s="953"/>
      <c r="FJO22" s="953"/>
      <c r="FJP22" s="953"/>
      <c r="FJQ22" s="953"/>
      <c r="FJR22" s="953"/>
      <c r="FJS22" s="953"/>
      <c r="FJT22" s="953"/>
      <c r="FJU22" s="953"/>
      <c r="FJV22" s="953"/>
      <c r="FJW22" s="953"/>
      <c r="FJX22" s="953"/>
      <c r="FJY22" s="953"/>
      <c r="FJZ22" s="953"/>
      <c r="FKA22" s="953"/>
      <c r="FKB22" s="953"/>
      <c r="FKC22" s="953"/>
      <c r="FKD22" s="953"/>
      <c r="FKE22" s="953"/>
      <c r="FKF22" s="953"/>
      <c r="FKG22" s="953"/>
      <c r="FKH22" s="953"/>
      <c r="FKI22" s="953"/>
      <c r="FKJ22" s="953"/>
      <c r="FKK22" s="953"/>
      <c r="FKL22" s="953"/>
      <c r="FKM22" s="953"/>
      <c r="FKN22" s="953"/>
      <c r="FKO22" s="953"/>
      <c r="FKP22" s="953"/>
      <c r="FKQ22" s="953"/>
      <c r="FKR22" s="953"/>
      <c r="FKS22" s="953"/>
      <c r="FKT22" s="953"/>
      <c r="FKU22" s="953"/>
      <c r="FKV22" s="953"/>
      <c r="FKW22" s="953"/>
      <c r="FKX22" s="953"/>
      <c r="FKY22" s="953"/>
      <c r="FKZ22" s="953"/>
      <c r="FLA22" s="953"/>
      <c r="FLB22" s="953"/>
      <c r="FLC22" s="953"/>
      <c r="FLD22" s="953"/>
      <c r="FLE22" s="953"/>
      <c r="FLF22" s="953"/>
      <c r="FLG22" s="953"/>
      <c r="FLH22" s="953"/>
      <c r="FLI22" s="953"/>
      <c r="FLJ22" s="953"/>
      <c r="FLK22" s="953"/>
      <c r="FLL22" s="953"/>
      <c r="FLM22" s="953"/>
      <c r="FLN22" s="953"/>
      <c r="FLO22" s="953"/>
      <c r="FLP22" s="953"/>
      <c r="FLQ22" s="953"/>
      <c r="FLR22" s="953"/>
      <c r="FLS22" s="953"/>
      <c r="FLT22" s="953"/>
      <c r="FLU22" s="953"/>
      <c r="FLV22" s="953"/>
      <c r="FLW22" s="953"/>
      <c r="FLX22" s="953"/>
      <c r="FLY22" s="953"/>
      <c r="FLZ22" s="953"/>
      <c r="FMA22" s="953"/>
      <c r="FMB22" s="953"/>
      <c r="FMC22" s="953"/>
      <c r="FMD22" s="953"/>
      <c r="FME22" s="953"/>
      <c r="FMF22" s="953"/>
      <c r="FMG22" s="953"/>
      <c r="FMH22" s="953"/>
      <c r="FMI22" s="953"/>
      <c r="FMJ22" s="953"/>
      <c r="FMK22" s="953"/>
      <c r="FML22" s="953"/>
      <c r="FMM22" s="953"/>
      <c r="FMN22" s="953"/>
      <c r="FMO22" s="953"/>
      <c r="FMP22" s="953"/>
      <c r="FMQ22" s="953"/>
      <c r="FMR22" s="953"/>
      <c r="FMS22" s="953"/>
      <c r="FMT22" s="953"/>
      <c r="FMU22" s="953"/>
      <c r="FMV22" s="953"/>
      <c r="FMW22" s="953"/>
      <c r="FMX22" s="953"/>
      <c r="FMY22" s="953"/>
      <c r="FMZ22" s="953"/>
      <c r="FNA22" s="953"/>
      <c r="FNB22" s="953"/>
      <c r="FNC22" s="953"/>
      <c r="FND22" s="953"/>
      <c r="FNE22" s="953"/>
      <c r="FNF22" s="953"/>
      <c r="FNG22" s="953"/>
      <c r="FNH22" s="953"/>
      <c r="FNI22" s="953"/>
      <c r="FNJ22" s="953"/>
      <c r="FNK22" s="953"/>
      <c r="FNL22" s="953"/>
      <c r="FNM22" s="953"/>
      <c r="FNN22" s="953"/>
      <c r="FNO22" s="953"/>
      <c r="FNP22" s="953"/>
      <c r="FNQ22" s="953"/>
      <c r="FNR22" s="953"/>
      <c r="FNS22" s="953"/>
      <c r="FNT22" s="953"/>
      <c r="FNU22" s="953"/>
      <c r="FNV22" s="953"/>
      <c r="FNW22" s="953"/>
      <c r="FNX22" s="953"/>
      <c r="FNY22" s="953"/>
      <c r="FNZ22" s="953"/>
      <c r="FOA22" s="953"/>
      <c r="FOB22" s="953"/>
      <c r="FOC22" s="953"/>
      <c r="FOD22" s="953"/>
      <c r="FOE22" s="953"/>
      <c r="FOF22" s="953"/>
      <c r="FOG22" s="953"/>
      <c r="FOH22" s="953"/>
      <c r="FOI22" s="953"/>
      <c r="FOJ22" s="953"/>
      <c r="FOK22" s="953"/>
      <c r="FOL22" s="953"/>
      <c r="FOM22" s="953"/>
      <c r="FON22" s="953"/>
      <c r="FOO22" s="953"/>
      <c r="FOP22" s="953"/>
      <c r="FOQ22" s="953"/>
      <c r="FOR22" s="953"/>
      <c r="FOS22" s="953"/>
      <c r="FOT22" s="953"/>
      <c r="FOU22" s="953"/>
      <c r="FOV22" s="953"/>
      <c r="FOW22" s="953"/>
      <c r="FOX22" s="953"/>
      <c r="FOY22" s="953"/>
      <c r="FOZ22" s="953"/>
      <c r="FPA22" s="953"/>
      <c r="FPB22" s="953"/>
      <c r="FPC22" s="953"/>
      <c r="FPD22" s="953"/>
      <c r="FPE22" s="953"/>
      <c r="FPF22" s="953"/>
      <c r="FPG22" s="953"/>
      <c r="FPH22" s="953"/>
      <c r="FPI22" s="953"/>
      <c r="FPJ22" s="953"/>
      <c r="FPK22" s="953"/>
      <c r="FPL22" s="953"/>
      <c r="FPM22" s="953"/>
      <c r="FPN22" s="953"/>
      <c r="FPO22" s="953"/>
      <c r="FPP22" s="953"/>
      <c r="FPQ22" s="953"/>
      <c r="FPR22" s="953"/>
      <c r="FPS22" s="953"/>
      <c r="FPT22" s="953"/>
      <c r="FPU22" s="953"/>
      <c r="FPV22" s="953"/>
      <c r="FPW22" s="953"/>
      <c r="FPX22" s="953"/>
      <c r="FPY22" s="953"/>
      <c r="FPZ22" s="953"/>
      <c r="FQA22" s="953"/>
      <c r="FQB22" s="953"/>
      <c r="FQC22" s="953"/>
      <c r="FQD22" s="953"/>
      <c r="FQE22" s="953"/>
      <c r="FQF22" s="953"/>
      <c r="FQG22" s="953"/>
      <c r="FQH22" s="953"/>
      <c r="FQI22" s="953"/>
      <c r="FQJ22" s="953"/>
      <c r="FQK22" s="953"/>
      <c r="FQL22" s="953"/>
      <c r="FQM22" s="953"/>
      <c r="FQN22" s="953"/>
      <c r="FQO22" s="953"/>
      <c r="FQP22" s="953"/>
      <c r="FQQ22" s="953"/>
      <c r="FQR22" s="953"/>
      <c r="FQS22" s="953"/>
      <c r="FQT22" s="953"/>
      <c r="FQU22" s="953"/>
      <c r="FQV22" s="953"/>
      <c r="FQW22" s="953"/>
      <c r="FQX22" s="953"/>
      <c r="FQY22" s="953"/>
      <c r="FQZ22" s="953"/>
      <c r="FRA22" s="953"/>
      <c r="FRB22" s="953"/>
      <c r="FRC22" s="953"/>
      <c r="FRD22" s="953"/>
      <c r="FRE22" s="953"/>
      <c r="FRF22" s="953"/>
      <c r="FRG22" s="953"/>
      <c r="FRH22" s="953"/>
      <c r="FRI22" s="953"/>
      <c r="FRJ22" s="953"/>
      <c r="FRK22" s="953"/>
      <c r="FRL22" s="953"/>
      <c r="FRM22" s="953"/>
      <c r="FRN22" s="953"/>
      <c r="FRO22" s="953"/>
      <c r="FRP22" s="953"/>
      <c r="FRQ22" s="953"/>
      <c r="FRR22" s="953"/>
      <c r="FRS22" s="953"/>
      <c r="FRT22" s="953"/>
      <c r="FRU22" s="953"/>
      <c r="FRV22" s="953"/>
      <c r="FRW22" s="953"/>
      <c r="FRX22" s="953"/>
      <c r="FRY22" s="953"/>
      <c r="FRZ22" s="953"/>
      <c r="FSA22" s="953"/>
      <c r="FSB22" s="953"/>
      <c r="FSC22" s="953"/>
      <c r="FSD22" s="953"/>
      <c r="FSE22" s="953"/>
      <c r="FSF22" s="953"/>
      <c r="FSG22" s="953"/>
      <c r="FSH22" s="953"/>
      <c r="FSI22" s="953"/>
      <c r="FSJ22" s="953"/>
      <c r="FSK22" s="953"/>
      <c r="FSL22" s="953"/>
      <c r="FSM22" s="953"/>
      <c r="FSN22" s="953"/>
      <c r="FSO22" s="953"/>
      <c r="FSP22" s="953"/>
      <c r="FSQ22" s="953"/>
      <c r="FSR22" s="953"/>
      <c r="FSS22" s="953"/>
      <c r="FST22" s="953"/>
      <c r="FSU22" s="953"/>
      <c r="FSV22" s="953"/>
      <c r="FSW22" s="953"/>
      <c r="FSX22" s="953"/>
      <c r="FSY22" s="953"/>
      <c r="FSZ22" s="953"/>
      <c r="FTA22" s="953"/>
      <c r="FTB22" s="953"/>
      <c r="FTC22" s="953"/>
      <c r="FTD22" s="953"/>
      <c r="FTE22" s="953"/>
      <c r="FTF22" s="953"/>
      <c r="FTG22" s="953"/>
      <c r="FTH22" s="953"/>
      <c r="FTI22" s="953"/>
      <c r="FTJ22" s="953"/>
      <c r="FTK22" s="953"/>
      <c r="FTL22" s="953"/>
      <c r="FTM22" s="953"/>
      <c r="FTN22" s="953"/>
      <c r="FTO22" s="953"/>
      <c r="FTP22" s="953"/>
      <c r="FTQ22" s="953"/>
      <c r="FTR22" s="953"/>
      <c r="FTS22" s="953"/>
      <c r="FTT22" s="953"/>
      <c r="FTU22" s="953"/>
      <c r="FTV22" s="953"/>
      <c r="FTW22" s="953"/>
      <c r="FTX22" s="953"/>
      <c r="FTY22" s="953"/>
      <c r="FTZ22" s="953"/>
      <c r="FUA22" s="953"/>
      <c r="FUB22" s="953"/>
      <c r="FUC22" s="953"/>
      <c r="FUD22" s="953"/>
      <c r="FUE22" s="953"/>
      <c r="FUF22" s="953"/>
      <c r="FUG22" s="953"/>
      <c r="FUH22" s="953"/>
      <c r="FUI22" s="953"/>
      <c r="FUJ22" s="953"/>
      <c r="FUK22" s="953"/>
      <c r="FUL22" s="953"/>
      <c r="FUM22" s="953"/>
      <c r="FUN22" s="953"/>
      <c r="FUO22" s="953"/>
      <c r="FUP22" s="953"/>
      <c r="FUQ22" s="953"/>
      <c r="FUR22" s="953"/>
      <c r="FUS22" s="953"/>
      <c r="FUT22" s="953"/>
      <c r="FUU22" s="953"/>
      <c r="FUV22" s="953"/>
      <c r="FUW22" s="953"/>
      <c r="FUX22" s="953"/>
      <c r="FUY22" s="953"/>
      <c r="FUZ22" s="953"/>
      <c r="FVA22" s="953"/>
      <c r="FVB22" s="953"/>
      <c r="FVC22" s="953"/>
      <c r="FVD22" s="953"/>
      <c r="FVE22" s="953"/>
      <c r="FVF22" s="953"/>
      <c r="FVG22" s="953"/>
      <c r="FVH22" s="953"/>
      <c r="FVI22" s="953"/>
      <c r="FVJ22" s="953"/>
      <c r="FVK22" s="953"/>
      <c r="FVL22" s="953"/>
      <c r="FVM22" s="953"/>
      <c r="FVN22" s="953"/>
      <c r="FVO22" s="953"/>
      <c r="FVP22" s="953"/>
      <c r="FVQ22" s="953"/>
      <c r="FVR22" s="953"/>
      <c r="FVS22" s="953"/>
      <c r="FVT22" s="953"/>
      <c r="FVU22" s="953"/>
      <c r="FVV22" s="953"/>
      <c r="FVW22" s="953"/>
      <c r="FVX22" s="953"/>
      <c r="FVY22" s="953"/>
      <c r="FVZ22" s="953"/>
      <c r="FWA22" s="953"/>
      <c r="FWB22" s="953"/>
      <c r="FWC22" s="953"/>
      <c r="FWD22" s="953"/>
      <c r="FWE22" s="953"/>
      <c r="FWF22" s="953"/>
      <c r="FWG22" s="953"/>
      <c r="FWH22" s="953"/>
      <c r="FWI22" s="953"/>
      <c r="FWJ22" s="953"/>
      <c r="FWK22" s="953"/>
      <c r="FWL22" s="953"/>
      <c r="FWM22" s="953"/>
      <c r="FWN22" s="953"/>
      <c r="FWO22" s="953"/>
      <c r="FWP22" s="953"/>
      <c r="FWQ22" s="953"/>
      <c r="FWR22" s="953"/>
      <c r="FWS22" s="953"/>
      <c r="FWT22" s="953"/>
      <c r="FWU22" s="953"/>
      <c r="FWV22" s="953"/>
      <c r="FWW22" s="953"/>
      <c r="FWX22" s="953"/>
      <c r="FWY22" s="953"/>
      <c r="FWZ22" s="953"/>
      <c r="FXA22" s="953"/>
      <c r="FXB22" s="953"/>
      <c r="FXC22" s="953"/>
      <c r="FXD22" s="953"/>
      <c r="FXE22" s="953"/>
      <c r="FXF22" s="953"/>
      <c r="FXG22" s="953"/>
      <c r="FXH22" s="953"/>
      <c r="FXI22" s="953"/>
      <c r="FXJ22" s="953"/>
      <c r="FXK22" s="953"/>
      <c r="FXL22" s="953"/>
      <c r="FXM22" s="953"/>
      <c r="FXN22" s="953"/>
      <c r="FXO22" s="953"/>
      <c r="FXP22" s="953"/>
      <c r="FXQ22" s="953"/>
      <c r="FXR22" s="953"/>
      <c r="FXS22" s="953"/>
      <c r="FXT22" s="953"/>
      <c r="FXU22" s="953"/>
      <c r="FXV22" s="953"/>
      <c r="FXW22" s="953"/>
      <c r="FXX22" s="953"/>
      <c r="FXY22" s="953"/>
      <c r="FXZ22" s="953"/>
      <c r="FYA22" s="953"/>
      <c r="FYB22" s="953"/>
      <c r="FYC22" s="953"/>
      <c r="FYD22" s="953"/>
      <c r="FYE22" s="953"/>
      <c r="FYF22" s="953"/>
      <c r="FYG22" s="953"/>
      <c r="FYH22" s="953"/>
      <c r="FYI22" s="953"/>
      <c r="FYJ22" s="953"/>
      <c r="FYK22" s="953"/>
      <c r="FYL22" s="953"/>
      <c r="FYM22" s="953"/>
      <c r="FYN22" s="953"/>
      <c r="FYO22" s="953"/>
      <c r="FYP22" s="953"/>
      <c r="FYQ22" s="953"/>
      <c r="FYR22" s="953"/>
      <c r="FYS22" s="953"/>
      <c r="FYT22" s="953"/>
      <c r="FYU22" s="953"/>
      <c r="FYV22" s="953"/>
      <c r="FYW22" s="953"/>
      <c r="FYX22" s="953"/>
      <c r="FYY22" s="953"/>
      <c r="FYZ22" s="953"/>
      <c r="FZA22" s="953"/>
      <c r="FZB22" s="953"/>
      <c r="FZC22" s="953"/>
      <c r="FZD22" s="953"/>
      <c r="FZE22" s="953"/>
      <c r="FZF22" s="953"/>
      <c r="FZG22" s="953"/>
      <c r="FZH22" s="953"/>
      <c r="FZI22" s="953"/>
      <c r="FZJ22" s="953"/>
      <c r="FZK22" s="953"/>
      <c r="FZL22" s="953"/>
      <c r="FZM22" s="953"/>
      <c r="FZN22" s="953"/>
      <c r="FZO22" s="953"/>
      <c r="FZP22" s="953"/>
      <c r="FZQ22" s="953"/>
      <c r="FZR22" s="953"/>
      <c r="FZS22" s="953"/>
      <c r="FZT22" s="953"/>
      <c r="FZU22" s="953"/>
      <c r="FZV22" s="953"/>
      <c r="FZW22" s="953"/>
      <c r="FZX22" s="953"/>
      <c r="FZY22" s="953"/>
      <c r="FZZ22" s="953"/>
      <c r="GAA22" s="953"/>
      <c r="GAB22" s="953"/>
      <c r="GAC22" s="953"/>
      <c r="GAD22" s="953"/>
      <c r="GAE22" s="953"/>
      <c r="GAF22" s="953"/>
      <c r="GAG22" s="953"/>
      <c r="GAH22" s="953"/>
      <c r="GAI22" s="953"/>
      <c r="GAJ22" s="953"/>
      <c r="GAK22" s="953"/>
      <c r="GAL22" s="953"/>
      <c r="GAM22" s="953"/>
      <c r="GAN22" s="953"/>
      <c r="GAO22" s="953"/>
      <c r="GAP22" s="953"/>
      <c r="GAQ22" s="953"/>
      <c r="GAR22" s="953"/>
      <c r="GAS22" s="953"/>
      <c r="GAT22" s="953"/>
      <c r="GAU22" s="953"/>
      <c r="GAV22" s="953"/>
      <c r="GAW22" s="953"/>
      <c r="GAX22" s="953"/>
      <c r="GAY22" s="953"/>
      <c r="GAZ22" s="953"/>
      <c r="GBA22" s="953"/>
      <c r="GBB22" s="953"/>
      <c r="GBC22" s="953"/>
      <c r="GBD22" s="953"/>
      <c r="GBE22" s="953"/>
      <c r="GBF22" s="953"/>
      <c r="GBG22" s="953"/>
      <c r="GBH22" s="953"/>
      <c r="GBI22" s="953"/>
      <c r="GBJ22" s="953"/>
      <c r="GBK22" s="953"/>
      <c r="GBL22" s="953"/>
      <c r="GBM22" s="953"/>
      <c r="GBN22" s="953"/>
      <c r="GBO22" s="953"/>
      <c r="GBP22" s="953"/>
      <c r="GBQ22" s="953"/>
      <c r="GBR22" s="953"/>
      <c r="GBS22" s="953"/>
      <c r="GBT22" s="953"/>
      <c r="GBU22" s="953"/>
      <c r="GBV22" s="953"/>
      <c r="GBW22" s="953"/>
      <c r="GBX22" s="953"/>
      <c r="GBY22" s="953"/>
      <c r="GBZ22" s="953"/>
      <c r="GCA22" s="953"/>
      <c r="GCB22" s="953"/>
      <c r="GCC22" s="953"/>
      <c r="GCD22" s="953"/>
      <c r="GCE22" s="953"/>
      <c r="GCF22" s="953"/>
      <c r="GCG22" s="953"/>
      <c r="GCH22" s="953"/>
      <c r="GCI22" s="953"/>
      <c r="GCJ22" s="953"/>
      <c r="GCK22" s="953"/>
      <c r="GCL22" s="953"/>
      <c r="GCM22" s="953"/>
      <c r="GCN22" s="953"/>
      <c r="GCO22" s="953"/>
      <c r="GCP22" s="953"/>
      <c r="GCQ22" s="953"/>
      <c r="GCR22" s="953"/>
      <c r="GCS22" s="953"/>
      <c r="GCT22" s="953"/>
      <c r="GCU22" s="953"/>
      <c r="GCV22" s="953"/>
      <c r="GCW22" s="953"/>
      <c r="GCX22" s="953"/>
      <c r="GCY22" s="953"/>
      <c r="GCZ22" s="953"/>
      <c r="GDA22" s="953"/>
      <c r="GDB22" s="953"/>
      <c r="GDC22" s="953"/>
      <c r="GDD22" s="953"/>
      <c r="GDE22" s="953"/>
      <c r="GDF22" s="953"/>
      <c r="GDG22" s="953"/>
      <c r="GDH22" s="953"/>
      <c r="GDI22" s="953"/>
      <c r="GDJ22" s="953"/>
      <c r="GDK22" s="953"/>
      <c r="GDL22" s="953"/>
      <c r="GDM22" s="953"/>
      <c r="GDN22" s="953"/>
      <c r="GDO22" s="953"/>
      <c r="GDP22" s="953"/>
      <c r="GDQ22" s="953"/>
      <c r="GDR22" s="953"/>
      <c r="GDS22" s="953"/>
      <c r="GDT22" s="953"/>
      <c r="GDU22" s="953"/>
      <c r="GDV22" s="953"/>
      <c r="GDW22" s="953"/>
      <c r="GDX22" s="953"/>
      <c r="GDY22" s="953"/>
      <c r="GDZ22" s="953"/>
      <c r="GEA22" s="953"/>
      <c r="GEB22" s="953"/>
      <c r="GEC22" s="953"/>
      <c r="GED22" s="953"/>
      <c r="GEE22" s="953"/>
      <c r="GEF22" s="953"/>
      <c r="GEG22" s="953"/>
      <c r="GEH22" s="953"/>
      <c r="GEI22" s="953"/>
      <c r="GEJ22" s="953"/>
      <c r="GEK22" s="953"/>
      <c r="GEL22" s="953"/>
      <c r="GEM22" s="953"/>
      <c r="GEN22" s="953"/>
      <c r="GEO22" s="953"/>
      <c r="GEP22" s="953"/>
      <c r="GEQ22" s="953"/>
      <c r="GER22" s="953"/>
      <c r="GES22" s="953"/>
      <c r="GET22" s="953"/>
      <c r="GEU22" s="953"/>
      <c r="GEV22" s="953"/>
      <c r="GEW22" s="953"/>
      <c r="GEX22" s="953"/>
      <c r="GEY22" s="953"/>
      <c r="GEZ22" s="953"/>
      <c r="GFA22" s="953"/>
      <c r="GFB22" s="953"/>
      <c r="GFC22" s="953"/>
      <c r="GFD22" s="953"/>
      <c r="GFE22" s="953"/>
      <c r="GFF22" s="953"/>
      <c r="GFG22" s="953"/>
      <c r="GFH22" s="953"/>
      <c r="GFI22" s="953"/>
      <c r="GFJ22" s="953"/>
      <c r="GFK22" s="953"/>
      <c r="GFL22" s="953"/>
      <c r="GFM22" s="953"/>
      <c r="GFN22" s="953"/>
      <c r="GFO22" s="953"/>
      <c r="GFP22" s="953"/>
      <c r="GFQ22" s="953"/>
      <c r="GFR22" s="953"/>
      <c r="GFS22" s="953"/>
      <c r="GFT22" s="953"/>
      <c r="GFU22" s="953"/>
      <c r="GFV22" s="953"/>
      <c r="GFW22" s="953"/>
      <c r="GFX22" s="953"/>
      <c r="GFY22" s="953"/>
      <c r="GFZ22" s="953"/>
      <c r="GGA22" s="953"/>
      <c r="GGB22" s="953"/>
      <c r="GGC22" s="953"/>
      <c r="GGD22" s="953"/>
      <c r="GGE22" s="953"/>
      <c r="GGF22" s="953"/>
      <c r="GGG22" s="953"/>
      <c r="GGH22" s="953"/>
      <c r="GGI22" s="953"/>
      <c r="GGJ22" s="953"/>
      <c r="GGK22" s="953"/>
      <c r="GGL22" s="953"/>
      <c r="GGM22" s="953"/>
      <c r="GGN22" s="953"/>
      <c r="GGO22" s="953"/>
      <c r="GGP22" s="953"/>
      <c r="GGQ22" s="953"/>
      <c r="GGR22" s="953"/>
      <c r="GGS22" s="953"/>
      <c r="GGT22" s="953"/>
      <c r="GGU22" s="953"/>
      <c r="GGV22" s="953"/>
      <c r="GGW22" s="953"/>
      <c r="GGX22" s="953"/>
      <c r="GGY22" s="953"/>
      <c r="GGZ22" s="953"/>
      <c r="GHA22" s="953"/>
      <c r="GHB22" s="953"/>
      <c r="GHC22" s="953"/>
      <c r="GHD22" s="953"/>
      <c r="GHE22" s="953"/>
      <c r="GHF22" s="953"/>
      <c r="GHG22" s="953"/>
      <c r="GHH22" s="953"/>
      <c r="GHI22" s="953"/>
      <c r="GHJ22" s="953"/>
      <c r="GHK22" s="953"/>
      <c r="GHL22" s="953"/>
      <c r="GHM22" s="953"/>
      <c r="GHN22" s="953"/>
      <c r="GHO22" s="953"/>
      <c r="GHP22" s="953"/>
      <c r="GHQ22" s="953"/>
      <c r="GHR22" s="953"/>
      <c r="GHS22" s="953"/>
      <c r="GHT22" s="953"/>
      <c r="GHU22" s="953"/>
      <c r="GHV22" s="953"/>
      <c r="GHW22" s="953"/>
      <c r="GHX22" s="953"/>
      <c r="GHY22" s="953"/>
      <c r="GHZ22" s="953"/>
      <c r="GIA22" s="953"/>
      <c r="GIB22" s="953"/>
      <c r="GIC22" s="953"/>
      <c r="GID22" s="953"/>
      <c r="GIE22" s="953"/>
      <c r="GIF22" s="953"/>
      <c r="GIG22" s="953"/>
      <c r="GIH22" s="953"/>
      <c r="GII22" s="953"/>
      <c r="GIJ22" s="953"/>
      <c r="GIK22" s="953"/>
      <c r="GIL22" s="953"/>
      <c r="GIM22" s="953"/>
      <c r="GIN22" s="953"/>
      <c r="GIO22" s="953"/>
      <c r="GIP22" s="953"/>
      <c r="GIQ22" s="953"/>
      <c r="GIR22" s="953"/>
      <c r="GIS22" s="953"/>
      <c r="GIT22" s="953"/>
      <c r="GIU22" s="953"/>
      <c r="GIV22" s="953"/>
      <c r="GIW22" s="953"/>
      <c r="GIX22" s="953"/>
      <c r="GIY22" s="953"/>
      <c r="GIZ22" s="953"/>
      <c r="GJA22" s="953"/>
      <c r="GJB22" s="953"/>
      <c r="GJC22" s="953"/>
      <c r="GJD22" s="953"/>
      <c r="GJE22" s="953"/>
      <c r="GJF22" s="953"/>
      <c r="GJG22" s="953"/>
      <c r="GJH22" s="953"/>
      <c r="GJI22" s="953"/>
      <c r="GJJ22" s="953"/>
      <c r="GJK22" s="953"/>
      <c r="GJL22" s="953"/>
      <c r="GJM22" s="953"/>
      <c r="GJN22" s="953"/>
      <c r="GJO22" s="953"/>
      <c r="GJP22" s="953"/>
      <c r="GJQ22" s="953"/>
      <c r="GJR22" s="953"/>
      <c r="GJS22" s="953"/>
      <c r="GJT22" s="953"/>
      <c r="GJU22" s="953"/>
      <c r="GJV22" s="953"/>
      <c r="GJW22" s="953"/>
      <c r="GJX22" s="953"/>
      <c r="GJY22" s="953"/>
      <c r="GJZ22" s="953"/>
      <c r="GKA22" s="953"/>
      <c r="GKB22" s="953"/>
      <c r="GKC22" s="953"/>
      <c r="GKD22" s="953"/>
      <c r="GKE22" s="953"/>
      <c r="GKF22" s="953"/>
      <c r="GKG22" s="953"/>
      <c r="GKH22" s="953"/>
      <c r="GKI22" s="953"/>
      <c r="GKJ22" s="953"/>
      <c r="GKK22" s="953"/>
      <c r="GKL22" s="953"/>
      <c r="GKM22" s="953"/>
      <c r="GKN22" s="953"/>
      <c r="GKO22" s="953"/>
      <c r="GKP22" s="953"/>
      <c r="GKQ22" s="953"/>
      <c r="GKR22" s="953"/>
      <c r="GKS22" s="953"/>
      <c r="GKT22" s="953"/>
      <c r="GKU22" s="953"/>
      <c r="GKV22" s="953"/>
      <c r="GKW22" s="953"/>
      <c r="GKX22" s="953"/>
      <c r="GKY22" s="953"/>
      <c r="GKZ22" s="953"/>
      <c r="GLA22" s="953"/>
      <c r="GLB22" s="953"/>
      <c r="GLC22" s="953"/>
      <c r="GLD22" s="953"/>
      <c r="GLE22" s="953"/>
      <c r="GLF22" s="953"/>
      <c r="GLG22" s="953"/>
      <c r="GLH22" s="953"/>
      <c r="GLI22" s="953"/>
      <c r="GLJ22" s="953"/>
      <c r="GLK22" s="953"/>
      <c r="GLL22" s="953"/>
      <c r="GLM22" s="953"/>
      <c r="GLN22" s="953"/>
      <c r="GLO22" s="953"/>
      <c r="GLP22" s="953"/>
      <c r="GLQ22" s="953"/>
      <c r="GLR22" s="953"/>
      <c r="GLS22" s="953"/>
      <c r="GLT22" s="953"/>
      <c r="GLU22" s="953"/>
      <c r="GLV22" s="953"/>
      <c r="GLW22" s="953"/>
      <c r="GLX22" s="953"/>
      <c r="GLY22" s="953"/>
      <c r="GLZ22" s="953"/>
      <c r="GMA22" s="953"/>
      <c r="GMB22" s="953"/>
      <c r="GMC22" s="953"/>
      <c r="GMD22" s="953"/>
      <c r="GME22" s="953"/>
      <c r="GMF22" s="953"/>
      <c r="GMG22" s="953"/>
      <c r="GMH22" s="953"/>
      <c r="GMI22" s="953"/>
      <c r="GMJ22" s="953"/>
      <c r="GMK22" s="953"/>
      <c r="GML22" s="953"/>
      <c r="GMM22" s="953"/>
      <c r="GMN22" s="953"/>
      <c r="GMO22" s="953"/>
      <c r="GMP22" s="953"/>
      <c r="GMQ22" s="953"/>
      <c r="GMR22" s="953"/>
      <c r="GMS22" s="953"/>
      <c r="GMT22" s="953"/>
      <c r="GMU22" s="953"/>
      <c r="GMV22" s="953"/>
      <c r="GMW22" s="953"/>
      <c r="GMX22" s="953"/>
      <c r="GMY22" s="953"/>
      <c r="GMZ22" s="953"/>
      <c r="GNA22" s="953"/>
      <c r="GNB22" s="953"/>
      <c r="GNC22" s="953"/>
      <c r="GND22" s="953"/>
      <c r="GNE22" s="953"/>
      <c r="GNF22" s="953"/>
      <c r="GNG22" s="953"/>
      <c r="GNH22" s="953"/>
      <c r="GNI22" s="953"/>
      <c r="GNJ22" s="953"/>
      <c r="GNK22" s="953"/>
      <c r="GNL22" s="953"/>
      <c r="GNM22" s="953"/>
      <c r="GNN22" s="953"/>
      <c r="GNO22" s="953"/>
      <c r="GNP22" s="953"/>
      <c r="GNQ22" s="953"/>
      <c r="GNR22" s="953"/>
      <c r="GNS22" s="953"/>
      <c r="GNT22" s="953"/>
      <c r="GNU22" s="953"/>
      <c r="GNV22" s="953"/>
      <c r="GNW22" s="953"/>
      <c r="GNX22" s="953"/>
      <c r="GNY22" s="953"/>
      <c r="GNZ22" s="953"/>
      <c r="GOA22" s="953"/>
      <c r="GOB22" s="953"/>
      <c r="GOC22" s="953"/>
      <c r="GOD22" s="953"/>
      <c r="GOE22" s="953"/>
      <c r="GOF22" s="953"/>
      <c r="GOG22" s="953"/>
      <c r="GOH22" s="953"/>
      <c r="GOI22" s="953"/>
      <c r="GOJ22" s="953"/>
      <c r="GOK22" s="953"/>
      <c r="GOL22" s="953"/>
      <c r="GOM22" s="953"/>
      <c r="GON22" s="953"/>
      <c r="GOO22" s="953"/>
      <c r="GOP22" s="953"/>
      <c r="GOQ22" s="953"/>
      <c r="GOR22" s="953"/>
      <c r="GOS22" s="953"/>
      <c r="GOT22" s="953"/>
      <c r="GOU22" s="953"/>
      <c r="GOV22" s="953"/>
      <c r="GOW22" s="953"/>
      <c r="GOX22" s="953"/>
      <c r="GOY22" s="953"/>
      <c r="GOZ22" s="953"/>
      <c r="GPA22" s="953"/>
      <c r="GPB22" s="953"/>
      <c r="GPC22" s="953"/>
      <c r="GPD22" s="953"/>
      <c r="GPE22" s="953"/>
      <c r="GPF22" s="953"/>
      <c r="GPG22" s="953"/>
      <c r="GPH22" s="953"/>
      <c r="GPI22" s="953"/>
      <c r="GPJ22" s="953"/>
      <c r="GPK22" s="953"/>
      <c r="GPL22" s="953"/>
      <c r="GPM22" s="953"/>
      <c r="GPN22" s="953"/>
      <c r="GPO22" s="953"/>
      <c r="GPP22" s="953"/>
      <c r="GPQ22" s="953"/>
      <c r="GPR22" s="953"/>
      <c r="GPS22" s="953"/>
      <c r="GPT22" s="953"/>
      <c r="GPU22" s="953"/>
      <c r="GPV22" s="953"/>
      <c r="GPW22" s="953"/>
      <c r="GPX22" s="953"/>
      <c r="GPY22" s="953"/>
      <c r="GPZ22" s="953"/>
      <c r="GQA22" s="953"/>
      <c r="GQB22" s="953"/>
      <c r="GQC22" s="953"/>
      <c r="GQD22" s="953"/>
      <c r="GQE22" s="953"/>
      <c r="GQF22" s="953"/>
      <c r="GQG22" s="953"/>
      <c r="GQH22" s="953"/>
      <c r="GQI22" s="953"/>
      <c r="GQJ22" s="953"/>
      <c r="GQK22" s="953"/>
      <c r="GQL22" s="953"/>
      <c r="GQM22" s="953"/>
      <c r="GQN22" s="953"/>
      <c r="GQO22" s="953"/>
      <c r="GQP22" s="953"/>
      <c r="GQQ22" s="953"/>
      <c r="GQR22" s="953"/>
      <c r="GQS22" s="953"/>
      <c r="GQT22" s="953"/>
      <c r="GQU22" s="953"/>
      <c r="GQV22" s="953"/>
      <c r="GQW22" s="953"/>
      <c r="GQX22" s="953"/>
      <c r="GQY22" s="953"/>
      <c r="GQZ22" s="953"/>
      <c r="GRA22" s="953"/>
      <c r="GRB22" s="953"/>
      <c r="GRC22" s="953"/>
      <c r="GRD22" s="953"/>
      <c r="GRE22" s="953"/>
      <c r="GRF22" s="953"/>
      <c r="GRG22" s="953"/>
      <c r="GRH22" s="953"/>
      <c r="GRI22" s="953"/>
      <c r="GRJ22" s="953"/>
      <c r="GRK22" s="953"/>
      <c r="GRL22" s="953"/>
      <c r="GRM22" s="953"/>
      <c r="GRN22" s="953"/>
      <c r="GRO22" s="953"/>
      <c r="GRP22" s="953"/>
      <c r="GRQ22" s="953"/>
      <c r="GRR22" s="953"/>
      <c r="GRS22" s="953"/>
      <c r="GRT22" s="953"/>
      <c r="GRU22" s="953"/>
      <c r="GRV22" s="953"/>
      <c r="GRW22" s="953"/>
      <c r="GRX22" s="953"/>
      <c r="GRY22" s="953"/>
      <c r="GRZ22" s="953"/>
      <c r="GSA22" s="953"/>
      <c r="GSB22" s="953"/>
      <c r="GSC22" s="953"/>
      <c r="GSD22" s="953"/>
      <c r="GSE22" s="953"/>
      <c r="GSF22" s="953"/>
      <c r="GSG22" s="953"/>
      <c r="GSH22" s="953"/>
      <c r="GSI22" s="953"/>
      <c r="GSJ22" s="953"/>
      <c r="GSK22" s="953"/>
      <c r="GSL22" s="953"/>
      <c r="GSM22" s="953"/>
      <c r="GSN22" s="953"/>
      <c r="GSO22" s="953"/>
      <c r="GSP22" s="953"/>
      <c r="GSQ22" s="953"/>
      <c r="GSR22" s="953"/>
      <c r="GSS22" s="953"/>
      <c r="GST22" s="953"/>
      <c r="GSU22" s="953"/>
      <c r="GSV22" s="953"/>
      <c r="GSW22" s="953"/>
      <c r="GSX22" s="953"/>
      <c r="GSY22" s="953"/>
      <c r="GSZ22" s="953"/>
      <c r="GTA22" s="953"/>
      <c r="GTB22" s="953"/>
      <c r="GTC22" s="953"/>
      <c r="GTD22" s="953"/>
      <c r="GTE22" s="953"/>
      <c r="GTF22" s="953"/>
      <c r="GTG22" s="953"/>
      <c r="GTH22" s="953"/>
      <c r="GTI22" s="953"/>
      <c r="GTJ22" s="953"/>
      <c r="GTK22" s="953"/>
      <c r="GTL22" s="953"/>
      <c r="GTM22" s="953"/>
      <c r="GTN22" s="953"/>
      <c r="GTO22" s="953"/>
      <c r="GTP22" s="953"/>
      <c r="GTQ22" s="953"/>
      <c r="GTR22" s="953"/>
      <c r="GTS22" s="953"/>
      <c r="GTT22" s="953"/>
      <c r="GTU22" s="953"/>
      <c r="GTV22" s="953"/>
      <c r="GTW22" s="953"/>
      <c r="GTX22" s="953"/>
      <c r="GTY22" s="953"/>
      <c r="GTZ22" s="953"/>
      <c r="GUA22" s="953"/>
      <c r="GUB22" s="953"/>
      <c r="GUC22" s="953"/>
      <c r="GUD22" s="953"/>
      <c r="GUE22" s="953"/>
      <c r="GUF22" s="953"/>
      <c r="GUG22" s="953"/>
      <c r="GUH22" s="953"/>
      <c r="GUI22" s="953"/>
      <c r="GUJ22" s="953"/>
      <c r="GUK22" s="953"/>
      <c r="GUL22" s="953"/>
      <c r="GUM22" s="953"/>
      <c r="GUN22" s="953"/>
      <c r="GUO22" s="953"/>
      <c r="GUP22" s="953"/>
      <c r="GUQ22" s="953"/>
      <c r="GUR22" s="953"/>
      <c r="GUS22" s="953"/>
      <c r="GUT22" s="953"/>
      <c r="GUU22" s="953"/>
      <c r="GUV22" s="953"/>
      <c r="GUW22" s="953"/>
      <c r="GUX22" s="953"/>
      <c r="GUY22" s="953"/>
      <c r="GUZ22" s="953"/>
      <c r="GVA22" s="953"/>
      <c r="GVB22" s="953"/>
      <c r="GVC22" s="953"/>
      <c r="GVD22" s="953"/>
      <c r="GVE22" s="953"/>
      <c r="GVF22" s="953"/>
      <c r="GVG22" s="953"/>
      <c r="GVH22" s="953"/>
      <c r="GVI22" s="953"/>
      <c r="GVJ22" s="953"/>
      <c r="GVK22" s="953"/>
      <c r="GVL22" s="953"/>
      <c r="GVM22" s="953"/>
      <c r="GVN22" s="953"/>
      <c r="GVO22" s="953"/>
      <c r="GVP22" s="953"/>
      <c r="GVQ22" s="953"/>
      <c r="GVR22" s="953"/>
      <c r="GVS22" s="953"/>
      <c r="GVT22" s="953"/>
      <c r="GVU22" s="953"/>
      <c r="GVV22" s="953"/>
      <c r="GVW22" s="953"/>
      <c r="GVX22" s="953"/>
      <c r="GVY22" s="953"/>
      <c r="GVZ22" s="953"/>
      <c r="GWA22" s="953"/>
      <c r="GWB22" s="953"/>
      <c r="GWC22" s="953"/>
      <c r="GWD22" s="953"/>
      <c r="GWE22" s="953"/>
      <c r="GWF22" s="953"/>
      <c r="GWG22" s="953"/>
      <c r="GWH22" s="953"/>
      <c r="GWI22" s="953"/>
      <c r="GWJ22" s="953"/>
      <c r="GWK22" s="953"/>
      <c r="GWL22" s="953"/>
      <c r="GWM22" s="953"/>
      <c r="GWN22" s="953"/>
      <c r="GWO22" s="953"/>
      <c r="GWP22" s="953"/>
      <c r="GWQ22" s="953"/>
      <c r="GWR22" s="953"/>
      <c r="GWS22" s="953"/>
      <c r="GWT22" s="953"/>
      <c r="GWU22" s="953"/>
      <c r="GWV22" s="953"/>
      <c r="GWW22" s="953"/>
      <c r="GWX22" s="953"/>
      <c r="GWY22" s="953"/>
      <c r="GWZ22" s="953"/>
      <c r="GXA22" s="953"/>
      <c r="GXB22" s="953"/>
      <c r="GXC22" s="953"/>
      <c r="GXD22" s="953"/>
      <c r="GXE22" s="953"/>
      <c r="GXF22" s="953"/>
      <c r="GXG22" s="953"/>
      <c r="GXH22" s="953"/>
      <c r="GXI22" s="953"/>
      <c r="GXJ22" s="953"/>
      <c r="GXK22" s="953"/>
      <c r="GXL22" s="953"/>
      <c r="GXM22" s="953"/>
      <c r="GXN22" s="953"/>
      <c r="GXO22" s="953"/>
      <c r="GXP22" s="953"/>
      <c r="GXQ22" s="953"/>
      <c r="GXR22" s="953"/>
      <c r="GXS22" s="953"/>
      <c r="GXT22" s="953"/>
      <c r="GXU22" s="953"/>
      <c r="GXV22" s="953"/>
      <c r="GXW22" s="953"/>
      <c r="GXX22" s="953"/>
      <c r="GXY22" s="953"/>
      <c r="GXZ22" s="953"/>
      <c r="GYA22" s="953"/>
      <c r="GYB22" s="953"/>
      <c r="GYC22" s="953"/>
      <c r="GYD22" s="953"/>
      <c r="GYE22" s="953"/>
      <c r="GYF22" s="953"/>
      <c r="GYG22" s="953"/>
      <c r="GYH22" s="953"/>
      <c r="GYI22" s="953"/>
      <c r="GYJ22" s="953"/>
      <c r="GYK22" s="953"/>
      <c r="GYL22" s="953"/>
      <c r="GYM22" s="953"/>
      <c r="GYN22" s="953"/>
      <c r="GYO22" s="953"/>
      <c r="GYP22" s="953"/>
      <c r="GYQ22" s="953"/>
      <c r="GYR22" s="953"/>
      <c r="GYS22" s="953"/>
      <c r="GYT22" s="953"/>
      <c r="GYU22" s="953"/>
      <c r="GYV22" s="953"/>
      <c r="GYW22" s="953"/>
      <c r="GYX22" s="953"/>
      <c r="GYY22" s="953"/>
      <c r="GYZ22" s="953"/>
      <c r="GZA22" s="953"/>
      <c r="GZB22" s="953"/>
      <c r="GZC22" s="953"/>
      <c r="GZD22" s="953"/>
      <c r="GZE22" s="953"/>
      <c r="GZF22" s="953"/>
      <c r="GZG22" s="953"/>
      <c r="GZH22" s="953"/>
      <c r="GZI22" s="953"/>
      <c r="GZJ22" s="953"/>
      <c r="GZK22" s="953"/>
      <c r="GZL22" s="953"/>
      <c r="GZM22" s="953"/>
      <c r="GZN22" s="953"/>
      <c r="GZO22" s="953"/>
      <c r="GZP22" s="953"/>
      <c r="GZQ22" s="953"/>
      <c r="GZR22" s="953"/>
      <c r="GZS22" s="953"/>
      <c r="GZT22" s="953"/>
      <c r="GZU22" s="953"/>
      <c r="GZV22" s="953"/>
      <c r="GZW22" s="953"/>
      <c r="GZX22" s="953"/>
      <c r="GZY22" s="953"/>
      <c r="GZZ22" s="953"/>
      <c r="HAA22" s="953"/>
      <c r="HAB22" s="953"/>
      <c r="HAC22" s="953"/>
      <c r="HAD22" s="953"/>
      <c r="HAE22" s="953"/>
      <c r="HAF22" s="953"/>
      <c r="HAG22" s="953"/>
      <c r="HAH22" s="953"/>
      <c r="HAI22" s="953"/>
      <c r="HAJ22" s="953"/>
      <c r="HAK22" s="953"/>
      <c r="HAL22" s="953"/>
      <c r="HAM22" s="953"/>
      <c r="HAN22" s="953"/>
      <c r="HAO22" s="953"/>
      <c r="HAP22" s="953"/>
      <c r="HAQ22" s="953"/>
      <c r="HAR22" s="953"/>
      <c r="HAS22" s="953"/>
      <c r="HAT22" s="953"/>
      <c r="HAU22" s="953"/>
      <c r="HAV22" s="953"/>
      <c r="HAW22" s="953"/>
      <c r="HAX22" s="953"/>
      <c r="HAY22" s="953"/>
      <c r="HAZ22" s="953"/>
      <c r="HBA22" s="953"/>
      <c r="HBB22" s="953"/>
      <c r="HBC22" s="953"/>
      <c r="HBD22" s="953"/>
      <c r="HBE22" s="953"/>
      <c r="HBF22" s="953"/>
      <c r="HBG22" s="953"/>
      <c r="HBH22" s="953"/>
      <c r="HBI22" s="953"/>
      <c r="HBJ22" s="953"/>
      <c r="HBK22" s="953"/>
      <c r="HBL22" s="953"/>
      <c r="HBM22" s="953"/>
      <c r="HBN22" s="953"/>
      <c r="HBO22" s="953"/>
      <c r="HBP22" s="953"/>
      <c r="HBQ22" s="953"/>
      <c r="HBR22" s="953"/>
      <c r="HBS22" s="953"/>
      <c r="HBT22" s="953"/>
      <c r="HBU22" s="953"/>
      <c r="HBV22" s="953"/>
      <c r="HBW22" s="953"/>
      <c r="HBX22" s="953"/>
      <c r="HBY22" s="953"/>
      <c r="HBZ22" s="953"/>
      <c r="HCA22" s="953"/>
      <c r="HCB22" s="953"/>
      <c r="HCC22" s="953"/>
      <c r="HCD22" s="953"/>
      <c r="HCE22" s="953"/>
      <c r="HCF22" s="953"/>
      <c r="HCG22" s="953"/>
      <c r="HCH22" s="953"/>
      <c r="HCI22" s="953"/>
      <c r="HCJ22" s="953"/>
      <c r="HCK22" s="953"/>
      <c r="HCL22" s="953"/>
      <c r="HCM22" s="953"/>
      <c r="HCN22" s="953"/>
      <c r="HCO22" s="953"/>
      <c r="HCP22" s="953"/>
      <c r="HCQ22" s="953"/>
      <c r="HCR22" s="953"/>
      <c r="HCS22" s="953"/>
      <c r="HCT22" s="953"/>
      <c r="HCU22" s="953"/>
      <c r="HCV22" s="953"/>
      <c r="HCW22" s="953"/>
      <c r="HCX22" s="953"/>
      <c r="HCY22" s="953"/>
      <c r="HCZ22" s="953"/>
      <c r="HDA22" s="953"/>
      <c r="HDB22" s="953"/>
      <c r="HDC22" s="953"/>
      <c r="HDD22" s="953"/>
      <c r="HDE22" s="953"/>
      <c r="HDF22" s="953"/>
      <c r="HDG22" s="953"/>
      <c r="HDH22" s="953"/>
      <c r="HDI22" s="953"/>
      <c r="HDJ22" s="953"/>
      <c r="HDK22" s="953"/>
      <c r="HDL22" s="953"/>
      <c r="HDM22" s="953"/>
      <c r="HDN22" s="953"/>
      <c r="HDO22" s="953"/>
      <c r="HDP22" s="953"/>
      <c r="HDQ22" s="953"/>
      <c r="HDR22" s="953"/>
      <c r="HDS22" s="953"/>
      <c r="HDT22" s="953"/>
      <c r="HDU22" s="953"/>
      <c r="HDV22" s="953"/>
      <c r="HDW22" s="953"/>
      <c r="HDX22" s="953"/>
      <c r="HDY22" s="953"/>
      <c r="HDZ22" s="953"/>
      <c r="HEA22" s="953"/>
      <c r="HEB22" s="953"/>
      <c r="HEC22" s="953"/>
      <c r="HED22" s="953"/>
      <c r="HEE22" s="953"/>
      <c r="HEF22" s="953"/>
      <c r="HEG22" s="953"/>
      <c r="HEH22" s="953"/>
      <c r="HEI22" s="953"/>
      <c r="HEJ22" s="953"/>
      <c r="HEK22" s="953"/>
      <c r="HEL22" s="953"/>
      <c r="HEM22" s="953"/>
      <c r="HEN22" s="953"/>
      <c r="HEO22" s="953"/>
      <c r="HEP22" s="953"/>
      <c r="HEQ22" s="953"/>
      <c r="HER22" s="953"/>
      <c r="HES22" s="953"/>
      <c r="HET22" s="953"/>
      <c r="HEU22" s="953"/>
      <c r="HEV22" s="953"/>
      <c r="HEW22" s="953"/>
      <c r="HEX22" s="953"/>
      <c r="HEY22" s="953"/>
      <c r="HEZ22" s="953"/>
      <c r="HFA22" s="953"/>
      <c r="HFB22" s="953"/>
      <c r="HFC22" s="953"/>
      <c r="HFD22" s="953"/>
      <c r="HFE22" s="953"/>
      <c r="HFF22" s="953"/>
      <c r="HFG22" s="953"/>
      <c r="HFH22" s="953"/>
      <c r="HFI22" s="953"/>
      <c r="HFJ22" s="953"/>
      <c r="HFK22" s="953"/>
      <c r="HFL22" s="953"/>
      <c r="HFM22" s="953"/>
      <c r="HFN22" s="953"/>
      <c r="HFO22" s="953"/>
      <c r="HFP22" s="953"/>
      <c r="HFQ22" s="953"/>
      <c r="HFR22" s="953"/>
      <c r="HFS22" s="953"/>
      <c r="HFT22" s="953"/>
      <c r="HFU22" s="953"/>
      <c r="HFV22" s="953"/>
      <c r="HFW22" s="953"/>
      <c r="HFX22" s="953"/>
      <c r="HFY22" s="953"/>
      <c r="HFZ22" s="953"/>
      <c r="HGA22" s="953"/>
      <c r="HGB22" s="953"/>
      <c r="HGC22" s="953"/>
      <c r="HGD22" s="953"/>
      <c r="HGE22" s="953"/>
      <c r="HGF22" s="953"/>
      <c r="HGG22" s="953"/>
      <c r="HGH22" s="953"/>
      <c r="HGI22" s="953"/>
      <c r="HGJ22" s="953"/>
      <c r="HGK22" s="953"/>
      <c r="HGL22" s="953"/>
      <c r="HGM22" s="953"/>
      <c r="HGN22" s="953"/>
      <c r="HGO22" s="953"/>
      <c r="HGP22" s="953"/>
      <c r="HGQ22" s="953"/>
      <c r="HGR22" s="953"/>
      <c r="HGS22" s="953"/>
      <c r="HGT22" s="953"/>
      <c r="HGU22" s="953"/>
      <c r="HGV22" s="953"/>
      <c r="HGW22" s="953"/>
      <c r="HGX22" s="953"/>
      <c r="HGY22" s="953"/>
      <c r="HGZ22" s="953"/>
      <c r="HHA22" s="953"/>
      <c r="HHB22" s="953"/>
      <c r="HHC22" s="953"/>
      <c r="HHD22" s="953"/>
      <c r="HHE22" s="953"/>
      <c r="HHF22" s="953"/>
      <c r="HHG22" s="953"/>
      <c r="HHH22" s="953"/>
      <c r="HHI22" s="953"/>
      <c r="HHJ22" s="953"/>
      <c r="HHK22" s="953"/>
      <c r="HHL22" s="953"/>
      <c r="HHM22" s="953"/>
      <c r="HHN22" s="953"/>
      <c r="HHO22" s="953"/>
      <c r="HHP22" s="953"/>
      <c r="HHQ22" s="953"/>
      <c r="HHR22" s="953"/>
      <c r="HHS22" s="953"/>
      <c r="HHT22" s="953"/>
      <c r="HHU22" s="953"/>
      <c r="HHV22" s="953"/>
      <c r="HHW22" s="953"/>
      <c r="HHX22" s="953"/>
      <c r="HHY22" s="953"/>
      <c r="HHZ22" s="953"/>
      <c r="HIA22" s="953"/>
      <c r="HIB22" s="953"/>
      <c r="HIC22" s="953"/>
      <c r="HID22" s="953"/>
      <c r="HIE22" s="953"/>
      <c r="HIF22" s="953"/>
      <c r="HIG22" s="953"/>
      <c r="HIH22" s="953"/>
      <c r="HII22" s="953"/>
      <c r="HIJ22" s="953"/>
      <c r="HIK22" s="953"/>
      <c r="HIL22" s="953"/>
      <c r="HIM22" s="953"/>
      <c r="HIN22" s="953"/>
      <c r="HIO22" s="953"/>
      <c r="HIP22" s="953"/>
      <c r="HIQ22" s="953"/>
      <c r="HIR22" s="953"/>
      <c r="HIS22" s="953"/>
      <c r="HIT22" s="953"/>
      <c r="HIU22" s="953"/>
      <c r="HIV22" s="953"/>
      <c r="HIW22" s="953"/>
      <c r="HIX22" s="953"/>
      <c r="HIY22" s="953"/>
      <c r="HIZ22" s="953"/>
      <c r="HJA22" s="953"/>
      <c r="HJB22" s="953"/>
      <c r="HJC22" s="953"/>
      <c r="HJD22" s="953"/>
      <c r="HJE22" s="953"/>
      <c r="HJF22" s="953"/>
      <c r="HJG22" s="953"/>
      <c r="HJH22" s="953"/>
      <c r="HJI22" s="953"/>
      <c r="HJJ22" s="953"/>
      <c r="HJK22" s="953"/>
      <c r="HJL22" s="953"/>
      <c r="HJM22" s="953"/>
      <c r="HJN22" s="953"/>
      <c r="HJO22" s="953"/>
      <c r="HJP22" s="953"/>
      <c r="HJQ22" s="953"/>
      <c r="HJR22" s="953"/>
      <c r="HJS22" s="953"/>
      <c r="HJT22" s="953"/>
      <c r="HJU22" s="953"/>
      <c r="HJV22" s="953"/>
      <c r="HJW22" s="953"/>
      <c r="HJX22" s="953"/>
      <c r="HJY22" s="953"/>
      <c r="HJZ22" s="953"/>
      <c r="HKA22" s="953"/>
      <c r="HKB22" s="953"/>
      <c r="HKC22" s="953"/>
      <c r="HKD22" s="953"/>
      <c r="HKE22" s="953"/>
      <c r="HKF22" s="953"/>
      <c r="HKG22" s="953"/>
      <c r="HKH22" s="953"/>
      <c r="HKI22" s="953"/>
      <c r="HKJ22" s="953"/>
      <c r="HKK22" s="953"/>
      <c r="HKL22" s="953"/>
      <c r="HKM22" s="953"/>
      <c r="HKN22" s="953"/>
      <c r="HKO22" s="953"/>
      <c r="HKP22" s="953"/>
      <c r="HKQ22" s="953"/>
      <c r="HKR22" s="953"/>
      <c r="HKS22" s="953"/>
      <c r="HKT22" s="953"/>
      <c r="HKU22" s="953"/>
      <c r="HKV22" s="953"/>
      <c r="HKW22" s="953"/>
      <c r="HKX22" s="953"/>
      <c r="HKY22" s="953"/>
      <c r="HKZ22" s="953"/>
      <c r="HLA22" s="953"/>
      <c r="HLB22" s="953"/>
      <c r="HLC22" s="953"/>
      <c r="HLD22" s="953"/>
      <c r="HLE22" s="953"/>
      <c r="HLF22" s="953"/>
      <c r="HLG22" s="953"/>
      <c r="HLH22" s="953"/>
      <c r="HLI22" s="953"/>
      <c r="HLJ22" s="953"/>
      <c r="HLK22" s="953"/>
      <c r="HLL22" s="953"/>
      <c r="HLM22" s="953"/>
      <c r="HLN22" s="953"/>
      <c r="HLO22" s="953"/>
      <c r="HLP22" s="953"/>
      <c r="HLQ22" s="953"/>
      <c r="HLR22" s="953"/>
      <c r="HLS22" s="953"/>
      <c r="HLT22" s="953"/>
      <c r="HLU22" s="953"/>
      <c r="HLV22" s="953"/>
      <c r="HLW22" s="953"/>
      <c r="HLX22" s="953"/>
      <c r="HLY22" s="953"/>
      <c r="HLZ22" s="953"/>
      <c r="HMA22" s="953"/>
      <c r="HMB22" s="953"/>
      <c r="HMC22" s="953"/>
      <c r="HMD22" s="953"/>
      <c r="HME22" s="953"/>
      <c r="HMF22" s="953"/>
      <c r="HMG22" s="953"/>
      <c r="HMH22" s="953"/>
      <c r="HMI22" s="953"/>
      <c r="HMJ22" s="953"/>
      <c r="HMK22" s="953"/>
      <c r="HML22" s="953"/>
      <c r="HMM22" s="953"/>
      <c r="HMN22" s="953"/>
      <c r="HMO22" s="953"/>
      <c r="HMP22" s="953"/>
      <c r="HMQ22" s="953"/>
      <c r="HMR22" s="953"/>
      <c r="HMS22" s="953"/>
      <c r="HMT22" s="953"/>
      <c r="HMU22" s="953"/>
      <c r="HMV22" s="953"/>
      <c r="HMW22" s="953"/>
      <c r="HMX22" s="953"/>
      <c r="HMY22" s="953"/>
      <c r="HMZ22" s="953"/>
      <c r="HNA22" s="953"/>
      <c r="HNB22" s="953"/>
      <c r="HNC22" s="953"/>
      <c r="HND22" s="953"/>
      <c r="HNE22" s="953"/>
      <c r="HNF22" s="953"/>
      <c r="HNG22" s="953"/>
      <c r="HNH22" s="953"/>
      <c r="HNI22" s="953"/>
      <c r="HNJ22" s="953"/>
      <c r="HNK22" s="953"/>
      <c r="HNL22" s="953"/>
      <c r="HNM22" s="953"/>
      <c r="HNN22" s="953"/>
      <c r="HNO22" s="953"/>
      <c r="HNP22" s="953"/>
      <c r="HNQ22" s="953"/>
      <c r="HNR22" s="953"/>
      <c r="HNS22" s="953"/>
      <c r="HNT22" s="953"/>
      <c r="HNU22" s="953"/>
      <c r="HNV22" s="953"/>
      <c r="HNW22" s="953"/>
      <c r="HNX22" s="953"/>
      <c r="HNY22" s="953"/>
      <c r="HNZ22" s="953"/>
      <c r="HOA22" s="953"/>
      <c r="HOB22" s="953"/>
      <c r="HOC22" s="953"/>
      <c r="HOD22" s="953"/>
      <c r="HOE22" s="953"/>
      <c r="HOF22" s="953"/>
      <c r="HOG22" s="953"/>
      <c r="HOH22" s="953"/>
      <c r="HOI22" s="953"/>
      <c r="HOJ22" s="953"/>
      <c r="HOK22" s="953"/>
      <c r="HOL22" s="953"/>
      <c r="HOM22" s="953"/>
      <c r="HON22" s="953"/>
      <c r="HOO22" s="953"/>
      <c r="HOP22" s="953"/>
      <c r="HOQ22" s="953"/>
      <c r="HOR22" s="953"/>
      <c r="HOS22" s="953"/>
      <c r="HOT22" s="953"/>
      <c r="HOU22" s="953"/>
      <c r="HOV22" s="953"/>
      <c r="HOW22" s="953"/>
      <c r="HOX22" s="953"/>
      <c r="HOY22" s="953"/>
      <c r="HOZ22" s="953"/>
      <c r="HPA22" s="953"/>
      <c r="HPB22" s="953"/>
      <c r="HPC22" s="953"/>
      <c r="HPD22" s="953"/>
      <c r="HPE22" s="953"/>
      <c r="HPF22" s="953"/>
      <c r="HPG22" s="953"/>
      <c r="HPH22" s="953"/>
      <c r="HPI22" s="953"/>
      <c r="HPJ22" s="953"/>
      <c r="HPK22" s="953"/>
      <c r="HPL22" s="953"/>
      <c r="HPM22" s="953"/>
      <c r="HPN22" s="953"/>
      <c r="HPO22" s="953"/>
      <c r="HPP22" s="953"/>
      <c r="HPQ22" s="953"/>
      <c r="HPR22" s="953"/>
      <c r="HPS22" s="953"/>
      <c r="HPT22" s="953"/>
      <c r="HPU22" s="953"/>
      <c r="HPV22" s="953"/>
      <c r="HPW22" s="953"/>
      <c r="HPX22" s="953"/>
      <c r="HPY22" s="953"/>
      <c r="HPZ22" s="953"/>
      <c r="HQA22" s="953"/>
      <c r="HQB22" s="953"/>
      <c r="HQC22" s="953"/>
      <c r="HQD22" s="953"/>
      <c r="HQE22" s="953"/>
      <c r="HQF22" s="953"/>
      <c r="HQG22" s="953"/>
      <c r="HQH22" s="953"/>
      <c r="HQI22" s="953"/>
      <c r="HQJ22" s="953"/>
      <c r="HQK22" s="953"/>
      <c r="HQL22" s="953"/>
      <c r="HQM22" s="953"/>
      <c r="HQN22" s="953"/>
      <c r="HQO22" s="953"/>
      <c r="HQP22" s="953"/>
      <c r="HQQ22" s="953"/>
      <c r="HQR22" s="953"/>
      <c r="HQS22" s="953"/>
      <c r="HQT22" s="953"/>
      <c r="HQU22" s="953"/>
      <c r="HQV22" s="953"/>
      <c r="HQW22" s="953"/>
      <c r="HQX22" s="953"/>
      <c r="HQY22" s="953"/>
      <c r="HQZ22" s="953"/>
      <c r="HRA22" s="953"/>
      <c r="HRB22" s="953"/>
      <c r="HRC22" s="953"/>
      <c r="HRD22" s="953"/>
      <c r="HRE22" s="953"/>
      <c r="HRF22" s="953"/>
      <c r="HRG22" s="953"/>
      <c r="HRH22" s="953"/>
      <c r="HRI22" s="953"/>
      <c r="HRJ22" s="953"/>
      <c r="HRK22" s="953"/>
      <c r="HRL22" s="953"/>
      <c r="HRM22" s="953"/>
      <c r="HRN22" s="953"/>
      <c r="HRO22" s="953"/>
      <c r="HRP22" s="953"/>
      <c r="HRQ22" s="953"/>
      <c r="HRR22" s="953"/>
      <c r="HRS22" s="953"/>
      <c r="HRT22" s="953"/>
      <c r="HRU22" s="953"/>
      <c r="HRV22" s="953"/>
      <c r="HRW22" s="953"/>
      <c r="HRX22" s="953"/>
      <c r="HRY22" s="953"/>
      <c r="HRZ22" s="953"/>
      <c r="HSA22" s="953"/>
      <c r="HSB22" s="953"/>
      <c r="HSC22" s="953"/>
      <c r="HSD22" s="953"/>
      <c r="HSE22" s="953"/>
      <c r="HSF22" s="953"/>
      <c r="HSG22" s="953"/>
      <c r="HSH22" s="953"/>
      <c r="HSI22" s="953"/>
      <c r="HSJ22" s="953"/>
      <c r="HSK22" s="953"/>
      <c r="HSL22" s="953"/>
      <c r="HSM22" s="953"/>
      <c r="HSN22" s="953"/>
      <c r="HSO22" s="953"/>
      <c r="HSP22" s="953"/>
      <c r="HSQ22" s="953"/>
      <c r="HSR22" s="953"/>
      <c r="HSS22" s="953"/>
      <c r="HST22" s="953"/>
      <c r="HSU22" s="953"/>
      <c r="HSV22" s="953"/>
      <c r="HSW22" s="953"/>
      <c r="HSX22" s="953"/>
      <c r="HSY22" s="953"/>
      <c r="HSZ22" s="953"/>
      <c r="HTA22" s="953"/>
      <c r="HTB22" s="953"/>
      <c r="HTC22" s="953"/>
      <c r="HTD22" s="953"/>
      <c r="HTE22" s="953"/>
      <c r="HTF22" s="953"/>
      <c r="HTG22" s="953"/>
      <c r="HTH22" s="953"/>
      <c r="HTI22" s="953"/>
      <c r="HTJ22" s="953"/>
      <c r="HTK22" s="953"/>
      <c r="HTL22" s="953"/>
      <c r="HTM22" s="953"/>
      <c r="HTN22" s="953"/>
      <c r="HTO22" s="953"/>
      <c r="HTP22" s="953"/>
      <c r="HTQ22" s="953"/>
      <c r="HTR22" s="953"/>
      <c r="HTS22" s="953"/>
      <c r="HTT22" s="953"/>
      <c r="HTU22" s="953"/>
      <c r="HTV22" s="953"/>
      <c r="HTW22" s="953"/>
      <c r="HTX22" s="953"/>
      <c r="HTY22" s="953"/>
      <c r="HTZ22" s="953"/>
      <c r="HUA22" s="953"/>
      <c r="HUB22" s="953"/>
      <c r="HUC22" s="953"/>
      <c r="HUD22" s="953"/>
      <c r="HUE22" s="953"/>
      <c r="HUF22" s="953"/>
      <c r="HUG22" s="953"/>
      <c r="HUH22" s="953"/>
      <c r="HUI22" s="953"/>
      <c r="HUJ22" s="953"/>
      <c r="HUK22" s="953"/>
      <c r="HUL22" s="953"/>
      <c r="HUM22" s="953"/>
      <c r="HUN22" s="953"/>
      <c r="HUO22" s="953"/>
      <c r="HUP22" s="953"/>
      <c r="HUQ22" s="953"/>
      <c r="HUR22" s="953"/>
      <c r="HUS22" s="953"/>
      <c r="HUT22" s="953"/>
      <c r="HUU22" s="953"/>
      <c r="HUV22" s="953"/>
      <c r="HUW22" s="953"/>
      <c r="HUX22" s="953"/>
      <c r="HUY22" s="953"/>
      <c r="HUZ22" s="953"/>
      <c r="HVA22" s="953"/>
      <c r="HVB22" s="953"/>
      <c r="HVC22" s="953"/>
      <c r="HVD22" s="953"/>
      <c r="HVE22" s="953"/>
      <c r="HVF22" s="953"/>
      <c r="HVG22" s="953"/>
      <c r="HVH22" s="953"/>
      <c r="HVI22" s="953"/>
      <c r="HVJ22" s="953"/>
      <c r="HVK22" s="953"/>
      <c r="HVL22" s="953"/>
      <c r="HVM22" s="953"/>
      <c r="HVN22" s="953"/>
      <c r="HVO22" s="953"/>
      <c r="HVP22" s="953"/>
      <c r="HVQ22" s="953"/>
      <c r="HVR22" s="953"/>
      <c r="HVS22" s="953"/>
      <c r="HVT22" s="953"/>
      <c r="HVU22" s="953"/>
      <c r="HVV22" s="953"/>
      <c r="HVW22" s="953"/>
      <c r="HVX22" s="953"/>
      <c r="HVY22" s="953"/>
      <c r="HVZ22" s="953"/>
      <c r="HWA22" s="953"/>
      <c r="HWB22" s="953"/>
      <c r="HWC22" s="953"/>
      <c r="HWD22" s="953"/>
      <c r="HWE22" s="953"/>
      <c r="HWF22" s="953"/>
      <c r="HWG22" s="953"/>
      <c r="HWH22" s="953"/>
      <c r="HWI22" s="953"/>
      <c r="HWJ22" s="953"/>
      <c r="HWK22" s="953"/>
      <c r="HWL22" s="953"/>
      <c r="HWM22" s="953"/>
      <c r="HWN22" s="953"/>
      <c r="HWO22" s="953"/>
      <c r="HWP22" s="953"/>
      <c r="HWQ22" s="953"/>
      <c r="HWR22" s="953"/>
      <c r="HWS22" s="953"/>
      <c r="HWT22" s="953"/>
      <c r="HWU22" s="953"/>
      <c r="HWV22" s="953"/>
      <c r="HWW22" s="953"/>
      <c r="HWX22" s="953"/>
      <c r="HWY22" s="953"/>
      <c r="HWZ22" s="953"/>
      <c r="HXA22" s="953"/>
      <c r="HXB22" s="953"/>
      <c r="HXC22" s="953"/>
      <c r="HXD22" s="953"/>
      <c r="HXE22" s="953"/>
      <c r="HXF22" s="953"/>
      <c r="HXG22" s="953"/>
      <c r="HXH22" s="953"/>
      <c r="HXI22" s="953"/>
      <c r="HXJ22" s="953"/>
      <c r="HXK22" s="953"/>
      <c r="HXL22" s="953"/>
      <c r="HXM22" s="953"/>
      <c r="HXN22" s="953"/>
      <c r="HXO22" s="953"/>
      <c r="HXP22" s="953"/>
      <c r="HXQ22" s="953"/>
      <c r="HXR22" s="953"/>
      <c r="HXS22" s="953"/>
      <c r="HXT22" s="953"/>
      <c r="HXU22" s="953"/>
      <c r="HXV22" s="953"/>
      <c r="HXW22" s="953"/>
      <c r="HXX22" s="953"/>
      <c r="HXY22" s="953"/>
      <c r="HXZ22" s="953"/>
      <c r="HYA22" s="953"/>
      <c r="HYB22" s="953"/>
      <c r="HYC22" s="953"/>
      <c r="HYD22" s="953"/>
      <c r="HYE22" s="953"/>
      <c r="HYF22" s="953"/>
      <c r="HYG22" s="953"/>
      <c r="HYH22" s="953"/>
      <c r="HYI22" s="953"/>
      <c r="HYJ22" s="953"/>
      <c r="HYK22" s="953"/>
      <c r="HYL22" s="953"/>
      <c r="HYM22" s="953"/>
      <c r="HYN22" s="953"/>
      <c r="HYO22" s="953"/>
      <c r="HYP22" s="953"/>
      <c r="HYQ22" s="953"/>
      <c r="HYR22" s="953"/>
      <c r="HYS22" s="953"/>
      <c r="HYT22" s="953"/>
      <c r="HYU22" s="953"/>
      <c r="HYV22" s="953"/>
      <c r="HYW22" s="953"/>
      <c r="HYX22" s="953"/>
      <c r="HYY22" s="953"/>
      <c r="HYZ22" s="953"/>
      <c r="HZA22" s="953"/>
      <c r="HZB22" s="953"/>
      <c r="HZC22" s="953"/>
      <c r="HZD22" s="953"/>
      <c r="HZE22" s="953"/>
      <c r="HZF22" s="953"/>
      <c r="HZG22" s="953"/>
      <c r="HZH22" s="953"/>
      <c r="HZI22" s="953"/>
      <c r="HZJ22" s="953"/>
      <c r="HZK22" s="953"/>
      <c r="HZL22" s="953"/>
      <c r="HZM22" s="953"/>
      <c r="HZN22" s="953"/>
      <c r="HZO22" s="953"/>
      <c r="HZP22" s="953"/>
      <c r="HZQ22" s="953"/>
      <c r="HZR22" s="953"/>
      <c r="HZS22" s="953"/>
      <c r="HZT22" s="953"/>
      <c r="HZU22" s="953"/>
      <c r="HZV22" s="953"/>
      <c r="HZW22" s="953"/>
      <c r="HZX22" s="953"/>
      <c r="HZY22" s="953"/>
      <c r="HZZ22" s="953"/>
      <c r="IAA22" s="953"/>
      <c r="IAB22" s="953"/>
      <c r="IAC22" s="953"/>
      <c r="IAD22" s="953"/>
      <c r="IAE22" s="953"/>
      <c r="IAF22" s="953"/>
      <c r="IAG22" s="953"/>
      <c r="IAH22" s="953"/>
      <c r="IAI22" s="953"/>
      <c r="IAJ22" s="953"/>
      <c r="IAK22" s="953"/>
      <c r="IAL22" s="953"/>
      <c r="IAM22" s="953"/>
      <c r="IAN22" s="953"/>
      <c r="IAO22" s="953"/>
      <c r="IAP22" s="953"/>
      <c r="IAQ22" s="953"/>
      <c r="IAR22" s="953"/>
      <c r="IAS22" s="953"/>
      <c r="IAT22" s="953"/>
      <c r="IAU22" s="953"/>
      <c r="IAV22" s="953"/>
      <c r="IAW22" s="953"/>
      <c r="IAX22" s="953"/>
      <c r="IAY22" s="953"/>
      <c r="IAZ22" s="953"/>
      <c r="IBA22" s="953"/>
      <c r="IBB22" s="953"/>
      <c r="IBC22" s="953"/>
      <c r="IBD22" s="953"/>
      <c r="IBE22" s="953"/>
      <c r="IBF22" s="953"/>
      <c r="IBG22" s="953"/>
      <c r="IBH22" s="953"/>
      <c r="IBI22" s="953"/>
      <c r="IBJ22" s="953"/>
      <c r="IBK22" s="953"/>
      <c r="IBL22" s="953"/>
      <c r="IBM22" s="953"/>
      <c r="IBN22" s="953"/>
      <c r="IBO22" s="953"/>
      <c r="IBP22" s="953"/>
      <c r="IBQ22" s="953"/>
      <c r="IBR22" s="953"/>
      <c r="IBS22" s="953"/>
      <c r="IBT22" s="953"/>
      <c r="IBU22" s="953"/>
      <c r="IBV22" s="953"/>
      <c r="IBW22" s="953"/>
      <c r="IBX22" s="953"/>
      <c r="IBY22" s="953"/>
      <c r="IBZ22" s="953"/>
      <c r="ICA22" s="953"/>
      <c r="ICB22" s="953"/>
      <c r="ICC22" s="953"/>
      <c r="ICD22" s="953"/>
      <c r="ICE22" s="953"/>
      <c r="ICF22" s="953"/>
      <c r="ICG22" s="953"/>
      <c r="ICH22" s="953"/>
      <c r="ICI22" s="953"/>
      <c r="ICJ22" s="953"/>
      <c r="ICK22" s="953"/>
      <c r="ICL22" s="953"/>
      <c r="ICM22" s="953"/>
      <c r="ICN22" s="953"/>
      <c r="ICO22" s="953"/>
      <c r="ICP22" s="953"/>
      <c r="ICQ22" s="953"/>
      <c r="ICR22" s="953"/>
      <c r="ICS22" s="953"/>
      <c r="ICT22" s="953"/>
      <c r="ICU22" s="953"/>
      <c r="ICV22" s="953"/>
      <c r="ICW22" s="953"/>
      <c r="ICX22" s="953"/>
      <c r="ICY22" s="953"/>
      <c r="ICZ22" s="953"/>
      <c r="IDA22" s="953"/>
      <c r="IDB22" s="953"/>
      <c r="IDC22" s="953"/>
      <c r="IDD22" s="953"/>
      <c r="IDE22" s="953"/>
      <c r="IDF22" s="953"/>
      <c r="IDG22" s="953"/>
      <c r="IDH22" s="953"/>
      <c r="IDI22" s="953"/>
      <c r="IDJ22" s="953"/>
      <c r="IDK22" s="953"/>
      <c r="IDL22" s="953"/>
      <c r="IDM22" s="953"/>
      <c r="IDN22" s="953"/>
      <c r="IDO22" s="953"/>
      <c r="IDP22" s="953"/>
      <c r="IDQ22" s="953"/>
      <c r="IDR22" s="953"/>
      <c r="IDS22" s="953"/>
      <c r="IDT22" s="953"/>
      <c r="IDU22" s="953"/>
      <c r="IDV22" s="953"/>
      <c r="IDW22" s="953"/>
      <c r="IDX22" s="953"/>
      <c r="IDY22" s="953"/>
      <c r="IDZ22" s="953"/>
      <c r="IEA22" s="953"/>
      <c r="IEB22" s="953"/>
      <c r="IEC22" s="953"/>
      <c r="IED22" s="953"/>
      <c r="IEE22" s="953"/>
      <c r="IEF22" s="953"/>
      <c r="IEG22" s="953"/>
      <c r="IEH22" s="953"/>
      <c r="IEI22" s="953"/>
      <c r="IEJ22" s="953"/>
      <c r="IEK22" s="953"/>
      <c r="IEL22" s="953"/>
      <c r="IEM22" s="953"/>
      <c r="IEN22" s="953"/>
      <c r="IEO22" s="953"/>
      <c r="IEP22" s="953"/>
      <c r="IEQ22" s="953"/>
      <c r="IER22" s="953"/>
      <c r="IES22" s="953"/>
      <c r="IET22" s="953"/>
      <c r="IEU22" s="953"/>
      <c r="IEV22" s="953"/>
      <c r="IEW22" s="953"/>
      <c r="IEX22" s="953"/>
      <c r="IEY22" s="953"/>
      <c r="IEZ22" s="953"/>
      <c r="IFA22" s="953"/>
      <c r="IFB22" s="953"/>
      <c r="IFC22" s="953"/>
      <c r="IFD22" s="953"/>
      <c r="IFE22" s="953"/>
      <c r="IFF22" s="953"/>
      <c r="IFG22" s="953"/>
      <c r="IFH22" s="953"/>
      <c r="IFI22" s="953"/>
      <c r="IFJ22" s="953"/>
      <c r="IFK22" s="953"/>
      <c r="IFL22" s="953"/>
      <c r="IFM22" s="953"/>
      <c r="IFN22" s="953"/>
      <c r="IFO22" s="953"/>
      <c r="IFP22" s="953"/>
      <c r="IFQ22" s="953"/>
      <c r="IFR22" s="953"/>
      <c r="IFS22" s="953"/>
      <c r="IFT22" s="953"/>
      <c r="IFU22" s="953"/>
      <c r="IFV22" s="953"/>
      <c r="IFW22" s="953"/>
      <c r="IFX22" s="953"/>
      <c r="IFY22" s="953"/>
      <c r="IFZ22" s="953"/>
      <c r="IGA22" s="953"/>
      <c r="IGB22" s="953"/>
      <c r="IGC22" s="953"/>
      <c r="IGD22" s="953"/>
      <c r="IGE22" s="953"/>
      <c r="IGF22" s="953"/>
      <c r="IGG22" s="953"/>
      <c r="IGH22" s="953"/>
      <c r="IGI22" s="953"/>
      <c r="IGJ22" s="953"/>
      <c r="IGK22" s="953"/>
      <c r="IGL22" s="953"/>
      <c r="IGM22" s="953"/>
      <c r="IGN22" s="953"/>
      <c r="IGO22" s="953"/>
      <c r="IGP22" s="953"/>
      <c r="IGQ22" s="953"/>
      <c r="IGR22" s="953"/>
      <c r="IGS22" s="953"/>
      <c r="IGT22" s="953"/>
      <c r="IGU22" s="953"/>
      <c r="IGV22" s="953"/>
      <c r="IGW22" s="953"/>
      <c r="IGX22" s="953"/>
      <c r="IGY22" s="953"/>
      <c r="IGZ22" s="953"/>
      <c r="IHA22" s="953"/>
      <c r="IHB22" s="953"/>
      <c r="IHC22" s="953"/>
      <c r="IHD22" s="953"/>
      <c r="IHE22" s="953"/>
      <c r="IHF22" s="953"/>
      <c r="IHG22" s="953"/>
      <c r="IHH22" s="953"/>
      <c r="IHI22" s="953"/>
      <c r="IHJ22" s="953"/>
      <c r="IHK22" s="953"/>
      <c r="IHL22" s="953"/>
      <c r="IHM22" s="953"/>
      <c r="IHN22" s="953"/>
      <c r="IHO22" s="953"/>
      <c r="IHP22" s="953"/>
      <c r="IHQ22" s="953"/>
      <c r="IHR22" s="953"/>
      <c r="IHS22" s="953"/>
      <c r="IHT22" s="953"/>
      <c r="IHU22" s="953"/>
      <c r="IHV22" s="953"/>
      <c r="IHW22" s="953"/>
      <c r="IHX22" s="953"/>
      <c r="IHY22" s="953"/>
      <c r="IHZ22" s="953"/>
      <c r="IIA22" s="953"/>
      <c r="IIB22" s="953"/>
      <c r="IIC22" s="953"/>
      <c r="IID22" s="953"/>
      <c r="IIE22" s="953"/>
      <c r="IIF22" s="953"/>
      <c r="IIG22" s="953"/>
      <c r="IIH22" s="953"/>
      <c r="III22" s="953"/>
      <c r="IIJ22" s="953"/>
      <c r="IIK22" s="953"/>
      <c r="IIL22" s="953"/>
      <c r="IIM22" s="953"/>
      <c r="IIN22" s="953"/>
      <c r="IIO22" s="953"/>
      <c r="IIP22" s="953"/>
      <c r="IIQ22" s="953"/>
      <c r="IIR22" s="953"/>
      <c r="IIS22" s="953"/>
      <c r="IIT22" s="953"/>
      <c r="IIU22" s="953"/>
      <c r="IIV22" s="953"/>
      <c r="IIW22" s="953"/>
      <c r="IIX22" s="953"/>
      <c r="IIY22" s="953"/>
      <c r="IIZ22" s="953"/>
      <c r="IJA22" s="953"/>
      <c r="IJB22" s="953"/>
      <c r="IJC22" s="953"/>
      <c r="IJD22" s="953"/>
      <c r="IJE22" s="953"/>
      <c r="IJF22" s="953"/>
      <c r="IJG22" s="953"/>
      <c r="IJH22" s="953"/>
      <c r="IJI22" s="953"/>
      <c r="IJJ22" s="953"/>
      <c r="IJK22" s="953"/>
      <c r="IJL22" s="953"/>
      <c r="IJM22" s="953"/>
      <c r="IJN22" s="953"/>
      <c r="IJO22" s="953"/>
      <c r="IJP22" s="953"/>
      <c r="IJQ22" s="953"/>
      <c r="IJR22" s="953"/>
      <c r="IJS22" s="953"/>
      <c r="IJT22" s="953"/>
      <c r="IJU22" s="953"/>
      <c r="IJV22" s="953"/>
      <c r="IJW22" s="953"/>
      <c r="IJX22" s="953"/>
      <c r="IJY22" s="953"/>
      <c r="IJZ22" s="953"/>
      <c r="IKA22" s="953"/>
      <c r="IKB22" s="953"/>
      <c r="IKC22" s="953"/>
      <c r="IKD22" s="953"/>
      <c r="IKE22" s="953"/>
      <c r="IKF22" s="953"/>
      <c r="IKG22" s="953"/>
      <c r="IKH22" s="953"/>
      <c r="IKI22" s="953"/>
      <c r="IKJ22" s="953"/>
      <c r="IKK22" s="953"/>
      <c r="IKL22" s="953"/>
      <c r="IKM22" s="953"/>
      <c r="IKN22" s="953"/>
      <c r="IKO22" s="953"/>
      <c r="IKP22" s="953"/>
      <c r="IKQ22" s="953"/>
      <c r="IKR22" s="953"/>
      <c r="IKS22" s="953"/>
      <c r="IKT22" s="953"/>
      <c r="IKU22" s="953"/>
      <c r="IKV22" s="953"/>
      <c r="IKW22" s="953"/>
      <c r="IKX22" s="953"/>
      <c r="IKY22" s="953"/>
      <c r="IKZ22" s="953"/>
      <c r="ILA22" s="953"/>
      <c r="ILB22" s="953"/>
      <c r="ILC22" s="953"/>
      <c r="ILD22" s="953"/>
      <c r="ILE22" s="953"/>
      <c r="ILF22" s="953"/>
      <c r="ILG22" s="953"/>
      <c r="ILH22" s="953"/>
      <c r="ILI22" s="953"/>
      <c r="ILJ22" s="953"/>
      <c r="ILK22" s="953"/>
      <c r="ILL22" s="953"/>
      <c r="ILM22" s="953"/>
      <c r="ILN22" s="953"/>
      <c r="ILO22" s="953"/>
      <c r="ILP22" s="953"/>
      <c r="ILQ22" s="953"/>
      <c r="ILR22" s="953"/>
      <c r="ILS22" s="953"/>
      <c r="ILT22" s="953"/>
      <c r="ILU22" s="953"/>
      <c r="ILV22" s="953"/>
      <c r="ILW22" s="953"/>
      <c r="ILX22" s="953"/>
      <c r="ILY22" s="953"/>
      <c r="ILZ22" s="953"/>
      <c r="IMA22" s="953"/>
      <c r="IMB22" s="953"/>
      <c r="IMC22" s="953"/>
      <c r="IMD22" s="953"/>
      <c r="IME22" s="953"/>
      <c r="IMF22" s="953"/>
      <c r="IMG22" s="953"/>
      <c r="IMH22" s="953"/>
      <c r="IMI22" s="953"/>
      <c r="IMJ22" s="953"/>
      <c r="IMK22" s="953"/>
      <c r="IML22" s="953"/>
      <c r="IMM22" s="953"/>
      <c r="IMN22" s="953"/>
      <c r="IMO22" s="953"/>
      <c r="IMP22" s="953"/>
      <c r="IMQ22" s="953"/>
      <c r="IMR22" s="953"/>
      <c r="IMS22" s="953"/>
      <c r="IMT22" s="953"/>
      <c r="IMU22" s="953"/>
      <c r="IMV22" s="953"/>
      <c r="IMW22" s="953"/>
      <c r="IMX22" s="953"/>
      <c r="IMY22" s="953"/>
      <c r="IMZ22" s="953"/>
      <c r="INA22" s="953"/>
      <c r="INB22" s="953"/>
      <c r="INC22" s="953"/>
      <c r="IND22" s="953"/>
      <c r="INE22" s="953"/>
      <c r="INF22" s="953"/>
      <c r="ING22" s="953"/>
      <c r="INH22" s="953"/>
      <c r="INI22" s="953"/>
      <c r="INJ22" s="953"/>
      <c r="INK22" s="953"/>
      <c r="INL22" s="953"/>
      <c r="INM22" s="953"/>
      <c r="INN22" s="953"/>
      <c r="INO22" s="953"/>
      <c r="INP22" s="953"/>
      <c r="INQ22" s="953"/>
      <c r="INR22" s="953"/>
      <c r="INS22" s="953"/>
      <c r="INT22" s="953"/>
      <c r="INU22" s="953"/>
      <c r="INV22" s="953"/>
      <c r="INW22" s="953"/>
      <c r="INX22" s="953"/>
      <c r="INY22" s="953"/>
      <c r="INZ22" s="953"/>
      <c r="IOA22" s="953"/>
      <c r="IOB22" s="953"/>
      <c r="IOC22" s="953"/>
      <c r="IOD22" s="953"/>
      <c r="IOE22" s="953"/>
      <c r="IOF22" s="953"/>
      <c r="IOG22" s="953"/>
      <c r="IOH22" s="953"/>
      <c r="IOI22" s="953"/>
      <c r="IOJ22" s="953"/>
      <c r="IOK22" s="953"/>
      <c r="IOL22" s="953"/>
      <c r="IOM22" s="953"/>
      <c r="ION22" s="953"/>
      <c r="IOO22" s="953"/>
      <c r="IOP22" s="953"/>
      <c r="IOQ22" s="953"/>
      <c r="IOR22" s="953"/>
      <c r="IOS22" s="953"/>
      <c r="IOT22" s="953"/>
      <c r="IOU22" s="953"/>
      <c r="IOV22" s="953"/>
      <c r="IOW22" s="953"/>
      <c r="IOX22" s="953"/>
      <c r="IOY22" s="953"/>
      <c r="IOZ22" s="953"/>
      <c r="IPA22" s="953"/>
      <c r="IPB22" s="953"/>
      <c r="IPC22" s="953"/>
      <c r="IPD22" s="953"/>
      <c r="IPE22" s="953"/>
      <c r="IPF22" s="953"/>
      <c r="IPG22" s="953"/>
      <c r="IPH22" s="953"/>
      <c r="IPI22" s="953"/>
      <c r="IPJ22" s="953"/>
      <c r="IPK22" s="953"/>
      <c r="IPL22" s="953"/>
      <c r="IPM22" s="953"/>
      <c r="IPN22" s="953"/>
      <c r="IPO22" s="953"/>
      <c r="IPP22" s="953"/>
      <c r="IPQ22" s="953"/>
      <c r="IPR22" s="953"/>
      <c r="IPS22" s="953"/>
      <c r="IPT22" s="953"/>
      <c r="IPU22" s="953"/>
      <c r="IPV22" s="953"/>
      <c r="IPW22" s="953"/>
      <c r="IPX22" s="953"/>
      <c r="IPY22" s="953"/>
      <c r="IPZ22" s="953"/>
      <c r="IQA22" s="953"/>
      <c r="IQB22" s="953"/>
      <c r="IQC22" s="953"/>
      <c r="IQD22" s="953"/>
      <c r="IQE22" s="953"/>
      <c r="IQF22" s="953"/>
      <c r="IQG22" s="953"/>
      <c r="IQH22" s="953"/>
      <c r="IQI22" s="953"/>
      <c r="IQJ22" s="953"/>
      <c r="IQK22" s="953"/>
      <c r="IQL22" s="953"/>
      <c r="IQM22" s="953"/>
      <c r="IQN22" s="953"/>
      <c r="IQO22" s="953"/>
      <c r="IQP22" s="953"/>
      <c r="IQQ22" s="953"/>
      <c r="IQR22" s="953"/>
      <c r="IQS22" s="953"/>
      <c r="IQT22" s="953"/>
      <c r="IQU22" s="953"/>
      <c r="IQV22" s="953"/>
      <c r="IQW22" s="953"/>
      <c r="IQX22" s="953"/>
      <c r="IQY22" s="953"/>
      <c r="IQZ22" s="953"/>
      <c r="IRA22" s="953"/>
      <c r="IRB22" s="953"/>
      <c r="IRC22" s="953"/>
      <c r="IRD22" s="953"/>
      <c r="IRE22" s="953"/>
      <c r="IRF22" s="953"/>
      <c r="IRG22" s="953"/>
      <c r="IRH22" s="953"/>
      <c r="IRI22" s="953"/>
      <c r="IRJ22" s="953"/>
      <c r="IRK22" s="953"/>
      <c r="IRL22" s="953"/>
      <c r="IRM22" s="953"/>
      <c r="IRN22" s="953"/>
      <c r="IRO22" s="953"/>
      <c r="IRP22" s="953"/>
      <c r="IRQ22" s="953"/>
      <c r="IRR22" s="953"/>
      <c r="IRS22" s="953"/>
      <c r="IRT22" s="953"/>
      <c r="IRU22" s="953"/>
      <c r="IRV22" s="953"/>
      <c r="IRW22" s="953"/>
      <c r="IRX22" s="953"/>
      <c r="IRY22" s="953"/>
      <c r="IRZ22" s="953"/>
      <c r="ISA22" s="953"/>
      <c r="ISB22" s="953"/>
      <c r="ISC22" s="953"/>
      <c r="ISD22" s="953"/>
      <c r="ISE22" s="953"/>
      <c r="ISF22" s="953"/>
      <c r="ISG22" s="953"/>
      <c r="ISH22" s="953"/>
      <c r="ISI22" s="953"/>
      <c r="ISJ22" s="953"/>
      <c r="ISK22" s="953"/>
      <c r="ISL22" s="953"/>
      <c r="ISM22" s="953"/>
      <c r="ISN22" s="953"/>
      <c r="ISO22" s="953"/>
      <c r="ISP22" s="953"/>
      <c r="ISQ22" s="953"/>
      <c r="ISR22" s="953"/>
      <c r="ISS22" s="953"/>
      <c r="IST22" s="953"/>
      <c r="ISU22" s="953"/>
      <c r="ISV22" s="953"/>
      <c r="ISW22" s="953"/>
      <c r="ISX22" s="953"/>
      <c r="ISY22" s="953"/>
      <c r="ISZ22" s="953"/>
      <c r="ITA22" s="953"/>
      <c r="ITB22" s="953"/>
      <c r="ITC22" s="953"/>
      <c r="ITD22" s="953"/>
      <c r="ITE22" s="953"/>
      <c r="ITF22" s="953"/>
      <c r="ITG22" s="953"/>
      <c r="ITH22" s="953"/>
      <c r="ITI22" s="953"/>
      <c r="ITJ22" s="953"/>
      <c r="ITK22" s="953"/>
      <c r="ITL22" s="953"/>
      <c r="ITM22" s="953"/>
      <c r="ITN22" s="953"/>
      <c r="ITO22" s="953"/>
      <c r="ITP22" s="953"/>
      <c r="ITQ22" s="953"/>
      <c r="ITR22" s="953"/>
      <c r="ITS22" s="953"/>
      <c r="ITT22" s="953"/>
      <c r="ITU22" s="953"/>
      <c r="ITV22" s="953"/>
      <c r="ITW22" s="953"/>
      <c r="ITX22" s="953"/>
      <c r="ITY22" s="953"/>
      <c r="ITZ22" s="953"/>
      <c r="IUA22" s="953"/>
      <c r="IUB22" s="953"/>
      <c r="IUC22" s="953"/>
      <c r="IUD22" s="953"/>
      <c r="IUE22" s="953"/>
      <c r="IUF22" s="953"/>
      <c r="IUG22" s="953"/>
      <c r="IUH22" s="953"/>
      <c r="IUI22" s="953"/>
      <c r="IUJ22" s="953"/>
      <c r="IUK22" s="953"/>
      <c r="IUL22" s="953"/>
      <c r="IUM22" s="953"/>
      <c r="IUN22" s="953"/>
      <c r="IUO22" s="953"/>
      <c r="IUP22" s="953"/>
      <c r="IUQ22" s="953"/>
      <c r="IUR22" s="953"/>
      <c r="IUS22" s="953"/>
      <c r="IUT22" s="953"/>
      <c r="IUU22" s="953"/>
      <c r="IUV22" s="953"/>
      <c r="IUW22" s="953"/>
      <c r="IUX22" s="953"/>
      <c r="IUY22" s="953"/>
      <c r="IUZ22" s="953"/>
      <c r="IVA22" s="953"/>
      <c r="IVB22" s="953"/>
      <c r="IVC22" s="953"/>
      <c r="IVD22" s="953"/>
      <c r="IVE22" s="953"/>
      <c r="IVF22" s="953"/>
      <c r="IVG22" s="953"/>
      <c r="IVH22" s="953"/>
      <c r="IVI22" s="953"/>
      <c r="IVJ22" s="953"/>
      <c r="IVK22" s="953"/>
      <c r="IVL22" s="953"/>
      <c r="IVM22" s="953"/>
      <c r="IVN22" s="953"/>
      <c r="IVO22" s="953"/>
      <c r="IVP22" s="953"/>
      <c r="IVQ22" s="953"/>
      <c r="IVR22" s="953"/>
      <c r="IVS22" s="953"/>
      <c r="IVT22" s="953"/>
      <c r="IVU22" s="953"/>
      <c r="IVV22" s="953"/>
      <c r="IVW22" s="953"/>
      <c r="IVX22" s="953"/>
      <c r="IVY22" s="953"/>
      <c r="IVZ22" s="953"/>
      <c r="IWA22" s="953"/>
      <c r="IWB22" s="953"/>
      <c r="IWC22" s="953"/>
      <c r="IWD22" s="953"/>
      <c r="IWE22" s="953"/>
      <c r="IWF22" s="953"/>
      <c r="IWG22" s="953"/>
      <c r="IWH22" s="953"/>
      <c r="IWI22" s="953"/>
      <c r="IWJ22" s="953"/>
      <c r="IWK22" s="953"/>
      <c r="IWL22" s="953"/>
      <c r="IWM22" s="953"/>
      <c r="IWN22" s="953"/>
      <c r="IWO22" s="953"/>
      <c r="IWP22" s="953"/>
      <c r="IWQ22" s="953"/>
      <c r="IWR22" s="953"/>
      <c r="IWS22" s="953"/>
      <c r="IWT22" s="953"/>
      <c r="IWU22" s="953"/>
      <c r="IWV22" s="953"/>
      <c r="IWW22" s="953"/>
      <c r="IWX22" s="953"/>
      <c r="IWY22" s="953"/>
      <c r="IWZ22" s="953"/>
      <c r="IXA22" s="953"/>
      <c r="IXB22" s="953"/>
      <c r="IXC22" s="953"/>
      <c r="IXD22" s="953"/>
      <c r="IXE22" s="953"/>
      <c r="IXF22" s="953"/>
      <c r="IXG22" s="953"/>
      <c r="IXH22" s="953"/>
      <c r="IXI22" s="953"/>
      <c r="IXJ22" s="953"/>
      <c r="IXK22" s="953"/>
      <c r="IXL22" s="953"/>
      <c r="IXM22" s="953"/>
      <c r="IXN22" s="953"/>
      <c r="IXO22" s="953"/>
      <c r="IXP22" s="953"/>
      <c r="IXQ22" s="953"/>
      <c r="IXR22" s="953"/>
      <c r="IXS22" s="953"/>
      <c r="IXT22" s="953"/>
      <c r="IXU22" s="953"/>
      <c r="IXV22" s="953"/>
      <c r="IXW22" s="953"/>
      <c r="IXX22" s="953"/>
      <c r="IXY22" s="953"/>
      <c r="IXZ22" s="953"/>
      <c r="IYA22" s="953"/>
      <c r="IYB22" s="953"/>
      <c r="IYC22" s="953"/>
      <c r="IYD22" s="953"/>
      <c r="IYE22" s="953"/>
      <c r="IYF22" s="953"/>
      <c r="IYG22" s="953"/>
      <c r="IYH22" s="953"/>
      <c r="IYI22" s="953"/>
      <c r="IYJ22" s="953"/>
      <c r="IYK22" s="953"/>
      <c r="IYL22" s="953"/>
      <c r="IYM22" s="953"/>
      <c r="IYN22" s="953"/>
      <c r="IYO22" s="953"/>
      <c r="IYP22" s="953"/>
      <c r="IYQ22" s="953"/>
      <c r="IYR22" s="953"/>
      <c r="IYS22" s="953"/>
      <c r="IYT22" s="953"/>
      <c r="IYU22" s="953"/>
      <c r="IYV22" s="953"/>
      <c r="IYW22" s="953"/>
      <c r="IYX22" s="953"/>
      <c r="IYY22" s="953"/>
      <c r="IYZ22" s="953"/>
      <c r="IZA22" s="953"/>
      <c r="IZB22" s="953"/>
      <c r="IZC22" s="953"/>
      <c r="IZD22" s="953"/>
      <c r="IZE22" s="953"/>
      <c r="IZF22" s="953"/>
      <c r="IZG22" s="953"/>
      <c r="IZH22" s="953"/>
      <c r="IZI22" s="953"/>
      <c r="IZJ22" s="953"/>
      <c r="IZK22" s="953"/>
      <c r="IZL22" s="953"/>
      <c r="IZM22" s="953"/>
      <c r="IZN22" s="953"/>
      <c r="IZO22" s="953"/>
      <c r="IZP22" s="953"/>
      <c r="IZQ22" s="953"/>
      <c r="IZR22" s="953"/>
      <c r="IZS22" s="953"/>
      <c r="IZT22" s="953"/>
      <c r="IZU22" s="953"/>
      <c r="IZV22" s="953"/>
      <c r="IZW22" s="953"/>
      <c r="IZX22" s="953"/>
      <c r="IZY22" s="953"/>
      <c r="IZZ22" s="953"/>
      <c r="JAA22" s="953"/>
      <c r="JAB22" s="953"/>
      <c r="JAC22" s="953"/>
      <c r="JAD22" s="953"/>
      <c r="JAE22" s="953"/>
      <c r="JAF22" s="953"/>
      <c r="JAG22" s="953"/>
      <c r="JAH22" s="953"/>
      <c r="JAI22" s="953"/>
      <c r="JAJ22" s="953"/>
      <c r="JAK22" s="953"/>
      <c r="JAL22" s="953"/>
      <c r="JAM22" s="953"/>
      <c r="JAN22" s="953"/>
      <c r="JAO22" s="953"/>
      <c r="JAP22" s="953"/>
      <c r="JAQ22" s="953"/>
      <c r="JAR22" s="953"/>
      <c r="JAS22" s="953"/>
      <c r="JAT22" s="953"/>
      <c r="JAU22" s="953"/>
      <c r="JAV22" s="953"/>
      <c r="JAW22" s="953"/>
      <c r="JAX22" s="953"/>
      <c r="JAY22" s="953"/>
      <c r="JAZ22" s="953"/>
      <c r="JBA22" s="953"/>
      <c r="JBB22" s="953"/>
      <c r="JBC22" s="953"/>
      <c r="JBD22" s="953"/>
      <c r="JBE22" s="953"/>
      <c r="JBF22" s="953"/>
      <c r="JBG22" s="953"/>
      <c r="JBH22" s="953"/>
      <c r="JBI22" s="953"/>
      <c r="JBJ22" s="953"/>
      <c r="JBK22" s="953"/>
      <c r="JBL22" s="953"/>
      <c r="JBM22" s="953"/>
      <c r="JBN22" s="953"/>
      <c r="JBO22" s="953"/>
      <c r="JBP22" s="953"/>
      <c r="JBQ22" s="953"/>
      <c r="JBR22" s="953"/>
      <c r="JBS22" s="953"/>
      <c r="JBT22" s="953"/>
      <c r="JBU22" s="953"/>
      <c r="JBV22" s="953"/>
      <c r="JBW22" s="953"/>
      <c r="JBX22" s="953"/>
      <c r="JBY22" s="953"/>
      <c r="JBZ22" s="953"/>
      <c r="JCA22" s="953"/>
      <c r="JCB22" s="953"/>
      <c r="JCC22" s="953"/>
      <c r="JCD22" s="953"/>
      <c r="JCE22" s="953"/>
      <c r="JCF22" s="953"/>
      <c r="JCG22" s="953"/>
      <c r="JCH22" s="953"/>
      <c r="JCI22" s="953"/>
      <c r="JCJ22" s="953"/>
      <c r="JCK22" s="953"/>
      <c r="JCL22" s="953"/>
      <c r="JCM22" s="953"/>
      <c r="JCN22" s="953"/>
      <c r="JCO22" s="953"/>
      <c r="JCP22" s="953"/>
      <c r="JCQ22" s="953"/>
      <c r="JCR22" s="953"/>
      <c r="JCS22" s="953"/>
      <c r="JCT22" s="953"/>
      <c r="JCU22" s="953"/>
      <c r="JCV22" s="953"/>
      <c r="JCW22" s="953"/>
      <c r="JCX22" s="953"/>
      <c r="JCY22" s="953"/>
      <c r="JCZ22" s="953"/>
      <c r="JDA22" s="953"/>
      <c r="JDB22" s="953"/>
      <c r="JDC22" s="953"/>
      <c r="JDD22" s="953"/>
      <c r="JDE22" s="953"/>
      <c r="JDF22" s="953"/>
      <c r="JDG22" s="953"/>
      <c r="JDH22" s="953"/>
      <c r="JDI22" s="953"/>
      <c r="JDJ22" s="953"/>
      <c r="JDK22" s="953"/>
      <c r="JDL22" s="953"/>
      <c r="JDM22" s="953"/>
      <c r="JDN22" s="953"/>
      <c r="JDO22" s="953"/>
      <c r="JDP22" s="953"/>
      <c r="JDQ22" s="953"/>
      <c r="JDR22" s="953"/>
      <c r="JDS22" s="953"/>
      <c r="JDT22" s="953"/>
      <c r="JDU22" s="953"/>
      <c r="JDV22" s="953"/>
      <c r="JDW22" s="953"/>
      <c r="JDX22" s="953"/>
      <c r="JDY22" s="953"/>
      <c r="JDZ22" s="953"/>
      <c r="JEA22" s="953"/>
      <c r="JEB22" s="953"/>
      <c r="JEC22" s="953"/>
      <c r="JED22" s="953"/>
      <c r="JEE22" s="953"/>
      <c r="JEF22" s="953"/>
      <c r="JEG22" s="953"/>
      <c r="JEH22" s="953"/>
      <c r="JEI22" s="953"/>
      <c r="JEJ22" s="953"/>
      <c r="JEK22" s="953"/>
      <c r="JEL22" s="953"/>
      <c r="JEM22" s="953"/>
      <c r="JEN22" s="953"/>
      <c r="JEO22" s="953"/>
      <c r="JEP22" s="953"/>
      <c r="JEQ22" s="953"/>
      <c r="JER22" s="953"/>
      <c r="JES22" s="953"/>
      <c r="JET22" s="953"/>
      <c r="JEU22" s="953"/>
      <c r="JEV22" s="953"/>
      <c r="JEW22" s="953"/>
      <c r="JEX22" s="953"/>
      <c r="JEY22" s="953"/>
      <c r="JEZ22" s="953"/>
      <c r="JFA22" s="953"/>
      <c r="JFB22" s="953"/>
      <c r="JFC22" s="953"/>
      <c r="JFD22" s="953"/>
      <c r="JFE22" s="953"/>
      <c r="JFF22" s="953"/>
      <c r="JFG22" s="953"/>
      <c r="JFH22" s="953"/>
      <c r="JFI22" s="953"/>
      <c r="JFJ22" s="953"/>
      <c r="JFK22" s="953"/>
      <c r="JFL22" s="953"/>
      <c r="JFM22" s="953"/>
      <c r="JFN22" s="953"/>
      <c r="JFO22" s="953"/>
      <c r="JFP22" s="953"/>
      <c r="JFQ22" s="953"/>
      <c r="JFR22" s="953"/>
      <c r="JFS22" s="953"/>
      <c r="JFT22" s="953"/>
      <c r="JFU22" s="953"/>
      <c r="JFV22" s="953"/>
      <c r="JFW22" s="953"/>
      <c r="JFX22" s="953"/>
      <c r="JFY22" s="953"/>
      <c r="JFZ22" s="953"/>
      <c r="JGA22" s="953"/>
      <c r="JGB22" s="953"/>
      <c r="JGC22" s="953"/>
      <c r="JGD22" s="953"/>
      <c r="JGE22" s="953"/>
      <c r="JGF22" s="953"/>
      <c r="JGG22" s="953"/>
      <c r="JGH22" s="953"/>
      <c r="JGI22" s="953"/>
      <c r="JGJ22" s="953"/>
      <c r="JGK22" s="953"/>
      <c r="JGL22" s="953"/>
      <c r="JGM22" s="953"/>
      <c r="JGN22" s="953"/>
      <c r="JGO22" s="953"/>
      <c r="JGP22" s="953"/>
      <c r="JGQ22" s="953"/>
      <c r="JGR22" s="953"/>
      <c r="JGS22" s="953"/>
      <c r="JGT22" s="953"/>
      <c r="JGU22" s="953"/>
      <c r="JGV22" s="953"/>
      <c r="JGW22" s="953"/>
      <c r="JGX22" s="953"/>
      <c r="JGY22" s="953"/>
      <c r="JGZ22" s="953"/>
      <c r="JHA22" s="953"/>
      <c r="JHB22" s="953"/>
      <c r="JHC22" s="953"/>
      <c r="JHD22" s="953"/>
      <c r="JHE22" s="953"/>
      <c r="JHF22" s="953"/>
      <c r="JHG22" s="953"/>
      <c r="JHH22" s="953"/>
      <c r="JHI22" s="953"/>
      <c r="JHJ22" s="953"/>
      <c r="JHK22" s="953"/>
      <c r="JHL22" s="953"/>
      <c r="JHM22" s="953"/>
      <c r="JHN22" s="953"/>
      <c r="JHO22" s="953"/>
      <c r="JHP22" s="953"/>
      <c r="JHQ22" s="953"/>
      <c r="JHR22" s="953"/>
      <c r="JHS22" s="953"/>
      <c r="JHT22" s="953"/>
      <c r="JHU22" s="953"/>
      <c r="JHV22" s="953"/>
      <c r="JHW22" s="953"/>
      <c r="JHX22" s="953"/>
      <c r="JHY22" s="953"/>
      <c r="JHZ22" s="953"/>
      <c r="JIA22" s="953"/>
      <c r="JIB22" s="953"/>
      <c r="JIC22" s="953"/>
      <c r="JID22" s="953"/>
      <c r="JIE22" s="953"/>
      <c r="JIF22" s="953"/>
      <c r="JIG22" s="953"/>
      <c r="JIH22" s="953"/>
      <c r="JII22" s="953"/>
      <c r="JIJ22" s="953"/>
      <c r="JIK22" s="953"/>
      <c r="JIL22" s="953"/>
      <c r="JIM22" s="953"/>
      <c r="JIN22" s="953"/>
      <c r="JIO22" s="953"/>
      <c r="JIP22" s="953"/>
      <c r="JIQ22" s="953"/>
      <c r="JIR22" s="953"/>
      <c r="JIS22" s="953"/>
      <c r="JIT22" s="953"/>
      <c r="JIU22" s="953"/>
      <c r="JIV22" s="953"/>
      <c r="JIW22" s="953"/>
      <c r="JIX22" s="953"/>
      <c r="JIY22" s="953"/>
      <c r="JIZ22" s="953"/>
      <c r="JJA22" s="953"/>
      <c r="JJB22" s="953"/>
      <c r="JJC22" s="953"/>
      <c r="JJD22" s="953"/>
      <c r="JJE22" s="953"/>
      <c r="JJF22" s="953"/>
      <c r="JJG22" s="953"/>
      <c r="JJH22" s="953"/>
      <c r="JJI22" s="953"/>
      <c r="JJJ22" s="953"/>
      <c r="JJK22" s="953"/>
      <c r="JJL22" s="953"/>
      <c r="JJM22" s="953"/>
      <c r="JJN22" s="953"/>
      <c r="JJO22" s="953"/>
      <c r="JJP22" s="953"/>
      <c r="JJQ22" s="953"/>
      <c r="JJR22" s="953"/>
      <c r="JJS22" s="953"/>
      <c r="JJT22" s="953"/>
      <c r="JJU22" s="953"/>
      <c r="JJV22" s="953"/>
      <c r="JJW22" s="953"/>
      <c r="JJX22" s="953"/>
      <c r="JJY22" s="953"/>
      <c r="JJZ22" s="953"/>
      <c r="JKA22" s="953"/>
      <c r="JKB22" s="953"/>
      <c r="JKC22" s="953"/>
      <c r="JKD22" s="953"/>
      <c r="JKE22" s="953"/>
      <c r="JKF22" s="953"/>
      <c r="JKG22" s="953"/>
      <c r="JKH22" s="953"/>
      <c r="JKI22" s="953"/>
      <c r="JKJ22" s="953"/>
      <c r="JKK22" s="953"/>
      <c r="JKL22" s="953"/>
      <c r="JKM22" s="953"/>
      <c r="JKN22" s="953"/>
      <c r="JKO22" s="953"/>
      <c r="JKP22" s="953"/>
      <c r="JKQ22" s="953"/>
      <c r="JKR22" s="953"/>
      <c r="JKS22" s="953"/>
      <c r="JKT22" s="953"/>
      <c r="JKU22" s="953"/>
      <c r="JKV22" s="953"/>
      <c r="JKW22" s="953"/>
      <c r="JKX22" s="953"/>
      <c r="JKY22" s="953"/>
      <c r="JKZ22" s="953"/>
      <c r="JLA22" s="953"/>
      <c r="JLB22" s="953"/>
      <c r="JLC22" s="953"/>
      <c r="JLD22" s="953"/>
      <c r="JLE22" s="953"/>
      <c r="JLF22" s="953"/>
      <c r="JLG22" s="953"/>
      <c r="JLH22" s="953"/>
      <c r="JLI22" s="953"/>
      <c r="JLJ22" s="953"/>
      <c r="JLK22" s="953"/>
      <c r="JLL22" s="953"/>
      <c r="JLM22" s="953"/>
      <c r="JLN22" s="953"/>
      <c r="JLO22" s="953"/>
      <c r="JLP22" s="953"/>
      <c r="JLQ22" s="953"/>
      <c r="JLR22" s="953"/>
      <c r="JLS22" s="953"/>
      <c r="JLT22" s="953"/>
      <c r="JLU22" s="953"/>
      <c r="JLV22" s="953"/>
      <c r="JLW22" s="953"/>
      <c r="JLX22" s="953"/>
      <c r="JLY22" s="953"/>
      <c r="JLZ22" s="953"/>
      <c r="JMA22" s="953"/>
      <c r="JMB22" s="953"/>
      <c r="JMC22" s="953"/>
      <c r="JMD22" s="953"/>
      <c r="JME22" s="953"/>
      <c r="JMF22" s="953"/>
      <c r="JMG22" s="953"/>
      <c r="JMH22" s="953"/>
      <c r="JMI22" s="953"/>
      <c r="JMJ22" s="953"/>
      <c r="JMK22" s="953"/>
      <c r="JML22" s="953"/>
      <c r="JMM22" s="953"/>
      <c r="JMN22" s="953"/>
      <c r="JMO22" s="953"/>
      <c r="JMP22" s="953"/>
      <c r="JMQ22" s="953"/>
      <c r="JMR22" s="953"/>
      <c r="JMS22" s="953"/>
      <c r="JMT22" s="953"/>
      <c r="JMU22" s="953"/>
      <c r="JMV22" s="953"/>
      <c r="JMW22" s="953"/>
      <c r="JMX22" s="953"/>
      <c r="JMY22" s="953"/>
      <c r="JMZ22" s="953"/>
      <c r="JNA22" s="953"/>
      <c r="JNB22" s="953"/>
      <c r="JNC22" s="953"/>
      <c r="JND22" s="953"/>
      <c r="JNE22" s="953"/>
      <c r="JNF22" s="953"/>
      <c r="JNG22" s="953"/>
      <c r="JNH22" s="953"/>
      <c r="JNI22" s="953"/>
      <c r="JNJ22" s="953"/>
      <c r="JNK22" s="953"/>
      <c r="JNL22" s="953"/>
      <c r="JNM22" s="953"/>
      <c r="JNN22" s="953"/>
      <c r="JNO22" s="953"/>
      <c r="JNP22" s="953"/>
      <c r="JNQ22" s="953"/>
      <c r="JNR22" s="953"/>
      <c r="JNS22" s="953"/>
      <c r="JNT22" s="953"/>
      <c r="JNU22" s="953"/>
      <c r="JNV22" s="953"/>
      <c r="JNW22" s="953"/>
      <c r="JNX22" s="953"/>
      <c r="JNY22" s="953"/>
      <c r="JNZ22" s="953"/>
      <c r="JOA22" s="953"/>
      <c r="JOB22" s="953"/>
      <c r="JOC22" s="953"/>
      <c r="JOD22" s="953"/>
      <c r="JOE22" s="953"/>
      <c r="JOF22" s="953"/>
      <c r="JOG22" s="953"/>
      <c r="JOH22" s="953"/>
      <c r="JOI22" s="953"/>
      <c r="JOJ22" s="953"/>
      <c r="JOK22" s="953"/>
      <c r="JOL22" s="953"/>
      <c r="JOM22" s="953"/>
      <c r="JON22" s="953"/>
      <c r="JOO22" s="953"/>
      <c r="JOP22" s="953"/>
      <c r="JOQ22" s="953"/>
      <c r="JOR22" s="953"/>
      <c r="JOS22" s="953"/>
      <c r="JOT22" s="953"/>
      <c r="JOU22" s="953"/>
      <c r="JOV22" s="953"/>
      <c r="JOW22" s="953"/>
      <c r="JOX22" s="953"/>
      <c r="JOY22" s="953"/>
      <c r="JOZ22" s="953"/>
      <c r="JPA22" s="953"/>
      <c r="JPB22" s="953"/>
      <c r="JPC22" s="953"/>
      <c r="JPD22" s="953"/>
      <c r="JPE22" s="953"/>
      <c r="JPF22" s="953"/>
      <c r="JPG22" s="953"/>
      <c r="JPH22" s="953"/>
      <c r="JPI22" s="953"/>
      <c r="JPJ22" s="953"/>
      <c r="JPK22" s="953"/>
      <c r="JPL22" s="953"/>
      <c r="JPM22" s="953"/>
      <c r="JPN22" s="953"/>
      <c r="JPO22" s="953"/>
      <c r="JPP22" s="953"/>
      <c r="JPQ22" s="953"/>
      <c r="JPR22" s="953"/>
      <c r="JPS22" s="953"/>
      <c r="JPT22" s="953"/>
      <c r="JPU22" s="953"/>
      <c r="JPV22" s="953"/>
      <c r="JPW22" s="953"/>
      <c r="JPX22" s="953"/>
      <c r="JPY22" s="953"/>
      <c r="JPZ22" s="953"/>
      <c r="JQA22" s="953"/>
      <c r="JQB22" s="953"/>
      <c r="JQC22" s="953"/>
      <c r="JQD22" s="953"/>
      <c r="JQE22" s="953"/>
      <c r="JQF22" s="953"/>
      <c r="JQG22" s="953"/>
      <c r="JQH22" s="953"/>
      <c r="JQI22" s="953"/>
      <c r="JQJ22" s="953"/>
      <c r="JQK22" s="953"/>
      <c r="JQL22" s="953"/>
      <c r="JQM22" s="953"/>
      <c r="JQN22" s="953"/>
      <c r="JQO22" s="953"/>
      <c r="JQP22" s="953"/>
      <c r="JQQ22" s="953"/>
      <c r="JQR22" s="953"/>
      <c r="JQS22" s="953"/>
      <c r="JQT22" s="953"/>
      <c r="JQU22" s="953"/>
      <c r="JQV22" s="953"/>
      <c r="JQW22" s="953"/>
      <c r="JQX22" s="953"/>
      <c r="JQY22" s="953"/>
      <c r="JQZ22" s="953"/>
      <c r="JRA22" s="953"/>
      <c r="JRB22" s="953"/>
      <c r="JRC22" s="953"/>
      <c r="JRD22" s="953"/>
      <c r="JRE22" s="953"/>
      <c r="JRF22" s="953"/>
      <c r="JRG22" s="953"/>
      <c r="JRH22" s="953"/>
      <c r="JRI22" s="953"/>
      <c r="JRJ22" s="953"/>
      <c r="JRK22" s="953"/>
      <c r="JRL22" s="953"/>
      <c r="JRM22" s="953"/>
      <c r="JRN22" s="953"/>
      <c r="JRO22" s="953"/>
      <c r="JRP22" s="953"/>
      <c r="JRQ22" s="953"/>
      <c r="JRR22" s="953"/>
      <c r="JRS22" s="953"/>
      <c r="JRT22" s="953"/>
      <c r="JRU22" s="953"/>
      <c r="JRV22" s="953"/>
      <c r="JRW22" s="953"/>
      <c r="JRX22" s="953"/>
      <c r="JRY22" s="953"/>
      <c r="JRZ22" s="953"/>
      <c r="JSA22" s="953"/>
      <c r="JSB22" s="953"/>
      <c r="JSC22" s="953"/>
      <c r="JSD22" s="953"/>
      <c r="JSE22" s="953"/>
      <c r="JSF22" s="953"/>
      <c r="JSG22" s="953"/>
      <c r="JSH22" s="953"/>
      <c r="JSI22" s="953"/>
      <c r="JSJ22" s="953"/>
      <c r="JSK22" s="953"/>
      <c r="JSL22" s="953"/>
      <c r="JSM22" s="953"/>
      <c r="JSN22" s="953"/>
      <c r="JSO22" s="953"/>
      <c r="JSP22" s="953"/>
      <c r="JSQ22" s="953"/>
      <c r="JSR22" s="953"/>
      <c r="JSS22" s="953"/>
      <c r="JST22" s="953"/>
      <c r="JSU22" s="953"/>
      <c r="JSV22" s="953"/>
      <c r="JSW22" s="953"/>
      <c r="JSX22" s="953"/>
      <c r="JSY22" s="953"/>
      <c r="JSZ22" s="953"/>
      <c r="JTA22" s="953"/>
      <c r="JTB22" s="953"/>
      <c r="JTC22" s="953"/>
      <c r="JTD22" s="953"/>
      <c r="JTE22" s="953"/>
      <c r="JTF22" s="953"/>
      <c r="JTG22" s="953"/>
      <c r="JTH22" s="953"/>
      <c r="JTI22" s="953"/>
      <c r="JTJ22" s="953"/>
      <c r="JTK22" s="953"/>
      <c r="JTL22" s="953"/>
      <c r="JTM22" s="953"/>
      <c r="JTN22" s="953"/>
      <c r="JTO22" s="953"/>
      <c r="JTP22" s="953"/>
      <c r="JTQ22" s="953"/>
      <c r="JTR22" s="953"/>
      <c r="JTS22" s="953"/>
      <c r="JTT22" s="953"/>
      <c r="JTU22" s="953"/>
      <c r="JTV22" s="953"/>
      <c r="JTW22" s="953"/>
      <c r="JTX22" s="953"/>
      <c r="JTY22" s="953"/>
      <c r="JTZ22" s="953"/>
      <c r="JUA22" s="953"/>
      <c r="JUB22" s="953"/>
      <c r="JUC22" s="953"/>
      <c r="JUD22" s="953"/>
      <c r="JUE22" s="953"/>
      <c r="JUF22" s="953"/>
      <c r="JUG22" s="953"/>
      <c r="JUH22" s="953"/>
      <c r="JUI22" s="953"/>
      <c r="JUJ22" s="953"/>
      <c r="JUK22" s="953"/>
      <c r="JUL22" s="953"/>
      <c r="JUM22" s="953"/>
      <c r="JUN22" s="953"/>
      <c r="JUO22" s="953"/>
      <c r="JUP22" s="953"/>
      <c r="JUQ22" s="953"/>
      <c r="JUR22" s="953"/>
      <c r="JUS22" s="953"/>
      <c r="JUT22" s="953"/>
      <c r="JUU22" s="953"/>
      <c r="JUV22" s="953"/>
      <c r="JUW22" s="953"/>
      <c r="JUX22" s="953"/>
      <c r="JUY22" s="953"/>
      <c r="JUZ22" s="953"/>
      <c r="JVA22" s="953"/>
      <c r="JVB22" s="953"/>
      <c r="JVC22" s="953"/>
      <c r="JVD22" s="953"/>
      <c r="JVE22" s="953"/>
      <c r="JVF22" s="953"/>
      <c r="JVG22" s="953"/>
      <c r="JVH22" s="953"/>
      <c r="JVI22" s="953"/>
      <c r="JVJ22" s="953"/>
      <c r="JVK22" s="953"/>
      <c r="JVL22" s="953"/>
      <c r="JVM22" s="953"/>
      <c r="JVN22" s="953"/>
      <c r="JVO22" s="953"/>
      <c r="JVP22" s="953"/>
      <c r="JVQ22" s="953"/>
      <c r="JVR22" s="953"/>
      <c r="JVS22" s="953"/>
      <c r="JVT22" s="953"/>
      <c r="JVU22" s="953"/>
      <c r="JVV22" s="953"/>
      <c r="JVW22" s="953"/>
      <c r="JVX22" s="953"/>
      <c r="JVY22" s="953"/>
      <c r="JVZ22" s="953"/>
      <c r="JWA22" s="953"/>
      <c r="JWB22" s="953"/>
      <c r="JWC22" s="953"/>
      <c r="JWD22" s="953"/>
      <c r="JWE22" s="953"/>
      <c r="JWF22" s="953"/>
      <c r="JWG22" s="953"/>
      <c r="JWH22" s="953"/>
      <c r="JWI22" s="953"/>
      <c r="JWJ22" s="953"/>
      <c r="JWK22" s="953"/>
      <c r="JWL22" s="953"/>
      <c r="JWM22" s="953"/>
      <c r="JWN22" s="953"/>
      <c r="JWO22" s="953"/>
      <c r="JWP22" s="953"/>
      <c r="JWQ22" s="953"/>
      <c r="JWR22" s="953"/>
      <c r="JWS22" s="953"/>
      <c r="JWT22" s="953"/>
      <c r="JWU22" s="953"/>
      <c r="JWV22" s="953"/>
      <c r="JWW22" s="953"/>
      <c r="JWX22" s="953"/>
      <c r="JWY22" s="953"/>
      <c r="JWZ22" s="953"/>
      <c r="JXA22" s="953"/>
      <c r="JXB22" s="953"/>
      <c r="JXC22" s="953"/>
      <c r="JXD22" s="953"/>
      <c r="JXE22" s="953"/>
      <c r="JXF22" s="953"/>
      <c r="JXG22" s="953"/>
      <c r="JXH22" s="953"/>
      <c r="JXI22" s="953"/>
      <c r="JXJ22" s="953"/>
      <c r="JXK22" s="953"/>
      <c r="JXL22" s="953"/>
      <c r="JXM22" s="953"/>
      <c r="JXN22" s="953"/>
      <c r="JXO22" s="953"/>
      <c r="JXP22" s="953"/>
      <c r="JXQ22" s="953"/>
      <c r="JXR22" s="953"/>
      <c r="JXS22" s="953"/>
      <c r="JXT22" s="953"/>
      <c r="JXU22" s="953"/>
      <c r="JXV22" s="953"/>
      <c r="JXW22" s="953"/>
      <c r="JXX22" s="953"/>
      <c r="JXY22" s="953"/>
      <c r="JXZ22" s="953"/>
      <c r="JYA22" s="953"/>
      <c r="JYB22" s="953"/>
      <c r="JYC22" s="953"/>
      <c r="JYD22" s="953"/>
      <c r="JYE22" s="953"/>
      <c r="JYF22" s="953"/>
      <c r="JYG22" s="953"/>
      <c r="JYH22" s="953"/>
      <c r="JYI22" s="953"/>
      <c r="JYJ22" s="953"/>
      <c r="JYK22" s="953"/>
      <c r="JYL22" s="953"/>
      <c r="JYM22" s="953"/>
      <c r="JYN22" s="953"/>
      <c r="JYO22" s="953"/>
      <c r="JYP22" s="953"/>
      <c r="JYQ22" s="953"/>
      <c r="JYR22" s="953"/>
      <c r="JYS22" s="953"/>
      <c r="JYT22" s="953"/>
      <c r="JYU22" s="953"/>
      <c r="JYV22" s="953"/>
      <c r="JYW22" s="953"/>
      <c r="JYX22" s="953"/>
      <c r="JYY22" s="953"/>
      <c r="JYZ22" s="953"/>
      <c r="JZA22" s="953"/>
      <c r="JZB22" s="953"/>
      <c r="JZC22" s="953"/>
      <c r="JZD22" s="953"/>
      <c r="JZE22" s="953"/>
      <c r="JZF22" s="953"/>
      <c r="JZG22" s="953"/>
      <c r="JZH22" s="953"/>
      <c r="JZI22" s="953"/>
      <c r="JZJ22" s="953"/>
      <c r="JZK22" s="953"/>
      <c r="JZL22" s="953"/>
      <c r="JZM22" s="953"/>
      <c r="JZN22" s="953"/>
      <c r="JZO22" s="953"/>
      <c r="JZP22" s="953"/>
      <c r="JZQ22" s="953"/>
      <c r="JZR22" s="953"/>
      <c r="JZS22" s="953"/>
      <c r="JZT22" s="953"/>
      <c r="JZU22" s="953"/>
      <c r="JZV22" s="953"/>
      <c r="JZW22" s="953"/>
      <c r="JZX22" s="953"/>
      <c r="JZY22" s="953"/>
      <c r="JZZ22" s="953"/>
      <c r="KAA22" s="953"/>
      <c r="KAB22" s="953"/>
      <c r="KAC22" s="953"/>
      <c r="KAD22" s="953"/>
      <c r="KAE22" s="953"/>
      <c r="KAF22" s="953"/>
      <c r="KAG22" s="953"/>
      <c r="KAH22" s="953"/>
      <c r="KAI22" s="953"/>
      <c r="KAJ22" s="953"/>
      <c r="KAK22" s="953"/>
      <c r="KAL22" s="953"/>
      <c r="KAM22" s="953"/>
      <c r="KAN22" s="953"/>
      <c r="KAO22" s="953"/>
      <c r="KAP22" s="953"/>
      <c r="KAQ22" s="953"/>
      <c r="KAR22" s="953"/>
      <c r="KAS22" s="953"/>
      <c r="KAT22" s="953"/>
      <c r="KAU22" s="953"/>
      <c r="KAV22" s="953"/>
      <c r="KAW22" s="953"/>
      <c r="KAX22" s="953"/>
      <c r="KAY22" s="953"/>
      <c r="KAZ22" s="953"/>
      <c r="KBA22" s="953"/>
      <c r="KBB22" s="953"/>
      <c r="KBC22" s="953"/>
      <c r="KBD22" s="953"/>
      <c r="KBE22" s="953"/>
      <c r="KBF22" s="953"/>
      <c r="KBG22" s="953"/>
      <c r="KBH22" s="953"/>
      <c r="KBI22" s="953"/>
      <c r="KBJ22" s="953"/>
      <c r="KBK22" s="953"/>
      <c r="KBL22" s="953"/>
      <c r="KBM22" s="953"/>
      <c r="KBN22" s="953"/>
      <c r="KBO22" s="953"/>
      <c r="KBP22" s="953"/>
      <c r="KBQ22" s="953"/>
      <c r="KBR22" s="953"/>
      <c r="KBS22" s="953"/>
      <c r="KBT22" s="953"/>
      <c r="KBU22" s="953"/>
      <c r="KBV22" s="953"/>
      <c r="KBW22" s="953"/>
      <c r="KBX22" s="953"/>
      <c r="KBY22" s="953"/>
      <c r="KBZ22" s="953"/>
      <c r="KCA22" s="953"/>
      <c r="KCB22" s="953"/>
      <c r="KCC22" s="953"/>
      <c r="KCD22" s="953"/>
      <c r="KCE22" s="953"/>
      <c r="KCF22" s="953"/>
      <c r="KCG22" s="953"/>
      <c r="KCH22" s="953"/>
      <c r="KCI22" s="953"/>
      <c r="KCJ22" s="953"/>
      <c r="KCK22" s="953"/>
      <c r="KCL22" s="953"/>
      <c r="KCM22" s="953"/>
      <c r="KCN22" s="953"/>
      <c r="KCO22" s="953"/>
      <c r="KCP22" s="953"/>
      <c r="KCQ22" s="953"/>
      <c r="KCR22" s="953"/>
      <c r="KCS22" s="953"/>
      <c r="KCT22" s="953"/>
      <c r="KCU22" s="953"/>
      <c r="KCV22" s="953"/>
      <c r="KCW22" s="953"/>
      <c r="KCX22" s="953"/>
      <c r="KCY22" s="953"/>
      <c r="KCZ22" s="953"/>
      <c r="KDA22" s="953"/>
      <c r="KDB22" s="953"/>
      <c r="KDC22" s="953"/>
      <c r="KDD22" s="953"/>
      <c r="KDE22" s="953"/>
      <c r="KDF22" s="953"/>
      <c r="KDG22" s="953"/>
      <c r="KDH22" s="953"/>
      <c r="KDI22" s="953"/>
      <c r="KDJ22" s="953"/>
      <c r="KDK22" s="953"/>
      <c r="KDL22" s="953"/>
      <c r="KDM22" s="953"/>
      <c r="KDN22" s="953"/>
      <c r="KDO22" s="953"/>
      <c r="KDP22" s="953"/>
      <c r="KDQ22" s="953"/>
      <c r="KDR22" s="953"/>
      <c r="KDS22" s="953"/>
      <c r="KDT22" s="953"/>
      <c r="KDU22" s="953"/>
      <c r="KDV22" s="953"/>
      <c r="KDW22" s="953"/>
      <c r="KDX22" s="953"/>
      <c r="KDY22" s="953"/>
      <c r="KDZ22" s="953"/>
      <c r="KEA22" s="953"/>
      <c r="KEB22" s="953"/>
      <c r="KEC22" s="953"/>
      <c r="KED22" s="953"/>
      <c r="KEE22" s="953"/>
      <c r="KEF22" s="953"/>
      <c r="KEG22" s="953"/>
      <c r="KEH22" s="953"/>
      <c r="KEI22" s="953"/>
      <c r="KEJ22" s="953"/>
      <c r="KEK22" s="953"/>
      <c r="KEL22" s="953"/>
      <c r="KEM22" s="953"/>
      <c r="KEN22" s="953"/>
      <c r="KEO22" s="953"/>
      <c r="KEP22" s="953"/>
      <c r="KEQ22" s="953"/>
      <c r="KER22" s="953"/>
      <c r="KES22" s="953"/>
      <c r="KET22" s="953"/>
      <c r="KEU22" s="953"/>
      <c r="KEV22" s="953"/>
      <c r="KEW22" s="953"/>
      <c r="KEX22" s="953"/>
      <c r="KEY22" s="953"/>
      <c r="KEZ22" s="953"/>
      <c r="KFA22" s="953"/>
      <c r="KFB22" s="953"/>
      <c r="KFC22" s="953"/>
      <c r="KFD22" s="953"/>
      <c r="KFE22" s="953"/>
      <c r="KFF22" s="953"/>
      <c r="KFG22" s="953"/>
      <c r="KFH22" s="953"/>
      <c r="KFI22" s="953"/>
      <c r="KFJ22" s="953"/>
      <c r="KFK22" s="953"/>
      <c r="KFL22" s="953"/>
      <c r="KFM22" s="953"/>
      <c r="KFN22" s="953"/>
      <c r="KFO22" s="953"/>
      <c r="KFP22" s="953"/>
      <c r="KFQ22" s="953"/>
      <c r="KFR22" s="953"/>
      <c r="KFS22" s="953"/>
      <c r="KFT22" s="953"/>
      <c r="KFU22" s="953"/>
      <c r="KFV22" s="953"/>
      <c r="KFW22" s="953"/>
      <c r="KFX22" s="953"/>
      <c r="KFY22" s="953"/>
      <c r="KFZ22" s="953"/>
      <c r="KGA22" s="953"/>
      <c r="KGB22" s="953"/>
      <c r="KGC22" s="953"/>
      <c r="KGD22" s="953"/>
      <c r="KGE22" s="953"/>
      <c r="KGF22" s="953"/>
      <c r="KGG22" s="953"/>
      <c r="KGH22" s="953"/>
      <c r="KGI22" s="953"/>
      <c r="KGJ22" s="953"/>
      <c r="KGK22" s="953"/>
      <c r="KGL22" s="953"/>
      <c r="KGM22" s="953"/>
      <c r="KGN22" s="953"/>
      <c r="KGO22" s="953"/>
      <c r="KGP22" s="953"/>
      <c r="KGQ22" s="953"/>
      <c r="KGR22" s="953"/>
      <c r="KGS22" s="953"/>
      <c r="KGT22" s="953"/>
      <c r="KGU22" s="953"/>
      <c r="KGV22" s="953"/>
      <c r="KGW22" s="953"/>
      <c r="KGX22" s="953"/>
      <c r="KGY22" s="953"/>
      <c r="KGZ22" s="953"/>
      <c r="KHA22" s="953"/>
      <c r="KHB22" s="953"/>
      <c r="KHC22" s="953"/>
      <c r="KHD22" s="953"/>
      <c r="KHE22" s="953"/>
      <c r="KHF22" s="953"/>
      <c r="KHG22" s="953"/>
      <c r="KHH22" s="953"/>
      <c r="KHI22" s="953"/>
      <c r="KHJ22" s="953"/>
      <c r="KHK22" s="953"/>
      <c r="KHL22" s="953"/>
      <c r="KHM22" s="953"/>
      <c r="KHN22" s="953"/>
      <c r="KHO22" s="953"/>
      <c r="KHP22" s="953"/>
      <c r="KHQ22" s="953"/>
      <c r="KHR22" s="953"/>
      <c r="KHS22" s="953"/>
      <c r="KHT22" s="953"/>
      <c r="KHU22" s="953"/>
      <c r="KHV22" s="953"/>
      <c r="KHW22" s="953"/>
      <c r="KHX22" s="953"/>
      <c r="KHY22" s="953"/>
      <c r="KHZ22" s="953"/>
      <c r="KIA22" s="953"/>
      <c r="KIB22" s="953"/>
      <c r="KIC22" s="953"/>
      <c r="KID22" s="953"/>
      <c r="KIE22" s="953"/>
      <c r="KIF22" s="953"/>
      <c r="KIG22" s="953"/>
      <c r="KIH22" s="953"/>
      <c r="KII22" s="953"/>
      <c r="KIJ22" s="953"/>
      <c r="KIK22" s="953"/>
      <c r="KIL22" s="953"/>
      <c r="KIM22" s="953"/>
      <c r="KIN22" s="953"/>
      <c r="KIO22" s="953"/>
      <c r="KIP22" s="953"/>
      <c r="KIQ22" s="953"/>
      <c r="KIR22" s="953"/>
      <c r="KIS22" s="953"/>
      <c r="KIT22" s="953"/>
      <c r="KIU22" s="953"/>
      <c r="KIV22" s="953"/>
      <c r="KIW22" s="953"/>
      <c r="KIX22" s="953"/>
      <c r="KIY22" s="953"/>
      <c r="KIZ22" s="953"/>
      <c r="KJA22" s="953"/>
      <c r="KJB22" s="953"/>
      <c r="KJC22" s="953"/>
      <c r="KJD22" s="953"/>
      <c r="KJE22" s="953"/>
      <c r="KJF22" s="953"/>
      <c r="KJG22" s="953"/>
      <c r="KJH22" s="953"/>
      <c r="KJI22" s="953"/>
      <c r="KJJ22" s="953"/>
      <c r="KJK22" s="953"/>
      <c r="KJL22" s="953"/>
      <c r="KJM22" s="953"/>
      <c r="KJN22" s="953"/>
      <c r="KJO22" s="953"/>
      <c r="KJP22" s="953"/>
      <c r="KJQ22" s="953"/>
      <c r="KJR22" s="953"/>
      <c r="KJS22" s="953"/>
      <c r="KJT22" s="953"/>
      <c r="KJU22" s="953"/>
      <c r="KJV22" s="953"/>
      <c r="KJW22" s="953"/>
      <c r="KJX22" s="953"/>
      <c r="KJY22" s="953"/>
      <c r="KJZ22" s="953"/>
      <c r="KKA22" s="953"/>
      <c r="KKB22" s="953"/>
      <c r="KKC22" s="953"/>
      <c r="KKD22" s="953"/>
      <c r="KKE22" s="953"/>
      <c r="KKF22" s="953"/>
      <c r="KKG22" s="953"/>
      <c r="KKH22" s="953"/>
      <c r="KKI22" s="953"/>
      <c r="KKJ22" s="953"/>
      <c r="KKK22" s="953"/>
      <c r="KKL22" s="953"/>
      <c r="KKM22" s="953"/>
      <c r="KKN22" s="953"/>
      <c r="KKO22" s="953"/>
      <c r="KKP22" s="953"/>
      <c r="KKQ22" s="953"/>
      <c r="KKR22" s="953"/>
      <c r="KKS22" s="953"/>
      <c r="KKT22" s="953"/>
      <c r="KKU22" s="953"/>
      <c r="KKV22" s="953"/>
      <c r="KKW22" s="953"/>
      <c r="KKX22" s="953"/>
      <c r="KKY22" s="953"/>
      <c r="KKZ22" s="953"/>
      <c r="KLA22" s="953"/>
      <c r="KLB22" s="953"/>
      <c r="KLC22" s="953"/>
      <c r="KLD22" s="953"/>
      <c r="KLE22" s="953"/>
      <c r="KLF22" s="953"/>
      <c r="KLG22" s="953"/>
      <c r="KLH22" s="953"/>
      <c r="KLI22" s="953"/>
      <c r="KLJ22" s="953"/>
      <c r="KLK22" s="953"/>
      <c r="KLL22" s="953"/>
      <c r="KLM22" s="953"/>
      <c r="KLN22" s="953"/>
      <c r="KLO22" s="953"/>
      <c r="KLP22" s="953"/>
      <c r="KLQ22" s="953"/>
      <c r="KLR22" s="953"/>
      <c r="KLS22" s="953"/>
      <c r="KLT22" s="953"/>
      <c r="KLU22" s="953"/>
      <c r="KLV22" s="953"/>
      <c r="KLW22" s="953"/>
      <c r="KLX22" s="953"/>
      <c r="KLY22" s="953"/>
      <c r="KLZ22" s="953"/>
      <c r="KMA22" s="953"/>
      <c r="KMB22" s="953"/>
      <c r="KMC22" s="953"/>
      <c r="KMD22" s="953"/>
      <c r="KME22" s="953"/>
      <c r="KMF22" s="953"/>
      <c r="KMG22" s="953"/>
      <c r="KMH22" s="953"/>
      <c r="KMI22" s="953"/>
      <c r="KMJ22" s="953"/>
      <c r="KMK22" s="953"/>
      <c r="KML22" s="953"/>
      <c r="KMM22" s="953"/>
      <c r="KMN22" s="953"/>
      <c r="KMO22" s="953"/>
      <c r="KMP22" s="953"/>
      <c r="KMQ22" s="953"/>
      <c r="KMR22" s="953"/>
      <c r="KMS22" s="953"/>
      <c r="KMT22" s="953"/>
      <c r="KMU22" s="953"/>
      <c r="KMV22" s="953"/>
      <c r="KMW22" s="953"/>
      <c r="KMX22" s="953"/>
      <c r="KMY22" s="953"/>
      <c r="KMZ22" s="953"/>
      <c r="KNA22" s="953"/>
      <c r="KNB22" s="953"/>
      <c r="KNC22" s="953"/>
      <c r="KND22" s="953"/>
      <c r="KNE22" s="953"/>
      <c r="KNF22" s="953"/>
      <c r="KNG22" s="953"/>
      <c r="KNH22" s="953"/>
      <c r="KNI22" s="953"/>
      <c r="KNJ22" s="953"/>
      <c r="KNK22" s="953"/>
      <c r="KNL22" s="953"/>
      <c r="KNM22" s="953"/>
      <c r="KNN22" s="953"/>
      <c r="KNO22" s="953"/>
      <c r="KNP22" s="953"/>
      <c r="KNQ22" s="953"/>
      <c r="KNR22" s="953"/>
      <c r="KNS22" s="953"/>
      <c r="KNT22" s="953"/>
      <c r="KNU22" s="953"/>
      <c r="KNV22" s="953"/>
      <c r="KNW22" s="953"/>
      <c r="KNX22" s="953"/>
      <c r="KNY22" s="953"/>
      <c r="KNZ22" s="953"/>
      <c r="KOA22" s="953"/>
      <c r="KOB22" s="953"/>
      <c r="KOC22" s="953"/>
      <c r="KOD22" s="953"/>
      <c r="KOE22" s="953"/>
      <c r="KOF22" s="953"/>
      <c r="KOG22" s="953"/>
      <c r="KOH22" s="953"/>
      <c r="KOI22" s="953"/>
      <c r="KOJ22" s="953"/>
      <c r="KOK22" s="953"/>
      <c r="KOL22" s="953"/>
      <c r="KOM22" s="953"/>
      <c r="KON22" s="953"/>
      <c r="KOO22" s="953"/>
      <c r="KOP22" s="953"/>
      <c r="KOQ22" s="953"/>
      <c r="KOR22" s="953"/>
      <c r="KOS22" s="953"/>
      <c r="KOT22" s="953"/>
      <c r="KOU22" s="953"/>
      <c r="KOV22" s="953"/>
      <c r="KOW22" s="953"/>
      <c r="KOX22" s="953"/>
      <c r="KOY22" s="953"/>
      <c r="KOZ22" s="953"/>
      <c r="KPA22" s="953"/>
      <c r="KPB22" s="953"/>
      <c r="KPC22" s="953"/>
      <c r="KPD22" s="953"/>
      <c r="KPE22" s="953"/>
      <c r="KPF22" s="953"/>
      <c r="KPG22" s="953"/>
      <c r="KPH22" s="953"/>
      <c r="KPI22" s="953"/>
      <c r="KPJ22" s="953"/>
      <c r="KPK22" s="953"/>
      <c r="KPL22" s="953"/>
      <c r="KPM22" s="953"/>
      <c r="KPN22" s="953"/>
      <c r="KPO22" s="953"/>
      <c r="KPP22" s="953"/>
      <c r="KPQ22" s="953"/>
      <c r="KPR22" s="953"/>
      <c r="KPS22" s="953"/>
      <c r="KPT22" s="953"/>
      <c r="KPU22" s="953"/>
      <c r="KPV22" s="953"/>
      <c r="KPW22" s="953"/>
      <c r="KPX22" s="953"/>
      <c r="KPY22" s="953"/>
      <c r="KPZ22" s="953"/>
      <c r="KQA22" s="953"/>
      <c r="KQB22" s="953"/>
      <c r="KQC22" s="953"/>
      <c r="KQD22" s="953"/>
      <c r="KQE22" s="953"/>
      <c r="KQF22" s="953"/>
      <c r="KQG22" s="953"/>
      <c r="KQH22" s="953"/>
      <c r="KQI22" s="953"/>
      <c r="KQJ22" s="953"/>
      <c r="KQK22" s="953"/>
      <c r="KQL22" s="953"/>
      <c r="KQM22" s="953"/>
      <c r="KQN22" s="953"/>
      <c r="KQO22" s="953"/>
      <c r="KQP22" s="953"/>
      <c r="KQQ22" s="953"/>
      <c r="KQR22" s="953"/>
      <c r="KQS22" s="953"/>
      <c r="KQT22" s="953"/>
      <c r="KQU22" s="953"/>
      <c r="KQV22" s="953"/>
      <c r="KQW22" s="953"/>
      <c r="KQX22" s="953"/>
      <c r="KQY22" s="953"/>
      <c r="KQZ22" s="953"/>
      <c r="KRA22" s="953"/>
      <c r="KRB22" s="953"/>
      <c r="KRC22" s="953"/>
      <c r="KRD22" s="953"/>
      <c r="KRE22" s="953"/>
      <c r="KRF22" s="953"/>
      <c r="KRG22" s="953"/>
      <c r="KRH22" s="953"/>
      <c r="KRI22" s="953"/>
      <c r="KRJ22" s="953"/>
      <c r="KRK22" s="953"/>
      <c r="KRL22" s="953"/>
      <c r="KRM22" s="953"/>
      <c r="KRN22" s="953"/>
      <c r="KRO22" s="953"/>
      <c r="KRP22" s="953"/>
      <c r="KRQ22" s="953"/>
      <c r="KRR22" s="953"/>
      <c r="KRS22" s="953"/>
      <c r="KRT22" s="953"/>
      <c r="KRU22" s="953"/>
      <c r="KRV22" s="953"/>
      <c r="KRW22" s="953"/>
      <c r="KRX22" s="953"/>
      <c r="KRY22" s="953"/>
      <c r="KRZ22" s="953"/>
      <c r="KSA22" s="953"/>
      <c r="KSB22" s="953"/>
      <c r="KSC22" s="953"/>
      <c r="KSD22" s="953"/>
      <c r="KSE22" s="953"/>
      <c r="KSF22" s="953"/>
      <c r="KSG22" s="953"/>
      <c r="KSH22" s="953"/>
      <c r="KSI22" s="953"/>
      <c r="KSJ22" s="953"/>
      <c r="KSK22" s="953"/>
      <c r="KSL22" s="953"/>
      <c r="KSM22" s="953"/>
      <c r="KSN22" s="953"/>
      <c r="KSO22" s="953"/>
      <c r="KSP22" s="953"/>
      <c r="KSQ22" s="953"/>
      <c r="KSR22" s="953"/>
      <c r="KSS22" s="953"/>
      <c r="KST22" s="953"/>
      <c r="KSU22" s="953"/>
      <c r="KSV22" s="953"/>
      <c r="KSW22" s="953"/>
      <c r="KSX22" s="953"/>
      <c r="KSY22" s="953"/>
      <c r="KSZ22" s="953"/>
      <c r="KTA22" s="953"/>
      <c r="KTB22" s="953"/>
      <c r="KTC22" s="953"/>
      <c r="KTD22" s="953"/>
      <c r="KTE22" s="953"/>
      <c r="KTF22" s="953"/>
      <c r="KTG22" s="953"/>
      <c r="KTH22" s="953"/>
      <c r="KTI22" s="953"/>
      <c r="KTJ22" s="953"/>
      <c r="KTK22" s="953"/>
      <c r="KTL22" s="953"/>
      <c r="KTM22" s="953"/>
      <c r="KTN22" s="953"/>
      <c r="KTO22" s="953"/>
      <c r="KTP22" s="953"/>
      <c r="KTQ22" s="953"/>
      <c r="KTR22" s="953"/>
      <c r="KTS22" s="953"/>
      <c r="KTT22" s="953"/>
      <c r="KTU22" s="953"/>
      <c r="KTV22" s="953"/>
      <c r="KTW22" s="953"/>
      <c r="KTX22" s="953"/>
      <c r="KTY22" s="953"/>
      <c r="KTZ22" s="953"/>
      <c r="KUA22" s="953"/>
      <c r="KUB22" s="953"/>
      <c r="KUC22" s="953"/>
      <c r="KUD22" s="953"/>
      <c r="KUE22" s="953"/>
      <c r="KUF22" s="953"/>
      <c r="KUG22" s="953"/>
      <c r="KUH22" s="953"/>
      <c r="KUI22" s="953"/>
      <c r="KUJ22" s="953"/>
      <c r="KUK22" s="953"/>
      <c r="KUL22" s="953"/>
      <c r="KUM22" s="953"/>
      <c r="KUN22" s="953"/>
      <c r="KUO22" s="953"/>
      <c r="KUP22" s="953"/>
      <c r="KUQ22" s="953"/>
      <c r="KUR22" s="953"/>
      <c r="KUS22" s="953"/>
      <c r="KUT22" s="953"/>
      <c r="KUU22" s="953"/>
      <c r="KUV22" s="953"/>
      <c r="KUW22" s="953"/>
      <c r="KUX22" s="953"/>
      <c r="KUY22" s="953"/>
      <c r="KUZ22" s="953"/>
      <c r="KVA22" s="953"/>
      <c r="KVB22" s="953"/>
      <c r="KVC22" s="953"/>
      <c r="KVD22" s="953"/>
      <c r="KVE22" s="953"/>
      <c r="KVF22" s="953"/>
      <c r="KVG22" s="953"/>
      <c r="KVH22" s="953"/>
      <c r="KVI22" s="953"/>
      <c r="KVJ22" s="953"/>
      <c r="KVK22" s="953"/>
      <c r="KVL22" s="953"/>
      <c r="KVM22" s="953"/>
      <c r="KVN22" s="953"/>
      <c r="KVO22" s="953"/>
      <c r="KVP22" s="953"/>
      <c r="KVQ22" s="953"/>
      <c r="KVR22" s="953"/>
      <c r="KVS22" s="953"/>
      <c r="KVT22" s="953"/>
      <c r="KVU22" s="953"/>
      <c r="KVV22" s="953"/>
      <c r="KVW22" s="953"/>
      <c r="KVX22" s="953"/>
      <c r="KVY22" s="953"/>
      <c r="KVZ22" s="953"/>
      <c r="KWA22" s="953"/>
      <c r="KWB22" s="953"/>
      <c r="KWC22" s="953"/>
      <c r="KWD22" s="953"/>
      <c r="KWE22" s="953"/>
      <c r="KWF22" s="953"/>
      <c r="KWG22" s="953"/>
      <c r="KWH22" s="953"/>
      <c r="KWI22" s="953"/>
      <c r="KWJ22" s="953"/>
      <c r="KWK22" s="953"/>
      <c r="KWL22" s="953"/>
      <c r="KWM22" s="953"/>
      <c r="KWN22" s="953"/>
      <c r="KWO22" s="953"/>
      <c r="KWP22" s="953"/>
      <c r="KWQ22" s="953"/>
      <c r="KWR22" s="953"/>
      <c r="KWS22" s="953"/>
      <c r="KWT22" s="953"/>
      <c r="KWU22" s="953"/>
      <c r="KWV22" s="953"/>
      <c r="KWW22" s="953"/>
      <c r="KWX22" s="953"/>
      <c r="KWY22" s="953"/>
      <c r="KWZ22" s="953"/>
      <c r="KXA22" s="953"/>
      <c r="KXB22" s="953"/>
      <c r="KXC22" s="953"/>
      <c r="KXD22" s="953"/>
      <c r="KXE22" s="953"/>
      <c r="KXF22" s="953"/>
      <c r="KXG22" s="953"/>
      <c r="KXH22" s="953"/>
      <c r="KXI22" s="953"/>
      <c r="KXJ22" s="953"/>
      <c r="KXK22" s="953"/>
      <c r="KXL22" s="953"/>
      <c r="KXM22" s="953"/>
      <c r="KXN22" s="953"/>
      <c r="KXO22" s="953"/>
      <c r="KXP22" s="953"/>
      <c r="KXQ22" s="953"/>
      <c r="KXR22" s="953"/>
      <c r="KXS22" s="953"/>
      <c r="KXT22" s="953"/>
      <c r="KXU22" s="953"/>
      <c r="KXV22" s="953"/>
      <c r="KXW22" s="953"/>
      <c r="KXX22" s="953"/>
      <c r="KXY22" s="953"/>
      <c r="KXZ22" s="953"/>
      <c r="KYA22" s="953"/>
      <c r="KYB22" s="953"/>
      <c r="KYC22" s="953"/>
      <c r="KYD22" s="953"/>
      <c r="KYE22" s="953"/>
      <c r="KYF22" s="953"/>
      <c r="KYG22" s="953"/>
      <c r="KYH22" s="953"/>
      <c r="KYI22" s="953"/>
      <c r="KYJ22" s="953"/>
      <c r="KYK22" s="953"/>
      <c r="KYL22" s="953"/>
      <c r="KYM22" s="953"/>
      <c r="KYN22" s="953"/>
      <c r="KYO22" s="953"/>
      <c r="KYP22" s="953"/>
      <c r="KYQ22" s="953"/>
      <c r="KYR22" s="953"/>
      <c r="KYS22" s="953"/>
      <c r="KYT22" s="953"/>
      <c r="KYU22" s="953"/>
      <c r="KYV22" s="953"/>
      <c r="KYW22" s="953"/>
      <c r="KYX22" s="953"/>
      <c r="KYY22" s="953"/>
      <c r="KYZ22" s="953"/>
      <c r="KZA22" s="953"/>
      <c r="KZB22" s="953"/>
      <c r="KZC22" s="953"/>
      <c r="KZD22" s="953"/>
      <c r="KZE22" s="953"/>
      <c r="KZF22" s="953"/>
      <c r="KZG22" s="953"/>
      <c r="KZH22" s="953"/>
      <c r="KZI22" s="953"/>
      <c r="KZJ22" s="953"/>
      <c r="KZK22" s="953"/>
      <c r="KZL22" s="953"/>
      <c r="KZM22" s="953"/>
      <c r="KZN22" s="953"/>
      <c r="KZO22" s="953"/>
      <c r="KZP22" s="953"/>
      <c r="KZQ22" s="953"/>
      <c r="KZR22" s="953"/>
      <c r="KZS22" s="953"/>
      <c r="KZT22" s="953"/>
      <c r="KZU22" s="953"/>
      <c r="KZV22" s="953"/>
      <c r="KZW22" s="953"/>
      <c r="KZX22" s="953"/>
      <c r="KZY22" s="953"/>
      <c r="KZZ22" s="953"/>
      <c r="LAA22" s="953"/>
      <c r="LAB22" s="953"/>
      <c r="LAC22" s="953"/>
      <c r="LAD22" s="953"/>
      <c r="LAE22" s="953"/>
      <c r="LAF22" s="953"/>
      <c r="LAG22" s="953"/>
      <c r="LAH22" s="953"/>
      <c r="LAI22" s="953"/>
      <c r="LAJ22" s="953"/>
      <c r="LAK22" s="953"/>
      <c r="LAL22" s="953"/>
      <c r="LAM22" s="953"/>
      <c r="LAN22" s="953"/>
      <c r="LAO22" s="953"/>
      <c r="LAP22" s="953"/>
      <c r="LAQ22" s="953"/>
      <c r="LAR22" s="953"/>
      <c r="LAS22" s="953"/>
      <c r="LAT22" s="953"/>
      <c r="LAU22" s="953"/>
      <c r="LAV22" s="953"/>
      <c r="LAW22" s="953"/>
      <c r="LAX22" s="953"/>
      <c r="LAY22" s="953"/>
      <c r="LAZ22" s="953"/>
      <c r="LBA22" s="953"/>
      <c r="LBB22" s="953"/>
      <c r="LBC22" s="953"/>
      <c r="LBD22" s="953"/>
      <c r="LBE22" s="953"/>
      <c r="LBF22" s="953"/>
      <c r="LBG22" s="953"/>
      <c r="LBH22" s="953"/>
      <c r="LBI22" s="953"/>
      <c r="LBJ22" s="953"/>
      <c r="LBK22" s="953"/>
      <c r="LBL22" s="953"/>
      <c r="LBM22" s="953"/>
      <c r="LBN22" s="953"/>
      <c r="LBO22" s="953"/>
      <c r="LBP22" s="953"/>
      <c r="LBQ22" s="953"/>
      <c r="LBR22" s="953"/>
      <c r="LBS22" s="953"/>
      <c r="LBT22" s="953"/>
      <c r="LBU22" s="953"/>
      <c r="LBV22" s="953"/>
      <c r="LBW22" s="953"/>
      <c r="LBX22" s="953"/>
      <c r="LBY22" s="953"/>
      <c r="LBZ22" s="953"/>
      <c r="LCA22" s="953"/>
      <c r="LCB22" s="953"/>
      <c r="LCC22" s="953"/>
      <c r="LCD22" s="953"/>
      <c r="LCE22" s="953"/>
      <c r="LCF22" s="953"/>
      <c r="LCG22" s="953"/>
      <c r="LCH22" s="953"/>
      <c r="LCI22" s="953"/>
      <c r="LCJ22" s="953"/>
      <c r="LCK22" s="953"/>
      <c r="LCL22" s="953"/>
      <c r="LCM22" s="953"/>
      <c r="LCN22" s="953"/>
      <c r="LCO22" s="953"/>
      <c r="LCP22" s="953"/>
      <c r="LCQ22" s="953"/>
      <c r="LCR22" s="953"/>
      <c r="LCS22" s="953"/>
      <c r="LCT22" s="953"/>
      <c r="LCU22" s="953"/>
      <c r="LCV22" s="953"/>
      <c r="LCW22" s="953"/>
      <c r="LCX22" s="953"/>
      <c r="LCY22" s="953"/>
      <c r="LCZ22" s="953"/>
      <c r="LDA22" s="953"/>
      <c r="LDB22" s="953"/>
      <c r="LDC22" s="953"/>
      <c r="LDD22" s="953"/>
      <c r="LDE22" s="953"/>
      <c r="LDF22" s="953"/>
      <c r="LDG22" s="953"/>
      <c r="LDH22" s="953"/>
      <c r="LDI22" s="953"/>
      <c r="LDJ22" s="953"/>
      <c r="LDK22" s="953"/>
      <c r="LDL22" s="953"/>
      <c r="LDM22" s="953"/>
      <c r="LDN22" s="953"/>
      <c r="LDO22" s="953"/>
      <c r="LDP22" s="953"/>
      <c r="LDQ22" s="953"/>
      <c r="LDR22" s="953"/>
      <c r="LDS22" s="953"/>
      <c r="LDT22" s="953"/>
      <c r="LDU22" s="953"/>
      <c r="LDV22" s="953"/>
      <c r="LDW22" s="953"/>
      <c r="LDX22" s="953"/>
      <c r="LDY22" s="953"/>
      <c r="LDZ22" s="953"/>
      <c r="LEA22" s="953"/>
      <c r="LEB22" s="953"/>
      <c r="LEC22" s="953"/>
      <c r="LED22" s="953"/>
      <c r="LEE22" s="953"/>
      <c r="LEF22" s="953"/>
      <c r="LEG22" s="953"/>
      <c r="LEH22" s="953"/>
      <c r="LEI22" s="953"/>
      <c r="LEJ22" s="953"/>
      <c r="LEK22" s="953"/>
      <c r="LEL22" s="953"/>
      <c r="LEM22" s="953"/>
      <c r="LEN22" s="953"/>
      <c r="LEO22" s="953"/>
      <c r="LEP22" s="953"/>
      <c r="LEQ22" s="953"/>
      <c r="LER22" s="953"/>
      <c r="LES22" s="953"/>
      <c r="LET22" s="953"/>
      <c r="LEU22" s="953"/>
      <c r="LEV22" s="953"/>
      <c r="LEW22" s="953"/>
      <c r="LEX22" s="953"/>
      <c r="LEY22" s="953"/>
      <c r="LEZ22" s="953"/>
      <c r="LFA22" s="953"/>
      <c r="LFB22" s="953"/>
      <c r="LFC22" s="953"/>
      <c r="LFD22" s="953"/>
      <c r="LFE22" s="953"/>
      <c r="LFF22" s="953"/>
      <c r="LFG22" s="953"/>
      <c r="LFH22" s="953"/>
      <c r="LFI22" s="953"/>
      <c r="LFJ22" s="953"/>
      <c r="LFK22" s="953"/>
      <c r="LFL22" s="953"/>
      <c r="LFM22" s="953"/>
      <c r="LFN22" s="953"/>
      <c r="LFO22" s="953"/>
      <c r="LFP22" s="953"/>
      <c r="LFQ22" s="953"/>
      <c r="LFR22" s="953"/>
      <c r="LFS22" s="953"/>
      <c r="LFT22" s="953"/>
      <c r="LFU22" s="953"/>
      <c r="LFV22" s="953"/>
      <c r="LFW22" s="953"/>
      <c r="LFX22" s="953"/>
      <c r="LFY22" s="953"/>
      <c r="LFZ22" s="953"/>
      <c r="LGA22" s="953"/>
      <c r="LGB22" s="953"/>
      <c r="LGC22" s="953"/>
      <c r="LGD22" s="953"/>
      <c r="LGE22" s="953"/>
      <c r="LGF22" s="953"/>
      <c r="LGG22" s="953"/>
      <c r="LGH22" s="953"/>
      <c r="LGI22" s="953"/>
      <c r="LGJ22" s="953"/>
      <c r="LGK22" s="953"/>
      <c r="LGL22" s="953"/>
      <c r="LGM22" s="953"/>
      <c r="LGN22" s="953"/>
      <c r="LGO22" s="953"/>
      <c r="LGP22" s="953"/>
      <c r="LGQ22" s="953"/>
      <c r="LGR22" s="953"/>
      <c r="LGS22" s="953"/>
      <c r="LGT22" s="953"/>
      <c r="LGU22" s="953"/>
      <c r="LGV22" s="953"/>
      <c r="LGW22" s="953"/>
      <c r="LGX22" s="953"/>
      <c r="LGY22" s="953"/>
      <c r="LGZ22" s="953"/>
      <c r="LHA22" s="953"/>
      <c r="LHB22" s="953"/>
      <c r="LHC22" s="953"/>
      <c r="LHD22" s="953"/>
      <c r="LHE22" s="953"/>
      <c r="LHF22" s="953"/>
      <c r="LHG22" s="953"/>
      <c r="LHH22" s="953"/>
      <c r="LHI22" s="953"/>
      <c r="LHJ22" s="953"/>
      <c r="LHK22" s="953"/>
      <c r="LHL22" s="953"/>
      <c r="LHM22" s="953"/>
      <c r="LHN22" s="953"/>
      <c r="LHO22" s="953"/>
      <c r="LHP22" s="953"/>
      <c r="LHQ22" s="953"/>
      <c r="LHR22" s="953"/>
      <c r="LHS22" s="953"/>
      <c r="LHT22" s="953"/>
      <c r="LHU22" s="953"/>
      <c r="LHV22" s="953"/>
      <c r="LHW22" s="953"/>
      <c r="LHX22" s="953"/>
      <c r="LHY22" s="953"/>
      <c r="LHZ22" s="953"/>
      <c r="LIA22" s="953"/>
      <c r="LIB22" s="953"/>
      <c r="LIC22" s="953"/>
      <c r="LID22" s="953"/>
      <c r="LIE22" s="953"/>
      <c r="LIF22" s="953"/>
      <c r="LIG22" s="953"/>
      <c r="LIH22" s="953"/>
      <c r="LII22" s="953"/>
      <c r="LIJ22" s="953"/>
      <c r="LIK22" s="953"/>
      <c r="LIL22" s="953"/>
      <c r="LIM22" s="953"/>
      <c r="LIN22" s="953"/>
      <c r="LIO22" s="953"/>
      <c r="LIP22" s="953"/>
      <c r="LIQ22" s="953"/>
      <c r="LIR22" s="953"/>
      <c r="LIS22" s="953"/>
      <c r="LIT22" s="953"/>
      <c r="LIU22" s="953"/>
      <c r="LIV22" s="953"/>
      <c r="LIW22" s="953"/>
      <c r="LIX22" s="953"/>
      <c r="LIY22" s="953"/>
      <c r="LIZ22" s="953"/>
      <c r="LJA22" s="953"/>
      <c r="LJB22" s="953"/>
      <c r="LJC22" s="953"/>
      <c r="LJD22" s="953"/>
      <c r="LJE22" s="953"/>
      <c r="LJF22" s="953"/>
      <c r="LJG22" s="953"/>
      <c r="LJH22" s="953"/>
      <c r="LJI22" s="953"/>
      <c r="LJJ22" s="953"/>
      <c r="LJK22" s="953"/>
      <c r="LJL22" s="953"/>
      <c r="LJM22" s="953"/>
      <c r="LJN22" s="953"/>
      <c r="LJO22" s="953"/>
      <c r="LJP22" s="953"/>
      <c r="LJQ22" s="953"/>
      <c r="LJR22" s="953"/>
      <c r="LJS22" s="953"/>
      <c r="LJT22" s="953"/>
      <c r="LJU22" s="953"/>
      <c r="LJV22" s="953"/>
      <c r="LJW22" s="953"/>
      <c r="LJX22" s="953"/>
      <c r="LJY22" s="953"/>
      <c r="LJZ22" s="953"/>
      <c r="LKA22" s="953"/>
      <c r="LKB22" s="953"/>
      <c r="LKC22" s="953"/>
      <c r="LKD22" s="953"/>
      <c r="LKE22" s="953"/>
      <c r="LKF22" s="953"/>
      <c r="LKG22" s="953"/>
      <c r="LKH22" s="953"/>
      <c r="LKI22" s="953"/>
      <c r="LKJ22" s="953"/>
      <c r="LKK22" s="953"/>
      <c r="LKL22" s="953"/>
      <c r="LKM22" s="953"/>
      <c r="LKN22" s="953"/>
      <c r="LKO22" s="953"/>
      <c r="LKP22" s="953"/>
      <c r="LKQ22" s="953"/>
      <c r="LKR22" s="953"/>
      <c r="LKS22" s="953"/>
      <c r="LKT22" s="953"/>
      <c r="LKU22" s="953"/>
      <c r="LKV22" s="953"/>
      <c r="LKW22" s="953"/>
      <c r="LKX22" s="953"/>
      <c r="LKY22" s="953"/>
      <c r="LKZ22" s="953"/>
      <c r="LLA22" s="953"/>
      <c r="LLB22" s="953"/>
      <c r="LLC22" s="953"/>
      <c r="LLD22" s="953"/>
      <c r="LLE22" s="953"/>
      <c r="LLF22" s="953"/>
      <c r="LLG22" s="953"/>
      <c r="LLH22" s="953"/>
      <c r="LLI22" s="953"/>
      <c r="LLJ22" s="953"/>
      <c r="LLK22" s="953"/>
      <c r="LLL22" s="953"/>
      <c r="LLM22" s="953"/>
      <c r="LLN22" s="953"/>
      <c r="LLO22" s="953"/>
      <c r="LLP22" s="953"/>
      <c r="LLQ22" s="953"/>
      <c r="LLR22" s="953"/>
      <c r="LLS22" s="953"/>
      <c r="LLT22" s="953"/>
      <c r="LLU22" s="953"/>
      <c r="LLV22" s="953"/>
      <c r="LLW22" s="953"/>
      <c r="LLX22" s="953"/>
      <c r="LLY22" s="953"/>
      <c r="LLZ22" s="953"/>
      <c r="LMA22" s="953"/>
      <c r="LMB22" s="953"/>
      <c r="LMC22" s="953"/>
      <c r="LMD22" s="953"/>
      <c r="LME22" s="953"/>
      <c r="LMF22" s="953"/>
      <c r="LMG22" s="953"/>
      <c r="LMH22" s="953"/>
      <c r="LMI22" s="953"/>
      <c r="LMJ22" s="953"/>
      <c r="LMK22" s="953"/>
      <c r="LML22" s="953"/>
      <c r="LMM22" s="953"/>
      <c r="LMN22" s="953"/>
      <c r="LMO22" s="953"/>
      <c r="LMP22" s="953"/>
      <c r="LMQ22" s="953"/>
      <c r="LMR22" s="953"/>
      <c r="LMS22" s="953"/>
      <c r="LMT22" s="953"/>
      <c r="LMU22" s="953"/>
      <c r="LMV22" s="953"/>
      <c r="LMW22" s="953"/>
      <c r="LMX22" s="953"/>
      <c r="LMY22" s="953"/>
      <c r="LMZ22" s="953"/>
      <c r="LNA22" s="953"/>
      <c r="LNB22" s="953"/>
      <c r="LNC22" s="953"/>
      <c r="LND22" s="953"/>
      <c r="LNE22" s="953"/>
      <c r="LNF22" s="953"/>
      <c r="LNG22" s="953"/>
      <c r="LNH22" s="953"/>
      <c r="LNI22" s="953"/>
      <c r="LNJ22" s="953"/>
      <c r="LNK22" s="953"/>
      <c r="LNL22" s="953"/>
      <c r="LNM22" s="953"/>
      <c r="LNN22" s="953"/>
      <c r="LNO22" s="953"/>
      <c r="LNP22" s="953"/>
      <c r="LNQ22" s="953"/>
      <c r="LNR22" s="953"/>
      <c r="LNS22" s="953"/>
      <c r="LNT22" s="953"/>
      <c r="LNU22" s="953"/>
      <c r="LNV22" s="953"/>
      <c r="LNW22" s="953"/>
      <c r="LNX22" s="953"/>
      <c r="LNY22" s="953"/>
      <c r="LNZ22" s="953"/>
      <c r="LOA22" s="953"/>
      <c r="LOB22" s="953"/>
      <c r="LOC22" s="953"/>
      <c r="LOD22" s="953"/>
      <c r="LOE22" s="953"/>
      <c r="LOF22" s="953"/>
      <c r="LOG22" s="953"/>
      <c r="LOH22" s="953"/>
      <c r="LOI22" s="953"/>
      <c r="LOJ22" s="953"/>
      <c r="LOK22" s="953"/>
      <c r="LOL22" s="953"/>
      <c r="LOM22" s="953"/>
      <c r="LON22" s="953"/>
      <c r="LOO22" s="953"/>
      <c r="LOP22" s="953"/>
      <c r="LOQ22" s="953"/>
      <c r="LOR22" s="953"/>
      <c r="LOS22" s="953"/>
      <c r="LOT22" s="953"/>
      <c r="LOU22" s="953"/>
      <c r="LOV22" s="953"/>
      <c r="LOW22" s="953"/>
      <c r="LOX22" s="953"/>
      <c r="LOY22" s="953"/>
      <c r="LOZ22" s="953"/>
      <c r="LPA22" s="953"/>
      <c r="LPB22" s="953"/>
      <c r="LPC22" s="953"/>
      <c r="LPD22" s="953"/>
      <c r="LPE22" s="953"/>
      <c r="LPF22" s="953"/>
      <c r="LPG22" s="953"/>
      <c r="LPH22" s="953"/>
      <c r="LPI22" s="953"/>
      <c r="LPJ22" s="953"/>
      <c r="LPK22" s="953"/>
      <c r="LPL22" s="953"/>
      <c r="LPM22" s="953"/>
      <c r="LPN22" s="953"/>
      <c r="LPO22" s="953"/>
      <c r="LPP22" s="953"/>
      <c r="LPQ22" s="953"/>
      <c r="LPR22" s="953"/>
      <c r="LPS22" s="953"/>
      <c r="LPT22" s="953"/>
      <c r="LPU22" s="953"/>
      <c r="LPV22" s="953"/>
      <c r="LPW22" s="953"/>
      <c r="LPX22" s="953"/>
      <c r="LPY22" s="953"/>
      <c r="LPZ22" s="953"/>
      <c r="LQA22" s="953"/>
      <c r="LQB22" s="953"/>
      <c r="LQC22" s="953"/>
      <c r="LQD22" s="953"/>
      <c r="LQE22" s="953"/>
      <c r="LQF22" s="953"/>
      <c r="LQG22" s="953"/>
      <c r="LQH22" s="953"/>
      <c r="LQI22" s="953"/>
      <c r="LQJ22" s="953"/>
      <c r="LQK22" s="953"/>
      <c r="LQL22" s="953"/>
      <c r="LQM22" s="953"/>
      <c r="LQN22" s="953"/>
      <c r="LQO22" s="953"/>
      <c r="LQP22" s="953"/>
      <c r="LQQ22" s="953"/>
      <c r="LQR22" s="953"/>
      <c r="LQS22" s="953"/>
      <c r="LQT22" s="953"/>
      <c r="LQU22" s="953"/>
      <c r="LQV22" s="953"/>
      <c r="LQW22" s="953"/>
      <c r="LQX22" s="953"/>
      <c r="LQY22" s="953"/>
      <c r="LQZ22" s="953"/>
      <c r="LRA22" s="953"/>
      <c r="LRB22" s="953"/>
      <c r="LRC22" s="953"/>
      <c r="LRD22" s="953"/>
      <c r="LRE22" s="953"/>
      <c r="LRF22" s="953"/>
      <c r="LRG22" s="953"/>
      <c r="LRH22" s="953"/>
      <c r="LRI22" s="953"/>
      <c r="LRJ22" s="953"/>
      <c r="LRK22" s="953"/>
      <c r="LRL22" s="953"/>
      <c r="LRM22" s="953"/>
      <c r="LRN22" s="953"/>
      <c r="LRO22" s="953"/>
      <c r="LRP22" s="953"/>
      <c r="LRQ22" s="953"/>
      <c r="LRR22" s="953"/>
      <c r="LRS22" s="953"/>
      <c r="LRT22" s="953"/>
      <c r="LRU22" s="953"/>
      <c r="LRV22" s="953"/>
      <c r="LRW22" s="953"/>
      <c r="LRX22" s="953"/>
      <c r="LRY22" s="953"/>
      <c r="LRZ22" s="953"/>
      <c r="LSA22" s="953"/>
      <c r="LSB22" s="953"/>
      <c r="LSC22" s="953"/>
      <c r="LSD22" s="953"/>
      <c r="LSE22" s="953"/>
      <c r="LSF22" s="953"/>
      <c r="LSG22" s="953"/>
      <c r="LSH22" s="953"/>
      <c r="LSI22" s="953"/>
      <c r="LSJ22" s="953"/>
      <c r="LSK22" s="953"/>
      <c r="LSL22" s="953"/>
      <c r="LSM22" s="953"/>
      <c r="LSN22" s="953"/>
      <c r="LSO22" s="953"/>
      <c r="LSP22" s="953"/>
      <c r="LSQ22" s="953"/>
      <c r="LSR22" s="953"/>
      <c r="LSS22" s="953"/>
      <c r="LST22" s="953"/>
      <c r="LSU22" s="953"/>
      <c r="LSV22" s="953"/>
      <c r="LSW22" s="953"/>
      <c r="LSX22" s="953"/>
      <c r="LSY22" s="953"/>
      <c r="LSZ22" s="953"/>
      <c r="LTA22" s="953"/>
      <c r="LTB22" s="953"/>
      <c r="LTC22" s="953"/>
      <c r="LTD22" s="953"/>
      <c r="LTE22" s="953"/>
      <c r="LTF22" s="953"/>
      <c r="LTG22" s="953"/>
      <c r="LTH22" s="953"/>
      <c r="LTI22" s="953"/>
      <c r="LTJ22" s="953"/>
      <c r="LTK22" s="953"/>
      <c r="LTL22" s="953"/>
      <c r="LTM22" s="953"/>
      <c r="LTN22" s="953"/>
      <c r="LTO22" s="953"/>
      <c r="LTP22" s="953"/>
      <c r="LTQ22" s="953"/>
      <c r="LTR22" s="953"/>
      <c r="LTS22" s="953"/>
      <c r="LTT22" s="953"/>
      <c r="LTU22" s="953"/>
      <c r="LTV22" s="953"/>
      <c r="LTW22" s="953"/>
      <c r="LTX22" s="953"/>
      <c r="LTY22" s="953"/>
      <c r="LTZ22" s="953"/>
      <c r="LUA22" s="953"/>
      <c r="LUB22" s="953"/>
      <c r="LUC22" s="953"/>
      <c r="LUD22" s="953"/>
      <c r="LUE22" s="953"/>
      <c r="LUF22" s="953"/>
      <c r="LUG22" s="953"/>
      <c r="LUH22" s="953"/>
      <c r="LUI22" s="953"/>
      <c r="LUJ22" s="953"/>
      <c r="LUK22" s="953"/>
      <c r="LUL22" s="953"/>
      <c r="LUM22" s="953"/>
      <c r="LUN22" s="953"/>
      <c r="LUO22" s="953"/>
      <c r="LUP22" s="953"/>
      <c r="LUQ22" s="953"/>
      <c r="LUR22" s="953"/>
      <c r="LUS22" s="953"/>
      <c r="LUT22" s="953"/>
      <c r="LUU22" s="953"/>
      <c r="LUV22" s="953"/>
      <c r="LUW22" s="953"/>
      <c r="LUX22" s="953"/>
      <c r="LUY22" s="953"/>
      <c r="LUZ22" s="953"/>
      <c r="LVA22" s="953"/>
      <c r="LVB22" s="953"/>
      <c r="LVC22" s="953"/>
      <c r="LVD22" s="953"/>
      <c r="LVE22" s="953"/>
      <c r="LVF22" s="953"/>
      <c r="LVG22" s="953"/>
      <c r="LVH22" s="953"/>
      <c r="LVI22" s="953"/>
      <c r="LVJ22" s="953"/>
      <c r="LVK22" s="953"/>
      <c r="LVL22" s="953"/>
      <c r="LVM22" s="953"/>
      <c r="LVN22" s="953"/>
      <c r="LVO22" s="953"/>
      <c r="LVP22" s="953"/>
      <c r="LVQ22" s="953"/>
      <c r="LVR22" s="953"/>
      <c r="LVS22" s="953"/>
      <c r="LVT22" s="953"/>
      <c r="LVU22" s="953"/>
      <c r="LVV22" s="953"/>
      <c r="LVW22" s="953"/>
      <c r="LVX22" s="953"/>
      <c r="LVY22" s="953"/>
      <c r="LVZ22" s="953"/>
      <c r="LWA22" s="953"/>
      <c r="LWB22" s="953"/>
      <c r="LWC22" s="953"/>
      <c r="LWD22" s="953"/>
      <c r="LWE22" s="953"/>
      <c r="LWF22" s="953"/>
      <c r="LWG22" s="953"/>
      <c r="LWH22" s="953"/>
      <c r="LWI22" s="953"/>
      <c r="LWJ22" s="953"/>
      <c r="LWK22" s="953"/>
      <c r="LWL22" s="953"/>
      <c r="LWM22" s="953"/>
      <c r="LWN22" s="953"/>
      <c r="LWO22" s="953"/>
      <c r="LWP22" s="953"/>
      <c r="LWQ22" s="953"/>
      <c r="LWR22" s="953"/>
      <c r="LWS22" s="953"/>
      <c r="LWT22" s="953"/>
      <c r="LWU22" s="953"/>
      <c r="LWV22" s="953"/>
      <c r="LWW22" s="953"/>
      <c r="LWX22" s="953"/>
      <c r="LWY22" s="953"/>
      <c r="LWZ22" s="953"/>
      <c r="LXA22" s="953"/>
      <c r="LXB22" s="953"/>
      <c r="LXC22" s="953"/>
      <c r="LXD22" s="953"/>
      <c r="LXE22" s="953"/>
      <c r="LXF22" s="953"/>
      <c r="LXG22" s="953"/>
      <c r="LXH22" s="953"/>
      <c r="LXI22" s="953"/>
      <c r="LXJ22" s="953"/>
      <c r="LXK22" s="953"/>
      <c r="LXL22" s="953"/>
      <c r="LXM22" s="953"/>
      <c r="LXN22" s="953"/>
      <c r="LXO22" s="953"/>
      <c r="LXP22" s="953"/>
      <c r="LXQ22" s="953"/>
      <c r="LXR22" s="953"/>
      <c r="LXS22" s="953"/>
      <c r="LXT22" s="953"/>
      <c r="LXU22" s="953"/>
      <c r="LXV22" s="953"/>
      <c r="LXW22" s="953"/>
      <c r="LXX22" s="953"/>
      <c r="LXY22" s="953"/>
      <c r="LXZ22" s="953"/>
      <c r="LYA22" s="953"/>
      <c r="LYB22" s="953"/>
      <c r="LYC22" s="953"/>
      <c r="LYD22" s="953"/>
      <c r="LYE22" s="953"/>
      <c r="LYF22" s="953"/>
      <c r="LYG22" s="953"/>
      <c r="LYH22" s="953"/>
      <c r="LYI22" s="953"/>
      <c r="LYJ22" s="953"/>
      <c r="LYK22" s="953"/>
      <c r="LYL22" s="953"/>
      <c r="LYM22" s="953"/>
      <c r="LYN22" s="953"/>
      <c r="LYO22" s="953"/>
      <c r="LYP22" s="953"/>
      <c r="LYQ22" s="953"/>
      <c r="LYR22" s="953"/>
      <c r="LYS22" s="953"/>
      <c r="LYT22" s="953"/>
      <c r="LYU22" s="953"/>
      <c r="LYV22" s="953"/>
      <c r="LYW22" s="953"/>
      <c r="LYX22" s="953"/>
      <c r="LYY22" s="953"/>
      <c r="LYZ22" s="953"/>
      <c r="LZA22" s="953"/>
      <c r="LZB22" s="953"/>
      <c r="LZC22" s="953"/>
      <c r="LZD22" s="953"/>
      <c r="LZE22" s="953"/>
      <c r="LZF22" s="953"/>
      <c r="LZG22" s="953"/>
      <c r="LZH22" s="953"/>
      <c r="LZI22" s="953"/>
      <c r="LZJ22" s="953"/>
      <c r="LZK22" s="953"/>
      <c r="LZL22" s="953"/>
      <c r="LZM22" s="953"/>
      <c r="LZN22" s="953"/>
      <c r="LZO22" s="953"/>
      <c r="LZP22" s="953"/>
      <c r="LZQ22" s="953"/>
      <c r="LZR22" s="953"/>
      <c r="LZS22" s="953"/>
      <c r="LZT22" s="953"/>
      <c r="LZU22" s="953"/>
      <c r="LZV22" s="953"/>
      <c r="LZW22" s="953"/>
      <c r="LZX22" s="953"/>
      <c r="LZY22" s="953"/>
      <c r="LZZ22" s="953"/>
      <c r="MAA22" s="953"/>
      <c r="MAB22" s="953"/>
      <c r="MAC22" s="953"/>
      <c r="MAD22" s="953"/>
      <c r="MAE22" s="953"/>
      <c r="MAF22" s="953"/>
      <c r="MAG22" s="953"/>
      <c r="MAH22" s="953"/>
      <c r="MAI22" s="953"/>
      <c r="MAJ22" s="953"/>
      <c r="MAK22" s="953"/>
      <c r="MAL22" s="953"/>
      <c r="MAM22" s="953"/>
      <c r="MAN22" s="953"/>
      <c r="MAO22" s="953"/>
      <c r="MAP22" s="953"/>
      <c r="MAQ22" s="953"/>
      <c r="MAR22" s="953"/>
      <c r="MAS22" s="953"/>
      <c r="MAT22" s="953"/>
      <c r="MAU22" s="953"/>
      <c r="MAV22" s="953"/>
      <c r="MAW22" s="953"/>
      <c r="MAX22" s="953"/>
      <c r="MAY22" s="953"/>
      <c r="MAZ22" s="953"/>
      <c r="MBA22" s="953"/>
      <c r="MBB22" s="953"/>
      <c r="MBC22" s="953"/>
      <c r="MBD22" s="953"/>
      <c r="MBE22" s="953"/>
      <c r="MBF22" s="953"/>
      <c r="MBG22" s="953"/>
      <c r="MBH22" s="953"/>
      <c r="MBI22" s="953"/>
      <c r="MBJ22" s="953"/>
      <c r="MBK22" s="953"/>
      <c r="MBL22" s="953"/>
      <c r="MBM22" s="953"/>
      <c r="MBN22" s="953"/>
      <c r="MBO22" s="953"/>
      <c r="MBP22" s="953"/>
      <c r="MBQ22" s="953"/>
      <c r="MBR22" s="953"/>
      <c r="MBS22" s="953"/>
      <c r="MBT22" s="953"/>
      <c r="MBU22" s="953"/>
      <c r="MBV22" s="953"/>
      <c r="MBW22" s="953"/>
      <c r="MBX22" s="953"/>
      <c r="MBY22" s="953"/>
      <c r="MBZ22" s="953"/>
      <c r="MCA22" s="953"/>
      <c r="MCB22" s="953"/>
      <c r="MCC22" s="953"/>
      <c r="MCD22" s="953"/>
      <c r="MCE22" s="953"/>
      <c r="MCF22" s="953"/>
      <c r="MCG22" s="953"/>
      <c r="MCH22" s="953"/>
      <c r="MCI22" s="953"/>
      <c r="MCJ22" s="953"/>
      <c r="MCK22" s="953"/>
      <c r="MCL22" s="953"/>
      <c r="MCM22" s="953"/>
      <c r="MCN22" s="953"/>
      <c r="MCO22" s="953"/>
      <c r="MCP22" s="953"/>
      <c r="MCQ22" s="953"/>
      <c r="MCR22" s="953"/>
      <c r="MCS22" s="953"/>
      <c r="MCT22" s="953"/>
      <c r="MCU22" s="953"/>
      <c r="MCV22" s="953"/>
      <c r="MCW22" s="953"/>
      <c r="MCX22" s="953"/>
      <c r="MCY22" s="953"/>
      <c r="MCZ22" s="953"/>
      <c r="MDA22" s="953"/>
      <c r="MDB22" s="953"/>
      <c r="MDC22" s="953"/>
      <c r="MDD22" s="953"/>
      <c r="MDE22" s="953"/>
      <c r="MDF22" s="953"/>
      <c r="MDG22" s="953"/>
      <c r="MDH22" s="953"/>
      <c r="MDI22" s="953"/>
      <c r="MDJ22" s="953"/>
      <c r="MDK22" s="953"/>
      <c r="MDL22" s="953"/>
      <c r="MDM22" s="953"/>
      <c r="MDN22" s="953"/>
      <c r="MDO22" s="953"/>
      <c r="MDP22" s="953"/>
      <c r="MDQ22" s="953"/>
      <c r="MDR22" s="953"/>
      <c r="MDS22" s="953"/>
      <c r="MDT22" s="953"/>
      <c r="MDU22" s="953"/>
      <c r="MDV22" s="953"/>
      <c r="MDW22" s="953"/>
      <c r="MDX22" s="953"/>
      <c r="MDY22" s="953"/>
      <c r="MDZ22" s="953"/>
      <c r="MEA22" s="953"/>
      <c r="MEB22" s="953"/>
      <c r="MEC22" s="953"/>
      <c r="MED22" s="953"/>
      <c r="MEE22" s="953"/>
      <c r="MEF22" s="953"/>
      <c r="MEG22" s="953"/>
      <c r="MEH22" s="953"/>
      <c r="MEI22" s="953"/>
      <c r="MEJ22" s="953"/>
      <c r="MEK22" s="953"/>
      <c r="MEL22" s="953"/>
      <c r="MEM22" s="953"/>
      <c r="MEN22" s="953"/>
      <c r="MEO22" s="953"/>
      <c r="MEP22" s="953"/>
      <c r="MEQ22" s="953"/>
      <c r="MER22" s="953"/>
      <c r="MES22" s="953"/>
      <c r="MET22" s="953"/>
      <c r="MEU22" s="953"/>
      <c r="MEV22" s="953"/>
      <c r="MEW22" s="953"/>
      <c r="MEX22" s="953"/>
      <c r="MEY22" s="953"/>
      <c r="MEZ22" s="953"/>
      <c r="MFA22" s="953"/>
      <c r="MFB22" s="953"/>
      <c r="MFC22" s="953"/>
      <c r="MFD22" s="953"/>
      <c r="MFE22" s="953"/>
      <c r="MFF22" s="953"/>
      <c r="MFG22" s="953"/>
      <c r="MFH22" s="953"/>
      <c r="MFI22" s="953"/>
      <c r="MFJ22" s="953"/>
      <c r="MFK22" s="953"/>
      <c r="MFL22" s="953"/>
      <c r="MFM22" s="953"/>
      <c r="MFN22" s="953"/>
      <c r="MFO22" s="953"/>
      <c r="MFP22" s="953"/>
      <c r="MFQ22" s="953"/>
      <c r="MFR22" s="953"/>
      <c r="MFS22" s="953"/>
      <c r="MFT22" s="953"/>
      <c r="MFU22" s="953"/>
      <c r="MFV22" s="953"/>
      <c r="MFW22" s="953"/>
      <c r="MFX22" s="953"/>
      <c r="MFY22" s="953"/>
      <c r="MFZ22" s="953"/>
      <c r="MGA22" s="953"/>
      <c r="MGB22" s="953"/>
      <c r="MGC22" s="953"/>
      <c r="MGD22" s="953"/>
      <c r="MGE22" s="953"/>
      <c r="MGF22" s="953"/>
      <c r="MGG22" s="953"/>
      <c r="MGH22" s="953"/>
      <c r="MGI22" s="953"/>
      <c r="MGJ22" s="953"/>
      <c r="MGK22" s="953"/>
      <c r="MGL22" s="953"/>
      <c r="MGM22" s="953"/>
      <c r="MGN22" s="953"/>
      <c r="MGO22" s="953"/>
      <c r="MGP22" s="953"/>
      <c r="MGQ22" s="953"/>
      <c r="MGR22" s="953"/>
      <c r="MGS22" s="953"/>
      <c r="MGT22" s="953"/>
      <c r="MGU22" s="953"/>
      <c r="MGV22" s="953"/>
      <c r="MGW22" s="953"/>
      <c r="MGX22" s="953"/>
      <c r="MGY22" s="953"/>
      <c r="MGZ22" s="953"/>
      <c r="MHA22" s="953"/>
      <c r="MHB22" s="953"/>
      <c r="MHC22" s="953"/>
      <c r="MHD22" s="953"/>
      <c r="MHE22" s="953"/>
      <c r="MHF22" s="953"/>
      <c r="MHG22" s="953"/>
      <c r="MHH22" s="953"/>
      <c r="MHI22" s="953"/>
      <c r="MHJ22" s="953"/>
      <c r="MHK22" s="953"/>
      <c r="MHL22" s="953"/>
      <c r="MHM22" s="953"/>
      <c r="MHN22" s="953"/>
      <c r="MHO22" s="953"/>
      <c r="MHP22" s="953"/>
      <c r="MHQ22" s="953"/>
      <c r="MHR22" s="953"/>
      <c r="MHS22" s="953"/>
      <c r="MHT22" s="953"/>
      <c r="MHU22" s="953"/>
      <c r="MHV22" s="953"/>
      <c r="MHW22" s="953"/>
      <c r="MHX22" s="953"/>
      <c r="MHY22" s="953"/>
      <c r="MHZ22" s="953"/>
      <c r="MIA22" s="953"/>
      <c r="MIB22" s="953"/>
      <c r="MIC22" s="953"/>
      <c r="MID22" s="953"/>
      <c r="MIE22" s="953"/>
      <c r="MIF22" s="953"/>
      <c r="MIG22" s="953"/>
      <c r="MIH22" s="953"/>
      <c r="MII22" s="953"/>
      <c r="MIJ22" s="953"/>
      <c r="MIK22" s="953"/>
      <c r="MIL22" s="953"/>
      <c r="MIM22" s="953"/>
      <c r="MIN22" s="953"/>
      <c r="MIO22" s="953"/>
      <c r="MIP22" s="953"/>
      <c r="MIQ22" s="953"/>
      <c r="MIR22" s="953"/>
      <c r="MIS22" s="953"/>
      <c r="MIT22" s="953"/>
      <c r="MIU22" s="953"/>
      <c r="MIV22" s="953"/>
      <c r="MIW22" s="953"/>
      <c r="MIX22" s="953"/>
      <c r="MIY22" s="953"/>
      <c r="MIZ22" s="953"/>
      <c r="MJA22" s="953"/>
      <c r="MJB22" s="953"/>
      <c r="MJC22" s="953"/>
      <c r="MJD22" s="953"/>
      <c r="MJE22" s="953"/>
      <c r="MJF22" s="953"/>
      <c r="MJG22" s="953"/>
      <c r="MJH22" s="953"/>
      <c r="MJI22" s="953"/>
      <c r="MJJ22" s="953"/>
      <c r="MJK22" s="953"/>
      <c r="MJL22" s="953"/>
      <c r="MJM22" s="953"/>
      <c r="MJN22" s="953"/>
      <c r="MJO22" s="953"/>
      <c r="MJP22" s="953"/>
      <c r="MJQ22" s="953"/>
      <c r="MJR22" s="953"/>
      <c r="MJS22" s="953"/>
      <c r="MJT22" s="953"/>
      <c r="MJU22" s="953"/>
      <c r="MJV22" s="953"/>
      <c r="MJW22" s="953"/>
      <c r="MJX22" s="953"/>
      <c r="MJY22" s="953"/>
      <c r="MJZ22" s="953"/>
      <c r="MKA22" s="953"/>
      <c r="MKB22" s="953"/>
      <c r="MKC22" s="953"/>
      <c r="MKD22" s="953"/>
      <c r="MKE22" s="953"/>
      <c r="MKF22" s="953"/>
      <c r="MKG22" s="953"/>
      <c r="MKH22" s="953"/>
      <c r="MKI22" s="953"/>
      <c r="MKJ22" s="953"/>
      <c r="MKK22" s="953"/>
      <c r="MKL22" s="953"/>
      <c r="MKM22" s="953"/>
      <c r="MKN22" s="953"/>
      <c r="MKO22" s="953"/>
      <c r="MKP22" s="953"/>
      <c r="MKQ22" s="953"/>
      <c r="MKR22" s="953"/>
      <c r="MKS22" s="953"/>
      <c r="MKT22" s="953"/>
      <c r="MKU22" s="953"/>
      <c r="MKV22" s="953"/>
      <c r="MKW22" s="953"/>
      <c r="MKX22" s="953"/>
      <c r="MKY22" s="953"/>
      <c r="MKZ22" s="953"/>
      <c r="MLA22" s="953"/>
      <c r="MLB22" s="953"/>
      <c r="MLC22" s="953"/>
      <c r="MLD22" s="953"/>
      <c r="MLE22" s="953"/>
      <c r="MLF22" s="953"/>
      <c r="MLG22" s="953"/>
      <c r="MLH22" s="953"/>
      <c r="MLI22" s="953"/>
      <c r="MLJ22" s="953"/>
      <c r="MLK22" s="953"/>
      <c r="MLL22" s="953"/>
      <c r="MLM22" s="953"/>
      <c r="MLN22" s="953"/>
      <c r="MLO22" s="953"/>
      <c r="MLP22" s="953"/>
      <c r="MLQ22" s="953"/>
      <c r="MLR22" s="953"/>
      <c r="MLS22" s="953"/>
      <c r="MLT22" s="953"/>
      <c r="MLU22" s="953"/>
      <c r="MLV22" s="953"/>
      <c r="MLW22" s="953"/>
      <c r="MLX22" s="953"/>
      <c r="MLY22" s="953"/>
      <c r="MLZ22" s="953"/>
      <c r="MMA22" s="953"/>
      <c r="MMB22" s="953"/>
      <c r="MMC22" s="953"/>
      <c r="MMD22" s="953"/>
      <c r="MME22" s="953"/>
      <c r="MMF22" s="953"/>
      <c r="MMG22" s="953"/>
      <c r="MMH22" s="953"/>
      <c r="MMI22" s="953"/>
      <c r="MMJ22" s="953"/>
      <c r="MMK22" s="953"/>
      <c r="MML22" s="953"/>
      <c r="MMM22" s="953"/>
      <c r="MMN22" s="953"/>
      <c r="MMO22" s="953"/>
      <c r="MMP22" s="953"/>
      <c r="MMQ22" s="953"/>
      <c r="MMR22" s="953"/>
      <c r="MMS22" s="953"/>
      <c r="MMT22" s="953"/>
      <c r="MMU22" s="953"/>
      <c r="MMV22" s="953"/>
      <c r="MMW22" s="953"/>
      <c r="MMX22" s="953"/>
      <c r="MMY22" s="953"/>
      <c r="MMZ22" s="953"/>
      <c r="MNA22" s="953"/>
      <c r="MNB22" s="953"/>
      <c r="MNC22" s="953"/>
      <c r="MND22" s="953"/>
      <c r="MNE22" s="953"/>
      <c r="MNF22" s="953"/>
      <c r="MNG22" s="953"/>
      <c r="MNH22" s="953"/>
      <c r="MNI22" s="953"/>
      <c r="MNJ22" s="953"/>
      <c r="MNK22" s="953"/>
      <c r="MNL22" s="953"/>
      <c r="MNM22" s="953"/>
      <c r="MNN22" s="953"/>
      <c r="MNO22" s="953"/>
      <c r="MNP22" s="953"/>
      <c r="MNQ22" s="953"/>
      <c r="MNR22" s="953"/>
      <c r="MNS22" s="953"/>
      <c r="MNT22" s="953"/>
      <c r="MNU22" s="953"/>
      <c r="MNV22" s="953"/>
      <c r="MNW22" s="953"/>
      <c r="MNX22" s="953"/>
      <c r="MNY22" s="953"/>
      <c r="MNZ22" s="953"/>
      <c r="MOA22" s="953"/>
      <c r="MOB22" s="953"/>
      <c r="MOC22" s="953"/>
      <c r="MOD22" s="953"/>
      <c r="MOE22" s="953"/>
      <c r="MOF22" s="953"/>
      <c r="MOG22" s="953"/>
      <c r="MOH22" s="953"/>
      <c r="MOI22" s="953"/>
      <c r="MOJ22" s="953"/>
      <c r="MOK22" s="953"/>
      <c r="MOL22" s="953"/>
      <c r="MOM22" s="953"/>
      <c r="MON22" s="953"/>
      <c r="MOO22" s="953"/>
      <c r="MOP22" s="953"/>
      <c r="MOQ22" s="953"/>
      <c r="MOR22" s="953"/>
      <c r="MOS22" s="953"/>
      <c r="MOT22" s="953"/>
      <c r="MOU22" s="953"/>
      <c r="MOV22" s="953"/>
      <c r="MOW22" s="953"/>
      <c r="MOX22" s="953"/>
      <c r="MOY22" s="953"/>
      <c r="MOZ22" s="953"/>
      <c r="MPA22" s="953"/>
      <c r="MPB22" s="953"/>
      <c r="MPC22" s="953"/>
      <c r="MPD22" s="953"/>
      <c r="MPE22" s="953"/>
      <c r="MPF22" s="953"/>
      <c r="MPG22" s="953"/>
      <c r="MPH22" s="953"/>
      <c r="MPI22" s="953"/>
      <c r="MPJ22" s="953"/>
      <c r="MPK22" s="953"/>
      <c r="MPL22" s="953"/>
      <c r="MPM22" s="953"/>
      <c r="MPN22" s="953"/>
      <c r="MPO22" s="953"/>
      <c r="MPP22" s="953"/>
      <c r="MPQ22" s="953"/>
      <c r="MPR22" s="953"/>
      <c r="MPS22" s="953"/>
      <c r="MPT22" s="953"/>
      <c r="MPU22" s="953"/>
      <c r="MPV22" s="953"/>
      <c r="MPW22" s="953"/>
      <c r="MPX22" s="953"/>
      <c r="MPY22" s="953"/>
      <c r="MPZ22" s="953"/>
      <c r="MQA22" s="953"/>
      <c r="MQB22" s="953"/>
      <c r="MQC22" s="953"/>
      <c r="MQD22" s="953"/>
      <c r="MQE22" s="953"/>
      <c r="MQF22" s="953"/>
      <c r="MQG22" s="953"/>
      <c r="MQH22" s="953"/>
      <c r="MQI22" s="953"/>
      <c r="MQJ22" s="953"/>
      <c r="MQK22" s="953"/>
      <c r="MQL22" s="953"/>
      <c r="MQM22" s="953"/>
      <c r="MQN22" s="953"/>
      <c r="MQO22" s="953"/>
      <c r="MQP22" s="953"/>
      <c r="MQQ22" s="953"/>
      <c r="MQR22" s="953"/>
      <c r="MQS22" s="953"/>
      <c r="MQT22" s="953"/>
      <c r="MQU22" s="953"/>
      <c r="MQV22" s="953"/>
      <c r="MQW22" s="953"/>
      <c r="MQX22" s="953"/>
      <c r="MQY22" s="953"/>
      <c r="MQZ22" s="953"/>
      <c r="MRA22" s="953"/>
      <c r="MRB22" s="953"/>
      <c r="MRC22" s="953"/>
      <c r="MRD22" s="953"/>
      <c r="MRE22" s="953"/>
      <c r="MRF22" s="953"/>
      <c r="MRG22" s="953"/>
      <c r="MRH22" s="953"/>
      <c r="MRI22" s="953"/>
      <c r="MRJ22" s="953"/>
      <c r="MRK22" s="953"/>
      <c r="MRL22" s="953"/>
      <c r="MRM22" s="953"/>
      <c r="MRN22" s="953"/>
      <c r="MRO22" s="953"/>
      <c r="MRP22" s="953"/>
      <c r="MRQ22" s="953"/>
      <c r="MRR22" s="953"/>
      <c r="MRS22" s="953"/>
      <c r="MRT22" s="953"/>
      <c r="MRU22" s="953"/>
      <c r="MRV22" s="953"/>
      <c r="MRW22" s="953"/>
      <c r="MRX22" s="953"/>
      <c r="MRY22" s="953"/>
      <c r="MRZ22" s="953"/>
      <c r="MSA22" s="953"/>
      <c r="MSB22" s="953"/>
      <c r="MSC22" s="953"/>
      <c r="MSD22" s="953"/>
      <c r="MSE22" s="953"/>
      <c r="MSF22" s="953"/>
      <c r="MSG22" s="953"/>
      <c r="MSH22" s="953"/>
      <c r="MSI22" s="953"/>
      <c r="MSJ22" s="953"/>
      <c r="MSK22" s="953"/>
      <c r="MSL22" s="953"/>
      <c r="MSM22" s="953"/>
      <c r="MSN22" s="953"/>
      <c r="MSO22" s="953"/>
      <c r="MSP22" s="953"/>
      <c r="MSQ22" s="953"/>
      <c r="MSR22" s="953"/>
      <c r="MSS22" s="953"/>
      <c r="MST22" s="953"/>
      <c r="MSU22" s="953"/>
      <c r="MSV22" s="953"/>
      <c r="MSW22" s="953"/>
      <c r="MSX22" s="953"/>
      <c r="MSY22" s="953"/>
      <c r="MSZ22" s="953"/>
      <c r="MTA22" s="953"/>
      <c r="MTB22" s="953"/>
      <c r="MTC22" s="953"/>
      <c r="MTD22" s="953"/>
      <c r="MTE22" s="953"/>
      <c r="MTF22" s="953"/>
      <c r="MTG22" s="953"/>
      <c r="MTH22" s="953"/>
      <c r="MTI22" s="953"/>
      <c r="MTJ22" s="953"/>
      <c r="MTK22" s="953"/>
      <c r="MTL22" s="953"/>
      <c r="MTM22" s="953"/>
      <c r="MTN22" s="953"/>
      <c r="MTO22" s="953"/>
      <c r="MTP22" s="953"/>
      <c r="MTQ22" s="953"/>
      <c r="MTR22" s="953"/>
      <c r="MTS22" s="953"/>
      <c r="MTT22" s="953"/>
      <c r="MTU22" s="953"/>
      <c r="MTV22" s="953"/>
      <c r="MTW22" s="953"/>
      <c r="MTX22" s="953"/>
      <c r="MTY22" s="953"/>
      <c r="MTZ22" s="953"/>
      <c r="MUA22" s="953"/>
      <c r="MUB22" s="953"/>
      <c r="MUC22" s="953"/>
      <c r="MUD22" s="953"/>
      <c r="MUE22" s="953"/>
      <c r="MUF22" s="953"/>
      <c r="MUG22" s="953"/>
      <c r="MUH22" s="953"/>
      <c r="MUI22" s="953"/>
      <c r="MUJ22" s="953"/>
      <c r="MUK22" s="953"/>
      <c r="MUL22" s="953"/>
      <c r="MUM22" s="953"/>
      <c r="MUN22" s="953"/>
      <c r="MUO22" s="953"/>
      <c r="MUP22" s="953"/>
      <c r="MUQ22" s="953"/>
      <c r="MUR22" s="953"/>
      <c r="MUS22" s="953"/>
      <c r="MUT22" s="953"/>
      <c r="MUU22" s="953"/>
      <c r="MUV22" s="953"/>
      <c r="MUW22" s="953"/>
      <c r="MUX22" s="953"/>
      <c r="MUY22" s="953"/>
      <c r="MUZ22" s="953"/>
      <c r="MVA22" s="953"/>
      <c r="MVB22" s="953"/>
      <c r="MVC22" s="953"/>
      <c r="MVD22" s="953"/>
      <c r="MVE22" s="953"/>
      <c r="MVF22" s="953"/>
      <c r="MVG22" s="953"/>
      <c r="MVH22" s="953"/>
      <c r="MVI22" s="953"/>
      <c r="MVJ22" s="953"/>
      <c r="MVK22" s="953"/>
      <c r="MVL22" s="953"/>
      <c r="MVM22" s="953"/>
      <c r="MVN22" s="953"/>
      <c r="MVO22" s="953"/>
      <c r="MVP22" s="953"/>
      <c r="MVQ22" s="953"/>
      <c r="MVR22" s="953"/>
      <c r="MVS22" s="953"/>
      <c r="MVT22" s="953"/>
      <c r="MVU22" s="953"/>
      <c r="MVV22" s="953"/>
      <c r="MVW22" s="953"/>
      <c r="MVX22" s="953"/>
      <c r="MVY22" s="953"/>
      <c r="MVZ22" s="953"/>
      <c r="MWA22" s="953"/>
      <c r="MWB22" s="953"/>
      <c r="MWC22" s="953"/>
      <c r="MWD22" s="953"/>
      <c r="MWE22" s="953"/>
      <c r="MWF22" s="953"/>
      <c r="MWG22" s="953"/>
      <c r="MWH22" s="953"/>
      <c r="MWI22" s="953"/>
      <c r="MWJ22" s="953"/>
      <c r="MWK22" s="953"/>
      <c r="MWL22" s="953"/>
      <c r="MWM22" s="953"/>
      <c r="MWN22" s="953"/>
      <c r="MWO22" s="953"/>
      <c r="MWP22" s="953"/>
      <c r="MWQ22" s="953"/>
      <c r="MWR22" s="953"/>
      <c r="MWS22" s="953"/>
      <c r="MWT22" s="953"/>
      <c r="MWU22" s="953"/>
      <c r="MWV22" s="953"/>
      <c r="MWW22" s="953"/>
      <c r="MWX22" s="953"/>
      <c r="MWY22" s="953"/>
      <c r="MWZ22" s="953"/>
      <c r="MXA22" s="953"/>
      <c r="MXB22" s="953"/>
      <c r="MXC22" s="953"/>
      <c r="MXD22" s="953"/>
      <c r="MXE22" s="953"/>
      <c r="MXF22" s="953"/>
      <c r="MXG22" s="953"/>
      <c r="MXH22" s="953"/>
      <c r="MXI22" s="953"/>
      <c r="MXJ22" s="953"/>
      <c r="MXK22" s="953"/>
      <c r="MXL22" s="953"/>
      <c r="MXM22" s="953"/>
      <c r="MXN22" s="953"/>
      <c r="MXO22" s="953"/>
      <c r="MXP22" s="953"/>
      <c r="MXQ22" s="953"/>
      <c r="MXR22" s="953"/>
      <c r="MXS22" s="953"/>
      <c r="MXT22" s="953"/>
      <c r="MXU22" s="953"/>
      <c r="MXV22" s="953"/>
      <c r="MXW22" s="953"/>
      <c r="MXX22" s="953"/>
      <c r="MXY22" s="953"/>
      <c r="MXZ22" s="953"/>
      <c r="MYA22" s="953"/>
      <c r="MYB22" s="953"/>
      <c r="MYC22" s="953"/>
      <c r="MYD22" s="953"/>
      <c r="MYE22" s="953"/>
      <c r="MYF22" s="953"/>
      <c r="MYG22" s="953"/>
      <c r="MYH22" s="953"/>
      <c r="MYI22" s="953"/>
      <c r="MYJ22" s="953"/>
      <c r="MYK22" s="953"/>
      <c r="MYL22" s="953"/>
      <c r="MYM22" s="953"/>
      <c r="MYN22" s="953"/>
      <c r="MYO22" s="953"/>
      <c r="MYP22" s="953"/>
      <c r="MYQ22" s="953"/>
      <c r="MYR22" s="953"/>
      <c r="MYS22" s="953"/>
      <c r="MYT22" s="953"/>
      <c r="MYU22" s="953"/>
      <c r="MYV22" s="953"/>
      <c r="MYW22" s="953"/>
      <c r="MYX22" s="953"/>
      <c r="MYY22" s="953"/>
      <c r="MYZ22" s="953"/>
      <c r="MZA22" s="953"/>
      <c r="MZB22" s="953"/>
      <c r="MZC22" s="953"/>
      <c r="MZD22" s="953"/>
      <c r="MZE22" s="953"/>
      <c r="MZF22" s="953"/>
      <c r="MZG22" s="953"/>
      <c r="MZH22" s="953"/>
      <c r="MZI22" s="953"/>
      <c r="MZJ22" s="953"/>
      <c r="MZK22" s="953"/>
      <c r="MZL22" s="953"/>
      <c r="MZM22" s="953"/>
      <c r="MZN22" s="953"/>
      <c r="MZO22" s="953"/>
      <c r="MZP22" s="953"/>
      <c r="MZQ22" s="953"/>
      <c r="MZR22" s="953"/>
      <c r="MZS22" s="953"/>
      <c r="MZT22" s="953"/>
      <c r="MZU22" s="953"/>
      <c r="MZV22" s="953"/>
      <c r="MZW22" s="953"/>
      <c r="MZX22" s="953"/>
      <c r="MZY22" s="953"/>
      <c r="MZZ22" s="953"/>
      <c r="NAA22" s="953"/>
      <c r="NAB22" s="953"/>
      <c r="NAC22" s="953"/>
      <c r="NAD22" s="953"/>
      <c r="NAE22" s="953"/>
      <c r="NAF22" s="953"/>
      <c r="NAG22" s="953"/>
      <c r="NAH22" s="953"/>
      <c r="NAI22" s="953"/>
      <c r="NAJ22" s="953"/>
      <c r="NAK22" s="953"/>
      <c r="NAL22" s="953"/>
      <c r="NAM22" s="953"/>
      <c r="NAN22" s="953"/>
      <c r="NAO22" s="953"/>
      <c r="NAP22" s="953"/>
      <c r="NAQ22" s="953"/>
      <c r="NAR22" s="953"/>
      <c r="NAS22" s="953"/>
      <c r="NAT22" s="953"/>
      <c r="NAU22" s="953"/>
      <c r="NAV22" s="953"/>
      <c r="NAW22" s="953"/>
      <c r="NAX22" s="953"/>
      <c r="NAY22" s="953"/>
      <c r="NAZ22" s="953"/>
      <c r="NBA22" s="953"/>
      <c r="NBB22" s="953"/>
      <c r="NBC22" s="953"/>
      <c r="NBD22" s="953"/>
      <c r="NBE22" s="953"/>
      <c r="NBF22" s="953"/>
      <c r="NBG22" s="953"/>
      <c r="NBH22" s="953"/>
      <c r="NBI22" s="953"/>
      <c r="NBJ22" s="953"/>
      <c r="NBK22" s="953"/>
      <c r="NBL22" s="953"/>
      <c r="NBM22" s="953"/>
      <c r="NBN22" s="953"/>
      <c r="NBO22" s="953"/>
      <c r="NBP22" s="953"/>
      <c r="NBQ22" s="953"/>
      <c r="NBR22" s="953"/>
      <c r="NBS22" s="953"/>
      <c r="NBT22" s="953"/>
      <c r="NBU22" s="953"/>
      <c r="NBV22" s="953"/>
      <c r="NBW22" s="953"/>
      <c r="NBX22" s="953"/>
      <c r="NBY22" s="953"/>
      <c r="NBZ22" s="953"/>
      <c r="NCA22" s="953"/>
      <c r="NCB22" s="953"/>
      <c r="NCC22" s="953"/>
      <c r="NCD22" s="953"/>
      <c r="NCE22" s="953"/>
      <c r="NCF22" s="953"/>
      <c r="NCG22" s="953"/>
      <c r="NCH22" s="953"/>
      <c r="NCI22" s="953"/>
      <c r="NCJ22" s="953"/>
      <c r="NCK22" s="953"/>
      <c r="NCL22" s="953"/>
      <c r="NCM22" s="953"/>
      <c r="NCN22" s="953"/>
      <c r="NCO22" s="953"/>
      <c r="NCP22" s="953"/>
      <c r="NCQ22" s="953"/>
      <c r="NCR22" s="953"/>
      <c r="NCS22" s="953"/>
      <c r="NCT22" s="953"/>
      <c r="NCU22" s="953"/>
      <c r="NCV22" s="953"/>
      <c r="NCW22" s="953"/>
      <c r="NCX22" s="953"/>
      <c r="NCY22" s="953"/>
      <c r="NCZ22" s="953"/>
      <c r="NDA22" s="953"/>
      <c r="NDB22" s="953"/>
      <c r="NDC22" s="953"/>
      <c r="NDD22" s="953"/>
      <c r="NDE22" s="953"/>
      <c r="NDF22" s="953"/>
      <c r="NDG22" s="953"/>
      <c r="NDH22" s="953"/>
      <c r="NDI22" s="953"/>
      <c r="NDJ22" s="953"/>
      <c r="NDK22" s="953"/>
      <c r="NDL22" s="953"/>
      <c r="NDM22" s="953"/>
      <c r="NDN22" s="953"/>
      <c r="NDO22" s="953"/>
      <c r="NDP22" s="953"/>
      <c r="NDQ22" s="953"/>
      <c r="NDR22" s="953"/>
      <c r="NDS22" s="953"/>
      <c r="NDT22" s="953"/>
      <c r="NDU22" s="953"/>
      <c r="NDV22" s="953"/>
      <c r="NDW22" s="953"/>
      <c r="NDX22" s="953"/>
      <c r="NDY22" s="953"/>
      <c r="NDZ22" s="953"/>
      <c r="NEA22" s="953"/>
      <c r="NEB22" s="953"/>
      <c r="NEC22" s="953"/>
      <c r="NED22" s="953"/>
      <c r="NEE22" s="953"/>
      <c r="NEF22" s="953"/>
      <c r="NEG22" s="953"/>
      <c r="NEH22" s="953"/>
      <c r="NEI22" s="953"/>
      <c r="NEJ22" s="953"/>
      <c r="NEK22" s="953"/>
      <c r="NEL22" s="953"/>
      <c r="NEM22" s="953"/>
      <c r="NEN22" s="953"/>
      <c r="NEO22" s="953"/>
      <c r="NEP22" s="953"/>
      <c r="NEQ22" s="953"/>
      <c r="NER22" s="953"/>
      <c r="NES22" s="953"/>
      <c r="NET22" s="953"/>
      <c r="NEU22" s="953"/>
      <c r="NEV22" s="953"/>
      <c r="NEW22" s="953"/>
      <c r="NEX22" s="953"/>
      <c r="NEY22" s="953"/>
      <c r="NEZ22" s="953"/>
      <c r="NFA22" s="953"/>
      <c r="NFB22" s="953"/>
      <c r="NFC22" s="953"/>
      <c r="NFD22" s="953"/>
      <c r="NFE22" s="953"/>
      <c r="NFF22" s="953"/>
      <c r="NFG22" s="953"/>
      <c r="NFH22" s="953"/>
      <c r="NFI22" s="953"/>
      <c r="NFJ22" s="953"/>
      <c r="NFK22" s="953"/>
      <c r="NFL22" s="953"/>
      <c r="NFM22" s="953"/>
      <c r="NFN22" s="953"/>
      <c r="NFO22" s="953"/>
      <c r="NFP22" s="953"/>
      <c r="NFQ22" s="953"/>
      <c r="NFR22" s="953"/>
      <c r="NFS22" s="953"/>
      <c r="NFT22" s="953"/>
      <c r="NFU22" s="953"/>
      <c r="NFV22" s="953"/>
      <c r="NFW22" s="953"/>
      <c r="NFX22" s="953"/>
      <c r="NFY22" s="953"/>
      <c r="NFZ22" s="953"/>
      <c r="NGA22" s="953"/>
      <c r="NGB22" s="953"/>
      <c r="NGC22" s="953"/>
      <c r="NGD22" s="953"/>
      <c r="NGE22" s="953"/>
      <c r="NGF22" s="953"/>
      <c r="NGG22" s="953"/>
      <c r="NGH22" s="953"/>
      <c r="NGI22" s="953"/>
      <c r="NGJ22" s="953"/>
      <c r="NGK22" s="953"/>
      <c r="NGL22" s="953"/>
      <c r="NGM22" s="953"/>
      <c r="NGN22" s="953"/>
      <c r="NGO22" s="953"/>
      <c r="NGP22" s="953"/>
      <c r="NGQ22" s="953"/>
      <c r="NGR22" s="953"/>
      <c r="NGS22" s="953"/>
      <c r="NGT22" s="953"/>
      <c r="NGU22" s="953"/>
      <c r="NGV22" s="953"/>
      <c r="NGW22" s="953"/>
      <c r="NGX22" s="953"/>
      <c r="NGY22" s="953"/>
      <c r="NGZ22" s="953"/>
      <c r="NHA22" s="953"/>
      <c r="NHB22" s="953"/>
      <c r="NHC22" s="953"/>
      <c r="NHD22" s="953"/>
      <c r="NHE22" s="953"/>
      <c r="NHF22" s="953"/>
      <c r="NHG22" s="953"/>
      <c r="NHH22" s="953"/>
      <c r="NHI22" s="953"/>
      <c r="NHJ22" s="953"/>
      <c r="NHK22" s="953"/>
      <c r="NHL22" s="953"/>
      <c r="NHM22" s="953"/>
      <c r="NHN22" s="953"/>
      <c r="NHO22" s="953"/>
      <c r="NHP22" s="953"/>
      <c r="NHQ22" s="953"/>
      <c r="NHR22" s="953"/>
      <c r="NHS22" s="953"/>
      <c r="NHT22" s="953"/>
      <c r="NHU22" s="953"/>
      <c r="NHV22" s="953"/>
      <c r="NHW22" s="953"/>
      <c r="NHX22" s="953"/>
      <c r="NHY22" s="953"/>
      <c r="NHZ22" s="953"/>
      <c r="NIA22" s="953"/>
      <c r="NIB22" s="953"/>
      <c r="NIC22" s="953"/>
      <c r="NID22" s="953"/>
      <c r="NIE22" s="953"/>
      <c r="NIF22" s="953"/>
      <c r="NIG22" s="953"/>
      <c r="NIH22" s="953"/>
      <c r="NII22" s="953"/>
      <c r="NIJ22" s="953"/>
      <c r="NIK22" s="953"/>
      <c r="NIL22" s="953"/>
      <c r="NIM22" s="953"/>
      <c r="NIN22" s="953"/>
      <c r="NIO22" s="953"/>
      <c r="NIP22" s="953"/>
      <c r="NIQ22" s="953"/>
      <c r="NIR22" s="953"/>
      <c r="NIS22" s="953"/>
      <c r="NIT22" s="953"/>
      <c r="NIU22" s="953"/>
      <c r="NIV22" s="953"/>
      <c r="NIW22" s="953"/>
      <c r="NIX22" s="953"/>
      <c r="NIY22" s="953"/>
      <c r="NIZ22" s="953"/>
      <c r="NJA22" s="953"/>
      <c r="NJB22" s="953"/>
      <c r="NJC22" s="953"/>
      <c r="NJD22" s="953"/>
      <c r="NJE22" s="953"/>
      <c r="NJF22" s="953"/>
      <c r="NJG22" s="953"/>
      <c r="NJH22" s="953"/>
      <c r="NJI22" s="953"/>
      <c r="NJJ22" s="953"/>
      <c r="NJK22" s="953"/>
      <c r="NJL22" s="953"/>
      <c r="NJM22" s="953"/>
      <c r="NJN22" s="953"/>
      <c r="NJO22" s="953"/>
      <c r="NJP22" s="953"/>
      <c r="NJQ22" s="953"/>
      <c r="NJR22" s="953"/>
      <c r="NJS22" s="953"/>
      <c r="NJT22" s="953"/>
      <c r="NJU22" s="953"/>
      <c r="NJV22" s="953"/>
      <c r="NJW22" s="953"/>
      <c r="NJX22" s="953"/>
      <c r="NJY22" s="953"/>
      <c r="NJZ22" s="953"/>
      <c r="NKA22" s="953"/>
      <c r="NKB22" s="953"/>
      <c r="NKC22" s="953"/>
      <c r="NKD22" s="953"/>
      <c r="NKE22" s="953"/>
      <c r="NKF22" s="953"/>
      <c r="NKG22" s="953"/>
      <c r="NKH22" s="953"/>
      <c r="NKI22" s="953"/>
      <c r="NKJ22" s="953"/>
      <c r="NKK22" s="953"/>
      <c r="NKL22" s="953"/>
      <c r="NKM22" s="953"/>
      <c r="NKN22" s="953"/>
      <c r="NKO22" s="953"/>
      <c r="NKP22" s="953"/>
      <c r="NKQ22" s="953"/>
      <c r="NKR22" s="953"/>
      <c r="NKS22" s="953"/>
      <c r="NKT22" s="953"/>
      <c r="NKU22" s="953"/>
      <c r="NKV22" s="953"/>
      <c r="NKW22" s="953"/>
      <c r="NKX22" s="953"/>
      <c r="NKY22" s="953"/>
      <c r="NKZ22" s="953"/>
      <c r="NLA22" s="953"/>
      <c r="NLB22" s="953"/>
      <c r="NLC22" s="953"/>
      <c r="NLD22" s="953"/>
      <c r="NLE22" s="953"/>
      <c r="NLF22" s="953"/>
      <c r="NLG22" s="953"/>
      <c r="NLH22" s="953"/>
      <c r="NLI22" s="953"/>
      <c r="NLJ22" s="953"/>
      <c r="NLK22" s="953"/>
      <c r="NLL22" s="953"/>
      <c r="NLM22" s="953"/>
      <c r="NLN22" s="953"/>
      <c r="NLO22" s="953"/>
      <c r="NLP22" s="953"/>
      <c r="NLQ22" s="953"/>
      <c r="NLR22" s="953"/>
      <c r="NLS22" s="953"/>
      <c r="NLT22" s="953"/>
      <c r="NLU22" s="953"/>
      <c r="NLV22" s="953"/>
      <c r="NLW22" s="953"/>
      <c r="NLX22" s="953"/>
      <c r="NLY22" s="953"/>
      <c r="NLZ22" s="953"/>
      <c r="NMA22" s="953"/>
      <c r="NMB22" s="953"/>
      <c r="NMC22" s="953"/>
      <c r="NMD22" s="953"/>
      <c r="NME22" s="953"/>
      <c r="NMF22" s="953"/>
      <c r="NMG22" s="953"/>
      <c r="NMH22" s="953"/>
      <c r="NMI22" s="953"/>
      <c r="NMJ22" s="953"/>
      <c r="NMK22" s="953"/>
      <c r="NML22" s="953"/>
      <c r="NMM22" s="953"/>
      <c r="NMN22" s="953"/>
      <c r="NMO22" s="953"/>
      <c r="NMP22" s="953"/>
      <c r="NMQ22" s="953"/>
      <c r="NMR22" s="953"/>
      <c r="NMS22" s="953"/>
      <c r="NMT22" s="953"/>
      <c r="NMU22" s="953"/>
      <c r="NMV22" s="953"/>
      <c r="NMW22" s="953"/>
      <c r="NMX22" s="953"/>
      <c r="NMY22" s="953"/>
      <c r="NMZ22" s="953"/>
      <c r="NNA22" s="953"/>
      <c r="NNB22" s="953"/>
      <c r="NNC22" s="953"/>
      <c r="NND22" s="953"/>
      <c r="NNE22" s="953"/>
      <c r="NNF22" s="953"/>
      <c r="NNG22" s="953"/>
      <c r="NNH22" s="953"/>
      <c r="NNI22" s="953"/>
      <c r="NNJ22" s="953"/>
      <c r="NNK22" s="953"/>
      <c r="NNL22" s="953"/>
      <c r="NNM22" s="953"/>
      <c r="NNN22" s="953"/>
      <c r="NNO22" s="953"/>
      <c r="NNP22" s="953"/>
      <c r="NNQ22" s="953"/>
      <c r="NNR22" s="953"/>
      <c r="NNS22" s="953"/>
      <c r="NNT22" s="953"/>
      <c r="NNU22" s="953"/>
      <c r="NNV22" s="953"/>
      <c r="NNW22" s="953"/>
      <c r="NNX22" s="953"/>
      <c r="NNY22" s="953"/>
      <c r="NNZ22" s="953"/>
      <c r="NOA22" s="953"/>
      <c r="NOB22" s="953"/>
      <c r="NOC22" s="953"/>
      <c r="NOD22" s="953"/>
      <c r="NOE22" s="953"/>
      <c r="NOF22" s="953"/>
      <c r="NOG22" s="953"/>
      <c r="NOH22" s="953"/>
      <c r="NOI22" s="953"/>
      <c r="NOJ22" s="953"/>
      <c r="NOK22" s="953"/>
      <c r="NOL22" s="953"/>
      <c r="NOM22" s="953"/>
      <c r="NON22" s="953"/>
      <c r="NOO22" s="953"/>
      <c r="NOP22" s="953"/>
      <c r="NOQ22" s="953"/>
      <c r="NOR22" s="953"/>
      <c r="NOS22" s="953"/>
      <c r="NOT22" s="953"/>
      <c r="NOU22" s="953"/>
      <c r="NOV22" s="953"/>
      <c r="NOW22" s="953"/>
      <c r="NOX22" s="953"/>
      <c r="NOY22" s="953"/>
      <c r="NOZ22" s="953"/>
      <c r="NPA22" s="953"/>
      <c r="NPB22" s="953"/>
      <c r="NPC22" s="953"/>
      <c r="NPD22" s="953"/>
      <c r="NPE22" s="953"/>
      <c r="NPF22" s="953"/>
      <c r="NPG22" s="953"/>
      <c r="NPH22" s="953"/>
      <c r="NPI22" s="953"/>
      <c r="NPJ22" s="953"/>
      <c r="NPK22" s="953"/>
      <c r="NPL22" s="953"/>
      <c r="NPM22" s="953"/>
      <c r="NPN22" s="953"/>
      <c r="NPO22" s="953"/>
      <c r="NPP22" s="953"/>
      <c r="NPQ22" s="953"/>
      <c r="NPR22" s="953"/>
      <c r="NPS22" s="953"/>
      <c r="NPT22" s="953"/>
      <c r="NPU22" s="953"/>
      <c r="NPV22" s="953"/>
      <c r="NPW22" s="953"/>
      <c r="NPX22" s="953"/>
      <c r="NPY22" s="953"/>
      <c r="NPZ22" s="953"/>
      <c r="NQA22" s="953"/>
      <c r="NQB22" s="953"/>
      <c r="NQC22" s="953"/>
      <c r="NQD22" s="953"/>
      <c r="NQE22" s="953"/>
      <c r="NQF22" s="953"/>
      <c r="NQG22" s="953"/>
      <c r="NQH22" s="953"/>
      <c r="NQI22" s="953"/>
      <c r="NQJ22" s="953"/>
      <c r="NQK22" s="953"/>
      <c r="NQL22" s="953"/>
      <c r="NQM22" s="953"/>
      <c r="NQN22" s="953"/>
      <c r="NQO22" s="953"/>
      <c r="NQP22" s="953"/>
      <c r="NQQ22" s="953"/>
      <c r="NQR22" s="953"/>
      <c r="NQS22" s="953"/>
      <c r="NQT22" s="953"/>
      <c r="NQU22" s="953"/>
      <c r="NQV22" s="953"/>
      <c r="NQW22" s="953"/>
      <c r="NQX22" s="953"/>
      <c r="NQY22" s="953"/>
      <c r="NQZ22" s="953"/>
      <c r="NRA22" s="953"/>
      <c r="NRB22" s="953"/>
      <c r="NRC22" s="953"/>
      <c r="NRD22" s="953"/>
      <c r="NRE22" s="953"/>
      <c r="NRF22" s="953"/>
      <c r="NRG22" s="953"/>
      <c r="NRH22" s="953"/>
      <c r="NRI22" s="953"/>
      <c r="NRJ22" s="953"/>
      <c r="NRK22" s="953"/>
      <c r="NRL22" s="953"/>
      <c r="NRM22" s="953"/>
      <c r="NRN22" s="953"/>
      <c r="NRO22" s="953"/>
      <c r="NRP22" s="953"/>
      <c r="NRQ22" s="953"/>
      <c r="NRR22" s="953"/>
      <c r="NRS22" s="953"/>
      <c r="NRT22" s="953"/>
      <c r="NRU22" s="953"/>
      <c r="NRV22" s="953"/>
      <c r="NRW22" s="953"/>
      <c r="NRX22" s="953"/>
      <c r="NRY22" s="953"/>
      <c r="NRZ22" s="953"/>
      <c r="NSA22" s="953"/>
      <c r="NSB22" s="953"/>
      <c r="NSC22" s="953"/>
      <c r="NSD22" s="953"/>
      <c r="NSE22" s="953"/>
      <c r="NSF22" s="953"/>
      <c r="NSG22" s="953"/>
      <c r="NSH22" s="953"/>
      <c r="NSI22" s="953"/>
      <c r="NSJ22" s="953"/>
      <c r="NSK22" s="953"/>
      <c r="NSL22" s="953"/>
      <c r="NSM22" s="953"/>
      <c r="NSN22" s="953"/>
      <c r="NSO22" s="953"/>
      <c r="NSP22" s="953"/>
      <c r="NSQ22" s="953"/>
      <c r="NSR22" s="953"/>
      <c r="NSS22" s="953"/>
      <c r="NST22" s="953"/>
      <c r="NSU22" s="953"/>
      <c r="NSV22" s="953"/>
      <c r="NSW22" s="953"/>
      <c r="NSX22" s="953"/>
      <c r="NSY22" s="953"/>
      <c r="NSZ22" s="953"/>
      <c r="NTA22" s="953"/>
      <c r="NTB22" s="953"/>
      <c r="NTC22" s="953"/>
      <c r="NTD22" s="953"/>
      <c r="NTE22" s="953"/>
      <c r="NTF22" s="953"/>
      <c r="NTG22" s="953"/>
      <c r="NTH22" s="953"/>
      <c r="NTI22" s="953"/>
      <c r="NTJ22" s="953"/>
      <c r="NTK22" s="953"/>
      <c r="NTL22" s="953"/>
      <c r="NTM22" s="953"/>
      <c r="NTN22" s="953"/>
      <c r="NTO22" s="953"/>
      <c r="NTP22" s="953"/>
      <c r="NTQ22" s="953"/>
      <c r="NTR22" s="953"/>
      <c r="NTS22" s="953"/>
      <c r="NTT22" s="953"/>
      <c r="NTU22" s="953"/>
      <c r="NTV22" s="953"/>
      <c r="NTW22" s="953"/>
      <c r="NTX22" s="953"/>
      <c r="NTY22" s="953"/>
      <c r="NTZ22" s="953"/>
      <c r="NUA22" s="953"/>
      <c r="NUB22" s="953"/>
      <c r="NUC22" s="953"/>
      <c r="NUD22" s="953"/>
      <c r="NUE22" s="953"/>
      <c r="NUF22" s="953"/>
      <c r="NUG22" s="953"/>
      <c r="NUH22" s="953"/>
      <c r="NUI22" s="953"/>
      <c r="NUJ22" s="953"/>
      <c r="NUK22" s="953"/>
      <c r="NUL22" s="953"/>
      <c r="NUM22" s="953"/>
      <c r="NUN22" s="953"/>
      <c r="NUO22" s="953"/>
      <c r="NUP22" s="953"/>
      <c r="NUQ22" s="953"/>
      <c r="NUR22" s="953"/>
      <c r="NUS22" s="953"/>
      <c r="NUT22" s="953"/>
      <c r="NUU22" s="953"/>
      <c r="NUV22" s="953"/>
      <c r="NUW22" s="953"/>
      <c r="NUX22" s="953"/>
      <c r="NUY22" s="953"/>
      <c r="NUZ22" s="953"/>
      <c r="NVA22" s="953"/>
      <c r="NVB22" s="953"/>
      <c r="NVC22" s="953"/>
      <c r="NVD22" s="953"/>
      <c r="NVE22" s="953"/>
      <c r="NVF22" s="953"/>
      <c r="NVG22" s="953"/>
      <c r="NVH22" s="953"/>
      <c r="NVI22" s="953"/>
      <c r="NVJ22" s="953"/>
      <c r="NVK22" s="953"/>
      <c r="NVL22" s="953"/>
      <c r="NVM22" s="953"/>
      <c r="NVN22" s="953"/>
      <c r="NVO22" s="953"/>
      <c r="NVP22" s="953"/>
      <c r="NVQ22" s="953"/>
      <c r="NVR22" s="953"/>
      <c r="NVS22" s="953"/>
      <c r="NVT22" s="953"/>
      <c r="NVU22" s="953"/>
      <c r="NVV22" s="953"/>
      <c r="NVW22" s="953"/>
      <c r="NVX22" s="953"/>
      <c r="NVY22" s="953"/>
      <c r="NVZ22" s="953"/>
      <c r="NWA22" s="953"/>
      <c r="NWB22" s="953"/>
      <c r="NWC22" s="953"/>
      <c r="NWD22" s="953"/>
      <c r="NWE22" s="953"/>
      <c r="NWF22" s="953"/>
      <c r="NWG22" s="953"/>
      <c r="NWH22" s="953"/>
      <c r="NWI22" s="953"/>
      <c r="NWJ22" s="953"/>
      <c r="NWK22" s="953"/>
      <c r="NWL22" s="953"/>
      <c r="NWM22" s="953"/>
      <c r="NWN22" s="953"/>
      <c r="NWO22" s="953"/>
      <c r="NWP22" s="953"/>
      <c r="NWQ22" s="953"/>
      <c r="NWR22" s="953"/>
      <c r="NWS22" s="953"/>
      <c r="NWT22" s="953"/>
      <c r="NWU22" s="953"/>
      <c r="NWV22" s="953"/>
      <c r="NWW22" s="953"/>
      <c r="NWX22" s="953"/>
      <c r="NWY22" s="953"/>
      <c r="NWZ22" s="953"/>
      <c r="NXA22" s="953"/>
      <c r="NXB22" s="953"/>
      <c r="NXC22" s="953"/>
      <c r="NXD22" s="953"/>
      <c r="NXE22" s="953"/>
      <c r="NXF22" s="953"/>
      <c r="NXG22" s="953"/>
      <c r="NXH22" s="953"/>
      <c r="NXI22" s="953"/>
      <c r="NXJ22" s="953"/>
      <c r="NXK22" s="953"/>
      <c r="NXL22" s="953"/>
      <c r="NXM22" s="953"/>
      <c r="NXN22" s="953"/>
      <c r="NXO22" s="953"/>
      <c r="NXP22" s="953"/>
      <c r="NXQ22" s="953"/>
      <c r="NXR22" s="953"/>
      <c r="NXS22" s="953"/>
      <c r="NXT22" s="953"/>
      <c r="NXU22" s="953"/>
      <c r="NXV22" s="953"/>
      <c r="NXW22" s="953"/>
      <c r="NXX22" s="953"/>
      <c r="NXY22" s="953"/>
      <c r="NXZ22" s="953"/>
      <c r="NYA22" s="953"/>
      <c r="NYB22" s="953"/>
      <c r="NYC22" s="953"/>
      <c r="NYD22" s="953"/>
      <c r="NYE22" s="953"/>
      <c r="NYF22" s="953"/>
      <c r="NYG22" s="953"/>
      <c r="NYH22" s="953"/>
      <c r="NYI22" s="953"/>
      <c r="NYJ22" s="953"/>
      <c r="NYK22" s="953"/>
      <c r="NYL22" s="953"/>
      <c r="NYM22" s="953"/>
      <c r="NYN22" s="953"/>
      <c r="NYO22" s="953"/>
      <c r="NYP22" s="953"/>
      <c r="NYQ22" s="953"/>
      <c r="NYR22" s="953"/>
      <c r="NYS22" s="953"/>
      <c r="NYT22" s="953"/>
      <c r="NYU22" s="953"/>
      <c r="NYV22" s="953"/>
      <c r="NYW22" s="953"/>
      <c r="NYX22" s="953"/>
      <c r="NYY22" s="953"/>
      <c r="NYZ22" s="953"/>
      <c r="NZA22" s="953"/>
      <c r="NZB22" s="953"/>
      <c r="NZC22" s="953"/>
      <c r="NZD22" s="953"/>
      <c r="NZE22" s="953"/>
      <c r="NZF22" s="953"/>
      <c r="NZG22" s="953"/>
      <c r="NZH22" s="953"/>
      <c r="NZI22" s="953"/>
      <c r="NZJ22" s="953"/>
      <c r="NZK22" s="953"/>
      <c r="NZL22" s="953"/>
      <c r="NZM22" s="953"/>
      <c r="NZN22" s="953"/>
      <c r="NZO22" s="953"/>
      <c r="NZP22" s="953"/>
      <c r="NZQ22" s="953"/>
      <c r="NZR22" s="953"/>
      <c r="NZS22" s="953"/>
      <c r="NZT22" s="953"/>
      <c r="NZU22" s="953"/>
      <c r="NZV22" s="953"/>
      <c r="NZW22" s="953"/>
      <c r="NZX22" s="953"/>
      <c r="NZY22" s="953"/>
      <c r="NZZ22" s="953"/>
      <c r="OAA22" s="953"/>
      <c r="OAB22" s="953"/>
      <c r="OAC22" s="953"/>
      <c r="OAD22" s="953"/>
      <c r="OAE22" s="953"/>
      <c r="OAF22" s="953"/>
      <c r="OAG22" s="953"/>
      <c r="OAH22" s="953"/>
      <c r="OAI22" s="953"/>
      <c r="OAJ22" s="953"/>
      <c r="OAK22" s="953"/>
      <c r="OAL22" s="953"/>
      <c r="OAM22" s="953"/>
      <c r="OAN22" s="953"/>
      <c r="OAO22" s="953"/>
      <c r="OAP22" s="953"/>
      <c r="OAQ22" s="953"/>
      <c r="OAR22" s="953"/>
      <c r="OAS22" s="953"/>
      <c r="OAT22" s="953"/>
      <c r="OAU22" s="953"/>
      <c r="OAV22" s="953"/>
      <c r="OAW22" s="953"/>
      <c r="OAX22" s="953"/>
      <c r="OAY22" s="953"/>
      <c r="OAZ22" s="953"/>
      <c r="OBA22" s="953"/>
      <c r="OBB22" s="953"/>
      <c r="OBC22" s="953"/>
      <c r="OBD22" s="953"/>
      <c r="OBE22" s="953"/>
      <c r="OBF22" s="953"/>
      <c r="OBG22" s="953"/>
      <c r="OBH22" s="953"/>
      <c r="OBI22" s="953"/>
      <c r="OBJ22" s="953"/>
      <c r="OBK22" s="953"/>
      <c r="OBL22" s="953"/>
      <c r="OBM22" s="953"/>
      <c r="OBN22" s="953"/>
      <c r="OBO22" s="953"/>
      <c r="OBP22" s="953"/>
      <c r="OBQ22" s="953"/>
      <c r="OBR22" s="953"/>
      <c r="OBS22" s="953"/>
      <c r="OBT22" s="953"/>
      <c r="OBU22" s="953"/>
      <c r="OBV22" s="953"/>
      <c r="OBW22" s="953"/>
      <c r="OBX22" s="953"/>
      <c r="OBY22" s="953"/>
      <c r="OBZ22" s="953"/>
      <c r="OCA22" s="953"/>
      <c r="OCB22" s="953"/>
      <c r="OCC22" s="953"/>
      <c r="OCD22" s="953"/>
      <c r="OCE22" s="953"/>
      <c r="OCF22" s="953"/>
      <c r="OCG22" s="953"/>
      <c r="OCH22" s="953"/>
      <c r="OCI22" s="953"/>
      <c r="OCJ22" s="953"/>
      <c r="OCK22" s="953"/>
      <c r="OCL22" s="953"/>
      <c r="OCM22" s="953"/>
      <c r="OCN22" s="953"/>
      <c r="OCO22" s="953"/>
      <c r="OCP22" s="953"/>
      <c r="OCQ22" s="953"/>
      <c r="OCR22" s="953"/>
      <c r="OCS22" s="953"/>
      <c r="OCT22" s="953"/>
      <c r="OCU22" s="953"/>
      <c r="OCV22" s="953"/>
      <c r="OCW22" s="953"/>
      <c r="OCX22" s="953"/>
      <c r="OCY22" s="953"/>
      <c r="OCZ22" s="953"/>
      <c r="ODA22" s="953"/>
      <c r="ODB22" s="953"/>
      <c r="ODC22" s="953"/>
      <c r="ODD22" s="953"/>
      <c r="ODE22" s="953"/>
      <c r="ODF22" s="953"/>
      <c r="ODG22" s="953"/>
      <c r="ODH22" s="953"/>
      <c r="ODI22" s="953"/>
      <c r="ODJ22" s="953"/>
      <c r="ODK22" s="953"/>
      <c r="ODL22" s="953"/>
      <c r="ODM22" s="953"/>
      <c r="ODN22" s="953"/>
      <c r="ODO22" s="953"/>
      <c r="ODP22" s="953"/>
      <c r="ODQ22" s="953"/>
      <c r="ODR22" s="953"/>
      <c r="ODS22" s="953"/>
      <c r="ODT22" s="953"/>
      <c r="ODU22" s="953"/>
      <c r="ODV22" s="953"/>
      <c r="ODW22" s="953"/>
      <c r="ODX22" s="953"/>
      <c r="ODY22" s="953"/>
      <c r="ODZ22" s="953"/>
      <c r="OEA22" s="953"/>
      <c r="OEB22" s="953"/>
      <c r="OEC22" s="953"/>
      <c r="OED22" s="953"/>
      <c r="OEE22" s="953"/>
      <c r="OEF22" s="953"/>
      <c r="OEG22" s="953"/>
      <c r="OEH22" s="953"/>
      <c r="OEI22" s="953"/>
      <c r="OEJ22" s="953"/>
      <c r="OEK22" s="953"/>
      <c r="OEL22" s="953"/>
      <c r="OEM22" s="953"/>
      <c r="OEN22" s="953"/>
      <c r="OEO22" s="953"/>
      <c r="OEP22" s="953"/>
      <c r="OEQ22" s="953"/>
      <c r="OER22" s="953"/>
      <c r="OES22" s="953"/>
      <c r="OET22" s="953"/>
      <c r="OEU22" s="953"/>
      <c r="OEV22" s="953"/>
      <c r="OEW22" s="953"/>
      <c r="OEX22" s="953"/>
      <c r="OEY22" s="953"/>
      <c r="OEZ22" s="953"/>
      <c r="OFA22" s="953"/>
      <c r="OFB22" s="953"/>
      <c r="OFC22" s="953"/>
      <c r="OFD22" s="953"/>
      <c r="OFE22" s="953"/>
      <c r="OFF22" s="953"/>
      <c r="OFG22" s="953"/>
      <c r="OFH22" s="953"/>
      <c r="OFI22" s="953"/>
      <c r="OFJ22" s="953"/>
      <c r="OFK22" s="953"/>
      <c r="OFL22" s="953"/>
      <c r="OFM22" s="953"/>
      <c r="OFN22" s="953"/>
      <c r="OFO22" s="953"/>
      <c r="OFP22" s="953"/>
      <c r="OFQ22" s="953"/>
      <c r="OFR22" s="953"/>
      <c r="OFS22" s="953"/>
      <c r="OFT22" s="953"/>
      <c r="OFU22" s="953"/>
      <c r="OFV22" s="953"/>
      <c r="OFW22" s="953"/>
      <c r="OFX22" s="953"/>
      <c r="OFY22" s="953"/>
      <c r="OFZ22" s="953"/>
      <c r="OGA22" s="953"/>
      <c r="OGB22" s="953"/>
      <c r="OGC22" s="953"/>
      <c r="OGD22" s="953"/>
      <c r="OGE22" s="953"/>
      <c r="OGF22" s="953"/>
      <c r="OGG22" s="953"/>
      <c r="OGH22" s="953"/>
      <c r="OGI22" s="953"/>
      <c r="OGJ22" s="953"/>
      <c r="OGK22" s="953"/>
      <c r="OGL22" s="953"/>
      <c r="OGM22" s="953"/>
      <c r="OGN22" s="953"/>
      <c r="OGO22" s="953"/>
      <c r="OGP22" s="953"/>
      <c r="OGQ22" s="953"/>
      <c r="OGR22" s="953"/>
      <c r="OGS22" s="953"/>
      <c r="OGT22" s="953"/>
      <c r="OGU22" s="953"/>
      <c r="OGV22" s="953"/>
      <c r="OGW22" s="953"/>
      <c r="OGX22" s="953"/>
      <c r="OGY22" s="953"/>
      <c r="OGZ22" s="953"/>
      <c r="OHA22" s="953"/>
      <c r="OHB22" s="953"/>
      <c r="OHC22" s="953"/>
      <c r="OHD22" s="953"/>
      <c r="OHE22" s="953"/>
      <c r="OHF22" s="953"/>
      <c r="OHG22" s="953"/>
      <c r="OHH22" s="953"/>
      <c r="OHI22" s="953"/>
      <c r="OHJ22" s="953"/>
      <c r="OHK22" s="953"/>
      <c r="OHL22" s="953"/>
      <c r="OHM22" s="953"/>
      <c r="OHN22" s="953"/>
      <c r="OHO22" s="953"/>
      <c r="OHP22" s="953"/>
      <c r="OHQ22" s="953"/>
      <c r="OHR22" s="953"/>
      <c r="OHS22" s="953"/>
      <c r="OHT22" s="953"/>
      <c r="OHU22" s="953"/>
      <c r="OHV22" s="953"/>
      <c r="OHW22" s="953"/>
      <c r="OHX22" s="953"/>
      <c r="OHY22" s="953"/>
      <c r="OHZ22" s="953"/>
      <c r="OIA22" s="953"/>
      <c r="OIB22" s="953"/>
      <c r="OIC22" s="953"/>
      <c r="OID22" s="953"/>
      <c r="OIE22" s="953"/>
      <c r="OIF22" s="953"/>
      <c r="OIG22" s="953"/>
      <c r="OIH22" s="953"/>
      <c r="OII22" s="953"/>
      <c r="OIJ22" s="953"/>
      <c r="OIK22" s="953"/>
      <c r="OIL22" s="953"/>
      <c r="OIM22" s="953"/>
      <c r="OIN22" s="953"/>
      <c r="OIO22" s="953"/>
      <c r="OIP22" s="953"/>
      <c r="OIQ22" s="953"/>
      <c r="OIR22" s="953"/>
      <c r="OIS22" s="953"/>
      <c r="OIT22" s="953"/>
      <c r="OIU22" s="953"/>
      <c r="OIV22" s="953"/>
      <c r="OIW22" s="953"/>
      <c r="OIX22" s="953"/>
      <c r="OIY22" s="953"/>
      <c r="OIZ22" s="953"/>
      <c r="OJA22" s="953"/>
      <c r="OJB22" s="953"/>
      <c r="OJC22" s="953"/>
      <c r="OJD22" s="953"/>
      <c r="OJE22" s="953"/>
      <c r="OJF22" s="953"/>
      <c r="OJG22" s="953"/>
      <c r="OJH22" s="953"/>
      <c r="OJI22" s="953"/>
      <c r="OJJ22" s="953"/>
      <c r="OJK22" s="953"/>
      <c r="OJL22" s="953"/>
      <c r="OJM22" s="953"/>
      <c r="OJN22" s="953"/>
      <c r="OJO22" s="953"/>
      <c r="OJP22" s="953"/>
      <c r="OJQ22" s="953"/>
      <c r="OJR22" s="953"/>
      <c r="OJS22" s="953"/>
      <c r="OJT22" s="953"/>
      <c r="OJU22" s="953"/>
      <c r="OJV22" s="953"/>
      <c r="OJW22" s="953"/>
      <c r="OJX22" s="953"/>
      <c r="OJY22" s="953"/>
      <c r="OJZ22" s="953"/>
      <c r="OKA22" s="953"/>
      <c r="OKB22" s="953"/>
      <c r="OKC22" s="953"/>
      <c r="OKD22" s="953"/>
      <c r="OKE22" s="953"/>
      <c r="OKF22" s="953"/>
      <c r="OKG22" s="953"/>
      <c r="OKH22" s="953"/>
      <c r="OKI22" s="953"/>
      <c r="OKJ22" s="953"/>
      <c r="OKK22" s="953"/>
      <c r="OKL22" s="953"/>
      <c r="OKM22" s="953"/>
      <c r="OKN22" s="953"/>
      <c r="OKO22" s="953"/>
      <c r="OKP22" s="953"/>
      <c r="OKQ22" s="953"/>
      <c r="OKR22" s="953"/>
      <c r="OKS22" s="953"/>
      <c r="OKT22" s="953"/>
      <c r="OKU22" s="953"/>
      <c r="OKV22" s="953"/>
      <c r="OKW22" s="953"/>
      <c r="OKX22" s="953"/>
      <c r="OKY22" s="953"/>
      <c r="OKZ22" s="953"/>
      <c r="OLA22" s="953"/>
      <c r="OLB22" s="953"/>
      <c r="OLC22" s="953"/>
      <c r="OLD22" s="953"/>
      <c r="OLE22" s="953"/>
      <c r="OLF22" s="953"/>
      <c r="OLG22" s="953"/>
      <c r="OLH22" s="953"/>
      <c r="OLI22" s="953"/>
      <c r="OLJ22" s="953"/>
      <c r="OLK22" s="953"/>
      <c r="OLL22" s="953"/>
      <c r="OLM22" s="953"/>
      <c r="OLN22" s="953"/>
      <c r="OLO22" s="953"/>
      <c r="OLP22" s="953"/>
      <c r="OLQ22" s="953"/>
      <c r="OLR22" s="953"/>
      <c r="OLS22" s="953"/>
      <c r="OLT22" s="953"/>
      <c r="OLU22" s="953"/>
      <c r="OLV22" s="953"/>
      <c r="OLW22" s="953"/>
      <c r="OLX22" s="953"/>
      <c r="OLY22" s="953"/>
      <c r="OLZ22" s="953"/>
      <c r="OMA22" s="953"/>
      <c r="OMB22" s="953"/>
      <c r="OMC22" s="953"/>
      <c r="OMD22" s="953"/>
      <c r="OME22" s="953"/>
      <c r="OMF22" s="953"/>
      <c r="OMG22" s="953"/>
      <c r="OMH22" s="953"/>
      <c r="OMI22" s="953"/>
      <c r="OMJ22" s="953"/>
      <c r="OMK22" s="953"/>
      <c r="OML22" s="953"/>
      <c r="OMM22" s="953"/>
      <c r="OMN22" s="953"/>
      <c r="OMO22" s="953"/>
      <c r="OMP22" s="953"/>
      <c r="OMQ22" s="953"/>
      <c r="OMR22" s="953"/>
      <c r="OMS22" s="953"/>
      <c r="OMT22" s="953"/>
      <c r="OMU22" s="953"/>
      <c r="OMV22" s="953"/>
      <c r="OMW22" s="953"/>
      <c r="OMX22" s="953"/>
      <c r="OMY22" s="953"/>
      <c r="OMZ22" s="953"/>
      <c r="ONA22" s="953"/>
      <c r="ONB22" s="953"/>
      <c r="ONC22" s="953"/>
      <c r="OND22" s="953"/>
      <c r="ONE22" s="953"/>
      <c r="ONF22" s="953"/>
      <c r="ONG22" s="953"/>
      <c r="ONH22" s="953"/>
      <c r="ONI22" s="953"/>
      <c r="ONJ22" s="953"/>
      <c r="ONK22" s="953"/>
      <c r="ONL22" s="953"/>
      <c r="ONM22" s="953"/>
      <c r="ONN22" s="953"/>
      <c r="ONO22" s="953"/>
      <c r="ONP22" s="953"/>
      <c r="ONQ22" s="953"/>
      <c r="ONR22" s="953"/>
      <c r="ONS22" s="953"/>
      <c r="ONT22" s="953"/>
      <c r="ONU22" s="953"/>
      <c r="ONV22" s="953"/>
      <c r="ONW22" s="953"/>
      <c r="ONX22" s="953"/>
      <c r="ONY22" s="953"/>
      <c r="ONZ22" s="953"/>
      <c r="OOA22" s="953"/>
      <c r="OOB22" s="953"/>
      <c r="OOC22" s="953"/>
      <c r="OOD22" s="953"/>
      <c r="OOE22" s="953"/>
      <c r="OOF22" s="953"/>
      <c r="OOG22" s="953"/>
      <c r="OOH22" s="953"/>
      <c r="OOI22" s="953"/>
      <c r="OOJ22" s="953"/>
      <c r="OOK22" s="953"/>
      <c r="OOL22" s="953"/>
      <c r="OOM22" s="953"/>
      <c r="OON22" s="953"/>
      <c r="OOO22" s="953"/>
      <c r="OOP22" s="953"/>
      <c r="OOQ22" s="953"/>
      <c r="OOR22" s="953"/>
      <c r="OOS22" s="953"/>
      <c r="OOT22" s="953"/>
      <c r="OOU22" s="953"/>
      <c r="OOV22" s="953"/>
      <c r="OOW22" s="953"/>
      <c r="OOX22" s="953"/>
      <c r="OOY22" s="953"/>
      <c r="OOZ22" s="953"/>
      <c r="OPA22" s="953"/>
      <c r="OPB22" s="953"/>
      <c r="OPC22" s="953"/>
      <c r="OPD22" s="953"/>
      <c r="OPE22" s="953"/>
      <c r="OPF22" s="953"/>
      <c r="OPG22" s="953"/>
      <c r="OPH22" s="953"/>
      <c r="OPI22" s="953"/>
      <c r="OPJ22" s="953"/>
      <c r="OPK22" s="953"/>
      <c r="OPL22" s="953"/>
      <c r="OPM22" s="953"/>
      <c r="OPN22" s="953"/>
      <c r="OPO22" s="953"/>
      <c r="OPP22" s="953"/>
      <c r="OPQ22" s="953"/>
      <c r="OPR22" s="953"/>
      <c r="OPS22" s="953"/>
      <c r="OPT22" s="953"/>
      <c r="OPU22" s="953"/>
      <c r="OPV22" s="953"/>
      <c r="OPW22" s="953"/>
      <c r="OPX22" s="953"/>
      <c r="OPY22" s="953"/>
      <c r="OPZ22" s="953"/>
      <c r="OQA22" s="953"/>
      <c r="OQB22" s="953"/>
      <c r="OQC22" s="953"/>
      <c r="OQD22" s="953"/>
      <c r="OQE22" s="953"/>
      <c r="OQF22" s="953"/>
      <c r="OQG22" s="953"/>
      <c r="OQH22" s="953"/>
      <c r="OQI22" s="953"/>
      <c r="OQJ22" s="953"/>
      <c r="OQK22" s="953"/>
      <c r="OQL22" s="953"/>
      <c r="OQM22" s="953"/>
      <c r="OQN22" s="953"/>
      <c r="OQO22" s="953"/>
      <c r="OQP22" s="953"/>
      <c r="OQQ22" s="953"/>
      <c r="OQR22" s="953"/>
      <c r="OQS22" s="953"/>
      <c r="OQT22" s="953"/>
      <c r="OQU22" s="953"/>
      <c r="OQV22" s="953"/>
      <c r="OQW22" s="953"/>
      <c r="OQX22" s="953"/>
      <c r="OQY22" s="953"/>
      <c r="OQZ22" s="953"/>
      <c r="ORA22" s="953"/>
      <c r="ORB22" s="953"/>
      <c r="ORC22" s="953"/>
      <c r="ORD22" s="953"/>
      <c r="ORE22" s="953"/>
      <c r="ORF22" s="953"/>
      <c r="ORG22" s="953"/>
      <c r="ORH22" s="953"/>
      <c r="ORI22" s="953"/>
      <c r="ORJ22" s="953"/>
      <c r="ORK22" s="953"/>
      <c r="ORL22" s="953"/>
      <c r="ORM22" s="953"/>
      <c r="ORN22" s="953"/>
      <c r="ORO22" s="953"/>
      <c r="ORP22" s="953"/>
      <c r="ORQ22" s="953"/>
      <c r="ORR22" s="953"/>
      <c r="ORS22" s="953"/>
      <c r="ORT22" s="953"/>
      <c r="ORU22" s="953"/>
      <c r="ORV22" s="953"/>
      <c r="ORW22" s="953"/>
      <c r="ORX22" s="953"/>
      <c r="ORY22" s="953"/>
      <c r="ORZ22" s="953"/>
      <c r="OSA22" s="953"/>
      <c r="OSB22" s="953"/>
      <c r="OSC22" s="953"/>
      <c r="OSD22" s="953"/>
      <c r="OSE22" s="953"/>
      <c r="OSF22" s="953"/>
      <c r="OSG22" s="953"/>
      <c r="OSH22" s="953"/>
      <c r="OSI22" s="953"/>
      <c r="OSJ22" s="953"/>
      <c r="OSK22" s="953"/>
      <c r="OSL22" s="953"/>
      <c r="OSM22" s="953"/>
      <c r="OSN22" s="953"/>
      <c r="OSO22" s="953"/>
      <c r="OSP22" s="953"/>
      <c r="OSQ22" s="953"/>
      <c r="OSR22" s="953"/>
      <c r="OSS22" s="953"/>
      <c r="OST22" s="953"/>
      <c r="OSU22" s="953"/>
      <c r="OSV22" s="953"/>
      <c r="OSW22" s="953"/>
      <c r="OSX22" s="953"/>
      <c r="OSY22" s="953"/>
      <c r="OSZ22" s="953"/>
      <c r="OTA22" s="953"/>
      <c r="OTB22" s="953"/>
      <c r="OTC22" s="953"/>
      <c r="OTD22" s="953"/>
      <c r="OTE22" s="953"/>
      <c r="OTF22" s="953"/>
      <c r="OTG22" s="953"/>
      <c r="OTH22" s="953"/>
      <c r="OTI22" s="953"/>
      <c r="OTJ22" s="953"/>
      <c r="OTK22" s="953"/>
      <c r="OTL22" s="953"/>
      <c r="OTM22" s="953"/>
      <c r="OTN22" s="953"/>
      <c r="OTO22" s="953"/>
      <c r="OTP22" s="953"/>
      <c r="OTQ22" s="953"/>
      <c r="OTR22" s="953"/>
      <c r="OTS22" s="953"/>
      <c r="OTT22" s="953"/>
      <c r="OTU22" s="953"/>
      <c r="OTV22" s="953"/>
      <c r="OTW22" s="953"/>
      <c r="OTX22" s="953"/>
      <c r="OTY22" s="953"/>
      <c r="OTZ22" s="953"/>
      <c r="OUA22" s="953"/>
      <c r="OUB22" s="953"/>
      <c r="OUC22" s="953"/>
      <c r="OUD22" s="953"/>
      <c r="OUE22" s="953"/>
      <c r="OUF22" s="953"/>
      <c r="OUG22" s="953"/>
      <c r="OUH22" s="953"/>
      <c r="OUI22" s="953"/>
      <c r="OUJ22" s="953"/>
      <c r="OUK22" s="953"/>
      <c r="OUL22" s="953"/>
      <c r="OUM22" s="953"/>
      <c r="OUN22" s="953"/>
      <c r="OUO22" s="953"/>
      <c r="OUP22" s="953"/>
      <c r="OUQ22" s="953"/>
      <c r="OUR22" s="953"/>
      <c r="OUS22" s="953"/>
      <c r="OUT22" s="953"/>
      <c r="OUU22" s="953"/>
      <c r="OUV22" s="953"/>
      <c r="OUW22" s="953"/>
      <c r="OUX22" s="953"/>
      <c r="OUY22" s="953"/>
      <c r="OUZ22" s="953"/>
      <c r="OVA22" s="953"/>
      <c r="OVB22" s="953"/>
      <c r="OVC22" s="953"/>
      <c r="OVD22" s="953"/>
      <c r="OVE22" s="953"/>
      <c r="OVF22" s="953"/>
      <c r="OVG22" s="953"/>
      <c r="OVH22" s="953"/>
      <c r="OVI22" s="953"/>
      <c r="OVJ22" s="953"/>
      <c r="OVK22" s="953"/>
      <c r="OVL22" s="953"/>
      <c r="OVM22" s="953"/>
      <c r="OVN22" s="953"/>
      <c r="OVO22" s="953"/>
      <c r="OVP22" s="953"/>
      <c r="OVQ22" s="953"/>
      <c r="OVR22" s="953"/>
      <c r="OVS22" s="953"/>
      <c r="OVT22" s="953"/>
      <c r="OVU22" s="953"/>
      <c r="OVV22" s="953"/>
      <c r="OVW22" s="953"/>
      <c r="OVX22" s="953"/>
      <c r="OVY22" s="953"/>
      <c r="OVZ22" s="953"/>
      <c r="OWA22" s="953"/>
      <c r="OWB22" s="953"/>
      <c r="OWC22" s="953"/>
      <c r="OWD22" s="953"/>
      <c r="OWE22" s="953"/>
      <c r="OWF22" s="953"/>
      <c r="OWG22" s="953"/>
      <c r="OWH22" s="953"/>
      <c r="OWI22" s="953"/>
      <c r="OWJ22" s="953"/>
      <c r="OWK22" s="953"/>
      <c r="OWL22" s="953"/>
      <c r="OWM22" s="953"/>
      <c r="OWN22" s="953"/>
      <c r="OWO22" s="953"/>
      <c r="OWP22" s="953"/>
      <c r="OWQ22" s="953"/>
      <c r="OWR22" s="953"/>
      <c r="OWS22" s="953"/>
      <c r="OWT22" s="953"/>
      <c r="OWU22" s="953"/>
      <c r="OWV22" s="953"/>
      <c r="OWW22" s="953"/>
      <c r="OWX22" s="953"/>
      <c r="OWY22" s="953"/>
      <c r="OWZ22" s="953"/>
      <c r="OXA22" s="953"/>
      <c r="OXB22" s="953"/>
      <c r="OXC22" s="953"/>
      <c r="OXD22" s="953"/>
      <c r="OXE22" s="953"/>
      <c r="OXF22" s="953"/>
      <c r="OXG22" s="953"/>
      <c r="OXH22" s="953"/>
      <c r="OXI22" s="953"/>
      <c r="OXJ22" s="953"/>
      <c r="OXK22" s="953"/>
      <c r="OXL22" s="953"/>
      <c r="OXM22" s="953"/>
      <c r="OXN22" s="953"/>
      <c r="OXO22" s="953"/>
      <c r="OXP22" s="953"/>
      <c r="OXQ22" s="953"/>
      <c r="OXR22" s="953"/>
      <c r="OXS22" s="953"/>
      <c r="OXT22" s="953"/>
      <c r="OXU22" s="953"/>
      <c r="OXV22" s="953"/>
      <c r="OXW22" s="953"/>
      <c r="OXX22" s="953"/>
      <c r="OXY22" s="953"/>
      <c r="OXZ22" s="953"/>
      <c r="OYA22" s="953"/>
      <c r="OYB22" s="953"/>
      <c r="OYC22" s="953"/>
      <c r="OYD22" s="953"/>
      <c r="OYE22" s="953"/>
      <c r="OYF22" s="953"/>
      <c r="OYG22" s="953"/>
      <c r="OYH22" s="953"/>
      <c r="OYI22" s="953"/>
      <c r="OYJ22" s="953"/>
      <c r="OYK22" s="953"/>
      <c r="OYL22" s="953"/>
      <c r="OYM22" s="953"/>
      <c r="OYN22" s="953"/>
      <c r="OYO22" s="953"/>
      <c r="OYP22" s="953"/>
      <c r="OYQ22" s="953"/>
      <c r="OYR22" s="953"/>
      <c r="OYS22" s="953"/>
      <c r="OYT22" s="953"/>
      <c r="OYU22" s="953"/>
      <c r="OYV22" s="953"/>
      <c r="OYW22" s="953"/>
      <c r="OYX22" s="953"/>
      <c r="OYY22" s="953"/>
      <c r="OYZ22" s="953"/>
      <c r="OZA22" s="953"/>
      <c r="OZB22" s="953"/>
      <c r="OZC22" s="953"/>
      <c r="OZD22" s="953"/>
      <c r="OZE22" s="953"/>
      <c r="OZF22" s="953"/>
      <c r="OZG22" s="953"/>
      <c r="OZH22" s="953"/>
      <c r="OZI22" s="953"/>
      <c r="OZJ22" s="953"/>
      <c r="OZK22" s="953"/>
      <c r="OZL22" s="953"/>
      <c r="OZM22" s="953"/>
      <c r="OZN22" s="953"/>
      <c r="OZO22" s="953"/>
      <c r="OZP22" s="953"/>
      <c r="OZQ22" s="953"/>
      <c r="OZR22" s="953"/>
      <c r="OZS22" s="953"/>
      <c r="OZT22" s="953"/>
      <c r="OZU22" s="953"/>
      <c r="OZV22" s="953"/>
      <c r="OZW22" s="953"/>
      <c r="OZX22" s="953"/>
      <c r="OZY22" s="953"/>
      <c r="OZZ22" s="953"/>
      <c r="PAA22" s="953"/>
      <c r="PAB22" s="953"/>
      <c r="PAC22" s="953"/>
      <c r="PAD22" s="953"/>
      <c r="PAE22" s="953"/>
      <c r="PAF22" s="953"/>
      <c r="PAG22" s="953"/>
      <c r="PAH22" s="953"/>
      <c r="PAI22" s="953"/>
      <c r="PAJ22" s="953"/>
      <c r="PAK22" s="953"/>
      <c r="PAL22" s="953"/>
      <c r="PAM22" s="953"/>
      <c r="PAN22" s="953"/>
      <c r="PAO22" s="953"/>
      <c r="PAP22" s="953"/>
      <c r="PAQ22" s="953"/>
      <c r="PAR22" s="953"/>
      <c r="PAS22" s="953"/>
      <c r="PAT22" s="953"/>
      <c r="PAU22" s="953"/>
      <c r="PAV22" s="953"/>
      <c r="PAW22" s="953"/>
      <c r="PAX22" s="953"/>
      <c r="PAY22" s="953"/>
      <c r="PAZ22" s="953"/>
      <c r="PBA22" s="953"/>
      <c r="PBB22" s="953"/>
      <c r="PBC22" s="953"/>
      <c r="PBD22" s="953"/>
      <c r="PBE22" s="953"/>
      <c r="PBF22" s="953"/>
      <c r="PBG22" s="953"/>
      <c r="PBH22" s="953"/>
      <c r="PBI22" s="953"/>
      <c r="PBJ22" s="953"/>
      <c r="PBK22" s="953"/>
      <c r="PBL22" s="953"/>
      <c r="PBM22" s="953"/>
      <c r="PBN22" s="953"/>
      <c r="PBO22" s="953"/>
      <c r="PBP22" s="953"/>
      <c r="PBQ22" s="953"/>
      <c r="PBR22" s="953"/>
      <c r="PBS22" s="953"/>
      <c r="PBT22" s="953"/>
      <c r="PBU22" s="953"/>
      <c r="PBV22" s="953"/>
      <c r="PBW22" s="953"/>
      <c r="PBX22" s="953"/>
      <c r="PBY22" s="953"/>
      <c r="PBZ22" s="953"/>
      <c r="PCA22" s="953"/>
      <c r="PCB22" s="953"/>
      <c r="PCC22" s="953"/>
      <c r="PCD22" s="953"/>
      <c r="PCE22" s="953"/>
      <c r="PCF22" s="953"/>
      <c r="PCG22" s="953"/>
      <c r="PCH22" s="953"/>
      <c r="PCI22" s="953"/>
      <c r="PCJ22" s="953"/>
      <c r="PCK22" s="953"/>
      <c r="PCL22" s="953"/>
      <c r="PCM22" s="953"/>
      <c r="PCN22" s="953"/>
      <c r="PCO22" s="953"/>
      <c r="PCP22" s="953"/>
      <c r="PCQ22" s="953"/>
      <c r="PCR22" s="953"/>
      <c r="PCS22" s="953"/>
      <c r="PCT22" s="953"/>
      <c r="PCU22" s="953"/>
      <c r="PCV22" s="953"/>
      <c r="PCW22" s="953"/>
      <c r="PCX22" s="953"/>
      <c r="PCY22" s="953"/>
      <c r="PCZ22" s="953"/>
      <c r="PDA22" s="953"/>
      <c r="PDB22" s="953"/>
      <c r="PDC22" s="953"/>
      <c r="PDD22" s="953"/>
      <c r="PDE22" s="953"/>
      <c r="PDF22" s="953"/>
      <c r="PDG22" s="953"/>
      <c r="PDH22" s="953"/>
      <c r="PDI22" s="953"/>
      <c r="PDJ22" s="953"/>
      <c r="PDK22" s="953"/>
      <c r="PDL22" s="953"/>
      <c r="PDM22" s="953"/>
      <c r="PDN22" s="953"/>
      <c r="PDO22" s="953"/>
      <c r="PDP22" s="953"/>
      <c r="PDQ22" s="953"/>
      <c r="PDR22" s="953"/>
      <c r="PDS22" s="953"/>
      <c r="PDT22" s="953"/>
      <c r="PDU22" s="953"/>
      <c r="PDV22" s="953"/>
      <c r="PDW22" s="953"/>
      <c r="PDX22" s="953"/>
      <c r="PDY22" s="953"/>
      <c r="PDZ22" s="953"/>
      <c r="PEA22" s="953"/>
      <c r="PEB22" s="953"/>
      <c r="PEC22" s="953"/>
      <c r="PED22" s="953"/>
      <c r="PEE22" s="953"/>
      <c r="PEF22" s="953"/>
      <c r="PEG22" s="953"/>
      <c r="PEH22" s="953"/>
      <c r="PEI22" s="953"/>
      <c r="PEJ22" s="953"/>
      <c r="PEK22" s="953"/>
      <c r="PEL22" s="953"/>
      <c r="PEM22" s="953"/>
      <c r="PEN22" s="953"/>
      <c r="PEO22" s="953"/>
      <c r="PEP22" s="953"/>
      <c r="PEQ22" s="953"/>
      <c r="PER22" s="953"/>
      <c r="PES22" s="953"/>
      <c r="PET22" s="953"/>
      <c r="PEU22" s="953"/>
      <c r="PEV22" s="953"/>
      <c r="PEW22" s="953"/>
      <c r="PEX22" s="953"/>
      <c r="PEY22" s="953"/>
      <c r="PEZ22" s="953"/>
      <c r="PFA22" s="953"/>
      <c r="PFB22" s="953"/>
      <c r="PFC22" s="953"/>
      <c r="PFD22" s="953"/>
      <c r="PFE22" s="953"/>
      <c r="PFF22" s="953"/>
      <c r="PFG22" s="953"/>
      <c r="PFH22" s="953"/>
      <c r="PFI22" s="953"/>
      <c r="PFJ22" s="953"/>
      <c r="PFK22" s="953"/>
      <c r="PFL22" s="953"/>
      <c r="PFM22" s="953"/>
      <c r="PFN22" s="953"/>
      <c r="PFO22" s="953"/>
      <c r="PFP22" s="953"/>
      <c r="PFQ22" s="953"/>
      <c r="PFR22" s="953"/>
      <c r="PFS22" s="953"/>
      <c r="PFT22" s="953"/>
      <c r="PFU22" s="953"/>
      <c r="PFV22" s="953"/>
      <c r="PFW22" s="953"/>
      <c r="PFX22" s="953"/>
      <c r="PFY22" s="953"/>
      <c r="PFZ22" s="953"/>
      <c r="PGA22" s="953"/>
      <c r="PGB22" s="953"/>
      <c r="PGC22" s="953"/>
      <c r="PGD22" s="953"/>
      <c r="PGE22" s="953"/>
      <c r="PGF22" s="953"/>
      <c r="PGG22" s="953"/>
      <c r="PGH22" s="953"/>
      <c r="PGI22" s="953"/>
      <c r="PGJ22" s="953"/>
      <c r="PGK22" s="953"/>
      <c r="PGL22" s="953"/>
      <c r="PGM22" s="953"/>
      <c r="PGN22" s="953"/>
      <c r="PGO22" s="953"/>
      <c r="PGP22" s="953"/>
      <c r="PGQ22" s="953"/>
      <c r="PGR22" s="953"/>
      <c r="PGS22" s="953"/>
      <c r="PGT22" s="953"/>
      <c r="PGU22" s="953"/>
      <c r="PGV22" s="953"/>
      <c r="PGW22" s="953"/>
      <c r="PGX22" s="953"/>
      <c r="PGY22" s="953"/>
      <c r="PGZ22" s="953"/>
      <c r="PHA22" s="953"/>
      <c r="PHB22" s="953"/>
      <c r="PHC22" s="953"/>
      <c r="PHD22" s="953"/>
      <c r="PHE22" s="953"/>
      <c r="PHF22" s="953"/>
      <c r="PHG22" s="953"/>
      <c r="PHH22" s="953"/>
      <c r="PHI22" s="953"/>
      <c r="PHJ22" s="953"/>
      <c r="PHK22" s="953"/>
      <c r="PHL22" s="953"/>
      <c r="PHM22" s="953"/>
      <c r="PHN22" s="953"/>
      <c r="PHO22" s="953"/>
      <c r="PHP22" s="953"/>
      <c r="PHQ22" s="953"/>
      <c r="PHR22" s="953"/>
      <c r="PHS22" s="953"/>
      <c r="PHT22" s="953"/>
      <c r="PHU22" s="953"/>
      <c r="PHV22" s="953"/>
      <c r="PHW22" s="953"/>
      <c r="PHX22" s="953"/>
      <c r="PHY22" s="953"/>
      <c r="PHZ22" s="953"/>
      <c r="PIA22" s="953"/>
      <c r="PIB22" s="953"/>
      <c r="PIC22" s="953"/>
      <c r="PID22" s="953"/>
      <c r="PIE22" s="953"/>
      <c r="PIF22" s="953"/>
      <c r="PIG22" s="953"/>
      <c r="PIH22" s="953"/>
      <c r="PII22" s="953"/>
      <c r="PIJ22" s="953"/>
      <c r="PIK22" s="953"/>
      <c r="PIL22" s="953"/>
      <c r="PIM22" s="953"/>
      <c r="PIN22" s="953"/>
      <c r="PIO22" s="953"/>
      <c r="PIP22" s="953"/>
      <c r="PIQ22" s="953"/>
      <c r="PIR22" s="953"/>
      <c r="PIS22" s="953"/>
      <c r="PIT22" s="953"/>
      <c r="PIU22" s="953"/>
      <c r="PIV22" s="953"/>
      <c r="PIW22" s="953"/>
      <c r="PIX22" s="953"/>
      <c r="PIY22" s="953"/>
      <c r="PIZ22" s="953"/>
      <c r="PJA22" s="953"/>
      <c r="PJB22" s="953"/>
      <c r="PJC22" s="953"/>
      <c r="PJD22" s="953"/>
      <c r="PJE22" s="953"/>
      <c r="PJF22" s="953"/>
      <c r="PJG22" s="953"/>
      <c r="PJH22" s="953"/>
      <c r="PJI22" s="953"/>
      <c r="PJJ22" s="953"/>
      <c r="PJK22" s="953"/>
      <c r="PJL22" s="953"/>
      <c r="PJM22" s="953"/>
      <c r="PJN22" s="953"/>
      <c r="PJO22" s="953"/>
      <c r="PJP22" s="953"/>
      <c r="PJQ22" s="953"/>
      <c r="PJR22" s="953"/>
      <c r="PJS22" s="953"/>
      <c r="PJT22" s="953"/>
      <c r="PJU22" s="953"/>
      <c r="PJV22" s="953"/>
      <c r="PJW22" s="953"/>
      <c r="PJX22" s="953"/>
      <c r="PJY22" s="953"/>
      <c r="PJZ22" s="953"/>
      <c r="PKA22" s="953"/>
      <c r="PKB22" s="953"/>
      <c r="PKC22" s="953"/>
      <c r="PKD22" s="953"/>
      <c r="PKE22" s="953"/>
      <c r="PKF22" s="953"/>
      <c r="PKG22" s="953"/>
      <c r="PKH22" s="953"/>
      <c r="PKI22" s="953"/>
      <c r="PKJ22" s="953"/>
      <c r="PKK22" s="953"/>
      <c r="PKL22" s="953"/>
      <c r="PKM22" s="953"/>
      <c r="PKN22" s="953"/>
      <c r="PKO22" s="953"/>
      <c r="PKP22" s="953"/>
      <c r="PKQ22" s="953"/>
      <c r="PKR22" s="953"/>
      <c r="PKS22" s="953"/>
      <c r="PKT22" s="953"/>
      <c r="PKU22" s="953"/>
      <c r="PKV22" s="953"/>
      <c r="PKW22" s="953"/>
      <c r="PKX22" s="953"/>
      <c r="PKY22" s="953"/>
      <c r="PKZ22" s="953"/>
      <c r="PLA22" s="953"/>
      <c r="PLB22" s="953"/>
      <c r="PLC22" s="953"/>
      <c r="PLD22" s="953"/>
      <c r="PLE22" s="953"/>
      <c r="PLF22" s="953"/>
      <c r="PLG22" s="953"/>
      <c r="PLH22" s="953"/>
      <c r="PLI22" s="953"/>
      <c r="PLJ22" s="953"/>
      <c r="PLK22" s="953"/>
      <c r="PLL22" s="953"/>
      <c r="PLM22" s="953"/>
      <c r="PLN22" s="953"/>
      <c r="PLO22" s="953"/>
      <c r="PLP22" s="953"/>
      <c r="PLQ22" s="953"/>
      <c r="PLR22" s="953"/>
      <c r="PLS22" s="953"/>
      <c r="PLT22" s="953"/>
      <c r="PLU22" s="953"/>
      <c r="PLV22" s="953"/>
      <c r="PLW22" s="953"/>
      <c r="PLX22" s="953"/>
      <c r="PLY22" s="953"/>
      <c r="PLZ22" s="953"/>
      <c r="PMA22" s="953"/>
      <c r="PMB22" s="953"/>
      <c r="PMC22" s="953"/>
      <c r="PMD22" s="953"/>
      <c r="PME22" s="953"/>
      <c r="PMF22" s="953"/>
      <c r="PMG22" s="953"/>
      <c r="PMH22" s="953"/>
      <c r="PMI22" s="953"/>
      <c r="PMJ22" s="953"/>
      <c r="PMK22" s="953"/>
      <c r="PML22" s="953"/>
      <c r="PMM22" s="953"/>
      <c r="PMN22" s="953"/>
      <c r="PMO22" s="953"/>
      <c r="PMP22" s="953"/>
      <c r="PMQ22" s="953"/>
      <c r="PMR22" s="953"/>
      <c r="PMS22" s="953"/>
      <c r="PMT22" s="953"/>
      <c r="PMU22" s="953"/>
      <c r="PMV22" s="953"/>
      <c r="PMW22" s="953"/>
      <c r="PMX22" s="953"/>
      <c r="PMY22" s="953"/>
      <c r="PMZ22" s="953"/>
      <c r="PNA22" s="953"/>
      <c r="PNB22" s="953"/>
      <c r="PNC22" s="953"/>
      <c r="PND22" s="953"/>
      <c r="PNE22" s="953"/>
      <c r="PNF22" s="953"/>
      <c r="PNG22" s="953"/>
      <c r="PNH22" s="953"/>
      <c r="PNI22" s="953"/>
      <c r="PNJ22" s="953"/>
      <c r="PNK22" s="953"/>
      <c r="PNL22" s="953"/>
      <c r="PNM22" s="953"/>
      <c r="PNN22" s="953"/>
      <c r="PNO22" s="953"/>
      <c r="PNP22" s="953"/>
      <c r="PNQ22" s="953"/>
      <c r="PNR22" s="953"/>
      <c r="PNS22" s="953"/>
      <c r="PNT22" s="953"/>
      <c r="PNU22" s="953"/>
      <c r="PNV22" s="953"/>
      <c r="PNW22" s="953"/>
      <c r="PNX22" s="953"/>
      <c r="PNY22" s="953"/>
      <c r="PNZ22" s="953"/>
      <c r="POA22" s="953"/>
      <c r="POB22" s="953"/>
      <c r="POC22" s="953"/>
      <c r="POD22" s="953"/>
      <c r="POE22" s="953"/>
      <c r="POF22" s="953"/>
      <c r="POG22" s="953"/>
      <c r="POH22" s="953"/>
      <c r="POI22" s="953"/>
      <c r="POJ22" s="953"/>
      <c r="POK22" s="953"/>
      <c r="POL22" s="953"/>
      <c r="POM22" s="953"/>
      <c r="PON22" s="953"/>
      <c r="POO22" s="953"/>
      <c r="POP22" s="953"/>
      <c r="POQ22" s="953"/>
      <c r="POR22" s="953"/>
      <c r="POS22" s="953"/>
      <c r="POT22" s="953"/>
      <c r="POU22" s="953"/>
      <c r="POV22" s="953"/>
      <c r="POW22" s="953"/>
      <c r="POX22" s="953"/>
      <c r="POY22" s="953"/>
      <c r="POZ22" s="953"/>
      <c r="PPA22" s="953"/>
      <c r="PPB22" s="953"/>
      <c r="PPC22" s="953"/>
      <c r="PPD22" s="953"/>
      <c r="PPE22" s="953"/>
      <c r="PPF22" s="953"/>
      <c r="PPG22" s="953"/>
      <c r="PPH22" s="953"/>
      <c r="PPI22" s="953"/>
      <c r="PPJ22" s="953"/>
      <c r="PPK22" s="953"/>
      <c r="PPL22" s="953"/>
      <c r="PPM22" s="953"/>
      <c r="PPN22" s="953"/>
      <c r="PPO22" s="953"/>
      <c r="PPP22" s="953"/>
      <c r="PPQ22" s="953"/>
      <c r="PPR22" s="953"/>
      <c r="PPS22" s="953"/>
      <c r="PPT22" s="953"/>
      <c r="PPU22" s="953"/>
      <c r="PPV22" s="953"/>
      <c r="PPW22" s="953"/>
      <c r="PPX22" s="953"/>
      <c r="PPY22" s="953"/>
      <c r="PPZ22" s="953"/>
      <c r="PQA22" s="953"/>
      <c r="PQB22" s="953"/>
      <c r="PQC22" s="953"/>
      <c r="PQD22" s="953"/>
      <c r="PQE22" s="953"/>
      <c r="PQF22" s="953"/>
      <c r="PQG22" s="953"/>
      <c r="PQH22" s="953"/>
      <c r="PQI22" s="953"/>
      <c r="PQJ22" s="953"/>
      <c r="PQK22" s="953"/>
      <c r="PQL22" s="953"/>
      <c r="PQM22" s="953"/>
      <c r="PQN22" s="953"/>
      <c r="PQO22" s="953"/>
      <c r="PQP22" s="953"/>
      <c r="PQQ22" s="953"/>
      <c r="PQR22" s="953"/>
      <c r="PQS22" s="953"/>
      <c r="PQT22" s="953"/>
      <c r="PQU22" s="953"/>
      <c r="PQV22" s="953"/>
      <c r="PQW22" s="953"/>
      <c r="PQX22" s="953"/>
      <c r="PQY22" s="953"/>
      <c r="PQZ22" s="953"/>
      <c r="PRA22" s="953"/>
      <c r="PRB22" s="953"/>
      <c r="PRC22" s="953"/>
      <c r="PRD22" s="953"/>
      <c r="PRE22" s="953"/>
      <c r="PRF22" s="953"/>
      <c r="PRG22" s="953"/>
      <c r="PRH22" s="953"/>
      <c r="PRI22" s="953"/>
      <c r="PRJ22" s="953"/>
      <c r="PRK22" s="953"/>
      <c r="PRL22" s="953"/>
      <c r="PRM22" s="953"/>
      <c r="PRN22" s="953"/>
      <c r="PRO22" s="953"/>
      <c r="PRP22" s="953"/>
      <c r="PRQ22" s="953"/>
      <c r="PRR22" s="953"/>
      <c r="PRS22" s="953"/>
      <c r="PRT22" s="953"/>
      <c r="PRU22" s="953"/>
      <c r="PRV22" s="953"/>
      <c r="PRW22" s="953"/>
      <c r="PRX22" s="953"/>
      <c r="PRY22" s="953"/>
      <c r="PRZ22" s="953"/>
      <c r="PSA22" s="953"/>
      <c r="PSB22" s="953"/>
      <c r="PSC22" s="953"/>
      <c r="PSD22" s="953"/>
      <c r="PSE22" s="953"/>
      <c r="PSF22" s="953"/>
      <c r="PSG22" s="953"/>
      <c r="PSH22" s="953"/>
      <c r="PSI22" s="953"/>
      <c r="PSJ22" s="953"/>
      <c r="PSK22" s="953"/>
      <c r="PSL22" s="953"/>
      <c r="PSM22" s="953"/>
      <c r="PSN22" s="953"/>
      <c r="PSO22" s="953"/>
      <c r="PSP22" s="953"/>
      <c r="PSQ22" s="953"/>
      <c r="PSR22" s="953"/>
      <c r="PSS22" s="953"/>
      <c r="PST22" s="953"/>
      <c r="PSU22" s="953"/>
      <c r="PSV22" s="953"/>
      <c r="PSW22" s="953"/>
      <c r="PSX22" s="953"/>
      <c r="PSY22" s="953"/>
      <c r="PSZ22" s="953"/>
      <c r="PTA22" s="953"/>
      <c r="PTB22" s="953"/>
      <c r="PTC22" s="953"/>
      <c r="PTD22" s="953"/>
      <c r="PTE22" s="953"/>
      <c r="PTF22" s="953"/>
      <c r="PTG22" s="953"/>
      <c r="PTH22" s="953"/>
      <c r="PTI22" s="953"/>
      <c r="PTJ22" s="953"/>
      <c r="PTK22" s="953"/>
      <c r="PTL22" s="953"/>
      <c r="PTM22" s="953"/>
      <c r="PTN22" s="953"/>
      <c r="PTO22" s="953"/>
      <c r="PTP22" s="953"/>
      <c r="PTQ22" s="953"/>
      <c r="PTR22" s="953"/>
      <c r="PTS22" s="953"/>
      <c r="PTT22" s="953"/>
      <c r="PTU22" s="953"/>
      <c r="PTV22" s="953"/>
      <c r="PTW22" s="953"/>
      <c r="PTX22" s="953"/>
      <c r="PTY22" s="953"/>
      <c r="PTZ22" s="953"/>
      <c r="PUA22" s="953"/>
      <c r="PUB22" s="953"/>
      <c r="PUC22" s="953"/>
      <c r="PUD22" s="953"/>
      <c r="PUE22" s="953"/>
      <c r="PUF22" s="953"/>
      <c r="PUG22" s="953"/>
      <c r="PUH22" s="953"/>
      <c r="PUI22" s="953"/>
      <c r="PUJ22" s="953"/>
      <c r="PUK22" s="953"/>
      <c r="PUL22" s="953"/>
      <c r="PUM22" s="953"/>
      <c r="PUN22" s="953"/>
      <c r="PUO22" s="953"/>
      <c r="PUP22" s="953"/>
      <c r="PUQ22" s="953"/>
      <c r="PUR22" s="953"/>
      <c r="PUS22" s="953"/>
      <c r="PUT22" s="953"/>
      <c r="PUU22" s="953"/>
      <c r="PUV22" s="953"/>
      <c r="PUW22" s="953"/>
      <c r="PUX22" s="953"/>
      <c r="PUY22" s="953"/>
      <c r="PUZ22" s="953"/>
      <c r="PVA22" s="953"/>
      <c r="PVB22" s="953"/>
      <c r="PVC22" s="953"/>
      <c r="PVD22" s="953"/>
      <c r="PVE22" s="953"/>
      <c r="PVF22" s="953"/>
      <c r="PVG22" s="953"/>
      <c r="PVH22" s="953"/>
      <c r="PVI22" s="953"/>
      <c r="PVJ22" s="953"/>
      <c r="PVK22" s="953"/>
      <c r="PVL22" s="953"/>
      <c r="PVM22" s="953"/>
      <c r="PVN22" s="953"/>
      <c r="PVO22" s="953"/>
      <c r="PVP22" s="953"/>
      <c r="PVQ22" s="953"/>
      <c r="PVR22" s="953"/>
      <c r="PVS22" s="953"/>
      <c r="PVT22" s="953"/>
      <c r="PVU22" s="953"/>
      <c r="PVV22" s="953"/>
      <c r="PVW22" s="953"/>
      <c r="PVX22" s="953"/>
      <c r="PVY22" s="953"/>
      <c r="PVZ22" s="953"/>
      <c r="PWA22" s="953"/>
      <c r="PWB22" s="953"/>
      <c r="PWC22" s="953"/>
      <c r="PWD22" s="953"/>
      <c r="PWE22" s="953"/>
      <c r="PWF22" s="953"/>
      <c r="PWG22" s="953"/>
      <c r="PWH22" s="953"/>
      <c r="PWI22" s="953"/>
      <c r="PWJ22" s="953"/>
      <c r="PWK22" s="953"/>
      <c r="PWL22" s="953"/>
      <c r="PWM22" s="953"/>
      <c r="PWN22" s="953"/>
      <c r="PWO22" s="953"/>
      <c r="PWP22" s="953"/>
      <c r="PWQ22" s="953"/>
      <c r="PWR22" s="953"/>
      <c r="PWS22" s="953"/>
      <c r="PWT22" s="953"/>
      <c r="PWU22" s="953"/>
      <c r="PWV22" s="953"/>
      <c r="PWW22" s="953"/>
      <c r="PWX22" s="953"/>
      <c r="PWY22" s="953"/>
      <c r="PWZ22" s="953"/>
      <c r="PXA22" s="953"/>
      <c r="PXB22" s="953"/>
      <c r="PXC22" s="953"/>
      <c r="PXD22" s="953"/>
      <c r="PXE22" s="953"/>
      <c r="PXF22" s="953"/>
      <c r="PXG22" s="953"/>
      <c r="PXH22" s="953"/>
      <c r="PXI22" s="953"/>
      <c r="PXJ22" s="953"/>
      <c r="PXK22" s="953"/>
      <c r="PXL22" s="953"/>
      <c r="PXM22" s="953"/>
      <c r="PXN22" s="953"/>
      <c r="PXO22" s="953"/>
      <c r="PXP22" s="953"/>
      <c r="PXQ22" s="953"/>
      <c r="PXR22" s="953"/>
      <c r="PXS22" s="953"/>
      <c r="PXT22" s="953"/>
      <c r="PXU22" s="953"/>
      <c r="PXV22" s="953"/>
      <c r="PXW22" s="953"/>
      <c r="PXX22" s="953"/>
      <c r="PXY22" s="953"/>
      <c r="PXZ22" s="953"/>
      <c r="PYA22" s="953"/>
      <c r="PYB22" s="953"/>
      <c r="PYC22" s="953"/>
      <c r="PYD22" s="953"/>
      <c r="PYE22" s="953"/>
      <c r="PYF22" s="953"/>
      <c r="PYG22" s="953"/>
      <c r="PYH22" s="953"/>
      <c r="PYI22" s="953"/>
      <c r="PYJ22" s="953"/>
      <c r="PYK22" s="953"/>
      <c r="PYL22" s="953"/>
      <c r="PYM22" s="953"/>
      <c r="PYN22" s="953"/>
      <c r="PYO22" s="953"/>
      <c r="PYP22" s="953"/>
      <c r="PYQ22" s="953"/>
      <c r="PYR22" s="953"/>
      <c r="PYS22" s="953"/>
      <c r="PYT22" s="953"/>
      <c r="PYU22" s="953"/>
      <c r="PYV22" s="953"/>
      <c r="PYW22" s="953"/>
      <c r="PYX22" s="953"/>
      <c r="PYY22" s="953"/>
      <c r="PYZ22" s="953"/>
      <c r="PZA22" s="953"/>
      <c r="PZB22" s="953"/>
      <c r="PZC22" s="953"/>
      <c r="PZD22" s="953"/>
      <c r="PZE22" s="953"/>
      <c r="PZF22" s="953"/>
      <c r="PZG22" s="953"/>
      <c r="PZH22" s="953"/>
      <c r="PZI22" s="953"/>
      <c r="PZJ22" s="953"/>
      <c r="PZK22" s="953"/>
      <c r="PZL22" s="953"/>
      <c r="PZM22" s="953"/>
      <c r="PZN22" s="953"/>
      <c r="PZO22" s="953"/>
      <c r="PZP22" s="953"/>
      <c r="PZQ22" s="953"/>
      <c r="PZR22" s="953"/>
      <c r="PZS22" s="953"/>
      <c r="PZT22" s="953"/>
      <c r="PZU22" s="953"/>
      <c r="PZV22" s="953"/>
      <c r="PZW22" s="953"/>
      <c r="PZX22" s="953"/>
      <c r="PZY22" s="953"/>
      <c r="PZZ22" s="953"/>
      <c r="QAA22" s="953"/>
      <c r="QAB22" s="953"/>
      <c r="QAC22" s="953"/>
      <c r="QAD22" s="953"/>
      <c r="QAE22" s="953"/>
      <c r="QAF22" s="953"/>
      <c r="QAG22" s="953"/>
      <c r="QAH22" s="953"/>
      <c r="QAI22" s="953"/>
      <c r="QAJ22" s="953"/>
      <c r="QAK22" s="953"/>
      <c r="QAL22" s="953"/>
      <c r="QAM22" s="953"/>
      <c r="QAN22" s="953"/>
      <c r="QAO22" s="953"/>
      <c r="QAP22" s="953"/>
      <c r="QAQ22" s="953"/>
      <c r="QAR22" s="953"/>
      <c r="QAS22" s="953"/>
      <c r="QAT22" s="953"/>
      <c r="QAU22" s="953"/>
      <c r="QAV22" s="953"/>
      <c r="QAW22" s="953"/>
      <c r="QAX22" s="953"/>
      <c r="QAY22" s="953"/>
      <c r="QAZ22" s="953"/>
      <c r="QBA22" s="953"/>
      <c r="QBB22" s="953"/>
      <c r="QBC22" s="953"/>
      <c r="QBD22" s="953"/>
      <c r="QBE22" s="953"/>
      <c r="QBF22" s="953"/>
      <c r="QBG22" s="953"/>
      <c r="QBH22" s="953"/>
      <c r="QBI22" s="953"/>
      <c r="QBJ22" s="953"/>
      <c r="QBK22" s="953"/>
      <c r="QBL22" s="953"/>
      <c r="QBM22" s="953"/>
      <c r="QBN22" s="953"/>
      <c r="QBO22" s="953"/>
      <c r="QBP22" s="953"/>
      <c r="QBQ22" s="953"/>
      <c r="QBR22" s="953"/>
      <c r="QBS22" s="953"/>
      <c r="QBT22" s="953"/>
      <c r="QBU22" s="953"/>
      <c r="QBV22" s="953"/>
      <c r="QBW22" s="953"/>
      <c r="QBX22" s="953"/>
      <c r="QBY22" s="953"/>
      <c r="QBZ22" s="953"/>
      <c r="QCA22" s="953"/>
      <c r="QCB22" s="953"/>
      <c r="QCC22" s="953"/>
      <c r="QCD22" s="953"/>
      <c r="QCE22" s="953"/>
      <c r="QCF22" s="953"/>
      <c r="QCG22" s="953"/>
      <c r="QCH22" s="953"/>
      <c r="QCI22" s="953"/>
      <c r="QCJ22" s="953"/>
      <c r="QCK22" s="953"/>
      <c r="QCL22" s="953"/>
      <c r="QCM22" s="953"/>
      <c r="QCN22" s="953"/>
      <c r="QCO22" s="953"/>
      <c r="QCP22" s="953"/>
      <c r="QCQ22" s="953"/>
      <c r="QCR22" s="953"/>
      <c r="QCS22" s="953"/>
      <c r="QCT22" s="953"/>
      <c r="QCU22" s="953"/>
      <c r="QCV22" s="953"/>
      <c r="QCW22" s="953"/>
      <c r="QCX22" s="953"/>
      <c r="QCY22" s="953"/>
      <c r="QCZ22" s="953"/>
      <c r="QDA22" s="953"/>
      <c r="QDB22" s="953"/>
      <c r="QDC22" s="953"/>
      <c r="QDD22" s="953"/>
      <c r="QDE22" s="953"/>
      <c r="QDF22" s="953"/>
      <c r="QDG22" s="953"/>
      <c r="QDH22" s="953"/>
      <c r="QDI22" s="953"/>
      <c r="QDJ22" s="953"/>
      <c r="QDK22" s="953"/>
      <c r="QDL22" s="953"/>
      <c r="QDM22" s="953"/>
      <c r="QDN22" s="953"/>
      <c r="QDO22" s="953"/>
      <c r="QDP22" s="953"/>
      <c r="QDQ22" s="953"/>
      <c r="QDR22" s="953"/>
      <c r="QDS22" s="953"/>
      <c r="QDT22" s="953"/>
      <c r="QDU22" s="953"/>
      <c r="QDV22" s="953"/>
      <c r="QDW22" s="953"/>
      <c r="QDX22" s="953"/>
      <c r="QDY22" s="953"/>
      <c r="QDZ22" s="953"/>
      <c r="QEA22" s="953"/>
      <c r="QEB22" s="953"/>
      <c r="QEC22" s="953"/>
      <c r="QED22" s="953"/>
      <c r="QEE22" s="953"/>
      <c r="QEF22" s="953"/>
      <c r="QEG22" s="953"/>
      <c r="QEH22" s="953"/>
      <c r="QEI22" s="953"/>
      <c r="QEJ22" s="953"/>
      <c r="QEK22" s="953"/>
      <c r="QEL22" s="953"/>
      <c r="QEM22" s="953"/>
      <c r="QEN22" s="953"/>
      <c r="QEO22" s="953"/>
      <c r="QEP22" s="953"/>
      <c r="QEQ22" s="953"/>
      <c r="QER22" s="953"/>
      <c r="QES22" s="953"/>
      <c r="QET22" s="953"/>
      <c r="QEU22" s="953"/>
      <c r="QEV22" s="953"/>
      <c r="QEW22" s="953"/>
      <c r="QEX22" s="953"/>
      <c r="QEY22" s="953"/>
      <c r="QEZ22" s="953"/>
      <c r="QFA22" s="953"/>
      <c r="QFB22" s="953"/>
      <c r="QFC22" s="953"/>
      <c r="QFD22" s="953"/>
      <c r="QFE22" s="953"/>
      <c r="QFF22" s="953"/>
      <c r="QFG22" s="953"/>
      <c r="QFH22" s="953"/>
      <c r="QFI22" s="953"/>
      <c r="QFJ22" s="953"/>
      <c r="QFK22" s="953"/>
      <c r="QFL22" s="953"/>
      <c r="QFM22" s="953"/>
      <c r="QFN22" s="953"/>
      <c r="QFO22" s="953"/>
      <c r="QFP22" s="953"/>
      <c r="QFQ22" s="953"/>
      <c r="QFR22" s="953"/>
      <c r="QFS22" s="953"/>
      <c r="QFT22" s="953"/>
      <c r="QFU22" s="953"/>
      <c r="QFV22" s="953"/>
      <c r="QFW22" s="953"/>
      <c r="QFX22" s="953"/>
      <c r="QFY22" s="953"/>
      <c r="QFZ22" s="953"/>
      <c r="QGA22" s="953"/>
      <c r="QGB22" s="953"/>
      <c r="QGC22" s="953"/>
      <c r="QGD22" s="953"/>
      <c r="QGE22" s="953"/>
      <c r="QGF22" s="953"/>
      <c r="QGG22" s="953"/>
      <c r="QGH22" s="953"/>
      <c r="QGI22" s="953"/>
      <c r="QGJ22" s="953"/>
      <c r="QGK22" s="953"/>
      <c r="QGL22" s="953"/>
      <c r="QGM22" s="953"/>
      <c r="QGN22" s="953"/>
      <c r="QGO22" s="953"/>
      <c r="QGP22" s="953"/>
      <c r="QGQ22" s="953"/>
      <c r="QGR22" s="953"/>
      <c r="QGS22" s="953"/>
      <c r="QGT22" s="953"/>
      <c r="QGU22" s="953"/>
      <c r="QGV22" s="953"/>
      <c r="QGW22" s="953"/>
      <c r="QGX22" s="953"/>
      <c r="QGY22" s="953"/>
      <c r="QGZ22" s="953"/>
      <c r="QHA22" s="953"/>
      <c r="QHB22" s="953"/>
      <c r="QHC22" s="953"/>
      <c r="QHD22" s="953"/>
      <c r="QHE22" s="953"/>
      <c r="QHF22" s="953"/>
      <c r="QHG22" s="953"/>
      <c r="QHH22" s="953"/>
      <c r="QHI22" s="953"/>
      <c r="QHJ22" s="953"/>
      <c r="QHK22" s="953"/>
      <c r="QHL22" s="953"/>
      <c r="QHM22" s="953"/>
      <c r="QHN22" s="953"/>
      <c r="QHO22" s="953"/>
      <c r="QHP22" s="953"/>
      <c r="QHQ22" s="953"/>
      <c r="QHR22" s="953"/>
      <c r="QHS22" s="953"/>
      <c r="QHT22" s="953"/>
      <c r="QHU22" s="953"/>
      <c r="QHV22" s="953"/>
      <c r="QHW22" s="953"/>
      <c r="QHX22" s="953"/>
      <c r="QHY22" s="953"/>
      <c r="QHZ22" s="953"/>
      <c r="QIA22" s="953"/>
      <c r="QIB22" s="953"/>
      <c r="QIC22" s="953"/>
      <c r="QID22" s="953"/>
      <c r="QIE22" s="953"/>
      <c r="QIF22" s="953"/>
      <c r="QIG22" s="953"/>
      <c r="QIH22" s="953"/>
      <c r="QII22" s="953"/>
      <c r="QIJ22" s="953"/>
      <c r="QIK22" s="953"/>
      <c r="QIL22" s="953"/>
      <c r="QIM22" s="953"/>
      <c r="QIN22" s="953"/>
      <c r="QIO22" s="953"/>
      <c r="QIP22" s="953"/>
      <c r="QIQ22" s="953"/>
      <c r="QIR22" s="953"/>
      <c r="QIS22" s="953"/>
      <c r="QIT22" s="953"/>
      <c r="QIU22" s="953"/>
      <c r="QIV22" s="953"/>
      <c r="QIW22" s="953"/>
      <c r="QIX22" s="953"/>
      <c r="QIY22" s="953"/>
      <c r="QIZ22" s="953"/>
      <c r="QJA22" s="953"/>
      <c r="QJB22" s="953"/>
      <c r="QJC22" s="953"/>
      <c r="QJD22" s="953"/>
      <c r="QJE22" s="953"/>
      <c r="QJF22" s="953"/>
      <c r="QJG22" s="953"/>
      <c r="QJH22" s="953"/>
      <c r="QJI22" s="953"/>
      <c r="QJJ22" s="953"/>
      <c r="QJK22" s="953"/>
      <c r="QJL22" s="953"/>
      <c r="QJM22" s="953"/>
      <c r="QJN22" s="953"/>
      <c r="QJO22" s="953"/>
      <c r="QJP22" s="953"/>
      <c r="QJQ22" s="953"/>
      <c r="QJR22" s="953"/>
      <c r="QJS22" s="953"/>
      <c r="QJT22" s="953"/>
      <c r="QJU22" s="953"/>
      <c r="QJV22" s="953"/>
      <c r="QJW22" s="953"/>
      <c r="QJX22" s="953"/>
      <c r="QJY22" s="953"/>
      <c r="QJZ22" s="953"/>
      <c r="QKA22" s="953"/>
      <c r="QKB22" s="953"/>
      <c r="QKC22" s="953"/>
      <c r="QKD22" s="953"/>
      <c r="QKE22" s="953"/>
      <c r="QKF22" s="953"/>
      <c r="QKG22" s="953"/>
      <c r="QKH22" s="953"/>
      <c r="QKI22" s="953"/>
      <c r="QKJ22" s="953"/>
      <c r="QKK22" s="953"/>
      <c r="QKL22" s="953"/>
      <c r="QKM22" s="953"/>
      <c r="QKN22" s="953"/>
      <c r="QKO22" s="953"/>
      <c r="QKP22" s="953"/>
      <c r="QKQ22" s="953"/>
      <c r="QKR22" s="953"/>
      <c r="QKS22" s="953"/>
      <c r="QKT22" s="953"/>
      <c r="QKU22" s="953"/>
      <c r="QKV22" s="953"/>
      <c r="QKW22" s="953"/>
      <c r="QKX22" s="953"/>
      <c r="QKY22" s="953"/>
      <c r="QKZ22" s="953"/>
      <c r="QLA22" s="953"/>
      <c r="QLB22" s="953"/>
      <c r="QLC22" s="953"/>
      <c r="QLD22" s="953"/>
      <c r="QLE22" s="953"/>
      <c r="QLF22" s="953"/>
      <c r="QLG22" s="953"/>
      <c r="QLH22" s="953"/>
      <c r="QLI22" s="953"/>
      <c r="QLJ22" s="953"/>
      <c r="QLK22" s="953"/>
      <c r="QLL22" s="953"/>
      <c r="QLM22" s="953"/>
      <c r="QLN22" s="953"/>
      <c r="QLO22" s="953"/>
      <c r="QLP22" s="953"/>
      <c r="QLQ22" s="953"/>
      <c r="QLR22" s="953"/>
      <c r="QLS22" s="953"/>
      <c r="QLT22" s="953"/>
      <c r="QLU22" s="953"/>
      <c r="QLV22" s="953"/>
      <c r="QLW22" s="953"/>
      <c r="QLX22" s="953"/>
      <c r="QLY22" s="953"/>
      <c r="QLZ22" s="953"/>
      <c r="QMA22" s="953"/>
      <c r="QMB22" s="953"/>
      <c r="QMC22" s="953"/>
      <c r="QMD22" s="953"/>
      <c r="QME22" s="953"/>
      <c r="QMF22" s="953"/>
      <c r="QMG22" s="953"/>
      <c r="QMH22" s="953"/>
      <c r="QMI22" s="953"/>
      <c r="QMJ22" s="953"/>
      <c r="QMK22" s="953"/>
      <c r="QML22" s="953"/>
      <c r="QMM22" s="953"/>
      <c r="QMN22" s="953"/>
      <c r="QMO22" s="953"/>
      <c r="QMP22" s="953"/>
      <c r="QMQ22" s="953"/>
      <c r="QMR22" s="953"/>
      <c r="QMS22" s="953"/>
      <c r="QMT22" s="953"/>
      <c r="QMU22" s="953"/>
      <c r="QMV22" s="953"/>
      <c r="QMW22" s="953"/>
      <c r="QMX22" s="953"/>
      <c r="QMY22" s="953"/>
      <c r="QMZ22" s="953"/>
      <c r="QNA22" s="953"/>
      <c r="QNB22" s="953"/>
      <c r="QNC22" s="953"/>
      <c r="QND22" s="953"/>
      <c r="QNE22" s="953"/>
      <c r="QNF22" s="953"/>
      <c r="QNG22" s="953"/>
      <c r="QNH22" s="953"/>
      <c r="QNI22" s="953"/>
      <c r="QNJ22" s="953"/>
      <c r="QNK22" s="953"/>
      <c r="QNL22" s="953"/>
      <c r="QNM22" s="953"/>
      <c r="QNN22" s="953"/>
      <c r="QNO22" s="953"/>
      <c r="QNP22" s="953"/>
      <c r="QNQ22" s="953"/>
      <c r="QNR22" s="953"/>
      <c r="QNS22" s="953"/>
      <c r="QNT22" s="953"/>
      <c r="QNU22" s="953"/>
      <c r="QNV22" s="953"/>
      <c r="QNW22" s="953"/>
      <c r="QNX22" s="953"/>
      <c r="QNY22" s="953"/>
      <c r="QNZ22" s="953"/>
      <c r="QOA22" s="953"/>
      <c r="QOB22" s="953"/>
      <c r="QOC22" s="953"/>
      <c r="QOD22" s="953"/>
      <c r="QOE22" s="953"/>
      <c r="QOF22" s="953"/>
      <c r="QOG22" s="953"/>
      <c r="QOH22" s="953"/>
      <c r="QOI22" s="953"/>
      <c r="QOJ22" s="953"/>
      <c r="QOK22" s="953"/>
      <c r="QOL22" s="953"/>
      <c r="QOM22" s="953"/>
      <c r="QON22" s="953"/>
      <c r="QOO22" s="953"/>
      <c r="QOP22" s="953"/>
      <c r="QOQ22" s="953"/>
      <c r="QOR22" s="953"/>
      <c r="QOS22" s="953"/>
      <c r="QOT22" s="953"/>
      <c r="QOU22" s="953"/>
      <c r="QOV22" s="953"/>
      <c r="QOW22" s="953"/>
      <c r="QOX22" s="953"/>
      <c r="QOY22" s="953"/>
      <c r="QOZ22" s="953"/>
      <c r="QPA22" s="953"/>
      <c r="QPB22" s="953"/>
      <c r="QPC22" s="953"/>
      <c r="QPD22" s="953"/>
      <c r="QPE22" s="953"/>
      <c r="QPF22" s="953"/>
      <c r="QPG22" s="953"/>
      <c r="QPH22" s="953"/>
      <c r="QPI22" s="953"/>
      <c r="QPJ22" s="953"/>
      <c r="QPK22" s="953"/>
      <c r="QPL22" s="953"/>
      <c r="QPM22" s="953"/>
      <c r="QPN22" s="953"/>
      <c r="QPO22" s="953"/>
      <c r="QPP22" s="953"/>
      <c r="QPQ22" s="953"/>
      <c r="QPR22" s="953"/>
      <c r="QPS22" s="953"/>
      <c r="QPT22" s="953"/>
      <c r="QPU22" s="953"/>
      <c r="QPV22" s="953"/>
      <c r="QPW22" s="953"/>
      <c r="QPX22" s="953"/>
      <c r="QPY22" s="953"/>
      <c r="QPZ22" s="953"/>
      <c r="QQA22" s="953"/>
      <c r="QQB22" s="953"/>
      <c r="QQC22" s="953"/>
      <c r="QQD22" s="953"/>
      <c r="QQE22" s="953"/>
      <c r="QQF22" s="953"/>
      <c r="QQG22" s="953"/>
      <c r="QQH22" s="953"/>
      <c r="QQI22" s="953"/>
      <c r="QQJ22" s="953"/>
      <c r="QQK22" s="953"/>
      <c r="QQL22" s="953"/>
      <c r="QQM22" s="953"/>
      <c r="QQN22" s="953"/>
      <c r="QQO22" s="953"/>
      <c r="QQP22" s="953"/>
      <c r="QQQ22" s="953"/>
      <c r="QQR22" s="953"/>
      <c r="QQS22" s="953"/>
      <c r="QQT22" s="953"/>
      <c r="QQU22" s="953"/>
      <c r="QQV22" s="953"/>
      <c r="QQW22" s="953"/>
      <c r="QQX22" s="953"/>
      <c r="QQY22" s="953"/>
      <c r="QQZ22" s="953"/>
      <c r="QRA22" s="953"/>
      <c r="QRB22" s="953"/>
      <c r="QRC22" s="953"/>
      <c r="QRD22" s="953"/>
      <c r="QRE22" s="953"/>
      <c r="QRF22" s="953"/>
      <c r="QRG22" s="953"/>
      <c r="QRH22" s="953"/>
      <c r="QRI22" s="953"/>
      <c r="QRJ22" s="953"/>
      <c r="QRK22" s="953"/>
      <c r="QRL22" s="953"/>
      <c r="QRM22" s="953"/>
      <c r="QRN22" s="953"/>
      <c r="QRO22" s="953"/>
      <c r="QRP22" s="953"/>
      <c r="QRQ22" s="953"/>
      <c r="QRR22" s="953"/>
      <c r="QRS22" s="953"/>
      <c r="QRT22" s="953"/>
      <c r="QRU22" s="953"/>
      <c r="QRV22" s="953"/>
      <c r="QRW22" s="953"/>
      <c r="QRX22" s="953"/>
      <c r="QRY22" s="953"/>
      <c r="QRZ22" s="953"/>
      <c r="QSA22" s="953"/>
      <c r="QSB22" s="953"/>
      <c r="QSC22" s="953"/>
      <c r="QSD22" s="953"/>
      <c r="QSE22" s="953"/>
      <c r="QSF22" s="953"/>
      <c r="QSG22" s="953"/>
      <c r="QSH22" s="953"/>
      <c r="QSI22" s="953"/>
      <c r="QSJ22" s="953"/>
      <c r="QSK22" s="953"/>
      <c r="QSL22" s="953"/>
      <c r="QSM22" s="953"/>
      <c r="QSN22" s="953"/>
      <c r="QSO22" s="953"/>
      <c r="QSP22" s="953"/>
      <c r="QSQ22" s="953"/>
      <c r="QSR22" s="953"/>
      <c r="QSS22" s="953"/>
      <c r="QST22" s="953"/>
      <c r="QSU22" s="953"/>
      <c r="QSV22" s="953"/>
      <c r="QSW22" s="953"/>
      <c r="QSX22" s="953"/>
      <c r="QSY22" s="953"/>
      <c r="QSZ22" s="953"/>
      <c r="QTA22" s="953"/>
      <c r="QTB22" s="953"/>
      <c r="QTC22" s="953"/>
      <c r="QTD22" s="953"/>
      <c r="QTE22" s="953"/>
      <c r="QTF22" s="953"/>
      <c r="QTG22" s="953"/>
      <c r="QTH22" s="953"/>
      <c r="QTI22" s="953"/>
      <c r="QTJ22" s="953"/>
      <c r="QTK22" s="953"/>
      <c r="QTL22" s="953"/>
      <c r="QTM22" s="953"/>
      <c r="QTN22" s="953"/>
      <c r="QTO22" s="953"/>
      <c r="QTP22" s="953"/>
      <c r="QTQ22" s="953"/>
      <c r="QTR22" s="953"/>
      <c r="QTS22" s="953"/>
      <c r="QTT22" s="953"/>
      <c r="QTU22" s="953"/>
      <c r="QTV22" s="953"/>
      <c r="QTW22" s="953"/>
      <c r="QTX22" s="953"/>
      <c r="QTY22" s="953"/>
      <c r="QTZ22" s="953"/>
      <c r="QUA22" s="953"/>
      <c r="QUB22" s="953"/>
      <c r="QUC22" s="953"/>
      <c r="QUD22" s="953"/>
      <c r="QUE22" s="953"/>
      <c r="QUF22" s="953"/>
      <c r="QUG22" s="953"/>
      <c r="QUH22" s="953"/>
      <c r="QUI22" s="953"/>
      <c r="QUJ22" s="953"/>
      <c r="QUK22" s="953"/>
      <c r="QUL22" s="953"/>
      <c r="QUM22" s="953"/>
      <c r="QUN22" s="953"/>
      <c r="QUO22" s="953"/>
      <c r="QUP22" s="953"/>
      <c r="QUQ22" s="953"/>
      <c r="QUR22" s="953"/>
      <c r="QUS22" s="953"/>
      <c r="QUT22" s="953"/>
      <c r="QUU22" s="953"/>
      <c r="QUV22" s="953"/>
      <c r="QUW22" s="953"/>
      <c r="QUX22" s="953"/>
      <c r="QUY22" s="953"/>
      <c r="QUZ22" s="953"/>
      <c r="QVA22" s="953"/>
      <c r="QVB22" s="953"/>
      <c r="QVC22" s="953"/>
      <c r="QVD22" s="953"/>
      <c r="QVE22" s="953"/>
      <c r="QVF22" s="953"/>
      <c r="QVG22" s="953"/>
      <c r="QVH22" s="953"/>
      <c r="QVI22" s="953"/>
      <c r="QVJ22" s="953"/>
      <c r="QVK22" s="953"/>
      <c r="QVL22" s="953"/>
      <c r="QVM22" s="953"/>
      <c r="QVN22" s="953"/>
      <c r="QVO22" s="953"/>
      <c r="QVP22" s="953"/>
      <c r="QVQ22" s="953"/>
      <c r="QVR22" s="953"/>
      <c r="QVS22" s="953"/>
      <c r="QVT22" s="953"/>
      <c r="QVU22" s="953"/>
      <c r="QVV22" s="953"/>
      <c r="QVW22" s="953"/>
      <c r="QVX22" s="953"/>
      <c r="QVY22" s="953"/>
      <c r="QVZ22" s="953"/>
      <c r="QWA22" s="953"/>
      <c r="QWB22" s="953"/>
      <c r="QWC22" s="953"/>
      <c r="QWD22" s="953"/>
      <c r="QWE22" s="953"/>
      <c r="QWF22" s="953"/>
      <c r="QWG22" s="953"/>
      <c r="QWH22" s="953"/>
      <c r="QWI22" s="953"/>
      <c r="QWJ22" s="953"/>
      <c r="QWK22" s="953"/>
      <c r="QWL22" s="953"/>
      <c r="QWM22" s="953"/>
      <c r="QWN22" s="953"/>
      <c r="QWO22" s="953"/>
      <c r="QWP22" s="953"/>
      <c r="QWQ22" s="953"/>
      <c r="QWR22" s="953"/>
      <c r="QWS22" s="953"/>
      <c r="QWT22" s="953"/>
      <c r="QWU22" s="953"/>
      <c r="QWV22" s="953"/>
      <c r="QWW22" s="953"/>
      <c r="QWX22" s="953"/>
      <c r="QWY22" s="953"/>
      <c r="QWZ22" s="953"/>
      <c r="QXA22" s="953"/>
      <c r="QXB22" s="953"/>
      <c r="QXC22" s="953"/>
      <c r="QXD22" s="953"/>
      <c r="QXE22" s="953"/>
      <c r="QXF22" s="953"/>
      <c r="QXG22" s="953"/>
      <c r="QXH22" s="953"/>
      <c r="QXI22" s="953"/>
      <c r="QXJ22" s="953"/>
      <c r="QXK22" s="953"/>
      <c r="QXL22" s="953"/>
      <c r="QXM22" s="953"/>
      <c r="QXN22" s="953"/>
      <c r="QXO22" s="953"/>
      <c r="QXP22" s="953"/>
      <c r="QXQ22" s="953"/>
      <c r="QXR22" s="953"/>
      <c r="QXS22" s="953"/>
      <c r="QXT22" s="953"/>
      <c r="QXU22" s="953"/>
      <c r="QXV22" s="953"/>
      <c r="QXW22" s="953"/>
      <c r="QXX22" s="953"/>
      <c r="QXY22" s="953"/>
      <c r="QXZ22" s="953"/>
      <c r="QYA22" s="953"/>
      <c r="QYB22" s="953"/>
      <c r="QYC22" s="953"/>
      <c r="QYD22" s="953"/>
      <c r="QYE22" s="953"/>
      <c r="QYF22" s="953"/>
      <c r="QYG22" s="953"/>
      <c r="QYH22" s="953"/>
      <c r="QYI22" s="953"/>
      <c r="QYJ22" s="953"/>
      <c r="QYK22" s="953"/>
      <c r="QYL22" s="953"/>
      <c r="QYM22" s="953"/>
      <c r="QYN22" s="953"/>
      <c r="QYO22" s="953"/>
      <c r="QYP22" s="953"/>
      <c r="QYQ22" s="953"/>
      <c r="QYR22" s="953"/>
      <c r="QYS22" s="953"/>
      <c r="QYT22" s="953"/>
      <c r="QYU22" s="953"/>
      <c r="QYV22" s="953"/>
      <c r="QYW22" s="953"/>
      <c r="QYX22" s="953"/>
      <c r="QYY22" s="953"/>
      <c r="QYZ22" s="953"/>
      <c r="QZA22" s="953"/>
      <c r="QZB22" s="953"/>
      <c r="QZC22" s="953"/>
      <c r="QZD22" s="953"/>
      <c r="QZE22" s="953"/>
      <c r="QZF22" s="953"/>
      <c r="QZG22" s="953"/>
      <c r="QZH22" s="953"/>
      <c r="QZI22" s="953"/>
      <c r="QZJ22" s="953"/>
      <c r="QZK22" s="953"/>
      <c r="QZL22" s="953"/>
      <c r="QZM22" s="953"/>
      <c r="QZN22" s="953"/>
      <c r="QZO22" s="953"/>
      <c r="QZP22" s="953"/>
      <c r="QZQ22" s="953"/>
      <c r="QZR22" s="953"/>
      <c r="QZS22" s="953"/>
      <c r="QZT22" s="953"/>
      <c r="QZU22" s="953"/>
      <c r="QZV22" s="953"/>
      <c r="QZW22" s="953"/>
      <c r="QZX22" s="953"/>
      <c r="QZY22" s="953"/>
      <c r="QZZ22" s="953"/>
      <c r="RAA22" s="953"/>
      <c r="RAB22" s="953"/>
      <c r="RAC22" s="953"/>
      <c r="RAD22" s="953"/>
      <c r="RAE22" s="953"/>
      <c r="RAF22" s="953"/>
      <c r="RAG22" s="953"/>
      <c r="RAH22" s="953"/>
      <c r="RAI22" s="953"/>
      <c r="RAJ22" s="953"/>
      <c r="RAK22" s="953"/>
      <c r="RAL22" s="953"/>
      <c r="RAM22" s="953"/>
      <c r="RAN22" s="953"/>
      <c r="RAO22" s="953"/>
      <c r="RAP22" s="953"/>
      <c r="RAQ22" s="953"/>
      <c r="RAR22" s="953"/>
      <c r="RAS22" s="953"/>
      <c r="RAT22" s="953"/>
      <c r="RAU22" s="953"/>
      <c r="RAV22" s="953"/>
      <c r="RAW22" s="953"/>
      <c r="RAX22" s="953"/>
      <c r="RAY22" s="953"/>
      <c r="RAZ22" s="953"/>
      <c r="RBA22" s="953"/>
      <c r="RBB22" s="953"/>
      <c r="RBC22" s="953"/>
      <c r="RBD22" s="953"/>
      <c r="RBE22" s="953"/>
      <c r="RBF22" s="953"/>
      <c r="RBG22" s="953"/>
      <c r="RBH22" s="953"/>
      <c r="RBI22" s="953"/>
      <c r="RBJ22" s="953"/>
      <c r="RBK22" s="953"/>
      <c r="RBL22" s="953"/>
      <c r="RBM22" s="953"/>
      <c r="RBN22" s="953"/>
      <c r="RBO22" s="953"/>
      <c r="RBP22" s="953"/>
      <c r="RBQ22" s="953"/>
      <c r="RBR22" s="953"/>
      <c r="RBS22" s="953"/>
      <c r="RBT22" s="953"/>
      <c r="RBU22" s="953"/>
      <c r="RBV22" s="953"/>
      <c r="RBW22" s="953"/>
      <c r="RBX22" s="953"/>
      <c r="RBY22" s="953"/>
      <c r="RBZ22" s="953"/>
      <c r="RCA22" s="953"/>
      <c r="RCB22" s="953"/>
      <c r="RCC22" s="953"/>
      <c r="RCD22" s="953"/>
      <c r="RCE22" s="953"/>
      <c r="RCF22" s="953"/>
      <c r="RCG22" s="953"/>
      <c r="RCH22" s="953"/>
      <c r="RCI22" s="953"/>
      <c r="RCJ22" s="953"/>
      <c r="RCK22" s="953"/>
      <c r="RCL22" s="953"/>
      <c r="RCM22" s="953"/>
      <c r="RCN22" s="953"/>
      <c r="RCO22" s="953"/>
      <c r="RCP22" s="953"/>
      <c r="RCQ22" s="953"/>
      <c r="RCR22" s="953"/>
      <c r="RCS22" s="953"/>
      <c r="RCT22" s="953"/>
      <c r="RCU22" s="953"/>
      <c r="RCV22" s="953"/>
      <c r="RCW22" s="953"/>
      <c r="RCX22" s="953"/>
      <c r="RCY22" s="953"/>
      <c r="RCZ22" s="953"/>
      <c r="RDA22" s="953"/>
      <c r="RDB22" s="953"/>
      <c r="RDC22" s="953"/>
      <c r="RDD22" s="953"/>
      <c r="RDE22" s="953"/>
      <c r="RDF22" s="953"/>
      <c r="RDG22" s="953"/>
      <c r="RDH22" s="953"/>
      <c r="RDI22" s="953"/>
      <c r="RDJ22" s="953"/>
      <c r="RDK22" s="953"/>
      <c r="RDL22" s="953"/>
      <c r="RDM22" s="953"/>
      <c r="RDN22" s="953"/>
      <c r="RDO22" s="953"/>
      <c r="RDP22" s="953"/>
      <c r="RDQ22" s="953"/>
      <c r="RDR22" s="953"/>
      <c r="RDS22" s="953"/>
      <c r="RDT22" s="953"/>
      <c r="RDU22" s="953"/>
      <c r="RDV22" s="953"/>
      <c r="RDW22" s="953"/>
      <c r="RDX22" s="953"/>
      <c r="RDY22" s="953"/>
      <c r="RDZ22" s="953"/>
      <c r="REA22" s="953"/>
      <c r="REB22" s="953"/>
      <c r="REC22" s="953"/>
      <c r="RED22" s="953"/>
      <c r="REE22" s="953"/>
      <c r="REF22" s="953"/>
      <c r="REG22" s="953"/>
      <c r="REH22" s="953"/>
      <c r="REI22" s="953"/>
      <c r="REJ22" s="953"/>
      <c r="REK22" s="953"/>
      <c r="REL22" s="953"/>
      <c r="REM22" s="953"/>
      <c r="REN22" s="953"/>
      <c r="REO22" s="953"/>
      <c r="REP22" s="953"/>
      <c r="REQ22" s="953"/>
      <c r="RER22" s="953"/>
      <c r="RES22" s="953"/>
      <c r="RET22" s="953"/>
      <c r="REU22" s="953"/>
      <c r="REV22" s="953"/>
      <c r="REW22" s="953"/>
      <c r="REX22" s="953"/>
      <c r="REY22" s="953"/>
      <c r="REZ22" s="953"/>
      <c r="RFA22" s="953"/>
      <c r="RFB22" s="953"/>
      <c r="RFC22" s="953"/>
      <c r="RFD22" s="953"/>
      <c r="RFE22" s="953"/>
      <c r="RFF22" s="953"/>
      <c r="RFG22" s="953"/>
      <c r="RFH22" s="953"/>
      <c r="RFI22" s="953"/>
      <c r="RFJ22" s="953"/>
      <c r="RFK22" s="953"/>
      <c r="RFL22" s="953"/>
      <c r="RFM22" s="953"/>
      <c r="RFN22" s="953"/>
      <c r="RFO22" s="953"/>
      <c r="RFP22" s="953"/>
      <c r="RFQ22" s="953"/>
      <c r="RFR22" s="953"/>
      <c r="RFS22" s="953"/>
      <c r="RFT22" s="953"/>
      <c r="RFU22" s="953"/>
      <c r="RFV22" s="953"/>
      <c r="RFW22" s="953"/>
      <c r="RFX22" s="953"/>
      <c r="RFY22" s="953"/>
      <c r="RFZ22" s="953"/>
      <c r="RGA22" s="953"/>
      <c r="RGB22" s="953"/>
      <c r="RGC22" s="953"/>
      <c r="RGD22" s="953"/>
      <c r="RGE22" s="953"/>
      <c r="RGF22" s="953"/>
      <c r="RGG22" s="953"/>
      <c r="RGH22" s="953"/>
      <c r="RGI22" s="953"/>
      <c r="RGJ22" s="953"/>
      <c r="RGK22" s="953"/>
      <c r="RGL22" s="953"/>
      <c r="RGM22" s="953"/>
      <c r="RGN22" s="953"/>
      <c r="RGO22" s="953"/>
      <c r="RGP22" s="953"/>
      <c r="RGQ22" s="953"/>
      <c r="RGR22" s="953"/>
      <c r="RGS22" s="953"/>
      <c r="RGT22" s="953"/>
      <c r="RGU22" s="953"/>
      <c r="RGV22" s="953"/>
      <c r="RGW22" s="953"/>
      <c r="RGX22" s="953"/>
      <c r="RGY22" s="953"/>
      <c r="RGZ22" s="953"/>
      <c r="RHA22" s="953"/>
      <c r="RHB22" s="953"/>
      <c r="RHC22" s="953"/>
      <c r="RHD22" s="953"/>
      <c r="RHE22" s="953"/>
      <c r="RHF22" s="953"/>
      <c r="RHG22" s="953"/>
      <c r="RHH22" s="953"/>
      <c r="RHI22" s="953"/>
      <c r="RHJ22" s="953"/>
      <c r="RHK22" s="953"/>
      <c r="RHL22" s="953"/>
      <c r="RHM22" s="953"/>
      <c r="RHN22" s="953"/>
      <c r="RHO22" s="953"/>
      <c r="RHP22" s="953"/>
      <c r="RHQ22" s="953"/>
      <c r="RHR22" s="953"/>
      <c r="RHS22" s="953"/>
      <c r="RHT22" s="953"/>
      <c r="RHU22" s="953"/>
      <c r="RHV22" s="953"/>
      <c r="RHW22" s="953"/>
      <c r="RHX22" s="953"/>
      <c r="RHY22" s="953"/>
      <c r="RHZ22" s="953"/>
      <c r="RIA22" s="953"/>
      <c r="RIB22" s="953"/>
      <c r="RIC22" s="953"/>
      <c r="RID22" s="953"/>
      <c r="RIE22" s="953"/>
      <c r="RIF22" s="953"/>
      <c r="RIG22" s="953"/>
      <c r="RIH22" s="953"/>
      <c r="RII22" s="953"/>
      <c r="RIJ22" s="953"/>
      <c r="RIK22" s="953"/>
      <c r="RIL22" s="953"/>
      <c r="RIM22" s="953"/>
      <c r="RIN22" s="953"/>
      <c r="RIO22" s="953"/>
      <c r="RIP22" s="953"/>
      <c r="RIQ22" s="953"/>
      <c r="RIR22" s="953"/>
      <c r="RIS22" s="953"/>
      <c r="RIT22" s="953"/>
      <c r="RIU22" s="953"/>
      <c r="RIV22" s="953"/>
      <c r="RIW22" s="953"/>
      <c r="RIX22" s="953"/>
      <c r="RIY22" s="953"/>
      <c r="RIZ22" s="953"/>
      <c r="RJA22" s="953"/>
      <c r="RJB22" s="953"/>
      <c r="RJC22" s="953"/>
      <c r="RJD22" s="953"/>
      <c r="RJE22" s="953"/>
      <c r="RJF22" s="953"/>
      <c r="RJG22" s="953"/>
      <c r="RJH22" s="953"/>
      <c r="RJI22" s="953"/>
      <c r="RJJ22" s="953"/>
      <c r="RJK22" s="953"/>
      <c r="RJL22" s="953"/>
      <c r="RJM22" s="953"/>
      <c r="RJN22" s="953"/>
      <c r="RJO22" s="953"/>
      <c r="RJP22" s="953"/>
      <c r="RJQ22" s="953"/>
      <c r="RJR22" s="953"/>
      <c r="RJS22" s="953"/>
      <c r="RJT22" s="953"/>
      <c r="RJU22" s="953"/>
      <c r="RJV22" s="953"/>
      <c r="RJW22" s="953"/>
      <c r="RJX22" s="953"/>
      <c r="RJY22" s="953"/>
      <c r="RJZ22" s="953"/>
      <c r="RKA22" s="953"/>
      <c r="RKB22" s="953"/>
      <c r="RKC22" s="953"/>
      <c r="RKD22" s="953"/>
      <c r="RKE22" s="953"/>
      <c r="RKF22" s="953"/>
      <c r="RKG22" s="953"/>
      <c r="RKH22" s="953"/>
      <c r="RKI22" s="953"/>
      <c r="RKJ22" s="953"/>
      <c r="RKK22" s="953"/>
      <c r="RKL22" s="953"/>
      <c r="RKM22" s="953"/>
      <c r="RKN22" s="953"/>
      <c r="RKO22" s="953"/>
      <c r="RKP22" s="953"/>
      <c r="RKQ22" s="953"/>
      <c r="RKR22" s="953"/>
      <c r="RKS22" s="953"/>
      <c r="RKT22" s="953"/>
      <c r="RKU22" s="953"/>
      <c r="RKV22" s="953"/>
      <c r="RKW22" s="953"/>
      <c r="RKX22" s="953"/>
      <c r="RKY22" s="953"/>
      <c r="RKZ22" s="953"/>
      <c r="RLA22" s="953"/>
      <c r="RLB22" s="953"/>
      <c r="RLC22" s="953"/>
      <c r="RLD22" s="953"/>
      <c r="RLE22" s="953"/>
      <c r="RLF22" s="953"/>
      <c r="RLG22" s="953"/>
      <c r="RLH22" s="953"/>
      <c r="RLI22" s="953"/>
      <c r="RLJ22" s="953"/>
      <c r="RLK22" s="953"/>
      <c r="RLL22" s="953"/>
      <c r="RLM22" s="953"/>
      <c r="RLN22" s="953"/>
      <c r="RLO22" s="953"/>
      <c r="RLP22" s="953"/>
      <c r="RLQ22" s="953"/>
      <c r="RLR22" s="953"/>
      <c r="RLS22" s="953"/>
      <c r="RLT22" s="953"/>
      <c r="RLU22" s="953"/>
      <c r="RLV22" s="953"/>
      <c r="RLW22" s="953"/>
      <c r="RLX22" s="953"/>
      <c r="RLY22" s="953"/>
      <c r="RLZ22" s="953"/>
      <c r="RMA22" s="953"/>
      <c r="RMB22" s="953"/>
      <c r="RMC22" s="953"/>
      <c r="RMD22" s="953"/>
      <c r="RME22" s="953"/>
      <c r="RMF22" s="953"/>
      <c r="RMG22" s="953"/>
      <c r="RMH22" s="953"/>
      <c r="RMI22" s="953"/>
      <c r="RMJ22" s="953"/>
      <c r="RMK22" s="953"/>
      <c r="RML22" s="953"/>
      <c r="RMM22" s="953"/>
      <c r="RMN22" s="953"/>
      <c r="RMO22" s="953"/>
      <c r="RMP22" s="953"/>
      <c r="RMQ22" s="953"/>
      <c r="RMR22" s="953"/>
      <c r="RMS22" s="953"/>
      <c r="RMT22" s="953"/>
      <c r="RMU22" s="953"/>
      <c r="RMV22" s="953"/>
      <c r="RMW22" s="953"/>
      <c r="RMX22" s="953"/>
      <c r="RMY22" s="953"/>
      <c r="RMZ22" s="953"/>
      <c r="RNA22" s="953"/>
      <c r="RNB22" s="953"/>
      <c r="RNC22" s="953"/>
      <c r="RND22" s="953"/>
      <c r="RNE22" s="953"/>
      <c r="RNF22" s="953"/>
      <c r="RNG22" s="953"/>
      <c r="RNH22" s="953"/>
      <c r="RNI22" s="953"/>
      <c r="RNJ22" s="953"/>
      <c r="RNK22" s="953"/>
      <c r="RNL22" s="953"/>
      <c r="RNM22" s="953"/>
      <c r="RNN22" s="953"/>
      <c r="RNO22" s="953"/>
      <c r="RNP22" s="953"/>
      <c r="RNQ22" s="953"/>
      <c r="RNR22" s="953"/>
      <c r="RNS22" s="953"/>
      <c r="RNT22" s="953"/>
      <c r="RNU22" s="953"/>
      <c r="RNV22" s="953"/>
      <c r="RNW22" s="953"/>
      <c r="RNX22" s="953"/>
      <c r="RNY22" s="953"/>
      <c r="RNZ22" s="953"/>
      <c r="ROA22" s="953"/>
      <c r="ROB22" s="953"/>
      <c r="ROC22" s="953"/>
      <c r="ROD22" s="953"/>
      <c r="ROE22" s="953"/>
      <c r="ROF22" s="953"/>
      <c r="ROG22" s="953"/>
      <c r="ROH22" s="953"/>
      <c r="ROI22" s="953"/>
      <c r="ROJ22" s="953"/>
      <c r="ROK22" s="953"/>
      <c r="ROL22" s="953"/>
      <c r="ROM22" s="953"/>
      <c r="RON22" s="953"/>
      <c r="ROO22" s="953"/>
      <c r="ROP22" s="953"/>
      <c r="ROQ22" s="953"/>
      <c r="ROR22" s="953"/>
      <c r="ROS22" s="953"/>
      <c r="ROT22" s="953"/>
      <c r="ROU22" s="953"/>
      <c r="ROV22" s="953"/>
      <c r="ROW22" s="953"/>
      <c r="ROX22" s="953"/>
      <c r="ROY22" s="953"/>
      <c r="ROZ22" s="953"/>
      <c r="RPA22" s="953"/>
      <c r="RPB22" s="953"/>
      <c r="RPC22" s="953"/>
      <c r="RPD22" s="953"/>
      <c r="RPE22" s="953"/>
      <c r="RPF22" s="953"/>
      <c r="RPG22" s="953"/>
      <c r="RPH22" s="953"/>
      <c r="RPI22" s="953"/>
      <c r="RPJ22" s="953"/>
      <c r="RPK22" s="953"/>
      <c r="RPL22" s="953"/>
      <c r="RPM22" s="953"/>
      <c r="RPN22" s="953"/>
      <c r="RPO22" s="953"/>
      <c r="RPP22" s="953"/>
      <c r="RPQ22" s="953"/>
      <c r="RPR22" s="953"/>
      <c r="RPS22" s="953"/>
      <c r="RPT22" s="953"/>
      <c r="RPU22" s="953"/>
      <c r="RPV22" s="953"/>
      <c r="RPW22" s="953"/>
      <c r="RPX22" s="953"/>
      <c r="RPY22" s="953"/>
      <c r="RPZ22" s="953"/>
      <c r="RQA22" s="953"/>
      <c r="RQB22" s="953"/>
      <c r="RQC22" s="953"/>
      <c r="RQD22" s="953"/>
      <c r="RQE22" s="953"/>
      <c r="RQF22" s="953"/>
      <c r="RQG22" s="953"/>
      <c r="RQH22" s="953"/>
      <c r="RQI22" s="953"/>
      <c r="RQJ22" s="953"/>
      <c r="RQK22" s="953"/>
      <c r="RQL22" s="953"/>
      <c r="RQM22" s="953"/>
      <c r="RQN22" s="953"/>
      <c r="RQO22" s="953"/>
      <c r="RQP22" s="953"/>
      <c r="RQQ22" s="953"/>
      <c r="RQR22" s="953"/>
      <c r="RQS22" s="953"/>
      <c r="RQT22" s="953"/>
      <c r="RQU22" s="953"/>
      <c r="RQV22" s="953"/>
      <c r="RQW22" s="953"/>
      <c r="RQX22" s="953"/>
      <c r="RQY22" s="953"/>
      <c r="RQZ22" s="953"/>
      <c r="RRA22" s="953"/>
      <c r="RRB22" s="953"/>
      <c r="RRC22" s="953"/>
      <c r="RRD22" s="953"/>
      <c r="RRE22" s="953"/>
      <c r="RRF22" s="953"/>
      <c r="RRG22" s="953"/>
      <c r="RRH22" s="953"/>
      <c r="RRI22" s="953"/>
      <c r="RRJ22" s="953"/>
      <c r="RRK22" s="953"/>
      <c r="RRL22" s="953"/>
      <c r="RRM22" s="953"/>
      <c r="RRN22" s="953"/>
      <c r="RRO22" s="953"/>
      <c r="RRP22" s="953"/>
      <c r="RRQ22" s="953"/>
      <c r="RRR22" s="953"/>
      <c r="RRS22" s="953"/>
      <c r="RRT22" s="953"/>
      <c r="RRU22" s="953"/>
      <c r="RRV22" s="953"/>
      <c r="RRW22" s="953"/>
      <c r="RRX22" s="953"/>
      <c r="RRY22" s="953"/>
      <c r="RRZ22" s="953"/>
      <c r="RSA22" s="953"/>
      <c r="RSB22" s="953"/>
      <c r="RSC22" s="953"/>
      <c r="RSD22" s="953"/>
      <c r="RSE22" s="953"/>
      <c r="RSF22" s="953"/>
      <c r="RSG22" s="953"/>
      <c r="RSH22" s="953"/>
      <c r="RSI22" s="953"/>
      <c r="RSJ22" s="953"/>
      <c r="RSK22" s="953"/>
      <c r="RSL22" s="953"/>
      <c r="RSM22" s="953"/>
      <c r="RSN22" s="953"/>
      <c r="RSO22" s="953"/>
      <c r="RSP22" s="953"/>
      <c r="RSQ22" s="953"/>
      <c r="RSR22" s="953"/>
      <c r="RSS22" s="953"/>
      <c r="RST22" s="953"/>
      <c r="RSU22" s="953"/>
      <c r="RSV22" s="953"/>
      <c r="RSW22" s="953"/>
      <c r="RSX22" s="953"/>
      <c r="RSY22" s="953"/>
      <c r="RSZ22" s="953"/>
      <c r="RTA22" s="953"/>
      <c r="RTB22" s="953"/>
      <c r="RTC22" s="953"/>
      <c r="RTD22" s="953"/>
      <c r="RTE22" s="953"/>
      <c r="RTF22" s="953"/>
      <c r="RTG22" s="953"/>
      <c r="RTH22" s="953"/>
      <c r="RTI22" s="953"/>
      <c r="RTJ22" s="953"/>
      <c r="RTK22" s="953"/>
      <c r="RTL22" s="953"/>
      <c r="RTM22" s="953"/>
      <c r="RTN22" s="953"/>
      <c r="RTO22" s="953"/>
      <c r="RTP22" s="953"/>
      <c r="RTQ22" s="953"/>
      <c r="RTR22" s="953"/>
      <c r="RTS22" s="953"/>
      <c r="RTT22" s="953"/>
      <c r="RTU22" s="953"/>
      <c r="RTV22" s="953"/>
      <c r="RTW22" s="953"/>
      <c r="RTX22" s="953"/>
      <c r="RTY22" s="953"/>
      <c r="RTZ22" s="953"/>
      <c r="RUA22" s="953"/>
      <c r="RUB22" s="953"/>
      <c r="RUC22" s="953"/>
      <c r="RUD22" s="953"/>
      <c r="RUE22" s="953"/>
      <c r="RUF22" s="953"/>
      <c r="RUG22" s="953"/>
      <c r="RUH22" s="953"/>
      <c r="RUI22" s="953"/>
      <c r="RUJ22" s="953"/>
      <c r="RUK22" s="953"/>
      <c r="RUL22" s="953"/>
      <c r="RUM22" s="953"/>
      <c r="RUN22" s="953"/>
      <c r="RUO22" s="953"/>
      <c r="RUP22" s="953"/>
      <c r="RUQ22" s="953"/>
      <c r="RUR22" s="953"/>
      <c r="RUS22" s="953"/>
      <c r="RUT22" s="953"/>
      <c r="RUU22" s="953"/>
      <c r="RUV22" s="953"/>
      <c r="RUW22" s="953"/>
      <c r="RUX22" s="953"/>
      <c r="RUY22" s="953"/>
      <c r="RUZ22" s="953"/>
      <c r="RVA22" s="953"/>
      <c r="RVB22" s="953"/>
      <c r="RVC22" s="953"/>
      <c r="RVD22" s="953"/>
      <c r="RVE22" s="953"/>
      <c r="RVF22" s="953"/>
      <c r="RVG22" s="953"/>
      <c r="RVH22" s="953"/>
      <c r="RVI22" s="953"/>
      <c r="RVJ22" s="953"/>
      <c r="RVK22" s="953"/>
      <c r="RVL22" s="953"/>
      <c r="RVM22" s="953"/>
      <c r="RVN22" s="953"/>
      <c r="RVO22" s="953"/>
      <c r="RVP22" s="953"/>
      <c r="RVQ22" s="953"/>
      <c r="RVR22" s="953"/>
      <c r="RVS22" s="953"/>
      <c r="RVT22" s="953"/>
      <c r="RVU22" s="953"/>
      <c r="RVV22" s="953"/>
      <c r="RVW22" s="953"/>
      <c r="RVX22" s="953"/>
      <c r="RVY22" s="953"/>
      <c r="RVZ22" s="953"/>
      <c r="RWA22" s="953"/>
      <c r="RWB22" s="953"/>
      <c r="RWC22" s="953"/>
      <c r="RWD22" s="953"/>
      <c r="RWE22" s="953"/>
      <c r="RWF22" s="953"/>
      <c r="RWG22" s="953"/>
      <c r="RWH22" s="953"/>
      <c r="RWI22" s="953"/>
      <c r="RWJ22" s="953"/>
      <c r="RWK22" s="953"/>
      <c r="RWL22" s="953"/>
      <c r="RWM22" s="953"/>
      <c r="RWN22" s="953"/>
      <c r="RWO22" s="953"/>
      <c r="RWP22" s="953"/>
      <c r="RWQ22" s="953"/>
      <c r="RWR22" s="953"/>
      <c r="RWS22" s="953"/>
      <c r="RWT22" s="953"/>
      <c r="RWU22" s="953"/>
      <c r="RWV22" s="953"/>
      <c r="RWW22" s="953"/>
      <c r="RWX22" s="953"/>
      <c r="RWY22" s="953"/>
      <c r="RWZ22" s="953"/>
      <c r="RXA22" s="953"/>
      <c r="RXB22" s="953"/>
      <c r="RXC22" s="953"/>
      <c r="RXD22" s="953"/>
      <c r="RXE22" s="953"/>
      <c r="RXF22" s="953"/>
      <c r="RXG22" s="953"/>
      <c r="RXH22" s="953"/>
      <c r="RXI22" s="953"/>
      <c r="RXJ22" s="953"/>
      <c r="RXK22" s="953"/>
      <c r="RXL22" s="953"/>
      <c r="RXM22" s="953"/>
      <c r="RXN22" s="953"/>
      <c r="RXO22" s="953"/>
      <c r="RXP22" s="953"/>
      <c r="RXQ22" s="953"/>
      <c r="RXR22" s="953"/>
      <c r="RXS22" s="953"/>
      <c r="RXT22" s="953"/>
      <c r="RXU22" s="953"/>
      <c r="RXV22" s="953"/>
      <c r="RXW22" s="953"/>
      <c r="RXX22" s="953"/>
      <c r="RXY22" s="953"/>
      <c r="RXZ22" s="953"/>
      <c r="RYA22" s="953"/>
      <c r="RYB22" s="953"/>
      <c r="RYC22" s="953"/>
      <c r="RYD22" s="953"/>
      <c r="RYE22" s="953"/>
      <c r="RYF22" s="953"/>
      <c r="RYG22" s="953"/>
      <c r="RYH22" s="953"/>
      <c r="RYI22" s="953"/>
      <c r="RYJ22" s="953"/>
      <c r="RYK22" s="953"/>
      <c r="RYL22" s="953"/>
      <c r="RYM22" s="953"/>
      <c r="RYN22" s="953"/>
      <c r="RYO22" s="953"/>
      <c r="RYP22" s="953"/>
      <c r="RYQ22" s="953"/>
      <c r="RYR22" s="953"/>
      <c r="RYS22" s="953"/>
      <c r="RYT22" s="953"/>
      <c r="RYU22" s="953"/>
      <c r="RYV22" s="953"/>
      <c r="RYW22" s="953"/>
      <c r="RYX22" s="953"/>
      <c r="RYY22" s="953"/>
      <c r="RYZ22" s="953"/>
      <c r="RZA22" s="953"/>
      <c r="RZB22" s="953"/>
      <c r="RZC22" s="953"/>
      <c r="RZD22" s="953"/>
      <c r="RZE22" s="953"/>
      <c r="RZF22" s="953"/>
      <c r="RZG22" s="953"/>
      <c r="RZH22" s="953"/>
      <c r="RZI22" s="953"/>
      <c r="RZJ22" s="953"/>
      <c r="RZK22" s="953"/>
      <c r="RZL22" s="953"/>
      <c r="RZM22" s="953"/>
      <c r="RZN22" s="953"/>
      <c r="RZO22" s="953"/>
      <c r="RZP22" s="953"/>
      <c r="RZQ22" s="953"/>
      <c r="RZR22" s="953"/>
      <c r="RZS22" s="953"/>
      <c r="RZT22" s="953"/>
      <c r="RZU22" s="953"/>
      <c r="RZV22" s="953"/>
      <c r="RZW22" s="953"/>
      <c r="RZX22" s="953"/>
      <c r="RZY22" s="953"/>
      <c r="RZZ22" s="953"/>
      <c r="SAA22" s="953"/>
      <c r="SAB22" s="953"/>
      <c r="SAC22" s="953"/>
      <c r="SAD22" s="953"/>
      <c r="SAE22" s="953"/>
      <c r="SAF22" s="953"/>
      <c r="SAG22" s="953"/>
      <c r="SAH22" s="953"/>
      <c r="SAI22" s="953"/>
      <c r="SAJ22" s="953"/>
      <c r="SAK22" s="953"/>
      <c r="SAL22" s="953"/>
      <c r="SAM22" s="953"/>
      <c r="SAN22" s="953"/>
      <c r="SAO22" s="953"/>
      <c r="SAP22" s="953"/>
      <c r="SAQ22" s="953"/>
      <c r="SAR22" s="953"/>
      <c r="SAS22" s="953"/>
      <c r="SAT22" s="953"/>
      <c r="SAU22" s="953"/>
      <c r="SAV22" s="953"/>
      <c r="SAW22" s="953"/>
      <c r="SAX22" s="953"/>
      <c r="SAY22" s="953"/>
      <c r="SAZ22" s="953"/>
      <c r="SBA22" s="953"/>
      <c r="SBB22" s="953"/>
      <c r="SBC22" s="953"/>
      <c r="SBD22" s="953"/>
      <c r="SBE22" s="953"/>
      <c r="SBF22" s="953"/>
      <c r="SBG22" s="953"/>
      <c r="SBH22" s="953"/>
      <c r="SBI22" s="953"/>
      <c r="SBJ22" s="953"/>
      <c r="SBK22" s="953"/>
      <c r="SBL22" s="953"/>
      <c r="SBM22" s="953"/>
      <c r="SBN22" s="953"/>
      <c r="SBO22" s="953"/>
      <c r="SBP22" s="953"/>
      <c r="SBQ22" s="953"/>
      <c r="SBR22" s="953"/>
      <c r="SBS22" s="953"/>
      <c r="SBT22" s="953"/>
      <c r="SBU22" s="953"/>
      <c r="SBV22" s="953"/>
      <c r="SBW22" s="953"/>
      <c r="SBX22" s="953"/>
      <c r="SBY22" s="953"/>
      <c r="SBZ22" s="953"/>
      <c r="SCA22" s="953"/>
      <c r="SCB22" s="953"/>
      <c r="SCC22" s="953"/>
      <c r="SCD22" s="953"/>
      <c r="SCE22" s="953"/>
      <c r="SCF22" s="953"/>
      <c r="SCG22" s="953"/>
      <c r="SCH22" s="953"/>
      <c r="SCI22" s="953"/>
      <c r="SCJ22" s="953"/>
      <c r="SCK22" s="953"/>
      <c r="SCL22" s="953"/>
      <c r="SCM22" s="953"/>
      <c r="SCN22" s="953"/>
      <c r="SCO22" s="953"/>
      <c r="SCP22" s="953"/>
      <c r="SCQ22" s="953"/>
      <c r="SCR22" s="953"/>
      <c r="SCS22" s="953"/>
      <c r="SCT22" s="953"/>
      <c r="SCU22" s="953"/>
      <c r="SCV22" s="953"/>
      <c r="SCW22" s="953"/>
      <c r="SCX22" s="953"/>
      <c r="SCY22" s="953"/>
      <c r="SCZ22" s="953"/>
      <c r="SDA22" s="953"/>
      <c r="SDB22" s="953"/>
      <c r="SDC22" s="953"/>
      <c r="SDD22" s="953"/>
      <c r="SDE22" s="953"/>
      <c r="SDF22" s="953"/>
      <c r="SDG22" s="953"/>
      <c r="SDH22" s="953"/>
      <c r="SDI22" s="953"/>
      <c r="SDJ22" s="953"/>
      <c r="SDK22" s="953"/>
      <c r="SDL22" s="953"/>
      <c r="SDM22" s="953"/>
      <c r="SDN22" s="953"/>
      <c r="SDO22" s="953"/>
      <c r="SDP22" s="953"/>
      <c r="SDQ22" s="953"/>
      <c r="SDR22" s="953"/>
      <c r="SDS22" s="953"/>
      <c r="SDT22" s="953"/>
      <c r="SDU22" s="953"/>
      <c r="SDV22" s="953"/>
      <c r="SDW22" s="953"/>
      <c r="SDX22" s="953"/>
      <c r="SDY22" s="953"/>
      <c r="SDZ22" s="953"/>
      <c r="SEA22" s="953"/>
      <c r="SEB22" s="953"/>
      <c r="SEC22" s="953"/>
      <c r="SED22" s="953"/>
      <c r="SEE22" s="953"/>
      <c r="SEF22" s="953"/>
      <c r="SEG22" s="953"/>
      <c r="SEH22" s="953"/>
      <c r="SEI22" s="953"/>
      <c r="SEJ22" s="953"/>
      <c r="SEK22" s="953"/>
      <c r="SEL22" s="953"/>
      <c r="SEM22" s="953"/>
      <c r="SEN22" s="953"/>
      <c r="SEO22" s="953"/>
      <c r="SEP22" s="953"/>
      <c r="SEQ22" s="953"/>
      <c r="SER22" s="953"/>
      <c r="SES22" s="953"/>
      <c r="SET22" s="953"/>
      <c r="SEU22" s="953"/>
      <c r="SEV22" s="953"/>
      <c r="SEW22" s="953"/>
      <c r="SEX22" s="953"/>
      <c r="SEY22" s="953"/>
      <c r="SEZ22" s="953"/>
      <c r="SFA22" s="953"/>
      <c r="SFB22" s="953"/>
      <c r="SFC22" s="953"/>
      <c r="SFD22" s="953"/>
      <c r="SFE22" s="953"/>
      <c r="SFF22" s="953"/>
      <c r="SFG22" s="953"/>
      <c r="SFH22" s="953"/>
      <c r="SFI22" s="953"/>
      <c r="SFJ22" s="953"/>
      <c r="SFK22" s="953"/>
      <c r="SFL22" s="953"/>
      <c r="SFM22" s="953"/>
      <c r="SFN22" s="953"/>
      <c r="SFO22" s="953"/>
      <c r="SFP22" s="953"/>
      <c r="SFQ22" s="953"/>
      <c r="SFR22" s="953"/>
      <c r="SFS22" s="953"/>
      <c r="SFT22" s="953"/>
      <c r="SFU22" s="953"/>
      <c r="SFV22" s="953"/>
      <c r="SFW22" s="953"/>
      <c r="SFX22" s="953"/>
      <c r="SFY22" s="953"/>
      <c r="SFZ22" s="953"/>
      <c r="SGA22" s="953"/>
      <c r="SGB22" s="953"/>
      <c r="SGC22" s="953"/>
      <c r="SGD22" s="953"/>
      <c r="SGE22" s="953"/>
      <c r="SGF22" s="953"/>
      <c r="SGG22" s="953"/>
      <c r="SGH22" s="953"/>
      <c r="SGI22" s="953"/>
      <c r="SGJ22" s="953"/>
      <c r="SGK22" s="953"/>
      <c r="SGL22" s="953"/>
      <c r="SGM22" s="953"/>
      <c r="SGN22" s="953"/>
      <c r="SGO22" s="953"/>
      <c r="SGP22" s="953"/>
      <c r="SGQ22" s="953"/>
      <c r="SGR22" s="953"/>
      <c r="SGS22" s="953"/>
      <c r="SGT22" s="953"/>
      <c r="SGU22" s="953"/>
      <c r="SGV22" s="953"/>
      <c r="SGW22" s="953"/>
      <c r="SGX22" s="953"/>
      <c r="SGY22" s="953"/>
      <c r="SGZ22" s="953"/>
      <c r="SHA22" s="953"/>
      <c r="SHB22" s="953"/>
      <c r="SHC22" s="953"/>
      <c r="SHD22" s="953"/>
      <c r="SHE22" s="953"/>
      <c r="SHF22" s="953"/>
      <c r="SHG22" s="953"/>
      <c r="SHH22" s="953"/>
      <c r="SHI22" s="953"/>
      <c r="SHJ22" s="953"/>
      <c r="SHK22" s="953"/>
      <c r="SHL22" s="953"/>
      <c r="SHM22" s="953"/>
      <c r="SHN22" s="953"/>
      <c r="SHO22" s="953"/>
      <c r="SHP22" s="953"/>
      <c r="SHQ22" s="953"/>
      <c r="SHR22" s="953"/>
      <c r="SHS22" s="953"/>
      <c r="SHT22" s="953"/>
      <c r="SHU22" s="953"/>
      <c r="SHV22" s="953"/>
      <c r="SHW22" s="953"/>
      <c r="SHX22" s="953"/>
      <c r="SHY22" s="953"/>
      <c r="SHZ22" s="953"/>
      <c r="SIA22" s="953"/>
      <c r="SIB22" s="953"/>
      <c r="SIC22" s="953"/>
      <c r="SID22" s="953"/>
      <c r="SIE22" s="953"/>
      <c r="SIF22" s="953"/>
      <c r="SIG22" s="953"/>
      <c r="SIH22" s="953"/>
      <c r="SII22" s="953"/>
      <c r="SIJ22" s="953"/>
      <c r="SIK22" s="953"/>
      <c r="SIL22" s="953"/>
      <c r="SIM22" s="953"/>
      <c r="SIN22" s="953"/>
      <c r="SIO22" s="953"/>
      <c r="SIP22" s="953"/>
      <c r="SIQ22" s="953"/>
      <c r="SIR22" s="953"/>
      <c r="SIS22" s="953"/>
      <c r="SIT22" s="953"/>
      <c r="SIU22" s="953"/>
      <c r="SIV22" s="953"/>
      <c r="SIW22" s="953"/>
      <c r="SIX22" s="953"/>
      <c r="SIY22" s="953"/>
      <c r="SIZ22" s="953"/>
      <c r="SJA22" s="953"/>
      <c r="SJB22" s="953"/>
      <c r="SJC22" s="953"/>
      <c r="SJD22" s="953"/>
      <c r="SJE22" s="953"/>
      <c r="SJF22" s="953"/>
      <c r="SJG22" s="953"/>
      <c r="SJH22" s="953"/>
      <c r="SJI22" s="953"/>
      <c r="SJJ22" s="953"/>
      <c r="SJK22" s="953"/>
      <c r="SJL22" s="953"/>
      <c r="SJM22" s="953"/>
      <c r="SJN22" s="953"/>
      <c r="SJO22" s="953"/>
      <c r="SJP22" s="953"/>
      <c r="SJQ22" s="953"/>
      <c r="SJR22" s="953"/>
      <c r="SJS22" s="953"/>
      <c r="SJT22" s="953"/>
      <c r="SJU22" s="953"/>
      <c r="SJV22" s="953"/>
      <c r="SJW22" s="953"/>
      <c r="SJX22" s="953"/>
      <c r="SJY22" s="953"/>
      <c r="SJZ22" s="953"/>
      <c r="SKA22" s="953"/>
      <c r="SKB22" s="953"/>
      <c r="SKC22" s="953"/>
      <c r="SKD22" s="953"/>
      <c r="SKE22" s="953"/>
      <c r="SKF22" s="953"/>
      <c r="SKG22" s="953"/>
      <c r="SKH22" s="953"/>
      <c r="SKI22" s="953"/>
      <c r="SKJ22" s="953"/>
      <c r="SKK22" s="953"/>
      <c r="SKL22" s="953"/>
      <c r="SKM22" s="953"/>
      <c r="SKN22" s="953"/>
      <c r="SKO22" s="953"/>
      <c r="SKP22" s="953"/>
      <c r="SKQ22" s="953"/>
      <c r="SKR22" s="953"/>
      <c r="SKS22" s="953"/>
      <c r="SKT22" s="953"/>
      <c r="SKU22" s="953"/>
      <c r="SKV22" s="953"/>
      <c r="SKW22" s="953"/>
      <c r="SKX22" s="953"/>
      <c r="SKY22" s="953"/>
      <c r="SKZ22" s="953"/>
      <c r="SLA22" s="953"/>
      <c r="SLB22" s="953"/>
      <c r="SLC22" s="953"/>
      <c r="SLD22" s="953"/>
      <c r="SLE22" s="953"/>
      <c r="SLF22" s="953"/>
      <c r="SLG22" s="953"/>
      <c r="SLH22" s="953"/>
      <c r="SLI22" s="953"/>
      <c r="SLJ22" s="953"/>
      <c r="SLK22" s="953"/>
      <c r="SLL22" s="953"/>
      <c r="SLM22" s="953"/>
      <c r="SLN22" s="953"/>
      <c r="SLO22" s="953"/>
      <c r="SLP22" s="953"/>
      <c r="SLQ22" s="953"/>
      <c r="SLR22" s="953"/>
      <c r="SLS22" s="953"/>
      <c r="SLT22" s="953"/>
      <c r="SLU22" s="953"/>
      <c r="SLV22" s="953"/>
      <c r="SLW22" s="953"/>
      <c r="SLX22" s="953"/>
      <c r="SLY22" s="953"/>
      <c r="SLZ22" s="953"/>
      <c r="SMA22" s="953"/>
      <c r="SMB22" s="953"/>
      <c r="SMC22" s="953"/>
      <c r="SMD22" s="953"/>
      <c r="SME22" s="953"/>
      <c r="SMF22" s="953"/>
      <c r="SMG22" s="953"/>
      <c r="SMH22" s="953"/>
      <c r="SMI22" s="953"/>
      <c r="SMJ22" s="953"/>
      <c r="SMK22" s="953"/>
      <c r="SML22" s="953"/>
      <c r="SMM22" s="953"/>
      <c r="SMN22" s="953"/>
      <c r="SMO22" s="953"/>
      <c r="SMP22" s="953"/>
      <c r="SMQ22" s="953"/>
      <c r="SMR22" s="953"/>
      <c r="SMS22" s="953"/>
      <c r="SMT22" s="953"/>
      <c r="SMU22" s="953"/>
      <c r="SMV22" s="953"/>
      <c r="SMW22" s="953"/>
      <c r="SMX22" s="953"/>
      <c r="SMY22" s="953"/>
      <c r="SMZ22" s="953"/>
      <c r="SNA22" s="953"/>
      <c r="SNB22" s="953"/>
      <c r="SNC22" s="953"/>
      <c r="SND22" s="953"/>
      <c r="SNE22" s="953"/>
      <c r="SNF22" s="953"/>
      <c r="SNG22" s="953"/>
      <c r="SNH22" s="953"/>
      <c r="SNI22" s="953"/>
      <c r="SNJ22" s="953"/>
      <c r="SNK22" s="953"/>
      <c r="SNL22" s="953"/>
      <c r="SNM22" s="953"/>
      <c r="SNN22" s="953"/>
      <c r="SNO22" s="953"/>
      <c r="SNP22" s="953"/>
      <c r="SNQ22" s="953"/>
      <c r="SNR22" s="953"/>
      <c r="SNS22" s="953"/>
      <c r="SNT22" s="953"/>
      <c r="SNU22" s="953"/>
      <c r="SNV22" s="953"/>
      <c r="SNW22" s="953"/>
      <c r="SNX22" s="953"/>
      <c r="SNY22" s="953"/>
      <c r="SNZ22" s="953"/>
      <c r="SOA22" s="953"/>
      <c r="SOB22" s="953"/>
      <c r="SOC22" s="953"/>
      <c r="SOD22" s="953"/>
      <c r="SOE22" s="953"/>
      <c r="SOF22" s="953"/>
      <c r="SOG22" s="953"/>
      <c r="SOH22" s="953"/>
      <c r="SOI22" s="953"/>
      <c r="SOJ22" s="953"/>
      <c r="SOK22" s="953"/>
      <c r="SOL22" s="953"/>
      <c r="SOM22" s="953"/>
      <c r="SON22" s="953"/>
      <c r="SOO22" s="953"/>
      <c r="SOP22" s="953"/>
      <c r="SOQ22" s="953"/>
      <c r="SOR22" s="953"/>
      <c r="SOS22" s="953"/>
      <c r="SOT22" s="953"/>
      <c r="SOU22" s="953"/>
      <c r="SOV22" s="953"/>
      <c r="SOW22" s="953"/>
      <c r="SOX22" s="953"/>
      <c r="SOY22" s="953"/>
      <c r="SOZ22" s="953"/>
      <c r="SPA22" s="953"/>
      <c r="SPB22" s="953"/>
      <c r="SPC22" s="953"/>
      <c r="SPD22" s="953"/>
      <c r="SPE22" s="953"/>
      <c r="SPF22" s="953"/>
      <c r="SPG22" s="953"/>
      <c r="SPH22" s="953"/>
      <c r="SPI22" s="953"/>
      <c r="SPJ22" s="953"/>
      <c r="SPK22" s="953"/>
      <c r="SPL22" s="953"/>
      <c r="SPM22" s="953"/>
      <c r="SPN22" s="953"/>
      <c r="SPO22" s="953"/>
      <c r="SPP22" s="953"/>
      <c r="SPQ22" s="953"/>
      <c r="SPR22" s="953"/>
      <c r="SPS22" s="953"/>
      <c r="SPT22" s="953"/>
      <c r="SPU22" s="953"/>
      <c r="SPV22" s="953"/>
      <c r="SPW22" s="953"/>
      <c r="SPX22" s="953"/>
      <c r="SPY22" s="953"/>
      <c r="SPZ22" s="953"/>
      <c r="SQA22" s="953"/>
      <c r="SQB22" s="953"/>
      <c r="SQC22" s="953"/>
      <c r="SQD22" s="953"/>
      <c r="SQE22" s="953"/>
      <c r="SQF22" s="953"/>
      <c r="SQG22" s="953"/>
      <c r="SQH22" s="953"/>
      <c r="SQI22" s="953"/>
      <c r="SQJ22" s="953"/>
      <c r="SQK22" s="953"/>
      <c r="SQL22" s="953"/>
      <c r="SQM22" s="953"/>
      <c r="SQN22" s="953"/>
      <c r="SQO22" s="953"/>
      <c r="SQP22" s="953"/>
      <c r="SQQ22" s="953"/>
      <c r="SQR22" s="953"/>
      <c r="SQS22" s="953"/>
      <c r="SQT22" s="953"/>
      <c r="SQU22" s="953"/>
      <c r="SQV22" s="953"/>
      <c r="SQW22" s="953"/>
      <c r="SQX22" s="953"/>
      <c r="SQY22" s="953"/>
      <c r="SQZ22" s="953"/>
      <c r="SRA22" s="953"/>
      <c r="SRB22" s="953"/>
      <c r="SRC22" s="953"/>
      <c r="SRD22" s="953"/>
      <c r="SRE22" s="953"/>
      <c r="SRF22" s="953"/>
      <c r="SRG22" s="953"/>
      <c r="SRH22" s="953"/>
      <c r="SRI22" s="953"/>
      <c r="SRJ22" s="953"/>
      <c r="SRK22" s="953"/>
      <c r="SRL22" s="953"/>
      <c r="SRM22" s="953"/>
      <c r="SRN22" s="953"/>
      <c r="SRO22" s="953"/>
      <c r="SRP22" s="953"/>
      <c r="SRQ22" s="953"/>
      <c r="SRR22" s="953"/>
      <c r="SRS22" s="953"/>
      <c r="SRT22" s="953"/>
      <c r="SRU22" s="953"/>
      <c r="SRV22" s="953"/>
      <c r="SRW22" s="953"/>
      <c r="SRX22" s="953"/>
      <c r="SRY22" s="953"/>
      <c r="SRZ22" s="953"/>
      <c r="SSA22" s="953"/>
      <c r="SSB22" s="953"/>
      <c r="SSC22" s="953"/>
      <c r="SSD22" s="953"/>
      <c r="SSE22" s="953"/>
      <c r="SSF22" s="953"/>
      <c r="SSG22" s="953"/>
      <c r="SSH22" s="953"/>
      <c r="SSI22" s="953"/>
      <c r="SSJ22" s="953"/>
      <c r="SSK22" s="953"/>
      <c r="SSL22" s="953"/>
      <c r="SSM22" s="953"/>
      <c r="SSN22" s="953"/>
      <c r="SSO22" s="953"/>
      <c r="SSP22" s="953"/>
      <c r="SSQ22" s="953"/>
      <c r="SSR22" s="953"/>
      <c r="SSS22" s="953"/>
      <c r="SST22" s="953"/>
      <c r="SSU22" s="953"/>
      <c r="SSV22" s="953"/>
      <c r="SSW22" s="953"/>
      <c r="SSX22" s="953"/>
      <c r="SSY22" s="953"/>
      <c r="SSZ22" s="953"/>
      <c r="STA22" s="953"/>
      <c r="STB22" s="953"/>
      <c r="STC22" s="953"/>
      <c r="STD22" s="953"/>
      <c r="STE22" s="953"/>
      <c r="STF22" s="953"/>
      <c r="STG22" s="953"/>
      <c r="STH22" s="953"/>
      <c r="STI22" s="953"/>
      <c r="STJ22" s="953"/>
      <c r="STK22" s="953"/>
      <c r="STL22" s="953"/>
      <c r="STM22" s="953"/>
      <c r="STN22" s="953"/>
      <c r="STO22" s="953"/>
      <c r="STP22" s="953"/>
      <c r="STQ22" s="953"/>
      <c r="STR22" s="953"/>
      <c r="STS22" s="953"/>
      <c r="STT22" s="953"/>
      <c r="STU22" s="953"/>
      <c r="STV22" s="953"/>
      <c r="STW22" s="953"/>
      <c r="STX22" s="953"/>
      <c r="STY22" s="953"/>
      <c r="STZ22" s="953"/>
      <c r="SUA22" s="953"/>
      <c r="SUB22" s="953"/>
      <c r="SUC22" s="953"/>
      <c r="SUD22" s="953"/>
      <c r="SUE22" s="953"/>
      <c r="SUF22" s="953"/>
      <c r="SUG22" s="953"/>
      <c r="SUH22" s="953"/>
      <c r="SUI22" s="953"/>
      <c r="SUJ22" s="953"/>
      <c r="SUK22" s="953"/>
      <c r="SUL22" s="953"/>
      <c r="SUM22" s="953"/>
      <c r="SUN22" s="953"/>
      <c r="SUO22" s="953"/>
      <c r="SUP22" s="953"/>
      <c r="SUQ22" s="953"/>
      <c r="SUR22" s="953"/>
      <c r="SUS22" s="953"/>
      <c r="SUT22" s="953"/>
      <c r="SUU22" s="953"/>
      <c r="SUV22" s="953"/>
      <c r="SUW22" s="953"/>
      <c r="SUX22" s="953"/>
      <c r="SUY22" s="953"/>
      <c r="SUZ22" s="953"/>
      <c r="SVA22" s="953"/>
      <c r="SVB22" s="953"/>
      <c r="SVC22" s="953"/>
      <c r="SVD22" s="953"/>
      <c r="SVE22" s="953"/>
      <c r="SVF22" s="953"/>
      <c r="SVG22" s="953"/>
      <c r="SVH22" s="953"/>
      <c r="SVI22" s="953"/>
      <c r="SVJ22" s="953"/>
      <c r="SVK22" s="953"/>
      <c r="SVL22" s="953"/>
      <c r="SVM22" s="953"/>
      <c r="SVN22" s="953"/>
      <c r="SVO22" s="953"/>
      <c r="SVP22" s="953"/>
      <c r="SVQ22" s="953"/>
      <c r="SVR22" s="953"/>
      <c r="SVS22" s="953"/>
      <c r="SVT22" s="953"/>
      <c r="SVU22" s="953"/>
      <c r="SVV22" s="953"/>
      <c r="SVW22" s="953"/>
      <c r="SVX22" s="953"/>
      <c r="SVY22" s="953"/>
      <c r="SVZ22" s="953"/>
      <c r="SWA22" s="953"/>
      <c r="SWB22" s="953"/>
      <c r="SWC22" s="953"/>
      <c r="SWD22" s="953"/>
      <c r="SWE22" s="953"/>
      <c r="SWF22" s="953"/>
      <c r="SWG22" s="953"/>
      <c r="SWH22" s="953"/>
      <c r="SWI22" s="953"/>
      <c r="SWJ22" s="953"/>
      <c r="SWK22" s="953"/>
      <c r="SWL22" s="953"/>
      <c r="SWM22" s="953"/>
      <c r="SWN22" s="953"/>
      <c r="SWO22" s="953"/>
      <c r="SWP22" s="953"/>
      <c r="SWQ22" s="953"/>
      <c r="SWR22" s="953"/>
      <c r="SWS22" s="953"/>
      <c r="SWT22" s="953"/>
      <c r="SWU22" s="953"/>
      <c r="SWV22" s="953"/>
      <c r="SWW22" s="953"/>
      <c r="SWX22" s="953"/>
      <c r="SWY22" s="953"/>
      <c r="SWZ22" s="953"/>
      <c r="SXA22" s="953"/>
      <c r="SXB22" s="953"/>
      <c r="SXC22" s="953"/>
      <c r="SXD22" s="953"/>
      <c r="SXE22" s="953"/>
      <c r="SXF22" s="953"/>
      <c r="SXG22" s="953"/>
      <c r="SXH22" s="953"/>
      <c r="SXI22" s="953"/>
      <c r="SXJ22" s="953"/>
      <c r="SXK22" s="953"/>
      <c r="SXL22" s="953"/>
      <c r="SXM22" s="953"/>
      <c r="SXN22" s="953"/>
      <c r="SXO22" s="953"/>
      <c r="SXP22" s="953"/>
      <c r="SXQ22" s="953"/>
      <c r="SXR22" s="953"/>
      <c r="SXS22" s="953"/>
      <c r="SXT22" s="953"/>
      <c r="SXU22" s="953"/>
      <c r="SXV22" s="953"/>
      <c r="SXW22" s="953"/>
      <c r="SXX22" s="953"/>
      <c r="SXY22" s="953"/>
      <c r="SXZ22" s="953"/>
      <c r="SYA22" s="953"/>
      <c r="SYB22" s="953"/>
      <c r="SYC22" s="953"/>
      <c r="SYD22" s="953"/>
      <c r="SYE22" s="953"/>
      <c r="SYF22" s="953"/>
      <c r="SYG22" s="953"/>
      <c r="SYH22" s="953"/>
      <c r="SYI22" s="953"/>
      <c r="SYJ22" s="953"/>
      <c r="SYK22" s="953"/>
      <c r="SYL22" s="953"/>
      <c r="SYM22" s="953"/>
      <c r="SYN22" s="953"/>
      <c r="SYO22" s="953"/>
      <c r="SYP22" s="953"/>
      <c r="SYQ22" s="953"/>
      <c r="SYR22" s="953"/>
      <c r="SYS22" s="953"/>
      <c r="SYT22" s="953"/>
      <c r="SYU22" s="953"/>
      <c r="SYV22" s="953"/>
      <c r="SYW22" s="953"/>
      <c r="SYX22" s="953"/>
      <c r="SYY22" s="953"/>
      <c r="SYZ22" s="953"/>
      <c r="SZA22" s="953"/>
      <c r="SZB22" s="953"/>
      <c r="SZC22" s="953"/>
      <c r="SZD22" s="953"/>
      <c r="SZE22" s="953"/>
      <c r="SZF22" s="953"/>
      <c r="SZG22" s="953"/>
      <c r="SZH22" s="953"/>
      <c r="SZI22" s="953"/>
      <c r="SZJ22" s="953"/>
      <c r="SZK22" s="953"/>
      <c r="SZL22" s="953"/>
      <c r="SZM22" s="953"/>
      <c r="SZN22" s="953"/>
      <c r="SZO22" s="953"/>
      <c r="SZP22" s="953"/>
      <c r="SZQ22" s="953"/>
      <c r="SZR22" s="953"/>
      <c r="SZS22" s="953"/>
      <c r="SZT22" s="953"/>
      <c r="SZU22" s="953"/>
      <c r="SZV22" s="953"/>
      <c r="SZW22" s="953"/>
      <c r="SZX22" s="953"/>
      <c r="SZY22" s="953"/>
      <c r="SZZ22" s="953"/>
      <c r="TAA22" s="953"/>
      <c r="TAB22" s="953"/>
      <c r="TAC22" s="953"/>
      <c r="TAD22" s="953"/>
      <c r="TAE22" s="953"/>
      <c r="TAF22" s="953"/>
      <c r="TAG22" s="953"/>
      <c r="TAH22" s="953"/>
      <c r="TAI22" s="953"/>
      <c r="TAJ22" s="953"/>
      <c r="TAK22" s="953"/>
      <c r="TAL22" s="953"/>
      <c r="TAM22" s="953"/>
      <c r="TAN22" s="953"/>
      <c r="TAO22" s="953"/>
      <c r="TAP22" s="953"/>
      <c r="TAQ22" s="953"/>
      <c r="TAR22" s="953"/>
      <c r="TAS22" s="953"/>
      <c r="TAT22" s="953"/>
      <c r="TAU22" s="953"/>
      <c r="TAV22" s="953"/>
      <c r="TAW22" s="953"/>
      <c r="TAX22" s="953"/>
      <c r="TAY22" s="953"/>
      <c r="TAZ22" s="953"/>
      <c r="TBA22" s="953"/>
      <c r="TBB22" s="953"/>
      <c r="TBC22" s="953"/>
      <c r="TBD22" s="953"/>
      <c r="TBE22" s="953"/>
      <c r="TBF22" s="953"/>
      <c r="TBG22" s="953"/>
      <c r="TBH22" s="953"/>
      <c r="TBI22" s="953"/>
      <c r="TBJ22" s="953"/>
      <c r="TBK22" s="953"/>
      <c r="TBL22" s="953"/>
      <c r="TBM22" s="953"/>
      <c r="TBN22" s="953"/>
      <c r="TBO22" s="953"/>
      <c r="TBP22" s="953"/>
      <c r="TBQ22" s="953"/>
      <c r="TBR22" s="953"/>
      <c r="TBS22" s="953"/>
      <c r="TBT22" s="953"/>
      <c r="TBU22" s="953"/>
      <c r="TBV22" s="953"/>
      <c r="TBW22" s="953"/>
      <c r="TBX22" s="953"/>
      <c r="TBY22" s="953"/>
      <c r="TBZ22" s="953"/>
      <c r="TCA22" s="953"/>
      <c r="TCB22" s="953"/>
      <c r="TCC22" s="953"/>
      <c r="TCD22" s="953"/>
      <c r="TCE22" s="953"/>
      <c r="TCF22" s="953"/>
      <c r="TCG22" s="953"/>
      <c r="TCH22" s="953"/>
      <c r="TCI22" s="953"/>
      <c r="TCJ22" s="953"/>
      <c r="TCK22" s="953"/>
      <c r="TCL22" s="953"/>
      <c r="TCM22" s="953"/>
      <c r="TCN22" s="953"/>
      <c r="TCO22" s="953"/>
      <c r="TCP22" s="953"/>
      <c r="TCQ22" s="953"/>
      <c r="TCR22" s="953"/>
      <c r="TCS22" s="953"/>
      <c r="TCT22" s="953"/>
      <c r="TCU22" s="953"/>
      <c r="TCV22" s="953"/>
      <c r="TCW22" s="953"/>
      <c r="TCX22" s="953"/>
      <c r="TCY22" s="953"/>
      <c r="TCZ22" s="953"/>
      <c r="TDA22" s="953"/>
      <c r="TDB22" s="953"/>
      <c r="TDC22" s="953"/>
      <c r="TDD22" s="953"/>
      <c r="TDE22" s="953"/>
      <c r="TDF22" s="953"/>
      <c r="TDG22" s="953"/>
      <c r="TDH22" s="953"/>
      <c r="TDI22" s="953"/>
      <c r="TDJ22" s="953"/>
      <c r="TDK22" s="953"/>
      <c r="TDL22" s="953"/>
      <c r="TDM22" s="953"/>
      <c r="TDN22" s="953"/>
      <c r="TDO22" s="953"/>
      <c r="TDP22" s="953"/>
      <c r="TDQ22" s="953"/>
      <c r="TDR22" s="953"/>
      <c r="TDS22" s="953"/>
      <c r="TDT22" s="953"/>
      <c r="TDU22" s="953"/>
      <c r="TDV22" s="953"/>
      <c r="TDW22" s="953"/>
      <c r="TDX22" s="953"/>
      <c r="TDY22" s="953"/>
      <c r="TDZ22" s="953"/>
      <c r="TEA22" s="953"/>
      <c r="TEB22" s="953"/>
      <c r="TEC22" s="953"/>
      <c r="TED22" s="953"/>
      <c r="TEE22" s="953"/>
      <c r="TEF22" s="953"/>
      <c r="TEG22" s="953"/>
      <c r="TEH22" s="953"/>
      <c r="TEI22" s="953"/>
      <c r="TEJ22" s="953"/>
      <c r="TEK22" s="953"/>
      <c r="TEL22" s="953"/>
      <c r="TEM22" s="953"/>
      <c r="TEN22" s="953"/>
      <c r="TEO22" s="953"/>
      <c r="TEP22" s="953"/>
      <c r="TEQ22" s="953"/>
      <c r="TER22" s="953"/>
      <c r="TES22" s="953"/>
      <c r="TET22" s="953"/>
      <c r="TEU22" s="953"/>
      <c r="TEV22" s="953"/>
      <c r="TEW22" s="953"/>
      <c r="TEX22" s="953"/>
      <c r="TEY22" s="953"/>
      <c r="TEZ22" s="953"/>
      <c r="TFA22" s="953"/>
      <c r="TFB22" s="953"/>
      <c r="TFC22" s="953"/>
      <c r="TFD22" s="953"/>
      <c r="TFE22" s="953"/>
      <c r="TFF22" s="953"/>
      <c r="TFG22" s="953"/>
      <c r="TFH22" s="953"/>
      <c r="TFI22" s="953"/>
      <c r="TFJ22" s="953"/>
      <c r="TFK22" s="953"/>
      <c r="TFL22" s="953"/>
      <c r="TFM22" s="953"/>
      <c r="TFN22" s="953"/>
      <c r="TFO22" s="953"/>
      <c r="TFP22" s="953"/>
      <c r="TFQ22" s="953"/>
      <c r="TFR22" s="953"/>
      <c r="TFS22" s="953"/>
      <c r="TFT22" s="953"/>
      <c r="TFU22" s="953"/>
      <c r="TFV22" s="953"/>
      <c r="TFW22" s="953"/>
      <c r="TFX22" s="953"/>
      <c r="TFY22" s="953"/>
      <c r="TFZ22" s="953"/>
      <c r="TGA22" s="953"/>
      <c r="TGB22" s="953"/>
      <c r="TGC22" s="953"/>
      <c r="TGD22" s="953"/>
      <c r="TGE22" s="953"/>
      <c r="TGF22" s="953"/>
      <c r="TGG22" s="953"/>
      <c r="TGH22" s="953"/>
      <c r="TGI22" s="953"/>
      <c r="TGJ22" s="953"/>
      <c r="TGK22" s="953"/>
      <c r="TGL22" s="953"/>
      <c r="TGM22" s="953"/>
      <c r="TGN22" s="953"/>
      <c r="TGO22" s="953"/>
      <c r="TGP22" s="953"/>
      <c r="TGQ22" s="953"/>
      <c r="TGR22" s="953"/>
      <c r="TGS22" s="953"/>
      <c r="TGT22" s="953"/>
      <c r="TGU22" s="953"/>
      <c r="TGV22" s="953"/>
      <c r="TGW22" s="953"/>
      <c r="TGX22" s="953"/>
      <c r="TGY22" s="953"/>
      <c r="TGZ22" s="953"/>
      <c r="THA22" s="953"/>
      <c r="THB22" s="953"/>
      <c r="THC22" s="953"/>
      <c r="THD22" s="953"/>
      <c r="THE22" s="953"/>
      <c r="THF22" s="953"/>
      <c r="THG22" s="953"/>
      <c r="THH22" s="953"/>
      <c r="THI22" s="953"/>
      <c r="THJ22" s="953"/>
      <c r="THK22" s="953"/>
      <c r="THL22" s="953"/>
      <c r="THM22" s="953"/>
      <c r="THN22" s="953"/>
      <c r="THO22" s="953"/>
      <c r="THP22" s="953"/>
      <c r="THQ22" s="953"/>
      <c r="THR22" s="953"/>
      <c r="THS22" s="953"/>
      <c r="THT22" s="953"/>
      <c r="THU22" s="953"/>
      <c r="THV22" s="953"/>
      <c r="THW22" s="953"/>
      <c r="THX22" s="953"/>
      <c r="THY22" s="953"/>
      <c r="THZ22" s="953"/>
      <c r="TIA22" s="953"/>
      <c r="TIB22" s="953"/>
      <c r="TIC22" s="953"/>
      <c r="TID22" s="953"/>
      <c r="TIE22" s="953"/>
      <c r="TIF22" s="953"/>
      <c r="TIG22" s="953"/>
      <c r="TIH22" s="953"/>
      <c r="TII22" s="953"/>
      <c r="TIJ22" s="953"/>
      <c r="TIK22" s="953"/>
      <c r="TIL22" s="953"/>
      <c r="TIM22" s="953"/>
      <c r="TIN22" s="953"/>
      <c r="TIO22" s="953"/>
      <c r="TIP22" s="953"/>
      <c r="TIQ22" s="953"/>
      <c r="TIR22" s="953"/>
      <c r="TIS22" s="953"/>
      <c r="TIT22" s="953"/>
      <c r="TIU22" s="953"/>
      <c r="TIV22" s="953"/>
      <c r="TIW22" s="953"/>
      <c r="TIX22" s="953"/>
      <c r="TIY22" s="953"/>
      <c r="TIZ22" s="953"/>
      <c r="TJA22" s="953"/>
      <c r="TJB22" s="953"/>
      <c r="TJC22" s="953"/>
      <c r="TJD22" s="953"/>
      <c r="TJE22" s="953"/>
      <c r="TJF22" s="953"/>
      <c r="TJG22" s="953"/>
      <c r="TJH22" s="953"/>
      <c r="TJI22" s="953"/>
      <c r="TJJ22" s="953"/>
      <c r="TJK22" s="953"/>
      <c r="TJL22" s="953"/>
      <c r="TJM22" s="953"/>
      <c r="TJN22" s="953"/>
      <c r="TJO22" s="953"/>
      <c r="TJP22" s="953"/>
      <c r="TJQ22" s="953"/>
      <c r="TJR22" s="953"/>
      <c r="TJS22" s="953"/>
      <c r="TJT22" s="953"/>
      <c r="TJU22" s="953"/>
      <c r="TJV22" s="953"/>
      <c r="TJW22" s="953"/>
      <c r="TJX22" s="953"/>
      <c r="TJY22" s="953"/>
      <c r="TJZ22" s="953"/>
      <c r="TKA22" s="953"/>
      <c r="TKB22" s="953"/>
      <c r="TKC22" s="953"/>
      <c r="TKD22" s="953"/>
      <c r="TKE22" s="953"/>
      <c r="TKF22" s="953"/>
      <c r="TKG22" s="953"/>
      <c r="TKH22" s="953"/>
      <c r="TKI22" s="953"/>
      <c r="TKJ22" s="953"/>
      <c r="TKK22" s="953"/>
      <c r="TKL22" s="953"/>
      <c r="TKM22" s="953"/>
      <c r="TKN22" s="953"/>
      <c r="TKO22" s="953"/>
      <c r="TKP22" s="953"/>
      <c r="TKQ22" s="953"/>
      <c r="TKR22" s="953"/>
      <c r="TKS22" s="953"/>
      <c r="TKT22" s="953"/>
      <c r="TKU22" s="953"/>
      <c r="TKV22" s="953"/>
      <c r="TKW22" s="953"/>
      <c r="TKX22" s="953"/>
      <c r="TKY22" s="953"/>
      <c r="TKZ22" s="953"/>
      <c r="TLA22" s="953"/>
      <c r="TLB22" s="953"/>
      <c r="TLC22" s="953"/>
      <c r="TLD22" s="953"/>
      <c r="TLE22" s="953"/>
      <c r="TLF22" s="953"/>
      <c r="TLG22" s="953"/>
      <c r="TLH22" s="953"/>
      <c r="TLI22" s="953"/>
      <c r="TLJ22" s="953"/>
      <c r="TLK22" s="953"/>
      <c r="TLL22" s="953"/>
      <c r="TLM22" s="953"/>
      <c r="TLN22" s="953"/>
      <c r="TLO22" s="953"/>
      <c r="TLP22" s="953"/>
      <c r="TLQ22" s="953"/>
      <c r="TLR22" s="953"/>
      <c r="TLS22" s="953"/>
      <c r="TLT22" s="953"/>
      <c r="TLU22" s="953"/>
      <c r="TLV22" s="953"/>
      <c r="TLW22" s="953"/>
      <c r="TLX22" s="953"/>
      <c r="TLY22" s="953"/>
      <c r="TLZ22" s="953"/>
      <c r="TMA22" s="953"/>
      <c r="TMB22" s="953"/>
      <c r="TMC22" s="953"/>
      <c r="TMD22" s="953"/>
      <c r="TME22" s="953"/>
      <c r="TMF22" s="953"/>
      <c r="TMG22" s="953"/>
      <c r="TMH22" s="953"/>
      <c r="TMI22" s="953"/>
      <c r="TMJ22" s="953"/>
      <c r="TMK22" s="953"/>
      <c r="TML22" s="953"/>
      <c r="TMM22" s="953"/>
      <c r="TMN22" s="953"/>
      <c r="TMO22" s="953"/>
      <c r="TMP22" s="953"/>
      <c r="TMQ22" s="953"/>
      <c r="TMR22" s="953"/>
      <c r="TMS22" s="953"/>
      <c r="TMT22" s="953"/>
      <c r="TMU22" s="953"/>
      <c r="TMV22" s="953"/>
      <c r="TMW22" s="953"/>
      <c r="TMX22" s="953"/>
      <c r="TMY22" s="953"/>
      <c r="TMZ22" s="953"/>
      <c r="TNA22" s="953"/>
      <c r="TNB22" s="953"/>
      <c r="TNC22" s="953"/>
      <c r="TND22" s="953"/>
      <c r="TNE22" s="953"/>
      <c r="TNF22" s="953"/>
      <c r="TNG22" s="953"/>
      <c r="TNH22" s="953"/>
      <c r="TNI22" s="953"/>
      <c r="TNJ22" s="953"/>
      <c r="TNK22" s="953"/>
      <c r="TNL22" s="953"/>
      <c r="TNM22" s="953"/>
      <c r="TNN22" s="953"/>
      <c r="TNO22" s="953"/>
      <c r="TNP22" s="953"/>
      <c r="TNQ22" s="953"/>
      <c r="TNR22" s="953"/>
      <c r="TNS22" s="953"/>
      <c r="TNT22" s="953"/>
      <c r="TNU22" s="953"/>
      <c r="TNV22" s="953"/>
      <c r="TNW22" s="953"/>
      <c r="TNX22" s="953"/>
      <c r="TNY22" s="953"/>
      <c r="TNZ22" s="953"/>
      <c r="TOA22" s="953"/>
      <c r="TOB22" s="953"/>
      <c r="TOC22" s="953"/>
      <c r="TOD22" s="953"/>
      <c r="TOE22" s="953"/>
      <c r="TOF22" s="953"/>
      <c r="TOG22" s="953"/>
      <c r="TOH22" s="953"/>
      <c r="TOI22" s="953"/>
      <c r="TOJ22" s="953"/>
      <c r="TOK22" s="953"/>
      <c r="TOL22" s="953"/>
      <c r="TOM22" s="953"/>
      <c r="TON22" s="953"/>
      <c r="TOO22" s="953"/>
      <c r="TOP22" s="953"/>
      <c r="TOQ22" s="953"/>
      <c r="TOR22" s="953"/>
      <c r="TOS22" s="953"/>
      <c r="TOT22" s="953"/>
      <c r="TOU22" s="953"/>
      <c r="TOV22" s="953"/>
      <c r="TOW22" s="953"/>
      <c r="TOX22" s="953"/>
      <c r="TOY22" s="953"/>
      <c r="TOZ22" s="953"/>
      <c r="TPA22" s="953"/>
      <c r="TPB22" s="953"/>
      <c r="TPC22" s="953"/>
      <c r="TPD22" s="953"/>
      <c r="TPE22" s="953"/>
      <c r="TPF22" s="953"/>
      <c r="TPG22" s="953"/>
      <c r="TPH22" s="953"/>
      <c r="TPI22" s="953"/>
      <c r="TPJ22" s="953"/>
      <c r="TPK22" s="953"/>
      <c r="TPL22" s="953"/>
      <c r="TPM22" s="953"/>
      <c r="TPN22" s="953"/>
      <c r="TPO22" s="953"/>
      <c r="TPP22" s="953"/>
      <c r="TPQ22" s="953"/>
      <c r="TPR22" s="953"/>
      <c r="TPS22" s="953"/>
      <c r="TPT22" s="953"/>
      <c r="TPU22" s="953"/>
      <c r="TPV22" s="953"/>
      <c r="TPW22" s="953"/>
      <c r="TPX22" s="953"/>
      <c r="TPY22" s="953"/>
      <c r="TPZ22" s="953"/>
      <c r="TQA22" s="953"/>
      <c r="TQB22" s="953"/>
      <c r="TQC22" s="953"/>
      <c r="TQD22" s="953"/>
      <c r="TQE22" s="953"/>
      <c r="TQF22" s="953"/>
      <c r="TQG22" s="953"/>
      <c r="TQH22" s="953"/>
      <c r="TQI22" s="953"/>
      <c r="TQJ22" s="953"/>
      <c r="TQK22" s="953"/>
      <c r="TQL22" s="953"/>
      <c r="TQM22" s="953"/>
      <c r="TQN22" s="953"/>
      <c r="TQO22" s="953"/>
      <c r="TQP22" s="953"/>
      <c r="TQQ22" s="953"/>
      <c r="TQR22" s="953"/>
      <c r="TQS22" s="953"/>
      <c r="TQT22" s="953"/>
      <c r="TQU22" s="953"/>
      <c r="TQV22" s="953"/>
      <c r="TQW22" s="953"/>
      <c r="TQX22" s="953"/>
      <c r="TQY22" s="953"/>
      <c r="TQZ22" s="953"/>
      <c r="TRA22" s="953"/>
      <c r="TRB22" s="953"/>
      <c r="TRC22" s="953"/>
      <c r="TRD22" s="953"/>
      <c r="TRE22" s="953"/>
      <c r="TRF22" s="953"/>
      <c r="TRG22" s="953"/>
      <c r="TRH22" s="953"/>
      <c r="TRI22" s="953"/>
      <c r="TRJ22" s="953"/>
      <c r="TRK22" s="953"/>
      <c r="TRL22" s="953"/>
      <c r="TRM22" s="953"/>
      <c r="TRN22" s="953"/>
      <c r="TRO22" s="953"/>
      <c r="TRP22" s="953"/>
      <c r="TRQ22" s="953"/>
      <c r="TRR22" s="953"/>
      <c r="TRS22" s="953"/>
      <c r="TRT22" s="953"/>
      <c r="TRU22" s="953"/>
      <c r="TRV22" s="953"/>
      <c r="TRW22" s="953"/>
      <c r="TRX22" s="953"/>
      <c r="TRY22" s="953"/>
      <c r="TRZ22" s="953"/>
      <c r="TSA22" s="953"/>
      <c r="TSB22" s="953"/>
      <c r="TSC22" s="953"/>
      <c r="TSD22" s="953"/>
      <c r="TSE22" s="953"/>
      <c r="TSF22" s="953"/>
      <c r="TSG22" s="953"/>
      <c r="TSH22" s="953"/>
      <c r="TSI22" s="953"/>
      <c r="TSJ22" s="953"/>
      <c r="TSK22" s="953"/>
      <c r="TSL22" s="953"/>
      <c r="TSM22" s="953"/>
      <c r="TSN22" s="953"/>
      <c r="TSO22" s="953"/>
      <c r="TSP22" s="953"/>
      <c r="TSQ22" s="953"/>
      <c r="TSR22" s="953"/>
      <c r="TSS22" s="953"/>
      <c r="TST22" s="953"/>
      <c r="TSU22" s="953"/>
      <c r="TSV22" s="953"/>
      <c r="TSW22" s="953"/>
      <c r="TSX22" s="953"/>
      <c r="TSY22" s="953"/>
      <c r="TSZ22" s="953"/>
      <c r="TTA22" s="953"/>
      <c r="TTB22" s="953"/>
      <c r="TTC22" s="953"/>
      <c r="TTD22" s="953"/>
      <c r="TTE22" s="953"/>
      <c r="TTF22" s="953"/>
      <c r="TTG22" s="953"/>
      <c r="TTH22" s="953"/>
      <c r="TTI22" s="953"/>
      <c r="TTJ22" s="953"/>
      <c r="TTK22" s="953"/>
      <c r="TTL22" s="953"/>
      <c r="TTM22" s="953"/>
      <c r="TTN22" s="953"/>
      <c r="TTO22" s="953"/>
      <c r="TTP22" s="953"/>
      <c r="TTQ22" s="953"/>
      <c r="TTR22" s="953"/>
      <c r="TTS22" s="953"/>
      <c r="TTT22" s="953"/>
      <c r="TTU22" s="953"/>
      <c r="TTV22" s="953"/>
      <c r="TTW22" s="953"/>
      <c r="TTX22" s="953"/>
      <c r="TTY22" s="953"/>
      <c r="TTZ22" s="953"/>
      <c r="TUA22" s="953"/>
      <c r="TUB22" s="953"/>
      <c r="TUC22" s="953"/>
      <c r="TUD22" s="953"/>
      <c r="TUE22" s="953"/>
      <c r="TUF22" s="953"/>
      <c r="TUG22" s="953"/>
      <c r="TUH22" s="953"/>
      <c r="TUI22" s="953"/>
      <c r="TUJ22" s="953"/>
      <c r="TUK22" s="953"/>
      <c r="TUL22" s="953"/>
      <c r="TUM22" s="953"/>
      <c r="TUN22" s="953"/>
      <c r="TUO22" s="953"/>
      <c r="TUP22" s="953"/>
      <c r="TUQ22" s="953"/>
      <c r="TUR22" s="953"/>
      <c r="TUS22" s="953"/>
      <c r="TUT22" s="953"/>
      <c r="TUU22" s="953"/>
      <c r="TUV22" s="953"/>
      <c r="TUW22" s="953"/>
      <c r="TUX22" s="953"/>
      <c r="TUY22" s="953"/>
      <c r="TUZ22" s="953"/>
      <c r="TVA22" s="953"/>
      <c r="TVB22" s="953"/>
      <c r="TVC22" s="953"/>
      <c r="TVD22" s="953"/>
      <c r="TVE22" s="953"/>
      <c r="TVF22" s="953"/>
      <c r="TVG22" s="953"/>
      <c r="TVH22" s="953"/>
      <c r="TVI22" s="953"/>
      <c r="TVJ22" s="953"/>
      <c r="TVK22" s="953"/>
      <c r="TVL22" s="953"/>
      <c r="TVM22" s="953"/>
      <c r="TVN22" s="953"/>
      <c r="TVO22" s="953"/>
      <c r="TVP22" s="953"/>
      <c r="TVQ22" s="953"/>
      <c r="TVR22" s="953"/>
      <c r="TVS22" s="953"/>
      <c r="TVT22" s="953"/>
      <c r="TVU22" s="953"/>
      <c r="TVV22" s="953"/>
      <c r="TVW22" s="953"/>
      <c r="TVX22" s="953"/>
      <c r="TVY22" s="953"/>
      <c r="TVZ22" s="953"/>
      <c r="TWA22" s="953"/>
      <c r="TWB22" s="953"/>
      <c r="TWC22" s="953"/>
      <c r="TWD22" s="953"/>
      <c r="TWE22" s="953"/>
      <c r="TWF22" s="953"/>
      <c r="TWG22" s="953"/>
      <c r="TWH22" s="953"/>
      <c r="TWI22" s="953"/>
      <c r="TWJ22" s="953"/>
      <c r="TWK22" s="953"/>
      <c r="TWL22" s="953"/>
      <c r="TWM22" s="953"/>
      <c r="TWN22" s="953"/>
      <c r="TWO22" s="953"/>
      <c r="TWP22" s="953"/>
      <c r="TWQ22" s="953"/>
      <c r="TWR22" s="953"/>
      <c r="TWS22" s="953"/>
      <c r="TWT22" s="953"/>
      <c r="TWU22" s="953"/>
      <c r="TWV22" s="953"/>
      <c r="TWW22" s="953"/>
      <c r="TWX22" s="953"/>
      <c r="TWY22" s="953"/>
      <c r="TWZ22" s="953"/>
      <c r="TXA22" s="953"/>
      <c r="TXB22" s="953"/>
      <c r="TXC22" s="953"/>
      <c r="TXD22" s="953"/>
      <c r="TXE22" s="953"/>
      <c r="TXF22" s="953"/>
      <c r="TXG22" s="953"/>
      <c r="TXH22" s="953"/>
      <c r="TXI22" s="953"/>
      <c r="TXJ22" s="953"/>
      <c r="TXK22" s="953"/>
      <c r="TXL22" s="953"/>
      <c r="TXM22" s="953"/>
      <c r="TXN22" s="953"/>
      <c r="TXO22" s="953"/>
      <c r="TXP22" s="953"/>
      <c r="TXQ22" s="953"/>
      <c r="TXR22" s="953"/>
      <c r="TXS22" s="953"/>
      <c r="TXT22" s="953"/>
      <c r="TXU22" s="953"/>
      <c r="TXV22" s="953"/>
      <c r="TXW22" s="953"/>
      <c r="TXX22" s="953"/>
      <c r="TXY22" s="953"/>
      <c r="TXZ22" s="953"/>
      <c r="TYA22" s="953"/>
      <c r="TYB22" s="953"/>
      <c r="TYC22" s="953"/>
      <c r="TYD22" s="953"/>
      <c r="TYE22" s="953"/>
      <c r="TYF22" s="953"/>
      <c r="TYG22" s="953"/>
      <c r="TYH22" s="953"/>
      <c r="TYI22" s="953"/>
      <c r="TYJ22" s="953"/>
      <c r="TYK22" s="953"/>
      <c r="TYL22" s="953"/>
      <c r="TYM22" s="953"/>
      <c r="TYN22" s="953"/>
      <c r="TYO22" s="953"/>
      <c r="TYP22" s="953"/>
      <c r="TYQ22" s="953"/>
      <c r="TYR22" s="953"/>
      <c r="TYS22" s="953"/>
      <c r="TYT22" s="953"/>
      <c r="TYU22" s="953"/>
      <c r="TYV22" s="953"/>
      <c r="TYW22" s="953"/>
      <c r="TYX22" s="953"/>
      <c r="TYY22" s="953"/>
      <c r="TYZ22" s="953"/>
      <c r="TZA22" s="953"/>
      <c r="TZB22" s="953"/>
      <c r="TZC22" s="953"/>
      <c r="TZD22" s="953"/>
      <c r="TZE22" s="953"/>
      <c r="TZF22" s="953"/>
      <c r="TZG22" s="953"/>
      <c r="TZH22" s="953"/>
      <c r="TZI22" s="953"/>
      <c r="TZJ22" s="953"/>
      <c r="TZK22" s="953"/>
      <c r="TZL22" s="953"/>
      <c r="TZM22" s="953"/>
      <c r="TZN22" s="953"/>
      <c r="TZO22" s="953"/>
      <c r="TZP22" s="953"/>
      <c r="TZQ22" s="953"/>
      <c r="TZR22" s="953"/>
      <c r="TZS22" s="953"/>
      <c r="TZT22" s="953"/>
      <c r="TZU22" s="953"/>
      <c r="TZV22" s="953"/>
      <c r="TZW22" s="953"/>
      <c r="TZX22" s="953"/>
      <c r="TZY22" s="953"/>
      <c r="TZZ22" s="953"/>
      <c r="UAA22" s="953"/>
      <c r="UAB22" s="953"/>
      <c r="UAC22" s="953"/>
      <c r="UAD22" s="953"/>
      <c r="UAE22" s="953"/>
      <c r="UAF22" s="953"/>
      <c r="UAG22" s="953"/>
      <c r="UAH22" s="953"/>
      <c r="UAI22" s="953"/>
      <c r="UAJ22" s="953"/>
      <c r="UAK22" s="953"/>
      <c r="UAL22" s="953"/>
      <c r="UAM22" s="953"/>
      <c r="UAN22" s="953"/>
      <c r="UAO22" s="953"/>
      <c r="UAP22" s="953"/>
      <c r="UAQ22" s="953"/>
      <c r="UAR22" s="953"/>
      <c r="UAS22" s="953"/>
      <c r="UAT22" s="953"/>
      <c r="UAU22" s="953"/>
      <c r="UAV22" s="953"/>
      <c r="UAW22" s="953"/>
      <c r="UAX22" s="953"/>
      <c r="UAY22" s="953"/>
      <c r="UAZ22" s="953"/>
      <c r="UBA22" s="953"/>
      <c r="UBB22" s="953"/>
      <c r="UBC22" s="953"/>
      <c r="UBD22" s="953"/>
      <c r="UBE22" s="953"/>
      <c r="UBF22" s="953"/>
      <c r="UBG22" s="953"/>
      <c r="UBH22" s="953"/>
      <c r="UBI22" s="953"/>
      <c r="UBJ22" s="953"/>
      <c r="UBK22" s="953"/>
      <c r="UBL22" s="953"/>
      <c r="UBM22" s="953"/>
      <c r="UBN22" s="953"/>
      <c r="UBO22" s="953"/>
      <c r="UBP22" s="953"/>
      <c r="UBQ22" s="953"/>
      <c r="UBR22" s="953"/>
      <c r="UBS22" s="953"/>
      <c r="UBT22" s="953"/>
      <c r="UBU22" s="953"/>
      <c r="UBV22" s="953"/>
      <c r="UBW22" s="953"/>
      <c r="UBX22" s="953"/>
      <c r="UBY22" s="953"/>
      <c r="UBZ22" s="953"/>
      <c r="UCA22" s="953"/>
      <c r="UCB22" s="953"/>
      <c r="UCC22" s="953"/>
      <c r="UCD22" s="953"/>
      <c r="UCE22" s="953"/>
      <c r="UCF22" s="953"/>
      <c r="UCG22" s="953"/>
      <c r="UCH22" s="953"/>
      <c r="UCI22" s="953"/>
      <c r="UCJ22" s="953"/>
      <c r="UCK22" s="953"/>
      <c r="UCL22" s="953"/>
      <c r="UCM22" s="953"/>
      <c r="UCN22" s="953"/>
      <c r="UCO22" s="953"/>
      <c r="UCP22" s="953"/>
      <c r="UCQ22" s="953"/>
      <c r="UCR22" s="953"/>
      <c r="UCS22" s="953"/>
      <c r="UCT22" s="953"/>
      <c r="UCU22" s="953"/>
      <c r="UCV22" s="953"/>
      <c r="UCW22" s="953"/>
      <c r="UCX22" s="953"/>
      <c r="UCY22" s="953"/>
      <c r="UCZ22" s="953"/>
      <c r="UDA22" s="953"/>
      <c r="UDB22" s="953"/>
      <c r="UDC22" s="953"/>
      <c r="UDD22" s="953"/>
      <c r="UDE22" s="953"/>
      <c r="UDF22" s="953"/>
      <c r="UDG22" s="953"/>
      <c r="UDH22" s="953"/>
      <c r="UDI22" s="953"/>
      <c r="UDJ22" s="953"/>
      <c r="UDK22" s="953"/>
      <c r="UDL22" s="953"/>
      <c r="UDM22" s="953"/>
      <c r="UDN22" s="953"/>
      <c r="UDO22" s="953"/>
      <c r="UDP22" s="953"/>
      <c r="UDQ22" s="953"/>
      <c r="UDR22" s="953"/>
      <c r="UDS22" s="953"/>
      <c r="UDT22" s="953"/>
      <c r="UDU22" s="953"/>
      <c r="UDV22" s="953"/>
      <c r="UDW22" s="953"/>
      <c r="UDX22" s="953"/>
      <c r="UDY22" s="953"/>
      <c r="UDZ22" s="953"/>
      <c r="UEA22" s="953"/>
      <c r="UEB22" s="953"/>
      <c r="UEC22" s="953"/>
      <c r="UED22" s="953"/>
      <c r="UEE22" s="953"/>
      <c r="UEF22" s="953"/>
      <c r="UEG22" s="953"/>
      <c r="UEH22" s="953"/>
      <c r="UEI22" s="953"/>
      <c r="UEJ22" s="953"/>
      <c r="UEK22" s="953"/>
      <c r="UEL22" s="953"/>
      <c r="UEM22" s="953"/>
      <c r="UEN22" s="953"/>
      <c r="UEO22" s="953"/>
      <c r="UEP22" s="953"/>
      <c r="UEQ22" s="953"/>
      <c r="UER22" s="953"/>
      <c r="UES22" s="953"/>
      <c r="UET22" s="953"/>
      <c r="UEU22" s="953"/>
      <c r="UEV22" s="953"/>
      <c r="UEW22" s="953"/>
      <c r="UEX22" s="953"/>
      <c r="UEY22" s="953"/>
      <c r="UEZ22" s="953"/>
      <c r="UFA22" s="953"/>
      <c r="UFB22" s="953"/>
      <c r="UFC22" s="953"/>
      <c r="UFD22" s="953"/>
      <c r="UFE22" s="953"/>
      <c r="UFF22" s="953"/>
      <c r="UFG22" s="953"/>
      <c r="UFH22" s="953"/>
      <c r="UFI22" s="953"/>
      <c r="UFJ22" s="953"/>
      <c r="UFK22" s="953"/>
      <c r="UFL22" s="953"/>
      <c r="UFM22" s="953"/>
      <c r="UFN22" s="953"/>
      <c r="UFO22" s="953"/>
      <c r="UFP22" s="953"/>
      <c r="UFQ22" s="953"/>
      <c r="UFR22" s="953"/>
      <c r="UFS22" s="953"/>
      <c r="UFT22" s="953"/>
      <c r="UFU22" s="953"/>
      <c r="UFV22" s="953"/>
      <c r="UFW22" s="953"/>
      <c r="UFX22" s="953"/>
      <c r="UFY22" s="953"/>
      <c r="UFZ22" s="953"/>
      <c r="UGA22" s="953"/>
      <c r="UGB22" s="953"/>
      <c r="UGC22" s="953"/>
      <c r="UGD22" s="953"/>
      <c r="UGE22" s="953"/>
      <c r="UGF22" s="953"/>
      <c r="UGG22" s="953"/>
      <c r="UGH22" s="953"/>
      <c r="UGI22" s="953"/>
      <c r="UGJ22" s="953"/>
      <c r="UGK22" s="953"/>
      <c r="UGL22" s="953"/>
      <c r="UGM22" s="953"/>
      <c r="UGN22" s="953"/>
      <c r="UGO22" s="953"/>
      <c r="UGP22" s="953"/>
      <c r="UGQ22" s="953"/>
      <c r="UGR22" s="953"/>
      <c r="UGS22" s="953"/>
      <c r="UGT22" s="953"/>
      <c r="UGU22" s="953"/>
      <c r="UGV22" s="953"/>
      <c r="UGW22" s="953"/>
      <c r="UGX22" s="953"/>
      <c r="UGY22" s="953"/>
      <c r="UGZ22" s="953"/>
      <c r="UHA22" s="953"/>
      <c r="UHB22" s="953"/>
      <c r="UHC22" s="953"/>
      <c r="UHD22" s="953"/>
      <c r="UHE22" s="953"/>
      <c r="UHF22" s="953"/>
      <c r="UHG22" s="953"/>
      <c r="UHH22" s="953"/>
      <c r="UHI22" s="953"/>
      <c r="UHJ22" s="953"/>
      <c r="UHK22" s="953"/>
      <c r="UHL22" s="953"/>
      <c r="UHM22" s="953"/>
      <c r="UHN22" s="953"/>
      <c r="UHO22" s="953"/>
      <c r="UHP22" s="953"/>
      <c r="UHQ22" s="953"/>
      <c r="UHR22" s="953"/>
      <c r="UHS22" s="953"/>
      <c r="UHT22" s="953"/>
      <c r="UHU22" s="953"/>
      <c r="UHV22" s="953"/>
      <c r="UHW22" s="953"/>
      <c r="UHX22" s="953"/>
      <c r="UHY22" s="953"/>
      <c r="UHZ22" s="953"/>
      <c r="UIA22" s="953"/>
      <c r="UIB22" s="953"/>
      <c r="UIC22" s="953"/>
      <c r="UID22" s="953"/>
      <c r="UIE22" s="953"/>
      <c r="UIF22" s="953"/>
      <c r="UIG22" s="953"/>
      <c r="UIH22" s="953"/>
      <c r="UII22" s="953"/>
      <c r="UIJ22" s="953"/>
      <c r="UIK22" s="953"/>
      <c r="UIL22" s="953"/>
      <c r="UIM22" s="953"/>
      <c r="UIN22" s="953"/>
      <c r="UIO22" s="953"/>
      <c r="UIP22" s="953"/>
      <c r="UIQ22" s="953"/>
      <c r="UIR22" s="953"/>
      <c r="UIS22" s="953"/>
      <c r="UIT22" s="953"/>
      <c r="UIU22" s="953"/>
      <c r="UIV22" s="953"/>
      <c r="UIW22" s="953"/>
      <c r="UIX22" s="953"/>
      <c r="UIY22" s="953"/>
      <c r="UIZ22" s="953"/>
      <c r="UJA22" s="953"/>
      <c r="UJB22" s="953"/>
      <c r="UJC22" s="953"/>
      <c r="UJD22" s="953"/>
      <c r="UJE22" s="953"/>
      <c r="UJF22" s="953"/>
      <c r="UJG22" s="953"/>
      <c r="UJH22" s="953"/>
      <c r="UJI22" s="953"/>
      <c r="UJJ22" s="953"/>
      <c r="UJK22" s="953"/>
      <c r="UJL22" s="953"/>
      <c r="UJM22" s="953"/>
      <c r="UJN22" s="953"/>
      <c r="UJO22" s="953"/>
      <c r="UJP22" s="953"/>
      <c r="UJQ22" s="953"/>
      <c r="UJR22" s="953"/>
      <c r="UJS22" s="953"/>
      <c r="UJT22" s="953"/>
      <c r="UJU22" s="953"/>
      <c r="UJV22" s="953"/>
      <c r="UJW22" s="953"/>
      <c r="UJX22" s="953"/>
      <c r="UJY22" s="953"/>
      <c r="UJZ22" s="953"/>
      <c r="UKA22" s="953"/>
      <c r="UKB22" s="953"/>
      <c r="UKC22" s="953"/>
      <c r="UKD22" s="953"/>
      <c r="UKE22" s="953"/>
      <c r="UKF22" s="953"/>
      <c r="UKG22" s="953"/>
      <c r="UKH22" s="953"/>
      <c r="UKI22" s="953"/>
      <c r="UKJ22" s="953"/>
      <c r="UKK22" s="953"/>
      <c r="UKL22" s="953"/>
      <c r="UKM22" s="953"/>
      <c r="UKN22" s="953"/>
      <c r="UKO22" s="953"/>
      <c r="UKP22" s="953"/>
      <c r="UKQ22" s="953"/>
      <c r="UKR22" s="953"/>
      <c r="UKS22" s="953"/>
      <c r="UKT22" s="953"/>
      <c r="UKU22" s="953"/>
      <c r="UKV22" s="953"/>
      <c r="UKW22" s="953"/>
      <c r="UKX22" s="953"/>
      <c r="UKY22" s="953"/>
      <c r="UKZ22" s="953"/>
      <c r="ULA22" s="953"/>
      <c r="ULB22" s="953"/>
      <c r="ULC22" s="953"/>
      <c r="ULD22" s="953"/>
      <c r="ULE22" s="953"/>
      <c r="ULF22" s="953"/>
      <c r="ULG22" s="953"/>
      <c r="ULH22" s="953"/>
      <c r="ULI22" s="953"/>
      <c r="ULJ22" s="953"/>
      <c r="ULK22" s="953"/>
      <c r="ULL22" s="953"/>
      <c r="ULM22" s="953"/>
      <c r="ULN22" s="953"/>
      <c r="ULO22" s="953"/>
      <c r="ULP22" s="953"/>
      <c r="ULQ22" s="953"/>
      <c r="ULR22" s="953"/>
      <c r="ULS22" s="953"/>
      <c r="ULT22" s="953"/>
      <c r="ULU22" s="953"/>
      <c r="ULV22" s="953"/>
      <c r="ULW22" s="953"/>
      <c r="ULX22" s="953"/>
      <c r="ULY22" s="953"/>
      <c r="ULZ22" s="953"/>
      <c r="UMA22" s="953"/>
      <c r="UMB22" s="953"/>
      <c r="UMC22" s="953"/>
      <c r="UMD22" s="953"/>
      <c r="UME22" s="953"/>
      <c r="UMF22" s="953"/>
      <c r="UMG22" s="953"/>
      <c r="UMH22" s="953"/>
      <c r="UMI22" s="953"/>
      <c r="UMJ22" s="953"/>
      <c r="UMK22" s="953"/>
      <c r="UML22" s="953"/>
      <c r="UMM22" s="953"/>
      <c r="UMN22" s="953"/>
      <c r="UMO22" s="953"/>
      <c r="UMP22" s="953"/>
      <c r="UMQ22" s="953"/>
      <c r="UMR22" s="953"/>
      <c r="UMS22" s="953"/>
      <c r="UMT22" s="953"/>
      <c r="UMU22" s="953"/>
      <c r="UMV22" s="953"/>
      <c r="UMW22" s="953"/>
      <c r="UMX22" s="953"/>
      <c r="UMY22" s="953"/>
      <c r="UMZ22" s="953"/>
      <c r="UNA22" s="953"/>
      <c r="UNB22" s="953"/>
      <c r="UNC22" s="953"/>
      <c r="UND22" s="953"/>
      <c r="UNE22" s="953"/>
      <c r="UNF22" s="953"/>
      <c r="UNG22" s="953"/>
      <c r="UNH22" s="953"/>
      <c r="UNI22" s="953"/>
      <c r="UNJ22" s="953"/>
      <c r="UNK22" s="953"/>
      <c r="UNL22" s="953"/>
      <c r="UNM22" s="953"/>
      <c r="UNN22" s="953"/>
      <c r="UNO22" s="953"/>
      <c r="UNP22" s="953"/>
      <c r="UNQ22" s="953"/>
      <c r="UNR22" s="953"/>
      <c r="UNS22" s="953"/>
      <c r="UNT22" s="953"/>
      <c r="UNU22" s="953"/>
      <c r="UNV22" s="953"/>
      <c r="UNW22" s="953"/>
      <c r="UNX22" s="953"/>
      <c r="UNY22" s="953"/>
      <c r="UNZ22" s="953"/>
      <c r="UOA22" s="953"/>
      <c r="UOB22" s="953"/>
      <c r="UOC22" s="953"/>
      <c r="UOD22" s="953"/>
      <c r="UOE22" s="953"/>
      <c r="UOF22" s="953"/>
      <c r="UOG22" s="953"/>
      <c r="UOH22" s="953"/>
      <c r="UOI22" s="953"/>
      <c r="UOJ22" s="953"/>
      <c r="UOK22" s="953"/>
      <c r="UOL22" s="953"/>
      <c r="UOM22" s="953"/>
      <c r="UON22" s="953"/>
      <c r="UOO22" s="953"/>
      <c r="UOP22" s="953"/>
      <c r="UOQ22" s="953"/>
      <c r="UOR22" s="953"/>
      <c r="UOS22" s="953"/>
      <c r="UOT22" s="953"/>
      <c r="UOU22" s="953"/>
      <c r="UOV22" s="953"/>
      <c r="UOW22" s="953"/>
      <c r="UOX22" s="953"/>
      <c r="UOY22" s="953"/>
      <c r="UOZ22" s="953"/>
      <c r="UPA22" s="953"/>
      <c r="UPB22" s="953"/>
      <c r="UPC22" s="953"/>
      <c r="UPD22" s="953"/>
      <c r="UPE22" s="953"/>
      <c r="UPF22" s="953"/>
      <c r="UPG22" s="953"/>
      <c r="UPH22" s="953"/>
      <c r="UPI22" s="953"/>
      <c r="UPJ22" s="953"/>
      <c r="UPK22" s="953"/>
      <c r="UPL22" s="953"/>
      <c r="UPM22" s="953"/>
      <c r="UPN22" s="953"/>
      <c r="UPO22" s="953"/>
      <c r="UPP22" s="953"/>
      <c r="UPQ22" s="953"/>
      <c r="UPR22" s="953"/>
      <c r="UPS22" s="953"/>
      <c r="UPT22" s="953"/>
      <c r="UPU22" s="953"/>
      <c r="UPV22" s="953"/>
      <c r="UPW22" s="953"/>
      <c r="UPX22" s="953"/>
      <c r="UPY22" s="953"/>
      <c r="UPZ22" s="953"/>
      <c r="UQA22" s="953"/>
      <c r="UQB22" s="953"/>
      <c r="UQC22" s="953"/>
      <c r="UQD22" s="953"/>
      <c r="UQE22" s="953"/>
      <c r="UQF22" s="953"/>
      <c r="UQG22" s="953"/>
      <c r="UQH22" s="953"/>
      <c r="UQI22" s="953"/>
      <c r="UQJ22" s="953"/>
      <c r="UQK22" s="953"/>
      <c r="UQL22" s="953"/>
      <c r="UQM22" s="953"/>
      <c r="UQN22" s="953"/>
      <c r="UQO22" s="953"/>
      <c r="UQP22" s="953"/>
      <c r="UQQ22" s="953"/>
      <c r="UQR22" s="953"/>
      <c r="UQS22" s="953"/>
      <c r="UQT22" s="953"/>
      <c r="UQU22" s="953"/>
      <c r="UQV22" s="953"/>
      <c r="UQW22" s="953"/>
      <c r="UQX22" s="953"/>
      <c r="UQY22" s="953"/>
      <c r="UQZ22" s="953"/>
      <c r="URA22" s="953"/>
      <c r="URB22" s="953"/>
      <c r="URC22" s="953"/>
      <c r="URD22" s="953"/>
      <c r="URE22" s="953"/>
      <c r="URF22" s="953"/>
      <c r="URG22" s="953"/>
      <c r="URH22" s="953"/>
      <c r="URI22" s="953"/>
      <c r="URJ22" s="953"/>
      <c r="URK22" s="953"/>
      <c r="URL22" s="953"/>
      <c r="URM22" s="953"/>
      <c r="URN22" s="953"/>
      <c r="URO22" s="953"/>
      <c r="URP22" s="953"/>
      <c r="URQ22" s="953"/>
      <c r="URR22" s="953"/>
      <c r="URS22" s="953"/>
      <c r="URT22" s="953"/>
      <c r="URU22" s="953"/>
      <c r="URV22" s="953"/>
      <c r="URW22" s="953"/>
      <c r="URX22" s="953"/>
      <c r="URY22" s="953"/>
      <c r="URZ22" s="953"/>
      <c r="USA22" s="953"/>
      <c r="USB22" s="953"/>
      <c r="USC22" s="953"/>
      <c r="USD22" s="953"/>
      <c r="USE22" s="953"/>
      <c r="USF22" s="953"/>
      <c r="USG22" s="953"/>
      <c r="USH22" s="953"/>
      <c r="USI22" s="953"/>
      <c r="USJ22" s="953"/>
      <c r="USK22" s="953"/>
      <c r="USL22" s="953"/>
      <c r="USM22" s="953"/>
      <c r="USN22" s="953"/>
      <c r="USO22" s="953"/>
      <c r="USP22" s="953"/>
      <c r="USQ22" s="953"/>
      <c r="USR22" s="953"/>
      <c r="USS22" s="953"/>
      <c r="UST22" s="953"/>
      <c r="USU22" s="953"/>
      <c r="USV22" s="953"/>
      <c r="USW22" s="953"/>
      <c r="USX22" s="953"/>
      <c r="USY22" s="953"/>
      <c r="USZ22" s="953"/>
      <c r="UTA22" s="953"/>
      <c r="UTB22" s="953"/>
      <c r="UTC22" s="953"/>
      <c r="UTD22" s="953"/>
      <c r="UTE22" s="953"/>
      <c r="UTF22" s="953"/>
      <c r="UTG22" s="953"/>
      <c r="UTH22" s="953"/>
      <c r="UTI22" s="953"/>
      <c r="UTJ22" s="953"/>
      <c r="UTK22" s="953"/>
      <c r="UTL22" s="953"/>
      <c r="UTM22" s="953"/>
      <c r="UTN22" s="953"/>
      <c r="UTO22" s="953"/>
      <c r="UTP22" s="953"/>
      <c r="UTQ22" s="953"/>
      <c r="UTR22" s="953"/>
      <c r="UTS22" s="953"/>
      <c r="UTT22" s="953"/>
      <c r="UTU22" s="953"/>
      <c r="UTV22" s="953"/>
      <c r="UTW22" s="953"/>
      <c r="UTX22" s="953"/>
      <c r="UTY22" s="953"/>
      <c r="UTZ22" s="953"/>
      <c r="UUA22" s="953"/>
      <c r="UUB22" s="953"/>
      <c r="UUC22" s="953"/>
      <c r="UUD22" s="953"/>
      <c r="UUE22" s="953"/>
      <c r="UUF22" s="953"/>
      <c r="UUG22" s="953"/>
      <c r="UUH22" s="953"/>
      <c r="UUI22" s="953"/>
      <c r="UUJ22" s="953"/>
      <c r="UUK22" s="953"/>
      <c r="UUL22" s="953"/>
      <c r="UUM22" s="953"/>
      <c r="UUN22" s="953"/>
      <c r="UUO22" s="953"/>
      <c r="UUP22" s="953"/>
      <c r="UUQ22" s="953"/>
      <c r="UUR22" s="953"/>
      <c r="UUS22" s="953"/>
      <c r="UUT22" s="953"/>
      <c r="UUU22" s="953"/>
      <c r="UUV22" s="953"/>
      <c r="UUW22" s="953"/>
      <c r="UUX22" s="953"/>
      <c r="UUY22" s="953"/>
      <c r="UUZ22" s="953"/>
      <c r="UVA22" s="953"/>
      <c r="UVB22" s="953"/>
      <c r="UVC22" s="953"/>
      <c r="UVD22" s="953"/>
      <c r="UVE22" s="953"/>
      <c r="UVF22" s="953"/>
      <c r="UVG22" s="953"/>
      <c r="UVH22" s="953"/>
      <c r="UVI22" s="953"/>
      <c r="UVJ22" s="953"/>
      <c r="UVK22" s="953"/>
      <c r="UVL22" s="953"/>
      <c r="UVM22" s="953"/>
      <c r="UVN22" s="953"/>
      <c r="UVO22" s="953"/>
      <c r="UVP22" s="953"/>
      <c r="UVQ22" s="953"/>
      <c r="UVR22" s="953"/>
      <c r="UVS22" s="953"/>
      <c r="UVT22" s="953"/>
      <c r="UVU22" s="953"/>
      <c r="UVV22" s="953"/>
      <c r="UVW22" s="953"/>
      <c r="UVX22" s="953"/>
      <c r="UVY22" s="953"/>
      <c r="UVZ22" s="953"/>
      <c r="UWA22" s="953"/>
      <c r="UWB22" s="953"/>
      <c r="UWC22" s="953"/>
      <c r="UWD22" s="953"/>
      <c r="UWE22" s="953"/>
      <c r="UWF22" s="953"/>
      <c r="UWG22" s="953"/>
      <c r="UWH22" s="953"/>
      <c r="UWI22" s="953"/>
      <c r="UWJ22" s="953"/>
      <c r="UWK22" s="953"/>
      <c r="UWL22" s="953"/>
      <c r="UWM22" s="953"/>
      <c r="UWN22" s="953"/>
      <c r="UWO22" s="953"/>
      <c r="UWP22" s="953"/>
      <c r="UWQ22" s="953"/>
      <c r="UWR22" s="953"/>
      <c r="UWS22" s="953"/>
      <c r="UWT22" s="953"/>
      <c r="UWU22" s="953"/>
      <c r="UWV22" s="953"/>
      <c r="UWW22" s="953"/>
      <c r="UWX22" s="953"/>
      <c r="UWY22" s="953"/>
      <c r="UWZ22" s="953"/>
      <c r="UXA22" s="953"/>
      <c r="UXB22" s="953"/>
      <c r="UXC22" s="953"/>
      <c r="UXD22" s="953"/>
      <c r="UXE22" s="953"/>
      <c r="UXF22" s="953"/>
      <c r="UXG22" s="953"/>
      <c r="UXH22" s="953"/>
      <c r="UXI22" s="953"/>
      <c r="UXJ22" s="953"/>
      <c r="UXK22" s="953"/>
      <c r="UXL22" s="953"/>
      <c r="UXM22" s="953"/>
      <c r="UXN22" s="953"/>
      <c r="UXO22" s="953"/>
      <c r="UXP22" s="953"/>
      <c r="UXQ22" s="953"/>
      <c r="UXR22" s="953"/>
      <c r="UXS22" s="953"/>
      <c r="UXT22" s="953"/>
      <c r="UXU22" s="953"/>
      <c r="UXV22" s="953"/>
      <c r="UXW22" s="953"/>
      <c r="UXX22" s="953"/>
      <c r="UXY22" s="953"/>
      <c r="UXZ22" s="953"/>
      <c r="UYA22" s="953"/>
      <c r="UYB22" s="953"/>
      <c r="UYC22" s="953"/>
      <c r="UYD22" s="953"/>
      <c r="UYE22" s="953"/>
      <c r="UYF22" s="953"/>
      <c r="UYG22" s="953"/>
      <c r="UYH22" s="953"/>
      <c r="UYI22" s="953"/>
      <c r="UYJ22" s="953"/>
      <c r="UYK22" s="953"/>
      <c r="UYL22" s="953"/>
      <c r="UYM22" s="953"/>
      <c r="UYN22" s="953"/>
      <c r="UYO22" s="953"/>
      <c r="UYP22" s="953"/>
      <c r="UYQ22" s="953"/>
      <c r="UYR22" s="953"/>
      <c r="UYS22" s="953"/>
      <c r="UYT22" s="953"/>
      <c r="UYU22" s="953"/>
      <c r="UYV22" s="953"/>
      <c r="UYW22" s="953"/>
      <c r="UYX22" s="953"/>
      <c r="UYY22" s="953"/>
      <c r="UYZ22" s="953"/>
      <c r="UZA22" s="953"/>
      <c r="UZB22" s="953"/>
      <c r="UZC22" s="953"/>
      <c r="UZD22" s="953"/>
      <c r="UZE22" s="953"/>
      <c r="UZF22" s="953"/>
      <c r="UZG22" s="953"/>
      <c r="UZH22" s="953"/>
      <c r="UZI22" s="953"/>
      <c r="UZJ22" s="953"/>
      <c r="UZK22" s="953"/>
      <c r="UZL22" s="953"/>
      <c r="UZM22" s="953"/>
      <c r="UZN22" s="953"/>
      <c r="UZO22" s="953"/>
      <c r="UZP22" s="953"/>
      <c r="UZQ22" s="953"/>
      <c r="UZR22" s="953"/>
      <c r="UZS22" s="953"/>
      <c r="UZT22" s="953"/>
      <c r="UZU22" s="953"/>
      <c r="UZV22" s="953"/>
      <c r="UZW22" s="953"/>
      <c r="UZX22" s="953"/>
      <c r="UZY22" s="953"/>
      <c r="UZZ22" s="953"/>
      <c r="VAA22" s="953"/>
      <c r="VAB22" s="953"/>
      <c r="VAC22" s="953"/>
      <c r="VAD22" s="953"/>
      <c r="VAE22" s="953"/>
      <c r="VAF22" s="953"/>
      <c r="VAG22" s="953"/>
      <c r="VAH22" s="953"/>
      <c r="VAI22" s="953"/>
      <c r="VAJ22" s="953"/>
      <c r="VAK22" s="953"/>
      <c r="VAL22" s="953"/>
      <c r="VAM22" s="953"/>
      <c r="VAN22" s="953"/>
      <c r="VAO22" s="953"/>
      <c r="VAP22" s="953"/>
      <c r="VAQ22" s="953"/>
      <c r="VAR22" s="953"/>
      <c r="VAS22" s="953"/>
      <c r="VAT22" s="953"/>
      <c r="VAU22" s="953"/>
      <c r="VAV22" s="953"/>
      <c r="VAW22" s="953"/>
      <c r="VAX22" s="953"/>
      <c r="VAY22" s="953"/>
      <c r="VAZ22" s="953"/>
      <c r="VBA22" s="953"/>
      <c r="VBB22" s="953"/>
      <c r="VBC22" s="953"/>
      <c r="VBD22" s="953"/>
      <c r="VBE22" s="953"/>
      <c r="VBF22" s="953"/>
      <c r="VBG22" s="953"/>
      <c r="VBH22" s="953"/>
      <c r="VBI22" s="953"/>
      <c r="VBJ22" s="953"/>
      <c r="VBK22" s="953"/>
      <c r="VBL22" s="953"/>
      <c r="VBM22" s="953"/>
      <c r="VBN22" s="953"/>
      <c r="VBO22" s="953"/>
      <c r="VBP22" s="953"/>
      <c r="VBQ22" s="953"/>
      <c r="VBR22" s="953"/>
      <c r="VBS22" s="953"/>
      <c r="VBT22" s="953"/>
      <c r="VBU22" s="953"/>
      <c r="VBV22" s="953"/>
      <c r="VBW22" s="953"/>
      <c r="VBX22" s="953"/>
      <c r="VBY22" s="953"/>
      <c r="VBZ22" s="953"/>
      <c r="VCA22" s="953"/>
      <c r="VCB22" s="953"/>
      <c r="VCC22" s="953"/>
      <c r="VCD22" s="953"/>
      <c r="VCE22" s="953"/>
      <c r="VCF22" s="953"/>
      <c r="VCG22" s="953"/>
      <c r="VCH22" s="953"/>
      <c r="VCI22" s="953"/>
      <c r="VCJ22" s="953"/>
      <c r="VCK22" s="953"/>
      <c r="VCL22" s="953"/>
      <c r="VCM22" s="953"/>
      <c r="VCN22" s="953"/>
      <c r="VCO22" s="953"/>
      <c r="VCP22" s="953"/>
      <c r="VCQ22" s="953"/>
      <c r="VCR22" s="953"/>
      <c r="VCS22" s="953"/>
      <c r="VCT22" s="953"/>
      <c r="VCU22" s="953"/>
      <c r="VCV22" s="953"/>
      <c r="VCW22" s="953"/>
      <c r="VCX22" s="953"/>
      <c r="VCY22" s="953"/>
      <c r="VCZ22" s="953"/>
      <c r="VDA22" s="953"/>
      <c r="VDB22" s="953"/>
      <c r="VDC22" s="953"/>
      <c r="VDD22" s="953"/>
      <c r="VDE22" s="953"/>
      <c r="VDF22" s="953"/>
      <c r="VDG22" s="953"/>
      <c r="VDH22" s="953"/>
      <c r="VDI22" s="953"/>
      <c r="VDJ22" s="953"/>
      <c r="VDK22" s="953"/>
      <c r="VDL22" s="953"/>
      <c r="VDM22" s="953"/>
      <c r="VDN22" s="953"/>
      <c r="VDO22" s="953"/>
      <c r="VDP22" s="953"/>
      <c r="VDQ22" s="953"/>
      <c r="VDR22" s="953"/>
      <c r="VDS22" s="953"/>
      <c r="VDT22" s="953"/>
      <c r="VDU22" s="953"/>
      <c r="VDV22" s="953"/>
      <c r="VDW22" s="953"/>
      <c r="VDX22" s="953"/>
      <c r="VDY22" s="953"/>
      <c r="VDZ22" s="953"/>
      <c r="VEA22" s="953"/>
      <c r="VEB22" s="953"/>
      <c r="VEC22" s="953"/>
      <c r="VED22" s="953"/>
      <c r="VEE22" s="953"/>
      <c r="VEF22" s="953"/>
      <c r="VEG22" s="953"/>
      <c r="VEH22" s="953"/>
      <c r="VEI22" s="953"/>
      <c r="VEJ22" s="953"/>
      <c r="VEK22" s="953"/>
      <c r="VEL22" s="953"/>
      <c r="VEM22" s="953"/>
      <c r="VEN22" s="953"/>
      <c r="VEO22" s="953"/>
      <c r="VEP22" s="953"/>
      <c r="VEQ22" s="953"/>
      <c r="VER22" s="953"/>
      <c r="VES22" s="953"/>
      <c r="VET22" s="953"/>
      <c r="VEU22" s="953"/>
      <c r="VEV22" s="953"/>
      <c r="VEW22" s="953"/>
      <c r="VEX22" s="953"/>
      <c r="VEY22" s="953"/>
      <c r="VEZ22" s="953"/>
      <c r="VFA22" s="953"/>
      <c r="VFB22" s="953"/>
      <c r="VFC22" s="953"/>
      <c r="VFD22" s="953"/>
      <c r="VFE22" s="953"/>
      <c r="VFF22" s="953"/>
      <c r="VFG22" s="953"/>
      <c r="VFH22" s="953"/>
      <c r="VFI22" s="953"/>
      <c r="VFJ22" s="953"/>
      <c r="VFK22" s="953"/>
      <c r="VFL22" s="953"/>
      <c r="VFM22" s="953"/>
      <c r="VFN22" s="953"/>
      <c r="VFO22" s="953"/>
      <c r="VFP22" s="953"/>
      <c r="VFQ22" s="953"/>
      <c r="VFR22" s="953"/>
      <c r="VFS22" s="953"/>
      <c r="VFT22" s="953"/>
      <c r="VFU22" s="953"/>
      <c r="VFV22" s="953"/>
      <c r="VFW22" s="953"/>
      <c r="VFX22" s="953"/>
      <c r="VFY22" s="953"/>
      <c r="VFZ22" s="953"/>
      <c r="VGA22" s="953"/>
      <c r="VGB22" s="953"/>
      <c r="VGC22" s="953"/>
      <c r="VGD22" s="953"/>
      <c r="VGE22" s="953"/>
      <c r="VGF22" s="953"/>
      <c r="VGG22" s="953"/>
      <c r="VGH22" s="953"/>
      <c r="VGI22" s="953"/>
      <c r="VGJ22" s="953"/>
      <c r="VGK22" s="953"/>
      <c r="VGL22" s="953"/>
      <c r="VGM22" s="953"/>
      <c r="VGN22" s="953"/>
      <c r="VGO22" s="953"/>
      <c r="VGP22" s="953"/>
      <c r="VGQ22" s="953"/>
      <c r="VGR22" s="953"/>
      <c r="VGS22" s="953"/>
      <c r="VGT22" s="953"/>
      <c r="VGU22" s="953"/>
      <c r="VGV22" s="953"/>
      <c r="VGW22" s="953"/>
      <c r="VGX22" s="953"/>
      <c r="VGY22" s="953"/>
      <c r="VGZ22" s="953"/>
      <c r="VHA22" s="953"/>
      <c r="VHB22" s="953"/>
      <c r="VHC22" s="953"/>
      <c r="VHD22" s="953"/>
      <c r="VHE22" s="953"/>
      <c r="VHF22" s="953"/>
      <c r="VHG22" s="953"/>
      <c r="VHH22" s="953"/>
      <c r="VHI22" s="953"/>
      <c r="VHJ22" s="953"/>
      <c r="VHK22" s="953"/>
      <c r="VHL22" s="953"/>
      <c r="VHM22" s="953"/>
      <c r="VHN22" s="953"/>
      <c r="VHO22" s="953"/>
      <c r="VHP22" s="953"/>
      <c r="VHQ22" s="953"/>
      <c r="VHR22" s="953"/>
      <c r="VHS22" s="953"/>
      <c r="VHT22" s="953"/>
      <c r="VHU22" s="953"/>
      <c r="VHV22" s="953"/>
      <c r="VHW22" s="953"/>
      <c r="VHX22" s="953"/>
      <c r="VHY22" s="953"/>
      <c r="VHZ22" s="953"/>
      <c r="VIA22" s="953"/>
      <c r="VIB22" s="953"/>
      <c r="VIC22" s="953"/>
      <c r="VID22" s="953"/>
      <c r="VIE22" s="953"/>
      <c r="VIF22" s="953"/>
      <c r="VIG22" s="953"/>
      <c r="VIH22" s="953"/>
      <c r="VII22" s="953"/>
      <c r="VIJ22" s="953"/>
      <c r="VIK22" s="953"/>
      <c r="VIL22" s="953"/>
      <c r="VIM22" s="953"/>
      <c r="VIN22" s="953"/>
      <c r="VIO22" s="953"/>
      <c r="VIP22" s="953"/>
      <c r="VIQ22" s="953"/>
      <c r="VIR22" s="953"/>
      <c r="VIS22" s="953"/>
      <c r="VIT22" s="953"/>
      <c r="VIU22" s="953"/>
      <c r="VIV22" s="953"/>
      <c r="VIW22" s="953"/>
      <c r="VIX22" s="953"/>
      <c r="VIY22" s="953"/>
      <c r="VIZ22" s="953"/>
      <c r="VJA22" s="953"/>
      <c r="VJB22" s="953"/>
      <c r="VJC22" s="953"/>
      <c r="VJD22" s="953"/>
      <c r="VJE22" s="953"/>
      <c r="VJF22" s="953"/>
      <c r="VJG22" s="953"/>
      <c r="VJH22" s="953"/>
      <c r="VJI22" s="953"/>
      <c r="VJJ22" s="953"/>
      <c r="VJK22" s="953"/>
      <c r="VJL22" s="953"/>
      <c r="VJM22" s="953"/>
      <c r="VJN22" s="953"/>
      <c r="VJO22" s="953"/>
      <c r="VJP22" s="953"/>
      <c r="VJQ22" s="953"/>
      <c r="VJR22" s="953"/>
      <c r="VJS22" s="953"/>
      <c r="VJT22" s="953"/>
      <c r="VJU22" s="953"/>
      <c r="VJV22" s="953"/>
      <c r="VJW22" s="953"/>
      <c r="VJX22" s="953"/>
      <c r="VJY22" s="953"/>
      <c r="VJZ22" s="953"/>
      <c r="VKA22" s="953"/>
      <c r="VKB22" s="953"/>
      <c r="VKC22" s="953"/>
      <c r="VKD22" s="953"/>
      <c r="VKE22" s="953"/>
      <c r="VKF22" s="953"/>
      <c r="VKG22" s="953"/>
      <c r="VKH22" s="953"/>
      <c r="VKI22" s="953"/>
      <c r="VKJ22" s="953"/>
      <c r="VKK22" s="953"/>
      <c r="VKL22" s="953"/>
      <c r="VKM22" s="953"/>
      <c r="VKN22" s="953"/>
      <c r="VKO22" s="953"/>
      <c r="VKP22" s="953"/>
      <c r="VKQ22" s="953"/>
      <c r="VKR22" s="953"/>
      <c r="VKS22" s="953"/>
      <c r="VKT22" s="953"/>
      <c r="VKU22" s="953"/>
      <c r="VKV22" s="953"/>
      <c r="VKW22" s="953"/>
      <c r="VKX22" s="953"/>
      <c r="VKY22" s="953"/>
      <c r="VKZ22" s="953"/>
      <c r="VLA22" s="953"/>
      <c r="VLB22" s="953"/>
      <c r="VLC22" s="953"/>
      <c r="VLD22" s="953"/>
      <c r="VLE22" s="953"/>
      <c r="VLF22" s="953"/>
      <c r="VLG22" s="953"/>
      <c r="VLH22" s="953"/>
      <c r="VLI22" s="953"/>
      <c r="VLJ22" s="953"/>
      <c r="VLK22" s="953"/>
      <c r="VLL22" s="953"/>
      <c r="VLM22" s="953"/>
      <c r="VLN22" s="953"/>
      <c r="VLO22" s="953"/>
      <c r="VLP22" s="953"/>
      <c r="VLQ22" s="953"/>
      <c r="VLR22" s="953"/>
      <c r="VLS22" s="953"/>
      <c r="VLT22" s="953"/>
      <c r="VLU22" s="953"/>
      <c r="VLV22" s="953"/>
      <c r="VLW22" s="953"/>
      <c r="VLX22" s="953"/>
      <c r="VLY22" s="953"/>
      <c r="VLZ22" s="953"/>
      <c r="VMA22" s="953"/>
      <c r="VMB22" s="953"/>
      <c r="VMC22" s="953"/>
      <c r="VMD22" s="953"/>
      <c r="VME22" s="953"/>
      <c r="VMF22" s="953"/>
      <c r="VMG22" s="953"/>
      <c r="VMH22" s="953"/>
      <c r="VMI22" s="953"/>
      <c r="VMJ22" s="953"/>
      <c r="VMK22" s="953"/>
      <c r="VML22" s="953"/>
      <c r="VMM22" s="953"/>
      <c r="VMN22" s="953"/>
      <c r="VMO22" s="953"/>
      <c r="VMP22" s="953"/>
      <c r="VMQ22" s="953"/>
      <c r="VMR22" s="953"/>
      <c r="VMS22" s="953"/>
      <c r="VMT22" s="953"/>
      <c r="VMU22" s="953"/>
      <c r="VMV22" s="953"/>
      <c r="VMW22" s="953"/>
      <c r="VMX22" s="953"/>
      <c r="VMY22" s="953"/>
      <c r="VMZ22" s="953"/>
      <c r="VNA22" s="953"/>
      <c r="VNB22" s="953"/>
      <c r="VNC22" s="953"/>
      <c r="VND22" s="953"/>
      <c r="VNE22" s="953"/>
      <c r="VNF22" s="953"/>
      <c r="VNG22" s="953"/>
      <c r="VNH22" s="953"/>
      <c r="VNI22" s="953"/>
      <c r="VNJ22" s="953"/>
      <c r="VNK22" s="953"/>
      <c r="VNL22" s="953"/>
      <c r="VNM22" s="953"/>
      <c r="VNN22" s="953"/>
      <c r="VNO22" s="953"/>
      <c r="VNP22" s="953"/>
      <c r="VNQ22" s="953"/>
      <c r="VNR22" s="953"/>
      <c r="VNS22" s="953"/>
      <c r="VNT22" s="953"/>
      <c r="VNU22" s="953"/>
      <c r="VNV22" s="953"/>
      <c r="VNW22" s="953"/>
      <c r="VNX22" s="953"/>
      <c r="VNY22" s="953"/>
      <c r="VNZ22" s="953"/>
      <c r="VOA22" s="953"/>
      <c r="VOB22" s="953"/>
      <c r="VOC22" s="953"/>
      <c r="VOD22" s="953"/>
      <c r="VOE22" s="953"/>
      <c r="VOF22" s="953"/>
      <c r="VOG22" s="953"/>
      <c r="VOH22" s="953"/>
      <c r="VOI22" s="953"/>
      <c r="VOJ22" s="953"/>
      <c r="VOK22" s="953"/>
      <c r="VOL22" s="953"/>
      <c r="VOM22" s="953"/>
      <c r="VON22" s="953"/>
      <c r="VOO22" s="953"/>
      <c r="VOP22" s="953"/>
      <c r="VOQ22" s="953"/>
      <c r="VOR22" s="953"/>
      <c r="VOS22" s="953"/>
      <c r="VOT22" s="953"/>
      <c r="VOU22" s="953"/>
      <c r="VOV22" s="953"/>
      <c r="VOW22" s="953"/>
      <c r="VOX22" s="953"/>
      <c r="VOY22" s="953"/>
      <c r="VOZ22" s="953"/>
      <c r="VPA22" s="953"/>
      <c r="VPB22" s="953"/>
      <c r="VPC22" s="953"/>
      <c r="VPD22" s="953"/>
      <c r="VPE22" s="953"/>
      <c r="VPF22" s="953"/>
      <c r="VPG22" s="953"/>
      <c r="VPH22" s="953"/>
      <c r="VPI22" s="953"/>
      <c r="VPJ22" s="953"/>
      <c r="VPK22" s="953"/>
      <c r="VPL22" s="953"/>
      <c r="VPM22" s="953"/>
      <c r="VPN22" s="953"/>
      <c r="VPO22" s="953"/>
      <c r="VPP22" s="953"/>
      <c r="VPQ22" s="953"/>
      <c r="VPR22" s="953"/>
      <c r="VPS22" s="953"/>
      <c r="VPT22" s="953"/>
      <c r="VPU22" s="953"/>
      <c r="VPV22" s="953"/>
      <c r="VPW22" s="953"/>
      <c r="VPX22" s="953"/>
      <c r="VPY22" s="953"/>
      <c r="VPZ22" s="953"/>
      <c r="VQA22" s="953"/>
      <c r="VQB22" s="953"/>
      <c r="VQC22" s="953"/>
      <c r="VQD22" s="953"/>
      <c r="VQE22" s="953"/>
      <c r="VQF22" s="953"/>
      <c r="VQG22" s="953"/>
      <c r="VQH22" s="953"/>
      <c r="VQI22" s="953"/>
      <c r="VQJ22" s="953"/>
      <c r="VQK22" s="953"/>
      <c r="VQL22" s="953"/>
      <c r="VQM22" s="953"/>
      <c r="VQN22" s="953"/>
      <c r="VQO22" s="953"/>
      <c r="VQP22" s="953"/>
      <c r="VQQ22" s="953"/>
      <c r="VQR22" s="953"/>
      <c r="VQS22" s="953"/>
      <c r="VQT22" s="953"/>
      <c r="VQU22" s="953"/>
      <c r="VQV22" s="953"/>
      <c r="VQW22" s="953"/>
      <c r="VQX22" s="953"/>
      <c r="VQY22" s="953"/>
      <c r="VQZ22" s="953"/>
      <c r="VRA22" s="953"/>
      <c r="VRB22" s="953"/>
      <c r="VRC22" s="953"/>
      <c r="VRD22" s="953"/>
      <c r="VRE22" s="953"/>
      <c r="VRF22" s="953"/>
      <c r="VRG22" s="953"/>
      <c r="VRH22" s="953"/>
      <c r="VRI22" s="953"/>
      <c r="VRJ22" s="953"/>
      <c r="VRK22" s="953"/>
      <c r="VRL22" s="953"/>
      <c r="VRM22" s="953"/>
      <c r="VRN22" s="953"/>
      <c r="VRO22" s="953"/>
      <c r="VRP22" s="953"/>
      <c r="VRQ22" s="953"/>
      <c r="VRR22" s="953"/>
      <c r="VRS22" s="953"/>
      <c r="VRT22" s="953"/>
      <c r="VRU22" s="953"/>
      <c r="VRV22" s="953"/>
      <c r="VRW22" s="953"/>
      <c r="VRX22" s="953"/>
      <c r="VRY22" s="953"/>
      <c r="VRZ22" s="953"/>
      <c r="VSA22" s="953"/>
      <c r="VSB22" s="953"/>
      <c r="VSC22" s="953"/>
      <c r="VSD22" s="953"/>
      <c r="VSE22" s="953"/>
      <c r="VSF22" s="953"/>
      <c r="VSG22" s="953"/>
      <c r="VSH22" s="953"/>
      <c r="VSI22" s="953"/>
      <c r="VSJ22" s="953"/>
      <c r="VSK22" s="953"/>
      <c r="VSL22" s="953"/>
      <c r="VSM22" s="953"/>
      <c r="VSN22" s="953"/>
      <c r="VSO22" s="953"/>
      <c r="VSP22" s="953"/>
      <c r="VSQ22" s="953"/>
      <c r="VSR22" s="953"/>
      <c r="VSS22" s="953"/>
      <c r="VST22" s="953"/>
      <c r="VSU22" s="953"/>
      <c r="VSV22" s="953"/>
      <c r="VSW22" s="953"/>
      <c r="VSX22" s="953"/>
      <c r="VSY22" s="953"/>
      <c r="VSZ22" s="953"/>
      <c r="VTA22" s="953"/>
      <c r="VTB22" s="953"/>
      <c r="VTC22" s="953"/>
      <c r="VTD22" s="953"/>
      <c r="VTE22" s="953"/>
      <c r="VTF22" s="953"/>
      <c r="VTG22" s="953"/>
      <c r="VTH22" s="953"/>
      <c r="VTI22" s="953"/>
      <c r="VTJ22" s="953"/>
      <c r="VTK22" s="953"/>
      <c r="VTL22" s="953"/>
      <c r="VTM22" s="953"/>
      <c r="VTN22" s="953"/>
      <c r="VTO22" s="953"/>
      <c r="VTP22" s="953"/>
      <c r="VTQ22" s="953"/>
      <c r="VTR22" s="953"/>
      <c r="VTS22" s="953"/>
      <c r="VTT22" s="953"/>
      <c r="VTU22" s="953"/>
      <c r="VTV22" s="953"/>
      <c r="VTW22" s="953"/>
      <c r="VTX22" s="953"/>
      <c r="VTY22" s="953"/>
      <c r="VTZ22" s="953"/>
      <c r="VUA22" s="953"/>
      <c r="VUB22" s="953"/>
      <c r="VUC22" s="953"/>
      <c r="VUD22" s="953"/>
      <c r="VUE22" s="953"/>
      <c r="VUF22" s="953"/>
      <c r="VUG22" s="953"/>
      <c r="VUH22" s="953"/>
      <c r="VUI22" s="953"/>
      <c r="VUJ22" s="953"/>
      <c r="VUK22" s="953"/>
      <c r="VUL22" s="953"/>
      <c r="VUM22" s="953"/>
      <c r="VUN22" s="953"/>
      <c r="VUO22" s="953"/>
      <c r="VUP22" s="953"/>
      <c r="VUQ22" s="953"/>
      <c r="VUR22" s="953"/>
      <c r="VUS22" s="953"/>
      <c r="VUT22" s="953"/>
      <c r="VUU22" s="953"/>
      <c r="VUV22" s="953"/>
      <c r="VUW22" s="953"/>
      <c r="VUX22" s="953"/>
      <c r="VUY22" s="953"/>
      <c r="VUZ22" s="953"/>
      <c r="VVA22" s="953"/>
      <c r="VVB22" s="953"/>
      <c r="VVC22" s="953"/>
      <c r="VVD22" s="953"/>
      <c r="VVE22" s="953"/>
      <c r="VVF22" s="953"/>
      <c r="VVG22" s="953"/>
      <c r="VVH22" s="953"/>
      <c r="VVI22" s="953"/>
      <c r="VVJ22" s="953"/>
      <c r="VVK22" s="953"/>
      <c r="VVL22" s="953"/>
      <c r="VVM22" s="953"/>
      <c r="VVN22" s="953"/>
      <c r="VVO22" s="953"/>
      <c r="VVP22" s="953"/>
      <c r="VVQ22" s="953"/>
      <c r="VVR22" s="953"/>
      <c r="VVS22" s="953"/>
      <c r="VVT22" s="953"/>
      <c r="VVU22" s="953"/>
      <c r="VVV22" s="953"/>
      <c r="VVW22" s="953"/>
      <c r="VVX22" s="953"/>
      <c r="VVY22" s="953"/>
      <c r="VVZ22" s="953"/>
      <c r="VWA22" s="953"/>
      <c r="VWB22" s="953"/>
      <c r="VWC22" s="953"/>
      <c r="VWD22" s="953"/>
      <c r="VWE22" s="953"/>
      <c r="VWF22" s="953"/>
      <c r="VWG22" s="953"/>
      <c r="VWH22" s="953"/>
      <c r="VWI22" s="953"/>
      <c r="VWJ22" s="953"/>
      <c r="VWK22" s="953"/>
      <c r="VWL22" s="953"/>
      <c r="VWM22" s="953"/>
      <c r="VWN22" s="953"/>
      <c r="VWO22" s="953"/>
      <c r="VWP22" s="953"/>
      <c r="VWQ22" s="953"/>
      <c r="VWR22" s="953"/>
      <c r="VWS22" s="953"/>
      <c r="VWT22" s="953"/>
      <c r="VWU22" s="953"/>
      <c r="VWV22" s="953"/>
      <c r="VWW22" s="953"/>
      <c r="VWX22" s="953"/>
      <c r="VWY22" s="953"/>
      <c r="VWZ22" s="953"/>
      <c r="VXA22" s="953"/>
      <c r="VXB22" s="953"/>
      <c r="VXC22" s="953"/>
      <c r="VXD22" s="953"/>
      <c r="VXE22" s="953"/>
      <c r="VXF22" s="953"/>
      <c r="VXG22" s="953"/>
      <c r="VXH22" s="953"/>
      <c r="VXI22" s="953"/>
      <c r="VXJ22" s="953"/>
      <c r="VXK22" s="953"/>
      <c r="VXL22" s="953"/>
      <c r="VXM22" s="953"/>
      <c r="VXN22" s="953"/>
      <c r="VXO22" s="953"/>
      <c r="VXP22" s="953"/>
      <c r="VXQ22" s="953"/>
      <c r="VXR22" s="953"/>
      <c r="VXS22" s="953"/>
      <c r="VXT22" s="953"/>
      <c r="VXU22" s="953"/>
      <c r="VXV22" s="953"/>
      <c r="VXW22" s="953"/>
      <c r="VXX22" s="953"/>
      <c r="VXY22" s="953"/>
      <c r="VXZ22" s="953"/>
      <c r="VYA22" s="953"/>
      <c r="VYB22" s="953"/>
      <c r="VYC22" s="953"/>
      <c r="VYD22" s="953"/>
      <c r="VYE22" s="953"/>
      <c r="VYF22" s="953"/>
      <c r="VYG22" s="953"/>
      <c r="VYH22" s="953"/>
      <c r="VYI22" s="953"/>
      <c r="VYJ22" s="953"/>
      <c r="VYK22" s="953"/>
      <c r="VYL22" s="953"/>
      <c r="VYM22" s="953"/>
      <c r="VYN22" s="953"/>
      <c r="VYO22" s="953"/>
      <c r="VYP22" s="953"/>
      <c r="VYQ22" s="953"/>
      <c r="VYR22" s="953"/>
      <c r="VYS22" s="953"/>
      <c r="VYT22" s="953"/>
      <c r="VYU22" s="953"/>
      <c r="VYV22" s="953"/>
      <c r="VYW22" s="953"/>
      <c r="VYX22" s="953"/>
      <c r="VYY22" s="953"/>
      <c r="VYZ22" s="953"/>
      <c r="VZA22" s="953"/>
      <c r="VZB22" s="953"/>
      <c r="VZC22" s="953"/>
      <c r="VZD22" s="953"/>
      <c r="VZE22" s="953"/>
      <c r="VZF22" s="953"/>
      <c r="VZG22" s="953"/>
      <c r="VZH22" s="953"/>
      <c r="VZI22" s="953"/>
      <c r="VZJ22" s="953"/>
      <c r="VZK22" s="953"/>
      <c r="VZL22" s="953"/>
      <c r="VZM22" s="953"/>
      <c r="VZN22" s="953"/>
      <c r="VZO22" s="953"/>
      <c r="VZP22" s="953"/>
      <c r="VZQ22" s="953"/>
      <c r="VZR22" s="953"/>
      <c r="VZS22" s="953"/>
      <c r="VZT22" s="953"/>
      <c r="VZU22" s="953"/>
      <c r="VZV22" s="953"/>
      <c r="VZW22" s="953"/>
      <c r="VZX22" s="953"/>
      <c r="VZY22" s="953"/>
      <c r="VZZ22" s="953"/>
      <c r="WAA22" s="953"/>
      <c r="WAB22" s="953"/>
      <c r="WAC22" s="953"/>
      <c r="WAD22" s="953"/>
      <c r="WAE22" s="953"/>
      <c r="WAF22" s="953"/>
      <c r="WAG22" s="953"/>
      <c r="WAH22" s="953"/>
      <c r="WAI22" s="953"/>
      <c r="WAJ22" s="953"/>
      <c r="WAK22" s="953"/>
      <c r="WAL22" s="953"/>
      <c r="WAM22" s="953"/>
      <c r="WAN22" s="953"/>
      <c r="WAO22" s="953"/>
      <c r="WAP22" s="953"/>
      <c r="WAQ22" s="953"/>
      <c r="WAR22" s="953"/>
      <c r="WAS22" s="953"/>
      <c r="WAT22" s="953"/>
      <c r="WAU22" s="953"/>
      <c r="WAV22" s="953"/>
      <c r="WAW22" s="953"/>
      <c r="WAX22" s="953"/>
      <c r="WAY22" s="953"/>
      <c r="WAZ22" s="953"/>
      <c r="WBA22" s="953"/>
      <c r="WBB22" s="953"/>
      <c r="WBC22" s="953"/>
      <c r="WBD22" s="953"/>
      <c r="WBE22" s="953"/>
      <c r="WBF22" s="953"/>
      <c r="WBG22" s="953"/>
      <c r="WBH22" s="953"/>
      <c r="WBI22" s="953"/>
      <c r="WBJ22" s="953"/>
      <c r="WBK22" s="953"/>
      <c r="WBL22" s="953"/>
      <c r="WBM22" s="953"/>
      <c r="WBN22" s="953"/>
      <c r="WBO22" s="953"/>
      <c r="WBP22" s="953"/>
      <c r="WBQ22" s="953"/>
      <c r="WBR22" s="953"/>
      <c r="WBS22" s="953"/>
      <c r="WBT22" s="953"/>
      <c r="WBU22" s="953"/>
      <c r="WBV22" s="953"/>
      <c r="WBW22" s="953"/>
      <c r="WBX22" s="953"/>
      <c r="WBY22" s="953"/>
      <c r="WBZ22" s="953"/>
      <c r="WCA22" s="953"/>
      <c r="WCB22" s="953"/>
      <c r="WCC22" s="953"/>
      <c r="WCD22" s="953"/>
      <c r="WCE22" s="953"/>
      <c r="WCF22" s="953"/>
      <c r="WCG22" s="953"/>
      <c r="WCH22" s="953"/>
      <c r="WCI22" s="953"/>
      <c r="WCJ22" s="953"/>
      <c r="WCK22" s="953"/>
      <c r="WCL22" s="953"/>
      <c r="WCM22" s="953"/>
      <c r="WCN22" s="953"/>
      <c r="WCO22" s="953"/>
      <c r="WCP22" s="953"/>
      <c r="WCQ22" s="953"/>
      <c r="WCR22" s="953"/>
      <c r="WCS22" s="953"/>
      <c r="WCT22" s="953"/>
      <c r="WCU22" s="953"/>
      <c r="WCV22" s="953"/>
      <c r="WCW22" s="953"/>
      <c r="WCX22" s="953"/>
      <c r="WCY22" s="953"/>
      <c r="WCZ22" s="953"/>
      <c r="WDA22" s="953"/>
      <c r="WDB22" s="953"/>
      <c r="WDC22" s="953"/>
      <c r="WDD22" s="953"/>
      <c r="WDE22" s="953"/>
      <c r="WDF22" s="953"/>
      <c r="WDG22" s="953"/>
      <c r="WDH22" s="953"/>
      <c r="WDI22" s="953"/>
      <c r="WDJ22" s="953"/>
      <c r="WDK22" s="953"/>
      <c r="WDL22" s="953"/>
      <c r="WDM22" s="953"/>
      <c r="WDN22" s="953"/>
      <c r="WDO22" s="953"/>
      <c r="WDP22" s="953"/>
      <c r="WDQ22" s="953"/>
      <c r="WDR22" s="953"/>
      <c r="WDS22" s="953"/>
      <c r="WDT22" s="953"/>
      <c r="WDU22" s="953"/>
      <c r="WDV22" s="953"/>
      <c r="WDW22" s="953"/>
      <c r="WDX22" s="953"/>
      <c r="WDY22" s="953"/>
      <c r="WDZ22" s="953"/>
      <c r="WEA22" s="953"/>
      <c r="WEB22" s="953"/>
      <c r="WEC22" s="953"/>
      <c r="WED22" s="953"/>
      <c r="WEE22" s="953"/>
      <c r="WEF22" s="953"/>
      <c r="WEG22" s="953"/>
      <c r="WEH22" s="953"/>
      <c r="WEI22" s="953"/>
      <c r="WEJ22" s="953"/>
      <c r="WEK22" s="953"/>
      <c r="WEL22" s="953"/>
      <c r="WEM22" s="953"/>
      <c r="WEN22" s="953"/>
      <c r="WEO22" s="953"/>
      <c r="WEP22" s="953"/>
      <c r="WEQ22" s="953"/>
      <c r="WER22" s="953"/>
      <c r="WES22" s="953"/>
      <c r="WET22" s="953"/>
      <c r="WEU22" s="953"/>
      <c r="WEV22" s="953"/>
      <c r="WEW22" s="953"/>
      <c r="WEX22" s="953"/>
      <c r="WEY22" s="953"/>
      <c r="WEZ22" s="953"/>
      <c r="WFA22" s="953"/>
      <c r="WFB22" s="953"/>
      <c r="WFC22" s="953"/>
      <c r="WFD22" s="953"/>
      <c r="WFE22" s="953"/>
      <c r="WFF22" s="953"/>
      <c r="WFG22" s="953"/>
      <c r="WFH22" s="953"/>
      <c r="WFI22" s="953"/>
      <c r="WFJ22" s="953"/>
      <c r="WFK22" s="953"/>
      <c r="WFL22" s="953"/>
      <c r="WFM22" s="953"/>
      <c r="WFN22" s="953"/>
      <c r="WFO22" s="953"/>
      <c r="WFP22" s="953"/>
      <c r="WFQ22" s="953"/>
      <c r="WFR22" s="953"/>
      <c r="WFS22" s="953"/>
      <c r="WFT22" s="953"/>
      <c r="WFU22" s="953"/>
      <c r="WFV22" s="953"/>
      <c r="WFW22" s="953"/>
      <c r="WFX22" s="953"/>
      <c r="WFY22" s="953"/>
      <c r="WFZ22" s="953"/>
      <c r="WGA22" s="953"/>
      <c r="WGB22" s="953"/>
      <c r="WGC22" s="953"/>
      <c r="WGD22" s="953"/>
      <c r="WGE22" s="953"/>
      <c r="WGF22" s="953"/>
      <c r="WGG22" s="953"/>
      <c r="WGH22" s="953"/>
      <c r="WGI22" s="953"/>
      <c r="WGJ22" s="953"/>
      <c r="WGK22" s="953"/>
      <c r="WGL22" s="953"/>
      <c r="WGM22" s="953"/>
      <c r="WGN22" s="953"/>
      <c r="WGO22" s="953"/>
      <c r="WGP22" s="953"/>
      <c r="WGQ22" s="953"/>
      <c r="WGR22" s="953"/>
      <c r="WGS22" s="953"/>
      <c r="WGT22" s="953"/>
      <c r="WGU22" s="953"/>
      <c r="WGV22" s="953"/>
      <c r="WGW22" s="953"/>
      <c r="WGX22" s="953"/>
      <c r="WGY22" s="953"/>
      <c r="WGZ22" s="953"/>
      <c r="WHA22" s="953"/>
      <c r="WHB22" s="953"/>
      <c r="WHC22" s="953"/>
      <c r="WHD22" s="953"/>
      <c r="WHE22" s="953"/>
      <c r="WHF22" s="953"/>
      <c r="WHG22" s="953"/>
      <c r="WHH22" s="953"/>
      <c r="WHI22" s="953"/>
      <c r="WHJ22" s="953"/>
      <c r="WHK22" s="953"/>
      <c r="WHL22" s="953"/>
      <c r="WHM22" s="953"/>
      <c r="WHN22" s="953"/>
      <c r="WHO22" s="953"/>
      <c r="WHP22" s="953"/>
      <c r="WHQ22" s="953"/>
      <c r="WHR22" s="953"/>
      <c r="WHS22" s="953"/>
      <c r="WHT22" s="953"/>
      <c r="WHU22" s="953"/>
      <c r="WHV22" s="953"/>
      <c r="WHW22" s="953"/>
      <c r="WHX22" s="953"/>
      <c r="WHY22" s="953"/>
      <c r="WHZ22" s="953"/>
      <c r="WIA22" s="953"/>
      <c r="WIB22" s="953"/>
      <c r="WIC22" s="953"/>
      <c r="WID22" s="953"/>
      <c r="WIE22" s="953"/>
      <c r="WIF22" s="953"/>
      <c r="WIG22" s="953"/>
      <c r="WIH22" s="953"/>
      <c r="WII22" s="953"/>
      <c r="WIJ22" s="953"/>
      <c r="WIK22" s="953"/>
      <c r="WIL22" s="953"/>
      <c r="WIM22" s="953"/>
      <c r="WIN22" s="953"/>
      <c r="WIO22" s="953"/>
      <c r="WIP22" s="953"/>
      <c r="WIQ22" s="953"/>
      <c r="WIR22" s="953"/>
      <c r="WIS22" s="953"/>
      <c r="WIT22" s="953"/>
      <c r="WIU22" s="953"/>
      <c r="WIV22" s="953"/>
      <c r="WIW22" s="953"/>
      <c r="WIX22" s="953"/>
      <c r="WIY22" s="953"/>
      <c r="WIZ22" s="953"/>
      <c r="WJA22" s="953"/>
      <c r="WJB22" s="953"/>
      <c r="WJC22" s="953"/>
      <c r="WJD22" s="953"/>
      <c r="WJE22" s="953"/>
      <c r="WJF22" s="953"/>
      <c r="WJG22" s="953"/>
      <c r="WJH22" s="953"/>
      <c r="WJI22" s="953"/>
      <c r="WJJ22" s="953"/>
      <c r="WJK22" s="953"/>
      <c r="WJL22" s="953"/>
      <c r="WJM22" s="953"/>
      <c r="WJN22" s="953"/>
      <c r="WJO22" s="953"/>
      <c r="WJP22" s="953"/>
      <c r="WJQ22" s="953"/>
      <c r="WJR22" s="953"/>
      <c r="WJS22" s="953"/>
      <c r="WJT22" s="953"/>
      <c r="WJU22" s="953"/>
      <c r="WJV22" s="953"/>
      <c r="WJW22" s="953"/>
      <c r="WJX22" s="953"/>
      <c r="WJY22" s="953"/>
      <c r="WJZ22" s="953"/>
      <c r="WKA22" s="953"/>
      <c r="WKB22" s="953"/>
      <c r="WKC22" s="953"/>
      <c r="WKD22" s="953"/>
      <c r="WKE22" s="953"/>
      <c r="WKF22" s="953"/>
      <c r="WKG22" s="953"/>
      <c r="WKH22" s="953"/>
      <c r="WKI22" s="953"/>
      <c r="WKJ22" s="953"/>
      <c r="WKK22" s="953"/>
      <c r="WKL22" s="953"/>
      <c r="WKM22" s="953"/>
      <c r="WKN22" s="953"/>
      <c r="WKO22" s="953"/>
      <c r="WKP22" s="953"/>
      <c r="WKQ22" s="953"/>
      <c r="WKR22" s="953"/>
      <c r="WKS22" s="953"/>
      <c r="WKT22" s="953"/>
      <c r="WKU22" s="953"/>
      <c r="WKV22" s="953"/>
      <c r="WKW22" s="953"/>
      <c r="WKX22" s="953"/>
      <c r="WKY22" s="953"/>
      <c r="WKZ22" s="953"/>
      <c r="WLA22" s="953"/>
      <c r="WLB22" s="953"/>
      <c r="WLC22" s="953"/>
      <c r="WLD22" s="953"/>
      <c r="WLE22" s="953"/>
      <c r="WLF22" s="953"/>
      <c r="WLG22" s="953"/>
      <c r="WLH22" s="953"/>
      <c r="WLI22" s="953"/>
      <c r="WLJ22" s="953"/>
      <c r="WLK22" s="953"/>
      <c r="WLL22" s="953"/>
      <c r="WLM22" s="953"/>
      <c r="WLN22" s="953"/>
      <c r="WLO22" s="953"/>
      <c r="WLP22" s="953"/>
      <c r="WLQ22" s="953"/>
      <c r="WLR22" s="953"/>
      <c r="WLS22" s="953"/>
      <c r="WLT22" s="953"/>
      <c r="WLU22" s="953"/>
      <c r="WLV22" s="953"/>
      <c r="WLW22" s="953"/>
      <c r="WLX22" s="953"/>
      <c r="WLY22" s="953"/>
      <c r="WLZ22" s="953"/>
      <c r="WMA22" s="953"/>
      <c r="WMB22" s="953"/>
      <c r="WMC22" s="953"/>
      <c r="WMD22" s="953"/>
      <c r="WME22" s="953"/>
      <c r="WMF22" s="953"/>
      <c r="WMG22" s="953"/>
      <c r="WMH22" s="953"/>
      <c r="WMI22" s="953"/>
      <c r="WMJ22" s="953"/>
      <c r="WMK22" s="953"/>
      <c r="WML22" s="953"/>
      <c r="WMM22" s="953"/>
      <c r="WMN22" s="953"/>
      <c r="WMO22" s="953"/>
      <c r="WMP22" s="953"/>
      <c r="WMQ22" s="953"/>
      <c r="WMR22" s="953"/>
      <c r="WMS22" s="953"/>
      <c r="WMT22" s="953"/>
      <c r="WMU22" s="953"/>
      <c r="WMV22" s="953"/>
      <c r="WMW22" s="953"/>
      <c r="WMX22" s="953"/>
      <c r="WMY22" s="953"/>
      <c r="WMZ22" s="953"/>
      <c r="WNA22" s="953"/>
      <c r="WNB22" s="953"/>
      <c r="WNC22" s="953"/>
      <c r="WND22" s="953"/>
      <c r="WNE22" s="953"/>
      <c r="WNF22" s="953"/>
      <c r="WNG22" s="953"/>
      <c r="WNH22" s="953"/>
      <c r="WNI22" s="953"/>
      <c r="WNJ22" s="953"/>
      <c r="WNK22" s="953"/>
      <c r="WNL22" s="953"/>
      <c r="WNM22" s="953"/>
      <c r="WNN22" s="953"/>
      <c r="WNO22" s="953"/>
      <c r="WNP22" s="953"/>
      <c r="WNQ22" s="953"/>
      <c r="WNR22" s="953"/>
      <c r="WNS22" s="953"/>
      <c r="WNT22" s="953"/>
      <c r="WNU22" s="953"/>
      <c r="WNV22" s="953"/>
      <c r="WNW22" s="953"/>
      <c r="WNX22" s="953"/>
      <c r="WNY22" s="953"/>
      <c r="WNZ22" s="953"/>
      <c r="WOA22" s="953"/>
      <c r="WOB22" s="953"/>
      <c r="WOC22" s="953"/>
      <c r="WOD22" s="953"/>
      <c r="WOE22" s="953"/>
      <c r="WOF22" s="953"/>
      <c r="WOG22" s="953"/>
      <c r="WOH22" s="953"/>
      <c r="WOI22" s="953"/>
      <c r="WOJ22" s="953"/>
      <c r="WOK22" s="953"/>
      <c r="WOL22" s="953"/>
      <c r="WOM22" s="953"/>
      <c r="WON22" s="953"/>
      <c r="WOO22" s="953"/>
      <c r="WOP22" s="953"/>
      <c r="WOQ22" s="953"/>
      <c r="WOR22" s="953"/>
      <c r="WOS22" s="953"/>
      <c r="WOT22" s="953"/>
      <c r="WOU22" s="953"/>
      <c r="WOV22" s="953"/>
      <c r="WOW22" s="953"/>
      <c r="WOX22" s="953"/>
      <c r="WOY22" s="953"/>
      <c r="WOZ22" s="953"/>
      <c r="WPA22" s="953"/>
      <c r="WPB22" s="953"/>
      <c r="WPC22" s="953"/>
      <c r="WPD22" s="953"/>
      <c r="WPE22" s="953"/>
      <c r="WPF22" s="953"/>
      <c r="WPG22" s="953"/>
      <c r="WPH22" s="953"/>
      <c r="WPI22" s="953"/>
      <c r="WPJ22" s="953"/>
      <c r="WPK22" s="953"/>
      <c r="WPL22" s="953"/>
      <c r="WPM22" s="953"/>
      <c r="WPN22" s="953"/>
      <c r="WPO22" s="953"/>
      <c r="WPP22" s="953"/>
      <c r="WPQ22" s="953"/>
      <c r="WPR22" s="953"/>
      <c r="WPS22" s="953"/>
      <c r="WPT22" s="953"/>
      <c r="WPU22" s="953"/>
      <c r="WPV22" s="953"/>
      <c r="WPW22" s="953"/>
      <c r="WPX22" s="953"/>
      <c r="WPY22" s="953"/>
      <c r="WPZ22" s="953"/>
      <c r="WQA22" s="953"/>
      <c r="WQB22" s="953"/>
      <c r="WQC22" s="953"/>
      <c r="WQD22" s="953"/>
      <c r="WQE22" s="953"/>
      <c r="WQF22" s="953"/>
      <c r="WQG22" s="953"/>
      <c r="WQH22" s="953"/>
      <c r="WQI22" s="953"/>
      <c r="WQJ22" s="953"/>
      <c r="WQK22" s="953"/>
      <c r="WQL22" s="953"/>
      <c r="WQM22" s="953"/>
      <c r="WQN22" s="953"/>
      <c r="WQO22" s="953"/>
      <c r="WQP22" s="953"/>
      <c r="WQQ22" s="953"/>
      <c r="WQR22" s="953"/>
      <c r="WQS22" s="953"/>
      <c r="WQT22" s="953"/>
      <c r="WQU22" s="953"/>
      <c r="WQV22" s="953"/>
      <c r="WQW22" s="953"/>
      <c r="WQX22" s="953"/>
      <c r="WQY22" s="953"/>
      <c r="WQZ22" s="953"/>
      <c r="WRA22" s="953"/>
      <c r="WRB22" s="953"/>
      <c r="WRC22" s="953"/>
      <c r="WRD22" s="953"/>
      <c r="WRE22" s="953"/>
      <c r="WRF22" s="953"/>
      <c r="WRG22" s="953"/>
      <c r="WRH22" s="953"/>
      <c r="WRI22" s="953"/>
      <c r="WRJ22" s="953"/>
      <c r="WRK22" s="953"/>
      <c r="WRL22" s="953"/>
      <c r="WRM22" s="953"/>
      <c r="WRN22" s="953"/>
      <c r="WRO22" s="953"/>
      <c r="WRP22" s="953"/>
      <c r="WRQ22" s="953"/>
      <c r="WRR22" s="953"/>
      <c r="WRS22" s="953"/>
      <c r="WRT22" s="953"/>
      <c r="WRU22" s="953"/>
      <c r="WRV22" s="953"/>
      <c r="WRW22" s="953"/>
      <c r="WRX22" s="953"/>
      <c r="WRY22" s="953"/>
      <c r="WRZ22" s="953"/>
      <c r="WSA22" s="953"/>
      <c r="WSB22" s="953"/>
      <c r="WSC22" s="953"/>
      <c r="WSD22" s="953"/>
      <c r="WSE22" s="953"/>
      <c r="WSF22" s="953"/>
      <c r="WSG22" s="953"/>
      <c r="WSH22" s="953"/>
      <c r="WSI22" s="953"/>
      <c r="WSJ22" s="953"/>
      <c r="WSK22" s="953"/>
      <c r="WSL22" s="953"/>
      <c r="WSM22" s="953"/>
      <c r="WSN22" s="953"/>
      <c r="WSO22" s="953"/>
      <c r="WSP22" s="953"/>
      <c r="WSQ22" s="953"/>
      <c r="WSR22" s="953"/>
      <c r="WSS22" s="953"/>
      <c r="WST22" s="953"/>
      <c r="WSU22" s="953"/>
      <c r="WSV22" s="953"/>
      <c r="WSW22" s="953"/>
      <c r="WSX22" s="953"/>
      <c r="WSY22" s="953"/>
      <c r="WSZ22" s="953"/>
      <c r="WTA22" s="953"/>
      <c r="WTB22" s="953"/>
      <c r="WTC22" s="953"/>
      <c r="WTD22" s="953"/>
      <c r="WTE22" s="953"/>
      <c r="WTF22" s="953"/>
      <c r="WTG22" s="953"/>
      <c r="WTH22" s="953"/>
      <c r="WTI22" s="953"/>
      <c r="WTJ22" s="953"/>
      <c r="WTK22" s="953"/>
      <c r="WTL22" s="953"/>
      <c r="WTM22" s="953"/>
      <c r="WTN22" s="953"/>
      <c r="WTO22" s="953"/>
      <c r="WTP22" s="953"/>
      <c r="WTQ22" s="953"/>
      <c r="WTR22" s="953"/>
      <c r="WTS22" s="953"/>
      <c r="WTT22" s="953"/>
      <c r="WTU22" s="953"/>
      <c r="WTV22" s="953"/>
      <c r="WTW22" s="953"/>
      <c r="WTX22" s="953"/>
      <c r="WTY22" s="953"/>
      <c r="WTZ22" s="953"/>
      <c r="WUA22" s="953"/>
      <c r="WUB22" s="953"/>
      <c r="WUC22" s="953"/>
      <c r="WUD22" s="953"/>
      <c r="WUE22" s="953"/>
      <c r="WUF22" s="953"/>
      <c r="WUG22" s="953"/>
      <c r="WUH22" s="953"/>
      <c r="WUI22" s="953"/>
      <c r="WUJ22" s="953"/>
      <c r="WUK22" s="953"/>
      <c r="WUL22" s="953"/>
      <c r="WUM22" s="953"/>
      <c r="WUN22" s="953"/>
      <c r="WUO22" s="953"/>
      <c r="WUP22" s="953"/>
      <c r="WUQ22" s="953"/>
      <c r="WUR22" s="953"/>
      <c r="WUS22" s="953"/>
      <c r="WUT22" s="953"/>
      <c r="WUU22" s="953"/>
      <c r="WUV22" s="953"/>
      <c r="WUW22" s="953"/>
      <c r="WUX22" s="953"/>
      <c r="WUY22" s="953"/>
      <c r="WUZ22" s="953"/>
      <c r="WVA22" s="953"/>
      <c r="WVB22" s="953"/>
      <c r="WVC22" s="953"/>
      <c r="WVD22" s="953"/>
      <c r="WVE22" s="953"/>
      <c r="WVF22" s="953"/>
      <c r="WVG22" s="953"/>
      <c r="WVH22" s="953"/>
      <c r="WVI22" s="953"/>
      <c r="WVJ22" s="953"/>
      <c r="WVK22" s="953"/>
      <c r="WVL22" s="953"/>
      <c r="WVM22" s="953"/>
      <c r="WVN22" s="953"/>
      <c r="WVO22" s="953"/>
      <c r="WVP22" s="953"/>
      <c r="WVQ22" s="953"/>
      <c r="WVR22" s="953"/>
      <c r="WVS22" s="953"/>
      <c r="WVT22" s="953"/>
      <c r="WVU22" s="953"/>
      <c r="WVV22" s="953"/>
      <c r="WVW22" s="953"/>
      <c r="WVX22" s="953"/>
      <c r="WVY22" s="953"/>
      <c r="WVZ22" s="953"/>
      <c r="WWA22" s="953"/>
      <c r="WWB22" s="953"/>
      <c r="WWC22" s="953"/>
      <c r="WWD22" s="953"/>
      <c r="WWE22" s="953"/>
      <c r="WWF22" s="953"/>
      <c r="WWG22" s="953"/>
      <c r="WWH22" s="953"/>
      <c r="WWI22" s="953"/>
      <c r="WWJ22" s="953"/>
      <c r="WWK22" s="953"/>
      <c r="WWL22" s="953"/>
      <c r="WWM22" s="953"/>
      <c r="WWN22" s="953"/>
      <c r="WWO22" s="953"/>
      <c r="WWP22" s="953"/>
      <c r="WWQ22" s="953"/>
      <c r="WWR22" s="953"/>
      <c r="WWS22" s="953"/>
      <c r="WWT22" s="953"/>
      <c r="WWU22" s="953"/>
      <c r="WWV22" s="953"/>
      <c r="WWW22" s="953"/>
      <c r="WWX22" s="953"/>
      <c r="WWY22" s="953"/>
      <c r="WWZ22" s="953"/>
      <c r="WXA22" s="953"/>
      <c r="WXB22" s="953"/>
      <c r="WXC22" s="953"/>
      <c r="WXD22" s="953"/>
      <c r="WXE22" s="953"/>
      <c r="WXF22" s="953"/>
      <c r="WXG22" s="953"/>
      <c r="WXH22" s="953"/>
      <c r="WXI22" s="953"/>
      <c r="WXJ22" s="953"/>
    </row>
    <row r="23" spans="1:16182" s="954" customFormat="1" x14ac:dyDescent="0.25">
      <c r="A23" s="899"/>
      <c r="B23" s="906"/>
      <c r="C23" s="906"/>
      <c r="D23" s="906"/>
      <c r="E23" s="906" t="s">
        <v>345</v>
      </c>
      <c r="F23" s="906"/>
      <c r="G23" s="906"/>
      <c r="H23" s="935"/>
      <c r="I23" s="935"/>
      <c r="J23" s="935"/>
      <c r="K23" s="935"/>
      <c r="L23" s="935"/>
      <c r="M23" s="935"/>
      <c r="N23" s="935"/>
      <c r="O23" s="935"/>
      <c r="P23" s="935"/>
      <c r="Q23" s="935"/>
      <c r="R23" s="935"/>
      <c r="S23" s="890"/>
      <c r="T23" s="890"/>
      <c r="U23" s="890"/>
      <c r="V23" s="890"/>
      <c r="W23" s="890"/>
      <c r="X23" s="890"/>
      <c r="Y23" s="890"/>
      <c r="Z23" s="890"/>
      <c r="AA23" s="890"/>
      <c r="AB23" s="890"/>
      <c r="AC23" s="890"/>
      <c r="AD23" s="890"/>
      <c r="AE23" s="890"/>
      <c r="AF23" s="890"/>
      <c r="AG23" s="890"/>
      <c r="AH23" s="890"/>
      <c r="AI23" s="890"/>
      <c r="AJ23" s="890"/>
      <c r="AK23" s="899"/>
      <c r="AL23" s="899"/>
      <c r="AM23" s="899"/>
      <c r="AN23" s="899"/>
      <c r="AO23" s="899"/>
      <c r="AP23" s="899"/>
      <c r="AQ23" s="899"/>
      <c r="AR23" s="899"/>
      <c r="AS23" s="899"/>
      <c r="AT23" s="899"/>
      <c r="AU23" s="899"/>
      <c r="AV23" s="899"/>
      <c r="AW23" s="899"/>
      <c r="AX23" s="899"/>
      <c r="AY23" s="899"/>
      <c r="AZ23" s="899"/>
      <c r="BA23" s="899"/>
      <c r="BB23" s="899"/>
      <c r="BC23" s="899"/>
      <c r="BD23" s="899"/>
      <c r="BE23" s="899"/>
      <c r="BF23" s="899"/>
      <c r="BG23" s="899"/>
      <c r="BH23" s="899"/>
      <c r="BI23" s="899"/>
      <c r="BJ23" s="899"/>
      <c r="BK23" s="899"/>
      <c r="BL23" s="899"/>
      <c r="BM23" s="899"/>
      <c r="BN23" s="899"/>
      <c r="BO23" s="899"/>
      <c r="BP23" s="899"/>
      <c r="BQ23" s="899"/>
      <c r="BR23" s="899"/>
      <c r="BS23" s="899"/>
      <c r="BT23" s="899"/>
      <c r="BU23" s="899"/>
      <c r="BV23" s="899"/>
      <c r="BW23" s="899"/>
      <c r="BX23" s="899"/>
      <c r="BY23" s="899"/>
      <c r="BZ23" s="899"/>
      <c r="CA23" s="899"/>
      <c r="CB23" s="899"/>
      <c r="CC23" s="899"/>
    </row>
    <row r="24" spans="1:16182" s="953" customFormat="1" x14ac:dyDescent="0.25">
      <c r="A24" s="570"/>
      <c r="B24" s="909"/>
      <c r="C24" s="909"/>
      <c r="D24" s="909"/>
      <c r="E24" s="909"/>
      <c r="F24" s="972" t="s">
        <v>348</v>
      </c>
      <c r="G24" s="972"/>
      <c r="H24" s="930">
        <v>4544.3599999999997</v>
      </c>
      <c r="I24" s="930"/>
      <c r="J24" s="930">
        <v>0</v>
      </c>
      <c r="K24" s="930">
        <v>0</v>
      </c>
      <c r="L24" s="930">
        <v>0</v>
      </c>
      <c r="M24" s="930">
        <v>8226.15</v>
      </c>
      <c r="N24" s="930">
        <v>0</v>
      </c>
      <c r="O24" s="930">
        <v>8202.89</v>
      </c>
      <c r="P24" s="930">
        <v>0</v>
      </c>
      <c r="Q24" s="930">
        <v>0</v>
      </c>
      <c r="R24" s="930">
        <v>0</v>
      </c>
      <c r="S24" s="930">
        <v>0</v>
      </c>
      <c r="T24" s="930">
        <v>1572.45</v>
      </c>
      <c r="U24" s="930">
        <v>0</v>
      </c>
      <c r="V24" s="929">
        <v>0</v>
      </c>
      <c r="W24" s="929">
        <v>10364.74</v>
      </c>
      <c r="X24" s="929">
        <v>22191.48</v>
      </c>
      <c r="Y24" s="929">
        <v>92232.56</v>
      </c>
      <c r="Z24" s="929">
        <v>128263.56</v>
      </c>
      <c r="AA24" s="929">
        <v>89677.34</v>
      </c>
      <c r="AB24" s="929">
        <v>114407.2</v>
      </c>
      <c r="AC24" s="929">
        <v>157273.06</v>
      </c>
      <c r="AD24" s="929">
        <v>180558.43</v>
      </c>
      <c r="AE24" s="929">
        <v>193128.65</v>
      </c>
      <c r="AF24" s="929">
        <v>227823.51</v>
      </c>
      <c r="AG24" s="929">
        <v>240162.06</v>
      </c>
      <c r="AH24" s="438">
        <v>342470.77</v>
      </c>
      <c r="AI24" s="438">
        <v>370497.22</v>
      </c>
      <c r="AJ24" s="438">
        <v>254199.62</v>
      </c>
      <c r="AK24" s="1029"/>
      <c r="AL24" s="1029"/>
      <c r="AM24" s="438"/>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c r="BX24" s="40"/>
      <c r="BY24" s="40"/>
      <c r="BZ24" s="40"/>
      <c r="CA24" s="40"/>
      <c r="CB24" s="40"/>
      <c r="CC24" s="40"/>
    </row>
    <row r="25" spans="1:16182" s="955" customFormat="1" x14ac:dyDescent="0.25">
      <c r="A25" s="310"/>
      <c r="B25" s="909"/>
      <c r="C25" s="909"/>
      <c r="D25" s="909"/>
      <c r="E25" s="909"/>
      <c r="F25" s="972" t="s">
        <v>722</v>
      </c>
      <c r="G25" s="972"/>
      <c r="H25" s="972"/>
      <c r="I25" s="909"/>
      <c r="J25" s="909"/>
      <c r="K25" s="909"/>
      <c r="L25" s="909"/>
      <c r="M25" s="909"/>
      <c r="N25" s="909"/>
      <c r="O25" s="909"/>
      <c r="P25" s="909"/>
      <c r="Q25" s="909"/>
      <c r="R25" s="909"/>
      <c r="S25" s="909"/>
      <c r="T25" s="909"/>
      <c r="U25" s="909"/>
      <c r="V25" s="929">
        <v>138.37</v>
      </c>
      <c r="W25" s="929">
        <v>8152.26</v>
      </c>
      <c r="X25" s="929">
        <v>14741.77</v>
      </c>
      <c r="Y25" s="929">
        <v>5941.77</v>
      </c>
      <c r="Z25" s="929">
        <v>5941.77</v>
      </c>
      <c r="AA25" s="929">
        <v>5941.77</v>
      </c>
      <c r="AB25" s="929">
        <v>5941.77</v>
      </c>
      <c r="AC25" s="929">
        <v>5941.77</v>
      </c>
      <c r="AD25" s="929">
        <v>5941.77</v>
      </c>
      <c r="AE25" s="929">
        <v>5941.77</v>
      </c>
      <c r="AF25" s="929">
        <v>5941.77</v>
      </c>
      <c r="AG25" s="929">
        <v>5941.77</v>
      </c>
      <c r="AH25" s="438">
        <v>5941.77</v>
      </c>
      <c r="AI25" s="438">
        <v>5941.77</v>
      </c>
      <c r="AJ25" s="438">
        <v>5941.77</v>
      </c>
      <c r="AK25" s="1029"/>
      <c r="AL25" s="1029"/>
      <c r="AM25" s="438"/>
      <c r="AN25" s="909"/>
      <c r="AO25" s="909"/>
      <c r="AP25" s="909"/>
      <c r="AQ25" s="909"/>
      <c r="AR25" s="909"/>
      <c r="AS25" s="909"/>
      <c r="AT25" s="909"/>
      <c r="AU25" s="909"/>
      <c r="AV25" s="909"/>
      <c r="AW25" s="909"/>
      <c r="AX25" s="909"/>
      <c r="AY25" s="909"/>
      <c r="AZ25" s="909"/>
      <c r="BA25" s="909"/>
      <c r="BB25" s="909"/>
      <c r="BC25" s="909"/>
      <c r="BD25" s="909"/>
      <c r="BE25" s="909"/>
      <c r="BF25" s="909"/>
      <c r="BG25" s="909"/>
      <c r="BH25" s="909"/>
      <c r="BI25" s="909"/>
      <c r="BJ25" s="909"/>
      <c r="BK25" s="909"/>
      <c r="BL25" s="909"/>
      <c r="BM25" s="909"/>
      <c r="BN25" s="909"/>
      <c r="BO25" s="909"/>
      <c r="BP25" s="909"/>
      <c r="BQ25" s="909"/>
      <c r="BR25" s="909"/>
      <c r="BS25" s="909"/>
      <c r="BT25" s="909"/>
      <c r="BU25" s="909"/>
      <c r="BV25" s="909"/>
      <c r="BW25" s="909"/>
      <c r="BX25" s="909"/>
      <c r="BY25" s="909"/>
      <c r="BZ25" s="909"/>
      <c r="CA25" s="909"/>
      <c r="CB25" s="909"/>
      <c r="CC25" s="909"/>
    </row>
    <row r="26" spans="1:16182" s="953" customFormat="1" x14ac:dyDescent="0.25">
      <c r="A26" s="570"/>
      <c r="B26" s="909"/>
      <c r="C26" s="909"/>
      <c r="D26" s="909"/>
      <c r="E26" s="909"/>
      <c r="F26" s="972" t="s">
        <v>347</v>
      </c>
      <c r="G26" s="972"/>
      <c r="H26" s="930"/>
      <c r="I26" s="930"/>
      <c r="J26" s="930">
        <v>0</v>
      </c>
      <c r="K26" s="930">
        <v>0</v>
      </c>
      <c r="L26" s="930">
        <v>0</v>
      </c>
      <c r="M26" s="930">
        <v>0</v>
      </c>
      <c r="N26" s="930">
        <v>0</v>
      </c>
      <c r="O26" s="930">
        <v>0</v>
      </c>
      <c r="P26" s="930">
        <v>0</v>
      </c>
      <c r="Q26" s="930">
        <v>0</v>
      </c>
      <c r="R26" s="930">
        <v>0</v>
      </c>
      <c r="S26" s="930">
        <v>0</v>
      </c>
      <c r="T26" s="930">
        <v>0</v>
      </c>
      <c r="U26" s="930">
        <v>2391.33</v>
      </c>
      <c r="V26" s="929">
        <v>26048.93</v>
      </c>
      <c r="W26" s="929">
        <v>24596.61</v>
      </c>
      <c r="X26" s="929">
        <v>22102.97</v>
      </c>
      <c r="Y26" s="929">
        <v>19689.77</v>
      </c>
      <c r="Z26" s="929">
        <v>17196.13</v>
      </c>
      <c r="AA26" s="929">
        <v>14782.93</v>
      </c>
      <c r="AB26" s="929">
        <v>12289.29</v>
      </c>
      <c r="AC26" s="929">
        <v>13129.87</v>
      </c>
      <c r="AD26" s="929">
        <v>10268.26</v>
      </c>
      <c r="AE26" s="929">
        <v>11682.64</v>
      </c>
      <c r="AF26" s="929">
        <v>9384.6299999999992</v>
      </c>
      <c r="AG26" s="929">
        <v>3632.19</v>
      </c>
      <c r="AH26" s="438">
        <v>2830.74</v>
      </c>
      <c r="AI26" s="438">
        <v>10275.65</v>
      </c>
      <c r="AJ26" s="438">
        <v>11884.66</v>
      </c>
      <c r="AK26" s="1029"/>
      <c r="AL26" s="1029"/>
      <c r="AM26" s="438"/>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row>
    <row r="27" spans="1:16182" s="953" customFormat="1" x14ac:dyDescent="0.25">
      <c r="A27" s="570"/>
      <c r="B27" s="909"/>
      <c r="C27" s="909"/>
      <c r="D27" s="909"/>
      <c r="E27" s="909"/>
      <c r="F27" s="972" t="s">
        <v>1115</v>
      </c>
      <c r="G27" s="972"/>
      <c r="H27" s="930"/>
      <c r="I27" s="930"/>
      <c r="J27" s="930"/>
      <c r="K27" s="930"/>
      <c r="L27" s="930"/>
      <c r="M27" s="930"/>
      <c r="N27" s="930"/>
      <c r="O27" s="930"/>
      <c r="P27" s="930"/>
      <c r="Q27" s="930"/>
      <c r="R27" s="930"/>
      <c r="S27" s="930"/>
      <c r="T27" s="930"/>
      <c r="U27" s="930"/>
      <c r="V27" s="929"/>
      <c r="W27" s="929"/>
      <c r="X27" s="929"/>
      <c r="Y27" s="929"/>
      <c r="Z27" s="929"/>
      <c r="AA27" s="929"/>
      <c r="AB27" s="929"/>
      <c r="AC27" s="929"/>
      <c r="AD27" s="929"/>
      <c r="AE27" s="929"/>
      <c r="AF27" s="438">
        <v>28709.3</v>
      </c>
      <c r="AG27" s="438">
        <v>28709.3</v>
      </c>
      <c r="AH27" s="438">
        <v>28709.3</v>
      </c>
      <c r="AI27" s="438">
        <v>28709.3</v>
      </c>
      <c r="AJ27" s="438">
        <v>32304.81</v>
      </c>
      <c r="AK27" s="1029"/>
      <c r="AL27" s="1029"/>
      <c r="AM27" s="438"/>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c r="BX27" s="40"/>
      <c r="BY27" s="40"/>
      <c r="BZ27" s="40"/>
      <c r="CA27" s="40"/>
      <c r="CB27" s="40"/>
      <c r="CC27" s="40"/>
    </row>
    <row r="28" spans="1:16182" s="953" customFormat="1" x14ac:dyDescent="0.25">
      <c r="A28" s="570"/>
      <c r="B28" s="909"/>
      <c r="C28" s="909"/>
      <c r="D28" s="909"/>
      <c r="E28" s="909"/>
      <c r="F28" s="972" t="s">
        <v>516</v>
      </c>
      <c r="G28" s="972"/>
      <c r="H28" s="930"/>
      <c r="I28" s="930"/>
      <c r="J28" s="930"/>
      <c r="K28" s="930"/>
      <c r="L28" s="930"/>
      <c r="M28" s="930"/>
      <c r="N28" s="930"/>
      <c r="O28" s="930"/>
      <c r="P28" s="930"/>
      <c r="Q28" s="930"/>
      <c r="R28" s="930"/>
      <c r="S28" s="930"/>
      <c r="T28" s="930"/>
      <c r="U28" s="930">
        <v>229505.38</v>
      </c>
      <c r="V28" s="929">
        <v>225672.05</v>
      </c>
      <c r="W28" s="929">
        <v>221838.72</v>
      </c>
      <c r="X28" s="929">
        <v>218005.39</v>
      </c>
      <c r="Y28" s="929">
        <v>214172.06</v>
      </c>
      <c r="Z28" s="929">
        <v>210338.73</v>
      </c>
      <c r="AA28" s="929">
        <v>206505.4</v>
      </c>
      <c r="AB28" s="929">
        <v>202672.07</v>
      </c>
      <c r="AC28" s="929">
        <v>198838.74</v>
      </c>
      <c r="AD28" s="929">
        <v>195005.41</v>
      </c>
      <c r="AE28" s="929">
        <v>191172.08</v>
      </c>
      <c r="AF28" s="40">
        <v>187338.75</v>
      </c>
      <c r="AG28" s="40">
        <v>183505.42</v>
      </c>
      <c r="AH28" s="438">
        <v>179672.09</v>
      </c>
      <c r="AI28" s="438">
        <v>175838.76</v>
      </c>
      <c r="AJ28" s="438">
        <v>172005.43</v>
      </c>
      <c r="AK28" s="1029"/>
      <c r="AL28" s="1029"/>
      <c r="AM28" s="438"/>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c r="BW28" s="40"/>
      <c r="BX28" s="40"/>
      <c r="BY28" s="40"/>
      <c r="BZ28" s="40"/>
      <c r="CA28" s="40"/>
      <c r="CB28" s="40"/>
      <c r="CC28" s="40"/>
    </row>
    <row r="29" spans="1:16182" s="955" customFormat="1" x14ac:dyDescent="0.25">
      <c r="A29" s="310"/>
      <c r="B29" s="909"/>
      <c r="C29" s="909"/>
      <c r="D29" s="909"/>
      <c r="E29" s="909"/>
      <c r="F29" s="972" t="s">
        <v>723</v>
      </c>
      <c r="G29" s="972"/>
      <c r="H29" s="972"/>
      <c r="I29" s="909"/>
      <c r="J29" s="909"/>
      <c r="K29" s="909"/>
      <c r="L29" s="909"/>
      <c r="M29" s="909"/>
      <c r="N29" s="909"/>
      <c r="O29" s="909"/>
      <c r="P29" s="909"/>
      <c r="Q29" s="909"/>
      <c r="R29" s="909"/>
      <c r="S29" s="909"/>
      <c r="T29" s="909"/>
      <c r="U29" s="909"/>
      <c r="V29" s="909"/>
      <c r="W29" s="909"/>
      <c r="X29" s="909"/>
      <c r="Y29" s="909"/>
      <c r="Z29" s="909"/>
      <c r="AA29" s="909"/>
      <c r="AB29" s="909"/>
      <c r="AC29" s="930">
        <v>-0.01</v>
      </c>
      <c r="AD29" s="40">
        <v>-0.01</v>
      </c>
      <c r="AE29" s="40">
        <v>-0.01</v>
      </c>
      <c r="AF29" s="929">
        <v>-0.01</v>
      </c>
      <c r="AG29" s="929">
        <v>-0.01</v>
      </c>
      <c r="AH29" s="929">
        <v>-0.01</v>
      </c>
      <c r="AI29" s="929">
        <v>-0.01</v>
      </c>
      <c r="AJ29" s="929">
        <v>-0.01</v>
      </c>
      <c r="AK29" s="1029"/>
      <c r="AL29" s="1029"/>
      <c r="AM29" s="438"/>
      <c r="AN29" s="909"/>
      <c r="AO29" s="909"/>
      <c r="AP29" s="909"/>
      <c r="AQ29" s="909"/>
      <c r="AR29" s="909"/>
      <c r="AS29" s="909"/>
      <c r="AT29" s="909"/>
      <c r="AU29" s="909"/>
      <c r="AV29" s="909"/>
      <c r="AW29" s="909"/>
      <c r="AX29" s="909"/>
      <c r="AY29" s="909"/>
      <c r="AZ29" s="909"/>
      <c r="BA29" s="909"/>
      <c r="BB29" s="909"/>
      <c r="BC29" s="909"/>
      <c r="BD29" s="909"/>
      <c r="BE29" s="909"/>
      <c r="BF29" s="909"/>
      <c r="BG29" s="909"/>
      <c r="BH29" s="909"/>
      <c r="BI29" s="909"/>
      <c r="BJ29" s="909"/>
      <c r="BK29" s="909"/>
      <c r="BL29" s="909"/>
      <c r="BM29" s="909"/>
      <c r="BN29" s="909"/>
      <c r="BO29" s="909"/>
      <c r="BP29" s="909"/>
      <c r="BQ29" s="909"/>
      <c r="BR29" s="909"/>
      <c r="BS29" s="909"/>
      <c r="BT29" s="909"/>
      <c r="BU29" s="909"/>
      <c r="BV29" s="909"/>
      <c r="BW29" s="909"/>
      <c r="BX29" s="909"/>
      <c r="BY29" s="909"/>
      <c r="BZ29" s="909"/>
      <c r="CA29" s="909"/>
      <c r="CB29" s="909"/>
      <c r="CC29" s="909"/>
    </row>
    <row r="30" spans="1:16182" s="955" customFormat="1" x14ac:dyDescent="0.25">
      <c r="A30" s="310"/>
      <c r="B30" s="909"/>
      <c r="C30" s="909"/>
      <c r="D30" s="909"/>
      <c r="E30" s="909"/>
      <c r="F30" s="972" t="s">
        <v>724</v>
      </c>
      <c r="G30" s="972"/>
      <c r="H30" s="972"/>
      <c r="I30" s="909"/>
      <c r="J30" s="909"/>
      <c r="K30" s="909"/>
      <c r="L30" s="909"/>
      <c r="M30" s="909"/>
      <c r="N30" s="909"/>
      <c r="O30" s="909"/>
      <c r="P30" s="909"/>
      <c r="Q30" s="909"/>
      <c r="R30" s="909"/>
      <c r="S30" s="909"/>
      <c r="T30" s="909"/>
      <c r="U30" s="909"/>
      <c r="V30" s="929">
        <v>0</v>
      </c>
      <c r="W30" s="929">
        <v>16522.099999999999</v>
      </c>
      <c r="X30" s="929">
        <v>411.6</v>
      </c>
      <c r="Y30" s="929">
        <v>15332.8</v>
      </c>
      <c r="Z30" s="929">
        <v>50830.82</v>
      </c>
      <c r="AA30" s="929">
        <v>97788.85</v>
      </c>
      <c r="AB30" s="929">
        <v>39609.97</v>
      </c>
      <c r="AC30" s="929">
        <v>71491.759999999995</v>
      </c>
      <c r="AD30" s="929">
        <v>0</v>
      </c>
      <c r="AE30" s="929">
        <v>220</v>
      </c>
      <c r="AF30" s="932">
        <v>47816.56</v>
      </c>
      <c r="AG30" s="932">
        <v>43814.8</v>
      </c>
      <c r="AH30" s="909"/>
      <c r="AI30" s="909"/>
      <c r="AJ30" s="909">
        <v>564</v>
      </c>
      <c r="AK30" s="909" t="s">
        <v>915</v>
      </c>
      <c r="AL30" s="1029"/>
      <c r="AM30" s="438"/>
      <c r="AN30" s="909"/>
      <c r="AO30" s="909"/>
      <c r="AP30" s="909"/>
      <c r="AQ30" s="909"/>
      <c r="AR30" s="909"/>
      <c r="AS30" s="909"/>
      <c r="AT30" s="909"/>
      <c r="AU30" s="909"/>
      <c r="AV30" s="909"/>
      <c r="AW30" s="909"/>
      <c r="AX30" s="909"/>
      <c r="AY30" s="909"/>
      <c r="AZ30" s="909"/>
      <c r="BA30" s="909"/>
      <c r="BB30" s="909"/>
      <c r="BC30" s="909"/>
      <c r="BD30" s="909"/>
      <c r="BE30" s="909"/>
      <c r="BF30" s="909"/>
      <c r="BG30" s="909"/>
      <c r="BH30" s="909"/>
      <c r="BI30" s="909"/>
      <c r="BJ30" s="909"/>
      <c r="BK30" s="909"/>
      <c r="BL30" s="909"/>
      <c r="BM30" s="909"/>
      <c r="BN30" s="909"/>
      <c r="BO30" s="909"/>
      <c r="BP30" s="909"/>
      <c r="BQ30" s="909"/>
      <c r="BR30" s="909"/>
      <c r="BS30" s="909"/>
      <c r="BT30" s="909"/>
      <c r="BU30" s="909"/>
      <c r="BV30" s="909"/>
      <c r="BW30" s="909"/>
      <c r="BX30" s="909"/>
      <c r="BY30" s="909"/>
      <c r="BZ30" s="909"/>
      <c r="CA30" s="909"/>
      <c r="CB30" s="909"/>
      <c r="CC30" s="909"/>
    </row>
    <row r="31" spans="1:16182" s="953" customFormat="1" ht="15.75" thickBot="1" x14ac:dyDescent="0.3">
      <c r="A31" s="570"/>
      <c r="B31" s="909"/>
      <c r="C31" s="909"/>
      <c r="D31" s="909"/>
      <c r="E31" s="912"/>
      <c r="F31" s="972" t="s">
        <v>432</v>
      </c>
      <c r="G31" s="973"/>
      <c r="H31" s="929">
        <v>116.99</v>
      </c>
      <c r="I31" s="929">
        <v>500</v>
      </c>
      <c r="J31" s="929">
        <v>0</v>
      </c>
      <c r="K31" s="929">
        <v>1350.5</v>
      </c>
      <c r="L31" s="929">
        <v>1125</v>
      </c>
      <c r="M31" s="929">
        <v>0</v>
      </c>
      <c r="N31" s="929">
        <v>0</v>
      </c>
      <c r="O31" s="929">
        <v>774.95</v>
      </c>
      <c r="P31" s="929">
        <v>774.95</v>
      </c>
      <c r="Q31" s="929">
        <v>500</v>
      </c>
      <c r="R31" s="929">
        <v>500</v>
      </c>
      <c r="S31" s="929">
        <v>617.70000000000005</v>
      </c>
      <c r="T31" s="929"/>
      <c r="U31" s="929">
        <v>0</v>
      </c>
      <c r="V31" s="932">
        <v>500</v>
      </c>
      <c r="W31" s="932">
        <v>286.89</v>
      </c>
      <c r="X31" s="932">
        <v>714.87</v>
      </c>
      <c r="Y31" s="932">
        <v>45.63</v>
      </c>
      <c r="Z31" s="932">
        <v>53.4</v>
      </c>
      <c r="AA31" s="932">
        <v>420.8</v>
      </c>
      <c r="AB31" s="932">
        <v>3420.8</v>
      </c>
      <c r="AC31" s="932">
        <v>1534.19</v>
      </c>
      <c r="AD31" s="932">
        <v>1459.15</v>
      </c>
      <c r="AE31" s="932">
        <v>1334.1</v>
      </c>
      <c r="AF31" s="1004">
        <v>-44.63</v>
      </c>
      <c r="AG31" s="1004">
        <v>440</v>
      </c>
      <c r="AH31" s="1004">
        <v>540</v>
      </c>
      <c r="AI31" s="1004">
        <v>1214.1199999999999</v>
      </c>
      <c r="AJ31" s="1004">
        <v>78.319999999999993</v>
      </c>
      <c r="AK31" s="1029"/>
      <c r="AL31" s="1029"/>
      <c r="AM31" s="1028"/>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row>
    <row r="32" spans="1:16182" s="953" customFormat="1" x14ac:dyDescent="0.25">
      <c r="A32" s="570"/>
      <c r="B32" s="909"/>
      <c r="C32" s="909"/>
      <c r="D32" s="909"/>
      <c r="E32" s="909"/>
      <c r="F32" s="972" t="s">
        <v>346</v>
      </c>
      <c r="G32" s="972"/>
      <c r="H32" s="930"/>
      <c r="I32" s="930"/>
      <c r="J32" s="930"/>
      <c r="K32" s="930"/>
      <c r="L32" s="930"/>
      <c r="M32" s="930"/>
      <c r="N32" s="930"/>
      <c r="O32" s="930"/>
      <c r="P32" s="930"/>
      <c r="Q32" s="930"/>
      <c r="R32" s="930"/>
      <c r="S32" s="930"/>
      <c r="T32" s="930"/>
      <c r="U32" s="930"/>
      <c r="V32" s="930">
        <v>0</v>
      </c>
      <c r="W32" s="930">
        <v>0</v>
      </c>
      <c r="X32" s="930">
        <v>0</v>
      </c>
      <c r="Y32" s="930"/>
      <c r="Z32" s="930"/>
      <c r="AA32" s="930"/>
      <c r="AB32" s="930"/>
      <c r="AC32" s="930"/>
      <c r="AD32" s="930"/>
      <c r="AE32" s="930"/>
      <c r="AF32" s="929"/>
      <c r="AG32" s="929"/>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row>
    <row r="33" spans="1:16182" s="953" customFormat="1" x14ac:dyDescent="0.25">
      <c r="A33" s="570"/>
      <c r="B33" s="909"/>
      <c r="C33" s="909"/>
      <c r="D33" s="909"/>
      <c r="E33" s="909"/>
      <c r="F33" s="972" t="s">
        <v>359</v>
      </c>
      <c r="G33" s="972"/>
      <c r="H33" s="933"/>
      <c r="I33" s="933"/>
      <c r="J33" s="933"/>
      <c r="K33" s="933"/>
      <c r="L33" s="933"/>
      <c r="M33" s="933"/>
      <c r="N33" s="933"/>
      <c r="O33" s="933"/>
      <c r="P33" s="933"/>
      <c r="Q33" s="933"/>
      <c r="R33" s="933"/>
      <c r="S33" s="933"/>
      <c r="T33" s="933"/>
      <c r="U33" s="933"/>
      <c r="V33" s="933">
        <v>0</v>
      </c>
      <c r="W33" s="933">
        <v>0</v>
      </c>
      <c r="X33" s="933">
        <v>0</v>
      </c>
      <c r="Y33" s="933">
        <v>0</v>
      </c>
      <c r="Z33" s="933"/>
      <c r="AA33" s="933"/>
      <c r="AB33" s="933"/>
      <c r="AC33" s="933"/>
      <c r="AD33" s="933"/>
      <c r="AE33" s="933"/>
      <c r="AF33" s="933"/>
      <c r="AG33" s="933"/>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40"/>
      <c r="BT33" s="40"/>
      <c r="BU33" s="40"/>
      <c r="BV33" s="40"/>
      <c r="BW33" s="40"/>
      <c r="BX33" s="40"/>
      <c r="BY33" s="40"/>
      <c r="BZ33" s="40"/>
      <c r="CA33" s="40"/>
      <c r="CB33" s="40"/>
      <c r="CC33" s="40"/>
    </row>
    <row r="34" spans="1:16182" s="953" customFormat="1" x14ac:dyDescent="0.25">
      <c r="A34" s="570"/>
      <c r="B34" s="909"/>
      <c r="C34" s="909"/>
      <c r="D34" s="909"/>
      <c r="E34" s="913" t="s">
        <v>349</v>
      </c>
      <c r="F34" s="913"/>
      <c r="G34" s="913"/>
      <c r="H34" s="936">
        <f>SUM(H24:H33)</f>
        <v>4661.3499999999995</v>
      </c>
      <c r="I34" s="936">
        <f>SUM(I24:I33)</f>
        <v>500</v>
      </c>
      <c r="J34" s="936">
        <v>0</v>
      </c>
      <c r="K34" s="936">
        <f>SUM(K24:K33)</f>
        <v>1350.5</v>
      </c>
      <c r="L34" s="936">
        <f t="shared" ref="L34:Z34" si="4">SUM(L24:L33)</f>
        <v>1125</v>
      </c>
      <c r="M34" s="936">
        <f t="shared" si="4"/>
        <v>8226.15</v>
      </c>
      <c r="N34" s="936">
        <f t="shared" si="4"/>
        <v>0</v>
      </c>
      <c r="O34" s="936">
        <f t="shared" si="4"/>
        <v>8977.84</v>
      </c>
      <c r="P34" s="936">
        <f t="shared" si="4"/>
        <v>774.95</v>
      </c>
      <c r="Q34" s="936">
        <f t="shared" si="4"/>
        <v>500</v>
      </c>
      <c r="R34" s="936">
        <f t="shared" si="4"/>
        <v>500</v>
      </c>
      <c r="S34" s="936">
        <f t="shared" si="4"/>
        <v>617.70000000000005</v>
      </c>
      <c r="T34" s="936">
        <f t="shared" si="4"/>
        <v>1572.45</v>
      </c>
      <c r="U34" s="936">
        <f t="shared" si="4"/>
        <v>231896.71</v>
      </c>
      <c r="V34" s="936">
        <f t="shared" si="4"/>
        <v>252359.34999999998</v>
      </c>
      <c r="W34" s="936">
        <f t="shared" si="4"/>
        <v>281761.32</v>
      </c>
      <c r="X34" s="936">
        <f>SUM(X24:X33)</f>
        <v>278168.07999999996</v>
      </c>
      <c r="Y34" s="936">
        <f t="shared" si="4"/>
        <v>347414.59</v>
      </c>
      <c r="Z34" s="936">
        <f t="shared" si="4"/>
        <v>412624.41000000003</v>
      </c>
      <c r="AA34" s="936">
        <f>SUM(AA24:AA33)</f>
        <v>415117.09</v>
      </c>
      <c r="AB34" s="936">
        <f>SUM(AB24:AB30)</f>
        <v>374920.30000000005</v>
      </c>
      <c r="AC34" s="936">
        <f t="shared" ref="AC34:AJ34" si="5">SUM(AC24:AC33)</f>
        <v>448209.37999999995</v>
      </c>
      <c r="AD34" s="936">
        <f t="shared" si="5"/>
        <v>393233.01</v>
      </c>
      <c r="AE34" s="936">
        <f t="shared" si="5"/>
        <v>403479.23</v>
      </c>
      <c r="AF34" s="936">
        <f t="shared" si="5"/>
        <v>506969.88</v>
      </c>
      <c r="AG34" s="936">
        <f t="shared" si="5"/>
        <v>506205.52999999997</v>
      </c>
      <c r="AH34" s="936">
        <f t="shared" si="5"/>
        <v>560164.66</v>
      </c>
      <c r="AI34" s="1237">
        <f t="shared" si="5"/>
        <v>592476.80999999994</v>
      </c>
      <c r="AJ34" s="1237">
        <f t="shared" si="5"/>
        <v>476978.6</v>
      </c>
      <c r="AK34" s="944"/>
      <c r="AL34" s="944"/>
      <c r="AM34" s="944"/>
      <c r="AN34" s="944"/>
      <c r="AO34" s="944"/>
      <c r="AP34" s="944"/>
      <c r="AQ34" s="944"/>
      <c r="AR34" s="944"/>
      <c r="AS34" s="944"/>
      <c r="AT34" s="944"/>
      <c r="AU34" s="944"/>
      <c r="AV34" s="944"/>
      <c r="AW34" s="944"/>
      <c r="AX34" s="944"/>
      <c r="AY34" s="944"/>
      <c r="AZ34" s="944"/>
      <c r="BA34" s="944"/>
      <c r="BB34" s="944"/>
      <c r="BC34" s="944"/>
      <c r="BD34" s="944"/>
      <c r="BE34" s="944"/>
      <c r="BF34" s="944"/>
      <c r="BG34" s="944"/>
      <c r="BH34" s="944"/>
      <c r="BI34" s="944"/>
      <c r="BJ34" s="944"/>
      <c r="BK34" s="944"/>
      <c r="BL34" s="944"/>
      <c r="BM34" s="944"/>
      <c r="BN34" s="944"/>
      <c r="BO34" s="944"/>
      <c r="BP34" s="944"/>
      <c r="BQ34" s="944"/>
      <c r="BR34" s="944"/>
      <c r="BS34" s="944"/>
      <c r="BT34" s="944"/>
      <c r="BU34" s="944"/>
      <c r="BV34" s="944"/>
      <c r="BW34" s="944"/>
      <c r="BX34" s="944"/>
      <c r="BY34" s="944"/>
      <c r="BZ34" s="944"/>
      <c r="CA34" s="944"/>
      <c r="CB34" s="944"/>
      <c r="CC34" s="944"/>
    </row>
    <row r="35" spans="1:16182" s="953" customFormat="1" x14ac:dyDescent="0.25">
      <c r="A35" s="570"/>
      <c r="B35" s="909"/>
      <c r="C35" s="909"/>
      <c r="D35" s="909"/>
      <c r="E35" s="909" t="s">
        <v>93</v>
      </c>
      <c r="F35" s="909"/>
      <c r="G35" s="909"/>
      <c r="H35" s="929"/>
      <c r="I35" s="929">
        <v>10777.72</v>
      </c>
      <c r="J35" s="929">
        <v>10223.86</v>
      </c>
      <c r="K35" s="929">
        <v>10223.86</v>
      </c>
      <c r="L35" s="929">
        <v>3696.21</v>
      </c>
      <c r="M35" s="929">
        <v>3696.21</v>
      </c>
      <c r="N35" s="929">
        <v>3696.21</v>
      </c>
      <c r="O35" s="929">
        <v>3696.21</v>
      </c>
      <c r="P35" s="929">
        <v>0</v>
      </c>
      <c r="Q35" s="929">
        <v>0</v>
      </c>
      <c r="R35" s="929">
        <v>0</v>
      </c>
      <c r="S35" s="929">
        <v>0</v>
      </c>
      <c r="T35" s="929">
        <v>0</v>
      </c>
      <c r="U35" s="929">
        <v>138.37</v>
      </c>
      <c r="V35" s="929"/>
      <c r="W35" s="929"/>
      <c r="X35" s="929"/>
      <c r="Y35" s="929"/>
      <c r="Z35" s="929"/>
      <c r="AA35" s="929"/>
      <c r="AB35" s="929"/>
      <c r="AC35" s="928"/>
      <c r="AD35" s="929"/>
      <c r="AE35" s="929"/>
      <c r="AF35" s="929"/>
      <c r="AG35" s="929"/>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row>
    <row r="36" spans="1:16182" s="953" customFormat="1" x14ac:dyDescent="0.25">
      <c r="A36" s="570"/>
      <c r="B36" s="909"/>
      <c r="C36" s="909"/>
      <c r="D36" s="914" t="s">
        <v>153</v>
      </c>
      <c r="E36" s="914"/>
      <c r="F36" s="914"/>
      <c r="G36" s="915"/>
      <c r="H36" s="938">
        <f>+H34+H21</f>
        <v>48055.22</v>
      </c>
      <c r="I36" s="938">
        <f>+I35+I34</f>
        <v>11277.72</v>
      </c>
      <c r="J36" s="938">
        <v>10223.86</v>
      </c>
      <c r="K36" s="938">
        <f t="shared" ref="K36:Z36" si="6">+K35+K34</f>
        <v>11574.36</v>
      </c>
      <c r="L36" s="938">
        <f t="shared" si="6"/>
        <v>4821.21</v>
      </c>
      <c r="M36" s="938">
        <f t="shared" si="6"/>
        <v>11922.36</v>
      </c>
      <c r="N36" s="938">
        <f t="shared" si="6"/>
        <v>3696.21</v>
      </c>
      <c r="O36" s="938">
        <f t="shared" si="6"/>
        <v>12674.05</v>
      </c>
      <c r="P36" s="938">
        <f t="shared" si="6"/>
        <v>774.95</v>
      </c>
      <c r="Q36" s="938">
        <f t="shared" si="6"/>
        <v>500</v>
      </c>
      <c r="R36" s="938">
        <f t="shared" si="6"/>
        <v>500</v>
      </c>
      <c r="S36" s="938">
        <f t="shared" si="6"/>
        <v>617.70000000000005</v>
      </c>
      <c r="T36" s="938">
        <f t="shared" si="6"/>
        <v>1572.45</v>
      </c>
      <c r="U36" s="938">
        <f t="shared" si="6"/>
        <v>232035.08</v>
      </c>
      <c r="V36" s="938">
        <f t="shared" si="6"/>
        <v>252359.34999999998</v>
      </c>
      <c r="W36" s="938">
        <f t="shared" si="6"/>
        <v>281761.32</v>
      </c>
      <c r="X36" s="938">
        <f t="shared" si="6"/>
        <v>278168.07999999996</v>
      </c>
      <c r="Y36" s="938">
        <f t="shared" si="6"/>
        <v>347414.59</v>
      </c>
      <c r="Z36" s="938">
        <f t="shared" si="6"/>
        <v>412624.41000000003</v>
      </c>
      <c r="AA36" s="938">
        <f>AA35+AA34</f>
        <v>415117.09</v>
      </c>
      <c r="AB36" s="938">
        <f>AB35+AB34+AB31</f>
        <v>378341.10000000003</v>
      </c>
      <c r="AC36" s="938">
        <f t="shared" ref="AC36:AJ36" si="7">AC35+AC34</f>
        <v>448209.37999999995</v>
      </c>
      <c r="AD36" s="938">
        <f t="shared" si="7"/>
        <v>393233.01</v>
      </c>
      <c r="AE36" s="938">
        <f t="shared" si="7"/>
        <v>403479.23</v>
      </c>
      <c r="AF36" s="938">
        <f t="shared" si="7"/>
        <v>506969.88</v>
      </c>
      <c r="AG36" s="938">
        <f t="shared" si="7"/>
        <v>506205.52999999997</v>
      </c>
      <c r="AH36" s="938">
        <f t="shared" si="7"/>
        <v>560164.66</v>
      </c>
      <c r="AI36" s="938">
        <f t="shared" si="7"/>
        <v>592476.80999999994</v>
      </c>
      <c r="AJ36" s="938">
        <f t="shared" si="7"/>
        <v>476978.6</v>
      </c>
      <c r="AK36" s="945"/>
      <c r="AL36" s="945"/>
      <c r="AM36" s="945"/>
      <c r="AN36" s="945"/>
      <c r="AO36" s="945"/>
      <c r="AP36" s="945"/>
      <c r="AQ36" s="945"/>
      <c r="AR36" s="945"/>
      <c r="AS36" s="945"/>
      <c r="AT36" s="945"/>
      <c r="AU36" s="945"/>
      <c r="AV36" s="945"/>
      <c r="AW36" s="945"/>
      <c r="AX36" s="945"/>
      <c r="AY36" s="945"/>
      <c r="AZ36" s="945"/>
      <c r="BA36" s="945"/>
      <c r="BB36" s="945"/>
      <c r="BC36" s="945"/>
      <c r="BD36" s="945"/>
      <c r="BE36" s="945"/>
      <c r="BF36" s="945"/>
      <c r="BG36" s="945"/>
      <c r="BH36" s="945"/>
      <c r="BI36" s="945"/>
      <c r="BJ36" s="945"/>
      <c r="BK36" s="945"/>
      <c r="BL36" s="945"/>
      <c r="BM36" s="945"/>
      <c r="BN36" s="945"/>
      <c r="BO36" s="945"/>
      <c r="BP36" s="945"/>
      <c r="BQ36" s="945"/>
      <c r="BR36" s="945"/>
      <c r="BS36" s="945"/>
      <c r="BT36" s="945"/>
      <c r="BU36" s="945"/>
      <c r="BV36" s="945"/>
      <c r="BW36" s="945"/>
      <c r="BX36" s="945"/>
      <c r="BY36" s="945"/>
      <c r="BZ36" s="945"/>
      <c r="CA36" s="945"/>
      <c r="CB36" s="945"/>
      <c r="CC36" s="945"/>
    </row>
    <row r="37" spans="1:16182" s="954" customFormat="1" ht="18" customHeight="1" x14ac:dyDescent="0.25">
      <c r="A37" s="439"/>
      <c r="B37" s="916"/>
      <c r="C37" s="900" t="s">
        <v>94</v>
      </c>
      <c r="D37" s="900"/>
      <c r="E37" s="900"/>
      <c r="F37" s="900"/>
      <c r="G37" s="900"/>
      <c r="H37" s="900">
        <f>+H36+H18</f>
        <v>3642985.6199999996</v>
      </c>
      <c r="I37" s="900">
        <f>+I36+I21+I18</f>
        <v>4922637.9499999993</v>
      </c>
      <c r="J37" s="900">
        <f t="shared" ref="J37:AJ37" si="8">J36+J21+J18</f>
        <v>1747601.06</v>
      </c>
      <c r="K37" s="900">
        <f t="shared" si="8"/>
        <v>1568178.47</v>
      </c>
      <c r="L37" s="900">
        <f t="shared" si="8"/>
        <v>1758976.46</v>
      </c>
      <c r="M37" s="900">
        <f t="shared" si="8"/>
        <v>2726059.9000000004</v>
      </c>
      <c r="N37" s="900">
        <f t="shared" si="8"/>
        <v>3007969.4199999995</v>
      </c>
      <c r="O37" s="900">
        <f t="shared" si="8"/>
        <v>2922954.33</v>
      </c>
      <c r="P37" s="901">
        <f t="shared" si="8"/>
        <v>2844248.2899999996</v>
      </c>
      <c r="Q37" s="901">
        <f t="shared" si="8"/>
        <v>2902053.91</v>
      </c>
      <c r="R37" s="901">
        <f t="shared" si="8"/>
        <v>2577054.2199999997</v>
      </c>
      <c r="S37" s="901">
        <f t="shared" si="8"/>
        <v>2345371.46</v>
      </c>
      <c r="T37" s="901">
        <f t="shared" si="8"/>
        <v>1767520.87</v>
      </c>
      <c r="U37" s="901">
        <f t="shared" si="8"/>
        <v>6116978.7000000002</v>
      </c>
      <c r="V37" s="901">
        <f t="shared" si="8"/>
        <v>6927164.4900000002</v>
      </c>
      <c r="W37" s="901">
        <f t="shared" si="8"/>
        <v>6882825.1299999999</v>
      </c>
      <c r="X37" s="901">
        <f t="shared" si="8"/>
        <v>7146530.8399999999</v>
      </c>
      <c r="Y37" s="901">
        <f t="shared" si="8"/>
        <v>7212950.6799999997</v>
      </c>
      <c r="Z37" s="901">
        <f t="shared" si="8"/>
        <v>7002434.4699999997</v>
      </c>
      <c r="AA37" s="901">
        <f t="shared" si="8"/>
        <v>6965138.1399999997</v>
      </c>
      <c r="AB37" s="901">
        <f t="shared" si="8"/>
        <v>6441714.2800000003</v>
      </c>
      <c r="AC37" s="901">
        <f t="shared" si="8"/>
        <v>5616894.5300000003</v>
      </c>
      <c r="AD37" s="901">
        <f t="shared" si="8"/>
        <v>6009485.1699999999</v>
      </c>
      <c r="AE37" s="901">
        <f t="shared" si="8"/>
        <v>5455986.0600000005</v>
      </c>
      <c r="AF37" s="901">
        <f t="shared" si="8"/>
        <v>5047429.8599999994</v>
      </c>
      <c r="AG37" s="901">
        <f t="shared" si="8"/>
        <v>4327064.34</v>
      </c>
      <c r="AH37" s="901">
        <f t="shared" si="8"/>
        <v>4338532.4499999993</v>
      </c>
      <c r="AI37" s="901">
        <f t="shared" si="8"/>
        <v>4266274.49</v>
      </c>
      <c r="AJ37" s="901">
        <f t="shared" si="8"/>
        <v>4092194.5200000005</v>
      </c>
      <c r="AK37" s="902"/>
      <c r="AL37" s="902"/>
      <c r="AM37" s="902"/>
      <c r="AN37" s="902"/>
      <c r="AO37" s="902"/>
      <c r="AP37" s="902"/>
      <c r="AQ37" s="902"/>
      <c r="AR37" s="902"/>
      <c r="AS37" s="902"/>
      <c r="AT37" s="902"/>
      <c r="AU37" s="902"/>
      <c r="AV37" s="902"/>
      <c r="AW37" s="902"/>
      <c r="AX37" s="902"/>
      <c r="AY37" s="902"/>
      <c r="AZ37" s="902"/>
      <c r="BA37" s="902"/>
      <c r="BB37" s="902"/>
      <c r="BC37" s="902"/>
      <c r="BD37" s="902"/>
      <c r="BE37" s="902"/>
      <c r="BF37" s="902"/>
      <c r="BG37" s="902"/>
      <c r="BH37" s="902"/>
      <c r="BI37" s="902"/>
      <c r="BJ37" s="902"/>
      <c r="BK37" s="902"/>
      <c r="BL37" s="902"/>
      <c r="BM37" s="902"/>
      <c r="BN37" s="902"/>
      <c r="BO37" s="902"/>
      <c r="BP37" s="902"/>
      <c r="BQ37" s="902"/>
      <c r="BR37" s="902"/>
      <c r="BS37" s="902"/>
      <c r="BT37" s="902"/>
      <c r="BU37" s="902"/>
      <c r="BV37" s="902"/>
      <c r="BW37" s="902"/>
      <c r="BX37" s="902"/>
      <c r="BY37" s="902"/>
      <c r="BZ37" s="902"/>
      <c r="CA37" s="902"/>
      <c r="CB37" s="902"/>
      <c r="CC37" s="946"/>
      <c r="CD37" s="953"/>
      <c r="CE37" s="953"/>
      <c r="CF37" s="953"/>
      <c r="CG37" s="953"/>
      <c r="CH37" s="953"/>
      <c r="CI37" s="953"/>
      <c r="CJ37" s="953"/>
      <c r="CK37" s="953"/>
      <c r="CL37" s="953"/>
      <c r="CM37" s="953"/>
      <c r="CN37" s="953"/>
      <c r="CO37" s="953"/>
      <c r="CP37" s="953"/>
      <c r="CQ37" s="953"/>
      <c r="CR37" s="953"/>
      <c r="CS37" s="953"/>
      <c r="CT37" s="953"/>
      <c r="CU37" s="953"/>
      <c r="CV37" s="953"/>
      <c r="CW37" s="953"/>
      <c r="CX37" s="953"/>
      <c r="CY37" s="953"/>
      <c r="CZ37" s="953"/>
      <c r="DA37" s="953"/>
      <c r="DB37" s="953"/>
      <c r="DC37" s="953"/>
      <c r="DD37" s="953"/>
      <c r="DE37" s="953"/>
      <c r="DF37" s="953"/>
      <c r="DG37" s="953"/>
      <c r="DH37" s="953"/>
      <c r="DI37" s="953"/>
      <c r="DJ37" s="953"/>
      <c r="DK37" s="953"/>
      <c r="DL37" s="953"/>
      <c r="DM37" s="953"/>
      <c r="DN37" s="953"/>
      <c r="DO37" s="953"/>
      <c r="DP37" s="953"/>
      <c r="DQ37" s="953"/>
      <c r="DR37" s="953"/>
      <c r="DS37" s="953"/>
      <c r="DT37" s="953"/>
      <c r="DU37" s="953"/>
      <c r="DV37" s="953"/>
      <c r="DW37" s="953"/>
      <c r="DX37" s="953"/>
      <c r="DY37" s="953"/>
      <c r="DZ37" s="953"/>
      <c r="EA37" s="953"/>
      <c r="EB37" s="953"/>
      <c r="EC37" s="953"/>
      <c r="ED37" s="953"/>
      <c r="EE37" s="953"/>
      <c r="EF37" s="953"/>
      <c r="EG37" s="953"/>
      <c r="EH37" s="953"/>
      <c r="EI37" s="953"/>
      <c r="EJ37" s="953"/>
      <c r="EK37" s="953"/>
      <c r="EL37" s="953"/>
      <c r="EM37" s="953"/>
      <c r="EN37" s="953"/>
      <c r="EO37" s="953"/>
      <c r="EP37" s="953"/>
      <c r="EQ37" s="953"/>
      <c r="ER37" s="953"/>
      <c r="ES37" s="953"/>
      <c r="ET37" s="953"/>
      <c r="EU37" s="953"/>
      <c r="EV37" s="953"/>
      <c r="EW37" s="953"/>
      <c r="EX37" s="953"/>
      <c r="EY37" s="953"/>
      <c r="EZ37" s="953"/>
      <c r="FA37" s="953"/>
      <c r="FB37" s="953"/>
      <c r="FC37" s="953"/>
      <c r="FD37" s="953"/>
      <c r="FE37" s="953"/>
      <c r="FF37" s="953"/>
      <c r="FG37" s="953"/>
      <c r="FH37" s="953"/>
      <c r="FI37" s="953"/>
      <c r="FJ37" s="953"/>
      <c r="FK37" s="953"/>
      <c r="FL37" s="953"/>
      <c r="FM37" s="953"/>
      <c r="FN37" s="953"/>
      <c r="FO37" s="953"/>
      <c r="FP37" s="953"/>
      <c r="FQ37" s="953"/>
      <c r="FR37" s="953"/>
      <c r="FS37" s="953"/>
      <c r="FT37" s="953"/>
      <c r="FU37" s="953"/>
      <c r="FV37" s="953"/>
      <c r="FW37" s="953"/>
      <c r="FX37" s="953"/>
      <c r="FY37" s="953"/>
      <c r="FZ37" s="953"/>
      <c r="GA37" s="953"/>
      <c r="GB37" s="953"/>
      <c r="GC37" s="953"/>
      <c r="GD37" s="953"/>
      <c r="GE37" s="953"/>
      <c r="GF37" s="953"/>
      <c r="GG37" s="953"/>
      <c r="GH37" s="953"/>
      <c r="GI37" s="953"/>
      <c r="GJ37" s="953"/>
      <c r="GK37" s="953"/>
      <c r="GL37" s="953"/>
      <c r="GM37" s="953"/>
      <c r="GN37" s="953"/>
      <c r="GO37" s="953"/>
      <c r="GP37" s="953"/>
      <c r="GQ37" s="953"/>
      <c r="GR37" s="953"/>
      <c r="GS37" s="953"/>
      <c r="GT37" s="953"/>
      <c r="GU37" s="953"/>
      <c r="GV37" s="953"/>
      <c r="GW37" s="953"/>
      <c r="GX37" s="953"/>
      <c r="GY37" s="953"/>
      <c r="GZ37" s="953"/>
      <c r="HA37" s="953"/>
      <c r="HB37" s="953"/>
      <c r="HC37" s="953"/>
      <c r="HD37" s="953"/>
      <c r="HE37" s="953"/>
      <c r="HF37" s="953"/>
      <c r="HG37" s="953"/>
      <c r="HH37" s="953"/>
      <c r="HI37" s="953"/>
      <c r="HJ37" s="953"/>
      <c r="HK37" s="953"/>
      <c r="HL37" s="953"/>
      <c r="HM37" s="953"/>
      <c r="HN37" s="953"/>
      <c r="HO37" s="953"/>
      <c r="HP37" s="953"/>
      <c r="HQ37" s="953"/>
      <c r="HR37" s="953"/>
      <c r="HS37" s="953"/>
      <c r="HT37" s="953"/>
      <c r="HU37" s="953"/>
      <c r="HV37" s="953"/>
      <c r="HW37" s="953"/>
      <c r="HX37" s="953"/>
      <c r="HY37" s="953"/>
      <c r="HZ37" s="953"/>
      <c r="IA37" s="953"/>
      <c r="IB37" s="953"/>
      <c r="IC37" s="953"/>
      <c r="ID37" s="953"/>
      <c r="IE37" s="953"/>
      <c r="IF37" s="953"/>
      <c r="IG37" s="953"/>
      <c r="IH37" s="953"/>
      <c r="II37" s="953"/>
      <c r="IJ37" s="953"/>
      <c r="IK37" s="953"/>
      <c r="IL37" s="953"/>
      <c r="IM37" s="953"/>
      <c r="IN37" s="953"/>
      <c r="IO37" s="953"/>
      <c r="IP37" s="953"/>
      <c r="IQ37" s="953"/>
      <c r="IR37" s="953"/>
      <c r="IS37" s="953"/>
      <c r="IT37" s="953"/>
      <c r="IU37" s="953"/>
      <c r="IV37" s="953"/>
      <c r="IW37" s="953"/>
      <c r="IX37" s="953"/>
      <c r="IY37" s="953"/>
      <c r="IZ37" s="953"/>
      <c r="JA37" s="953"/>
      <c r="JB37" s="953"/>
      <c r="JC37" s="953"/>
      <c r="JD37" s="953"/>
      <c r="JE37" s="953"/>
      <c r="JF37" s="953"/>
      <c r="JG37" s="953"/>
      <c r="JH37" s="953"/>
      <c r="JI37" s="953"/>
      <c r="JJ37" s="953"/>
      <c r="JK37" s="953"/>
      <c r="JL37" s="953"/>
      <c r="JM37" s="953"/>
      <c r="JN37" s="953"/>
      <c r="JO37" s="953"/>
      <c r="JP37" s="953"/>
      <c r="JQ37" s="953"/>
      <c r="JR37" s="953"/>
      <c r="JS37" s="953"/>
      <c r="JT37" s="953"/>
      <c r="JU37" s="953"/>
      <c r="JV37" s="953"/>
      <c r="JW37" s="953"/>
      <c r="JX37" s="953"/>
      <c r="JY37" s="953"/>
      <c r="JZ37" s="953"/>
      <c r="KA37" s="953"/>
      <c r="KB37" s="953"/>
      <c r="KC37" s="953"/>
      <c r="KD37" s="953"/>
      <c r="KE37" s="953"/>
      <c r="KF37" s="953"/>
      <c r="KG37" s="953"/>
      <c r="KH37" s="953"/>
      <c r="KI37" s="953"/>
      <c r="KJ37" s="953"/>
      <c r="KK37" s="953"/>
      <c r="KL37" s="953"/>
      <c r="KM37" s="953"/>
      <c r="KN37" s="953"/>
      <c r="KO37" s="953"/>
      <c r="KP37" s="953"/>
      <c r="KQ37" s="953"/>
      <c r="KR37" s="953"/>
      <c r="KS37" s="953"/>
      <c r="KT37" s="953"/>
      <c r="KU37" s="953"/>
      <c r="KV37" s="953"/>
      <c r="KW37" s="953"/>
      <c r="KX37" s="953"/>
      <c r="KY37" s="953"/>
      <c r="KZ37" s="953"/>
      <c r="LA37" s="953"/>
      <c r="LB37" s="953"/>
      <c r="LC37" s="953"/>
      <c r="LD37" s="953"/>
      <c r="LE37" s="953"/>
      <c r="LF37" s="953"/>
      <c r="LG37" s="953"/>
      <c r="LH37" s="953"/>
      <c r="LI37" s="953"/>
      <c r="LJ37" s="953"/>
      <c r="LK37" s="953"/>
      <c r="LL37" s="953"/>
      <c r="LM37" s="953"/>
      <c r="LN37" s="953"/>
      <c r="LO37" s="953"/>
      <c r="LP37" s="953"/>
      <c r="LQ37" s="953"/>
      <c r="LR37" s="953"/>
      <c r="LS37" s="953"/>
      <c r="LT37" s="953"/>
      <c r="LU37" s="953"/>
      <c r="LV37" s="953"/>
      <c r="LW37" s="953"/>
      <c r="LX37" s="953"/>
      <c r="LY37" s="953"/>
      <c r="LZ37" s="953"/>
      <c r="MA37" s="953"/>
      <c r="MB37" s="953"/>
      <c r="MC37" s="953"/>
      <c r="MD37" s="953"/>
      <c r="ME37" s="953"/>
      <c r="MF37" s="953"/>
      <c r="MG37" s="953"/>
      <c r="MH37" s="953"/>
      <c r="MI37" s="953"/>
      <c r="MJ37" s="953"/>
      <c r="MK37" s="953"/>
      <c r="ML37" s="953"/>
      <c r="MM37" s="953"/>
      <c r="MN37" s="953"/>
      <c r="MO37" s="953"/>
      <c r="MP37" s="953"/>
      <c r="MQ37" s="953"/>
      <c r="MR37" s="953"/>
      <c r="MS37" s="953"/>
      <c r="MT37" s="953"/>
      <c r="MU37" s="953"/>
      <c r="MV37" s="953"/>
      <c r="MW37" s="953"/>
      <c r="MX37" s="953"/>
      <c r="MY37" s="953"/>
      <c r="MZ37" s="953"/>
      <c r="NA37" s="953"/>
      <c r="NB37" s="953"/>
      <c r="NC37" s="953"/>
      <c r="ND37" s="953"/>
      <c r="NE37" s="953"/>
      <c r="NF37" s="953"/>
      <c r="NG37" s="953"/>
      <c r="NH37" s="953"/>
      <c r="NI37" s="953"/>
      <c r="NJ37" s="953"/>
      <c r="NK37" s="953"/>
      <c r="NL37" s="953"/>
      <c r="NM37" s="953"/>
      <c r="NN37" s="953"/>
      <c r="NO37" s="953"/>
      <c r="NP37" s="953"/>
      <c r="NQ37" s="953"/>
      <c r="NR37" s="953"/>
      <c r="NS37" s="953"/>
      <c r="NT37" s="953"/>
      <c r="NU37" s="953"/>
      <c r="NV37" s="953"/>
      <c r="NW37" s="953"/>
      <c r="NX37" s="953"/>
      <c r="NY37" s="953"/>
      <c r="NZ37" s="953"/>
      <c r="OA37" s="953"/>
      <c r="OB37" s="953"/>
      <c r="OC37" s="953"/>
      <c r="OD37" s="953"/>
      <c r="OE37" s="953"/>
      <c r="OF37" s="953"/>
      <c r="OG37" s="953"/>
      <c r="OH37" s="953"/>
      <c r="OI37" s="953"/>
      <c r="OJ37" s="953"/>
      <c r="OK37" s="953"/>
      <c r="OL37" s="953"/>
      <c r="OM37" s="953"/>
      <c r="ON37" s="953"/>
      <c r="OO37" s="953"/>
      <c r="OP37" s="953"/>
      <c r="OQ37" s="953"/>
      <c r="OR37" s="953"/>
      <c r="OS37" s="953"/>
      <c r="OT37" s="953"/>
      <c r="OU37" s="953"/>
      <c r="OV37" s="953"/>
      <c r="OW37" s="953"/>
      <c r="OX37" s="953"/>
      <c r="OY37" s="953"/>
      <c r="OZ37" s="953"/>
      <c r="PA37" s="953"/>
      <c r="PB37" s="953"/>
      <c r="PC37" s="953"/>
      <c r="PD37" s="953"/>
      <c r="PE37" s="953"/>
      <c r="PF37" s="953"/>
      <c r="PG37" s="953"/>
      <c r="PH37" s="953"/>
      <c r="PI37" s="953"/>
      <c r="PJ37" s="953"/>
      <c r="PK37" s="953"/>
      <c r="PL37" s="953"/>
      <c r="PM37" s="953"/>
      <c r="PN37" s="953"/>
      <c r="PO37" s="953"/>
      <c r="PP37" s="953"/>
      <c r="PQ37" s="953"/>
      <c r="PR37" s="953"/>
      <c r="PS37" s="953"/>
      <c r="PT37" s="953"/>
      <c r="PU37" s="953"/>
      <c r="PV37" s="953"/>
      <c r="PW37" s="953"/>
      <c r="PX37" s="953"/>
      <c r="PY37" s="953"/>
      <c r="PZ37" s="953"/>
      <c r="QA37" s="953"/>
      <c r="QB37" s="953"/>
      <c r="QC37" s="953"/>
      <c r="QD37" s="953"/>
      <c r="QE37" s="953"/>
      <c r="QF37" s="953"/>
      <c r="QG37" s="953"/>
      <c r="QH37" s="953"/>
      <c r="QI37" s="953"/>
      <c r="QJ37" s="953"/>
      <c r="QK37" s="953"/>
      <c r="QL37" s="953"/>
      <c r="QM37" s="953"/>
      <c r="QN37" s="953"/>
      <c r="QO37" s="953"/>
      <c r="QP37" s="953"/>
      <c r="QQ37" s="953"/>
      <c r="QR37" s="953"/>
      <c r="QS37" s="953"/>
      <c r="QT37" s="953"/>
      <c r="QU37" s="953"/>
      <c r="QV37" s="953"/>
      <c r="QW37" s="953"/>
      <c r="QX37" s="953"/>
      <c r="QY37" s="953"/>
      <c r="QZ37" s="953"/>
      <c r="RA37" s="953"/>
      <c r="RB37" s="953"/>
      <c r="RC37" s="953"/>
      <c r="RD37" s="953"/>
      <c r="RE37" s="953"/>
      <c r="RF37" s="953"/>
      <c r="RG37" s="953"/>
      <c r="RH37" s="953"/>
      <c r="RI37" s="953"/>
      <c r="RJ37" s="953"/>
      <c r="RK37" s="953"/>
      <c r="RL37" s="953"/>
      <c r="RM37" s="953"/>
      <c r="RN37" s="953"/>
      <c r="RO37" s="953"/>
      <c r="RP37" s="953"/>
      <c r="RQ37" s="953"/>
      <c r="RR37" s="953"/>
      <c r="RS37" s="953"/>
      <c r="RT37" s="953"/>
      <c r="RU37" s="953"/>
      <c r="RV37" s="953"/>
      <c r="RW37" s="953"/>
      <c r="RX37" s="953"/>
      <c r="RY37" s="953"/>
      <c r="RZ37" s="953"/>
      <c r="SA37" s="953"/>
      <c r="SB37" s="953"/>
      <c r="SC37" s="953"/>
      <c r="SD37" s="953"/>
      <c r="SE37" s="953"/>
      <c r="SF37" s="953"/>
      <c r="SG37" s="953"/>
      <c r="SH37" s="953"/>
      <c r="SI37" s="953"/>
      <c r="SJ37" s="953"/>
      <c r="SK37" s="953"/>
      <c r="SL37" s="953"/>
      <c r="SM37" s="953"/>
      <c r="SN37" s="953"/>
      <c r="SO37" s="953"/>
      <c r="SP37" s="953"/>
      <c r="SQ37" s="953"/>
      <c r="SR37" s="953"/>
      <c r="SS37" s="953"/>
      <c r="ST37" s="953"/>
      <c r="SU37" s="953"/>
      <c r="SV37" s="953"/>
      <c r="SW37" s="953"/>
      <c r="SX37" s="953"/>
      <c r="SY37" s="953"/>
      <c r="SZ37" s="953"/>
      <c r="TA37" s="953"/>
      <c r="TB37" s="953"/>
      <c r="TC37" s="953"/>
      <c r="TD37" s="953"/>
      <c r="TE37" s="953"/>
      <c r="TF37" s="953"/>
      <c r="TG37" s="953"/>
      <c r="TH37" s="953"/>
      <c r="TI37" s="953"/>
      <c r="TJ37" s="953"/>
      <c r="TK37" s="953"/>
      <c r="TL37" s="953"/>
      <c r="TM37" s="953"/>
      <c r="TN37" s="953"/>
      <c r="TO37" s="953"/>
      <c r="TP37" s="953"/>
      <c r="TQ37" s="953"/>
      <c r="TR37" s="953"/>
      <c r="TS37" s="953"/>
      <c r="TT37" s="953"/>
      <c r="TU37" s="953"/>
      <c r="TV37" s="953"/>
      <c r="TW37" s="953"/>
      <c r="TX37" s="953"/>
      <c r="TY37" s="953"/>
      <c r="TZ37" s="953"/>
      <c r="UA37" s="953"/>
      <c r="UB37" s="953"/>
      <c r="UC37" s="953"/>
      <c r="UD37" s="953"/>
      <c r="UE37" s="953"/>
      <c r="UF37" s="953"/>
      <c r="UG37" s="953"/>
      <c r="UH37" s="953"/>
      <c r="UI37" s="953"/>
      <c r="UJ37" s="953"/>
      <c r="UK37" s="953"/>
      <c r="UL37" s="953"/>
      <c r="UM37" s="953"/>
      <c r="UN37" s="953"/>
      <c r="UO37" s="953"/>
      <c r="UP37" s="953"/>
      <c r="UQ37" s="953"/>
      <c r="UR37" s="953"/>
      <c r="US37" s="953"/>
      <c r="UT37" s="953"/>
      <c r="UU37" s="953"/>
      <c r="UV37" s="953"/>
      <c r="UW37" s="953"/>
      <c r="UX37" s="953"/>
      <c r="UY37" s="953"/>
      <c r="UZ37" s="953"/>
      <c r="VA37" s="953"/>
      <c r="VB37" s="953"/>
      <c r="VC37" s="953"/>
      <c r="VD37" s="953"/>
      <c r="VE37" s="953"/>
      <c r="VF37" s="953"/>
      <c r="VG37" s="953"/>
      <c r="VH37" s="953"/>
      <c r="VI37" s="953"/>
      <c r="VJ37" s="953"/>
      <c r="VK37" s="953"/>
      <c r="VL37" s="953"/>
      <c r="VM37" s="953"/>
      <c r="VN37" s="953"/>
      <c r="VO37" s="953"/>
      <c r="VP37" s="953"/>
      <c r="VQ37" s="953"/>
      <c r="VR37" s="953"/>
      <c r="VS37" s="953"/>
      <c r="VT37" s="953"/>
      <c r="VU37" s="953"/>
      <c r="VV37" s="953"/>
      <c r="VW37" s="953"/>
      <c r="VX37" s="953"/>
      <c r="VY37" s="953"/>
      <c r="VZ37" s="953"/>
      <c r="WA37" s="953"/>
      <c r="WB37" s="953"/>
      <c r="WC37" s="953"/>
      <c r="WD37" s="953"/>
      <c r="WE37" s="953"/>
      <c r="WF37" s="953"/>
      <c r="WG37" s="953"/>
      <c r="WH37" s="953"/>
      <c r="WI37" s="953"/>
      <c r="WJ37" s="953"/>
      <c r="WK37" s="953"/>
      <c r="WL37" s="953"/>
      <c r="WM37" s="953"/>
      <c r="WN37" s="953"/>
      <c r="WO37" s="953"/>
      <c r="WP37" s="953"/>
      <c r="WQ37" s="953"/>
      <c r="WR37" s="953"/>
      <c r="WS37" s="953"/>
      <c r="WT37" s="953"/>
      <c r="WU37" s="953"/>
      <c r="WV37" s="953"/>
      <c r="WW37" s="953"/>
      <c r="WX37" s="953"/>
      <c r="WY37" s="953"/>
      <c r="WZ37" s="953"/>
      <c r="XA37" s="953"/>
      <c r="XB37" s="953"/>
      <c r="XC37" s="953"/>
      <c r="XD37" s="953"/>
      <c r="XE37" s="953"/>
      <c r="XF37" s="953"/>
      <c r="XG37" s="953"/>
      <c r="XH37" s="953"/>
      <c r="XI37" s="953"/>
      <c r="XJ37" s="953"/>
      <c r="XK37" s="953"/>
      <c r="XL37" s="953"/>
      <c r="XM37" s="953"/>
      <c r="XN37" s="953"/>
      <c r="XO37" s="953"/>
      <c r="XP37" s="953"/>
      <c r="XQ37" s="953"/>
      <c r="XR37" s="953"/>
      <c r="XS37" s="953"/>
      <c r="XT37" s="953"/>
      <c r="XU37" s="953"/>
      <c r="XV37" s="953"/>
      <c r="XW37" s="953"/>
      <c r="XX37" s="953"/>
      <c r="XY37" s="953"/>
      <c r="XZ37" s="953"/>
      <c r="YA37" s="953"/>
      <c r="YB37" s="953"/>
      <c r="YC37" s="953"/>
      <c r="YD37" s="953"/>
      <c r="YE37" s="953"/>
      <c r="YF37" s="953"/>
      <c r="YG37" s="953"/>
      <c r="YH37" s="953"/>
      <c r="YI37" s="953"/>
      <c r="YJ37" s="953"/>
      <c r="YK37" s="953"/>
      <c r="YL37" s="953"/>
      <c r="YM37" s="953"/>
      <c r="YN37" s="953"/>
      <c r="YO37" s="953"/>
      <c r="YP37" s="953"/>
      <c r="YQ37" s="953"/>
      <c r="YR37" s="953"/>
      <c r="YS37" s="953"/>
      <c r="YT37" s="953"/>
      <c r="YU37" s="953"/>
      <c r="YV37" s="953"/>
      <c r="YW37" s="953"/>
      <c r="YX37" s="953"/>
      <c r="YY37" s="953"/>
      <c r="YZ37" s="953"/>
      <c r="ZA37" s="953"/>
      <c r="ZB37" s="953"/>
      <c r="ZC37" s="953"/>
      <c r="ZD37" s="953"/>
      <c r="ZE37" s="953"/>
      <c r="ZF37" s="953"/>
      <c r="ZG37" s="953"/>
      <c r="ZH37" s="953"/>
      <c r="ZI37" s="953"/>
      <c r="ZJ37" s="953"/>
      <c r="ZK37" s="953"/>
      <c r="ZL37" s="953"/>
      <c r="ZM37" s="953"/>
      <c r="ZN37" s="953"/>
      <c r="ZO37" s="953"/>
      <c r="ZP37" s="953"/>
      <c r="ZQ37" s="953"/>
      <c r="ZR37" s="953"/>
      <c r="ZS37" s="953"/>
      <c r="ZT37" s="953"/>
      <c r="ZU37" s="953"/>
      <c r="ZV37" s="953"/>
      <c r="ZW37" s="953"/>
      <c r="ZX37" s="953"/>
      <c r="ZY37" s="953"/>
      <c r="ZZ37" s="953"/>
      <c r="AAA37" s="953"/>
      <c r="AAB37" s="953"/>
      <c r="AAC37" s="953"/>
      <c r="AAD37" s="953"/>
      <c r="AAE37" s="953"/>
      <c r="AAF37" s="953"/>
      <c r="AAG37" s="953"/>
      <c r="AAH37" s="953"/>
      <c r="AAI37" s="953"/>
      <c r="AAJ37" s="953"/>
      <c r="AAK37" s="953"/>
      <c r="AAL37" s="953"/>
      <c r="AAM37" s="953"/>
      <c r="AAN37" s="953"/>
      <c r="AAO37" s="953"/>
      <c r="AAP37" s="953"/>
      <c r="AAQ37" s="953"/>
      <c r="AAR37" s="953"/>
      <c r="AAS37" s="953"/>
      <c r="AAT37" s="953"/>
      <c r="AAU37" s="953"/>
      <c r="AAV37" s="953"/>
      <c r="AAW37" s="953"/>
      <c r="AAX37" s="953"/>
      <c r="AAY37" s="953"/>
      <c r="AAZ37" s="953"/>
      <c r="ABA37" s="953"/>
      <c r="ABB37" s="953"/>
      <c r="ABC37" s="953"/>
      <c r="ABD37" s="953"/>
      <c r="ABE37" s="953"/>
      <c r="ABF37" s="953"/>
      <c r="ABG37" s="953"/>
      <c r="ABH37" s="953"/>
      <c r="ABI37" s="953"/>
      <c r="ABJ37" s="953"/>
      <c r="ABK37" s="953"/>
      <c r="ABL37" s="953"/>
      <c r="ABM37" s="953"/>
      <c r="ABN37" s="953"/>
      <c r="ABO37" s="953"/>
      <c r="ABP37" s="953"/>
      <c r="ABQ37" s="953"/>
      <c r="ABR37" s="953"/>
      <c r="ABS37" s="953"/>
      <c r="ABT37" s="953"/>
      <c r="ABU37" s="953"/>
      <c r="ABV37" s="953"/>
      <c r="ABW37" s="953"/>
      <c r="ABX37" s="953"/>
      <c r="ABY37" s="953"/>
      <c r="ABZ37" s="953"/>
      <c r="ACA37" s="953"/>
      <c r="ACB37" s="953"/>
      <c r="ACC37" s="953"/>
      <c r="ACD37" s="953"/>
      <c r="ACE37" s="953"/>
      <c r="ACF37" s="953"/>
      <c r="ACG37" s="953"/>
      <c r="ACH37" s="953"/>
      <c r="ACI37" s="953"/>
      <c r="ACJ37" s="953"/>
      <c r="ACK37" s="953"/>
      <c r="ACL37" s="953"/>
      <c r="ACM37" s="953"/>
      <c r="ACN37" s="953"/>
      <c r="ACO37" s="953"/>
      <c r="ACP37" s="953"/>
      <c r="ACQ37" s="953"/>
      <c r="ACR37" s="953"/>
      <c r="ACS37" s="953"/>
      <c r="ACT37" s="953"/>
      <c r="ACU37" s="953"/>
      <c r="ACV37" s="953"/>
      <c r="ACW37" s="953"/>
      <c r="ACX37" s="953"/>
      <c r="ACY37" s="953"/>
      <c r="ACZ37" s="953"/>
      <c r="ADA37" s="953"/>
      <c r="ADB37" s="953"/>
      <c r="ADC37" s="953"/>
      <c r="ADD37" s="953"/>
      <c r="ADE37" s="953"/>
      <c r="ADF37" s="953"/>
      <c r="ADG37" s="953"/>
      <c r="ADH37" s="953"/>
      <c r="ADI37" s="953"/>
      <c r="ADJ37" s="953"/>
      <c r="ADK37" s="953"/>
      <c r="ADL37" s="953"/>
      <c r="ADM37" s="953"/>
      <c r="ADN37" s="953"/>
      <c r="ADO37" s="953"/>
      <c r="ADP37" s="953"/>
      <c r="ADQ37" s="953"/>
      <c r="ADR37" s="953"/>
      <c r="ADS37" s="953"/>
      <c r="ADT37" s="953"/>
      <c r="ADU37" s="953"/>
      <c r="ADV37" s="953"/>
      <c r="ADW37" s="953"/>
      <c r="ADX37" s="953"/>
      <c r="ADY37" s="953"/>
      <c r="ADZ37" s="953"/>
      <c r="AEA37" s="953"/>
      <c r="AEB37" s="953"/>
      <c r="AEC37" s="953"/>
      <c r="AED37" s="953"/>
      <c r="AEE37" s="953"/>
      <c r="AEF37" s="953"/>
      <c r="AEG37" s="953"/>
      <c r="AEH37" s="953"/>
      <c r="AEI37" s="953"/>
      <c r="AEJ37" s="953"/>
      <c r="AEK37" s="953"/>
      <c r="AEL37" s="953"/>
      <c r="AEM37" s="953"/>
      <c r="AEN37" s="953"/>
      <c r="AEO37" s="953"/>
      <c r="AEP37" s="953"/>
      <c r="AEQ37" s="953"/>
      <c r="AER37" s="953"/>
      <c r="AES37" s="953"/>
      <c r="AET37" s="953"/>
      <c r="AEU37" s="953"/>
      <c r="AEV37" s="953"/>
      <c r="AEW37" s="953"/>
      <c r="AEX37" s="953"/>
      <c r="AEY37" s="953"/>
      <c r="AEZ37" s="953"/>
      <c r="AFA37" s="953"/>
      <c r="AFB37" s="953"/>
      <c r="AFC37" s="953"/>
      <c r="AFD37" s="953"/>
      <c r="AFE37" s="953"/>
      <c r="AFF37" s="953"/>
      <c r="AFG37" s="953"/>
      <c r="AFH37" s="953"/>
      <c r="AFI37" s="953"/>
      <c r="AFJ37" s="953"/>
      <c r="AFK37" s="953"/>
      <c r="AFL37" s="953"/>
      <c r="AFM37" s="953"/>
      <c r="AFN37" s="953"/>
      <c r="AFO37" s="953"/>
      <c r="AFP37" s="953"/>
      <c r="AFQ37" s="953"/>
      <c r="AFR37" s="953"/>
      <c r="AFS37" s="953"/>
      <c r="AFT37" s="953"/>
      <c r="AFU37" s="953"/>
      <c r="AFV37" s="953"/>
      <c r="AFW37" s="953"/>
      <c r="AFX37" s="953"/>
      <c r="AFY37" s="953"/>
      <c r="AFZ37" s="953"/>
      <c r="AGA37" s="953"/>
      <c r="AGB37" s="953"/>
      <c r="AGC37" s="953"/>
      <c r="AGD37" s="953"/>
      <c r="AGE37" s="953"/>
      <c r="AGF37" s="953"/>
      <c r="AGG37" s="953"/>
      <c r="AGH37" s="953"/>
      <c r="AGI37" s="953"/>
      <c r="AGJ37" s="953"/>
      <c r="AGK37" s="953"/>
      <c r="AGL37" s="953"/>
      <c r="AGM37" s="953"/>
      <c r="AGN37" s="953"/>
      <c r="AGO37" s="953"/>
      <c r="AGP37" s="953"/>
      <c r="AGQ37" s="953"/>
      <c r="AGR37" s="953"/>
      <c r="AGS37" s="953"/>
      <c r="AGT37" s="953"/>
      <c r="AGU37" s="953"/>
      <c r="AGV37" s="953"/>
      <c r="AGW37" s="953"/>
      <c r="AGX37" s="953"/>
      <c r="AGY37" s="953"/>
      <c r="AGZ37" s="953"/>
      <c r="AHA37" s="953"/>
      <c r="AHB37" s="953"/>
      <c r="AHC37" s="953"/>
      <c r="AHD37" s="953"/>
      <c r="AHE37" s="953"/>
      <c r="AHF37" s="953"/>
      <c r="AHG37" s="953"/>
      <c r="AHH37" s="953"/>
      <c r="AHI37" s="953"/>
      <c r="AHJ37" s="953"/>
      <c r="AHK37" s="953"/>
      <c r="AHL37" s="953"/>
      <c r="AHM37" s="953"/>
      <c r="AHN37" s="953"/>
      <c r="AHO37" s="953"/>
      <c r="AHP37" s="953"/>
      <c r="AHQ37" s="953"/>
      <c r="AHR37" s="953"/>
      <c r="AHS37" s="953"/>
      <c r="AHT37" s="953"/>
      <c r="AHU37" s="953"/>
      <c r="AHV37" s="953"/>
      <c r="AHW37" s="953"/>
      <c r="AHX37" s="953"/>
      <c r="AHY37" s="953"/>
      <c r="AHZ37" s="953"/>
      <c r="AIA37" s="953"/>
      <c r="AIB37" s="953"/>
      <c r="AIC37" s="953"/>
      <c r="AID37" s="953"/>
      <c r="AIE37" s="953"/>
      <c r="AIF37" s="953"/>
      <c r="AIG37" s="953"/>
      <c r="AIH37" s="953"/>
      <c r="AII37" s="953"/>
      <c r="AIJ37" s="953"/>
      <c r="AIK37" s="953"/>
      <c r="AIL37" s="953"/>
      <c r="AIM37" s="953"/>
      <c r="AIN37" s="953"/>
      <c r="AIO37" s="953"/>
      <c r="AIP37" s="953"/>
      <c r="AIQ37" s="953"/>
      <c r="AIR37" s="953"/>
      <c r="AIS37" s="953"/>
      <c r="AIT37" s="953"/>
      <c r="AIU37" s="953"/>
      <c r="AIV37" s="953"/>
      <c r="AIW37" s="953"/>
      <c r="AIX37" s="953"/>
      <c r="AIY37" s="953"/>
      <c r="AIZ37" s="953"/>
      <c r="AJA37" s="953"/>
      <c r="AJB37" s="953"/>
      <c r="AJC37" s="953"/>
      <c r="AJD37" s="953"/>
      <c r="AJE37" s="953"/>
      <c r="AJF37" s="953"/>
      <c r="AJG37" s="953"/>
      <c r="AJH37" s="953"/>
      <c r="AJI37" s="953"/>
      <c r="AJJ37" s="953"/>
      <c r="AJK37" s="953"/>
      <c r="AJL37" s="953"/>
      <c r="AJM37" s="953"/>
      <c r="AJN37" s="953"/>
      <c r="AJO37" s="953"/>
      <c r="AJP37" s="953"/>
      <c r="AJQ37" s="953"/>
      <c r="AJR37" s="953"/>
      <c r="AJS37" s="953"/>
      <c r="AJT37" s="953"/>
      <c r="AJU37" s="953"/>
      <c r="AJV37" s="953"/>
      <c r="AJW37" s="953"/>
      <c r="AJX37" s="953"/>
      <c r="AJY37" s="953"/>
      <c r="AJZ37" s="953"/>
      <c r="AKA37" s="953"/>
      <c r="AKB37" s="953"/>
      <c r="AKC37" s="953"/>
      <c r="AKD37" s="953"/>
      <c r="AKE37" s="953"/>
      <c r="AKF37" s="953"/>
      <c r="AKG37" s="953"/>
      <c r="AKH37" s="953"/>
      <c r="AKI37" s="953"/>
      <c r="AKJ37" s="953"/>
      <c r="AKK37" s="953"/>
      <c r="AKL37" s="953"/>
      <c r="AKM37" s="953"/>
      <c r="AKN37" s="953"/>
      <c r="AKO37" s="953"/>
      <c r="AKP37" s="953"/>
      <c r="AKQ37" s="953"/>
      <c r="AKR37" s="953"/>
      <c r="AKS37" s="953"/>
      <c r="AKT37" s="953"/>
      <c r="AKU37" s="953"/>
      <c r="AKV37" s="953"/>
      <c r="AKW37" s="953"/>
      <c r="AKX37" s="953"/>
      <c r="AKY37" s="953"/>
      <c r="AKZ37" s="953"/>
      <c r="ALA37" s="953"/>
      <c r="ALB37" s="953"/>
      <c r="ALC37" s="953"/>
      <c r="ALD37" s="953"/>
      <c r="ALE37" s="953"/>
      <c r="ALF37" s="953"/>
      <c r="ALG37" s="953"/>
      <c r="ALH37" s="953"/>
      <c r="ALI37" s="953"/>
      <c r="ALJ37" s="953"/>
      <c r="ALK37" s="953"/>
      <c r="ALL37" s="953"/>
      <c r="ALM37" s="953"/>
      <c r="ALN37" s="953"/>
      <c r="ALO37" s="953"/>
      <c r="ALP37" s="953"/>
      <c r="ALQ37" s="953"/>
      <c r="ALR37" s="953"/>
      <c r="ALS37" s="953"/>
      <c r="ALT37" s="953"/>
      <c r="ALU37" s="953"/>
      <c r="ALV37" s="953"/>
      <c r="ALW37" s="953"/>
      <c r="ALX37" s="953"/>
      <c r="ALY37" s="953"/>
      <c r="ALZ37" s="953"/>
      <c r="AMA37" s="953"/>
      <c r="AMB37" s="953"/>
      <c r="AMC37" s="953"/>
      <c r="AMD37" s="953"/>
      <c r="AME37" s="953"/>
      <c r="AMF37" s="953"/>
      <c r="AMG37" s="953"/>
      <c r="AMH37" s="953"/>
      <c r="AMI37" s="953"/>
      <c r="AMJ37" s="953"/>
      <c r="AMK37" s="953"/>
      <c r="AML37" s="953"/>
      <c r="AMM37" s="953"/>
      <c r="AMN37" s="953"/>
      <c r="AMO37" s="953"/>
      <c r="AMP37" s="953"/>
      <c r="AMQ37" s="953"/>
      <c r="AMR37" s="953"/>
      <c r="AMS37" s="953"/>
      <c r="AMT37" s="953"/>
      <c r="AMU37" s="953"/>
      <c r="AMV37" s="953"/>
      <c r="AMW37" s="953"/>
      <c r="AMX37" s="953"/>
      <c r="AMY37" s="953"/>
      <c r="AMZ37" s="953"/>
      <c r="ANA37" s="953"/>
      <c r="ANB37" s="953"/>
      <c r="ANC37" s="953"/>
      <c r="AND37" s="953"/>
      <c r="ANE37" s="953"/>
      <c r="ANF37" s="953"/>
      <c r="ANG37" s="953"/>
      <c r="ANH37" s="953"/>
      <c r="ANI37" s="953"/>
      <c r="ANJ37" s="953"/>
      <c r="ANK37" s="953"/>
      <c r="ANL37" s="953"/>
      <c r="ANM37" s="953"/>
      <c r="ANN37" s="953"/>
      <c r="ANO37" s="953"/>
      <c r="ANP37" s="953"/>
      <c r="ANQ37" s="953"/>
      <c r="ANR37" s="953"/>
      <c r="ANS37" s="953"/>
      <c r="ANT37" s="953"/>
      <c r="ANU37" s="953"/>
      <c r="ANV37" s="953"/>
      <c r="ANW37" s="953"/>
      <c r="ANX37" s="953"/>
      <c r="ANY37" s="953"/>
      <c r="ANZ37" s="953"/>
      <c r="AOA37" s="953"/>
      <c r="AOB37" s="953"/>
      <c r="AOC37" s="953"/>
      <c r="AOD37" s="953"/>
      <c r="AOE37" s="953"/>
      <c r="AOF37" s="953"/>
      <c r="AOG37" s="953"/>
      <c r="AOH37" s="953"/>
      <c r="AOI37" s="953"/>
      <c r="AOJ37" s="953"/>
      <c r="AOK37" s="953"/>
      <c r="AOL37" s="953"/>
      <c r="AOM37" s="953"/>
      <c r="AON37" s="953"/>
      <c r="AOO37" s="953"/>
      <c r="AOP37" s="953"/>
      <c r="AOQ37" s="953"/>
      <c r="AOR37" s="953"/>
      <c r="AOS37" s="953"/>
      <c r="AOT37" s="953"/>
      <c r="AOU37" s="953"/>
      <c r="AOV37" s="953"/>
      <c r="AOW37" s="953"/>
      <c r="AOX37" s="953"/>
      <c r="AOY37" s="953"/>
      <c r="AOZ37" s="953"/>
      <c r="APA37" s="953"/>
      <c r="APB37" s="953"/>
      <c r="APC37" s="953"/>
      <c r="APD37" s="953"/>
      <c r="APE37" s="953"/>
      <c r="APF37" s="953"/>
      <c r="APG37" s="953"/>
      <c r="APH37" s="953"/>
      <c r="API37" s="953"/>
      <c r="APJ37" s="953"/>
      <c r="APK37" s="953"/>
      <c r="APL37" s="953"/>
      <c r="APM37" s="953"/>
      <c r="APN37" s="953"/>
      <c r="APO37" s="953"/>
      <c r="APP37" s="953"/>
      <c r="APQ37" s="953"/>
      <c r="APR37" s="953"/>
      <c r="APS37" s="953"/>
      <c r="APT37" s="953"/>
      <c r="APU37" s="953"/>
      <c r="APV37" s="953"/>
      <c r="APW37" s="953"/>
      <c r="APX37" s="953"/>
      <c r="APY37" s="953"/>
      <c r="APZ37" s="953"/>
      <c r="AQA37" s="953"/>
      <c r="AQB37" s="953"/>
      <c r="AQC37" s="953"/>
      <c r="AQD37" s="953"/>
      <c r="AQE37" s="953"/>
      <c r="AQF37" s="953"/>
      <c r="AQG37" s="953"/>
      <c r="AQH37" s="953"/>
      <c r="AQI37" s="953"/>
      <c r="AQJ37" s="953"/>
      <c r="AQK37" s="953"/>
      <c r="AQL37" s="953"/>
      <c r="AQM37" s="953"/>
      <c r="AQN37" s="953"/>
      <c r="AQO37" s="953"/>
      <c r="AQP37" s="953"/>
      <c r="AQQ37" s="953"/>
      <c r="AQR37" s="953"/>
      <c r="AQS37" s="953"/>
      <c r="AQT37" s="953"/>
      <c r="AQU37" s="953"/>
      <c r="AQV37" s="953"/>
      <c r="AQW37" s="953"/>
      <c r="AQX37" s="953"/>
      <c r="AQY37" s="953"/>
      <c r="AQZ37" s="953"/>
      <c r="ARA37" s="953"/>
      <c r="ARB37" s="953"/>
      <c r="ARC37" s="953"/>
      <c r="ARD37" s="953"/>
      <c r="ARE37" s="953"/>
      <c r="ARF37" s="953"/>
      <c r="ARG37" s="953"/>
      <c r="ARH37" s="953"/>
      <c r="ARI37" s="953"/>
      <c r="ARJ37" s="953"/>
      <c r="ARK37" s="953"/>
      <c r="ARL37" s="953"/>
      <c r="ARM37" s="953"/>
      <c r="ARN37" s="953"/>
      <c r="ARO37" s="953"/>
      <c r="ARP37" s="953"/>
      <c r="ARQ37" s="953"/>
      <c r="ARR37" s="953"/>
      <c r="ARS37" s="953"/>
      <c r="ART37" s="953"/>
      <c r="ARU37" s="953"/>
      <c r="ARV37" s="953"/>
      <c r="ARW37" s="953"/>
      <c r="ARX37" s="953"/>
      <c r="ARY37" s="953"/>
      <c r="ARZ37" s="953"/>
      <c r="ASA37" s="953"/>
      <c r="ASB37" s="953"/>
      <c r="ASC37" s="953"/>
      <c r="ASD37" s="953"/>
      <c r="ASE37" s="953"/>
      <c r="ASF37" s="953"/>
      <c r="ASG37" s="953"/>
      <c r="ASH37" s="953"/>
      <c r="ASI37" s="953"/>
      <c r="ASJ37" s="953"/>
      <c r="ASK37" s="953"/>
      <c r="ASL37" s="953"/>
      <c r="ASM37" s="953"/>
      <c r="ASN37" s="953"/>
      <c r="ASO37" s="953"/>
      <c r="ASP37" s="953"/>
      <c r="ASQ37" s="953"/>
      <c r="ASR37" s="953"/>
      <c r="ASS37" s="953"/>
      <c r="AST37" s="953"/>
      <c r="ASU37" s="953"/>
      <c r="ASV37" s="953"/>
      <c r="ASW37" s="953"/>
      <c r="ASX37" s="953"/>
      <c r="ASY37" s="953"/>
      <c r="ASZ37" s="953"/>
      <c r="ATA37" s="953"/>
      <c r="ATB37" s="953"/>
      <c r="ATC37" s="953"/>
      <c r="ATD37" s="953"/>
      <c r="ATE37" s="953"/>
      <c r="ATF37" s="953"/>
      <c r="ATG37" s="953"/>
      <c r="ATH37" s="953"/>
      <c r="ATI37" s="953"/>
      <c r="ATJ37" s="953"/>
      <c r="ATK37" s="953"/>
      <c r="ATL37" s="953"/>
      <c r="ATM37" s="953"/>
      <c r="ATN37" s="953"/>
      <c r="ATO37" s="953"/>
      <c r="ATP37" s="953"/>
      <c r="ATQ37" s="953"/>
      <c r="ATR37" s="953"/>
      <c r="ATS37" s="953"/>
      <c r="ATT37" s="953"/>
      <c r="ATU37" s="953"/>
      <c r="ATV37" s="953"/>
      <c r="ATW37" s="953"/>
      <c r="ATX37" s="953"/>
      <c r="ATY37" s="953"/>
      <c r="ATZ37" s="953"/>
      <c r="AUA37" s="953"/>
      <c r="AUB37" s="953"/>
      <c r="AUC37" s="953"/>
      <c r="AUD37" s="953"/>
      <c r="AUE37" s="953"/>
      <c r="AUF37" s="953"/>
      <c r="AUG37" s="953"/>
      <c r="AUH37" s="953"/>
      <c r="AUI37" s="953"/>
      <c r="AUJ37" s="953"/>
      <c r="AUK37" s="953"/>
      <c r="AUL37" s="953"/>
      <c r="AUM37" s="953"/>
      <c r="AUN37" s="953"/>
      <c r="AUO37" s="953"/>
      <c r="AUP37" s="953"/>
      <c r="AUQ37" s="953"/>
      <c r="AUR37" s="953"/>
      <c r="AUS37" s="953"/>
      <c r="AUT37" s="953"/>
      <c r="AUU37" s="953"/>
      <c r="AUV37" s="953"/>
      <c r="AUW37" s="953"/>
      <c r="AUX37" s="953"/>
      <c r="AUY37" s="953"/>
      <c r="AUZ37" s="953"/>
      <c r="AVA37" s="953"/>
      <c r="AVB37" s="953"/>
      <c r="AVC37" s="953"/>
      <c r="AVD37" s="953"/>
      <c r="AVE37" s="953"/>
      <c r="AVF37" s="953"/>
      <c r="AVG37" s="953"/>
      <c r="AVH37" s="953"/>
      <c r="AVI37" s="953"/>
      <c r="AVJ37" s="953"/>
      <c r="AVK37" s="953"/>
      <c r="AVL37" s="953"/>
      <c r="AVM37" s="953"/>
      <c r="AVN37" s="953"/>
      <c r="AVO37" s="953"/>
      <c r="AVP37" s="953"/>
      <c r="AVQ37" s="953"/>
      <c r="AVR37" s="953"/>
      <c r="AVS37" s="953"/>
      <c r="AVT37" s="953"/>
      <c r="AVU37" s="953"/>
      <c r="AVV37" s="953"/>
      <c r="AVW37" s="953"/>
      <c r="AVX37" s="953"/>
      <c r="AVY37" s="953"/>
      <c r="AVZ37" s="953"/>
      <c r="AWA37" s="953"/>
      <c r="AWB37" s="953"/>
      <c r="AWC37" s="953"/>
      <c r="AWD37" s="953"/>
      <c r="AWE37" s="953"/>
      <c r="AWF37" s="953"/>
      <c r="AWG37" s="953"/>
      <c r="AWH37" s="953"/>
      <c r="AWI37" s="953"/>
      <c r="AWJ37" s="953"/>
      <c r="AWK37" s="953"/>
      <c r="AWL37" s="953"/>
      <c r="AWM37" s="953"/>
      <c r="AWN37" s="953"/>
      <c r="AWO37" s="953"/>
      <c r="AWP37" s="953"/>
      <c r="AWQ37" s="953"/>
      <c r="AWR37" s="953"/>
      <c r="AWS37" s="953"/>
      <c r="AWT37" s="953"/>
      <c r="AWU37" s="953"/>
      <c r="AWV37" s="953"/>
      <c r="AWW37" s="953"/>
      <c r="AWX37" s="953"/>
      <c r="AWY37" s="953"/>
      <c r="AWZ37" s="953"/>
      <c r="AXA37" s="953"/>
      <c r="AXB37" s="953"/>
      <c r="AXC37" s="953"/>
      <c r="AXD37" s="953"/>
      <c r="AXE37" s="953"/>
      <c r="AXF37" s="953"/>
      <c r="AXG37" s="953"/>
      <c r="AXH37" s="953"/>
      <c r="AXI37" s="953"/>
      <c r="AXJ37" s="953"/>
      <c r="AXK37" s="953"/>
      <c r="AXL37" s="953"/>
      <c r="AXM37" s="953"/>
      <c r="AXN37" s="953"/>
      <c r="AXO37" s="953"/>
      <c r="AXP37" s="953"/>
      <c r="AXQ37" s="953"/>
      <c r="AXR37" s="953"/>
      <c r="AXS37" s="953"/>
      <c r="AXT37" s="953"/>
      <c r="AXU37" s="953"/>
      <c r="AXV37" s="953"/>
      <c r="AXW37" s="953"/>
      <c r="AXX37" s="953"/>
      <c r="AXY37" s="953"/>
      <c r="AXZ37" s="953"/>
      <c r="AYA37" s="953"/>
      <c r="AYB37" s="953"/>
      <c r="AYC37" s="953"/>
      <c r="AYD37" s="953"/>
      <c r="AYE37" s="953"/>
      <c r="AYF37" s="953"/>
      <c r="AYG37" s="953"/>
      <c r="AYH37" s="953"/>
      <c r="AYI37" s="953"/>
      <c r="AYJ37" s="953"/>
      <c r="AYK37" s="953"/>
      <c r="AYL37" s="953"/>
      <c r="AYM37" s="953"/>
      <c r="AYN37" s="953"/>
      <c r="AYO37" s="953"/>
      <c r="AYP37" s="953"/>
      <c r="AYQ37" s="953"/>
      <c r="AYR37" s="953"/>
      <c r="AYS37" s="953"/>
      <c r="AYT37" s="953"/>
      <c r="AYU37" s="953"/>
      <c r="AYV37" s="953"/>
      <c r="AYW37" s="953"/>
      <c r="AYX37" s="953"/>
      <c r="AYY37" s="953"/>
      <c r="AYZ37" s="953"/>
      <c r="AZA37" s="953"/>
      <c r="AZB37" s="953"/>
      <c r="AZC37" s="953"/>
      <c r="AZD37" s="953"/>
      <c r="AZE37" s="953"/>
      <c r="AZF37" s="953"/>
      <c r="AZG37" s="953"/>
      <c r="AZH37" s="953"/>
      <c r="AZI37" s="953"/>
      <c r="AZJ37" s="953"/>
      <c r="AZK37" s="953"/>
      <c r="AZL37" s="953"/>
      <c r="AZM37" s="953"/>
      <c r="AZN37" s="953"/>
      <c r="AZO37" s="953"/>
      <c r="AZP37" s="953"/>
      <c r="AZQ37" s="953"/>
      <c r="AZR37" s="953"/>
      <c r="AZS37" s="953"/>
      <c r="AZT37" s="953"/>
      <c r="AZU37" s="953"/>
      <c r="AZV37" s="953"/>
      <c r="AZW37" s="953"/>
      <c r="AZX37" s="953"/>
      <c r="AZY37" s="953"/>
      <c r="AZZ37" s="953"/>
      <c r="BAA37" s="953"/>
      <c r="BAB37" s="953"/>
      <c r="BAC37" s="953"/>
      <c r="BAD37" s="953"/>
      <c r="BAE37" s="953"/>
      <c r="BAF37" s="953"/>
      <c r="BAG37" s="953"/>
      <c r="BAH37" s="953"/>
      <c r="BAI37" s="953"/>
      <c r="BAJ37" s="953"/>
      <c r="BAK37" s="953"/>
      <c r="BAL37" s="953"/>
      <c r="BAM37" s="953"/>
      <c r="BAN37" s="953"/>
      <c r="BAO37" s="953"/>
      <c r="BAP37" s="953"/>
      <c r="BAQ37" s="953"/>
      <c r="BAR37" s="953"/>
      <c r="BAS37" s="953"/>
      <c r="BAT37" s="953"/>
      <c r="BAU37" s="953"/>
      <c r="BAV37" s="953"/>
      <c r="BAW37" s="953"/>
      <c r="BAX37" s="953"/>
      <c r="BAY37" s="953"/>
      <c r="BAZ37" s="953"/>
      <c r="BBA37" s="953"/>
      <c r="BBB37" s="953"/>
      <c r="BBC37" s="953"/>
      <c r="BBD37" s="953"/>
      <c r="BBE37" s="953"/>
      <c r="BBF37" s="953"/>
      <c r="BBG37" s="953"/>
      <c r="BBH37" s="953"/>
      <c r="BBI37" s="953"/>
      <c r="BBJ37" s="953"/>
      <c r="BBK37" s="953"/>
      <c r="BBL37" s="953"/>
      <c r="BBM37" s="953"/>
      <c r="BBN37" s="953"/>
      <c r="BBO37" s="953"/>
      <c r="BBP37" s="953"/>
      <c r="BBQ37" s="953"/>
      <c r="BBR37" s="953"/>
      <c r="BBS37" s="953"/>
      <c r="BBT37" s="953"/>
      <c r="BBU37" s="953"/>
      <c r="BBV37" s="953"/>
      <c r="BBW37" s="953"/>
      <c r="BBX37" s="953"/>
      <c r="BBY37" s="953"/>
      <c r="BBZ37" s="953"/>
      <c r="BCA37" s="953"/>
      <c r="BCB37" s="953"/>
      <c r="BCC37" s="953"/>
      <c r="BCD37" s="953"/>
      <c r="BCE37" s="953"/>
      <c r="BCF37" s="953"/>
      <c r="BCG37" s="953"/>
      <c r="BCH37" s="953"/>
      <c r="BCI37" s="953"/>
      <c r="BCJ37" s="953"/>
      <c r="BCK37" s="953"/>
      <c r="BCL37" s="953"/>
      <c r="BCM37" s="953"/>
      <c r="BCN37" s="953"/>
      <c r="BCO37" s="953"/>
      <c r="BCP37" s="953"/>
      <c r="BCQ37" s="953"/>
      <c r="BCR37" s="953"/>
      <c r="BCS37" s="953"/>
      <c r="BCT37" s="953"/>
      <c r="BCU37" s="953"/>
      <c r="BCV37" s="953"/>
      <c r="BCW37" s="953"/>
      <c r="BCX37" s="953"/>
      <c r="BCY37" s="953"/>
      <c r="BCZ37" s="953"/>
      <c r="BDA37" s="953"/>
      <c r="BDB37" s="953"/>
      <c r="BDC37" s="953"/>
      <c r="BDD37" s="953"/>
      <c r="BDE37" s="953"/>
      <c r="BDF37" s="953"/>
      <c r="BDG37" s="953"/>
      <c r="BDH37" s="953"/>
      <c r="BDI37" s="953"/>
      <c r="BDJ37" s="953"/>
      <c r="BDK37" s="953"/>
      <c r="BDL37" s="953"/>
      <c r="BDM37" s="953"/>
      <c r="BDN37" s="953"/>
      <c r="BDO37" s="953"/>
      <c r="BDP37" s="953"/>
      <c r="BDQ37" s="953"/>
      <c r="BDR37" s="953"/>
      <c r="BDS37" s="953"/>
      <c r="BDT37" s="953"/>
      <c r="BDU37" s="953"/>
      <c r="BDV37" s="953"/>
      <c r="BDW37" s="953"/>
      <c r="BDX37" s="953"/>
      <c r="BDY37" s="953"/>
      <c r="BDZ37" s="953"/>
      <c r="BEA37" s="953"/>
      <c r="BEB37" s="953"/>
      <c r="BEC37" s="953"/>
      <c r="BED37" s="953"/>
      <c r="BEE37" s="953"/>
      <c r="BEF37" s="953"/>
      <c r="BEG37" s="953"/>
      <c r="BEH37" s="953"/>
      <c r="BEI37" s="953"/>
      <c r="BEJ37" s="953"/>
      <c r="BEK37" s="953"/>
      <c r="BEL37" s="953"/>
      <c r="BEM37" s="953"/>
      <c r="BEN37" s="953"/>
      <c r="BEO37" s="953"/>
      <c r="BEP37" s="953"/>
      <c r="BEQ37" s="953"/>
      <c r="BER37" s="953"/>
      <c r="BES37" s="953"/>
      <c r="BET37" s="953"/>
      <c r="BEU37" s="953"/>
      <c r="BEV37" s="953"/>
      <c r="BEW37" s="953"/>
      <c r="BEX37" s="953"/>
      <c r="BEY37" s="953"/>
      <c r="BEZ37" s="953"/>
      <c r="BFA37" s="953"/>
      <c r="BFB37" s="953"/>
      <c r="BFC37" s="953"/>
      <c r="BFD37" s="953"/>
      <c r="BFE37" s="953"/>
      <c r="BFF37" s="953"/>
      <c r="BFG37" s="953"/>
      <c r="BFH37" s="953"/>
      <c r="BFI37" s="953"/>
      <c r="BFJ37" s="953"/>
      <c r="BFK37" s="953"/>
      <c r="BFL37" s="953"/>
      <c r="BFM37" s="953"/>
      <c r="BFN37" s="953"/>
      <c r="BFO37" s="953"/>
      <c r="BFP37" s="953"/>
      <c r="BFQ37" s="953"/>
      <c r="BFR37" s="953"/>
      <c r="BFS37" s="953"/>
      <c r="BFT37" s="953"/>
      <c r="BFU37" s="953"/>
      <c r="BFV37" s="953"/>
      <c r="BFW37" s="953"/>
      <c r="BFX37" s="953"/>
      <c r="BFY37" s="953"/>
      <c r="BFZ37" s="953"/>
      <c r="BGA37" s="953"/>
      <c r="BGB37" s="953"/>
      <c r="BGC37" s="953"/>
      <c r="BGD37" s="953"/>
      <c r="BGE37" s="953"/>
      <c r="BGF37" s="953"/>
      <c r="BGG37" s="953"/>
      <c r="BGH37" s="953"/>
      <c r="BGI37" s="953"/>
      <c r="BGJ37" s="953"/>
      <c r="BGK37" s="953"/>
      <c r="BGL37" s="953"/>
      <c r="BGM37" s="953"/>
      <c r="BGN37" s="953"/>
      <c r="BGO37" s="953"/>
      <c r="BGP37" s="953"/>
      <c r="BGQ37" s="953"/>
      <c r="BGR37" s="953"/>
      <c r="BGS37" s="953"/>
      <c r="BGT37" s="953"/>
      <c r="BGU37" s="953"/>
      <c r="BGV37" s="953"/>
      <c r="BGW37" s="953"/>
      <c r="BGX37" s="953"/>
      <c r="BGY37" s="953"/>
      <c r="BGZ37" s="953"/>
      <c r="BHA37" s="953"/>
      <c r="BHB37" s="953"/>
      <c r="BHC37" s="953"/>
      <c r="BHD37" s="953"/>
      <c r="BHE37" s="953"/>
      <c r="BHF37" s="953"/>
      <c r="BHG37" s="953"/>
      <c r="BHH37" s="953"/>
      <c r="BHI37" s="953"/>
      <c r="BHJ37" s="953"/>
      <c r="BHK37" s="953"/>
      <c r="BHL37" s="953"/>
      <c r="BHM37" s="953"/>
      <c r="BHN37" s="953"/>
      <c r="BHO37" s="953"/>
      <c r="BHP37" s="953"/>
      <c r="BHQ37" s="953"/>
      <c r="BHR37" s="953"/>
      <c r="BHS37" s="953"/>
      <c r="BHT37" s="953"/>
      <c r="BHU37" s="953"/>
      <c r="BHV37" s="953"/>
      <c r="BHW37" s="953"/>
      <c r="BHX37" s="953"/>
      <c r="BHY37" s="953"/>
      <c r="BHZ37" s="953"/>
      <c r="BIA37" s="953"/>
      <c r="BIB37" s="953"/>
      <c r="BIC37" s="953"/>
      <c r="BID37" s="953"/>
      <c r="BIE37" s="953"/>
      <c r="BIF37" s="953"/>
      <c r="BIG37" s="953"/>
      <c r="BIH37" s="953"/>
      <c r="BII37" s="953"/>
      <c r="BIJ37" s="953"/>
      <c r="BIK37" s="953"/>
      <c r="BIL37" s="953"/>
      <c r="BIM37" s="953"/>
      <c r="BIN37" s="953"/>
      <c r="BIO37" s="953"/>
      <c r="BIP37" s="953"/>
      <c r="BIQ37" s="953"/>
      <c r="BIR37" s="953"/>
      <c r="BIS37" s="953"/>
      <c r="BIT37" s="953"/>
      <c r="BIU37" s="953"/>
      <c r="BIV37" s="953"/>
      <c r="BIW37" s="953"/>
      <c r="BIX37" s="953"/>
      <c r="BIY37" s="953"/>
      <c r="BIZ37" s="953"/>
      <c r="BJA37" s="953"/>
      <c r="BJB37" s="953"/>
      <c r="BJC37" s="953"/>
      <c r="BJD37" s="953"/>
      <c r="BJE37" s="953"/>
      <c r="BJF37" s="953"/>
      <c r="BJG37" s="953"/>
      <c r="BJH37" s="953"/>
      <c r="BJI37" s="953"/>
      <c r="BJJ37" s="953"/>
      <c r="BJK37" s="953"/>
      <c r="BJL37" s="953"/>
      <c r="BJM37" s="953"/>
      <c r="BJN37" s="953"/>
      <c r="BJO37" s="953"/>
      <c r="BJP37" s="953"/>
      <c r="BJQ37" s="953"/>
      <c r="BJR37" s="953"/>
      <c r="BJS37" s="953"/>
      <c r="BJT37" s="953"/>
      <c r="BJU37" s="953"/>
      <c r="BJV37" s="953"/>
      <c r="BJW37" s="953"/>
      <c r="BJX37" s="953"/>
      <c r="BJY37" s="953"/>
      <c r="BJZ37" s="953"/>
      <c r="BKA37" s="953"/>
      <c r="BKB37" s="953"/>
      <c r="BKC37" s="953"/>
      <c r="BKD37" s="953"/>
      <c r="BKE37" s="953"/>
      <c r="BKF37" s="953"/>
      <c r="BKG37" s="953"/>
      <c r="BKH37" s="953"/>
      <c r="BKI37" s="953"/>
      <c r="BKJ37" s="953"/>
      <c r="BKK37" s="953"/>
      <c r="BKL37" s="953"/>
      <c r="BKM37" s="953"/>
      <c r="BKN37" s="953"/>
      <c r="BKO37" s="953"/>
      <c r="BKP37" s="953"/>
      <c r="BKQ37" s="953"/>
      <c r="BKR37" s="953"/>
      <c r="BKS37" s="953"/>
      <c r="BKT37" s="953"/>
      <c r="BKU37" s="953"/>
      <c r="BKV37" s="953"/>
      <c r="BKW37" s="953"/>
      <c r="BKX37" s="953"/>
      <c r="BKY37" s="953"/>
      <c r="BKZ37" s="953"/>
      <c r="BLA37" s="953"/>
      <c r="BLB37" s="953"/>
      <c r="BLC37" s="953"/>
      <c r="BLD37" s="953"/>
      <c r="BLE37" s="953"/>
      <c r="BLF37" s="953"/>
      <c r="BLG37" s="953"/>
      <c r="BLH37" s="953"/>
      <c r="BLI37" s="953"/>
      <c r="BLJ37" s="953"/>
      <c r="BLK37" s="953"/>
      <c r="BLL37" s="953"/>
      <c r="BLM37" s="953"/>
      <c r="BLN37" s="953"/>
      <c r="BLO37" s="953"/>
      <c r="BLP37" s="953"/>
      <c r="BLQ37" s="953"/>
      <c r="BLR37" s="953"/>
      <c r="BLS37" s="953"/>
      <c r="BLT37" s="953"/>
      <c r="BLU37" s="953"/>
      <c r="BLV37" s="953"/>
      <c r="BLW37" s="953"/>
      <c r="BLX37" s="953"/>
      <c r="BLY37" s="953"/>
      <c r="BLZ37" s="953"/>
      <c r="BMA37" s="953"/>
      <c r="BMB37" s="953"/>
      <c r="BMC37" s="953"/>
      <c r="BMD37" s="953"/>
      <c r="BME37" s="953"/>
      <c r="BMF37" s="953"/>
      <c r="BMG37" s="953"/>
      <c r="BMH37" s="953"/>
      <c r="BMI37" s="953"/>
      <c r="BMJ37" s="953"/>
      <c r="BMK37" s="953"/>
      <c r="BML37" s="953"/>
      <c r="BMM37" s="953"/>
      <c r="BMN37" s="953"/>
      <c r="BMO37" s="953"/>
      <c r="BMP37" s="953"/>
      <c r="BMQ37" s="953"/>
      <c r="BMR37" s="953"/>
      <c r="BMS37" s="953"/>
      <c r="BMT37" s="953"/>
      <c r="BMU37" s="953"/>
      <c r="BMV37" s="953"/>
      <c r="BMW37" s="953"/>
      <c r="BMX37" s="953"/>
      <c r="BMY37" s="953"/>
      <c r="BMZ37" s="953"/>
      <c r="BNA37" s="953"/>
      <c r="BNB37" s="953"/>
      <c r="BNC37" s="953"/>
      <c r="BND37" s="953"/>
      <c r="BNE37" s="953"/>
      <c r="BNF37" s="953"/>
      <c r="BNG37" s="953"/>
      <c r="BNH37" s="953"/>
      <c r="BNI37" s="953"/>
      <c r="BNJ37" s="953"/>
      <c r="BNK37" s="953"/>
      <c r="BNL37" s="953"/>
      <c r="BNM37" s="953"/>
      <c r="BNN37" s="953"/>
      <c r="BNO37" s="953"/>
      <c r="BNP37" s="953"/>
      <c r="BNQ37" s="953"/>
      <c r="BNR37" s="953"/>
      <c r="BNS37" s="953"/>
      <c r="BNT37" s="953"/>
      <c r="BNU37" s="953"/>
      <c r="BNV37" s="953"/>
      <c r="BNW37" s="953"/>
      <c r="BNX37" s="953"/>
      <c r="BNY37" s="953"/>
      <c r="BNZ37" s="953"/>
      <c r="BOA37" s="953"/>
      <c r="BOB37" s="953"/>
      <c r="BOC37" s="953"/>
      <c r="BOD37" s="953"/>
      <c r="BOE37" s="953"/>
      <c r="BOF37" s="953"/>
      <c r="BOG37" s="953"/>
      <c r="BOH37" s="953"/>
      <c r="BOI37" s="953"/>
      <c r="BOJ37" s="953"/>
      <c r="BOK37" s="953"/>
      <c r="BOL37" s="953"/>
      <c r="BOM37" s="953"/>
      <c r="BON37" s="953"/>
      <c r="BOO37" s="953"/>
      <c r="BOP37" s="953"/>
      <c r="BOQ37" s="953"/>
      <c r="BOR37" s="953"/>
      <c r="BOS37" s="953"/>
      <c r="BOT37" s="953"/>
      <c r="BOU37" s="953"/>
      <c r="BOV37" s="953"/>
      <c r="BOW37" s="953"/>
      <c r="BOX37" s="953"/>
      <c r="BOY37" s="953"/>
      <c r="BOZ37" s="953"/>
      <c r="BPA37" s="953"/>
      <c r="BPB37" s="953"/>
      <c r="BPC37" s="953"/>
      <c r="BPD37" s="953"/>
      <c r="BPE37" s="953"/>
      <c r="BPF37" s="953"/>
      <c r="BPG37" s="953"/>
      <c r="BPH37" s="953"/>
      <c r="BPI37" s="953"/>
      <c r="BPJ37" s="953"/>
      <c r="BPK37" s="953"/>
      <c r="BPL37" s="953"/>
      <c r="BPM37" s="953"/>
      <c r="BPN37" s="953"/>
      <c r="BPO37" s="953"/>
      <c r="BPP37" s="953"/>
      <c r="BPQ37" s="953"/>
      <c r="BPR37" s="953"/>
      <c r="BPS37" s="953"/>
      <c r="BPT37" s="953"/>
      <c r="BPU37" s="953"/>
      <c r="BPV37" s="953"/>
      <c r="BPW37" s="953"/>
      <c r="BPX37" s="953"/>
      <c r="BPY37" s="953"/>
      <c r="BPZ37" s="953"/>
      <c r="BQA37" s="953"/>
      <c r="BQB37" s="953"/>
      <c r="BQC37" s="953"/>
      <c r="BQD37" s="953"/>
      <c r="BQE37" s="953"/>
      <c r="BQF37" s="953"/>
      <c r="BQG37" s="953"/>
      <c r="BQH37" s="953"/>
      <c r="BQI37" s="953"/>
      <c r="BQJ37" s="953"/>
      <c r="BQK37" s="953"/>
      <c r="BQL37" s="953"/>
      <c r="BQM37" s="953"/>
      <c r="BQN37" s="953"/>
      <c r="BQO37" s="953"/>
      <c r="BQP37" s="953"/>
      <c r="BQQ37" s="953"/>
      <c r="BQR37" s="953"/>
      <c r="BQS37" s="953"/>
      <c r="BQT37" s="953"/>
      <c r="BQU37" s="953"/>
      <c r="BQV37" s="953"/>
      <c r="BQW37" s="953"/>
      <c r="BQX37" s="953"/>
      <c r="BQY37" s="953"/>
      <c r="BQZ37" s="953"/>
      <c r="BRA37" s="953"/>
      <c r="BRB37" s="953"/>
      <c r="BRC37" s="953"/>
      <c r="BRD37" s="953"/>
      <c r="BRE37" s="953"/>
      <c r="BRF37" s="953"/>
      <c r="BRG37" s="953"/>
      <c r="BRH37" s="953"/>
      <c r="BRI37" s="953"/>
      <c r="BRJ37" s="953"/>
      <c r="BRK37" s="953"/>
      <c r="BRL37" s="953"/>
      <c r="BRM37" s="953"/>
      <c r="BRN37" s="953"/>
      <c r="BRO37" s="953"/>
      <c r="BRP37" s="953"/>
      <c r="BRQ37" s="953"/>
      <c r="BRR37" s="953"/>
      <c r="BRS37" s="953"/>
      <c r="BRT37" s="953"/>
      <c r="BRU37" s="953"/>
      <c r="BRV37" s="953"/>
      <c r="BRW37" s="953"/>
      <c r="BRX37" s="953"/>
      <c r="BRY37" s="953"/>
      <c r="BRZ37" s="953"/>
      <c r="BSA37" s="953"/>
      <c r="BSB37" s="953"/>
      <c r="BSC37" s="953"/>
      <c r="BSD37" s="953"/>
      <c r="BSE37" s="953"/>
      <c r="BSF37" s="953"/>
      <c r="BSG37" s="953"/>
      <c r="BSH37" s="953"/>
      <c r="BSI37" s="953"/>
      <c r="BSJ37" s="953"/>
      <c r="BSK37" s="953"/>
      <c r="BSL37" s="953"/>
      <c r="BSM37" s="953"/>
      <c r="BSN37" s="953"/>
      <c r="BSO37" s="953"/>
      <c r="BSP37" s="953"/>
      <c r="BSQ37" s="953"/>
      <c r="BSR37" s="953"/>
      <c r="BSS37" s="953"/>
      <c r="BST37" s="953"/>
      <c r="BSU37" s="953"/>
      <c r="BSV37" s="953"/>
      <c r="BSW37" s="953"/>
      <c r="BSX37" s="953"/>
      <c r="BSY37" s="953"/>
      <c r="BSZ37" s="953"/>
      <c r="BTA37" s="953"/>
      <c r="BTB37" s="953"/>
      <c r="BTC37" s="953"/>
      <c r="BTD37" s="953"/>
      <c r="BTE37" s="953"/>
      <c r="BTF37" s="953"/>
      <c r="BTG37" s="953"/>
      <c r="BTH37" s="953"/>
      <c r="BTI37" s="953"/>
      <c r="BTJ37" s="953"/>
      <c r="BTK37" s="953"/>
      <c r="BTL37" s="953"/>
      <c r="BTM37" s="953"/>
      <c r="BTN37" s="953"/>
      <c r="BTO37" s="953"/>
      <c r="BTP37" s="953"/>
      <c r="BTQ37" s="953"/>
      <c r="BTR37" s="953"/>
      <c r="BTS37" s="953"/>
      <c r="BTT37" s="953"/>
      <c r="BTU37" s="953"/>
      <c r="BTV37" s="953"/>
      <c r="BTW37" s="953"/>
      <c r="BTX37" s="953"/>
      <c r="BTY37" s="953"/>
      <c r="BTZ37" s="953"/>
      <c r="BUA37" s="953"/>
      <c r="BUB37" s="953"/>
      <c r="BUC37" s="953"/>
      <c r="BUD37" s="953"/>
      <c r="BUE37" s="953"/>
      <c r="BUF37" s="953"/>
      <c r="BUG37" s="953"/>
      <c r="BUH37" s="953"/>
      <c r="BUI37" s="953"/>
      <c r="BUJ37" s="953"/>
      <c r="BUK37" s="953"/>
      <c r="BUL37" s="953"/>
      <c r="BUM37" s="953"/>
      <c r="BUN37" s="953"/>
      <c r="BUO37" s="953"/>
      <c r="BUP37" s="953"/>
      <c r="BUQ37" s="953"/>
      <c r="BUR37" s="953"/>
      <c r="BUS37" s="953"/>
      <c r="BUT37" s="953"/>
      <c r="BUU37" s="953"/>
      <c r="BUV37" s="953"/>
      <c r="BUW37" s="953"/>
      <c r="BUX37" s="953"/>
      <c r="BUY37" s="953"/>
      <c r="BUZ37" s="953"/>
      <c r="BVA37" s="953"/>
      <c r="BVB37" s="953"/>
      <c r="BVC37" s="953"/>
      <c r="BVD37" s="953"/>
      <c r="BVE37" s="953"/>
      <c r="BVF37" s="953"/>
      <c r="BVG37" s="953"/>
      <c r="BVH37" s="953"/>
      <c r="BVI37" s="953"/>
      <c r="BVJ37" s="953"/>
      <c r="BVK37" s="953"/>
      <c r="BVL37" s="953"/>
      <c r="BVM37" s="953"/>
      <c r="BVN37" s="953"/>
      <c r="BVO37" s="953"/>
      <c r="BVP37" s="953"/>
      <c r="BVQ37" s="953"/>
      <c r="BVR37" s="953"/>
      <c r="BVS37" s="953"/>
      <c r="BVT37" s="953"/>
      <c r="BVU37" s="953"/>
      <c r="BVV37" s="953"/>
      <c r="BVW37" s="953"/>
      <c r="BVX37" s="953"/>
      <c r="BVY37" s="953"/>
      <c r="BVZ37" s="953"/>
      <c r="BWA37" s="953"/>
      <c r="BWB37" s="953"/>
      <c r="BWC37" s="953"/>
      <c r="BWD37" s="953"/>
      <c r="BWE37" s="953"/>
      <c r="BWF37" s="953"/>
      <c r="BWG37" s="953"/>
      <c r="BWH37" s="953"/>
      <c r="BWI37" s="953"/>
      <c r="BWJ37" s="953"/>
      <c r="BWK37" s="953"/>
      <c r="BWL37" s="953"/>
      <c r="BWM37" s="953"/>
      <c r="BWN37" s="953"/>
      <c r="BWO37" s="953"/>
      <c r="BWP37" s="953"/>
      <c r="BWQ37" s="953"/>
      <c r="BWR37" s="953"/>
      <c r="BWS37" s="953"/>
      <c r="BWT37" s="953"/>
      <c r="BWU37" s="953"/>
      <c r="BWV37" s="953"/>
      <c r="BWW37" s="953"/>
      <c r="BWX37" s="953"/>
      <c r="BWY37" s="953"/>
      <c r="BWZ37" s="953"/>
      <c r="BXA37" s="953"/>
      <c r="BXB37" s="953"/>
      <c r="BXC37" s="953"/>
      <c r="BXD37" s="953"/>
      <c r="BXE37" s="953"/>
      <c r="BXF37" s="953"/>
      <c r="BXG37" s="953"/>
      <c r="BXH37" s="953"/>
      <c r="BXI37" s="953"/>
      <c r="BXJ37" s="953"/>
      <c r="BXK37" s="953"/>
      <c r="BXL37" s="953"/>
      <c r="BXM37" s="953"/>
      <c r="BXN37" s="953"/>
      <c r="BXO37" s="953"/>
      <c r="BXP37" s="953"/>
      <c r="BXQ37" s="953"/>
      <c r="BXR37" s="953"/>
      <c r="BXS37" s="953"/>
      <c r="BXT37" s="953"/>
      <c r="BXU37" s="953"/>
      <c r="BXV37" s="953"/>
      <c r="BXW37" s="953"/>
      <c r="BXX37" s="953"/>
      <c r="BXY37" s="953"/>
      <c r="BXZ37" s="953"/>
      <c r="BYA37" s="953"/>
      <c r="BYB37" s="953"/>
      <c r="BYC37" s="953"/>
      <c r="BYD37" s="953"/>
      <c r="BYE37" s="953"/>
      <c r="BYF37" s="953"/>
      <c r="BYG37" s="953"/>
      <c r="BYH37" s="953"/>
      <c r="BYI37" s="953"/>
      <c r="BYJ37" s="953"/>
      <c r="BYK37" s="953"/>
      <c r="BYL37" s="953"/>
      <c r="BYM37" s="953"/>
      <c r="BYN37" s="953"/>
      <c r="BYO37" s="953"/>
      <c r="BYP37" s="953"/>
      <c r="BYQ37" s="953"/>
      <c r="BYR37" s="953"/>
      <c r="BYS37" s="953"/>
      <c r="BYT37" s="953"/>
      <c r="BYU37" s="953"/>
      <c r="BYV37" s="953"/>
      <c r="BYW37" s="953"/>
      <c r="BYX37" s="953"/>
      <c r="BYY37" s="953"/>
      <c r="BYZ37" s="953"/>
      <c r="BZA37" s="953"/>
      <c r="BZB37" s="953"/>
      <c r="BZC37" s="953"/>
      <c r="BZD37" s="953"/>
      <c r="BZE37" s="953"/>
      <c r="BZF37" s="953"/>
      <c r="BZG37" s="953"/>
      <c r="BZH37" s="953"/>
      <c r="BZI37" s="953"/>
      <c r="BZJ37" s="953"/>
      <c r="BZK37" s="953"/>
      <c r="BZL37" s="953"/>
      <c r="BZM37" s="953"/>
      <c r="BZN37" s="953"/>
      <c r="BZO37" s="953"/>
      <c r="BZP37" s="953"/>
      <c r="BZQ37" s="953"/>
      <c r="BZR37" s="953"/>
      <c r="BZS37" s="953"/>
      <c r="BZT37" s="953"/>
      <c r="BZU37" s="953"/>
      <c r="BZV37" s="953"/>
      <c r="BZW37" s="953"/>
      <c r="BZX37" s="953"/>
      <c r="BZY37" s="953"/>
      <c r="BZZ37" s="953"/>
      <c r="CAA37" s="953"/>
      <c r="CAB37" s="953"/>
      <c r="CAC37" s="953"/>
      <c r="CAD37" s="953"/>
      <c r="CAE37" s="953"/>
      <c r="CAF37" s="953"/>
      <c r="CAG37" s="953"/>
      <c r="CAH37" s="953"/>
      <c r="CAI37" s="953"/>
      <c r="CAJ37" s="953"/>
      <c r="CAK37" s="953"/>
      <c r="CAL37" s="953"/>
      <c r="CAM37" s="953"/>
      <c r="CAN37" s="953"/>
      <c r="CAO37" s="953"/>
      <c r="CAP37" s="953"/>
      <c r="CAQ37" s="953"/>
      <c r="CAR37" s="953"/>
      <c r="CAS37" s="953"/>
      <c r="CAT37" s="953"/>
      <c r="CAU37" s="953"/>
      <c r="CAV37" s="953"/>
      <c r="CAW37" s="953"/>
      <c r="CAX37" s="953"/>
      <c r="CAY37" s="953"/>
      <c r="CAZ37" s="953"/>
      <c r="CBA37" s="953"/>
      <c r="CBB37" s="953"/>
      <c r="CBC37" s="953"/>
      <c r="CBD37" s="953"/>
      <c r="CBE37" s="953"/>
      <c r="CBF37" s="953"/>
      <c r="CBG37" s="953"/>
      <c r="CBH37" s="953"/>
      <c r="CBI37" s="953"/>
      <c r="CBJ37" s="953"/>
      <c r="CBK37" s="953"/>
      <c r="CBL37" s="953"/>
      <c r="CBM37" s="953"/>
      <c r="CBN37" s="953"/>
      <c r="CBO37" s="953"/>
      <c r="CBP37" s="953"/>
      <c r="CBQ37" s="953"/>
      <c r="CBR37" s="953"/>
      <c r="CBS37" s="953"/>
      <c r="CBT37" s="953"/>
      <c r="CBU37" s="953"/>
      <c r="CBV37" s="953"/>
      <c r="CBW37" s="953"/>
      <c r="CBX37" s="953"/>
      <c r="CBY37" s="953"/>
      <c r="CBZ37" s="953"/>
      <c r="CCA37" s="953"/>
      <c r="CCB37" s="953"/>
      <c r="CCC37" s="953"/>
      <c r="CCD37" s="953"/>
      <c r="CCE37" s="953"/>
      <c r="CCF37" s="953"/>
      <c r="CCG37" s="953"/>
      <c r="CCH37" s="953"/>
      <c r="CCI37" s="953"/>
      <c r="CCJ37" s="953"/>
      <c r="CCK37" s="953"/>
      <c r="CCL37" s="953"/>
      <c r="CCM37" s="953"/>
      <c r="CCN37" s="953"/>
      <c r="CCO37" s="953"/>
      <c r="CCP37" s="953"/>
      <c r="CCQ37" s="953"/>
      <c r="CCR37" s="953"/>
      <c r="CCS37" s="953"/>
      <c r="CCT37" s="953"/>
      <c r="CCU37" s="953"/>
      <c r="CCV37" s="953"/>
      <c r="CCW37" s="953"/>
      <c r="CCX37" s="953"/>
      <c r="CCY37" s="953"/>
      <c r="CCZ37" s="953"/>
      <c r="CDA37" s="953"/>
      <c r="CDB37" s="953"/>
      <c r="CDC37" s="953"/>
      <c r="CDD37" s="953"/>
      <c r="CDE37" s="953"/>
      <c r="CDF37" s="953"/>
      <c r="CDG37" s="953"/>
      <c r="CDH37" s="953"/>
      <c r="CDI37" s="953"/>
      <c r="CDJ37" s="953"/>
      <c r="CDK37" s="953"/>
      <c r="CDL37" s="953"/>
      <c r="CDM37" s="953"/>
      <c r="CDN37" s="953"/>
      <c r="CDO37" s="953"/>
      <c r="CDP37" s="953"/>
      <c r="CDQ37" s="953"/>
      <c r="CDR37" s="953"/>
      <c r="CDS37" s="953"/>
      <c r="CDT37" s="953"/>
      <c r="CDU37" s="953"/>
      <c r="CDV37" s="953"/>
      <c r="CDW37" s="953"/>
      <c r="CDX37" s="953"/>
      <c r="CDY37" s="953"/>
      <c r="CDZ37" s="953"/>
      <c r="CEA37" s="953"/>
      <c r="CEB37" s="953"/>
      <c r="CEC37" s="953"/>
      <c r="CED37" s="953"/>
      <c r="CEE37" s="953"/>
      <c r="CEF37" s="953"/>
      <c r="CEG37" s="953"/>
      <c r="CEH37" s="953"/>
      <c r="CEI37" s="953"/>
      <c r="CEJ37" s="953"/>
      <c r="CEK37" s="953"/>
      <c r="CEL37" s="953"/>
      <c r="CEM37" s="953"/>
      <c r="CEN37" s="953"/>
      <c r="CEO37" s="953"/>
      <c r="CEP37" s="953"/>
      <c r="CEQ37" s="953"/>
      <c r="CER37" s="953"/>
      <c r="CES37" s="953"/>
      <c r="CET37" s="953"/>
      <c r="CEU37" s="953"/>
      <c r="CEV37" s="953"/>
      <c r="CEW37" s="953"/>
      <c r="CEX37" s="953"/>
      <c r="CEY37" s="953"/>
      <c r="CEZ37" s="953"/>
      <c r="CFA37" s="953"/>
      <c r="CFB37" s="953"/>
      <c r="CFC37" s="953"/>
      <c r="CFD37" s="953"/>
      <c r="CFE37" s="953"/>
      <c r="CFF37" s="953"/>
      <c r="CFG37" s="953"/>
      <c r="CFH37" s="953"/>
      <c r="CFI37" s="953"/>
      <c r="CFJ37" s="953"/>
      <c r="CFK37" s="953"/>
      <c r="CFL37" s="953"/>
      <c r="CFM37" s="953"/>
      <c r="CFN37" s="953"/>
      <c r="CFO37" s="953"/>
      <c r="CFP37" s="953"/>
      <c r="CFQ37" s="953"/>
      <c r="CFR37" s="953"/>
      <c r="CFS37" s="953"/>
      <c r="CFT37" s="953"/>
      <c r="CFU37" s="953"/>
      <c r="CFV37" s="953"/>
      <c r="CFW37" s="953"/>
      <c r="CFX37" s="953"/>
      <c r="CFY37" s="953"/>
      <c r="CFZ37" s="953"/>
      <c r="CGA37" s="953"/>
      <c r="CGB37" s="953"/>
      <c r="CGC37" s="953"/>
      <c r="CGD37" s="953"/>
      <c r="CGE37" s="953"/>
      <c r="CGF37" s="953"/>
      <c r="CGG37" s="953"/>
      <c r="CGH37" s="953"/>
      <c r="CGI37" s="953"/>
      <c r="CGJ37" s="953"/>
      <c r="CGK37" s="953"/>
      <c r="CGL37" s="953"/>
      <c r="CGM37" s="953"/>
      <c r="CGN37" s="953"/>
      <c r="CGO37" s="953"/>
      <c r="CGP37" s="953"/>
      <c r="CGQ37" s="953"/>
      <c r="CGR37" s="953"/>
      <c r="CGS37" s="953"/>
      <c r="CGT37" s="953"/>
      <c r="CGU37" s="953"/>
      <c r="CGV37" s="953"/>
      <c r="CGW37" s="953"/>
      <c r="CGX37" s="953"/>
      <c r="CGY37" s="953"/>
      <c r="CGZ37" s="953"/>
      <c r="CHA37" s="953"/>
      <c r="CHB37" s="953"/>
      <c r="CHC37" s="953"/>
      <c r="CHD37" s="953"/>
      <c r="CHE37" s="953"/>
      <c r="CHF37" s="953"/>
      <c r="CHG37" s="953"/>
      <c r="CHH37" s="953"/>
      <c r="CHI37" s="953"/>
      <c r="CHJ37" s="953"/>
      <c r="CHK37" s="953"/>
      <c r="CHL37" s="953"/>
      <c r="CHM37" s="953"/>
      <c r="CHN37" s="953"/>
      <c r="CHO37" s="953"/>
      <c r="CHP37" s="953"/>
      <c r="CHQ37" s="953"/>
      <c r="CHR37" s="953"/>
      <c r="CHS37" s="953"/>
      <c r="CHT37" s="953"/>
      <c r="CHU37" s="953"/>
      <c r="CHV37" s="953"/>
      <c r="CHW37" s="953"/>
      <c r="CHX37" s="953"/>
      <c r="CHY37" s="953"/>
      <c r="CHZ37" s="953"/>
      <c r="CIA37" s="953"/>
      <c r="CIB37" s="953"/>
      <c r="CIC37" s="953"/>
      <c r="CID37" s="953"/>
      <c r="CIE37" s="953"/>
      <c r="CIF37" s="953"/>
      <c r="CIG37" s="953"/>
      <c r="CIH37" s="953"/>
      <c r="CII37" s="953"/>
      <c r="CIJ37" s="953"/>
      <c r="CIK37" s="953"/>
      <c r="CIL37" s="953"/>
      <c r="CIM37" s="953"/>
      <c r="CIN37" s="953"/>
      <c r="CIO37" s="953"/>
      <c r="CIP37" s="953"/>
      <c r="CIQ37" s="953"/>
      <c r="CIR37" s="953"/>
      <c r="CIS37" s="953"/>
      <c r="CIT37" s="953"/>
      <c r="CIU37" s="953"/>
      <c r="CIV37" s="953"/>
      <c r="CIW37" s="953"/>
      <c r="CIX37" s="953"/>
      <c r="CIY37" s="953"/>
      <c r="CIZ37" s="953"/>
      <c r="CJA37" s="953"/>
      <c r="CJB37" s="953"/>
      <c r="CJC37" s="953"/>
      <c r="CJD37" s="953"/>
      <c r="CJE37" s="953"/>
      <c r="CJF37" s="953"/>
      <c r="CJG37" s="953"/>
      <c r="CJH37" s="953"/>
      <c r="CJI37" s="953"/>
      <c r="CJJ37" s="953"/>
      <c r="CJK37" s="953"/>
      <c r="CJL37" s="953"/>
      <c r="CJM37" s="953"/>
      <c r="CJN37" s="953"/>
      <c r="CJO37" s="953"/>
      <c r="CJP37" s="953"/>
      <c r="CJQ37" s="953"/>
      <c r="CJR37" s="953"/>
      <c r="CJS37" s="953"/>
      <c r="CJT37" s="953"/>
      <c r="CJU37" s="953"/>
      <c r="CJV37" s="953"/>
      <c r="CJW37" s="953"/>
      <c r="CJX37" s="953"/>
      <c r="CJY37" s="953"/>
      <c r="CJZ37" s="953"/>
      <c r="CKA37" s="953"/>
      <c r="CKB37" s="953"/>
      <c r="CKC37" s="953"/>
      <c r="CKD37" s="953"/>
      <c r="CKE37" s="953"/>
      <c r="CKF37" s="953"/>
      <c r="CKG37" s="953"/>
      <c r="CKH37" s="953"/>
      <c r="CKI37" s="953"/>
      <c r="CKJ37" s="953"/>
      <c r="CKK37" s="953"/>
      <c r="CKL37" s="953"/>
      <c r="CKM37" s="953"/>
      <c r="CKN37" s="953"/>
      <c r="CKO37" s="953"/>
      <c r="CKP37" s="953"/>
      <c r="CKQ37" s="953"/>
      <c r="CKR37" s="953"/>
      <c r="CKS37" s="953"/>
      <c r="CKT37" s="953"/>
      <c r="CKU37" s="953"/>
      <c r="CKV37" s="953"/>
      <c r="CKW37" s="953"/>
      <c r="CKX37" s="953"/>
      <c r="CKY37" s="953"/>
      <c r="CKZ37" s="953"/>
      <c r="CLA37" s="953"/>
      <c r="CLB37" s="953"/>
      <c r="CLC37" s="953"/>
      <c r="CLD37" s="953"/>
      <c r="CLE37" s="953"/>
      <c r="CLF37" s="953"/>
      <c r="CLG37" s="953"/>
      <c r="CLH37" s="953"/>
      <c r="CLI37" s="953"/>
      <c r="CLJ37" s="953"/>
      <c r="CLK37" s="953"/>
      <c r="CLL37" s="953"/>
      <c r="CLM37" s="953"/>
      <c r="CLN37" s="953"/>
      <c r="CLO37" s="953"/>
      <c r="CLP37" s="953"/>
      <c r="CLQ37" s="953"/>
      <c r="CLR37" s="953"/>
      <c r="CLS37" s="953"/>
      <c r="CLT37" s="953"/>
      <c r="CLU37" s="953"/>
      <c r="CLV37" s="953"/>
      <c r="CLW37" s="953"/>
      <c r="CLX37" s="953"/>
      <c r="CLY37" s="953"/>
      <c r="CLZ37" s="953"/>
      <c r="CMA37" s="953"/>
      <c r="CMB37" s="953"/>
      <c r="CMC37" s="953"/>
      <c r="CMD37" s="953"/>
      <c r="CME37" s="953"/>
      <c r="CMF37" s="953"/>
      <c r="CMG37" s="953"/>
      <c r="CMH37" s="953"/>
      <c r="CMI37" s="953"/>
      <c r="CMJ37" s="953"/>
      <c r="CMK37" s="953"/>
      <c r="CML37" s="953"/>
      <c r="CMM37" s="953"/>
      <c r="CMN37" s="953"/>
      <c r="CMO37" s="953"/>
      <c r="CMP37" s="953"/>
      <c r="CMQ37" s="953"/>
      <c r="CMR37" s="953"/>
      <c r="CMS37" s="953"/>
      <c r="CMT37" s="953"/>
      <c r="CMU37" s="953"/>
      <c r="CMV37" s="953"/>
      <c r="CMW37" s="953"/>
      <c r="CMX37" s="953"/>
      <c r="CMY37" s="953"/>
      <c r="CMZ37" s="953"/>
      <c r="CNA37" s="953"/>
      <c r="CNB37" s="953"/>
      <c r="CNC37" s="953"/>
      <c r="CND37" s="953"/>
      <c r="CNE37" s="953"/>
      <c r="CNF37" s="953"/>
      <c r="CNG37" s="953"/>
      <c r="CNH37" s="953"/>
      <c r="CNI37" s="953"/>
      <c r="CNJ37" s="953"/>
      <c r="CNK37" s="953"/>
      <c r="CNL37" s="953"/>
      <c r="CNM37" s="953"/>
      <c r="CNN37" s="953"/>
      <c r="CNO37" s="953"/>
      <c r="CNP37" s="953"/>
      <c r="CNQ37" s="953"/>
      <c r="CNR37" s="953"/>
      <c r="CNS37" s="953"/>
      <c r="CNT37" s="953"/>
      <c r="CNU37" s="953"/>
      <c r="CNV37" s="953"/>
      <c r="CNW37" s="953"/>
      <c r="CNX37" s="953"/>
      <c r="CNY37" s="953"/>
      <c r="CNZ37" s="953"/>
      <c r="COA37" s="953"/>
      <c r="COB37" s="953"/>
      <c r="COC37" s="953"/>
      <c r="COD37" s="953"/>
      <c r="COE37" s="953"/>
      <c r="COF37" s="953"/>
      <c r="COG37" s="953"/>
      <c r="COH37" s="953"/>
      <c r="COI37" s="953"/>
      <c r="COJ37" s="953"/>
      <c r="COK37" s="953"/>
      <c r="COL37" s="953"/>
      <c r="COM37" s="953"/>
      <c r="CON37" s="953"/>
      <c r="COO37" s="953"/>
      <c r="COP37" s="953"/>
      <c r="COQ37" s="953"/>
      <c r="COR37" s="953"/>
      <c r="COS37" s="953"/>
      <c r="COT37" s="953"/>
      <c r="COU37" s="953"/>
      <c r="COV37" s="953"/>
      <c r="COW37" s="953"/>
      <c r="COX37" s="953"/>
      <c r="COY37" s="953"/>
      <c r="COZ37" s="953"/>
      <c r="CPA37" s="953"/>
      <c r="CPB37" s="953"/>
      <c r="CPC37" s="953"/>
      <c r="CPD37" s="953"/>
      <c r="CPE37" s="953"/>
      <c r="CPF37" s="953"/>
      <c r="CPG37" s="953"/>
      <c r="CPH37" s="953"/>
      <c r="CPI37" s="953"/>
      <c r="CPJ37" s="953"/>
      <c r="CPK37" s="953"/>
      <c r="CPL37" s="953"/>
      <c r="CPM37" s="953"/>
      <c r="CPN37" s="953"/>
      <c r="CPO37" s="953"/>
      <c r="CPP37" s="953"/>
      <c r="CPQ37" s="953"/>
      <c r="CPR37" s="953"/>
      <c r="CPS37" s="953"/>
      <c r="CPT37" s="953"/>
      <c r="CPU37" s="953"/>
      <c r="CPV37" s="953"/>
      <c r="CPW37" s="953"/>
      <c r="CPX37" s="953"/>
      <c r="CPY37" s="953"/>
      <c r="CPZ37" s="953"/>
      <c r="CQA37" s="953"/>
      <c r="CQB37" s="953"/>
      <c r="CQC37" s="953"/>
      <c r="CQD37" s="953"/>
      <c r="CQE37" s="953"/>
      <c r="CQF37" s="953"/>
      <c r="CQG37" s="953"/>
      <c r="CQH37" s="953"/>
      <c r="CQI37" s="953"/>
      <c r="CQJ37" s="953"/>
      <c r="CQK37" s="953"/>
      <c r="CQL37" s="953"/>
      <c r="CQM37" s="953"/>
      <c r="CQN37" s="953"/>
      <c r="CQO37" s="953"/>
      <c r="CQP37" s="953"/>
      <c r="CQQ37" s="953"/>
      <c r="CQR37" s="953"/>
      <c r="CQS37" s="953"/>
      <c r="CQT37" s="953"/>
      <c r="CQU37" s="953"/>
      <c r="CQV37" s="953"/>
      <c r="CQW37" s="953"/>
      <c r="CQX37" s="953"/>
      <c r="CQY37" s="953"/>
      <c r="CQZ37" s="953"/>
      <c r="CRA37" s="953"/>
      <c r="CRB37" s="953"/>
      <c r="CRC37" s="953"/>
      <c r="CRD37" s="953"/>
      <c r="CRE37" s="953"/>
      <c r="CRF37" s="953"/>
      <c r="CRG37" s="953"/>
      <c r="CRH37" s="953"/>
      <c r="CRI37" s="953"/>
      <c r="CRJ37" s="953"/>
      <c r="CRK37" s="953"/>
      <c r="CRL37" s="953"/>
      <c r="CRM37" s="953"/>
      <c r="CRN37" s="953"/>
      <c r="CRO37" s="953"/>
      <c r="CRP37" s="953"/>
      <c r="CRQ37" s="953"/>
      <c r="CRR37" s="953"/>
      <c r="CRS37" s="953"/>
      <c r="CRT37" s="953"/>
      <c r="CRU37" s="953"/>
      <c r="CRV37" s="953"/>
      <c r="CRW37" s="953"/>
      <c r="CRX37" s="953"/>
      <c r="CRY37" s="953"/>
      <c r="CRZ37" s="953"/>
      <c r="CSA37" s="953"/>
      <c r="CSB37" s="953"/>
      <c r="CSC37" s="953"/>
      <c r="CSD37" s="953"/>
      <c r="CSE37" s="953"/>
      <c r="CSF37" s="953"/>
      <c r="CSG37" s="953"/>
      <c r="CSH37" s="953"/>
      <c r="CSI37" s="953"/>
      <c r="CSJ37" s="953"/>
      <c r="CSK37" s="953"/>
      <c r="CSL37" s="953"/>
      <c r="CSM37" s="953"/>
      <c r="CSN37" s="953"/>
      <c r="CSO37" s="953"/>
      <c r="CSP37" s="953"/>
      <c r="CSQ37" s="953"/>
      <c r="CSR37" s="953"/>
      <c r="CSS37" s="953"/>
      <c r="CST37" s="953"/>
      <c r="CSU37" s="953"/>
      <c r="CSV37" s="953"/>
      <c r="CSW37" s="953"/>
      <c r="CSX37" s="953"/>
      <c r="CSY37" s="953"/>
      <c r="CSZ37" s="953"/>
      <c r="CTA37" s="953"/>
      <c r="CTB37" s="953"/>
      <c r="CTC37" s="953"/>
      <c r="CTD37" s="953"/>
      <c r="CTE37" s="953"/>
      <c r="CTF37" s="953"/>
      <c r="CTG37" s="953"/>
      <c r="CTH37" s="953"/>
      <c r="CTI37" s="953"/>
      <c r="CTJ37" s="953"/>
      <c r="CTK37" s="953"/>
      <c r="CTL37" s="953"/>
      <c r="CTM37" s="953"/>
      <c r="CTN37" s="953"/>
      <c r="CTO37" s="953"/>
      <c r="CTP37" s="953"/>
      <c r="CTQ37" s="953"/>
      <c r="CTR37" s="953"/>
      <c r="CTS37" s="953"/>
      <c r="CTT37" s="953"/>
      <c r="CTU37" s="953"/>
      <c r="CTV37" s="953"/>
      <c r="CTW37" s="953"/>
      <c r="CTX37" s="953"/>
      <c r="CTY37" s="953"/>
      <c r="CTZ37" s="953"/>
      <c r="CUA37" s="953"/>
      <c r="CUB37" s="953"/>
      <c r="CUC37" s="953"/>
      <c r="CUD37" s="953"/>
      <c r="CUE37" s="953"/>
      <c r="CUF37" s="953"/>
      <c r="CUG37" s="953"/>
      <c r="CUH37" s="953"/>
      <c r="CUI37" s="953"/>
      <c r="CUJ37" s="953"/>
      <c r="CUK37" s="953"/>
      <c r="CUL37" s="953"/>
      <c r="CUM37" s="953"/>
      <c r="CUN37" s="953"/>
      <c r="CUO37" s="953"/>
      <c r="CUP37" s="953"/>
      <c r="CUQ37" s="953"/>
      <c r="CUR37" s="953"/>
      <c r="CUS37" s="953"/>
      <c r="CUT37" s="953"/>
      <c r="CUU37" s="953"/>
      <c r="CUV37" s="953"/>
      <c r="CUW37" s="953"/>
      <c r="CUX37" s="953"/>
      <c r="CUY37" s="953"/>
      <c r="CUZ37" s="953"/>
      <c r="CVA37" s="953"/>
      <c r="CVB37" s="953"/>
      <c r="CVC37" s="953"/>
      <c r="CVD37" s="953"/>
      <c r="CVE37" s="953"/>
      <c r="CVF37" s="953"/>
      <c r="CVG37" s="953"/>
      <c r="CVH37" s="953"/>
      <c r="CVI37" s="953"/>
      <c r="CVJ37" s="953"/>
      <c r="CVK37" s="953"/>
      <c r="CVL37" s="953"/>
      <c r="CVM37" s="953"/>
      <c r="CVN37" s="953"/>
      <c r="CVO37" s="953"/>
      <c r="CVP37" s="953"/>
      <c r="CVQ37" s="953"/>
      <c r="CVR37" s="953"/>
      <c r="CVS37" s="953"/>
      <c r="CVT37" s="953"/>
      <c r="CVU37" s="953"/>
      <c r="CVV37" s="953"/>
      <c r="CVW37" s="953"/>
      <c r="CVX37" s="953"/>
      <c r="CVY37" s="953"/>
      <c r="CVZ37" s="953"/>
      <c r="CWA37" s="953"/>
      <c r="CWB37" s="953"/>
      <c r="CWC37" s="953"/>
      <c r="CWD37" s="953"/>
      <c r="CWE37" s="953"/>
      <c r="CWF37" s="953"/>
      <c r="CWG37" s="953"/>
      <c r="CWH37" s="953"/>
      <c r="CWI37" s="953"/>
      <c r="CWJ37" s="953"/>
      <c r="CWK37" s="953"/>
      <c r="CWL37" s="953"/>
      <c r="CWM37" s="953"/>
      <c r="CWN37" s="953"/>
      <c r="CWO37" s="953"/>
      <c r="CWP37" s="953"/>
      <c r="CWQ37" s="953"/>
      <c r="CWR37" s="953"/>
      <c r="CWS37" s="953"/>
      <c r="CWT37" s="953"/>
      <c r="CWU37" s="953"/>
      <c r="CWV37" s="953"/>
      <c r="CWW37" s="953"/>
      <c r="CWX37" s="953"/>
      <c r="CWY37" s="953"/>
      <c r="CWZ37" s="953"/>
      <c r="CXA37" s="953"/>
      <c r="CXB37" s="953"/>
      <c r="CXC37" s="953"/>
      <c r="CXD37" s="953"/>
      <c r="CXE37" s="953"/>
      <c r="CXF37" s="953"/>
      <c r="CXG37" s="953"/>
      <c r="CXH37" s="953"/>
      <c r="CXI37" s="953"/>
      <c r="CXJ37" s="953"/>
      <c r="CXK37" s="953"/>
      <c r="CXL37" s="953"/>
      <c r="CXM37" s="953"/>
      <c r="CXN37" s="953"/>
      <c r="CXO37" s="953"/>
      <c r="CXP37" s="953"/>
      <c r="CXQ37" s="953"/>
      <c r="CXR37" s="953"/>
      <c r="CXS37" s="953"/>
      <c r="CXT37" s="953"/>
      <c r="CXU37" s="953"/>
      <c r="CXV37" s="953"/>
      <c r="CXW37" s="953"/>
      <c r="CXX37" s="953"/>
      <c r="CXY37" s="953"/>
      <c r="CXZ37" s="953"/>
      <c r="CYA37" s="953"/>
      <c r="CYB37" s="953"/>
      <c r="CYC37" s="953"/>
      <c r="CYD37" s="953"/>
      <c r="CYE37" s="953"/>
      <c r="CYF37" s="953"/>
      <c r="CYG37" s="953"/>
      <c r="CYH37" s="953"/>
      <c r="CYI37" s="953"/>
      <c r="CYJ37" s="953"/>
      <c r="CYK37" s="953"/>
      <c r="CYL37" s="953"/>
      <c r="CYM37" s="953"/>
      <c r="CYN37" s="953"/>
      <c r="CYO37" s="953"/>
      <c r="CYP37" s="953"/>
      <c r="CYQ37" s="953"/>
      <c r="CYR37" s="953"/>
      <c r="CYS37" s="953"/>
      <c r="CYT37" s="953"/>
      <c r="CYU37" s="953"/>
      <c r="CYV37" s="953"/>
      <c r="CYW37" s="953"/>
      <c r="CYX37" s="953"/>
      <c r="CYY37" s="953"/>
      <c r="CYZ37" s="953"/>
      <c r="CZA37" s="953"/>
      <c r="CZB37" s="953"/>
      <c r="CZC37" s="953"/>
      <c r="CZD37" s="953"/>
      <c r="CZE37" s="953"/>
      <c r="CZF37" s="953"/>
      <c r="CZG37" s="953"/>
      <c r="CZH37" s="953"/>
      <c r="CZI37" s="953"/>
      <c r="CZJ37" s="953"/>
      <c r="CZK37" s="953"/>
      <c r="CZL37" s="953"/>
      <c r="CZM37" s="953"/>
      <c r="CZN37" s="953"/>
      <c r="CZO37" s="953"/>
      <c r="CZP37" s="953"/>
      <c r="CZQ37" s="953"/>
      <c r="CZR37" s="953"/>
      <c r="CZS37" s="953"/>
      <c r="CZT37" s="953"/>
      <c r="CZU37" s="953"/>
      <c r="CZV37" s="953"/>
      <c r="CZW37" s="953"/>
      <c r="CZX37" s="953"/>
      <c r="CZY37" s="953"/>
      <c r="CZZ37" s="953"/>
      <c r="DAA37" s="953"/>
      <c r="DAB37" s="953"/>
      <c r="DAC37" s="953"/>
      <c r="DAD37" s="953"/>
      <c r="DAE37" s="953"/>
      <c r="DAF37" s="953"/>
      <c r="DAG37" s="953"/>
      <c r="DAH37" s="953"/>
      <c r="DAI37" s="953"/>
      <c r="DAJ37" s="953"/>
      <c r="DAK37" s="953"/>
      <c r="DAL37" s="953"/>
      <c r="DAM37" s="953"/>
      <c r="DAN37" s="953"/>
      <c r="DAO37" s="953"/>
      <c r="DAP37" s="953"/>
      <c r="DAQ37" s="953"/>
      <c r="DAR37" s="953"/>
      <c r="DAS37" s="953"/>
      <c r="DAT37" s="953"/>
      <c r="DAU37" s="953"/>
      <c r="DAV37" s="953"/>
      <c r="DAW37" s="953"/>
      <c r="DAX37" s="953"/>
      <c r="DAY37" s="953"/>
      <c r="DAZ37" s="953"/>
      <c r="DBA37" s="953"/>
      <c r="DBB37" s="953"/>
      <c r="DBC37" s="953"/>
      <c r="DBD37" s="953"/>
      <c r="DBE37" s="953"/>
      <c r="DBF37" s="953"/>
      <c r="DBG37" s="953"/>
      <c r="DBH37" s="953"/>
      <c r="DBI37" s="953"/>
      <c r="DBJ37" s="953"/>
      <c r="DBK37" s="953"/>
      <c r="DBL37" s="953"/>
      <c r="DBM37" s="953"/>
      <c r="DBN37" s="953"/>
      <c r="DBO37" s="953"/>
      <c r="DBP37" s="953"/>
      <c r="DBQ37" s="953"/>
      <c r="DBR37" s="953"/>
      <c r="DBS37" s="953"/>
      <c r="DBT37" s="953"/>
      <c r="DBU37" s="953"/>
      <c r="DBV37" s="953"/>
      <c r="DBW37" s="953"/>
      <c r="DBX37" s="953"/>
      <c r="DBY37" s="953"/>
      <c r="DBZ37" s="953"/>
      <c r="DCA37" s="953"/>
      <c r="DCB37" s="953"/>
      <c r="DCC37" s="953"/>
      <c r="DCD37" s="953"/>
      <c r="DCE37" s="953"/>
      <c r="DCF37" s="953"/>
      <c r="DCG37" s="953"/>
      <c r="DCH37" s="953"/>
      <c r="DCI37" s="953"/>
      <c r="DCJ37" s="953"/>
      <c r="DCK37" s="953"/>
      <c r="DCL37" s="953"/>
      <c r="DCM37" s="953"/>
      <c r="DCN37" s="953"/>
      <c r="DCO37" s="953"/>
      <c r="DCP37" s="953"/>
      <c r="DCQ37" s="953"/>
      <c r="DCR37" s="953"/>
      <c r="DCS37" s="953"/>
      <c r="DCT37" s="953"/>
      <c r="DCU37" s="953"/>
      <c r="DCV37" s="953"/>
      <c r="DCW37" s="953"/>
      <c r="DCX37" s="953"/>
      <c r="DCY37" s="953"/>
      <c r="DCZ37" s="953"/>
      <c r="DDA37" s="953"/>
      <c r="DDB37" s="953"/>
      <c r="DDC37" s="953"/>
      <c r="DDD37" s="953"/>
      <c r="DDE37" s="953"/>
      <c r="DDF37" s="953"/>
      <c r="DDG37" s="953"/>
      <c r="DDH37" s="953"/>
      <c r="DDI37" s="953"/>
      <c r="DDJ37" s="953"/>
      <c r="DDK37" s="953"/>
      <c r="DDL37" s="953"/>
      <c r="DDM37" s="953"/>
      <c r="DDN37" s="953"/>
      <c r="DDO37" s="953"/>
      <c r="DDP37" s="953"/>
      <c r="DDQ37" s="953"/>
      <c r="DDR37" s="953"/>
      <c r="DDS37" s="953"/>
      <c r="DDT37" s="953"/>
      <c r="DDU37" s="953"/>
      <c r="DDV37" s="953"/>
      <c r="DDW37" s="953"/>
      <c r="DDX37" s="953"/>
      <c r="DDY37" s="953"/>
      <c r="DDZ37" s="953"/>
      <c r="DEA37" s="953"/>
      <c r="DEB37" s="953"/>
      <c r="DEC37" s="953"/>
      <c r="DED37" s="953"/>
      <c r="DEE37" s="953"/>
      <c r="DEF37" s="953"/>
      <c r="DEG37" s="953"/>
      <c r="DEH37" s="953"/>
      <c r="DEI37" s="953"/>
      <c r="DEJ37" s="953"/>
      <c r="DEK37" s="953"/>
      <c r="DEL37" s="953"/>
      <c r="DEM37" s="953"/>
      <c r="DEN37" s="953"/>
      <c r="DEO37" s="953"/>
      <c r="DEP37" s="953"/>
      <c r="DEQ37" s="953"/>
      <c r="DER37" s="953"/>
      <c r="DES37" s="953"/>
      <c r="DET37" s="953"/>
      <c r="DEU37" s="953"/>
      <c r="DEV37" s="953"/>
      <c r="DEW37" s="953"/>
      <c r="DEX37" s="953"/>
      <c r="DEY37" s="953"/>
      <c r="DEZ37" s="953"/>
      <c r="DFA37" s="953"/>
      <c r="DFB37" s="953"/>
      <c r="DFC37" s="953"/>
      <c r="DFD37" s="953"/>
      <c r="DFE37" s="953"/>
      <c r="DFF37" s="953"/>
      <c r="DFG37" s="953"/>
      <c r="DFH37" s="953"/>
      <c r="DFI37" s="953"/>
      <c r="DFJ37" s="953"/>
      <c r="DFK37" s="953"/>
      <c r="DFL37" s="953"/>
      <c r="DFM37" s="953"/>
      <c r="DFN37" s="953"/>
      <c r="DFO37" s="953"/>
      <c r="DFP37" s="953"/>
      <c r="DFQ37" s="953"/>
      <c r="DFR37" s="953"/>
      <c r="DFS37" s="953"/>
      <c r="DFT37" s="953"/>
      <c r="DFU37" s="953"/>
      <c r="DFV37" s="953"/>
      <c r="DFW37" s="953"/>
      <c r="DFX37" s="953"/>
      <c r="DFY37" s="953"/>
      <c r="DFZ37" s="953"/>
      <c r="DGA37" s="953"/>
      <c r="DGB37" s="953"/>
      <c r="DGC37" s="953"/>
      <c r="DGD37" s="953"/>
      <c r="DGE37" s="953"/>
      <c r="DGF37" s="953"/>
      <c r="DGG37" s="953"/>
      <c r="DGH37" s="953"/>
      <c r="DGI37" s="953"/>
      <c r="DGJ37" s="953"/>
      <c r="DGK37" s="953"/>
      <c r="DGL37" s="953"/>
      <c r="DGM37" s="953"/>
      <c r="DGN37" s="953"/>
      <c r="DGO37" s="953"/>
      <c r="DGP37" s="953"/>
      <c r="DGQ37" s="953"/>
      <c r="DGR37" s="953"/>
      <c r="DGS37" s="953"/>
      <c r="DGT37" s="953"/>
      <c r="DGU37" s="953"/>
      <c r="DGV37" s="953"/>
      <c r="DGW37" s="953"/>
      <c r="DGX37" s="953"/>
      <c r="DGY37" s="953"/>
      <c r="DGZ37" s="953"/>
      <c r="DHA37" s="953"/>
      <c r="DHB37" s="953"/>
      <c r="DHC37" s="953"/>
      <c r="DHD37" s="953"/>
      <c r="DHE37" s="953"/>
      <c r="DHF37" s="953"/>
      <c r="DHG37" s="953"/>
      <c r="DHH37" s="953"/>
      <c r="DHI37" s="953"/>
      <c r="DHJ37" s="953"/>
      <c r="DHK37" s="953"/>
      <c r="DHL37" s="953"/>
      <c r="DHM37" s="953"/>
      <c r="DHN37" s="953"/>
      <c r="DHO37" s="953"/>
      <c r="DHP37" s="953"/>
      <c r="DHQ37" s="953"/>
      <c r="DHR37" s="953"/>
      <c r="DHS37" s="953"/>
      <c r="DHT37" s="953"/>
      <c r="DHU37" s="953"/>
      <c r="DHV37" s="953"/>
      <c r="DHW37" s="953"/>
      <c r="DHX37" s="953"/>
      <c r="DHY37" s="953"/>
      <c r="DHZ37" s="953"/>
      <c r="DIA37" s="953"/>
      <c r="DIB37" s="953"/>
      <c r="DIC37" s="953"/>
      <c r="DID37" s="953"/>
      <c r="DIE37" s="953"/>
      <c r="DIF37" s="953"/>
      <c r="DIG37" s="953"/>
      <c r="DIH37" s="953"/>
      <c r="DII37" s="953"/>
      <c r="DIJ37" s="953"/>
      <c r="DIK37" s="953"/>
      <c r="DIL37" s="953"/>
      <c r="DIM37" s="953"/>
      <c r="DIN37" s="953"/>
      <c r="DIO37" s="953"/>
      <c r="DIP37" s="953"/>
      <c r="DIQ37" s="953"/>
      <c r="DIR37" s="953"/>
      <c r="DIS37" s="953"/>
      <c r="DIT37" s="953"/>
      <c r="DIU37" s="953"/>
      <c r="DIV37" s="953"/>
      <c r="DIW37" s="953"/>
      <c r="DIX37" s="953"/>
      <c r="DIY37" s="953"/>
      <c r="DIZ37" s="953"/>
      <c r="DJA37" s="953"/>
      <c r="DJB37" s="953"/>
      <c r="DJC37" s="953"/>
      <c r="DJD37" s="953"/>
      <c r="DJE37" s="953"/>
      <c r="DJF37" s="953"/>
      <c r="DJG37" s="953"/>
      <c r="DJH37" s="953"/>
      <c r="DJI37" s="953"/>
      <c r="DJJ37" s="953"/>
      <c r="DJK37" s="953"/>
      <c r="DJL37" s="953"/>
      <c r="DJM37" s="953"/>
      <c r="DJN37" s="953"/>
      <c r="DJO37" s="953"/>
      <c r="DJP37" s="953"/>
      <c r="DJQ37" s="953"/>
      <c r="DJR37" s="953"/>
      <c r="DJS37" s="953"/>
      <c r="DJT37" s="953"/>
      <c r="DJU37" s="953"/>
      <c r="DJV37" s="953"/>
      <c r="DJW37" s="953"/>
      <c r="DJX37" s="953"/>
      <c r="DJY37" s="953"/>
      <c r="DJZ37" s="953"/>
      <c r="DKA37" s="953"/>
      <c r="DKB37" s="953"/>
      <c r="DKC37" s="953"/>
      <c r="DKD37" s="953"/>
      <c r="DKE37" s="953"/>
      <c r="DKF37" s="953"/>
      <c r="DKG37" s="953"/>
      <c r="DKH37" s="953"/>
      <c r="DKI37" s="953"/>
      <c r="DKJ37" s="953"/>
      <c r="DKK37" s="953"/>
      <c r="DKL37" s="953"/>
      <c r="DKM37" s="953"/>
      <c r="DKN37" s="953"/>
      <c r="DKO37" s="953"/>
      <c r="DKP37" s="953"/>
      <c r="DKQ37" s="953"/>
      <c r="DKR37" s="953"/>
      <c r="DKS37" s="953"/>
      <c r="DKT37" s="953"/>
      <c r="DKU37" s="953"/>
      <c r="DKV37" s="953"/>
      <c r="DKW37" s="953"/>
      <c r="DKX37" s="953"/>
      <c r="DKY37" s="953"/>
      <c r="DKZ37" s="953"/>
      <c r="DLA37" s="953"/>
      <c r="DLB37" s="953"/>
      <c r="DLC37" s="953"/>
      <c r="DLD37" s="953"/>
      <c r="DLE37" s="953"/>
      <c r="DLF37" s="953"/>
      <c r="DLG37" s="953"/>
      <c r="DLH37" s="953"/>
      <c r="DLI37" s="953"/>
      <c r="DLJ37" s="953"/>
      <c r="DLK37" s="953"/>
      <c r="DLL37" s="953"/>
      <c r="DLM37" s="953"/>
      <c r="DLN37" s="953"/>
      <c r="DLO37" s="953"/>
      <c r="DLP37" s="953"/>
      <c r="DLQ37" s="953"/>
      <c r="DLR37" s="953"/>
      <c r="DLS37" s="953"/>
      <c r="DLT37" s="953"/>
      <c r="DLU37" s="953"/>
      <c r="DLV37" s="953"/>
      <c r="DLW37" s="953"/>
      <c r="DLX37" s="953"/>
      <c r="DLY37" s="953"/>
      <c r="DLZ37" s="953"/>
      <c r="DMA37" s="953"/>
      <c r="DMB37" s="953"/>
      <c r="DMC37" s="953"/>
      <c r="DMD37" s="953"/>
      <c r="DME37" s="953"/>
      <c r="DMF37" s="953"/>
      <c r="DMG37" s="953"/>
      <c r="DMH37" s="953"/>
      <c r="DMI37" s="953"/>
      <c r="DMJ37" s="953"/>
      <c r="DMK37" s="953"/>
      <c r="DML37" s="953"/>
      <c r="DMM37" s="953"/>
      <c r="DMN37" s="953"/>
      <c r="DMO37" s="953"/>
      <c r="DMP37" s="953"/>
      <c r="DMQ37" s="953"/>
      <c r="DMR37" s="953"/>
      <c r="DMS37" s="953"/>
      <c r="DMT37" s="953"/>
      <c r="DMU37" s="953"/>
      <c r="DMV37" s="953"/>
      <c r="DMW37" s="953"/>
      <c r="DMX37" s="953"/>
      <c r="DMY37" s="953"/>
      <c r="DMZ37" s="953"/>
      <c r="DNA37" s="953"/>
      <c r="DNB37" s="953"/>
      <c r="DNC37" s="953"/>
      <c r="DND37" s="953"/>
      <c r="DNE37" s="953"/>
      <c r="DNF37" s="953"/>
      <c r="DNG37" s="953"/>
      <c r="DNH37" s="953"/>
      <c r="DNI37" s="953"/>
      <c r="DNJ37" s="953"/>
      <c r="DNK37" s="953"/>
      <c r="DNL37" s="953"/>
      <c r="DNM37" s="953"/>
      <c r="DNN37" s="953"/>
      <c r="DNO37" s="953"/>
      <c r="DNP37" s="953"/>
      <c r="DNQ37" s="953"/>
      <c r="DNR37" s="953"/>
      <c r="DNS37" s="953"/>
      <c r="DNT37" s="953"/>
      <c r="DNU37" s="953"/>
      <c r="DNV37" s="953"/>
      <c r="DNW37" s="953"/>
      <c r="DNX37" s="953"/>
      <c r="DNY37" s="953"/>
      <c r="DNZ37" s="953"/>
      <c r="DOA37" s="953"/>
      <c r="DOB37" s="953"/>
      <c r="DOC37" s="953"/>
      <c r="DOD37" s="953"/>
      <c r="DOE37" s="953"/>
      <c r="DOF37" s="953"/>
      <c r="DOG37" s="953"/>
      <c r="DOH37" s="953"/>
      <c r="DOI37" s="953"/>
      <c r="DOJ37" s="953"/>
      <c r="DOK37" s="953"/>
      <c r="DOL37" s="953"/>
      <c r="DOM37" s="953"/>
      <c r="DON37" s="953"/>
      <c r="DOO37" s="953"/>
      <c r="DOP37" s="953"/>
      <c r="DOQ37" s="953"/>
      <c r="DOR37" s="953"/>
      <c r="DOS37" s="953"/>
      <c r="DOT37" s="953"/>
      <c r="DOU37" s="953"/>
      <c r="DOV37" s="953"/>
      <c r="DOW37" s="953"/>
      <c r="DOX37" s="953"/>
      <c r="DOY37" s="953"/>
      <c r="DOZ37" s="953"/>
      <c r="DPA37" s="953"/>
      <c r="DPB37" s="953"/>
      <c r="DPC37" s="953"/>
      <c r="DPD37" s="953"/>
      <c r="DPE37" s="953"/>
      <c r="DPF37" s="953"/>
      <c r="DPG37" s="953"/>
      <c r="DPH37" s="953"/>
      <c r="DPI37" s="953"/>
      <c r="DPJ37" s="953"/>
      <c r="DPK37" s="953"/>
      <c r="DPL37" s="953"/>
      <c r="DPM37" s="953"/>
      <c r="DPN37" s="953"/>
      <c r="DPO37" s="953"/>
      <c r="DPP37" s="953"/>
      <c r="DPQ37" s="953"/>
      <c r="DPR37" s="953"/>
      <c r="DPS37" s="953"/>
      <c r="DPT37" s="953"/>
      <c r="DPU37" s="953"/>
      <c r="DPV37" s="953"/>
      <c r="DPW37" s="953"/>
      <c r="DPX37" s="953"/>
      <c r="DPY37" s="953"/>
      <c r="DPZ37" s="953"/>
      <c r="DQA37" s="953"/>
      <c r="DQB37" s="953"/>
      <c r="DQC37" s="953"/>
      <c r="DQD37" s="953"/>
      <c r="DQE37" s="953"/>
      <c r="DQF37" s="953"/>
      <c r="DQG37" s="953"/>
      <c r="DQH37" s="953"/>
      <c r="DQI37" s="953"/>
      <c r="DQJ37" s="953"/>
      <c r="DQK37" s="953"/>
      <c r="DQL37" s="953"/>
      <c r="DQM37" s="953"/>
      <c r="DQN37" s="953"/>
      <c r="DQO37" s="953"/>
      <c r="DQP37" s="953"/>
      <c r="DQQ37" s="953"/>
      <c r="DQR37" s="953"/>
      <c r="DQS37" s="953"/>
      <c r="DQT37" s="953"/>
      <c r="DQU37" s="953"/>
      <c r="DQV37" s="953"/>
      <c r="DQW37" s="953"/>
      <c r="DQX37" s="953"/>
      <c r="DQY37" s="953"/>
      <c r="DQZ37" s="953"/>
      <c r="DRA37" s="953"/>
      <c r="DRB37" s="953"/>
      <c r="DRC37" s="953"/>
      <c r="DRD37" s="953"/>
      <c r="DRE37" s="953"/>
      <c r="DRF37" s="953"/>
      <c r="DRG37" s="953"/>
      <c r="DRH37" s="953"/>
      <c r="DRI37" s="953"/>
      <c r="DRJ37" s="953"/>
      <c r="DRK37" s="953"/>
      <c r="DRL37" s="953"/>
      <c r="DRM37" s="953"/>
      <c r="DRN37" s="953"/>
      <c r="DRO37" s="953"/>
      <c r="DRP37" s="953"/>
      <c r="DRQ37" s="953"/>
      <c r="DRR37" s="953"/>
      <c r="DRS37" s="953"/>
      <c r="DRT37" s="953"/>
      <c r="DRU37" s="953"/>
      <c r="DRV37" s="953"/>
      <c r="DRW37" s="953"/>
      <c r="DRX37" s="953"/>
      <c r="DRY37" s="953"/>
      <c r="DRZ37" s="953"/>
      <c r="DSA37" s="953"/>
      <c r="DSB37" s="953"/>
      <c r="DSC37" s="953"/>
      <c r="DSD37" s="953"/>
      <c r="DSE37" s="953"/>
      <c r="DSF37" s="953"/>
      <c r="DSG37" s="953"/>
      <c r="DSH37" s="953"/>
      <c r="DSI37" s="953"/>
      <c r="DSJ37" s="953"/>
      <c r="DSK37" s="953"/>
      <c r="DSL37" s="953"/>
      <c r="DSM37" s="953"/>
      <c r="DSN37" s="953"/>
      <c r="DSO37" s="953"/>
      <c r="DSP37" s="953"/>
      <c r="DSQ37" s="953"/>
      <c r="DSR37" s="953"/>
      <c r="DSS37" s="953"/>
      <c r="DST37" s="953"/>
      <c r="DSU37" s="953"/>
      <c r="DSV37" s="953"/>
      <c r="DSW37" s="953"/>
      <c r="DSX37" s="953"/>
      <c r="DSY37" s="953"/>
      <c r="DSZ37" s="953"/>
      <c r="DTA37" s="953"/>
      <c r="DTB37" s="953"/>
      <c r="DTC37" s="953"/>
      <c r="DTD37" s="953"/>
      <c r="DTE37" s="953"/>
      <c r="DTF37" s="953"/>
      <c r="DTG37" s="953"/>
      <c r="DTH37" s="953"/>
      <c r="DTI37" s="953"/>
      <c r="DTJ37" s="953"/>
      <c r="DTK37" s="953"/>
      <c r="DTL37" s="953"/>
      <c r="DTM37" s="953"/>
      <c r="DTN37" s="953"/>
      <c r="DTO37" s="953"/>
      <c r="DTP37" s="953"/>
      <c r="DTQ37" s="953"/>
      <c r="DTR37" s="953"/>
      <c r="DTS37" s="953"/>
      <c r="DTT37" s="953"/>
      <c r="DTU37" s="953"/>
      <c r="DTV37" s="953"/>
      <c r="DTW37" s="953"/>
      <c r="DTX37" s="953"/>
      <c r="DTY37" s="953"/>
      <c r="DTZ37" s="953"/>
      <c r="DUA37" s="953"/>
      <c r="DUB37" s="953"/>
      <c r="DUC37" s="953"/>
      <c r="DUD37" s="953"/>
      <c r="DUE37" s="953"/>
      <c r="DUF37" s="953"/>
      <c r="DUG37" s="953"/>
      <c r="DUH37" s="953"/>
      <c r="DUI37" s="953"/>
      <c r="DUJ37" s="953"/>
      <c r="DUK37" s="953"/>
      <c r="DUL37" s="953"/>
      <c r="DUM37" s="953"/>
      <c r="DUN37" s="953"/>
      <c r="DUO37" s="953"/>
      <c r="DUP37" s="953"/>
      <c r="DUQ37" s="953"/>
      <c r="DUR37" s="953"/>
      <c r="DUS37" s="953"/>
      <c r="DUT37" s="953"/>
      <c r="DUU37" s="953"/>
      <c r="DUV37" s="953"/>
      <c r="DUW37" s="953"/>
      <c r="DUX37" s="953"/>
      <c r="DUY37" s="953"/>
      <c r="DUZ37" s="953"/>
      <c r="DVA37" s="953"/>
      <c r="DVB37" s="953"/>
      <c r="DVC37" s="953"/>
      <c r="DVD37" s="953"/>
      <c r="DVE37" s="953"/>
      <c r="DVF37" s="953"/>
      <c r="DVG37" s="953"/>
      <c r="DVH37" s="953"/>
      <c r="DVI37" s="953"/>
      <c r="DVJ37" s="953"/>
      <c r="DVK37" s="953"/>
      <c r="DVL37" s="953"/>
      <c r="DVM37" s="953"/>
      <c r="DVN37" s="953"/>
      <c r="DVO37" s="953"/>
      <c r="DVP37" s="953"/>
      <c r="DVQ37" s="953"/>
      <c r="DVR37" s="953"/>
      <c r="DVS37" s="953"/>
      <c r="DVT37" s="953"/>
      <c r="DVU37" s="953"/>
      <c r="DVV37" s="953"/>
      <c r="DVW37" s="953"/>
      <c r="DVX37" s="953"/>
      <c r="DVY37" s="953"/>
      <c r="DVZ37" s="953"/>
      <c r="DWA37" s="953"/>
      <c r="DWB37" s="953"/>
      <c r="DWC37" s="953"/>
      <c r="DWD37" s="953"/>
      <c r="DWE37" s="953"/>
      <c r="DWF37" s="953"/>
      <c r="DWG37" s="953"/>
      <c r="DWH37" s="953"/>
      <c r="DWI37" s="953"/>
      <c r="DWJ37" s="953"/>
      <c r="DWK37" s="953"/>
      <c r="DWL37" s="953"/>
      <c r="DWM37" s="953"/>
      <c r="DWN37" s="953"/>
      <c r="DWO37" s="953"/>
      <c r="DWP37" s="953"/>
      <c r="DWQ37" s="953"/>
      <c r="DWR37" s="953"/>
      <c r="DWS37" s="953"/>
      <c r="DWT37" s="953"/>
      <c r="DWU37" s="953"/>
      <c r="DWV37" s="953"/>
      <c r="DWW37" s="953"/>
      <c r="DWX37" s="953"/>
      <c r="DWY37" s="953"/>
      <c r="DWZ37" s="953"/>
      <c r="DXA37" s="953"/>
      <c r="DXB37" s="953"/>
      <c r="DXC37" s="953"/>
      <c r="DXD37" s="953"/>
      <c r="DXE37" s="953"/>
      <c r="DXF37" s="953"/>
      <c r="DXG37" s="953"/>
      <c r="DXH37" s="953"/>
      <c r="DXI37" s="953"/>
      <c r="DXJ37" s="953"/>
      <c r="DXK37" s="953"/>
      <c r="DXL37" s="953"/>
      <c r="DXM37" s="953"/>
      <c r="DXN37" s="953"/>
      <c r="DXO37" s="953"/>
      <c r="DXP37" s="953"/>
      <c r="DXQ37" s="953"/>
      <c r="DXR37" s="953"/>
      <c r="DXS37" s="953"/>
      <c r="DXT37" s="953"/>
      <c r="DXU37" s="953"/>
      <c r="DXV37" s="953"/>
      <c r="DXW37" s="953"/>
      <c r="DXX37" s="953"/>
      <c r="DXY37" s="953"/>
      <c r="DXZ37" s="953"/>
      <c r="DYA37" s="953"/>
      <c r="DYB37" s="953"/>
      <c r="DYC37" s="953"/>
      <c r="DYD37" s="953"/>
      <c r="DYE37" s="953"/>
      <c r="DYF37" s="953"/>
      <c r="DYG37" s="953"/>
      <c r="DYH37" s="953"/>
      <c r="DYI37" s="953"/>
      <c r="DYJ37" s="953"/>
      <c r="DYK37" s="953"/>
      <c r="DYL37" s="953"/>
      <c r="DYM37" s="953"/>
      <c r="DYN37" s="953"/>
      <c r="DYO37" s="953"/>
      <c r="DYP37" s="953"/>
      <c r="DYQ37" s="953"/>
      <c r="DYR37" s="953"/>
      <c r="DYS37" s="953"/>
      <c r="DYT37" s="953"/>
      <c r="DYU37" s="953"/>
      <c r="DYV37" s="953"/>
      <c r="DYW37" s="953"/>
      <c r="DYX37" s="953"/>
      <c r="DYY37" s="953"/>
      <c r="DYZ37" s="953"/>
      <c r="DZA37" s="953"/>
      <c r="DZB37" s="953"/>
      <c r="DZC37" s="953"/>
      <c r="DZD37" s="953"/>
      <c r="DZE37" s="953"/>
      <c r="DZF37" s="953"/>
      <c r="DZG37" s="953"/>
      <c r="DZH37" s="953"/>
      <c r="DZI37" s="953"/>
      <c r="DZJ37" s="953"/>
      <c r="DZK37" s="953"/>
      <c r="DZL37" s="953"/>
      <c r="DZM37" s="953"/>
      <c r="DZN37" s="953"/>
      <c r="DZO37" s="953"/>
      <c r="DZP37" s="953"/>
      <c r="DZQ37" s="953"/>
      <c r="DZR37" s="953"/>
      <c r="DZS37" s="953"/>
      <c r="DZT37" s="953"/>
      <c r="DZU37" s="953"/>
      <c r="DZV37" s="953"/>
      <c r="DZW37" s="953"/>
      <c r="DZX37" s="953"/>
      <c r="DZY37" s="953"/>
      <c r="DZZ37" s="953"/>
      <c r="EAA37" s="953"/>
      <c r="EAB37" s="953"/>
      <c r="EAC37" s="953"/>
      <c r="EAD37" s="953"/>
      <c r="EAE37" s="953"/>
      <c r="EAF37" s="953"/>
      <c r="EAG37" s="953"/>
      <c r="EAH37" s="953"/>
      <c r="EAI37" s="953"/>
      <c r="EAJ37" s="953"/>
      <c r="EAK37" s="953"/>
      <c r="EAL37" s="953"/>
      <c r="EAM37" s="953"/>
      <c r="EAN37" s="953"/>
      <c r="EAO37" s="953"/>
      <c r="EAP37" s="953"/>
      <c r="EAQ37" s="953"/>
      <c r="EAR37" s="953"/>
      <c r="EAS37" s="953"/>
      <c r="EAT37" s="953"/>
      <c r="EAU37" s="953"/>
      <c r="EAV37" s="953"/>
      <c r="EAW37" s="953"/>
      <c r="EAX37" s="953"/>
      <c r="EAY37" s="953"/>
      <c r="EAZ37" s="953"/>
      <c r="EBA37" s="953"/>
      <c r="EBB37" s="953"/>
      <c r="EBC37" s="953"/>
      <c r="EBD37" s="953"/>
      <c r="EBE37" s="953"/>
      <c r="EBF37" s="953"/>
      <c r="EBG37" s="953"/>
      <c r="EBH37" s="953"/>
      <c r="EBI37" s="953"/>
      <c r="EBJ37" s="953"/>
      <c r="EBK37" s="953"/>
      <c r="EBL37" s="953"/>
      <c r="EBM37" s="953"/>
      <c r="EBN37" s="953"/>
      <c r="EBO37" s="953"/>
      <c r="EBP37" s="953"/>
      <c r="EBQ37" s="953"/>
      <c r="EBR37" s="953"/>
      <c r="EBS37" s="953"/>
      <c r="EBT37" s="953"/>
      <c r="EBU37" s="953"/>
      <c r="EBV37" s="953"/>
      <c r="EBW37" s="953"/>
      <c r="EBX37" s="953"/>
      <c r="EBY37" s="953"/>
      <c r="EBZ37" s="953"/>
      <c r="ECA37" s="953"/>
      <c r="ECB37" s="953"/>
      <c r="ECC37" s="953"/>
      <c r="ECD37" s="953"/>
      <c r="ECE37" s="953"/>
      <c r="ECF37" s="953"/>
      <c r="ECG37" s="953"/>
      <c r="ECH37" s="953"/>
      <c r="ECI37" s="953"/>
      <c r="ECJ37" s="953"/>
      <c r="ECK37" s="953"/>
      <c r="ECL37" s="953"/>
      <c r="ECM37" s="953"/>
      <c r="ECN37" s="953"/>
      <c r="ECO37" s="953"/>
      <c r="ECP37" s="953"/>
      <c r="ECQ37" s="953"/>
      <c r="ECR37" s="953"/>
      <c r="ECS37" s="953"/>
      <c r="ECT37" s="953"/>
      <c r="ECU37" s="953"/>
      <c r="ECV37" s="953"/>
      <c r="ECW37" s="953"/>
      <c r="ECX37" s="953"/>
      <c r="ECY37" s="953"/>
      <c r="ECZ37" s="953"/>
      <c r="EDA37" s="953"/>
      <c r="EDB37" s="953"/>
      <c r="EDC37" s="953"/>
      <c r="EDD37" s="953"/>
      <c r="EDE37" s="953"/>
      <c r="EDF37" s="953"/>
      <c r="EDG37" s="953"/>
      <c r="EDH37" s="953"/>
      <c r="EDI37" s="953"/>
      <c r="EDJ37" s="953"/>
      <c r="EDK37" s="953"/>
      <c r="EDL37" s="953"/>
      <c r="EDM37" s="953"/>
      <c r="EDN37" s="953"/>
      <c r="EDO37" s="953"/>
      <c r="EDP37" s="953"/>
      <c r="EDQ37" s="953"/>
      <c r="EDR37" s="953"/>
      <c r="EDS37" s="953"/>
      <c r="EDT37" s="953"/>
      <c r="EDU37" s="953"/>
      <c r="EDV37" s="953"/>
      <c r="EDW37" s="953"/>
      <c r="EDX37" s="953"/>
      <c r="EDY37" s="953"/>
      <c r="EDZ37" s="953"/>
      <c r="EEA37" s="953"/>
      <c r="EEB37" s="953"/>
      <c r="EEC37" s="953"/>
      <c r="EED37" s="953"/>
      <c r="EEE37" s="953"/>
      <c r="EEF37" s="953"/>
      <c r="EEG37" s="953"/>
      <c r="EEH37" s="953"/>
      <c r="EEI37" s="953"/>
      <c r="EEJ37" s="953"/>
      <c r="EEK37" s="953"/>
      <c r="EEL37" s="953"/>
      <c r="EEM37" s="953"/>
      <c r="EEN37" s="953"/>
      <c r="EEO37" s="953"/>
      <c r="EEP37" s="953"/>
      <c r="EEQ37" s="953"/>
      <c r="EER37" s="953"/>
      <c r="EES37" s="953"/>
      <c r="EET37" s="953"/>
      <c r="EEU37" s="953"/>
      <c r="EEV37" s="953"/>
      <c r="EEW37" s="953"/>
      <c r="EEX37" s="953"/>
      <c r="EEY37" s="953"/>
      <c r="EEZ37" s="953"/>
      <c r="EFA37" s="953"/>
      <c r="EFB37" s="953"/>
      <c r="EFC37" s="953"/>
      <c r="EFD37" s="953"/>
      <c r="EFE37" s="953"/>
      <c r="EFF37" s="953"/>
      <c r="EFG37" s="953"/>
      <c r="EFH37" s="953"/>
      <c r="EFI37" s="953"/>
      <c r="EFJ37" s="953"/>
      <c r="EFK37" s="953"/>
      <c r="EFL37" s="953"/>
      <c r="EFM37" s="953"/>
      <c r="EFN37" s="953"/>
      <c r="EFO37" s="953"/>
      <c r="EFP37" s="953"/>
      <c r="EFQ37" s="953"/>
      <c r="EFR37" s="953"/>
      <c r="EFS37" s="953"/>
      <c r="EFT37" s="953"/>
      <c r="EFU37" s="953"/>
      <c r="EFV37" s="953"/>
      <c r="EFW37" s="953"/>
      <c r="EFX37" s="953"/>
      <c r="EFY37" s="953"/>
      <c r="EFZ37" s="953"/>
      <c r="EGA37" s="953"/>
      <c r="EGB37" s="953"/>
      <c r="EGC37" s="953"/>
      <c r="EGD37" s="953"/>
      <c r="EGE37" s="953"/>
      <c r="EGF37" s="953"/>
      <c r="EGG37" s="953"/>
      <c r="EGH37" s="953"/>
      <c r="EGI37" s="953"/>
      <c r="EGJ37" s="953"/>
      <c r="EGK37" s="953"/>
      <c r="EGL37" s="953"/>
      <c r="EGM37" s="953"/>
      <c r="EGN37" s="953"/>
      <c r="EGO37" s="953"/>
      <c r="EGP37" s="953"/>
      <c r="EGQ37" s="953"/>
      <c r="EGR37" s="953"/>
      <c r="EGS37" s="953"/>
      <c r="EGT37" s="953"/>
      <c r="EGU37" s="953"/>
      <c r="EGV37" s="953"/>
      <c r="EGW37" s="953"/>
      <c r="EGX37" s="953"/>
      <c r="EGY37" s="953"/>
      <c r="EGZ37" s="953"/>
      <c r="EHA37" s="953"/>
      <c r="EHB37" s="953"/>
      <c r="EHC37" s="953"/>
      <c r="EHD37" s="953"/>
      <c r="EHE37" s="953"/>
      <c r="EHF37" s="953"/>
      <c r="EHG37" s="953"/>
      <c r="EHH37" s="953"/>
      <c r="EHI37" s="953"/>
      <c r="EHJ37" s="953"/>
      <c r="EHK37" s="953"/>
      <c r="EHL37" s="953"/>
      <c r="EHM37" s="953"/>
      <c r="EHN37" s="953"/>
      <c r="EHO37" s="953"/>
      <c r="EHP37" s="953"/>
      <c r="EHQ37" s="953"/>
      <c r="EHR37" s="953"/>
      <c r="EHS37" s="953"/>
      <c r="EHT37" s="953"/>
      <c r="EHU37" s="953"/>
      <c r="EHV37" s="953"/>
      <c r="EHW37" s="953"/>
      <c r="EHX37" s="953"/>
      <c r="EHY37" s="953"/>
      <c r="EHZ37" s="953"/>
      <c r="EIA37" s="953"/>
      <c r="EIB37" s="953"/>
      <c r="EIC37" s="953"/>
      <c r="EID37" s="953"/>
      <c r="EIE37" s="953"/>
      <c r="EIF37" s="953"/>
      <c r="EIG37" s="953"/>
      <c r="EIH37" s="953"/>
      <c r="EII37" s="953"/>
      <c r="EIJ37" s="953"/>
      <c r="EIK37" s="953"/>
      <c r="EIL37" s="953"/>
      <c r="EIM37" s="953"/>
      <c r="EIN37" s="953"/>
      <c r="EIO37" s="953"/>
      <c r="EIP37" s="953"/>
      <c r="EIQ37" s="953"/>
      <c r="EIR37" s="953"/>
      <c r="EIS37" s="953"/>
      <c r="EIT37" s="953"/>
      <c r="EIU37" s="953"/>
      <c r="EIV37" s="953"/>
      <c r="EIW37" s="953"/>
      <c r="EIX37" s="953"/>
      <c r="EIY37" s="953"/>
      <c r="EIZ37" s="953"/>
      <c r="EJA37" s="953"/>
      <c r="EJB37" s="953"/>
      <c r="EJC37" s="953"/>
      <c r="EJD37" s="953"/>
      <c r="EJE37" s="953"/>
      <c r="EJF37" s="953"/>
      <c r="EJG37" s="953"/>
      <c r="EJH37" s="953"/>
      <c r="EJI37" s="953"/>
      <c r="EJJ37" s="953"/>
      <c r="EJK37" s="953"/>
      <c r="EJL37" s="953"/>
      <c r="EJM37" s="953"/>
      <c r="EJN37" s="953"/>
      <c r="EJO37" s="953"/>
      <c r="EJP37" s="953"/>
      <c r="EJQ37" s="953"/>
      <c r="EJR37" s="953"/>
      <c r="EJS37" s="953"/>
      <c r="EJT37" s="953"/>
      <c r="EJU37" s="953"/>
      <c r="EJV37" s="953"/>
      <c r="EJW37" s="953"/>
      <c r="EJX37" s="953"/>
      <c r="EJY37" s="953"/>
      <c r="EJZ37" s="953"/>
      <c r="EKA37" s="953"/>
      <c r="EKB37" s="953"/>
      <c r="EKC37" s="953"/>
      <c r="EKD37" s="953"/>
      <c r="EKE37" s="953"/>
      <c r="EKF37" s="953"/>
      <c r="EKG37" s="953"/>
      <c r="EKH37" s="953"/>
      <c r="EKI37" s="953"/>
      <c r="EKJ37" s="953"/>
      <c r="EKK37" s="953"/>
      <c r="EKL37" s="953"/>
      <c r="EKM37" s="953"/>
      <c r="EKN37" s="953"/>
      <c r="EKO37" s="953"/>
      <c r="EKP37" s="953"/>
      <c r="EKQ37" s="953"/>
      <c r="EKR37" s="953"/>
      <c r="EKS37" s="953"/>
      <c r="EKT37" s="953"/>
      <c r="EKU37" s="953"/>
      <c r="EKV37" s="953"/>
      <c r="EKW37" s="953"/>
      <c r="EKX37" s="953"/>
      <c r="EKY37" s="953"/>
      <c r="EKZ37" s="953"/>
      <c r="ELA37" s="953"/>
      <c r="ELB37" s="953"/>
      <c r="ELC37" s="953"/>
      <c r="ELD37" s="953"/>
      <c r="ELE37" s="953"/>
      <c r="ELF37" s="953"/>
      <c r="ELG37" s="953"/>
      <c r="ELH37" s="953"/>
      <c r="ELI37" s="953"/>
      <c r="ELJ37" s="953"/>
      <c r="ELK37" s="953"/>
      <c r="ELL37" s="953"/>
      <c r="ELM37" s="953"/>
      <c r="ELN37" s="953"/>
      <c r="ELO37" s="953"/>
      <c r="ELP37" s="953"/>
      <c r="ELQ37" s="953"/>
      <c r="ELR37" s="953"/>
      <c r="ELS37" s="953"/>
      <c r="ELT37" s="953"/>
      <c r="ELU37" s="953"/>
      <c r="ELV37" s="953"/>
      <c r="ELW37" s="953"/>
      <c r="ELX37" s="953"/>
      <c r="ELY37" s="953"/>
      <c r="ELZ37" s="953"/>
      <c r="EMA37" s="953"/>
      <c r="EMB37" s="953"/>
      <c r="EMC37" s="953"/>
      <c r="EMD37" s="953"/>
      <c r="EME37" s="953"/>
      <c r="EMF37" s="953"/>
      <c r="EMG37" s="953"/>
      <c r="EMH37" s="953"/>
      <c r="EMI37" s="953"/>
      <c r="EMJ37" s="953"/>
      <c r="EMK37" s="953"/>
      <c r="EML37" s="953"/>
      <c r="EMM37" s="953"/>
      <c r="EMN37" s="953"/>
      <c r="EMO37" s="953"/>
      <c r="EMP37" s="953"/>
      <c r="EMQ37" s="953"/>
      <c r="EMR37" s="953"/>
      <c r="EMS37" s="953"/>
      <c r="EMT37" s="953"/>
      <c r="EMU37" s="953"/>
      <c r="EMV37" s="953"/>
      <c r="EMW37" s="953"/>
      <c r="EMX37" s="953"/>
      <c r="EMY37" s="953"/>
      <c r="EMZ37" s="953"/>
      <c r="ENA37" s="953"/>
      <c r="ENB37" s="953"/>
      <c r="ENC37" s="953"/>
      <c r="END37" s="953"/>
      <c r="ENE37" s="953"/>
      <c r="ENF37" s="953"/>
      <c r="ENG37" s="953"/>
      <c r="ENH37" s="953"/>
      <c r="ENI37" s="953"/>
      <c r="ENJ37" s="953"/>
      <c r="ENK37" s="953"/>
      <c r="ENL37" s="953"/>
      <c r="ENM37" s="953"/>
      <c r="ENN37" s="953"/>
      <c r="ENO37" s="953"/>
      <c r="ENP37" s="953"/>
      <c r="ENQ37" s="953"/>
      <c r="ENR37" s="953"/>
      <c r="ENS37" s="953"/>
      <c r="ENT37" s="953"/>
      <c r="ENU37" s="953"/>
      <c r="ENV37" s="953"/>
      <c r="ENW37" s="953"/>
      <c r="ENX37" s="953"/>
      <c r="ENY37" s="953"/>
      <c r="ENZ37" s="953"/>
      <c r="EOA37" s="953"/>
      <c r="EOB37" s="953"/>
      <c r="EOC37" s="953"/>
      <c r="EOD37" s="953"/>
      <c r="EOE37" s="953"/>
      <c r="EOF37" s="953"/>
      <c r="EOG37" s="953"/>
      <c r="EOH37" s="953"/>
      <c r="EOI37" s="953"/>
      <c r="EOJ37" s="953"/>
      <c r="EOK37" s="953"/>
      <c r="EOL37" s="953"/>
      <c r="EOM37" s="953"/>
      <c r="EON37" s="953"/>
      <c r="EOO37" s="953"/>
      <c r="EOP37" s="953"/>
      <c r="EOQ37" s="953"/>
      <c r="EOR37" s="953"/>
      <c r="EOS37" s="953"/>
      <c r="EOT37" s="953"/>
      <c r="EOU37" s="953"/>
      <c r="EOV37" s="953"/>
      <c r="EOW37" s="953"/>
      <c r="EOX37" s="953"/>
      <c r="EOY37" s="953"/>
      <c r="EOZ37" s="953"/>
      <c r="EPA37" s="953"/>
      <c r="EPB37" s="953"/>
      <c r="EPC37" s="953"/>
      <c r="EPD37" s="953"/>
      <c r="EPE37" s="953"/>
      <c r="EPF37" s="953"/>
      <c r="EPG37" s="953"/>
      <c r="EPH37" s="953"/>
      <c r="EPI37" s="953"/>
      <c r="EPJ37" s="953"/>
      <c r="EPK37" s="953"/>
      <c r="EPL37" s="953"/>
      <c r="EPM37" s="953"/>
      <c r="EPN37" s="953"/>
      <c r="EPO37" s="953"/>
      <c r="EPP37" s="953"/>
      <c r="EPQ37" s="953"/>
      <c r="EPR37" s="953"/>
      <c r="EPS37" s="953"/>
      <c r="EPT37" s="953"/>
      <c r="EPU37" s="953"/>
      <c r="EPV37" s="953"/>
      <c r="EPW37" s="953"/>
      <c r="EPX37" s="953"/>
      <c r="EPY37" s="953"/>
      <c r="EPZ37" s="953"/>
      <c r="EQA37" s="953"/>
      <c r="EQB37" s="953"/>
      <c r="EQC37" s="953"/>
      <c r="EQD37" s="953"/>
      <c r="EQE37" s="953"/>
      <c r="EQF37" s="953"/>
      <c r="EQG37" s="953"/>
      <c r="EQH37" s="953"/>
      <c r="EQI37" s="953"/>
      <c r="EQJ37" s="953"/>
      <c r="EQK37" s="953"/>
      <c r="EQL37" s="953"/>
      <c r="EQM37" s="953"/>
      <c r="EQN37" s="953"/>
      <c r="EQO37" s="953"/>
      <c r="EQP37" s="953"/>
      <c r="EQQ37" s="953"/>
      <c r="EQR37" s="953"/>
      <c r="EQS37" s="953"/>
      <c r="EQT37" s="953"/>
      <c r="EQU37" s="953"/>
      <c r="EQV37" s="953"/>
      <c r="EQW37" s="953"/>
      <c r="EQX37" s="953"/>
      <c r="EQY37" s="953"/>
      <c r="EQZ37" s="953"/>
      <c r="ERA37" s="953"/>
      <c r="ERB37" s="953"/>
      <c r="ERC37" s="953"/>
      <c r="ERD37" s="953"/>
      <c r="ERE37" s="953"/>
      <c r="ERF37" s="953"/>
      <c r="ERG37" s="953"/>
      <c r="ERH37" s="953"/>
      <c r="ERI37" s="953"/>
      <c r="ERJ37" s="953"/>
      <c r="ERK37" s="953"/>
      <c r="ERL37" s="953"/>
      <c r="ERM37" s="953"/>
      <c r="ERN37" s="953"/>
      <c r="ERO37" s="953"/>
      <c r="ERP37" s="953"/>
      <c r="ERQ37" s="953"/>
      <c r="ERR37" s="953"/>
      <c r="ERS37" s="953"/>
      <c r="ERT37" s="953"/>
      <c r="ERU37" s="953"/>
      <c r="ERV37" s="953"/>
      <c r="ERW37" s="953"/>
      <c r="ERX37" s="953"/>
      <c r="ERY37" s="953"/>
      <c r="ERZ37" s="953"/>
      <c r="ESA37" s="953"/>
      <c r="ESB37" s="953"/>
      <c r="ESC37" s="953"/>
      <c r="ESD37" s="953"/>
      <c r="ESE37" s="953"/>
      <c r="ESF37" s="953"/>
      <c r="ESG37" s="953"/>
      <c r="ESH37" s="953"/>
      <c r="ESI37" s="953"/>
      <c r="ESJ37" s="953"/>
      <c r="ESK37" s="953"/>
      <c r="ESL37" s="953"/>
      <c r="ESM37" s="953"/>
      <c r="ESN37" s="953"/>
      <c r="ESO37" s="953"/>
      <c r="ESP37" s="953"/>
      <c r="ESQ37" s="953"/>
      <c r="ESR37" s="953"/>
      <c r="ESS37" s="953"/>
      <c r="EST37" s="953"/>
      <c r="ESU37" s="953"/>
      <c r="ESV37" s="953"/>
      <c r="ESW37" s="953"/>
      <c r="ESX37" s="953"/>
      <c r="ESY37" s="953"/>
      <c r="ESZ37" s="953"/>
      <c r="ETA37" s="953"/>
      <c r="ETB37" s="953"/>
      <c r="ETC37" s="953"/>
      <c r="ETD37" s="953"/>
      <c r="ETE37" s="953"/>
      <c r="ETF37" s="953"/>
      <c r="ETG37" s="953"/>
      <c r="ETH37" s="953"/>
      <c r="ETI37" s="953"/>
      <c r="ETJ37" s="953"/>
      <c r="ETK37" s="953"/>
      <c r="ETL37" s="953"/>
      <c r="ETM37" s="953"/>
      <c r="ETN37" s="953"/>
      <c r="ETO37" s="953"/>
      <c r="ETP37" s="953"/>
      <c r="ETQ37" s="953"/>
      <c r="ETR37" s="953"/>
      <c r="ETS37" s="953"/>
      <c r="ETT37" s="953"/>
      <c r="ETU37" s="953"/>
      <c r="ETV37" s="953"/>
      <c r="ETW37" s="953"/>
      <c r="ETX37" s="953"/>
      <c r="ETY37" s="953"/>
      <c r="ETZ37" s="953"/>
      <c r="EUA37" s="953"/>
      <c r="EUB37" s="953"/>
      <c r="EUC37" s="953"/>
      <c r="EUD37" s="953"/>
      <c r="EUE37" s="953"/>
      <c r="EUF37" s="953"/>
      <c r="EUG37" s="953"/>
      <c r="EUH37" s="953"/>
      <c r="EUI37" s="953"/>
      <c r="EUJ37" s="953"/>
      <c r="EUK37" s="953"/>
      <c r="EUL37" s="953"/>
      <c r="EUM37" s="953"/>
      <c r="EUN37" s="953"/>
      <c r="EUO37" s="953"/>
      <c r="EUP37" s="953"/>
      <c r="EUQ37" s="953"/>
      <c r="EUR37" s="953"/>
      <c r="EUS37" s="953"/>
      <c r="EUT37" s="953"/>
      <c r="EUU37" s="953"/>
      <c r="EUV37" s="953"/>
      <c r="EUW37" s="953"/>
      <c r="EUX37" s="953"/>
      <c r="EUY37" s="953"/>
      <c r="EUZ37" s="953"/>
      <c r="EVA37" s="953"/>
      <c r="EVB37" s="953"/>
      <c r="EVC37" s="953"/>
      <c r="EVD37" s="953"/>
      <c r="EVE37" s="953"/>
      <c r="EVF37" s="953"/>
      <c r="EVG37" s="953"/>
      <c r="EVH37" s="953"/>
      <c r="EVI37" s="953"/>
      <c r="EVJ37" s="953"/>
      <c r="EVK37" s="953"/>
      <c r="EVL37" s="953"/>
      <c r="EVM37" s="953"/>
      <c r="EVN37" s="953"/>
      <c r="EVO37" s="953"/>
      <c r="EVP37" s="953"/>
      <c r="EVQ37" s="953"/>
      <c r="EVR37" s="953"/>
      <c r="EVS37" s="953"/>
      <c r="EVT37" s="953"/>
      <c r="EVU37" s="953"/>
      <c r="EVV37" s="953"/>
      <c r="EVW37" s="953"/>
      <c r="EVX37" s="953"/>
      <c r="EVY37" s="953"/>
      <c r="EVZ37" s="953"/>
      <c r="EWA37" s="953"/>
      <c r="EWB37" s="953"/>
      <c r="EWC37" s="953"/>
      <c r="EWD37" s="953"/>
      <c r="EWE37" s="953"/>
      <c r="EWF37" s="953"/>
      <c r="EWG37" s="953"/>
      <c r="EWH37" s="953"/>
      <c r="EWI37" s="953"/>
      <c r="EWJ37" s="953"/>
      <c r="EWK37" s="953"/>
      <c r="EWL37" s="953"/>
      <c r="EWM37" s="953"/>
      <c r="EWN37" s="953"/>
      <c r="EWO37" s="953"/>
      <c r="EWP37" s="953"/>
      <c r="EWQ37" s="953"/>
      <c r="EWR37" s="953"/>
      <c r="EWS37" s="953"/>
      <c r="EWT37" s="953"/>
      <c r="EWU37" s="953"/>
      <c r="EWV37" s="953"/>
      <c r="EWW37" s="953"/>
      <c r="EWX37" s="953"/>
      <c r="EWY37" s="953"/>
      <c r="EWZ37" s="953"/>
      <c r="EXA37" s="953"/>
      <c r="EXB37" s="953"/>
      <c r="EXC37" s="953"/>
      <c r="EXD37" s="953"/>
      <c r="EXE37" s="953"/>
      <c r="EXF37" s="953"/>
      <c r="EXG37" s="953"/>
      <c r="EXH37" s="953"/>
      <c r="EXI37" s="953"/>
      <c r="EXJ37" s="953"/>
      <c r="EXK37" s="953"/>
      <c r="EXL37" s="953"/>
      <c r="EXM37" s="953"/>
      <c r="EXN37" s="953"/>
      <c r="EXO37" s="953"/>
      <c r="EXP37" s="953"/>
      <c r="EXQ37" s="953"/>
      <c r="EXR37" s="953"/>
      <c r="EXS37" s="953"/>
      <c r="EXT37" s="953"/>
      <c r="EXU37" s="953"/>
      <c r="EXV37" s="953"/>
      <c r="EXW37" s="953"/>
      <c r="EXX37" s="953"/>
      <c r="EXY37" s="953"/>
      <c r="EXZ37" s="953"/>
      <c r="EYA37" s="953"/>
      <c r="EYB37" s="953"/>
      <c r="EYC37" s="953"/>
      <c r="EYD37" s="953"/>
      <c r="EYE37" s="953"/>
      <c r="EYF37" s="953"/>
      <c r="EYG37" s="953"/>
      <c r="EYH37" s="953"/>
      <c r="EYI37" s="953"/>
      <c r="EYJ37" s="953"/>
      <c r="EYK37" s="953"/>
      <c r="EYL37" s="953"/>
      <c r="EYM37" s="953"/>
      <c r="EYN37" s="953"/>
      <c r="EYO37" s="953"/>
      <c r="EYP37" s="953"/>
      <c r="EYQ37" s="953"/>
      <c r="EYR37" s="953"/>
      <c r="EYS37" s="953"/>
      <c r="EYT37" s="953"/>
      <c r="EYU37" s="953"/>
      <c r="EYV37" s="953"/>
      <c r="EYW37" s="953"/>
      <c r="EYX37" s="953"/>
      <c r="EYY37" s="953"/>
      <c r="EYZ37" s="953"/>
      <c r="EZA37" s="953"/>
      <c r="EZB37" s="953"/>
      <c r="EZC37" s="953"/>
      <c r="EZD37" s="953"/>
      <c r="EZE37" s="953"/>
      <c r="EZF37" s="953"/>
      <c r="EZG37" s="953"/>
      <c r="EZH37" s="953"/>
      <c r="EZI37" s="953"/>
      <c r="EZJ37" s="953"/>
      <c r="EZK37" s="953"/>
      <c r="EZL37" s="953"/>
      <c r="EZM37" s="953"/>
      <c r="EZN37" s="953"/>
      <c r="EZO37" s="953"/>
      <c r="EZP37" s="953"/>
      <c r="EZQ37" s="953"/>
      <c r="EZR37" s="953"/>
      <c r="EZS37" s="953"/>
      <c r="EZT37" s="953"/>
      <c r="EZU37" s="953"/>
      <c r="EZV37" s="953"/>
      <c r="EZW37" s="953"/>
      <c r="EZX37" s="953"/>
      <c r="EZY37" s="953"/>
      <c r="EZZ37" s="953"/>
      <c r="FAA37" s="953"/>
      <c r="FAB37" s="953"/>
      <c r="FAC37" s="953"/>
      <c r="FAD37" s="953"/>
      <c r="FAE37" s="953"/>
      <c r="FAF37" s="953"/>
      <c r="FAG37" s="953"/>
      <c r="FAH37" s="953"/>
      <c r="FAI37" s="953"/>
      <c r="FAJ37" s="953"/>
      <c r="FAK37" s="953"/>
      <c r="FAL37" s="953"/>
      <c r="FAM37" s="953"/>
      <c r="FAN37" s="953"/>
      <c r="FAO37" s="953"/>
      <c r="FAP37" s="953"/>
      <c r="FAQ37" s="953"/>
      <c r="FAR37" s="953"/>
      <c r="FAS37" s="953"/>
      <c r="FAT37" s="953"/>
      <c r="FAU37" s="953"/>
      <c r="FAV37" s="953"/>
      <c r="FAW37" s="953"/>
      <c r="FAX37" s="953"/>
      <c r="FAY37" s="953"/>
      <c r="FAZ37" s="953"/>
      <c r="FBA37" s="953"/>
      <c r="FBB37" s="953"/>
      <c r="FBC37" s="953"/>
      <c r="FBD37" s="953"/>
      <c r="FBE37" s="953"/>
      <c r="FBF37" s="953"/>
      <c r="FBG37" s="953"/>
      <c r="FBH37" s="953"/>
      <c r="FBI37" s="953"/>
      <c r="FBJ37" s="953"/>
      <c r="FBK37" s="953"/>
      <c r="FBL37" s="953"/>
      <c r="FBM37" s="953"/>
      <c r="FBN37" s="953"/>
      <c r="FBO37" s="953"/>
      <c r="FBP37" s="953"/>
      <c r="FBQ37" s="953"/>
      <c r="FBR37" s="953"/>
      <c r="FBS37" s="953"/>
      <c r="FBT37" s="953"/>
      <c r="FBU37" s="953"/>
      <c r="FBV37" s="953"/>
      <c r="FBW37" s="953"/>
      <c r="FBX37" s="953"/>
      <c r="FBY37" s="953"/>
      <c r="FBZ37" s="953"/>
      <c r="FCA37" s="953"/>
      <c r="FCB37" s="953"/>
      <c r="FCC37" s="953"/>
      <c r="FCD37" s="953"/>
      <c r="FCE37" s="953"/>
      <c r="FCF37" s="953"/>
      <c r="FCG37" s="953"/>
      <c r="FCH37" s="953"/>
      <c r="FCI37" s="953"/>
      <c r="FCJ37" s="953"/>
      <c r="FCK37" s="953"/>
      <c r="FCL37" s="953"/>
      <c r="FCM37" s="953"/>
      <c r="FCN37" s="953"/>
      <c r="FCO37" s="953"/>
      <c r="FCP37" s="953"/>
      <c r="FCQ37" s="953"/>
      <c r="FCR37" s="953"/>
      <c r="FCS37" s="953"/>
      <c r="FCT37" s="953"/>
      <c r="FCU37" s="953"/>
      <c r="FCV37" s="953"/>
      <c r="FCW37" s="953"/>
      <c r="FCX37" s="953"/>
      <c r="FCY37" s="953"/>
      <c r="FCZ37" s="953"/>
      <c r="FDA37" s="953"/>
      <c r="FDB37" s="953"/>
      <c r="FDC37" s="953"/>
      <c r="FDD37" s="953"/>
      <c r="FDE37" s="953"/>
      <c r="FDF37" s="953"/>
      <c r="FDG37" s="953"/>
      <c r="FDH37" s="953"/>
      <c r="FDI37" s="953"/>
      <c r="FDJ37" s="953"/>
      <c r="FDK37" s="953"/>
      <c r="FDL37" s="953"/>
      <c r="FDM37" s="953"/>
      <c r="FDN37" s="953"/>
      <c r="FDO37" s="953"/>
      <c r="FDP37" s="953"/>
      <c r="FDQ37" s="953"/>
      <c r="FDR37" s="953"/>
      <c r="FDS37" s="953"/>
      <c r="FDT37" s="953"/>
      <c r="FDU37" s="953"/>
      <c r="FDV37" s="953"/>
      <c r="FDW37" s="953"/>
      <c r="FDX37" s="953"/>
      <c r="FDY37" s="953"/>
      <c r="FDZ37" s="953"/>
      <c r="FEA37" s="953"/>
      <c r="FEB37" s="953"/>
      <c r="FEC37" s="953"/>
      <c r="FED37" s="953"/>
      <c r="FEE37" s="953"/>
      <c r="FEF37" s="953"/>
      <c r="FEG37" s="953"/>
      <c r="FEH37" s="953"/>
      <c r="FEI37" s="953"/>
      <c r="FEJ37" s="953"/>
      <c r="FEK37" s="953"/>
      <c r="FEL37" s="953"/>
      <c r="FEM37" s="953"/>
      <c r="FEN37" s="953"/>
      <c r="FEO37" s="953"/>
      <c r="FEP37" s="953"/>
      <c r="FEQ37" s="953"/>
      <c r="FER37" s="953"/>
      <c r="FES37" s="953"/>
      <c r="FET37" s="953"/>
      <c r="FEU37" s="953"/>
      <c r="FEV37" s="953"/>
      <c r="FEW37" s="953"/>
      <c r="FEX37" s="953"/>
      <c r="FEY37" s="953"/>
      <c r="FEZ37" s="953"/>
      <c r="FFA37" s="953"/>
      <c r="FFB37" s="953"/>
      <c r="FFC37" s="953"/>
      <c r="FFD37" s="953"/>
      <c r="FFE37" s="953"/>
      <c r="FFF37" s="953"/>
      <c r="FFG37" s="953"/>
      <c r="FFH37" s="953"/>
      <c r="FFI37" s="953"/>
      <c r="FFJ37" s="953"/>
      <c r="FFK37" s="953"/>
      <c r="FFL37" s="953"/>
      <c r="FFM37" s="953"/>
      <c r="FFN37" s="953"/>
      <c r="FFO37" s="953"/>
      <c r="FFP37" s="953"/>
      <c r="FFQ37" s="953"/>
      <c r="FFR37" s="953"/>
      <c r="FFS37" s="953"/>
      <c r="FFT37" s="953"/>
      <c r="FFU37" s="953"/>
      <c r="FFV37" s="953"/>
      <c r="FFW37" s="953"/>
      <c r="FFX37" s="953"/>
      <c r="FFY37" s="953"/>
      <c r="FFZ37" s="953"/>
      <c r="FGA37" s="953"/>
      <c r="FGB37" s="953"/>
      <c r="FGC37" s="953"/>
      <c r="FGD37" s="953"/>
      <c r="FGE37" s="953"/>
      <c r="FGF37" s="953"/>
      <c r="FGG37" s="953"/>
      <c r="FGH37" s="953"/>
      <c r="FGI37" s="953"/>
      <c r="FGJ37" s="953"/>
      <c r="FGK37" s="953"/>
      <c r="FGL37" s="953"/>
      <c r="FGM37" s="953"/>
      <c r="FGN37" s="953"/>
      <c r="FGO37" s="953"/>
      <c r="FGP37" s="953"/>
      <c r="FGQ37" s="953"/>
      <c r="FGR37" s="953"/>
      <c r="FGS37" s="953"/>
      <c r="FGT37" s="953"/>
      <c r="FGU37" s="953"/>
      <c r="FGV37" s="953"/>
      <c r="FGW37" s="953"/>
      <c r="FGX37" s="953"/>
      <c r="FGY37" s="953"/>
      <c r="FGZ37" s="953"/>
      <c r="FHA37" s="953"/>
      <c r="FHB37" s="953"/>
      <c r="FHC37" s="953"/>
      <c r="FHD37" s="953"/>
      <c r="FHE37" s="953"/>
      <c r="FHF37" s="953"/>
      <c r="FHG37" s="953"/>
      <c r="FHH37" s="953"/>
      <c r="FHI37" s="953"/>
      <c r="FHJ37" s="953"/>
      <c r="FHK37" s="953"/>
      <c r="FHL37" s="953"/>
      <c r="FHM37" s="953"/>
      <c r="FHN37" s="953"/>
      <c r="FHO37" s="953"/>
      <c r="FHP37" s="953"/>
      <c r="FHQ37" s="953"/>
      <c r="FHR37" s="953"/>
      <c r="FHS37" s="953"/>
      <c r="FHT37" s="953"/>
      <c r="FHU37" s="953"/>
      <c r="FHV37" s="953"/>
      <c r="FHW37" s="953"/>
      <c r="FHX37" s="953"/>
      <c r="FHY37" s="953"/>
      <c r="FHZ37" s="953"/>
      <c r="FIA37" s="953"/>
      <c r="FIB37" s="953"/>
      <c r="FIC37" s="953"/>
      <c r="FID37" s="953"/>
      <c r="FIE37" s="953"/>
      <c r="FIF37" s="953"/>
      <c r="FIG37" s="953"/>
      <c r="FIH37" s="953"/>
      <c r="FII37" s="953"/>
      <c r="FIJ37" s="953"/>
      <c r="FIK37" s="953"/>
      <c r="FIL37" s="953"/>
      <c r="FIM37" s="953"/>
      <c r="FIN37" s="953"/>
      <c r="FIO37" s="953"/>
      <c r="FIP37" s="953"/>
      <c r="FIQ37" s="953"/>
      <c r="FIR37" s="953"/>
      <c r="FIS37" s="953"/>
      <c r="FIT37" s="953"/>
      <c r="FIU37" s="953"/>
      <c r="FIV37" s="953"/>
      <c r="FIW37" s="953"/>
      <c r="FIX37" s="953"/>
      <c r="FIY37" s="953"/>
      <c r="FIZ37" s="953"/>
      <c r="FJA37" s="953"/>
      <c r="FJB37" s="953"/>
      <c r="FJC37" s="953"/>
      <c r="FJD37" s="953"/>
      <c r="FJE37" s="953"/>
      <c r="FJF37" s="953"/>
      <c r="FJG37" s="953"/>
      <c r="FJH37" s="953"/>
      <c r="FJI37" s="953"/>
      <c r="FJJ37" s="953"/>
      <c r="FJK37" s="953"/>
      <c r="FJL37" s="953"/>
      <c r="FJM37" s="953"/>
      <c r="FJN37" s="953"/>
      <c r="FJO37" s="953"/>
      <c r="FJP37" s="953"/>
      <c r="FJQ37" s="953"/>
      <c r="FJR37" s="953"/>
      <c r="FJS37" s="953"/>
      <c r="FJT37" s="953"/>
      <c r="FJU37" s="953"/>
      <c r="FJV37" s="953"/>
      <c r="FJW37" s="953"/>
      <c r="FJX37" s="953"/>
      <c r="FJY37" s="953"/>
      <c r="FJZ37" s="953"/>
      <c r="FKA37" s="953"/>
      <c r="FKB37" s="953"/>
      <c r="FKC37" s="953"/>
      <c r="FKD37" s="953"/>
      <c r="FKE37" s="953"/>
      <c r="FKF37" s="953"/>
      <c r="FKG37" s="953"/>
      <c r="FKH37" s="953"/>
      <c r="FKI37" s="953"/>
      <c r="FKJ37" s="953"/>
      <c r="FKK37" s="953"/>
      <c r="FKL37" s="953"/>
      <c r="FKM37" s="953"/>
      <c r="FKN37" s="953"/>
      <c r="FKO37" s="953"/>
      <c r="FKP37" s="953"/>
      <c r="FKQ37" s="953"/>
      <c r="FKR37" s="953"/>
      <c r="FKS37" s="953"/>
      <c r="FKT37" s="953"/>
      <c r="FKU37" s="953"/>
      <c r="FKV37" s="953"/>
      <c r="FKW37" s="953"/>
      <c r="FKX37" s="953"/>
      <c r="FKY37" s="953"/>
      <c r="FKZ37" s="953"/>
      <c r="FLA37" s="953"/>
      <c r="FLB37" s="953"/>
      <c r="FLC37" s="953"/>
      <c r="FLD37" s="953"/>
      <c r="FLE37" s="953"/>
      <c r="FLF37" s="953"/>
      <c r="FLG37" s="953"/>
      <c r="FLH37" s="953"/>
      <c r="FLI37" s="953"/>
      <c r="FLJ37" s="953"/>
      <c r="FLK37" s="953"/>
      <c r="FLL37" s="953"/>
      <c r="FLM37" s="953"/>
      <c r="FLN37" s="953"/>
      <c r="FLO37" s="953"/>
      <c r="FLP37" s="953"/>
      <c r="FLQ37" s="953"/>
      <c r="FLR37" s="953"/>
      <c r="FLS37" s="953"/>
      <c r="FLT37" s="953"/>
      <c r="FLU37" s="953"/>
      <c r="FLV37" s="953"/>
      <c r="FLW37" s="953"/>
      <c r="FLX37" s="953"/>
      <c r="FLY37" s="953"/>
      <c r="FLZ37" s="953"/>
      <c r="FMA37" s="953"/>
      <c r="FMB37" s="953"/>
      <c r="FMC37" s="953"/>
      <c r="FMD37" s="953"/>
      <c r="FME37" s="953"/>
      <c r="FMF37" s="953"/>
      <c r="FMG37" s="953"/>
      <c r="FMH37" s="953"/>
      <c r="FMI37" s="953"/>
      <c r="FMJ37" s="953"/>
      <c r="FMK37" s="953"/>
      <c r="FML37" s="953"/>
      <c r="FMM37" s="953"/>
      <c r="FMN37" s="953"/>
      <c r="FMO37" s="953"/>
      <c r="FMP37" s="953"/>
      <c r="FMQ37" s="953"/>
      <c r="FMR37" s="953"/>
      <c r="FMS37" s="953"/>
      <c r="FMT37" s="953"/>
      <c r="FMU37" s="953"/>
      <c r="FMV37" s="953"/>
      <c r="FMW37" s="953"/>
      <c r="FMX37" s="953"/>
      <c r="FMY37" s="953"/>
      <c r="FMZ37" s="953"/>
      <c r="FNA37" s="953"/>
      <c r="FNB37" s="953"/>
      <c r="FNC37" s="953"/>
      <c r="FND37" s="953"/>
      <c r="FNE37" s="953"/>
      <c r="FNF37" s="953"/>
      <c r="FNG37" s="953"/>
      <c r="FNH37" s="953"/>
      <c r="FNI37" s="953"/>
      <c r="FNJ37" s="953"/>
      <c r="FNK37" s="953"/>
      <c r="FNL37" s="953"/>
      <c r="FNM37" s="953"/>
      <c r="FNN37" s="953"/>
      <c r="FNO37" s="953"/>
      <c r="FNP37" s="953"/>
      <c r="FNQ37" s="953"/>
      <c r="FNR37" s="953"/>
      <c r="FNS37" s="953"/>
      <c r="FNT37" s="953"/>
      <c r="FNU37" s="953"/>
      <c r="FNV37" s="953"/>
      <c r="FNW37" s="953"/>
      <c r="FNX37" s="953"/>
      <c r="FNY37" s="953"/>
      <c r="FNZ37" s="953"/>
      <c r="FOA37" s="953"/>
      <c r="FOB37" s="953"/>
      <c r="FOC37" s="953"/>
      <c r="FOD37" s="953"/>
      <c r="FOE37" s="953"/>
      <c r="FOF37" s="953"/>
      <c r="FOG37" s="953"/>
      <c r="FOH37" s="953"/>
      <c r="FOI37" s="953"/>
      <c r="FOJ37" s="953"/>
      <c r="FOK37" s="953"/>
      <c r="FOL37" s="953"/>
      <c r="FOM37" s="953"/>
      <c r="FON37" s="953"/>
      <c r="FOO37" s="953"/>
      <c r="FOP37" s="953"/>
      <c r="FOQ37" s="953"/>
      <c r="FOR37" s="953"/>
      <c r="FOS37" s="953"/>
      <c r="FOT37" s="953"/>
      <c r="FOU37" s="953"/>
      <c r="FOV37" s="953"/>
      <c r="FOW37" s="953"/>
      <c r="FOX37" s="953"/>
      <c r="FOY37" s="953"/>
      <c r="FOZ37" s="953"/>
      <c r="FPA37" s="953"/>
      <c r="FPB37" s="953"/>
      <c r="FPC37" s="953"/>
      <c r="FPD37" s="953"/>
      <c r="FPE37" s="953"/>
      <c r="FPF37" s="953"/>
      <c r="FPG37" s="953"/>
      <c r="FPH37" s="953"/>
      <c r="FPI37" s="953"/>
      <c r="FPJ37" s="953"/>
      <c r="FPK37" s="953"/>
      <c r="FPL37" s="953"/>
      <c r="FPM37" s="953"/>
      <c r="FPN37" s="953"/>
      <c r="FPO37" s="953"/>
      <c r="FPP37" s="953"/>
      <c r="FPQ37" s="953"/>
      <c r="FPR37" s="953"/>
      <c r="FPS37" s="953"/>
      <c r="FPT37" s="953"/>
      <c r="FPU37" s="953"/>
      <c r="FPV37" s="953"/>
      <c r="FPW37" s="953"/>
      <c r="FPX37" s="953"/>
      <c r="FPY37" s="953"/>
      <c r="FPZ37" s="953"/>
      <c r="FQA37" s="953"/>
      <c r="FQB37" s="953"/>
      <c r="FQC37" s="953"/>
      <c r="FQD37" s="953"/>
      <c r="FQE37" s="953"/>
      <c r="FQF37" s="953"/>
      <c r="FQG37" s="953"/>
      <c r="FQH37" s="953"/>
      <c r="FQI37" s="953"/>
      <c r="FQJ37" s="953"/>
      <c r="FQK37" s="953"/>
      <c r="FQL37" s="953"/>
      <c r="FQM37" s="953"/>
      <c r="FQN37" s="953"/>
      <c r="FQO37" s="953"/>
      <c r="FQP37" s="953"/>
      <c r="FQQ37" s="953"/>
      <c r="FQR37" s="953"/>
      <c r="FQS37" s="953"/>
      <c r="FQT37" s="953"/>
      <c r="FQU37" s="953"/>
      <c r="FQV37" s="953"/>
      <c r="FQW37" s="953"/>
      <c r="FQX37" s="953"/>
      <c r="FQY37" s="953"/>
      <c r="FQZ37" s="953"/>
      <c r="FRA37" s="953"/>
      <c r="FRB37" s="953"/>
      <c r="FRC37" s="953"/>
      <c r="FRD37" s="953"/>
      <c r="FRE37" s="953"/>
      <c r="FRF37" s="953"/>
      <c r="FRG37" s="953"/>
      <c r="FRH37" s="953"/>
      <c r="FRI37" s="953"/>
      <c r="FRJ37" s="953"/>
      <c r="FRK37" s="953"/>
      <c r="FRL37" s="953"/>
      <c r="FRM37" s="953"/>
      <c r="FRN37" s="953"/>
      <c r="FRO37" s="953"/>
      <c r="FRP37" s="953"/>
      <c r="FRQ37" s="953"/>
      <c r="FRR37" s="953"/>
      <c r="FRS37" s="953"/>
      <c r="FRT37" s="953"/>
      <c r="FRU37" s="953"/>
      <c r="FRV37" s="953"/>
      <c r="FRW37" s="953"/>
      <c r="FRX37" s="953"/>
      <c r="FRY37" s="953"/>
      <c r="FRZ37" s="953"/>
      <c r="FSA37" s="953"/>
      <c r="FSB37" s="953"/>
      <c r="FSC37" s="953"/>
      <c r="FSD37" s="953"/>
      <c r="FSE37" s="953"/>
      <c r="FSF37" s="953"/>
      <c r="FSG37" s="953"/>
      <c r="FSH37" s="953"/>
      <c r="FSI37" s="953"/>
      <c r="FSJ37" s="953"/>
      <c r="FSK37" s="953"/>
      <c r="FSL37" s="953"/>
      <c r="FSM37" s="953"/>
      <c r="FSN37" s="953"/>
      <c r="FSO37" s="953"/>
      <c r="FSP37" s="953"/>
      <c r="FSQ37" s="953"/>
      <c r="FSR37" s="953"/>
      <c r="FSS37" s="953"/>
      <c r="FST37" s="953"/>
      <c r="FSU37" s="953"/>
      <c r="FSV37" s="953"/>
      <c r="FSW37" s="953"/>
      <c r="FSX37" s="953"/>
      <c r="FSY37" s="953"/>
      <c r="FSZ37" s="953"/>
      <c r="FTA37" s="953"/>
      <c r="FTB37" s="953"/>
      <c r="FTC37" s="953"/>
      <c r="FTD37" s="953"/>
      <c r="FTE37" s="953"/>
      <c r="FTF37" s="953"/>
      <c r="FTG37" s="953"/>
      <c r="FTH37" s="953"/>
      <c r="FTI37" s="953"/>
      <c r="FTJ37" s="953"/>
      <c r="FTK37" s="953"/>
      <c r="FTL37" s="953"/>
      <c r="FTM37" s="953"/>
      <c r="FTN37" s="953"/>
      <c r="FTO37" s="953"/>
      <c r="FTP37" s="953"/>
      <c r="FTQ37" s="953"/>
      <c r="FTR37" s="953"/>
      <c r="FTS37" s="953"/>
      <c r="FTT37" s="953"/>
      <c r="FTU37" s="953"/>
      <c r="FTV37" s="953"/>
      <c r="FTW37" s="953"/>
      <c r="FTX37" s="953"/>
      <c r="FTY37" s="953"/>
      <c r="FTZ37" s="953"/>
      <c r="FUA37" s="953"/>
      <c r="FUB37" s="953"/>
      <c r="FUC37" s="953"/>
      <c r="FUD37" s="953"/>
      <c r="FUE37" s="953"/>
      <c r="FUF37" s="953"/>
      <c r="FUG37" s="953"/>
      <c r="FUH37" s="953"/>
      <c r="FUI37" s="953"/>
      <c r="FUJ37" s="953"/>
      <c r="FUK37" s="953"/>
      <c r="FUL37" s="953"/>
      <c r="FUM37" s="953"/>
      <c r="FUN37" s="953"/>
      <c r="FUO37" s="953"/>
      <c r="FUP37" s="953"/>
      <c r="FUQ37" s="953"/>
      <c r="FUR37" s="953"/>
      <c r="FUS37" s="953"/>
      <c r="FUT37" s="953"/>
      <c r="FUU37" s="953"/>
      <c r="FUV37" s="953"/>
      <c r="FUW37" s="953"/>
      <c r="FUX37" s="953"/>
      <c r="FUY37" s="953"/>
      <c r="FUZ37" s="953"/>
      <c r="FVA37" s="953"/>
      <c r="FVB37" s="953"/>
      <c r="FVC37" s="953"/>
      <c r="FVD37" s="953"/>
      <c r="FVE37" s="953"/>
      <c r="FVF37" s="953"/>
      <c r="FVG37" s="953"/>
      <c r="FVH37" s="953"/>
      <c r="FVI37" s="953"/>
      <c r="FVJ37" s="953"/>
      <c r="FVK37" s="953"/>
      <c r="FVL37" s="953"/>
      <c r="FVM37" s="953"/>
      <c r="FVN37" s="953"/>
      <c r="FVO37" s="953"/>
      <c r="FVP37" s="953"/>
      <c r="FVQ37" s="953"/>
      <c r="FVR37" s="953"/>
      <c r="FVS37" s="953"/>
      <c r="FVT37" s="953"/>
      <c r="FVU37" s="953"/>
      <c r="FVV37" s="953"/>
      <c r="FVW37" s="953"/>
      <c r="FVX37" s="953"/>
      <c r="FVY37" s="953"/>
      <c r="FVZ37" s="953"/>
      <c r="FWA37" s="953"/>
      <c r="FWB37" s="953"/>
      <c r="FWC37" s="953"/>
      <c r="FWD37" s="953"/>
      <c r="FWE37" s="953"/>
      <c r="FWF37" s="953"/>
      <c r="FWG37" s="953"/>
      <c r="FWH37" s="953"/>
      <c r="FWI37" s="953"/>
      <c r="FWJ37" s="953"/>
      <c r="FWK37" s="953"/>
      <c r="FWL37" s="953"/>
      <c r="FWM37" s="953"/>
      <c r="FWN37" s="953"/>
      <c r="FWO37" s="953"/>
      <c r="FWP37" s="953"/>
      <c r="FWQ37" s="953"/>
      <c r="FWR37" s="953"/>
      <c r="FWS37" s="953"/>
      <c r="FWT37" s="953"/>
      <c r="FWU37" s="953"/>
      <c r="FWV37" s="953"/>
      <c r="FWW37" s="953"/>
      <c r="FWX37" s="953"/>
      <c r="FWY37" s="953"/>
      <c r="FWZ37" s="953"/>
      <c r="FXA37" s="953"/>
      <c r="FXB37" s="953"/>
      <c r="FXC37" s="953"/>
      <c r="FXD37" s="953"/>
      <c r="FXE37" s="953"/>
      <c r="FXF37" s="953"/>
      <c r="FXG37" s="953"/>
      <c r="FXH37" s="953"/>
      <c r="FXI37" s="953"/>
      <c r="FXJ37" s="953"/>
      <c r="FXK37" s="953"/>
      <c r="FXL37" s="953"/>
      <c r="FXM37" s="953"/>
      <c r="FXN37" s="953"/>
      <c r="FXO37" s="953"/>
      <c r="FXP37" s="953"/>
      <c r="FXQ37" s="953"/>
      <c r="FXR37" s="953"/>
      <c r="FXS37" s="953"/>
      <c r="FXT37" s="953"/>
      <c r="FXU37" s="953"/>
      <c r="FXV37" s="953"/>
      <c r="FXW37" s="953"/>
      <c r="FXX37" s="953"/>
      <c r="FXY37" s="953"/>
      <c r="FXZ37" s="953"/>
      <c r="FYA37" s="953"/>
      <c r="FYB37" s="953"/>
      <c r="FYC37" s="953"/>
      <c r="FYD37" s="953"/>
      <c r="FYE37" s="953"/>
      <c r="FYF37" s="953"/>
      <c r="FYG37" s="953"/>
      <c r="FYH37" s="953"/>
      <c r="FYI37" s="953"/>
      <c r="FYJ37" s="953"/>
      <c r="FYK37" s="953"/>
      <c r="FYL37" s="953"/>
      <c r="FYM37" s="953"/>
      <c r="FYN37" s="953"/>
      <c r="FYO37" s="953"/>
      <c r="FYP37" s="953"/>
      <c r="FYQ37" s="953"/>
      <c r="FYR37" s="953"/>
      <c r="FYS37" s="953"/>
      <c r="FYT37" s="953"/>
      <c r="FYU37" s="953"/>
      <c r="FYV37" s="953"/>
      <c r="FYW37" s="953"/>
      <c r="FYX37" s="953"/>
      <c r="FYY37" s="953"/>
      <c r="FYZ37" s="953"/>
      <c r="FZA37" s="953"/>
      <c r="FZB37" s="953"/>
      <c r="FZC37" s="953"/>
      <c r="FZD37" s="953"/>
      <c r="FZE37" s="953"/>
      <c r="FZF37" s="953"/>
      <c r="FZG37" s="953"/>
      <c r="FZH37" s="953"/>
      <c r="FZI37" s="953"/>
      <c r="FZJ37" s="953"/>
      <c r="FZK37" s="953"/>
      <c r="FZL37" s="953"/>
      <c r="FZM37" s="953"/>
      <c r="FZN37" s="953"/>
      <c r="FZO37" s="953"/>
      <c r="FZP37" s="953"/>
      <c r="FZQ37" s="953"/>
      <c r="FZR37" s="953"/>
      <c r="FZS37" s="953"/>
      <c r="FZT37" s="953"/>
      <c r="FZU37" s="953"/>
      <c r="FZV37" s="953"/>
      <c r="FZW37" s="953"/>
      <c r="FZX37" s="953"/>
      <c r="FZY37" s="953"/>
      <c r="FZZ37" s="953"/>
      <c r="GAA37" s="953"/>
      <c r="GAB37" s="953"/>
      <c r="GAC37" s="953"/>
      <c r="GAD37" s="953"/>
      <c r="GAE37" s="953"/>
      <c r="GAF37" s="953"/>
      <c r="GAG37" s="953"/>
      <c r="GAH37" s="953"/>
      <c r="GAI37" s="953"/>
      <c r="GAJ37" s="953"/>
      <c r="GAK37" s="953"/>
      <c r="GAL37" s="953"/>
      <c r="GAM37" s="953"/>
      <c r="GAN37" s="953"/>
      <c r="GAO37" s="953"/>
      <c r="GAP37" s="953"/>
      <c r="GAQ37" s="953"/>
      <c r="GAR37" s="953"/>
      <c r="GAS37" s="953"/>
      <c r="GAT37" s="953"/>
      <c r="GAU37" s="953"/>
      <c r="GAV37" s="953"/>
      <c r="GAW37" s="953"/>
      <c r="GAX37" s="953"/>
      <c r="GAY37" s="953"/>
      <c r="GAZ37" s="953"/>
      <c r="GBA37" s="953"/>
      <c r="GBB37" s="953"/>
      <c r="GBC37" s="953"/>
      <c r="GBD37" s="953"/>
      <c r="GBE37" s="953"/>
      <c r="GBF37" s="953"/>
      <c r="GBG37" s="953"/>
      <c r="GBH37" s="953"/>
      <c r="GBI37" s="953"/>
      <c r="GBJ37" s="953"/>
      <c r="GBK37" s="953"/>
      <c r="GBL37" s="953"/>
      <c r="GBM37" s="953"/>
      <c r="GBN37" s="953"/>
      <c r="GBO37" s="953"/>
      <c r="GBP37" s="953"/>
      <c r="GBQ37" s="953"/>
      <c r="GBR37" s="953"/>
      <c r="GBS37" s="953"/>
      <c r="GBT37" s="953"/>
      <c r="GBU37" s="953"/>
      <c r="GBV37" s="953"/>
      <c r="GBW37" s="953"/>
      <c r="GBX37" s="953"/>
      <c r="GBY37" s="953"/>
      <c r="GBZ37" s="953"/>
      <c r="GCA37" s="953"/>
      <c r="GCB37" s="953"/>
      <c r="GCC37" s="953"/>
      <c r="GCD37" s="953"/>
      <c r="GCE37" s="953"/>
      <c r="GCF37" s="953"/>
      <c r="GCG37" s="953"/>
      <c r="GCH37" s="953"/>
      <c r="GCI37" s="953"/>
      <c r="GCJ37" s="953"/>
      <c r="GCK37" s="953"/>
      <c r="GCL37" s="953"/>
      <c r="GCM37" s="953"/>
      <c r="GCN37" s="953"/>
      <c r="GCO37" s="953"/>
      <c r="GCP37" s="953"/>
      <c r="GCQ37" s="953"/>
      <c r="GCR37" s="953"/>
      <c r="GCS37" s="953"/>
      <c r="GCT37" s="953"/>
      <c r="GCU37" s="953"/>
      <c r="GCV37" s="953"/>
      <c r="GCW37" s="953"/>
      <c r="GCX37" s="953"/>
      <c r="GCY37" s="953"/>
      <c r="GCZ37" s="953"/>
      <c r="GDA37" s="953"/>
      <c r="GDB37" s="953"/>
      <c r="GDC37" s="953"/>
      <c r="GDD37" s="953"/>
      <c r="GDE37" s="953"/>
      <c r="GDF37" s="953"/>
      <c r="GDG37" s="953"/>
      <c r="GDH37" s="953"/>
      <c r="GDI37" s="953"/>
      <c r="GDJ37" s="953"/>
      <c r="GDK37" s="953"/>
      <c r="GDL37" s="953"/>
      <c r="GDM37" s="953"/>
      <c r="GDN37" s="953"/>
      <c r="GDO37" s="953"/>
      <c r="GDP37" s="953"/>
      <c r="GDQ37" s="953"/>
      <c r="GDR37" s="953"/>
      <c r="GDS37" s="953"/>
      <c r="GDT37" s="953"/>
      <c r="GDU37" s="953"/>
      <c r="GDV37" s="953"/>
      <c r="GDW37" s="953"/>
      <c r="GDX37" s="953"/>
      <c r="GDY37" s="953"/>
      <c r="GDZ37" s="953"/>
      <c r="GEA37" s="953"/>
      <c r="GEB37" s="953"/>
      <c r="GEC37" s="953"/>
      <c r="GED37" s="953"/>
      <c r="GEE37" s="953"/>
      <c r="GEF37" s="953"/>
      <c r="GEG37" s="953"/>
      <c r="GEH37" s="953"/>
      <c r="GEI37" s="953"/>
      <c r="GEJ37" s="953"/>
      <c r="GEK37" s="953"/>
      <c r="GEL37" s="953"/>
      <c r="GEM37" s="953"/>
      <c r="GEN37" s="953"/>
      <c r="GEO37" s="953"/>
      <c r="GEP37" s="953"/>
      <c r="GEQ37" s="953"/>
      <c r="GER37" s="953"/>
      <c r="GES37" s="953"/>
      <c r="GET37" s="953"/>
      <c r="GEU37" s="953"/>
      <c r="GEV37" s="953"/>
      <c r="GEW37" s="953"/>
      <c r="GEX37" s="953"/>
      <c r="GEY37" s="953"/>
      <c r="GEZ37" s="953"/>
      <c r="GFA37" s="953"/>
      <c r="GFB37" s="953"/>
      <c r="GFC37" s="953"/>
      <c r="GFD37" s="953"/>
      <c r="GFE37" s="953"/>
      <c r="GFF37" s="953"/>
      <c r="GFG37" s="953"/>
      <c r="GFH37" s="953"/>
      <c r="GFI37" s="953"/>
      <c r="GFJ37" s="953"/>
      <c r="GFK37" s="953"/>
      <c r="GFL37" s="953"/>
      <c r="GFM37" s="953"/>
      <c r="GFN37" s="953"/>
      <c r="GFO37" s="953"/>
      <c r="GFP37" s="953"/>
      <c r="GFQ37" s="953"/>
      <c r="GFR37" s="953"/>
      <c r="GFS37" s="953"/>
      <c r="GFT37" s="953"/>
      <c r="GFU37" s="953"/>
      <c r="GFV37" s="953"/>
      <c r="GFW37" s="953"/>
      <c r="GFX37" s="953"/>
      <c r="GFY37" s="953"/>
      <c r="GFZ37" s="953"/>
      <c r="GGA37" s="953"/>
      <c r="GGB37" s="953"/>
      <c r="GGC37" s="953"/>
      <c r="GGD37" s="953"/>
      <c r="GGE37" s="953"/>
      <c r="GGF37" s="953"/>
      <c r="GGG37" s="953"/>
      <c r="GGH37" s="953"/>
      <c r="GGI37" s="953"/>
      <c r="GGJ37" s="953"/>
      <c r="GGK37" s="953"/>
      <c r="GGL37" s="953"/>
      <c r="GGM37" s="953"/>
      <c r="GGN37" s="953"/>
      <c r="GGO37" s="953"/>
      <c r="GGP37" s="953"/>
      <c r="GGQ37" s="953"/>
      <c r="GGR37" s="953"/>
      <c r="GGS37" s="953"/>
      <c r="GGT37" s="953"/>
      <c r="GGU37" s="953"/>
      <c r="GGV37" s="953"/>
      <c r="GGW37" s="953"/>
      <c r="GGX37" s="953"/>
      <c r="GGY37" s="953"/>
      <c r="GGZ37" s="953"/>
      <c r="GHA37" s="953"/>
      <c r="GHB37" s="953"/>
      <c r="GHC37" s="953"/>
      <c r="GHD37" s="953"/>
      <c r="GHE37" s="953"/>
      <c r="GHF37" s="953"/>
      <c r="GHG37" s="953"/>
      <c r="GHH37" s="953"/>
      <c r="GHI37" s="953"/>
      <c r="GHJ37" s="953"/>
      <c r="GHK37" s="953"/>
      <c r="GHL37" s="953"/>
      <c r="GHM37" s="953"/>
      <c r="GHN37" s="953"/>
      <c r="GHO37" s="953"/>
      <c r="GHP37" s="953"/>
      <c r="GHQ37" s="953"/>
      <c r="GHR37" s="953"/>
      <c r="GHS37" s="953"/>
      <c r="GHT37" s="953"/>
      <c r="GHU37" s="953"/>
      <c r="GHV37" s="953"/>
      <c r="GHW37" s="953"/>
      <c r="GHX37" s="953"/>
      <c r="GHY37" s="953"/>
      <c r="GHZ37" s="953"/>
      <c r="GIA37" s="953"/>
      <c r="GIB37" s="953"/>
      <c r="GIC37" s="953"/>
      <c r="GID37" s="953"/>
      <c r="GIE37" s="953"/>
      <c r="GIF37" s="953"/>
      <c r="GIG37" s="953"/>
      <c r="GIH37" s="953"/>
      <c r="GII37" s="953"/>
      <c r="GIJ37" s="953"/>
      <c r="GIK37" s="953"/>
      <c r="GIL37" s="953"/>
      <c r="GIM37" s="953"/>
      <c r="GIN37" s="953"/>
      <c r="GIO37" s="953"/>
      <c r="GIP37" s="953"/>
      <c r="GIQ37" s="953"/>
      <c r="GIR37" s="953"/>
      <c r="GIS37" s="953"/>
      <c r="GIT37" s="953"/>
      <c r="GIU37" s="953"/>
      <c r="GIV37" s="953"/>
      <c r="GIW37" s="953"/>
      <c r="GIX37" s="953"/>
      <c r="GIY37" s="953"/>
      <c r="GIZ37" s="953"/>
      <c r="GJA37" s="953"/>
      <c r="GJB37" s="953"/>
      <c r="GJC37" s="953"/>
      <c r="GJD37" s="953"/>
      <c r="GJE37" s="953"/>
      <c r="GJF37" s="953"/>
      <c r="GJG37" s="953"/>
      <c r="GJH37" s="953"/>
      <c r="GJI37" s="953"/>
      <c r="GJJ37" s="953"/>
      <c r="GJK37" s="953"/>
      <c r="GJL37" s="953"/>
      <c r="GJM37" s="953"/>
      <c r="GJN37" s="953"/>
      <c r="GJO37" s="953"/>
      <c r="GJP37" s="953"/>
      <c r="GJQ37" s="953"/>
      <c r="GJR37" s="953"/>
      <c r="GJS37" s="953"/>
      <c r="GJT37" s="953"/>
      <c r="GJU37" s="953"/>
      <c r="GJV37" s="953"/>
      <c r="GJW37" s="953"/>
      <c r="GJX37" s="953"/>
      <c r="GJY37" s="953"/>
      <c r="GJZ37" s="953"/>
      <c r="GKA37" s="953"/>
      <c r="GKB37" s="953"/>
      <c r="GKC37" s="953"/>
      <c r="GKD37" s="953"/>
      <c r="GKE37" s="953"/>
      <c r="GKF37" s="953"/>
      <c r="GKG37" s="953"/>
      <c r="GKH37" s="953"/>
      <c r="GKI37" s="953"/>
      <c r="GKJ37" s="953"/>
      <c r="GKK37" s="953"/>
      <c r="GKL37" s="953"/>
      <c r="GKM37" s="953"/>
      <c r="GKN37" s="953"/>
      <c r="GKO37" s="953"/>
      <c r="GKP37" s="953"/>
      <c r="GKQ37" s="953"/>
      <c r="GKR37" s="953"/>
      <c r="GKS37" s="953"/>
      <c r="GKT37" s="953"/>
      <c r="GKU37" s="953"/>
      <c r="GKV37" s="953"/>
      <c r="GKW37" s="953"/>
      <c r="GKX37" s="953"/>
      <c r="GKY37" s="953"/>
      <c r="GKZ37" s="953"/>
      <c r="GLA37" s="953"/>
      <c r="GLB37" s="953"/>
      <c r="GLC37" s="953"/>
      <c r="GLD37" s="953"/>
      <c r="GLE37" s="953"/>
      <c r="GLF37" s="953"/>
      <c r="GLG37" s="953"/>
      <c r="GLH37" s="953"/>
      <c r="GLI37" s="953"/>
      <c r="GLJ37" s="953"/>
      <c r="GLK37" s="953"/>
      <c r="GLL37" s="953"/>
      <c r="GLM37" s="953"/>
      <c r="GLN37" s="953"/>
      <c r="GLO37" s="953"/>
      <c r="GLP37" s="953"/>
      <c r="GLQ37" s="953"/>
      <c r="GLR37" s="953"/>
      <c r="GLS37" s="953"/>
      <c r="GLT37" s="953"/>
      <c r="GLU37" s="953"/>
      <c r="GLV37" s="953"/>
      <c r="GLW37" s="953"/>
      <c r="GLX37" s="953"/>
      <c r="GLY37" s="953"/>
      <c r="GLZ37" s="953"/>
      <c r="GMA37" s="953"/>
      <c r="GMB37" s="953"/>
      <c r="GMC37" s="953"/>
      <c r="GMD37" s="953"/>
      <c r="GME37" s="953"/>
      <c r="GMF37" s="953"/>
      <c r="GMG37" s="953"/>
      <c r="GMH37" s="953"/>
      <c r="GMI37" s="953"/>
      <c r="GMJ37" s="953"/>
      <c r="GMK37" s="953"/>
      <c r="GML37" s="953"/>
      <c r="GMM37" s="953"/>
      <c r="GMN37" s="953"/>
      <c r="GMO37" s="953"/>
      <c r="GMP37" s="953"/>
      <c r="GMQ37" s="953"/>
      <c r="GMR37" s="953"/>
      <c r="GMS37" s="953"/>
      <c r="GMT37" s="953"/>
      <c r="GMU37" s="953"/>
      <c r="GMV37" s="953"/>
      <c r="GMW37" s="953"/>
      <c r="GMX37" s="953"/>
      <c r="GMY37" s="953"/>
      <c r="GMZ37" s="953"/>
      <c r="GNA37" s="953"/>
      <c r="GNB37" s="953"/>
      <c r="GNC37" s="953"/>
      <c r="GND37" s="953"/>
      <c r="GNE37" s="953"/>
      <c r="GNF37" s="953"/>
      <c r="GNG37" s="953"/>
      <c r="GNH37" s="953"/>
      <c r="GNI37" s="953"/>
      <c r="GNJ37" s="953"/>
      <c r="GNK37" s="953"/>
      <c r="GNL37" s="953"/>
      <c r="GNM37" s="953"/>
      <c r="GNN37" s="953"/>
      <c r="GNO37" s="953"/>
      <c r="GNP37" s="953"/>
      <c r="GNQ37" s="953"/>
      <c r="GNR37" s="953"/>
      <c r="GNS37" s="953"/>
      <c r="GNT37" s="953"/>
      <c r="GNU37" s="953"/>
      <c r="GNV37" s="953"/>
      <c r="GNW37" s="953"/>
      <c r="GNX37" s="953"/>
      <c r="GNY37" s="953"/>
      <c r="GNZ37" s="953"/>
      <c r="GOA37" s="953"/>
      <c r="GOB37" s="953"/>
      <c r="GOC37" s="953"/>
      <c r="GOD37" s="953"/>
      <c r="GOE37" s="953"/>
      <c r="GOF37" s="953"/>
      <c r="GOG37" s="953"/>
      <c r="GOH37" s="953"/>
      <c r="GOI37" s="953"/>
      <c r="GOJ37" s="953"/>
      <c r="GOK37" s="953"/>
      <c r="GOL37" s="953"/>
      <c r="GOM37" s="953"/>
      <c r="GON37" s="953"/>
      <c r="GOO37" s="953"/>
      <c r="GOP37" s="953"/>
      <c r="GOQ37" s="953"/>
      <c r="GOR37" s="953"/>
      <c r="GOS37" s="953"/>
      <c r="GOT37" s="953"/>
      <c r="GOU37" s="953"/>
      <c r="GOV37" s="953"/>
      <c r="GOW37" s="953"/>
      <c r="GOX37" s="953"/>
      <c r="GOY37" s="953"/>
      <c r="GOZ37" s="953"/>
      <c r="GPA37" s="953"/>
      <c r="GPB37" s="953"/>
      <c r="GPC37" s="953"/>
      <c r="GPD37" s="953"/>
      <c r="GPE37" s="953"/>
      <c r="GPF37" s="953"/>
      <c r="GPG37" s="953"/>
      <c r="GPH37" s="953"/>
      <c r="GPI37" s="953"/>
      <c r="GPJ37" s="953"/>
      <c r="GPK37" s="953"/>
      <c r="GPL37" s="953"/>
      <c r="GPM37" s="953"/>
      <c r="GPN37" s="953"/>
      <c r="GPO37" s="953"/>
      <c r="GPP37" s="953"/>
      <c r="GPQ37" s="953"/>
      <c r="GPR37" s="953"/>
      <c r="GPS37" s="953"/>
      <c r="GPT37" s="953"/>
      <c r="GPU37" s="953"/>
      <c r="GPV37" s="953"/>
      <c r="GPW37" s="953"/>
      <c r="GPX37" s="953"/>
      <c r="GPY37" s="953"/>
      <c r="GPZ37" s="953"/>
      <c r="GQA37" s="953"/>
      <c r="GQB37" s="953"/>
      <c r="GQC37" s="953"/>
      <c r="GQD37" s="953"/>
      <c r="GQE37" s="953"/>
      <c r="GQF37" s="953"/>
      <c r="GQG37" s="953"/>
      <c r="GQH37" s="953"/>
      <c r="GQI37" s="953"/>
      <c r="GQJ37" s="953"/>
      <c r="GQK37" s="953"/>
      <c r="GQL37" s="953"/>
      <c r="GQM37" s="953"/>
      <c r="GQN37" s="953"/>
      <c r="GQO37" s="953"/>
      <c r="GQP37" s="953"/>
      <c r="GQQ37" s="953"/>
      <c r="GQR37" s="953"/>
      <c r="GQS37" s="953"/>
      <c r="GQT37" s="953"/>
      <c r="GQU37" s="953"/>
      <c r="GQV37" s="953"/>
      <c r="GQW37" s="953"/>
      <c r="GQX37" s="953"/>
      <c r="GQY37" s="953"/>
      <c r="GQZ37" s="953"/>
      <c r="GRA37" s="953"/>
      <c r="GRB37" s="953"/>
      <c r="GRC37" s="953"/>
      <c r="GRD37" s="953"/>
      <c r="GRE37" s="953"/>
      <c r="GRF37" s="953"/>
      <c r="GRG37" s="953"/>
      <c r="GRH37" s="953"/>
      <c r="GRI37" s="953"/>
      <c r="GRJ37" s="953"/>
      <c r="GRK37" s="953"/>
      <c r="GRL37" s="953"/>
      <c r="GRM37" s="953"/>
      <c r="GRN37" s="953"/>
      <c r="GRO37" s="953"/>
      <c r="GRP37" s="953"/>
      <c r="GRQ37" s="953"/>
      <c r="GRR37" s="953"/>
      <c r="GRS37" s="953"/>
      <c r="GRT37" s="953"/>
      <c r="GRU37" s="953"/>
      <c r="GRV37" s="953"/>
      <c r="GRW37" s="953"/>
      <c r="GRX37" s="953"/>
      <c r="GRY37" s="953"/>
      <c r="GRZ37" s="953"/>
      <c r="GSA37" s="953"/>
      <c r="GSB37" s="953"/>
      <c r="GSC37" s="953"/>
      <c r="GSD37" s="953"/>
      <c r="GSE37" s="953"/>
      <c r="GSF37" s="953"/>
      <c r="GSG37" s="953"/>
      <c r="GSH37" s="953"/>
      <c r="GSI37" s="953"/>
      <c r="GSJ37" s="953"/>
      <c r="GSK37" s="953"/>
      <c r="GSL37" s="953"/>
      <c r="GSM37" s="953"/>
      <c r="GSN37" s="953"/>
      <c r="GSO37" s="953"/>
      <c r="GSP37" s="953"/>
      <c r="GSQ37" s="953"/>
      <c r="GSR37" s="953"/>
      <c r="GSS37" s="953"/>
      <c r="GST37" s="953"/>
      <c r="GSU37" s="953"/>
      <c r="GSV37" s="953"/>
      <c r="GSW37" s="953"/>
      <c r="GSX37" s="953"/>
      <c r="GSY37" s="953"/>
      <c r="GSZ37" s="953"/>
      <c r="GTA37" s="953"/>
      <c r="GTB37" s="953"/>
      <c r="GTC37" s="953"/>
      <c r="GTD37" s="953"/>
      <c r="GTE37" s="953"/>
      <c r="GTF37" s="953"/>
      <c r="GTG37" s="953"/>
      <c r="GTH37" s="953"/>
      <c r="GTI37" s="953"/>
      <c r="GTJ37" s="953"/>
      <c r="GTK37" s="953"/>
      <c r="GTL37" s="953"/>
      <c r="GTM37" s="953"/>
      <c r="GTN37" s="953"/>
      <c r="GTO37" s="953"/>
      <c r="GTP37" s="953"/>
      <c r="GTQ37" s="953"/>
      <c r="GTR37" s="953"/>
      <c r="GTS37" s="953"/>
      <c r="GTT37" s="953"/>
      <c r="GTU37" s="953"/>
      <c r="GTV37" s="953"/>
      <c r="GTW37" s="953"/>
      <c r="GTX37" s="953"/>
      <c r="GTY37" s="953"/>
      <c r="GTZ37" s="953"/>
      <c r="GUA37" s="953"/>
      <c r="GUB37" s="953"/>
      <c r="GUC37" s="953"/>
      <c r="GUD37" s="953"/>
      <c r="GUE37" s="953"/>
      <c r="GUF37" s="953"/>
      <c r="GUG37" s="953"/>
      <c r="GUH37" s="953"/>
      <c r="GUI37" s="953"/>
      <c r="GUJ37" s="953"/>
      <c r="GUK37" s="953"/>
      <c r="GUL37" s="953"/>
      <c r="GUM37" s="953"/>
      <c r="GUN37" s="953"/>
      <c r="GUO37" s="953"/>
      <c r="GUP37" s="953"/>
      <c r="GUQ37" s="953"/>
      <c r="GUR37" s="953"/>
      <c r="GUS37" s="953"/>
      <c r="GUT37" s="953"/>
      <c r="GUU37" s="953"/>
      <c r="GUV37" s="953"/>
      <c r="GUW37" s="953"/>
      <c r="GUX37" s="953"/>
      <c r="GUY37" s="953"/>
      <c r="GUZ37" s="953"/>
      <c r="GVA37" s="953"/>
      <c r="GVB37" s="953"/>
      <c r="GVC37" s="953"/>
      <c r="GVD37" s="953"/>
      <c r="GVE37" s="953"/>
      <c r="GVF37" s="953"/>
      <c r="GVG37" s="953"/>
      <c r="GVH37" s="953"/>
      <c r="GVI37" s="953"/>
      <c r="GVJ37" s="953"/>
      <c r="GVK37" s="953"/>
      <c r="GVL37" s="953"/>
      <c r="GVM37" s="953"/>
      <c r="GVN37" s="953"/>
      <c r="GVO37" s="953"/>
      <c r="GVP37" s="953"/>
      <c r="GVQ37" s="953"/>
      <c r="GVR37" s="953"/>
      <c r="GVS37" s="953"/>
      <c r="GVT37" s="953"/>
      <c r="GVU37" s="953"/>
      <c r="GVV37" s="953"/>
      <c r="GVW37" s="953"/>
      <c r="GVX37" s="953"/>
      <c r="GVY37" s="953"/>
      <c r="GVZ37" s="953"/>
      <c r="GWA37" s="953"/>
      <c r="GWB37" s="953"/>
      <c r="GWC37" s="953"/>
      <c r="GWD37" s="953"/>
      <c r="GWE37" s="953"/>
      <c r="GWF37" s="953"/>
      <c r="GWG37" s="953"/>
      <c r="GWH37" s="953"/>
      <c r="GWI37" s="953"/>
      <c r="GWJ37" s="953"/>
      <c r="GWK37" s="953"/>
      <c r="GWL37" s="953"/>
      <c r="GWM37" s="953"/>
      <c r="GWN37" s="953"/>
      <c r="GWO37" s="953"/>
      <c r="GWP37" s="953"/>
      <c r="GWQ37" s="953"/>
      <c r="GWR37" s="953"/>
      <c r="GWS37" s="953"/>
      <c r="GWT37" s="953"/>
      <c r="GWU37" s="953"/>
      <c r="GWV37" s="953"/>
      <c r="GWW37" s="953"/>
      <c r="GWX37" s="953"/>
      <c r="GWY37" s="953"/>
      <c r="GWZ37" s="953"/>
      <c r="GXA37" s="953"/>
      <c r="GXB37" s="953"/>
      <c r="GXC37" s="953"/>
      <c r="GXD37" s="953"/>
      <c r="GXE37" s="953"/>
      <c r="GXF37" s="953"/>
      <c r="GXG37" s="953"/>
      <c r="GXH37" s="953"/>
      <c r="GXI37" s="953"/>
      <c r="GXJ37" s="953"/>
      <c r="GXK37" s="953"/>
      <c r="GXL37" s="953"/>
      <c r="GXM37" s="953"/>
      <c r="GXN37" s="953"/>
      <c r="GXO37" s="953"/>
      <c r="GXP37" s="953"/>
      <c r="GXQ37" s="953"/>
      <c r="GXR37" s="953"/>
      <c r="GXS37" s="953"/>
      <c r="GXT37" s="953"/>
      <c r="GXU37" s="953"/>
      <c r="GXV37" s="953"/>
      <c r="GXW37" s="953"/>
      <c r="GXX37" s="953"/>
      <c r="GXY37" s="953"/>
      <c r="GXZ37" s="953"/>
      <c r="GYA37" s="953"/>
      <c r="GYB37" s="953"/>
      <c r="GYC37" s="953"/>
      <c r="GYD37" s="953"/>
      <c r="GYE37" s="953"/>
      <c r="GYF37" s="953"/>
      <c r="GYG37" s="953"/>
      <c r="GYH37" s="953"/>
      <c r="GYI37" s="953"/>
      <c r="GYJ37" s="953"/>
      <c r="GYK37" s="953"/>
      <c r="GYL37" s="953"/>
      <c r="GYM37" s="953"/>
      <c r="GYN37" s="953"/>
      <c r="GYO37" s="953"/>
      <c r="GYP37" s="953"/>
      <c r="GYQ37" s="953"/>
      <c r="GYR37" s="953"/>
      <c r="GYS37" s="953"/>
      <c r="GYT37" s="953"/>
      <c r="GYU37" s="953"/>
      <c r="GYV37" s="953"/>
      <c r="GYW37" s="953"/>
      <c r="GYX37" s="953"/>
      <c r="GYY37" s="953"/>
      <c r="GYZ37" s="953"/>
      <c r="GZA37" s="953"/>
      <c r="GZB37" s="953"/>
      <c r="GZC37" s="953"/>
      <c r="GZD37" s="953"/>
      <c r="GZE37" s="953"/>
      <c r="GZF37" s="953"/>
      <c r="GZG37" s="953"/>
      <c r="GZH37" s="953"/>
      <c r="GZI37" s="953"/>
      <c r="GZJ37" s="953"/>
      <c r="GZK37" s="953"/>
      <c r="GZL37" s="953"/>
      <c r="GZM37" s="953"/>
      <c r="GZN37" s="953"/>
      <c r="GZO37" s="953"/>
      <c r="GZP37" s="953"/>
      <c r="GZQ37" s="953"/>
      <c r="GZR37" s="953"/>
      <c r="GZS37" s="953"/>
      <c r="GZT37" s="953"/>
      <c r="GZU37" s="953"/>
      <c r="GZV37" s="953"/>
      <c r="GZW37" s="953"/>
      <c r="GZX37" s="953"/>
      <c r="GZY37" s="953"/>
      <c r="GZZ37" s="953"/>
      <c r="HAA37" s="953"/>
      <c r="HAB37" s="953"/>
      <c r="HAC37" s="953"/>
      <c r="HAD37" s="953"/>
      <c r="HAE37" s="953"/>
      <c r="HAF37" s="953"/>
      <c r="HAG37" s="953"/>
      <c r="HAH37" s="953"/>
      <c r="HAI37" s="953"/>
      <c r="HAJ37" s="953"/>
      <c r="HAK37" s="953"/>
      <c r="HAL37" s="953"/>
      <c r="HAM37" s="953"/>
      <c r="HAN37" s="953"/>
      <c r="HAO37" s="953"/>
      <c r="HAP37" s="953"/>
      <c r="HAQ37" s="953"/>
      <c r="HAR37" s="953"/>
      <c r="HAS37" s="953"/>
      <c r="HAT37" s="953"/>
      <c r="HAU37" s="953"/>
      <c r="HAV37" s="953"/>
      <c r="HAW37" s="953"/>
      <c r="HAX37" s="953"/>
      <c r="HAY37" s="953"/>
      <c r="HAZ37" s="953"/>
      <c r="HBA37" s="953"/>
      <c r="HBB37" s="953"/>
      <c r="HBC37" s="953"/>
      <c r="HBD37" s="953"/>
      <c r="HBE37" s="953"/>
      <c r="HBF37" s="953"/>
      <c r="HBG37" s="953"/>
      <c r="HBH37" s="953"/>
      <c r="HBI37" s="953"/>
      <c r="HBJ37" s="953"/>
      <c r="HBK37" s="953"/>
      <c r="HBL37" s="953"/>
      <c r="HBM37" s="953"/>
      <c r="HBN37" s="953"/>
      <c r="HBO37" s="953"/>
      <c r="HBP37" s="953"/>
      <c r="HBQ37" s="953"/>
      <c r="HBR37" s="953"/>
      <c r="HBS37" s="953"/>
      <c r="HBT37" s="953"/>
      <c r="HBU37" s="953"/>
      <c r="HBV37" s="953"/>
      <c r="HBW37" s="953"/>
      <c r="HBX37" s="953"/>
      <c r="HBY37" s="953"/>
      <c r="HBZ37" s="953"/>
      <c r="HCA37" s="953"/>
      <c r="HCB37" s="953"/>
      <c r="HCC37" s="953"/>
      <c r="HCD37" s="953"/>
      <c r="HCE37" s="953"/>
      <c r="HCF37" s="953"/>
      <c r="HCG37" s="953"/>
      <c r="HCH37" s="953"/>
      <c r="HCI37" s="953"/>
      <c r="HCJ37" s="953"/>
      <c r="HCK37" s="953"/>
      <c r="HCL37" s="953"/>
      <c r="HCM37" s="953"/>
      <c r="HCN37" s="953"/>
      <c r="HCO37" s="953"/>
      <c r="HCP37" s="953"/>
      <c r="HCQ37" s="953"/>
      <c r="HCR37" s="953"/>
      <c r="HCS37" s="953"/>
      <c r="HCT37" s="953"/>
      <c r="HCU37" s="953"/>
      <c r="HCV37" s="953"/>
      <c r="HCW37" s="953"/>
      <c r="HCX37" s="953"/>
      <c r="HCY37" s="953"/>
      <c r="HCZ37" s="953"/>
      <c r="HDA37" s="953"/>
      <c r="HDB37" s="953"/>
      <c r="HDC37" s="953"/>
      <c r="HDD37" s="953"/>
      <c r="HDE37" s="953"/>
      <c r="HDF37" s="953"/>
      <c r="HDG37" s="953"/>
      <c r="HDH37" s="953"/>
      <c r="HDI37" s="953"/>
      <c r="HDJ37" s="953"/>
      <c r="HDK37" s="953"/>
      <c r="HDL37" s="953"/>
      <c r="HDM37" s="953"/>
      <c r="HDN37" s="953"/>
      <c r="HDO37" s="953"/>
      <c r="HDP37" s="953"/>
      <c r="HDQ37" s="953"/>
      <c r="HDR37" s="953"/>
      <c r="HDS37" s="953"/>
      <c r="HDT37" s="953"/>
      <c r="HDU37" s="953"/>
      <c r="HDV37" s="953"/>
      <c r="HDW37" s="953"/>
      <c r="HDX37" s="953"/>
      <c r="HDY37" s="953"/>
      <c r="HDZ37" s="953"/>
      <c r="HEA37" s="953"/>
      <c r="HEB37" s="953"/>
      <c r="HEC37" s="953"/>
      <c r="HED37" s="953"/>
      <c r="HEE37" s="953"/>
      <c r="HEF37" s="953"/>
      <c r="HEG37" s="953"/>
      <c r="HEH37" s="953"/>
      <c r="HEI37" s="953"/>
      <c r="HEJ37" s="953"/>
      <c r="HEK37" s="953"/>
      <c r="HEL37" s="953"/>
      <c r="HEM37" s="953"/>
      <c r="HEN37" s="953"/>
      <c r="HEO37" s="953"/>
      <c r="HEP37" s="953"/>
      <c r="HEQ37" s="953"/>
      <c r="HER37" s="953"/>
      <c r="HES37" s="953"/>
      <c r="HET37" s="953"/>
      <c r="HEU37" s="953"/>
      <c r="HEV37" s="953"/>
      <c r="HEW37" s="953"/>
      <c r="HEX37" s="953"/>
      <c r="HEY37" s="953"/>
      <c r="HEZ37" s="953"/>
      <c r="HFA37" s="953"/>
      <c r="HFB37" s="953"/>
      <c r="HFC37" s="953"/>
      <c r="HFD37" s="953"/>
      <c r="HFE37" s="953"/>
      <c r="HFF37" s="953"/>
      <c r="HFG37" s="953"/>
      <c r="HFH37" s="953"/>
      <c r="HFI37" s="953"/>
      <c r="HFJ37" s="953"/>
      <c r="HFK37" s="953"/>
      <c r="HFL37" s="953"/>
      <c r="HFM37" s="953"/>
      <c r="HFN37" s="953"/>
      <c r="HFO37" s="953"/>
      <c r="HFP37" s="953"/>
      <c r="HFQ37" s="953"/>
      <c r="HFR37" s="953"/>
      <c r="HFS37" s="953"/>
      <c r="HFT37" s="953"/>
      <c r="HFU37" s="953"/>
      <c r="HFV37" s="953"/>
      <c r="HFW37" s="953"/>
      <c r="HFX37" s="953"/>
      <c r="HFY37" s="953"/>
      <c r="HFZ37" s="953"/>
      <c r="HGA37" s="953"/>
      <c r="HGB37" s="953"/>
      <c r="HGC37" s="953"/>
      <c r="HGD37" s="953"/>
      <c r="HGE37" s="953"/>
      <c r="HGF37" s="953"/>
      <c r="HGG37" s="953"/>
      <c r="HGH37" s="953"/>
      <c r="HGI37" s="953"/>
      <c r="HGJ37" s="953"/>
      <c r="HGK37" s="953"/>
      <c r="HGL37" s="953"/>
      <c r="HGM37" s="953"/>
      <c r="HGN37" s="953"/>
      <c r="HGO37" s="953"/>
      <c r="HGP37" s="953"/>
      <c r="HGQ37" s="953"/>
      <c r="HGR37" s="953"/>
      <c r="HGS37" s="953"/>
      <c r="HGT37" s="953"/>
      <c r="HGU37" s="953"/>
      <c r="HGV37" s="953"/>
      <c r="HGW37" s="953"/>
      <c r="HGX37" s="953"/>
      <c r="HGY37" s="953"/>
      <c r="HGZ37" s="953"/>
      <c r="HHA37" s="953"/>
      <c r="HHB37" s="953"/>
      <c r="HHC37" s="953"/>
      <c r="HHD37" s="953"/>
      <c r="HHE37" s="953"/>
      <c r="HHF37" s="953"/>
      <c r="HHG37" s="953"/>
      <c r="HHH37" s="953"/>
      <c r="HHI37" s="953"/>
      <c r="HHJ37" s="953"/>
      <c r="HHK37" s="953"/>
      <c r="HHL37" s="953"/>
      <c r="HHM37" s="953"/>
      <c r="HHN37" s="953"/>
      <c r="HHO37" s="953"/>
      <c r="HHP37" s="953"/>
      <c r="HHQ37" s="953"/>
      <c r="HHR37" s="953"/>
      <c r="HHS37" s="953"/>
      <c r="HHT37" s="953"/>
      <c r="HHU37" s="953"/>
      <c r="HHV37" s="953"/>
      <c r="HHW37" s="953"/>
      <c r="HHX37" s="953"/>
      <c r="HHY37" s="953"/>
      <c r="HHZ37" s="953"/>
      <c r="HIA37" s="953"/>
      <c r="HIB37" s="953"/>
      <c r="HIC37" s="953"/>
      <c r="HID37" s="953"/>
      <c r="HIE37" s="953"/>
      <c r="HIF37" s="953"/>
      <c r="HIG37" s="953"/>
      <c r="HIH37" s="953"/>
      <c r="HII37" s="953"/>
      <c r="HIJ37" s="953"/>
      <c r="HIK37" s="953"/>
      <c r="HIL37" s="953"/>
      <c r="HIM37" s="953"/>
      <c r="HIN37" s="953"/>
      <c r="HIO37" s="953"/>
      <c r="HIP37" s="953"/>
      <c r="HIQ37" s="953"/>
      <c r="HIR37" s="953"/>
      <c r="HIS37" s="953"/>
      <c r="HIT37" s="953"/>
      <c r="HIU37" s="953"/>
      <c r="HIV37" s="953"/>
      <c r="HIW37" s="953"/>
      <c r="HIX37" s="953"/>
      <c r="HIY37" s="953"/>
      <c r="HIZ37" s="953"/>
      <c r="HJA37" s="953"/>
      <c r="HJB37" s="953"/>
      <c r="HJC37" s="953"/>
      <c r="HJD37" s="953"/>
      <c r="HJE37" s="953"/>
      <c r="HJF37" s="953"/>
      <c r="HJG37" s="953"/>
      <c r="HJH37" s="953"/>
      <c r="HJI37" s="953"/>
      <c r="HJJ37" s="953"/>
      <c r="HJK37" s="953"/>
      <c r="HJL37" s="953"/>
      <c r="HJM37" s="953"/>
      <c r="HJN37" s="953"/>
      <c r="HJO37" s="953"/>
      <c r="HJP37" s="953"/>
      <c r="HJQ37" s="953"/>
      <c r="HJR37" s="953"/>
      <c r="HJS37" s="953"/>
      <c r="HJT37" s="953"/>
      <c r="HJU37" s="953"/>
      <c r="HJV37" s="953"/>
      <c r="HJW37" s="953"/>
      <c r="HJX37" s="953"/>
      <c r="HJY37" s="953"/>
      <c r="HJZ37" s="953"/>
      <c r="HKA37" s="953"/>
      <c r="HKB37" s="953"/>
      <c r="HKC37" s="953"/>
      <c r="HKD37" s="953"/>
      <c r="HKE37" s="953"/>
      <c r="HKF37" s="953"/>
      <c r="HKG37" s="953"/>
      <c r="HKH37" s="953"/>
      <c r="HKI37" s="953"/>
      <c r="HKJ37" s="953"/>
      <c r="HKK37" s="953"/>
      <c r="HKL37" s="953"/>
      <c r="HKM37" s="953"/>
      <c r="HKN37" s="953"/>
      <c r="HKO37" s="953"/>
      <c r="HKP37" s="953"/>
      <c r="HKQ37" s="953"/>
      <c r="HKR37" s="953"/>
      <c r="HKS37" s="953"/>
      <c r="HKT37" s="953"/>
      <c r="HKU37" s="953"/>
      <c r="HKV37" s="953"/>
      <c r="HKW37" s="953"/>
      <c r="HKX37" s="953"/>
      <c r="HKY37" s="953"/>
      <c r="HKZ37" s="953"/>
      <c r="HLA37" s="953"/>
      <c r="HLB37" s="953"/>
      <c r="HLC37" s="953"/>
      <c r="HLD37" s="953"/>
      <c r="HLE37" s="953"/>
      <c r="HLF37" s="953"/>
      <c r="HLG37" s="953"/>
      <c r="HLH37" s="953"/>
      <c r="HLI37" s="953"/>
      <c r="HLJ37" s="953"/>
      <c r="HLK37" s="953"/>
      <c r="HLL37" s="953"/>
      <c r="HLM37" s="953"/>
      <c r="HLN37" s="953"/>
      <c r="HLO37" s="953"/>
      <c r="HLP37" s="953"/>
      <c r="HLQ37" s="953"/>
      <c r="HLR37" s="953"/>
      <c r="HLS37" s="953"/>
      <c r="HLT37" s="953"/>
      <c r="HLU37" s="953"/>
      <c r="HLV37" s="953"/>
      <c r="HLW37" s="953"/>
      <c r="HLX37" s="953"/>
      <c r="HLY37" s="953"/>
      <c r="HLZ37" s="953"/>
      <c r="HMA37" s="953"/>
      <c r="HMB37" s="953"/>
      <c r="HMC37" s="953"/>
      <c r="HMD37" s="953"/>
      <c r="HME37" s="953"/>
      <c r="HMF37" s="953"/>
      <c r="HMG37" s="953"/>
      <c r="HMH37" s="953"/>
      <c r="HMI37" s="953"/>
      <c r="HMJ37" s="953"/>
      <c r="HMK37" s="953"/>
      <c r="HML37" s="953"/>
      <c r="HMM37" s="953"/>
      <c r="HMN37" s="953"/>
      <c r="HMO37" s="953"/>
      <c r="HMP37" s="953"/>
      <c r="HMQ37" s="953"/>
      <c r="HMR37" s="953"/>
      <c r="HMS37" s="953"/>
      <c r="HMT37" s="953"/>
      <c r="HMU37" s="953"/>
      <c r="HMV37" s="953"/>
      <c r="HMW37" s="953"/>
      <c r="HMX37" s="953"/>
      <c r="HMY37" s="953"/>
      <c r="HMZ37" s="953"/>
      <c r="HNA37" s="953"/>
      <c r="HNB37" s="953"/>
      <c r="HNC37" s="953"/>
      <c r="HND37" s="953"/>
      <c r="HNE37" s="953"/>
      <c r="HNF37" s="953"/>
      <c r="HNG37" s="953"/>
      <c r="HNH37" s="953"/>
      <c r="HNI37" s="953"/>
      <c r="HNJ37" s="953"/>
      <c r="HNK37" s="953"/>
      <c r="HNL37" s="953"/>
      <c r="HNM37" s="953"/>
      <c r="HNN37" s="953"/>
      <c r="HNO37" s="953"/>
      <c r="HNP37" s="953"/>
      <c r="HNQ37" s="953"/>
      <c r="HNR37" s="953"/>
      <c r="HNS37" s="953"/>
      <c r="HNT37" s="953"/>
      <c r="HNU37" s="953"/>
      <c r="HNV37" s="953"/>
      <c r="HNW37" s="953"/>
      <c r="HNX37" s="953"/>
      <c r="HNY37" s="953"/>
      <c r="HNZ37" s="953"/>
      <c r="HOA37" s="953"/>
      <c r="HOB37" s="953"/>
      <c r="HOC37" s="953"/>
      <c r="HOD37" s="953"/>
      <c r="HOE37" s="953"/>
      <c r="HOF37" s="953"/>
      <c r="HOG37" s="953"/>
      <c r="HOH37" s="953"/>
      <c r="HOI37" s="953"/>
      <c r="HOJ37" s="953"/>
      <c r="HOK37" s="953"/>
      <c r="HOL37" s="953"/>
      <c r="HOM37" s="953"/>
      <c r="HON37" s="953"/>
      <c r="HOO37" s="953"/>
      <c r="HOP37" s="953"/>
      <c r="HOQ37" s="953"/>
      <c r="HOR37" s="953"/>
      <c r="HOS37" s="953"/>
      <c r="HOT37" s="953"/>
      <c r="HOU37" s="953"/>
      <c r="HOV37" s="953"/>
      <c r="HOW37" s="953"/>
      <c r="HOX37" s="953"/>
      <c r="HOY37" s="953"/>
      <c r="HOZ37" s="953"/>
      <c r="HPA37" s="953"/>
      <c r="HPB37" s="953"/>
      <c r="HPC37" s="953"/>
      <c r="HPD37" s="953"/>
      <c r="HPE37" s="953"/>
      <c r="HPF37" s="953"/>
      <c r="HPG37" s="953"/>
      <c r="HPH37" s="953"/>
      <c r="HPI37" s="953"/>
      <c r="HPJ37" s="953"/>
      <c r="HPK37" s="953"/>
      <c r="HPL37" s="953"/>
      <c r="HPM37" s="953"/>
      <c r="HPN37" s="953"/>
      <c r="HPO37" s="953"/>
      <c r="HPP37" s="953"/>
      <c r="HPQ37" s="953"/>
      <c r="HPR37" s="953"/>
      <c r="HPS37" s="953"/>
      <c r="HPT37" s="953"/>
      <c r="HPU37" s="953"/>
      <c r="HPV37" s="953"/>
      <c r="HPW37" s="953"/>
      <c r="HPX37" s="953"/>
      <c r="HPY37" s="953"/>
      <c r="HPZ37" s="953"/>
      <c r="HQA37" s="953"/>
      <c r="HQB37" s="953"/>
      <c r="HQC37" s="953"/>
      <c r="HQD37" s="953"/>
      <c r="HQE37" s="953"/>
      <c r="HQF37" s="953"/>
      <c r="HQG37" s="953"/>
      <c r="HQH37" s="953"/>
      <c r="HQI37" s="953"/>
      <c r="HQJ37" s="953"/>
      <c r="HQK37" s="953"/>
      <c r="HQL37" s="953"/>
      <c r="HQM37" s="953"/>
      <c r="HQN37" s="953"/>
      <c r="HQO37" s="953"/>
      <c r="HQP37" s="953"/>
      <c r="HQQ37" s="953"/>
      <c r="HQR37" s="953"/>
      <c r="HQS37" s="953"/>
      <c r="HQT37" s="953"/>
      <c r="HQU37" s="953"/>
      <c r="HQV37" s="953"/>
      <c r="HQW37" s="953"/>
      <c r="HQX37" s="953"/>
      <c r="HQY37" s="953"/>
      <c r="HQZ37" s="953"/>
      <c r="HRA37" s="953"/>
      <c r="HRB37" s="953"/>
      <c r="HRC37" s="953"/>
      <c r="HRD37" s="953"/>
      <c r="HRE37" s="953"/>
      <c r="HRF37" s="953"/>
      <c r="HRG37" s="953"/>
      <c r="HRH37" s="953"/>
      <c r="HRI37" s="953"/>
      <c r="HRJ37" s="953"/>
      <c r="HRK37" s="953"/>
      <c r="HRL37" s="953"/>
      <c r="HRM37" s="953"/>
      <c r="HRN37" s="953"/>
      <c r="HRO37" s="953"/>
      <c r="HRP37" s="953"/>
      <c r="HRQ37" s="953"/>
      <c r="HRR37" s="953"/>
      <c r="HRS37" s="953"/>
      <c r="HRT37" s="953"/>
      <c r="HRU37" s="953"/>
      <c r="HRV37" s="953"/>
      <c r="HRW37" s="953"/>
      <c r="HRX37" s="953"/>
      <c r="HRY37" s="953"/>
      <c r="HRZ37" s="953"/>
      <c r="HSA37" s="953"/>
      <c r="HSB37" s="953"/>
      <c r="HSC37" s="953"/>
      <c r="HSD37" s="953"/>
      <c r="HSE37" s="953"/>
      <c r="HSF37" s="953"/>
      <c r="HSG37" s="953"/>
      <c r="HSH37" s="953"/>
      <c r="HSI37" s="953"/>
      <c r="HSJ37" s="953"/>
      <c r="HSK37" s="953"/>
      <c r="HSL37" s="953"/>
      <c r="HSM37" s="953"/>
      <c r="HSN37" s="953"/>
      <c r="HSO37" s="953"/>
      <c r="HSP37" s="953"/>
      <c r="HSQ37" s="953"/>
      <c r="HSR37" s="953"/>
      <c r="HSS37" s="953"/>
      <c r="HST37" s="953"/>
      <c r="HSU37" s="953"/>
      <c r="HSV37" s="953"/>
      <c r="HSW37" s="953"/>
      <c r="HSX37" s="953"/>
      <c r="HSY37" s="953"/>
      <c r="HSZ37" s="953"/>
      <c r="HTA37" s="953"/>
      <c r="HTB37" s="953"/>
      <c r="HTC37" s="953"/>
      <c r="HTD37" s="953"/>
      <c r="HTE37" s="953"/>
      <c r="HTF37" s="953"/>
      <c r="HTG37" s="953"/>
      <c r="HTH37" s="953"/>
      <c r="HTI37" s="953"/>
      <c r="HTJ37" s="953"/>
      <c r="HTK37" s="953"/>
      <c r="HTL37" s="953"/>
      <c r="HTM37" s="953"/>
      <c r="HTN37" s="953"/>
      <c r="HTO37" s="953"/>
      <c r="HTP37" s="953"/>
      <c r="HTQ37" s="953"/>
      <c r="HTR37" s="953"/>
      <c r="HTS37" s="953"/>
      <c r="HTT37" s="953"/>
      <c r="HTU37" s="953"/>
      <c r="HTV37" s="953"/>
      <c r="HTW37" s="953"/>
      <c r="HTX37" s="953"/>
      <c r="HTY37" s="953"/>
      <c r="HTZ37" s="953"/>
      <c r="HUA37" s="953"/>
      <c r="HUB37" s="953"/>
      <c r="HUC37" s="953"/>
      <c r="HUD37" s="953"/>
      <c r="HUE37" s="953"/>
      <c r="HUF37" s="953"/>
      <c r="HUG37" s="953"/>
      <c r="HUH37" s="953"/>
      <c r="HUI37" s="953"/>
      <c r="HUJ37" s="953"/>
      <c r="HUK37" s="953"/>
      <c r="HUL37" s="953"/>
      <c r="HUM37" s="953"/>
      <c r="HUN37" s="953"/>
      <c r="HUO37" s="953"/>
      <c r="HUP37" s="953"/>
      <c r="HUQ37" s="953"/>
      <c r="HUR37" s="953"/>
      <c r="HUS37" s="953"/>
      <c r="HUT37" s="953"/>
      <c r="HUU37" s="953"/>
      <c r="HUV37" s="953"/>
      <c r="HUW37" s="953"/>
      <c r="HUX37" s="953"/>
      <c r="HUY37" s="953"/>
      <c r="HUZ37" s="953"/>
      <c r="HVA37" s="953"/>
      <c r="HVB37" s="953"/>
      <c r="HVC37" s="953"/>
      <c r="HVD37" s="953"/>
      <c r="HVE37" s="953"/>
      <c r="HVF37" s="953"/>
      <c r="HVG37" s="953"/>
      <c r="HVH37" s="953"/>
      <c r="HVI37" s="953"/>
      <c r="HVJ37" s="953"/>
      <c r="HVK37" s="953"/>
      <c r="HVL37" s="953"/>
      <c r="HVM37" s="953"/>
      <c r="HVN37" s="953"/>
      <c r="HVO37" s="953"/>
      <c r="HVP37" s="953"/>
      <c r="HVQ37" s="953"/>
      <c r="HVR37" s="953"/>
      <c r="HVS37" s="953"/>
      <c r="HVT37" s="953"/>
      <c r="HVU37" s="953"/>
      <c r="HVV37" s="953"/>
      <c r="HVW37" s="953"/>
      <c r="HVX37" s="953"/>
      <c r="HVY37" s="953"/>
      <c r="HVZ37" s="953"/>
      <c r="HWA37" s="953"/>
      <c r="HWB37" s="953"/>
      <c r="HWC37" s="953"/>
      <c r="HWD37" s="953"/>
      <c r="HWE37" s="953"/>
      <c r="HWF37" s="953"/>
      <c r="HWG37" s="953"/>
      <c r="HWH37" s="953"/>
      <c r="HWI37" s="953"/>
      <c r="HWJ37" s="953"/>
      <c r="HWK37" s="953"/>
      <c r="HWL37" s="953"/>
      <c r="HWM37" s="953"/>
      <c r="HWN37" s="953"/>
      <c r="HWO37" s="953"/>
      <c r="HWP37" s="953"/>
      <c r="HWQ37" s="953"/>
      <c r="HWR37" s="953"/>
      <c r="HWS37" s="953"/>
      <c r="HWT37" s="953"/>
      <c r="HWU37" s="953"/>
      <c r="HWV37" s="953"/>
      <c r="HWW37" s="953"/>
      <c r="HWX37" s="953"/>
      <c r="HWY37" s="953"/>
      <c r="HWZ37" s="953"/>
      <c r="HXA37" s="953"/>
      <c r="HXB37" s="953"/>
      <c r="HXC37" s="953"/>
      <c r="HXD37" s="953"/>
      <c r="HXE37" s="953"/>
      <c r="HXF37" s="953"/>
      <c r="HXG37" s="953"/>
      <c r="HXH37" s="953"/>
      <c r="HXI37" s="953"/>
      <c r="HXJ37" s="953"/>
      <c r="HXK37" s="953"/>
      <c r="HXL37" s="953"/>
      <c r="HXM37" s="953"/>
      <c r="HXN37" s="953"/>
      <c r="HXO37" s="953"/>
      <c r="HXP37" s="953"/>
      <c r="HXQ37" s="953"/>
      <c r="HXR37" s="953"/>
      <c r="HXS37" s="953"/>
      <c r="HXT37" s="953"/>
      <c r="HXU37" s="953"/>
      <c r="HXV37" s="953"/>
      <c r="HXW37" s="953"/>
      <c r="HXX37" s="953"/>
      <c r="HXY37" s="953"/>
      <c r="HXZ37" s="953"/>
      <c r="HYA37" s="953"/>
      <c r="HYB37" s="953"/>
      <c r="HYC37" s="953"/>
      <c r="HYD37" s="953"/>
      <c r="HYE37" s="953"/>
      <c r="HYF37" s="953"/>
      <c r="HYG37" s="953"/>
      <c r="HYH37" s="953"/>
      <c r="HYI37" s="953"/>
      <c r="HYJ37" s="953"/>
      <c r="HYK37" s="953"/>
      <c r="HYL37" s="953"/>
      <c r="HYM37" s="953"/>
      <c r="HYN37" s="953"/>
      <c r="HYO37" s="953"/>
      <c r="HYP37" s="953"/>
      <c r="HYQ37" s="953"/>
      <c r="HYR37" s="953"/>
      <c r="HYS37" s="953"/>
      <c r="HYT37" s="953"/>
      <c r="HYU37" s="953"/>
      <c r="HYV37" s="953"/>
      <c r="HYW37" s="953"/>
      <c r="HYX37" s="953"/>
      <c r="HYY37" s="953"/>
      <c r="HYZ37" s="953"/>
      <c r="HZA37" s="953"/>
      <c r="HZB37" s="953"/>
      <c r="HZC37" s="953"/>
      <c r="HZD37" s="953"/>
      <c r="HZE37" s="953"/>
      <c r="HZF37" s="953"/>
      <c r="HZG37" s="953"/>
      <c r="HZH37" s="953"/>
      <c r="HZI37" s="953"/>
      <c r="HZJ37" s="953"/>
      <c r="HZK37" s="953"/>
      <c r="HZL37" s="953"/>
      <c r="HZM37" s="953"/>
      <c r="HZN37" s="953"/>
      <c r="HZO37" s="953"/>
      <c r="HZP37" s="953"/>
      <c r="HZQ37" s="953"/>
      <c r="HZR37" s="953"/>
      <c r="HZS37" s="953"/>
      <c r="HZT37" s="953"/>
      <c r="HZU37" s="953"/>
      <c r="HZV37" s="953"/>
      <c r="HZW37" s="953"/>
      <c r="HZX37" s="953"/>
      <c r="HZY37" s="953"/>
      <c r="HZZ37" s="953"/>
      <c r="IAA37" s="953"/>
      <c r="IAB37" s="953"/>
      <c r="IAC37" s="953"/>
      <c r="IAD37" s="953"/>
      <c r="IAE37" s="953"/>
      <c r="IAF37" s="953"/>
      <c r="IAG37" s="953"/>
      <c r="IAH37" s="953"/>
      <c r="IAI37" s="953"/>
      <c r="IAJ37" s="953"/>
      <c r="IAK37" s="953"/>
      <c r="IAL37" s="953"/>
      <c r="IAM37" s="953"/>
      <c r="IAN37" s="953"/>
      <c r="IAO37" s="953"/>
      <c r="IAP37" s="953"/>
      <c r="IAQ37" s="953"/>
      <c r="IAR37" s="953"/>
      <c r="IAS37" s="953"/>
      <c r="IAT37" s="953"/>
      <c r="IAU37" s="953"/>
      <c r="IAV37" s="953"/>
      <c r="IAW37" s="953"/>
      <c r="IAX37" s="953"/>
      <c r="IAY37" s="953"/>
      <c r="IAZ37" s="953"/>
      <c r="IBA37" s="953"/>
      <c r="IBB37" s="953"/>
      <c r="IBC37" s="953"/>
      <c r="IBD37" s="953"/>
      <c r="IBE37" s="953"/>
      <c r="IBF37" s="953"/>
      <c r="IBG37" s="953"/>
      <c r="IBH37" s="953"/>
      <c r="IBI37" s="953"/>
      <c r="IBJ37" s="953"/>
      <c r="IBK37" s="953"/>
      <c r="IBL37" s="953"/>
      <c r="IBM37" s="953"/>
      <c r="IBN37" s="953"/>
      <c r="IBO37" s="953"/>
      <c r="IBP37" s="953"/>
      <c r="IBQ37" s="953"/>
      <c r="IBR37" s="953"/>
      <c r="IBS37" s="953"/>
      <c r="IBT37" s="953"/>
      <c r="IBU37" s="953"/>
      <c r="IBV37" s="953"/>
      <c r="IBW37" s="953"/>
      <c r="IBX37" s="953"/>
      <c r="IBY37" s="953"/>
      <c r="IBZ37" s="953"/>
      <c r="ICA37" s="953"/>
      <c r="ICB37" s="953"/>
      <c r="ICC37" s="953"/>
      <c r="ICD37" s="953"/>
      <c r="ICE37" s="953"/>
      <c r="ICF37" s="953"/>
      <c r="ICG37" s="953"/>
      <c r="ICH37" s="953"/>
      <c r="ICI37" s="953"/>
      <c r="ICJ37" s="953"/>
      <c r="ICK37" s="953"/>
      <c r="ICL37" s="953"/>
      <c r="ICM37" s="953"/>
      <c r="ICN37" s="953"/>
      <c r="ICO37" s="953"/>
      <c r="ICP37" s="953"/>
      <c r="ICQ37" s="953"/>
      <c r="ICR37" s="953"/>
      <c r="ICS37" s="953"/>
      <c r="ICT37" s="953"/>
      <c r="ICU37" s="953"/>
      <c r="ICV37" s="953"/>
      <c r="ICW37" s="953"/>
      <c r="ICX37" s="953"/>
      <c r="ICY37" s="953"/>
      <c r="ICZ37" s="953"/>
      <c r="IDA37" s="953"/>
      <c r="IDB37" s="953"/>
      <c r="IDC37" s="953"/>
      <c r="IDD37" s="953"/>
      <c r="IDE37" s="953"/>
      <c r="IDF37" s="953"/>
      <c r="IDG37" s="953"/>
      <c r="IDH37" s="953"/>
      <c r="IDI37" s="953"/>
      <c r="IDJ37" s="953"/>
      <c r="IDK37" s="953"/>
      <c r="IDL37" s="953"/>
      <c r="IDM37" s="953"/>
      <c r="IDN37" s="953"/>
      <c r="IDO37" s="953"/>
      <c r="IDP37" s="953"/>
      <c r="IDQ37" s="953"/>
      <c r="IDR37" s="953"/>
      <c r="IDS37" s="953"/>
      <c r="IDT37" s="953"/>
      <c r="IDU37" s="953"/>
      <c r="IDV37" s="953"/>
      <c r="IDW37" s="953"/>
      <c r="IDX37" s="953"/>
      <c r="IDY37" s="953"/>
      <c r="IDZ37" s="953"/>
      <c r="IEA37" s="953"/>
      <c r="IEB37" s="953"/>
      <c r="IEC37" s="953"/>
      <c r="IED37" s="953"/>
      <c r="IEE37" s="953"/>
      <c r="IEF37" s="953"/>
      <c r="IEG37" s="953"/>
      <c r="IEH37" s="953"/>
      <c r="IEI37" s="953"/>
      <c r="IEJ37" s="953"/>
      <c r="IEK37" s="953"/>
      <c r="IEL37" s="953"/>
      <c r="IEM37" s="953"/>
      <c r="IEN37" s="953"/>
      <c r="IEO37" s="953"/>
      <c r="IEP37" s="953"/>
      <c r="IEQ37" s="953"/>
      <c r="IER37" s="953"/>
      <c r="IES37" s="953"/>
      <c r="IET37" s="953"/>
      <c r="IEU37" s="953"/>
      <c r="IEV37" s="953"/>
      <c r="IEW37" s="953"/>
      <c r="IEX37" s="953"/>
      <c r="IEY37" s="953"/>
      <c r="IEZ37" s="953"/>
      <c r="IFA37" s="953"/>
      <c r="IFB37" s="953"/>
      <c r="IFC37" s="953"/>
      <c r="IFD37" s="953"/>
      <c r="IFE37" s="953"/>
      <c r="IFF37" s="953"/>
      <c r="IFG37" s="953"/>
      <c r="IFH37" s="953"/>
      <c r="IFI37" s="953"/>
      <c r="IFJ37" s="953"/>
      <c r="IFK37" s="953"/>
      <c r="IFL37" s="953"/>
      <c r="IFM37" s="953"/>
      <c r="IFN37" s="953"/>
      <c r="IFO37" s="953"/>
      <c r="IFP37" s="953"/>
      <c r="IFQ37" s="953"/>
      <c r="IFR37" s="953"/>
      <c r="IFS37" s="953"/>
      <c r="IFT37" s="953"/>
      <c r="IFU37" s="953"/>
      <c r="IFV37" s="953"/>
      <c r="IFW37" s="953"/>
      <c r="IFX37" s="953"/>
      <c r="IFY37" s="953"/>
      <c r="IFZ37" s="953"/>
      <c r="IGA37" s="953"/>
      <c r="IGB37" s="953"/>
      <c r="IGC37" s="953"/>
      <c r="IGD37" s="953"/>
      <c r="IGE37" s="953"/>
      <c r="IGF37" s="953"/>
      <c r="IGG37" s="953"/>
      <c r="IGH37" s="953"/>
      <c r="IGI37" s="953"/>
      <c r="IGJ37" s="953"/>
      <c r="IGK37" s="953"/>
      <c r="IGL37" s="953"/>
      <c r="IGM37" s="953"/>
      <c r="IGN37" s="953"/>
      <c r="IGO37" s="953"/>
      <c r="IGP37" s="953"/>
      <c r="IGQ37" s="953"/>
      <c r="IGR37" s="953"/>
      <c r="IGS37" s="953"/>
      <c r="IGT37" s="953"/>
      <c r="IGU37" s="953"/>
      <c r="IGV37" s="953"/>
      <c r="IGW37" s="953"/>
      <c r="IGX37" s="953"/>
      <c r="IGY37" s="953"/>
      <c r="IGZ37" s="953"/>
      <c r="IHA37" s="953"/>
      <c r="IHB37" s="953"/>
      <c r="IHC37" s="953"/>
      <c r="IHD37" s="953"/>
      <c r="IHE37" s="953"/>
      <c r="IHF37" s="953"/>
      <c r="IHG37" s="953"/>
      <c r="IHH37" s="953"/>
      <c r="IHI37" s="953"/>
      <c r="IHJ37" s="953"/>
      <c r="IHK37" s="953"/>
      <c r="IHL37" s="953"/>
      <c r="IHM37" s="953"/>
      <c r="IHN37" s="953"/>
      <c r="IHO37" s="953"/>
      <c r="IHP37" s="953"/>
      <c r="IHQ37" s="953"/>
      <c r="IHR37" s="953"/>
      <c r="IHS37" s="953"/>
      <c r="IHT37" s="953"/>
      <c r="IHU37" s="953"/>
      <c r="IHV37" s="953"/>
      <c r="IHW37" s="953"/>
      <c r="IHX37" s="953"/>
      <c r="IHY37" s="953"/>
      <c r="IHZ37" s="953"/>
      <c r="IIA37" s="953"/>
      <c r="IIB37" s="953"/>
      <c r="IIC37" s="953"/>
      <c r="IID37" s="953"/>
      <c r="IIE37" s="953"/>
      <c r="IIF37" s="953"/>
      <c r="IIG37" s="953"/>
      <c r="IIH37" s="953"/>
      <c r="III37" s="953"/>
      <c r="IIJ37" s="953"/>
      <c r="IIK37" s="953"/>
      <c r="IIL37" s="953"/>
      <c r="IIM37" s="953"/>
      <c r="IIN37" s="953"/>
      <c r="IIO37" s="953"/>
      <c r="IIP37" s="953"/>
      <c r="IIQ37" s="953"/>
      <c r="IIR37" s="953"/>
      <c r="IIS37" s="953"/>
      <c r="IIT37" s="953"/>
      <c r="IIU37" s="953"/>
      <c r="IIV37" s="953"/>
      <c r="IIW37" s="953"/>
      <c r="IIX37" s="953"/>
      <c r="IIY37" s="953"/>
      <c r="IIZ37" s="953"/>
      <c r="IJA37" s="953"/>
      <c r="IJB37" s="953"/>
      <c r="IJC37" s="953"/>
      <c r="IJD37" s="953"/>
      <c r="IJE37" s="953"/>
      <c r="IJF37" s="953"/>
      <c r="IJG37" s="953"/>
      <c r="IJH37" s="953"/>
      <c r="IJI37" s="953"/>
      <c r="IJJ37" s="953"/>
      <c r="IJK37" s="953"/>
      <c r="IJL37" s="953"/>
      <c r="IJM37" s="953"/>
      <c r="IJN37" s="953"/>
      <c r="IJO37" s="953"/>
      <c r="IJP37" s="953"/>
      <c r="IJQ37" s="953"/>
      <c r="IJR37" s="953"/>
      <c r="IJS37" s="953"/>
      <c r="IJT37" s="953"/>
      <c r="IJU37" s="953"/>
      <c r="IJV37" s="953"/>
      <c r="IJW37" s="953"/>
      <c r="IJX37" s="953"/>
      <c r="IJY37" s="953"/>
      <c r="IJZ37" s="953"/>
      <c r="IKA37" s="953"/>
      <c r="IKB37" s="953"/>
      <c r="IKC37" s="953"/>
      <c r="IKD37" s="953"/>
      <c r="IKE37" s="953"/>
      <c r="IKF37" s="953"/>
      <c r="IKG37" s="953"/>
      <c r="IKH37" s="953"/>
      <c r="IKI37" s="953"/>
      <c r="IKJ37" s="953"/>
      <c r="IKK37" s="953"/>
      <c r="IKL37" s="953"/>
      <c r="IKM37" s="953"/>
      <c r="IKN37" s="953"/>
      <c r="IKO37" s="953"/>
      <c r="IKP37" s="953"/>
      <c r="IKQ37" s="953"/>
      <c r="IKR37" s="953"/>
      <c r="IKS37" s="953"/>
      <c r="IKT37" s="953"/>
      <c r="IKU37" s="953"/>
      <c r="IKV37" s="953"/>
      <c r="IKW37" s="953"/>
      <c r="IKX37" s="953"/>
      <c r="IKY37" s="953"/>
      <c r="IKZ37" s="953"/>
      <c r="ILA37" s="953"/>
      <c r="ILB37" s="953"/>
      <c r="ILC37" s="953"/>
      <c r="ILD37" s="953"/>
      <c r="ILE37" s="953"/>
      <c r="ILF37" s="953"/>
      <c r="ILG37" s="953"/>
      <c r="ILH37" s="953"/>
      <c r="ILI37" s="953"/>
      <c r="ILJ37" s="953"/>
      <c r="ILK37" s="953"/>
      <c r="ILL37" s="953"/>
      <c r="ILM37" s="953"/>
      <c r="ILN37" s="953"/>
      <c r="ILO37" s="953"/>
      <c r="ILP37" s="953"/>
      <c r="ILQ37" s="953"/>
      <c r="ILR37" s="953"/>
      <c r="ILS37" s="953"/>
      <c r="ILT37" s="953"/>
      <c r="ILU37" s="953"/>
      <c r="ILV37" s="953"/>
      <c r="ILW37" s="953"/>
      <c r="ILX37" s="953"/>
      <c r="ILY37" s="953"/>
      <c r="ILZ37" s="953"/>
      <c r="IMA37" s="953"/>
      <c r="IMB37" s="953"/>
      <c r="IMC37" s="953"/>
      <c r="IMD37" s="953"/>
      <c r="IME37" s="953"/>
      <c r="IMF37" s="953"/>
      <c r="IMG37" s="953"/>
      <c r="IMH37" s="953"/>
      <c r="IMI37" s="953"/>
      <c r="IMJ37" s="953"/>
      <c r="IMK37" s="953"/>
      <c r="IML37" s="953"/>
      <c r="IMM37" s="953"/>
      <c r="IMN37" s="953"/>
      <c r="IMO37" s="953"/>
      <c r="IMP37" s="953"/>
      <c r="IMQ37" s="953"/>
      <c r="IMR37" s="953"/>
      <c r="IMS37" s="953"/>
      <c r="IMT37" s="953"/>
      <c r="IMU37" s="953"/>
      <c r="IMV37" s="953"/>
      <c r="IMW37" s="953"/>
      <c r="IMX37" s="953"/>
      <c r="IMY37" s="953"/>
      <c r="IMZ37" s="953"/>
      <c r="INA37" s="953"/>
      <c r="INB37" s="953"/>
      <c r="INC37" s="953"/>
      <c r="IND37" s="953"/>
      <c r="INE37" s="953"/>
      <c r="INF37" s="953"/>
      <c r="ING37" s="953"/>
      <c r="INH37" s="953"/>
      <c r="INI37" s="953"/>
      <c r="INJ37" s="953"/>
      <c r="INK37" s="953"/>
      <c r="INL37" s="953"/>
      <c r="INM37" s="953"/>
      <c r="INN37" s="953"/>
      <c r="INO37" s="953"/>
      <c r="INP37" s="953"/>
      <c r="INQ37" s="953"/>
      <c r="INR37" s="953"/>
      <c r="INS37" s="953"/>
      <c r="INT37" s="953"/>
      <c r="INU37" s="953"/>
      <c r="INV37" s="953"/>
      <c r="INW37" s="953"/>
      <c r="INX37" s="953"/>
      <c r="INY37" s="953"/>
      <c r="INZ37" s="953"/>
      <c r="IOA37" s="953"/>
      <c r="IOB37" s="953"/>
      <c r="IOC37" s="953"/>
      <c r="IOD37" s="953"/>
      <c r="IOE37" s="953"/>
      <c r="IOF37" s="953"/>
      <c r="IOG37" s="953"/>
      <c r="IOH37" s="953"/>
      <c r="IOI37" s="953"/>
      <c r="IOJ37" s="953"/>
      <c r="IOK37" s="953"/>
      <c r="IOL37" s="953"/>
      <c r="IOM37" s="953"/>
      <c r="ION37" s="953"/>
      <c r="IOO37" s="953"/>
      <c r="IOP37" s="953"/>
      <c r="IOQ37" s="953"/>
      <c r="IOR37" s="953"/>
      <c r="IOS37" s="953"/>
      <c r="IOT37" s="953"/>
      <c r="IOU37" s="953"/>
      <c r="IOV37" s="953"/>
      <c r="IOW37" s="953"/>
      <c r="IOX37" s="953"/>
      <c r="IOY37" s="953"/>
      <c r="IOZ37" s="953"/>
      <c r="IPA37" s="953"/>
      <c r="IPB37" s="953"/>
      <c r="IPC37" s="953"/>
      <c r="IPD37" s="953"/>
      <c r="IPE37" s="953"/>
      <c r="IPF37" s="953"/>
      <c r="IPG37" s="953"/>
      <c r="IPH37" s="953"/>
      <c r="IPI37" s="953"/>
      <c r="IPJ37" s="953"/>
      <c r="IPK37" s="953"/>
      <c r="IPL37" s="953"/>
      <c r="IPM37" s="953"/>
      <c r="IPN37" s="953"/>
      <c r="IPO37" s="953"/>
      <c r="IPP37" s="953"/>
      <c r="IPQ37" s="953"/>
      <c r="IPR37" s="953"/>
      <c r="IPS37" s="953"/>
      <c r="IPT37" s="953"/>
      <c r="IPU37" s="953"/>
      <c r="IPV37" s="953"/>
      <c r="IPW37" s="953"/>
      <c r="IPX37" s="953"/>
      <c r="IPY37" s="953"/>
      <c r="IPZ37" s="953"/>
      <c r="IQA37" s="953"/>
      <c r="IQB37" s="953"/>
      <c r="IQC37" s="953"/>
      <c r="IQD37" s="953"/>
      <c r="IQE37" s="953"/>
      <c r="IQF37" s="953"/>
      <c r="IQG37" s="953"/>
      <c r="IQH37" s="953"/>
      <c r="IQI37" s="953"/>
      <c r="IQJ37" s="953"/>
      <c r="IQK37" s="953"/>
      <c r="IQL37" s="953"/>
      <c r="IQM37" s="953"/>
      <c r="IQN37" s="953"/>
      <c r="IQO37" s="953"/>
      <c r="IQP37" s="953"/>
      <c r="IQQ37" s="953"/>
      <c r="IQR37" s="953"/>
      <c r="IQS37" s="953"/>
      <c r="IQT37" s="953"/>
      <c r="IQU37" s="953"/>
      <c r="IQV37" s="953"/>
      <c r="IQW37" s="953"/>
      <c r="IQX37" s="953"/>
      <c r="IQY37" s="953"/>
      <c r="IQZ37" s="953"/>
      <c r="IRA37" s="953"/>
      <c r="IRB37" s="953"/>
      <c r="IRC37" s="953"/>
      <c r="IRD37" s="953"/>
      <c r="IRE37" s="953"/>
      <c r="IRF37" s="953"/>
      <c r="IRG37" s="953"/>
      <c r="IRH37" s="953"/>
      <c r="IRI37" s="953"/>
      <c r="IRJ37" s="953"/>
      <c r="IRK37" s="953"/>
      <c r="IRL37" s="953"/>
      <c r="IRM37" s="953"/>
      <c r="IRN37" s="953"/>
      <c r="IRO37" s="953"/>
      <c r="IRP37" s="953"/>
      <c r="IRQ37" s="953"/>
      <c r="IRR37" s="953"/>
      <c r="IRS37" s="953"/>
      <c r="IRT37" s="953"/>
      <c r="IRU37" s="953"/>
      <c r="IRV37" s="953"/>
      <c r="IRW37" s="953"/>
      <c r="IRX37" s="953"/>
      <c r="IRY37" s="953"/>
      <c r="IRZ37" s="953"/>
      <c r="ISA37" s="953"/>
      <c r="ISB37" s="953"/>
      <c r="ISC37" s="953"/>
      <c r="ISD37" s="953"/>
      <c r="ISE37" s="953"/>
      <c r="ISF37" s="953"/>
      <c r="ISG37" s="953"/>
      <c r="ISH37" s="953"/>
      <c r="ISI37" s="953"/>
      <c r="ISJ37" s="953"/>
      <c r="ISK37" s="953"/>
      <c r="ISL37" s="953"/>
      <c r="ISM37" s="953"/>
      <c r="ISN37" s="953"/>
      <c r="ISO37" s="953"/>
      <c r="ISP37" s="953"/>
      <c r="ISQ37" s="953"/>
      <c r="ISR37" s="953"/>
      <c r="ISS37" s="953"/>
      <c r="IST37" s="953"/>
      <c r="ISU37" s="953"/>
      <c r="ISV37" s="953"/>
      <c r="ISW37" s="953"/>
      <c r="ISX37" s="953"/>
      <c r="ISY37" s="953"/>
      <c r="ISZ37" s="953"/>
      <c r="ITA37" s="953"/>
      <c r="ITB37" s="953"/>
      <c r="ITC37" s="953"/>
      <c r="ITD37" s="953"/>
      <c r="ITE37" s="953"/>
      <c r="ITF37" s="953"/>
      <c r="ITG37" s="953"/>
      <c r="ITH37" s="953"/>
      <c r="ITI37" s="953"/>
      <c r="ITJ37" s="953"/>
      <c r="ITK37" s="953"/>
      <c r="ITL37" s="953"/>
      <c r="ITM37" s="953"/>
      <c r="ITN37" s="953"/>
      <c r="ITO37" s="953"/>
      <c r="ITP37" s="953"/>
      <c r="ITQ37" s="953"/>
      <c r="ITR37" s="953"/>
      <c r="ITS37" s="953"/>
      <c r="ITT37" s="953"/>
      <c r="ITU37" s="953"/>
      <c r="ITV37" s="953"/>
      <c r="ITW37" s="953"/>
      <c r="ITX37" s="953"/>
      <c r="ITY37" s="953"/>
      <c r="ITZ37" s="953"/>
      <c r="IUA37" s="953"/>
      <c r="IUB37" s="953"/>
      <c r="IUC37" s="953"/>
      <c r="IUD37" s="953"/>
      <c r="IUE37" s="953"/>
      <c r="IUF37" s="953"/>
      <c r="IUG37" s="953"/>
      <c r="IUH37" s="953"/>
      <c r="IUI37" s="953"/>
      <c r="IUJ37" s="953"/>
      <c r="IUK37" s="953"/>
      <c r="IUL37" s="953"/>
      <c r="IUM37" s="953"/>
      <c r="IUN37" s="953"/>
      <c r="IUO37" s="953"/>
      <c r="IUP37" s="953"/>
      <c r="IUQ37" s="953"/>
      <c r="IUR37" s="953"/>
      <c r="IUS37" s="953"/>
      <c r="IUT37" s="953"/>
      <c r="IUU37" s="953"/>
      <c r="IUV37" s="953"/>
      <c r="IUW37" s="953"/>
      <c r="IUX37" s="953"/>
      <c r="IUY37" s="953"/>
      <c r="IUZ37" s="953"/>
      <c r="IVA37" s="953"/>
      <c r="IVB37" s="953"/>
      <c r="IVC37" s="953"/>
      <c r="IVD37" s="953"/>
      <c r="IVE37" s="953"/>
      <c r="IVF37" s="953"/>
      <c r="IVG37" s="953"/>
      <c r="IVH37" s="953"/>
      <c r="IVI37" s="953"/>
      <c r="IVJ37" s="953"/>
      <c r="IVK37" s="953"/>
      <c r="IVL37" s="953"/>
      <c r="IVM37" s="953"/>
      <c r="IVN37" s="953"/>
      <c r="IVO37" s="953"/>
      <c r="IVP37" s="953"/>
      <c r="IVQ37" s="953"/>
      <c r="IVR37" s="953"/>
      <c r="IVS37" s="953"/>
      <c r="IVT37" s="953"/>
      <c r="IVU37" s="953"/>
      <c r="IVV37" s="953"/>
      <c r="IVW37" s="953"/>
      <c r="IVX37" s="953"/>
      <c r="IVY37" s="953"/>
      <c r="IVZ37" s="953"/>
      <c r="IWA37" s="953"/>
      <c r="IWB37" s="953"/>
      <c r="IWC37" s="953"/>
      <c r="IWD37" s="953"/>
      <c r="IWE37" s="953"/>
      <c r="IWF37" s="953"/>
      <c r="IWG37" s="953"/>
      <c r="IWH37" s="953"/>
      <c r="IWI37" s="953"/>
      <c r="IWJ37" s="953"/>
      <c r="IWK37" s="953"/>
      <c r="IWL37" s="953"/>
      <c r="IWM37" s="953"/>
      <c r="IWN37" s="953"/>
      <c r="IWO37" s="953"/>
      <c r="IWP37" s="953"/>
      <c r="IWQ37" s="953"/>
      <c r="IWR37" s="953"/>
      <c r="IWS37" s="953"/>
      <c r="IWT37" s="953"/>
      <c r="IWU37" s="953"/>
      <c r="IWV37" s="953"/>
      <c r="IWW37" s="953"/>
      <c r="IWX37" s="953"/>
      <c r="IWY37" s="953"/>
      <c r="IWZ37" s="953"/>
      <c r="IXA37" s="953"/>
      <c r="IXB37" s="953"/>
      <c r="IXC37" s="953"/>
      <c r="IXD37" s="953"/>
      <c r="IXE37" s="953"/>
      <c r="IXF37" s="953"/>
      <c r="IXG37" s="953"/>
      <c r="IXH37" s="953"/>
      <c r="IXI37" s="953"/>
      <c r="IXJ37" s="953"/>
      <c r="IXK37" s="953"/>
      <c r="IXL37" s="953"/>
      <c r="IXM37" s="953"/>
      <c r="IXN37" s="953"/>
      <c r="IXO37" s="953"/>
      <c r="IXP37" s="953"/>
      <c r="IXQ37" s="953"/>
      <c r="IXR37" s="953"/>
      <c r="IXS37" s="953"/>
      <c r="IXT37" s="953"/>
      <c r="IXU37" s="953"/>
      <c r="IXV37" s="953"/>
      <c r="IXW37" s="953"/>
      <c r="IXX37" s="953"/>
      <c r="IXY37" s="953"/>
      <c r="IXZ37" s="953"/>
      <c r="IYA37" s="953"/>
      <c r="IYB37" s="953"/>
      <c r="IYC37" s="953"/>
      <c r="IYD37" s="953"/>
      <c r="IYE37" s="953"/>
      <c r="IYF37" s="953"/>
      <c r="IYG37" s="953"/>
      <c r="IYH37" s="953"/>
      <c r="IYI37" s="953"/>
      <c r="IYJ37" s="953"/>
      <c r="IYK37" s="953"/>
      <c r="IYL37" s="953"/>
      <c r="IYM37" s="953"/>
      <c r="IYN37" s="953"/>
      <c r="IYO37" s="953"/>
      <c r="IYP37" s="953"/>
      <c r="IYQ37" s="953"/>
      <c r="IYR37" s="953"/>
      <c r="IYS37" s="953"/>
      <c r="IYT37" s="953"/>
      <c r="IYU37" s="953"/>
      <c r="IYV37" s="953"/>
      <c r="IYW37" s="953"/>
      <c r="IYX37" s="953"/>
      <c r="IYY37" s="953"/>
      <c r="IYZ37" s="953"/>
      <c r="IZA37" s="953"/>
      <c r="IZB37" s="953"/>
      <c r="IZC37" s="953"/>
      <c r="IZD37" s="953"/>
      <c r="IZE37" s="953"/>
      <c r="IZF37" s="953"/>
      <c r="IZG37" s="953"/>
      <c r="IZH37" s="953"/>
      <c r="IZI37" s="953"/>
      <c r="IZJ37" s="953"/>
      <c r="IZK37" s="953"/>
      <c r="IZL37" s="953"/>
      <c r="IZM37" s="953"/>
      <c r="IZN37" s="953"/>
      <c r="IZO37" s="953"/>
      <c r="IZP37" s="953"/>
      <c r="IZQ37" s="953"/>
      <c r="IZR37" s="953"/>
      <c r="IZS37" s="953"/>
      <c r="IZT37" s="953"/>
      <c r="IZU37" s="953"/>
      <c r="IZV37" s="953"/>
      <c r="IZW37" s="953"/>
      <c r="IZX37" s="953"/>
      <c r="IZY37" s="953"/>
      <c r="IZZ37" s="953"/>
      <c r="JAA37" s="953"/>
      <c r="JAB37" s="953"/>
      <c r="JAC37" s="953"/>
      <c r="JAD37" s="953"/>
      <c r="JAE37" s="953"/>
      <c r="JAF37" s="953"/>
      <c r="JAG37" s="953"/>
      <c r="JAH37" s="953"/>
      <c r="JAI37" s="953"/>
      <c r="JAJ37" s="953"/>
      <c r="JAK37" s="953"/>
      <c r="JAL37" s="953"/>
      <c r="JAM37" s="953"/>
      <c r="JAN37" s="953"/>
      <c r="JAO37" s="953"/>
      <c r="JAP37" s="953"/>
      <c r="JAQ37" s="953"/>
      <c r="JAR37" s="953"/>
      <c r="JAS37" s="953"/>
      <c r="JAT37" s="953"/>
      <c r="JAU37" s="953"/>
      <c r="JAV37" s="953"/>
      <c r="JAW37" s="953"/>
      <c r="JAX37" s="953"/>
      <c r="JAY37" s="953"/>
      <c r="JAZ37" s="953"/>
      <c r="JBA37" s="953"/>
      <c r="JBB37" s="953"/>
      <c r="JBC37" s="953"/>
      <c r="JBD37" s="953"/>
      <c r="JBE37" s="953"/>
      <c r="JBF37" s="953"/>
      <c r="JBG37" s="953"/>
      <c r="JBH37" s="953"/>
      <c r="JBI37" s="953"/>
      <c r="JBJ37" s="953"/>
      <c r="JBK37" s="953"/>
      <c r="JBL37" s="953"/>
      <c r="JBM37" s="953"/>
      <c r="JBN37" s="953"/>
      <c r="JBO37" s="953"/>
      <c r="JBP37" s="953"/>
      <c r="JBQ37" s="953"/>
      <c r="JBR37" s="953"/>
      <c r="JBS37" s="953"/>
      <c r="JBT37" s="953"/>
      <c r="JBU37" s="953"/>
      <c r="JBV37" s="953"/>
      <c r="JBW37" s="953"/>
      <c r="JBX37" s="953"/>
      <c r="JBY37" s="953"/>
      <c r="JBZ37" s="953"/>
      <c r="JCA37" s="953"/>
      <c r="JCB37" s="953"/>
      <c r="JCC37" s="953"/>
      <c r="JCD37" s="953"/>
      <c r="JCE37" s="953"/>
      <c r="JCF37" s="953"/>
      <c r="JCG37" s="953"/>
      <c r="JCH37" s="953"/>
      <c r="JCI37" s="953"/>
      <c r="JCJ37" s="953"/>
      <c r="JCK37" s="953"/>
      <c r="JCL37" s="953"/>
      <c r="JCM37" s="953"/>
      <c r="JCN37" s="953"/>
      <c r="JCO37" s="953"/>
      <c r="JCP37" s="953"/>
      <c r="JCQ37" s="953"/>
      <c r="JCR37" s="953"/>
      <c r="JCS37" s="953"/>
      <c r="JCT37" s="953"/>
      <c r="JCU37" s="953"/>
      <c r="JCV37" s="953"/>
      <c r="JCW37" s="953"/>
      <c r="JCX37" s="953"/>
      <c r="JCY37" s="953"/>
      <c r="JCZ37" s="953"/>
      <c r="JDA37" s="953"/>
      <c r="JDB37" s="953"/>
      <c r="JDC37" s="953"/>
      <c r="JDD37" s="953"/>
      <c r="JDE37" s="953"/>
      <c r="JDF37" s="953"/>
      <c r="JDG37" s="953"/>
      <c r="JDH37" s="953"/>
      <c r="JDI37" s="953"/>
      <c r="JDJ37" s="953"/>
      <c r="JDK37" s="953"/>
      <c r="JDL37" s="953"/>
      <c r="JDM37" s="953"/>
      <c r="JDN37" s="953"/>
      <c r="JDO37" s="953"/>
      <c r="JDP37" s="953"/>
      <c r="JDQ37" s="953"/>
      <c r="JDR37" s="953"/>
      <c r="JDS37" s="953"/>
      <c r="JDT37" s="953"/>
      <c r="JDU37" s="953"/>
      <c r="JDV37" s="953"/>
      <c r="JDW37" s="953"/>
      <c r="JDX37" s="953"/>
      <c r="JDY37" s="953"/>
      <c r="JDZ37" s="953"/>
      <c r="JEA37" s="953"/>
      <c r="JEB37" s="953"/>
      <c r="JEC37" s="953"/>
      <c r="JED37" s="953"/>
      <c r="JEE37" s="953"/>
      <c r="JEF37" s="953"/>
      <c r="JEG37" s="953"/>
      <c r="JEH37" s="953"/>
      <c r="JEI37" s="953"/>
      <c r="JEJ37" s="953"/>
      <c r="JEK37" s="953"/>
      <c r="JEL37" s="953"/>
      <c r="JEM37" s="953"/>
      <c r="JEN37" s="953"/>
      <c r="JEO37" s="953"/>
      <c r="JEP37" s="953"/>
      <c r="JEQ37" s="953"/>
      <c r="JER37" s="953"/>
      <c r="JES37" s="953"/>
      <c r="JET37" s="953"/>
      <c r="JEU37" s="953"/>
      <c r="JEV37" s="953"/>
      <c r="JEW37" s="953"/>
      <c r="JEX37" s="953"/>
      <c r="JEY37" s="953"/>
      <c r="JEZ37" s="953"/>
      <c r="JFA37" s="953"/>
      <c r="JFB37" s="953"/>
      <c r="JFC37" s="953"/>
      <c r="JFD37" s="953"/>
      <c r="JFE37" s="953"/>
      <c r="JFF37" s="953"/>
      <c r="JFG37" s="953"/>
      <c r="JFH37" s="953"/>
      <c r="JFI37" s="953"/>
      <c r="JFJ37" s="953"/>
      <c r="JFK37" s="953"/>
      <c r="JFL37" s="953"/>
      <c r="JFM37" s="953"/>
      <c r="JFN37" s="953"/>
      <c r="JFO37" s="953"/>
      <c r="JFP37" s="953"/>
      <c r="JFQ37" s="953"/>
      <c r="JFR37" s="953"/>
      <c r="JFS37" s="953"/>
      <c r="JFT37" s="953"/>
      <c r="JFU37" s="953"/>
      <c r="JFV37" s="953"/>
      <c r="JFW37" s="953"/>
      <c r="JFX37" s="953"/>
      <c r="JFY37" s="953"/>
      <c r="JFZ37" s="953"/>
      <c r="JGA37" s="953"/>
      <c r="JGB37" s="953"/>
      <c r="JGC37" s="953"/>
      <c r="JGD37" s="953"/>
      <c r="JGE37" s="953"/>
      <c r="JGF37" s="953"/>
      <c r="JGG37" s="953"/>
      <c r="JGH37" s="953"/>
      <c r="JGI37" s="953"/>
      <c r="JGJ37" s="953"/>
      <c r="JGK37" s="953"/>
      <c r="JGL37" s="953"/>
      <c r="JGM37" s="953"/>
      <c r="JGN37" s="953"/>
      <c r="JGO37" s="953"/>
      <c r="JGP37" s="953"/>
      <c r="JGQ37" s="953"/>
      <c r="JGR37" s="953"/>
      <c r="JGS37" s="953"/>
      <c r="JGT37" s="953"/>
      <c r="JGU37" s="953"/>
      <c r="JGV37" s="953"/>
      <c r="JGW37" s="953"/>
      <c r="JGX37" s="953"/>
      <c r="JGY37" s="953"/>
      <c r="JGZ37" s="953"/>
      <c r="JHA37" s="953"/>
      <c r="JHB37" s="953"/>
      <c r="JHC37" s="953"/>
      <c r="JHD37" s="953"/>
      <c r="JHE37" s="953"/>
      <c r="JHF37" s="953"/>
      <c r="JHG37" s="953"/>
      <c r="JHH37" s="953"/>
      <c r="JHI37" s="953"/>
      <c r="JHJ37" s="953"/>
      <c r="JHK37" s="953"/>
      <c r="JHL37" s="953"/>
      <c r="JHM37" s="953"/>
      <c r="JHN37" s="953"/>
      <c r="JHO37" s="953"/>
      <c r="JHP37" s="953"/>
      <c r="JHQ37" s="953"/>
      <c r="JHR37" s="953"/>
      <c r="JHS37" s="953"/>
      <c r="JHT37" s="953"/>
      <c r="JHU37" s="953"/>
      <c r="JHV37" s="953"/>
      <c r="JHW37" s="953"/>
      <c r="JHX37" s="953"/>
      <c r="JHY37" s="953"/>
      <c r="JHZ37" s="953"/>
      <c r="JIA37" s="953"/>
      <c r="JIB37" s="953"/>
      <c r="JIC37" s="953"/>
      <c r="JID37" s="953"/>
      <c r="JIE37" s="953"/>
      <c r="JIF37" s="953"/>
      <c r="JIG37" s="953"/>
      <c r="JIH37" s="953"/>
      <c r="JII37" s="953"/>
      <c r="JIJ37" s="953"/>
      <c r="JIK37" s="953"/>
      <c r="JIL37" s="953"/>
      <c r="JIM37" s="953"/>
      <c r="JIN37" s="953"/>
      <c r="JIO37" s="953"/>
      <c r="JIP37" s="953"/>
      <c r="JIQ37" s="953"/>
      <c r="JIR37" s="953"/>
      <c r="JIS37" s="953"/>
      <c r="JIT37" s="953"/>
      <c r="JIU37" s="953"/>
      <c r="JIV37" s="953"/>
      <c r="JIW37" s="953"/>
      <c r="JIX37" s="953"/>
      <c r="JIY37" s="953"/>
      <c r="JIZ37" s="953"/>
      <c r="JJA37" s="953"/>
      <c r="JJB37" s="953"/>
      <c r="JJC37" s="953"/>
      <c r="JJD37" s="953"/>
      <c r="JJE37" s="953"/>
      <c r="JJF37" s="953"/>
      <c r="JJG37" s="953"/>
      <c r="JJH37" s="953"/>
      <c r="JJI37" s="953"/>
      <c r="JJJ37" s="953"/>
      <c r="JJK37" s="953"/>
      <c r="JJL37" s="953"/>
      <c r="JJM37" s="953"/>
      <c r="JJN37" s="953"/>
      <c r="JJO37" s="953"/>
      <c r="JJP37" s="953"/>
      <c r="JJQ37" s="953"/>
      <c r="JJR37" s="953"/>
      <c r="JJS37" s="953"/>
      <c r="JJT37" s="953"/>
      <c r="JJU37" s="953"/>
      <c r="JJV37" s="953"/>
      <c r="JJW37" s="953"/>
      <c r="JJX37" s="953"/>
      <c r="JJY37" s="953"/>
      <c r="JJZ37" s="953"/>
      <c r="JKA37" s="953"/>
      <c r="JKB37" s="953"/>
      <c r="JKC37" s="953"/>
      <c r="JKD37" s="953"/>
      <c r="JKE37" s="953"/>
      <c r="JKF37" s="953"/>
      <c r="JKG37" s="953"/>
      <c r="JKH37" s="953"/>
      <c r="JKI37" s="953"/>
      <c r="JKJ37" s="953"/>
      <c r="JKK37" s="953"/>
      <c r="JKL37" s="953"/>
      <c r="JKM37" s="953"/>
      <c r="JKN37" s="953"/>
      <c r="JKO37" s="953"/>
      <c r="JKP37" s="953"/>
      <c r="JKQ37" s="953"/>
      <c r="JKR37" s="953"/>
      <c r="JKS37" s="953"/>
      <c r="JKT37" s="953"/>
      <c r="JKU37" s="953"/>
      <c r="JKV37" s="953"/>
      <c r="JKW37" s="953"/>
      <c r="JKX37" s="953"/>
      <c r="JKY37" s="953"/>
      <c r="JKZ37" s="953"/>
      <c r="JLA37" s="953"/>
      <c r="JLB37" s="953"/>
      <c r="JLC37" s="953"/>
      <c r="JLD37" s="953"/>
      <c r="JLE37" s="953"/>
      <c r="JLF37" s="953"/>
      <c r="JLG37" s="953"/>
      <c r="JLH37" s="953"/>
      <c r="JLI37" s="953"/>
      <c r="JLJ37" s="953"/>
      <c r="JLK37" s="953"/>
      <c r="JLL37" s="953"/>
      <c r="JLM37" s="953"/>
      <c r="JLN37" s="953"/>
      <c r="JLO37" s="953"/>
      <c r="JLP37" s="953"/>
      <c r="JLQ37" s="953"/>
      <c r="JLR37" s="953"/>
      <c r="JLS37" s="953"/>
      <c r="JLT37" s="953"/>
      <c r="JLU37" s="953"/>
      <c r="JLV37" s="953"/>
      <c r="JLW37" s="953"/>
      <c r="JLX37" s="953"/>
      <c r="JLY37" s="953"/>
      <c r="JLZ37" s="953"/>
      <c r="JMA37" s="953"/>
      <c r="JMB37" s="953"/>
      <c r="JMC37" s="953"/>
      <c r="JMD37" s="953"/>
      <c r="JME37" s="953"/>
      <c r="JMF37" s="953"/>
      <c r="JMG37" s="953"/>
      <c r="JMH37" s="953"/>
      <c r="JMI37" s="953"/>
      <c r="JMJ37" s="953"/>
      <c r="JMK37" s="953"/>
      <c r="JML37" s="953"/>
      <c r="JMM37" s="953"/>
      <c r="JMN37" s="953"/>
      <c r="JMO37" s="953"/>
      <c r="JMP37" s="953"/>
      <c r="JMQ37" s="953"/>
      <c r="JMR37" s="953"/>
      <c r="JMS37" s="953"/>
      <c r="JMT37" s="953"/>
      <c r="JMU37" s="953"/>
      <c r="JMV37" s="953"/>
      <c r="JMW37" s="953"/>
      <c r="JMX37" s="953"/>
      <c r="JMY37" s="953"/>
      <c r="JMZ37" s="953"/>
      <c r="JNA37" s="953"/>
      <c r="JNB37" s="953"/>
      <c r="JNC37" s="953"/>
      <c r="JND37" s="953"/>
      <c r="JNE37" s="953"/>
      <c r="JNF37" s="953"/>
      <c r="JNG37" s="953"/>
      <c r="JNH37" s="953"/>
      <c r="JNI37" s="953"/>
      <c r="JNJ37" s="953"/>
      <c r="JNK37" s="953"/>
      <c r="JNL37" s="953"/>
      <c r="JNM37" s="953"/>
      <c r="JNN37" s="953"/>
      <c r="JNO37" s="953"/>
      <c r="JNP37" s="953"/>
      <c r="JNQ37" s="953"/>
      <c r="JNR37" s="953"/>
      <c r="JNS37" s="953"/>
      <c r="JNT37" s="953"/>
      <c r="JNU37" s="953"/>
      <c r="JNV37" s="953"/>
      <c r="JNW37" s="953"/>
      <c r="JNX37" s="953"/>
      <c r="JNY37" s="953"/>
      <c r="JNZ37" s="953"/>
      <c r="JOA37" s="953"/>
      <c r="JOB37" s="953"/>
      <c r="JOC37" s="953"/>
      <c r="JOD37" s="953"/>
      <c r="JOE37" s="953"/>
      <c r="JOF37" s="953"/>
      <c r="JOG37" s="953"/>
      <c r="JOH37" s="953"/>
      <c r="JOI37" s="953"/>
      <c r="JOJ37" s="953"/>
      <c r="JOK37" s="953"/>
      <c r="JOL37" s="953"/>
      <c r="JOM37" s="953"/>
      <c r="JON37" s="953"/>
      <c r="JOO37" s="953"/>
      <c r="JOP37" s="953"/>
      <c r="JOQ37" s="953"/>
      <c r="JOR37" s="953"/>
      <c r="JOS37" s="953"/>
      <c r="JOT37" s="953"/>
      <c r="JOU37" s="953"/>
      <c r="JOV37" s="953"/>
      <c r="JOW37" s="953"/>
      <c r="JOX37" s="953"/>
      <c r="JOY37" s="953"/>
      <c r="JOZ37" s="953"/>
      <c r="JPA37" s="953"/>
      <c r="JPB37" s="953"/>
      <c r="JPC37" s="953"/>
      <c r="JPD37" s="953"/>
      <c r="JPE37" s="953"/>
      <c r="JPF37" s="953"/>
      <c r="JPG37" s="953"/>
      <c r="JPH37" s="953"/>
      <c r="JPI37" s="953"/>
      <c r="JPJ37" s="953"/>
      <c r="JPK37" s="953"/>
      <c r="JPL37" s="953"/>
      <c r="JPM37" s="953"/>
      <c r="JPN37" s="953"/>
      <c r="JPO37" s="953"/>
      <c r="JPP37" s="953"/>
      <c r="JPQ37" s="953"/>
      <c r="JPR37" s="953"/>
      <c r="JPS37" s="953"/>
      <c r="JPT37" s="953"/>
      <c r="JPU37" s="953"/>
      <c r="JPV37" s="953"/>
      <c r="JPW37" s="953"/>
      <c r="JPX37" s="953"/>
      <c r="JPY37" s="953"/>
      <c r="JPZ37" s="953"/>
      <c r="JQA37" s="953"/>
      <c r="JQB37" s="953"/>
      <c r="JQC37" s="953"/>
      <c r="JQD37" s="953"/>
      <c r="JQE37" s="953"/>
      <c r="JQF37" s="953"/>
      <c r="JQG37" s="953"/>
      <c r="JQH37" s="953"/>
      <c r="JQI37" s="953"/>
      <c r="JQJ37" s="953"/>
      <c r="JQK37" s="953"/>
      <c r="JQL37" s="953"/>
      <c r="JQM37" s="953"/>
      <c r="JQN37" s="953"/>
      <c r="JQO37" s="953"/>
      <c r="JQP37" s="953"/>
      <c r="JQQ37" s="953"/>
      <c r="JQR37" s="953"/>
      <c r="JQS37" s="953"/>
      <c r="JQT37" s="953"/>
      <c r="JQU37" s="953"/>
      <c r="JQV37" s="953"/>
      <c r="JQW37" s="953"/>
      <c r="JQX37" s="953"/>
      <c r="JQY37" s="953"/>
      <c r="JQZ37" s="953"/>
      <c r="JRA37" s="953"/>
      <c r="JRB37" s="953"/>
      <c r="JRC37" s="953"/>
      <c r="JRD37" s="953"/>
      <c r="JRE37" s="953"/>
      <c r="JRF37" s="953"/>
      <c r="JRG37" s="953"/>
      <c r="JRH37" s="953"/>
      <c r="JRI37" s="953"/>
      <c r="JRJ37" s="953"/>
      <c r="JRK37" s="953"/>
      <c r="JRL37" s="953"/>
      <c r="JRM37" s="953"/>
      <c r="JRN37" s="953"/>
      <c r="JRO37" s="953"/>
      <c r="JRP37" s="953"/>
      <c r="JRQ37" s="953"/>
      <c r="JRR37" s="953"/>
      <c r="JRS37" s="953"/>
      <c r="JRT37" s="953"/>
      <c r="JRU37" s="953"/>
      <c r="JRV37" s="953"/>
      <c r="JRW37" s="953"/>
      <c r="JRX37" s="953"/>
      <c r="JRY37" s="953"/>
      <c r="JRZ37" s="953"/>
      <c r="JSA37" s="953"/>
      <c r="JSB37" s="953"/>
      <c r="JSC37" s="953"/>
      <c r="JSD37" s="953"/>
      <c r="JSE37" s="953"/>
      <c r="JSF37" s="953"/>
      <c r="JSG37" s="953"/>
      <c r="JSH37" s="953"/>
      <c r="JSI37" s="953"/>
      <c r="JSJ37" s="953"/>
      <c r="JSK37" s="953"/>
      <c r="JSL37" s="953"/>
      <c r="JSM37" s="953"/>
      <c r="JSN37" s="953"/>
      <c r="JSO37" s="953"/>
      <c r="JSP37" s="953"/>
      <c r="JSQ37" s="953"/>
      <c r="JSR37" s="953"/>
      <c r="JSS37" s="953"/>
      <c r="JST37" s="953"/>
      <c r="JSU37" s="953"/>
      <c r="JSV37" s="953"/>
      <c r="JSW37" s="953"/>
      <c r="JSX37" s="953"/>
      <c r="JSY37" s="953"/>
      <c r="JSZ37" s="953"/>
      <c r="JTA37" s="953"/>
      <c r="JTB37" s="953"/>
      <c r="JTC37" s="953"/>
      <c r="JTD37" s="953"/>
      <c r="JTE37" s="953"/>
      <c r="JTF37" s="953"/>
      <c r="JTG37" s="953"/>
      <c r="JTH37" s="953"/>
      <c r="JTI37" s="953"/>
      <c r="JTJ37" s="953"/>
      <c r="JTK37" s="953"/>
      <c r="JTL37" s="953"/>
      <c r="JTM37" s="953"/>
      <c r="JTN37" s="953"/>
      <c r="JTO37" s="953"/>
      <c r="JTP37" s="953"/>
      <c r="JTQ37" s="953"/>
      <c r="JTR37" s="953"/>
      <c r="JTS37" s="953"/>
      <c r="JTT37" s="953"/>
      <c r="JTU37" s="953"/>
      <c r="JTV37" s="953"/>
      <c r="JTW37" s="953"/>
      <c r="JTX37" s="953"/>
      <c r="JTY37" s="953"/>
      <c r="JTZ37" s="953"/>
      <c r="JUA37" s="953"/>
      <c r="JUB37" s="953"/>
      <c r="JUC37" s="953"/>
      <c r="JUD37" s="953"/>
      <c r="JUE37" s="953"/>
      <c r="JUF37" s="953"/>
      <c r="JUG37" s="953"/>
      <c r="JUH37" s="953"/>
      <c r="JUI37" s="953"/>
      <c r="JUJ37" s="953"/>
      <c r="JUK37" s="953"/>
      <c r="JUL37" s="953"/>
      <c r="JUM37" s="953"/>
      <c r="JUN37" s="953"/>
      <c r="JUO37" s="953"/>
      <c r="JUP37" s="953"/>
      <c r="JUQ37" s="953"/>
      <c r="JUR37" s="953"/>
      <c r="JUS37" s="953"/>
      <c r="JUT37" s="953"/>
      <c r="JUU37" s="953"/>
      <c r="JUV37" s="953"/>
      <c r="JUW37" s="953"/>
      <c r="JUX37" s="953"/>
      <c r="JUY37" s="953"/>
      <c r="JUZ37" s="953"/>
      <c r="JVA37" s="953"/>
      <c r="JVB37" s="953"/>
      <c r="JVC37" s="953"/>
      <c r="JVD37" s="953"/>
      <c r="JVE37" s="953"/>
      <c r="JVF37" s="953"/>
      <c r="JVG37" s="953"/>
      <c r="JVH37" s="953"/>
      <c r="JVI37" s="953"/>
      <c r="JVJ37" s="953"/>
      <c r="JVK37" s="953"/>
      <c r="JVL37" s="953"/>
      <c r="JVM37" s="953"/>
      <c r="JVN37" s="953"/>
      <c r="JVO37" s="953"/>
      <c r="JVP37" s="953"/>
      <c r="JVQ37" s="953"/>
      <c r="JVR37" s="953"/>
      <c r="JVS37" s="953"/>
      <c r="JVT37" s="953"/>
      <c r="JVU37" s="953"/>
      <c r="JVV37" s="953"/>
      <c r="JVW37" s="953"/>
      <c r="JVX37" s="953"/>
      <c r="JVY37" s="953"/>
      <c r="JVZ37" s="953"/>
      <c r="JWA37" s="953"/>
      <c r="JWB37" s="953"/>
      <c r="JWC37" s="953"/>
      <c r="JWD37" s="953"/>
      <c r="JWE37" s="953"/>
      <c r="JWF37" s="953"/>
      <c r="JWG37" s="953"/>
      <c r="JWH37" s="953"/>
      <c r="JWI37" s="953"/>
      <c r="JWJ37" s="953"/>
      <c r="JWK37" s="953"/>
      <c r="JWL37" s="953"/>
      <c r="JWM37" s="953"/>
      <c r="JWN37" s="953"/>
      <c r="JWO37" s="953"/>
      <c r="JWP37" s="953"/>
      <c r="JWQ37" s="953"/>
      <c r="JWR37" s="953"/>
      <c r="JWS37" s="953"/>
      <c r="JWT37" s="953"/>
      <c r="JWU37" s="953"/>
      <c r="JWV37" s="953"/>
      <c r="JWW37" s="953"/>
      <c r="JWX37" s="953"/>
      <c r="JWY37" s="953"/>
      <c r="JWZ37" s="953"/>
      <c r="JXA37" s="953"/>
      <c r="JXB37" s="953"/>
      <c r="JXC37" s="953"/>
      <c r="JXD37" s="953"/>
      <c r="JXE37" s="953"/>
      <c r="JXF37" s="953"/>
      <c r="JXG37" s="953"/>
      <c r="JXH37" s="953"/>
      <c r="JXI37" s="953"/>
      <c r="JXJ37" s="953"/>
      <c r="JXK37" s="953"/>
      <c r="JXL37" s="953"/>
      <c r="JXM37" s="953"/>
      <c r="JXN37" s="953"/>
      <c r="JXO37" s="953"/>
      <c r="JXP37" s="953"/>
      <c r="JXQ37" s="953"/>
      <c r="JXR37" s="953"/>
      <c r="JXS37" s="953"/>
      <c r="JXT37" s="953"/>
      <c r="JXU37" s="953"/>
      <c r="JXV37" s="953"/>
      <c r="JXW37" s="953"/>
      <c r="JXX37" s="953"/>
      <c r="JXY37" s="953"/>
      <c r="JXZ37" s="953"/>
      <c r="JYA37" s="953"/>
      <c r="JYB37" s="953"/>
      <c r="JYC37" s="953"/>
      <c r="JYD37" s="953"/>
      <c r="JYE37" s="953"/>
      <c r="JYF37" s="953"/>
      <c r="JYG37" s="953"/>
      <c r="JYH37" s="953"/>
      <c r="JYI37" s="953"/>
      <c r="JYJ37" s="953"/>
      <c r="JYK37" s="953"/>
      <c r="JYL37" s="953"/>
      <c r="JYM37" s="953"/>
      <c r="JYN37" s="953"/>
      <c r="JYO37" s="953"/>
      <c r="JYP37" s="953"/>
      <c r="JYQ37" s="953"/>
      <c r="JYR37" s="953"/>
      <c r="JYS37" s="953"/>
      <c r="JYT37" s="953"/>
      <c r="JYU37" s="953"/>
      <c r="JYV37" s="953"/>
      <c r="JYW37" s="953"/>
      <c r="JYX37" s="953"/>
      <c r="JYY37" s="953"/>
      <c r="JYZ37" s="953"/>
      <c r="JZA37" s="953"/>
      <c r="JZB37" s="953"/>
      <c r="JZC37" s="953"/>
      <c r="JZD37" s="953"/>
      <c r="JZE37" s="953"/>
      <c r="JZF37" s="953"/>
      <c r="JZG37" s="953"/>
      <c r="JZH37" s="953"/>
      <c r="JZI37" s="953"/>
      <c r="JZJ37" s="953"/>
      <c r="JZK37" s="953"/>
      <c r="JZL37" s="953"/>
      <c r="JZM37" s="953"/>
      <c r="JZN37" s="953"/>
      <c r="JZO37" s="953"/>
      <c r="JZP37" s="953"/>
      <c r="JZQ37" s="953"/>
      <c r="JZR37" s="953"/>
      <c r="JZS37" s="953"/>
      <c r="JZT37" s="953"/>
      <c r="JZU37" s="953"/>
      <c r="JZV37" s="953"/>
      <c r="JZW37" s="953"/>
      <c r="JZX37" s="953"/>
      <c r="JZY37" s="953"/>
      <c r="JZZ37" s="953"/>
      <c r="KAA37" s="953"/>
      <c r="KAB37" s="953"/>
      <c r="KAC37" s="953"/>
      <c r="KAD37" s="953"/>
      <c r="KAE37" s="953"/>
      <c r="KAF37" s="953"/>
      <c r="KAG37" s="953"/>
      <c r="KAH37" s="953"/>
      <c r="KAI37" s="953"/>
      <c r="KAJ37" s="953"/>
      <c r="KAK37" s="953"/>
      <c r="KAL37" s="953"/>
      <c r="KAM37" s="953"/>
      <c r="KAN37" s="953"/>
      <c r="KAO37" s="953"/>
      <c r="KAP37" s="953"/>
      <c r="KAQ37" s="953"/>
      <c r="KAR37" s="953"/>
      <c r="KAS37" s="953"/>
      <c r="KAT37" s="953"/>
      <c r="KAU37" s="953"/>
      <c r="KAV37" s="953"/>
      <c r="KAW37" s="953"/>
      <c r="KAX37" s="953"/>
      <c r="KAY37" s="953"/>
      <c r="KAZ37" s="953"/>
      <c r="KBA37" s="953"/>
      <c r="KBB37" s="953"/>
      <c r="KBC37" s="953"/>
      <c r="KBD37" s="953"/>
      <c r="KBE37" s="953"/>
      <c r="KBF37" s="953"/>
      <c r="KBG37" s="953"/>
      <c r="KBH37" s="953"/>
      <c r="KBI37" s="953"/>
      <c r="KBJ37" s="953"/>
      <c r="KBK37" s="953"/>
      <c r="KBL37" s="953"/>
      <c r="KBM37" s="953"/>
      <c r="KBN37" s="953"/>
      <c r="KBO37" s="953"/>
      <c r="KBP37" s="953"/>
      <c r="KBQ37" s="953"/>
      <c r="KBR37" s="953"/>
      <c r="KBS37" s="953"/>
      <c r="KBT37" s="953"/>
      <c r="KBU37" s="953"/>
      <c r="KBV37" s="953"/>
      <c r="KBW37" s="953"/>
      <c r="KBX37" s="953"/>
      <c r="KBY37" s="953"/>
      <c r="KBZ37" s="953"/>
      <c r="KCA37" s="953"/>
      <c r="KCB37" s="953"/>
      <c r="KCC37" s="953"/>
      <c r="KCD37" s="953"/>
      <c r="KCE37" s="953"/>
      <c r="KCF37" s="953"/>
      <c r="KCG37" s="953"/>
      <c r="KCH37" s="953"/>
      <c r="KCI37" s="953"/>
      <c r="KCJ37" s="953"/>
      <c r="KCK37" s="953"/>
      <c r="KCL37" s="953"/>
      <c r="KCM37" s="953"/>
      <c r="KCN37" s="953"/>
      <c r="KCO37" s="953"/>
      <c r="KCP37" s="953"/>
      <c r="KCQ37" s="953"/>
      <c r="KCR37" s="953"/>
      <c r="KCS37" s="953"/>
      <c r="KCT37" s="953"/>
      <c r="KCU37" s="953"/>
      <c r="KCV37" s="953"/>
      <c r="KCW37" s="953"/>
      <c r="KCX37" s="953"/>
      <c r="KCY37" s="953"/>
      <c r="KCZ37" s="953"/>
      <c r="KDA37" s="953"/>
      <c r="KDB37" s="953"/>
      <c r="KDC37" s="953"/>
      <c r="KDD37" s="953"/>
      <c r="KDE37" s="953"/>
      <c r="KDF37" s="953"/>
      <c r="KDG37" s="953"/>
      <c r="KDH37" s="953"/>
      <c r="KDI37" s="953"/>
      <c r="KDJ37" s="953"/>
      <c r="KDK37" s="953"/>
      <c r="KDL37" s="953"/>
      <c r="KDM37" s="953"/>
      <c r="KDN37" s="953"/>
      <c r="KDO37" s="953"/>
      <c r="KDP37" s="953"/>
      <c r="KDQ37" s="953"/>
      <c r="KDR37" s="953"/>
      <c r="KDS37" s="953"/>
      <c r="KDT37" s="953"/>
      <c r="KDU37" s="953"/>
      <c r="KDV37" s="953"/>
      <c r="KDW37" s="953"/>
      <c r="KDX37" s="953"/>
      <c r="KDY37" s="953"/>
      <c r="KDZ37" s="953"/>
      <c r="KEA37" s="953"/>
      <c r="KEB37" s="953"/>
      <c r="KEC37" s="953"/>
      <c r="KED37" s="953"/>
      <c r="KEE37" s="953"/>
      <c r="KEF37" s="953"/>
      <c r="KEG37" s="953"/>
      <c r="KEH37" s="953"/>
      <c r="KEI37" s="953"/>
      <c r="KEJ37" s="953"/>
      <c r="KEK37" s="953"/>
      <c r="KEL37" s="953"/>
      <c r="KEM37" s="953"/>
      <c r="KEN37" s="953"/>
      <c r="KEO37" s="953"/>
      <c r="KEP37" s="953"/>
      <c r="KEQ37" s="953"/>
      <c r="KER37" s="953"/>
      <c r="KES37" s="953"/>
      <c r="KET37" s="953"/>
      <c r="KEU37" s="953"/>
      <c r="KEV37" s="953"/>
      <c r="KEW37" s="953"/>
      <c r="KEX37" s="953"/>
      <c r="KEY37" s="953"/>
      <c r="KEZ37" s="953"/>
      <c r="KFA37" s="953"/>
      <c r="KFB37" s="953"/>
      <c r="KFC37" s="953"/>
      <c r="KFD37" s="953"/>
      <c r="KFE37" s="953"/>
      <c r="KFF37" s="953"/>
      <c r="KFG37" s="953"/>
      <c r="KFH37" s="953"/>
      <c r="KFI37" s="953"/>
      <c r="KFJ37" s="953"/>
      <c r="KFK37" s="953"/>
      <c r="KFL37" s="953"/>
      <c r="KFM37" s="953"/>
      <c r="KFN37" s="953"/>
      <c r="KFO37" s="953"/>
      <c r="KFP37" s="953"/>
      <c r="KFQ37" s="953"/>
      <c r="KFR37" s="953"/>
      <c r="KFS37" s="953"/>
      <c r="KFT37" s="953"/>
      <c r="KFU37" s="953"/>
      <c r="KFV37" s="953"/>
      <c r="KFW37" s="953"/>
      <c r="KFX37" s="953"/>
      <c r="KFY37" s="953"/>
      <c r="KFZ37" s="953"/>
      <c r="KGA37" s="953"/>
      <c r="KGB37" s="953"/>
      <c r="KGC37" s="953"/>
      <c r="KGD37" s="953"/>
      <c r="KGE37" s="953"/>
      <c r="KGF37" s="953"/>
      <c r="KGG37" s="953"/>
      <c r="KGH37" s="953"/>
      <c r="KGI37" s="953"/>
      <c r="KGJ37" s="953"/>
      <c r="KGK37" s="953"/>
      <c r="KGL37" s="953"/>
      <c r="KGM37" s="953"/>
      <c r="KGN37" s="953"/>
      <c r="KGO37" s="953"/>
      <c r="KGP37" s="953"/>
      <c r="KGQ37" s="953"/>
      <c r="KGR37" s="953"/>
      <c r="KGS37" s="953"/>
      <c r="KGT37" s="953"/>
      <c r="KGU37" s="953"/>
      <c r="KGV37" s="953"/>
      <c r="KGW37" s="953"/>
      <c r="KGX37" s="953"/>
      <c r="KGY37" s="953"/>
      <c r="KGZ37" s="953"/>
      <c r="KHA37" s="953"/>
      <c r="KHB37" s="953"/>
      <c r="KHC37" s="953"/>
      <c r="KHD37" s="953"/>
      <c r="KHE37" s="953"/>
      <c r="KHF37" s="953"/>
      <c r="KHG37" s="953"/>
      <c r="KHH37" s="953"/>
      <c r="KHI37" s="953"/>
      <c r="KHJ37" s="953"/>
      <c r="KHK37" s="953"/>
      <c r="KHL37" s="953"/>
      <c r="KHM37" s="953"/>
      <c r="KHN37" s="953"/>
      <c r="KHO37" s="953"/>
      <c r="KHP37" s="953"/>
      <c r="KHQ37" s="953"/>
      <c r="KHR37" s="953"/>
      <c r="KHS37" s="953"/>
      <c r="KHT37" s="953"/>
      <c r="KHU37" s="953"/>
      <c r="KHV37" s="953"/>
      <c r="KHW37" s="953"/>
      <c r="KHX37" s="953"/>
      <c r="KHY37" s="953"/>
      <c r="KHZ37" s="953"/>
      <c r="KIA37" s="953"/>
      <c r="KIB37" s="953"/>
      <c r="KIC37" s="953"/>
      <c r="KID37" s="953"/>
      <c r="KIE37" s="953"/>
      <c r="KIF37" s="953"/>
      <c r="KIG37" s="953"/>
      <c r="KIH37" s="953"/>
      <c r="KII37" s="953"/>
      <c r="KIJ37" s="953"/>
      <c r="KIK37" s="953"/>
      <c r="KIL37" s="953"/>
      <c r="KIM37" s="953"/>
      <c r="KIN37" s="953"/>
      <c r="KIO37" s="953"/>
      <c r="KIP37" s="953"/>
      <c r="KIQ37" s="953"/>
      <c r="KIR37" s="953"/>
      <c r="KIS37" s="953"/>
      <c r="KIT37" s="953"/>
      <c r="KIU37" s="953"/>
      <c r="KIV37" s="953"/>
      <c r="KIW37" s="953"/>
      <c r="KIX37" s="953"/>
      <c r="KIY37" s="953"/>
      <c r="KIZ37" s="953"/>
      <c r="KJA37" s="953"/>
      <c r="KJB37" s="953"/>
      <c r="KJC37" s="953"/>
      <c r="KJD37" s="953"/>
      <c r="KJE37" s="953"/>
      <c r="KJF37" s="953"/>
      <c r="KJG37" s="953"/>
      <c r="KJH37" s="953"/>
      <c r="KJI37" s="953"/>
      <c r="KJJ37" s="953"/>
      <c r="KJK37" s="953"/>
      <c r="KJL37" s="953"/>
      <c r="KJM37" s="953"/>
      <c r="KJN37" s="953"/>
      <c r="KJO37" s="953"/>
      <c r="KJP37" s="953"/>
      <c r="KJQ37" s="953"/>
      <c r="KJR37" s="953"/>
      <c r="KJS37" s="953"/>
      <c r="KJT37" s="953"/>
      <c r="KJU37" s="953"/>
      <c r="KJV37" s="953"/>
      <c r="KJW37" s="953"/>
      <c r="KJX37" s="953"/>
      <c r="KJY37" s="953"/>
      <c r="KJZ37" s="953"/>
      <c r="KKA37" s="953"/>
      <c r="KKB37" s="953"/>
      <c r="KKC37" s="953"/>
      <c r="KKD37" s="953"/>
      <c r="KKE37" s="953"/>
      <c r="KKF37" s="953"/>
      <c r="KKG37" s="953"/>
      <c r="KKH37" s="953"/>
      <c r="KKI37" s="953"/>
      <c r="KKJ37" s="953"/>
      <c r="KKK37" s="953"/>
      <c r="KKL37" s="953"/>
      <c r="KKM37" s="953"/>
      <c r="KKN37" s="953"/>
      <c r="KKO37" s="953"/>
      <c r="KKP37" s="953"/>
      <c r="KKQ37" s="953"/>
      <c r="KKR37" s="953"/>
      <c r="KKS37" s="953"/>
      <c r="KKT37" s="953"/>
      <c r="KKU37" s="953"/>
      <c r="KKV37" s="953"/>
      <c r="KKW37" s="953"/>
      <c r="KKX37" s="953"/>
      <c r="KKY37" s="953"/>
      <c r="KKZ37" s="953"/>
      <c r="KLA37" s="953"/>
      <c r="KLB37" s="953"/>
      <c r="KLC37" s="953"/>
      <c r="KLD37" s="953"/>
      <c r="KLE37" s="953"/>
      <c r="KLF37" s="953"/>
      <c r="KLG37" s="953"/>
      <c r="KLH37" s="953"/>
      <c r="KLI37" s="953"/>
      <c r="KLJ37" s="953"/>
      <c r="KLK37" s="953"/>
      <c r="KLL37" s="953"/>
      <c r="KLM37" s="953"/>
      <c r="KLN37" s="953"/>
      <c r="KLO37" s="953"/>
      <c r="KLP37" s="953"/>
      <c r="KLQ37" s="953"/>
      <c r="KLR37" s="953"/>
      <c r="KLS37" s="953"/>
      <c r="KLT37" s="953"/>
      <c r="KLU37" s="953"/>
      <c r="KLV37" s="953"/>
      <c r="KLW37" s="953"/>
      <c r="KLX37" s="953"/>
      <c r="KLY37" s="953"/>
      <c r="KLZ37" s="953"/>
      <c r="KMA37" s="953"/>
      <c r="KMB37" s="953"/>
      <c r="KMC37" s="953"/>
      <c r="KMD37" s="953"/>
      <c r="KME37" s="953"/>
      <c r="KMF37" s="953"/>
      <c r="KMG37" s="953"/>
      <c r="KMH37" s="953"/>
      <c r="KMI37" s="953"/>
      <c r="KMJ37" s="953"/>
      <c r="KMK37" s="953"/>
      <c r="KML37" s="953"/>
      <c r="KMM37" s="953"/>
      <c r="KMN37" s="953"/>
      <c r="KMO37" s="953"/>
      <c r="KMP37" s="953"/>
      <c r="KMQ37" s="953"/>
      <c r="KMR37" s="953"/>
      <c r="KMS37" s="953"/>
      <c r="KMT37" s="953"/>
      <c r="KMU37" s="953"/>
      <c r="KMV37" s="953"/>
      <c r="KMW37" s="953"/>
      <c r="KMX37" s="953"/>
      <c r="KMY37" s="953"/>
      <c r="KMZ37" s="953"/>
      <c r="KNA37" s="953"/>
      <c r="KNB37" s="953"/>
      <c r="KNC37" s="953"/>
      <c r="KND37" s="953"/>
      <c r="KNE37" s="953"/>
      <c r="KNF37" s="953"/>
      <c r="KNG37" s="953"/>
      <c r="KNH37" s="953"/>
      <c r="KNI37" s="953"/>
      <c r="KNJ37" s="953"/>
      <c r="KNK37" s="953"/>
      <c r="KNL37" s="953"/>
      <c r="KNM37" s="953"/>
      <c r="KNN37" s="953"/>
      <c r="KNO37" s="953"/>
      <c r="KNP37" s="953"/>
      <c r="KNQ37" s="953"/>
      <c r="KNR37" s="953"/>
      <c r="KNS37" s="953"/>
      <c r="KNT37" s="953"/>
      <c r="KNU37" s="953"/>
      <c r="KNV37" s="953"/>
      <c r="KNW37" s="953"/>
      <c r="KNX37" s="953"/>
      <c r="KNY37" s="953"/>
      <c r="KNZ37" s="953"/>
      <c r="KOA37" s="953"/>
      <c r="KOB37" s="953"/>
      <c r="KOC37" s="953"/>
      <c r="KOD37" s="953"/>
      <c r="KOE37" s="953"/>
      <c r="KOF37" s="953"/>
      <c r="KOG37" s="953"/>
      <c r="KOH37" s="953"/>
      <c r="KOI37" s="953"/>
      <c r="KOJ37" s="953"/>
      <c r="KOK37" s="953"/>
      <c r="KOL37" s="953"/>
      <c r="KOM37" s="953"/>
      <c r="KON37" s="953"/>
      <c r="KOO37" s="953"/>
      <c r="KOP37" s="953"/>
      <c r="KOQ37" s="953"/>
      <c r="KOR37" s="953"/>
      <c r="KOS37" s="953"/>
      <c r="KOT37" s="953"/>
      <c r="KOU37" s="953"/>
      <c r="KOV37" s="953"/>
      <c r="KOW37" s="953"/>
      <c r="KOX37" s="953"/>
      <c r="KOY37" s="953"/>
      <c r="KOZ37" s="953"/>
      <c r="KPA37" s="953"/>
      <c r="KPB37" s="953"/>
      <c r="KPC37" s="953"/>
      <c r="KPD37" s="953"/>
      <c r="KPE37" s="953"/>
      <c r="KPF37" s="953"/>
      <c r="KPG37" s="953"/>
      <c r="KPH37" s="953"/>
      <c r="KPI37" s="953"/>
      <c r="KPJ37" s="953"/>
      <c r="KPK37" s="953"/>
      <c r="KPL37" s="953"/>
      <c r="KPM37" s="953"/>
      <c r="KPN37" s="953"/>
      <c r="KPO37" s="953"/>
      <c r="KPP37" s="953"/>
      <c r="KPQ37" s="953"/>
      <c r="KPR37" s="953"/>
      <c r="KPS37" s="953"/>
      <c r="KPT37" s="953"/>
      <c r="KPU37" s="953"/>
      <c r="KPV37" s="953"/>
      <c r="KPW37" s="953"/>
      <c r="KPX37" s="953"/>
      <c r="KPY37" s="953"/>
      <c r="KPZ37" s="953"/>
      <c r="KQA37" s="953"/>
      <c r="KQB37" s="953"/>
      <c r="KQC37" s="953"/>
      <c r="KQD37" s="953"/>
      <c r="KQE37" s="953"/>
      <c r="KQF37" s="953"/>
      <c r="KQG37" s="953"/>
      <c r="KQH37" s="953"/>
      <c r="KQI37" s="953"/>
      <c r="KQJ37" s="953"/>
      <c r="KQK37" s="953"/>
      <c r="KQL37" s="953"/>
      <c r="KQM37" s="953"/>
      <c r="KQN37" s="953"/>
      <c r="KQO37" s="953"/>
      <c r="KQP37" s="953"/>
      <c r="KQQ37" s="953"/>
      <c r="KQR37" s="953"/>
      <c r="KQS37" s="953"/>
      <c r="KQT37" s="953"/>
      <c r="KQU37" s="953"/>
      <c r="KQV37" s="953"/>
      <c r="KQW37" s="953"/>
      <c r="KQX37" s="953"/>
      <c r="KQY37" s="953"/>
      <c r="KQZ37" s="953"/>
      <c r="KRA37" s="953"/>
      <c r="KRB37" s="953"/>
      <c r="KRC37" s="953"/>
      <c r="KRD37" s="953"/>
      <c r="KRE37" s="953"/>
      <c r="KRF37" s="953"/>
      <c r="KRG37" s="953"/>
      <c r="KRH37" s="953"/>
      <c r="KRI37" s="953"/>
      <c r="KRJ37" s="953"/>
      <c r="KRK37" s="953"/>
      <c r="KRL37" s="953"/>
      <c r="KRM37" s="953"/>
      <c r="KRN37" s="953"/>
      <c r="KRO37" s="953"/>
      <c r="KRP37" s="953"/>
      <c r="KRQ37" s="953"/>
      <c r="KRR37" s="953"/>
      <c r="KRS37" s="953"/>
      <c r="KRT37" s="953"/>
      <c r="KRU37" s="953"/>
      <c r="KRV37" s="953"/>
      <c r="KRW37" s="953"/>
      <c r="KRX37" s="953"/>
      <c r="KRY37" s="953"/>
      <c r="KRZ37" s="953"/>
      <c r="KSA37" s="953"/>
      <c r="KSB37" s="953"/>
      <c r="KSC37" s="953"/>
      <c r="KSD37" s="953"/>
      <c r="KSE37" s="953"/>
      <c r="KSF37" s="953"/>
      <c r="KSG37" s="953"/>
      <c r="KSH37" s="953"/>
      <c r="KSI37" s="953"/>
      <c r="KSJ37" s="953"/>
      <c r="KSK37" s="953"/>
      <c r="KSL37" s="953"/>
      <c r="KSM37" s="953"/>
      <c r="KSN37" s="953"/>
      <c r="KSO37" s="953"/>
      <c r="KSP37" s="953"/>
      <c r="KSQ37" s="953"/>
      <c r="KSR37" s="953"/>
      <c r="KSS37" s="953"/>
      <c r="KST37" s="953"/>
      <c r="KSU37" s="953"/>
      <c r="KSV37" s="953"/>
      <c r="KSW37" s="953"/>
      <c r="KSX37" s="953"/>
      <c r="KSY37" s="953"/>
      <c r="KSZ37" s="953"/>
      <c r="KTA37" s="953"/>
      <c r="KTB37" s="953"/>
      <c r="KTC37" s="953"/>
      <c r="KTD37" s="953"/>
      <c r="KTE37" s="953"/>
      <c r="KTF37" s="953"/>
      <c r="KTG37" s="953"/>
      <c r="KTH37" s="953"/>
      <c r="KTI37" s="953"/>
      <c r="KTJ37" s="953"/>
      <c r="KTK37" s="953"/>
      <c r="KTL37" s="953"/>
      <c r="KTM37" s="953"/>
      <c r="KTN37" s="953"/>
      <c r="KTO37" s="953"/>
      <c r="KTP37" s="953"/>
      <c r="KTQ37" s="953"/>
      <c r="KTR37" s="953"/>
      <c r="KTS37" s="953"/>
      <c r="KTT37" s="953"/>
      <c r="KTU37" s="953"/>
      <c r="KTV37" s="953"/>
      <c r="KTW37" s="953"/>
      <c r="KTX37" s="953"/>
      <c r="KTY37" s="953"/>
      <c r="KTZ37" s="953"/>
      <c r="KUA37" s="953"/>
      <c r="KUB37" s="953"/>
      <c r="KUC37" s="953"/>
      <c r="KUD37" s="953"/>
      <c r="KUE37" s="953"/>
      <c r="KUF37" s="953"/>
      <c r="KUG37" s="953"/>
      <c r="KUH37" s="953"/>
      <c r="KUI37" s="953"/>
      <c r="KUJ37" s="953"/>
      <c r="KUK37" s="953"/>
      <c r="KUL37" s="953"/>
      <c r="KUM37" s="953"/>
      <c r="KUN37" s="953"/>
      <c r="KUO37" s="953"/>
      <c r="KUP37" s="953"/>
      <c r="KUQ37" s="953"/>
      <c r="KUR37" s="953"/>
      <c r="KUS37" s="953"/>
      <c r="KUT37" s="953"/>
      <c r="KUU37" s="953"/>
      <c r="KUV37" s="953"/>
      <c r="KUW37" s="953"/>
      <c r="KUX37" s="953"/>
      <c r="KUY37" s="953"/>
      <c r="KUZ37" s="953"/>
      <c r="KVA37" s="953"/>
      <c r="KVB37" s="953"/>
      <c r="KVC37" s="953"/>
      <c r="KVD37" s="953"/>
      <c r="KVE37" s="953"/>
      <c r="KVF37" s="953"/>
      <c r="KVG37" s="953"/>
      <c r="KVH37" s="953"/>
      <c r="KVI37" s="953"/>
      <c r="KVJ37" s="953"/>
      <c r="KVK37" s="953"/>
      <c r="KVL37" s="953"/>
      <c r="KVM37" s="953"/>
      <c r="KVN37" s="953"/>
      <c r="KVO37" s="953"/>
      <c r="KVP37" s="953"/>
      <c r="KVQ37" s="953"/>
      <c r="KVR37" s="953"/>
      <c r="KVS37" s="953"/>
      <c r="KVT37" s="953"/>
      <c r="KVU37" s="953"/>
      <c r="KVV37" s="953"/>
      <c r="KVW37" s="953"/>
      <c r="KVX37" s="953"/>
      <c r="KVY37" s="953"/>
      <c r="KVZ37" s="953"/>
      <c r="KWA37" s="953"/>
      <c r="KWB37" s="953"/>
      <c r="KWC37" s="953"/>
      <c r="KWD37" s="953"/>
      <c r="KWE37" s="953"/>
      <c r="KWF37" s="953"/>
      <c r="KWG37" s="953"/>
      <c r="KWH37" s="953"/>
      <c r="KWI37" s="953"/>
      <c r="KWJ37" s="953"/>
      <c r="KWK37" s="953"/>
      <c r="KWL37" s="953"/>
      <c r="KWM37" s="953"/>
      <c r="KWN37" s="953"/>
      <c r="KWO37" s="953"/>
      <c r="KWP37" s="953"/>
      <c r="KWQ37" s="953"/>
      <c r="KWR37" s="953"/>
      <c r="KWS37" s="953"/>
      <c r="KWT37" s="953"/>
      <c r="KWU37" s="953"/>
      <c r="KWV37" s="953"/>
      <c r="KWW37" s="953"/>
      <c r="KWX37" s="953"/>
      <c r="KWY37" s="953"/>
      <c r="KWZ37" s="953"/>
      <c r="KXA37" s="953"/>
      <c r="KXB37" s="953"/>
      <c r="KXC37" s="953"/>
      <c r="KXD37" s="953"/>
      <c r="KXE37" s="953"/>
      <c r="KXF37" s="953"/>
      <c r="KXG37" s="953"/>
      <c r="KXH37" s="953"/>
      <c r="KXI37" s="953"/>
      <c r="KXJ37" s="953"/>
      <c r="KXK37" s="953"/>
      <c r="KXL37" s="953"/>
      <c r="KXM37" s="953"/>
      <c r="KXN37" s="953"/>
      <c r="KXO37" s="953"/>
      <c r="KXP37" s="953"/>
      <c r="KXQ37" s="953"/>
      <c r="KXR37" s="953"/>
      <c r="KXS37" s="953"/>
      <c r="KXT37" s="953"/>
      <c r="KXU37" s="953"/>
      <c r="KXV37" s="953"/>
      <c r="KXW37" s="953"/>
      <c r="KXX37" s="953"/>
      <c r="KXY37" s="953"/>
      <c r="KXZ37" s="953"/>
      <c r="KYA37" s="953"/>
      <c r="KYB37" s="953"/>
      <c r="KYC37" s="953"/>
      <c r="KYD37" s="953"/>
      <c r="KYE37" s="953"/>
      <c r="KYF37" s="953"/>
      <c r="KYG37" s="953"/>
      <c r="KYH37" s="953"/>
      <c r="KYI37" s="953"/>
      <c r="KYJ37" s="953"/>
      <c r="KYK37" s="953"/>
      <c r="KYL37" s="953"/>
      <c r="KYM37" s="953"/>
      <c r="KYN37" s="953"/>
      <c r="KYO37" s="953"/>
      <c r="KYP37" s="953"/>
      <c r="KYQ37" s="953"/>
      <c r="KYR37" s="953"/>
      <c r="KYS37" s="953"/>
      <c r="KYT37" s="953"/>
      <c r="KYU37" s="953"/>
      <c r="KYV37" s="953"/>
      <c r="KYW37" s="953"/>
      <c r="KYX37" s="953"/>
      <c r="KYY37" s="953"/>
      <c r="KYZ37" s="953"/>
      <c r="KZA37" s="953"/>
      <c r="KZB37" s="953"/>
      <c r="KZC37" s="953"/>
      <c r="KZD37" s="953"/>
      <c r="KZE37" s="953"/>
      <c r="KZF37" s="953"/>
      <c r="KZG37" s="953"/>
      <c r="KZH37" s="953"/>
      <c r="KZI37" s="953"/>
      <c r="KZJ37" s="953"/>
      <c r="KZK37" s="953"/>
      <c r="KZL37" s="953"/>
      <c r="KZM37" s="953"/>
      <c r="KZN37" s="953"/>
      <c r="KZO37" s="953"/>
      <c r="KZP37" s="953"/>
      <c r="KZQ37" s="953"/>
      <c r="KZR37" s="953"/>
      <c r="KZS37" s="953"/>
      <c r="KZT37" s="953"/>
      <c r="KZU37" s="953"/>
      <c r="KZV37" s="953"/>
      <c r="KZW37" s="953"/>
      <c r="KZX37" s="953"/>
      <c r="KZY37" s="953"/>
      <c r="KZZ37" s="953"/>
      <c r="LAA37" s="953"/>
      <c r="LAB37" s="953"/>
      <c r="LAC37" s="953"/>
      <c r="LAD37" s="953"/>
      <c r="LAE37" s="953"/>
      <c r="LAF37" s="953"/>
      <c r="LAG37" s="953"/>
      <c r="LAH37" s="953"/>
      <c r="LAI37" s="953"/>
      <c r="LAJ37" s="953"/>
      <c r="LAK37" s="953"/>
      <c r="LAL37" s="953"/>
      <c r="LAM37" s="953"/>
      <c r="LAN37" s="953"/>
      <c r="LAO37" s="953"/>
      <c r="LAP37" s="953"/>
      <c r="LAQ37" s="953"/>
      <c r="LAR37" s="953"/>
      <c r="LAS37" s="953"/>
      <c r="LAT37" s="953"/>
      <c r="LAU37" s="953"/>
      <c r="LAV37" s="953"/>
      <c r="LAW37" s="953"/>
      <c r="LAX37" s="953"/>
      <c r="LAY37" s="953"/>
      <c r="LAZ37" s="953"/>
      <c r="LBA37" s="953"/>
      <c r="LBB37" s="953"/>
      <c r="LBC37" s="953"/>
      <c r="LBD37" s="953"/>
      <c r="LBE37" s="953"/>
      <c r="LBF37" s="953"/>
      <c r="LBG37" s="953"/>
      <c r="LBH37" s="953"/>
      <c r="LBI37" s="953"/>
      <c r="LBJ37" s="953"/>
      <c r="LBK37" s="953"/>
      <c r="LBL37" s="953"/>
      <c r="LBM37" s="953"/>
      <c r="LBN37" s="953"/>
      <c r="LBO37" s="953"/>
      <c r="LBP37" s="953"/>
      <c r="LBQ37" s="953"/>
      <c r="LBR37" s="953"/>
      <c r="LBS37" s="953"/>
      <c r="LBT37" s="953"/>
      <c r="LBU37" s="953"/>
      <c r="LBV37" s="953"/>
      <c r="LBW37" s="953"/>
      <c r="LBX37" s="953"/>
      <c r="LBY37" s="953"/>
      <c r="LBZ37" s="953"/>
      <c r="LCA37" s="953"/>
      <c r="LCB37" s="953"/>
      <c r="LCC37" s="953"/>
      <c r="LCD37" s="953"/>
      <c r="LCE37" s="953"/>
      <c r="LCF37" s="953"/>
      <c r="LCG37" s="953"/>
      <c r="LCH37" s="953"/>
      <c r="LCI37" s="953"/>
      <c r="LCJ37" s="953"/>
      <c r="LCK37" s="953"/>
      <c r="LCL37" s="953"/>
      <c r="LCM37" s="953"/>
      <c r="LCN37" s="953"/>
      <c r="LCO37" s="953"/>
      <c r="LCP37" s="953"/>
      <c r="LCQ37" s="953"/>
      <c r="LCR37" s="953"/>
      <c r="LCS37" s="953"/>
      <c r="LCT37" s="953"/>
      <c r="LCU37" s="953"/>
      <c r="LCV37" s="953"/>
      <c r="LCW37" s="953"/>
      <c r="LCX37" s="953"/>
      <c r="LCY37" s="953"/>
      <c r="LCZ37" s="953"/>
      <c r="LDA37" s="953"/>
      <c r="LDB37" s="953"/>
      <c r="LDC37" s="953"/>
      <c r="LDD37" s="953"/>
      <c r="LDE37" s="953"/>
      <c r="LDF37" s="953"/>
      <c r="LDG37" s="953"/>
      <c r="LDH37" s="953"/>
      <c r="LDI37" s="953"/>
      <c r="LDJ37" s="953"/>
      <c r="LDK37" s="953"/>
      <c r="LDL37" s="953"/>
      <c r="LDM37" s="953"/>
      <c r="LDN37" s="953"/>
      <c r="LDO37" s="953"/>
      <c r="LDP37" s="953"/>
      <c r="LDQ37" s="953"/>
      <c r="LDR37" s="953"/>
      <c r="LDS37" s="953"/>
      <c r="LDT37" s="953"/>
      <c r="LDU37" s="953"/>
      <c r="LDV37" s="953"/>
      <c r="LDW37" s="953"/>
      <c r="LDX37" s="953"/>
      <c r="LDY37" s="953"/>
      <c r="LDZ37" s="953"/>
      <c r="LEA37" s="953"/>
      <c r="LEB37" s="953"/>
      <c r="LEC37" s="953"/>
      <c r="LED37" s="953"/>
      <c r="LEE37" s="953"/>
      <c r="LEF37" s="953"/>
      <c r="LEG37" s="953"/>
      <c r="LEH37" s="953"/>
      <c r="LEI37" s="953"/>
      <c r="LEJ37" s="953"/>
      <c r="LEK37" s="953"/>
      <c r="LEL37" s="953"/>
      <c r="LEM37" s="953"/>
      <c r="LEN37" s="953"/>
      <c r="LEO37" s="953"/>
      <c r="LEP37" s="953"/>
      <c r="LEQ37" s="953"/>
      <c r="LER37" s="953"/>
      <c r="LES37" s="953"/>
      <c r="LET37" s="953"/>
      <c r="LEU37" s="953"/>
      <c r="LEV37" s="953"/>
      <c r="LEW37" s="953"/>
      <c r="LEX37" s="953"/>
      <c r="LEY37" s="953"/>
      <c r="LEZ37" s="953"/>
      <c r="LFA37" s="953"/>
      <c r="LFB37" s="953"/>
      <c r="LFC37" s="953"/>
      <c r="LFD37" s="953"/>
      <c r="LFE37" s="953"/>
      <c r="LFF37" s="953"/>
      <c r="LFG37" s="953"/>
      <c r="LFH37" s="953"/>
      <c r="LFI37" s="953"/>
      <c r="LFJ37" s="953"/>
      <c r="LFK37" s="953"/>
      <c r="LFL37" s="953"/>
      <c r="LFM37" s="953"/>
      <c r="LFN37" s="953"/>
      <c r="LFO37" s="953"/>
      <c r="LFP37" s="953"/>
      <c r="LFQ37" s="953"/>
      <c r="LFR37" s="953"/>
      <c r="LFS37" s="953"/>
      <c r="LFT37" s="953"/>
      <c r="LFU37" s="953"/>
      <c r="LFV37" s="953"/>
      <c r="LFW37" s="953"/>
      <c r="LFX37" s="953"/>
      <c r="LFY37" s="953"/>
      <c r="LFZ37" s="953"/>
      <c r="LGA37" s="953"/>
      <c r="LGB37" s="953"/>
      <c r="LGC37" s="953"/>
      <c r="LGD37" s="953"/>
      <c r="LGE37" s="953"/>
      <c r="LGF37" s="953"/>
      <c r="LGG37" s="953"/>
      <c r="LGH37" s="953"/>
      <c r="LGI37" s="953"/>
      <c r="LGJ37" s="953"/>
      <c r="LGK37" s="953"/>
      <c r="LGL37" s="953"/>
      <c r="LGM37" s="953"/>
      <c r="LGN37" s="953"/>
      <c r="LGO37" s="953"/>
      <c r="LGP37" s="953"/>
      <c r="LGQ37" s="953"/>
      <c r="LGR37" s="953"/>
      <c r="LGS37" s="953"/>
      <c r="LGT37" s="953"/>
      <c r="LGU37" s="953"/>
      <c r="LGV37" s="953"/>
      <c r="LGW37" s="953"/>
      <c r="LGX37" s="953"/>
      <c r="LGY37" s="953"/>
      <c r="LGZ37" s="953"/>
      <c r="LHA37" s="953"/>
      <c r="LHB37" s="953"/>
      <c r="LHC37" s="953"/>
      <c r="LHD37" s="953"/>
      <c r="LHE37" s="953"/>
      <c r="LHF37" s="953"/>
      <c r="LHG37" s="953"/>
      <c r="LHH37" s="953"/>
      <c r="LHI37" s="953"/>
      <c r="LHJ37" s="953"/>
      <c r="LHK37" s="953"/>
      <c r="LHL37" s="953"/>
      <c r="LHM37" s="953"/>
      <c r="LHN37" s="953"/>
      <c r="LHO37" s="953"/>
      <c r="LHP37" s="953"/>
      <c r="LHQ37" s="953"/>
      <c r="LHR37" s="953"/>
      <c r="LHS37" s="953"/>
      <c r="LHT37" s="953"/>
      <c r="LHU37" s="953"/>
      <c r="LHV37" s="953"/>
      <c r="LHW37" s="953"/>
      <c r="LHX37" s="953"/>
      <c r="LHY37" s="953"/>
      <c r="LHZ37" s="953"/>
      <c r="LIA37" s="953"/>
      <c r="LIB37" s="953"/>
      <c r="LIC37" s="953"/>
      <c r="LID37" s="953"/>
      <c r="LIE37" s="953"/>
      <c r="LIF37" s="953"/>
      <c r="LIG37" s="953"/>
      <c r="LIH37" s="953"/>
      <c r="LII37" s="953"/>
      <c r="LIJ37" s="953"/>
      <c r="LIK37" s="953"/>
      <c r="LIL37" s="953"/>
      <c r="LIM37" s="953"/>
      <c r="LIN37" s="953"/>
      <c r="LIO37" s="953"/>
      <c r="LIP37" s="953"/>
      <c r="LIQ37" s="953"/>
      <c r="LIR37" s="953"/>
      <c r="LIS37" s="953"/>
      <c r="LIT37" s="953"/>
      <c r="LIU37" s="953"/>
      <c r="LIV37" s="953"/>
      <c r="LIW37" s="953"/>
      <c r="LIX37" s="953"/>
      <c r="LIY37" s="953"/>
      <c r="LIZ37" s="953"/>
      <c r="LJA37" s="953"/>
      <c r="LJB37" s="953"/>
      <c r="LJC37" s="953"/>
      <c r="LJD37" s="953"/>
      <c r="LJE37" s="953"/>
      <c r="LJF37" s="953"/>
      <c r="LJG37" s="953"/>
      <c r="LJH37" s="953"/>
      <c r="LJI37" s="953"/>
      <c r="LJJ37" s="953"/>
      <c r="LJK37" s="953"/>
      <c r="LJL37" s="953"/>
      <c r="LJM37" s="953"/>
      <c r="LJN37" s="953"/>
      <c r="LJO37" s="953"/>
      <c r="LJP37" s="953"/>
      <c r="LJQ37" s="953"/>
      <c r="LJR37" s="953"/>
      <c r="LJS37" s="953"/>
      <c r="LJT37" s="953"/>
      <c r="LJU37" s="953"/>
      <c r="LJV37" s="953"/>
      <c r="LJW37" s="953"/>
      <c r="LJX37" s="953"/>
      <c r="LJY37" s="953"/>
      <c r="LJZ37" s="953"/>
      <c r="LKA37" s="953"/>
      <c r="LKB37" s="953"/>
      <c r="LKC37" s="953"/>
      <c r="LKD37" s="953"/>
      <c r="LKE37" s="953"/>
      <c r="LKF37" s="953"/>
      <c r="LKG37" s="953"/>
      <c r="LKH37" s="953"/>
      <c r="LKI37" s="953"/>
      <c r="LKJ37" s="953"/>
      <c r="LKK37" s="953"/>
      <c r="LKL37" s="953"/>
      <c r="LKM37" s="953"/>
      <c r="LKN37" s="953"/>
      <c r="LKO37" s="953"/>
      <c r="LKP37" s="953"/>
      <c r="LKQ37" s="953"/>
      <c r="LKR37" s="953"/>
      <c r="LKS37" s="953"/>
      <c r="LKT37" s="953"/>
      <c r="LKU37" s="953"/>
      <c r="LKV37" s="953"/>
      <c r="LKW37" s="953"/>
      <c r="LKX37" s="953"/>
      <c r="LKY37" s="953"/>
      <c r="LKZ37" s="953"/>
      <c r="LLA37" s="953"/>
      <c r="LLB37" s="953"/>
      <c r="LLC37" s="953"/>
      <c r="LLD37" s="953"/>
      <c r="LLE37" s="953"/>
      <c r="LLF37" s="953"/>
      <c r="LLG37" s="953"/>
      <c r="LLH37" s="953"/>
      <c r="LLI37" s="953"/>
      <c r="LLJ37" s="953"/>
      <c r="LLK37" s="953"/>
      <c r="LLL37" s="953"/>
      <c r="LLM37" s="953"/>
      <c r="LLN37" s="953"/>
      <c r="LLO37" s="953"/>
      <c r="LLP37" s="953"/>
      <c r="LLQ37" s="953"/>
      <c r="LLR37" s="953"/>
      <c r="LLS37" s="953"/>
      <c r="LLT37" s="953"/>
      <c r="LLU37" s="953"/>
      <c r="LLV37" s="953"/>
      <c r="LLW37" s="953"/>
      <c r="LLX37" s="953"/>
      <c r="LLY37" s="953"/>
      <c r="LLZ37" s="953"/>
      <c r="LMA37" s="953"/>
      <c r="LMB37" s="953"/>
      <c r="LMC37" s="953"/>
      <c r="LMD37" s="953"/>
      <c r="LME37" s="953"/>
      <c r="LMF37" s="953"/>
      <c r="LMG37" s="953"/>
      <c r="LMH37" s="953"/>
      <c r="LMI37" s="953"/>
      <c r="LMJ37" s="953"/>
      <c r="LMK37" s="953"/>
      <c r="LML37" s="953"/>
      <c r="LMM37" s="953"/>
      <c r="LMN37" s="953"/>
      <c r="LMO37" s="953"/>
      <c r="LMP37" s="953"/>
      <c r="LMQ37" s="953"/>
      <c r="LMR37" s="953"/>
      <c r="LMS37" s="953"/>
      <c r="LMT37" s="953"/>
      <c r="LMU37" s="953"/>
      <c r="LMV37" s="953"/>
      <c r="LMW37" s="953"/>
      <c r="LMX37" s="953"/>
      <c r="LMY37" s="953"/>
      <c r="LMZ37" s="953"/>
      <c r="LNA37" s="953"/>
      <c r="LNB37" s="953"/>
      <c r="LNC37" s="953"/>
      <c r="LND37" s="953"/>
      <c r="LNE37" s="953"/>
      <c r="LNF37" s="953"/>
      <c r="LNG37" s="953"/>
      <c r="LNH37" s="953"/>
      <c r="LNI37" s="953"/>
      <c r="LNJ37" s="953"/>
      <c r="LNK37" s="953"/>
      <c r="LNL37" s="953"/>
      <c r="LNM37" s="953"/>
      <c r="LNN37" s="953"/>
      <c r="LNO37" s="953"/>
      <c r="LNP37" s="953"/>
      <c r="LNQ37" s="953"/>
      <c r="LNR37" s="953"/>
      <c r="LNS37" s="953"/>
      <c r="LNT37" s="953"/>
      <c r="LNU37" s="953"/>
      <c r="LNV37" s="953"/>
      <c r="LNW37" s="953"/>
      <c r="LNX37" s="953"/>
      <c r="LNY37" s="953"/>
      <c r="LNZ37" s="953"/>
      <c r="LOA37" s="953"/>
      <c r="LOB37" s="953"/>
      <c r="LOC37" s="953"/>
      <c r="LOD37" s="953"/>
      <c r="LOE37" s="953"/>
      <c r="LOF37" s="953"/>
      <c r="LOG37" s="953"/>
      <c r="LOH37" s="953"/>
      <c r="LOI37" s="953"/>
      <c r="LOJ37" s="953"/>
      <c r="LOK37" s="953"/>
      <c r="LOL37" s="953"/>
      <c r="LOM37" s="953"/>
      <c r="LON37" s="953"/>
      <c r="LOO37" s="953"/>
      <c r="LOP37" s="953"/>
      <c r="LOQ37" s="953"/>
      <c r="LOR37" s="953"/>
      <c r="LOS37" s="953"/>
      <c r="LOT37" s="953"/>
      <c r="LOU37" s="953"/>
      <c r="LOV37" s="953"/>
      <c r="LOW37" s="953"/>
      <c r="LOX37" s="953"/>
      <c r="LOY37" s="953"/>
      <c r="LOZ37" s="953"/>
      <c r="LPA37" s="953"/>
      <c r="LPB37" s="953"/>
      <c r="LPC37" s="953"/>
      <c r="LPD37" s="953"/>
      <c r="LPE37" s="953"/>
      <c r="LPF37" s="953"/>
      <c r="LPG37" s="953"/>
      <c r="LPH37" s="953"/>
      <c r="LPI37" s="953"/>
      <c r="LPJ37" s="953"/>
      <c r="LPK37" s="953"/>
      <c r="LPL37" s="953"/>
      <c r="LPM37" s="953"/>
      <c r="LPN37" s="953"/>
      <c r="LPO37" s="953"/>
      <c r="LPP37" s="953"/>
      <c r="LPQ37" s="953"/>
      <c r="LPR37" s="953"/>
      <c r="LPS37" s="953"/>
      <c r="LPT37" s="953"/>
      <c r="LPU37" s="953"/>
      <c r="LPV37" s="953"/>
      <c r="LPW37" s="953"/>
      <c r="LPX37" s="953"/>
      <c r="LPY37" s="953"/>
      <c r="LPZ37" s="953"/>
      <c r="LQA37" s="953"/>
      <c r="LQB37" s="953"/>
      <c r="LQC37" s="953"/>
      <c r="LQD37" s="953"/>
      <c r="LQE37" s="953"/>
      <c r="LQF37" s="953"/>
      <c r="LQG37" s="953"/>
      <c r="LQH37" s="953"/>
      <c r="LQI37" s="953"/>
      <c r="LQJ37" s="953"/>
      <c r="LQK37" s="953"/>
      <c r="LQL37" s="953"/>
      <c r="LQM37" s="953"/>
      <c r="LQN37" s="953"/>
      <c r="LQO37" s="953"/>
      <c r="LQP37" s="953"/>
      <c r="LQQ37" s="953"/>
      <c r="LQR37" s="953"/>
      <c r="LQS37" s="953"/>
      <c r="LQT37" s="953"/>
      <c r="LQU37" s="953"/>
      <c r="LQV37" s="953"/>
      <c r="LQW37" s="953"/>
      <c r="LQX37" s="953"/>
      <c r="LQY37" s="953"/>
      <c r="LQZ37" s="953"/>
      <c r="LRA37" s="953"/>
      <c r="LRB37" s="953"/>
      <c r="LRC37" s="953"/>
      <c r="LRD37" s="953"/>
      <c r="LRE37" s="953"/>
      <c r="LRF37" s="953"/>
      <c r="LRG37" s="953"/>
      <c r="LRH37" s="953"/>
      <c r="LRI37" s="953"/>
      <c r="LRJ37" s="953"/>
      <c r="LRK37" s="953"/>
      <c r="LRL37" s="953"/>
      <c r="LRM37" s="953"/>
      <c r="LRN37" s="953"/>
      <c r="LRO37" s="953"/>
      <c r="LRP37" s="953"/>
      <c r="LRQ37" s="953"/>
      <c r="LRR37" s="953"/>
      <c r="LRS37" s="953"/>
      <c r="LRT37" s="953"/>
      <c r="LRU37" s="953"/>
      <c r="LRV37" s="953"/>
      <c r="LRW37" s="953"/>
      <c r="LRX37" s="953"/>
      <c r="LRY37" s="953"/>
      <c r="LRZ37" s="953"/>
      <c r="LSA37" s="953"/>
      <c r="LSB37" s="953"/>
      <c r="LSC37" s="953"/>
      <c r="LSD37" s="953"/>
      <c r="LSE37" s="953"/>
      <c r="LSF37" s="953"/>
      <c r="LSG37" s="953"/>
      <c r="LSH37" s="953"/>
      <c r="LSI37" s="953"/>
      <c r="LSJ37" s="953"/>
      <c r="LSK37" s="953"/>
      <c r="LSL37" s="953"/>
      <c r="LSM37" s="953"/>
      <c r="LSN37" s="953"/>
      <c r="LSO37" s="953"/>
      <c r="LSP37" s="953"/>
      <c r="LSQ37" s="953"/>
      <c r="LSR37" s="953"/>
      <c r="LSS37" s="953"/>
      <c r="LST37" s="953"/>
      <c r="LSU37" s="953"/>
      <c r="LSV37" s="953"/>
      <c r="LSW37" s="953"/>
      <c r="LSX37" s="953"/>
      <c r="LSY37" s="953"/>
      <c r="LSZ37" s="953"/>
      <c r="LTA37" s="953"/>
      <c r="LTB37" s="953"/>
      <c r="LTC37" s="953"/>
      <c r="LTD37" s="953"/>
      <c r="LTE37" s="953"/>
      <c r="LTF37" s="953"/>
      <c r="LTG37" s="953"/>
      <c r="LTH37" s="953"/>
      <c r="LTI37" s="953"/>
      <c r="LTJ37" s="953"/>
      <c r="LTK37" s="953"/>
      <c r="LTL37" s="953"/>
      <c r="LTM37" s="953"/>
      <c r="LTN37" s="953"/>
      <c r="LTO37" s="953"/>
      <c r="LTP37" s="953"/>
      <c r="LTQ37" s="953"/>
      <c r="LTR37" s="953"/>
      <c r="LTS37" s="953"/>
      <c r="LTT37" s="953"/>
      <c r="LTU37" s="953"/>
      <c r="LTV37" s="953"/>
      <c r="LTW37" s="953"/>
      <c r="LTX37" s="953"/>
      <c r="LTY37" s="953"/>
      <c r="LTZ37" s="953"/>
      <c r="LUA37" s="953"/>
      <c r="LUB37" s="953"/>
      <c r="LUC37" s="953"/>
      <c r="LUD37" s="953"/>
      <c r="LUE37" s="953"/>
      <c r="LUF37" s="953"/>
      <c r="LUG37" s="953"/>
      <c r="LUH37" s="953"/>
      <c r="LUI37" s="953"/>
      <c r="LUJ37" s="953"/>
      <c r="LUK37" s="953"/>
      <c r="LUL37" s="953"/>
      <c r="LUM37" s="953"/>
      <c r="LUN37" s="953"/>
      <c r="LUO37" s="953"/>
      <c r="LUP37" s="953"/>
      <c r="LUQ37" s="953"/>
      <c r="LUR37" s="953"/>
      <c r="LUS37" s="953"/>
      <c r="LUT37" s="953"/>
      <c r="LUU37" s="953"/>
      <c r="LUV37" s="953"/>
      <c r="LUW37" s="953"/>
      <c r="LUX37" s="953"/>
      <c r="LUY37" s="953"/>
      <c r="LUZ37" s="953"/>
      <c r="LVA37" s="953"/>
      <c r="LVB37" s="953"/>
      <c r="LVC37" s="953"/>
      <c r="LVD37" s="953"/>
      <c r="LVE37" s="953"/>
      <c r="LVF37" s="953"/>
      <c r="LVG37" s="953"/>
      <c r="LVH37" s="953"/>
      <c r="LVI37" s="953"/>
      <c r="LVJ37" s="953"/>
      <c r="LVK37" s="953"/>
      <c r="LVL37" s="953"/>
      <c r="LVM37" s="953"/>
      <c r="LVN37" s="953"/>
      <c r="LVO37" s="953"/>
      <c r="LVP37" s="953"/>
      <c r="LVQ37" s="953"/>
      <c r="LVR37" s="953"/>
      <c r="LVS37" s="953"/>
      <c r="LVT37" s="953"/>
      <c r="LVU37" s="953"/>
      <c r="LVV37" s="953"/>
      <c r="LVW37" s="953"/>
      <c r="LVX37" s="953"/>
      <c r="LVY37" s="953"/>
      <c r="LVZ37" s="953"/>
      <c r="LWA37" s="953"/>
      <c r="LWB37" s="953"/>
      <c r="LWC37" s="953"/>
      <c r="LWD37" s="953"/>
      <c r="LWE37" s="953"/>
      <c r="LWF37" s="953"/>
      <c r="LWG37" s="953"/>
      <c r="LWH37" s="953"/>
      <c r="LWI37" s="953"/>
      <c r="LWJ37" s="953"/>
      <c r="LWK37" s="953"/>
      <c r="LWL37" s="953"/>
      <c r="LWM37" s="953"/>
      <c r="LWN37" s="953"/>
      <c r="LWO37" s="953"/>
      <c r="LWP37" s="953"/>
      <c r="LWQ37" s="953"/>
      <c r="LWR37" s="953"/>
      <c r="LWS37" s="953"/>
      <c r="LWT37" s="953"/>
      <c r="LWU37" s="953"/>
      <c r="LWV37" s="953"/>
      <c r="LWW37" s="953"/>
      <c r="LWX37" s="953"/>
      <c r="LWY37" s="953"/>
      <c r="LWZ37" s="953"/>
      <c r="LXA37" s="953"/>
      <c r="LXB37" s="953"/>
      <c r="LXC37" s="953"/>
      <c r="LXD37" s="953"/>
      <c r="LXE37" s="953"/>
      <c r="LXF37" s="953"/>
      <c r="LXG37" s="953"/>
      <c r="LXH37" s="953"/>
      <c r="LXI37" s="953"/>
      <c r="LXJ37" s="953"/>
      <c r="LXK37" s="953"/>
      <c r="LXL37" s="953"/>
      <c r="LXM37" s="953"/>
      <c r="LXN37" s="953"/>
      <c r="LXO37" s="953"/>
      <c r="LXP37" s="953"/>
      <c r="LXQ37" s="953"/>
      <c r="LXR37" s="953"/>
      <c r="LXS37" s="953"/>
      <c r="LXT37" s="953"/>
      <c r="LXU37" s="953"/>
      <c r="LXV37" s="953"/>
      <c r="LXW37" s="953"/>
      <c r="LXX37" s="953"/>
      <c r="LXY37" s="953"/>
      <c r="LXZ37" s="953"/>
      <c r="LYA37" s="953"/>
      <c r="LYB37" s="953"/>
      <c r="LYC37" s="953"/>
      <c r="LYD37" s="953"/>
      <c r="LYE37" s="953"/>
      <c r="LYF37" s="953"/>
      <c r="LYG37" s="953"/>
      <c r="LYH37" s="953"/>
      <c r="LYI37" s="953"/>
      <c r="LYJ37" s="953"/>
      <c r="LYK37" s="953"/>
      <c r="LYL37" s="953"/>
      <c r="LYM37" s="953"/>
      <c r="LYN37" s="953"/>
      <c r="LYO37" s="953"/>
      <c r="LYP37" s="953"/>
      <c r="LYQ37" s="953"/>
      <c r="LYR37" s="953"/>
      <c r="LYS37" s="953"/>
      <c r="LYT37" s="953"/>
      <c r="LYU37" s="953"/>
      <c r="LYV37" s="953"/>
      <c r="LYW37" s="953"/>
      <c r="LYX37" s="953"/>
      <c r="LYY37" s="953"/>
      <c r="LYZ37" s="953"/>
      <c r="LZA37" s="953"/>
      <c r="LZB37" s="953"/>
      <c r="LZC37" s="953"/>
      <c r="LZD37" s="953"/>
      <c r="LZE37" s="953"/>
      <c r="LZF37" s="953"/>
      <c r="LZG37" s="953"/>
      <c r="LZH37" s="953"/>
      <c r="LZI37" s="953"/>
      <c r="LZJ37" s="953"/>
      <c r="LZK37" s="953"/>
      <c r="LZL37" s="953"/>
      <c r="LZM37" s="953"/>
      <c r="LZN37" s="953"/>
      <c r="LZO37" s="953"/>
      <c r="LZP37" s="953"/>
      <c r="LZQ37" s="953"/>
      <c r="LZR37" s="953"/>
      <c r="LZS37" s="953"/>
      <c r="LZT37" s="953"/>
      <c r="LZU37" s="953"/>
      <c r="LZV37" s="953"/>
      <c r="LZW37" s="953"/>
      <c r="LZX37" s="953"/>
      <c r="LZY37" s="953"/>
      <c r="LZZ37" s="953"/>
      <c r="MAA37" s="953"/>
      <c r="MAB37" s="953"/>
      <c r="MAC37" s="953"/>
      <c r="MAD37" s="953"/>
      <c r="MAE37" s="953"/>
      <c r="MAF37" s="953"/>
      <c r="MAG37" s="953"/>
      <c r="MAH37" s="953"/>
      <c r="MAI37" s="953"/>
      <c r="MAJ37" s="953"/>
      <c r="MAK37" s="953"/>
      <c r="MAL37" s="953"/>
      <c r="MAM37" s="953"/>
      <c r="MAN37" s="953"/>
      <c r="MAO37" s="953"/>
      <c r="MAP37" s="953"/>
      <c r="MAQ37" s="953"/>
      <c r="MAR37" s="953"/>
      <c r="MAS37" s="953"/>
      <c r="MAT37" s="953"/>
      <c r="MAU37" s="953"/>
      <c r="MAV37" s="953"/>
      <c r="MAW37" s="953"/>
      <c r="MAX37" s="953"/>
      <c r="MAY37" s="953"/>
      <c r="MAZ37" s="953"/>
      <c r="MBA37" s="953"/>
      <c r="MBB37" s="953"/>
      <c r="MBC37" s="953"/>
      <c r="MBD37" s="953"/>
      <c r="MBE37" s="953"/>
      <c r="MBF37" s="953"/>
      <c r="MBG37" s="953"/>
      <c r="MBH37" s="953"/>
      <c r="MBI37" s="953"/>
      <c r="MBJ37" s="953"/>
      <c r="MBK37" s="953"/>
      <c r="MBL37" s="953"/>
      <c r="MBM37" s="953"/>
      <c r="MBN37" s="953"/>
      <c r="MBO37" s="953"/>
      <c r="MBP37" s="953"/>
      <c r="MBQ37" s="953"/>
      <c r="MBR37" s="953"/>
      <c r="MBS37" s="953"/>
      <c r="MBT37" s="953"/>
      <c r="MBU37" s="953"/>
      <c r="MBV37" s="953"/>
      <c r="MBW37" s="953"/>
      <c r="MBX37" s="953"/>
      <c r="MBY37" s="953"/>
      <c r="MBZ37" s="953"/>
      <c r="MCA37" s="953"/>
      <c r="MCB37" s="953"/>
      <c r="MCC37" s="953"/>
      <c r="MCD37" s="953"/>
      <c r="MCE37" s="953"/>
      <c r="MCF37" s="953"/>
      <c r="MCG37" s="953"/>
      <c r="MCH37" s="953"/>
      <c r="MCI37" s="953"/>
      <c r="MCJ37" s="953"/>
      <c r="MCK37" s="953"/>
      <c r="MCL37" s="953"/>
      <c r="MCM37" s="953"/>
      <c r="MCN37" s="953"/>
      <c r="MCO37" s="953"/>
      <c r="MCP37" s="953"/>
      <c r="MCQ37" s="953"/>
      <c r="MCR37" s="953"/>
      <c r="MCS37" s="953"/>
      <c r="MCT37" s="953"/>
      <c r="MCU37" s="953"/>
      <c r="MCV37" s="953"/>
      <c r="MCW37" s="953"/>
      <c r="MCX37" s="953"/>
      <c r="MCY37" s="953"/>
      <c r="MCZ37" s="953"/>
      <c r="MDA37" s="953"/>
      <c r="MDB37" s="953"/>
      <c r="MDC37" s="953"/>
      <c r="MDD37" s="953"/>
      <c r="MDE37" s="953"/>
      <c r="MDF37" s="953"/>
      <c r="MDG37" s="953"/>
      <c r="MDH37" s="953"/>
      <c r="MDI37" s="953"/>
      <c r="MDJ37" s="953"/>
      <c r="MDK37" s="953"/>
      <c r="MDL37" s="953"/>
      <c r="MDM37" s="953"/>
      <c r="MDN37" s="953"/>
      <c r="MDO37" s="953"/>
      <c r="MDP37" s="953"/>
      <c r="MDQ37" s="953"/>
      <c r="MDR37" s="953"/>
      <c r="MDS37" s="953"/>
      <c r="MDT37" s="953"/>
      <c r="MDU37" s="953"/>
      <c r="MDV37" s="953"/>
      <c r="MDW37" s="953"/>
      <c r="MDX37" s="953"/>
      <c r="MDY37" s="953"/>
      <c r="MDZ37" s="953"/>
      <c r="MEA37" s="953"/>
      <c r="MEB37" s="953"/>
      <c r="MEC37" s="953"/>
      <c r="MED37" s="953"/>
      <c r="MEE37" s="953"/>
      <c r="MEF37" s="953"/>
      <c r="MEG37" s="953"/>
      <c r="MEH37" s="953"/>
      <c r="MEI37" s="953"/>
      <c r="MEJ37" s="953"/>
      <c r="MEK37" s="953"/>
      <c r="MEL37" s="953"/>
      <c r="MEM37" s="953"/>
      <c r="MEN37" s="953"/>
      <c r="MEO37" s="953"/>
      <c r="MEP37" s="953"/>
      <c r="MEQ37" s="953"/>
      <c r="MER37" s="953"/>
      <c r="MES37" s="953"/>
      <c r="MET37" s="953"/>
      <c r="MEU37" s="953"/>
      <c r="MEV37" s="953"/>
      <c r="MEW37" s="953"/>
      <c r="MEX37" s="953"/>
      <c r="MEY37" s="953"/>
      <c r="MEZ37" s="953"/>
      <c r="MFA37" s="953"/>
      <c r="MFB37" s="953"/>
      <c r="MFC37" s="953"/>
      <c r="MFD37" s="953"/>
      <c r="MFE37" s="953"/>
      <c r="MFF37" s="953"/>
      <c r="MFG37" s="953"/>
      <c r="MFH37" s="953"/>
      <c r="MFI37" s="953"/>
      <c r="MFJ37" s="953"/>
      <c r="MFK37" s="953"/>
      <c r="MFL37" s="953"/>
      <c r="MFM37" s="953"/>
      <c r="MFN37" s="953"/>
      <c r="MFO37" s="953"/>
      <c r="MFP37" s="953"/>
      <c r="MFQ37" s="953"/>
      <c r="MFR37" s="953"/>
      <c r="MFS37" s="953"/>
      <c r="MFT37" s="953"/>
      <c r="MFU37" s="953"/>
      <c r="MFV37" s="953"/>
      <c r="MFW37" s="953"/>
      <c r="MFX37" s="953"/>
      <c r="MFY37" s="953"/>
      <c r="MFZ37" s="953"/>
      <c r="MGA37" s="953"/>
      <c r="MGB37" s="953"/>
      <c r="MGC37" s="953"/>
      <c r="MGD37" s="953"/>
      <c r="MGE37" s="953"/>
      <c r="MGF37" s="953"/>
      <c r="MGG37" s="953"/>
      <c r="MGH37" s="953"/>
      <c r="MGI37" s="953"/>
      <c r="MGJ37" s="953"/>
      <c r="MGK37" s="953"/>
      <c r="MGL37" s="953"/>
      <c r="MGM37" s="953"/>
      <c r="MGN37" s="953"/>
      <c r="MGO37" s="953"/>
      <c r="MGP37" s="953"/>
      <c r="MGQ37" s="953"/>
      <c r="MGR37" s="953"/>
      <c r="MGS37" s="953"/>
      <c r="MGT37" s="953"/>
      <c r="MGU37" s="953"/>
      <c r="MGV37" s="953"/>
      <c r="MGW37" s="953"/>
      <c r="MGX37" s="953"/>
      <c r="MGY37" s="953"/>
      <c r="MGZ37" s="953"/>
      <c r="MHA37" s="953"/>
      <c r="MHB37" s="953"/>
      <c r="MHC37" s="953"/>
      <c r="MHD37" s="953"/>
      <c r="MHE37" s="953"/>
      <c r="MHF37" s="953"/>
      <c r="MHG37" s="953"/>
      <c r="MHH37" s="953"/>
      <c r="MHI37" s="953"/>
      <c r="MHJ37" s="953"/>
      <c r="MHK37" s="953"/>
      <c r="MHL37" s="953"/>
      <c r="MHM37" s="953"/>
      <c r="MHN37" s="953"/>
      <c r="MHO37" s="953"/>
      <c r="MHP37" s="953"/>
      <c r="MHQ37" s="953"/>
      <c r="MHR37" s="953"/>
      <c r="MHS37" s="953"/>
      <c r="MHT37" s="953"/>
      <c r="MHU37" s="953"/>
      <c r="MHV37" s="953"/>
      <c r="MHW37" s="953"/>
      <c r="MHX37" s="953"/>
      <c r="MHY37" s="953"/>
      <c r="MHZ37" s="953"/>
      <c r="MIA37" s="953"/>
      <c r="MIB37" s="953"/>
      <c r="MIC37" s="953"/>
      <c r="MID37" s="953"/>
      <c r="MIE37" s="953"/>
      <c r="MIF37" s="953"/>
      <c r="MIG37" s="953"/>
      <c r="MIH37" s="953"/>
      <c r="MII37" s="953"/>
      <c r="MIJ37" s="953"/>
      <c r="MIK37" s="953"/>
      <c r="MIL37" s="953"/>
      <c r="MIM37" s="953"/>
      <c r="MIN37" s="953"/>
      <c r="MIO37" s="953"/>
      <c r="MIP37" s="953"/>
      <c r="MIQ37" s="953"/>
      <c r="MIR37" s="953"/>
      <c r="MIS37" s="953"/>
      <c r="MIT37" s="953"/>
      <c r="MIU37" s="953"/>
      <c r="MIV37" s="953"/>
      <c r="MIW37" s="953"/>
      <c r="MIX37" s="953"/>
      <c r="MIY37" s="953"/>
      <c r="MIZ37" s="953"/>
      <c r="MJA37" s="953"/>
      <c r="MJB37" s="953"/>
      <c r="MJC37" s="953"/>
      <c r="MJD37" s="953"/>
      <c r="MJE37" s="953"/>
      <c r="MJF37" s="953"/>
      <c r="MJG37" s="953"/>
      <c r="MJH37" s="953"/>
      <c r="MJI37" s="953"/>
      <c r="MJJ37" s="953"/>
      <c r="MJK37" s="953"/>
      <c r="MJL37" s="953"/>
      <c r="MJM37" s="953"/>
      <c r="MJN37" s="953"/>
      <c r="MJO37" s="953"/>
      <c r="MJP37" s="953"/>
      <c r="MJQ37" s="953"/>
      <c r="MJR37" s="953"/>
      <c r="MJS37" s="953"/>
      <c r="MJT37" s="953"/>
      <c r="MJU37" s="953"/>
      <c r="MJV37" s="953"/>
      <c r="MJW37" s="953"/>
      <c r="MJX37" s="953"/>
      <c r="MJY37" s="953"/>
      <c r="MJZ37" s="953"/>
      <c r="MKA37" s="953"/>
      <c r="MKB37" s="953"/>
      <c r="MKC37" s="953"/>
      <c r="MKD37" s="953"/>
      <c r="MKE37" s="953"/>
      <c r="MKF37" s="953"/>
      <c r="MKG37" s="953"/>
      <c r="MKH37" s="953"/>
      <c r="MKI37" s="953"/>
      <c r="MKJ37" s="953"/>
      <c r="MKK37" s="953"/>
      <c r="MKL37" s="953"/>
      <c r="MKM37" s="953"/>
      <c r="MKN37" s="953"/>
      <c r="MKO37" s="953"/>
      <c r="MKP37" s="953"/>
      <c r="MKQ37" s="953"/>
      <c r="MKR37" s="953"/>
      <c r="MKS37" s="953"/>
      <c r="MKT37" s="953"/>
      <c r="MKU37" s="953"/>
      <c r="MKV37" s="953"/>
      <c r="MKW37" s="953"/>
      <c r="MKX37" s="953"/>
      <c r="MKY37" s="953"/>
      <c r="MKZ37" s="953"/>
      <c r="MLA37" s="953"/>
      <c r="MLB37" s="953"/>
      <c r="MLC37" s="953"/>
      <c r="MLD37" s="953"/>
      <c r="MLE37" s="953"/>
      <c r="MLF37" s="953"/>
      <c r="MLG37" s="953"/>
      <c r="MLH37" s="953"/>
      <c r="MLI37" s="953"/>
      <c r="MLJ37" s="953"/>
      <c r="MLK37" s="953"/>
      <c r="MLL37" s="953"/>
      <c r="MLM37" s="953"/>
      <c r="MLN37" s="953"/>
      <c r="MLO37" s="953"/>
      <c r="MLP37" s="953"/>
      <c r="MLQ37" s="953"/>
      <c r="MLR37" s="953"/>
      <c r="MLS37" s="953"/>
      <c r="MLT37" s="953"/>
      <c r="MLU37" s="953"/>
      <c r="MLV37" s="953"/>
      <c r="MLW37" s="953"/>
      <c r="MLX37" s="953"/>
      <c r="MLY37" s="953"/>
      <c r="MLZ37" s="953"/>
      <c r="MMA37" s="953"/>
      <c r="MMB37" s="953"/>
      <c r="MMC37" s="953"/>
      <c r="MMD37" s="953"/>
      <c r="MME37" s="953"/>
      <c r="MMF37" s="953"/>
      <c r="MMG37" s="953"/>
      <c r="MMH37" s="953"/>
      <c r="MMI37" s="953"/>
      <c r="MMJ37" s="953"/>
      <c r="MMK37" s="953"/>
      <c r="MML37" s="953"/>
      <c r="MMM37" s="953"/>
      <c r="MMN37" s="953"/>
      <c r="MMO37" s="953"/>
      <c r="MMP37" s="953"/>
      <c r="MMQ37" s="953"/>
      <c r="MMR37" s="953"/>
      <c r="MMS37" s="953"/>
      <c r="MMT37" s="953"/>
      <c r="MMU37" s="953"/>
      <c r="MMV37" s="953"/>
      <c r="MMW37" s="953"/>
      <c r="MMX37" s="953"/>
      <c r="MMY37" s="953"/>
      <c r="MMZ37" s="953"/>
      <c r="MNA37" s="953"/>
      <c r="MNB37" s="953"/>
      <c r="MNC37" s="953"/>
      <c r="MND37" s="953"/>
      <c r="MNE37" s="953"/>
      <c r="MNF37" s="953"/>
      <c r="MNG37" s="953"/>
      <c r="MNH37" s="953"/>
      <c r="MNI37" s="953"/>
      <c r="MNJ37" s="953"/>
      <c r="MNK37" s="953"/>
      <c r="MNL37" s="953"/>
      <c r="MNM37" s="953"/>
      <c r="MNN37" s="953"/>
      <c r="MNO37" s="953"/>
      <c r="MNP37" s="953"/>
      <c r="MNQ37" s="953"/>
      <c r="MNR37" s="953"/>
      <c r="MNS37" s="953"/>
      <c r="MNT37" s="953"/>
      <c r="MNU37" s="953"/>
      <c r="MNV37" s="953"/>
      <c r="MNW37" s="953"/>
      <c r="MNX37" s="953"/>
      <c r="MNY37" s="953"/>
      <c r="MNZ37" s="953"/>
      <c r="MOA37" s="953"/>
      <c r="MOB37" s="953"/>
      <c r="MOC37" s="953"/>
      <c r="MOD37" s="953"/>
      <c r="MOE37" s="953"/>
      <c r="MOF37" s="953"/>
      <c r="MOG37" s="953"/>
      <c r="MOH37" s="953"/>
      <c r="MOI37" s="953"/>
      <c r="MOJ37" s="953"/>
      <c r="MOK37" s="953"/>
      <c r="MOL37" s="953"/>
      <c r="MOM37" s="953"/>
      <c r="MON37" s="953"/>
      <c r="MOO37" s="953"/>
      <c r="MOP37" s="953"/>
      <c r="MOQ37" s="953"/>
      <c r="MOR37" s="953"/>
      <c r="MOS37" s="953"/>
      <c r="MOT37" s="953"/>
      <c r="MOU37" s="953"/>
      <c r="MOV37" s="953"/>
      <c r="MOW37" s="953"/>
      <c r="MOX37" s="953"/>
      <c r="MOY37" s="953"/>
      <c r="MOZ37" s="953"/>
      <c r="MPA37" s="953"/>
      <c r="MPB37" s="953"/>
      <c r="MPC37" s="953"/>
      <c r="MPD37" s="953"/>
      <c r="MPE37" s="953"/>
      <c r="MPF37" s="953"/>
      <c r="MPG37" s="953"/>
      <c r="MPH37" s="953"/>
      <c r="MPI37" s="953"/>
      <c r="MPJ37" s="953"/>
      <c r="MPK37" s="953"/>
      <c r="MPL37" s="953"/>
      <c r="MPM37" s="953"/>
      <c r="MPN37" s="953"/>
      <c r="MPO37" s="953"/>
      <c r="MPP37" s="953"/>
      <c r="MPQ37" s="953"/>
      <c r="MPR37" s="953"/>
      <c r="MPS37" s="953"/>
      <c r="MPT37" s="953"/>
      <c r="MPU37" s="953"/>
      <c r="MPV37" s="953"/>
      <c r="MPW37" s="953"/>
      <c r="MPX37" s="953"/>
      <c r="MPY37" s="953"/>
      <c r="MPZ37" s="953"/>
      <c r="MQA37" s="953"/>
      <c r="MQB37" s="953"/>
      <c r="MQC37" s="953"/>
      <c r="MQD37" s="953"/>
      <c r="MQE37" s="953"/>
      <c r="MQF37" s="953"/>
      <c r="MQG37" s="953"/>
      <c r="MQH37" s="953"/>
      <c r="MQI37" s="953"/>
      <c r="MQJ37" s="953"/>
      <c r="MQK37" s="953"/>
      <c r="MQL37" s="953"/>
      <c r="MQM37" s="953"/>
      <c r="MQN37" s="953"/>
      <c r="MQO37" s="953"/>
      <c r="MQP37" s="953"/>
      <c r="MQQ37" s="953"/>
      <c r="MQR37" s="953"/>
      <c r="MQS37" s="953"/>
      <c r="MQT37" s="953"/>
      <c r="MQU37" s="953"/>
      <c r="MQV37" s="953"/>
      <c r="MQW37" s="953"/>
      <c r="MQX37" s="953"/>
      <c r="MQY37" s="953"/>
      <c r="MQZ37" s="953"/>
      <c r="MRA37" s="953"/>
      <c r="MRB37" s="953"/>
      <c r="MRC37" s="953"/>
      <c r="MRD37" s="953"/>
      <c r="MRE37" s="953"/>
      <c r="MRF37" s="953"/>
      <c r="MRG37" s="953"/>
      <c r="MRH37" s="953"/>
      <c r="MRI37" s="953"/>
      <c r="MRJ37" s="953"/>
      <c r="MRK37" s="953"/>
      <c r="MRL37" s="953"/>
      <c r="MRM37" s="953"/>
      <c r="MRN37" s="953"/>
      <c r="MRO37" s="953"/>
      <c r="MRP37" s="953"/>
      <c r="MRQ37" s="953"/>
      <c r="MRR37" s="953"/>
      <c r="MRS37" s="953"/>
      <c r="MRT37" s="953"/>
      <c r="MRU37" s="953"/>
      <c r="MRV37" s="953"/>
      <c r="MRW37" s="953"/>
      <c r="MRX37" s="953"/>
      <c r="MRY37" s="953"/>
      <c r="MRZ37" s="953"/>
      <c r="MSA37" s="953"/>
      <c r="MSB37" s="953"/>
      <c r="MSC37" s="953"/>
      <c r="MSD37" s="953"/>
      <c r="MSE37" s="953"/>
      <c r="MSF37" s="953"/>
      <c r="MSG37" s="953"/>
      <c r="MSH37" s="953"/>
      <c r="MSI37" s="953"/>
      <c r="MSJ37" s="953"/>
      <c r="MSK37" s="953"/>
      <c r="MSL37" s="953"/>
      <c r="MSM37" s="953"/>
      <c r="MSN37" s="953"/>
      <c r="MSO37" s="953"/>
      <c r="MSP37" s="953"/>
      <c r="MSQ37" s="953"/>
      <c r="MSR37" s="953"/>
      <c r="MSS37" s="953"/>
      <c r="MST37" s="953"/>
      <c r="MSU37" s="953"/>
      <c r="MSV37" s="953"/>
      <c r="MSW37" s="953"/>
      <c r="MSX37" s="953"/>
      <c r="MSY37" s="953"/>
      <c r="MSZ37" s="953"/>
      <c r="MTA37" s="953"/>
      <c r="MTB37" s="953"/>
      <c r="MTC37" s="953"/>
      <c r="MTD37" s="953"/>
      <c r="MTE37" s="953"/>
      <c r="MTF37" s="953"/>
      <c r="MTG37" s="953"/>
      <c r="MTH37" s="953"/>
      <c r="MTI37" s="953"/>
      <c r="MTJ37" s="953"/>
      <c r="MTK37" s="953"/>
      <c r="MTL37" s="953"/>
      <c r="MTM37" s="953"/>
      <c r="MTN37" s="953"/>
      <c r="MTO37" s="953"/>
      <c r="MTP37" s="953"/>
      <c r="MTQ37" s="953"/>
      <c r="MTR37" s="953"/>
      <c r="MTS37" s="953"/>
      <c r="MTT37" s="953"/>
      <c r="MTU37" s="953"/>
      <c r="MTV37" s="953"/>
      <c r="MTW37" s="953"/>
      <c r="MTX37" s="953"/>
      <c r="MTY37" s="953"/>
      <c r="MTZ37" s="953"/>
      <c r="MUA37" s="953"/>
      <c r="MUB37" s="953"/>
      <c r="MUC37" s="953"/>
      <c r="MUD37" s="953"/>
      <c r="MUE37" s="953"/>
      <c r="MUF37" s="953"/>
      <c r="MUG37" s="953"/>
      <c r="MUH37" s="953"/>
      <c r="MUI37" s="953"/>
      <c r="MUJ37" s="953"/>
      <c r="MUK37" s="953"/>
      <c r="MUL37" s="953"/>
      <c r="MUM37" s="953"/>
      <c r="MUN37" s="953"/>
      <c r="MUO37" s="953"/>
      <c r="MUP37" s="953"/>
      <c r="MUQ37" s="953"/>
      <c r="MUR37" s="953"/>
      <c r="MUS37" s="953"/>
      <c r="MUT37" s="953"/>
      <c r="MUU37" s="953"/>
      <c r="MUV37" s="953"/>
      <c r="MUW37" s="953"/>
      <c r="MUX37" s="953"/>
      <c r="MUY37" s="953"/>
      <c r="MUZ37" s="953"/>
      <c r="MVA37" s="953"/>
      <c r="MVB37" s="953"/>
      <c r="MVC37" s="953"/>
      <c r="MVD37" s="953"/>
      <c r="MVE37" s="953"/>
      <c r="MVF37" s="953"/>
      <c r="MVG37" s="953"/>
      <c r="MVH37" s="953"/>
      <c r="MVI37" s="953"/>
      <c r="MVJ37" s="953"/>
      <c r="MVK37" s="953"/>
      <c r="MVL37" s="953"/>
      <c r="MVM37" s="953"/>
      <c r="MVN37" s="953"/>
      <c r="MVO37" s="953"/>
      <c r="MVP37" s="953"/>
      <c r="MVQ37" s="953"/>
      <c r="MVR37" s="953"/>
      <c r="MVS37" s="953"/>
      <c r="MVT37" s="953"/>
      <c r="MVU37" s="953"/>
      <c r="MVV37" s="953"/>
      <c r="MVW37" s="953"/>
      <c r="MVX37" s="953"/>
      <c r="MVY37" s="953"/>
      <c r="MVZ37" s="953"/>
      <c r="MWA37" s="953"/>
      <c r="MWB37" s="953"/>
      <c r="MWC37" s="953"/>
      <c r="MWD37" s="953"/>
      <c r="MWE37" s="953"/>
      <c r="MWF37" s="953"/>
      <c r="MWG37" s="953"/>
      <c r="MWH37" s="953"/>
      <c r="MWI37" s="953"/>
      <c r="MWJ37" s="953"/>
      <c r="MWK37" s="953"/>
      <c r="MWL37" s="953"/>
      <c r="MWM37" s="953"/>
      <c r="MWN37" s="953"/>
      <c r="MWO37" s="953"/>
      <c r="MWP37" s="953"/>
      <c r="MWQ37" s="953"/>
      <c r="MWR37" s="953"/>
      <c r="MWS37" s="953"/>
      <c r="MWT37" s="953"/>
      <c r="MWU37" s="953"/>
      <c r="MWV37" s="953"/>
      <c r="MWW37" s="953"/>
      <c r="MWX37" s="953"/>
      <c r="MWY37" s="953"/>
      <c r="MWZ37" s="953"/>
      <c r="MXA37" s="953"/>
      <c r="MXB37" s="953"/>
      <c r="MXC37" s="953"/>
      <c r="MXD37" s="953"/>
      <c r="MXE37" s="953"/>
      <c r="MXF37" s="953"/>
      <c r="MXG37" s="953"/>
      <c r="MXH37" s="953"/>
      <c r="MXI37" s="953"/>
      <c r="MXJ37" s="953"/>
      <c r="MXK37" s="953"/>
      <c r="MXL37" s="953"/>
      <c r="MXM37" s="953"/>
      <c r="MXN37" s="953"/>
      <c r="MXO37" s="953"/>
      <c r="MXP37" s="953"/>
      <c r="MXQ37" s="953"/>
      <c r="MXR37" s="953"/>
      <c r="MXS37" s="953"/>
      <c r="MXT37" s="953"/>
      <c r="MXU37" s="953"/>
      <c r="MXV37" s="953"/>
      <c r="MXW37" s="953"/>
      <c r="MXX37" s="953"/>
      <c r="MXY37" s="953"/>
      <c r="MXZ37" s="953"/>
      <c r="MYA37" s="953"/>
      <c r="MYB37" s="953"/>
      <c r="MYC37" s="953"/>
      <c r="MYD37" s="953"/>
      <c r="MYE37" s="953"/>
      <c r="MYF37" s="953"/>
      <c r="MYG37" s="953"/>
      <c r="MYH37" s="953"/>
      <c r="MYI37" s="953"/>
      <c r="MYJ37" s="953"/>
      <c r="MYK37" s="953"/>
      <c r="MYL37" s="953"/>
      <c r="MYM37" s="953"/>
      <c r="MYN37" s="953"/>
      <c r="MYO37" s="953"/>
      <c r="MYP37" s="953"/>
      <c r="MYQ37" s="953"/>
      <c r="MYR37" s="953"/>
      <c r="MYS37" s="953"/>
      <c r="MYT37" s="953"/>
      <c r="MYU37" s="953"/>
      <c r="MYV37" s="953"/>
      <c r="MYW37" s="953"/>
      <c r="MYX37" s="953"/>
      <c r="MYY37" s="953"/>
      <c r="MYZ37" s="953"/>
      <c r="MZA37" s="953"/>
      <c r="MZB37" s="953"/>
      <c r="MZC37" s="953"/>
      <c r="MZD37" s="953"/>
      <c r="MZE37" s="953"/>
      <c r="MZF37" s="953"/>
      <c r="MZG37" s="953"/>
      <c r="MZH37" s="953"/>
      <c r="MZI37" s="953"/>
      <c r="MZJ37" s="953"/>
      <c r="MZK37" s="953"/>
      <c r="MZL37" s="953"/>
      <c r="MZM37" s="953"/>
      <c r="MZN37" s="953"/>
      <c r="MZO37" s="953"/>
      <c r="MZP37" s="953"/>
      <c r="MZQ37" s="953"/>
      <c r="MZR37" s="953"/>
      <c r="MZS37" s="953"/>
      <c r="MZT37" s="953"/>
      <c r="MZU37" s="953"/>
      <c r="MZV37" s="953"/>
      <c r="MZW37" s="953"/>
      <c r="MZX37" s="953"/>
      <c r="MZY37" s="953"/>
      <c r="MZZ37" s="953"/>
      <c r="NAA37" s="953"/>
      <c r="NAB37" s="953"/>
      <c r="NAC37" s="953"/>
      <c r="NAD37" s="953"/>
      <c r="NAE37" s="953"/>
      <c r="NAF37" s="953"/>
      <c r="NAG37" s="953"/>
      <c r="NAH37" s="953"/>
      <c r="NAI37" s="953"/>
      <c r="NAJ37" s="953"/>
      <c r="NAK37" s="953"/>
      <c r="NAL37" s="953"/>
      <c r="NAM37" s="953"/>
      <c r="NAN37" s="953"/>
      <c r="NAO37" s="953"/>
      <c r="NAP37" s="953"/>
      <c r="NAQ37" s="953"/>
      <c r="NAR37" s="953"/>
      <c r="NAS37" s="953"/>
      <c r="NAT37" s="953"/>
      <c r="NAU37" s="953"/>
      <c r="NAV37" s="953"/>
      <c r="NAW37" s="953"/>
      <c r="NAX37" s="953"/>
      <c r="NAY37" s="953"/>
      <c r="NAZ37" s="953"/>
      <c r="NBA37" s="953"/>
      <c r="NBB37" s="953"/>
      <c r="NBC37" s="953"/>
      <c r="NBD37" s="953"/>
      <c r="NBE37" s="953"/>
      <c r="NBF37" s="953"/>
      <c r="NBG37" s="953"/>
      <c r="NBH37" s="953"/>
      <c r="NBI37" s="953"/>
      <c r="NBJ37" s="953"/>
      <c r="NBK37" s="953"/>
      <c r="NBL37" s="953"/>
      <c r="NBM37" s="953"/>
      <c r="NBN37" s="953"/>
      <c r="NBO37" s="953"/>
      <c r="NBP37" s="953"/>
      <c r="NBQ37" s="953"/>
      <c r="NBR37" s="953"/>
      <c r="NBS37" s="953"/>
      <c r="NBT37" s="953"/>
      <c r="NBU37" s="953"/>
      <c r="NBV37" s="953"/>
      <c r="NBW37" s="953"/>
      <c r="NBX37" s="953"/>
      <c r="NBY37" s="953"/>
      <c r="NBZ37" s="953"/>
      <c r="NCA37" s="953"/>
      <c r="NCB37" s="953"/>
      <c r="NCC37" s="953"/>
      <c r="NCD37" s="953"/>
      <c r="NCE37" s="953"/>
      <c r="NCF37" s="953"/>
      <c r="NCG37" s="953"/>
      <c r="NCH37" s="953"/>
      <c r="NCI37" s="953"/>
      <c r="NCJ37" s="953"/>
      <c r="NCK37" s="953"/>
      <c r="NCL37" s="953"/>
      <c r="NCM37" s="953"/>
      <c r="NCN37" s="953"/>
      <c r="NCO37" s="953"/>
      <c r="NCP37" s="953"/>
      <c r="NCQ37" s="953"/>
      <c r="NCR37" s="953"/>
      <c r="NCS37" s="953"/>
      <c r="NCT37" s="953"/>
      <c r="NCU37" s="953"/>
      <c r="NCV37" s="953"/>
      <c r="NCW37" s="953"/>
      <c r="NCX37" s="953"/>
      <c r="NCY37" s="953"/>
      <c r="NCZ37" s="953"/>
      <c r="NDA37" s="953"/>
      <c r="NDB37" s="953"/>
      <c r="NDC37" s="953"/>
      <c r="NDD37" s="953"/>
      <c r="NDE37" s="953"/>
      <c r="NDF37" s="953"/>
      <c r="NDG37" s="953"/>
      <c r="NDH37" s="953"/>
      <c r="NDI37" s="953"/>
      <c r="NDJ37" s="953"/>
      <c r="NDK37" s="953"/>
      <c r="NDL37" s="953"/>
      <c r="NDM37" s="953"/>
      <c r="NDN37" s="953"/>
      <c r="NDO37" s="953"/>
      <c r="NDP37" s="953"/>
      <c r="NDQ37" s="953"/>
      <c r="NDR37" s="953"/>
      <c r="NDS37" s="953"/>
      <c r="NDT37" s="953"/>
      <c r="NDU37" s="953"/>
      <c r="NDV37" s="953"/>
      <c r="NDW37" s="953"/>
      <c r="NDX37" s="953"/>
      <c r="NDY37" s="953"/>
      <c r="NDZ37" s="953"/>
      <c r="NEA37" s="953"/>
      <c r="NEB37" s="953"/>
      <c r="NEC37" s="953"/>
      <c r="NED37" s="953"/>
      <c r="NEE37" s="953"/>
      <c r="NEF37" s="953"/>
      <c r="NEG37" s="953"/>
      <c r="NEH37" s="953"/>
      <c r="NEI37" s="953"/>
      <c r="NEJ37" s="953"/>
      <c r="NEK37" s="953"/>
      <c r="NEL37" s="953"/>
      <c r="NEM37" s="953"/>
      <c r="NEN37" s="953"/>
      <c r="NEO37" s="953"/>
      <c r="NEP37" s="953"/>
      <c r="NEQ37" s="953"/>
      <c r="NER37" s="953"/>
      <c r="NES37" s="953"/>
      <c r="NET37" s="953"/>
      <c r="NEU37" s="953"/>
      <c r="NEV37" s="953"/>
      <c r="NEW37" s="953"/>
      <c r="NEX37" s="953"/>
      <c r="NEY37" s="953"/>
      <c r="NEZ37" s="953"/>
      <c r="NFA37" s="953"/>
      <c r="NFB37" s="953"/>
      <c r="NFC37" s="953"/>
      <c r="NFD37" s="953"/>
      <c r="NFE37" s="953"/>
      <c r="NFF37" s="953"/>
      <c r="NFG37" s="953"/>
      <c r="NFH37" s="953"/>
      <c r="NFI37" s="953"/>
      <c r="NFJ37" s="953"/>
      <c r="NFK37" s="953"/>
      <c r="NFL37" s="953"/>
      <c r="NFM37" s="953"/>
      <c r="NFN37" s="953"/>
      <c r="NFO37" s="953"/>
      <c r="NFP37" s="953"/>
      <c r="NFQ37" s="953"/>
      <c r="NFR37" s="953"/>
      <c r="NFS37" s="953"/>
      <c r="NFT37" s="953"/>
      <c r="NFU37" s="953"/>
      <c r="NFV37" s="953"/>
      <c r="NFW37" s="953"/>
      <c r="NFX37" s="953"/>
      <c r="NFY37" s="953"/>
      <c r="NFZ37" s="953"/>
      <c r="NGA37" s="953"/>
      <c r="NGB37" s="953"/>
      <c r="NGC37" s="953"/>
      <c r="NGD37" s="953"/>
      <c r="NGE37" s="953"/>
      <c r="NGF37" s="953"/>
      <c r="NGG37" s="953"/>
      <c r="NGH37" s="953"/>
      <c r="NGI37" s="953"/>
      <c r="NGJ37" s="953"/>
      <c r="NGK37" s="953"/>
      <c r="NGL37" s="953"/>
      <c r="NGM37" s="953"/>
      <c r="NGN37" s="953"/>
      <c r="NGO37" s="953"/>
      <c r="NGP37" s="953"/>
      <c r="NGQ37" s="953"/>
      <c r="NGR37" s="953"/>
      <c r="NGS37" s="953"/>
      <c r="NGT37" s="953"/>
      <c r="NGU37" s="953"/>
      <c r="NGV37" s="953"/>
      <c r="NGW37" s="953"/>
      <c r="NGX37" s="953"/>
      <c r="NGY37" s="953"/>
      <c r="NGZ37" s="953"/>
      <c r="NHA37" s="953"/>
      <c r="NHB37" s="953"/>
      <c r="NHC37" s="953"/>
      <c r="NHD37" s="953"/>
      <c r="NHE37" s="953"/>
      <c r="NHF37" s="953"/>
      <c r="NHG37" s="953"/>
      <c r="NHH37" s="953"/>
      <c r="NHI37" s="953"/>
      <c r="NHJ37" s="953"/>
      <c r="NHK37" s="953"/>
      <c r="NHL37" s="953"/>
      <c r="NHM37" s="953"/>
      <c r="NHN37" s="953"/>
      <c r="NHO37" s="953"/>
      <c r="NHP37" s="953"/>
      <c r="NHQ37" s="953"/>
      <c r="NHR37" s="953"/>
      <c r="NHS37" s="953"/>
      <c r="NHT37" s="953"/>
      <c r="NHU37" s="953"/>
      <c r="NHV37" s="953"/>
      <c r="NHW37" s="953"/>
      <c r="NHX37" s="953"/>
      <c r="NHY37" s="953"/>
      <c r="NHZ37" s="953"/>
      <c r="NIA37" s="953"/>
      <c r="NIB37" s="953"/>
      <c r="NIC37" s="953"/>
      <c r="NID37" s="953"/>
      <c r="NIE37" s="953"/>
      <c r="NIF37" s="953"/>
      <c r="NIG37" s="953"/>
      <c r="NIH37" s="953"/>
      <c r="NII37" s="953"/>
      <c r="NIJ37" s="953"/>
      <c r="NIK37" s="953"/>
      <c r="NIL37" s="953"/>
      <c r="NIM37" s="953"/>
      <c r="NIN37" s="953"/>
      <c r="NIO37" s="953"/>
      <c r="NIP37" s="953"/>
      <c r="NIQ37" s="953"/>
      <c r="NIR37" s="953"/>
      <c r="NIS37" s="953"/>
      <c r="NIT37" s="953"/>
      <c r="NIU37" s="953"/>
      <c r="NIV37" s="953"/>
      <c r="NIW37" s="953"/>
      <c r="NIX37" s="953"/>
      <c r="NIY37" s="953"/>
      <c r="NIZ37" s="953"/>
      <c r="NJA37" s="953"/>
      <c r="NJB37" s="953"/>
      <c r="NJC37" s="953"/>
      <c r="NJD37" s="953"/>
      <c r="NJE37" s="953"/>
      <c r="NJF37" s="953"/>
      <c r="NJG37" s="953"/>
      <c r="NJH37" s="953"/>
      <c r="NJI37" s="953"/>
      <c r="NJJ37" s="953"/>
      <c r="NJK37" s="953"/>
      <c r="NJL37" s="953"/>
      <c r="NJM37" s="953"/>
      <c r="NJN37" s="953"/>
      <c r="NJO37" s="953"/>
      <c r="NJP37" s="953"/>
      <c r="NJQ37" s="953"/>
      <c r="NJR37" s="953"/>
      <c r="NJS37" s="953"/>
      <c r="NJT37" s="953"/>
      <c r="NJU37" s="953"/>
      <c r="NJV37" s="953"/>
      <c r="NJW37" s="953"/>
      <c r="NJX37" s="953"/>
      <c r="NJY37" s="953"/>
      <c r="NJZ37" s="953"/>
      <c r="NKA37" s="953"/>
      <c r="NKB37" s="953"/>
      <c r="NKC37" s="953"/>
      <c r="NKD37" s="953"/>
      <c r="NKE37" s="953"/>
      <c r="NKF37" s="953"/>
      <c r="NKG37" s="953"/>
      <c r="NKH37" s="953"/>
      <c r="NKI37" s="953"/>
      <c r="NKJ37" s="953"/>
      <c r="NKK37" s="953"/>
      <c r="NKL37" s="953"/>
      <c r="NKM37" s="953"/>
      <c r="NKN37" s="953"/>
      <c r="NKO37" s="953"/>
      <c r="NKP37" s="953"/>
      <c r="NKQ37" s="953"/>
      <c r="NKR37" s="953"/>
      <c r="NKS37" s="953"/>
      <c r="NKT37" s="953"/>
      <c r="NKU37" s="953"/>
      <c r="NKV37" s="953"/>
      <c r="NKW37" s="953"/>
      <c r="NKX37" s="953"/>
      <c r="NKY37" s="953"/>
      <c r="NKZ37" s="953"/>
      <c r="NLA37" s="953"/>
      <c r="NLB37" s="953"/>
      <c r="NLC37" s="953"/>
      <c r="NLD37" s="953"/>
      <c r="NLE37" s="953"/>
      <c r="NLF37" s="953"/>
      <c r="NLG37" s="953"/>
      <c r="NLH37" s="953"/>
      <c r="NLI37" s="953"/>
      <c r="NLJ37" s="953"/>
      <c r="NLK37" s="953"/>
      <c r="NLL37" s="953"/>
      <c r="NLM37" s="953"/>
      <c r="NLN37" s="953"/>
      <c r="NLO37" s="953"/>
      <c r="NLP37" s="953"/>
      <c r="NLQ37" s="953"/>
      <c r="NLR37" s="953"/>
      <c r="NLS37" s="953"/>
      <c r="NLT37" s="953"/>
      <c r="NLU37" s="953"/>
      <c r="NLV37" s="953"/>
      <c r="NLW37" s="953"/>
      <c r="NLX37" s="953"/>
      <c r="NLY37" s="953"/>
      <c r="NLZ37" s="953"/>
      <c r="NMA37" s="953"/>
      <c r="NMB37" s="953"/>
      <c r="NMC37" s="953"/>
      <c r="NMD37" s="953"/>
      <c r="NME37" s="953"/>
      <c r="NMF37" s="953"/>
      <c r="NMG37" s="953"/>
      <c r="NMH37" s="953"/>
      <c r="NMI37" s="953"/>
      <c r="NMJ37" s="953"/>
      <c r="NMK37" s="953"/>
      <c r="NML37" s="953"/>
      <c r="NMM37" s="953"/>
      <c r="NMN37" s="953"/>
      <c r="NMO37" s="953"/>
      <c r="NMP37" s="953"/>
      <c r="NMQ37" s="953"/>
      <c r="NMR37" s="953"/>
      <c r="NMS37" s="953"/>
      <c r="NMT37" s="953"/>
      <c r="NMU37" s="953"/>
      <c r="NMV37" s="953"/>
      <c r="NMW37" s="953"/>
      <c r="NMX37" s="953"/>
      <c r="NMY37" s="953"/>
      <c r="NMZ37" s="953"/>
      <c r="NNA37" s="953"/>
      <c r="NNB37" s="953"/>
      <c r="NNC37" s="953"/>
      <c r="NND37" s="953"/>
      <c r="NNE37" s="953"/>
      <c r="NNF37" s="953"/>
      <c r="NNG37" s="953"/>
      <c r="NNH37" s="953"/>
      <c r="NNI37" s="953"/>
      <c r="NNJ37" s="953"/>
      <c r="NNK37" s="953"/>
      <c r="NNL37" s="953"/>
      <c r="NNM37" s="953"/>
      <c r="NNN37" s="953"/>
      <c r="NNO37" s="953"/>
      <c r="NNP37" s="953"/>
      <c r="NNQ37" s="953"/>
      <c r="NNR37" s="953"/>
      <c r="NNS37" s="953"/>
      <c r="NNT37" s="953"/>
      <c r="NNU37" s="953"/>
      <c r="NNV37" s="953"/>
      <c r="NNW37" s="953"/>
      <c r="NNX37" s="953"/>
      <c r="NNY37" s="953"/>
      <c r="NNZ37" s="953"/>
      <c r="NOA37" s="953"/>
      <c r="NOB37" s="953"/>
      <c r="NOC37" s="953"/>
      <c r="NOD37" s="953"/>
      <c r="NOE37" s="953"/>
      <c r="NOF37" s="953"/>
      <c r="NOG37" s="953"/>
      <c r="NOH37" s="953"/>
      <c r="NOI37" s="953"/>
      <c r="NOJ37" s="953"/>
      <c r="NOK37" s="953"/>
      <c r="NOL37" s="953"/>
      <c r="NOM37" s="953"/>
      <c r="NON37" s="953"/>
      <c r="NOO37" s="953"/>
      <c r="NOP37" s="953"/>
      <c r="NOQ37" s="953"/>
      <c r="NOR37" s="953"/>
      <c r="NOS37" s="953"/>
      <c r="NOT37" s="953"/>
      <c r="NOU37" s="953"/>
      <c r="NOV37" s="953"/>
      <c r="NOW37" s="953"/>
      <c r="NOX37" s="953"/>
      <c r="NOY37" s="953"/>
      <c r="NOZ37" s="953"/>
      <c r="NPA37" s="953"/>
      <c r="NPB37" s="953"/>
      <c r="NPC37" s="953"/>
      <c r="NPD37" s="953"/>
      <c r="NPE37" s="953"/>
      <c r="NPF37" s="953"/>
      <c r="NPG37" s="953"/>
      <c r="NPH37" s="953"/>
      <c r="NPI37" s="953"/>
      <c r="NPJ37" s="953"/>
      <c r="NPK37" s="953"/>
      <c r="NPL37" s="953"/>
      <c r="NPM37" s="953"/>
      <c r="NPN37" s="953"/>
      <c r="NPO37" s="953"/>
      <c r="NPP37" s="953"/>
      <c r="NPQ37" s="953"/>
      <c r="NPR37" s="953"/>
      <c r="NPS37" s="953"/>
      <c r="NPT37" s="953"/>
      <c r="NPU37" s="953"/>
      <c r="NPV37" s="953"/>
      <c r="NPW37" s="953"/>
      <c r="NPX37" s="953"/>
      <c r="NPY37" s="953"/>
      <c r="NPZ37" s="953"/>
      <c r="NQA37" s="953"/>
      <c r="NQB37" s="953"/>
      <c r="NQC37" s="953"/>
      <c r="NQD37" s="953"/>
      <c r="NQE37" s="953"/>
      <c r="NQF37" s="953"/>
      <c r="NQG37" s="953"/>
      <c r="NQH37" s="953"/>
      <c r="NQI37" s="953"/>
      <c r="NQJ37" s="953"/>
      <c r="NQK37" s="953"/>
      <c r="NQL37" s="953"/>
      <c r="NQM37" s="953"/>
      <c r="NQN37" s="953"/>
      <c r="NQO37" s="953"/>
      <c r="NQP37" s="953"/>
      <c r="NQQ37" s="953"/>
      <c r="NQR37" s="953"/>
      <c r="NQS37" s="953"/>
      <c r="NQT37" s="953"/>
      <c r="NQU37" s="953"/>
      <c r="NQV37" s="953"/>
      <c r="NQW37" s="953"/>
      <c r="NQX37" s="953"/>
      <c r="NQY37" s="953"/>
      <c r="NQZ37" s="953"/>
      <c r="NRA37" s="953"/>
      <c r="NRB37" s="953"/>
      <c r="NRC37" s="953"/>
      <c r="NRD37" s="953"/>
      <c r="NRE37" s="953"/>
      <c r="NRF37" s="953"/>
      <c r="NRG37" s="953"/>
      <c r="NRH37" s="953"/>
      <c r="NRI37" s="953"/>
      <c r="NRJ37" s="953"/>
      <c r="NRK37" s="953"/>
      <c r="NRL37" s="953"/>
      <c r="NRM37" s="953"/>
      <c r="NRN37" s="953"/>
      <c r="NRO37" s="953"/>
      <c r="NRP37" s="953"/>
      <c r="NRQ37" s="953"/>
      <c r="NRR37" s="953"/>
      <c r="NRS37" s="953"/>
      <c r="NRT37" s="953"/>
      <c r="NRU37" s="953"/>
      <c r="NRV37" s="953"/>
      <c r="NRW37" s="953"/>
      <c r="NRX37" s="953"/>
      <c r="NRY37" s="953"/>
      <c r="NRZ37" s="953"/>
      <c r="NSA37" s="953"/>
      <c r="NSB37" s="953"/>
      <c r="NSC37" s="953"/>
      <c r="NSD37" s="953"/>
      <c r="NSE37" s="953"/>
      <c r="NSF37" s="953"/>
      <c r="NSG37" s="953"/>
      <c r="NSH37" s="953"/>
      <c r="NSI37" s="953"/>
      <c r="NSJ37" s="953"/>
      <c r="NSK37" s="953"/>
      <c r="NSL37" s="953"/>
      <c r="NSM37" s="953"/>
      <c r="NSN37" s="953"/>
      <c r="NSO37" s="953"/>
      <c r="NSP37" s="953"/>
      <c r="NSQ37" s="953"/>
      <c r="NSR37" s="953"/>
      <c r="NSS37" s="953"/>
      <c r="NST37" s="953"/>
      <c r="NSU37" s="953"/>
      <c r="NSV37" s="953"/>
      <c r="NSW37" s="953"/>
      <c r="NSX37" s="953"/>
      <c r="NSY37" s="953"/>
      <c r="NSZ37" s="953"/>
      <c r="NTA37" s="953"/>
      <c r="NTB37" s="953"/>
      <c r="NTC37" s="953"/>
      <c r="NTD37" s="953"/>
      <c r="NTE37" s="953"/>
      <c r="NTF37" s="953"/>
      <c r="NTG37" s="953"/>
      <c r="NTH37" s="953"/>
      <c r="NTI37" s="953"/>
      <c r="NTJ37" s="953"/>
      <c r="NTK37" s="953"/>
      <c r="NTL37" s="953"/>
      <c r="NTM37" s="953"/>
      <c r="NTN37" s="953"/>
      <c r="NTO37" s="953"/>
      <c r="NTP37" s="953"/>
      <c r="NTQ37" s="953"/>
      <c r="NTR37" s="953"/>
      <c r="NTS37" s="953"/>
      <c r="NTT37" s="953"/>
      <c r="NTU37" s="953"/>
      <c r="NTV37" s="953"/>
      <c r="NTW37" s="953"/>
      <c r="NTX37" s="953"/>
      <c r="NTY37" s="953"/>
      <c r="NTZ37" s="953"/>
      <c r="NUA37" s="953"/>
      <c r="NUB37" s="953"/>
      <c r="NUC37" s="953"/>
      <c r="NUD37" s="953"/>
      <c r="NUE37" s="953"/>
      <c r="NUF37" s="953"/>
      <c r="NUG37" s="953"/>
      <c r="NUH37" s="953"/>
      <c r="NUI37" s="953"/>
      <c r="NUJ37" s="953"/>
      <c r="NUK37" s="953"/>
      <c r="NUL37" s="953"/>
      <c r="NUM37" s="953"/>
      <c r="NUN37" s="953"/>
      <c r="NUO37" s="953"/>
      <c r="NUP37" s="953"/>
      <c r="NUQ37" s="953"/>
      <c r="NUR37" s="953"/>
      <c r="NUS37" s="953"/>
      <c r="NUT37" s="953"/>
      <c r="NUU37" s="953"/>
      <c r="NUV37" s="953"/>
      <c r="NUW37" s="953"/>
      <c r="NUX37" s="953"/>
      <c r="NUY37" s="953"/>
      <c r="NUZ37" s="953"/>
      <c r="NVA37" s="953"/>
      <c r="NVB37" s="953"/>
      <c r="NVC37" s="953"/>
      <c r="NVD37" s="953"/>
      <c r="NVE37" s="953"/>
      <c r="NVF37" s="953"/>
      <c r="NVG37" s="953"/>
      <c r="NVH37" s="953"/>
      <c r="NVI37" s="953"/>
      <c r="NVJ37" s="953"/>
      <c r="NVK37" s="953"/>
      <c r="NVL37" s="953"/>
      <c r="NVM37" s="953"/>
      <c r="NVN37" s="953"/>
      <c r="NVO37" s="953"/>
      <c r="NVP37" s="953"/>
      <c r="NVQ37" s="953"/>
      <c r="NVR37" s="953"/>
      <c r="NVS37" s="953"/>
      <c r="NVT37" s="953"/>
      <c r="NVU37" s="953"/>
      <c r="NVV37" s="953"/>
      <c r="NVW37" s="953"/>
      <c r="NVX37" s="953"/>
      <c r="NVY37" s="953"/>
      <c r="NVZ37" s="953"/>
      <c r="NWA37" s="953"/>
      <c r="NWB37" s="953"/>
      <c r="NWC37" s="953"/>
      <c r="NWD37" s="953"/>
      <c r="NWE37" s="953"/>
      <c r="NWF37" s="953"/>
      <c r="NWG37" s="953"/>
      <c r="NWH37" s="953"/>
      <c r="NWI37" s="953"/>
      <c r="NWJ37" s="953"/>
      <c r="NWK37" s="953"/>
      <c r="NWL37" s="953"/>
      <c r="NWM37" s="953"/>
      <c r="NWN37" s="953"/>
      <c r="NWO37" s="953"/>
      <c r="NWP37" s="953"/>
      <c r="NWQ37" s="953"/>
      <c r="NWR37" s="953"/>
      <c r="NWS37" s="953"/>
      <c r="NWT37" s="953"/>
      <c r="NWU37" s="953"/>
      <c r="NWV37" s="953"/>
      <c r="NWW37" s="953"/>
      <c r="NWX37" s="953"/>
      <c r="NWY37" s="953"/>
      <c r="NWZ37" s="953"/>
      <c r="NXA37" s="953"/>
      <c r="NXB37" s="953"/>
      <c r="NXC37" s="953"/>
      <c r="NXD37" s="953"/>
      <c r="NXE37" s="953"/>
      <c r="NXF37" s="953"/>
      <c r="NXG37" s="953"/>
      <c r="NXH37" s="953"/>
      <c r="NXI37" s="953"/>
      <c r="NXJ37" s="953"/>
      <c r="NXK37" s="953"/>
      <c r="NXL37" s="953"/>
      <c r="NXM37" s="953"/>
      <c r="NXN37" s="953"/>
      <c r="NXO37" s="953"/>
      <c r="NXP37" s="953"/>
      <c r="NXQ37" s="953"/>
      <c r="NXR37" s="953"/>
      <c r="NXS37" s="953"/>
      <c r="NXT37" s="953"/>
      <c r="NXU37" s="953"/>
      <c r="NXV37" s="953"/>
      <c r="NXW37" s="953"/>
      <c r="NXX37" s="953"/>
      <c r="NXY37" s="953"/>
      <c r="NXZ37" s="953"/>
      <c r="NYA37" s="953"/>
      <c r="NYB37" s="953"/>
      <c r="NYC37" s="953"/>
      <c r="NYD37" s="953"/>
      <c r="NYE37" s="953"/>
      <c r="NYF37" s="953"/>
      <c r="NYG37" s="953"/>
      <c r="NYH37" s="953"/>
      <c r="NYI37" s="953"/>
      <c r="NYJ37" s="953"/>
      <c r="NYK37" s="953"/>
      <c r="NYL37" s="953"/>
      <c r="NYM37" s="953"/>
      <c r="NYN37" s="953"/>
      <c r="NYO37" s="953"/>
      <c r="NYP37" s="953"/>
      <c r="NYQ37" s="953"/>
      <c r="NYR37" s="953"/>
      <c r="NYS37" s="953"/>
      <c r="NYT37" s="953"/>
      <c r="NYU37" s="953"/>
      <c r="NYV37" s="953"/>
      <c r="NYW37" s="953"/>
      <c r="NYX37" s="953"/>
      <c r="NYY37" s="953"/>
      <c r="NYZ37" s="953"/>
      <c r="NZA37" s="953"/>
      <c r="NZB37" s="953"/>
      <c r="NZC37" s="953"/>
      <c r="NZD37" s="953"/>
      <c r="NZE37" s="953"/>
      <c r="NZF37" s="953"/>
      <c r="NZG37" s="953"/>
      <c r="NZH37" s="953"/>
      <c r="NZI37" s="953"/>
      <c r="NZJ37" s="953"/>
      <c r="NZK37" s="953"/>
      <c r="NZL37" s="953"/>
      <c r="NZM37" s="953"/>
      <c r="NZN37" s="953"/>
      <c r="NZO37" s="953"/>
      <c r="NZP37" s="953"/>
      <c r="NZQ37" s="953"/>
      <c r="NZR37" s="953"/>
      <c r="NZS37" s="953"/>
      <c r="NZT37" s="953"/>
      <c r="NZU37" s="953"/>
      <c r="NZV37" s="953"/>
      <c r="NZW37" s="953"/>
      <c r="NZX37" s="953"/>
      <c r="NZY37" s="953"/>
      <c r="NZZ37" s="953"/>
      <c r="OAA37" s="953"/>
      <c r="OAB37" s="953"/>
      <c r="OAC37" s="953"/>
      <c r="OAD37" s="953"/>
      <c r="OAE37" s="953"/>
      <c r="OAF37" s="953"/>
      <c r="OAG37" s="953"/>
      <c r="OAH37" s="953"/>
      <c r="OAI37" s="953"/>
      <c r="OAJ37" s="953"/>
      <c r="OAK37" s="953"/>
      <c r="OAL37" s="953"/>
      <c r="OAM37" s="953"/>
      <c r="OAN37" s="953"/>
      <c r="OAO37" s="953"/>
      <c r="OAP37" s="953"/>
      <c r="OAQ37" s="953"/>
      <c r="OAR37" s="953"/>
      <c r="OAS37" s="953"/>
      <c r="OAT37" s="953"/>
      <c r="OAU37" s="953"/>
      <c r="OAV37" s="953"/>
      <c r="OAW37" s="953"/>
      <c r="OAX37" s="953"/>
      <c r="OAY37" s="953"/>
      <c r="OAZ37" s="953"/>
      <c r="OBA37" s="953"/>
      <c r="OBB37" s="953"/>
      <c r="OBC37" s="953"/>
      <c r="OBD37" s="953"/>
      <c r="OBE37" s="953"/>
      <c r="OBF37" s="953"/>
      <c r="OBG37" s="953"/>
      <c r="OBH37" s="953"/>
      <c r="OBI37" s="953"/>
      <c r="OBJ37" s="953"/>
      <c r="OBK37" s="953"/>
      <c r="OBL37" s="953"/>
      <c r="OBM37" s="953"/>
      <c r="OBN37" s="953"/>
      <c r="OBO37" s="953"/>
      <c r="OBP37" s="953"/>
      <c r="OBQ37" s="953"/>
      <c r="OBR37" s="953"/>
      <c r="OBS37" s="953"/>
      <c r="OBT37" s="953"/>
      <c r="OBU37" s="953"/>
      <c r="OBV37" s="953"/>
      <c r="OBW37" s="953"/>
      <c r="OBX37" s="953"/>
      <c r="OBY37" s="953"/>
      <c r="OBZ37" s="953"/>
      <c r="OCA37" s="953"/>
      <c r="OCB37" s="953"/>
      <c r="OCC37" s="953"/>
      <c r="OCD37" s="953"/>
      <c r="OCE37" s="953"/>
      <c r="OCF37" s="953"/>
      <c r="OCG37" s="953"/>
      <c r="OCH37" s="953"/>
      <c r="OCI37" s="953"/>
      <c r="OCJ37" s="953"/>
      <c r="OCK37" s="953"/>
      <c r="OCL37" s="953"/>
      <c r="OCM37" s="953"/>
      <c r="OCN37" s="953"/>
      <c r="OCO37" s="953"/>
      <c r="OCP37" s="953"/>
      <c r="OCQ37" s="953"/>
      <c r="OCR37" s="953"/>
      <c r="OCS37" s="953"/>
      <c r="OCT37" s="953"/>
      <c r="OCU37" s="953"/>
      <c r="OCV37" s="953"/>
      <c r="OCW37" s="953"/>
      <c r="OCX37" s="953"/>
      <c r="OCY37" s="953"/>
      <c r="OCZ37" s="953"/>
      <c r="ODA37" s="953"/>
      <c r="ODB37" s="953"/>
      <c r="ODC37" s="953"/>
      <c r="ODD37" s="953"/>
      <c r="ODE37" s="953"/>
      <c r="ODF37" s="953"/>
      <c r="ODG37" s="953"/>
      <c r="ODH37" s="953"/>
      <c r="ODI37" s="953"/>
      <c r="ODJ37" s="953"/>
      <c r="ODK37" s="953"/>
      <c r="ODL37" s="953"/>
      <c r="ODM37" s="953"/>
      <c r="ODN37" s="953"/>
      <c r="ODO37" s="953"/>
      <c r="ODP37" s="953"/>
      <c r="ODQ37" s="953"/>
      <c r="ODR37" s="953"/>
      <c r="ODS37" s="953"/>
      <c r="ODT37" s="953"/>
      <c r="ODU37" s="953"/>
      <c r="ODV37" s="953"/>
      <c r="ODW37" s="953"/>
      <c r="ODX37" s="953"/>
      <c r="ODY37" s="953"/>
      <c r="ODZ37" s="953"/>
      <c r="OEA37" s="953"/>
      <c r="OEB37" s="953"/>
      <c r="OEC37" s="953"/>
      <c r="OED37" s="953"/>
      <c r="OEE37" s="953"/>
      <c r="OEF37" s="953"/>
      <c r="OEG37" s="953"/>
      <c r="OEH37" s="953"/>
      <c r="OEI37" s="953"/>
      <c r="OEJ37" s="953"/>
      <c r="OEK37" s="953"/>
      <c r="OEL37" s="953"/>
      <c r="OEM37" s="953"/>
      <c r="OEN37" s="953"/>
      <c r="OEO37" s="953"/>
      <c r="OEP37" s="953"/>
      <c r="OEQ37" s="953"/>
      <c r="OER37" s="953"/>
      <c r="OES37" s="953"/>
      <c r="OET37" s="953"/>
      <c r="OEU37" s="953"/>
      <c r="OEV37" s="953"/>
      <c r="OEW37" s="953"/>
      <c r="OEX37" s="953"/>
      <c r="OEY37" s="953"/>
      <c r="OEZ37" s="953"/>
      <c r="OFA37" s="953"/>
      <c r="OFB37" s="953"/>
      <c r="OFC37" s="953"/>
      <c r="OFD37" s="953"/>
      <c r="OFE37" s="953"/>
      <c r="OFF37" s="953"/>
      <c r="OFG37" s="953"/>
      <c r="OFH37" s="953"/>
      <c r="OFI37" s="953"/>
      <c r="OFJ37" s="953"/>
      <c r="OFK37" s="953"/>
      <c r="OFL37" s="953"/>
      <c r="OFM37" s="953"/>
      <c r="OFN37" s="953"/>
      <c r="OFO37" s="953"/>
      <c r="OFP37" s="953"/>
      <c r="OFQ37" s="953"/>
      <c r="OFR37" s="953"/>
      <c r="OFS37" s="953"/>
      <c r="OFT37" s="953"/>
      <c r="OFU37" s="953"/>
      <c r="OFV37" s="953"/>
      <c r="OFW37" s="953"/>
      <c r="OFX37" s="953"/>
      <c r="OFY37" s="953"/>
      <c r="OFZ37" s="953"/>
      <c r="OGA37" s="953"/>
      <c r="OGB37" s="953"/>
      <c r="OGC37" s="953"/>
      <c r="OGD37" s="953"/>
      <c r="OGE37" s="953"/>
      <c r="OGF37" s="953"/>
      <c r="OGG37" s="953"/>
      <c r="OGH37" s="953"/>
      <c r="OGI37" s="953"/>
      <c r="OGJ37" s="953"/>
      <c r="OGK37" s="953"/>
      <c r="OGL37" s="953"/>
      <c r="OGM37" s="953"/>
      <c r="OGN37" s="953"/>
      <c r="OGO37" s="953"/>
      <c r="OGP37" s="953"/>
      <c r="OGQ37" s="953"/>
      <c r="OGR37" s="953"/>
      <c r="OGS37" s="953"/>
      <c r="OGT37" s="953"/>
      <c r="OGU37" s="953"/>
      <c r="OGV37" s="953"/>
      <c r="OGW37" s="953"/>
      <c r="OGX37" s="953"/>
      <c r="OGY37" s="953"/>
      <c r="OGZ37" s="953"/>
      <c r="OHA37" s="953"/>
      <c r="OHB37" s="953"/>
      <c r="OHC37" s="953"/>
      <c r="OHD37" s="953"/>
      <c r="OHE37" s="953"/>
      <c r="OHF37" s="953"/>
      <c r="OHG37" s="953"/>
      <c r="OHH37" s="953"/>
      <c r="OHI37" s="953"/>
      <c r="OHJ37" s="953"/>
      <c r="OHK37" s="953"/>
      <c r="OHL37" s="953"/>
      <c r="OHM37" s="953"/>
      <c r="OHN37" s="953"/>
      <c r="OHO37" s="953"/>
      <c r="OHP37" s="953"/>
      <c r="OHQ37" s="953"/>
      <c r="OHR37" s="953"/>
      <c r="OHS37" s="953"/>
      <c r="OHT37" s="953"/>
      <c r="OHU37" s="953"/>
      <c r="OHV37" s="953"/>
      <c r="OHW37" s="953"/>
      <c r="OHX37" s="953"/>
      <c r="OHY37" s="953"/>
      <c r="OHZ37" s="953"/>
      <c r="OIA37" s="953"/>
      <c r="OIB37" s="953"/>
      <c r="OIC37" s="953"/>
      <c r="OID37" s="953"/>
      <c r="OIE37" s="953"/>
      <c r="OIF37" s="953"/>
      <c r="OIG37" s="953"/>
      <c r="OIH37" s="953"/>
      <c r="OII37" s="953"/>
      <c r="OIJ37" s="953"/>
      <c r="OIK37" s="953"/>
      <c r="OIL37" s="953"/>
      <c r="OIM37" s="953"/>
      <c r="OIN37" s="953"/>
      <c r="OIO37" s="953"/>
      <c r="OIP37" s="953"/>
      <c r="OIQ37" s="953"/>
      <c r="OIR37" s="953"/>
      <c r="OIS37" s="953"/>
      <c r="OIT37" s="953"/>
      <c r="OIU37" s="953"/>
      <c r="OIV37" s="953"/>
      <c r="OIW37" s="953"/>
      <c r="OIX37" s="953"/>
      <c r="OIY37" s="953"/>
      <c r="OIZ37" s="953"/>
      <c r="OJA37" s="953"/>
      <c r="OJB37" s="953"/>
      <c r="OJC37" s="953"/>
      <c r="OJD37" s="953"/>
      <c r="OJE37" s="953"/>
      <c r="OJF37" s="953"/>
      <c r="OJG37" s="953"/>
      <c r="OJH37" s="953"/>
      <c r="OJI37" s="953"/>
      <c r="OJJ37" s="953"/>
      <c r="OJK37" s="953"/>
      <c r="OJL37" s="953"/>
      <c r="OJM37" s="953"/>
      <c r="OJN37" s="953"/>
      <c r="OJO37" s="953"/>
      <c r="OJP37" s="953"/>
      <c r="OJQ37" s="953"/>
      <c r="OJR37" s="953"/>
      <c r="OJS37" s="953"/>
      <c r="OJT37" s="953"/>
      <c r="OJU37" s="953"/>
      <c r="OJV37" s="953"/>
      <c r="OJW37" s="953"/>
      <c r="OJX37" s="953"/>
      <c r="OJY37" s="953"/>
      <c r="OJZ37" s="953"/>
      <c r="OKA37" s="953"/>
      <c r="OKB37" s="953"/>
      <c r="OKC37" s="953"/>
      <c r="OKD37" s="953"/>
      <c r="OKE37" s="953"/>
      <c r="OKF37" s="953"/>
      <c r="OKG37" s="953"/>
      <c r="OKH37" s="953"/>
      <c r="OKI37" s="953"/>
      <c r="OKJ37" s="953"/>
      <c r="OKK37" s="953"/>
      <c r="OKL37" s="953"/>
      <c r="OKM37" s="953"/>
      <c r="OKN37" s="953"/>
      <c r="OKO37" s="953"/>
      <c r="OKP37" s="953"/>
      <c r="OKQ37" s="953"/>
      <c r="OKR37" s="953"/>
      <c r="OKS37" s="953"/>
      <c r="OKT37" s="953"/>
      <c r="OKU37" s="953"/>
      <c r="OKV37" s="953"/>
      <c r="OKW37" s="953"/>
      <c r="OKX37" s="953"/>
      <c r="OKY37" s="953"/>
      <c r="OKZ37" s="953"/>
      <c r="OLA37" s="953"/>
      <c r="OLB37" s="953"/>
      <c r="OLC37" s="953"/>
      <c r="OLD37" s="953"/>
      <c r="OLE37" s="953"/>
      <c r="OLF37" s="953"/>
      <c r="OLG37" s="953"/>
      <c r="OLH37" s="953"/>
      <c r="OLI37" s="953"/>
      <c r="OLJ37" s="953"/>
      <c r="OLK37" s="953"/>
      <c r="OLL37" s="953"/>
      <c r="OLM37" s="953"/>
      <c r="OLN37" s="953"/>
      <c r="OLO37" s="953"/>
      <c r="OLP37" s="953"/>
      <c r="OLQ37" s="953"/>
      <c r="OLR37" s="953"/>
      <c r="OLS37" s="953"/>
      <c r="OLT37" s="953"/>
      <c r="OLU37" s="953"/>
      <c r="OLV37" s="953"/>
      <c r="OLW37" s="953"/>
      <c r="OLX37" s="953"/>
      <c r="OLY37" s="953"/>
      <c r="OLZ37" s="953"/>
      <c r="OMA37" s="953"/>
      <c r="OMB37" s="953"/>
      <c r="OMC37" s="953"/>
      <c r="OMD37" s="953"/>
      <c r="OME37" s="953"/>
      <c r="OMF37" s="953"/>
      <c r="OMG37" s="953"/>
      <c r="OMH37" s="953"/>
      <c r="OMI37" s="953"/>
      <c r="OMJ37" s="953"/>
      <c r="OMK37" s="953"/>
      <c r="OML37" s="953"/>
      <c r="OMM37" s="953"/>
      <c r="OMN37" s="953"/>
      <c r="OMO37" s="953"/>
      <c r="OMP37" s="953"/>
      <c r="OMQ37" s="953"/>
      <c r="OMR37" s="953"/>
      <c r="OMS37" s="953"/>
      <c r="OMT37" s="953"/>
      <c r="OMU37" s="953"/>
      <c r="OMV37" s="953"/>
      <c r="OMW37" s="953"/>
      <c r="OMX37" s="953"/>
      <c r="OMY37" s="953"/>
      <c r="OMZ37" s="953"/>
      <c r="ONA37" s="953"/>
      <c r="ONB37" s="953"/>
      <c r="ONC37" s="953"/>
      <c r="OND37" s="953"/>
      <c r="ONE37" s="953"/>
      <c r="ONF37" s="953"/>
      <c r="ONG37" s="953"/>
      <c r="ONH37" s="953"/>
      <c r="ONI37" s="953"/>
      <c r="ONJ37" s="953"/>
      <c r="ONK37" s="953"/>
      <c r="ONL37" s="953"/>
      <c r="ONM37" s="953"/>
      <c r="ONN37" s="953"/>
      <c r="ONO37" s="953"/>
      <c r="ONP37" s="953"/>
      <c r="ONQ37" s="953"/>
      <c r="ONR37" s="953"/>
      <c r="ONS37" s="953"/>
      <c r="ONT37" s="953"/>
      <c r="ONU37" s="953"/>
      <c r="ONV37" s="953"/>
      <c r="ONW37" s="953"/>
      <c r="ONX37" s="953"/>
      <c r="ONY37" s="953"/>
      <c r="ONZ37" s="953"/>
      <c r="OOA37" s="953"/>
      <c r="OOB37" s="953"/>
      <c r="OOC37" s="953"/>
      <c r="OOD37" s="953"/>
      <c r="OOE37" s="953"/>
      <c r="OOF37" s="953"/>
      <c r="OOG37" s="953"/>
      <c r="OOH37" s="953"/>
      <c r="OOI37" s="953"/>
      <c r="OOJ37" s="953"/>
      <c r="OOK37" s="953"/>
      <c r="OOL37" s="953"/>
      <c r="OOM37" s="953"/>
      <c r="OON37" s="953"/>
      <c r="OOO37" s="953"/>
      <c r="OOP37" s="953"/>
      <c r="OOQ37" s="953"/>
      <c r="OOR37" s="953"/>
      <c r="OOS37" s="953"/>
      <c r="OOT37" s="953"/>
      <c r="OOU37" s="953"/>
      <c r="OOV37" s="953"/>
      <c r="OOW37" s="953"/>
      <c r="OOX37" s="953"/>
      <c r="OOY37" s="953"/>
      <c r="OOZ37" s="953"/>
      <c r="OPA37" s="953"/>
      <c r="OPB37" s="953"/>
      <c r="OPC37" s="953"/>
      <c r="OPD37" s="953"/>
      <c r="OPE37" s="953"/>
      <c r="OPF37" s="953"/>
      <c r="OPG37" s="953"/>
      <c r="OPH37" s="953"/>
      <c r="OPI37" s="953"/>
      <c r="OPJ37" s="953"/>
      <c r="OPK37" s="953"/>
      <c r="OPL37" s="953"/>
      <c r="OPM37" s="953"/>
      <c r="OPN37" s="953"/>
      <c r="OPO37" s="953"/>
      <c r="OPP37" s="953"/>
      <c r="OPQ37" s="953"/>
      <c r="OPR37" s="953"/>
      <c r="OPS37" s="953"/>
      <c r="OPT37" s="953"/>
      <c r="OPU37" s="953"/>
      <c r="OPV37" s="953"/>
      <c r="OPW37" s="953"/>
      <c r="OPX37" s="953"/>
      <c r="OPY37" s="953"/>
      <c r="OPZ37" s="953"/>
      <c r="OQA37" s="953"/>
      <c r="OQB37" s="953"/>
      <c r="OQC37" s="953"/>
      <c r="OQD37" s="953"/>
      <c r="OQE37" s="953"/>
      <c r="OQF37" s="953"/>
      <c r="OQG37" s="953"/>
      <c r="OQH37" s="953"/>
      <c r="OQI37" s="953"/>
      <c r="OQJ37" s="953"/>
      <c r="OQK37" s="953"/>
      <c r="OQL37" s="953"/>
      <c r="OQM37" s="953"/>
      <c r="OQN37" s="953"/>
      <c r="OQO37" s="953"/>
      <c r="OQP37" s="953"/>
      <c r="OQQ37" s="953"/>
      <c r="OQR37" s="953"/>
      <c r="OQS37" s="953"/>
      <c r="OQT37" s="953"/>
      <c r="OQU37" s="953"/>
      <c r="OQV37" s="953"/>
      <c r="OQW37" s="953"/>
      <c r="OQX37" s="953"/>
      <c r="OQY37" s="953"/>
      <c r="OQZ37" s="953"/>
      <c r="ORA37" s="953"/>
      <c r="ORB37" s="953"/>
      <c r="ORC37" s="953"/>
      <c r="ORD37" s="953"/>
      <c r="ORE37" s="953"/>
      <c r="ORF37" s="953"/>
      <c r="ORG37" s="953"/>
      <c r="ORH37" s="953"/>
      <c r="ORI37" s="953"/>
      <c r="ORJ37" s="953"/>
      <c r="ORK37" s="953"/>
      <c r="ORL37" s="953"/>
      <c r="ORM37" s="953"/>
      <c r="ORN37" s="953"/>
      <c r="ORO37" s="953"/>
      <c r="ORP37" s="953"/>
      <c r="ORQ37" s="953"/>
      <c r="ORR37" s="953"/>
      <c r="ORS37" s="953"/>
      <c r="ORT37" s="953"/>
      <c r="ORU37" s="953"/>
      <c r="ORV37" s="953"/>
      <c r="ORW37" s="953"/>
      <c r="ORX37" s="953"/>
      <c r="ORY37" s="953"/>
      <c r="ORZ37" s="953"/>
      <c r="OSA37" s="953"/>
      <c r="OSB37" s="953"/>
      <c r="OSC37" s="953"/>
      <c r="OSD37" s="953"/>
      <c r="OSE37" s="953"/>
      <c r="OSF37" s="953"/>
      <c r="OSG37" s="953"/>
      <c r="OSH37" s="953"/>
      <c r="OSI37" s="953"/>
      <c r="OSJ37" s="953"/>
      <c r="OSK37" s="953"/>
      <c r="OSL37" s="953"/>
      <c r="OSM37" s="953"/>
      <c r="OSN37" s="953"/>
      <c r="OSO37" s="953"/>
      <c r="OSP37" s="953"/>
      <c r="OSQ37" s="953"/>
      <c r="OSR37" s="953"/>
      <c r="OSS37" s="953"/>
      <c r="OST37" s="953"/>
      <c r="OSU37" s="953"/>
      <c r="OSV37" s="953"/>
      <c r="OSW37" s="953"/>
      <c r="OSX37" s="953"/>
      <c r="OSY37" s="953"/>
      <c r="OSZ37" s="953"/>
      <c r="OTA37" s="953"/>
      <c r="OTB37" s="953"/>
      <c r="OTC37" s="953"/>
      <c r="OTD37" s="953"/>
      <c r="OTE37" s="953"/>
      <c r="OTF37" s="953"/>
      <c r="OTG37" s="953"/>
      <c r="OTH37" s="953"/>
      <c r="OTI37" s="953"/>
      <c r="OTJ37" s="953"/>
      <c r="OTK37" s="953"/>
      <c r="OTL37" s="953"/>
      <c r="OTM37" s="953"/>
      <c r="OTN37" s="953"/>
      <c r="OTO37" s="953"/>
      <c r="OTP37" s="953"/>
      <c r="OTQ37" s="953"/>
      <c r="OTR37" s="953"/>
      <c r="OTS37" s="953"/>
      <c r="OTT37" s="953"/>
      <c r="OTU37" s="953"/>
      <c r="OTV37" s="953"/>
      <c r="OTW37" s="953"/>
      <c r="OTX37" s="953"/>
      <c r="OTY37" s="953"/>
      <c r="OTZ37" s="953"/>
      <c r="OUA37" s="953"/>
      <c r="OUB37" s="953"/>
      <c r="OUC37" s="953"/>
      <c r="OUD37" s="953"/>
      <c r="OUE37" s="953"/>
      <c r="OUF37" s="953"/>
      <c r="OUG37" s="953"/>
      <c r="OUH37" s="953"/>
      <c r="OUI37" s="953"/>
      <c r="OUJ37" s="953"/>
      <c r="OUK37" s="953"/>
      <c r="OUL37" s="953"/>
      <c r="OUM37" s="953"/>
      <c r="OUN37" s="953"/>
      <c r="OUO37" s="953"/>
      <c r="OUP37" s="953"/>
      <c r="OUQ37" s="953"/>
      <c r="OUR37" s="953"/>
      <c r="OUS37" s="953"/>
      <c r="OUT37" s="953"/>
      <c r="OUU37" s="953"/>
      <c r="OUV37" s="953"/>
      <c r="OUW37" s="953"/>
      <c r="OUX37" s="953"/>
      <c r="OUY37" s="953"/>
      <c r="OUZ37" s="953"/>
      <c r="OVA37" s="953"/>
      <c r="OVB37" s="953"/>
      <c r="OVC37" s="953"/>
      <c r="OVD37" s="953"/>
      <c r="OVE37" s="953"/>
      <c r="OVF37" s="953"/>
      <c r="OVG37" s="953"/>
      <c r="OVH37" s="953"/>
      <c r="OVI37" s="953"/>
      <c r="OVJ37" s="953"/>
      <c r="OVK37" s="953"/>
      <c r="OVL37" s="953"/>
      <c r="OVM37" s="953"/>
      <c r="OVN37" s="953"/>
      <c r="OVO37" s="953"/>
      <c r="OVP37" s="953"/>
      <c r="OVQ37" s="953"/>
      <c r="OVR37" s="953"/>
      <c r="OVS37" s="953"/>
      <c r="OVT37" s="953"/>
      <c r="OVU37" s="953"/>
      <c r="OVV37" s="953"/>
      <c r="OVW37" s="953"/>
      <c r="OVX37" s="953"/>
      <c r="OVY37" s="953"/>
      <c r="OVZ37" s="953"/>
      <c r="OWA37" s="953"/>
      <c r="OWB37" s="953"/>
      <c r="OWC37" s="953"/>
      <c r="OWD37" s="953"/>
      <c r="OWE37" s="953"/>
      <c r="OWF37" s="953"/>
      <c r="OWG37" s="953"/>
      <c r="OWH37" s="953"/>
      <c r="OWI37" s="953"/>
      <c r="OWJ37" s="953"/>
      <c r="OWK37" s="953"/>
      <c r="OWL37" s="953"/>
      <c r="OWM37" s="953"/>
      <c r="OWN37" s="953"/>
      <c r="OWO37" s="953"/>
      <c r="OWP37" s="953"/>
      <c r="OWQ37" s="953"/>
      <c r="OWR37" s="953"/>
      <c r="OWS37" s="953"/>
      <c r="OWT37" s="953"/>
      <c r="OWU37" s="953"/>
      <c r="OWV37" s="953"/>
      <c r="OWW37" s="953"/>
      <c r="OWX37" s="953"/>
      <c r="OWY37" s="953"/>
      <c r="OWZ37" s="953"/>
      <c r="OXA37" s="953"/>
      <c r="OXB37" s="953"/>
      <c r="OXC37" s="953"/>
      <c r="OXD37" s="953"/>
      <c r="OXE37" s="953"/>
      <c r="OXF37" s="953"/>
      <c r="OXG37" s="953"/>
      <c r="OXH37" s="953"/>
      <c r="OXI37" s="953"/>
      <c r="OXJ37" s="953"/>
      <c r="OXK37" s="953"/>
      <c r="OXL37" s="953"/>
      <c r="OXM37" s="953"/>
      <c r="OXN37" s="953"/>
      <c r="OXO37" s="953"/>
      <c r="OXP37" s="953"/>
      <c r="OXQ37" s="953"/>
      <c r="OXR37" s="953"/>
      <c r="OXS37" s="953"/>
      <c r="OXT37" s="953"/>
      <c r="OXU37" s="953"/>
      <c r="OXV37" s="953"/>
      <c r="OXW37" s="953"/>
      <c r="OXX37" s="953"/>
      <c r="OXY37" s="953"/>
      <c r="OXZ37" s="953"/>
      <c r="OYA37" s="953"/>
      <c r="OYB37" s="953"/>
      <c r="OYC37" s="953"/>
      <c r="OYD37" s="953"/>
      <c r="OYE37" s="953"/>
      <c r="OYF37" s="953"/>
      <c r="OYG37" s="953"/>
      <c r="OYH37" s="953"/>
      <c r="OYI37" s="953"/>
      <c r="OYJ37" s="953"/>
      <c r="OYK37" s="953"/>
      <c r="OYL37" s="953"/>
      <c r="OYM37" s="953"/>
      <c r="OYN37" s="953"/>
      <c r="OYO37" s="953"/>
      <c r="OYP37" s="953"/>
      <c r="OYQ37" s="953"/>
      <c r="OYR37" s="953"/>
      <c r="OYS37" s="953"/>
      <c r="OYT37" s="953"/>
      <c r="OYU37" s="953"/>
      <c r="OYV37" s="953"/>
      <c r="OYW37" s="953"/>
      <c r="OYX37" s="953"/>
      <c r="OYY37" s="953"/>
      <c r="OYZ37" s="953"/>
      <c r="OZA37" s="953"/>
      <c r="OZB37" s="953"/>
      <c r="OZC37" s="953"/>
      <c r="OZD37" s="953"/>
      <c r="OZE37" s="953"/>
      <c r="OZF37" s="953"/>
      <c r="OZG37" s="953"/>
      <c r="OZH37" s="953"/>
      <c r="OZI37" s="953"/>
      <c r="OZJ37" s="953"/>
      <c r="OZK37" s="953"/>
      <c r="OZL37" s="953"/>
      <c r="OZM37" s="953"/>
      <c r="OZN37" s="953"/>
      <c r="OZO37" s="953"/>
      <c r="OZP37" s="953"/>
      <c r="OZQ37" s="953"/>
      <c r="OZR37" s="953"/>
      <c r="OZS37" s="953"/>
      <c r="OZT37" s="953"/>
      <c r="OZU37" s="953"/>
      <c r="OZV37" s="953"/>
      <c r="OZW37" s="953"/>
      <c r="OZX37" s="953"/>
      <c r="OZY37" s="953"/>
      <c r="OZZ37" s="953"/>
      <c r="PAA37" s="953"/>
      <c r="PAB37" s="953"/>
      <c r="PAC37" s="953"/>
      <c r="PAD37" s="953"/>
      <c r="PAE37" s="953"/>
      <c r="PAF37" s="953"/>
      <c r="PAG37" s="953"/>
      <c r="PAH37" s="953"/>
      <c r="PAI37" s="953"/>
      <c r="PAJ37" s="953"/>
      <c r="PAK37" s="953"/>
      <c r="PAL37" s="953"/>
      <c r="PAM37" s="953"/>
      <c r="PAN37" s="953"/>
      <c r="PAO37" s="953"/>
      <c r="PAP37" s="953"/>
      <c r="PAQ37" s="953"/>
      <c r="PAR37" s="953"/>
      <c r="PAS37" s="953"/>
      <c r="PAT37" s="953"/>
      <c r="PAU37" s="953"/>
      <c r="PAV37" s="953"/>
      <c r="PAW37" s="953"/>
      <c r="PAX37" s="953"/>
      <c r="PAY37" s="953"/>
      <c r="PAZ37" s="953"/>
      <c r="PBA37" s="953"/>
      <c r="PBB37" s="953"/>
      <c r="PBC37" s="953"/>
      <c r="PBD37" s="953"/>
      <c r="PBE37" s="953"/>
      <c r="PBF37" s="953"/>
      <c r="PBG37" s="953"/>
      <c r="PBH37" s="953"/>
      <c r="PBI37" s="953"/>
      <c r="PBJ37" s="953"/>
      <c r="PBK37" s="953"/>
      <c r="PBL37" s="953"/>
      <c r="PBM37" s="953"/>
      <c r="PBN37" s="953"/>
      <c r="PBO37" s="953"/>
      <c r="PBP37" s="953"/>
      <c r="PBQ37" s="953"/>
      <c r="PBR37" s="953"/>
      <c r="PBS37" s="953"/>
      <c r="PBT37" s="953"/>
      <c r="PBU37" s="953"/>
      <c r="PBV37" s="953"/>
      <c r="PBW37" s="953"/>
      <c r="PBX37" s="953"/>
      <c r="PBY37" s="953"/>
      <c r="PBZ37" s="953"/>
      <c r="PCA37" s="953"/>
      <c r="PCB37" s="953"/>
      <c r="PCC37" s="953"/>
      <c r="PCD37" s="953"/>
      <c r="PCE37" s="953"/>
      <c r="PCF37" s="953"/>
      <c r="PCG37" s="953"/>
      <c r="PCH37" s="953"/>
      <c r="PCI37" s="953"/>
      <c r="PCJ37" s="953"/>
      <c r="PCK37" s="953"/>
      <c r="PCL37" s="953"/>
      <c r="PCM37" s="953"/>
      <c r="PCN37" s="953"/>
      <c r="PCO37" s="953"/>
      <c r="PCP37" s="953"/>
      <c r="PCQ37" s="953"/>
      <c r="PCR37" s="953"/>
      <c r="PCS37" s="953"/>
      <c r="PCT37" s="953"/>
      <c r="PCU37" s="953"/>
      <c r="PCV37" s="953"/>
      <c r="PCW37" s="953"/>
      <c r="PCX37" s="953"/>
      <c r="PCY37" s="953"/>
      <c r="PCZ37" s="953"/>
      <c r="PDA37" s="953"/>
      <c r="PDB37" s="953"/>
      <c r="PDC37" s="953"/>
      <c r="PDD37" s="953"/>
      <c r="PDE37" s="953"/>
      <c r="PDF37" s="953"/>
      <c r="PDG37" s="953"/>
      <c r="PDH37" s="953"/>
      <c r="PDI37" s="953"/>
      <c r="PDJ37" s="953"/>
      <c r="PDK37" s="953"/>
      <c r="PDL37" s="953"/>
      <c r="PDM37" s="953"/>
      <c r="PDN37" s="953"/>
      <c r="PDO37" s="953"/>
      <c r="PDP37" s="953"/>
      <c r="PDQ37" s="953"/>
      <c r="PDR37" s="953"/>
      <c r="PDS37" s="953"/>
      <c r="PDT37" s="953"/>
      <c r="PDU37" s="953"/>
      <c r="PDV37" s="953"/>
      <c r="PDW37" s="953"/>
      <c r="PDX37" s="953"/>
      <c r="PDY37" s="953"/>
      <c r="PDZ37" s="953"/>
      <c r="PEA37" s="953"/>
      <c r="PEB37" s="953"/>
      <c r="PEC37" s="953"/>
      <c r="PED37" s="953"/>
      <c r="PEE37" s="953"/>
      <c r="PEF37" s="953"/>
      <c r="PEG37" s="953"/>
      <c r="PEH37" s="953"/>
      <c r="PEI37" s="953"/>
      <c r="PEJ37" s="953"/>
      <c r="PEK37" s="953"/>
      <c r="PEL37" s="953"/>
      <c r="PEM37" s="953"/>
      <c r="PEN37" s="953"/>
      <c r="PEO37" s="953"/>
      <c r="PEP37" s="953"/>
      <c r="PEQ37" s="953"/>
      <c r="PER37" s="953"/>
      <c r="PES37" s="953"/>
      <c r="PET37" s="953"/>
      <c r="PEU37" s="953"/>
      <c r="PEV37" s="953"/>
      <c r="PEW37" s="953"/>
      <c r="PEX37" s="953"/>
      <c r="PEY37" s="953"/>
      <c r="PEZ37" s="953"/>
      <c r="PFA37" s="953"/>
      <c r="PFB37" s="953"/>
      <c r="PFC37" s="953"/>
      <c r="PFD37" s="953"/>
      <c r="PFE37" s="953"/>
      <c r="PFF37" s="953"/>
      <c r="PFG37" s="953"/>
      <c r="PFH37" s="953"/>
      <c r="PFI37" s="953"/>
      <c r="PFJ37" s="953"/>
      <c r="PFK37" s="953"/>
      <c r="PFL37" s="953"/>
      <c r="PFM37" s="953"/>
      <c r="PFN37" s="953"/>
      <c r="PFO37" s="953"/>
      <c r="PFP37" s="953"/>
      <c r="PFQ37" s="953"/>
      <c r="PFR37" s="953"/>
      <c r="PFS37" s="953"/>
      <c r="PFT37" s="953"/>
      <c r="PFU37" s="953"/>
      <c r="PFV37" s="953"/>
      <c r="PFW37" s="953"/>
      <c r="PFX37" s="953"/>
      <c r="PFY37" s="953"/>
      <c r="PFZ37" s="953"/>
      <c r="PGA37" s="953"/>
      <c r="PGB37" s="953"/>
      <c r="PGC37" s="953"/>
      <c r="PGD37" s="953"/>
      <c r="PGE37" s="953"/>
      <c r="PGF37" s="953"/>
      <c r="PGG37" s="953"/>
      <c r="PGH37" s="953"/>
      <c r="PGI37" s="953"/>
      <c r="PGJ37" s="953"/>
      <c r="PGK37" s="953"/>
      <c r="PGL37" s="953"/>
      <c r="PGM37" s="953"/>
      <c r="PGN37" s="953"/>
      <c r="PGO37" s="953"/>
      <c r="PGP37" s="953"/>
      <c r="PGQ37" s="953"/>
      <c r="PGR37" s="953"/>
      <c r="PGS37" s="953"/>
      <c r="PGT37" s="953"/>
      <c r="PGU37" s="953"/>
      <c r="PGV37" s="953"/>
      <c r="PGW37" s="953"/>
      <c r="PGX37" s="953"/>
      <c r="PGY37" s="953"/>
      <c r="PGZ37" s="953"/>
      <c r="PHA37" s="953"/>
      <c r="PHB37" s="953"/>
      <c r="PHC37" s="953"/>
      <c r="PHD37" s="953"/>
      <c r="PHE37" s="953"/>
      <c r="PHF37" s="953"/>
      <c r="PHG37" s="953"/>
      <c r="PHH37" s="953"/>
      <c r="PHI37" s="953"/>
      <c r="PHJ37" s="953"/>
      <c r="PHK37" s="953"/>
      <c r="PHL37" s="953"/>
      <c r="PHM37" s="953"/>
      <c r="PHN37" s="953"/>
      <c r="PHO37" s="953"/>
      <c r="PHP37" s="953"/>
      <c r="PHQ37" s="953"/>
      <c r="PHR37" s="953"/>
      <c r="PHS37" s="953"/>
      <c r="PHT37" s="953"/>
      <c r="PHU37" s="953"/>
      <c r="PHV37" s="953"/>
      <c r="PHW37" s="953"/>
      <c r="PHX37" s="953"/>
      <c r="PHY37" s="953"/>
      <c r="PHZ37" s="953"/>
      <c r="PIA37" s="953"/>
      <c r="PIB37" s="953"/>
      <c r="PIC37" s="953"/>
      <c r="PID37" s="953"/>
      <c r="PIE37" s="953"/>
      <c r="PIF37" s="953"/>
      <c r="PIG37" s="953"/>
      <c r="PIH37" s="953"/>
      <c r="PII37" s="953"/>
      <c r="PIJ37" s="953"/>
      <c r="PIK37" s="953"/>
      <c r="PIL37" s="953"/>
      <c r="PIM37" s="953"/>
      <c r="PIN37" s="953"/>
      <c r="PIO37" s="953"/>
      <c r="PIP37" s="953"/>
      <c r="PIQ37" s="953"/>
      <c r="PIR37" s="953"/>
      <c r="PIS37" s="953"/>
      <c r="PIT37" s="953"/>
      <c r="PIU37" s="953"/>
      <c r="PIV37" s="953"/>
      <c r="PIW37" s="953"/>
      <c r="PIX37" s="953"/>
      <c r="PIY37" s="953"/>
      <c r="PIZ37" s="953"/>
      <c r="PJA37" s="953"/>
      <c r="PJB37" s="953"/>
      <c r="PJC37" s="953"/>
      <c r="PJD37" s="953"/>
      <c r="PJE37" s="953"/>
      <c r="PJF37" s="953"/>
      <c r="PJG37" s="953"/>
      <c r="PJH37" s="953"/>
      <c r="PJI37" s="953"/>
      <c r="PJJ37" s="953"/>
      <c r="PJK37" s="953"/>
      <c r="PJL37" s="953"/>
      <c r="PJM37" s="953"/>
      <c r="PJN37" s="953"/>
      <c r="PJO37" s="953"/>
      <c r="PJP37" s="953"/>
      <c r="PJQ37" s="953"/>
      <c r="PJR37" s="953"/>
      <c r="PJS37" s="953"/>
      <c r="PJT37" s="953"/>
      <c r="PJU37" s="953"/>
      <c r="PJV37" s="953"/>
      <c r="PJW37" s="953"/>
      <c r="PJX37" s="953"/>
      <c r="PJY37" s="953"/>
      <c r="PJZ37" s="953"/>
      <c r="PKA37" s="953"/>
      <c r="PKB37" s="953"/>
      <c r="PKC37" s="953"/>
      <c r="PKD37" s="953"/>
      <c r="PKE37" s="953"/>
      <c r="PKF37" s="953"/>
      <c r="PKG37" s="953"/>
      <c r="PKH37" s="953"/>
      <c r="PKI37" s="953"/>
      <c r="PKJ37" s="953"/>
      <c r="PKK37" s="953"/>
      <c r="PKL37" s="953"/>
      <c r="PKM37" s="953"/>
      <c r="PKN37" s="953"/>
      <c r="PKO37" s="953"/>
      <c r="PKP37" s="953"/>
      <c r="PKQ37" s="953"/>
      <c r="PKR37" s="953"/>
      <c r="PKS37" s="953"/>
      <c r="PKT37" s="953"/>
      <c r="PKU37" s="953"/>
      <c r="PKV37" s="953"/>
      <c r="PKW37" s="953"/>
      <c r="PKX37" s="953"/>
      <c r="PKY37" s="953"/>
      <c r="PKZ37" s="953"/>
      <c r="PLA37" s="953"/>
      <c r="PLB37" s="953"/>
      <c r="PLC37" s="953"/>
      <c r="PLD37" s="953"/>
      <c r="PLE37" s="953"/>
      <c r="PLF37" s="953"/>
      <c r="PLG37" s="953"/>
      <c r="PLH37" s="953"/>
      <c r="PLI37" s="953"/>
      <c r="PLJ37" s="953"/>
      <c r="PLK37" s="953"/>
      <c r="PLL37" s="953"/>
      <c r="PLM37" s="953"/>
      <c r="PLN37" s="953"/>
      <c r="PLO37" s="953"/>
      <c r="PLP37" s="953"/>
      <c r="PLQ37" s="953"/>
      <c r="PLR37" s="953"/>
      <c r="PLS37" s="953"/>
      <c r="PLT37" s="953"/>
      <c r="PLU37" s="953"/>
      <c r="PLV37" s="953"/>
      <c r="PLW37" s="953"/>
      <c r="PLX37" s="953"/>
      <c r="PLY37" s="953"/>
      <c r="PLZ37" s="953"/>
      <c r="PMA37" s="953"/>
      <c r="PMB37" s="953"/>
      <c r="PMC37" s="953"/>
      <c r="PMD37" s="953"/>
      <c r="PME37" s="953"/>
      <c r="PMF37" s="953"/>
      <c r="PMG37" s="953"/>
      <c r="PMH37" s="953"/>
      <c r="PMI37" s="953"/>
      <c r="PMJ37" s="953"/>
      <c r="PMK37" s="953"/>
      <c r="PML37" s="953"/>
      <c r="PMM37" s="953"/>
      <c r="PMN37" s="953"/>
      <c r="PMO37" s="953"/>
      <c r="PMP37" s="953"/>
      <c r="PMQ37" s="953"/>
      <c r="PMR37" s="953"/>
      <c r="PMS37" s="953"/>
      <c r="PMT37" s="953"/>
      <c r="PMU37" s="953"/>
      <c r="PMV37" s="953"/>
      <c r="PMW37" s="953"/>
      <c r="PMX37" s="953"/>
      <c r="PMY37" s="953"/>
      <c r="PMZ37" s="953"/>
      <c r="PNA37" s="953"/>
      <c r="PNB37" s="953"/>
      <c r="PNC37" s="953"/>
      <c r="PND37" s="953"/>
      <c r="PNE37" s="953"/>
      <c r="PNF37" s="953"/>
      <c r="PNG37" s="953"/>
      <c r="PNH37" s="953"/>
      <c r="PNI37" s="953"/>
      <c r="PNJ37" s="953"/>
      <c r="PNK37" s="953"/>
      <c r="PNL37" s="953"/>
      <c r="PNM37" s="953"/>
      <c r="PNN37" s="953"/>
      <c r="PNO37" s="953"/>
      <c r="PNP37" s="953"/>
      <c r="PNQ37" s="953"/>
      <c r="PNR37" s="953"/>
      <c r="PNS37" s="953"/>
      <c r="PNT37" s="953"/>
      <c r="PNU37" s="953"/>
      <c r="PNV37" s="953"/>
      <c r="PNW37" s="953"/>
      <c r="PNX37" s="953"/>
      <c r="PNY37" s="953"/>
      <c r="PNZ37" s="953"/>
      <c r="POA37" s="953"/>
      <c r="POB37" s="953"/>
      <c r="POC37" s="953"/>
      <c r="POD37" s="953"/>
      <c r="POE37" s="953"/>
      <c r="POF37" s="953"/>
      <c r="POG37" s="953"/>
      <c r="POH37" s="953"/>
      <c r="POI37" s="953"/>
      <c r="POJ37" s="953"/>
      <c r="POK37" s="953"/>
      <c r="POL37" s="953"/>
      <c r="POM37" s="953"/>
      <c r="PON37" s="953"/>
      <c r="POO37" s="953"/>
      <c r="POP37" s="953"/>
      <c r="POQ37" s="953"/>
      <c r="POR37" s="953"/>
      <c r="POS37" s="953"/>
      <c r="POT37" s="953"/>
      <c r="POU37" s="953"/>
      <c r="POV37" s="953"/>
      <c r="POW37" s="953"/>
      <c r="POX37" s="953"/>
      <c r="POY37" s="953"/>
      <c r="POZ37" s="953"/>
      <c r="PPA37" s="953"/>
      <c r="PPB37" s="953"/>
      <c r="PPC37" s="953"/>
      <c r="PPD37" s="953"/>
      <c r="PPE37" s="953"/>
      <c r="PPF37" s="953"/>
      <c r="PPG37" s="953"/>
      <c r="PPH37" s="953"/>
      <c r="PPI37" s="953"/>
      <c r="PPJ37" s="953"/>
      <c r="PPK37" s="953"/>
      <c r="PPL37" s="953"/>
      <c r="PPM37" s="953"/>
      <c r="PPN37" s="953"/>
      <c r="PPO37" s="953"/>
      <c r="PPP37" s="953"/>
      <c r="PPQ37" s="953"/>
      <c r="PPR37" s="953"/>
      <c r="PPS37" s="953"/>
      <c r="PPT37" s="953"/>
      <c r="PPU37" s="953"/>
      <c r="PPV37" s="953"/>
      <c r="PPW37" s="953"/>
      <c r="PPX37" s="953"/>
      <c r="PPY37" s="953"/>
      <c r="PPZ37" s="953"/>
      <c r="PQA37" s="953"/>
      <c r="PQB37" s="953"/>
      <c r="PQC37" s="953"/>
      <c r="PQD37" s="953"/>
      <c r="PQE37" s="953"/>
      <c r="PQF37" s="953"/>
      <c r="PQG37" s="953"/>
      <c r="PQH37" s="953"/>
      <c r="PQI37" s="953"/>
      <c r="PQJ37" s="953"/>
      <c r="PQK37" s="953"/>
      <c r="PQL37" s="953"/>
      <c r="PQM37" s="953"/>
      <c r="PQN37" s="953"/>
      <c r="PQO37" s="953"/>
      <c r="PQP37" s="953"/>
      <c r="PQQ37" s="953"/>
      <c r="PQR37" s="953"/>
      <c r="PQS37" s="953"/>
      <c r="PQT37" s="953"/>
      <c r="PQU37" s="953"/>
      <c r="PQV37" s="953"/>
      <c r="PQW37" s="953"/>
      <c r="PQX37" s="953"/>
      <c r="PQY37" s="953"/>
      <c r="PQZ37" s="953"/>
      <c r="PRA37" s="953"/>
      <c r="PRB37" s="953"/>
      <c r="PRC37" s="953"/>
      <c r="PRD37" s="953"/>
      <c r="PRE37" s="953"/>
      <c r="PRF37" s="953"/>
      <c r="PRG37" s="953"/>
      <c r="PRH37" s="953"/>
      <c r="PRI37" s="953"/>
      <c r="PRJ37" s="953"/>
      <c r="PRK37" s="953"/>
      <c r="PRL37" s="953"/>
      <c r="PRM37" s="953"/>
      <c r="PRN37" s="953"/>
      <c r="PRO37" s="953"/>
      <c r="PRP37" s="953"/>
      <c r="PRQ37" s="953"/>
      <c r="PRR37" s="953"/>
      <c r="PRS37" s="953"/>
      <c r="PRT37" s="953"/>
      <c r="PRU37" s="953"/>
      <c r="PRV37" s="953"/>
      <c r="PRW37" s="953"/>
      <c r="PRX37" s="953"/>
      <c r="PRY37" s="953"/>
      <c r="PRZ37" s="953"/>
      <c r="PSA37" s="953"/>
      <c r="PSB37" s="953"/>
      <c r="PSC37" s="953"/>
      <c r="PSD37" s="953"/>
      <c r="PSE37" s="953"/>
      <c r="PSF37" s="953"/>
      <c r="PSG37" s="953"/>
      <c r="PSH37" s="953"/>
      <c r="PSI37" s="953"/>
      <c r="PSJ37" s="953"/>
      <c r="PSK37" s="953"/>
      <c r="PSL37" s="953"/>
      <c r="PSM37" s="953"/>
      <c r="PSN37" s="953"/>
      <c r="PSO37" s="953"/>
      <c r="PSP37" s="953"/>
      <c r="PSQ37" s="953"/>
      <c r="PSR37" s="953"/>
      <c r="PSS37" s="953"/>
      <c r="PST37" s="953"/>
      <c r="PSU37" s="953"/>
      <c r="PSV37" s="953"/>
      <c r="PSW37" s="953"/>
      <c r="PSX37" s="953"/>
      <c r="PSY37" s="953"/>
      <c r="PSZ37" s="953"/>
      <c r="PTA37" s="953"/>
      <c r="PTB37" s="953"/>
      <c r="PTC37" s="953"/>
      <c r="PTD37" s="953"/>
      <c r="PTE37" s="953"/>
      <c r="PTF37" s="953"/>
      <c r="PTG37" s="953"/>
      <c r="PTH37" s="953"/>
      <c r="PTI37" s="953"/>
      <c r="PTJ37" s="953"/>
      <c r="PTK37" s="953"/>
      <c r="PTL37" s="953"/>
      <c r="PTM37" s="953"/>
      <c r="PTN37" s="953"/>
      <c r="PTO37" s="953"/>
      <c r="PTP37" s="953"/>
      <c r="PTQ37" s="953"/>
      <c r="PTR37" s="953"/>
      <c r="PTS37" s="953"/>
      <c r="PTT37" s="953"/>
      <c r="PTU37" s="953"/>
      <c r="PTV37" s="953"/>
      <c r="PTW37" s="953"/>
      <c r="PTX37" s="953"/>
      <c r="PTY37" s="953"/>
      <c r="PTZ37" s="953"/>
      <c r="PUA37" s="953"/>
      <c r="PUB37" s="953"/>
      <c r="PUC37" s="953"/>
      <c r="PUD37" s="953"/>
      <c r="PUE37" s="953"/>
      <c r="PUF37" s="953"/>
      <c r="PUG37" s="953"/>
      <c r="PUH37" s="953"/>
      <c r="PUI37" s="953"/>
      <c r="PUJ37" s="953"/>
      <c r="PUK37" s="953"/>
      <c r="PUL37" s="953"/>
      <c r="PUM37" s="953"/>
      <c r="PUN37" s="953"/>
      <c r="PUO37" s="953"/>
      <c r="PUP37" s="953"/>
      <c r="PUQ37" s="953"/>
      <c r="PUR37" s="953"/>
      <c r="PUS37" s="953"/>
      <c r="PUT37" s="953"/>
      <c r="PUU37" s="953"/>
      <c r="PUV37" s="953"/>
      <c r="PUW37" s="953"/>
      <c r="PUX37" s="953"/>
      <c r="PUY37" s="953"/>
      <c r="PUZ37" s="953"/>
      <c r="PVA37" s="953"/>
      <c r="PVB37" s="953"/>
      <c r="PVC37" s="953"/>
      <c r="PVD37" s="953"/>
      <c r="PVE37" s="953"/>
      <c r="PVF37" s="953"/>
      <c r="PVG37" s="953"/>
      <c r="PVH37" s="953"/>
      <c r="PVI37" s="953"/>
      <c r="PVJ37" s="953"/>
      <c r="PVK37" s="953"/>
      <c r="PVL37" s="953"/>
      <c r="PVM37" s="953"/>
      <c r="PVN37" s="953"/>
      <c r="PVO37" s="953"/>
      <c r="PVP37" s="953"/>
      <c r="PVQ37" s="953"/>
      <c r="PVR37" s="953"/>
      <c r="PVS37" s="953"/>
      <c r="PVT37" s="953"/>
      <c r="PVU37" s="953"/>
      <c r="PVV37" s="953"/>
      <c r="PVW37" s="953"/>
      <c r="PVX37" s="953"/>
      <c r="PVY37" s="953"/>
      <c r="PVZ37" s="953"/>
      <c r="PWA37" s="953"/>
      <c r="PWB37" s="953"/>
      <c r="PWC37" s="953"/>
      <c r="PWD37" s="953"/>
      <c r="PWE37" s="953"/>
      <c r="PWF37" s="953"/>
      <c r="PWG37" s="953"/>
      <c r="PWH37" s="953"/>
      <c r="PWI37" s="953"/>
      <c r="PWJ37" s="953"/>
      <c r="PWK37" s="953"/>
      <c r="PWL37" s="953"/>
      <c r="PWM37" s="953"/>
      <c r="PWN37" s="953"/>
      <c r="PWO37" s="953"/>
      <c r="PWP37" s="953"/>
      <c r="PWQ37" s="953"/>
      <c r="PWR37" s="953"/>
      <c r="PWS37" s="953"/>
      <c r="PWT37" s="953"/>
      <c r="PWU37" s="953"/>
      <c r="PWV37" s="953"/>
      <c r="PWW37" s="953"/>
      <c r="PWX37" s="953"/>
      <c r="PWY37" s="953"/>
      <c r="PWZ37" s="953"/>
      <c r="PXA37" s="953"/>
      <c r="PXB37" s="953"/>
      <c r="PXC37" s="953"/>
      <c r="PXD37" s="953"/>
      <c r="PXE37" s="953"/>
      <c r="PXF37" s="953"/>
      <c r="PXG37" s="953"/>
      <c r="PXH37" s="953"/>
      <c r="PXI37" s="953"/>
      <c r="PXJ37" s="953"/>
      <c r="PXK37" s="953"/>
      <c r="PXL37" s="953"/>
      <c r="PXM37" s="953"/>
      <c r="PXN37" s="953"/>
      <c r="PXO37" s="953"/>
      <c r="PXP37" s="953"/>
      <c r="PXQ37" s="953"/>
      <c r="PXR37" s="953"/>
      <c r="PXS37" s="953"/>
      <c r="PXT37" s="953"/>
      <c r="PXU37" s="953"/>
      <c r="PXV37" s="953"/>
      <c r="PXW37" s="953"/>
      <c r="PXX37" s="953"/>
      <c r="PXY37" s="953"/>
      <c r="PXZ37" s="953"/>
      <c r="PYA37" s="953"/>
      <c r="PYB37" s="953"/>
      <c r="PYC37" s="953"/>
      <c r="PYD37" s="953"/>
      <c r="PYE37" s="953"/>
      <c r="PYF37" s="953"/>
      <c r="PYG37" s="953"/>
      <c r="PYH37" s="953"/>
      <c r="PYI37" s="953"/>
      <c r="PYJ37" s="953"/>
      <c r="PYK37" s="953"/>
      <c r="PYL37" s="953"/>
      <c r="PYM37" s="953"/>
      <c r="PYN37" s="953"/>
      <c r="PYO37" s="953"/>
      <c r="PYP37" s="953"/>
      <c r="PYQ37" s="953"/>
      <c r="PYR37" s="953"/>
      <c r="PYS37" s="953"/>
      <c r="PYT37" s="953"/>
      <c r="PYU37" s="953"/>
      <c r="PYV37" s="953"/>
      <c r="PYW37" s="953"/>
      <c r="PYX37" s="953"/>
      <c r="PYY37" s="953"/>
      <c r="PYZ37" s="953"/>
      <c r="PZA37" s="953"/>
      <c r="PZB37" s="953"/>
      <c r="PZC37" s="953"/>
      <c r="PZD37" s="953"/>
      <c r="PZE37" s="953"/>
      <c r="PZF37" s="953"/>
      <c r="PZG37" s="953"/>
      <c r="PZH37" s="953"/>
      <c r="PZI37" s="953"/>
      <c r="PZJ37" s="953"/>
      <c r="PZK37" s="953"/>
      <c r="PZL37" s="953"/>
      <c r="PZM37" s="953"/>
      <c r="PZN37" s="953"/>
      <c r="PZO37" s="953"/>
      <c r="PZP37" s="953"/>
      <c r="PZQ37" s="953"/>
      <c r="PZR37" s="953"/>
      <c r="PZS37" s="953"/>
      <c r="PZT37" s="953"/>
      <c r="PZU37" s="953"/>
      <c r="PZV37" s="953"/>
      <c r="PZW37" s="953"/>
      <c r="PZX37" s="953"/>
      <c r="PZY37" s="953"/>
      <c r="PZZ37" s="953"/>
      <c r="QAA37" s="953"/>
      <c r="QAB37" s="953"/>
      <c r="QAC37" s="953"/>
      <c r="QAD37" s="953"/>
      <c r="QAE37" s="953"/>
      <c r="QAF37" s="953"/>
      <c r="QAG37" s="953"/>
      <c r="QAH37" s="953"/>
      <c r="QAI37" s="953"/>
      <c r="QAJ37" s="953"/>
      <c r="QAK37" s="953"/>
      <c r="QAL37" s="953"/>
      <c r="QAM37" s="953"/>
      <c r="QAN37" s="953"/>
      <c r="QAO37" s="953"/>
      <c r="QAP37" s="953"/>
      <c r="QAQ37" s="953"/>
      <c r="QAR37" s="953"/>
      <c r="QAS37" s="953"/>
      <c r="QAT37" s="953"/>
      <c r="QAU37" s="953"/>
      <c r="QAV37" s="953"/>
      <c r="QAW37" s="953"/>
      <c r="QAX37" s="953"/>
      <c r="QAY37" s="953"/>
      <c r="QAZ37" s="953"/>
      <c r="QBA37" s="953"/>
      <c r="QBB37" s="953"/>
      <c r="QBC37" s="953"/>
      <c r="QBD37" s="953"/>
      <c r="QBE37" s="953"/>
      <c r="QBF37" s="953"/>
      <c r="QBG37" s="953"/>
      <c r="QBH37" s="953"/>
      <c r="QBI37" s="953"/>
      <c r="QBJ37" s="953"/>
      <c r="QBK37" s="953"/>
      <c r="QBL37" s="953"/>
      <c r="QBM37" s="953"/>
      <c r="QBN37" s="953"/>
      <c r="QBO37" s="953"/>
      <c r="QBP37" s="953"/>
      <c r="QBQ37" s="953"/>
      <c r="QBR37" s="953"/>
      <c r="QBS37" s="953"/>
      <c r="QBT37" s="953"/>
      <c r="QBU37" s="953"/>
      <c r="QBV37" s="953"/>
      <c r="QBW37" s="953"/>
      <c r="QBX37" s="953"/>
      <c r="QBY37" s="953"/>
      <c r="QBZ37" s="953"/>
      <c r="QCA37" s="953"/>
      <c r="QCB37" s="953"/>
      <c r="QCC37" s="953"/>
      <c r="QCD37" s="953"/>
      <c r="QCE37" s="953"/>
      <c r="QCF37" s="953"/>
      <c r="QCG37" s="953"/>
      <c r="QCH37" s="953"/>
      <c r="QCI37" s="953"/>
      <c r="QCJ37" s="953"/>
      <c r="QCK37" s="953"/>
      <c r="QCL37" s="953"/>
      <c r="QCM37" s="953"/>
      <c r="QCN37" s="953"/>
      <c r="QCO37" s="953"/>
      <c r="QCP37" s="953"/>
      <c r="QCQ37" s="953"/>
      <c r="QCR37" s="953"/>
      <c r="QCS37" s="953"/>
      <c r="QCT37" s="953"/>
      <c r="QCU37" s="953"/>
      <c r="QCV37" s="953"/>
      <c r="QCW37" s="953"/>
      <c r="QCX37" s="953"/>
      <c r="QCY37" s="953"/>
      <c r="QCZ37" s="953"/>
      <c r="QDA37" s="953"/>
      <c r="QDB37" s="953"/>
      <c r="QDC37" s="953"/>
      <c r="QDD37" s="953"/>
      <c r="QDE37" s="953"/>
      <c r="QDF37" s="953"/>
      <c r="QDG37" s="953"/>
      <c r="QDH37" s="953"/>
      <c r="QDI37" s="953"/>
      <c r="QDJ37" s="953"/>
      <c r="QDK37" s="953"/>
      <c r="QDL37" s="953"/>
      <c r="QDM37" s="953"/>
      <c r="QDN37" s="953"/>
      <c r="QDO37" s="953"/>
      <c r="QDP37" s="953"/>
      <c r="QDQ37" s="953"/>
      <c r="QDR37" s="953"/>
      <c r="QDS37" s="953"/>
      <c r="QDT37" s="953"/>
      <c r="QDU37" s="953"/>
      <c r="QDV37" s="953"/>
      <c r="QDW37" s="953"/>
      <c r="QDX37" s="953"/>
      <c r="QDY37" s="953"/>
      <c r="QDZ37" s="953"/>
      <c r="QEA37" s="953"/>
      <c r="QEB37" s="953"/>
      <c r="QEC37" s="953"/>
      <c r="QED37" s="953"/>
      <c r="QEE37" s="953"/>
      <c r="QEF37" s="953"/>
      <c r="QEG37" s="953"/>
      <c r="QEH37" s="953"/>
      <c r="QEI37" s="953"/>
      <c r="QEJ37" s="953"/>
      <c r="QEK37" s="953"/>
      <c r="QEL37" s="953"/>
      <c r="QEM37" s="953"/>
      <c r="QEN37" s="953"/>
      <c r="QEO37" s="953"/>
      <c r="QEP37" s="953"/>
      <c r="QEQ37" s="953"/>
      <c r="QER37" s="953"/>
      <c r="QES37" s="953"/>
      <c r="QET37" s="953"/>
      <c r="QEU37" s="953"/>
      <c r="QEV37" s="953"/>
      <c r="QEW37" s="953"/>
      <c r="QEX37" s="953"/>
      <c r="QEY37" s="953"/>
      <c r="QEZ37" s="953"/>
      <c r="QFA37" s="953"/>
      <c r="QFB37" s="953"/>
      <c r="QFC37" s="953"/>
      <c r="QFD37" s="953"/>
      <c r="QFE37" s="953"/>
      <c r="QFF37" s="953"/>
      <c r="QFG37" s="953"/>
      <c r="QFH37" s="953"/>
      <c r="QFI37" s="953"/>
      <c r="QFJ37" s="953"/>
      <c r="QFK37" s="953"/>
      <c r="QFL37" s="953"/>
      <c r="QFM37" s="953"/>
      <c r="QFN37" s="953"/>
      <c r="QFO37" s="953"/>
      <c r="QFP37" s="953"/>
      <c r="QFQ37" s="953"/>
      <c r="QFR37" s="953"/>
      <c r="QFS37" s="953"/>
      <c r="QFT37" s="953"/>
      <c r="QFU37" s="953"/>
      <c r="QFV37" s="953"/>
      <c r="QFW37" s="953"/>
      <c r="QFX37" s="953"/>
      <c r="QFY37" s="953"/>
      <c r="QFZ37" s="953"/>
      <c r="QGA37" s="953"/>
      <c r="QGB37" s="953"/>
      <c r="QGC37" s="953"/>
      <c r="QGD37" s="953"/>
      <c r="QGE37" s="953"/>
      <c r="QGF37" s="953"/>
      <c r="QGG37" s="953"/>
      <c r="QGH37" s="953"/>
      <c r="QGI37" s="953"/>
      <c r="QGJ37" s="953"/>
      <c r="QGK37" s="953"/>
      <c r="QGL37" s="953"/>
      <c r="QGM37" s="953"/>
      <c r="QGN37" s="953"/>
      <c r="QGO37" s="953"/>
      <c r="QGP37" s="953"/>
      <c r="QGQ37" s="953"/>
      <c r="QGR37" s="953"/>
      <c r="QGS37" s="953"/>
      <c r="QGT37" s="953"/>
      <c r="QGU37" s="953"/>
      <c r="QGV37" s="953"/>
      <c r="QGW37" s="953"/>
      <c r="QGX37" s="953"/>
      <c r="QGY37" s="953"/>
      <c r="QGZ37" s="953"/>
      <c r="QHA37" s="953"/>
      <c r="QHB37" s="953"/>
      <c r="QHC37" s="953"/>
      <c r="QHD37" s="953"/>
      <c r="QHE37" s="953"/>
      <c r="QHF37" s="953"/>
      <c r="QHG37" s="953"/>
      <c r="QHH37" s="953"/>
      <c r="QHI37" s="953"/>
      <c r="QHJ37" s="953"/>
      <c r="QHK37" s="953"/>
      <c r="QHL37" s="953"/>
      <c r="QHM37" s="953"/>
      <c r="QHN37" s="953"/>
      <c r="QHO37" s="953"/>
      <c r="QHP37" s="953"/>
      <c r="QHQ37" s="953"/>
      <c r="QHR37" s="953"/>
      <c r="QHS37" s="953"/>
      <c r="QHT37" s="953"/>
      <c r="QHU37" s="953"/>
      <c r="QHV37" s="953"/>
      <c r="QHW37" s="953"/>
      <c r="QHX37" s="953"/>
      <c r="QHY37" s="953"/>
      <c r="QHZ37" s="953"/>
      <c r="QIA37" s="953"/>
      <c r="QIB37" s="953"/>
      <c r="QIC37" s="953"/>
      <c r="QID37" s="953"/>
      <c r="QIE37" s="953"/>
      <c r="QIF37" s="953"/>
      <c r="QIG37" s="953"/>
      <c r="QIH37" s="953"/>
      <c r="QII37" s="953"/>
      <c r="QIJ37" s="953"/>
      <c r="QIK37" s="953"/>
      <c r="QIL37" s="953"/>
      <c r="QIM37" s="953"/>
      <c r="QIN37" s="953"/>
      <c r="QIO37" s="953"/>
      <c r="QIP37" s="953"/>
      <c r="QIQ37" s="953"/>
      <c r="QIR37" s="953"/>
      <c r="QIS37" s="953"/>
      <c r="QIT37" s="953"/>
      <c r="QIU37" s="953"/>
      <c r="QIV37" s="953"/>
      <c r="QIW37" s="953"/>
      <c r="QIX37" s="953"/>
      <c r="QIY37" s="953"/>
      <c r="QIZ37" s="953"/>
      <c r="QJA37" s="953"/>
      <c r="QJB37" s="953"/>
      <c r="QJC37" s="953"/>
      <c r="QJD37" s="953"/>
      <c r="QJE37" s="953"/>
      <c r="QJF37" s="953"/>
      <c r="QJG37" s="953"/>
      <c r="QJH37" s="953"/>
      <c r="QJI37" s="953"/>
      <c r="QJJ37" s="953"/>
      <c r="QJK37" s="953"/>
      <c r="QJL37" s="953"/>
      <c r="QJM37" s="953"/>
      <c r="QJN37" s="953"/>
      <c r="QJO37" s="953"/>
      <c r="QJP37" s="953"/>
      <c r="QJQ37" s="953"/>
      <c r="QJR37" s="953"/>
      <c r="QJS37" s="953"/>
      <c r="QJT37" s="953"/>
      <c r="QJU37" s="953"/>
      <c r="QJV37" s="953"/>
      <c r="QJW37" s="953"/>
      <c r="QJX37" s="953"/>
      <c r="QJY37" s="953"/>
      <c r="QJZ37" s="953"/>
      <c r="QKA37" s="953"/>
      <c r="QKB37" s="953"/>
      <c r="QKC37" s="953"/>
      <c r="QKD37" s="953"/>
      <c r="QKE37" s="953"/>
      <c r="QKF37" s="953"/>
      <c r="QKG37" s="953"/>
      <c r="QKH37" s="953"/>
      <c r="QKI37" s="953"/>
      <c r="QKJ37" s="953"/>
      <c r="QKK37" s="953"/>
      <c r="QKL37" s="953"/>
      <c r="QKM37" s="953"/>
      <c r="QKN37" s="953"/>
      <c r="QKO37" s="953"/>
      <c r="QKP37" s="953"/>
      <c r="QKQ37" s="953"/>
      <c r="QKR37" s="953"/>
      <c r="QKS37" s="953"/>
      <c r="QKT37" s="953"/>
      <c r="QKU37" s="953"/>
      <c r="QKV37" s="953"/>
      <c r="QKW37" s="953"/>
      <c r="QKX37" s="953"/>
      <c r="QKY37" s="953"/>
      <c r="QKZ37" s="953"/>
      <c r="QLA37" s="953"/>
      <c r="QLB37" s="953"/>
      <c r="QLC37" s="953"/>
      <c r="QLD37" s="953"/>
      <c r="QLE37" s="953"/>
      <c r="QLF37" s="953"/>
      <c r="QLG37" s="953"/>
      <c r="QLH37" s="953"/>
      <c r="QLI37" s="953"/>
      <c r="QLJ37" s="953"/>
      <c r="QLK37" s="953"/>
      <c r="QLL37" s="953"/>
      <c r="QLM37" s="953"/>
      <c r="QLN37" s="953"/>
      <c r="QLO37" s="953"/>
      <c r="QLP37" s="953"/>
      <c r="QLQ37" s="953"/>
      <c r="QLR37" s="953"/>
      <c r="QLS37" s="953"/>
      <c r="QLT37" s="953"/>
      <c r="QLU37" s="953"/>
      <c r="QLV37" s="953"/>
      <c r="QLW37" s="953"/>
      <c r="QLX37" s="953"/>
      <c r="QLY37" s="953"/>
      <c r="QLZ37" s="953"/>
      <c r="QMA37" s="953"/>
      <c r="QMB37" s="953"/>
      <c r="QMC37" s="953"/>
      <c r="QMD37" s="953"/>
      <c r="QME37" s="953"/>
      <c r="QMF37" s="953"/>
      <c r="QMG37" s="953"/>
      <c r="QMH37" s="953"/>
      <c r="QMI37" s="953"/>
      <c r="QMJ37" s="953"/>
      <c r="QMK37" s="953"/>
      <c r="QML37" s="953"/>
      <c r="QMM37" s="953"/>
      <c r="QMN37" s="953"/>
      <c r="QMO37" s="953"/>
      <c r="QMP37" s="953"/>
      <c r="QMQ37" s="953"/>
      <c r="QMR37" s="953"/>
      <c r="QMS37" s="953"/>
      <c r="QMT37" s="953"/>
      <c r="QMU37" s="953"/>
      <c r="QMV37" s="953"/>
      <c r="QMW37" s="953"/>
      <c r="QMX37" s="953"/>
      <c r="QMY37" s="953"/>
      <c r="QMZ37" s="953"/>
      <c r="QNA37" s="953"/>
      <c r="QNB37" s="953"/>
      <c r="QNC37" s="953"/>
      <c r="QND37" s="953"/>
      <c r="QNE37" s="953"/>
      <c r="QNF37" s="953"/>
      <c r="QNG37" s="953"/>
      <c r="QNH37" s="953"/>
      <c r="QNI37" s="953"/>
      <c r="QNJ37" s="953"/>
      <c r="QNK37" s="953"/>
      <c r="QNL37" s="953"/>
      <c r="QNM37" s="953"/>
      <c r="QNN37" s="953"/>
      <c r="QNO37" s="953"/>
      <c r="QNP37" s="953"/>
      <c r="QNQ37" s="953"/>
      <c r="QNR37" s="953"/>
      <c r="QNS37" s="953"/>
      <c r="QNT37" s="953"/>
      <c r="QNU37" s="953"/>
      <c r="QNV37" s="953"/>
      <c r="QNW37" s="953"/>
      <c r="QNX37" s="953"/>
      <c r="QNY37" s="953"/>
      <c r="QNZ37" s="953"/>
      <c r="QOA37" s="953"/>
      <c r="QOB37" s="953"/>
      <c r="QOC37" s="953"/>
      <c r="QOD37" s="953"/>
      <c r="QOE37" s="953"/>
      <c r="QOF37" s="953"/>
      <c r="QOG37" s="953"/>
      <c r="QOH37" s="953"/>
      <c r="QOI37" s="953"/>
      <c r="QOJ37" s="953"/>
      <c r="QOK37" s="953"/>
      <c r="QOL37" s="953"/>
      <c r="QOM37" s="953"/>
      <c r="QON37" s="953"/>
      <c r="QOO37" s="953"/>
      <c r="QOP37" s="953"/>
      <c r="QOQ37" s="953"/>
      <c r="QOR37" s="953"/>
      <c r="QOS37" s="953"/>
      <c r="QOT37" s="953"/>
      <c r="QOU37" s="953"/>
      <c r="QOV37" s="953"/>
      <c r="QOW37" s="953"/>
      <c r="QOX37" s="953"/>
      <c r="QOY37" s="953"/>
      <c r="QOZ37" s="953"/>
      <c r="QPA37" s="953"/>
      <c r="QPB37" s="953"/>
      <c r="QPC37" s="953"/>
      <c r="QPD37" s="953"/>
      <c r="QPE37" s="953"/>
      <c r="QPF37" s="953"/>
      <c r="QPG37" s="953"/>
      <c r="QPH37" s="953"/>
      <c r="QPI37" s="953"/>
      <c r="QPJ37" s="953"/>
      <c r="QPK37" s="953"/>
      <c r="QPL37" s="953"/>
      <c r="QPM37" s="953"/>
      <c r="QPN37" s="953"/>
      <c r="QPO37" s="953"/>
      <c r="QPP37" s="953"/>
      <c r="QPQ37" s="953"/>
      <c r="QPR37" s="953"/>
      <c r="QPS37" s="953"/>
      <c r="QPT37" s="953"/>
      <c r="QPU37" s="953"/>
      <c r="QPV37" s="953"/>
      <c r="QPW37" s="953"/>
      <c r="QPX37" s="953"/>
      <c r="QPY37" s="953"/>
      <c r="QPZ37" s="953"/>
      <c r="QQA37" s="953"/>
      <c r="QQB37" s="953"/>
      <c r="QQC37" s="953"/>
      <c r="QQD37" s="953"/>
      <c r="QQE37" s="953"/>
      <c r="QQF37" s="953"/>
      <c r="QQG37" s="953"/>
      <c r="QQH37" s="953"/>
      <c r="QQI37" s="953"/>
      <c r="QQJ37" s="953"/>
      <c r="QQK37" s="953"/>
      <c r="QQL37" s="953"/>
      <c r="QQM37" s="953"/>
      <c r="QQN37" s="953"/>
      <c r="QQO37" s="953"/>
      <c r="QQP37" s="953"/>
      <c r="QQQ37" s="953"/>
      <c r="QQR37" s="953"/>
      <c r="QQS37" s="953"/>
      <c r="QQT37" s="953"/>
      <c r="QQU37" s="953"/>
      <c r="QQV37" s="953"/>
      <c r="QQW37" s="953"/>
      <c r="QQX37" s="953"/>
      <c r="QQY37" s="953"/>
      <c r="QQZ37" s="953"/>
      <c r="QRA37" s="953"/>
      <c r="QRB37" s="953"/>
      <c r="QRC37" s="953"/>
      <c r="QRD37" s="953"/>
      <c r="QRE37" s="953"/>
      <c r="QRF37" s="953"/>
      <c r="QRG37" s="953"/>
      <c r="QRH37" s="953"/>
      <c r="QRI37" s="953"/>
      <c r="QRJ37" s="953"/>
      <c r="QRK37" s="953"/>
      <c r="QRL37" s="953"/>
      <c r="QRM37" s="953"/>
      <c r="QRN37" s="953"/>
      <c r="QRO37" s="953"/>
      <c r="QRP37" s="953"/>
      <c r="QRQ37" s="953"/>
      <c r="QRR37" s="953"/>
      <c r="QRS37" s="953"/>
      <c r="QRT37" s="953"/>
      <c r="QRU37" s="953"/>
      <c r="QRV37" s="953"/>
      <c r="QRW37" s="953"/>
      <c r="QRX37" s="953"/>
      <c r="QRY37" s="953"/>
      <c r="QRZ37" s="953"/>
      <c r="QSA37" s="953"/>
      <c r="QSB37" s="953"/>
      <c r="QSC37" s="953"/>
      <c r="QSD37" s="953"/>
      <c r="QSE37" s="953"/>
      <c r="QSF37" s="953"/>
      <c r="QSG37" s="953"/>
      <c r="QSH37" s="953"/>
      <c r="QSI37" s="953"/>
      <c r="QSJ37" s="953"/>
      <c r="QSK37" s="953"/>
      <c r="QSL37" s="953"/>
      <c r="QSM37" s="953"/>
      <c r="QSN37" s="953"/>
      <c r="QSO37" s="953"/>
      <c r="QSP37" s="953"/>
      <c r="QSQ37" s="953"/>
      <c r="QSR37" s="953"/>
      <c r="QSS37" s="953"/>
      <c r="QST37" s="953"/>
      <c r="QSU37" s="953"/>
      <c r="QSV37" s="953"/>
      <c r="QSW37" s="953"/>
      <c r="QSX37" s="953"/>
      <c r="QSY37" s="953"/>
      <c r="QSZ37" s="953"/>
      <c r="QTA37" s="953"/>
      <c r="QTB37" s="953"/>
      <c r="QTC37" s="953"/>
      <c r="QTD37" s="953"/>
      <c r="QTE37" s="953"/>
      <c r="QTF37" s="953"/>
      <c r="QTG37" s="953"/>
      <c r="QTH37" s="953"/>
      <c r="QTI37" s="953"/>
      <c r="QTJ37" s="953"/>
      <c r="QTK37" s="953"/>
      <c r="QTL37" s="953"/>
      <c r="QTM37" s="953"/>
      <c r="QTN37" s="953"/>
      <c r="QTO37" s="953"/>
      <c r="QTP37" s="953"/>
      <c r="QTQ37" s="953"/>
      <c r="QTR37" s="953"/>
      <c r="QTS37" s="953"/>
      <c r="QTT37" s="953"/>
      <c r="QTU37" s="953"/>
      <c r="QTV37" s="953"/>
      <c r="QTW37" s="953"/>
      <c r="QTX37" s="953"/>
      <c r="QTY37" s="953"/>
      <c r="QTZ37" s="953"/>
      <c r="QUA37" s="953"/>
      <c r="QUB37" s="953"/>
      <c r="QUC37" s="953"/>
      <c r="QUD37" s="953"/>
      <c r="QUE37" s="953"/>
      <c r="QUF37" s="953"/>
      <c r="QUG37" s="953"/>
      <c r="QUH37" s="953"/>
      <c r="QUI37" s="953"/>
      <c r="QUJ37" s="953"/>
      <c r="QUK37" s="953"/>
      <c r="QUL37" s="953"/>
      <c r="QUM37" s="953"/>
      <c r="QUN37" s="953"/>
      <c r="QUO37" s="953"/>
      <c r="QUP37" s="953"/>
      <c r="QUQ37" s="953"/>
      <c r="QUR37" s="953"/>
      <c r="QUS37" s="953"/>
      <c r="QUT37" s="953"/>
      <c r="QUU37" s="953"/>
      <c r="QUV37" s="953"/>
      <c r="QUW37" s="953"/>
      <c r="QUX37" s="953"/>
      <c r="QUY37" s="953"/>
      <c r="QUZ37" s="953"/>
      <c r="QVA37" s="953"/>
      <c r="QVB37" s="953"/>
      <c r="QVC37" s="953"/>
      <c r="QVD37" s="953"/>
      <c r="QVE37" s="953"/>
      <c r="QVF37" s="953"/>
      <c r="QVG37" s="953"/>
      <c r="QVH37" s="953"/>
      <c r="QVI37" s="953"/>
      <c r="QVJ37" s="953"/>
      <c r="QVK37" s="953"/>
      <c r="QVL37" s="953"/>
      <c r="QVM37" s="953"/>
      <c r="QVN37" s="953"/>
      <c r="QVO37" s="953"/>
      <c r="QVP37" s="953"/>
      <c r="QVQ37" s="953"/>
      <c r="QVR37" s="953"/>
      <c r="QVS37" s="953"/>
      <c r="QVT37" s="953"/>
      <c r="QVU37" s="953"/>
      <c r="QVV37" s="953"/>
      <c r="QVW37" s="953"/>
      <c r="QVX37" s="953"/>
      <c r="QVY37" s="953"/>
      <c r="QVZ37" s="953"/>
      <c r="QWA37" s="953"/>
      <c r="QWB37" s="953"/>
      <c r="QWC37" s="953"/>
      <c r="QWD37" s="953"/>
      <c r="QWE37" s="953"/>
      <c r="QWF37" s="953"/>
      <c r="QWG37" s="953"/>
      <c r="QWH37" s="953"/>
      <c r="QWI37" s="953"/>
      <c r="QWJ37" s="953"/>
      <c r="QWK37" s="953"/>
      <c r="QWL37" s="953"/>
      <c r="QWM37" s="953"/>
      <c r="QWN37" s="953"/>
      <c r="QWO37" s="953"/>
      <c r="QWP37" s="953"/>
      <c r="QWQ37" s="953"/>
      <c r="QWR37" s="953"/>
      <c r="QWS37" s="953"/>
      <c r="QWT37" s="953"/>
      <c r="QWU37" s="953"/>
      <c r="QWV37" s="953"/>
      <c r="QWW37" s="953"/>
      <c r="QWX37" s="953"/>
      <c r="QWY37" s="953"/>
      <c r="QWZ37" s="953"/>
      <c r="QXA37" s="953"/>
      <c r="QXB37" s="953"/>
      <c r="QXC37" s="953"/>
      <c r="QXD37" s="953"/>
      <c r="QXE37" s="953"/>
      <c r="QXF37" s="953"/>
      <c r="QXG37" s="953"/>
      <c r="QXH37" s="953"/>
      <c r="QXI37" s="953"/>
      <c r="QXJ37" s="953"/>
      <c r="QXK37" s="953"/>
      <c r="QXL37" s="953"/>
      <c r="QXM37" s="953"/>
      <c r="QXN37" s="953"/>
      <c r="QXO37" s="953"/>
      <c r="QXP37" s="953"/>
      <c r="QXQ37" s="953"/>
      <c r="QXR37" s="953"/>
      <c r="QXS37" s="953"/>
      <c r="QXT37" s="953"/>
      <c r="QXU37" s="953"/>
      <c r="QXV37" s="953"/>
      <c r="QXW37" s="953"/>
      <c r="QXX37" s="953"/>
      <c r="QXY37" s="953"/>
      <c r="QXZ37" s="953"/>
      <c r="QYA37" s="953"/>
      <c r="QYB37" s="953"/>
      <c r="QYC37" s="953"/>
      <c r="QYD37" s="953"/>
      <c r="QYE37" s="953"/>
      <c r="QYF37" s="953"/>
      <c r="QYG37" s="953"/>
      <c r="QYH37" s="953"/>
      <c r="QYI37" s="953"/>
      <c r="QYJ37" s="953"/>
      <c r="QYK37" s="953"/>
      <c r="QYL37" s="953"/>
      <c r="QYM37" s="953"/>
      <c r="QYN37" s="953"/>
      <c r="QYO37" s="953"/>
      <c r="QYP37" s="953"/>
      <c r="QYQ37" s="953"/>
      <c r="QYR37" s="953"/>
      <c r="QYS37" s="953"/>
      <c r="QYT37" s="953"/>
      <c r="QYU37" s="953"/>
      <c r="QYV37" s="953"/>
      <c r="QYW37" s="953"/>
      <c r="QYX37" s="953"/>
      <c r="QYY37" s="953"/>
      <c r="QYZ37" s="953"/>
      <c r="QZA37" s="953"/>
      <c r="QZB37" s="953"/>
      <c r="QZC37" s="953"/>
      <c r="QZD37" s="953"/>
      <c r="QZE37" s="953"/>
      <c r="QZF37" s="953"/>
      <c r="QZG37" s="953"/>
      <c r="QZH37" s="953"/>
      <c r="QZI37" s="953"/>
      <c r="QZJ37" s="953"/>
      <c r="QZK37" s="953"/>
      <c r="QZL37" s="953"/>
      <c r="QZM37" s="953"/>
      <c r="QZN37" s="953"/>
      <c r="QZO37" s="953"/>
      <c r="QZP37" s="953"/>
      <c r="QZQ37" s="953"/>
      <c r="QZR37" s="953"/>
      <c r="QZS37" s="953"/>
      <c r="QZT37" s="953"/>
      <c r="QZU37" s="953"/>
      <c r="QZV37" s="953"/>
      <c r="QZW37" s="953"/>
      <c r="QZX37" s="953"/>
      <c r="QZY37" s="953"/>
      <c r="QZZ37" s="953"/>
      <c r="RAA37" s="953"/>
      <c r="RAB37" s="953"/>
      <c r="RAC37" s="953"/>
      <c r="RAD37" s="953"/>
      <c r="RAE37" s="953"/>
      <c r="RAF37" s="953"/>
      <c r="RAG37" s="953"/>
      <c r="RAH37" s="953"/>
      <c r="RAI37" s="953"/>
      <c r="RAJ37" s="953"/>
      <c r="RAK37" s="953"/>
      <c r="RAL37" s="953"/>
      <c r="RAM37" s="953"/>
      <c r="RAN37" s="953"/>
      <c r="RAO37" s="953"/>
      <c r="RAP37" s="953"/>
      <c r="RAQ37" s="953"/>
      <c r="RAR37" s="953"/>
      <c r="RAS37" s="953"/>
      <c r="RAT37" s="953"/>
      <c r="RAU37" s="953"/>
      <c r="RAV37" s="953"/>
      <c r="RAW37" s="953"/>
      <c r="RAX37" s="953"/>
      <c r="RAY37" s="953"/>
      <c r="RAZ37" s="953"/>
      <c r="RBA37" s="953"/>
      <c r="RBB37" s="953"/>
      <c r="RBC37" s="953"/>
      <c r="RBD37" s="953"/>
      <c r="RBE37" s="953"/>
      <c r="RBF37" s="953"/>
      <c r="RBG37" s="953"/>
      <c r="RBH37" s="953"/>
      <c r="RBI37" s="953"/>
      <c r="RBJ37" s="953"/>
      <c r="RBK37" s="953"/>
      <c r="RBL37" s="953"/>
      <c r="RBM37" s="953"/>
      <c r="RBN37" s="953"/>
      <c r="RBO37" s="953"/>
      <c r="RBP37" s="953"/>
      <c r="RBQ37" s="953"/>
      <c r="RBR37" s="953"/>
      <c r="RBS37" s="953"/>
      <c r="RBT37" s="953"/>
      <c r="RBU37" s="953"/>
      <c r="RBV37" s="953"/>
      <c r="RBW37" s="953"/>
      <c r="RBX37" s="953"/>
      <c r="RBY37" s="953"/>
      <c r="RBZ37" s="953"/>
      <c r="RCA37" s="953"/>
      <c r="RCB37" s="953"/>
      <c r="RCC37" s="953"/>
      <c r="RCD37" s="953"/>
      <c r="RCE37" s="953"/>
      <c r="RCF37" s="953"/>
      <c r="RCG37" s="953"/>
      <c r="RCH37" s="953"/>
      <c r="RCI37" s="953"/>
      <c r="RCJ37" s="953"/>
      <c r="RCK37" s="953"/>
      <c r="RCL37" s="953"/>
      <c r="RCM37" s="953"/>
      <c r="RCN37" s="953"/>
      <c r="RCO37" s="953"/>
      <c r="RCP37" s="953"/>
      <c r="RCQ37" s="953"/>
      <c r="RCR37" s="953"/>
      <c r="RCS37" s="953"/>
      <c r="RCT37" s="953"/>
      <c r="RCU37" s="953"/>
      <c r="RCV37" s="953"/>
      <c r="RCW37" s="953"/>
      <c r="RCX37" s="953"/>
      <c r="RCY37" s="953"/>
      <c r="RCZ37" s="953"/>
      <c r="RDA37" s="953"/>
      <c r="RDB37" s="953"/>
      <c r="RDC37" s="953"/>
      <c r="RDD37" s="953"/>
      <c r="RDE37" s="953"/>
      <c r="RDF37" s="953"/>
      <c r="RDG37" s="953"/>
      <c r="RDH37" s="953"/>
      <c r="RDI37" s="953"/>
      <c r="RDJ37" s="953"/>
      <c r="RDK37" s="953"/>
      <c r="RDL37" s="953"/>
      <c r="RDM37" s="953"/>
      <c r="RDN37" s="953"/>
      <c r="RDO37" s="953"/>
      <c r="RDP37" s="953"/>
      <c r="RDQ37" s="953"/>
      <c r="RDR37" s="953"/>
      <c r="RDS37" s="953"/>
      <c r="RDT37" s="953"/>
      <c r="RDU37" s="953"/>
      <c r="RDV37" s="953"/>
      <c r="RDW37" s="953"/>
      <c r="RDX37" s="953"/>
      <c r="RDY37" s="953"/>
      <c r="RDZ37" s="953"/>
      <c r="REA37" s="953"/>
      <c r="REB37" s="953"/>
      <c r="REC37" s="953"/>
      <c r="RED37" s="953"/>
      <c r="REE37" s="953"/>
      <c r="REF37" s="953"/>
      <c r="REG37" s="953"/>
      <c r="REH37" s="953"/>
      <c r="REI37" s="953"/>
      <c r="REJ37" s="953"/>
      <c r="REK37" s="953"/>
      <c r="REL37" s="953"/>
      <c r="REM37" s="953"/>
      <c r="REN37" s="953"/>
      <c r="REO37" s="953"/>
      <c r="REP37" s="953"/>
      <c r="REQ37" s="953"/>
      <c r="RER37" s="953"/>
      <c r="RES37" s="953"/>
      <c r="RET37" s="953"/>
      <c r="REU37" s="953"/>
      <c r="REV37" s="953"/>
      <c r="REW37" s="953"/>
      <c r="REX37" s="953"/>
      <c r="REY37" s="953"/>
      <c r="REZ37" s="953"/>
      <c r="RFA37" s="953"/>
      <c r="RFB37" s="953"/>
      <c r="RFC37" s="953"/>
      <c r="RFD37" s="953"/>
      <c r="RFE37" s="953"/>
      <c r="RFF37" s="953"/>
      <c r="RFG37" s="953"/>
      <c r="RFH37" s="953"/>
      <c r="RFI37" s="953"/>
      <c r="RFJ37" s="953"/>
      <c r="RFK37" s="953"/>
      <c r="RFL37" s="953"/>
      <c r="RFM37" s="953"/>
      <c r="RFN37" s="953"/>
      <c r="RFO37" s="953"/>
      <c r="RFP37" s="953"/>
      <c r="RFQ37" s="953"/>
      <c r="RFR37" s="953"/>
      <c r="RFS37" s="953"/>
      <c r="RFT37" s="953"/>
      <c r="RFU37" s="953"/>
      <c r="RFV37" s="953"/>
      <c r="RFW37" s="953"/>
      <c r="RFX37" s="953"/>
      <c r="RFY37" s="953"/>
      <c r="RFZ37" s="953"/>
      <c r="RGA37" s="953"/>
      <c r="RGB37" s="953"/>
      <c r="RGC37" s="953"/>
      <c r="RGD37" s="953"/>
      <c r="RGE37" s="953"/>
      <c r="RGF37" s="953"/>
      <c r="RGG37" s="953"/>
      <c r="RGH37" s="953"/>
      <c r="RGI37" s="953"/>
      <c r="RGJ37" s="953"/>
      <c r="RGK37" s="953"/>
      <c r="RGL37" s="953"/>
      <c r="RGM37" s="953"/>
      <c r="RGN37" s="953"/>
      <c r="RGO37" s="953"/>
      <c r="RGP37" s="953"/>
      <c r="RGQ37" s="953"/>
      <c r="RGR37" s="953"/>
      <c r="RGS37" s="953"/>
      <c r="RGT37" s="953"/>
      <c r="RGU37" s="953"/>
      <c r="RGV37" s="953"/>
      <c r="RGW37" s="953"/>
      <c r="RGX37" s="953"/>
      <c r="RGY37" s="953"/>
      <c r="RGZ37" s="953"/>
      <c r="RHA37" s="953"/>
      <c r="RHB37" s="953"/>
      <c r="RHC37" s="953"/>
      <c r="RHD37" s="953"/>
      <c r="RHE37" s="953"/>
      <c r="RHF37" s="953"/>
      <c r="RHG37" s="953"/>
      <c r="RHH37" s="953"/>
      <c r="RHI37" s="953"/>
      <c r="RHJ37" s="953"/>
      <c r="RHK37" s="953"/>
      <c r="RHL37" s="953"/>
      <c r="RHM37" s="953"/>
      <c r="RHN37" s="953"/>
      <c r="RHO37" s="953"/>
      <c r="RHP37" s="953"/>
      <c r="RHQ37" s="953"/>
      <c r="RHR37" s="953"/>
      <c r="RHS37" s="953"/>
      <c r="RHT37" s="953"/>
      <c r="RHU37" s="953"/>
      <c r="RHV37" s="953"/>
      <c r="RHW37" s="953"/>
      <c r="RHX37" s="953"/>
      <c r="RHY37" s="953"/>
      <c r="RHZ37" s="953"/>
      <c r="RIA37" s="953"/>
      <c r="RIB37" s="953"/>
      <c r="RIC37" s="953"/>
      <c r="RID37" s="953"/>
      <c r="RIE37" s="953"/>
      <c r="RIF37" s="953"/>
      <c r="RIG37" s="953"/>
      <c r="RIH37" s="953"/>
      <c r="RII37" s="953"/>
      <c r="RIJ37" s="953"/>
      <c r="RIK37" s="953"/>
      <c r="RIL37" s="953"/>
      <c r="RIM37" s="953"/>
      <c r="RIN37" s="953"/>
      <c r="RIO37" s="953"/>
      <c r="RIP37" s="953"/>
      <c r="RIQ37" s="953"/>
      <c r="RIR37" s="953"/>
      <c r="RIS37" s="953"/>
      <c r="RIT37" s="953"/>
      <c r="RIU37" s="953"/>
      <c r="RIV37" s="953"/>
      <c r="RIW37" s="953"/>
      <c r="RIX37" s="953"/>
      <c r="RIY37" s="953"/>
      <c r="RIZ37" s="953"/>
      <c r="RJA37" s="953"/>
      <c r="RJB37" s="953"/>
      <c r="RJC37" s="953"/>
      <c r="RJD37" s="953"/>
      <c r="RJE37" s="953"/>
      <c r="RJF37" s="953"/>
      <c r="RJG37" s="953"/>
      <c r="RJH37" s="953"/>
      <c r="RJI37" s="953"/>
      <c r="RJJ37" s="953"/>
      <c r="RJK37" s="953"/>
      <c r="RJL37" s="953"/>
      <c r="RJM37" s="953"/>
      <c r="RJN37" s="953"/>
      <c r="RJO37" s="953"/>
      <c r="RJP37" s="953"/>
      <c r="RJQ37" s="953"/>
      <c r="RJR37" s="953"/>
      <c r="RJS37" s="953"/>
      <c r="RJT37" s="953"/>
      <c r="RJU37" s="953"/>
      <c r="RJV37" s="953"/>
      <c r="RJW37" s="953"/>
      <c r="RJX37" s="953"/>
      <c r="RJY37" s="953"/>
      <c r="RJZ37" s="953"/>
      <c r="RKA37" s="953"/>
      <c r="RKB37" s="953"/>
      <c r="RKC37" s="953"/>
      <c r="RKD37" s="953"/>
      <c r="RKE37" s="953"/>
      <c r="RKF37" s="953"/>
      <c r="RKG37" s="953"/>
      <c r="RKH37" s="953"/>
      <c r="RKI37" s="953"/>
      <c r="RKJ37" s="953"/>
      <c r="RKK37" s="953"/>
      <c r="RKL37" s="953"/>
      <c r="RKM37" s="953"/>
      <c r="RKN37" s="953"/>
      <c r="RKO37" s="953"/>
      <c r="RKP37" s="953"/>
      <c r="RKQ37" s="953"/>
      <c r="RKR37" s="953"/>
      <c r="RKS37" s="953"/>
      <c r="RKT37" s="953"/>
      <c r="RKU37" s="953"/>
      <c r="RKV37" s="953"/>
      <c r="RKW37" s="953"/>
      <c r="RKX37" s="953"/>
      <c r="RKY37" s="953"/>
      <c r="RKZ37" s="953"/>
      <c r="RLA37" s="953"/>
      <c r="RLB37" s="953"/>
      <c r="RLC37" s="953"/>
      <c r="RLD37" s="953"/>
      <c r="RLE37" s="953"/>
      <c r="RLF37" s="953"/>
      <c r="RLG37" s="953"/>
      <c r="RLH37" s="953"/>
      <c r="RLI37" s="953"/>
      <c r="RLJ37" s="953"/>
      <c r="RLK37" s="953"/>
      <c r="RLL37" s="953"/>
      <c r="RLM37" s="953"/>
      <c r="RLN37" s="953"/>
      <c r="RLO37" s="953"/>
      <c r="RLP37" s="953"/>
      <c r="RLQ37" s="953"/>
      <c r="RLR37" s="953"/>
      <c r="RLS37" s="953"/>
      <c r="RLT37" s="953"/>
      <c r="RLU37" s="953"/>
      <c r="RLV37" s="953"/>
      <c r="RLW37" s="953"/>
      <c r="RLX37" s="953"/>
      <c r="RLY37" s="953"/>
      <c r="RLZ37" s="953"/>
      <c r="RMA37" s="953"/>
      <c r="RMB37" s="953"/>
      <c r="RMC37" s="953"/>
      <c r="RMD37" s="953"/>
      <c r="RME37" s="953"/>
      <c r="RMF37" s="953"/>
      <c r="RMG37" s="953"/>
      <c r="RMH37" s="953"/>
      <c r="RMI37" s="953"/>
      <c r="RMJ37" s="953"/>
      <c r="RMK37" s="953"/>
      <c r="RML37" s="953"/>
      <c r="RMM37" s="953"/>
      <c r="RMN37" s="953"/>
      <c r="RMO37" s="953"/>
      <c r="RMP37" s="953"/>
      <c r="RMQ37" s="953"/>
      <c r="RMR37" s="953"/>
      <c r="RMS37" s="953"/>
      <c r="RMT37" s="953"/>
      <c r="RMU37" s="953"/>
      <c r="RMV37" s="953"/>
      <c r="RMW37" s="953"/>
      <c r="RMX37" s="953"/>
      <c r="RMY37" s="953"/>
      <c r="RMZ37" s="953"/>
      <c r="RNA37" s="953"/>
      <c r="RNB37" s="953"/>
      <c r="RNC37" s="953"/>
      <c r="RND37" s="953"/>
      <c r="RNE37" s="953"/>
      <c r="RNF37" s="953"/>
      <c r="RNG37" s="953"/>
      <c r="RNH37" s="953"/>
      <c r="RNI37" s="953"/>
      <c r="RNJ37" s="953"/>
      <c r="RNK37" s="953"/>
      <c r="RNL37" s="953"/>
      <c r="RNM37" s="953"/>
      <c r="RNN37" s="953"/>
      <c r="RNO37" s="953"/>
      <c r="RNP37" s="953"/>
      <c r="RNQ37" s="953"/>
      <c r="RNR37" s="953"/>
      <c r="RNS37" s="953"/>
      <c r="RNT37" s="953"/>
      <c r="RNU37" s="953"/>
      <c r="RNV37" s="953"/>
      <c r="RNW37" s="953"/>
      <c r="RNX37" s="953"/>
      <c r="RNY37" s="953"/>
      <c r="RNZ37" s="953"/>
      <c r="ROA37" s="953"/>
      <c r="ROB37" s="953"/>
      <c r="ROC37" s="953"/>
      <c r="ROD37" s="953"/>
      <c r="ROE37" s="953"/>
      <c r="ROF37" s="953"/>
      <c r="ROG37" s="953"/>
      <c r="ROH37" s="953"/>
      <c r="ROI37" s="953"/>
      <c r="ROJ37" s="953"/>
      <c r="ROK37" s="953"/>
      <c r="ROL37" s="953"/>
      <c r="ROM37" s="953"/>
      <c r="RON37" s="953"/>
      <c r="ROO37" s="953"/>
      <c r="ROP37" s="953"/>
      <c r="ROQ37" s="953"/>
      <c r="ROR37" s="953"/>
      <c r="ROS37" s="953"/>
      <c r="ROT37" s="953"/>
      <c r="ROU37" s="953"/>
      <c r="ROV37" s="953"/>
      <c r="ROW37" s="953"/>
      <c r="ROX37" s="953"/>
      <c r="ROY37" s="953"/>
      <c r="ROZ37" s="953"/>
      <c r="RPA37" s="953"/>
      <c r="RPB37" s="953"/>
      <c r="RPC37" s="953"/>
      <c r="RPD37" s="953"/>
      <c r="RPE37" s="953"/>
      <c r="RPF37" s="953"/>
      <c r="RPG37" s="953"/>
      <c r="RPH37" s="953"/>
      <c r="RPI37" s="953"/>
      <c r="RPJ37" s="953"/>
      <c r="RPK37" s="953"/>
      <c r="RPL37" s="953"/>
      <c r="RPM37" s="953"/>
      <c r="RPN37" s="953"/>
      <c r="RPO37" s="953"/>
      <c r="RPP37" s="953"/>
      <c r="RPQ37" s="953"/>
      <c r="RPR37" s="953"/>
      <c r="RPS37" s="953"/>
      <c r="RPT37" s="953"/>
      <c r="RPU37" s="953"/>
      <c r="RPV37" s="953"/>
      <c r="RPW37" s="953"/>
      <c r="RPX37" s="953"/>
      <c r="RPY37" s="953"/>
      <c r="RPZ37" s="953"/>
      <c r="RQA37" s="953"/>
      <c r="RQB37" s="953"/>
      <c r="RQC37" s="953"/>
      <c r="RQD37" s="953"/>
      <c r="RQE37" s="953"/>
      <c r="RQF37" s="953"/>
      <c r="RQG37" s="953"/>
      <c r="RQH37" s="953"/>
      <c r="RQI37" s="953"/>
      <c r="RQJ37" s="953"/>
      <c r="RQK37" s="953"/>
      <c r="RQL37" s="953"/>
      <c r="RQM37" s="953"/>
      <c r="RQN37" s="953"/>
      <c r="RQO37" s="953"/>
      <c r="RQP37" s="953"/>
      <c r="RQQ37" s="953"/>
      <c r="RQR37" s="953"/>
      <c r="RQS37" s="953"/>
      <c r="RQT37" s="953"/>
      <c r="RQU37" s="953"/>
      <c r="RQV37" s="953"/>
      <c r="RQW37" s="953"/>
      <c r="RQX37" s="953"/>
      <c r="RQY37" s="953"/>
      <c r="RQZ37" s="953"/>
      <c r="RRA37" s="953"/>
      <c r="RRB37" s="953"/>
      <c r="RRC37" s="953"/>
      <c r="RRD37" s="953"/>
      <c r="RRE37" s="953"/>
      <c r="RRF37" s="953"/>
      <c r="RRG37" s="953"/>
      <c r="RRH37" s="953"/>
      <c r="RRI37" s="953"/>
      <c r="RRJ37" s="953"/>
      <c r="RRK37" s="953"/>
      <c r="RRL37" s="953"/>
      <c r="RRM37" s="953"/>
      <c r="RRN37" s="953"/>
      <c r="RRO37" s="953"/>
      <c r="RRP37" s="953"/>
      <c r="RRQ37" s="953"/>
      <c r="RRR37" s="953"/>
      <c r="RRS37" s="953"/>
      <c r="RRT37" s="953"/>
      <c r="RRU37" s="953"/>
      <c r="RRV37" s="953"/>
      <c r="RRW37" s="953"/>
      <c r="RRX37" s="953"/>
      <c r="RRY37" s="953"/>
      <c r="RRZ37" s="953"/>
      <c r="RSA37" s="953"/>
      <c r="RSB37" s="953"/>
      <c r="RSC37" s="953"/>
      <c r="RSD37" s="953"/>
      <c r="RSE37" s="953"/>
      <c r="RSF37" s="953"/>
      <c r="RSG37" s="953"/>
      <c r="RSH37" s="953"/>
      <c r="RSI37" s="953"/>
      <c r="RSJ37" s="953"/>
      <c r="RSK37" s="953"/>
      <c r="RSL37" s="953"/>
      <c r="RSM37" s="953"/>
      <c r="RSN37" s="953"/>
      <c r="RSO37" s="953"/>
      <c r="RSP37" s="953"/>
      <c r="RSQ37" s="953"/>
      <c r="RSR37" s="953"/>
      <c r="RSS37" s="953"/>
      <c r="RST37" s="953"/>
      <c r="RSU37" s="953"/>
      <c r="RSV37" s="953"/>
      <c r="RSW37" s="953"/>
      <c r="RSX37" s="953"/>
      <c r="RSY37" s="953"/>
      <c r="RSZ37" s="953"/>
      <c r="RTA37" s="953"/>
      <c r="RTB37" s="953"/>
      <c r="RTC37" s="953"/>
      <c r="RTD37" s="953"/>
      <c r="RTE37" s="953"/>
      <c r="RTF37" s="953"/>
      <c r="RTG37" s="953"/>
      <c r="RTH37" s="953"/>
      <c r="RTI37" s="953"/>
      <c r="RTJ37" s="953"/>
      <c r="RTK37" s="953"/>
      <c r="RTL37" s="953"/>
      <c r="RTM37" s="953"/>
      <c r="RTN37" s="953"/>
      <c r="RTO37" s="953"/>
      <c r="RTP37" s="953"/>
      <c r="RTQ37" s="953"/>
      <c r="RTR37" s="953"/>
      <c r="RTS37" s="953"/>
      <c r="RTT37" s="953"/>
      <c r="RTU37" s="953"/>
      <c r="RTV37" s="953"/>
      <c r="RTW37" s="953"/>
      <c r="RTX37" s="953"/>
      <c r="RTY37" s="953"/>
      <c r="RTZ37" s="953"/>
      <c r="RUA37" s="953"/>
      <c r="RUB37" s="953"/>
      <c r="RUC37" s="953"/>
      <c r="RUD37" s="953"/>
      <c r="RUE37" s="953"/>
      <c r="RUF37" s="953"/>
      <c r="RUG37" s="953"/>
      <c r="RUH37" s="953"/>
      <c r="RUI37" s="953"/>
      <c r="RUJ37" s="953"/>
      <c r="RUK37" s="953"/>
      <c r="RUL37" s="953"/>
      <c r="RUM37" s="953"/>
      <c r="RUN37" s="953"/>
      <c r="RUO37" s="953"/>
      <c r="RUP37" s="953"/>
      <c r="RUQ37" s="953"/>
      <c r="RUR37" s="953"/>
      <c r="RUS37" s="953"/>
      <c r="RUT37" s="953"/>
      <c r="RUU37" s="953"/>
      <c r="RUV37" s="953"/>
      <c r="RUW37" s="953"/>
      <c r="RUX37" s="953"/>
      <c r="RUY37" s="953"/>
      <c r="RUZ37" s="953"/>
      <c r="RVA37" s="953"/>
      <c r="RVB37" s="953"/>
      <c r="RVC37" s="953"/>
      <c r="RVD37" s="953"/>
      <c r="RVE37" s="953"/>
      <c r="RVF37" s="953"/>
      <c r="RVG37" s="953"/>
      <c r="RVH37" s="953"/>
      <c r="RVI37" s="953"/>
      <c r="RVJ37" s="953"/>
      <c r="RVK37" s="953"/>
      <c r="RVL37" s="953"/>
      <c r="RVM37" s="953"/>
      <c r="RVN37" s="953"/>
      <c r="RVO37" s="953"/>
      <c r="RVP37" s="953"/>
      <c r="RVQ37" s="953"/>
      <c r="RVR37" s="953"/>
      <c r="RVS37" s="953"/>
      <c r="RVT37" s="953"/>
      <c r="RVU37" s="953"/>
      <c r="RVV37" s="953"/>
      <c r="RVW37" s="953"/>
      <c r="RVX37" s="953"/>
      <c r="RVY37" s="953"/>
      <c r="RVZ37" s="953"/>
      <c r="RWA37" s="953"/>
      <c r="RWB37" s="953"/>
      <c r="RWC37" s="953"/>
      <c r="RWD37" s="953"/>
      <c r="RWE37" s="953"/>
      <c r="RWF37" s="953"/>
      <c r="RWG37" s="953"/>
      <c r="RWH37" s="953"/>
      <c r="RWI37" s="953"/>
      <c r="RWJ37" s="953"/>
      <c r="RWK37" s="953"/>
      <c r="RWL37" s="953"/>
      <c r="RWM37" s="953"/>
      <c r="RWN37" s="953"/>
      <c r="RWO37" s="953"/>
      <c r="RWP37" s="953"/>
      <c r="RWQ37" s="953"/>
      <c r="RWR37" s="953"/>
      <c r="RWS37" s="953"/>
      <c r="RWT37" s="953"/>
      <c r="RWU37" s="953"/>
      <c r="RWV37" s="953"/>
      <c r="RWW37" s="953"/>
      <c r="RWX37" s="953"/>
      <c r="RWY37" s="953"/>
      <c r="RWZ37" s="953"/>
      <c r="RXA37" s="953"/>
      <c r="RXB37" s="953"/>
      <c r="RXC37" s="953"/>
      <c r="RXD37" s="953"/>
      <c r="RXE37" s="953"/>
      <c r="RXF37" s="953"/>
      <c r="RXG37" s="953"/>
      <c r="RXH37" s="953"/>
      <c r="RXI37" s="953"/>
      <c r="RXJ37" s="953"/>
      <c r="RXK37" s="953"/>
      <c r="RXL37" s="953"/>
      <c r="RXM37" s="953"/>
      <c r="RXN37" s="953"/>
      <c r="RXO37" s="953"/>
      <c r="RXP37" s="953"/>
      <c r="RXQ37" s="953"/>
      <c r="RXR37" s="953"/>
      <c r="RXS37" s="953"/>
      <c r="RXT37" s="953"/>
      <c r="RXU37" s="953"/>
      <c r="RXV37" s="953"/>
      <c r="RXW37" s="953"/>
      <c r="RXX37" s="953"/>
      <c r="RXY37" s="953"/>
      <c r="RXZ37" s="953"/>
      <c r="RYA37" s="953"/>
      <c r="RYB37" s="953"/>
      <c r="RYC37" s="953"/>
      <c r="RYD37" s="953"/>
      <c r="RYE37" s="953"/>
      <c r="RYF37" s="953"/>
      <c r="RYG37" s="953"/>
      <c r="RYH37" s="953"/>
      <c r="RYI37" s="953"/>
      <c r="RYJ37" s="953"/>
      <c r="RYK37" s="953"/>
      <c r="RYL37" s="953"/>
      <c r="RYM37" s="953"/>
      <c r="RYN37" s="953"/>
      <c r="RYO37" s="953"/>
      <c r="RYP37" s="953"/>
      <c r="RYQ37" s="953"/>
      <c r="RYR37" s="953"/>
      <c r="RYS37" s="953"/>
      <c r="RYT37" s="953"/>
      <c r="RYU37" s="953"/>
      <c r="RYV37" s="953"/>
      <c r="RYW37" s="953"/>
      <c r="RYX37" s="953"/>
      <c r="RYY37" s="953"/>
      <c r="RYZ37" s="953"/>
      <c r="RZA37" s="953"/>
      <c r="RZB37" s="953"/>
      <c r="RZC37" s="953"/>
      <c r="RZD37" s="953"/>
      <c r="RZE37" s="953"/>
      <c r="RZF37" s="953"/>
      <c r="RZG37" s="953"/>
      <c r="RZH37" s="953"/>
      <c r="RZI37" s="953"/>
      <c r="RZJ37" s="953"/>
      <c r="RZK37" s="953"/>
      <c r="RZL37" s="953"/>
      <c r="RZM37" s="953"/>
      <c r="RZN37" s="953"/>
      <c r="RZO37" s="953"/>
      <c r="RZP37" s="953"/>
      <c r="RZQ37" s="953"/>
      <c r="RZR37" s="953"/>
      <c r="RZS37" s="953"/>
      <c r="RZT37" s="953"/>
      <c r="RZU37" s="953"/>
      <c r="RZV37" s="953"/>
      <c r="RZW37" s="953"/>
      <c r="RZX37" s="953"/>
      <c r="RZY37" s="953"/>
      <c r="RZZ37" s="953"/>
      <c r="SAA37" s="953"/>
      <c r="SAB37" s="953"/>
      <c r="SAC37" s="953"/>
      <c r="SAD37" s="953"/>
      <c r="SAE37" s="953"/>
      <c r="SAF37" s="953"/>
      <c r="SAG37" s="953"/>
      <c r="SAH37" s="953"/>
      <c r="SAI37" s="953"/>
      <c r="SAJ37" s="953"/>
      <c r="SAK37" s="953"/>
      <c r="SAL37" s="953"/>
      <c r="SAM37" s="953"/>
      <c r="SAN37" s="953"/>
      <c r="SAO37" s="953"/>
      <c r="SAP37" s="953"/>
      <c r="SAQ37" s="953"/>
      <c r="SAR37" s="953"/>
      <c r="SAS37" s="953"/>
      <c r="SAT37" s="953"/>
      <c r="SAU37" s="953"/>
      <c r="SAV37" s="953"/>
      <c r="SAW37" s="953"/>
      <c r="SAX37" s="953"/>
      <c r="SAY37" s="953"/>
      <c r="SAZ37" s="953"/>
      <c r="SBA37" s="953"/>
      <c r="SBB37" s="953"/>
      <c r="SBC37" s="953"/>
      <c r="SBD37" s="953"/>
      <c r="SBE37" s="953"/>
      <c r="SBF37" s="953"/>
      <c r="SBG37" s="953"/>
      <c r="SBH37" s="953"/>
      <c r="SBI37" s="953"/>
      <c r="SBJ37" s="953"/>
      <c r="SBK37" s="953"/>
      <c r="SBL37" s="953"/>
      <c r="SBM37" s="953"/>
      <c r="SBN37" s="953"/>
      <c r="SBO37" s="953"/>
      <c r="SBP37" s="953"/>
      <c r="SBQ37" s="953"/>
      <c r="SBR37" s="953"/>
      <c r="SBS37" s="953"/>
      <c r="SBT37" s="953"/>
      <c r="SBU37" s="953"/>
      <c r="SBV37" s="953"/>
      <c r="SBW37" s="953"/>
      <c r="SBX37" s="953"/>
      <c r="SBY37" s="953"/>
      <c r="SBZ37" s="953"/>
      <c r="SCA37" s="953"/>
      <c r="SCB37" s="953"/>
      <c r="SCC37" s="953"/>
      <c r="SCD37" s="953"/>
      <c r="SCE37" s="953"/>
      <c r="SCF37" s="953"/>
      <c r="SCG37" s="953"/>
      <c r="SCH37" s="953"/>
      <c r="SCI37" s="953"/>
      <c r="SCJ37" s="953"/>
      <c r="SCK37" s="953"/>
      <c r="SCL37" s="953"/>
      <c r="SCM37" s="953"/>
      <c r="SCN37" s="953"/>
      <c r="SCO37" s="953"/>
      <c r="SCP37" s="953"/>
      <c r="SCQ37" s="953"/>
      <c r="SCR37" s="953"/>
      <c r="SCS37" s="953"/>
      <c r="SCT37" s="953"/>
      <c r="SCU37" s="953"/>
      <c r="SCV37" s="953"/>
      <c r="SCW37" s="953"/>
      <c r="SCX37" s="953"/>
      <c r="SCY37" s="953"/>
      <c r="SCZ37" s="953"/>
      <c r="SDA37" s="953"/>
      <c r="SDB37" s="953"/>
      <c r="SDC37" s="953"/>
      <c r="SDD37" s="953"/>
      <c r="SDE37" s="953"/>
      <c r="SDF37" s="953"/>
      <c r="SDG37" s="953"/>
      <c r="SDH37" s="953"/>
      <c r="SDI37" s="953"/>
      <c r="SDJ37" s="953"/>
      <c r="SDK37" s="953"/>
      <c r="SDL37" s="953"/>
      <c r="SDM37" s="953"/>
      <c r="SDN37" s="953"/>
      <c r="SDO37" s="953"/>
      <c r="SDP37" s="953"/>
      <c r="SDQ37" s="953"/>
      <c r="SDR37" s="953"/>
      <c r="SDS37" s="953"/>
      <c r="SDT37" s="953"/>
      <c r="SDU37" s="953"/>
      <c r="SDV37" s="953"/>
      <c r="SDW37" s="953"/>
      <c r="SDX37" s="953"/>
      <c r="SDY37" s="953"/>
      <c r="SDZ37" s="953"/>
      <c r="SEA37" s="953"/>
      <c r="SEB37" s="953"/>
      <c r="SEC37" s="953"/>
      <c r="SED37" s="953"/>
      <c r="SEE37" s="953"/>
      <c r="SEF37" s="953"/>
      <c r="SEG37" s="953"/>
      <c r="SEH37" s="953"/>
      <c r="SEI37" s="953"/>
      <c r="SEJ37" s="953"/>
      <c r="SEK37" s="953"/>
      <c r="SEL37" s="953"/>
      <c r="SEM37" s="953"/>
      <c r="SEN37" s="953"/>
      <c r="SEO37" s="953"/>
      <c r="SEP37" s="953"/>
      <c r="SEQ37" s="953"/>
      <c r="SER37" s="953"/>
      <c r="SES37" s="953"/>
      <c r="SET37" s="953"/>
      <c r="SEU37" s="953"/>
      <c r="SEV37" s="953"/>
      <c r="SEW37" s="953"/>
      <c r="SEX37" s="953"/>
      <c r="SEY37" s="953"/>
      <c r="SEZ37" s="953"/>
      <c r="SFA37" s="953"/>
      <c r="SFB37" s="953"/>
      <c r="SFC37" s="953"/>
      <c r="SFD37" s="953"/>
      <c r="SFE37" s="953"/>
      <c r="SFF37" s="953"/>
      <c r="SFG37" s="953"/>
      <c r="SFH37" s="953"/>
      <c r="SFI37" s="953"/>
      <c r="SFJ37" s="953"/>
      <c r="SFK37" s="953"/>
      <c r="SFL37" s="953"/>
      <c r="SFM37" s="953"/>
      <c r="SFN37" s="953"/>
      <c r="SFO37" s="953"/>
      <c r="SFP37" s="953"/>
      <c r="SFQ37" s="953"/>
      <c r="SFR37" s="953"/>
      <c r="SFS37" s="953"/>
      <c r="SFT37" s="953"/>
      <c r="SFU37" s="953"/>
      <c r="SFV37" s="953"/>
      <c r="SFW37" s="953"/>
      <c r="SFX37" s="953"/>
      <c r="SFY37" s="953"/>
      <c r="SFZ37" s="953"/>
      <c r="SGA37" s="953"/>
      <c r="SGB37" s="953"/>
      <c r="SGC37" s="953"/>
      <c r="SGD37" s="953"/>
      <c r="SGE37" s="953"/>
      <c r="SGF37" s="953"/>
      <c r="SGG37" s="953"/>
      <c r="SGH37" s="953"/>
      <c r="SGI37" s="953"/>
      <c r="SGJ37" s="953"/>
      <c r="SGK37" s="953"/>
      <c r="SGL37" s="953"/>
      <c r="SGM37" s="953"/>
      <c r="SGN37" s="953"/>
      <c r="SGO37" s="953"/>
      <c r="SGP37" s="953"/>
      <c r="SGQ37" s="953"/>
      <c r="SGR37" s="953"/>
      <c r="SGS37" s="953"/>
      <c r="SGT37" s="953"/>
      <c r="SGU37" s="953"/>
      <c r="SGV37" s="953"/>
      <c r="SGW37" s="953"/>
      <c r="SGX37" s="953"/>
      <c r="SGY37" s="953"/>
      <c r="SGZ37" s="953"/>
      <c r="SHA37" s="953"/>
      <c r="SHB37" s="953"/>
      <c r="SHC37" s="953"/>
      <c r="SHD37" s="953"/>
      <c r="SHE37" s="953"/>
      <c r="SHF37" s="953"/>
      <c r="SHG37" s="953"/>
      <c r="SHH37" s="953"/>
      <c r="SHI37" s="953"/>
      <c r="SHJ37" s="953"/>
      <c r="SHK37" s="953"/>
      <c r="SHL37" s="953"/>
      <c r="SHM37" s="953"/>
      <c r="SHN37" s="953"/>
      <c r="SHO37" s="953"/>
      <c r="SHP37" s="953"/>
      <c r="SHQ37" s="953"/>
      <c r="SHR37" s="953"/>
      <c r="SHS37" s="953"/>
      <c r="SHT37" s="953"/>
      <c r="SHU37" s="953"/>
      <c r="SHV37" s="953"/>
      <c r="SHW37" s="953"/>
      <c r="SHX37" s="953"/>
      <c r="SHY37" s="953"/>
      <c r="SHZ37" s="953"/>
      <c r="SIA37" s="953"/>
      <c r="SIB37" s="953"/>
      <c r="SIC37" s="953"/>
      <c r="SID37" s="953"/>
      <c r="SIE37" s="953"/>
      <c r="SIF37" s="953"/>
      <c r="SIG37" s="953"/>
      <c r="SIH37" s="953"/>
      <c r="SII37" s="953"/>
      <c r="SIJ37" s="953"/>
      <c r="SIK37" s="953"/>
      <c r="SIL37" s="953"/>
      <c r="SIM37" s="953"/>
      <c r="SIN37" s="953"/>
      <c r="SIO37" s="953"/>
      <c r="SIP37" s="953"/>
      <c r="SIQ37" s="953"/>
      <c r="SIR37" s="953"/>
      <c r="SIS37" s="953"/>
      <c r="SIT37" s="953"/>
      <c r="SIU37" s="953"/>
      <c r="SIV37" s="953"/>
      <c r="SIW37" s="953"/>
      <c r="SIX37" s="953"/>
      <c r="SIY37" s="953"/>
      <c r="SIZ37" s="953"/>
      <c r="SJA37" s="953"/>
      <c r="SJB37" s="953"/>
      <c r="SJC37" s="953"/>
      <c r="SJD37" s="953"/>
      <c r="SJE37" s="953"/>
      <c r="SJF37" s="953"/>
      <c r="SJG37" s="953"/>
      <c r="SJH37" s="953"/>
      <c r="SJI37" s="953"/>
      <c r="SJJ37" s="953"/>
      <c r="SJK37" s="953"/>
      <c r="SJL37" s="953"/>
      <c r="SJM37" s="953"/>
      <c r="SJN37" s="953"/>
      <c r="SJO37" s="953"/>
      <c r="SJP37" s="953"/>
      <c r="SJQ37" s="953"/>
      <c r="SJR37" s="953"/>
      <c r="SJS37" s="953"/>
      <c r="SJT37" s="953"/>
      <c r="SJU37" s="953"/>
      <c r="SJV37" s="953"/>
      <c r="SJW37" s="953"/>
      <c r="SJX37" s="953"/>
      <c r="SJY37" s="953"/>
      <c r="SJZ37" s="953"/>
      <c r="SKA37" s="953"/>
      <c r="SKB37" s="953"/>
      <c r="SKC37" s="953"/>
      <c r="SKD37" s="953"/>
      <c r="SKE37" s="953"/>
      <c r="SKF37" s="953"/>
      <c r="SKG37" s="953"/>
      <c r="SKH37" s="953"/>
      <c r="SKI37" s="953"/>
      <c r="SKJ37" s="953"/>
      <c r="SKK37" s="953"/>
      <c r="SKL37" s="953"/>
      <c r="SKM37" s="953"/>
      <c r="SKN37" s="953"/>
      <c r="SKO37" s="953"/>
      <c r="SKP37" s="953"/>
      <c r="SKQ37" s="953"/>
      <c r="SKR37" s="953"/>
      <c r="SKS37" s="953"/>
      <c r="SKT37" s="953"/>
      <c r="SKU37" s="953"/>
      <c r="SKV37" s="953"/>
      <c r="SKW37" s="953"/>
      <c r="SKX37" s="953"/>
      <c r="SKY37" s="953"/>
      <c r="SKZ37" s="953"/>
      <c r="SLA37" s="953"/>
      <c r="SLB37" s="953"/>
      <c r="SLC37" s="953"/>
      <c r="SLD37" s="953"/>
      <c r="SLE37" s="953"/>
      <c r="SLF37" s="953"/>
      <c r="SLG37" s="953"/>
      <c r="SLH37" s="953"/>
      <c r="SLI37" s="953"/>
      <c r="SLJ37" s="953"/>
      <c r="SLK37" s="953"/>
      <c r="SLL37" s="953"/>
      <c r="SLM37" s="953"/>
      <c r="SLN37" s="953"/>
      <c r="SLO37" s="953"/>
      <c r="SLP37" s="953"/>
      <c r="SLQ37" s="953"/>
      <c r="SLR37" s="953"/>
      <c r="SLS37" s="953"/>
      <c r="SLT37" s="953"/>
      <c r="SLU37" s="953"/>
      <c r="SLV37" s="953"/>
      <c r="SLW37" s="953"/>
      <c r="SLX37" s="953"/>
      <c r="SLY37" s="953"/>
      <c r="SLZ37" s="953"/>
      <c r="SMA37" s="953"/>
      <c r="SMB37" s="953"/>
      <c r="SMC37" s="953"/>
      <c r="SMD37" s="953"/>
      <c r="SME37" s="953"/>
      <c r="SMF37" s="953"/>
      <c r="SMG37" s="953"/>
      <c r="SMH37" s="953"/>
      <c r="SMI37" s="953"/>
      <c r="SMJ37" s="953"/>
      <c r="SMK37" s="953"/>
      <c r="SML37" s="953"/>
      <c r="SMM37" s="953"/>
      <c r="SMN37" s="953"/>
      <c r="SMO37" s="953"/>
      <c r="SMP37" s="953"/>
      <c r="SMQ37" s="953"/>
      <c r="SMR37" s="953"/>
      <c r="SMS37" s="953"/>
      <c r="SMT37" s="953"/>
      <c r="SMU37" s="953"/>
      <c r="SMV37" s="953"/>
      <c r="SMW37" s="953"/>
      <c r="SMX37" s="953"/>
      <c r="SMY37" s="953"/>
      <c r="SMZ37" s="953"/>
      <c r="SNA37" s="953"/>
      <c r="SNB37" s="953"/>
      <c r="SNC37" s="953"/>
      <c r="SND37" s="953"/>
      <c r="SNE37" s="953"/>
      <c r="SNF37" s="953"/>
      <c r="SNG37" s="953"/>
      <c r="SNH37" s="953"/>
      <c r="SNI37" s="953"/>
      <c r="SNJ37" s="953"/>
      <c r="SNK37" s="953"/>
      <c r="SNL37" s="953"/>
      <c r="SNM37" s="953"/>
      <c r="SNN37" s="953"/>
      <c r="SNO37" s="953"/>
      <c r="SNP37" s="953"/>
      <c r="SNQ37" s="953"/>
      <c r="SNR37" s="953"/>
      <c r="SNS37" s="953"/>
      <c r="SNT37" s="953"/>
      <c r="SNU37" s="953"/>
      <c r="SNV37" s="953"/>
      <c r="SNW37" s="953"/>
      <c r="SNX37" s="953"/>
      <c r="SNY37" s="953"/>
      <c r="SNZ37" s="953"/>
      <c r="SOA37" s="953"/>
      <c r="SOB37" s="953"/>
      <c r="SOC37" s="953"/>
      <c r="SOD37" s="953"/>
      <c r="SOE37" s="953"/>
      <c r="SOF37" s="953"/>
      <c r="SOG37" s="953"/>
      <c r="SOH37" s="953"/>
      <c r="SOI37" s="953"/>
      <c r="SOJ37" s="953"/>
      <c r="SOK37" s="953"/>
      <c r="SOL37" s="953"/>
      <c r="SOM37" s="953"/>
      <c r="SON37" s="953"/>
      <c r="SOO37" s="953"/>
      <c r="SOP37" s="953"/>
      <c r="SOQ37" s="953"/>
      <c r="SOR37" s="953"/>
      <c r="SOS37" s="953"/>
      <c r="SOT37" s="953"/>
      <c r="SOU37" s="953"/>
      <c r="SOV37" s="953"/>
      <c r="SOW37" s="953"/>
      <c r="SOX37" s="953"/>
      <c r="SOY37" s="953"/>
      <c r="SOZ37" s="953"/>
      <c r="SPA37" s="953"/>
      <c r="SPB37" s="953"/>
      <c r="SPC37" s="953"/>
      <c r="SPD37" s="953"/>
      <c r="SPE37" s="953"/>
      <c r="SPF37" s="953"/>
      <c r="SPG37" s="953"/>
      <c r="SPH37" s="953"/>
      <c r="SPI37" s="953"/>
      <c r="SPJ37" s="953"/>
      <c r="SPK37" s="953"/>
      <c r="SPL37" s="953"/>
      <c r="SPM37" s="953"/>
      <c r="SPN37" s="953"/>
      <c r="SPO37" s="953"/>
      <c r="SPP37" s="953"/>
      <c r="SPQ37" s="953"/>
      <c r="SPR37" s="953"/>
      <c r="SPS37" s="953"/>
      <c r="SPT37" s="953"/>
      <c r="SPU37" s="953"/>
      <c r="SPV37" s="953"/>
      <c r="SPW37" s="953"/>
      <c r="SPX37" s="953"/>
      <c r="SPY37" s="953"/>
      <c r="SPZ37" s="953"/>
      <c r="SQA37" s="953"/>
      <c r="SQB37" s="953"/>
      <c r="SQC37" s="953"/>
      <c r="SQD37" s="953"/>
      <c r="SQE37" s="953"/>
      <c r="SQF37" s="953"/>
      <c r="SQG37" s="953"/>
      <c r="SQH37" s="953"/>
      <c r="SQI37" s="953"/>
      <c r="SQJ37" s="953"/>
      <c r="SQK37" s="953"/>
      <c r="SQL37" s="953"/>
      <c r="SQM37" s="953"/>
      <c r="SQN37" s="953"/>
      <c r="SQO37" s="953"/>
      <c r="SQP37" s="953"/>
      <c r="SQQ37" s="953"/>
      <c r="SQR37" s="953"/>
      <c r="SQS37" s="953"/>
      <c r="SQT37" s="953"/>
      <c r="SQU37" s="953"/>
      <c r="SQV37" s="953"/>
      <c r="SQW37" s="953"/>
      <c r="SQX37" s="953"/>
      <c r="SQY37" s="953"/>
      <c r="SQZ37" s="953"/>
      <c r="SRA37" s="953"/>
      <c r="SRB37" s="953"/>
      <c r="SRC37" s="953"/>
      <c r="SRD37" s="953"/>
      <c r="SRE37" s="953"/>
      <c r="SRF37" s="953"/>
      <c r="SRG37" s="953"/>
      <c r="SRH37" s="953"/>
      <c r="SRI37" s="953"/>
      <c r="SRJ37" s="953"/>
      <c r="SRK37" s="953"/>
      <c r="SRL37" s="953"/>
      <c r="SRM37" s="953"/>
      <c r="SRN37" s="953"/>
      <c r="SRO37" s="953"/>
      <c r="SRP37" s="953"/>
      <c r="SRQ37" s="953"/>
      <c r="SRR37" s="953"/>
      <c r="SRS37" s="953"/>
      <c r="SRT37" s="953"/>
      <c r="SRU37" s="953"/>
      <c r="SRV37" s="953"/>
      <c r="SRW37" s="953"/>
      <c r="SRX37" s="953"/>
      <c r="SRY37" s="953"/>
      <c r="SRZ37" s="953"/>
      <c r="SSA37" s="953"/>
      <c r="SSB37" s="953"/>
      <c r="SSC37" s="953"/>
      <c r="SSD37" s="953"/>
      <c r="SSE37" s="953"/>
      <c r="SSF37" s="953"/>
      <c r="SSG37" s="953"/>
      <c r="SSH37" s="953"/>
      <c r="SSI37" s="953"/>
      <c r="SSJ37" s="953"/>
      <c r="SSK37" s="953"/>
      <c r="SSL37" s="953"/>
      <c r="SSM37" s="953"/>
      <c r="SSN37" s="953"/>
      <c r="SSO37" s="953"/>
      <c r="SSP37" s="953"/>
      <c r="SSQ37" s="953"/>
      <c r="SSR37" s="953"/>
      <c r="SSS37" s="953"/>
      <c r="SST37" s="953"/>
      <c r="SSU37" s="953"/>
      <c r="SSV37" s="953"/>
      <c r="SSW37" s="953"/>
      <c r="SSX37" s="953"/>
      <c r="SSY37" s="953"/>
      <c r="SSZ37" s="953"/>
      <c r="STA37" s="953"/>
      <c r="STB37" s="953"/>
      <c r="STC37" s="953"/>
      <c r="STD37" s="953"/>
      <c r="STE37" s="953"/>
      <c r="STF37" s="953"/>
      <c r="STG37" s="953"/>
      <c r="STH37" s="953"/>
      <c r="STI37" s="953"/>
      <c r="STJ37" s="953"/>
      <c r="STK37" s="953"/>
      <c r="STL37" s="953"/>
      <c r="STM37" s="953"/>
      <c r="STN37" s="953"/>
      <c r="STO37" s="953"/>
      <c r="STP37" s="953"/>
      <c r="STQ37" s="953"/>
      <c r="STR37" s="953"/>
      <c r="STS37" s="953"/>
      <c r="STT37" s="953"/>
      <c r="STU37" s="953"/>
      <c r="STV37" s="953"/>
      <c r="STW37" s="953"/>
      <c r="STX37" s="953"/>
      <c r="STY37" s="953"/>
      <c r="STZ37" s="953"/>
      <c r="SUA37" s="953"/>
      <c r="SUB37" s="953"/>
      <c r="SUC37" s="953"/>
      <c r="SUD37" s="953"/>
      <c r="SUE37" s="953"/>
      <c r="SUF37" s="953"/>
      <c r="SUG37" s="953"/>
      <c r="SUH37" s="953"/>
      <c r="SUI37" s="953"/>
      <c r="SUJ37" s="953"/>
      <c r="SUK37" s="953"/>
      <c r="SUL37" s="953"/>
      <c r="SUM37" s="953"/>
      <c r="SUN37" s="953"/>
      <c r="SUO37" s="953"/>
      <c r="SUP37" s="953"/>
      <c r="SUQ37" s="953"/>
      <c r="SUR37" s="953"/>
      <c r="SUS37" s="953"/>
      <c r="SUT37" s="953"/>
      <c r="SUU37" s="953"/>
      <c r="SUV37" s="953"/>
      <c r="SUW37" s="953"/>
      <c r="SUX37" s="953"/>
      <c r="SUY37" s="953"/>
      <c r="SUZ37" s="953"/>
      <c r="SVA37" s="953"/>
      <c r="SVB37" s="953"/>
      <c r="SVC37" s="953"/>
      <c r="SVD37" s="953"/>
      <c r="SVE37" s="953"/>
      <c r="SVF37" s="953"/>
      <c r="SVG37" s="953"/>
      <c r="SVH37" s="953"/>
      <c r="SVI37" s="953"/>
      <c r="SVJ37" s="953"/>
      <c r="SVK37" s="953"/>
      <c r="SVL37" s="953"/>
      <c r="SVM37" s="953"/>
      <c r="SVN37" s="953"/>
      <c r="SVO37" s="953"/>
      <c r="SVP37" s="953"/>
      <c r="SVQ37" s="953"/>
      <c r="SVR37" s="953"/>
      <c r="SVS37" s="953"/>
      <c r="SVT37" s="953"/>
      <c r="SVU37" s="953"/>
      <c r="SVV37" s="953"/>
      <c r="SVW37" s="953"/>
      <c r="SVX37" s="953"/>
      <c r="SVY37" s="953"/>
      <c r="SVZ37" s="953"/>
      <c r="SWA37" s="953"/>
      <c r="SWB37" s="953"/>
      <c r="SWC37" s="953"/>
      <c r="SWD37" s="953"/>
      <c r="SWE37" s="953"/>
      <c r="SWF37" s="953"/>
      <c r="SWG37" s="953"/>
      <c r="SWH37" s="953"/>
      <c r="SWI37" s="953"/>
      <c r="SWJ37" s="953"/>
      <c r="SWK37" s="953"/>
      <c r="SWL37" s="953"/>
      <c r="SWM37" s="953"/>
      <c r="SWN37" s="953"/>
      <c r="SWO37" s="953"/>
      <c r="SWP37" s="953"/>
      <c r="SWQ37" s="953"/>
      <c r="SWR37" s="953"/>
      <c r="SWS37" s="953"/>
      <c r="SWT37" s="953"/>
      <c r="SWU37" s="953"/>
      <c r="SWV37" s="953"/>
      <c r="SWW37" s="953"/>
      <c r="SWX37" s="953"/>
      <c r="SWY37" s="953"/>
      <c r="SWZ37" s="953"/>
      <c r="SXA37" s="953"/>
      <c r="SXB37" s="953"/>
      <c r="SXC37" s="953"/>
      <c r="SXD37" s="953"/>
      <c r="SXE37" s="953"/>
      <c r="SXF37" s="953"/>
      <c r="SXG37" s="953"/>
      <c r="SXH37" s="953"/>
      <c r="SXI37" s="953"/>
      <c r="SXJ37" s="953"/>
      <c r="SXK37" s="953"/>
      <c r="SXL37" s="953"/>
      <c r="SXM37" s="953"/>
      <c r="SXN37" s="953"/>
      <c r="SXO37" s="953"/>
      <c r="SXP37" s="953"/>
      <c r="SXQ37" s="953"/>
      <c r="SXR37" s="953"/>
      <c r="SXS37" s="953"/>
      <c r="SXT37" s="953"/>
      <c r="SXU37" s="953"/>
      <c r="SXV37" s="953"/>
      <c r="SXW37" s="953"/>
      <c r="SXX37" s="953"/>
      <c r="SXY37" s="953"/>
      <c r="SXZ37" s="953"/>
      <c r="SYA37" s="953"/>
      <c r="SYB37" s="953"/>
      <c r="SYC37" s="953"/>
      <c r="SYD37" s="953"/>
      <c r="SYE37" s="953"/>
      <c r="SYF37" s="953"/>
      <c r="SYG37" s="953"/>
      <c r="SYH37" s="953"/>
      <c r="SYI37" s="953"/>
      <c r="SYJ37" s="953"/>
      <c r="SYK37" s="953"/>
      <c r="SYL37" s="953"/>
      <c r="SYM37" s="953"/>
      <c r="SYN37" s="953"/>
      <c r="SYO37" s="953"/>
      <c r="SYP37" s="953"/>
      <c r="SYQ37" s="953"/>
      <c r="SYR37" s="953"/>
      <c r="SYS37" s="953"/>
      <c r="SYT37" s="953"/>
      <c r="SYU37" s="953"/>
      <c r="SYV37" s="953"/>
      <c r="SYW37" s="953"/>
      <c r="SYX37" s="953"/>
      <c r="SYY37" s="953"/>
      <c r="SYZ37" s="953"/>
      <c r="SZA37" s="953"/>
      <c r="SZB37" s="953"/>
      <c r="SZC37" s="953"/>
      <c r="SZD37" s="953"/>
      <c r="SZE37" s="953"/>
      <c r="SZF37" s="953"/>
      <c r="SZG37" s="953"/>
      <c r="SZH37" s="953"/>
      <c r="SZI37" s="953"/>
      <c r="SZJ37" s="953"/>
      <c r="SZK37" s="953"/>
      <c r="SZL37" s="953"/>
      <c r="SZM37" s="953"/>
      <c r="SZN37" s="953"/>
      <c r="SZO37" s="953"/>
      <c r="SZP37" s="953"/>
      <c r="SZQ37" s="953"/>
      <c r="SZR37" s="953"/>
      <c r="SZS37" s="953"/>
      <c r="SZT37" s="953"/>
      <c r="SZU37" s="953"/>
      <c r="SZV37" s="953"/>
      <c r="SZW37" s="953"/>
      <c r="SZX37" s="953"/>
      <c r="SZY37" s="953"/>
      <c r="SZZ37" s="953"/>
      <c r="TAA37" s="953"/>
      <c r="TAB37" s="953"/>
      <c r="TAC37" s="953"/>
      <c r="TAD37" s="953"/>
      <c r="TAE37" s="953"/>
      <c r="TAF37" s="953"/>
      <c r="TAG37" s="953"/>
      <c r="TAH37" s="953"/>
      <c r="TAI37" s="953"/>
      <c r="TAJ37" s="953"/>
      <c r="TAK37" s="953"/>
      <c r="TAL37" s="953"/>
      <c r="TAM37" s="953"/>
      <c r="TAN37" s="953"/>
      <c r="TAO37" s="953"/>
      <c r="TAP37" s="953"/>
      <c r="TAQ37" s="953"/>
      <c r="TAR37" s="953"/>
      <c r="TAS37" s="953"/>
      <c r="TAT37" s="953"/>
      <c r="TAU37" s="953"/>
      <c r="TAV37" s="953"/>
      <c r="TAW37" s="953"/>
      <c r="TAX37" s="953"/>
      <c r="TAY37" s="953"/>
      <c r="TAZ37" s="953"/>
      <c r="TBA37" s="953"/>
      <c r="TBB37" s="953"/>
      <c r="TBC37" s="953"/>
      <c r="TBD37" s="953"/>
      <c r="TBE37" s="953"/>
      <c r="TBF37" s="953"/>
      <c r="TBG37" s="953"/>
      <c r="TBH37" s="953"/>
      <c r="TBI37" s="953"/>
      <c r="TBJ37" s="953"/>
      <c r="TBK37" s="953"/>
      <c r="TBL37" s="953"/>
      <c r="TBM37" s="953"/>
      <c r="TBN37" s="953"/>
      <c r="TBO37" s="953"/>
      <c r="TBP37" s="953"/>
      <c r="TBQ37" s="953"/>
      <c r="TBR37" s="953"/>
      <c r="TBS37" s="953"/>
      <c r="TBT37" s="953"/>
      <c r="TBU37" s="953"/>
      <c r="TBV37" s="953"/>
      <c r="TBW37" s="953"/>
      <c r="TBX37" s="953"/>
      <c r="TBY37" s="953"/>
      <c r="TBZ37" s="953"/>
      <c r="TCA37" s="953"/>
      <c r="TCB37" s="953"/>
      <c r="TCC37" s="953"/>
      <c r="TCD37" s="953"/>
      <c r="TCE37" s="953"/>
      <c r="TCF37" s="953"/>
      <c r="TCG37" s="953"/>
      <c r="TCH37" s="953"/>
      <c r="TCI37" s="953"/>
      <c r="TCJ37" s="953"/>
      <c r="TCK37" s="953"/>
      <c r="TCL37" s="953"/>
      <c r="TCM37" s="953"/>
      <c r="TCN37" s="953"/>
      <c r="TCO37" s="953"/>
      <c r="TCP37" s="953"/>
      <c r="TCQ37" s="953"/>
      <c r="TCR37" s="953"/>
      <c r="TCS37" s="953"/>
      <c r="TCT37" s="953"/>
      <c r="TCU37" s="953"/>
      <c r="TCV37" s="953"/>
      <c r="TCW37" s="953"/>
      <c r="TCX37" s="953"/>
      <c r="TCY37" s="953"/>
      <c r="TCZ37" s="953"/>
      <c r="TDA37" s="953"/>
      <c r="TDB37" s="953"/>
      <c r="TDC37" s="953"/>
      <c r="TDD37" s="953"/>
      <c r="TDE37" s="953"/>
      <c r="TDF37" s="953"/>
      <c r="TDG37" s="953"/>
      <c r="TDH37" s="953"/>
      <c r="TDI37" s="953"/>
      <c r="TDJ37" s="953"/>
      <c r="TDK37" s="953"/>
      <c r="TDL37" s="953"/>
      <c r="TDM37" s="953"/>
      <c r="TDN37" s="953"/>
      <c r="TDO37" s="953"/>
      <c r="TDP37" s="953"/>
      <c r="TDQ37" s="953"/>
      <c r="TDR37" s="953"/>
      <c r="TDS37" s="953"/>
      <c r="TDT37" s="953"/>
      <c r="TDU37" s="953"/>
      <c r="TDV37" s="953"/>
      <c r="TDW37" s="953"/>
      <c r="TDX37" s="953"/>
      <c r="TDY37" s="953"/>
      <c r="TDZ37" s="953"/>
      <c r="TEA37" s="953"/>
      <c r="TEB37" s="953"/>
      <c r="TEC37" s="953"/>
      <c r="TED37" s="953"/>
      <c r="TEE37" s="953"/>
      <c r="TEF37" s="953"/>
      <c r="TEG37" s="953"/>
      <c r="TEH37" s="953"/>
      <c r="TEI37" s="953"/>
      <c r="TEJ37" s="953"/>
      <c r="TEK37" s="953"/>
      <c r="TEL37" s="953"/>
      <c r="TEM37" s="953"/>
      <c r="TEN37" s="953"/>
      <c r="TEO37" s="953"/>
      <c r="TEP37" s="953"/>
      <c r="TEQ37" s="953"/>
      <c r="TER37" s="953"/>
      <c r="TES37" s="953"/>
      <c r="TET37" s="953"/>
      <c r="TEU37" s="953"/>
      <c r="TEV37" s="953"/>
      <c r="TEW37" s="953"/>
      <c r="TEX37" s="953"/>
      <c r="TEY37" s="953"/>
      <c r="TEZ37" s="953"/>
      <c r="TFA37" s="953"/>
      <c r="TFB37" s="953"/>
      <c r="TFC37" s="953"/>
      <c r="TFD37" s="953"/>
      <c r="TFE37" s="953"/>
      <c r="TFF37" s="953"/>
      <c r="TFG37" s="953"/>
      <c r="TFH37" s="953"/>
      <c r="TFI37" s="953"/>
      <c r="TFJ37" s="953"/>
      <c r="TFK37" s="953"/>
      <c r="TFL37" s="953"/>
      <c r="TFM37" s="953"/>
      <c r="TFN37" s="953"/>
      <c r="TFO37" s="953"/>
      <c r="TFP37" s="953"/>
      <c r="TFQ37" s="953"/>
      <c r="TFR37" s="953"/>
      <c r="TFS37" s="953"/>
      <c r="TFT37" s="953"/>
      <c r="TFU37" s="953"/>
      <c r="TFV37" s="953"/>
      <c r="TFW37" s="953"/>
      <c r="TFX37" s="953"/>
      <c r="TFY37" s="953"/>
      <c r="TFZ37" s="953"/>
      <c r="TGA37" s="953"/>
      <c r="TGB37" s="953"/>
      <c r="TGC37" s="953"/>
      <c r="TGD37" s="953"/>
      <c r="TGE37" s="953"/>
      <c r="TGF37" s="953"/>
      <c r="TGG37" s="953"/>
      <c r="TGH37" s="953"/>
      <c r="TGI37" s="953"/>
      <c r="TGJ37" s="953"/>
      <c r="TGK37" s="953"/>
      <c r="TGL37" s="953"/>
      <c r="TGM37" s="953"/>
      <c r="TGN37" s="953"/>
      <c r="TGO37" s="953"/>
      <c r="TGP37" s="953"/>
      <c r="TGQ37" s="953"/>
      <c r="TGR37" s="953"/>
      <c r="TGS37" s="953"/>
      <c r="TGT37" s="953"/>
      <c r="TGU37" s="953"/>
      <c r="TGV37" s="953"/>
      <c r="TGW37" s="953"/>
      <c r="TGX37" s="953"/>
      <c r="TGY37" s="953"/>
      <c r="TGZ37" s="953"/>
      <c r="THA37" s="953"/>
      <c r="THB37" s="953"/>
      <c r="THC37" s="953"/>
      <c r="THD37" s="953"/>
      <c r="THE37" s="953"/>
      <c r="THF37" s="953"/>
      <c r="THG37" s="953"/>
      <c r="THH37" s="953"/>
      <c r="THI37" s="953"/>
      <c r="THJ37" s="953"/>
      <c r="THK37" s="953"/>
      <c r="THL37" s="953"/>
      <c r="THM37" s="953"/>
      <c r="THN37" s="953"/>
      <c r="THO37" s="953"/>
      <c r="THP37" s="953"/>
      <c r="THQ37" s="953"/>
      <c r="THR37" s="953"/>
      <c r="THS37" s="953"/>
      <c r="THT37" s="953"/>
      <c r="THU37" s="953"/>
      <c r="THV37" s="953"/>
      <c r="THW37" s="953"/>
      <c r="THX37" s="953"/>
      <c r="THY37" s="953"/>
      <c r="THZ37" s="953"/>
      <c r="TIA37" s="953"/>
      <c r="TIB37" s="953"/>
      <c r="TIC37" s="953"/>
      <c r="TID37" s="953"/>
      <c r="TIE37" s="953"/>
      <c r="TIF37" s="953"/>
      <c r="TIG37" s="953"/>
      <c r="TIH37" s="953"/>
      <c r="TII37" s="953"/>
      <c r="TIJ37" s="953"/>
      <c r="TIK37" s="953"/>
      <c r="TIL37" s="953"/>
      <c r="TIM37" s="953"/>
      <c r="TIN37" s="953"/>
      <c r="TIO37" s="953"/>
      <c r="TIP37" s="953"/>
      <c r="TIQ37" s="953"/>
      <c r="TIR37" s="953"/>
      <c r="TIS37" s="953"/>
      <c r="TIT37" s="953"/>
      <c r="TIU37" s="953"/>
      <c r="TIV37" s="953"/>
      <c r="TIW37" s="953"/>
      <c r="TIX37" s="953"/>
      <c r="TIY37" s="953"/>
      <c r="TIZ37" s="953"/>
      <c r="TJA37" s="953"/>
      <c r="TJB37" s="953"/>
      <c r="TJC37" s="953"/>
      <c r="TJD37" s="953"/>
      <c r="TJE37" s="953"/>
      <c r="TJF37" s="953"/>
      <c r="TJG37" s="953"/>
      <c r="TJH37" s="953"/>
      <c r="TJI37" s="953"/>
      <c r="TJJ37" s="953"/>
      <c r="TJK37" s="953"/>
      <c r="TJL37" s="953"/>
      <c r="TJM37" s="953"/>
      <c r="TJN37" s="953"/>
      <c r="TJO37" s="953"/>
      <c r="TJP37" s="953"/>
      <c r="TJQ37" s="953"/>
      <c r="TJR37" s="953"/>
      <c r="TJS37" s="953"/>
      <c r="TJT37" s="953"/>
      <c r="TJU37" s="953"/>
      <c r="TJV37" s="953"/>
      <c r="TJW37" s="953"/>
      <c r="TJX37" s="953"/>
      <c r="TJY37" s="953"/>
      <c r="TJZ37" s="953"/>
      <c r="TKA37" s="953"/>
      <c r="TKB37" s="953"/>
      <c r="TKC37" s="953"/>
      <c r="TKD37" s="953"/>
      <c r="TKE37" s="953"/>
      <c r="TKF37" s="953"/>
      <c r="TKG37" s="953"/>
      <c r="TKH37" s="953"/>
      <c r="TKI37" s="953"/>
      <c r="TKJ37" s="953"/>
      <c r="TKK37" s="953"/>
      <c r="TKL37" s="953"/>
      <c r="TKM37" s="953"/>
      <c r="TKN37" s="953"/>
      <c r="TKO37" s="953"/>
      <c r="TKP37" s="953"/>
      <c r="TKQ37" s="953"/>
      <c r="TKR37" s="953"/>
      <c r="TKS37" s="953"/>
      <c r="TKT37" s="953"/>
      <c r="TKU37" s="953"/>
      <c r="TKV37" s="953"/>
      <c r="TKW37" s="953"/>
      <c r="TKX37" s="953"/>
      <c r="TKY37" s="953"/>
      <c r="TKZ37" s="953"/>
      <c r="TLA37" s="953"/>
      <c r="TLB37" s="953"/>
      <c r="TLC37" s="953"/>
      <c r="TLD37" s="953"/>
      <c r="TLE37" s="953"/>
      <c r="TLF37" s="953"/>
      <c r="TLG37" s="953"/>
      <c r="TLH37" s="953"/>
      <c r="TLI37" s="953"/>
      <c r="TLJ37" s="953"/>
      <c r="TLK37" s="953"/>
      <c r="TLL37" s="953"/>
      <c r="TLM37" s="953"/>
      <c r="TLN37" s="953"/>
      <c r="TLO37" s="953"/>
      <c r="TLP37" s="953"/>
      <c r="TLQ37" s="953"/>
      <c r="TLR37" s="953"/>
      <c r="TLS37" s="953"/>
      <c r="TLT37" s="953"/>
      <c r="TLU37" s="953"/>
      <c r="TLV37" s="953"/>
      <c r="TLW37" s="953"/>
      <c r="TLX37" s="953"/>
      <c r="TLY37" s="953"/>
      <c r="TLZ37" s="953"/>
      <c r="TMA37" s="953"/>
      <c r="TMB37" s="953"/>
      <c r="TMC37" s="953"/>
      <c r="TMD37" s="953"/>
      <c r="TME37" s="953"/>
      <c r="TMF37" s="953"/>
      <c r="TMG37" s="953"/>
      <c r="TMH37" s="953"/>
      <c r="TMI37" s="953"/>
      <c r="TMJ37" s="953"/>
      <c r="TMK37" s="953"/>
      <c r="TML37" s="953"/>
      <c r="TMM37" s="953"/>
      <c r="TMN37" s="953"/>
      <c r="TMO37" s="953"/>
      <c r="TMP37" s="953"/>
      <c r="TMQ37" s="953"/>
      <c r="TMR37" s="953"/>
      <c r="TMS37" s="953"/>
      <c r="TMT37" s="953"/>
      <c r="TMU37" s="953"/>
      <c r="TMV37" s="953"/>
      <c r="TMW37" s="953"/>
      <c r="TMX37" s="953"/>
      <c r="TMY37" s="953"/>
      <c r="TMZ37" s="953"/>
      <c r="TNA37" s="953"/>
      <c r="TNB37" s="953"/>
      <c r="TNC37" s="953"/>
      <c r="TND37" s="953"/>
      <c r="TNE37" s="953"/>
      <c r="TNF37" s="953"/>
      <c r="TNG37" s="953"/>
      <c r="TNH37" s="953"/>
      <c r="TNI37" s="953"/>
      <c r="TNJ37" s="953"/>
      <c r="TNK37" s="953"/>
      <c r="TNL37" s="953"/>
      <c r="TNM37" s="953"/>
      <c r="TNN37" s="953"/>
      <c r="TNO37" s="953"/>
      <c r="TNP37" s="953"/>
      <c r="TNQ37" s="953"/>
      <c r="TNR37" s="953"/>
      <c r="TNS37" s="953"/>
      <c r="TNT37" s="953"/>
      <c r="TNU37" s="953"/>
      <c r="TNV37" s="953"/>
      <c r="TNW37" s="953"/>
      <c r="TNX37" s="953"/>
      <c r="TNY37" s="953"/>
      <c r="TNZ37" s="953"/>
      <c r="TOA37" s="953"/>
      <c r="TOB37" s="953"/>
      <c r="TOC37" s="953"/>
      <c r="TOD37" s="953"/>
      <c r="TOE37" s="953"/>
      <c r="TOF37" s="953"/>
      <c r="TOG37" s="953"/>
      <c r="TOH37" s="953"/>
      <c r="TOI37" s="953"/>
      <c r="TOJ37" s="953"/>
      <c r="TOK37" s="953"/>
      <c r="TOL37" s="953"/>
      <c r="TOM37" s="953"/>
      <c r="TON37" s="953"/>
      <c r="TOO37" s="953"/>
      <c r="TOP37" s="953"/>
      <c r="TOQ37" s="953"/>
      <c r="TOR37" s="953"/>
      <c r="TOS37" s="953"/>
      <c r="TOT37" s="953"/>
      <c r="TOU37" s="953"/>
      <c r="TOV37" s="953"/>
      <c r="TOW37" s="953"/>
      <c r="TOX37" s="953"/>
      <c r="TOY37" s="953"/>
      <c r="TOZ37" s="953"/>
      <c r="TPA37" s="953"/>
      <c r="TPB37" s="953"/>
      <c r="TPC37" s="953"/>
      <c r="TPD37" s="953"/>
      <c r="TPE37" s="953"/>
      <c r="TPF37" s="953"/>
      <c r="TPG37" s="953"/>
      <c r="TPH37" s="953"/>
      <c r="TPI37" s="953"/>
      <c r="TPJ37" s="953"/>
      <c r="TPK37" s="953"/>
      <c r="TPL37" s="953"/>
      <c r="TPM37" s="953"/>
      <c r="TPN37" s="953"/>
      <c r="TPO37" s="953"/>
      <c r="TPP37" s="953"/>
      <c r="TPQ37" s="953"/>
      <c r="TPR37" s="953"/>
      <c r="TPS37" s="953"/>
      <c r="TPT37" s="953"/>
      <c r="TPU37" s="953"/>
      <c r="TPV37" s="953"/>
      <c r="TPW37" s="953"/>
      <c r="TPX37" s="953"/>
      <c r="TPY37" s="953"/>
      <c r="TPZ37" s="953"/>
      <c r="TQA37" s="953"/>
      <c r="TQB37" s="953"/>
      <c r="TQC37" s="953"/>
      <c r="TQD37" s="953"/>
      <c r="TQE37" s="953"/>
      <c r="TQF37" s="953"/>
      <c r="TQG37" s="953"/>
      <c r="TQH37" s="953"/>
      <c r="TQI37" s="953"/>
      <c r="TQJ37" s="953"/>
      <c r="TQK37" s="953"/>
      <c r="TQL37" s="953"/>
      <c r="TQM37" s="953"/>
      <c r="TQN37" s="953"/>
      <c r="TQO37" s="953"/>
      <c r="TQP37" s="953"/>
      <c r="TQQ37" s="953"/>
      <c r="TQR37" s="953"/>
      <c r="TQS37" s="953"/>
      <c r="TQT37" s="953"/>
      <c r="TQU37" s="953"/>
      <c r="TQV37" s="953"/>
      <c r="TQW37" s="953"/>
      <c r="TQX37" s="953"/>
      <c r="TQY37" s="953"/>
      <c r="TQZ37" s="953"/>
      <c r="TRA37" s="953"/>
      <c r="TRB37" s="953"/>
      <c r="TRC37" s="953"/>
      <c r="TRD37" s="953"/>
      <c r="TRE37" s="953"/>
      <c r="TRF37" s="953"/>
      <c r="TRG37" s="953"/>
      <c r="TRH37" s="953"/>
      <c r="TRI37" s="953"/>
      <c r="TRJ37" s="953"/>
      <c r="TRK37" s="953"/>
      <c r="TRL37" s="953"/>
      <c r="TRM37" s="953"/>
      <c r="TRN37" s="953"/>
      <c r="TRO37" s="953"/>
      <c r="TRP37" s="953"/>
      <c r="TRQ37" s="953"/>
      <c r="TRR37" s="953"/>
      <c r="TRS37" s="953"/>
      <c r="TRT37" s="953"/>
      <c r="TRU37" s="953"/>
      <c r="TRV37" s="953"/>
      <c r="TRW37" s="953"/>
      <c r="TRX37" s="953"/>
      <c r="TRY37" s="953"/>
      <c r="TRZ37" s="953"/>
      <c r="TSA37" s="953"/>
      <c r="TSB37" s="953"/>
      <c r="TSC37" s="953"/>
      <c r="TSD37" s="953"/>
      <c r="TSE37" s="953"/>
      <c r="TSF37" s="953"/>
      <c r="TSG37" s="953"/>
      <c r="TSH37" s="953"/>
      <c r="TSI37" s="953"/>
      <c r="TSJ37" s="953"/>
      <c r="TSK37" s="953"/>
      <c r="TSL37" s="953"/>
      <c r="TSM37" s="953"/>
      <c r="TSN37" s="953"/>
      <c r="TSO37" s="953"/>
      <c r="TSP37" s="953"/>
      <c r="TSQ37" s="953"/>
      <c r="TSR37" s="953"/>
      <c r="TSS37" s="953"/>
      <c r="TST37" s="953"/>
      <c r="TSU37" s="953"/>
      <c r="TSV37" s="953"/>
      <c r="TSW37" s="953"/>
      <c r="TSX37" s="953"/>
      <c r="TSY37" s="953"/>
      <c r="TSZ37" s="953"/>
      <c r="TTA37" s="953"/>
      <c r="TTB37" s="953"/>
      <c r="TTC37" s="953"/>
      <c r="TTD37" s="953"/>
      <c r="TTE37" s="953"/>
      <c r="TTF37" s="953"/>
      <c r="TTG37" s="953"/>
      <c r="TTH37" s="953"/>
      <c r="TTI37" s="953"/>
      <c r="TTJ37" s="953"/>
      <c r="TTK37" s="953"/>
      <c r="TTL37" s="953"/>
      <c r="TTM37" s="953"/>
      <c r="TTN37" s="953"/>
      <c r="TTO37" s="953"/>
      <c r="TTP37" s="953"/>
      <c r="TTQ37" s="953"/>
      <c r="TTR37" s="953"/>
      <c r="TTS37" s="953"/>
      <c r="TTT37" s="953"/>
      <c r="TTU37" s="953"/>
      <c r="TTV37" s="953"/>
      <c r="TTW37" s="953"/>
      <c r="TTX37" s="953"/>
      <c r="TTY37" s="953"/>
      <c r="TTZ37" s="953"/>
      <c r="TUA37" s="953"/>
      <c r="TUB37" s="953"/>
      <c r="TUC37" s="953"/>
      <c r="TUD37" s="953"/>
      <c r="TUE37" s="953"/>
      <c r="TUF37" s="953"/>
      <c r="TUG37" s="953"/>
      <c r="TUH37" s="953"/>
      <c r="TUI37" s="953"/>
      <c r="TUJ37" s="953"/>
      <c r="TUK37" s="953"/>
      <c r="TUL37" s="953"/>
      <c r="TUM37" s="953"/>
      <c r="TUN37" s="953"/>
      <c r="TUO37" s="953"/>
      <c r="TUP37" s="953"/>
      <c r="TUQ37" s="953"/>
      <c r="TUR37" s="953"/>
      <c r="TUS37" s="953"/>
      <c r="TUT37" s="953"/>
      <c r="TUU37" s="953"/>
      <c r="TUV37" s="953"/>
      <c r="TUW37" s="953"/>
      <c r="TUX37" s="953"/>
      <c r="TUY37" s="953"/>
      <c r="TUZ37" s="953"/>
      <c r="TVA37" s="953"/>
      <c r="TVB37" s="953"/>
      <c r="TVC37" s="953"/>
      <c r="TVD37" s="953"/>
      <c r="TVE37" s="953"/>
      <c r="TVF37" s="953"/>
      <c r="TVG37" s="953"/>
      <c r="TVH37" s="953"/>
      <c r="TVI37" s="953"/>
      <c r="TVJ37" s="953"/>
      <c r="TVK37" s="953"/>
      <c r="TVL37" s="953"/>
      <c r="TVM37" s="953"/>
      <c r="TVN37" s="953"/>
      <c r="TVO37" s="953"/>
      <c r="TVP37" s="953"/>
      <c r="TVQ37" s="953"/>
      <c r="TVR37" s="953"/>
      <c r="TVS37" s="953"/>
      <c r="TVT37" s="953"/>
      <c r="TVU37" s="953"/>
      <c r="TVV37" s="953"/>
      <c r="TVW37" s="953"/>
      <c r="TVX37" s="953"/>
      <c r="TVY37" s="953"/>
      <c r="TVZ37" s="953"/>
      <c r="TWA37" s="953"/>
      <c r="TWB37" s="953"/>
      <c r="TWC37" s="953"/>
      <c r="TWD37" s="953"/>
      <c r="TWE37" s="953"/>
      <c r="TWF37" s="953"/>
      <c r="TWG37" s="953"/>
      <c r="TWH37" s="953"/>
      <c r="TWI37" s="953"/>
      <c r="TWJ37" s="953"/>
      <c r="TWK37" s="953"/>
      <c r="TWL37" s="953"/>
      <c r="TWM37" s="953"/>
      <c r="TWN37" s="953"/>
      <c r="TWO37" s="953"/>
      <c r="TWP37" s="953"/>
      <c r="TWQ37" s="953"/>
      <c r="TWR37" s="953"/>
      <c r="TWS37" s="953"/>
      <c r="TWT37" s="953"/>
      <c r="TWU37" s="953"/>
      <c r="TWV37" s="953"/>
      <c r="TWW37" s="953"/>
      <c r="TWX37" s="953"/>
      <c r="TWY37" s="953"/>
      <c r="TWZ37" s="953"/>
      <c r="TXA37" s="953"/>
      <c r="TXB37" s="953"/>
      <c r="TXC37" s="953"/>
      <c r="TXD37" s="953"/>
      <c r="TXE37" s="953"/>
      <c r="TXF37" s="953"/>
      <c r="TXG37" s="953"/>
      <c r="TXH37" s="953"/>
      <c r="TXI37" s="953"/>
      <c r="TXJ37" s="953"/>
      <c r="TXK37" s="953"/>
      <c r="TXL37" s="953"/>
      <c r="TXM37" s="953"/>
      <c r="TXN37" s="953"/>
      <c r="TXO37" s="953"/>
      <c r="TXP37" s="953"/>
      <c r="TXQ37" s="953"/>
      <c r="TXR37" s="953"/>
      <c r="TXS37" s="953"/>
      <c r="TXT37" s="953"/>
      <c r="TXU37" s="953"/>
      <c r="TXV37" s="953"/>
      <c r="TXW37" s="953"/>
      <c r="TXX37" s="953"/>
      <c r="TXY37" s="953"/>
      <c r="TXZ37" s="953"/>
      <c r="TYA37" s="953"/>
      <c r="TYB37" s="953"/>
      <c r="TYC37" s="953"/>
      <c r="TYD37" s="953"/>
      <c r="TYE37" s="953"/>
      <c r="TYF37" s="953"/>
      <c r="TYG37" s="953"/>
      <c r="TYH37" s="953"/>
      <c r="TYI37" s="953"/>
      <c r="TYJ37" s="953"/>
      <c r="TYK37" s="953"/>
      <c r="TYL37" s="953"/>
      <c r="TYM37" s="953"/>
      <c r="TYN37" s="953"/>
      <c r="TYO37" s="953"/>
      <c r="TYP37" s="953"/>
      <c r="TYQ37" s="953"/>
      <c r="TYR37" s="953"/>
      <c r="TYS37" s="953"/>
      <c r="TYT37" s="953"/>
      <c r="TYU37" s="953"/>
      <c r="TYV37" s="953"/>
      <c r="TYW37" s="953"/>
      <c r="TYX37" s="953"/>
      <c r="TYY37" s="953"/>
      <c r="TYZ37" s="953"/>
      <c r="TZA37" s="953"/>
      <c r="TZB37" s="953"/>
      <c r="TZC37" s="953"/>
      <c r="TZD37" s="953"/>
      <c r="TZE37" s="953"/>
      <c r="TZF37" s="953"/>
      <c r="TZG37" s="953"/>
      <c r="TZH37" s="953"/>
      <c r="TZI37" s="953"/>
      <c r="TZJ37" s="953"/>
      <c r="TZK37" s="953"/>
      <c r="TZL37" s="953"/>
      <c r="TZM37" s="953"/>
      <c r="TZN37" s="953"/>
      <c r="TZO37" s="953"/>
      <c r="TZP37" s="953"/>
      <c r="TZQ37" s="953"/>
      <c r="TZR37" s="953"/>
      <c r="TZS37" s="953"/>
      <c r="TZT37" s="953"/>
      <c r="TZU37" s="953"/>
      <c r="TZV37" s="953"/>
      <c r="TZW37" s="953"/>
      <c r="TZX37" s="953"/>
      <c r="TZY37" s="953"/>
      <c r="TZZ37" s="953"/>
      <c r="UAA37" s="953"/>
      <c r="UAB37" s="953"/>
      <c r="UAC37" s="953"/>
      <c r="UAD37" s="953"/>
      <c r="UAE37" s="953"/>
      <c r="UAF37" s="953"/>
      <c r="UAG37" s="953"/>
      <c r="UAH37" s="953"/>
      <c r="UAI37" s="953"/>
      <c r="UAJ37" s="953"/>
      <c r="UAK37" s="953"/>
      <c r="UAL37" s="953"/>
      <c r="UAM37" s="953"/>
      <c r="UAN37" s="953"/>
      <c r="UAO37" s="953"/>
      <c r="UAP37" s="953"/>
      <c r="UAQ37" s="953"/>
      <c r="UAR37" s="953"/>
      <c r="UAS37" s="953"/>
      <c r="UAT37" s="953"/>
      <c r="UAU37" s="953"/>
      <c r="UAV37" s="953"/>
      <c r="UAW37" s="953"/>
      <c r="UAX37" s="953"/>
      <c r="UAY37" s="953"/>
      <c r="UAZ37" s="953"/>
      <c r="UBA37" s="953"/>
      <c r="UBB37" s="953"/>
      <c r="UBC37" s="953"/>
      <c r="UBD37" s="953"/>
      <c r="UBE37" s="953"/>
      <c r="UBF37" s="953"/>
      <c r="UBG37" s="953"/>
      <c r="UBH37" s="953"/>
      <c r="UBI37" s="953"/>
      <c r="UBJ37" s="953"/>
      <c r="UBK37" s="953"/>
      <c r="UBL37" s="953"/>
      <c r="UBM37" s="953"/>
      <c r="UBN37" s="953"/>
      <c r="UBO37" s="953"/>
      <c r="UBP37" s="953"/>
      <c r="UBQ37" s="953"/>
      <c r="UBR37" s="953"/>
      <c r="UBS37" s="953"/>
      <c r="UBT37" s="953"/>
      <c r="UBU37" s="953"/>
      <c r="UBV37" s="953"/>
      <c r="UBW37" s="953"/>
      <c r="UBX37" s="953"/>
      <c r="UBY37" s="953"/>
      <c r="UBZ37" s="953"/>
      <c r="UCA37" s="953"/>
      <c r="UCB37" s="953"/>
      <c r="UCC37" s="953"/>
      <c r="UCD37" s="953"/>
      <c r="UCE37" s="953"/>
      <c r="UCF37" s="953"/>
      <c r="UCG37" s="953"/>
      <c r="UCH37" s="953"/>
      <c r="UCI37" s="953"/>
      <c r="UCJ37" s="953"/>
      <c r="UCK37" s="953"/>
      <c r="UCL37" s="953"/>
      <c r="UCM37" s="953"/>
      <c r="UCN37" s="953"/>
      <c r="UCO37" s="953"/>
      <c r="UCP37" s="953"/>
      <c r="UCQ37" s="953"/>
      <c r="UCR37" s="953"/>
      <c r="UCS37" s="953"/>
      <c r="UCT37" s="953"/>
      <c r="UCU37" s="953"/>
      <c r="UCV37" s="953"/>
      <c r="UCW37" s="953"/>
      <c r="UCX37" s="953"/>
      <c r="UCY37" s="953"/>
      <c r="UCZ37" s="953"/>
      <c r="UDA37" s="953"/>
      <c r="UDB37" s="953"/>
      <c r="UDC37" s="953"/>
      <c r="UDD37" s="953"/>
      <c r="UDE37" s="953"/>
      <c r="UDF37" s="953"/>
      <c r="UDG37" s="953"/>
      <c r="UDH37" s="953"/>
      <c r="UDI37" s="953"/>
      <c r="UDJ37" s="953"/>
      <c r="UDK37" s="953"/>
      <c r="UDL37" s="953"/>
      <c r="UDM37" s="953"/>
      <c r="UDN37" s="953"/>
      <c r="UDO37" s="953"/>
      <c r="UDP37" s="953"/>
      <c r="UDQ37" s="953"/>
      <c r="UDR37" s="953"/>
      <c r="UDS37" s="953"/>
      <c r="UDT37" s="953"/>
      <c r="UDU37" s="953"/>
      <c r="UDV37" s="953"/>
      <c r="UDW37" s="953"/>
      <c r="UDX37" s="953"/>
      <c r="UDY37" s="953"/>
      <c r="UDZ37" s="953"/>
      <c r="UEA37" s="953"/>
      <c r="UEB37" s="953"/>
      <c r="UEC37" s="953"/>
      <c r="UED37" s="953"/>
      <c r="UEE37" s="953"/>
      <c r="UEF37" s="953"/>
      <c r="UEG37" s="953"/>
      <c r="UEH37" s="953"/>
      <c r="UEI37" s="953"/>
      <c r="UEJ37" s="953"/>
      <c r="UEK37" s="953"/>
      <c r="UEL37" s="953"/>
      <c r="UEM37" s="953"/>
      <c r="UEN37" s="953"/>
      <c r="UEO37" s="953"/>
      <c r="UEP37" s="953"/>
      <c r="UEQ37" s="953"/>
      <c r="UER37" s="953"/>
      <c r="UES37" s="953"/>
      <c r="UET37" s="953"/>
      <c r="UEU37" s="953"/>
      <c r="UEV37" s="953"/>
      <c r="UEW37" s="953"/>
      <c r="UEX37" s="953"/>
      <c r="UEY37" s="953"/>
      <c r="UEZ37" s="953"/>
      <c r="UFA37" s="953"/>
      <c r="UFB37" s="953"/>
      <c r="UFC37" s="953"/>
      <c r="UFD37" s="953"/>
      <c r="UFE37" s="953"/>
      <c r="UFF37" s="953"/>
      <c r="UFG37" s="953"/>
      <c r="UFH37" s="953"/>
      <c r="UFI37" s="953"/>
      <c r="UFJ37" s="953"/>
      <c r="UFK37" s="953"/>
      <c r="UFL37" s="953"/>
      <c r="UFM37" s="953"/>
      <c r="UFN37" s="953"/>
      <c r="UFO37" s="953"/>
      <c r="UFP37" s="953"/>
      <c r="UFQ37" s="953"/>
      <c r="UFR37" s="953"/>
      <c r="UFS37" s="953"/>
      <c r="UFT37" s="953"/>
      <c r="UFU37" s="953"/>
      <c r="UFV37" s="953"/>
      <c r="UFW37" s="953"/>
      <c r="UFX37" s="953"/>
      <c r="UFY37" s="953"/>
      <c r="UFZ37" s="953"/>
      <c r="UGA37" s="953"/>
      <c r="UGB37" s="953"/>
      <c r="UGC37" s="953"/>
      <c r="UGD37" s="953"/>
      <c r="UGE37" s="953"/>
      <c r="UGF37" s="953"/>
      <c r="UGG37" s="953"/>
      <c r="UGH37" s="953"/>
      <c r="UGI37" s="953"/>
      <c r="UGJ37" s="953"/>
      <c r="UGK37" s="953"/>
      <c r="UGL37" s="953"/>
      <c r="UGM37" s="953"/>
      <c r="UGN37" s="953"/>
      <c r="UGO37" s="953"/>
      <c r="UGP37" s="953"/>
      <c r="UGQ37" s="953"/>
      <c r="UGR37" s="953"/>
      <c r="UGS37" s="953"/>
      <c r="UGT37" s="953"/>
      <c r="UGU37" s="953"/>
      <c r="UGV37" s="953"/>
      <c r="UGW37" s="953"/>
      <c r="UGX37" s="953"/>
      <c r="UGY37" s="953"/>
      <c r="UGZ37" s="953"/>
      <c r="UHA37" s="953"/>
      <c r="UHB37" s="953"/>
      <c r="UHC37" s="953"/>
      <c r="UHD37" s="953"/>
      <c r="UHE37" s="953"/>
      <c r="UHF37" s="953"/>
      <c r="UHG37" s="953"/>
      <c r="UHH37" s="953"/>
      <c r="UHI37" s="953"/>
      <c r="UHJ37" s="953"/>
      <c r="UHK37" s="953"/>
      <c r="UHL37" s="953"/>
      <c r="UHM37" s="953"/>
      <c r="UHN37" s="953"/>
      <c r="UHO37" s="953"/>
      <c r="UHP37" s="953"/>
      <c r="UHQ37" s="953"/>
      <c r="UHR37" s="953"/>
      <c r="UHS37" s="953"/>
      <c r="UHT37" s="953"/>
      <c r="UHU37" s="953"/>
      <c r="UHV37" s="953"/>
      <c r="UHW37" s="953"/>
      <c r="UHX37" s="953"/>
      <c r="UHY37" s="953"/>
      <c r="UHZ37" s="953"/>
      <c r="UIA37" s="953"/>
      <c r="UIB37" s="953"/>
      <c r="UIC37" s="953"/>
      <c r="UID37" s="953"/>
      <c r="UIE37" s="953"/>
      <c r="UIF37" s="953"/>
      <c r="UIG37" s="953"/>
      <c r="UIH37" s="953"/>
      <c r="UII37" s="953"/>
      <c r="UIJ37" s="953"/>
      <c r="UIK37" s="953"/>
      <c r="UIL37" s="953"/>
      <c r="UIM37" s="953"/>
      <c r="UIN37" s="953"/>
      <c r="UIO37" s="953"/>
      <c r="UIP37" s="953"/>
      <c r="UIQ37" s="953"/>
      <c r="UIR37" s="953"/>
      <c r="UIS37" s="953"/>
      <c r="UIT37" s="953"/>
      <c r="UIU37" s="953"/>
      <c r="UIV37" s="953"/>
      <c r="UIW37" s="953"/>
      <c r="UIX37" s="953"/>
      <c r="UIY37" s="953"/>
      <c r="UIZ37" s="953"/>
      <c r="UJA37" s="953"/>
      <c r="UJB37" s="953"/>
      <c r="UJC37" s="953"/>
      <c r="UJD37" s="953"/>
      <c r="UJE37" s="953"/>
      <c r="UJF37" s="953"/>
      <c r="UJG37" s="953"/>
      <c r="UJH37" s="953"/>
      <c r="UJI37" s="953"/>
      <c r="UJJ37" s="953"/>
      <c r="UJK37" s="953"/>
      <c r="UJL37" s="953"/>
      <c r="UJM37" s="953"/>
      <c r="UJN37" s="953"/>
      <c r="UJO37" s="953"/>
      <c r="UJP37" s="953"/>
      <c r="UJQ37" s="953"/>
      <c r="UJR37" s="953"/>
      <c r="UJS37" s="953"/>
      <c r="UJT37" s="953"/>
      <c r="UJU37" s="953"/>
      <c r="UJV37" s="953"/>
      <c r="UJW37" s="953"/>
      <c r="UJX37" s="953"/>
      <c r="UJY37" s="953"/>
      <c r="UJZ37" s="953"/>
      <c r="UKA37" s="953"/>
      <c r="UKB37" s="953"/>
      <c r="UKC37" s="953"/>
      <c r="UKD37" s="953"/>
      <c r="UKE37" s="953"/>
      <c r="UKF37" s="953"/>
      <c r="UKG37" s="953"/>
      <c r="UKH37" s="953"/>
      <c r="UKI37" s="953"/>
      <c r="UKJ37" s="953"/>
      <c r="UKK37" s="953"/>
      <c r="UKL37" s="953"/>
      <c r="UKM37" s="953"/>
      <c r="UKN37" s="953"/>
      <c r="UKO37" s="953"/>
      <c r="UKP37" s="953"/>
      <c r="UKQ37" s="953"/>
      <c r="UKR37" s="953"/>
      <c r="UKS37" s="953"/>
      <c r="UKT37" s="953"/>
      <c r="UKU37" s="953"/>
      <c r="UKV37" s="953"/>
      <c r="UKW37" s="953"/>
      <c r="UKX37" s="953"/>
      <c r="UKY37" s="953"/>
      <c r="UKZ37" s="953"/>
      <c r="ULA37" s="953"/>
      <c r="ULB37" s="953"/>
      <c r="ULC37" s="953"/>
      <c r="ULD37" s="953"/>
      <c r="ULE37" s="953"/>
      <c r="ULF37" s="953"/>
      <c r="ULG37" s="953"/>
      <c r="ULH37" s="953"/>
      <c r="ULI37" s="953"/>
      <c r="ULJ37" s="953"/>
      <c r="ULK37" s="953"/>
      <c r="ULL37" s="953"/>
      <c r="ULM37" s="953"/>
      <c r="ULN37" s="953"/>
      <c r="ULO37" s="953"/>
      <c r="ULP37" s="953"/>
      <c r="ULQ37" s="953"/>
      <c r="ULR37" s="953"/>
      <c r="ULS37" s="953"/>
      <c r="ULT37" s="953"/>
      <c r="ULU37" s="953"/>
      <c r="ULV37" s="953"/>
      <c r="ULW37" s="953"/>
      <c r="ULX37" s="953"/>
      <c r="ULY37" s="953"/>
      <c r="ULZ37" s="953"/>
      <c r="UMA37" s="953"/>
      <c r="UMB37" s="953"/>
      <c r="UMC37" s="953"/>
      <c r="UMD37" s="953"/>
      <c r="UME37" s="953"/>
      <c r="UMF37" s="953"/>
      <c r="UMG37" s="953"/>
      <c r="UMH37" s="953"/>
      <c r="UMI37" s="953"/>
      <c r="UMJ37" s="953"/>
      <c r="UMK37" s="953"/>
      <c r="UML37" s="953"/>
      <c r="UMM37" s="953"/>
      <c r="UMN37" s="953"/>
      <c r="UMO37" s="953"/>
      <c r="UMP37" s="953"/>
      <c r="UMQ37" s="953"/>
      <c r="UMR37" s="953"/>
      <c r="UMS37" s="953"/>
      <c r="UMT37" s="953"/>
      <c r="UMU37" s="953"/>
      <c r="UMV37" s="953"/>
      <c r="UMW37" s="953"/>
      <c r="UMX37" s="953"/>
      <c r="UMY37" s="953"/>
      <c r="UMZ37" s="953"/>
      <c r="UNA37" s="953"/>
      <c r="UNB37" s="953"/>
      <c r="UNC37" s="953"/>
      <c r="UND37" s="953"/>
      <c r="UNE37" s="953"/>
      <c r="UNF37" s="953"/>
      <c r="UNG37" s="953"/>
      <c r="UNH37" s="953"/>
      <c r="UNI37" s="953"/>
      <c r="UNJ37" s="953"/>
      <c r="UNK37" s="953"/>
      <c r="UNL37" s="953"/>
      <c r="UNM37" s="953"/>
      <c r="UNN37" s="953"/>
      <c r="UNO37" s="953"/>
      <c r="UNP37" s="953"/>
      <c r="UNQ37" s="953"/>
      <c r="UNR37" s="953"/>
      <c r="UNS37" s="953"/>
      <c r="UNT37" s="953"/>
      <c r="UNU37" s="953"/>
      <c r="UNV37" s="953"/>
      <c r="UNW37" s="953"/>
      <c r="UNX37" s="953"/>
      <c r="UNY37" s="953"/>
      <c r="UNZ37" s="953"/>
      <c r="UOA37" s="953"/>
      <c r="UOB37" s="953"/>
      <c r="UOC37" s="953"/>
      <c r="UOD37" s="953"/>
      <c r="UOE37" s="953"/>
      <c r="UOF37" s="953"/>
      <c r="UOG37" s="953"/>
      <c r="UOH37" s="953"/>
      <c r="UOI37" s="953"/>
      <c r="UOJ37" s="953"/>
      <c r="UOK37" s="953"/>
      <c r="UOL37" s="953"/>
      <c r="UOM37" s="953"/>
      <c r="UON37" s="953"/>
      <c r="UOO37" s="953"/>
      <c r="UOP37" s="953"/>
      <c r="UOQ37" s="953"/>
      <c r="UOR37" s="953"/>
      <c r="UOS37" s="953"/>
      <c r="UOT37" s="953"/>
      <c r="UOU37" s="953"/>
      <c r="UOV37" s="953"/>
      <c r="UOW37" s="953"/>
      <c r="UOX37" s="953"/>
      <c r="UOY37" s="953"/>
      <c r="UOZ37" s="953"/>
      <c r="UPA37" s="953"/>
      <c r="UPB37" s="953"/>
      <c r="UPC37" s="953"/>
      <c r="UPD37" s="953"/>
      <c r="UPE37" s="953"/>
      <c r="UPF37" s="953"/>
      <c r="UPG37" s="953"/>
      <c r="UPH37" s="953"/>
      <c r="UPI37" s="953"/>
      <c r="UPJ37" s="953"/>
      <c r="UPK37" s="953"/>
      <c r="UPL37" s="953"/>
      <c r="UPM37" s="953"/>
      <c r="UPN37" s="953"/>
      <c r="UPO37" s="953"/>
      <c r="UPP37" s="953"/>
      <c r="UPQ37" s="953"/>
      <c r="UPR37" s="953"/>
      <c r="UPS37" s="953"/>
      <c r="UPT37" s="953"/>
      <c r="UPU37" s="953"/>
      <c r="UPV37" s="953"/>
      <c r="UPW37" s="953"/>
      <c r="UPX37" s="953"/>
      <c r="UPY37" s="953"/>
      <c r="UPZ37" s="953"/>
      <c r="UQA37" s="953"/>
      <c r="UQB37" s="953"/>
      <c r="UQC37" s="953"/>
      <c r="UQD37" s="953"/>
      <c r="UQE37" s="953"/>
      <c r="UQF37" s="953"/>
      <c r="UQG37" s="953"/>
      <c r="UQH37" s="953"/>
      <c r="UQI37" s="953"/>
      <c r="UQJ37" s="953"/>
      <c r="UQK37" s="953"/>
      <c r="UQL37" s="953"/>
      <c r="UQM37" s="953"/>
      <c r="UQN37" s="953"/>
      <c r="UQO37" s="953"/>
      <c r="UQP37" s="953"/>
      <c r="UQQ37" s="953"/>
      <c r="UQR37" s="953"/>
      <c r="UQS37" s="953"/>
      <c r="UQT37" s="953"/>
      <c r="UQU37" s="953"/>
      <c r="UQV37" s="953"/>
      <c r="UQW37" s="953"/>
      <c r="UQX37" s="953"/>
      <c r="UQY37" s="953"/>
      <c r="UQZ37" s="953"/>
      <c r="URA37" s="953"/>
      <c r="URB37" s="953"/>
      <c r="URC37" s="953"/>
      <c r="URD37" s="953"/>
      <c r="URE37" s="953"/>
      <c r="URF37" s="953"/>
      <c r="URG37" s="953"/>
      <c r="URH37" s="953"/>
      <c r="URI37" s="953"/>
      <c r="URJ37" s="953"/>
      <c r="URK37" s="953"/>
      <c r="URL37" s="953"/>
      <c r="URM37" s="953"/>
      <c r="URN37" s="953"/>
      <c r="URO37" s="953"/>
      <c r="URP37" s="953"/>
      <c r="URQ37" s="953"/>
      <c r="URR37" s="953"/>
      <c r="URS37" s="953"/>
      <c r="URT37" s="953"/>
      <c r="URU37" s="953"/>
      <c r="URV37" s="953"/>
      <c r="URW37" s="953"/>
      <c r="URX37" s="953"/>
      <c r="URY37" s="953"/>
      <c r="URZ37" s="953"/>
      <c r="USA37" s="953"/>
      <c r="USB37" s="953"/>
      <c r="USC37" s="953"/>
      <c r="USD37" s="953"/>
      <c r="USE37" s="953"/>
      <c r="USF37" s="953"/>
      <c r="USG37" s="953"/>
      <c r="USH37" s="953"/>
      <c r="USI37" s="953"/>
      <c r="USJ37" s="953"/>
      <c r="USK37" s="953"/>
      <c r="USL37" s="953"/>
      <c r="USM37" s="953"/>
      <c r="USN37" s="953"/>
      <c r="USO37" s="953"/>
      <c r="USP37" s="953"/>
      <c r="USQ37" s="953"/>
      <c r="USR37" s="953"/>
      <c r="USS37" s="953"/>
      <c r="UST37" s="953"/>
      <c r="USU37" s="953"/>
      <c r="USV37" s="953"/>
      <c r="USW37" s="953"/>
      <c r="USX37" s="953"/>
      <c r="USY37" s="953"/>
      <c r="USZ37" s="953"/>
      <c r="UTA37" s="953"/>
      <c r="UTB37" s="953"/>
      <c r="UTC37" s="953"/>
      <c r="UTD37" s="953"/>
      <c r="UTE37" s="953"/>
      <c r="UTF37" s="953"/>
      <c r="UTG37" s="953"/>
      <c r="UTH37" s="953"/>
      <c r="UTI37" s="953"/>
      <c r="UTJ37" s="953"/>
      <c r="UTK37" s="953"/>
      <c r="UTL37" s="953"/>
      <c r="UTM37" s="953"/>
      <c r="UTN37" s="953"/>
      <c r="UTO37" s="953"/>
      <c r="UTP37" s="953"/>
      <c r="UTQ37" s="953"/>
      <c r="UTR37" s="953"/>
      <c r="UTS37" s="953"/>
      <c r="UTT37" s="953"/>
      <c r="UTU37" s="953"/>
      <c r="UTV37" s="953"/>
      <c r="UTW37" s="953"/>
      <c r="UTX37" s="953"/>
      <c r="UTY37" s="953"/>
      <c r="UTZ37" s="953"/>
      <c r="UUA37" s="953"/>
      <c r="UUB37" s="953"/>
      <c r="UUC37" s="953"/>
      <c r="UUD37" s="953"/>
      <c r="UUE37" s="953"/>
      <c r="UUF37" s="953"/>
      <c r="UUG37" s="953"/>
      <c r="UUH37" s="953"/>
      <c r="UUI37" s="953"/>
      <c r="UUJ37" s="953"/>
      <c r="UUK37" s="953"/>
      <c r="UUL37" s="953"/>
      <c r="UUM37" s="953"/>
      <c r="UUN37" s="953"/>
      <c r="UUO37" s="953"/>
      <c r="UUP37" s="953"/>
      <c r="UUQ37" s="953"/>
      <c r="UUR37" s="953"/>
      <c r="UUS37" s="953"/>
      <c r="UUT37" s="953"/>
      <c r="UUU37" s="953"/>
      <c r="UUV37" s="953"/>
      <c r="UUW37" s="953"/>
      <c r="UUX37" s="953"/>
      <c r="UUY37" s="953"/>
      <c r="UUZ37" s="953"/>
      <c r="UVA37" s="953"/>
      <c r="UVB37" s="953"/>
      <c r="UVC37" s="953"/>
      <c r="UVD37" s="953"/>
      <c r="UVE37" s="953"/>
      <c r="UVF37" s="953"/>
      <c r="UVG37" s="953"/>
      <c r="UVH37" s="953"/>
      <c r="UVI37" s="953"/>
      <c r="UVJ37" s="953"/>
      <c r="UVK37" s="953"/>
      <c r="UVL37" s="953"/>
      <c r="UVM37" s="953"/>
      <c r="UVN37" s="953"/>
      <c r="UVO37" s="953"/>
      <c r="UVP37" s="953"/>
      <c r="UVQ37" s="953"/>
      <c r="UVR37" s="953"/>
      <c r="UVS37" s="953"/>
      <c r="UVT37" s="953"/>
      <c r="UVU37" s="953"/>
      <c r="UVV37" s="953"/>
      <c r="UVW37" s="953"/>
      <c r="UVX37" s="953"/>
      <c r="UVY37" s="953"/>
      <c r="UVZ37" s="953"/>
      <c r="UWA37" s="953"/>
      <c r="UWB37" s="953"/>
      <c r="UWC37" s="953"/>
      <c r="UWD37" s="953"/>
      <c r="UWE37" s="953"/>
      <c r="UWF37" s="953"/>
      <c r="UWG37" s="953"/>
      <c r="UWH37" s="953"/>
      <c r="UWI37" s="953"/>
      <c r="UWJ37" s="953"/>
      <c r="UWK37" s="953"/>
      <c r="UWL37" s="953"/>
      <c r="UWM37" s="953"/>
      <c r="UWN37" s="953"/>
      <c r="UWO37" s="953"/>
      <c r="UWP37" s="953"/>
      <c r="UWQ37" s="953"/>
      <c r="UWR37" s="953"/>
      <c r="UWS37" s="953"/>
      <c r="UWT37" s="953"/>
      <c r="UWU37" s="953"/>
      <c r="UWV37" s="953"/>
      <c r="UWW37" s="953"/>
      <c r="UWX37" s="953"/>
      <c r="UWY37" s="953"/>
      <c r="UWZ37" s="953"/>
      <c r="UXA37" s="953"/>
      <c r="UXB37" s="953"/>
      <c r="UXC37" s="953"/>
      <c r="UXD37" s="953"/>
      <c r="UXE37" s="953"/>
      <c r="UXF37" s="953"/>
      <c r="UXG37" s="953"/>
      <c r="UXH37" s="953"/>
      <c r="UXI37" s="953"/>
      <c r="UXJ37" s="953"/>
      <c r="UXK37" s="953"/>
      <c r="UXL37" s="953"/>
      <c r="UXM37" s="953"/>
      <c r="UXN37" s="953"/>
      <c r="UXO37" s="953"/>
      <c r="UXP37" s="953"/>
      <c r="UXQ37" s="953"/>
      <c r="UXR37" s="953"/>
      <c r="UXS37" s="953"/>
      <c r="UXT37" s="953"/>
      <c r="UXU37" s="953"/>
      <c r="UXV37" s="953"/>
      <c r="UXW37" s="953"/>
      <c r="UXX37" s="953"/>
      <c r="UXY37" s="953"/>
      <c r="UXZ37" s="953"/>
      <c r="UYA37" s="953"/>
      <c r="UYB37" s="953"/>
      <c r="UYC37" s="953"/>
      <c r="UYD37" s="953"/>
      <c r="UYE37" s="953"/>
      <c r="UYF37" s="953"/>
      <c r="UYG37" s="953"/>
      <c r="UYH37" s="953"/>
      <c r="UYI37" s="953"/>
      <c r="UYJ37" s="953"/>
      <c r="UYK37" s="953"/>
      <c r="UYL37" s="953"/>
      <c r="UYM37" s="953"/>
      <c r="UYN37" s="953"/>
      <c r="UYO37" s="953"/>
      <c r="UYP37" s="953"/>
      <c r="UYQ37" s="953"/>
      <c r="UYR37" s="953"/>
      <c r="UYS37" s="953"/>
      <c r="UYT37" s="953"/>
      <c r="UYU37" s="953"/>
      <c r="UYV37" s="953"/>
      <c r="UYW37" s="953"/>
      <c r="UYX37" s="953"/>
      <c r="UYY37" s="953"/>
      <c r="UYZ37" s="953"/>
      <c r="UZA37" s="953"/>
      <c r="UZB37" s="953"/>
      <c r="UZC37" s="953"/>
      <c r="UZD37" s="953"/>
      <c r="UZE37" s="953"/>
      <c r="UZF37" s="953"/>
      <c r="UZG37" s="953"/>
      <c r="UZH37" s="953"/>
      <c r="UZI37" s="953"/>
      <c r="UZJ37" s="953"/>
      <c r="UZK37" s="953"/>
      <c r="UZL37" s="953"/>
      <c r="UZM37" s="953"/>
      <c r="UZN37" s="953"/>
      <c r="UZO37" s="953"/>
      <c r="UZP37" s="953"/>
      <c r="UZQ37" s="953"/>
      <c r="UZR37" s="953"/>
      <c r="UZS37" s="953"/>
      <c r="UZT37" s="953"/>
      <c r="UZU37" s="953"/>
      <c r="UZV37" s="953"/>
      <c r="UZW37" s="953"/>
      <c r="UZX37" s="953"/>
      <c r="UZY37" s="953"/>
      <c r="UZZ37" s="953"/>
      <c r="VAA37" s="953"/>
      <c r="VAB37" s="953"/>
      <c r="VAC37" s="953"/>
      <c r="VAD37" s="953"/>
      <c r="VAE37" s="953"/>
      <c r="VAF37" s="953"/>
      <c r="VAG37" s="953"/>
      <c r="VAH37" s="953"/>
      <c r="VAI37" s="953"/>
      <c r="VAJ37" s="953"/>
      <c r="VAK37" s="953"/>
      <c r="VAL37" s="953"/>
      <c r="VAM37" s="953"/>
      <c r="VAN37" s="953"/>
      <c r="VAO37" s="953"/>
      <c r="VAP37" s="953"/>
      <c r="VAQ37" s="953"/>
      <c r="VAR37" s="953"/>
      <c r="VAS37" s="953"/>
      <c r="VAT37" s="953"/>
      <c r="VAU37" s="953"/>
      <c r="VAV37" s="953"/>
      <c r="VAW37" s="953"/>
      <c r="VAX37" s="953"/>
      <c r="VAY37" s="953"/>
      <c r="VAZ37" s="953"/>
      <c r="VBA37" s="953"/>
      <c r="VBB37" s="953"/>
      <c r="VBC37" s="953"/>
      <c r="VBD37" s="953"/>
      <c r="VBE37" s="953"/>
      <c r="VBF37" s="953"/>
      <c r="VBG37" s="953"/>
      <c r="VBH37" s="953"/>
      <c r="VBI37" s="953"/>
      <c r="VBJ37" s="953"/>
      <c r="VBK37" s="953"/>
      <c r="VBL37" s="953"/>
      <c r="VBM37" s="953"/>
      <c r="VBN37" s="953"/>
      <c r="VBO37" s="953"/>
      <c r="VBP37" s="953"/>
      <c r="VBQ37" s="953"/>
      <c r="VBR37" s="953"/>
      <c r="VBS37" s="953"/>
      <c r="VBT37" s="953"/>
      <c r="VBU37" s="953"/>
      <c r="VBV37" s="953"/>
      <c r="VBW37" s="953"/>
      <c r="VBX37" s="953"/>
      <c r="VBY37" s="953"/>
      <c r="VBZ37" s="953"/>
      <c r="VCA37" s="953"/>
      <c r="VCB37" s="953"/>
      <c r="VCC37" s="953"/>
      <c r="VCD37" s="953"/>
      <c r="VCE37" s="953"/>
      <c r="VCF37" s="953"/>
      <c r="VCG37" s="953"/>
      <c r="VCH37" s="953"/>
      <c r="VCI37" s="953"/>
      <c r="VCJ37" s="953"/>
      <c r="VCK37" s="953"/>
      <c r="VCL37" s="953"/>
      <c r="VCM37" s="953"/>
      <c r="VCN37" s="953"/>
      <c r="VCO37" s="953"/>
      <c r="VCP37" s="953"/>
      <c r="VCQ37" s="953"/>
      <c r="VCR37" s="953"/>
      <c r="VCS37" s="953"/>
      <c r="VCT37" s="953"/>
      <c r="VCU37" s="953"/>
      <c r="VCV37" s="953"/>
      <c r="VCW37" s="953"/>
      <c r="VCX37" s="953"/>
      <c r="VCY37" s="953"/>
      <c r="VCZ37" s="953"/>
      <c r="VDA37" s="953"/>
      <c r="VDB37" s="953"/>
      <c r="VDC37" s="953"/>
      <c r="VDD37" s="953"/>
      <c r="VDE37" s="953"/>
      <c r="VDF37" s="953"/>
      <c r="VDG37" s="953"/>
      <c r="VDH37" s="953"/>
      <c r="VDI37" s="953"/>
      <c r="VDJ37" s="953"/>
      <c r="VDK37" s="953"/>
      <c r="VDL37" s="953"/>
      <c r="VDM37" s="953"/>
      <c r="VDN37" s="953"/>
      <c r="VDO37" s="953"/>
      <c r="VDP37" s="953"/>
      <c r="VDQ37" s="953"/>
      <c r="VDR37" s="953"/>
      <c r="VDS37" s="953"/>
      <c r="VDT37" s="953"/>
      <c r="VDU37" s="953"/>
      <c r="VDV37" s="953"/>
      <c r="VDW37" s="953"/>
      <c r="VDX37" s="953"/>
      <c r="VDY37" s="953"/>
      <c r="VDZ37" s="953"/>
      <c r="VEA37" s="953"/>
      <c r="VEB37" s="953"/>
      <c r="VEC37" s="953"/>
      <c r="VED37" s="953"/>
      <c r="VEE37" s="953"/>
      <c r="VEF37" s="953"/>
      <c r="VEG37" s="953"/>
      <c r="VEH37" s="953"/>
      <c r="VEI37" s="953"/>
      <c r="VEJ37" s="953"/>
      <c r="VEK37" s="953"/>
      <c r="VEL37" s="953"/>
      <c r="VEM37" s="953"/>
      <c r="VEN37" s="953"/>
      <c r="VEO37" s="953"/>
      <c r="VEP37" s="953"/>
      <c r="VEQ37" s="953"/>
      <c r="VER37" s="953"/>
      <c r="VES37" s="953"/>
      <c r="VET37" s="953"/>
      <c r="VEU37" s="953"/>
      <c r="VEV37" s="953"/>
      <c r="VEW37" s="953"/>
      <c r="VEX37" s="953"/>
      <c r="VEY37" s="953"/>
      <c r="VEZ37" s="953"/>
      <c r="VFA37" s="953"/>
      <c r="VFB37" s="953"/>
      <c r="VFC37" s="953"/>
      <c r="VFD37" s="953"/>
      <c r="VFE37" s="953"/>
      <c r="VFF37" s="953"/>
      <c r="VFG37" s="953"/>
      <c r="VFH37" s="953"/>
      <c r="VFI37" s="953"/>
      <c r="VFJ37" s="953"/>
      <c r="VFK37" s="953"/>
      <c r="VFL37" s="953"/>
      <c r="VFM37" s="953"/>
      <c r="VFN37" s="953"/>
      <c r="VFO37" s="953"/>
      <c r="VFP37" s="953"/>
      <c r="VFQ37" s="953"/>
      <c r="VFR37" s="953"/>
      <c r="VFS37" s="953"/>
      <c r="VFT37" s="953"/>
      <c r="VFU37" s="953"/>
      <c r="VFV37" s="953"/>
      <c r="VFW37" s="953"/>
      <c r="VFX37" s="953"/>
      <c r="VFY37" s="953"/>
      <c r="VFZ37" s="953"/>
      <c r="VGA37" s="953"/>
      <c r="VGB37" s="953"/>
      <c r="VGC37" s="953"/>
      <c r="VGD37" s="953"/>
      <c r="VGE37" s="953"/>
      <c r="VGF37" s="953"/>
      <c r="VGG37" s="953"/>
      <c r="VGH37" s="953"/>
      <c r="VGI37" s="953"/>
      <c r="VGJ37" s="953"/>
      <c r="VGK37" s="953"/>
      <c r="VGL37" s="953"/>
      <c r="VGM37" s="953"/>
      <c r="VGN37" s="953"/>
      <c r="VGO37" s="953"/>
      <c r="VGP37" s="953"/>
      <c r="VGQ37" s="953"/>
      <c r="VGR37" s="953"/>
      <c r="VGS37" s="953"/>
      <c r="VGT37" s="953"/>
      <c r="VGU37" s="953"/>
      <c r="VGV37" s="953"/>
      <c r="VGW37" s="953"/>
      <c r="VGX37" s="953"/>
      <c r="VGY37" s="953"/>
      <c r="VGZ37" s="953"/>
      <c r="VHA37" s="953"/>
      <c r="VHB37" s="953"/>
      <c r="VHC37" s="953"/>
      <c r="VHD37" s="953"/>
      <c r="VHE37" s="953"/>
      <c r="VHF37" s="953"/>
      <c r="VHG37" s="953"/>
      <c r="VHH37" s="953"/>
      <c r="VHI37" s="953"/>
      <c r="VHJ37" s="953"/>
      <c r="VHK37" s="953"/>
      <c r="VHL37" s="953"/>
      <c r="VHM37" s="953"/>
      <c r="VHN37" s="953"/>
      <c r="VHO37" s="953"/>
      <c r="VHP37" s="953"/>
      <c r="VHQ37" s="953"/>
      <c r="VHR37" s="953"/>
      <c r="VHS37" s="953"/>
      <c r="VHT37" s="953"/>
      <c r="VHU37" s="953"/>
      <c r="VHV37" s="953"/>
      <c r="VHW37" s="953"/>
      <c r="VHX37" s="953"/>
      <c r="VHY37" s="953"/>
      <c r="VHZ37" s="953"/>
      <c r="VIA37" s="953"/>
      <c r="VIB37" s="953"/>
      <c r="VIC37" s="953"/>
      <c r="VID37" s="953"/>
      <c r="VIE37" s="953"/>
      <c r="VIF37" s="953"/>
      <c r="VIG37" s="953"/>
      <c r="VIH37" s="953"/>
      <c r="VII37" s="953"/>
      <c r="VIJ37" s="953"/>
      <c r="VIK37" s="953"/>
      <c r="VIL37" s="953"/>
      <c r="VIM37" s="953"/>
      <c r="VIN37" s="953"/>
      <c r="VIO37" s="953"/>
      <c r="VIP37" s="953"/>
      <c r="VIQ37" s="953"/>
      <c r="VIR37" s="953"/>
      <c r="VIS37" s="953"/>
      <c r="VIT37" s="953"/>
      <c r="VIU37" s="953"/>
      <c r="VIV37" s="953"/>
      <c r="VIW37" s="953"/>
      <c r="VIX37" s="953"/>
      <c r="VIY37" s="953"/>
      <c r="VIZ37" s="953"/>
      <c r="VJA37" s="953"/>
      <c r="VJB37" s="953"/>
      <c r="VJC37" s="953"/>
      <c r="VJD37" s="953"/>
      <c r="VJE37" s="953"/>
      <c r="VJF37" s="953"/>
      <c r="VJG37" s="953"/>
      <c r="VJH37" s="953"/>
      <c r="VJI37" s="953"/>
      <c r="VJJ37" s="953"/>
      <c r="VJK37" s="953"/>
      <c r="VJL37" s="953"/>
      <c r="VJM37" s="953"/>
      <c r="VJN37" s="953"/>
      <c r="VJO37" s="953"/>
      <c r="VJP37" s="953"/>
      <c r="VJQ37" s="953"/>
      <c r="VJR37" s="953"/>
      <c r="VJS37" s="953"/>
      <c r="VJT37" s="953"/>
      <c r="VJU37" s="953"/>
      <c r="VJV37" s="953"/>
      <c r="VJW37" s="953"/>
      <c r="VJX37" s="953"/>
      <c r="VJY37" s="953"/>
      <c r="VJZ37" s="953"/>
      <c r="VKA37" s="953"/>
      <c r="VKB37" s="953"/>
      <c r="VKC37" s="953"/>
      <c r="VKD37" s="953"/>
      <c r="VKE37" s="953"/>
      <c r="VKF37" s="953"/>
      <c r="VKG37" s="953"/>
      <c r="VKH37" s="953"/>
      <c r="VKI37" s="953"/>
      <c r="VKJ37" s="953"/>
      <c r="VKK37" s="953"/>
      <c r="VKL37" s="953"/>
      <c r="VKM37" s="953"/>
      <c r="VKN37" s="953"/>
      <c r="VKO37" s="953"/>
      <c r="VKP37" s="953"/>
      <c r="VKQ37" s="953"/>
      <c r="VKR37" s="953"/>
      <c r="VKS37" s="953"/>
      <c r="VKT37" s="953"/>
      <c r="VKU37" s="953"/>
      <c r="VKV37" s="953"/>
      <c r="VKW37" s="953"/>
      <c r="VKX37" s="953"/>
      <c r="VKY37" s="953"/>
      <c r="VKZ37" s="953"/>
      <c r="VLA37" s="953"/>
      <c r="VLB37" s="953"/>
      <c r="VLC37" s="953"/>
      <c r="VLD37" s="953"/>
      <c r="VLE37" s="953"/>
      <c r="VLF37" s="953"/>
      <c r="VLG37" s="953"/>
      <c r="VLH37" s="953"/>
      <c r="VLI37" s="953"/>
      <c r="VLJ37" s="953"/>
      <c r="VLK37" s="953"/>
      <c r="VLL37" s="953"/>
      <c r="VLM37" s="953"/>
      <c r="VLN37" s="953"/>
      <c r="VLO37" s="953"/>
      <c r="VLP37" s="953"/>
      <c r="VLQ37" s="953"/>
      <c r="VLR37" s="953"/>
      <c r="VLS37" s="953"/>
      <c r="VLT37" s="953"/>
      <c r="VLU37" s="953"/>
      <c r="VLV37" s="953"/>
      <c r="VLW37" s="953"/>
      <c r="VLX37" s="953"/>
      <c r="VLY37" s="953"/>
      <c r="VLZ37" s="953"/>
      <c r="VMA37" s="953"/>
      <c r="VMB37" s="953"/>
      <c r="VMC37" s="953"/>
      <c r="VMD37" s="953"/>
      <c r="VME37" s="953"/>
      <c r="VMF37" s="953"/>
      <c r="VMG37" s="953"/>
      <c r="VMH37" s="953"/>
      <c r="VMI37" s="953"/>
      <c r="VMJ37" s="953"/>
      <c r="VMK37" s="953"/>
      <c r="VML37" s="953"/>
      <c r="VMM37" s="953"/>
      <c r="VMN37" s="953"/>
      <c r="VMO37" s="953"/>
      <c r="VMP37" s="953"/>
      <c r="VMQ37" s="953"/>
      <c r="VMR37" s="953"/>
      <c r="VMS37" s="953"/>
      <c r="VMT37" s="953"/>
      <c r="VMU37" s="953"/>
      <c r="VMV37" s="953"/>
      <c r="VMW37" s="953"/>
      <c r="VMX37" s="953"/>
      <c r="VMY37" s="953"/>
      <c r="VMZ37" s="953"/>
      <c r="VNA37" s="953"/>
      <c r="VNB37" s="953"/>
      <c r="VNC37" s="953"/>
      <c r="VND37" s="953"/>
      <c r="VNE37" s="953"/>
      <c r="VNF37" s="953"/>
      <c r="VNG37" s="953"/>
      <c r="VNH37" s="953"/>
      <c r="VNI37" s="953"/>
      <c r="VNJ37" s="953"/>
      <c r="VNK37" s="953"/>
      <c r="VNL37" s="953"/>
      <c r="VNM37" s="953"/>
      <c r="VNN37" s="953"/>
      <c r="VNO37" s="953"/>
      <c r="VNP37" s="953"/>
      <c r="VNQ37" s="953"/>
      <c r="VNR37" s="953"/>
      <c r="VNS37" s="953"/>
      <c r="VNT37" s="953"/>
      <c r="VNU37" s="953"/>
      <c r="VNV37" s="953"/>
      <c r="VNW37" s="953"/>
      <c r="VNX37" s="953"/>
      <c r="VNY37" s="953"/>
      <c r="VNZ37" s="953"/>
      <c r="VOA37" s="953"/>
      <c r="VOB37" s="953"/>
      <c r="VOC37" s="953"/>
      <c r="VOD37" s="953"/>
      <c r="VOE37" s="953"/>
      <c r="VOF37" s="953"/>
      <c r="VOG37" s="953"/>
      <c r="VOH37" s="953"/>
      <c r="VOI37" s="953"/>
      <c r="VOJ37" s="953"/>
      <c r="VOK37" s="953"/>
      <c r="VOL37" s="953"/>
      <c r="VOM37" s="953"/>
      <c r="VON37" s="953"/>
      <c r="VOO37" s="953"/>
      <c r="VOP37" s="953"/>
      <c r="VOQ37" s="953"/>
      <c r="VOR37" s="953"/>
      <c r="VOS37" s="953"/>
      <c r="VOT37" s="953"/>
      <c r="VOU37" s="953"/>
      <c r="VOV37" s="953"/>
      <c r="VOW37" s="953"/>
      <c r="VOX37" s="953"/>
      <c r="VOY37" s="953"/>
      <c r="VOZ37" s="953"/>
      <c r="VPA37" s="953"/>
      <c r="VPB37" s="953"/>
      <c r="VPC37" s="953"/>
      <c r="VPD37" s="953"/>
      <c r="VPE37" s="953"/>
      <c r="VPF37" s="953"/>
      <c r="VPG37" s="953"/>
      <c r="VPH37" s="953"/>
      <c r="VPI37" s="953"/>
      <c r="VPJ37" s="953"/>
      <c r="VPK37" s="953"/>
      <c r="VPL37" s="953"/>
      <c r="VPM37" s="953"/>
      <c r="VPN37" s="953"/>
      <c r="VPO37" s="953"/>
      <c r="VPP37" s="953"/>
      <c r="VPQ37" s="953"/>
      <c r="VPR37" s="953"/>
      <c r="VPS37" s="953"/>
      <c r="VPT37" s="953"/>
      <c r="VPU37" s="953"/>
      <c r="VPV37" s="953"/>
      <c r="VPW37" s="953"/>
      <c r="VPX37" s="953"/>
      <c r="VPY37" s="953"/>
      <c r="VPZ37" s="953"/>
      <c r="VQA37" s="953"/>
      <c r="VQB37" s="953"/>
      <c r="VQC37" s="953"/>
      <c r="VQD37" s="953"/>
      <c r="VQE37" s="953"/>
      <c r="VQF37" s="953"/>
      <c r="VQG37" s="953"/>
      <c r="VQH37" s="953"/>
      <c r="VQI37" s="953"/>
      <c r="VQJ37" s="953"/>
      <c r="VQK37" s="953"/>
      <c r="VQL37" s="953"/>
      <c r="VQM37" s="953"/>
      <c r="VQN37" s="953"/>
      <c r="VQO37" s="953"/>
      <c r="VQP37" s="953"/>
      <c r="VQQ37" s="953"/>
      <c r="VQR37" s="953"/>
      <c r="VQS37" s="953"/>
      <c r="VQT37" s="953"/>
      <c r="VQU37" s="953"/>
      <c r="VQV37" s="953"/>
      <c r="VQW37" s="953"/>
      <c r="VQX37" s="953"/>
      <c r="VQY37" s="953"/>
      <c r="VQZ37" s="953"/>
      <c r="VRA37" s="953"/>
      <c r="VRB37" s="953"/>
      <c r="VRC37" s="953"/>
      <c r="VRD37" s="953"/>
      <c r="VRE37" s="953"/>
      <c r="VRF37" s="953"/>
      <c r="VRG37" s="953"/>
      <c r="VRH37" s="953"/>
      <c r="VRI37" s="953"/>
      <c r="VRJ37" s="953"/>
      <c r="VRK37" s="953"/>
      <c r="VRL37" s="953"/>
      <c r="VRM37" s="953"/>
      <c r="VRN37" s="953"/>
      <c r="VRO37" s="953"/>
      <c r="VRP37" s="953"/>
      <c r="VRQ37" s="953"/>
      <c r="VRR37" s="953"/>
      <c r="VRS37" s="953"/>
      <c r="VRT37" s="953"/>
      <c r="VRU37" s="953"/>
      <c r="VRV37" s="953"/>
      <c r="VRW37" s="953"/>
      <c r="VRX37" s="953"/>
      <c r="VRY37" s="953"/>
      <c r="VRZ37" s="953"/>
      <c r="VSA37" s="953"/>
      <c r="VSB37" s="953"/>
      <c r="VSC37" s="953"/>
      <c r="VSD37" s="953"/>
      <c r="VSE37" s="953"/>
      <c r="VSF37" s="953"/>
      <c r="VSG37" s="953"/>
      <c r="VSH37" s="953"/>
      <c r="VSI37" s="953"/>
      <c r="VSJ37" s="953"/>
      <c r="VSK37" s="953"/>
      <c r="VSL37" s="953"/>
      <c r="VSM37" s="953"/>
      <c r="VSN37" s="953"/>
      <c r="VSO37" s="953"/>
      <c r="VSP37" s="953"/>
      <c r="VSQ37" s="953"/>
      <c r="VSR37" s="953"/>
      <c r="VSS37" s="953"/>
      <c r="VST37" s="953"/>
      <c r="VSU37" s="953"/>
      <c r="VSV37" s="953"/>
      <c r="VSW37" s="953"/>
      <c r="VSX37" s="953"/>
      <c r="VSY37" s="953"/>
      <c r="VSZ37" s="953"/>
      <c r="VTA37" s="953"/>
      <c r="VTB37" s="953"/>
      <c r="VTC37" s="953"/>
      <c r="VTD37" s="953"/>
      <c r="VTE37" s="953"/>
      <c r="VTF37" s="953"/>
      <c r="VTG37" s="953"/>
      <c r="VTH37" s="953"/>
      <c r="VTI37" s="953"/>
      <c r="VTJ37" s="953"/>
      <c r="VTK37" s="953"/>
      <c r="VTL37" s="953"/>
      <c r="VTM37" s="953"/>
      <c r="VTN37" s="953"/>
      <c r="VTO37" s="953"/>
      <c r="VTP37" s="953"/>
      <c r="VTQ37" s="953"/>
      <c r="VTR37" s="953"/>
      <c r="VTS37" s="953"/>
      <c r="VTT37" s="953"/>
      <c r="VTU37" s="953"/>
      <c r="VTV37" s="953"/>
      <c r="VTW37" s="953"/>
      <c r="VTX37" s="953"/>
      <c r="VTY37" s="953"/>
      <c r="VTZ37" s="953"/>
      <c r="VUA37" s="953"/>
      <c r="VUB37" s="953"/>
      <c r="VUC37" s="953"/>
      <c r="VUD37" s="953"/>
      <c r="VUE37" s="953"/>
      <c r="VUF37" s="953"/>
      <c r="VUG37" s="953"/>
      <c r="VUH37" s="953"/>
      <c r="VUI37" s="953"/>
      <c r="VUJ37" s="953"/>
      <c r="VUK37" s="953"/>
      <c r="VUL37" s="953"/>
      <c r="VUM37" s="953"/>
      <c r="VUN37" s="953"/>
      <c r="VUO37" s="953"/>
      <c r="VUP37" s="953"/>
      <c r="VUQ37" s="953"/>
      <c r="VUR37" s="953"/>
      <c r="VUS37" s="953"/>
      <c r="VUT37" s="953"/>
      <c r="VUU37" s="953"/>
      <c r="VUV37" s="953"/>
      <c r="VUW37" s="953"/>
      <c r="VUX37" s="953"/>
      <c r="VUY37" s="953"/>
      <c r="VUZ37" s="953"/>
      <c r="VVA37" s="953"/>
      <c r="VVB37" s="953"/>
      <c r="VVC37" s="953"/>
      <c r="VVD37" s="953"/>
      <c r="VVE37" s="953"/>
      <c r="VVF37" s="953"/>
      <c r="VVG37" s="953"/>
      <c r="VVH37" s="953"/>
      <c r="VVI37" s="953"/>
      <c r="VVJ37" s="953"/>
      <c r="VVK37" s="953"/>
      <c r="VVL37" s="953"/>
      <c r="VVM37" s="953"/>
      <c r="VVN37" s="953"/>
      <c r="VVO37" s="953"/>
      <c r="VVP37" s="953"/>
      <c r="VVQ37" s="953"/>
      <c r="VVR37" s="953"/>
      <c r="VVS37" s="953"/>
      <c r="VVT37" s="953"/>
      <c r="VVU37" s="953"/>
      <c r="VVV37" s="953"/>
      <c r="VVW37" s="953"/>
      <c r="VVX37" s="953"/>
      <c r="VVY37" s="953"/>
      <c r="VVZ37" s="953"/>
      <c r="VWA37" s="953"/>
      <c r="VWB37" s="953"/>
      <c r="VWC37" s="953"/>
      <c r="VWD37" s="953"/>
      <c r="VWE37" s="953"/>
      <c r="VWF37" s="953"/>
      <c r="VWG37" s="953"/>
      <c r="VWH37" s="953"/>
      <c r="VWI37" s="953"/>
      <c r="VWJ37" s="953"/>
      <c r="VWK37" s="953"/>
      <c r="VWL37" s="953"/>
      <c r="VWM37" s="953"/>
      <c r="VWN37" s="953"/>
      <c r="VWO37" s="953"/>
      <c r="VWP37" s="953"/>
      <c r="VWQ37" s="953"/>
      <c r="VWR37" s="953"/>
      <c r="VWS37" s="953"/>
      <c r="VWT37" s="953"/>
      <c r="VWU37" s="953"/>
      <c r="VWV37" s="953"/>
      <c r="VWW37" s="953"/>
      <c r="VWX37" s="953"/>
      <c r="VWY37" s="953"/>
      <c r="VWZ37" s="953"/>
      <c r="VXA37" s="953"/>
      <c r="VXB37" s="953"/>
      <c r="VXC37" s="953"/>
      <c r="VXD37" s="953"/>
      <c r="VXE37" s="953"/>
      <c r="VXF37" s="953"/>
      <c r="VXG37" s="953"/>
      <c r="VXH37" s="953"/>
      <c r="VXI37" s="953"/>
      <c r="VXJ37" s="953"/>
      <c r="VXK37" s="953"/>
      <c r="VXL37" s="953"/>
      <c r="VXM37" s="953"/>
      <c r="VXN37" s="953"/>
      <c r="VXO37" s="953"/>
      <c r="VXP37" s="953"/>
      <c r="VXQ37" s="953"/>
      <c r="VXR37" s="953"/>
      <c r="VXS37" s="953"/>
      <c r="VXT37" s="953"/>
      <c r="VXU37" s="953"/>
      <c r="VXV37" s="953"/>
      <c r="VXW37" s="953"/>
      <c r="VXX37" s="953"/>
      <c r="VXY37" s="953"/>
      <c r="VXZ37" s="953"/>
      <c r="VYA37" s="953"/>
      <c r="VYB37" s="953"/>
      <c r="VYC37" s="953"/>
      <c r="VYD37" s="953"/>
      <c r="VYE37" s="953"/>
      <c r="VYF37" s="953"/>
      <c r="VYG37" s="953"/>
      <c r="VYH37" s="953"/>
      <c r="VYI37" s="953"/>
      <c r="VYJ37" s="953"/>
      <c r="VYK37" s="953"/>
      <c r="VYL37" s="953"/>
      <c r="VYM37" s="953"/>
      <c r="VYN37" s="953"/>
      <c r="VYO37" s="953"/>
      <c r="VYP37" s="953"/>
      <c r="VYQ37" s="953"/>
      <c r="VYR37" s="953"/>
      <c r="VYS37" s="953"/>
      <c r="VYT37" s="953"/>
      <c r="VYU37" s="953"/>
      <c r="VYV37" s="953"/>
      <c r="VYW37" s="953"/>
      <c r="VYX37" s="953"/>
      <c r="VYY37" s="953"/>
      <c r="VYZ37" s="953"/>
      <c r="VZA37" s="953"/>
      <c r="VZB37" s="953"/>
      <c r="VZC37" s="953"/>
      <c r="VZD37" s="953"/>
      <c r="VZE37" s="953"/>
      <c r="VZF37" s="953"/>
      <c r="VZG37" s="953"/>
      <c r="VZH37" s="953"/>
      <c r="VZI37" s="953"/>
      <c r="VZJ37" s="953"/>
      <c r="VZK37" s="953"/>
      <c r="VZL37" s="953"/>
      <c r="VZM37" s="953"/>
      <c r="VZN37" s="953"/>
      <c r="VZO37" s="953"/>
      <c r="VZP37" s="953"/>
      <c r="VZQ37" s="953"/>
      <c r="VZR37" s="953"/>
      <c r="VZS37" s="953"/>
      <c r="VZT37" s="953"/>
      <c r="VZU37" s="953"/>
      <c r="VZV37" s="953"/>
      <c r="VZW37" s="953"/>
      <c r="VZX37" s="953"/>
      <c r="VZY37" s="953"/>
      <c r="VZZ37" s="953"/>
      <c r="WAA37" s="953"/>
      <c r="WAB37" s="953"/>
      <c r="WAC37" s="953"/>
      <c r="WAD37" s="953"/>
      <c r="WAE37" s="953"/>
      <c r="WAF37" s="953"/>
      <c r="WAG37" s="953"/>
      <c r="WAH37" s="953"/>
      <c r="WAI37" s="953"/>
      <c r="WAJ37" s="953"/>
      <c r="WAK37" s="953"/>
      <c r="WAL37" s="953"/>
      <c r="WAM37" s="953"/>
      <c r="WAN37" s="953"/>
      <c r="WAO37" s="953"/>
      <c r="WAP37" s="953"/>
      <c r="WAQ37" s="953"/>
      <c r="WAR37" s="953"/>
      <c r="WAS37" s="953"/>
      <c r="WAT37" s="953"/>
      <c r="WAU37" s="953"/>
      <c r="WAV37" s="953"/>
      <c r="WAW37" s="953"/>
      <c r="WAX37" s="953"/>
      <c r="WAY37" s="953"/>
      <c r="WAZ37" s="953"/>
      <c r="WBA37" s="953"/>
      <c r="WBB37" s="953"/>
      <c r="WBC37" s="953"/>
      <c r="WBD37" s="953"/>
      <c r="WBE37" s="953"/>
      <c r="WBF37" s="953"/>
      <c r="WBG37" s="953"/>
      <c r="WBH37" s="953"/>
      <c r="WBI37" s="953"/>
      <c r="WBJ37" s="953"/>
      <c r="WBK37" s="953"/>
      <c r="WBL37" s="953"/>
      <c r="WBM37" s="953"/>
      <c r="WBN37" s="953"/>
      <c r="WBO37" s="953"/>
      <c r="WBP37" s="953"/>
      <c r="WBQ37" s="953"/>
      <c r="WBR37" s="953"/>
      <c r="WBS37" s="953"/>
      <c r="WBT37" s="953"/>
      <c r="WBU37" s="953"/>
      <c r="WBV37" s="953"/>
      <c r="WBW37" s="953"/>
      <c r="WBX37" s="953"/>
      <c r="WBY37" s="953"/>
      <c r="WBZ37" s="953"/>
      <c r="WCA37" s="953"/>
      <c r="WCB37" s="953"/>
      <c r="WCC37" s="953"/>
      <c r="WCD37" s="953"/>
      <c r="WCE37" s="953"/>
      <c r="WCF37" s="953"/>
      <c r="WCG37" s="953"/>
      <c r="WCH37" s="953"/>
      <c r="WCI37" s="953"/>
      <c r="WCJ37" s="953"/>
      <c r="WCK37" s="953"/>
      <c r="WCL37" s="953"/>
      <c r="WCM37" s="953"/>
      <c r="WCN37" s="953"/>
      <c r="WCO37" s="953"/>
      <c r="WCP37" s="953"/>
      <c r="WCQ37" s="953"/>
      <c r="WCR37" s="953"/>
      <c r="WCS37" s="953"/>
      <c r="WCT37" s="953"/>
      <c r="WCU37" s="953"/>
      <c r="WCV37" s="953"/>
      <c r="WCW37" s="953"/>
      <c r="WCX37" s="953"/>
      <c r="WCY37" s="953"/>
      <c r="WCZ37" s="953"/>
      <c r="WDA37" s="953"/>
      <c r="WDB37" s="953"/>
      <c r="WDC37" s="953"/>
      <c r="WDD37" s="953"/>
      <c r="WDE37" s="953"/>
      <c r="WDF37" s="953"/>
      <c r="WDG37" s="953"/>
      <c r="WDH37" s="953"/>
      <c r="WDI37" s="953"/>
      <c r="WDJ37" s="953"/>
      <c r="WDK37" s="953"/>
      <c r="WDL37" s="953"/>
      <c r="WDM37" s="953"/>
      <c r="WDN37" s="953"/>
      <c r="WDO37" s="953"/>
      <c r="WDP37" s="953"/>
      <c r="WDQ37" s="953"/>
      <c r="WDR37" s="953"/>
      <c r="WDS37" s="953"/>
      <c r="WDT37" s="953"/>
      <c r="WDU37" s="953"/>
      <c r="WDV37" s="953"/>
      <c r="WDW37" s="953"/>
      <c r="WDX37" s="953"/>
      <c r="WDY37" s="953"/>
      <c r="WDZ37" s="953"/>
      <c r="WEA37" s="953"/>
      <c r="WEB37" s="953"/>
      <c r="WEC37" s="953"/>
      <c r="WED37" s="953"/>
      <c r="WEE37" s="953"/>
      <c r="WEF37" s="953"/>
      <c r="WEG37" s="953"/>
      <c r="WEH37" s="953"/>
      <c r="WEI37" s="953"/>
      <c r="WEJ37" s="953"/>
      <c r="WEK37" s="953"/>
      <c r="WEL37" s="953"/>
      <c r="WEM37" s="953"/>
      <c r="WEN37" s="953"/>
      <c r="WEO37" s="953"/>
      <c r="WEP37" s="953"/>
      <c r="WEQ37" s="953"/>
      <c r="WER37" s="953"/>
      <c r="WES37" s="953"/>
      <c r="WET37" s="953"/>
      <c r="WEU37" s="953"/>
      <c r="WEV37" s="953"/>
      <c r="WEW37" s="953"/>
      <c r="WEX37" s="953"/>
      <c r="WEY37" s="953"/>
      <c r="WEZ37" s="953"/>
      <c r="WFA37" s="953"/>
      <c r="WFB37" s="953"/>
      <c r="WFC37" s="953"/>
      <c r="WFD37" s="953"/>
      <c r="WFE37" s="953"/>
      <c r="WFF37" s="953"/>
      <c r="WFG37" s="953"/>
      <c r="WFH37" s="953"/>
      <c r="WFI37" s="953"/>
      <c r="WFJ37" s="953"/>
      <c r="WFK37" s="953"/>
      <c r="WFL37" s="953"/>
      <c r="WFM37" s="953"/>
      <c r="WFN37" s="953"/>
      <c r="WFO37" s="953"/>
      <c r="WFP37" s="953"/>
      <c r="WFQ37" s="953"/>
      <c r="WFR37" s="953"/>
      <c r="WFS37" s="953"/>
      <c r="WFT37" s="953"/>
      <c r="WFU37" s="953"/>
      <c r="WFV37" s="953"/>
      <c r="WFW37" s="953"/>
      <c r="WFX37" s="953"/>
      <c r="WFY37" s="953"/>
      <c r="WFZ37" s="953"/>
      <c r="WGA37" s="953"/>
      <c r="WGB37" s="953"/>
      <c r="WGC37" s="953"/>
      <c r="WGD37" s="953"/>
      <c r="WGE37" s="953"/>
      <c r="WGF37" s="953"/>
      <c r="WGG37" s="953"/>
      <c r="WGH37" s="953"/>
      <c r="WGI37" s="953"/>
      <c r="WGJ37" s="953"/>
      <c r="WGK37" s="953"/>
      <c r="WGL37" s="953"/>
      <c r="WGM37" s="953"/>
      <c r="WGN37" s="953"/>
      <c r="WGO37" s="953"/>
      <c r="WGP37" s="953"/>
      <c r="WGQ37" s="953"/>
      <c r="WGR37" s="953"/>
      <c r="WGS37" s="953"/>
      <c r="WGT37" s="953"/>
      <c r="WGU37" s="953"/>
      <c r="WGV37" s="953"/>
      <c r="WGW37" s="953"/>
      <c r="WGX37" s="953"/>
      <c r="WGY37" s="953"/>
      <c r="WGZ37" s="953"/>
      <c r="WHA37" s="953"/>
      <c r="WHB37" s="953"/>
      <c r="WHC37" s="953"/>
      <c r="WHD37" s="953"/>
      <c r="WHE37" s="953"/>
      <c r="WHF37" s="953"/>
      <c r="WHG37" s="953"/>
      <c r="WHH37" s="953"/>
      <c r="WHI37" s="953"/>
      <c r="WHJ37" s="953"/>
      <c r="WHK37" s="953"/>
      <c r="WHL37" s="953"/>
      <c r="WHM37" s="953"/>
      <c r="WHN37" s="953"/>
      <c r="WHO37" s="953"/>
      <c r="WHP37" s="953"/>
      <c r="WHQ37" s="953"/>
      <c r="WHR37" s="953"/>
      <c r="WHS37" s="953"/>
      <c r="WHT37" s="953"/>
      <c r="WHU37" s="953"/>
      <c r="WHV37" s="953"/>
      <c r="WHW37" s="953"/>
      <c r="WHX37" s="953"/>
      <c r="WHY37" s="953"/>
      <c r="WHZ37" s="953"/>
      <c r="WIA37" s="953"/>
      <c r="WIB37" s="953"/>
      <c r="WIC37" s="953"/>
      <c r="WID37" s="953"/>
      <c r="WIE37" s="953"/>
      <c r="WIF37" s="953"/>
      <c r="WIG37" s="953"/>
      <c r="WIH37" s="953"/>
      <c r="WII37" s="953"/>
      <c r="WIJ37" s="953"/>
      <c r="WIK37" s="953"/>
      <c r="WIL37" s="953"/>
      <c r="WIM37" s="953"/>
      <c r="WIN37" s="953"/>
      <c r="WIO37" s="953"/>
      <c r="WIP37" s="953"/>
      <c r="WIQ37" s="953"/>
      <c r="WIR37" s="953"/>
      <c r="WIS37" s="953"/>
      <c r="WIT37" s="953"/>
      <c r="WIU37" s="953"/>
      <c r="WIV37" s="953"/>
      <c r="WIW37" s="953"/>
      <c r="WIX37" s="953"/>
      <c r="WIY37" s="953"/>
      <c r="WIZ37" s="953"/>
      <c r="WJA37" s="953"/>
      <c r="WJB37" s="953"/>
      <c r="WJC37" s="953"/>
      <c r="WJD37" s="953"/>
      <c r="WJE37" s="953"/>
      <c r="WJF37" s="953"/>
      <c r="WJG37" s="953"/>
      <c r="WJH37" s="953"/>
      <c r="WJI37" s="953"/>
      <c r="WJJ37" s="953"/>
      <c r="WJK37" s="953"/>
      <c r="WJL37" s="953"/>
      <c r="WJM37" s="953"/>
      <c r="WJN37" s="953"/>
      <c r="WJO37" s="953"/>
      <c r="WJP37" s="953"/>
      <c r="WJQ37" s="953"/>
      <c r="WJR37" s="953"/>
      <c r="WJS37" s="953"/>
      <c r="WJT37" s="953"/>
      <c r="WJU37" s="953"/>
      <c r="WJV37" s="953"/>
      <c r="WJW37" s="953"/>
      <c r="WJX37" s="953"/>
      <c r="WJY37" s="953"/>
      <c r="WJZ37" s="953"/>
      <c r="WKA37" s="953"/>
      <c r="WKB37" s="953"/>
      <c r="WKC37" s="953"/>
      <c r="WKD37" s="953"/>
      <c r="WKE37" s="953"/>
      <c r="WKF37" s="953"/>
      <c r="WKG37" s="953"/>
      <c r="WKH37" s="953"/>
      <c r="WKI37" s="953"/>
      <c r="WKJ37" s="953"/>
      <c r="WKK37" s="953"/>
      <c r="WKL37" s="953"/>
      <c r="WKM37" s="953"/>
      <c r="WKN37" s="953"/>
      <c r="WKO37" s="953"/>
      <c r="WKP37" s="953"/>
      <c r="WKQ37" s="953"/>
      <c r="WKR37" s="953"/>
      <c r="WKS37" s="953"/>
      <c r="WKT37" s="953"/>
      <c r="WKU37" s="953"/>
      <c r="WKV37" s="953"/>
      <c r="WKW37" s="953"/>
      <c r="WKX37" s="953"/>
      <c r="WKY37" s="953"/>
      <c r="WKZ37" s="953"/>
      <c r="WLA37" s="953"/>
      <c r="WLB37" s="953"/>
      <c r="WLC37" s="953"/>
      <c r="WLD37" s="953"/>
      <c r="WLE37" s="953"/>
      <c r="WLF37" s="953"/>
      <c r="WLG37" s="953"/>
      <c r="WLH37" s="953"/>
      <c r="WLI37" s="953"/>
      <c r="WLJ37" s="953"/>
      <c r="WLK37" s="953"/>
      <c r="WLL37" s="953"/>
      <c r="WLM37" s="953"/>
      <c r="WLN37" s="953"/>
      <c r="WLO37" s="953"/>
      <c r="WLP37" s="953"/>
      <c r="WLQ37" s="953"/>
      <c r="WLR37" s="953"/>
      <c r="WLS37" s="953"/>
      <c r="WLT37" s="953"/>
      <c r="WLU37" s="953"/>
      <c r="WLV37" s="953"/>
      <c r="WLW37" s="953"/>
      <c r="WLX37" s="953"/>
      <c r="WLY37" s="953"/>
      <c r="WLZ37" s="953"/>
      <c r="WMA37" s="953"/>
      <c r="WMB37" s="953"/>
      <c r="WMC37" s="953"/>
      <c r="WMD37" s="953"/>
      <c r="WME37" s="953"/>
      <c r="WMF37" s="953"/>
      <c r="WMG37" s="953"/>
      <c r="WMH37" s="953"/>
      <c r="WMI37" s="953"/>
      <c r="WMJ37" s="953"/>
      <c r="WMK37" s="953"/>
      <c r="WML37" s="953"/>
      <c r="WMM37" s="953"/>
      <c r="WMN37" s="953"/>
      <c r="WMO37" s="953"/>
      <c r="WMP37" s="953"/>
      <c r="WMQ37" s="953"/>
      <c r="WMR37" s="953"/>
      <c r="WMS37" s="953"/>
      <c r="WMT37" s="953"/>
      <c r="WMU37" s="953"/>
      <c r="WMV37" s="953"/>
      <c r="WMW37" s="953"/>
      <c r="WMX37" s="953"/>
      <c r="WMY37" s="953"/>
      <c r="WMZ37" s="953"/>
      <c r="WNA37" s="953"/>
      <c r="WNB37" s="953"/>
      <c r="WNC37" s="953"/>
      <c r="WND37" s="953"/>
      <c r="WNE37" s="953"/>
      <c r="WNF37" s="953"/>
      <c r="WNG37" s="953"/>
      <c r="WNH37" s="953"/>
      <c r="WNI37" s="953"/>
      <c r="WNJ37" s="953"/>
      <c r="WNK37" s="953"/>
      <c r="WNL37" s="953"/>
      <c r="WNM37" s="953"/>
      <c r="WNN37" s="953"/>
      <c r="WNO37" s="953"/>
      <c r="WNP37" s="953"/>
      <c r="WNQ37" s="953"/>
      <c r="WNR37" s="953"/>
      <c r="WNS37" s="953"/>
      <c r="WNT37" s="953"/>
      <c r="WNU37" s="953"/>
      <c r="WNV37" s="953"/>
      <c r="WNW37" s="953"/>
      <c r="WNX37" s="953"/>
      <c r="WNY37" s="953"/>
      <c r="WNZ37" s="953"/>
      <c r="WOA37" s="953"/>
      <c r="WOB37" s="953"/>
      <c r="WOC37" s="953"/>
      <c r="WOD37" s="953"/>
      <c r="WOE37" s="953"/>
      <c r="WOF37" s="953"/>
      <c r="WOG37" s="953"/>
      <c r="WOH37" s="953"/>
      <c r="WOI37" s="953"/>
      <c r="WOJ37" s="953"/>
      <c r="WOK37" s="953"/>
      <c r="WOL37" s="953"/>
      <c r="WOM37" s="953"/>
      <c r="WON37" s="953"/>
      <c r="WOO37" s="953"/>
      <c r="WOP37" s="953"/>
      <c r="WOQ37" s="953"/>
      <c r="WOR37" s="953"/>
      <c r="WOS37" s="953"/>
      <c r="WOT37" s="953"/>
      <c r="WOU37" s="953"/>
      <c r="WOV37" s="953"/>
      <c r="WOW37" s="953"/>
      <c r="WOX37" s="953"/>
      <c r="WOY37" s="953"/>
      <c r="WOZ37" s="953"/>
      <c r="WPA37" s="953"/>
      <c r="WPB37" s="953"/>
      <c r="WPC37" s="953"/>
      <c r="WPD37" s="953"/>
      <c r="WPE37" s="953"/>
      <c r="WPF37" s="953"/>
      <c r="WPG37" s="953"/>
      <c r="WPH37" s="953"/>
      <c r="WPI37" s="953"/>
      <c r="WPJ37" s="953"/>
      <c r="WPK37" s="953"/>
      <c r="WPL37" s="953"/>
      <c r="WPM37" s="953"/>
      <c r="WPN37" s="953"/>
      <c r="WPO37" s="953"/>
      <c r="WPP37" s="953"/>
      <c r="WPQ37" s="953"/>
      <c r="WPR37" s="953"/>
      <c r="WPS37" s="953"/>
      <c r="WPT37" s="953"/>
      <c r="WPU37" s="953"/>
      <c r="WPV37" s="953"/>
      <c r="WPW37" s="953"/>
      <c r="WPX37" s="953"/>
      <c r="WPY37" s="953"/>
      <c r="WPZ37" s="953"/>
      <c r="WQA37" s="953"/>
      <c r="WQB37" s="953"/>
      <c r="WQC37" s="953"/>
      <c r="WQD37" s="953"/>
      <c r="WQE37" s="953"/>
      <c r="WQF37" s="953"/>
      <c r="WQG37" s="953"/>
      <c r="WQH37" s="953"/>
      <c r="WQI37" s="953"/>
      <c r="WQJ37" s="953"/>
      <c r="WQK37" s="953"/>
      <c r="WQL37" s="953"/>
      <c r="WQM37" s="953"/>
      <c r="WQN37" s="953"/>
      <c r="WQO37" s="953"/>
      <c r="WQP37" s="953"/>
      <c r="WQQ37" s="953"/>
      <c r="WQR37" s="953"/>
      <c r="WQS37" s="953"/>
      <c r="WQT37" s="953"/>
      <c r="WQU37" s="953"/>
      <c r="WQV37" s="953"/>
      <c r="WQW37" s="953"/>
      <c r="WQX37" s="953"/>
      <c r="WQY37" s="953"/>
      <c r="WQZ37" s="953"/>
      <c r="WRA37" s="953"/>
      <c r="WRB37" s="953"/>
      <c r="WRC37" s="953"/>
      <c r="WRD37" s="953"/>
      <c r="WRE37" s="953"/>
      <c r="WRF37" s="953"/>
      <c r="WRG37" s="953"/>
      <c r="WRH37" s="953"/>
      <c r="WRI37" s="953"/>
      <c r="WRJ37" s="953"/>
      <c r="WRK37" s="953"/>
      <c r="WRL37" s="953"/>
      <c r="WRM37" s="953"/>
      <c r="WRN37" s="953"/>
      <c r="WRO37" s="953"/>
      <c r="WRP37" s="953"/>
      <c r="WRQ37" s="953"/>
      <c r="WRR37" s="953"/>
      <c r="WRS37" s="953"/>
      <c r="WRT37" s="953"/>
      <c r="WRU37" s="953"/>
      <c r="WRV37" s="953"/>
      <c r="WRW37" s="953"/>
      <c r="WRX37" s="953"/>
      <c r="WRY37" s="953"/>
      <c r="WRZ37" s="953"/>
      <c r="WSA37" s="953"/>
      <c r="WSB37" s="953"/>
      <c r="WSC37" s="953"/>
      <c r="WSD37" s="953"/>
      <c r="WSE37" s="953"/>
      <c r="WSF37" s="953"/>
      <c r="WSG37" s="953"/>
      <c r="WSH37" s="953"/>
      <c r="WSI37" s="953"/>
      <c r="WSJ37" s="953"/>
      <c r="WSK37" s="953"/>
      <c r="WSL37" s="953"/>
      <c r="WSM37" s="953"/>
      <c r="WSN37" s="953"/>
      <c r="WSO37" s="953"/>
      <c r="WSP37" s="953"/>
      <c r="WSQ37" s="953"/>
      <c r="WSR37" s="953"/>
      <c r="WSS37" s="953"/>
      <c r="WST37" s="953"/>
      <c r="WSU37" s="953"/>
      <c r="WSV37" s="953"/>
      <c r="WSW37" s="953"/>
      <c r="WSX37" s="953"/>
      <c r="WSY37" s="953"/>
      <c r="WSZ37" s="953"/>
      <c r="WTA37" s="953"/>
      <c r="WTB37" s="953"/>
      <c r="WTC37" s="953"/>
      <c r="WTD37" s="953"/>
      <c r="WTE37" s="953"/>
      <c r="WTF37" s="953"/>
      <c r="WTG37" s="953"/>
      <c r="WTH37" s="953"/>
      <c r="WTI37" s="953"/>
      <c r="WTJ37" s="953"/>
      <c r="WTK37" s="953"/>
      <c r="WTL37" s="953"/>
      <c r="WTM37" s="953"/>
      <c r="WTN37" s="953"/>
      <c r="WTO37" s="953"/>
      <c r="WTP37" s="953"/>
      <c r="WTQ37" s="953"/>
      <c r="WTR37" s="953"/>
      <c r="WTS37" s="953"/>
      <c r="WTT37" s="953"/>
      <c r="WTU37" s="953"/>
      <c r="WTV37" s="953"/>
      <c r="WTW37" s="953"/>
      <c r="WTX37" s="953"/>
      <c r="WTY37" s="953"/>
      <c r="WTZ37" s="953"/>
      <c r="WUA37" s="953"/>
      <c r="WUB37" s="953"/>
      <c r="WUC37" s="953"/>
      <c r="WUD37" s="953"/>
      <c r="WUE37" s="953"/>
      <c r="WUF37" s="953"/>
      <c r="WUG37" s="953"/>
      <c r="WUH37" s="953"/>
      <c r="WUI37" s="953"/>
      <c r="WUJ37" s="953"/>
      <c r="WUK37" s="953"/>
      <c r="WUL37" s="953"/>
      <c r="WUM37" s="953"/>
      <c r="WUN37" s="953"/>
      <c r="WUO37" s="953"/>
      <c r="WUP37" s="953"/>
      <c r="WUQ37" s="953"/>
      <c r="WUR37" s="953"/>
      <c r="WUS37" s="953"/>
      <c r="WUT37" s="953"/>
      <c r="WUU37" s="953"/>
      <c r="WUV37" s="953"/>
      <c r="WUW37" s="953"/>
      <c r="WUX37" s="953"/>
      <c r="WUY37" s="953"/>
      <c r="WUZ37" s="953"/>
      <c r="WVA37" s="953"/>
      <c r="WVB37" s="953"/>
      <c r="WVC37" s="953"/>
      <c r="WVD37" s="953"/>
      <c r="WVE37" s="953"/>
      <c r="WVF37" s="953"/>
      <c r="WVG37" s="953"/>
      <c r="WVH37" s="953"/>
      <c r="WVI37" s="953"/>
      <c r="WVJ37" s="953"/>
      <c r="WVK37" s="953"/>
      <c r="WVL37" s="953"/>
      <c r="WVM37" s="953"/>
      <c r="WVN37" s="953"/>
      <c r="WVO37" s="953"/>
      <c r="WVP37" s="953"/>
      <c r="WVQ37" s="953"/>
      <c r="WVR37" s="953"/>
      <c r="WVS37" s="953"/>
      <c r="WVT37" s="953"/>
      <c r="WVU37" s="953"/>
      <c r="WVV37" s="953"/>
      <c r="WVW37" s="953"/>
      <c r="WVX37" s="953"/>
      <c r="WVY37" s="953"/>
      <c r="WVZ37" s="953"/>
      <c r="WWA37" s="953"/>
      <c r="WWB37" s="953"/>
      <c r="WWC37" s="953"/>
      <c r="WWD37" s="953"/>
      <c r="WWE37" s="953"/>
      <c r="WWF37" s="953"/>
      <c r="WWG37" s="953"/>
      <c r="WWH37" s="953"/>
      <c r="WWI37" s="953"/>
      <c r="WWJ37" s="953"/>
      <c r="WWK37" s="953"/>
      <c r="WWL37" s="953"/>
      <c r="WWM37" s="953"/>
      <c r="WWN37" s="953"/>
      <c r="WWO37" s="953"/>
      <c r="WWP37" s="953"/>
      <c r="WWQ37" s="953"/>
      <c r="WWR37" s="953"/>
      <c r="WWS37" s="953"/>
      <c r="WWT37" s="953"/>
      <c r="WWU37" s="953"/>
      <c r="WWV37" s="953"/>
      <c r="WWW37" s="953"/>
      <c r="WWX37" s="953"/>
      <c r="WWY37" s="953"/>
      <c r="WWZ37" s="953"/>
      <c r="WXA37" s="953"/>
      <c r="WXB37" s="953"/>
      <c r="WXC37" s="953"/>
      <c r="WXD37" s="953"/>
      <c r="WXE37" s="953"/>
      <c r="WXF37" s="953"/>
      <c r="WXG37" s="953"/>
      <c r="WXH37" s="953"/>
      <c r="WXI37" s="953"/>
      <c r="WXJ37" s="953"/>
    </row>
    <row r="38" spans="1:16182" s="953" customFormat="1" x14ac:dyDescent="0.25">
      <c r="A38" s="570"/>
      <c r="B38" s="909"/>
      <c r="C38" s="909"/>
      <c r="D38" s="909"/>
      <c r="E38" s="909"/>
      <c r="F38" s="909"/>
      <c r="G38" s="909"/>
      <c r="H38" s="937"/>
      <c r="I38" s="937"/>
      <c r="J38" s="937"/>
      <c r="K38" s="937"/>
      <c r="L38" s="937"/>
      <c r="M38" s="937"/>
      <c r="N38" s="937"/>
      <c r="O38" s="937"/>
      <c r="P38" s="937"/>
      <c r="Q38" s="937"/>
      <c r="R38" s="937"/>
      <c r="S38" s="937"/>
      <c r="T38" s="937"/>
      <c r="U38" s="937"/>
      <c r="V38" s="937">
        <v>6927164.4900000002</v>
      </c>
      <c r="W38" s="937">
        <v>6882825.1200000001</v>
      </c>
      <c r="X38" s="937">
        <v>7146530.8300000001</v>
      </c>
      <c r="Y38" s="937">
        <v>7212950.6699999999</v>
      </c>
      <c r="Z38" s="937">
        <v>7002434.46</v>
      </c>
      <c r="AA38" s="937">
        <v>6965138.1299999999</v>
      </c>
      <c r="AB38" s="937">
        <v>6441714.2699999996</v>
      </c>
      <c r="AC38" s="937">
        <v>5616894.5300000003</v>
      </c>
      <c r="AD38" s="937">
        <v>6009485.1699999999</v>
      </c>
      <c r="AE38" s="937">
        <v>5455986.0599999996</v>
      </c>
      <c r="AF38" s="438">
        <v>5047429.8600000003</v>
      </c>
      <c r="AG38" s="438">
        <v>4327064.34</v>
      </c>
      <c r="AH38" s="438">
        <v>4338532.45</v>
      </c>
      <c r="AI38" s="438"/>
      <c r="AJ38" s="438">
        <v>4092194.52</v>
      </c>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c r="BX38" s="40"/>
      <c r="BY38" s="40"/>
      <c r="BZ38" s="40"/>
      <c r="CA38" s="40"/>
      <c r="CB38" s="40"/>
      <c r="CC38" s="40"/>
    </row>
    <row r="39" spans="1:16182" s="953" customFormat="1" x14ac:dyDescent="0.25">
      <c r="A39" s="570"/>
      <c r="B39" s="917"/>
      <c r="C39" s="907" t="s">
        <v>95</v>
      </c>
      <c r="D39" s="907"/>
      <c r="E39" s="907"/>
      <c r="F39" s="907"/>
      <c r="G39" s="907"/>
      <c r="H39" s="903"/>
      <c r="I39" s="903"/>
      <c r="J39" s="903"/>
      <c r="K39" s="903"/>
      <c r="L39" s="903"/>
      <c r="M39" s="903"/>
      <c r="N39" s="903"/>
      <c r="O39" s="903"/>
      <c r="P39" s="903"/>
      <c r="Q39" s="903"/>
      <c r="R39" s="903"/>
      <c r="S39" s="903"/>
      <c r="T39" s="903"/>
      <c r="U39" s="903"/>
      <c r="V39" s="903">
        <f>V38-V37</f>
        <v>0</v>
      </c>
      <c r="W39" s="903">
        <f t="shared" ref="W39:AJ39" si="9">W38-W37</f>
        <v>-9.9999997764825821E-3</v>
      </c>
      <c r="X39" s="903">
        <f t="shared" si="9"/>
        <v>-9.9999997764825821E-3</v>
      </c>
      <c r="Y39" s="903">
        <f t="shared" si="9"/>
        <v>-9.9999997764825821E-3</v>
      </c>
      <c r="Z39" s="903">
        <f t="shared" si="9"/>
        <v>-9.9999997764825821E-3</v>
      </c>
      <c r="AA39" s="903">
        <f t="shared" si="9"/>
        <v>-9.9999997764825821E-3</v>
      </c>
      <c r="AB39" s="903">
        <f t="shared" si="9"/>
        <v>-1.0000000707805157E-2</v>
      </c>
      <c r="AC39" s="903">
        <f t="shared" si="9"/>
        <v>0</v>
      </c>
      <c r="AD39" s="903">
        <f t="shared" si="9"/>
        <v>0</v>
      </c>
      <c r="AE39" s="903">
        <f t="shared" si="9"/>
        <v>0</v>
      </c>
      <c r="AF39" s="903">
        <f t="shared" si="9"/>
        <v>0</v>
      </c>
      <c r="AG39" s="903">
        <f t="shared" si="9"/>
        <v>0</v>
      </c>
      <c r="AH39" s="903">
        <f t="shared" si="9"/>
        <v>0</v>
      </c>
      <c r="AI39" s="903"/>
      <c r="AJ39" s="903">
        <f t="shared" si="9"/>
        <v>0</v>
      </c>
      <c r="AK39" s="903"/>
      <c r="AL39" s="903"/>
      <c r="AM39" s="903"/>
      <c r="AN39" s="903"/>
      <c r="AO39" s="903"/>
      <c r="AP39" s="903"/>
      <c r="AQ39" s="903"/>
      <c r="AR39" s="903"/>
      <c r="AS39" s="903"/>
      <c r="AT39" s="903"/>
      <c r="AU39" s="903"/>
      <c r="AV39" s="903"/>
      <c r="AW39" s="903"/>
      <c r="AX39" s="903"/>
      <c r="AY39" s="903"/>
      <c r="AZ39" s="903"/>
      <c r="BA39" s="903"/>
      <c r="BB39" s="903"/>
      <c r="BC39" s="903"/>
      <c r="BD39" s="903"/>
      <c r="BE39" s="903"/>
      <c r="BF39" s="903"/>
      <c r="BG39" s="903"/>
      <c r="BH39" s="903"/>
      <c r="BI39" s="903"/>
      <c r="BJ39" s="903"/>
      <c r="BK39" s="903"/>
      <c r="BL39" s="903"/>
      <c r="BM39" s="903"/>
      <c r="BN39" s="903"/>
      <c r="BO39" s="903"/>
      <c r="BP39" s="903"/>
      <c r="BQ39" s="903"/>
      <c r="BR39" s="903"/>
      <c r="BS39" s="903"/>
      <c r="BT39" s="903"/>
      <c r="BU39" s="903"/>
      <c r="BV39" s="903"/>
      <c r="BW39" s="903"/>
      <c r="BX39" s="903"/>
      <c r="BY39" s="903"/>
      <c r="BZ39" s="903"/>
      <c r="CA39" s="903"/>
      <c r="CB39" s="903"/>
      <c r="CC39" s="903"/>
      <c r="CD39" s="954"/>
      <c r="CE39" s="954"/>
      <c r="CF39" s="954"/>
      <c r="CG39" s="954"/>
      <c r="CH39" s="954"/>
      <c r="CI39" s="954"/>
      <c r="CJ39" s="954"/>
      <c r="CK39" s="954"/>
      <c r="CL39" s="954"/>
      <c r="CM39" s="954"/>
      <c r="CN39" s="954"/>
      <c r="CO39" s="954"/>
      <c r="CP39" s="954"/>
      <c r="CQ39" s="954"/>
      <c r="CR39" s="954"/>
      <c r="CS39" s="954"/>
      <c r="CT39" s="954"/>
      <c r="CU39" s="954"/>
      <c r="CV39" s="954"/>
      <c r="CW39" s="954"/>
      <c r="CX39" s="954"/>
      <c r="CY39" s="954"/>
      <c r="CZ39" s="954"/>
      <c r="DA39" s="954"/>
      <c r="DB39" s="954"/>
      <c r="DC39" s="954"/>
      <c r="DD39" s="954"/>
      <c r="DE39" s="954"/>
      <c r="DF39" s="954"/>
      <c r="DG39" s="954"/>
      <c r="DH39" s="954"/>
      <c r="DI39" s="954"/>
      <c r="DJ39" s="954"/>
      <c r="DK39" s="954"/>
      <c r="DL39" s="954"/>
      <c r="DM39" s="954"/>
      <c r="DN39" s="954"/>
      <c r="DO39" s="954"/>
      <c r="DP39" s="954"/>
      <c r="DQ39" s="954"/>
      <c r="DR39" s="954"/>
      <c r="DS39" s="954"/>
      <c r="DT39" s="954"/>
      <c r="DU39" s="954"/>
      <c r="DV39" s="954"/>
      <c r="DW39" s="954"/>
      <c r="DX39" s="954"/>
      <c r="DY39" s="954"/>
      <c r="DZ39" s="954"/>
      <c r="EA39" s="954"/>
      <c r="EB39" s="954"/>
      <c r="EC39" s="954"/>
      <c r="ED39" s="954"/>
      <c r="EE39" s="954"/>
      <c r="EF39" s="954"/>
      <c r="EG39" s="954"/>
      <c r="EH39" s="954"/>
      <c r="EI39" s="954"/>
      <c r="EJ39" s="954"/>
      <c r="EK39" s="954"/>
      <c r="EL39" s="954"/>
      <c r="EM39" s="954"/>
      <c r="EN39" s="954"/>
      <c r="EO39" s="954"/>
      <c r="EP39" s="954"/>
      <c r="EQ39" s="954"/>
      <c r="ER39" s="954"/>
      <c r="ES39" s="954"/>
      <c r="ET39" s="954"/>
      <c r="EU39" s="954"/>
      <c r="EV39" s="954"/>
      <c r="EW39" s="954"/>
      <c r="EX39" s="954"/>
      <c r="EY39" s="954"/>
      <c r="EZ39" s="954"/>
      <c r="FA39" s="954"/>
      <c r="FB39" s="954"/>
      <c r="FC39" s="954"/>
      <c r="FD39" s="954"/>
      <c r="FE39" s="954"/>
      <c r="FF39" s="954"/>
      <c r="FG39" s="954"/>
      <c r="FH39" s="954"/>
      <c r="FI39" s="954"/>
      <c r="FJ39" s="954"/>
      <c r="FK39" s="954"/>
      <c r="FL39" s="954"/>
      <c r="FM39" s="954"/>
      <c r="FN39" s="954"/>
      <c r="FO39" s="954"/>
      <c r="FP39" s="954"/>
      <c r="FQ39" s="954"/>
      <c r="FR39" s="954"/>
      <c r="FS39" s="954"/>
      <c r="FT39" s="954"/>
      <c r="FU39" s="954"/>
      <c r="FV39" s="954"/>
      <c r="FW39" s="954"/>
      <c r="FX39" s="954"/>
      <c r="FY39" s="954"/>
      <c r="FZ39" s="954"/>
      <c r="GA39" s="954"/>
      <c r="GB39" s="954"/>
      <c r="GC39" s="954"/>
      <c r="GD39" s="954"/>
      <c r="GE39" s="954"/>
      <c r="GF39" s="954"/>
      <c r="GG39" s="954"/>
      <c r="GH39" s="954"/>
      <c r="GI39" s="954"/>
      <c r="GJ39" s="954"/>
      <c r="GK39" s="954"/>
      <c r="GL39" s="954"/>
      <c r="GM39" s="954"/>
      <c r="GN39" s="954"/>
      <c r="GO39" s="954"/>
      <c r="GP39" s="954"/>
      <c r="GQ39" s="954"/>
      <c r="GR39" s="954"/>
      <c r="GS39" s="954"/>
      <c r="GT39" s="954"/>
      <c r="GU39" s="954"/>
      <c r="GV39" s="954"/>
      <c r="GW39" s="954"/>
      <c r="GX39" s="954"/>
      <c r="GY39" s="954"/>
      <c r="GZ39" s="954"/>
      <c r="HA39" s="954"/>
      <c r="HB39" s="954"/>
      <c r="HC39" s="954"/>
      <c r="HD39" s="954"/>
      <c r="HE39" s="954"/>
      <c r="HF39" s="954"/>
      <c r="HG39" s="954"/>
      <c r="HH39" s="954"/>
      <c r="HI39" s="954"/>
      <c r="HJ39" s="954"/>
      <c r="HK39" s="954"/>
      <c r="HL39" s="954"/>
      <c r="HM39" s="954"/>
      <c r="HN39" s="954"/>
      <c r="HO39" s="954"/>
      <c r="HP39" s="954"/>
      <c r="HQ39" s="954"/>
      <c r="HR39" s="954"/>
      <c r="HS39" s="954"/>
      <c r="HT39" s="954"/>
      <c r="HU39" s="954"/>
      <c r="HV39" s="954"/>
      <c r="HW39" s="954"/>
      <c r="HX39" s="954"/>
      <c r="HY39" s="954"/>
      <c r="HZ39" s="954"/>
      <c r="IA39" s="954"/>
      <c r="IB39" s="954"/>
      <c r="IC39" s="954"/>
      <c r="ID39" s="954"/>
      <c r="IE39" s="954"/>
      <c r="IF39" s="954"/>
      <c r="IG39" s="954"/>
      <c r="IH39" s="954"/>
      <c r="II39" s="954"/>
      <c r="IJ39" s="954"/>
      <c r="IK39" s="954"/>
      <c r="IL39" s="954"/>
      <c r="IM39" s="954"/>
      <c r="IN39" s="954"/>
      <c r="IO39" s="954"/>
      <c r="IP39" s="954"/>
      <c r="IQ39" s="954"/>
      <c r="IR39" s="954"/>
      <c r="IS39" s="954"/>
      <c r="IT39" s="954"/>
      <c r="IU39" s="954"/>
      <c r="IV39" s="954"/>
      <c r="IW39" s="954"/>
      <c r="IX39" s="954"/>
      <c r="IY39" s="954"/>
      <c r="IZ39" s="954"/>
      <c r="JA39" s="954"/>
      <c r="JB39" s="954"/>
      <c r="JC39" s="954"/>
      <c r="JD39" s="954"/>
      <c r="JE39" s="954"/>
      <c r="JF39" s="954"/>
      <c r="JG39" s="954"/>
      <c r="JH39" s="954"/>
      <c r="JI39" s="954"/>
      <c r="JJ39" s="954"/>
      <c r="JK39" s="954"/>
      <c r="JL39" s="954"/>
      <c r="JM39" s="954"/>
      <c r="JN39" s="954"/>
      <c r="JO39" s="954"/>
      <c r="JP39" s="954"/>
      <c r="JQ39" s="954"/>
      <c r="JR39" s="954"/>
      <c r="JS39" s="954"/>
      <c r="JT39" s="954"/>
      <c r="JU39" s="954"/>
      <c r="JV39" s="954"/>
      <c r="JW39" s="954"/>
      <c r="JX39" s="954"/>
      <c r="JY39" s="954"/>
      <c r="JZ39" s="954"/>
      <c r="KA39" s="954"/>
      <c r="KB39" s="954"/>
      <c r="KC39" s="954"/>
      <c r="KD39" s="954"/>
      <c r="KE39" s="954"/>
      <c r="KF39" s="954"/>
      <c r="KG39" s="954"/>
      <c r="KH39" s="954"/>
      <c r="KI39" s="954"/>
      <c r="KJ39" s="954"/>
      <c r="KK39" s="954"/>
      <c r="KL39" s="954"/>
      <c r="KM39" s="954"/>
      <c r="KN39" s="954"/>
      <c r="KO39" s="954"/>
      <c r="KP39" s="954"/>
      <c r="KQ39" s="954"/>
      <c r="KR39" s="954"/>
      <c r="KS39" s="954"/>
      <c r="KT39" s="954"/>
      <c r="KU39" s="954"/>
      <c r="KV39" s="954"/>
      <c r="KW39" s="954"/>
      <c r="KX39" s="954"/>
      <c r="KY39" s="954"/>
      <c r="KZ39" s="954"/>
      <c r="LA39" s="954"/>
      <c r="LB39" s="954"/>
      <c r="LC39" s="954"/>
      <c r="LD39" s="954"/>
      <c r="LE39" s="954"/>
      <c r="LF39" s="954"/>
      <c r="LG39" s="954"/>
      <c r="LH39" s="954"/>
      <c r="LI39" s="954"/>
      <c r="LJ39" s="954"/>
      <c r="LK39" s="954"/>
      <c r="LL39" s="954"/>
      <c r="LM39" s="954"/>
      <c r="LN39" s="954"/>
      <c r="LO39" s="954"/>
      <c r="LP39" s="954"/>
      <c r="LQ39" s="954"/>
      <c r="LR39" s="954"/>
      <c r="LS39" s="954"/>
      <c r="LT39" s="954"/>
      <c r="LU39" s="954"/>
      <c r="LV39" s="954"/>
      <c r="LW39" s="954"/>
      <c r="LX39" s="954"/>
      <c r="LY39" s="954"/>
      <c r="LZ39" s="954"/>
      <c r="MA39" s="954"/>
      <c r="MB39" s="954"/>
      <c r="MC39" s="954"/>
      <c r="MD39" s="954"/>
      <c r="ME39" s="954"/>
      <c r="MF39" s="954"/>
      <c r="MG39" s="954"/>
      <c r="MH39" s="954"/>
      <c r="MI39" s="954"/>
      <c r="MJ39" s="954"/>
      <c r="MK39" s="954"/>
      <c r="ML39" s="954"/>
      <c r="MM39" s="954"/>
      <c r="MN39" s="954"/>
      <c r="MO39" s="954"/>
      <c r="MP39" s="954"/>
      <c r="MQ39" s="954"/>
      <c r="MR39" s="954"/>
      <c r="MS39" s="954"/>
      <c r="MT39" s="954"/>
      <c r="MU39" s="954"/>
      <c r="MV39" s="954"/>
      <c r="MW39" s="954"/>
      <c r="MX39" s="954"/>
      <c r="MY39" s="954"/>
      <c r="MZ39" s="954"/>
      <c r="NA39" s="954"/>
      <c r="NB39" s="954"/>
      <c r="NC39" s="954"/>
      <c r="ND39" s="954"/>
      <c r="NE39" s="954"/>
      <c r="NF39" s="954"/>
      <c r="NG39" s="954"/>
      <c r="NH39" s="954"/>
      <c r="NI39" s="954"/>
      <c r="NJ39" s="954"/>
      <c r="NK39" s="954"/>
      <c r="NL39" s="954"/>
      <c r="NM39" s="954"/>
      <c r="NN39" s="954"/>
      <c r="NO39" s="954"/>
      <c r="NP39" s="954"/>
      <c r="NQ39" s="954"/>
      <c r="NR39" s="954"/>
      <c r="NS39" s="954"/>
      <c r="NT39" s="954"/>
      <c r="NU39" s="954"/>
      <c r="NV39" s="954"/>
      <c r="NW39" s="954"/>
      <c r="NX39" s="954"/>
      <c r="NY39" s="954"/>
      <c r="NZ39" s="954"/>
      <c r="OA39" s="954"/>
      <c r="OB39" s="954"/>
      <c r="OC39" s="954"/>
      <c r="OD39" s="954"/>
      <c r="OE39" s="954"/>
      <c r="OF39" s="954"/>
      <c r="OG39" s="954"/>
      <c r="OH39" s="954"/>
      <c r="OI39" s="954"/>
      <c r="OJ39" s="954"/>
      <c r="OK39" s="954"/>
      <c r="OL39" s="954"/>
      <c r="OM39" s="954"/>
      <c r="ON39" s="954"/>
      <c r="OO39" s="954"/>
      <c r="OP39" s="954"/>
      <c r="OQ39" s="954"/>
      <c r="OR39" s="954"/>
      <c r="OS39" s="954"/>
      <c r="OT39" s="954"/>
      <c r="OU39" s="954"/>
      <c r="OV39" s="954"/>
      <c r="OW39" s="954"/>
      <c r="OX39" s="954"/>
      <c r="OY39" s="954"/>
      <c r="OZ39" s="954"/>
      <c r="PA39" s="954"/>
      <c r="PB39" s="954"/>
      <c r="PC39" s="954"/>
      <c r="PD39" s="954"/>
      <c r="PE39" s="954"/>
      <c r="PF39" s="954"/>
      <c r="PG39" s="954"/>
      <c r="PH39" s="954"/>
      <c r="PI39" s="954"/>
      <c r="PJ39" s="954"/>
      <c r="PK39" s="954"/>
      <c r="PL39" s="954"/>
      <c r="PM39" s="954"/>
      <c r="PN39" s="954"/>
      <c r="PO39" s="954"/>
      <c r="PP39" s="954"/>
      <c r="PQ39" s="954"/>
      <c r="PR39" s="954"/>
      <c r="PS39" s="954"/>
      <c r="PT39" s="954"/>
      <c r="PU39" s="954"/>
      <c r="PV39" s="954"/>
      <c r="PW39" s="954"/>
      <c r="PX39" s="954"/>
      <c r="PY39" s="954"/>
      <c r="PZ39" s="954"/>
      <c r="QA39" s="954"/>
      <c r="QB39" s="954"/>
      <c r="QC39" s="954"/>
      <c r="QD39" s="954"/>
      <c r="QE39" s="954"/>
      <c r="QF39" s="954"/>
      <c r="QG39" s="954"/>
      <c r="QH39" s="954"/>
      <c r="QI39" s="954"/>
      <c r="QJ39" s="954"/>
      <c r="QK39" s="954"/>
      <c r="QL39" s="954"/>
      <c r="QM39" s="954"/>
      <c r="QN39" s="954"/>
      <c r="QO39" s="954"/>
      <c r="QP39" s="954"/>
      <c r="QQ39" s="954"/>
      <c r="QR39" s="954"/>
      <c r="QS39" s="954"/>
      <c r="QT39" s="954"/>
      <c r="QU39" s="954"/>
      <c r="QV39" s="954"/>
      <c r="QW39" s="954"/>
      <c r="QX39" s="954"/>
      <c r="QY39" s="954"/>
      <c r="QZ39" s="954"/>
      <c r="RA39" s="954"/>
      <c r="RB39" s="954"/>
      <c r="RC39" s="954"/>
      <c r="RD39" s="954"/>
      <c r="RE39" s="954"/>
      <c r="RF39" s="954"/>
      <c r="RG39" s="954"/>
      <c r="RH39" s="954"/>
      <c r="RI39" s="954"/>
      <c r="RJ39" s="954"/>
      <c r="RK39" s="954"/>
      <c r="RL39" s="954"/>
      <c r="RM39" s="954"/>
      <c r="RN39" s="954"/>
      <c r="RO39" s="954"/>
      <c r="RP39" s="954"/>
      <c r="RQ39" s="954"/>
      <c r="RR39" s="954"/>
      <c r="RS39" s="954"/>
      <c r="RT39" s="954"/>
      <c r="RU39" s="954"/>
      <c r="RV39" s="954"/>
      <c r="RW39" s="954"/>
      <c r="RX39" s="954"/>
      <c r="RY39" s="954"/>
      <c r="RZ39" s="954"/>
      <c r="SA39" s="954"/>
      <c r="SB39" s="954"/>
      <c r="SC39" s="954"/>
      <c r="SD39" s="954"/>
      <c r="SE39" s="954"/>
      <c r="SF39" s="954"/>
      <c r="SG39" s="954"/>
      <c r="SH39" s="954"/>
      <c r="SI39" s="954"/>
      <c r="SJ39" s="954"/>
      <c r="SK39" s="954"/>
      <c r="SL39" s="954"/>
      <c r="SM39" s="954"/>
      <c r="SN39" s="954"/>
      <c r="SO39" s="954"/>
      <c r="SP39" s="954"/>
      <c r="SQ39" s="954"/>
      <c r="SR39" s="954"/>
      <c r="SS39" s="954"/>
      <c r="ST39" s="954"/>
      <c r="SU39" s="954"/>
      <c r="SV39" s="954"/>
      <c r="SW39" s="954"/>
      <c r="SX39" s="954"/>
      <c r="SY39" s="954"/>
      <c r="SZ39" s="954"/>
      <c r="TA39" s="954"/>
      <c r="TB39" s="954"/>
      <c r="TC39" s="954"/>
      <c r="TD39" s="954"/>
      <c r="TE39" s="954"/>
      <c r="TF39" s="954"/>
      <c r="TG39" s="954"/>
      <c r="TH39" s="954"/>
      <c r="TI39" s="954"/>
      <c r="TJ39" s="954"/>
      <c r="TK39" s="954"/>
      <c r="TL39" s="954"/>
      <c r="TM39" s="954"/>
      <c r="TN39" s="954"/>
      <c r="TO39" s="954"/>
      <c r="TP39" s="954"/>
      <c r="TQ39" s="954"/>
      <c r="TR39" s="954"/>
      <c r="TS39" s="954"/>
      <c r="TT39" s="954"/>
      <c r="TU39" s="954"/>
      <c r="TV39" s="954"/>
      <c r="TW39" s="954"/>
      <c r="TX39" s="954"/>
      <c r="TY39" s="954"/>
      <c r="TZ39" s="954"/>
      <c r="UA39" s="954"/>
      <c r="UB39" s="954"/>
      <c r="UC39" s="954"/>
      <c r="UD39" s="954"/>
      <c r="UE39" s="954"/>
      <c r="UF39" s="954"/>
      <c r="UG39" s="954"/>
      <c r="UH39" s="954"/>
      <c r="UI39" s="954"/>
      <c r="UJ39" s="954"/>
      <c r="UK39" s="954"/>
      <c r="UL39" s="954"/>
      <c r="UM39" s="954"/>
      <c r="UN39" s="954"/>
      <c r="UO39" s="954"/>
      <c r="UP39" s="954"/>
      <c r="UQ39" s="954"/>
      <c r="UR39" s="954"/>
      <c r="US39" s="954"/>
      <c r="UT39" s="954"/>
      <c r="UU39" s="954"/>
      <c r="UV39" s="954"/>
      <c r="UW39" s="954"/>
      <c r="UX39" s="954"/>
      <c r="UY39" s="954"/>
      <c r="UZ39" s="954"/>
      <c r="VA39" s="954"/>
      <c r="VB39" s="954"/>
      <c r="VC39" s="954"/>
      <c r="VD39" s="954"/>
      <c r="VE39" s="954"/>
      <c r="VF39" s="954"/>
      <c r="VG39" s="954"/>
      <c r="VH39" s="954"/>
      <c r="VI39" s="954"/>
      <c r="VJ39" s="954"/>
      <c r="VK39" s="954"/>
      <c r="VL39" s="954"/>
      <c r="VM39" s="954"/>
      <c r="VN39" s="954"/>
      <c r="VO39" s="954"/>
      <c r="VP39" s="954"/>
      <c r="VQ39" s="954"/>
      <c r="VR39" s="954"/>
      <c r="VS39" s="954"/>
      <c r="VT39" s="954"/>
      <c r="VU39" s="954"/>
      <c r="VV39" s="954"/>
      <c r="VW39" s="954"/>
      <c r="VX39" s="954"/>
      <c r="VY39" s="954"/>
      <c r="VZ39" s="954"/>
      <c r="WA39" s="954"/>
      <c r="WB39" s="954"/>
      <c r="WC39" s="954"/>
      <c r="WD39" s="954"/>
      <c r="WE39" s="954"/>
      <c r="WF39" s="954"/>
      <c r="WG39" s="954"/>
      <c r="WH39" s="954"/>
      <c r="WI39" s="954"/>
      <c r="WJ39" s="954"/>
      <c r="WK39" s="954"/>
      <c r="WL39" s="954"/>
      <c r="WM39" s="954"/>
      <c r="WN39" s="954"/>
      <c r="WO39" s="954"/>
      <c r="WP39" s="954"/>
      <c r="WQ39" s="954"/>
      <c r="WR39" s="954"/>
      <c r="WS39" s="954"/>
      <c r="WT39" s="954"/>
      <c r="WU39" s="954"/>
      <c r="WV39" s="954"/>
      <c r="WW39" s="954"/>
      <c r="WX39" s="954"/>
      <c r="WY39" s="954"/>
      <c r="WZ39" s="954"/>
      <c r="XA39" s="954"/>
      <c r="XB39" s="954"/>
      <c r="XC39" s="954"/>
      <c r="XD39" s="954"/>
      <c r="XE39" s="954"/>
      <c r="XF39" s="954"/>
      <c r="XG39" s="954"/>
      <c r="XH39" s="954"/>
      <c r="XI39" s="954"/>
      <c r="XJ39" s="954"/>
      <c r="XK39" s="954"/>
      <c r="XL39" s="954"/>
      <c r="XM39" s="954"/>
      <c r="XN39" s="954"/>
      <c r="XO39" s="954"/>
      <c r="XP39" s="954"/>
      <c r="XQ39" s="954"/>
      <c r="XR39" s="954"/>
      <c r="XS39" s="954"/>
      <c r="XT39" s="954"/>
      <c r="XU39" s="954"/>
      <c r="XV39" s="954"/>
      <c r="XW39" s="954"/>
      <c r="XX39" s="954"/>
      <c r="XY39" s="954"/>
      <c r="XZ39" s="954"/>
      <c r="YA39" s="954"/>
      <c r="YB39" s="954"/>
      <c r="YC39" s="954"/>
      <c r="YD39" s="954"/>
      <c r="YE39" s="954"/>
      <c r="YF39" s="954"/>
      <c r="YG39" s="954"/>
      <c r="YH39" s="954"/>
      <c r="YI39" s="954"/>
      <c r="YJ39" s="954"/>
      <c r="YK39" s="954"/>
      <c r="YL39" s="954"/>
      <c r="YM39" s="954"/>
      <c r="YN39" s="954"/>
      <c r="YO39" s="954"/>
      <c r="YP39" s="954"/>
      <c r="YQ39" s="954"/>
      <c r="YR39" s="954"/>
      <c r="YS39" s="954"/>
      <c r="YT39" s="954"/>
      <c r="YU39" s="954"/>
      <c r="YV39" s="954"/>
      <c r="YW39" s="954"/>
      <c r="YX39" s="954"/>
      <c r="YY39" s="954"/>
      <c r="YZ39" s="954"/>
      <c r="ZA39" s="954"/>
      <c r="ZB39" s="954"/>
      <c r="ZC39" s="954"/>
      <c r="ZD39" s="954"/>
      <c r="ZE39" s="954"/>
      <c r="ZF39" s="954"/>
      <c r="ZG39" s="954"/>
      <c r="ZH39" s="954"/>
      <c r="ZI39" s="954"/>
      <c r="ZJ39" s="954"/>
      <c r="ZK39" s="954"/>
      <c r="ZL39" s="954"/>
      <c r="ZM39" s="954"/>
      <c r="ZN39" s="954"/>
      <c r="ZO39" s="954"/>
      <c r="ZP39" s="954"/>
      <c r="ZQ39" s="954"/>
      <c r="ZR39" s="954"/>
      <c r="ZS39" s="954"/>
      <c r="ZT39" s="954"/>
      <c r="ZU39" s="954"/>
      <c r="ZV39" s="954"/>
      <c r="ZW39" s="954"/>
      <c r="ZX39" s="954"/>
      <c r="ZY39" s="954"/>
      <c r="ZZ39" s="954"/>
      <c r="AAA39" s="954"/>
      <c r="AAB39" s="954"/>
      <c r="AAC39" s="954"/>
      <c r="AAD39" s="954"/>
      <c r="AAE39" s="954"/>
      <c r="AAF39" s="954"/>
      <c r="AAG39" s="954"/>
      <c r="AAH39" s="954"/>
      <c r="AAI39" s="954"/>
      <c r="AAJ39" s="954"/>
      <c r="AAK39" s="954"/>
      <c r="AAL39" s="954"/>
      <c r="AAM39" s="954"/>
      <c r="AAN39" s="954"/>
      <c r="AAO39" s="954"/>
      <c r="AAP39" s="954"/>
      <c r="AAQ39" s="954"/>
      <c r="AAR39" s="954"/>
      <c r="AAS39" s="954"/>
      <c r="AAT39" s="954"/>
      <c r="AAU39" s="954"/>
      <c r="AAV39" s="954"/>
      <c r="AAW39" s="954"/>
      <c r="AAX39" s="954"/>
      <c r="AAY39" s="954"/>
      <c r="AAZ39" s="954"/>
      <c r="ABA39" s="954"/>
      <c r="ABB39" s="954"/>
      <c r="ABC39" s="954"/>
      <c r="ABD39" s="954"/>
      <c r="ABE39" s="954"/>
      <c r="ABF39" s="954"/>
      <c r="ABG39" s="954"/>
      <c r="ABH39" s="954"/>
      <c r="ABI39" s="954"/>
      <c r="ABJ39" s="954"/>
      <c r="ABK39" s="954"/>
      <c r="ABL39" s="954"/>
      <c r="ABM39" s="954"/>
      <c r="ABN39" s="954"/>
      <c r="ABO39" s="954"/>
      <c r="ABP39" s="954"/>
      <c r="ABQ39" s="954"/>
      <c r="ABR39" s="954"/>
      <c r="ABS39" s="954"/>
      <c r="ABT39" s="954"/>
      <c r="ABU39" s="954"/>
      <c r="ABV39" s="954"/>
      <c r="ABW39" s="954"/>
      <c r="ABX39" s="954"/>
      <c r="ABY39" s="954"/>
      <c r="ABZ39" s="954"/>
      <c r="ACA39" s="954"/>
      <c r="ACB39" s="954"/>
      <c r="ACC39" s="954"/>
      <c r="ACD39" s="954"/>
      <c r="ACE39" s="954"/>
      <c r="ACF39" s="954"/>
      <c r="ACG39" s="954"/>
      <c r="ACH39" s="954"/>
      <c r="ACI39" s="954"/>
      <c r="ACJ39" s="954"/>
      <c r="ACK39" s="954"/>
      <c r="ACL39" s="954"/>
      <c r="ACM39" s="954"/>
      <c r="ACN39" s="954"/>
      <c r="ACO39" s="954"/>
      <c r="ACP39" s="954"/>
      <c r="ACQ39" s="954"/>
      <c r="ACR39" s="954"/>
      <c r="ACS39" s="954"/>
      <c r="ACT39" s="954"/>
      <c r="ACU39" s="954"/>
      <c r="ACV39" s="954"/>
      <c r="ACW39" s="954"/>
      <c r="ACX39" s="954"/>
      <c r="ACY39" s="954"/>
      <c r="ACZ39" s="954"/>
      <c r="ADA39" s="954"/>
      <c r="ADB39" s="954"/>
      <c r="ADC39" s="954"/>
      <c r="ADD39" s="954"/>
      <c r="ADE39" s="954"/>
      <c r="ADF39" s="954"/>
      <c r="ADG39" s="954"/>
      <c r="ADH39" s="954"/>
      <c r="ADI39" s="954"/>
      <c r="ADJ39" s="954"/>
      <c r="ADK39" s="954"/>
      <c r="ADL39" s="954"/>
      <c r="ADM39" s="954"/>
      <c r="ADN39" s="954"/>
      <c r="ADO39" s="954"/>
      <c r="ADP39" s="954"/>
      <c r="ADQ39" s="954"/>
      <c r="ADR39" s="954"/>
      <c r="ADS39" s="954"/>
      <c r="ADT39" s="954"/>
      <c r="ADU39" s="954"/>
      <c r="ADV39" s="954"/>
      <c r="ADW39" s="954"/>
      <c r="ADX39" s="954"/>
      <c r="ADY39" s="954"/>
      <c r="ADZ39" s="954"/>
      <c r="AEA39" s="954"/>
      <c r="AEB39" s="954"/>
      <c r="AEC39" s="954"/>
      <c r="AED39" s="954"/>
      <c r="AEE39" s="954"/>
      <c r="AEF39" s="954"/>
      <c r="AEG39" s="954"/>
      <c r="AEH39" s="954"/>
      <c r="AEI39" s="954"/>
      <c r="AEJ39" s="954"/>
      <c r="AEK39" s="954"/>
      <c r="AEL39" s="954"/>
      <c r="AEM39" s="954"/>
      <c r="AEN39" s="954"/>
      <c r="AEO39" s="954"/>
      <c r="AEP39" s="954"/>
      <c r="AEQ39" s="954"/>
      <c r="AER39" s="954"/>
      <c r="AES39" s="954"/>
      <c r="AET39" s="954"/>
      <c r="AEU39" s="954"/>
      <c r="AEV39" s="954"/>
      <c r="AEW39" s="954"/>
      <c r="AEX39" s="954"/>
      <c r="AEY39" s="954"/>
      <c r="AEZ39" s="954"/>
      <c r="AFA39" s="954"/>
      <c r="AFB39" s="954"/>
      <c r="AFC39" s="954"/>
      <c r="AFD39" s="954"/>
      <c r="AFE39" s="954"/>
      <c r="AFF39" s="954"/>
      <c r="AFG39" s="954"/>
      <c r="AFH39" s="954"/>
      <c r="AFI39" s="954"/>
      <c r="AFJ39" s="954"/>
      <c r="AFK39" s="954"/>
      <c r="AFL39" s="954"/>
      <c r="AFM39" s="954"/>
      <c r="AFN39" s="954"/>
      <c r="AFO39" s="954"/>
      <c r="AFP39" s="954"/>
      <c r="AFQ39" s="954"/>
      <c r="AFR39" s="954"/>
      <c r="AFS39" s="954"/>
      <c r="AFT39" s="954"/>
      <c r="AFU39" s="954"/>
      <c r="AFV39" s="954"/>
      <c r="AFW39" s="954"/>
      <c r="AFX39" s="954"/>
      <c r="AFY39" s="954"/>
      <c r="AFZ39" s="954"/>
      <c r="AGA39" s="954"/>
      <c r="AGB39" s="954"/>
      <c r="AGC39" s="954"/>
      <c r="AGD39" s="954"/>
      <c r="AGE39" s="954"/>
      <c r="AGF39" s="954"/>
      <c r="AGG39" s="954"/>
      <c r="AGH39" s="954"/>
      <c r="AGI39" s="954"/>
      <c r="AGJ39" s="954"/>
      <c r="AGK39" s="954"/>
      <c r="AGL39" s="954"/>
      <c r="AGM39" s="954"/>
      <c r="AGN39" s="954"/>
      <c r="AGO39" s="954"/>
      <c r="AGP39" s="954"/>
      <c r="AGQ39" s="954"/>
      <c r="AGR39" s="954"/>
      <c r="AGS39" s="954"/>
      <c r="AGT39" s="954"/>
      <c r="AGU39" s="954"/>
      <c r="AGV39" s="954"/>
      <c r="AGW39" s="954"/>
      <c r="AGX39" s="954"/>
      <c r="AGY39" s="954"/>
      <c r="AGZ39" s="954"/>
      <c r="AHA39" s="954"/>
      <c r="AHB39" s="954"/>
      <c r="AHC39" s="954"/>
      <c r="AHD39" s="954"/>
      <c r="AHE39" s="954"/>
      <c r="AHF39" s="954"/>
      <c r="AHG39" s="954"/>
      <c r="AHH39" s="954"/>
      <c r="AHI39" s="954"/>
      <c r="AHJ39" s="954"/>
      <c r="AHK39" s="954"/>
      <c r="AHL39" s="954"/>
      <c r="AHM39" s="954"/>
      <c r="AHN39" s="954"/>
      <c r="AHO39" s="954"/>
      <c r="AHP39" s="954"/>
      <c r="AHQ39" s="954"/>
      <c r="AHR39" s="954"/>
      <c r="AHS39" s="954"/>
      <c r="AHT39" s="954"/>
      <c r="AHU39" s="954"/>
      <c r="AHV39" s="954"/>
      <c r="AHW39" s="954"/>
      <c r="AHX39" s="954"/>
      <c r="AHY39" s="954"/>
      <c r="AHZ39" s="954"/>
      <c r="AIA39" s="954"/>
      <c r="AIB39" s="954"/>
      <c r="AIC39" s="954"/>
      <c r="AID39" s="954"/>
      <c r="AIE39" s="954"/>
      <c r="AIF39" s="954"/>
      <c r="AIG39" s="954"/>
      <c r="AIH39" s="954"/>
      <c r="AII39" s="954"/>
      <c r="AIJ39" s="954"/>
      <c r="AIK39" s="954"/>
      <c r="AIL39" s="954"/>
      <c r="AIM39" s="954"/>
      <c r="AIN39" s="954"/>
      <c r="AIO39" s="954"/>
      <c r="AIP39" s="954"/>
      <c r="AIQ39" s="954"/>
      <c r="AIR39" s="954"/>
      <c r="AIS39" s="954"/>
      <c r="AIT39" s="954"/>
      <c r="AIU39" s="954"/>
      <c r="AIV39" s="954"/>
      <c r="AIW39" s="954"/>
      <c r="AIX39" s="954"/>
      <c r="AIY39" s="954"/>
      <c r="AIZ39" s="954"/>
      <c r="AJA39" s="954"/>
      <c r="AJB39" s="954"/>
      <c r="AJC39" s="954"/>
      <c r="AJD39" s="954"/>
      <c r="AJE39" s="954"/>
      <c r="AJF39" s="954"/>
      <c r="AJG39" s="954"/>
      <c r="AJH39" s="954"/>
      <c r="AJI39" s="954"/>
      <c r="AJJ39" s="954"/>
      <c r="AJK39" s="954"/>
      <c r="AJL39" s="954"/>
      <c r="AJM39" s="954"/>
      <c r="AJN39" s="954"/>
      <c r="AJO39" s="954"/>
      <c r="AJP39" s="954"/>
      <c r="AJQ39" s="954"/>
      <c r="AJR39" s="954"/>
      <c r="AJS39" s="954"/>
      <c r="AJT39" s="954"/>
      <c r="AJU39" s="954"/>
      <c r="AJV39" s="954"/>
      <c r="AJW39" s="954"/>
      <c r="AJX39" s="954"/>
      <c r="AJY39" s="954"/>
      <c r="AJZ39" s="954"/>
      <c r="AKA39" s="954"/>
      <c r="AKB39" s="954"/>
      <c r="AKC39" s="954"/>
      <c r="AKD39" s="954"/>
      <c r="AKE39" s="954"/>
      <c r="AKF39" s="954"/>
      <c r="AKG39" s="954"/>
      <c r="AKH39" s="954"/>
      <c r="AKI39" s="954"/>
      <c r="AKJ39" s="954"/>
      <c r="AKK39" s="954"/>
      <c r="AKL39" s="954"/>
      <c r="AKM39" s="954"/>
      <c r="AKN39" s="954"/>
      <c r="AKO39" s="954"/>
      <c r="AKP39" s="954"/>
      <c r="AKQ39" s="954"/>
      <c r="AKR39" s="954"/>
      <c r="AKS39" s="954"/>
      <c r="AKT39" s="954"/>
      <c r="AKU39" s="954"/>
      <c r="AKV39" s="954"/>
      <c r="AKW39" s="954"/>
      <c r="AKX39" s="954"/>
      <c r="AKY39" s="954"/>
      <c r="AKZ39" s="954"/>
      <c r="ALA39" s="954"/>
      <c r="ALB39" s="954"/>
      <c r="ALC39" s="954"/>
      <c r="ALD39" s="954"/>
      <c r="ALE39" s="954"/>
      <c r="ALF39" s="954"/>
      <c r="ALG39" s="954"/>
      <c r="ALH39" s="954"/>
      <c r="ALI39" s="954"/>
      <c r="ALJ39" s="954"/>
      <c r="ALK39" s="954"/>
      <c r="ALL39" s="954"/>
      <c r="ALM39" s="954"/>
      <c r="ALN39" s="954"/>
      <c r="ALO39" s="954"/>
      <c r="ALP39" s="954"/>
      <c r="ALQ39" s="954"/>
      <c r="ALR39" s="954"/>
      <c r="ALS39" s="954"/>
      <c r="ALT39" s="954"/>
      <c r="ALU39" s="954"/>
      <c r="ALV39" s="954"/>
      <c r="ALW39" s="954"/>
      <c r="ALX39" s="954"/>
      <c r="ALY39" s="954"/>
      <c r="ALZ39" s="954"/>
      <c r="AMA39" s="954"/>
      <c r="AMB39" s="954"/>
      <c r="AMC39" s="954"/>
      <c r="AMD39" s="954"/>
      <c r="AME39" s="954"/>
      <c r="AMF39" s="954"/>
      <c r="AMG39" s="954"/>
      <c r="AMH39" s="954"/>
      <c r="AMI39" s="954"/>
      <c r="AMJ39" s="954"/>
      <c r="AMK39" s="954"/>
      <c r="AML39" s="954"/>
      <c r="AMM39" s="954"/>
      <c r="AMN39" s="954"/>
      <c r="AMO39" s="954"/>
      <c r="AMP39" s="954"/>
      <c r="AMQ39" s="954"/>
      <c r="AMR39" s="954"/>
      <c r="AMS39" s="954"/>
      <c r="AMT39" s="954"/>
      <c r="AMU39" s="954"/>
      <c r="AMV39" s="954"/>
      <c r="AMW39" s="954"/>
      <c r="AMX39" s="954"/>
      <c r="AMY39" s="954"/>
      <c r="AMZ39" s="954"/>
      <c r="ANA39" s="954"/>
      <c r="ANB39" s="954"/>
      <c r="ANC39" s="954"/>
      <c r="AND39" s="954"/>
      <c r="ANE39" s="954"/>
      <c r="ANF39" s="954"/>
      <c r="ANG39" s="954"/>
      <c r="ANH39" s="954"/>
      <c r="ANI39" s="954"/>
      <c r="ANJ39" s="954"/>
      <c r="ANK39" s="954"/>
      <c r="ANL39" s="954"/>
      <c r="ANM39" s="954"/>
      <c r="ANN39" s="954"/>
      <c r="ANO39" s="954"/>
      <c r="ANP39" s="954"/>
      <c r="ANQ39" s="954"/>
      <c r="ANR39" s="954"/>
      <c r="ANS39" s="954"/>
      <c r="ANT39" s="954"/>
      <c r="ANU39" s="954"/>
      <c r="ANV39" s="954"/>
      <c r="ANW39" s="954"/>
      <c r="ANX39" s="954"/>
      <c r="ANY39" s="954"/>
      <c r="ANZ39" s="954"/>
      <c r="AOA39" s="954"/>
      <c r="AOB39" s="954"/>
      <c r="AOC39" s="954"/>
      <c r="AOD39" s="954"/>
      <c r="AOE39" s="954"/>
      <c r="AOF39" s="954"/>
      <c r="AOG39" s="954"/>
      <c r="AOH39" s="954"/>
      <c r="AOI39" s="954"/>
      <c r="AOJ39" s="954"/>
      <c r="AOK39" s="954"/>
      <c r="AOL39" s="954"/>
      <c r="AOM39" s="954"/>
      <c r="AON39" s="954"/>
      <c r="AOO39" s="954"/>
      <c r="AOP39" s="954"/>
      <c r="AOQ39" s="954"/>
      <c r="AOR39" s="954"/>
      <c r="AOS39" s="954"/>
      <c r="AOT39" s="954"/>
      <c r="AOU39" s="954"/>
      <c r="AOV39" s="954"/>
      <c r="AOW39" s="954"/>
      <c r="AOX39" s="954"/>
      <c r="AOY39" s="954"/>
      <c r="AOZ39" s="954"/>
      <c r="APA39" s="954"/>
      <c r="APB39" s="954"/>
      <c r="APC39" s="954"/>
      <c r="APD39" s="954"/>
      <c r="APE39" s="954"/>
      <c r="APF39" s="954"/>
      <c r="APG39" s="954"/>
      <c r="APH39" s="954"/>
      <c r="API39" s="954"/>
      <c r="APJ39" s="954"/>
      <c r="APK39" s="954"/>
      <c r="APL39" s="954"/>
      <c r="APM39" s="954"/>
      <c r="APN39" s="954"/>
      <c r="APO39" s="954"/>
      <c r="APP39" s="954"/>
      <c r="APQ39" s="954"/>
      <c r="APR39" s="954"/>
      <c r="APS39" s="954"/>
      <c r="APT39" s="954"/>
      <c r="APU39" s="954"/>
      <c r="APV39" s="954"/>
      <c r="APW39" s="954"/>
      <c r="APX39" s="954"/>
      <c r="APY39" s="954"/>
      <c r="APZ39" s="954"/>
      <c r="AQA39" s="954"/>
      <c r="AQB39" s="954"/>
      <c r="AQC39" s="954"/>
      <c r="AQD39" s="954"/>
      <c r="AQE39" s="954"/>
      <c r="AQF39" s="954"/>
      <c r="AQG39" s="954"/>
      <c r="AQH39" s="954"/>
      <c r="AQI39" s="954"/>
      <c r="AQJ39" s="954"/>
      <c r="AQK39" s="954"/>
      <c r="AQL39" s="954"/>
      <c r="AQM39" s="954"/>
      <c r="AQN39" s="954"/>
      <c r="AQO39" s="954"/>
      <c r="AQP39" s="954"/>
      <c r="AQQ39" s="954"/>
      <c r="AQR39" s="954"/>
      <c r="AQS39" s="954"/>
      <c r="AQT39" s="954"/>
      <c r="AQU39" s="954"/>
      <c r="AQV39" s="954"/>
      <c r="AQW39" s="954"/>
      <c r="AQX39" s="954"/>
      <c r="AQY39" s="954"/>
      <c r="AQZ39" s="954"/>
      <c r="ARA39" s="954"/>
      <c r="ARB39" s="954"/>
      <c r="ARC39" s="954"/>
      <c r="ARD39" s="954"/>
      <c r="ARE39" s="954"/>
      <c r="ARF39" s="954"/>
      <c r="ARG39" s="954"/>
      <c r="ARH39" s="954"/>
      <c r="ARI39" s="954"/>
      <c r="ARJ39" s="954"/>
      <c r="ARK39" s="954"/>
      <c r="ARL39" s="954"/>
      <c r="ARM39" s="954"/>
      <c r="ARN39" s="954"/>
      <c r="ARO39" s="954"/>
      <c r="ARP39" s="954"/>
      <c r="ARQ39" s="954"/>
      <c r="ARR39" s="954"/>
      <c r="ARS39" s="954"/>
      <c r="ART39" s="954"/>
      <c r="ARU39" s="954"/>
      <c r="ARV39" s="954"/>
      <c r="ARW39" s="954"/>
      <c r="ARX39" s="954"/>
      <c r="ARY39" s="954"/>
      <c r="ARZ39" s="954"/>
      <c r="ASA39" s="954"/>
      <c r="ASB39" s="954"/>
      <c r="ASC39" s="954"/>
      <c r="ASD39" s="954"/>
      <c r="ASE39" s="954"/>
      <c r="ASF39" s="954"/>
      <c r="ASG39" s="954"/>
      <c r="ASH39" s="954"/>
      <c r="ASI39" s="954"/>
      <c r="ASJ39" s="954"/>
      <c r="ASK39" s="954"/>
      <c r="ASL39" s="954"/>
      <c r="ASM39" s="954"/>
      <c r="ASN39" s="954"/>
      <c r="ASO39" s="954"/>
      <c r="ASP39" s="954"/>
      <c r="ASQ39" s="954"/>
      <c r="ASR39" s="954"/>
      <c r="ASS39" s="954"/>
      <c r="AST39" s="954"/>
      <c r="ASU39" s="954"/>
      <c r="ASV39" s="954"/>
      <c r="ASW39" s="954"/>
      <c r="ASX39" s="954"/>
      <c r="ASY39" s="954"/>
      <c r="ASZ39" s="954"/>
      <c r="ATA39" s="954"/>
      <c r="ATB39" s="954"/>
      <c r="ATC39" s="954"/>
      <c r="ATD39" s="954"/>
      <c r="ATE39" s="954"/>
      <c r="ATF39" s="954"/>
      <c r="ATG39" s="954"/>
      <c r="ATH39" s="954"/>
      <c r="ATI39" s="954"/>
      <c r="ATJ39" s="954"/>
      <c r="ATK39" s="954"/>
      <c r="ATL39" s="954"/>
      <c r="ATM39" s="954"/>
      <c r="ATN39" s="954"/>
      <c r="ATO39" s="954"/>
      <c r="ATP39" s="954"/>
      <c r="ATQ39" s="954"/>
      <c r="ATR39" s="954"/>
      <c r="ATS39" s="954"/>
      <c r="ATT39" s="954"/>
      <c r="ATU39" s="954"/>
      <c r="ATV39" s="954"/>
      <c r="ATW39" s="954"/>
      <c r="ATX39" s="954"/>
      <c r="ATY39" s="954"/>
      <c r="ATZ39" s="954"/>
      <c r="AUA39" s="954"/>
      <c r="AUB39" s="954"/>
      <c r="AUC39" s="954"/>
      <c r="AUD39" s="954"/>
      <c r="AUE39" s="954"/>
      <c r="AUF39" s="954"/>
      <c r="AUG39" s="954"/>
      <c r="AUH39" s="954"/>
      <c r="AUI39" s="954"/>
      <c r="AUJ39" s="954"/>
      <c r="AUK39" s="954"/>
      <c r="AUL39" s="954"/>
      <c r="AUM39" s="954"/>
      <c r="AUN39" s="954"/>
      <c r="AUO39" s="954"/>
      <c r="AUP39" s="954"/>
      <c r="AUQ39" s="954"/>
      <c r="AUR39" s="954"/>
      <c r="AUS39" s="954"/>
      <c r="AUT39" s="954"/>
      <c r="AUU39" s="954"/>
      <c r="AUV39" s="954"/>
      <c r="AUW39" s="954"/>
      <c r="AUX39" s="954"/>
      <c r="AUY39" s="954"/>
      <c r="AUZ39" s="954"/>
      <c r="AVA39" s="954"/>
      <c r="AVB39" s="954"/>
      <c r="AVC39" s="954"/>
      <c r="AVD39" s="954"/>
      <c r="AVE39" s="954"/>
      <c r="AVF39" s="954"/>
      <c r="AVG39" s="954"/>
      <c r="AVH39" s="954"/>
      <c r="AVI39" s="954"/>
      <c r="AVJ39" s="954"/>
      <c r="AVK39" s="954"/>
      <c r="AVL39" s="954"/>
      <c r="AVM39" s="954"/>
      <c r="AVN39" s="954"/>
      <c r="AVO39" s="954"/>
      <c r="AVP39" s="954"/>
      <c r="AVQ39" s="954"/>
      <c r="AVR39" s="954"/>
      <c r="AVS39" s="954"/>
      <c r="AVT39" s="954"/>
      <c r="AVU39" s="954"/>
      <c r="AVV39" s="954"/>
      <c r="AVW39" s="954"/>
      <c r="AVX39" s="954"/>
      <c r="AVY39" s="954"/>
      <c r="AVZ39" s="954"/>
      <c r="AWA39" s="954"/>
      <c r="AWB39" s="954"/>
      <c r="AWC39" s="954"/>
      <c r="AWD39" s="954"/>
      <c r="AWE39" s="954"/>
      <c r="AWF39" s="954"/>
      <c r="AWG39" s="954"/>
      <c r="AWH39" s="954"/>
      <c r="AWI39" s="954"/>
      <c r="AWJ39" s="954"/>
      <c r="AWK39" s="954"/>
      <c r="AWL39" s="954"/>
      <c r="AWM39" s="954"/>
      <c r="AWN39" s="954"/>
      <c r="AWO39" s="954"/>
      <c r="AWP39" s="954"/>
      <c r="AWQ39" s="954"/>
      <c r="AWR39" s="954"/>
      <c r="AWS39" s="954"/>
      <c r="AWT39" s="954"/>
      <c r="AWU39" s="954"/>
      <c r="AWV39" s="954"/>
      <c r="AWW39" s="954"/>
      <c r="AWX39" s="954"/>
      <c r="AWY39" s="954"/>
      <c r="AWZ39" s="954"/>
      <c r="AXA39" s="954"/>
      <c r="AXB39" s="954"/>
      <c r="AXC39" s="954"/>
      <c r="AXD39" s="954"/>
      <c r="AXE39" s="954"/>
      <c r="AXF39" s="954"/>
      <c r="AXG39" s="954"/>
      <c r="AXH39" s="954"/>
      <c r="AXI39" s="954"/>
      <c r="AXJ39" s="954"/>
      <c r="AXK39" s="954"/>
      <c r="AXL39" s="954"/>
      <c r="AXM39" s="954"/>
      <c r="AXN39" s="954"/>
      <c r="AXO39" s="954"/>
      <c r="AXP39" s="954"/>
      <c r="AXQ39" s="954"/>
      <c r="AXR39" s="954"/>
      <c r="AXS39" s="954"/>
      <c r="AXT39" s="954"/>
      <c r="AXU39" s="954"/>
      <c r="AXV39" s="954"/>
      <c r="AXW39" s="954"/>
      <c r="AXX39" s="954"/>
      <c r="AXY39" s="954"/>
      <c r="AXZ39" s="954"/>
      <c r="AYA39" s="954"/>
      <c r="AYB39" s="954"/>
      <c r="AYC39" s="954"/>
      <c r="AYD39" s="954"/>
      <c r="AYE39" s="954"/>
      <c r="AYF39" s="954"/>
      <c r="AYG39" s="954"/>
      <c r="AYH39" s="954"/>
      <c r="AYI39" s="954"/>
      <c r="AYJ39" s="954"/>
      <c r="AYK39" s="954"/>
      <c r="AYL39" s="954"/>
      <c r="AYM39" s="954"/>
      <c r="AYN39" s="954"/>
      <c r="AYO39" s="954"/>
      <c r="AYP39" s="954"/>
      <c r="AYQ39" s="954"/>
      <c r="AYR39" s="954"/>
      <c r="AYS39" s="954"/>
      <c r="AYT39" s="954"/>
      <c r="AYU39" s="954"/>
      <c r="AYV39" s="954"/>
      <c r="AYW39" s="954"/>
      <c r="AYX39" s="954"/>
      <c r="AYY39" s="954"/>
      <c r="AYZ39" s="954"/>
      <c r="AZA39" s="954"/>
      <c r="AZB39" s="954"/>
      <c r="AZC39" s="954"/>
      <c r="AZD39" s="954"/>
      <c r="AZE39" s="954"/>
      <c r="AZF39" s="954"/>
      <c r="AZG39" s="954"/>
      <c r="AZH39" s="954"/>
      <c r="AZI39" s="954"/>
      <c r="AZJ39" s="954"/>
      <c r="AZK39" s="954"/>
      <c r="AZL39" s="954"/>
      <c r="AZM39" s="954"/>
      <c r="AZN39" s="954"/>
      <c r="AZO39" s="954"/>
      <c r="AZP39" s="954"/>
      <c r="AZQ39" s="954"/>
      <c r="AZR39" s="954"/>
      <c r="AZS39" s="954"/>
      <c r="AZT39" s="954"/>
      <c r="AZU39" s="954"/>
      <c r="AZV39" s="954"/>
      <c r="AZW39" s="954"/>
      <c r="AZX39" s="954"/>
      <c r="AZY39" s="954"/>
      <c r="AZZ39" s="954"/>
      <c r="BAA39" s="954"/>
      <c r="BAB39" s="954"/>
      <c r="BAC39" s="954"/>
      <c r="BAD39" s="954"/>
      <c r="BAE39" s="954"/>
      <c r="BAF39" s="954"/>
      <c r="BAG39" s="954"/>
      <c r="BAH39" s="954"/>
      <c r="BAI39" s="954"/>
      <c r="BAJ39" s="954"/>
      <c r="BAK39" s="954"/>
      <c r="BAL39" s="954"/>
      <c r="BAM39" s="954"/>
      <c r="BAN39" s="954"/>
      <c r="BAO39" s="954"/>
      <c r="BAP39" s="954"/>
      <c r="BAQ39" s="954"/>
      <c r="BAR39" s="954"/>
      <c r="BAS39" s="954"/>
      <c r="BAT39" s="954"/>
      <c r="BAU39" s="954"/>
      <c r="BAV39" s="954"/>
      <c r="BAW39" s="954"/>
      <c r="BAX39" s="954"/>
      <c r="BAY39" s="954"/>
      <c r="BAZ39" s="954"/>
      <c r="BBA39" s="954"/>
      <c r="BBB39" s="954"/>
      <c r="BBC39" s="954"/>
      <c r="BBD39" s="954"/>
      <c r="BBE39" s="954"/>
      <c r="BBF39" s="954"/>
      <c r="BBG39" s="954"/>
      <c r="BBH39" s="954"/>
      <c r="BBI39" s="954"/>
      <c r="BBJ39" s="954"/>
      <c r="BBK39" s="954"/>
      <c r="BBL39" s="954"/>
      <c r="BBM39" s="954"/>
      <c r="BBN39" s="954"/>
      <c r="BBO39" s="954"/>
      <c r="BBP39" s="954"/>
      <c r="BBQ39" s="954"/>
      <c r="BBR39" s="954"/>
      <c r="BBS39" s="954"/>
      <c r="BBT39" s="954"/>
      <c r="BBU39" s="954"/>
      <c r="BBV39" s="954"/>
      <c r="BBW39" s="954"/>
      <c r="BBX39" s="954"/>
      <c r="BBY39" s="954"/>
      <c r="BBZ39" s="954"/>
      <c r="BCA39" s="954"/>
      <c r="BCB39" s="954"/>
      <c r="BCC39" s="954"/>
      <c r="BCD39" s="954"/>
      <c r="BCE39" s="954"/>
      <c r="BCF39" s="954"/>
      <c r="BCG39" s="954"/>
      <c r="BCH39" s="954"/>
      <c r="BCI39" s="954"/>
      <c r="BCJ39" s="954"/>
      <c r="BCK39" s="954"/>
      <c r="BCL39" s="954"/>
      <c r="BCM39" s="954"/>
      <c r="BCN39" s="954"/>
      <c r="BCO39" s="954"/>
      <c r="BCP39" s="954"/>
      <c r="BCQ39" s="954"/>
      <c r="BCR39" s="954"/>
      <c r="BCS39" s="954"/>
      <c r="BCT39" s="954"/>
      <c r="BCU39" s="954"/>
      <c r="BCV39" s="954"/>
      <c r="BCW39" s="954"/>
      <c r="BCX39" s="954"/>
      <c r="BCY39" s="954"/>
      <c r="BCZ39" s="954"/>
      <c r="BDA39" s="954"/>
      <c r="BDB39" s="954"/>
      <c r="BDC39" s="954"/>
      <c r="BDD39" s="954"/>
      <c r="BDE39" s="954"/>
      <c r="BDF39" s="954"/>
      <c r="BDG39" s="954"/>
      <c r="BDH39" s="954"/>
      <c r="BDI39" s="954"/>
      <c r="BDJ39" s="954"/>
      <c r="BDK39" s="954"/>
      <c r="BDL39" s="954"/>
      <c r="BDM39" s="954"/>
      <c r="BDN39" s="954"/>
      <c r="BDO39" s="954"/>
      <c r="BDP39" s="954"/>
      <c r="BDQ39" s="954"/>
      <c r="BDR39" s="954"/>
      <c r="BDS39" s="954"/>
      <c r="BDT39" s="954"/>
      <c r="BDU39" s="954"/>
      <c r="BDV39" s="954"/>
      <c r="BDW39" s="954"/>
      <c r="BDX39" s="954"/>
      <c r="BDY39" s="954"/>
      <c r="BDZ39" s="954"/>
      <c r="BEA39" s="954"/>
      <c r="BEB39" s="954"/>
      <c r="BEC39" s="954"/>
      <c r="BED39" s="954"/>
      <c r="BEE39" s="954"/>
      <c r="BEF39" s="954"/>
      <c r="BEG39" s="954"/>
      <c r="BEH39" s="954"/>
      <c r="BEI39" s="954"/>
      <c r="BEJ39" s="954"/>
      <c r="BEK39" s="954"/>
      <c r="BEL39" s="954"/>
      <c r="BEM39" s="954"/>
      <c r="BEN39" s="954"/>
      <c r="BEO39" s="954"/>
      <c r="BEP39" s="954"/>
      <c r="BEQ39" s="954"/>
      <c r="BER39" s="954"/>
      <c r="BES39" s="954"/>
      <c r="BET39" s="954"/>
      <c r="BEU39" s="954"/>
      <c r="BEV39" s="954"/>
      <c r="BEW39" s="954"/>
      <c r="BEX39" s="954"/>
      <c r="BEY39" s="954"/>
      <c r="BEZ39" s="954"/>
      <c r="BFA39" s="954"/>
      <c r="BFB39" s="954"/>
      <c r="BFC39" s="954"/>
      <c r="BFD39" s="954"/>
      <c r="BFE39" s="954"/>
      <c r="BFF39" s="954"/>
      <c r="BFG39" s="954"/>
      <c r="BFH39" s="954"/>
      <c r="BFI39" s="954"/>
      <c r="BFJ39" s="954"/>
      <c r="BFK39" s="954"/>
      <c r="BFL39" s="954"/>
      <c r="BFM39" s="954"/>
      <c r="BFN39" s="954"/>
      <c r="BFO39" s="954"/>
      <c r="BFP39" s="954"/>
      <c r="BFQ39" s="954"/>
      <c r="BFR39" s="954"/>
      <c r="BFS39" s="954"/>
      <c r="BFT39" s="954"/>
      <c r="BFU39" s="954"/>
      <c r="BFV39" s="954"/>
      <c r="BFW39" s="954"/>
      <c r="BFX39" s="954"/>
      <c r="BFY39" s="954"/>
      <c r="BFZ39" s="954"/>
      <c r="BGA39" s="954"/>
      <c r="BGB39" s="954"/>
      <c r="BGC39" s="954"/>
      <c r="BGD39" s="954"/>
      <c r="BGE39" s="954"/>
      <c r="BGF39" s="954"/>
      <c r="BGG39" s="954"/>
      <c r="BGH39" s="954"/>
      <c r="BGI39" s="954"/>
      <c r="BGJ39" s="954"/>
      <c r="BGK39" s="954"/>
      <c r="BGL39" s="954"/>
      <c r="BGM39" s="954"/>
      <c r="BGN39" s="954"/>
      <c r="BGO39" s="954"/>
      <c r="BGP39" s="954"/>
      <c r="BGQ39" s="954"/>
      <c r="BGR39" s="954"/>
      <c r="BGS39" s="954"/>
      <c r="BGT39" s="954"/>
      <c r="BGU39" s="954"/>
      <c r="BGV39" s="954"/>
      <c r="BGW39" s="954"/>
      <c r="BGX39" s="954"/>
      <c r="BGY39" s="954"/>
      <c r="BGZ39" s="954"/>
      <c r="BHA39" s="954"/>
      <c r="BHB39" s="954"/>
      <c r="BHC39" s="954"/>
      <c r="BHD39" s="954"/>
      <c r="BHE39" s="954"/>
      <c r="BHF39" s="954"/>
      <c r="BHG39" s="954"/>
      <c r="BHH39" s="954"/>
      <c r="BHI39" s="954"/>
      <c r="BHJ39" s="954"/>
      <c r="BHK39" s="954"/>
      <c r="BHL39" s="954"/>
      <c r="BHM39" s="954"/>
      <c r="BHN39" s="954"/>
      <c r="BHO39" s="954"/>
      <c r="BHP39" s="954"/>
      <c r="BHQ39" s="954"/>
      <c r="BHR39" s="954"/>
      <c r="BHS39" s="954"/>
      <c r="BHT39" s="954"/>
      <c r="BHU39" s="954"/>
      <c r="BHV39" s="954"/>
      <c r="BHW39" s="954"/>
      <c r="BHX39" s="954"/>
      <c r="BHY39" s="954"/>
      <c r="BHZ39" s="954"/>
      <c r="BIA39" s="954"/>
      <c r="BIB39" s="954"/>
      <c r="BIC39" s="954"/>
      <c r="BID39" s="954"/>
      <c r="BIE39" s="954"/>
      <c r="BIF39" s="954"/>
      <c r="BIG39" s="954"/>
      <c r="BIH39" s="954"/>
      <c r="BII39" s="954"/>
      <c r="BIJ39" s="954"/>
      <c r="BIK39" s="954"/>
      <c r="BIL39" s="954"/>
      <c r="BIM39" s="954"/>
      <c r="BIN39" s="954"/>
      <c r="BIO39" s="954"/>
      <c r="BIP39" s="954"/>
      <c r="BIQ39" s="954"/>
      <c r="BIR39" s="954"/>
      <c r="BIS39" s="954"/>
      <c r="BIT39" s="954"/>
      <c r="BIU39" s="954"/>
      <c r="BIV39" s="954"/>
      <c r="BIW39" s="954"/>
      <c r="BIX39" s="954"/>
      <c r="BIY39" s="954"/>
      <c r="BIZ39" s="954"/>
      <c r="BJA39" s="954"/>
      <c r="BJB39" s="954"/>
      <c r="BJC39" s="954"/>
      <c r="BJD39" s="954"/>
      <c r="BJE39" s="954"/>
      <c r="BJF39" s="954"/>
      <c r="BJG39" s="954"/>
      <c r="BJH39" s="954"/>
      <c r="BJI39" s="954"/>
      <c r="BJJ39" s="954"/>
      <c r="BJK39" s="954"/>
      <c r="BJL39" s="954"/>
      <c r="BJM39" s="954"/>
      <c r="BJN39" s="954"/>
      <c r="BJO39" s="954"/>
      <c r="BJP39" s="954"/>
      <c r="BJQ39" s="954"/>
      <c r="BJR39" s="954"/>
      <c r="BJS39" s="954"/>
      <c r="BJT39" s="954"/>
      <c r="BJU39" s="954"/>
      <c r="BJV39" s="954"/>
      <c r="BJW39" s="954"/>
      <c r="BJX39" s="954"/>
      <c r="BJY39" s="954"/>
      <c r="BJZ39" s="954"/>
      <c r="BKA39" s="954"/>
      <c r="BKB39" s="954"/>
      <c r="BKC39" s="954"/>
      <c r="BKD39" s="954"/>
      <c r="BKE39" s="954"/>
      <c r="BKF39" s="954"/>
      <c r="BKG39" s="954"/>
      <c r="BKH39" s="954"/>
      <c r="BKI39" s="954"/>
      <c r="BKJ39" s="954"/>
      <c r="BKK39" s="954"/>
      <c r="BKL39" s="954"/>
      <c r="BKM39" s="954"/>
      <c r="BKN39" s="954"/>
      <c r="BKO39" s="954"/>
      <c r="BKP39" s="954"/>
      <c r="BKQ39" s="954"/>
      <c r="BKR39" s="954"/>
      <c r="BKS39" s="954"/>
      <c r="BKT39" s="954"/>
      <c r="BKU39" s="954"/>
      <c r="BKV39" s="954"/>
      <c r="BKW39" s="954"/>
      <c r="BKX39" s="954"/>
      <c r="BKY39" s="954"/>
      <c r="BKZ39" s="954"/>
      <c r="BLA39" s="954"/>
      <c r="BLB39" s="954"/>
      <c r="BLC39" s="954"/>
      <c r="BLD39" s="954"/>
      <c r="BLE39" s="954"/>
      <c r="BLF39" s="954"/>
      <c r="BLG39" s="954"/>
      <c r="BLH39" s="954"/>
      <c r="BLI39" s="954"/>
      <c r="BLJ39" s="954"/>
      <c r="BLK39" s="954"/>
      <c r="BLL39" s="954"/>
      <c r="BLM39" s="954"/>
      <c r="BLN39" s="954"/>
      <c r="BLO39" s="954"/>
      <c r="BLP39" s="954"/>
      <c r="BLQ39" s="954"/>
      <c r="BLR39" s="954"/>
      <c r="BLS39" s="954"/>
      <c r="BLT39" s="954"/>
      <c r="BLU39" s="954"/>
      <c r="BLV39" s="954"/>
      <c r="BLW39" s="954"/>
      <c r="BLX39" s="954"/>
      <c r="BLY39" s="954"/>
      <c r="BLZ39" s="954"/>
      <c r="BMA39" s="954"/>
      <c r="BMB39" s="954"/>
      <c r="BMC39" s="954"/>
      <c r="BMD39" s="954"/>
      <c r="BME39" s="954"/>
      <c r="BMF39" s="954"/>
      <c r="BMG39" s="954"/>
      <c r="BMH39" s="954"/>
      <c r="BMI39" s="954"/>
      <c r="BMJ39" s="954"/>
      <c r="BMK39" s="954"/>
      <c r="BML39" s="954"/>
      <c r="BMM39" s="954"/>
      <c r="BMN39" s="954"/>
      <c r="BMO39" s="954"/>
      <c r="BMP39" s="954"/>
      <c r="BMQ39" s="954"/>
      <c r="BMR39" s="954"/>
      <c r="BMS39" s="954"/>
      <c r="BMT39" s="954"/>
      <c r="BMU39" s="954"/>
      <c r="BMV39" s="954"/>
      <c r="BMW39" s="954"/>
      <c r="BMX39" s="954"/>
      <c r="BMY39" s="954"/>
      <c r="BMZ39" s="954"/>
      <c r="BNA39" s="954"/>
      <c r="BNB39" s="954"/>
      <c r="BNC39" s="954"/>
      <c r="BND39" s="954"/>
      <c r="BNE39" s="954"/>
      <c r="BNF39" s="954"/>
      <c r="BNG39" s="954"/>
      <c r="BNH39" s="954"/>
      <c r="BNI39" s="954"/>
      <c r="BNJ39" s="954"/>
      <c r="BNK39" s="954"/>
      <c r="BNL39" s="954"/>
      <c r="BNM39" s="954"/>
      <c r="BNN39" s="954"/>
      <c r="BNO39" s="954"/>
      <c r="BNP39" s="954"/>
      <c r="BNQ39" s="954"/>
      <c r="BNR39" s="954"/>
      <c r="BNS39" s="954"/>
      <c r="BNT39" s="954"/>
      <c r="BNU39" s="954"/>
      <c r="BNV39" s="954"/>
      <c r="BNW39" s="954"/>
      <c r="BNX39" s="954"/>
      <c r="BNY39" s="954"/>
      <c r="BNZ39" s="954"/>
      <c r="BOA39" s="954"/>
      <c r="BOB39" s="954"/>
      <c r="BOC39" s="954"/>
      <c r="BOD39" s="954"/>
      <c r="BOE39" s="954"/>
      <c r="BOF39" s="954"/>
      <c r="BOG39" s="954"/>
      <c r="BOH39" s="954"/>
      <c r="BOI39" s="954"/>
      <c r="BOJ39" s="954"/>
      <c r="BOK39" s="954"/>
      <c r="BOL39" s="954"/>
      <c r="BOM39" s="954"/>
      <c r="BON39" s="954"/>
      <c r="BOO39" s="954"/>
      <c r="BOP39" s="954"/>
      <c r="BOQ39" s="954"/>
      <c r="BOR39" s="954"/>
      <c r="BOS39" s="954"/>
      <c r="BOT39" s="954"/>
      <c r="BOU39" s="954"/>
      <c r="BOV39" s="954"/>
      <c r="BOW39" s="954"/>
      <c r="BOX39" s="954"/>
      <c r="BOY39" s="954"/>
      <c r="BOZ39" s="954"/>
      <c r="BPA39" s="954"/>
      <c r="BPB39" s="954"/>
      <c r="BPC39" s="954"/>
      <c r="BPD39" s="954"/>
      <c r="BPE39" s="954"/>
      <c r="BPF39" s="954"/>
      <c r="BPG39" s="954"/>
      <c r="BPH39" s="954"/>
      <c r="BPI39" s="954"/>
      <c r="BPJ39" s="954"/>
      <c r="BPK39" s="954"/>
      <c r="BPL39" s="954"/>
      <c r="BPM39" s="954"/>
      <c r="BPN39" s="954"/>
      <c r="BPO39" s="954"/>
      <c r="BPP39" s="954"/>
      <c r="BPQ39" s="954"/>
      <c r="BPR39" s="954"/>
      <c r="BPS39" s="954"/>
      <c r="BPT39" s="954"/>
      <c r="BPU39" s="954"/>
      <c r="BPV39" s="954"/>
      <c r="BPW39" s="954"/>
      <c r="BPX39" s="954"/>
      <c r="BPY39" s="954"/>
      <c r="BPZ39" s="954"/>
      <c r="BQA39" s="954"/>
      <c r="BQB39" s="954"/>
      <c r="BQC39" s="954"/>
      <c r="BQD39" s="954"/>
      <c r="BQE39" s="954"/>
      <c r="BQF39" s="954"/>
      <c r="BQG39" s="954"/>
      <c r="BQH39" s="954"/>
      <c r="BQI39" s="954"/>
      <c r="BQJ39" s="954"/>
      <c r="BQK39" s="954"/>
      <c r="BQL39" s="954"/>
      <c r="BQM39" s="954"/>
      <c r="BQN39" s="954"/>
      <c r="BQO39" s="954"/>
      <c r="BQP39" s="954"/>
      <c r="BQQ39" s="954"/>
      <c r="BQR39" s="954"/>
      <c r="BQS39" s="954"/>
      <c r="BQT39" s="954"/>
      <c r="BQU39" s="954"/>
      <c r="BQV39" s="954"/>
      <c r="BQW39" s="954"/>
      <c r="BQX39" s="954"/>
      <c r="BQY39" s="954"/>
      <c r="BQZ39" s="954"/>
      <c r="BRA39" s="954"/>
      <c r="BRB39" s="954"/>
      <c r="BRC39" s="954"/>
      <c r="BRD39" s="954"/>
      <c r="BRE39" s="954"/>
      <c r="BRF39" s="954"/>
      <c r="BRG39" s="954"/>
      <c r="BRH39" s="954"/>
      <c r="BRI39" s="954"/>
      <c r="BRJ39" s="954"/>
      <c r="BRK39" s="954"/>
      <c r="BRL39" s="954"/>
      <c r="BRM39" s="954"/>
      <c r="BRN39" s="954"/>
      <c r="BRO39" s="954"/>
      <c r="BRP39" s="954"/>
      <c r="BRQ39" s="954"/>
      <c r="BRR39" s="954"/>
      <c r="BRS39" s="954"/>
      <c r="BRT39" s="954"/>
      <c r="BRU39" s="954"/>
      <c r="BRV39" s="954"/>
      <c r="BRW39" s="954"/>
      <c r="BRX39" s="954"/>
      <c r="BRY39" s="954"/>
      <c r="BRZ39" s="954"/>
      <c r="BSA39" s="954"/>
      <c r="BSB39" s="954"/>
      <c r="BSC39" s="954"/>
      <c r="BSD39" s="954"/>
      <c r="BSE39" s="954"/>
      <c r="BSF39" s="954"/>
      <c r="BSG39" s="954"/>
      <c r="BSH39" s="954"/>
      <c r="BSI39" s="954"/>
      <c r="BSJ39" s="954"/>
      <c r="BSK39" s="954"/>
      <c r="BSL39" s="954"/>
      <c r="BSM39" s="954"/>
      <c r="BSN39" s="954"/>
      <c r="BSO39" s="954"/>
      <c r="BSP39" s="954"/>
      <c r="BSQ39" s="954"/>
      <c r="BSR39" s="954"/>
      <c r="BSS39" s="954"/>
      <c r="BST39" s="954"/>
      <c r="BSU39" s="954"/>
      <c r="BSV39" s="954"/>
      <c r="BSW39" s="954"/>
      <c r="BSX39" s="954"/>
      <c r="BSY39" s="954"/>
      <c r="BSZ39" s="954"/>
      <c r="BTA39" s="954"/>
      <c r="BTB39" s="954"/>
      <c r="BTC39" s="954"/>
      <c r="BTD39" s="954"/>
      <c r="BTE39" s="954"/>
      <c r="BTF39" s="954"/>
      <c r="BTG39" s="954"/>
      <c r="BTH39" s="954"/>
      <c r="BTI39" s="954"/>
      <c r="BTJ39" s="954"/>
      <c r="BTK39" s="954"/>
      <c r="BTL39" s="954"/>
      <c r="BTM39" s="954"/>
      <c r="BTN39" s="954"/>
      <c r="BTO39" s="954"/>
      <c r="BTP39" s="954"/>
      <c r="BTQ39" s="954"/>
      <c r="BTR39" s="954"/>
      <c r="BTS39" s="954"/>
      <c r="BTT39" s="954"/>
      <c r="BTU39" s="954"/>
      <c r="BTV39" s="954"/>
      <c r="BTW39" s="954"/>
      <c r="BTX39" s="954"/>
      <c r="BTY39" s="954"/>
      <c r="BTZ39" s="954"/>
      <c r="BUA39" s="954"/>
      <c r="BUB39" s="954"/>
      <c r="BUC39" s="954"/>
      <c r="BUD39" s="954"/>
      <c r="BUE39" s="954"/>
      <c r="BUF39" s="954"/>
      <c r="BUG39" s="954"/>
      <c r="BUH39" s="954"/>
      <c r="BUI39" s="954"/>
      <c r="BUJ39" s="954"/>
      <c r="BUK39" s="954"/>
      <c r="BUL39" s="954"/>
      <c r="BUM39" s="954"/>
      <c r="BUN39" s="954"/>
      <c r="BUO39" s="954"/>
      <c r="BUP39" s="954"/>
      <c r="BUQ39" s="954"/>
      <c r="BUR39" s="954"/>
      <c r="BUS39" s="954"/>
      <c r="BUT39" s="954"/>
      <c r="BUU39" s="954"/>
      <c r="BUV39" s="954"/>
      <c r="BUW39" s="954"/>
      <c r="BUX39" s="954"/>
      <c r="BUY39" s="954"/>
      <c r="BUZ39" s="954"/>
      <c r="BVA39" s="954"/>
      <c r="BVB39" s="954"/>
      <c r="BVC39" s="954"/>
      <c r="BVD39" s="954"/>
      <c r="BVE39" s="954"/>
      <c r="BVF39" s="954"/>
      <c r="BVG39" s="954"/>
      <c r="BVH39" s="954"/>
      <c r="BVI39" s="954"/>
      <c r="BVJ39" s="954"/>
      <c r="BVK39" s="954"/>
      <c r="BVL39" s="954"/>
      <c r="BVM39" s="954"/>
      <c r="BVN39" s="954"/>
      <c r="BVO39" s="954"/>
      <c r="BVP39" s="954"/>
      <c r="BVQ39" s="954"/>
      <c r="BVR39" s="954"/>
      <c r="BVS39" s="954"/>
      <c r="BVT39" s="954"/>
      <c r="BVU39" s="954"/>
      <c r="BVV39" s="954"/>
      <c r="BVW39" s="954"/>
      <c r="BVX39" s="954"/>
      <c r="BVY39" s="954"/>
      <c r="BVZ39" s="954"/>
      <c r="BWA39" s="954"/>
      <c r="BWB39" s="954"/>
      <c r="BWC39" s="954"/>
      <c r="BWD39" s="954"/>
      <c r="BWE39" s="954"/>
      <c r="BWF39" s="954"/>
      <c r="BWG39" s="954"/>
      <c r="BWH39" s="954"/>
      <c r="BWI39" s="954"/>
      <c r="BWJ39" s="954"/>
      <c r="BWK39" s="954"/>
      <c r="BWL39" s="954"/>
      <c r="BWM39" s="954"/>
      <c r="BWN39" s="954"/>
      <c r="BWO39" s="954"/>
      <c r="BWP39" s="954"/>
      <c r="BWQ39" s="954"/>
      <c r="BWR39" s="954"/>
      <c r="BWS39" s="954"/>
      <c r="BWT39" s="954"/>
      <c r="BWU39" s="954"/>
      <c r="BWV39" s="954"/>
      <c r="BWW39" s="954"/>
      <c r="BWX39" s="954"/>
      <c r="BWY39" s="954"/>
      <c r="BWZ39" s="954"/>
      <c r="BXA39" s="954"/>
      <c r="BXB39" s="954"/>
      <c r="BXC39" s="954"/>
      <c r="BXD39" s="954"/>
      <c r="BXE39" s="954"/>
      <c r="BXF39" s="954"/>
      <c r="BXG39" s="954"/>
      <c r="BXH39" s="954"/>
      <c r="BXI39" s="954"/>
      <c r="BXJ39" s="954"/>
      <c r="BXK39" s="954"/>
      <c r="BXL39" s="954"/>
      <c r="BXM39" s="954"/>
      <c r="BXN39" s="954"/>
      <c r="BXO39" s="954"/>
      <c r="BXP39" s="954"/>
      <c r="BXQ39" s="954"/>
      <c r="BXR39" s="954"/>
      <c r="BXS39" s="954"/>
      <c r="BXT39" s="954"/>
      <c r="BXU39" s="954"/>
      <c r="BXV39" s="954"/>
      <c r="BXW39" s="954"/>
      <c r="BXX39" s="954"/>
      <c r="BXY39" s="954"/>
      <c r="BXZ39" s="954"/>
      <c r="BYA39" s="954"/>
      <c r="BYB39" s="954"/>
      <c r="BYC39" s="954"/>
      <c r="BYD39" s="954"/>
      <c r="BYE39" s="954"/>
      <c r="BYF39" s="954"/>
      <c r="BYG39" s="954"/>
      <c r="BYH39" s="954"/>
      <c r="BYI39" s="954"/>
      <c r="BYJ39" s="954"/>
      <c r="BYK39" s="954"/>
      <c r="BYL39" s="954"/>
      <c r="BYM39" s="954"/>
      <c r="BYN39" s="954"/>
      <c r="BYO39" s="954"/>
      <c r="BYP39" s="954"/>
      <c r="BYQ39" s="954"/>
      <c r="BYR39" s="954"/>
      <c r="BYS39" s="954"/>
      <c r="BYT39" s="954"/>
      <c r="BYU39" s="954"/>
      <c r="BYV39" s="954"/>
      <c r="BYW39" s="954"/>
      <c r="BYX39" s="954"/>
      <c r="BYY39" s="954"/>
      <c r="BYZ39" s="954"/>
      <c r="BZA39" s="954"/>
      <c r="BZB39" s="954"/>
      <c r="BZC39" s="954"/>
      <c r="BZD39" s="954"/>
      <c r="BZE39" s="954"/>
      <c r="BZF39" s="954"/>
      <c r="BZG39" s="954"/>
      <c r="BZH39" s="954"/>
      <c r="BZI39" s="954"/>
      <c r="BZJ39" s="954"/>
      <c r="BZK39" s="954"/>
      <c r="BZL39" s="954"/>
      <c r="BZM39" s="954"/>
      <c r="BZN39" s="954"/>
      <c r="BZO39" s="954"/>
      <c r="BZP39" s="954"/>
      <c r="BZQ39" s="954"/>
      <c r="BZR39" s="954"/>
      <c r="BZS39" s="954"/>
      <c r="BZT39" s="954"/>
      <c r="BZU39" s="954"/>
      <c r="BZV39" s="954"/>
      <c r="BZW39" s="954"/>
      <c r="BZX39" s="954"/>
      <c r="BZY39" s="954"/>
      <c r="BZZ39" s="954"/>
      <c r="CAA39" s="954"/>
      <c r="CAB39" s="954"/>
      <c r="CAC39" s="954"/>
      <c r="CAD39" s="954"/>
      <c r="CAE39" s="954"/>
      <c r="CAF39" s="954"/>
      <c r="CAG39" s="954"/>
      <c r="CAH39" s="954"/>
      <c r="CAI39" s="954"/>
      <c r="CAJ39" s="954"/>
      <c r="CAK39" s="954"/>
      <c r="CAL39" s="954"/>
      <c r="CAM39" s="954"/>
      <c r="CAN39" s="954"/>
      <c r="CAO39" s="954"/>
      <c r="CAP39" s="954"/>
      <c r="CAQ39" s="954"/>
      <c r="CAR39" s="954"/>
      <c r="CAS39" s="954"/>
      <c r="CAT39" s="954"/>
      <c r="CAU39" s="954"/>
      <c r="CAV39" s="954"/>
      <c r="CAW39" s="954"/>
      <c r="CAX39" s="954"/>
      <c r="CAY39" s="954"/>
      <c r="CAZ39" s="954"/>
      <c r="CBA39" s="954"/>
      <c r="CBB39" s="954"/>
      <c r="CBC39" s="954"/>
      <c r="CBD39" s="954"/>
      <c r="CBE39" s="954"/>
      <c r="CBF39" s="954"/>
      <c r="CBG39" s="954"/>
      <c r="CBH39" s="954"/>
      <c r="CBI39" s="954"/>
      <c r="CBJ39" s="954"/>
      <c r="CBK39" s="954"/>
      <c r="CBL39" s="954"/>
      <c r="CBM39" s="954"/>
      <c r="CBN39" s="954"/>
      <c r="CBO39" s="954"/>
      <c r="CBP39" s="954"/>
      <c r="CBQ39" s="954"/>
      <c r="CBR39" s="954"/>
      <c r="CBS39" s="954"/>
      <c r="CBT39" s="954"/>
      <c r="CBU39" s="954"/>
      <c r="CBV39" s="954"/>
      <c r="CBW39" s="954"/>
      <c r="CBX39" s="954"/>
      <c r="CBY39" s="954"/>
      <c r="CBZ39" s="954"/>
      <c r="CCA39" s="954"/>
      <c r="CCB39" s="954"/>
      <c r="CCC39" s="954"/>
      <c r="CCD39" s="954"/>
      <c r="CCE39" s="954"/>
      <c r="CCF39" s="954"/>
      <c r="CCG39" s="954"/>
      <c r="CCH39" s="954"/>
      <c r="CCI39" s="954"/>
      <c r="CCJ39" s="954"/>
      <c r="CCK39" s="954"/>
      <c r="CCL39" s="954"/>
      <c r="CCM39" s="954"/>
      <c r="CCN39" s="954"/>
      <c r="CCO39" s="954"/>
      <c r="CCP39" s="954"/>
      <c r="CCQ39" s="954"/>
      <c r="CCR39" s="954"/>
      <c r="CCS39" s="954"/>
      <c r="CCT39" s="954"/>
      <c r="CCU39" s="954"/>
      <c r="CCV39" s="954"/>
      <c r="CCW39" s="954"/>
      <c r="CCX39" s="954"/>
      <c r="CCY39" s="954"/>
      <c r="CCZ39" s="954"/>
      <c r="CDA39" s="954"/>
      <c r="CDB39" s="954"/>
      <c r="CDC39" s="954"/>
      <c r="CDD39" s="954"/>
      <c r="CDE39" s="954"/>
      <c r="CDF39" s="954"/>
      <c r="CDG39" s="954"/>
      <c r="CDH39" s="954"/>
      <c r="CDI39" s="954"/>
      <c r="CDJ39" s="954"/>
      <c r="CDK39" s="954"/>
      <c r="CDL39" s="954"/>
      <c r="CDM39" s="954"/>
      <c r="CDN39" s="954"/>
      <c r="CDO39" s="954"/>
      <c r="CDP39" s="954"/>
      <c r="CDQ39" s="954"/>
      <c r="CDR39" s="954"/>
      <c r="CDS39" s="954"/>
      <c r="CDT39" s="954"/>
      <c r="CDU39" s="954"/>
      <c r="CDV39" s="954"/>
      <c r="CDW39" s="954"/>
      <c r="CDX39" s="954"/>
      <c r="CDY39" s="954"/>
      <c r="CDZ39" s="954"/>
      <c r="CEA39" s="954"/>
      <c r="CEB39" s="954"/>
      <c r="CEC39" s="954"/>
      <c r="CED39" s="954"/>
      <c r="CEE39" s="954"/>
      <c r="CEF39" s="954"/>
      <c r="CEG39" s="954"/>
      <c r="CEH39" s="954"/>
      <c r="CEI39" s="954"/>
      <c r="CEJ39" s="954"/>
      <c r="CEK39" s="954"/>
      <c r="CEL39" s="954"/>
      <c r="CEM39" s="954"/>
      <c r="CEN39" s="954"/>
      <c r="CEO39" s="954"/>
      <c r="CEP39" s="954"/>
      <c r="CEQ39" s="954"/>
      <c r="CER39" s="954"/>
      <c r="CES39" s="954"/>
      <c r="CET39" s="954"/>
      <c r="CEU39" s="954"/>
      <c r="CEV39" s="954"/>
      <c r="CEW39" s="954"/>
      <c r="CEX39" s="954"/>
      <c r="CEY39" s="954"/>
      <c r="CEZ39" s="954"/>
      <c r="CFA39" s="954"/>
      <c r="CFB39" s="954"/>
      <c r="CFC39" s="954"/>
      <c r="CFD39" s="954"/>
      <c r="CFE39" s="954"/>
      <c r="CFF39" s="954"/>
      <c r="CFG39" s="954"/>
      <c r="CFH39" s="954"/>
      <c r="CFI39" s="954"/>
      <c r="CFJ39" s="954"/>
      <c r="CFK39" s="954"/>
      <c r="CFL39" s="954"/>
      <c r="CFM39" s="954"/>
      <c r="CFN39" s="954"/>
      <c r="CFO39" s="954"/>
      <c r="CFP39" s="954"/>
      <c r="CFQ39" s="954"/>
      <c r="CFR39" s="954"/>
      <c r="CFS39" s="954"/>
      <c r="CFT39" s="954"/>
      <c r="CFU39" s="954"/>
      <c r="CFV39" s="954"/>
      <c r="CFW39" s="954"/>
      <c r="CFX39" s="954"/>
      <c r="CFY39" s="954"/>
      <c r="CFZ39" s="954"/>
      <c r="CGA39" s="954"/>
      <c r="CGB39" s="954"/>
      <c r="CGC39" s="954"/>
      <c r="CGD39" s="954"/>
      <c r="CGE39" s="954"/>
      <c r="CGF39" s="954"/>
      <c r="CGG39" s="954"/>
      <c r="CGH39" s="954"/>
      <c r="CGI39" s="954"/>
      <c r="CGJ39" s="954"/>
      <c r="CGK39" s="954"/>
      <c r="CGL39" s="954"/>
      <c r="CGM39" s="954"/>
      <c r="CGN39" s="954"/>
      <c r="CGO39" s="954"/>
      <c r="CGP39" s="954"/>
      <c r="CGQ39" s="954"/>
      <c r="CGR39" s="954"/>
      <c r="CGS39" s="954"/>
      <c r="CGT39" s="954"/>
      <c r="CGU39" s="954"/>
      <c r="CGV39" s="954"/>
      <c r="CGW39" s="954"/>
      <c r="CGX39" s="954"/>
      <c r="CGY39" s="954"/>
      <c r="CGZ39" s="954"/>
      <c r="CHA39" s="954"/>
      <c r="CHB39" s="954"/>
      <c r="CHC39" s="954"/>
      <c r="CHD39" s="954"/>
      <c r="CHE39" s="954"/>
      <c r="CHF39" s="954"/>
      <c r="CHG39" s="954"/>
      <c r="CHH39" s="954"/>
      <c r="CHI39" s="954"/>
      <c r="CHJ39" s="954"/>
      <c r="CHK39" s="954"/>
      <c r="CHL39" s="954"/>
      <c r="CHM39" s="954"/>
      <c r="CHN39" s="954"/>
      <c r="CHO39" s="954"/>
      <c r="CHP39" s="954"/>
      <c r="CHQ39" s="954"/>
      <c r="CHR39" s="954"/>
      <c r="CHS39" s="954"/>
      <c r="CHT39" s="954"/>
      <c r="CHU39" s="954"/>
      <c r="CHV39" s="954"/>
      <c r="CHW39" s="954"/>
      <c r="CHX39" s="954"/>
      <c r="CHY39" s="954"/>
      <c r="CHZ39" s="954"/>
      <c r="CIA39" s="954"/>
      <c r="CIB39" s="954"/>
      <c r="CIC39" s="954"/>
      <c r="CID39" s="954"/>
      <c r="CIE39" s="954"/>
      <c r="CIF39" s="954"/>
      <c r="CIG39" s="954"/>
      <c r="CIH39" s="954"/>
      <c r="CII39" s="954"/>
      <c r="CIJ39" s="954"/>
      <c r="CIK39" s="954"/>
      <c r="CIL39" s="954"/>
      <c r="CIM39" s="954"/>
      <c r="CIN39" s="954"/>
      <c r="CIO39" s="954"/>
      <c r="CIP39" s="954"/>
      <c r="CIQ39" s="954"/>
      <c r="CIR39" s="954"/>
      <c r="CIS39" s="954"/>
      <c r="CIT39" s="954"/>
      <c r="CIU39" s="954"/>
      <c r="CIV39" s="954"/>
      <c r="CIW39" s="954"/>
      <c r="CIX39" s="954"/>
      <c r="CIY39" s="954"/>
      <c r="CIZ39" s="954"/>
      <c r="CJA39" s="954"/>
      <c r="CJB39" s="954"/>
      <c r="CJC39" s="954"/>
      <c r="CJD39" s="954"/>
      <c r="CJE39" s="954"/>
      <c r="CJF39" s="954"/>
      <c r="CJG39" s="954"/>
      <c r="CJH39" s="954"/>
      <c r="CJI39" s="954"/>
      <c r="CJJ39" s="954"/>
      <c r="CJK39" s="954"/>
      <c r="CJL39" s="954"/>
      <c r="CJM39" s="954"/>
      <c r="CJN39" s="954"/>
      <c r="CJO39" s="954"/>
      <c r="CJP39" s="954"/>
      <c r="CJQ39" s="954"/>
      <c r="CJR39" s="954"/>
      <c r="CJS39" s="954"/>
      <c r="CJT39" s="954"/>
      <c r="CJU39" s="954"/>
      <c r="CJV39" s="954"/>
      <c r="CJW39" s="954"/>
      <c r="CJX39" s="954"/>
      <c r="CJY39" s="954"/>
      <c r="CJZ39" s="954"/>
      <c r="CKA39" s="954"/>
      <c r="CKB39" s="954"/>
      <c r="CKC39" s="954"/>
      <c r="CKD39" s="954"/>
      <c r="CKE39" s="954"/>
      <c r="CKF39" s="954"/>
      <c r="CKG39" s="954"/>
      <c r="CKH39" s="954"/>
      <c r="CKI39" s="954"/>
      <c r="CKJ39" s="954"/>
      <c r="CKK39" s="954"/>
      <c r="CKL39" s="954"/>
      <c r="CKM39" s="954"/>
      <c r="CKN39" s="954"/>
      <c r="CKO39" s="954"/>
      <c r="CKP39" s="954"/>
      <c r="CKQ39" s="954"/>
      <c r="CKR39" s="954"/>
      <c r="CKS39" s="954"/>
      <c r="CKT39" s="954"/>
      <c r="CKU39" s="954"/>
      <c r="CKV39" s="954"/>
      <c r="CKW39" s="954"/>
      <c r="CKX39" s="954"/>
      <c r="CKY39" s="954"/>
      <c r="CKZ39" s="954"/>
      <c r="CLA39" s="954"/>
      <c r="CLB39" s="954"/>
      <c r="CLC39" s="954"/>
      <c r="CLD39" s="954"/>
      <c r="CLE39" s="954"/>
      <c r="CLF39" s="954"/>
      <c r="CLG39" s="954"/>
      <c r="CLH39" s="954"/>
      <c r="CLI39" s="954"/>
      <c r="CLJ39" s="954"/>
      <c r="CLK39" s="954"/>
      <c r="CLL39" s="954"/>
      <c r="CLM39" s="954"/>
      <c r="CLN39" s="954"/>
      <c r="CLO39" s="954"/>
      <c r="CLP39" s="954"/>
      <c r="CLQ39" s="954"/>
      <c r="CLR39" s="954"/>
      <c r="CLS39" s="954"/>
      <c r="CLT39" s="954"/>
      <c r="CLU39" s="954"/>
      <c r="CLV39" s="954"/>
      <c r="CLW39" s="954"/>
      <c r="CLX39" s="954"/>
      <c r="CLY39" s="954"/>
      <c r="CLZ39" s="954"/>
      <c r="CMA39" s="954"/>
      <c r="CMB39" s="954"/>
      <c r="CMC39" s="954"/>
      <c r="CMD39" s="954"/>
      <c r="CME39" s="954"/>
      <c r="CMF39" s="954"/>
      <c r="CMG39" s="954"/>
      <c r="CMH39" s="954"/>
      <c r="CMI39" s="954"/>
      <c r="CMJ39" s="954"/>
      <c r="CMK39" s="954"/>
      <c r="CML39" s="954"/>
      <c r="CMM39" s="954"/>
      <c r="CMN39" s="954"/>
      <c r="CMO39" s="954"/>
      <c r="CMP39" s="954"/>
      <c r="CMQ39" s="954"/>
      <c r="CMR39" s="954"/>
      <c r="CMS39" s="954"/>
      <c r="CMT39" s="954"/>
      <c r="CMU39" s="954"/>
      <c r="CMV39" s="954"/>
      <c r="CMW39" s="954"/>
      <c r="CMX39" s="954"/>
      <c r="CMY39" s="954"/>
      <c r="CMZ39" s="954"/>
      <c r="CNA39" s="954"/>
      <c r="CNB39" s="954"/>
      <c r="CNC39" s="954"/>
      <c r="CND39" s="954"/>
      <c r="CNE39" s="954"/>
      <c r="CNF39" s="954"/>
      <c r="CNG39" s="954"/>
      <c r="CNH39" s="954"/>
      <c r="CNI39" s="954"/>
      <c r="CNJ39" s="954"/>
      <c r="CNK39" s="954"/>
      <c r="CNL39" s="954"/>
      <c r="CNM39" s="954"/>
      <c r="CNN39" s="954"/>
      <c r="CNO39" s="954"/>
      <c r="CNP39" s="954"/>
      <c r="CNQ39" s="954"/>
      <c r="CNR39" s="954"/>
      <c r="CNS39" s="954"/>
      <c r="CNT39" s="954"/>
      <c r="CNU39" s="954"/>
      <c r="CNV39" s="954"/>
      <c r="CNW39" s="954"/>
      <c r="CNX39" s="954"/>
      <c r="CNY39" s="954"/>
      <c r="CNZ39" s="954"/>
      <c r="COA39" s="954"/>
      <c r="COB39" s="954"/>
      <c r="COC39" s="954"/>
      <c r="COD39" s="954"/>
      <c r="COE39" s="954"/>
      <c r="COF39" s="954"/>
      <c r="COG39" s="954"/>
      <c r="COH39" s="954"/>
      <c r="COI39" s="954"/>
      <c r="COJ39" s="954"/>
      <c r="COK39" s="954"/>
      <c r="COL39" s="954"/>
      <c r="COM39" s="954"/>
      <c r="CON39" s="954"/>
      <c r="COO39" s="954"/>
      <c r="COP39" s="954"/>
      <c r="COQ39" s="954"/>
      <c r="COR39" s="954"/>
      <c r="COS39" s="954"/>
      <c r="COT39" s="954"/>
      <c r="COU39" s="954"/>
      <c r="COV39" s="954"/>
      <c r="COW39" s="954"/>
      <c r="COX39" s="954"/>
      <c r="COY39" s="954"/>
      <c r="COZ39" s="954"/>
      <c r="CPA39" s="954"/>
      <c r="CPB39" s="954"/>
      <c r="CPC39" s="954"/>
      <c r="CPD39" s="954"/>
      <c r="CPE39" s="954"/>
      <c r="CPF39" s="954"/>
      <c r="CPG39" s="954"/>
      <c r="CPH39" s="954"/>
      <c r="CPI39" s="954"/>
      <c r="CPJ39" s="954"/>
      <c r="CPK39" s="954"/>
      <c r="CPL39" s="954"/>
      <c r="CPM39" s="954"/>
      <c r="CPN39" s="954"/>
      <c r="CPO39" s="954"/>
      <c r="CPP39" s="954"/>
      <c r="CPQ39" s="954"/>
      <c r="CPR39" s="954"/>
      <c r="CPS39" s="954"/>
      <c r="CPT39" s="954"/>
      <c r="CPU39" s="954"/>
      <c r="CPV39" s="954"/>
      <c r="CPW39" s="954"/>
      <c r="CPX39" s="954"/>
      <c r="CPY39" s="954"/>
      <c r="CPZ39" s="954"/>
      <c r="CQA39" s="954"/>
      <c r="CQB39" s="954"/>
      <c r="CQC39" s="954"/>
      <c r="CQD39" s="954"/>
      <c r="CQE39" s="954"/>
      <c r="CQF39" s="954"/>
      <c r="CQG39" s="954"/>
      <c r="CQH39" s="954"/>
      <c r="CQI39" s="954"/>
      <c r="CQJ39" s="954"/>
      <c r="CQK39" s="954"/>
      <c r="CQL39" s="954"/>
      <c r="CQM39" s="954"/>
      <c r="CQN39" s="954"/>
      <c r="CQO39" s="954"/>
      <c r="CQP39" s="954"/>
      <c r="CQQ39" s="954"/>
      <c r="CQR39" s="954"/>
      <c r="CQS39" s="954"/>
      <c r="CQT39" s="954"/>
      <c r="CQU39" s="954"/>
      <c r="CQV39" s="954"/>
      <c r="CQW39" s="954"/>
      <c r="CQX39" s="954"/>
      <c r="CQY39" s="954"/>
      <c r="CQZ39" s="954"/>
      <c r="CRA39" s="954"/>
      <c r="CRB39" s="954"/>
      <c r="CRC39" s="954"/>
      <c r="CRD39" s="954"/>
      <c r="CRE39" s="954"/>
      <c r="CRF39" s="954"/>
      <c r="CRG39" s="954"/>
      <c r="CRH39" s="954"/>
      <c r="CRI39" s="954"/>
      <c r="CRJ39" s="954"/>
      <c r="CRK39" s="954"/>
      <c r="CRL39" s="954"/>
      <c r="CRM39" s="954"/>
      <c r="CRN39" s="954"/>
      <c r="CRO39" s="954"/>
      <c r="CRP39" s="954"/>
      <c r="CRQ39" s="954"/>
      <c r="CRR39" s="954"/>
      <c r="CRS39" s="954"/>
      <c r="CRT39" s="954"/>
      <c r="CRU39" s="954"/>
      <c r="CRV39" s="954"/>
      <c r="CRW39" s="954"/>
      <c r="CRX39" s="954"/>
      <c r="CRY39" s="954"/>
      <c r="CRZ39" s="954"/>
      <c r="CSA39" s="954"/>
      <c r="CSB39" s="954"/>
      <c r="CSC39" s="954"/>
      <c r="CSD39" s="954"/>
      <c r="CSE39" s="954"/>
      <c r="CSF39" s="954"/>
      <c r="CSG39" s="954"/>
      <c r="CSH39" s="954"/>
      <c r="CSI39" s="954"/>
      <c r="CSJ39" s="954"/>
      <c r="CSK39" s="954"/>
      <c r="CSL39" s="954"/>
      <c r="CSM39" s="954"/>
      <c r="CSN39" s="954"/>
      <c r="CSO39" s="954"/>
      <c r="CSP39" s="954"/>
      <c r="CSQ39" s="954"/>
      <c r="CSR39" s="954"/>
      <c r="CSS39" s="954"/>
      <c r="CST39" s="954"/>
      <c r="CSU39" s="954"/>
      <c r="CSV39" s="954"/>
      <c r="CSW39" s="954"/>
      <c r="CSX39" s="954"/>
      <c r="CSY39" s="954"/>
      <c r="CSZ39" s="954"/>
      <c r="CTA39" s="954"/>
      <c r="CTB39" s="954"/>
      <c r="CTC39" s="954"/>
      <c r="CTD39" s="954"/>
      <c r="CTE39" s="954"/>
      <c r="CTF39" s="954"/>
      <c r="CTG39" s="954"/>
      <c r="CTH39" s="954"/>
      <c r="CTI39" s="954"/>
      <c r="CTJ39" s="954"/>
      <c r="CTK39" s="954"/>
      <c r="CTL39" s="954"/>
      <c r="CTM39" s="954"/>
      <c r="CTN39" s="954"/>
      <c r="CTO39" s="954"/>
      <c r="CTP39" s="954"/>
      <c r="CTQ39" s="954"/>
      <c r="CTR39" s="954"/>
      <c r="CTS39" s="954"/>
      <c r="CTT39" s="954"/>
      <c r="CTU39" s="954"/>
      <c r="CTV39" s="954"/>
      <c r="CTW39" s="954"/>
      <c r="CTX39" s="954"/>
      <c r="CTY39" s="954"/>
      <c r="CTZ39" s="954"/>
      <c r="CUA39" s="954"/>
      <c r="CUB39" s="954"/>
      <c r="CUC39" s="954"/>
      <c r="CUD39" s="954"/>
      <c r="CUE39" s="954"/>
      <c r="CUF39" s="954"/>
      <c r="CUG39" s="954"/>
      <c r="CUH39" s="954"/>
      <c r="CUI39" s="954"/>
      <c r="CUJ39" s="954"/>
      <c r="CUK39" s="954"/>
      <c r="CUL39" s="954"/>
      <c r="CUM39" s="954"/>
      <c r="CUN39" s="954"/>
      <c r="CUO39" s="954"/>
      <c r="CUP39" s="954"/>
      <c r="CUQ39" s="954"/>
      <c r="CUR39" s="954"/>
      <c r="CUS39" s="954"/>
      <c r="CUT39" s="954"/>
      <c r="CUU39" s="954"/>
      <c r="CUV39" s="954"/>
      <c r="CUW39" s="954"/>
      <c r="CUX39" s="954"/>
      <c r="CUY39" s="954"/>
      <c r="CUZ39" s="954"/>
      <c r="CVA39" s="954"/>
      <c r="CVB39" s="954"/>
      <c r="CVC39" s="954"/>
      <c r="CVD39" s="954"/>
      <c r="CVE39" s="954"/>
      <c r="CVF39" s="954"/>
      <c r="CVG39" s="954"/>
      <c r="CVH39" s="954"/>
      <c r="CVI39" s="954"/>
      <c r="CVJ39" s="954"/>
      <c r="CVK39" s="954"/>
      <c r="CVL39" s="954"/>
      <c r="CVM39" s="954"/>
      <c r="CVN39" s="954"/>
      <c r="CVO39" s="954"/>
      <c r="CVP39" s="954"/>
      <c r="CVQ39" s="954"/>
      <c r="CVR39" s="954"/>
      <c r="CVS39" s="954"/>
      <c r="CVT39" s="954"/>
      <c r="CVU39" s="954"/>
      <c r="CVV39" s="954"/>
      <c r="CVW39" s="954"/>
      <c r="CVX39" s="954"/>
      <c r="CVY39" s="954"/>
      <c r="CVZ39" s="954"/>
      <c r="CWA39" s="954"/>
      <c r="CWB39" s="954"/>
      <c r="CWC39" s="954"/>
      <c r="CWD39" s="954"/>
      <c r="CWE39" s="954"/>
      <c r="CWF39" s="954"/>
      <c r="CWG39" s="954"/>
      <c r="CWH39" s="954"/>
      <c r="CWI39" s="954"/>
      <c r="CWJ39" s="954"/>
      <c r="CWK39" s="954"/>
      <c r="CWL39" s="954"/>
      <c r="CWM39" s="954"/>
      <c r="CWN39" s="954"/>
      <c r="CWO39" s="954"/>
      <c r="CWP39" s="954"/>
      <c r="CWQ39" s="954"/>
      <c r="CWR39" s="954"/>
      <c r="CWS39" s="954"/>
      <c r="CWT39" s="954"/>
      <c r="CWU39" s="954"/>
      <c r="CWV39" s="954"/>
      <c r="CWW39" s="954"/>
      <c r="CWX39" s="954"/>
      <c r="CWY39" s="954"/>
      <c r="CWZ39" s="954"/>
      <c r="CXA39" s="954"/>
      <c r="CXB39" s="954"/>
      <c r="CXC39" s="954"/>
      <c r="CXD39" s="954"/>
      <c r="CXE39" s="954"/>
      <c r="CXF39" s="954"/>
      <c r="CXG39" s="954"/>
      <c r="CXH39" s="954"/>
      <c r="CXI39" s="954"/>
      <c r="CXJ39" s="954"/>
      <c r="CXK39" s="954"/>
      <c r="CXL39" s="954"/>
      <c r="CXM39" s="954"/>
      <c r="CXN39" s="954"/>
      <c r="CXO39" s="954"/>
      <c r="CXP39" s="954"/>
      <c r="CXQ39" s="954"/>
      <c r="CXR39" s="954"/>
      <c r="CXS39" s="954"/>
      <c r="CXT39" s="954"/>
      <c r="CXU39" s="954"/>
      <c r="CXV39" s="954"/>
      <c r="CXW39" s="954"/>
      <c r="CXX39" s="954"/>
      <c r="CXY39" s="954"/>
      <c r="CXZ39" s="954"/>
      <c r="CYA39" s="954"/>
      <c r="CYB39" s="954"/>
      <c r="CYC39" s="954"/>
      <c r="CYD39" s="954"/>
      <c r="CYE39" s="954"/>
      <c r="CYF39" s="954"/>
      <c r="CYG39" s="954"/>
      <c r="CYH39" s="954"/>
      <c r="CYI39" s="954"/>
      <c r="CYJ39" s="954"/>
      <c r="CYK39" s="954"/>
      <c r="CYL39" s="954"/>
      <c r="CYM39" s="954"/>
      <c r="CYN39" s="954"/>
      <c r="CYO39" s="954"/>
      <c r="CYP39" s="954"/>
      <c r="CYQ39" s="954"/>
      <c r="CYR39" s="954"/>
      <c r="CYS39" s="954"/>
      <c r="CYT39" s="954"/>
      <c r="CYU39" s="954"/>
      <c r="CYV39" s="954"/>
      <c r="CYW39" s="954"/>
      <c r="CYX39" s="954"/>
      <c r="CYY39" s="954"/>
      <c r="CYZ39" s="954"/>
      <c r="CZA39" s="954"/>
      <c r="CZB39" s="954"/>
      <c r="CZC39" s="954"/>
      <c r="CZD39" s="954"/>
      <c r="CZE39" s="954"/>
      <c r="CZF39" s="954"/>
      <c r="CZG39" s="954"/>
      <c r="CZH39" s="954"/>
      <c r="CZI39" s="954"/>
      <c r="CZJ39" s="954"/>
      <c r="CZK39" s="954"/>
      <c r="CZL39" s="954"/>
      <c r="CZM39" s="954"/>
      <c r="CZN39" s="954"/>
      <c r="CZO39" s="954"/>
      <c r="CZP39" s="954"/>
      <c r="CZQ39" s="954"/>
      <c r="CZR39" s="954"/>
      <c r="CZS39" s="954"/>
      <c r="CZT39" s="954"/>
      <c r="CZU39" s="954"/>
      <c r="CZV39" s="954"/>
      <c r="CZW39" s="954"/>
      <c r="CZX39" s="954"/>
      <c r="CZY39" s="954"/>
      <c r="CZZ39" s="954"/>
      <c r="DAA39" s="954"/>
      <c r="DAB39" s="954"/>
      <c r="DAC39" s="954"/>
      <c r="DAD39" s="954"/>
      <c r="DAE39" s="954"/>
      <c r="DAF39" s="954"/>
      <c r="DAG39" s="954"/>
      <c r="DAH39" s="954"/>
      <c r="DAI39" s="954"/>
      <c r="DAJ39" s="954"/>
      <c r="DAK39" s="954"/>
      <c r="DAL39" s="954"/>
      <c r="DAM39" s="954"/>
      <c r="DAN39" s="954"/>
      <c r="DAO39" s="954"/>
      <c r="DAP39" s="954"/>
      <c r="DAQ39" s="954"/>
      <c r="DAR39" s="954"/>
      <c r="DAS39" s="954"/>
      <c r="DAT39" s="954"/>
      <c r="DAU39" s="954"/>
      <c r="DAV39" s="954"/>
      <c r="DAW39" s="954"/>
      <c r="DAX39" s="954"/>
      <c r="DAY39" s="954"/>
      <c r="DAZ39" s="954"/>
      <c r="DBA39" s="954"/>
      <c r="DBB39" s="954"/>
      <c r="DBC39" s="954"/>
      <c r="DBD39" s="954"/>
      <c r="DBE39" s="954"/>
      <c r="DBF39" s="954"/>
      <c r="DBG39" s="954"/>
      <c r="DBH39" s="954"/>
      <c r="DBI39" s="954"/>
      <c r="DBJ39" s="954"/>
      <c r="DBK39" s="954"/>
      <c r="DBL39" s="954"/>
      <c r="DBM39" s="954"/>
      <c r="DBN39" s="954"/>
      <c r="DBO39" s="954"/>
      <c r="DBP39" s="954"/>
      <c r="DBQ39" s="954"/>
      <c r="DBR39" s="954"/>
      <c r="DBS39" s="954"/>
      <c r="DBT39" s="954"/>
      <c r="DBU39" s="954"/>
      <c r="DBV39" s="954"/>
      <c r="DBW39" s="954"/>
      <c r="DBX39" s="954"/>
      <c r="DBY39" s="954"/>
      <c r="DBZ39" s="954"/>
      <c r="DCA39" s="954"/>
      <c r="DCB39" s="954"/>
      <c r="DCC39" s="954"/>
      <c r="DCD39" s="954"/>
      <c r="DCE39" s="954"/>
      <c r="DCF39" s="954"/>
      <c r="DCG39" s="954"/>
      <c r="DCH39" s="954"/>
      <c r="DCI39" s="954"/>
      <c r="DCJ39" s="954"/>
      <c r="DCK39" s="954"/>
      <c r="DCL39" s="954"/>
      <c r="DCM39" s="954"/>
      <c r="DCN39" s="954"/>
      <c r="DCO39" s="954"/>
      <c r="DCP39" s="954"/>
      <c r="DCQ39" s="954"/>
      <c r="DCR39" s="954"/>
      <c r="DCS39" s="954"/>
      <c r="DCT39" s="954"/>
      <c r="DCU39" s="954"/>
      <c r="DCV39" s="954"/>
      <c r="DCW39" s="954"/>
      <c r="DCX39" s="954"/>
      <c r="DCY39" s="954"/>
      <c r="DCZ39" s="954"/>
      <c r="DDA39" s="954"/>
      <c r="DDB39" s="954"/>
      <c r="DDC39" s="954"/>
      <c r="DDD39" s="954"/>
      <c r="DDE39" s="954"/>
      <c r="DDF39" s="954"/>
      <c r="DDG39" s="954"/>
      <c r="DDH39" s="954"/>
      <c r="DDI39" s="954"/>
      <c r="DDJ39" s="954"/>
      <c r="DDK39" s="954"/>
      <c r="DDL39" s="954"/>
      <c r="DDM39" s="954"/>
      <c r="DDN39" s="954"/>
      <c r="DDO39" s="954"/>
      <c r="DDP39" s="954"/>
      <c r="DDQ39" s="954"/>
      <c r="DDR39" s="954"/>
      <c r="DDS39" s="954"/>
      <c r="DDT39" s="954"/>
      <c r="DDU39" s="954"/>
      <c r="DDV39" s="954"/>
      <c r="DDW39" s="954"/>
      <c r="DDX39" s="954"/>
      <c r="DDY39" s="954"/>
      <c r="DDZ39" s="954"/>
      <c r="DEA39" s="954"/>
      <c r="DEB39" s="954"/>
      <c r="DEC39" s="954"/>
      <c r="DED39" s="954"/>
      <c r="DEE39" s="954"/>
      <c r="DEF39" s="954"/>
      <c r="DEG39" s="954"/>
      <c r="DEH39" s="954"/>
      <c r="DEI39" s="954"/>
      <c r="DEJ39" s="954"/>
      <c r="DEK39" s="954"/>
      <c r="DEL39" s="954"/>
      <c r="DEM39" s="954"/>
      <c r="DEN39" s="954"/>
      <c r="DEO39" s="954"/>
      <c r="DEP39" s="954"/>
      <c r="DEQ39" s="954"/>
      <c r="DER39" s="954"/>
      <c r="DES39" s="954"/>
      <c r="DET39" s="954"/>
      <c r="DEU39" s="954"/>
      <c r="DEV39" s="954"/>
      <c r="DEW39" s="954"/>
      <c r="DEX39" s="954"/>
      <c r="DEY39" s="954"/>
      <c r="DEZ39" s="954"/>
      <c r="DFA39" s="954"/>
      <c r="DFB39" s="954"/>
      <c r="DFC39" s="954"/>
      <c r="DFD39" s="954"/>
      <c r="DFE39" s="954"/>
      <c r="DFF39" s="954"/>
      <c r="DFG39" s="954"/>
      <c r="DFH39" s="954"/>
      <c r="DFI39" s="954"/>
      <c r="DFJ39" s="954"/>
      <c r="DFK39" s="954"/>
      <c r="DFL39" s="954"/>
      <c r="DFM39" s="954"/>
      <c r="DFN39" s="954"/>
      <c r="DFO39" s="954"/>
      <c r="DFP39" s="954"/>
      <c r="DFQ39" s="954"/>
      <c r="DFR39" s="954"/>
      <c r="DFS39" s="954"/>
      <c r="DFT39" s="954"/>
      <c r="DFU39" s="954"/>
      <c r="DFV39" s="954"/>
      <c r="DFW39" s="954"/>
      <c r="DFX39" s="954"/>
      <c r="DFY39" s="954"/>
      <c r="DFZ39" s="954"/>
      <c r="DGA39" s="954"/>
      <c r="DGB39" s="954"/>
      <c r="DGC39" s="954"/>
      <c r="DGD39" s="954"/>
      <c r="DGE39" s="954"/>
      <c r="DGF39" s="954"/>
      <c r="DGG39" s="954"/>
      <c r="DGH39" s="954"/>
      <c r="DGI39" s="954"/>
      <c r="DGJ39" s="954"/>
      <c r="DGK39" s="954"/>
      <c r="DGL39" s="954"/>
      <c r="DGM39" s="954"/>
      <c r="DGN39" s="954"/>
      <c r="DGO39" s="954"/>
      <c r="DGP39" s="954"/>
      <c r="DGQ39" s="954"/>
      <c r="DGR39" s="954"/>
      <c r="DGS39" s="954"/>
      <c r="DGT39" s="954"/>
      <c r="DGU39" s="954"/>
      <c r="DGV39" s="954"/>
      <c r="DGW39" s="954"/>
      <c r="DGX39" s="954"/>
      <c r="DGY39" s="954"/>
      <c r="DGZ39" s="954"/>
      <c r="DHA39" s="954"/>
      <c r="DHB39" s="954"/>
      <c r="DHC39" s="954"/>
      <c r="DHD39" s="954"/>
      <c r="DHE39" s="954"/>
      <c r="DHF39" s="954"/>
      <c r="DHG39" s="954"/>
      <c r="DHH39" s="954"/>
      <c r="DHI39" s="954"/>
      <c r="DHJ39" s="954"/>
      <c r="DHK39" s="954"/>
      <c r="DHL39" s="954"/>
      <c r="DHM39" s="954"/>
      <c r="DHN39" s="954"/>
      <c r="DHO39" s="954"/>
      <c r="DHP39" s="954"/>
      <c r="DHQ39" s="954"/>
      <c r="DHR39" s="954"/>
      <c r="DHS39" s="954"/>
      <c r="DHT39" s="954"/>
      <c r="DHU39" s="954"/>
      <c r="DHV39" s="954"/>
      <c r="DHW39" s="954"/>
      <c r="DHX39" s="954"/>
      <c r="DHY39" s="954"/>
      <c r="DHZ39" s="954"/>
      <c r="DIA39" s="954"/>
      <c r="DIB39" s="954"/>
      <c r="DIC39" s="954"/>
      <c r="DID39" s="954"/>
      <c r="DIE39" s="954"/>
      <c r="DIF39" s="954"/>
      <c r="DIG39" s="954"/>
      <c r="DIH39" s="954"/>
      <c r="DII39" s="954"/>
      <c r="DIJ39" s="954"/>
      <c r="DIK39" s="954"/>
      <c r="DIL39" s="954"/>
      <c r="DIM39" s="954"/>
      <c r="DIN39" s="954"/>
      <c r="DIO39" s="954"/>
      <c r="DIP39" s="954"/>
      <c r="DIQ39" s="954"/>
      <c r="DIR39" s="954"/>
      <c r="DIS39" s="954"/>
      <c r="DIT39" s="954"/>
      <c r="DIU39" s="954"/>
      <c r="DIV39" s="954"/>
      <c r="DIW39" s="954"/>
      <c r="DIX39" s="954"/>
      <c r="DIY39" s="954"/>
      <c r="DIZ39" s="954"/>
      <c r="DJA39" s="954"/>
      <c r="DJB39" s="954"/>
      <c r="DJC39" s="954"/>
      <c r="DJD39" s="954"/>
      <c r="DJE39" s="954"/>
      <c r="DJF39" s="954"/>
      <c r="DJG39" s="954"/>
      <c r="DJH39" s="954"/>
      <c r="DJI39" s="954"/>
      <c r="DJJ39" s="954"/>
      <c r="DJK39" s="954"/>
      <c r="DJL39" s="954"/>
      <c r="DJM39" s="954"/>
      <c r="DJN39" s="954"/>
      <c r="DJO39" s="954"/>
      <c r="DJP39" s="954"/>
      <c r="DJQ39" s="954"/>
      <c r="DJR39" s="954"/>
      <c r="DJS39" s="954"/>
      <c r="DJT39" s="954"/>
      <c r="DJU39" s="954"/>
      <c r="DJV39" s="954"/>
      <c r="DJW39" s="954"/>
      <c r="DJX39" s="954"/>
      <c r="DJY39" s="954"/>
      <c r="DJZ39" s="954"/>
      <c r="DKA39" s="954"/>
      <c r="DKB39" s="954"/>
      <c r="DKC39" s="954"/>
      <c r="DKD39" s="954"/>
      <c r="DKE39" s="954"/>
      <c r="DKF39" s="954"/>
      <c r="DKG39" s="954"/>
      <c r="DKH39" s="954"/>
      <c r="DKI39" s="954"/>
      <c r="DKJ39" s="954"/>
      <c r="DKK39" s="954"/>
      <c r="DKL39" s="954"/>
      <c r="DKM39" s="954"/>
      <c r="DKN39" s="954"/>
      <c r="DKO39" s="954"/>
      <c r="DKP39" s="954"/>
      <c r="DKQ39" s="954"/>
      <c r="DKR39" s="954"/>
      <c r="DKS39" s="954"/>
      <c r="DKT39" s="954"/>
      <c r="DKU39" s="954"/>
      <c r="DKV39" s="954"/>
      <c r="DKW39" s="954"/>
      <c r="DKX39" s="954"/>
      <c r="DKY39" s="954"/>
      <c r="DKZ39" s="954"/>
      <c r="DLA39" s="954"/>
      <c r="DLB39" s="954"/>
      <c r="DLC39" s="954"/>
      <c r="DLD39" s="954"/>
      <c r="DLE39" s="954"/>
      <c r="DLF39" s="954"/>
      <c r="DLG39" s="954"/>
      <c r="DLH39" s="954"/>
      <c r="DLI39" s="954"/>
      <c r="DLJ39" s="954"/>
      <c r="DLK39" s="954"/>
      <c r="DLL39" s="954"/>
      <c r="DLM39" s="954"/>
      <c r="DLN39" s="954"/>
      <c r="DLO39" s="954"/>
      <c r="DLP39" s="954"/>
      <c r="DLQ39" s="954"/>
      <c r="DLR39" s="954"/>
      <c r="DLS39" s="954"/>
      <c r="DLT39" s="954"/>
      <c r="DLU39" s="954"/>
      <c r="DLV39" s="954"/>
      <c r="DLW39" s="954"/>
      <c r="DLX39" s="954"/>
      <c r="DLY39" s="954"/>
      <c r="DLZ39" s="954"/>
      <c r="DMA39" s="954"/>
      <c r="DMB39" s="954"/>
      <c r="DMC39" s="954"/>
      <c r="DMD39" s="954"/>
      <c r="DME39" s="954"/>
      <c r="DMF39" s="954"/>
      <c r="DMG39" s="954"/>
      <c r="DMH39" s="954"/>
      <c r="DMI39" s="954"/>
      <c r="DMJ39" s="954"/>
      <c r="DMK39" s="954"/>
      <c r="DML39" s="954"/>
      <c r="DMM39" s="954"/>
      <c r="DMN39" s="954"/>
      <c r="DMO39" s="954"/>
      <c r="DMP39" s="954"/>
      <c r="DMQ39" s="954"/>
      <c r="DMR39" s="954"/>
      <c r="DMS39" s="954"/>
      <c r="DMT39" s="954"/>
      <c r="DMU39" s="954"/>
      <c r="DMV39" s="954"/>
      <c r="DMW39" s="954"/>
      <c r="DMX39" s="954"/>
      <c r="DMY39" s="954"/>
      <c r="DMZ39" s="954"/>
      <c r="DNA39" s="954"/>
      <c r="DNB39" s="954"/>
      <c r="DNC39" s="954"/>
      <c r="DND39" s="954"/>
      <c r="DNE39" s="954"/>
      <c r="DNF39" s="954"/>
      <c r="DNG39" s="954"/>
      <c r="DNH39" s="954"/>
      <c r="DNI39" s="954"/>
      <c r="DNJ39" s="954"/>
      <c r="DNK39" s="954"/>
      <c r="DNL39" s="954"/>
      <c r="DNM39" s="954"/>
      <c r="DNN39" s="954"/>
      <c r="DNO39" s="954"/>
      <c r="DNP39" s="954"/>
      <c r="DNQ39" s="954"/>
      <c r="DNR39" s="954"/>
      <c r="DNS39" s="954"/>
      <c r="DNT39" s="954"/>
      <c r="DNU39" s="954"/>
      <c r="DNV39" s="954"/>
      <c r="DNW39" s="954"/>
      <c r="DNX39" s="954"/>
      <c r="DNY39" s="954"/>
      <c r="DNZ39" s="954"/>
      <c r="DOA39" s="954"/>
      <c r="DOB39" s="954"/>
      <c r="DOC39" s="954"/>
      <c r="DOD39" s="954"/>
      <c r="DOE39" s="954"/>
      <c r="DOF39" s="954"/>
      <c r="DOG39" s="954"/>
      <c r="DOH39" s="954"/>
      <c r="DOI39" s="954"/>
      <c r="DOJ39" s="954"/>
      <c r="DOK39" s="954"/>
      <c r="DOL39" s="954"/>
      <c r="DOM39" s="954"/>
      <c r="DON39" s="954"/>
      <c r="DOO39" s="954"/>
      <c r="DOP39" s="954"/>
      <c r="DOQ39" s="954"/>
      <c r="DOR39" s="954"/>
      <c r="DOS39" s="954"/>
      <c r="DOT39" s="954"/>
      <c r="DOU39" s="954"/>
      <c r="DOV39" s="954"/>
      <c r="DOW39" s="954"/>
      <c r="DOX39" s="954"/>
      <c r="DOY39" s="954"/>
      <c r="DOZ39" s="954"/>
      <c r="DPA39" s="954"/>
      <c r="DPB39" s="954"/>
      <c r="DPC39" s="954"/>
      <c r="DPD39" s="954"/>
      <c r="DPE39" s="954"/>
      <c r="DPF39" s="954"/>
      <c r="DPG39" s="954"/>
      <c r="DPH39" s="954"/>
      <c r="DPI39" s="954"/>
      <c r="DPJ39" s="954"/>
      <c r="DPK39" s="954"/>
      <c r="DPL39" s="954"/>
      <c r="DPM39" s="954"/>
      <c r="DPN39" s="954"/>
      <c r="DPO39" s="954"/>
      <c r="DPP39" s="954"/>
      <c r="DPQ39" s="954"/>
      <c r="DPR39" s="954"/>
      <c r="DPS39" s="954"/>
      <c r="DPT39" s="954"/>
      <c r="DPU39" s="954"/>
      <c r="DPV39" s="954"/>
      <c r="DPW39" s="954"/>
      <c r="DPX39" s="954"/>
      <c r="DPY39" s="954"/>
      <c r="DPZ39" s="954"/>
      <c r="DQA39" s="954"/>
      <c r="DQB39" s="954"/>
      <c r="DQC39" s="954"/>
      <c r="DQD39" s="954"/>
      <c r="DQE39" s="954"/>
      <c r="DQF39" s="954"/>
      <c r="DQG39" s="954"/>
      <c r="DQH39" s="954"/>
      <c r="DQI39" s="954"/>
      <c r="DQJ39" s="954"/>
      <c r="DQK39" s="954"/>
      <c r="DQL39" s="954"/>
      <c r="DQM39" s="954"/>
      <c r="DQN39" s="954"/>
      <c r="DQO39" s="954"/>
      <c r="DQP39" s="954"/>
      <c r="DQQ39" s="954"/>
      <c r="DQR39" s="954"/>
      <c r="DQS39" s="954"/>
      <c r="DQT39" s="954"/>
      <c r="DQU39" s="954"/>
      <c r="DQV39" s="954"/>
      <c r="DQW39" s="954"/>
      <c r="DQX39" s="954"/>
      <c r="DQY39" s="954"/>
      <c r="DQZ39" s="954"/>
      <c r="DRA39" s="954"/>
      <c r="DRB39" s="954"/>
      <c r="DRC39" s="954"/>
      <c r="DRD39" s="954"/>
      <c r="DRE39" s="954"/>
      <c r="DRF39" s="954"/>
      <c r="DRG39" s="954"/>
      <c r="DRH39" s="954"/>
      <c r="DRI39" s="954"/>
      <c r="DRJ39" s="954"/>
      <c r="DRK39" s="954"/>
      <c r="DRL39" s="954"/>
      <c r="DRM39" s="954"/>
      <c r="DRN39" s="954"/>
      <c r="DRO39" s="954"/>
      <c r="DRP39" s="954"/>
      <c r="DRQ39" s="954"/>
      <c r="DRR39" s="954"/>
      <c r="DRS39" s="954"/>
      <c r="DRT39" s="954"/>
      <c r="DRU39" s="954"/>
      <c r="DRV39" s="954"/>
      <c r="DRW39" s="954"/>
      <c r="DRX39" s="954"/>
      <c r="DRY39" s="954"/>
      <c r="DRZ39" s="954"/>
      <c r="DSA39" s="954"/>
      <c r="DSB39" s="954"/>
      <c r="DSC39" s="954"/>
      <c r="DSD39" s="954"/>
      <c r="DSE39" s="954"/>
      <c r="DSF39" s="954"/>
      <c r="DSG39" s="954"/>
      <c r="DSH39" s="954"/>
      <c r="DSI39" s="954"/>
      <c r="DSJ39" s="954"/>
      <c r="DSK39" s="954"/>
      <c r="DSL39" s="954"/>
      <c r="DSM39" s="954"/>
      <c r="DSN39" s="954"/>
      <c r="DSO39" s="954"/>
      <c r="DSP39" s="954"/>
      <c r="DSQ39" s="954"/>
      <c r="DSR39" s="954"/>
      <c r="DSS39" s="954"/>
      <c r="DST39" s="954"/>
      <c r="DSU39" s="954"/>
      <c r="DSV39" s="954"/>
      <c r="DSW39" s="954"/>
      <c r="DSX39" s="954"/>
      <c r="DSY39" s="954"/>
      <c r="DSZ39" s="954"/>
      <c r="DTA39" s="954"/>
      <c r="DTB39" s="954"/>
      <c r="DTC39" s="954"/>
      <c r="DTD39" s="954"/>
      <c r="DTE39" s="954"/>
      <c r="DTF39" s="954"/>
      <c r="DTG39" s="954"/>
      <c r="DTH39" s="954"/>
      <c r="DTI39" s="954"/>
      <c r="DTJ39" s="954"/>
      <c r="DTK39" s="954"/>
      <c r="DTL39" s="954"/>
      <c r="DTM39" s="954"/>
      <c r="DTN39" s="954"/>
      <c r="DTO39" s="954"/>
      <c r="DTP39" s="954"/>
      <c r="DTQ39" s="954"/>
      <c r="DTR39" s="954"/>
      <c r="DTS39" s="954"/>
      <c r="DTT39" s="954"/>
      <c r="DTU39" s="954"/>
      <c r="DTV39" s="954"/>
      <c r="DTW39" s="954"/>
      <c r="DTX39" s="954"/>
      <c r="DTY39" s="954"/>
      <c r="DTZ39" s="954"/>
      <c r="DUA39" s="954"/>
      <c r="DUB39" s="954"/>
      <c r="DUC39" s="954"/>
      <c r="DUD39" s="954"/>
      <c r="DUE39" s="954"/>
      <c r="DUF39" s="954"/>
      <c r="DUG39" s="954"/>
      <c r="DUH39" s="954"/>
      <c r="DUI39" s="954"/>
      <c r="DUJ39" s="954"/>
      <c r="DUK39" s="954"/>
      <c r="DUL39" s="954"/>
      <c r="DUM39" s="954"/>
      <c r="DUN39" s="954"/>
      <c r="DUO39" s="954"/>
      <c r="DUP39" s="954"/>
      <c r="DUQ39" s="954"/>
      <c r="DUR39" s="954"/>
      <c r="DUS39" s="954"/>
      <c r="DUT39" s="954"/>
      <c r="DUU39" s="954"/>
      <c r="DUV39" s="954"/>
      <c r="DUW39" s="954"/>
      <c r="DUX39" s="954"/>
      <c r="DUY39" s="954"/>
      <c r="DUZ39" s="954"/>
      <c r="DVA39" s="954"/>
      <c r="DVB39" s="954"/>
      <c r="DVC39" s="954"/>
      <c r="DVD39" s="954"/>
      <c r="DVE39" s="954"/>
      <c r="DVF39" s="954"/>
      <c r="DVG39" s="954"/>
      <c r="DVH39" s="954"/>
      <c r="DVI39" s="954"/>
      <c r="DVJ39" s="954"/>
      <c r="DVK39" s="954"/>
      <c r="DVL39" s="954"/>
      <c r="DVM39" s="954"/>
      <c r="DVN39" s="954"/>
      <c r="DVO39" s="954"/>
      <c r="DVP39" s="954"/>
      <c r="DVQ39" s="954"/>
      <c r="DVR39" s="954"/>
      <c r="DVS39" s="954"/>
      <c r="DVT39" s="954"/>
      <c r="DVU39" s="954"/>
      <c r="DVV39" s="954"/>
      <c r="DVW39" s="954"/>
      <c r="DVX39" s="954"/>
      <c r="DVY39" s="954"/>
      <c r="DVZ39" s="954"/>
      <c r="DWA39" s="954"/>
      <c r="DWB39" s="954"/>
      <c r="DWC39" s="954"/>
      <c r="DWD39" s="954"/>
      <c r="DWE39" s="954"/>
      <c r="DWF39" s="954"/>
      <c r="DWG39" s="954"/>
      <c r="DWH39" s="954"/>
      <c r="DWI39" s="954"/>
      <c r="DWJ39" s="954"/>
      <c r="DWK39" s="954"/>
      <c r="DWL39" s="954"/>
      <c r="DWM39" s="954"/>
      <c r="DWN39" s="954"/>
      <c r="DWO39" s="954"/>
      <c r="DWP39" s="954"/>
      <c r="DWQ39" s="954"/>
      <c r="DWR39" s="954"/>
      <c r="DWS39" s="954"/>
      <c r="DWT39" s="954"/>
      <c r="DWU39" s="954"/>
      <c r="DWV39" s="954"/>
      <c r="DWW39" s="954"/>
      <c r="DWX39" s="954"/>
      <c r="DWY39" s="954"/>
      <c r="DWZ39" s="954"/>
      <c r="DXA39" s="954"/>
      <c r="DXB39" s="954"/>
      <c r="DXC39" s="954"/>
      <c r="DXD39" s="954"/>
      <c r="DXE39" s="954"/>
      <c r="DXF39" s="954"/>
      <c r="DXG39" s="954"/>
      <c r="DXH39" s="954"/>
      <c r="DXI39" s="954"/>
      <c r="DXJ39" s="954"/>
      <c r="DXK39" s="954"/>
      <c r="DXL39" s="954"/>
      <c r="DXM39" s="954"/>
      <c r="DXN39" s="954"/>
      <c r="DXO39" s="954"/>
      <c r="DXP39" s="954"/>
      <c r="DXQ39" s="954"/>
      <c r="DXR39" s="954"/>
      <c r="DXS39" s="954"/>
      <c r="DXT39" s="954"/>
      <c r="DXU39" s="954"/>
      <c r="DXV39" s="954"/>
      <c r="DXW39" s="954"/>
      <c r="DXX39" s="954"/>
      <c r="DXY39" s="954"/>
      <c r="DXZ39" s="954"/>
      <c r="DYA39" s="954"/>
      <c r="DYB39" s="954"/>
      <c r="DYC39" s="954"/>
      <c r="DYD39" s="954"/>
      <c r="DYE39" s="954"/>
      <c r="DYF39" s="954"/>
      <c r="DYG39" s="954"/>
      <c r="DYH39" s="954"/>
      <c r="DYI39" s="954"/>
      <c r="DYJ39" s="954"/>
      <c r="DYK39" s="954"/>
      <c r="DYL39" s="954"/>
      <c r="DYM39" s="954"/>
      <c r="DYN39" s="954"/>
      <c r="DYO39" s="954"/>
      <c r="DYP39" s="954"/>
      <c r="DYQ39" s="954"/>
      <c r="DYR39" s="954"/>
      <c r="DYS39" s="954"/>
      <c r="DYT39" s="954"/>
      <c r="DYU39" s="954"/>
      <c r="DYV39" s="954"/>
      <c r="DYW39" s="954"/>
      <c r="DYX39" s="954"/>
      <c r="DYY39" s="954"/>
      <c r="DYZ39" s="954"/>
      <c r="DZA39" s="954"/>
      <c r="DZB39" s="954"/>
      <c r="DZC39" s="954"/>
      <c r="DZD39" s="954"/>
      <c r="DZE39" s="954"/>
      <c r="DZF39" s="954"/>
      <c r="DZG39" s="954"/>
      <c r="DZH39" s="954"/>
      <c r="DZI39" s="954"/>
      <c r="DZJ39" s="954"/>
      <c r="DZK39" s="954"/>
      <c r="DZL39" s="954"/>
      <c r="DZM39" s="954"/>
      <c r="DZN39" s="954"/>
      <c r="DZO39" s="954"/>
      <c r="DZP39" s="954"/>
      <c r="DZQ39" s="954"/>
      <c r="DZR39" s="954"/>
      <c r="DZS39" s="954"/>
      <c r="DZT39" s="954"/>
      <c r="DZU39" s="954"/>
      <c r="DZV39" s="954"/>
      <c r="DZW39" s="954"/>
      <c r="DZX39" s="954"/>
      <c r="DZY39" s="954"/>
      <c r="DZZ39" s="954"/>
      <c r="EAA39" s="954"/>
      <c r="EAB39" s="954"/>
      <c r="EAC39" s="954"/>
      <c r="EAD39" s="954"/>
      <c r="EAE39" s="954"/>
      <c r="EAF39" s="954"/>
      <c r="EAG39" s="954"/>
      <c r="EAH39" s="954"/>
      <c r="EAI39" s="954"/>
      <c r="EAJ39" s="954"/>
      <c r="EAK39" s="954"/>
      <c r="EAL39" s="954"/>
      <c r="EAM39" s="954"/>
      <c r="EAN39" s="954"/>
      <c r="EAO39" s="954"/>
      <c r="EAP39" s="954"/>
      <c r="EAQ39" s="954"/>
      <c r="EAR39" s="954"/>
      <c r="EAS39" s="954"/>
      <c r="EAT39" s="954"/>
      <c r="EAU39" s="954"/>
      <c r="EAV39" s="954"/>
      <c r="EAW39" s="954"/>
      <c r="EAX39" s="954"/>
      <c r="EAY39" s="954"/>
      <c r="EAZ39" s="954"/>
      <c r="EBA39" s="954"/>
      <c r="EBB39" s="954"/>
      <c r="EBC39" s="954"/>
      <c r="EBD39" s="954"/>
      <c r="EBE39" s="954"/>
      <c r="EBF39" s="954"/>
      <c r="EBG39" s="954"/>
      <c r="EBH39" s="954"/>
      <c r="EBI39" s="954"/>
      <c r="EBJ39" s="954"/>
      <c r="EBK39" s="954"/>
      <c r="EBL39" s="954"/>
      <c r="EBM39" s="954"/>
      <c r="EBN39" s="954"/>
      <c r="EBO39" s="954"/>
      <c r="EBP39" s="954"/>
      <c r="EBQ39" s="954"/>
      <c r="EBR39" s="954"/>
      <c r="EBS39" s="954"/>
      <c r="EBT39" s="954"/>
      <c r="EBU39" s="954"/>
      <c r="EBV39" s="954"/>
      <c r="EBW39" s="954"/>
      <c r="EBX39" s="954"/>
      <c r="EBY39" s="954"/>
      <c r="EBZ39" s="954"/>
      <c r="ECA39" s="954"/>
      <c r="ECB39" s="954"/>
      <c r="ECC39" s="954"/>
      <c r="ECD39" s="954"/>
      <c r="ECE39" s="954"/>
      <c r="ECF39" s="954"/>
      <c r="ECG39" s="954"/>
      <c r="ECH39" s="954"/>
      <c r="ECI39" s="954"/>
      <c r="ECJ39" s="954"/>
      <c r="ECK39" s="954"/>
      <c r="ECL39" s="954"/>
      <c r="ECM39" s="954"/>
      <c r="ECN39" s="954"/>
      <c r="ECO39" s="954"/>
      <c r="ECP39" s="954"/>
      <c r="ECQ39" s="954"/>
      <c r="ECR39" s="954"/>
      <c r="ECS39" s="954"/>
      <c r="ECT39" s="954"/>
      <c r="ECU39" s="954"/>
      <c r="ECV39" s="954"/>
      <c r="ECW39" s="954"/>
      <c r="ECX39" s="954"/>
      <c r="ECY39" s="954"/>
      <c r="ECZ39" s="954"/>
      <c r="EDA39" s="954"/>
      <c r="EDB39" s="954"/>
      <c r="EDC39" s="954"/>
      <c r="EDD39" s="954"/>
      <c r="EDE39" s="954"/>
      <c r="EDF39" s="954"/>
      <c r="EDG39" s="954"/>
      <c r="EDH39" s="954"/>
      <c r="EDI39" s="954"/>
      <c r="EDJ39" s="954"/>
      <c r="EDK39" s="954"/>
      <c r="EDL39" s="954"/>
      <c r="EDM39" s="954"/>
      <c r="EDN39" s="954"/>
      <c r="EDO39" s="954"/>
      <c r="EDP39" s="954"/>
      <c r="EDQ39" s="954"/>
      <c r="EDR39" s="954"/>
      <c r="EDS39" s="954"/>
      <c r="EDT39" s="954"/>
      <c r="EDU39" s="954"/>
      <c r="EDV39" s="954"/>
      <c r="EDW39" s="954"/>
      <c r="EDX39" s="954"/>
      <c r="EDY39" s="954"/>
      <c r="EDZ39" s="954"/>
      <c r="EEA39" s="954"/>
      <c r="EEB39" s="954"/>
      <c r="EEC39" s="954"/>
      <c r="EED39" s="954"/>
      <c r="EEE39" s="954"/>
      <c r="EEF39" s="954"/>
      <c r="EEG39" s="954"/>
      <c r="EEH39" s="954"/>
      <c r="EEI39" s="954"/>
      <c r="EEJ39" s="954"/>
      <c r="EEK39" s="954"/>
      <c r="EEL39" s="954"/>
      <c r="EEM39" s="954"/>
      <c r="EEN39" s="954"/>
      <c r="EEO39" s="954"/>
      <c r="EEP39" s="954"/>
      <c r="EEQ39" s="954"/>
      <c r="EER39" s="954"/>
      <c r="EES39" s="954"/>
      <c r="EET39" s="954"/>
      <c r="EEU39" s="954"/>
      <c r="EEV39" s="954"/>
      <c r="EEW39" s="954"/>
      <c r="EEX39" s="954"/>
      <c r="EEY39" s="954"/>
      <c r="EEZ39" s="954"/>
      <c r="EFA39" s="954"/>
      <c r="EFB39" s="954"/>
      <c r="EFC39" s="954"/>
      <c r="EFD39" s="954"/>
      <c r="EFE39" s="954"/>
      <c r="EFF39" s="954"/>
      <c r="EFG39" s="954"/>
      <c r="EFH39" s="954"/>
      <c r="EFI39" s="954"/>
      <c r="EFJ39" s="954"/>
      <c r="EFK39" s="954"/>
      <c r="EFL39" s="954"/>
      <c r="EFM39" s="954"/>
      <c r="EFN39" s="954"/>
      <c r="EFO39" s="954"/>
      <c r="EFP39" s="954"/>
      <c r="EFQ39" s="954"/>
      <c r="EFR39" s="954"/>
      <c r="EFS39" s="954"/>
      <c r="EFT39" s="954"/>
      <c r="EFU39" s="954"/>
      <c r="EFV39" s="954"/>
      <c r="EFW39" s="954"/>
      <c r="EFX39" s="954"/>
      <c r="EFY39" s="954"/>
      <c r="EFZ39" s="954"/>
      <c r="EGA39" s="954"/>
      <c r="EGB39" s="954"/>
      <c r="EGC39" s="954"/>
      <c r="EGD39" s="954"/>
      <c r="EGE39" s="954"/>
      <c r="EGF39" s="954"/>
      <c r="EGG39" s="954"/>
      <c r="EGH39" s="954"/>
      <c r="EGI39" s="954"/>
      <c r="EGJ39" s="954"/>
      <c r="EGK39" s="954"/>
      <c r="EGL39" s="954"/>
      <c r="EGM39" s="954"/>
      <c r="EGN39" s="954"/>
      <c r="EGO39" s="954"/>
      <c r="EGP39" s="954"/>
      <c r="EGQ39" s="954"/>
      <c r="EGR39" s="954"/>
      <c r="EGS39" s="954"/>
      <c r="EGT39" s="954"/>
      <c r="EGU39" s="954"/>
      <c r="EGV39" s="954"/>
      <c r="EGW39" s="954"/>
      <c r="EGX39" s="954"/>
      <c r="EGY39" s="954"/>
      <c r="EGZ39" s="954"/>
      <c r="EHA39" s="954"/>
      <c r="EHB39" s="954"/>
      <c r="EHC39" s="954"/>
      <c r="EHD39" s="954"/>
      <c r="EHE39" s="954"/>
      <c r="EHF39" s="954"/>
      <c r="EHG39" s="954"/>
      <c r="EHH39" s="954"/>
      <c r="EHI39" s="954"/>
      <c r="EHJ39" s="954"/>
      <c r="EHK39" s="954"/>
      <c r="EHL39" s="954"/>
      <c r="EHM39" s="954"/>
      <c r="EHN39" s="954"/>
      <c r="EHO39" s="954"/>
      <c r="EHP39" s="954"/>
      <c r="EHQ39" s="954"/>
      <c r="EHR39" s="954"/>
      <c r="EHS39" s="954"/>
      <c r="EHT39" s="954"/>
      <c r="EHU39" s="954"/>
      <c r="EHV39" s="954"/>
      <c r="EHW39" s="954"/>
      <c r="EHX39" s="954"/>
      <c r="EHY39" s="954"/>
      <c r="EHZ39" s="954"/>
      <c r="EIA39" s="954"/>
      <c r="EIB39" s="954"/>
      <c r="EIC39" s="954"/>
      <c r="EID39" s="954"/>
      <c r="EIE39" s="954"/>
      <c r="EIF39" s="954"/>
      <c r="EIG39" s="954"/>
      <c r="EIH39" s="954"/>
      <c r="EII39" s="954"/>
      <c r="EIJ39" s="954"/>
      <c r="EIK39" s="954"/>
      <c r="EIL39" s="954"/>
      <c r="EIM39" s="954"/>
      <c r="EIN39" s="954"/>
      <c r="EIO39" s="954"/>
      <c r="EIP39" s="954"/>
      <c r="EIQ39" s="954"/>
      <c r="EIR39" s="954"/>
      <c r="EIS39" s="954"/>
      <c r="EIT39" s="954"/>
      <c r="EIU39" s="954"/>
      <c r="EIV39" s="954"/>
      <c r="EIW39" s="954"/>
      <c r="EIX39" s="954"/>
      <c r="EIY39" s="954"/>
      <c r="EIZ39" s="954"/>
      <c r="EJA39" s="954"/>
      <c r="EJB39" s="954"/>
      <c r="EJC39" s="954"/>
      <c r="EJD39" s="954"/>
      <c r="EJE39" s="954"/>
      <c r="EJF39" s="954"/>
      <c r="EJG39" s="954"/>
      <c r="EJH39" s="954"/>
      <c r="EJI39" s="954"/>
      <c r="EJJ39" s="954"/>
      <c r="EJK39" s="954"/>
      <c r="EJL39" s="954"/>
      <c r="EJM39" s="954"/>
      <c r="EJN39" s="954"/>
      <c r="EJO39" s="954"/>
      <c r="EJP39" s="954"/>
      <c r="EJQ39" s="954"/>
      <c r="EJR39" s="954"/>
      <c r="EJS39" s="954"/>
      <c r="EJT39" s="954"/>
      <c r="EJU39" s="954"/>
      <c r="EJV39" s="954"/>
      <c r="EJW39" s="954"/>
      <c r="EJX39" s="954"/>
      <c r="EJY39" s="954"/>
      <c r="EJZ39" s="954"/>
      <c r="EKA39" s="954"/>
      <c r="EKB39" s="954"/>
      <c r="EKC39" s="954"/>
      <c r="EKD39" s="954"/>
      <c r="EKE39" s="954"/>
      <c r="EKF39" s="954"/>
      <c r="EKG39" s="954"/>
      <c r="EKH39" s="954"/>
      <c r="EKI39" s="954"/>
      <c r="EKJ39" s="954"/>
      <c r="EKK39" s="954"/>
      <c r="EKL39" s="954"/>
      <c r="EKM39" s="954"/>
      <c r="EKN39" s="954"/>
      <c r="EKO39" s="954"/>
      <c r="EKP39" s="954"/>
      <c r="EKQ39" s="954"/>
      <c r="EKR39" s="954"/>
      <c r="EKS39" s="954"/>
      <c r="EKT39" s="954"/>
      <c r="EKU39" s="954"/>
      <c r="EKV39" s="954"/>
      <c r="EKW39" s="954"/>
      <c r="EKX39" s="954"/>
      <c r="EKY39" s="954"/>
      <c r="EKZ39" s="954"/>
      <c r="ELA39" s="954"/>
      <c r="ELB39" s="954"/>
      <c r="ELC39" s="954"/>
      <c r="ELD39" s="954"/>
      <c r="ELE39" s="954"/>
      <c r="ELF39" s="954"/>
      <c r="ELG39" s="954"/>
      <c r="ELH39" s="954"/>
      <c r="ELI39" s="954"/>
      <c r="ELJ39" s="954"/>
      <c r="ELK39" s="954"/>
      <c r="ELL39" s="954"/>
      <c r="ELM39" s="954"/>
      <c r="ELN39" s="954"/>
      <c r="ELO39" s="954"/>
      <c r="ELP39" s="954"/>
      <c r="ELQ39" s="954"/>
      <c r="ELR39" s="954"/>
      <c r="ELS39" s="954"/>
      <c r="ELT39" s="954"/>
      <c r="ELU39" s="954"/>
      <c r="ELV39" s="954"/>
      <c r="ELW39" s="954"/>
      <c r="ELX39" s="954"/>
      <c r="ELY39" s="954"/>
      <c r="ELZ39" s="954"/>
      <c r="EMA39" s="954"/>
      <c r="EMB39" s="954"/>
      <c r="EMC39" s="954"/>
      <c r="EMD39" s="954"/>
      <c r="EME39" s="954"/>
      <c r="EMF39" s="954"/>
      <c r="EMG39" s="954"/>
      <c r="EMH39" s="954"/>
      <c r="EMI39" s="954"/>
      <c r="EMJ39" s="954"/>
      <c r="EMK39" s="954"/>
      <c r="EML39" s="954"/>
      <c r="EMM39" s="954"/>
      <c r="EMN39" s="954"/>
      <c r="EMO39" s="954"/>
      <c r="EMP39" s="954"/>
      <c r="EMQ39" s="954"/>
      <c r="EMR39" s="954"/>
      <c r="EMS39" s="954"/>
      <c r="EMT39" s="954"/>
      <c r="EMU39" s="954"/>
      <c r="EMV39" s="954"/>
      <c r="EMW39" s="954"/>
      <c r="EMX39" s="954"/>
      <c r="EMY39" s="954"/>
      <c r="EMZ39" s="954"/>
      <c r="ENA39" s="954"/>
      <c r="ENB39" s="954"/>
      <c r="ENC39" s="954"/>
      <c r="END39" s="954"/>
      <c r="ENE39" s="954"/>
      <c r="ENF39" s="954"/>
      <c r="ENG39" s="954"/>
      <c r="ENH39" s="954"/>
      <c r="ENI39" s="954"/>
      <c r="ENJ39" s="954"/>
      <c r="ENK39" s="954"/>
      <c r="ENL39" s="954"/>
      <c r="ENM39" s="954"/>
      <c r="ENN39" s="954"/>
      <c r="ENO39" s="954"/>
      <c r="ENP39" s="954"/>
      <c r="ENQ39" s="954"/>
      <c r="ENR39" s="954"/>
      <c r="ENS39" s="954"/>
      <c r="ENT39" s="954"/>
      <c r="ENU39" s="954"/>
      <c r="ENV39" s="954"/>
      <c r="ENW39" s="954"/>
      <c r="ENX39" s="954"/>
      <c r="ENY39" s="954"/>
      <c r="ENZ39" s="954"/>
      <c r="EOA39" s="954"/>
      <c r="EOB39" s="954"/>
      <c r="EOC39" s="954"/>
      <c r="EOD39" s="954"/>
      <c r="EOE39" s="954"/>
      <c r="EOF39" s="954"/>
      <c r="EOG39" s="954"/>
      <c r="EOH39" s="954"/>
      <c r="EOI39" s="954"/>
      <c r="EOJ39" s="954"/>
      <c r="EOK39" s="954"/>
      <c r="EOL39" s="954"/>
      <c r="EOM39" s="954"/>
      <c r="EON39" s="954"/>
      <c r="EOO39" s="954"/>
      <c r="EOP39" s="954"/>
      <c r="EOQ39" s="954"/>
      <c r="EOR39" s="954"/>
      <c r="EOS39" s="954"/>
      <c r="EOT39" s="954"/>
      <c r="EOU39" s="954"/>
      <c r="EOV39" s="954"/>
      <c r="EOW39" s="954"/>
      <c r="EOX39" s="954"/>
      <c r="EOY39" s="954"/>
      <c r="EOZ39" s="954"/>
      <c r="EPA39" s="954"/>
      <c r="EPB39" s="954"/>
      <c r="EPC39" s="954"/>
      <c r="EPD39" s="954"/>
      <c r="EPE39" s="954"/>
      <c r="EPF39" s="954"/>
      <c r="EPG39" s="954"/>
      <c r="EPH39" s="954"/>
      <c r="EPI39" s="954"/>
      <c r="EPJ39" s="954"/>
      <c r="EPK39" s="954"/>
      <c r="EPL39" s="954"/>
      <c r="EPM39" s="954"/>
      <c r="EPN39" s="954"/>
      <c r="EPO39" s="954"/>
      <c r="EPP39" s="954"/>
      <c r="EPQ39" s="954"/>
      <c r="EPR39" s="954"/>
      <c r="EPS39" s="954"/>
      <c r="EPT39" s="954"/>
      <c r="EPU39" s="954"/>
      <c r="EPV39" s="954"/>
      <c r="EPW39" s="954"/>
      <c r="EPX39" s="954"/>
      <c r="EPY39" s="954"/>
      <c r="EPZ39" s="954"/>
      <c r="EQA39" s="954"/>
      <c r="EQB39" s="954"/>
      <c r="EQC39" s="954"/>
      <c r="EQD39" s="954"/>
      <c r="EQE39" s="954"/>
      <c r="EQF39" s="954"/>
      <c r="EQG39" s="954"/>
      <c r="EQH39" s="954"/>
      <c r="EQI39" s="954"/>
      <c r="EQJ39" s="954"/>
      <c r="EQK39" s="954"/>
      <c r="EQL39" s="954"/>
      <c r="EQM39" s="954"/>
      <c r="EQN39" s="954"/>
      <c r="EQO39" s="954"/>
      <c r="EQP39" s="954"/>
      <c r="EQQ39" s="954"/>
      <c r="EQR39" s="954"/>
      <c r="EQS39" s="954"/>
      <c r="EQT39" s="954"/>
      <c r="EQU39" s="954"/>
      <c r="EQV39" s="954"/>
      <c r="EQW39" s="954"/>
      <c r="EQX39" s="954"/>
      <c r="EQY39" s="954"/>
      <c r="EQZ39" s="954"/>
      <c r="ERA39" s="954"/>
      <c r="ERB39" s="954"/>
      <c r="ERC39" s="954"/>
      <c r="ERD39" s="954"/>
      <c r="ERE39" s="954"/>
      <c r="ERF39" s="954"/>
      <c r="ERG39" s="954"/>
      <c r="ERH39" s="954"/>
      <c r="ERI39" s="954"/>
      <c r="ERJ39" s="954"/>
      <c r="ERK39" s="954"/>
      <c r="ERL39" s="954"/>
      <c r="ERM39" s="954"/>
      <c r="ERN39" s="954"/>
      <c r="ERO39" s="954"/>
      <c r="ERP39" s="954"/>
      <c r="ERQ39" s="954"/>
      <c r="ERR39" s="954"/>
      <c r="ERS39" s="954"/>
      <c r="ERT39" s="954"/>
      <c r="ERU39" s="954"/>
      <c r="ERV39" s="954"/>
      <c r="ERW39" s="954"/>
      <c r="ERX39" s="954"/>
      <c r="ERY39" s="954"/>
      <c r="ERZ39" s="954"/>
      <c r="ESA39" s="954"/>
      <c r="ESB39" s="954"/>
      <c r="ESC39" s="954"/>
      <c r="ESD39" s="954"/>
      <c r="ESE39" s="954"/>
      <c r="ESF39" s="954"/>
      <c r="ESG39" s="954"/>
      <c r="ESH39" s="954"/>
      <c r="ESI39" s="954"/>
      <c r="ESJ39" s="954"/>
      <c r="ESK39" s="954"/>
      <c r="ESL39" s="954"/>
      <c r="ESM39" s="954"/>
      <c r="ESN39" s="954"/>
      <c r="ESO39" s="954"/>
      <c r="ESP39" s="954"/>
      <c r="ESQ39" s="954"/>
      <c r="ESR39" s="954"/>
      <c r="ESS39" s="954"/>
      <c r="EST39" s="954"/>
      <c r="ESU39" s="954"/>
      <c r="ESV39" s="954"/>
      <c r="ESW39" s="954"/>
      <c r="ESX39" s="954"/>
      <c r="ESY39" s="954"/>
      <c r="ESZ39" s="954"/>
      <c r="ETA39" s="954"/>
      <c r="ETB39" s="954"/>
      <c r="ETC39" s="954"/>
      <c r="ETD39" s="954"/>
      <c r="ETE39" s="954"/>
      <c r="ETF39" s="954"/>
      <c r="ETG39" s="954"/>
      <c r="ETH39" s="954"/>
      <c r="ETI39" s="954"/>
      <c r="ETJ39" s="954"/>
      <c r="ETK39" s="954"/>
      <c r="ETL39" s="954"/>
      <c r="ETM39" s="954"/>
      <c r="ETN39" s="954"/>
      <c r="ETO39" s="954"/>
      <c r="ETP39" s="954"/>
      <c r="ETQ39" s="954"/>
      <c r="ETR39" s="954"/>
      <c r="ETS39" s="954"/>
      <c r="ETT39" s="954"/>
      <c r="ETU39" s="954"/>
      <c r="ETV39" s="954"/>
      <c r="ETW39" s="954"/>
      <c r="ETX39" s="954"/>
      <c r="ETY39" s="954"/>
      <c r="ETZ39" s="954"/>
      <c r="EUA39" s="954"/>
      <c r="EUB39" s="954"/>
      <c r="EUC39" s="954"/>
      <c r="EUD39" s="954"/>
      <c r="EUE39" s="954"/>
      <c r="EUF39" s="954"/>
      <c r="EUG39" s="954"/>
      <c r="EUH39" s="954"/>
      <c r="EUI39" s="954"/>
      <c r="EUJ39" s="954"/>
      <c r="EUK39" s="954"/>
      <c r="EUL39" s="954"/>
      <c r="EUM39" s="954"/>
      <c r="EUN39" s="954"/>
      <c r="EUO39" s="954"/>
      <c r="EUP39" s="954"/>
      <c r="EUQ39" s="954"/>
      <c r="EUR39" s="954"/>
      <c r="EUS39" s="954"/>
      <c r="EUT39" s="954"/>
      <c r="EUU39" s="954"/>
      <c r="EUV39" s="954"/>
      <c r="EUW39" s="954"/>
      <c r="EUX39" s="954"/>
      <c r="EUY39" s="954"/>
      <c r="EUZ39" s="954"/>
      <c r="EVA39" s="954"/>
      <c r="EVB39" s="954"/>
      <c r="EVC39" s="954"/>
      <c r="EVD39" s="954"/>
      <c r="EVE39" s="954"/>
      <c r="EVF39" s="954"/>
      <c r="EVG39" s="954"/>
      <c r="EVH39" s="954"/>
      <c r="EVI39" s="954"/>
      <c r="EVJ39" s="954"/>
      <c r="EVK39" s="954"/>
      <c r="EVL39" s="954"/>
      <c r="EVM39" s="954"/>
      <c r="EVN39" s="954"/>
      <c r="EVO39" s="954"/>
      <c r="EVP39" s="954"/>
      <c r="EVQ39" s="954"/>
      <c r="EVR39" s="954"/>
      <c r="EVS39" s="954"/>
      <c r="EVT39" s="954"/>
      <c r="EVU39" s="954"/>
      <c r="EVV39" s="954"/>
      <c r="EVW39" s="954"/>
      <c r="EVX39" s="954"/>
      <c r="EVY39" s="954"/>
      <c r="EVZ39" s="954"/>
      <c r="EWA39" s="954"/>
      <c r="EWB39" s="954"/>
      <c r="EWC39" s="954"/>
      <c r="EWD39" s="954"/>
      <c r="EWE39" s="954"/>
      <c r="EWF39" s="954"/>
      <c r="EWG39" s="954"/>
      <c r="EWH39" s="954"/>
      <c r="EWI39" s="954"/>
      <c r="EWJ39" s="954"/>
      <c r="EWK39" s="954"/>
      <c r="EWL39" s="954"/>
      <c r="EWM39" s="954"/>
      <c r="EWN39" s="954"/>
      <c r="EWO39" s="954"/>
      <c r="EWP39" s="954"/>
      <c r="EWQ39" s="954"/>
      <c r="EWR39" s="954"/>
      <c r="EWS39" s="954"/>
      <c r="EWT39" s="954"/>
      <c r="EWU39" s="954"/>
      <c r="EWV39" s="954"/>
      <c r="EWW39" s="954"/>
      <c r="EWX39" s="954"/>
      <c r="EWY39" s="954"/>
      <c r="EWZ39" s="954"/>
      <c r="EXA39" s="954"/>
      <c r="EXB39" s="954"/>
      <c r="EXC39" s="954"/>
      <c r="EXD39" s="954"/>
      <c r="EXE39" s="954"/>
      <c r="EXF39" s="954"/>
      <c r="EXG39" s="954"/>
      <c r="EXH39" s="954"/>
      <c r="EXI39" s="954"/>
      <c r="EXJ39" s="954"/>
      <c r="EXK39" s="954"/>
      <c r="EXL39" s="954"/>
      <c r="EXM39" s="954"/>
      <c r="EXN39" s="954"/>
      <c r="EXO39" s="954"/>
      <c r="EXP39" s="954"/>
      <c r="EXQ39" s="954"/>
      <c r="EXR39" s="954"/>
      <c r="EXS39" s="954"/>
      <c r="EXT39" s="954"/>
      <c r="EXU39" s="954"/>
      <c r="EXV39" s="954"/>
      <c r="EXW39" s="954"/>
      <c r="EXX39" s="954"/>
      <c r="EXY39" s="954"/>
      <c r="EXZ39" s="954"/>
      <c r="EYA39" s="954"/>
      <c r="EYB39" s="954"/>
      <c r="EYC39" s="954"/>
      <c r="EYD39" s="954"/>
      <c r="EYE39" s="954"/>
      <c r="EYF39" s="954"/>
      <c r="EYG39" s="954"/>
      <c r="EYH39" s="954"/>
      <c r="EYI39" s="954"/>
      <c r="EYJ39" s="954"/>
      <c r="EYK39" s="954"/>
      <c r="EYL39" s="954"/>
      <c r="EYM39" s="954"/>
      <c r="EYN39" s="954"/>
      <c r="EYO39" s="954"/>
      <c r="EYP39" s="954"/>
      <c r="EYQ39" s="954"/>
      <c r="EYR39" s="954"/>
      <c r="EYS39" s="954"/>
      <c r="EYT39" s="954"/>
      <c r="EYU39" s="954"/>
      <c r="EYV39" s="954"/>
      <c r="EYW39" s="954"/>
      <c r="EYX39" s="954"/>
      <c r="EYY39" s="954"/>
      <c r="EYZ39" s="954"/>
      <c r="EZA39" s="954"/>
      <c r="EZB39" s="954"/>
      <c r="EZC39" s="954"/>
      <c r="EZD39" s="954"/>
      <c r="EZE39" s="954"/>
      <c r="EZF39" s="954"/>
      <c r="EZG39" s="954"/>
      <c r="EZH39" s="954"/>
      <c r="EZI39" s="954"/>
      <c r="EZJ39" s="954"/>
      <c r="EZK39" s="954"/>
      <c r="EZL39" s="954"/>
      <c r="EZM39" s="954"/>
      <c r="EZN39" s="954"/>
      <c r="EZO39" s="954"/>
      <c r="EZP39" s="954"/>
      <c r="EZQ39" s="954"/>
      <c r="EZR39" s="954"/>
      <c r="EZS39" s="954"/>
      <c r="EZT39" s="954"/>
      <c r="EZU39" s="954"/>
      <c r="EZV39" s="954"/>
      <c r="EZW39" s="954"/>
      <c r="EZX39" s="954"/>
      <c r="EZY39" s="954"/>
      <c r="EZZ39" s="954"/>
      <c r="FAA39" s="954"/>
      <c r="FAB39" s="954"/>
      <c r="FAC39" s="954"/>
      <c r="FAD39" s="954"/>
      <c r="FAE39" s="954"/>
      <c r="FAF39" s="954"/>
      <c r="FAG39" s="954"/>
      <c r="FAH39" s="954"/>
      <c r="FAI39" s="954"/>
      <c r="FAJ39" s="954"/>
      <c r="FAK39" s="954"/>
      <c r="FAL39" s="954"/>
      <c r="FAM39" s="954"/>
      <c r="FAN39" s="954"/>
      <c r="FAO39" s="954"/>
      <c r="FAP39" s="954"/>
      <c r="FAQ39" s="954"/>
      <c r="FAR39" s="954"/>
      <c r="FAS39" s="954"/>
      <c r="FAT39" s="954"/>
      <c r="FAU39" s="954"/>
      <c r="FAV39" s="954"/>
      <c r="FAW39" s="954"/>
      <c r="FAX39" s="954"/>
      <c r="FAY39" s="954"/>
      <c r="FAZ39" s="954"/>
      <c r="FBA39" s="954"/>
      <c r="FBB39" s="954"/>
      <c r="FBC39" s="954"/>
      <c r="FBD39" s="954"/>
      <c r="FBE39" s="954"/>
      <c r="FBF39" s="954"/>
      <c r="FBG39" s="954"/>
      <c r="FBH39" s="954"/>
      <c r="FBI39" s="954"/>
      <c r="FBJ39" s="954"/>
      <c r="FBK39" s="954"/>
      <c r="FBL39" s="954"/>
      <c r="FBM39" s="954"/>
      <c r="FBN39" s="954"/>
      <c r="FBO39" s="954"/>
      <c r="FBP39" s="954"/>
      <c r="FBQ39" s="954"/>
      <c r="FBR39" s="954"/>
      <c r="FBS39" s="954"/>
      <c r="FBT39" s="954"/>
      <c r="FBU39" s="954"/>
      <c r="FBV39" s="954"/>
      <c r="FBW39" s="954"/>
      <c r="FBX39" s="954"/>
      <c r="FBY39" s="954"/>
      <c r="FBZ39" s="954"/>
      <c r="FCA39" s="954"/>
      <c r="FCB39" s="954"/>
      <c r="FCC39" s="954"/>
      <c r="FCD39" s="954"/>
      <c r="FCE39" s="954"/>
      <c r="FCF39" s="954"/>
      <c r="FCG39" s="954"/>
      <c r="FCH39" s="954"/>
      <c r="FCI39" s="954"/>
      <c r="FCJ39" s="954"/>
      <c r="FCK39" s="954"/>
      <c r="FCL39" s="954"/>
      <c r="FCM39" s="954"/>
      <c r="FCN39" s="954"/>
      <c r="FCO39" s="954"/>
      <c r="FCP39" s="954"/>
      <c r="FCQ39" s="954"/>
      <c r="FCR39" s="954"/>
      <c r="FCS39" s="954"/>
      <c r="FCT39" s="954"/>
      <c r="FCU39" s="954"/>
      <c r="FCV39" s="954"/>
      <c r="FCW39" s="954"/>
      <c r="FCX39" s="954"/>
      <c r="FCY39" s="954"/>
      <c r="FCZ39" s="954"/>
      <c r="FDA39" s="954"/>
      <c r="FDB39" s="954"/>
      <c r="FDC39" s="954"/>
      <c r="FDD39" s="954"/>
      <c r="FDE39" s="954"/>
      <c r="FDF39" s="954"/>
      <c r="FDG39" s="954"/>
      <c r="FDH39" s="954"/>
      <c r="FDI39" s="954"/>
      <c r="FDJ39" s="954"/>
      <c r="FDK39" s="954"/>
      <c r="FDL39" s="954"/>
      <c r="FDM39" s="954"/>
      <c r="FDN39" s="954"/>
      <c r="FDO39" s="954"/>
      <c r="FDP39" s="954"/>
      <c r="FDQ39" s="954"/>
      <c r="FDR39" s="954"/>
      <c r="FDS39" s="954"/>
      <c r="FDT39" s="954"/>
      <c r="FDU39" s="954"/>
      <c r="FDV39" s="954"/>
      <c r="FDW39" s="954"/>
      <c r="FDX39" s="954"/>
      <c r="FDY39" s="954"/>
      <c r="FDZ39" s="954"/>
      <c r="FEA39" s="954"/>
      <c r="FEB39" s="954"/>
      <c r="FEC39" s="954"/>
      <c r="FED39" s="954"/>
      <c r="FEE39" s="954"/>
      <c r="FEF39" s="954"/>
      <c r="FEG39" s="954"/>
      <c r="FEH39" s="954"/>
      <c r="FEI39" s="954"/>
      <c r="FEJ39" s="954"/>
      <c r="FEK39" s="954"/>
      <c r="FEL39" s="954"/>
      <c r="FEM39" s="954"/>
      <c r="FEN39" s="954"/>
      <c r="FEO39" s="954"/>
      <c r="FEP39" s="954"/>
      <c r="FEQ39" s="954"/>
      <c r="FER39" s="954"/>
      <c r="FES39" s="954"/>
      <c r="FET39" s="954"/>
      <c r="FEU39" s="954"/>
      <c r="FEV39" s="954"/>
      <c r="FEW39" s="954"/>
      <c r="FEX39" s="954"/>
      <c r="FEY39" s="954"/>
      <c r="FEZ39" s="954"/>
      <c r="FFA39" s="954"/>
      <c r="FFB39" s="954"/>
      <c r="FFC39" s="954"/>
      <c r="FFD39" s="954"/>
      <c r="FFE39" s="954"/>
      <c r="FFF39" s="954"/>
      <c r="FFG39" s="954"/>
      <c r="FFH39" s="954"/>
      <c r="FFI39" s="954"/>
      <c r="FFJ39" s="954"/>
      <c r="FFK39" s="954"/>
      <c r="FFL39" s="954"/>
      <c r="FFM39" s="954"/>
      <c r="FFN39" s="954"/>
      <c r="FFO39" s="954"/>
      <c r="FFP39" s="954"/>
      <c r="FFQ39" s="954"/>
      <c r="FFR39" s="954"/>
      <c r="FFS39" s="954"/>
      <c r="FFT39" s="954"/>
      <c r="FFU39" s="954"/>
      <c r="FFV39" s="954"/>
      <c r="FFW39" s="954"/>
      <c r="FFX39" s="954"/>
      <c r="FFY39" s="954"/>
      <c r="FFZ39" s="954"/>
      <c r="FGA39" s="954"/>
      <c r="FGB39" s="954"/>
      <c r="FGC39" s="954"/>
      <c r="FGD39" s="954"/>
      <c r="FGE39" s="954"/>
      <c r="FGF39" s="954"/>
      <c r="FGG39" s="954"/>
      <c r="FGH39" s="954"/>
      <c r="FGI39" s="954"/>
      <c r="FGJ39" s="954"/>
      <c r="FGK39" s="954"/>
      <c r="FGL39" s="954"/>
      <c r="FGM39" s="954"/>
      <c r="FGN39" s="954"/>
      <c r="FGO39" s="954"/>
      <c r="FGP39" s="954"/>
      <c r="FGQ39" s="954"/>
      <c r="FGR39" s="954"/>
      <c r="FGS39" s="954"/>
      <c r="FGT39" s="954"/>
      <c r="FGU39" s="954"/>
      <c r="FGV39" s="954"/>
      <c r="FGW39" s="954"/>
      <c r="FGX39" s="954"/>
      <c r="FGY39" s="954"/>
      <c r="FGZ39" s="954"/>
      <c r="FHA39" s="954"/>
      <c r="FHB39" s="954"/>
      <c r="FHC39" s="954"/>
      <c r="FHD39" s="954"/>
      <c r="FHE39" s="954"/>
      <c r="FHF39" s="954"/>
      <c r="FHG39" s="954"/>
      <c r="FHH39" s="954"/>
      <c r="FHI39" s="954"/>
      <c r="FHJ39" s="954"/>
      <c r="FHK39" s="954"/>
      <c r="FHL39" s="954"/>
      <c r="FHM39" s="954"/>
      <c r="FHN39" s="954"/>
      <c r="FHO39" s="954"/>
      <c r="FHP39" s="954"/>
      <c r="FHQ39" s="954"/>
      <c r="FHR39" s="954"/>
      <c r="FHS39" s="954"/>
      <c r="FHT39" s="954"/>
      <c r="FHU39" s="954"/>
      <c r="FHV39" s="954"/>
      <c r="FHW39" s="954"/>
      <c r="FHX39" s="954"/>
      <c r="FHY39" s="954"/>
      <c r="FHZ39" s="954"/>
      <c r="FIA39" s="954"/>
      <c r="FIB39" s="954"/>
      <c r="FIC39" s="954"/>
      <c r="FID39" s="954"/>
      <c r="FIE39" s="954"/>
      <c r="FIF39" s="954"/>
      <c r="FIG39" s="954"/>
      <c r="FIH39" s="954"/>
      <c r="FII39" s="954"/>
      <c r="FIJ39" s="954"/>
      <c r="FIK39" s="954"/>
      <c r="FIL39" s="954"/>
      <c r="FIM39" s="954"/>
      <c r="FIN39" s="954"/>
      <c r="FIO39" s="954"/>
      <c r="FIP39" s="954"/>
      <c r="FIQ39" s="954"/>
      <c r="FIR39" s="954"/>
      <c r="FIS39" s="954"/>
      <c r="FIT39" s="954"/>
      <c r="FIU39" s="954"/>
      <c r="FIV39" s="954"/>
      <c r="FIW39" s="954"/>
      <c r="FIX39" s="954"/>
      <c r="FIY39" s="954"/>
      <c r="FIZ39" s="954"/>
      <c r="FJA39" s="954"/>
      <c r="FJB39" s="954"/>
      <c r="FJC39" s="954"/>
      <c r="FJD39" s="954"/>
      <c r="FJE39" s="954"/>
      <c r="FJF39" s="954"/>
      <c r="FJG39" s="954"/>
      <c r="FJH39" s="954"/>
      <c r="FJI39" s="954"/>
      <c r="FJJ39" s="954"/>
      <c r="FJK39" s="954"/>
      <c r="FJL39" s="954"/>
      <c r="FJM39" s="954"/>
      <c r="FJN39" s="954"/>
      <c r="FJO39" s="954"/>
      <c r="FJP39" s="954"/>
      <c r="FJQ39" s="954"/>
      <c r="FJR39" s="954"/>
      <c r="FJS39" s="954"/>
      <c r="FJT39" s="954"/>
      <c r="FJU39" s="954"/>
      <c r="FJV39" s="954"/>
      <c r="FJW39" s="954"/>
      <c r="FJX39" s="954"/>
      <c r="FJY39" s="954"/>
      <c r="FJZ39" s="954"/>
      <c r="FKA39" s="954"/>
      <c r="FKB39" s="954"/>
      <c r="FKC39" s="954"/>
      <c r="FKD39" s="954"/>
      <c r="FKE39" s="954"/>
      <c r="FKF39" s="954"/>
      <c r="FKG39" s="954"/>
      <c r="FKH39" s="954"/>
      <c r="FKI39" s="954"/>
      <c r="FKJ39" s="954"/>
      <c r="FKK39" s="954"/>
      <c r="FKL39" s="954"/>
      <c r="FKM39" s="954"/>
      <c r="FKN39" s="954"/>
      <c r="FKO39" s="954"/>
      <c r="FKP39" s="954"/>
      <c r="FKQ39" s="954"/>
      <c r="FKR39" s="954"/>
      <c r="FKS39" s="954"/>
      <c r="FKT39" s="954"/>
      <c r="FKU39" s="954"/>
      <c r="FKV39" s="954"/>
      <c r="FKW39" s="954"/>
      <c r="FKX39" s="954"/>
      <c r="FKY39" s="954"/>
      <c r="FKZ39" s="954"/>
      <c r="FLA39" s="954"/>
      <c r="FLB39" s="954"/>
      <c r="FLC39" s="954"/>
      <c r="FLD39" s="954"/>
      <c r="FLE39" s="954"/>
      <c r="FLF39" s="954"/>
      <c r="FLG39" s="954"/>
      <c r="FLH39" s="954"/>
      <c r="FLI39" s="954"/>
      <c r="FLJ39" s="954"/>
      <c r="FLK39" s="954"/>
      <c r="FLL39" s="954"/>
      <c r="FLM39" s="954"/>
      <c r="FLN39" s="954"/>
      <c r="FLO39" s="954"/>
      <c r="FLP39" s="954"/>
      <c r="FLQ39" s="954"/>
      <c r="FLR39" s="954"/>
      <c r="FLS39" s="954"/>
      <c r="FLT39" s="954"/>
      <c r="FLU39" s="954"/>
      <c r="FLV39" s="954"/>
      <c r="FLW39" s="954"/>
      <c r="FLX39" s="954"/>
      <c r="FLY39" s="954"/>
      <c r="FLZ39" s="954"/>
      <c r="FMA39" s="954"/>
      <c r="FMB39" s="954"/>
      <c r="FMC39" s="954"/>
      <c r="FMD39" s="954"/>
      <c r="FME39" s="954"/>
      <c r="FMF39" s="954"/>
      <c r="FMG39" s="954"/>
      <c r="FMH39" s="954"/>
      <c r="FMI39" s="954"/>
      <c r="FMJ39" s="954"/>
      <c r="FMK39" s="954"/>
      <c r="FML39" s="954"/>
      <c r="FMM39" s="954"/>
      <c r="FMN39" s="954"/>
      <c r="FMO39" s="954"/>
      <c r="FMP39" s="954"/>
      <c r="FMQ39" s="954"/>
      <c r="FMR39" s="954"/>
      <c r="FMS39" s="954"/>
      <c r="FMT39" s="954"/>
      <c r="FMU39" s="954"/>
      <c r="FMV39" s="954"/>
      <c r="FMW39" s="954"/>
      <c r="FMX39" s="954"/>
      <c r="FMY39" s="954"/>
      <c r="FMZ39" s="954"/>
      <c r="FNA39" s="954"/>
      <c r="FNB39" s="954"/>
      <c r="FNC39" s="954"/>
      <c r="FND39" s="954"/>
      <c r="FNE39" s="954"/>
      <c r="FNF39" s="954"/>
      <c r="FNG39" s="954"/>
      <c r="FNH39" s="954"/>
      <c r="FNI39" s="954"/>
      <c r="FNJ39" s="954"/>
      <c r="FNK39" s="954"/>
      <c r="FNL39" s="954"/>
      <c r="FNM39" s="954"/>
      <c r="FNN39" s="954"/>
      <c r="FNO39" s="954"/>
      <c r="FNP39" s="954"/>
      <c r="FNQ39" s="954"/>
      <c r="FNR39" s="954"/>
      <c r="FNS39" s="954"/>
      <c r="FNT39" s="954"/>
      <c r="FNU39" s="954"/>
      <c r="FNV39" s="954"/>
      <c r="FNW39" s="954"/>
      <c r="FNX39" s="954"/>
      <c r="FNY39" s="954"/>
      <c r="FNZ39" s="954"/>
      <c r="FOA39" s="954"/>
      <c r="FOB39" s="954"/>
      <c r="FOC39" s="954"/>
      <c r="FOD39" s="954"/>
      <c r="FOE39" s="954"/>
      <c r="FOF39" s="954"/>
      <c r="FOG39" s="954"/>
      <c r="FOH39" s="954"/>
      <c r="FOI39" s="954"/>
      <c r="FOJ39" s="954"/>
      <c r="FOK39" s="954"/>
      <c r="FOL39" s="954"/>
      <c r="FOM39" s="954"/>
      <c r="FON39" s="954"/>
      <c r="FOO39" s="954"/>
      <c r="FOP39" s="954"/>
      <c r="FOQ39" s="954"/>
      <c r="FOR39" s="954"/>
      <c r="FOS39" s="954"/>
      <c r="FOT39" s="954"/>
      <c r="FOU39" s="954"/>
      <c r="FOV39" s="954"/>
      <c r="FOW39" s="954"/>
      <c r="FOX39" s="954"/>
      <c r="FOY39" s="954"/>
      <c r="FOZ39" s="954"/>
      <c r="FPA39" s="954"/>
      <c r="FPB39" s="954"/>
      <c r="FPC39" s="954"/>
      <c r="FPD39" s="954"/>
      <c r="FPE39" s="954"/>
      <c r="FPF39" s="954"/>
      <c r="FPG39" s="954"/>
      <c r="FPH39" s="954"/>
      <c r="FPI39" s="954"/>
      <c r="FPJ39" s="954"/>
      <c r="FPK39" s="954"/>
      <c r="FPL39" s="954"/>
      <c r="FPM39" s="954"/>
      <c r="FPN39" s="954"/>
      <c r="FPO39" s="954"/>
      <c r="FPP39" s="954"/>
      <c r="FPQ39" s="954"/>
      <c r="FPR39" s="954"/>
      <c r="FPS39" s="954"/>
      <c r="FPT39" s="954"/>
      <c r="FPU39" s="954"/>
      <c r="FPV39" s="954"/>
      <c r="FPW39" s="954"/>
      <c r="FPX39" s="954"/>
      <c r="FPY39" s="954"/>
      <c r="FPZ39" s="954"/>
      <c r="FQA39" s="954"/>
      <c r="FQB39" s="954"/>
      <c r="FQC39" s="954"/>
      <c r="FQD39" s="954"/>
      <c r="FQE39" s="954"/>
      <c r="FQF39" s="954"/>
      <c r="FQG39" s="954"/>
      <c r="FQH39" s="954"/>
      <c r="FQI39" s="954"/>
      <c r="FQJ39" s="954"/>
      <c r="FQK39" s="954"/>
      <c r="FQL39" s="954"/>
      <c r="FQM39" s="954"/>
      <c r="FQN39" s="954"/>
      <c r="FQO39" s="954"/>
      <c r="FQP39" s="954"/>
      <c r="FQQ39" s="954"/>
      <c r="FQR39" s="954"/>
      <c r="FQS39" s="954"/>
      <c r="FQT39" s="954"/>
      <c r="FQU39" s="954"/>
      <c r="FQV39" s="954"/>
      <c r="FQW39" s="954"/>
      <c r="FQX39" s="954"/>
      <c r="FQY39" s="954"/>
      <c r="FQZ39" s="954"/>
      <c r="FRA39" s="954"/>
      <c r="FRB39" s="954"/>
      <c r="FRC39" s="954"/>
      <c r="FRD39" s="954"/>
      <c r="FRE39" s="954"/>
      <c r="FRF39" s="954"/>
      <c r="FRG39" s="954"/>
      <c r="FRH39" s="954"/>
      <c r="FRI39" s="954"/>
      <c r="FRJ39" s="954"/>
      <c r="FRK39" s="954"/>
      <c r="FRL39" s="954"/>
      <c r="FRM39" s="954"/>
      <c r="FRN39" s="954"/>
      <c r="FRO39" s="954"/>
      <c r="FRP39" s="954"/>
      <c r="FRQ39" s="954"/>
      <c r="FRR39" s="954"/>
      <c r="FRS39" s="954"/>
      <c r="FRT39" s="954"/>
      <c r="FRU39" s="954"/>
      <c r="FRV39" s="954"/>
      <c r="FRW39" s="954"/>
      <c r="FRX39" s="954"/>
      <c r="FRY39" s="954"/>
      <c r="FRZ39" s="954"/>
      <c r="FSA39" s="954"/>
      <c r="FSB39" s="954"/>
      <c r="FSC39" s="954"/>
      <c r="FSD39" s="954"/>
      <c r="FSE39" s="954"/>
      <c r="FSF39" s="954"/>
      <c r="FSG39" s="954"/>
      <c r="FSH39" s="954"/>
      <c r="FSI39" s="954"/>
      <c r="FSJ39" s="954"/>
      <c r="FSK39" s="954"/>
      <c r="FSL39" s="954"/>
      <c r="FSM39" s="954"/>
      <c r="FSN39" s="954"/>
      <c r="FSO39" s="954"/>
      <c r="FSP39" s="954"/>
      <c r="FSQ39" s="954"/>
      <c r="FSR39" s="954"/>
      <c r="FSS39" s="954"/>
      <c r="FST39" s="954"/>
      <c r="FSU39" s="954"/>
      <c r="FSV39" s="954"/>
      <c r="FSW39" s="954"/>
      <c r="FSX39" s="954"/>
      <c r="FSY39" s="954"/>
      <c r="FSZ39" s="954"/>
      <c r="FTA39" s="954"/>
      <c r="FTB39" s="954"/>
      <c r="FTC39" s="954"/>
      <c r="FTD39" s="954"/>
      <c r="FTE39" s="954"/>
      <c r="FTF39" s="954"/>
      <c r="FTG39" s="954"/>
      <c r="FTH39" s="954"/>
      <c r="FTI39" s="954"/>
      <c r="FTJ39" s="954"/>
      <c r="FTK39" s="954"/>
      <c r="FTL39" s="954"/>
      <c r="FTM39" s="954"/>
      <c r="FTN39" s="954"/>
      <c r="FTO39" s="954"/>
      <c r="FTP39" s="954"/>
      <c r="FTQ39" s="954"/>
      <c r="FTR39" s="954"/>
      <c r="FTS39" s="954"/>
      <c r="FTT39" s="954"/>
      <c r="FTU39" s="954"/>
      <c r="FTV39" s="954"/>
      <c r="FTW39" s="954"/>
      <c r="FTX39" s="954"/>
      <c r="FTY39" s="954"/>
      <c r="FTZ39" s="954"/>
      <c r="FUA39" s="954"/>
      <c r="FUB39" s="954"/>
      <c r="FUC39" s="954"/>
      <c r="FUD39" s="954"/>
      <c r="FUE39" s="954"/>
      <c r="FUF39" s="954"/>
      <c r="FUG39" s="954"/>
      <c r="FUH39" s="954"/>
      <c r="FUI39" s="954"/>
      <c r="FUJ39" s="954"/>
      <c r="FUK39" s="954"/>
      <c r="FUL39" s="954"/>
      <c r="FUM39" s="954"/>
      <c r="FUN39" s="954"/>
      <c r="FUO39" s="954"/>
      <c r="FUP39" s="954"/>
      <c r="FUQ39" s="954"/>
      <c r="FUR39" s="954"/>
      <c r="FUS39" s="954"/>
      <c r="FUT39" s="954"/>
      <c r="FUU39" s="954"/>
      <c r="FUV39" s="954"/>
      <c r="FUW39" s="954"/>
      <c r="FUX39" s="954"/>
      <c r="FUY39" s="954"/>
      <c r="FUZ39" s="954"/>
      <c r="FVA39" s="954"/>
      <c r="FVB39" s="954"/>
      <c r="FVC39" s="954"/>
      <c r="FVD39" s="954"/>
      <c r="FVE39" s="954"/>
      <c r="FVF39" s="954"/>
      <c r="FVG39" s="954"/>
      <c r="FVH39" s="954"/>
      <c r="FVI39" s="954"/>
      <c r="FVJ39" s="954"/>
      <c r="FVK39" s="954"/>
      <c r="FVL39" s="954"/>
      <c r="FVM39" s="954"/>
      <c r="FVN39" s="954"/>
      <c r="FVO39" s="954"/>
      <c r="FVP39" s="954"/>
      <c r="FVQ39" s="954"/>
      <c r="FVR39" s="954"/>
      <c r="FVS39" s="954"/>
      <c r="FVT39" s="954"/>
      <c r="FVU39" s="954"/>
      <c r="FVV39" s="954"/>
      <c r="FVW39" s="954"/>
      <c r="FVX39" s="954"/>
      <c r="FVY39" s="954"/>
      <c r="FVZ39" s="954"/>
      <c r="FWA39" s="954"/>
      <c r="FWB39" s="954"/>
      <c r="FWC39" s="954"/>
      <c r="FWD39" s="954"/>
      <c r="FWE39" s="954"/>
      <c r="FWF39" s="954"/>
      <c r="FWG39" s="954"/>
      <c r="FWH39" s="954"/>
      <c r="FWI39" s="954"/>
      <c r="FWJ39" s="954"/>
      <c r="FWK39" s="954"/>
      <c r="FWL39" s="954"/>
      <c r="FWM39" s="954"/>
      <c r="FWN39" s="954"/>
      <c r="FWO39" s="954"/>
      <c r="FWP39" s="954"/>
      <c r="FWQ39" s="954"/>
      <c r="FWR39" s="954"/>
      <c r="FWS39" s="954"/>
      <c r="FWT39" s="954"/>
      <c r="FWU39" s="954"/>
      <c r="FWV39" s="954"/>
      <c r="FWW39" s="954"/>
      <c r="FWX39" s="954"/>
      <c r="FWY39" s="954"/>
      <c r="FWZ39" s="954"/>
      <c r="FXA39" s="954"/>
      <c r="FXB39" s="954"/>
      <c r="FXC39" s="954"/>
      <c r="FXD39" s="954"/>
      <c r="FXE39" s="954"/>
      <c r="FXF39" s="954"/>
      <c r="FXG39" s="954"/>
      <c r="FXH39" s="954"/>
      <c r="FXI39" s="954"/>
      <c r="FXJ39" s="954"/>
      <c r="FXK39" s="954"/>
      <c r="FXL39" s="954"/>
      <c r="FXM39" s="954"/>
      <c r="FXN39" s="954"/>
      <c r="FXO39" s="954"/>
      <c r="FXP39" s="954"/>
      <c r="FXQ39" s="954"/>
      <c r="FXR39" s="954"/>
      <c r="FXS39" s="954"/>
      <c r="FXT39" s="954"/>
      <c r="FXU39" s="954"/>
      <c r="FXV39" s="954"/>
      <c r="FXW39" s="954"/>
      <c r="FXX39" s="954"/>
      <c r="FXY39" s="954"/>
      <c r="FXZ39" s="954"/>
      <c r="FYA39" s="954"/>
      <c r="FYB39" s="954"/>
      <c r="FYC39" s="954"/>
      <c r="FYD39" s="954"/>
      <c r="FYE39" s="954"/>
      <c r="FYF39" s="954"/>
      <c r="FYG39" s="954"/>
      <c r="FYH39" s="954"/>
      <c r="FYI39" s="954"/>
      <c r="FYJ39" s="954"/>
      <c r="FYK39" s="954"/>
      <c r="FYL39" s="954"/>
      <c r="FYM39" s="954"/>
      <c r="FYN39" s="954"/>
      <c r="FYO39" s="954"/>
      <c r="FYP39" s="954"/>
      <c r="FYQ39" s="954"/>
      <c r="FYR39" s="954"/>
      <c r="FYS39" s="954"/>
      <c r="FYT39" s="954"/>
      <c r="FYU39" s="954"/>
      <c r="FYV39" s="954"/>
      <c r="FYW39" s="954"/>
      <c r="FYX39" s="954"/>
      <c r="FYY39" s="954"/>
      <c r="FYZ39" s="954"/>
      <c r="FZA39" s="954"/>
      <c r="FZB39" s="954"/>
      <c r="FZC39" s="954"/>
      <c r="FZD39" s="954"/>
      <c r="FZE39" s="954"/>
      <c r="FZF39" s="954"/>
      <c r="FZG39" s="954"/>
      <c r="FZH39" s="954"/>
      <c r="FZI39" s="954"/>
      <c r="FZJ39" s="954"/>
      <c r="FZK39" s="954"/>
      <c r="FZL39" s="954"/>
      <c r="FZM39" s="954"/>
      <c r="FZN39" s="954"/>
      <c r="FZO39" s="954"/>
      <c r="FZP39" s="954"/>
      <c r="FZQ39" s="954"/>
      <c r="FZR39" s="954"/>
      <c r="FZS39" s="954"/>
      <c r="FZT39" s="954"/>
      <c r="FZU39" s="954"/>
      <c r="FZV39" s="954"/>
      <c r="FZW39" s="954"/>
      <c r="FZX39" s="954"/>
      <c r="FZY39" s="954"/>
      <c r="FZZ39" s="954"/>
      <c r="GAA39" s="954"/>
      <c r="GAB39" s="954"/>
      <c r="GAC39" s="954"/>
      <c r="GAD39" s="954"/>
      <c r="GAE39" s="954"/>
      <c r="GAF39" s="954"/>
      <c r="GAG39" s="954"/>
      <c r="GAH39" s="954"/>
      <c r="GAI39" s="954"/>
      <c r="GAJ39" s="954"/>
      <c r="GAK39" s="954"/>
      <c r="GAL39" s="954"/>
      <c r="GAM39" s="954"/>
      <c r="GAN39" s="954"/>
      <c r="GAO39" s="954"/>
      <c r="GAP39" s="954"/>
      <c r="GAQ39" s="954"/>
      <c r="GAR39" s="954"/>
      <c r="GAS39" s="954"/>
      <c r="GAT39" s="954"/>
      <c r="GAU39" s="954"/>
      <c r="GAV39" s="954"/>
      <c r="GAW39" s="954"/>
      <c r="GAX39" s="954"/>
      <c r="GAY39" s="954"/>
      <c r="GAZ39" s="954"/>
      <c r="GBA39" s="954"/>
      <c r="GBB39" s="954"/>
      <c r="GBC39" s="954"/>
      <c r="GBD39" s="954"/>
      <c r="GBE39" s="954"/>
      <c r="GBF39" s="954"/>
      <c r="GBG39" s="954"/>
      <c r="GBH39" s="954"/>
      <c r="GBI39" s="954"/>
      <c r="GBJ39" s="954"/>
      <c r="GBK39" s="954"/>
      <c r="GBL39" s="954"/>
      <c r="GBM39" s="954"/>
      <c r="GBN39" s="954"/>
      <c r="GBO39" s="954"/>
      <c r="GBP39" s="954"/>
      <c r="GBQ39" s="954"/>
      <c r="GBR39" s="954"/>
      <c r="GBS39" s="954"/>
      <c r="GBT39" s="954"/>
      <c r="GBU39" s="954"/>
      <c r="GBV39" s="954"/>
      <c r="GBW39" s="954"/>
      <c r="GBX39" s="954"/>
      <c r="GBY39" s="954"/>
      <c r="GBZ39" s="954"/>
      <c r="GCA39" s="954"/>
      <c r="GCB39" s="954"/>
      <c r="GCC39" s="954"/>
      <c r="GCD39" s="954"/>
      <c r="GCE39" s="954"/>
      <c r="GCF39" s="954"/>
      <c r="GCG39" s="954"/>
      <c r="GCH39" s="954"/>
      <c r="GCI39" s="954"/>
      <c r="GCJ39" s="954"/>
      <c r="GCK39" s="954"/>
      <c r="GCL39" s="954"/>
      <c r="GCM39" s="954"/>
      <c r="GCN39" s="954"/>
      <c r="GCO39" s="954"/>
      <c r="GCP39" s="954"/>
      <c r="GCQ39" s="954"/>
      <c r="GCR39" s="954"/>
      <c r="GCS39" s="954"/>
      <c r="GCT39" s="954"/>
      <c r="GCU39" s="954"/>
      <c r="GCV39" s="954"/>
      <c r="GCW39" s="954"/>
      <c r="GCX39" s="954"/>
      <c r="GCY39" s="954"/>
      <c r="GCZ39" s="954"/>
      <c r="GDA39" s="954"/>
      <c r="GDB39" s="954"/>
      <c r="GDC39" s="954"/>
      <c r="GDD39" s="954"/>
      <c r="GDE39" s="954"/>
      <c r="GDF39" s="954"/>
      <c r="GDG39" s="954"/>
      <c r="GDH39" s="954"/>
      <c r="GDI39" s="954"/>
      <c r="GDJ39" s="954"/>
      <c r="GDK39" s="954"/>
      <c r="GDL39" s="954"/>
      <c r="GDM39" s="954"/>
      <c r="GDN39" s="954"/>
      <c r="GDO39" s="954"/>
      <c r="GDP39" s="954"/>
      <c r="GDQ39" s="954"/>
      <c r="GDR39" s="954"/>
      <c r="GDS39" s="954"/>
      <c r="GDT39" s="954"/>
      <c r="GDU39" s="954"/>
      <c r="GDV39" s="954"/>
      <c r="GDW39" s="954"/>
      <c r="GDX39" s="954"/>
      <c r="GDY39" s="954"/>
      <c r="GDZ39" s="954"/>
      <c r="GEA39" s="954"/>
      <c r="GEB39" s="954"/>
      <c r="GEC39" s="954"/>
      <c r="GED39" s="954"/>
      <c r="GEE39" s="954"/>
      <c r="GEF39" s="954"/>
      <c r="GEG39" s="954"/>
      <c r="GEH39" s="954"/>
      <c r="GEI39" s="954"/>
      <c r="GEJ39" s="954"/>
      <c r="GEK39" s="954"/>
      <c r="GEL39" s="954"/>
      <c r="GEM39" s="954"/>
      <c r="GEN39" s="954"/>
      <c r="GEO39" s="954"/>
      <c r="GEP39" s="954"/>
      <c r="GEQ39" s="954"/>
      <c r="GER39" s="954"/>
      <c r="GES39" s="954"/>
      <c r="GET39" s="954"/>
      <c r="GEU39" s="954"/>
      <c r="GEV39" s="954"/>
      <c r="GEW39" s="954"/>
      <c r="GEX39" s="954"/>
      <c r="GEY39" s="954"/>
      <c r="GEZ39" s="954"/>
      <c r="GFA39" s="954"/>
      <c r="GFB39" s="954"/>
      <c r="GFC39" s="954"/>
      <c r="GFD39" s="954"/>
      <c r="GFE39" s="954"/>
      <c r="GFF39" s="954"/>
      <c r="GFG39" s="954"/>
      <c r="GFH39" s="954"/>
      <c r="GFI39" s="954"/>
      <c r="GFJ39" s="954"/>
      <c r="GFK39" s="954"/>
      <c r="GFL39" s="954"/>
      <c r="GFM39" s="954"/>
      <c r="GFN39" s="954"/>
      <c r="GFO39" s="954"/>
      <c r="GFP39" s="954"/>
      <c r="GFQ39" s="954"/>
      <c r="GFR39" s="954"/>
      <c r="GFS39" s="954"/>
      <c r="GFT39" s="954"/>
      <c r="GFU39" s="954"/>
      <c r="GFV39" s="954"/>
      <c r="GFW39" s="954"/>
      <c r="GFX39" s="954"/>
      <c r="GFY39" s="954"/>
      <c r="GFZ39" s="954"/>
      <c r="GGA39" s="954"/>
      <c r="GGB39" s="954"/>
      <c r="GGC39" s="954"/>
      <c r="GGD39" s="954"/>
      <c r="GGE39" s="954"/>
      <c r="GGF39" s="954"/>
      <c r="GGG39" s="954"/>
      <c r="GGH39" s="954"/>
      <c r="GGI39" s="954"/>
      <c r="GGJ39" s="954"/>
      <c r="GGK39" s="954"/>
      <c r="GGL39" s="954"/>
      <c r="GGM39" s="954"/>
      <c r="GGN39" s="954"/>
      <c r="GGO39" s="954"/>
      <c r="GGP39" s="954"/>
      <c r="GGQ39" s="954"/>
      <c r="GGR39" s="954"/>
      <c r="GGS39" s="954"/>
      <c r="GGT39" s="954"/>
      <c r="GGU39" s="954"/>
      <c r="GGV39" s="954"/>
      <c r="GGW39" s="954"/>
      <c r="GGX39" s="954"/>
      <c r="GGY39" s="954"/>
      <c r="GGZ39" s="954"/>
      <c r="GHA39" s="954"/>
      <c r="GHB39" s="954"/>
      <c r="GHC39" s="954"/>
      <c r="GHD39" s="954"/>
      <c r="GHE39" s="954"/>
      <c r="GHF39" s="954"/>
      <c r="GHG39" s="954"/>
      <c r="GHH39" s="954"/>
      <c r="GHI39" s="954"/>
      <c r="GHJ39" s="954"/>
      <c r="GHK39" s="954"/>
      <c r="GHL39" s="954"/>
      <c r="GHM39" s="954"/>
      <c r="GHN39" s="954"/>
      <c r="GHO39" s="954"/>
      <c r="GHP39" s="954"/>
      <c r="GHQ39" s="954"/>
      <c r="GHR39" s="954"/>
      <c r="GHS39" s="954"/>
      <c r="GHT39" s="954"/>
      <c r="GHU39" s="954"/>
      <c r="GHV39" s="954"/>
      <c r="GHW39" s="954"/>
      <c r="GHX39" s="954"/>
      <c r="GHY39" s="954"/>
      <c r="GHZ39" s="954"/>
      <c r="GIA39" s="954"/>
      <c r="GIB39" s="954"/>
      <c r="GIC39" s="954"/>
      <c r="GID39" s="954"/>
      <c r="GIE39" s="954"/>
      <c r="GIF39" s="954"/>
      <c r="GIG39" s="954"/>
      <c r="GIH39" s="954"/>
      <c r="GII39" s="954"/>
      <c r="GIJ39" s="954"/>
      <c r="GIK39" s="954"/>
      <c r="GIL39" s="954"/>
      <c r="GIM39" s="954"/>
      <c r="GIN39" s="954"/>
      <c r="GIO39" s="954"/>
      <c r="GIP39" s="954"/>
      <c r="GIQ39" s="954"/>
      <c r="GIR39" s="954"/>
      <c r="GIS39" s="954"/>
      <c r="GIT39" s="954"/>
      <c r="GIU39" s="954"/>
      <c r="GIV39" s="954"/>
      <c r="GIW39" s="954"/>
      <c r="GIX39" s="954"/>
      <c r="GIY39" s="954"/>
      <c r="GIZ39" s="954"/>
      <c r="GJA39" s="954"/>
      <c r="GJB39" s="954"/>
      <c r="GJC39" s="954"/>
      <c r="GJD39" s="954"/>
      <c r="GJE39" s="954"/>
      <c r="GJF39" s="954"/>
      <c r="GJG39" s="954"/>
      <c r="GJH39" s="954"/>
      <c r="GJI39" s="954"/>
      <c r="GJJ39" s="954"/>
      <c r="GJK39" s="954"/>
      <c r="GJL39" s="954"/>
      <c r="GJM39" s="954"/>
      <c r="GJN39" s="954"/>
      <c r="GJO39" s="954"/>
      <c r="GJP39" s="954"/>
      <c r="GJQ39" s="954"/>
      <c r="GJR39" s="954"/>
      <c r="GJS39" s="954"/>
      <c r="GJT39" s="954"/>
      <c r="GJU39" s="954"/>
      <c r="GJV39" s="954"/>
      <c r="GJW39" s="954"/>
      <c r="GJX39" s="954"/>
      <c r="GJY39" s="954"/>
      <c r="GJZ39" s="954"/>
      <c r="GKA39" s="954"/>
      <c r="GKB39" s="954"/>
      <c r="GKC39" s="954"/>
      <c r="GKD39" s="954"/>
      <c r="GKE39" s="954"/>
      <c r="GKF39" s="954"/>
      <c r="GKG39" s="954"/>
      <c r="GKH39" s="954"/>
      <c r="GKI39" s="954"/>
      <c r="GKJ39" s="954"/>
      <c r="GKK39" s="954"/>
      <c r="GKL39" s="954"/>
      <c r="GKM39" s="954"/>
      <c r="GKN39" s="954"/>
      <c r="GKO39" s="954"/>
      <c r="GKP39" s="954"/>
      <c r="GKQ39" s="954"/>
      <c r="GKR39" s="954"/>
      <c r="GKS39" s="954"/>
      <c r="GKT39" s="954"/>
      <c r="GKU39" s="954"/>
      <c r="GKV39" s="954"/>
      <c r="GKW39" s="954"/>
      <c r="GKX39" s="954"/>
      <c r="GKY39" s="954"/>
      <c r="GKZ39" s="954"/>
      <c r="GLA39" s="954"/>
      <c r="GLB39" s="954"/>
      <c r="GLC39" s="954"/>
      <c r="GLD39" s="954"/>
      <c r="GLE39" s="954"/>
      <c r="GLF39" s="954"/>
      <c r="GLG39" s="954"/>
      <c r="GLH39" s="954"/>
      <c r="GLI39" s="954"/>
      <c r="GLJ39" s="954"/>
      <c r="GLK39" s="954"/>
      <c r="GLL39" s="954"/>
      <c r="GLM39" s="954"/>
      <c r="GLN39" s="954"/>
      <c r="GLO39" s="954"/>
      <c r="GLP39" s="954"/>
      <c r="GLQ39" s="954"/>
      <c r="GLR39" s="954"/>
      <c r="GLS39" s="954"/>
      <c r="GLT39" s="954"/>
      <c r="GLU39" s="954"/>
      <c r="GLV39" s="954"/>
      <c r="GLW39" s="954"/>
      <c r="GLX39" s="954"/>
      <c r="GLY39" s="954"/>
      <c r="GLZ39" s="954"/>
      <c r="GMA39" s="954"/>
      <c r="GMB39" s="954"/>
      <c r="GMC39" s="954"/>
      <c r="GMD39" s="954"/>
      <c r="GME39" s="954"/>
      <c r="GMF39" s="954"/>
      <c r="GMG39" s="954"/>
      <c r="GMH39" s="954"/>
      <c r="GMI39" s="954"/>
      <c r="GMJ39" s="954"/>
      <c r="GMK39" s="954"/>
      <c r="GML39" s="954"/>
      <c r="GMM39" s="954"/>
      <c r="GMN39" s="954"/>
      <c r="GMO39" s="954"/>
      <c r="GMP39" s="954"/>
      <c r="GMQ39" s="954"/>
      <c r="GMR39" s="954"/>
      <c r="GMS39" s="954"/>
      <c r="GMT39" s="954"/>
      <c r="GMU39" s="954"/>
      <c r="GMV39" s="954"/>
      <c r="GMW39" s="954"/>
      <c r="GMX39" s="954"/>
      <c r="GMY39" s="954"/>
      <c r="GMZ39" s="954"/>
      <c r="GNA39" s="954"/>
      <c r="GNB39" s="954"/>
      <c r="GNC39" s="954"/>
      <c r="GND39" s="954"/>
      <c r="GNE39" s="954"/>
      <c r="GNF39" s="954"/>
      <c r="GNG39" s="954"/>
      <c r="GNH39" s="954"/>
      <c r="GNI39" s="954"/>
      <c r="GNJ39" s="954"/>
      <c r="GNK39" s="954"/>
      <c r="GNL39" s="954"/>
      <c r="GNM39" s="954"/>
      <c r="GNN39" s="954"/>
      <c r="GNO39" s="954"/>
      <c r="GNP39" s="954"/>
      <c r="GNQ39" s="954"/>
      <c r="GNR39" s="954"/>
      <c r="GNS39" s="954"/>
      <c r="GNT39" s="954"/>
      <c r="GNU39" s="954"/>
      <c r="GNV39" s="954"/>
      <c r="GNW39" s="954"/>
      <c r="GNX39" s="954"/>
      <c r="GNY39" s="954"/>
      <c r="GNZ39" s="954"/>
      <c r="GOA39" s="954"/>
      <c r="GOB39" s="954"/>
      <c r="GOC39" s="954"/>
      <c r="GOD39" s="954"/>
      <c r="GOE39" s="954"/>
      <c r="GOF39" s="954"/>
      <c r="GOG39" s="954"/>
      <c r="GOH39" s="954"/>
      <c r="GOI39" s="954"/>
      <c r="GOJ39" s="954"/>
      <c r="GOK39" s="954"/>
      <c r="GOL39" s="954"/>
      <c r="GOM39" s="954"/>
      <c r="GON39" s="954"/>
      <c r="GOO39" s="954"/>
      <c r="GOP39" s="954"/>
      <c r="GOQ39" s="954"/>
      <c r="GOR39" s="954"/>
      <c r="GOS39" s="954"/>
      <c r="GOT39" s="954"/>
      <c r="GOU39" s="954"/>
      <c r="GOV39" s="954"/>
      <c r="GOW39" s="954"/>
      <c r="GOX39" s="954"/>
      <c r="GOY39" s="954"/>
      <c r="GOZ39" s="954"/>
      <c r="GPA39" s="954"/>
      <c r="GPB39" s="954"/>
      <c r="GPC39" s="954"/>
      <c r="GPD39" s="954"/>
      <c r="GPE39" s="954"/>
      <c r="GPF39" s="954"/>
      <c r="GPG39" s="954"/>
      <c r="GPH39" s="954"/>
      <c r="GPI39" s="954"/>
      <c r="GPJ39" s="954"/>
      <c r="GPK39" s="954"/>
      <c r="GPL39" s="954"/>
      <c r="GPM39" s="954"/>
      <c r="GPN39" s="954"/>
      <c r="GPO39" s="954"/>
      <c r="GPP39" s="954"/>
      <c r="GPQ39" s="954"/>
      <c r="GPR39" s="954"/>
      <c r="GPS39" s="954"/>
      <c r="GPT39" s="954"/>
      <c r="GPU39" s="954"/>
      <c r="GPV39" s="954"/>
      <c r="GPW39" s="954"/>
      <c r="GPX39" s="954"/>
      <c r="GPY39" s="954"/>
      <c r="GPZ39" s="954"/>
      <c r="GQA39" s="954"/>
      <c r="GQB39" s="954"/>
      <c r="GQC39" s="954"/>
      <c r="GQD39" s="954"/>
      <c r="GQE39" s="954"/>
      <c r="GQF39" s="954"/>
      <c r="GQG39" s="954"/>
      <c r="GQH39" s="954"/>
      <c r="GQI39" s="954"/>
      <c r="GQJ39" s="954"/>
      <c r="GQK39" s="954"/>
      <c r="GQL39" s="954"/>
      <c r="GQM39" s="954"/>
      <c r="GQN39" s="954"/>
      <c r="GQO39" s="954"/>
      <c r="GQP39" s="954"/>
      <c r="GQQ39" s="954"/>
      <c r="GQR39" s="954"/>
      <c r="GQS39" s="954"/>
      <c r="GQT39" s="954"/>
      <c r="GQU39" s="954"/>
      <c r="GQV39" s="954"/>
      <c r="GQW39" s="954"/>
      <c r="GQX39" s="954"/>
      <c r="GQY39" s="954"/>
      <c r="GQZ39" s="954"/>
      <c r="GRA39" s="954"/>
      <c r="GRB39" s="954"/>
      <c r="GRC39" s="954"/>
      <c r="GRD39" s="954"/>
      <c r="GRE39" s="954"/>
      <c r="GRF39" s="954"/>
      <c r="GRG39" s="954"/>
      <c r="GRH39" s="954"/>
      <c r="GRI39" s="954"/>
      <c r="GRJ39" s="954"/>
      <c r="GRK39" s="954"/>
      <c r="GRL39" s="954"/>
      <c r="GRM39" s="954"/>
      <c r="GRN39" s="954"/>
      <c r="GRO39" s="954"/>
      <c r="GRP39" s="954"/>
      <c r="GRQ39" s="954"/>
      <c r="GRR39" s="954"/>
      <c r="GRS39" s="954"/>
      <c r="GRT39" s="954"/>
      <c r="GRU39" s="954"/>
      <c r="GRV39" s="954"/>
      <c r="GRW39" s="954"/>
      <c r="GRX39" s="954"/>
      <c r="GRY39" s="954"/>
      <c r="GRZ39" s="954"/>
      <c r="GSA39" s="954"/>
      <c r="GSB39" s="954"/>
      <c r="GSC39" s="954"/>
      <c r="GSD39" s="954"/>
      <c r="GSE39" s="954"/>
      <c r="GSF39" s="954"/>
      <c r="GSG39" s="954"/>
      <c r="GSH39" s="954"/>
      <c r="GSI39" s="954"/>
      <c r="GSJ39" s="954"/>
      <c r="GSK39" s="954"/>
      <c r="GSL39" s="954"/>
      <c r="GSM39" s="954"/>
      <c r="GSN39" s="954"/>
      <c r="GSO39" s="954"/>
      <c r="GSP39" s="954"/>
      <c r="GSQ39" s="954"/>
      <c r="GSR39" s="954"/>
      <c r="GSS39" s="954"/>
      <c r="GST39" s="954"/>
      <c r="GSU39" s="954"/>
      <c r="GSV39" s="954"/>
      <c r="GSW39" s="954"/>
      <c r="GSX39" s="954"/>
      <c r="GSY39" s="954"/>
      <c r="GSZ39" s="954"/>
      <c r="GTA39" s="954"/>
      <c r="GTB39" s="954"/>
      <c r="GTC39" s="954"/>
      <c r="GTD39" s="954"/>
      <c r="GTE39" s="954"/>
      <c r="GTF39" s="954"/>
      <c r="GTG39" s="954"/>
      <c r="GTH39" s="954"/>
      <c r="GTI39" s="954"/>
      <c r="GTJ39" s="954"/>
      <c r="GTK39" s="954"/>
      <c r="GTL39" s="954"/>
      <c r="GTM39" s="954"/>
      <c r="GTN39" s="954"/>
      <c r="GTO39" s="954"/>
      <c r="GTP39" s="954"/>
      <c r="GTQ39" s="954"/>
      <c r="GTR39" s="954"/>
      <c r="GTS39" s="954"/>
      <c r="GTT39" s="954"/>
      <c r="GTU39" s="954"/>
      <c r="GTV39" s="954"/>
      <c r="GTW39" s="954"/>
      <c r="GTX39" s="954"/>
      <c r="GTY39" s="954"/>
      <c r="GTZ39" s="954"/>
      <c r="GUA39" s="954"/>
      <c r="GUB39" s="954"/>
      <c r="GUC39" s="954"/>
      <c r="GUD39" s="954"/>
      <c r="GUE39" s="954"/>
      <c r="GUF39" s="954"/>
      <c r="GUG39" s="954"/>
      <c r="GUH39" s="954"/>
      <c r="GUI39" s="954"/>
      <c r="GUJ39" s="954"/>
      <c r="GUK39" s="954"/>
      <c r="GUL39" s="954"/>
      <c r="GUM39" s="954"/>
      <c r="GUN39" s="954"/>
      <c r="GUO39" s="954"/>
      <c r="GUP39" s="954"/>
      <c r="GUQ39" s="954"/>
      <c r="GUR39" s="954"/>
      <c r="GUS39" s="954"/>
      <c r="GUT39" s="954"/>
      <c r="GUU39" s="954"/>
      <c r="GUV39" s="954"/>
      <c r="GUW39" s="954"/>
      <c r="GUX39" s="954"/>
      <c r="GUY39" s="954"/>
      <c r="GUZ39" s="954"/>
      <c r="GVA39" s="954"/>
      <c r="GVB39" s="954"/>
      <c r="GVC39" s="954"/>
      <c r="GVD39" s="954"/>
      <c r="GVE39" s="954"/>
      <c r="GVF39" s="954"/>
      <c r="GVG39" s="954"/>
      <c r="GVH39" s="954"/>
      <c r="GVI39" s="954"/>
      <c r="GVJ39" s="954"/>
      <c r="GVK39" s="954"/>
      <c r="GVL39" s="954"/>
      <c r="GVM39" s="954"/>
      <c r="GVN39" s="954"/>
      <c r="GVO39" s="954"/>
      <c r="GVP39" s="954"/>
      <c r="GVQ39" s="954"/>
      <c r="GVR39" s="954"/>
      <c r="GVS39" s="954"/>
      <c r="GVT39" s="954"/>
      <c r="GVU39" s="954"/>
      <c r="GVV39" s="954"/>
      <c r="GVW39" s="954"/>
      <c r="GVX39" s="954"/>
      <c r="GVY39" s="954"/>
      <c r="GVZ39" s="954"/>
      <c r="GWA39" s="954"/>
      <c r="GWB39" s="954"/>
      <c r="GWC39" s="954"/>
      <c r="GWD39" s="954"/>
      <c r="GWE39" s="954"/>
      <c r="GWF39" s="954"/>
      <c r="GWG39" s="954"/>
      <c r="GWH39" s="954"/>
      <c r="GWI39" s="954"/>
      <c r="GWJ39" s="954"/>
      <c r="GWK39" s="954"/>
      <c r="GWL39" s="954"/>
      <c r="GWM39" s="954"/>
      <c r="GWN39" s="954"/>
      <c r="GWO39" s="954"/>
      <c r="GWP39" s="954"/>
      <c r="GWQ39" s="954"/>
      <c r="GWR39" s="954"/>
      <c r="GWS39" s="954"/>
      <c r="GWT39" s="954"/>
      <c r="GWU39" s="954"/>
      <c r="GWV39" s="954"/>
      <c r="GWW39" s="954"/>
      <c r="GWX39" s="954"/>
      <c r="GWY39" s="954"/>
      <c r="GWZ39" s="954"/>
      <c r="GXA39" s="954"/>
      <c r="GXB39" s="954"/>
      <c r="GXC39" s="954"/>
      <c r="GXD39" s="954"/>
      <c r="GXE39" s="954"/>
      <c r="GXF39" s="954"/>
      <c r="GXG39" s="954"/>
      <c r="GXH39" s="954"/>
      <c r="GXI39" s="954"/>
      <c r="GXJ39" s="954"/>
      <c r="GXK39" s="954"/>
      <c r="GXL39" s="954"/>
      <c r="GXM39" s="954"/>
      <c r="GXN39" s="954"/>
      <c r="GXO39" s="954"/>
      <c r="GXP39" s="954"/>
      <c r="GXQ39" s="954"/>
      <c r="GXR39" s="954"/>
      <c r="GXS39" s="954"/>
      <c r="GXT39" s="954"/>
      <c r="GXU39" s="954"/>
      <c r="GXV39" s="954"/>
      <c r="GXW39" s="954"/>
      <c r="GXX39" s="954"/>
      <c r="GXY39" s="954"/>
      <c r="GXZ39" s="954"/>
      <c r="GYA39" s="954"/>
      <c r="GYB39" s="954"/>
      <c r="GYC39" s="954"/>
      <c r="GYD39" s="954"/>
      <c r="GYE39" s="954"/>
      <c r="GYF39" s="954"/>
      <c r="GYG39" s="954"/>
      <c r="GYH39" s="954"/>
      <c r="GYI39" s="954"/>
      <c r="GYJ39" s="954"/>
      <c r="GYK39" s="954"/>
      <c r="GYL39" s="954"/>
      <c r="GYM39" s="954"/>
      <c r="GYN39" s="954"/>
      <c r="GYO39" s="954"/>
      <c r="GYP39" s="954"/>
      <c r="GYQ39" s="954"/>
      <c r="GYR39" s="954"/>
      <c r="GYS39" s="954"/>
      <c r="GYT39" s="954"/>
      <c r="GYU39" s="954"/>
      <c r="GYV39" s="954"/>
      <c r="GYW39" s="954"/>
      <c r="GYX39" s="954"/>
      <c r="GYY39" s="954"/>
      <c r="GYZ39" s="954"/>
      <c r="GZA39" s="954"/>
      <c r="GZB39" s="954"/>
      <c r="GZC39" s="954"/>
      <c r="GZD39" s="954"/>
      <c r="GZE39" s="954"/>
      <c r="GZF39" s="954"/>
      <c r="GZG39" s="954"/>
      <c r="GZH39" s="954"/>
      <c r="GZI39" s="954"/>
      <c r="GZJ39" s="954"/>
      <c r="GZK39" s="954"/>
      <c r="GZL39" s="954"/>
      <c r="GZM39" s="954"/>
      <c r="GZN39" s="954"/>
      <c r="GZO39" s="954"/>
      <c r="GZP39" s="954"/>
      <c r="GZQ39" s="954"/>
      <c r="GZR39" s="954"/>
      <c r="GZS39" s="954"/>
      <c r="GZT39" s="954"/>
      <c r="GZU39" s="954"/>
      <c r="GZV39" s="954"/>
      <c r="GZW39" s="954"/>
      <c r="GZX39" s="954"/>
      <c r="GZY39" s="954"/>
      <c r="GZZ39" s="954"/>
      <c r="HAA39" s="954"/>
      <c r="HAB39" s="954"/>
      <c r="HAC39" s="954"/>
      <c r="HAD39" s="954"/>
      <c r="HAE39" s="954"/>
      <c r="HAF39" s="954"/>
      <c r="HAG39" s="954"/>
      <c r="HAH39" s="954"/>
      <c r="HAI39" s="954"/>
      <c r="HAJ39" s="954"/>
      <c r="HAK39" s="954"/>
      <c r="HAL39" s="954"/>
      <c r="HAM39" s="954"/>
      <c r="HAN39" s="954"/>
      <c r="HAO39" s="954"/>
      <c r="HAP39" s="954"/>
      <c r="HAQ39" s="954"/>
      <c r="HAR39" s="954"/>
      <c r="HAS39" s="954"/>
      <c r="HAT39" s="954"/>
      <c r="HAU39" s="954"/>
      <c r="HAV39" s="954"/>
      <c r="HAW39" s="954"/>
      <c r="HAX39" s="954"/>
      <c r="HAY39" s="954"/>
      <c r="HAZ39" s="954"/>
      <c r="HBA39" s="954"/>
      <c r="HBB39" s="954"/>
      <c r="HBC39" s="954"/>
      <c r="HBD39" s="954"/>
      <c r="HBE39" s="954"/>
      <c r="HBF39" s="954"/>
      <c r="HBG39" s="954"/>
      <c r="HBH39" s="954"/>
      <c r="HBI39" s="954"/>
      <c r="HBJ39" s="954"/>
      <c r="HBK39" s="954"/>
      <c r="HBL39" s="954"/>
      <c r="HBM39" s="954"/>
      <c r="HBN39" s="954"/>
      <c r="HBO39" s="954"/>
      <c r="HBP39" s="954"/>
      <c r="HBQ39" s="954"/>
      <c r="HBR39" s="954"/>
      <c r="HBS39" s="954"/>
      <c r="HBT39" s="954"/>
      <c r="HBU39" s="954"/>
      <c r="HBV39" s="954"/>
      <c r="HBW39" s="954"/>
      <c r="HBX39" s="954"/>
      <c r="HBY39" s="954"/>
      <c r="HBZ39" s="954"/>
      <c r="HCA39" s="954"/>
      <c r="HCB39" s="954"/>
      <c r="HCC39" s="954"/>
      <c r="HCD39" s="954"/>
      <c r="HCE39" s="954"/>
      <c r="HCF39" s="954"/>
      <c r="HCG39" s="954"/>
      <c r="HCH39" s="954"/>
      <c r="HCI39" s="954"/>
      <c r="HCJ39" s="954"/>
      <c r="HCK39" s="954"/>
      <c r="HCL39" s="954"/>
      <c r="HCM39" s="954"/>
      <c r="HCN39" s="954"/>
      <c r="HCO39" s="954"/>
      <c r="HCP39" s="954"/>
      <c r="HCQ39" s="954"/>
      <c r="HCR39" s="954"/>
      <c r="HCS39" s="954"/>
      <c r="HCT39" s="954"/>
      <c r="HCU39" s="954"/>
      <c r="HCV39" s="954"/>
      <c r="HCW39" s="954"/>
      <c r="HCX39" s="954"/>
      <c r="HCY39" s="954"/>
      <c r="HCZ39" s="954"/>
      <c r="HDA39" s="954"/>
      <c r="HDB39" s="954"/>
      <c r="HDC39" s="954"/>
      <c r="HDD39" s="954"/>
      <c r="HDE39" s="954"/>
      <c r="HDF39" s="954"/>
      <c r="HDG39" s="954"/>
      <c r="HDH39" s="954"/>
      <c r="HDI39" s="954"/>
      <c r="HDJ39" s="954"/>
      <c r="HDK39" s="954"/>
      <c r="HDL39" s="954"/>
      <c r="HDM39" s="954"/>
      <c r="HDN39" s="954"/>
      <c r="HDO39" s="954"/>
      <c r="HDP39" s="954"/>
      <c r="HDQ39" s="954"/>
      <c r="HDR39" s="954"/>
      <c r="HDS39" s="954"/>
      <c r="HDT39" s="954"/>
      <c r="HDU39" s="954"/>
      <c r="HDV39" s="954"/>
      <c r="HDW39" s="954"/>
      <c r="HDX39" s="954"/>
      <c r="HDY39" s="954"/>
      <c r="HDZ39" s="954"/>
      <c r="HEA39" s="954"/>
      <c r="HEB39" s="954"/>
      <c r="HEC39" s="954"/>
      <c r="HED39" s="954"/>
      <c r="HEE39" s="954"/>
      <c r="HEF39" s="954"/>
      <c r="HEG39" s="954"/>
      <c r="HEH39" s="954"/>
      <c r="HEI39" s="954"/>
      <c r="HEJ39" s="954"/>
      <c r="HEK39" s="954"/>
      <c r="HEL39" s="954"/>
      <c r="HEM39" s="954"/>
      <c r="HEN39" s="954"/>
      <c r="HEO39" s="954"/>
      <c r="HEP39" s="954"/>
      <c r="HEQ39" s="954"/>
      <c r="HER39" s="954"/>
      <c r="HES39" s="954"/>
      <c r="HET39" s="954"/>
      <c r="HEU39" s="954"/>
      <c r="HEV39" s="954"/>
      <c r="HEW39" s="954"/>
      <c r="HEX39" s="954"/>
      <c r="HEY39" s="954"/>
      <c r="HEZ39" s="954"/>
      <c r="HFA39" s="954"/>
      <c r="HFB39" s="954"/>
      <c r="HFC39" s="954"/>
      <c r="HFD39" s="954"/>
      <c r="HFE39" s="954"/>
      <c r="HFF39" s="954"/>
      <c r="HFG39" s="954"/>
      <c r="HFH39" s="954"/>
      <c r="HFI39" s="954"/>
      <c r="HFJ39" s="954"/>
      <c r="HFK39" s="954"/>
      <c r="HFL39" s="954"/>
      <c r="HFM39" s="954"/>
      <c r="HFN39" s="954"/>
      <c r="HFO39" s="954"/>
      <c r="HFP39" s="954"/>
      <c r="HFQ39" s="954"/>
      <c r="HFR39" s="954"/>
      <c r="HFS39" s="954"/>
      <c r="HFT39" s="954"/>
      <c r="HFU39" s="954"/>
      <c r="HFV39" s="954"/>
      <c r="HFW39" s="954"/>
      <c r="HFX39" s="954"/>
      <c r="HFY39" s="954"/>
      <c r="HFZ39" s="954"/>
      <c r="HGA39" s="954"/>
      <c r="HGB39" s="954"/>
      <c r="HGC39" s="954"/>
      <c r="HGD39" s="954"/>
      <c r="HGE39" s="954"/>
      <c r="HGF39" s="954"/>
      <c r="HGG39" s="954"/>
      <c r="HGH39" s="954"/>
      <c r="HGI39" s="954"/>
      <c r="HGJ39" s="954"/>
      <c r="HGK39" s="954"/>
      <c r="HGL39" s="954"/>
      <c r="HGM39" s="954"/>
      <c r="HGN39" s="954"/>
      <c r="HGO39" s="954"/>
      <c r="HGP39" s="954"/>
      <c r="HGQ39" s="954"/>
      <c r="HGR39" s="954"/>
      <c r="HGS39" s="954"/>
      <c r="HGT39" s="954"/>
      <c r="HGU39" s="954"/>
      <c r="HGV39" s="954"/>
      <c r="HGW39" s="954"/>
      <c r="HGX39" s="954"/>
      <c r="HGY39" s="954"/>
      <c r="HGZ39" s="954"/>
      <c r="HHA39" s="954"/>
      <c r="HHB39" s="954"/>
      <c r="HHC39" s="954"/>
      <c r="HHD39" s="954"/>
      <c r="HHE39" s="954"/>
      <c r="HHF39" s="954"/>
      <c r="HHG39" s="954"/>
      <c r="HHH39" s="954"/>
      <c r="HHI39" s="954"/>
      <c r="HHJ39" s="954"/>
      <c r="HHK39" s="954"/>
      <c r="HHL39" s="954"/>
      <c r="HHM39" s="954"/>
      <c r="HHN39" s="954"/>
      <c r="HHO39" s="954"/>
      <c r="HHP39" s="954"/>
      <c r="HHQ39" s="954"/>
      <c r="HHR39" s="954"/>
      <c r="HHS39" s="954"/>
      <c r="HHT39" s="954"/>
      <c r="HHU39" s="954"/>
      <c r="HHV39" s="954"/>
      <c r="HHW39" s="954"/>
      <c r="HHX39" s="954"/>
      <c r="HHY39" s="954"/>
      <c r="HHZ39" s="954"/>
      <c r="HIA39" s="954"/>
      <c r="HIB39" s="954"/>
      <c r="HIC39" s="954"/>
      <c r="HID39" s="954"/>
      <c r="HIE39" s="954"/>
      <c r="HIF39" s="954"/>
      <c r="HIG39" s="954"/>
      <c r="HIH39" s="954"/>
      <c r="HII39" s="954"/>
      <c r="HIJ39" s="954"/>
      <c r="HIK39" s="954"/>
      <c r="HIL39" s="954"/>
      <c r="HIM39" s="954"/>
      <c r="HIN39" s="954"/>
      <c r="HIO39" s="954"/>
      <c r="HIP39" s="954"/>
      <c r="HIQ39" s="954"/>
      <c r="HIR39" s="954"/>
      <c r="HIS39" s="954"/>
      <c r="HIT39" s="954"/>
      <c r="HIU39" s="954"/>
      <c r="HIV39" s="954"/>
      <c r="HIW39" s="954"/>
      <c r="HIX39" s="954"/>
      <c r="HIY39" s="954"/>
      <c r="HIZ39" s="954"/>
      <c r="HJA39" s="954"/>
      <c r="HJB39" s="954"/>
      <c r="HJC39" s="954"/>
      <c r="HJD39" s="954"/>
      <c r="HJE39" s="954"/>
      <c r="HJF39" s="954"/>
      <c r="HJG39" s="954"/>
      <c r="HJH39" s="954"/>
      <c r="HJI39" s="954"/>
      <c r="HJJ39" s="954"/>
      <c r="HJK39" s="954"/>
      <c r="HJL39" s="954"/>
      <c r="HJM39" s="954"/>
      <c r="HJN39" s="954"/>
      <c r="HJO39" s="954"/>
      <c r="HJP39" s="954"/>
      <c r="HJQ39" s="954"/>
      <c r="HJR39" s="954"/>
      <c r="HJS39" s="954"/>
      <c r="HJT39" s="954"/>
      <c r="HJU39" s="954"/>
      <c r="HJV39" s="954"/>
      <c r="HJW39" s="954"/>
      <c r="HJX39" s="954"/>
      <c r="HJY39" s="954"/>
      <c r="HJZ39" s="954"/>
      <c r="HKA39" s="954"/>
      <c r="HKB39" s="954"/>
      <c r="HKC39" s="954"/>
      <c r="HKD39" s="954"/>
      <c r="HKE39" s="954"/>
      <c r="HKF39" s="954"/>
      <c r="HKG39" s="954"/>
      <c r="HKH39" s="954"/>
      <c r="HKI39" s="954"/>
      <c r="HKJ39" s="954"/>
      <c r="HKK39" s="954"/>
      <c r="HKL39" s="954"/>
      <c r="HKM39" s="954"/>
      <c r="HKN39" s="954"/>
      <c r="HKO39" s="954"/>
      <c r="HKP39" s="954"/>
      <c r="HKQ39" s="954"/>
      <c r="HKR39" s="954"/>
      <c r="HKS39" s="954"/>
      <c r="HKT39" s="954"/>
      <c r="HKU39" s="954"/>
      <c r="HKV39" s="954"/>
      <c r="HKW39" s="954"/>
      <c r="HKX39" s="954"/>
      <c r="HKY39" s="954"/>
      <c r="HKZ39" s="954"/>
      <c r="HLA39" s="954"/>
      <c r="HLB39" s="954"/>
      <c r="HLC39" s="954"/>
      <c r="HLD39" s="954"/>
      <c r="HLE39" s="954"/>
      <c r="HLF39" s="954"/>
      <c r="HLG39" s="954"/>
      <c r="HLH39" s="954"/>
      <c r="HLI39" s="954"/>
      <c r="HLJ39" s="954"/>
      <c r="HLK39" s="954"/>
      <c r="HLL39" s="954"/>
      <c r="HLM39" s="954"/>
      <c r="HLN39" s="954"/>
      <c r="HLO39" s="954"/>
      <c r="HLP39" s="954"/>
      <c r="HLQ39" s="954"/>
      <c r="HLR39" s="954"/>
      <c r="HLS39" s="954"/>
      <c r="HLT39" s="954"/>
      <c r="HLU39" s="954"/>
      <c r="HLV39" s="954"/>
      <c r="HLW39" s="954"/>
      <c r="HLX39" s="954"/>
      <c r="HLY39" s="954"/>
      <c r="HLZ39" s="954"/>
      <c r="HMA39" s="954"/>
      <c r="HMB39" s="954"/>
      <c r="HMC39" s="954"/>
      <c r="HMD39" s="954"/>
      <c r="HME39" s="954"/>
      <c r="HMF39" s="954"/>
      <c r="HMG39" s="954"/>
      <c r="HMH39" s="954"/>
      <c r="HMI39" s="954"/>
      <c r="HMJ39" s="954"/>
      <c r="HMK39" s="954"/>
      <c r="HML39" s="954"/>
      <c r="HMM39" s="954"/>
      <c r="HMN39" s="954"/>
      <c r="HMO39" s="954"/>
      <c r="HMP39" s="954"/>
      <c r="HMQ39" s="954"/>
      <c r="HMR39" s="954"/>
      <c r="HMS39" s="954"/>
      <c r="HMT39" s="954"/>
      <c r="HMU39" s="954"/>
      <c r="HMV39" s="954"/>
      <c r="HMW39" s="954"/>
      <c r="HMX39" s="954"/>
      <c r="HMY39" s="954"/>
      <c r="HMZ39" s="954"/>
      <c r="HNA39" s="954"/>
      <c r="HNB39" s="954"/>
      <c r="HNC39" s="954"/>
      <c r="HND39" s="954"/>
      <c r="HNE39" s="954"/>
      <c r="HNF39" s="954"/>
      <c r="HNG39" s="954"/>
      <c r="HNH39" s="954"/>
      <c r="HNI39" s="954"/>
      <c r="HNJ39" s="954"/>
      <c r="HNK39" s="954"/>
      <c r="HNL39" s="954"/>
      <c r="HNM39" s="954"/>
      <c r="HNN39" s="954"/>
      <c r="HNO39" s="954"/>
      <c r="HNP39" s="954"/>
      <c r="HNQ39" s="954"/>
      <c r="HNR39" s="954"/>
      <c r="HNS39" s="954"/>
      <c r="HNT39" s="954"/>
      <c r="HNU39" s="954"/>
      <c r="HNV39" s="954"/>
      <c r="HNW39" s="954"/>
      <c r="HNX39" s="954"/>
      <c r="HNY39" s="954"/>
      <c r="HNZ39" s="954"/>
      <c r="HOA39" s="954"/>
      <c r="HOB39" s="954"/>
      <c r="HOC39" s="954"/>
      <c r="HOD39" s="954"/>
      <c r="HOE39" s="954"/>
      <c r="HOF39" s="954"/>
      <c r="HOG39" s="954"/>
      <c r="HOH39" s="954"/>
      <c r="HOI39" s="954"/>
      <c r="HOJ39" s="954"/>
      <c r="HOK39" s="954"/>
      <c r="HOL39" s="954"/>
      <c r="HOM39" s="954"/>
      <c r="HON39" s="954"/>
      <c r="HOO39" s="954"/>
      <c r="HOP39" s="954"/>
      <c r="HOQ39" s="954"/>
      <c r="HOR39" s="954"/>
      <c r="HOS39" s="954"/>
      <c r="HOT39" s="954"/>
      <c r="HOU39" s="954"/>
      <c r="HOV39" s="954"/>
      <c r="HOW39" s="954"/>
      <c r="HOX39" s="954"/>
      <c r="HOY39" s="954"/>
      <c r="HOZ39" s="954"/>
      <c r="HPA39" s="954"/>
      <c r="HPB39" s="954"/>
      <c r="HPC39" s="954"/>
      <c r="HPD39" s="954"/>
      <c r="HPE39" s="954"/>
      <c r="HPF39" s="954"/>
      <c r="HPG39" s="954"/>
      <c r="HPH39" s="954"/>
      <c r="HPI39" s="954"/>
      <c r="HPJ39" s="954"/>
      <c r="HPK39" s="954"/>
      <c r="HPL39" s="954"/>
      <c r="HPM39" s="954"/>
      <c r="HPN39" s="954"/>
      <c r="HPO39" s="954"/>
      <c r="HPP39" s="954"/>
      <c r="HPQ39" s="954"/>
      <c r="HPR39" s="954"/>
      <c r="HPS39" s="954"/>
      <c r="HPT39" s="954"/>
      <c r="HPU39" s="954"/>
      <c r="HPV39" s="954"/>
      <c r="HPW39" s="954"/>
      <c r="HPX39" s="954"/>
      <c r="HPY39" s="954"/>
      <c r="HPZ39" s="954"/>
      <c r="HQA39" s="954"/>
      <c r="HQB39" s="954"/>
      <c r="HQC39" s="954"/>
      <c r="HQD39" s="954"/>
      <c r="HQE39" s="954"/>
      <c r="HQF39" s="954"/>
      <c r="HQG39" s="954"/>
      <c r="HQH39" s="954"/>
      <c r="HQI39" s="954"/>
      <c r="HQJ39" s="954"/>
      <c r="HQK39" s="954"/>
      <c r="HQL39" s="954"/>
      <c r="HQM39" s="954"/>
      <c r="HQN39" s="954"/>
      <c r="HQO39" s="954"/>
      <c r="HQP39" s="954"/>
      <c r="HQQ39" s="954"/>
      <c r="HQR39" s="954"/>
      <c r="HQS39" s="954"/>
      <c r="HQT39" s="954"/>
      <c r="HQU39" s="954"/>
      <c r="HQV39" s="954"/>
      <c r="HQW39" s="954"/>
      <c r="HQX39" s="954"/>
      <c r="HQY39" s="954"/>
      <c r="HQZ39" s="954"/>
      <c r="HRA39" s="954"/>
      <c r="HRB39" s="954"/>
      <c r="HRC39" s="954"/>
      <c r="HRD39" s="954"/>
      <c r="HRE39" s="954"/>
      <c r="HRF39" s="954"/>
      <c r="HRG39" s="954"/>
      <c r="HRH39" s="954"/>
      <c r="HRI39" s="954"/>
      <c r="HRJ39" s="954"/>
      <c r="HRK39" s="954"/>
      <c r="HRL39" s="954"/>
      <c r="HRM39" s="954"/>
      <c r="HRN39" s="954"/>
      <c r="HRO39" s="954"/>
      <c r="HRP39" s="954"/>
      <c r="HRQ39" s="954"/>
      <c r="HRR39" s="954"/>
      <c r="HRS39" s="954"/>
      <c r="HRT39" s="954"/>
      <c r="HRU39" s="954"/>
      <c r="HRV39" s="954"/>
      <c r="HRW39" s="954"/>
      <c r="HRX39" s="954"/>
      <c r="HRY39" s="954"/>
      <c r="HRZ39" s="954"/>
      <c r="HSA39" s="954"/>
      <c r="HSB39" s="954"/>
      <c r="HSC39" s="954"/>
      <c r="HSD39" s="954"/>
      <c r="HSE39" s="954"/>
      <c r="HSF39" s="954"/>
      <c r="HSG39" s="954"/>
      <c r="HSH39" s="954"/>
      <c r="HSI39" s="954"/>
      <c r="HSJ39" s="954"/>
      <c r="HSK39" s="954"/>
      <c r="HSL39" s="954"/>
      <c r="HSM39" s="954"/>
      <c r="HSN39" s="954"/>
      <c r="HSO39" s="954"/>
      <c r="HSP39" s="954"/>
      <c r="HSQ39" s="954"/>
      <c r="HSR39" s="954"/>
      <c r="HSS39" s="954"/>
      <c r="HST39" s="954"/>
      <c r="HSU39" s="954"/>
      <c r="HSV39" s="954"/>
      <c r="HSW39" s="954"/>
      <c r="HSX39" s="954"/>
      <c r="HSY39" s="954"/>
      <c r="HSZ39" s="954"/>
      <c r="HTA39" s="954"/>
      <c r="HTB39" s="954"/>
      <c r="HTC39" s="954"/>
      <c r="HTD39" s="954"/>
      <c r="HTE39" s="954"/>
      <c r="HTF39" s="954"/>
      <c r="HTG39" s="954"/>
      <c r="HTH39" s="954"/>
      <c r="HTI39" s="954"/>
      <c r="HTJ39" s="954"/>
      <c r="HTK39" s="954"/>
      <c r="HTL39" s="954"/>
      <c r="HTM39" s="954"/>
      <c r="HTN39" s="954"/>
      <c r="HTO39" s="954"/>
      <c r="HTP39" s="954"/>
      <c r="HTQ39" s="954"/>
      <c r="HTR39" s="954"/>
      <c r="HTS39" s="954"/>
      <c r="HTT39" s="954"/>
      <c r="HTU39" s="954"/>
      <c r="HTV39" s="954"/>
      <c r="HTW39" s="954"/>
      <c r="HTX39" s="954"/>
      <c r="HTY39" s="954"/>
      <c r="HTZ39" s="954"/>
      <c r="HUA39" s="954"/>
      <c r="HUB39" s="954"/>
      <c r="HUC39" s="954"/>
      <c r="HUD39" s="954"/>
      <c r="HUE39" s="954"/>
      <c r="HUF39" s="954"/>
      <c r="HUG39" s="954"/>
      <c r="HUH39" s="954"/>
      <c r="HUI39" s="954"/>
      <c r="HUJ39" s="954"/>
      <c r="HUK39" s="954"/>
      <c r="HUL39" s="954"/>
      <c r="HUM39" s="954"/>
      <c r="HUN39" s="954"/>
      <c r="HUO39" s="954"/>
      <c r="HUP39" s="954"/>
      <c r="HUQ39" s="954"/>
      <c r="HUR39" s="954"/>
      <c r="HUS39" s="954"/>
      <c r="HUT39" s="954"/>
      <c r="HUU39" s="954"/>
      <c r="HUV39" s="954"/>
      <c r="HUW39" s="954"/>
      <c r="HUX39" s="954"/>
      <c r="HUY39" s="954"/>
      <c r="HUZ39" s="954"/>
      <c r="HVA39" s="954"/>
      <c r="HVB39" s="954"/>
      <c r="HVC39" s="954"/>
      <c r="HVD39" s="954"/>
      <c r="HVE39" s="954"/>
      <c r="HVF39" s="954"/>
      <c r="HVG39" s="954"/>
      <c r="HVH39" s="954"/>
      <c r="HVI39" s="954"/>
      <c r="HVJ39" s="954"/>
      <c r="HVK39" s="954"/>
      <c r="HVL39" s="954"/>
      <c r="HVM39" s="954"/>
      <c r="HVN39" s="954"/>
      <c r="HVO39" s="954"/>
      <c r="HVP39" s="954"/>
      <c r="HVQ39" s="954"/>
      <c r="HVR39" s="954"/>
      <c r="HVS39" s="954"/>
      <c r="HVT39" s="954"/>
      <c r="HVU39" s="954"/>
      <c r="HVV39" s="954"/>
      <c r="HVW39" s="954"/>
      <c r="HVX39" s="954"/>
      <c r="HVY39" s="954"/>
      <c r="HVZ39" s="954"/>
      <c r="HWA39" s="954"/>
      <c r="HWB39" s="954"/>
      <c r="HWC39" s="954"/>
      <c r="HWD39" s="954"/>
      <c r="HWE39" s="954"/>
      <c r="HWF39" s="954"/>
      <c r="HWG39" s="954"/>
      <c r="HWH39" s="954"/>
      <c r="HWI39" s="954"/>
      <c r="HWJ39" s="954"/>
      <c r="HWK39" s="954"/>
      <c r="HWL39" s="954"/>
      <c r="HWM39" s="954"/>
      <c r="HWN39" s="954"/>
      <c r="HWO39" s="954"/>
      <c r="HWP39" s="954"/>
      <c r="HWQ39" s="954"/>
      <c r="HWR39" s="954"/>
      <c r="HWS39" s="954"/>
      <c r="HWT39" s="954"/>
      <c r="HWU39" s="954"/>
      <c r="HWV39" s="954"/>
      <c r="HWW39" s="954"/>
      <c r="HWX39" s="954"/>
      <c r="HWY39" s="954"/>
      <c r="HWZ39" s="954"/>
      <c r="HXA39" s="954"/>
      <c r="HXB39" s="954"/>
      <c r="HXC39" s="954"/>
      <c r="HXD39" s="954"/>
      <c r="HXE39" s="954"/>
      <c r="HXF39" s="954"/>
      <c r="HXG39" s="954"/>
      <c r="HXH39" s="954"/>
      <c r="HXI39" s="954"/>
      <c r="HXJ39" s="954"/>
      <c r="HXK39" s="954"/>
      <c r="HXL39" s="954"/>
      <c r="HXM39" s="954"/>
      <c r="HXN39" s="954"/>
      <c r="HXO39" s="954"/>
      <c r="HXP39" s="954"/>
      <c r="HXQ39" s="954"/>
      <c r="HXR39" s="954"/>
      <c r="HXS39" s="954"/>
      <c r="HXT39" s="954"/>
      <c r="HXU39" s="954"/>
      <c r="HXV39" s="954"/>
      <c r="HXW39" s="954"/>
      <c r="HXX39" s="954"/>
      <c r="HXY39" s="954"/>
      <c r="HXZ39" s="954"/>
      <c r="HYA39" s="954"/>
      <c r="HYB39" s="954"/>
      <c r="HYC39" s="954"/>
      <c r="HYD39" s="954"/>
      <c r="HYE39" s="954"/>
      <c r="HYF39" s="954"/>
      <c r="HYG39" s="954"/>
      <c r="HYH39" s="954"/>
      <c r="HYI39" s="954"/>
      <c r="HYJ39" s="954"/>
      <c r="HYK39" s="954"/>
      <c r="HYL39" s="954"/>
      <c r="HYM39" s="954"/>
      <c r="HYN39" s="954"/>
      <c r="HYO39" s="954"/>
      <c r="HYP39" s="954"/>
      <c r="HYQ39" s="954"/>
      <c r="HYR39" s="954"/>
      <c r="HYS39" s="954"/>
      <c r="HYT39" s="954"/>
      <c r="HYU39" s="954"/>
      <c r="HYV39" s="954"/>
      <c r="HYW39" s="954"/>
      <c r="HYX39" s="954"/>
      <c r="HYY39" s="954"/>
      <c r="HYZ39" s="954"/>
      <c r="HZA39" s="954"/>
      <c r="HZB39" s="954"/>
      <c r="HZC39" s="954"/>
      <c r="HZD39" s="954"/>
      <c r="HZE39" s="954"/>
      <c r="HZF39" s="954"/>
      <c r="HZG39" s="954"/>
      <c r="HZH39" s="954"/>
      <c r="HZI39" s="954"/>
      <c r="HZJ39" s="954"/>
      <c r="HZK39" s="954"/>
      <c r="HZL39" s="954"/>
      <c r="HZM39" s="954"/>
      <c r="HZN39" s="954"/>
      <c r="HZO39" s="954"/>
      <c r="HZP39" s="954"/>
      <c r="HZQ39" s="954"/>
      <c r="HZR39" s="954"/>
      <c r="HZS39" s="954"/>
      <c r="HZT39" s="954"/>
      <c r="HZU39" s="954"/>
      <c r="HZV39" s="954"/>
      <c r="HZW39" s="954"/>
      <c r="HZX39" s="954"/>
      <c r="HZY39" s="954"/>
      <c r="HZZ39" s="954"/>
      <c r="IAA39" s="954"/>
      <c r="IAB39" s="954"/>
      <c r="IAC39" s="954"/>
      <c r="IAD39" s="954"/>
      <c r="IAE39" s="954"/>
      <c r="IAF39" s="954"/>
      <c r="IAG39" s="954"/>
      <c r="IAH39" s="954"/>
      <c r="IAI39" s="954"/>
      <c r="IAJ39" s="954"/>
      <c r="IAK39" s="954"/>
      <c r="IAL39" s="954"/>
      <c r="IAM39" s="954"/>
      <c r="IAN39" s="954"/>
      <c r="IAO39" s="954"/>
      <c r="IAP39" s="954"/>
      <c r="IAQ39" s="954"/>
      <c r="IAR39" s="954"/>
      <c r="IAS39" s="954"/>
      <c r="IAT39" s="954"/>
      <c r="IAU39" s="954"/>
      <c r="IAV39" s="954"/>
      <c r="IAW39" s="954"/>
      <c r="IAX39" s="954"/>
      <c r="IAY39" s="954"/>
      <c r="IAZ39" s="954"/>
      <c r="IBA39" s="954"/>
      <c r="IBB39" s="954"/>
      <c r="IBC39" s="954"/>
      <c r="IBD39" s="954"/>
      <c r="IBE39" s="954"/>
      <c r="IBF39" s="954"/>
      <c r="IBG39" s="954"/>
      <c r="IBH39" s="954"/>
      <c r="IBI39" s="954"/>
      <c r="IBJ39" s="954"/>
      <c r="IBK39" s="954"/>
      <c r="IBL39" s="954"/>
      <c r="IBM39" s="954"/>
      <c r="IBN39" s="954"/>
      <c r="IBO39" s="954"/>
      <c r="IBP39" s="954"/>
      <c r="IBQ39" s="954"/>
      <c r="IBR39" s="954"/>
      <c r="IBS39" s="954"/>
      <c r="IBT39" s="954"/>
      <c r="IBU39" s="954"/>
      <c r="IBV39" s="954"/>
      <c r="IBW39" s="954"/>
      <c r="IBX39" s="954"/>
      <c r="IBY39" s="954"/>
      <c r="IBZ39" s="954"/>
      <c r="ICA39" s="954"/>
      <c r="ICB39" s="954"/>
      <c r="ICC39" s="954"/>
      <c r="ICD39" s="954"/>
      <c r="ICE39" s="954"/>
      <c r="ICF39" s="954"/>
      <c r="ICG39" s="954"/>
      <c r="ICH39" s="954"/>
      <c r="ICI39" s="954"/>
      <c r="ICJ39" s="954"/>
      <c r="ICK39" s="954"/>
      <c r="ICL39" s="954"/>
      <c r="ICM39" s="954"/>
      <c r="ICN39" s="954"/>
      <c r="ICO39" s="954"/>
      <c r="ICP39" s="954"/>
      <c r="ICQ39" s="954"/>
      <c r="ICR39" s="954"/>
      <c r="ICS39" s="954"/>
      <c r="ICT39" s="954"/>
      <c r="ICU39" s="954"/>
      <c r="ICV39" s="954"/>
      <c r="ICW39" s="954"/>
      <c r="ICX39" s="954"/>
      <c r="ICY39" s="954"/>
      <c r="ICZ39" s="954"/>
      <c r="IDA39" s="954"/>
      <c r="IDB39" s="954"/>
      <c r="IDC39" s="954"/>
      <c r="IDD39" s="954"/>
      <c r="IDE39" s="954"/>
      <c r="IDF39" s="954"/>
      <c r="IDG39" s="954"/>
      <c r="IDH39" s="954"/>
      <c r="IDI39" s="954"/>
      <c r="IDJ39" s="954"/>
      <c r="IDK39" s="954"/>
      <c r="IDL39" s="954"/>
      <c r="IDM39" s="954"/>
      <c r="IDN39" s="954"/>
      <c r="IDO39" s="954"/>
      <c r="IDP39" s="954"/>
      <c r="IDQ39" s="954"/>
      <c r="IDR39" s="954"/>
      <c r="IDS39" s="954"/>
      <c r="IDT39" s="954"/>
      <c r="IDU39" s="954"/>
      <c r="IDV39" s="954"/>
      <c r="IDW39" s="954"/>
      <c r="IDX39" s="954"/>
      <c r="IDY39" s="954"/>
      <c r="IDZ39" s="954"/>
      <c r="IEA39" s="954"/>
      <c r="IEB39" s="954"/>
      <c r="IEC39" s="954"/>
      <c r="IED39" s="954"/>
      <c r="IEE39" s="954"/>
      <c r="IEF39" s="954"/>
      <c r="IEG39" s="954"/>
      <c r="IEH39" s="954"/>
      <c r="IEI39" s="954"/>
      <c r="IEJ39" s="954"/>
      <c r="IEK39" s="954"/>
      <c r="IEL39" s="954"/>
      <c r="IEM39" s="954"/>
      <c r="IEN39" s="954"/>
      <c r="IEO39" s="954"/>
      <c r="IEP39" s="954"/>
      <c r="IEQ39" s="954"/>
      <c r="IER39" s="954"/>
      <c r="IES39" s="954"/>
      <c r="IET39" s="954"/>
      <c r="IEU39" s="954"/>
      <c r="IEV39" s="954"/>
      <c r="IEW39" s="954"/>
      <c r="IEX39" s="954"/>
      <c r="IEY39" s="954"/>
      <c r="IEZ39" s="954"/>
      <c r="IFA39" s="954"/>
      <c r="IFB39" s="954"/>
      <c r="IFC39" s="954"/>
      <c r="IFD39" s="954"/>
      <c r="IFE39" s="954"/>
      <c r="IFF39" s="954"/>
      <c r="IFG39" s="954"/>
      <c r="IFH39" s="954"/>
      <c r="IFI39" s="954"/>
      <c r="IFJ39" s="954"/>
      <c r="IFK39" s="954"/>
      <c r="IFL39" s="954"/>
      <c r="IFM39" s="954"/>
      <c r="IFN39" s="954"/>
      <c r="IFO39" s="954"/>
      <c r="IFP39" s="954"/>
      <c r="IFQ39" s="954"/>
      <c r="IFR39" s="954"/>
      <c r="IFS39" s="954"/>
      <c r="IFT39" s="954"/>
      <c r="IFU39" s="954"/>
      <c r="IFV39" s="954"/>
      <c r="IFW39" s="954"/>
      <c r="IFX39" s="954"/>
      <c r="IFY39" s="954"/>
      <c r="IFZ39" s="954"/>
      <c r="IGA39" s="954"/>
      <c r="IGB39" s="954"/>
      <c r="IGC39" s="954"/>
      <c r="IGD39" s="954"/>
      <c r="IGE39" s="954"/>
      <c r="IGF39" s="954"/>
      <c r="IGG39" s="954"/>
      <c r="IGH39" s="954"/>
      <c r="IGI39" s="954"/>
      <c r="IGJ39" s="954"/>
      <c r="IGK39" s="954"/>
      <c r="IGL39" s="954"/>
      <c r="IGM39" s="954"/>
      <c r="IGN39" s="954"/>
      <c r="IGO39" s="954"/>
      <c r="IGP39" s="954"/>
      <c r="IGQ39" s="954"/>
      <c r="IGR39" s="954"/>
      <c r="IGS39" s="954"/>
      <c r="IGT39" s="954"/>
      <c r="IGU39" s="954"/>
      <c r="IGV39" s="954"/>
      <c r="IGW39" s="954"/>
      <c r="IGX39" s="954"/>
      <c r="IGY39" s="954"/>
      <c r="IGZ39" s="954"/>
      <c r="IHA39" s="954"/>
      <c r="IHB39" s="954"/>
      <c r="IHC39" s="954"/>
      <c r="IHD39" s="954"/>
      <c r="IHE39" s="954"/>
      <c r="IHF39" s="954"/>
      <c r="IHG39" s="954"/>
      <c r="IHH39" s="954"/>
      <c r="IHI39" s="954"/>
      <c r="IHJ39" s="954"/>
      <c r="IHK39" s="954"/>
      <c r="IHL39" s="954"/>
      <c r="IHM39" s="954"/>
      <c r="IHN39" s="954"/>
      <c r="IHO39" s="954"/>
      <c r="IHP39" s="954"/>
      <c r="IHQ39" s="954"/>
      <c r="IHR39" s="954"/>
      <c r="IHS39" s="954"/>
      <c r="IHT39" s="954"/>
      <c r="IHU39" s="954"/>
      <c r="IHV39" s="954"/>
      <c r="IHW39" s="954"/>
      <c r="IHX39" s="954"/>
      <c r="IHY39" s="954"/>
      <c r="IHZ39" s="954"/>
      <c r="IIA39" s="954"/>
      <c r="IIB39" s="954"/>
      <c r="IIC39" s="954"/>
      <c r="IID39" s="954"/>
      <c r="IIE39" s="954"/>
      <c r="IIF39" s="954"/>
      <c r="IIG39" s="954"/>
      <c r="IIH39" s="954"/>
      <c r="III39" s="954"/>
      <c r="IIJ39" s="954"/>
      <c r="IIK39" s="954"/>
      <c r="IIL39" s="954"/>
      <c r="IIM39" s="954"/>
      <c r="IIN39" s="954"/>
      <c r="IIO39" s="954"/>
      <c r="IIP39" s="954"/>
      <c r="IIQ39" s="954"/>
      <c r="IIR39" s="954"/>
      <c r="IIS39" s="954"/>
      <c r="IIT39" s="954"/>
      <c r="IIU39" s="954"/>
      <c r="IIV39" s="954"/>
      <c r="IIW39" s="954"/>
      <c r="IIX39" s="954"/>
      <c r="IIY39" s="954"/>
      <c r="IIZ39" s="954"/>
      <c r="IJA39" s="954"/>
      <c r="IJB39" s="954"/>
      <c r="IJC39" s="954"/>
      <c r="IJD39" s="954"/>
      <c r="IJE39" s="954"/>
      <c r="IJF39" s="954"/>
      <c r="IJG39" s="954"/>
      <c r="IJH39" s="954"/>
      <c r="IJI39" s="954"/>
      <c r="IJJ39" s="954"/>
      <c r="IJK39" s="954"/>
      <c r="IJL39" s="954"/>
      <c r="IJM39" s="954"/>
      <c r="IJN39" s="954"/>
      <c r="IJO39" s="954"/>
      <c r="IJP39" s="954"/>
      <c r="IJQ39" s="954"/>
      <c r="IJR39" s="954"/>
      <c r="IJS39" s="954"/>
      <c r="IJT39" s="954"/>
      <c r="IJU39" s="954"/>
      <c r="IJV39" s="954"/>
      <c r="IJW39" s="954"/>
      <c r="IJX39" s="954"/>
      <c r="IJY39" s="954"/>
      <c r="IJZ39" s="954"/>
      <c r="IKA39" s="954"/>
      <c r="IKB39" s="954"/>
      <c r="IKC39" s="954"/>
      <c r="IKD39" s="954"/>
      <c r="IKE39" s="954"/>
      <c r="IKF39" s="954"/>
      <c r="IKG39" s="954"/>
      <c r="IKH39" s="954"/>
      <c r="IKI39" s="954"/>
      <c r="IKJ39" s="954"/>
      <c r="IKK39" s="954"/>
      <c r="IKL39" s="954"/>
      <c r="IKM39" s="954"/>
      <c r="IKN39" s="954"/>
      <c r="IKO39" s="954"/>
      <c r="IKP39" s="954"/>
      <c r="IKQ39" s="954"/>
      <c r="IKR39" s="954"/>
      <c r="IKS39" s="954"/>
      <c r="IKT39" s="954"/>
      <c r="IKU39" s="954"/>
      <c r="IKV39" s="954"/>
      <c r="IKW39" s="954"/>
      <c r="IKX39" s="954"/>
      <c r="IKY39" s="954"/>
      <c r="IKZ39" s="954"/>
      <c r="ILA39" s="954"/>
      <c r="ILB39" s="954"/>
      <c r="ILC39" s="954"/>
      <c r="ILD39" s="954"/>
      <c r="ILE39" s="954"/>
      <c r="ILF39" s="954"/>
      <c r="ILG39" s="954"/>
      <c r="ILH39" s="954"/>
      <c r="ILI39" s="954"/>
      <c r="ILJ39" s="954"/>
      <c r="ILK39" s="954"/>
      <c r="ILL39" s="954"/>
      <c r="ILM39" s="954"/>
      <c r="ILN39" s="954"/>
      <c r="ILO39" s="954"/>
      <c r="ILP39" s="954"/>
      <c r="ILQ39" s="954"/>
      <c r="ILR39" s="954"/>
      <c r="ILS39" s="954"/>
      <c r="ILT39" s="954"/>
      <c r="ILU39" s="954"/>
      <c r="ILV39" s="954"/>
      <c r="ILW39" s="954"/>
      <c r="ILX39" s="954"/>
      <c r="ILY39" s="954"/>
      <c r="ILZ39" s="954"/>
      <c r="IMA39" s="954"/>
      <c r="IMB39" s="954"/>
      <c r="IMC39" s="954"/>
      <c r="IMD39" s="954"/>
      <c r="IME39" s="954"/>
      <c r="IMF39" s="954"/>
      <c r="IMG39" s="954"/>
      <c r="IMH39" s="954"/>
      <c r="IMI39" s="954"/>
      <c r="IMJ39" s="954"/>
      <c r="IMK39" s="954"/>
      <c r="IML39" s="954"/>
      <c r="IMM39" s="954"/>
      <c r="IMN39" s="954"/>
      <c r="IMO39" s="954"/>
      <c r="IMP39" s="954"/>
      <c r="IMQ39" s="954"/>
      <c r="IMR39" s="954"/>
      <c r="IMS39" s="954"/>
      <c r="IMT39" s="954"/>
      <c r="IMU39" s="954"/>
      <c r="IMV39" s="954"/>
      <c r="IMW39" s="954"/>
      <c r="IMX39" s="954"/>
      <c r="IMY39" s="954"/>
      <c r="IMZ39" s="954"/>
      <c r="INA39" s="954"/>
      <c r="INB39" s="954"/>
      <c r="INC39" s="954"/>
      <c r="IND39" s="954"/>
      <c r="INE39" s="954"/>
      <c r="INF39" s="954"/>
      <c r="ING39" s="954"/>
      <c r="INH39" s="954"/>
      <c r="INI39" s="954"/>
      <c r="INJ39" s="954"/>
      <c r="INK39" s="954"/>
      <c r="INL39" s="954"/>
      <c r="INM39" s="954"/>
      <c r="INN39" s="954"/>
      <c r="INO39" s="954"/>
      <c r="INP39" s="954"/>
      <c r="INQ39" s="954"/>
      <c r="INR39" s="954"/>
      <c r="INS39" s="954"/>
      <c r="INT39" s="954"/>
      <c r="INU39" s="954"/>
      <c r="INV39" s="954"/>
      <c r="INW39" s="954"/>
      <c r="INX39" s="954"/>
      <c r="INY39" s="954"/>
      <c r="INZ39" s="954"/>
      <c r="IOA39" s="954"/>
      <c r="IOB39" s="954"/>
      <c r="IOC39" s="954"/>
      <c r="IOD39" s="954"/>
      <c r="IOE39" s="954"/>
      <c r="IOF39" s="954"/>
      <c r="IOG39" s="954"/>
      <c r="IOH39" s="954"/>
      <c r="IOI39" s="954"/>
      <c r="IOJ39" s="954"/>
      <c r="IOK39" s="954"/>
      <c r="IOL39" s="954"/>
      <c r="IOM39" s="954"/>
      <c r="ION39" s="954"/>
      <c r="IOO39" s="954"/>
      <c r="IOP39" s="954"/>
      <c r="IOQ39" s="954"/>
      <c r="IOR39" s="954"/>
      <c r="IOS39" s="954"/>
      <c r="IOT39" s="954"/>
      <c r="IOU39" s="954"/>
      <c r="IOV39" s="954"/>
      <c r="IOW39" s="954"/>
      <c r="IOX39" s="954"/>
      <c r="IOY39" s="954"/>
      <c r="IOZ39" s="954"/>
      <c r="IPA39" s="954"/>
      <c r="IPB39" s="954"/>
      <c r="IPC39" s="954"/>
      <c r="IPD39" s="954"/>
      <c r="IPE39" s="954"/>
      <c r="IPF39" s="954"/>
      <c r="IPG39" s="954"/>
      <c r="IPH39" s="954"/>
      <c r="IPI39" s="954"/>
      <c r="IPJ39" s="954"/>
      <c r="IPK39" s="954"/>
      <c r="IPL39" s="954"/>
      <c r="IPM39" s="954"/>
      <c r="IPN39" s="954"/>
      <c r="IPO39" s="954"/>
      <c r="IPP39" s="954"/>
      <c r="IPQ39" s="954"/>
      <c r="IPR39" s="954"/>
      <c r="IPS39" s="954"/>
      <c r="IPT39" s="954"/>
      <c r="IPU39" s="954"/>
      <c r="IPV39" s="954"/>
      <c r="IPW39" s="954"/>
      <c r="IPX39" s="954"/>
      <c r="IPY39" s="954"/>
      <c r="IPZ39" s="954"/>
      <c r="IQA39" s="954"/>
      <c r="IQB39" s="954"/>
      <c r="IQC39" s="954"/>
      <c r="IQD39" s="954"/>
      <c r="IQE39" s="954"/>
      <c r="IQF39" s="954"/>
      <c r="IQG39" s="954"/>
      <c r="IQH39" s="954"/>
      <c r="IQI39" s="954"/>
      <c r="IQJ39" s="954"/>
      <c r="IQK39" s="954"/>
      <c r="IQL39" s="954"/>
      <c r="IQM39" s="954"/>
      <c r="IQN39" s="954"/>
      <c r="IQO39" s="954"/>
      <c r="IQP39" s="954"/>
      <c r="IQQ39" s="954"/>
      <c r="IQR39" s="954"/>
      <c r="IQS39" s="954"/>
      <c r="IQT39" s="954"/>
      <c r="IQU39" s="954"/>
      <c r="IQV39" s="954"/>
      <c r="IQW39" s="954"/>
      <c r="IQX39" s="954"/>
      <c r="IQY39" s="954"/>
      <c r="IQZ39" s="954"/>
      <c r="IRA39" s="954"/>
      <c r="IRB39" s="954"/>
      <c r="IRC39" s="954"/>
      <c r="IRD39" s="954"/>
      <c r="IRE39" s="954"/>
      <c r="IRF39" s="954"/>
      <c r="IRG39" s="954"/>
      <c r="IRH39" s="954"/>
      <c r="IRI39" s="954"/>
      <c r="IRJ39" s="954"/>
      <c r="IRK39" s="954"/>
      <c r="IRL39" s="954"/>
      <c r="IRM39" s="954"/>
      <c r="IRN39" s="954"/>
      <c r="IRO39" s="954"/>
      <c r="IRP39" s="954"/>
      <c r="IRQ39" s="954"/>
      <c r="IRR39" s="954"/>
      <c r="IRS39" s="954"/>
      <c r="IRT39" s="954"/>
      <c r="IRU39" s="954"/>
      <c r="IRV39" s="954"/>
      <c r="IRW39" s="954"/>
      <c r="IRX39" s="954"/>
      <c r="IRY39" s="954"/>
      <c r="IRZ39" s="954"/>
      <c r="ISA39" s="954"/>
      <c r="ISB39" s="954"/>
      <c r="ISC39" s="954"/>
      <c r="ISD39" s="954"/>
      <c r="ISE39" s="954"/>
      <c r="ISF39" s="954"/>
      <c r="ISG39" s="954"/>
      <c r="ISH39" s="954"/>
      <c r="ISI39" s="954"/>
      <c r="ISJ39" s="954"/>
      <c r="ISK39" s="954"/>
      <c r="ISL39" s="954"/>
      <c r="ISM39" s="954"/>
      <c r="ISN39" s="954"/>
      <c r="ISO39" s="954"/>
      <c r="ISP39" s="954"/>
      <c r="ISQ39" s="954"/>
      <c r="ISR39" s="954"/>
      <c r="ISS39" s="954"/>
      <c r="IST39" s="954"/>
      <c r="ISU39" s="954"/>
      <c r="ISV39" s="954"/>
      <c r="ISW39" s="954"/>
      <c r="ISX39" s="954"/>
      <c r="ISY39" s="954"/>
      <c r="ISZ39" s="954"/>
      <c r="ITA39" s="954"/>
      <c r="ITB39" s="954"/>
      <c r="ITC39" s="954"/>
      <c r="ITD39" s="954"/>
      <c r="ITE39" s="954"/>
      <c r="ITF39" s="954"/>
      <c r="ITG39" s="954"/>
      <c r="ITH39" s="954"/>
      <c r="ITI39" s="954"/>
      <c r="ITJ39" s="954"/>
      <c r="ITK39" s="954"/>
      <c r="ITL39" s="954"/>
      <c r="ITM39" s="954"/>
      <c r="ITN39" s="954"/>
      <c r="ITO39" s="954"/>
      <c r="ITP39" s="954"/>
      <c r="ITQ39" s="954"/>
      <c r="ITR39" s="954"/>
      <c r="ITS39" s="954"/>
      <c r="ITT39" s="954"/>
      <c r="ITU39" s="954"/>
      <c r="ITV39" s="954"/>
      <c r="ITW39" s="954"/>
      <c r="ITX39" s="954"/>
      <c r="ITY39" s="954"/>
      <c r="ITZ39" s="954"/>
      <c r="IUA39" s="954"/>
      <c r="IUB39" s="954"/>
      <c r="IUC39" s="954"/>
      <c r="IUD39" s="954"/>
      <c r="IUE39" s="954"/>
      <c r="IUF39" s="954"/>
      <c r="IUG39" s="954"/>
      <c r="IUH39" s="954"/>
      <c r="IUI39" s="954"/>
      <c r="IUJ39" s="954"/>
      <c r="IUK39" s="954"/>
      <c r="IUL39" s="954"/>
      <c r="IUM39" s="954"/>
      <c r="IUN39" s="954"/>
      <c r="IUO39" s="954"/>
      <c r="IUP39" s="954"/>
      <c r="IUQ39" s="954"/>
      <c r="IUR39" s="954"/>
      <c r="IUS39" s="954"/>
      <c r="IUT39" s="954"/>
      <c r="IUU39" s="954"/>
      <c r="IUV39" s="954"/>
      <c r="IUW39" s="954"/>
      <c r="IUX39" s="954"/>
      <c r="IUY39" s="954"/>
      <c r="IUZ39" s="954"/>
      <c r="IVA39" s="954"/>
      <c r="IVB39" s="954"/>
      <c r="IVC39" s="954"/>
      <c r="IVD39" s="954"/>
      <c r="IVE39" s="954"/>
      <c r="IVF39" s="954"/>
      <c r="IVG39" s="954"/>
      <c r="IVH39" s="954"/>
      <c r="IVI39" s="954"/>
      <c r="IVJ39" s="954"/>
      <c r="IVK39" s="954"/>
      <c r="IVL39" s="954"/>
      <c r="IVM39" s="954"/>
      <c r="IVN39" s="954"/>
      <c r="IVO39" s="954"/>
      <c r="IVP39" s="954"/>
      <c r="IVQ39" s="954"/>
      <c r="IVR39" s="954"/>
      <c r="IVS39" s="954"/>
      <c r="IVT39" s="954"/>
      <c r="IVU39" s="954"/>
      <c r="IVV39" s="954"/>
      <c r="IVW39" s="954"/>
      <c r="IVX39" s="954"/>
      <c r="IVY39" s="954"/>
      <c r="IVZ39" s="954"/>
      <c r="IWA39" s="954"/>
      <c r="IWB39" s="954"/>
      <c r="IWC39" s="954"/>
      <c r="IWD39" s="954"/>
      <c r="IWE39" s="954"/>
      <c r="IWF39" s="954"/>
      <c r="IWG39" s="954"/>
      <c r="IWH39" s="954"/>
      <c r="IWI39" s="954"/>
      <c r="IWJ39" s="954"/>
      <c r="IWK39" s="954"/>
      <c r="IWL39" s="954"/>
      <c r="IWM39" s="954"/>
      <c r="IWN39" s="954"/>
      <c r="IWO39" s="954"/>
      <c r="IWP39" s="954"/>
      <c r="IWQ39" s="954"/>
      <c r="IWR39" s="954"/>
      <c r="IWS39" s="954"/>
      <c r="IWT39" s="954"/>
      <c r="IWU39" s="954"/>
      <c r="IWV39" s="954"/>
      <c r="IWW39" s="954"/>
      <c r="IWX39" s="954"/>
      <c r="IWY39" s="954"/>
      <c r="IWZ39" s="954"/>
      <c r="IXA39" s="954"/>
      <c r="IXB39" s="954"/>
      <c r="IXC39" s="954"/>
      <c r="IXD39" s="954"/>
      <c r="IXE39" s="954"/>
      <c r="IXF39" s="954"/>
      <c r="IXG39" s="954"/>
      <c r="IXH39" s="954"/>
      <c r="IXI39" s="954"/>
      <c r="IXJ39" s="954"/>
      <c r="IXK39" s="954"/>
      <c r="IXL39" s="954"/>
      <c r="IXM39" s="954"/>
      <c r="IXN39" s="954"/>
      <c r="IXO39" s="954"/>
      <c r="IXP39" s="954"/>
      <c r="IXQ39" s="954"/>
      <c r="IXR39" s="954"/>
      <c r="IXS39" s="954"/>
      <c r="IXT39" s="954"/>
      <c r="IXU39" s="954"/>
      <c r="IXV39" s="954"/>
      <c r="IXW39" s="954"/>
      <c r="IXX39" s="954"/>
      <c r="IXY39" s="954"/>
      <c r="IXZ39" s="954"/>
      <c r="IYA39" s="954"/>
      <c r="IYB39" s="954"/>
      <c r="IYC39" s="954"/>
      <c r="IYD39" s="954"/>
      <c r="IYE39" s="954"/>
      <c r="IYF39" s="954"/>
      <c r="IYG39" s="954"/>
      <c r="IYH39" s="954"/>
      <c r="IYI39" s="954"/>
      <c r="IYJ39" s="954"/>
      <c r="IYK39" s="954"/>
      <c r="IYL39" s="954"/>
      <c r="IYM39" s="954"/>
      <c r="IYN39" s="954"/>
      <c r="IYO39" s="954"/>
      <c r="IYP39" s="954"/>
      <c r="IYQ39" s="954"/>
      <c r="IYR39" s="954"/>
      <c r="IYS39" s="954"/>
      <c r="IYT39" s="954"/>
      <c r="IYU39" s="954"/>
      <c r="IYV39" s="954"/>
      <c r="IYW39" s="954"/>
      <c r="IYX39" s="954"/>
      <c r="IYY39" s="954"/>
      <c r="IYZ39" s="954"/>
      <c r="IZA39" s="954"/>
      <c r="IZB39" s="954"/>
      <c r="IZC39" s="954"/>
      <c r="IZD39" s="954"/>
      <c r="IZE39" s="954"/>
      <c r="IZF39" s="954"/>
      <c r="IZG39" s="954"/>
      <c r="IZH39" s="954"/>
      <c r="IZI39" s="954"/>
      <c r="IZJ39" s="954"/>
      <c r="IZK39" s="954"/>
      <c r="IZL39" s="954"/>
      <c r="IZM39" s="954"/>
      <c r="IZN39" s="954"/>
      <c r="IZO39" s="954"/>
      <c r="IZP39" s="954"/>
      <c r="IZQ39" s="954"/>
      <c r="IZR39" s="954"/>
      <c r="IZS39" s="954"/>
      <c r="IZT39" s="954"/>
      <c r="IZU39" s="954"/>
      <c r="IZV39" s="954"/>
      <c r="IZW39" s="954"/>
      <c r="IZX39" s="954"/>
      <c r="IZY39" s="954"/>
      <c r="IZZ39" s="954"/>
      <c r="JAA39" s="954"/>
      <c r="JAB39" s="954"/>
      <c r="JAC39" s="954"/>
      <c r="JAD39" s="954"/>
      <c r="JAE39" s="954"/>
      <c r="JAF39" s="954"/>
      <c r="JAG39" s="954"/>
      <c r="JAH39" s="954"/>
      <c r="JAI39" s="954"/>
      <c r="JAJ39" s="954"/>
      <c r="JAK39" s="954"/>
      <c r="JAL39" s="954"/>
      <c r="JAM39" s="954"/>
      <c r="JAN39" s="954"/>
      <c r="JAO39" s="954"/>
      <c r="JAP39" s="954"/>
      <c r="JAQ39" s="954"/>
      <c r="JAR39" s="954"/>
      <c r="JAS39" s="954"/>
      <c r="JAT39" s="954"/>
      <c r="JAU39" s="954"/>
      <c r="JAV39" s="954"/>
      <c r="JAW39" s="954"/>
      <c r="JAX39" s="954"/>
      <c r="JAY39" s="954"/>
      <c r="JAZ39" s="954"/>
      <c r="JBA39" s="954"/>
      <c r="JBB39" s="954"/>
      <c r="JBC39" s="954"/>
      <c r="JBD39" s="954"/>
      <c r="JBE39" s="954"/>
      <c r="JBF39" s="954"/>
      <c r="JBG39" s="954"/>
      <c r="JBH39" s="954"/>
      <c r="JBI39" s="954"/>
      <c r="JBJ39" s="954"/>
      <c r="JBK39" s="954"/>
      <c r="JBL39" s="954"/>
      <c r="JBM39" s="954"/>
      <c r="JBN39" s="954"/>
      <c r="JBO39" s="954"/>
      <c r="JBP39" s="954"/>
      <c r="JBQ39" s="954"/>
      <c r="JBR39" s="954"/>
      <c r="JBS39" s="954"/>
      <c r="JBT39" s="954"/>
      <c r="JBU39" s="954"/>
      <c r="JBV39" s="954"/>
      <c r="JBW39" s="954"/>
      <c r="JBX39" s="954"/>
      <c r="JBY39" s="954"/>
      <c r="JBZ39" s="954"/>
      <c r="JCA39" s="954"/>
      <c r="JCB39" s="954"/>
      <c r="JCC39" s="954"/>
      <c r="JCD39" s="954"/>
      <c r="JCE39" s="954"/>
      <c r="JCF39" s="954"/>
      <c r="JCG39" s="954"/>
      <c r="JCH39" s="954"/>
      <c r="JCI39" s="954"/>
      <c r="JCJ39" s="954"/>
      <c r="JCK39" s="954"/>
      <c r="JCL39" s="954"/>
      <c r="JCM39" s="954"/>
      <c r="JCN39" s="954"/>
      <c r="JCO39" s="954"/>
      <c r="JCP39" s="954"/>
      <c r="JCQ39" s="954"/>
      <c r="JCR39" s="954"/>
      <c r="JCS39" s="954"/>
      <c r="JCT39" s="954"/>
      <c r="JCU39" s="954"/>
      <c r="JCV39" s="954"/>
      <c r="JCW39" s="954"/>
      <c r="JCX39" s="954"/>
      <c r="JCY39" s="954"/>
      <c r="JCZ39" s="954"/>
      <c r="JDA39" s="954"/>
      <c r="JDB39" s="954"/>
      <c r="JDC39" s="954"/>
      <c r="JDD39" s="954"/>
      <c r="JDE39" s="954"/>
      <c r="JDF39" s="954"/>
      <c r="JDG39" s="954"/>
      <c r="JDH39" s="954"/>
      <c r="JDI39" s="954"/>
      <c r="JDJ39" s="954"/>
      <c r="JDK39" s="954"/>
      <c r="JDL39" s="954"/>
      <c r="JDM39" s="954"/>
      <c r="JDN39" s="954"/>
      <c r="JDO39" s="954"/>
      <c r="JDP39" s="954"/>
      <c r="JDQ39" s="954"/>
      <c r="JDR39" s="954"/>
      <c r="JDS39" s="954"/>
      <c r="JDT39" s="954"/>
      <c r="JDU39" s="954"/>
      <c r="JDV39" s="954"/>
      <c r="JDW39" s="954"/>
      <c r="JDX39" s="954"/>
      <c r="JDY39" s="954"/>
      <c r="JDZ39" s="954"/>
      <c r="JEA39" s="954"/>
      <c r="JEB39" s="954"/>
      <c r="JEC39" s="954"/>
      <c r="JED39" s="954"/>
      <c r="JEE39" s="954"/>
      <c r="JEF39" s="954"/>
      <c r="JEG39" s="954"/>
      <c r="JEH39" s="954"/>
      <c r="JEI39" s="954"/>
      <c r="JEJ39" s="954"/>
      <c r="JEK39" s="954"/>
      <c r="JEL39" s="954"/>
      <c r="JEM39" s="954"/>
      <c r="JEN39" s="954"/>
      <c r="JEO39" s="954"/>
      <c r="JEP39" s="954"/>
      <c r="JEQ39" s="954"/>
      <c r="JER39" s="954"/>
      <c r="JES39" s="954"/>
      <c r="JET39" s="954"/>
      <c r="JEU39" s="954"/>
      <c r="JEV39" s="954"/>
      <c r="JEW39" s="954"/>
      <c r="JEX39" s="954"/>
      <c r="JEY39" s="954"/>
      <c r="JEZ39" s="954"/>
      <c r="JFA39" s="954"/>
      <c r="JFB39" s="954"/>
      <c r="JFC39" s="954"/>
      <c r="JFD39" s="954"/>
      <c r="JFE39" s="954"/>
      <c r="JFF39" s="954"/>
      <c r="JFG39" s="954"/>
      <c r="JFH39" s="954"/>
      <c r="JFI39" s="954"/>
      <c r="JFJ39" s="954"/>
      <c r="JFK39" s="954"/>
      <c r="JFL39" s="954"/>
      <c r="JFM39" s="954"/>
      <c r="JFN39" s="954"/>
      <c r="JFO39" s="954"/>
      <c r="JFP39" s="954"/>
      <c r="JFQ39" s="954"/>
      <c r="JFR39" s="954"/>
      <c r="JFS39" s="954"/>
      <c r="JFT39" s="954"/>
      <c r="JFU39" s="954"/>
      <c r="JFV39" s="954"/>
      <c r="JFW39" s="954"/>
      <c r="JFX39" s="954"/>
      <c r="JFY39" s="954"/>
      <c r="JFZ39" s="954"/>
      <c r="JGA39" s="954"/>
      <c r="JGB39" s="954"/>
      <c r="JGC39" s="954"/>
      <c r="JGD39" s="954"/>
      <c r="JGE39" s="954"/>
      <c r="JGF39" s="954"/>
      <c r="JGG39" s="954"/>
      <c r="JGH39" s="954"/>
      <c r="JGI39" s="954"/>
      <c r="JGJ39" s="954"/>
      <c r="JGK39" s="954"/>
      <c r="JGL39" s="954"/>
      <c r="JGM39" s="954"/>
      <c r="JGN39" s="954"/>
      <c r="JGO39" s="954"/>
      <c r="JGP39" s="954"/>
      <c r="JGQ39" s="954"/>
      <c r="JGR39" s="954"/>
      <c r="JGS39" s="954"/>
      <c r="JGT39" s="954"/>
      <c r="JGU39" s="954"/>
      <c r="JGV39" s="954"/>
      <c r="JGW39" s="954"/>
      <c r="JGX39" s="954"/>
      <c r="JGY39" s="954"/>
      <c r="JGZ39" s="954"/>
      <c r="JHA39" s="954"/>
      <c r="JHB39" s="954"/>
      <c r="JHC39" s="954"/>
      <c r="JHD39" s="954"/>
      <c r="JHE39" s="954"/>
      <c r="JHF39" s="954"/>
      <c r="JHG39" s="954"/>
      <c r="JHH39" s="954"/>
      <c r="JHI39" s="954"/>
      <c r="JHJ39" s="954"/>
      <c r="JHK39" s="954"/>
      <c r="JHL39" s="954"/>
      <c r="JHM39" s="954"/>
      <c r="JHN39" s="954"/>
      <c r="JHO39" s="954"/>
      <c r="JHP39" s="954"/>
      <c r="JHQ39" s="954"/>
      <c r="JHR39" s="954"/>
      <c r="JHS39" s="954"/>
      <c r="JHT39" s="954"/>
      <c r="JHU39" s="954"/>
      <c r="JHV39" s="954"/>
      <c r="JHW39" s="954"/>
      <c r="JHX39" s="954"/>
      <c r="JHY39" s="954"/>
      <c r="JHZ39" s="954"/>
      <c r="JIA39" s="954"/>
      <c r="JIB39" s="954"/>
      <c r="JIC39" s="954"/>
      <c r="JID39" s="954"/>
      <c r="JIE39" s="954"/>
      <c r="JIF39" s="954"/>
      <c r="JIG39" s="954"/>
      <c r="JIH39" s="954"/>
      <c r="JII39" s="954"/>
      <c r="JIJ39" s="954"/>
      <c r="JIK39" s="954"/>
      <c r="JIL39" s="954"/>
      <c r="JIM39" s="954"/>
      <c r="JIN39" s="954"/>
      <c r="JIO39" s="954"/>
      <c r="JIP39" s="954"/>
      <c r="JIQ39" s="954"/>
      <c r="JIR39" s="954"/>
      <c r="JIS39" s="954"/>
      <c r="JIT39" s="954"/>
      <c r="JIU39" s="954"/>
      <c r="JIV39" s="954"/>
      <c r="JIW39" s="954"/>
      <c r="JIX39" s="954"/>
      <c r="JIY39" s="954"/>
      <c r="JIZ39" s="954"/>
      <c r="JJA39" s="954"/>
      <c r="JJB39" s="954"/>
      <c r="JJC39" s="954"/>
      <c r="JJD39" s="954"/>
      <c r="JJE39" s="954"/>
      <c r="JJF39" s="954"/>
      <c r="JJG39" s="954"/>
      <c r="JJH39" s="954"/>
      <c r="JJI39" s="954"/>
      <c r="JJJ39" s="954"/>
      <c r="JJK39" s="954"/>
      <c r="JJL39" s="954"/>
      <c r="JJM39" s="954"/>
      <c r="JJN39" s="954"/>
      <c r="JJO39" s="954"/>
      <c r="JJP39" s="954"/>
      <c r="JJQ39" s="954"/>
      <c r="JJR39" s="954"/>
      <c r="JJS39" s="954"/>
      <c r="JJT39" s="954"/>
      <c r="JJU39" s="954"/>
      <c r="JJV39" s="954"/>
      <c r="JJW39" s="954"/>
      <c r="JJX39" s="954"/>
      <c r="JJY39" s="954"/>
      <c r="JJZ39" s="954"/>
      <c r="JKA39" s="954"/>
      <c r="JKB39" s="954"/>
      <c r="JKC39" s="954"/>
      <c r="JKD39" s="954"/>
      <c r="JKE39" s="954"/>
      <c r="JKF39" s="954"/>
      <c r="JKG39" s="954"/>
      <c r="JKH39" s="954"/>
      <c r="JKI39" s="954"/>
      <c r="JKJ39" s="954"/>
      <c r="JKK39" s="954"/>
      <c r="JKL39" s="954"/>
      <c r="JKM39" s="954"/>
      <c r="JKN39" s="954"/>
      <c r="JKO39" s="954"/>
      <c r="JKP39" s="954"/>
      <c r="JKQ39" s="954"/>
      <c r="JKR39" s="954"/>
      <c r="JKS39" s="954"/>
      <c r="JKT39" s="954"/>
      <c r="JKU39" s="954"/>
      <c r="JKV39" s="954"/>
      <c r="JKW39" s="954"/>
      <c r="JKX39" s="954"/>
      <c r="JKY39" s="954"/>
      <c r="JKZ39" s="954"/>
      <c r="JLA39" s="954"/>
      <c r="JLB39" s="954"/>
      <c r="JLC39" s="954"/>
      <c r="JLD39" s="954"/>
      <c r="JLE39" s="954"/>
      <c r="JLF39" s="954"/>
      <c r="JLG39" s="954"/>
      <c r="JLH39" s="954"/>
      <c r="JLI39" s="954"/>
      <c r="JLJ39" s="954"/>
      <c r="JLK39" s="954"/>
      <c r="JLL39" s="954"/>
      <c r="JLM39" s="954"/>
      <c r="JLN39" s="954"/>
      <c r="JLO39" s="954"/>
      <c r="JLP39" s="954"/>
      <c r="JLQ39" s="954"/>
      <c r="JLR39" s="954"/>
      <c r="JLS39" s="954"/>
      <c r="JLT39" s="954"/>
      <c r="JLU39" s="954"/>
      <c r="JLV39" s="954"/>
      <c r="JLW39" s="954"/>
      <c r="JLX39" s="954"/>
      <c r="JLY39" s="954"/>
      <c r="JLZ39" s="954"/>
      <c r="JMA39" s="954"/>
      <c r="JMB39" s="954"/>
      <c r="JMC39" s="954"/>
      <c r="JMD39" s="954"/>
      <c r="JME39" s="954"/>
      <c r="JMF39" s="954"/>
      <c r="JMG39" s="954"/>
      <c r="JMH39" s="954"/>
      <c r="JMI39" s="954"/>
      <c r="JMJ39" s="954"/>
      <c r="JMK39" s="954"/>
      <c r="JML39" s="954"/>
      <c r="JMM39" s="954"/>
      <c r="JMN39" s="954"/>
      <c r="JMO39" s="954"/>
      <c r="JMP39" s="954"/>
      <c r="JMQ39" s="954"/>
      <c r="JMR39" s="954"/>
      <c r="JMS39" s="954"/>
      <c r="JMT39" s="954"/>
      <c r="JMU39" s="954"/>
      <c r="JMV39" s="954"/>
      <c r="JMW39" s="954"/>
      <c r="JMX39" s="954"/>
      <c r="JMY39" s="954"/>
      <c r="JMZ39" s="954"/>
      <c r="JNA39" s="954"/>
      <c r="JNB39" s="954"/>
      <c r="JNC39" s="954"/>
      <c r="JND39" s="954"/>
      <c r="JNE39" s="954"/>
      <c r="JNF39" s="954"/>
      <c r="JNG39" s="954"/>
      <c r="JNH39" s="954"/>
      <c r="JNI39" s="954"/>
      <c r="JNJ39" s="954"/>
      <c r="JNK39" s="954"/>
      <c r="JNL39" s="954"/>
      <c r="JNM39" s="954"/>
      <c r="JNN39" s="954"/>
      <c r="JNO39" s="954"/>
      <c r="JNP39" s="954"/>
      <c r="JNQ39" s="954"/>
      <c r="JNR39" s="954"/>
      <c r="JNS39" s="954"/>
      <c r="JNT39" s="954"/>
      <c r="JNU39" s="954"/>
      <c r="JNV39" s="954"/>
      <c r="JNW39" s="954"/>
      <c r="JNX39" s="954"/>
      <c r="JNY39" s="954"/>
      <c r="JNZ39" s="954"/>
      <c r="JOA39" s="954"/>
      <c r="JOB39" s="954"/>
      <c r="JOC39" s="954"/>
      <c r="JOD39" s="954"/>
      <c r="JOE39" s="954"/>
      <c r="JOF39" s="954"/>
      <c r="JOG39" s="954"/>
      <c r="JOH39" s="954"/>
      <c r="JOI39" s="954"/>
      <c r="JOJ39" s="954"/>
      <c r="JOK39" s="954"/>
      <c r="JOL39" s="954"/>
      <c r="JOM39" s="954"/>
      <c r="JON39" s="954"/>
      <c r="JOO39" s="954"/>
      <c r="JOP39" s="954"/>
      <c r="JOQ39" s="954"/>
      <c r="JOR39" s="954"/>
      <c r="JOS39" s="954"/>
      <c r="JOT39" s="954"/>
      <c r="JOU39" s="954"/>
      <c r="JOV39" s="954"/>
      <c r="JOW39" s="954"/>
      <c r="JOX39" s="954"/>
      <c r="JOY39" s="954"/>
      <c r="JOZ39" s="954"/>
      <c r="JPA39" s="954"/>
      <c r="JPB39" s="954"/>
      <c r="JPC39" s="954"/>
      <c r="JPD39" s="954"/>
      <c r="JPE39" s="954"/>
      <c r="JPF39" s="954"/>
      <c r="JPG39" s="954"/>
      <c r="JPH39" s="954"/>
      <c r="JPI39" s="954"/>
      <c r="JPJ39" s="954"/>
      <c r="JPK39" s="954"/>
      <c r="JPL39" s="954"/>
      <c r="JPM39" s="954"/>
      <c r="JPN39" s="954"/>
      <c r="JPO39" s="954"/>
      <c r="JPP39" s="954"/>
      <c r="JPQ39" s="954"/>
      <c r="JPR39" s="954"/>
      <c r="JPS39" s="954"/>
      <c r="JPT39" s="954"/>
      <c r="JPU39" s="954"/>
      <c r="JPV39" s="954"/>
      <c r="JPW39" s="954"/>
      <c r="JPX39" s="954"/>
      <c r="JPY39" s="954"/>
      <c r="JPZ39" s="954"/>
      <c r="JQA39" s="954"/>
      <c r="JQB39" s="954"/>
      <c r="JQC39" s="954"/>
      <c r="JQD39" s="954"/>
      <c r="JQE39" s="954"/>
      <c r="JQF39" s="954"/>
      <c r="JQG39" s="954"/>
      <c r="JQH39" s="954"/>
      <c r="JQI39" s="954"/>
      <c r="JQJ39" s="954"/>
      <c r="JQK39" s="954"/>
      <c r="JQL39" s="954"/>
      <c r="JQM39" s="954"/>
      <c r="JQN39" s="954"/>
      <c r="JQO39" s="954"/>
      <c r="JQP39" s="954"/>
      <c r="JQQ39" s="954"/>
      <c r="JQR39" s="954"/>
      <c r="JQS39" s="954"/>
      <c r="JQT39" s="954"/>
      <c r="JQU39" s="954"/>
      <c r="JQV39" s="954"/>
      <c r="JQW39" s="954"/>
      <c r="JQX39" s="954"/>
      <c r="JQY39" s="954"/>
      <c r="JQZ39" s="954"/>
      <c r="JRA39" s="954"/>
      <c r="JRB39" s="954"/>
      <c r="JRC39" s="954"/>
      <c r="JRD39" s="954"/>
      <c r="JRE39" s="954"/>
      <c r="JRF39" s="954"/>
      <c r="JRG39" s="954"/>
      <c r="JRH39" s="954"/>
      <c r="JRI39" s="954"/>
      <c r="JRJ39" s="954"/>
      <c r="JRK39" s="954"/>
      <c r="JRL39" s="954"/>
      <c r="JRM39" s="954"/>
      <c r="JRN39" s="954"/>
      <c r="JRO39" s="954"/>
      <c r="JRP39" s="954"/>
      <c r="JRQ39" s="954"/>
      <c r="JRR39" s="954"/>
      <c r="JRS39" s="954"/>
      <c r="JRT39" s="954"/>
      <c r="JRU39" s="954"/>
      <c r="JRV39" s="954"/>
      <c r="JRW39" s="954"/>
      <c r="JRX39" s="954"/>
      <c r="JRY39" s="954"/>
      <c r="JRZ39" s="954"/>
      <c r="JSA39" s="954"/>
      <c r="JSB39" s="954"/>
      <c r="JSC39" s="954"/>
      <c r="JSD39" s="954"/>
      <c r="JSE39" s="954"/>
      <c r="JSF39" s="954"/>
      <c r="JSG39" s="954"/>
      <c r="JSH39" s="954"/>
      <c r="JSI39" s="954"/>
      <c r="JSJ39" s="954"/>
      <c r="JSK39" s="954"/>
      <c r="JSL39" s="954"/>
      <c r="JSM39" s="954"/>
      <c r="JSN39" s="954"/>
      <c r="JSO39" s="954"/>
      <c r="JSP39" s="954"/>
      <c r="JSQ39" s="954"/>
      <c r="JSR39" s="954"/>
      <c r="JSS39" s="954"/>
      <c r="JST39" s="954"/>
      <c r="JSU39" s="954"/>
      <c r="JSV39" s="954"/>
      <c r="JSW39" s="954"/>
      <c r="JSX39" s="954"/>
      <c r="JSY39" s="954"/>
      <c r="JSZ39" s="954"/>
      <c r="JTA39" s="954"/>
      <c r="JTB39" s="954"/>
      <c r="JTC39" s="954"/>
      <c r="JTD39" s="954"/>
      <c r="JTE39" s="954"/>
      <c r="JTF39" s="954"/>
      <c r="JTG39" s="954"/>
      <c r="JTH39" s="954"/>
      <c r="JTI39" s="954"/>
      <c r="JTJ39" s="954"/>
      <c r="JTK39" s="954"/>
      <c r="JTL39" s="954"/>
      <c r="JTM39" s="954"/>
      <c r="JTN39" s="954"/>
      <c r="JTO39" s="954"/>
      <c r="JTP39" s="954"/>
      <c r="JTQ39" s="954"/>
      <c r="JTR39" s="954"/>
      <c r="JTS39" s="954"/>
      <c r="JTT39" s="954"/>
      <c r="JTU39" s="954"/>
      <c r="JTV39" s="954"/>
      <c r="JTW39" s="954"/>
      <c r="JTX39" s="954"/>
      <c r="JTY39" s="954"/>
      <c r="JTZ39" s="954"/>
      <c r="JUA39" s="954"/>
      <c r="JUB39" s="954"/>
      <c r="JUC39" s="954"/>
      <c r="JUD39" s="954"/>
      <c r="JUE39" s="954"/>
      <c r="JUF39" s="954"/>
      <c r="JUG39" s="954"/>
      <c r="JUH39" s="954"/>
      <c r="JUI39" s="954"/>
      <c r="JUJ39" s="954"/>
      <c r="JUK39" s="954"/>
      <c r="JUL39" s="954"/>
      <c r="JUM39" s="954"/>
      <c r="JUN39" s="954"/>
      <c r="JUO39" s="954"/>
      <c r="JUP39" s="954"/>
      <c r="JUQ39" s="954"/>
      <c r="JUR39" s="954"/>
      <c r="JUS39" s="954"/>
      <c r="JUT39" s="954"/>
      <c r="JUU39" s="954"/>
      <c r="JUV39" s="954"/>
      <c r="JUW39" s="954"/>
      <c r="JUX39" s="954"/>
      <c r="JUY39" s="954"/>
      <c r="JUZ39" s="954"/>
      <c r="JVA39" s="954"/>
      <c r="JVB39" s="954"/>
      <c r="JVC39" s="954"/>
      <c r="JVD39" s="954"/>
      <c r="JVE39" s="954"/>
      <c r="JVF39" s="954"/>
      <c r="JVG39" s="954"/>
      <c r="JVH39" s="954"/>
      <c r="JVI39" s="954"/>
      <c r="JVJ39" s="954"/>
      <c r="JVK39" s="954"/>
      <c r="JVL39" s="954"/>
      <c r="JVM39" s="954"/>
      <c r="JVN39" s="954"/>
      <c r="JVO39" s="954"/>
      <c r="JVP39" s="954"/>
      <c r="JVQ39" s="954"/>
      <c r="JVR39" s="954"/>
      <c r="JVS39" s="954"/>
      <c r="JVT39" s="954"/>
      <c r="JVU39" s="954"/>
      <c r="JVV39" s="954"/>
      <c r="JVW39" s="954"/>
      <c r="JVX39" s="954"/>
      <c r="JVY39" s="954"/>
      <c r="JVZ39" s="954"/>
      <c r="JWA39" s="954"/>
      <c r="JWB39" s="954"/>
      <c r="JWC39" s="954"/>
      <c r="JWD39" s="954"/>
      <c r="JWE39" s="954"/>
      <c r="JWF39" s="954"/>
      <c r="JWG39" s="954"/>
      <c r="JWH39" s="954"/>
      <c r="JWI39" s="954"/>
      <c r="JWJ39" s="954"/>
      <c r="JWK39" s="954"/>
      <c r="JWL39" s="954"/>
      <c r="JWM39" s="954"/>
      <c r="JWN39" s="954"/>
      <c r="JWO39" s="954"/>
      <c r="JWP39" s="954"/>
      <c r="JWQ39" s="954"/>
      <c r="JWR39" s="954"/>
      <c r="JWS39" s="954"/>
      <c r="JWT39" s="954"/>
      <c r="JWU39" s="954"/>
      <c r="JWV39" s="954"/>
      <c r="JWW39" s="954"/>
      <c r="JWX39" s="954"/>
      <c r="JWY39" s="954"/>
      <c r="JWZ39" s="954"/>
      <c r="JXA39" s="954"/>
      <c r="JXB39" s="954"/>
      <c r="JXC39" s="954"/>
      <c r="JXD39" s="954"/>
      <c r="JXE39" s="954"/>
      <c r="JXF39" s="954"/>
      <c r="JXG39" s="954"/>
      <c r="JXH39" s="954"/>
      <c r="JXI39" s="954"/>
      <c r="JXJ39" s="954"/>
      <c r="JXK39" s="954"/>
      <c r="JXL39" s="954"/>
      <c r="JXM39" s="954"/>
      <c r="JXN39" s="954"/>
      <c r="JXO39" s="954"/>
      <c r="JXP39" s="954"/>
      <c r="JXQ39" s="954"/>
      <c r="JXR39" s="954"/>
      <c r="JXS39" s="954"/>
      <c r="JXT39" s="954"/>
      <c r="JXU39" s="954"/>
      <c r="JXV39" s="954"/>
      <c r="JXW39" s="954"/>
      <c r="JXX39" s="954"/>
      <c r="JXY39" s="954"/>
      <c r="JXZ39" s="954"/>
      <c r="JYA39" s="954"/>
      <c r="JYB39" s="954"/>
      <c r="JYC39" s="954"/>
      <c r="JYD39" s="954"/>
      <c r="JYE39" s="954"/>
      <c r="JYF39" s="954"/>
      <c r="JYG39" s="954"/>
      <c r="JYH39" s="954"/>
      <c r="JYI39" s="954"/>
      <c r="JYJ39" s="954"/>
      <c r="JYK39" s="954"/>
      <c r="JYL39" s="954"/>
      <c r="JYM39" s="954"/>
      <c r="JYN39" s="954"/>
      <c r="JYO39" s="954"/>
      <c r="JYP39" s="954"/>
      <c r="JYQ39" s="954"/>
      <c r="JYR39" s="954"/>
      <c r="JYS39" s="954"/>
      <c r="JYT39" s="954"/>
      <c r="JYU39" s="954"/>
      <c r="JYV39" s="954"/>
      <c r="JYW39" s="954"/>
      <c r="JYX39" s="954"/>
      <c r="JYY39" s="954"/>
      <c r="JYZ39" s="954"/>
      <c r="JZA39" s="954"/>
      <c r="JZB39" s="954"/>
      <c r="JZC39" s="954"/>
      <c r="JZD39" s="954"/>
      <c r="JZE39" s="954"/>
      <c r="JZF39" s="954"/>
      <c r="JZG39" s="954"/>
      <c r="JZH39" s="954"/>
      <c r="JZI39" s="954"/>
      <c r="JZJ39" s="954"/>
      <c r="JZK39" s="954"/>
      <c r="JZL39" s="954"/>
      <c r="JZM39" s="954"/>
      <c r="JZN39" s="954"/>
      <c r="JZO39" s="954"/>
      <c r="JZP39" s="954"/>
      <c r="JZQ39" s="954"/>
      <c r="JZR39" s="954"/>
      <c r="JZS39" s="954"/>
      <c r="JZT39" s="954"/>
      <c r="JZU39" s="954"/>
      <c r="JZV39" s="954"/>
      <c r="JZW39" s="954"/>
      <c r="JZX39" s="954"/>
      <c r="JZY39" s="954"/>
      <c r="JZZ39" s="954"/>
      <c r="KAA39" s="954"/>
      <c r="KAB39" s="954"/>
      <c r="KAC39" s="954"/>
      <c r="KAD39" s="954"/>
      <c r="KAE39" s="954"/>
      <c r="KAF39" s="954"/>
      <c r="KAG39" s="954"/>
      <c r="KAH39" s="954"/>
      <c r="KAI39" s="954"/>
      <c r="KAJ39" s="954"/>
      <c r="KAK39" s="954"/>
      <c r="KAL39" s="954"/>
      <c r="KAM39" s="954"/>
      <c r="KAN39" s="954"/>
      <c r="KAO39" s="954"/>
      <c r="KAP39" s="954"/>
      <c r="KAQ39" s="954"/>
      <c r="KAR39" s="954"/>
      <c r="KAS39" s="954"/>
      <c r="KAT39" s="954"/>
      <c r="KAU39" s="954"/>
      <c r="KAV39" s="954"/>
      <c r="KAW39" s="954"/>
      <c r="KAX39" s="954"/>
      <c r="KAY39" s="954"/>
      <c r="KAZ39" s="954"/>
      <c r="KBA39" s="954"/>
      <c r="KBB39" s="954"/>
      <c r="KBC39" s="954"/>
      <c r="KBD39" s="954"/>
      <c r="KBE39" s="954"/>
      <c r="KBF39" s="954"/>
      <c r="KBG39" s="954"/>
      <c r="KBH39" s="954"/>
      <c r="KBI39" s="954"/>
      <c r="KBJ39" s="954"/>
      <c r="KBK39" s="954"/>
      <c r="KBL39" s="954"/>
      <c r="KBM39" s="954"/>
      <c r="KBN39" s="954"/>
      <c r="KBO39" s="954"/>
      <c r="KBP39" s="954"/>
      <c r="KBQ39" s="954"/>
      <c r="KBR39" s="954"/>
      <c r="KBS39" s="954"/>
      <c r="KBT39" s="954"/>
      <c r="KBU39" s="954"/>
      <c r="KBV39" s="954"/>
      <c r="KBW39" s="954"/>
      <c r="KBX39" s="954"/>
      <c r="KBY39" s="954"/>
      <c r="KBZ39" s="954"/>
      <c r="KCA39" s="954"/>
      <c r="KCB39" s="954"/>
      <c r="KCC39" s="954"/>
      <c r="KCD39" s="954"/>
      <c r="KCE39" s="954"/>
      <c r="KCF39" s="954"/>
      <c r="KCG39" s="954"/>
      <c r="KCH39" s="954"/>
      <c r="KCI39" s="954"/>
      <c r="KCJ39" s="954"/>
      <c r="KCK39" s="954"/>
      <c r="KCL39" s="954"/>
      <c r="KCM39" s="954"/>
      <c r="KCN39" s="954"/>
      <c r="KCO39" s="954"/>
      <c r="KCP39" s="954"/>
      <c r="KCQ39" s="954"/>
      <c r="KCR39" s="954"/>
      <c r="KCS39" s="954"/>
      <c r="KCT39" s="954"/>
      <c r="KCU39" s="954"/>
      <c r="KCV39" s="954"/>
      <c r="KCW39" s="954"/>
      <c r="KCX39" s="954"/>
      <c r="KCY39" s="954"/>
      <c r="KCZ39" s="954"/>
      <c r="KDA39" s="954"/>
      <c r="KDB39" s="954"/>
      <c r="KDC39" s="954"/>
      <c r="KDD39" s="954"/>
      <c r="KDE39" s="954"/>
      <c r="KDF39" s="954"/>
      <c r="KDG39" s="954"/>
      <c r="KDH39" s="954"/>
      <c r="KDI39" s="954"/>
      <c r="KDJ39" s="954"/>
      <c r="KDK39" s="954"/>
      <c r="KDL39" s="954"/>
      <c r="KDM39" s="954"/>
      <c r="KDN39" s="954"/>
      <c r="KDO39" s="954"/>
      <c r="KDP39" s="954"/>
      <c r="KDQ39" s="954"/>
      <c r="KDR39" s="954"/>
      <c r="KDS39" s="954"/>
      <c r="KDT39" s="954"/>
      <c r="KDU39" s="954"/>
      <c r="KDV39" s="954"/>
      <c r="KDW39" s="954"/>
      <c r="KDX39" s="954"/>
      <c r="KDY39" s="954"/>
      <c r="KDZ39" s="954"/>
      <c r="KEA39" s="954"/>
      <c r="KEB39" s="954"/>
      <c r="KEC39" s="954"/>
      <c r="KED39" s="954"/>
      <c r="KEE39" s="954"/>
      <c r="KEF39" s="954"/>
      <c r="KEG39" s="954"/>
      <c r="KEH39" s="954"/>
      <c r="KEI39" s="954"/>
      <c r="KEJ39" s="954"/>
      <c r="KEK39" s="954"/>
      <c r="KEL39" s="954"/>
      <c r="KEM39" s="954"/>
      <c r="KEN39" s="954"/>
      <c r="KEO39" s="954"/>
      <c r="KEP39" s="954"/>
      <c r="KEQ39" s="954"/>
      <c r="KER39" s="954"/>
      <c r="KES39" s="954"/>
      <c r="KET39" s="954"/>
      <c r="KEU39" s="954"/>
      <c r="KEV39" s="954"/>
      <c r="KEW39" s="954"/>
      <c r="KEX39" s="954"/>
      <c r="KEY39" s="954"/>
      <c r="KEZ39" s="954"/>
      <c r="KFA39" s="954"/>
      <c r="KFB39" s="954"/>
      <c r="KFC39" s="954"/>
      <c r="KFD39" s="954"/>
      <c r="KFE39" s="954"/>
      <c r="KFF39" s="954"/>
      <c r="KFG39" s="954"/>
      <c r="KFH39" s="954"/>
      <c r="KFI39" s="954"/>
      <c r="KFJ39" s="954"/>
      <c r="KFK39" s="954"/>
      <c r="KFL39" s="954"/>
      <c r="KFM39" s="954"/>
      <c r="KFN39" s="954"/>
      <c r="KFO39" s="954"/>
      <c r="KFP39" s="954"/>
      <c r="KFQ39" s="954"/>
      <c r="KFR39" s="954"/>
      <c r="KFS39" s="954"/>
      <c r="KFT39" s="954"/>
      <c r="KFU39" s="954"/>
      <c r="KFV39" s="954"/>
      <c r="KFW39" s="954"/>
      <c r="KFX39" s="954"/>
      <c r="KFY39" s="954"/>
      <c r="KFZ39" s="954"/>
      <c r="KGA39" s="954"/>
      <c r="KGB39" s="954"/>
      <c r="KGC39" s="954"/>
      <c r="KGD39" s="954"/>
      <c r="KGE39" s="954"/>
      <c r="KGF39" s="954"/>
      <c r="KGG39" s="954"/>
      <c r="KGH39" s="954"/>
      <c r="KGI39" s="954"/>
      <c r="KGJ39" s="954"/>
      <c r="KGK39" s="954"/>
      <c r="KGL39" s="954"/>
      <c r="KGM39" s="954"/>
      <c r="KGN39" s="954"/>
      <c r="KGO39" s="954"/>
      <c r="KGP39" s="954"/>
      <c r="KGQ39" s="954"/>
      <c r="KGR39" s="954"/>
      <c r="KGS39" s="954"/>
      <c r="KGT39" s="954"/>
      <c r="KGU39" s="954"/>
      <c r="KGV39" s="954"/>
      <c r="KGW39" s="954"/>
      <c r="KGX39" s="954"/>
      <c r="KGY39" s="954"/>
      <c r="KGZ39" s="954"/>
      <c r="KHA39" s="954"/>
      <c r="KHB39" s="954"/>
      <c r="KHC39" s="954"/>
      <c r="KHD39" s="954"/>
      <c r="KHE39" s="954"/>
      <c r="KHF39" s="954"/>
      <c r="KHG39" s="954"/>
      <c r="KHH39" s="954"/>
      <c r="KHI39" s="954"/>
      <c r="KHJ39" s="954"/>
      <c r="KHK39" s="954"/>
      <c r="KHL39" s="954"/>
      <c r="KHM39" s="954"/>
      <c r="KHN39" s="954"/>
      <c r="KHO39" s="954"/>
      <c r="KHP39" s="954"/>
      <c r="KHQ39" s="954"/>
      <c r="KHR39" s="954"/>
      <c r="KHS39" s="954"/>
      <c r="KHT39" s="954"/>
      <c r="KHU39" s="954"/>
      <c r="KHV39" s="954"/>
      <c r="KHW39" s="954"/>
      <c r="KHX39" s="954"/>
      <c r="KHY39" s="954"/>
      <c r="KHZ39" s="954"/>
      <c r="KIA39" s="954"/>
      <c r="KIB39" s="954"/>
      <c r="KIC39" s="954"/>
      <c r="KID39" s="954"/>
      <c r="KIE39" s="954"/>
      <c r="KIF39" s="954"/>
      <c r="KIG39" s="954"/>
      <c r="KIH39" s="954"/>
      <c r="KII39" s="954"/>
      <c r="KIJ39" s="954"/>
      <c r="KIK39" s="954"/>
      <c r="KIL39" s="954"/>
      <c r="KIM39" s="954"/>
      <c r="KIN39" s="954"/>
      <c r="KIO39" s="954"/>
      <c r="KIP39" s="954"/>
      <c r="KIQ39" s="954"/>
      <c r="KIR39" s="954"/>
      <c r="KIS39" s="954"/>
      <c r="KIT39" s="954"/>
      <c r="KIU39" s="954"/>
      <c r="KIV39" s="954"/>
      <c r="KIW39" s="954"/>
      <c r="KIX39" s="954"/>
      <c r="KIY39" s="954"/>
      <c r="KIZ39" s="954"/>
      <c r="KJA39" s="954"/>
      <c r="KJB39" s="954"/>
      <c r="KJC39" s="954"/>
      <c r="KJD39" s="954"/>
      <c r="KJE39" s="954"/>
      <c r="KJF39" s="954"/>
      <c r="KJG39" s="954"/>
      <c r="KJH39" s="954"/>
      <c r="KJI39" s="954"/>
      <c r="KJJ39" s="954"/>
      <c r="KJK39" s="954"/>
      <c r="KJL39" s="954"/>
      <c r="KJM39" s="954"/>
      <c r="KJN39" s="954"/>
      <c r="KJO39" s="954"/>
      <c r="KJP39" s="954"/>
      <c r="KJQ39" s="954"/>
      <c r="KJR39" s="954"/>
      <c r="KJS39" s="954"/>
      <c r="KJT39" s="954"/>
      <c r="KJU39" s="954"/>
      <c r="KJV39" s="954"/>
      <c r="KJW39" s="954"/>
      <c r="KJX39" s="954"/>
      <c r="KJY39" s="954"/>
      <c r="KJZ39" s="954"/>
      <c r="KKA39" s="954"/>
      <c r="KKB39" s="954"/>
      <c r="KKC39" s="954"/>
      <c r="KKD39" s="954"/>
      <c r="KKE39" s="954"/>
      <c r="KKF39" s="954"/>
      <c r="KKG39" s="954"/>
      <c r="KKH39" s="954"/>
      <c r="KKI39" s="954"/>
      <c r="KKJ39" s="954"/>
      <c r="KKK39" s="954"/>
      <c r="KKL39" s="954"/>
      <c r="KKM39" s="954"/>
      <c r="KKN39" s="954"/>
      <c r="KKO39" s="954"/>
      <c r="KKP39" s="954"/>
      <c r="KKQ39" s="954"/>
      <c r="KKR39" s="954"/>
      <c r="KKS39" s="954"/>
      <c r="KKT39" s="954"/>
      <c r="KKU39" s="954"/>
      <c r="KKV39" s="954"/>
      <c r="KKW39" s="954"/>
      <c r="KKX39" s="954"/>
      <c r="KKY39" s="954"/>
      <c r="KKZ39" s="954"/>
      <c r="KLA39" s="954"/>
      <c r="KLB39" s="954"/>
      <c r="KLC39" s="954"/>
      <c r="KLD39" s="954"/>
      <c r="KLE39" s="954"/>
      <c r="KLF39" s="954"/>
      <c r="KLG39" s="954"/>
      <c r="KLH39" s="954"/>
      <c r="KLI39" s="954"/>
      <c r="KLJ39" s="954"/>
      <c r="KLK39" s="954"/>
      <c r="KLL39" s="954"/>
      <c r="KLM39" s="954"/>
      <c r="KLN39" s="954"/>
      <c r="KLO39" s="954"/>
      <c r="KLP39" s="954"/>
      <c r="KLQ39" s="954"/>
      <c r="KLR39" s="954"/>
      <c r="KLS39" s="954"/>
      <c r="KLT39" s="954"/>
      <c r="KLU39" s="954"/>
      <c r="KLV39" s="954"/>
      <c r="KLW39" s="954"/>
      <c r="KLX39" s="954"/>
      <c r="KLY39" s="954"/>
      <c r="KLZ39" s="954"/>
      <c r="KMA39" s="954"/>
      <c r="KMB39" s="954"/>
      <c r="KMC39" s="954"/>
      <c r="KMD39" s="954"/>
      <c r="KME39" s="954"/>
      <c r="KMF39" s="954"/>
      <c r="KMG39" s="954"/>
      <c r="KMH39" s="954"/>
      <c r="KMI39" s="954"/>
      <c r="KMJ39" s="954"/>
      <c r="KMK39" s="954"/>
      <c r="KML39" s="954"/>
      <c r="KMM39" s="954"/>
      <c r="KMN39" s="954"/>
      <c r="KMO39" s="954"/>
      <c r="KMP39" s="954"/>
      <c r="KMQ39" s="954"/>
      <c r="KMR39" s="954"/>
      <c r="KMS39" s="954"/>
      <c r="KMT39" s="954"/>
      <c r="KMU39" s="954"/>
      <c r="KMV39" s="954"/>
      <c r="KMW39" s="954"/>
      <c r="KMX39" s="954"/>
      <c r="KMY39" s="954"/>
      <c r="KMZ39" s="954"/>
      <c r="KNA39" s="954"/>
      <c r="KNB39" s="954"/>
      <c r="KNC39" s="954"/>
      <c r="KND39" s="954"/>
      <c r="KNE39" s="954"/>
      <c r="KNF39" s="954"/>
      <c r="KNG39" s="954"/>
      <c r="KNH39" s="954"/>
      <c r="KNI39" s="954"/>
      <c r="KNJ39" s="954"/>
      <c r="KNK39" s="954"/>
      <c r="KNL39" s="954"/>
      <c r="KNM39" s="954"/>
      <c r="KNN39" s="954"/>
      <c r="KNO39" s="954"/>
      <c r="KNP39" s="954"/>
      <c r="KNQ39" s="954"/>
      <c r="KNR39" s="954"/>
      <c r="KNS39" s="954"/>
      <c r="KNT39" s="954"/>
      <c r="KNU39" s="954"/>
      <c r="KNV39" s="954"/>
      <c r="KNW39" s="954"/>
      <c r="KNX39" s="954"/>
      <c r="KNY39" s="954"/>
      <c r="KNZ39" s="954"/>
      <c r="KOA39" s="954"/>
      <c r="KOB39" s="954"/>
      <c r="KOC39" s="954"/>
      <c r="KOD39" s="954"/>
      <c r="KOE39" s="954"/>
      <c r="KOF39" s="954"/>
      <c r="KOG39" s="954"/>
      <c r="KOH39" s="954"/>
      <c r="KOI39" s="954"/>
      <c r="KOJ39" s="954"/>
      <c r="KOK39" s="954"/>
      <c r="KOL39" s="954"/>
      <c r="KOM39" s="954"/>
      <c r="KON39" s="954"/>
      <c r="KOO39" s="954"/>
      <c r="KOP39" s="954"/>
      <c r="KOQ39" s="954"/>
      <c r="KOR39" s="954"/>
      <c r="KOS39" s="954"/>
      <c r="KOT39" s="954"/>
      <c r="KOU39" s="954"/>
      <c r="KOV39" s="954"/>
      <c r="KOW39" s="954"/>
      <c r="KOX39" s="954"/>
      <c r="KOY39" s="954"/>
      <c r="KOZ39" s="954"/>
      <c r="KPA39" s="954"/>
      <c r="KPB39" s="954"/>
      <c r="KPC39" s="954"/>
      <c r="KPD39" s="954"/>
      <c r="KPE39" s="954"/>
      <c r="KPF39" s="954"/>
      <c r="KPG39" s="954"/>
      <c r="KPH39" s="954"/>
      <c r="KPI39" s="954"/>
      <c r="KPJ39" s="954"/>
      <c r="KPK39" s="954"/>
      <c r="KPL39" s="954"/>
      <c r="KPM39" s="954"/>
      <c r="KPN39" s="954"/>
      <c r="KPO39" s="954"/>
      <c r="KPP39" s="954"/>
      <c r="KPQ39" s="954"/>
      <c r="KPR39" s="954"/>
      <c r="KPS39" s="954"/>
      <c r="KPT39" s="954"/>
      <c r="KPU39" s="954"/>
      <c r="KPV39" s="954"/>
      <c r="KPW39" s="954"/>
      <c r="KPX39" s="954"/>
      <c r="KPY39" s="954"/>
      <c r="KPZ39" s="954"/>
      <c r="KQA39" s="954"/>
      <c r="KQB39" s="954"/>
      <c r="KQC39" s="954"/>
      <c r="KQD39" s="954"/>
      <c r="KQE39" s="954"/>
      <c r="KQF39" s="954"/>
      <c r="KQG39" s="954"/>
      <c r="KQH39" s="954"/>
      <c r="KQI39" s="954"/>
      <c r="KQJ39" s="954"/>
      <c r="KQK39" s="954"/>
      <c r="KQL39" s="954"/>
      <c r="KQM39" s="954"/>
      <c r="KQN39" s="954"/>
      <c r="KQO39" s="954"/>
      <c r="KQP39" s="954"/>
      <c r="KQQ39" s="954"/>
      <c r="KQR39" s="954"/>
      <c r="KQS39" s="954"/>
      <c r="KQT39" s="954"/>
      <c r="KQU39" s="954"/>
      <c r="KQV39" s="954"/>
      <c r="KQW39" s="954"/>
      <c r="KQX39" s="954"/>
      <c r="KQY39" s="954"/>
      <c r="KQZ39" s="954"/>
      <c r="KRA39" s="954"/>
      <c r="KRB39" s="954"/>
      <c r="KRC39" s="954"/>
      <c r="KRD39" s="954"/>
      <c r="KRE39" s="954"/>
      <c r="KRF39" s="954"/>
      <c r="KRG39" s="954"/>
      <c r="KRH39" s="954"/>
      <c r="KRI39" s="954"/>
      <c r="KRJ39" s="954"/>
      <c r="KRK39" s="954"/>
      <c r="KRL39" s="954"/>
      <c r="KRM39" s="954"/>
      <c r="KRN39" s="954"/>
      <c r="KRO39" s="954"/>
      <c r="KRP39" s="954"/>
      <c r="KRQ39" s="954"/>
      <c r="KRR39" s="954"/>
      <c r="KRS39" s="954"/>
      <c r="KRT39" s="954"/>
      <c r="KRU39" s="954"/>
      <c r="KRV39" s="954"/>
      <c r="KRW39" s="954"/>
      <c r="KRX39" s="954"/>
      <c r="KRY39" s="954"/>
      <c r="KRZ39" s="954"/>
      <c r="KSA39" s="954"/>
      <c r="KSB39" s="954"/>
      <c r="KSC39" s="954"/>
      <c r="KSD39" s="954"/>
      <c r="KSE39" s="954"/>
      <c r="KSF39" s="954"/>
      <c r="KSG39" s="954"/>
      <c r="KSH39" s="954"/>
      <c r="KSI39" s="954"/>
      <c r="KSJ39" s="954"/>
      <c r="KSK39" s="954"/>
      <c r="KSL39" s="954"/>
      <c r="KSM39" s="954"/>
      <c r="KSN39" s="954"/>
      <c r="KSO39" s="954"/>
      <c r="KSP39" s="954"/>
      <c r="KSQ39" s="954"/>
      <c r="KSR39" s="954"/>
      <c r="KSS39" s="954"/>
      <c r="KST39" s="954"/>
      <c r="KSU39" s="954"/>
      <c r="KSV39" s="954"/>
      <c r="KSW39" s="954"/>
      <c r="KSX39" s="954"/>
      <c r="KSY39" s="954"/>
      <c r="KSZ39" s="954"/>
      <c r="KTA39" s="954"/>
      <c r="KTB39" s="954"/>
      <c r="KTC39" s="954"/>
      <c r="KTD39" s="954"/>
      <c r="KTE39" s="954"/>
      <c r="KTF39" s="954"/>
      <c r="KTG39" s="954"/>
      <c r="KTH39" s="954"/>
      <c r="KTI39" s="954"/>
      <c r="KTJ39" s="954"/>
      <c r="KTK39" s="954"/>
      <c r="KTL39" s="954"/>
      <c r="KTM39" s="954"/>
      <c r="KTN39" s="954"/>
      <c r="KTO39" s="954"/>
      <c r="KTP39" s="954"/>
      <c r="KTQ39" s="954"/>
      <c r="KTR39" s="954"/>
      <c r="KTS39" s="954"/>
      <c r="KTT39" s="954"/>
      <c r="KTU39" s="954"/>
      <c r="KTV39" s="954"/>
      <c r="KTW39" s="954"/>
      <c r="KTX39" s="954"/>
      <c r="KTY39" s="954"/>
      <c r="KTZ39" s="954"/>
      <c r="KUA39" s="954"/>
      <c r="KUB39" s="954"/>
      <c r="KUC39" s="954"/>
      <c r="KUD39" s="954"/>
      <c r="KUE39" s="954"/>
      <c r="KUF39" s="954"/>
      <c r="KUG39" s="954"/>
      <c r="KUH39" s="954"/>
      <c r="KUI39" s="954"/>
      <c r="KUJ39" s="954"/>
      <c r="KUK39" s="954"/>
      <c r="KUL39" s="954"/>
      <c r="KUM39" s="954"/>
      <c r="KUN39" s="954"/>
      <c r="KUO39" s="954"/>
      <c r="KUP39" s="954"/>
      <c r="KUQ39" s="954"/>
      <c r="KUR39" s="954"/>
      <c r="KUS39" s="954"/>
      <c r="KUT39" s="954"/>
      <c r="KUU39" s="954"/>
      <c r="KUV39" s="954"/>
      <c r="KUW39" s="954"/>
      <c r="KUX39" s="954"/>
      <c r="KUY39" s="954"/>
      <c r="KUZ39" s="954"/>
      <c r="KVA39" s="954"/>
      <c r="KVB39" s="954"/>
      <c r="KVC39" s="954"/>
      <c r="KVD39" s="954"/>
      <c r="KVE39" s="954"/>
      <c r="KVF39" s="954"/>
      <c r="KVG39" s="954"/>
      <c r="KVH39" s="954"/>
      <c r="KVI39" s="954"/>
      <c r="KVJ39" s="954"/>
      <c r="KVK39" s="954"/>
      <c r="KVL39" s="954"/>
      <c r="KVM39" s="954"/>
      <c r="KVN39" s="954"/>
      <c r="KVO39" s="954"/>
      <c r="KVP39" s="954"/>
      <c r="KVQ39" s="954"/>
      <c r="KVR39" s="954"/>
      <c r="KVS39" s="954"/>
      <c r="KVT39" s="954"/>
      <c r="KVU39" s="954"/>
      <c r="KVV39" s="954"/>
      <c r="KVW39" s="954"/>
      <c r="KVX39" s="954"/>
      <c r="KVY39" s="954"/>
      <c r="KVZ39" s="954"/>
      <c r="KWA39" s="954"/>
      <c r="KWB39" s="954"/>
      <c r="KWC39" s="954"/>
      <c r="KWD39" s="954"/>
      <c r="KWE39" s="954"/>
      <c r="KWF39" s="954"/>
      <c r="KWG39" s="954"/>
      <c r="KWH39" s="954"/>
      <c r="KWI39" s="954"/>
      <c r="KWJ39" s="954"/>
      <c r="KWK39" s="954"/>
      <c r="KWL39" s="954"/>
      <c r="KWM39" s="954"/>
      <c r="KWN39" s="954"/>
      <c r="KWO39" s="954"/>
      <c r="KWP39" s="954"/>
      <c r="KWQ39" s="954"/>
      <c r="KWR39" s="954"/>
      <c r="KWS39" s="954"/>
      <c r="KWT39" s="954"/>
      <c r="KWU39" s="954"/>
      <c r="KWV39" s="954"/>
      <c r="KWW39" s="954"/>
      <c r="KWX39" s="954"/>
      <c r="KWY39" s="954"/>
      <c r="KWZ39" s="954"/>
      <c r="KXA39" s="954"/>
      <c r="KXB39" s="954"/>
      <c r="KXC39" s="954"/>
      <c r="KXD39" s="954"/>
      <c r="KXE39" s="954"/>
      <c r="KXF39" s="954"/>
      <c r="KXG39" s="954"/>
      <c r="KXH39" s="954"/>
      <c r="KXI39" s="954"/>
      <c r="KXJ39" s="954"/>
      <c r="KXK39" s="954"/>
      <c r="KXL39" s="954"/>
      <c r="KXM39" s="954"/>
      <c r="KXN39" s="954"/>
      <c r="KXO39" s="954"/>
      <c r="KXP39" s="954"/>
      <c r="KXQ39" s="954"/>
      <c r="KXR39" s="954"/>
      <c r="KXS39" s="954"/>
      <c r="KXT39" s="954"/>
      <c r="KXU39" s="954"/>
      <c r="KXV39" s="954"/>
      <c r="KXW39" s="954"/>
      <c r="KXX39" s="954"/>
      <c r="KXY39" s="954"/>
      <c r="KXZ39" s="954"/>
      <c r="KYA39" s="954"/>
      <c r="KYB39" s="954"/>
      <c r="KYC39" s="954"/>
      <c r="KYD39" s="954"/>
      <c r="KYE39" s="954"/>
      <c r="KYF39" s="954"/>
      <c r="KYG39" s="954"/>
      <c r="KYH39" s="954"/>
      <c r="KYI39" s="954"/>
      <c r="KYJ39" s="954"/>
      <c r="KYK39" s="954"/>
      <c r="KYL39" s="954"/>
      <c r="KYM39" s="954"/>
      <c r="KYN39" s="954"/>
      <c r="KYO39" s="954"/>
      <c r="KYP39" s="954"/>
      <c r="KYQ39" s="954"/>
      <c r="KYR39" s="954"/>
      <c r="KYS39" s="954"/>
      <c r="KYT39" s="954"/>
      <c r="KYU39" s="954"/>
      <c r="KYV39" s="954"/>
      <c r="KYW39" s="954"/>
      <c r="KYX39" s="954"/>
      <c r="KYY39" s="954"/>
      <c r="KYZ39" s="954"/>
      <c r="KZA39" s="954"/>
      <c r="KZB39" s="954"/>
      <c r="KZC39" s="954"/>
      <c r="KZD39" s="954"/>
      <c r="KZE39" s="954"/>
      <c r="KZF39" s="954"/>
      <c r="KZG39" s="954"/>
      <c r="KZH39" s="954"/>
      <c r="KZI39" s="954"/>
      <c r="KZJ39" s="954"/>
      <c r="KZK39" s="954"/>
      <c r="KZL39" s="954"/>
      <c r="KZM39" s="954"/>
      <c r="KZN39" s="954"/>
      <c r="KZO39" s="954"/>
      <c r="KZP39" s="954"/>
      <c r="KZQ39" s="954"/>
      <c r="KZR39" s="954"/>
      <c r="KZS39" s="954"/>
      <c r="KZT39" s="954"/>
      <c r="KZU39" s="954"/>
      <c r="KZV39" s="954"/>
      <c r="KZW39" s="954"/>
      <c r="KZX39" s="954"/>
      <c r="KZY39" s="954"/>
      <c r="KZZ39" s="954"/>
      <c r="LAA39" s="954"/>
      <c r="LAB39" s="954"/>
      <c r="LAC39" s="954"/>
      <c r="LAD39" s="954"/>
      <c r="LAE39" s="954"/>
      <c r="LAF39" s="954"/>
      <c r="LAG39" s="954"/>
      <c r="LAH39" s="954"/>
      <c r="LAI39" s="954"/>
      <c r="LAJ39" s="954"/>
      <c r="LAK39" s="954"/>
      <c r="LAL39" s="954"/>
      <c r="LAM39" s="954"/>
      <c r="LAN39" s="954"/>
      <c r="LAO39" s="954"/>
      <c r="LAP39" s="954"/>
      <c r="LAQ39" s="954"/>
      <c r="LAR39" s="954"/>
      <c r="LAS39" s="954"/>
      <c r="LAT39" s="954"/>
      <c r="LAU39" s="954"/>
      <c r="LAV39" s="954"/>
      <c r="LAW39" s="954"/>
      <c r="LAX39" s="954"/>
      <c r="LAY39" s="954"/>
      <c r="LAZ39" s="954"/>
      <c r="LBA39" s="954"/>
      <c r="LBB39" s="954"/>
      <c r="LBC39" s="954"/>
      <c r="LBD39" s="954"/>
      <c r="LBE39" s="954"/>
      <c r="LBF39" s="954"/>
      <c r="LBG39" s="954"/>
      <c r="LBH39" s="954"/>
      <c r="LBI39" s="954"/>
      <c r="LBJ39" s="954"/>
      <c r="LBK39" s="954"/>
      <c r="LBL39" s="954"/>
      <c r="LBM39" s="954"/>
      <c r="LBN39" s="954"/>
      <c r="LBO39" s="954"/>
      <c r="LBP39" s="954"/>
      <c r="LBQ39" s="954"/>
      <c r="LBR39" s="954"/>
      <c r="LBS39" s="954"/>
      <c r="LBT39" s="954"/>
      <c r="LBU39" s="954"/>
      <c r="LBV39" s="954"/>
      <c r="LBW39" s="954"/>
      <c r="LBX39" s="954"/>
      <c r="LBY39" s="954"/>
      <c r="LBZ39" s="954"/>
      <c r="LCA39" s="954"/>
      <c r="LCB39" s="954"/>
      <c r="LCC39" s="954"/>
      <c r="LCD39" s="954"/>
      <c r="LCE39" s="954"/>
      <c r="LCF39" s="954"/>
      <c r="LCG39" s="954"/>
      <c r="LCH39" s="954"/>
      <c r="LCI39" s="954"/>
      <c r="LCJ39" s="954"/>
      <c r="LCK39" s="954"/>
      <c r="LCL39" s="954"/>
      <c r="LCM39" s="954"/>
      <c r="LCN39" s="954"/>
      <c r="LCO39" s="954"/>
      <c r="LCP39" s="954"/>
      <c r="LCQ39" s="954"/>
      <c r="LCR39" s="954"/>
      <c r="LCS39" s="954"/>
      <c r="LCT39" s="954"/>
      <c r="LCU39" s="954"/>
      <c r="LCV39" s="954"/>
      <c r="LCW39" s="954"/>
      <c r="LCX39" s="954"/>
      <c r="LCY39" s="954"/>
      <c r="LCZ39" s="954"/>
      <c r="LDA39" s="954"/>
      <c r="LDB39" s="954"/>
      <c r="LDC39" s="954"/>
      <c r="LDD39" s="954"/>
      <c r="LDE39" s="954"/>
      <c r="LDF39" s="954"/>
      <c r="LDG39" s="954"/>
      <c r="LDH39" s="954"/>
      <c r="LDI39" s="954"/>
      <c r="LDJ39" s="954"/>
      <c r="LDK39" s="954"/>
      <c r="LDL39" s="954"/>
      <c r="LDM39" s="954"/>
      <c r="LDN39" s="954"/>
      <c r="LDO39" s="954"/>
      <c r="LDP39" s="954"/>
      <c r="LDQ39" s="954"/>
      <c r="LDR39" s="954"/>
      <c r="LDS39" s="954"/>
      <c r="LDT39" s="954"/>
      <c r="LDU39" s="954"/>
      <c r="LDV39" s="954"/>
      <c r="LDW39" s="954"/>
      <c r="LDX39" s="954"/>
      <c r="LDY39" s="954"/>
      <c r="LDZ39" s="954"/>
      <c r="LEA39" s="954"/>
      <c r="LEB39" s="954"/>
      <c r="LEC39" s="954"/>
      <c r="LED39" s="954"/>
      <c r="LEE39" s="954"/>
      <c r="LEF39" s="954"/>
      <c r="LEG39" s="954"/>
      <c r="LEH39" s="954"/>
      <c r="LEI39" s="954"/>
      <c r="LEJ39" s="954"/>
      <c r="LEK39" s="954"/>
      <c r="LEL39" s="954"/>
      <c r="LEM39" s="954"/>
      <c r="LEN39" s="954"/>
      <c r="LEO39" s="954"/>
      <c r="LEP39" s="954"/>
      <c r="LEQ39" s="954"/>
      <c r="LER39" s="954"/>
      <c r="LES39" s="954"/>
      <c r="LET39" s="954"/>
      <c r="LEU39" s="954"/>
      <c r="LEV39" s="954"/>
      <c r="LEW39" s="954"/>
      <c r="LEX39" s="954"/>
      <c r="LEY39" s="954"/>
      <c r="LEZ39" s="954"/>
      <c r="LFA39" s="954"/>
      <c r="LFB39" s="954"/>
      <c r="LFC39" s="954"/>
      <c r="LFD39" s="954"/>
      <c r="LFE39" s="954"/>
      <c r="LFF39" s="954"/>
      <c r="LFG39" s="954"/>
      <c r="LFH39" s="954"/>
      <c r="LFI39" s="954"/>
      <c r="LFJ39" s="954"/>
      <c r="LFK39" s="954"/>
      <c r="LFL39" s="954"/>
      <c r="LFM39" s="954"/>
      <c r="LFN39" s="954"/>
      <c r="LFO39" s="954"/>
      <c r="LFP39" s="954"/>
      <c r="LFQ39" s="954"/>
      <c r="LFR39" s="954"/>
      <c r="LFS39" s="954"/>
      <c r="LFT39" s="954"/>
      <c r="LFU39" s="954"/>
      <c r="LFV39" s="954"/>
      <c r="LFW39" s="954"/>
      <c r="LFX39" s="954"/>
      <c r="LFY39" s="954"/>
      <c r="LFZ39" s="954"/>
      <c r="LGA39" s="954"/>
      <c r="LGB39" s="954"/>
      <c r="LGC39" s="954"/>
      <c r="LGD39" s="954"/>
      <c r="LGE39" s="954"/>
      <c r="LGF39" s="954"/>
      <c r="LGG39" s="954"/>
      <c r="LGH39" s="954"/>
      <c r="LGI39" s="954"/>
      <c r="LGJ39" s="954"/>
      <c r="LGK39" s="954"/>
      <c r="LGL39" s="954"/>
      <c r="LGM39" s="954"/>
      <c r="LGN39" s="954"/>
      <c r="LGO39" s="954"/>
      <c r="LGP39" s="954"/>
      <c r="LGQ39" s="954"/>
      <c r="LGR39" s="954"/>
      <c r="LGS39" s="954"/>
      <c r="LGT39" s="954"/>
      <c r="LGU39" s="954"/>
      <c r="LGV39" s="954"/>
      <c r="LGW39" s="954"/>
      <c r="LGX39" s="954"/>
      <c r="LGY39" s="954"/>
      <c r="LGZ39" s="954"/>
      <c r="LHA39" s="954"/>
      <c r="LHB39" s="954"/>
      <c r="LHC39" s="954"/>
      <c r="LHD39" s="954"/>
      <c r="LHE39" s="954"/>
      <c r="LHF39" s="954"/>
      <c r="LHG39" s="954"/>
      <c r="LHH39" s="954"/>
      <c r="LHI39" s="954"/>
      <c r="LHJ39" s="954"/>
      <c r="LHK39" s="954"/>
      <c r="LHL39" s="954"/>
      <c r="LHM39" s="954"/>
      <c r="LHN39" s="954"/>
      <c r="LHO39" s="954"/>
      <c r="LHP39" s="954"/>
      <c r="LHQ39" s="954"/>
      <c r="LHR39" s="954"/>
      <c r="LHS39" s="954"/>
      <c r="LHT39" s="954"/>
      <c r="LHU39" s="954"/>
      <c r="LHV39" s="954"/>
      <c r="LHW39" s="954"/>
      <c r="LHX39" s="954"/>
      <c r="LHY39" s="954"/>
      <c r="LHZ39" s="954"/>
      <c r="LIA39" s="954"/>
      <c r="LIB39" s="954"/>
      <c r="LIC39" s="954"/>
      <c r="LID39" s="954"/>
      <c r="LIE39" s="954"/>
      <c r="LIF39" s="954"/>
      <c r="LIG39" s="954"/>
      <c r="LIH39" s="954"/>
      <c r="LII39" s="954"/>
      <c r="LIJ39" s="954"/>
      <c r="LIK39" s="954"/>
      <c r="LIL39" s="954"/>
      <c r="LIM39" s="954"/>
      <c r="LIN39" s="954"/>
      <c r="LIO39" s="954"/>
      <c r="LIP39" s="954"/>
      <c r="LIQ39" s="954"/>
      <c r="LIR39" s="954"/>
      <c r="LIS39" s="954"/>
      <c r="LIT39" s="954"/>
      <c r="LIU39" s="954"/>
      <c r="LIV39" s="954"/>
      <c r="LIW39" s="954"/>
      <c r="LIX39" s="954"/>
      <c r="LIY39" s="954"/>
      <c r="LIZ39" s="954"/>
      <c r="LJA39" s="954"/>
      <c r="LJB39" s="954"/>
      <c r="LJC39" s="954"/>
      <c r="LJD39" s="954"/>
      <c r="LJE39" s="954"/>
      <c r="LJF39" s="954"/>
      <c r="LJG39" s="954"/>
      <c r="LJH39" s="954"/>
      <c r="LJI39" s="954"/>
      <c r="LJJ39" s="954"/>
      <c r="LJK39" s="954"/>
      <c r="LJL39" s="954"/>
      <c r="LJM39" s="954"/>
      <c r="LJN39" s="954"/>
      <c r="LJO39" s="954"/>
      <c r="LJP39" s="954"/>
      <c r="LJQ39" s="954"/>
      <c r="LJR39" s="954"/>
      <c r="LJS39" s="954"/>
      <c r="LJT39" s="954"/>
      <c r="LJU39" s="954"/>
      <c r="LJV39" s="954"/>
      <c r="LJW39" s="954"/>
      <c r="LJX39" s="954"/>
      <c r="LJY39" s="954"/>
      <c r="LJZ39" s="954"/>
      <c r="LKA39" s="954"/>
      <c r="LKB39" s="954"/>
      <c r="LKC39" s="954"/>
      <c r="LKD39" s="954"/>
      <c r="LKE39" s="954"/>
      <c r="LKF39" s="954"/>
      <c r="LKG39" s="954"/>
      <c r="LKH39" s="954"/>
      <c r="LKI39" s="954"/>
      <c r="LKJ39" s="954"/>
      <c r="LKK39" s="954"/>
      <c r="LKL39" s="954"/>
      <c r="LKM39" s="954"/>
      <c r="LKN39" s="954"/>
      <c r="LKO39" s="954"/>
      <c r="LKP39" s="954"/>
      <c r="LKQ39" s="954"/>
      <c r="LKR39" s="954"/>
      <c r="LKS39" s="954"/>
      <c r="LKT39" s="954"/>
      <c r="LKU39" s="954"/>
      <c r="LKV39" s="954"/>
      <c r="LKW39" s="954"/>
      <c r="LKX39" s="954"/>
      <c r="LKY39" s="954"/>
      <c r="LKZ39" s="954"/>
      <c r="LLA39" s="954"/>
      <c r="LLB39" s="954"/>
      <c r="LLC39" s="954"/>
      <c r="LLD39" s="954"/>
      <c r="LLE39" s="954"/>
      <c r="LLF39" s="954"/>
      <c r="LLG39" s="954"/>
      <c r="LLH39" s="954"/>
      <c r="LLI39" s="954"/>
      <c r="LLJ39" s="954"/>
      <c r="LLK39" s="954"/>
      <c r="LLL39" s="954"/>
      <c r="LLM39" s="954"/>
      <c r="LLN39" s="954"/>
      <c r="LLO39" s="954"/>
      <c r="LLP39" s="954"/>
      <c r="LLQ39" s="954"/>
      <c r="LLR39" s="954"/>
      <c r="LLS39" s="954"/>
      <c r="LLT39" s="954"/>
      <c r="LLU39" s="954"/>
      <c r="LLV39" s="954"/>
      <c r="LLW39" s="954"/>
      <c r="LLX39" s="954"/>
      <c r="LLY39" s="954"/>
      <c r="LLZ39" s="954"/>
      <c r="LMA39" s="954"/>
      <c r="LMB39" s="954"/>
      <c r="LMC39" s="954"/>
      <c r="LMD39" s="954"/>
      <c r="LME39" s="954"/>
      <c r="LMF39" s="954"/>
      <c r="LMG39" s="954"/>
      <c r="LMH39" s="954"/>
      <c r="LMI39" s="954"/>
      <c r="LMJ39" s="954"/>
      <c r="LMK39" s="954"/>
      <c r="LML39" s="954"/>
      <c r="LMM39" s="954"/>
      <c r="LMN39" s="954"/>
      <c r="LMO39" s="954"/>
      <c r="LMP39" s="954"/>
      <c r="LMQ39" s="954"/>
      <c r="LMR39" s="954"/>
      <c r="LMS39" s="954"/>
      <c r="LMT39" s="954"/>
      <c r="LMU39" s="954"/>
      <c r="LMV39" s="954"/>
      <c r="LMW39" s="954"/>
      <c r="LMX39" s="954"/>
      <c r="LMY39" s="954"/>
      <c r="LMZ39" s="954"/>
      <c r="LNA39" s="954"/>
      <c r="LNB39" s="954"/>
      <c r="LNC39" s="954"/>
      <c r="LND39" s="954"/>
      <c r="LNE39" s="954"/>
      <c r="LNF39" s="954"/>
      <c r="LNG39" s="954"/>
      <c r="LNH39" s="954"/>
      <c r="LNI39" s="954"/>
      <c r="LNJ39" s="954"/>
      <c r="LNK39" s="954"/>
      <c r="LNL39" s="954"/>
      <c r="LNM39" s="954"/>
      <c r="LNN39" s="954"/>
      <c r="LNO39" s="954"/>
      <c r="LNP39" s="954"/>
      <c r="LNQ39" s="954"/>
      <c r="LNR39" s="954"/>
      <c r="LNS39" s="954"/>
      <c r="LNT39" s="954"/>
      <c r="LNU39" s="954"/>
      <c r="LNV39" s="954"/>
      <c r="LNW39" s="954"/>
      <c r="LNX39" s="954"/>
      <c r="LNY39" s="954"/>
      <c r="LNZ39" s="954"/>
      <c r="LOA39" s="954"/>
      <c r="LOB39" s="954"/>
      <c r="LOC39" s="954"/>
      <c r="LOD39" s="954"/>
      <c r="LOE39" s="954"/>
      <c r="LOF39" s="954"/>
      <c r="LOG39" s="954"/>
      <c r="LOH39" s="954"/>
      <c r="LOI39" s="954"/>
      <c r="LOJ39" s="954"/>
      <c r="LOK39" s="954"/>
      <c r="LOL39" s="954"/>
      <c r="LOM39" s="954"/>
      <c r="LON39" s="954"/>
      <c r="LOO39" s="954"/>
      <c r="LOP39" s="954"/>
      <c r="LOQ39" s="954"/>
      <c r="LOR39" s="954"/>
      <c r="LOS39" s="954"/>
      <c r="LOT39" s="954"/>
      <c r="LOU39" s="954"/>
      <c r="LOV39" s="954"/>
      <c r="LOW39" s="954"/>
      <c r="LOX39" s="954"/>
      <c r="LOY39" s="954"/>
      <c r="LOZ39" s="954"/>
      <c r="LPA39" s="954"/>
      <c r="LPB39" s="954"/>
      <c r="LPC39" s="954"/>
      <c r="LPD39" s="954"/>
      <c r="LPE39" s="954"/>
      <c r="LPF39" s="954"/>
      <c r="LPG39" s="954"/>
      <c r="LPH39" s="954"/>
      <c r="LPI39" s="954"/>
      <c r="LPJ39" s="954"/>
      <c r="LPK39" s="954"/>
      <c r="LPL39" s="954"/>
      <c r="LPM39" s="954"/>
      <c r="LPN39" s="954"/>
      <c r="LPO39" s="954"/>
      <c r="LPP39" s="954"/>
      <c r="LPQ39" s="954"/>
      <c r="LPR39" s="954"/>
      <c r="LPS39" s="954"/>
      <c r="LPT39" s="954"/>
      <c r="LPU39" s="954"/>
      <c r="LPV39" s="954"/>
      <c r="LPW39" s="954"/>
      <c r="LPX39" s="954"/>
      <c r="LPY39" s="954"/>
      <c r="LPZ39" s="954"/>
      <c r="LQA39" s="954"/>
      <c r="LQB39" s="954"/>
      <c r="LQC39" s="954"/>
      <c r="LQD39" s="954"/>
      <c r="LQE39" s="954"/>
      <c r="LQF39" s="954"/>
      <c r="LQG39" s="954"/>
      <c r="LQH39" s="954"/>
      <c r="LQI39" s="954"/>
      <c r="LQJ39" s="954"/>
      <c r="LQK39" s="954"/>
      <c r="LQL39" s="954"/>
      <c r="LQM39" s="954"/>
      <c r="LQN39" s="954"/>
      <c r="LQO39" s="954"/>
      <c r="LQP39" s="954"/>
      <c r="LQQ39" s="954"/>
      <c r="LQR39" s="954"/>
      <c r="LQS39" s="954"/>
      <c r="LQT39" s="954"/>
      <c r="LQU39" s="954"/>
      <c r="LQV39" s="954"/>
      <c r="LQW39" s="954"/>
      <c r="LQX39" s="954"/>
      <c r="LQY39" s="954"/>
      <c r="LQZ39" s="954"/>
      <c r="LRA39" s="954"/>
      <c r="LRB39" s="954"/>
      <c r="LRC39" s="954"/>
      <c r="LRD39" s="954"/>
      <c r="LRE39" s="954"/>
      <c r="LRF39" s="954"/>
      <c r="LRG39" s="954"/>
      <c r="LRH39" s="954"/>
      <c r="LRI39" s="954"/>
      <c r="LRJ39" s="954"/>
      <c r="LRK39" s="954"/>
      <c r="LRL39" s="954"/>
      <c r="LRM39" s="954"/>
      <c r="LRN39" s="954"/>
      <c r="LRO39" s="954"/>
      <c r="LRP39" s="954"/>
      <c r="LRQ39" s="954"/>
      <c r="LRR39" s="954"/>
      <c r="LRS39" s="954"/>
      <c r="LRT39" s="954"/>
      <c r="LRU39" s="954"/>
      <c r="LRV39" s="954"/>
      <c r="LRW39" s="954"/>
      <c r="LRX39" s="954"/>
      <c r="LRY39" s="954"/>
      <c r="LRZ39" s="954"/>
      <c r="LSA39" s="954"/>
      <c r="LSB39" s="954"/>
      <c r="LSC39" s="954"/>
      <c r="LSD39" s="954"/>
      <c r="LSE39" s="954"/>
      <c r="LSF39" s="954"/>
      <c r="LSG39" s="954"/>
      <c r="LSH39" s="954"/>
      <c r="LSI39" s="954"/>
      <c r="LSJ39" s="954"/>
      <c r="LSK39" s="954"/>
      <c r="LSL39" s="954"/>
      <c r="LSM39" s="954"/>
      <c r="LSN39" s="954"/>
      <c r="LSO39" s="954"/>
      <c r="LSP39" s="954"/>
      <c r="LSQ39" s="954"/>
      <c r="LSR39" s="954"/>
      <c r="LSS39" s="954"/>
      <c r="LST39" s="954"/>
      <c r="LSU39" s="954"/>
      <c r="LSV39" s="954"/>
      <c r="LSW39" s="954"/>
      <c r="LSX39" s="954"/>
      <c r="LSY39" s="954"/>
      <c r="LSZ39" s="954"/>
      <c r="LTA39" s="954"/>
      <c r="LTB39" s="954"/>
      <c r="LTC39" s="954"/>
      <c r="LTD39" s="954"/>
      <c r="LTE39" s="954"/>
      <c r="LTF39" s="954"/>
      <c r="LTG39" s="954"/>
      <c r="LTH39" s="954"/>
      <c r="LTI39" s="954"/>
      <c r="LTJ39" s="954"/>
      <c r="LTK39" s="954"/>
      <c r="LTL39" s="954"/>
      <c r="LTM39" s="954"/>
      <c r="LTN39" s="954"/>
      <c r="LTO39" s="954"/>
      <c r="LTP39" s="954"/>
      <c r="LTQ39" s="954"/>
      <c r="LTR39" s="954"/>
      <c r="LTS39" s="954"/>
      <c r="LTT39" s="954"/>
      <c r="LTU39" s="954"/>
      <c r="LTV39" s="954"/>
      <c r="LTW39" s="954"/>
      <c r="LTX39" s="954"/>
      <c r="LTY39" s="954"/>
      <c r="LTZ39" s="954"/>
      <c r="LUA39" s="954"/>
      <c r="LUB39" s="954"/>
      <c r="LUC39" s="954"/>
      <c r="LUD39" s="954"/>
      <c r="LUE39" s="954"/>
      <c r="LUF39" s="954"/>
      <c r="LUG39" s="954"/>
      <c r="LUH39" s="954"/>
      <c r="LUI39" s="954"/>
      <c r="LUJ39" s="954"/>
      <c r="LUK39" s="954"/>
      <c r="LUL39" s="954"/>
      <c r="LUM39" s="954"/>
      <c r="LUN39" s="954"/>
      <c r="LUO39" s="954"/>
      <c r="LUP39" s="954"/>
      <c r="LUQ39" s="954"/>
      <c r="LUR39" s="954"/>
      <c r="LUS39" s="954"/>
      <c r="LUT39" s="954"/>
      <c r="LUU39" s="954"/>
      <c r="LUV39" s="954"/>
      <c r="LUW39" s="954"/>
      <c r="LUX39" s="954"/>
      <c r="LUY39" s="954"/>
      <c r="LUZ39" s="954"/>
      <c r="LVA39" s="954"/>
      <c r="LVB39" s="954"/>
      <c r="LVC39" s="954"/>
      <c r="LVD39" s="954"/>
      <c r="LVE39" s="954"/>
      <c r="LVF39" s="954"/>
      <c r="LVG39" s="954"/>
      <c r="LVH39" s="954"/>
      <c r="LVI39" s="954"/>
      <c r="LVJ39" s="954"/>
      <c r="LVK39" s="954"/>
      <c r="LVL39" s="954"/>
      <c r="LVM39" s="954"/>
      <c r="LVN39" s="954"/>
      <c r="LVO39" s="954"/>
      <c r="LVP39" s="954"/>
      <c r="LVQ39" s="954"/>
      <c r="LVR39" s="954"/>
      <c r="LVS39" s="954"/>
      <c r="LVT39" s="954"/>
      <c r="LVU39" s="954"/>
      <c r="LVV39" s="954"/>
      <c r="LVW39" s="954"/>
      <c r="LVX39" s="954"/>
      <c r="LVY39" s="954"/>
      <c r="LVZ39" s="954"/>
      <c r="LWA39" s="954"/>
      <c r="LWB39" s="954"/>
      <c r="LWC39" s="954"/>
      <c r="LWD39" s="954"/>
      <c r="LWE39" s="954"/>
      <c r="LWF39" s="954"/>
      <c r="LWG39" s="954"/>
      <c r="LWH39" s="954"/>
      <c r="LWI39" s="954"/>
      <c r="LWJ39" s="954"/>
      <c r="LWK39" s="954"/>
      <c r="LWL39" s="954"/>
      <c r="LWM39" s="954"/>
      <c r="LWN39" s="954"/>
      <c r="LWO39" s="954"/>
      <c r="LWP39" s="954"/>
      <c r="LWQ39" s="954"/>
      <c r="LWR39" s="954"/>
      <c r="LWS39" s="954"/>
      <c r="LWT39" s="954"/>
      <c r="LWU39" s="954"/>
      <c r="LWV39" s="954"/>
      <c r="LWW39" s="954"/>
      <c r="LWX39" s="954"/>
      <c r="LWY39" s="954"/>
      <c r="LWZ39" s="954"/>
      <c r="LXA39" s="954"/>
      <c r="LXB39" s="954"/>
      <c r="LXC39" s="954"/>
      <c r="LXD39" s="954"/>
      <c r="LXE39" s="954"/>
      <c r="LXF39" s="954"/>
      <c r="LXG39" s="954"/>
      <c r="LXH39" s="954"/>
      <c r="LXI39" s="954"/>
      <c r="LXJ39" s="954"/>
      <c r="LXK39" s="954"/>
      <c r="LXL39" s="954"/>
      <c r="LXM39" s="954"/>
      <c r="LXN39" s="954"/>
      <c r="LXO39" s="954"/>
      <c r="LXP39" s="954"/>
      <c r="LXQ39" s="954"/>
      <c r="LXR39" s="954"/>
      <c r="LXS39" s="954"/>
      <c r="LXT39" s="954"/>
      <c r="LXU39" s="954"/>
      <c r="LXV39" s="954"/>
      <c r="LXW39" s="954"/>
      <c r="LXX39" s="954"/>
      <c r="LXY39" s="954"/>
      <c r="LXZ39" s="954"/>
      <c r="LYA39" s="954"/>
      <c r="LYB39" s="954"/>
      <c r="LYC39" s="954"/>
      <c r="LYD39" s="954"/>
      <c r="LYE39" s="954"/>
      <c r="LYF39" s="954"/>
      <c r="LYG39" s="954"/>
      <c r="LYH39" s="954"/>
      <c r="LYI39" s="954"/>
      <c r="LYJ39" s="954"/>
      <c r="LYK39" s="954"/>
      <c r="LYL39" s="954"/>
      <c r="LYM39" s="954"/>
      <c r="LYN39" s="954"/>
      <c r="LYO39" s="954"/>
      <c r="LYP39" s="954"/>
      <c r="LYQ39" s="954"/>
      <c r="LYR39" s="954"/>
      <c r="LYS39" s="954"/>
      <c r="LYT39" s="954"/>
      <c r="LYU39" s="954"/>
      <c r="LYV39" s="954"/>
      <c r="LYW39" s="954"/>
      <c r="LYX39" s="954"/>
      <c r="LYY39" s="954"/>
      <c r="LYZ39" s="954"/>
      <c r="LZA39" s="954"/>
      <c r="LZB39" s="954"/>
      <c r="LZC39" s="954"/>
      <c r="LZD39" s="954"/>
      <c r="LZE39" s="954"/>
      <c r="LZF39" s="954"/>
      <c r="LZG39" s="954"/>
      <c r="LZH39" s="954"/>
      <c r="LZI39" s="954"/>
      <c r="LZJ39" s="954"/>
      <c r="LZK39" s="954"/>
      <c r="LZL39" s="954"/>
      <c r="LZM39" s="954"/>
      <c r="LZN39" s="954"/>
      <c r="LZO39" s="954"/>
      <c r="LZP39" s="954"/>
      <c r="LZQ39" s="954"/>
      <c r="LZR39" s="954"/>
      <c r="LZS39" s="954"/>
      <c r="LZT39" s="954"/>
      <c r="LZU39" s="954"/>
      <c r="LZV39" s="954"/>
      <c r="LZW39" s="954"/>
      <c r="LZX39" s="954"/>
      <c r="LZY39" s="954"/>
      <c r="LZZ39" s="954"/>
      <c r="MAA39" s="954"/>
      <c r="MAB39" s="954"/>
      <c r="MAC39" s="954"/>
      <c r="MAD39" s="954"/>
      <c r="MAE39" s="954"/>
      <c r="MAF39" s="954"/>
      <c r="MAG39" s="954"/>
      <c r="MAH39" s="954"/>
      <c r="MAI39" s="954"/>
      <c r="MAJ39" s="954"/>
      <c r="MAK39" s="954"/>
      <c r="MAL39" s="954"/>
      <c r="MAM39" s="954"/>
      <c r="MAN39" s="954"/>
      <c r="MAO39" s="954"/>
      <c r="MAP39" s="954"/>
      <c r="MAQ39" s="954"/>
      <c r="MAR39" s="954"/>
      <c r="MAS39" s="954"/>
      <c r="MAT39" s="954"/>
      <c r="MAU39" s="954"/>
      <c r="MAV39" s="954"/>
      <c r="MAW39" s="954"/>
      <c r="MAX39" s="954"/>
      <c r="MAY39" s="954"/>
      <c r="MAZ39" s="954"/>
      <c r="MBA39" s="954"/>
      <c r="MBB39" s="954"/>
      <c r="MBC39" s="954"/>
      <c r="MBD39" s="954"/>
      <c r="MBE39" s="954"/>
      <c r="MBF39" s="954"/>
      <c r="MBG39" s="954"/>
      <c r="MBH39" s="954"/>
      <c r="MBI39" s="954"/>
      <c r="MBJ39" s="954"/>
      <c r="MBK39" s="954"/>
      <c r="MBL39" s="954"/>
      <c r="MBM39" s="954"/>
      <c r="MBN39" s="954"/>
      <c r="MBO39" s="954"/>
      <c r="MBP39" s="954"/>
      <c r="MBQ39" s="954"/>
      <c r="MBR39" s="954"/>
      <c r="MBS39" s="954"/>
      <c r="MBT39" s="954"/>
      <c r="MBU39" s="954"/>
      <c r="MBV39" s="954"/>
      <c r="MBW39" s="954"/>
      <c r="MBX39" s="954"/>
      <c r="MBY39" s="954"/>
      <c r="MBZ39" s="954"/>
      <c r="MCA39" s="954"/>
      <c r="MCB39" s="954"/>
      <c r="MCC39" s="954"/>
      <c r="MCD39" s="954"/>
      <c r="MCE39" s="954"/>
      <c r="MCF39" s="954"/>
      <c r="MCG39" s="954"/>
      <c r="MCH39" s="954"/>
      <c r="MCI39" s="954"/>
      <c r="MCJ39" s="954"/>
      <c r="MCK39" s="954"/>
      <c r="MCL39" s="954"/>
      <c r="MCM39" s="954"/>
      <c r="MCN39" s="954"/>
      <c r="MCO39" s="954"/>
      <c r="MCP39" s="954"/>
      <c r="MCQ39" s="954"/>
      <c r="MCR39" s="954"/>
      <c r="MCS39" s="954"/>
      <c r="MCT39" s="954"/>
      <c r="MCU39" s="954"/>
      <c r="MCV39" s="954"/>
      <c r="MCW39" s="954"/>
      <c r="MCX39" s="954"/>
      <c r="MCY39" s="954"/>
      <c r="MCZ39" s="954"/>
      <c r="MDA39" s="954"/>
      <c r="MDB39" s="954"/>
      <c r="MDC39" s="954"/>
      <c r="MDD39" s="954"/>
      <c r="MDE39" s="954"/>
      <c r="MDF39" s="954"/>
      <c r="MDG39" s="954"/>
      <c r="MDH39" s="954"/>
      <c r="MDI39" s="954"/>
      <c r="MDJ39" s="954"/>
      <c r="MDK39" s="954"/>
      <c r="MDL39" s="954"/>
      <c r="MDM39" s="954"/>
      <c r="MDN39" s="954"/>
      <c r="MDO39" s="954"/>
      <c r="MDP39" s="954"/>
      <c r="MDQ39" s="954"/>
      <c r="MDR39" s="954"/>
      <c r="MDS39" s="954"/>
      <c r="MDT39" s="954"/>
      <c r="MDU39" s="954"/>
      <c r="MDV39" s="954"/>
      <c r="MDW39" s="954"/>
      <c r="MDX39" s="954"/>
      <c r="MDY39" s="954"/>
      <c r="MDZ39" s="954"/>
      <c r="MEA39" s="954"/>
      <c r="MEB39" s="954"/>
      <c r="MEC39" s="954"/>
      <c r="MED39" s="954"/>
      <c r="MEE39" s="954"/>
      <c r="MEF39" s="954"/>
      <c r="MEG39" s="954"/>
      <c r="MEH39" s="954"/>
      <c r="MEI39" s="954"/>
      <c r="MEJ39" s="954"/>
      <c r="MEK39" s="954"/>
      <c r="MEL39" s="954"/>
      <c r="MEM39" s="954"/>
      <c r="MEN39" s="954"/>
      <c r="MEO39" s="954"/>
      <c r="MEP39" s="954"/>
      <c r="MEQ39" s="954"/>
      <c r="MER39" s="954"/>
      <c r="MES39" s="954"/>
      <c r="MET39" s="954"/>
      <c r="MEU39" s="954"/>
      <c r="MEV39" s="954"/>
      <c r="MEW39" s="954"/>
      <c r="MEX39" s="954"/>
      <c r="MEY39" s="954"/>
      <c r="MEZ39" s="954"/>
      <c r="MFA39" s="954"/>
      <c r="MFB39" s="954"/>
      <c r="MFC39" s="954"/>
      <c r="MFD39" s="954"/>
      <c r="MFE39" s="954"/>
      <c r="MFF39" s="954"/>
      <c r="MFG39" s="954"/>
      <c r="MFH39" s="954"/>
      <c r="MFI39" s="954"/>
      <c r="MFJ39" s="954"/>
      <c r="MFK39" s="954"/>
      <c r="MFL39" s="954"/>
      <c r="MFM39" s="954"/>
      <c r="MFN39" s="954"/>
      <c r="MFO39" s="954"/>
      <c r="MFP39" s="954"/>
      <c r="MFQ39" s="954"/>
      <c r="MFR39" s="954"/>
      <c r="MFS39" s="954"/>
      <c r="MFT39" s="954"/>
      <c r="MFU39" s="954"/>
      <c r="MFV39" s="954"/>
      <c r="MFW39" s="954"/>
      <c r="MFX39" s="954"/>
      <c r="MFY39" s="954"/>
      <c r="MFZ39" s="954"/>
      <c r="MGA39" s="954"/>
      <c r="MGB39" s="954"/>
      <c r="MGC39" s="954"/>
      <c r="MGD39" s="954"/>
      <c r="MGE39" s="954"/>
      <c r="MGF39" s="954"/>
      <c r="MGG39" s="954"/>
      <c r="MGH39" s="954"/>
      <c r="MGI39" s="954"/>
      <c r="MGJ39" s="954"/>
      <c r="MGK39" s="954"/>
      <c r="MGL39" s="954"/>
      <c r="MGM39" s="954"/>
      <c r="MGN39" s="954"/>
      <c r="MGO39" s="954"/>
      <c r="MGP39" s="954"/>
      <c r="MGQ39" s="954"/>
      <c r="MGR39" s="954"/>
      <c r="MGS39" s="954"/>
      <c r="MGT39" s="954"/>
      <c r="MGU39" s="954"/>
      <c r="MGV39" s="954"/>
      <c r="MGW39" s="954"/>
      <c r="MGX39" s="954"/>
      <c r="MGY39" s="954"/>
      <c r="MGZ39" s="954"/>
      <c r="MHA39" s="954"/>
      <c r="MHB39" s="954"/>
      <c r="MHC39" s="954"/>
      <c r="MHD39" s="954"/>
      <c r="MHE39" s="954"/>
      <c r="MHF39" s="954"/>
      <c r="MHG39" s="954"/>
      <c r="MHH39" s="954"/>
      <c r="MHI39" s="954"/>
      <c r="MHJ39" s="954"/>
      <c r="MHK39" s="954"/>
      <c r="MHL39" s="954"/>
      <c r="MHM39" s="954"/>
      <c r="MHN39" s="954"/>
      <c r="MHO39" s="954"/>
      <c r="MHP39" s="954"/>
      <c r="MHQ39" s="954"/>
      <c r="MHR39" s="954"/>
      <c r="MHS39" s="954"/>
      <c r="MHT39" s="954"/>
      <c r="MHU39" s="954"/>
      <c r="MHV39" s="954"/>
      <c r="MHW39" s="954"/>
      <c r="MHX39" s="954"/>
      <c r="MHY39" s="954"/>
      <c r="MHZ39" s="954"/>
      <c r="MIA39" s="954"/>
      <c r="MIB39" s="954"/>
      <c r="MIC39" s="954"/>
      <c r="MID39" s="954"/>
      <c r="MIE39" s="954"/>
      <c r="MIF39" s="954"/>
      <c r="MIG39" s="954"/>
      <c r="MIH39" s="954"/>
      <c r="MII39" s="954"/>
      <c r="MIJ39" s="954"/>
      <c r="MIK39" s="954"/>
      <c r="MIL39" s="954"/>
      <c r="MIM39" s="954"/>
      <c r="MIN39" s="954"/>
      <c r="MIO39" s="954"/>
      <c r="MIP39" s="954"/>
      <c r="MIQ39" s="954"/>
      <c r="MIR39" s="954"/>
      <c r="MIS39" s="954"/>
      <c r="MIT39" s="954"/>
      <c r="MIU39" s="954"/>
      <c r="MIV39" s="954"/>
      <c r="MIW39" s="954"/>
      <c r="MIX39" s="954"/>
      <c r="MIY39" s="954"/>
      <c r="MIZ39" s="954"/>
      <c r="MJA39" s="954"/>
      <c r="MJB39" s="954"/>
      <c r="MJC39" s="954"/>
      <c r="MJD39" s="954"/>
      <c r="MJE39" s="954"/>
      <c r="MJF39" s="954"/>
      <c r="MJG39" s="954"/>
      <c r="MJH39" s="954"/>
      <c r="MJI39" s="954"/>
      <c r="MJJ39" s="954"/>
      <c r="MJK39" s="954"/>
      <c r="MJL39" s="954"/>
      <c r="MJM39" s="954"/>
      <c r="MJN39" s="954"/>
      <c r="MJO39" s="954"/>
      <c r="MJP39" s="954"/>
      <c r="MJQ39" s="954"/>
      <c r="MJR39" s="954"/>
      <c r="MJS39" s="954"/>
      <c r="MJT39" s="954"/>
      <c r="MJU39" s="954"/>
      <c r="MJV39" s="954"/>
      <c r="MJW39" s="954"/>
      <c r="MJX39" s="954"/>
      <c r="MJY39" s="954"/>
      <c r="MJZ39" s="954"/>
      <c r="MKA39" s="954"/>
      <c r="MKB39" s="954"/>
      <c r="MKC39" s="954"/>
      <c r="MKD39" s="954"/>
      <c r="MKE39" s="954"/>
      <c r="MKF39" s="954"/>
      <c r="MKG39" s="954"/>
      <c r="MKH39" s="954"/>
      <c r="MKI39" s="954"/>
      <c r="MKJ39" s="954"/>
      <c r="MKK39" s="954"/>
      <c r="MKL39" s="954"/>
      <c r="MKM39" s="954"/>
      <c r="MKN39" s="954"/>
      <c r="MKO39" s="954"/>
      <c r="MKP39" s="954"/>
      <c r="MKQ39" s="954"/>
      <c r="MKR39" s="954"/>
      <c r="MKS39" s="954"/>
      <c r="MKT39" s="954"/>
      <c r="MKU39" s="954"/>
      <c r="MKV39" s="954"/>
      <c r="MKW39" s="954"/>
      <c r="MKX39" s="954"/>
      <c r="MKY39" s="954"/>
      <c r="MKZ39" s="954"/>
      <c r="MLA39" s="954"/>
      <c r="MLB39" s="954"/>
      <c r="MLC39" s="954"/>
      <c r="MLD39" s="954"/>
      <c r="MLE39" s="954"/>
      <c r="MLF39" s="954"/>
      <c r="MLG39" s="954"/>
      <c r="MLH39" s="954"/>
      <c r="MLI39" s="954"/>
      <c r="MLJ39" s="954"/>
      <c r="MLK39" s="954"/>
      <c r="MLL39" s="954"/>
      <c r="MLM39" s="954"/>
      <c r="MLN39" s="954"/>
      <c r="MLO39" s="954"/>
      <c r="MLP39" s="954"/>
      <c r="MLQ39" s="954"/>
      <c r="MLR39" s="954"/>
      <c r="MLS39" s="954"/>
      <c r="MLT39" s="954"/>
      <c r="MLU39" s="954"/>
      <c r="MLV39" s="954"/>
      <c r="MLW39" s="954"/>
      <c r="MLX39" s="954"/>
      <c r="MLY39" s="954"/>
      <c r="MLZ39" s="954"/>
      <c r="MMA39" s="954"/>
      <c r="MMB39" s="954"/>
      <c r="MMC39" s="954"/>
      <c r="MMD39" s="954"/>
      <c r="MME39" s="954"/>
      <c r="MMF39" s="954"/>
      <c r="MMG39" s="954"/>
      <c r="MMH39" s="954"/>
      <c r="MMI39" s="954"/>
      <c r="MMJ39" s="954"/>
      <c r="MMK39" s="954"/>
      <c r="MML39" s="954"/>
      <c r="MMM39" s="954"/>
      <c r="MMN39" s="954"/>
      <c r="MMO39" s="954"/>
      <c r="MMP39" s="954"/>
      <c r="MMQ39" s="954"/>
      <c r="MMR39" s="954"/>
      <c r="MMS39" s="954"/>
      <c r="MMT39" s="954"/>
      <c r="MMU39" s="954"/>
      <c r="MMV39" s="954"/>
      <c r="MMW39" s="954"/>
      <c r="MMX39" s="954"/>
      <c r="MMY39" s="954"/>
      <c r="MMZ39" s="954"/>
      <c r="MNA39" s="954"/>
      <c r="MNB39" s="954"/>
      <c r="MNC39" s="954"/>
      <c r="MND39" s="954"/>
      <c r="MNE39" s="954"/>
      <c r="MNF39" s="954"/>
      <c r="MNG39" s="954"/>
      <c r="MNH39" s="954"/>
      <c r="MNI39" s="954"/>
      <c r="MNJ39" s="954"/>
      <c r="MNK39" s="954"/>
      <c r="MNL39" s="954"/>
      <c r="MNM39" s="954"/>
      <c r="MNN39" s="954"/>
      <c r="MNO39" s="954"/>
      <c r="MNP39" s="954"/>
      <c r="MNQ39" s="954"/>
      <c r="MNR39" s="954"/>
      <c r="MNS39" s="954"/>
      <c r="MNT39" s="954"/>
      <c r="MNU39" s="954"/>
      <c r="MNV39" s="954"/>
      <c r="MNW39" s="954"/>
      <c r="MNX39" s="954"/>
      <c r="MNY39" s="954"/>
      <c r="MNZ39" s="954"/>
      <c r="MOA39" s="954"/>
      <c r="MOB39" s="954"/>
      <c r="MOC39" s="954"/>
      <c r="MOD39" s="954"/>
      <c r="MOE39" s="954"/>
      <c r="MOF39" s="954"/>
      <c r="MOG39" s="954"/>
      <c r="MOH39" s="954"/>
      <c r="MOI39" s="954"/>
      <c r="MOJ39" s="954"/>
      <c r="MOK39" s="954"/>
      <c r="MOL39" s="954"/>
      <c r="MOM39" s="954"/>
      <c r="MON39" s="954"/>
      <c r="MOO39" s="954"/>
      <c r="MOP39" s="954"/>
      <c r="MOQ39" s="954"/>
      <c r="MOR39" s="954"/>
      <c r="MOS39" s="954"/>
      <c r="MOT39" s="954"/>
      <c r="MOU39" s="954"/>
      <c r="MOV39" s="954"/>
      <c r="MOW39" s="954"/>
      <c r="MOX39" s="954"/>
      <c r="MOY39" s="954"/>
      <c r="MOZ39" s="954"/>
      <c r="MPA39" s="954"/>
      <c r="MPB39" s="954"/>
      <c r="MPC39" s="954"/>
      <c r="MPD39" s="954"/>
      <c r="MPE39" s="954"/>
      <c r="MPF39" s="954"/>
      <c r="MPG39" s="954"/>
      <c r="MPH39" s="954"/>
      <c r="MPI39" s="954"/>
      <c r="MPJ39" s="954"/>
      <c r="MPK39" s="954"/>
      <c r="MPL39" s="954"/>
      <c r="MPM39" s="954"/>
      <c r="MPN39" s="954"/>
      <c r="MPO39" s="954"/>
      <c r="MPP39" s="954"/>
      <c r="MPQ39" s="954"/>
      <c r="MPR39" s="954"/>
      <c r="MPS39" s="954"/>
      <c r="MPT39" s="954"/>
      <c r="MPU39" s="954"/>
      <c r="MPV39" s="954"/>
      <c r="MPW39" s="954"/>
      <c r="MPX39" s="954"/>
      <c r="MPY39" s="954"/>
      <c r="MPZ39" s="954"/>
      <c r="MQA39" s="954"/>
      <c r="MQB39" s="954"/>
      <c r="MQC39" s="954"/>
      <c r="MQD39" s="954"/>
      <c r="MQE39" s="954"/>
      <c r="MQF39" s="954"/>
      <c r="MQG39" s="954"/>
      <c r="MQH39" s="954"/>
      <c r="MQI39" s="954"/>
      <c r="MQJ39" s="954"/>
      <c r="MQK39" s="954"/>
      <c r="MQL39" s="954"/>
      <c r="MQM39" s="954"/>
      <c r="MQN39" s="954"/>
      <c r="MQO39" s="954"/>
      <c r="MQP39" s="954"/>
      <c r="MQQ39" s="954"/>
      <c r="MQR39" s="954"/>
      <c r="MQS39" s="954"/>
      <c r="MQT39" s="954"/>
      <c r="MQU39" s="954"/>
      <c r="MQV39" s="954"/>
      <c r="MQW39" s="954"/>
      <c r="MQX39" s="954"/>
      <c r="MQY39" s="954"/>
      <c r="MQZ39" s="954"/>
      <c r="MRA39" s="954"/>
      <c r="MRB39" s="954"/>
      <c r="MRC39" s="954"/>
      <c r="MRD39" s="954"/>
      <c r="MRE39" s="954"/>
      <c r="MRF39" s="954"/>
      <c r="MRG39" s="954"/>
      <c r="MRH39" s="954"/>
      <c r="MRI39" s="954"/>
      <c r="MRJ39" s="954"/>
      <c r="MRK39" s="954"/>
      <c r="MRL39" s="954"/>
      <c r="MRM39" s="954"/>
      <c r="MRN39" s="954"/>
      <c r="MRO39" s="954"/>
      <c r="MRP39" s="954"/>
      <c r="MRQ39" s="954"/>
      <c r="MRR39" s="954"/>
      <c r="MRS39" s="954"/>
      <c r="MRT39" s="954"/>
      <c r="MRU39" s="954"/>
      <c r="MRV39" s="954"/>
      <c r="MRW39" s="954"/>
      <c r="MRX39" s="954"/>
      <c r="MRY39" s="954"/>
      <c r="MRZ39" s="954"/>
      <c r="MSA39" s="954"/>
      <c r="MSB39" s="954"/>
      <c r="MSC39" s="954"/>
      <c r="MSD39" s="954"/>
      <c r="MSE39" s="954"/>
      <c r="MSF39" s="954"/>
      <c r="MSG39" s="954"/>
      <c r="MSH39" s="954"/>
      <c r="MSI39" s="954"/>
      <c r="MSJ39" s="954"/>
      <c r="MSK39" s="954"/>
      <c r="MSL39" s="954"/>
      <c r="MSM39" s="954"/>
      <c r="MSN39" s="954"/>
      <c r="MSO39" s="954"/>
      <c r="MSP39" s="954"/>
      <c r="MSQ39" s="954"/>
      <c r="MSR39" s="954"/>
      <c r="MSS39" s="954"/>
      <c r="MST39" s="954"/>
      <c r="MSU39" s="954"/>
      <c r="MSV39" s="954"/>
      <c r="MSW39" s="954"/>
      <c r="MSX39" s="954"/>
      <c r="MSY39" s="954"/>
      <c r="MSZ39" s="954"/>
      <c r="MTA39" s="954"/>
      <c r="MTB39" s="954"/>
      <c r="MTC39" s="954"/>
      <c r="MTD39" s="954"/>
      <c r="MTE39" s="954"/>
      <c r="MTF39" s="954"/>
      <c r="MTG39" s="954"/>
      <c r="MTH39" s="954"/>
      <c r="MTI39" s="954"/>
      <c r="MTJ39" s="954"/>
      <c r="MTK39" s="954"/>
      <c r="MTL39" s="954"/>
      <c r="MTM39" s="954"/>
      <c r="MTN39" s="954"/>
      <c r="MTO39" s="954"/>
      <c r="MTP39" s="954"/>
      <c r="MTQ39" s="954"/>
      <c r="MTR39" s="954"/>
      <c r="MTS39" s="954"/>
      <c r="MTT39" s="954"/>
      <c r="MTU39" s="954"/>
      <c r="MTV39" s="954"/>
      <c r="MTW39" s="954"/>
      <c r="MTX39" s="954"/>
      <c r="MTY39" s="954"/>
      <c r="MTZ39" s="954"/>
      <c r="MUA39" s="954"/>
      <c r="MUB39" s="954"/>
      <c r="MUC39" s="954"/>
      <c r="MUD39" s="954"/>
      <c r="MUE39" s="954"/>
      <c r="MUF39" s="954"/>
      <c r="MUG39" s="954"/>
      <c r="MUH39" s="954"/>
      <c r="MUI39" s="954"/>
      <c r="MUJ39" s="954"/>
      <c r="MUK39" s="954"/>
      <c r="MUL39" s="954"/>
      <c r="MUM39" s="954"/>
      <c r="MUN39" s="954"/>
      <c r="MUO39" s="954"/>
      <c r="MUP39" s="954"/>
      <c r="MUQ39" s="954"/>
      <c r="MUR39" s="954"/>
      <c r="MUS39" s="954"/>
      <c r="MUT39" s="954"/>
      <c r="MUU39" s="954"/>
      <c r="MUV39" s="954"/>
      <c r="MUW39" s="954"/>
      <c r="MUX39" s="954"/>
      <c r="MUY39" s="954"/>
      <c r="MUZ39" s="954"/>
      <c r="MVA39" s="954"/>
      <c r="MVB39" s="954"/>
      <c r="MVC39" s="954"/>
      <c r="MVD39" s="954"/>
      <c r="MVE39" s="954"/>
      <c r="MVF39" s="954"/>
      <c r="MVG39" s="954"/>
      <c r="MVH39" s="954"/>
      <c r="MVI39" s="954"/>
      <c r="MVJ39" s="954"/>
      <c r="MVK39" s="954"/>
      <c r="MVL39" s="954"/>
      <c r="MVM39" s="954"/>
      <c r="MVN39" s="954"/>
      <c r="MVO39" s="954"/>
      <c r="MVP39" s="954"/>
      <c r="MVQ39" s="954"/>
      <c r="MVR39" s="954"/>
      <c r="MVS39" s="954"/>
      <c r="MVT39" s="954"/>
      <c r="MVU39" s="954"/>
      <c r="MVV39" s="954"/>
      <c r="MVW39" s="954"/>
      <c r="MVX39" s="954"/>
      <c r="MVY39" s="954"/>
      <c r="MVZ39" s="954"/>
      <c r="MWA39" s="954"/>
      <c r="MWB39" s="954"/>
      <c r="MWC39" s="954"/>
      <c r="MWD39" s="954"/>
      <c r="MWE39" s="954"/>
      <c r="MWF39" s="954"/>
      <c r="MWG39" s="954"/>
      <c r="MWH39" s="954"/>
      <c r="MWI39" s="954"/>
      <c r="MWJ39" s="954"/>
      <c r="MWK39" s="954"/>
      <c r="MWL39" s="954"/>
      <c r="MWM39" s="954"/>
      <c r="MWN39" s="954"/>
      <c r="MWO39" s="954"/>
      <c r="MWP39" s="954"/>
      <c r="MWQ39" s="954"/>
      <c r="MWR39" s="954"/>
      <c r="MWS39" s="954"/>
      <c r="MWT39" s="954"/>
      <c r="MWU39" s="954"/>
      <c r="MWV39" s="954"/>
      <c r="MWW39" s="954"/>
      <c r="MWX39" s="954"/>
      <c r="MWY39" s="954"/>
      <c r="MWZ39" s="954"/>
      <c r="MXA39" s="954"/>
      <c r="MXB39" s="954"/>
      <c r="MXC39" s="954"/>
      <c r="MXD39" s="954"/>
      <c r="MXE39" s="954"/>
      <c r="MXF39" s="954"/>
      <c r="MXG39" s="954"/>
      <c r="MXH39" s="954"/>
      <c r="MXI39" s="954"/>
      <c r="MXJ39" s="954"/>
      <c r="MXK39" s="954"/>
      <c r="MXL39" s="954"/>
      <c r="MXM39" s="954"/>
      <c r="MXN39" s="954"/>
      <c r="MXO39" s="954"/>
      <c r="MXP39" s="954"/>
      <c r="MXQ39" s="954"/>
      <c r="MXR39" s="954"/>
      <c r="MXS39" s="954"/>
      <c r="MXT39" s="954"/>
      <c r="MXU39" s="954"/>
      <c r="MXV39" s="954"/>
      <c r="MXW39" s="954"/>
      <c r="MXX39" s="954"/>
      <c r="MXY39" s="954"/>
      <c r="MXZ39" s="954"/>
      <c r="MYA39" s="954"/>
      <c r="MYB39" s="954"/>
      <c r="MYC39" s="954"/>
      <c r="MYD39" s="954"/>
      <c r="MYE39" s="954"/>
      <c r="MYF39" s="954"/>
      <c r="MYG39" s="954"/>
      <c r="MYH39" s="954"/>
      <c r="MYI39" s="954"/>
      <c r="MYJ39" s="954"/>
      <c r="MYK39" s="954"/>
      <c r="MYL39" s="954"/>
      <c r="MYM39" s="954"/>
      <c r="MYN39" s="954"/>
      <c r="MYO39" s="954"/>
      <c r="MYP39" s="954"/>
      <c r="MYQ39" s="954"/>
      <c r="MYR39" s="954"/>
      <c r="MYS39" s="954"/>
      <c r="MYT39" s="954"/>
      <c r="MYU39" s="954"/>
      <c r="MYV39" s="954"/>
      <c r="MYW39" s="954"/>
      <c r="MYX39" s="954"/>
      <c r="MYY39" s="954"/>
      <c r="MYZ39" s="954"/>
      <c r="MZA39" s="954"/>
      <c r="MZB39" s="954"/>
      <c r="MZC39" s="954"/>
      <c r="MZD39" s="954"/>
      <c r="MZE39" s="954"/>
      <c r="MZF39" s="954"/>
      <c r="MZG39" s="954"/>
      <c r="MZH39" s="954"/>
      <c r="MZI39" s="954"/>
      <c r="MZJ39" s="954"/>
      <c r="MZK39" s="954"/>
      <c r="MZL39" s="954"/>
      <c r="MZM39" s="954"/>
      <c r="MZN39" s="954"/>
      <c r="MZO39" s="954"/>
      <c r="MZP39" s="954"/>
      <c r="MZQ39" s="954"/>
      <c r="MZR39" s="954"/>
      <c r="MZS39" s="954"/>
      <c r="MZT39" s="954"/>
      <c r="MZU39" s="954"/>
      <c r="MZV39" s="954"/>
      <c r="MZW39" s="954"/>
      <c r="MZX39" s="954"/>
      <c r="MZY39" s="954"/>
      <c r="MZZ39" s="954"/>
      <c r="NAA39" s="954"/>
      <c r="NAB39" s="954"/>
      <c r="NAC39" s="954"/>
      <c r="NAD39" s="954"/>
      <c r="NAE39" s="954"/>
      <c r="NAF39" s="954"/>
      <c r="NAG39" s="954"/>
      <c r="NAH39" s="954"/>
      <c r="NAI39" s="954"/>
      <c r="NAJ39" s="954"/>
      <c r="NAK39" s="954"/>
      <c r="NAL39" s="954"/>
      <c r="NAM39" s="954"/>
      <c r="NAN39" s="954"/>
      <c r="NAO39" s="954"/>
      <c r="NAP39" s="954"/>
      <c r="NAQ39" s="954"/>
      <c r="NAR39" s="954"/>
      <c r="NAS39" s="954"/>
      <c r="NAT39" s="954"/>
      <c r="NAU39" s="954"/>
      <c r="NAV39" s="954"/>
      <c r="NAW39" s="954"/>
      <c r="NAX39" s="954"/>
      <c r="NAY39" s="954"/>
      <c r="NAZ39" s="954"/>
      <c r="NBA39" s="954"/>
      <c r="NBB39" s="954"/>
      <c r="NBC39" s="954"/>
      <c r="NBD39" s="954"/>
      <c r="NBE39" s="954"/>
      <c r="NBF39" s="954"/>
      <c r="NBG39" s="954"/>
      <c r="NBH39" s="954"/>
      <c r="NBI39" s="954"/>
      <c r="NBJ39" s="954"/>
      <c r="NBK39" s="954"/>
      <c r="NBL39" s="954"/>
      <c r="NBM39" s="954"/>
      <c r="NBN39" s="954"/>
      <c r="NBO39" s="954"/>
      <c r="NBP39" s="954"/>
      <c r="NBQ39" s="954"/>
      <c r="NBR39" s="954"/>
      <c r="NBS39" s="954"/>
      <c r="NBT39" s="954"/>
      <c r="NBU39" s="954"/>
      <c r="NBV39" s="954"/>
      <c r="NBW39" s="954"/>
      <c r="NBX39" s="954"/>
      <c r="NBY39" s="954"/>
      <c r="NBZ39" s="954"/>
      <c r="NCA39" s="954"/>
      <c r="NCB39" s="954"/>
      <c r="NCC39" s="954"/>
      <c r="NCD39" s="954"/>
      <c r="NCE39" s="954"/>
      <c r="NCF39" s="954"/>
      <c r="NCG39" s="954"/>
      <c r="NCH39" s="954"/>
      <c r="NCI39" s="954"/>
      <c r="NCJ39" s="954"/>
      <c r="NCK39" s="954"/>
      <c r="NCL39" s="954"/>
      <c r="NCM39" s="954"/>
      <c r="NCN39" s="954"/>
      <c r="NCO39" s="954"/>
      <c r="NCP39" s="954"/>
      <c r="NCQ39" s="954"/>
      <c r="NCR39" s="954"/>
      <c r="NCS39" s="954"/>
      <c r="NCT39" s="954"/>
      <c r="NCU39" s="954"/>
      <c r="NCV39" s="954"/>
      <c r="NCW39" s="954"/>
      <c r="NCX39" s="954"/>
      <c r="NCY39" s="954"/>
      <c r="NCZ39" s="954"/>
      <c r="NDA39" s="954"/>
      <c r="NDB39" s="954"/>
      <c r="NDC39" s="954"/>
      <c r="NDD39" s="954"/>
      <c r="NDE39" s="954"/>
      <c r="NDF39" s="954"/>
      <c r="NDG39" s="954"/>
      <c r="NDH39" s="954"/>
      <c r="NDI39" s="954"/>
      <c r="NDJ39" s="954"/>
      <c r="NDK39" s="954"/>
      <c r="NDL39" s="954"/>
      <c r="NDM39" s="954"/>
      <c r="NDN39" s="954"/>
      <c r="NDO39" s="954"/>
      <c r="NDP39" s="954"/>
      <c r="NDQ39" s="954"/>
      <c r="NDR39" s="954"/>
      <c r="NDS39" s="954"/>
      <c r="NDT39" s="954"/>
      <c r="NDU39" s="954"/>
      <c r="NDV39" s="954"/>
      <c r="NDW39" s="954"/>
      <c r="NDX39" s="954"/>
      <c r="NDY39" s="954"/>
      <c r="NDZ39" s="954"/>
      <c r="NEA39" s="954"/>
      <c r="NEB39" s="954"/>
      <c r="NEC39" s="954"/>
      <c r="NED39" s="954"/>
      <c r="NEE39" s="954"/>
      <c r="NEF39" s="954"/>
      <c r="NEG39" s="954"/>
      <c r="NEH39" s="954"/>
      <c r="NEI39" s="954"/>
      <c r="NEJ39" s="954"/>
      <c r="NEK39" s="954"/>
      <c r="NEL39" s="954"/>
      <c r="NEM39" s="954"/>
      <c r="NEN39" s="954"/>
      <c r="NEO39" s="954"/>
      <c r="NEP39" s="954"/>
      <c r="NEQ39" s="954"/>
      <c r="NER39" s="954"/>
      <c r="NES39" s="954"/>
      <c r="NET39" s="954"/>
      <c r="NEU39" s="954"/>
      <c r="NEV39" s="954"/>
      <c r="NEW39" s="954"/>
      <c r="NEX39" s="954"/>
      <c r="NEY39" s="954"/>
      <c r="NEZ39" s="954"/>
      <c r="NFA39" s="954"/>
      <c r="NFB39" s="954"/>
      <c r="NFC39" s="954"/>
      <c r="NFD39" s="954"/>
      <c r="NFE39" s="954"/>
      <c r="NFF39" s="954"/>
      <c r="NFG39" s="954"/>
      <c r="NFH39" s="954"/>
      <c r="NFI39" s="954"/>
      <c r="NFJ39" s="954"/>
      <c r="NFK39" s="954"/>
      <c r="NFL39" s="954"/>
      <c r="NFM39" s="954"/>
      <c r="NFN39" s="954"/>
      <c r="NFO39" s="954"/>
      <c r="NFP39" s="954"/>
      <c r="NFQ39" s="954"/>
      <c r="NFR39" s="954"/>
      <c r="NFS39" s="954"/>
      <c r="NFT39" s="954"/>
      <c r="NFU39" s="954"/>
      <c r="NFV39" s="954"/>
      <c r="NFW39" s="954"/>
      <c r="NFX39" s="954"/>
      <c r="NFY39" s="954"/>
      <c r="NFZ39" s="954"/>
      <c r="NGA39" s="954"/>
      <c r="NGB39" s="954"/>
      <c r="NGC39" s="954"/>
      <c r="NGD39" s="954"/>
      <c r="NGE39" s="954"/>
      <c r="NGF39" s="954"/>
      <c r="NGG39" s="954"/>
      <c r="NGH39" s="954"/>
      <c r="NGI39" s="954"/>
      <c r="NGJ39" s="954"/>
      <c r="NGK39" s="954"/>
      <c r="NGL39" s="954"/>
      <c r="NGM39" s="954"/>
      <c r="NGN39" s="954"/>
      <c r="NGO39" s="954"/>
      <c r="NGP39" s="954"/>
      <c r="NGQ39" s="954"/>
      <c r="NGR39" s="954"/>
      <c r="NGS39" s="954"/>
      <c r="NGT39" s="954"/>
      <c r="NGU39" s="954"/>
      <c r="NGV39" s="954"/>
      <c r="NGW39" s="954"/>
      <c r="NGX39" s="954"/>
      <c r="NGY39" s="954"/>
      <c r="NGZ39" s="954"/>
      <c r="NHA39" s="954"/>
      <c r="NHB39" s="954"/>
      <c r="NHC39" s="954"/>
      <c r="NHD39" s="954"/>
      <c r="NHE39" s="954"/>
      <c r="NHF39" s="954"/>
      <c r="NHG39" s="954"/>
      <c r="NHH39" s="954"/>
      <c r="NHI39" s="954"/>
      <c r="NHJ39" s="954"/>
      <c r="NHK39" s="954"/>
      <c r="NHL39" s="954"/>
      <c r="NHM39" s="954"/>
      <c r="NHN39" s="954"/>
      <c r="NHO39" s="954"/>
      <c r="NHP39" s="954"/>
      <c r="NHQ39" s="954"/>
      <c r="NHR39" s="954"/>
      <c r="NHS39" s="954"/>
      <c r="NHT39" s="954"/>
      <c r="NHU39" s="954"/>
      <c r="NHV39" s="954"/>
      <c r="NHW39" s="954"/>
      <c r="NHX39" s="954"/>
      <c r="NHY39" s="954"/>
      <c r="NHZ39" s="954"/>
      <c r="NIA39" s="954"/>
      <c r="NIB39" s="954"/>
      <c r="NIC39" s="954"/>
      <c r="NID39" s="954"/>
      <c r="NIE39" s="954"/>
      <c r="NIF39" s="954"/>
      <c r="NIG39" s="954"/>
      <c r="NIH39" s="954"/>
      <c r="NII39" s="954"/>
      <c r="NIJ39" s="954"/>
      <c r="NIK39" s="954"/>
      <c r="NIL39" s="954"/>
      <c r="NIM39" s="954"/>
      <c r="NIN39" s="954"/>
      <c r="NIO39" s="954"/>
      <c r="NIP39" s="954"/>
      <c r="NIQ39" s="954"/>
      <c r="NIR39" s="954"/>
      <c r="NIS39" s="954"/>
      <c r="NIT39" s="954"/>
      <c r="NIU39" s="954"/>
      <c r="NIV39" s="954"/>
      <c r="NIW39" s="954"/>
      <c r="NIX39" s="954"/>
      <c r="NIY39" s="954"/>
      <c r="NIZ39" s="954"/>
      <c r="NJA39" s="954"/>
      <c r="NJB39" s="954"/>
      <c r="NJC39" s="954"/>
      <c r="NJD39" s="954"/>
      <c r="NJE39" s="954"/>
      <c r="NJF39" s="954"/>
      <c r="NJG39" s="954"/>
      <c r="NJH39" s="954"/>
      <c r="NJI39" s="954"/>
      <c r="NJJ39" s="954"/>
      <c r="NJK39" s="954"/>
      <c r="NJL39" s="954"/>
      <c r="NJM39" s="954"/>
      <c r="NJN39" s="954"/>
      <c r="NJO39" s="954"/>
      <c r="NJP39" s="954"/>
      <c r="NJQ39" s="954"/>
      <c r="NJR39" s="954"/>
      <c r="NJS39" s="954"/>
      <c r="NJT39" s="954"/>
      <c r="NJU39" s="954"/>
      <c r="NJV39" s="954"/>
      <c r="NJW39" s="954"/>
      <c r="NJX39" s="954"/>
      <c r="NJY39" s="954"/>
      <c r="NJZ39" s="954"/>
      <c r="NKA39" s="954"/>
      <c r="NKB39" s="954"/>
      <c r="NKC39" s="954"/>
      <c r="NKD39" s="954"/>
      <c r="NKE39" s="954"/>
      <c r="NKF39" s="954"/>
      <c r="NKG39" s="954"/>
      <c r="NKH39" s="954"/>
      <c r="NKI39" s="954"/>
      <c r="NKJ39" s="954"/>
      <c r="NKK39" s="954"/>
      <c r="NKL39" s="954"/>
      <c r="NKM39" s="954"/>
      <c r="NKN39" s="954"/>
      <c r="NKO39" s="954"/>
      <c r="NKP39" s="954"/>
      <c r="NKQ39" s="954"/>
      <c r="NKR39" s="954"/>
      <c r="NKS39" s="954"/>
      <c r="NKT39" s="954"/>
      <c r="NKU39" s="954"/>
      <c r="NKV39" s="954"/>
      <c r="NKW39" s="954"/>
      <c r="NKX39" s="954"/>
      <c r="NKY39" s="954"/>
      <c r="NKZ39" s="954"/>
      <c r="NLA39" s="954"/>
      <c r="NLB39" s="954"/>
      <c r="NLC39" s="954"/>
      <c r="NLD39" s="954"/>
      <c r="NLE39" s="954"/>
      <c r="NLF39" s="954"/>
      <c r="NLG39" s="954"/>
      <c r="NLH39" s="954"/>
      <c r="NLI39" s="954"/>
      <c r="NLJ39" s="954"/>
      <c r="NLK39" s="954"/>
      <c r="NLL39" s="954"/>
      <c r="NLM39" s="954"/>
      <c r="NLN39" s="954"/>
      <c r="NLO39" s="954"/>
      <c r="NLP39" s="954"/>
      <c r="NLQ39" s="954"/>
      <c r="NLR39" s="954"/>
      <c r="NLS39" s="954"/>
      <c r="NLT39" s="954"/>
      <c r="NLU39" s="954"/>
      <c r="NLV39" s="954"/>
      <c r="NLW39" s="954"/>
      <c r="NLX39" s="954"/>
      <c r="NLY39" s="954"/>
      <c r="NLZ39" s="954"/>
      <c r="NMA39" s="954"/>
      <c r="NMB39" s="954"/>
      <c r="NMC39" s="954"/>
      <c r="NMD39" s="954"/>
      <c r="NME39" s="954"/>
      <c r="NMF39" s="954"/>
      <c r="NMG39" s="954"/>
      <c r="NMH39" s="954"/>
      <c r="NMI39" s="954"/>
      <c r="NMJ39" s="954"/>
      <c r="NMK39" s="954"/>
      <c r="NML39" s="954"/>
      <c r="NMM39" s="954"/>
      <c r="NMN39" s="954"/>
      <c r="NMO39" s="954"/>
      <c r="NMP39" s="954"/>
      <c r="NMQ39" s="954"/>
      <c r="NMR39" s="954"/>
      <c r="NMS39" s="954"/>
      <c r="NMT39" s="954"/>
      <c r="NMU39" s="954"/>
      <c r="NMV39" s="954"/>
      <c r="NMW39" s="954"/>
      <c r="NMX39" s="954"/>
      <c r="NMY39" s="954"/>
      <c r="NMZ39" s="954"/>
      <c r="NNA39" s="954"/>
      <c r="NNB39" s="954"/>
      <c r="NNC39" s="954"/>
      <c r="NND39" s="954"/>
      <c r="NNE39" s="954"/>
      <c r="NNF39" s="954"/>
      <c r="NNG39" s="954"/>
      <c r="NNH39" s="954"/>
      <c r="NNI39" s="954"/>
      <c r="NNJ39" s="954"/>
      <c r="NNK39" s="954"/>
      <c r="NNL39" s="954"/>
      <c r="NNM39" s="954"/>
      <c r="NNN39" s="954"/>
      <c r="NNO39" s="954"/>
      <c r="NNP39" s="954"/>
      <c r="NNQ39" s="954"/>
      <c r="NNR39" s="954"/>
      <c r="NNS39" s="954"/>
      <c r="NNT39" s="954"/>
      <c r="NNU39" s="954"/>
      <c r="NNV39" s="954"/>
      <c r="NNW39" s="954"/>
      <c r="NNX39" s="954"/>
      <c r="NNY39" s="954"/>
      <c r="NNZ39" s="954"/>
      <c r="NOA39" s="954"/>
      <c r="NOB39" s="954"/>
      <c r="NOC39" s="954"/>
      <c r="NOD39" s="954"/>
      <c r="NOE39" s="954"/>
      <c r="NOF39" s="954"/>
      <c r="NOG39" s="954"/>
      <c r="NOH39" s="954"/>
      <c r="NOI39" s="954"/>
      <c r="NOJ39" s="954"/>
      <c r="NOK39" s="954"/>
      <c r="NOL39" s="954"/>
      <c r="NOM39" s="954"/>
      <c r="NON39" s="954"/>
      <c r="NOO39" s="954"/>
      <c r="NOP39" s="954"/>
      <c r="NOQ39" s="954"/>
      <c r="NOR39" s="954"/>
      <c r="NOS39" s="954"/>
      <c r="NOT39" s="954"/>
      <c r="NOU39" s="954"/>
      <c r="NOV39" s="954"/>
      <c r="NOW39" s="954"/>
      <c r="NOX39" s="954"/>
      <c r="NOY39" s="954"/>
      <c r="NOZ39" s="954"/>
      <c r="NPA39" s="954"/>
      <c r="NPB39" s="954"/>
      <c r="NPC39" s="954"/>
      <c r="NPD39" s="954"/>
      <c r="NPE39" s="954"/>
      <c r="NPF39" s="954"/>
      <c r="NPG39" s="954"/>
      <c r="NPH39" s="954"/>
      <c r="NPI39" s="954"/>
      <c r="NPJ39" s="954"/>
      <c r="NPK39" s="954"/>
      <c r="NPL39" s="954"/>
      <c r="NPM39" s="954"/>
      <c r="NPN39" s="954"/>
      <c r="NPO39" s="954"/>
      <c r="NPP39" s="954"/>
      <c r="NPQ39" s="954"/>
      <c r="NPR39" s="954"/>
      <c r="NPS39" s="954"/>
      <c r="NPT39" s="954"/>
      <c r="NPU39" s="954"/>
      <c r="NPV39" s="954"/>
      <c r="NPW39" s="954"/>
      <c r="NPX39" s="954"/>
      <c r="NPY39" s="954"/>
      <c r="NPZ39" s="954"/>
      <c r="NQA39" s="954"/>
      <c r="NQB39" s="954"/>
      <c r="NQC39" s="954"/>
      <c r="NQD39" s="954"/>
      <c r="NQE39" s="954"/>
      <c r="NQF39" s="954"/>
      <c r="NQG39" s="954"/>
      <c r="NQH39" s="954"/>
      <c r="NQI39" s="954"/>
      <c r="NQJ39" s="954"/>
      <c r="NQK39" s="954"/>
      <c r="NQL39" s="954"/>
      <c r="NQM39" s="954"/>
      <c r="NQN39" s="954"/>
      <c r="NQO39" s="954"/>
      <c r="NQP39" s="954"/>
      <c r="NQQ39" s="954"/>
      <c r="NQR39" s="954"/>
      <c r="NQS39" s="954"/>
      <c r="NQT39" s="954"/>
      <c r="NQU39" s="954"/>
      <c r="NQV39" s="954"/>
      <c r="NQW39" s="954"/>
      <c r="NQX39" s="954"/>
      <c r="NQY39" s="954"/>
      <c r="NQZ39" s="954"/>
      <c r="NRA39" s="954"/>
      <c r="NRB39" s="954"/>
      <c r="NRC39" s="954"/>
      <c r="NRD39" s="954"/>
      <c r="NRE39" s="954"/>
      <c r="NRF39" s="954"/>
      <c r="NRG39" s="954"/>
      <c r="NRH39" s="954"/>
      <c r="NRI39" s="954"/>
      <c r="NRJ39" s="954"/>
      <c r="NRK39" s="954"/>
      <c r="NRL39" s="954"/>
      <c r="NRM39" s="954"/>
      <c r="NRN39" s="954"/>
      <c r="NRO39" s="954"/>
      <c r="NRP39" s="954"/>
      <c r="NRQ39" s="954"/>
      <c r="NRR39" s="954"/>
      <c r="NRS39" s="954"/>
      <c r="NRT39" s="954"/>
      <c r="NRU39" s="954"/>
      <c r="NRV39" s="954"/>
      <c r="NRW39" s="954"/>
      <c r="NRX39" s="954"/>
      <c r="NRY39" s="954"/>
      <c r="NRZ39" s="954"/>
      <c r="NSA39" s="954"/>
      <c r="NSB39" s="954"/>
      <c r="NSC39" s="954"/>
      <c r="NSD39" s="954"/>
      <c r="NSE39" s="954"/>
      <c r="NSF39" s="954"/>
      <c r="NSG39" s="954"/>
      <c r="NSH39" s="954"/>
      <c r="NSI39" s="954"/>
      <c r="NSJ39" s="954"/>
      <c r="NSK39" s="954"/>
      <c r="NSL39" s="954"/>
      <c r="NSM39" s="954"/>
      <c r="NSN39" s="954"/>
      <c r="NSO39" s="954"/>
      <c r="NSP39" s="954"/>
      <c r="NSQ39" s="954"/>
      <c r="NSR39" s="954"/>
      <c r="NSS39" s="954"/>
      <c r="NST39" s="954"/>
      <c r="NSU39" s="954"/>
      <c r="NSV39" s="954"/>
      <c r="NSW39" s="954"/>
      <c r="NSX39" s="954"/>
      <c r="NSY39" s="954"/>
      <c r="NSZ39" s="954"/>
      <c r="NTA39" s="954"/>
      <c r="NTB39" s="954"/>
      <c r="NTC39" s="954"/>
      <c r="NTD39" s="954"/>
      <c r="NTE39" s="954"/>
      <c r="NTF39" s="954"/>
      <c r="NTG39" s="954"/>
      <c r="NTH39" s="954"/>
      <c r="NTI39" s="954"/>
      <c r="NTJ39" s="954"/>
      <c r="NTK39" s="954"/>
      <c r="NTL39" s="954"/>
      <c r="NTM39" s="954"/>
      <c r="NTN39" s="954"/>
      <c r="NTO39" s="954"/>
      <c r="NTP39" s="954"/>
      <c r="NTQ39" s="954"/>
      <c r="NTR39" s="954"/>
      <c r="NTS39" s="954"/>
      <c r="NTT39" s="954"/>
      <c r="NTU39" s="954"/>
      <c r="NTV39" s="954"/>
      <c r="NTW39" s="954"/>
      <c r="NTX39" s="954"/>
      <c r="NTY39" s="954"/>
      <c r="NTZ39" s="954"/>
      <c r="NUA39" s="954"/>
      <c r="NUB39" s="954"/>
      <c r="NUC39" s="954"/>
      <c r="NUD39" s="954"/>
      <c r="NUE39" s="954"/>
      <c r="NUF39" s="954"/>
      <c r="NUG39" s="954"/>
      <c r="NUH39" s="954"/>
      <c r="NUI39" s="954"/>
      <c r="NUJ39" s="954"/>
      <c r="NUK39" s="954"/>
      <c r="NUL39" s="954"/>
      <c r="NUM39" s="954"/>
      <c r="NUN39" s="954"/>
      <c r="NUO39" s="954"/>
      <c r="NUP39" s="954"/>
      <c r="NUQ39" s="954"/>
      <c r="NUR39" s="954"/>
      <c r="NUS39" s="954"/>
      <c r="NUT39" s="954"/>
      <c r="NUU39" s="954"/>
      <c r="NUV39" s="954"/>
      <c r="NUW39" s="954"/>
      <c r="NUX39" s="954"/>
      <c r="NUY39" s="954"/>
      <c r="NUZ39" s="954"/>
      <c r="NVA39" s="954"/>
      <c r="NVB39" s="954"/>
      <c r="NVC39" s="954"/>
      <c r="NVD39" s="954"/>
      <c r="NVE39" s="954"/>
      <c r="NVF39" s="954"/>
      <c r="NVG39" s="954"/>
      <c r="NVH39" s="954"/>
      <c r="NVI39" s="954"/>
      <c r="NVJ39" s="954"/>
      <c r="NVK39" s="954"/>
      <c r="NVL39" s="954"/>
      <c r="NVM39" s="954"/>
      <c r="NVN39" s="954"/>
      <c r="NVO39" s="954"/>
      <c r="NVP39" s="954"/>
      <c r="NVQ39" s="954"/>
      <c r="NVR39" s="954"/>
      <c r="NVS39" s="954"/>
      <c r="NVT39" s="954"/>
      <c r="NVU39" s="954"/>
      <c r="NVV39" s="954"/>
      <c r="NVW39" s="954"/>
      <c r="NVX39" s="954"/>
      <c r="NVY39" s="954"/>
      <c r="NVZ39" s="954"/>
      <c r="NWA39" s="954"/>
      <c r="NWB39" s="954"/>
      <c r="NWC39" s="954"/>
      <c r="NWD39" s="954"/>
      <c r="NWE39" s="954"/>
      <c r="NWF39" s="954"/>
      <c r="NWG39" s="954"/>
      <c r="NWH39" s="954"/>
      <c r="NWI39" s="954"/>
      <c r="NWJ39" s="954"/>
      <c r="NWK39" s="954"/>
      <c r="NWL39" s="954"/>
      <c r="NWM39" s="954"/>
      <c r="NWN39" s="954"/>
      <c r="NWO39" s="954"/>
      <c r="NWP39" s="954"/>
      <c r="NWQ39" s="954"/>
      <c r="NWR39" s="954"/>
      <c r="NWS39" s="954"/>
      <c r="NWT39" s="954"/>
      <c r="NWU39" s="954"/>
      <c r="NWV39" s="954"/>
      <c r="NWW39" s="954"/>
      <c r="NWX39" s="954"/>
      <c r="NWY39" s="954"/>
      <c r="NWZ39" s="954"/>
      <c r="NXA39" s="954"/>
      <c r="NXB39" s="954"/>
      <c r="NXC39" s="954"/>
      <c r="NXD39" s="954"/>
      <c r="NXE39" s="954"/>
      <c r="NXF39" s="954"/>
      <c r="NXG39" s="954"/>
      <c r="NXH39" s="954"/>
      <c r="NXI39" s="954"/>
      <c r="NXJ39" s="954"/>
      <c r="NXK39" s="954"/>
      <c r="NXL39" s="954"/>
      <c r="NXM39" s="954"/>
      <c r="NXN39" s="954"/>
      <c r="NXO39" s="954"/>
      <c r="NXP39" s="954"/>
      <c r="NXQ39" s="954"/>
      <c r="NXR39" s="954"/>
      <c r="NXS39" s="954"/>
      <c r="NXT39" s="954"/>
      <c r="NXU39" s="954"/>
      <c r="NXV39" s="954"/>
      <c r="NXW39" s="954"/>
      <c r="NXX39" s="954"/>
      <c r="NXY39" s="954"/>
      <c r="NXZ39" s="954"/>
      <c r="NYA39" s="954"/>
      <c r="NYB39" s="954"/>
      <c r="NYC39" s="954"/>
      <c r="NYD39" s="954"/>
      <c r="NYE39" s="954"/>
      <c r="NYF39" s="954"/>
      <c r="NYG39" s="954"/>
      <c r="NYH39" s="954"/>
      <c r="NYI39" s="954"/>
      <c r="NYJ39" s="954"/>
      <c r="NYK39" s="954"/>
      <c r="NYL39" s="954"/>
      <c r="NYM39" s="954"/>
      <c r="NYN39" s="954"/>
      <c r="NYO39" s="954"/>
      <c r="NYP39" s="954"/>
      <c r="NYQ39" s="954"/>
      <c r="NYR39" s="954"/>
      <c r="NYS39" s="954"/>
      <c r="NYT39" s="954"/>
      <c r="NYU39" s="954"/>
      <c r="NYV39" s="954"/>
      <c r="NYW39" s="954"/>
      <c r="NYX39" s="954"/>
      <c r="NYY39" s="954"/>
      <c r="NYZ39" s="954"/>
      <c r="NZA39" s="954"/>
      <c r="NZB39" s="954"/>
      <c r="NZC39" s="954"/>
      <c r="NZD39" s="954"/>
      <c r="NZE39" s="954"/>
      <c r="NZF39" s="954"/>
      <c r="NZG39" s="954"/>
      <c r="NZH39" s="954"/>
      <c r="NZI39" s="954"/>
      <c r="NZJ39" s="954"/>
      <c r="NZK39" s="954"/>
      <c r="NZL39" s="954"/>
      <c r="NZM39" s="954"/>
      <c r="NZN39" s="954"/>
      <c r="NZO39" s="954"/>
      <c r="NZP39" s="954"/>
      <c r="NZQ39" s="954"/>
      <c r="NZR39" s="954"/>
      <c r="NZS39" s="954"/>
      <c r="NZT39" s="954"/>
      <c r="NZU39" s="954"/>
      <c r="NZV39" s="954"/>
      <c r="NZW39" s="954"/>
      <c r="NZX39" s="954"/>
      <c r="NZY39" s="954"/>
      <c r="NZZ39" s="954"/>
      <c r="OAA39" s="954"/>
      <c r="OAB39" s="954"/>
      <c r="OAC39" s="954"/>
      <c r="OAD39" s="954"/>
      <c r="OAE39" s="954"/>
      <c r="OAF39" s="954"/>
      <c r="OAG39" s="954"/>
      <c r="OAH39" s="954"/>
      <c r="OAI39" s="954"/>
      <c r="OAJ39" s="954"/>
      <c r="OAK39" s="954"/>
      <c r="OAL39" s="954"/>
      <c r="OAM39" s="954"/>
      <c r="OAN39" s="954"/>
      <c r="OAO39" s="954"/>
      <c r="OAP39" s="954"/>
      <c r="OAQ39" s="954"/>
      <c r="OAR39" s="954"/>
      <c r="OAS39" s="954"/>
      <c r="OAT39" s="954"/>
      <c r="OAU39" s="954"/>
      <c r="OAV39" s="954"/>
      <c r="OAW39" s="954"/>
      <c r="OAX39" s="954"/>
      <c r="OAY39" s="954"/>
      <c r="OAZ39" s="954"/>
      <c r="OBA39" s="954"/>
      <c r="OBB39" s="954"/>
      <c r="OBC39" s="954"/>
      <c r="OBD39" s="954"/>
      <c r="OBE39" s="954"/>
      <c r="OBF39" s="954"/>
      <c r="OBG39" s="954"/>
      <c r="OBH39" s="954"/>
      <c r="OBI39" s="954"/>
      <c r="OBJ39" s="954"/>
      <c r="OBK39" s="954"/>
      <c r="OBL39" s="954"/>
      <c r="OBM39" s="954"/>
      <c r="OBN39" s="954"/>
      <c r="OBO39" s="954"/>
      <c r="OBP39" s="954"/>
      <c r="OBQ39" s="954"/>
      <c r="OBR39" s="954"/>
      <c r="OBS39" s="954"/>
      <c r="OBT39" s="954"/>
      <c r="OBU39" s="954"/>
      <c r="OBV39" s="954"/>
      <c r="OBW39" s="954"/>
      <c r="OBX39" s="954"/>
      <c r="OBY39" s="954"/>
      <c r="OBZ39" s="954"/>
      <c r="OCA39" s="954"/>
      <c r="OCB39" s="954"/>
      <c r="OCC39" s="954"/>
      <c r="OCD39" s="954"/>
      <c r="OCE39" s="954"/>
      <c r="OCF39" s="954"/>
      <c r="OCG39" s="954"/>
      <c r="OCH39" s="954"/>
      <c r="OCI39" s="954"/>
      <c r="OCJ39" s="954"/>
      <c r="OCK39" s="954"/>
      <c r="OCL39" s="954"/>
      <c r="OCM39" s="954"/>
      <c r="OCN39" s="954"/>
      <c r="OCO39" s="954"/>
      <c r="OCP39" s="954"/>
      <c r="OCQ39" s="954"/>
      <c r="OCR39" s="954"/>
      <c r="OCS39" s="954"/>
      <c r="OCT39" s="954"/>
      <c r="OCU39" s="954"/>
      <c r="OCV39" s="954"/>
      <c r="OCW39" s="954"/>
      <c r="OCX39" s="954"/>
      <c r="OCY39" s="954"/>
      <c r="OCZ39" s="954"/>
      <c r="ODA39" s="954"/>
      <c r="ODB39" s="954"/>
      <c r="ODC39" s="954"/>
      <c r="ODD39" s="954"/>
      <c r="ODE39" s="954"/>
      <c r="ODF39" s="954"/>
      <c r="ODG39" s="954"/>
      <c r="ODH39" s="954"/>
      <c r="ODI39" s="954"/>
      <c r="ODJ39" s="954"/>
      <c r="ODK39" s="954"/>
      <c r="ODL39" s="954"/>
      <c r="ODM39" s="954"/>
      <c r="ODN39" s="954"/>
      <c r="ODO39" s="954"/>
      <c r="ODP39" s="954"/>
      <c r="ODQ39" s="954"/>
      <c r="ODR39" s="954"/>
      <c r="ODS39" s="954"/>
      <c r="ODT39" s="954"/>
      <c r="ODU39" s="954"/>
      <c r="ODV39" s="954"/>
      <c r="ODW39" s="954"/>
      <c r="ODX39" s="954"/>
      <c r="ODY39" s="954"/>
      <c r="ODZ39" s="954"/>
      <c r="OEA39" s="954"/>
      <c r="OEB39" s="954"/>
      <c r="OEC39" s="954"/>
      <c r="OED39" s="954"/>
      <c r="OEE39" s="954"/>
      <c r="OEF39" s="954"/>
      <c r="OEG39" s="954"/>
      <c r="OEH39" s="954"/>
      <c r="OEI39" s="954"/>
      <c r="OEJ39" s="954"/>
      <c r="OEK39" s="954"/>
      <c r="OEL39" s="954"/>
      <c r="OEM39" s="954"/>
      <c r="OEN39" s="954"/>
      <c r="OEO39" s="954"/>
      <c r="OEP39" s="954"/>
      <c r="OEQ39" s="954"/>
      <c r="OER39" s="954"/>
      <c r="OES39" s="954"/>
      <c r="OET39" s="954"/>
      <c r="OEU39" s="954"/>
      <c r="OEV39" s="954"/>
      <c r="OEW39" s="954"/>
      <c r="OEX39" s="954"/>
      <c r="OEY39" s="954"/>
      <c r="OEZ39" s="954"/>
      <c r="OFA39" s="954"/>
      <c r="OFB39" s="954"/>
      <c r="OFC39" s="954"/>
      <c r="OFD39" s="954"/>
      <c r="OFE39" s="954"/>
      <c r="OFF39" s="954"/>
      <c r="OFG39" s="954"/>
      <c r="OFH39" s="954"/>
      <c r="OFI39" s="954"/>
      <c r="OFJ39" s="954"/>
      <c r="OFK39" s="954"/>
      <c r="OFL39" s="954"/>
      <c r="OFM39" s="954"/>
      <c r="OFN39" s="954"/>
      <c r="OFO39" s="954"/>
      <c r="OFP39" s="954"/>
      <c r="OFQ39" s="954"/>
      <c r="OFR39" s="954"/>
      <c r="OFS39" s="954"/>
      <c r="OFT39" s="954"/>
      <c r="OFU39" s="954"/>
      <c r="OFV39" s="954"/>
      <c r="OFW39" s="954"/>
      <c r="OFX39" s="954"/>
      <c r="OFY39" s="954"/>
      <c r="OFZ39" s="954"/>
      <c r="OGA39" s="954"/>
      <c r="OGB39" s="954"/>
      <c r="OGC39" s="954"/>
      <c r="OGD39" s="954"/>
      <c r="OGE39" s="954"/>
      <c r="OGF39" s="954"/>
      <c r="OGG39" s="954"/>
      <c r="OGH39" s="954"/>
      <c r="OGI39" s="954"/>
      <c r="OGJ39" s="954"/>
      <c r="OGK39" s="954"/>
      <c r="OGL39" s="954"/>
      <c r="OGM39" s="954"/>
      <c r="OGN39" s="954"/>
      <c r="OGO39" s="954"/>
      <c r="OGP39" s="954"/>
      <c r="OGQ39" s="954"/>
      <c r="OGR39" s="954"/>
      <c r="OGS39" s="954"/>
      <c r="OGT39" s="954"/>
      <c r="OGU39" s="954"/>
      <c r="OGV39" s="954"/>
      <c r="OGW39" s="954"/>
      <c r="OGX39" s="954"/>
      <c r="OGY39" s="954"/>
      <c r="OGZ39" s="954"/>
      <c r="OHA39" s="954"/>
      <c r="OHB39" s="954"/>
      <c r="OHC39" s="954"/>
      <c r="OHD39" s="954"/>
      <c r="OHE39" s="954"/>
      <c r="OHF39" s="954"/>
      <c r="OHG39" s="954"/>
      <c r="OHH39" s="954"/>
      <c r="OHI39" s="954"/>
      <c r="OHJ39" s="954"/>
      <c r="OHK39" s="954"/>
      <c r="OHL39" s="954"/>
      <c r="OHM39" s="954"/>
      <c r="OHN39" s="954"/>
      <c r="OHO39" s="954"/>
      <c r="OHP39" s="954"/>
      <c r="OHQ39" s="954"/>
      <c r="OHR39" s="954"/>
      <c r="OHS39" s="954"/>
      <c r="OHT39" s="954"/>
      <c r="OHU39" s="954"/>
      <c r="OHV39" s="954"/>
      <c r="OHW39" s="954"/>
      <c r="OHX39" s="954"/>
      <c r="OHY39" s="954"/>
      <c r="OHZ39" s="954"/>
      <c r="OIA39" s="954"/>
      <c r="OIB39" s="954"/>
      <c r="OIC39" s="954"/>
      <c r="OID39" s="954"/>
      <c r="OIE39" s="954"/>
      <c r="OIF39" s="954"/>
      <c r="OIG39" s="954"/>
      <c r="OIH39" s="954"/>
      <c r="OII39" s="954"/>
      <c r="OIJ39" s="954"/>
      <c r="OIK39" s="954"/>
      <c r="OIL39" s="954"/>
      <c r="OIM39" s="954"/>
      <c r="OIN39" s="954"/>
      <c r="OIO39" s="954"/>
      <c r="OIP39" s="954"/>
      <c r="OIQ39" s="954"/>
      <c r="OIR39" s="954"/>
      <c r="OIS39" s="954"/>
      <c r="OIT39" s="954"/>
      <c r="OIU39" s="954"/>
      <c r="OIV39" s="954"/>
      <c r="OIW39" s="954"/>
      <c r="OIX39" s="954"/>
      <c r="OIY39" s="954"/>
      <c r="OIZ39" s="954"/>
      <c r="OJA39" s="954"/>
      <c r="OJB39" s="954"/>
      <c r="OJC39" s="954"/>
      <c r="OJD39" s="954"/>
      <c r="OJE39" s="954"/>
      <c r="OJF39" s="954"/>
      <c r="OJG39" s="954"/>
      <c r="OJH39" s="954"/>
      <c r="OJI39" s="954"/>
      <c r="OJJ39" s="954"/>
      <c r="OJK39" s="954"/>
      <c r="OJL39" s="954"/>
      <c r="OJM39" s="954"/>
      <c r="OJN39" s="954"/>
      <c r="OJO39" s="954"/>
      <c r="OJP39" s="954"/>
      <c r="OJQ39" s="954"/>
      <c r="OJR39" s="954"/>
      <c r="OJS39" s="954"/>
      <c r="OJT39" s="954"/>
      <c r="OJU39" s="954"/>
      <c r="OJV39" s="954"/>
      <c r="OJW39" s="954"/>
      <c r="OJX39" s="954"/>
      <c r="OJY39" s="954"/>
      <c r="OJZ39" s="954"/>
      <c r="OKA39" s="954"/>
      <c r="OKB39" s="954"/>
      <c r="OKC39" s="954"/>
      <c r="OKD39" s="954"/>
      <c r="OKE39" s="954"/>
      <c r="OKF39" s="954"/>
      <c r="OKG39" s="954"/>
      <c r="OKH39" s="954"/>
      <c r="OKI39" s="954"/>
      <c r="OKJ39" s="954"/>
      <c r="OKK39" s="954"/>
      <c r="OKL39" s="954"/>
      <c r="OKM39" s="954"/>
      <c r="OKN39" s="954"/>
      <c r="OKO39" s="954"/>
      <c r="OKP39" s="954"/>
      <c r="OKQ39" s="954"/>
      <c r="OKR39" s="954"/>
      <c r="OKS39" s="954"/>
      <c r="OKT39" s="954"/>
      <c r="OKU39" s="954"/>
      <c r="OKV39" s="954"/>
      <c r="OKW39" s="954"/>
      <c r="OKX39" s="954"/>
      <c r="OKY39" s="954"/>
      <c r="OKZ39" s="954"/>
      <c r="OLA39" s="954"/>
      <c r="OLB39" s="954"/>
      <c r="OLC39" s="954"/>
      <c r="OLD39" s="954"/>
      <c r="OLE39" s="954"/>
      <c r="OLF39" s="954"/>
      <c r="OLG39" s="954"/>
      <c r="OLH39" s="954"/>
      <c r="OLI39" s="954"/>
      <c r="OLJ39" s="954"/>
      <c r="OLK39" s="954"/>
      <c r="OLL39" s="954"/>
      <c r="OLM39" s="954"/>
      <c r="OLN39" s="954"/>
      <c r="OLO39" s="954"/>
      <c r="OLP39" s="954"/>
      <c r="OLQ39" s="954"/>
      <c r="OLR39" s="954"/>
      <c r="OLS39" s="954"/>
      <c r="OLT39" s="954"/>
      <c r="OLU39" s="954"/>
      <c r="OLV39" s="954"/>
      <c r="OLW39" s="954"/>
      <c r="OLX39" s="954"/>
      <c r="OLY39" s="954"/>
      <c r="OLZ39" s="954"/>
      <c r="OMA39" s="954"/>
      <c r="OMB39" s="954"/>
      <c r="OMC39" s="954"/>
      <c r="OMD39" s="954"/>
      <c r="OME39" s="954"/>
      <c r="OMF39" s="954"/>
      <c r="OMG39" s="954"/>
      <c r="OMH39" s="954"/>
      <c r="OMI39" s="954"/>
      <c r="OMJ39" s="954"/>
      <c r="OMK39" s="954"/>
      <c r="OML39" s="954"/>
      <c r="OMM39" s="954"/>
      <c r="OMN39" s="954"/>
      <c r="OMO39" s="954"/>
      <c r="OMP39" s="954"/>
      <c r="OMQ39" s="954"/>
      <c r="OMR39" s="954"/>
      <c r="OMS39" s="954"/>
      <c r="OMT39" s="954"/>
      <c r="OMU39" s="954"/>
      <c r="OMV39" s="954"/>
      <c r="OMW39" s="954"/>
      <c r="OMX39" s="954"/>
      <c r="OMY39" s="954"/>
      <c r="OMZ39" s="954"/>
      <c r="ONA39" s="954"/>
      <c r="ONB39" s="954"/>
      <c r="ONC39" s="954"/>
      <c r="OND39" s="954"/>
      <c r="ONE39" s="954"/>
      <c r="ONF39" s="954"/>
      <c r="ONG39" s="954"/>
      <c r="ONH39" s="954"/>
      <c r="ONI39" s="954"/>
      <c r="ONJ39" s="954"/>
      <c r="ONK39" s="954"/>
      <c r="ONL39" s="954"/>
      <c r="ONM39" s="954"/>
      <c r="ONN39" s="954"/>
      <c r="ONO39" s="954"/>
      <c r="ONP39" s="954"/>
      <c r="ONQ39" s="954"/>
      <c r="ONR39" s="954"/>
      <c r="ONS39" s="954"/>
      <c r="ONT39" s="954"/>
      <c r="ONU39" s="954"/>
      <c r="ONV39" s="954"/>
      <c r="ONW39" s="954"/>
      <c r="ONX39" s="954"/>
      <c r="ONY39" s="954"/>
      <c r="ONZ39" s="954"/>
      <c r="OOA39" s="954"/>
      <c r="OOB39" s="954"/>
      <c r="OOC39" s="954"/>
      <c r="OOD39" s="954"/>
      <c r="OOE39" s="954"/>
      <c r="OOF39" s="954"/>
      <c r="OOG39" s="954"/>
      <c r="OOH39" s="954"/>
      <c r="OOI39" s="954"/>
      <c r="OOJ39" s="954"/>
      <c r="OOK39" s="954"/>
      <c r="OOL39" s="954"/>
      <c r="OOM39" s="954"/>
      <c r="OON39" s="954"/>
      <c r="OOO39" s="954"/>
      <c r="OOP39" s="954"/>
      <c r="OOQ39" s="954"/>
      <c r="OOR39" s="954"/>
      <c r="OOS39" s="954"/>
      <c r="OOT39" s="954"/>
      <c r="OOU39" s="954"/>
      <c r="OOV39" s="954"/>
      <c r="OOW39" s="954"/>
      <c r="OOX39" s="954"/>
      <c r="OOY39" s="954"/>
      <c r="OOZ39" s="954"/>
      <c r="OPA39" s="954"/>
      <c r="OPB39" s="954"/>
      <c r="OPC39" s="954"/>
      <c r="OPD39" s="954"/>
      <c r="OPE39" s="954"/>
      <c r="OPF39" s="954"/>
      <c r="OPG39" s="954"/>
      <c r="OPH39" s="954"/>
      <c r="OPI39" s="954"/>
      <c r="OPJ39" s="954"/>
      <c r="OPK39" s="954"/>
      <c r="OPL39" s="954"/>
      <c r="OPM39" s="954"/>
      <c r="OPN39" s="954"/>
      <c r="OPO39" s="954"/>
      <c r="OPP39" s="954"/>
      <c r="OPQ39" s="954"/>
      <c r="OPR39" s="954"/>
      <c r="OPS39" s="954"/>
      <c r="OPT39" s="954"/>
      <c r="OPU39" s="954"/>
      <c r="OPV39" s="954"/>
      <c r="OPW39" s="954"/>
      <c r="OPX39" s="954"/>
      <c r="OPY39" s="954"/>
      <c r="OPZ39" s="954"/>
      <c r="OQA39" s="954"/>
      <c r="OQB39" s="954"/>
      <c r="OQC39" s="954"/>
      <c r="OQD39" s="954"/>
      <c r="OQE39" s="954"/>
      <c r="OQF39" s="954"/>
      <c r="OQG39" s="954"/>
      <c r="OQH39" s="954"/>
      <c r="OQI39" s="954"/>
      <c r="OQJ39" s="954"/>
      <c r="OQK39" s="954"/>
      <c r="OQL39" s="954"/>
      <c r="OQM39" s="954"/>
      <c r="OQN39" s="954"/>
      <c r="OQO39" s="954"/>
      <c r="OQP39" s="954"/>
      <c r="OQQ39" s="954"/>
      <c r="OQR39" s="954"/>
      <c r="OQS39" s="954"/>
      <c r="OQT39" s="954"/>
      <c r="OQU39" s="954"/>
      <c r="OQV39" s="954"/>
      <c r="OQW39" s="954"/>
      <c r="OQX39" s="954"/>
      <c r="OQY39" s="954"/>
      <c r="OQZ39" s="954"/>
      <c r="ORA39" s="954"/>
      <c r="ORB39" s="954"/>
      <c r="ORC39" s="954"/>
      <c r="ORD39" s="954"/>
      <c r="ORE39" s="954"/>
      <c r="ORF39" s="954"/>
      <c r="ORG39" s="954"/>
      <c r="ORH39" s="954"/>
      <c r="ORI39" s="954"/>
      <c r="ORJ39" s="954"/>
      <c r="ORK39" s="954"/>
      <c r="ORL39" s="954"/>
      <c r="ORM39" s="954"/>
      <c r="ORN39" s="954"/>
      <c r="ORO39" s="954"/>
      <c r="ORP39" s="954"/>
      <c r="ORQ39" s="954"/>
      <c r="ORR39" s="954"/>
      <c r="ORS39" s="954"/>
      <c r="ORT39" s="954"/>
      <c r="ORU39" s="954"/>
      <c r="ORV39" s="954"/>
      <c r="ORW39" s="954"/>
      <c r="ORX39" s="954"/>
      <c r="ORY39" s="954"/>
      <c r="ORZ39" s="954"/>
      <c r="OSA39" s="954"/>
      <c r="OSB39" s="954"/>
      <c r="OSC39" s="954"/>
      <c r="OSD39" s="954"/>
      <c r="OSE39" s="954"/>
      <c r="OSF39" s="954"/>
      <c r="OSG39" s="954"/>
      <c r="OSH39" s="954"/>
      <c r="OSI39" s="954"/>
      <c r="OSJ39" s="954"/>
      <c r="OSK39" s="954"/>
      <c r="OSL39" s="954"/>
      <c r="OSM39" s="954"/>
      <c r="OSN39" s="954"/>
      <c r="OSO39" s="954"/>
      <c r="OSP39" s="954"/>
      <c r="OSQ39" s="954"/>
      <c r="OSR39" s="954"/>
      <c r="OSS39" s="954"/>
      <c r="OST39" s="954"/>
      <c r="OSU39" s="954"/>
      <c r="OSV39" s="954"/>
      <c r="OSW39" s="954"/>
      <c r="OSX39" s="954"/>
      <c r="OSY39" s="954"/>
      <c r="OSZ39" s="954"/>
      <c r="OTA39" s="954"/>
      <c r="OTB39" s="954"/>
      <c r="OTC39" s="954"/>
      <c r="OTD39" s="954"/>
      <c r="OTE39" s="954"/>
      <c r="OTF39" s="954"/>
      <c r="OTG39" s="954"/>
      <c r="OTH39" s="954"/>
      <c r="OTI39" s="954"/>
      <c r="OTJ39" s="954"/>
      <c r="OTK39" s="954"/>
      <c r="OTL39" s="954"/>
      <c r="OTM39" s="954"/>
      <c r="OTN39" s="954"/>
      <c r="OTO39" s="954"/>
      <c r="OTP39" s="954"/>
      <c r="OTQ39" s="954"/>
      <c r="OTR39" s="954"/>
      <c r="OTS39" s="954"/>
      <c r="OTT39" s="954"/>
      <c r="OTU39" s="954"/>
      <c r="OTV39" s="954"/>
      <c r="OTW39" s="954"/>
      <c r="OTX39" s="954"/>
      <c r="OTY39" s="954"/>
      <c r="OTZ39" s="954"/>
      <c r="OUA39" s="954"/>
      <c r="OUB39" s="954"/>
      <c r="OUC39" s="954"/>
      <c r="OUD39" s="954"/>
      <c r="OUE39" s="954"/>
      <c r="OUF39" s="954"/>
      <c r="OUG39" s="954"/>
      <c r="OUH39" s="954"/>
      <c r="OUI39" s="954"/>
      <c r="OUJ39" s="954"/>
      <c r="OUK39" s="954"/>
      <c r="OUL39" s="954"/>
      <c r="OUM39" s="954"/>
      <c r="OUN39" s="954"/>
      <c r="OUO39" s="954"/>
      <c r="OUP39" s="954"/>
      <c r="OUQ39" s="954"/>
      <c r="OUR39" s="954"/>
      <c r="OUS39" s="954"/>
      <c r="OUT39" s="954"/>
      <c r="OUU39" s="954"/>
      <c r="OUV39" s="954"/>
      <c r="OUW39" s="954"/>
      <c r="OUX39" s="954"/>
      <c r="OUY39" s="954"/>
      <c r="OUZ39" s="954"/>
      <c r="OVA39" s="954"/>
      <c r="OVB39" s="954"/>
      <c r="OVC39" s="954"/>
      <c r="OVD39" s="954"/>
      <c r="OVE39" s="954"/>
      <c r="OVF39" s="954"/>
      <c r="OVG39" s="954"/>
      <c r="OVH39" s="954"/>
      <c r="OVI39" s="954"/>
      <c r="OVJ39" s="954"/>
      <c r="OVK39" s="954"/>
      <c r="OVL39" s="954"/>
      <c r="OVM39" s="954"/>
      <c r="OVN39" s="954"/>
      <c r="OVO39" s="954"/>
      <c r="OVP39" s="954"/>
      <c r="OVQ39" s="954"/>
      <c r="OVR39" s="954"/>
      <c r="OVS39" s="954"/>
      <c r="OVT39" s="954"/>
      <c r="OVU39" s="954"/>
      <c r="OVV39" s="954"/>
      <c r="OVW39" s="954"/>
      <c r="OVX39" s="954"/>
      <c r="OVY39" s="954"/>
      <c r="OVZ39" s="954"/>
      <c r="OWA39" s="954"/>
      <c r="OWB39" s="954"/>
      <c r="OWC39" s="954"/>
      <c r="OWD39" s="954"/>
      <c r="OWE39" s="954"/>
      <c r="OWF39" s="954"/>
      <c r="OWG39" s="954"/>
      <c r="OWH39" s="954"/>
      <c r="OWI39" s="954"/>
      <c r="OWJ39" s="954"/>
      <c r="OWK39" s="954"/>
      <c r="OWL39" s="954"/>
      <c r="OWM39" s="954"/>
      <c r="OWN39" s="954"/>
      <c r="OWO39" s="954"/>
      <c r="OWP39" s="954"/>
      <c r="OWQ39" s="954"/>
      <c r="OWR39" s="954"/>
      <c r="OWS39" s="954"/>
      <c r="OWT39" s="954"/>
      <c r="OWU39" s="954"/>
      <c r="OWV39" s="954"/>
      <c r="OWW39" s="954"/>
      <c r="OWX39" s="954"/>
      <c r="OWY39" s="954"/>
      <c r="OWZ39" s="954"/>
      <c r="OXA39" s="954"/>
      <c r="OXB39" s="954"/>
      <c r="OXC39" s="954"/>
      <c r="OXD39" s="954"/>
      <c r="OXE39" s="954"/>
      <c r="OXF39" s="954"/>
      <c r="OXG39" s="954"/>
      <c r="OXH39" s="954"/>
      <c r="OXI39" s="954"/>
      <c r="OXJ39" s="954"/>
      <c r="OXK39" s="954"/>
      <c r="OXL39" s="954"/>
      <c r="OXM39" s="954"/>
      <c r="OXN39" s="954"/>
      <c r="OXO39" s="954"/>
      <c r="OXP39" s="954"/>
      <c r="OXQ39" s="954"/>
      <c r="OXR39" s="954"/>
      <c r="OXS39" s="954"/>
      <c r="OXT39" s="954"/>
      <c r="OXU39" s="954"/>
      <c r="OXV39" s="954"/>
      <c r="OXW39" s="954"/>
      <c r="OXX39" s="954"/>
      <c r="OXY39" s="954"/>
      <c r="OXZ39" s="954"/>
      <c r="OYA39" s="954"/>
      <c r="OYB39" s="954"/>
      <c r="OYC39" s="954"/>
      <c r="OYD39" s="954"/>
      <c r="OYE39" s="954"/>
      <c r="OYF39" s="954"/>
      <c r="OYG39" s="954"/>
      <c r="OYH39" s="954"/>
      <c r="OYI39" s="954"/>
      <c r="OYJ39" s="954"/>
      <c r="OYK39" s="954"/>
      <c r="OYL39" s="954"/>
      <c r="OYM39" s="954"/>
      <c r="OYN39" s="954"/>
      <c r="OYO39" s="954"/>
      <c r="OYP39" s="954"/>
      <c r="OYQ39" s="954"/>
      <c r="OYR39" s="954"/>
      <c r="OYS39" s="954"/>
      <c r="OYT39" s="954"/>
      <c r="OYU39" s="954"/>
      <c r="OYV39" s="954"/>
      <c r="OYW39" s="954"/>
      <c r="OYX39" s="954"/>
      <c r="OYY39" s="954"/>
      <c r="OYZ39" s="954"/>
      <c r="OZA39" s="954"/>
      <c r="OZB39" s="954"/>
      <c r="OZC39" s="954"/>
      <c r="OZD39" s="954"/>
      <c r="OZE39" s="954"/>
      <c r="OZF39" s="954"/>
      <c r="OZG39" s="954"/>
      <c r="OZH39" s="954"/>
      <c r="OZI39" s="954"/>
      <c r="OZJ39" s="954"/>
      <c r="OZK39" s="954"/>
      <c r="OZL39" s="954"/>
      <c r="OZM39" s="954"/>
      <c r="OZN39" s="954"/>
      <c r="OZO39" s="954"/>
      <c r="OZP39" s="954"/>
      <c r="OZQ39" s="954"/>
      <c r="OZR39" s="954"/>
      <c r="OZS39" s="954"/>
      <c r="OZT39" s="954"/>
      <c r="OZU39" s="954"/>
      <c r="OZV39" s="954"/>
      <c r="OZW39" s="954"/>
      <c r="OZX39" s="954"/>
      <c r="OZY39" s="954"/>
      <c r="OZZ39" s="954"/>
      <c r="PAA39" s="954"/>
      <c r="PAB39" s="954"/>
      <c r="PAC39" s="954"/>
      <c r="PAD39" s="954"/>
      <c r="PAE39" s="954"/>
      <c r="PAF39" s="954"/>
      <c r="PAG39" s="954"/>
      <c r="PAH39" s="954"/>
      <c r="PAI39" s="954"/>
      <c r="PAJ39" s="954"/>
      <c r="PAK39" s="954"/>
      <c r="PAL39" s="954"/>
      <c r="PAM39" s="954"/>
      <c r="PAN39" s="954"/>
      <c r="PAO39" s="954"/>
      <c r="PAP39" s="954"/>
      <c r="PAQ39" s="954"/>
      <c r="PAR39" s="954"/>
      <c r="PAS39" s="954"/>
      <c r="PAT39" s="954"/>
      <c r="PAU39" s="954"/>
      <c r="PAV39" s="954"/>
      <c r="PAW39" s="954"/>
      <c r="PAX39" s="954"/>
      <c r="PAY39" s="954"/>
      <c r="PAZ39" s="954"/>
      <c r="PBA39" s="954"/>
      <c r="PBB39" s="954"/>
      <c r="PBC39" s="954"/>
      <c r="PBD39" s="954"/>
      <c r="PBE39" s="954"/>
      <c r="PBF39" s="954"/>
      <c r="PBG39" s="954"/>
      <c r="PBH39" s="954"/>
      <c r="PBI39" s="954"/>
      <c r="PBJ39" s="954"/>
      <c r="PBK39" s="954"/>
      <c r="PBL39" s="954"/>
      <c r="PBM39" s="954"/>
      <c r="PBN39" s="954"/>
      <c r="PBO39" s="954"/>
      <c r="PBP39" s="954"/>
      <c r="PBQ39" s="954"/>
      <c r="PBR39" s="954"/>
      <c r="PBS39" s="954"/>
      <c r="PBT39" s="954"/>
      <c r="PBU39" s="954"/>
      <c r="PBV39" s="954"/>
      <c r="PBW39" s="954"/>
      <c r="PBX39" s="954"/>
      <c r="PBY39" s="954"/>
      <c r="PBZ39" s="954"/>
      <c r="PCA39" s="954"/>
      <c r="PCB39" s="954"/>
      <c r="PCC39" s="954"/>
      <c r="PCD39" s="954"/>
      <c r="PCE39" s="954"/>
      <c r="PCF39" s="954"/>
      <c r="PCG39" s="954"/>
      <c r="PCH39" s="954"/>
      <c r="PCI39" s="954"/>
      <c r="PCJ39" s="954"/>
      <c r="PCK39" s="954"/>
      <c r="PCL39" s="954"/>
      <c r="PCM39" s="954"/>
      <c r="PCN39" s="954"/>
      <c r="PCO39" s="954"/>
      <c r="PCP39" s="954"/>
      <c r="PCQ39" s="954"/>
      <c r="PCR39" s="954"/>
      <c r="PCS39" s="954"/>
      <c r="PCT39" s="954"/>
      <c r="PCU39" s="954"/>
      <c r="PCV39" s="954"/>
      <c r="PCW39" s="954"/>
      <c r="PCX39" s="954"/>
      <c r="PCY39" s="954"/>
      <c r="PCZ39" s="954"/>
      <c r="PDA39" s="954"/>
      <c r="PDB39" s="954"/>
      <c r="PDC39" s="954"/>
      <c r="PDD39" s="954"/>
      <c r="PDE39" s="954"/>
      <c r="PDF39" s="954"/>
      <c r="PDG39" s="954"/>
      <c r="PDH39" s="954"/>
      <c r="PDI39" s="954"/>
      <c r="PDJ39" s="954"/>
      <c r="PDK39" s="954"/>
      <c r="PDL39" s="954"/>
      <c r="PDM39" s="954"/>
      <c r="PDN39" s="954"/>
      <c r="PDO39" s="954"/>
      <c r="PDP39" s="954"/>
      <c r="PDQ39" s="954"/>
      <c r="PDR39" s="954"/>
      <c r="PDS39" s="954"/>
      <c r="PDT39" s="954"/>
      <c r="PDU39" s="954"/>
      <c r="PDV39" s="954"/>
      <c r="PDW39" s="954"/>
      <c r="PDX39" s="954"/>
      <c r="PDY39" s="954"/>
      <c r="PDZ39" s="954"/>
      <c r="PEA39" s="954"/>
      <c r="PEB39" s="954"/>
      <c r="PEC39" s="954"/>
      <c r="PED39" s="954"/>
      <c r="PEE39" s="954"/>
      <c r="PEF39" s="954"/>
      <c r="PEG39" s="954"/>
      <c r="PEH39" s="954"/>
      <c r="PEI39" s="954"/>
      <c r="PEJ39" s="954"/>
      <c r="PEK39" s="954"/>
      <c r="PEL39" s="954"/>
      <c r="PEM39" s="954"/>
      <c r="PEN39" s="954"/>
      <c r="PEO39" s="954"/>
      <c r="PEP39" s="954"/>
      <c r="PEQ39" s="954"/>
      <c r="PER39" s="954"/>
      <c r="PES39" s="954"/>
      <c r="PET39" s="954"/>
      <c r="PEU39" s="954"/>
      <c r="PEV39" s="954"/>
      <c r="PEW39" s="954"/>
      <c r="PEX39" s="954"/>
      <c r="PEY39" s="954"/>
      <c r="PEZ39" s="954"/>
      <c r="PFA39" s="954"/>
      <c r="PFB39" s="954"/>
      <c r="PFC39" s="954"/>
      <c r="PFD39" s="954"/>
      <c r="PFE39" s="954"/>
      <c r="PFF39" s="954"/>
      <c r="PFG39" s="954"/>
      <c r="PFH39" s="954"/>
      <c r="PFI39" s="954"/>
      <c r="PFJ39" s="954"/>
      <c r="PFK39" s="954"/>
      <c r="PFL39" s="954"/>
      <c r="PFM39" s="954"/>
      <c r="PFN39" s="954"/>
      <c r="PFO39" s="954"/>
      <c r="PFP39" s="954"/>
      <c r="PFQ39" s="954"/>
      <c r="PFR39" s="954"/>
      <c r="PFS39" s="954"/>
      <c r="PFT39" s="954"/>
      <c r="PFU39" s="954"/>
      <c r="PFV39" s="954"/>
      <c r="PFW39" s="954"/>
      <c r="PFX39" s="954"/>
      <c r="PFY39" s="954"/>
      <c r="PFZ39" s="954"/>
      <c r="PGA39" s="954"/>
      <c r="PGB39" s="954"/>
      <c r="PGC39" s="954"/>
      <c r="PGD39" s="954"/>
      <c r="PGE39" s="954"/>
      <c r="PGF39" s="954"/>
      <c r="PGG39" s="954"/>
      <c r="PGH39" s="954"/>
      <c r="PGI39" s="954"/>
      <c r="PGJ39" s="954"/>
      <c r="PGK39" s="954"/>
      <c r="PGL39" s="954"/>
      <c r="PGM39" s="954"/>
      <c r="PGN39" s="954"/>
      <c r="PGO39" s="954"/>
      <c r="PGP39" s="954"/>
      <c r="PGQ39" s="954"/>
      <c r="PGR39" s="954"/>
      <c r="PGS39" s="954"/>
      <c r="PGT39" s="954"/>
      <c r="PGU39" s="954"/>
      <c r="PGV39" s="954"/>
      <c r="PGW39" s="954"/>
      <c r="PGX39" s="954"/>
      <c r="PGY39" s="954"/>
      <c r="PGZ39" s="954"/>
      <c r="PHA39" s="954"/>
      <c r="PHB39" s="954"/>
      <c r="PHC39" s="954"/>
      <c r="PHD39" s="954"/>
      <c r="PHE39" s="954"/>
      <c r="PHF39" s="954"/>
      <c r="PHG39" s="954"/>
      <c r="PHH39" s="954"/>
      <c r="PHI39" s="954"/>
      <c r="PHJ39" s="954"/>
      <c r="PHK39" s="954"/>
      <c r="PHL39" s="954"/>
      <c r="PHM39" s="954"/>
      <c r="PHN39" s="954"/>
      <c r="PHO39" s="954"/>
      <c r="PHP39" s="954"/>
      <c r="PHQ39" s="954"/>
      <c r="PHR39" s="954"/>
      <c r="PHS39" s="954"/>
      <c r="PHT39" s="954"/>
      <c r="PHU39" s="954"/>
      <c r="PHV39" s="954"/>
      <c r="PHW39" s="954"/>
      <c r="PHX39" s="954"/>
      <c r="PHY39" s="954"/>
      <c r="PHZ39" s="954"/>
      <c r="PIA39" s="954"/>
      <c r="PIB39" s="954"/>
      <c r="PIC39" s="954"/>
      <c r="PID39" s="954"/>
      <c r="PIE39" s="954"/>
      <c r="PIF39" s="954"/>
      <c r="PIG39" s="954"/>
      <c r="PIH39" s="954"/>
      <c r="PII39" s="954"/>
      <c r="PIJ39" s="954"/>
      <c r="PIK39" s="954"/>
      <c r="PIL39" s="954"/>
      <c r="PIM39" s="954"/>
      <c r="PIN39" s="954"/>
      <c r="PIO39" s="954"/>
      <c r="PIP39" s="954"/>
      <c r="PIQ39" s="954"/>
      <c r="PIR39" s="954"/>
      <c r="PIS39" s="954"/>
      <c r="PIT39" s="954"/>
      <c r="PIU39" s="954"/>
      <c r="PIV39" s="954"/>
      <c r="PIW39" s="954"/>
      <c r="PIX39" s="954"/>
      <c r="PIY39" s="954"/>
      <c r="PIZ39" s="954"/>
      <c r="PJA39" s="954"/>
      <c r="PJB39" s="954"/>
      <c r="PJC39" s="954"/>
      <c r="PJD39" s="954"/>
      <c r="PJE39" s="954"/>
      <c r="PJF39" s="954"/>
      <c r="PJG39" s="954"/>
      <c r="PJH39" s="954"/>
      <c r="PJI39" s="954"/>
      <c r="PJJ39" s="954"/>
      <c r="PJK39" s="954"/>
      <c r="PJL39" s="954"/>
      <c r="PJM39" s="954"/>
      <c r="PJN39" s="954"/>
      <c r="PJO39" s="954"/>
      <c r="PJP39" s="954"/>
      <c r="PJQ39" s="954"/>
      <c r="PJR39" s="954"/>
      <c r="PJS39" s="954"/>
      <c r="PJT39" s="954"/>
      <c r="PJU39" s="954"/>
      <c r="PJV39" s="954"/>
      <c r="PJW39" s="954"/>
      <c r="PJX39" s="954"/>
      <c r="PJY39" s="954"/>
      <c r="PJZ39" s="954"/>
      <c r="PKA39" s="954"/>
      <c r="PKB39" s="954"/>
      <c r="PKC39" s="954"/>
      <c r="PKD39" s="954"/>
      <c r="PKE39" s="954"/>
      <c r="PKF39" s="954"/>
      <c r="PKG39" s="954"/>
      <c r="PKH39" s="954"/>
      <c r="PKI39" s="954"/>
      <c r="PKJ39" s="954"/>
      <c r="PKK39" s="954"/>
      <c r="PKL39" s="954"/>
      <c r="PKM39" s="954"/>
      <c r="PKN39" s="954"/>
      <c r="PKO39" s="954"/>
      <c r="PKP39" s="954"/>
      <c r="PKQ39" s="954"/>
      <c r="PKR39" s="954"/>
      <c r="PKS39" s="954"/>
      <c r="PKT39" s="954"/>
      <c r="PKU39" s="954"/>
      <c r="PKV39" s="954"/>
      <c r="PKW39" s="954"/>
      <c r="PKX39" s="954"/>
      <c r="PKY39" s="954"/>
      <c r="PKZ39" s="954"/>
      <c r="PLA39" s="954"/>
      <c r="PLB39" s="954"/>
      <c r="PLC39" s="954"/>
      <c r="PLD39" s="954"/>
      <c r="PLE39" s="954"/>
      <c r="PLF39" s="954"/>
      <c r="PLG39" s="954"/>
      <c r="PLH39" s="954"/>
      <c r="PLI39" s="954"/>
      <c r="PLJ39" s="954"/>
      <c r="PLK39" s="954"/>
      <c r="PLL39" s="954"/>
      <c r="PLM39" s="954"/>
      <c r="PLN39" s="954"/>
      <c r="PLO39" s="954"/>
      <c r="PLP39" s="954"/>
      <c r="PLQ39" s="954"/>
      <c r="PLR39" s="954"/>
      <c r="PLS39" s="954"/>
      <c r="PLT39" s="954"/>
      <c r="PLU39" s="954"/>
      <c r="PLV39" s="954"/>
      <c r="PLW39" s="954"/>
      <c r="PLX39" s="954"/>
      <c r="PLY39" s="954"/>
      <c r="PLZ39" s="954"/>
      <c r="PMA39" s="954"/>
      <c r="PMB39" s="954"/>
      <c r="PMC39" s="954"/>
      <c r="PMD39" s="954"/>
      <c r="PME39" s="954"/>
      <c r="PMF39" s="954"/>
      <c r="PMG39" s="954"/>
      <c r="PMH39" s="954"/>
      <c r="PMI39" s="954"/>
      <c r="PMJ39" s="954"/>
      <c r="PMK39" s="954"/>
      <c r="PML39" s="954"/>
      <c r="PMM39" s="954"/>
      <c r="PMN39" s="954"/>
      <c r="PMO39" s="954"/>
      <c r="PMP39" s="954"/>
      <c r="PMQ39" s="954"/>
      <c r="PMR39" s="954"/>
      <c r="PMS39" s="954"/>
      <c r="PMT39" s="954"/>
      <c r="PMU39" s="954"/>
      <c r="PMV39" s="954"/>
      <c r="PMW39" s="954"/>
      <c r="PMX39" s="954"/>
      <c r="PMY39" s="954"/>
      <c r="PMZ39" s="954"/>
      <c r="PNA39" s="954"/>
      <c r="PNB39" s="954"/>
      <c r="PNC39" s="954"/>
      <c r="PND39" s="954"/>
      <c r="PNE39" s="954"/>
      <c r="PNF39" s="954"/>
      <c r="PNG39" s="954"/>
      <c r="PNH39" s="954"/>
      <c r="PNI39" s="954"/>
      <c r="PNJ39" s="954"/>
      <c r="PNK39" s="954"/>
      <c r="PNL39" s="954"/>
      <c r="PNM39" s="954"/>
      <c r="PNN39" s="954"/>
      <c r="PNO39" s="954"/>
      <c r="PNP39" s="954"/>
      <c r="PNQ39" s="954"/>
      <c r="PNR39" s="954"/>
      <c r="PNS39" s="954"/>
      <c r="PNT39" s="954"/>
      <c r="PNU39" s="954"/>
      <c r="PNV39" s="954"/>
      <c r="PNW39" s="954"/>
      <c r="PNX39" s="954"/>
      <c r="PNY39" s="954"/>
      <c r="PNZ39" s="954"/>
      <c r="POA39" s="954"/>
      <c r="POB39" s="954"/>
      <c r="POC39" s="954"/>
      <c r="POD39" s="954"/>
      <c r="POE39" s="954"/>
      <c r="POF39" s="954"/>
      <c r="POG39" s="954"/>
      <c r="POH39" s="954"/>
      <c r="POI39" s="954"/>
      <c r="POJ39" s="954"/>
      <c r="POK39" s="954"/>
      <c r="POL39" s="954"/>
      <c r="POM39" s="954"/>
      <c r="PON39" s="954"/>
      <c r="POO39" s="954"/>
      <c r="POP39" s="954"/>
      <c r="POQ39" s="954"/>
      <c r="POR39" s="954"/>
      <c r="POS39" s="954"/>
      <c r="POT39" s="954"/>
      <c r="POU39" s="954"/>
      <c r="POV39" s="954"/>
      <c r="POW39" s="954"/>
      <c r="POX39" s="954"/>
      <c r="POY39" s="954"/>
      <c r="POZ39" s="954"/>
      <c r="PPA39" s="954"/>
      <c r="PPB39" s="954"/>
      <c r="PPC39" s="954"/>
      <c r="PPD39" s="954"/>
      <c r="PPE39" s="954"/>
      <c r="PPF39" s="954"/>
      <c r="PPG39" s="954"/>
      <c r="PPH39" s="954"/>
      <c r="PPI39" s="954"/>
      <c r="PPJ39" s="954"/>
      <c r="PPK39" s="954"/>
      <c r="PPL39" s="954"/>
      <c r="PPM39" s="954"/>
      <c r="PPN39" s="954"/>
      <c r="PPO39" s="954"/>
      <c r="PPP39" s="954"/>
      <c r="PPQ39" s="954"/>
      <c r="PPR39" s="954"/>
      <c r="PPS39" s="954"/>
      <c r="PPT39" s="954"/>
      <c r="PPU39" s="954"/>
      <c r="PPV39" s="954"/>
      <c r="PPW39" s="954"/>
      <c r="PPX39" s="954"/>
      <c r="PPY39" s="954"/>
      <c r="PPZ39" s="954"/>
      <c r="PQA39" s="954"/>
      <c r="PQB39" s="954"/>
      <c r="PQC39" s="954"/>
      <c r="PQD39" s="954"/>
      <c r="PQE39" s="954"/>
      <c r="PQF39" s="954"/>
      <c r="PQG39" s="954"/>
      <c r="PQH39" s="954"/>
      <c r="PQI39" s="954"/>
      <c r="PQJ39" s="954"/>
      <c r="PQK39" s="954"/>
      <c r="PQL39" s="954"/>
      <c r="PQM39" s="954"/>
      <c r="PQN39" s="954"/>
      <c r="PQO39" s="954"/>
      <c r="PQP39" s="954"/>
      <c r="PQQ39" s="954"/>
      <c r="PQR39" s="954"/>
      <c r="PQS39" s="954"/>
      <c r="PQT39" s="954"/>
      <c r="PQU39" s="954"/>
      <c r="PQV39" s="954"/>
      <c r="PQW39" s="954"/>
      <c r="PQX39" s="954"/>
      <c r="PQY39" s="954"/>
      <c r="PQZ39" s="954"/>
      <c r="PRA39" s="954"/>
      <c r="PRB39" s="954"/>
      <c r="PRC39" s="954"/>
      <c r="PRD39" s="954"/>
      <c r="PRE39" s="954"/>
      <c r="PRF39" s="954"/>
      <c r="PRG39" s="954"/>
      <c r="PRH39" s="954"/>
      <c r="PRI39" s="954"/>
      <c r="PRJ39" s="954"/>
      <c r="PRK39" s="954"/>
      <c r="PRL39" s="954"/>
      <c r="PRM39" s="954"/>
      <c r="PRN39" s="954"/>
      <c r="PRO39" s="954"/>
      <c r="PRP39" s="954"/>
      <c r="PRQ39" s="954"/>
      <c r="PRR39" s="954"/>
      <c r="PRS39" s="954"/>
      <c r="PRT39" s="954"/>
      <c r="PRU39" s="954"/>
      <c r="PRV39" s="954"/>
      <c r="PRW39" s="954"/>
      <c r="PRX39" s="954"/>
      <c r="PRY39" s="954"/>
      <c r="PRZ39" s="954"/>
      <c r="PSA39" s="954"/>
      <c r="PSB39" s="954"/>
      <c r="PSC39" s="954"/>
      <c r="PSD39" s="954"/>
      <c r="PSE39" s="954"/>
      <c r="PSF39" s="954"/>
      <c r="PSG39" s="954"/>
      <c r="PSH39" s="954"/>
      <c r="PSI39" s="954"/>
      <c r="PSJ39" s="954"/>
      <c r="PSK39" s="954"/>
      <c r="PSL39" s="954"/>
      <c r="PSM39" s="954"/>
      <c r="PSN39" s="954"/>
      <c r="PSO39" s="954"/>
      <c r="PSP39" s="954"/>
      <c r="PSQ39" s="954"/>
      <c r="PSR39" s="954"/>
      <c r="PSS39" s="954"/>
      <c r="PST39" s="954"/>
      <c r="PSU39" s="954"/>
      <c r="PSV39" s="954"/>
      <c r="PSW39" s="954"/>
      <c r="PSX39" s="954"/>
      <c r="PSY39" s="954"/>
      <c r="PSZ39" s="954"/>
      <c r="PTA39" s="954"/>
      <c r="PTB39" s="954"/>
      <c r="PTC39" s="954"/>
      <c r="PTD39" s="954"/>
      <c r="PTE39" s="954"/>
      <c r="PTF39" s="954"/>
      <c r="PTG39" s="954"/>
      <c r="PTH39" s="954"/>
      <c r="PTI39" s="954"/>
      <c r="PTJ39" s="954"/>
      <c r="PTK39" s="954"/>
      <c r="PTL39" s="954"/>
      <c r="PTM39" s="954"/>
      <c r="PTN39" s="954"/>
      <c r="PTO39" s="954"/>
      <c r="PTP39" s="954"/>
      <c r="PTQ39" s="954"/>
      <c r="PTR39" s="954"/>
      <c r="PTS39" s="954"/>
      <c r="PTT39" s="954"/>
      <c r="PTU39" s="954"/>
      <c r="PTV39" s="954"/>
      <c r="PTW39" s="954"/>
      <c r="PTX39" s="954"/>
      <c r="PTY39" s="954"/>
      <c r="PTZ39" s="954"/>
      <c r="PUA39" s="954"/>
      <c r="PUB39" s="954"/>
      <c r="PUC39" s="954"/>
      <c r="PUD39" s="954"/>
      <c r="PUE39" s="954"/>
      <c r="PUF39" s="954"/>
      <c r="PUG39" s="954"/>
      <c r="PUH39" s="954"/>
      <c r="PUI39" s="954"/>
      <c r="PUJ39" s="954"/>
      <c r="PUK39" s="954"/>
      <c r="PUL39" s="954"/>
      <c r="PUM39" s="954"/>
      <c r="PUN39" s="954"/>
      <c r="PUO39" s="954"/>
      <c r="PUP39" s="954"/>
      <c r="PUQ39" s="954"/>
      <c r="PUR39" s="954"/>
      <c r="PUS39" s="954"/>
      <c r="PUT39" s="954"/>
      <c r="PUU39" s="954"/>
      <c r="PUV39" s="954"/>
      <c r="PUW39" s="954"/>
      <c r="PUX39" s="954"/>
      <c r="PUY39" s="954"/>
      <c r="PUZ39" s="954"/>
      <c r="PVA39" s="954"/>
      <c r="PVB39" s="954"/>
      <c r="PVC39" s="954"/>
      <c r="PVD39" s="954"/>
      <c r="PVE39" s="954"/>
      <c r="PVF39" s="954"/>
      <c r="PVG39" s="954"/>
      <c r="PVH39" s="954"/>
      <c r="PVI39" s="954"/>
      <c r="PVJ39" s="954"/>
      <c r="PVK39" s="954"/>
      <c r="PVL39" s="954"/>
      <c r="PVM39" s="954"/>
      <c r="PVN39" s="954"/>
      <c r="PVO39" s="954"/>
      <c r="PVP39" s="954"/>
      <c r="PVQ39" s="954"/>
      <c r="PVR39" s="954"/>
      <c r="PVS39" s="954"/>
      <c r="PVT39" s="954"/>
      <c r="PVU39" s="954"/>
      <c r="PVV39" s="954"/>
      <c r="PVW39" s="954"/>
      <c r="PVX39" s="954"/>
      <c r="PVY39" s="954"/>
      <c r="PVZ39" s="954"/>
      <c r="PWA39" s="954"/>
      <c r="PWB39" s="954"/>
      <c r="PWC39" s="954"/>
      <c r="PWD39" s="954"/>
      <c r="PWE39" s="954"/>
      <c r="PWF39" s="954"/>
      <c r="PWG39" s="954"/>
      <c r="PWH39" s="954"/>
      <c r="PWI39" s="954"/>
      <c r="PWJ39" s="954"/>
      <c r="PWK39" s="954"/>
      <c r="PWL39" s="954"/>
      <c r="PWM39" s="954"/>
      <c r="PWN39" s="954"/>
      <c r="PWO39" s="954"/>
      <c r="PWP39" s="954"/>
      <c r="PWQ39" s="954"/>
      <c r="PWR39" s="954"/>
      <c r="PWS39" s="954"/>
      <c r="PWT39" s="954"/>
      <c r="PWU39" s="954"/>
      <c r="PWV39" s="954"/>
      <c r="PWW39" s="954"/>
      <c r="PWX39" s="954"/>
      <c r="PWY39" s="954"/>
      <c r="PWZ39" s="954"/>
      <c r="PXA39" s="954"/>
      <c r="PXB39" s="954"/>
      <c r="PXC39" s="954"/>
      <c r="PXD39" s="954"/>
      <c r="PXE39" s="954"/>
      <c r="PXF39" s="954"/>
      <c r="PXG39" s="954"/>
      <c r="PXH39" s="954"/>
      <c r="PXI39" s="954"/>
      <c r="PXJ39" s="954"/>
      <c r="PXK39" s="954"/>
      <c r="PXL39" s="954"/>
      <c r="PXM39" s="954"/>
      <c r="PXN39" s="954"/>
      <c r="PXO39" s="954"/>
      <c r="PXP39" s="954"/>
      <c r="PXQ39" s="954"/>
      <c r="PXR39" s="954"/>
      <c r="PXS39" s="954"/>
      <c r="PXT39" s="954"/>
      <c r="PXU39" s="954"/>
      <c r="PXV39" s="954"/>
      <c r="PXW39" s="954"/>
      <c r="PXX39" s="954"/>
      <c r="PXY39" s="954"/>
      <c r="PXZ39" s="954"/>
      <c r="PYA39" s="954"/>
      <c r="PYB39" s="954"/>
      <c r="PYC39" s="954"/>
      <c r="PYD39" s="954"/>
      <c r="PYE39" s="954"/>
      <c r="PYF39" s="954"/>
      <c r="PYG39" s="954"/>
      <c r="PYH39" s="954"/>
      <c r="PYI39" s="954"/>
      <c r="PYJ39" s="954"/>
      <c r="PYK39" s="954"/>
      <c r="PYL39" s="954"/>
      <c r="PYM39" s="954"/>
      <c r="PYN39" s="954"/>
      <c r="PYO39" s="954"/>
      <c r="PYP39" s="954"/>
      <c r="PYQ39" s="954"/>
      <c r="PYR39" s="954"/>
      <c r="PYS39" s="954"/>
      <c r="PYT39" s="954"/>
      <c r="PYU39" s="954"/>
      <c r="PYV39" s="954"/>
      <c r="PYW39" s="954"/>
      <c r="PYX39" s="954"/>
      <c r="PYY39" s="954"/>
      <c r="PYZ39" s="954"/>
      <c r="PZA39" s="954"/>
      <c r="PZB39" s="954"/>
      <c r="PZC39" s="954"/>
      <c r="PZD39" s="954"/>
      <c r="PZE39" s="954"/>
      <c r="PZF39" s="954"/>
      <c r="PZG39" s="954"/>
      <c r="PZH39" s="954"/>
      <c r="PZI39" s="954"/>
      <c r="PZJ39" s="954"/>
      <c r="PZK39" s="954"/>
      <c r="PZL39" s="954"/>
      <c r="PZM39" s="954"/>
      <c r="PZN39" s="954"/>
      <c r="PZO39" s="954"/>
      <c r="PZP39" s="954"/>
      <c r="PZQ39" s="954"/>
      <c r="PZR39" s="954"/>
      <c r="PZS39" s="954"/>
      <c r="PZT39" s="954"/>
      <c r="PZU39" s="954"/>
      <c r="PZV39" s="954"/>
      <c r="PZW39" s="954"/>
      <c r="PZX39" s="954"/>
      <c r="PZY39" s="954"/>
      <c r="PZZ39" s="954"/>
      <c r="QAA39" s="954"/>
      <c r="QAB39" s="954"/>
      <c r="QAC39" s="954"/>
      <c r="QAD39" s="954"/>
      <c r="QAE39" s="954"/>
      <c r="QAF39" s="954"/>
      <c r="QAG39" s="954"/>
      <c r="QAH39" s="954"/>
      <c r="QAI39" s="954"/>
      <c r="QAJ39" s="954"/>
      <c r="QAK39" s="954"/>
      <c r="QAL39" s="954"/>
      <c r="QAM39" s="954"/>
      <c r="QAN39" s="954"/>
      <c r="QAO39" s="954"/>
      <c r="QAP39" s="954"/>
      <c r="QAQ39" s="954"/>
      <c r="QAR39" s="954"/>
      <c r="QAS39" s="954"/>
      <c r="QAT39" s="954"/>
      <c r="QAU39" s="954"/>
      <c r="QAV39" s="954"/>
      <c r="QAW39" s="954"/>
      <c r="QAX39" s="954"/>
      <c r="QAY39" s="954"/>
      <c r="QAZ39" s="954"/>
      <c r="QBA39" s="954"/>
      <c r="QBB39" s="954"/>
      <c r="QBC39" s="954"/>
      <c r="QBD39" s="954"/>
      <c r="QBE39" s="954"/>
      <c r="QBF39" s="954"/>
      <c r="QBG39" s="954"/>
      <c r="QBH39" s="954"/>
      <c r="QBI39" s="954"/>
      <c r="QBJ39" s="954"/>
      <c r="QBK39" s="954"/>
      <c r="QBL39" s="954"/>
      <c r="QBM39" s="954"/>
      <c r="QBN39" s="954"/>
      <c r="QBO39" s="954"/>
      <c r="QBP39" s="954"/>
      <c r="QBQ39" s="954"/>
      <c r="QBR39" s="954"/>
      <c r="QBS39" s="954"/>
      <c r="QBT39" s="954"/>
      <c r="QBU39" s="954"/>
      <c r="QBV39" s="954"/>
      <c r="QBW39" s="954"/>
      <c r="QBX39" s="954"/>
      <c r="QBY39" s="954"/>
      <c r="QBZ39" s="954"/>
      <c r="QCA39" s="954"/>
      <c r="QCB39" s="954"/>
      <c r="QCC39" s="954"/>
      <c r="QCD39" s="954"/>
      <c r="QCE39" s="954"/>
      <c r="QCF39" s="954"/>
      <c r="QCG39" s="954"/>
      <c r="QCH39" s="954"/>
      <c r="QCI39" s="954"/>
      <c r="QCJ39" s="954"/>
      <c r="QCK39" s="954"/>
      <c r="QCL39" s="954"/>
      <c r="QCM39" s="954"/>
      <c r="QCN39" s="954"/>
      <c r="QCO39" s="954"/>
      <c r="QCP39" s="954"/>
      <c r="QCQ39" s="954"/>
      <c r="QCR39" s="954"/>
      <c r="QCS39" s="954"/>
      <c r="QCT39" s="954"/>
      <c r="QCU39" s="954"/>
      <c r="QCV39" s="954"/>
      <c r="QCW39" s="954"/>
      <c r="QCX39" s="954"/>
      <c r="QCY39" s="954"/>
      <c r="QCZ39" s="954"/>
      <c r="QDA39" s="954"/>
      <c r="QDB39" s="954"/>
      <c r="QDC39" s="954"/>
      <c r="QDD39" s="954"/>
      <c r="QDE39" s="954"/>
      <c r="QDF39" s="954"/>
      <c r="QDG39" s="954"/>
      <c r="QDH39" s="954"/>
      <c r="QDI39" s="954"/>
      <c r="QDJ39" s="954"/>
      <c r="QDK39" s="954"/>
      <c r="QDL39" s="954"/>
      <c r="QDM39" s="954"/>
      <c r="QDN39" s="954"/>
      <c r="QDO39" s="954"/>
      <c r="QDP39" s="954"/>
      <c r="QDQ39" s="954"/>
      <c r="QDR39" s="954"/>
      <c r="QDS39" s="954"/>
      <c r="QDT39" s="954"/>
      <c r="QDU39" s="954"/>
      <c r="QDV39" s="954"/>
      <c r="QDW39" s="954"/>
      <c r="QDX39" s="954"/>
      <c r="QDY39" s="954"/>
      <c r="QDZ39" s="954"/>
      <c r="QEA39" s="954"/>
      <c r="QEB39" s="954"/>
      <c r="QEC39" s="954"/>
      <c r="QED39" s="954"/>
      <c r="QEE39" s="954"/>
      <c r="QEF39" s="954"/>
      <c r="QEG39" s="954"/>
      <c r="QEH39" s="954"/>
      <c r="QEI39" s="954"/>
      <c r="QEJ39" s="954"/>
      <c r="QEK39" s="954"/>
      <c r="QEL39" s="954"/>
      <c r="QEM39" s="954"/>
      <c r="QEN39" s="954"/>
      <c r="QEO39" s="954"/>
      <c r="QEP39" s="954"/>
      <c r="QEQ39" s="954"/>
      <c r="QER39" s="954"/>
      <c r="QES39" s="954"/>
      <c r="QET39" s="954"/>
      <c r="QEU39" s="954"/>
      <c r="QEV39" s="954"/>
      <c r="QEW39" s="954"/>
      <c r="QEX39" s="954"/>
      <c r="QEY39" s="954"/>
      <c r="QEZ39" s="954"/>
      <c r="QFA39" s="954"/>
      <c r="QFB39" s="954"/>
      <c r="QFC39" s="954"/>
      <c r="QFD39" s="954"/>
      <c r="QFE39" s="954"/>
      <c r="QFF39" s="954"/>
      <c r="QFG39" s="954"/>
      <c r="QFH39" s="954"/>
      <c r="QFI39" s="954"/>
      <c r="QFJ39" s="954"/>
      <c r="QFK39" s="954"/>
      <c r="QFL39" s="954"/>
      <c r="QFM39" s="954"/>
      <c r="QFN39" s="954"/>
      <c r="QFO39" s="954"/>
      <c r="QFP39" s="954"/>
      <c r="QFQ39" s="954"/>
      <c r="QFR39" s="954"/>
      <c r="QFS39" s="954"/>
      <c r="QFT39" s="954"/>
      <c r="QFU39" s="954"/>
      <c r="QFV39" s="954"/>
      <c r="QFW39" s="954"/>
      <c r="QFX39" s="954"/>
      <c r="QFY39" s="954"/>
      <c r="QFZ39" s="954"/>
      <c r="QGA39" s="954"/>
      <c r="QGB39" s="954"/>
      <c r="QGC39" s="954"/>
      <c r="QGD39" s="954"/>
      <c r="QGE39" s="954"/>
      <c r="QGF39" s="954"/>
      <c r="QGG39" s="954"/>
      <c r="QGH39" s="954"/>
      <c r="QGI39" s="954"/>
      <c r="QGJ39" s="954"/>
      <c r="QGK39" s="954"/>
      <c r="QGL39" s="954"/>
      <c r="QGM39" s="954"/>
      <c r="QGN39" s="954"/>
      <c r="QGO39" s="954"/>
      <c r="QGP39" s="954"/>
      <c r="QGQ39" s="954"/>
      <c r="QGR39" s="954"/>
      <c r="QGS39" s="954"/>
      <c r="QGT39" s="954"/>
      <c r="QGU39" s="954"/>
      <c r="QGV39" s="954"/>
      <c r="QGW39" s="954"/>
      <c r="QGX39" s="954"/>
      <c r="QGY39" s="954"/>
      <c r="QGZ39" s="954"/>
      <c r="QHA39" s="954"/>
      <c r="QHB39" s="954"/>
      <c r="QHC39" s="954"/>
      <c r="QHD39" s="954"/>
      <c r="QHE39" s="954"/>
      <c r="QHF39" s="954"/>
      <c r="QHG39" s="954"/>
      <c r="QHH39" s="954"/>
      <c r="QHI39" s="954"/>
      <c r="QHJ39" s="954"/>
      <c r="QHK39" s="954"/>
      <c r="QHL39" s="954"/>
      <c r="QHM39" s="954"/>
      <c r="QHN39" s="954"/>
      <c r="QHO39" s="954"/>
      <c r="QHP39" s="954"/>
      <c r="QHQ39" s="954"/>
      <c r="QHR39" s="954"/>
      <c r="QHS39" s="954"/>
      <c r="QHT39" s="954"/>
      <c r="QHU39" s="954"/>
      <c r="QHV39" s="954"/>
      <c r="QHW39" s="954"/>
      <c r="QHX39" s="954"/>
      <c r="QHY39" s="954"/>
      <c r="QHZ39" s="954"/>
      <c r="QIA39" s="954"/>
      <c r="QIB39" s="954"/>
      <c r="QIC39" s="954"/>
      <c r="QID39" s="954"/>
      <c r="QIE39" s="954"/>
      <c r="QIF39" s="954"/>
      <c r="QIG39" s="954"/>
      <c r="QIH39" s="954"/>
      <c r="QII39" s="954"/>
      <c r="QIJ39" s="954"/>
      <c r="QIK39" s="954"/>
      <c r="QIL39" s="954"/>
      <c r="QIM39" s="954"/>
      <c r="QIN39" s="954"/>
      <c r="QIO39" s="954"/>
      <c r="QIP39" s="954"/>
      <c r="QIQ39" s="954"/>
      <c r="QIR39" s="954"/>
      <c r="QIS39" s="954"/>
      <c r="QIT39" s="954"/>
      <c r="QIU39" s="954"/>
      <c r="QIV39" s="954"/>
      <c r="QIW39" s="954"/>
      <c r="QIX39" s="954"/>
      <c r="QIY39" s="954"/>
      <c r="QIZ39" s="954"/>
      <c r="QJA39" s="954"/>
      <c r="QJB39" s="954"/>
      <c r="QJC39" s="954"/>
      <c r="QJD39" s="954"/>
      <c r="QJE39" s="954"/>
      <c r="QJF39" s="954"/>
      <c r="QJG39" s="954"/>
      <c r="QJH39" s="954"/>
      <c r="QJI39" s="954"/>
      <c r="QJJ39" s="954"/>
      <c r="QJK39" s="954"/>
      <c r="QJL39" s="954"/>
      <c r="QJM39" s="954"/>
      <c r="QJN39" s="954"/>
      <c r="QJO39" s="954"/>
      <c r="QJP39" s="954"/>
      <c r="QJQ39" s="954"/>
      <c r="QJR39" s="954"/>
      <c r="QJS39" s="954"/>
      <c r="QJT39" s="954"/>
      <c r="QJU39" s="954"/>
      <c r="QJV39" s="954"/>
      <c r="QJW39" s="954"/>
      <c r="QJX39" s="954"/>
      <c r="QJY39" s="954"/>
      <c r="QJZ39" s="954"/>
      <c r="QKA39" s="954"/>
      <c r="QKB39" s="954"/>
      <c r="QKC39" s="954"/>
      <c r="QKD39" s="954"/>
      <c r="QKE39" s="954"/>
      <c r="QKF39" s="954"/>
      <c r="QKG39" s="954"/>
      <c r="QKH39" s="954"/>
      <c r="QKI39" s="954"/>
      <c r="QKJ39" s="954"/>
      <c r="QKK39" s="954"/>
      <c r="QKL39" s="954"/>
      <c r="QKM39" s="954"/>
      <c r="QKN39" s="954"/>
      <c r="QKO39" s="954"/>
      <c r="QKP39" s="954"/>
      <c r="QKQ39" s="954"/>
      <c r="QKR39" s="954"/>
      <c r="QKS39" s="954"/>
      <c r="QKT39" s="954"/>
      <c r="QKU39" s="954"/>
      <c r="QKV39" s="954"/>
      <c r="QKW39" s="954"/>
      <c r="QKX39" s="954"/>
      <c r="QKY39" s="954"/>
      <c r="QKZ39" s="954"/>
      <c r="QLA39" s="954"/>
      <c r="QLB39" s="954"/>
      <c r="QLC39" s="954"/>
      <c r="QLD39" s="954"/>
      <c r="QLE39" s="954"/>
      <c r="QLF39" s="954"/>
      <c r="QLG39" s="954"/>
      <c r="QLH39" s="954"/>
      <c r="QLI39" s="954"/>
      <c r="QLJ39" s="954"/>
      <c r="QLK39" s="954"/>
      <c r="QLL39" s="954"/>
      <c r="QLM39" s="954"/>
      <c r="QLN39" s="954"/>
      <c r="QLO39" s="954"/>
      <c r="QLP39" s="954"/>
      <c r="QLQ39" s="954"/>
      <c r="QLR39" s="954"/>
      <c r="QLS39" s="954"/>
      <c r="QLT39" s="954"/>
      <c r="QLU39" s="954"/>
      <c r="QLV39" s="954"/>
      <c r="QLW39" s="954"/>
      <c r="QLX39" s="954"/>
      <c r="QLY39" s="954"/>
      <c r="QLZ39" s="954"/>
      <c r="QMA39" s="954"/>
      <c r="QMB39" s="954"/>
      <c r="QMC39" s="954"/>
      <c r="QMD39" s="954"/>
      <c r="QME39" s="954"/>
      <c r="QMF39" s="954"/>
      <c r="QMG39" s="954"/>
      <c r="QMH39" s="954"/>
      <c r="QMI39" s="954"/>
      <c r="QMJ39" s="954"/>
      <c r="QMK39" s="954"/>
      <c r="QML39" s="954"/>
      <c r="QMM39" s="954"/>
      <c r="QMN39" s="954"/>
      <c r="QMO39" s="954"/>
      <c r="QMP39" s="954"/>
      <c r="QMQ39" s="954"/>
      <c r="QMR39" s="954"/>
      <c r="QMS39" s="954"/>
      <c r="QMT39" s="954"/>
      <c r="QMU39" s="954"/>
      <c r="QMV39" s="954"/>
      <c r="QMW39" s="954"/>
      <c r="QMX39" s="954"/>
      <c r="QMY39" s="954"/>
      <c r="QMZ39" s="954"/>
      <c r="QNA39" s="954"/>
      <c r="QNB39" s="954"/>
      <c r="QNC39" s="954"/>
      <c r="QND39" s="954"/>
      <c r="QNE39" s="954"/>
      <c r="QNF39" s="954"/>
      <c r="QNG39" s="954"/>
      <c r="QNH39" s="954"/>
      <c r="QNI39" s="954"/>
      <c r="QNJ39" s="954"/>
      <c r="QNK39" s="954"/>
      <c r="QNL39" s="954"/>
      <c r="QNM39" s="954"/>
      <c r="QNN39" s="954"/>
      <c r="QNO39" s="954"/>
      <c r="QNP39" s="954"/>
      <c r="QNQ39" s="954"/>
      <c r="QNR39" s="954"/>
      <c r="QNS39" s="954"/>
      <c r="QNT39" s="954"/>
      <c r="QNU39" s="954"/>
      <c r="QNV39" s="954"/>
      <c r="QNW39" s="954"/>
      <c r="QNX39" s="954"/>
      <c r="QNY39" s="954"/>
      <c r="QNZ39" s="954"/>
      <c r="QOA39" s="954"/>
      <c r="QOB39" s="954"/>
      <c r="QOC39" s="954"/>
      <c r="QOD39" s="954"/>
      <c r="QOE39" s="954"/>
      <c r="QOF39" s="954"/>
      <c r="QOG39" s="954"/>
      <c r="QOH39" s="954"/>
      <c r="QOI39" s="954"/>
      <c r="QOJ39" s="954"/>
      <c r="QOK39" s="954"/>
      <c r="QOL39" s="954"/>
      <c r="QOM39" s="954"/>
      <c r="QON39" s="954"/>
      <c r="QOO39" s="954"/>
      <c r="QOP39" s="954"/>
      <c r="QOQ39" s="954"/>
      <c r="QOR39" s="954"/>
      <c r="QOS39" s="954"/>
      <c r="QOT39" s="954"/>
      <c r="QOU39" s="954"/>
      <c r="QOV39" s="954"/>
      <c r="QOW39" s="954"/>
      <c r="QOX39" s="954"/>
      <c r="QOY39" s="954"/>
      <c r="QOZ39" s="954"/>
      <c r="QPA39" s="954"/>
      <c r="QPB39" s="954"/>
      <c r="QPC39" s="954"/>
      <c r="QPD39" s="954"/>
      <c r="QPE39" s="954"/>
      <c r="QPF39" s="954"/>
      <c r="QPG39" s="954"/>
      <c r="QPH39" s="954"/>
      <c r="QPI39" s="954"/>
      <c r="QPJ39" s="954"/>
      <c r="QPK39" s="954"/>
      <c r="QPL39" s="954"/>
      <c r="QPM39" s="954"/>
      <c r="QPN39" s="954"/>
      <c r="QPO39" s="954"/>
      <c r="QPP39" s="954"/>
      <c r="QPQ39" s="954"/>
      <c r="QPR39" s="954"/>
      <c r="QPS39" s="954"/>
      <c r="QPT39" s="954"/>
      <c r="QPU39" s="954"/>
      <c r="QPV39" s="954"/>
      <c r="QPW39" s="954"/>
      <c r="QPX39" s="954"/>
      <c r="QPY39" s="954"/>
      <c r="QPZ39" s="954"/>
      <c r="QQA39" s="954"/>
      <c r="QQB39" s="954"/>
      <c r="QQC39" s="954"/>
      <c r="QQD39" s="954"/>
      <c r="QQE39" s="954"/>
      <c r="QQF39" s="954"/>
      <c r="QQG39" s="954"/>
      <c r="QQH39" s="954"/>
      <c r="QQI39" s="954"/>
      <c r="QQJ39" s="954"/>
      <c r="QQK39" s="954"/>
      <c r="QQL39" s="954"/>
      <c r="QQM39" s="954"/>
      <c r="QQN39" s="954"/>
      <c r="QQO39" s="954"/>
      <c r="QQP39" s="954"/>
      <c r="QQQ39" s="954"/>
      <c r="QQR39" s="954"/>
      <c r="QQS39" s="954"/>
      <c r="QQT39" s="954"/>
      <c r="QQU39" s="954"/>
      <c r="QQV39" s="954"/>
      <c r="QQW39" s="954"/>
      <c r="QQX39" s="954"/>
      <c r="QQY39" s="954"/>
      <c r="QQZ39" s="954"/>
      <c r="QRA39" s="954"/>
      <c r="QRB39" s="954"/>
      <c r="QRC39" s="954"/>
      <c r="QRD39" s="954"/>
      <c r="QRE39" s="954"/>
      <c r="QRF39" s="954"/>
      <c r="QRG39" s="954"/>
      <c r="QRH39" s="954"/>
      <c r="QRI39" s="954"/>
      <c r="QRJ39" s="954"/>
      <c r="QRK39" s="954"/>
      <c r="QRL39" s="954"/>
      <c r="QRM39" s="954"/>
      <c r="QRN39" s="954"/>
      <c r="QRO39" s="954"/>
      <c r="QRP39" s="954"/>
      <c r="QRQ39" s="954"/>
      <c r="QRR39" s="954"/>
      <c r="QRS39" s="954"/>
      <c r="QRT39" s="954"/>
      <c r="QRU39" s="954"/>
      <c r="QRV39" s="954"/>
      <c r="QRW39" s="954"/>
      <c r="QRX39" s="954"/>
      <c r="QRY39" s="954"/>
      <c r="QRZ39" s="954"/>
      <c r="QSA39" s="954"/>
      <c r="QSB39" s="954"/>
      <c r="QSC39" s="954"/>
      <c r="QSD39" s="954"/>
      <c r="QSE39" s="954"/>
      <c r="QSF39" s="954"/>
      <c r="QSG39" s="954"/>
      <c r="QSH39" s="954"/>
      <c r="QSI39" s="954"/>
      <c r="QSJ39" s="954"/>
      <c r="QSK39" s="954"/>
      <c r="QSL39" s="954"/>
      <c r="QSM39" s="954"/>
      <c r="QSN39" s="954"/>
      <c r="QSO39" s="954"/>
      <c r="QSP39" s="954"/>
      <c r="QSQ39" s="954"/>
      <c r="QSR39" s="954"/>
      <c r="QSS39" s="954"/>
      <c r="QST39" s="954"/>
      <c r="QSU39" s="954"/>
      <c r="QSV39" s="954"/>
      <c r="QSW39" s="954"/>
      <c r="QSX39" s="954"/>
      <c r="QSY39" s="954"/>
      <c r="QSZ39" s="954"/>
      <c r="QTA39" s="954"/>
      <c r="QTB39" s="954"/>
      <c r="QTC39" s="954"/>
      <c r="QTD39" s="954"/>
      <c r="QTE39" s="954"/>
      <c r="QTF39" s="954"/>
      <c r="QTG39" s="954"/>
      <c r="QTH39" s="954"/>
      <c r="QTI39" s="954"/>
      <c r="QTJ39" s="954"/>
      <c r="QTK39" s="954"/>
      <c r="QTL39" s="954"/>
      <c r="QTM39" s="954"/>
      <c r="QTN39" s="954"/>
      <c r="QTO39" s="954"/>
      <c r="QTP39" s="954"/>
      <c r="QTQ39" s="954"/>
      <c r="QTR39" s="954"/>
      <c r="QTS39" s="954"/>
      <c r="QTT39" s="954"/>
      <c r="QTU39" s="954"/>
      <c r="QTV39" s="954"/>
      <c r="QTW39" s="954"/>
      <c r="QTX39" s="954"/>
      <c r="QTY39" s="954"/>
      <c r="QTZ39" s="954"/>
      <c r="QUA39" s="954"/>
      <c r="QUB39" s="954"/>
      <c r="QUC39" s="954"/>
      <c r="QUD39" s="954"/>
      <c r="QUE39" s="954"/>
      <c r="QUF39" s="954"/>
      <c r="QUG39" s="954"/>
      <c r="QUH39" s="954"/>
      <c r="QUI39" s="954"/>
      <c r="QUJ39" s="954"/>
      <c r="QUK39" s="954"/>
      <c r="QUL39" s="954"/>
      <c r="QUM39" s="954"/>
      <c r="QUN39" s="954"/>
      <c r="QUO39" s="954"/>
      <c r="QUP39" s="954"/>
      <c r="QUQ39" s="954"/>
      <c r="QUR39" s="954"/>
      <c r="QUS39" s="954"/>
      <c r="QUT39" s="954"/>
      <c r="QUU39" s="954"/>
      <c r="QUV39" s="954"/>
      <c r="QUW39" s="954"/>
      <c r="QUX39" s="954"/>
      <c r="QUY39" s="954"/>
      <c r="QUZ39" s="954"/>
      <c r="QVA39" s="954"/>
      <c r="QVB39" s="954"/>
      <c r="QVC39" s="954"/>
      <c r="QVD39" s="954"/>
      <c r="QVE39" s="954"/>
      <c r="QVF39" s="954"/>
      <c r="QVG39" s="954"/>
      <c r="QVH39" s="954"/>
      <c r="QVI39" s="954"/>
      <c r="QVJ39" s="954"/>
      <c r="QVK39" s="954"/>
      <c r="QVL39" s="954"/>
      <c r="QVM39" s="954"/>
      <c r="QVN39" s="954"/>
      <c r="QVO39" s="954"/>
      <c r="QVP39" s="954"/>
      <c r="QVQ39" s="954"/>
      <c r="QVR39" s="954"/>
      <c r="QVS39" s="954"/>
      <c r="QVT39" s="954"/>
      <c r="QVU39" s="954"/>
      <c r="QVV39" s="954"/>
      <c r="QVW39" s="954"/>
      <c r="QVX39" s="954"/>
      <c r="QVY39" s="954"/>
      <c r="QVZ39" s="954"/>
      <c r="QWA39" s="954"/>
      <c r="QWB39" s="954"/>
      <c r="QWC39" s="954"/>
      <c r="QWD39" s="954"/>
      <c r="QWE39" s="954"/>
      <c r="QWF39" s="954"/>
      <c r="QWG39" s="954"/>
      <c r="QWH39" s="954"/>
      <c r="QWI39" s="954"/>
      <c r="QWJ39" s="954"/>
      <c r="QWK39" s="954"/>
      <c r="QWL39" s="954"/>
      <c r="QWM39" s="954"/>
      <c r="QWN39" s="954"/>
      <c r="QWO39" s="954"/>
      <c r="QWP39" s="954"/>
      <c r="QWQ39" s="954"/>
      <c r="QWR39" s="954"/>
      <c r="QWS39" s="954"/>
      <c r="QWT39" s="954"/>
      <c r="QWU39" s="954"/>
      <c r="QWV39" s="954"/>
      <c r="QWW39" s="954"/>
      <c r="QWX39" s="954"/>
      <c r="QWY39" s="954"/>
      <c r="QWZ39" s="954"/>
      <c r="QXA39" s="954"/>
      <c r="QXB39" s="954"/>
      <c r="QXC39" s="954"/>
      <c r="QXD39" s="954"/>
      <c r="QXE39" s="954"/>
      <c r="QXF39" s="954"/>
      <c r="QXG39" s="954"/>
      <c r="QXH39" s="954"/>
      <c r="QXI39" s="954"/>
      <c r="QXJ39" s="954"/>
      <c r="QXK39" s="954"/>
      <c r="QXL39" s="954"/>
      <c r="QXM39" s="954"/>
      <c r="QXN39" s="954"/>
      <c r="QXO39" s="954"/>
      <c r="QXP39" s="954"/>
      <c r="QXQ39" s="954"/>
      <c r="QXR39" s="954"/>
      <c r="QXS39" s="954"/>
      <c r="QXT39" s="954"/>
      <c r="QXU39" s="954"/>
      <c r="QXV39" s="954"/>
      <c r="QXW39" s="954"/>
      <c r="QXX39" s="954"/>
      <c r="QXY39" s="954"/>
      <c r="QXZ39" s="954"/>
      <c r="QYA39" s="954"/>
      <c r="QYB39" s="954"/>
      <c r="QYC39" s="954"/>
      <c r="QYD39" s="954"/>
      <c r="QYE39" s="954"/>
      <c r="QYF39" s="954"/>
      <c r="QYG39" s="954"/>
      <c r="QYH39" s="954"/>
      <c r="QYI39" s="954"/>
      <c r="QYJ39" s="954"/>
      <c r="QYK39" s="954"/>
      <c r="QYL39" s="954"/>
      <c r="QYM39" s="954"/>
      <c r="QYN39" s="954"/>
      <c r="QYO39" s="954"/>
      <c r="QYP39" s="954"/>
      <c r="QYQ39" s="954"/>
      <c r="QYR39" s="954"/>
      <c r="QYS39" s="954"/>
      <c r="QYT39" s="954"/>
      <c r="QYU39" s="954"/>
      <c r="QYV39" s="954"/>
      <c r="QYW39" s="954"/>
      <c r="QYX39" s="954"/>
      <c r="QYY39" s="954"/>
      <c r="QYZ39" s="954"/>
      <c r="QZA39" s="954"/>
      <c r="QZB39" s="954"/>
      <c r="QZC39" s="954"/>
      <c r="QZD39" s="954"/>
      <c r="QZE39" s="954"/>
      <c r="QZF39" s="954"/>
      <c r="QZG39" s="954"/>
      <c r="QZH39" s="954"/>
      <c r="QZI39" s="954"/>
      <c r="QZJ39" s="954"/>
      <c r="QZK39" s="954"/>
      <c r="QZL39" s="954"/>
      <c r="QZM39" s="954"/>
      <c r="QZN39" s="954"/>
      <c r="QZO39" s="954"/>
      <c r="QZP39" s="954"/>
      <c r="QZQ39" s="954"/>
      <c r="QZR39" s="954"/>
      <c r="QZS39" s="954"/>
      <c r="QZT39" s="954"/>
      <c r="QZU39" s="954"/>
      <c r="QZV39" s="954"/>
      <c r="QZW39" s="954"/>
      <c r="QZX39" s="954"/>
      <c r="QZY39" s="954"/>
      <c r="QZZ39" s="954"/>
      <c r="RAA39" s="954"/>
      <c r="RAB39" s="954"/>
      <c r="RAC39" s="954"/>
      <c r="RAD39" s="954"/>
      <c r="RAE39" s="954"/>
      <c r="RAF39" s="954"/>
      <c r="RAG39" s="954"/>
      <c r="RAH39" s="954"/>
      <c r="RAI39" s="954"/>
      <c r="RAJ39" s="954"/>
      <c r="RAK39" s="954"/>
      <c r="RAL39" s="954"/>
      <c r="RAM39" s="954"/>
      <c r="RAN39" s="954"/>
      <c r="RAO39" s="954"/>
      <c r="RAP39" s="954"/>
      <c r="RAQ39" s="954"/>
      <c r="RAR39" s="954"/>
      <c r="RAS39" s="954"/>
      <c r="RAT39" s="954"/>
      <c r="RAU39" s="954"/>
      <c r="RAV39" s="954"/>
      <c r="RAW39" s="954"/>
      <c r="RAX39" s="954"/>
      <c r="RAY39" s="954"/>
      <c r="RAZ39" s="954"/>
      <c r="RBA39" s="954"/>
      <c r="RBB39" s="954"/>
      <c r="RBC39" s="954"/>
      <c r="RBD39" s="954"/>
      <c r="RBE39" s="954"/>
      <c r="RBF39" s="954"/>
      <c r="RBG39" s="954"/>
      <c r="RBH39" s="954"/>
      <c r="RBI39" s="954"/>
      <c r="RBJ39" s="954"/>
      <c r="RBK39" s="954"/>
      <c r="RBL39" s="954"/>
      <c r="RBM39" s="954"/>
      <c r="RBN39" s="954"/>
      <c r="RBO39" s="954"/>
      <c r="RBP39" s="954"/>
      <c r="RBQ39" s="954"/>
      <c r="RBR39" s="954"/>
      <c r="RBS39" s="954"/>
      <c r="RBT39" s="954"/>
      <c r="RBU39" s="954"/>
      <c r="RBV39" s="954"/>
      <c r="RBW39" s="954"/>
      <c r="RBX39" s="954"/>
      <c r="RBY39" s="954"/>
      <c r="RBZ39" s="954"/>
      <c r="RCA39" s="954"/>
      <c r="RCB39" s="954"/>
      <c r="RCC39" s="954"/>
      <c r="RCD39" s="954"/>
      <c r="RCE39" s="954"/>
      <c r="RCF39" s="954"/>
      <c r="RCG39" s="954"/>
      <c r="RCH39" s="954"/>
      <c r="RCI39" s="954"/>
      <c r="RCJ39" s="954"/>
      <c r="RCK39" s="954"/>
      <c r="RCL39" s="954"/>
      <c r="RCM39" s="954"/>
      <c r="RCN39" s="954"/>
      <c r="RCO39" s="954"/>
      <c r="RCP39" s="954"/>
      <c r="RCQ39" s="954"/>
      <c r="RCR39" s="954"/>
      <c r="RCS39" s="954"/>
      <c r="RCT39" s="954"/>
      <c r="RCU39" s="954"/>
      <c r="RCV39" s="954"/>
      <c r="RCW39" s="954"/>
      <c r="RCX39" s="954"/>
      <c r="RCY39" s="954"/>
      <c r="RCZ39" s="954"/>
      <c r="RDA39" s="954"/>
      <c r="RDB39" s="954"/>
      <c r="RDC39" s="954"/>
      <c r="RDD39" s="954"/>
      <c r="RDE39" s="954"/>
      <c r="RDF39" s="954"/>
      <c r="RDG39" s="954"/>
      <c r="RDH39" s="954"/>
      <c r="RDI39" s="954"/>
      <c r="RDJ39" s="954"/>
      <c r="RDK39" s="954"/>
      <c r="RDL39" s="954"/>
      <c r="RDM39" s="954"/>
      <c r="RDN39" s="954"/>
      <c r="RDO39" s="954"/>
      <c r="RDP39" s="954"/>
      <c r="RDQ39" s="954"/>
      <c r="RDR39" s="954"/>
      <c r="RDS39" s="954"/>
      <c r="RDT39" s="954"/>
      <c r="RDU39" s="954"/>
      <c r="RDV39" s="954"/>
      <c r="RDW39" s="954"/>
      <c r="RDX39" s="954"/>
      <c r="RDY39" s="954"/>
      <c r="RDZ39" s="954"/>
      <c r="REA39" s="954"/>
      <c r="REB39" s="954"/>
      <c r="REC39" s="954"/>
      <c r="RED39" s="954"/>
      <c r="REE39" s="954"/>
      <c r="REF39" s="954"/>
      <c r="REG39" s="954"/>
      <c r="REH39" s="954"/>
      <c r="REI39" s="954"/>
      <c r="REJ39" s="954"/>
      <c r="REK39" s="954"/>
      <c r="REL39" s="954"/>
      <c r="REM39" s="954"/>
      <c r="REN39" s="954"/>
      <c r="REO39" s="954"/>
      <c r="REP39" s="954"/>
      <c r="REQ39" s="954"/>
      <c r="RER39" s="954"/>
      <c r="RES39" s="954"/>
      <c r="RET39" s="954"/>
      <c r="REU39" s="954"/>
      <c r="REV39" s="954"/>
      <c r="REW39" s="954"/>
      <c r="REX39" s="954"/>
      <c r="REY39" s="954"/>
      <c r="REZ39" s="954"/>
      <c r="RFA39" s="954"/>
      <c r="RFB39" s="954"/>
      <c r="RFC39" s="954"/>
      <c r="RFD39" s="954"/>
      <c r="RFE39" s="954"/>
      <c r="RFF39" s="954"/>
      <c r="RFG39" s="954"/>
      <c r="RFH39" s="954"/>
      <c r="RFI39" s="954"/>
      <c r="RFJ39" s="954"/>
      <c r="RFK39" s="954"/>
      <c r="RFL39" s="954"/>
      <c r="RFM39" s="954"/>
      <c r="RFN39" s="954"/>
      <c r="RFO39" s="954"/>
      <c r="RFP39" s="954"/>
      <c r="RFQ39" s="954"/>
      <c r="RFR39" s="954"/>
      <c r="RFS39" s="954"/>
      <c r="RFT39" s="954"/>
      <c r="RFU39" s="954"/>
      <c r="RFV39" s="954"/>
      <c r="RFW39" s="954"/>
      <c r="RFX39" s="954"/>
      <c r="RFY39" s="954"/>
      <c r="RFZ39" s="954"/>
      <c r="RGA39" s="954"/>
      <c r="RGB39" s="954"/>
      <c r="RGC39" s="954"/>
      <c r="RGD39" s="954"/>
      <c r="RGE39" s="954"/>
      <c r="RGF39" s="954"/>
      <c r="RGG39" s="954"/>
      <c r="RGH39" s="954"/>
      <c r="RGI39" s="954"/>
      <c r="RGJ39" s="954"/>
      <c r="RGK39" s="954"/>
      <c r="RGL39" s="954"/>
      <c r="RGM39" s="954"/>
      <c r="RGN39" s="954"/>
      <c r="RGO39" s="954"/>
      <c r="RGP39" s="954"/>
      <c r="RGQ39" s="954"/>
      <c r="RGR39" s="954"/>
      <c r="RGS39" s="954"/>
      <c r="RGT39" s="954"/>
      <c r="RGU39" s="954"/>
      <c r="RGV39" s="954"/>
      <c r="RGW39" s="954"/>
      <c r="RGX39" s="954"/>
      <c r="RGY39" s="954"/>
      <c r="RGZ39" s="954"/>
      <c r="RHA39" s="954"/>
      <c r="RHB39" s="954"/>
      <c r="RHC39" s="954"/>
      <c r="RHD39" s="954"/>
      <c r="RHE39" s="954"/>
      <c r="RHF39" s="954"/>
      <c r="RHG39" s="954"/>
      <c r="RHH39" s="954"/>
      <c r="RHI39" s="954"/>
      <c r="RHJ39" s="954"/>
      <c r="RHK39" s="954"/>
      <c r="RHL39" s="954"/>
      <c r="RHM39" s="954"/>
      <c r="RHN39" s="954"/>
      <c r="RHO39" s="954"/>
      <c r="RHP39" s="954"/>
      <c r="RHQ39" s="954"/>
      <c r="RHR39" s="954"/>
      <c r="RHS39" s="954"/>
      <c r="RHT39" s="954"/>
      <c r="RHU39" s="954"/>
      <c r="RHV39" s="954"/>
      <c r="RHW39" s="954"/>
      <c r="RHX39" s="954"/>
      <c r="RHY39" s="954"/>
      <c r="RHZ39" s="954"/>
      <c r="RIA39" s="954"/>
      <c r="RIB39" s="954"/>
      <c r="RIC39" s="954"/>
      <c r="RID39" s="954"/>
      <c r="RIE39" s="954"/>
      <c r="RIF39" s="954"/>
      <c r="RIG39" s="954"/>
      <c r="RIH39" s="954"/>
      <c r="RII39" s="954"/>
      <c r="RIJ39" s="954"/>
      <c r="RIK39" s="954"/>
      <c r="RIL39" s="954"/>
      <c r="RIM39" s="954"/>
      <c r="RIN39" s="954"/>
      <c r="RIO39" s="954"/>
      <c r="RIP39" s="954"/>
      <c r="RIQ39" s="954"/>
      <c r="RIR39" s="954"/>
      <c r="RIS39" s="954"/>
      <c r="RIT39" s="954"/>
      <c r="RIU39" s="954"/>
      <c r="RIV39" s="954"/>
      <c r="RIW39" s="954"/>
      <c r="RIX39" s="954"/>
      <c r="RIY39" s="954"/>
      <c r="RIZ39" s="954"/>
      <c r="RJA39" s="954"/>
      <c r="RJB39" s="954"/>
      <c r="RJC39" s="954"/>
      <c r="RJD39" s="954"/>
      <c r="RJE39" s="954"/>
      <c r="RJF39" s="954"/>
      <c r="RJG39" s="954"/>
      <c r="RJH39" s="954"/>
      <c r="RJI39" s="954"/>
      <c r="RJJ39" s="954"/>
      <c r="RJK39" s="954"/>
      <c r="RJL39" s="954"/>
      <c r="RJM39" s="954"/>
      <c r="RJN39" s="954"/>
      <c r="RJO39" s="954"/>
      <c r="RJP39" s="954"/>
      <c r="RJQ39" s="954"/>
      <c r="RJR39" s="954"/>
      <c r="RJS39" s="954"/>
      <c r="RJT39" s="954"/>
      <c r="RJU39" s="954"/>
      <c r="RJV39" s="954"/>
      <c r="RJW39" s="954"/>
      <c r="RJX39" s="954"/>
      <c r="RJY39" s="954"/>
      <c r="RJZ39" s="954"/>
      <c r="RKA39" s="954"/>
      <c r="RKB39" s="954"/>
      <c r="RKC39" s="954"/>
      <c r="RKD39" s="954"/>
      <c r="RKE39" s="954"/>
      <c r="RKF39" s="954"/>
      <c r="RKG39" s="954"/>
      <c r="RKH39" s="954"/>
      <c r="RKI39" s="954"/>
      <c r="RKJ39" s="954"/>
      <c r="RKK39" s="954"/>
      <c r="RKL39" s="954"/>
      <c r="RKM39" s="954"/>
      <c r="RKN39" s="954"/>
      <c r="RKO39" s="954"/>
      <c r="RKP39" s="954"/>
      <c r="RKQ39" s="954"/>
      <c r="RKR39" s="954"/>
      <c r="RKS39" s="954"/>
      <c r="RKT39" s="954"/>
      <c r="RKU39" s="954"/>
      <c r="RKV39" s="954"/>
      <c r="RKW39" s="954"/>
      <c r="RKX39" s="954"/>
      <c r="RKY39" s="954"/>
      <c r="RKZ39" s="954"/>
      <c r="RLA39" s="954"/>
      <c r="RLB39" s="954"/>
      <c r="RLC39" s="954"/>
      <c r="RLD39" s="954"/>
      <c r="RLE39" s="954"/>
      <c r="RLF39" s="954"/>
      <c r="RLG39" s="954"/>
      <c r="RLH39" s="954"/>
      <c r="RLI39" s="954"/>
      <c r="RLJ39" s="954"/>
      <c r="RLK39" s="954"/>
      <c r="RLL39" s="954"/>
      <c r="RLM39" s="954"/>
      <c r="RLN39" s="954"/>
      <c r="RLO39" s="954"/>
      <c r="RLP39" s="954"/>
      <c r="RLQ39" s="954"/>
      <c r="RLR39" s="954"/>
      <c r="RLS39" s="954"/>
      <c r="RLT39" s="954"/>
      <c r="RLU39" s="954"/>
      <c r="RLV39" s="954"/>
      <c r="RLW39" s="954"/>
      <c r="RLX39" s="954"/>
      <c r="RLY39" s="954"/>
      <c r="RLZ39" s="954"/>
      <c r="RMA39" s="954"/>
      <c r="RMB39" s="954"/>
      <c r="RMC39" s="954"/>
      <c r="RMD39" s="954"/>
      <c r="RME39" s="954"/>
      <c r="RMF39" s="954"/>
      <c r="RMG39" s="954"/>
      <c r="RMH39" s="954"/>
      <c r="RMI39" s="954"/>
      <c r="RMJ39" s="954"/>
      <c r="RMK39" s="954"/>
      <c r="RML39" s="954"/>
      <c r="RMM39" s="954"/>
      <c r="RMN39" s="954"/>
      <c r="RMO39" s="954"/>
      <c r="RMP39" s="954"/>
      <c r="RMQ39" s="954"/>
      <c r="RMR39" s="954"/>
      <c r="RMS39" s="954"/>
      <c r="RMT39" s="954"/>
      <c r="RMU39" s="954"/>
      <c r="RMV39" s="954"/>
      <c r="RMW39" s="954"/>
      <c r="RMX39" s="954"/>
      <c r="RMY39" s="954"/>
      <c r="RMZ39" s="954"/>
      <c r="RNA39" s="954"/>
      <c r="RNB39" s="954"/>
      <c r="RNC39" s="954"/>
      <c r="RND39" s="954"/>
      <c r="RNE39" s="954"/>
      <c r="RNF39" s="954"/>
      <c r="RNG39" s="954"/>
      <c r="RNH39" s="954"/>
      <c r="RNI39" s="954"/>
      <c r="RNJ39" s="954"/>
      <c r="RNK39" s="954"/>
      <c r="RNL39" s="954"/>
      <c r="RNM39" s="954"/>
      <c r="RNN39" s="954"/>
      <c r="RNO39" s="954"/>
      <c r="RNP39" s="954"/>
      <c r="RNQ39" s="954"/>
      <c r="RNR39" s="954"/>
      <c r="RNS39" s="954"/>
      <c r="RNT39" s="954"/>
      <c r="RNU39" s="954"/>
      <c r="RNV39" s="954"/>
      <c r="RNW39" s="954"/>
      <c r="RNX39" s="954"/>
      <c r="RNY39" s="954"/>
      <c r="RNZ39" s="954"/>
      <c r="ROA39" s="954"/>
      <c r="ROB39" s="954"/>
      <c r="ROC39" s="954"/>
      <c r="ROD39" s="954"/>
      <c r="ROE39" s="954"/>
      <c r="ROF39" s="954"/>
      <c r="ROG39" s="954"/>
      <c r="ROH39" s="954"/>
      <c r="ROI39" s="954"/>
      <c r="ROJ39" s="954"/>
      <c r="ROK39" s="954"/>
      <c r="ROL39" s="954"/>
      <c r="ROM39" s="954"/>
      <c r="RON39" s="954"/>
      <c r="ROO39" s="954"/>
      <c r="ROP39" s="954"/>
      <c r="ROQ39" s="954"/>
      <c r="ROR39" s="954"/>
      <c r="ROS39" s="954"/>
      <c r="ROT39" s="954"/>
      <c r="ROU39" s="954"/>
      <c r="ROV39" s="954"/>
      <c r="ROW39" s="954"/>
      <c r="ROX39" s="954"/>
      <c r="ROY39" s="954"/>
      <c r="ROZ39" s="954"/>
      <c r="RPA39" s="954"/>
      <c r="RPB39" s="954"/>
      <c r="RPC39" s="954"/>
      <c r="RPD39" s="954"/>
      <c r="RPE39" s="954"/>
      <c r="RPF39" s="954"/>
      <c r="RPG39" s="954"/>
      <c r="RPH39" s="954"/>
      <c r="RPI39" s="954"/>
      <c r="RPJ39" s="954"/>
      <c r="RPK39" s="954"/>
      <c r="RPL39" s="954"/>
      <c r="RPM39" s="954"/>
      <c r="RPN39" s="954"/>
      <c r="RPO39" s="954"/>
      <c r="RPP39" s="954"/>
      <c r="RPQ39" s="954"/>
      <c r="RPR39" s="954"/>
      <c r="RPS39" s="954"/>
      <c r="RPT39" s="954"/>
      <c r="RPU39" s="954"/>
      <c r="RPV39" s="954"/>
      <c r="RPW39" s="954"/>
      <c r="RPX39" s="954"/>
      <c r="RPY39" s="954"/>
      <c r="RPZ39" s="954"/>
      <c r="RQA39" s="954"/>
      <c r="RQB39" s="954"/>
      <c r="RQC39" s="954"/>
      <c r="RQD39" s="954"/>
      <c r="RQE39" s="954"/>
      <c r="RQF39" s="954"/>
      <c r="RQG39" s="954"/>
      <c r="RQH39" s="954"/>
      <c r="RQI39" s="954"/>
      <c r="RQJ39" s="954"/>
      <c r="RQK39" s="954"/>
      <c r="RQL39" s="954"/>
      <c r="RQM39" s="954"/>
      <c r="RQN39" s="954"/>
      <c r="RQO39" s="954"/>
      <c r="RQP39" s="954"/>
      <c r="RQQ39" s="954"/>
      <c r="RQR39" s="954"/>
      <c r="RQS39" s="954"/>
      <c r="RQT39" s="954"/>
      <c r="RQU39" s="954"/>
      <c r="RQV39" s="954"/>
      <c r="RQW39" s="954"/>
      <c r="RQX39" s="954"/>
      <c r="RQY39" s="954"/>
      <c r="RQZ39" s="954"/>
      <c r="RRA39" s="954"/>
      <c r="RRB39" s="954"/>
      <c r="RRC39" s="954"/>
      <c r="RRD39" s="954"/>
      <c r="RRE39" s="954"/>
      <c r="RRF39" s="954"/>
      <c r="RRG39" s="954"/>
      <c r="RRH39" s="954"/>
      <c r="RRI39" s="954"/>
      <c r="RRJ39" s="954"/>
      <c r="RRK39" s="954"/>
      <c r="RRL39" s="954"/>
      <c r="RRM39" s="954"/>
      <c r="RRN39" s="954"/>
      <c r="RRO39" s="954"/>
      <c r="RRP39" s="954"/>
      <c r="RRQ39" s="954"/>
      <c r="RRR39" s="954"/>
      <c r="RRS39" s="954"/>
      <c r="RRT39" s="954"/>
      <c r="RRU39" s="954"/>
      <c r="RRV39" s="954"/>
      <c r="RRW39" s="954"/>
      <c r="RRX39" s="954"/>
      <c r="RRY39" s="954"/>
      <c r="RRZ39" s="954"/>
      <c r="RSA39" s="954"/>
      <c r="RSB39" s="954"/>
      <c r="RSC39" s="954"/>
      <c r="RSD39" s="954"/>
      <c r="RSE39" s="954"/>
      <c r="RSF39" s="954"/>
      <c r="RSG39" s="954"/>
      <c r="RSH39" s="954"/>
      <c r="RSI39" s="954"/>
      <c r="RSJ39" s="954"/>
      <c r="RSK39" s="954"/>
      <c r="RSL39" s="954"/>
      <c r="RSM39" s="954"/>
      <c r="RSN39" s="954"/>
      <c r="RSO39" s="954"/>
      <c r="RSP39" s="954"/>
      <c r="RSQ39" s="954"/>
      <c r="RSR39" s="954"/>
      <c r="RSS39" s="954"/>
      <c r="RST39" s="954"/>
      <c r="RSU39" s="954"/>
      <c r="RSV39" s="954"/>
      <c r="RSW39" s="954"/>
      <c r="RSX39" s="954"/>
      <c r="RSY39" s="954"/>
      <c r="RSZ39" s="954"/>
      <c r="RTA39" s="954"/>
      <c r="RTB39" s="954"/>
      <c r="RTC39" s="954"/>
      <c r="RTD39" s="954"/>
      <c r="RTE39" s="954"/>
      <c r="RTF39" s="954"/>
      <c r="RTG39" s="954"/>
      <c r="RTH39" s="954"/>
      <c r="RTI39" s="954"/>
      <c r="RTJ39" s="954"/>
      <c r="RTK39" s="954"/>
      <c r="RTL39" s="954"/>
      <c r="RTM39" s="954"/>
      <c r="RTN39" s="954"/>
      <c r="RTO39" s="954"/>
      <c r="RTP39" s="954"/>
      <c r="RTQ39" s="954"/>
      <c r="RTR39" s="954"/>
      <c r="RTS39" s="954"/>
      <c r="RTT39" s="954"/>
      <c r="RTU39" s="954"/>
      <c r="RTV39" s="954"/>
      <c r="RTW39" s="954"/>
      <c r="RTX39" s="954"/>
      <c r="RTY39" s="954"/>
      <c r="RTZ39" s="954"/>
      <c r="RUA39" s="954"/>
      <c r="RUB39" s="954"/>
      <c r="RUC39" s="954"/>
      <c r="RUD39" s="954"/>
      <c r="RUE39" s="954"/>
      <c r="RUF39" s="954"/>
      <c r="RUG39" s="954"/>
      <c r="RUH39" s="954"/>
      <c r="RUI39" s="954"/>
      <c r="RUJ39" s="954"/>
      <c r="RUK39" s="954"/>
      <c r="RUL39" s="954"/>
      <c r="RUM39" s="954"/>
      <c r="RUN39" s="954"/>
      <c r="RUO39" s="954"/>
      <c r="RUP39" s="954"/>
      <c r="RUQ39" s="954"/>
      <c r="RUR39" s="954"/>
      <c r="RUS39" s="954"/>
      <c r="RUT39" s="954"/>
      <c r="RUU39" s="954"/>
      <c r="RUV39" s="954"/>
      <c r="RUW39" s="954"/>
      <c r="RUX39" s="954"/>
      <c r="RUY39" s="954"/>
      <c r="RUZ39" s="954"/>
      <c r="RVA39" s="954"/>
      <c r="RVB39" s="954"/>
      <c r="RVC39" s="954"/>
      <c r="RVD39" s="954"/>
      <c r="RVE39" s="954"/>
      <c r="RVF39" s="954"/>
      <c r="RVG39" s="954"/>
      <c r="RVH39" s="954"/>
      <c r="RVI39" s="954"/>
      <c r="RVJ39" s="954"/>
      <c r="RVK39" s="954"/>
      <c r="RVL39" s="954"/>
      <c r="RVM39" s="954"/>
      <c r="RVN39" s="954"/>
      <c r="RVO39" s="954"/>
      <c r="RVP39" s="954"/>
      <c r="RVQ39" s="954"/>
      <c r="RVR39" s="954"/>
      <c r="RVS39" s="954"/>
      <c r="RVT39" s="954"/>
      <c r="RVU39" s="954"/>
      <c r="RVV39" s="954"/>
      <c r="RVW39" s="954"/>
      <c r="RVX39" s="954"/>
      <c r="RVY39" s="954"/>
      <c r="RVZ39" s="954"/>
      <c r="RWA39" s="954"/>
      <c r="RWB39" s="954"/>
      <c r="RWC39" s="954"/>
      <c r="RWD39" s="954"/>
      <c r="RWE39" s="954"/>
      <c r="RWF39" s="954"/>
      <c r="RWG39" s="954"/>
      <c r="RWH39" s="954"/>
      <c r="RWI39" s="954"/>
      <c r="RWJ39" s="954"/>
      <c r="RWK39" s="954"/>
      <c r="RWL39" s="954"/>
      <c r="RWM39" s="954"/>
      <c r="RWN39" s="954"/>
      <c r="RWO39" s="954"/>
      <c r="RWP39" s="954"/>
      <c r="RWQ39" s="954"/>
      <c r="RWR39" s="954"/>
      <c r="RWS39" s="954"/>
      <c r="RWT39" s="954"/>
      <c r="RWU39" s="954"/>
      <c r="RWV39" s="954"/>
      <c r="RWW39" s="954"/>
      <c r="RWX39" s="954"/>
      <c r="RWY39" s="954"/>
      <c r="RWZ39" s="954"/>
      <c r="RXA39" s="954"/>
      <c r="RXB39" s="954"/>
      <c r="RXC39" s="954"/>
      <c r="RXD39" s="954"/>
      <c r="RXE39" s="954"/>
      <c r="RXF39" s="954"/>
      <c r="RXG39" s="954"/>
      <c r="RXH39" s="954"/>
      <c r="RXI39" s="954"/>
      <c r="RXJ39" s="954"/>
      <c r="RXK39" s="954"/>
      <c r="RXL39" s="954"/>
      <c r="RXM39" s="954"/>
      <c r="RXN39" s="954"/>
      <c r="RXO39" s="954"/>
      <c r="RXP39" s="954"/>
      <c r="RXQ39" s="954"/>
      <c r="RXR39" s="954"/>
      <c r="RXS39" s="954"/>
      <c r="RXT39" s="954"/>
      <c r="RXU39" s="954"/>
      <c r="RXV39" s="954"/>
      <c r="RXW39" s="954"/>
      <c r="RXX39" s="954"/>
      <c r="RXY39" s="954"/>
      <c r="RXZ39" s="954"/>
      <c r="RYA39" s="954"/>
      <c r="RYB39" s="954"/>
      <c r="RYC39" s="954"/>
      <c r="RYD39" s="954"/>
      <c r="RYE39" s="954"/>
      <c r="RYF39" s="954"/>
      <c r="RYG39" s="954"/>
      <c r="RYH39" s="954"/>
      <c r="RYI39" s="954"/>
      <c r="RYJ39" s="954"/>
      <c r="RYK39" s="954"/>
      <c r="RYL39" s="954"/>
      <c r="RYM39" s="954"/>
      <c r="RYN39" s="954"/>
      <c r="RYO39" s="954"/>
      <c r="RYP39" s="954"/>
      <c r="RYQ39" s="954"/>
      <c r="RYR39" s="954"/>
      <c r="RYS39" s="954"/>
      <c r="RYT39" s="954"/>
      <c r="RYU39" s="954"/>
      <c r="RYV39" s="954"/>
      <c r="RYW39" s="954"/>
      <c r="RYX39" s="954"/>
      <c r="RYY39" s="954"/>
      <c r="RYZ39" s="954"/>
      <c r="RZA39" s="954"/>
      <c r="RZB39" s="954"/>
      <c r="RZC39" s="954"/>
      <c r="RZD39" s="954"/>
      <c r="RZE39" s="954"/>
      <c r="RZF39" s="954"/>
      <c r="RZG39" s="954"/>
      <c r="RZH39" s="954"/>
      <c r="RZI39" s="954"/>
      <c r="RZJ39" s="954"/>
      <c r="RZK39" s="954"/>
      <c r="RZL39" s="954"/>
      <c r="RZM39" s="954"/>
      <c r="RZN39" s="954"/>
      <c r="RZO39" s="954"/>
      <c r="RZP39" s="954"/>
      <c r="RZQ39" s="954"/>
      <c r="RZR39" s="954"/>
      <c r="RZS39" s="954"/>
      <c r="RZT39" s="954"/>
      <c r="RZU39" s="954"/>
      <c r="RZV39" s="954"/>
      <c r="RZW39" s="954"/>
      <c r="RZX39" s="954"/>
      <c r="RZY39" s="954"/>
      <c r="RZZ39" s="954"/>
      <c r="SAA39" s="954"/>
      <c r="SAB39" s="954"/>
      <c r="SAC39" s="954"/>
      <c r="SAD39" s="954"/>
      <c r="SAE39" s="954"/>
      <c r="SAF39" s="954"/>
      <c r="SAG39" s="954"/>
      <c r="SAH39" s="954"/>
      <c r="SAI39" s="954"/>
      <c r="SAJ39" s="954"/>
      <c r="SAK39" s="954"/>
      <c r="SAL39" s="954"/>
      <c r="SAM39" s="954"/>
      <c r="SAN39" s="954"/>
      <c r="SAO39" s="954"/>
      <c r="SAP39" s="954"/>
      <c r="SAQ39" s="954"/>
      <c r="SAR39" s="954"/>
      <c r="SAS39" s="954"/>
      <c r="SAT39" s="954"/>
      <c r="SAU39" s="954"/>
      <c r="SAV39" s="954"/>
      <c r="SAW39" s="954"/>
      <c r="SAX39" s="954"/>
      <c r="SAY39" s="954"/>
      <c r="SAZ39" s="954"/>
      <c r="SBA39" s="954"/>
      <c r="SBB39" s="954"/>
      <c r="SBC39" s="954"/>
      <c r="SBD39" s="954"/>
      <c r="SBE39" s="954"/>
      <c r="SBF39" s="954"/>
      <c r="SBG39" s="954"/>
      <c r="SBH39" s="954"/>
      <c r="SBI39" s="954"/>
      <c r="SBJ39" s="954"/>
      <c r="SBK39" s="954"/>
      <c r="SBL39" s="954"/>
      <c r="SBM39" s="954"/>
      <c r="SBN39" s="954"/>
      <c r="SBO39" s="954"/>
      <c r="SBP39" s="954"/>
      <c r="SBQ39" s="954"/>
      <c r="SBR39" s="954"/>
      <c r="SBS39" s="954"/>
      <c r="SBT39" s="954"/>
      <c r="SBU39" s="954"/>
      <c r="SBV39" s="954"/>
      <c r="SBW39" s="954"/>
      <c r="SBX39" s="954"/>
      <c r="SBY39" s="954"/>
      <c r="SBZ39" s="954"/>
      <c r="SCA39" s="954"/>
      <c r="SCB39" s="954"/>
      <c r="SCC39" s="954"/>
      <c r="SCD39" s="954"/>
      <c r="SCE39" s="954"/>
      <c r="SCF39" s="954"/>
      <c r="SCG39" s="954"/>
      <c r="SCH39" s="954"/>
      <c r="SCI39" s="954"/>
      <c r="SCJ39" s="954"/>
      <c r="SCK39" s="954"/>
      <c r="SCL39" s="954"/>
      <c r="SCM39" s="954"/>
      <c r="SCN39" s="954"/>
      <c r="SCO39" s="954"/>
      <c r="SCP39" s="954"/>
      <c r="SCQ39" s="954"/>
      <c r="SCR39" s="954"/>
      <c r="SCS39" s="954"/>
      <c r="SCT39" s="954"/>
      <c r="SCU39" s="954"/>
      <c r="SCV39" s="954"/>
      <c r="SCW39" s="954"/>
      <c r="SCX39" s="954"/>
      <c r="SCY39" s="954"/>
      <c r="SCZ39" s="954"/>
      <c r="SDA39" s="954"/>
      <c r="SDB39" s="954"/>
      <c r="SDC39" s="954"/>
      <c r="SDD39" s="954"/>
      <c r="SDE39" s="954"/>
      <c r="SDF39" s="954"/>
      <c r="SDG39" s="954"/>
      <c r="SDH39" s="954"/>
      <c r="SDI39" s="954"/>
      <c r="SDJ39" s="954"/>
      <c r="SDK39" s="954"/>
      <c r="SDL39" s="954"/>
      <c r="SDM39" s="954"/>
      <c r="SDN39" s="954"/>
      <c r="SDO39" s="954"/>
      <c r="SDP39" s="954"/>
      <c r="SDQ39" s="954"/>
      <c r="SDR39" s="954"/>
      <c r="SDS39" s="954"/>
      <c r="SDT39" s="954"/>
      <c r="SDU39" s="954"/>
      <c r="SDV39" s="954"/>
      <c r="SDW39" s="954"/>
      <c r="SDX39" s="954"/>
      <c r="SDY39" s="954"/>
      <c r="SDZ39" s="954"/>
      <c r="SEA39" s="954"/>
      <c r="SEB39" s="954"/>
      <c r="SEC39" s="954"/>
      <c r="SED39" s="954"/>
      <c r="SEE39" s="954"/>
      <c r="SEF39" s="954"/>
      <c r="SEG39" s="954"/>
      <c r="SEH39" s="954"/>
      <c r="SEI39" s="954"/>
      <c r="SEJ39" s="954"/>
      <c r="SEK39" s="954"/>
      <c r="SEL39" s="954"/>
      <c r="SEM39" s="954"/>
      <c r="SEN39" s="954"/>
      <c r="SEO39" s="954"/>
      <c r="SEP39" s="954"/>
      <c r="SEQ39" s="954"/>
      <c r="SER39" s="954"/>
      <c r="SES39" s="954"/>
      <c r="SET39" s="954"/>
      <c r="SEU39" s="954"/>
      <c r="SEV39" s="954"/>
      <c r="SEW39" s="954"/>
      <c r="SEX39" s="954"/>
      <c r="SEY39" s="954"/>
      <c r="SEZ39" s="954"/>
      <c r="SFA39" s="954"/>
      <c r="SFB39" s="954"/>
      <c r="SFC39" s="954"/>
      <c r="SFD39" s="954"/>
      <c r="SFE39" s="954"/>
      <c r="SFF39" s="954"/>
      <c r="SFG39" s="954"/>
      <c r="SFH39" s="954"/>
      <c r="SFI39" s="954"/>
      <c r="SFJ39" s="954"/>
      <c r="SFK39" s="954"/>
      <c r="SFL39" s="954"/>
      <c r="SFM39" s="954"/>
      <c r="SFN39" s="954"/>
      <c r="SFO39" s="954"/>
      <c r="SFP39" s="954"/>
      <c r="SFQ39" s="954"/>
      <c r="SFR39" s="954"/>
      <c r="SFS39" s="954"/>
      <c r="SFT39" s="954"/>
      <c r="SFU39" s="954"/>
      <c r="SFV39" s="954"/>
      <c r="SFW39" s="954"/>
      <c r="SFX39" s="954"/>
      <c r="SFY39" s="954"/>
      <c r="SFZ39" s="954"/>
      <c r="SGA39" s="954"/>
      <c r="SGB39" s="954"/>
      <c r="SGC39" s="954"/>
      <c r="SGD39" s="954"/>
      <c r="SGE39" s="954"/>
      <c r="SGF39" s="954"/>
      <c r="SGG39" s="954"/>
      <c r="SGH39" s="954"/>
      <c r="SGI39" s="954"/>
      <c r="SGJ39" s="954"/>
      <c r="SGK39" s="954"/>
      <c r="SGL39" s="954"/>
      <c r="SGM39" s="954"/>
      <c r="SGN39" s="954"/>
      <c r="SGO39" s="954"/>
      <c r="SGP39" s="954"/>
      <c r="SGQ39" s="954"/>
      <c r="SGR39" s="954"/>
      <c r="SGS39" s="954"/>
      <c r="SGT39" s="954"/>
      <c r="SGU39" s="954"/>
      <c r="SGV39" s="954"/>
      <c r="SGW39" s="954"/>
      <c r="SGX39" s="954"/>
      <c r="SGY39" s="954"/>
      <c r="SGZ39" s="954"/>
      <c r="SHA39" s="954"/>
      <c r="SHB39" s="954"/>
      <c r="SHC39" s="954"/>
      <c r="SHD39" s="954"/>
      <c r="SHE39" s="954"/>
      <c r="SHF39" s="954"/>
      <c r="SHG39" s="954"/>
      <c r="SHH39" s="954"/>
      <c r="SHI39" s="954"/>
      <c r="SHJ39" s="954"/>
      <c r="SHK39" s="954"/>
      <c r="SHL39" s="954"/>
      <c r="SHM39" s="954"/>
      <c r="SHN39" s="954"/>
      <c r="SHO39" s="954"/>
      <c r="SHP39" s="954"/>
      <c r="SHQ39" s="954"/>
      <c r="SHR39" s="954"/>
      <c r="SHS39" s="954"/>
      <c r="SHT39" s="954"/>
      <c r="SHU39" s="954"/>
      <c r="SHV39" s="954"/>
      <c r="SHW39" s="954"/>
      <c r="SHX39" s="954"/>
      <c r="SHY39" s="954"/>
      <c r="SHZ39" s="954"/>
      <c r="SIA39" s="954"/>
      <c r="SIB39" s="954"/>
      <c r="SIC39" s="954"/>
      <c r="SID39" s="954"/>
      <c r="SIE39" s="954"/>
      <c r="SIF39" s="954"/>
      <c r="SIG39" s="954"/>
      <c r="SIH39" s="954"/>
      <c r="SII39" s="954"/>
      <c r="SIJ39" s="954"/>
      <c r="SIK39" s="954"/>
      <c r="SIL39" s="954"/>
      <c r="SIM39" s="954"/>
      <c r="SIN39" s="954"/>
      <c r="SIO39" s="954"/>
      <c r="SIP39" s="954"/>
      <c r="SIQ39" s="954"/>
      <c r="SIR39" s="954"/>
      <c r="SIS39" s="954"/>
      <c r="SIT39" s="954"/>
      <c r="SIU39" s="954"/>
      <c r="SIV39" s="954"/>
      <c r="SIW39" s="954"/>
      <c r="SIX39" s="954"/>
      <c r="SIY39" s="954"/>
      <c r="SIZ39" s="954"/>
      <c r="SJA39" s="954"/>
      <c r="SJB39" s="954"/>
      <c r="SJC39" s="954"/>
      <c r="SJD39" s="954"/>
      <c r="SJE39" s="954"/>
      <c r="SJF39" s="954"/>
      <c r="SJG39" s="954"/>
      <c r="SJH39" s="954"/>
      <c r="SJI39" s="954"/>
      <c r="SJJ39" s="954"/>
      <c r="SJK39" s="954"/>
      <c r="SJL39" s="954"/>
      <c r="SJM39" s="954"/>
      <c r="SJN39" s="954"/>
      <c r="SJO39" s="954"/>
      <c r="SJP39" s="954"/>
      <c r="SJQ39" s="954"/>
      <c r="SJR39" s="954"/>
      <c r="SJS39" s="954"/>
      <c r="SJT39" s="954"/>
      <c r="SJU39" s="954"/>
      <c r="SJV39" s="954"/>
      <c r="SJW39" s="954"/>
      <c r="SJX39" s="954"/>
      <c r="SJY39" s="954"/>
      <c r="SJZ39" s="954"/>
      <c r="SKA39" s="954"/>
      <c r="SKB39" s="954"/>
      <c r="SKC39" s="954"/>
      <c r="SKD39" s="954"/>
      <c r="SKE39" s="954"/>
      <c r="SKF39" s="954"/>
      <c r="SKG39" s="954"/>
      <c r="SKH39" s="954"/>
      <c r="SKI39" s="954"/>
      <c r="SKJ39" s="954"/>
      <c r="SKK39" s="954"/>
      <c r="SKL39" s="954"/>
      <c r="SKM39" s="954"/>
      <c r="SKN39" s="954"/>
      <c r="SKO39" s="954"/>
      <c r="SKP39" s="954"/>
      <c r="SKQ39" s="954"/>
      <c r="SKR39" s="954"/>
      <c r="SKS39" s="954"/>
      <c r="SKT39" s="954"/>
      <c r="SKU39" s="954"/>
      <c r="SKV39" s="954"/>
      <c r="SKW39" s="954"/>
      <c r="SKX39" s="954"/>
      <c r="SKY39" s="954"/>
      <c r="SKZ39" s="954"/>
      <c r="SLA39" s="954"/>
      <c r="SLB39" s="954"/>
      <c r="SLC39" s="954"/>
      <c r="SLD39" s="954"/>
      <c r="SLE39" s="954"/>
      <c r="SLF39" s="954"/>
      <c r="SLG39" s="954"/>
      <c r="SLH39" s="954"/>
      <c r="SLI39" s="954"/>
      <c r="SLJ39" s="954"/>
      <c r="SLK39" s="954"/>
      <c r="SLL39" s="954"/>
      <c r="SLM39" s="954"/>
      <c r="SLN39" s="954"/>
      <c r="SLO39" s="954"/>
      <c r="SLP39" s="954"/>
      <c r="SLQ39" s="954"/>
      <c r="SLR39" s="954"/>
      <c r="SLS39" s="954"/>
      <c r="SLT39" s="954"/>
      <c r="SLU39" s="954"/>
      <c r="SLV39" s="954"/>
      <c r="SLW39" s="954"/>
      <c r="SLX39" s="954"/>
      <c r="SLY39" s="954"/>
      <c r="SLZ39" s="954"/>
      <c r="SMA39" s="954"/>
      <c r="SMB39" s="954"/>
      <c r="SMC39" s="954"/>
      <c r="SMD39" s="954"/>
      <c r="SME39" s="954"/>
      <c r="SMF39" s="954"/>
      <c r="SMG39" s="954"/>
      <c r="SMH39" s="954"/>
      <c r="SMI39" s="954"/>
      <c r="SMJ39" s="954"/>
      <c r="SMK39" s="954"/>
      <c r="SML39" s="954"/>
      <c r="SMM39" s="954"/>
      <c r="SMN39" s="954"/>
      <c r="SMO39" s="954"/>
      <c r="SMP39" s="954"/>
      <c r="SMQ39" s="954"/>
      <c r="SMR39" s="954"/>
      <c r="SMS39" s="954"/>
      <c r="SMT39" s="954"/>
      <c r="SMU39" s="954"/>
      <c r="SMV39" s="954"/>
      <c r="SMW39" s="954"/>
      <c r="SMX39" s="954"/>
      <c r="SMY39" s="954"/>
      <c r="SMZ39" s="954"/>
      <c r="SNA39" s="954"/>
      <c r="SNB39" s="954"/>
      <c r="SNC39" s="954"/>
      <c r="SND39" s="954"/>
      <c r="SNE39" s="954"/>
      <c r="SNF39" s="954"/>
      <c r="SNG39" s="954"/>
      <c r="SNH39" s="954"/>
      <c r="SNI39" s="954"/>
      <c r="SNJ39" s="954"/>
      <c r="SNK39" s="954"/>
      <c r="SNL39" s="954"/>
      <c r="SNM39" s="954"/>
      <c r="SNN39" s="954"/>
      <c r="SNO39" s="954"/>
      <c r="SNP39" s="954"/>
      <c r="SNQ39" s="954"/>
      <c r="SNR39" s="954"/>
      <c r="SNS39" s="954"/>
      <c r="SNT39" s="954"/>
      <c r="SNU39" s="954"/>
      <c r="SNV39" s="954"/>
      <c r="SNW39" s="954"/>
      <c r="SNX39" s="954"/>
      <c r="SNY39" s="954"/>
      <c r="SNZ39" s="954"/>
      <c r="SOA39" s="954"/>
      <c r="SOB39" s="954"/>
      <c r="SOC39" s="954"/>
      <c r="SOD39" s="954"/>
      <c r="SOE39" s="954"/>
      <c r="SOF39" s="954"/>
      <c r="SOG39" s="954"/>
      <c r="SOH39" s="954"/>
      <c r="SOI39" s="954"/>
      <c r="SOJ39" s="954"/>
      <c r="SOK39" s="954"/>
      <c r="SOL39" s="954"/>
      <c r="SOM39" s="954"/>
      <c r="SON39" s="954"/>
      <c r="SOO39" s="954"/>
      <c r="SOP39" s="954"/>
      <c r="SOQ39" s="954"/>
      <c r="SOR39" s="954"/>
      <c r="SOS39" s="954"/>
      <c r="SOT39" s="954"/>
      <c r="SOU39" s="954"/>
      <c r="SOV39" s="954"/>
      <c r="SOW39" s="954"/>
      <c r="SOX39" s="954"/>
      <c r="SOY39" s="954"/>
      <c r="SOZ39" s="954"/>
      <c r="SPA39" s="954"/>
      <c r="SPB39" s="954"/>
      <c r="SPC39" s="954"/>
      <c r="SPD39" s="954"/>
      <c r="SPE39" s="954"/>
      <c r="SPF39" s="954"/>
      <c r="SPG39" s="954"/>
      <c r="SPH39" s="954"/>
      <c r="SPI39" s="954"/>
      <c r="SPJ39" s="954"/>
      <c r="SPK39" s="954"/>
      <c r="SPL39" s="954"/>
      <c r="SPM39" s="954"/>
      <c r="SPN39" s="954"/>
      <c r="SPO39" s="954"/>
      <c r="SPP39" s="954"/>
      <c r="SPQ39" s="954"/>
      <c r="SPR39" s="954"/>
      <c r="SPS39" s="954"/>
      <c r="SPT39" s="954"/>
      <c r="SPU39" s="954"/>
      <c r="SPV39" s="954"/>
      <c r="SPW39" s="954"/>
      <c r="SPX39" s="954"/>
      <c r="SPY39" s="954"/>
      <c r="SPZ39" s="954"/>
      <c r="SQA39" s="954"/>
      <c r="SQB39" s="954"/>
      <c r="SQC39" s="954"/>
      <c r="SQD39" s="954"/>
      <c r="SQE39" s="954"/>
      <c r="SQF39" s="954"/>
      <c r="SQG39" s="954"/>
      <c r="SQH39" s="954"/>
      <c r="SQI39" s="954"/>
      <c r="SQJ39" s="954"/>
      <c r="SQK39" s="954"/>
      <c r="SQL39" s="954"/>
      <c r="SQM39" s="954"/>
      <c r="SQN39" s="954"/>
      <c r="SQO39" s="954"/>
      <c r="SQP39" s="954"/>
      <c r="SQQ39" s="954"/>
      <c r="SQR39" s="954"/>
      <c r="SQS39" s="954"/>
      <c r="SQT39" s="954"/>
      <c r="SQU39" s="954"/>
      <c r="SQV39" s="954"/>
      <c r="SQW39" s="954"/>
      <c r="SQX39" s="954"/>
      <c r="SQY39" s="954"/>
      <c r="SQZ39" s="954"/>
      <c r="SRA39" s="954"/>
      <c r="SRB39" s="954"/>
      <c r="SRC39" s="954"/>
      <c r="SRD39" s="954"/>
      <c r="SRE39" s="954"/>
      <c r="SRF39" s="954"/>
      <c r="SRG39" s="954"/>
      <c r="SRH39" s="954"/>
      <c r="SRI39" s="954"/>
      <c r="SRJ39" s="954"/>
      <c r="SRK39" s="954"/>
      <c r="SRL39" s="954"/>
      <c r="SRM39" s="954"/>
      <c r="SRN39" s="954"/>
      <c r="SRO39" s="954"/>
      <c r="SRP39" s="954"/>
      <c r="SRQ39" s="954"/>
      <c r="SRR39" s="954"/>
      <c r="SRS39" s="954"/>
      <c r="SRT39" s="954"/>
      <c r="SRU39" s="954"/>
      <c r="SRV39" s="954"/>
      <c r="SRW39" s="954"/>
      <c r="SRX39" s="954"/>
      <c r="SRY39" s="954"/>
      <c r="SRZ39" s="954"/>
      <c r="SSA39" s="954"/>
      <c r="SSB39" s="954"/>
      <c r="SSC39" s="954"/>
      <c r="SSD39" s="954"/>
      <c r="SSE39" s="954"/>
      <c r="SSF39" s="954"/>
      <c r="SSG39" s="954"/>
      <c r="SSH39" s="954"/>
      <c r="SSI39" s="954"/>
      <c r="SSJ39" s="954"/>
      <c r="SSK39" s="954"/>
      <c r="SSL39" s="954"/>
      <c r="SSM39" s="954"/>
      <c r="SSN39" s="954"/>
      <c r="SSO39" s="954"/>
      <c r="SSP39" s="954"/>
      <c r="SSQ39" s="954"/>
      <c r="SSR39" s="954"/>
      <c r="SSS39" s="954"/>
      <c r="SST39" s="954"/>
      <c r="SSU39" s="954"/>
      <c r="SSV39" s="954"/>
      <c r="SSW39" s="954"/>
      <c r="SSX39" s="954"/>
      <c r="SSY39" s="954"/>
      <c r="SSZ39" s="954"/>
      <c r="STA39" s="954"/>
      <c r="STB39" s="954"/>
      <c r="STC39" s="954"/>
      <c r="STD39" s="954"/>
      <c r="STE39" s="954"/>
      <c r="STF39" s="954"/>
      <c r="STG39" s="954"/>
      <c r="STH39" s="954"/>
      <c r="STI39" s="954"/>
      <c r="STJ39" s="954"/>
      <c r="STK39" s="954"/>
      <c r="STL39" s="954"/>
      <c r="STM39" s="954"/>
      <c r="STN39" s="954"/>
      <c r="STO39" s="954"/>
      <c r="STP39" s="954"/>
      <c r="STQ39" s="954"/>
      <c r="STR39" s="954"/>
      <c r="STS39" s="954"/>
      <c r="STT39" s="954"/>
      <c r="STU39" s="954"/>
      <c r="STV39" s="954"/>
      <c r="STW39" s="954"/>
      <c r="STX39" s="954"/>
      <c r="STY39" s="954"/>
      <c r="STZ39" s="954"/>
      <c r="SUA39" s="954"/>
      <c r="SUB39" s="954"/>
      <c r="SUC39" s="954"/>
      <c r="SUD39" s="954"/>
      <c r="SUE39" s="954"/>
      <c r="SUF39" s="954"/>
      <c r="SUG39" s="954"/>
      <c r="SUH39" s="954"/>
      <c r="SUI39" s="954"/>
      <c r="SUJ39" s="954"/>
      <c r="SUK39" s="954"/>
      <c r="SUL39" s="954"/>
      <c r="SUM39" s="954"/>
      <c r="SUN39" s="954"/>
      <c r="SUO39" s="954"/>
      <c r="SUP39" s="954"/>
      <c r="SUQ39" s="954"/>
      <c r="SUR39" s="954"/>
      <c r="SUS39" s="954"/>
      <c r="SUT39" s="954"/>
      <c r="SUU39" s="954"/>
      <c r="SUV39" s="954"/>
      <c r="SUW39" s="954"/>
      <c r="SUX39" s="954"/>
      <c r="SUY39" s="954"/>
      <c r="SUZ39" s="954"/>
      <c r="SVA39" s="954"/>
      <c r="SVB39" s="954"/>
      <c r="SVC39" s="954"/>
      <c r="SVD39" s="954"/>
      <c r="SVE39" s="954"/>
      <c r="SVF39" s="954"/>
      <c r="SVG39" s="954"/>
      <c r="SVH39" s="954"/>
      <c r="SVI39" s="954"/>
      <c r="SVJ39" s="954"/>
      <c r="SVK39" s="954"/>
      <c r="SVL39" s="954"/>
      <c r="SVM39" s="954"/>
      <c r="SVN39" s="954"/>
      <c r="SVO39" s="954"/>
      <c r="SVP39" s="954"/>
      <c r="SVQ39" s="954"/>
      <c r="SVR39" s="954"/>
      <c r="SVS39" s="954"/>
      <c r="SVT39" s="954"/>
      <c r="SVU39" s="954"/>
      <c r="SVV39" s="954"/>
      <c r="SVW39" s="954"/>
      <c r="SVX39" s="954"/>
      <c r="SVY39" s="954"/>
      <c r="SVZ39" s="954"/>
      <c r="SWA39" s="954"/>
      <c r="SWB39" s="954"/>
      <c r="SWC39" s="954"/>
      <c r="SWD39" s="954"/>
      <c r="SWE39" s="954"/>
      <c r="SWF39" s="954"/>
      <c r="SWG39" s="954"/>
      <c r="SWH39" s="954"/>
      <c r="SWI39" s="954"/>
      <c r="SWJ39" s="954"/>
      <c r="SWK39" s="954"/>
      <c r="SWL39" s="954"/>
      <c r="SWM39" s="954"/>
      <c r="SWN39" s="954"/>
      <c r="SWO39" s="954"/>
      <c r="SWP39" s="954"/>
      <c r="SWQ39" s="954"/>
      <c r="SWR39" s="954"/>
      <c r="SWS39" s="954"/>
      <c r="SWT39" s="954"/>
      <c r="SWU39" s="954"/>
      <c r="SWV39" s="954"/>
      <c r="SWW39" s="954"/>
      <c r="SWX39" s="954"/>
      <c r="SWY39" s="954"/>
      <c r="SWZ39" s="954"/>
      <c r="SXA39" s="954"/>
      <c r="SXB39" s="954"/>
      <c r="SXC39" s="954"/>
      <c r="SXD39" s="954"/>
      <c r="SXE39" s="954"/>
      <c r="SXF39" s="954"/>
      <c r="SXG39" s="954"/>
      <c r="SXH39" s="954"/>
      <c r="SXI39" s="954"/>
      <c r="SXJ39" s="954"/>
      <c r="SXK39" s="954"/>
      <c r="SXL39" s="954"/>
      <c r="SXM39" s="954"/>
      <c r="SXN39" s="954"/>
      <c r="SXO39" s="954"/>
      <c r="SXP39" s="954"/>
      <c r="SXQ39" s="954"/>
      <c r="SXR39" s="954"/>
      <c r="SXS39" s="954"/>
      <c r="SXT39" s="954"/>
      <c r="SXU39" s="954"/>
      <c r="SXV39" s="954"/>
      <c r="SXW39" s="954"/>
      <c r="SXX39" s="954"/>
      <c r="SXY39" s="954"/>
      <c r="SXZ39" s="954"/>
      <c r="SYA39" s="954"/>
      <c r="SYB39" s="954"/>
      <c r="SYC39" s="954"/>
      <c r="SYD39" s="954"/>
      <c r="SYE39" s="954"/>
      <c r="SYF39" s="954"/>
      <c r="SYG39" s="954"/>
      <c r="SYH39" s="954"/>
      <c r="SYI39" s="954"/>
      <c r="SYJ39" s="954"/>
      <c r="SYK39" s="954"/>
      <c r="SYL39" s="954"/>
      <c r="SYM39" s="954"/>
      <c r="SYN39" s="954"/>
      <c r="SYO39" s="954"/>
      <c r="SYP39" s="954"/>
      <c r="SYQ39" s="954"/>
      <c r="SYR39" s="954"/>
      <c r="SYS39" s="954"/>
      <c r="SYT39" s="954"/>
      <c r="SYU39" s="954"/>
      <c r="SYV39" s="954"/>
      <c r="SYW39" s="954"/>
      <c r="SYX39" s="954"/>
      <c r="SYY39" s="954"/>
      <c r="SYZ39" s="954"/>
      <c r="SZA39" s="954"/>
      <c r="SZB39" s="954"/>
      <c r="SZC39" s="954"/>
      <c r="SZD39" s="954"/>
      <c r="SZE39" s="954"/>
      <c r="SZF39" s="954"/>
      <c r="SZG39" s="954"/>
      <c r="SZH39" s="954"/>
      <c r="SZI39" s="954"/>
      <c r="SZJ39" s="954"/>
      <c r="SZK39" s="954"/>
      <c r="SZL39" s="954"/>
      <c r="SZM39" s="954"/>
      <c r="SZN39" s="954"/>
      <c r="SZO39" s="954"/>
      <c r="SZP39" s="954"/>
      <c r="SZQ39" s="954"/>
      <c r="SZR39" s="954"/>
      <c r="SZS39" s="954"/>
      <c r="SZT39" s="954"/>
      <c r="SZU39" s="954"/>
      <c r="SZV39" s="954"/>
      <c r="SZW39" s="954"/>
      <c r="SZX39" s="954"/>
      <c r="SZY39" s="954"/>
      <c r="SZZ39" s="954"/>
      <c r="TAA39" s="954"/>
      <c r="TAB39" s="954"/>
      <c r="TAC39" s="954"/>
      <c r="TAD39" s="954"/>
      <c r="TAE39" s="954"/>
      <c r="TAF39" s="954"/>
      <c r="TAG39" s="954"/>
      <c r="TAH39" s="954"/>
      <c r="TAI39" s="954"/>
      <c r="TAJ39" s="954"/>
      <c r="TAK39" s="954"/>
      <c r="TAL39" s="954"/>
      <c r="TAM39" s="954"/>
      <c r="TAN39" s="954"/>
      <c r="TAO39" s="954"/>
      <c r="TAP39" s="954"/>
      <c r="TAQ39" s="954"/>
      <c r="TAR39" s="954"/>
      <c r="TAS39" s="954"/>
      <c r="TAT39" s="954"/>
      <c r="TAU39" s="954"/>
      <c r="TAV39" s="954"/>
      <c r="TAW39" s="954"/>
      <c r="TAX39" s="954"/>
      <c r="TAY39" s="954"/>
      <c r="TAZ39" s="954"/>
      <c r="TBA39" s="954"/>
      <c r="TBB39" s="954"/>
      <c r="TBC39" s="954"/>
      <c r="TBD39" s="954"/>
      <c r="TBE39" s="954"/>
      <c r="TBF39" s="954"/>
      <c r="TBG39" s="954"/>
      <c r="TBH39" s="954"/>
      <c r="TBI39" s="954"/>
      <c r="TBJ39" s="954"/>
      <c r="TBK39" s="954"/>
      <c r="TBL39" s="954"/>
      <c r="TBM39" s="954"/>
      <c r="TBN39" s="954"/>
      <c r="TBO39" s="954"/>
      <c r="TBP39" s="954"/>
      <c r="TBQ39" s="954"/>
      <c r="TBR39" s="954"/>
      <c r="TBS39" s="954"/>
      <c r="TBT39" s="954"/>
      <c r="TBU39" s="954"/>
      <c r="TBV39" s="954"/>
      <c r="TBW39" s="954"/>
      <c r="TBX39" s="954"/>
      <c r="TBY39" s="954"/>
      <c r="TBZ39" s="954"/>
      <c r="TCA39" s="954"/>
      <c r="TCB39" s="954"/>
      <c r="TCC39" s="954"/>
      <c r="TCD39" s="954"/>
      <c r="TCE39" s="954"/>
      <c r="TCF39" s="954"/>
      <c r="TCG39" s="954"/>
      <c r="TCH39" s="954"/>
      <c r="TCI39" s="954"/>
      <c r="TCJ39" s="954"/>
      <c r="TCK39" s="954"/>
      <c r="TCL39" s="954"/>
      <c r="TCM39" s="954"/>
      <c r="TCN39" s="954"/>
      <c r="TCO39" s="954"/>
      <c r="TCP39" s="954"/>
      <c r="TCQ39" s="954"/>
      <c r="TCR39" s="954"/>
      <c r="TCS39" s="954"/>
      <c r="TCT39" s="954"/>
      <c r="TCU39" s="954"/>
      <c r="TCV39" s="954"/>
      <c r="TCW39" s="954"/>
      <c r="TCX39" s="954"/>
      <c r="TCY39" s="954"/>
      <c r="TCZ39" s="954"/>
      <c r="TDA39" s="954"/>
      <c r="TDB39" s="954"/>
      <c r="TDC39" s="954"/>
      <c r="TDD39" s="954"/>
      <c r="TDE39" s="954"/>
      <c r="TDF39" s="954"/>
      <c r="TDG39" s="954"/>
      <c r="TDH39" s="954"/>
      <c r="TDI39" s="954"/>
      <c r="TDJ39" s="954"/>
      <c r="TDK39" s="954"/>
      <c r="TDL39" s="954"/>
      <c r="TDM39" s="954"/>
      <c r="TDN39" s="954"/>
      <c r="TDO39" s="954"/>
      <c r="TDP39" s="954"/>
      <c r="TDQ39" s="954"/>
      <c r="TDR39" s="954"/>
      <c r="TDS39" s="954"/>
      <c r="TDT39" s="954"/>
      <c r="TDU39" s="954"/>
      <c r="TDV39" s="954"/>
      <c r="TDW39" s="954"/>
      <c r="TDX39" s="954"/>
      <c r="TDY39" s="954"/>
      <c r="TDZ39" s="954"/>
      <c r="TEA39" s="954"/>
      <c r="TEB39" s="954"/>
      <c r="TEC39" s="954"/>
      <c r="TED39" s="954"/>
      <c r="TEE39" s="954"/>
      <c r="TEF39" s="954"/>
      <c r="TEG39" s="954"/>
      <c r="TEH39" s="954"/>
      <c r="TEI39" s="954"/>
      <c r="TEJ39" s="954"/>
      <c r="TEK39" s="954"/>
      <c r="TEL39" s="954"/>
      <c r="TEM39" s="954"/>
      <c r="TEN39" s="954"/>
      <c r="TEO39" s="954"/>
      <c r="TEP39" s="954"/>
      <c r="TEQ39" s="954"/>
      <c r="TER39" s="954"/>
      <c r="TES39" s="954"/>
      <c r="TET39" s="954"/>
      <c r="TEU39" s="954"/>
      <c r="TEV39" s="954"/>
      <c r="TEW39" s="954"/>
      <c r="TEX39" s="954"/>
      <c r="TEY39" s="954"/>
      <c r="TEZ39" s="954"/>
      <c r="TFA39" s="954"/>
      <c r="TFB39" s="954"/>
      <c r="TFC39" s="954"/>
      <c r="TFD39" s="954"/>
      <c r="TFE39" s="954"/>
      <c r="TFF39" s="954"/>
      <c r="TFG39" s="954"/>
      <c r="TFH39" s="954"/>
      <c r="TFI39" s="954"/>
      <c r="TFJ39" s="954"/>
      <c r="TFK39" s="954"/>
      <c r="TFL39" s="954"/>
      <c r="TFM39" s="954"/>
      <c r="TFN39" s="954"/>
      <c r="TFO39" s="954"/>
      <c r="TFP39" s="954"/>
      <c r="TFQ39" s="954"/>
      <c r="TFR39" s="954"/>
      <c r="TFS39" s="954"/>
      <c r="TFT39" s="954"/>
      <c r="TFU39" s="954"/>
      <c r="TFV39" s="954"/>
      <c r="TFW39" s="954"/>
      <c r="TFX39" s="954"/>
      <c r="TFY39" s="954"/>
      <c r="TFZ39" s="954"/>
      <c r="TGA39" s="954"/>
      <c r="TGB39" s="954"/>
      <c r="TGC39" s="954"/>
      <c r="TGD39" s="954"/>
      <c r="TGE39" s="954"/>
      <c r="TGF39" s="954"/>
      <c r="TGG39" s="954"/>
      <c r="TGH39" s="954"/>
      <c r="TGI39" s="954"/>
      <c r="TGJ39" s="954"/>
      <c r="TGK39" s="954"/>
      <c r="TGL39" s="954"/>
      <c r="TGM39" s="954"/>
      <c r="TGN39" s="954"/>
      <c r="TGO39" s="954"/>
      <c r="TGP39" s="954"/>
      <c r="TGQ39" s="954"/>
      <c r="TGR39" s="954"/>
      <c r="TGS39" s="954"/>
      <c r="TGT39" s="954"/>
      <c r="TGU39" s="954"/>
      <c r="TGV39" s="954"/>
      <c r="TGW39" s="954"/>
      <c r="TGX39" s="954"/>
      <c r="TGY39" s="954"/>
      <c r="TGZ39" s="954"/>
      <c r="THA39" s="954"/>
      <c r="THB39" s="954"/>
      <c r="THC39" s="954"/>
      <c r="THD39" s="954"/>
      <c r="THE39" s="954"/>
      <c r="THF39" s="954"/>
      <c r="THG39" s="954"/>
      <c r="THH39" s="954"/>
      <c r="THI39" s="954"/>
      <c r="THJ39" s="954"/>
      <c r="THK39" s="954"/>
      <c r="THL39" s="954"/>
      <c r="THM39" s="954"/>
      <c r="THN39" s="954"/>
      <c r="THO39" s="954"/>
      <c r="THP39" s="954"/>
      <c r="THQ39" s="954"/>
      <c r="THR39" s="954"/>
      <c r="THS39" s="954"/>
      <c r="THT39" s="954"/>
      <c r="THU39" s="954"/>
      <c r="THV39" s="954"/>
      <c r="THW39" s="954"/>
      <c r="THX39" s="954"/>
      <c r="THY39" s="954"/>
      <c r="THZ39" s="954"/>
      <c r="TIA39" s="954"/>
      <c r="TIB39" s="954"/>
      <c r="TIC39" s="954"/>
      <c r="TID39" s="954"/>
      <c r="TIE39" s="954"/>
      <c r="TIF39" s="954"/>
      <c r="TIG39" s="954"/>
      <c r="TIH39" s="954"/>
      <c r="TII39" s="954"/>
      <c r="TIJ39" s="954"/>
      <c r="TIK39" s="954"/>
      <c r="TIL39" s="954"/>
      <c r="TIM39" s="954"/>
      <c r="TIN39" s="954"/>
      <c r="TIO39" s="954"/>
      <c r="TIP39" s="954"/>
      <c r="TIQ39" s="954"/>
      <c r="TIR39" s="954"/>
      <c r="TIS39" s="954"/>
      <c r="TIT39" s="954"/>
      <c r="TIU39" s="954"/>
      <c r="TIV39" s="954"/>
      <c r="TIW39" s="954"/>
      <c r="TIX39" s="954"/>
      <c r="TIY39" s="954"/>
      <c r="TIZ39" s="954"/>
      <c r="TJA39" s="954"/>
      <c r="TJB39" s="954"/>
      <c r="TJC39" s="954"/>
      <c r="TJD39" s="954"/>
      <c r="TJE39" s="954"/>
      <c r="TJF39" s="954"/>
      <c r="TJG39" s="954"/>
      <c r="TJH39" s="954"/>
      <c r="TJI39" s="954"/>
      <c r="TJJ39" s="954"/>
      <c r="TJK39" s="954"/>
      <c r="TJL39" s="954"/>
      <c r="TJM39" s="954"/>
      <c r="TJN39" s="954"/>
      <c r="TJO39" s="954"/>
      <c r="TJP39" s="954"/>
      <c r="TJQ39" s="954"/>
      <c r="TJR39" s="954"/>
      <c r="TJS39" s="954"/>
      <c r="TJT39" s="954"/>
      <c r="TJU39" s="954"/>
      <c r="TJV39" s="954"/>
      <c r="TJW39" s="954"/>
      <c r="TJX39" s="954"/>
      <c r="TJY39" s="954"/>
      <c r="TJZ39" s="954"/>
      <c r="TKA39" s="954"/>
      <c r="TKB39" s="954"/>
      <c r="TKC39" s="954"/>
      <c r="TKD39" s="954"/>
      <c r="TKE39" s="954"/>
      <c r="TKF39" s="954"/>
      <c r="TKG39" s="954"/>
      <c r="TKH39" s="954"/>
      <c r="TKI39" s="954"/>
      <c r="TKJ39" s="954"/>
      <c r="TKK39" s="954"/>
      <c r="TKL39" s="954"/>
      <c r="TKM39" s="954"/>
      <c r="TKN39" s="954"/>
      <c r="TKO39" s="954"/>
      <c r="TKP39" s="954"/>
      <c r="TKQ39" s="954"/>
      <c r="TKR39" s="954"/>
      <c r="TKS39" s="954"/>
      <c r="TKT39" s="954"/>
      <c r="TKU39" s="954"/>
      <c r="TKV39" s="954"/>
      <c r="TKW39" s="954"/>
      <c r="TKX39" s="954"/>
      <c r="TKY39" s="954"/>
      <c r="TKZ39" s="954"/>
      <c r="TLA39" s="954"/>
      <c r="TLB39" s="954"/>
      <c r="TLC39" s="954"/>
      <c r="TLD39" s="954"/>
      <c r="TLE39" s="954"/>
      <c r="TLF39" s="954"/>
      <c r="TLG39" s="954"/>
      <c r="TLH39" s="954"/>
      <c r="TLI39" s="954"/>
      <c r="TLJ39" s="954"/>
      <c r="TLK39" s="954"/>
      <c r="TLL39" s="954"/>
      <c r="TLM39" s="954"/>
      <c r="TLN39" s="954"/>
      <c r="TLO39" s="954"/>
      <c r="TLP39" s="954"/>
      <c r="TLQ39" s="954"/>
      <c r="TLR39" s="954"/>
      <c r="TLS39" s="954"/>
      <c r="TLT39" s="954"/>
      <c r="TLU39" s="954"/>
      <c r="TLV39" s="954"/>
      <c r="TLW39" s="954"/>
      <c r="TLX39" s="954"/>
      <c r="TLY39" s="954"/>
      <c r="TLZ39" s="954"/>
      <c r="TMA39" s="954"/>
      <c r="TMB39" s="954"/>
      <c r="TMC39" s="954"/>
      <c r="TMD39" s="954"/>
      <c r="TME39" s="954"/>
      <c r="TMF39" s="954"/>
      <c r="TMG39" s="954"/>
      <c r="TMH39" s="954"/>
      <c r="TMI39" s="954"/>
      <c r="TMJ39" s="954"/>
      <c r="TMK39" s="954"/>
      <c r="TML39" s="954"/>
      <c r="TMM39" s="954"/>
      <c r="TMN39" s="954"/>
      <c r="TMO39" s="954"/>
      <c r="TMP39" s="954"/>
      <c r="TMQ39" s="954"/>
      <c r="TMR39" s="954"/>
      <c r="TMS39" s="954"/>
      <c r="TMT39" s="954"/>
      <c r="TMU39" s="954"/>
      <c r="TMV39" s="954"/>
      <c r="TMW39" s="954"/>
      <c r="TMX39" s="954"/>
      <c r="TMY39" s="954"/>
      <c r="TMZ39" s="954"/>
      <c r="TNA39" s="954"/>
      <c r="TNB39" s="954"/>
      <c r="TNC39" s="954"/>
      <c r="TND39" s="954"/>
      <c r="TNE39" s="954"/>
      <c r="TNF39" s="954"/>
      <c r="TNG39" s="954"/>
      <c r="TNH39" s="954"/>
      <c r="TNI39" s="954"/>
      <c r="TNJ39" s="954"/>
      <c r="TNK39" s="954"/>
      <c r="TNL39" s="954"/>
      <c r="TNM39" s="954"/>
      <c r="TNN39" s="954"/>
      <c r="TNO39" s="954"/>
      <c r="TNP39" s="954"/>
      <c r="TNQ39" s="954"/>
      <c r="TNR39" s="954"/>
      <c r="TNS39" s="954"/>
      <c r="TNT39" s="954"/>
      <c r="TNU39" s="954"/>
      <c r="TNV39" s="954"/>
      <c r="TNW39" s="954"/>
      <c r="TNX39" s="954"/>
      <c r="TNY39" s="954"/>
      <c r="TNZ39" s="954"/>
      <c r="TOA39" s="954"/>
      <c r="TOB39" s="954"/>
      <c r="TOC39" s="954"/>
      <c r="TOD39" s="954"/>
      <c r="TOE39" s="954"/>
      <c r="TOF39" s="954"/>
      <c r="TOG39" s="954"/>
      <c r="TOH39" s="954"/>
      <c r="TOI39" s="954"/>
      <c r="TOJ39" s="954"/>
      <c r="TOK39" s="954"/>
      <c r="TOL39" s="954"/>
      <c r="TOM39" s="954"/>
      <c r="TON39" s="954"/>
      <c r="TOO39" s="954"/>
      <c r="TOP39" s="954"/>
      <c r="TOQ39" s="954"/>
      <c r="TOR39" s="954"/>
      <c r="TOS39" s="954"/>
      <c r="TOT39" s="954"/>
      <c r="TOU39" s="954"/>
      <c r="TOV39" s="954"/>
      <c r="TOW39" s="954"/>
      <c r="TOX39" s="954"/>
      <c r="TOY39" s="954"/>
      <c r="TOZ39" s="954"/>
      <c r="TPA39" s="954"/>
      <c r="TPB39" s="954"/>
      <c r="TPC39" s="954"/>
      <c r="TPD39" s="954"/>
      <c r="TPE39" s="954"/>
      <c r="TPF39" s="954"/>
      <c r="TPG39" s="954"/>
      <c r="TPH39" s="954"/>
      <c r="TPI39" s="954"/>
      <c r="TPJ39" s="954"/>
      <c r="TPK39" s="954"/>
      <c r="TPL39" s="954"/>
      <c r="TPM39" s="954"/>
      <c r="TPN39" s="954"/>
      <c r="TPO39" s="954"/>
      <c r="TPP39" s="954"/>
      <c r="TPQ39" s="954"/>
      <c r="TPR39" s="954"/>
      <c r="TPS39" s="954"/>
      <c r="TPT39" s="954"/>
      <c r="TPU39" s="954"/>
      <c r="TPV39" s="954"/>
      <c r="TPW39" s="954"/>
      <c r="TPX39" s="954"/>
      <c r="TPY39" s="954"/>
      <c r="TPZ39" s="954"/>
      <c r="TQA39" s="954"/>
      <c r="TQB39" s="954"/>
      <c r="TQC39" s="954"/>
      <c r="TQD39" s="954"/>
      <c r="TQE39" s="954"/>
      <c r="TQF39" s="954"/>
      <c r="TQG39" s="954"/>
      <c r="TQH39" s="954"/>
      <c r="TQI39" s="954"/>
      <c r="TQJ39" s="954"/>
      <c r="TQK39" s="954"/>
      <c r="TQL39" s="954"/>
      <c r="TQM39" s="954"/>
      <c r="TQN39" s="954"/>
      <c r="TQO39" s="954"/>
      <c r="TQP39" s="954"/>
      <c r="TQQ39" s="954"/>
      <c r="TQR39" s="954"/>
      <c r="TQS39" s="954"/>
      <c r="TQT39" s="954"/>
      <c r="TQU39" s="954"/>
      <c r="TQV39" s="954"/>
      <c r="TQW39" s="954"/>
      <c r="TQX39" s="954"/>
      <c r="TQY39" s="954"/>
      <c r="TQZ39" s="954"/>
      <c r="TRA39" s="954"/>
      <c r="TRB39" s="954"/>
      <c r="TRC39" s="954"/>
      <c r="TRD39" s="954"/>
      <c r="TRE39" s="954"/>
      <c r="TRF39" s="954"/>
      <c r="TRG39" s="954"/>
      <c r="TRH39" s="954"/>
      <c r="TRI39" s="954"/>
      <c r="TRJ39" s="954"/>
      <c r="TRK39" s="954"/>
      <c r="TRL39" s="954"/>
      <c r="TRM39" s="954"/>
      <c r="TRN39" s="954"/>
      <c r="TRO39" s="954"/>
      <c r="TRP39" s="954"/>
      <c r="TRQ39" s="954"/>
      <c r="TRR39" s="954"/>
      <c r="TRS39" s="954"/>
      <c r="TRT39" s="954"/>
      <c r="TRU39" s="954"/>
      <c r="TRV39" s="954"/>
      <c r="TRW39" s="954"/>
      <c r="TRX39" s="954"/>
      <c r="TRY39" s="954"/>
      <c r="TRZ39" s="954"/>
      <c r="TSA39" s="954"/>
      <c r="TSB39" s="954"/>
      <c r="TSC39" s="954"/>
      <c r="TSD39" s="954"/>
      <c r="TSE39" s="954"/>
      <c r="TSF39" s="954"/>
      <c r="TSG39" s="954"/>
      <c r="TSH39" s="954"/>
      <c r="TSI39" s="954"/>
      <c r="TSJ39" s="954"/>
      <c r="TSK39" s="954"/>
      <c r="TSL39" s="954"/>
      <c r="TSM39" s="954"/>
      <c r="TSN39" s="954"/>
      <c r="TSO39" s="954"/>
      <c r="TSP39" s="954"/>
      <c r="TSQ39" s="954"/>
      <c r="TSR39" s="954"/>
      <c r="TSS39" s="954"/>
      <c r="TST39" s="954"/>
      <c r="TSU39" s="954"/>
      <c r="TSV39" s="954"/>
      <c r="TSW39" s="954"/>
      <c r="TSX39" s="954"/>
      <c r="TSY39" s="954"/>
      <c r="TSZ39" s="954"/>
      <c r="TTA39" s="954"/>
      <c r="TTB39" s="954"/>
      <c r="TTC39" s="954"/>
      <c r="TTD39" s="954"/>
      <c r="TTE39" s="954"/>
      <c r="TTF39" s="954"/>
      <c r="TTG39" s="954"/>
      <c r="TTH39" s="954"/>
      <c r="TTI39" s="954"/>
      <c r="TTJ39" s="954"/>
      <c r="TTK39" s="954"/>
      <c r="TTL39" s="954"/>
      <c r="TTM39" s="954"/>
      <c r="TTN39" s="954"/>
      <c r="TTO39" s="954"/>
      <c r="TTP39" s="954"/>
      <c r="TTQ39" s="954"/>
      <c r="TTR39" s="954"/>
      <c r="TTS39" s="954"/>
      <c r="TTT39" s="954"/>
      <c r="TTU39" s="954"/>
      <c r="TTV39" s="954"/>
      <c r="TTW39" s="954"/>
      <c r="TTX39" s="954"/>
      <c r="TTY39" s="954"/>
      <c r="TTZ39" s="954"/>
      <c r="TUA39" s="954"/>
      <c r="TUB39" s="954"/>
      <c r="TUC39" s="954"/>
      <c r="TUD39" s="954"/>
      <c r="TUE39" s="954"/>
      <c r="TUF39" s="954"/>
      <c r="TUG39" s="954"/>
      <c r="TUH39" s="954"/>
      <c r="TUI39" s="954"/>
      <c r="TUJ39" s="954"/>
      <c r="TUK39" s="954"/>
      <c r="TUL39" s="954"/>
      <c r="TUM39" s="954"/>
      <c r="TUN39" s="954"/>
      <c r="TUO39" s="954"/>
      <c r="TUP39" s="954"/>
      <c r="TUQ39" s="954"/>
      <c r="TUR39" s="954"/>
      <c r="TUS39" s="954"/>
      <c r="TUT39" s="954"/>
      <c r="TUU39" s="954"/>
      <c r="TUV39" s="954"/>
      <c r="TUW39" s="954"/>
      <c r="TUX39" s="954"/>
      <c r="TUY39" s="954"/>
      <c r="TUZ39" s="954"/>
      <c r="TVA39" s="954"/>
      <c r="TVB39" s="954"/>
      <c r="TVC39" s="954"/>
      <c r="TVD39" s="954"/>
      <c r="TVE39" s="954"/>
      <c r="TVF39" s="954"/>
      <c r="TVG39" s="954"/>
      <c r="TVH39" s="954"/>
      <c r="TVI39" s="954"/>
      <c r="TVJ39" s="954"/>
      <c r="TVK39" s="954"/>
      <c r="TVL39" s="954"/>
      <c r="TVM39" s="954"/>
      <c r="TVN39" s="954"/>
      <c r="TVO39" s="954"/>
      <c r="TVP39" s="954"/>
      <c r="TVQ39" s="954"/>
      <c r="TVR39" s="954"/>
      <c r="TVS39" s="954"/>
      <c r="TVT39" s="954"/>
      <c r="TVU39" s="954"/>
      <c r="TVV39" s="954"/>
      <c r="TVW39" s="954"/>
      <c r="TVX39" s="954"/>
      <c r="TVY39" s="954"/>
      <c r="TVZ39" s="954"/>
      <c r="TWA39" s="954"/>
      <c r="TWB39" s="954"/>
      <c r="TWC39" s="954"/>
      <c r="TWD39" s="954"/>
      <c r="TWE39" s="954"/>
      <c r="TWF39" s="954"/>
      <c r="TWG39" s="954"/>
      <c r="TWH39" s="954"/>
      <c r="TWI39" s="954"/>
      <c r="TWJ39" s="954"/>
      <c r="TWK39" s="954"/>
      <c r="TWL39" s="954"/>
      <c r="TWM39" s="954"/>
      <c r="TWN39" s="954"/>
      <c r="TWO39" s="954"/>
      <c r="TWP39" s="954"/>
      <c r="TWQ39" s="954"/>
      <c r="TWR39" s="954"/>
      <c r="TWS39" s="954"/>
      <c r="TWT39" s="954"/>
      <c r="TWU39" s="954"/>
      <c r="TWV39" s="954"/>
      <c r="TWW39" s="954"/>
      <c r="TWX39" s="954"/>
      <c r="TWY39" s="954"/>
      <c r="TWZ39" s="954"/>
      <c r="TXA39" s="954"/>
      <c r="TXB39" s="954"/>
      <c r="TXC39" s="954"/>
      <c r="TXD39" s="954"/>
      <c r="TXE39" s="954"/>
      <c r="TXF39" s="954"/>
      <c r="TXG39" s="954"/>
      <c r="TXH39" s="954"/>
      <c r="TXI39" s="954"/>
      <c r="TXJ39" s="954"/>
      <c r="TXK39" s="954"/>
      <c r="TXL39" s="954"/>
      <c r="TXM39" s="954"/>
      <c r="TXN39" s="954"/>
      <c r="TXO39" s="954"/>
      <c r="TXP39" s="954"/>
      <c r="TXQ39" s="954"/>
      <c r="TXR39" s="954"/>
      <c r="TXS39" s="954"/>
      <c r="TXT39" s="954"/>
      <c r="TXU39" s="954"/>
      <c r="TXV39" s="954"/>
      <c r="TXW39" s="954"/>
      <c r="TXX39" s="954"/>
      <c r="TXY39" s="954"/>
      <c r="TXZ39" s="954"/>
      <c r="TYA39" s="954"/>
      <c r="TYB39" s="954"/>
      <c r="TYC39" s="954"/>
      <c r="TYD39" s="954"/>
      <c r="TYE39" s="954"/>
      <c r="TYF39" s="954"/>
      <c r="TYG39" s="954"/>
      <c r="TYH39" s="954"/>
      <c r="TYI39" s="954"/>
      <c r="TYJ39" s="954"/>
      <c r="TYK39" s="954"/>
      <c r="TYL39" s="954"/>
      <c r="TYM39" s="954"/>
      <c r="TYN39" s="954"/>
      <c r="TYO39" s="954"/>
      <c r="TYP39" s="954"/>
      <c r="TYQ39" s="954"/>
      <c r="TYR39" s="954"/>
      <c r="TYS39" s="954"/>
      <c r="TYT39" s="954"/>
      <c r="TYU39" s="954"/>
      <c r="TYV39" s="954"/>
      <c r="TYW39" s="954"/>
      <c r="TYX39" s="954"/>
      <c r="TYY39" s="954"/>
      <c r="TYZ39" s="954"/>
      <c r="TZA39" s="954"/>
      <c r="TZB39" s="954"/>
      <c r="TZC39" s="954"/>
      <c r="TZD39" s="954"/>
      <c r="TZE39" s="954"/>
      <c r="TZF39" s="954"/>
      <c r="TZG39" s="954"/>
      <c r="TZH39" s="954"/>
      <c r="TZI39" s="954"/>
      <c r="TZJ39" s="954"/>
      <c r="TZK39" s="954"/>
      <c r="TZL39" s="954"/>
      <c r="TZM39" s="954"/>
      <c r="TZN39" s="954"/>
      <c r="TZO39" s="954"/>
      <c r="TZP39" s="954"/>
      <c r="TZQ39" s="954"/>
      <c r="TZR39" s="954"/>
      <c r="TZS39" s="954"/>
      <c r="TZT39" s="954"/>
      <c r="TZU39" s="954"/>
      <c r="TZV39" s="954"/>
      <c r="TZW39" s="954"/>
      <c r="TZX39" s="954"/>
      <c r="TZY39" s="954"/>
      <c r="TZZ39" s="954"/>
      <c r="UAA39" s="954"/>
      <c r="UAB39" s="954"/>
      <c r="UAC39" s="954"/>
      <c r="UAD39" s="954"/>
      <c r="UAE39" s="954"/>
      <c r="UAF39" s="954"/>
      <c r="UAG39" s="954"/>
      <c r="UAH39" s="954"/>
      <c r="UAI39" s="954"/>
      <c r="UAJ39" s="954"/>
      <c r="UAK39" s="954"/>
      <c r="UAL39" s="954"/>
      <c r="UAM39" s="954"/>
      <c r="UAN39" s="954"/>
      <c r="UAO39" s="954"/>
      <c r="UAP39" s="954"/>
      <c r="UAQ39" s="954"/>
      <c r="UAR39" s="954"/>
      <c r="UAS39" s="954"/>
      <c r="UAT39" s="954"/>
      <c r="UAU39" s="954"/>
      <c r="UAV39" s="954"/>
      <c r="UAW39" s="954"/>
      <c r="UAX39" s="954"/>
      <c r="UAY39" s="954"/>
      <c r="UAZ39" s="954"/>
      <c r="UBA39" s="954"/>
      <c r="UBB39" s="954"/>
      <c r="UBC39" s="954"/>
      <c r="UBD39" s="954"/>
      <c r="UBE39" s="954"/>
      <c r="UBF39" s="954"/>
      <c r="UBG39" s="954"/>
      <c r="UBH39" s="954"/>
      <c r="UBI39" s="954"/>
      <c r="UBJ39" s="954"/>
      <c r="UBK39" s="954"/>
      <c r="UBL39" s="954"/>
      <c r="UBM39" s="954"/>
      <c r="UBN39" s="954"/>
      <c r="UBO39" s="954"/>
      <c r="UBP39" s="954"/>
      <c r="UBQ39" s="954"/>
      <c r="UBR39" s="954"/>
      <c r="UBS39" s="954"/>
      <c r="UBT39" s="954"/>
      <c r="UBU39" s="954"/>
      <c r="UBV39" s="954"/>
      <c r="UBW39" s="954"/>
      <c r="UBX39" s="954"/>
      <c r="UBY39" s="954"/>
      <c r="UBZ39" s="954"/>
      <c r="UCA39" s="954"/>
      <c r="UCB39" s="954"/>
      <c r="UCC39" s="954"/>
      <c r="UCD39" s="954"/>
      <c r="UCE39" s="954"/>
      <c r="UCF39" s="954"/>
      <c r="UCG39" s="954"/>
      <c r="UCH39" s="954"/>
      <c r="UCI39" s="954"/>
      <c r="UCJ39" s="954"/>
      <c r="UCK39" s="954"/>
      <c r="UCL39" s="954"/>
      <c r="UCM39" s="954"/>
      <c r="UCN39" s="954"/>
      <c r="UCO39" s="954"/>
      <c r="UCP39" s="954"/>
      <c r="UCQ39" s="954"/>
      <c r="UCR39" s="954"/>
      <c r="UCS39" s="954"/>
      <c r="UCT39" s="954"/>
      <c r="UCU39" s="954"/>
      <c r="UCV39" s="954"/>
      <c r="UCW39" s="954"/>
      <c r="UCX39" s="954"/>
      <c r="UCY39" s="954"/>
      <c r="UCZ39" s="954"/>
      <c r="UDA39" s="954"/>
      <c r="UDB39" s="954"/>
      <c r="UDC39" s="954"/>
      <c r="UDD39" s="954"/>
      <c r="UDE39" s="954"/>
      <c r="UDF39" s="954"/>
      <c r="UDG39" s="954"/>
      <c r="UDH39" s="954"/>
      <c r="UDI39" s="954"/>
      <c r="UDJ39" s="954"/>
      <c r="UDK39" s="954"/>
      <c r="UDL39" s="954"/>
      <c r="UDM39" s="954"/>
      <c r="UDN39" s="954"/>
      <c r="UDO39" s="954"/>
      <c r="UDP39" s="954"/>
      <c r="UDQ39" s="954"/>
      <c r="UDR39" s="954"/>
      <c r="UDS39" s="954"/>
      <c r="UDT39" s="954"/>
      <c r="UDU39" s="954"/>
      <c r="UDV39" s="954"/>
      <c r="UDW39" s="954"/>
      <c r="UDX39" s="954"/>
      <c r="UDY39" s="954"/>
      <c r="UDZ39" s="954"/>
      <c r="UEA39" s="954"/>
      <c r="UEB39" s="954"/>
      <c r="UEC39" s="954"/>
      <c r="UED39" s="954"/>
      <c r="UEE39" s="954"/>
      <c r="UEF39" s="954"/>
      <c r="UEG39" s="954"/>
      <c r="UEH39" s="954"/>
      <c r="UEI39" s="954"/>
      <c r="UEJ39" s="954"/>
      <c r="UEK39" s="954"/>
      <c r="UEL39" s="954"/>
      <c r="UEM39" s="954"/>
      <c r="UEN39" s="954"/>
      <c r="UEO39" s="954"/>
      <c r="UEP39" s="954"/>
      <c r="UEQ39" s="954"/>
      <c r="UER39" s="954"/>
      <c r="UES39" s="954"/>
      <c r="UET39" s="954"/>
      <c r="UEU39" s="954"/>
      <c r="UEV39" s="954"/>
      <c r="UEW39" s="954"/>
      <c r="UEX39" s="954"/>
      <c r="UEY39" s="954"/>
      <c r="UEZ39" s="954"/>
      <c r="UFA39" s="954"/>
      <c r="UFB39" s="954"/>
      <c r="UFC39" s="954"/>
      <c r="UFD39" s="954"/>
      <c r="UFE39" s="954"/>
      <c r="UFF39" s="954"/>
      <c r="UFG39" s="954"/>
      <c r="UFH39" s="954"/>
      <c r="UFI39" s="954"/>
      <c r="UFJ39" s="954"/>
      <c r="UFK39" s="954"/>
      <c r="UFL39" s="954"/>
      <c r="UFM39" s="954"/>
      <c r="UFN39" s="954"/>
      <c r="UFO39" s="954"/>
      <c r="UFP39" s="954"/>
      <c r="UFQ39" s="954"/>
      <c r="UFR39" s="954"/>
      <c r="UFS39" s="954"/>
      <c r="UFT39" s="954"/>
      <c r="UFU39" s="954"/>
      <c r="UFV39" s="954"/>
      <c r="UFW39" s="954"/>
      <c r="UFX39" s="954"/>
      <c r="UFY39" s="954"/>
      <c r="UFZ39" s="954"/>
      <c r="UGA39" s="954"/>
      <c r="UGB39" s="954"/>
      <c r="UGC39" s="954"/>
      <c r="UGD39" s="954"/>
      <c r="UGE39" s="954"/>
      <c r="UGF39" s="954"/>
      <c r="UGG39" s="954"/>
      <c r="UGH39" s="954"/>
      <c r="UGI39" s="954"/>
      <c r="UGJ39" s="954"/>
      <c r="UGK39" s="954"/>
      <c r="UGL39" s="954"/>
      <c r="UGM39" s="954"/>
      <c r="UGN39" s="954"/>
      <c r="UGO39" s="954"/>
      <c r="UGP39" s="954"/>
      <c r="UGQ39" s="954"/>
      <c r="UGR39" s="954"/>
      <c r="UGS39" s="954"/>
      <c r="UGT39" s="954"/>
      <c r="UGU39" s="954"/>
      <c r="UGV39" s="954"/>
      <c r="UGW39" s="954"/>
      <c r="UGX39" s="954"/>
      <c r="UGY39" s="954"/>
      <c r="UGZ39" s="954"/>
      <c r="UHA39" s="954"/>
      <c r="UHB39" s="954"/>
      <c r="UHC39" s="954"/>
      <c r="UHD39" s="954"/>
      <c r="UHE39" s="954"/>
      <c r="UHF39" s="954"/>
      <c r="UHG39" s="954"/>
      <c r="UHH39" s="954"/>
      <c r="UHI39" s="954"/>
      <c r="UHJ39" s="954"/>
      <c r="UHK39" s="954"/>
      <c r="UHL39" s="954"/>
      <c r="UHM39" s="954"/>
      <c r="UHN39" s="954"/>
      <c r="UHO39" s="954"/>
      <c r="UHP39" s="954"/>
      <c r="UHQ39" s="954"/>
      <c r="UHR39" s="954"/>
      <c r="UHS39" s="954"/>
      <c r="UHT39" s="954"/>
      <c r="UHU39" s="954"/>
      <c r="UHV39" s="954"/>
      <c r="UHW39" s="954"/>
      <c r="UHX39" s="954"/>
      <c r="UHY39" s="954"/>
      <c r="UHZ39" s="954"/>
      <c r="UIA39" s="954"/>
      <c r="UIB39" s="954"/>
      <c r="UIC39" s="954"/>
      <c r="UID39" s="954"/>
      <c r="UIE39" s="954"/>
      <c r="UIF39" s="954"/>
      <c r="UIG39" s="954"/>
      <c r="UIH39" s="954"/>
      <c r="UII39" s="954"/>
      <c r="UIJ39" s="954"/>
      <c r="UIK39" s="954"/>
      <c r="UIL39" s="954"/>
      <c r="UIM39" s="954"/>
      <c r="UIN39" s="954"/>
      <c r="UIO39" s="954"/>
      <c r="UIP39" s="954"/>
      <c r="UIQ39" s="954"/>
      <c r="UIR39" s="954"/>
      <c r="UIS39" s="954"/>
      <c r="UIT39" s="954"/>
      <c r="UIU39" s="954"/>
      <c r="UIV39" s="954"/>
      <c r="UIW39" s="954"/>
      <c r="UIX39" s="954"/>
      <c r="UIY39" s="954"/>
      <c r="UIZ39" s="954"/>
      <c r="UJA39" s="954"/>
      <c r="UJB39" s="954"/>
      <c r="UJC39" s="954"/>
      <c r="UJD39" s="954"/>
      <c r="UJE39" s="954"/>
      <c r="UJF39" s="954"/>
      <c r="UJG39" s="954"/>
      <c r="UJH39" s="954"/>
      <c r="UJI39" s="954"/>
      <c r="UJJ39" s="954"/>
      <c r="UJK39" s="954"/>
      <c r="UJL39" s="954"/>
      <c r="UJM39" s="954"/>
      <c r="UJN39" s="954"/>
      <c r="UJO39" s="954"/>
      <c r="UJP39" s="954"/>
      <c r="UJQ39" s="954"/>
      <c r="UJR39" s="954"/>
      <c r="UJS39" s="954"/>
      <c r="UJT39" s="954"/>
      <c r="UJU39" s="954"/>
      <c r="UJV39" s="954"/>
      <c r="UJW39" s="954"/>
      <c r="UJX39" s="954"/>
      <c r="UJY39" s="954"/>
      <c r="UJZ39" s="954"/>
      <c r="UKA39" s="954"/>
      <c r="UKB39" s="954"/>
      <c r="UKC39" s="954"/>
      <c r="UKD39" s="954"/>
      <c r="UKE39" s="954"/>
      <c r="UKF39" s="954"/>
      <c r="UKG39" s="954"/>
      <c r="UKH39" s="954"/>
      <c r="UKI39" s="954"/>
      <c r="UKJ39" s="954"/>
      <c r="UKK39" s="954"/>
      <c r="UKL39" s="954"/>
      <c r="UKM39" s="954"/>
      <c r="UKN39" s="954"/>
      <c r="UKO39" s="954"/>
      <c r="UKP39" s="954"/>
      <c r="UKQ39" s="954"/>
      <c r="UKR39" s="954"/>
      <c r="UKS39" s="954"/>
      <c r="UKT39" s="954"/>
      <c r="UKU39" s="954"/>
      <c r="UKV39" s="954"/>
      <c r="UKW39" s="954"/>
      <c r="UKX39" s="954"/>
      <c r="UKY39" s="954"/>
      <c r="UKZ39" s="954"/>
      <c r="ULA39" s="954"/>
      <c r="ULB39" s="954"/>
      <c r="ULC39" s="954"/>
      <c r="ULD39" s="954"/>
      <c r="ULE39" s="954"/>
      <c r="ULF39" s="954"/>
      <c r="ULG39" s="954"/>
      <c r="ULH39" s="954"/>
      <c r="ULI39" s="954"/>
      <c r="ULJ39" s="954"/>
      <c r="ULK39" s="954"/>
      <c r="ULL39" s="954"/>
      <c r="ULM39" s="954"/>
      <c r="ULN39" s="954"/>
      <c r="ULO39" s="954"/>
      <c r="ULP39" s="954"/>
      <c r="ULQ39" s="954"/>
      <c r="ULR39" s="954"/>
      <c r="ULS39" s="954"/>
      <c r="ULT39" s="954"/>
      <c r="ULU39" s="954"/>
      <c r="ULV39" s="954"/>
      <c r="ULW39" s="954"/>
      <c r="ULX39" s="954"/>
      <c r="ULY39" s="954"/>
      <c r="ULZ39" s="954"/>
      <c r="UMA39" s="954"/>
      <c r="UMB39" s="954"/>
      <c r="UMC39" s="954"/>
      <c r="UMD39" s="954"/>
      <c r="UME39" s="954"/>
      <c r="UMF39" s="954"/>
      <c r="UMG39" s="954"/>
      <c r="UMH39" s="954"/>
      <c r="UMI39" s="954"/>
      <c r="UMJ39" s="954"/>
      <c r="UMK39" s="954"/>
      <c r="UML39" s="954"/>
      <c r="UMM39" s="954"/>
      <c r="UMN39" s="954"/>
      <c r="UMO39" s="954"/>
      <c r="UMP39" s="954"/>
      <c r="UMQ39" s="954"/>
      <c r="UMR39" s="954"/>
      <c r="UMS39" s="954"/>
      <c r="UMT39" s="954"/>
      <c r="UMU39" s="954"/>
      <c r="UMV39" s="954"/>
      <c r="UMW39" s="954"/>
      <c r="UMX39" s="954"/>
      <c r="UMY39" s="954"/>
      <c r="UMZ39" s="954"/>
      <c r="UNA39" s="954"/>
      <c r="UNB39" s="954"/>
      <c r="UNC39" s="954"/>
      <c r="UND39" s="954"/>
      <c r="UNE39" s="954"/>
      <c r="UNF39" s="954"/>
      <c r="UNG39" s="954"/>
      <c r="UNH39" s="954"/>
      <c r="UNI39" s="954"/>
      <c r="UNJ39" s="954"/>
      <c r="UNK39" s="954"/>
      <c r="UNL39" s="954"/>
      <c r="UNM39" s="954"/>
      <c r="UNN39" s="954"/>
      <c r="UNO39" s="954"/>
      <c r="UNP39" s="954"/>
      <c r="UNQ39" s="954"/>
      <c r="UNR39" s="954"/>
      <c r="UNS39" s="954"/>
      <c r="UNT39" s="954"/>
      <c r="UNU39" s="954"/>
      <c r="UNV39" s="954"/>
      <c r="UNW39" s="954"/>
      <c r="UNX39" s="954"/>
      <c r="UNY39" s="954"/>
      <c r="UNZ39" s="954"/>
      <c r="UOA39" s="954"/>
      <c r="UOB39" s="954"/>
      <c r="UOC39" s="954"/>
      <c r="UOD39" s="954"/>
      <c r="UOE39" s="954"/>
      <c r="UOF39" s="954"/>
      <c r="UOG39" s="954"/>
      <c r="UOH39" s="954"/>
      <c r="UOI39" s="954"/>
      <c r="UOJ39" s="954"/>
      <c r="UOK39" s="954"/>
      <c r="UOL39" s="954"/>
      <c r="UOM39" s="954"/>
      <c r="UON39" s="954"/>
      <c r="UOO39" s="954"/>
      <c r="UOP39" s="954"/>
      <c r="UOQ39" s="954"/>
      <c r="UOR39" s="954"/>
      <c r="UOS39" s="954"/>
      <c r="UOT39" s="954"/>
      <c r="UOU39" s="954"/>
      <c r="UOV39" s="954"/>
      <c r="UOW39" s="954"/>
      <c r="UOX39" s="954"/>
      <c r="UOY39" s="954"/>
      <c r="UOZ39" s="954"/>
      <c r="UPA39" s="954"/>
      <c r="UPB39" s="954"/>
      <c r="UPC39" s="954"/>
      <c r="UPD39" s="954"/>
      <c r="UPE39" s="954"/>
      <c r="UPF39" s="954"/>
      <c r="UPG39" s="954"/>
      <c r="UPH39" s="954"/>
      <c r="UPI39" s="954"/>
      <c r="UPJ39" s="954"/>
      <c r="UPK39" s="954"/>
      <c r="UPL39" s="954"/>
      <c r="UPM39" s="954"/>
      <c r="UPN39" s="954"/>
      <c r="UPO39" s="954"/>
      <c r="UPP39" s="954"/>
      <c r="UPQ39" s="954"/>
      <c r="UPR39" s="954"/>
      <c r="UPS39" s="954"/>
      <c r="UPT39" s="954"/>
      <c r="UPU39" s="954"/>
      <c r="UPV39" s="954"/>
      <c r="UPW39" s="954"/>
      <c r="UPX39" s="954"/>
      <c r="UPY39" s="954"/>
      <c r="UPZ39" s="954"/>
      <c r="UQA39" s="954"/>
      <c r="UQB39" s="954"/>
      <c r="UQC39" s="954"/>
      <c r="UQD39" s="954"/>
      <c r="UQE39" s="954"/>
      <c r="UQF39" s="954"/>
      <c r="UQG39" s="954"/>
      <c r="UQH39" s="954"/>
      <c r="UQI39" s="954"/>
      <c r="UQJ39" s="954"/>
      <c r="UQK39" s="954"/>
      <c r="UQL39" s="954"/>
      <c r="UQM39" s="954"/>
      <c r="UQN39" s="954"/>
      <c r="UQO39" s="954"/>
      <c r="UQP39" s="954"/>
      <c r="UQQ39" s="954"/>
      <c r="UQR39" s="954"/>
      <c r="UQS39" s="954"/>
      <c r="UQT39" s="954"/>
      <c r="UQU39" s="954"/>
      <c r="UQV39" s="954"/>
      <c r="UQW39" s="954"/>
      <c r="UQX39" s="954"/>
      <c r="UQY39" s="954"/>
      <c r="UQZ39" s="954"/>
      <c r="URA39" s="954"/>
      <c r="URB39" s="954"/>
      <c r="URC39" s="954"/>
      <c r="URD39" s="954"/>
      <c r="URE39" s="954"/>
      <c r="URF39" s="954"/>
      <c r="URG39" s="954"/>
      <c r="URH39" s="954"/>
      <c r="URI39" s="954"/>
      <c r="URJ39" s="954"/>
      <c r="URK39" s="954"/>
      <c r="URL39" s="954"/>
      <c r="URM39" s="954"/>
      <c r="URN39" s="954"/>
      <c r="URO39" s="954"/>
      <c r="URP39" s="954"/>
      <c r="URQ39" s="954"/>
      <c r="URR39" s="954"/>
      <c r="URS39" s="954"/>
      <c r="URT39" s="954"/>
      <c r="URU39" s="954"/>
      <c r="URV39" s="954"/>
      <c r="URW39" s="954"/>
      <c r="URX39" s="954"/>
      <c r="URY39" s="954"/>
      <c r="URZ39" s="954"/>
      <c r="USA39" s="954"/>
      <c r="USB39" s="954"/>
      <c r="USC39" s="954"/>
      <c r="USD39" s="954"/>
      <c r="USE39" s="954"/>
      <c r="USF39" s="954"/>
      <c r="USG39" s="954"/>
      <c r="USH39" s="954"/>
      <c r="USI39" s="954"/>
      <c r="USJ39" s="954"/>
      <c r="USK39" s="954"/>
      <c r="USL39" s="954"/>
      <c r="USM39" s="954"/>
      <c r="USN39" s="954"/>
      <c r="USO39" s="954"/>
      <c r="USP39" s="954"/>
      <c r="USQ39" s="954"/>
      <c r="USR39" s="954"/>
      <c r="USS39" s="954"/>
      <c r="UST39" s="954"/>
      <c r="USU39" s="954"/>
      <c r="USV39" s="954"/>
      <c r="USW39" s="954"/>
      <c r="USX39" s="954"/>
      <c r="USY39" s="954"/>
      <c r="USZ39" s="954"/>
      <c r="UTA39" s="954"/>
      <c r="UTB39" s="954"/>
      <c r="UTC39" s="954"/>
      <c r="UTD39" s="954"/>
      <c r="UTE39" s="954"/>
      <c r="UTF39" s="954"/>
      <c r="UTG39" s="954"/>
      <c r="UTH39" s="954"/>
      <c r="UTI39" s="954"/>
      <c r="UTJ39" s="954"/>
      <c r="UTK39" s="954"/>
      <c r="UTL39" s="954"/>
      <c r="UTM39" s="954"/>
      <c r="UTN39" s="954"/>
      <c r="UTO39" s="954"/>
      <c r="UTP39" s="954"/>
      <c r="UTQ39" s="954"/>
      <c r="UTR39" s="954"/>
      <c r="UTS39" s="954"/>
      <c r="UTT39" s="954"/>
      <c r="UTU39" s="954"/>
      <c r="UTV39" s="954"/>
      <c r="UTW39" s="954"/>
      <c r="UTX39" s="954"/>
      <c r="UTY39" s="954"/>
      <c r="UTZ39" s="954"/>
      <c r="UUA39" s="954"/>
      <c r="UUB39" s="954"/>
      <c r="UUC39" s="954"/>
      <c r="UUD39" s="954"/>
      <c r="UUE39" s="954"/>
      <c r="UUF39" s="954"/>
      <c r="UUG39" s="954"/>
      <c r="UUH39" s="954"/>
      <c r="UUI39" s="954"/>
      <c r="UUJ39" s="954"/>
      <c r="UUK39" s="954"/>
      <c r="UUL39" s="954"/>
      <c r="UUM39" s="954"/>
      <c r="UUN39" s="954"/>
      <c r="UUO39" s="954"/>
      <c r="UUP39" s="954"/>
      <c r="UUQ39" s="954"/>
      <c r="UUR39" s="954"/>
      <c r="UUS39" s="954"/>
      <c r="UUT39" s="954"/>
      <c r="UUU39" s="954"/>
      <c r="UUV39" s="954"/>
      <c r="UUW39" s="954"/>
      <c r="UUX39" s="954"/>
      <c r="UUY39" s="954"/>
      <c r="UUZ39" s="954"/>
      <c r="UVA39" s="954"/>
      <c r="UVB39" s="954"/>
      <c r="UVC39" s="954"/>
      <c r="UVD39" s="954"/>
      <c r="UVE39" s="954"/>
      <c r="UVF39" s="954"/>
      <c r="UVG39" s="954"/>
      <c r="UVH39" s="954"/>
      <c r="UVI39" s="954"/>
      <c r="UVJ39" s="954"/>
      <c r="UVK39" s="954"/>
      <c r="UVL39" s="954"/>
      <c r="UVM39" s="954"/>
      <c r="UVN39" s="954"/>
      <c r="UVO39" s="954"/>
      <c r="UVP39" s="954"/>
      <c r="UVQ39" s="954"/>
      <c r="UVR39" s="954"/>
      <c r="UVS39" s="954"/>
      <c r="UVT39" s="954"/>
      <c r="UVU39" s="954"/>
      <c r="UVV39" s="954"/>
      <c r="UVW39" s="954"/>
      <c r="UVX39" s="954"/>
      <c r="UVY39" s="954"/>
      <c r="UVZ39" s="954"/>
      <c r="UWA39" s="954"/>
      <c r="UWB39" s="954"/>
      <c r="UWC39" s="954"/>
      <c r="UWD39" s="954"/>
      <c r="UWE39" s="954"/>
      <c r="UWF39" s="954"/>
      <c r="UWG39" s="954"/>
      <c r="UWH39" s="954"/>
      <c r="UWI39" s="954"/>
      <c r="UWJ39" s="954"/>
      <c r="UWK39" s="954"/>
      <c r="UWL39" s="954"/>
      <c r="UWM39" s="954"/>
      <c r="UWN39" s="954"/>
      <c r="UWO39" s="954"/>
      <c r="UWP39" s="954"/>
      <c r="UWQ39" s="954"/>
      <c r="UWR39" s="954"/>
      <c r="UWS39" s="954"/>
      <c r="UWT39" s="954"/>
      <c r="UWU39" s="954"/>
      <c r="UWV39" s="954"/>
      <c r="UWW39" s="954"/>
      <c r="UWX39" s="954"/>
      <c r="UWY39" s="954"/>
      <c r="UWZ39" s="954"/>
      <c r="UXA39" s="954"/>
      <c r="UXB39" s="954"/>
      <c r="UXC39" s="954"/>
      <c r="UXD39" s="954"/>
      <c r="UXE39" s="954"/>
      <c r="UXF39" s="954"/>
      <c r="UXG39" s="954"/>
      <c r="UXH39" s="954"/>
      <c r="UXI39" s="954"/>
      <c r="UXJ39" s="954"/>
      <c r="UXK39" s="954"/>
      <c r="UXL39" s="954"/>
      <c r="UXM39" s="954"/>
      <c r="UXN39" s="954"/>
      <c r="UXO39" s="954"/>
      <c r="UXP39" s="954"/>
      <c r="UXQ39" s="954"/>
      <c r="UXR39" s="954"/>
      <c r="UXS39" s="954"/>
      <c r="UXT39" s="954"/>
      <c r="UXU39" s="954"/>
      <c r="UXV39" s="954"/>
      <c r="UXW39" s="954"/>
      <c r="UXX39" s="954"/>
      <c r="UXY39" s="954"/>
      <c r="UXZ39" s="954"/>
      <c r="UYA39" s="954"/>
      <c r="UYB39" s="954"/>
      <c r="UYC39" s="954"/>
      <c r="UYD39" s="954"/>
      <c r="UYE39" s="954"/>
      <c r="UYF39" s="954"/>
      <c r="UYG39" s="954"/>
      <c r="UYH39" s="954"/>
      <c r="UYI39" s="954"/>
      <c r="UYJ39" s="954"/>
      <c r="UYK39" s="954"/>
      <c r="UYL39" s="954"/>
      <c r="UYM39" s="954"/>
      <c r="UYN39" s="954"/>
      <c r="UYO39" s="954"/>
      <c r="UYP39" s="954"/>
      <c r="UYQ39" s="954"/>
      <c r="UYR39" s="954"/>
      <c r="UYS39" s="954"/>
      <c r="UYT39" s="954"/>
      <c r="UYU39" s="954"/>
      <c r="UYV39" s="954"/>
      <c r="UYW39" s="954"/>
      <c r="UYX39" s="954"/>
      <c r="UYY39" s="954"/>
      <c r="UYZ39" s="954"/>
      <c r="UZA39" s="954"/>
      <c r="UZB39" s="954"/>
      <c r="UZC39" s="954"/>
      <c r="UZD39" s="954"/>
      <c r="UZE39" s="954"/>
      <c r="UZF39" s="954"/>
      <c r="UZG39" s="954"/>
      <c r="UZH39" s="954"/>
      <c r="UZI39" s="954"/>
      <c r="UZJ39" s="954"/>
      <c r="UZK39" s="954"/>
      <c r="UZL39" s="954"/>
      <c r="UZM39" s="954"/>
      <c r="UZN39" s="954"/>
      <c r="UZO39" s="954"/>
      <c r="UZP39" s="954"/>
      <c r="UZQ39" s="954"/>
      <c r="UZR39" s="954"/>
      <c r="UZS39" s="954"/>
      <c r="UZT39" s="954"/>
      <c r="UZU39" s="954"/>
      <c r="UZV39" s="954"/>
      <c r="UZW39" s="954"/>
      <c r="UZX39" s="954"/>
      <c r="UZY39" s="954"/>
      <c r="UZZ39" s="954"/>
      <c r="VAA39" s="954"/>
      <c r="VAB39" s="954"/>
      <c r="VAC39" s="954"/>
      <c r="VAD39" s="954"/>
      <c r="VAE39" s="954"/>
      <c r="VAF39" s="954"/>
      <c r="VAG39" s="954"/>
      <c r="VAH39" s="954"/>
      <c r="VAI39" s="954"/>
      <c r="VAJ39" s="954"/>
      <c r="VAK39" s="954"/>
      <c r="VAL39" s="954"/>
      <c r="VAM39" s="954"/>
      <c r="VAN39" s="954"/>
      <c r="VAO39" s="954"/>
      <c r="VAP39" s="954"/>
      <c r="VAQ39" s="954"/>
      <c r="VAR39" s="954"/>
      <c r="VAS39" s="954"/>
      <c r="VAT39" s="954"/>
      <c r="VAU39" s="954"/>
      <c r="VAV39" s="954"/>
      <c r="VAW39" s="954"/>
      <c r="VAX39" s="954"/>
      <c r="VAY39" s="954"/>
      <c r="VAZ39" s="954"/>
      <c r="VBA39" s="954"/>
      <c r="VBB39" s="954"/>
      <c r="VBC39" s="954"/>
      <c r="VBD39" s="954"/>
      <c r="VBE39" s="954"/>
      <c r="VBF39" s="954"/>
      <c r="VBG39" s="954"/>
      <c r="VBH39" s="954"/>
      <c r="VBI39" s="954"/>
      <c r="VBJ39" s="954"/>
      <c r="VBK39" s="954"/>
      <c r="VBL39" s="954"/>
      <c r="VBM39" s="954"/>
      <c r="VBN39" s="954"/>
      <c r="VBO39" s="954"/>
      <c r="VBP39" s="954"/>
      <c r="VBQ39" s="954"/>
      <c r="VBR39" s="954"/>
      <c r="VBS39" s="954"/>
      <c r="VBT39" s="954"/>
      <c r="VBU39" s="954"/>
      <c r="VBV39" s="954"/>
      <c r="VBW39" s="954"/>
      <c r="VBX39" s="954"/>
      <c r="VBY39" s="954"/>
      <c r="VBZ39" s="954"/>
      <c r="VCA39" s="954"/>
      <c r="VCB39" s="954"/>
      <c r="VCC39" s="954"/>
      <c r="VCD39" s="954"/>
      <c r="VCE39" s="954"/>
      <c r="VCF39" s="954"/>
      <c r="VCG39" s="954"/>
      <c r="VCH39" s="954"/>
      <c r="VCI39" s="954"/>
      <c r="VCJ39" s="954"/>
      <c r="VCK39" s="954"/>
      <c r="VCL39" s="954"/>
      <c r="VCM39" s="954"/>
      <c r="VCN39" s="954"/>
      <c r="VCO39" s="954"/>
      <c r="VCP39" s="954"/>
      <c r="VCQ39" s="954"/>
      <c r="VCR39" s="954"/>
      <c r="VCS39" s="954"/>
      <c r="VCT39" s="954"/>
      <c r="VCU39" s="954"/>
      <c r="VCV39" s="954"/>
      <c r="VCW39" s="954"/>
      <c r="VCX39" s="954"/>
      <c r="VCY39" s="954"/>
      <c r="VCZ39" s="954"/>
      <c r="VDA39" s="954"/>
      <c r="VDB39" s="954"/>
      <c r="VDC39" s="954"/>
      <c r="VDD39" s="954"/>
      <c r="VDE39" s="954"/>
      <c r="VDF39" s="954"/>
      <c r="VDG39" s="954"/>
      <c r="VDH39" s="954"/>
      <c r="VDI39" s="954"/>
      <c r="VDJ39" s="954"/>
      <c r="VDK39" s="954"/>
      <c r="VDL39" s="954"/>
      <c r="VDM39" s="954"/>
      <c r="VDN39" s="954"/>
      <c r="VDO39" s="954"/>
      <c r="VDP39" s="954"/>
      <c r="VDQ39" s="954"/>
      <c r="VDR39" s="954"/>
      <c r="VDS39" s="954"/>
      <c r="VDT39" s="954"/>
      <c r="VDU39" s="954"/>
      <c r="VDV39" s="954"/>
      <c r="VDW39" s="954"/>
      <c r="VDX39" s="954"/>
      <c r="VDY39" s="954"/>
      <c r="VDZ39" s="954"/>
      <c r="VEA39" s="954"/>
      <c r="VEB39" s="954"/>
      <c r="VEC39" s="954"/>
      <c r="VED39" s="954"/>
      <c r="VEE39" s="954"/>
      <c r="VEF39" s="954"/>
      <c r="VEG39" s="954"/>
      <c r="VEH39" s="954"/>
      <c r="VEI39" s="954"/>
      <c r="VEJ39" s="954"/>
      <c r="VEK39" s="954"/>
      <c r="VEL39" s="954"/>
      <c r="VEM39" s="954"/>
      <c r="VEN39" s="954"/>
      <c r="VEO39" s="954"/>
      <c r="VEP39" s="954"/>
      <c r="VEQ39" s="954"/>
      <c r="VER39" s="954"/>
      <c r="VES39" s="954"/>
      <c r="VET39" s="954"/>
      <c r="VEU39" s="954"/>
      <c r="VEV39" s="954"/>
      <c r="VEW39" s="954"/>
      <c r="VEX39" s="954"/>
      <c r="VEY39" s="954"/>
      <c r="VEZ39" s="954"/>
      <c r="VFA39" s="954"/>
      <c r="VFB39" s="954"/>
      <c r="VFC39" s="954"/>
      <c r="VFD39" s="954"/>
      <c r="VFE39" s="954"/>
      <c r="VFF39" s="954"/>
      <c r="VFG39" s="954"/>
      <c r="VFH39" s="954"/>
      <c r="VFI39" s="954"/>
      <c r="VFJ39" s="954"/>
      <c r="VFK39" s="954"/>
      <c r="VFL39" s="954"/>
      <c r="VFM39" s="954"/>
      <c r="VFN39" s="954"/>
      <c r="VFO39" s="954"/>
      <c r="VFP39" s="954"/>
      <c r="VFQ39" s="954"/>
      <c r="VFR39" s="954"/>
      <c r="VFS39" s="954"/>
      <c r="VFT39" s="954"/>
      <c r="VFU39" s="954"/>
      <c r="VFV39" s="954"/>
      <c r="VFW39" s="954"/>
      <c r="VFX39" s="954"/>
      <c r="VFY39" s="954"/>
      <c r="VFZ39" s="954"/>
      <c r="VGA39" s="954"/>
      <c r="VGB39" s="954"/>
      <c r="VGC39" s="954"/>
      <c r="VGD39" s="954"/>
      <c r="VGE39" s="954"/>
      <c r="VGF39" s="954"/>
      <c r="VGG39" s="954"/>
      <c r="VGH39" s="954"/>
      <c r="VGI39" s="954"/>
      <c r="VGJ39" s="954"/>
      <c r="VGK39" s="954"/>
      <c r="VGL39" s="954"/>
      <c r="VGM39" s="954"/>
      <c r="VGN39" s="954"/>
      <c r="VGO39" s="954"/>
      <c r="VGP39" s="954"/>
      <c r="VGQ39" s="954"/>
      <c r="VGR39" s="954"/>
      <c r="VGS39" s="954"/>
      <c r="VGT39" s="954"/>
      <c r="VGU39" s="954"/>
      <c r="VGV39" s="954"/>
      <c r="VGW39" s="954"/>
      <c r="VGX39" s="954"/>
      <c r="VGY39" s="954"/>
      <c r="VGZ39" s="954"/>
      <c r="VHA39" s="954"/>
      <c r="VHB39" s="954"/>
      <c r="VHC39" s="954"/>
      <c r="VHD39" s="954"/>
      <c r="VHE39" s="954"/>
      <c r="VHF39" s="954"/>
      <c r="VHG39" s="954"/>
      <c r="VHH39" s="954"/>
      <c r="VHI39" s="954"/>
      <c r="VHJ39" s="954"/>
      <c r="VHK39" s="954"/>
      <c r="VHL39" s="954"/>
      <c r="VHM39" s="954"/>
      <c r="VHN39" s="954"/>
      <c r="VHO39" s="954"/>
      <c r="VHP39" s="954"/>
      <c r="VHQ39" s="954"/>
      <c r="VHR39" s="954"/>
      <c r="VHS39" s="954"/>
      <c r="VHT39" s="954"/>
      <c r="VHU39" s="954"/>
      <c r="VHV39" s="954"/>
      <c r="VHW39" s="954"/>
      <c r="VHX39" s="954"/>
      <c r="VHY39" s="954"/>
      <c r="VHZ39" s="954"/>
      <c r="VIA39" s="954"/>
      <c r="VIB39" s="954"/>
      <c r="VIC39" s="954"/>
      <c r="VID39" s="954"/>
      <c r="VIE39" s="954"/>
      <c r="VIF39" s="954"/>
      <c r="VIG39" s="954"/>
      <c r="VIH39" s="954"/>
      <c r="VII39" s="954"/>
      <c r="VIJ39" s="954"/>
      <c r="VIK39" s="954"/>
      <c r="VIL39" s="954"/>
      <c r="VIM39" s="954"/>
      <c r="VIN39" s="954"/>
      <c r="VIO39" s="954"/>
      <c r="VIP39" s="954"/>
      <c r="VIQ39" s="954"/>
      <c r="VIR39" s="954"/>
      <c r="VIS39" s="954"/>
      <c r="VIT39" s="954"/>
      <c r="VIU39" s="954"/>
      <c r="VIV39" s="954"/>
      <c r="VIW39" s="954"/>
      <c r="VIX39" s="954"/>
      <c r="VIY39" s="954"/>
      <c r="VIZ39" s="954"/>
      <c r="VJA39" s="954"/>
      <c r="VJB39" s="954"/>
      <c r="VJC39" s="954"/>
      <c r="VJD39" s="954"/>
      <c r="VJE39" s="954"/>
      <c r="VJF39" s="954"/>
      <c r="VJG39" s="954"/>
      <c r="VJH39" s="954"/>
      <c r="VJI39" s="954"/>
      <c r="VJJ39" s="954"/>
      <c r="VJK39" s="954"/>
      <c r="VJL39" s="954"/>
      <c r="VJM39" s="954"/>
      <c r="VJN39" s="954"/>
      <c r="VJO39" s="954"/>
      <c r="VJP39" s="954"/>
      <c r="VJQ39" s="954"/>
      <c r="VJR39" s="954"/>
      <c r="VJS39" s="954"/>
      <c r="VJT39" s="954"/>
      <c r="VJU39" s="954"/>
      <c r="VJV39" s="954"/>
      <c r="VJW39" s="954"/>
      <c r="VJX39" s="954"/>
      <c r="VJY39" s="954"/>
      <c r="VJZ39" s="954"/>
      <c r="VKA39" s="954"/>
      <c r="VKB39" s="954"/>
      <c r="VKC39" s="954"/>
      <c r="VKD39" s="954"/>
      <c r="VKE39" s="954"/>
      <c r="VKF39" s="954"/>
      <c r="VKG39" s="954"/>
      <c r="VKH39" s="954"/>
      <c r="VKI39" s="954"/>
      <c r="VKJ39" s="954"/>
      <c r="VKK39" s="954"/>
      <c r="VKL39" s="954"/>
      <c r="VKM39" s="954"/>
      <c r="VKN39" s="954"/>
      <c r="VKO39" s="954"/>
      <c r="VKP39" s="954"/>
      <c r="VKQ39" s="954"/>
      <c r="VKR39" s="954"/>
      <c r="VKS39" s="954"/>
      <c r="VKT39" s="954"/>
      <c r="VKU39" s="954"/>
      <c r="VKV39" s="954"/>
      <c r="VKW39" s="954"/>
      <c r="VKX39" s="954"/>
      <c r="VKY39" s="954"/>
      <c r="VKZ39" s="954"/>
      <c r="VLA39" s="954"/>
      <c r="VLB39" s="954"/>
      <c r="VLC39" s="954"/>
      <c r="VLD39" s="954"/>
      <c r="VLE39" s="954"/>
      <c r="VLF39" s="954"/>
      <c r="VLG39" s="954"/>
      <c r="VLH39" s="954"/>
      <c r="VLI39" s="954"/>
      <c r="VLJ39" s="954"/>
      <c r="VLK39" s="954"/>
      <c r="VLL39" s="954"/>
      <c r="VLM39" s="954"/>
      <c r="VLN39" s="954"/>
      <c r="VLO39" s="954"/>
      <c r="VLP39" s="954"/>
      <c r="VLQ39" s="954"/>
      <c r="VLR39" s="954"/>
      <c r="VLS39" s="954"/>
      <c r="VLT39" s="954"/>
      <c r="VLU39" s="954"/>
      <c r="VLV39" s="954"/>
      <c r="VLW39" s="954"/>
      <c r="VLX39" s="954"/>
      <c r="VLY39" s="954"/>
      <c r="VLZ39" s="954"/>
      <c r="VMA39" s="954"/>
      <c r="VMB39" s="954"/>
      <c r="VMC39" s="954"/>
      <c r="VMD39" s="954"/>
      <c r="VME39" s="954"/>
      <c r="VMF39" s="954"/>
      <c r="VMG39" s="954"/>
      <c r="VMH39" s="954"/>
      <c r="VMI39" s="954"/>
      <c r="VMJ39" s="954"/>
      <c r="VMK39" s="954"/>
      <c r="VML39" s="954"/>
      <c r="VMM39" s="954"/>
      <c r="VMN39" s="954"/>
      <c r="VMO39" s="954"/>
      <c r="VMP39" s="954"/>
      <c r="VMQ39" s="954"/>
      <c r="VMR39" s="954"/>
      <c r="VMS39" s="954"/>
      <c r="VMT39" s="954"/>
      <c r="VMU39" s="954"/>
      <c r="VMV39" s="954"/>
      <c r="VMW39" s="954"/>
      <c r="VMX39" s="954"/>
      <c r="VMY39" s="954"/>
      <c r="VMZ39" s="954"/>
      <c r="VNA39" s="954"/>
      <c r="VNB39" s="954"/>
      <c r="VNC39" s="954"/>
      <c r="VND39" s="954"/>
      <c r="VNE39" s="954"/>
      <c r="VNF39" s="954"/>
      <c r="VNG39" s="954"/>
      <c r="VNH39" s="954"/>
      <c r="VNI39" s="954"/>
      <c r="VNJ39" s="954"/>
      <c r="VNK39" s="954"/>
      <c r="VNL39" s="954"/>
      <c r="VNM39" s="954"/>
      <c r="VNN39" s="954"/>
      <c r="VNO39" s="954"/>
      <c r="VNP39" s="954"/>
      <c r="VNQ39" s="954"/>
      <c r="VNR39" s="954"/>
      <c r="VNS39" s="954"/>
      <c r="VNT39" s="954"/>
      <c r="VNU39" s="954"/>
      <c r="VNV39" s="954"/>
      <c r="VNW39" s="954"/>
      <c r="VNX39" s="954"/>
      <c r="VNY39" s="954"/>
      <c r="VNZ39" s="954"/>
      <c r="VOA39" s="954"/>
      <c r="VOB39" s="954"/>
      <c r="VOC39" s="954"/>
      <c r="VOD39" s="954"/>
      <c r="VOE39" s="954"/>
      <c r="VOF39" s="954"/>
      <c r="VOG39" s="954"/>
      <c r="VOH39" s="954"/>
      <c r="VOI39" s="954"/>
      <c r="VOJ39" s="954"/>
      <c r="VOK39" s="954"/>
      <c r="VOL39" s="954"/>
      <c r="VOM39" s="954"/>
      <c r="VON39" s="954"/>
      <c r="VOO39" s="954"/>
      <c r="VOP39" s="954"/>
      <c r="VOQ39" s="954"/>
      <c r="VOR39" s="954"/>
      <c r="VOS39" s="954"/>
      <c r="VOT39" s="954"/>
      <c r="VOU39" s="954"/>
      <c r="VOV39" s="954"/>
      <c r="VOW39" s="954"/>
      <c r="VOX39" s="954"/>
      <c r="VOY39" s="954"/>
      <c r="VOZ39" s="954"/>
      <c r="VPA39" s="954"/>
      <c r="VPB39" s="954"/>
      <c r="VPC39" s="954"/>
      <c r="VPD39" s="954"/>
      <c r="VPE39" s="954"/>
      <c r="VPF39" s="954"/>
      <c r="VPG39" s="954"/>
      <c r="VPH39" s="954"/>
      <c r="VPI39" s="954"/>
      <c r="VPJ39" s="954"/>
      <c r="VPK39" s="954"/>
      <c r="VPL39" s="954"/>
      <c r="VPM39" s="954"/>
      <c r="VPN39" s="954"/>
      <c r="VPO39" s="954"/>
      <c r="VPP39" s="954"/>
      <c r="VPQ39" s="954"/>
      <c r="VPR39" s="954"/>
      <c r="VPS39" s="954"/>
      <c r="VPT39" s="954"/>
      <c r="VPU39" s="954"/>
      <c r="VPV39" s="954"/>
      <c r="VPW39" s="954"/>
      <c r="VPX39" s="954"/>
      <c r="VPY39" s="954"/>
      <c r="VPZ39" s="954"/>
      <c r="VQA39" s="954"/>
      <c r="VQB39" s="954"/>
      <c r="VQC39" s="954"/>
      <c r="VQD39" s="954"/>
      <c r="VQE39" s="954"/>
      <c r="VQF39" s="954"/>
      <c r="VQG39" s="954"/>
      <c r="VQH39" s="954"/>
      <c r="VQI39" s="954"/>
      <c r="VQJ39" s="954"/>
      <c r="VQK39" s="954"/>
      <c r="VQL39" s="954"/>
      <c r="VQM39" s="954"/>
      <c r="VQN39" s="954"/>
      <c r="VQO39" s="954"/>
      <c r="VQP39" s="954"/>
      <c r="VQQ39" s="954"/>
      <c r="VQR39" s="954"/>
      <c r="VQS39" s="954"/>
      <c r="VQT39" s="954"/>
      <c r="VQU39" s="954"/>
      <c r="VQV39" s="954"/>
      <c r="VQW39" s="954"/>
      <c r="VQX39" s="954"/>
      <c r="VQY39" s="954"/>
      <c r="VQZ39" s="954"/>
      <c r="VRA39" s="954"/>
      <c r="VRB39" s="954"/>
      <c r="VRC39" s="954"/>
      <c r="VRD39" s="954"/>
      <c r="VRE39" s="954"/>
      <c r="VRF39" s="954"/>
      <c r="VRG39" s="954"/>
      <c r="VRH39" s="954"/>
      <c r="VRI39" s="954"/>
      <c r="VRJ39" s="954"/>
      <c r="VRK39" s="954"/>
      <c r="VRL39" s="954"/>
      <c r="VRM39" s="954"/>
      <c r="VRN39" s="954"/>
      <c r="VRO39" s="954"/>
      <c r="VRP39" s="954"/>
      <c r="VRQ39" s="954"/>
      <c r="VRR39" s="954"/>
      <c r="VRS39" s="954"/>
      <c r="VRT39" s="954"/>
      <c r="VRU39" s="954"/>
      <c r="VRV39" s="954"/>
      <c r="VRW39" s="954"/>
      <c r="VRX39" s="954"/>
      <c r="VRY39" s="954"/>
      <c r="VRZ39" s="954"/>
      <c r="VSA39" s="954"/>
      <c r="VSB39" s="954"/>
      <c r="VSC39" s="954"/>
      <c r="VSD39" s="954"/>
      <c r="VSE39" s="954"/>
      <c r="VSF39" s="954"/>
      <c r="VSG39" s="954"/>
      <c r="VSH39" s="954"/>
      <c r="VSI39" s="954"/>
      <c r="VSJ39" s="954"/>
      <c r="VSK39" s="954"/>
      <c r="VSL39" s="954"/>
      <c r="VSM39" s="954"/>
      <c r="VSN39" s="954"/>
      <c r="VSO39" s="954"/>
      <c r="VSP39" s="954"/>
      <c r="VSQ39" s="954"/>
      <c r="VSR39" s="954"/>
      <c r="VSS39" s="954"/>
      <c r="VST39" s="954"/>
      <c r="VSU39" s="954"/>
      <c r="VSV39" s="954"/>
      <c r="VSW39" s="954"/>
      <c r="VSX39" s="954"/>
      <c r="VSY39" s="954"/>
      <c r="VSZ39" s="954"/>
      <c r="VTA39" s="954"/>
      <c r="VTB39" s="954"/>
      <c r="VTC39" s="954"/>
      <c r="VTD39" s="954"/>
      <c r="VTE39" s="954"/>
      <c r="VTF39" s="954"/>
      <c r="VTG39" s="954"/>
      <c r="VTH39" s="954"/>
      <c r="VTI39" s="954"/>
      <c r="VTJ39" s="954"/>
      <c r="VTK39" s="954"/>
      <c r="VTL39" s="954"/>
      <c r="VTM39" s="954"/>
      <c r="VTN39" s="954"/>
      <c r="VTO39" s="954"/>
      <c r="VTP39" s="954"/>
      <c r="VTQ39" s="954"/>
      <c r="VTR39" s="954"/>
      <c r="VTS39" s="954"/>
      <c r="VTT39" s="954"/>
      <c r="VTU39" s="954"/>
      <c r="VTV39" s="954"/>
      <c r="VTW39" s="954"/>
      <c r="VTX39" s="954"/>
      <c r="VTY39" s="954"/>
      <c r="VTZ39" s="954"/>
      <c r="VUA39" s="954"/>
      <c r="VUB39" s="954"/>
      <c r="VUC39" s="954"/>
      <c r="VUD39" s="954"/>
      <c r="VUE39" s="954"/>
      <c r="VUF39" s="954"/>
      <c r="VUG39" s="954"/>
      <c r="VUH39" s="954"/>
      <c r="VUI39" s="954"/>
      <c r="VUJ39" s="954"/>
      <c r="VUK39" s="954"/>
      <c r="VUL39" s="954"/>
      <c r="VUM39" s="954"/>
      <c r="VUN39" s="954"/>
      <c r="VUO39" s="954"/>
      <c r="VUP39" s="954"/>
      <c r="VUQ39" s="954"/>
      <c r="VUR39" s="954"/>
      <c r="VUS39" s="954"/>
      <c r="VUT39" s="954"/>
      <c r="VUU39" s="954"/>
      <c r="VUV39" s="954"/>
      <c r="VUW39" s="954"/>
      <c r="VUX39" s="954"/>
      <c r="VUY39" s="954"/>
      <c r="VUZ39" s="954"/>
      <c r="VVA39" s="954"/>
      <c r="VVB39" s="954"/>
      <c r="VVC39" s="954"/>
      <c r="VVD39" s="954"/>
      <c r="VVE39" s="954"/>
      <c r="VVF39" s="954"/>
      <c r="VVG39" s="954"/>
      <c r="VVH39" s="954"/>
      <c r="VVI39" s="954"/>
      <c r="VVJ39" s="954"/>
      <c r="VVK39" s="954"/>
      <c r="VVL39" s="954"/>
      <c r="VVM39" s="954"/>
      <c r="VVN39" s="954"/>
      <c r="VVO39" s="954"/>
      <c r="VVP39" s="954"/>
      <c r="VVQ39" s="954"/>
      <c r="VVR39" s="954"/>
      <c r="VVS39" s="954"/>
      <c r="VVT39" s="954"/>
      <c r="VVU39" s="954"/>
      <c r="VVV39" s="954"/>
      <c r="VVW39" s="954"/>
      <c r="VVX39" s="954"/>
      <c r="VVY39" s="954"/>
      <c r="VVZ39" s="954"/>
      <c r="VWA39" s="954"/>
      <c r="VWB39" s="954"/>
      <c r="VWC39" s="954"/>
      <c r="VWD39" s="954"/>
      <c r="VWE39" s="954"/>
      <c r="VWF39" s="954"/>
      <c r="VWG39" s="954"/>
      <c r="VWH39" s="954"/>
      <c r="VWI39" s="954"/>
      <c r="VWJ39" s="954"/>
      <c r="VWK39" s="954"/>
      <c r="VWL39" s="954"/>
      <c r="VWM39" s="954"/>
      <c r="VWN39" s="954"/>
      <c r="VWO39" s="954"/>
      <c r="VWP39" s="954"/>
      <c r="VWQ39" s="954"/>
      <c r="VWR39" s="954"/>
      <c r="VWS39" s="954"/>
      <c r="VWT39" s="954"/>
      <c r="VWU39" s="954"/>
      <c r="VWV39" s="954"/>
      <c r="VWW39" s="954"/>
      <c r="VWX39" s="954"/>
      <c r="VWY39" s="954"/>
      <c r="VWZ39" s="954"/>
      <c r="VXA39" s="954"/>
      <c r="VXB39" s="954"/>
      <c r="VXC39" s="954"/>
      <c r="VXD39" s="954"/>
      <c r="VXE39" s="954"/>
      <c r="VXF39" s="954"/>
      <c r="VXG39" s="954"/>
      <c r="VXH39" s="954"/>
      <c r="VXI39" s="954"/>
      <c r="VXJ39" s="954"/>
      <c r="VXK39" s="954"/>
      <c r="VXL39" s="954"/>
      <c r="VXM39" s="954"/>
      <c r="VXN39" s="954"/>
      <c r="VXO39" s="954"/>
      <c r="VXP39" s="954"/>
      <c r="VXQ39" s="954"/>
      <c r="VXR39" s="954"/>
      <c r="VXS39" s="954"/>
      <c r="VXT39" s="954"/>
      <c r="VXU39" s="954"/>
      <c r="VXV39" s="954"/>
      <c r="VXW39" s="954"/>
      <c r="VXX39" s="954"/>
      <c r="VXY39" s="954"/>
      <c r="VXZ39" s="954"/>
      <c r="VYA39" s="954"/>
      <c r="VYB39" s="954"/>
      <c r="VYC39" s="954"/>
      <c r="VYD39" s="954"/>
      <c r="VYE39" s="954"/>
      <c r="VYF39" s="954"/>
      <c r="VYG39" s="954"/>
      <c r="VYH39" s="954"/>
      <c r="VYI39" s="954"/>
      <c r="VYJ39" s="954"/>
      <c r="VYK39" s="954"/>
      <c r="VYL39" s="954"/>
      <c r="VYM39" s="954"/>
      <c r="VYN39" s="954"/>
      <c r="VYO39" s="954"/>
      <c r="VYP39" s="954"/>
      <c r="VYQ39" s="954"/>
      <c r="VYR39" s="954"/>
      <c r="VYS39" s="954"/>
      <c r="VYT39" s="954"/>
      <c r="VYU39" s="954"/>
      <c r="VYV39" s="954"/>
      <c r="VYW39" s="954"/>
      <c r="VYX39" s="954"/>
      <c r="VYY39" s="954"/>
      <c r="VYZ39" s="954"/>
      <c r="VZA39" s="954"/>
      <c r="VZB39" s="954"/>
      <c r="VZC39" s="954"/>
      <c r="VZD39" s="954"/>
      <c r="VZE39" s="954"/>
      <c r="VZF39" s="954"/>
      <c r="VZG39" s="954"/>
      <c r="VZH39" s="954"/>
      <c r="VZI39" s="954"/>
      <c r="VZJ39" s="954"/>
      <c r="VZK39" s="954"/>
      <c r="VZL39" s="954"/>
      <c r="VZM39" s="954"/>
      <c r="VZN39" s="954"/>
      <c r="VZO39" s="954"/>
      <c r="VZP39" s="954"/>
      <c r="VZQ39" s="954"/>
      <c r="VZR39" s="954"/>
      <c r="VZS39" s="954"/>
      <c r="VZT39" s="954"/>
      <c r="VZU39" s="954"/>
      <c r="VZV39" s="954"/>
      <c r="VZW39" s="954"/>
      <c r="VZX39" s="954"/>
      <c r="VZY39" s="954"/>
      <c r="VZZ39" s="954"/>
      <c r="WAA39" s="954"/>
      <c r="WAB39" s="954"/>
      <c r="WAC39" s="954"/>
      <c r="WAD39" s="954"/>
      <c r="WAE39" s="954"/>
      <c r="WAF39" s="954"/>
      <c r="WAG39" s="954"/>
      <c r="WAH39" s="954"/>
      <c r="WAI39" s="954"/>
      <c r="WAJ39" s="954"/>
      <c r="WAK39" s="954"/>
      <c r="WAL39" s="954"/>
      <c r="WAM39" s="954"/>
      <c r="WAN39" s="954"/>
      <c r="WAO39" s="954"/>
      <c r="WAP39" s="954"/>
      <c r="WAQ39" s="954"/>
      <c r="WAR39" s="954"/>
      <c r="WAS39" s="954"/>
      <c r="WAT39" s="954"/>
      <c r="WAU39" s="954"/>
      <c r="WAV39" s="954"/>
      <c r="WAW39" s="954"/>
      <c r="WAX39" s="954"/>
      <c r="WAY39" s="954"/>
      <c r="WAZ39" s="954"/>
      <c r="WBA39" s="954"/>
      <c r="WBB39" s="954"/>
      <c r="WBC39" s="954"/>
      <c r="WBD39" s="954"/>
      <c r="WBE39" s="954"/>
      <c r="WBF39" s="954"/>
      <c r="WBG39" s="954"/>
      <c r="WBH39" s="954"/>
      <c r="WBI39" s="954"/>
      <c r="WBJ39" s="954"/>
      <c r="WBK39" s="954"/>
      <c r="WBL39" s="954"/>
      <c r="WBM39" s="954"/>
      <c r="WBN39" s="954"/>
      <c r="WBO39" s="954"/>
      <c r="WBP39" s="954"/>
      <c r="WBQ39" s="954"/>
      <c r="WBR39" s="954"/>
      <c r="WBS39" s="954"/>
      <c r="WBT39" s="954"/>
      <c r="WBU39" s="954"/>
      <c r="WBV39" s="954"/>
      <c r="WBW39" s="954"/>
      <c r="WBX39" s="954"/>
      <c r="WBY39" s="954"/>
      <c r="WBZ39" s="954"/>
      <c r="WCA39" s="954"/>
      <c r="WCB39" s="954"/>
      <c r="WCC39" s="954"/>
      <c r="WCD39" s="954"/>
      <c r="WCE39" s="954"/>
      <c r="WCF39" s="954"/>
      <c r="WCG39" s="954"/>
      <c r="WCH39" s="954"/>
      <c r="WCI39" s="954"/>
      <c r="WCJ39" s="954"/>
      <c r="WCK39" s="954"/>
      <c r="WCL39" s="954"/>
      <c r="WCM39" s="954"/>
      <c r="WCN39" s="954"/>
      <c r="WCO39" s="954"/>
      <c r="WCP39" s="954"/>
      <c r="WCQ39" s="954"/>
      <c r="WCR39" s="954"/>
      <c r="WCS39" s="954"/>
      <c r="WCT39" s="954"/>
      <c r="WCU39" s="954"/>
      <c r="WCV39" s="954"/>
      <c r="WCW39" s="954"/>
      <c r="WCX39" s="954"/>
      <c r="WCY39" s="954"/>
      <c r="WCZ39" s="954"/>
      <c r="WDA39" s="954"/>
      <c r="WDB39" s="954"/>
      <c r="WDC39" s="954"/>
      <c r="WDD39" s="954"/>
      <c r="WDE39" s="954"/>
      <c r="WDF39" s="954"/>
      <c r="WDG39" s="954"/>
      <c r="WDH39" s="954"/>
      <c r="WDI39" s="954"/>
      <c r="WDJ39" s="954"/>
      <c r="WDK39" s="954"/>
      <c r="WDL39" s="954"/>
      <c r="WDM39" s="954"/>
      <c r="WDN39" s="954"/>
      <c r="WDO39" s="954"/>
      <c r="WDP39" s="954"/>
      <c r="WDQ39" s="954"/>
      <c r="WDR39" s="954"/>
      <c r="WDS39" s="954"/>
      <c r="WDT39" s="954"/>
      <c r="WDU39" s="954"/>
      <c r="WDV39" s="954"/>
      <c r="WDW39" s="954"/>
      <c r="WDX39" s="954"/>
      <c r="WDY39" s="954"/>
      <c r="WDZ39" s="954"/>
      <c r="WEA39" s="954"/>
      <c r="WEB39" s="954"/>
      <c r="WEC39" s="954"/>
      <c r="WED39" s="954"/>
      <c r="WEE39" s="954"/>
      <c r="WEF39" s="954"/>
      <c r="WEG39" s="954"/>
      <c r="WEH39" s="954"/>
      <c r="WEI39" s="954"/>
      <c r="WEJ39" s="954"/>
      <c r="WEK39" s="954"/>
      <c r="WEL39" s="954"/>
      <c r="WEM39" s="954"/>
      <c r="WEN39" s="954"/>
      <c r="WEO39" s="954"/>
      <c r="WEP39" s="954"/>
      <c r="WEQ39" s="954"/>
      <c r="WER39" s="954"/>
      <c r="WES39" s="954"/>
      <c r="WET39" s="954"/>
      <c r="WEU39" s="954"/>
      <c r="WEV39" s="954"/>
      <c r="WEW39" s="954"/>
      <c r="WEX39" s="954"/>
      <c r="WEY39" s="954"/>
      <c r="WEZ39" s="954"/>
      <c r="WFA39" s="954"/>
      <c r="WFB39" s="954"/>
      <c r="WFC39" s="954"/>
      <c r="WFD39" s="954"/>
      <c r="WFE39" s="954"/>
      <c r="WFF39" s="954"/>
      <c r="WFG39" s="954"/>
      <c r="WFH39" s="954"/>
      <c r="WFI39" s="954"/>
      <c r="WFJ39" s="954"/>
      <c r="WFK39" s="954"/>
      <c r="WFL39" s="954"/>
      <c r="WFM39" s="954"/>
      <c r="WFN39" s="954"/>
      <c r="WFO39" s="954"/>
      <c r="WFP39" s="954"/>
      <c r="WFQ39" s="954"/>
      <c r="WFR39" s="954"/>
      <c r="WFS39" s="954"/>
      <c r="WFT39" s="954"/>
      <c r="WFU39" s="954"/>
      <c r="WFV39" s="954"/>
      <c r="WFW39" s="954"/>
      <c r="WFX39" s="954"/>
      <c r="WFY39" s="954"/>
      <c r="WFZ39" s="954"/>
      <c r="WGA39" s="954"/>
      <c r="WGB39" s="954"/>
      <c r="WGC39" s="954"/>
      <c r="WGD39" s="954"/>
      <c r="WGE39" s="954"/>
      <c r="WGF39" s="954"/>
      <c r="WGG39" s="954"/>
      <c r="WGH39" s="954"/>
      <c r="WGI39" s="954"/>
      <c r="WGJ39" s="954"/>
      <c r="WGK39" s="954"/>
      <c r="WGL39" s="954"/>
      <c r="WGM39" s="954"/>
      <c r="WGN39" s="954"/>
      <c r="WGO39" s="954"/>
      <c r="WGP39" s="954"/>
      <c r="WGQ39" s="954"/>
      <c r="WGR39" s="954"/>
      <c r="WGS39" s="954"/>
      <c r="WGT39" s="954"/>
      <c r="WGU39" s="954"/>
      <c r="WGV39" s="954"/>
      <c r="WGW39" s="954"/>
      <c r="WGX39" s="954"/>
      <c r="WGY39" s="954"/>
      <c r="WGZ39" s="954"/>
      <c r="WHA39" s="954"/>
      <c r="WHB39" s="954"/>
      <c r="WHC39" s="954"/>
      <c r="WHD39" s="954"/>
      <c r="WHE39" s="954"/>
      <c r="WHF39" s="954"/>
      <c r="WHG39" s="954"/>
      <c r="WHH39" s="954"/>
      <c r="WHI39" s="954"/>
      <c r="WHJ39" s="954"/>
      <c r="WHK39" s="954"/>
      <c r="WHL39" s="954"/>
      <c r="WHM39" s="954"/>
      <c r="WHN39" s="954"/>
      <c r="WHO39" s="954"/>
      <c r="WHP39" s="954"/>
      <c r="WHQ39" s="954"/>
      <c r="WHR39" s="954"/>
      <c r="WHS39" s="954"/>
      <c r="WHT39" s="954"/>
      <c r="WHU39" s="954"/>
      <c r="WHV39" s="954"/>
      <c r="WHW39" s="954"/>
      <c r="WHX39" s="954"/>
      <c r="WHY39" s="954"/>
      <c r="WHZ39" s="954"/>
      <c r="WIA39" s="954"/>
      <c r="WIB39" s="954"/>
      <c r="WIC39" s="954"/>
      <c r="WID39" s="954"/>
      <c r="WIE39" s="954"/>
      <c r="WIF39" s="954"/>
      <c r="WIG39" s="954"/>
      <c r="WIH39" s="954"/>
      <c r="WII39" s="954"/>
      <c r="WIJ39" s="954"/>
      <c r="WIK39" s="954"/>
      <c r="WIL39" s="954"/>
      <c r="WIM39" s="954"/>
      <c r="WIN39" s="954"/>
      <c r="WIO39" s="954"/>
      <c r="WIP39" s="954"/>
      <c r="WIQ39" s="954"/>
      <c r="WIR39" s="954"/>
      <c r="WIS39" s="954"/>
      <c r="WIT39" s="954"/>
      <c r="WIU39" s="954"/>
      <c r="WIV39" s="954"/>
      <c r="WIW39" s="954"/>
      <c r="WIX39" s="954"/>
      <c r="WIY39" s="954"/>
      <c r="WIZ39" s="954"/>
      <c r="WJA39" s="954"/>
      <c r="WJB39" s="954"/>
      <c r="WJC39" s="954"/>
      <c r="WJD39" s="954"/>
      <c r="WJE39" s="954"/>
      <c r="WJF39" s="954"/>
      <c r="WJG39" s="954"/>
      <c r="WJH39" s="954"/>
      <c r="WJI39" s="954"/>
      <c r="WJJ39" s="954"/>
      <c r="WJK39" s="954"/>
      <c r="WJL39" s="954"/>
      <c r="WJM39" s="954"/>
      <c r="WJN39" s="954"/>
      <c r="WJO39" s="954"/>
      <c r="WJP39" s="954"/>
      <c r="WJQ39" s="954"/>
      <c r="WJR39" s="954"/>
      <c r="WJS39" s="954"/>
      <c r="WJT39" s="954"/>
      <c r="WJU39" s="954"/>
      <c r="WJV39" s="954"/>
      <c r="WJW39" s="954"/>
      <c r="WJX39" s="954"/>
      <c r="WJY39" s="954"/>
      <c r="WJZ39" s="954"/>
      <c r="WKA39" s="954"/>
      <c r="WKB39" s="954"/>
      <c r="WKC39" s="954"/>
      <c r="WKD39" s="954"/>
      <c r="WKE39" s="954"/>
      <c r="WKF39" s="954"/>
      <c r="WKG39" s="954"/>
      <c r="WKH39" s="954"/>
      <c r="WKI39" s="954"/>
      <c r="WKJ39" s="954"/>
      <c r="WKK39" s="954"/>
      <c r="WKL39" s="954"/>
      <c r="WKM39" s="954"/>
      <c r="WKN39" s="954"/>
      <c r="WKO39" s="954"/>
      <c r="WKP39" s="954"/>
      <c r="WKQ39" s="954"/>
      <c r="WKR39" s="954"/>
      <c r="WKS39" s="954"/>
      <c r="WKT39" s="954"/>
      <c r="WKU39" s="954"/>
      <c r="WKV39" s="954"/>
      <c r="WKW39" s="954"/>
      <c r="WKX39" s="954"/>
      <c r="WKY39" s="954"/>
      <c r="WKZ39" s="954"/>
      <c r="WLA39" s="954"/>
      <c r="WLB39" s="954"/>
      <c r="WLC39" s="954"/>
      <c r="WLD39" s="954"/>
      <c r="WLE39" s="954"/>
      <c r="WLF39" s="954"/>
      <c r="WLG39" s="954"/>
      <c r="WLH39" s="954"/>
      <c r="WLI39" s="954"/>
      <c r="WLJ39" s="954"/>
      <c r="WLK39" s="954"/>
      <c r="WLL39" s="954"/>
      <c r="WLM39" s="954"/>
      <c r="WLN39" s="954"/>
      <c r="WLO39" s="954"/>
      <c r="WLP39" s="954"/>
      <c r="WLQ39" s="954"/>
      <c r="WLR39" s="954"/>
      <c r="WLS39" s="954"/>
      <c r="WLT39" s="954"/>
      <c r="WLU39" s="954"/>
      <c r="WLV39" s="954"/>
      <c r="WLW39" s="954"/>
      <c r="WLX39" s="954"/>
      <c r="WLY39" s="954"/>
      <c r="WLZ39" s="954"/>
      <c r="WMA39" s="954"/>
      <c r="WMB39" s="954"/>
      <c r="WMC39" s="954"/>
      <c r="WMD39" s="954"/>
      <c r="WME39" s="954"/>
      <c r="WMF39" s="954"/>
      <c r="WMG39" s="954"/>
      <c r="WMH39" s="954"/>
      <c r="WMI39" s="954"/>
      <c r="WMJ39" s="954"/>
      <c r="WMK39" s="954"/>
      <c r="WML39" s="954"/>
      <c r="WMM39" s="954"/>
      <c r="WMN39" s="954"/>
      <c r="WMO39" s="954"/>
      <c r="WMP39" s="954"/>
      <c r="WMQ39" s="954"/>
      <c r="WMR39" s="954"/>
      <c r="WMS39" s="954"/>
      <c r="WMT39" s="954"/>
      <c r="WMU39" s="954"/>
      <c r="WMV39" s="954"/>
      <c r="WMW39" s="954"/>
      <c r="WMX39" s="954"/>
      <c r="WMY39" s="954"/>
      <c r="WMZ39" s="954"/>
      <c r="WNA39" s="954"/>
      <c r="WNB39" s="954"/>
      <c r="WNC39" s="954"/>
      <c r="WND39" s="954"/>
      <c r="WNE39" s="954"/>
      <c r="WNF39" s="954"/>
      <c r="WNG39" s="954"/>
      <c r="WNH39" s="954"/>
      <c r="WNI39" s="954"/>
      <c r="WNJ39" s="954"/>
      <c r="WNK39" s="954"/>
      <c r="WNL39" s="954"/>
      <c r="WNM39" s="954"/>
      <c r="WNN39" s="954"/>
      <c r="WNO39" s="954"/>
      <c r="WNP39" s="954"/>
      <c r="WNQ39" s="954"/>
      <c r="WNR39" s="954"/>
      <c r="WNS39" s="954"/>
      <c r="WNT39" s="954"/>
      <c r="WNU39" s="954"/>
      <c r="WNV39" s="954"/>
      <c r="WNW39" s="954"/>
      <c r="WNX39" s="954"/>
      <c r="WNY39" s="954"/>
      <c r="WNZ39" s="954"/>
      <c r="WOA39" s="954"/>
      <c r="WOB39" s="954"/>
      <c r="WOC39" s="954"/>
      <c r="WOD39" s="954"/>
      <c r="WOE39" s="954"/>
      <c r="WOF39" s="954"/>
      <c r="WOG39" s="954"/>
      <c r="WOH39" s="954"/>
      <c r="WOI39" s="954"/>
      <c r="WOJ39" s="954"/>
      <c r="WOK39" s="954"/>
      <c r="WOL39" s="954"/>
      <c r="WOM39" s="954"/>
      <c r="WON39" s="954"/>
      <c r="WOO39" s="954"/>
      <c r="WOP39" s="954"/>
      <c r="WOQ39" s="954"/>
      <c r="WOR39" s="954"/>
      <c r="WOS39" s="954"/>
      <c r="WOT39" s="954"/>
      <c r="WOU39" s="954"/>
      <c r="WOV39" s="954"/>
      <c r="WOW39" s="954"/>
      <c r="WOX39" s="954"/>
      <c r="WOY39" s="954"/>
      <c r="WOZ39" s="954"/>
      <c r="WPA39" s="954"/>
      <c r="WPB39" s="954"/>
      <c r="WPC39" s="954"/>
      <c r="WPD39" s="954"/>
      <c r="WPE39" s="954"/>
      <c r="WPF39" s="954"/>
      <c r="WPG39" s="954"/>
      <c r="WPH39" s="954"/>
      <c r="WPI39" s="954"/>
      <c r="WPJ39" s="954"/>
      <c r="WPK39" s="954"/>
      <c r="WPL39" s="954"/>
      <c r="WPM39" s="954"/>
      <c r="WPN39" s="954"/>
      <c r="WPO39" s="954"/>
      <c r="WPP39" s="954"/>
      <c r="WPQ39" s="954"/>
      <c r="WPR39" s="954"/>
      <c r="WPS39" s="954"/>
      <c r="WPT39" s="954"/>
      <c r="WPU39" s="954"/>
      <c r="WPV39" s="954"/>
      <c r="WPW39" s="954"/>
      <c r="WPX39" s="954"/>
      <c r="WPY39" s="954"/>
      <c r="WPZ39" s="954"/>
      <c r="WQA39" s="954"/>
      <c r="WQB39" s="954"/>
      <c r="WQC39" s="954"/>
      <c r="WQD39" s="954"/>
      <c r="WQE39" s="954"/>
      <c r="WQF39" s="954"/>
      <c r="WQG39" s="954"/>
      <c r="WQH39" s="954"/>
      <c r="WQI39" s="954"/>
      <c r="WQJ39" s="954"/>
      <c r="WQK39" s="954"/>
      <c r="WQL39" s="954"/>
      <c r="WQM39" s="954"/>
      <c r="WQN39" s="954"/>
      <c r="WQO39" s="954"/>
      <c r="WQP39" s="954"/>
      <c r="WQQ39" s="954"/>
      <c r="WQR39" s="954"/>
      <c r="WQS39" s="954"/>
      <c r="WQT39" s="954"/>
      <c r="WQU39" s="954"/>
      <c r="WQV39" s="954"/>
      <c r="WQW39" s="954"/>
      <c r="WQX39" s="954"/>
      <c r="WQY39" s="954"/>
      <c r="WQZ39" s="954"/>
      <c r="WRA39" s="954"/>
      <c r="WRB39" s="954"/>
      <c r="WRC39" s="954"/>
      <c r="WRD39" s="954"/>
      <c r="WRE39" s="954"/>
      <c r="WRF39" s="954"/>
      <c r="WRG39" s="954"/>
      <c r="WRH39" s="954"/>
      <c r="WRI39" s="954"/>
      <c r="WRJ39" s="954"/>
      <c r="WRK39" s="954"/>
      <c r="WRL39" s="954"/>
      <c r="WRM39" s="954"/>
      <c r="WRN39" s="954"/>
      <c r="WRO39" s="954"/>
      <c r="WRP39" s="954"/>
      <c r="WRQ39" s="954"/>
      <c r="WRR39" s="954"/>
      <c r="WRS39" s="954"/>
      <c r="WRT39" s="954"/>
      <c r="WRU39" s="954"/>
      <c r="WRV39" s="954"/>
      <c r="WRW39" s="954"/>
      <c r="WRX39" s="954"/>
      <c r="WRY39" s="954"/>
      <c r="WRZ39" s="954"/>
      <c r="WSA39" s="954"/>
      <c r="WSB39" s="954"/>
      <c r="WSC39" s="954"/>
      <c r="WSD39" s="954"/>
      <c r="WSE39" s="954"/>
      <c r="WSF39" s="954"/>
      <c r="WSG39" s="954"/>
      <c r="WSH39" s="954"/>
      <c r="WSI39" s="954"/>
      <c r="WSJ39" s="954"/>
      <c r="WSK39" s="954"/>
      <c r="WSL39" s="954"/>
      <c r="WSM39" s="954"/>
      <c r="WSN39" s="954"/>
      <c r="WSO39" s="954"/>
      <c r="WSP39" s="954"/>
      <c r="WSQ39" s="954"/>
      <c r="WSR39" s="954"/>
      <c r="WSS39" s="954"/>
      <c r="WST39" s="954"/>
      <c r="WSU39" s="954"/>
      <c r="WSV39" s="954"/>
      <c r="WSW39" s="954"/>
      <c r="WSX39" s="954"/>
      <c r="WSY39" s="954"/>
      <c r="WSZ39" s="954"/>
      <c r="WTA39" s="954"/>
      <c r="WTB39" s="954"/>
      <c r="WTC39" s="954"/>
      <c r="WTD39" s="954"/>
      <c r="WTE39" s="954"/>
      <c r="WTF39" s="954"/>
      <c r="WTG39" s="954"/>
      <c r="WTH39" s="954"/>
      <c r="WTI39" s="954"/>
      <c r="WTJ39" s="954"/>
      <c r="WTK39" s="954"/>
      <c r="WTL39" s="954"/>
      <c r="WTM39" s="954"/>
      <c r="WTN39" s="954"/>
      <c r="WTO39" s="954"/>
      <c r="WTP39" s="954"/>
      <c r="WTQ39" s="954"/>
      <c r="WTR39" s="954"/>
      <c r="WTS39" s="954"/>
      <c r="WTT39" s="954"/>
      <c r="WTU39" s="954"/>
      <c r="WTV39" s="954"/>
      <c r="WTW39" s="954"/>
      <c r="WTX39" s="954"/>
      <c r="WTY39" s="954"/>
      <c r="WTZ39" s="954"/>
      <c r="WUA39" s="954"/>
      <c r="WUB39" s="954"/>
      <c r="WUC39" s="954"/>
      <c r="WUD39" s="954"/>
      <c r="WUE39" s="954"/>
      <c r="WUF39" s="954"/>
      <c r="WUG39" s="954"/>
      <c r="WUH39" s="954"/>
      <c r="WUI39" s="954"/>
      <c r="WUJ39" s="954"/>
      <c r="WUK39" s="954"/>
      <c r="WUL39" s="954"/>
      <c r="WUM39" s="954"/>
      <c r="WUN39" s="954"/>
      <c r="WUO39" s="954"/>
      <c r="WUP39" s="954"/>
      <c r="WUQ39" s="954"/>
      <c r="WUR39" s="954"/>
      <c r="WUS39" s="954"/>
      <c r="WUT39" s="954"/>
      <c r="WUU39" s="954"/>
      <c r="WUV39" s="954"/>
      <c r="WUW39" s="954"/>
      <c r="WUX39" s="954"/>
      <c r="WUY39" s="954"/>
      <c r="WUZ39" s="954"/>
      <c r="WVA39" s="954"/>
      <c r="WVB39" s="954"/>
      <c r="WVC39" s="954"/>
      <c r="WVD39" s="954"/>
      <c r="WVE39" s="954"/>
      <c r="WVF39" s="954"/>
      <c r="WVG39" s="954"/>
      <c r="WVH39" s="954"/>
      <c r="WVI39" s="954"/>
      <c r="WVJ39" s="954"/>
      <c r="WVK39" s="954"/>
      <c r="WVL39" s="954"/>
      <c r="WVM39" s="954"/>
      <c r="WVN39" s="954"/>
      <c r="WVO39" s="954"/>
      <c r="WVP39" s="954"/>
      <c r="WVQ39" s="954"/>
      <c r="WVR39" s="954"/>
      <c r="WVS39" s="954"/>
      <c r="WVT39" s="954"/>
      <c r="WVU39" s="954"/>
      <c r="WVV39" s="954"/>
      <c r="WVW39" s="954"/>
      <c r="WVX39" s="954"/>
      <c r="WVY39" s="954"/>
      <c r="WVZ39" s="954"/>
      <c r="WWA39" s="954"/>
      <c r="WWB39" s="954"/>
      <c r="WWC39" s="954"/>
      <c r="WWD39" s="954"/>
      <c r="WWE39" s="954"/>
      <c r="WWF39" s="954"/>
      <c r="WWG39" s="954"/>
      <c r="WWH39" s="954"/>
      <c r="WWI39" s="954"/>
      <c r="WWJ39" s="954"/>
      <c r="WWK39" s="954"/>
      <c r="WWL39" s="954"/>
      <c r="WWM39" s="954"/>
      <c r="WWN39" s="954"/>
      <c r="WWO39" s="954"/>
      <c r="WWP39" s="954"/>
      <c r="WWQ39" s="954"/>
      <c r="WWR39" s="954"/>
      <c r="WWS39" s="954"/>
      <c r="WWT39" s="954"/>
      <c r="WWU39" s="954"/>
      <c r="WWV39" s="954"/>
      <c r="WWW39" s="954"/>
      <c r="WWX39" s="954"/>
      <c r="WWY39" s="954"/>
      <c r="WWZ39" s="954"/>
      <c r="WXA39" s="954"/>
      <c r="WXB39" s="954"/>
      <c r="WXC39" s="954"/>
      <c r="WXD39" s="954"/>
      <c r="WXE39" s="954"/>
      <c r="WXF39" s="954"/>
      <c r="WXG39" s="954"/>
      <c r="WXH39" s="954"/>
      <c r="WXI39" s="954"/>
      <c r="WXJ39" s="954"/>
    </row>
    <row r="40" spans="1:16182" s="953" customFormat="1" x14ac:dyDescent="0.25">
      <c r="A40" s="570"/>
      <c r="B40" s="909"/>
      <c r="C40" s="909"/>
      <c r="D40" s="911" t="s">
        <v>725</v>
      </c>
      <c r="E40" s="911"/>
      <c r="F40" s="911"/>
      <c r="G40" s="911"/>
      <c r="H40" s="934"/>
      <c r="I40" s="934"/>
      <c r="J40" s="934"/>
      <c r="K40" s="934"/>
      <c r="L40" s="934"/>
      <c r="M40" s="934"/>
      <c r="N40" s="934"/>
      <c r="O40" s="934"/>
      <c r="P40" s="934"/>
      <c r="Q40" s="934"/>
      <c r="R40" s="934"/>
      <c r="S40" s="927"/>
      <c r="T40" s="927"/>
      <c r="U40" s="927"/>
      <c r="V40" s="927"/>
      <c r="W40" s="927"/>
      <c r="X40" s="927"/>
      <c r="Y40" s="927"/>
      <c r="Z40" s="927"/>
      <c r="AA40" s="927"/>
      <c r="AB40" s="927"/>
      <c r="AC40" s="927"/>
      <c r="AD40" s="927"/>
      <c r="AE40" s="927"/>
      <c r="AF40" s="927"/>
      <c r="AG40" s="927"/>
      <c r="AH40" s="927"/>
      <c r="AI40" s="927"/>
      <c r="AJ40" s="927"/>
      <c r="AK40" s="927"/>
      <c r="AL40" s="927"/>
      <c r="AM40" s="927"/>
      <c r="AN40" s="927"/>
      <c r="AO40" s="927"/>
      <c r="AP40" s="927"/>
      <c r="AQ40" s="927"/>
      <c r="AR40" s="927"/>
      <c r="AS40" s="927"/>
      <c r="AT40" s="927"/>
      <c r="AU40" s="927"/>
      <c r="AV40" s="927"/>
      <c r="AW40" s="927"/>
      <c r="AX40" s="927"/>
      <c r="AY40" s="927"/>
      <c r="AZ40" s="927"/>
      <c r="BA40" s="927"/>
      <c r="BB40" s="927"/>
      <c r="BC40" s="927"/>
      <c r="BD40" s="927"/>
      <c r="BE40" s="927"/>
      <c r="BF40" s="927"/>
      <c r="BG40" s="927"/>
      <c r="BH40" s="927"/>
      <c r="BI40" s="927"/>
      <c r="BJ40" s="927"/>
      <c r="BK40" s="927"/>
      <c r="BL40" s="927"/>
      <c r="BM40" s="927"/>
      <c r="BN40" s="927"/>
      <c r="BO40" s="927"/>
      <c r="BP40" s="927"/>
      <c r="BQ40" s="927"/>
      <c r="BR40" s="927"/>
      <c r="BS40" s="927"/>
      <c r="BT40" s="927"/>
      <c r="BU40" s="927"/>
      <c r="BV40" s="927"/>
      <c r="BW40" s="927"/>
      <c r="BX40" s="927"/>
      <c r="BY40" s="927"/>
      <c r="BZ40" s="927"/>
      <c r="CA40" s="927"/>
      <c r="CB40" s="927"/>
      <c r="CC40" s="927"/>
    </row>
    <row r="41" spans="1:16182" s="953" customFormat="1" x14ac:dyDescent="0.25">
      <c r="A41" s="570"/>
      <c r="B41" s="909"/>
      <c r="C41" s="909"/>
      <c r="D41" s="909" t="s">
        <v>726</v>
      </c>
      <c r="E41" s="909"/>
      <c r="F41" s="909"/>
      <c r="G41" s="909"/>
      <c r="H41" s="939"/>
      <c r="I41" s="939"/>
      <c r="J41" s="939"/>
      <c r="K41" s="939"/>
      <c r="L41" s="939"/>
      <c r="M41" s="939"/>
      <c r="N41" s="939"/>
      <c r="O41" s="939"/>
      <c r="P41" s="939"/>
      <c r="Q41" s="939"/>
      <c r="R41" s="930"/>
      <c r="S41" s="930"/>
      <c r="T41" s="930"/>
      <c r="U41" s="930"/>
      <c r="V41" s="930"/>
      <c r="W41" s="930"/>
      <c r="X41" s="930"/>
      <c r="Y41" s="930"/>
      <c r="Z41" s="930"/>
      <c r="AA41" s="930"/>
      <c r="AB41" s="930"/>
      <c r="AC41" s="930"/>
      <c r="AD41" s="930"/>
      <c r="AE41" s="930"/>
      <c r="AF41" s="930"/>
      <c r="AG41" s="93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row>
    <row r="42" spans="1:16182" s="953" customFormat="1" x14ac:dyDescent="0.25">
      <c r="A42" s="570"/>
      <c r="B42" s="909"/>
      <c r="C42" s="909"/>
      <c r="D42" s="909" t="s">
        <v>727</v>
      </c>
      <c r="E42" s="909"/>
      <c r="F42" s="909"/>
      <c r="G42" s="909"/>
      <c r="H42" s="939"/>
      <c r="I42" s="939"/>
      <c r="J42" s="939"/>
      <c r="K42" s="939"/>
      <c r="L42" s="939"/>
      <c r="M42" s="939"/>
      <c r="N42" s="939"/>
      <c r="O42" s="939"/>
      <c r="P42" s="939"/>
      <c r="Q42" s="939"/>
      <c r="R42" s="930"/>
      <c r="S42" s="930"/>
      <c r="T42" s="930"/>
      <c r="U42" s="930"/>
      <c r="V42" s="930"/>
      <c r="W42" s="930"/>
      <c r="X42" s="930"/>
      <c r="Y42" s="930"/>
      <c r="Z42" s="930"/>
      <c r="AA42" s="930"/>
      <c r="AB42" s="930"/>
      <c r="AC42" s="930"/>
      <c r="AD42" s="930"/>
      <c r="AE42" s="930"/>
      <c r="AF42" s="930"/>
      <c r="AG42" s="93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row>
    <row r="43" spans="1:16182" s="953" customFormat="1" x14ac:dyDescent="0.25">
      <c r="A43" s="570"/>
      <c r="B43" s="909"/>
      <c r="C43" s="909"/>
      <c r="D43" s="909" t="s">
        <v>730</v>
      </c>
      <c r="E43" s="909"/>
      <c r="F43" s="909"/>
      <c r="G43" s="909"/>
      <c r="H43" s="939"/>
      <c r="I43" s="939"/>
      <c r="J43" s="939"/>
      <c r="K43" s="939"/>
      <c r="L43" s="939"/>
      <c r="M43" s="939"/>
      <c r="N43" s="939"/>
      <c r="O43" s="939"/>
      <c r="P43" s="939"/>
      <c r="Q43" s="939"/>
      <c r="R43" s="930"/>
      <c r="S43" s="930"/>
      <c r="T43" s="930"/>
      <c r="U43" s="930"/>
      <c r="V43" s="930"/>
      <c r="W43" s="930"/>
      <c r="X43" s="930"/>
      <c r="Y43" s="930"/>
      <c r="Z43" s="930"/>
      <c r="AA43" s="930"/>
      <c r="AB43" s="930"/>
      <c r="AC43" s="930"/>
      <c r="AD43" s="930"/>
      <c r="AE43" s="930"/>
      <c r="AF43" s="930"/>
      <c r="AG43" s="93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row>
    <row r="44" spans="1:16182" s="953" customFormat="1" x14ac:dyDescent="0.25">
      <c r="A44" s="570"/>
      <c r="B44" s="909"/>
      <c r="C44" s="909"/>
      <c r="D44" s="911" t="s">
        <v>358</v>
      </c>
      <c r="E44" s="911"/>
      <c r="F44" s="911"/>
      <c r="G44" s="911"/>
      <c r="H44" s="934"/>
      <c r="I44" s="934"/>
      <c r="J44" s="934"/>
      <c r="K44" s="934"/>
      <c r="L44" s="934"/>
      <c r="M44" s="934"/>
      <c r="N44" s="934"/>
      <c r="O44" s="934"/>
      <c r="P44" s="934"/>
      <c r="Q44" s="934"/>
      <c r="R44" s="934"/>
      <c r="S44" s="927"/>
      <c r="T44" s="927"/>
      <c r="U44" s="927"/>
      <c r="V44" s="927"/>
      <c r="W44" s="927"/>
      <c r="X44" s="927"/>
      <c r="Y44" s="927"/>
      <c r="Z44" s="927"/>
      <c r="AA44" s="927"/>
      <c r="AB44" s="927"/>
      <c r="AC44" s="927"/>
      <c r="AD44" s="927"/>
      <c r="AE44" s="927"/>
      <c r="AF44" s="927"/>
      <c r="AG44" s="927"/>
      <c r="AH44" s="927"/>
      <c r="AI44" s="927"/>
      <c r="AJ44" s="927"/>
      <c r="AK44" s="927"/>
      <c r="AL44" s="927"/>
      <c r="AM44" s="927"/>
      <c r="AN44" s="927"/>
      <c r="AO44" s="927"/>
      <c r="AP44" s="927"/>
      <c r="AQ44" s="927"/>
      <c r="AR44" s="927"/>
      <c r="AS44" s="927"/>
      <c r="AT44" s="927"/>
      <c r="AU44" s="927"/>
      <c r="AV44" s="927"/>
      <c r="AW44" s="927"/>
      <c r="AX44" s="927"/>
      <c r="AY44" s="927"/>
      <c r="AZ44" s="927"/>
      <c r="BA44" s="927"/>
      <c r="BB44" s="927"/>
      <c r="BC44" s="927"/>
      <c r="BD44" s="927"/>
      <c r="BE44" s="927"/>
      <c r="BF44" s="927"/>
      <c r="BG44" s="927"/>
      <c r="BH44" s="927"/>
      <c r="BI44" s="927"/>
      <c r="BJ44" s="927"/>
      <c r="BK44" s="927"/>
      <c r="BL44" s="927"/>
      <c r="BM44" s="927"/>
      <c r="BN44" s="927"/>
      <c r="BO44" s="927"/>
      <c r="BP44" s="927"/>
      <c r="BQ44" s="927"/>
      <c r="BR44" s="927"/>
      <c r="BS44" s="927"/>
      <c r="BT44" s="927"/>
      <c r="BU44" s="927"/>
      <c r="BV44" s="927"/>
      <c r="BW44" s="927"/>
      <c r="BX44" s="927"/>
      <c r="BY44" s="927"/>
      <c r="BZ44" s="927"/>
      <c r="CA44" s="927"/>
      <c r="CB44" s="927"/>
      <c r="CC44" s="927"/>
    </row>
    <row r="45" spans="1:16182" s="953" customFormat="1" x14ac:dyDescent="0.25">
      <c r="A45" s="570"/>
      <c r="B45" s="909"/>
      <c r="C45" s="909"/>
      <c r="D45" s="909" t="s">
        <v>728</v>
      </c>
      <c r="E45" s="909"/>
      <c r="F45" s="909"/>
      <c r="G45" s="909"/>
      <c r="H45" s="932"/>
      <c r="I45" s="932"/>
      <c r="J45" s="932"/>
      <c r="K45" s="932"/>
      <c r="L45" s="932"/>
      <c r="M45" s="932"/>
      <c r="N45" s="932"/>
      <c r="O45" s="932"/>
      <c r="P45" s="932"/>
      <c r="Q45" s="932"/>
      <c r="R45" s="932"/>
      <c r="S45" s="932"/>
      <c r="T45" s="932"/>
      <c r="U45" s="932"/>
      <c r="V45" s="932"/>
      <c r="W45" s="932"/>
      <c r="X45" s="932"/>
      <c r="Y45" s="932"/>
      <c r="Z45" s="932"/>
      <c r="AA45" s="932"/>
      <c r="AB45" s="932"/>
      <c r="AC45" s="932"/>
      <c r="AD45" s="932"/>
      <c r="AE45" s="932"/>
      <c r="AF45" s="932"/>
      <c r="AG45" s="932"/>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row>
    <row r="46" spans="1:16182" s="953" customFormat="1" x14ac:dyDescent="0.25">
      <c r="A46" s="570"/>
      <c r="B46" s="909"/>
      <c r="C46" s="909"/>
      <c r="D46" s="909" t="s">
        <v>729</v>
      </c>
      <c r="E46" s="909"/>
      <c r="F46" s="909"/>
      <c r="G46" s="910"/>
      <c r="H46" s="932">
        <v>103626.12</v>
      </c>
      <c r="I46" s="932">
        <v>140164.72</v>
      </c>
      <c r="J46" s="932">
        <v>141198.6</v>
      </c>
      <c r="K46" s="932">
        <v>148309.58000000002</v>
      </c>
      <c r="L46" s="932">
        <v>152227.64000000001</v>
      </c>
      <c r="M46" s="932">
        <v>158212.76</v>
      </c>
      <c r="N46" s="932">
        <v>158212.76</v>
      </c>
      <c r="O46" s="932">
        <v>166996.23000000001</v>
      </c>
      <c r="P46" s="932">
        <v>177844.04</v>
      </c>
      <c r="Q46" s="932">
        <v>190740.32</v>
      </c>
      <c r="R46" s="932">
        <v>193026.59</v>
      </c>
      <c r="S46" s="932">
        <v>203089.59</v>
      </c>
      <c r="T46" s="932">
        <v>210265.35</v>
      </c>
      <c r="U46" s="932">
        <v>218847.88</v>
      </c>
      <c r="V46" s="932">
        <v>234683.88999999998</v>
      </c>
      <c r="W46" s="932">
        <v>241506.62</v>
      </c>
      <c r="X46" s="932">
        <v>253583.76</v>
      </c>
      <c r="Y46" s="932">
        <v>270767.04000000004</v>
      </c>
      <c r="Z46" s="932">
        <v>282939.67</v>
      </c>
      <c r="AA46" s="932">
        <v>296225.90000000002</v>
      </c>
      <c r="AB46" s="932">
        <v>296225.90000000002</v>
      </c>
      <c r="AC46" s="932">
        <v>315932.78000000003</v>
      </c>
      <c r="AD46" s="932">
        <v>321456.67000000004</v>
      </c>
      <c r="AE46" s="932">
        <v>413451.38</v>
      </c>
      <c r="AF46" s="932">
        <v>344372.34</v>
      </c>
      <c r="AG46" s="40">
        <v>375880.4</v>
      </c>
      <c r="AH46" s="405">
        <v>398432.74</v>
      </c>
      <c r="AI46" s="405">
        <v>400499.80000000005</v>
      </c>
      <c r="AJ46" s="405">
        <v>405539</v>
      </c>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row>
    <row r="47" spans="1:16182" s="953" customFormat="1" x14ac:dyDescent="0.25">
      <c r="A47" s="570"/>
      <c r="B47" s="909"/>
      <c r="C47" s="909"/>
      <c r="D47" s="909" t="s">
        <v>731</v>
      </c>
      <c r="E47" s="909"/>
      <c r="F47" s="909"/>
      <c r="G47" s="910"/>
      <c r="H47" s="932"/>
      <c r="I47" s="932"/>
      <c r="J47" s="932"/>
      <c r="K47" s="932"/>
      <c r="L47" s="932"/>
      <c r="M47" s="932"/>
      <c r="N47" s="932"/>
      <c r="O47" s="932"/>
      <c r="P47" s="932"/>
      <c r="Q47" s="932"/>
      <c r="R47" s="932"/>
      <c r="S47" s="932"/>
      <c r="T47" s="932"/>
      <c r="U47" s="932"/>
      <c r="V47" s="932"/>
      <c r="W47" s="932"/>
      <c r="X47" s="932"/>
      <c r="Y47" s="932"/>
      <c r="Z47" s="932"/>
      <c r="AA47" s="932"/>
      <c r="AB47" s="932"/>
      <c r="AC47" s="932"/>
      <c r="AD47" s="932"/>
      <c r="AE47" s="932"/>
      <c r="AF47" s="932"/>
      <c r="AG47" s="932"/>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row>
    <row r="48" spans="1:16182" s="953" customFormat="1" x14ac:dyDescent="0.25">
      <c r="A48" s="570"/>
      <c r="B48" s="909"/>
      <c r="C48" s="909"/>
      <c r="D48" s="911" t="s">
        <v>732</v>
      </c>
      <c r="E48" s="911"/>
      <c r="F48" s="911"/>
      <c r="G48" s="911"/>
      <c r="H48" s="934"/>
      <c r="I48" s="934"/>
      <c r="J48" s="934"/>
      <c r="K48" s="934"/>
      <c r="L48" s="934"/>
      <c r="M48" s="934"/>
      <c r="N48" s="934"/>
      <c r="O48" s="934"/>
      <c r="P48" s="934"/>
      <c r="Q48" s="934"/>
      <c r="R48" s="934"/>
      <c r="S48" s="927"/>
      <c r="T48" s="927"/>
      <c r="U48" s="927"/>
      <c r="V48" s="927"/>
      <c r="W48" s="927"/>
      <c r="X48" s="927"/>
      <c r="Y48" s="927"/>
      <c r="Z48" s="927"/>
      <c r="AA48" s="927"/>
      <c r="AB48" s="927"/>
      <c r="AC48" s="927"/>
      <c r="AD48" s="927"/>
      <c r="AE48" s="927"/>
      <c r="AF48" s="927"/>
      <c r="AG48" s="927"/>
      <c r="AH48" s="927"/>
      <c r="AI48" s="927"/>
      <c r="AJ48" s="927"/>
      <c r="AK48" s="927"/>
      <c r="AL48" s="927"/>
      <c r="AM48" s="927"/>
      <c r="AN48" s="927"/>
      <c r="AO48" s="927"/>
      <c r="AP48" s="927"/>
      <c r="AQ48" s="927"/>
      <c r="AR48" s="927"/>
      <c r="AS48" s="927"/>
      <c r="AT48" s="927"/>
      <c r="AU48" s="927"/>
      <c r="AV48" s="927"/>
      <c r="AW48" s="927"/>
      <c r="AX48" s="927"/>
      <c r="AY48" s="927"/>
      <c r="AZ48" s="927"/>
      <c r="BA48" s="927"/>
      <c r="BB48" s="927"/>
      <c r="BC48" s="927"/>
      <c r="BD48" s="927"/>
      <c r="BE48" s="927"/>
      <c r="BF48" s="927"/>
      <c r="BG48" s="927"/>
      <c r="BH48" s="927"/>
      <c r="BI48" s="927"/>
      <c r="BJ48" s="927"/>
      <c r="BK48" s="927"/>
      <c r="BL48" s="927"/>
      <c r="BM48" s="927"/>
      <c r="BN48" s="927"/>
      <c r="BO48" s="927"/>
      <c r="BP48" s="927"/>
      <c r="BQ48" s="927"/>
      <c r="BR48" s="927"/>
      <c r="BS48" s="927"/>
      <c r="BT48" s="927"/>
      <c r="BU48" s="927"/>
      <c r="BV48" s="927"/>
      <c r="BW48" s="927"/>
      <c r="BX48" s="927"/>
      <c r="BY48" s="927"/>
      <c r="BZ48" s="927"/>
      <c r="CA48" s="927"/>
      <c r="CB48" s="927"/>
      <c r="CC48" s="927"/>
    </row>
    <row r="49" spans="1:16182" s="953" customFormat="1" x14ac:dyDescent="0.25">
      <c r="A49" s="570"/>
      <c r="B49" s="909"/>
      <c r="C49" s="909"/>
      <c r="D49" s="909" t="s">
        <v>733</v>
      </c>
      <c r="E49" s="909"/>
      <c r="F49" s="909"/>
      <c r="G49" s="910"/>
      <c r="H49" s="932"/>
      <c r="I49" s="932"/>
      <c r="J49" s="932"/>
      <c r="K49" s="932"/>
      <c r="L49" s="932"/>
      <c r="M49" s="932"/>
      <c r="N49" s="932"/>
      <c r="O49" s="932"/>
      <c r="P49" s="932"/>
      <c r="Q49" s="932"/>
      <c r="R49" s="932"/>
      <c r="S49" s="932"/>
      <c r="T49" s="932"/>
      <c r="U49" s="932"/>
      <c r="V49" s="932"/>
      <c r="W49" s="932"/>
      <c r="X49" s="932"/>
      <c r="Y49" s="932"/>
      <c r="Z49" s="932"/>
      <c r="AA49" s="932"/>
      <c r="AB49" s="932"/>
      <c r="AC49" s="932"/>
      <c r="AD49" s="932"/>
      <c r="AE49" s="932"/>
      <c r="AF49" s="932"/>
      <c r="AG49" s="932"/>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row>
    <row r="50" spans="1:16182" s="953" customFormat="1" x14ac:dyDescent="0.25">
      <c r="A50" s="223"/>
      <c r="B50" s="918"/>
      <c r="C50" s="918"/>
      <c r="D50" s="918" t="s">
        <v>350</v>
      </c>
      <c r="E50" s="918"/>
      <c r="F50" s="918"/>
      <c r="G50" s="918"/>
      <c r="H50" s="932">
        <v>19551.52</v>
      </c>
      <c r="I50" s="932">
        <v>20601.52</v>
      </c>
      <c r="J50" s="932">
        <v>20601.52</v>
      </c>
      <c r="K50" s="932">
        <v>20601.52</v>
      </c>
      <c r="L50" s="932">
        <v>20601.52</v>
      </c>
      <c r="M50" s="932">
        <v>20601.52</v>
      </c>
      <c r="N50" s="932">
        <v>21820.52</v>
      </c>
      <c r="O50" s="932">
        <v>21820.52</v>
      </c>
      <c r="P50" s="932">
        <v>32006.92</v>
      </c>
      <c r="Q50" s="932">
        <v>32006.92</v>
      </c>
      <c r="R50" s="932">
        <v>41356.92</v>
      </c>
      <c r="S50" s="932">
        <v>45316.92</v>
      </c>
      <c r="T50" s="932">
        <v>45316.92</v>
      </c>
      <c r="U50" s="932">
        <v>45316.92</v>
      </c>
      <c r="V50" s="932">
        <v>45731.92</v>
      </c>
      <c r="W50" s="932">
        <v>45731.92</v>
      </c>
      <c r="X50" s="932">
        <v>45731.92</v>
      </c>
      <c r="Y50" s="932">
        <v>53731.92</v>
      </c>
      <c r="Z50" s="932">
        <v>53731.92</v>
      </c>
      <c r="AA50" s="932">
        <v>53731.92</v>
      </c>
      <c r="AB50" s="932">
        <v>53731.92</v>
      </c>
      <c r="AC50" s="932">
        <v>53731.92</v>
      </c>
      <c r="AD50" s="932">
        <v>61201.919999999998</v>
      </c>
      <c r="AE50" s="932">
        <v>65483.97</v>
      </c>
      <c r="AF50" s="932">
        <v>175371.07</v>
      </c>
      <c r="AG50" s="932">
        <v>193605.22</v>
      </c>
      <c r="AH50" s="932">
        <v>202915.22</v>
      </c>
      <c r="AI50" s="932">
        <v>206915.22</v>
      </c>
      <c r="AJ50" s="932">
        <v>206915.22</v>
      </c>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c r="BI50" s="42"/>
      <c r="BJ50" s="42"/>
      <c r="BK50" s="42"/>
      <c r="BL50" s="42"/>
      <c r="BM50" s="42"/>
      <c r="BN50" s="42"/>
      <c r="BO50" s="42"/>
      <c r="BP50" s="42"/>
      <c r="BQ50" s="42"/>
      <c r="BR50" s="42"/>
      <c r="BS50" s="42"/>
      <c r="BT50" s="42"/>
      <c r="BU50" s="42"/>
      <c r="BV50" s="42"/>
      <c r="BW50" s="42"/>
      <c r="BX50" s="42"/>
      <c r="BY50" s="42"/>
      <c r="BZ50" s="42"/>
      <c r="CA50" s="42"/>
      <c r="CB50" s="42"/>
      <c r="CC50" s="42"/>
    </row>
    <row r="51" spans="1:16182" s="953" customFormat="1" x14ac:dyDescent="0.25">
      <c r="A51" s="570"/>
      <c r="B51" s="909"/>
      <c r="C51" s="909"/>
      <c r="D51" s="909" t="s">
        <v>734</v>
      </c>
      <c r="E51" s="909"/>
      <c r="F51" s="909"/>
      <c r="G51" s="910"/>
      <c r="H51" s="932"/>
      <c r="I51" s="932"/>
      <c r="J51" s="932"/>
      <c r="K51" s="932"/>
      <c r="L51" s="932"/>
      <c r="M51" s="932"/>
      <c r="N51" s="932"/>
      <c r="O51" s="932"/>
      <c r="P51" s="932"/>
      <c r="Q51" s="932"/>
      <c r="R51" s="932"/>
      <c r="S51" s="932"/>
      <c r="T51" s="932"/>
      <c r="U51" s="932"/>
      <c r="V51" s="932"/>
      <c r="W51" s="932"/>
      <c r="X51" s="932"/>
      <c r="Y51" s="932"/>
      <c r="Z51" s="932"/>
      <c r="AA51" s="932"/>
      <c r="AB51" s="932"/>
      <c r="AC51" s="932"/>
      <c r="AD51" s="932"/>
      <c r="AE51" s="932"/>
      <c r="AF51" s="932"/>
      <c r="AG51" s="932"/>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row>
    <row r="52" spans="1:16182" s="953" customFormat="1" x14ac:dyDescent="0.25">
      <c r="A52" s="570"/>
      <c r="B52" s="909"/>
      <c r="C52" s="909"/>
      <c r="D52" s="911" t="s">
        <v>335</v>
      </c>
      <c r="E52" s="911"/>
      <c r="F52" s="911"/>
      <c r="G52" s="911"/>
      <c r="H52" s="934"/>
      <c r="I52" s="934"/>
      <c r="J52" s="934"/>
      <c r="K52" s="934"/>
      <c r="L52" s="934"/>
      <c r="M52" s="934"/>
      <c r="N52" s="934"/>
      <c r="O52" s="934"/>
      <c r="P52" s="934"/>
      <c r="Q52" s="934"/>
      <c r="R52" s="934"/>
      <c r="S52" s="927"/>
      <c r="T52" s="927"/>
      <c r="U52" s="927"/>
      <c r="V52" s="927"/>
      <c r="W52" s="927"/>
      <c r="X52" s="927"/>
      <c r="Y52" s="927"/>
      <c r="Z52" s="927"/>
      <c r="AA52" s="927"/>
      <c r="AB52" s="927"/>
      <c r="AC52" s="927"/>
      <c r="AD52" s="927"/>
      <c r="AE52" s="927"/>
      <c r="AF52" s="927"/>
      <c r="AG52" s="927"/>
      <c r="AH52" s="927"/>
      <c r="AI52" s="927"/>
      <c r="AJ52" s="927"/>
      <c r="AK52" s="927"/>
      <c r="AL52" s="927"/>
      <c r="AM52" s="927"/>
      <c r="AN52" s="927"/>
      <c r="AO52" s="927"/>
      <c r="AP52" s="927"/>
      <c r="AQ52" s="927"/>
      <c r="AR52" s="927"/>
      <c r="AS52" s="927"/>
      <c r="AT52" s="927"/>
      <c r="AU52" s="927"/>
      <c r="AV52" s="927"/>
      <c r="AW52" s="927"/>
      <c r="AX52" s="927"/>
      <c r="AY52" s="927"/>
      <c r="AZ52" s="927"/>
      <c r="BA52" s="927"/>
      <c r="BB52" s="927"/>
      <c r="BC52" s="927"/>
      <c r="BD52" s="927"/>
      <c r="BE52" s="927"/>
      <c r="BF52" s="927"/>
      <c r="BG52" s="927"/>
      <c r="BH52" s="927"/>
      <c r="BI52" s="927"/>
      <c r="BJ52" s="927"/>
      <c r="BK52" s="927"/>
      <c r="BL52" s="927"/>
      <c r="BM52" s="927"/>
      <c r="BN52" s="927"/>
      <c r="BO52" s="927"/>
      <c r="BP52" s="927"/>
      <c r="BQ52" s="927"/>
      <c r="BR52" s="927"/>
      <c r="BS52" s="927"/>
      <c r="BT52" s="927"/>
      <c r="BU52" s="927"/>
      <c r="BV52" s="927"/>
      <c r="BW52" s="927"/>
      <c r="BX52" s="927"/>
      <c r="BY52" s="927"/>
      <c r="BZ52" s="927"/>
      <c r="CA52" s="927"/>
      <c r="CB52" s="927"/>
      <c r="CC52" s="927"/>
    </row>
    <row r="53" spans="1:16182" s="953" customFormat="1" x14ac:dyDescent="0.25">
      <c r="A53" s="570"/>
      <c r="B53" s="909"/>
      <c r="C53" s="909"/>
      <c r="D53" s="909" t="s">
        <v>735</v>
      </c>
      <c r="E53" s="909"/>
      <c r="F53" s="909"/>
      <c r="G53" s="910"/>
      <c r="H53" s="932"/>
      <c r="I53" s="932"/>
      <c r="J53" s="932"/>
      <c r="K53" s="932"/>
      <c r="L53" s="932"/>
      <c r="M53" s="932"/>
      <c r="N53" s="932"/>
      <c r="O53" s="932"/>
      <c r="P53" s="932"/>
      <c r="Q53" s="932"/>
      <c r="R53" s="932"/>
      <c r="S53" s="932"/>
      <c r="T53" s="932"/>
      <c r="U53" s="932"/>
      <c r="V53" s="932"/>
      <c r="W53" s="932"/>
      <c r="X53" s="932"/>
      <c r="Y53" s="932"/>
      <c r="Z53" s="932"/>
      <c r="AA53" s="932"/>
      <c r="AB53" s="932"/>
      <c r="AC53" s="932"/>
      <c r="AD53" s="932"/>
      <c r="AE53" s="932"/>
      <c r="AF53" s="932"/>
      <c r="AG53" s="932"/>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row>
    <row r="54" spans="1:16182" s="953" customFormat="1" x14ac:dyDescent="0.25">
      <c r="A54" s="156"/>
      <c r="B54" s="921"/>
      <c r="C54" s="921"/>
      <c r="D54" s="921" t="s">
        <v>442</v>
      </c>
      <c r="E54" s="921"/>
      <c r="F54" s="921"/>
      <c r="G54" s="921"/>
      <c r="H54" s="932">
        <v>213527.22</v>
      </c>
      <c r="I54" s="932">
        <v>312422.34999999998</v>
      </c>
      <c r="J54" s="932">
        <v>315759.84999999998</v>
      </c>
      <c r="K54" s="932">
        <v>315759.84999999998</v>
      </c>
      <c r="L54" s="932">
        <v>331818.32</v>
      </c>
      <c r="M54" s="932">
        <v>364422.26</v>
      </c>
      <c r="N54" s="932">
        <v>364422.26</v>
      </c>
      <c r="O54" s="932">
        <v>364928.25</v>
      </c>
      <c r="P54" s="932">
        <v>364928.25</v>
      </c>
      <c r="Q54" s="932">
        <v>364928.25</v>
      </c>
      <c r="R54" s="932">
        <v>364928.25</v>
      </c>
      <c r="S54" s="932">
        <v>404434.49</v>
      </c>
      <c r="T54" s="932">
        <v>404434.49</v>
      </c>
      <c r="U54" s="932">
        <v>404434.5</v>
      </c>
      <c r="V54" s="932">
        <v>419806.69</v>
      </c>
      <c r="W54" s="932">
        <v>469868.46</v>
      </c>
      <c r="X54" s="932">
        <v>484771.91</v>
      </c>
      <c r="Y54" s="932">
        <v>484771.91</v>
      </c>
      <c r="Z54" s="932">
        <v>484771.91</v>
      </c>
      <c r="AA54" s="932">
        <v>484771.91</v>
      </c>
      <c r="AB54" s="932">
        <v>484771.91</v>
      </c>
      <c r="AC54" s="932">
        <v>489158.94</v>
      </c>
      <c r="AD54" s="932">
        <v>489158.94</v>
      </c>
      <c r="AE54" s="932">
        <v>489158.94</v>
      </c>
      <c r="AF54" s="932">
        <v>489158.94</v>
      </c>
      <c r="AG54" s="932">
        <v>489158.94</v>
      </c>
      <c r="AH54" s="932">
        <v>538214.68999999994</v>
      </c>
      <c r="AI54" s="932">
        <v>538214.68999999994</v>
      </c>
      <c r="AJ54" s="932">
        <v>538214.68999999994</v>
      </c>
      <c r="AK54" s="940"/>
      <c r="AL54" s="940"/>
      <c r="AM54" s="940"/>
      <c r="AN54" s="940"/>
      <c r="AO54" s="940"/>
      <c r="AP54" s="940"/>
      <c r="AQ54" s="940"/>
      <c r="AR54" s="940"/>
      <c r="AS54" s="940"/>
      <c r="AT54" s="940"/>
      <c r="AU54" s="940"/>
      <c r="AV54" s="940"/>
      <c r="AW54" s="940"/>
      <c r="AX54" s="940"/>
      <c r="AY54" s="940"/>
      <c r="AZ54" s="940"/>
      <c r="BA54" s="940"/>
      <c r="BB54" s="940"/>
      <c r="BC54" s="940"/>
      <c r="BD54" s="940"/>
      <c r="BE54" s="940"/>
      <c r="BF54" s="940"/>
      <c r="BG54" s="940"/>
      <c r="BH54" s="940"/>
      <c r="BI54" s="940"/>
      <c r="BJ54" s="940"/>
      <c r="BK54" s="940"/>
      <c r="BL54" s="940"/>
      <c r="BM54" s="940"/>
      <c r="BN54" s="940"/>
      <c r="BO54" s="940"/>
      <c r="BP54" s="940"/>
      <c r="BQ54" s="940"/>
      <c r="BR54" s="940"/>
      <c r="BS54" s="940"/>
      <c r="BT54" s="940"/>
      <c r="BU54" s="940"/>
      <c r="BV54" s="940"/>
      <c r="BW54" s="940"/>
      <c r="BX54" s="940"/>
      <c r="BY54" s="940"/>
      <c r="BZ54" s="940"/>
      <c r="CA54" s="940"/>
      <c r="CB54" s="940"/>
      <c r="CC54" s="940"/>
    </row>
    <row r="55" spans="1:16182" s="953" customFormat="1" x14ac:dyDescent="0.25">
      <c r="A55" s="570"/>
      <c r="B55" s="909"/>
      <c r="C55" s="909"/>
      <c r="D55" s="909" t="s">
        <v>736</v>
      </c>
      <c r="E55" s="909"/>
      <c r="F55" s="909"/>
      <c r="G55" s="909"/>
      <c r="H55" s="932"/>
      <c r="I55" s="932"/>
      <c r="J55" s="932"/>
      <c r="K55" s="932"/>
      <c r="L55" s="932"/>
      <c r="M55" s="932"/>
      <c r="N55" s="932"/>
      <c r="O55" s="932"/>
      <c r="P55" s="932"/>
      <c r="Q55" s="932"/>
      <c r="R55" s="932"/>
      <c r="S55" s="932"/>
      <c r="T55" s="932"/>
      <c r="U55" s="932"/>
      <c r="V55" s="932"/>
      <c r="W55" s="932"/>
      <c r="X55" s="932"/>
      <c r="Y55" s="932"/>
      <c r="Z55" s="932"/>
      <c r="AA55" s="932"/>
      <c r="AB55" s="932"/>
      <c r="AC55" s="932"/>
      <c r="AD55" s="932"/>
      <c r="AE55" s="932"/>
      <c r="AF55" s="932"/>
      <c r="AG55" s="932"/>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row>
    <row r="56" spans="1:16182" s="953" customFormat="1" x14ac:dyDescent="0.25">
      <c r="A56" s="570"/>
      <c r="B56" s="909"/>
      <c r="C56" s="909"/>
      <c r="D56" s="911" t="s">
        <v>66</v>
      </c>
      <c r="E56" s="911"/>
      <c r="F56" s="911"/>
      <c r="G56" s="911"/>
      <c r="H56" s="934"/>
      <c r="I56" s="934"/>
      <c r="J56" s="934"/>
      <c r="K56" s="934"/>
      <c r="L56" s="934"/>
      <c r="M56" s="934"/>
      <c r="N56" s="934"/>
      <c r="O56" s="934"/>
      <c r="P56" s="934"/>
      <c r="Q56" s="934"/>
      <c r="R56" s="934"/>
      <c r="S56" s="927"/>
      <c r="T56" s="927"/>
      <c r="U56" s="927"/>
      <c r="V56" s="927"/>
      <c r="W56" s="927"/>
      <c r="X56" s="927"/>
      <c r="Y56" s="927"/>
      <c r="Z56" s="927"/>
      <c r="AA56" s="927"/>
      <c r="AB56" s="927"/>
      <c r="AC56" s="927"/>
      <c r="AD56" s="927"/>
      <c r="AE56" s="927"/>
      <c r="AF56" s="927"/>
      <c r="AG56" s="927"/>
      <c r="AH56" s="927"/>
      <c r="AI56" s="927"/>
      <c r="AJ56" s="927"/>
      <c r="AK56" s="927"/>
      <c r="AL56" s="927"/>
      <c r="AM56" s="927"/>
      <c r="AN56" s="927"/>
      <c r="AO56" s="927"/>
      <c r="AP56" s="927"/>
      <c r="AQ56" s="927"/>
      <c r="AR56" s="927"/>
      <c r="AS56" s="927"/>
      <c r="AT56" s="927"/>
      <c r="AU56" s="927"/>
      <c r="AV56" s="927"/>
      <c r="AW56" s="927"/>
      <c r="AX56" s="927"/>
      <c r="AY56" s="927"/>
      <c r="AZ56" s="927"/>
      <c r="BA56" s="927"/>
      <c r="BB56" s="927"/>
      <c r="BC56" s="927"/>
      <c r="BD56" s="927"/>
      <c r="BE56" s="927"/>
      <c r="BF56" s="927"/>
      <c r="BG56" s="927"/>
      <c r="BH56" s="927"/>
      <c r="BI56" s="927"/>
      <c r="BJ56" s="927"/>
      <c r="BK56" s="927"/>
      <c r="BL56" s="927"/>
      <c r="BM56" s="927"/>
      <c r="BN56" s="927"/>
      <c r="BO56" s="927"/>
      <c r="BP56" s="927"/>
      <c r="BQ56" s="927"/>
      <c r="BR56" s="927"/>
      <c r="BS56" s="927"/>
      <c r="BT56" s="927"/>
      <c r="BU56" s="927"/>
      <c r="BV56" s="927"/>
      <c r="BW56" s="927"/>
      <c r="BX56" s="927"/>
      <c r="BY56" s="927"/>
      <c r="BZ56" s="927"/>
      <c r="CA56" s="927"/>
      <c r="CB56" s="927"/>
      <c r="CC56" s="927"/>
    </row>
    <row r="57" spans="1:16182" s="953" customFormat="1" x14ac:dyDescent="0.25">
      <c r="A57" s="570"/>
      <c r="B57" s="909"/>
      <c r="C57" s="909"/>
      <c r="D57" s="909" t="s">
        <v>737</v>
      </c>
      <c r="E57" s="909"/>
      <c r="F57" s="909"/>
      <c r="G57" s="909"/>
      <c r="H57" s="932"/>
      <c r="I57" s="932"/>
      <c r="J57" s="932"/>
      <c r="K57" s="932"/>
      <c r="L57" s="932"/>
      <c r="M57" s="932"/>
      <c r="N57" s="932"/>
      <c r="O57" s="932"/>
      <c r="P57" s="932"/>
      <c r="Q57" s="932"/>
      <c r="R57" s="932"/>
      <c r="S57" s="932"/>
      <c r="T57" s="932"/>
      <c r="U57" s="932"/>
      <c r="V57" s="932"/>
      <c r="W57" s="932"/>
      <c r="X57" s="932"/>
      <c r="Y57" s="932"/>
      <c r="Z57" s="932"/>
      <c r="AA57" s="932"/>
      <c r="AB57" s="932"/>
      <c r="AC57" s="932"/>
      <c r="AD57" s="932"/>
      <c r="AE57" s="932"/>
      <c r="AF57" s="932"/>
      <c r="AG57" s="932"/>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row>
    <row r="58" spans="1:16182" s="953" customFormat="1" x14ac:dyDescent="0.25">
      <c r="A58" s="570"/>
      <c r="B58" s="909"/>
      <c r="C58" s="909"/>
      <c r="D58" s="909" t="s">
        <v>739</v>
      </c>
      <c r="E58" s="909"/>
      <c r="F58" s="909"/>
      <c r="G58" s="909"/>
      <c r="H58" s="932">
        <v>5174.22</v>
      </c>
      <c r="I58" s="932">
        <v>9190</v>
      </c>
      <c r="J58" s="932">
        <v>9190</v>
      </c>
      <c r="K58" s="932">
        <v>9190</v>
      </c>
      <c r="L58" s="932">
        <v>9190</v>
      </c>
      <c r="M58" s="932">
        <v>9190</v>
      </c>
      <c r="N58" s="932">
        <v>9190</v>
      </c>
      <c r="O58" s="932">
        <v>9190</v>
      </c>
      <c r="P58" s="932">
        <v>11590</v>
      </c>
      <c r="Q58" s="932">
        <v>11590</v>
      </c>
      <c r="R58" s="932">
        <v>11590</v>
      </c>
      <c r="S58" s="932">
        <v>12539</v>
      </c>
      <c r="T58" s="932">
        <v>12539</v>
      </c>
      <c r="U58" s="932">
        <v>11950.2</v>
      </c>
      <c r="V58" s="932">
        <v>11950.2</v>
      </c>
      <c r="W58" s="932">
        <v>12278.16</v>
      </c>
      <c r="X58" s="932">
        <v>17375.16</v>
      </c>
      <c r="Y58" s="932">
        <v>27175.16</v>
      </c>
      <c r="Z58" s="932">
        <v>27175.16</v>
      </c>
      <c r="AA58" s="932">
        <v>27175.16</v>
      </c>
      <c r="AB58" s="932">
        <v>30823.84</v>
      </c>
      <c r="AC58" s="932">
        <v>32722.84</v>
      </c>
      <c r="AD58" s="932">
        <v>33586.69</v>
      </c>
      <c r="AE58" s="932">
        <v>33586.69</v>
      </c>
      <c r="AF58" s="932">
        <v>33586.69</v>
      </c>
      <c r="AG58" s="932">
        <v>33586.69</v>
      </c>
      <c r="AH58" s="932">
        <v>33586.69</v>
      </c>
      <c r="AI58" s="932">
        <v>33586.69</v>
      </c>
      <c r="AJ58" s="932">
        <v>33586.69</v>
      </c>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row>
    <row r="59" spans="1:16182" s="953" customFormat="1" x14ac:dyDescent="0.25">
      <c r="A59" s="570"/>
      <c r="B59" s="909"/>
      <c r="C59" s="909"/>
      <c r="D59" s="909" t="s">
        <v>738</v>
      </c>
      <c r="E59" s="909"/>
      <c r="F59" s="909"/>
      <c r="G59" s="909"/>
      <c r="H59" s="932"/>
      <c r="I59" s="932"/>
      <c r="J59" s="932"/>
      <c r="K59" s="932"/>
      <c r="L59" s="932"/>
      <c r="M59" s="932"/>
      <c r="N59" s="932"/>
      <c r="O59" s="932"/>
      <c r="P59" s="932"/>
      <c r="Q59" s="932"/>
      <c r="R59" s="932"/>
      <c r="S59" s="932"/>
      <c r="T59" s="932"/>
      <c r="U59" s="932"/>
      <c r="V59" s="932"/>
      <c r="W59" s="932"/>
      <c r="X59" s="932"/>
      <c r="Y59" s="932"/>
      <c r="Z59" s="932"/>
      <c r="AA59" s="932"/>
      <c r="AB59" s="932"/>
      <c r="AC59" s="932"/>
      <c r="AD59" s="932"/>
      <c r="AE59" s="932"/>
      <c r="AF59" s="932"/>
      <c r="AG59" s="932"/>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row>
    <row r="60" spans="1:16182" s="953" customFormat="1" x14ac:dyDescent="0.25">
      <c r="A60" s="570"/>
      <c r="B60" s="909"/>
      <c r="C60" s="909"/>
      <c r="D60" s="911" t="s">
        <v>351</v>
      </c>
      <c r="E60" s="911"/>
      <c r="F60" s="911"/>
      <c r="G60" s="911"/>
      <c r="H60" s="934">
        <v>-112017.22</v>
      </c>
      <c r="I60" s="934">
        <v>-182957.23</v>
      </c>
      <c r="J60" s="934">
        <v>-182957.22999999998</v>
      </c>
      <c r="K60" s="934">
        <v>-182957.22999999998</v>
      </c>
      <c r="L60" s="934">
        <v>-182957.22999999998</v>
      </c>
      <c r="M60" s="934">
        <v>-182957.22999999998</v>
      </c>
      <c r="N60" s="934">
        <v>-182957.22999999998</v>
      </c>
      <c r="O60" s="934">
        <v>-182957.22999999998</v>
      </c>
      <c r="P60" s="934">
        <v>-182957.22999999998</v>
      </c>
      <c r="Q60" s="934">
        <v>-182957.22999999998</v>
      </c>
      <c r="R60" s="934">
        <v>-182957.22999999998</v>
      </c>
      <c r="S60" s="927">
        <v>-182957.22999999998</v>
      </c>
      <c r="T60" s="927">
        <v>-182957.22999999998</v>
      </c>
      <c r="U60" s="927">
        <v>-280493.88</v>
      </c>
      <c r="V60" s="927">
        <v>-290631.21000000002</v>
      </c>
      <c r="W60" s="927">
        <v>-301570.71000000002</v>
      </c>
      <c r="X60" s="927">
        <v>-312942.47000000003</v>
      </c>
      <c r="Y60" s="927">
        <v>-324649.47000000003</v>
      </c>
      <c r="Z60" s="927">
        <v>-336519.97</v>
      </c>
      <c r="AA60" s="927">
        <v>-348473.47</v>
      </c>
      <c r="AB60" s="927">
        <v>-360477.63999999996</v>
      </c>
      <c r="AC60" s="927">
        <v>-372603.38</v>
      </c>
      <c r="AD60" s="927">
        <v>-384797.71</v>
      </c>
      <c r="AE60" s="927">
        <v>-397232.04</v>
      </c>
      <c r="AF60" s="927">
        <f>-397232.04+-12534.25</f>
        <v>-409766.29</v>
      </c>
      <c r="AG60" s="927">
        <v>-420982.29000000004</v>
      </c>
      <c r="AH60" s="927">
        <v>-436910.29000000004</v>
      </c>
      <c r="AI60" s="927">
        <v>-452838.29000000004</v>
      </c>
      <c r="AJ60" s="927">
        <v>-468766.29000000004</v>
      </c>
      <c r="AK60" s="927"/>
      <c r="AL60" s="927"/>
      <c r="AM60" s="927"/>
      <c r="AN60" s="927"/>
      <c r="AO60" s="927"/>
      <c r="AP60" s="927"/>
      <c r="AQ60" s="927"/>
      <c r="AR60" s="927"/>
      <c r="AS60" s="927"/>
      <c r="AT60" s="927"/>
      <c r="AU60" s="927"/>
      <c r="AV60" s="927"/>
      <c r="AW60" s="927"/>
      <c r="AX60" s="927"/>
      <c r="AY60" s="927"/>
      <c r="AZ60" s="927"/>
      <c r="BA60" s="927"/>
      <c r="BB60" s="927"/>
      <c r="BC60" s="927"/>
      <c r="BD60" s="927"/>
      <c r="BE60" s="927"/>
      <c r="BF60" s="927"/>
      <c r="BG60" s="927"/>
      <c r="BH60" s="927"/>
      <c r="BI60" s="927"/>
      <c r="BJ60" s="927"/>
      <c r="BK60" s="927"/>
      <c r="BL60" s="927"/>
      <c r="BM60" s="927"/>
      <c r="BN60" s="927"/>
      <c r="BO60" s="927"/>
      <c r="BP60" s="927"/>
      <c r="BQ60" s="927"/>
      <c r="BR60" s="927"/>
      <c r="BS60" s="927"/>
      <c r="BT60" s="927"/>
      <c r="BU60" s="927"/>
      <c r="BV60" s="927"/>
      <c r="BW60" s="927"/>
      <c r="BX60" s="927"/>
      <c r="BY60" s="927"/>
      <c r="BZ60" s="927"/>
      <c r="CA60" s="927"/>
      <c r="CB60" s="927"/>
      <c r="CC60" s="927"/>
    </row>
    <row r="61" spans="1:16182" s="953" customFormat="1" x14ac:dyDescent="0.25">
      <c r="A61" s="570"/>
      <c r="B61" s="912"/>
      <c r="C61" s="900" t="s">
        <v>98</v>
      </c>
      <c r="D61" s="900"/>
      <c r="E61" s="900"/>
      <c r="F61" s="900"/>
      <c r="G61" s="900"/>
      <c r="H61" s="900">
        <f>SUM(H40:H60)</f>
        <v>229861.85999999996</v>
      </c>
      <c r="I61" s="900">
        <f>SUM(I40:I60)</f>
        <v>299421.36</v>
      </c>
      <c r="J61" s="900">
        <f t="shared" ref="J61:AA61" si="10">SUM(J45:J60)</f>
        <v>303792.74</v>
      </c>
      <c r="K61" s="900">
        <f t="shared" si="10"/>
        <v>310903.71999999997</v>
      </c>
      <c r="L61" s="900">
        <f t="shared" si="10"/>
        <v>330880.25</v>
      </c>
      <c r="M61" s="900">
        <f t="shared" si="10"/>
        <v>369469.31000000006</v>
      </c>
      <c r="N61" s="900">
        <f t="shared" si="10"/>
        <v>370688.31000000006</v>
      </c>
      <c r="O61" s="900">
        <f t="shared" si="10"/>
        <v>379977.77</v>
      </c>
      <c r="P61" s="901">
        <f t="shared" si="10"/>
        <v>403411.98</v>
      </c>
      <c r="Q61" s="901">
        <f t="shared" si="10"/>
        <v>416308.26</v>
      </c>
      <c r="R61" s="901">
        <f t="shared" si="10"/>
        <v>427944.53</v>
      </c>
      <c r="S61" s="901">
        <f t="shared" si="10"/>
        <v>482422.77</v>
      </c>
      <c r="T61" s="901">
        <f t="shared" si="10"/>
        <v>489598.53</v>
      </c>
      <c r="U61" s="901">
        <f t="shared" si="10"/>
        <v>400055.62</v>
      </c>
      <c r="V61" s="901">
        <f t="shared" si="10"/>
        <v>421541.48999999993</v>
      </c>
      <c r="W61" s="901">
        <f t="shared" si="10"/>
        <v>467814.45</v>
      </c>
      <c r="X61" s="901">
        <f t="shared" si="10"/>
        <v>488520.27999999997</v>
      </c>
      <c r="Y61" s="901">
        <f t="shared" si="10"/>
        <v>511796.56</v>
      </c>
      <c r="Z61" s="901">
        <f t="shared" si="10"/>
        <v>512098.69000000006</v>
      </c>
      <c r="AA61" s="901">
        <f t="shared" si="10"/>
        <v>513431.42000000004</v>
      </c>
      <c r="AB61" s="901">
        <f t="shared" ref="AB61:AJ61" si="11">SUM(AB44:AB60)</f>
        <v>505075.93</v>
      </c>
      <c r="AC61" s="901">
        <f t="shared" si="11"/>
        <v>518943.1</v>
      </c>
      <c r="AD61" s="901">
        <f t="shared" si="11"/>
        <v>520606.50999999995</v>
      </c>
      <c r="AE61" s="901">
        <f t="shared" si="11"/>
        <v>604448.93999999994</v>
      </c>
      <c r="AF61" s="901">
        <f t="shared" si="11"/>
        <v>632722.75</v>
      </c>
      <c r="AG61" s="901">
        <f t="shared" si="11"/>
        <v>671248.96</v>
      </c>
      <c r="AH61" s="901">
        <f t="shared" si="11"/>
        <v>736239.04999999981</v>
      </c>
      <c r="AI61" s="901">
        <f t="shared" si="11"/>
        <v>726378.10999999987</v>
      </c>
      <c r="AJ61" s="901">
        <f t="shared" si="11"/>
        <v>715489.30999999982</v>
      </c>
      <c r="AK61" s="902"/>
      <c r="AL61" s="902"/>
      <c r="AM61" s="902"/>
      <c r="AN61" s="902"/>
      <c r="AO61" s="902"/>
      <c r="AP61" s="902"/>
      <c r="AQ61" s="902"/>
      <c r="AR61" s="902"/>
      <c r="AS61" s="902"/>
      <c r="AT61" s="902"/>
      <c r="AU61" s="902"/>
      <c r="AV61" s="902"/>
      <c r="AW61" s="902"/>
      <c r="AX61" s="902"/>
      <c r="AY61" s="902"/>
      <c r="AZ61" s="902"/>
      <c r="BA61" s="902"/>
      <c r="BB61" s="902"/>
      <c r="BC61" s="902"/>
      <c r="BD61" s="902"/>
      <c r="BE61" s="902"/>
      <c r="BF61" s="902"/>
      <c r="BG61" s="902"/>
      <c r="BH61" s="902"/>
      <c r="BI61" s="902"/>
      <c r="BJ61" s="902"/>
      <c r="BK61" s="902"/>
      <c r="BL61" s="902"/>
      <c r="BM61" s="902"/>
      <c r="BN61" s="902"/>
      <c r="BO61" s="902"/>
      <c r="BP61" s="902"/>
      <c r="BQ61" s="902"/>
      <c r="BR61" s="902"/>
      <c r="BS61" s="902"/>
      <c r="BT61" s="902"/>
      <c r="BU61" s="902"/>
      <c r="BV61" s="902"/>
      <c r="BW61" s="902"/>
      <c r="BX61" s="902"/>
      <c r="BY61" s="902"/>
      <c r="BZ61" s="902"/>
      <c r="CA61" s="902"/>
      <c r="CB61" s="902"/>
      <c r="CC61" s="946"/>
    </row>
    <row r="62" spans="1:16182" s="953" customFormat="1" x14ac:dyDescent="0.25">
      <c r="A62" s="570"/>
      <c r="B62" s="912"/>
      <c r="C62" s="912"/>
      <c r="D62" s="912"/>
      <c r="E62" s="912"/>
      <c r="F62" s="912"/>
      <c r="G62" s="912"/>
      <c r="H62" s="40"/>
      <c r="I62" s="40"/>
      <c r="J62" s="40"/>
      <c r="K62" s="40"/>
      <c r="L62" s="40"/>
      <c r="M62" s="40"/>
      <c r="N62" s="40"/>
      <c r="O62" s="40"/>
      <c r="P62" s="40"/>
      <c r="Q62" s="40"/>
      <c r="R62" s="40"/>
      <c r="S62" s="40"/>
      <c r="T62" s="40"/>
      <c r="U62" s="40"/>
      <c r="V62" s="884">
        <f>V61-V63</f>
        <v>0</v>
      </c>
      <c r="W62" s="884">
        <f t="shared" ref="W62:AJ62" si="12">W61-W63</f>
        <v>0</v>
      </c>
      <c r="X62" s="884">
        <f t="shared" si="12"/>
        <v>0</v>
      </c>
      <c r="Y62" s="884">
        <f t="shared" si="12"/>
        <v>0</v>
      </c>
      <c r="Z62" s="884">
        <f t="shared" si="12"/>
        <v>0</v>
      </c>
      <c r="AA62" s="884">
        <f t="shared" si="12"/>
        <v>0</v>
      </c>
      <c r="AB62" s="884">
        <f t="shared" si="12"/>
        <v>0</v>
      </c>
      <c r="AC62" s="884">
        <f t="shared" si="12"/>
        <v>0</v>
      </c>
      <c r="AD62" s="884">
        <f t="shared" si="12"/>
        <v>0</v>
      </c>
      <c r="AE62" s="884">
        <f t="shared" si="12"/>
        <v>0</v>
      </c>
      <c r="AF62" s="884">
        <f t="shared" si="12"/>
        <v>-12534.25</v>
      </c>
      <c r="AG62" s="884">
        <f t="shared" si="12"/>
        <v>0</v>
      </c>
      <c r="AH62" s="884">
        <f t="shared" si="12"/>
        <v>0</v>
      </c>
      <c r="AI62" s="884"/>
      <c r="AJ62" s="884">
        <f t="shared" si="12"/>
        <v>0</v>
      </c>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row>
    <row r="63" spans="1:16182" s="953" customFormat="1" x14ac:dyDescent="0.25">
      <c r="A63" s="570"/>
      <c r="B63" s="917"/>
      <c r="C63" s="907" t="s">
        <v>99</v>
      </c>
      <c r="D63" s="907"/>
      <c r="E63" s="907"/>
      <c r="F63" s="907"/>
      <c r="G63" s="907"/>
      <c r="H63" s="903"/>
      <c r="I63" s="903"/>
      <c r="J63" s="903"/>
      <c r="K63" s="903"/>
      <c r="L63" s="903"/>
      <c r="M63" s="903"/>
      <c r="N63" s="903"/>
      <c r="O63" s="903"/>
      <c r="P63" s="903"/>
      <c r="Q63" s="903"/>
      <c r="R63" s="903"/>
      <c r="S63" s="903"/>
      <c r="T63" s="903"/>
      <c r="U63" s="903"/>
      <c r="V63" s="903">
        <v>421541.49</v>
      </c>
      <c r="W63" s="903">
        <v>467814.45</v>
      </c>
      <c r="X63" s="903">
        <v>488520.28</v>
      </c>
      <c r="Y63" s="903">
        <v>511796.56</v>
      </c>
      <c r="Z63" s="903">
        <v>512098.69</v>
      </c>
      <c r="AA63" s="903">
        <v>513431.42</v>
      </c>
      <c r="AB63" s="903">
        <v>505075.93</v>
      </c>
      <c r="AC63" s="903">
        <v>518943.1</v>
      </c>
      <c r="AD63" s="903">
        <v>520606.51</v>
      </c>
      <c r="AE63" s="903">
        <v>604448.93999999994</v>
      </c>
      <c r="AF63" s="903">
        <v>645257</v>
      </c>
      <c r="AG63" s="903">
        <v>671248.96</v>
      </c>
      <c r="AH63" s="903">
        <v>736239.05</v>
      </c>
      <c r="AI63" s="903"/>
      <c r="AJ63" s="903">
        <v>715489.31</v>
      </c>
      <c r="AK63" s="903"/>
      <c r="AL63" s="903"/>
      <c r="AM63" s="903"/>
      <c r="AN63" s="903"/>
      <c r="AO63" s="903"/>
      <c r="AP63" s="903"/>
      <c r="AQ63" s="903"/>
      <c r="AR63" s="903"/>
      <c r="AS63" s="903"/>
      <c r="AT63" s="903"/>
      <c r="AU63" s="903"/>
      <c r="AV63" s="903"/>
      <c r="AW63" s="903"/>
      <c r="AX63" s="903"/>
      <c r="AY63" s="903"/>
      <c r="AZ63" s="903"/>
      <c r="BA63" s="903"/>
      <c r="BB63" s="903"/>
      <c r="BC63" s="903"/>
      <c r="BD63" s="903"/>
      <c r="BE63" s="903"/>
      <c r="BF63" s="903"/>
      <c r="BG63" s="903"/>
      <c r="BH63" s="903"/>
      <c r="BI63" s="903"/>
      <c r="BJ63" s="903"/>
      <c r="BK63" s="903"/>
      <c r="BL63" s="903"/>
      <c r="BM63" s="903"/>
      <c r="BN63" s="903"/>
      <c r="BO63" s="903"/>
      <c r="BP63" s="903"/>
      <c r="BQ63" s="903"/>
      <c r="BR63" s="903"/>
      <c r="BS63" s="903"/>
      <c r="BT63" s="903"/>
      <c r="BU63" s="903"/>
      <c r="BV63" s="903"/>
      <c r="BW63" s="903"/>
      <c r="BX63" s="903"/>
      <c r="BY63" s="903"/>
      <c r="BZ63" s="903"/>
      <c r="CA63" s="903"/>
      <c r="CB63" s="903"/>
      <c r="CC63" s="903"/>
      <c r="CD63" s="954"/>
      <c r="CE63" s="954"/>
      <c r="CF63" s="954"/>
      <c r="CG63" s="954"/>
      <c r="CH63" s="954"/>
      <c r="CI63" s="954"/>
      <c r="CJ63" s="954"/>
      <c r="CK63" s="954"/>
      <c r="CL63" s="954"/>
      <c r="CM63" s="954"/>
      <c r="CN63" s="954"/>
      <c r="CO63" s="954"/>
      <c r="CP63" s="954"/>
      <c r="CQ63" s="954"/>
      <c r="CR63" s="954"/>
      <c r="CS63" s="954"/>
      <c r="CT63" s="954"/>
      <c r="CU63" s="954"/>
      <c r="CV63" s="954"/>
      <c r="CW63" s="954"/>
      <c r="CX63" s="954"/>
      <c r="CY63" s="954"/>
      <c r="CZ63" s="954"/>
      <c r="DA63" s="954"/>
      <c r="DB63" s="954"/>
      <c r="DC63" s="954"/>
      <c r="DD63" s="954"/>
      <c r="DE63" s="954"/>
      <c r="DF63" s="954"/>
      <c r="DG63" s="954"/>
      <c r="DH63" s="954"/>
      <c r="DI63" s="954"/>
      <c r="DJ63" s="954"/>
      <c r="DK63" s="954"/>
      <c r="DL63" s="954"/>
      <c r="DM63" s="954"/>
      <c r="DN63" s="954"/>
      <c r="DO63" s="954"/>
      <c r="DP63" s="954"/>
      <c r="DQ63" s="954"/>
      <c r="DR63" s="954"/>
      <c r="DS63" s="954"/>
      <c r="DT63" s="954"/>
      <c r="DU63" s="954"/>
      <c r="DV63" s="954"/>
      <c r="DW63" s="954"/>
      <c r="DX63" s="954"/>
      <c r="DY63" s="954"/>
      <c r="DZ63" s="954"/>
      <c r="EA63" s="954"/>
      <c r="EB63" s="954"/>
      <c r="EC63" s="954"/>
      <c r="ED63" s="954"/>
      <c r="EE63" s="954"/>
      <c r="EF63" s="954"/>
      <c r="EG63" s="954"/>
      <c r="EH63" s="954"/>
      <c r="EI63" s="954"/>
      <c r="EJ63" s="954"/>
      <c r="EK63" s="954"/>
      <c r="EL63" s="954"/>
      <c r="EM63" s="954"/>
      <c r="EN63" s="954"/>
      <c r="EO63" s="954"/>
      <c r="EP63" s="954"/>
      <c r="EQ63" s="954"/>
      <c r="ER63" s="954"/>
      <c r="ES63" s="954"/>
      <c r="ET63" s="954"/>
      <c r="EU63" s="954"/>
      <c r="EV63" s="954"/>
      <c r="EW63" s="954"/>
      <c r="EX63" s="954"/>
      <c r="EY63" s="954"/>
      <c r="EZ63" s="954"/>
      <c r="FA63" s="954"/>
      <c r="FB63" s="954"/>
      <c r="FC63" s="954"/>
      <c r="FD63" s="954"/>
      <c r="FE63" s="954"/>
      <c r="FF63" s="954"/>
      <c r="FG63" s="954"/>
      <c r="FH63" s="954"/>
      <c r="FI63" s="954"/>
      <c r="FJ63" s="954"/>
      <c r="FK63" s="954"/>
      <c r="FL63" s="954"/>
      <c r="FM63" s="954"/>
      <c r="FN63" s="954"/>
      <c r="FO63" s="954"/>
      <c r="FP63" s="954"/>
      <c r="FQ63" s="954"/>
      <c r="FR63" s="954"/>
      <c r="FS63" s="954"/>
      <c r="FT63" s="954"/>
      <c r="FU63" s="954"/>
      <c r="FV63" s="954"/>
      <c r="FW63" s="954"/>
      <c r="FX63" s="954"/>
      <c r="FY63" s="954"/>
      <c r="FZ63" s="954"/>
      <c r="GA63" s="954"/>
      <c r="GB63" s="954"/>
      <c r="GC63" s="954"/>
      <c r="GD63" s="954"/>
      <c r="GE63" s="954"/>
      <c r="GF63" s="954"/>
      <c r="GG63" s="954"/>
      <c r="GH63" s="954"/>
      <c r="GI63" s="954"/>
      <c r="GJ63" s="954"/>
      <c r="GK63" s="954"/>
      <c r="GL63" s="954"/>
      <c r="GM63" s="954"/>
      <c r="GN63" s="954"/>
      <c r="GO63" s="954"/>
      <c r="GP63" s="954"/>
      <c r="GQ63" s="954"/>
      <c r="GR63" s="954"/>
      <c r="GS63" s="954"/>
      <c r="GT63" s="954"/>
      <c r="GU63" s="954"/>
      <c r="GV63" s="954"/>
      <c r="GW63" s="954"/>
      <c r="GX63" s="954"/>
      <c r="GY63" s="954"/>
      <c r="GZ63" s="954"/>
      <c r="HA63" s="954"/>
      <c r="HB63" s="954"/>
      <c r="HC63" s="954"/>
      <c r="HD63" s="954"/>
      <c r="HE63" s="954"/>
      <c r="HF63" s="954"/>
      <c r="HG63" s="954"/>
      <c r="HH63" s="954"/>
      <c r="HI63" s="954"/>
      <c r="HJ63" s="954"/>
      <c r="HK63" s="954"/>
      <c r="HL63" s="954"/>
      <c r="HM63" s="954"/>
      <c r="HN63" s="954"/>
      <c r="HO63" s="954"/>
      <c r="HP63" s="954"/>
      <c r="HQ63" s="954"/>
      <c r="HR63" s="954"/>
      <c r="HS63" s="954"/>
      <c r="HT63" s="954"/>
      <c r="HU63" s="954"/>
      <c r="HV63" s="954"/>
      <c r="HW63" s="954"/>
      <c r="HX63" s="954"/>
      <c r="HY63" s="954"/>
      <c r="HZ63" s="954"/>
      <c r="IA63" s="954"/>
      <c r="IB63" s="954"/>
      <c r="IC63" s="954"/>
      <c r="ID63" s="954"/>
      <c r="IE63" s="954"/>
      <c r="IF63" s="954"/>
      <c r="IG63" s="954"/>
      <c r="IH63" s="954"/>
      <c r="II63" s="954"/>
      <c r="IJ63" s="954"/>
      <c r="IK63" s="954"/>
      <c r="IL63" s="954"/>
      <c r="IM63" s="954"/>
      <c r="IN63" s="954"/>
      <c r="IO63" s="954"/>
      <c r="IP63" s="954"/>
      <c r="IQ63" s="954"/>
      <c r="IR63" s="954"/>
      <c r="IS63" s="954"/>
      <c r="IT63" s="954"/>
      <c r="IU63" s="954"/>
      <c r="IV63" s="954"/>
      <c r="IW63" s="954"/>
      <c r="IX63" s="954"/>
      <c r="IY63" s="954"/>
      <c r="IZ63" s="954"/>
      <c r="JA63" s="954"/>
      <c r="JB63" s="954"/>
      <c r="JC63" s="954"/>
      <c r="JD63" s="954"/>
      <c r="JE63" s="954"/>
      <c r="JF63" s="954"/>
      <c r="JG63" s="954"/>
      <c r="JH63" s="954"/>
      <c r="JI63" s="954"/>
      <c r="JJ63" s="954"/>
      <c r="JK63" s="954"/>
      <c r="JL63" s="954"/>
      <c r="JM63" s="954"/>
      <c r="JN63" s="954"/>
      <c r="JO63" s="954"/>
      <c r="JP63" s="954"/>
      <c r="JQ63" s="954"/>
      <c r="JR63" s="954"/>
      <c r="JS63" s="954"/>
      <c r="JT63" s="954"/>
      <c r="JU63" s="954"/>
      <c r="JV63" s="954"/>
      <c r="JW63" s="954"/>
      <c r="JX63" s="954"/>
      <c r="JY63" s="954"/>
      <c r="JZ63" s="954"/>
      <c r="KA63" s="954"/>
      <c r="KB63" s="954"/>
      <c r="KC63" s="954"/>
      <c r="KD63" s="954"/>
      <c r="KE63" s="954"/>
      <c r="KF63" s="954"/>
      <c r="KG63" s="954"/>
      <c r="KH63" s="954"/>
      <c r="KI63" s="954"/>
      <c r="KJ63" s="954"/>
      <c r="KK63" s="954"/>
      <c r="KL63" s="954"/>
      <c r="KM63" s="954"/>
      <c r="KN63" s="954"/>
      <c r="KO63" s="954"/>
      <c r="KP63" s="954"/>
      <c r="KQ63" s="954"/>
      <c r="KR63" s="954"/>
      <c r="KS63" s="954"/>
      <c r="KT63" s="954"/>
      <c r="KU63" s="954"/>
      <c r="KV63" s="954"/>
      <c r="KW63" s="954"/>
      <c r="KX63" s="954"/>
      <c r="KY63" s="954"/>
      <c r="KZ63" s="954"/>
      <c r="LA63" s="954"/>
      <c r="LB63" s="954"/>
      <c r="LC63" s="954"/>
      <c r="LD63" s="954"/>
      <c r="LE63" s="954"/>
      <c r="LF63" s="954"/>
      <c r="LG63" s="954"/>
      <c r="LH63" s="954"/>
      <c r="LI63" s="954"/>
      <c r="LJ63" s="954"/>
      <c r="LK63" s="954"/>
      <c r="LL63" s="954"/>
      <c r="LM63" s="954"/>
      <c r="LN63" s="954"/>
      <c r="LO63" s="954"/>
      <c r="LP63" s="954"/>
      <c r="LQ63" s="954"/>
      <c r="LR63" s="954"/>
      <c r="LS63" s="954"/>
      <c r="LT63" s="954"/>
      <c r="LU63" s="954"/>
      <c r="LV63" s="954"/>
      <c r="LW63" s="954"/>
      <c r="LX63" s="954"/>
      <c r="LY63" s="954"/>
      <c r="LZ63" s="954"/>
      <c r="MA63" s="954"/>
      <c r="MB63" s="954"/>
      <c r="MC63" s="954"/>
      <c r="MD63" s="954"/>
      <c r="ME63" s="954"/>
      <c r="MF63" s="954"/>
      <c r="MG63" s="954"/>
      <c r="MH63" s="954"/>
      <c r="MI63" s="954"/>
      <c r="MJ63" s="954"/>
      <c r="MK63" s="954"/>
      <c r="ML63" s="954"/>
      <c r="MM63" s="954"/>
      <c r="MN63" s="954"/>
      <c r="MO63" s="954"/>
      <c r="MP63" s="954"/>
      <c r="MQ63" s="954"/>
      <c r="MR63" s="954"/>
      <c r="MS63" s="954"/>
      <c r="MT63" s="954"/>
      <c r="MU63" s="954"/>
      <c r="MV63" s="954"/>
      <c r="MW63" s="954"/>
      <c r="MX63" s="954"/>
      <c r="MY63" s="954"/>
      <c r="MZ63" s="954"/>
      <c r="NA63" s="954"/>
      <c r="NB63" s="954"/>
      <c r="NC63" s="954"/>
      <c r="ND63" s="954"/>
      <c r="NE63" s="954"/>
      <c r="NF63" s="954"/>
      <c r="NG63" s="954"/>
      <c r="NH63" s="954"/>
      <c r="NI63" s="954"/>
      <c r="NJ63" s="954"/>
      <c r="NK63" s="954"/>
      <c r="NL63" s="954"/>
      <c r="NM63" s="954"/>
      <c r="NN63" s="954"/>
      <c r="NO63" s="954"/>
      <c r="NP63" s="954"/>
      <c r="NQ63" s="954"/>
      <c r="NR63" s="954"/>
      <c r="NS63" s="954"/>
      <c r="NT63" s="954"/>
      <c r="NU63" s="954"/>
      <c r="NV63" s="954"/>
      <c r="NW63" s="954"/>
      <c r="NX63" s="954"/>
      <c r="NY63" s="954"/>
      <c r="NZ63" s="954"/>
      <c r="OA63" s="954"/>
      <c r="OB63" s="954"/>
      <c r="OC63" s="954"/>
      <c r="OD63" s="954"/>
      <c r="OE63" s="954"/>
      <c r="OF63" s="954"/>
      <c r="OG63" s="954"/>
      <c r="OH63" s="954"/>
      <c r="OI63" s="954"/>
      <c r="OJ63" s="954"/>
      <c r="OK63" s="954"/>
      <c r="OL63" s="954"/>
      <c r="OM63" s="954"/>
      <c r="ON63" s="954"/>
      <c r="OO63" s="954"/>
      <c r="OP63" s="954"/>
      <c r="OQ63" s="954"/>
      <c r="OR63" s="954"/>
      <c r="OS63" s="954"/>
      <c r="OT63" s="954"/>
      <c r="OU63" s="954"/>
      <c r="OV63" s="954"/>
      <c r="OW63" s="954"/>
      <c r="OX63" s="954"/>
      <c r="OY63" s="954"/>
      <c r="OZ63" s="954"/>
      <c r="PA63" s="954"/>
      <c r="PB63" s="954"/>
      <c r="PC63" s="954"/>
      <c r="PD63" s="954"/>
      <c r="PE63" s="954"/>
      <c r="PF63" s="954"/>
      <c r="PG63" s="954"/>
      <c r="PH63" s="954"/>
      <c r="PI63" s="954"/>
      <c r="PJ63" s="954"/>
      <c r="PK63" s="954"/>
      <c r="PL63" s="954"/>
      <c r="PM63" s="954"/>
      <c r="PN63" s="954"/>
      <c r="PO63" s="954"/>
      <c r="PP63" s="954"/>
      <c r="PQ63" s="954"/>
      <c r="PR63" s="954"/>
      <c r="PS63" s="954"/>
      <c r="PT63" s="954"/>
      <c r="PU63" s="954"/>
      <c r="PV63" s="954"/>
      <c r="PW63" s="954"/>
      <c r="PX63" s="954"/>
      <c r="PY63" s="954"/>
      <c r="PZ63" s="954"/>
      <c r="QA63" s="954"/>
      <c r="QB63" s="954"/>
      <c r="QC63" s="954"/>
      <c r="QD63" s="954"/>
      <c r="QE63" s="954"/>
      <c r="QF63" s="954"/>
      <c r="QG63" s="954"/>
      <c r="QH63" s="954"/>
      <c r="QI63" s="954"/>
      <c r="QJ63" s="954"/>
      <c r="QK63" s="954"/>
      <c r="QL63" s="954"/>
      <c r="QM63" s="954"/>
      <c r="QN63" s="954"/>
      <c r="QO63" s="954"/>
      <c r="QP63" s="954"/>
      <c r="QQ63" s="954"/>
      <c r="QR63" s="954"/>
      <c r="QS63" s="954"/>
      <c r="QT63" s="954"/>
      <c r="QU63" s="954"/>
      <c r="QV63" s="954"/>
      <c r="QW63" s="954"/>
      <c r="QX63" s="954"/>
      <c r="QY63" s="954"/>
      <c r="QZ63" s="954"/>
      <c r="RA63" s="954"/>
      <c r="RB63" s="954"/>
      <c r="RC63" s="954"/>
      <c r="RD63" s="954"/>
      <c r="RE63" s="954"/>
      <c r="RF63" s="954"/>
      <c r="RG63" s="954"/>
      <c r="RH63" s="954"/>
      <c r="RI63" s="954"/>
      <c r="RJ63" s="954"/>
      <c r="RK63" s="954"/>
      <c r="RL63" s="954"/>
      <c r="RM63" s="954"/>
      <c r="RN63" s="954"/>
      <c r="RO63" s="954"/>
      <c r="RP63" s="954"/>
      <c r="RQ63" s="954"/>
      <c r="RR63" s="954"/>
      <c r="RS63" s="954"/>
      <c r="RT63" s="954"/>
      <c r="RU63" s="954"/>
      <c r="RV63" s="954"/>
      <c r="RW63" s="954"/>
      <c r="RX63" s="954"/>
      <c r="RY63" s="954"/>
      <c r="RZ63" s="954"/>
      <c r="SA63" s="954"/>
      <c r="SB63" s="954"/>
      <c r="SC63" s="954"/>
      <c r="SD63" s="954"/>
      <c r="SE63" s="954"/>
      <c r="SF63" s="954"/>
      <c r="SG63" s="954"/>
      <c r="SH63" s="954"/>
      <c r="SI63" s="954"/>
      <c r="SJ63" s="954"/>
      <c r="SK63" s="954"/>
      <c r="SL63" s="954"/>
      <c r="SM63" s="954"/>
      <c r="SN63" s="954"/>
      <c r="SO63" s="954"/>
      <c r="SP63" s="954"/>
      <c r="SQ63" s="954"/>
      <c r="SR63" s="954"/>
      <c r="SS63" s="954"/>
      <c r="ST63" s="954"/>
      <c r="SU63" s="954"/>
      <c r="SV63" s="954"/>
      <c r="SW63" s="954"/>
      <c r="SX63" s="954"/>
      <c r="SY63" s="954"/>
      <c r="SZ63" s="954"/>
      <c r="TA63" s="954"/>
      <c r="TB63" s="954"/>
      <c r="TC63" s="954"/>
      <c r="TD63" s="954"/>
      <c r="TE63" s="954"/>
      <c r="TF63" s="954"/>
      <c r="TG63" s="954"/>
      <c r="TH63" s="954"/>
      <c r="TI63" s="954"/>
      <c r="TJ63" s="954"/>
      <c r="TK63" s="954"/>
      <c r="TL63" s="954"/>
      <c r="TM63" s="954"/>
      <c r="TN63" s="954"/>
      <c r="TO63" s="954"/>
      <c r="TP63" s="954"/>
      <c r="TQ63" s="954"/>
      <c r="TR63" s="954"/>
      <c r="TS63" s="954"/>
      <c r="TT63" s="954"/>
      <c r="TU63" s="954"/>
      <c r="TV63" s="954"/>
      <c r="TW63" s="954"/>
      <c r="TX63" s="954"/>
      <c r="TY63" s="954"/>
      <c r="TZ63" s="954"/>
      <c r="UA63" s="954"/>
      <c r="UB63" s="954"/>
      <c r="UC63" s="954"/>
      <c r="UD63" s="954"/>
      <c r="UE63" s="954"/>
      <c r="UF63" s="954"/>
      <c r="UG63" s="954"/>
      <c r="UH63" s="954"/>
      <c r="UI63" s="954"/>
      <c r="UJ63" s="954"/>
      <c r="UK63" s="954"/>
      <c r="UL63" s="954"/>
      <c r="UM63" s="954"/>
      <c r="UN63" s="954"/>
      <c r="UO63" s="954"/>
      <c r="UP63" s="954"/>
      <c r="UQ63" s="954"/>
      <c r="UR63" s="954"/>
      <c r="US63" s="954"/>
      <c r="UT63" s="954"/>
      <c r="UU63" s="954"/>
      <c r="UV63" s="954"/>
      <c r="UW63" s="954"/>
      <c r="UX63" s="954"/>
      <c r="UY63" s="954"/>
      <c r="UZ63" s="954"/>
      <c r="VA63" s="954"/>
      <c r="VB63" s="954"/>
      <c r="VC63" s="954"/>
      <c r="VD63" s="954"/>
      <c r="VE63" s="954"/>
      <c r="VF63" s="954"/>
      <c r="VG63" s="954"/>
      <c r="VH63" s="954"/>
      <c r="VI63" s="954"/>
      <c r="VJ63" s="954"/>
      <c r="VK63" s="954"/>
      <c r="VL63" s="954"/>
      <c r="VM63" s="954"/>
      <c r="VN63" s="954"/>
      <c r="VO63" s="954"/>
      <c r="VP63" s="954"/>
      <c r="VQ63" s="954"/>
      <c r="VR63" s="954"/>
      <c r="VS63" s="954"/>
      <c r="VT63" s="954"/>
      <c r="VU63" s="954"/>
      <c r="VV63" s="954"/>
      <c r="VW63" s="954"/>
      <c r="VX63" s="954"/>
      <c r="VY63" s="954"/>
      <c r="VZ63" s="954"/>
      <c r="WA63" s="954"/>
      <c r="WB63" s="954"/>
      <c r="WC63" s="954"/>
      <c r="WD63" s="954"/>
      <c r="WE63" s="954"/>
      <c r="WF63" s="954"/>
      <c r="WG63" s="954"/>
      <c r="WH63" s="954"/>
      <c r="WI63" s="954"/>
      <c r="WJ63" s="954"/>
      <c r="WK63" s="954"/>
      <c r="WL63" s="954"/>
      <c r="WM63" s="954"/>
      <c r="WN63" s="954"/>
      <c r="WO63" s="954"/>
      <c r="WP63" s="954"/>
      <c r="WQ63" s="954"/>
      <c r="WR63" s="954"/>
      <c r="WS63" s="954"/>
      <c r="WT63" s="954"/>
      <c r="WU63" s="954"/>
      <c r="WV63" s="954"/>
      <c r="WW63" s="954"/>
      <c r="WX63" s="954"/>
      <c r="WY63" s="954"/>
      <c r="WZ63" s="954"/>
      <c r="XA63" s="954"/>
      <c r="XB63" s="954"/>
      <c r="XC63" s="954"/>
      <c r="XD63" s="954"/>
      <c r="XE63" s="954"/>
      <c r="XF63" s="954"/>
      <c r="XG63" s="954"/>
      <c r="XH63" s="954"/>
      <c r="XI63" s="954"/>
      <c r="XJ63" s="954"/>
      <c r="XK63" s="954"/>
      <c r="XL63" s="954"/>
      <c r="XM63" s="954"/>
      <c r="XN63" s="954"/>
      <c r="XO63" s="954"/>
      <c r="XP63" s="954"/>
      <c r="XQ63" s="954"/>
      <c r="XR63" s="954"/>
      <c r="XS63" s="954"/>
      <c r="XT63" s="954"/>
      <c r="XU63" s="954"/>
      <c r="XV63" s="954"/>
      <c r="XW63" s="954"/>
      <c r="XX63" s="954"/>
      <c r="XY63" s="954"/>
      <c r="XZ63" s="954"/>
      <c r="YA63" s="954"/>
      <c r="YB63" s="954"/>
      <c r="YC63" s="954"/>
      <c r="YD63" s="954"/>
      <c r="YE63" s="954"/>
      <c r="YF63" s="954"/>
      <c r="YG63" s="954"/>
      <c r="YH63" s="954"/>
      <c r="YI63" s="954"/>
      <c r="YJ63" s="954"/>
      <c r="YK63" s="954"/>
      <c r="YL63" s="954"/>
      <c r="YM63" s="954"/>
      <c r="YN63" s="954"/>
      <c r="YO63" s="954"/>
      <c r="YP63" s="954"/>
      <c r="YQ63" s="954"/>
      <c r="YR63" s="954"/>
      <c r="YS63" s="954"/>
      <c r="YT63" s="954"/>
      <c r="YU63" s="954"/>
      <c r="YV63" s="954"/>
      <c r="YW63" s="954"/>
      <c r="YX63" s="954"/>
      <c r="YY63" s="954"/>
      <c r="YZ63" s="954"/>
      <c r="ZA63" s="954"/>
      <c r="ZB63" s="954"/>
      <c r="ZC63" s="954"/>
      <c r="ZD63" s="954"/>
      <c r="ZE63" s="954"/>
      <c r="ZF63" s="954"/>
      <c r="ZG63" s="954"/>
      <c r="ZH63" s="954"/>
      <c r="ZI63" s="954"/>
      <c r="ZJ63" s="954"/>
      <c r="ZK63" s="954"/>
      <c r="ZL63" s="954"/>
      <c r="ZM63" s="954"/>
      <c r="ZN63" s="954"/>
      <c r="ZO63" s="954"/>
      <c r="ZP63" s="954"/>
      <c r="ZQ63" s="954"/>
      <c r="ZR63" s="954"/>
      <c r="ZS63" s="954"/>
      <c r="ZT63" s="954"/>
      <c r="ZU63" s="954"/>
      <c r="ZV63" s="954"/>
      <c r="ZW63" s="954"/>
      <c r="ZX63" s="954"/>
      <c r="ZY63" s="954"/>
      <c r="ZZ63" s="954"/>
      <c r="AAA63" s="954"/>
      <c r="AAB63" s="954"/>
      <c r="AAC63" s="954"/>
      <c r="AAD63" s="954"/>
      <c r="AAE63" s="954"/>
      <c r="AAF63" s="954"/>
      <c r="AAG63" s="954"/>
      <c r="AAH63" s="954"/>
      <c r="AAI63" s="954"/>
      <c r="AAJ63" s="954"/>
      <c r="AAK63" s="954"/>
      <c r="AAL63" s="954"/>
      <c r="AAM63" s="954"/>
      <c r="AAN63" s="954"/>
      <c r="AAO63" s="954"/>
      <c r="AAP63" s="954"/>
      <c r="AAQ63" s="954"/>
      <c r="AAR63" s="954"/>
      <c r="AAS63" s="954"/>
      <c r="AAT63" s="954"/>
      <c r="AAU63" s="954"/>
      <c r="AAV63" s="954"/>
      <c r="AAW63" s="954"/>
      <c r="AAX63" s="954"/>
      <c r="AAY63" s="954"/>
      <c r="AAZ63" s="954"/>
      <c r="ABA63" s="954"/>
      <c r="ABB63" s="954"/>
      <c r="ABC63" s="954"/>
      <c r="ABD63" s="954"/>
      <c r="ABE63" s="954"/>
      <c r="ABF63" s="954"/>
      <c r="ABG63" s="954"/>
      <c r="ABH63" s="954"/>
      <c r="ABI63" s="954"/>
      <c r="ABJ63" s="954"/>
      <c r="ABK63" s="954"/>
      <c r="ABL63" s="954"/>
      <c r="ABM63" s="954"/>
      <c r="ABN63" s="954"/>
      <c r="ABO63" s="954"/>
      <c r="ABP63" s="954"/>
      <c r="ABQ63" s="954"/>
      <c r="ABR63" s="954"/>
      <c r="ABS63" s="954"/>
      <c r="ABT63" s="954"/>
      <c r="ABU63" s="954"/>
      <c r="ABV63" s="954"/>
      <c r="ABW63" s="954"/>
      <c r="ABX63" s="954"/>
      <c r="ABY63" s="954"/>
      <c r="ABZ63" s="954"/>
      <c r="ACA63" s="954"/>
      <c r="ACB63" s="954"/>
      <c r="ACC63" s="954"/>
      <c r="ACD63" s="954"/>
      <c r="ACE63" s="954"/>
      <c r="ACF63" s="954"/>
      <c r="ACG63" s="954"/>
      <c r="ACH63" s="954"/>
      <c r="ACI63" s="954"/>
      <c r="ACJ63" s="954"/>
      <c r="ACK63" s="954"/>
      <c r="ACL63" s="954"/>
      <c r="ACM63" s="954"/>
      <c r="ACN63" s="954"/>
      <c r="ACO63" s="954"/>
      <c r="ACP63" s="954"/>
      <c r="ACQ63" s="954"/>
      <c r="ACR63" s="954"/>
      <c r="ACS63" s="954"/>
      <c r="ACT63" s="954"/>
      <c r="ACU63" s="954"/>
      <c r="ACV63" s="954"/>
      <c r="ACW63" s="954"/>
      <c r="ACX63" s="954"/>
      <c r="ACY63" s="954"/>
      <c r="ACZ63" s="954"/>
      <c r="ADA63" s="954"/>
      <c r="ADB63" s="954"/>
      <c r="ADC63" s="954"/>
      <c r="ADD63" s="954"/>
      <c r="ADE63" s="954"/>
      <c r="ADF63" s="954"/>
      <c r="ADG63" s="954"/>
      <c r="ADH63" s="954"/>
      <c r="ADI63" s="954"/>
      <c r="ADJ63" s="954"/>
      <c r="ADK63" s="954"/>
      <c r="ADL63" s="954"/>
      <c r="ADM63" s="954"/>
      <c r="ADN63" s="954"/>
      <c r="ADO63" s="954"/>
      <c r="ADP63" s="954"/>
      <c r="ADQ63" s="954"/>
      <c r="ADR63" s="954"/>
      <c r="ADS63" s="954"/>
      <c r="ADT63" s="954"/>
      <c r="ADU63" s="954"/>
      <c r="ADV63" s="954"/>
      <c r="ADW63" s="954"/>
      <c r="ADX63" s="954"/>
      <c r="ADY63" s="954"/>
      <c r="ADZ63" s="954"/>
      <c r="AEA63" s="954"/>
      <c r="AEB63" s="954"/>
      <c r="AEC63" s="954"/>
      <c r="AED63" s="954"/>
      <c r="AEE63" s="954"/>
      <c r="AEF63" s="954"/>
      <c r="AEG63" s="954"/>
      <c r="AEH63" s="954"/>
      <c r="AEI63" s="954"/>
      <c r="AEJ63" s="954"/>
      <c r="AEK63" s="954"/>
      <c r="AEL63" s="954"/>
      <c r="AEM63" s="954"/>
      <c r="AEN63" s="954"/>
      <c r="AEO63" s="954"/>
      <c r="AEP63" s="954"/>
      <c r="AEQ63" s="954"/>
      <c r="AER63" s="954"/>
      <c r="AES63" s="954"/>
      <c r="AET63" s="954"/>
      <c r="AEU63" s="954"/>
      <c r="AEV63" s="954"/>
      <c r="AEW63" s="954"/>
      <c r="AEX63" s="954"/>
      <c r="AEY63" s="954"/>
      <c r="AEZ63" s="954"/>
      <c r="AFA63" s="954"/>
      <c r="AFB63" s="954"/>
      <c r="AFC63" s="954"/>
      <c r="AFD63" s="954"/>
      <c r="AFE63" s="954"/>
      <c r="AFF63" s="954"/>
      <c r="AFG63" s="954"/>
      <c r="AFH63" s="954"/>
      <c r="AFI63" s="954"/>
      <c r="AFJ63" s="954"/>
      <c r="AFK63" s="954"/>
      <c r="AFL63" s="954"/>
      <c r="AFM63" s="954"/>
      <c r="AFN63" s="954"/>
      <c r="AFO63" s="954"/>
      <c r="AFP63" s="954"/>
      <c r="AFQ63" s="954"/>
      <c r="AFR63" s="954"/>
      <c r="AFS63" s="954"/>
      <c r="AFT63" s="954"/>
      <c r="AFU63" s="954"/>
      <c r="AFV63" s="954"/>
      <c r="AFW63" s="954"/>
      <c r="AFX63" s="954"/>
      <c r="AFY63" s="954"/>
      <c r="AFZ63" s="954"/>
      <c r="AGA63" s="954"/>
      <c r="AGB63" s="954"/>
      <c r="AGC63" s="954"/>
      <c r="AGD63" s="954"/>
      <c r="AGE63" s="954"/>
      <c r="AGF63" s="954"/>
      <c r="AGG63" s="954"/>
      <c r="AGH63" s="954"/>
      <c r="AGI63" s="954"/>
      <c r="AGJ63" s="954"/>
      <c r="AGK63" s="954"/>
      <c r="AGL63" s="954"/>
      <c r="AGM63" s="954"/>
      <c r="AGN63" s="954"/>
      <c r="AGO63" s="954"/>
      <c r="AGP63" s="954"/>
      <c r="AGQ63" s="954"/>
      <c r="AGR63" s="954"/>
      <c r="AGS63" s="954"/>
      <c r="AGT63" s="954"/>
      <c r="AGU63" s="954"/>
      <c r="AGV63" s="954"/>
      <c r="AGW63" s="954"/>
      <c r="AGX63" s="954"/>
      <c r="AGY63" s="954"/>
      <c r="AGZ63" s="954"/>
      <c r="AHA63" s="954"/>
      <c r="AHB63" s="954"/>
      <c r="AHC63" s="954"/>
      <c r="AHD63" s="954"/>
      <c r="AHE63" s="954"/>
      <c r="AHF63" s="954"/>
      <c r="AHG63" s="954"/>
      <c r="AHH63" s="954"/>
      <c r="AHI63" s="954"/>
      <c r="AHJ63" s="954"/>
      <c r="AHK63" s="954"/>
      <c r="AHL63" s="954"/>
      <c r="AHM63" s="954"/>
      <c r="AHN63" s="954"/>
      <c r="AHO63" s="954"/>
      <c r="AHP63" s="954"/>
      <c r="AHQ63" s="954"/>
      <c r="AHR63" s="954"/>
      <c r="AHS63" s="954"/>
      <c r="AHT63" s="954"/>
      <c r="AHU63" s="954"/>
      <c r="AHV63" s="954"/>
      <c r="AHW63" s="954"/>
      <c r="AHX63" s="954"/>
      <c r="AHY63" s="954"/>
      <c r="AHZ63" s="954"/>
      <c r="AIA63" s="954"/>
      <c r="AIB63" s="954"/>
      <c r="AIC63" s="954"/>
      <c r="AID63" s="954"/>
      <c r="AIE63" s="954"/>
      <c r="AIF63" s="954"/>
      <c r="AIG63" s="954"/>
      <c r="AIH63" s="954"/>
      <c r="AII63" s="954"/>
      <c r="AIJ63" s="954"/>
      <c r="AIK63" s="954"/>
      <c r="AIL63" s="954"/>
      <c r="AIM63" s="954"/>
      <c r="AIN63" s="954"/>
      <c r="AIO63" s="954"/>
      <c r="AIP63" s="954"/>
      <c r="AIQ63" s="954"/>
      <c r="AIR63" s="954"/>
      <c r="AIS63" s="954"/>
      <c r="AIT63" s="954"/>
      <c r="AIU63" s="954"/>
      <c r="AIV63" s="954"/>
      <c r="AIW63" s="954"/>
      <c r="AIX63" s="954"/>
      <c r="AIY63" s="954"/>
      <c r="AIZ63" s="954"/>
      <c r="AJA63" s="954"/>
      <c r="AJB63" s="954"/>
      <c r="AJC63" s="954"/>
      <c r="AJD63" s="954"/>
      <c r="AJE63" s="954"/>
      <c r="AJF63" s="954"/>
      <c r="AJG63" s="954"/>
      <c r="AJH63" s="954"/>
      <c r="AJI63" s="954"/>
      <c r="AJJ63" s="954"/>
      <c r="AJK63" s="954"/>
      <c r="AJL63" s="954"/>
      <c r="AJM63" s="954"/>
      <c r="AJN63" s="954"/>
      <c r="AJO63" s="954"/>
      <c r="AJP63" s="954"/>
      <c r="AJQ63" s="954"/>
      <c r="AJR63" s="954"/>
      <c r="AJS63" s="954"/>
      <c r="AJT63" s="954"/>
      <c r="AJU63" s="954"/>
      <c r="AJV63" s="954"/>
      <c r="AJW63" s="954"/>
      <c r="AJX63" s="954"/>
      <c r="AJY63" s="954"/>
      <c r="AJZ63" s="954"/>
      <c r="AKA63" s="954"/>
      <c r="AKB63" s="954"/>
      <c r="AKC63" s="954"/>
      <c r="AKD63" s="954"/>
      <c r="AKE63" s="954"/>
      <c r="AKF63" s="954"/>
      <c r="AKG63" s="954"/>
      <c r="AKH63" s="954"/>
      <c r="AKI63" s="954"/>
      <c r="AKJ63" s="954"/>
      <c r="AKK63" s="954"/>
      <c r="AKL63" s="954"/>
      <c r="AKM63" s="954"/>
      <c r="AKN63" s="954"/>
      <c r="AKO63" s="954"/>
      <c r="AKP63" s="954"/>
      <c r="AKQ63" s="954"/>
      <c r="AKR63" s="954"/>
      <c r="AKS63" s="954"/>
      <c r="AKT63" s="954"/>
      <c r="AKU63" s="954"/>
      <c r="AKV63" s="954"/>
      <c r="AKW63" s="954"/>
      <c r="AKX63" s="954"/>
      <c r="AKY63" s="954"/>
      <c r="AKZ63" s="954"/>
      <c r="ALA63" s="954"/>
      <c r="ALB63" s="954"/>
      <c r="ALC63" s="954"/>
      <c r="ALD63" s="954"/>
      <c r="ALE63" s="954"/>
      <c r="ALF63" s="954"/>
      <c r="ALG63" s="954"/>
      <c r="ALH63" s="954"/>
      <c r="ALI63" s="954"/>
      <c r="ALJ63" s="954"/>
      <c r="ALK63" s="954"/>
      <c r="ALL63" s="954"/>
      <c r="ALM63" s="954"/>
      <c r="ALN63" s="954"/>
      <c r="ALO63" s="954"/>
      <c r="ALP63" s="954"/>
      <c r="ALQ63" s="954"/>
      <c r="ALR63" s="954"/>
      <c r="ALS63" s="954"/>
      <c r="ALT63" s="954"/>
      <c r="ALU63" s="954"/>
      <c r="ALV63" s="954"/>
      <c r="ALW63" s="954"/>
      <c r="ALX63" s="954"/>
      <c r="ALY63" s="954"/>
      <c r="ALZ63" s="954"/>
      <c r="AMA63" s="954"/>
      <c r="AMB63" s="954"/>
      <c r="AMC63" s="954"/>
      <c r="AMD63" s="954"/>
      <c r="AME63" s="954"/>
      <c r="AMF63" s="954"/>
      <c r="AMG63" s="954"/>
      <c r="AMH63" s="954"/>
      <c r="AMI63" s="954"/>
      <c r="AMJ63" s="954"/>
      <c r="AMK63" s="954"/>
      <c r="AML63" s="954"/>
      <c r="AMM63" s="954"/>
      <c r="AMN63" s="954"/>
      <c r="AMO63" s="954"/>
      <c r="AMP63" s="954"/>
      <c r="AMQ63" s="954"/>
      <c r="AMR63" s="954"/>
      <c r="AMS63" s="954"/>
      <c r="AMT63" s="954"/>
      <c r="AMU63" s="954"/>
      <c r="AMV63" s="954"/>
      <c r="AMW63" s="954"/>
      <c r="AMX63" s="954"/>
      <c r="AMY63" s="954"/>
      <c r="AMZ63" s="954"/>
      <c r="ANA63" s="954"/>
      <c r="ANB63" s="954"/>
      <c r="ANC63" s="954"/>
      <c r="AND63" s="954"/>
      <c r="ANE63" s="954"/>
      <c r="ANF63" s="954"/>
      <c r="ANG63" s="954"/>
      <c r="ANH63" s="954"/>
      <c r="ANI63" s="954"/>
      <c r="ANJ63" s="954"/>
      <c r="ANK63" s="954"/>
      <c r="ANL63" s="954"/>
      <c r="ANM63" s="954"/>
      <c r="ANN63" s="954"/>
      <c r="ANO63" s="954"/>
      <c r="ANP63" s="954"/>
      <c r="ANQ63" s="954"/>
      <c r="ANR63" s="954"/>
      <c r="ANS63" s="954"/>
      <c r="ANT63" s="954"/>
      <c r="ANU63" s="954"/>
      <c r="ANV63" s="954"/>
      <c r="ANW63" s="954"/>
      <c r="ANX63" s="954"/>
      <c r="ANY63" s="954"/>
      <c r="ANZ63" s="954"/>
      <c r="AOA63" s="954"/>
      <c r="AOB63" s="954"/>
      <c r="AOC63" s="954"/>
      <c r="AOD63" s="954"/>
      <c r="AOE63" s="954"/>
      <c r="AOF63" s="954"/>
      <c r="AOG63" s="954"/>
      <c r="AOH63" s="954"/>
      <c r="AOI63" s="954"/>
      <c r="AOJ63" s="954"/>
      <c r="AOK63" s="954"/>
      <c r="AOL63" s="954"/>
      <c r="AOM63" s="954"/>
      <c r="AON63" s="954"/>
      <c r="AOO63" s="954"/>
      <c r="AOP63" s="954"/>
      <c r="AOQ63" s="954"/>
      <c r="AOR63" s="954"/>
      <c r="AOS63" s="954"/>
      <c r="AOT63" s="954"/>
      <c r="AOU63" s="954"/>
      <c r="AOV63" s="954"/>
      <c r="AOW63" s="954"/>
      <c r="AOX63" s="954"/>
      <c r="AOY63" s="954"/>
      <c r="AOZ63" s="954"/>
      <c r="APA63" s="954"/>
      <c r="APB63" s="954"/>
      <c r="APC63" s="954"/>
      <c r="APD63" s="954"/>
      <c r="APE63" s="954"/>
      <c r="APF63" s="954"/>
      <c r="APG63" s="954"/>
      <c r="APH63" s="954"/>
      <c r="API63" s="954"/>
      <c r="APJ63" s="954"/>
      <c r="APK63" s="954"/>
      <c r="APL63" s="954"/>
      <c r="APM63" s="954"/>
      <c r="APN63" s="954"/>
      <c r="APO63" s="954"/>
      <c r="APP63" s="954"/>
      <c r="APQ63" s="954"/>
      <c r="APR63" s="954"/>
      <c r="APS63" s="954"/>
      <c r="APT63" s="954"/>
      <c r="APU63" s="954"/>
      <c r="APV63" s="954"/>
      <c r="APW63" s="954"/>
      <c r="APX63" s="954"/>
      <c r="APY63" s="954"/>
      <c r="APZ63" s="954"/>
      <c r="AQA63" s="954"/>
      <c r="AQB63" s="954"/>
      <c r="AQC63" s="954"/>
      <c r="AQD63" s="954"/>
      <c r="AQE63" s="954"/>
      <c r="AQF63" s="954"/>
      <c r="AQG63" s="954"/>
      <c r="AQH63" s="954"/>
      <c r="AQI63" s="954"/>
      <c r="AQJ63" s="954"/>
      <c r="AQK63" s="954"/>
      <c r="AQL63" s="954"/>
      <c r="AQM63" s="954"/>
      <c r="AQN63" s="954"/>
      <c r="AQO63" s="954"/>
      <c r="AQP63" s="954"/>
      <c r="AQQ63" s="954"/>
      <c r="AQR63" s="954"/>
      <c r="AQS63" s="954"/>
      <c r="AQT63" s="954"/>
      <c r="AQU63" s="954"/>
      <c r="AQV63" s="954"/>
      <c r="AQW63" s="954"/>
      <c r="AQX63" s="954"/>
      <c r="AQY63" s="954"/>
      <c r="AQZ63" s="954"/>
      <c r="ARA63" s="954"/>
      <c r="ARB63" s="954"/>
      <c r="ARC63" s="954"/>
      <c r="ARD63" s="954"/>
      <c r="ARE63" s="954"/>
      <c r="ARF63" s="954"/>
      <c r="ARG63" s="954"/>
      <c r="ARH63" s="954"/>
      <c r="ARI63" s="954"/>
      <c r="ARJ63" s="954"/>
      <c r="ARK63" s="954"/>
      <c r="ARL63" s="954"/>
      <c r="ARM63" s="954"/>
      <c r="ARN63" s="954"/>
      <c r="ARO63" s="954"/>
      <c r="ARP63" s="954"/>
      <c r="ARQ63" s="954"/>
      <c r="ARR63" s="954"/>
      <c r="ARS63" s="954"/>
      <c r="ART63" s="954"/>
      <c r="ARU63" s="954"/>
      <c r="ARV63" s="954"/>
      <c r="ARW63" s="954"/>
      <c r="ARX63" s="954"/>
      <c r="ARY63" s="954"/>
      <c r="ARZ63" s="954"/>
      <c r="ASA63" s="954"/>
      <c r="ASB63" s="954"/>
      <c r="ASC63" s="954"/>
      <c r="ASD63" s="954"/>
      <c r="ASE63" s="954"/>
      <c r="ASF63" s="954"/>
      <c r="ASG63" s="954"/>
      <c r="ASH63" s="954"/>
      <c r="ASI63" s="954"/>
      <c r="ASJ63" s="954"/>
      <c r="ASK63" s="954"/>
      <c r="ASL63" s="954"/>
      <c r="ASM63" s="954"/>
      <c r="ASN63" s="954"/>
      <c r="ASO63" s="954"/>
      <c r="ASP63" s="954"/>
      <c r="ASQ63" s="954"/>
      <c r="ASR63" s="954"/>
      <c r="ASS63" s="954"/>
      <c r="AST63" s="954"/>
      <c r="ASU63" s="954"/>
      <c r="ASV63" s="954"/>
      <c r="ASW63" s="954"/>
      <c r="ASX63" s="954"/>
      <c r="ASY63" s="954"/>
      <c r="ASZ63" s="954"/>
      <c r="ATA63" s="954"/>
      <c r="ATB63" s="954"/>
      <c r="ATC63" s="954"/>
      <c r="ATD63" s="954"/>
      <c r="ATE63" s="954"/>
      <c r="ATF63" s="954"/>
      <c r="ATG63" s="954"/>
      <c r="ATH63" s="954"/>
      <c r="ATI63" s="954"/>
      <c r="ATJ63" s="954"/>
      <c r="ATK63" s="954"/>
      <c r="ATL63" s="954"/>
      <c r="ATM63" s="954"/>
      <c r="ATN63" s="954"/>
      <c r="ATO63" s="954"/>
      <c r="ATP63" s="954"/>
      <c r="ATQ63" s="954"/>
      <c r="ATR63" s="954"/>
      <c r="ATS63" s="954"/>
      <c r="ATT63" s="954"/>
      <c r="ATU63" s="954"/>
      <c r="ATV63" s="954"/>
      <c r="ATW63" s="954"/>
      <c r="ATX63" s="954"/>
      <c r="ATY63" s="954"/>
      <c r="ATZ63" s="954"/>
      <c r="AUA63" s="954"/>
      <c r="AUB63" s="954"/>
      <c r="AUC63" s="954"/>
      <c r="AUD63" s="954"/>
      <c r="AUE63" s="954"/>
      <c r="AUF63" s="954"/>
      <c r="AUG63" s="954"/>
      <c r="AUH63" s="954"/>
      <c r="AUI63" s="954"/>
      <c r="AUJ63" s="954"/>
      <c r="AUK63" s="954"/>
      <c r="AUL63" s="954"/>
      <c r="AUM63" s="954"/>
      <c r="AUN63" s="954"/>
      <c r="AUO63" s="954"/>
      <c r="AUP63" s="954"/>
      <c r="AUQ63" s="954"/>
      <c r="AUR63" s="954"/>
      <c r="AUS63" s="954"/>
      <c r="AUT63" s="954"/>
      <c r="AUU63" s="954"/>
      <c r="AUV63" s="954"/>
      <c r="AUW63" s="954"/>
      <c r="AUX63" s="954"/>
      <c r="AUY63" s="954"/>
      <c r="AUZ63" s="954"/>
      <c r="AVA63" s="954"/>
      <c r="AVB63" s="954"/>
      <c r="AVC63" s="954"/>
      <c r="AVD63" s="954"/>
      <c r="AVE63" s="954"/>
      <c r="AVF63" s="954"/>
      <c r="AVG63" s="954"/>
      <c r="AVH63" s="954"/>
      <c r="AVI63" s="954"/>
      <c r="AVJ63" s="954"/>
      <c r="AVK63" s="954"/>
      <c r="AVL63" s="954"/>
      <c r="AVM63" s="954"/>
      <c r="AVN63" s="954"/>
      <c r="AVO63" s="954"/>
      <c r="AVP63" s="954"/>
      <c r="AVQ63" s="954"/>
      <c r="AVR63" s="954"/>
      <c r="AVS63" s="954"/>
      <c r="AVT63" s="954"/>
      <c r="AVU63" s="954"/>
      <c r="AVV63" s="954"/>
      <c r="AVW63" s="954"/>
      <c r="AVX63" s="954"/>
      <c r="AVY63" s="954"/>
      <c r="AVZ63" s="954"/>
      <c r="AWA63" s="954"/>
      <c r="AWB63" s="954"/>
      <c r="AWC63" s="954"/>
      <c r="AWD63" s="954"/>
      <c r="AWE63" s="954"/>
      <c r="AWF63" s="954"/>
      <c r="AWG63" s="954"/>
      <c r="AWH63" s="954"/>
      <c r="AWI63" s="954"/>
      <c r="AWJ63" s="954"/>
      <c r="AWK63" s="954"/>
      <c r="AWL63" s="954"/>
      <c r="AWM63" s="954"/>
      <c r="AWN63" s="954"/>
      <c r="AWO63" s="954"/>
      <c r="AWP63" s="954"/>
      <c r="AWQ63" s="954"/>
      <c r="AWR63" s="954"/>
      <c r="AWS63" s="954"/>
      <c r="AWT63" s="954"/>
      <c r="AWU63" s="954"/>
      <c r="AWV63" s="954"/>
      <c r="AWW63" s="954"/>
      <c r="AWX63" s="954"/>
      <c r="AWY63" s="954"/>
      <c r="AWZ63" s="954"/>
      <c r="AXA63" s="954"/>
      <c r="AXB63" s="954"/>
      <c r="AXC63" s="954"/>
      <c r="AXD63" s="954"/>
      <c r="AXE63" s="954"/>
      <c r="AXF63" s="954"/>
      <c r="AXG63" s="954"/>
      <c r="AXH63" s="954"/>
      <c r="AXI63" s="954"/>
      <c r="AXJ63" s="954"/>
      <c r="AXK63" s="954"/>
      <c r="AXL63" s="954"/>
      <c r="AXM63" s="954"/>
      <c r="AXN63" s="954"/>
      <c r="AXO63" s="954"/>
      <c r="AXP63" s="954"/>
      <c r="AXQ63" s="954"/>
      <c r="AXR63" s="954"/>
      <c r="AXS63" s="954"/>
      <c r="AXT63" s="954"/>
      <c r="AXU63" s="954"/>
      <c r="AXV63" s="954"/>
      <c r="AXW63" s="954"/>
      <c r="AXX63" s="954"/>
      <c r="AXY63" s="954"/>
      <c r="AXZ63" s="954"/>
      <c r="AYA63" s="954"/>
      <c r="AYB63" s="954"/>
      <c r="AYC63" s="954"/>
      <c r="AYD63" s="954"/>
      <c r="AYE63" s="954"/>
      <c r="AYF63" s="954"/>
      <c r="AYG63" s="954"/>
      <c r="AYH63" s="954"/>
      <c r="AYI63" s="954"/>
      <c r="AYJ63" s="954"/>
      <c r="AYK63" s="954"/>
      <c r="AYL63" s="954"/>
      <c r="AYM63" s="954"/>
      <c r="AYN63" s="954"/>
      <c r="AYO63" s="954"/>
      <c r="AYP63" s="954"/>
      <c r="AYQ63" s="954"/>
      <c r="AYR63" s="954"/>
      <c r="AYS63" s="954"/>
      <c r="AYT63" s="954"/>
      <c r="AYU63" s="954"/>
      <c r="AYV63" s="954"/>
      <c r="AYW63" s="954"/>
      <c r="AYX63" s="954"/>
      <c r="AYY63" s="954"/>
      <c r="AYZ63" s="954"/>
      <c r="AZA63" s="954"/>
      <c r="AZB63" s="954"/>
      <c r="AZC63" s="954"/>
      <c r="AZD63" s="954"/>
      <c r="AZE63" s="954"/>
      <c r="AZF63" s="954"/>
      <c r="AZG63" s="954"/>
      <c r="AZH63" s="954"/>
      <c r="AZI63" s="954"/>
      <c r="AZJ63" s="954"/>
      <c r="AZK63" s="954"/>
      <c r="AZL63" s="954"/>
      <c r="AZM63" s="954"/>
      <c r="AZN63" s="954"/>
      <c r="AZO63" s="954"/>
      <c r="AZP63" s="954"/>
      <c r="AZQ63" s="954"/>
      <c r="AZR63" s="954"/>
      <c r="AZS63" s="954"/>
      <c r="AZT63" s="954"/>
      <c r="AZU63" s="954"/>
      <c r="AZV63" s="954"/>
      <c r="AZW63" s="954"/>
      <c r="AZX63" s="954"/>
      <c r="AZY63" s="954"/>
      <c r="AZZ63" s="954"/>
      <c r="BAA63" s="954"/>
      <c r="BAB63" s="954"/>
      <c r="BAC63" s="954"/>
      <c r="BAD63" s="954"/>
      <c r="BAE63" s="954"/>
      <c r="BAF63" s="954"/>
      <c r="BAG63" s="954"/>
      <c r="BAH63" s="954"/>
      <c r="BAI63" s="954"/>
      <c r="BAJ63" s="954"/>
      <c r="BAK63" s="954"/>
      <c r="BAL63" s="954"/>
      <c r="BAM63" s="954"/>
      <c r="BAN63" s="954"/>
      <c r="BAO63" s="954"/>
      <c r="BAP63" s="954"/>
      <c r="BAQ63" s="954"/>
      <c r="BAR63" s="954"/>
      <c r="BAS63" s="954"/>
      <c r="BAT63" s="954"/>
      <c r="BAU63" s="954"/>
      <c r="BAV63" s="954"/>
      <c r="BAW63" s="954"/>
      <c r="BAX63" s="954"/>
      <c r="BAY63" s="954"/>
      <c r="BAZ63" s="954"/>
      <c r="BBA63" s="954"/>
      <c r="BBB63" s="954"/>
      <c r="BBC63" s="954"/>
      <c r="BBD63" s="954"/>
      <c r="BBE63" s="954"/>
      <c r="BBF63" s="954"/>
      <c r="BBG63" s="954"/>
      <c r="BBH63" s="954"/>
      <c r="BBI63" s="954"/>
      <c r="BBJ63" s="954"/>
      <c r="BBK63" s="954"/>
      <c r="BBL63" s="954"/>
      <c r="BBM63" s="954"/>
      <c r="BBN63" s="954"/>
      <c r="BBO63" s="954"/>
      <c r="BBP63" s="954"/>
      <c r="BBQ63" s="954"/>
      <c r="BBR63" s="954"/>
      <c r="BBS63" s="954"/>
      <c r="BBT63" s="954"/>
      <c r="BBU63" s="954"/>
      <c r="BBV63" s="954"/>
      <c r="BBW63" s="954"/>
      <c r="BBX63" s="954"/>
      <c r="BBY63" s="954"/>
      <c r="BBZ63" s="954"/>
      <c r="BCA63" s="954"/>
      <c r="BCB63" s="954"/>
      <c r="BCC63" s="954"/>
      <c r="BCD63" s="954"/>
      <c r="BCE63" s="954"/>
      <c r="BCF63" s="954"/>
      <c r="BCG63" s="954"/>
      <c r="BCH63" s="954"/>
      <c r="BCI63" s="954"/>
      <c r="BCJ63" s="954"/>
      <c r="BCK63" s="954"/>
      <c r="BCL63" s="954"/>
      <c r="BCM63" s="954"/>
      <c r="BCN63" s="954"/>
      <c r="BCO63" s="954"/>
      <c r="BCP63" s="954"/>
      <c r="BCQ63" s="954"/>
      <c r="BCR63" s="954"/>
      <c r="BCS63" s="954"/>
      <c r="BCT63" s="954"/>
      <c r="BCU63" s="954"/>
      <c r="BCV63" s="954"/>
      <c r="BCW63" s="954"/>
      <c r="BCX63" s="954"/>
      <c r="BCY63" s="954"/>
      <c r="BCZ63" s="954"/>
      <c r="BDA63" s="954"/>
      <c r="BDB63" s="954"/>
      <c r="BDC63" s="954"/>
      <c r="BDD63" s="954"/>
      <c r="BDE63" s="954"/>
      <c r="BDF63" s="954"/>
      <c r="BDG63" s="954"/>
      <c r="BDH63" s="954"/>
      <c r="BDI63" s="954"/>
      <c r="BDJ63" s="954"/>
      <c r="BDK63" s="954"/>
      <c r="BDL63" s="954"/>
      <c r="BDM63" s="954"/>
      <c r="BDN63" s="954"/>
      <c r="BDO63" s="954"/>
      <c r="BDP63" s="954"/>
      <c r="BDQ63" s="954"/>
      <c r="BDR63" s="954"/>
      <c r="BDS63" s="954"/>
      <c r="BDT63" s="954"/>
      <c r="BDU63" s="954"/>
      <c r="BDV63" s="954"/>
      <c r="BDW63" s="954"/>
      <c r="BDX63" s="954"/>
      <c r="BDY63" s="954"/>
      <c r="BDZ63" s="954"/>
      <c r="BEA63" s="954"/>
      <c r="BEB63" s="954"/>
      <c r="BEC63" s="954"/>
      <c r="BED63" s="954"/>
      <c r="BEE63" s="954"/>
      <c r="BEF63" s="954"/>
      <c r="BEG63" s="954"/>
      <c r="BEH63" s="954"/>
      <c r="BEI63" s="954"/>
      <c r="BEJ63" s="954"/>
      <c r="BEK63" s="954"/>
      <c r="BEL63" s="954"/>
      <c r="BEM63" s="954"/>
      <c r="BEN63" s="954"/>
      <c r="BEO63" s="954"/>
      <c r="BEP63" s="954"/>
      <c r="BEQ63" s="954"/>
      <c r="BER63" s="954"/>
      <c r="BES63" s="954"/>
      <c r="BET63" s="954"/>
      <c r="BEU63" s="954"/>
      <c r="BEV63" s="954"/>
      <c r="BEW63" s="954"/>
      <c r="BEX63" s="954"/>
      <c r="BEY63" s="954"/>
      <c r="BEZ63" s="954"/>
      <c r="BFA63" s="954"/>
      <c r="BFB63" s="954"/>
      <c r="BFC63" s="954"/>
      <c r="BFD63" s="954"/>
      <c r="BFE63" s="954"/>
      <c r="BFF63" s="954"/>
      <c r="BFG63" s="954"/>
      <c r="BFH63" s="954"/>
      <c r="BFI63" s="954"/>
      <c r="BFJ63" s="954"/>
      <c r="BFK63" s="954"/>
      <c r="BFL63" s="954"/>
      <c r="BFM63" s="954"/>
      <c r="BFN63" s="954"/>
      <c r="BFO63" s="954"/>
      <c r="BFP63" s="954"/>
      <c r="BFQ63" s="954"/>
      <c r="BFR63" s="954"/>
      <c r="BFS63" s="954"/>
      <c r="BFT63" s="954"/>
      <c r="BFU63" s="954"/>
      <c r="BFV63" s="954"/>
      <c r="BFW63" s="954"/>
      <c r="BFX63" s="954"/>
      <c r="BFY63" s="954"/>
      <c r="BFZ63" s="954"/>
      <c r="BGA63" s="954"/>
      <c r="BGB63" s="954"/>
      <c r="BGC63" s="954"/>
      <c r="BGD63" s="954"/>
      <c r="BGE63" s="954"/>
      <c r="BGF63" s="954"/>
      <c r="BGG63" s="954"/>
      <c r="BGH63" s="954"/>
      <c r="BGI63" s="954"/>
      <c r="BGJ63" s="954"/>
      <c r="BGK63" s="954"/>
      <c r="BGL63" s="954"/>
      <c r="BGM63" s="954"/>
      <c r="BGN63" s="954"/>
      <c r="BGO63" s="954"/>
      <c r="BGP63" s="954"/>
      <c r="BGQ63" s="954"/>
      <c r="BGR63" s="954"/>
      <c r="BGS63" s="954"/>
      <c r="BGT63" s="954"/>
      <c r="BGU63" s="954"/>
      <c r="BGV63" s="954"/>
      <c r="BGW63" s="954"/>
      <c r="BGX63" s="954"/>
      <c r="BGY63" s="954"/>
      <c r="BGZ63" s="954"/>
      <c r="BHA63" s="954"/>
      <c r="BHB63" s="954"/>
      <c r="BHC63" s="954"/>
      <c r="BHD63" s="954"/>
      <c r="BHE63" s="954"/>
      <c r="BHF63" s="954"/>
      <c r="BHG63" s="954"/>
      <c r="BHH63" s="954"/>
      <c r="BHI63" s="954"/>
      <c r="BHJ63" s="954"/>
      <c r="BHK63" s="954"/>
      <c r="BHL63" s="954"/>
      <c r="BHM63" s="954"/>
      <c r="BHN63" s="954"/>
      <c r="BHO63" s="954"/>
      <c r="BHP63" s="954"/>
      <c r="BHQ63" s="954"/>
      <c r="BHR63" s="954"/>
      <c r="BHS63" s="954"/>
      <c r="BHT63" s="954"/>
      <c r="BHU63" s="954"/>
      <c r="BHV63" s="954"/>
      <c r="BHW63" s="954"/>
      <c r="BHX63" s="954"/>
      <c r="BHY63" s="954"/>
      <c r="BHZ63" s="954"/>
      <c r="BIA63" s="954"/>
      <c r="BIB63" s="954"/>
      <c r="BIC63" s="954"/>
      <c r="BID63" s="954"/>
      <c r="BIE63" s="954"/>
      <c r="BIF63" s="954"/>
      <c r="BIG63" s="954"/>
      <c r="BIH63" s="954"/>
      <c r="BII63" s="954"/>
      <c r="BIJ63" s="954"/>
      <c r="BIK63" s="954"/>
      <c r="BIL63" s="954"/>
      <c r="BIM63" s="954"/>
      <c r="BIN63" s="954"/>
      <c r="BIO63" s="954"/>
      <c r="BIP63" s="954"/>
      <c r="BIQ63" s="954"/>
      <c r="BIR63" s="954"/>
      <c r="BIS63" s="954"/>
      <c r="BIT63" s="954"/>
      <c r="BIU63" s="954"/>
      <c r="BIV63" s="954"/>
      <c r="BIW63" s="954"/>
      <c r="BIX63" s="954"/>
      <c r="BIY63" s="954"/>
      <c r="BIZ63" s="954"/>
      <c r="BJA63" s="954"/>
      <c r="BJB63" s="954"/>
      <c r="BJC63" s="954"/>
      <c r="BJD63" s="954"/>
      <c r="BJE63" s="954"/>
      <c r="BJF63" s="954"/>
      <c r="BJG63" s="954"/>
      <c r="BJH63" s="954"/>
      <c r="BJI63" s="954"/>
      <c r="BJJ63" s="954"/>
      <c r="BJK63" s="954"/>
      <c r="BJL63" s="954"/>
      <c r="BJM63" s="954"/>
      <c r="BJN63" s="954"/>
      <c r="BJO63" s="954"/>
      <c r="BJP63" s="954"/>
      <c r="BJQ63" s="954"/>
      <c r="BJR63" s="954"/>
      <c r="BJS63" s="954"/>
      <c r="BJT63" s="954"/>
      <c r="BJU63" s="954"/>
      <c r="BJV63" s="954"/>
      <c r="BJW63" s="954"/>
      <c r="BJX63" s="954"/>
      <c r="BJY63" s="954"/>
      <c r="BJZ63" s="954"/>
      <c r="BKA63" s="954"/>
      <c r="BKB63" s="954"/>
      <c r="BKC63" s="954"/>
      <c r="BKD63" s="954"/>
      <c r="BKE63" s="954"/>
      <c r="BKF63" s="954"/>
      <c r="BKG63" s="954"/>
      <c r="BKH63" s="954"/>
      <c r="BKI63" s="954"/>
      <c r="BKJ63" s="954"/>
      <c r="BKK63" s="954"/>
      <c r="BKL63" s="954"/>
      <c r="BKM63" s="954"/>
      <c r="BKN63" s="954"/>
      <c r="BKO63" s="954"/>
      <c r="BKP63" s="954"/>
      <c r="BKQ63" s="954"/>
      <c r="BKR63" s="954"/>
      <c r="BKS63" s="954"/>
      <c r="BKT63" s="954"/>
      <c r="BKU63" s="954"/>
      <c r="BKV63" s="954"/>
      <c r="BKW63" s="954"/>
      <c r="BKX63" s="954"/>
      <c r="BKY63" s="954"/>
      <c r="BKZ63" s="954"/>
      <c r="BLA63" s="954"/>
      <c r="BLB63" s="954"/>
      <c r="BLC63" s="954"/>
      <c r="BLD63" s="954"/>
      <c r="BLE63" s="954"/>
      <c r="BLF63" s="954"/>
      <c r="BLG63" s="954"/>
      <c r="BLH63" s="954"/>
      <c r="BLI63" s="954"/>
      <c r="BLJ63" s="954"/>
      <c r="BLK63" s="954"/>
      <c r="BLL63" s="954"/>
      <c r="BLM63" s="954"/>
      <c r="BLN63" s="954"/>
      <c r="BLO63" s="954"/>
      <c r="BLP63" s="954"/>
      <c r="BLQ63" s="954"/>
      <c r="BLR63" s="954"/>
      <c r="BLS63" s="954"/>
      <c r="BLT63" s="954"/>
      <c r="BLU63" s="954"/>
      <c r="BLV63" s="954"/>
      <c r="BLW63" s="954"/>
      <c r="BLX63" s="954"/>
      <c r="BLY63" s="954"/>
      <c r="BLZ63" s="954"/>
      <c r="BMA63" s="954"/>
      <c r="BMB63" s="954"/>
      <c r="BMC63" s="954"/>
      <c r="BMD63" s="954"/>
      <c r="BME63" s="954"/>
      <c r="BMF63" s="954"/>
      <c r="BMG63" s="954"/>
      <c r="BMH63" s="954"/>
      <c r="BMI63" s="954"/>
      <c r="BMJ63" s="954"/>
      <c r="BMK63" s="954"/>
      <c r="BML63" s="954"/>
      <c r="BMM63" s="954"/>
      <c r="BMN63" s="954"/>
      <c r="BMO63" s="954"/>
      <c r="BMP63" s="954"/>
      <c r="BMQ63" s="954"/>
      <c r="BMR63" s="954"/>
      <c r="BMS63" s="954"/>
      <c r="BMT63" s="954"/>
      <c r="BMU63" s="954"/>
      <c r="BMV63" s="954"/>
      <c r="BMW63" s="954"/>
      <c r="BMX63" s="954"/>
      <c r="BMY63" s="954"/>
      <c r="BMZ63" s="954"/>
      <c r="BNA63" s="954"/>
      <c r="BNB63" s="954"/>
      <c r="BNC63" s="954"/>
      <c r="BND63" s="954"/>
      <c r="BNE63" s="954"/>
      <c r="BNF63" s="954"/>
      <c r="BNG63" s="954"/>
      <c r="BNH63" s="954"/>
      <c r="BNI63" s="954"/>
      <c r="BNJ63" s="954"/>
      <c r="BNK63" s="954"/>
      <c r="BNL63" s="954"/>
      <c r="BNM63" s="954"/>
      <c r="BNN63" s="954"/>
      <c r="BNO63" s="954"/>
      <c r="BNP63" s="954"/>
      <c r="BNQ63" s="954"/>
      <c r="BNR63" s="954"/>
      <c r="BNS63" s="954"/>
      <c r="BNT63" s="954"/>
      <c r="BNU63" s="954"/>
      <c r="BNV63" s="954"/>
      <c r="BNW63" s="954"/>
      <c r="BNX63" s="954"/>
      <c r="BNY63" s="954"/>
      <c r="BNZ63" s="954"/>
      <c r="BOA63" s="954"/>
      <c r="BOB63" s="954"/>
      <c r="BOC63" s="954"/>
      <c r="BOD63" s="954"/>
      <c r="BOE63" s="954"/>
      <c r="BOF63" s="954"/>
      <c r="BOG63" s="954"/>
      <c r="BOH63" s="954"/>
      <c r="BOI63" s="954"/>
      <c r="BOJ63" s="954"/>
      <c r="BOK63" s="954"/>
      <c r="BOL63" s="954"/>
      <c r="BOM63" s="954"/>
      <c r="BON63" s="954"/>
      <c r="BOO63" s="954"/>
      <c r="BOP63" s="954"/>
      <c r="BOQ63" s="954"/>
      <c r="BOR63" s="954"/>
      <c r="BOS63" s="954"/>
      <c r="BOT63" s="954"/>
      <c r="BOU63" s="954"/>
      <c r="BOV63" s="954"/>
      <c r="BOW63" s="954"/>
      <c r="BOX63" s="954"/>
      <c r="BOY63" s="954"/>
      <c r="BOZ63" s="954"/>
      <c r="BPA63" s="954"/>
      <c r="BPB63" s="954"/>
      <c r="BPC63" s="954"/>
      <c r="BPD63" s="954"/>
      <c r="BPE63" s="954"/>
      <c r="BPF63" s="954"/>
      <c r="BPG63" s="954"/>
      <c r="BPH63" s="954"/>
      <c r="BPI63" s="954"/>
      <c r="BPJ63" s="954"/>
      <c r="BPK63" s="954"/>
      <c r="BPL63" s="954"/>
      <c r="BPM63" s="954"/>
      <c r="BPN63" s="954"/>
      <c r="BPO63" s="954"/>
      <c r="BPP63" s="954"/>
      <c r="BPQ63" s="954"/>
      <c r="BPR63" s="954"/>
      <c r="BPS63" s="954"/>
      <c r="BPT63" s="954"/>
      <c r="BPU63" s="954"/>
      <c r="BPV63" s="954"/>
      <c r="BPW63" s="954"/>
      <c r="BPX63" s="954"/>
      <c r="BPY63" s="954"/>
      <c r="BPZ63" s="954"/>
      <c r="BQA63" s="954"/>
      <c r="BQB63" s="954"/>
      <c r="BQC63" s="954"/>
      <c r="BQD63" s="954"/>
      <c r="BQE63" s="954"/>
      <c r="BQF63" s="954"/>
      <c r="BQG63" s="954"/>
      <c r="BQH63" s="954"/>
      <c r="BQI63" s="954"/>
      <c r="BQJ63" s="954"/>
      <c r="BQK63" s="954"/>
      <c r="BQL63" s="954"/>
      <c r="BQM63" s="954"/>
      <c r="BQN63" s="954"/>
      <c r="BQO63" s="954"/>
      <c r="BQP63" s="954"/>
      <c r="BQQ63" s="954"/>
      <c r="BQR63" s="954"/>
      <c r="BQS63" s="954"/>
      <c r="BQT63" s="954"/>
      <c r="BQU63" s="954"/>
      <c r="BQV63" s="954"/>
      <c r="BQW63" s="954"/>
      <c r="BQX63" s="954"/>
      <c r="BQY63" s="954"/>
      <c r="BQZ63" s="954"/>
      <c r="BRA63" s="954"/>
      <c r="BRB63" s="954"/>
      <c r="BRC63" s="954"/>
      <c r="BRD63" s="954"/>
      <c r="BRE63" s="954"/>
      <c r="BRF63" s="954"/>
      <c r="BRG63" s="954"/>
      <c r="BRH63" s="954"/>
      <c r="BRI63" s="954"/>
      <c r="BRJ63" s="954"/>
      <c r="BRK63" s="954"/>
      <c r="BRL63" s="954"/>
      <c r="BRM63" s="954"/>
      <c r="BRN63" s="954"/>
      <c r="BRO63" s="954"/>
      <c r="BRP63" s="954"/>
      <c r="BRQ63" s="954"/>
      <c r="BRR63" s="954"/>
      <c r="BRS63" s="954"/>
      <c r="BRT63" s="954"/>
      <c r="BRU63" s="954"/>
      <c r="BRV63" s="954"/>
      <c r="BRW63" s="954"/>
      <c r="BRX63" s="954"/>
      <c r="BRY63" s="954"/>
      <c r="BRZ63" s="954"/>
      <c r="BSA63" s="954"/>
      <c r="BSB63" s="954"/>
      <c r="BSC63" s="954"/>
      <c r="BSD63" s="954"/>
      <c r="BSE63" s="954"/>
      <c r="BSF63" s="954"/>
      <c r="BSG63" s="954"/>
      <c r="BSH63" s="954"/>
      <c r="BSI63" s="954"/>
      <c r="BSJ63" s="954"/>
      <c r="BSK63" s="954"/>
      <c r="BSL63" s="954"/>
      <c r="BSM63" s="954"/>
      <c r="BSN63" s="954"/>
      <c r="BSO63" s="954"/>
      <c r="BSP63" s="954"/>
      <c r="BSQ63" s="954"/>
      <c r="BSR63" s="954"/>
      <c r="BSS63" s="954"/>
      <c r="BST63" s="954"/>
      <c r="BSU63" s="954"/>
      <c r="BSV63" s="954"/>
      <c r="BSW63" s="954"/>
      <c r="BSX63" s="954"/>
      <c r="BSY63" s="954"/>
      <c r="BSZ63" s="954"/>
      <c r="BTA63" s="954"/>
      <c r="BTB63" s="954"/>
      <c r="BTC63" s="954"/>
      <c r="BTD63" s="954"/>
      <c r="BTE63" s="954"/>
      <c r="BTF63" s="954"/>
      <c r="BTG63" s="954"/>
      <c r="BTH63" s="954"/>
      <c r="BTI63" s="954"/>
      <c r="BTJ63" s="954"/>
      <c r="BTK63" s="954"/>
      <c r="BTL63" s="954"/>
      <c r="BTM63" s="954"/>
      <c r="BTN63" s="954"/>
      <c r="BTO63" s="954"/>
      <c r="BTP63" s="954"/>
      <c r="BTQ63" s="954"/>
      <c r="BTR63" s="954"/>
      <c r="BTS63" s="954"/>
      <c r="BTT63" s="954"/>
      <c r="BTU63" s="954"/>
      <c r="BTV63" s="954"/>
      <c r="BTW63" s="954"/>
      <c r="BTX63" s="954"/>
      <c r="BTY63" s="954"/>
      <c r="BTZ63" s="954"/>
      <c r="BUA63" s="954"/>
      <c r="BUB63" s="954"/>
      <c r="BUC63" s="954"/>
      <c r="BUD63" s="954"/>
      <c r="BUE63" s="954"/>
      <c r="BUF63" s="954"/>
      <c r="BUG63" s="954"/>
      <c r="BUH63" s="954"/>
      <c r="BUI63" s="954"/>
      <c r="BUJ63" s="954"/>
      <c r="BUK63" s="954"/>
      <c r="BUL63" s="954"/>
      <c r="BUM63" s="954"/>
      <c r="BUN63" s="954"/>
      <c r="BUO63" s="954"/>
      <c r="BUP63" s="954"/>
      <c r="BUQ63" s="954"/>
      <c r="BUR63" s="954"/>
      <c r="BUS63" s="954"/>
      <c r="BUT63" s="954"/>
      <c r="BUU63" s="954"/>
      <c r="BUV63" s="954"/>
      <c r="BUW63" s="954"/>
      <c r="BUX63" s="954"/>
      <c r="BUY63" s="954"/>
      <c r="BUZ63" s="954"/>
      <c r="BVA63" s="954"/>
      <c r="BVB63" s="954"/>
      <c r="BVC63" s="954"/>
      <c r="BVD63" s="954"/>
      <c r="BVE63" s="954"/>
      <c r="BVF63" s="954"/>
      <c r="BVG63" s="954"/>
      <c r="BVH63" s="954"/>
      <c r="BVI63" s="954"/>
      <c r="BVJ63" s="954"/>
      <c r="BVK63" s="954"/>
      <c r="BVL63" s="954"/>
      <c r="BVM63" s="954"/>
      <c r="BVN63" s="954"/>
      <c r="BVO63" s="954"/>
      <c r="BVP63" s="954"/>
      <c r="BVQ63" s="954"/>
      <c r="BVR63" s="954"/>
      <c r="BVS63" s="954"/>
      <c r="BVT63" s="954"/>
      <c r="BVU63" s="954"/>
      <c r="BVV63" s="954"/>
      <c r="BVW63" s="954"/>
      <c r="BVX63" s="954"/>
      <c r="BVY63" s="954"/>
      <c r="BVZ63" s="954"/>
      <c r="BWA63" s="954"/>
      <c r="BWB63" s="954"/>
      <c r="BWC63" s="954"/>
      <c r="BWD63" s="954"/>
      <c r="BWE63" s="954"/>
      <c r="BWF63" s="954"/>
      <c r="BWG63" s="954"/>
      <c r="BWH63" s="954"/>
      <c r="BWI63" s="954"/>
      <c r="BWJ63" s="954"/>
      <c r="BWK63" s="954"/>
      <c r="BWL63" s="954"/>
      <c r="BWM63" s="954"/>
      <c r="BWN63" s="954"/>
      <c r="BWO63" s="954"/>
      <c r="BWP63" s="954"/>
      <c r="BWQ63" s="954"/>
      <c r="BWR63" s="954"/>
      <c r="BWS63" s="954"/>
      <c r="BWT63" s="954"/>
      <c r="BWU63" s="954"/>
      <c r="BWV63" s="954"/>
      <c r="BWW63" s="954"/>
      <c r="BWX63" s="954"/>
      <c r="BWY63" s="954"/>
      <c r="BWZ63" s="954"/>
      <c r="BXA63" s="954"/>
      <c r="BXB63" s="954"/>
      <c r="BXC63" s="954"/>
      <c r="BXD63" s="954"/>
      <c r="BXE63" s="954"/>
      <c r="BXF63" s="954"/>
      <c r="BXG63" s="954"/>
      <c r="BXH63" s="954"/>
      <c r="BXI63" s="954"/>
      <c r="BXJ63" s="954"/>
      <c r="BXK63" s="954"/>
      <c r="BXL63" s="954"/>
      <c r="BXM63" s="954"/>
      <c r="BXN63" s="954"/>
      <c r="BXO63" s="954"/>
      <c r="BXP63" s="954"/>
      <c r="BXQ63" s="954"/>
      <c r="BXR63" s="954"/>
      <c r="BXS63" s="954"/>
      <c r="BXT63" s="954"/>
      <c r="BXU63" s="954"/>
      <c r="BXV63" s="954"/>
      <c r="BXW63" s="954"/>
      <c r="BXX63" s="954"/>
      <c r="BXY63" s="954"/>
      <c r="BXZ63" s="954"/>
      <c r="BYA63" s="954"/>
      <c r="BYB63" s="954"/>
      <c r="BYC63" s="954"/>
      <c r="BYD63" s="954"/>
      <c r="BYE63" s="954"/>
      <c r="BYF63" s="954"/>
      <c r="BYG63" s="954"/>
      <c r="BYH63" s="954"/>
      <c r="BYI63" s="954"/>
      <c r="BYJ63" s="954"/>
      <c r="BYK63" s="954"/>
      <c r="BYL63" s="954"/>
      <c r="BYM63" s="954"/>
      <c r="BYN63" s="954"/>
      <c r="BYO63" s="954"/>
      <c r="BYP63" s="954"/>
      <c r="BYQ63" s="954"/>
      <c r="BYR63" s="954"/>
      <c r="BYS63" s="954"/>
      <c r="BYT63" s="954"/>
      <c r="BYU63" s="954"/>
      <c r="BYV63" s="954"/>
      <c r="BYW63" s="954"/>
      <c r="BYX63" s="954"/>
      <c r="BYY63" s="954"/>
      <c r="BYZ63" s="954"/>
      <c r="BZA63" s="954"/>
      <c r="BZB63" s="954"/>
      <c r="BZC63" s="954"/>
      <c r="BZD63" s="954"/>
      <c r="BZE63" s="954"/>
      <c r="BZF63" s="954"/>
      <c r="BZG63" s="954"/>
      <c r="BZH63" s="954"/>
      <c r="BZI63" s="954"/>
      <c r="BZJ63" s="954"/>
      <c r="BZK63" s="954"/>
      <c r="BZL63" s="954"/>
      <c r="BZM63" s="954"/>
      <c r="BZN63" s="954"/>
      <c r="BZO63" s="954"/>
      <c r="BZP63" s="954"/>
      <c r="BZQ63" s="954"/>
      <c r="BZR63" s="954"/>
      <c r="BZS63" s="954"/>
      <c r="BZT63" s="954"/>
      <c r="BZU63" s="954"/>
      <c r="BZV63" s="954"/>
      <c r="BZW63" s="954"/>
      <c r="BZX63" s="954"/>
      <c r="BZY63" s="954"/>
      <c r="BZZ63" s="954"/>
      <c r="CAA63" s="954"/>
      <c r="CAB63" s="954"/>
      <c r="CAC63" s="954"/>
      <c r="CAD63" s="954"/>
      <c r="CAE63" s="954"/>
      <c r="CAF63" s="954"/>
      <c r="CAG63" s="954"/>
      <c r="CAH63" s="954"/>
      <c r="CAI63" s="954"/>
      <c r="CAJ63" s="954"/>
      <c r="CAK63" s="954"/>
      <c r="CAL63" s="954"/>
      <c r="CAM63" s="954"/>
      <c r="CAN63" s="954"/>
      <c r="CAO63" s="954"/>
      <c r="CAP63" s="954"/>
      <c r="CAQ63" s="954"/>
      <c r="CAR63" s="954"/>
      <c r="CAS63" s="954"/>
      <c r="CAT63" s="954"/>
      <c r="CAU63" s="954"/>
      <c r="CAV63" s="954"/>
      <c r="CAW63" s="954"/>
      <c r="CAX63" s="954"/>
      <c r="CAY63" s="954"/>
      <c r="CAZ63" s="954"/>
      <c r="CBA63" s="954"/>
      <c r="CBB63" s="954"/>
      <c r="CBC63" s="954"/>
      <c r="CBD63" s="954"/>
      <c r="CBE63" s="954"/>
      <c r="CBF63" s="954"/>
      <c r="CBG63" s="954"/>
      <c r="CBH63" s="954"/>
      <c r="CBI63" s="954"/>
      <c r="CBJ63" s="954"/>
      <c r="CBK63" s="954"/>
      <c r="CBL63" s="954"/>
      <c r="CBM63" s="954"/>
      <c r="CBN63" s="954"/>
      <c r="CBO63" s="954"/>
      <c r="CBP63" s="954"/>
      <c r="CBQ63" s="954"/>
      <c r="CBR63" s="954"/>
      <c r="CBS63" s="954"/>
      <c r="CBT63" s="954"/>
      <c r="CBU63" s="954"/>
      <c r="CBV63" s="954"/>
      <c r="CBW63" s="954"/>
      <c r="CBX63" s="954"/>
      <c r="CBY63" s="954"/>
      <c r="CBZ63" s="954"/>
      <c r="CCA63" s="954"/>
      <c r="CCB63" s="954"/>
      <c r="CCC63" s="954"/>
      <c r="CCD63" s="954"/>
      <c r="CCE63" s="954"/>
      <c r="CCF63" s="954"/>
      <c r="CCG63" s="954"/>
      <c r="CCH63" s="954"/>
      <c r="CCI63" s="954"/>
      <c r="CCJ63" s="954"/>
      <c r="CCK63" s="954"/>
      <c r="CCL63" s="954"/>
      <c r="CCM63" s="954"/>
      <c r="CCN63" s="954"/>
      <c r="CCO63" s="954"/>
      <c r="CCP63" s="954"/>
      <c r="CCQ63" s="954"/>
      <c r="CCR63" s="954"/>
      <c r="CCS63" s="954"/>
      <c r="CCT63" s="954"/>
      <c r="CCU63" s="954"/>
      <c r="CCV63" s="954"/>
      <c r="CCW63" s="954"/>
      <c r="CCX63" s="954"/>
      <c r="CCY63" s="954"/>
      <c r="CCZ63" s="954"/>
      <c r="CDA63" s="954"/>
      <c r="CDB63" s="954"/>
      <c r="CDC63" s="954"/>
      <c r="CDD63" s="954"/>
      <c r="CDE63" s="954"/>
      <c r="CDF63" s="954"/>
      <c r="CDG63" s="954"/>
      <c r="CDH63" s="954"/>
      <c r="CDI63" s="954"/>
      <c r="CDJ63" s="954"/>
      <c r="CDK63" s="954"/>
      <c r="CDL63" s="954"/>
      <c r="CDM63" s="954"/>
      <c r="CDN63" s="954"/>
      <c r="CDO63" s="954"/>
      <c r="CDP63" s="954"/>
      <c r="CDQ63" s="954"/>
      <c r="CDR63" s="954"/>
      <c r="CDS63" s="954"/>
      <c r="CDT63" s="954"/>
      <c r="CDU63" s="954"/>
      <c r="CDV63" s="954"/>
      <c r="CDW63" s="954"/>
      <c r="CDX63" s="954"/>
      <c r="CDY63" s="954"/>
      <c r="CDZ63" s="954"/>
      <c r="CEA63" s="954"/>
      <c r="CEB63" s="954"/>
      <c r="CEC63" s="954"/>
      <c r="CED63" s="954"/>
      <c r="CEE63" s="954"/>
      <c r="CEF63" s="954"/>
      <c r="CEG63" s="954"/>
      <c r="CEH63" s="954"/>
      <c r="CEI63" s="954"/>
      <c r="CEJ63" s="954"/>
      <c r="CEK63" s="954"/>
      <c r="CEL63" s="954"/>
      <c r="CEM63" s="954"/>
      <c r="CEN63" s="954"/>
      <c r="CEO63" s="954"/>
      <c r="CEP63" s="954"/>
      <c r="CEQ63" s="954"/>
      <c r="CER63" s="954"/>
      <c r="CES63" s="954"/>
      <c r="CET63" s="954"/>
      <c r="CEU63" s="954"/>
      <c r="CEV63" s="954"/>
      <c r="CEW63" s="954"/>
      <c r="CEX63" s="954"/>
      <c r="CEY63" s="954"/>
      <c r="CEZ63" s="954"/>
      <c r="CFA63" s="954"/>
      <c r="CFB63" s="954"/>
      <c r="CFC63" s="954"/>
      <c r="CFD63" s="954"/>
      <c r="CFE63" s="954"/>
      <c r="CFF63" s="954"/>
      <c r="CFG63" s="954"/>
      <c r="CFH63" s="954"/>
      <c r="CFI63" s="954"/>
      <c r="CFJ63" s="954"/>
      <c r="CFK63" s="954"/>
      <c r="CFL63" s="954"/>
      <c r="CFM63" s="954"/>
      <c r="CFN63" s="954"/>
      <c r="CFO63" s="954"/>
      <c r="CFP63" s="954"/>
      <c r="CFQ63" s="954"/>
      <c r="CFR63" s="954"/>
      <c r="CFS63" s="954"/>
      <c r="CFT63" s="954"/>
      <c r="CFU63" s="954"/>
      <c r="CFV63" s="954"/>
      <c r="CFW63" s="954"/>
      <c r="CFX63" s="954"/>
      <c r="CFY63" s="954"/>
      <c r="CFZ63" s="954"/>
      <c r="CGA63" s="954"/>
      <c r="CGB63" s="954"/>
      <c r="CGC63" s="954"/>
      <c r="CGD63" s="954"/>
      <c r="CGE63" s="954"/>
      <c r="CGF63" s="954"/>
      <c r="CGG63" s="954"/>
      <c r="CGH63" s="954"/>
      <c r="CGI63" s="954"/>
      <c r="CGJ63" s="954"/>
      <c r="CGK63" s="954"/>
      <c r="CGL63" s="954"/>
      <c r="CGM63" s="954"/>
      <c r="CGN63" s="954"/>
      <c r="CGO63" s="954"/>
      <c r="CGP63" s="954"/>
      <c r="CGQ63" s="954"/>
      <c r="CGR63" s="954"/>
      <c r="CGS63" s="954"/>
      <c r="CGT63" s="954"/>
      <c r="CGU63" s="954"/>
      <c r="CGV63" s="954"/>
      <c r="CGW63" s="954"/>
      <c r="CGX63" s="954"/>
      <c r="CGY63" s="954"/>
      <c r="CGZ63" s="954"/>
      <c r="CHA63" s="954"/>
      <c r="CHB63" s="954"/>
      <c r="CHC63" s="954"/>
      <c r="CHD63" s="954"/>
      <c r="CHE63" s="954"/>
      <c r="CHF63" s="954"/>
      <c r="CHG63" s="954"/>
      <c r="CHH63" s="954"/>
      <c r="CHI63" s="954"/>
      <c r="CHJ63" s="954"/>
      <c r="CHK63" s="954"/>
      <c r="CHL63" s="954"/>
      <c r="CHM63" s="954"/>
      <c r="CHN63" s="954"/>
      <c r="CHO63" s="954"/>
      <c r="CHP63" s="954"/>
      <c r="CHQ63" s="954"/>
      <c r="CHR63" s="954"/>
      <c r="CHS63" s="954"/>
      <c r="CHT63" s="954"/>
      <c r="CHU63" s="954"/>
      <c r="CHV63" s="954"/>
      <c r="CHW63" s="954"/>
      <c r="CHX63" s="954"/>
      <c r="CHY63" s="954"/>
      <c r="CHZ63" s="954"/>
      <c r="CIA63" s="954"/>
      <c r="CIB63" s="954"/>
      <c r="CIC63" s="954"/>
      <c r="CID63" s="954"/>
      <c r="CIE63" s="954"/>
      <c r="CIF63" s="954"/>
      <c r="CIG63" s="954"/>
      <c r="CIH63" s="954"/>
      <c r="CII63" s="954"/>
      <c r="CIJ63" s="954"/>
      <c r="CIK63" s="954"/>
      <c r="CIL63" s="954"/>
      <c r="CIM63" s="954"/>
      <c r="CIN63" s="954"/>
      <c r="CIO63" s="954"/>
      <c r="CIP63" s="954"/>
      <c r="CIQ63" s="954"/>
      <c r="CIR63" s="954"/>
      <c r="CIS63" s="954"/>
      <c r="CIT63" s="954"/>
      <c r="CIU63" s="954"/>
      <c r="CIV63" s="954"/>
      <c r="CIW63" s="954"/>
      <c r="CIX63" s="954"/>
      <c r="CIY63" s="954"/>
      <c r="CIZ63" s="954"/>
      <c r="CJA63" s="954"/>
      <c r="CJB63" s="954"/>
      <c r="CJC63" s="954"/>
      <c r="CJD63" s="954"/>
      <c r="CJE63" s="954"/>
      <c r="CJF63" s="954"/>
      <c r="CJG63" s="954"/>
      <c r="CJH63" s="954"/>
      <c r="CJI63" s="954"/>
      <c r="CJJ63" s="954"/>
      <c r="CJK63" s="954"/>
      <c r="CJL63" s="954"/>
      <c r="CJM63" s="954"/>
      <c r="CJN63" s="954"/>
      <c r="CJO63" s="954"/>
      <c r="CJP63" s="954"/>
      <c r="CJQ63" s="954"/>
      <c r="CJR63" s="954"/>
      <c r="CJS63" s="954"/>
      <c r="CJT63" s="954"/>
      <c r="CJU63" s="954"/>
      <c r="CJV63" s="954"/>
      <c r="CJW63" s="954"/>
      <c r="CJX63" s="954"/>
      <c r="CJY63" s="954"/>
      <c r="CJZ63" s="954"/>
      <c r="CKA63" s="954"/>
      <c r="CKB63" s="954"/>
      <c r="CKC63" s="954"/>
      <c r="CKD63" s="954"/>
      <c r="CKE63" s="954"/>
      <c r="CKF63" s="954"/>
      <c r="CKG63" s="954"/>
      <c r="CKH63" s="954"/>
      <c r="CKI63" s="954"/>
      <c r="CKJ63" s="954"/>
      <c r="CKK63" s="954"/>
      <c r="CKL63" s="954"/>
      <c r="CKM63" s="954"/>
      <c r="CKN63" s="954"/>
      <c r="CKO63" s="954"/>
      <c r="CKP63" s="954"/>
      <c r="CKQ63" s="954"/>
      <c r="CKR63" s="954"/>
      <c r="CKS63" s="954"/>
      <c r="CKT63" s="954"/>
      <c r="CKU63" s="954"/>
      <c r="CKV63" s="954"/>
      <c r="CKW63" s="954"/>
      <c r="CKX63" s="954"/>
      <c r="CKY63" s="954"/>
      <c r="CKZ63" s="954"/>
      <c r="CLA63" s="954"/>
      <c r="CLB63" s="954"/>
      <c r="CLC63" s="954"/>
      <c r="CLD63" s="954"/>
      <c r="CLE63" s="954"/>
      <c r="CLF63" s="954"/>
      <c r="CLG63" s="954"/>
      <c r="CLH63" s="954"/>
      <c r="CLI63" s="954"/>
      <c r="CLJ63" s="954"/>
      <c r="CLK63" s="954"/>
      <c r="CLL63" s="954"/>
      <c r="CLM63" s="954"/>
      <c r="CLN63" s="954"/>
      <c r="CLO63" s="954"/>
      <c r="CLP63" s="954"/>
      <c r="CLQ63" s="954"/>
      <c r="CLR63" s="954"/>
      <c r="CLS63" s="954"/>
      <c r="CLT63" s="954"/>
      <c r="CLU63" s="954"/>
      <c r="CLV63" s="954"/>
      <c r="CLW63" s="954"/>
      <c r="CLX63" s="954"/>
      <c r="CLY63" s="954"/>
      <c r="CLZ63" s="954"/>
      <c r="CMA63" s="954"/>
      <c r="CMB63" s="954"/>
      <c r="CMC63" s="954"/>
      <c r="CMD63" s="954"/>
      <c r="CME63" s="954"/>
      <c r="CMF63" s="954"/>
      <c r="CMG63" s="954"/>
      <c r="CMH63" s="954"/>
      <c r="CMI63" s="954"/>
      <c r="CMJ63" s="954"/>
      <c r="CMK63" s="954"/>
      <c r="CML63" s="954"/>
      <c r="CMM63" s="954"/>
      <c r="CMN63" s="954"/>
      <c r="CMO63" s="954"/>
      <c r="CMP63" s="954"/>
      <c r="CMQ63" s="954"/>
      <c r="CMR63" s="954"/>
      <c r="CMS63" s="954"/>
      <c r="CMT63" s="954"/>
      <c r="CMU63" s="954"/>
      <c r="CMV63" s="954"/>
      <c r="CMW63" s="954"/>
      <c r="CMX63" s="954"/>
      <c r="CMY63" s="954"/>
      <c r="CMZ63" s="954"/>
      <c r="CNA63" s="954"/>
      <c r="CNB63" s="954"/>
      <c r="CNC63" s="954"/>
      <c r="CND63" s="954"/>
      <c r="CNE63" s="954"/>
      <c r="CNF63" s="954"/>
      <c r="CNG63" s="954"/>
      <c r="CNH63" s="954"/>
      <c r="CNI63" s="954"/>
      <c r="CNJ63" s="954"/>
      <c r="CNK63" s="954"/>
      <c r="CNL63" s="954"/>
      <c r="CNM63" s="954"/>
      <c r="CNN63" s="954"/>
      <c r="CNO63" s="954"/>
      <c r="CNP63" s="954"/>
      <c r="CNQ63" s="954"/>
      <c r="CNR63" s="954"/>
      <c r="CNS63" s="954"/>
      <c r="CNT63" s="954"/>
      <c r="CNU63" s="954"/>
      <c r="CNV63" s="954"/>
      <c r="CNW63" s="954"/>
      <c r="CNX63" s="954"/>
      <c r="CNY63" s="954"/>
      <c r="CNZ63" s="954"/>
      <c r="COA63" s="954"/>
      <c r="COB63" s="954"/>
      <c r="COC63" s="954"/>
      <c r="COD63" s="954"/>
      <c r="COE63" s="954"/>
      <c r="COF63" s="954"/>
      <c r="COG63" s="954"/>
      <c r="COH63" s="954"/>
      <c r="COI63" s="954"/>
      <c r="COJ63" s="954"/>
      <c r="COK63" s="954"/>
      <c r="COL63" s="954"/>
      <c r="COM63" s="954"/>
      <c r="CON63" s="954"/>
      <c r="COO63" s="954"/>
      <c r="COP63" s="954"/>
      <c r="COQ63" s="954"/>
      <c r="COR63" s="954"/>
      <c r="COS63" s="954"/>
      <c r="COT63" s="954"/>
      <c r="COU63" s="954"/>
      <c r="COV63" s="954"/>
      <c r="COW63" s="954"/>
      <c r="COX63" s="954"/>
      <c r="COY63" s="954"/>
      <c r="COZ63" s="954"/>
      <c r="CPA63" s="954"/>
      <c r="CPB63" s="954"/>
      <c r="CPC63" s="954"/>
      <c r="CPD63" s="954"/>
      <c r="CPE63" s="954"/>
      <c r="CPF63" s="954"/>
      <c r="CPG63" s="954"/>
      <c r="CPH63" s="954"/>
      <c r="CPI63" s="954"/>
      <c r="CPJ63" s="954"/>
      <c r="CPK63" s="954"/>
      <c r="CPL63" s="954"/>
      <c r="CPM63" s="954"/>
      <c r="CPN63" s="954"/>
      <c r="CPO63" s="954"/>
      <c r="CPP63" s="954"/>
      <c r="CPQ63" s="954"/>
      <c r="CPR63" s="954"/>
      <c r="CPS63" s="954"/>
      <c r="CPT63" s="954"/>
      <c r="CPU63" s="954"/>
      <c r="CPV63" s="954"/>
      <c r="CPW63" s="954"/>
      <c r="CPX63" s="954"/>
      <c r="CPY63" s="954"/>
      <c r="CPZ63" s="954"/>
      <c r="CQA63" s="954"/>
      <c r="CQB63" s="954"/>
      <c r="CQC63" s="954"/>
      <c r="CQD63" s="954"/>
      <c r="CQE63" s="954"/>
      <c r="CQF63" s="954"/>
      <c r="CQG63" s="954"/>
      <c r="CQH63" s="954"/>
      <c r="CQI63" s="954"/>
      <c r="CQJ63" s="954"/>
      <c r="CQK63" s="954"/>
      <c r="CQL63" s="954"/>
      <c r="CQM63" s="954"/>
      <c r="CQN63" s="954"/>
      <c r="CQO63" s="954"/>
      <c r="CQP63" s="954"/>
      <c r="CQQ63" s="954"/>
      <c r="CQR63" s="954"/>
      <c r="CQS63" s="954"/>
      <c r="CQT63" s="954"/>
      <c r="CQU63" s="954"/>
      <c r="CQV63" s="954"/>
      <c r="CQW63" s="954"/>
      <c r="CQX63" s="954"/>
      <c r="CQY63" s="954"/>
      <c r="CQZ63" s="954"/>
      <c r="CRA63" s="954"/>
      <c r="CRB63" s="954"/>
      <c r="CRC63" s="954"/>
      <c r="CRD63" s="954"/>
      <c r="CRE63" s="954"/>
      <c r="CRF63" s="954"/>
      <c r="CRG63" s="954"/>
      <c r="CRH63" s="954"/>
      <c r="CRI63" s="954"/>
      <c r="CRJ63" s="954"/>
      <c r="CRK63" s="954"/>
      <c r="CRL63" s="954"/>
      <c r="CRM63" s="954"/>
      <c r="CRN63" s="954"/>
      <c r="CRO63" s="954"/>
      <c r="CRP63" s="954"/>
      <c r="CRQ63" s="954"/>
      <c r="CRR63" s="954"/>
      <c r="CRS63" s="954"/>
      <c r="CRT63" s="954"/>
      <c r="CRU63" s="954"/>
      <c r="CRV63" s="954"/>
      <c r="CRW63" s="954"/>
      <c r="CRX63" s="954"/>
      <c r="CRY63" s="954"/>
      <c r="CRZ63" s="954"/>
      <c r="CSA63" s="954"/>
      <c r="CSB63" s="954"/>
      <c r="CSC63" s="954"/>
      <c r="CSD63" s="954"/>
      <c r="CSE63" s="954"/>
      <c r="CSF63" s="954"/>
      <c r="CSG63" s="954"/>
      <c r="CSH63" s="954"/>
      <c r="CSI63" s="954"/>
      <c r="CSJ63" s="954"/>
      <c r="CSK63" s="954"/>
      <c r="CSL63" s="954"/>
      <c r="CSM63" s="954"/>
      <c r="CSN63" s="954"/>
      <c r="CSO63" s="954"/>
      <c r="CSP63" s="954"/>
      <c r="CSQ63" s="954"/>
      <c r="CSR63" s="954"/>
      <c r="CSS63" s="954"/>
      <c r="CST63" s="954"/>
      <c r="CSU63" s="954"/>
      <c r="CSV63" s="954"/>
      <c r="CSW63" s="954"/>
      <c r="CSX63" s="954"/>
      <c r="CSY63" s="954"/>
      <c r="CSZ63" s="954"/>
      <c r="CTA63" s="954"/>
      <c r="CTB63" s="954"/>
      <c r="CTC63" s="954"/>
      <c r="CTD63" s="954"/>
      <c r="CTE63" s="954"/>
      <c r="CTF63" s="954"/>
      <c r="CTG63" s="954"/>
      <c r="CTH63" s="954"/>
      <c r="CTI63" s="954"/>
      <c r="CTJ63" s="954"/>
      <c r="CTK63" s="954"/>
      <c r="CTL63" s="954"/>
      <c r="CTM63" s="954"/>
      <c r="CTN63" s="954"/>
      <c r="CTO63" s="954"/>
      <c r="CTP63" s="954"/>
      <c r="CTQ63" s="954"/>
      <c r="CTR63" s="954"/>
      <c r="CTS63" s="954"/>
      <c r="CTT63" s="954"/>
      <c r="CTU63" s="954"/>
      <c r="CTV63" s="954"/>
      <c r="CTW63" s="954"/>
      <c r="CTX63" s="954"/>
      <c r="CTY63" s="954"/>
      <c r="CTZ63" s="954"/>
      <c r="CUA63" s="954"/>
      <c r="CUB63" s="954"/>
      <c r="CUC63" s="954"/>
      <c r="CUD63" s="954"/>
      <c r="CUE63" s="954"/>
      <c r="CUF63" s="954"/>
      <c r="CUG63" s="954"/>
      <c r="CUH63" s="954"/>
      <c r="CUI63" s="954"/>
      <c r="CUJ63" s="954"/>
      <c r="CUK63" s="954"/>
      <c r="CUL63" s="954"/>
      <c r="CUM63" s="954"/>
      <c r="CUN63" s="954"/>
      <c r="CUO63" s="954"/>
      <c r="CUP63" s="954"/>
      <c r="CUQ63" s="954"/>
      <c r="CUR63" s="954"/>
      <c r="CUS63" s="954"/>
      <c r="CUT63" s="954"/>
      <c r="CUU63" s="954"/>
      <c r="CUV63" s="954"/>
      <c r="CUW63" s="954"/>
      <c r="CUX63" s="954"/>
      <c r="CUY63" s="954"/>
      <c r="CUZ63" s="954"/>
      <c r="CVA63" s="954"/>
      <c r="CVB63" s="954"/>
      <c r="CVC63" s="954"/>
      <c r="CVD63" s="954"/>
      <c r="CVE63" s="954"/>
      <c r="CVF63" s="954"/>
      <c r="CVG63" s="954"/>
      <c r="CVH63" s="954"/>
      <c r="CVI63" s="954"/>
      <c r="CVJ63" s="954"/>
      <c r="CVK63" s="954"/>
      <c r="CVL63" s="954"/>
      <c r="CVM63" s="954"/>
      <c r="CVN63" s="954"/>
      <c r="CVO63" s="954"/>
      <c r="CVP63" s="954"/>
      <c r="CVQ63" s="954"/>
      <c r="CVR63" s="954"/>
      <c r="CVS63" s="954"/>
      <c r="CVT63" s="954"/>
      <c r="CVU63" s="954"/>
      <c r="CVV63" s="954"/>
      <c r="CVW63" s="954"/>
      <c r="CVX63" s="954"/>
      <c r="CVY63" s="954"/>
      <c r="CVZ63" s="954"/>
      <c r="CWA63" s="954"/>
      <c r="CWB63" s="954"/>
      <c r="CWC63" s="954"/>
      <c r="CWD63" s="954"/>
      <c r="CWE63" s="954"/>
      <c r="CWF63" s="954"/>
      <c r="CWG63" s="954"/>
      <c r="CWH63" s="954"/>
      <c r="CWI63" s="954"/>
      <c r="CWJ63" s="954"/>
      <c r="CWK63" s="954"/>
      <c r="CWL63" s="954"/>
      <c r="CWM63" s="954"/>
      <c r="CWN63" s="954"/>
      <c r="CWO63" s="954"/>
      <c r="CWP63" s="954"/>
      <c r="CWQ63" s="954"/>
      <c r="CWR63" s="954"/>
      <c r="CWS63" s="954"/>
      <c r="CWT63" s="954"/>
      <c r="CWU63" s="954"/>
      <c r="CWV63" s="954"/>
      <c r="CWW63" s="954"/>
      <c r="CWX63" s="954"/>
      <c r="CWY63" s="954"/>
      <c r="CWZ63" s="954"/>
      <c r="CXA63" s="954"/>
      <c r="CXB63" s="954"/>
      <c r="CXC63" s="954"/>
      <c r="CXD63" s="954"/>
      <c r="CXE63" s="954"/>
      <c r="CXF63" s="954"/>
      <c r="CXG63" s="954"/>
      <c r="CXH63" s="954"/>
      <c r="CXI63" s="954"/>
      <c r="CXJ63" s="954"/>
      <c r="CXK63" s="954"/>
      <c r="CXL63" s="954"/>
      <c r="CXM63" s="954"/>
      <c r="CXN63" s="954"/>
      <c r="CXO63" s="954"/>
      <c r="CXP63" s="954"/>
      <c r="CXQ63" s="954"/>
      <c r="CXR63" s="954"/>
      <c r="CXS63" s="954"/>
      <c r="CXT63" s="954"/>
      <c r="CXU63" s="954"/>
      <c r="CXV63" s="954"/>
      <c r="CXW63" s="954"/>
      <c r="CXX63" s="954"/>
      <c r="CXY63" s="954"/>
      <c r="CXZ63" s="954"/>
      <c r="CYA63" s="954"/>
      <c r="CYB63" s="954"/>
      <c r="CYC63" s="954"/>
      <c r="CYD63" s="954"/>
      <c r="CYE63" s="954"/>
      <c r="CYF63" s="954"/>
      <c r="CYG63" s="954"/>
      <c r="CYH63" s="954"/>
      <c r="CYI63" s="954"/>
      <c r="CYJ63" s="954"/>
      <c r="CYK63" s="954"/>
      <c r="CYL63" s="954"/>
      <c r="CYM63" s="954"/>
      <c r="CYN63" s="954"/>
      <c r="CYO63" s="954"/>
      <c r="CYP63" s="954"/>
      <c r="CYQ63" s="954"/>
      <c r="CYR63" s="954"/>
      <c r="CYS63" s="954"/>
      <c r="CYT63" s="954"/>
      <c r="CYU63" s="954"/>
      <c r="CYV63" s="954"/>
      <c r="CYW63" s="954"/>
      <c r="CYX63" s="954"/>
      <c r="CYY63" s="954"/>
      <c r="CYZ63" s="954"/>
      <c r="CZA63" s="954"/>
      <c r="CZB63" s="954"/>
      <c r="CZC63" s="954"/>
      <c r="CZD63" s="954"/>
      <c r="CZE63" s="954"/>
      <c r="CZF63" s="954"/>
      <c r="CZG63" s="954"/>
      <c r="CZH63" s="954"/>
      <c r="CZI63" s="954"/>
      <c r="CZJ63" s="954"/>
      <c r="CZK63" s="954"/>
      <c r="CZL63" s="954"/>
      <c r="CZM63" s="954"/>
      <c r="CZN63" s="954"/>
      <c r="CZO63" s="954"/>
      <c r="CZP63" s="954"/>
      <c r="CZQ63" s="954"/>
      <c r="CZR63" s="954"/>
      <c r="CZS63" s="954"/>
      <c r="CZT63" s="954"/>
      <c r="CZU63" s="954"/>
      <c r="CZV63" s="954"/>
      <c r="CZW63" s="954"/>
      <c r="CZX63" s="954"/>
      <c r="CZY63" s="954"/>
      <c r="CZZ63" s="954"/>
      <c r="DAA63" s="954"/>
      <c r="DAB63" s="954"/>
      <c r="DAC63" s="954"/>
      <c r="DAD63" s="954"/>
      <c r="DAE63" s="954"/>
      <c r="DAF63" s="954"/>
      <c r="DAG63" s="954"/>
      <c r="DAH63" s="954"/>
      <c r="DAI63" s="954"/>
      <c r="DAJ63" s="954"/>
      <c r="DAK63" s="954"/>
      <c r="DAL63" s="954"/>
      <c r="DAM63" s="954"/>
      <c r="DAN63" s="954"/>
      <c r="DAO63" s="954"/>
      <c r="DAP63" s="954"/>
      <c r="DAQ63" s="954"/>
      <c r="DAR63" s="954"/>
      <c r="DAS63" s="954"/>
      <c r="DAT63" s="954"/>
      <c r="DAU63" s="954"/>
      <c r="DAV63" s="954"/>
      <c r="DAW63" s="954"/>
      <c r="DAX63" s="954"/>
      <c r="DAY63" s="954"/>
      <c r="DAZ63" s="954"/>
      <c r="DBA63" s="954"/>
      <c r="DBB63" s="954"/>
      <c r="DBC63" s="954"/>
      <c r="DBD63" s="954"/>
      <c r="DBE63" s="954"/>
      <c r="DBF63" s="954"/>
      <c r="DBG63" s="954"/>
      <c r="DBH63" s="954"/>
      <c r="DBI63" s="954"/>
      <c r="DBJ63" s="954"/>
      <c r="DBK63" s="954"/>
      <c r="DBL63" s="954"/>
      <c r="DBM63" s="954"/>
      <c r="DBN63" s="954"/>
      <c r="DBO63" s="954"/>
      <c r="DBP63" s="954"/>
      <c r="DBQ63" s="954"/>
      <c r="DBR63" s="954"/>
      <c r="DBS63" s="954"/>
      <c r="DBT63" s="954"/>
      <c r="DBU63" s="954"/>
      <c r="DBV63" s="954"/>
      <c r="DBW63" s="954"/>
      <c r="DBX63" s="954"/>
      <c r="DBY63" s="954"/>
      <c r="DBZ63" s="954"/>
      <c r="DCA63" s="954"/>
      <c r="DCB63" s="954"/>
      <c r="DCC63" s="954"/>
      <c r="DCD63" s="954"/>
      <c r="DCE63" s="954"/>
      <c r="DCF63" s="954"/>
      <c r="DCG63" s="954"/>
      <c r="DCH63" s="954"/>
      <c r="DCI63" s="954"/>
      <c r="DCJ63" s="954"/>
      <c r="DCK63" s="954"/>
      <c r="DCL63" s="954"/>
      <c r="DCM63" s="954"/>
      <c r="DCN63" s="954"/>
      <c r="DCO63" s="954"/>
      <c r="DCP63" s="954"/>
      <c r="DCQ63" s="954"/>
      <c r="DCR63" s="954"/>
      <c r="DCS63" s="954"/>
      <c r="DCT63" s="954"/>
      <c r="DCU63" s="954"/>
      <c r="DCV63" s="954"/>
      <c r="DCW63" s="954"/>
      <c r="DCX63" s="954"/>
      <c r="DCY63" s="954"/>
      <c r="DCZ63" s="954"/>
      <c r="DDA63" s="954"/>
      <c r="DDB63" s="954"/>
      <c r="DDC63" s="954"/>
      <c r="DDD63" s="954"/>
      <c r="DDE63" s="954"/>
      <c r="DDF63" s="954"/>
      <c r="DDG63" s="954"/>
      <c r="DDH63" s="954"/>
      <c r="DDI63" s="954"/>
      <c r="DDJ63" s="954"/>
      <c r="DDK63" s="954"/>
      <c r="DDL63" s="954"/>
      <c r="DDM63" s="954"/>
      <c r="DDN63" s="954"/>
      <c r="DDO63" s="954"/>
      <c r="DDP63" s="954"/>
      <c r="DDQ63" s="954"/>
      <c r="DDR63" s="954"/>
      <c r="DDS63" s="954"/>
      <c r="DDT63" s="954"/>
      <c r="DDU63" s="954"/>
      <c r="DDV63" s="954"/>
      <c r="DDW63" s="954"/>
      <c r="DDX63" s="954"/>
      <c r="DDY63" s="954"/>
      <c r="DDZ63" s="954"/>
      <c r="DEA63" s="954"/>
      <c r="DEB63" s="954"/>
      <c r="DEC63" s="954"/>
      <c r="DED63" s="954"/>
      <c r="DEE63" s="954"/>
      <c r="DEF63" s="954"/>
      <c r="DEG63" s="954"/>
      <c r="DEH63" s="954"/>
      <c r="DEI63" s="954"/>
      <c r="DEJ63" s="954"/>
      <c r="DEK63" s="954"/>
      <c r="DEL63" s="954"/>
      <c r="DEM63" s="954"/>
      <c r="DEN63" s="954"/>
      <c r="DEO63" s="954"/>
      <c r="DEP63" s="954"/>
      <c r="DEQ63" s="954"/>
      <c r="DER63" s="954"/>
      <c r="DES63" s="954"/>
      <c r="DET63" s="954"/>
      <c r="DEU63" s="954"/>
      <c r="DEV63" s="954"/>
      <c r="DEW63" s="954"/>
      <c r="DEX63" s="954"/>
      <c r="DEY63" s="954"/>
      <c r="DEZ63" s="954"/>
      <c r="DFA63" s="954"/>
      <c r="DFB63" s="954"/>
      <c r="DFC63" s="954"/>
      <c r="DFD63" s="954"/>
      <c r="DFE63" s="954"/>
      <c r="DFF63" s="954"/>
      <c r="DFG63" s="954"/>
      <c r="DFH63" s="954"/>
      <c r="DFI63" s="954"/>
      <c r="DFJ63" s="954"/>
      <c r="DFK63" s="954"/>
      <c r="DFL63" s="954"/>
      <c r="DFM63" s="954"/>
      <c r="DFN63" s="954"/>
      <c r="DFO63" s="954"/>
      <c r="DFP63" s="954"/>
      <c r="DFQ63" s="954"/>
      <c r="DFR63" s="954"/>
      <c r="DFS63" s="954"/>
      <c r="DFT63" s="954"/>
      <c r="DFU63" s="954"/>
      <c r="DFV63" s="954"/>
      <c r="DFW63" s="954"/>
      <c r="DFX63" s="954"/>
      <c r="DFY63" s="954"/>
      <c r="DFZ63" s="954"/>
      <c r="DGA63" s="954"/>
      <c r="DGB63" s="954"/>
      <c r="DGC63" s="954"/>
      <c r="DGD63" s="954"/>
      <c r="DGE63" s="954"/>
      <c r="DGF63" s="954"/>
      <c r="DGG63" s="954"/>
      <c r="DGH63" s="954"/>
      <c r="DGI63" s="954"/>
      <c r="DGJ63" s="954"/>
      <c r="DGK63" s="954"/>
      <c r="DGL63" s="954"/>
      <c r="DGM63" s="954"/>
      <c r="DGN63" s="954"/>
      <c r="DGO63" s="954"/>
      <c r="DGP63" s="954"/>
      <c r="DGQ63" s="954"/>
      <c r="DGR63" s="954"/>
      <c r="DGS63" s="954"/>
      <c r="DGT63" s="954"/>
      <c r="DGU63" s="954"/>
      <c r="DGV63" s="954"/>
      <c r="DGW63" s="954"/>
      <c r="DGX63" s="954"/>
      <c r="DGY63" s="954"/>
      <c r="DGZ63" s="954"/>
      <c r="DHA63" s="954"/>
      <c r="DHB63" s="954"/>
      <c r="DHC63" s="954"/>
      <c r="DHD63" s="954"/>
      <c r="DHE63" s="954"/>
      <c r="DHF63" s="954"/>
      <c r="DHG63" s="954"/>
      <c r="DHH63" s="954"/>
      <c r="DHI63" s="954"/>
      <c r="DHJ63" s="954"/>
      <c r="DHK63" s="954"/>
      <c r="DHL63" s="954"/>
      <c r="DHM63" s="954"/>
      <c r="DHN63" s="954"/>
      <c r="DHO63" s="954"/>
      <c r="DHP63" s="954"/>
      <c r="DHQ63" s="954"/>
      <c r="DHR63" s="954"/>
      <c r="DHS63" s="954"/>
      <c r="DHT63" s="954"/>
      <c r="DHU63" s="954"/>
      <c r="DHV63" s="954"/>
      <c r="DHW63" s="954"/>
      <c r="DHX63" s="954"/>
      <c r="DHY63" s="954"/>
      <c r="DHZ63" s="954"/>
      <c r="DIA63" s="954"/>
      <c r="DIB63" s="954"/>
      <c r="DIC63" s="954"/>
      <c r="DID63" s="954"/>
      <c r="DIE63" s="954"/>
      <c r="DIF63" s="954"/>
      <c r="DIG63" s="954"/>
      <c r="DIH63" s="954"/>
      <c r="DII63" s="954"/>
      <c r="DIJ63" s="954"/>
      <c r="DIK63" s="954"/>
      <c r="DIL63" s="954"/>
      <c r="DIM63" s="954"/>
      <c r="DIN63" s="954"/>
      <c r="DIO63" s="954"/>
      <c r="DIP63" s="954"/>
      <c r="DIQ63" s="954"/>
      <c r="DIR63" s="954"/>
      <c r="DIS63" s="954"/>
      <c r="DIT63" s="954"/>
      <c r="DIU63" s="954"/>
      <c r="DIV63" s="954"/>
      <c r="DIW63" s="954"/>
      <c r="DIX63" s="954"/>
      <c r="DIY63" s="954"/>
      <c r="DIZ63" s="954"/>
      <c r="DJA63" s="954"/>
      <c r="DJB63" s="954"/>
      <c r="DJC63" s="954"/>
      <c r="DJD63" s="954"/>
      <c r="DJE63" s="954"/>
      <c r="DJF63" s="954"/>
      <c r="DJG63" s="954"/>
      <c r="DJH63" s="954"/>
      <c r="DJI63" s="954"/>
      <c r="DJJ63" s="954"/>
      <c r="DJK63" s="954"/>
      <c r="DJL63" s="954"/>
      <c r="DJM63" s="954"/>
      <c r="DJN63" s="954"/>
      <c r="DJO63" s="954"/>
      <c r="DJP63" s="954"/>
      <c r="DJQ63" s="954"/>
      <c r="DJR63" s="954"/>
      <c r="DJS63" s="954"/>
      <c r="DJT63" s="954"/>
      <c r="DJU63" s="954"/>
      <c r="DJV63" s="954"/>
      <c r="DJW63" s="954"/>
      <c r="DJX63" s="954"/>
      <c r="DJY63" s="954"/>
      <c r="DJZ63" s="954"/>
      <c r="DKA63" s="954"/>
      <c r="DKB63" s="954"/>
      <c r="DKC63" s="954"/>
      <c r="DKD63" s="954"/>
      <c r="DKE63" s="954"/>
      <c r="DKF63" s="954"/>
      <c r="DKG63" s="954"/>
      <c r="DKH63" s="954"/>
      <c r="DKI63" s="954"/>
      <c r="DKJ63" s="954"/>
      <c r="DKK63" s="954"/>
      <c r="DKL63" s="954"/>
      <c r="DKM63" s="954"/>
      <c r="DKN63" s="954"/>
      <c r="DKO63" s="954"/>
      <c r="DKP63" s="954"/>
      <c r="DKQ63" s="954"/>
      <c r="DKR63" s="954"/>
      <c r="DKS63" s="954"/>
      <c r="DKT63" s="954"/>
      <c r="DKU63" s="954"/>
      <c r="DKV63" s="954"/>
      <c r="DKW63" s="954"/>
      <c r="DKX63" s="954"/>
      <c r="DKY63" s="954"/>
      <c r="DKZ63" s="954"/>
      <c r="DLA63" s="954"/>
      <c r="DLB63" s="954"/>
      <c r="DLC63" s="954"/>
      <c r="DLD63" s="954"/>
      <c r="DLE63" s="954"/>
      <c r="DLF63" s="954"/>
      <c r="DLG63" s="954"/>
      <c r="DLH63" s="954"/>
      <c r="DLI63" s="954"/>
      <c r="DLJ63" s="954"/>
      <c r="DLK63" s="954"/>
      <c r="DLL63" s="954"/>
      <c r="DLM63" s="954"/>
      <c r="DLN63" s="954"/>
      <c r="DLO63" s="954"/>
      <c r="DLP63" s="954"/>
      <c r="DLQ63" s="954"/>
      <c r="DLR63" s="954"/>
      <c r="DLS63" s="954"/>
      <c r="DLT63" s="954"/>
      <c r="DLU63" s="954"/>
      <c r="DLV63" s="954"/>
      <c r="DLW63" s="954"/>
      <c r="DLX63" s="954"/>
      <c r="DLY63" s="954"/>
      <c r="DLZ63" s="954"/>
      <c r="DMA63" s="954"/>
      <c r="DMB63" s="954"/>
      <c r="DMC63" s="954"/>
      <c r="DMD63" s="954"/>
      <c r="DME63" s="954"/>
      <c r="DMF63" s="954"/>
      <c r="DMG63" s="954"/>
      <c r="DMH63" s="954"/>
      <c r="DMI63" s="954"/>
      <c r="DMJ63" s="954"/>
      <c r="DMK63" s="954"/>
      <c r="DML63" s="954"/>
      <c r="DMM63" s="954"/>
      <c r="DMN63" s="954"/>
      <c r="DMO63" s="954"/>
      <c r="DMP63" s="954"/>
      <c r="DMQ63" s="954"/>
      <c r="DMR63" s="954"/>
      <c r="DMS63" s="954"/>
      <c r="DMT63" s="954"/>
      <c r="DMU63" s="954"/>
      <c r="DMV63" s="954"/>
      <c r="DMW63" s="954"/>
      <c r="DMX63" s="954"/>
      <c r="DMY63" s="954"/>
      <c r="DMZ63" s="954"/>
      <c r="DNA63" s="954"/>
      <c r="DNB63" s="954"/>
      <c r="DNC63" s="954"/>
      <c r="DND63" s="954"/>
      <c r="DNE63" s="954"/>
      <c r="DNF63" s="954"/>
      <c r="DNG63" s="954"/>
      <c r="DNH63" s="954"/>
      <c r="DNI63" s="954"/>
      <c r="DNJ63" s="954"/>
      <c r="DNK63" s="954"/>
      <c r="DNL63" s="954"/>
      <c r="DNM63" s="954"/>
      <c r="DNN63" s="954"/>
      <c r="DNO63" s="954"/>
      <c r="DNP63" s="954"/>
      <c r="DNQ63" s="954"/>
      <c r="DNR63" s="954"/>
      <c r="DNS63" s="954"/>
      <c r="DNT63" s="954"/>
      <c r="DNU63" s="954"/>
      <c r="DNV63" s="954"/>
      <c r="DNW63" s="954"/>
      <c r="DNX63" s="954"/>
      <c r="DNY63" s="954"/>
      <c r="DNZ63" s="954"/>
      <c r="DOA63" s="954"/>
      <c r="DOB63" s="954"/>
      <c r="DOC63" s="954"/>
      <c r="DOD63" s="954"/>
      <c r="DOE63" s="954"/>
      <c r="DOF63" s="954"/>
      <c r="DOG63" s="954"/>
      <c r="DOH63" s="954"/>
      <c r="DOI63" s="954"/>
      <c r="DOJ63" s="954"/>
      <c r="DOK63" s="954"/>
      <c r="DOL63" s="954"/>
      <c r="DOM63" s="954"/>
      <c r="DON63" s="954"/>
      <c r="DOO63" s="954"/>
      <c r="DOP63" s="954"/>
      <c r="DOQ63" s="954"/>
      <c r="DOR63" s="954"/>
      <c r="DOS63" s="954"/>
      <c r="DOT63" s="954"/>
      <c r="DOU63" s="954"/>
      <c r="DOV63" s="954"/>
      <c r="DOW63" s="954"/>
      <c r="DOX63" s="954"/>
      <c r="DOY63" s="954"/>
      <c r="DOZ63" s="954"/>
      <c r="DPA63" s="954"/>
      <c r="DPB63" s="954"/>
      <c r="DPC63" s="954"/>
      <c r="DPD63" s="954"/>
      <c r="DPE63" s="954"/>
      <c r="DPF63" s="954"/>
      <c r="DPG63" s="954"/>
      <c r="DPH63" s="954"/>
      <c r="DPI63" s="954"/>
      <c r="DPJ63" s="954"/>
      <c r="DPK63" s="954"/>
      <c r="DPL63" s="954"/>
      <c r="DPM63" s="954"/>
      <c r="DPN63" s="954"/>
      <c r="DPO63" s="954"/>
      <c r="DPP63" s="954"/>
      <c r="DPQ63" s="954"/>
      <c r="DPR63" s="954"/>
      <c r="DPS63" s="954"/>
      <c r="DPT63" s="954"/>
      <c r="DPU63" s="954"/>
      <c r="DPV63" s="954"/>
      <c r="DPW63" s="954"/>
      <c r="DPX63" s="954"/>
      <c r="DPY63" s="954"/>
      <c r="DPZ63" s="954"/>
      <c r="DQA63" s="954"/>
      <c r="DQB63" s="954"/>
      <c r="DQC63" s="954"/>
      <c r="DQD63" s="954"/>
      <c r="DQE63" s="954"/>
      <c r="DQF63" s="954"/>
      <c r="DQG63" s="954"/>
      <c r="DQH63" s="954"/>
      <c r="DQI63" s="954"/>
      <c r="DQJ63" s="954"/>
      <c r="DQK63" s="954"/>
      <c r="DQL63" s="954"/>
      <c r="DQM63" s="954"/>
      <c r="DQN63" s="954"/>
      <c r="DQO63" s="954"/>
      <c r="DQP63" s="954"/>
      <c r="DQQ63" s="954"/>
      <c r="DQR63" s="954"/>
      <c r="DQS63" s="954"/>
      <c r="DQT63" s="954"/>
      <c r="DQU63" s="954"/>
      <c r="DQV63" s="954"/>
      <c r="DQW63" s="954"/>
      <c r="DQX63" s="954"/>
      <c r="DQY63" s="954"/>
      <c r="DQZ63" s="954"/>
      <c r="DRA63" s="954"/>
      <c r="DRB63" s="954"/>
      <c r="DRC63" s="954"/>
      <c r="DRD63" s="954"/>
      <c r="DRE63" s="954"/>
      <c r="DRF63" s="954"/>
      <c r="DRG63" s="954"/>
      <c r="DRH63" s="954"/>
      <c r="DRI63" s="954"/>
      <c r="DRJ63" s="954"/>
      <c r="DRK63" s="954"/>
      <c r="DRL63" s="954"/>
      <c r="DRM63" s="954"/>
      <c r="DRN63" s="954"/>
      <c r="DRO63" s="954"/>
      <c r="DRP63" s="954"/>
      <c r="DRQ63" s="954"/>
      <c r="DRR63" s="954"/>
      <c r="DRS63" s="954"/>
      <c r="DRT63" s="954"/>
      <c r="DRU63" s="954"/>
      <c r="DRV63" s="954"/>
      <c r="DRW63" s="954"/>
      <c r="DRX63" s="954"/>
      <c r="DRY63" s="954"/>
      <c r="DRZ63" s="954"/>
      <c r="DSA63" s="954"/>
      <c r="DSB63" s="954"/>
      <c r="DSC63" s="954"/>
      <c r="DSD63" s="954"/>
      <c r="DSE63" s="954"/>
      <c r="DSF63" s="954"/>
      <c r="DSG63" s="954"/>
      <c r="DSH63" s="954"/>
      <c r="DSI63" s="954"/>
      <c r="DSJ63" s="954"/>
      <c r="DSK63" s="954"/>
      <c r="DSL63" s="954"/>
      <c r="DSM63" s="954"/>
      <c r="DSN63" s="954"/>
      <c r="DSO63" s="954"/>
      <c r="DSP63" s="954"/>
      <c r="DSQ63" s="954"/>
      <c r="DSR63" s="954"/>
      <c r="DSS63" s="954"/>
      <c r="DST63" s="954"/>
      <c r="DSU63" s="954"/>
      <c r="DSV63" s="954"/>
      <c r="DSW63" s="954"/>
      <c r="DSX63" s="954"/>
      <c r="DSY63" s="954"/>
      <c r="DSZ63" s="954"/>
      <c r="DTA63" s="954"/>
      <c r="DTB63" s="954"/>
      <c r="DTC63" s="954"/>
      <c r="DTD63" s="954"/>
      <c r="DTE63" s="954"/>
      <c r="DTF63" s="954"/>
      <c r="DTG63" s="954"/>
      <c r="DTH63" s="954"/>
      <c r="DTI63" s="954"/>
      <c r="DTJ63" s="954"/>
      <c r="DTK63" s="954"/>
      <c r="DTL63" s="954"/>
      <c r="DTM63" s="954"/>
      <c r="DTN63" s="954"/>
      <c r="DTO63" s="954"/>
      <c r="DTP63" s="954"/>
      <c r="DTQ63" s="954"/>
      <c r="DTR63" s="954"/>
      <c r="DTS63" s="954"/>
      <c r="DTT63" s="954"/>
      <c r="DTU63" s="954"/>
      <c r="DTV63" s="954"/>
      <c r="DTW63" s="954"/>
      <c r="DTX63" s="954"/>
      <c r="DTY63" s="954"/>
      <c r="DTZ63" s="954"/>
      <c r="DUA63" s="954"/>
      <c r="DUB63" s="954"/>
      <c r="DUC63" s="954"/>
      <c r="DUD63" s="954"/>
      <c r="DUE63" s="954"/>
      <c r="DUF63" s="954"/>
      <c r="DUG63" s="954"/>
      <c r="DUH63" s="954"/>
      <c r="DUI63" s="954"/>
      <c r="DUJ63" s="954"/>
      <c r="DUK63" s="954"/>
      <c r="DUL63" s="954"/>
      <c r="DUM63" s="954"/>
      <c r="DUN63" s="954"/>
      <c r="DUO63" s="954"/>
      <c r="DUP63" s="954"/>
      <c r="DUQ63" s="954"/>
      <c r="DUR63" s="954"/>
      <c r="DUS63" s="954"/>
      <c r="DUT63" s="954"/>
      <c r="DUU63" s="954"/>
      <c r="DUV63" s="954"/>
      <c r="DUW63" s="954"/>
      <c r="DUX63" s="954"/>
      <c r="DUY63" s="954"/>
      <c r="DUZ63" s="954"/>
      <c r="DVA63" s="954"/>
      <c r="DVB63" s="954"/>
      <c r="DVC63" s="954"/>
      <c r="DVD63" s="954"/>
      <c r="DVE63" s="954"/>
      <c r="DVF63" s="954"/>
      <c r="DVG63" s="954"/>
      <c r="DVH63" s="954"/>
      <c r="DVI63" s="954"/>
      <c r="DVJ63" s="954"/>
      <c r="DVK63" s="954"/>
      <c r="DVL63" s="954"/>
      <c r="DVM63" s="954"/>
      <c r="DVN63" s="954"/>
      <c r="DVO63" s="954"/>
      <c r="DVP63" s="954"/>
      <c r="DVQ63" s="954"/>
      <c r="DVR63" s="954"/>
      <c r="DVS63" s="954"/>
      <c r="DVT63" s="954"/>
      <c r="DVU63" s="954"/>
      <c r="DVV63" s="954"/>
      <c r="DVW63" s="954"/>
      <c r="DVX63" s="954"/>
      <c r="DVY63" s="954"/>
      <c r="DVZ63" s="954"/>
      <c r="DWA63" s="954"/>
      <c r="DWB63" s="954"/>
      <c r="DWC63" s="954"/>
      <c r="DWD63" s="954"/>
      <c r="DWE63" s="954"/>
      <c r="DWF63" s="954"/>
      <c r="DWG63" s="954"/>
      <c r="DWH63" s="954"/>
      <c r="DWI63" s="954"/>
      <c r="DWJ63" s="954"/>
      <c r="DWK63" s="954"/>
      <c r="DWL63" s="954"/>
      <c r="DWM63" s="954"/>
      <c r="DWN63" s="954"/>
      <c r="DWO63" s="954"/>
      <c r="DWP63" s="954"/>
      <c r="DWQ63" s="954"/>
      <c r="DWR63" s="954"/>
      <c r="DWS63" s="954"/>
      <c r="DWT63" s="954"/>
      <c r="DWU63" s="954"/>
      <c r="DWV63" s="954"/>
      <c r="DWW63" s="954"/>
      <c r="DWX63" s="954"/>
      <c r="DWY63" s="954"/>
      <c r="DWZ63" s="954"/>
      <c r="DXA63" s="954"/>
      <c r="DXB63" s="954"/>
      <c r="DXC63" s="954"/>
      <c r="DXD63" s="954"/>
      <c r="DXE63" s="954"/>
      <c r="DXF63" s="954"/>
      <c r="DXG63" s="954"/>
      <c r="DXH63" s="954"/>
      <c r="DXI63" s="954"/>
      <c r="DXJ63" s="954"/>
      <c r="DXK63" s="954"/>
      <c r="DXL63" s="954"/>
      <c r="DXM63" s="954"/>
      <c r="DXN63" s="954"/>
      <c r="DXO63" s="954"/>
      <c r="DXP63" s="954"/>
      <c r="DXQ63" s="954"/>
      <c r="DXR63" s="954"/>
      <c r="DXS63" s="954"/>
      <c r="DXT63" s="954"/>
      <c r="DXU63" s="954"/>
      <c r="DXV63" s="954"/>
      <c r="DXW63" s="954"/>
      <c r="DXX63" s="954"/>
      <c r="DXY63" s="954"/>
      <c r="DXZ63" s="954"/>
      <c r="DYA63" s="954"/>
      <c r="DYB63" s="954"/>
      <c r="DYC63" s="954"/>
      <c r="DYD63" s="954"/>
      <c r="DYE63" s="954"/>
      <c r="DYF63" s="954"/>
      <c r="DYG63" s="954"/>
      <c r="DYH63" s="954"/>
      <c r="DYI63" s="954"/>
      <c r="DYJ63" s="954"/>
      <c r="DYK63" s="954"/>
      <c r="DYL63" s="954"/>
      <c r="DYM63" s="954"/>
      <c r="DYN63" s="954"/>
      <c r="DYO63" s="954"/>
      <c r="DYP63" s="954"/>
      <c r="DYQ63" s="954"/>
      <c r="DYR63" s="954"/>
      <c r="DYS63" s="954"/>
      <c r="DYT63" s="954"/>
      <c r="DYU63" s="954"/>
      <c r="DYV63" s="954"/>
      <c r="DYW63" s="954"/>
      <c r="DYX63" s="954"/>
      <c r="DYY63" s="954"/>
      <c r="DYZ63" s="954"/>
      <c r="DZA63" s="954"/>
      <c r="DZB63" s="954"/>
      <c r="DZC63" s="954"/>
      <c r="DZD63" s="954"/>
      <c r="DZE63" s="954"/>
      <c r="DZF63" s="954"/>
      <c r="DZG63" s="954"/>
      <c r="DZH63" s="954"/>
      <c r="DZI63" s="954"/>
      <c r="DZJ63" s="954"/>
      <c r="DZK63" s="954"/>
      <c r="DZL63" s="954"/>
      <c r="DZM63" s="954"/>
      <c r="DZN63" s="954"/>
      <c r="DZO63" s="954"/>
      <c r="DZP63" s="954"/>
      <c r="DZQ63" s="954"/>
      <c r="DZR63" s="954"/>
      <c r="DZS63" s="954"/>
      <c r="DZT63" s="954"/>
      <c r="DZU63" s="954"/>
      <c r="DZV63" s="954"/>
      <c r="DZW63" s="954"/>
      <c r="DZX63" s="954"/>
      <c r="DZY63" s="954"/>
      <c r="DZZ63" s="954"/>
      <c r="EAA63" s="954"/>
      <c r="EAB63" s="954"/>
      <c r="EAC63" s="954"/>
      <c r="EAD63" s="954"/>
      <c r="EAE63" s="954"/>
      <c r="EAF63" s="954"/>
      <c r="EAG63" s="954"/>
      <c r="EAH63" s="954"/>
      <c r="EAI63" s="954"/>
      <c r="EAJ63" s="954"/>
      <c r="EAK63" s="954"/>
      <c r="EAL63" s="954"/>
      <c r="EAM63" s="954"/>
      <c r="EAN63" s="954"/>
      <c r="EAO63" s="954"/>
      <c r="EAP63" s="954"/>
      <c r="EAQ63" s="954"/>
      <c r="EAR63" s="954"/>
      <c r="EAS63" s="954"/>
      <c r="EAT63" s="954"/>
      <c r="EAU63" s="954"/>
      <c r="EAV63" s="954"/>
      <c r="EAW63" s="954"/>
      <c r="EAX63" s="954"/>
      <c r="EAY63" s="954"/>
      <c r="EAZ63" s="954"/>
      <c r="EBA63" s="954"/>
      <c r="EBB63" s="954"/>
      <c r="EBC63" s="954"/>
      <c r="EBD63" s="954"/>
      <c r="EBE63" s="954"/>
      <c r="EBF63" s="954"/>
      <c r="EBG63" s="954"/>
      <c r="EBH63" s="954"/>
      <c r="EBI63" s="954"/>
      <c r="EBJ63" s="954"/>
      <c r="EBK63" s="954"/>
      <c r="EBL63" s="954"/>
      <c r="EBM63" s="954"/>
      <c r="EBN63" s="954"/>
      <c r="EBO63" s="954"/>
      <c r="EBP63" s="954"/>
      <c r="EBQ63" s="954"/>
      <c r="EBR63" s="954"/>
      <c r="EBS63" s="954"/>
      <c r="EBT63" s="954"/>
      <c r="EBU63" s="954"/>
      <c r="EBV63" s="954"/>
      <c r="EBW63" s="954"/>
      <c r="EBX63" s="954"/>
      <c r="EBY63" s="954"/>
      <c r="EBZ63" s="954"/>
      <c r="ECA63" s="954"/>
      <c r="ECB63" s="954"/>
      <c r="ECC63" s="954"/>
      <c r="ECD63" s="954"/>
      <c r="ECE63" s="954"/>
      <c r="ECF63" s="954"/>
      <c r="ECG63" s="954"/>
      <c r="ECH63" s="954"/>
      <c r="ECI63" s="954"/>
      <c r="ECJ63" s="954"/>
      <c r="ECK63" s="954"/>
      <c r="ECL63" s="954"/>
      <c r="ECM63" s="954"/>
      <c r="ECN63" s="954"/>
      <c r="ECO63" s="954"/>
      <c r="ECP63" s="954"/>
      <c r="ECQ63" s="954"/>
      <c r="ECR63" s="954"/>
      <c r="ECS63" s="954"/>
      <c r="ECT63" s="954"/>
      <c r="ECU63" s="954"/>
      <c r="ECV63" s="954"/>
      <c r="ECW63" s="954"/>
      <c r="ECX63" s="954"/>
      <c r="ECY63" s="954"/>
      <c r="ECZ63" s="954"/>
      <c r="EDA63" s="954"/>
      <c r="EDB63" s="954"/>
      <c r="EDC63" s="954"/>
      <c r="EDD63" s="954"/>
      <c r="EDE63" s="954"/>
      <c r="EDF63" s="954"/>
      <c r="EDG63" s="954"/>
      <c r="EDH63" s="954"/>
      <c r="EDI63" s="954"/>
      <c r="EDJ63" s="954"/>
      <c r="EDK63" s="954"/>
      <c r="EDL63" s="954"/>
      <c r="EDM63" s="954"/>
      <c r="EDN63" s="954"/>
      <c r="EDO63" s="954"/>
      <c r="EDP63" s="954"/>
      <c r="EDQ63" s="954"/>
      <c r="EDR63" s="954"/>
      <c r="EDS63" s="954"/>
      <c r="EDT63" s="954"/>
      <c r="EDU63" s="954"/>
      <c r="EDV63" s="954"/>
      <c r="EDW63" s="954"/>
      <c r="EDX63" s="954"/>
      <c r="EDY63" s="954"/>
      <c r="EDZ63" s="954"/>
      <c r="EEA63" s="954"/>
      <c r="EEB63" s="954"/>
      <c r="EEC63" s="954"/>
      <c r="EED63" s="954"/>
      <c r="EEE63" s="954"/>
      <c r="EEF63" s="954"/>
      <c r="EEG63" s="954"/>
      <c r="EEH63" s="954"/>
      <c r="EEI63" s="954"/>
      <c r="EEJ63" s="954"/>
      <c r="EEK63" s="954"/>
      <c r="EEL63" s="954"/>
      <c r="EEM63" s="954"/>
      <c r="EEN63" s="954"/>
      <c r="EEO63" s="954"/>
      <c r="EEP63" s="954"/>
      <c r="EEQ63" s="954"/>
      <c r="EER63" s="954"/>
      <c r="EES63" s="954"/>
      <c r="EET63" s="954"/>
      <c r="EEU63" s="954"/>
      <c r="EEV63" s="954"/>
      <c r="EEW63" s="954"/>
      <c r="EEX63" s="954"/>
      <c r="EEY63" s="954"/>
      <c r="EEZ63" s="954"/>
      <c r="EFA63" s="954"/>
      <c r="EFB63" s="954"/>
      <c r="EFC63" s="954"/>
      <c r="EFD63" s="954"/>
      <c r="EFE63" s="954"/>
      <c r="EFF63" s="954"/>
      <c r="EFG63" s="954"/>
      <c r="EFH63" s="954"/>
      <c r="EFI63" s="954"/>
      <c r="EFJ63" s="954"/>
      <c r="EFK63" s="954"/>
      <c r="EFL63" s="954"/>
      <c r="EFM63" s="954"/>
      <c r="EFN63" s="954"/>
      <c r="EFO63" s="954"/>
      <c r="EFP63" s="954"/>
      <c r="EFQ63" s="954"/>
      <c r="EFR63" s="954"/>
      <c r="EFS63" s="954"/>
      <c r="EFT63" s="954"/>
      <c r="EFU63" s="954"/>
      <c r="EFV63" s="954"/>
      <c r="EFW63" s="954"/>
      <c r="EFX63" s="954"/>
      <c r="EFY63" s="954"/>
      <c r="EFZ63" s="954"/>
      <c r="EGA63" s="954"/>
      <c r="EGB63" s="954"/>
      <c r="EGC63" s="954"/>
      <c r="EGD63" s="954"/>
      <c r="EGE63" s="954"/>
      <c r="EGF63" s="954"/>
      <c r="EGG63" s="954"/>
      <c r="EGH63" s="954"/>
      <c r="EGI63" s="954"/>
      <c r="EGJ63" s="954"/>
      <c r="EGK63" s="954"/>
      <c r="EGL63" s="954"/>
      <c r="EGM63" s="954"/>
      <c r="EGN63" s="954"/>
      <c r="EGO63" s="954"/>
      <c r="EGP63" s="954"/>
      <c r="EGQ63" s="954"/>
      <c r="EGR63" s="954"/>
      <c r="EGS63" s="954"/>
      <c r="EGT63" s="954"/>
      <c r="EGU63" s="954"/>
      <c r="EGV63" s="954"/>
      <c r="EGW63" s="954"/>
      <c r="EGX63" s="954"/>
      <c r="EGY63" s="954"/>
      <c r="EGZ63" s="954"/>
      <c r="EHA63" s="954"/>
      <c r="EHB63" s="954"/>
      <c r="EHC63" s="954"/>
      <c r="EHD63" s="954"/>
      <c r="EHE63" s="954"/>
      <c r="EHF63" s="954"/>
      <c r="EHG63" s="954"/>
      <c r="EHH63" s="954"/>
      <c r="EHI63" s="954"/>
      <c r="EHJ63" s="954"/>
      <c r="EHK63" s="954"/>
      <c r="EHL63" s="954"/>
      <c r="EHM63" s="954"/>
      <c r="EHN63" s="954"/>
      <c r="EHO63" s="954"/>
      <c r="EHP63" s="954"/>
      <c r="EHQ63" s="954"/>
      <c r="EHR63" s="954"/>
      <c r="EHS63" s="954"/>
      <c r="EHT63" s="954"/>
      <c r="EHU63" s="954"/>
      <c r="EHV63" s="954"/>
      <c r="EHW63" s="954"/>
      <c r="EHX63" s="954"/>
      <c r="EHY63" s="954"/>
      <c r="EHZ63" s="954"/>
      <c r="EIA63" s="954"/>
      <c r="EIB63" s="954"/>
      <c r="EIC63" s="954"/>
      <c r="EID63" s="954"/>
      <c r="EIE63" s="954"/>
      <c r="EIF63" s="954"/>
      <c r="EIG63" s="954"/>
      <c r="EIH63" s="954"/>
      <c r="EII63" s="954"/>
      <c r="EIJ63" s="954"/>
      <c r="EIK63" s="954"/>
      <c r="EIL63" s="954"/>
      <c r="EIM63" s="954"/>
      <c r="EIN63" s="954"/>
      <c r="EIO63" s="954"/>
      <c r="EIP63" s="954"/>
      <c r="EIQ63" s="954"/>
      <c r="EIR63" s="954"/>
      <c r="EIS63" s="954"/>
      <c r="EIT63" s="954"/>
      <c r="EIU63" s="954"/>
      <c r="EIV63" s="954"/>
      <c r="EIW63" s="954"/>
      <c r="EIX63" s="954"/>
      <c r="EIY63" s="954"/>
      <c r="EIZ63" s="954"/>
      <c r="EJA63" s="954"/>
      <c r="EJB63" s="954"/>
      <c r="EJC63" s="954"/>
      <c r="EJD63" s="954"/>
      <c r="EJE63" s="954"/>
      <c r="EJF63" s="954"/>
      <c r="EJG63" s="954"/>
      <c r="EJH63" s="954"/>
      <c r="EJI63" s="954"/>
      <c r="EJJ63" s="954"/>
      <c r="EJK63" s="954"/>
      <c r="EJL63" s="954"/>
      <c r="EJM63" s="954"/>
      <c r="EJN63" s="954"/>
      <c r="EJO63" s="954"/>
      <c r="EJP63" s="954"/>
      <c r="EJQ63" s="954"/>
      <c r="EJR63" s="954"/>
      <c r="EJS63" s="954"/>
      <c r="EJT63" s="954"/>
      <c r="EJU63" s="954"/>
      <c r="EJV63" s="954"/>
      <c r="EJW63" s="954"/>
      <c r="EJX63" s="954"/>
      <c r="EJY63" s="954"/>
      <c r="EJZ63" s="954"/>
      <c r="EKA63" s="954"/>
      <c r="EKB63" s="954"/>
      <c r="EKC63" s="954"/>
      <c r="EKD63" s="954"/>
      <c r="EKE63" s="954"/>
      <c r="EKF63" s="954"/>
      <c r="EKG63" s="954"/>
      <c r="EKH63" s="954"/>
      <c r="EKI63" s="954"/>
      <c r="EKJ63" s="954"/>
      <c r="EKK63" s="954"/>
      <c r="EKL63" s="954"/>
      <c r="EKM63" s="954"/>
      <c r="EKN63" s="954"/>
      <c r="EKO63" s="954"/>
      <c r="EKP63" s="954"/>
      <c r="EKQ63" s="954"/>
      <c r="EKR63" s="954"/>
      <c r="EKS63" s="954"/>
      <c r="EKT63" s="954"/>
      <c r="EKU63" s="954"/>
      <c r="EKV63" s="954"/>
      <c r="EKW63" s="954"/>
      <c r="EKX63" s="954"/>
      <c r="EKY63" s="954"/>
      <c r="EKZ63" s="954"/>
      <c r="ELA63" s="954"/>
      <c r="ELB63" s="954"/>
      <c r="ELC63" s="954"/>
      <c r="ELD63" s="954"/>
      <c r="ELE63" s="954"/>
      <c r="ELF63" s="954"/>
      <c r="ELG63" s="954"/>
      <c r="ELH63" s="954"/>
      <c r="ELI63" s="954"/>
      <c r="ELJ63" s="954"/>
      <c r="ELK63" s="954"/>
      <c r="ELL63" s="954"/>
      <c r="ELM63" s="954"/>
      <c r="ELN63" s="954"/>
      <c r="ELO63" s="954"/>
      <c r="ELP63" s="954"/>
      <c r="ELQ63" s="954"/>
      <c r="ELR63" s="954"/>
      <c r="ELS63" s="954"/>
      <c r="ELT63" s="954"/>
      <c r="ELU63" s="954"/>
      <c r="ELV63" s="954"/>
      <c r="ELW63" s="954"/>
      <c r="ELX63" s="954"/>
      <c r="ELY63" s="954"/>
      <c r="ELZ63" s="954"/>
      <c r="EMA63" s="954"/>
      <c r="EMB63" s="954"/>
      <c r="EMC63" s="954"/>
      <c r="EMD63" s="954"/>
      <c r="EME63" s="954"/>
      <c r="EMF63" s="954"/>
      <c r="EMG63" s="954"/>
      <c r="EMH63" s="954"/>
      <c r="EMI63" s="954"/>
      <c r="EMJ63" s="954"/>
      <c r="EMK63" s="954"/>
      <c r="EML63" s="954"/>
      <c r="EMM63" s="954"/>
      <c r="EMN63" s="954"/>
      <c r="EMO63" s="954"/>
      <c r="EMP63" s="954"/>
      <c r="EMQ63" s="954"/>
      <c r="EMR63" s="954"/>
      <c r="EMS63" s="954"/>
      <c r="EMT63" s="954"/>
      <c r="EMU63" s="954"/>
      <c r="EMV63" s="954"/>
      <c r="EMW63" s="954"/>
      <c r="EMX63" s="954"/>
      <c r="EMY63" s="954"/>
      <c r="EMZ63" s="954"/>
      <c r="ENA63" s="954"/>
      <c r="ENB63" s="954"/>
      <c r="ENC63" s="954"/>
      <c r="END63" s="954"/>
      <c r="ENE63" s="954"/>
      <c r="ENF63" s="954"/>
      <c r="ENG63" s="954"/>
      <c r="ENH63" s="954"/>
      <c r="ENI63" s="954"/>
      <c r="ENJ63" s="954"/>
      <c r="ENK63" s="954"/>
      <c r="ENL63" s="954"/>
      <c r="ENM63" s="954"/>
      <c r="ENN63" s="954"/>
      <c r="ENO63" s="954"/>
      <c r="ENP63" s="954"/>
      <c r="ENQ63" s="954"/>
      <c r="ENR63" s="954"/>
      <c r="ENS63" s="954"/>
      <c r="ENT63" s="954"/>
      <c r="ENU63" s="954"/>
      <c r="ENV63" s="954"/>
      <c r="ENW63" s="954"/>
      <c r="ENX63" s="954"/>
      <c r="ENY63" s="954"/>
      <c r="ENZ63" s="954"/>
      <c r="EOA63" s="954"/>
      <c r="EOB63" s="954"/>
      <c r="EOC63" s="954"/>
      <c r="EOD63" s="954"/>
      <c r="EOE63" s="954"/>
      <c r="EOF63" s="954"/>
      <c r="EOG63" s="954"/>
      <c r="EOH63" s="954"/>
      <c r="EOI63" s="954"/>
      <c r="EOJ63" s="954"/>
      <c r="EOK63" s="954"/>
      <c r="EOL63" s="954"/>
      <c r="EOM63" s="954"/>
      <c r="EON63" s="954"/>
      <c r="EOO63" s="954"/>
      <c r="EOP63" s="954"/>
      <c r="EOQ63" s="954"/>
      <c r="EOR63" s="954"/>
      <c r="EOS63" s="954"/>
      <c r="EOT63" s="954"/>
      <c r="EOU63" s="954"/>
      <c r="EOV63" s="954"/>
      <c r="EOW63" s="954"/>
      <c r="EOX63" s="954"/>
      <c r="EOY63" s="954"/>
      <c r="EOZ63" s="954"/>
      <c r="EPA63" s="954"/>
      <c r="EPB63" s="954"/>
      <c r="EPC63" s="954"/>
      <c r="EPD63" s="954"/>
      <c r="EPE63" s="954"/>
      <c r="EPF63" s="954"/>
      <c r="EPG63" s="954"/>
      <c r="EPH63" s="954"/>
      <c r="EPI63" s="954"/>
      <c r="EPJ63" s="954"/>
      <c r="EPK63" s="954"/>
      <c r="EPL63" s="954"/>
      <c r="EPM63" s="954"/>
      <c r="EPN63" s="954"/>
      <c r="EPO63" s="954"/>
      <c r="EPP63" s="954"/>
      <c r="EPQ63" s="954"/>
      <c r="EPR63" s="954"/>
      <c r="EPS63" s="954"/>
      <c r="EPT63" s="954"/>
      <c r="EPU63" s="954"/>
      <c r="EPV63" s="954"/>
      <c r="EPW63" s="954"/>
      <c r="EPX63" s="954"/>
      <c r="EPY63" s="954"/>
      <c r="EPZ63" s="954"/>
      <c r="EQA63" s="954"/>
      <c r="EQB63" s="954"/>
      <c r="EQC63" s="954"/>
      <c r="EQD63" s="954"/>
      <c r="EQE63" s="954"/>
      <c r="EQF63" s="954"/>
      <c r="EQG63" s="954"/>
      <c r="EQH63" s="954"/>
      <c r="EQI63" s="954"/>
      <c r="EQJ63" s="954"/>
      <c r="EQK63" s="954"/>
      <c r="EQL63" s="954"/>
      <c r="EQM63" s="954"/>
      <c r="EQN63" s="954"/>
      <c r="EQO63" s="954"/>
      <c r="EQP63" s="954"/>
      <c r="EQQ63" s="954"/>
      <c r="EQR63" s="954"/>
      <c r="EQS63" s="954"/>
      <c r="EQT63" s="954"/>
      <c r="EQU63" s="954"/>
      <c r="EQV63" s="954"/>
      <c r="EQW63" s="954"/>
      <c r="EQX63" s="954"/>
      <c r="EQY63" s="954"/>
      <c r="EQZ63" s="954"/>
      <c r="ERA63" s="954"/>
      <c r="ERB63" s="954"/>
      <c r="ERC63" s="954"/>
      <c r="ERD63" s="954"/>
      <c r="ERE63" s="954"/>
      <c r="ERF63" s="954"/>
      <c r="ERG63" s="954"/>
      <c r="ERH63" s="954"/>
      <c r="ERI63" s="954"/>
      <c r="ERJ63" s="954"/>
      <c r="ERK63" s="954"/>
      <c r="ERL63" s="954"/>
      <c r="ERM63" s="954"/>
      <c r="ERN63" s="954"/>
      <c r="ERO63" s="954"/>
      <c r="ERP63" s="954"/>
      <c r="ERQ63" s="954"/>
      <c r="ERR63" s="954"/>
      <c r="ERS63" s="954"/>
      <c r="ERT63" s="954"/>
      <c r="ERU63" s="954"/>
      <c r="ERV63" s="954"/>
      <c r="ERW63" s="954"/>
      <c r="ERX63" s="954"/>
      <c r="ERY63" s="954"/>
      <c r="ERZ63" s="954"/>
      <c r="ESA63" s="954"/>
      <c r="ESB63" s="954"/>
      <c r="ESC63" s="954"/>
      <c r="ESD63" s="954"/>
      <c r="ESE63" s="954"/>
      <c r="ESF63" s="954"/>
      <c r="ESG63" s="954"/>
      <c r="ESH63" s="954"/>
      <c r="ESI63" s="954"/>
      <c r="ESJ63" s="954"/>
      <c r="ESK63" s="954"/>
      <c r="ESL63" s="954"/>
      <c r="ESM63" s="954"/>
      <c r="ESN63" s="954"/>
      <c r="ESO63" s="954"/>
      <c r="ESP63" s="954"/>
      <c r="ESQ63" s="954"/>
      <c r="ESR63" s="954"/>
      <c r="ESS63" s="954"/>
      <c r="EST63" s="954"/>
      <c r="ESU63" s="954"/>
      <c r="ESV63" s="954"/>
      <c r="ESW63" s="954"/>
      <c r="ESX63" s="954"/>
      <c r="ESY63" s="954"/>
      <c r="ESZ63" s="954"/>
      <c r="ETA63" s="954"/>
      <c r="ETB63" s="954"/>
      <c r="ETC63" s="954"/>
      <c r="ETD63" s="954"/>
      <c r="ETE63" s="954"/>
      <c r="ETF63" s="954"/>
      <c r="ETG63" s="954"/>
      <c r="ETH63" s="954"/>
      <c r="ETI63" s="954"/>
      <c r="ETJ63" s="954"/>
      <c r="ETK63" s="954"/>
      <c r="ETL63" s="954"/>
      <c r="ETM63" s="954"/>
      <c r="ETN63" s="954"/>
      <c r="ETO63" s="954"/>
      <c r="ETP63" s="954"/>
      <c r="ETQ63" s="954"/>
      <c r="ETR63" s="954"/>
      <c r="ETS63" s="954"/>
      <c r="ETT63" s="954"/>
      <c r="ETU63" s="954"/>
      <c r="ETV63" s="954"/>
      <c r="ETW63" s="954"/>
      <c r="ETX63" s="954"/>
      <c r="ETY63" s="954"/>
      <c r="ETZ63" s="954"/>
      <c r="EUA63" s="954"/>
      <c r="EUB63" s="954"/>
      <c r="EUC63" s="954"/>
      <c r="EUD63" s="954"/>
      <c r="EUE63" s="954"/>
      <c r="EUF63" s="954"/>
      <c r="EUG63" s="954"/>
      <c r="EUH63" s="954"/>
      <c r="EUI63" s="954"/>
      <c r="EUJ63" s="954"/>
      <c r="EUK63" s="954"/>
      <c r="EUL63" s="954"/>
      <c r="EUM63" s="954"/>
      <c r="EUN63" s="954"/>
      <c r="EUO63" s="954"/>
      <c r="EUP63" s="954"/>
      <c r="EUQ63" s="954"/>
      <c r="EUR63" s="954"/>
      <c r="EUS63" s="954"/>
      <c r="EUT63" s="954"/>
      <c r="EUU63" s="954"/>
      <c r="EUV63" s="954"/>
      <c r="EUW63" s="954"/>
      <c r="EUX63" s="954"/>
      <c r="EUY63" s="954"/>
      <c r="EUZ63" s="954"/>
      <c r="EVA63" s="954"/>
      <c r="EVB63" s="954"/>
      <c r="EVC63" s="954"/>
      <c r="EVD63" s="954"/>
      <c r="EVE63" s="954"/>
      <c r="EVF63" s="954"/>
      <c r="EVG63" s="954"/>
      <c r="EVH63" s="954"/>
      <c r="EVI63" s="954"/>
      <c r="EVJ63" s="954"/>
      <c r="EVK63" s="954"/>
      <c r="EVL63" s="954"/>
      <c r="EVM63" s="954"/>
      <c r="EVN63" s="954"/>
      <c r="EVO63" s="954"/>
      <c r="EVP63" s="954"/>
      <c r="EVQ63" s="954"/>
      <c r="EVR63" s="954"/>
      <c r="EVS63" s="954"/>
      <c r="EVT63" s="954"/>
      <c r="EVU63" s="954"/>
      <c r="EVV63" s="954"/>
      <c r="EVW63" s="954"/>
      <c r="EVX63" s="954"/>
      <c r="EVY63" s="954"/>
      <c r="EVZ63" s="954"/>
      <c r="EWA63" s="954"/>
      <c r="EWB63" s="954"/>
      <c r="EWC63" s="954"/>
      <c r="EWD63" s="954"/>
      <c r="EWE63" s="954"/>
      <c r="EWF63" s="954"/>
      <c r="EWG63" s="954"/>
      <c r="EWH63" s="954"/>
      <c r="EWI63" s="954"/>
      <c r="EWJ63" s="954"/>
      <c r="EWK63" s="954"/>
      <c r="EWL63" s="954"/>
      <c r="EWM63" s="954"/>
      <c r="EWN63" s="954"/>
      <c r="EWO63" s="954"/>
      <c r="EWP63" s="954"/>
      <c r="EWQ63" s="954"/>
      <c r="EWR63" s="954"/>
      <c r="EWS63" s="954"/>
      <c r="EWT63" s="954"/>
      <c r="EWU63" s="954"/>
      <c r="EWV63" s="954"/>
      <c r="EWW63" s="954"/>
      <c r="EWX63" s="954"/>
      <c r="EWY63" s="954"/>
      <c r="EWZ63" s="954"/>
      <c r="EXA63" s="954"/>
      <c r="EXB63" s="954"/>
      <c r="EXC63" s="954"/>
      <c r="EXD63" s="954"/>
      <c r="EXE63" s="954"/>
      <c r="EXF63" s="954"/>
      <c r="EXG63" s="954"/>
      <c r="EXH63" s="954"/>
      <c r="EXI63" s="954"/>
      <c r="EXJ63" s="954"/>
      <c r="EXK63" s="954"/>
      <c r="EXL63" s="954"/>
      <c r="EXM63" s="954"/>
      <c r="EXN63" s="954"/>
      <c r="EXO63" s="954"/>
      <c r="EXP63" s="954"/>
      <c r="EXQ63" s="954"/>
      <c r="EXR63" s="954"/>
      <c r="EXS63" s="954"/>
      <c r="EXT63" s="954"/>
      <c r="EXU63" s="954"/>
      <c r="EXV63" s="954"/>
      <c r="EXW63" s="954"/>
      <c r="EXX63" s="954"/>
      <c r="EXY63" s="954"/>
      <c r="EXZ63" s="954"/>
      <c r="EYA63" s="954"/>
      <c r="EYB63" s="954"/>
      <c r="EYC63" s="954"/>
      <c r="EYD63" s="954"/>
      <c r="EYE63" s="954"/>
      <c r="EYF63" s="954"/>
      <c r="EYG63" s="954"/>
      <c r="EYH63" s="954"/>
      <c r="EYI63" s="954"/>
      <c r="EYJ63" s="954"/>
      <c r="EYK63" s="954"/>
      <c r="EYL63" s="954"/>
      <c r="EYM63" s="954"/>
      <c r="EYN63" s="954"/>
      <c r="EYO63" s="954"/>
      <c r="EYP63" s="954"/>
      <c r="EYQ63" s="954"/>
      <c r="EYR63" s="954"/>
      <c r="EYS63" s="954"/>
      <c r="EYT63" s="954"/>
      <c r="EYU63" s="954"/>
      <c r="EYV63" s="954"/>
      <c r="EYW63" s="954"/>
      <c r="EYX63" s="954"/>
      <c r="EYY63" s="954"/>
      <c r="EYZ63" s="954"/>
      <c r="EZA63" s="954"/>
      <c r="EZB63" s="954"/>
      <c r="EZC63" s="954"/>
      <c r="EZD63" s="954"/>
      <c r="EZE63" s="954"/>
      <c r="EZF63" s="954"/>
      <c r="EZG63" s="954"/>
      <c r="EZH63" s="954"/>
      <c r="EZI63" s="954"/>
      <c r="EZJ63" s="954"/>
      <c r="EZK63" s="954"/>
      <c r="EZL63" s="954"/>
      <c r="EZM63" s="954"/>
      <c r="EZN63" s="954"/>
      <c r="EZO63" s="954"/>
      <c r="EZP63" s="954"/>
      <c r="EZQ63" s="954"/>
      <c r="EZR63" s="954"/>
      <c r="EZS63" s="954"/>
      <c r="EZT63" s="954"/>
      <c r="EZU63" s="954"/>
      <c r="EZV63" s="954"/>
      <c r="EZW63" s="954"/>
      <c r="EZX63" s="954"/>
      <c r="EZY63" s="954"/>
      <c r="EZZ63" s="954"/>
      <c r="FAA63" s="954"/>
      <c r="FAB63" s="954"/>
      <c r="FAC63" s="954"/>
      <c r="FAD63" s="954"/>
      <c r="FAE63" s="954"/>
      <c r="FAF63" s="954"/>
      <c r="FAG63" s="954"/>
      <c r="FAH63" s="954"/>
      <c r="FAI63" s="954"/>
      <c r="FAJ63" s="954"/>
      <c r="FAK63" s="954"/>
      <c r="FAL63" s="954"/>
      <c r="FAM63" s="954"/>
      <c r="FAN63" s="954"/>
      <c r="FAO63" s="954"/>
      <c r="FAP63" s="954"/>
      <c r="FAQ63" s="954"/>
      <c r="FAR63" s="954"/>
      <c r="FAS63" s="954"/>
      <c r="FAT63" s="954"/>
      <c r="FAU63" s="954"/>
      <c r="FAV63" s="954"/>
      <c r="FAW63" s="954"/>
      <c r="FAX63" s="954"/>
      <c r="FAY63" s="954"/>
      <c r="FAZ63" s="954"/>
      <c r="FBA63" s="954"/>
      <c r="FBB63" s="954"/>
      <c r="FBC63" s="954"/>
      <c r="FBD63" s="954"/>
      <c r="FBE63" s="954"/>
      <c r="FBF63" s="954"/>
      <c r="FBG63" s="954"/>
      <c r="FBH63" s="954"/>
      <c r="FBI63" s="954"/>
      <c r="FBJ63" s="954"/>
      <c r="FBK63" s="954"/>
      <c r="FBL63" s="954"/>
      <c r="FBM63" s="954"/>
      <c r="FBN63" s="954"/>
      <c r="FBO63" s="954"/>
      <c r="FBP63" s="954"/>
      <c r="FBQ63" s="954"/>
      <c r="FBR63" s="954"/>
      <c r="FBS63" s="954"/>
      <c r="FBT63" s="954"/>
      <c r="FBU63" s="954"/>
      <c r="FBV63" s="954"/>
      <c r="FBW63" s="954"/>
      <c r="FBX63" s="954"/>
      <c r="FBY63" s="954"/>
      <c r="FBZ63" s="954"/>
      <c r="FCA63" s="954"/>
      <c r="FCB63" s="954"/>
      <c r="FCC63" s="954"/>
      <c r="FCD63" s="954"/>
      <c r="FCE63" s="954"/>
      <c r="FCF63" s="954"/>
      <c r="FCG63" s="954"/>
      <c r="FCH63" s="954"/>
      <c r="FCI63" s="954"/>
      <c r="FCJ63" s="954"/>
      <c r="FCK63" s="954"/>
      <c r="FCL63" s="954"/>
      <c r="FCM63" s="954"/>
      <c r="FCN63" s="954"/>
      <c r="FCO63" s="954"/>
      <c r="FCP63" s="954"/>
      <c r="FCQ63" s="954"/>
      <c r="FCR63" s="954"/>
      <c r="FCS63" s="954"/>
      <c r="FCT63" s="954"/>
      <c r="FCU63" s="954"/>
      <c r="FCV63" s="954"/>
      <c r="FCW63" s="954"/>
      <c r="FCX63" s="954"/>
      <c r="FCY63" s="954"/>
      <c r="FCZ63" s="954"/>
      <c r="FDA63" s="954"/>
      <c r="FDB63" s="954"/>
      <c r="FDC63" s="954"/>
      <c r="FDD63" s="954"/>
      <c r="FDE63" s="954"/>
      <c r="FDF63" s="954"/>
      <c r="FDG63" s="954"/>
      <c r="FDH63" s="954"/>
      <c r="FDI63" s="954"/>
      <c r="FDJ63" s="954"/>
      <c r="FDK63" s="954"/>
      <c r="FDL63" s="954"/>
      <c r="FDM63" s="954"/>
      <c r="FDN63" s="954"/>
      <c r="FDO63" s="954"/>
      <c r="FDP63" s="954"/>
      <c r="FDQ63" s="954"/>
      <c r="FDR63" s="954"/>
      <c r="FDS63" s="954"/>
      <c r="FDT63" s="954"/>
      <c r="FDU63" s="954"/>
      <c r="FDV63" s="954"/>
      <c r="FDW63" s="954"/>
      <c r="FDX63" s="954"/>
      <c r="FDY63" s="954"/>
      <c r="FDZ63" s="954"/>
      <c r="FEA63" s="954"/>
      <c r="FEB63" s="954"/>
      <c r="FEC63" s="954"/>
      <c r="FED63" s="954"/>
      <c r="FEE63" s="954"/>
      <c r="FEF63" s="954"/>
      <c r="FEG63" s="954"/>
      <c r="FEH63" s="954"/>
      <c r="FEI63" s="954"/>
      <c r="FEJ63" s="954"/>
      <c r="FEK63" s="954"/>
      <c r="FEL63" s="954"/>
      <c r="FEM63" s="954"/>
      <c r="FEN63" s="954"/>
      <c r="FEO63" s="954"/>
      <c r="FEP63" s="954"/>
      <c r="FEQ63" s="954"/>
      <c r="FER63" s="954"/>
      <c r="FES63" s="954"/>
      <c r="FET63" s="954"/>
      <c r="FEU63" s="954"/>
      <c r="FEV63" s="954"/>
      <c r="FEW63" s="954"/>
      <c r="FEX63" s="954"/>
      <c r="FEY63" s="954"/>
      <c r="FEZ63" s="954"/>
      <c r="FFA63" s="954"/>
      <c r="FFB63" s="954"/>
      <c r="FFC63" s="954"/>
      <c r="FFD63" s="954"/>
      <c r="FFE63" s="954"/>
      <c r="FFF63" s="954"/>
      <c r="FFG63" s="954"/>
      <c r="FFH63" s="954"/>
      <c r="FFI63" s="954"/>
      <c r="FFJ63" s="954"/>
      <c r="FFK63" s="954"/>
      <c r="FFL63" s="954"/>
      <c r="FFM63" s="954"/>
      <c r="FFN63" s="954"/>
      <c r="FFO63" s="954"/>
      <c r="FFP63" s="954"/>
      <c r="FFQ63" s="954"/>
      <c r="FFR63" s="954"/>
      <c r="FFS63" s="954"/>
      <c r="FFT63" s="954"/>
      <c r="FFU63" s="954"/>
      <c r="FFV63" s="954"/>
      <c r="FFW63" s="954"/>
      <c r="FFX63" s="954"/>
      <c r="FFY63" s="954"/>
      <c r="FFZ63" s="954"/>
      <c r="FGA63" s="954"/>
      <c r="FGB63" s="954"/>
      <c r="FGC63" s="954"/>
      <c r="FGD63" s="954"/>
      <c r="FGE63" s="954"/>
      <c r="FGF63" s="954"/>
      <c r="FGG63" s="954"/>
      <c r="FGH63" s="954"/>
      <c r="FGI63" s="954"/>
      <c r="FGJ63" s="954"/>
      <c r="FGK63" s="954"/>
      <c r="FGL63" s="954"/>
      <c r="FGM63" s="954"/>
      <c r="FGN63" s="954"/>
      <c r="FGO63" s="954"/>
      <c r="FGP63" s="954"/>
      <c r="FGQ63" s="954"/>
      <c r="FGR63" s="954"/>
      <c r="FGS63" s="954"/>
      <c r="FGT63" s="954"/>
      <c r="FGU63" s="954"/>
      <c r="FGV63" s="954"/>
      <c r="FGW63" s="954"/>
      <c r="FGX63" s="954"/>
      <c r="FGY63" s="954"/>
      <c r="FGZ63" s="954"/>
      <c r="FHA63" s="954"/>
      <c r="FHB63" s="954"/>
      <c r="FHC63" s="954"/>
      <c r="FHD63" s="954"/>
      <c r="FHE63" s="954"/>
      <c r="FHF63" s="954"/>
      <c r="FHG63" s="954"/>
      <c r="FHH63" s="954"/>
      <c r="FHI63" s="954"/>
      <c r="FHJ63" s="954"/>
      <c r="FHK63" s="954"/>
      <c r="FHL63" s="954"/>
      <c r="FHM63" s="954"/>
      <c r="FHN63" s="954"/>
      <c r="FHO63" s="954"/>
      <c r="FHP63" s="954"/>
      <c r="FHQ63" s="954"/>
      <c r="FHR63" s="954"/>
      <c r="FHS63" s="954"/>
      <c r="FHT63" s="954"/>
      <c r="FHU63" s="954"/>
      <c r="FHV63" s="954"/>
      <c r="FHW63" s="954"/>
      <c r="FHX63" s="954"/>
      <c r="FHY63" s="954"/>
      <c r="FHZ63" s="954"/>
      <c r="FIA63" s="954"/>
      <c r="FIB63" s="954"/>
      <c r="FIC63" s="954"/>
      <c r="FID63" s="954"/>
      <c r="FIE63" s="954"/>
      <c r="FIF63" s="954"/>
      <c r="FIG63" s="954"/>
      <c r="FIH63" s="954"/>
      <c r="FII63" s="954"/>
      <c r="FIJ63" s="954"/>
      <c r="FIK63" s="954"/>
      <c r="FIL63" s="954"/>
      <c r="FIM63" s="954"/>
      <c r="FIN63" s="954"/>
      <c r="FIO63" s="954"/>
      <c r="FIP63" s="954"/>
      <c r="FIQ63" s="954"/>
      <c r="FIR63" s="954"/>
      <c r="FIS63" s="954"/>
      <c r="FIT63" s="954"/>
      <c r="FIU63" s="954"/>
      <c r="FIV63" s="954"/>
      <c r="FIW63" s="954"/>
      <c r="FIX63" s="954"/>
      <c r="FIY63" s="954"/>
      <c r="FIZ63" s="954"/>
      <c r="FJA63" s="954"/>
      <c r="FJB63" s="954"/>
      <c r="FJC63" s="954"/>
      <c r="FJD63" s="954"/>
      <c r="FJE63" s="954"/>
      <c r="FJF63" s="954"/>
      <c r="FJG63" s="954"/>
      <c r="FJH63" s="954"/>
      <c r="FJI63" s="954"/>
      <c r="FJJ63" s="954"/>
      <c r="FJK63" s="954"/>
      <c r="FJL63" s="954"/>
      <c r="FJM63" s="954"/>
      <c r="FJN63" s="954"/>
      <c r="FJO63" s="954"/>
      <c r="FJP63" s="954"/>
      <c r="FJQ63" s="954"/>
      <c r="FJR63" s="954"/>
      <c r="FJS63" s="954"/>
      <c r="FJT63" s="954"/>
      <c r="FJU63" s="954"/>
      <c r="FJV63" s="954"/>
      <c r="FJW63" s="954"/>
      <c r="FJX63" s="954"/>
      <c r="FJY63" s="954"/>
      <c r="FJZ63" s="954"/>
      <c r="FKA63" s="954"/>
      <c r="FKB63" s="954"/>
      <c r="FKC63" s="954"/>
      <c r="FKD63" s="954"/>
      <c r="FKE63" s="954"/>
      <c r="FKF63" s="954"/>
      <c r="FKG63" s="954"/>
      <c r="FKH63" s="954"/>
      <c r="FKI63" s="954"/>
      <c r="FKJ63" s="954"/>
      <c r="FKK63" s="954"/>
      <c r="FKL63" s="954"/>
      <c r="FKM63" s="954"/>
      <c r="FKN63" s="954"/>
      <c r="FKO63" s="954"/>
      <c r="FKP63" s="954"/>
      <c r="FKQ63" s="954"/>
      <c r="FKR63" s="954"/>
      <c r="FKS63" s="954"/>
      <c r="FKT63" s="954"/>
      <c r="FKU63" s="954"/>
      <c r="FKV63" s="954"/>
      <c r="FKW63" s="954"/>
      <c r="FKX63" s="954"/>
      <c r="FKY63" s="954"/>
      <c r="FKZ63" s="954"/>
      <c r="FLA63" s="954"/>
      <c r="FLB63" s="954"/>
      <c r="FLC63" s="954"/>
      <c r="FLD63" s="954"/>
      <c r="FLE63" s="954"/>
      <c r="FLF63" s="954"/>
      <c r="FLG63" s="954"/>
      <c r="FLH63" s="954"/>
      <c r="FLI63" s="954"/>
      <c r="FLJ63" s="954"/>
      <c r="FLK63" s="954"/>
      <c r="FLL63" s="954"/>
      <c r="FLM63" s="954"/>
      <c r="FLN63" s="954"/>
      <c r="FLO63" s="954"/>
      <c r="FLP63" s="954"/>
      <c r="FLQ63" s="954"/>
      <c r="FLR63" s="954"/>
      <c r="FLS63" s="954"/>
      <c r="FLT63" s="954"/>
      <c r="FLU63" s="954"/>
      <c r="FLV63" s="954"/>
      <c r="FLW63" s="954"/>
      <c r="FLX63" s="954"/>
      <c r="FLY63" s="954"/>
      <c r="FLZ63" s="954"/>
      <c r="FMA63" s="954"/>
      <c r="FMB63" s="954"/>
      <c r="FMC63" s="954"/>
      <c r="FMD63" s="954"/>
      <c r="FME63" s="954"/>
      <c r="FMF63" s="954"/>
      <c r="FMG63" s="954"/>
      <c r="FMH63" s="954"/>
      <c r="FMI63" s="954"/>
      <c r="FMJ63" s="954"/>
      <c r="FMK63" s="954"/>
      <c r="FML63" s="954"/>
      <c r="FMM63" s="954"/>
      <c r="FMN63" s="954"/>
      <c r="FMO63" s="954"/>
      <c r="FMP63" s="954"/>
      <c r="FMQ63" s="954"/>
      <c r="FMR63" s="954"/>
      <c r="FMS63" s="954"/>
      <c r="FMT63" s="954"/>
      <c r="FMU63" s="954"/>
      <c r="FMV63" s="954"/>
      <c r="FMW63" s="954"/>
      <c r="FMX63" s="954"/>
      <c r="FMY63" s="954"/>
      <c r="FMZ63" s="954"/>
      <c r="FNA63" s="954"/>
      <c r="FNB63" s="954"/>
      <c r="FNC63" s="954"/>
      <c r="FND63" s="954"/>
      <c r="FNE63" s="954"/>
      <c r="FNF63" s="954"/>
      <c r="FNG63" s="954"/>
      <c r="FNH63" s="954"/>
      <c r="FNI63" s="954"/>
      <c r="FNJ63" s="954"/>
      <c r="FNK63" s="954"/>
      <c r="FNL63" s="954"/>
      <c r="FNM63" s="954"/>
      <c r="FNN63" s="954"/>
      <c r="FNO63" s="954"/>
      <c r="FNP63" s="954"/>
      <c r="FNQ63" s="954"/>
      <c r="FNR63" s="954"/>
      <c r="FNS63" s="954"/>
      <c r="FNT63" s="954"/>
      <c r="FNU63" s="954"/>
      <c r="FNV63" s="954"/>
      <c r="FNW63" s="954"/>
      <c r="FNX63" s="954"/>
      <c r="FNY63" s="954"/>
      <c r="FNZ63" s="954"/>
      <c r="FOA63" s="954"/>
      <c r="FOB63" s="954"/>
      <c r="FOC63" s="954"/>
      <c r="FOD63" s="954"/>
      <c r="FOE63" s="954"/>
      <c r="FOF63" s="954"/>
      <c r="FOG63" s="954"/>
      <c r="FOH63" s="954"/>
      <c r="FOI63" s="954"/>
      <c r="FOJ63" s="954"/>
      <c r="FOK63" s="954"/>
      <c r="FOL63" s="954"/>
      <c r="FOM63" s="954"/>
      <c r="FON63" s="954"/>
      <c r="FOO63" s="954"/>
      <c r="FOP63" s="954"/>
      <c r="FOQ63" s="954"/>
      <c r="FOR63" s="954"/>
      <c r="FOS63" s="954"/>
      <c r="FOT63" s="954"/>
      <c r="FOU63" s="954"/>
      <c r="FOV63" s="954"/>
      <c r="FOW63" s="954"/>
      <c r="FOX63" s="954"/>
      <c r="FOY63" s="954"/>
      <c r="FOZ63" s="954"/>
      <c r="FPA63" s="954"/>
      <c r="FPB63" s="954"/>
      <c r="FPC63" s="954"/>
      <c r="FPD63" s="954"/>
      <c r="FPE63" s="954"/>
      <c r="FPF63" s="954"/>
      <c r="FPG63" s="954"/>
      <c r="FPH63" s="954"/>
      <c r="FPI63" s="954"/>
      <c r="FPJ63" s="954"/>
      <c r="FPK63" s="954"/>
      <c r="FPL63" s="954"/>
      <c r="FPM63" s="954"/>
      <c r="FPN63" s="954"/>
      <c r="FPO63" s="954"/>
      <c r="FPP63" s="954"/>
      <c r="FPQ63" s="954"/>
      <c r="FPR63" s="954"/>
      <c r="FPS63" s="954"/>
      <c r="FPT63" s="954"/>
      <c r="FPU63" s="954"/>
      <c r="FPV63" s="954"/>
      <c r="FPW63" s="954"/>
      <c r="FPX63" s="954"/>
      <c r="FPY63" s="954"/>
      <c r="FPZ63" s="954"/>
      <c r="FQA63" s="954"/>
      <c r="FQB63" s="954"/>
      <c r="FQC63" s="954"/>
      <c r="FQD63" s="954"/>
      <c r="FQE63" s="954"/>
      <c r="FQF63" s="954"/>
      <c r="FQG63" s="954"/>
      <c r="FQH63" s="954"/>
      <c r="FQI63" s="954"/>
      <c r="FQJ63" s="954"/>
      <c r="FQK63" s="954"/>
      <c r="FQL63" s="954"/>
      <c r="FQM63" s="954"/>
      <c r="FQN63" s="954"/>
      <c r="FQO63" s="954"/>
      <c r="FQP63" s="954"/>
      <c r="FQQ63" s="954"/>
      <c r="FQR63" s="954"/>
      <c r="FQS63" s="954"/>
      <c r="FQT63" s="954"/>
      <c r="FQU63" s="954"/>
      <c r="FQV63" s="954"/>
      <c r="FQW63" s="954"/>
      <c r="FQX63" s="954"/>
      <c r="FQY63" s="954"/>
      <c r="FQZ63" s="954"/>
      <c r="FRA63" s="954"/>
      <c r="FRB63" s="954"/>
      <c r="FRC63" s="954"/>
      <c r="FRD63" s="954"/>
      <c r="FRE63" s="954"/>
      <c r="FRF63" s="954"/>
      <c r="FRG63" s="954"/>
      <c r="FRH63" s="954"/>
      <c r="FRI63" s="954"/>
      <c r="FRJ63" s="954"/>
      <c r="FRK63" s="954"/>
      <c r="FRL63" s="954"/>
      <c r="FRM63" s="954"/>
      <c r="FRN63" s="954"/>
      <c r="FRO63" s="954"/>
      <c r="FRP63" s="954"/>
      <c r="FRQ63" s="954"/>
      <c r="FRR63" s="954"/>
      <c r="FRS63" s="954"/>
      <c r="FRT63" s="954"/>
      <c r="FRU63" s="954"/>
      <c r="FRV63" s="954"/>
      <c r="FRW63" s="954"/>
      <c r="FRX63" s="954"/>
      <c r="FRY63" s="954"/>
      <c r="FRZ63" s="954"/>
      <c r="FSA63" s="954"/>
      <c r="FSB63" s="954"/>
      <c r="FSC63" s="954"/>
      <c r="FSD63" s="954"/>
      <c r="FSE63" s="954"/>
      <c r="FSF63" s="954"/>
      <c r="FSG63" s="954"/>
      <c r="FSH63" s="954"/>
      <c r="FSI63" s="954"/>
      <c r="FSJ63" s="954"/>
      <c r="FSK63" s="954"/>
      <c r="FSL63" s="954"/>
      <c r="FSM63" s="954"/>
      <c r="FSN63" s="954"/>
      <c r="FSO63" s="954"/>
      <c r="FSP63" s="954"/>
      <c r="FSQ63" s="954"/>
      <c r="FSR63" s="954"/>
      <c r="FSS63" s="954"/>
      <c r="FST63" s="954"/>
      <c r="FSU63" s="954"/>
      <c r="FSV63" s="954"/>
      <c r="FSW63" s="954"/>
      <c r="FSX63" s="954"/>
      <c r="FSY63" s="954"/>
      <c r="FSZ63" s="954"/>
      <c r="FTA63" s="954"/>
      <c r="FTB63" s="954"/>
      <c r="FTC63" s="954"/>
      <c r="FTD63" s="954"/>
      <c r="FTE63" s="954"/>
      <c r="FTF63" s="954"/>
      <c r="FTG63" s="954"/>
      <c r="FTH63" s="954"/>
      <c r="FTI63" s="954"/>
      <c r="FTJ63" s="954"/>
      <c r="FTK63" s="954"/>
      <c r="FTL63" s="954"/>
      <c r="FTM63" s="954"/>
      <c r="FTN63" s="954"/>
      <c r="FTO63" s="954"/>
      <c r="FTP63" s="954"/>
      <c r="FTQ63" s="954"/>
      <c r="FTR63" s="954"/>
      <c r="FTS63" s="954"/>
      <c r="FTT63" s="954"/>
      <c r="FTU63" s="954"/>
      <c r="FTV63" s="954"/>
      <c r="FTW63" s="954"/>
      <c r="FTX63" s="954"/>
      <c r="FTY63" s="954"/>
      <c r="FTZ63" s="954"/>
      <c r="FUA63" s="954"/>
      <c r="FUB63" s="954"/>
      <c r="FUC63" s="954"/>
      <c r="FUD63" s="954"/>
      <c r="FUE63" s="954"/>
      <c r="FUF63" s="954"/>
      <c r="FUG63" s="954"/>
      <c r="FUH63" s="954"/>
      <c r="FUI63" s="954"/>
      <c r="FUJ63" s="954"/>
      <c r="FUK63" s="954"/>
      <c r="FUL63" s="954"/>
      <c r="FUM63" s="954"/>
      <c r="FUN63" s="954"/>
      <c r="FUO63" s="954"/>
      <c r="FUP63" s="954"/>
      <c r="FUQ63" s="954"/>
      <c r="FUR63" s="954"/>
      <c r="FUS63" s="954"/>
      <c r="FUT63" s="954"/>
      <c r="FUU63" s="954"/>
      <c r="FUV63" s="954"/>
      <c r="FUW63" s="954"/>
      <c r="FUX63" s="954"/>
      <c r="FUY63" s="954"/>
      <c r="FUZ63" s="954"/>
      <c r="FVA63" s="954"/>
      <c r="FVB63" s="954"/>
      <c r="FVC63" s="954"/>
      <c r="FVD63" s="954"/>
      <c r="FVE63" s="954"/>
      <c r="FVF63" s="954"/>
      <c r="FVG63" s="954"/>
      <c r="FVH63" s="954"/>
      <c r="FVI63" s="954"/>
      <c r="FVJ63" s="954"/>
      <c r="FVK63" s="954"/>
      <c r="FVL63" s="954"/>
      <c r="FVM63" s="954"/>
      <c r="FVN63" s="954"/>
      <c r="FVO63" s="954"/>
      <c r="FVP63" s="954"/>
      <c r="FVQ63" s="954"/>
      <c r="FVR63" s="954"/>
      <c r="FVS63" s="954"/>
      <c r="FVT63" s="954"/>
      <c r="FVU63" s="954"/>
      <c r="FVV63" s="954"/>
      <c r="FVW63" s="954"/>
      <c r="FVX63" s="954"/>
      <c r="FVY63" s="954"/>
      <c r="FVZ63" s="954"/>
      <c r="FWA63" s="954"/>
      <c r="FWB63" s="954"/>
      <c r="FWC63" s="954"/>
      <c r="FWD63" s="954"/>
      <c r="FWE63" s="954"/>
      <c r="FWF63" s="954"/>
      <c r="FWG63" s="954"/>
      <c r="FWH63" s="954"/>
      <c r="FWI63" s="954"/>
      <c r="FWJ63" s="954"/>
      <c r="FWK63" s="954"/>
      <c r="FWL63" s="954"/>
      <c r="FWM63" s="954"/>
      <c r="FWN63" s="954"/>
      <c r="FWO63" s="954"/>
      <c r="FWP63" s="954"/>
      <c r="FWQ63" s="954"/>
      <c r="FWR63" s="954"/>
      <c r="FWS63" s="954"/>
      <c r="FWT63" s="954"/>
      <c r="FWU63" s="954"/>
      <c r="FWV63" s="954"/>
      <c r="FWW63" s="954"/>
      <c r="FWX63" s="954"/>
      <c r="FWY63" s="954"/>
      <c r="FWZ63" s="954"/>
      <c r="FXA63" s="954"/>
      <c r="FXB63" s="954"/>
      <c r="FXC63" s="954"/>
      <c r="FXD63" s="954"/>
      <c r="FXE63" s="954"/>
      <c r="FXF63" s="954"/>
      <c r="FXG63" s="954"/>
      <c r="FXH63" s="954"/>
      <c r="FXI63" s="954"/>
      <c r="FXJ63" s="954"/>
      <c r="FXK63" s="954"/>
      <c r="FXL63" s="954"/>
      <c r="FXM63" s="954"/>
      <c r="FXN63" s="954"/>
      <c r="FXO63" s="954"/>
      <c r="FXP63" s="954"/>
      <c r="FXQ63" s="954"/>
      <c r="FXR63" s="954"/>
      <c r="FXS63" s="954"/>
      <c r="FXT63" s="954"/>
      <c r="FXU63" s="954"/>
      <c r="FXV63" s="954"/>
      <c r="FXW63" s="954"/>
      <c r="FXX63" s="954"/>
      <c r="FXY63" s="954"/>
      <c r="FXZ63" s="954"/>
      <c r="FYA63" s="954"/>
      <c r="FYB63" s="954"/>
      <c r="FYC63" s="954"/>
      <c r="FYD63" s="954"/>
      <c r="FYE63" s="954"/>
      <c r="FYF63" s="954"/>
      <c r="FYG63" s="954"/>
      <c r="FYH63" s="954"/>
      <c r="FYI63" s="954"/>
      <c r="FYJ63" s="954"/>
      <c r="FYK63" s="954"/>
      <c r="FYL63" s="954"/>
      <c r="FYM63" s="954"/>
      <c r="FYN63" s="954"/>
      <c r="FYO63" s="954"/>
      <c r="FYP63" s="954"/>
      <c r="FYQ63" s="954"/>
      <c r="FYR63" s="954"/>
      <c r="FYS63" s="954"/>
      <c r="FYT63" s="954"/>
      <c r="FYU63" s="954"/>
      <c r="FYV63" s="954"/>
      <c r="FYW63" s="954"/>
      <c r="FYX63" s="954"/>
      <c r="FYY63" s="954"/>
      <c r="FYZ63" s="954"/>
      <c r="FZA63" s="954"/>
      <c r="FZB63" s="954"/>
      <c r="FZC63" s="954"/>
      <c r="FZD63" s="954"/>
      <c r="FZE63" s="954"/>
      <c r="FZF63" s="954"/>
      <c r="FZG63" s="954"/>
      <c r="FZH63" s="954"/>
      <c r="FZI63" s="954"/>
      <c r="FZJ63" s="954"/>
      <c r="FZK63" s="954"/>
      <c r="FZL63" s="954"/>
      <c r="FZM63" s="954"/>
      <c r="FZN63" s="954"/>
      <c r="FZO63" s="954"/>
      <c r="FZP63" s="954"/>
      <c r="FZQ63" s="954"/>
      <c r="FZR63" s="954"/>
      <c r="FZS63" s="954"/>
      <c r="FZT63" s="954"/>
      <c r="FZU63" s="954"/>
      <c r="FZV63" s="954"/>
      <c r="FZW63" s="954"/>
      <c r="FZX63" s="954"/>
      <c r="FZY63" s="954"/>
      <c r="FZZ63" s="954"/>
      <c r="GAA63" s="954"/>
      <c r="GAB63" s="954"/>
      <c r="GAC63" s="954"/>
      <c r="GAD63" s="954"/>
      <c r="GAE63" s="954"/>
      <c r="GAF63" s="954"/>
      <c r="GAG63" s="954"/>
      <c r="GAH63" s="954"/>
      <c r="GAI63" s="954"/>
      <c r="GAJ63" s="954"/>
      <c r="GAK63" s="954"/>
      <c r="GAL63" s="954"/>
      <c r="GAM63" s="954"/>
      <c r="GAN63" s="954"/>
      <c r="GAO63" s="954"/>
      <c r="GAP63" s="954"/>
      <c r="GAQ63" s="954"/>
      <c r="GAR63" s="954"/>
      <c r="GAS63" s="954"/>
      <c r="GAT63" s="954"/>
      <c r="GAU63" s="954"/>
      <c r="GAV63" s="954"/>
      <c r="GAW63" s="954"/>
      <c r="GAX63" s="954"/>
      <c r="GAY63" s="954"/>
      <c r="GAZ63" s="954"/>
      <c r="GBA63" s="954"/>
      <c r="GBB63" s="954"/>
      <c r="GBC63" s="954"/>
      <c r="GBD63" s="954"/>
      <c r="GBE63" s="954"/>
      <c r="GBF63" s="954"/>
      <c r="GBG63" s="954"/>
      <c r="GBH63" s="954"/>
      <c r="GBI63" s="954"/>
      <c r="GBJ63" s="954"/>
      <c r="GBK63" s="954"/>
      <c r="GBL63" s="954"/>
      <c r="GBM63" s="954"/>
      <c r="GBN63" s="954"/>
      <c r="GBO63" s="954"/>
      <c r="GBP63" s="954"/>
      <c r="GBQ63" s="954"/>
      <c r="GBR63" s="954"/>
      <c r="GBS63" s="954"/>
      <c r="GBT63" s="954"/>
      <c r="GBU63" s="954"/>
      <c r="GBV63" s="954"/>
      <c r="GBW63" s="954"/>
      <c r="GBX63" s="954"/>
      <c r="GBY63" s="954"/>
      <c r="GBZ63" s="954"/>
      <c r="GCA63" s="954"/>
      <c r="GCB63" s="954"/>
      <c r="GCC63" s="954"/>
      <c r="GCD63" s="954"/>
      <c r="GCE63" s="954"/>
      <c r="GCF63" s="954"/>
      <c r="GCG63" s="954"/>
      <c r="GCH63" s="954"/>
      <c r="GCI63" s="954"/>
      <c r="GCJ63" s="954"/>
      <c r="GCK63" s="954"/>
      <c r="GCL63" s="954"/>
      <c r="GCM63" s="954"/>
      <c r="GCN63" s="954"/>
      <c r="GCO63" s="954"/>
      <c r="GCP63" s="954"/>
      <c r="GCQ63" s="954"/>
      <c r="GCR63" s="954"/>
      <c r="GCS63" s="954"/>
      <c r="GCT63" s="954"/>
      <c r="GCU63" s="954"/>
      <c r="GCV63" s="954"/>
      <c r="GCW63" s="954"/>
      <c r="GCX63" s="954"/>
      <c r="GCY63" s="954"/>
      <c r="GCZ63" s="954"/>
      <c r="GDA63" s="954"/>
      <c r="GDB63" s="954"/>
      <c r="GDC63" s="954"/>
      <c r="GDD63" s="954"/>
      <c r="GDE63" s="954"/>
      <c r="GDF63" s="954"/>
      <c r="GDG63" s="954"/>
      <c r="GDH63" s="954"/>
      <c r="GDI63" s="954"/>
      <c r="GDJ63" s="954"/>
      <c r="GDK63" s="954"/>
      <c r="GDL63" s="954"/>
      <c r="GDM63" s="954"/>
      <c r="GDN63" s="954"/>
      <c r="GDO63" s="954"/>
      <c r="GDP63" s="954"/>
      <c r="GDQ63" s="954"/>
      <c r="GDR63" s="954"/>
      <c r="GDS63" s="954"/>
      <c r="GDT63" s="954"/>
      <c r="GDU63" s="954"/>
      <c r="GDV63" s="954"/>
      <c r="GDW63" s="954"/>
      <c r="GDX63" s="954"/>
      <c r="GDY63" s="954"/>
      <c r="GDZ63" s="954"/>
      <c r="GEA63" s="954"/>
      <c r="GEB63" s="954"/>
      <c r="GEC63" s="954"/>
      <c r="GED63" s="954"/>
      <c r="GEE63" s="954"/>
      <c r="GEF63" s="954"/>
      <c r="GEG63" s="954"/>
      <c r="GEH63" s="954"/>
      <c r="GEI63" s="954"/>
      <c r="GEJ63" s="954"/>
      <c r="GEK63" s="954"/>
      <c r="GEL63" s="954"/>
      <c r="GEM63" s="954"/>
      <c r="GEN63" s="954"/>
      <c r="GEO63" s="954"/>
      <c r="GEP63" s="954"/>
      <c r="GEQ63" s="954"/>
      <c r="GER63" s="954"/>
      <c r="GES63" s="954"/>
      <c r="GET63" s="954"/>
      <c r="GEU63" s="954"/>
      <c r="GEV63" s="954"/>
      <c r="GEW63" s="954"/>
      <c r="GEX63" s="954"/>
      <c r="GEY63" s="954"/>
      <c r="GEZ63" s="954"/>
      <c r="GFA63" s="954"/>
      <c r="GFB63" s="954"/>
      <c r="GFC63" s="954"/>
      <c r="GFD63" s="954"/>
      <c r="GFE63" s="954"/>
      <c r="GFF63" s="954"/>
      <c r="GFG63" s="954"/>
      <c r="GFH63" s="954"/>
      <c r="GFI63" s="954"/>
      <c r="GFJ63" s="954"/>
      <c r="GFK63" s="954"/>
      <c r="GFL63" s="954"/>
      <c r="GFM63" s="954"/>
      <c r="GFN63" s="954"/>
      <c r="GFO63" s="954"/>
      <c r="GFP63" s="954"/>
      <c r="GFQ63" s="954"/>
      <c r="GFR63" s="954"/>
      <c r="GFS63" s="954"/>
      <c r="GFT63" s="954"/>
      <c r="GFU63" s="954"/>
      <c r="GFV63" s="954"/>
      <c r="GFW63" s="954"/>
      <c r="GFX63" s="954"/>
      <c r="GFY63" s="954"/>
      <c r="GFZ63" s="954"/>
      <c r="GGA63" s="954"/>
      <c r="GGB63" s="954"/>
      <c r="GGC63" s="954"/>
      <c r="GGD63" s="954"/>
      <c r="GGE63" s="954"/>
      <c r="GGF63" s="954"/>
      <c r="GGG63" s="954"/>
      <c r="GGH63" s="954"/>
      <c r="GGI63" s="954"/>
      <c r="GGJ63" s="954"/>
      <c r="GGK63" s="954"/>
      <c r="GGL63" s="954"/>
      <c r="GGM63" s="954"/>
      <c r="GGN63" s="954"/>
      <c r="GGO63" s="954"/>
      <c r="GGP63" s="954"/>
      <c r="GGQ63" s="954"/>
      <c r="GGR63" s="954"/>
      <c r="GGS63" s="954"/>
      <c r="GGT63" s="954"/>
      <c r="GGU63" s="954"/>
      <c r="GGV63" s="954"/>
      <c r="GGW63" s="954"/>
      <c r="GGX63" s="954"/>
      <c r="GGY63" s="954"/>
      <c r="GGZ63" s="954"/>
      <c r="GHA63" s="954"/>
      <c r="GHB63" s="954"/>
      <c r="GHC63" s="954"/>
      <c r="GHD63" s="954"/>
      <c r="GHE63" s="954"/>
      <c r="GHF63" s="954"/>
      <c r="GHG63" s="954"/>
      <c r="GHH63" s="954"/>
      <c r="GHI63" s="954"/>
      <c r="GHJ63" s="954"/>
      <c r="GHK63" s="954"/>
      <c r="GHL63" s="954"/>
      <c r="GHM63" s="954"/>
      <c r="GHN63" s="954"/>
      <c r="GHO63" s="954"/>
      <c r="GHP63" s="954"/>
      <c r="GHQ63" s="954"/>
      <c r="GHR63" s="954"/>
      <c r="GHS63" s="954"/>
      <c r="GHT63" s="954"/>
      <c r="GHU63" s="954"/>
      <c r="GHV63" s="954"/>
      <c r="GHW63" s="954"/>
      <c r="GHX63" s="954"/>
      <c r="GHY63" s="954"/>
      <c r="GHZ63" s="954"/>
      <c r="GIA63" s="954"/>
      <c r="GIB63" s="954"/>
      <c r="GIC63" s="954"/>
      <c r="GID63" s="954"/>
      <c r="GIE63" s="954"/>
      <c r="GIF63" s="954"/>
      <c r="GIG63" s="954"/>
      <c r="GIH63" s="954"/>
      <c r="GII63" s="954"/>
      <c r="GIJ63" s="954"/>
      <c r="GIK63" s="954"/>
      <c r="GIL63" s="954"/>
      <c r="GIM63" s="954"/>
      <c r="GIN63" s="954"/>
      <c r="GIO63" s="954"/>
      <c r="GIP63" s="954"/>
      <c r="GIQ63" s="954"/>
      <c r="GIR63" s="954"/>
      <c r="GIS63" s="954"/>
      <c r="GIT63" s="954"/>
      <c r="GIU63" s="954"/>
      <c r="GIV63" s="954"/>
      <c r="GIW63" s="954"/>
      <c r="GIX63" s="954"/>
      <c r="GIY63" s="954"/>
      <c r="GIZ63" s="954"/>
      <c r="GJA63" s="954"/>
      <c r="GJB63" s="954"/>
      <c r="GJC63" s="954"/>
      <c r="GJD63" s="954"/>
      <c r="GJE63" s="954"/>
      <c r="GJF63" s="954"/>
      <c r="GJG63" s="954"/>
      <c r="GJH63" s="954"/>
      <c r="GJI63" s="954"/>
      <c r="GJJ63" s="954"/>
      <c r="GJK63" s="954"/>
      <c r="GJL63" s="954"/>
      <c r="GJM63" s="954"/>
      <c r="GJN63" s="954"/>
      <c r="GJO63" s="954"/>
      <c r="GJP63" s="954"/>
      <c r="GJQ63" s="954"/>
      <c r="GJR63" s="954"/>
      <c r="GJS63" s="954"/>
      <c r="GJT63" s="954"/>
      <c r="GJU63" s="954"/>
      <c r="GJV63" s="954"/>
      <c r="GJW63" s="954"/>
      <c r="GJX63" s="954"/>
      <c r="GJY63" s="954"/>
      <c r="GJZ63" s="954"/>
      <c r="GKA63" s="954"/>
      <c r="GKB63" s="954"/>
      <c r="GKC63" s="954"/>
      <c r="GKD63" s="954"/>
      <c r="GKE63" s="954"/>
      <c r="GKF63" s="954"/>
      <c r="GKG63" s="954"/>
      <c r="GKH63" s="954"/>
      <c r="GKI63" s="954"/>
      <c r="GKJ63" s="954"/>
      <c r="GKK63" s="954"/>
      <c r="GKL63" s="954"/>
      <c r="GKM63" s="954"/>
      <c r="GKN63" s="954"/>
      <c r="GKO63" s="954"/>
      <c r="GKP63" s="954"/>
      <c r="GKQ63" s="954"/>
      <c r="GKR63" s="954"/>
      <c r="GKS63" s="954"/>
      <c r="GKT63" s="954"/>
      <c r="GKU63" s="954"/>
      <c r="GKV63" s="954"/>
      <c r="GKW63" s="954"/>
      <c r="GKX63" s="954"/>
      <c r="GKY63" s="954"/>
      <c r="GKZ63" s="954"/>
      <c r="GLA63" s="954"/>
      <c r="GLB63" s="954"/>
      <c r="GLC63" s="954"/>
      <c r="GLD63" s="954"/>
      <c r="GLE63" s="954"/>
      <c r="GLF63" s="954"/>
      <c r="GLG63" s="954"/>
      <c r="GLH63" s="954"/>
      <c r="GLI63" s="954"/>
      <c r="GLJ63" s="954"/>
      <c r="GLK63" s="954"/>
      <c r="GLL63" s="954"/>
      <c r="GLM63" s="954"/>
      <c r="GLN63" s="954"/>
      <c r="GLO63" s="954"/>
      <c r="GLP63" s="954"/>
      <c r="GLQ63" s="954"/>
      <c r="GLR63" s="954"/>
      <c r="GLS63" s="954"/>
      <c r="GLT63" s="954"/>
      <c r="GLU63" s="954"/>
      <c r="GLV63" s="954"/>
      <c r="GLW63" s="954"/>
      <c r="GLX63" s="954"/>
      <c r="GLY63" s="954"/>
      <c r="GLZ63" s="954"/>
      <c r="GMA63" s="954"/>
      <c r="GMB63" s="954"/>
      <c r="GMC63" s="954"/>
      <c r="GMD63" s="954"/>
      <c r="GME63" s="954"/>
      <c r="GMF63" s="954"/>
      <c r="GMG63" s="954"/>
      <c r="GMH63" s="954"/>
      <c r="GMI63" s="954"/>
      <c r="GMJ63" s="954"/>
      <c r="GMK63" s="954"/>
      <c r="GML63" s="954"/>
      <c r="GMM63" s="954"/>
      <c r="GMN63" s="954"/>
      <c r="GMO63" s="954"/>
      <c r="GMP63" s="954"/>
      <c r="GMQ63" s="954"/>
      <c r="GMR63" s="954"/>
      <c r="GMS63" s="954"/>
      <c r="GMT63" s="954"/>
      <c r="GMU63" s="954"/>
      <c r="GMV63" s="954"/>
      <c r="GMW63" s="954"/>
      <c r="GMX63" s="954"/>
      <c r="GMY63" s="954"/>
      <c r="GMZ63" s="954"/>
      <c r="GNA63" s="954"/>
      <c r="GNB63" s="954"/>
      <c r="GNC63" s="954"/>
      <c r="GND63" s="954"/>
      <c r="GNE63" s="954"/>
      <c r="GNF63" s="954"/>
      <c r="GNG63" s="954"/>
      <c r="GNH63" s="954"/>
      <c r="GNI63" s="954"/>
      <c r="GNJ63" s="954"/>
      <c r="GNK63" s="954"/>
      <c r="GNL63" s="954"/>
      <c r="GNM63" s="954"/>
      <c r="GNN63" s="954"/>
      <c r="GNO63" s="954"/>
      <c r="GNP63" s="954"/>
      <c r="GNQ63" s="954"/>
      <c r="GNR63" s="954"/>
      <c r="GNS63" s="954"/>
      <c r="GNT63" s="954"/>
      <c r="GNU63" s="954"/>
      <c r="GNV63" s="954"/>
      <c r="GNW63" s="954"/>
      <c r="GNX63" s="954"/>
      <c r="GNY63" s="954"/>
      <c r="GNZ63" s="954"/>
      <c r="GOA63" s="954"/>
      <c r="GOB63" s="954"/>
      <c r="GOC63" s="954"/>
      <c r="GOD63" s="954"/>
      <c r="GOE63" s="954"/>
      <c r="GOF63" s="954"/>
      <c r="GOG63" s="954"/>
      <c r="GOH63" s="954"/>
      <c r="GOI63" s="954"/>
      <c r="GOJ63" s="954"/>
      <c r="GOK63" s="954"/>
      <c r="GOL63" s="954"/>
      <c r="GOM63" s="954"/>
      <c r="GON63" s="954"/>
      <c r="GOO63" s="954"/>
      <c r="GOP63" s="954"/>
      <c r="GOQ63" s="954"/>
      <c r="GOR63" s="954"/>
      <c r="GOS63" s="954"/>
      <c r="GOT63" s="954"/>
      <c r="GOU63" s="954"/>
      <c r="GOV63" s="954"/>
      <c r="GOW63" s="954"/>
      <c r="GOX63" s="954"/>
      <c r="GOY63" s="954"/>
      <c r="GOZ63" s="954"/>
      <c r="GPA63" s="954"/>
      <c r="GPB63" s="954"/>
      <c r="GPC63" s="954"/>
      <c r="GPD63" s="954"/>
      <c r="GPE63" s="954"/>
      <c r="GPF63" s="954"/>
      <c r="GPG63" s="954"/>
      <c r="GPH63" s="954"/>
      <c r="GPI63" s="954"/>
      <c r="GPJ63" s="954"/>
      <c r="GPK63" s="954"/>
      <c r="GPL63" s="954"/>
      <c r="GPM63" s="954"/>
      <c r="GPN63" s="954"/>
      <c r="GPO63" s="954"/>
      <c r="GPP63" s="954"/>
      <c r="GPQ63" s="954"/>
      <c r="GPR63" s="954"/>
      <c r="GPS63" s="954"/>
      <c r="GPT63" s="954"/>
      <c r="GPU63" s="954"/>
      <c r="GPV63" s="954"/>
      <c r="GPW63" s="954"/>
      <c r="GPX63" s="954"/>
      <c r="GPY63" s="954"/>
      <c r="GPZ63" s="954"/>
      <c r="GQA63" s="954"/>
      <c r="GQB63" s="954"/>
      <c r="GQC63" s="954"/>
      <c r="GQD63" s="954"/>
      <c r="GQE63" s="954"/>
      <c r="GQF63" s="954"/>
      <c r="GQG63" s="954"/>
      <c r="GQH63" s="954"/>
      <c r="GQI63" s="954"/>
      <c r="GQJ63" s="954"/>
      <c r="GQK63" s="954"/>
      <c r="GQL63" s="954"/>
      <c r="GQM63" s="954"/>
      <c r="GQN63" s="954"/>
      <c r="GQO63" s="954"/>
      <c r="GQP63" s="954"/>
      <c r="GQQ63" s="954"/>
      <c r="GQR63" s="954"/>
      <c r="GQS63" s="954"/>
      <c r="GQT63" s="954"/>
      <c r="GQU63" s="954"/>
      <c r="GQV63" s="954"/>
      <c r="GQW63" s="954"/>
      <c r="GQX63" s="954"/>
      <c r="GQY63" s="954"/>
      <c r="GQZ63" s="954"/>
      <c r="GRA63" s="954"/>
      <c r="GRB63" s="954"/>
      <c r="GRC63" s="954"/>
      <c r="GRD63" s="954"/>
      <c r="GRE63" s="954"/>
      <c r="GRF63" s="954"/>
      <c r="GRG63" s="954"/>
      <c r="GRH63" s="954"/>
      <c r="GRI63" s="954"/>
      <c r="GRJ63" s="954"/>
      <c r="GRK63" s="954"/>
      <c r="GRL63" s="954"/>
      <c r="GRM63" s="954"/>
      <c r="GRN63" s="954"/>
      <c r="GRO63" s="954"/>
      <c r="GRP63" s="954"/>
      <c r="GRQ63" s="954"/>
      <c r="GRR63" s="954"/>
      <c r="GRS63" s="954"/>
      <c r="GRT63" s="954"/>
      <c r="GRU63" s="954"/>
      <c r="GRV63" s="954"/>
      <c r="GRW63" s="954"/>
      <c r="GRX63" s="954"/>
      <c r="GRY63" s="954"/>
      <c r="GRZ63" s="954"/>
      <c r="GSA63" s="954"/>
      <c r="GSB63" s="954"/>
      <c r="GSC63" s="954"/>
      <c r="GSD63" s="954"/>
      <c r="GSE63" s="954"/>
      <c r="GSF63" s="954"/>
      <c r="GSG63" s="954"/>
      <c r="GSH63" s="954"/>
      <c r="GSI63" s="954"/>
      <c r="GSJ63" s="954"/>
      <c r="GSK63" s="954"/>
      <c r="GSL63" s="954"/>
      <c r="GSM63" s="954"/>
      <c r="GSN63" s="954"/>
      <c r="GSO63" s="954"/>
      <c r="GSP63" s="954"/>
      <c r="GSQ63" s="954"/>
      <c r="GSR63" s="954"/>
      <c r="GSS63" s="954"/>
      <c r="GST63" s="954"/>
      <c r="GSU63" s="954"/>
      <c r="GSV63" s="954"/>
      <c r="GSW63" s="954"/>
      <c r="GSX63" s="954"/>
      <c r="GSY63" s="954"/>
      <c r="GSZ63" s="954"/>
      <c r="GTA63" s="954"/>
      <c r="GTB63" s="954"/>
      <c r="GTC63" s="954"/>
      <c r="GTD63" s="954"/>
      <c r="GTE63" s="954"/>
      <c r="GTF63" s="954"/>
      <c r="GTG63" s="954"/>
      <c r="GTH63" s="954"/>
      <c r="GTI63" s="954"/>
      <c r="GTJ63" s="954"/>
      <c r="GTK63" s="954"/>
      <c r="GTL63" s="954"/>
      <c r="GTM63" s="954"/>
      <c r="GTN63" s="954"/>
      <c r="GTO63" s="954"/>
      <c r="GTP63" s="954"/>
      <c r="GTQ63" s="954"/>
      <c r="GTR63" s="954"/>
      <c r="GTS63" s="954"/>
      <c r="GTT63" s="954"/>
      <c r="GTU63" s="954"/>
      <c r="GTV63" s="954"/>
      <c r="GTW63" s="954"/>
      <c r="GTX63" s="954"/>
      <c r="GTY63" s="954"/>
      <c r="GTZ63" s="954"/>
      <c r="GUA63" s="954"/>
      <c r="GUB63" s="954"/>
      <c r="GUC63" s="954"/>
      <c r="GUD63" s="954"/>
      <c r="GUE63" s="954"/>
      <c r="GUF63" s="954"/>
      <c r="GUG63" s="954"/>
      <c r="GUH63" s="954"/>
      <c r="GUI63" s="954"/>
      <c r="GUJ63" s="954"/>
      <c r="GUK63" s="954"/>
      <c r="GUL63" s="954"/>
      <c r="GUM63" s="954"/>
      <c r="GUN63" s="954"/>
      <c r="GUO63" s="954"/>
      <c r="GUP63" s="954"/>
      <c r="GUQ63" s="954"/>
      <c r="GUR63" s="954"/>
      <c r="GUS63" s="954"/>
      <c r="GUT63" s="954"/>
      <c r="GUU63" s="954"/>
      <c r="GUV63" s="954"/>
      <c r="GUW63" s="954"/>
      <c r="GUX63" s="954"/>
      <c r="GUY63" s="954"/>
      <c r="GUZ63" s="954"/>
      <c r="GVA63" s="954"/>
      <c r="GVB63" s="954"/>
      <c r="GVC63" s="954"/>
      <c r="GVD63" s="954"/>
      <c r="GVE63" s="954"/>
      <c r="GVF63" s="954"/>
      <c r="GVG63" s="954"/>
      <c r="GVH63" s="954"/>
      <c r="GVI63" s="954"/>
      <c r="GVJ63" s="954"/>
      <c r="GVK63" s="954"/>
      <c r="GVL63" s="954"/>
      <c r="GVM63" s="954"/>
      <c r="GVN63" s="954"/>
      <c r="GVO63" s="954"/>
      <c r="GVP63" s="954"/>
      <c r="GVQ63" s="954"/>
      <c r="GVR63" s="954"/>
      <c r="GVS63" s="954"/>
      <c r="GVT63" s="954"/>
      <c r="GVU63" s="954"/>
      <c r="GVV63" s="954"/>
      <c r="GVW63" s="954"/>
      <c r="GVX63" s="954"/>
      <c r="GVY63" s="954"/>
      <c r="GVZ63" s="954"/>
      <c r="GWA63" s="954"/>
      <c r="GWB63" s="954"/>
      <c r="GWC63" s="954"/>
      <c r="GWD63" s="954"/>
      <c r="GWE63" s="954"/>
      <c r="GWF63" s="954"/>
      <c r="GWG63" s="954"/>
      <c r="GWH63" s="954"/>
      <c r="GWI63" s="954"/>
      <c r="GWJ63" s="954"/>
      <c r="GWK63" s="954"/>
      <c r="GWL63" s="954"/>
      <c r="GWM63" s="954"/>
      <c r="GWN63" s="954"/>
      <c r="GWO63" s="954"/>
      <c r="GWP63" s="954"/>
      <c r="GWQ63" s="954"/>
      <c r="GWR63" s="954"/>
      <c r="GWS63" s="954"/>
      <c r="GWT63" s="954"/>
      <c r="GWU63" s="954"/>
      <c r="GWV63" s="954"/>
      <c r="GWW63" s="954"/>
      <c r="GWX63" s="954"/>
      <c r="GWY63" s="954"/>
      <c r="GWZ63" s="954"/>
      <c r="GXA63" s="954"/>
      <c r="GXB63" s="954"/>
      <c r="GXC63" s="954"/>
      <c r="GXD63" s="954"/>
      <c r="GXE63" s="954"/>
      <c r="GXF63" s="954"/>
      <c r="GXG63" s="954"/>
      <c r="GXH63" s="954"/>
      <c r="GXI63" s="954"/>
      <c r="GXJ63" s="954"/>
      <c r="GXK63" s="954"/>
      <c r="GXL63" s="954"/>
      <c r="GXM63" s="954"/>
      <c r="GXN63" s="954"/>
      <c r="GXO63" s="954"/>
      <c r="GXP63" s="954"/>
      <c r="GXQ63" s="954"/>
      <c r="GXR63" s="954"/>
      <c r="GXS63" s="954"/>
      <c r="GXT63" s="954"/>
      <c r="GXU63" s="954"/>
      <c r="GXV63" s="954"/>
      <c r="GXW63" s="954"/>
      <c r="GXX63" s="954"/>
      <c r="GXY63" s="954"/>
      <c r="GXZ63" s="954"/>
      <c r="GYA63" s="954"/>
      <c r="GYB63" s="954"/>
      <c r="GYC63" s="954"/>
      <c r="GYD63" s="954"/>
      <c r="GYE63" s="954"/>
      <c r="GYF63" s="954"/>
      <c r="GYG63" s="954"/>
      <c r="GYH63" s="954"/>
      <c r="GYI63" s="954"/>
      <c r="GYJ63" s="954"/>
      <c r="GYK63" s="954"/>
      <c r="GYL63" s="954"/>
      <c r="GYM63" s="954"/>
      <c r="GYN63" s="954"/>
      <c r="GYO63" s="954"/>
      <c r="GYP63" s="954"/>
      <c r="GYQ63" s="954"/>
      <c r="GYR63" s="954"/>
      <c r="GYS63" s="954"/>
      <c r="GYT63" s="954"/>
      <c r="GYU63" s="954"/>
      <c r="GYV63" s="954"/>
      <c r="GYW63" s="954"/>
      <c r="GYX63" s="954"/>
      <c r="GYY63" s="954"/>
      <c r="GYZ63" s="954"/>
      <c r="GZA63" s="954"/>
      <c r="GZB63" s="954"/>
      <c r="GZC63" s="954"/>
      <c r="GZD63" s="954"/>
      <c r="GZE63" s="954"/>
      <c r="GZF63" s="954"/>
      <c r="GZG63" s="954"/>
      <c r="GZH63" s="954"/>
      <c r="GZI63" s="954"/>
      <c r="GZJ63" s="954"/>
      <c r="GZK63" s="954"/>
      <c r="GZL63" s="954"/>
      <c r="GZM63" s="954"/>
      <c r="GZN63" s="954"/>
      <c r="GZO63" s="954"/>
      <c r="GZP63" s="954"/>
      <c r="GZQ63" s="954"/>
      <c r="GZR63" s="954"/>
      <c r="GZS63" s="954"/>
      <c r="GZT63" s="954"/>
      <c r="GZU63" s="954"/>
      <c r="GZV63" s="954"/>
      <c r="GZW63" s="954"/>
      <c r="GZX63" s="954"/>
      <c r="GZY63" s="954"/>
      <c r="GZZ63" s="954"/>
      <c r="HAA63" s="954"/>
      <c r="HAB63" s="954"/>
      <c r="HAC63" s="954"/>
      <c r="HAD63" s="954"/>
      <c r="HAE63" s="954"/>
      <c r="HAF63" s="954"/>
      <c r="HAG63" s="954"/>
      <c r="HAH63" s="954"/>
      <c r="HAI63" s="954"/>
      <c r="HAJ63" s="954"/>
      <c r="HAK63" s="954"/>
      <c r="HAL63" s="954"/>
      <c r="HAM63" s="954"/>
      <c r="HAN63" s="954"/>
      <c r="HAO63" s="954"/>
      <c r="HAP63" s="954"/>
      <c r="HAQ63" s="954"/>
      <c r="HAR63" s="954"/>
      <c r="HAS63" s="954"/>
      <c r="HAT63" s="954"/>
      <c r="HAU63" s="954"/>
      <c r="HAV63" s="954"/>
      <c r="HAW63" s="954"/>
      <c r="HAX63" s="954"/>
      <c r="HAY63" s="954"/>
      <c r="HAZ63" s="954"/>
      <c r="HBA63" s="954"/>
      <c r="HBB63" s="954"/>
      <c r="HBC63" s="954"/>
      <c r="HBD63" s="954"/>
      <c r="HBE63" s="954"/>
      <c r="HBF63" s="954"/>
      <c r="HBG63" s="954"/>
      <c r="HBH63" s="954"/>
      <c r="HBI63" s="954"/>
      <c r="HBJ63" s="954"/>
      <c r="HBK63" s="954"/>
      <c r="HBL63" s="954"/>
      <c r="HBM63" s="954"/>
      <c r="HBN63" s="954"/>
      <c r="HBO63" s="954"/>
      <c r="HBP63" s="954"/>
      <c r="HBQ63" s="954"/>
      <c r="HBR63" s="954"/>
      <c r="HBS63" s="954"/>
      <c r="HBT63" s="954"/>
      <c r="HBU63" s="954"/>
      <c r="HBV63" s="954"/>
      <c r="HBW63" s="954"/>
      <c r="HBX63" s="954"/>
      <c r="HBY63" s="954"/>
      <c r="HBZ63" s="954"/>
      <c r="HCA63" s="954"/>
      <c r="HCB63" s="954"/>
      <c r="HCC63" s="954"/>
      <c r="HCD63" s="954"/>
      <c r="HCE63" s="954"/>
      <c r="HCF63" s="954"/>
      <c r="HCG63" s="954"/>
      <c r="HCH63" s="954"/>
      <c r="HCI63" s="954"/>
      <c r="HCJ63" s="954"/>
      <c r="HCK63" s="954"/>
      <c r="HCL63" s="954"/>
      <c r="HCM63" s="954"/>
      <c r="HCN63" s="954"/>
      <c r="HCO63" s="954"/>
      <c r="HCP63" s="954"/>
      <c r="HCQ63" s="954"/>
      <c r="HCR63" s="954"/>
      <c r="HCS63" s="954"/>
      <c r="HCT63" s="954"/>
      <c r="HCU63" s="954"/>
      <c r="HCV63" s="954"/>
      <c r="HCW63" s="954"/>
      <c r="HCX63" s="954"/>
      <c r="HCY63" s="954"/>
      <c r="HCZ63" s="954"/>
      <c r="HDA63" s="954"/>
      <c r="HDB63" s="954"/>
      <c r="HDC63" s="954"/>
      <c r="HDD63" s="954"/>
      <c r="HDE63" s="954"/>
      <c r="HDF63" s="954"/>
      <c r="HDG63" s="954"/>
      <c r="HDH63" s="954"/>
      <c r="HDI63" s="954"/>
      <c r="HDJ63" s="954"/>
      <c r="HDK63" s="954"/>
      <c r="HDL63" s="954"/>
      <c r="HDM63" s="954"/>
      <c r="HDN63" s="954"/>
      <c r="HDO63" s="954"/>
      <c r="HDP63" s="954"/>
      <c r="HDQ63" s="954"/>
      <c r="HDR63" s="954"/>
      <c r="HDS63" s="954"/>
      <c r="HDT63" s="954"/>
      <c r="HDU63" s="954"/>
      <c r="HDV63" s="954"/>
      <c r="HDW63" s="954"/>
      <c r="HDX63" s="954"/>
      <c r="HDY63" s="954"/>
      <c r="HDZ63" s="954"/>
      <c r="HEA63" s="954"/>
      <c r="HEB63" s="954"/>
      <c r="HEC63" s="954"/>
      <c r="HED63" s="954"/>
      <c r="HEE63" s="954"/>
      <c r="HEF63" s="954"/>
      <c r="HEG63" s="954"/>
      <c r="HEH63" s="954"/>
      <c r="HEI63" s="954"/>
      <c r="HEJ63" s="954"/>
      <c r="HEK63" s="954"/>
      <c r="HEL63" s="954"/>
      <c r="HEM63" s="954"/>
      <c r="HEN63" s="954"/>
      <c r="HEO63" s="954"/>
      <c r="HEP63" s="954"/>
      <c r="HEQ63" s="954"/>
      <c r="HER63" s="954"/>
      <c r="HES63" s="954"/>
      <c r="HET63" s="954"/>
      <c r="HEU63" s="954"/>
      <c r="HEV63" s="954"/>
      <c r="HEW63" s="954"/>
      <c r="HEX63" s="954"/>
      <c r="HEY63" s="954"/>
      <c r="HEZ63" s="954"/>
      <c r="HFA63" s="954"/>
      <c r="HFB63" s="954"/>
      <c r="HFC63" s="954"/>
      <c r="HFD63" s="954"/>
      <c r="HFE63" s="954"/>
      <c r="HFF63" s="954"/>
      <c r="HFG63" s="954"/>
      <c r="HFH63" s="954"/>
      <c r="HFI63" s="954"/>
      <c r="HFJ63" s="954"/>
      <c r="HFK63" s="954"/>
      <c r="HFL63" s="954"/>
      <c r="HFM63" s="954"/>
      <c r="HFN63" s="954"/>
      <c r="HFO63" s="954"/>
      <c r="HFP63" s="954"/>
      <c r="HFQ63" s="954"/>
      <c r="HFR63" s="954"/>
      <c r="HFS63" s="954"/>
      <c r="HFT63" s="954"/>
      <c r="HFU63" s="954"/>
      <c r="HFV63" s="954"/>
      <c r="HFW63" s="954"/>
      <c r="HFX63" s="954"/>
      <c r="HFY63" s="954"/>
      <c r="HFZ63" s="954"/>
      <c r="HGA63" s="954"/>
      <c r="HGB63" s="954"/>
      <c r="HGC63" s="954"/>
      <c r="HGD63" s="954"/>
      <c r="HGE63" s="954"/>
      <c r="HGF63" s="954"/>
      <c r="HGG63" s="954"/>
      <c r="HGH63" s="954"/>
      <c r="HGI63" s="954"/>
      <c r="HGJ63" s="954"/>
      <c r="HGK63" s="954"/>
      <c r="HGL63" s="954"/>
      <c r="HGM63" s="954"/>
      <c r="HGN63" s="954"/>
      <c r="HGO63" s="954"/>
      <c r="HGP63" s="954"/>
      <c r="HGQ63" s="954"/>
      <c r="HGR63" s="954"/>
      <c r="HGS63" s="954"/>
      <c r="HGT63" s="954"/>
      <c r="HGU63" s="954"/>
      <c r="HGV63" s="954"/>
      <c r="HGW63" s="954"/>
      <c r="HGX63" s="954"/>
      <c r="HGY63" s="954"/>
      <c r="HGZ63" s="954"/>
      <c r="HHA63" s="954"/>
      <c r="HHB63" s="954"/>
      <c r="HHC63" s="954"/>
      <c r="HHD63" s="954"/>
      <c r="HHE63" s="954"/>
      <c r="HHF63" s="954"/>
      <c r="HHG63" s="954"/>
      <c r="HHH63" s="954"/>
      <c r="HHI63" s="954"/>
      <c r="HHJ63" s="954"/>
      <c r="HHK63" s="954"/>
      <c r="HHL63" s="954"/>
      <c r="HHM63" s="954"/>
      <c r="HHN63" s="954"/>
      <c r="HHO63" s="954"/>
      <c r="HHP63" s="954"/>
      <c r="HHQ63" s="954"/>
      <c r="HHR63" s="954"/>
      <c r="HHS63" s="954"/>
      <c r="HHT63" s="954"/>
      <c r="HHU63" s="954"/>
      <c r="HHV63" s="954"/>
      <c r="HHW63" s="954"/>
      <c r="HHX63" s="954"/>
      <c r="HHY63" s="954"/>
      <c r="HHZ63" s="954"/>
      <c r="HIA63" s="954"/>
      <c r="HIB63" s="954"/>
      <c r="HIC63" s="954"/>
      <c r="HID63" s="954"/>
      <c r="HIE63" s="954"/>
      <c r="HIF63" s="954"/>
      <c r="HIG63" s="954"/>
      <c r="HIH63" s="954"/>
      <c r="HII63" s="954"/>
      <c r="HIJ63" s="954"/>
      <c r="HIK63" s="954"/>
      <c r="HIL63" s="954"/>
      <c r="HIM63" s="954"/>
      <c r="HIN63" s="954"/>
      <c r="HIO63" s="954"/>
      <c r="HIP63" s="954"/>
      <c r="HIQ63" s="954"/>
      <c r="HIR63" s="954"/>
      <c r="HIS63" s="954"/>
      <c r="HIT63" s="954"/>
      <c r="HIU63" s="954"/>
      <c r="HIV63" s="954"/>
      <c r="HIW63" s="954"/>
      <c r="HIX63" s="954"/>
      <c r="HIY63" s="954"/>
      <c r="HIZ63" s="954"/>
      <c r="HJA63" s="954"/>
      <c r="HJB63" s="954"/>
      <c r="HJC63" s="954"/>
      <c r="HJD63" s="954"/>
      <c r="HJE63" s="954"/>
      <c r="HJF63" s="954"/>
      <c r="HJG63" s="954"/>
      <c r="HJH63" s="954"/>
      <c r="HJI63" s="954"/>
      <c r="HJJ63" s="954"/>
      <c r="HJK63" s="954"/>
      <c r="HJL63" s="954"/>
      <c r="HJM63" s="954"/>
      <c r="HJN63" s="954"/>
      <c r="HJO63" s="954"/>
      <c r="HJP63" s="954"/>
      <c r="HJQ63" s="954"/>
      <c r="HJR63" s="954"/>
      <c r="HJS63" s="954"/>
      <c r="HJT63" s="954"/>
      <c r="HJU63" s="954"/>
      <c r="HJV63" s="954"/>
      <c r="HJW63" s="954"/>
      <c r="HJX63" s="954"/>
      <c r="HJY63" s="954"/>
      <c r="HJZ63" s="954"/>
      <c r="HKA63" s="954"/>
      <c r="HKB63" s="954"/>
      <c r="HKC63" s="954"/>
      <c r="HKD63" s="954"/>
      <c r="HKE63" s="954"/>
      <c r="HKF63" s="954"/>
      <c r="HKG63" s="954"/>
      <c r="HKH63" s="954"/>
      <c r="HKI63" s="954"/>
      <c r="HKJ63" s="954"/>
      <c r="HKK63" s="954"/>
      <c r="HKL63" s="954"/>
      <c r="HKM63" s="954"/>
      <c r="HKN63" s="954"/>
      <c r="HKO63" s="954"/>
      <c r="HKP63" s="954"/>
      <c r="HKQ63" s="954"/>
      <c r="HKR63" s="954"/>
      <c r="HKS63" s="954"/>
      <c r="HKT63" s="954"/>
      <c r="HKU63" s="954"/>
      <c r="HKV63" s="954"/>
      <c r="HKW63" s="954"/>
      <c r="HKX63" s="954"/>
      <c r="HKY63" s="954"/>
      <c r="HKZ63" s="954"/>
      <c r="HLA63" s="954"/>
      <c r="HLB63" s="954"/>
      <c r="HLC63" s="954"/>
      <c r="HLD63" s="954"/>
      <c r="HLE63" s="954"/>
      <c r="HLF63" s="954"/>
      <c r="HLG63" s="954"/>
      <c r="HLH63" s="954"/>
      <c r="HLI63" s="954"/>
      <c r="HLJ63" s="954"/>
      <c r="HLK63" s="954"/>
      <c r="HLL63" s="954"/>
      <c r="HLM63" s="954"/>
      <c r="HLN63" s="954"/>
      <c r="HLO63" s="954"/>
      <c r="HLP63" s="954"/>
      <c r="HLQ63" s="954"/>
      <c r="HLR63" s="954"/>
      <c r="HLS63" s="954"/>
      <c r="HLT63" s="954"/>
      <c r="HLU63" s="954"/>
      <c r="HLV63" s="954"/>
      <c r="HLW63" s="954"/>
      <c r="HLX63" s="954"/>
      <c r="HLY63" s="954"/>
      <c r="HLZ63" s="954"/>
      <c r="HMA63" s="954"/>
      <c r="HMB63" s="954"/>
      <c r="HMC63" s="954"/>
      <c r="HMD63" s="954"/>
      <c r="HME63" s="954"/>
      <c r="HMF63" s="954"/>
      <c r="HMG63" s="954"/>
      <c r="HMH63" s="954"/>
      <c r="HMI63" s="954"/>
      <c r="HMJ63" s="954"/>
      <c r="HMK63" s="954"/>
      <c r="HML63" s="954"/>
      <c r="HMM63" s="954"/>
      <c r="HMN63" s="954"/>
      <c r="HMO63" s="954"/>
      <c r="HMP63" s="954"/>
      <c r="HMQ63" s="954"/>
      <c r="HMR63" s="954"/>
      <c r="HMS63" s="954"/>
      <c r="HMT63" s="954"/>
      <c r="HMU63" s="954"/>
      <c r="HMV63" s="954"/>
      <c r="HMW63" s="954"/>
      <c r="HMX63" s="954"/>
      <c r="HMY63" s="954"/>
      <c r="HMZ63" s="954"/>
      <c r="HNA63" s="954"/>
      <c r="HNB63" s="954"/>
      <c r="HNC63" s="954"/>
      <c r="HND63" s="954"/>
      <c r="HNE63" s="954"/>
      <c r="HNF63" s="954"/>
      <c r="HNG63" s="954"/>
      <c r="HNH63" s="954"/>
      <c r="HNI63" s="954"/>
      <c r="HNJ63" s="954"/>
      <c r="HNK63" s="954"/>
      <c r="HNL63" s="954"/>
      <c r="HNM63" s="954"/>
      <c r="HNN63" s="954"/>
      <c r="HNO63" s="954"/>
      <c r="HNP63" s="954"/>
      <c r="HNQ63" s="954"/>
      <c r="HNR63" s="954"/>
      <c r="HNS63" s="954"/>
      <c r="HNT63" s="954"/>
      <c r="HNU63" s="954"/>
      <c r="HNV63" s="954"/>
      <c r="HNW63" s="954"/>
      <c r="HNX63" s="954"/>
      <c r="HNY63" s="954"/>
      <c r="HNZ63" s="954"/>
      <c r="HOA63" s="954"/>
      <c r="HOB63" s="954"/>
      <c r="HOC63" s="954"/>
      <c r="HOD63" s="954"/>
      <c r="HOE63" s="954"/>
      <c r="HOF63" s="954"/>
      <c r="HOG63" s="954"/>
      <c r="HOH63" s="954"/>
      <c r="HOI63" s="954"/>
      <c r="HOJ63" s="954"/>
      <c r="HOK63" s="954"/>
      <c r="HOL63" s="954"/>
      <c r="HOM63" s="954"/>
      <c r="HON63" s="954"/>
      <c r="HOO63" s="954"/>
      <c r="HOP63" s="954"/>
      <c r="HOQ63" s="954"/>
      <c r="HOR63" s="954"/>
      <c r="HOS63" s="954"/>
      <c r="HOT63" s="954"/>
      <c r="HOU63" s="954"/>
      <c r="HOV63" s="954"/>
      <c r="HOW63" s="954"/>
      <c r="HOX63" s="954"/>
      <c r="HOY63" s="954"/>
      <c r="HOZ63" s="954"/>
      <c r="HPA63" s="954"/>
      <c r="HPB63" s="954"/>
      <c r="HPC63" s="954"/>
      <c r="HPD63" s="954"/>
      <c r="HPE63" s="954"/>
      <c r="HPF63" s="954"/>
      <c r="HPG63" s="954"/>
      <c r="HPH63" s="954"/>
      <c r="HPI63" s="954"/>
      <c r="HPJ63" s="954"/>
      <c r="HPK63" s="954"/>
      <c r="HPL63" s="954"/>
      <c r="HPM63" s="954"/>
      <c r="HPN63" s="954"/>
      <c r="HPO63" s="954"/>
      <c r="HPP63" s="954"/>
      <c r="HPQ63" s="954"/>
      <c r="HPR63" s="954"/>
      <c r="HPS63" s="954"/>
      <c r="HPT63" s="954"/>
      <c r="HPU63" s="954"/>
      <c r="HPV63" s="954"/>
      <c r="HPW63" s="954"/>
      <c r="HPX63" s="954"/>
      <c r="HPY63" s="954"/>
      <c r="HPZ63" s="954"/>
      <c r="HQA63" s="954"/>
      <c r="HQB63" s="954"/>
      <c r="HQC63" s="954"/>
      <c r="HQD63" s="954"/>
      <c r="HQE63" s="954"/>
      <c r="HQF63" s="954"/>
      <c r="HQG63" s="954"/>
      <c r="HQH63" s="954"/>
      <c r="HQI63" s="954"/>
      <c r="HQJ63" s="954"/>
      <c r="HQK63" s="954"/>
      <c r="HQL63" s="954"/>
      <c r="HQM63" s="954"/>
      <c r="HQN63" s="954"/>
      <c r="HQO63" s="954"/>
      <c r="HQP63" s="954"/>
      <c r="HQQ63" s="954"/>
      <c r="HQR63" s="954"/>
      <c r="HQS63" s="954"/>
      <c r="HQT63" s="954"/>
      <c r="HQU63" s="954"/>
      <c r="HQV63" s="954"/>
      <c r="HQW63" s="954"/>
      <c r="HQX63" s="954"/>
      <c r="HQY63" s="954"/>
      <c r="HQZ63" s="954"/>
      <c r="HRA63" s="954"/>
      <c r="HRB63" s="954"/>
      <c r="HRC63" s="954"/>
      <c r="HRD63" s="954"/>
      <c r="HRE63" s="954"/>
      <c r="HRF63" s="954"/>
      <c r="HRG63" s="954"/>
      <c r="HRH63" s="954"/>
      <c r="HRI63" s="954"/>
      <c r="HRJ63" s="954"/>
      <c r="HRK63" s="954"/>
      <c r="HRL63" s="954"/>
      <c r="HRM63" s="954"/>
      <c r="HRN63" s="954"/>
      <c r="HRO63" s="954"/>
      <c r="HRP63" s="954"/>
      <c r="HRQ63" s="954"/>
      <c r="HRR63" s="954"/>
      <c r="HRS63" s="954"/>
      <c r="HRT63" s="954"/>
      <c r="HRU63" s="954"/>
      <c r="HRV63" s="954"/>
      <c r="HRW63" s="954"/>
      <c r="HRX63" s="954"/>
      <c r="HRY63" s="954"/>
      <c r="HRZ63" s="954"/>
      <c r="HSA63" s="954"/>
      <c r="HSB63" s="954"/>
      <c r="HSC63" s="954"/>
      <c r="HSD63" s="954"/>
      <c r="HSE63" s="954"/>
      <c r="HSF63" s="954"/>
      <c r="HSG63" s="954"/>
      <c r="HSH63" s="954"/>
      <c r="HSI63" s="954"/>
      <c r="HSJ63" s="954"/>
      <c r="HSK63" s="954"/>
      <c r="HSL63" s="954"/>
      <c r="HSM63" s="954"/>
      <c r="HSN63" s="954"/>
      <c r="HSO63" s="954"/>
      <c r="HSP63" s="954"/>
      <c r="HSQ63" s="954"/>
      <c r="HSR63" s="954"/>
      <c r="HSS63" s="954"/>
      <c r="HST63" s="954"/>
      <c r="HSU63" s="954"/>
      <c r="HSV63" s="954"/>
      <c r="HSW63" s="954"/>
      <c r="HSX63" s="954"/>
      <c r="HSY63" s="954"/>
      <c r="HSZ63" s="954"/>
      <c r="HTA63" s="954"/>
      <c r="HTB63" s="954"/>
      <c r="HTC63" s="954"/>
      <c r="HTD63" s="954"/>
      <c r="HTE63" s="954"/>
      <c r="HTF63" s="954"/>
      <c r="HTG63" s="954"/>
      <c r="HTH63" s="954"/>
      <c r="HTI63" s="954"/>
      <c r="HTJ63" s="954"/>
      <c r="HTK63" s="954"/>
      <c r="HTL63" s="954"/>
      <c r="HTM63" s="954"/>
      <c r="HTN63" s="954"/>
      <c r="HTO63" s="954"/>
      <c r="HTP63" s="954"/>
      <c r="HTQ63" s="954"/>
      <c r="HTR63" s="954"/>
      <c r="HTS63" s="954"/>
      <c r="HTT63" s="954"/>
      <c r="HTU63" s="954"/>
      <c r="HTV63" s="954"/>
      <c r="HTW63" s="954"/>
      <c r="HTX63" s="954"/>
      <c r="HTY63" s="954"/>
      <c r="HTZ63" s="954"/>
      <c r="HUA63" s="954"/>
      <c r="HUB63" s="954"/>
      <c r="HUC63" s="954"/>
      <c r="HUD63" s="954"/>
      <c r="HUE63" s="954"/>
      <c r="HUF63" s="954"/>
      <c r="HUG63" s="954"/>
      <c r="HUH63" s="954"/>
      <c r="HUI63" s="954"/>
      <c r="HUJ63" s="954"/>
      <c r="HUK63" s="954"/>
      <c r="HUL63" s="954"/>
      <c r="HUM63" s="954"/>
      <c r="HUN63" s="954"/>
      <c r="HUO63" s="954"/>
      <c r="HUP63" s="954"/>
      <c r="HUQ63" s="954"/>
      <c r="HUR63" s="954"/>
      <c r="HUS63" s="954"/>
      <c r="HUT63" s="954"/>
      <c r="HUU63" s="954"/>
      <c r="HUV63" s="954"/>
      <c r="HUW63" s="954"/>
      <c r="HUX63" s="954"/>
      <c r="HUY63" s="954"/>
      <c r="HUZ63" s="954"/>
      <c r="HVA63" s="954"/>
      <c r="HVB63" s="954"/>
      <c r="HVC63" s="954"/>
      <c r="HVD63" s="954"/>
      <c r="HVE63" s="954"/>
      <c r="HVF63" s="954"/>
      <c r="HVG63" s="954"/>
      <c r="HVH63" s="954"/>
      <c r="HVI63" s="954"/>
      <c r="HVJ63" s="954"/>
      <c r="HVK63" s="954"/>
      <c r="HVL63" s="954"/>
      <c r="HVM63" s="954"/>
      <c r="HVN63" s="954"/>
      <c r="HVO63" s="954"/>
      <c r="HVP63" s="954"/>
      <c r="HVQ63" s="954"/>
      <c r="HVR63" s="954"/>
      <c r="HVS63" s="954"/>
      <c r="HVT63" s="954"/>
      <c r="HVU63" s="954"/>
      <c r="HVV63" s="954"/>
      <c r="HVW63" s="954"/>
      <c r="HVX63" s="954"/>
      <c r="HVY63" s="954"/>
      <c r="HVZ63" s="954"/>
      <c r="HWA63" s="954"/>
      <c r="HWB63" s="954"/>
      <c r="HWC63" s="954"/>
      <c r="HWD63" s="954"/>
      <c r="HWE63" s="954"/>
      <c r="HWF63" s="954"/>
      <c r="HWG63" s="954"/>
      <c r="HWH63" s="954"/>
      <c r="HWI63" s="954"/>
      <c r="HWJ63" s="954"/>
      <c r="HWK63" s="954"/>
      <c r="HWL63" s="954"/>
      <c r="HWM63" s="954"/>
      <c r="HWN63" s="954"/>
      <c r="HWO63" s="954"/>
      <c r="HWP63" s="954"/>
      <c r="HWQ63" s="954"/>
      <c r="HWR63" s="954"/>
      <c r="HWS63" s="954"/>
      <c r="HWT63" s="954"/>
      <c r="HWU63" s="954"/>
      <c r="HWV63" s="954"/>
      <c r="HWW63" s="954"/>
      <c r="HWX63" s="954"/>
      <c r="HWY63" s="954"/>
      <c r="HWZ63" s="954"/>
      <c r="HXA63" s="954"/>
      <c r="HXB63" s="954"/>
      <c r="HXC63" s="954"/>
      <c r="HXD63" s="954"/>
      <c r="HXE63" s="954"/>
      <c r="HXF63" s="954"/>
      <c r="HXG63" s="954"/>
      <c r="HXH63" s="954"/>
      <c r="HXI63" s="954"/>
      <c r="HXJ63" s="954"/>
      <c r="HXK63" s="954"/>
      <c r="HXL63" s="954"/>
      <c r="HXM63" s="954"/>
      <c r="HXN63" s="954"/>
      <c r="HXO63" s="954"/>
      <c r="HXP63" s="954"/>
      <c r="HXQ63" s="954"/>
      <c r="HXR63" s="954"/>
      <c r="HXS63" s="954"/>
      <c r="HXT63" s="954"/>
      <c r="HXU63" s="954"/>
      <c r="HXV63" s="954"/>
      <c r="HXW63" s="954"/>
      <c r="HXX63" s="954"/>
      <c r="HXY63" s="954"/>
      <c r="HXZ63" s="954"/>
      <c r="HYA63" s="954"/>
      <c r="HYB63" s="954"/>
      <c r="HYC63" s="954"/>
      <c r="HYD63" s="954"/>
      <c r="HYE63" s="954"/>
      <c r="HYF63" s="954"/>
      <c r="HYG63" s="954"/>
      <c r="HYH63" s="954"/>
      <c r="HYI63" s="954"/>
      <c r="HYJ63" s="954"/>
      <c r="HYK63" s="954"/>
      <c r="HYL63" s="954"/>
      <c r="HYM63" s="954"/>
      <c r="HYN63" s="954"/>
      <c r="HYO63" s="954"/>
      <c r="HYP63" s="954"/>
      <c r="HYQ63" s="954"/>
      <c r="HYR63" s="954"/>
      <c r="HYS63" s="954"/>
      <c r="HYT63" s="954"/>
      <c r="HYU63" s="954"/>
      <c r="HYV63" s="954"/>
      <c r="HYW63" s="954"/>
      <c r="HYX63" s="954"/>
      <c r="HYY63" s="954"/>
      <c r="HYZ63" s="954"/>
      <c r="HZA63" s="954"/>
      <c r="HZB63" s="954"/>
      <c r="HZC63" s="954"/>
      <c r="HZD63" s="954"/>
      <c r="HZE63" s="954"/>
      <c r="HZF63" s="954"/>
      <c r="HZG63" s="954"/>
      <c r="HZH63" s="954"/>
      <c r="HZI63" s="954"/>
      <c r="HZJ63" s="954"/>
      <c r="HZK63" s="954"/>
      <c r="HZL63" s="954"/>
      <c r="HZM63" s="954"/>
      <c r="HZN63" s="954"/>
      <c r="HZO63" s="954"/>
      <c r="HZP63" s="954"/>
      <c r="HZQ63" s="954"/>
      <c r="HZR63" s="954"/>
      <c r="HZS63" s="954"/>
      <c r="HZT63" s="954"/>
      <c r="HZU63" s="954"/>
      <c r="HZV63" s="954"/>
      <c r="HZW63" s="954"/>
      <c r="HZX63" s="954"/>
      <c r="HZY63" s="954"/>
      <c r="HZZ63" s="954"/>
      <c r="IAA63" s="954"/>
      <c r="IAB63" s="954"/>
      <c r="IAC63" s="954"/>
      <c r="IAD63" s="954"/>
      <c r="IAE63" s="954"/>
      <c r="IAF63" s="954"/>
      <c r="IAG63" s="954"/>
      <c r="IAH63" s="954"/>
      <c r="IAI63" s="954"/>
      <c r="IAJ63" s="954"/>
      <c r="IAK63" s="954"/>
      <c r="IAL63" s="954"/>
      <c r="IAM63" s="954"/>
      <c r="IAN63" s="954"/>
      <c r="IAO63" s="954"/>
      <c r="IAP63" s="954"/>
      <c r="IAQ63" s="954"/>
      <c r="IAR63" s="954"/>
      <c r="IAS63" s="954"/>
      <c r="IAT63" s="954"/>
      <c r="IAU63" s="954"/>
      <c r="IAV63" s="954"/>
      <c r="IAW63" s="954"/>
      <c r="IAX63" s="954"/>
      <c r="IAY63" s="954"/>
      <c r="IAZ63" s="954"/>
      <c r="IBA63" s="954"/>
      <c r="IBB63" s="954"/>
      <c r="IBC63" s="954"/>
      <c r="IBD63" s="954"/>
      <c r="IBE63" s="954"/>
      <c r="IBF63" s="954"/>
      <c r="IBG63" s="954"/>
      <c r="IBH63" s="954"/>
      <c r="IBI63" s="954"/>
      <c r="IBJ63" s="954"/>
      <c r="IBK63" s="954"/>
      <c r="IBL63" s="954"/>
      <c r="IBM63" s="954"/>
      <c r="IBN63" s="954"/>
      <c r="IBO63" s="954"/>
      <c r="IBP63" s="954"/>
      <c r="IBQ63" s="954"/>
      <c r="IBR63" s="954"/>
      <c r="IBS63" s="954"/>
      <c r="IBT63" s="954"/>
      <c r="IBU63" s="954"/>
      <c r="IBV63" s="954"/>
      <c r="IBW63" s="954"/>
      <c r="IBX63" s="954"/>
      <c r="IBY63" s="954"/>
      <c r="IBZ63" s="954"/>
      <c r="ICA63" s="954"/>
      <c r="ICB63" s="954"/>
      <c r="ICC63" s="954"/>
      <c r="ICD63" s="954"/>
      <c r="ICE63" s="954"/>
      <c r="ICF63" s="954"/>
      <c r="ICG63" s="954"/>
      <c r="ICH63" s="954"/>
      <c r="ICI63" s="954"/>
      <c r="ICJ63" s="954"/>
      <c r="ICK63" s="954"/>
      <c r="ICL63" s="954"/>
      <c r="ICM63" s="954"/>
      <c r="ICN63" s="954"/>
      <c r="ICO63" s="954"/>
      <c r="ICP63" s="954"/>
      <c r="ICQ63" s="954"/>
      <c r="ICR63" s="954"/>
      <c r="ICS63" s="954"/>
      <c r="ICT63" s="954"/>
      <c r="ICU63" s="954"/>
      <c r="ICV63" s="954"/>
      <c r="ICW63" s="954"/>
      <c r="ICX63" s="954"/>
      <c r="ICY63" s="954"/>
      <c r="ICZ63" s="954"/>
      <c r="IDA63" s="954"/>
      <c r="IDB63" s="954"/>
      <c r="IDC63" s="954"/>
      <c r="IDD63" s="954"/>
      <c r="IDE63" s="954"/>
      <c r="IDF63" s="954"/>
      <c r="IDG63" s="954"/>
      <c r="IDH63" s="954"/>
      <c r="IDI63" s="954"/>
      <c r="IDJ63" s="954"/>
      <c r="IDK63" s="954"/>
      <c r="IDL63" s="954"/>
      <c r="IDM63" s="954"/>
      <c r="IDN63" s="954"/>
      <c r="IDO63" s="954"/>
      <c r="IDP63" s="954"/>
      <c r="IDQ63" s="954"/>
      <c r="IDR63" s="954"/>
      <c r="IDS63" s="954"/>
      <c r="IDT63" s="954"/>
      <c r="IDU63" s="954"/>
      <c r="IDV63" s="954"/>
      <c r="IDW63" s="954"/>
      <c r="IDX63" s="954"/>
      <c r="IDY63" s="954"/>
      <c r="IDZ63" s="954"/>
      <c r="IEA63" s="954"/>
      <c r="IEB63" s="954"/>
      <c r="IEC63" s="954"/>
      <c r="IED63" s="954"/>
      <c r="IEE63" s="954"/>
      <c r="IEF63" s="954"/>
      <c r="IEG63" s="954"/>
      <c r="IEH63" s="954"/>
      <c r="IEI63" s="954"/>
      <c r="IEJ63" s="954"/>
      <c r="IEK63" s="954"/>
      <c r="IEL63" s="954"/>
      <c r="IEM63" s="954"/>
      <c r="IEN63" s="954"/>
      <c r="IEO63" s="954"/>
      <c r="IEP63" s="954"/>
      <c r="IEQ63" s="954"/>
      <c r="IER63" s="954"/>
      <c r="IES63" s="954"/>
      <c r="IET63" s="954"/>
      <c r="IEU63" s="954"/>
      <c r="IEV63" s="954"/>
      <c r="IEW63" s="954"/>
      <c r="IEX63" s="954"/>
      <c r="IEY63" s="954"/>
      <c r="IEZ63" s="954"/>
      <c r="IFA63" s="954"/>
      <c r="IFB63" s="954"/>
      <c r="IFC63" s="954"/>
      <c r="IFD63" s="954"/>
      <c r="IFE63" s="954"/>
      <c r="IFF63" s="954"/>
      <c r="IFG63" s="954"/>
      <c r="IFH63" s="954"/>
      <c r="IFI63" s="954"/>
      <c r="IFJ63" s="954"/>
      <c r="IFK63" s="954"/>
      <c r="IFL63" s="954"/>
      <c r="IFM63" s="954"/>
      <c r="IFN63" s="954"/>
      <c r="IFO63" s="954"/>
      <c r="IFP63" s="954"/>
      <c r="IFQ63" s="954"/>
      <c r="IFR63" s="954"/>
      <c r="IFS63" s="954"/>
      <c r="IFT63" s="954"/>
      <c r="IFU63" s="954"/>
      <c r="IFV63" s="954"/>
      <c r="IFW63" s="954"/>
      <c r="IFX63" s="954"/>
      <c r="IFY63" s="954"/>
      <c r="IFZ63" s="954"/>
      <c r="IGA63" s="954"/>
      <c r="IGB63" s="954"/>
      <c r="IGC63" s="954"/>
      <c r="IGD63" s="954"/>
      <c r="IGE63" s="954"/>
      <c r="IGF63" s="954"/>
      <c r="IGG63" s="954"/>
      <c r="IGH63" s="954"/>
      <c r="IGI63" s="954"/>
      <c r="IGJ63" s="954"/>
      <c r="IGK63" s="954"/>
      <c r="IGL63" s="954"/>
      <c r="IGM63" s="954"/>
      <c r="IGN63" s="954"/>
      <c r="IGO63" s="954"/>
      <c r="IGP63" s="954"/>
      <c r="IGQ63" s="954"/>
      <c r="IGR63" s="954"/>
      <c r="IGS63" s="954"/>
      <c r="IGT63" s="954"/>
      <c r="IGU63" s="954"/>
      <c r="IGV63" s="954"/>
      <c r="IGW63" s="954"/>
      <c r="IGX63" s="954"/>
      <c r="IGY63" s="954"/>
      <c r="IGZ63" s="954"/>
      <c r="IHA63" s="954"/>
      <c r="IHB63" s="954"/>
      <c r="IHC63" s="954"/>
      <c r="IHD63" s="954"/>
      <c r="IHE63" s="954"/>
      <c r="IHF63" s="954"/>
      <c r="IHG63" s="954"/>
      <c r="IHH63" s="954"/>
      <c r="IHI63" s="954"/>
      <c r="IHJ63" s="954"/>
      <c r="IHK63" s="954"/>
      <c r="IHL63" s="954"/>
      <c r="IHM63" s="954"/>
      <c r="IHN63" s="954"/>
      <c r="IHO63" s="954"/>
      <c r="IHP63" s="954"/>
      <c r="IHQ63" s="954"/>
      <c r="IHR63" s="954"/>
      <c r="IHS63" s="954"/>
      <c r="IHT63" s="954"/>
      <c r="IHU63" s="954"/>
      <c r="IHV63" s="954"/>
      <c r="IHW63" s="954"/>
      <c r="IHX63" s="954"/>
      <c r="IHY63" s="954"/>
      <c r="IHZ63" s="954"/>
      <c r="IIA63" s="954"/>
      <c r="IIB63" s="954"/>
      <c r="IIC63" s="954"/>
      <c r="IID63" s="954"/>
      <c r="IIE63" s="954"/>
      <c r="IIF63" s="954"/>
      <c r="IIG63" s="954"/>
      <c r="IIH63" s="954"/>
      <c r="III63" s="954"/>
      <c r="IIJ63" s="954"/>
      <c r="IIK63" s="954"/>
      <c r="IIL63" s="954"/>
      <c r="IIM63" s="954"/>
      <c r="IIN63" s="954"/>
      <c r="IIO63" s="954"/>
      <c r="IIP63" s="954"/>
      <c r="IIQ63" s="954"/>
      <c r="IIR63" s="954"/>
      <c r="IIS63" s="954"/>
      <c r="IIT63" s="954"/>
      <c r="IIU63" s="954"/>
      <c r="IIV63" s="954"/>
      <c r="IIW63" s="954"/>
      <c r="IIX63" s="954"/>
      <c r="IIY63" s="954"/>
      <c r="IIZ63" s="954"/>
      <c r="IJA63" s="954"/>
      <c r="IJB63" s="954"/>
      <c r="IJC63" s="954"/>
      <c r="IJD63" s="954"/>
      <c r="IJE63" s="954"/>
      <c r="IJF63" s="954"/>
      <c r="IJG63" s="954"/>
      <c r="IJH63" s="954"/>
      <c r="IJI63" s="954"/>
      <c r="IJJ63" s="954"/>
      <c r="IJK63" s="954"/>
      <c r="IJL63" s="954"/>
      <c r="IJM63" s="954"/>
      <c r="IJN63" s="954"/>
      <c r="IJO63" s="954"/>
      <c r="IJP63" s="954"/>
      <c r="IJQ63" s="954"/>
      <c r="IJR63" s="954"/>
      <c r="IJS63" s="954"/>
      <c r="IJT63" s="954"/>
      <c r="IJU63" s="954"/>
      <c r="IJV63" s="954"/>
      <c r="IJW63" s="954"/>
      <c r="IJX63" s="954"/>
      <c r="IJY63" s="954"/>
      <c r="IJZ63" s="954"/>
      <c r="IKA63" s="954"/>
      <c r="IKB63" s="954"/>
      <c r="IKC63" s="954"/>
      <c r="IKD63" s="954"/>
      <c r="IKE63" s="954"/>
      <c r="IKF63" s="954"/>
      <c r="IKG63" s="954"/>
      <c r="IKH63" s="954"/>
      <c r="IKI63" s="954"/>
      <c r="IKJ63" s="954"/>
      <c r="IKK63" s="954"/>
      <c r="IKL63" s="954"/>
      <c r="IKM63" s="954"/>
      <c r="IKN63" s="954"/>
      <c r="IKO63" s="954"/>
      <c r="IKP63" s="954"/>
      <c r="IKQ63" s="954"/>
      <c r="IKR63" s="954"/>
      <c r="IKS63" s="954"/>
      <c r="IKT63" s="954"/>
      <c r="IKU63" s="954"/>
      <c r="IKV63" s="954"/>
      <c r="IKW63" s="954"/>
      <c r="IKX63" s="954"/>
      <c r="IKY63" s="954"/>
      <c r="IKZ63" s="954"/>
      <c r="ILA63" s="954"/>
      <c r="ILB63" s="954"/>
      <c r="ILC63" s="954"/>
      <c r="ILD63" s="954"/>
      <c r="ILE63" s="954"/>
      <c r="ILF63" s="954"/>
      <c r="ILG63" s="954"/>
      <c r="ILH63" s="954"/>
      <c r="ILI63" s="954"/>
      <c r="ILJ63" s="954"/>
      <c r="ILK63" s="954"/>
      <c r="ILL63" s="954"/>
      <c r="ILM63" s="954"/>
      <c r="ILN63" s="954"/>
      <c r="ILO63" s="954"/>
      <c r="ILP63" s="954"/>
      <c r="ILQ63" s="954"/>
      <c r="ILR63" s="954"/>
      <c r="ILS63" s="954"/>
      <c r="ILT63" s="954"/>
      <c r="ILU63" s="954"/>
      <c r="ILV63" s="954"/>
      <c r="ILW63" s="954"/>
      <c r="ILX63" s="954"/>
      <c r="ILY63" s="954"/>
      <c r="ILZ63" s="954"/>
      <c r="IMA63" s="954"/>
      <c r="IMB63" s="954"/>
      <c r="IMC63" s="954"/>
      <c r="IMD63" s="954"/>
      <c r="IME63" s="954"/>
      <c r="IMF63" s="954"/>
      <c r="IMG63" s="954"/>
      <c r="IMH63" s="954"/>
      <c r="IMI63" s="954"/>
      <c r="IMJ63" s="954"/>
      <c r="IMK63" s="954"/>
      <c r="IML63" s="954"/>
      <c r="IMM63" s="954"/>
      <c r="IMN63" s="954"/>
      <c r="IMO63" s="954"/>
      <c r="IMP63" s="954"/>
      <c r="IMQ63" s="954"/>
      <c r="IMR63" s="954"/>
      <c r="IMS63" s="954"/>
      <c r="IMT63" s="954"/>
      <c r="IMU63" s="954"/>
      <c r="IMV63" s="954"/>
      <c r="IMW63" s="954"/>
      <c r="IMX63" s="954"/>
      <c r="IMY63" s="954"/>
      <c r="IMZ63" s="954"/>
      <c r="INA63" s="954"/>
      <c r="INB63" s="954"/>
      <c r="INC63" s="954"/>
      <c r="IND63" s="954"/>
      <c r="INE63" s="954"/>
      <c r="INF63" s="954"/>
      <c r="ING63" s="954"/>
      <c r="INH63" s="954"/>
      <c r="INI63" s="954"/>
      <c r="INJ63" s="954"/>
      <c r="INK63" s="954"/>
      <c r="INL63" s="954"/>
      <c r="INM63" s="954"/>
      <c r="INN63" s="954"/>
      <c r="INO63" s="954"/>
      <c r="INP63" s="954"/>
      <c r="INQ63" s="954"/>
      <c r="INR63" s="954"/>
      <c r="INS63" s="954"/>
      <c r="INT63" s="954"/>
      <c r="INU63" s="954"/>
      <c r="INV63" s="954"/>
      <c r="INW63" s="954"/>
      <c r="INX63" s="954"/>
      <c r="INY63" s="954"/>
      <c r="INZ63" s="954"/>
      <c r="IOA63" s="954"/>
      <c r="IOB63" s="954"/>
      <c r="IOC63" s="954"/>
      <c r="IOD63" s="954"/>
      <c r="IOE63" s="954"/>
      <c r="IOF63" s="954"/>
      <c r="IOG63" s="954"/>
      <c r="IOH63" s="954"/>
      <c r="IOI63" s="954"/>
      <c r="IOJ63" s="954"/>
      <c r="IOK63" s="954"/>
      <c r="IOL63" s="954"/>
      <c r="IOM63" s="954"/>
      <c r="ION63" s="954"/>
      <c r="IOO63" s="954"/>
      <c r="IOP63" s="954"/>
      <c r="IOQ63" s="954"/>
      <c r="IOR63" s="954"/>
      <c r="IOS63" s="954"/>
      <c r="IOT63" s="954"/>
      <c r="IOU63" s="954"/>
      <c r="IOV63" s="954"/>
      <c r="IOW63" s="954"/>
      <c r="IOX63" s="954"/>
      <c r="IOY63" s="954"/>
      <c r="IOZ63" s="954"/>
      <c r="IPA63" s="954"/>
      <c r="IPB63" s="954"/>
      <c r="IPC63" s="954"/>
      <c r="IPD63" s="954"/>
      <c r="IPE63" s="954"/>
      <c r="IPF63" s="954"/>
      <c r="IPG63" s="954"/>
      <c r="IPH63" s="954"/>
      <c r="IPI63" s="954"/>
      <c r="IPJ63" s="954"/>
      <c r="IPK63" s="954"/>
      <c r="IPL63" s="954"/>
      <c r="IPM63" s="954"/>
      <c r="IPN63" s="954"/>
      <c r="IPO63" s="954"/>
      <c r="IPP63" s="954"/>
      <c r="IPQ63" s="954"/>
      <c r="IPR63" s="954"/>
      <c r="IPS63" s="954"/>
      <c r="IPT63" s="954"/>
      <c r="IPU63" s="954"/>
      <c r="IPV63" s="954"/>
      <c r="IPW63" s="954"/>
      <c r="IPX63" s="954"/>
      <c r="IPY63" s="954"/>
      <c r="IPZ63" s="954"/>
      <c r="IQA63" s="954"/>
      <c r="IQB63" s="954"/>
      <c r="IQC63" s="954"/>
      <c r="IQD63" s="954"/>
      <c r="IQE63" s="954"/>
      <c r="IQF63" s="954"/>
      <c r="IQG63" s="954"/>
      <c r="IQH63" s="954"/>
      <c r="IQI63" s="954"/>
      <c r="IQJ63" s="954"/>
      <c r="IQK63" s="954"/>
      <c r="IQL63" s="954"/>
      <c r="IQM63" s="954"/>
      <c r="IQN63" s="954"/>
      <c r="IQO63" s="954"/>
      <c r="IQP63" s="954"/>
      <c r="IQQ63" s="954"/>
      <c r="IQR63" s="954"/>
      <c r="IQS63" s="954"/>
      <c r="IQT63" s="954"/>
      <c r="IQU63" s="954"/>
      <c r="IQV63" s="954"/>
      <c r="IQW63" s="954"/>
      <c r="IQX63" s="954"/>
      <c r="IQY63" s="954"/>
      <c r="IQZ63" s="954"/>
      <c r="IRA63" s="954"/>
      <c r="IRB63" s="954"/>
      <c r="IRC63" s="954"/>
      <c r="IRD63" s="954"/>
      <c r="IRE63" s="954"/>
      <c r="IRF63" s="954"/>
      <c r="IRG63" s="954"/>
      <c r="IRH63" s="954"/>
      <c r="IRI63" s="954"/>
      <c r="IRJ63" s="954"/>
      <c r="IRK63" s="954"/>
      <c r="IRL63" s="954"/>
      <c r="IRM63" s="954"/>
      <c r="IRN63" s="954"/>
      <c r="IRO63" s="954"/>
      <c r="IRP63" s="954"/>
      <c r="IRQ63" s="954"/>
      <c r="IRR63" s="954"/>
      <c r="IRS63" s="954"/>
      <c r="IRT63" s="954"/>
      <c r="IRU63" s="954"/>
      <c r="IRV63" s="954"/>
      <c r="IRW63" s="954"/>
      <c r="IRX63" s="954"/>
      <c r="IRY63" s="954"/>
      <c r="IRZ63" s="954"/>
      <c r="ISA63" s="954"/>
      <c r="ISB63" s="954"/>
      <c r="ISC63" s="954"/>
      <c r="ISD63" s="954"/>
      <c r="ISE63" s="954"/>
      <c r="ISF63" s="954"/>
      <c r="ISG63" s="954"/>
      <c r="ISH63" s="954"/>
      <c r="ISI63" s="954"/>
      <c r="ISJ63" s="954"/>
      <c r="ISK63" s="954"/>
      <c r="ISL63" s="954"/>
      <c r="ISM63" s="954"/>
      <c r="ISN63" s="954"/>
      <c r="ISO63" s="954"/>
      <c r="ISP63" s="954"/>
      <c r="ISQ63" s="954"/>
      <c r="ISR63" s="954"/>
      <c r="ISS63" s="954"/>
      <c r="IST63" s="954"/>
      <c r="ISU63" s="954"/>
      <c r="ISV63" s="954"/>
      <c r="ISW63" s="954"/>
      <c r="ISX63" s="954"/>
      <c r="ISY63" s="954"/>
      <c r="ISZ63" s="954"/>
      <c r="ITA63" s="954"/>
      <c r="ITB63" s="954"/>
      <c r="ITC63" s="954"/>
      <c r="ITD63" s="954"/>
      <c r="ITE63" s="954"/>
      <c r="ITF63" s="954"/>
      <c r="ITG63" s="954"/>
      <c r="ITH63" s="954"/>
      <c r="ITI63" s="954"/>
      <c r="ITJ63" s="954"/>
      <c r="ITK63" s="954"/>
      <c r="ITL63" s="954"/>
      <c r="ITM63" s="954"/>
      <c r="ITN63" s="954"/>
      <c r="ITO63" s="954"/>
      <c r="ITP63" s="954"/>
      <c r="ITQ63" s="954"/>
      <c r="ITR63" s="954"/>
      <c r="ITS63" s="954"/>
      <c r="ITT63" s="954"/>
      <c r="ITU63" s="954"/>
      <c r="ITV63" s="954"/>
      <c r="ITW63" s="954"/>
      <c r="ITX63" s="954"/>
      <c r="ITY63" s="954"/>
      <c r="ITZ63" s="954"/>
      <c r="IUA63" s="954"/>
      <c r="IUB63" s="954"/>
      <c r="IUC63" s="954"/>
      <c r="IUD63" s="954"/>
      <c r="IUE63" s="954"/>
      <c r="IUF63" s="954"/>
      <c r="IUG63" s="954"/>
      <c r="IUH63" s="954"/>
      <c r="IUI63" s="954"/>
      <c r="IUJ63" s="954"/>
      <c r="IUK63" s="954"/>
      <c r="IUL63" s="954"/>
      <c r="IUM63" s="954"/>
      <c r="IUN63" s="954"/>
      <c r="IUO63" s="954"/>
      <c r="IUP63" s="954"/>
      <c r="IUQ63" s="954"/>
      <c r="IUR63" s="954"/>
      <c r="IUS63" s="954"/>
      <c r="IUT63" s="954"/>
      <c r="IUU63" s="954"/>
      <c r="IUV63" s="954"/>
      <c r="IUW63" s="954"/>
      <c r="IUX63" s="954"/>
      <c r="IUY63" s="954"/>
      <c r="IUZ63" s="954"/>
      <c r="IVA63" s="954"/>
      <c r="IVB63" s="954"/>
      <c r="IVC63" s="954"/>
      <c r="IVD63" s="954"/>
      <c r="IVE63" s="954"/>
      <c r="IVF63" s="954"/>
      <c r="IVG63" s="954"/>
      <c r="IVH63" s="954"/>
      <c r="IVI63" s="954"/>
      <c r="IVJ63" s="954"/>
      <c r="IVK63" s="954"/>
      <c r="IVL63" s="954"/>
      <c r="IVM63" s="954"/>
      <c r="IVN63" s="954"/>
      <c r="IVO63" s="954"/>
      <c r="IVP63" s="954"/>
      <c r="IVQ63" s="954"/>
      <c r="IVR63" s="954"/>
      <c r="IVS63" s="954"/>
      <c r="IVT63" s="954"/>
      <c r="IVU63" s="954"/>
      <c r="IVV63" s="954"/>
      <c r="IVW63" s="954"/>
      <c r="IVX63" s="954"/>
      <c r="IVY63" s="954"/>
      <c r="IVZ63" s="954"/>
      <c r="IWA63" s="954"/>
      <c r="IWB63" s="954"/>
      <c r="IWC63" s="954"/>
      <c r="IWD63" s="954"/>
      <c r="IWE63" s="954"/>
      <c r="IWF63" s="954"/>
      <c r="IWG63" s="954"/>
      <c r="IWH63" s="954"/>
      <c r="IWI63" s="954"/>
      <c r="IWJ63" s="954"/>
      <c r="IWK63" s="954"/>
      <c r="IWL63" s="954"/>
      <c r="IWM63" s="954"/>
      <c r="IWN63" s="954"/>
      <c r="IWO63" s="954"/>
      <c r="IWP63" s="954"/>
      <c r="IWQ63" s="954"/>
      <c r="IWR63" s="954"/>
      <c r="IWS63" s="954"/>
      <c r="IWT63" s="954"/>
      <c r="IWU63" s="954"/>
      <c r="IWV63" s="954"/>
      <c r="IWW63" s="954"/>
      <c r="IWX63" s="954"/>
      <c r="IWY63" s="954"/>
      <c r="IWZ63" s="954"/>
      <c r="IXA63" s="954"/>
      <c r="IXB63" s="954"/>
      <c r="IXC63" s="954"/>
      <c r="IXD63" s="954"/>
      <c r="IXE63" s="954"/>
      <c r="IXF63" s="954"/>
      <c r="IXG63" s="954"/>
      <c r="IXH63" s="954"/>
      <c r="IXI63" s="954"/>
      <c r="IXJ63" s="954"/>
      <c r="IXK63" s="954"/>
      <c r="IXL63" s="954"/>
      <c r="IXM63" s="954"/>
      <c r="IXN63" s="954"/>
      <c r="IXO63" s="954"/>
      <c r="IXP63" s="954"/>
      <c r="IXQ63" s="954"/>
      <c r="IXR63" s="954"/>
      <c r="IXS63" s="954"/>
      <c r="IXT63" s="954"/>
      <c r="IXU63" s="954"/>
      <c r="IXV63" s="954"/>
      <c r="IXW63" s="954"/>
      <c r="IXX63" s="954"/>
      <c r="IXY63" s="954"/>
      <c r="IXZ63" s="954"/>
      <c r="IYA63" s="954"/>
      <c r="IYB63" s="954"/>
      <c r="IYC63" s="954"/>
      <c r="IYD63" s="954"/>
      <c r="IYE63" s="954"/>
      <c r="IYF63" s="954"/>
      <c r="IYG63" s="954"/>
      <c r="IYH63" s="954"/>
      <c r="IYI63" s="954"/>
      <c r="IYJ63" s="954"/>
      <c r="IYK63" s="954"/>
      <c r="IYL63" s="954"/>
      <c r="IYM63" s="954"/>
      <c r="IYN63" s="954"/>
      <c r="IYO63" s="954"/>
      <c r="IYP63" s="954"/>
      <c r="IYQ63" s="954"/>
      <c r="IYR63" s="954"/>
      <c r="IYS63" s="954"/>
      <c r="IYT63" s="954"/>
      <c r="IYU63" s="954"/>
      <c r="IYV63" s="954"/>
      <c r="IYW63" s="954"/>
      <c r="IYX63" s="954"/>
      <c r="IYY63" s="954"/>
      <c r="IYZ63" s="954"/>
      <c r="IZA63" s="954"/>
      <c r="IZB63" s="954"/>
      <c r="IZC63" s="954"/>
      <c r="IZD63" s="954"/>
      <c r="IZE63" s="954"/>
      <c r="IZF63" s="954"/>
      <c r="IZG63" s="954"/>
      <c r="IZH63" s="954"/>
      <c r="IZI63" s="954"/>
      <c r="IZJ63" s="954"/>
      <c r="IZK63" s="954"/>
      <c r="IZL63" s="954"/>
      <c r="IZM63" s="954"/>
      <c r="IZN63" s="954"/>
      <c r="IZO63" s="954"/>
      <c r="IZP63" s="954"/>
      <c r="IZQ63" s="954"/>
      <c r="IZR63" s="954"/>
      <c r="IZS63" s="954"/>
      <c r="IZT63" s="954"/>
      <c r="IZU63" s="954"/>
      <c r="IZV63" s="954"/>
      <c r="IZW63" s="954"/>
      <c r="IZX63" s="954"/>
      <c r="IZY63" s="954"/>
      <c r="IZZ63" s="954"/>
      <c r="JAA63" s="954"/>
      <c r="JAB63" s="954"/>
      <c r="JAC63" s="954"/>
      <c r="JAD63" s="954"/>
      <c r="JAE63" s="954"/>
      <c r="JAF63" s="954"/>
      <c r="JAG63" s="954"/>
      <c r="JAH63" s="954"/>
      <c r="JAI63" s="954"/>
      <c r="JAJ63" s="954"/>
      <c r="JAK63" s="954"/>
      <c r="JAL63" s="954"/>
      <c r="JAM63" s="954"/>
      <c r="JAN63" s="954"/>
      <c r="JAO63" s="954"/>
      <c r="JAP63" s="954"/>
      <c r="JAQ63" s="954"/>
      <c r="JAR63" s="954"/>
      <c r="JAS63" s="954"/>
      <c r="JAT63" s="954"/>
      <c r="JAU63" s="954"/>
      <c r="JAV63" s="954"/>
      <c r="JAW63" s="954"/>
      <c r="JAX63" s="954"/>
      <c r="JAY63" s="954"/>
      <c r="JAZ63" s="954"/>
      <c r="JBA63" s="954"/>
      <c r="JBB63" s="954"/>
      <c r="JBC63" s="954"/>
      <c r="JBD63" s="954"/>
      <c r="JBE63" s="954"/>
      <c r="JBF63" s="954"/>
      <c r="JBG63" s="954"/>
      <c r="JBH63" s="954"/>
      <c r="JBI63" s="954"/>
      <c r="JBJ63" s="954"/>
      <c r="JBK63" s="954"/>
      <c r="JBL63" s="954"/>
      <c r="JBM63" s="954"/>
      <c r="JBN63" s="954"/>
      <c r="JBO63" s="954"/>
      <c r="JBP63" s="954"/>
      <c r="JBQ63" s="954"/>
      <c r="JBR63" s="954"/>
      <c r="JBS63" s="954"/>
      <c r="JBT63" s="954"/>
      <c r="JBU63" s="954"/>
      <c r="JBV63" s="954"/>
      <c r="JBW63" s="954"/>
      <c r="JBX63" s="954"/>
      <c r="JBY63" s="954"/>
      <c r="JBZ63" s="954"/>
      <c r="JCA63" s="954"/>
      <c r="JCB63" s="954"/>
      <c r="JCC63" s="954"/>
      <c r="JCD63" s="954"/>
      <c r="JCE63" s="954"/>
      <c r="JCF63" s="954"/>
      <c r="JCG63" s="954"/>
      <c r="JCH63" s="954"/>
      <c r="JCI63" s="954"/>
      <c r="JCJ63" s="954"/>
      <c r="JCK63" s="954"/>
      <c r="JCL63" s="954"/>
      <c r="JCM63" s="954"/>
      <c r="JCN63" s="954"/>
      <c r="JCO63" s="954"/>
      <c r="JCP63" s="954"/>
      <c r="JCQ63" s="954"/>
      <c r="JCR63" s="954"/>
      <c r="JCS63" s="954"/>
      <c r="JCT63" s="954"/>
      <c r="JCU63" s="954"/>
      <c r="JCV63" s="954"/>
      <c r="JCW63" s="954"/>
      <c r="JCX63" s="954"/>
      <c r="JCY63" s="954"/>
      <c r="JCZ63" s="954"/>
      <c r="JDA63" s="954"/>
      <c r="JDB63" s="954"/>
      <c r="JDC63" s="954"/>
      <c r="JDD63" s="954"/>
      <c r="JDE63" s="954"/>
      <c r="JDF63" s="954"/>
      <c r="JDG63" s="954"/>
      <c r="JDH63" s="954"/>
      <c r="JDI63" s="954"/>
      <c r="JDJ63" s="954"/>
      <c r="JDK63" s="954"/>
      <c r="JDL63" s="954"/>
      <c r="JDM63" s="954"/>
      <c r="JDN63" s="954"/>
      <c r="JDO63" s="954"/>
      <c r="JDP63" s="954"/>
      <c r="JDQ63" s="954"/>
      <c r="JDR63" s="954"/>
      <c r="JDS63" s="954"/>
      <c r="JDT63" s="954"/>
      <c r="JDU63" s="954"/>
      <c r="JDV63" s="954"/>
      <c r="JDW63" s="954"/>
      <c r="JDX63" s="954"/>
      <c r="JDY63" s="954"/>
      <c r="JDZ63" s="954"/>
      <c r="JEA63" s="954"/>
      <c r="JEB63" s="954"/>
      <c r="JEC63" s="954"/>
      <c r="JED63" s="954"/>
      <c r="JEE63" s="954"/>
      <c r="JEF63" s="954"/>
      <c r="JEG63" s="954"/>
      <c r="JEH63" s="954"/>
      <c r="JEI63" s="954"/>
      <c r="JEJ63" s="954"/>
      <c r="JEK63" s="954"/>
      <c r="JEL63" s="954"/>
      <c r="JEM63" s="954"/>
      <c r="JEN63" s="954"/>
      <c r="JEO63" s="954"/>
      <c r="JEP63" s="954"/>
      <c r="JEQ63" s="954"/>
      <c r="JER63" s="954"/>
      <c r="JES63" s="954"/>
      <c r="JET63" s="954"/>
      <c r="JEU63" s="954"/>
      <c r="JEV63" s="954"/>
      <c r="JEW63" s="954"/>
      <c r="JEX63" s="954"/>
      <c r="JEY63" s="954"/>
      <c r="JEZ63" s="954"/>
      <c r="JFA63" s="954"/>
      <c r="JFB63" s="954"/>
      <c r="JFC63" s="954"/>
      <c r="JFD63" s="954"/>
      <c r="JFE63" s="954"/>
      <c r="JFF63" s="954"/>
      <c r="JFG63" s="954"/>
      <c r="JFH63" s="954"/>
      <c r="JFI63" s="954"/>
      <c r="JFJ63" s="954"/>
      <c r="JFK63" s="954"/>
      <c r="JFL63" s="954"/>
      <c r="JFM63" s="954"/>
      <c r="JFN63" s="954"/>
      <c r="JFO63" s="954"/>
      <c r="JFP63" s="954"/>
      <c r="JFQ63" s="954"/>
      <c r="JFR63" s="954"/>
      <c r="JFS63" s="954"/>
      <c r="JFT63" s="954"/>
      <c r="JFU63" s="954"/>
      <c r="JFV63" s="954"/>
      <c r="JFW63" s="954"/>
      <c r="JFX63" s="954"/>
      <c r="JFY63" s="954"/>
      <c r="JFZ63" s="954"/>
      <c r="JGA63" s="954"/>
      <c r="JGB63" s="954"/>
      <c r="JGC63" s="954"/>
      <c r="JGD63" s="954"/>
      <c r="JGE63" s="954"/>
      <c r="JGF63" s="954"/>
      <c r="JGG63" s="954"/>
      <c r="JGH63" s="954"/>
      <c r="JGI63" s="954"/>
      <c r="JGJ63" s="954"/>
      <c r="JGK63" s="954"/>
      <c r="JGL63" s="954"/>
      <c r="JGM63" s="954"/>
      <c r="JGN63" s="954"/>
      <c r="JGO63" s="954"/>
      <c r="JGP63" s="954"/>
      <c r="JGQ63" s="954"/>
      <c r="JGR63" s="954"/>
      <c r="JGS63" s="954"/>
      <c r="JGT63" s="954"/>
      <c r="JGU63" s="954"/>
      <c r="JGV63" s="954"/>
      <c r="JGW63" s="954"/>
      <c r="JGX63" s="954"/>
      <c r="JGY63" s="954"/>
      <c r="JGZ63" s="954"/>
      <c r="JHA63" s="954"/>
      <c r="JHB63" s="954"/>
      <c r="JHC63" s="954"/>
      <c r="JHD63" s="954"/>
      <c r="JHE63" s="954"/>
      <c r="JHF63" s="954"/>
      <c r="JHG63" s="954"/>
      <c r="JHH63" s="954"/>
      <c r="JHI63" s="954"/>
      <c r="JHJ63" s="954"/>
      <c r="JHK63" s="954"/>
      <c r="JHL63" s="954"/>
      <c r="JHM63" s="954"/>
      <c r="JHN63" s="954"/>
      <c r="JHO63" s="954"/>
      <c r="JHP63" s="954"/>
      <c r="JHQ63" s="954"/>
      <c r="JHR63" s="954"/>
      <c r="JHS63" s="954"/>
      <c r="JHT63" s="954"/>
      <c r="JHU63" s="954"/>
      <c r="JHV63" s="954"/>
      <c r="JHW63" s="954"/>
      <c r="JHX63" s="954"/>
      <c r="JHY63" s="954"/>
      <c r="JHZ63" s="954"/>
      <c r="JIA63" s="954"/>
      <c r="JIB63" s="954"/>
      <c r="JIC63" s="954"/>
      <c r="JID63" s="954"/>
      <c r="JIE63" s="954"/>
      <c r="JIF63" s="954"/>
      <c r="JIG63" s="954"/>
      <c r="JIH63" s="954"/>
      <c r="JII63" s="954"/>
      <c r="JIJ63" s="954"/>
      <c r="JIK63" s="954"/>
      <c r="JIL63" s="954"/>
      <c r="JIM63" s="954"/>
      <c r="JIN63" s="954"/>
      <c r="JIO63" s="954"/>
      <c r="JIP63" s="954"/>
      <c r="JIQ63" s="954"/>
      <c r="JIR63" s="954"/>
      <c r="JIS63" s="954"/>
      <c r="JIT63" s="954"/>
      <c r="JIU63" s="954"/>
      <c r="JIV63" s="954"/>
      <c r="JIW63" s="954"/>
      <c r="JIX63" s="954"/>
      <c r="JIY63" s="954"/>
      <c r="JIZ63" s="954"/>
      <c r="JJA63" s="954"/>
      <c r="JJB63" s="954"/>
      <c r="JJC63" s="954"/>
      <c r="JJD63" s="954"/>
      <c r="JJE63" s="954"/>
      <c r="JJF63" s="954"/>
      <c r="JJG63" s="954"/>
      <c r="JJH63" s="954"/>
      <c r="JJI63" s="954"/>
      <c r="JJJ63" s="954"/>
      <c r="JJK63" s="954"/>
      <c r="JJL63" s="954"/>
      <c r="JJM63" s="954"/>
      <c r="JJN63" s="954"/>
      <c r="JJO63" s="954"/>
      <c r="JJP63" s="954"/>
      <c r="JJQ63" s="954"/>
      <c r="JJR63" s="954"/>
      <c r="JJS63" s="954"/>
      <c r="JJT63" s="954"/>
      <c r="JJU63" s="954"/>
      <c r="JJV63" s="954"/>
      <c r="JJW63" s="954"/>
      <c r="JJX63" s="954"/>
      <c r="JJY63" s="954"/>
      <c r="JJZ63" s="954"/>
      <c r="JKA63" s="954"/>
      <c r="JKB63" s="954"/>
      <c r="JKC63" s="954"/>
      <c r="JKD63" s="954"/>
      <c r="JKE63" s="954"/>
      <c r="JKF63" s="954"/>
      <c r="JKG63" s="954"/>
      <c r="JKH63" s="954"/>
      <c r="JKI63" s="954"/>
      <c r="JKJ63" s="954"/>
      <c r="JKK63" s="954"/>
      <c r="JKL63" s="954"/>
      <c r="JKM63" s="954"/>
      <c r="JKN63" s="954"/>
      <c r="JKO63" s="954"/>
      <c r="JKP63" s="954"/>
      <c r="JKQ63" s="954"/>
      <c r="JKR63" s="954"/>
      <c r="JKS63" s="954"/>
      <c r="JKT63" s="954"/>
      <c r="JKU63" s="954"/>
      <c r="JKV63" s="954"/>
      <c r="JKW63" s="954"/>
      <c r="JKX63" s="954"/>
      <c r="JKY63" s="954"/>
      <c r="JKZ63" s="954"/>
      <c r="JLA63" s="954"/>
      <c r="JLB63" s="954"/>
      <c r="JLC63" s="954"/>
      <c r="JLD63" s="954"/>
      <c r="JLE63" s="954"/>
      <c r="JLF63" s="954"/>
      <c r="JLG63" s="954"/>
      <c r="JLH63" s="954"/>
      <c r="JLI63" s="954"/>
      <c r="JLJ63" s="954"/>
      <c r="JLK63" s="954"/>
      <c r="JLL63" s="954"/>
      <c r="JLM63" s="954"/>
      <c r="JLN63" s="954"/>
      <c r="JLO63" s="954"/>
      <c r="JLP63" s="954"/>
      <c r="JLQ63" s="954"/>
      <c r="JLR63" s="954"/>
      <c r="JLS63" s="954"/>
      <c r="JLT63" s="954"/>
      <c r="JLU63" s="954"/>
      <c r="JLV63" s="954"/>
      <c r="JLW63" s="954"/>
      <c r="JLX63" s="954"/>
      <c r="JLY63" s="954"/>
      <c r="JLZ63" s="954"/>
      <c r="JMA63" s="954"/>
      <c r="JMB63" s="954"/>
      <c r="JMC63" s="954"/>
      <c r="JMD63" s="954"/>
      <c r="JME63" s="954"/>
      <c r="JMF63" s="954"/>
      <c r="JMG63" s="954"/>
      <c r="JMH63" s="954"/>
      <c r="JMI63" s="954"/>
      <c r="JMJ63" s="954"/>
      <c r="JMK63" s="954"/>
      <c r="JML63" s="954"/>
      <c r="JMM63" s="954"/>
      <c r="JMN63" s="954"/>
      <c r="JMO63" s="954"/>
      <c r="JMP63" s="954"/>
      <c r="JMQ63" s="954"/>
      <c r="JMR63" s="954"/>
      <c r="JMS63" s="954"/>
      <c r="JMT63" s="954"/>
      <c r="JMU63" s="954"/>
      <c r="JMV63" s="954"/>
      <c r="JMW63" s="954"/>
      <c r="JMX63" s="954"/>
      <c r="JMY63" s="954"/>
      <c r="JMZ63" s="954"/>
      <c r="JNA63" s="954"/>
      <c r="JNB63" s="954"/>
      <c r="JNC63" s="954"/>
      <c r="JND63" s="954"/>
      <c r="JNE63" s="954"/>
      <c r="JNF63" s="954"/>
      <c r="JNG63" s="954"/>
      <c r="JNH63" s="954"/>
      <c r="JNI63" s="954"/>
      <c r="JNJ63" s="954"/>
      <c r="JNK63" s="954"/>
      <c r="JNL63" s="954"/>
      <c r="JNM63" s="954"/>
      <c r="JNN63" s="954"/>
      <c r="JNO63" s="954"/>
      <c r="JNP63" s="954"/>
      <c r="JNQ63" s="954"/>
      <c r="JNR63" s="954"/>
      <c r="JNS63" s="954"/>
      <c r="JNT63" s="954"/>
      <c r="JNU63" s="954"/>
      <c r="JNV63" s="954"/>
      <c r="JNW63" s="954"/>
      <c r="JNX63" s="954"/>
      <c r="JNY63" s="954"/>
      <c r="JNZ63" s="954"/>
      <c r="JOA63" s="954"/>
      <c r="JOB63" s="954"/>
      <c r="JOC63" s="954"/>
      <c r="JOD63" s="954"/>
      <c r="JOE63" s="954"/>
      <c r="JOF63" s="954"/>
      <c r="JOG63" s="954"/>
      <c r="JOH63" s="954"/>
      <c r="JOI63" s="954"/>
      <c r="JOJ63" s="954"/>
      <c r="JOK63" s="954"/>
      <c r="JOL63" s="954"/>
      <c r="JOM63" s="954"/>
      <c r="JON63" s="954"/>
      <c r="JOO63" s="954"/>
      <c r="JOP63" s="954"/>
      <c r="JOQ63" s="954"/>
      <c r="JOR63" s="954"/>
      <c r="JOS63" s="954"/>
      <c r="JOT63" s="954"/>
      <c r="JOU63" s="954"/>
      <c r="JOV63" s="954"/>
      <c r="JOW63" s="954"/>
      <c r="JOX63" s="954"/>
      <c r="JOY63" s="954"/>
      <c r="JOZ63" s="954"/>
      <c r="JPA63" s="954"/>
      <c r="JPB63" s="954"/>
      <c r="JPC63" s="954"/>
      <c r="JPD63" s="954"/>
      <c r="JPE63" s="954"/>
      <c r="JPF63" s="954"/>
      <c r="JPG63" s="954"/>
      <c r="JPH63" s="954"/>
      <c r="JPI63" s="954"/>
      <c r="JPJ63" s="954"/>
      <c r="JPK63" s="954"/>
      <c r="JPL63" s="954"/>
      <c r="JPM63" s="954"/>
      <c r="JPN63" s="954"/>
      <c r="JPO63" s="954"/>
      <c r="JPP63" s="954"/>
      <c r="JPQ63" s="954"/>
      <c r="JPR63" s="954"/>
      <c r="JPS63" s="954"/>
      <c r="JPT63" s="954"/>
      <c r="JPU63" s="954"/>
      <c r="JPV63" s="954"/>
      <c r="JPW63" s="954"/>
      <c r="JPX63" s="954"/>
      <c r="JPY63" s="954"/>
      <c r="JPZ63" s="954"/>
      <c r="JQA63" s="954"/>
      <c r="JQB63" s="954"/>
      <c r="JQC63" s="954"/>
      <c r="JQD63" s="954"/>
      <c r="JQE63" s="954"/>
      <c r="JQF63" s="954"/>
      <c r="JQG63" s="954"/>
      <c r="JQH63" s="954"/>
      <c r="JQI63" s="954"/>
      <c r="JQJ63" s="954"/>
      <c r="JQK63" s="954"/>
      <c r="JQL63" s="954"/>
      <c r="JQM63" s="954"/>
      <c r="JQN63" s="954"/>
      <c r="JQO63" s="954"/>
      <c r="JQP63" s="954"/>
      <c r="JQQ63" s="954"/>
      <c r="JQR63" s="954"/>
      <c r="JQS63" s="954"/>
      <c r="JQT63" s="954"/>
      <c r="JQU63" s="954"/>
      <c r="JQV63" s="954"/>
      <c r="JQW63" s="954"/>
      <c r="JQX63" s="954"/>
      <c r="JQY63" s="954"/>
      <c r="JQZ63" s="954"/>
      <c r="JRA63" s="954"/>
      <c r="JRB63" s="954"/>
      <c r="JRC63" s="954"/>
      <c r="JRD63" s="954"/>
      <c r="JRE63" s="954"/>
      <c r="JRF63" s="954"/>
      <c r="JRG63" s="954"/>
      <c r="JRH63" s="954"/>
      <c r="JRI63" s="954"/>
      <c r="JRJ63" s="954"/>
      <c r="JRK63" s="954"/>
      <c r="JRL63" s="954"/>
      <c r="JRM63" s="954"/>
      <c r="JRN63" s="954"/>
      <c r="JRO63" s="954"/>
      <c r="JRP63" s="954"/>
      <c r="JRQ63" s="954"/>
      <c r="JRR63" s="954"/>
      <c r="JRS63" s="954"/>
      <c r="JRT63" s="954"/>
      <c r="JRU63" s="954"/>
      <c r="JRV63" s="954"/>
      <c r="JRW63" s="954"/>
      <c r="JRX63" s="954"/>
      <c r="JRY63" s="954"/>
      <c r="JRZ63" s="954"/>
      <c r="JSA63" s="954"/>
      <c r="JSB63" s="954"/>
      <c r="JSC63" s="954"/>
      <c r="JSD63" s="954"/>
      <c r="JSE63" s="954"/>
      <c r="JSF63" s="954"/>
      <c r="JSG63" s="954"/>
      <c r="JSH63" s="954"/>
      <c r="JSI63" s="954"/>
      <c r="JSJ63" s="954"/>
      <c r="JSK63" s="954"/>
      <c r="JSL63" s="954"/>
      <c r="JSM63" s="954"/>
      <c r="JSN63" s="954"/>
      <c r="JSO63" s="954"/>
      <c r="JSP63" s="954"/>
      <c r="JSQ63" s="954"/>
      <c r="JSR63" s="954"/>
      <c r="JSS63" s="954"/>
      <c r="JST63" s="954"/>
      <c r="JSU63" s="954"/>
      <c r="JSV63" s="954"/>
      <c r="JSW63" s="954"/>
      <c r="JSX63" s="954"/>
      <c r="JSY63" s="954"/>
      <c r="JSZ63" s="954"/>
      <c r="JTA63" s="954"/>
      <c r="JTB63" s="954"/>
      <c r="JTC63" s="954"/>
      <c r="JTD63" s="954"/>
      <c r="JTE63" s="954"/>
      <c r="JTF63" s="954"/>
      <c r="JTG63" s="954"/>
      <c r="JTH63" s="954"/>
      <c r="JTI63" s="954"/>
      <c r="JTJ63" s="954"/>
      <c r="JTK63" s="954"/>
      <c r="JTL63" s="954"/>
      <c r="JTM63" s="954"/>
      <c r="JTN63" s="954"/>
      <c r="JTO63" s="954"/>
      <c r="JTP63" s="954"/>
      <c r="JTQ63" s="954"/>
      <c r="JTR63" s="954"/>
      <c r="JTS63" s="954"/>
      <c r="JTT63" s="954"/>
      <c r="JTU63" s="954"/>
      <c r="JTV63" s="954"/>
      <c r="JTW63" s="954"/>
      <c r="JTX63" s="954"/>
      <c r="JTY63" s="954"/>
      <c r="JTZ63" s="954"/>
      <c r="JUA63" s="954"/>
      <c r="JUB63" s="954"/>
      <c r="JUC63" s="954"/>
      <c r="JUD63" s="954"/>
      <c r="JUE63" s="954"/>
      <c r="JUF63" s="954"/>
      <c r="JUG63" s="954"/>
      <c r="JUH63" s="954"/>
      <c r="JUI63" s="954"/>
      <c r="JUJ63" s="954"/>
      <c r="JUK63" s="954"/>
      <c r="JUL63" s="954"/>
      <c r="JUM63" s="954"/>
      <c r="JUN63" s="954"/>
      <c r="JUO63" s="954"/>
      <c r="JUP63" s="954"/>
      <c r="JUQ63" s="954"/>
      <c r="JUR63" s="954"/>
      <c r="JUS63" s="954"/>
      <c r="JUT63" s="954"/>
      <c r="JUU63" s="954"/>
      <c r="JUV63" s="954"/>
      <c r="JUW63" s="954"/>
      <c r="JUX63" s="954"/>
      <c r="JUY63" s="954"/>
      <c r="JUZ63" s="954"/>
      <c r="JVA63" s="954"/>
      <c r="JVB63" s="954"/>
      <c r="JVC63" s="954"/>
      <c r="JVD63" s="954"/>
      <c r="JVE63" s="954"/>
      <c r="JVF63" s="954"/>
      <c r="JVG63" s="954"/>
      <c r="JVH63" s="954"/>
      <c r="JVI63" s="954"/>
      <c r="JVJ63" s="954"/>
      <c r="JVK63" s="954"/>
      <c r="JVL63" s="954"/>
      <c r="JVM63" s="954"/>
      <c r="JVN63" s="954"/>
      <c r="JVO63" s="954"/>
      <c r="JVP63" s="954"/>
      <c r="JVQ63" s="954"/>
      <c r="JVR63" s="954"/>
      <c r="JVS63" s="954"/>
      <c r="JVT63" s="954"/>
      <c r="JVU63" s="954"/>
      <c r="JVV63" s="954"/>
      <c r="JVW63" s="954"/>
      <c r="JVX63" s="954"/>
      <c r="JVY63" s="954"/>
      <c r="JVZ63" s="954"/>
      <c r="JWA63" s="954"/>
      <c r="JWB63" s="954"/>
      <c r="JWC63" s="954"/>
      <c r="JWD63" s="954"/>
      <c r="JWE63" s="954"/>
      <c r="JWF63" s="954"/>
      <c r="JWG63" s="954"/>
      <c r="JWH63" s="954"/>
      <c r="JWI63" s="954"/>
      <c r="JWJ63" s="954"/>
      <c r="JWK63" s="954"/>
      <c r="JWL63" s="954"/>
      <c r="JWM63" s="954"/>
      <c r="JWN63" s="954"/>
      <c r="JWO63" s="954"/>
      <c r="JWP63" s="954"/>
      <c r="JWQ63" s="954"/>
      <c r="JWR63" s="954"/>
      <c r="JWS63" s="954"/>
      <c r="JWT63" s="954"/>
      <c r="JWU63" s="954"/>
      <c r="JWV63" s="954"/>
      <c r="JWW63" s="954"/>
      <c r="JWX63" s="954"/>
      <c r="JWY63" s="954"/>
      <c r="JWZ63" s="954"/>
      <c r="JXA63" s="954"/>
      <c r="JXB63" s="954"/>
      <c r="JXC63" s="954"/>
      <c r="JXD63" s="954"/>
      <c r="JXE63" s="954"/>
      <c r="JXF63" s="954"/>
      <c r="JXG63" s="954"/>
      <c r="JXH63" s="954"/>
      <c r="JXI63" s="954"/>
      <c r="JXJ63" s="954"/>
      <c r="JXK63" s="954"/>
      <c r="JXL63" s="954"/>
      <c r="JXM63" s="954"/>
      <c r="JXN63" s="954"/>
      <c r="JXO63" s="954"/>
      <c r="JXP63" s="954"/>
      <c r="JXQ63" s="954"/>
      <c r="JXR63" s="954"/>
      <c r="JXS63" s="954"/>
      <c r="JXT63" s="954"/>
      <c r="JXU63" s="954"/>
      <c r="JXV63" s="954"/>
      <c r="JXW63" s="954"/>
      <c r="JXX63" s="954"/>
      <c r="JXY63" s="954"/>
      <c r="JXZ63" s="954"/>
      <c r="JYA63" s="954"/>
      <c r="JYB63" s="954"/>
      <c r="JYC63" s="954"/>
      <c r="JYD63" s="954"/>
      <c r="JYE63" s="954"/>
      <c r="JYF63" s="954"/>
      <c r="JYG63" s="954"/>
      <c r="JYH63" s="954"/>
      <c r="JYI63" s="954"/>
      <c r="JYJ63" s="954"/>
      <c r="JYK63" s="954"/>
      <c r="JYL63" s="954"/>
      <c r="JYM63" s="954"/>
      <c r="JYN63" s="954"/>
      <c r="JYO63" s="954"/>
      <c r="JYP63" s="954"/>
      <c r="JYQ63" s="954"/>
      <c r="JYR63" s="954"/>
      <c r="JYS63" s="954"/>
      <c r="JYT63" s="954"/>
      <c r="JYU63" s="954"/>
      <c r="JYV63" s="954"/>
      <c r="JYW63" s="954"/>
      <c r="JYX63" s="954"/>
      <c r="JYY63" s="954"/>
      <c r="JYZ63" s="954"/>
      <c r="JZA63" s="954"/>
      <c r="JZB63" s="954"/>
      <c r="JZC63" s="954"/>
      <c r="JZD63" s="954"/>
      <c r="JZE63" s="954"/>
      <c r="JZF63" s="954"/>
      <c r="JZG63" s="954"/>
      <c r="JZH63" s="954"/>
      <c r="JZI63" s="954"/>
      <c r="JZJ63" s="954"/>
      <c r="JZK63" s="954"/>
      <c r="JZL63" s="954"/>
      <c r="JZM63" s="954"/>
      <c r="JZN63" s="954"/>
      <c r="JZO63" s="954"/>
      <c r="JZP63" s="954"/>
      <c r="JZQ63" s="954"/>
      <c r="JZR63" s="954"/>
      <c r="JZS63" s="954"/>
      <c r="JZT63" s="954"/>
      <c r="JZU63" s="954"/>
      <c r="JZV63" s="954"/>
      <c r="JZW63" s="954"/>
      <c r="JZX63" s="954"/>
      <c r="JZY63" s="954"/>
      <c r="JZZ63" s="954"/>
      <c r="KAA63" s="954"/>
      <c r="KAB63" s="954"/>
      <c r="KAC63" s="954"/>
      <c r="KAD63" s="954"/>
      <c r="KAE63" s="954"/>
      <c r="KAF63" s="954"/>
      <c r="KAG63" s="954"/>
      <c r="KAH63" s="954"/>
      <c r="KAI63" s="954"/>
      <c r="KAJ63" s="954"/>
      <c r="KAK63" s="954"/>
      <c r="KAL63" s="954"/>
      <c r="KAM63" s="954"/>
      <c r="KAN63" s="954"/>
      <c r="KAO63" s="954"/>
      <c r="KAP63" s="954"/>
      <c r="KAQ63" s="954"/>
      <c r="KAR63" s="954"/>
      <c r="KAS63" s="954"/>
      <c r="KAT63" s="954"/>
      <c r="KAU63" s="954"/>
      <c r="KAV63" s="954"/>
      <c r="KAW63" s="954"/>
      <c r="KAX63" s="954"/>
      <c r="KAY63" s="954"/>
      <c r="KAZ63" s="954"/>
      <c r="KBA63" s="954"/>
      <c r="KBB63" s="954"/>
      <c r="KBC63" s="954"/>
      <c r="KBD63" s="954"/>
      <c r="KBE63" s="954"/>
      <c r="KBF63" s="954"/>
      <c r="KBG63" s="954"/>
      <c r="KBH63" s="954"/>
      <c r="KBI63" s="954"/>
      <c r="KBJ63" s="954"/>
      <c r="KBK63" s="954"/>
      <c r="KBL63" s="954"/>
      <c r="KBM63" s="954"/>
      <c r="KBN63" s="954"/>
      <c r="KBO63" s="954"/>
      <c r="KBP63" s="954"/>
      <c r="KBQ63" s="954"/>
      <c r="KBR63" s="954"/>
      <c r="KBS63" s="954"/>
      <c r="KBT63" s="954"/>
      <c r="KBU63" s="954"/>
      <c r="KBV63" s="954"/>
      <c r="KBW63" s="954"/>
      <c r="KBX63" s="954"/>
      <c r="KBY63" s="954"/>
      <c r="KBZ63" s="954"/>
      <c r="KCA63" s="954"/>
      <c r="KCB63" s="954"/>
      <c r="KCC63" s="954"/>
      <c r="KCD63" s="954"/>
      <c r="KCE63" s="954"/>
      <c r="KCF63" s="954"/>
      <c r="KCG63" s="954"/>
      <c r="KCH63" s="954"/>
      <c r="KCI63" s="954"/>
      <c r="KCJ63" s="954"/>
      <c r="KCK63" s="954"/>
      <c r="KCL63" s="954"/>
      <c r="KCM63" s="954"/>
      <c r="KCN63" s="954"/>
      <c r="KCO63" s="954"/>
      <c r="KCP63" s="954"/>
      <c r="KCQ63" s="954"/>
      <c r="KCR63" s="954"/>
      <c r="KCS63" s="954"/>
      <c r="KCT63" s="954"/>
      <c r="KCU63" s="954"/>
      <c r="KCV63" s="954"/>
      <c r="KCW63" s="954"/>
      <c r="KCX63" s="954"/>
      <c r="KCY63" s="954"/>
      <c r="KCZ63" s="954"/>
      <c r="KDA63" s="954"/>
      <c r="KDB63" s="954"/>
      <c r="KDC63" s="954"/>
      <c r="KDD63" s="954"/>
      <c r="KDE63" s="954"/>
      <c r="KDF63" s="954"/>
      <c r="KDG63" s="954"/>
      <c r="KDH63" s="954"/>
      <c r="KDI63" s="954"/>
      <c r="KDJ63" s="954"/>
      <c r="KDK63" s="954"/>
      <c r="KDL63" s="954"/>
      <c r="KDM63" s="954"/>
      <c r="KDN63" s="954"/>
      <c r="KDO63" s="954"/>
      <c r="KDP63" s="954"/>
      <c r="KDQ63" s="954"/>
      <c r="KDR63" s="954"/>
      <c r="KDS63" s="954"/>
      <c r="KDT63" s="954"/>
      <c r="KDU63" s="954"/>
      <c r="KDV63" s="954"/>
      <c r="KDW63" s="954"/>
      <c r="KDX63" s="954"/>
      <c r="KDY63" s="954"/>
      <c r="KDZ63" s="954"/>
      <c r="KEA63" s="954"/>
      <c r="KEB63" s="954"/>
      <c r="KEC63" s="954"/>
      <c r="KED63" s="954"/>
      <c r="KEE63" s="954"/>
      <c r="KEF63" s="954"/>
      <c r="KEG63" s="954"/>
      <c r="KEH63" s="954"/>
      <c r="KEI63" s="954"/>
      <c r="KEJ63" s="954"/>
      <c r="KEK63" s="954"/>
      <c r="KEL63" s="954"/>
      <c r="KEM63" s="954"/>
      <c r="KEN63" s="954"/>
      <c r="KEO63" s="954"/>
      <c r="KEP63" s="954"/>
      <c r="KEQ63" s="954"/>
      <c r="KER63" s="954"/>
      <c r="KES63" s="954"/>
      <c r="KET63" s="954"/>
      <c r="KEU63" s="954"/>
      <c r="KEV63" s="954"/>
      <c r="KEW63" s="954"/>
      <c r="KEX63" s="954"/>
      <c r="KEY63" s="954"/>
      <c r="KEZ63" s="954"/>
      <c r="KFA63" s="954"/>
      <c r="KFB63" s="954"/>
      <c r="KFC63" s="954"/>
      <c r="KFD63" s="954"/>
      <c r="KFE63" s="954"/>
      <c r="KFF63" s="954"/>
      <c r="KFG63" s="954"/>
      <c r="KFH63" s="954"/>
      <c r="KFI63" s="954"/>
      <c r="KFJ63" s="954"/>
      <c r="KFK63" s="954"/>
      <c r="KFL63" s="954"/>
      <c r="KFM63" s="954"/>
      <c r="KFN63" s="954"/>
      <c r="KFO63" s="954"/>
      <c r="KFP63" s="954"/>
      <c r="KFQ63" s="954"/>
      <c r="KFR63" s="954"/>
      <c r="KFS63" s="954"/>
      <c r="KFT63" s="954"/>
      <c r="KFU63" s="954"/>
      <c r="KFV63" s="954"/>
      <c r="KFW63" s="954"/>
      <c r="KFX63" s="954"/>
      <c r="KFY63" s="954"/>
      <c r="KFZ63" s="954"/>
      <c r="KGA63" s="954"/>
      <c r="KGB63" s="954"/>
      <c r="KGC63" s="954"/>
      <c r="KGD63" s="954"/>
      <c r="KGE63" s="954"/>
      <c r="KGF63" s="954"/>
      <c r="KGG63" s="954"/>
      <c r="KGH63" s="954"/>
      <c r="KGI63" s="954"/>
      <c r="KGJ63" s="954"/>
      <c r="KGK63" s="954"/>
      <c r="KGL63" s="954"/>
      <c r="KGM63" s="954"/>
      <c r="KGN63" s="954"/>
      <c r="KGO63" s="954"/>
      <c r="KGP63" s="954"/>
      <c r="KGQ63" s="954"/>
      <c r="KGR63" s="954"/>
      <c r="KGS63" s="954"/>
      <c r="KGT63" s="954"/>
      <c r="KGU63" s="954"/>
      <c r="KGV63" s="954"/>
      <c r="KGW63" s="954"/>
      <c r="KGX63" s="954"/>
      <c r="KGY63" s="954"/>
      <c r="KGZ63" s="954"/>
      <c r="KHA63" s="954"/>
      <c r="KHB63" s="954"/>
      <c r="KHC63" s="954"/>
      <c r="KHD63" s="954"/>
      <c r="KHE63" s="954"/>
      <c r="KHF63" s="954"/>
      <c r="KHG63" s="954"/>
      <c r="KHH63" s="954"/>
      <c r="KHI63" s="954"/>
      <c r="KHJ63" s="954"/>
      <c r="KHK63" s="954"/>
      <c r="KHL63" s="954"/>
      <c r="KHM63" s="954"/>
      <c r="KHN63" s="954"/>
      <c r="KHO63" s="954"/>
      <c r="KHP63" s="954"/>
      <c r="KHQ63" s="954"/>
      <c r="KHR63" s="954"/>
      <c r="KHS63" s="954"/>
      <c r="KHT63" s="954"/>
      <c r="KHU63" s="954"/>
      <c r="KHV63" s="954"/>
      <c r="KHW63" s="954"/>
      <c r="KHX63" s="954"/>
      <c r="KHY63" s="954"/>
      <c r="KHZ63" s="954"/>
      <c r="KIA63" s="954"/>
      <c r="KIB63" s="954"/>
      <c r="KIC63" s="954"/>
      <c r="KID63" s="954"/>
      <c r="KIE63" s="954"/>
      <c r="KIF63" s="954"/>
      <c r="KIG63" s="954"/>
      <c r="KIH63" s="954"/>
      <c r="KII63" s="954"/>
      <c r="KIJ63" s="954"/>
      <c r="KIK63" s="954"/>
      <c r="KIL63" s="954"/>
      <c r="KIM63" s="954"/>
      <c r="KIN63" s="954"/>
      <c r="KIO63" s="954"/>
      <c r="KIP63" s="954"/>
      <c r="KIQ63" s="954"/>
      <c r="KIR63" s="954"/>
      <c r="KIS63" s="954"/>
      <c r="KIT63" s="954"/>
      <c r="KIU63" s="954"/>
      <c r="KIV63" s="954"/>
      <c r="KIW63" s="954"/>
      <c r="KIX63" s="954"/>
      <c r="KIY63" s="954"/>
      <c r="KIZ63" s="954"/>
      <c r="KJA63" s="954"/>
      <c r="KJB63" s="954"/>
      <c r="KJC63" s="954"/>
      <c r="KJD63" s="954"/>
      <c r="KJE63" s="954"/>
      <c r="KJF63" s="954"/>
      <c r="KJG63" s="954"/>
      <c r="KJH63" s="954"/>
      <c r="KJI63" s="954"/>
      <c r="KJJ63" s="954"/>
      <c r="KJK63" s="954"/>
      <c r="KJL63" s="954"/>
      <c r="KJM63" s="954"/>
      <c r="KJN63" s="954"/>
      <c r="KJO63" s="954"/>
      <c r="KJP63" s="954"/>
      <c r="KJQ63" s="954"/>
      <c r="KJR63" s="954"/>
      <c r="KJS63" s="954"/>
      <c r="KJT63" s="954"/>
      <c r="KJU63" s="954"/>
      <c r="KJV63" s="954"/>
      <c r="KJW63" s="954"/>
      <c r="KJX63" s="954"/>
      <c r="KJY63" s="954"/>
      <c r="KJZ63" s="954"/>
      <c r="KKA63" s="954"/>
      <c r="KKB63" s="954"/>
      <c r="KKC63" s="954"/>
      <c r="KKD63" s="954"/>
      <c r="KKE63" s="954"/>
      <c r="KKF63" s="954"/>
      <c r="KKG63" s="954"/>
      <c r="KKH63" s="954"/>
      <c r="KKI63" s="954"/>
      <c r="KKJ63" s="954"/>
      <c r="KKK63" s="954"/>
      <c r="KKL63" s="954"/>
      <c r="KKM63" s="954"/>
      <c r="KKN63" s="954"/>
      <c r="KKO63" s="954"/>
      <c r="KKP63" s="954"/>
      <c r="KKQ63" s="954"/>
      <c r="KKR63" s="954"/>
      <c r="KKS63" s="954"/>
      <c r="KKT63" s="954"/>
      <c r="KKU63" s="954"/>
      <c r="KKV63" s="954"/>
      <c r="KKW63" s="954"/>
      <c r="KKX63" s="954"/>
      <c r="KKY63" s="954"/>
      <c r="KKZ63" s="954"/>
      <c r="KLA63" s="954"/>
      <c r="KLB63" s="954"/>
      <c r="KLC63" s="954"/>
      <c r="KLD63" s="954"/>
      <c r="KLE63" s="954"/>
      <c r="KLF63" s="954"/>
      <c r="KLG63" s="954"/>
      <c r="KLH63" s="954"/>
      <c r="KLI63" s="954"/>
      <c r="KLJ63" s="954"/>
      <c r="KLK63" s="954"/>
      <c r="KLL63" s="954"/>
      <c r="KLM63" s="954"/>
      <c r="KLN63" s="954"/>
      <c r="KLO63" s="954"/>
      <c r="KLP63" s="954"/>
      <c r="KLQ63" s="954"/>
      <c r="KLR63" s="954"/>
      <c r="KLS63" s="954"/>
      <c r="KLT63" s="954"/>
      <c r="KLU63" s="954"/>
      <c r="KLV63" s="954"/>
      <c r="KLW63" s="954"/>
      <c r="KLX63" s="954"/>
      <c r="KLY63" s="954"/>
      <c r="KLZ63" s="954"/>
      <c r="KMA63" s="954"/>
      <c r="KMB63" s="954"/>
      <c r="KMC63" s="954"/>
      <c r="KMD63" s="954"/>
      <c r="KME63" s="954"/>
      <c r="KMF63" s="954"/>
      <c r="KMG63" s="954"/>
      <c r="KMH63" s="954"/>
      <c r="KMI63" s="954"/>
      <c r="KMJ63" s="954"/>
      <c r="KMK63" s="954"/>
      <c r="KML63" s="954"/>
      <c r="KMM63" s="954"/>
      <c r="KMN63" s="954"/>
      <c r="KMO63" s="954"/>
      <c r="KMP63" s="954"/>
      <c r="KMQ63" s="954"/>
      <c r="KMR63" s="954"/>
      <c r="KMS63" s="954"/>
      <c r="KMT63" s="954"/>
      <c r="KMU63" s="954"/>
      <c r="KMV63" s="954"/>
      <c r="KMW63" s="954"/>
      <c r="KMX63" s="954"/>
      <c r="KMY63" s="954"/>
      <c r="KMZ63" s="954"/>
      <c r="KNA63" s="954"/>
      <c r="KNB63" s="954"/>
      <c r="KNC63" s="954"/>
      <c r="KND63" s="954"/>
      <c r="KNE63" s="954"/>
      <c r="KNF63" s="954"/>
      <c r="KNG63" s="954"/>
      <c r="KNH63" s="954"/>
      <c r="KNI63" s="954"/>
      <c r="KNJ63" s="954"/>
      <c r="KNK63" s="954"/>
      <c r="KNL63" s="954"/>
      <c r="KNM63" s="954"/>
      <c r="KNN63" s="954"/>
      <c r="KNO63" s="954"/>
      <c r="KNP63" s="954"/>
      <c r="KNQ63" s="954"/>
      <c r="KNR63" s="954"/>
      <c r="KNS63" s="954"/>
      <c r="KNT63" s="954"/>
      <c r="KNU63" s="954"/>
      <c r="KNV63" s="954"/>
      <c r="KNW63" s="954"/>
      <c r="KNX63" s="954"/>
      <c r="KNY63" s="954"/>
      <c r="KNZ63" s="954"/>
      <c r="KOA63" s="954"/>
      <c r="KOB63" s="954"/>
      <c r="KOC63" s="954"/>
      <c r="KOD63" s="954"/>
      <c r="KOE63" s="954"/>
      <c r="KOF63" s="954"/>
      <c r="KOG63" s="954"/>
      <c r="KOH63" s="954"/>
      <c r="KOI63" s="954"/>
      <c r="KOJ63" s="954"/>
      <c r="KOK63" s="954"/>
      <c r="KOL63" s="954"/>
      <c r="KOM63" s="954"/>
      <c r="KON63" s="954"/>
      <c r="KOO63" s="954"/>
      <c r="KOP63" s="954"/>
      <c r="KOQ63" s="954"/>
      <c r="KOR63" s="954"/>
      <c r="KOS63" s="954"/>
      <c r="KOT63" s="954"/>
      <c r="KOU63" s="954"/>
      <c r="KOV63" s="954"/>
      <c r="KOW63" s="954"/>
      <c r="KOX63" s="954"/>
      <c r="KOY63" s="954"/>
      <c r="KOZ63" s="954"/>
      <c r="KPA63" s="954"/>
      <c r="KPB63" s="954"/>
      <c r="KPC63" s="954"/>
      <c r="KPD63" s="954"/>
      <c r="KPE63" s="954"/>
      <c r="KPF63" s="954"/>
      <c r="KPG63" s="954"/>
      <c r="KPH63" s="954"/>
      <c r="KPI63" s="954"/>
      <c r="KPJ63" s="954"/>
      <c r="KPK63" s="954"/>
      <c r="KPL63" s="954"/>
      <c r="KPM63" s="954"/>
      <c r="KPN63" s="954"/>
      <c r="KPO63" s="954"/>
      <c r="KPP63" s="954"/>
      <c r="KPQ63" s="954"/>
      <c r="KPR63" s="954"/>
      <c r="KPS63" s="954"/>
      <c r="KPT63" s="954"/>
      <c r="KPU63" s="954"/>
      <c r="KPV63" s="954"/>
      <c r="KPW63" s="954"/>
      <c r="KPX63" s="954"/>
      <c r="KPY63" s="954"/>
      <c r="KPZ63" s="954"/>
      <c r="KQA63" s="954"/>
      <c r="KQB63" s="954"/>
      <c r="KQC63" s="954"/>
      <c r="KQD63" s="954"/>
      <c r="KQE63" s="954"/>
      <c r="KQF63" s="954"/>
      <c r="KQG63" s="954"/>
      <c r="KQH63" s="954"/>
      <c r="KQI63" s="954"/>
      <c r="KQJ63" s="954"/>
      <c r="KQK63" s="954"/>
      <c r="KQL63" s="954"/>
      <c r="KQM63" s="954"/>
      <c r="KQN63" s="954"/>
      <c r="KQO63" s="954"/>
      <c r="KQP63" s="954"/>
      <c r="KQQ63" s="954"/>
      <c r="KQR63" s="954"/>
      <c r="KQS63" s="954"/>
      <c r="KQT63" s="954"/>
      <c r="KQU63" s="954"/>
      <c r="KQV63" s="954"/>
      <c r="KQW63" s="954"/>
      <c r="KQX63" s="954"/>
      <c r="KQY63" s="954"/>
      <c r="KQZ63" s="954"/>
      <c r="KRA63" s="954"/>
      <c r="KRB63" s="954"/>
      <c r="KRC63" s="954"/>
      <c r="KRD63" s="954"/>
      <c r="KRE63" s="954"/>
      <c r="KRF63" s="954"/>
      <c r="KRG63" s="954"/>
      <c r="KRH63" s="954"/>
      <c r="KRI63" s="954"/>
      <c r="KRJ63" s="954"/>
      <c r="KRK63" s="954"/>
      <c r="KRL63" s="954"/>
      <c r="KRM63" s="954"/>
      <c r="KRN63" s="954"/>
      <c r="KRO63" s="954"/>
      <c r="KRP63" s="954"/>
      <c r="KRQ63" s="954"/>
      <c r="KRR63" s="954"/>
      <c r="KRS63" s="954"/>
      <c r="KRT63" s="954"/>
      <c r="KRU63" s="954"/>
      <c r="KRV63" s="954"/>
      <c r="KRW63" s="954"/>
      <c r="KRX63" s="954"/>
      <c r="KRY63" s="954"/>
      <c r="KRZ63" s="954"/>
      <c r="KSA63" s="954"/>
      <c r="KSB63" s="954"/>
      <c r="KSC63" s="954"/>
      <c r="KSD63" s="954"/>
      <c r="KSE63" s="954"/>
      <c r="KSF63" s="954"/>
      <c r="KSG63" s="954"/>
      <c r="KSH63" s="954"/>
      <c r="KSI63" s="954"/>
      <c r="KSJ63" s="954"/>
      <c r="KSK63" s="954"/>
      <c r="KSL63" s="954"/>
      <c r="KSM63" s="954"/>
      <c r="KSN63" s="954"/>
      <c r="KSO63" s="954"/>
      <c r="KSP63" s="954"/>
      <c r="KSQ63" s="954"/>
      <c r="KSR63" s="954"/>
      <c r="KSS63" s="954"/>
      <c r="KST63" s="954"/>
      <c r="KSU63" s="954"/>
      <c r="KSV63" s="954"/>
      <c r="KSW63" s="954"/>
      <c r="KSX63" s="954"/>
      <c r="KSY63" s="954"/>
      <c r="KSZ63" s="954"/>
      <c r="KTA63" s="954"/>
      <c r="KTB63" s="954"/>
      <c r="KTC63" s="954"/>
      <c r="KTD63" s="954"/>
      <c r="KTE63" s="954"/>
      <c r="KTF63" s="954"/>
      <c r="KTG63" s="954"/>
      <c r="KTH63" s="954"/>
      <c r="KTI63" s="954"/>
      <c r="KTJ63" s="954"/>
      <c r="KTK63" s="954"/>
      <c r="KTL63" s="954"/>
      <c r="KTM63" s="954"/>
      <c r="KTN63" s="954"/>
      <c r="KTO63" s="954"/>
      <c r="KTP63" s="954"/>
      <c r="KTQ63" s="954"/>
      <c r="KTR63" s="954"/>
      <c r="KTS63" s="954"/>
      <c r="KTT63" s="954"/>
      <c r="KTU63" s="954"/>
      <c r="KTV63" s="954"/>
      <c r="KTW63" s="954"/>
      <c r="KTX63" s="954"/>
      <c r="KTY63" s="954"/>
      <c r="KTZ63" s="954"/>
      <c r="KUA63" s="954"/>
      <c r="KUB63" s="954"/>
      <c r="KUC63" s="954"/>
      <c r="KUD63" s="954"/>
      <c r="KUE63" s="954"/>
      <c r="KUF63" s="954"/>
      <c r="KUG63" s="954"/>
      <c r="KUH63" s="954"/>
      <c r="KUI63" s="954"/>
      <c r="KUJ63" s="954"/>
      <c r="KUK63" s="954"/>
      <c r="KUL63" s="954"/>
      <c r="KUM63" s="954"/>
      <c r="KUN63" s="954"/>
      <c r="KUO63" s="954"/>
      <c r="KUP63" s="954"/>
      <c r="KUQ63" s="954"/>
      <c r="KUR63" s="954"/>
      <c r="KUS63" s="954"/>
      <c r="KUT63" s="954"/>
      <c r="KUU63" s="954"/>
      <c r="KUV63" s="954"/>
      <c r="KUW63" s="954"/>
      <c r="KUX63" s="954"/>
      <c r="KUY63" s="954"/>
      <c r="KUZ63" s="954"/>
      <c r="KVA63" s="954"/>
      <c r="KVB63" s="954"/>
      <c r="KVC63" s="954"/>
      <c r="KVD63" s="954"/>
      <c r="KVE63" s="954"/>
      <c r="KVF63" s="954"/>
      <c r="KVG63" s="954"/>
      <c r="KVH63" s="954"/>
      <c r="KVI63" s="954"/>
      <c r="KVJ63" s="954"/>
      <c r="KVK63" s="954"/>
      <c r="KVL63" s="954"/>
      <c r="KVM63" s="954"/>
      <c r="KVN63" s="954"/>
      <c r="KVO63" s="954"/>
      <c r="KVP63" s="954"/>
      <c r="KVQ63" s="954"/>
      <c r="KVR63" s="954"/>
      <c r="KVS63" s="954"/>
      <c r="KVT63" s="954"/>
      <c r="KVU63" s="954"/>
      <c r="KVV63" s="954"/>
      <c r="KVW63" s="954"/>
      <c r="KVX63" s="954"/>
      <c r="KVY63" s="954"/>
      <c r="KVZ63" s="954"/>
      <c r="KWA63" s="954"/>
      <c r="KWB63" s="954"/>
      <c r="KWC63" s="954"/>
      <c r="KWD63" s="954"/>
      <c r="KWE63" s="954"/>
      <c r="KWF63" s="954"/>
      <c r="KWG63" s="954"/>
      <c r="KWH63" s="954"/>
      <c r="KWI63" s="954"/>
      <c r="KWJ63" s="954"/>
      <c r="KWK63" s="954"/>
      <c r="KWL63" s="954"/>
      <c r="KWM63" s="954"/>
      <c r="KWN63" s="954"/>
      <c r="KWO63" s="954"/>
      <c r="KWP63" s="954"/>
      <c r="KWQ63" s="954"/>
      <c r="KWR63" s="954"/>
      <c r="KWS63" s="954"/>
      <c r="KWT63" s="954"/>
      <c r="KWU63" s="954"/>
      <c r="KWV63" s="954"/>
      <c r="KWW63" s="954"/>
      <c r="KWX63" s="954"/>
      <c r="KWY63" s="954"/>
      <c r="KWZ63" s="954"/>
      <c r="KXA63" s="954"/>
      <c r="KXB63" s="954"/>
      <c r="KXC63" s="954"/>
      <c r="KXD63" s="954"/>
      <c r="KXE63" s="954"/>
      <c r="KXF63" s="954"/>
      <c r="KXG63" s="954"/>
      <c r="KXH63" s="954"/>
      <c r="KXI63" s="954"/>
      <c r="KXJ63" s="954"/>
      <c r="KXK63" s="954"/>
      <c r="KXL63" s="954"/>
      <c r="KXM63" s="954"/>
      <c r="KXN63" s="954"/>
      <c r="KXO63" s="954"/>
      <c r="KXP63" s="954"/>
      <c r="KXQ63" s="954"/>
      <c r="KXR63" s="954"/>
      <c r="KXS63" s="954"/>
      <c r="KXT63" s="954"/>
      <c r="KXU63" s="954"/>
      <c r="KXV63" s="954"/>
      <c r="KXW63" s="954"/>
      <c r="KXX63" s="954"/>
      <c r="KXY63" s="954"/>
      <c r="KXZ63" s="954"/>
      <c r="KYA63" s="954"/>
      <c r="KYB63" s="954"/>
      <c r="KYC63" s="954"/>
      <c r="KYD63" s="954"/>
      <c r="KYE63" s="954"/>
      <c r="KYF63" s="954"/>
      <c r="KYG63" s="954"/>
      <c r="KYH63" s="954"/>
      <c r="KYI63" s="954"/>
      <c r="KYJ63" s="954"/>
      <c r="KYK63" s="954"/>
      <c r="KYL63" s="954"/>
      <c r="KYM63" s="954"/>
      <c r="KYN63" s="954"/>
      <c r="KYO63" s="954"/>
      <c r="KYP63" s="954"/>
      <c r="KYQ63" s="954"/>
      <c r="KYR63" s="954"/>
      <c r="KYS63" s="954"/>
      <c r="KYT63" s="954"/>
      <c r="KYU63" s="954"/>
      <c r="KYV63" s="954"/>
      <c r="KYW63" s="954"/>
      <c r="KYX63" s="954"/>
      <c r="KYY63" s="954"/>
      <c r="KYZ63" s="954"/>
      <c r="KZA63" s="954"/>
      <c r="KZB63" s="954"/>
      <c r="KZC63" s="954"/>
      <c r="KZD63" s="954"/>
      <c r="KZE63" s="954"/>
      <c r="KZF63" s="954"/>
      <c r="KZG63" s="954"/>
      <c r="KZH63" s="954"/>
      <c r="KZI63" s="954"/>
      <c r="KZJ63" s="954"/>
      <c r="KZK63" s="954"/>
      <c r="KZL63" s="954"/>
      <c r="KZM63" s="954"/>
      <c r="KZN63" s="954"/>
      <c r="KZO63" s="954"/>
      <c r="KZP63" s="954"/>
      <c r="KZQ63" s="954"/>
      <c r="KZR63" s="954"/>
      <c r="KZS63" s="954"/>
      <c r="KZT63" s="954"/>
      <c r="KZU63" s="954"/>
      <c r="KZV63" s="954"/>
      <c r="KZW63" s="954"/>
      <c r="KZX63" s="954"/>
      <c r="KZY63" s="954"/>
      <c r="KZZ63" s="954"/>
      <c r="LAA63" s="954"/>
      <c r="LAB63" s="954"/>
      <c r="LAC63" s="954"/>
      <c r="LAD63" s="954"/>
      <c r="LAE63" s="954"/>
      <c r="LAF63" s="954"/>
      <c r="LAG63" s="954"/>
      <c r="LAH63" s="954"/>
      <c r="LAI63" s="954"/>
      <c r="LAJ63" s="954"/>
      <c r="LAK63" s="954"/>
      <c r="LAL63" s="954"/>
      <c r="LAM63" s="954"/>
      <c r="LAN63" s="954"/>
      <c r="LAO63" s="954"/>
      <c r="LAP63" s="954"/>
      <c r="LAQ63" s="954"/>
      <c r="LAR63" s="954"/>
      <c r="LAS63" s="954"/>
      <c r="LAT63" s="954"/>
      <c r="LAU63" s="954"/>
      <c r="LAV63" s="954"/>
      <c r="LAW63" s="954"/>
      <c r="LAX63" s="954"/>
      <c r="LAY63" s="954"/>
      <c r="LAZ63" s="954"/>
      <c r="LBA63" s="954"/>
      <c r="LBB63" s="954"/>
      <c r="LBC63" s="954"/>
      <c r="LBD63" s="954"/>
      <c r="LBE63" s="954"/>
      <c r="LBF63" s="954"/>
      <c r="LBG63" s="954"/>
      <c r="LBH63" s="954"/>
      <c r="LBI63" s="954"/>
      <c r="LBJ63" s="954"/>
      <c r="LBK63" s="954"/>
      <c r="LBL63" s="954"/>
      <c r="LBM63" s="954"/>
      <c r="LBN63" s="954"/>
      <c r="LBO63" s="954"/>
      <c r="LBP63" s="954"/>
      <c r="LBQ63" s="954"/>
      <c r="LBR63" s="954"/>
      <c r="LBS63" s="954"/>
      <c r="LBT63" s="954"/>
      <c r="LBU63" s="954"/>
      <c r="LBV63" s="954"/>
      <c r="LBW63" s="954"/>
      <c r="LBX63" s="954"/>
      <c r="LBY63" s="954"/>
      <c r="LBZ63" s="954"/>
      <c r="LCA63" s="954"/>
      <c r="LCB63" s="954"/>
      <c r="LCC63" s="954"/>
      <c r="LCD63" s="954"/>
      <c r="LCE63" s="954"/>
      <c r="LCF63" s="954"/>
      <c r="LCG63" s="954"/>
      <c r="LCH63" s="954"/>
      <c r="LCI63" s="954"/>
      <c r="LCJ63" s="954"/>
      <c r="LCK63" s="954"/>
      <c r="LCL63" s="954"/>
      <c r="LCM63" s="954"/>
      <c r="LCN63" s="954"/>
      <c r="LCO63" s="954"/>
      <c r="LCP63" s="954"/>
      <c r="LCQ63" s="954"/>
      <c r="LCR63" s="954"/>
      <c r="LCS63" s="954"/>
      <c r="LCT63" s="954"/>
      <c r="LCU63" s="954"/>
      <c r="LCV63" s="954"/>
      <c r="LCW63" s="954"/>
      <c r="LCX63" s="954"/>
      <c r="LCY63" s="954"/>
      <c r="LCZ63" s="954"/>
      <c r="LDA63" s="954"/>
      <c r="LDB63" s="954"/>
      <c r="LDC63" s="954"/>
      <c r="LDD63" s="954"/>
      <c r="LDE63" s="954"/>
      <c r="LDF63" s="954"/>
      <c r="LDG63" s="954"/>
      <c r="LDH63" s="954"/>
      <c r="LDI63" s="954"/>
      <c r="LDJ63" s="954"/>
      <c r="LDK63" s="954"/>
      <c r="LDL63" s="954"/>
      <c r="LDM63" s="954"/>
      <c r="LDN63" s="954"/>
      <c r="LDO63" s="954"/>
      <c r="LDP63" s="954"/>
      <c r="LDQ63" s="954"/>
      <c r="LDR63" s="954"/>
      <c r="LDS63" s="954"/>
      <c r="LDT63" s="954"/>
      <c r="LDU63" s="954"/>
      <c r="LDV63" s="954"/>
      <c r="LDW63" s="954"/>
      <c r="LDX63" s="954"/>
      <c r="LDY63" s="954"/>
      <c r="LDZ63" s="954"/>
      <c r="LEA63" s="954"/>
      <c r="LEB63" s="954"/>
      <c r="LEC63" s="954"/>
      <c r="LED63" s="954"/>
      <c r="LEE63" s="954"/>
      <c r="LEF63" s="954"/>
      <c r="LEG63" s="954"/>
      <c r="LEH63" s="954"/>
      <c r="LEI63" s="954"/>
      <c r="LEJ63" s="954"/>
      <c r="LEK63" s="954"/>
      <c r="LEL63" s="954"/>
      <c r="LEM63" s="954"/>
      <c r="LEN63" s="954"/>
      <c r="LEO63" s="954"/>
      <c r="LEP63" s="954"/>
      <c r="LEQ63" s="954"/>
      <c r="LER63" s="954"/>
      <c r="LES63" s="954"/>
      <c r="LET63" s="954"/>
      <c r="LEU63" s="954"/>
      <c r="LEV63" s="954"/>
      <c r="LEW63" s="954"/>
      <c r="LEX63" s="954"/>
      <c r="LEY63" s="954"/>
      <c r="LEZ63" s="954"/>
      <c r="LFA63" s="954"/>
      <c r="LFB63" s="954"/>
      <c r="LFC63" s="954"/>
      <c r="LFD63" s="954"/>
      <c r="LFE63" s="954"/>
      <c r="LFF63" s="954"/>
      <c r="LFG63" s="954"/>
      <c r="LFH63" s="954"/>
      <c r="LFI63" s="954"/>
      <c r="LFJ63" s="954"/>
      <c r="LFK63" s="954"/>
      <c r="LFL63" s="954"/>
      <c r="LFM63" s="954"/>
      <c r="LFN63" s="954"/>
      <c r="LFO63" s="954"/>
      <c r="LFP63" s="954"/>
      <c r="LFQ63" s="954"/>
      <c r="LFR63" s="954"/>
      <c r="LFS63" s="954"/>
      <c r="LFT63" s="954"/>
      <c r="LFU63" s="954"/>
      <c r="LFV63" s="954"/>
      <c r="LFW63" s="954"/>
      <c r="LFX63" s="954"/>
      <c r="LFY63" s="954"/>
      <c r="LFZ63" s="954"/>
      <c r="LGA63" s="954"/>
      <c r="LGB63" s="954"/>
      <c r="LGC63" s="954"/>
      <c r="LGD63" s="954"/>
      <c r="LGE63" s="954"/>
      <c r="LGF63" s="954"/>
      <c r="LGG63" s="954"/>
      <c r="LGH63" s="954"/>
      <c r="LGI63" s="954"/>
      <c r="LGJ63" s="954"/>
      <c r="LGK63" s="954"/>
      <c r="LGL63" s="954"/>
      <c r="LGM63" s="954"/>
      <c r="LGN63" s="954"/>
      <c r="LGO63" s="954"/>
      <c r="LGP63" s="954"/>
      <c r="LGQ63" s="954"/>
      <c r="LGR63" s="954"/>
      <c r="LGS63" s="954"/>
      <c r="LGT63" s="954"/>
      <c r="LGU63" s="954"/>
      <c r="LGV63" s="954"/>
      <c r="LGW63" s="954"/>
      <c r="LGX63" s="954"/>
      <c r="LGY63" s="954"/>
      <c r="LGZ63" s="954"/>
      <c r="LHA63" s="954"/>
      <c r="LHB63" s="954"/>
      <c r="LHC63" s="954"/>
      <c r="LHD63" s="954"/>
      <c r="LHE63" s="954"/>
      <c r="LHF63" s="954"/>
      <c r="LHG63" s="954"/>
      <c r="LHH63" s="954"/>
      <c r="LHI63" s="954"/>
      <c r="LHJ63" s="954"/>
      <c r="LHK63" s="954"/>
      <c r="LHL63" s="954"/>
      <c r="LHM63" s="954"/>
      <c r="LHN63" s="954"/>
      <c r="LHO63" s="954"/>
      <c r="LHP63" s="954"/>
      <c r="LHQ63" s="954"/>
      <c r="LHR63" s="954"/>
      <c r="LHS63" s="954"/>
      <c r="LHT63" s="954"/>
      <c r="LHU63" s="954"/>
      <c r="LHV63" s="954"/>
      <c r="LHW63" s="954"/>
      <c r="LHX63" s="954"/>
      <c r="LHY63" s="954"/>
      <c r="LHZ63" s="954"/>
      <c r="LIA63" s="954"/>
      <c r="LIB63" s="954"/>
      <c r="LIC63" s="954"/>
      <c r="LID63" s="954"/>
      <c r="LIE63" s="954"/>
      <c r="LIF63" s="954"/>
      <c r="LIG63" s="954"/>
      <c r="LIH63" s="954"/>
      <c r="LII63" s="954"/>
      <c r="LIJ63" s="954"/>
      <c r="LIK63" s="954"/>
      <c r="LIL63" s="954"/>
      <c r="LIM63" s="954"/>
      <c r="LIN63" s="954"/>
      <c r="LIO63" s="954"/>
      <c r="LIP63" s="954"/>
      <c r="LIQ63" s="954"/>
      <c r="LIR63" s="954"/>
      <c r="LIS63" s="954"/>
      <c r="LIT63" s="954"/>
      <c r="LIU63" s="954"/>
      <c r="LIV63" s="954"/>
      <c r="LIW63" s="954"/>
      <c r="LIX63" s="954"/>
      <c r="LIY63" s="954"/>
      <c r="LIZ63" s="954"/>
      <c r="LJA63" s="954"/>
      <c r="LJB63" s="954"/>
      <c r="LJC63" s="954"/>
      <c r="LJD63" s="954"/>
      <c r="LJE63" s="954"/>
      <c r="LJF63" s="954"/>
      <c r="LJG63" s="954"/>
      <c r="LJH63" s="954"/>
      <c r="LJI63" s="954"/>
      <c r="LJJ63" s="954"/>
      <c r="LJK63" s="954"/>
      <c r="LJL63" s="954"/>
      <c r="LJM63" s="954"/>
      <c r="LJN63" s="954"/>
      <c r="LJO63" s="954"/>
      <c r="LJP63" s="954"/>
      <c r="LJQ63" s="954"/>
      <c r="LJR63" s="954"/>
      <c r="LJS63" s="954"/>
      <c r="LJT63" s="954"/>
      <c r="LJU63" s="954"/>
      <c r="LJV63" s="954"/>
      <c r="LJW63" s="954"/>
      <c r="LJX63" s="954"/>
      <c r="LJY63" s="954"/>
      <c r="LJZ63" s="954"/>
      <c r="LKA63" s="954"/>
      <c r="LKB63" s="954"/>
      <c r="LKC63" s="954"/>
      <c r="LKD63" s="954"/>
      <c r="LKE63" s="954"/>
      <c r="LKF63" s="954"/>
      <c r="LKG63" s="954"/>
      <c r="LKH63" s="954"/>
      <c r="LKI63" s="954"/>
      <c r="LKJ63" s="954"/>
      <c r="LKK63" s="954"/>
      <c r="LKL63" s="954"/>
      <c r="LKM63" s="954"/>
      <c r="LKN63" s="954"/>
      <c r="LKO63" s="954"/>
      <c r="LKP63" s="954"/>
      <c r="LKQ63" s="954"/>
      <c r="LKR63" s="954"/>
      <c r="LKS63" s="954"/>
      <c r="LKT63" s="954"/>
      <c r="LKU63" s="954"/>
      <c r="LKV63" s="954"/>
      <c r="LKW63" s="954"/>
      <c r="LKX63" s="954"/>
      <c r="LKY63" s="954"/>
      <c r="LKZ63" s="954"/>
      <c r="LLA63" s="954"/>
      <c r="LLB63" s="954"/>
      <c r="LLC63" s="954"/>
      <c r="LLD63" s="954"/>
      <c r="LLE63" s="954"/>
      <c r="LLF63" s="954"/>
      <c r="LLG63" s="954"/>
      <c r="LLH63" s="954"/>
      <c r="LLI63" s="954"/>
      <c r="LLJ63" s="954"/>
      <c r="LLK63" s="954"/>
      <c r="LLL63" s="954"/>
      <c r="LLM63" s="954"/>
      <c r="LLN63" s="954"/>
      <c r="LLO63" s="954"/>
      <c r="LLP63" s="954"/>
      <c r="LLQ63" s="954"/>
      <c r="LLR63" s="954"/>
      <c r="LLS63" s="954"/>
      <c r="LLT63" s="954"/>
      <c r="LLU63" s="954"/>
      <c r="LLV63" s="954"/>
      <c r="LLW63" s="954"/>
      <c r="LLX63" s="954"/>
      <c r="LLY63" s="954"/>
      <c r="LLZ63" s="954"/>
      <c r="LMA63" s="954"/>
      <c r="LMB63" s="954"/>
      <c r="LMC63" s="954"/>
      <c r="LMD63" s="954"/>
      <c r="LME63" s="954"/>
      <c r="LMF63" s="954"/>
      <c r="LMG63" s="954"/>
      <c r="LMH63" s="954"/>
      <c r="LMI63" s="954"/>
      <c r="LMJ63" s="954"/>
      <c r="LMK63" s="954"/>
      <c r="LML63" s="954"/>
      <c r="LMM63" s="954"/>
      <c r="LMN63" s="954"/>
      <c r="LMO63" s="954"/>
      <c r="LMP63" s="954"/>
      <c r="LMQ63" s="954"/>
      <c r="LMR63" s="954"/>
      <c r="LMS63" s="954"/>
      <c r="LMT63" s="954"/>
      <c r="LMU63" s="954"/>
      <c r="LMV63" s="954"/>
      <c r="LMW63" s="954"/>
      <c r="LMX63" s="954"/>
      <c r="LMY63" s="954"/>
      <c r="LMZ63" s="954"/>
      <c r="LNA63" s="954"/>
      <c r="LNB63" s="954"/>
      <c r="LNC63" s="954"/>
      <c r="LND63" s="954"/>
      <c r="LNE63" s="954"/>
      <c r="LNF63" s="954"/>
      <c r="LNG63" s="954"/>
      <c r="LNH63" s="954"/>
      <c r="LNI63" s="954"/>
      <c r="LNJ63" s="954"/>
      <c r="LNK63" s="954"/>
      <c r="LNL63" s="954"/>
      <c r="LNM63" s="954"/>
      <c r="LNN63" s="954"/>
      <c r="LNO63" s="954"/>
      <c r="LNP63" s="954"/>
      <c r="LNQ63" s="954"/>
      <c r="LNR63" s="954"/>
      <c r="LNS63" s="954"/>
      <c r="LNT63" s="954"/>
      <c r="LNU63" s="954"/>
      <c r="LNV63" s="954"/>
      <c r="LNW63" s="954"/>
      <c r="LNX63" s="954"/>
      <c r="LNY63" s="954"/>
      <c r="LNZ63" s="954"/>
      <c r="LOA63" s="954"/>
      <c r="LOB63" s="954"/>
      <c r="LOC63" s="954"/>
      <c r="LOD63" s="954"/>
      <c r="LOE63" s="954"/>
      <c r="LOF63" s="954"/>
      <c r="LOG63" s="954"/>
      <c r="LOH63" s="954"/>
      <c r="LOI63" s="954"/>
      <c r="LOJ63" s="954"/>
      <c r="LOK63" s="954"/>
      <c r="LOL63" s="954"/>
      <c r="LOM63" s="954"/>
      <c r="LON63" s="954"/>
      <c r="LOO63" s="954"/>
      <c r="LOP63" s="954"/>
      <c r="LOQ63" s="954"/>
      <c r="LOR63" s="954"/>
      <c r="LOS63" s="954"/>
      <c r="LOT63" s="954"/>
      <c r="LOU63" s="954"/>
      <c r="LOV63" s="954"/>
      <c r="LOW63" s="954"/>
      <c r="LOX63" s="954"/>
      <c r="LOY63" s="954"/>
      <c r="LOZ63" s="954"/>
      <c r="LPA63" s="954"/>
      <c r="LPB63" s="954"/>
      <c r="LPC63" s="954"/>
      <c r="LPD63" s="954"/>
      <c r="LPE63" s="954"/>
      <c r="LPF63" s="954"/>
      <c r="LPG63" s="954"/>
      <c r="LPH63" s="954"/>
      <c r="LPI63" s="954"/>
      <c r="LPJ63" s="954"/>
      <c r="LPK63" s="954"/>
      <c r="LPL63" s="954"/>
      <c r="LPM63" s="954"/>
      <c r="LPN63" s="954"/>
      <c r="LPO63" s="954"/>
      <c r="LPP63" s="954"/>
      <c r="LPQ63" s="954"/>
      <c r="LPR63" s="954"/>
      <c r="LPS63" s="954"/>
      <c r="LPT63" s="954"/>
      <c r="LPU63" s="954"/>
      <c r="LPV63" s="954"/>
      <c r="LPW63" s="954"/>
      <c r="LPX63" s="954"/>
      <c r="LPY63" s="954"/>
      <c r="LPZ63" s="954"/>
      <c r="LQA63" s="954"/>
      <c r="LQB63" s="954"/>
      <c r="LQC63" s="954"/>
      <c r="LQD63" s="954"/>
      <c r="LQE63" s="954"/>
      <c r="LQF63" s="954"/>
      <c r="LQG63" s="954"/>
      <c r="LQH63" s="954"/>
      <c r="LQI63" s="954"/>
      <c r="LQJ63" s="954"/>
      <c r="LQK63" s="954"/>
      <c r="LQL63" s="954"/>
      <c r="LQM63" s="954"/>
      <c r="LQN63" s="954"/>
      <c r="LQO63" s="954"/>
      <c r="LQP63" s="954"/>
      <c r="LQQ63" s="954"/>
      <c r="LQR63" s="954"/>
      <c r="LQS63" s="954"/>
      <c r="LQT63" s="954"/>
      <c r="LQU63" s="954"/>
      <c r="LQV63" s="954"/>
      <c r="LQW63" s="954"/>
      <c r="LQX63" s="954"/>
      <c r="LQY63" s="954"/>
      <c r="LQZ63" s="954"/>
      <c r="LRA63" s="954"/>
      <c r="LRB63" s="954"/>
      <c r="LRC63" s="954"/>
      <c r="LRD63" s="954"/>
      <c r="LRE63" s="954"/>
      <c r="LRF63" s="954"/>
      <c r="LRG63" s="954"/>
      <c r="LRH63" s="954"/>
      <c r="LRI63" s="954"/>
      <c r="LRJ63" s="954"/>
      <c r="LRK63" s="954"/>
      <c r="LRL63" s="954"/>
      <c r="LRM63" s="954"/>
      <c r="LRN63" s="954"/>
      <c r="LRO63" s="954"/>
      <c r="LRP63" s="954"/>
      <c r="LRQ63" s="954"/>
      <c r="LRR63" s="954"/>
      <c r="LRS63" s="954"/>
      <c r="LRT63" s="954"/>
      <c r="LRU63" s="954"/>
      <c r="LRV63" s="954"/>
      <c r="LRW63" s="954"/>
      <c r="LRX63" s="954"/>
      <c r="LRY63" s="954"/>
      <c r="LRZ63" s="954"/>
      <c r="LSA63" s="954"/>
      <c r="LSB63" s="954"/>
      <c r="LSC63" s="954"/>
      <c r="LSD63" s="954"/>
      <c r="LSE63" s="954"/>
      <c r="LSF63" s="954"/>
      <c r="LSG63" s="954"/>
      <c r="LSH63" s="954"/>
      <c r="LSI63" s="954"/>
      <c r="LSJ63" s="954"/>
      <c r="LSK63" s="954"/>
      <c r="LSL63" s="954"/>
      <c r="LSM63" s="954"/>
      <c r="LSN63" s="954"/>
      <c r="LSO63" s="954"/>
      <c r="LSP63" s="954"/>
      <c r="LSQ63" s="954"/>
      <c r="LSR63" s="954"/>
      <c r="LSS63" s="954"/>
      <c r="LST63" s="954"/>
      <c r="LSU63" s="954"/>
      <c r="LSV63" s="954"/>
      <c r="LSW63" s="954"/>
      <c r="LSX63" s="954"/>
      <c r="LSY63" s="954"/>
      <c r="LSZ63" s="954"/>
      <c r="LTA63" s="954"/>
      <c r="LTB63" s="954"/>
      <c r="LTC63" s="954"/>
      <c r="LTD63" s="954"/>
      <c r="LTE63" s="954"/>
      <c r="LTF63" s="954"/>
      <c r="LTG63" s="954"/>
      <c r="LTH63" s="954"/>
      <c r="LTI63" s="954"/>
      <c r="LTJ63" s="954"/>
      <c r="LTK63" s="954"/>
      <c r="LTL63" s="954"/>
      <c r="LTM63" s="954"/>
      <c r="LTN63" s="954"/>
      <c r="LTO63" s="954"/>
      <c r="LTP63" s="954"/>
      <c r="LTQ63" s="954"/>
      <c r="LTR63" s="954"/>
      <c r="LTS63" s="954"/>
      <c r="LTT63" s="954"/>
      <c r="LTU63" s="954"/>
      <c r="LTV63" s="954"/>
      <c r="LTW63" s="954"/>
      <c r="LTX63" s="954"/>
      <c r="LTY63" s="954"/>
      <c r="LTZ63" s="954"/>
      <c r="LUA63" s="954"/>
      <c r="LUB63" s="954"/>
      <c r="LUC63" s="954"/>
      <c r="LUD63" s="954"/>
      <c r="LUE63" s="954"/>
      <c r="LUF63" s="954"/>
      <c r="LUG63" s="954"/>
      <c r="LUH63" s="954"/>
      <c r="LUI63" s="954"/>
      <c r="LUJ63" s="954"/>
      <c r="LUK63" s="954"/>
      <c r="LUL63" s="954"/>
      <c r="LUM63" s="954"/>
      <c r="LUN63" s="954"/>
      <c r="LUO63" s="954"/>
      <c r="LUP63" s="954"/>
      <c r="LUQ63" s="954"/>
      <c r="LUR63" s="954"/>
      <c r="LUS63" s="954"/>
      <c r="LUT63" s="954"/>
      <c r="LUU63" s="954"/>
      <c r="LUV63" s="954"/>
      <c r="LUW63" s="954"/>
      <c r="LUX63" s="954"/>
      <c r="LUY63" s="954"/>
      <c r="LUZ63" s="954"/>
      <c r="LVA63" s="954"/>
      <c r="LVB63" s="954"/>
      <c r="LVC63" s="954"/>
      <c r="LVD63" s="954"/>
      <c r="LVE63" s="954"/>
      <c r="LVF63" s="954"/>
      <c r="LVG63" s="954"/>
      <c r="LVH63" s="954"/>
      <c r="LVI63" s="954"/>
      <c r="LVJ63" s="954"/>
      <c r="LVK63" s="954"/>
      <c r="LVL63" s="954"/>
      <c r="LVM63" s="954"/>
      <c r="LVN63" s="954"/>
      <c r="LVO63" s="954"/>
      <c r="LVP63" s="954"/>
      <c r="LVQ63" s="954"/>
      <c r="LVR63" s="954"/>
      <c r="LVS63" s="954"/>
      <c r="LVT63" s="954"/>
      <c r="LVU63" s="954"/>
      <c r="LVV63" s="954"/>
      <c r="LVW63" s="954"/>
      <c r="LVX63" s="954"/>
      <c r="LVY63" s="954"/>
      <c r="LVZ63" s="954"/>
      <c r="LWA63" s="954"/>
      <c r="LWB63" s="954"/>
      <c r="LWC63" s="954"/>
      <c r="LWD63" s="954"/>
      <c r="LWE63" s="954"/>
      <c r="LWF63" s="954"/>
      <c r="LWG63" s="954"/>
      <c r="LWH63" s="954"/>
      <c r="LWI63" s="954"/>
      <c r="LWJ63" s="954"/>
      <c r="LWK63" s="954"/>
      <c r="LWL63" s="954"/>
      <c r="LWM63" s="954"/>
      <c r="LWN63" s="954"/>
      <c r="LWO63" s="954"/>
      <c r="LWP63" s="954"/>
      <c r="LWQ63" s="954"/>
      <c r="LWR63" s="954"/>
      <c r="LWS63" s="954"/>
      <c r="LWT63" s="954"/>
      <c r="LWU63" s="954"/>
      <c r="LWV63" s="954"/>
      <c r="LWW63" s="954"/>
      <c r="LWX63" s="954"/>
      <c r="LWY63" s="954"/>
      <c r="LWZ63" s="954"/>
      <c r="LXA63" s="954"/>
      <c r="LXB63" s="954"/>
      <c r="LXC63" s="954"/>
      <c r="LXD63" s="954"/>
      <c r="LXE63" s="954"/>
      <c r="LXF63" s="954"/>
      <c r="LXG63" s="954"/>
      <c r="LXH63" s="954"/>
      <c r="LXI63" s="954"/>
      <c r="LXJ63" s="954"/>
      <c r="LXK63" s="954"/>
      <c r="LXL63" s="954"/>
      <c r="LXM63" s="954"/>
      <c r="LXN63" s="954"/>
      <c r="LXO63" s="954"/>
      <c r="LXP63" s="954"/>
      <c r="LXQ63" s="954"/>
      <c r="LXR63" s="954"/>
      <c r="LXS63" s="954"/>
      <c r="LXT63" s="954"/>
      <c r="LXU63" s="954"/>
      <c r="LXV63" s="954"/>
      <c r="LXW63" s="954"/>
      <c r="LXX63" s="954"/>
      <c r="LXY63" s="954"/>
      <c r="LXZ63" s="954"/>
      <c r="LYA63" s="954"/>
      <c r="LYB63" s="954"/>
      <c r="LYC63" s="954"/>
      <c r="LYD63" s="954"/>
      <c r="LYE63" s="954"/>
      <c r="LYF63" s="954"/>
      <c r="LYG63" s="954"/>
      <c r="LYH63" s="954"/>
      <c r="LYI63" s="954"/>
      <c r="LYJ63" s="954"/>
      <c r="LYK63" s="954"/>
      <c r="LYL63" s="954"/>
      <c r="LYM63" s="954"/>
      <c r="LYN63" s="954"/>
      <c r="LYO63" s="954"/>
      <c r="LYP63" s="954"/>
      <c r="LYQ63" s="954"/>
      <c r="LYR63" s="954"/>
      <c r="LYS63" s="954"/>
      <c r="LYT63" s="954"/>
      <c r="LYU63" s="954"/>
      <c r="LYV63" s="954"/>
      <c r="LYW63" s="954"/>
      <c r="LYX63" s="954"/>
      <c r="LYY63" s="954"/>
      <c r="LYZ63" s="954"/>
      <c r="LZA63" s="954"/>
      <c r="LZB63" s="954"/>
      <c r="LZC63" s="954"/>
      <c r="LZD63" s="954"/>
      <c r="LZE63" s="954"/>
      <c r="LZF63" s="954"/>
      <c r="LZG63" s="954"/>
      <c r="LZH63" s="954"/>
      <c r="LZI63" s="954"/>
      <c r="LZJ63" s="954"/>
      <c r="LZK63" s="954"/>
      <c r="LZL63" s="954"/>
      <c r="LZM63" s="954"/>
      <c r="LZN63" s="954"/>
      <c r="LZO63" s="954"/>
      <c r="LZP63" s="954"/>
      <c r="LZQ63" s="954"/>
      <c r="LZR63" s="954"/>
      <c r="LZS63" s="954"/>
      <c r="LZT63" s="954"/>
      <c r="LZU63" s="954"/>
      <c r="LZV63" s="954"/>
      <c r="LZW63" s="954"/>
      <c r="LZX63" s="954"/>
      <c r="LZY63" s="954"/>
      <c r="LZZ63" s="954"/>
      <c r="MAA63" s="954"/>
      <c r="MAB63" s="954"/>
      <c r="MAC63" s="954"/>
      <c r="MAD63" s="954"/>
      <c r="MAE63" s="954"/>
      <c r="MAF63" s="954"/>
      <c r="MAG63" s="954"/>
      <c r="MAH63" s="954"/>
      <c r="MAI63" s="954"/>
      <c r="MAJ63" s="954"/>
      <c r="MAK63" s="954"/>
      <c r="MAL63" s="954"/>
      <c r="MAM63" s="954"/>
      <c r="MAN63" s="954"/>
      <c r="MAO63" s="954"/>
      <c r="MAP63" s="954"/>
      <c r="MAQ63" s="954"/>
      <c r="MAR63" s="954"/>
      <c r="MAS63" s="954"/>
      <c r="MAT63" s="954"/>
      <c r="MAU63" s="954"/>
      <c r="MAV63" s="954"/>
      <c r="MAW63" s="954"/>
      <c r="MAX63" s="954"/>
      <c r="MAY63" s="954"/>
      <c r="MAZ63" s="954"/>
      <c r="MBA63" s="954"/>
      <c r="MBB63" s="954"/>
      <c r="MBC63" s="954"/>
      <c r="MBD63" s="954"/>
      <c r="MBE63" s="954"/>
      <c r="MBF63" s="954"/>
      <c r="MBG63" s="954"/>
      <c r="MBH63" s="954"/>
      <c r="MBI63" s="954"/>
      <c r="MBJ63" s="954"/>
      <c r="MBK63" s="954"/>
      <c r="MBL63" s="954"/>
      <c r="MBM63" s="954"/>
      <c r="MBN63" s="954"/>
      <c r="MBO63" s="954"/>
      <c r="MBP63" s="954"/>
      <c r="MBQ63" s="954"/>
      <c r="MBR63" s="954"/>
      <c r="MBS63" s="954"/>
      <c r="MBT63" s="954"/>
      <c r="MBU63" s="954"/>
      <c r="MBV63" s="954"/>
      <c r="MBW63" s="954"/>
      <c r="MBX63" s="954"/>
      <c r="MBY63" s="954"/>
      <c r="MBZ63" s="954"/>
      <c r="MCA63" s="954"/>
      <c r="MCB63" s="954"/>
      <c r="MCC63" s="954"/>
      <c r="MCD63" s="954"/>
      <c r="MCE63" s="954"/>
      <c r="MCF63" s="954"/>
      <c r="MCG63" s="954"/>
      <c r="MCH63" s="954"/>
      <c r="MCI63" s="954"/>
      <c r="MCJ63" s="954"/>
      <c r="MCK63" s="954"/>
      <c r="MCL63" s="954"/>
      <c r="MCM63" s="954"/>
      <c r="MCN63" s="954"/>
      <c r="MCO63" s="954"/>
      <c r="MCP63" s="954"/>
      <c r="MCQ63" s="954"/>
      <c r="MCR63" s="954"/>
      <c r="MCS63" s="954"/>
      <c r="MCT63" s="954"/>
      <c r="MCU63" s="954"/>
      <c r="MCV63" s="954"/>
      <c r="MCW63" s="954"/>
      <c r="MCX63" s="954"/>
      <c r="MCY63" s="954"/>
      <c r="MCZ63" s="954"/>
      <c r="MDA63" s="954"/>
      <c r="MDB63" s="954"/>
      <c r="MDC63" s="954"/>
      <c r="MDD63" s="954"/>
      <c r="MDE63" s="954"/>
      <c r="MDF63" s="954"/>
      <c r="MDG63" s="954"/>
      <c r="MDH63" s="954"/>
      <c r="MDI63" s="954"/>
      <c r="MDJ63" s="954"/>
      <c r="MDK63" s="954"/>
      <c r="MDL63" s="954"/>
      <c r="MDM63" s="954"/>
      <c r="MDN63" s="954"/>
      <c r="MDO63" s="954"/>
      <c r="MDP63" s="954"/>
      <c r="MDQ63" s="954"/>
      <c r="MDR63" s="954"/>
      <c r="MDS63" s="954"/>
      <c r="MDT63" s="954"/>
      <c r="MDU63" s="954"/>
      <c r="MDV63" s="954"/>
      <c r="MDW63" s="954"/>
      <c r="MDX63" s="954"/>
      <c r="MDY63" s="954"/>
      <c r="MDZ63" s="954"/>
      <c r="MEA63" s="954"/>
      <c r="MEB63" s="954"/>
      <c r="MEC63" s="954"/>
      <c r="MED63" s="954"/>
      <c r="MEE63" s="954"/>
      <c r="MEF63" s="954"/>
      <c r="MEG63" s="954"/>
      <c r="MEH63" s="954"/>
      <c r="MEI63" s="954"/>
      <c r="MEJ63" s="954"/>
      <c r="MEK63" s="954"/>
      <c r="MEL63" s="954"/>
      <c r="MEM63" s="954"/>
      <c r="MEN63" s="954"/>
      <c r="MEO63" s="954"/>
      <c r="MEP63" s="954"/>
      <c r="MEQ63" s="954"/>
      <c r="MER63" s="954"/>
      <c r="MES63" s="954"/>
      <c r="MET63" s="954"/>
      <c r="MEU63" s="954"/>
      <c r="MEV63" s="954"/>
      <c r="MEW63" s="954"/>
      <c r="MEX63" s="954"/>
      <c r="MEY63" s="954"/>
      <c r="MEZ63" s="954"/>
      <c r="MFA63" s="954"/>
      <c r="MFB63" s="954"/>
      <c r="MFC63" s="954"/>
      <c r="MFD63" s="954"/>
      <c r="MFE63" s="954"/>
      <c r="MFF63" s="954"/>
      <c r="MFG63" s="954"/>
      <c r="MFH63" s="954"/>
      <c r="MFI63" s="954"/>
      <c r="MFJ63" s="954"/>
      <c r="MFK63" s="954"/>
      <c r="MFL63" s="954"/>
      <c r="MFM63" s="954"/>
      <c r="MFN63" s="954"/>
      <c r="MFO63" s="954"/>
      <c r="MFP63" s="954"/>
      <c r="MFQ63" s="954"/>
      <c r="MFR63" s="954"/>
      <c r="MFS63" s="954"/>
      <c r="MFT63" s="954"/>
      <c r="MFU63" s="954"/>
      <c r="MFV63" s="954"/>
      <c r="MFW63" s="954"/>
      <c r="MFX63" s="954"/>
      <c r="MFY63" s="954"/>
      <c r="MFZ63" s="954"/>
      <c r="MGA63" s="954"/>
      <c r="MGB63" s="954"/>
      <c r="MGC63" s="954"/>
      <c r="MGD63" s="954"/>
      <c r="MGE63" s="954"/>
      <c r="MGF63" s="954"/>
      <c r="MGG63" s="954"/>
      <c r="MGH63" s="954"/>
      <c r="MGI63" s="954"/>
      <c r="MGJ63" s="954"/>
      <c r="MGK63" s="954"/>
      <c r="MGL63" s="954"/>
      <c r="MGM63" s="954"/>
      <c r="MGN63" s="954"/>
      <c r="MGO63" s="954"/>
      <c r="MGP63" s="954"/>
      <c r="MGQ63" s="954"/>
      <c r="MGR63" s="954"/>
      <c r="MGS63" s="954"/>
      <c r="MGT63" s="954"/>
      <c r="MGU63" s="954"/>
      <c r="MGV63" s="954"/>
      <c r="MGW63" s="954"/>
      <c r="MGX63" s="954"/>
      <c r="MGY63" s="954"/>
      <c r="MGZ63" s="954"/>
      <c r="MHA63" s="954"/>
      <c r="MHB63" s="954"/>
      <c r="MHC63" s="954"/>
      <c r="MHD63" s="954"/>
      <c r="MHE63" s="954"/>
      <c r="MHF63" s="954"/>
      <c r="MHG63" s="954"/>
      <c r="MHH63" s="954"/>
      <c r="MHI63" s="954"/>
      <c r="MHJ63" s="954"/>
      <c r="MHK63" s="954"/>
      <c r="MHL63" s="954"/>
      <c r="MHM63" s="954"/>
      <c r="MHN63" s="954"/>
      <c r="MHO63" s="954"/>
      <c r="MHP63" s="954"/>
      <c r="MHQ63" s="954"/>
      <c r="MHR63" s="954"/>
      <c r="MHS63" s="954"/>
      <c r="MHT63" s="954"/>
      <c r="MHU63" s="954"/>
      <c r="MHV63" s="954"/>
      <c r="MHW63" s="954"/>
      <c r="MHX63" s="954"/>
      <c r="MHY63" s="954"/>
      <c r="MHZ63" s="954"/>
      <c r="MIA63" s="954"/>
      <c r="MIB63" s="954"/>
      <c r="MIC63" s="954"/>
      <c r="MID63" s="954"/>
      <c r="MIE63" s="954"/>
      <c r="MIF63" s="954"/>
      <c r="MIG63" s="954"/>
      <c r="MIH63" s="954"/>
      <c r="MII63" s="954"/>
      <c r="MIJ63" s="954"/>
      <c r="MIK63" s="954"/>
      <c r="MIL63" s="954"/>
      <c r="MIM63" s="954"/>
      <c r="MIN63" s="954"/>
      <c r="MIO63" s="954"/>
      <c r="MIP63" s="954"/>
      <c r="MIQ63" s="954"/>
      <c r="MIR63" s="954"/>
      <c r="MIS63" s="954"/>
      <c r="MIT63" s="954"/>
      <c r="MIU63" s="954"/>
      <c r="MIV63" s="954"/>
      <c r="MIW63" s="954"/>
      <c r="MIX63" s="954"/>
      <c r="MIY63" s="954"/>
      <c r="MIZ63" s="954"/>
      <c r="MJA63" s="954"/>
      <c r="MJB63" s="954"/>
      <c r="MJC63" s="954"/>
      <c r="MJD63" s="954"/>
      <c r="MJE63" s="954"/>
      <c r="MJF63" s="954"/>
      <c r="MJG63" s="954"/>
      <c r="MJH63" s="954"/>
      <c r="MJI63" s="954"/>
      <c r="MJJ63" s="954"/>
      <c r="MJK63" s="954"/>
      <c r="MJL63" s="954"/>
      <c r="MJM63" s="954"/>
      <c r="MJN63" s="954"/>
      <c r="MJO63" s="954"/>
      <c r="MJP63" s="954"/>
      <c r="MJQ63" s="954"/>
      <c r="MJR63" s="954"/>
      <c r="MJS63" s="954"/>
      <c r="MJT63" s="954"/>
      <c r="MJU63" s="954"/>
      <c r="MJV63" s="954"/>
      <c r="MJW63" s="954"/>
      <c r="MJX63" s="954"/>
      <c r="MJY63" s="954"/>
      <c r="MJZ63" s="954"/>
      <c r="MKA63" s="954"/>
      <c r="MKB63" s="954"/>
      <c r="MKC63" s="954"/>
      <c r="MKD63" s="954"/>
      <c r="MKE63" s="954"/>
      <c r="MKF63" s="954"/>
      <c r="MKG63" s="954"/>
      <c r="MKH63" s="954"/>
      <c r="MKI63" s="954"/>
      <c r="MKJ63" s="954"/>
      <c r="MKK63" s="954"/>
      <c r="MKL63" s="954"/>
      <c r="MKM63" s="954"/>
      <c r="MKN63" s="954"/>
      <c r="MKO63" s="954"/>
      <c r="MKP63" s="954"/>
      <c r="MKQ63" s="954"/>
      <c r="MKR63" s="954"/>
      <c r="MKS63" s="954"/>
      <c r="MKT63" s="954"/>
      <c r="MKU63" s="954"/>
      <c r="MKV63" s="954"/>
      <c r="MKW63" s="954"/>
      <c r="MKX63" s="954"/>
      <c r="MKY63" s="954"/>
      <c r="MKZ63" s="954"/>
      <c r="MLA63" s="954"/>
      <c r="MLB63" s="954"/>
      <c r="MLC63" s="954"/>
      <c r="MLD63" s="954"/>
      <c r="MLE63" s="954"/>
      <c r="MLF63" s="954"/>
      <c r="MLG63" s="954"/>
      <c r="MLH63" s="954"/>
      <c r="MLI63" s="954"/>
      <c r="MLJ63" s="954"/>
      <c r="MLK63" s="954"/>
      <c r="MLL63" s="954"/>
      <c r="MLM63" s="954"/>
      <c r="MLN63" s="954"/>
      <c r="MLO63" s="954"/>
      <c r="MLP63" s="954"/>
      <c r="MLQ63" s="954"/>
      <c r="MLR63" s="954"/>
      <c r="MLS63" s="954"/>
      <c r="MLT63" s="954"/>
      <c r="MLU63" s="954"/>
      <c r="MLV63" s="954"/>
      <c r="MLW63" s="954"/>
      <c r="MLX63" s="954"/>
      <c r="MLY63" s="954"/>
      <c r="MLZ63" s="954"/>
      <c r="MMA63" s="954"/>
      <c r="MMB63" s="954"/>
      <c r="MMC63" s="954"/>
      <c r="MMD63" s="954"/>
      <c r="MME63" s="954"/>
      <c r="MMF63" s="954"/>
      <c r="MMG63" s="954"/>
      <c r="MMH63" s="954"/>
      <c r="MMI63" s="954"/>
      <c r="MMJ63" s="954"/>
      <c r="MMK63" s="954"/>
      <c r="MML63" s="954"/>
      <c r="MMM63" s="954"/>
      <c r="MMN63" s="954"/>
      <c r="MMO63" s="954"/>
      <c r="MMP63" s="954"/>
      <c r="MMQ63" s="954"/>
      <c r="MMR63" s="954"/>
      <c r="MMS63" s="954"/>
      <c r="MMT63" s="954"/>
      <c r="MMU63" s="954"/>
      <c r="MMV63" s="954"/>
      <c r="MMW63" s="954"/>
      <c r="MMX63" s="954"/>
      <c r="MMY63" s="954"/>
      <c r="MMZ63" s="954"/>
      <c r="MNA63" s="954"/>
      <c r="MNB63" s="954"/>
      <c r="MNC63" s="954"/>
      <c r="MND63" s="954"/>
      <c r="MNE63" s="954"/>
      <c r="MNF63" s="954"/>
      <c r="MNG63" s="954"/>
      <c r="MNH63" s="954"/>
      <c r="MNI63" s="954"/>
      <c r="MNJ63" s="954"/>
      <c r="MNK63" s="954"/>
      <c r="MNL63" s="954"/>
      <c r="MNM63" s="954"/>
      <c r="MNN63" s="954"/>
      <c r="MNO63" s="954"/>
      <c r="MNP63" s="954"/>
      <c r="MNQ63" s="954"/>
      <c r="MNR63" s="954"/>
      <c r="MNS63" s="954"/>
      <c r="MNT63" s="954"/>
      <c r="MNU63" s="954"/>
      <c r="MNV63" s="954"/>
      <c r="MNW63" s="954"/>
      <c r="MNX63" s="954"/>
      <c r="MNY63" s="954"/>
      <c r="MNZ63" s="954"/>
      <c r="MOA63" s="954"/>
      <c r="MOB63" s="954"/>
      <c r="MOC63" s="954"/>
      <c r="MOD63" s="954"/>
      <c r="MOE63" s="954"/>
      <c r="MOF63" s="954"/>
      <c r="MOG63" s="954"/>
      <c r="MOH63" s="954"/>
      <c r="MOI63" s="954"/>
      <c r="MOJ63" s="954"/>
      <c r="MOK63" s="954"/>
      <c r="MOL63" s="954"/>
      <c r="MOM63" s="954"/>
      <c r="MON63" s="954"/>
      <c r="MOO63" s="954"/>
      <c r="MOP63" s="954"/>
      <c r="MOQ63" s="954"/>
      <c r="MOR63" s="954"/>
      <c r="MOS63" s="954"/>
      <c r="MOT63" s="954"/>
      <c r="MOU63" s="954"/>
      <c r="MOV63" s="954"/>
      <c r="MOW63" s="954"/>
      <c r="MOX63" s="954"/>
      <c r="MOY63" s="954"/>
      <c r="MOZ63" s="954"/>
      <c r="MPA63" s="954"/>
      <c r="MPB63" s="954"/>
      <c r="MPC63" s="954"/>
      <c r="MPD63" s="954"/>
      <c r="MPE63" s="954"/>
      <c r="MPF63" s="954"/>
      <c r="MPG63" s="954"/>
      <c r="MPH63" s="954"/>
      <c r="MPI63" s="954"/>
      <c r="MPJ63" s="954"/>
      <c r="MPK63" s="954"/>
      <c r="MPL63" s="954"/>
      <c r="MPM63" s="954"/>
      <c r="MPN63" s="954"/>
      <c r="MPO63" s="954"/>
      <c r="MPP63" s="954"/>
      <c r="MPQ63" s="954"/>
      <c r="MPR63" s="954"/>
      <c r="MPS63" s="954"/>
      <c r="MPT63" s="954"/>
      <c r="MPU63" s="954"/>
      <c r="MPV63" s="954"/>
      <c r="MPW63" s="954"/>
      <c r="MPX63" s="954"/>
      <c r="MPY63" s="954"/>
      <c r="MPZ63" s="954"/>
      <c r="MQA63" s="954"/>
      <c r="MQB63" s="954"/>
      <c r="MQC63" s="954"/>
      <c r="MQD63" s="954"/>
      <c r="MQE63" s="954"/>
      <c r="MQF63" s="954"/>
      <c r="MQG63" s="954"/>
      <c r="MQH63" s="954"/>
      <c r="MQI63" s="954"/>
      <c r="MQJ63" s="954"/>
      <c r="MQK63" s="954"/>
      <c r="MQL63" s="954"/>
      <c r="MQM63" s="954"/>
      <c r="MQN63" s="954"/>
      <c r="MQO63" s="954"/>
      <c r="MQP63" s="954"/>
      <c r="MQQ63" s="954"/>
      <c r="MQR63" s="954"/>
      <c r="MQS63" s="954"/>
      <c r="MQT63" s="954"/>
      <c r="MQU63" s="954"/>
      <c r="MQV63" s="954"/>
      <c r="MQW63" s="954"/>
      <c r="MQX63" s="954"/>
      <c r="MQY63" s="954"/>
      <c r="MQZ63" s="954"/>
      <c r="MRA63" s="954"/>
      <c r="MRB63" s="954"/>
      <c r="MRC63" s="954"/>
      <c r="MRD63" s="954"/>
      <c r="MRE63" s="954"/>
      <c r="MRF63" s="954"/>
      <c r="MRG63" s="954"/>
      <c r="MRH63" s="954"/>
      <c r="MRI63" s="954"/>
      <c r="MRJ63" s="954"/>
      <c r="MRK63" s="954"/>
      <c r="MRL63" s="954"/>
      <c r="MRM63" s="954"/>
      <c r="MRN63" s="954"/>
      <c r="MRO63" s="954"/>
      <c r="MRP63" s="954"/>
      <c r="MRQ63" s="954"/>
      <c r="MRR63" s="954"/>
      <c r="MRS63" s="954"/>
      <c r="MRT63" s="954"/>
      <c r="MRU63" s="954"/>
      <c r="MRV63" s="954"/>
      <c r="MRW63" s="954"/>
      <c r="MRX63" s="954"/>
      <c r="MRY63" s="954"/>
      <c r="MRZ63" s="954"/>
      <c r="MSA63" s="954"/>
      <c r="MSB63" s="954"/>
      <c r="MSC63" s="954"/>
      <c r="MSD63" s="954"/>
      <c r="MSE63" s="954"/>
      <c r="MSF63" s="954"/>
      <c r="MSG63" s="954"/>
      <c r="MSH63" s="954"/>
      <c r="MSI63" s="954"/>
      <c r="MSJ63" s="954"/>
      <c r="MSK63" s="954"/>
      <c r="MSL63" s="954"/>
      <c r="MSM63" s="954"/>
      <c r="MSN63" s="954"/>
      <c r="MSO63" s="954"/>
      <c r="MSP63" s="954"/>
      <c r="MSQ63" s="954"/>
      <c r="MSR63" s="954"/>
      <c r="MSS63" s="954"/>
      <c r="MST63" s="954"/>
      <c r="MSU63" s="954"/>
      <c r="MSV63" s="954"/>
      <c r="MSW63" s="954"/>
      <c r="MSX63" s="954"/>
      <c r="MSY63" s="954"/>
      <c r="MSZ63" s="954"/>
      <c r="MTA63" s="954"/>
      <c r="MTB63" s="954"/>
      <c r="MTC63" s="954"/>
      <c r="MTD63" s="954"/>
      <c r="MTE63" s="954"/>
      <c r="MTF63" s="954"/>
      <c r="MTG63" s="954"/>
      <c r="MTH63" s="954"/>
      <c r="MTI63" s="954"/>
      <c r="MTJ63" s="954"/>
      <c r="MTK63" s="954"/>
      <c r="MTL63" s="954"/>
      <c r="MTM63" s="954"/>
      <c r="MTN63" s="954"/>
      <c r="MTO63" s="954"/>
      <c r="MTP63" s="954"/>
      <c r="MTQ63" s="954"/>
      <c r="MTR63" s="954"/>
      <c r="MTS63" s="954"/>
      <c r="MTT63" s="954"/>
      <c r="MTU63" s="954"/>
      <c r="MTV63" s="954"/>
      <c r="MTW63" s="954"/>
      <c r="MTX63" s="954"/>
      <c r="MTY63" s="954"/>
      <c r="MTZ63" s="954"/>
      <c r="MUA63" s="954"/>
      <c r="MUB63" s="954"/>
      <c r="MUC63" s="954"/>
      <c r="MUD63" s="954"/>
      <c r="MUE63" s="954"/>
      <c r="MUF63" s="954"/>
      <c r="MUG63" s="954"/>
      <c r="MUH63" s="954"/>
      <c r="MUI63" s="954"/>
      <c r="MUJ63" s="954"/>
      <c r="MUK63" s="954"/>
      <c r="MUL63" s="954"/>
      <c r="MUM63" s="954"/>
      <c r="MUN63" s="954"/>
      <c r="MUO63" s="954"/>
      <c r="MUP63" s="954"/>
      <c r="MUQ63" s="954"/>
      <c r="MUR63" s="954"/>
      <c r="MUS63" s="954"/>
      <c r="MUT63" s="954"/>
      <c r="MUU63" s="954"/>
      <c r="MUV63" s="954"/>
      <c r="MUW63" s="954"/>
      <c r="MUX63" s="954"/>
      <c r="MUY63" s="954"/>
      <c r="MUZ63" s="954"/>
      <c r="MVA63" s="954"/>
      <c r="MVB63" s="954"/>
      <c r="MVC63" s="954"/>
      <c r="MVD63" s="954"/>
      <c r="MVE63" s="954"/>
      <c r="MVF63" s="954"/>
      <c r="MVG63" s="954"/>
      <c r="MVH63" s="954"/>
      <c r="MVI63" s="954"/>
      <c r="MVJ63" s="954"/>
      <c r="MVK63" s="954"/>
      <c r="MVL63" s="954"/>
      <c r="MVM63" s="954"/>
      <c r="MVN63" s="954"/>
      <c r="MVO63" s="954"/>
      <c r="MVP63" s="954"/>
      <c r="MVQ63" s="954"/>
      <c r="MVR63" s="954"/>
      <c r="MVS63" s="954"/>
      <c r="MVT63" s="954"/>
      <c r="MVU63" s="954"/>
      <c r="MVV63" s="954"/>
      <c r="MVW63" s="954"/>
      <c r="MVX63" s="954"/>
      <c r="MVY63" s="954"/>
      <c r="MVZ63" s="954"/>
      <c r="MWA63" s="954"/>
      <c r="MWB63" s="954"/>
      <c r="MWC63" s="954"/>
      <c r="MWD63" s="954"/>
      <c r="MWE63" s="954"/>
      <c r="MWF63" s="954"/>
      <c r="MWG63" s="954"/>
      <c r="MWH63" s="954"/>
      <c r="MWI63" s="954"/>
      <c r="MWJ63" s="954"/>
      <c r="MWK63" s="954"/>
      <c r="MWL63" s="954"/>
      <c r="MWM63" s="954"/>
      <c r="MWN63" s="954"/>
      <c r="MWO63" s="954"/>
      <c r="MWP63" s="954"/>
      <c r="MWQ63" s="954"/>
      <c r="MWR63" s="954"/>
      <c r="MWS63" s="954"/>
      <c r="MWT63" s="954"/>
      <c r="MWU63" s="954"/>
      <c r="MWV63" s="954"/>
      <c r="MWW63" s="954"/>
      <c r="MWX63" s="954"/>
      <c r="MWY63" s="954"/>
      <c r="MWZ63" s="954"/>
      <c r="MXA63" s="954"/>
      <c r="MXB63" s="954"/>
      <c r="MXC63" s="954"/>
      <c r="MXD63" s="954"/>
      <c r="MXE63" s="954"/>
      <c r="MXF63" s="954"/>
      <c r="MXG63" s="954"/>
      <c r="MXH63" s="954"/>
      <c r="MXI63" s="954"/>
      <c r="MXJ63" s="954"/>
      <c r="MXK63" s="954"/>
      <c r="MXL63" s="954"/>
      <c r="MXM63" s="954"/>
      <c r="MXN63" s="954"/>
      <c r="MXO63" s="954"/>
      <c r="MXP63" s="954"/>
      <c r="MXQ63" s="954"/>
      <c r="MXR63" s="954"/>
      <c r="MXS63" s="954"/>
      <c r="MXT63" s="954"/>
      <c r="MXU63" s="954"/>
      <c r="MXV63" s="954"/>
      <c r="MXW63" s="954"/>
      <c r="MXX63" s="954"/>
      <c r="MXY63" s="954"/>
      <c r="MXZ63" s="954"/>
      <c r="MYA63" s="954"/>
      <c r="MYB63" s="954"/>
      <c r="MYC63" s="954"/>
      <c r="MYD63" s="954"/>
      <c r="MYE63" s="954"/>
      <c r="MYF63" s="954"/>
      <c r="MYG63" s="954"/>
      <c r="MYH63" s="954"/>
      <c r="MYI63" s="954"/>
      <c r="MYJ63" s="954"/>
      <c r="MYK63" s="954"/>
      <c r="MYL63" s="954"/>
      <c r="MYM63" s="954"/>
      <c r="MYN63" s="954"/>
      <c r="MYO63" s="954"/>
      <c r="MYP63" s="954"/>
      <c r="MYQ63" s="954"/>
      <c r="MYR63" s="954"/>
      <c r="MYS63" s="954"/>
      <c r="MYT63" s="954"/>
      <c r="MYU63" s="954"/>
      <c r="MYV63" s="954"/>
      <c r="MYW63" s="954"/>
      <c r="MYX63" s="954"/>
      <c r="MYY63" s="954"/>
      <c r="MYZ63" s="954"/>
      <c r="MZA63" s="954"/>
      <c r="MZB63" s="954"/>
      <c r="MZC63" s="954"/>
      <c r="MZD63" s="954"/>
      <c r="MZE63" s="954"/>
      <c r="MZF63" s="954"/>
      <c r="MZG63" s="954"/>
      <c r="MZH63" s="954"/>
      <c r="MZI63" s="954"/>
      <c r="MZJ63" s="954"/>
      <c r="MZK63" s="954"/>
      <c r="MZL63" s="954"/>
      <c r="MZM63" s="954"/>
      <c r="MZN63" s="954"/>
      <c r="MZO63" s="954"/>
      <c r="MZP63" s="954"/>
      <c r="MZQ63" s="954"/>
      <c r="MZR63" s="954"/>
      <c r="MZS63" s="954"/>
      <c r="MZT63" s="954"/>
      <c r="MZU63" s="954"/>
      <c r="MZV63" s="954"/>
      <c r="MZW63" s="954"/>
      <c r="MZX63" s="954"/>
      <c r="MZY63" s="954"/>
      <c r="MZZ63" s="954"/>
      <c r="NAA63" s="954"/>
      <c r="NAB63" s="954"/>
      <c r="NAC63" s="954"/>
      <c r="NAD63" s="954"/>
      <c r="NAE63" s="954"/>
      <c r="NAF63" s="954"/>
      <c r="NAG63" s="954"/>
      <c r="NAH63" s="954"/>
      <c r="NAI63" s="954"/>
      <c r="NAJ63" s="954"/>
      <c r="NAK63" s="954"/>
      <c r="NAL63" s="954"/>
      <c r="NAM63" s="954"/>
      <c r="NAN63" s="954"/>
      <c r="NAO63" s="954"/>
      <c r="NAP63" s="954"/>
      <c r="NAQ63" s="954"/>
      <c r="NAR63" s="954"/>
      <c r="NAS63" s="954"/>
      <c r="NAT63" s="954"/>
      <c r="NAU63" s="954"/>
      <c r="NAV63" s="954"/>
      <c r="NAW63" s="954"/>
      <c r="NAX63" s="954"/>
      <c r="NAY63" s="954"/>
      <c r="NAZ63" s="954"/>
      <c r="NBA63" s="954"/>
      <c r="NBB63" s="954"/>
      <c r="NBC63" s="954"/>
      <c r="NBD63" s="954"/>
      <c r="NBE63" s="954"/>
      <c r="NBF63" s="954"/>
      <c r="NBG63" s="954"/>
      <c r="NBH63" s="954"/>
      <c r="NBI63" s="954"/>
      <c r="NBJ63" s="954"/>
      <c r="NBK63" s="954"/>
      <c r="NBL63" s="954"/>
      <c r="NBM63" s="954"/>
      <c r="NBN63" s="954"/>
      <c r="NBO63" s="954"/>
      <c r="NBP63" s="954"/>
      <c r="NBQ63" s="954"/>
      <c r="NBR63" s="954"/>
      <c r="NBS63" s="954"/>
      <c r="NBT63" s="954"/>
      <c r="NBU63" s="954"/>
      <c r="NBV63" s="954"/>
      <c r="NBW63" s="954"/>
      <c r="NBX63" s="954"/>
      <c r="NBY63" s="954"/>
      <c r="NBZ63" s="954"/>
      <c r="NCA63" s="954"/>
      <c r="NCB63" s="954"/>
      <c r="NCC63" s="954"/>
      <c r="NCD63" s="954"/>
      <c r="NCE63" s="954"/>
      <c r="NCF63" s="954"/>
      <c r="NCG63" s="954"/>
      <c r="NCH63" s="954"/>
      <c r="NCI63" s="954"/>
      <c r="NCJ63" s="954"/>
      <c r="NCK63" s="954"/>
      <c r="NCL63" s="954"/>
      <c r="NCM63" s="954"/>
      <c r="NCN63" s="954"/>
      <c r="NCO63" s="954"/>
      <c r="NCP63" s="954"/>
      <c r="NCQ63" s="954"/>
      <c r="NCR63" s="954"/>
      <c r="NCS63" s="954"/>
      <c r="NCT63" s="954"/>
      <c r="NCU63" s="954"/>
      <c r="NCV63" s="954"/>
      <c r="NCW63" s="954"/>
      <c r="NCX63" s="954"/>
      <c r="NCY63" s="954"/>
      <c r="NCZ63" s="954"/>
      <c r="NDA63" s="954"/>
      <c r="NDB63" s="954"/>
      <c r="NDC63" s="954"/>
      <c r="NDD63" s="954"/>
      <c r="NDE63" s="954"/>
      <c r="NDF63" s="954"/>
      <c r="NDG63" s="954"/>
      <c r="NDH63" s="954"/>
      <c r="NDI63" s="954"/>
      <c r="NDJ63" s="954"/>
      <c r="NDK63" s="954"/>
      <c r="NDL63" s="954"/>
      <c r="NDM63" s="954"/>
      <c r="NDN63" s="954"/>
      <c r="NDO63" s="954"/>
      <c r="NDP63" s="954"/>
      <c r="NDQ63" s="954"/>
      <c r="NDR63" s="954"/>
      <c r="NDS63" s="954"/>
      <c r="NDT63" s="954"/>
      <c r="NDU63" s="954"/>
      <c r="NDV63" s="954"/>
      <c r="NDW63" s="954"/>
      <c r="NDX63" s="954"/>
      <c r="NDY63" s="954"/>
      <c r="NDZ63" s="954"/>
      <c r="NEA63" s="954"/>
      <c r="NEB63" s="954"/>
      <c r="NEC63" s="954"/>
      <c r="NED63" s="954"/>
      <c r="NEE63" s="954"/>
      <c r="NEF63" s="954"/>
      <c r="NEG63" s="954"/>
      <c r="NEH63" s="954"/>
      <c r="NEI63" s="954"/>
      <c r="NEJ63" s="954"/>
      <c r="NEK63" s="954"/>
      <c r="NEL63" s="954"/>
      <c r="NEM63" s="954"/>
      <c r="NEN63" s="954"/>
      <c r="NEO63" s="954"/>
      <c r="NEP63" s="954"/>
      <c r="NEQ63" s="954"/>
      <c r="NER63" s="954"/>
      <c r="NES63" s="954"/>
      <c r="NET63" s="954"/>
      <c r="NEU63" s="954"/>
      <c r="NEV63" s="954"/>
      <c r="NEW63" s="954"/>
      <c r="NEX63" s="954"/>
      <c r="NEY63" s="954"/>
      <c r="NEZ63" s="954"/>
      <c r="NFA63" s="954"/>
      <c r="NFB63" s="954"/>
      <c r="NFC63" s="954"/>
      <c r="NFD63" s="954"/>
      <c r="NFE63" s="954"/>
      <c r="NFF63" s="954"/>
      <c r="NFG63" s="954"/>
      <c r="NFH63" s="954"/>
      <c r="NFI63" s="954"/>
      <c r="NFJ63" s="954"/>
      <c r="NFK63" s="954"/>
      <c r="NFL63" s="954"/>
      <c r="NFM63" s="954"/>
      <c r="NFN63" s="954"/>
      <c r="NFO63" s="954"/>
      <c r="NFP63" s="954"/>
      <c r="NFQ63" s="954"/>
      <c r="NFR63" s="954"/>
      <c r="NFS63" s="954"/>
      <c r="NFT63" s="954"/>
      <c r="NFU63" s="954"/>
      <c r="NFV63" s="954"/>
      <c r="NFW63" s="954"/>
      <c r="NFX63" s="954"/>
      <c r="NFY63" s="954"/>
      <c r="NFZ63" s="954"/>
      <c r="NGA63" s="954"/>
      <c r="NGB63" s="954"/>
      <c r="NGC63" s="954"/>
      <c r="NGD63" s="954"/>
      <c r="NGE63" s="954"/>
      <c r="NGF63" s="954"/>
      <c r="NGG63" s="954"/>
      <c r="NGH63" s="954"/>
      <c r="NGI63" s="954"/>
      <c r="NGJ63" s="954"/>
      <c r="NGK63" s="954"/>
      <c r="NGL63" s="954"/>
      <c r="NGM63" s="954"/>
      <c r="NGN63" s="954"/>
      <c r="NGO63" s="954"/>
      <c r="NGP63" s="954"/>
      <c r="NGQ63" s="954"/>
      <c r="NGR63" s="954"/>
      <c r="NGS63" s="954"/>
      <c r="NGT63" s="954"/>
      <c r="NGU63" s="954"/>
      <c r="NGV63" s="954"/>
      <c r="NGW63" s="954"/>
      <c r="NGX63" s="954"/>
      <c r="NGY63" s="954"/>
      <c r="NGZ63" s="954"/>
      <c r="NHA63" s="954"/>
      <c r="NHB63" s="954"/>
      <c r="NHC63" s="954"/>
      <c r="NHD63" s="954"/>
      <c r="NHE63" s="954"/>
      <c r="NHF63" s="954"/>
      <c r="NHG63" s="954"/>
      <c r="NHH63" s="954"/>
      <c r="NHI63" s="954"/>
      <c r="NHJ63" s="954"/>
      <c r="NHK63" s="954"/>
      <c r="NHL63" s="954"/>
      <c r="NHM63" s="954"/>
      <c r="NHN63" s="954"/>
      <c r="NHO63" s="954"/>
      <c r="NHP63" s="954"/>
      <c r="NHQ63" s="954"/>
      <c r="NHR63" s="954"/>
      <c r="NHS63" s="954"/>
      <c r="NHT63" s="954"/>
      <c r="NHU63" s="954"/>
      <c r="NHV63" s="954"/>
      <c r="NHW63" s="954"/>
      <c r="NHX63" s="954"/>
      <c r="NHY63" s="954"/>
      <c r="NHZ63" s="954"/>
      <c r="NIA63" s="954"/>
      <c r="NIB63" s="954"/>
      <c r="NIC63" s="954"/>
      <c r="NID63" s="954"/>
      <c r="NIE63" s="954"/>
      <c r="NIF63" s="954"/>
      <c r="NIG63" s="954"/>
      <c r="NIH63" s="954"/>
      <c r="NII63" s="954"/>
      <c r="NIJ63" s="954"/>
      <c r="NIK63" s="954"/>
      <c r="NIL63" s="954"/>
      <c r="NIM63" s="954"/>
      <c r="NIN63" s="954"/>
      <c r="NIO63" s="954"/>
      <c r="NIP63" s="954"/>
      <c r="NIQ63" s="954"/>
      <c r="NIR63" s="954"/>
      <c r="NIS63" s="954"/>
      <c r="NIT63" s="954"/>
      <c r="NIU63" s="954"/>
      <c r="NIV63" s="954"/>
      <c r="NIW63" s="954"/>
      <c r="NIX63" s="954"/>
      <c r="NIY63" s="954"/>
      <c r="NIZ63" s="954"/>
      <c r="NJA63" s="954"/>
      <c r="NJB63" s="954"/>
      <c r="NJC63" s="954"/>
      <c r="NJD63" s="954"/>
      <c r="NJE63" s="954"/>
      <c r="NJF63" s="954"/>
      <c r="NJG63" s="954"/>
      <c r="NJH63" s="954"/>
      <c r="NJI63" s="954"/>
      <c r="NJJ63" s="954"/>
      <c r="NJK63" s="954"/>
      <c r="NJL63" s="954"/>
      <c r="NJM63" s="954"/>
      <c r="NJN63" s="954"/>
      <c r="NJO63" s="954"/>
      <c r="NJP63" s="954"/>
      <c r="NJQ63" s="954"/>
      <c r="NJR63" s="954"/>
      <c r="NJS63" s="954"/>
      <c r="NJT63" s="954"/>
      <c r="NJU63" s="954"/>
      <c r="NJV63" s="954"/>
      <c r="NJW63" s="954"/>
      <c r="NJX63" s="954"/>
      <c r="NJY63" s="954"/>
      <c r="NJZ63" s="954"/>
      <c r="NKA63" s="954"/>
      <c r="NKB63" s="954"/>
      <c r="NKC63" s="954"/>
      <c r="NKD63" s="954"/>
      <c r="NKE63" s="954"/>
      <c r="NKF63" s="954"/>
      <c r="NKG63" s="954"/>
      <c r="NKH63" s="954"/>
      <c r="NKI63" s="954"/>
      <c r="NKJ63" s="954"/>
      <c r="NKK63" s="954"/>
      <c r="NKL63" s="954"/>
      <c r="NKM63" s="954"/>
      <c r="NKN63" s="954"/>
      <c r="NKO63" s="954"/>
      <c r="NKP63" s="954"/>
      <c r="NKQ63" s="954"/>
      <c r="NKR63" s="954"/>
      <c r="NKS63" s="954"/>
      <c r="NKT63" s="954"/>
      <c r="NKU63" s="954"/>
      <c r="NKV63" s="954"/>
      <c r="NKW63" s="954"/>
      <c r="NKX63" s="954"/>
      <c r="NKY63" s="954"/>
      <c r="NKZ63" s="954"/>
      <c r="NLA63" s="954"/>
      <c r="NLB63" s="954"/>
      <c r="NLC63" s="954"/>
      <c r="NLD63" s="954"/>
      <c r="NLE63" s="954"/>
      <c r="NLF63" s="954"/>
      <c r="NLG63" s="954"/>
      <c r="NLH63" s="954"/>
      <c r="NLI63" s="954"/>
      <c r="NLJ63" s="954"/>
      <c r="NLK63" s="954"/>
      <c r="NLL63" s="954"/>
      <c r="NLM63" s="954"/>
      <c r="NLN63" s="954"/>
      <c r="NLO63" s="954"/>
      <c r="NLP63" s="954"/>
      <c r="NLQ63" s="954"/>
      <c r="NLR63" s="954"/>
      <c r="NLS63" s="954"/>
      <c r="NLT63" s="954"/>
      <c r="NLU63" s="954"/>
      <c r="NLV63" s="954"/>
      <c r="NLW63" s="954"/>
      <c r="NLX63" s="954"/>
      <c r="NLY63" s="954"/>
      <c r="NLZ63" s="954"/>
      <c r="NMA63" s="954"/>
      <c r="NMB63" s="954"/>
      <c r="NMC63" s="954"/>
      <c r="NMD63" s="954"/>
      <c r="NME63" s="954"/>
      <c r="NMF63" s="954"/>
      <c r="NMG63" s="954"/>
      <c r="NMH63" s="954"/>
      <c r="NMI63" s="954"/>
      <c r="NMJ63" s="954"/>
      <c r="NMK63" s="954"/>
      <c r="NML63" s="954"/>
      <c r="NMM63" s="954"/>
      <c r="NMN63" s="954"/>
      <c r="NMO63" s="954"/>
      <c r="NMP63" s="954"/>
      <c r="NMQ63" s="954"/>
      <c r="NMR63" s="954"/>
      <c r="NMS63" s="954"/>
      <c r="NMT63" s="954"/>
      <c r="NMU63" s="954"/>
      <c r="NMV63" s="954"/>
      <c r="NMW63" s="954"/>
      <c r="NMX63" s="954"/>
      <c r="NMY63" s="954"/>
      <c r="NMZ63" s="954"/>
      <c r="NNA63" s="954"/>
      <c r="NNB63" s="954"/>
      <c r="NNC63" s="954"/>
      <c r="NND63" s="954"/>
      <c r="NNE63" s="954"/>
      <c r="NNF63" s="954"/>
      <c r="NNG63" s="954"/>
      <c r="NNH63" s="954"/>
      <c r="NNI63" s="954"/>
      <c r="NNJ63" s="954"/>
      <c r="NNK63" s="954"/>
      <c r="NNL63" s="954"/>
      <c r="NNM63" s="954"/>
      <c r="NNN63" s="954"/>
      <c r="NNO63" s="954"/>
      <c r="NNP63" s="954"/>
      <c r="NNQ63" s="954"/>
      <c r="NNR63" s="954"/>
      <c r="NNS63" s="954"/>
      <c r="NNT63" s="954"/>
      <c r="NNU63" s="954"/>
      <c r="NNV63" s="954"/>
      <c r="NNW63" s="954"/>
      <c r="NNX63" s="954"/>
      <c r="NNY63" s="954"/>
      <c r="NNZ63" s="954"/>
      <c r="NOA63" s="954"/>
      <c r="NOB63" s="954"/>
      <c r="NOC63" s="954"/>
      <c r="NOD63" s="954"/>
      <c r="NOE63" s="954"/>
      <c r="NOF63" s="954"/>
      <c r="NOG63" s="954"/>
      <c r="NOH63" s="954"/>
      <c r="NOI63" s="954"/>
      <c r="NOJ63" s="954"/>
      <c r="NOK63" s="954"/>
      <c r="NOL63" s="954"/>
      <c r="NOM63" s="954"/>
      <c r="NON63" s="954"/>
      <c r="NOO63" s="954"/>
      <c r="NOP63" s="954"/>
      <c r="NOQ63" s="954"/>
      <c r="NOR63" s="954"/>
      <c r="NOS63" s="954"/>
      <c r="NOT63" s="954"/>
      <c r="NOU63" s="954"/>
      <c r="NOV63" s="954"/>
      <c r="NOW63" s="954"/>
      <c r="NOX63" s="954"/>
      <c r="NOY63" s="954"/>
      <c r="NOZ63" s="954"/>
      <c r="NPA63" s="954"/>
      <c r="NPB63" s="954"/>
      <c r="NPC63" s="954"/>
      <c r="NPD63" s="954"/>
      <c r="NPE63" s="954"/>
      <c r="NPF63" s="954"/>
      <c r="NPG63" s="954"/>
      <c r="NPH63" s="954"/>
      <c r="NPI63" s="954"/>
      <c r="NPJ63" s="954"/>
      <c r="NPK63" s="954"/>
      <c r="NPL63" s="954"/>
      <c r="NPM63" s="954"/>
      <c r="NPN63" s="954"/>
      <c r="NPO63" s="954"/>
      <c r="NPP63" s="954"/>
      <c r="NPQ63" s="954"/>
      <c r="NPR63" s="954"/>
      <c r="NPS63" s="954"/>
      <c r="NPT63" s="954"/>
      <c r="NPU63" s="954"/>
      <c r="NPV63" s="954"/>
      <c r="NPW63" s="954"/>
      <c r="NPX63" s="954"/>
      <c r="NPY63" s="954"/>
      <c r="NPZ63" s="954"/>
      <c r="NQA63" s="954"/>
      <c r="NQB63" s="954"/>
      <c r="NQC63" s="954"/>
      <c r="NQD63" s="954"/>
      <c r="NQE63" s="954"/>
      <c r="NQF63" s="954"/>
      <c r="NQG63" s="954"/>
      <c r="NQH63" s="954"/>
      <c r="NQI63" s="954"/>
      <c r="NQJ63" s="954"/>
      <c r="NQK63" s="954"/>
      <c r="NQL63" s="954"/>
      <c r="NQM63" s="954"/>
      <c r="NQN63" s="954"/>
      <c r="NQO63" s="954"/>
      <c r="NQP63" s="954"/>
      <c r="NQQ63" s="954"/>
      <c r="NQR63" s="954"/>
      <c r="NQS63" s="954"/>
      <c r="NQT63" s="954"/>
      <c r="NQU63" s="954"/>
      <c r="NQV63" s="954"/>
      <c r="NQW63" s="954"/>
      <c r="NQX63" s="954"/>
      <c r="NQY63" s="954"/>
      <c r="NQZ63" s="954"/>
      <c r="NRA63" s="954"/>
      <c r="NRB63" s="954"/>
      <c r="NRC63" s="954"/>
      <c r="NRD63" s="954"/>
      <c r="NRE63" s="954"/>
      <c r="NRF63" s="954"/>
      <c r="NRG63" s="954"/>
      <c r="NRH63" s="954"/>
      <c r="NRI63" s="954"/>
      <c r="NRJ63" s="954"/>
      <c r="NRK63" s="954"/>
      <c r="NRL63" s="954"/>
      <c r="NRM63" s="954"/>
      <c r="NRN63" s="954"/>
      <c r="NRO63" s="954"/>
      <c r="NRP63" s="954"/>
      <c r="NRQ63" s="954"/>
      <c r="NRR63" s="954"/>
      <c r="NRS63" s="954"/>
      <c r="NRT63" s="954"/>
      <c r="NRU63" s="954"/>
      <c r="NRV63" s="954"/>
      <c r="NRW63" s="954"/>
      <c r="NRX63" s="954"/>
      <c r="NRY63" s="954"/>
      <c r="NRZ63" s="954"/>
      <c r="NSA63" s="954"/>
      <c r="NSB63" s="954"/>
      <c r="NSC63" s="954"/>
      <c r="NSD63" s="954"/>
      <c r="NSE63" s="954"/>
      <c r="NSF63" s="954"/>
      <c r="NSG63" s="954"/>
      <c r="NSH63" s="954"/>
      <c r="NSI63" s="954"/>
      <c r="NSJ63" s="954"/>
      <c r="NSK63" s="954"/>
      <c r="NSL63" s="954"/>
      <c r="NSM63" s="954"/>
      <c r="NSN63" s="954"/>
      <c r="NSO63" s="954"/>
      <c r="NSP63" s="954"/>
      <c r="NSQ63" s="954"/>
      <c r="NSR63" s="954"/>
      <c r="NSS63" s="954"/>
      <c r="NST63" s="954"/>
      <c r="NSU63" s="954"/>
      <c r="NSV63" s="954"/>
      <c r="NSW63" s="954"/>
      <c r="NSX63" s="954"/>
      <c r="NSY63" s="954"/>
      <c r="NSZ63" s="954"/>
      <c r="NTA63" s="954"/>
      <c r="NTB63" s="954"/>
      <c r="NTC63" s="954"/>
      <c r="NTD63" s="954"/>
      <c r="NTE63" s="954"/>
      <c r="NTF63" s="954"/>
      <c r="NTG63" s="954"/>
      <c r="NTH63" s="954"/>
      <c r="NTI63" s="954"/>
      <c r="NTJ63" s="954"/>
      <c r="NTK63" s="954"/>
      <c r="NTL63" s="954"/>
      <c r="NTM63" s="954"/>
      <c r="NTN63" s="954"/>
      <c r="NTO63" s="954"/>
      <c r="NTP63" s="954"/>
      <c r="NTQ63" s="954"/>
      <c r="NTR63" s="954"/>
      <c r="NTS63" s="954"/>
      <c r="NTT63" s="954"/>
      <c r="NTU63" s="954"/>
      <c r="NTV63" s="954"/>
      <c r="NTW63" s="954"/>
      <c r="NTX63" s="954"/>
      <c r="NTY63" s="954"/>
      <c r="NTZ63" s="954"/>
      <c r="NUA63" s="954"/>
      <c r="NUB63" s="954"/>
      <c r="NUC63" s="954"/>
      <c r="NUD63" s="954"/>
      <c r="NUE63" s="954"/>
      <c r="NUF63" s="954"/>
      <c r="NUG63" s="954"/>
      <c r="NUH63" s="954"/>
      <c r="NUI63" s="954"/>
      <c r="NUJ63" s="954"/>
      <c r="NUK63" s="954"/>
      <c r="NUL63" s="954"/>
      <c r="NUM63" s="954"/>
      <c r="NUN63" s="954"/>
      <c r="NUO63" s="954"/>
      <c r="NUP63" s="954"/>
      <c r="NUQ63" s="954"/>
      <c r="NUR63" s="954"/>
      <c r="NUS63" s="954"/>
      <c r="NUT63" s="954"/>
      <c r="NUU63" s="954"/>
      <c r="NUV63" s="954"/>
      <c r="NUW63" s="954"/>
      <c r="NUX63" s="954"/>
      <c r="NUY63" s="954"/>
      <c r="NUZ63" s="954"/>
      <c r="NVA63" s="954"/>
      <c r="NVB63" s="954"/>
      <c r="NVC63" s="954"/>
      <c r="NVD63" s="954"/>
      <c r="NVE63" s="954"/>
      <c r="NVF63" s="954"/>
      <c r="NVG63" s="954"/>
      <c r="NVH63" s="954"/>
      <c r="NVI63" s="954"/>
      <c r="NVJ63" s="954"/>
      <c r="NVK63" s="954"/>
      <c r="NVL63" s="954"/>
      <c r="NVM63" s="954"/>
      <c r="NVN63" s="954"/>
      <c r="NVO63" s="954"/>
      <c r="NVP63" s="954"/>
      <c r="NVQ63" s="954"/>
      <c r="NVR63" s="954"/>
      <c r="NVS63" s="954"/>
      <c r="NVT63" s="954"/>
      <c r="NVU63" s="954"/>
      <c r="NVV63" s="954"/>
      <c r="NVW63" s="954"/>
      <c r="NVX63" s="954"/>
      <c r="NVY63" s="954"/>
      <c r="NVZ63" s="954"/>
      <c r="NWA63" s="954"/>
      <c r="NWB63" s="954"/>
      <c r="NWC63" s="954"/>
      <c r="NWD63" s="954"/>
      <c r="NWE63" s="954"/>
      <c r="NWF63" s="954"/>
      <c r="NWG63" s="954"/>
      <c r="NWH63" s="954"/>
      <c r="NWI63" s="954"/>
      <c r="NWJ63" s="954"/>
      <c r="NWK63" s="954"/>
      <c r="NWL63" s="954"/>
      <c r="NWM63" s="954"/>
      <c r="NWN63" s="954"/>
      <c r="NWO63" s="954"/>
      <c r="NWP63" s="954"/>
      <c r="NWQ63" s="954"/>
      <c r="NWR63" s="954"/>
      <c r="NWS63" s="954"/>
      <c r="NWT63" s="954"/>
      <c r="NWU63" s="954"/>
      <c r="NWV63" s="954"/>
      <c r="NWW63" s="954"/>
      <c r="NWX63" s="954"/>
      <c r="NWY63" s="954"/>
      <c r="NWZ63" s="954"/>
      <c r="NXA63" s="954"/>
      <c r="NXB63" s="954"/>
      <c r="NXC63" s="954"/>
      <c r="NXD63" s="954"/>
      <c r="NXE63" s="954"/>
      <c r="NXF63" s="954"/>
      <c r="NXG63" s="954"/>
      <c r="NXH63" s="954"/>
      <c r="NXI63" s="954"/>
      <c r="NXJ63" s="954"/>
      <c r="NXK63" s="954"/>
      <c r="NXL63" s="954"/>
      <c r="NXM63" s="954"/>
      <c r="NXN63" s="954"/>
      <c r="NXO63" s="954"/>
      <c r="NXP63" s="954"/>
      <c r="NXQ63" s="954"/>
      <c r="NXR63" s="954"/>
      <c r="NXS63" s="954"/>
      <c r="NXT63" s="954"/>
      <c r="NXU63" s="954"/>
      <c r="NXV63" s="954"/>
      <c r="NXW63" s="954"/>
      <c r="NXX63" s="954"/>
      <c r="NXY63" s="954"/>
      <c r="NXZ63" s="954"/>
      <c r="NYA63" s="954"/>
      <c r="NYB63" s="954"/>
      <c r="NYC63" s="954"/>
      <c r="NYD63" s="954"/>
      <c r="NYE63" s="954"/>
      <c r="NYF63" s="954"/>
      <c r="NYG63" s="954"/>
      <c r="NYH63" s="954"/>
      <c r="NYI63" s="954"/>
      <c r="NYJ63" s="954"/>
      <c r="NYK63" s="954"/>
      <c r="NYL63" s="954"/>
      <c r="NYM63" s="954"/>
      <c r="NYN63" s="954"/>
      <c r="NYO63" s="954"/>
      <c r="NYP63" s="954"/>
      <c r="NYQ63" s="954"/>
      <c r="NYR63" s="954"/>
      <c r="NYS63" s="954"/>
      <c r="NYT63" s="954"/>
      <c r="NYU63" s="954"/>
      <c r="NYV63" s="954"/>
      <c r="NYW63" s="954"/>
      <c r="NYX63" s="954"/>
      <c r="NYY63" s="954"/>
      <c r="NYZ63" s="954"/>
      <c r="NZA63" s="954"/>
      <c r="NZB63" s="954"/>
      <c r="NZC63" s="954"/>
      <c r="NZD63" s="954"/>
      <c r="NZE63" s="954"/>
      <c r="NZF63" s="954"/>
      <c r="NZG63" s="954"/>
      <c r="NZH63" s="954"/>
      <c r="NZI63" s="954"/>
      <c r="NZJ63" s="954"/>
      <c r="NZK63" s="954"/>
      <c r="NZL63" s="954"/>
      <c r="NZM63" s="954"/>
      <c r="NZN63" s="954"/>
      <c r="NZO63" s="954"/>
      <c r="NZP63" s="954"/>
      <c r="NZQ63" s="954"/>
      <c r="NZR63" s="954"/>
      <c r="NZS63" s="954"/>
      <c r="NZT63" s="954"/>
      <c r="NZU63" s="954"/>
      <c r="NZV63" s="954"/>
      <c r="NZW63" s="954"/>
      <c r="NZX63" s="954"/>
      <c r="NZY63" s="954"/>
      <c r="NZZ63" s="954"/>
      <c r="OAA63" s="954"/>
      <c r="OAB63" s="954"/>
      <c r="OAC63" s="954"/>
      <c r="OAD63" s="954"/>
      <c r="OAE63" s="954"/>
      <c r="OAF63" s="954"/>
      <c r="OAG63" s="954"/>
      <c r="OAH63" s="954"/>
      <c r="OAI63" s="954"/>
      <c r="OAJ63" s="954"/>
      <c r="OAK63" s="954"/>
      <c r="OAL63" s="954"/>
      <c r="OAM63" s="954"/>
      <c r="OAN63" s="954"/>
      <c r="OAO63" s="954"/>
      <c r="OAP63" s="954"/>
      <c r="OAQ63" s="954"/>
      <c r="OAR63" s="954"/>
      <c r="OAS63" s="954"/>
      <c r="OAT63" s="954"/>
      <c r="OAU63" s="954"/>
      <c r="OAV63" s="954"/>
      <c r="OAW63" s="954"/>
      <c r="OAX63" s="954"/>
      <c r="OAY63" s="954"/>
      <c r="OAZ63" s="954"/>
      <c r="OBA63" s="954"/>
      <c r="OBB63" s="954"/>
      <c r="OBC63" s="954"/>
      <c r="OBD63" s="954"/>
      <c r="OBE63" s="954"/>
      <c r="OBF63" s="954"/>
      <c r="OBG63" s="954"/>
      <c r="OBH63" s="954"/>
      <c r="OBI63" s="954"/>
      <c r="OBJ63" s="954"/>
      <c r="OBK63" s="954"/>
      <c r="OBL63" s="954"/>
      <c r="OBM63" s="954"/>
      <c r="OBN63" s="954"/>
      <c r="OBO63" s="954"/>
      <c r="OBP63" s="954"/>
      <c r="OBQ63" s="954"/>
      <c r="OBR63" s="954"/>
      <c r="OBS63" s="954"/>
      <c r="OBT63" s="954"/>
      <c r="OBU63" s="954"/>
      <c r="OBV63" s="954"/>
      <c r="OBW63" s="954"/>
      <c r="OBX63" s="954"/>
      <c r="OBY63" s="954"/>
      <c r="OBZ63" s="954"/>
      <c r="OCA63" s="954"/>
      <c r="OCB63" s="954"/>
      <c r="OCC63" s="954"/>
      <c r="OCD63" s="954"/>
      <c r="OCE63" s="954"/>
      <c r="OCF63" s="954"/>
      <c r="OCG63" s="954"/>
      <c r="OCH63" s="954"/>
      <c r="OCI63" s="954"/>
      <c r="OCJ63" s="954"/>
      <c r="OCK63" s="954"/>
      <c r="OCL63" s="954"/>
      <c r="OCM63" s="954"/>
      <c r="OCN63" s="954"/>
      <c r="OCO63" s="954"/>
      <c r="OCP63" s="954"/>
      <c r="OCQ63" s="954"/>
      <c r="OCR63" s="954"/>
      <c r="OCS63" s="954"/>
      <c r="OCT63" s="954"/>
      <c r="OCU63" s="954"/>
      <c r="OCV63" s="954"/>
      <c r="OCW63" s="954"/>
      <c r="OCX63" s="954"/>
      <c r="OCY63" s="954"/>
      <c r="OCZ63" s="954"/>
      <c r="ODA63" s="954"/>
      <c r="ODB63" s="954"/>
      <c r="ODC63" s="954"/>
      <c r="ODD63" s="954"/>
      <c r="ODE63" s="954"/>
      <c r="ODF63" s="954"/>
      <c r="ODG63" s="954"/>
      <c r="ODH63" s="954"/>
      <c r="ODI63" s="954"/>
      <c r="ODJ63" s="954"/>
      <c r="ODK63" s="954"/>
      <c r="ODL63" s="954"/>
      <c r="ODM63" s="954"/>
      <c r="ODN63" s="954"/>
      <c r="ODO63" s="954"/>
      <c r="ODP63" s="954"/>
      <c r="ODQ63" s="954"/>
      <c r="ODR63" s="954"/>
      <c r="ODS63" s="954"/>
      <c r="ODT63" s="954"/>
      <c r="ODU63" s="954"/>
      <c r="ODV63" s="954"/>
      <c r="ODW63" s="954"/>
      <c r="ODX63" s="954"/>
      <c r="ODY63" s="954"/>
      <c r="ODZ63" s="954"/>
      <c r="OEA63" s="954"/>
      <c r="OEB63" s="954"/>
      <c r="OEC63" s="954"/>
      <c r="OED63" s="954"/>
      <c r="OEE63" s="954"/>
      <c r="OEF63" s="954"/>
      <c r="OEG63" s="954"/>
      <c r="OEH63" s="954"/>
      <c r="OEI63" s="954"/>
      <c r="OEJ63" s="954"/>
      <c r="OEK63" s="954"/>
      <c r="OEL63" s="954"/>
      <c r="OEM63" s="954"/>
      <c r="OEN63" s="954"/>
      <c r="OEO63" s="954"/>
      <c r="OEP63" s="954"/>
      <c r="OEQ63" s="954"/>
      <c r="OER63" s="954"/>
      <c r="OES63" s="954"/>
      <c r="OET63" s="954"/>
      <c r="OEU63" s="954"/>
      <c r="OEV63" s="954"/>
      <c r="OEW63" s="954"/>
      <c r="OEX63" s="954"/>
      <c r="OEY63" s="954"/>
      <c r="OEZ63" s="954"/>
      <c r="OFA63" s="954"/>
      <c r="OFB63" s="954"/>
      <c r="OFC63" s="954"/>
      <c r="OFD63" s="954"/>
      <c r="OFE63" s="954"/>
      <c r="OFF63" s="954"/>
      <c r="OFG63" s="954"/>
      <c r="OFH63" s="954"/>
      <c r="OFI63" s="954"/>
      <c r="OFJ63" s="954"/>
      <c r="OFK63" s="954"/>
      <c r="OFL63" s="954"/>
      <c r="OFM63" s="954"/>
      <c r="OFN63" s="954"/>
      <c r="OFO63" s="954"/>
      <c r="OFP63" s="954"/>
      <c r="OFQ63" s="954"/>
      <c r="OFR63" s="954"/>
      <c r="OFS63" s="954"/>
      <c r="OFT63" s="954"/>
      <c r="OFU63" s="954"/>
      <c r="OFV63" s="954"/>
      <c r="OFW63" s="954"/>
      <c r="OFX63" s="954"/>
      <c r="OFY63" s="954"/>
      <c r="OFZ63" s="954"/>
      <c r="OGA63" s="954"/>
      <c r="OGB63" s="954"/>
      <c r="OGC63" s="954"/>
      <c r="OGD63" s="954"/>
      <c r="OGE63" s="954"/>
      <c r="OGF63" s="954"/>
      <c r="OGG63" s="954"/>
      <c r="OGH63" s="954"/>
      <c r="OGI63" s="954"/>
      <c r="OGJ63" s="954"/>
      <c r="OGK63" s="954"/>
      <c r="OGL63" s="954"/>
      <c r="OGM63" s="954"/>
      <c r="OGN63" s="954"/>
      <c r="OGO63" s="954"/>
      <c r="OGP63" s="954"/>
      <c r="OGQ63" s="954"/>
      <c r="OGR63" s="954"/>
      <c r="OGS63" s="954"/>
      <c r="OGT63" s="954"/>
      <c r="OGU63" s="954"/>
      <c r="OGV63" s="954"/>
      <c r="OGW63" s="954"/>
      <c r="OGX63" s="954"/>
      <c r="OGY63" s="954"/>
      <c r="OGZ63" s="954"/>
      <c r="OHA63" s="954"/>
      <c r="OHB63" s="954"/>
      <c r="OHC63" s="954"/>
      <c r="OHD63" s="954"/>
      <c r="OHE63" s="954"/>
      <c r="OHF63" s="954"/>
      <c r="OHG63" s="954"/>
      <c r="OHH63" s="954"/>
      <c r="OHI63" s="954"/>
      <c r="OHJ63" s="954"/>
      <c r="OHK63" s="954"/>
      <c r="OHL63" s="954"/>
      <c r="OHM63" s="954"/>
      <c r="OHN63" s="954"/>
      <c r="OHO63" s="954"/>
      <c r="OHP63" s="954"/>
      <c r="OHQ63" s="954"/>
      <c r="OHR63" s="954"/>
      <c r="OHS63" s="954"/>
      <c r="OHT63" s="954"/>
      <c r="OHU63" s="954"/>
      <c r="OHV63" s="954"/>
      <c r="OHW63" s="954"/>
      <c r="OHX63" s="954"/>
      <c r="OHY63" s="954"/>
      <c r="OHZ63" s="954"/>
      <c r="OIA63" s="954"/>
      <c r="OIB63" s="954"/>
      <c r="OIC63" s="954"/>
      <c r="OID63" s="954"/>
      <c r="OIE63" s="954"/>
      <c r="OIF63" s="954"/>
      <c r="OIG63" s="954"/>
      <c r="OIH63" s="954"/>
      <c r="OII63" s="954"/>
      <c r="OIJ63" s="954"/>
      <c r="OIK63" s="954"/>
      <c r="OIL63" s="954"/>
      <c r="OIM63" s="954"/>
      <c r="OIN63" s="954"/>
      <c r="OIO63" s="954"/>
      <c r="OIP63" s="954"/>
      <c r="OIQ63" s="954"/>
      <c r="OIR63" s="954"/>
      <c r="OIS63" s="954"/>
      <c r="OIT63" s="954"/>
      <c r="OIU63" s="954"/>
      <c r="OIV63" s="954"/>
      <c r="OIW63" s="954"/>
      <c r="OIX63" s="954"/>
      <c r="OIY63" s="954"/>
      <c r="OIZ63" s="954"/>
      <c r="OJA63" s="954"/>
      <c r="OJB63" s="954"/>
      <c r="OJC63" s="954"/>
      <c r="OJD63" s="954"/>
      <c r="OJE63" s="954"/>
      <c r="OJF63" s="954"/>
      <c r="OJG63" s="954"/>
      <c r="OJH63" s="954"/>
      <c r="OJI63" s="954"/>
      <c r="OJJ63" s="954"/>
      <c r="OJK63" s="954"/>
      <c r="OJL63" s="954"/>
      <c r="OJM63" s="954"/>
      <c r="OJN63" s="954"/>
      <c r="OJO63" s="954"/>
      <c r="OJP63" s="954"/>
      <c r="OJQ63" s="954"/>
      <c r="OJR63" s="954"/>
      <c r="OJS63" s="954"/>
      <c r="OJT63" s="954"/>
      <c r="OJU63" s="954"/>
      <c r="OJV63" s="954"/>
      <c r="OJW63" s="954"/>
      <c r="OJX63" s="954"/>
      <c r="OJY63" s="954"/>
      <c r="OJZ63" s="954"/>
      <c r="OKA63" s="954"/>
      <c r="OKB63" s="954"/>
      <c r="OKC63" s="954"/>
      <c r="OKD63" s="954"/>
      <c r="OKE63" s="954"/>
      <c r="OKF63" s="954"/>
      <c r="OKG63" s="954"/>
      <c r="OKH63" s="954"/>
      <c r="OKI63" s="954"/>
      <c r="OKJ63" s="954"/>
      <c r="OKK63" s="954"/>
      <c r="OKL63" s="954"/>
      <c r="OKM63" s="954"/>
      <c r="OKN63" s="954"/>
      <c r="OKO63" s="954"/>
      <c r="OKP63" s="954"/>
      <c r="OKQ63" s="954"/>
      <c r="OKR63" s="954"/>
      <c r="OKS63" s="954"/>
      <c r="OKT63" s="954"/>
      <c r="OKU63" s="954"/>
      <c r="OKV63" s="954"/>
      <c r="OKW63" s="954"/>
      <c r="OKX63" s="954"/>
      <c r="OKY63" s="954"/>
      <c r="OKZ63" s="954"/>
      <c r="OLA63" s="954"/>
      <c r="OLB63" s="954"/>
      <c r="OLC63" s="954"/>
      <c r="OLD63" s="954"/>
      <c r="OLE63" s="954"/>
      <c r="OLF63" s="954"/>
      <c r="OLG63" s="954"/>
      <c r="OLH63" s="954"/>
      <c r="OLI63" s="954"/>
      <c r="OLJ63" s="954"/>
      <c r="OLK63" s="954"/>
      <c r="OLL63" s="954"/>
      <c r="OLM63" s="954"/>
      <c r="OLN63" s="954"/>
      <c r="OLO63" s="954"/>
      <c r="OLP63" s="954"/>
      <c r="OLQ63" s="954"/>
      <c r="OLR63" s="954"/>
      <c r="OLS63" s="954"/>
      <c r="OLT63" s="954"/>
      <c r="OLU63" s="954"/>
      <c r="OLV63" s="954"/>
      <c r="OLW63" s="954"/>
      <c r="OLX63" s="954"/>
      <c r="OLY63" s="954"/>
      <c r="OLZ63" s="954"/>
      <c r="OMA63" s="954"/>
      <c r="OMB63" s="954"/>
      <c r="OMC63" s="954"/>
      <c r="OMD63" s="954"/>
      <c r="OME63" s="954"/>
      <c r="OMF63" s="954"/>
      <c r="OMG63" s="954"/>
      <c r="OMH63" s="954"/>
      <c r="OMI63" s="954"/>
      <c r="OMJ63" s="954"/>
      <c r="OMK63" s="954"/>
      <c r="OML63" s="954"/>
      <c r="OMM63" s="954"/>
      <c r="OMN63" s="954"/>
      <c r="OMO63" s="954"/>
      <c r="OMP63" s="954"/>
      <c r="OMQ63" s="954"/>
      <c r="OMR63" s="954"/>
      <c r="OMS63" s="954"/>
      <c r="OMT63" s="954"/>
      <c r="OMU63" s="954"/>
      <c r="OMV63" s="954"/>
      <c r="OMW63" s="954"/>
      <c r="OMX63" s="954"/>
      <c r="OMY63" s="954"/>
      <c r="OMZ63" s="954"/>
      <c r="ONA63" s="954"/>
      <c r="ONB63" s="954"/>
      <c r="ONC63" s="954"/>
      <c r="OND63" s="954"/>
      <c r="ONE63" s="954"/>
      <c r="ONF63" s="954"/>
      <c r="ONG63" s="954"/>
      <c r="ONH63" s="954"/>
      <c r="ONI63" s="954"/>
      <c r="ONJ63" s="954"/>
      <c r="ONK63" s="954"/>
      <c r="ONL63" s="954"/>
      <c r="ONM63" s="954"/>
      <c r="ONN63" s="954"/>
      <c r="ONO63" s="954"/>
      <c r="ONP63" s="954"/>
      <c r="ONQ63" s="954"/>
      <c r="ONR63" s="954"/>
      <c r="ONS63" s="954"/>
      <c r="ONT63" s="954"/>
      <c r="ONU63" s="954"/>
      <c r="ONV63" s="954"/>
      <c r="ONW63" s="954"/>
      <c r="ONX63" s="954"/>
      <c r="ONY63" s="954"/>
      <c r="ONZ63" s="954"/>
      <c r="OOA63" s="954"/>
      <c r="OOB63" s="954"/>
      <c r="OOC63" s="954"/>
      <c r="OOD63" s="954"/>
      <c r="OOE63" s="954"/>
      <c r="OOF63" s="954"/>
      <c r="OOG63" s="954"/>
      <c r="OOH63" s="954"/>
      <c r="OOI63" s="954"/>
      <c r="OOJ63" s="954"/>
      <c r="OOK63" s="954"/>
      <c r="OOL63" s="954"/>
      <c r="OOM63" s="954"/>
      <c r="OON63" s="954"/>
      <c r="OOO63" s="954"/>
      <c r="OOP63" s="954"/>
      <c r="OOQ63" s="954"/>
      <c r="OOR63" s="954"/>
      <c r="OOS63" s="954"/>
      <c r="OOT63" s="954"/>
      <c r="OOU63" s="954"/>
      <c r="OOV63" s="954"/>
      <c r="OOW63" s="954"/>
      <c r="OOX63" s="954"/>
      <c r="OOY63" s="954"/>
      <c r="OOZ63" s="954"/>
      <c r="OPA63" s="954"/>
      <c r="OPB63" s="954"/>
      <c r="OPC63" s="954"/>
      <c r="OPD63" s="954"/>
      <c r="OPE63" s="954"/>
      <c r="OPF63" s="954"/>
      <c r="OPG63" s="954"/>
      <c r="OPH63" s="954"/>
      <c r="OPI63" s="954"/>
      <c r="OPJ63" s="954"/>
      <c r="OPK63" s="954"/>
      <c r="OPL63" s="954"/>
      <c r="OPM63" s="954"/>
      <c r="OPN63" s="954"/>
      <c r="OPO63" s="954"/>
      <c r="OPP63" s="954"/>
      <c r="OPQ63" s="954"/>
      <c r="OPR63" s="954"/>
      <c r="OPS63" s="954"/>
      <c r="OPT63" s="954"/>
      <c r="OPU63" s="954"/>
      <c r="OPV63" s="954"/>
      <c r="OPW63" s="954"/>
      <c r="OPX63" s="954"/>
      <c r="OPY63" s="954"/>
      <c r="OPZ63" s="954"/>
      <c r="OQA63" s="954"/>
      <c r="OQB63" s="954"/>
      <c r="OQC63" s="954"/>
      <c r="OQD63" s="954"/>
      <c r="OQE63" s="954"/>
      <c r="OQF63" s="954"/>
      <c r="OQG63" s="954"/>
      <c r="OQH63" s="954"/>
      <c r="OQI63" s="954"/>
      <c r="OQJ63" s="954"/>
      <c r="OQK63" s="954"/>
      <c r="OQL63" s="954"/>
      <c r="OQM63" s="954"/>
      <c r="OQN63" s="954"/>
      <c r="OQO63" s="954"/>
      <c r="OQP63" s="954"/>
      <c r="OQQ63" s="954"/>
      <c r="OQR63" s="954"/>
      <c r="OQS63" s="954"/>
      <c r="OQT63" s="954"/>
      <c r="OQU63" s="954"/>
      <c r="OQV63" s="954"/>
      <c r="OQW63" s="954"/>
      <c r="OQX63" s="954"/>
      <c r="OQY63" s="954"/>
      <c r="OQZ63" s="954"/>
      <c r="ORA63" s="954"/>
      <c r="ORB63" s="954"/>
      <c r="ORC63" s="954"/>
      <c r="ORD63" s="954"/>
      <c r="ORE63" s="954"/>
      <c r="ORF63" s="954"/>
      <c r="ORG63" s="954"/>
      <c r="ORH63" s="954"/>
      <c r="ORI63" s="954"/>
      <c r="ORJ63" s="954"/>
      <c r="ORK63" s="954"/>
      <c r="ORL63" s="954"/>
      <c r="ORM63" s="954"/>
      <c r="ORN63" s="954"/>
      <c r="ORO63" s="954"/>
      <c r="ORP63" s="954"/>
      <c r="ORQ63" s="954"/>
      <c r="ORR63" s="954"/>
      <c r="ORS63" s="954"/>
      <c r="ORT63" s="954"/>
      <c r="ORU63" s="954"/>
      <c r="ORV63" s="954"/>
      <c r="ORW63" s="954"/>
      <c r="ORX63" s="954"/>
      <c r="ORY63" s="954"/>
      <c r="ORZ63" s="954"/>
      <c r="OSA63" s="954"/>
      <c r="OSB63" s="954"/>
      <c r="OSC63" s="954"/>
      <c r="OSD63" s="954"/>
      <c r="OSE63" s="954"/>
      <c r="OSF63" s="954"/>
      <c r="OSG63" s="954"/>
      <c r="OSH63" s="954"/>
      <c r="OSI63" s="954"/>
      <c r="OSJ63" s="954"/>
      <c r="OSK63" s="954"/>
      <c r="OSL63" s="954"/>
      <c r="OSM63" s="954"/>
      <c r="OSN63" s="954"/>
      <c r="OSO63" s="954"/>
      <c r="OSP63" s="954"/>
      <c r="OSQ63" s="954"/>
      <c r="OSR63" s="954"/>
      <c r="OSS63" s="954"/>
      <c r="OST63" s="954"/>
      <c r="OSU63" s="954"/>
      <c r="OSV63" s="954"/>
      <c r="OSW63" s="954"/>
      <c r="OSX63" s="954"/>
      <c r="OSY63" s="954"/>
      <c r="OSZ63" s="954"/>
      <c r="OTA63" s="954"/>
      <c r="OTB63" s="954"/>
      <c r="OTC63" s="954"/>
      <c r="OTD63" s="954"/>
      <c r="OTE63" s="954"/>
      <c r="OTF63" s="954"/>
      <c r="OTG63" s="954"/>
      <c r="OTH63" s="954"/>
      <c r="OTI63" s="954"/>
      <c r="OTJ63" s="954"/>
      <c r="OTK63" s="954"/>
      <c r="OTL63" s="954"/>
      <c r="OTM63" s="954"/>
      <c r="OTN63" s="954"/>
      <c r="OTO63" s="954"/>
      <c r="OTP63" s="954"/>
      <c r="OTQ63" s="954"/>
      <c r="OTR63" s="954"/>
      <c r="OTS63" s="954"/>
      <c r="OTT63" s="954"/>
      <c r="OTU63" s="954"/>
      <c r="OTV63" s="954"/>
      <c r="OTW63" s="954"/>
      <c r="OTX63" s="954"/>
      <c r="OTY63" s="954"/>
      <c r="OTZ63" s="954"/>
      <c r="OUA63" s="954"/>
      <c r="OUB63" s="954"/>
      <c r="OUC63" s="954"/>
      <c r="OUD63" s="954"/>
      <c r="OUE63" s="954"/>
      <c r="OUF63" s="954"/>
      <c r="OUG63" s="954"/>
      <c r="OUH63" s="954"/>
      <c r="OUI63" s="954"/>
      <c r="OUJ63" s="954"/>
      <c r="OUK63" s="954"/>
      <c r="OUL63" s="954"/>
      <c r="OUM63" s="954"/>
      <c r="OUN63" s="954"/>
      <c r="OUO63" s="954"/>
      <c r="OUP63" s="954"/>
      <c r="OUQ63" s="954"/>
      <c r="OUR63" s="954"/>
      <c r="OUS63" s="954"/>
      <c r="OUT63" s="954"/>
      <c r="OUU63" s="954"/>
      <c r="OUV63" s="954"/>
      <c r="OUW63" s="954"/>
      <c r="OUX63" s="954"/>
      <c r="OUY63" s="954"/>
      <c r="OUZ63" s="954"/>
      <c r="OVA63" s="954"/>
      <c r="OVB63" s="954"/>
      <c r="OVC63" s="954"/>
      <c r="OVD63" s="954"/>
      <c r="OVE63" s="954"/>
      <c r="OVF63" s="954"/>
      <c r="OVG63" s="954"/>
      <c r="OVH63" s="954"/>
      <c r="OVI63" s="954"/>
      <c r="OVJ63" s="954"/>
      <c r="OVK63" s="954"/>
      <c r="OVL63" s="954"/>
      <c r="OVM63" s="954"/>
      <c r="OVN63" s="954"/>
      <c r="OVO63" s="954"/>
      <c r="OVP63" s="954"/>
      <c r="OVQ63" s="954"/>
      <c r="OVR63" s="954"/>
      <c r="OVS63" s="954"/>
      <c r="OVT63" s="954"/>
      <c r="OVU63" s="954"/>
      <c r="OVV63" s="954"/>
      <c r="OVW63" s="954"/>
      <c r="OVX63" s="954"/>
      <c r="OVY63" s="954"/>
      <c r="OVZ63" s="954"/>
      <c r="OWA63" s="954"/>
      <c r="OWB63" s="954"/>
      <c r="OWC63" s="954"/>
      <c r="OWD63" s="954"/>
      <c r="OWE63" s="954"/>
      <c r="OWF63" s="954"/>
      <c r="OWG63" s="954"/>
      <c r="OWH63" s="954"/>
      <c r="OWI63" s="954"/>
      <c r="OWJ63" s="954"/>
      <c r="OWK63" s="954"/>
      <c r="OWL63" s="954"/>
      <c r="OWM63" s="954"/>
      <c r="OWN63" s="954"/>
      <c r="OWO63" s="954"/>
      <c r="OWP63" s="954"/>
      <c r="OWQ63" s="954"/>
      <c r="OWR63" s="954"/>
      <c r="OWS63" s="954"/>
      <c r="OWT63" s="954"/>
      <c r="OWU63" s="954"/>
      <c r="OWV63" s="954"/>
      <c r="OWW63" s="954"/>
      <c r="OWX63" s="954"/>
      <c r="OWY63" s="954"/>
      <c r="OWZ63" s="954"/>
      <c r="OXA63" s="954"/>
      <c r="OXB63" s="954"/>
      <c r="OXC63" s="954"/>
      <c r="OXD63" s="954"/>
      <c r="OXE63" s="954"/>
      <c r="OXF63" s="954"/>
      <c r="OXG63" s="954"/>
      <c r="OXH63" s="954"/>
      <c r="OXI63" s="954"/>
      <c r="OXJ63" s="954"/>
      <c r="OXK63" s="954"/>
      <c r="OXL63" s="954"/>
      <c r="OXM63" s="954"/>
      <c r="OXN63" s="954"/>
      <c r="OXO63" s="954"/>
      <c r="OXP63" s="954"/>
      <c r="OXQ63" s="954"/>
      <c r="OXR63" s="954"/>
      <c r="OXS63" s="954"/>
      <c r="OXT63" s="954"/>
      <c r="OXU63" s="954"/>
      <c r="OXV63" s="954"/>
      <c r="OXW63" s="954"/>
      <c r="OXX63" s="954"/>
      <c r="OXY63" s="954"/>
      <c r="OXZ63" s="954"/>
      <c r="OYA63" s="954"/>
      <c r="OYB63" s="954"/>
      <c r="OYC63" s="954"/>
      <c r="OYD63" s="954"/>
      <c r="OYE63" s="954"/>
      <c r="OYF63" s="954"/>
      <c r="OYG63" s="954"/>
      <c r="OYH63" s="954"/>
      <c r="OYI63" s="954"/>
      <c r="OYJ63" s="954"/>
      <c r="OYK63" s="954"/>
      <c r="OYL63" s="954"/>
      <c r="OYM63" s="954"/>
      <c r="OYN63" s="954"/>
      <c r="OYO63" s="954"/>
      <c r="OYP63" s="954"/>
      <c r="OYQ63" s="954"/>
      <c r="OYR63" s="954"/>
      <c r="OYS63" s="954"/>
      <c r="OYT63" s="954"/>
      <c r="OYU63" s="954"/>
      <c r="OYV63" s="954"/>
      <c r="OYW63" s="954"/>
      <c r="OYX63" s="954"/>
      <c r="OYY63" s="954"/>
      <c r="OYZ63" s="954"/>
      <c r="OZA63" s="954"/>
      <c r="OZB63" s="954"/>
      <c r="OZC63" s="954"/>
      <c r="OZD63" s="954"/>
      <c r="OZE63" s="954"/>
      <c r="OZF63" s="954"/>
      <c r="OZG63" s="954"/>
      <c r="OZH63" s="954"/>
      <c r="OZI63" s="954"/>
      <c r="OZJ63" s="954"/>
      <c r="OZK63" s="954"/>
      <c r="OZL63" s="954"/>
      <c r="OZM63" s="954"/>
      <c r="OZN63" s="954"/>
      <c r="OZO63" s="954"/>
      <c r="OZP63" s="954"/>
      <c r="OZQ63" s="954"/>
      <c r="OZR63" s="954"/>
      <c r="OZS63" s="954"/>
      <c r="OZT63" s="954"/>
      <c r="OZU63" s="954"/>
      <c r="OZV63" s="954"/>
      <c r="OZW63" s="954"/>
      <c r="OZX63" s="954"/>
      <c r="OZY63" s="954"/>
      <c r="OZZ63" s="954"/>
      <c r="PAA63" s="954"/>
      <c r="PAB63" s="954"/>
      <c r="PAC63" s="954"/>
      <c r="PAD63" s="954"/>
      <c r="PAE63" s="954"/>
      <c r="PAF63" s="954"/>
      <c r="PAG63" s="954"/>
      <c r="PAH63" s="954"/>
      <c r="PAI63" s="954"/>
      <c r="PAJ63" s="954"/>
      <c r="PAK63" s="954"/>
      <c r="PAL63" s="954"/>
      <c r="PAM63" s="954"/>
      <c r="PAN63" s="954"/>
      <c r="PAO63" s="954"/>
      <c r="PAP63" s="954"/>
      <c r="PAQ63" s="954"/>
      <c r="PAR63" s="954"/>
      <c r="PAS63" s="954"/>
      <c r="PAT63" s="954"/>
      <c r="PAU63" s="954"/>
      <c r="PAV63" s="954"/>
      <c r="PAW63" s="954"/>
      <c r="PAX63" s="954"/>
      <c r="PAY63" s="954"/>
      <c r="PAZ63" s="954"/>
      <c r="PBA63" s="954"/>
      <c r="PBB63" s="954"/>
      <c r="PBC63" s="954"/>
      <c r="PBD63" s="954"/>
      <c r="PBE63" s="954"/>
      <c r="PBF63" s="954"/>
      <c r="PBG63" s="954"/>
      <c r="PBH63" s="954"/>
      <c r="PBI63" s="954"/>
      <c r="PBJ63" s="954"/>
      <c r="PBK63" s="954"/>
      <c r="PBL63" s="954"/>
      <c r="PBM63" s="954"/>
      <c r="PBN63" s="954"/>
      <c r="PBO63" s="954"/>
      <c r="PBP63" s="954"/>
      <c r="PBQ63" s="954"/>
      <c r="PBR63" s="954"/>
      <c r="PBS63" s="954"/>
      <c r="PBT63" s="954"/>
      <c r="PBU63" s="954"/>
      <c r="PBV63" s="954"/>
      <c r="PBW63" s="954"/>
      <c r="PBX63" s="954"/>
      <c r="PBY63" s="954"/>
      <c r="PBZ63" s="954"/>
      <c r="PCA63" s="954"/>
      <c r="PCB63" s="954"/>
      <c r="PCC63" s="954"/>
      <c r="PCD63" s="954"/>
      <c r="PCE63" s="954"/>
      <c r="PCF63" s="954"/>
      <c r="PCG63" s="954"/>
      <c r="PCH63" s="954"/>
      <c r="PCI63" s="954"/>
      <c r="PCJ63" s="954"/>
      <c r="PCK63" s="954"/>
      <c r="PCL63" s="954"/>
      <c r="PCM63" s="954"/>
      <c r="PCN63" s="954"/>
      <c r="PCO63" s="954"/>
      <c r="PCP63" s="954"/>
      <c r="PCQ63" s="954"/>
      <c r="PCR63" s="954"/>
      <c r="PCS63" s="954"/>
      <c r="PCT63" s="954"/>
      <c r="PCU63" s="954"/>
      <c r="PCV63" s="954"/>
      <c r="PCW63" s="954"/>
      <c r="PCX63" s="954"/>
      <c r="PCY63" s="954"/>
      <c r="PCZ63" s="954"/>
      <c r="PDA63" s="954"/>
      <c r="PDB63" s="954"/>
      <c r="PDC63" s="954"/>
      <c r="PDD63" s="954"/>
      <c r="PDE63" s="954"/>
      <c r="PDF63" s="954"/>
      <c r="PDG63" s="954"/>
      <c r="PDH63" s="954"/>
      <c r="PDI63" s="954"/>
      <c r="PDJ63" s="954"/>
      <c r="PDK63" s="954"/>
      <c r="PDL63" s="954"/>
      <c r="PDM63" s="954"/>
      <c r="PDN63" s="954"/>
      <c r="PDO63" s="954"/>
      <c r="PDP63" s="954"/>
      <c r="PDQ63" s="954"/>
      <c r="PDR63" s="954"/>
      <c r="PDS63" s="954"/>
      <c r="PDT63" s="954"/>
      <c r="PDU63" s="954"/>
      <c r="PDV63" s="954"/>
      <c r="PDW63" s="954"/>
      <c r="PDX63" s="954"/>
      <c r="PDY63" s="954"/>
      <c r="PDZ63" s="954"/>
      <c r="PEA63" s="954"/>
      <c r="PEB63" s="954"/>
      <c r="PEC63" s="954"/>
      <c r="PED63" s="954"/>
      <c r="PEE63" s="954"/>
      <c r="PEF63" s="954"/>
      <c r="PEG63" s="954"/>
      <c r="PEH63" s="954"/>
      <c r="PEI63" s="954"/>
      <c r="PEJ63" s="954"/>
      <c r="PEK63" s="954"/>
      <c r="PEL63" s="954"/>
      <c r="PEM63" s="954"/>
      <c r="PEN63" s="954"/>
      <c r="PEO63" s="954"/>
      <c r="PEP63" s="954"/>
      <c r="PEQ63" s="954"/>
      <c r="PER63" s="954"/>
      <c r="PES63" s="954"/>
      <c r="PET63" s="954"/>
      <c r="PEU63" s="954"/>
      <c r="PEV63" s="954"/>
      <c r="PEW63" s="954"/>
      <c r="PEX63" s="954"/>
      <c r="PEY63" s="954"/>
      <c r="PEZ63" s="954"/>
      <c r="PFA63" s="954"/>
      <c r="PFB63" s="954"/>
      <c r="PFC63" s="954"/>
      <c r="PFD63" s="954"/>
      <c r="PFE63" s="954"/>
      <c r="PFF63" s="954"/>
      <c r="PFG63" s="954"/>
      <c r="PFH63" s="954"/>
      <c r="PFI63" s="954"/>
      <c r="PFJ63" s="954"/>
      <c r="PFK63" s="954"/>
      <c r="PFL63" s="954"/>
      <c r="PFM63" s="954"/>
      <c r="PFN63" s="954"/>
      <c r="PFO63" s="954"/>
      <c r="PFP63" s="954"/>
      <c r="PFQ63" s="954"/>
      <c r="PFR63" s="954"/>
      <c r="PFS63" s="954"/>
      <c r="PFT63" s="954"/>
      <c r="PFU63" s="954"/>
      <c r="PFV63" s="954"/>
      <c r="PFW63" s="954"/>
      <c r="PFX63" s="954"/>
      <c r="PFY63" s="954"/>
      <c r="PFZ63" s="954"/>
      <c r="PGA63" s="954"/>
      <c r="PGB63" s="954"/>
      <c r="PGC63" s="954"/>
      <c r="PGD63" s="954"/>
      <c r="PGE63" s="954"/>
      <c r="PGF63" s="954"/>
      <c r="PGG63" s="954"/>
      <c r="PGH63" s="954"/>
      <c r="PGI63" s="954"/>
      <c r="PGJ63" s="954"/>
      <c r="PGK63" s="954"/>
      <c r="PGL63" s="954"/>
      <c r="PGM63" s="954"/>
      <c r="PGN63" s="954"/>
      <c r="PGO63" s="954"/>
      <c r="PGP63" s="954"/>
      <c r="PGQ63" s="954"/>
      <c r="PGR63" s="954"/>
      <c r="PGS63" s="954"/>
      <c r="PGT63" s="954"/>
      <c r="PGU63" s="954"/>
      <c r="PGV63" s="954"/>
      <c r="PGW63" s="954"/>
      <c r="PGX63" s="954"/>
      <c r="PGY63" s="954"/>
      <c r="PGZ63" s="954"/>
      <c r="PHA63" s="954"/>
      <c r="PHB63" s="954"/>
      <c r="PHC63" s="954"/>
      <c r="PHD63" s="954"/>
      <c r="PHE63" s="954"/>
      <c r="PHF63" s="954"/>
      <c r="PHG63" s="954"/>
      <c r="PHH63" s="954"/>
      <c r="PHI63" s="954"/>
      <c r="PHJ63" s="954"/>
      <c r="PHK63" s="954"/>
      <c r="PHL63" s="954"/>
      <c r="PHM63" s="954"/>
      <c r="PHN63" s="954"/>
      <c r="PHO63" s="954"/>
      <c r="PHP63" s="954"/>
      <c r="PHQ63" s="954"/>
      <c r="PHR63" s="954"/>
      <c r="PHS63" s="954"/>
      <c r="PHT63" s="954"/>
      <c r="PHU63" s="954"/>
      <c r="PHV63" s="954"/>
      <c r="PHW63" s="954"/>
      <c r="PHX63" s="954"/>
      <c r="PHY63" s="954"/>
      <c r="PHZ63" s="954"/>
      <c r="PIA63" s="954"/>
      <c r="PIB63" s="954"/>
      <c r="PIC63" s="954"/>
      <c r="PID63" s="954"/>
      <c r="PIE63" s="954"/>
      <c r="PIF63" s="954"/>
      <c r="PIG63" s="954"/>
      <c r="PIH63" s="954"/>
      <c r="PII63" s="954"/>
      <c r="PIJ63" s="954"/>
      <c r="PIK63" s="954"/>
      <c r="PIL63" s="954"/>
      <c r="PIM63" s="954"/>
      <c r="PIN63" s="954"/>
      <c r="PIO63" s="954"/>
      <c r="PIP63" s="954"/>
      <c r="PIQ63" s="954"/>
      <c r="PIR63" s="954"/>
      <c r="PIS63" s="954"/>
      <c r="PIT63" s="954"/>
      <c r="PIU63" s="954"/>
      <c r="PIV63" s="954"/>
      <c r="PIW63" s="954"/>
      <c r="PIX63" s="954"/>
      <c r="PIY63" s="954"/>
      <c r="PIZ63" s="954"/>
      <c r="PJA63" s="954"/>
      <c r="PJB63" s="954"/>
      <c r="PJC63" s="954"/>
      <c r="PJD63" s="954"/>
      <c r="PJE63" s="954"/>
      <c r="PJF63" s="954"/>
      <c r="PJG63" s="954"/>
      <c r="PJH63" s="954"/>
      <c r="PJI63" s="954"/>
      <c r="PJJ63" s="954"/>
      <c r="PJK63" s="954"/>
      <c r="PJL63" s="954"/>
      <c r="PJM63" s="954"/>
      <c r="PJN63" s="954"/>
      <c r="PJO63" s="954"/>
      <c r="PJP63" s="954"/>
      <c r="PJQ63" s="954"/>
      <c r="PJR63" s="954"/>
      <c r="PJS63" s="954"/>
      <c r="PJT63" s="954"/>
      <c r="PJU63" s="954"/>
      <c r="PJV63" s="954"/>
      <c r="PJW63" s="954"/>
      <c r="PJX63" s="954"/>
      <c r="PJY63" s="954"/>
      <c r="PJZ63" s="954"/>
      <c r="PKA63" s="954"/>
      <c r="PKB63" s="954"/>
      <c r="PKC63" s="954"/>
      <c r="PKD63" s="954"/>
      <c r="PKE63" s="954"/>
      <c r="PKF63" s="954"/>
      <c r="PKG63" s="954"/>
      <c r="PKH63" s="954"/>
      <c r="PKI63" s="954"/>
      <c r="PKJ63" s="954"/>
      <c r="PKK63" s="954"/>
      <c r="PKL63" s="954"/>
      <c r="PKM63" s="954"/>
      <c r="PKN63" s="954"/>
      <c r="PKO63" s="954"/>
      <c r="PKP63" s="954"/>
      <c r="PKQ63" s="954"/>
      <c r="PKR63" s="954"/>
      <c r="PKS63" s="954"/>
      <c r="PKT63" s="954"/>
      <c r="PKU63" s="954"/>
      <c r="PKV63" s="954"/>
      <c r="PKW63" s="954"/>
      <c r="PKX63" s="954"/>
      <c r="PKY63" s="954"/>
      <c r="PKZ63" s="954"/>
      <c r="PLA63" s="954"/>
      <c r="PLB63" s="954"/>
      <c r="PLC63" s="954"/>
      <c r="PLD63" s="954"/>
      <c r="PLE63" s="954"/>
      <c r="PLF63" s="954"/>
      <c r="PLG63" s="954"/>
      <c r="PLH63" s="954"/>
      <c r="PLI63" s="954"/>
      <c r="PLJ63" s="954"/>
      <c r="PLK63" s="954"/>
      <c r="PLL63" s="954"/>
      <c r="PLM63" s="954"/>
      <c r="PLN63" s="954"/>
      <c r="PLO63" s="954"/>
      <c r="PLP63" s="954"/>
      <c r="PLQ63" s="954"/>
      <c r="PLR63" s="954"/>
      <c r="PLS63" s="954"/>
      <c r="PLT63" s="954"/>
      <c r="PLU63" s="954"/>
      <c r="PLV63" s="954"/>
      <c r="PLW63" s="954"/>
      <c r="PLX63" s="954"/>
      <c r="PLY63" s="954"/>
      <c r="PLZ63" s="954"/>
      <c r="PMA63" s="954"/>
      <c r="PMB63" s="954"/>
      <c r="PMC63" s="954"/>
      <c r="PMD63" s="954"/>
      <c r="PME63" s="954"/>
      <c r="PMF63" s="954"/>
      <c r="PMG63" s="954"/>
      <c r="PMH63" s="954"/>
      <c r="PMI63" s="954"/>
      <c r="PMJ63" s="954"/>
      <c r="PMK63" s="954"/>
      <c r="PML63" s="954"/>
      <c r="PMM63" s="954"/>
      <c r="PMN63" s="954"/>
      <c r="PMO63" s="954"/>
      <c r="PMP63" s="954"/>
      <c r="PMQ63" s="954"/>
      <c r="PMR63" s="954"/>
      <c r="PMS63" s="954"/>
      <c r="PMT63" s="954"/>
      <c r="PMU63" s="954"/>
      <c r="PMV63" s="954"/>
      <c r="PMW63" s="954"/>
      <c r="PMX63" s="954"/>
      <c r="PMY63" s="954"/>
      <c r="PMZ63" s="954"/>
      <c r="PNA63" s="954"/>
      <c r="PNB63" s="954"/>
      <c r="PNC63" s="954"/>
      <c r="PND63" s="954"/>
      <c r="PNE63" s="954"/>
      <c r="PNF63" s="954"/>
      <c r="PNG63" s="954"/>
      <c r="PNH63" s="954"/>
      <c r="PNI63" s="954"/>
      <c r="PNJ63" s="954"/>
      <c r="PNK63" s="954"/>
      <c r="PNL63" s="954"/>
      <c r="PNM63" s="954"/>
      <c r="PNN63" s="954"/>
      <c r="PNO63" s="954"/>
      <c r="PNP63" s="954"/>
      <c r="PNQ63" s="954"/>
      <c r="PNR63" s="954"/>
      <c r="PNS63" s="954"/>
      <c r="PNT63" s="954"/>
      <c r="PNU63" s="954"/>
      <c r="PNV63" s="954"/>
      <c r="PNW63" s="954"/>
      <c r="PNX63" s="954"/>
      <c r="PNY63" s="954"/>
      <c r="PNZ63" s="954"/>
      <c r="POA63" s="954"/>
      <c r="POB63" s="954"/>
      <c r="POC63" s="954"/>
      <c r="POD63" s="954"/>
      <c r="POE63" s="954"/>
      <c r="POF63" s="954"/>
      <c r="POG63" s="954"/>
      <c r="POH63" s="954"/>
      <c r="POI63" s="954"/>
      <c r="POJ63" s="954"/>
      <c r="POK63" s="954"/>
      <c r="POL63" s="954"/>
      <c r="POM63" s="954"/>
      <c r="PON63" s="954"/>
      <c r="POO63" s="954"/>
      <c r="POP63" s="954"/>
      <c r="POQ63" s="954"/>
      <c r="POR63" s="954"/>
      <c r="POS63" s="954"/>
      <c r="POT63" s="954"/>
      <c r="POU63" s="954"/>
      <c r="POV63" s="954"/>
      <c r="POW63" s="954"/>
      <c r="POX63" s="954"/>
      <c r="POY63" s="954"/>
      <c r="POZ63" s="954"/>
      <c r="PPA63" s="954"/>
      <c r="PPB63" s="954"/>
      <c r="PPC63" s="954"/>
      <c r="PPD63" s="954"/>
      <c r="PPE63" s="954"/>
      <c r="PPF63" s="954"/>
      <c r="PPG63" s="954"/>
      <c r="PPH63" s="954"/>
      <c r="PPI63" s="954"/>
      <c r="PPJ63" s="954"/>
      <c r="PPK63" s="954"/>
      <c r="PPL63" s="954"/>
      <c r="PPM63" s="954"/>
      <c r="PPN63" s="954"/>
      <c r="PPO63" s="954"/>
      <c r="PPP63" s="954"/>
      <c r="PPQ63" s="954"/>
      <c r="PPR63" s="954"/>
      <c r="PPS63" s="954"/>
      <c r="PPT63" s="954"/>
      <c r="PPU63" s="954"/>
      <c r="PPV63" s="954"/>
      <c r="PPW63" s="954"/>
      <c r="PPX63" s="954"/>
      <c r="PPY63" s="954"/>
      <c r="PPZ63" s="954"/>
      <c r="PQA63" s="954"/>
      <c r="PQB63" s="954"/>
      <c r="PQC63" s="954"/>
      <c r="PQD63" s="954"/>
      <c r="PQE63" s="954"/>
      <c r="PQF63" s="954"/>
      <c r="PQG63" s="954"/>
      <c r="PQH63" s="954"/>
      <c r="PQI63" s="954"/>
      <c r="PQJ63" s="954"/>
      <c r="PQK63" s="954"/>
      <c r="PQL63" s="954"/>
      <c r="PQM63" s="954"/>
      <c r="PQN63" s="954"/>
      <c r="PQO63" s="954"/>
      <c r="PQP63" s="954"/>
      <c r="PQQ63" s="954"/>
      <c r="PQR63" s="954"/>
      <c r="PQS63" s="954"/>
      <c r="PQT63" s="954"/>
      <c r="PQU63" s="954"/>
      <c r="PQV63" s="954"/>
      <c r="PQW63" s="954"/>
      <c r="PQX63" s="954"/>
      <c r="PQY63" s="954"/>
      <c r="PQZ63" s="954"/>
      <c r="PRA63" s="954"/>
      <c r="PRB63" s="954"/>
      <c r="PRC63" s="954"/>
      <c r="PRD63" s="954"/>
      <c r="PRE63" s="954"/>
      <c r="PRF63" s="954"/>
      <c r="PRG63" s="954"/>
      <c r="PRH63" s="954"/>
      <c r="PRI63" s="954"/>
      <c r="PRJ63" s="954"/>
      <c r="PRK63" s="954"/>
      <c r="PRL63" s="954"/>
      <c r="PRM63" s="954"/>
      <c r="PRN63" s="954"/>
      <c r="PRO63" s="954"/>
      <c r="PRP63" s="954"/>
      <c r="PRQ63" s="954"/>
      <c r="PRR63" s="954"/>
      <c r="PRS63" s="954"/>
      <c r="PRT63" s="954"/>
      <c r="PRU63" s="954"/>
      <c r="PRV63" s="954"/>
      <c r="PRW63" s="954"/>
      <c r="PRX63" s="954"/>
      <c r="PRY63" s="954"/>
      <c r="PRZ63" s="954"/>
      <c r="PSA63" s="954"/>
      <c r="PSB63" s="954"/>
      <c r="PSC63" s="954"/>
      <c r="PSD63" s="954"/>
      <c r="PSE63" s="954"/>
      <c r="PSF63" s="954"/>
      <c r="PSG63" s="954"/>
      <c r="PSH63" s="954"/>
      <c r="PSI63" s="954"/>
      <c r="PSJ63" s="954"/>
      <c r="PSK63" s="954"/>
      <c r="PSL63" s="954"/>
      <c r="PSM63" s="954"/>
      <c r="PSN63" s="954"/>
      <c r="PSO63" s="954"/>
      <c r="PSP63" s="954"/>
      <c r="PSQ63" s="954"/>
      <c r="PSR63" s="954"/>
      <c r="PSS63" s="954"/>
      <c r="PST63" s="954"/>
      <c r="PSU63" s="954"/>
      <c r="PSV63" s="954"/>
      <c r="PSW63" s="954"/>
      <c r="PSX63" s="954"/>
      <c r="PSY63" s="954"/>
      <c r="PSZ63" s="954"/>
      <c r="PTA63" s="954"/>
      <c r="PTB63" s="954"/>
      <c r="PTC63" s="954"/>
      <c r="PTD63" s="954"/>
      <c r="PTE63" s="954"/>
      <c r="PTF63" s="954"/>
      <c r="PTG63" s="954"/>
      <c r="PTH63" s="954"/>
      <c r="PTI63" s="954"/>
      <c r="PTJ63" s="954"/>
      <c r="PTK63" s="954"/>
      <c r="PTL63" s="954"/>
      <c r="PTM63" s="954"/>
      <c r="PTN63" s="954"/>
      <c r="PTO63" s="954"/>
      <c r="PTP63" s="954"/>
      <c r="PTQ63" s="954"/>
      <c r="PTR63" s="954"/>
      <c r="PTS63" s="954"/>
      <c r="PTT63" s="954"/>
      <c r="PTU63" s="954"/>
      <c r="PTV63" s="954"/>
      <c r="PTW63" s="954"/>
      <c r="PTX63" s="954"/>
      <c r="PTY63" s="954"/>
      <c r="PTZ63" s="954"/>
      <c r="PUA63" s="954"/>
      <c r="PUB63" s="954"/>
      <c r="PUC63" s="954"/>
      <c r="PUD63" s="954"/>
      <c r="PUE63" s="954"/>
      <c r="PUF63" s="954"/>
      <c r="PUG63" s="954"/>
      <c r="PUH63" s="954"/>
      <c r="PUI63" s="954"/>
      <c r="PUJ63" s="954"/>
      <c r="PUK63" s="954"/>
      <c r="PUL63" s="954"/>
      <c r="PUM63" s="954"/>
      <c r="PUN63" s="954"/>
      <c r="PUO63" s="954"/>
      <c r="PUP63" s="954"/>
      <c r="PUQ63" s="954"/>
      <c r="PUR63" s="954"/>
      <c r="PUS63" s="954"/>
      <c r="PUT63" s="954"/>
      <c r="PUU63" s="954"/>
      <c r="PUV63" s="954"/>
      <c r="PUW63" s="954"/>
      <c r="PUX63" s="954"/>
      <c r="PUY63" s="954"/>
      <c r="PUZ63" s="954"/>
      <c r="PVA63" s="954"/>
      <c r="PVB63" s="954"/>
      <c r="PVC63" s="954"/>
      <c r="PVD63" s="954"/>
      <c r="PVE63" s="954"/>
      <c r="PVF63" s="954"/>
      <c r="PVG63" s="954"/>
      <c r="PVH63" s="954"/>
      <c r="PVI63" s="954"/>
      <c r="PVJ63" s="954"/>
      <c r="PVK63" s="954"/>
      <c r="PVL63" s="954"/>
      <c r="PVM63" s="954"/>
      <c r="PVN63" s="954"/>
      <c r="PVO63" s="954"/>
      <c r="PVP63" s="954"/>
      <c r="PVQ63" s="954"/>
      <c r="PVR63" s="954"/>
      <c r="PVS63" s="954"/>
      <c r="PVT63" s="954"/>
      <c r="PVU63" s="954"/>
      <c r="PVV63" s="954"/>
      <c r="PVW63" s="954"/>
      <c r="PVX63" s="954"/>
      <c r="PVY63" s="954"/>
      <c r="PVZ63" s="954"/>
      <c r="PWA63" s="954"/>
      <c r="PWB63" s="954"/>
      <c r="PWC63" s="954"/>
      <c r="PWD63" s="954"/>
      <c r="PWE63" s="954"/>
      <c r="PWF63" s="954"/>
      <c r="PWG63" s="954"/>
      <c r="PWH63" s="954"/>
      <c r="PWI63" s="954"/>
      <c r="PWJ63" s="954"/>
      <c r="PWK63" s="954"/>
      <c r="PWL63" s="954"/>
      <c r="PWM63" s="954"/>
      <c r="PWN63" s="954"/>
      <c r="PWO63" s="954"/>
      <c r="PWP63" s="954"/>
      <c r="PWQ63" s="954"/>
      <c r="PWR63" s="954"/>
      <c r="PWS63" s="954"/>
      <c r="PWT63" s="954"/>
      <c r="PWU63" s="954"/>
      <c r="PWV63" s="954"/>
      <c r="PWW63" s="954"/>
      <c r="PWX63" s="954"/>
      <c r="PWY63" s="954"/>
      <c r="PWZ63" s="954"/>
      <c r="PXA63" s="954"/>
      <c r="PXB63" s="954"/>
      <c r="PXC63" s="954"/>
      <c r="PXD63" s="954"/>
      <c r="PXE63" s="954"/>
      <c r="PXF63" s="954"/>
      <c r="PXG63" s="954"/>
      <c r="PXH63" s="954"/>
      <c r="PXI63" s="954"/>
      <c r="PXJ63" s="954"/>
      <c r="PXK63" s="954"/>
      <c r="PXL63" s="954"/>
      <c r="PXM63" s="954"/>
      <c r="PXN63" s="954"/>
      <c r="PXO63" s="954"/>
      <c r="PXP63" s="954"/>
      <c r="PXQ63" s="954"/>
      <c r="PXR63" s="954"/>
      <c r="PXS63" s="954"/>
      <c r="PXT63" s="954"/>
      <c r="PXU63" s="954"/>
      <c r="PXV63" s="954"/>
      <c r="PXW63" s="954"/>
      <c r="PXX63" s="954"/>
      <c r="PXY63" s="954"/>
      <c r="PXZ63" s="954"/>
      <c r="PYA63" s="954"/>
      <c r="PYB63" s="954"/>
      <c r="PYC63" s="954"/>
      <c r="PYD63" s="954"/>
      <c r="PYE63" s="954"/>
      <c r="PYF63" s="954"/>
      <c r="PYG63" s="954"/>
      <c r="PYH63" s="954"/>
      <c r="PYI63" s="954"/>
      <c r="PYJ63" s="954"/>
      <c r="PYK63" s="954"/>
      <c r="PYL63" s="954"/>
      <c r="PYM63" s="954"/>
      <c r="PYN63" s="954"/>
      <c r="PYO63" s="954"/>
      <c r="PYP63" s="954"/>
      <c r="PYQ63" s="954"/>
      <c r="PYR63" s="954"/>
      <c r="PYS63" s="954"/>
      <c r="PYT63" s="954"/>
      <c r="PYU63" s="954"/>
      <c r="PYV63" s="954"/>
      <c r="PYW63" s="954"/>
      <c r="PYX63" s="954"/>
      <c r="PYY63" s="954"/>
      <c r="PYZ63" s="954"/>
      <c r="PZA63" s="954"/>
      <c r="PZB63" s="954"/>
      <c r="PZC63" s="954"/>
      <c r="PZD63" s="954"/>
      <c r="PZE63" s="954"/>
      <c r="PZF63" s="954"/>
      <c r="PZG63" s="954"/>
      <c r="PZH63" s="954"/>
      <c r="PZI63" s="954"/>
      <c r="PZJ63" s="954"/>
      <c r="PZK63" s="954"/>
      <c r="PZL63" s="954"/>
      <c r="PZM63" s="954"/>
      <c r="PZN63" s="954"/>
      <c r="PZO63" s="954"/>
      <c r="PZP63" s="954"/>
      <c r="PZQ63" s="954"/>
      <c r="PZR63" s="954"/>
      <c r="PZS63" s="954"/>
      <c r="PZT63" s="954"/>
      <c r="PZU63" s="954"/>
      <c r="PZV63" s="954"/>
      <c r="PZW63" s="954"/>
      <c r="PZX63" s="954"/>
      <c r="PZY63" s="954"/>
      <c r="PZZ63" s="954"/>
      <c r="QAA63" s="954"/>
      <c r="QAB63" s="954"/>
      <c r="QAC63" s="954"/>
      <c r="QAD63" s="954"/>
      <c r="QAE63" s="954"/>
      <c r="QAF63" s="954"/>
      <c r="QAG63" s="954"/>
      <c r="QAH63" s="954"/>
      <c r="QAI63" s="954"/>
      <c r="QAJ63" s="954"/>
      <c r="QAK63" s="954"/>
      <c r="QAL63" s="954"/>
      <c r="QAM63" s="954"/>
      <c r="QAN63" s="954"/>
      <c r="QAO63" s="954"/>
      <c r="QAP63" s="954"/>
      <c r="QAQ63" s="954"/>
      <c r="QAR63" s="954"/>
      <c r="QAS63" s="954"/>
      <c r="QAT63" s="954"/>
      <c r="QAU63" s="954"/>
      <c r="QAV63" s="954"/>
      <c r="QAW63" s="954"/>
      <c r="QAX63" s="954"/>
      <c r="QAY63" s="954"/>
      <c r="QAZ63" s="954"/>
      <c r="QBA63" s="954"/>
      <c r="QBB63" s="954"/>
      <c r="QBC63" s="954"/>
      <c r="QBD63" s="954"/>
      <c r="QBE63" s="954"/>
      <c r="QBF63" s="954"/>
      <c r="QBG63" s="954"/>
      <c r="QBH63" s="954"/>
      <c r="QBI63" s="954"/>
      <c r="QBJ63" s="954"/>
      <c r="QBK63" s="954"/>
      <c r="QBL63" s="954"/>
      <c r="QBM63" s="954"/>
      <c r="QBN63" s="954"/>
      <c r="QBO63" s="954"/>
      <c r="QBP63" s="954"/>
      <c r="QBQ63" s="954"/>
      <c r="QBR63" s="954"/>
      <c r="QBS63" s="954"/>
      <c r="QBT63" s="954"/>
      <c r="QBU63" s="954"/>
      <c r="QBV63" s="954"/>
      <c r="QBW63" s="954"/>
      <c r="QBX63" s="954"/>
      <c r="QBY63" s="954"/>
      <c r="QBZ63" s="954"/>
      <c r="QCA63" s="954"/>
      <c r="QCB63" s="954"/>
      <c r="QCC63" s="954"/>
      <c r="QCD63" s="954"/>
      <c r="QCE63" s="954"/>
      <c r="QCF63" s="954"/>
      <c r="QCG63" s="954"/>
      <c r="QCH63" s="954"/>
      <c r="QCI63" s="954"/>
      <c r="QCJ63" s="954"/>
      <c r="QCK63" s="954"/>
      <c r="QCL63" s="954"/>
      <c r="QCM63" s="954"/>
      <c r="QCN63" s="954"/>
      <c r="QCO63" s="954"/>
      <c r="QCP63" s="954"/>
      <c r="QCQ63" s="954"/>
      <c r="QCR63" s="954"/>
      <c r="QCS63" s="954"/>
      <c r="QCT63" s="954"/>
      <c r="QCU63" s="954"/>
      <c r="QCV63" s="954"/>
      <c r="QCW63" s="954"/>
      <c r="QCX63" s="954"/>
      <c r="QCY63" s="954"/>
      <c r="QCZ63" s="954"/>
      <c r="QDA63" s="954"/>
      <c r="QDB63" s="954"/>
      <c r="QDC63" s="954"/>
      <c r="QDD63" s="954"/>
      <c r="QDE63" s="954"/>
      <c r="QDF63" s="954"/>
      <c r="QDG63" s="954"/>
      <c r="QDH63" s="954"/>
      <c r="QDI63" s="954"/>
      <c r="QDJ63" s="954"/>
      <c r="QDK63" s="954"/>
      <c r="QDL63" s="954"/>
      <c r="QDM63" s="954"/>
      <c r="QDN63" s="954"/>
      <c r="QDO63" s="954"/>
      <c r="QDP63" s="954"/>
      <c r="QDQ63" s="954"/>
      <c r="QDR63" s="954"/>
      <c r="QDS63" s="954"/>
      <c r="QDT63" s="954"/>
      <c r="QDU63" s="954"/>
      <c r="QDV63" s="954"/>
      <c r="QDW63" s="954"/>
      <c r="QDX63" s="954"/>
      <c r="QDY63" s="954"/>
      <c r="QDZ63" s="954"/>
      <c r="QEA63" s="954"/>
      <c r="QEB63" s="954"/>
      <c r="QEC63" s="954"/>
      <c r="QED63" s="954"/>
      <c r="QEE63" s="954"/>
      <c r="QEF63" s="954"/>
      <c r="QEG63" s="954"/>
      <c r="QEH63" s="954"/>
      <c r="QEI63" s="954"/>
      <c r="QEJ63" s="954"/>
      <c r="QEK63" s="954"/>
      <c r="QEL63" s="954"/>
      <c r="QEM63" s="954"/>
      <c r="QEN63" s="954"/>
      <c r="QEO63" s="954"/>
      <c r="QEP63" s="954"/>
      <c r="QEQ63" s="954"/>
      <c r="QER63" s="954"/>
      <c r="QES63" s="954"/>
      <c r="QET63" s="954"/>
      <c r="QEU63" s="954"/>
      <c r="QEV63" s="954"/>
      <c r="QEW63" s="954"/>
      <c r="QEX63" s="954"/>
      <c r="QEY63" s="954"/>
      <c r="QEZ63" s="954"/>
      <c r="QFA63" s="954"/>
      <c r="QFB63" s="954"/>
      <c r="QFC63" s="954"/>
      <c r="QFD63" s="954"/>
      <c r="QFE63" s="954"/>
      <c r="QFF63" s="954"/>
      <c r="QFG63" s="954"/>
      <c r="QFH63" s="954"/>
      <c r="QFI63" s="954"/>
      <c r="QFJ63" s="954"/>
      <c r="QFK63" s="954"/>
      <c r="QFL63" s="954"/>
      <c r="QFM63" s="954"/>
      <c r="QFN63" s="954"/>
      <c r="QFO63" s="954"/>
      <c r="QFP63" s="954"/>
      <c r="QFQ63" s="954"/>
      <c r="QFR63" s="954"/>
      <c r="QFS63" s="954"/>
      <c r="QFT63" s="954"/>
      <c r="QFU63" s="954"/>
      <c r="QFV63" s="954"/>
      <c r="QFW63" s="954"/>
      <c r="QFX63" s="954"/>
      <c r="QFY63" s="954"/>
      <c r="QFZ63" s="954"/>
      <c r="QGA63" s="954"/>
      <c r="QGB63" s="954"/>
      <c r="QGC63" s="954"/>
      <c r="QGD63" s="954"/>
      <c r="QGE63" s="954"/>
      <c r="QGF63" s="954"/>
      <c r="QGG63" s="954"/>
      <c r="QGH63" s="954"/>
      <c r="QGI63" s="954"/>
      <c r="QGJ63" s="954"/>
      <c r="QGK63" s="954"/>
      <c r="QGL63" s="954"/>
      <c r="QGM63" s="954"/>
      <c r="QGN63" s="954"/>
      <c r="QGO63" s="954"/>
      <c r="QGP63" s="954"/>
      <c r="QGQ63" s="954"/>
      <c r="QGR63" s="954"/>
      <c r="QGS63" s="954"/>
      <c r="QGT63" s="954"/>
      <c r="QGU63" s="954"/>
      <c r="QGV63" s="954"/>
      <c r="QGW63" s="954"/>
      <c r="QGX63" s="954"/>
      <c r="QGY63" s="954"/>
      <c r="QGZ63" s="954"/>
      <c r="QHA63" s="954"/>
      <c r="QHB63" s="954"/>
      <c r="QHC63" s="954"/>
      <c r="QHD63" s="954"/>
      <c r="QHE63" s="954"/>
      <c r="QHF63" s="954"/>
      <c r="QHG63" s="954"/>
      <c r="QHH63" s="954"/>
      <c r="QHI63" s="954"/>
      <c r="QHJ63" s="954"/>
      <c r="QHK63" s="954"/>
      <c r="QHL63" s="954"/>
      <c r="QHM63" s="954"/>
      <c r="QHN63" s="954"/>
      <c r="QHO63" s="954"/>
      <c r="QHP63" s="954"/>
      <c r="QHQ63" s="954"/>
      <c r="QHR63" s="954"/>
      <c r="QHS63" s="954"/>
      <c r="QHT63" s="954"/>
      <c r="QHU63" s="954"/>
      <c r="QHV63" s="954"/>
      <c r="QHW63" s="954"/>
      <c r="QHX63" s="954"/>
      <c r="QHY63" s="954"/>
      <c r="QHZ63" s="954"/>
      <c r="QIA63" s="954"/>
      <c r="QIB63" s="954"/>
      <c r="QIC63" s="954"/>
      <c r="QID63" s="954"/>
      <c r="QIE63" s="954"/>
      <c r="QIF63" s="954"/>
      <c r="QIG63" s="954"/>
      <c r="QIH63" s="954"/>
      <c r="QII63" s="954"/>
      <c r="QIJ63" s="954"/>
      <c r="QIK63" s="954"/>
      <c r="QIL63" s="954"/>
      <c r="QIM63" s="954"/>
      <c r="QIN63" s="954"/>
      <c r="QIO63" s="954"/>
      <c r="QIP63" s="954"/>
      <c r="QIQ63" s="954"/>
      <c r="QIR63" s="954"/>
      <c r="QIS63" s="954"/>
      <c r="QIT63" s="954"/>
      <c r="QIU63" s="954"/>
      <c r="QIV63" s="954"/>
      <c r="QIW63" s="954"/>
      <c r="QIX63" s="954"/>
      <c r="QIY63" s="954"/>
      <c r="QIZ63" s="954"/>
      <c r="QJA63" s="954"/>
      <c r="QJB63" s="954"/>
      <c r="QJC63" s="954"/>
      <c r="QJD63" s="954"/>
      <c r="QJE63" s="954"/>
      <c r="QJF63" s="954"/>
      <c r="QJG63" s="954"/>
      <c r="QJH63" s="954"/>
      <c r="QJI63" s="954"/>
      <c r="QJJ63" s="954"/>
      <c r="QJK63" s="954"/>
      <c r="QJL63" s="954"/>
      <c r="QJM63" s="954"/>
      <c r="QJN63" s="954"/>
      <c r="QJO63" s="954"/>
      <c r="QJP63" s="954"/>
      <c r="QJQ63" s="954"/>
      <c r="QJR63" s="954"/>
      <c r="QJS63" s="954"/>
      <c r="QJT63" s="954"/>
      <c r="QJU63" s="954"/>
      <c r="QJV63" s="954"/>
      <c r="QJW63" s="954"/>
      <c r="QJX63" s="954"/>
      <c r="QJY63" s="954"/>
      <c r="QJZ63" s="954"/>
      <c r="QKA63" s="954"/>
      <c r="QKB63" s="954"/>
      <c r="QKC63" s="954"/>
      <c r="QKD63" s="954"/>
      <c r="QKE63" s="954"/>
      <c r="QKF63" s="954"/>
      <c r="QKG63" s="954"/>
      <c r="QKH63" s="954"/>
      <c r="QKI63" s="954"/>
      <c r="QKJ63" s="954"/>
      <c r="QKK63" s="954"/>
      <c r="QKL63" s="954"/>
      <c r="QKM63" s="954"/>
      <c r="QKN63" s="954"/>
      <c r="QKO63" s="954"/>
      <c r="QKP63" s="954"/>
      <c r="QKQ63" s="954"/>
      <c r="QKR63" s="954"/>
      <c r="QKS63" s="954"/>
      <c r="QKT63" s="954"/>
      <c r="QKU63" s="954"/>
      <c r="QKV63" s="954"/>
      <c r="QKW63" s="954"/>
      <c r="QKX63" s="954"/>
      <c r="QKY63" s="954"/>
      <c r="QKZ63" s="954"/>
      <c r="QLA63" s="954"/>
      <c r="QLB63" s="954"/>
      <c r="QLC63" s="954"/>
      <c r="QLD63" s="954"/>
      <c r="QLE63" s="954"/>
      <c r="QLF63" s="954"/>
      <c r="QLG63" s="954"/>
      <c r="QLH63" s="954"/>
      <c r="QLI63" s="954"/>
      <c r="QLJ63" s="954"/>
      <c r="QLK63" s="954"/>
      <c r="QLL63" s="954"/>
      <c r="QLM63" s="954"/>
      <c r="QLN63" s="954"/>
      <c r="QLO63" s="954"/>
      <c r="QLP63" s="954"/>
      <c r="QLQ63" s="954"/>
      <c r="QLR63" s="954"/>
      <c r="QLS63" s="954"/>
      <c r="QLT63" s="954"/>
      <c r="QLU63" s="954"/>
      <c r="QLV63" s="954"/>
      <c r="QLW63" s="954"/>
      <c r="QLX63" s="954"/>
      <c r="QLY63" s="954"/>
      <c r="QLZ63" s="954"/>
      <c r="QMA63" s="954"/>
      <c r="QMB63" s="954"/>
      <c r="QMC63" s="954"/>
      <c r="QMD63" s="954"/>
      <c r="QME63" s="954"/>
      <c r="QMF63" s="954"/>
      <c r="QMG63" s="954"/>
      <c r="QMH63" s="954"/>
      <c r="QMI63" s="954"/>
      <c r="QMJ63" s="954"/>
      <c r="QMK63" s="954"/>
      <c r="QML63" s="954"/>
      <c r="QMM63" s="954"/>
      <c r="QMN63" s="954"/>
      <c r="QMO63" s="954"/>
      <c r="QMP63" s="954"/>
      <c r="QMQ63" s="954"/>
      <c r="QMR63" s="954"/>
      <c r="QMS63" s="954"/>
      <c r="QMT63" s="954"/>
      <c r="QMU63" s="954"/>
      <c r="QMV63" s="954"/>
      <c r="QMW63" s="954"/>
      <c r="QMX63" s="954"/>
      <c r="QMY63" s="954"/>
      <c r="QMZ63" s="954"/>
      <c r="QNA63" s="954"/>
      <c r="QNB63" s="954"/>
      <c r="QNC63" s="954"/>
      <c r="QND63" s="954"/>
      <c r="QNE63" s="954"/>
      <c r="QNF63" s="954"/>
      <c r="QNG63" s="954"/>
      <c r="QNH63" s="954"/>
      <c r="QNI63" s="954"/>
      <c r="QNJ63" s="954"/>
      <c r="QNK63" s="954"/>
      <c r="QNL63" s="954"/>
      <c r="QNM63" s="954"/>
      <c r="QNN63" s="954"/>
      <c r="QNO63" s="954"/>
      <c r="QNP63" s="954"/>
      <c r="QNQ63" s="954"/>
      <c r="QNR63" s="954"/>
      <c r="QNS63" s="954"/>
      <c r="QNT63" s="954"/>
      <c r="QNU63" s="954"/>
      <c r="QNV63" s="954"/>
      <c r="QNW63" s="954"/>
      <c r="QNX63" s="954"/>
      <c r="QNY63" s="954"/>
      <c r="QNZ63" s="954"/>
      <c r="QOA63" s="954"/>
      <c r="QOB63" s="954"/>
      <c r="QOC63" s="954"/>
      <c r="QOD63" s="954"/>
      <c r="QOE63" s="954"/>
      <c r="QOF63" s="954"/>
      <c r="QOG63" s="954"/>
      <c r="QOH63" s="954"/>
      <c r="QOI63" s="954"/>
      <c r="QOJ63" s="954"/>
      <c r="QOK63" s="954"/>
      <c r="QOL63" s="954"/>
      <c r="QOM63" s="954"/>
      <c r="QON63" s="954"/>
      <c r="QOO63" s="954"/>
      <c r="QOP63" s="954"/>
      <c r="QOQ63" s="954"/>
      <c r="QOR63" s="954"/>
      <c r="QOS63" s="954"/>
      <c r="QOT63" s="954"/>
      <c r="QOU63" s="954"/>
      <c r="QOV63" s="954"/>
      <c r="QOW63" s="954"/>
      <c r="QOX63" s="954"/>
      <c r="QOY63" s="954"/>
      <c r="QOZ63" s="954"/>
      <c r="QPA63" s="954"/>
      <c r="QPB63" s="954"/>
      <c r="QPC63" s="954"/>
      <c r="QPD63" s="954"/>
      <c r="QPE63" s="954"/>
      <c r="QPF63" s="954"/>
      <c r="QPG63" s="954"/>
      <c r="QPH63" s="954"/>
      <c r="QPI63" s="954"/>
      <c r="QPJ63" s="954"/>
      <c r="QPK63" s="954"/>
      <c r="QPL63" s="954"/>
      <c r="QPM63" s="954"/>
      <c r="QPN63" s="954"/>
      <c r="QPO63" s="954"/>
      <c r="QPP63" s="954"/>
      <c r="QPQ63" s="954"/>
      <c r="QPR63" s="954"/>
      <c r="QPS63" s="954"/>
      <c r="QPT63" s="954"/>
      <c r="QPU63" s="954"/>
      <c r="QPV63" s="954"/>
      <c r="QPW63" s="954"/>
      <c r="QPX63" s="954"/>
      <c r="QPY63" s="954"/>
      <c r="QPZ63" s="954"/>
      <c r="QQA63" s="954"/>
      <c r="QQB63" s="954"/>
      <c r="QQC63" s="954"/>
      <c r="QQD63" s="954"/>
      <c r="QQE63" s="954"/>
      <c r="QQF63" s="954"/>
      <c r="QQG63" s="954"/>
      <c r="QQH63" s="954"/>
      <c r="QQI63" s="954"/>
      <c r="QQJ63" s="954"/>
      <c r="QQK63" s="954"/>
      <c r="QQL63" s="954"/>
      <c r="QQM63" s="954"/>
      <c r="QQN63" s="954"/>
      <c r="QQO63" s="954"/>
      <c r="QQP63" s="954"/>
      <c r="QQQ63" s="954"/>
      <c r="QQR63" s="954"/>
      <c r="QQS63" s="954"/>
      <c r="QQT63" s="954"/>
      <c r="QQU63" s="954"/>
      <c r="QQV63" s="954"/>
      <c r="QQW63" s="954"/>
      <c r="QQX63" s="954"/>
      <c r="QQY63" s="954"/>
      <c r="QQZ63" s="954"/>
      <c r="QRA63" s="954"/>
      <c r="QRB63" s="954"/>
      <c r="QRC63" s="954"/>
      <c r="QRD63" s="954"/>
      <c r="QRE63" s="954"/>
      <c r="QRF63" s="954"/>
      <c r="QRG63" s="954"/>
      <c r="QRH63" s="954"/>
      <c r="QRI63" s="954"/>
      <c r="QRJ63" s="954"/>
      <c r="QRK63" s="954"/>
      <c r="QRL63" s="954"/>
      <c r="QRM63" s="954"/>
      <c r="QRN63" s="954"/>
      <c r="QRO63" s="954"/>
      <c r="QRP63" s="954"/>
      <c r="QRQ63" s="954"/>
      <c r="QRR63" s="954"/>
      <c r="QRS63" s="954"/>
      <c r="QRT63" s="954"/>
      <c r="QRU63" s="954"/>
      <c r="QRV63" s="954"/>
      <c r="QRW63" s="954"/>
      <c r="QRX63" s="954"/>
      <c r="QRY63" s="954"/>
      <c r="QRZ63" s="954"/>
      <c r="QSA63" s="954"/>
      <c r="QSB63" s="954"/>
      <c r="QSC63" s="954"/>
      <c r="QSD63" s="954"/>
      <c r="QSE63" s="954"/>
      <c r="QSF63" s="954"/>
      <c r="QSG63" s="954"/>
      <c r="QSH63" s="954"/>
      <c r="QSI63" s="954"/>
      <c r="QSJ63" s="954"/>
      <c r="QSK63" s="954"/>
      <c r="QSL63" s="954"/>
      <c r="QSM63" s="954"/>
      <c r="QSN63" s="954"/>
      <c r="QSO63" s="954"/>
      <c r="QSP63" s="954"/>
      <c r="QSQ63" s="954"/>
      <c r="QSR63" s="954"/>
      <c r="QSS63" s="954"/>
      <c r="QST63" s="954"/>
      <c r="QSU63" s="954"/>
      <c r="QSV63" s="954"/>
      <c r="QSW63" s="954"/>
      <c r="QSX63" s="954"/>
      <c r="QSY63" s="954"/>
      <c r="QSZ63" s="954"/>
      <c r="QTA63" s="954"/>
      <c r="QTB63" s="954"/>
      <c r="QTC63" s="954"/>
      <c r="QTD63" s="954"/>
      <c r="QTE63" s="954"/>
      <c r="QTF63" s="954"/>
      <c r="QTG63" s="954"/>
      <c r="QTH63" s="954"/>
      <c r="QTI63" s="954"/>
      <c r="QTJ63" s="954"/>
      <c r="QTK63" s="954"/>
      <c r="QTL63" s="954"/>
      <c r="QTM63" s="954"/>
      <c r="QTN63" s="954"/>
      <c r="QTO63" s="954"/>
      <c r="QTP63" s="954"/>
      <c r="QTQ63" s="954"/>
      <c r="QTR63" s="954"/>
      <c r="QTS63" s="954"/>
      <c r="QTT63" s="954"/>
      <c r="QTU63" s="954"/>
      <c r="QTV63" s="954"/>
      <c r="QTW63" s="954"/>
      <c r="QTX63" s="954"/>
      <c r="QTY63" s="954"/>
      <c r="QTZ63" s="954"/>
      <c r="QUA63" s="954"/>
      <c r="QUB63" s="954"/>
      <c r="QUC63" s="954"/>
      <c r="QUD63" s="954"/>
      <c r="QUE63" s="954"/>
      <c r="QUF63" s="954"/>
      <c r="QUG63" s="954"/>
      <c r="QUH63" s="954"/>
      <c r="QUI63" s="954"/>
      <c r="QUJ63" s="954"/>
      <c r="QUK63" s="954"/>
      <c r="QUL63" s="954"/>
      <c r="QUM63" s="954"/>
      <c r="QUN63" s="954"/>
      <c r="QUO63" s="954"/>
      <c r="QUP63" s="954"/>
      <c r="QUQ63" s="954"/>
      <c r="QUR63" s="954"/>
      <c r="QUS63" s="954"/>
      <c r="QUT63" s="954"/>
      <c r="QUU63" s="954"/>
      <c r="QUV63" s="954"/>
      <c r="QUW63" s="954"/>
      <c r="QUX63" s="954"/>
      <c r="QUY63" s="954"/>
      <c r="QUZ63" s="954"/>
      <c r="QVA63" s="954"/>
      <c r="QVB63" s="954"/>
      <c r="QVC63" s="954"/>
      <c r="QVD63" s="954"/>
      <c r="QVE63" s="954"/>
      <c r="QVF63" s="954"/>
      <c r="QVG63" s="954"/>
      <c r="QVH63" s="954"/>
      <c r="QVI63" s="954"/>
      <c r="QVJ63" s="954"/>
      <c r="QVK63" s="954"/>
      <c r="QVL63" s="954"/>
      <c r="QVM63" s="954"/>
      <c r="QVN63" s="954"/>
      <c r="QVO63" s="954"/>
      <c r="QVP63" s="954"/>
      <c r="QVQ63" s="954"/>
      <c r="QVR63" s="954"/>
      <c r="QVS63" s="954"/>
      <c r="QVT63" s="954"/>
      <c r="QVU63" s="954"/>
      <c r="QVV63" s="954"/>
      <c r="QVW63" s="954"/>
      <c r="QVX63" s="954"/>
      <c r="QVY63" s="954"/>
      <c r="QVZ63" s="954"/>
      <c r="QWA63" s="954"/>
      <c r="QWB63" s="954"/>
      <c r="QWC63" s="954"/>
      <c r="QWD63" s="954"/>
      <c r="QWE63" s="954"/>
      <c r="QWF63" s="954"/>
      <c r="QWG63" s="954"/>
      <c r="QWH63" s="954"/>
      <c r="QWI63" s="954"/>
      <c r="QWJ63" s="954"/>
      <c r="QWK63" s="954"/>
      <c r="QWL63" s="954"/>
      <c r="QWM63" s="954"/>
      <c r="QWN63" s="954"/>
      <c r="QWO63" s="954"/>
      <c r="QWP63" s="954"/>
      <c r="QWQ63" s="954"/>
      <c r="QWR63" s="954"/>
      <c r="QWS63" s="954"/>
      <c r="QWT63" s="954"/>
      <c r="QWU63" s="954"/>
      <c r="QWV63" s="954"/>
      <c r="QWW63" s="954"/>
      <c r="QWX63" s="954"/>
      <c r="QWY63" s="954"/>
      <c r="QWZ63" s="954"/>
      <c r="QXA63" s="954"/>
      <c r="QXB63" s="954"/>
      <c r="QXC63" s="954"/>
      <c r="QXD63" s="954"/>
      <c r="QXE63" s="954"/>
      <c r="QXF63" s="954"/>
      <c r="QXG63" s="954"/>
      <c r="QXH63" s="954"/>
      <c r="QXI63" s="954"/>
      <c r="QXJ63" s="954"/>
      <c r="QXK63" s="954"/>
      <c r="QXL63" s="954"/>
      <c r="QXM63" s="954"/>
      <c r="QXN63" s="954"/>
      <c r="QXO63" s="954"/>
      <c r="QXP63" s="954"/>
      <c r="QXQ63" s="954"/>
      <c r="QXR63" s="954"/>
      <c r="QXS63" s="954"/>
      <c r="QXT63" s="954"/>
      <c r="QXU63" s="954"/>
      <c r="QXV63" s="954"/>
      <c r="QXW63" s="954"/>
      <c r="QXX63" s="954"/>
      <c r="QXY63" s="954"/>
      <c r="QXZ63" s="954"/>
      <c r="QYA63" s="954"/>
      <c r="QYB63" s="954"/>
      <c r="QYC63" s="954"/>
      <c r="QYD63" s="954"/>
      <c r="QYE63" s="954"/>
      <c r="QYF63" s="954"/>
      <c r="QYG63" s="954"/>
      <c r="QYH63" s="954"/>
      <c r="QYI63" s="954"/>
      <c r="QYJ63" s="954"/>
      <c r="QYK63" s="954"/>
      <c r="QYL63" s="954"/>
      <c r="QYM63" s="954"/>
      <c r="QYN63" s="954"/>
      <c r="QYO63" s="954"/>
      <c r="QYP63" s="954"/>
      <c r="QYQ63" s="954"/>
      <c r="QYR63" s="954"/>
      <c r="QYS63" s="954"/>
      <c r="QYT63" s="954"/>
      <c r="QYU63" s="954"/>
      <c r="QYV63" s="954"/>
      <c r="QYW63" s="954"/>
      <c r="QYX63" s="954"/>
      <c r="QYY63" s="954"/>
      <c r="QYZ63" s="954"/>
      <c r="QZA63" s="954"/>
      <c r="QZB63" s="954"/>
      <c r="QZC63" s="954"/>
      <c r="QZD63" s="954"/>
      <c r="QZE63" s="954"/>
      <c r="QZF63" s="954"/>
      <c r="QZG63" s="954"/>
      <c r="QZH63" s="954"/>
      <c r="QZI63" s="954"/>
      <c r="QZJ63" s="954"/>
      <c r="QZK63" s="954"/>
      <c r="QZL63" s="954"/>
      <c r="QZM63" s="954"/>
      <c r="QZN63" s="954"/>
      <c r="QZO63" s="954"/>
      <c r="QZP63" s="954"/>
      <c r="QZQ63" s="954"/>
      <c r="QZR63" s="954"/>
      <c r="QZS63" s="954"/>
      <c r="QZT63" s="954"/>
      <c r="QZU63" s="954"/>
      <c r="QZV63" s="954"/>
      <c r="QZW63" s="954"/>
      <c r="QZX63" s="954"/>
      <c r="QZY63" s="954"/>
      <c r="QZZ63" s="954"/>
      <c r="RAA63" s="954"/>
      <c r="RAB63" s="954"/>
      <c r="RAC63" s="954"/>
      <c r="RAD63" s="954"/>
      <c r="RAE63" s="954"/>
      <c r="RAF63" s="954"/>
      <c r="RAG63" s="954"/>
      <c r="RAH63" s="954"/>
      <c r="RAI63" s="954"/>
      <c r="RAJ63" s="954"/>
      <c r="RAK63" s="954"/>
      <c r="RAL63" s="954"/>
      <c r="RAM63" s="954"/>
      <c r="RAN63" s="954"/>
      <c r="RAO63" s="954"/>
      <c r="RAP63" s="954"/>
      <c r="RAQ63" s="954"/>
      <c r="RAR63" s="954"/>
      <c r="RAS63" s="954"/>
      <c r="RAT63" s="954"/>
      <c r="RAU63" s="954"/>
      <c r="RAV63" s="954"/>
      <c r="RAW63" s="954"/>
      <c r="RAX63" s="954"/>
      <c r="RAY63" s="954"/>
      <c r="RAZ63" s="954"/>
      <c r="RBA63" s="954"/>
      <c r="RBB63" s="954"/>
      <c r="RBC63" s="954"/>
      <c r="RBD63" s="954"/>
      <c r="RBE63" s="954"/>
      <c r="RBF63" s="954"/>
      <c r="RBG63" s="954"/>
      <c r="RBH63" s="954"/>
      <c r="RBI63" s="954"/>
      <c r="RBJ63" s="954"/>
      <c r="RBK63" s="954"/>
      <c r="RBL63" s="954"/>
      <c r="RBM63" s="954"/>
      <c r="RBN63" s="954"/>
      <c r="RBO63" s="954"/>
      <c r="RBP63" s="954"/>
      <c r="RBQ63" s="954"/>
      <c r="RBR63" s="954"/>
      <c r="RBS63" s="954"/>
      <c r="RBT63" s="954"/>
      <c r="RBU63" s="954"/>
      <c r="RBV63" s="954"/>
      <c r="RBW63" s="954"/>
      <c r="RBX63" s="954"/>
      <c r="RBY63" s="954"/>
      <c r="RBZ63" s="954"/>
      <c r="RCA63" s="954"/>
      <c r="RCB63" s="954"/>
      <c r="RCC63" s="954"/>
      <c r="RCD63" s="954"/>
      <c r="RCE63" s="954"/>
      <c r="RCF63" s="954"/>
      <c r="RCG63" s="954"/>
      <c r="RCH63" s="954"/>
      <c r="RCI63" s="954"/>
      <c r="RCJ63" s="954"/>
      <c r="RCK63" s="954"/>
      <c r="RCL63" s="954"/>
      <c r="RCM63" s="954"/>
      <c r="RCN63" s="954"/>
      <c r="RCO63" s="954"/>
      <c r="RCP63" s="954"/>
      <c r="RCQ63" s="954"/>
      <c r="RCR63" s="954"/>
      <c r="RCS63" s="954"/>
      <c r="RCT63" s="954"/>
      <c r="RCU63" s="954"/>
      <c r="RCV63" s="954"/>
      <c r="RCW63" s="954"/>
      <c r="RCX63" s="954"/>
      <c r="RCY63" s="954"/>
      <c r="RCZ63" s="954"/>
      <c r="RDA63" s="954"/>
      <c r="RDB63" s="954"/>
      <c r="RDC63" s="954"/>
      <c r="RDD63" s="954"/>
      <c r="RDE63" s="954"/>
      <c r="RDF63" s="954"/>
      <c r="RDG63" s="954"/>
      <c r="RDH63" s="954"/>
      <c r="RDI63" s="954"/>
      <c r="RDJ63" s="954"/>
      <c r="RDK63" s="954"/>
      <c r="RDL63" s="954"/>
      <c r="RDM63" s="954"/>
      <c r="RDN63" s="954"/>
      <c r="RDO63" s="954"/>
      <c r="RDP63" s="954"/>
      <c r="RDQ63" s="954"/>
      <c r="RDR63" s="954"/>
      <c r="RDS63" s="954"/>
      <c r="RDT63" s="954"/>
      <c r="RDU63" s="954"/>
      <c r="RDV63" s="954"/>
      <c r="RDW63" s="954"/>
      <c r="RDX63" s="954"/>
      <c r="RDY63" s="954"/>
      <c r="RDZ63" s="954"/>
      <c r="REA63" s="954"/>
      <c r="REB63" s="954"/>
      <c r="REC63" s="954"/>
      <c r="RED63" s="954"/>
      <c r="REE63" s="954"/>
      <c r="REF63" s="954"/>
      <c r="REG63" s="954"/>
      <c r="REH63" s="954"/>
      <c r="REI63" s="954"/>
      <c r="REJ63" s="954"/>
      <c r="REK63" s="954"/>
      <c r="REL63" s="954"/>
      <c r="REM63" s="954"/>
      <c r="REN63" s="954"/>
      <c r="REO63" s="954"/>
      <c r="REP63" s="954"/>
      <c r="REQ63" s="954"/>
      <c r="RER63" s="954"/>
      <c r="RES63" s="954"/>
      <c r="RET63" s="954"/>
      <c r="REU63" s="954"/>
      <c r="REV63" s="954"/>
      <c r="REW63" s="954"/>
      <c r="REX63" s="954"/>
      <c r="REY63" s="954"/>
      <c r="REZ63" s="954"/>
      <c r="RFA63" s="954"/>
      <c r="RFB63" s="954"/>
      <c r="RFC63" s="954"/>
      <c r="RFD63" s="954"/>
      <c r="RFE63" s="954"/>
      <c r="RFF63" s="954"/>
      <c r="RFG63" s="954"/>
      <c r="RFH63" s="954"/>
      <c r="RFI63" s="954"/>
      <c r="RFJ63" s="954"/>
      <c r="RFK63" s="954"/>
      <c r="RFL63" s="954"/>
      <c r="RFM63" s="954"/>
      <c r="RFN63" s="954"/>
      <c r="RFO63" s="954"/>
      <c r="RFP63" s="954"/>
      <c r="RFQ63" s="954"/>
      <c r="RFR63" s="954"/>
      <c r="RFS63" s="954"/>
      <c r="RFT63" s="954"/>
      <c r="RFU63" s="954"/>
      <c r="RFV63" s="954"/>
      <c r="RFW63" s="954"/>
      <c r="RFX63" s="954"/>
      <c r="RFY63" s="954"/>
      <c r="RFZ63" s="954"/>
      <c r="RGA63" s="954"/>
      <c r="RGB63" s="954"/>
      <c r="RGC63" s="954"/>
      <c r="RGD63" s="954"/>
      <c r="RGE63" s="954"/>
      <c r="RGF63" s="954"/>
      <c r="RGG63" s="954"/>
      <c r="RGH63" s="954"/>
      <c r="RGI63" s="954"/>
      <c r="RGJ63" s="954"/>
      <c r="RGK63" s="954"/>
      <c r="RGL63" s="954"/>
      <c r="RGM63" s="954"/>
      <c r="RGN63" s="954"/>
      <c r="RGO63" s="954"/>
      <c r="RGP63" s="954"/>
      <c r="RGQ63" s="954"/>
      <c r="RGR63" s="954"/>
      <c r="RGS63" s="954"/>
      <c r="RGT63" s="954"/>
      <c r="RGU63" s="954"/>
      <c r="RGV63" s="954"/>
      <c r="RGW63" s="954"/>
      <c r="RGX63" s="954"/>
      <c r="RGY63" s="954"/>
      <c r="RGZ63" s="954"/>
      <c r="RHA63" s="954"/>
      <c r="RHB63" s="954"/>
      <c r="RHC63" s="954"/>
      <c r="RHD63" s="954"/>
      <c r="RHE63" s="954"/>
      <c r="RHF63" s="954"/>
      <c r="RHG63" s="954"/>
      <c r="RHH63" s="954"/>
      <c r="RHI63" s="954"/>
      <c r="RHJ63" s="954"/>
      <c r="RHK63" s="954"/>
      <c r="RHL63" s="954"/>
      <c r="RHM63" s="954"/>
      <c r="RHN63" s="954"/>
      <c r="RHO63" s="954"/>
      <c r="RHP63" s="954"/>
      <c r="RHQ63" s="954"/>
      <c r="RHR63" s="954"/>
      <c r="RHS63" s="954"/>
      <c r="RHT63" s="954"/>
      <c r="RHU63" s="954"/>
      <c r="RHV63" s="954"/>
      <c r="RHW63" s="954"/>
      <c r="RHX63" s="954"/>
      <c r="RHY63" s="954"/>
      <c r="RHZ63" s="954"/>
      <c r="RIA63" s="954"/>
      <c r="RIB63" s="954"/>
      <c r="RIC63" s="954"/>
      <c r="RID63" s="954"/>
      <c r="RIE63" s="954"/>
      <c r="RIF63" s="954"/>
      <c r="RIG63" s="954"/>
      <c r="RIH63" s="954"/>
      <c r="RII63" s="954"/>
      <c r="RIJ63" s="954"/>
      <c r="RIK63" s="954"/>
      <c r="RIL63" s="954"/>
      <c r="RIM63" s="954"/>
      <c r="RIN63" s="954"/>
      <c r="RIO63" s="954"/>
      <c r="RIP63" s="954"/>
      <c r="RIQ63" s="954"/>
      <c r="RIR63" s="954"/>
      <c r="RIS63" s="954"/>
      <c r="RIT63" s="954"/>
      <c r="RIU63" s="954"/>
      <c r="RIV63" s="954"/>
      <c r="RIW63" s="954"/>
      <c r="RIX63" s="954"/>
      <c r="RIY63" s="954"/>
      <c r="RIZ63" s="954"/>
      <c r="RJA63" s="954"/>
      <c r="RJB63" s="954"/>
      <c r="RJC63" s="954"/>
      <c r="RJD63" s="954"/>
      <c r="RJE63" s="954"/>
      <c r="RJF63" s="954"/>
      <c r="RJG63" s="954"/>
      <c r="RJH63" s="954"/>
      <c r="RJI63" s="954"/>
      <c r="RJJ63" s="954"/>
      <c r="RJK63" s="954"/>
      <c r="RJL63" s="954"/>
      <c r="RJM63" s="954"/>
      <c r="RJN63" s="954"/>
      <c r="RJO63" s="954"/>
      <c r="RJP63" s="954"/>
      <c r="RJQ63" s="954"/>
      <c r="RJR63" s="954"/>
      <c r="RJS63" s="954"/>
      <c r="RJT63" s="954"/>
      <c r="RJU63" s="954"/>
      <c r="RJV63" s="954"/>
      <c r="RJW63" s="954"/>
      <c r="RJX63" s="954"/>
      <c r="RJY63" s="954"/>
      <c r="RJZ63" s="954"/>
      <c r="RKA63" s="954"/>
      <c r="RKB63" s="954"/>
      <c r="RKC63" s="954"/>
      <c r="RKD63" s="954"/>
      <c r="RKE63" s="954"/>
      <c r="RKF63" s="954"/>
      <c r="RKG63" s="954"/>
      <c r="RKH63" s="954"/>
      <c r="RKI63" s="954"/>
      <c r="RKJ63" s="954"/>
      <c r="RKK63" s="954"/>
      <c r="RKL63" s="954"/>
      <c r="RKM63" s="954"/>
      <c r="RKN63" s="954"/>
      <c r="RKO63" s="954"/>
      <c r="RKP63" s="954"/>
      <c r="RKQ63" s="954"/>
      <c r="RKR63" s="954"/>
      <c r="RKS63" s="954"/>
      <c r="RKT63" s="954"/>
      <c r="RKU63" s="954"/>
      <c r="RKV63" s="954"/>
      <c r="RKW63" s="954"/>
      <c r="RKX63" s="954"/>
      <c r="RKY63" s="954"/>
      <c r="RKZ63" s="954"/>
      <c r="RLA63" s="954"/>
      <c r="RLB63" s="954"/>
      <c r="RLC63" s="954"/>
      <c r="RLD63" s="954"/>
      <c r="RLE63" s="954"/>
      <c r="RLF63" s="954"/>
      <c r="RLG63" s="954"/>
      <c r="RLH63" s="954"/>
      <c r="RLI63" s="954"/>
      <c r="RLJ63" s="954"/>
      <c r="RLK63" s="954"/>
      <c r="RLL63" s="954"/>
      <c r="RLM63" s="954"/>
      <c r="RLN63" s="954"/>
      <c r="RLO63" s="954"/>
      <c r="RLP63" s="954"/>
      <c r="RLQ63" s="954"/>
      <c r="RLR63" s="954"/>
      <c r="RLS63" s="954"/>
      <c r="RLT63" s="954"/>
      <c r="RLU63" s="954"/>
      <c r="RLV63" s="954"/>
      <c r="RLW63" s="954"/>
      <c r="RLX63" s="954"/>
      <c r="RLY63" s="954"/>
      <c r="RLZ63" s="954"/>
      <c r="RMA63" s="954"/>
      <c r="RMB63" s="954"/>
      <c r="RMC63" s="954"/>
      <c r="RMD63" s="954"/>
      <c r="RME63" s="954"/>
      <c r="RMF63" s="954"/>
      <c r="RMG63" s="954"/>
      <c r="RMH63" s="954"/>
      <c r="RMI63" s="954"/>
      <c r="RMJ63" s="954"/>
      <c r="RMK63" s="954"/>
      <c r="RML63" s="954"/>
      <c r="RMM63" s="954"/>
      <c r="RMN63" s="954"/>
      <c r="RMO63" s="954"/>
      <c r="RMP63" s="954"/>
      <c r="RMQ63" s="954"/>
      <c r="RMR63" s="954"/>
      <c r="RMS63" s="954"/>
      <c r="RMT63" s="954"/>
      <c r="RMU63" s="954"/>
      <c r="RMV63" s="954"/>
      <c r="RMW63" s="954"/>
      <c r="RMX63" s="954"/>
      <c r="RMY63" s="954"/>
      <c r="RMZ63" s="954"/>
      <c r="RNA63" s="954"/>
      <c r="RNB63" s="954"/>
      <c r="RNC63" s="954"/>
      <c r="RND63" s="954"/>
      <c r="RNE63" s="954"/>
      <c r="RNF63" s="954"/>
      <c r="RNG63" s="954"/>
      <c r="RNH63" s="954"/>
      <c r="RNI63" s="954"/>
      <c r="RNJ63" s="954"/>
      <c r="RNK63" s="954"/>
      <c r="RNL63" s="954"/>
      <c r="RNM63" s="954"/>
      <c r="RNN63" s="954"/>
      <c r="RNO63" s="954"/>
      <c r="RNP63" s="954"/>
      <c r="RNQ63" s="954"/>
      <c r="RNR63" s="954"/>
      <c r="RNS63" s="954"/>
      <c r="RNT63" s="954"/>
      <c r="RNU63" s="954"/>
      <c r="RNV63" s="954"/>
      <c r="RNW63" s="954"/>
      <c r="RNX63" s="954"/>
      <c r="RNY63" s="954"/>
      <c r="RNZ63" s="954"/>
      <c r="ROA63" s="954"/>
      <c r="ROB63" s="954"/>
      <c r="ROC63" s="954"/>
      <c r="ROD63" s="954"/>
      <c r="ROE63" s="954"/>
      <c r="ROF63" s="954"/>
      <c r="ROG63" s="954"/>
      <c r="ROH63" s="954"/>
      <c r="ROI63" s="954"/>
      <c r="ROJ63" s="954"/>
      <c r="ROK63" s="954"/>
      <c r="ROL63" s="954"/>
      <c r="ROM63" s="954"/>
      <c r="RON63" s="954"/>
      <c r="ROO63" s="954"/>
      <c r="ROP63" s="954"/>
      <c r="ROQ63" s="954"/>
      <c r="ROR63" s="954"/>
      <c r="ROS63" s="954"/>
      <c r="ROT63" s="954"/>
      <c r="ROU63" s="954"/>
      <c r="ROV63" s="954"/>
      <c r="ROW63" s="954"/>
      <c r="ROX63" s="954"/>
      <c r="ROY63" s="954"/>
      <c r="ROZ63" s="954"/>
      <c r="RPA63" s="954"/>
      <c r="RPB63" s="954"/>
      <c r="RPC63" s="954"/>
      <c r="RPD63" s="954"/>
      <c r="RPE63" s="954"/>
      <c r="RPF63" s="954"/>
      <c r="RPG63" s="954"/>
      <c r="RPH63" s="954"/>
      <c r="RPI63" s="954"/>
      <c r="RPJ63" s="954"/>
      <c r="RPK63" s="954"/>
      <c r="RPL63" s="954"/>
      <c r="RPM63" s="954"/>
      <c r="RPN63" s="954"/>
      <c r="RPO63" s="954"/>
      <c r="RPP63" s="954"/>
      <c r="RPQ63" s="954"/>
      <c r="RPR63" s="954"/>
      <c r="RPS63" s="954"/>
      <c r="RPT63" s="954"/>
      <c r="RPU63" s="954"/>
      <c r="RPV63" s="954"/>
      <c r="RPW63" s="954"/>
      <c r="RPX63" s="954"/>
      <c r="RPY63" s="954"/>
      <c r="RPZ63" s="954"/>
      <c r="RQA63" s="954"/>
      <c r="RQB63" s="954"/>
      <c r="RQC63" s="954"/>
      <c r="RQD63" s="954"/>
      <c r="RQE63" s="954"/>
      <c r="RQF63" s="954"/>
      <c r="RQG63" s="954"/>
      <c r="RQH63" s="954"/>
      <c r="RQI63" s="954"/>
      <c r="RQJ63" s="954"/>
      <c r="RQK63" s="954"/>
      <c r="RQL63" s="954"/>
      <c r="RQM63" s="954"/>
      <c r="RQN63" s="954"/>
      <c r="RQO63" s="954"/>
      <c r="RQP63" s="954"/>
      <c r="RQQ63" s="954"/>
      <c r="RQR63" s="954"/>
      <c r="RQS63" s="954"/>
      <c r="RQT63" s="954"/>
      <c r="RQU63" s="954"/>
      <c r="RQV63" s="954"/>
      <c r="RQW63" s="954"/>
      <c r="RQX63" s="954"/>
      <c r="RQY63" s="954"/>
      <c r="RQZ63" s="954"/>
      <c r="RRA63" s="954"/>
      <c r="RRB63" s="954"/>
      <c r="RRC63" s="954"/>
      <c r="RRD63" s="954"/>
      <c r="RRE63" s="954"/>
      <c r="RRF63" s="954"/>
      <c r="RRG63" s="954"/>
      <c r="RRH63" s="954"/>
      <c r="RRI63" s="954"/>
      <c r="RRJ63" s="954"/>
      <c r="RRK63" s="954"/>
      <c r="RRL63" s="954"/>
      <c r="RRM63" s="954"/>
      <c r="RRN63" s="954"/>
      <c r="RRO63" s="954"/>
      <c r="RRP63" s="954"/>
      <c r="RRQ63" s="954"/>
      <c r="RRR63" s="954"/>
      <c r="RRS63" s="954"/>
      <c r="RRT63" s="954"/>
      <c r="RRU63" s="954"/>
      <c r="RRV63" s="954"/>
      <c r="RRW63" s="954"/>
      <c r="RRX63" s="954"/>
      <c r="RRY63" s="954"/>
      <c r="RRZ63" s="954"/>
      <c r="RSA63" s="954"/>
      <c r="RSB63" s="954"/>
      <c r="RSC63" s="954"/>
      <c r="RSD63" s="954"/>
      <c r="RSE63" s="954"/>
      <c r="RSF63" s="954"/>
      <c r="RSG63" s="954"/>
      <c r="RSH63" s="954"/>
      <c r="RSI63" s="954"/>
      <c r="RSJ63" s="954"/>
      <c r="RSK63" s="954"/>
      <c r="RSL63" s="954"/>
      <c r="RSM63" s="954"/>
      <c r="RSN63" s="954"/>
      <c r="RSO63" s="954"/>
      <c r="RSP63" s="954"/>
      <c r="RSQ63" s="954"/>
      <c r="RSR63" s="954"/>
      <c r="RSS63" s="954"/>
      <c r="RST63" s="954"/>
      <c r="RSU63" s="954"/>
      <c r="RSV63" s="954"/>
      <c r="RSW63" s="954"/>
      <c r="RSX63" s="954"/>
      <c r="RSY63" s="954"/>
      <c r="RSZ63" s="954"/>
      <c r="RTA63" s="954"/>
      <c r="RTB63" s="954"/>
      <c r="RTC63" s="954"/>
      <c r="RTD63" s="954"/>
      <c r="RTE63" s="954"/>
      <c r="RTF63" s="954"/>
      <c r="RTG63" s="954"/>
      <c r="RTH63" s="954"/>
      <c r="RTI63" s="954"/>
      <c r="RTJ63" s="954"/>
      <c r="RTK63" s="954"/>
      <c r="RTL63" s="954"/>
      <c r="RTM63" s="954"/>
      <c r="RTN63" s="954"/>
      <c r="RTO63" s="954"/>
      <c r="RTP63" s="954"/>
      <c r="RTQ63" s="954"/>
      <c r="RTR63" s="954"/>
      <c r="RTS63" s="954"/>
      <c r="RTT63" s="954"/>
      <c r="RTU63" s="954"/>
      <c r="RTV63" s="954"/>
      <c r="RTW63" s="954"/>
      <c r="RTX63" s="954"/>
      <c r="RTY63" s="954"/>
      <c r="RTZ63" s="954"/>
      <c r="RUA63" s="954"/>
      <c r="RUB63" s="954"/>
      <c r="RUC63" s="954"/>
      <c r="RUD63" s="954"/>
      <c r="RUE63" s="954"/>
      <c r="RUF63" s="954"/>
      <c r="RUG63" s="954"/>
      <c r="RUH63" s="954"/>
      <c r="RUI63" s="954"/>
      <c r="RUJ63" s="954"/>
      <c r="RUK63" s="954"/>
      <c r="RUL63" s="954"/>
      <c r="RUM63" s="954"/>
      <c r="RUN63" s="954"/>
      <c r="RUO63" s="954"/>
      <c r="RUP63" s="954"/>
      <c r="RUQ63" s="954"/>
      <c r="RUR63" s="954"/>
      <c r="RUS63" s="954"/>
      <c r="RUT63" s="954"/>
      <c r="RUU63" s="954"/>
      <c r="RUV63" s="954"/>
      <c r="RUW63" s="954"/>
      <c r="RUX63" s="954"/>
      <c r="RUY63" s="954"/>
      <c r="RUZ63" s="954"/>
      <c r="RVA63" s="954"/>
      <c r="RVB63" s="954"/>
      <c r="RVC63" s="954"/>
      <c r="RVD63" s="954"/>
      <c r="RVE63" s="954"/>
      <c r="RVF63" s="954"/>
      <c r="RVG63" s="954"/>
      <c r="RVH63" s="954"/>
      <c r="RVI63" s="954"/>
      <c r="RVJ63" s="954"/>
      <c r="RVK63" s="954"/>
      <c r="RVL63" s="954"/>
      <c r="RVM63" s="954"/>
      <c r="RVN63" s="954"/>
      <c r="RVO63" s="954"/>
      <c r="RVP63" s="954"/>
      <c r="RVQ63" s="954"/>
      <c r="RVR63" s="954"/>
      <c r="RVS63" s="954"/>
      <c r="RVT63" s="954"/>
      <c r="RVU63" s="954"/>
      <c r="RVV63" s="954"/>
      <c r="RVW63" s="954"/>
      <c r="RVX63" s="954"/>
      <c r="RVY63" s="954"/>
      <c r="RVZ63" s="954"/>
      <c r="RWA63" s="954"/>
      <c r="RWB63" s="954"/>
      <c r="RWC63" s="954"/>
      <c r="RWD63" s="954"/>
      <c r="RWE63" s="954"/>
      <c r="RWF63" s="954"/>
      <c r="RWG63" s="954"/>
      <c r="RWH63" s="954"/>
      <c r="RWI63" s="954"/>
      <c r="RWJ63" s="954"/>
      <c r="RWK63" s="954"/>
      <c r="RWL63" s="954"/>
      <c r="RWM63" s="954"/>
      <c r="RWN63" s="954"/>
      <c r="RWO63" s="954"/>
      <c r="RWP63" s="954"/>
      <c r="RWQ63" s="954"/>
      <c r="RWR63" s="954"/>
      <c r="RWS63" s="954"/>
      <c r="RWT63" s="954"/>
      <c r="RWU63" s="954"/>
      <c r="RWV63" s="954"/>
      <c r="RWW63" s="954"/>
      <c r="RWX63" s="954"/>
      <c r="RWY63" s="954"/>
      <c r="RWZ63" s="954"/>
      <c r="RXA63" s="954"/>
      <c r="RXB63" s="954"/>
      <c r="RXC63" s="954"/>
      <c r="RXD63" s="954"/>
      <c r="RXE63" s="954"/>
      <c r="RXF63" s="954"/>
      <c r="RXG63" s="954"/>
      <c r="RXH63" s="954"/>
      <c r="RXI63" s="954"/>
      <c r="RXJ63" s="954"/>
      <c r="RXK63" s="954"/>
      <c r="RXL63" s="954"/>
      <c r="RXM63" s="954"/>
      <c r="RXN63" s="954"/>
      <c r="RXO63" s="954"/>
      <c r="RXP63" s="954"/>
      <c r="RXQ63" s="954"/>
      <c r="RXR63" s="954"/>
      <c r="RXS63" s="954"/>
      <c r="RXT63" s="954"/>
      <c r="RXU63" s="954"/>
      <c r="RXV63" s="954"/>
      <c r="RXW63" s="954"/>
      <c r="RXX63" s="954"/>
      <c r="RXY63" s="954"/>
      <c r="RXZ63" s="954"/>
      <c r="RYA63" s="954"/>
      <c r="RYB63" s="954"/>
      <c r="RYC63" s="954"/>
      <c r="RYD63" s="954"/>
      <c r="RYE63" s="954"/>
      <c r="RYF63" s="954"/>
      <c r="RYG63" s="954"/>
      <c r="RYH63" s="954"/>
      <c r="RYI63" s="954"/>
      <c r="RYJ63" s="954"/>
      <c r="RYK63" s="954"/>
      <c r="RYL63" s="954"/>
      <c r="RYM63" s="954"/>
      <c r="RYN63" s="954"/>
      <c r="RYO63" s="954"/>
      <c r="RYP63" s="954"/>
      <c r="RYQ63" s="954"/>
      <c r="RYR63" s="954"/>
      <c r="RYS63" s="954"/>
      <c r="RYT63" s="954"/>
      <c r="RYU63" s="954"/>
      <c r="RYV63" s="954"/>
      <c r="RYW63" s="954"/>
      <c r="RYX63" s="954"/>
      <c r="RYY63" s="954"/>
      <c r="RYZ63" s="954"/>
      <c r="RZA63" s="954"/>
      <c r="RZB63" s="954"/>
      <c r="RZC63" s="954"/>
      <c r="RZD63" s="954"/>
      <c r="RZE63" s="954"/>
      <c r="RZF63" s="954"/>
      <c r="RZG63" s="954"/>
      <c r="RZH63" s="954"/>
      <c r="RZI63" s="954"/>
      <c r="RZJ63" s="954"/>
      <c r="RZK63" s="954"/>
      <c r="RZL63" s="954"/>
      <c r="RZM63" s="954"/>
      <c r="RZN63" s="954"/>
      <c r="RZO63" s="954"/>
      <c r="RZP63" s="954"/>
      <c r="RZQ63" s="954"/>
      <c r="RZR63" s="954"/>
      <c r="RZS63" s="954"/>
      <c r="RZT63" s="954"/>
      <c r="RZU63" s="954"/>
      <c r="RZV63" s="954"/>
      <c r="RZW63" s="954"/>
      <c r="RZX63" s="954"/>
      <c r="RZY63" s="954"/>
      <c r="RZZ63" s="954"/>
      <c r="SAA63" s="954"/>
      <c r="SAB63" s="954"/>
      <c r="SAC63" s="954"/>
      <c r="SAD63" s="954"/>
      <c r="SAE63" s="954"/>
      <c r="SAF63" s="954"/>
      <c r="SAG63" s="954"/>
      <c r="SAH63" s="954"/>
      <c r="SAI63" s="954"/>
      <c r="SAJ63" s="954"/>
      <c r="SAK63" s="954"/>
      <c r="SAL63" s="954"/>
      <c r="SAM63" s="954"/>
      <c r="SAN63" s="954"/>
      <c r="SAO63" s="954"/>
      <c r="SAP63" s="954"/>
      <c r="SAQ63" s="954"/>
      <c r="SAR63" s="954"/>
      <c r="SAS63" s="954"/>
      <c r="SAT63" s="954"/>
      <c r="SAU63" s="954"/>
      <c r="SAV63" s="954"/>
      <c r="SAW63" s="954"/>
      <c r="SAX63" s="954"/>
      <c r="SAY63" s="954"/>
      <c r="SAZ63" s="954"/>
      <c r="SBA63" s="954"/>
      <c r="SBB63" s="954"/>
      <c r="SBC63" s="954"/>
      <c r="SBD63" s="954"/>
      <c r="SBE63" s="954"/>
      <c r="SBF63" s="954"/>
      <c r="SBG63" s="954"/>
      <c r="SBH63" s="954"/>
      <c r="SBI63" s="954"/>
      <c r="SBJ63" s="954"/>
      <c r="SBK63" s="954"/>
      <c r="SBL63" s="954"/>
      <c r="SBM63" s="954"/>
      <c r="SBN63" s="954"/>
      <c r="SBO63" s="954"/>
      <c r="SBP63" s="954"/>
      <c r="SBQ63" s="954"/>
      <c r="SBR63" s="954"/>
      <c r="SBS63" s="954"/>
      <c r="SBT63" s="954"/>
      <c r="SBU63" s="954"/>
      <c r="SBV63" s="954"/>
      <c r="SBW63" s="954"/>
      <c r="SBX63" s="954"/>
      <c r="SBY63" s="954"/>
      <c r="SBZ63" s="954"/>
      <c r="SCA63" s="954"/>
      <c r="SCB63" s="954"/>
      <c r="SCC63" s="954"/>
      <c r="SCD63" s="954"/>
      <c r="SCE63" s="954"/>
      <c r="SCF63" s="954"/>
      <c r="SCG63" s="954"/>
      <c r="SCH63" s="954"/>
      <c r="SCI63" s="954"/>
      <c r="SCJ63" s="954"/>
      <c r="SCK63" s="954"/>
      <c r="SCL63" s="954"/>
      <c r="SCM63" s="954"/>
      <c r="SCN63" s="954"/>
      <c r="SCO63" s="954"/>
      <c r="SCP63" s="954"/>
      <c r="SCQ63" s="954"/>
      <c r="SCR63" s="954"/>
      <c r="SCS63" s="954"/>
      <c r="SCT63" s="954"/>
      <c r="SCU63" s="954"/>
      <c r="SCV63" s="954"/>
      <c r="SCW63" s="954"/>
      <c r="SCX63" s="954"/>
      <c r="SCY63" s="954"/>
      <c r="SCZ63" s="954"/>
      <c r="SDA63" s="954"/>
      <c r="SDB63" s="954"/>
      <c r="SDC63" s="954"/>
      <c r="SDD63" s="954"/>
      <c r="SDE63" s="954"/>
      <c r="SDF63" s="954"/>
      <c r="SDG63" s="954"/>
      <c r="SDH63" s="954"/>
      <c r="SDI63" s="954"/>
      <c r="SDJ63" s="954"/>
      <c r="SDK63" s="954"/>
      <c r="SDL63" s="954"/>
      <c r="SDM63" s="954"/>
      <c r="SDN63" s="954"/>
      <c r="SDO63" s="954"/>
      <c r="SDP63" s="954"/>
      <c r="SDQ63" s="954"/>
      <c r="SDR63" s="954"/>
      <c r="SDS63" s="954"/>
      <c r="SDT63" s="954"/>
      <c r="SDU63" s="954"/>
      <c r="SDV63" s="954"/>
      <c r="SDW63" s="954"/>
      <c r="SDX63" s="954"/>
      <c r="SDY63" s="954"/>
      <c r="SDZ63" s="954"/>
      <c r="SEA63" s="954"/>
      <c r="SEB63" s="954"/>
      <c r="SEC63" s="954"/>
      <c r="SED63" s="954"/>
      <c r="SEE63" s="954"/>
      <c r="SEF63" s="954"/>
      <c r="SEG63" s="954"/>
      <c r="SEH63" s="954"/>
      <c r="SEI63" s="954"/>
      <c r="SEJ63" s="954"/>
      <c r="SEK63" s="954"/>
      <c r="SEL63" s="954"/>
      <c r="SEM63" s="954"/>
      <c r="SEN63" s="954"/>
      <c r="SEO63" s="954"/>
      <c r="SEP63" s="954"/>
      <c r="SEQ63" s="954"/>
      <c r="SER63" s="954"/>
      <c r="SES63" s="954"/>
      <c r="SET63" s="954"/>
      <c r="SEU63" s="954"/>
      <c r="SEV63" s="954"/>
      <c r="SEW63" s="954"/>
      <c r="SEX63" s="954"/>
      <c r="SEY63" s="954"/>
      <c r="SEZ63" s="954"/>
      <c r="SFA63" s="954"/>
      <c r="SFB63" s="954"/>
      <c r="SFC63" s="954"/>
      <c r="SFD63" s="954"/>
      <c r="SFE63" s="954"/>
      <c r="SFF63" s="954"/>
      <c r="SFG63" s="954"/>
      <c r="SFH63" s="954"/>
      <c r="SFI63" s="954"/>
      <c r="SFJ63" s="954"/>
      <c r="SFK63" s="954"/>
      <c r="SFL63" s="954"/>
      <c r="SFM63" s="954"/>
      <c r="SFN63" s="954"/>
      <c r="SFO63" s="954"/>
      <c r="SFP63" s="954"/>
      <c r="SFQ63" s="954"/>
      <c r="SFR63" s="954"/>
      <c r="SFS63" s="954"/>
      <c r="SFT63" s="954"/>
      <c r="SFU63" s="954"/>
      <c r="SFV63" s="954"/>
      <c r="SFW63" s="954"/>
      <c r="SFX63" s="954"/>
      <c r="SFY63" s="954"/>
      <c r="SFZ63" s="954"/>
      <c r="SGA63" s="954"/>
      <c r="SGB63" s="954"/>
      <c r="SGC63" s="954"/>
      <c r="SGD63" s="954"/>
      <c r="SGE63" s="954"/>
      <c r="SGF63" s="954"/>
      <c r="SGG63" s="954"/>
      <c r="SGH63" s="954"/>
      <c r="SGI63" s="954"/>
      <c r="SGJ63" s="954"/>
      <c r="SGK63" s="954"/>
      <c r="SGL63" s="954"/>
      <c r="SGM63" s="954"/>
      <c r="SGN63" s="954"/>
      <c r="SGO63" s="954"/>
      <c r="SGP63" s="954"/>
      <c r="SGQ63" s="954"/>
      <c r="SGR63" s="954"/>
      <c r="SGS63" s="954"/>
      <c r="SGT63" s="954"/>
      <c r="SGU63" s="954"/>
      <c r="SGV63" s="954"/>
      <c r="SGW63" s="954"/>
      <c r="SGX63" s="954"/>
      <c r="SGY63" s="954"/>
      <c r="SGZ63" s="954"/>
      <c r="SHA63" s="954"/>
      <c r="SHB63" s="954"/>
      <c r="SHC63" s="954"/>
      <c r="SHD63" s="954"/>
      <c r="SHE63" s="954"/>
      <c r="SHF63" s="954"/>
      <c r="SHG63" s="954"/>
      <c r="SHH63" s="954"/>
      <c r="SHI63" s="954"/>
      <c r="SHJ63" s="954"/>
      <c r="SHK63" s="954"/>
      <c r="SHL63" s="954"/>
      <c r="SHM63" s="954"/>
      <c r="SHN63" s="954"/>
      <c r="SHO63" s="954"/>
      <c r="SHP63" s="954"/>
      <c r="SHQ63" s="954"/>
      <c r="SHR63" s="954"/>
      <c r="SHS63" s="954"/>
      <c r="SHT63" s="954"/>
      <c r="SHU63" s="954"/>
      <c r="SHV63" s="954"/>
      <c r="SHW63" s="954"/>
      <c r="SHX63" s="954"/>
      <c r="SHY63" s="954"/>
      <c r="SHZ63" s="954"/>
      <c r="SIA63" s="954"/>
      <c r="SIB63" s="954"/>
      <c r="SIC63" s="954"/>
      <c r="SID63" s="954"/>
      <c r="SIE63" s="954"/>
      <c r="SIF63" s="954"/>
      <c r="SIG63" s="954"/>
      <c r="SIH63" s="954"/>
      <c r="SII63" s="954"/>
      <c r="SIJ63" s="954"/>
      <c r="SIK63" s="954"/>
      <c r="SIL63" s="954"/>
      <c r="SIM63" s="954"/>
      <c r="SIN63" s="954"/>
      <c r="SIO63" s="954"/>
      <c r="SIP63" s="954"/>
      <c r="SIQ63" s="954"/>
      <c r="SIR63" s="954"/>
      <c r="SIS63" s="954"/>
      <c r="SIT63" s="954"/>
      <c r="SIU63" s="954"/>
      <c r="SIV63" s="954"/>
      <c r="SIW63" s="954"/>
      <c r="SIX63" s="954"/>
      <c r="SIY63" s="954"/>
      <c r="SIZ63" s="954"/>
      <c r="SJA63" s="954"/>
      <c r="SJB63" s="954"/>
      <c r="SJC63" s="954"/>
      <c r="SJD63" s="954"/>
      <c r="SJE63" s="954"/>
      <c r="SJF63" s="954"/>
      <c r="SJG63" s="954"/>
      <c r="SJH63" s="954"/>
      <c r="SJI63" s="954"/>
      <c r="SJJ63" s="954"/>
      <c r="SJK63" s="954"/>
      <c r="SJL63" s="954"/>
      <c r="SJM63" s="954"/>
      <c r="SJN63" s="954"/>
      <c r="SJO63" s="954"/>
      <c r="SJP63" s="954"/>
      <c r="SJQ63" s="954"/>
      <c r="SJR63" s="954"/>
      <c r="SJS63" s="954"/>
      <c r="SJT63" s="954"/>
      <c r="SJU63" s="954"/>
      <c r="SJV63" s="954"/>
      <c r="SJW63" s="954"/>
      <c r="SJX63" s="954"/>
      <c r="SJY63" s="954"/>
      <c r="SJZ63" s="954"/>
      <c r="SKA63" s="954"/>
      <c r="SKB63" s="954"/>
      <c r="SKC63" s="954"/>
      <c r="SKD63" s="954"/>
      <c r="SKE63" s="954"/>
      <c r="SKF63" s="954"/>
      <c r="SKG63" s="954"/>
      <c r="SKH63" s="954"/>
      <c r="SKI63" s="954"/>
      <c r="SKJ63" s="954"/>
      <c r="SKK63" s="954"/>
      <c r="SKL63" s="954"/>
      <c r="SKM63" s="954"/>
      <c r="SKN63" s="954"/>
      <c r="SKO63" s="954"/>
      <c r="SKP63" s="954"/>
      <c r="SKQ63" s="954"/>
      <c r="SKR63" s="954"/>
      <c r="SKS63" s="954"/>
      <c r="SKT63" s="954"/>
      <c r="SKU63" s="954"/>
      <c r="SKV63" s="954"/>
      <c r="SKW63" s="954"/>
      <c r="SKX63" s="954"/>
      <c r="SKY63" s="954"/>
      <c r="SKZ63" s="954"/>
      <c r="SLA63" s="954"/>
      <c r="SLB63" s="954"/>
      <c r="SLC63" s="954"/>
      <c r="SLD63" s="954"/>
      <c r="SLE63" s="954"/>
      <c r="SLF63" s="954"/>
      <c r="SLG63" s="954"/>
      <c r="SLH63" s="954"/>
      <c r="SLI63" s="954"/>
      <c r="SLJ63" s="954"/>
      <c r="SLK63" s="954"/>
      <c r="SLL63" s="954"/>
      <c r="SLM63" s="954"/>
      <c r="SLN63" s="954"/>
      <c r="SLO63" s="954"/>
      <c r="SLP63" s="954"/>
      <c r="SLQ63" s="954"/>
      <c r="SLR63" s="954"/>
      <c r="SLS63" s="954"/>
      <c r="SLT63" s="954"/>
      <c r="SLU63" s="954"/>
      <c r="SLV63" s="954"/>
      <c r="SLW63" s="954"/>
      <c r="SLX63" s="954"/>
      <c r="SLY63" s="954"/>
      <c r="SLZ63" s="954"/>
      <c r="SMA63" s="954"/>
      <c r="SMB63" s="954"/>
      <c r="SMC63" s="954"/>
      <c r="SMD63" s="954"/>
      <c r="SME63" s="954"/>
      <c r="SMF63" s="954"/>
      <c r="SMG63" s="954"/>
      <c r="SMH63" s="954"/>
      <c r="SMI63" s="954"/>
      <c r="SMJ63" s="954"/>
      <c r="SMK63" s="954"/>
      <c r="SML63" s="954"/>
      <c r="SMM63" s="954"/>
      <c r="SMN63" s="954"/>
      <c r="SMO63" s="954"/>
      <c r="SMP63" s="954"/>
      <c r="SMQ63" s="954"/>
      <c r="SMR63" s="954"/>
      <c r="SMS63" s="954"/>
      <c r="SMT63" s="954"/>
      <c r="SMU63" s="954"/>
      <c r="SMV63" s="954"/>
      <c r="SMW63" s="954"/>
      <c r="SMX63" s="954"/>
      <c r="SMY63" s="954"/>
      <c r="SMZ63" s="954"/>
      <c r="SNA63" s="954"/>
      <c r="SNB63" s="954"/>
      <c r="SNC63" s="954"/>
      <c r="SND63" s="954"/>
      <c r="SNE63" s="954"/>
      <c r="SNF63" s="954"/>
      <c r="SNG63" s="954"/>
      <c r="SNH63" s="954"/>
      <c r="SNI63" s="954"/>
      <c r="SNJ63" s="954"/>
      <c r="SNK63" s="954"/>
      <c r="SNL63" s="954"/>
      <c r="SNM63" s="954"/>
      <c r="SNN63" s="954"/>
      <c r="SNO63" s="954"/>
      <c r="SNP63" s="954"/>
      <c r="SNQ63" s="954"/>
      <c r="SNR63" s="954"/>
      <c r="SNS63" s="954"/>
      <c r="SNT63" s="954"/>
      <c r="SNU63" s="954"/>
      <c r="SNV63" s="954"/>
      <c r="SNW63" s="954"/>
      <c r="SNX63" s="954"/>
      <c r="SNY63" s="954"/>
      <c r="SNZ63" s="954"/>
      <c r="SOA63" s="954"/>
      <c r="SOB63" s="954"/>
      <c r="SOC63" s="954"/>
      <c r="SOD63" s="954"/>
      <c r="SOE63" s="954"/>
      <c r="SOF63" s="954"/>
      <c r="SOG63" s="954"/>
      <c r="SOH63" s="954"/>
      <c r="SOI63" s="954"/>
      <c r="SOJ63" s="954"/>
      <c r="SOK63" s="954"/>
      <c r="SOL63" s="954"/>
      <c r="SOM63" s="954"/>
      <c r="SON63" s="954"/>
      <c r="SOO63" s="954"/>
      <c r="SOP63" s="954"/>
      <c r="SOQ63" s="954"/>
      <c r="SOR63" s="954"/>
      <c r="SOS63" s="954"/>
      <c r="SOT63" s="954"/>
      <c r="SOU63" s="954"/>
      <c r="SOV63" s="954"/>
      <c r="SOW63" s="954"/>
      <c r="SOX63" s="954"/>
      <c r="SOY63" s="954"/>
      <c r="SOZ63" s="954"/>
      <c r="SPA63" s="954"/>
      <c r="SPB63" s="954"/>
      <c r="SPC63" s="954"/>
      <c r="SPD63" s="954"/>
      <c r="SPE63" s="954"/>
      <c r="SPF63" s="954"/>
      <c r="SPG63" s="954"/>
      <c r="SPH63" s="954"/>
      <c r="SPI63" s="954"/>
      <c r="SPJ63" s="954"/>
      <c r="SPK63" s="954"/>
      <c r="SPL63" s="954"/>
      <c r="SPM63" s="954"/>
      <c r="SPN63" s="954"/>
      <c r="SPO63" s="954"/>
      <c r="SPP63" s="954"/>
      <c r="SPQ63" s="954"/>
      <c r="SPR63" s="954"/>
      <c r="SPS63" s="954"/>
      <c r="SPT63" s="954"/>
      <c r="SPU63" s="954"/>
      <c r="SPV63" s="954"/>
      <c r="SPW63" s="954"/>
      <c r="SPX63" s="954"/>
      <c r="SPY63" s="954"/>
      <c r="SPZ63" s="954"/>
      <c r="SQA63" s="954"/>
      <c r="SQB63" s="954"/>
      <c r="SQC63" s="954"/>
      <c r="SQD63" s="954"/>
      <c r="SQE63" s="954"/>
      <c r="SQF63" s="954"/>
      <c r="SQG63" s="954"/>
      <c r="SQH63" s="954"/>
      <c r="SQI63" s="954"/>
      <c r="SQJ63" s="954"/>
      <c r="SQK63" s="954"/>
      <c r="SQL63" s="954"/>
      <c r="SQM63" s="954"/>
      <c r="SQN63" s="954"/>
      <c r="SQO63" s="954"/>
      <c r="SQP63" s="954"/>
      <c r="SQQ63" s="954"/>
      <c r="SQR63" s="954"/>
      <c r="SQS63" s="954"/>
      <c r="SQT63" s="954"/>
      <c r="SQU63" s="954"/>
      <c r="SQV63" s="954"/>
      <c r="SQW63" s="954"/>
      <c r="SQX63" s="954"/>
      <c r="SQY63" s="954"/>
      <c r="SQZ63" s="954"/>
      <c r="SRA63" s="954"/>
      <c r="SRB63" s="954"/>
      <c r="SRC63" s="954"/>
      <c r="SRD63" s="954"/>
      <c r="SRE63" s="954"/>
      <c r="SRF63" s="954"/>
      <c r="SRG63" s="954"/>
      <c r="SRH63" s="954"/>
      <c r="SRI63" s="954"/>
      <c r="SRJ63" s="954"/>
      <c r="SRK63" s="954"/>
      <c r="SRL63" s="954"/>
      <c r="SRM63" s="954"/>
      <c r="SRN63" s="954"/>
      <c r="SRO63" s="954"/>
      <c r="SRP63" s="954"/>
      <c r="SRQ63" s="954"/>
      <c r="SRR63" s="954"/>
      <c r="SRS63" s="954"/>
      <c r="SRT63" s="954"/>
      <c r="SRU63" s="954"/>
      <c r="SRV63" s="954"/>
      <c r="SRW63" s="954"/>
      <c r="SRX63" s="954"/>
      <c r="SRY63" s="954"/>
      <c r="SRZ63" s="954"/>
      <c r="SSA63" s="954"/>
      <c r="SSB63" s="954"/>
      <c r="SSC63" s="954"/>
      <c r="SSD63" s="954"/>
      <c r="SSE63" s="954"/>
      <c r="SSF63" s="954"/>
      <c r="SSG63" s="954"/>
      <c r="SSH63" s="954"/>
      <c r="SSI63" s="954"/>
      <c r="SSJ63" s="954"/>
      <c r="SSK63" s="954"/>
      <c r="SSL63" s="954"/>
      <c r="SSM63" s="954"/>
      <c r="SSN63" s="954"/>
      <c r="SSO63" s="954"/>
      <c r="SSP63" s="954"/>
      <c r="SSQ63" s="954"/>
      <c r="SSR63" s="954"/>
      <c r="SSS63" s="954"/>
      <c r="SST63" s="954"/>
      <c r="SSU63" s="954"/>
      <c r="SSV63" s="954"/>
      <c r="SSW63" s="954"/>
      <c r="SSX63" s="954"/>
      <c r="SSY63" s="954"/>
      <c r="SSZ63" s="954"/>
      <c r="STA63" s="954"/>
      <c r="STB63" s="954"/>
      <c r="STC63" s="954"/>
      <c r="STD63" s="954"/>
      <c r="STE63" s="954"/>
      <c r="STF63" s="954"/>
      <c r="STG63" s="954"/>
      <c r="STH63" s="954"/>
      <c r="STI63" s="954"/>
      <c r="STJ63" s="954"/>
      <c r="STK63" s="954"/>
      <c r="STL63" s="954"/>
      <c r="STM63" s="954"/>
      <c r="STN63" s="954"/>
      <c r="STO63" s="954"/>
      <c r="STP63" s="954"/>
      <c r="STQ63" s="954"/>
      <c r="STR63" s="954"/>
      <c r="STS63" s="954"/>
      <c r="STT63" s="954"/>
      <c r="STU63" s="954"/>
      <c r="STV63" s="954"/>
      <c r="STW63" s="954"/>
      <c r="STX63" s="954"/>
      <c r="STY63" s="954"/>
      <c r="STZ63" s="954"/>
      <c r="SUA63" s="954"/>
      <c r="SUB63" s="954"/>
      <c r="SUC63" s="954"/>
      <c r="SUD63" s="954"/>
      <c r="SUE63" s="954"/>
      <c r="SUF63" s="954"/>
      <c r="SUG63" s="954"/>
      <c r="SUH63" s="954"/>
      <c r="SUI63" s="954"/>
      <c r="SUJ63" s="954"/>
      <c r="SUK63" s="954"/>
      <c r="SUL63" s="954"/>
      <c r="SUM63" s="954"/>
      <c r="SUN63" s="954"/>
      <c r="SUO63" s="954"/>
      <c r="SUP63" s="954"/>
      <c r="SUQ63" s="954"/>
      <c r="SUR63" s="954"/>
      <c r="SUS63" s="954"/>
      <c r="SUT63" s="954"/>
      <c r="SUU63" s="954"/>
      <c r="SUV63" s="954"/>
      <c r="SUW63" s="954"/>
      <c r="SUX63" s="954"/>
      <c r="SUY63" s="954"/>
      <c r="SUZ63" s="954"/>
      <c r="SVA63" s="954"/>
      <c r="SVB63" s="954"/>
      <c r="SVC63" s="954"/>
      <c r="SVD63" s="954"/>
      <c r="SVE63" s="954"/>
      <c r="SVF63" s="954"/>
      <c r="SVG63" s="954"/>
      <c r="SVH63" s="954"/>
      <c r="SVI63" s="954"/>
      <c r="SVJ63" s="954"/>
      <c r="SVK63" s="954"/>
      <c r="SVL63" s="954"/>
      <c r="SVM63" s="954"/>
      <c r="SVN63" s="954"/>
      <c r="SVO63" s="954"/>
      <c r="SVP63" s="954"/>
      <c r="SVQ63" s="954"/>
      <c r="SVR63" s="954"/>
      <c r="SVS63" s="954"/>
      <c r="SVT63" s="954"/>
      <c r="SVU63" s="954"/>
      <c r="SVV63" s="954"/>
      <c r="SVW63" s="954"/>
      <c r="SVX63" s="954"/>
      <c r="SVY63" s="954"/>
      <c r="SVZ63" s="954"/>
      <c r="SWA63" s="954"/>
      <c r="SWB63" s="954"/>
      <c r="SWC63" s="954"/>
      <c r="SWD63" s="954"/>
      <c r="SWE63" s="954"/>
      <c r="SWF63" s="954"/>
      <c r="SWG63" s="954"/>
      <c r="SWH63" s="954"/>
      <c r="SWI63" s="954"/>
      <c r="SWJ63" s="954"/>
      <c r="SWK63" s="954"/>
      <c r="SWL63" s="954"/>
      <c r="SWM63" s="954"/>
      <c r="SWN63" s="954"/>
      <c r="SWO63" s="954"/>
      <c r="SWP63" s="954"/>
      <c r="SWQ63" s="954"/>
      <c r="SWR63" s="954"/>
      <c r="SWS63" s="954"/>
      <c r="SWT63" s="954"/>
      <c r="SWU63" s="954"/>
      <c r="SWV63" s="954"/>
      <c r="SWW63" s="954"/>
      <c r="SWX63" s="954"/>
      <c r="SWY63" s="954"/>
      <c r="SWZ63" s="954"/>
      <c r="SXA63" s="954"/>
      <c r="SXB63" s="954"/>
      <c r="SXC63" s="954"/>
      <c r="SXD63" s="954"/>
      <c r="SXE63" s="954"/>
      <c r="SXF63" s="954"/>
      <c r="SXG63" s="954"/>
      <c r="SXH63" s="954"/>
      <c r="SXI63" s="954"/>
      <c r="SXJ63" s="954"/>
      <c r="SXK63" s="954"/>
      <c r="SXL63" s="954"/>
      <c r="SXM63" s="954"/>
      <c r="SXN63" s="954"/>
      <c r="SXO63" s="954"/>
      <c r="SXP63" s="954"/>
      <c r="SXQ63" s="954"/>
      <c r="SXR63" s="954"/>
      <c r="SXS63" s="954"/>
      <c r="SXT63" s="954"/>
      <c r="SXU63" s="954"/>
      <c r="SXV63" s="954"/>
      <c r="SXW63" s="954"/>
      <c r="SXX63" s="954"/>
      <c r="SXY63" s="954"/>
      <c r="SXZ63" s="954"/>
      <c r="SYA63" s="954"/>
      <c r="SYB63" s="954"/>
      <c r="SYC63" s="954"/>
      <c r="SYD63" s="954"/>
      <c r="SYE63" s="954"/>
      <c r="SYF63" s="954"/>
      <c r="SYG63" s="954"/>
      <c r="SYH63" s="954"/>
      <c r="SYI63" s="954"/>
      <c r="SYJ63" s="954"/>
      <c r="SYK63" s="954"/>
      <c r="SYL63" s="954"/>
      <c r="SYM63" s="954"/>
      <c r="SYN63" s="954"/>
      <c r="SYO63" s="954"/>
      <c r="SYP63" s="954"/>
      <c r="SYQ63" s="954"/>
      <c r="SYR63" s="954"/>
      <c r="SYS63" s="954"/>
      <c r="SYT63" s="954"/>
      <c r="SYU63" s="954"/>
      <c r="SYV63" s="954"/>
      <c r="SYW63" s="954"/>
      <c r="SYX63" s="954"/>
      <c r="SYY63" s="954"/>
      <c r="SYZ63" s="954"/>
      <c r="SZA63" s="954"/>
      <c r="SZB63" s="954"/>
      <c r="SZC63" s="954"/>
      <c r="SZD63" s="954"/>
      <c r="SZE63" s="954"/>
      <c r="SZF63" s="954"/>
      <c r="SZG63" s="954"/>
      <c r="SZH63" s="954"/>
      <c r="SZI63" s="954"/>
      <c r="SZJ63" s="954"/>
      <c r="SZK63" s="954"/>
      <c r="SZL63" s="954"/>
      <c r="SZM63" s="954"/>
      <c r="SZN63" s="954"/>
      <c r="SZO63" s="954"/>
      <c r="SZP63" s="954"/>
      <c r="SZQ63" s="954"/>
      <c r="SZR63" s="954"/>
      <c r="SZS63" s="954"/>
      <c r="SZT63" s="954"/>
      <c r="SZU63" s="954"/>
      <c r="SZV63" s="954"/>
      <c r="SZW63" s="954"/>
      <c r="SZX63" s="954"/>
      <c r="SZY63" s="954"/>
      <c r="SZZ63" s="954"/>
      <c r="TAA63" s="954"/>
      <c r="TAB63" s="954"/>
      <c r="TAC63" s="954"/>
      <c r="TAD63" s="954"/>
      <c r="TAE63" s="954"/>
      <c r="TAF63" s="954"/>
      <c r="TAG63" s="954"/>
      <c r="TAH63" s="954"/>
      <c r="TAI63" s="954"/>
      <c r="TAJ63" s="954"/>
      <c r="TAK63" s="954"/>
      <c r="TAL63" s="954"/>
      <c r="TAM63" s="954"/>
      <c r="TAN63" s="954"/>
      <c r="TAO63" s="954"/>
      <c r="TAP63" s="954"/>
      <c r="TAQ63" s="954"/>
      <c r="TAR63" s="954"/>
      <c r="TAS63" s="954"/>
      <c r="TAT63" s="954"/>
      <c r="TAU63" s="954"/>
      <c r="TAV63" s="954"/>
      <c r="TAW63" s="954"/>
      <c r="TAX63" s="954"/>
      <c r="TAY63" s="954"/>
      <c r="TAZ63" s="954"/>
      <c r="TBA63" s="954"/>
      <c r="TBB63" s="954"/>
      <c r="TBC63" s="954"/>
      <c r="TBD63" s="954"/>
      <c r="TBE63" s="954"/>
      <c r="TBF63" s="954"/>
      <c r="TBG63" s="954"/>
      <c r="TBH63" s="954"/>
      <c r="TBI63" s="954"/>
      <c r="TBJ63" s="954"/>
      <c r="TBK63" s="954"/>
      <c r="TBL63" s="954"/>
      <c r="TBM63" s="954"/>
      <c r="TBN63" s="954"/>
      <c r="TBO63" s="954"/>
      <c r="TBP63" s="954"/>
      <c r="TBQ63" s="954"/>
      <c r="TBR63" s="954"/>
      <c r="TBS63" s="954"/>
      <c r="TBT63" s="954"/>
      <c r="TBU63" s="954"/>
      <c r="TBV63" s="954"/>
      <c r="TBW63" s="954"/>
      <c r="TBX63" s="954"/>
      <c r="TBY63" s="954"/>
      <c r="TBZ63" s="954"/>
      <c r="TCA63" s="954"/>
      <c r="TCB63" s="954"/>
      <c r="TCC63" s="954"/>
      <c r="TCD63" s="954"/>
      <c r="TCE63" s="954"/>
      <c r="TCF63" s="954"/>
      <c r="TCG63" s="954"/>
      <c r="TCH63" s="954"/>
      <c r="TCI63" s="954"/>
      <c r="TCJ63" s="954"/>
      <c r="TCK63" s="954"/>
      <c r="TCL63" s="954"/>
      <c r="TCM63" s="954"/>
      <c r="TCN63" s="954"/>
      <c r="TCO63" s="954"/>
      <c r="TCP63" s="954"/>
      <c r="TCQ63" s="954"/>
      <c r="TCR63" s="954"/>
      <c r="TCS63" s="954"/>
      <c r="TCT63" s="954"/>
      <c r="TCU63" s="954"/>
      <c r="TCV63" s="954"/>
      <c r="TCW63" s="954"/>
      <c r="TCX63" s="954"/>
      <c r="TCY63" s="954"/>
      <c r="TCZ63" s="954"/>
      <c r="TDA63" s="954"/>
      <c r="TDB63" s="954"/>
      <c r="TDC63" s="954"/>
      <c r="TDD63" s="954"/>
      <c r="TDE63" s="954"/>
      <c r="TDF63" s="954"/>
      <c r="TDG63" s="954"/>
      <c r="TDH63" s="954"/>
      <c r="TDI63" s="954"/>
      <c r="TDJ63" s="954"/>
      <c r="TDK63" s="954"/>
      <c r="TDL63" s="954"/>
      <c r="TDM63" s="954"/>
      <c r="TDN63" s="954"/>
      <c r="TDO63" s="954"/>
      <c r="TDP63" s="954"/>
      <c r="TDQ63" s="954"/>
      <c r="TDR63" s="954"/>
      <c r="TDS63" s="954"/>
      <c r="TDT63" s="954"/>
      <c r="TDU63" s="954"/>
      <c r="TDV63" s="954"/>
      <c r="TDW63" s="954"/>
      <c r="TDX63" s="954"/>
      <c r="TDY63" s="954"/>
      <c r="TDZ63" s="954"/>
      <c r="TEA63" s="954"/>
      <c r="TEB63" s="954"/>
      <c r="TEC63" s="954"/>
      <c r="TED63" s="954"/>
      <c r="TEE63" s="954"/>
      <c r="TEF63" s="954"/>
      <c r="TEG63" s="954"/>
      <c r="TEH63" s="954"/>
      <c r="TEI63" s="954"/>
      <c r="TEJ63" s="954"/>
      <c r="TEK63" s="954"/>
      <c r="TEL63" s="954"/>
      <c r="TEM63" s="954"/>
      <c r="TEN63" s="954"/>
      <c r="TEO63" s="954"/>
      <c r="TEP63" s="954"/>
      <c r="TEQ63" s="954"/>
      <c r="TER63" s="954"/>
      <c r="TES63" s="954"/>
      <c r="TET63" s="954"/>
      <c r="TEU63" s="954"/>
      <c r="TEV63" s="954"/>
      <c r="TEW63" s="954"/>
      <c r="TEX63" s="954"/>
      <c r="TEY63" s="954"/>
      <c r="TEZ63" s="954"/>
      <c r="TFA63" s="954"/>
      <c r="TFB63" s="954"/>
      <c r="TFC63" s="954"/>
      <c r="TFD63" s="954"/>
      <c r="TFE63" s="954"/>
      <c r="TFF63" s="954"/>
      <c r="TFG63" s="954"/>
      <c r="TFH63" s="954"/>
      <c r="TFI63" s="954"/>
      <c r="TFJ63" s="954"/>
      <c r="TFK63" s="954"/>
      <c r="TFL63" s="954"/>
      <c r="TFM63" s="954"/>
      <c r="TFN63" s="954"/>
      <c r="TFO63" s="954"/>
      <c r="TFP63" s="954"/>
      <c r="TFQ63" s="954"/>
      <c r="TFR63" s="954"/>
      <c r="TFS63" s="954"/>
      <c r="TFT63" s="954"/>
      <c r="TFU63" s="954"/>
      <c r="TFV63" s="954"/>
      <c r="TFW63" s="954"/>
      <c r="TFX63" s="954"/>
      <c r="TFY63" s="954"/>
      <c r="TFZ63" s="954"/>
      <c r="TGA63" s="954"/>
      <c r="TGB63" s="954"/>
      <c r="TGC63" s="954"/>
      <c r="TGD63" s="954"/>
      <c r="TGE63" s="954"/>
      <c r="TGF63" s="954"/>
      <c r="TGG63" s="954"/>
      <c r="TGH63" s="954"/>
      <c r="TGI63" s="954"/>
      <c r="TGJ63" s="954"/>
      <c r="TGK63" s="954"/>
      <c r="TGL63" s="954"/>
      <c r="TGM63" s="954"/>
      <c r="TGN63" s="954"/>
      <c r="TGO63" s="954"/>
      <c r="TGP63" s="954"/>
      <c r="TGQ63" s="954"/>
      <c r="TGR63" s="954"/>
      <c r="TGS63" s="954"/>
      <c r="TGT63" s="954"/>
      <c r="TGU63" s="954"/>
      <c r="TGV63" s="954"/>
      <c r="TGW63" s="954"/>
      <c r="TGX63" s="954"/>
      <c r="TGY63" s="954"/>
      <c r="TGZ63" s="954"/>
      <c r="THA63" s="954"/>
      <c r="THB63" s="954"/>
      <c r="THC63" s="954"/>
      <c r="THD63" s="954"/>
      <c r="THE63" s="954"/>
      <c r="THF63" s="954"/>
      <c r="THG63" s="954"/>
      <c r="THH63" s="954"/>
      <c r="THI63" s="954"/>
      <c r="THJ63" s="954"/>
      <c r="THK63" s="954"/>
      <c r="THL63" s="954"/>
      <c r="THM63" s="954"/>
      <c r="THN63" s="954"/>
      <c r="THO63" s="954"/>
      <c r="THP63" s="954"/>
      <c r="THQ63" s="954"/>
      <c r="THR63" s="954"/>
      <c r="THS63" s="954"/>
      <c r="THT63" s="954"/>
      <c r="THU63" s="954"/>
      <c r="THV63" s="954"/>
      <c r="THW63" s="954"/>
      <c r="THX63" s="954"/>
      <c r="THY63" s="954"/>
      <c r="THZ63" s="954"/>
      <c r="TIA63" s="954"/>
      <c r="TIB63" s="954"/>
      <c r="TIC63" s="954"/>
      <c r="TID63" s="954"/>
      <c r="TIE63" s="954"/>
      <c r="TIF63" s="954"/>
      <c r="TIG63" s="954"/>
      <c r="TIH63" s="954"/>
      <c r="TII63" s="954"/>
      <c r="TIJ63" s="954"/>
      <c r="TIK63" s="954"/>
      <c r="TIL63" s="954"/>
      <c r="TIM63" s="954"/>
      <c r="TIN63" s="954"/>
      <c r="TIO63" s="954"/>
      <c r="TIP63" s="954"/>
      <c r="TIQ63" s="954"/>
      <c r="TIR63" s="954"/>
      <c r="TIS63" s="954"/>
      <c r="TIT63" s="954"/>
      <c r="TIU63" s="954"/>
      <c r="TIV63" s="954"/>
      <c r="TIW63" s="954"/>
      <c r="TIX63" s="954"/>
      <c r="TIY63" s="954"/>
      <c r="TIZ63" s="954"/>
      <c r="TJA63" s="954"/>
      <c r="TJB63" s="954"/>
      <c r="TJC63" s="954"/>
      <c r="TJD63" s="954"/>
      <c r="TJE63" s="954"/>
      <c r="TJF63" s="954"/>
      <c r="TJG63" s="954"/>
      <c r="TJH63" s="954"/>
      <c r="TJI63" s="954"/>
      <c r="TJJ63" s="954"/>
      <c r="TJK63" s="954"/>
      <c r="TJL63" s="954"/>
      <c r="TJM63" s="954"/>
      <c r="TJN63" s="954"/>
      <c r="TJO63" s="954"/>
      <c r="TJP63" s="954"/>
      <c r="TJQ63" s="954"/>
      <c r="TJR63" s="954"/>
      <c r="TJS63" s="954"/>
      <c r="TJT63" s="954"/>
      <c r="TJU63" s="954"/>
      <c r="TJV63" s="954"/>
      <c r="TJW63" s="954"/>
      <c r="TJX63" s="954"/>
      <c r="TJY63" s="954"/>
      <c r="TJZ63" s="954"/>
      <c r="TKA63" s="954"/>
      <c r="TKB63" s="954"/>
      <c r="TKC63" s="954"/>
      <c r="TKD63" s="954"/>
      <c r="TKE63" s="954"/>
      <c r="TKF63" s="954"/>
      <c r="TKG63" s="954"/>
      <c r="TKH63" s="954"/>
      <c r="TKI63" s="954"/>
      <c r="TKJ63" s="954"/>
      <c r="TKK63" s="954"/>
      <c r="TKL63" s="954"/>
      <c r="TKM63" s="954"/>
      <c r="TKN63" s="954"/>
      <c r="TKO63" s="954"/>
      <c r="TKP63" s="954"/>
      <c r="TKQ63" s="954"/>
      <c r="TKR63" s="954"/>
      <c r="TKS63" s="954"/>
      <c r="TKT63" s="954"/>
      <c r="TKU63" s="954"/>
      <c r="TKV63" s="954"/>
      <c r="TKW63" s="954"/>
      <c r="TKX63" s="954"/>
      <c r="TKY63" s="954"/>
      <c r="TKZ63" s="954"/>
      <c r="TLA63" s="954"/>
      <c r="TLB63" s="954"/>
      <c r="TLC63" s="954"/>
      <c r="TLD63" s="954"/>
      <c r="TLE63" s="954"/>
      <c r="TLF63" s="954"/>
      <c r="TLG63" s="954"/>
      <c r="TLH63" s="954"/>
      <c r="TLI63" s="954"/>
      <c r="TLJ63" s="954"/>
      <c r="TLK63" s="954"/>
      <c r="TLL63" s="954"/>
      <c r="TLM63" s="954"/>
      <c r="TLN63" s="954"/>
      <c r="TLO63" s="954"/>
      <c r="TLP63" s="954"/>
      <c r="TLQ63" s="954"/>
      <c r="TLR63" s="954"/>
      <c r="TLS63" s="954"/>
      <c r="TLT63" s="954"/>
      <c r="TLU63" s="954"/>
      <c r="TLV63" s="954"/>
      <c r="TLW63" s="954"/>
      <c r="TLX63" s="954"/>
      <c r="TLY63" s="954"/>
      <c r="TLZ63" s="954"/>
      <c r="TMA63" s="954"/>
      <c r="TMB63" s="954"/>
      <c r="TMC63" s="954"/>
      <c r="TMD63" s="954"/>
      <c r="TME63" s="954"/>
      <c r="TMF63" s="954"/>
      <c r="TMG63" s="954"/>
      <c r="TMH63" s="954"/>
      <c r="TMI63" s="954"/>
      <c r="TMJ63" s="954"/>
      <c r="TMK63" s="954"/>
      <c r="TML63" s="954"/>
      <c r="TMM63" s="954"/>
      <c r="TMN63" s="954"/>
      <c r="TMO63" s="954"/>
      <c r="TMP63" s="954"/>
      <c r="TMQ63" s="954"/>
      <c r="TMR63" s="954"/>
      <c r="TMS63" s="954"/>
      <c r="TMT63" s="954"/>
      <c r="TMU63" s="954"/>
      <c r="TMV63" s="954"/>
      <c r="TMW63" s="954"/>
      <c r="TMX63" s="954"/>
      <c r="TMY63" s="954"/>
      <c r="TMZ63" s="954"/>
      <c r="TNA63" s="954"/>
      <c r="TNB63" s="954"/>
      <c r="TNC63" s="954"/>
      <c r="TND63" s="954"/>
      <c r="TNE63" s="954"/>
      <c r="TNF63" s="954"/>
      <c r="TNG63" s="954"/>
      <c r="TNH63" s="954"/>
      <c r="TNI63" s="954"/>
      <c r="TNJ63" s="954"/>
      <c r="TNK63" s="954"/>
      <c r="TNL63" s="954"/>
      <c r="TNM63" s="954"/>
      <c r="TNN63" s="954"/>
      <c r="TNO63" s="954"/>
      <c r="TNP63" s="954"/>
      <c r="TNQ63" s="954"/>
      <c r="TNR63" s="954"/>
      <c r="TNS63" s="954"/>
      <c r="TNT63" s="954"/>
      <c r="TNU63" s="954"/>
      <c r="TNV63" s="954"/>
      <c r="TNW63" s="954"/>
      <c r="TNX63" s="954"/>
      <c r="TNY63" s="954"/>
      <c r="TNZ63" s="954"/>
      <c r="TOA63" s="954"/>
      <c r="TOB63" s="954"/>
      <c r="TOC63" s="954"/>
      <c r="TOD63" s="954"/>
      <c r="TOE63" s="954"/>
      <c r="TOF63" s="954"/>
      <c r="TOG63" s="954"/>
      <c r="TOH63" s="954"/>
      <c r="TOI63" s="954"/>
      <c r="TOJ63" s="954"/>
      <c r="TOK63" s="954"/>
      <c r="TOL63" s="954"/>
      <c r="TOM63" s="954"/>
      <c r="TON63" s="954"/>
      <c r="TOO63" s="954"/>
      <c r="TOP63" s="954"/>
      <c r="TOQ63" s="954"/>
      <c r="TOR63" s="954"/>
      <c r="TOS63" s="954"/>
      <c r="TOT63" s="954"/>
      <c r="TOU63" s="954"/>
      <c r="TOV63" s="954"/>
      <c r="TOW63" s="954"/>
      <c r="TOX63" s="954"/>
      <c r="TOY63" s="954"/>
      <c r="TOZ63" s="954"/>
      <c r="TPA63" s="954"/>
      <c r="TPB63" s="954"/>
      <c r="TPC63" s="954"/>
      <c r="TPD63" s="954"/>
      <c r="TPE63" s="954"/>
      <c r="TPF63" s="954"/>
      <c r="TPG63" s="954"/>
      <c r="TPH63" s="954"/>
      <c r="TPI63" s="954"/>
      <c r="TPJ63" s="954"/>
      <c r="TPK63" s="954"/>
      <c r="TPL63" s="954"/>
      <c r="TPM63" s="954"/>
      <c r="TPN63" s="954"/>
      <c r="TPO63" s="954"/>
      <c r="TPP63" s="954"/>
      <c r="TPQ63" s="954"/>
      <c r="TPR63" s="954"/>
      <c r="TPS63" s="954"/>
      <c r="TPT63" s="954"/>
      <c r="TPU63" s="954"/>
      <c r="TPV63" s="954"/>
      <c r="TPW63" s="954"/>
      <c r="TPX63" s="954"/>
      <c r="TPY63" s="954"/>
      <c r="TPZ63" s="954"/>
      <c r="TQA63" s="954"/>
      <c r="TQB63" s="954"/>
      <c r="TQC63" s="954"/>
      <c r="TQD63" s="954"/>
      <c r="TQE63" s="954"/>
      <c r="TQF63" s="954"/>
      <c r="TQG63" s="954"/>
      <c r="TQH63" s="954"/>
      <c r="TQI63" s="954"/>
      <c r="TQJ63" s="954"/>
      <c r="TQK63" s="954"/>
      <c r="TQL63" s="954"/>
      <c r="TQM63" s="954"/>
      <c r="TQN63" s="954"/>
      <c r="TQO63" s="954"/>
      <c r="TQP63" s="954"/>
      <c r="TQQ63" s="954"/>
      <c r="TQR63" s="954"/>
      <c r="TQS63" s="954"/>
      <c r="TQT63" s="954"/>
      <c r="TQU63" s="954"/>
      <c r="TQV63" s="954"/>
      <c r="TQW63" s="954"/>
      <c r="TQX63" s="954"/>
      <c r="TQY63" s="954"/>
      <c r="TQZ63" s="954"/>
      <c r="TRA63" s="954"/>
      <c r="TRB63" s="954"/>
      <c r="TRC63" s="954"/>
      <c r="TRD63" s="954"/>
      <c r="TRE63" s="954"/>
      <c r="TRF63" s="954"/>
      <c r="TRG63" s="954"/>
      <c r="TRH63" s="954"/>
      <c r="TRI63" s="954"/>
      <c r="TRJ63" s="954"/>
      <c r="TRK63" s="954"/>
      <c r="TRL63" s="954"/>
      <c r="TRM63" s="954"/>
      <c r="TRN63" s="954"/>
      <c r="TRO63" s="954"/>
      <c r="TRP63" s="954"/>
      <c r="TRQ63" s="954"/>
      <c r="TRR63" s="954"/>
      <c r="TRS63" s="954"/>
      <c r="TRT63" s="954"/>
      <c r="TRU63" s="954"/>
      <c r="TRV63" s="954"/>
      <c r="TRW63" s="954"/>
      <c r="TRX63" s="954"/>
      <c r="TRY63" s="954"/>
      <c r="TRZ63" s="954"/>
      <c r="TSA63" s="954"/>
      <c r="TSB63" s="954"/>
      <c r="TSC63" s="954"/>
      <c r="TSD63" s="954"/>
      <c r="TSE63" s="954"/>
      <c r="TSF63" s="954"/>
      <c r="TSG63" s="954"/>
      <c r="TSH63" s="954"/>
      <c r="TSI63" s="954"/>
      <c r="TSJ63" s="954"/>
      <c r="TSK63" s="954"/>
      <c r="TSL63" s="954"/>
      <c r="TSM63" s="954"/>
      <c r="TSN63" s="954"/>
      <c r="TSO63" s="954"/>
      <c r="TSP63" s="954"/>
      <c r="TSQ63" s="954"/>
      <c r="TSR63" s="954"/>
      <c r="TSS63" s="954"/>
      <c r="TST63" s="954"/>
      <c r="TSU63" s="954"/>
      <c r="TSV63" s="954"/>
      <c r="TSW63" s="954"/>
      <c r="TSX63" s="954"/>
      <c r="TSY63" s="954"/>
      <c r="TSZ63" s="954"/>
      <c r="TTA63" s="954"/>
      <c r="TTB63" s="954"/>
      <c r="TTC63" s="954"/>
      <c r="TTD63" s="954"/>
      <c r="TTE63" s="954"/>
      <c r="TTF63" s="954"/>
      <c r="TTG63" s="954"/>
      <c r="TTH63" s="954"/>
      <c r="TTI63" s="954"/>
      <c r="TTJ63" s="954"/>
      <c r="TTK63" s="954"/>
      <c r="TTL63" s="954"/>
      <c r="TTM63" s="954"/>
      <c r="TTN63" s="954"/>
      <c r="TTO63" s="954"/>
      <c r="TTP63" s="954"/>
      <c r="TTQ63" s="954"/>
      <c r="TTR63" s="954"/>
      <c r="TTS63" s="954"/>
      <c r="TTT63" s="954"/>
      <c r="TTU63" s="954"/>
      <c r="TTV63" s="954"/>
      <c r="TTW63" s="954"/>
      <c r="TTX63" s="954"/>
      <c r="TTY63" s="954"/>
      <c r="TTZ63" s="954"/>
      <c r="TUA63" s="954"/>
      <c r="TUB63" s="954"/>
      <c r="TUC63" s="954"/>
      <c r="TUD63" s="954"/>
      <c r="TUE63" s="954"/>
      <c r="TUF63" s="954"/>
      <c r="TUG63" s="954"/>
      <c r="TUH63" s="954"/>
      <c r="TUI63" s="954"/>
      <c r="TUJ63" s="954"/>
      <c r="TUK63" s="954"/>
      <c r="TUL63" s="954"/>
      <c r="TUM63" s="954"/>
      <c r="TUN63" s="954"/>
      <c r="TUO63" s="954"/>
      <c r="TUP63" s="954"/>
      <c r="TUQ63" s="954"/>
      <c r="TUR63" s="954"/>
      <c r="TUS63" s="954"/>
      <c r="TUT63" s="954"/>
      <c r="TUU63" s="954"/>
      <c r="TUV63" s="954"/>
      <c r="TUW63" s="954"/>
      <c r="TUX63" s="954"/>
      <c r="TUY63" s="954"/>
      <c r="TUZ63" s="954"/>
      <c r="TVA63" s="954"/>
      <c r="TVB63" s="954"/>
      <c r="TVC63" s="954"/>
      <c r="TVD63" s="954"/>
      <c r="TVE63" s="954"/>
      <c r="TVF63" s="954"/>
      <c r="TVG63" s="954"/>
      <c r="TVH63" s="954"/>
      <c r="TVI63" s="954"/>
      <c r="TVJ63" s="954"/>
      <c r="TVK63" s="954"/>
      <c r="TVL63" s="954"/>
      <c r="TVM63" s="954"/>
      <c r="TVN63" s="954"/>
      <c r="TVO63" s="954"/>
      <c r="TVP63" s="954"/>
      <c r="TVQ63" s="954"/>
      <c r="TVR63" s="954"/>
      <c r="TVS63" s="954"/>
      <c r="TVT63" s="954"/>
      <c r="TVU63" s="954"/>
      <c r="TVV63" s="954"/>
      <c r="TVW63" s="954"/>
      <c r="TVX63" s="954"/>
      <c r="TVY63" s="954"/>
      <c r="TVZ63" s="954"/>
      <c r="TWA63" s="954"/>
      <c r="TWB63" s="954"/>
      <c r="TWC63" s="954"/>
      <c r="TWD63" s="954"/>
      <c r="TWE63" s="954"/>
      <c r="TWF63" s="954"/>
      <c r="TWG63" s="954"/>
      <c r="TWH63" s="954"/>
      <c r="TWI63" s="954"/>
      <c r="TWJ63" s="954"/>
      <c r="TWK63" s="954"/>
      <c r="TWL63" s="954"/>
      <c r="TWM63" s="954"/>
      <c r="TWN63" s="954"/>
      <c r="TWO63" s="954"/>
      <c r="TWP63" s="954"/>
      <c r="TWQ63" s="954"/>
      <c r="TWR63" s="954"/>
      <c r="TWS63" s="954"/>
      <c r="TWT63" s="954"/>
      <c r="TWU63" s="954"/>
      <c r="TWV63" s="954"/>
      <c r="TWW63" s="954"/>
      <c r="TWX63" s="954"/>
      <c r="TWY63" s="954"/>
      <c r="TWZ63" s="954"/>
      <c r="TXA63" s="954"/>
      <c r="TXB63" s="954"/>
      <c r="TXC63" s="954"/>
      <c r="TXD63" s="954"/>
      <c r="TXE63" s="954"/>
      <c r="TXF63" s="954"/>
      <c r="TXG63" s="954"/>
      <c r="TXH63" s="954"/>
      <c r="TXI63" s="954"/>
      <c r="TXJ63" s="954"/>
      <c r="TXK63" s="954"/>
      <c r="TXL63" s="954"/>
      <c r="TXM63" s="954"/>
      <c r="TXN63" s="954"/>
      <c r="TXO63" s="954"/>
      <c r="TXP63" s="954"/>
      <c r="TXQ63" s="954"/>
      <c r="TXR63" s="954"/>
      <c r="TXS63" s="954"/>
      <c r="TXT63" s="954"/>
      <c r="TXU63" s="954"/>
      <c r="TXV63" s="954"/>
      <c r="TXW63" s="954"/>
      <c r="TXX63" s="954"/>
      <c r="TXY63" s="954"/>
      <c r="TXZ63" s="954"/>
      <c r="TYA63" s="954"/>
      <c r="TYB63" s="954"/>
      <c r="TYC63" s="954"/>
      <c r="TYD63" s="954"/>
      <c r="TYE63" s="954"/>
      <c r="TYF63" s="954"/>
      <c r="TYG63" s="954"/>
      <c r="TYH63" s="954"/>
      <c r="TYI63" s="954"/>
      <c r="TYJ63" s="954"/>
      <c r="TYK63" s="954"/>
      <c r="TYL63" s="954"/>
      <c r="TYM63" s="954"/>
      <c r="TYN63" s="954"/>
      <c r="TYO63" s="954"/>
      <c r="TYP63" s="954"/>
      <c r="TYQ63" s="954"/>
      <c r="TYR63" s="954"/>
      <c r="TYS63" s="954"/>
      <c r="TYT63" s="954"/>
      <c r="TYU63" s="954"/>
      <c r="TYV63" s="954"/>
      <c r="TYW63" s="954"/>
      <c r="TYX63" s="954"/>
      <c r="TYY63" s="954"/>
      <c r="TYZ63" s="954"/>
      <c r="TZA63" s="954"/>
      <c r="TZB63" s="954"/>
      <c r="TZC63" s="954"/>
      <c r="TZD63" s="954"/>
      <c r="TZE63" s="954"/>
      <c r="TZF63" s="954"/>
      <c r="TZG63" s="954"/>
      <c r="TZH63" s="954"/>
      <c r="TZI63" s="954"/>
      <c r="TZJ63" s="954"/>
      <c r="TZK63" s="954"/>
      <c r="TZL63" s="954"/>
      <c r="TZM63" s="954"/>
      <c r="TZN63" s="954"/>
      <c r="TZO63" s="954"/>
      <c r="TZP63" s="954"/>
      <c r="TZQ63" s="954"/>
      <c r="TZR63" s="954"/>
      <c r="TZS63" s="954"/>
      <c r="TZT63" s="954"/>
      <c r="TZU63" s="954"/>
      <c r="TZV63" s="954"/>
      <c r="TZW63" s="954"/>
      <c r="TZX63" s="954"/>
      <c r="TZY63" s="954"/>
      <c r="TZZ63" s="954"/>
      <c r="UAA63" s="954"/>
      <c r="UAB63" s="954"/>
      <c r="UAC63" s="954"/>
      <c r="UAD63" s="954"/>
      <c r="UAE63" s="954"/>
      <c r="UAF63" s="954"/>
      <c r="UAG63" s="954"/>
      <c r="UAH63" s="954"/>
      <c r="UAI63" s="954"/>
      <c r="UAJ63" s="954"/>
      <c r="UAK63" s="954"/>
      <c r="UAL63" s="954"/>
      <c r="UAM63" s="954"/>
      <c r="UAN63" s="954"/>
      <c r="UAO63" s="954"/>
      <c r="UAP63" s="954"/>
      <c r="UAQ63" s="954"/>
      <c r="UAR63" s="954"/>
      <c r="UAS63" s="954"/>
      <c r="UAT63" s="954"/>
      <c r="UAU63" s="954"/>
      <c r="UAV63" s="954"/>
      <c r="UAW63" s="954"/>
      <c r="UAX63" s="954"/>
      <c r="UAY63" s="954"/>
      <c r="UAZ63" s="954"/>
      <c r="UBA63" s="954"/>
      <c r="UBB63" s="954"/>
      <c r="UBC63" s="954"/>
      <c r="UBD63" s="954"/>
      <c r="UBE63" s="954"/>
      <c r="UBF63" s="954"/>
      <c r="UBG63" s="954"/>
      <c r="UBH63" s="954"/>
      <c r="UBI63" s="954"/>
      <c r="UBJ63" s="954"/>
      <c r="UBK63" s="954"/>
      <c r="UBL63" s="954"/>
      <c r="UBM63" s="954"/>
      <c r="UBN63" s="954"/>
      <c r="UBO63" s="954"/>
      <c r="UBP63" s="954"/>
      <c r="UBQ63" s="954"/>
      <c r="UBR63" s="954"/>
      <c r="UBS63" s="954"/>
      <c r="UBT63" s="954"/>
      <c r="UBU63" s="954"/>
      <c r="UBV63" s="954"/>
      <c r="UBW63" s="954"/>
      <c r="UBX63" s="954"/>
      <c r="UBY63" s="954"/>
      <c r="UBZ63" s="954"/>
      <c r="UCA63" s="954"/>
      <c r="UCB63" s="954"/>
      <c r="UCC63" s="954"/>
      <c r="UCD63" s="954"/>
      <c r="UCE63" s="954"/>
      <c r="UCF63" s="954"/>
      <c r="UCG63" s="954"/>
      <c r="UCH63" s="954"/>
      <c r="UCI63" s="954"/>
      <c r="UCJ63" s="954"/>
      <c r="UCK63" s="954"/>
      <c r="UCL63" s="954"/>
      <c r="UCM63" s="954"/>
      <c r="UCN63" s="954"/>
      <c r="UCO63" s="954"/>
      <c r="UCP63" s="954"/>
      <c r="UCQ63" s="954"/>
      <c r="UCR63" s="954"/>
      <c r="UCS63" s="954"/>
      <c r="UCT63" s="954"/>
      <c r="UCU63" s="954"/>
      <c r="UCV63" s="954"/>
      <c r="UCW63" s="954"/>
      <c r="UCX63" s="954"/>
      <c r="UCY63" s="954"/>
      <c r="UCZ63" s="954"/>
      <c r="UDA63" s="954"/>
      <c r="UDB63" s="954"/>
      <c r="UDC63" s="954"/>
      <c r="UDD63" s="954"/>
      <c r="UDE63" s="954"/>
      <c r="UDF63" s="954"/>
      <c r="UDG63" s="954"/>
      <c r="UDH63" s="954"/>
      <c r="UDI63" s="954"/>
      <c r="UDJ63" s="954"/>
      <c r="UDK63" s="954"/>
      <c r="UDL63" s="954"/>
      <c r="UDM63" s="954"/>
      <c r="UDN63" s="954"/>
      <c r="UDO63" s="954"/>
      <c r="UDP63" s="954"/>
      <c r="UDQ63" s="954"/>
      <c r="UDR63" s="954"/>
      <c r="UDS63" s="954"/>
      <c r="UDT63" s="954"/>
      <c r="UDU63" s="954"/>
      <c r="UDV63" s="954"/>
      <c r="UDW63" s="954"/>
      <c r="UDX63" s="954"/>
      <c r="UDY63" s="954"/>
      <c r="UDZ63" s="954"/>
      <c r="UEA63" s="954"/>
      <c r="UEB63" s="954"/>
      <c r="UEC63" s="954"/>
      <c r="UED63" s="954"/>
      <c r="UEE63" s="954"/>
      <c r="UEF63" s="954"/>
      <c r="UEG63" s="954"/>
      <c r="UEH63" s="954"/>
      <c r="UEI63" s="954"/>
      <c r="UEJ63" s="954"/>
      <c r="UEK63" s="954"/>
      <c r="UEL63" s="954"/>
      <c r="UEM63" s="954"/>
      <c r="UEN63" s="954"/>
      <c r="UEO63" s="954"/>
      <c r="UEP63" s="954"/>
      <c r="UEQ63" s="954"/>
      <c r="UER63" s="954"/>
      <c r="UES63" s="954"/>
      <c r="UET63" s="954"/>
      <c r="UEU63" s="954"/>
      <c r="UEV63" s="954"/>
      <c r="UEW63" s="954"/>
      <c r="UEX63" s="954"/>
      <c r="UEY63" s="954"/>
      <c r="UEZ63" s="954"/>
      <c r="UFA63" s="954"/>
      <c r="UFB63" s="954"/>
      <c r="UFC63" s="954"/>
      <c r="UFD63" s="954"/>
      <c r="UFE63" s="954"/>
      <c r="UFF63" s="954"/>
      <c r="UFG63" s="954"/>
      <c r="UFH63" s="954"/>
      <c r="UFI63" s="954"/>
      <c r="UFJ63" s="954"/>
      <c r="UFK63" s="954"/>
      <c r="UFL63" s="954"/>
      <c r="UFM63" s="954"/>
      <c r="UFN63" s="954"/>
      <c r="UFO63" s="954"/>
      <c r="UFP63" s="954"/>
      <c r="UFQ63" s="954"/>
      <c r="UFR63" s="954"/>
      <c r="UFS63" s="954"/>
      <c r="UFT63" s="954"/>
      <c r="UFU63" s="954"/>
      <c r="UFV63" s="954"/>
      <c r="UFW63" s="954"/>
      <c r="UFX63" s="954"/>
      <c r="UFY63" s="954"/>
      <c r="UFZ63" s="954"/>
      <c r="UGA63" s="954"/>
      <c r="UGB63" s="954"/>
      <c r="UGC63" s="954"/>
      <c r="UGD63" s="954"/>
      <c r="UGE63" s="954"/>
      <c r="UGF63" s="954"/>
      <c r="UGG63" s="954"/>
      <c r="UGH63" s="954"/>
      <c r="UGI63" s="954"/>
      <c r="UGJ63" s="954"/>
      <c r="UGK63" s="954"/>
      <c r="UGL63" s="954"/>
      <c r="UGM63" s="954"/>
      <c r="UGN63" s="954"/>
      <c r="UGO63" s="954"/>
      <c r="UGP63" s="954"/>
      <c r="UGQ63" s="954"/>
      <c r="UGR63" s="954"/>
      <c r="UGS63" s="954"/>
      <c r="UGT63" s="954"/>
      <c r="UGU63" s="954"/>
      <c r="UGV63" s="954"/>
      <c r="UGW63" s="954"/>
      <c r="UGX63" s="954"/>
      <c r="UGY63" s="954"/>
      <c r="UGZ63" s="954"/>
      <c r="UHA63" s="954"/>
      <c r="UHB63" s="954"/>
      <c r="UHC63" s="954"/>
      <c r="UHD63" s="954"/>
      <c r="UHE63" s="954"/>
      <c r="UHF63" s="954"/>
      <c r="UHG63" s="954"/>
      <c r="UHH63" s="954"/>
      <c r="UHI63" s="954"/>
      <c r="UHJ63" s="954"/>
      <c r="UHK63" s="954"/>
      <c r="UHL63" s="954"/>
      <c r="UHM63" s="954"/>
      <c r="UHN63" s="954"/>
      <c r="UHO63" s="954"/>
      <c r="UHP63" s="954"/>
      <c r="UHQ63" s="954"/>
      <c r="UHR63" s="954"/>
      <c r="UHS63" s="954"/>
      <c r="UHT63" s="954"/>
      <c r="UHU63" s="954"/>
      <c r="UHV63" s="954"/>
      <c r="UHW63" s="954"/>
      <c r="UHX63" s="954"/>
      <c r="UHY63" s="954"/>
      <c r="UHZ63" s="954"/>
      <c r="UIA63" s="954"/>
      <c r="UIB63" s="954"/>
      <c r="UIC63" s="954"/>
      <c r="UID63" s="954"/>
      <c r="UIE63" s="954"/>
      <c r="UIF63" s="954"/>
      <c r="UIG63" s="954"/>
      <c r="UIH63" s="954"/>
      <c r="UII63" s="954"/>
      <c r="UIJ63" s="954"/>
      <c r="UIK63" s="954"/>
      <c r="UIL63" s="954"/>
      <c r="UIM63" s="954"/>
      <c r="UIN63" s="954"/>
      <c r="UIO63" s="954"/>
      <c r="UIP63" s="954"/>
      <c r="UIQ63" s="954"/>
      <c r="UIR63" s="954"/>
      <c r="UIS63" s="954"/>
      <c r="UIT63" s="954"/>
      <c r="UIU63" s="954"/>
      <c r="UIV63" s="954"/>
      <c r="UIW63" s="954"/>
      <c r="UIX63" s="954"/>
      <c r="UIY63" s="954"/>
      <c r="UIZ63" s="954"/>
      <c r="UJA63" s="954"/>
      <c r="UJB63" s="954"/>
      <c r="UJC63" s="954"/>
      <c r="UJD63" s="954"/>
      <c r="UJE63" s="954"/>
      <c r="UJF63" s="954"/>
      <c r="UJG63" s="954"/>
      <c r="UJH63" s="954"/>
      <c r="UJI63" s="954"/>
      <c r="UJJ63" s="954"/>
      <c r="UJK63" s="954"/>
      <c r="UJL63" s="954"/>
      <c r="UJM63" s="954"/>
      <c r="UJN63" s="954"/>
      <c r="UJO63" s="954"/>
      <c r="UJP63" s="954"/>
      <c r="UJQ63" s="954"/>
      <c r="UJR63" s="954"/>
      <c r="UJS63" s="954"/>
      <c r="UJT63" s="954"/>
      <c r="UJU63" s="954"/>
      <c r="UJV63" s="954"/>
      <c r="UJW63" s="954"/>
      <c r="UJX63" s="954"/>
      <c r="UJY63" s="954"/>
      <c r="UJZ63" s="954"/>
      <c r="UKA63" s="954"/>
      <c r="UKB63" s="954"/>
      <c r="UKC63" s="954"/>
      <c r="UKD63" s="954"/>
      <c r="UKE63" s="954"/>
      <c r="UKF63" s="954"/>
      <c r="UKG63" s="954"/>
      <c r="UKH63" s="954"/>
      <c r="UKI63" s="954"/>
      <c r="UKJ63" s="954"/>
      <c r="UKK63" s="954"/>
      <c r="UKL63" s="954"/>
      <c r="UKM63" s="954"/>
      <c r="UKN63" s="954"/>
      <c r="UKO63" s="954"/>
      <c r="UKP63" s="954"/>
      <c r="UKQ63" s="954"/>
      <c r="UKR63" s="954"/>
      <c r="UKS63" s="954"/>
      <c r="UKT63" s="954"/>
      <c r="UKU63" s="954"/>
      <c r="UKV63" s="954"/>
      <c r="UKW63" s="954"/>
      <c r="UKX63" s="954"/>
      <c r="UKY63" s="954"/>
      <c r="UKZ63" s="954"/>
      <c r="ULA63" s="954"/>
      <c r="ULB63" s="954"/>
      <c r="ULC63" s="954"/>
      <c r="ULD63" s="954"/>
      <c r="ULE63" s="954"/>
      <c r="ULF63" s="954"/>
      <c r="ULG63" s="954"/>
      <c r="ULH63" s="954"/>
      <c r="ULI63" s="954"/>
      <c r="ULJ63" s="954"/>
      <c r="ULK63" s="954"/>
      <c r="ULL63" s="954"/>
      <c r="ULM63" s="954"/>
      <c r="ULN63" s="954"/>
      <c r="ULO63" s="954"/>
      <c r="ULP63" s="954"/>
      <c r="ULQ63" s="954"/>
      <c r="ULR63" s="954"/>
      <c r="ULS63" s="954"/>
      <c r="ULT63" s="954"/>
      <c r="ULU63" s="954"/>
      <c r="ULV63" s="954"/>
      <c r="ULW63" s="954"/>
      <c r="ULX63" s="954"/>
      <c r="ULY63" s="954"/>
      <c r="ULZ63" s="954"/>
      <c r="UMA63" s="954"/>
      <c r="UMB63" s="954"/>
      <c r="UMC63" s="954"/>
      <c r="UMD63" s="954"/>
      <c r="UME63" s="954"/>
      <c r="UMF63" s="954"/>
      <c r="UMG63" s="954"/>
      <c r="UMH63" s="954"/>
      <c r="UMI63" s="954"/>
      <c r="UMJ63" s="954"/>
      <c r="UMK63" s="954"/>
      <c r="UML63" s="954"/>
      <c r="UMM63" s="954"/>
      <c r="UMN63" s="954"/>
      <c r="UMO63" s="954"/>
      <c r="UMP63" s="954"/>
      <c r="UMQ63" s="954"/>
      <c r="UMR63" s="954"/>
      <c r="UMS63" s="954"/>
      <c r="UMT63" s="954"/>
      <c r="UMU63" s="954"/>
      <c r="UMV63" s="954"/>
      <c r="UMW63" s="954"/>
      <c r="UMX63" s="954"/>
      <c r="UMY63" s="954"/>
      <c r="UMZ63" s="954"/>
      <c r="UNA63" s="954"/>
      <c r="UNB63" s="954"/>
      <c r="UNC63" s="954"/>
      <c r="UND63" s="954"/>
      <c r="UNE63" s="954"/>
      <c r="UNF63" s="954"/>
      <c r="UNG63" s="954"/>
      <c r="UNH63" s="954"/>
      <c r="UNI63" s="954"/>
      <c r="UNJ63" s="954"/>
      <c r="UNK63" s="954"/>
      <c r="UNL63" s="954"/>
      <c r="UNM63" s="954"/>
      <c r="UNN63" s="954"/>
      <c r="UNO63" s="954"/>
      <c r="UNP63" s="954"/>
      <c r="UNQ63" s="954"/>
      <c r="UNR63" s="954"/>
      <c r="UNS63" s="954"/>
      <c r="UNT63" s="954"/>
      <c r="UNU63" s="954"/>
      <c r="UNV63" s="954"/>
      <c r="UNW63" s="954"/>
      <c r="UNX63" s="954"/>
      <c r="UNY63" s="954"/>
      <c r="UNZ63" s="954"/>
      <c r="UOA63" s="954"/>
      <c r="UOB63" s="954"/>
      <c r="UOC63" s="954"/>
      <c r="UOD63" s="954"/>
      <c r="UOE63" s="954"/>
      <c r="UOF63" s="954"/>
      <c r="UOG63" s="954"/>
      <c r="UOH63" s="954"/>
      <c r="UOI63" s="954"/>
      <c r="UOJ63" s="954"/>
      <c r="UOK63" s="954"/>
      <c r="UOL63" s="954"/>
      <c r="UOM63" s="954"/>
      <c r="UON63" s="954"/>
      <c r="UOO63" s="954"/>
      <c r="UOP63" s="954"/>
      <c r="UOQ63" s="954"/>
      <c r="UOR63" s="954"/>
      <c r="UOS63" s="954"/>
      <c r="UOT63" s="954"/>
      <c r="UOU63" s="954"/>
      <c r="UOV63" s="954"/>
      <c r="UOW63" s="954"/>
      <c r="UOX63" s="954"/>
      <c r="UOY63" s="954"/>
      <c r="UOZ63" s="954"/>
      <c r="UPA63" s="954"/>
      <c r="UPB63" s="954"/>
      <c r="UPC63" s="954"/>
      <c r="UPD63" s="954"/>
      <c r="UPE63" s="954"/>
      <c r="UPF63" s="954"/>
      <c r="UPG63" s="954"/>
      <c r="UPH63" s="954"/>
      <c r="UPI63" s="954"/>
      <c r="UPJ63" s="954"/>
      <c r="UPK63" s="954"/>
      <c r="UPL63" s="954"/>
      <c r="UPM63" s="954"/>
      <c r="UPN63" s="954"/>
      <c r="UPO63" s="954"/>
      <c r="UPP63" s="954"/>
      <c r="UPQ63" s="954"/>
      <c r="UPR63" s="954"/>
      <c r="UPS63" s="954"/>
      <c r="UPT63" s="954"/>
      <c r="UPU63" s="954"/>
      <c r="UPV63" s="954"/>
      <c r="UPW63" s="954"/>
      <c r="UPX63" s="954"/>
      <c r="UPY63" s="954"/>
      <c r="UPZ63" s="954"/>
      <c r="UQA63" s="954"/>
      <c r="UQB63" s="954"/>
      <c r="UQC63" s="954"/>
      <c r="UQD63" s="954"/>
      <c r="UQE63" s="954"/>
      <c r="UQF63" s="954"/>
      <c r="UQG63" s="954"/>
      <c r="UQH63" s="954"/>
      <c r="UQI63" s="954"/>
      <c r="UQJ63" s="954"/>
      <c r="UQK63" s="954"/>
      <c r="UQL63" s="954"/>
      <c r="UQM63" s="954"/>
      <c r="UQN63" s="954"/>
      <c r="UQO63" s="954"/>
      <c r="UQP63" s="954"/>
      <c r="UQQ63" s="954"/>
      <c r="UQR63" s="954"/>
      <c r="UQS63" s="954"/>
      <c r="UQT63" s="954"/>
      <c r="UQU63" s="954"/>
      <c r="UQV63" s="954"/>
      <c r="UQW63" s="954"/>
      <c r="UQX63" s="954"/>
      <c r="UQY63" s="954"/>
      <c r="UQZ63" s="954"/>
      <c r="URA63" s="954"/>
      <c r="URB63" s="954"/>
      <c r="URC63" s="954"/>
      <c r="URD63" s="954"/>
      <c r="URE63" s="954"/>
      <c r="URF63" s="954"/>
      <c r="URG63" s="954"/>
      <c r="URH63" s="954"/>
      <c r="URI63" s="954"/>
      <c r="URJ63" s="954"/>
      <c r="URK63" s="954"/>
      <c r="URL63" s="954"/>
      <c r="URM63" s="954"/>
      <c r="URN63" s="954"/>
      <c r="URO63" s="954"/>
      <c r="URP63" s="954"/>
      <c r="URQ63" s="954"/>
      <c r="URR63" s="954"/>
      <c r="URS63" s="954"/>
      <c r="URT63" s="954"/>
      <c r="URU63" s="954"/>
      <c r="URV63" s="954"/>
      <c r="URW63" s="954"/>
      <c r="URX63" s="954"/>
      <c r="URY63" s="954"/>
      <c r="URZ63" s="954"/>
      <c r="USA63" s="954"/>
      <c r="USB63" s="954"/>
      <c r="USC63" s="954"/>
      <c r="USD63" s="954"/>
      <c r="USE63" s="954"/>
      <c r="USF63" s="954"/>
      <c r="USG63" s="954"/>
      <c r="USH63" s="954"/>
      <c r="USI63" s="954"/>
      <c r="USJ63" s="954"/>
      <c r="USK63" s="954"/>
      <c r="USL63" s="954"/>
      <c r="USM63" s="954"/>
      <c r="USN63" s="954"/>
      <c r="USO63" s="954"/>
      <c r="USP63" s="954"/>
      <c r="USQ63" s="954"/>
      <c r="USR63" s="954"/>
      <c r="USS63" s="954"/>
      <c r="UST63" s="954"/>
      <c r="USU63" s="954"/>
      <c r="USV63" s="954"/>
      <c r="USW63" s="954"/>
      <c r="USX63" s="954"/>
      <c r="USY63" s="954"/>
      <c r="USZ63" s="954"/>
      <c r="UTA63" s="954"/>
      <c r="UTB63" s="954"/>
      <c r="UTC63" s="954"/>
      <c r="UTD63" s="954"/>
      <c r="UTE63" s="954"/>
      <c r="UTF63" s="954"/>
      <c r="UTG63" s="954"/>
      <c r="UTH63" s="954"/>
      <c r="UTI63" s="954"/>
      <c r="UTJ63" s="954"/>
      <c r="UTK63" s="954"/>
      <c r="UTL63" s="954"/>
      <c r="UTM63" s="954"/>
      <c r="UTN63" s="954"/>
      <c r="UTO63" s="954"/>
      <c r="UTP63" s="954"/>
      <c r="UTQ63" s="954"/>
      <c r="UTR63" s="954"/>
      <c r="UTS63" s="954"/>
      <c r="UTT63" s="954"/>
      <c r="UTU63" s="954"/>
      <c r="UTV63" s="954"/>
      <c r="UTW63" s="954"/>
      <c r="UTX63" s="954"/>
      <c r="UTY63" s="954"/>
      <c r="UTZ63" s="954"/>
      <c r="UUA63" s="954"/>
      <c r="UUB63" s="954"/>
      <c r="UUC63" s="954"/>
      <c r="UUD63" s="954"/>
      <c r="UUE63" s="954"/>
      <c r="UUF63" s="954"/>
      <c r="UUG63" s="954"/>
      <c r="UUH63" s="954"/>
      <c r="UUI63" s="954"/>
      <c r="UUJ63" s="954"/>
      <c r="UUK63" s="954"/>
      <c r="UUL63" s="954"/>
      <c r="UUM63" s="954"/>
      <c r="UUN63" s="954"/>
      <c r="UUO63" s="954"/>
      <c r="UUP63" s="954"/>
      <c r="UUQ63" s="954"/>
      <c r="UUR63" s="954"/>
      <c r="UUS63" s="954"/>
      <c r="UUT63" s="954"/>
      <c r="UUU63" s="954"/>
      <c r="UUV63" s="954"/>
      <c r="UUW63" s="954"/>
      <c r="UUX63" s="954"/>
      <c r="UUY63" s="954"/>
      <c r="UUZ63" s="954"/>
      <c r="UVA63" s="954"/>
      <c r="UVB63" s="954"/>
      <c r="UVC63" s="954"/>
      <c r="UVD63" s="954"/>
      <c r="UVE63" s="954"/>
      <c r="UVF63" s="954"/>
      <c r="UVG63" s="954"/>
      <c r="UVH63" s="954"/>
      <c r="UVI63" s="954"/>
      <c r="UVJ63" s="954"/>
      <c r="UVK63" s="954"/>
      <c r="UVL63" s="954"/>
      <c r="UVM63" s="954"/>
      <c r="UVN63" s="954"/>
      <c r="UVO63" s="954"/>
      <c r="UVP63" s="954"/>
      <c r="UVQ63" s="954"/>
      <c r="UVR63" s="954"/>
      <c r="UVS63" s="954"/>
      <c r="UVT63" s="954"/>
      <c r="UVU63" s="954"/>
      <c r="UVV63" s="954"/>
      <c r="UVW63" s="954"/>
      <c r="UVX63" s="954"/>
      <c r="UVY63" s="954"/>
      <c r="UVZ63" s="954"/>
      <c r="UWA63" s="954"/>
      <c r="UWB63" s="954"/>
      <c r="UWC63" s="954"/>
      <c r="UWD63" s="954"/>
      <c r="UWE63" s="954"/>
      <c r="UWF63" s="954"/>
      <c r="UWG63" s="954"/>
      <c r="UWH63" s="954"/>
      <c r="UWI63" s="954"/>
      <c r="UWJ63" s="954"/>
      <c r="UWK63" s="954"/>
      <c r="UWL63" s="954"/>
      <c r="UWM63" s="954"/>
      <c r="UWN63" s="954"/>
      <c r="UWO63" s="954"/>
      <c r="UWP63" s="954"/>
      <c r="UWQ63" s="954"/>
      <c r="UWR63" s="954"/>
      <c r="UWS63" s="954"/>
      <c r="UWT63" s="954"/>
      <c r="UWU63" s="954"/>
      <c r="UWV63" s="954"/>
      <c r="UWW63" s="954"/>
      <c r="UWX63" s="954"/>
      <c r="UWY63" s="954"/>
      <c r="UWZ63" s="954"/>
      <c r="UXA63" s="954"/>
      <c r="UXB63" s="954"/>
      <c r="UXC63" s="954"/>
      <c r="UXD63" s="954"/>
      <c r="UXE63" s="954"/>
      <c r="UXF63" s="954"/>
      <c r="UXG63" s="954"/>
      <c r="UXH63" s="954"/>
      <c r="UXI63" s="954"/>
      <c r="UXJ63" s="954"/>
      <c r="UXK63" s="954"/>
      <c r="UXL63" s="954"/>
      <c r="UXM63" s="954"/>
      <c r="UXN63" s="954"/>
      <c r="UXO63" s="954"/>
      <c r="UXP63" s="954"/>
      <c r="UXQ63" s="954"/>
      <c r="UXR63" s="954"/>
      <c r="UXS63" s="954"/>
      <c r="UXT63" s="954"/>
      <c r="UXU63" s="954"/>
      <c r="UXV63" s="954"/>
      <c r="UXW63" s="954"/>
      <c r="UXX63" s="954"/>
      <c r="UXY63" s="954"/>
      <c r="UXZ63" s="954"/>
      <c r="UYA63" s="954"/>
      <c r="UYB63" s="954"/>
      <c r="UYC63" s="954"/>
      <c r="UYD63" s="954"/>
      <c r="UYE63" s="954"/>
      <c r="UYF63" s="954"/>
      <c r="UYG63" s="954"/>
      <c r="UYH63" s="954"/>
      <c r="UYI63" s="954"/>
      <c r="UYJ63" s="954"/>
      <c r="UYK63" s="954"/>
      <c r="UYL63" s="954"/>
      <c r="UYM63" s="954"/>
      <c r="UYN63" s="954"/>
      <c r="UYO63" s="954"/>
      <c r="UYP63" s="954"/>
      <c r="UYQ63" s="954"/>
      <c r="UYR63" s="954"/>
      <c r="UYS63" s="954"/>
      <c r="UYT63" s="954"/>
      <c r="UYU63" s="954"/>
      <c r="UYV63" s="954"/>
      <c r="UYW63" s="954"/>
      <c r="UYX63" s="954"/>
      <c r="UYY63" s="954"/>
      <c r="UYZ63" s="954"/>
      <c r="UZA63" s="954"/>
      <c r="UZB63" s="954"/>
      <c r="UZC63" s="954"/>
      <c r="UZD63" s="954"/>
      <c r="UZE63" s="954"/>
      <c r="UZF63" s="954"/>
      <c r="UZG63" s="954"/>
      <c r="UZH63" s="954"/>
      <c r="UZI63" s="954"/>
      <c r="UZJ63" s="954"/>
      <c r="UZK63" s="954"/>
      <c r="UZL63" s="954"/>
      <c r="UZM63" s="954"/>
      <c r="UZN63" s="954"/>
      <c r="UZO63" s="954"/>
      <c r="UZP63" s="954"/>
      <c r="UZQ63" s="954"/>
      <c r="UZR63" s="954"/>
      <c r="UZS63" s="954"/>
      <c r="UZT63" s="954"/>
      <c r="UZU63" s="954"/>
      <c r="UZV63" s="954"/>
      <c r="UZW63" s="954"/>
      <c r="UZX63" s="954"/>
      <c r="UZY63" s="954"/>
      <c r="UZZ63" s="954"/>
      <c r="VAA63" s="954"/>
      <c r="VAB63" s="954"/>
      <c r="VAC63" s="954"/>
      <c r="VAD63" s="954"/>
      <c r="VAE63" s="954"/>
      <c r="VAF63" s="954"/>
      <c r="VAG63" s="954"/>
      <c r="VAH63" s="954"/>
      <c r="VAI63" s="954"/>
      <c r="VAJ63" s="954"/>
      <c r="VAK63" s="954"/>
      <c r="VAL63" s="954"/>
      <c r="VAM63" s="954"/>
      <c r="VAN63" s="954"/>
      <c r="VAO63" s="954"/>
      <c r="VAP63" s="954"/>
      <c r="VAQ63" s="954"/>
      <c r="VAR63" s="954"/>
      <c r="VAS63" s="954"/>
      <c r="VAT63" s="954"/>
      <c r="VAU63" s="954"/>
      <c r="VAV63" s="954"/>
      <c r="VAW63" s="954"/>
      <c r="VAX63" s="954"/>
      <c r="VAY63" s="954"/>
      <c r="VAZ63" s="954"/>
      <c r="VBA63" s="954"/>
      <c r="VBB63" s="954"/>
      <c r="VBC63" s="954"/>
      <c r="VBD63" s="954"/>
      <c r="VBE63" s="954"/>
      <c r="VBF63" s="954"/>
      <c r="VBG63" s="954"/>
      <c r="VBH63" s="954"/>
      <c r="VBI63" s="954"/>
      <c r="VBJ63" s="954"/>
      <c r="VBK63" s="954"/>
      <c r="VBL63" s="954"/>
      <c r="VBM63" s="954"/>
      <c r="VBN63" s="954"/>
      <c r="VBO63" s="954"/>
      <c r="VBP63" s="954"/>
      <c r="VBQ63" s="954"/>
      <c r="VBR63" s="954"/>
      <c r="VBS63" s="954"/>
      <c r="VBT63" s="954"/>
      <c r="VBU63" s="954"/>
      <c r="VBV63" s="954"/>
      <c r="VBW63" s="954"/>
      <c r="VBX63" s="954"/>
      <c r="VBY63" s="954"/>
      <c r="VBZ63" s="954"/>
      <c r="VCA63" s="954"/>
      <c r="VCB63" s="954"/>
      <c r="VCC63" s="954"/>
      <c r="VCD63" s="954"/>
      <c r="VCE63" s="954"/>
      <c r="VCF63" s="954"/>
      <c r="VCG63" s="954"/>
      <c r="VCH63" s="954"/>
      <c r="VCI63" s="954"/>
      <c r="VCJ63" s="954"/>
      <c r="VCK63" s="954"/>
      <c r="VCL63" s="954"/>
      <c r="VCM63" s="954"/>
      <c r="VCN63" s="954"/>
      <c r="VCO63" s="954"/>
      <c r="VCP63" s="954"/>
      <c r="VCQ63" s="954"/>
      <c r="VCR63" s="954"/>
      <c r="VCS63" s="954"/>
      <c r="VCT63" s="954"/>
      <c r="VCU63" s="954"/>
      <c r="VCV63" s="954"/>
      <c r="VCW63" s="954"/>
      <c r="VCX63" s="954"/>
      <c r="VCY63" s="954"/>
      <c r="VCZ63" s="954"/>
      <c r="VDA63" s="954"/>
      <c r="VDB63" s="954"/>
      <c r="VDC63" s="954"/>
      <c r="VDD63" s="954"/>
      <c r="VDE63" s="954"/>
      <c r="VDF63" s="954"/>
      <c r="VDG63" s="954"/>
      <c r="VDH63" s="954"/>
      <c r="VDI63" s="954"/>
      <c r="VDJ63" s="954"/>
      <c r="VDK63" s="954"/>
      <c r="VDL63" s="954"/>
      <c r="VDM63" s="954"/>
      <c r="VDN63" s="954"/>
      <c r="VDO63" s="954"/>
      <c r="VDP63" s="954"/>
      <c r="VDQ63" s="954"/>
      <c r="VDR63" s="954"/>
      <c r="VDS63" s="954"/>
      <c r="VDT63" s="954"/>
      <c r="VDU63" s="954"/>
      <c r="VDV63" s="954"/>
      <c r="VDW63" s="954"/>
      <c r="VDX63" s="954"/>
      <c r="VDY63" s="954"/>
      <c r="VDZ63" s="954"/>
      <c r="VEA63" s="954"/>
      <c r="VEB63" s="954"/>
      <c r="VEC63" s="954"/>
      <c r="VED63" s="954"/>
      <c r="VEE63" s="954"/>
      <c r="VEF63" s="954"/>
      <c r="VEG63" s="954"/>
      <c r="VEH63" s="954"/>
      <c r="VEI63" s="954"/>
      <c r="VEJ63" s="954"/>
      <c r="VEK63" s="954"/>
      <c r="VEL63" s="954"/>
      <c r="VEM63" s="954"/>
      <c r="VEN63" s="954"/>
      <c r="VEO63" s="954"/>
      <c r="VEP63" s="954"/>
      <c r="VEQ63" s="954"/>
      <c r="VER63" s="954"/>
      <c r="VES63" s="954"/>
      <c r="VET63" s="954"/>
      <c r="VEU63" s="954"/>
      <c r="VEV63" s="954"/>
      <c r="VEW63" s="954"/>
      <c r="VEX63" s="954"/>
      <c r="VEY63" s="954"/>
      <c r="VEZ63" s="954"/>
      <c r="VFA63" s="954"/>
      <c r="VFB63" s="954"/>
      <c r="VFC63" s="954"/>
      <c r="VFD63" s="954"/>
      <c r="VFE63" s="954"/>
      <c r="VFF63" s="954"/>
      <c r="VFG63" s="954"/>
      <c r="VFH63" s="954"/>
      <c r="VFI63" s="954"/>
      <c r="VFJ63" s="954"/>
      <c r="VFK63" s="954"/>
      <c r="VFL63" s="954"/>
      <c r="VFM63" s="954"/>
      <c r="VFN63" s="954"/>
      <c r="VFO63" s="954"/>
      <c r="VFP63" s="954"/>
      <c r="VFQ63" s="954"/>
      <c r="VFR63" s="954"/>
      <c r="VFS63" s="954"/>
      <c r="VFT63" s="954"/>
      <c r="VFU63" s="954"/>
      <c r="VFV63" s="954"/>
      <c r="VFW63" s="954"/>
      <c r="VFX63" s="954"/>
      <c r="VFY63" s="954"/>
      <c r="VFZ63" s="954"/>
      <c r="VGA63" s="954"/>
      <c r="VGB63" s="954"/>
      <c r="VGC63" s="954"/>
      <c r="VGD63" s="954"/>
      <c r="VGE63" s="954"/>
      <c r="VGF63" s="954"/>
      <c r="VGG63" s="954"/>
      <c r="VGH63" s="954"/>
      <c r="VGI63" s="954"/>
      <c r="VGJ63" s="954"/>
      <c r="VGK63" s="954"/>
      <c r="VGL63" s="954"/>
      <c r="VGM63" s="954"/>
      <c r="VGN63" s="954"/>
      <c r="VGO63" s="954"/>
      <c r="VGP63" s="954"/>
      <c r="VGQ63" s="954"/>
      <c r="VGR63" s="954"/>
      <c r="VGS63" s="954"/>
      <c r="VGT63" s="954"/>
      <c r="VGU63" s="954"/>
      <c r="VGV63" s="954"/>
      <c r="VGW63" s="954"/>
      <c r="VGX63" s="954"/>
      <c r="VGY63" s="954"/>
      <c r="VGZ63" s="954"/>
      <c r="VHA63" s="954"/>
      <c r="VHB63" s="954"/>
      <c r="VHC63" s="954"/>
      <c r="VHD63" s="954"/>
      <c r="VHE63" s="954"/>
      <c r="VHF63" s="954"/>
      <c r="VHG63" s="954"/>
      <c r="VHH63" s="954"/>
      <c r="VHI63" s="954"/>
      <c r="VHJ63" s="954"/>
      <c r="VHK63" s="954"/>
      <c r="VHL63" s="954"/>
      <c r="VHM63" s="954"/>
      <c r="VHN63" s="954"/>
      <c r="VHO63" s="954"/>
      <c r="VHP63" s="954"/>
      <c r="VHQ63" s="954"/>
      <c r="VHR63" s="954"/>
      <c r="VHS63" s="954"/>
      <c r="VHT63" s="954"/>
      <c r="VHU63" s="954"/>
      <c r="VHV63" s="954"/>
      <c r="VHW63" s="954"/>
      <c r="VHX63" s="954"/>
      <c r="VHY63" s="954"/>
      <c r="VHZ63" s="954"/>
      <c r="VIA63" s="954"/>
      <c r="VIB63" s="954"/>
      <c r="VIC63" s="954"/>
      <c r="VID63" s="954"/>
      <c r="VIE63" s="954"/>
      <c r="VIF63" s="954"/>
      <c r="VIG63" s="954"/>
      <c r="VIH63" s="954"/>
      <c r="VII63" s="954"/>
      <c r="VIJ63" s="954"/>
      <c r="VIK63" s="954"/>
      <c r="VIL63" s="954"/>
      <c r="VIM63" s="954"/>
      <c r="VIN63" s="954"/>
      <c r="VIO63" s="954"/>
      <c r="VIP63" s="954"/>
      <c r="VIQ63" s="954"/>
      <c r="VIR63" s="954"/>
      <c r="VIS63" s="954"/>
      <c r="VIT63" s="954"/>
      <c r="VIU63" s="954"/>
      <c r="VIV63" s="954"/>
      <c r="VIW63" s="954"/>
      <c r="VIX63" s="954"/>
      <c r="VIY63" s="954"/>
      <c r="VIZ63" s="954"/>
      <c r="VJA63" s="954"/>
      <c r="VJB63" s="954"/>
      <c r="VJC63" s="954"/>
      <c r="VJD63" s="954"/>
      <c r="VJE63" s="954"/>
      <c r="VJF63" s="954"/>
      <c r="VJG63" s="954"/>
      <c r="VJH63" s="954"/>
      <c r="VJI63" s="954"/>
      <c r="VJJ63" s="954"/>
      <c r="VJK63" s="954"/>
      <c r="VJL63" s="954"/>
      <c r="VJM63" s="954"/>
      <c r="VJN63" s="954"/>
      <c r="VJO63" s="954"/>
      <c r="VJP63" s="954"/>
      <c r="VJQ63" s="954"/>
      <c r="VJR63" s="954"/>
      <c r="VJS63" s="954"/>
      <c r="VJT63" s="954"/>
      <c r="VJU63" s="954"/>
      <c r="VJV63" s="954"/>
      <c r="VJW63" s="954"/>
      <c r="VJX63" s="954"/>
      <c r="VJY63" s="954"/>
      <c r="VJZ63" s="954"/>
      <c r="VKA63" s="954"/>
      <c r="VKB63" s="954"/>
      <c r="VKC63" s="954"/>
      <c r="VKD63" s="954"/>
      <c r="VKE63" s="954"/>
      <c r="VKF63" s="954"/>
      <c r="VKG63" s="954"/>
      <c r="VKH63" s="954"/>
      <c r="VKI63" s="954"/>
      <c r="VKJ63" s="954"/>
      <c r="VKK63" s="954"/>
      <c r="VKL63" s="954"/>
      <c r="VKM63" s="954"/>
      <c r="VKN63" s="954"/>
      <c r="VKO63" s="954"/>
      <c r="VKP63" s="954"/>
      <c r="VKQ63" s="954"/>
      <c r="VKR63" s="954"/>
      <c r="VKS63" s="954"/>
      <c r="VKT63" s="954"/>
      <c r="VKU63" s="954"/>
      <c r="VKV63" s="954"/>
      <c r="VKW63" s="954"/>
      <c r="VKX63" s="954"/>
      <c r="VKY63" s="954"/>
      <c r="VKZ63" s="954"/>
      <c r="VLA63" s="954"/>
      <c r="VLB63" s="954"/>
      <c r="VLC63" s="954"/>
      <c r="VLD63" s="954"/>
      <c r="VLE63" s="954"/>
      <c r="VLF63" s="954"/>
      <c r="VLG63" s="954"/>
      <c r="VLH63" s="954"/>
      <c r="VLI63" s="954"/>
      <c r="VLJ63" s="954"/>
      <c r="VLK63" s="954"/>
      <c r="VLL63" s="954"/>
      <c r="VLM63" s="954"/>
      <c r="VLN63" s="954"/>
      <c r="VLO63" s="954"/>
      <c r="VLP63" s="954"/>
      <c r="VLQ63" s="954"/>
      <c r="VLR63" s="954"/>
      <c r="VLS63" s="954"/>
      <c r="VLT63" s="954"/>
      <c r="VLU63" s="954"/>
      <c r="VLV63" s="954"/>
      <c r="VLW63" s="954"/>
      <c r="VLX63" s="954"/>
      <c r="VLY63" s="954"/>
      <c r="VLZ63" s="954"/>
      <c r="VMA63" s="954"/>
      <c r="VMB63" s="954"/>
      <c r="VMC63" s="954"/>
      <c r="VMD63" s="954"/>
      <c r="VME63" s="954"/>
      <c r="VMF63" s="954"/>
      <c r="VMG63" s="954"/>
      <c r="VMH63" s="954"/>
      <c r="VMI63" s="954"/>
      <c r="VMJ63" s="954"/>
      <c r="VMK63" s="954"/>
      <c r="VML63" s="954"/>
      <c r="VMM63" s="954"/>
      <c r="VMN63" s="954"/>
      <c r="VMO63" s="954"/>
      <c r="VMP63" s="954"/>
      <c r="VMQ63" s="954"/>
      <c r="VMR63" s="954"/>
      <c r="VMS63" s="954"/>
      <c r="VMT63" s="954"/>
      <c r="VMU63" s="954"/>
      <c r="VMV63" s="954"/>
      <c r="VMW63" s="954"/>
      <c r="VMX63" s="954"/>
      <c r="VMY63" s="954"/>
      <c r="VMZ63" s="954"/>
      <c r="VNA63" s="954"/>
      <c r="VNB63" s="954"/>
      <c r="VNC63" s="954"/>
      <c r="VND63" s="954"/>
      <c r="VNE63" s="954"/>
      <c r="VNF63" s="954"/>
      <c r="VNG63" s="954"/>
      <c r="VNH63" s="954"/>
      <c r="VNI63" s="954"/>
      <c r="VNJ63" s="954"/>
      <c r="VNK63" s="954"/>
      <c r="VNL63" s="954"/>
      <c r="VNM63" s="954"/>
      <c r="VNN63" s="954"/>
      <c r="VNO63" s="954"/>
      <c r="VNP63" s="954"/>
      <c r="VNQ63" s="954"/>
      <c r="VNR63" s="954"/>
      <c r="VNS63" s="954"/>
      <c r="VNT63" s="954"/>
      <c r="VNU63" s="954"/>
      <c r="VNV63" s="954"/>
      <c r="VNW63" s="954"/>
      <c r="VNX63" s="954"/>
      <c r="VNY63" s="954"/>
      <c r="VNZ63" s="954"/>
      <c r="VOA63" s="954"/>
      <c r="VOB63" s="954"/>
      <c r="VOC63" s="954"/>
      <c r="VOD63" s="954"/>
      <c r="VOE63" s="954"/>
      <c r="VOF63" s="954"/>
      <c r="VOG63" s="954"/>
      <c r="VOH63" s="954"/>
      <c r="VOI63" s="954"/>
      <c r="VOJ63" s="954"/>
      <c r="VOK63" s="954"/>
      <c r="VOL63" s="954"/>
      <c r="VOM63" s="954"/>
      <c r="VON63" s="954"/>
      <c r="VOO63" s="954"/>
      <c r="VOP63" s="954"/>
      <c r="VOQ63" s="954"/>
      <c r="VOR63" s="954"/>
      <c r="VOS63" s="954"/>
      <c r="VOT63" s="954"/>
      <c r="VOU63" s="954"/>
      <c r="VOV63" s="954"/>
      <c r="VOW63" s="954"/>
      <c r="VOX63" s="954"/>
      <c r="VOY63" s="954"/>
      <c r="VOZ63" s="954"/>
      <c r="VPA63" s="954"/>
      <c r="VPB63" s="954"/>
      <c r="VPC63" s="954"/>
      <c r="VPD63" s="954"/>
      <c r="VPE63" s="954"/>
      <c r="VPF63" s="954"/>
      <c r="VPG63" s="954"/>
      <c r="VPH63" s="954"/>
      <c r="VPI63" s="954"/>
      <c r="VPJ63" s="954"/>
      <c r="VPK63" s="954"/>
      <c r="VPL63" s="954"/>
      <c r="VPM63" s="954"/>
      <c r="VPN63" s="954"/>
      <c r="VPO63" s="954"/>
      <c r="VPP63" s="954"/>
      <c r="VPQ63" s="954"/>
      <c r="VPR63" s="954"/>
      <c r="VPS63" s="954"/>
      <c r="VPT63" s="954"/>
      <c r="VPU63" s="954"/>
      <c r="VPV63" s="954"/>
      <c r="VPW63" s="954"/>
      <c r="VPX63" s="954"/>
      <c r="VPY63" s="954"/>
      <c r="VPZ63" s="954"/>
      <c r="VQA63" s="954"/>
      <c r="VQB63" s="954"/>
      <c r="VQC63" s="954"/>
      <c r="VQD63" s="954"/>
      <c r="VQE63" s="954"/>
      <c r="VQF63" s="954"/>
      <c r="VQG63" s="954"/>
      <c r="VQH63" s="954"/>
      <c r="VQI63" s="954"/>
      <c r="VQJ63" s="954"/>
      <c r="VQK63" s="954"/>
      <c r="VQL63" s="954"/>
      <c r="VQM63" s="954"/>
      <c r="VQN63" s="954"/>
      <c r="VQO63" s="954"/>
      <c r="VQP63" s="954"/>
      <c r="VQQ63" s="954"/>
      <c r="VQR63" s="954"/>
      <c r="VQS63" s="954"/>
      <c r="VQT63" s="954"/>
      <c r="VQU63" s="954"/>
      <c r="VQV63" s="954"/>
      <c r="VQW63" s="954"/>
      <c r="VQX63" s="954"/>
      <c r="VQY63" s="954"/>
      <c r="VQZ63" s="954"/>
      <c r="VRA63" s="954"/>
      <c r="VRB63" s="954"/>
      <c r="VRC63" s="954"/>
      <c r="VRD63" s="954"/>
      <c r="VRE63" s="954"/>
      <c r="VRF63" s="954"/>
      <c r="VRG63" s="954"/>
      <c r="VRH63" s="954"/>
      <c r="VRI63" s="954"/>
      <c r="VRJ63" s="954"/>
      <c r="VRK63" s="954"/>
      <c r="VRL63" s="954"/>
      <c r="VRM63" s="954"/>
      <c r="VRN63" s="954"/>
      <c r="VRO63" s="954"/>
      <c r="VRP63" s="954"/>
      <c r="VRQ63" s="954"/>
      <c r="VRR63" s="954"/>
      <c r="VRS63" s="954"/>
      <c r="VRT63" s="954"/>
      <c r="VRU63" s="954"/>
      <c r="VRV63" s="954"/>
      <c r="VRW63" s="954"/>
      <c r="VRX63" s="954"/>
      <c r="VRY63" s="954"/>
      <c r="VRZ63" s="954"/>
      <c r="VSA63" s="954"/>
      <c r="VSB63" s="954"/>
      <c r="VSC63" s="954"/>
      <c r="VSD63" s="954"/>
      <c r="VSE63" s="954"/>
      <c r="VSF63" s="954"/>
      <c r="VSG63" s="954"/>
      <c r="VSH63" s="954"/>
      <c r="VSI63" s="954"/>
      <c r="VSJ63" s="954"/>
      <c r="VSK63" s="954"/>
      <c r="VSL63" s="954"/>
      <c r="VSM63" s="954"/>
      <c r="VSN63" s="954"/>
      <c r="VSO63" s="954"/>
      <c r="VSP63" s="954"/>
      <c r="VSQ63" s="954"/>
      <c r="VSR63" s="954"/>
      <c r="VSS63" s="954"/>
      <c r="VST63" s="954"/>
      <c r="VSU63" s="954"/>
      <c r="VSV63" s="954"/>
      <c r="VSW63" s="954"/>
      <c r="VSX63" s="954"/>
      <c r="VSY63" s="954"/>
      <c r="VSZ63" s="954"/>
      <c r="VTA63" s="954"/>
      <c r="VTB63" s="954"/>
      <c r="VTC63" s="954"/>
      <c r="VTD63" s="954"/>
      <c r="VTE63" s="954"/>
      <c r="VTF63" s="954"/>
      <c r="VTG63" s="954"/>
      <c r="VTH63" s="954"/>
      <c r="VTI63" s="954"/>
      <c r="VTJ63" s="954"/>
      <c r="VTK63" s="954"/>
      <c r="VTL63" s="954"/>
      <c r="VTM63" s="954"/>
      <c r="VTN63" s="954"/>
      <c r="VTO63" s="954"/>
      <c r="VTP63" s="954"/>
      <c r="VTQ63" s="954"/>
      <c r="VTR63" s="954"/>
      <c r="VTS63" s="954"/>
      <c r="VTT63" s="954"/>
      <c r="VTU63" s="954"/>
      <c r="VTV63" s="954"/>
      <c r="VTW63" s="954"/>
      <c r="VTX63" s="954"/>
      <c r="VTY63" s="954"/>
      <c r="VTZ63" s="954"/>
      <c r="VUA63" s="954"/>
      <c r="VUB63" s="954"/>
      <c r="VUC63" s="954"/>
      <c r="VUD63" s="954"/>
      <c r="VUE63" s="954"/>
      <c r="VUF63" s="954"/>
      <c r="VUG63" s="954"/>
      <c r="VUH63" s="954"/>
      <c r="VUI63" s="954"/>
      <c r="VUJ63" s="954"/>
      <c r="VUK63" s="954"/>
      <c r="VUL63" s="954"/>
      <c r="VUM63" s="954"/>
      <c r="VUN63" s="954"/>
      <c r="VUO63" s="954"/>
      <c r="VUP63" s="954"/>
      <c r="VUQ63" s="954"/>
      <c r="VUR63" s="954"/>
      <c r="VUS63" s="954"/>
      <c r="VUT63" s="954"/>
      <c r="VUU63" s="954"/>
      <c r="VUV63" s="954"/>
      <c r="VUW63" s="954"/>
      <c r="VUX63" s="954"/>
      <c r="VUY63" s="954"/>
      <c r="VUZ63" s="954"/>
      <c r="VVA63" s="954"/>
      <c r="VVB63" s="954"/>
      <c r="VVC63" s="954"/>
      <c r="VVD63" s="954"/>
      <c r="VVE63" s="954"/>
      <c r="VVF63" s="954"/>
      <c r="VVG63" s="954"/>
      <c r="VVH63" s="954"/>
      <c r="VVI63" s="954"/>
      <c r="VVJ63" s="954"/>
      <c r="VVK63" s="954"/>
      <c r="VVL63" s="954"/>
      <c r="VVM63" s="954"/>
      <c r="VVN63" s="954"/>
      <c r="VVO63" s="954"/>
      <c r="VVP63" s="954"/>
      <c r="VVQ63" s="954"/>
      <c r="VVR63" s="954"/>
      <c r="VVS63" s="954"/>
      <c r="VVT63" s="954"/>
      <c r="VVU63" s="954"/>
      <c r="VVV63" s="954"/>
      <c r="VVW63" s="954"/>
      <c r="VVX63" s="954"/>
      <c r="VVY63" s="954"/>
      <c r="VVZ63" s="954"/>
      <c r="VWA63" s="954"/>
      <c r="VWB63" s="954"/>
      <c r="VWC63" s="954"/>
      <c r="VWD63" s="954"/>
      <c r="VWE63" s="954"/>
      <c r="VWF63" s="954"/>
      <c r="VWG63" s="954"/>
      <c r="VWH63" s="954"/>
      <c r="VWI63" s="954"/>
      <c r="VWJ63" s="954"/>
      <c r="VWK63" s="954"/>
      <c r="VWL63" s="954"/>
      <c r="VWM63" s="954"/>
      <c r="VWN63" s="954"/>
      <c r="VWO63" s="954"/>
      <c r="VWP63" s="954"/>
      <c r="VWQ63" s="954"/>
      <c r="VWR63" s="954"/>
      <c r="VWS63" s="954"/>
      <c r="VWT63" s="954"/>
      <c r="VWU63" s="954"/>
      <c r="VWV63" s="954"/>
      <c r="VWW63" s="954"/>
      <c r="VWX63" s="954"/>
      <c r="VWY63" s="954"/>
      <c r="VWZ63" s="954"/>
      <c r="VXA63" s="954"/>
      <c r="VXB63" s="954"/>
      <c r="VXC63" s="954"/>
      <c r="VXD63" s="954"/>
      <c r="VXE63" s="954"/>
      <c r="VXF63" s="954"/>
      <c r="VXG63" s="954"/>
      <c r="VXH63" s="954"/>
      <c r="VXI63" s="954"/>
      <c r="VXJ63" s="954"/>
      <c r="VXK63" s="954"/>
      <c r="VXL63" s="954"/>
      <c r="VXM63" s="954"/>
      <c r="VXN63" s="954"/>
      <c r="VXO63" s="954"/>
      <c r="VXP63" s="954"/>
      <c r="VXQ63" s="954"/>
      <c r="VXR63" s="954"/>
      <c r="VXS63" s="954"/>
      <c r="VXT63" s="954"/>
      <c r="VXU63" s="954"/>
      <c r="VXV63" s="954"/>
      <c r="VXW63" s="954"/>
      <c r="VXX63" s="954"/>
      <c r="VXY63" s="954"/>
      <c r="VXZ63" s="954"/>
      <c r="VYA63" s="954"/>
      <c r="VYB63" s="954"/>
      <c r="VYC63" s="954"/>
      <c r="VYD63" s="954"/>
      <c r="VYE63" s="954"/>
      <c r="VYF63" s="954"/>
      <c r="VYG63" s="954"/>
      <c r="VYH63" s="954"/>
      <c r="VYI63" s="954"/>
      <c r="VYJ63" s="954"/>
      <c r="VYK63" s="954"/>
      <c r="VYL63" s="954"/>
      <c r="VYM63" s="954"/>
      <c r="VYN63" s="954"/>
      <c r="VYO63" s="954"/>
      <c r="VYP63" s="954"/>
      <c r="VYQ63" s="954"/>
      <c r="VYR63" s="954"/>
      <c r="VYS63" s="954"/>
      <c r="VYT63" s="954"/>
      <c r="VYU63" s="954"/>
      <c r="VYV63" s="954"/>
      <c r="VYW63" s="954"/>
      <c r="VYX63" s="954"/>
      <c r="VYY63" s="954"/>
      <c r="VYZ63" s="954"/>
      <c r="VZA63" s="954"/>
      <c r="VZB63" s="954"/>
      <c r="VZC63" s="954"/>
      <c r="VZD63" s="954"/>
      <c r="VZE63" s="954"/>
      <c r="VZF63" s="954"/>
      <c r="VZG63" s="954"/>
      <c r="VZH63" s="954"/>
      <c r="VZI63" s="954"/>
      <c r="VZJ63" s="954"/>
      <c r="VZK63" s="954"/>
      <c r="VZL63" s="954"/>
      <c r="VZM63" s="954"/>
      <c r="VZN63" s="954"/>
      <c r="VZO63" s="954"/>
      <c r="VZP63" s="954"/>
      <c r="VZQ63" s="954"/>
      <c r="VZR63" s="954"/>
      <c r="VZS63" s="954"/>
      <c r="VZT63" s="954"/>
      <c r="VZU63" s="954"/>
      <c r="VZV63" s="954"/>
      <c r="VZW63" s="954"/>
      <c r="VZX63" s="954"/>
      <c r="VZY63" s="954"/>
      <c r="VZZ63" s="954"/>
      <c r="WAA63" s="954"/>
      <c r="WAB63" s="954"/>
      <c r="WAC63" s="954"/>
      <c r="WAD63" s="954"/>
      <c r="WAE63" s="954"/>
      <c r="WAF63" s="954"/>
      <c r="WAG63" s="954"/>
      <c r="WAH63" s="954"/>
      <c r="WAI63" s="954"/>
      <c r="WAJ63" s="954"/>
      <c r="WAK63" s="954"/>
      <c r="WAL63" s="954"/>
      <c r="WAM63" s="954"/>
      <c r="WAN63" s="954"/>
      <c r="WAO63" s="954"/>
      <c r="WAP63" s="954"/>
      <c r="WAQ63" s="954"/>
      <c r="WAR63" s="954"/>
      <c r="WAS63" s="954"/>
      <c r="WAT63" s="954"/>
      <c r="WAU63" s="954"/>
      <c r="WAV63" s="954"/>
      <c r="WAW63" s="954"/>
      <c r="WAX63" s="954"/>
      <c r="WAY63" s="954"/>
      <c r="WAZ63" s="954"/>
      <c r="WBA63" s="954"/>
      <c r="WBB63" s="954"/>
      <c r="WBC63" s="954"/>
      <c r="WBD63" s="954"/>
      <c r="WBE63" s="954"/>
      <c r="WBF63" s="954"/>
      <c r="WBG63" s="954"/>
      <c r="WBH63" s="954"/>
      <c r="WBI63" s="954"/>
      <c r="WBJ63" s="954"/>
      <c r="WBK63" s="954"/>
      <c r="WBL63" s="954"/>
      <c r="WBM63" s="954"/>
      <c r="WBN63" s="954"/>
      <c r="WBO63" s="954"/>
      <c r="WBP63" s="954"/>
      <c r="WBQ63" s="954"/>
      <c r="WBR63" s="954"/>
      <c r="WBS63" s="954"/>
      <c r="WBT63" s="954"/>
      <c r="WBU63" s="954"/>
      <c r="WBV63" s="954"/>
      <c r="WBW63" s="954"/>
      <c r="WBX63" s="954"/>
      <c r="WBY63" s="954"/>
      <c r="WBZ63" s="954"/>
      <c r="WCA63" s="954"/>
      <c r="WCB63" s="954"/>
      <c r="WCC63" s="954"/>
      <c r="WCD63" s="954"/>
      <c r="WCE63" s="954"/>
      <c r="WCF63" s="954"/>
      <c r="WCG63" s="954"/>
      <c r="WCH63" s="954"/>
      <c r="WCI63" s="954"/>
      <c r="WCJ63" s="954"/>
      <c r="WCK63" s="954"/>
      <c r="WCL63" s="954"/>
      <c r="WCM63" s="954"/>
      <c r="WCN63" s="954"/>
      <c r="WCO63" s="954"/>
      <c r="WCP63" s="954"/>
      <c r="WCQ63" s="954"/>
      <c r="WCR63" s="954"/>
      <c r="WCS63" s="954"/>
      <c r="WCT63" s="954"/>
      <c r="WCU63" s="954"/>
      <c r="WCV63" s="954"/>
      <c r="WCW63" s="954"/>
      <c r="WCX63" s="954"/>
      <c r="WCY63" s="954"/>
      <c r="WCZ63" s="954"/>
      <c r="WDA63" s="954"/>
      <c r="WDB63" s="954"/>
      <c r="WDC63" s="954"/>
      <c r="WDD63" s="954"/>
      <c r="WDE63" s="954"/>
      <c r="WDF63" s="954"/>
      <c r="WDG63" s="954"/>
      <c r="WDH63" s="954"/>
      <c r="WDI63" s="954"/>
      <c r="WDJ63" s="954"/>
      <c r="WDK63" s="954"/>
      <c r="WDL63" s="954"/>
      <c r="WDM63" s="954"/>
      <c r="WDN63" s="954"/>
      <c r="WDO63" s="954"/>
      <c r="WDP63" s="954"/>
      <c r="WDQ63" s="954"/>
      <c r="WDR63" s="954"/>
      <c r="WDS63" s="954"/>
      <c r="WDT63" s="954"/>
      <c r="WDU63" s="954"/>
      <c r="WDV63" s="954"/>
      <c r="WDW63" s="954"/>
      <c r="WDX63" s="954"/>
      <c r="WDY63" s="954"/>
      <c r="WDZ63" s="954"/>
      <c r="WEA63" s="954"/>
      <c r="WEB63" s="954"/>
      <c r="WEC63" s="954"/>
      <c r="WED63" s="954"/>
      <c r="WEE63" s="954"/>
      <c r="WEF63" s="954"/>
      <c r="WEG63" s="954"/>
      <c r="WEH63" s="954"/>
      <c r="WEI63" s="954"/>
      <c r="WEJ63" s="954"/>
      <c r="WEK63" s="954"/>
      <c r="WEL63" s="954"/>
      <c r="WEM63" s="954"/>
      <c r="WEN63" s="954"/>
      <c r="WEO63" s="954"/>
      <c r="WEP63" s="954"/>
      <c r="WEQ63" s="954"/>
      <c r="WER63" s="954"/>
      <c r="WES63" s="954"/>
      <c r="WET63" s="954"/>
      <c r="WEU63" s="954"/>
      <c r="WEV63" s="954"/>
      <c r="WEW63" s="954"/>
      <c r="WEX63" s="954"/>
      <c r="WEY63" s="954"/>
      <c r="WEZ63" s="954"/>
      <c r="WFA63" s="954"/>
      <c r="WFB63" s="954"/>
      <c r="WFC63" s="954"/>
      <c r="WFD63" s="954"/>
      <c r="WFE63" s="954"/>
      <c r="WFF63" s="954"/>
      <c r="WFG63" s="954"/>
      <c r="WFH63" s="954"/>
      <c r="WFI63" s="954"/>
      <c r="WFJ63" s="954"/>
      <c r="WFK63" s="954"/>
      <c r="WFL63" s="954"/>
      <c r="WFM63" s="954"/>
      <c r="WFN63" s="954"/>
      <c r="WFO63" s="954"/>
      <c r="WFP63" s="954"/>
      <c r="WFQ63" s="954"/>
      <c r="WFR63" s="954"/>
      <c r="WFS63" s="954"/>
      <c r="WFT63" s="954"/>
      <c r="WFU63" s="954"/>
      <c r="WFV63" s="954"/>
      <c r="WFW63" s="954"/>
      <c r="WFX63" s="954"/>
      <c r="WFY63" s="954"/>
      <c r="WFZ63" s="954"/>
      <c r="WGA63" s="954"/>
      <c r="WGB63" s="954"/>
      <c r="WGC63" s="954"/>
      <c r="WGD63" s="954"/>
      <c r="WGE63" s="954"/>
      <c r="WGF63" s="954"/>
      <c r="WGG63" s="954"/>
      <c r="WGH63" s="954"/>
      <c r="WGI63" s="954"/>
      <c r="WGJ63" s="954"/>
      <c r="WGK63" s="954"/>
      <c r="WGL63" s="954"/>
      <c r="WGM63" s="954"/>
      <c r="WGN63" s="954"/>
      <c r="WGO63" s="954"/>
      <c r="WGP63" s="954"/>
      <c r="WGQ63" s="954"/>
      <c r="WGR63" s="954"/>
      <c r="WGS63" s="954"/>
      <c r="WGT63" s="954"/>
      <c r="WGU63" s="954"/>
      <c r="WGV63" s="954"/>
      <c r="WGW63" s="954"/>
      <c r="WGX63" s="954"/>
      <c r="WGY63" s="954"/>
      <c r="WGZ63" s="954"/>
      <c r="WHA63" s="954"/>
      <c r="WHB63" s="954"/>
      <c r="WHC63" s="954"/>
      <c r="WHD63" s="954"/>
      <c r="WHE63" s="954"/>
      <c r="WHF63" s="954"/>
      <c r="WHG63" s="954"/>
      <c r="WHH63" s="954"/>
      <c r="WHI63" s="954"/>
      <c r="WHJ63" s="954"/>
      <c r="WHK63" s="954"/>
      <c r="WHL63" s="954"/>
      <c r="WHM63" s="954"/>
      <c r="WHN63" s="954"/>
      <c r="WHO63" s="954"/>
      <c r="WHP63" s="954"/>
      <c r="WHQ63" s="954"/>
      <c r="WHR63" s="954"/>
      <c r="WHS63" s="954"/>
      <c r="WHT63" s="954"/>
      <c r="WHU63" s="954"/>
      <c r="WHV63" s="954"/>
      <c r="WHW63" s="954"/>
      <c r="WHX63" s="954"/>
      <c r="WHY63" s="954"/>
      <c r="WHZ63" s="954"/>
      <c r="WIA63" s="954"/>
      <c r="WIB63" s="954"/>
      <c r="WIC63" s="954"/>
      <c r="WID63" s="954"/>
      <c r="WIE63" s="954"/>
      <c r="WIF63" s="954"/>
      <c r="WIG63" s="954"/>
      <c r="WIH63" s="954"/>
      <c r="WII63" s="954"/>
      <c r="WIJ63" s="954"/>
      <c r="WIK63" s="954"/>
      <c r="WIL63" s="954"/>
      <c r="WIM63" s="954"/>
      <c r="WIN63" s="954"/>
      <c r="WIO63" s="954"/>
      <c r="WIP63" s="954"/>
      <c r="WIQ63" s="954"/>
      <c r="WIR63" s="954"/>
      <c r="WIS63" s="954"/>
      <c r="WIT63" s="954"/>
      <c r="WIU63" s="954"/>
      <c r="WIV63" s="954"/>
      <c r="WIW63" s="954"/>
      <c r="WIX63" s="954"/>
      <c r="WIY63" s="954"/>
      <c r="WIZ63" s="954"/>
      <c r="WJA63" s="954"/>
      <c r="WJB63" s="954"/>
      <c r="WJC63" s="954"/>
      <c r="WJD63" s="954"/>
      <c r="WJE63" s="954"/>
      <c r="WJF63" s="954"/>
      <c r="WJG63" s="954"/>
      <c r="WJH63" s="954"/>
      <c r="WJI63" s="954"/>
      <c r="WJJ63" s="954"/>
      <c r="WJK63" s="954"/>
      <c r="WJL63" s="954"/>
      <c r="WJM63" s="954"/>
      <c r="WJN63" s="954"/>
      <c r="WJO63" s="954"/>
      <c r="WJP63" s="954"/>
      <c r="WJQ63" s="954"/>
      <c r="WJR63" s="954"/>
      <c r="WJS63" s="954"/>
      <c r="WJT63" s="954"/>
      <c r="WJU63" s="954"/>
      <c r="WJV63" s="954"/>
      <c r="WJW63" s="954"/>
      <c r="WJX63" s="954"/>
      <c r="WJY63" s="954"/>
      <c r="WJZ63" s="954"/>
      <c r="WKA63" s="954"/>
      <c r="WKB63" s="954"/>
      <c r="WKC63" s="954"/>
      <c r="WKD63" s="954"/>
      <c r="WKE63" s="954"/>
      <c r="WKF63" s="954"/>
      <c r="WKG63" s="954"/>
      <c r="WKH63" s="954"/>
      <c r="WKI63" s="954"/>
      <c r="WKJ63" s="954"/>
      <c r="WKK63" s="954"/>
      <c r="WKL63" s="954"/>
      <c r="WKM63" s="954"/>
      <c r="WKN63" s="954"/>
      <c r="WKO63" s="954"/>
      <c r="WKP63" s="954"/>
      <c r="WKQ63" s="954"/>
      <c r="WKR63" s="954"/>
      <c r="WKS63" s="954"/>
      <c r="WKT63" s="954"/>
      <c r="WKU63" s="954"/>
      <c r="WKV63" s="954"/>
      <c r="WKW63" s="954"/>
      <c r="WKX63" s="954"/>
      <c r="WKY63" s="954"/>
      <c r="WKZ63" s="954"/>
      <c r="WLA63" s="954"/>
      <c r="WLB63" s="954"/>
      <c r="WLC63" s="954"/>
      <c r="WLD63" s="954"/>
      <c r="WLE63" s="954"/>
      <c r="WLF63" s="954"/>
      <c r="WLG63" s="954"/>
      <c r="WLH63" s="954"/>
      <c r="WLI63" s="954"/>
      <c r="WLJ63" s="954"/>
      <c r="WLK63" s="954"/>
      <c r="WLL63" s="954"/>
      <c r="WLM63" s="954"/>
      <c r="WLN63" s="954"/>
      <c r="WLO63" s="954"/>
      <c r="WLP63" s="954"/>
      <c r="WLQ63" s="954"/>
      <c r="WLR63" s="954"/>
      <c r="WLS63" s="954"/>
      <c r="WLT63" s="954"/>
      <c r="WLU63" s="954"/>
      <c r="WLV63" s="954"/>
      <c r="WLW63" s="954"/>
      <c r="WLX63" s="954"/>
      <c r="WLY63" s="954"/>
      <c r="WLZ63" s="954"/>
      <c r="WMA63" s="954"/>
      <c r="WMB63" s="954"/>
      <c r="WMC63" s="954"/>
      <c r="WMD63" s="954"/>
      <c r="WME63" s="954"/>
      <c r="WMF63" s="954"/>
      <c r="WMG63" s="954"/>
      <c r="WMH63" s="954"/>
      <c r="WMI63" s="954"/>
      <c r="WMJ63" s="954"/>
      <c r="WMK63" s="954"/>
      <c r="WML63" s="954"/>
      <c r="WMM63" s="954"/>
      <c r="WMN63" s="954"/>
      <c r="WMO63" s="954"/>
      <c r="WMP63" s="954"/>
      <c r="WMQ63" s="954"/>
      <c r="WMR63" s="954"/>
      <c r="WMS63" s="954"/>
      <c r="WMT63" s="954"/>
      <c r="WMU63" s="954"/>
      <c r="WMV63" s="954"/>
      <c r="WMW63" s="954"/>
      <c r="WMX63" s="954"/>
      <c r="WMY63" s="954"/>
      <c r="WMZ63" s="954"/>
      <c r="WNA63" s="954"/>
      <c r="WNB63" s="954"/>
      <c r="WNC63" s="954"/>
      <c r="WND63" s="954"/>
      <c r="WNE63" s="954"/>
      <c r="WNF63" s="954"/>
      <c r="WNG63" s="954"/>
      <c r="WNH63" s="954"/>
      <c r="WNI63" s="954"/>
      <c r="WNJ63" s="954"/>
      <c r="WNK63" s="954"/>
      <c r="WNL63" s="954"/>
      <c r="WNM63" s="954"/>
      <c r="WNN63" s="954"/>
      <c r="WNO63" s="954"/>
      <c r="WNP63" s="954"/>
      <c r="WNQ63" s="954"/>
      <c r="WNR63" s="954"/>
      <c r="WNS63" s="954"/>
      <c r="WNT63" s="954"/>
      <c r="WNU63" s="954"/>
      <c r="WNV63" s="954"/>
      <c r="WNW63" s="954"/>
      <c r="WNX63" s="954"/>
      <c r="WNY63" s="954"/>
      <c r="WNZ63" s="954"/>
      <c r="WOA63" s="954"/>
      <c r="WOB63" s="954"/>
      <c r="WOC63" s="954"/>
      <c r="WOD63" s="954"/>
      <c r="WOE63" s="954"/>
      <c r="WOF63" s="954"/>
      <c r="WOG63" s="954"/>
      <c r="WOH63" s="954"/>
      <c r="WOI63" s="954"/>
      <c r="WOJ63" s="954"/>
      <c r="WOK63" s="954"/>
      <c r="WOL63" s="954"/>
      <c r="WOM63" s="954"/>
      <c r="WON63" s="954"/>
      <c r="WOO63" s="954"/>
      <c r="WOP63" s="954"/>
      <c r="WOQ63" s="954"/>
      <c r="WOR63" s="954"/>
      <c r="WOS63" s="954"/>
      <c r="WOT63" s="954"/>
      <c r="WOU63" s="954"/>
      <c r="WOV63" s="954"/>
      <c r="WOW63" s="954"/>
      <c r="WOX63" s="954"/>
      <c r="WOY63" s="954"/>
      <c r="WOZ63" s="954"/>
      <c r="WPA63" s="954"/>
      <c r="WPB63" s="954"/>
      <c r="WPC63" s="954"/>
      <c r="WPD63" s="954"/>
      <c r="WPE63" s="954"/>
      <c r="WPF63" s="954"/>
      <c r="WPG63" s="954"/>
      <c r="WPH63" s="954"/>
      <c r="WPI63" s="954"/>
      <c r="WPJ63" s="954"/>
      <c r="WPK63" s="954"/>
      <c r="WPL63" s="954"/>
      <c r="WPM63" s="954"/>
      <c r="WPN63" s="954"/>
      <c r="WPO63" s="954"/>
      <c r="WPP63" s="954"/>
      <c r="WPQ63" s="954"/>
      <c r="WPR63" s="954"/>
      <c r="WPS63" s="954"/>
      <c r="WPT63" s="954"/>
      <c r="WPU63" s="954"/>
      <c r="WPV63" s="954"/>
      <c r="WPW63" s="954"/>
      <c r="WPX63" s="954"/>
      <c r="WPY63" s="954"/>
      <c r="WPZ63" s="954"/>
      <c r="WQA63" s="954"/>
      <c r="WQB63" s="954"/>
      <c r="WQC63" s="954"/>
      <c r="WQD63" s="954"/>
      <c r="WQE63" s="954"/>
      <c r="WQF63" s="954"/>
      <c r="WQG63" s="954"/>
      <c r="WQH63" s="954"/>
      <c r="WQI63" s="954"/>
      <c r="WQJ63" s="954"/>
      <c r="WQK63" s="954"/>
      <c r="WQL63" s="954"/>
      <c r="WQM63" s="954"/>
      <c r="WQN63" s="954"/>
      <c r="WQO63" s="954"/>
      <c r="WQP63" s="954"/>
      <c r="WQQ63" s="954"/>
      <c r="WQR63" s="954"/>
      <c r="WQS63" s="954"/>
      <c r="WQT63" s="954"/>
      <c r="WQU63" s="954"/>
      <c r="WQV63" s="954"/>
      <c r="WQW63" s="954"/>
      <c r="WQX63" s="954"/>
      <c r="WQY63" s="954"/>
      <c r="WQZ63" s="954"/>
      <c r="WRA63" s="954"/>
      <c r="WRB63" s="954"/>
      <c r="WRC63" s="954"/>
      <c r="WRD63" s="954"/>
      <c r="WRE63" s="954"/>
      <c r="WRF63" s="954"/>
      <c r="WRG63" s="954"/>
      <c r="WRH63" s="954"/>
      <c r="WRI63" s="954"/>
      <c r="WRJ63" s="954"/>
      <c r="WRK63" s="954"/>
      <c r="WRL63" s="954"/>
      <c r="WRM63" s="954"/>
      <c r="WRN63" s="954"/>
      <c r="WRO63" s="954"/>
      <c r="WRP63" s="954"/>
      <c r="WRQ63" s="954"/>
      <c r="WRR63" s="954"/>
      <c r="WRS63" s="954"/>
      <c r="WRT63" s="954"/>
      <c r="WRU63" s="954"/>
      <c r="WRV63" s="954"/>
      <c r="WRW63" s="954"/>
      <c r="WRX63" s="954"/>
      <c r="WRY63" s="954"/>
      <c r="WRZ63" s="954"/>
      <c r="WSA63" s="954"/>
      <c r="WSB63" s="954"/>
      <c r="WSC63" s="954"/>
      <c r="WSD63" s="954"/>
      <c r="WSE63" s="954"/>
      <c r="WSF63" s="954"/>
      <c r="WSG63" s="954"/>
      <c r="WSH63" s="954"/>
      <c r="WSI63" s="954"/>
      <c r="WSJ63" s="954"/>
      <c r="WSK63" s="954"/>
      <c r="WSL63" s="954"/>
      <c r="WSM63" s="954"/>
      <c r="WSN63" s="954"/>
      <c r="WSO63" s="954"/>
      <c r="WSP63" s="954"/>
      <c r="WSQ63" s="954"/>
      <c r="WSR63" s="954"/>
      <c r="WSS63" s="954"/>
      <c r="WST63" s="954"/>
      <c r="WSU63" s="954"/>
      <c r="WSV63" s="954"/>
      <c r="WSW63" s="954"/>
      <c r="WSX63" s="954"/>
      <c r="WSY63" s="954"/>
      <c r="WSZ63" s="954"/>
      <c r="WTA63" s="954"/>
      <c r="WTB63" s="954"/>
      <c r="WTC63" s="954"/>
      <c r="WTD63" s="954"/>
      <c r="WTE63" s="954"/>
      <c r="WTF63" s="954"/>
      <c r="WTG63" s="954"/>
      <c r="WTH63" s="954"/>
      <c r="WTI63" s="954"/>
      <c r="WTJ63" s="954"/>
      <c r="WTK63" s="954"/>
      <c r="WTL63" s="954"/>
      <c r="WTM63" s="954"/>
      <c r="WTN63" s="954"/>
      <c r="WTO63" s="954"/>
      <c r="WTP63" s="954"/>
      <c r="WTQ63" s="954"/>
      <c r="WTR63" s="954"/>
      <c r="WTS63" s="954"/>
      <c r="WTT63" s="954"/>
      <c r="WTU63" s="954"/>
      <c r="WTV63" s="954"/>
      <c r="WTW63" s="954"/>
      <c r="WTX63" s="954"/>
      <c r="WTY63" s="954"/>
      <c r="WTZ63" s="954"/>
      <c r="WUA63" s="954"/>
      <c r="WUB63" s="954"/>
      <c r="WUC63" s="954"/>
      <c r="WUD63" s="954"/>
      <c r="WUE63" s="954"/>
      <c r="WUF63" s="954"/>
      <c r="WUG63" s="954"/>
      <c r="WUH63" s="954"/>
      <c r="WUI63" s="954"/>
      <c r="WUJ63" s="954"/>
      <c r="WUK63" s="954"/>
      <c r="WUL63" s="954"/>
      <c r="WUM63" s="954"/>
      <c r="WUN63" s="954"/>
      <c r="WUO63" s="954"/>
      <c r="WUP63" s="954"/>
      <c r="WUQ63" s="954"/>
      <c r="WUR63" s="954"/>
      <c r="WUS63" s="954"/>
      <c r="WUT63" s="954"/>
      <c r="WUU63" s="954"/>
      <c r="WUV63" s="954"/>
      <c r="WUW63" s="954"/>
      <c r="WUX63" s="954"/>
      <c r="WUY63" s="954"/>
      <c r="WUZ63" s="954"/>
      <c r="WVA63" s="954"/>
      <c r="WVB63" s="954"/>
      <c r="WVC63" s="954"/>
      <c r="WVD63" s="954"/>
      <c r="WVE63" s="954"/>
      <c r="WVF63" s="954"/>
      <c r="WVG63" s="954"/>
      <c r="WVH63" s="954"/>
      <c r="WVI63" s="954"/>
      <c r="WVJ63" s="954"/>
      <c r="WVK63" s="954"/>
      <c r="WVL63" s="954"/>
      <c r="WVM63" s="954"/>
      <c r="WVN63" s="954"/>
      <c r="WVO63" s="954"/>
      <c r="WVP63" s="954"/>
      <c r="WVQ63" s="954"/>
      <c r="WVR63" s="954"/>
      <c r="WVS63" s="954"/>
      <c r="WVT63" s="954"/>
      <c r="WVU63" s="954"/>
      <c r="WVV63" s="954"/>
      <c r="WVW63" s="954"/>
      <c r="WVX63" s="954"/>
      <c r="WVY63" s="954"/>
      <c r="WVZ63" s="954"/>
      <c r="WWA63" s="954"/>
      <c r="WWB63" s="954"/>
      <c r="WWC63" s="954"/>
      <c r="WWD63" s="954"/>
      <c r="WWE63" s="954"/>
      <c r="WWF63" s="954"/>
      <c r="WWG63" s="954"/>
      <c r="WWH63" s="954"/>
      <c r="WWI63" s="954"/>
      <c r="WWJ63" s="954"/>
      <c r="WWK63" s="954"/>
      <c r="WWL63" s="954"/>
      <c r="WWM63" s="954"/>
      <c r="WWN63" s="954"/>
      <c r="WWO63" s="954"/>
      <c r="WWP63" s="954"/>
      <c r="WWQ63" s="954"/>
      <c r="WWR63" s="954"/>
      <c r="WWS63" s="954"/>
      <c r="WWT63" s="954"/>
      <c r="WWU63" s="954"/>
      <c r="WWV63" s="954"/>
      <c r="WWW63" s="954"/>
      <c r="WWX63" s="954"/>
      <c r="WWY63" s="954"/>
      <c r="WWZ63" s="954"/>
      <c r="WXA63" s="954"/>
      <c r="WXB63" s="954"/>
      <c r="WXC63" s="954"/>
      <c r="WXD63" s="954"/>
      <c r="WXE63" s="954"/>
      <c r="WXF63" s="954"/>
      <c r="WXG63" s="954"/>
      <c r="WXH63" s="954"/>
      <c r="WXI63" s="954"/>
      <c r="WXJ63" s="954"/>
    </row>
    <row r="64" spans="1:16182" s="953" customFormat="1" x14ac:dyDescent="0.25">
      <c r="A64" s="570"/>
      <c r="B64" s="912"/>
      <c r="C64" s="912"/>
      <c r="D64" s="912" t="s">
        <v>517</v>
      </c>
      <c r="E64" s="912"/>
      <c r="F64" s="912"/>
      <c r="G64" s="912"/>
      <c r="H64" s="933">
        <v>14505</v>
      </c>
      <c r="I64" s="933">
        <v>16613</v>
      </c>
      <c r="J64" s="933">
        <v>19164</v>
      </c>
      <c r="K64" s="933">
        <v>19164</v>
      </c>
      <c r="L64" s="933">
        <v>19164</v>
      </c>
      <c r="M64" s="933">
        <v>19164</v>
      </c>
      <c r="N64" s="933">
        <v>19164</v>
      </c>
      <c r="O64" s="933">
        <v>19164</v>
      </c>
      <c r="P64" s="933">
        <v>19164</v>
      </c>
      <c r="Q64" s="933">
        <v>19164</v>
      </c>
      <c r="R64" s="933">
        <v>19164</v>
      </c>
      <c r="S64" s="933">
        <v>19164</v>
      </c>
      <c r="T64" s="933">
        <v>19164</v>
      </c>
      <c r="U64" s="933">
        <v>19164</v>
      </c>
      <c r="V64" s="933">
        <v>19164</v>
      </c>
      <c r="W64" s="933">
        <v>19164</v>
      </c>
      <c r="X64" s="941">
        <v>19846</v>
      </c>
      <c r="Y64" s="941">
        <v>19846</v>
      </c>
      <c r="Z64" s="941">
        <v>19846</v>
      </c>
      <c r="AA64" s="941">
        <v>37846</v>
      </c>
      <c r="AB64" s="941">
        <v>39162</v>
      </c>
      <c r="AC64" s="941">
        <v>39162</v>
      </c>
      <c r="AD64" s="941">
        <v>38480</v>
      </c>
      <c r="AE64" s="941">
        <v>95297.7</v>
      </c>
      <c r="AF64" s="40">
        <v>97795.7</v>
      </c>
      <c r="AG64" s="40">
        <v>97795.7</v>
      </c>
      <c r="AH64" s="40">
        <v>97795.7</v>
      </c>
      <c r="AI64" s="40">
        <v>101391.21</v>
      </c>
      <c r="AJ64" s="40">
        <v>97795.7</v>
      </c>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row>
    <row r="65" spans="1:16182" s="953" customFormat="1" x14ac:dyDescent="0.25">
      <c r="A65" s="570"/>
      <c r="B65" s="912"/>
      <c r="C65" s="912"/>
      <c r="D65" s="912" t="s">
        <v>711</v>
      </c>
      <c r="E65" s="912"/>
      <c r="F65" s="912"/>
      <c r="G65" s="912"/>
      <c r="H65" s="933">
        <v>2323800</v>
      </c>
      <c r="I65" s="933">
        <v>2323800</v>
      </c>
      <c r="J65" s="933">
        <v>2323800</v>
      </c>
      <c r="K65" s="933">
        <v>2323800</v>
      </c>
      <c r="L65" s="933">
        <v>2323800</v>
      </c>
      <c r="M65" s="933">
        <v>2323800</v>
      </c>
      <c r="N65" s="933">
        <v>2323800</v>
      </c>
      <c r="O65" s="933">
        <v>2323800</v>
      </c>
      <c r="P65" s="933">
        <v>2323800</v>
      </c>
      <c r="Q65" s="933">
        <v>2323800</v>
      </c>
      <c r="R65" s="933">
        <v>2323800</v>
      </c>
      <c r="S65" s="933">
        <v>2323800</v>
      </c>
      <c r="T65" s="933">
        <v>2323800</v>
      </c>
      <c r="U65" s="933"/>
      <c r="V65" s="933"/>
      <c r="W65" s="933"/>
      <c r="X65" s="941"/>
      <c r="Y65" s="941"/>
      <c r="Z65" s="40"/>
      <c r="AA65" s="40"/>
      <c r="AB65" s="40"/>
      <c r="AC65" s="941"/>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row>
    <row r="66" spans="1:16182" s="953" customFormat="1" x14ac:dyDescent="0.25">
      <c r="A66" s="570"/>
      <c r="B66" s="912"/>
      <c r="C66" s="912"/>
      <c r="D66" s="912" t="s">
        <v>518</v>
      </c>
      <c r="E66" s="912"/>
      <c r="F66" s="912"/>
      <c r="G66" s="912"/>
      <c r="H66" s="40"/>
      <c r="I66" s="40"/>
      <c r="J66" s="40"/>
      <c r="K66" s="40"/>
      <c r="L66" s="40"/>
      <c r="M66" s="40"/>
      <c r="N66" s="933"/>
      <c r="O66" s="933"/>
      <c r="P66" s="933"/>
      <c r="Q66" s="933"/>
      <c r="R66" s="933"/>
      <c r="S66" s="933"/>
      <c r="T66" s="933"/>
      <c r="U66" s="933">
        <v>14871038.35</v>
      </c>
      <c r="V66" s="933">
        <v>14871038.35</v>
      </c>
      <c r="W66" s="933">
        <v>14871038.35</v>
      </c>
      <c r="X66" s="933">
        <v>14871038.35</v>
      </c>
      <c r="Y66" s="941">
        <v>14871038.35</v>
      </c>
      <c r="Z66" s="941">
        <v>14871038.35</v>
      </c>
      <c r="AA66" s="40">
        <v>14871038.35</v>
      </c>
      <c r="AB66" s="941">
        <v>14871038.35</v>
      </c>
      <c r="AC66" s="941">
        <v>14871038.35</v>
      </c>
      <c r="AD66" s="941">
        <v>14871038.35</v>
      </c>
      <c r="AE66" s="941">
        <v>14871038.35</v>
      </c>
      <c r="AF66" s="941">
        <v>14871038.35</v>
      </c>
      <c r="AG66" s="941">
        <v>14871038.35</v>
      </c>
      <c r="AH66" s="941">
        <v>14871038.35</v>
      </c>
      <c r="AI66" s="941">
        <v>14871038.35</v>
      </c>
      <c r="AJ66" s="941">
        <v>14871038.35</v>
      </c>
      <c r="AK66" s="941">
        <v>14871038.35</v>
      </c>
      <c r="AL66" s="941">
        <v>14871038.35</v>
      </c>
      <c r="AM66" s="941">
        <v>14871038.35</v>
      </c>
      <c r="AN66" s="941">
        <v>14871038.35</v>
      </c>
      <c r="AO66" s="941">
        <v>14871038.35</v>
      </c>
      <c r="AP66" s="941">
        <v>14871038.35</v>
      </c>
      <c r="AQ66" s="941">
        <v>14871038.35</v>
      </c>
      <c r="AR66" s="941">
        <v>14871038.35</v>
      </c>
      <c r="AS66" s="941">
        <v>14871038.35</v>
      </c>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row>
    <row r="67" spans="1:16182" s="953" customFormat="1" x14ac:dyDescent="0.25">
      <c r="A67" s="570"/>
      <c r="B67" s="912"/>
      <c r="C67" s="912"/>
      <c r="D67" s="912" t="s">
        <v>519</v>
      </c>
      <c r="E67" s="912"/>
      <c r="F67" s="912"/>
      <c r="G67" s="912"/>
      <c r="H67" s="40"/>
      <c r="I67" s="40"/>
      <c r="J67" s="40"/>
      <c r="K67" s="40"/>
      <c r="L67" s="40"/>
      <c r="M67" s="40"/>
      <c r="N67" s="933"/>
      <c r="O67" s="933"/>
      <c r="P67" s="933"/>
      <c r="Q67" s="933"/>
      <c r="R67" s="933"/>
      <c r="S67" s="933"/>
      <c r="T67" s="933"/>
      <c r="U67" s="933">
        <v>358000</v>
      </c>
      <c r="V67" s="933">
        <v>358000</v>
      </c>
      <c r="W67" s="933">
        <v>358000</v>
      </c>
      <c r="X67" s="933">
        <v>358000</v>
      </c>
      <c r="Y67" s="933">
        <v>358000</v>
      </c>
      <c r="Z67" s="941">
        <v>358000</v>
      </c>
      <c r="AA67" s="40">
        <v>358000</v>
      </c>
      <c r="AB67" s="941">
        <v>358000</v>
      </c>
      <c r="AC67" s="941">
        <v>358000</v>
      </c>
      <c r="AD67" s="941">
        <v>358000</v>
      </c>
      <c r="AE67" s="941">
        <v>358000</v>
      </c>
      <c r="AF67" s="941">
        <v>358000</v>
      </c>
      <c r="AG67" s="941">
        <v>358000</v>
      </c>
      <c r="AH67" s="941">
        <v>358000</v>
      </c>
      <c r="AI67" s="941">
        <v>358000</v>
      </c>
      <c r="AJ67" s="941">
        <v>358000</v>
      </c>
      <c r="AK67" s="941">
        <v>358000</v>
      </c>
      <c r="AL67" s="941">
        <v>358000</v>
      </c>
      <c r="AM67" s="941">
        <v>358000</v>
      </c>
      <c r="AN67" s="941">
        <v>358000</v>
      </c>
      <c r="AO67" s="941">
        <v>358000</v>
      </c>
      <c r="AP67" s="941">
        <v>358000</v>
      </c>
      <c r="AQ67" s="941">
        <v>358000</v>
      </c>
      <c r="AR67" s="941">
        <v>358000</v>
      </c>
      <c r="AS67" s="941">
        <v>358000</v>
      </c>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row>
    <row r="68" spans="1:16182" s="953" customFormat="1" x14ac:dyDescent="0.25">
      <c r="A68" s="570"/>
      <c r="B68" s="912"/>
      <c r="C68" s="912"/>
      <c r="D68" s="912" t="s">
        <v>520</v>
      </c>
      <c r="E68" s="912"/>
      <c r="F68" s="912"/>
      <c r="G68" s="912"/>
      <c r="H68" s="40"/>
      <c r="I68" s="40"/>
      <c r="J68" s="40"/>
      <c r="K68" s="40"/>
      <c r="L68" s="40"/>
      <c r="M68" s="40"/>
      <c r="N68" s="933"/>
      <c r="O68" s="933"/>
      <c r="P68" s="933"/>
      <c r="Q68" s="933"/>
      <c r="R68" s="933"/>
      <c r="S68" s="933"/>
      <c r="T68" s="933"/>
      <c r="U68" s="933">
        <v>618000</v>
      </c>
      <c r="V68" s="933">
        <v>618000</v>
      </c>
      <c r="W68" s="933">
        <v>618000</v>
      </c>
      <c r="X68" s="933">
        <v>618000</v>
      </c>
      <c r="Y68" s="933">
        <v>618000</v>
      </c>
      <c r="Z68" s="941">
        <v>618000</v>
      </c>
      <c r="AA68" s="40">
        <v>618000</v>
      </c>
      <c r="AB68" s="941">
        <v>618000</v>
      </c>
      <c r="AC68" s="941">
        <v>618000</v>
      </c>
      <c r="AD68" s="941">
        <v>618000</v>
      </c>
      <c r="AE68" s="941">
        <v>618000</v>
      </c>
      <c r="AF68" s="941">
        <v>618000</v>
      </c>
      <c r="AG68" s="941">
        <v>618000</v>
      </c>
      <c r="AH68" s="941">
        <v>618000</v>
      </c>
      <c r="AI68" s="941">
        <v>618000</v>
      </c>
      <c r="AJ68" s="941">
        <v>618000</v>
      </c>
      <c r="AK68" s="941">
        <v>618000</v>
      </c>
      <c r="AL68" s="941">
        <v>618000</v>
      </c>
      <c r="AM68" s="941">
        <v>618000</v>
      </c>
      <c r="AN68" s="941">
        <v>618000</v>
      </c>
      <c r="AO68" s="941">
        <v>618000</v>
      </c>
      <c r="AP68" s="941">
        <v>618000</v>
      </c>
      <c r="AQ68" s="941">
        <v>618000</v>
      </c>
      <c r="AR68" s="941">
        <v>618000</v>
      </c>
      <c r="AS68" s="941">
        <v>618000</v>
      </c>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c r="BX68" s="40"/>
      <c r="BY68" s="40"/>
      <c r="BZ68" s="40"/>
      <c r="CA68" s="40"/>
      <c r="CB68" s="40"/>
      <c r="CC68" s="40"/>
    </row>
    <row r="69" spans="1:16182" s="953" customFormat="1" x14ac:dyDescent="0.25">
      <c r="A69" s="570"/>
      <c r="B69" s="912"/>
      <c r="C69" s="912"/>
      <c r="D69" s="912" t="s">
        <v>521</v>
      </c>
      <c r="E69" s="912"/>
      <c r="F69" s="912"/>
      <c r="G69" s="912"/>
      <c r="H69" s="40"/>
      <c r="I69" s="40"/>
      <c r="J69" s="40"/>
      <c r="K69" s="40"/>
      <c r="L69" s="40"/>
      <c r="M69" s="40"/>
      <c r="N69" s="933"/>
      <c r="O69" s="933"/>
      <c r="P69" s="933"/>
      <c r="Q69" s="933"/>
      <c r="R69" s="933"/>
      <c r="S69" s="933"/>
      <c r="T69" s="933"/>
      <c r="U69" s="933">
        <v>283000</v>
      </c>
      <c r="V69" s="933">
        <v>283000</v>
      </c>
      <c r="W69" s="933">
        <v>283000</v>
      </c>
      <c r="X69" s="933">
        <v>283000</v>
      </c>
      <c r="Y69" s="933">
        <v>283000</v>
      </c>
      <c r="Z69" s="941">
        <v>283000</v>
      </c>
      <c r="AA69" s="40">
        <v>283000</v>
      </c>
      <c r="AB69" s="941">
        <v>283000</v>
      </c>
      <c r="AC69" s="941">
        <v>283000</v>
      </c>
      <c r="AD69" s="941">
        <v>283000</v>
      </c>
      <c r="AE69" s="941">
        <v>283000</v>
      </c>
      <c r="AF69" s="941">
        <v>283000</v>
      </c>
      <c r="AG69" s="941">
        <v>283000</v>
      </c>
      <c r="AH69" s="941">
        <v>283000</v>
      </c>
      <c r="AI69" s="941">
        <v>283000</v>
      </c>
      <c r="AJ69" s="941">
        <v>283000</v>
      </c>
      <c r="AK69" s="941">
        <v>283000</v>
      </c>
      <c r="AL69" s="941">
        <v>283000</v>
      </c>
      <c r="AM69" s="941">
        <v>283000</v>
      </c>
      <c r="AN69" s="941">
        <v>283000</v>
      </c>
      <c r="AO69" s="941">
        <v>283000</v>
      </c>
      <c r="AP69" s="941">
        <v>283000</v>
      </c>
      <c r="AQ69" s="941">
        <v>283000</v>
      </c>
      <c r="AR69" s="941">
        <v>283000</v>
      </c>
      <c r="AS69" s="941">
        <v>283000</v>
      </c>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row>
    <row r="70" spans="1:16182" s="953" customFormat="1" x14ac:dyDescent="0.25">
      <c r="A70" s="570"/>
      <c r="B70" s="912"/>
      <c r="C70" s="912"/>
      <c r="D70" s="912" t="s">
        <v>522</v>
      </c>
      <c r="E70" s="912"/>
      <c r="F70" s="912"/>
      <c r="G70" s="912"/>
      <c r="H70" s="40"/>
      <c r="I70" s="40"/>
      <c r="J70" s="40"/>
      <c r="K70" s="40"/>
      <c r="L70" s="40"/>
      <c r="M70" s="40"/>
      <c r="N70" s="933"/>
      <c r="O70" s="933"/>
      <c r="P70" s="933"/>
      <c r="Q70" s="933"/>
      <c r="R70" s="933"/>
      <c r="S70" s="933"/>
      <c r="T70" s="933"/>
      <c r="U70" s="933">
        <v>7506000</v>
      </c>
      <c r="V70" s="933">
        <v>7506000</v>
      </c>
      <c r="W70" s="933">
        <v>7506000</v>
      </c>
      <c r="X70" s="933">
        <v>7506000</v>
      </c>
      <c r="Y70" s="933">
        <v>7506000</v>
      </c>
      <c r="Z70" s="941">
        <v>7506000</v>
      </c>
      <c r="AA70" s="40">
        <v>7506000</v>
      </c>
      <c r="AB70" s="941">
        <v>7506000</v>
      </c>
      <c r="AC70" s="941">
        <v>7506000</v>
      </c>
      <c r="AD70" s="941">
        <v>7506000</v>
      </c>
      <c r="AE70" s="941">
        <v>7506000</v>
      </c>
      <c r="AF70" s="941">
        <v>7506000</v>
      </c>
      <c r="AG70" s="941">
        <v>7506000</v>
      </c>
      <c r="AH70" s="941">
        <v>7506000</v>
      </c>
      <c r="AI70" s="941">
        <v>7506000</v>
      </c>
      <c r="AJ70" s="941">
        <v>7506000</v>
      </c>
      <c r="AK70" s="941">
        <v>7506000</v>
      </c>
      <c r="AL70" s="941">
        <v>7506000</v>
      </c>
      <c r="AM70" s="941">
        <v>7506000</v>
      </c>
      <c r="AN70" s="941">
        <v>7506000</v>
      </c>
      <c r="AO70" s="941">
        <v>7506000</v>
      </c>
      <c r="AP70" s="941">
        <v>7506000</v>
      </c>
      <c r="AQ70" s="941">
        <v>7506000</v>
      </c>
      <c r="AR70" s="941">
        <v>7506000</v>
      </c>
      <c r="AS70" s="941">
        <v>7506000</v>
      </c>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row>
    <row r="71" spans="1:16182" s="953" customFormat="1" x14ac:dyDescent="0.25">
      <c r="A71" s="570"/>
      <c r="B71" s="912"/>
      <c r="C71" s="912"/>
      <c r="D71" s="912" t="s">
        <v>523</v>
      </c>
      <c r="E71" s="912"/>
      <c r="F71" s="912"/>
      <c r="G71" s="912"/>
      <c r="H71" s="40">
        <v>-462024</v>
      </c>
      <c r="I71" s="40">
        <v>-616945</v>
      </c>
      <c r="J71" s="40">
        <v>-629855</v>
      </c>
      <c r="K71" s="40">
        <v>-642765</v>
      </c>
      <c r="L71" s="40">
        <v>-655675</v>
      </c>
      <c r="M71" s="40">
        <v>-668585</v>
      </c>
      <c r="N71" s="933">
        <v>-681495</v>
      </c>
      <c r="O71" s="933">
        <v>-694405</v>
      </c>
      <c r="P71" s="933">
        <v>-707315</v>
      </c>
      <c r="Q71" s="933">
        <v>-720225</v>
      </c>
      <c r="R71" s="933">
        <v>-733135</v>
      </c>
      <c r="S71" s="933">
        <v>-746045</v>
      </c>
      <c r="T71" s="933">
        <v>-758955</v>
      </c>
      <c r="U71" s="933">
        <v>-30496.77</v>
      </c>
      <c r="V71" s="933">
        <v>-266846.77</v>
      </c>
      <c r="W71" s="933">
        <v>-503196.77</v>
      </c>
      <c r="X71" s="941">
        <v>-739546.77</v>
      </c>
      <c r="Y71" s="941">
        <v>-975896.77</v>
      </c>
      <c r="Z71" s="941">
        <v>-1212246.77</v>
      </c>
      <c r="AA71" s="941">
        <v>-1448596.77</v>
      </c>
      <c r="AB71" s="941">
        <v>-1684946.77</v>
      </c>
      <c r="AC71" s="941">
        <v>-1921296.77</v>
      </c>
      <c r="AD71" s="40">
        <v>-2157646.77</v>
      </c>
      <c r="AE71" s="941">
        <v>-2393996.77</v>
      </c>
      <c r="AF71" s="941">
        <v>-2630346.77</v>
      </c>
      <c r="AG71" s="941">
        <v>-2866696.77</v>
      </c>
      <c r="AH71" s="941">
        <v>-3103046.77</v>
      </c>
      <c r="AI71" s="941">
        <v>-3339396.77</v>
      </c>
      <c r="AJ71" s="941">
        <v>-3575746.77</v>
      </c>
      <c r="AK71" s="941">
        <v>-1684946.77</v>
      </c>
      <c r="AL71" s="941">
        <v>-1684946.77</v>
      </c>
      <c r="AM71" s="941">
        <v>-1684946.77</v>
      </c>
      <c r="AN71" s="941">
        <v>-1684946.77</v>
      </c>
      <c r="AO71" s="941">
        <v>-1684946.77</v>
      </c>
      <c r="AP71" s="941">
        <v>-1684946.77</v>
      </c>
      <c r="AQ71" s="941">
        <v>-1684946.77</v>
      </c>
      <c r="AR71" s="941">
        <v>-1684946.77</v>
      </c>
      <c r="AS71" s="941">
        <v>-1684946.77</v>
      </c>
      <c r="AT71" s="40"/>
      <c r="AU71" s="40"/>
      <c r="AV71" s="40"/>
      <c r="AW71" s="40"/>
      <c r="AX71" s="40"/>
      <c r="AY71" s="40"/>
      <c r="AZ71" s="40"/>
      <c r="BA71" s="40"/>
      <c r="BB71" s="40"/>
      <c r="BC71" s="40"/>
      <c r="BD71" s="40"/>
      <c r="BE71" s="40"/>
      <c r="BF71" s="40"/>
      <c r="BG71" s="40"/>
      <c r="BH71" s="40"/>
      <c r="BI71" s="40"/>
      <c r="BJ71" s="40"/>
      <c r="BK71" s="40"/>
      <c r="BL71" s="40"/>
      <c r="BM71" s="40"/>
      <c r="BN71" s="40"/>
      <c r="BO71" s="40"/>
      <c r="BP71" s="40"/>
      <c r="BQ71" s="40"/>
      <c r="BR71" s="40"/>
      <c r="BS71" s="40"/>
      <c r="BT71" s="40"/>
      <c r="BU71" s="40"/>
      <c r="BV71" s="40"/>
      <c r="BW71" s="40"/>
      <c r="BX71" s="40"/>
      <c r="BY71" s="40"/>
      <c r="BZ71" s="40"/>
      <c r="CA71" s="40"/>
      <c r="CB71" s="40"/>
      <c r="CC71" s="40"/>
    </row>
    <row r="72" spans="1:16182" s="953" customFormat="1" x14ac:dyDescent="0.25">
      <c r="A72" s="223"/>
      <c r="B72" s="919"/>
      <c r="C72" s="919"/>
      <c r="D72" s="920" t="s">
        <v>740</v>
      </c>
      <c r="E72" s="919"/>
      <c r="F72" s="919"/>
      <c r="G72" s="919"/>
      <c r="H72" s="42"/>
      <c r="I72" s="42"/>
      <c r="J72" s="42"/>
      <c r="K72" s="42"/>
      <c r="L72" s="42"/>
      <c r="M72" s="42"/>
      <c r="N72" s="933"/>
      <c r="O72" s="933"/>
      <c r="P72" s="933"/>
      <c r="Q72" s="933"/>
      <c r="R72" s="933"/>
      <c r="S72" s="933"/>
      <c r="T72" s="933"/>
      <c r="U72" s="933"/>
      <c r="V72" s="933"/>
      <c r="W72" s="42"/>
      <c r="X72" s="9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2"/>
      <c r="BJ72" s="42"/>
      <c r="BK72" s="42"/>
      <c r="BL72" s="42"/>
      <c r="BM72" s="42"/>
      <c r="BN72" s="42"/>
      <c r="BO72" s="42"/>
      <c r="BP72" s="42"/>
      <c r="BQ72" s="42"/>
      <c r="BR72" s="42"/>
      <c r="BS72" s="42"/>
      <c r="BT72" s="42"/>
      <c r="BU72" s="42"/>
      <c r="BV72" s="42"/>
      <c r="BW72" s="42"/>
      <c r="BX72" s="42"/>
      <c r="BY72" s="42"/>
      <c r="BZ72" s="42"/>
      <c r="CA72" s="42"/>
      <c r="CB72" s="42"/>
      <c r="CC72" s="42"/>
    </row>
    <row r="73" spans="1:16182" s="953" customFormat="1" x14ac:dyDescent="0.25">
      <c r="A73" s="570"/>
      <c r="B73" s="909"/>
      <c r="C73" s="896" t="s">
        <v>100</v>
      </c>
      <c r="D73" s="896"/>
      <c r="E73" s="896"/>
      <c r="F73" s="896"/>
      <c r="G73" s="896"/>
      <c r="H73" s="896">
        <f>SUM(H64:H72)</f>
        <v>1876281</v>
      </c>
      <c r="I73" s="896">
        <f>SUM(I64:I72)</f>
        <v>1723468</v>
      </c>
      <c r="J73" s="896">
        <v>1713109</v>
      </c>
      <c r="K73" s="896">
        <v>1700199</v>
      </c>
      <c r="L73" s="896">
        <v>1687289</v>
      </c>
      <c r="M73" s="896">
        <v>1674379</v>
      </c>
      <c r="N73" s="896">
        <v>1661469</v>
      </c>
      <c r="O73" s="896">
        <v>1648559</v>
      </c>
      <c r="P73" s="897">
        <v>1635649</v>
      </c>
      <c r="Q73" s="897">
        <v>1622739</v>
      </c>
      <c r="R73" s="897">
        <v>1609829</v>
      </c>
      <c r="S73" s="897">
        <v>1596919</v>
      </c>
      <c r="T73" s="897">
        <v>1584009</v>
      </c>
      <c r="U73" s="897">
        <f t="shared" ref="U73:AA73" si="13">SUM(U64:U72)</f>
        <v>23624705.580000002</v>
      </c>
      <c r="V73" s="897">
        <f t="shared" si="13"/>
        <v>23388355.580000002</v>
      </c>
      <c r="W73" s="897">
        <f t="shared" si="13"/>
        <v>23152005.580000002</v>
      </c>
      <c r="X73" s="897">
        <f t="shared" si="13"/>
        <v>22916337.580000002</v>
      </c>
      <c r="Y73" s="897">
        <f t="shared" si="13"/>
        <v>22679987.580000002</v>
      </c>
      <c r="Z73" s="897">
        <f t="shared" si="13"/>
        <v>22443637.580000002</v>
      </c>
      <c r="AA73" s="897">
        <f t="shared" si="13"/>
        <v>22225287.580000002</v>
      </c>
      <c r="AB73" s="897">
        <f>SUM(AB66:AB72)</f>
        <v>21951091.580000002</v>
      </c>
      <c r="AC73" s="897">
        <f t="shared" ref="AC73:AS73" si="14">SUM(AC64:AC72)</f>
        <v>21753903.580000002</v>
      </c>
      <c r="AD73" s="897">
        <f t="shared" si="14"/>
        <v>21516871.580000002</v>
      </c>
      <c r="AE73" s="897">
        <f t="shared" si="14"/>
        <v>21337339.279999997</v>
      </c>
      <c r="AF73" s="897">
        <f t="shared" si="14"/>
        <v>21103487.279999997</v>
      </c>
      <c r="AG73" s="897">
        <f t="shared" si="14"/>
        <v>20867137.279999997</v>
      </c>
      <c r="AH73" s="897">
        <f t="shared" si="14"/>
        <v>20630787.279999997</v>
      </c>
      <c r="AI73" s="1238">
        <f t="shared" si="14"/>
        <v>20398032.790000003</v>
      </c>
      <c r="AJ73" s="1238">
        <f t="shared" si="14"/>
        <v>20158087.279999997</v>
      </c>
      <c r="AK73" s="897">
        <f t="shared" si="14"/>
        <v>21951091.580000002</v>
      </c>
      <c r="AL73" s="897">
        <f t="shared" si="14"/>
        <v>21951091.580000002</v>
      </c>
      <c r="AM73" s="897">
        <f t="shared" si="14"/>
        <v>21951091.580000002</v>
      </c>
      <c r="AN73" s="897">
        <f t="shared" si="14"/>
        <v>21951091.580000002</v>
      </c>
      <c r="AO73" s="897">
        <f t="shared" si="14"/>
        <v>21951091.580000002</v>
      </c>
      <c r="AP73" s="897">
        <f t="shared" si="14"/>
        <v>21951091.580000002</v>
      </c>
      <c r="AQ73" s="897">
        <f t="shared" si="14"/>
        <v>21951091.580000002</v>
      </c>
      <c r="AR73" s="897">
        <f t="shared" si="14"/>
        <v>21951091.580000002</v>
      </c>
      <c r="AS73" s="897">
        <f t="shared" si="14"/>
        <v>21951091.580000002</v>
      </c>
      <c r="AT73" s="898"/>
      <c r="AU73" s="898"/>
      <c r="AV73" s="898"/>
      <c r="AW73" s="898"/>
      <c r="AX73" s="898"/>
      <c r="AY73" s="898"/>
      <c r="AZ73" s="898"/>
      <c r="BA73" s="898"/>
      <c r="BB73" s="898"/>
      <c r="BC73" s="898"/>
      <c r="BD73" s="898"/>
      <c r="BE73" s="898"/>
      <c r="BF73" s="898"/>
      <c r="BG73" s="898"/>
      <c r="BH73" s="898"/>
      <c r="BI73" s="898"/>
      <c r="BJ73" s="898"/>
      <c r="BK73" s="898"/>
      <c r="BL73" s="898"/>
      <c r="BM73" s="898"/>
      <c r="BN73" s="898"/>
      <c r="BO73" s="898"/>
      <c r="BP73" s="898"/>
      <c r="BQ73" s="898"/>
      <c r="BR73" s="898"/>
      <c r="BS73" s="898"/>
      <c r="BT73" s="898"/>
      <c r="BU73" s="898"/>
      <c r="BV73" s="898"/>
      <c r="BW73" s="898"/>
      <c r="BX73" s="898"/>
      <c r="BY73" s="898"/>
      <c r="BZ73" s="898"/>
      <c r="CA73" s="898"/>
      <c r="CB73" s="898"/>
      <c r="CC73" s="948"/>
    </row>
    <row r="74" spans="1:16182" ht="22.5" customHeight="1" thickBot="1" x14ac:dyDescent="0.3">
      <c r="A74" s="947"/>
      <c r="B74" s="949" t="s">
        <v>154</v>
      </c>
      <c r="C74" s="949"/>
      <c r="D74" s="949"/>
      <c r="E74" s="949"/>
      <c r="F74" s="949"/>
      <c r="G74" s="949"/>
      <c r="H74" s="950">
        <f>+H73+H61+H37</f>
        <v>5749128.4799999995</v>
      </c>
      <c r="I74" s="950">
        <f>+I73+I61+I37</f>
        <v>6945527.3099999987</v>
      </c>
      <c r="J74" s="950">
        <f t="shared" ref="J74:AA74" si="15">J73+J61+J37</f>
        <v>3764502.8</v>
      </c>
      <c r="K74" s="950">
        <f t="shared" si="15"/>
        <v>3579281.19</v>
      </c>
      <c r="L74" s="950">
        <f t="shared" si="15"/>
        <v>3777145.71</v>
      </c>
      <c r="M74" s="950">
        <f t="shared" si="15"/>
        <v>4769908.2100000009</v>
      </c>
      <c r="N74" s="950">
        <f t="shared" si="15"/>
        <v>5040126.7299999995</v>
      </c>
      <c r="O74" s="950">
        <f t="shared" si="15"/>
        <v>4951491.0999999996</v>
      </c>
      <c r="P74" s="950">
        <f t="shared" si="15"/>
        <v>4883309.2699999996</v>
      </c>
      <c r="Q74" s="950">
        <f t="shared" si="15"/>
        <v>4941101.17</v>
      </c>
      <c r="R74" s="950">
        <f t="shared" si="15"/>
        <v>4614827.75</v>
      </c>
      <c r="S74" s="950">
        <f t="shared" si="15"/>
        <v>4424713.2300000004</v>
      </c>
      <c r="T74" s="950">
        <f t="shared" si="15"/>
        <v>3841128.4000000004</v>
      </c>
      <c r="U74" s="950">
        <f t="shared" si="15"/>
        <v>30141739.900000002</v>
      </c>
      <c r="V74" s="950">
        <f t="shared" si="15"/>
        <v>30737061.560000002</v>
      </c>
      <c r="W74" s="950">
        <f t="shared" si="15"/>
        <v>30502645.16</v>
      </c>
      <c r="X74" s="950">
        <f t="shared" si="15"/>
        <v>30551388.700000003</v>
      </c>
      <c r="Y74" s="950">
        <f t="shared" si="15"/>
        <v>30404734.82</v>
      </c>
      <c r="Z74" s="950">
        <f t="shared" si="15"/>
        <v>29958170.740000002</v>
      </c>
      <c r="AA74" s="950">
        <f t="shared" si="15"/>
        <v>29703857.140000004</v>
      </c>
      <c r="AB74" s="950">
        <f>AB73+AB61+AB37+AB64</f>
        <v>28937043.790000003</v>
      </c>
      <c r="AC74" s="950">
        <f t="shared" ref="AC74:AJ74" si="16">AC73+AC61+AC37</f>
        <v>27889741.210000005</v>
      </c>
      <c r="AD74" s="950">
        <f t="shared" si="16"/>
        <v>28046963.260000005</v>
      </c>
      <c r="AE74" s="950">
        <f t="shared" si="16"/>
        <v>27397774.280000001</v>
      </c>
      <c r="AF74" s="950">
        <f t="shared" si="16"/>
        <v>26783639.889999997</v>
      </c>
      <c r="AG74" s="950">
        <f t="shared" si="16"/>
        <v>25865450.579999998</v>
      </c>
      <c r="AH74" s="950">
        <f t="shared" si="16"/>
        <v>25705558.779999997</v>
      </c>
      <c r="AI74" s="950">
        <f t="shared" si="16"/>
        <v>25390685.390000001</v>
      </c>
      <c r="AJ74" s="950">
        <f t="shared" si="16"/>
        <v>24965771.109999996</v>
      </c>
      <c r="AK74" s="951"/>
      <c r="AL74" s="951"/>
      <c r="AM74" s="951"/>
      <c r="AN74" s="951"/>
      <c r="AO74" s="951"/>
      <c r="AP74" s="951"/>
      <c r="AQ74" s="951"/>
      <c r="AR74" s="951"/>
      <c r="AS74" s="951"/>
      <c r="AT74" s="951"/>
      <c r="AU74" s="951"/>
      <c r="AV74" s="951"/>
      <c r="AW74" s="951"/>
      <c r="AX74" s="951"/>
      <c r="AY74" s="951"/>
      <c r="AZ74" s="951"/>
      <c r="BA74" s="951"/>
      <c r="BB74" s="951"/>
      <c r="BC74" s="951"/>
      <c r="BD74" s="951"/>
      <c r="BE74" s="951"/>
      <c r="BF74" s="951"/>
      <c r="BG74" s="951"/>
      <c r="BH74" s="951"/>
      <c r="BI74" s="951"/>
      <c r="BJ74" s="951"/>
      <c r="BK74" s="951"/>
      <c r="BL74" s="951"/>
      <c r="BM74" s="951"/>
      <c r="BN74" s="951"/>
      <c r="BO74" s="951"/>
      <c r="BP74" s="951"/>
      <c r="BQ74" s="951"/>
      <c r="BR74" s="951"/>
      <c r="BS74" s="951"/>
      <c r="BT74" s="951"/>
      <c r="BU74" s="951"/>
      <c r="BV74" s="951"/>
      <c r="BW74" s="951"/>
      <c r="BX74" s="951"/>
      <c r="BY74" s="951"/>
      <c r="BZ74" s="951"/>
      <c r="CA74" s="951"/>
      <c r="CB74" s="951"/>
      <c r="CC74" s="951"/>
    </row>
    <row r="75" spans="1:16182" s="957" customFormat="1" ht="15.75" thickTop="1" x14ac:dyDescent="0.25">
      <c r="A75" s="884"/>
      <c r="B75" s="922"/>
      <c r="C75" s="922"/>
      <c r="D75" s="922"/>
      <c r="E75" s="922"/>
      <c r="F75" s="922"/>
      <c r="G75" s="922"/>
      <c r="H75" s="923"/>
      <c r="I75" s="923"/>
      <c r="J75" s="923"/>
      <c r="K75" s="923"/>
      <c r="L75" s="923"/>
      <c r="M75" s="923"/>
      <c r="N75" s="923"/>
      <c r="O75" s="923"/>
      <c r="P75" s="923"/>
      <c r="Q75" s="923"/>
      <c r="R75" s="923"/>
      <c r="S75" s="923"/>
      <c r="T75" s="923"/>
      <c r="U75" s="923"/>
      <c r="V75" s="923"/>
      <c r="W75" s="923"/>
      <c r="X75" s="923"/>
      <c r="Y75" s="923"/>
      <c r="Z75" s="923"/>
      <c r="AA75" s="923"/>
      <c r="AB75" s="923"/>
      <c r="AC75" s="923"/>
      <c r="AD75" s="923"/>
      <c r="AE75" s="923"/>
      <c r="AF75" s="923"/>
      <c r="AG75" s="923"/>
      <c r="AH75" s="884"/>
      <c r="AI75" s="884"/>
      <c r="AJ75" s="884"/>
      <c r="AK75" s="884"/>
      <c r="AL75" s="884"/>
      <c r="AM75" s="884"/>
      <c r="AN75" s="884"/>
      <c r="AO75" s="884"/>
      <c r="AP75" s="884"/>
      <c r="AQ75" s="884"/>
      <c r="AR75" s="884"/>
      <c r="AS75" s="884"/>
      <c r="AT75" s="884"/>
      <c r="AU75" s="884"/>
      <c r="AV75" s="884"/>
      <c r="AW75" s="884"/>
      <c r="AX75" s="884"/>
      <c r="AY75" s="884"/>
      <c r="AZ75" s="884"/>
      <c r="BA75" s="884"/>
      <c r="BB75" s="884"/>
      <c r="BC75" s="884"/>
      <c r="BD75" s="884"/>
      <c r="BE75" s="884"/>
      <c r="BF75" s="884"/>
      <c r="BG75" s="884"/>
      <c r="BH75" s="884"/>
      <c r="BI75" s="884"/>
      <c r="BJ75" s="884"/>
      <c r="BK75" s="884"/>
      <c r="BL75" s="884"/>
      <c r="BM75" s="884"/>
      <c r="BN75" s="884"/>
      <c r="BO75" s="884"/>
      <c r="BP75" s="884"/>
      <c r="BQ75" s="884"/>
      <c r="BR75" s="884"/>
      <c r="BS75" s="884"/>
      <c r="BT75" s="884"/>
      <c r="BU75" s="884"/>
      <c r="BV75" s="884"/>
      <c r="BW75" s="884"/>
      <c r="BX75" s="884"/>
      <c r="BY75" s="884"/>
      <c r="BZ75" s="884"/>
      <c r="CA75" s="884"/>
      <c r="CB75" s="884"/>
      <c r="CC75" s="884"/>
    </row>
    <row r="76" spans="1:16182" s="957" customFormat="1" x14ac:dyDescent="0.25">
      <c r="A76" s="884"/>
      <c r="B76" s="905" t="s">
        <v>1071</v>
      </c>
      <c r="C76" s="906"/>
      <c r="D76" s="906"/>
      <c r="E76" s="906"/>
      <c r="F76" s="906"/>
      <c r="G76" s="906"/>
      <c r="H76" s="890"/>
      <c r="I76" s="890"/>
      <c r="J76" s="890"/>
      <c r="K76" s="890"/>
      <c r="L76" s="890"/>
      <c r="M76" s="890"/>
      <c r="N76" s="890"/>
      <c r="O76" s="890"/>
      <c r="P76" s="890"/>
      <c r="Q76" s="890"/>
      <c r="R76" s="890"/>
      <c r="S76" s="890"/>
      <c r="T76" s="890"/>
      <c r="U76" s="890"/>
      <c r="V76" s="890"/>
      <c r="W76" s="890"/>
      <c r="X76" s="890"/>
      <c r="Y76" s="890"/>
      <c r="Z76" s="890"/>
      <c r="AA76" s="890"/>
      <c r="AB76" s="890"/>
      <c r="AC76" s="890"/>
      <c r="AD76" s="890"/>
      <c r="AE76" s="890"/>
      <c r="AF76" s="890"/>
      <c r="AG76" s="890"/>
      <c r="AH76" s="890"/>
      <c r="AI76" s="890"/>
      <c r="AJ76" s="890"/>
      <c r="AK76" s="890"/>
      <c r="AL76" s="890"/>
      <c r="AM76" s="890"/>
      <c r="AN76" s="890"/>
      <c r="AO76" s="890"/>
      <c r="AP76" s="890"/>
      <c r="AQ76" s="890"/>
      <c r="AR76" s="890"/>
      <c r="AS76" s="890"/>
      <c r="AT76" s="890"/>
      <c r="AU76" s="890"/>
      <c r="AV76" s="890"/>
      <c r="AW76" s="890"/>
      <c r="AX76" s="890"/>
      <c r="AY76" s="890"/>
      <c r="AZ76" s="890"/>
      <c r="BA76" s="890"/>
      <c r="BB76" s="890"/>
      <c r="BC76" s="890"/>
      <c r="BD76" s="890"/>
      <c r="BE76" s="890"/>
      <c r="BF76" s="890"/>
      <c r="BG76" s="890"/>
      <c r="BH76" s="890"/>
      <c r="BI76" s="890"/>
      <c r="BJ76" s="890"/>
      <c r="BK76" s="890"/>
      <c r="BL76" s="890"/>
      <c r="BM76" s="890"/>
      <c r="BN76" s="890"/>
      <c r="BO76" s="890"/>
      <c r="BP76" s="890"/>
      <c r="BQ76" s="890"/>
      <c r="BR76" s="890"/>
      <c r="BS76" s="890"/>
      <c r="BT76" s="890"/>
      <c r="BU76" s="890"/>
      <c r="BV76" s="890"/>
      <c r="BW76" s="890"/>
      <c r="BX76" s="890"/>
      <c r="BY76" s="890"/>
      <c r="BZ76" s="890"/>
      <c r="CA76" s="890"/>
      <c r="CB76" s="890"/>
      <c r="CC76" s="890"/>
      <c r="CD76" s="954"/>
      <c r="CE76" s="954"/>
      <c r="CF76" s="954"/>
      <c r="CG76" s="954"/>
      <c r="CH76" s="954"/>
      <c r="CI76" s="954"/>
      <c r="CJ76" s="954"/>
      <c r="CK76" s="954"/>
      <c r="CL76" s="954"/>
      <c r="CM76" s="954"/>
      <c r="CN76" s="954"/>
      <c r="CO76" s="954"/>
      <c r="CP76" s="954"/>
      <c r="CQ76" s="954"/>
      <c r="CR76" s="954"/>
      <c r="CS76" s="954"/>
      <c r="CT76" s="954"/>
      <c r="CU76" s="954"/>
      <c r="CV76" s="954"/>
      <c r="CW76" s="954"/>
      <c r="CX76" s="954"/>
      <c r="CY76" s="954"/>
      <c r="CZ76" s="954"/>
      <c r="DA76" s="954"/>
      <c r="DB76" s="954"/>
      <c r="DC76" s="954"/>
      <c r="DD76" s="954"/>
      <c r="DE76" s="954"/>
      <c r="DF76" s="954"/>
      <c r="DG76" s="954"/>
      <c r="DH76" s="954"/>
      <c r="DI76" s="954"/>
      <c r="DJ76" s="954"/>
      <c r="DK76" s="954"/>
      <c r="DL76" s="954"/>
      <c r="DM76" s="954"/>
      <c r="DN76" s="954"/>
      <c r="DO76" s="954"/>
      <c r="DP76" s="954"/>
      <c r="DQ76" s="954"/>
      <c r="DR76" s="954"/>
      <c r="DS76" s="954"/>
      <c r="DT76" s="954"/>
      <c r="DU76" s="954"/>
      <c r="DV76" s="954"/>
      <c r="DW76" s="954"/>
      <c r="DX76" s="954"/>
      <c r="DY76" s="954"/>
      <c r="DZ76" s="954"/>
      <c r="EA76" s="954"/>
      <c r="EB76" s="954"/>
      <c r="EC76" s="954"/>
      <c r="ED76" s="954"/>
      <c r="EE76" s="954"/>
      <c r="EF76" s="954"/>
      <c r="EG76" s="954"/>
      <c r="EH76" s="954"/>
      <c r="EI76" s="954"/>
      <c r="EJ76" s="954"/>
      <c r="EK76" s="954"/>
      <c r="EL76" s="954"/>
      <c r="EM76" s="954"/>
      <c r="EN76" s="954"/>
      <c r="EO76" s="954"/>
      <c r="EP76" s="954"/>
      <c r="EQ76" s="954"/>
      <c r="ER76" s="954"/>
      <c r="ES76" s="954"/>
      <c r="ET76" s="954"/>
      <c r="EU76" s="954"/>
      <c r="EV76" s="954"/>
      <c r="EW76" s="954"/>
      <c r="EX76" s="954"/>
      <c r="EY76" s="954"/>
      <c r="EZ76" s="954"/>
      <c r="FA76" s="954"/>
      <c r="FB76" s="954"/>
      <c r="FC76" s="954"/>
      <c r="FD76" s="954"/>
      <c r="FE76" s="954"/>
      <c r="FF76" s="954"/>
      <c r="FG76" s="954"/>
      <c r="FH76" s="954"/>
      <c r="FI76" s="954"/>
      <c r="FJ76" s="954"/>
      <c r="FK76" s="954"/>
      <c r="FL76" s="954"/>
      <c r="FM76" s="954"/>
      <c r="FN76" s="954"/>
      <c r="FO76" s="954"/>
      <c r="FP76" s="954"/>
      <c r="FQ76" s="954"/>
      <c r="FR76" s="954"/>
      <c r="FS76" s="954"/>
      <c r="FT76" s="954"/>
      <c r="FU76" s="954"/>
      <c r="FV76" s="954"/>
      <c r="FW76" s="954"/>
      <c r="FX76" s="954"/>
      <c r="FY76" s="954"/>
      <c r="FZ76" s="954"/>
      <c r="GA76" s="954"/>
      <c r="GB76" s="954"/>
      <c r="GC76" s="954"/>
      <c r="GD76" s="954"/>
      <c r="GE76" s="954"/>
      <c r="GF76" s="954"/>
      <c r="GG76" s="954"/>
      <c r="GH76" s="954"/>
      <c r="GI76" s="954"/>
      <c r="GJ76" s="954"/>
      <c r="GK76" s="954"/>
      <c r="GL76" s="954"/>
      <c r="GM76" s="954"/>
      <c r="GN76" s="954"/>
      <c r="GO76" s="954"/>
      <c r="GP76" s="954"/>
      <c r="GQ76" s="954"/>
      <c r="GR76" s="954"/>
      <c r="GS76" s="954"/>
      <c r="GT76" s="954"/>
      <c r="GU76" s="954"/>
      <c r="GV76" s="954"/>
      <c r="GW76" s="954"/>
      <c r="GX76" s="954"/>
      <c r="GY76" s="954"/>
      <c r="GZ76" s="954"/>
      <c r="HA76" s="954"/>
      <c r="HB76" s="954"/>
      <c r="HC76" s="954"/>
      <c r="HD76" s="954"/>
      <c r="HE76" s="954"/>
      <c r="HF76" s="954"/>
      <c r="HG76" s="954"/>
      <c r="HH76" s="954"/>
      <c r="HI76" s="954"/>
      <c r="HJ76" s="954"/>
      <c r="HK76" s="954"/>
      <c r="HL76" s="954"/>
      <c r="HM76" s="954"/>
      <c r="HN76" s="954"/>
      <c r="HO76" s="954"/>
      <c r="HP76" s="954"/>
      <c r="HQ76" s="954"/>
      <c r="HR76" s="954"/>
      <c r="HS76" s="954"/>
      <c r="HT76" s="954"/>
      <c r="HU76" s="954"/>
      <c r="HV76" s="954"/>
      <c r="HW76" s="954"/>
      <c r="HX76" s="954"/>
      <c r="HY76" s="954"/>
      <c r="HZ76" s="954"/>
      <c r="IA76" s="954"/>
      <c r="IB76" s="954"/>
      <c r="IC76" s="954"/>
      <c r="ID76" s="954"/>
      <c r="IE76" s="954"/>
      <c r="IF76" s="954"/>
      <c r="IG76" s="954"/>
      <c r="IH76" s="954"/>
      <c r="II76" s="954"/>
      <c r="IJ76" s="954"/>
      <c r="IK76" s="954"/>
      <c r="IL76" s="954"/>
      <c r="IM76" s="954"/>
      <c r="IN76" s="954"/>
      <c r="IO76" s="954"/>
      <c r="IP76" s="954"/>
      <c r="IQ76" s="954"/>
      <c r="IR76" s="954"/>
      <c r="IS76" s="954"/>
      <c r="IT76" s="954"/>
      <c r="IU76" s="954"/>
      <c r="IV76" s="954"/>
      <c r="IW76" s="954"/>
      <c r="IX76" s="954"/>
      <c r="IY76" s="954"/>
      <c r="IZ76" s="954"/>
      <c r="JA76" s="954"/>
      <c r="JB76" s="954"/>
      <c r="JC76" s="954"/>
      <c r="JD76" s="954"/>
      <c r="JE76" s="954"/>
      <c r="JF76" s="954"/>
      <c r="JG76" s="954"/>
      <c r="JH76" s="954"/>
      <c r="JI76" s="954"/>
      <c r="JJ76" s="954"/>
      <c r="JK76" s="954"/>
      <c r="JL76" s="954"/>
      <c r="JM76" s="954"/>
      <c r="JN76" s="954"/>
      <c r="JO76" s="954"/>
      <c r="JP76" s="954"/>
      <c r="JQ76" s="954"/>
      <c r="JR76" s="954"/>
      <c r="JS76" s="954"/>
      <c r="JT76" s="954"/>
      <c r="JU76" s="954"/>
      <c r="JV76" s="954"/>
      <c r="JW76" s="954"/>
      <c r="JX76" s="954"/>
      <c r="JY76" s="954"/>
      <c r="JZ76" s="954"/>
      <c r="KA76" s="954"/>
      <c r="KB76" s="954"/>
      <c r="KC76" s="954"/>
      <c r="KD76" s="954"/>
      <c r="KE76" s="954"/>
      <c r="KF76" s="954"/>
      <c r="KG76" s="954"/>
      <c r="KH76" s="954"/>
      <c r="KI76" s="954"/>
      <c r="KJ76" s="954"/>
      <c r="KK76" s="954"/>
      <c r="KL76" s="954"/>
      <c r="KM76" s="954"/>
      <c r="KN76" s="954"/>
      <c r="KO76" s="954"/>
      <c r="KP76" s="954"/>
      <c r="KQ76" s="954"/>
      <c r="KR76" s="954"/>
      <c r="KS76" s="954"/>
      <c r="KT76" s="954"/>
      <c r="KU76" s="954"/>
      <c r="KV76" s="954"/>
      <c r="KW76" s="954"/>
      <c r="KX76" s="954"/>
      <c r="KY76" s="954"/>
      <c r="KZ76" s="954"/>
      <c r="LA76" s="954"/>
      <c r="LB76" s="954"/>
      <c r="LC76" s="954"/>
      <c r="LD76" s="954"/>
      <c r="LE76" s="954"/>
      <c r="LF76" s="954"/>
      <c r="LG76" s="954"/>
      <c r="LH76" s="954"/>
      <c r="LI76" s="954"/>
      <c r="LJ76" s="954"/>
      <c r="LK76" s="954"/>
      <c r="LL76" s="954"/>
      <c r="LM76" s="954"/>
      <c r="LN76" s="954"/>
      <c r="LO76" s="954"/>
      <c r="LP76" s="954"/>
      <c r="LQ76" s="954"/>
      <c r="LR76" s="954"/>
      <c r="LS76" s="954"/>
      <c r="LT76" s="954"/>
      <c r="LU76" s="954"/>
      <c r="LV76" s="954"/>
      <c r="LW76" s="954"/>
      <c r="LX76" s="954"/>
      <c r="LY76" s="954"/>
      <c r="LZ76" s="954"/>
      <c r="MA76" s="954"/>
      <c r="MB76" s="954"/>
      <c r="MC76" s="954"/>
      <c r="MD76" s="954"/>
      <c r="ME76" s="954"/>
      <c r="MF76" s="954"/>
      <c r="MG76" s="954"/>
      <c r="MH76" s="954"/>
      <c r="MI76" s="954"/>
      <c r="MJ76" s="954"/>
      <c r="MK76" s="954"/>
      <c r="ML76" s="954"/>
      <c r="MM76" s="954"/>
      <c r="MN76" s="954"/>
      <c r="MO76" s="954"/>
      <c r="MP76" s="954"/>
      <c r="MQ76" s="954"/>
      <c r="MR76" s="954"/>
      <c r="MS76" s="954"/>
      <c r="MT76" s="954"/>
      <c r="MU76" s="954"/>
      <c r="MV76" s="954"/>
      <c r="MW76" s="954"/>
      <c r="MX76" s="954"/>
      <c r="MY76" s="954"/>
      <c r="MZ76" s="954"/>
      <c r="NA76" s="954"/>
      <c r="NB76" s="954"/>
      <c r="NC76" s="954"/>
      <c r="ND76" s="954"/>
      <c r="NE76" s="954"/>
      <c r="NF76" s="954"/>
      <c r="NG76" s="954"/>
      <c r="NH76" s="954"/>
      <c r="NI76" s="954"/>
      <c r="NJ76" s="954"/>
      <c r="NK76" s="954"/>
      <c r="NL76" s="954"/>
      <c r="NM76" s="954"/>
      <c r="NN76" s="954"/>
      <c r="NO76" s="954"/>
      <c r="NP76" s="954"/>
      <c r="NQ76" s="954"/>
      <c r="NR76" s="954"/>
      <c r="NS76" s="954"/>
      <c r="NT76" s="954"/>
      <c r="NU76" s="954"/>
      <c r="NV76" s="954"/>
      <c r="NW76" s="954"/>
      <c r="NX76" s="954"/>
      <c r="NY76" s="954"/>
      <c r="NZ76" s="954"/>
      <c r="OA76" s="954"/>
      <c r="OB76" s="954"/>
      <c r="OC76" s="954"/>
      <c r="OD76" s="954"/>
      <c r="OE76" s="954"/>
      <c r="OF76" s="954"/>
      <c r="OG76" s="954"/>
      <c r="OH76" s="954"/>
      <c r="OI76" s="954"/>
      <c r="OJ76" s="954"/>
      <c r="OK76" s="954"/>
      <c r="OL76" s="954"/>
      <c r="OM76" s="954"/>
      <c r="ON76" s="954"/>
      <c r="OO76" s="954"/>
      <c r="OP76" s="954"/>
      <c r="OQ76" s="954"/>
      <c r="OR76" s="954"/>
      <c r="OS76" s="954"/>
      <c r="OT76" s="954"/>
      <c r="OU76" s="954"/>
      <c r="OV76" s="954"/>
      <c r="OW76" s="954"/>
      <c r="OX76" s="954"/>
      <c r="OY76" s="954"/>
      <c r="OZ76" s="954"/>
      <c r="PA76" s="954"/>
      <c r="PB76" s="954"/>
      <c r="PC76" s="954"/>
      <c r="PD76" s="954"/>
      <c r="PE76" s="954"/>
      <c r="PF76" s="954"/>
      <c r="PG76" s="954"/>
      <c r="PH76" s="954"/>
      <c r="PI76" s="954"/>
      <c r="PJ76" s="954"/>
      <c r="PK76" s="954"/>
      <c r="PL76" s="954"/>
      <c r="PM76" s="954"/>
      <c r="PN76" s="954"/>
      <c r="PO76" s="954"/>
      <c r="PP76" s="954"/>
      <c r="PQ76" s="954"/>
      <c r="PR76" s="954"/>
      <c r="PS76" s="954"/>
      <c r="PT76" s="954"/>
      <c r="PU76" s="954"/>
      <c r="PV76" s="954"/>
      <c r="PW76" s="954"/>
      <c r="PX76" s="954"/>
      <c r="PY76" s="954"/>
      <c r="PZ76" s="954"/>
      <c r="QA76" s="954"/>
      <c r="QB76" s="954"/>
      <c r="QC76" s="954"/>
      <c r="QD76" s="954"/>
      <c r="QE76" s="954"/>
      <c r="QF76" s="954"/>
      <c r="QG76" s="954"/>
      <c r="QH76" s="954"/>
      <c r="QI76" s="954"/>
      <c r="QJ76" s="954"/>
      <c r="QK76" s="954"/>
      <c r="QL76" s="954"/>
      <c r="QM76" s="954"/>
      <c r="QN76" s="954"/>
      <c r="QO76" s="954"/>
      <c r="QP76" s="954"/>
      <c r="QQ76" s="954"/>
      <c r="QR76" s="954"/>
      <c r="QS76" s="954"/>
      <c r="QT76" s="954"/>
      <c r="QU76" s="954"/>
      <c r="QV76" s="954"/>
      <c r="QW76" s="954"/>
      <c r="QX76" s="954"/>
      <c r="QY76" s="954"/>
      <c r="QZ76" s="954"/>
      <c r="RA76" s="954"/>
      <c r="RB76" s="954"/>
      <c r="RC76" s="954"/>
      <c r="RD76" s="954"/>
      <c r="RE76" s="954"/>
      <c r="RF76" s="954"/>
      <c r="RG76" s="954"/>
      <c r="RH76" s="954"/>
      <c r="RI76" s="954"/>
      <c r="RJ76" s="954"/>
      <c r="RK76" s="954"/>
      <c r="RL76" s="954"/>
      <c r="RM76" s="954"/>
      <c r="RN76" s="954"/>
      <c r="RO76" s="954"/>
      <c r="RP76" s="954"/>
      <c r="RQ76" s="954"/>
      <c r="RR76" s="954"/>
      <c r="RS76" s="954"/>
      <c r="RT76" s="954"/>
      <c r="RU76" s="954"/>
      <c r="RV76" s="954"/>
      <c r="RW76" s="954"/>
      <c r="RX76" s="954"/>
      <c r="RY76" s="954"/>
      <c r="RZ76" s="954"/>
      <c r="SA76" s="954"/>
      <c r="SB76" s="954"/>
      <c r="SC76" s="954"/>
      <c r="SD76" s="954"/>
      <c r="SE76" s="954"/>
      <c r="SF76" s="954"/>
      <c r="SG76" s="954"/>
      <c r="SH76" s="954"/>
      <c r="SI76" s="954"/>
      <c r="SJ76" s="954"/>
      <c r="SK76" s="954"/>
      <c r="SL76" s="954"/>
      <c r="SM76" s="954"/>
      <c r="SN76" s="954"/>
      <c r="SO76" s="954"/>
      <c r="SP76" s="954"/>
      <c r="SQ76" s="954"/>
      <c r="SR76" s="954"/>
      <c r="SS76" s="954"/>
      <c r="ST76" s="954"/>
      <c r="SU76" s="954"/>
      <c r="SV76" s="954"/>
      <c r="SW76" s="954"/>
      <c r="SX76" s="954"/>
      <c r="SY76" s="954"/>
      <c r="SZ76" s="954"/>
      <c r="TA76" s="954"/>
      <c r="TB76" s="954"/>
      <c r="TC76" s="954"/>
      <c r="TD76" s="954"/>
      <c r="TE76" s="954"/>
      <c r="TF76" s="954"/>
      <c r="TG76" s="954"/>
      <c r="TH76" s="954"/>
      <c r="TI76" s="954"/>
      <c r="TJ76" s="954"/>
      <c r="TK76" s="954"/>
      <c r="TL76" s="954"/>
      <c r="TM76" s="954"/>
      <c r="TN76" s="954"/>
      <c r="TO76" s="954"/>
      <c r="TP76" s="954"/>
      <c r="TQ76" s="954"/>
      <c r="TR76" s="954"/>
      <c r="TS76" s="954"/>
      <c r="TT76" s="954"/>
      <c r="TU76" s="954"/>
      <c r="TV76" s="954"/>
      <c r="TW76" s="954"/>
      <c r="TX76" s="954"/>
      <c r="TY76" s="954"/>
      <c r="TZ76" s="954"/>
      <c r="UA76" s="954"/>
      <c r="UB76" s="954"/>
      <c r="UC76" s="954"/>
      <c r="UD76" s="954"/>
      <c r="UE76" s="954"/>
      <c r="UF76" s="954"/>
      <c r="UG76" s="954"/>
      <c r="UH76" s="954"/>
      <c r="UI76" s="954"/>
      <c r="UJ76" s="954"/>
      <c r="UK76" s="954"/>
      <c r="UL76" s="954"/>
      <c r="UM76" s="954"/>
      <c r="UN76" s="954"/>
      <c r="UO76" s="954"/>
      <c r="UP76" s="954"/>
      <c r="UQ76" s="954"/>
      <c r="UR76" s="954"/>
      <c r="US76" s="954"/>
      <c r="UT76" s="954"/>
      <c r="UU76" s="954"/>
      <c r="UV76" s="954"/>
      <c r="UW76" s="954"/>
      <c r="UX76" s="954"/>
      <c r="UY76" s="954"/>
      <c r="UZ76" s="954"/>
      <c r="VA76" s="954"/>
      <c r="VB76" s="954"/>
      <c r="VC76" s="954"/>
      <c r="VD76" s="954"/>
      <c r="VE76" s="954"/>
      <c r="VF76" s="954"/>
      <c r="VG76" s="954"/>
      <c r="VH76" s="954"/>
      <c r="VI76" s="954"/>
      <c r="VJ76" s="954"/>
      <c r="VK76" s="954"/>
      <c r="VL76" s="954"/>
      <c r="VM76" s="954"/>
      <c r="VN76" s="954"/>
      <c r="VO76" s="954"/>
      <c r="VP76" s="954"/>
      <c r="VQ76" s="954"/>
      <c r="VR76" s="954"/>
      <c r="VS76" s="954"/>
      <c r="VT76" s="954"/>
      <c r="VU76" s="954"/>
      <c r="VV76" s="954"/>
      <c r="VW76" s="954"/>
      <c r="VX76" s="954"/>
      <c r="VY76" s="954"/>
      <c r="VZ76" s="954"/>
      <c r="WA76" s="954"/>
      <c r="WB76" s="954"/>
      <c r="WC76" s="954"/>
      <c r="WD76" s="954"/>
      <c r="WE76" s="954"/>
      <c r="WF76" s="954"/>
      <c r="WG76" s="954"/>
      <c r="WH76" s="954"/>
      <c r="WI76" s="954"/>
      <c r="WJ76" s="954"/>
      <c r="WK76" s="954"/>
      <c r="WL76" s="954"/>
      <c r="WM76" s="954"/>
      <c r="WN76" s="954"/>
      <c r="WO76" s="954"/>
      <c r="WP76" s="954"/>
      <c r="WQ76" s="954"/>
      <c r="WR76" s="954"/>
      <c r="WS76" s="954"/>
      <c r="WT76" s="954"/>
      <c r="WU76" s="954"/>
      <c r="WV76" s="954"/>
      <c r="WW76" s="954"/>
      <c r="WX76" s="954"/>
      <c r="WY76" s="954"/>
      <c r="WZ76" s="954"/>
      <c r="XA76" s="954"/>
      <c r="XB76" s="954"/>
      <c r="XC76" s="954"/>
      <c r="XD76" s="954"/>
      <c r="XE76" s="954"/>
      <c r="XF76" s="954"/>
      <c r="XG76" s="954"/>
      <c r="XH76" s="954"/>
      <c r="XI76" s="954"/>
      <c r="XJ76" s="954"/>
      <c r="XK76" s="954"/>
      <c r="XL76" s="954"/>
      <c r="XM76" s="954"/>
      <c r="XN76" s="954"/>
      <c r="XO76" s="954"/>
      <c r="XP76" s="954"/>
      <c r="XQ76" s="954"/>
      <c r="XR76" s="954"/>
      <c r="XS76" s="954"/>
      <c r="XT76" s="954"/>
      <c r="XU76" s="954"/>
      <c r="XV76" s="954"/>
      <c r="XW76" s="954"/>
      <c r="XX76" s="954"/>
      <c r="XY76" s="954"/>
      <c r="XZ76" s="954"/>
      <c r="YA76" s="954"/>
      <c r="YB76" s="954"/>
      <c r="YC76" s="954"/>
      <c r="YD76" s="954"/>
      <c r="YE76" s="954"/>
      <c r="YF76" s="954"/>
      <c r="YG76" s="954"/>
      <c r="YH76" s="954"/>
      <c r="YI76" s="954"/>
      <c r="YJ76" s="954"/>
      <c r="YK76" s="954"/>
      <c r="YL76" s="954"/>
      <c r="YM76" s="954"/>
      <c r="YN76" s="954"/>
      <c r="YO76" s="954"/>
      <c r="YP76" s="954"/>
      <c r="YQ76" s="954"/>
      <c r="YR76" s="954"/>
      <c r="YS76" s="954"/>
      <c r="YT76" s="954"/>
      <c r="YU76" s="954"/>
      <c r="YV76" s="954"/>
      <c r="YW76" s="954"/>
      <c r="YX76" s="954"/>
      <c r="YY76" s="954"/>
      <c r="YZ76" s="954"/>
      <c r="ZA76" s="954"/>
      <c r="ZB76" s="954"/>
      <c r="ZC76" s="954"/>
      <c r="ZD76" s="954"/>
      <c r="ZE76" s="954"/>
      <c r="ZF76" s="954"/>
      <c r="ZG76" s="954"/>
      <c r="ZH76" s="954"/>
      <c r="ZI76" s="954"/>
      <c r="ZJ76" s="954"/>
      <c r="ZK76" s="954"/>
      <c r="ZL76" s="954"/>
      <c r="ZM76" s="954"/>
      <c r="ZN76" s="954"/>
      <c r="ZO76" s="954"/>
      <c r="ZP76" s="954"/>
      <c r="ZQ76" s="954"/>
      <c r="ZR76" s="954"/>
      <c r="ZS76" s="954"/>
      <c r="ZT76" s="954"/>
      <c r="ZU76" s="954"/>
      <c r="ZV76" s="954"/>
      <c r="ZW76" s="954"/>
      <c r="ZX76" s="954"/>
      <c r="ZY76" s="954"/>
      <c r="ZZ76" s="954"/>
      <c r="AAA76" s="954"/>
      <c r="AAB76" s="954"/>
      <c r="AAC76" s="954"/>
      <c r="AAD76" s="954"/>
      <c r="AAE76" s="954"/>
      <c r="AAF76" s="954"/>
      <c r="AAG76" s="954"/>
      <c r="AAH76" s="954"/>
      <c r="AAI76" s="954"/>
      <c r="AAJ76" s="954"/>
      <c r="AAK76" s="954"/>
      <c r="AAL76" s="954"/>
      <c r="AAM76" s="954"/>
      <c r="AAN76" s="954"/>
      <c r="AAO76" s="954"/>
      <c r="AAP76" s="954"/>
      <c r="AAQ76" s="954"/>
      <c r="AAR76" s="954"/>
      <c r="AAS76" s="954"/>
      <c r="AAT76" s="954"/>
      <c r="AAU76" s="954"/>
      <c r="AAV76" s="954"/>
      <c r="AAW76" s="954"/>
      <c r="AAX76" s="954"/>
      <c r="AAY76" s="954"/>
      <c r="AAZ76" s="954"/>
      <c r="ABA76" s="954"/>
      <c r="ABB76" s="954"/>
      <c r="ABC76" s="954"/>
      <c r="ABD76" s="954"/>
      <c r="ABE76" s="954"/>
      <c r="ABF76" s="954"/>
      <c r="ABG76" s="954"/>
      <c r="ABH76" s="954"/>
      <c r="ABI76" s="954"/>
      <c r="ABJ76" s="954"/>
      <c r="ABK76" s="954"/>
      <c r="ABL76" s="954"/>
      <c r="ABM76" s="954"/>
      <c r="ABN76" s="954"/>
      <c r="ABO76" s="954"/>
      <c r="ABP76" s="954"/>
      <c r="ABQ76" s="954"/>
      <c r="ABR76" s="954"/>
      <c r="ABS76" s="954"/>
      <c r="ABT76" s="954"/>
      <c r="ABU76" s="954"/>
      <c r="ABV76" s="954"/>
      <c r="ABW76" s="954"/>
      <c r="ABX76" s="954"/>
      <c r="ABY76" s="954"/>
      <c r="ABZ76" s="954"/>
      <c r="ACA76" s="954"/>
      <c r="ACB76" s="954"/>
      <c r="ACC76" s="954"/>
      <c r="ACD76" s="954"/>
      <c r="ACE76" s="954"/>
      <c r="ACF76" s="954"/>
      <c r="ACG76" s="954"/>
      <c r="ACH76" s="954"/>
      <c r="ACI76" s="954"/>
      <c r="ACJ76" s="954"/>
      <c r="ACK76" s="954"/>
      <c r="ACL76" s="954"/>
      <c r="ACM76" s="954"/>
      <c r="ACN76" s="954"/>
      <c r="ACO76" s="954"/>
      <c r="ACP76" s="954"/>
      <c r="ACQ76" s="954"/>
      <c r="ACR76" s="954"/>
      <c r="ACS76" s="954"/>
      <c r="ACT76" s="954"/>
      <c r="ACU76" s="954"/>
      <c r="ACV76" s="954"/>
      <c r="ACW76" s="954"/>
      <c r="ACX76" s="954"/>
      <c r="ACY76" s="954"/>
      <c r="ACZ76" s="954"/>
      <c r="ADA76" s="954"/>
      <c r="ADB76" s="954"/>
      <c r="ADC76" s="954"/>
      <c r="ADD76" s="954"/>
      <c r="ADE76" s="954"/>
      <c r="ADF76" s="954"/>
      <c r="ADG76" s="954"/>
      <c r="ADH76" s="954"/>
      <c r="ADI76" s="954"/>
      <c r="ADJ76" s="954"/>
      <c r="ADK76" s="954"/>
      <c r="ADL76" s="954"/>
      <c r="ADM76" s="954"/>
      <c r="ADN76" s="954"/>
      <c r="ADO76" s="954"/>
      <c r="ADP76" s="954"/>
      <c r="ADQ76" s="954"/>
      <c r="ADR76" s="954"/>
      <c r="ADS76" s="954"/>
      <c r="ADT76" s="954"/>
      <c r="ADU76" s="954"/>
      <c r="ADV76" s="954"/>
      <c r="ADW76" s="954"/>
      <c r="ADX76" s="954"/>
      <c r="ADY76" s="954"/>
      <c r="ADZ76" s="954"/>
      <c r="AEA76" s="954"/>
      <c r="AEB76" s="954"/>
      <c r="AEC76" s="954"/>
      <c r="AED76" s="954"/>
      <c r="AEE76" s="954"/>
      <c r="AEF76" s="954"/>
      <c r="AEG76" s="954"/>
      <c r="AEH76" s="954"/>
      <c r="AEI76" s="954"/>
      <c r="AEJ76" s="954"/>
      <c r="AEK76" s="954"/>
      <c r="AEL76" s="954"/>
      <c r="AEM76" s="954"/>
      <c r="AEN76" s="954"/>
      <c r="AEO76" s="954"/>
      <c r="AEP76" s="954"/>
      <c r="AEQ76" s="954"/>
      <c r="AER76" s="954"/>
      <c r="AES76" s="954"/>
      <c r="AET76" s="954"/>
      <c r="AEU76" s="954"/>
      <c r="AEV76" s="954"/>
      <c r="AEW76" s="954"/>
      <c r="AEX76" s="954"/>
      <c r="AEY76" s="954"/>
      <c r="AEZ76" s="954"/>
      <c r="AFA76" s="954"/>
      <c r="AFB76" s="954"/>
      <c r="AFC76" s="954"/>
      <c r="AFD76" s="954"/>
      <c r="AFE76" s="954"/>
      <c r="AFF76" s="954"/>
      <c r="AFG76" s="954"/>
      <c r="AFH76" s="954"/>
      <c r="AFI76" s="954"/>
      <c r="AFJ76" s="954"/>
      <c r="AFK76" s="954"/>
      <c r="AFL76" s="954"/>
      <c r="AFM76" s="954"/>
      <c r="AFN76" s="954"/>
      <c r="AFO76" s="954"/>
      <c r="AFP76" s="954"/>
      <c r="AFQ76" s="954"/>
      <c r="AFR76" s="954"/>
      <c r="AFS76" s="954"/>
      <c r="AFT76" s="954"/>
      <c r="AFU76" s="954"/>
      <c r="AFV76" s="954"/>
      <c r="AFW76" s="954"/>
      <c r="AFX76" s="954"/>
      <c r="AFY76" s="954"/>
      <c r="AFZ76" s="954"/>
      <c r="AGA76" s="954"/>
      <c r="AGB76" s="954"/>
      <c r="AGC76" s="954"/>
      <c r="AGD76" s="954"/>
      <c r="AGE76" s="954"/>
      <c r="AGF76" s="954"/>
      <c r="AGG76" s="954"/>
      <c r="AGH76" s="954"/>
      <c r="AGI76" s="954"/>
      <c r="AGJ76" s="954"/>
      <c r="AGK76" s="954"/>
      <c r="AGL76" s="954"/>
      <c r="AGM76" s="954"/>
      <c r="AGN76" s="954"/>
      <c r="AGO76" s="954"/>
      <c r="AGP76" s="954"/>
      <c r="AGQ76" s="954"/>
      <c r="AGR76" s="954"/>
      <c r="AGS76" s="954"/>
      <c r="AGT76" s="954"/>
      <c r="AGU76" s="954"/>
      <c r="AGV76" s="954"/>
      <c r="AGW76" s="954"/>
      <c r="AGX76" s="954"/>
      <c r="AGY76" s="954"/>
      <c r="AGZ76" s="954"/>
      <c r="AHA76" s="954"/>
      <c r="AHB76" s="954"/>
      <c r="AHC76" s="954"/>
      <c r="AHD76" s="954"/>
      <c r="AHE76" s="954"/>
      <c r="AHF76" s="954"/>
      <c r="AHG76" s="954"/>
      <c r="AHH76" s="954"/>
      <c r="AHI76" s="954"/>
      <c r="AHJ76" s="954"/>
      <c r="AHK76" s="954"/>
      <c r="AHL76" s="954"/>
      <c r="AHM76" s="954"/>
      <c r="AHN76" s="954"/>
      <c r="AHO76" s="954"/>
      <c r="AHP76" s="954"/>
      <c r="AHQ76" s="954"/>
      <c r="AHR76" s="954"/>
      <c r="AHS76" s="954"/>
      <c r="AHT76" s="954"/>
      <c r="AHU76" s="954"/>
      <c r="AHV76" s="954"/>
      <c r="AHW76" s="954"/>
      <c r="AHX76" s="954"/>
      <c r="AHY76" s="954"/>
      <c r="AHZ76" s="954"/>
      <c r="AIA76" s="954"/>
      <c r="AIB76" s="954"/>
      <c r="AIC76" s="954"/>
      <c r="AID76" s="954"/>
      <c r="AIE76" s="954"/>
      <c r="AIF76" s="954"/>
      <c r="AIG76" s="954"/>
      <c r="AIH76" s="954"/>
      <c r="AII76" s="954"/>
      <c r="AIJ76" s="954"/>
      <c r="AIK76" s="954"/>
      <c r="AIL76" s="954"/>
      <c r="AIM76" s="954"/>
      <c r="AIN76" s="954"/>
      <c r="AIO76" s="954"/>
      <c r="AIP76" s="954"/>
      <c r="AIQ76" s="954"/>
      <c r="AIR76" s="954"/>
      <c r="AIS76" s="954"/>
      <c r="AIT76" s="954"/>
      <c r="AIU76" s="954"/>
      <c r="AIV76" s="954"/>
      <c r="AIW76" s="954"/>
      <c r="AIX76" s="954"/>
      <c r="AIY76" s="954"/>
      <c r="AIZ76" s="954"/>
      <c r="AJA76" s="954"/>
      <c r="AJB76" s="954"/>
      <c r="AJC76" s="954"/>
      <c r="AJD76" s="954"/>
      <c r="AJE76" s="954"/>
      <c r="AJF76" s="954"/>
      <c r="AJG76" s="954"/>
      <c r="AJH76" s="954"/>
      <c r="AJI76" s="954"/>
      <c r="AJJ76" s="954"/>
      <c r="AJK76" s="954"/>
      <c r="AJL76" s="954"/>
      <c r="AJM76" s="954"/>
      <c r="AJN76" s="954"/>
      <c r="AJO76" s="954"/>
      <c r="AJP76" s="954"/>
      <c r="AJQ76" s="954"/>
      <c r="AJR76" s="954"/>
      <c r="AJS76" s="954"/>
      <c r="AJT76" s="954"/>
      <c r="AJU76" s="954"/>
      <c r="AJV76" s="954"/>
      <c r="AJW76" s="954"/>
      <c r="AJX76" s="954"/>
      <c r="AJY76" s="954"/>
      <c r="AJZ76" s="954"/>
      <c r="AKA76" s="954"/>
      <c r="AKB76" s="954"/>
      <c r="AKC76" s="954"/>
      <c r="AKD76" s="954"/>
      <c r="AKE76" s="954"/>
      <c r="AKF76" s="954"/>
      <c r="AKG76" s="954"/>
      <c r="AKH76" s="954"/>
      <c r="AKI76" s="954"/>
      <c r="AKJ76" s="954"/>
      <c r="AKK76" s="954"/>
      <c r="AKL76" s="954"/>
      <c r="AKM76" s="954"/>
      <c r="AKN76" s="954"/>
      <c r="AKO76" s="954"/>
      <c r="AKP76" s="954"/>
      <c r="AKQ76" s="954"/>
      <c r="AKR76" s="954"/>
      <c r="AKS76" s="954"/>
      <c r="AKT76" s="954"/>
      <c r="AKU76" s="954"/>
      <c r="AKV76" s="954"/>
      <c r="AKW76" s="954"/>
      <c r="AKX76" s="954"/>
      <c r="AKY76" s="954"/>
      <c r="AKZ76" s="954"/>
      <c r="ALA76" s="954"/>
      <c r="ALB76" s="954"/>
      <c r="ALC76" s="954"/>
      <c r="ALD76" s="954"/>
      <c r="ALE76" s="954"/>
      <c r="ALF76" s="954"/>
      <c r="ALG76" s="954"/>
      <c r="ALH76" s="954"/>
      <c r="ALI76" s="954"/>
      <c r="ALJ76" s="954"/>
      <c r="ALK76" s="954"/>
      <c r="ALL76" s="954"/>
      <c r="ALM76" s="954"/>
      <c r="ALN76" s="954"/>
      <c r="ALO76" s="954"/>
      <c r="ALP76" s="954"/>
      <c r="ALQ76" s="954"/>
      <c r="ALR76" s="954"/>
      <c r="ALS76" s="954"/>
      <c r="ALT76" s="954"/>
      <c r="ALU76" s="954"/>
      <c r="ALV76" s="954"/>
      <c r="ALW76" s="954"/>
      <c r="ALX76" s="954"/>
      <c r="ALY76" s="954"/>
      <c r="ALZ76" s="954"/>
      <c r="AMA76" s="954"/>
      <c r="AMB76" s="954"/>
      <c r="AMC76" s="954"/>
      <c r="AMD76" s="954"/>
      <c r="AME76" s="954"/>
      <c r="AMF76" s="954"/>
      <c r="AMG76" s="954"/>
      <c r="AMH76" s="954"/>
      <c r="AMI76" s="954"/>
      <c r="AMJ76" s="954"/>
      <c r="AMK76" s="954"/>
      <c r="AML76" s="954"/>
      <c r="AMM76" s="954"/>
      <c r="AMN76" s="954"/>
      <c r="AMO76" s="954"/>
      <c r="AMP76" s="954"/>
      <c r="AMQ76" s="954"/>
      <c r="AMR76" s="954"/>
      <c r="AMS76" s="954"/>
      <c r="AMT76" s="954"/>
      <c r="AMU76" s="954"/>
      <c r="AMV76" s="954"/>
      <c r="AMW76" s="954"/>
      <c r="AMX76" s="954"/>
      <c r="AMY76" s="954"/>
      <c r="AMZ76" s="954"/>
      <c r="ANA76" s="954"/>
      <c r="ANB76" s="954"/>
      <c r="ANC76" s="954"/>
      <c r="AND76" s="954"/>
      <c r="ANE76" s="954"/>
      <c r="ANF76" s="954"/>
      <c r="ANG76" s="954"/>
      <c r="ANH76" s="954"/>
      <c r="ANI76" s="954"/>
      <c r="ANJ76" s="954"/>
      <c r="ANK76" s="954"/>
      <c r="ANL76" s="954"/>
      <c r="ANM76" s="954"/>
      <c r="ANN76" s="954"/>
      <c r="ANO76" s="954"/>
      <c r="ANP76" s="954"/>
      <c r="ANQ76" s="954"/>
      <c r="ANR76" s="954"/>
      <c r="ANS76" s="954"/>
      <c r="ANT76" s="954"/>
      <c r="ANU76" s="954"/>
      <c r="ANV76" s="954"/>
      <c r="ANW76" s="954"/>
      <c r="ANX76" s="954"/>
      <c r="ANY76" s="954"/>
      <c r="ANZ76" s="954"/>
      <c r="AOA76" s="954"/>
      <c r="AOB76" s="954"/>
      <c r="AOC76" s="954"/>
      <c r="AOD76" s="954"/>
      <c r="AOE76" s="954"/>
      <c r="AOF76" s="954"/>
      <c r="AOG76" s="954"/>
      <c r="AOH76" s="954"/>
      <c r="AOI76" s="954"/>
      <c r="AOJ76" s="954"/>
      <c r="AOK76" s="954"/>
      <c r="AOL76" s="954"/>
      <c r="AOM76" s="954"/>
      <c r="AON76" s="954"/>
      <c r="AOO76" s="954"/>
      <c r="AOP76" s="954"/>
      <c r="AOQ76" s="954"/>
      <c r="AOR76" s="954"/>
      <c r="AOS76" s="954"/>
      <c r="AOT76" s="954"/>
      <c r="AOU76" s="954"/>
      <c r="AOV76" s="954"/>
      <c r="AOW76" s="954"/>
      <c r="AOX76" s="954"/>
      <c r="AOY76" s="954"/>
      <c r="AOZ76" s="954"/>
      <c r="APA76" s="954"/>
      <c r="APB76" s="954"/>
      <c r="APC76" s="954"/>
      <c r="APD76" s="954"/>
      <c r="APE76" s="954"/>
      <c r="APF76" s="954"/>
      <c r="APG76" s="954"/>
      <c r="APH76" s="954"/>
      <c r="API76" s="954"/>
      <c r="APJ76" s="954"/>
      <c r="APK76" s="954"/>
      <c r="APL76" s="954"/>
      <c r="APM76" s="954"/>
      <c r="APN76" s="954"/>
      <c r="APO76" s="954"/>
      <c r="APP76" s="954"/>
      <c r="APQ76" s="954"/>
      <c r="APR76" s="954"/>
      <c r="APS76" s="954"/>
      <c r="APT76" s="954"/>
      <c r="APU76" s="954"/>
      <c r="APV76" s="954"/>
      <c r="APW76" s="954"/>
      <c r="APX76" s="954"/>
      <c r="APY76" s="954"/>
      <c r="APZ76" s="954"/>
      <c r="AQA76" s="954"/>
      <c r="AQB76" s="954"/>
      <c r="AQC76" s="954"/>
      <c r="AQD76" s="954"/>
      <c r="AQE76" s="954"/>
      <c r="AQF76" s="954"/>
      <c r="AQG76" s="954"/>
      <c r="AQH76" s="954"/>
      <c r="AQI76" s="954"/>
      <c r="AQJ76" s="954"/>
      <c r="AQK76" s="954"/>
      <c r="AQL76" s="954"/>
      <c r="AQM76" s="954"/>
      <c r="AQN76" s="954"/>
      <c r="AQO76" s="954"/>
      <c r="AQP76" s="954"/>
      <c r="AQQ76" s="954"/>
      <c r="AQR76" s="954"/>
      <c r="AQS76" s="954"/>
      <c r="AQT76" s="954"/>
      <c r="AQU76" s="954"/>
      <c r="AQV76" s="954"/>
      <c r="AQW76" s="954"/>
      <c r="AQX76" s="954"/>
      <c r="AQY76" s="954"/>
      <c r="AQZ76" s="954"/>
      <c r="ARA76" s="954"/>
      <c r="ARB76" s="954"/>
      <c r="ARC76" s="954"/>
      <c r="ARD76" s="954"/>
      <c r="ARE76" s="954"/>
      <c r="ARF76" s="954"/>
      <c r="ARG76" s="954"/>
      <c r="ARH76" s="954"/>
      <c r="ARI76" s="954"/>
      <c r="ARJ76" s="954"/>
      <c r="ARK76" s="954"/>
      <c r="ARL76" s="954"/>
      <c r="ARM76" s="954"/>
      <c r="ARN76" s="954"/>
      <c r="ARO76" s="954"/>
      <c r="ARP76" s="954"/>
      <c r="ARQ76" s="954"/>
      <c r="ARR76" s="954"/>
      <c r="ARS76" s="954"/>
      <c r="ART76" s="954"/>
      <c r="ARU76" s="954"/>
      <c r="ARV76" s="954"/>
      <c r="ARW76" s="954"/>
      <c r="ARX76" s="954"/>
      <c r="ARY76" s="954"/>
      <c r="ARZ76" s="954"/>
      <c r="ASA76" s="954"/>
      <c r="ASB76" s="954"/>
      <c r="ASC76" s="954"/>
      <c r="ASD76" s="954"/>
      <c r="ASE76" s="954"/>
      <c r="ASF76" s="954"/>
      <c r="ASG76" s="954"/>
      <c r="ASH76" s="954"/>
      <c r="ASI76" s="954"/>
      <c r="ASJ76" s="954"/>
      <c r="ASK76" s="954"/>
      <c r="ASL76" s="954"/>
      <c r="ASM76" s="954"/>
      <c r="ASN76" s="954"/>
      <c r="ASO76" s="954"/>
      <c r="ASP76" s="954"/>
      <c r="ASQ76" s="954"/>
      <c r="ASR76" s="954"/>
      <c r="ASS76" s="954"/>
      <c r="AST76" s="954"/>
      <c r="ASU76" s="954"/>
      <c r="ASV76" s="954"/>
      <c r="ASW76" s="954"/>
      <c r="ASX76" s="954"/>
      <c r="ASY76" s="954"/>
      <c r="ASZ76" s="954"/>
      <c r="ATA76" s="954"/>
      <c r="ATB76" s="954"/>
      <c r="ATC76" s="954"/>
      <c r="ATD76" s="954"/>
      <c r="ATE76" s="954"/>
      <c r="ATF76" s="954"/>
      <c r="ATG76" s="954"/>
      <c r="ATH76" s="954"/>
      <c r="ATI76" s="954"/>
      <c r="ATJ76" s="954"/>
      <c r="ATK76" s="954"/>
      <c r="ATL76" s="954"/>
      <c r="ATM76" s="954"/>
      <c r="ATN76" s="954"/>
      <c r="ATO76" s="954"/>
      <c r="ATP76" s="954"/>
      <c r="ATQ76" s="954"/>
      <c r="ATR76" s="954"/>
      <c r="ATS76" s="954"/>
      <c r="ATT76" s="954"/>
      <c r="ATU76" s="954"/>
      <c r="ATV76" s="954"/>
      <c r="ATW76" s="954"/>
      <c r="ATX76" s="954"/>
      <c r="ATY76" s="954"/>
      <c r="ATZ76" s="954"/>
      <c r="AUA76" s="954"/>
      <c r="AUB76" s="954"/>
      <c r="AUC76" s="954"/>
      <c r="AUD76" s="954"/>
      <c r="AUE76" s="954"/>
      <c r="AUF76" s="954"/>
      <c r="AUG76" s="954"/>
      <c r="AUH76" s="954"/>
      <c r="AUI76" s="954"/>
      <c r="AUJ76" s="954"/>
      <c r="AUK76" s="954"/>
      <c r="AUL76" s="954"/>
      <c r="AUM76" s="954"/>
      <c r="AUN76" s="954"/>
      <c r="AUO76" s="954"/>
      <c r="AUP76" s="954"/>
      <c r="AUQ76" s="954"/>
      <c r="AUR76" s="954"/>
      <c r="AUS76" s="954"/>
      <c r="AUT76" s="954"/>
      <c r="AUU76" s="954"/>
      <c r="AUV76" s="954"/>
      <c r="AUW76" s="954"/>
      <c r="AUX76" s="954"/>
      <c r="AUY76" s="954"/>
      <c r="AUZ76" s="954"/>
      <c r="AVA76" s="954"/>
      <c r="AVB76" s="954"/>
      <c r="AVC76" s="954"/>
      <c r="AVD76" s="954"/>
      <c r="AVE76" s="954"/>
      <c r="AVF76" s="954"/>
      <c r="AVG76" s="954"/>
      <c r="AVH76" s="954"/>
      <c r="AVI76" s="954"/>
      <c r="AVJ76" s="954"/>
      <c r="AVK76" s="954"/>
      <c r="AVL76" s="954"/>
      <c r="AVM76" s="954"/>
      <c r="AVN76" s="954"/>
      <c r="AVO76" s="954"/>
      <c r="AVP76" s="954"/>
      <c r="AVQ76" s="954"/>
      <c r="AVR76" s="954"/>
      <c r="AVS76" s="954"/>
      <c r="AVT76" s="954"/>
      <c r="AVU76" s="954"/>
      <c r="AVV76" s="954"/>
      <c r="AVW76" s="954"/>
      <c r="AVX76" s="954"/>
      <c r="AVY76" s="954"/>
      <c r="AVZ76" s="954"/>
      <c r="AWA76" s="954"/>
      <c r="AWB76" s="954"/>
      <c r="AWC76" s="954"/>
      <c r="AWD76" s="954"/>
      <c r="AWE76" s="954"/>
      <c r="AWF76" s="954"/>
      <c r="AWG76" s="954"/>
      <c r="AWH76" s="954"/>
      <c r="AWI76" s="954"/>
      <c r="AWJ76" s="954"/>
      <c r="AWK76" s="954"/>
      <c r="AWL76" s="954"/>
      <c r="AWM76" s="954"/>
      <c r="AWN76" s="954"/>
      <c r="AWO76" s="954"/>
      <c r="AWP76" s="954"/>
      <c r="AWQ76" s="954"/>
      <c r="AWR76" s="954"/>
      <c r="AWS76" s="954"/>
      <c r="AWT76" s="954"/>
      <c r="AWU76" s="954"/>
      <c r="AWV76" s="954"/>
      <c r="AWW76" s="954"/>
      <c r="AWX76" s="954"/>
      <c r="AWY76" s="954"/>
      <c r="AWZ76" s="954"/>
      <c r="AXA76" s="954"/>
      <c r="AXB76" s="954"/>
      <c r="AXC76" s="954"/>
      <c r="AXD76" s="954"/>
      <c r="AXE76" s="954"/>
      <c r="AXF76" s="954"/>
      <c r="AXG76" s="954"/>
      <c r="AXH76" s="954"/>
      <c r="AXI76" s="954"/>
      <c r="AXJ76" s="954"/>
      <c r="AXK76" s="954"/>
      <c r="AXL76" s="954"/>
      <c r="AXM76" s="954"/>
      <c r="AXN76" s="954"/>
      <c r="AXO76" s="954"/>
      <c r="AXP76" s="954"/>
      <c r="AXQ76" s="954"/>
      <c r="AXR76" s="954"/>
      <c r="AXS76" s="954"/>
      <c r="AXT76" s="954"/>
      <c r="AXU76" s="954"/>
      <c r="AXV76" s="954"/>
      <c r="AXW76" s="954"/>
      <c r="AXX76" s="954"/>
      <c r="AXY76" s="954"/>
      <c r="AXZ76" s="954"/>
      <c r="AYA76" s="954"/>
      <c r="AYB76" s="954"/>
      <c r="AYC76" s="954"/>
      <c r="AYD76" s="954"/>
      <c r="AYE76" s="954"/>
      <c r="AYF76" s="954"/>
      <c r="AYG76" s="954"/>
      <c r="AYH76" s="954"/>
      <c r="AYI76" s="954"/>
      <c r="AYJ76" s="954"/>
      <c r="AYK76" s="954"/>
      <c r="AYL76" s="954"/>
      <c r="AYM76" s="954"/>
      <c r="AYN76" s="954"/>
      <c r="AYO76" s="954"/>
      <c r="AYP76" s="954"/>
      <c r="AYQ76" s="954"/>
      <c r="AYR76" s="954"/>
      <c r="AYS76" s="954"/>
      <c r="AYT76" s="954"/>
      <c r="AYU76" s="954"/>
      <c r="AYV76" s="954"/>
      <c r="AYW76" s="954"/>
      <c r="AYX76" s="954"/>
      <c r="AYY76" s="954"/>
      <c r="AYZ76" s="954"/>
      <c r="AZA76" s="954"/>
      <c r="AZB76" s="954"/>
      <c r="AZC76" s="954"/>
      <c r="AZD76" s="954"/>
      <c r="AZE76" s="954"/>
      <c r="AZF76" s="954"/>
      <c r="AZG76" s="954"/>
      <c r="AZH76" s="954"/>
      <c r="AZI76" s="954"/>
      <c r="AZJ76" s="954"/>
      <c r="AZK76" s="954"/>
      <c r="AZL76" s="954"/>
      <c r="AZM76" s="954"/>
      <c r="AZN76" s="954"/>
      <c r="AZO76" s="954"/>
      <c r="AZP76" s="954"/>
      <c r="AZQ76" s="954"/>
      <c r="AZR76" s="954"/>
      <c r="AZS76" s="954"/>
      <c r="AZT76" s="954"/>
      <c r="AZU76" s="954"/>
      <c r="AZV76" s="954"/>
      <c r="AZW76" s="954"/>
      <c r="AZX76" s="954"/>
      <c r="AZY76" s="954"/>
      <c r="AZZ76" s="954"/>
      <c r="BAA76" s="954"/>
      <c r="BAB76" s="954"/>
      <c r="BAC76" s="954"/>
      <c r="BAD76" s="954"/>
      <c r="BAE76" s="954"/>
      <c r="BAF76" s="954"/>
      <c r="BAG76" s="954"/>
      <c r="BAH76" s="954"/>
      <c r="BAI76" s="954"/>
      <c r="BAJ76" s="954"/>
      <c r="BAK76" s="954"/>
      <c r="BAL76" s="954"/>
      <c r="BAM76" s="954"/>
      <c r="BAN76" s="954"/>
      <c r="BAO76" s="954"/>
      <c r="BAP76" s="954"/>
      <c r="BAQ76" s="954"/>
      <c r="BAR76" s="954"/>
      <c r="BAS76" s="954"/>
      <c r="BAT76" s="954"/>
      <c r="BAU76" s="954"/>
      <c r="BAV76" s="954"/>
      <c r="BAW76" s="954"/>
      <c r="BAX76" s="954"/>
      <c r="BAY76" s="954"/>
      <c r="BAZ76" s="954"/>
      <c r="BBA76" s="954"/>
      <c r="BBB76" s="954"/>
      <c r="BBC76" s="954"/>
      <c r="BBD76" s="954"/>
      <c r="BBE76" s="954"/>
      <c r="BBF76" s="954"/>
      <c r="BBG76" s="954"/>
      <c r="BBH76" s="954"/>
      <c r="BBI76" s="954"/>
      <c r="BBJ76" s="954"/>
      <c r="BBK76" s="954"/>
      <c r="BBL76" s="954"/>
      <c r="BBM76" s="954"/>
      <c r="BBN76" s="954"/>
      <c r="BBO76" s="954"/>
      <c r="BBP76" s="954"/>
      <c r="BBQ76" s="954"/>
      <c r="BBR76" s="954"/>
      <c r="BBS76" s="954"/>
      <c r="BBT76" s="954"/>
      <c r="BBU76" s="954"/>
      <c r="BBV76" s="954"/>
      <c r="BBW76" s="954"/>
      <c r="BBX76" s="954"/>
      <c r="BBY76" s="954"/>
      <c r="BBZ76" s="954"/>
      <c r="BCA76" s="954"/>
      <c r="BCB76" s="954"/>
      <c r="BCC76" s="954"/>
      <c r="BCD76" s="954"/>
      <c r="BCE76" s="954"/>
      <c r="BCF76" s="954"/>
      <c r="BCG76" s="954"/>
      <c r="BCH76" s="954"/>
      <c r="BCI76" s="954"/>
      <c r="BCJ76" s="954"/>
      <c r="BCK76" s="954"/>
      <c r="BCL76" s="954"/>
      <c r="BCM76" s="954"/>
      <c r="BCN76" s="954"/>
      <c r="BCO76" s="954"/>
      <c r="BCP76" s="954"/>
      <c r="BCQ76" s="954"/>
      <c r="BCR76" s="954"/>
      <c r="BCS76" s="954"/>
      <c r="BCT76" s="954"/>
      <c r="BCU76" s="954"/>
      <c r="BCV76" s="954"/>
      <c r="BCW76" s="954"/>
      <c r="BCX76" s="954"/>
      <c r="BCY76" s="954"/>
      <c r="BCZ76" s="954"/>
      <c r="BDA76" s="954"/>
      <c r="BDB76" s="954"/>
      <c r="BDC76" s="954"/>
      <c r="BDD76" s="954"/>
      <c r="BDE76" s="954"/>
      <c r="BDF76" s="954"/>
      <c r="BDG76" s="954"/>
      <c r="BDH76" s="954"/>
      <c r="BDI76" s="954"/>
      <c r="BDJ76" s="954"/>
      <c r="BDK76" s="954"/>
      <c r="BDL76" s="954"/>
      <c r="BDM76" s="954"/>
      <c r="BDN76" s="954"/>
      <c r="BDO76" s="954"/>
      <c r="BDP76" s="954"/>
      <c r="BDQ76" s="954"/>
      <c r="BDR76" s="954"/>
      <c r="BDS76" s="954"/>
      <c r="BDT76" s="954"/>
      <c r="BDU76" s="954"/>
      <c r="BDV76" s="954"/>
      <c r="BDW76" s="954"/>
      <c r="BDX76" s="954"/>
      <c r="BDY76" s="954"/>
      <c r="BDZ76" s="954"/>
      <c r="BEA76" s="954"/>
      <c r="BEB76" s="954"/>
      <c r="BEC76" s="954"/>
      <c r="BED76" s="954"/>
      <c r="BEE76" s="954"/>
      <c r="BEF76" s="954"/>
      <c r="BEG76" s="954"/>
      <c r="BEH76" s="954"/>
      <c r="BEI76" s="954"/>
      <c r="BEJ76" s="954"/>
      <c r="BEK76" s="954"/>
      <c r="BEL76" s="954"/>
      <c r="BEM76" s="954"/>
      <c r="BEN76" s="954"/>
      <c r="BEO76" s="954"/>
      <c r="BEP76" s="954"/>
      <c r="BEQ76" s="954"/>
      <c r="BER76" s="954"/>
      <c r="BES76" s="954"/>
      <c r="BET76" s="954"/>
      <c r="BEU76" s="954"/>
      <c r="BEV76" s="954"/>
      <c r="BEW76" s="954"/>
      <c r="BEX76" s="954"/>
      <c r="BEY76" s="954"/>
      <c r="BEZ76" s="954"/>
      <c r="BFA76" s="954"/>
      <c r="BFB76" s="954"/>
      <c r="BFC76" s="954"/>
      <c r="BFD76" s="954"/>
      <c r="BFE76" s="954"/>
      <c r="BFF76" s="954"/>
      <c r="BFG76" s="954"/>
      <c r="BFH76" s="954"/>
      <c r="BFI76" s="954"/>
      <c r="BFJ76" s="954"/>
      <c r="BFK76" s="954"/>
      <c r="BFL76" s="954"/>
      <c r="BFM76" s="954"/>
      <c r="BFN76" s="954"/>
      <c r="BFO76" s="954"/>
      <c r="BFP76" s="954"/>
      <c r="BFQ76" s="954"/>
      <c r="BFR76" s="954"/>
      <c r="BFS76" s="954"/>
      <c r="BFT76" s="954"/>
      <c r="BFU76" s="954"/>
      <c r="BFV76" s="954"/>
      <c r="BFW76" s="954"/>
      <c r="BFX76" s="954"/>
      <c r="BFY76" s="954"/>
      <c r="BFZ76" s="954"/>
      <c r="BGA76" s="954"/>
      <c r="BGB76" s="954"/>
      <c r="BGC76" s="954"/>
      <c r="BGD76" s="954"/>
      <c r="BGE76" s="954"/>
      <c r="BGF76" s="954"/>
      <c r="BGG76" s="954"/>
      <c r="BGH76" s="954"/>
      <c r="BGI76" s="954"/>
      <c r="BGJ76" s="954"/>
      <c r="BGK76" s="954"/>
      <c r="BGL76" s="954"/>
      <c r="BGM76" s="954"/>
      <c r="BGN76" s="954"/>
      <c r="BGO76" s="954"/>
      <c r="BGP76" s="954"/>
      <c r="BGQ76" s="954"/>
      <c r="BGR76" s="954"/>
      <c r="BGS76" s="954"/>
      <c r="BGT76" s="954"/>
      <c r="BGU76" s="954"/>
      <c r="BGV76" s="954"/>
      <c r="BGW76" s="954"/>
      <c r="BGX76" s="954"/>
      <c r="BGY76" s="954"/>
      <c r="BGZ76" s="954"/>
      <c r="BHA76" s="954"/>
      <c r="BHB76" s="954"/>
      <c r="BHC76" s="954"/>
      <c r="BHD76" s="954"/>
      <c r="BHE76" s="954"/>
      <c r="BHF76" s="954"/>
      <c r="BHG76" s="954"/>
      <c r="BHH76" s="954"/>
      <c r="BHI76" s="954"/>
      <c r="BHJ76" s="954"/>
      <c r="BHK76" s="954"/>
      <c r="BHL76" s="954"/>
      <c r="BHM76" s="954"/>
      <c r="BHN76" s="954"/>
      <c r="BHO76" s="954"/>
      <c r="BHP76" s="954"/>
      <c r="BHQ76" s="954"/>
      <c r="BHR76" s="954"/>
      <c r="BHS76" s="954"/>
      <c r="BHT76" s="954"/>
      <c r="BHU76" s="954"/>
      <c r="BHV76" s="954"/>
      <c r="BHW76" s="954"/>
      <c r="BHX76" s="954"/>
      <c r="BHY76" s="954"/>
      <c r="BHZ76" s="954"/>
      <c r="BIA76" s="954"/>
      <c r="BIB76" s="954"/>
      <c r="BIC76" s="954"/>
      <c r="BID76" s="954"/>
      <c r="BIE76" s="954"/>
      <c r="BIF76" s="954"/>
      <c r="BIG76" s="954"/>
      <c r="BIH76" s="954"/>
      <c r="BII76" s="954"/>
      <c r="BIJ76" s="954"/>
      <c r="BIK76" s="954"/>
      <c r="BIL76" s="954"/>
      <c r="BIM76" s="954"/>
      <c r="BIN76" s="954"/>
      <c r="BIO76" s="954"/>
      <c r="BIP76" s="954"/>
      <c r="BIQ76" s="954"/>
      <c r="BIR76" s="954"/>
      <c r="BIS76" s="954"/>
      <c r="BIT76" s="954"/>
      <c r="BIU76" s="954"/>
      <c r="BIV76" s="954"/>
      <c r="BIW76" s="954"/>
      <c r="BIX76" s="954"/>
      <c r="BIY76" s="954"/>
      <c r="BIZ76" s="954"/>
      <c r="BJA76" s="954"/>
      <c r="BJB76" s="954"/>
      <c r="BJC76" s="954"/>
      <c r="BJD76" s="954"/>
      <c r="BJE76" s="954"/>
      <c r="BJF76" s="954"/>
      <c r="BJG76" s="954"/>
      <c r="BJH76" s="954"/>
      <c r="BJI76" s="954"/>
      <c r="BJJ76" s="954"/>
      <c r="BJK76" s="954"/>
      <c r="BJL76" s="954"/>
      <c r="BJM76" s="954"/>
      <c r="BJN76" s="954"/>
      <c r="BJO76" s="954"/>
      <c r="BJP76" s="954"/>
      <c r="BJQ76" s="954"/>
      <c r="BJR76" s="954"/>
      <c r="BJS76" s="954"/>
      <c r="BJT76" s="954"/>
      <c r="BJU76" s="954"/>
      <c r="BJV76" s="954"/>
      <c r="BJW76" s="954"/>
      <c r="BJX76" s="954"/>
      <c r="BJY76" s="954"/>
      <c r="BJZ76" s="954"/>
      <c r="BKA76" s="954"/>
      <c r="BKB76" s="954"/>
      <c r="BKC76" s="954"/>
      <c r="BKD76" s="954"/>
      <c r="BKE76" s="954"/>
      <c r="BKF76" s="954"/>
      <c r="BKG76" s="954"/>
      <c r="BKH76" s="954"/>
      <c r="BKI76" s="954"/>
      <c r="BKJ76" s="954"/>
      <c r="BKK76" s="954"/>
      <c r="BKL76" s="954"/>
      <c r="BKM76" s="954"/>
      <c r="BKN76" s="954"/>
      <c r="BKO76" s="954"/>
      <c r="BKP76" s="954"/>
      <c r="BKQ76" s="954"/>
      <c r="BKR76" s="954"/>
      <c r="BKS76" s="954"/>
      <c r="BKT76" s="954"/>
      <c r="BKU76" s="954"/>
      <c r="BKV76" s="954"/>
      <c r="BKW76" s="954"/>
      <c r="BKX76" s="954"/>
      <c r="BKY76" s="954"/>
      <c r="BKZ76" s="954"/>
      <c r="BLA76" s="954"/>
      <c r="BLB76" s="954"/>
      <c r="BLC76" s="954"/>
      <c r="BLD76" s="954"/>
      <c r="BLE76" s="954"/>
      <c r="BLF76" s="954"/>
      <c r="BLG76" s="954"/>
      <c r="BLH76" s="954"/>
      <c r="BLI76" s="954"/>
      <c r="BLJ76" s="954"/>
      <c r="BLK76" s="954"/>
      <c r="BLL76" s="954"/>
      <c r="BLM76" s="954"/>
      <c r="BLN76" s="954"/>
      <c r="BLO76" s="954"/>
      <c r="BLP76" s="954"/>
      <c r="BLQ76" s="954"/>
      <c r="BLR76" s="954"/>
      <c r="BLS76" s="954"/>
      <c r="BLT76" s="954"/>
      <c r="BLU76" s="954"/>
      <c r="BLV76" s="954"/>
      <c r="BLW76" s="954"/>
      <c r="BLX76" s="954"/>
      <c r="BLY76" s="954"/>
      <c r="BLZ76" s="954"/>
      <c r="BMA76" s="954"/>
      <c r="BMB76" s="954"/>
      <c r="BMC76" s="954"/>
      <c r="BMD76" s="954"/>
      <c r="BME76" s="954"/>
      <c r="BMF76" s="954"/>
      <c r="BMG76" s="954"/>
      <c r="BMH76" s="954"/>
      <c r="BMI76" s="954"/>
      <c r="BMJ76" s="954"/>
      <c r="BMK76" s="954"/>
      <c r="BML76" s="954"/>
      <c r="BMM76" s="954"/>
      <c r="BMN76" s="954"/>
      <c r="BMO76" s="954"/>
      <c r="BMP76" s="954"/>
      <c r="BMQ76" s="954"/>
      <c r="BMR76" s="954"/>
      <c r="BMS76" s="954"/>
      <c r="BMT76" s="954"/>
      <c r="BMU76" s="954"/>
      <c r="BMV76" s="954"/>
      <c r="BMW76" s="954"/>
      <c r="BMX76" s="954"/>
      <c r="BMY76" s="954"/>
      <c r="BMZ76" s="954"/>
      <c r="BNA76" s="954"/>
      <c r="BNB76" s="954"/>
      <c r="BNC76" s="954"/>
      <c r="BND76" s="954"/>
      <c r="BNE76" s="954"/>
      <c r="BNF76" s="954"/>
      <c r="BNG76" s="954"/>
      <c r="BNH76" s="954"/>
      <c r="BNI76" s="954"/>
      <c r="BNJ76" s="954"/>
      <c r="BNK76" s="954"/>
      <c r="BNL76" s="954"/>
      <c r="BNM76" s="954"/>
      <c r="BNN76" s="954"/>
      <c r="BNO76" s="954"/>
      <c r="BNP76" s="954"/>
      <c r="BNQ76" s="954"/>
      <c r="BNR76" s="954"/>
      <c r="BNS76" s="954"/>
      <c r="BNT76" s="954"/>
      <c r="BNU76" s="954"/>
      <c r="BNV76" s="954"/>
      <c r="BNW76" s="954"/>
      <c r="BNX76" s="954"/>
      <c r="BNY76" s="954"/>
      <c r="BNZ76" s="954"/>
      <c r="BOA76" s="954"/>
      <c r="BOB76" s="954"/>
      <c r="BOC76" s="954"/>
      <c r="BOD76" s="954"/>
      <c r="BOE76" s="954"/>
      <c r="BOF76" s="954"/>
      <c r="BOG76" s="954"/>
      <c r="BOH76" s="954"/>
      <c r="BOI76" s="954"/>
      <c r="BOJ76" s="954"/>
      <c r="BOK76" s="954"/>
      <c r="BOL76" s="954"/>
      <c r="BOM76" s="954"/>
      <c r="BON76" s="954"/>
      <c r="BOO76" s="954"/>
      <c r="BOP76" s="954"/>
      <c r="BOQ76" s="954"/>
      <c r="BOR76" s="954"/>
      <c r="BOS76" s="954"/>
      <c r="BOT76" s="954"/>
      <c r="BOU76" s="954"/>
      <c r="BOV76" s="954"/>
      <c r="BOW76" s="954"/>
      <c r="BOX76" s="954"/>
      <c r="BOY76" s="954"/>
      <c r="BOZ76" s="954"/>
      <c r="BPA76" s="954"/>
      <c r="BPB76" s="954"/>
      <c r="BPC76" s="954"/>
      <c r="BPD76" s="954"/>
      <c r="BPE76" s="954"/>
      <c r="BPF76" s="954"/>
      <c r="BPG76" s="954"/>
      <c r="BPH76" s="954"/>
      <c r="BPI76" s="954"/>
      <c r="BPJ76" s="954"/>
      <c r="BPK76" s="954"/>
      <c r="BPL76" s="954"/>
      <c r="BPM76" s="954"/>
      <c r="BPN76" s="954"/>
      <c r="BPO76" s="954"/>
      <c r="BPP76" s="954"/>
      <c r="BPQ76" s="954"/>
      <c r="BPR76" s="954"/>
      <c r="BPS76" s="954"/>
      <c r="BPT76" s="954"/>
      <c r="BPU76" s="954"/>
      <c r="BPV76" s="954"/>
      <c r="BPW76" s="954"/>
      <c r="BPX76" s="954"/>
      <c r="BPY76" s="954"/>
      <c r="BPZ76" s="954"/>
      <c r="BQA76" s="954"/>
      <c r="BQB76" s="954"/>
      <c r="BQC76" s="954"/>
      <c r="BQD76" s="954"/>
      <c r="BQE76" s="954"/>
      <c r="BQF76" s="954"/>
      <c r="BQG76" s="954"/>
      <c r="BQH76" s="954"/>
      <c r="BQI76" s="954"/>
      <c r="BQJ76" s="954"/>
      <c r="BQK76" s="954"/>
      <c r="BQL76" s="954"/>
      <c r="BQM76" s="954"/>
      <c r="BQN76" s="954"/>
      <c r="BQO76" s="954"/>
      <c r="BQP76" s="954"/>
      <c r="BQQ76" s="954"/>
      <c r="BQR76" s="954"/>
      <c r="BQS76" s="954"/>
      <c r="BQT76" s="954"/>
      <c r="BQU76" s="954"/>
      <c r="BQV76" s="954"/>
      <c r="BQW76" s="954"/>
      <c r="BQX76" s="954"/>
      <c r="BQY76" s="954"/>
      <c r="BQZ76" s="954"/>
      <c r="BRA76" s="954"/>
      <c r="BRB76" s="954"/>
      <c r="BRC76" s="954"/>
      <c r="BRD76" s="954"/>
      <c r="BRE76" s="954"/>
      <c r="BRF76" s="954"/>
      <c r="BRG76" s="954"/>
      <c r="BRH76" s="954"/>
      <c r="BRI76" s="954"/>
      <c r="BRJ76" s="954"/>
      <c r="BRK76" s="954"/>
      <c r="BRL76" s="954"/>
      <c r="BRM76" s="954"/>
      <c r="BRN76" s="954"/>
      <c r="BRO76" s="954"/>
      <c r="BRP76" s="954"/>
      <c r="BRQ76" s="954"/>
      <c r="BRR76" s="954"/>
      <c r="BRS76" s="954"/>
      <c r="BRT76" s="954"/>
      <c r="BRU76" s="954"/>
      <c r="BRV76" s="954"/>
      <c r="BRW76" s="954"/>
      <c r="BRX76" s="954"/>
      <c r="BRY76" s="954"/>
      <c r="BRZ76" s="954"/>
      <c r="BSA76" s="954"/>
      <c r="BSB76" s="954"/>
      <c r="BSC76" s="954"/>
      <c r="BSD76" s="954"/>
      <c r="BSE76" s="954"/>
      <c r="BSF76" s="954"/>
      <c r="BSG76" s="954"/>
      <c r="BSH76" s="954"/>
      <c r="BSI76" s="954"/>
      <c r="BSJ76" s="954"/>
      <c r="BSK76" s="954"/>
      <c r="BSL76" s="954"/>
      <c r="BSM76" s="954"/>
      <c r="BSN76" s="954"/>
      <c r="BSO76" s="954"/>
      <c r="BSP76" s="954"/>
      <c r="BSQ76" s="954"/>
      <c r="BSR76" s="954"/>
      <c r="BSS76" s="954"/>
      <c r="BST76" s="954"/>
      <c r="BSU76" s="954"/>
      <c r="BSV76" s="954"/>
      <c r="BSW76" s="954"/>
      <c r="BSX76" s="954"/>
      <c r="BSY76" s="954"/>
      <c r="BSZ76" s="954"/>
      <c r="BTA76" s="954"/>
      <c r="BTB76" s="954"/>
      <c r="BTC76" s="954"/>
      <c r="BTD76" s="954"/>
      <c r="BTE76" s="954"/>
      <c r="BTF76" s="954"/>
      <c r="BTG76" s="954"/>
      <c r="BTH76" s="954"/>
      <c r="BTI76" s="954"/>
      <c r="BTJ76" s="954"/>
      <c r="BTK76" s="954"/>
      <c r="BTL76" s="954"/>
      <c r="BTM76" s="954"/>
      <c r="BTN76" s="954"/>
      <c r="BTO76" s="954"/>
      <c r="BTP76" s="954"/>
      <c r="BTQ76" s="954"/>
      <c r="BTR76" s="954"/>
      <c r="BTS76" s="954"/>
      <c r="BTT76" s="954"/>
      <c r="BTU76" s="954"/>
      <c r="BTV76" s="954"/>
      <c r="BTW76" s="954"/>
      <c r="BTX76" s="954"/>
      <c r="BTY76" s="954"/>
      <c r="BTZ76" s="954"/>
      <c r="BUA76" s="954"/>
      <c r="BUB76" s="954"/>
      <c r="BUC76" s="954"/>
      <c r="BUD76" s="954"/>
      <c r="BUE76" s="954"/>
      <c r="BUF76" s="954"/>
      <c r="BUG76" s="954"/>
      <c r="BUH76" s="954"/>
      <c r="BUI76" s="954"/>
      <c r="BUJ76" s="954"/>
      <c r="BUK76" s="954"/>
      <c r="BUL76" s="954"/>
      <c r="BUM76" s="954"/>
      <c r="BUN76" s="954"/>
      <c r="BUO76" s="954"/>
      <c r="BUP76" s="954"/>
      <c r="BUQ76" s="954"/>
      <c r="BUR76" s="954"/>
      <c r="BUS76" s="954"/>
      <c r="BUT76" s="954"/>
      <c r="BUU76" s="954"/>
      <c r="BUV76" s="954"/>
      <c r="BUW76" s="954"/>
      <c r="BUX76" s="954"/>
      <c r="BUY76" s="954"/>
      <c r="BUZ76" s="954"/>
      <c r="BVA76" s="954"/>
      <c r="BVB76" s="954"/>
      <c r="BVC76" s="954"/>
      <c r="BVD76" s="954"/>
      <c r="BVE76" s="954"/>
      <c r="BVF76" s="954"/>
      <c r="BVG76" s="954"/>
      <c r="BVH76" s="954"/>
      <c r="BVI76" s="954"/>
      <c r="BVJ76" s="954"/>
      <c r="BVK76" s="954"/>
      <c r="BVL76" s="954"/>
      <c r="BVM76" s="954"/>
      <c r="BVN76" s="954"/>
      <c r="BVO76" s="954"/>
      <c r="BVP76" s="954"/>
      <c r="BVQ76" s="954"/>
      <c r="BVR76" s="954"/>
      <c r="BVS76" s="954"/>
      <c r="BVT76" s="954"/>
      <c r="BVU76" s="954"/>
      <c r="BVV76" s="954"/>
      <c r="BVW76" s="954"/>
      <c r="BVX76" s="954"/>
      <c r="BVY76" s="954"/>
      <c r="BVZ76" s="954"/>
      <c r="BWA76" s="954"/>
      <c r="BWB76" s="954"/>
      <c r="BWC76" s="954"/>
      <c r="BWD76" s="954"/>
      <c r="BWE76" s="954"/>
      <c r="BWF76" s="954"/>
      <c r="BWG76" s="954"/>
      <c r="BWH76" s="954"/>
      <c r="BWI76" s="954"/>
      <c r="BWJ76" s="954"/>
      <c r="BWK76" s="954"/>
      <c r="BWL76" s="954"/>
      <c r="BWM76" s="954"/>
      <c r="BWN76" s="954"/>
      <c r="BWO76" s="954"/>
      <c r="BWP76" s="954"/>
      <c r="BWQ76" s="954"/>
      <c r="BWR76" s="954"/>
      <c r="BWS76" s="954"/>
      <c r="BWT76" s="954"/>
      <c r="BWU76" s="954"/>
      <c r="BWV76" s="954"/>
      <c r="BWW76" s="954"/>
      <c r="BWX76" s="954"/>
      <c r="BWY76" s="954"/>
      <c r="BWZ76" s="954"/>
      <c r="BXA76" s="954"/>
      <c r="BXB76" s="954"/>
      <c r="BXC76" s="954"/>
      <c r="BXD76" s="954"/>
      <c r="BXE76" s="954"/>
      <c r="BXF76" s="954"/>
      <c r="BXG76" s="954"/>
      <c r="BXH76" s="954"/>
      <c r="BXI76" s="954"/>
      <c r="BXJ76" s="954"/>
      <c r="BXK76" s="954"/>
      <c r="BXL76" s="954"/>
      <c r="BXM76" s="954"/>
      <c r="BXN76" s="954"/>
      <c r="BXO76" s="954"/>
      <c r="BXP76" s="954"/>
      <c r="BXQ76" s="954"/>
      <c r="BXR76" s="954"/>
      <c r="BXS76" s="954"/>
      <c r="BXT76" s="954"/>
      <c r="BXU76" s="954"/>
      <c r="BXV76" s="954"/>
      <c r="BXW76" s="954"/>
      <c r="BXX76" s="954"/>
      <c r="BXY76" s="954"/>
      <c r="BXZ76" s="954"/>
      <c r="BYA76" s="954"/>
      <c r="BYB76" s="954"/>
      <c r="BYC76" s="954"/>
      <c r="BYD76" s="954"/>
      <c r="BYE76" s="954"/>
      <c r="BYF76" s="954"/>
      <c r="BYG76" s="954"/>
      <c r="BYH76" s="954"/>
      <c r="BYI76" s="954"/>
      <c r="BYJ76" s="954"/>
      <c r="BYK76" s="954"/>
      <c r="BYL76" s="954"/>
      <c r="BYM76" s="954"/>
      <c r="BYN76" s="954"/>
      <c r="BYO76" s="954"/>
      <c r="BYP76" s="954"/>
      <c r="BYQ76" s="954"/>
      <c r="BYR76" s="954"/>
      <c r="BYS76" s="954"/>
      <c r="BYT76" s="954"/>
      <c r="BYU76" s="954"/>
      <c r="BYV76" s="954"/>
      <c r="BYW76" s="954"/>
      <c r="BYX76" s="954"/>
      <c r="BYY76" s="954"/>
      <c r="BYZ76" s="954"/>
      <c r="BZA76" s="954"/>
      <c r="BZB76" s="954"/>
      <c r="BZC76" s="954"/>
      <c r="BZD76" s="954"/>
      <c r="BZE76" s="954"/>
      <c r="BZF76" s="954"/>
      <c r="BZG76" s="954"/>
      <c r="BZH76" s="954"/>
      <c r="BZI76" s="954"/>
      <c r="BZJ76" s="954"/>
      <c r="BZK76" s="954"/>
      <c r="BZL76" s="954"/>
      <c r="BZM76" s="954"/>
      <c r="BZN76" s="954"/>
      <c r="BZO76" s="954"/>
      <c r="BZP76" s="954"/>
      <c r="BZQ76" s="954"/>
      <c r="BZR76" s="954"/>
      <c r="BZS76" s="954"/>
      <c r="BZT76" s="954"/>
      <c r="BZU76" s="954"/>
      <c r="BZV76" s="954"/>
      <c r="BZW76" s="954"/>
      <c r="BZX76" s="954"/>
      <c r="BZY76" s="954"/>
      <c r="BZZ76" s="954"/>
      <c r="CAA76" s="954"/>
      <c r="CAB76" s="954"/>
      <c r="CAC76" s="954"/>
      <c r="CAD76" s="954"/>
      <c r="CAE76" s="954"/>
      <c r="CAF76" s="954"/>
      <c r="CAG76" s="954"/>
      <c r="CAH76" s="954"/>
      <c r="CAI76" s="954"/>
      <c r="CAJ76" s="954"/>
      <c r="CAK76" s="954"/>
      <c r="CAL76" s="954"/>
      <c r="CAM76" s="954"/>
      <c r="CAN76" s="954"/>
      <c r="CAO76" s="954"/>
      <c r="CAP76" s="954"/>
      <c r="CAQ76" s="954"/>
      <c r="CAR76" s="954"/>
      <c r="CAS76" s="954"/>
      <c r="CAT76" s="954"/>
      <c r="CAU76" s="954"/>
      <c r="CAV76" s="954"/>
      <c r="CAW76" s="954"/>
      <c r="CAX76" s="954"/>
      <c r="CAY76" s="954"/>
      <c r="CAZ76" s="954"/>
      <c r="CBA76" s="954"/>
      <c r="CBB76" s="954"/>
      <c r="CBC76" s="954"/>
      <c r="CBD76" s="954"/>
      <c r="CBE76" s="954"/>
      <c r="CBF76" s="954"/>
      <c r="CBG76" s="954"/>
      <c r="CBH76" s="954"/>
      <c r="CBI76" s="954"/>
      <c r="CBJ76" s="954"/>
      <c r="CBK76" s="954"/>
      <c r="CBL76" s="954"/>
      <c r="CBM76" s="954"/>
      <c r="CBN76" s="954"/>
      <c r="CBO76" s="954"/>
      <c r="CBP76" s="954"/>
      <c r="CBQ76" s="954"/>
      <c r="CBR76" s="954"/>
      <c r="CBS76" s="954"/>
      <c r="CBT76" s="954"/>
      <c r="CBU76" s="954"/>
      <c r="CBV76" s="954"/>
      <c r="CBW76" s="954"/>
      <c r="CBX76" s="954"/>
      <c r="CBY76" s="954"/>
      <c r="CBZ76" s="954"/>
      <c r="CCA76" s="954"/>
      <c r="CCB76" s="954"/>
      <c r="CCC76" s="954"/>
      <c r="CCD76" s="954"/>
      <c r="CCE76" s="954"/>
      <c r="CCF76" s="954"/>
      <c r="CCG76" s="954"/>
      <c r="CCH76" s="954"/>
      <c r="CCI76" s="954"/>
      <c r="CCJ76" s="954"/>
      <c r="CCK76" s="954"/>
      <c r="CCL76" s="954"/>
      <c r="CCM76" s="954"/>
      <c r="CCN76" s="954"/>
      <c r="CCO76" s="954"/>
      <c r="CCP76" s="954"/>
      <c r="CCQ76" s="954"/>
      <c r="CCR76" s="954"/>
      <c r="CCS76" s="954"/>
      <c r="CCT76" s="954"/>
      <c r="CCU76" s="954"/>
      <c r="CCV76" s="954"/>
      <c r="CCW76" s="954"/>
      <c r="CCX76" s="954"/>
      <c r="CCY76" s="954"/>
      <c r="CCZ76" s="954"/>
      <c r="CDA76" s="954"/>
      <c r="CDB76" s="954"/>
      <c r="CDC76" s="954"/>
      <c r="CDD76" s="954"/>
      <c r="CDE76" s="954"/>
      <c r="CDF76" s="954"/>
      <c r="CDG76" s="954"/>
      <c r="CDH76" s="954"/>
      <c r="CDI76" s="954"/>
      <c r="CDJ76" s="954"/>
      <c r="CDK76" s="954"/>
      <c r="CDL76" s="954"/>
      <c r="CDM76" s="954"/>
      <c r="CDN76" s="954"/>
      <c r="CDO76" s="954"/>
      <c r="CDP76" s="954"/>
      <c r="CDQ76" s="954"/>
      <c r="CDR76" s="954"/>
      <c r="CDS76" s="954"/>
      <c r="CDT76" s="954"/>
      <c r="CDU76" s="954"/>
      <c r="CDV76" s="954"/>
      <c r="CDW76" s="954"/>
      <c r="CDX76" s="954"/>
      <c r="CDY76" s="954"/>
      <c r="CDZ76" s="954"/>
      <c r="CEA76" s="954"/>
      <c r="CEB76" s="954"/>
      <c r="CEC76" s="954"/>
      <c r="CED76" s="954"/>
      <c r="CEE76" s="954"/>
      <c r="CEF76" s="954"/>
      <c r="CEG76" s="954"/>
      <c r="CEH76" s="954"/>
      <c r="CEI76" s="954"/>
      <c r="CEJ76" s="954"/>
      <c r="CEK76" s="954"/>
      <c r="CEL76" s="954"/>
      <c r="CEM76" s="954"/>
      <c r="CEN76" s="954"/>
      <c r="CEO76" s="954"/>
      <c r="CEP76" s="954"/>
      <c r="CEQ76" s="954"/>
      <c r="CER76" s="954"/>
      <c r="CES76" s="954"/>
      <c r="CET76" s="954"/>
      <c r="CEU76" s="954"/>
      <c r="CEV76" s="954"/>
      <c r="CEW76" s="954"/>
      <c r="CEX76" s="954"/>
      <c r="CEY76" s="954"/>
      <c r="CEZ76" s="954"/>
      <c r="CFA76" s="954"/>
      <c r="CFB76" s="954"/>
      <c r="CFC76" s="954"/>
      <c r="CFD76" s="954"/>
      <c r="CFE76" s="954"/>
      <c r="CFF76" s="954"/>
      <c r="CFG76" s="954"/>
      <c r="CFH76" s="954"/>
      <c r="CFI76" s="954"/>
      <c r="CFJ76" s="954"/>
      <c r="CFK76" s="954"/>
      <c r="CFL76" s="954"/>
      <c r="CFM76" s="954"/>
      <c r="CFN76" s="954"/>
      <c r="CFO76" s="954"/>
      <c r="CFP76" s="954"/>
      <c r="CFQ76" s="954"/>
      <c r="CFR76" s="954"/>
      <c r="CFS76" s="954"/>
      <c r="CFT76" s="954"/>
      <c r="CFU76" s="954"/>
      <c r="CFV76" s="954"/>
      <c r="CFW76" s="954"/>
      <c r="CFX76" s="954"/>
      <c r="CFY76" s="954"/>
      <c r="CFZ76" s="954"/>
      <c r="CGA76" s="954"/>
      <c r="CGB76" s="954"/>
      <c r="CGC76" s="954"/>
      <c r="CGD76" s="954"/>
      <c r="CGE76" s="954"/>
      <c r="CGF76" s="954"/>
      <c r="CGG76" s="954"/>
      <c r="CGH76" s="954"/>
      <c r="CGI76" s="954"/>
      <c r="CGJ76" s="954"/>
      <c r="CGK76" s="954"/>
      <c r="CGL76" s="954"/>
      <c r="CGM76" s="954"/>
      <c r="CGN76" s="954"/>
      <c r="CGO76" s="954"/>
      <c r="CGP76" s="954"/>
      <c r="CGQ76" s="954"/>
      <c r="CGR76" s="954"/>
      <c r="CGS76" s="954"/>
      <c r="CGT76" s="954"/>
      <c r="CGU76" s="954"/>
      <c r="CGV76" s="954"/>
      <c r="CGW76" s="954"/>
      <c r="CGX76" s="954"/>
      <c r="CGY76" s="954"/>
      <c r="CGZ76" s="954"/>
      <c r="CHA76" s="954"/>
      <c r="CHB76" s="954"/>
      <c r="CHC76" s="954"/>
      <c r="CHD76" s="954"/>
      <c r="CHE76" s="954"/>
      <c r="CHF76" s="954"/>
      <c r="CHG76" s="954"/>
      <c r="CHH76" s="954"/>
      <c r="CHI76" s="954"/>
      <c r="CHJ76" s="954"/>
      <c r="CHK76" s="954"/>
      <c r="CHL76" s="954"/>
      <c r="CHM76" s="954"/>
      <c r="CHN76" s="954"/>
      <c r="CHO76" s="954"/>
      <c r="CHP76" s="954"/>
      <c r="CHQ76" s="954"/>
      <c r="CHR76" s="954"/>
      <c r="CHS76" s="954"/>
      <c r="CHT76" s="954"/>
      <c r="CHU76" s="954"/>
      <c r="CHV76" s="954"/>
      <c r="CHW76" s="954"/>
      <c r="CHX76" s="954"/>
      <c r="CHY76" s="954"/>
      <c r="CHZ76" s="954"/>
      <c r="CIA76" s="954"/>
      <c r="CIB76" s="954"/>
      <c r="CIC76" s="954"/>
      <c r="CID76" s="954"/>
      <c r="CIE76" s="954"/>
      <c r="CIF76" s="954"/>
      <c r="CIG76" s="954"/>
      <c r="CIH76" s="954"/>
      <c r="CII76" s="954"/>
      <c r="CIJ76" s="954"/>
      <c r="CIK76" s="954"/>
      <c r="CIL76" s="954"/>
      <c r="CIM76" s="954"/>
      <c r="CIN76" s="954"/>
      <c r="CIO76" s="954"/>
      <c r="CIP76" s="954"/>
      <c r="CIQ76" s="954"/>
      <c r="CIR76" s="954"/>
      <c r="CIS76" s="954"/>
      <c r="CIT76" s="954"/>
      <c r="CIU76" s="954"/>
      <c r="CIV76" s="954"/>
      <c r="CIW76" s="954"/>
      <c r="CIX76" s="954"/>
      <c r="CIY76" s="954"/>
      <c r="CIZ76" s="954"/>
      <c r="CJA76" s="954"/>
      <c r="CJB76" s="954"/>
      <c r="CJC76" s="954"/>
      <c r="CJD76" s="954"/>
      <c r="CJE76" s="954"/>
      <c r="CJF76" s="954"/>
      <c r="CJG76" s="954"/>
      <c r="CJH76" s="954"/>
      <c r="CJI76" s="954"/>
      <c r="CJJ76" s="954"/>
      <c r="CJK76" s="954"/>
      <c r="CJL76" s="954"/>
      <c r="CJM76" s="954"/>
      <c r="CJN76" s="954"/>
      <c r="CJO76" s="954"/>
      <c r="CJP76" s="954"/>
      <c r="CJQ76" s="954"/>
      <c r="CJR76" s="954"/>
      <c r="CJS76" s="954"/>
      <c r="CJT76" s="954"/>
      <c r="CJU76" s="954"/>
      <c r="CJV76" s="954"/>
      <c r="CJW76" s="954"/>
      <c r="CJX76" s="954"/>
      <c r="CJY76" s="954"/>
      <c r="CJZ76" s="954"/>
      <c r="CKA76" s="954"/>
      <c r="CKB76" s="954"/>
      <c r="CKC76" s="954"/>
      <c r="CKD76" s="954"/>
      <c r="CKE76" s="954"/>
      <c r="CKF76" s="954"/>
      <c r="CKG76" s="954"/>
      <c r="CKH76" s="954"/>
      <c r="CKI76" s="954"/>
      <c r="CKJ76" s="954"/>
      <c r="CKK76" s="954"/>
      <c r="CKL76" s="954"/>
      <c r="CKM76" s="954"/>
      <c r="CKN76" s="954"/>
      <c r="CKO76" s="954"/>
      <c r="CKP76" s="954"/>
      <c r="CKQ76" s="954"/>
      <c r="CKR76" s="954"/>
      <c r="CKS76" s="954"/>
      <c r="CKT76" s="954"/>
      <c r="CKU76" s="954"/>
      <c r="CKV76" s="954"/>
      <c r="CKW76" s="954"/>
      <c r="CKX76" s="954"/>
      <c r="CKY76" s="954"/>
      <c r="CKZ76" s="954"/>
      <c r="CLA76" s="954"/>
      <c r="CLB76" s="954"/>
      <c r="CLC76" s="954"/>
      <c r="CLD76" s="954"/>
      <c r="CLE76" s="954"/>
      <c r="CLF76" s="954"/>
      <c r="CLG76" s="954"/>
      <c r="CLH76" s="954"/>
      <c r="CLI76" s="954"/>
      <c r="CLJ76" s="954"/>
      <c r="CLK76" s="954"/>
      <c r="CLL76" s="954"/>
      <c r="CLM76" s="954"/>
      <c r="CLN76" s="954"/>
      <c r="CLO76" s="954"/>
      <c r="CLP76" s="954"/>
      <c r="CLQ76" s="954"/>
      <c r="CLR76" s="954"/>
      <c r="CLS76" s="954"/>
      <c r="CLT76" s="954"/>
      <c r="CLU76" s="954"/>
      <c r="CLV76" s="954"/>
      <c r="CLW76" s="954"/>
      <c r="CLX76" s="954"/>
      <c r="CLY76" s="954"/>
      <c r="CLZ76" s="954"/>
      <c r="CMA76" s="954"/>
      <c r="CMB76" s="954"/>
      <c r="CMC76" s="954"/>
      <c r="CMD76" s="954"/>
      <c r="CME76" s="954"/>
      <c r="CMF76" s="954"/>
      <c r="CMG76" s="954"/>
      <c r="CMH76" s="954"/>
      <c r="CMI76" s="954"/>
      <c r="CMJ76" s="954"/>
      <c r="CMK76" s="954"/>
      <c r="CML76" s="954"/>
      <c r="CMM76" s="954"/>
      <c r="CMN76" s="954"/>
      <c r="CMO76" s="954"/>
      <c r="CMP76" s="954"/>
      <c r="CMQ76" s="954"/>
      <c r="CMR76" s="954"/>
      <c r="CMS76" s="954"/>
      <c r="CMT76" s="954"/>
      <c r="CMU76" s="954"/>
      <c r="CMV76" s="954"/>
      <c r="CMW76" s="954"/>
      <c r="CMX76" s="954"/>
      <c r="CMY76" s="954"/>
      <c r="CMZ76" s="954"/>
      <c r="CNA76" s="954"/>
      <c r="CNB76" s="954"/>
      <c r="CNC76" s="954"/>
      <c r="CND76" s="954"/>
      <c r="CNE76" s="954"/>
      <c r="CNF76" s="954"/>
      <c r="CNG76" s="954"/>
      <c r="CNH76" s="954"/>
      <c r="CNI76" s="954"/>
      <c r="CNJ76" s="954"/>
      <c r="CNK76" s="954"/>
      <c r="CNL76" s="954"/>
      <c r="CNM76" s="954"/>
      <c r="CNN76" s="954"/>
      <c r="CNO76" s="954"/>
      <c r="CNP76" s="954"/>
      <c r="CNQ76" s="954"/>
      <c r="CNR76" s="954"/>
      <c r="CNS76" s="954"/>
      <c r="CNT76" s="954"/>
      <c r="CNU76" s="954"/>
      <c r="CNV76" s="954"/>
      <c r="CNW76" s="954"/>
      <c r="CNX76" s="954"/>
      <c r="CNY76" s="954"/>
      <c r="CNZ76" s="954"/>
      <c r="COA76" s="954"/>
      <c r="COB76" s="954"/>
      <c r="COC76" s="954"/>
      <c r="COD76" s="954"/>
      <c r="COE76" s="954"/>
      <c r="COF76" s="954"/>
      <c r="COG76" s="954"/>
      <c r="COH76" s="954"/>
      <c r="COI76" s="954"/>
      <c r="COJ76" s="954"/>
      <c r="COK76" s="954"/>
      <c r="COL76" s="954"/>
      <c r="COM76" s="954"/>
      <c r="CON76" s="954"/>
      <c r="COO76" s="954"/>
      <c r="COP76" s="954"/>
      <c r="COQ76" s="954"/>
      <c r="COR76" s="954"/>
      <c r="COS76" s="954"/>
      <c r="COT76" s="954"/>
      <c r="COU76" s="954"/>
      <c r="COV76" s="954"/>
      <c r="COW76" s="954"/>
      <c r="COX76" s="954"/>
      <c r="COY76" s="954"/>
      <c r="COZ76" s="954"/>
      <c r="CPA76" s="954"/>
      <c r="CPB76" s="954"/>
      <c r="CPC76" s="954"/>
      <c r="CPD76" s="954"/>
      <c r="CPE76" s="954"/>
      <c r="CPF76" s="954"/>
      <c r="CPG76" s="954"/>
      <c r="CPH76" s="954"/>
      <c r="CPI76" s="954"/>
      <c r="CPJ76" s="954"/>
      <c r="CPK76" s="954"/>
      <c r="CPL76" s="954"/>
      <c r="CPM76" s="954"/>
      <c r="CPN76" s="954"/>
      <c r="CPO76" s="954"/>
      <c r="CPP76" s="954"/>
      <c r="CPQ76" s="954"/>
      <c r="CPR76" s="954"/>
      <c r="CPS76" s="954"/>
      <c r="CPT76" s="954"/>
      <c r="CPU76" s="954"/>
      <c r="CPV76" s="954"/>
      <c r="CPW76" s="954"/>
      <c r="CPX76" s="954"/>
      <c r="CPY76" s="954"/>
      <c r="CPZ76" s="954"/>
      <c r="CQA76" s="954"/>
      <c r="CQB76" s="954"/>
      <c r="CQC76" s="954"/>
      <c r="CQD76" s="954"/>
      <c r="CQE76" s="954"/>
      <c r="CQF76" s="954"/>
      <c r="CQG76" s="954"/>
      <c r="CQH76" s="954"/>
      <c r="CQI76" s="954"/>
      <c r="CQJ76" s="954"/>
      <c r="CQK76" s="954"/>
      <c r="CQL76" s="954"/>
      <c r="CQM76" s="954"/>
      <c r="CQN76" s="954"/>
      <c r="CQO76" s="954"/>
      <c r="CQP76" s="954"/>
      <c r="CQQ76" s="954"/>
      <c r="CQR76" s="954"/>
      <c r="CQS76" s="954"/>
      <c r="CQT76" s="954"/>
      <c r="CQU76" s="954"/>
      <c r="CQV76" s="954"/>
      <c r="CQW76" s="954"/>
      <c r="CQX76" s="954"/>
      <c r="CQY76" s="954"/>
      <c r="CQZ76" s="954"/>
      <c r="CRA76" s="954"/>
      <c r="CRB76" s="954"/>
      <c r="CRC76" s="954"/>
      <c r="CRD76" s="954"/>
      <c r="CRE76" s="954"/>
      <c r="CRF76" s="954"/>
      <c r="CRG76" s="954"/>
      <c r="CRH76" s="954"/>
      <c r="CRI76" s="954"/>
      <c r="CRJ76" s="954"/>
      <c r="CRK76" s="954"/>
      <c r="CRL76" s="954"/>
      <c r="CRM76" s="954"/>
      <c r="CRN76" s="954"/>
      <c r="CRO76" s="954"/>
      <c r="CRP76" s="954"/>
      <c r="CRQ76" s="954"/>
      <c r="CRR76" s="954"/>
      <c r="CRS76" s="954"/>
      <c r="CRT76" s="954"/>
      <c r="CRU76" s="954"/>
      <c r="CRV76" s="954"/>
      <c r="CRW76" s="954"/>
      <c r="CRX76" s="954"/>
      <c r="CRY76" s="954"/>
      <c r="CRZ76" s="954"/>
      <c r="CSA76" s="954"/>
      <c r="CSB76" s="954"/>
      <c r="CSC76" s="954"/>
      <c r="CSD76" s="954"/>
      <c r="CSE76" s="954"/>
      <c r="CSF76" s="954"/>
      <c r="CSG76" s="954"/>
      <c r="CSH76" s="954"/>
      <c r="CSI76" s="954"/>
      <c r="CSJ76" s="954"/>
      <c r="CSK76" s="954"/>
      <c r="CSL76" s="954"/>
      <c r="CSM76" s="954"/>
      <c r="CSN76" s="954"/>
      <c r="CSO76" s="954"/>
      <c r="CSP76" s="954"/>
      <c r="CSQ76" s="954"/>
      <c r="CSR76" s="954"/>
      <c r="CSS76" s="954"/>
      <c r="CST76" s="954"/>
      <c r="CSU76" s="954"/>
      <c r="CSV76" s="954"/>
      <c r="CSW76" s="954"/>
      <c r="CSX76" s="954"/>
      <c r="CSY76" s="954"/>
      <c r="CSZ76" s="954"/>
      <c r="CTA76" s="954"/>
      <c r="CTB76" s="954"/>
      <c r="CTC76" s="954"/>
      <c r="CTD76" s="954"/>
      <c r="CTE76" s="954"/>
      <c r="CTF76" s="954"/>
      <c r="CTG76" s="954"/>
      <c r="CTH76" s="954"/>
      <c r="CTI76" s="954"/>
      <c r="CTJ76" s="954"/>
      <c r="CTK76" s="954"/>
      <c r="CTL76" s="954"/>
      <c r="CTM76" s="954"/>
      <c r="CTN76" s="954"/>
      <c r="CTO76" s="954"/>
      <c r="CTP76" s="954"/>
      <c r="CTQ76" s="954"/>
      <c r="CTR76" s="954"/>
      <c r="CTS76" s="954"/>
      <c r="CTT76" s="954"/>
      <c r="CTU76" s="954"/>
      <c r="CTV76" s="954"/>
      <c r="CTW76" s="954"/>
      <c r="CTX76" s="954"/>
      <c r="CTY76" s="954"/>
      <c r="CTZ76" s="954"/>
      <c r="CUA76" s="954"/>
      <c r="CUB76" s="954"/>
      <c r="CUC76" s="954"/>
      <c r="CUD76" s="954"/>
      <c r="CUE76" s="954"/>
      <c r="CUF76" s="954"/>
      <c r="CUG76" s="954"/>
      <c r="CUH76" s="954"/>
      <c r="CUI76" s="954"/>
      <c r="CUJ76" s="954"/>
      <c r="CUK76" s="954"/>
      <c r="CUL76" s="954"/>
      <c r="CUM76" s="954"/>
      <c r="CUN76" s="954"/>
      <c r="CUO76" s="954"/>
      <c r="CUP76" s="954"/>
      <c r="CUQ76" s="954"/>
      <c r="CUR76" s="954"/>
      <c r="CUS76" s="954"/>
      <c r="CUT76" s="954"/>
      <c r="CUU76" s="954"/>
      <c r="CUV76" s="954"/>
      <c r="CUW76" s="954"/>
      <c r="CUX76" s="954"/>
      <c r="CUY76" s="954"/>
      <c r="CUZ76" s="954"/>
      <c r="CVA76" s="954"/>
      <c r="CVB76" s="954"/>
      <c r="CVC76" s="954"/>
      <c r="CVD76" s="954"/>
      <c r="CVE76" s="954"/>
      <c r="CVF76" s="954"/>
      <c r="CVG76" s="954"/>
      <c r="CVH76" s="954"/>
      <c r="CVI76" s="954"/>
      <c r="CVJ76" s="954"/>
      <c r="CVK76" s="954"/>
      <c r="CVL76" s="954"/>
      <c r="CVM76" s="954"/>
      <c r="CVN76" s="954"/>
      <c r="CVO76" s="954"/>
      <c r="CVP76" s="954"/>
      <c r="CVQ76" s="954"/>
      <c r="CVR76" s="954"/>
      <c r="CVS76" s="954"/>
      <c r="CVT76" s="954"/>
      <c r="CVU76" s="954"/>
      <c r="CVV76" s="954"/>
      <c r="CVW76" s="954"/>
      <c r="CVX76" s="954"/>
      <c r="CVY76" s="954"/>
      <c r="CVZ76" s="954"/>
      <c r="CWA76" s="954"/>
      <c r="CWB76" s="954"/>
      <c r="CWC76" s="954"/>
      <c r="CWD76" s="954"/>
      <c r="CWE76" s="954"/>
      <c r="CWF76" s="954"/>
      <c r="CWG76" s="954"/>
      <c r="CWH76" s="954"/>
      <c r="CWI76" s="954"/>
      <c r="CWJ76" s="954"/>
      <c r="CWK76" s="954"/>
      <c r="CWL76" s="954"/>
      <c r="CWM76" s="954"/>
      <c r="CWN76" s="954"/>
      <c r="CWO76" s="954"/>
      <c r="CWP76" s="954"/>
      <c r="CWQ76" s="954"/>
      <c r="CWR76" s="954"/>
      <c r="CWS76" s="954"/>
      <c r="CWT76" s="954"/>
      <c r="CWU76" s="954"/>
      <c r="CWV76" s="954"/>
      <c r="CWW76" s="954"/>
      <c r="CWX76" s="954"/>
      <c r="CWY76" s="954"/>
      <c r="CWZ76" s="954"/>
      <c r="CXA76" s="954"/>
      <c r="CXB76" s="954"/>
      <c r="CXC76" s="954"/>
      <c r="CXD76" s="954"/>
      <c r="CXE76" s="954"/>
      <c r="CXF76" s="954"/>
      <c r="CXG76" s="954"/>
      <c r="CXH76" s="954"/>
      <c r="CXI76" s="954"/>
      <c r="CXJ76" s="954"/>
      <c r="CXK76" s="954"/>
      <c r="CXL76" s="954"/>
      <c r="CXM76" s="954"/>
      <c r="CXN76" s="954"/>
      <c r="CXO76" s="954"/>
      <c r="CXP76" s="954"/>
      <c r="CXQ76" s="954"/>
      <c r="CXR76" s="954"/>
      <c r="CXS76" s="954"/>
      <c r="CXT76" s="954"/>
      <c r="CXU76" s="954"/>
      <c r="CXV76" s="954"/>
      <c r="CXW76" s="954"/>
      <c r="CXX76" s="954"/>
      <c r="CXY76" s="954"/>
      <c r="CXZ76" s="954"/>
      <c r="CYA76" s="954"/>
      <c r="CYB76" s="954"/>
      <c r="CYC76" s="954"/>
      <c r="CYD76" s="954"/>
      <c r="CYE76" s="954"/>
      <c r="CYF76" s="954"/>
      <c r="CYG76" s="954"/>
      <c r="CYH76" s="954"/>
      <c r="CYI76" s="954"/>
      <c r="CYJ76" s="954"/>
      <c r="CYK76" s="954"/>
      <c r="CYL76" s="954"/>
      <c r="CYM76" s="954"/>
      <c r="CYN76" s="954"/>
      <c r="CYO76" s="954"/>
      <c r="CYP76" s="954"/>
      <c r="CYQ76" s="954"/>
      <c r="CYR76" s="954"/>
      <c r="CYS76" s="954"/>
      <c r="CYT76" s="954"/>
      <c r="CYU76" s="954"/>
      <c r="CYV76" s="954"/>
      <c r="CYW76" s="954"/>
      <c r="CYX76" s="954"/>
      <c r="CYY76" s="954"/>
      <c r="CYZ76" s="954"/>
      <c r="CZA76" s="954"/>
      <c r="CZB76" s="954"/>
      <c r="CZC76" s="954"/>
      <c r="CZD76" s="954"/>
      <c r="CZE76" s="954"/>
      <c r="CZF76" s="954"/>
      <c r="CZG76" s="954"/>
      <c r="CZH76" s="954"/>
      <c r="CZI76" s="954"/>
      <c r="CZJ76" s="954"/>
      <c r="CZK76" s="954"/>
      <c r="CZL76" s="954"/>
      <c r="CZM76" s="954"/>
      <c r="CZN76" s="954"/>
      <c r="CZO76" s="954"/>
      <c r="CZP76" s="954"/>
      <c r="CZQ76" s="954"/>
      <c r="CZR76" s="954"/>
      <c r="CZS76" s="954"/>
      <c r="CZT76" s="954"/>
      <c r="CZU76" s="954"/>
      <c r="CZV76" s="954"/>
      <c r="CZW76" s="954"/>
      <c r="CZX76" s="954"/>
      <c r="CZY76" s="954"/>
      <c r="CZZ76" s="954"/>
      <c r="DAA76" s="954"/>
      <c r="DAB76" s="954"/>
      <c r="DAC76" s="954"/>
      <c r="DAD76" s="954"/>
      <c r="DAE76" s="954"/>
      <c r="DAF76" s="954"/>
      <c r="DAG76" s="954"/>
      <c r="DAH76" s="954"/>
      <c r="DAI76" s="954"/>
      <c r="DAJ76" s="954"/>
      <c r="DAK76" s="954"/>
      <c r="DAL76" s="954"/>
      <c r="DAM76" s="954"/>
      <c r="DAN76" s="954"/>
      <c r="DAO76" s="954"/>
      <c r="DAP76" s="954"/>
      <c r="DAQ76" s="954"/>
      <c r="DAR76" s="954"/>
      <c r="DAS76" s="954"/>
      <c r="DAT76" s="954"/>
      <c r="DAU76" s="954"/>
      <c r="DAV76" s="954"/>
      <c r="DAW76" s="954"/>
      <c r="DAX76" s="954"/>
      <c r="DAY76" s="954"/>
      <c r="DAZ76" s="954"/>
      <c r="DBA76" s="954"/>
      <c r="DBB76" s="954"/>
      <c r="DBC76" s="954"/>
      <c r="DBD76" s="954"/>
      <c r="DBE76" s="954"/>
      <c r="DBF76" s="954"/>
      <c r="DBG76" s="954"/>
      <c r="DBH76" s="954"/>
      <c r="DBI76" s="954"/>
      <c r="DBJ76" s="954"/>
      <c r="DBK76" s="954"/>
      <c r="DBL76" s="954"/>
      <c r="DBM76" s="954"/>
      <c r="DBN76" s="954"/>
      <c r="DBO76" s="954"/>
      <c r="DBP76" s="954"/>
      <c r="DBQ76" s="954"/>
      <c r="DBR76" s="954"/>
      <c r="DBS76" s="954"/>
      <c r="DBT76" s="954"/>
      <c r="DBU76" s="954"/>
      <c r="DBV76" s="954"/>
      <c r="DBW76" s="954"/>
      <c r="DBX76" s="954"/>
      <c r="DBY76" s="954"/>
      <c r="DBZ76" s="954"/>
      <c r="DCA76" s="954"/>
      <c r="DCB76" s="954"/>
      <c r="DCC76" s="954"/>
      <c r="DCD76" s="954"/>
      <c r="DCE76" s="954"/>
      <c r="DCF76" s="954"/>
      <c r="DCG76" s="954"/>
      <c r="DCH76" s="954"/>
      <c r="DCI76" s="954"/>
      <c r="DCJ76" s="954"/>
      <c r="DCK76" s="954"/>
      <c r="DCL76" s="954"/>
      <c r="DCM76" s="954"/>
      <c r="DCN76" s="954"/>
      <c r="DCO76" s="954"/>
      <c r="DCP76" s="954"/>
      <c r="DCQ76" s="954"/>
      <c r="DCR76" s="954"/>
      <c r="DCS76" s="954"/>
      <c r="DCT76" s="954"/>
      <c r="DCU76" s="954"/>
      <c r="DCV76" s="954"/>
      <c r="DCW76" s="954"/>
      <c r="DCX76" s="954"/>
      <c r="DCY76" s="954"/>
      <c r="DCZ76" s="954"/>
      <c r="DDA76" s="954"/>
      <c r="DDB76" s="954"/>
      <c r="DDC76" s="954"/>
      <c r="DDD76" s="954"/>
      <c r="DDE76" s="954"/>
      <c r="DDF76" s="954"/>
      <c r="DDG76" s="954"/>
      <c r="DDH76" s="954"/>
      <c r="DDI76" s="954"/>
      <c r="DDJ76" s="954"/>
      <c r="DDK76" s="954"/>
      <c r="DDL76" s="954"/>
      <c r="DDM76" s="954"/>
      <c r="DDN76" s="954"/>
      <c r="DDO76" s="954"/>
      <c r="DDP76" s="954"/>
      <c r="DDQ76" s="954"/>
      <c r="DDR76" s="954"/>
      <c r="DDS76" s="954"/>
      <c r="DDT76" s="954"/>
      <c r="DDU76" s="954"/>
      <c r="DDV76" s="954"/>
      <c r="DDW76" s="954"/>
      <c r="DDX76" s="954"/>
      <c r="DDY76" s="954"/>
      <c r="DDZ76" s="954"/>
      <c r="DEA76" s="954"/>
      <c r="DEB76" s="954"/>
      <c r="DEC76" s="954"/>
      <c r="DED76" s="954"/>
      <c r="DEE76" s="954"/>
      <c r="DEF76" s="954"/>
      <c r="DEG76" s="954"/>
      <c r="DEH76" s="954"/>
      <c r="DEI76" s="954"/>
      <c r="DEJ76" s="954"/>
      <c r="DEK76" s="954"/>
      <c r="DEL76" s="954"/>
      <c r="DEM76" s="954"/>
      <c r="DEN76" s="954"/>
      <c r="DEO76" s="954"/>
      <c r="DEP76" s="954"/>
      <c r="DEQ76" s="954"/>
      <c r="DER76" s="954"/>
      <c r="DES76" s="954"/>
      <c r="DET76" s="954"/>
      <c r="DEU76" s="954"/>
      <c r="DEV76" s="954"/>
      <c r="DEW76" s="954"/>
      <c r="DEX76" s="954"/>
      <c r="DEY76" s="954"/>
      <c r="DEZ76" s="954"/>
      <c r="DFA76" s="954"/>
      <c r="DFB76" s="954"/>
      <c r="DFC76" s="954"/>
      <c r="DFD76" s="954"/>
      <c r="DFE76" s="954"/>
      <c r="DFF76" s="954"/>
      <c r="DFG76" s="954"/>
      <c r="DFH76" s="954"/>
      <c r="DFI76" s="954"/>
      <c r="DFJ76" s="954"/>
      <c r="DFK76" s="954"/>
      <c r="DFL76" s="954"/>
      <c r="DFM76" s="954"/>
      <c r="DFN76" s="954"/>
      <c r="DFO76" s="954"/>
      <c r="DFP76" s="954"/>
      <c r="DFQ76" s="954"/>
      <c r="DFR76" s="954"/>
      <c r="DFS76" s="954"/>
      <c r="DFT76" s="954"/>
      <c r="DFU76" s="954"/>
      <c r="DFV76" s="954"/>
      <c r="DFW76" s="954"/>
      <c r="DFX76" s="954"/>
      <c r="DFY76" s="954"/>
      <c r="DFZ76" s="954"/>
      <c r="DGA76" s="954"/>
      <c r="DGB76" s="954"/>
      <c r="DGC76" s="954"/>
      <c r="DGD76" s="954"/>
      <c r="DGE76" s="954"/>
      <c r="DGF76" s="954"/>
      <c r="DGG76" s="954"/>
      <c r="DGH76" s="954"/>
      <c r="DGI76" s="954"/>
      <c r="DGJ76" s="954"/>
      <c r="DGK76" s="954"/>
      <c r="DGL76" s="954"/>
      <c r="DGM76" s="954"/>
      <c r="DGN76" s="954"/>
      <c r="DGO76" s="954"/>
      <c r="DGP76" s="954"/>
      <c r="DGQ76" s="954"/>
      <c r="DGR76" s="954"/>
      <c r="DGS76" s="954"/>
      <c r="DGT76" s="954"/>
      <c r="DGU76" s="954"/>
      <c r="DGV76" s="954"/>
      <c r="DGW76" s="954"/>
      <c r="DGX76" s="954"/>
      <c r="DGY76" s="954"/>
      <c r="DGZ76" s="954"/>
      <c r="DHA76" s="954"/>
      <c r="DHB76" s="954"/>
      <c r="DHC76" s="954"/>
      <c r="DHD76" s="954"/>
      <c r="DHE76" s="954"/>
      <c r="DHF76" s="954"/>
      <c r="DHG76" s="954"/>
      <c r="DHH76" s="954"/>
      <c r="DHI76" s="954"/>
      <c r="DHJ76" s="954"/>
      <c r="DHK76" s="954"/>
      <c r="DHL76" s="954"/>
      <c r="DHM76" s="954"/>
      <c r="DHN76" s="954"/>
      <c r="DHO76" s="954"/>
      <c r="DHP76" s="954"/>
      <c r="DHQ76" s="954"/>
      <c r="DHR76" s="954"/>
      <c r="DHS76" s="954"/>
      <c r="DHT76" s="954"/>
      <c r="DHU76" s="954"/>
      <c r="DHV76" s="954"/>
      <c r="DHW76" s="954"/>
      <c r="DHX76" s="954"/>
      <c r="DHY76" s="954"/>
      <c r="DHZ76" s="954"/>
      <c r="DIA76" s="954"/>
      <c r="DIB76" s="954"/>
      <c r="DIC76" s="954"/>
      <c r="DID76" s="954"/>
      <c r="DIE76" s="954"/>
      <c r="DIF76" s="954"/>
      <c r="DIG76" s="954"/>
      <c r="DIH76" s="954"/>
      <c r="DII76" s="954"/>
      <c r="DIJ76" s="954"/>
      <c r="DIK76" s="954"/>
      <c r="DIL76" s="954"/>
      <c r="DIM76" s="954"/>
      <c r="DIN76" s="954"/>
      <c r="DIO76" s="954"/>
      <c r="DIP76" s="954"/>
      <c r="DIQ76" s="954"/>
      <c r="DIR76" s="954"/>
      <c r="DIS76" s="954"/>
      <c r="DIT76" s="954"/>
      <c r="DIU76" s="954"/>
      <c r="DIV76" s="954"/>
      <c r="DIW76" s="954"/>
      <c r="DIX76" s="954"/>
      <c r="DIY76" s="954"/>
      <c r="DIZ76" s="954"/>
      <c r="DJA76" s="954"/>
      <c r="DJB76" s="954"/>
      <c r="DJC76" s="954"/>
      <c r="DJD76" s="954"/>
      <c r="DJE76" s="954"/>
      <c r="DJF76" s="954"/>
      <c r="DJG76" s="954"/>
      <c r="DJH76" s="954"/>
      <c r="DJI76" s="954"/>
      <c r="DJJ76" s="954"/>
      <c r="DJK76" s="954"/>
      <c r="DJL76" s="954"/>
      <c r="DJM76" s="954"/>
      <c r="DJN76" s="954"/>
      <c r="DJO76" s="954"/>
      <c r="DJP76" s="954"/>
      <c r="DJQ76" s="954"/>
      <c r="DJR76" s="954"/>
      <c r="DJS76" s="954"/>
      <c r="DJT76" s="954"/>
      <c r="DJU76" s="954"/>
      <c r="DJV76" s="954"/>
      <c r="DJW76" s="954"/>
      <c r="DJX76" s="954"/>
      <c r="DJY76" s="954"/>
      <c r="DJZ76" s="954"/>
      <c r="DKA76" s="954"/>
      <c r="DKB76" s="954"/>
      <c r="DKC76" s="954"/>
      <c r="DKD76" s="954"/>
      <c r="DKE76" s="954"/>
      <c r="DKF76" s="954"/>
      <c r="DKG76" s="954"/>
      <c r="DKH76" s="954"/>
      <c r="DKI76" s="954"/>
      <c r="DKJ76" s="954"/>
      <c r="DKK76" s="954"/>
      <c r="DKL76" s="954"/>
      <c r="DKM76" s="954"/>
      <c r="DKN76" s="954"/>
      <c r="DKO76" s="954"/>
      <c r="DKP76" s="954"/>
      <c r="DKQ76" s="954"/>
      <c r="DKR76" s="954"/>
      <c r="DKS76" s="954"/>
      <c r="DKT76" s="954"/>
      <c r="DKU76" s="954"/>
      <c r="DKV76" s="954"/>
      <c r="DKW76" s="954"/>
      <c r="DKX76" s="954"/>
      <c r="DKY76" s="954"/>
      <c r="DKZ76" s="954"/>
      <c r="DLA76" s="954"/>
      <c r="DLB76" s="954"/>
      <c r="DLC76" s="954"/>
      <c r="DLD76" s="954"/>
      <c r="DLE76" s="954"/>
      <c r="DLF76" s="954"/>
      <c r="DLG76" s="954"/>
      <c r="DLH76" s="954"/>
      <c r="DLI76" s="954"/>
      <c r="DLJ76" s="954"/>
      <c r="DLK76" s="954"/>
      <c r="DLL76" s="954"/>
      <c r="DLM76" s="954"/>
      <c r="DLN76" s="954"/>
      <c r="DLO76" s="954"/>
      <c r="DLP76" s="954"/>
      <c r="DLQ76" s="954"/>
      <c r="DLR76" s="954"/>
      <c r="DLS76" s="954"/>
      <c r="DLT76" s="954"/>
      <c r="DLU76" s="954"/>
      <c r="DLV76" s="954"/>
      <c r="DLW76" s="954"/>
      <c r="DLX76" s="954"/>
      <c r="DLY76" s="954"/>
      <c r="DLZ76" s="954"/>
      <c r="DMA76" s="954"/>
      <c r="DMB76" s="954"/>
      <c r="DMC76" s="954"/>
      <c r="DMD76" s="954"/>
      <c r="DME76" s="954"/>
      <c r="DMF76" s="954"/>
      <c r="DMG76" s="954"/>
      <c r="DMH76" s="954"/>
      <c r="DMI76" s="954"/>
      <c r="DMJ76" s="954"/>
      <c r="DMK76" s="954"/>
      <c r="DML76" s="954"/>
      <c r="DMM76" s="954"/>
      <c r="DMN76" s="954"/>
      <c r="DMO76" s="954"/>
      <c r="DMP76" s="954"/>
      <c r="DMQ76" s="954"/>
      <c r="DMR76" s="954"/>
      <c r="DMS76" s="954"/>
      <c r="DMT76" s="954"/>
      <c r="DMU76" s="954"/>
      <c r="DMV76" s="954"/>
      <c r="DMW76" s="954"/>
      <c r="DMX76" s="954"/>
      <c r="DMY76" s="954"/>
      <c r="DMZ76" s="954"/>
      <c r="DNA76" s="954"/>
      <c r="DNB76" s="954"/>
      <c r="DNC76" s="954"/>
      <c r="DND76" s="954"/>
      <c r="DNE76" s="954"/>
      <c r="DNF76" s="954"/>
      <c r="DNG76" s="954"/>
      <c r="DNH76" s="954"/>
      <c r="DNI76" s="954"/>
      <c r="DNJ76" s="954"/>
      <c r="DNK76" s="954"/>
      <c r="DNL76" s="954"/>
      <c r="DNM76" s="954"/>
      <c r="DNN76" s="954"/>
      <c r="DNO76" s="954"/>
      <c r="DNP76" s="954"/>
      <c r="DNQ76" s="954"/>
      <c r="DNR76" s="954"/>
      <c r="DNS76" s="954"/>
      <c r="DNT76" s="954"/>
      <c r="DNU76" s="954"/>
      <c r="DNV76" s="954"/>
      <c r="DNW76" s="954"/>
      <c r="DNX76" s="954"/>
      <c r="DNY76" s="954"/>
      <c r="DNZ76" s="954"/>
      <c r="DOA76" s="954"/>
      <c r="DOB76" s="954"/>
      <c r="DOC76" s="954"/>
      <c r="DOD76" s="954"/>
      <c r="DOE76" s="954"/>
      <c r="DOF76" s="954"/>
      <c r="DOG76" s="954"/>
      <c r="DOH76" s="954"/>
      <c r="DOI76" s="954"/>
      <c r="DOJ76" s="954"/>
      <c r="DOK76" s="954"/>
      <c r="DOL76" s="954"/>
      <c r="DOM76" s="954"/>
      <c r="DON76" s="954"/>
      <c r="DOO76" s="954"/>
      <c r="DOP76" s="954"/>
      <c r="DOQ76" s="954"/>
      <c r="DOR76" s="954"/>
      <c r="DOS76" s="954"/>
      <c r="DOT76" s="954"/>
      <c r="DOU76" s="954"/>
      <c r="DOV76" s="954"/>
      <c r="DOW76" s="954"/>
      <c r="DOX76" s="954"/>
      <c r="DOY76" s="954"/>
      <c r="DOZ76" s="954"/>
      <c r="DPA76" s="954"/>
      <c r="DPB76" s="954"/>
      <c r="DPC76" s="954"/>
      <c r="DPD76" s="954"/>
      <c r="DPE76" s="954"/>
      <c r="DPF76" s="954"/>
      <c r="DPG76" s="954"/>
      <c r="DPH76" s="954"/>
      <c r="DPI76" s="954"/>
      <c r="DPJ76" s="954"/>
      <c r="DPK76" s="954"/>
      <c r="DPL76" s="954"/>
      <c r="DPM76" s="954"/>
      <c r="DPN76" s="954"/>
      <c r="DPO76" s="954"/>
      <c r="DPP76" s="954"/>
      <c r="DPQ76" s="954"/>
      <c r="DPR76" s="954"/>
      <c r="DPS76" s="954"/>
      <c r="DPT76" s="954"/>
      <c r="DPU76" s="954"/>
      <c r="DPV76" s="954"/>
      <c r="DPW76" s="954"/>
      <c r="DPX76" s="954"/>
      <c r="DPY76" s="954"/>
      <c r="DPZ76" s="954"/>
      <c r="DQA76" s="954"/>
      <c r="DQB76" s="954"/>
      <c r="DQC76" s="954"/>
      <c r="DQD76" s="954"/>
      <c r="DQE76" s="954"/>
      <c r="DQF76" s="954"/>
      <c r="DQG76" s="954"/>
      <c r="DQH76" s="954"/>
      <c r="DQI76" s="954"/>
      <c r="DQJ76" s="954"/>
      <c r="DQK76" s="954"/>
      <c r="DQL76" s="954"/>
      <c r="DQM76" s="954"/>
      <c r="DQN76" s="954"/>
      <c r="DQO76" s="954"/>
      <c r="DQP76" s="954"/>
      <c r="DQQ76" s="954"/>
      <c r="DQR76" s="954"/>
      <c r="DQS76" s="954"/>
      <c r="DQT76" s="954"/>
      <c r="DQU76" s="954"/>
      <c r="DQV76" s="954"/>
      <c r="DQW76" s="954"/>
      <c r="DQX76" s="954"/>
      <c r="DQY76" s="954"/>
      <c r="DQZ76" s="954"/>
      <c r="DRA76" s="954"/>
      <c r="DRB76" s="954"/>
      <c r="DRC76" s="954"/>
      <c r="DRD76" s="954"/>
      <c r="DRE76" s="954"/>
      <c r="DRF76" s="954"/>
      <c r="DRG76" s="954"/>
      <c r="DRH76" s="954"/>
      <c r="DRI76" s="954"/>
      <c r="DRJ76" s="954"/>
      <c r="DRK76" s="954"/>
      <c r="DRL76" s="954"/>
      <c r="DRM76" s="954"/>
      <c r="DRN76" s="954"/>
      <c r="DRO76" s="954"/>
      <c r="DRP76" s="954"/>
      <c r="DRQ76" s="954"/>
      <c r="DRR76" s="954"/>
      <c r="DRS76" s="954"/>
      <c r="DRT76" s="954"/>
      <c r="DRU76" s="954"/>
      <c r="DRV76" s="954"/>
      <c r="DRW76" s="954"/>
      <c r="DRX76" s="954"/>
      <c r="DRY76" s="954"/>
      <c r="DRZ76" s="954"/>
      <c r="DSA76" s="954"/>
      <c r="DSB76" s="954"/>
      <c r="DSC76" s="954"/>
      <c r="DSD76" s="954"/>
      <c r="DSE76" s="954"/>
      <c r="DSF76" s="954"/>
      <c r="DSG76" s="954"/>
      <c r="DSH76" s="954"/>
      <c r="DSI76" s="954"/>
      <c r="DSJ76" s="954"/>
      <c r="DSK76" s="954"/>
      <c r="DSL76" s="954"/>
      <c r="DSM76" s="954"/>
      <c r="DSN76" s="954"/>
      <c r="DSO76" s="954"/>
      <c r="DSP76" s="954"/>
      <c r="DSQ76" s="954"/>
      <c r="DSR76" s="954"/>
      <c r="DSS76" s="954"/>
      <c r="DST76" s="954"/>
      <c r="DSU76" s="954"/>
      <c r="DSV76" s="954"/>
      <c r="DSW76" s="954"/>
      <c r="DSX76" s="954"/>
      <c r="DSY76" s="954"/>
      <c r="DSZ76" s="954"/>
      <c r="DTA76" s="954"/>
      <c r="DTB76" s="954"/>
      <c r="DTC76" s="954"/>
      <c r="DTD76" s="954"/>
      <c r="DTE76" s="954"/>
      <c r="DTF76" s="954"/>
      <c r="DTG76" s="954"/>
      <c r="DTH76" s="954"/>
      <c r="DTI76" s="954"/>
      <c r="DTJ76" s="954"/>
      <c r="DTK76" s="954"/>
      <c r="DTL76" s="954"/>
      <c r="DTM76" s="954"/>
      <c r="DTN76" s="954"/>
      <c r="DTO76" s="954"/>
      <c r="DTP76" s="954"/>
      <c r="DTQ76" s="954"/>
      <c r="DTR76" s="954"/>
      <c r="DTS76" s="954"/>
      <c r="DTT76" s="954"/>
      <c r="DTU76" s="954"/>
      <c r="DTV76" s="954"/>
      <c r="DTW76" s="954"/>
      <c r="DTX76" s="954"/>
      <c r="DTY76" s="954"/>
      <c r="DTZ76" s="954"/>
      <c r="DUA76" s="954"/>
      <c r="DUB76" s="954"/>
      <c r="DUC76" s="954"/>
      <c r="DUD76" s="954"/>
      <c r="DUE76" s="954"/>
      <c r="DUF76" s="954"/>
      <c r="DUG76" s="954"/>
      <c r="DUH76" s="954"/>
      <c r="DUI76" s="954"/>
      <c r="DUJ76" s="954"/>
      <c r="DUK76" s="954"/>
      <c r="DUL76" s="954"/>
      <c r="DUM76" s="954"/>
      <c r="DUN76" s="954"/>
      <c r="DUO76" s="954"/>
      <c r="DUP76" s="954"/>
      <c r="DUQ76" s="954"/>
      <c r="DUR76" s="954"/>
      <c r="DUS76" s="954"/>
      <c r="DUT76" s="954"/>
      <c r="DUU76" s="954"/>
      <c r="DUV76" s="954"/>
      <c r="DUW76" s="954"/>
      <c r="DUX76" s="954"/>
      <c r="DUY76" s="954"/>
      <c r="DUZ76" s="954"/>
      <c r="DVA76" s="954"/>
      <c r="DVB76" s="954"/>
      <c r="DVC76" s="954"/>
      <c r="DVD76" s="954"/>
      <c r="DVE76" s="954"/>
      <c r="DVF76" s="954"/>
      <c r="DVG76" s="954"/>
      <c r="DVH76" s="954"/>
      <c r="DVI76" s="954"/>
      <c r="DVJ76" s="954"/>
      <c r="DVK76" s="954"/>
      <c r="DVL76" s="954"/>
      <c r="DVM76" s="954"/>
      <c r="DVN76" s="954"/>
      <c r="DVO76" s="954"/>
      <c r="DVP76" s="954"/>
      <c r="DVQ76" s="954"/>
      <c r="DVR76" s="954"/>
      <c r="DVS76" s="954"/>
      <c r="DVT76" s="954"/>
      <c r="DVU76" s="954"/>
      <c r="DVV76" s="954"/>
      <c r="DVW76" s="954"/>
      <c r="DVX76" s="954"/>
      <c r="DVY76" s="954"/>
      <c r="DVZ76" s="954"/>
      <c r="DWA76" s="954"/>
      <c r="DWB76" s="954"/>
      <c r="DWC76" s="954"/>
      <c r="DWD76" s="954"/>
      <c r="DWE76" s="954"/>
      <c r="DWF76" s="954"/>
      <c r="DWG76" s="954"/>
      <c r="DWH76" s="954"/>
      <c r="DWI76" s="954"/>
      <c r="DWJ76" s="954"/>
      <c r="DWK76" s="954"/>
      <c r="DWL76" s="954"/>
      <c r="DWM76" s="954"/>
      <c r="DWN76" s="954"/>
      <c r="DWO76" s="954"/>
      <c r="DWP76" s="954"/>
      <c r="DWQ76" s="954"/>
      <c r="DWR76" s="954"/>
      <c r="DWS76" s="954"/>
      <c r="DWT76" s="954"/>
      <c r="DWU76" s="954"/>
      <c r="DWV76" s="954"/>
      <c r="DWW76" s="954"/>
      <c r="DWX76" s="954"/>
      <c r="DWY76" s="954"/>
      <c r="DWZ76" s="954"/>
      <c r="DXA76" s="954"/>
      <c r="DXB76" s="954"/>
      <c r="DXC76" s="954"/>
      <c r="DXD76" s="954"/>
      <c r="DXE76" s="954"/>
      <c r="DXF76" s="954"/>
      <c r="DXG76" s="954"/>
      <c r="DXH76" s="954"/>
      <c r="DXI76" s="954"/>
      <c r="DXJ76" s="954"/>
      <c r="DXK76" s="954"/>
      <c r="DXL76" s="954"/>
      <c r="DXM76" s="954"/>
      <c r="DXN76" s="954"/>
      <c r="DXO76" s="954"/>
      <c r="DXP76" s="954"/>
      <c r="DXQ76" s="954"/>
      <c r="DXR76" s="954"/>
      <c r="DXS76" s="954"/>
      <c r="DXT76" s="954"/>
      <c r="DXU76" s="954"/>
      <c r="DXV76" s="954"/>
      <c r="DXW76" s="954"/>
      <c r="DXX76" s="954"/>
      <c r="DXY76" s="954"/>
      <c r="DXZ76" s="954"/>
      <c r="DYA76" s="954"/>
      <c r="DYB76" s="954"/>
      <c r="DYC76" s="954"/>
      <c r="DYD76" s="954"/>
      <c r="DYE76" s="954"/>
      <c r="DYF76" s="954"/>
      <c r="DYG76" s="954"/>
      <c r="DYH76" s="954"/>
      <c r="DYI76" s="954"/>
      <c r="DYJ76" s="954"/>
      <c r="DYK76" s="954"/>
      <c r="DYL76" s="954"/>
      <c r="DYM76" s="954"/>
      <c r="DYN76" s="954"/>
      <c r="DYO76" s="954"/>
      <c r="DYP76" s="954"/>
      <c r="DYQ76" s="954"/>
      <c r="DYR76" s="954"/>
      <c r="DYS76" s="954"/>
      <c r="DYT76" s="954"/>
      <c r="DYU76" s="954"/>
      <c r="DYV76" s="954"/>
      <c r="DYW76" s="954"/>
      <c r="DYX76" s="954"/>
      <c r="DYY76" s="954"/>
      <c r="DYZ76" s="954"/>
      <c r="DZA76" s="954"/>
      <c r="DZB76" s="954"/>
      <c r="DZC76" s="954"/>
      <c r="DZD76" s="954"/>
      <c r="DZE76" s="954"/>
      <c r="DZF76" s="954"/>
      <c r="DZG76" s="954"/>
      <c r="DZH76" s="954"/>
      <c r="DZI76" s="954"/>
      <c r="DZJ76" s="954"/>
      <c r="DZK76" s="954"/>
      <c r="DZL76" s="954"/>
      <c r="DZM76" s="954"/>
      <c r="DZN76" s="954"/>
      <c r="DZO76" s="954"/>
      <c r="DZP76" s="954"/>
      <c r="DZQ76" s="954"/>
      <c r="DZR76" s="954"/>
      <c r="DZS76" s="954"/>
      <c r="DZT76" s="954"/>
      <c r="DZU76" s="954"/>
      <c r="DZV76" s="954"/>
      <c r="DZW76" s="954"/>
      <c r="DZX76" s="954"/>
      <c r="DZY76" s="954"/>
      <c r="DZZ76" s="954"/>
      <c r="EAA76" s="954"/>
      <c r="EAB76" s="954"/>
      <c r="EAC76" s="954"/>
      <c r="EAD76" s="954"/>
      <c r="EAE76" s="954"/>
      <c r="EAF76" s="954"/>
      <c r="EAG76" s="954"/>
      <c r="EAH76" s="954"/>
      <c r="EAI76" s="954"/>
      <c r="EAJ76" s="954"/>
      <c r="EAK76" s="954"/>
      <c r="EAL76" s="954"/>
      <c r="EAM76" s="954"/>
      <c r="EAN76" s="954"/>
      <c r="EAO76" s="954"/>
      <c r="EAP76" s="954"/>
      <c r="EAQ76" s="954"/>
      <c r="EAR76" s="954"/>
      <c r="EAS76" s="954"/>
      <c r="EAT76" s="954"/>
      <c r="EAU76" s="954"/>
      <c r="EAV76" s="954"/>
      <c r="EAW76" s="954"/>
      <c r="EAX76" s="954"/>
      <c r="EAY76" s="954"/>
      <c r="EAZ76" s="954"/>
      <c r="EBA76" s="954"/>
      <c r="EBB76" s="954"/>
      <c r="EBC76" s="954"/>
      <c r="EBD76" s="954"/>
      <c r="EBE76" s="954"/>
      <c r="EBF76" s="954"/>
      <c r="EBG76" s="954"/>
      <c r="EBH76" s="954"/>
      <c r="EBI76" s="954"/>
      <c r="EBJ76" s="954"/>
      <c r="EBK76" s="954"/>
      <c r="EBL76" s="954"/>
      <c r="EBM76" s="954"/>
      <c r="EBN76" s="954"/>
      <c r="EBO76" s="954"/>
      <c r="EBP76" s="954"/>
      <c r="EBQ76" s="954"/>
      <c r="EBR76" s="954"/>
      <c r="EBS76" s="954"/>
      <c r="EBT76" s="954"/>
      <c r="EBU76" s="954"/>
      <c r="EBV76" s="954"/>
      <c r="EBW76" s="954"/>
      <c r="EBX76" s="954"/>
      <c r="EBY76" s="954"/>
      <c r="EBZ76" s="954"/>
      <c r="ECA76" s="954"/>
      <c r="ECB76" s="954"/>
      <c r="ECC76" s="954"/>
      <c r="ECD76" s="954"/>
      <c r="ECE76" s="954"/>
      <c r="ECF76" s="954"/>
      <c r="ECG76" s="954"/>
      <c r="ECH76" s="954"/>
      <c r="ECI76" s="954"/>
      <c r="ECJ76" s="954"/>
      <c r="ECK76" s="954"/>
      <c r="ECL76" s="954"/>
      <c r="ECM76" s="954"/>
      <c r="ECN76" s="954"/>
      <c r="ECO76" s="954"/>
      <c r="ECP76" s="954"/>
      <c r="ECQ76" s="954"/>
      <c r="ECR76" s="954"/>
      <c r="ECS76" s="954"/>
      <c r="ECT76" s="954"/>
      <c r="ECU76" s="954"/>
      <c r="ECV76" s="954"/>
      <c r="ECW76" s="954"/>
      <c r="ECX76" s="954"/>
      <c r="ECY76" s="954"/>
      <c r="ECZ76" s="954"/>
      <c r="EDA76" s="954"/>
      <c r="EDB76" s="954"/>
      <c r="EDC76" s="954"/>
      <c r="EDD76" s="954"/>
      <c r="EDE76" s="954"/>
      <c r="EDF76" s="954"/>
      <c r="EDG76" s="954"/>
      <c r="EDH76" s="954"/>
      <c r="EDI76" s="954"/>
      <c r="EDJ76" s="954"/>
      <c r="EDK76" s="954"/>
      <c r="EDL76" s="954"/>
      <c r="EDM76" s="954"/>
      <c r="EDN76" s="954"/>
      <c r="EDO76" s="954"/>
      <c r="EDP76" s="954"/>
      <c r="EDQ76" s="954"/>
      <c r="EDR76" s="954"/>
      <c r="EDS76" s="954"/>
      <c r="EDT76" s="954"/>
      <c r="EDU76" s="954"/>
      <c r="EDV76" s="954"/>
      <c r="EDW76" s="954"/>
      <c r="EDX76" s="954"/>
      <c r="EDY76" s="954"/>
      <c r="EDZ76" s="954"/>
      <c r="EEA76" s="954"/>
      <c r="EEB76" s="954"/>
      <c r="EEC76" s="954"/>
      <c r="EED76" s="954"/>
      <c r="EEE76" s="954"/>
      <c r="EEF76" s="954"/>
      <c r="EEG76" s="954"/>
      <c r="EEH76" s="954"/>
      <c r="EEI76" s="954"/>
      <c r="EEJ76" s="954"/>
      <c r="EEK76" s="954"/>
      <c r="EEL76" s="954"/>
      <c r="EEM76" s="954"/>
      <c r="EEN76" s="954"/>
      <c r="EEO76" s="954"/>
      <c r="EEP76" s="954"/>
      <c r="EEQ76" s="954"/>
      <c r="EER76" s="954"/>
      <c r="EES76" s="954"/>
      <c r="EET76" s="954"/>
      <c r="EEU76" s="954"/>
      <c r="EEV76" s="954"/>
      <c r="EEW76" s="954"/>
      <c r="EEX76" s="954"/>
      <c r="EEY76" s="954"/>
      <c r="EEZ76" s="954"/>
      <c r="EFA76" s="954"/>
      <c r="EFB76" s="954"/>
      <c r="EFC76" s="954"/>
      <c r="EFD76" s="954"/>
      <c r="EFE76" s="954"/>
      <c r="EFF76" s="954"/>
      <c r="EFG76" s="954"/>
      <c r="EFH76" s="954"/>
      <c r="EFI76" s="954"/>
      <c r="EFJ76" s="954"/>
      <c r="EFK76" s="954"/>
      <c r="EFL76" s="954"/>
      <c r="EFM76" s="954"/>
      <c r="EFN76" s="954"/>
      <c r="EFO76" s="954"/>
      <c r="EFP76" s="954"/>
      <c r="EFQ76" s="954"/>
      <c r="EFR76" s="954"/>
      <c r="EFS76" s="954"/>
      <c r="EFT76" s="954"/>
      <c r="EFU76" s="954"/>
      <c r="EFV76" s="954"/>
      <c r="EFW76" s="954"/>
      <c r="EFX76" s="954"/>
      <c r="EFY76" s="954"/>
      <c r="EFZ76" s="954"/>
      <c r="EGA76" s="954"/>
      <c r="EGB76" s="954"/>
      <c r="EGC76" s="954"/>
      <c r="EGD76" s="954"/>
      <c r="EGE76" s="954"/>
      <c r="EGF76" s="954"/>
      <c r="EGG76" s="954"/>
      <c r="EGH76" s="954"/>
      <c r="EGI76" s="954"/>
      <c r="EGJ76" s="954"/>
      <c r="EGK76" s="954"/>
      <c r="EGL76" s="954"/>
      <c r="EGM76" s="954"/>
      <c r="EGN76" s="954"/>
      <c r="EGO76" s="954"/>
      <c r="EGP76" s="954"/>
      <c r="EGQ76" s="954"/>
      <c r="EGR76" s="954"/>
      <c r="EGS76" s="954"/>
      <c r="EGT76" s="954"/>
      <c r="EGU76" s="954"/>
      <c r="EGV76" s="954"/>
      <c r="EGW76" s="954"/>
      <c r="EGX76" s="954"/>
      <c r="EGY76" s="954"/>
      <c r="EGZ76" s="954"/>
      <c r="EHA76" s="954"/>
      <c r="EHB76" s="954"/>
      <c r="EHC76" s="954"/>
      <c r="EHD76" s="954"/>
      <c r="EHE76" s="954"/>
      <c r="EHF76" s="954"/>
      <c r="EHG76" s="954"/>
      <c r="EHH76" s="954"/>
      <c r="EHI76" s="954"/>
      <c r="EHJ76" s="954"/>
      <c r="EHK76" s="954"/>
      <c r="EHL76" s="954"/>
      <c r="EHM76" s="954"/>
      <c r="EHN76" s="954"/>
      <c r="EHO76" s="954"/>
      <c r="EHP76" s="954"/>
      <c r="EHQ76" s="954"/>
      <c r="EHR76" s="954"/>
      <c r="EHS76" s="954"/>
      <c r="EHT76" s="954"/>
      <c r="EHU76" s="954"/>
      <c r="EHV76" s="954"/>
      <c r="EHW76" s="954"/>
      <c r="EHX76" s="954"/>
      <c r="EHY76" s="954"/>
      <c r="EHZ76" s="954"/>
      <c r="EIA76" s="954"/>
      <c r="EIB76" s="954"/>
      <c r="EIC76" s="954"/>
      <c r="EID76" s="954"/>
      <c r="EIE76" s="954"/>
      <c r="EIF76" s="954"/>
      <c r="EIG76" s="954"/>
      <c r="EIH76" s="954"/>
      <c r="EII76" s="954"/>
      <c r="EIJ76" s="954"/>
      <c r="EIK76" s="954"/>
      <c r="EIL76" s="954"/>
      <c r="EIM76" s="954"/>
      <c r="EIN76" s="954"/>
      <c r="EIO76" s="954"/>
      <c r="EIP76" s="954"/>
      <c r="EIQ76" s="954"/>
      <c r="EIR76" s="954"/>
      <c r="EIS76" s="954"/>
      <c r="EIT76" s="954"/>
      <c r="EIU76" s="954"/>
      <c r="EIV76" s="954"/>
      <c r="EIW76" s="954"/>
      <c r="EIX76" s="954"/>
      <c r="EIY76" s="954"/>
      <c r="EIZ76" s="954"/>
      <c r="EJA76" s="954"/>
      <c r="EJB76" s="954"/>
      <c r="EJC76" s="954"/>
      <c r="EJD76" s="954"/>
      <c r="EJE76" s="954"/>
      <c r="EJF76" s="954"/>
      <c r="EJG76" s="954"/>
      <c r="EJH76" s="954"/>
      <c r="EJI76" s="954"/>
      <c r="EJJ76" s="954"/>
      <c r="EJK76" s="954"/>
      <c r="EJL76" s="954"/>
      <c r="EJM76" s="954"/>
      <c r="EJN76" s="954"/>
      <c r="EJO76" s="954"/>
      <c r="EJP76" s="954"/>
      <c r="EJQ76" s="954"/>
      <c r="EJR76" s="954"/>
      <c r="EJS76" s="954"/>
      <c r="EJT76" s="954"/>
      <c r="EJU76" s="954"/>
      <c r="EJV76" s="954"/>
      <c r="EJW76" s="954"/>
      <c r="EJX76" s="954"/>
      <c r="EJY76" s="954"/>
      <c r="EJZ76" s="954"/>
      <c r="EKA76" s="954"/>
      <c r="EKB76" s="954"/>
      <c r="EKC76" s="954"/>
      <c r="EKD76" s="954"/>
      <c r="EKE76" s="954"/>
      <c r="EKF76" s="954"/>
      <c r="EKG76" s="954"/>
      <c r="EKH76" s="954"/>
      <c r="EKI76" s="954"/>
      <c r="EKJ76" s="954"/>
      <c r="EKK76" s="954"/>
      <c r="EKL76" s="954"/>
      <c r="EKM76" s="954"/>
      <c r="EKN76" s="954"/>
      <c r="EKO76" s="954"/>
      <c r="EKP76" s="954"/>
      <c r="EKQ76" s="954"/>
      <c r="EKR76" s="954"/>
      <c r="EKS76" s="954"/>
      <c r="EKT76" s="954"/>
      <c r="EKU76" s="954"/>
      <c r="EKV76" s="954"/>
      <c r="EKW76" s="954"/>
      <c r="EKX76" s="954"/>
      <c r="EKY76" s="954"/>
      <c r="EKZ76" s="954"/>
      <c r="ELA76" s="954"/>
      <c r="ELB76" s="954"/>
      <c r="ELC76" s="954"/>
      <c r="ELD76" s="954"/>
      <c r="ELE76" s="954"/>
      <c r="ELF76" s="954"/>
      <c r="ELG76" s="954"/>
      <c r="ELH76" s="954"/>
      <c r="ELI76" s="954"/>
      <c r="ELJ76" s="954"/>
      <c r="ELK76" s="954"/>
      <c r="ELL76" s="954"/>
      <c r="ELM76" s="954"/>
      <c r="ELN76" s="954"/>
      <c r="ELO76" s="954"/>
      <c r="ELP76" s="954"/>
      <c r="ELQ76" s="954"/>
      <c r="ELR76" s="954"/>
      <c r="ELS76" s="954"/>
      <c r="ELT76" s="954"/>
      <c r="ELU76" s="954"/>
      <c r="ELV76" s="954"/>
      <c r="ELW76" s="954"/>
      <c r="ELX76" s="954"/>
      <c r="ELY76" s="954"/>
      <c r="ELZ76" s="954"/>
      <c r="EMA76" s="954"/>
      <c r="EMB76" s="954"/>
      <c r="EMC76" s="954"/>
      <c r="EMD76" s="954"/>
      <c r="EME76" s="954"/>
      <c r="EMF76" s="954"/>
      <c r="EMG76" s="954"/>
      <c r="EMH76" s="954"/>
      <c r="EMI76" s="954"/>
      <c r="EMJ76" s="954"/>
      <c r="EMK76" s="954"/>
      <c r="EML76" s="954"/>
      <c r="EMM76" s="954"/>
      <c r="EMN76" s="954"/>
      <c r="EMO76" s="954"/>
      <c r="EMP76" s="954"/>
      <c r="EMQ76" s="954"/>
      <c r="EMR76" s="954"/>
      <c r="EMS76" s="954"/>
      <c r="EMT76" s="954"/>
      <c r="EMU76" s="954"/>
      <c r="EMV76" s="954"/>
      <c r="EMW76" s="954"/>
      <c r="EMX76" s="954"/>
      <c r="EMY76" s="954"/>
      <c r="EMZ76" s="954"/>
      <c r="ENA76" s="954"/>
      <c r="ENB76" s="954"/>
      <c r="ENC76" s="954"/>
      <c r="END76" s="954"/>
      <c r="ENE76" s="954"/>
      <c r="ENF76" s="954"/>
      <c r="ENG76" s="954"/>
      <c r="ENH76" s="954"/>
      <c r="ENI76" s="954"/>
      <c r="ENJ76" s="954"/>
      <c r="ENK76" s="954"/>
      <c r="ENL76" s="954"/>
      <c r="ENM76" s="954"/>
      <c r="ENN76" s="954"/>
      <c r="ENO76" s="954"/>
      <c r="ENP76" s="954"/>
      <c r="ENQ76" s="954"/>
      <c r="ENR76" s="954"/>
      <c r="ENS76" s="954"/>
      <c r="ENT76" s="954"/>
      <c r="ENU76" s="954"/>
      <c r="ENV76" s="954"/>
      <c r="ENW76" s="954"/>
      <c r="ENX76" s="954"/>
      <c r="ENY76" s="954"/>
      <c r="ENZ76" s="954"/>
      <c r="EOA76" s="954"/>
      <c r="EOB76" s="954"/>
      <c r="EOC76" s="954"/>
      <c r="EOD76" s="954"/>
      <c r="EOE76" s="954"/>
      <c r="EOF76" s="954"/>
      <c r="EOG76" s="954"/>
      <c r="EOH76" s="954"/>
      <c r="EOI76" s="954"/>
      <c r="EOJ76" s="954"/>
      <c r="EOK76" s="954"/>
      <c r="EOL76" s="954"/>
      <c r="EOM76" s="954"/>
      <c r="EON76" s="954"/>
      <c r="EOO76" s="954"/>
      <c r="EOP76" s="954"/>
      <c r="EOQ76" s="954"/>
      <c r="EOR76" s="954"/>
      <c r="EOS76" s="954"/>
      <c r="EOT76" s="954"/>
      <c r="EOU76" s="954"/>
      <c r="EOV76" s="954"/>
      <c r="EOW76" s="954"/>
      <c r="EOX76" s="954"/>
      <c r="EOY76" s="954"/>
      <c r="EOZ76" s="954"/>
      <c r="EPA76" s="954"/>
      <c r="EPB76" s="954"/>
      <c r="EPC76" s="954"/>
      <c r="EPD76" s="954"/>
      <c r="EPE76" s="954"/>
      <c r="EPF76" s="954"/>
      <c r="EPG76" s="954"/>
      <c r="EPH76" s="954"/>
      <c r="EPI76" s="954"/>
      <c r="EPJ76" s="954"/>
      <c r="EPK76" s="954"/>
      <c r="EPL76" s="954"/>
      <c r="EPM76" s="954"/>
      <c r="EPN76" s="954"/>
      <c r="EPO76" s="954"/>
      <c r="EPP76" s="954"/>
      <c r="EPQ76" s="954"/>
      <c r="EPR76" s="954"/>
      <c r="EPS76" s="954"/>
      <c r="EPT76" s="954"/>
      <c r="EPU76" s="954"/>
      <c r="EPV76" s="954"/>
      <c r="EPW76" s="954"/>
      <c r="EPX76" s="954"/>
      <c r="EPY76" s="954"/>
      <c r="EPZ76" s="954"/>
      <c r="EQA76" s="954"/>
      <c r="EQB76" s="954"/>
      <c r="EQC76" s="954"/>
      <c r="EQD76" s="954"/>
      <c r="EQE76" s="954"/>
      <c r="EQF76" s="954"/>
      <c r="EQG76" s="954"/>
      <c r="EQH76" s="954"/>
      <c r="EQI76" s="954"/>
      <c r="EQJ76" s="954"/>
      <c r="EQK76" s="954"/>
      <c r="EQL76" s="954"/>
      <c r="EQM76" s="954"/>
      <c r="EQN76" s="954"/>
      <c r="EQO76" s="954"/>
      <c r="EQP76" s="954"/>
      <c r="EQQ76" s="954"/>
      <c r="EQR76" s="954"/>
      <c r="EQS76" s="954"/>
      <c r="EQT76" s="954"/>
      <c r="EQU76" s="954"/>
      <c r="EQV76" s="954"/>
      <c r="EQW76" s="954"/>
      <c r="EQX76" s="954"/>
      <c r="EQY76" s="954"/>
      <c r="EQZ76" s="954"/>
      <c r="ERA76" s="954"/>
      <c r="ERB76" s="954"/>
      <c r="ERC76" s="954"/>
      <c r="ERD76" s="954"/>
      <c r="ERE76" s="954"/>
      <c r="ERF76" s="954"/>
      <c r="ERG76" s="954"/>
      <c r="ERH76" s="954"/>
      <c r="ERI76" s="954"/>
      <c r="ERJ76" s="954"/>
      <c r="ERK76" s="954"/>
      <c r="ERL76" s="954"/>
      <c r="ERM76" s="954"/>
      <c r="ERN76" s="954"/>
      <c r="ERO76" s="954"/>
      <c r="ERP76" s="954"/>
      <c r="ERQ76" s="954"/>
      <c r="ERR76" s="954"/>
      <c r="ERS76" s="954"/>
      <c r="ERT76" s="954"/>
      <c r="ERU76" s="954"/>
      <c r="ERV76" s="954"/>
      <c r="ERW76" s="954"/>
      <c r="ERX76" s="954"/>
      <c r="ERY76" s="954"/>
      <c r="ERZ76" s="954"/>
      <c r="ESA76" s="954"/>
      <c r="ESB76" s="954"/>
      <c r="ESC76" s="954"/>
      <c r="ESD76" s="954"/>
      <c r="ESE76" s="954"/>
      <c r="ESF76" s="954"/>
      <c r="ESG76" s="954"/>
      <c r="ESH76" s="954"/>
      <c r="ESI76" s="954"/>
      <c r="ESJ76" s="954"/>
      <c r="ESK76" s="954"/>
      <c r="ESL76" s="954"/>
      <c r="ESM76" s="954"/>
      <c r="ESN76" s="954"/>
      <c r="ESO76" s="954"/>
      <c r="ESP76" s="954"/>
      <c r="ESQ76" s="954"/>
      <c r="ESR76" s="954"/>
      <c r="ESS76" s="954"/>
      <c r="EST76" s="954"/>
      <c r="ESU76" s="954"/>
      <c r="ESV76" s="954"/>
      <c r="ESW76" s="954"/>
      <c r="ESX76" s="954"/>
      <c r="ESY76" s="954"/>
      <c r="ESZ76" s="954"/>
      <c r="ETA76" s="954"/>
      <c r="ETB76" s="954"/>
      <c r="ETC76" s="954"/>
      <c r="ETD76" s="954"/>
      <c r="ETE76" s="954"/>
      <c r="ETF76" s="954"/>
      <c r="ETG76" s="954"/>
      <c r="ETH76" s="954"/>
      <c r="ETI76" s="954"/>
      <c r="ETJ76" s="954"/>
      <c r="ETK76" s="954"/>
      <c r="ETL76" s="954"/>
      <c r="ETM76" s="954"/>
      <c r="ETN76" s="954"/>
      <c r="ETO76" s="954"/>
      <c r="ETP76" s="954"/>
      <c r="ETQ76" s="954"/>
      <c r="ETR76" s="954"/>
      <c r="ETS76" s="954"/>
      <c r="ETT76" s="954"/>
      <c r="ETU76" s="954"/>
      <c r="ETV76" s="954"/>
      <c r="ETW76" s="954"/>
      <c r="ETX76" s="954"/>
      <c r="ETY76" s="954"/>
      <c r="ETZ76" s="954"/>
      <c r="EUA76" s="954"/>
      <c r="EUB76" s="954"/>
      <c r="EUC76" s="954"/>
      <c r="EUD76" s="954"/>
      <c r="EUE76" s="954"/>
      <c r="EUF76" s="954"/>
      <c r="EUG76" s="954"/>
      <c r="EUH76" s="954"/>
      <c r="EUI76" s="954"/>
      <c r="EUJ76" s="954"/>
      <c r="EUK76" s="954"/>
      <c r="EUL76" s="954"/>
      <c r="EUM76" s="954"/>
      <c r="EUN76" s="954"/>
      <c r="EUO76" s="954"/>
      <c r="EUP76" s="954"/>
      <c r="EUQ76" s="954"/>
      <c r="EUR76" s="954"/>
      <c r="EUS76" s="954"/>
      <c r="EUT76" s="954"/>
      <c r="EUU76" s="954"/>
      <c r="EUV76" s="954"/>
      <c r="EUW76" s="954"/>
      <c r="EUX76" s="954"/>
      <c r="EUY76" s="954"/>
      <c r="EUZ76" s="954"/>
      <c r="EVA76" s="954"/>
      <c r="EVB76" s="954"/>
      <c r="EVC76" s="954"/>
      <c r="EVD76" s="954"/>
      <c r="EVE76" s="954"/>
      <c r="EVF76" s="954"/>
      <c r="EVG76" s="954"/>
      <c r="EVH76" s="954"/>
      <c r="EVI76" s="954"/>
      <c r="EVJ76" s="954"/>
      <c r="EVK76" s="954"/>
      <c r="EVL76" s="954"/>
      <c r="EVM76" s="954"/>
      <c r="EVN76" s="954"/>
      <c r="EVO76" s="954"/>
      <c r="EVP76" s="954"/>
      <c r="EVQ76" s="954"/>
      <c r="EVR76" s="954"/>
      <c r="EVS76" s="954"/>
      <c r="EVT76" s="954"/>
      <c r="EVU76" s="954"/>
      <c r="EVV76" s="954"/>
      <c r="EVW76" s="954"/>
      <c r="EVX76" s="954"/>
      <c r="EVY76" s="954"/>
      <c r="EVZ76" s="954"/>
      <c r="EWA76" s="954"/>
      <c r="EWB76" s="954"/>
      <c r="EWC76" s="954"/>
      <c r="EWD76" s="954"/>
      <c r="EWE76" s="954"/>
      <c r="EWF76" s="954"/>
      <c r="EWG76" s="954"/>
      <c r="EWH76" s="954"/>
      <c r="EWI76" s="954"/>
      <c r="EWJ76" s="954"/>
      <c r="EWK76" s="954"/>
      <c r="EWL76" s="954"/>
      <c r="EWM76" s="954"/>
      <c r="EWN76" s="954"/>
      <c r="EWO76" s="954"/>
      <c r="EWP76" s="954"/>
      <c r="EWQ76" s="954"/>
      <c r="EWR76" s="954"/>
      <c r="EWS76" s="954"/>
      <c r="EWT76" s="954"/>
      <c r="EWU76" s="954"/>
      <c r="EWV76" s="954"/>
      <c r="EWW76" s="954"/>
      <c r="EWX76" s="954"/>
      <c r="EWY76" s="954"/>
      <c r="EWZ76" s="954"/>
      <c r="EXA76" s="954"/>
      <c r="EXB76" s="954"/>
      <c r="EXC76" s="954"/>
      <c r="EXD76" s="954"/>
      <c r="EXE76" s="954"/>
      <c r="EXF76" s="954"/>
      <c r="EXG76" s="954"/>
      <c r="EXH76" s="954"/>
      <c r="EXI76" s="954"/>
      <c r="EXJ76" s="954"/>
      <c r="EXK76" s="954"/>
      <c r="EXL76" s="954"/>
      <c r="EXM76" s="954"/>
      <c r="EXN76" s="954"/>
      <c r="EXO76" s="954"/>
      <c r="EXP76" s="954"/>
      <c r="EXQ76" s="954"/>
      <c r="EXR76" s="954"/>
      <c r="EXS76" s="954"/>
      <c r="EXT76" s="954"/>
      <c r="EXU76" s="954"/>
      <c r="EXV76" s="954"/>
      <c r="EXW76" s="954"/>
      <c r="EXX76" s="954"/>
      <c r="EXY76" s="954"/>
      <c r="EXZ76" s="954"/>
      <c r="EYA76" s="954"/>
      <c r="EYB76" s="954"/>
      <c r="EYC76" s="954"/>
      <c r="EYD76" s="954"/>
      <c r="EYE76" s="954"/>
      <c r="EYF76" s="954"/>
      <c r="EYG76" s="954"/>
      <c r="EYH76" s="954"/>
      <c r="EYI76" s="954"/>
      <c r="EYJ76" s="954"/>
      <c r="EYK76" s="954"/>
      <c r="EYL76" s="954"/>
      <c r="EYM76" s="954"/>
      <c r="EYN76" s="954"/>
      <c r="EYO76" s="954"/>
      <c r="EYP76" s="954"/>
      <c r="EYQ76" s="954"/>
      <c r="EYR76" s="954"/>
      <c r="EYS76" s="954"/>
      <c r="EYT76" s="954"/>
      <c r="EYU76" s="954"/>
      <c r="EYV76" s="954"/>
      <c r="EYW76" s="954"/>
      <c r="EYX76" s="954"/>
      <c r="EYY76" s="954"/>
      <c r="EYZ76" s="954"/>
      <c r="EZA76" s="954"/>
      <c r="EZB76" s="954"/>
      <c r="EZC76" s="954"/>
      <c r="EZD76" s="954"/>
      <c r="EZE76" s="954"/>
      <c r="EZF76" s="954"/>
      <c r="EZG76" s="954"/>
      <c r="EZH76" s="954"/>
      <c r="EZI76" s="954"/>
      <c r="EZJ76" s="954"/>
      <c r="EZK76" s="954"/>
      <c r="EZL76" s="954"/>
      <c r="EZM76" s="954"/>
      <c r="EZN76" s="954"/>
      <c r="EZO76" s="954"/>
      <c r="EZP76" s="954"/>
      <c r="EZQ76" s="954"/>
      <c r="EZR76" s="954"/>
      <c r="EZS76" s="954"/>
      <c r="EZT76" s="954"/>
      <c r="EZU76" s="954"/>
      <c r="EZV76" s="954"/>
      <c r="EZW76" s="954"/>
      <c r="EZX76" s="954"/>
      <c r="EZY76" s="954"/>
      <c r="EZZ76" s="954"/>
      <c r="FAA76" s="954"/>
      <c r="FAB76" s="954"/>
      <c r="FAC76" s="954"/>
      <c r="FAD76" s="954"/>
      <c r="FAE76" s="954"/>
      <c r="FAF76" s="954"/>
      <c r="FAG76" s="954"/>
      <c r="FAH76" s="954"/>
      <c r="FAI76" s="954"/>
      <c r="FAJ76" s="954"/>
      <c r="FAK76" s="954"/>
      <c r="FAL76" s="954"/>
      <c r="FAM76" s="954"/>
      <c r="FAN76" s="954"/>
      <c r="FAO76" s="954"/>
      <c r="FAP76" s="954"/>
      <c r="FAQ76" s="954"/>
      <c r="FAR76" s="954"/>
      <c r="FAS76" s="954"/>
      <c r="FAT76" s="954"/>
      <c r="FAU76" s="954"/>
      <c r="FAV76" s="954"/>
      <c r="FAW76" s="954"/>
      <c r="FAX76" s="954"/>
      <c r="FAY76" s="954"/>
      <c r="FAZ76" s="954"/>
      <c r="FBA76" s="954"/>
      <c r="FBB76" s="954"/>
      <c r="FBC76" s="954"/>
      <c r="FBD76" s="954"/>
      <c r="FBE76" s="954"/>
      <c r="FBF76" s="954"/>
      <c r="FBG76" s="954"/>
      <c r="FBH76" s="954"/>
      <c r="FBI76" s="954"/>
      <c r="FBJ76" s="954"/>
      <c r="FBK76" s="954"/>
      <c r="FBL76" s="954"/>
      <c r="FBM76" s="954"/>
      <c r="FBN76" s="954"/>
      <c r="FBO76" s="954"/>
      <c r="FBP76" s="954"/>
      <c r="FBQ76" s="954"/>
      <c r="FBR76" s="954"/>
      <c r="FBS76" s="954"/>
      <c r="FBT76" s="954"/>
      <c r="FBU76" s="954"/>
      <c r="FBV76" s="954"/>
      <c r="FBW76" s="954"/>
      <c r="FBX76" s="954"/>
      <c r="FBY76" s="954"/>
      <c r="FBZ76" s="954"/>
      <c r="FCA76" s="954"/>
      <c r="FCB76" s="954"/>
      <c r="FCC76" s="954"/>
      <c r="FCD76" s="954"/>
      <c r="FCE76" s="954"/>
      <c r="FCF76" s="954"/>
      <c r="FCG76" s="954"/>
      <c r="FCH76" s="954"/>
      <c r="FCI76" s="954"/>
      <c r="FCJ76" s="954"/>
      <c r="FCK76" s="954"/>
      <c r="FCL76" s="954"/>
      <c r="FCM76" s="954"/>
      <c r="FCN76" s="954"/>
      <c r="FCO76" s="954"/>
      <c r="FCP76" s="954"/>
      <c r="FCQ76" s="954"/>
      <c r="FCR76" s="954"/>
      <c r="FCS76" s="954"/>
      <c r="FCT76" s="954"/>
      <c r="FCU76" s="954"/>
      <c r="FCV76" s="954"/>
      <c r="FCW76" s="954"/>
      <c r="FCX76" s="954"/>
      <c r="FCY76" s="954"/>
      <c r="FCZ76" s="954"/>
      <c r="FDA76" s="954"/>
      <c r="FDB76" s="954"/>
      <c r="FDC76" s="954"/>
      <c r="FDD76" s="954"/>
      <c r="FDE76" s="954"/>
      <c r="FDF76" s="954"/>
      <c r="FDG76" s="954"/>
      <c r="FDH76" s="954"/>
      <c r="FDI76" s="954"/>
      <c r="FDJ76" s="954"/>
      <c r="FDK76" s="954"/>
      <c r="FDL76" s="954"/>
      <c r="FDM76" s="954"/>
      <c r="FDN76" s="954"/>
      <c r="FDO76" s="954"/>
      <c r="FDP76" s="954"/>
      <c r="FDQ76" s="954"/>
      <c r="FDR76" s="954"/>
      <c r="FDS76" s="954"/>
      <c r="FDT76" s="954"/>
      <c r="FDU76" s="954"/>
      <c r="FDV76" s="954"/>
      <c r="FDW76" s="954"/>
      <c r="FDX76" s="954"/>
      <c r="FDY76" s="954"/>
      <c r="FDZ76" s="954"/>
      <c r="FEA76" s="954"/>
      <c r="FEB76" s="954"/>
      <c r="FEC76" s="954"/>
      <c r="FED76" s="954"/>
      <c r="FEE76" s="954"/>
      <c r="FEF76" s="954"/>
      <c r="FEG76" s="954"/>
      <c r="FEH76" s="954"/>
      <c r="FEI76" s="954"/>
      <c r="FEJ76" s="954"/>
      <c r="FEK76" s="954"/>
      <c r="FEL76" s="954"/>
      <c r="FEM76" s="954"/>
      <c r="FEN76" s="954"/>
      <c r="FEO76" s="954"/>
      <c r="FEP76" s="954"/>
      <c r="FEQ76" s="954"/>
      <c r="FER76" s="954"/>
      <c r="FES76" s="954"/>
      <c r="FET76" s="954"/>
      <c r="FEU76" s="954"/>
      <c r="FEV76" s="954"/>
      <c r="FEW76" s="954"/>
      <c r="FEX76" s="954"/>
      <c r="FEY76" s="954"/>
      <c r="FEZ76" s="954"/>
      <c r="FFA76" s="954"/>
      <c r="FFB76" s="954"/>
      <c r="FFC76" s="954"/>
      <c r="FFD76" s="954"/>
      <c r="FFE76" s="954"/>
      <c r="FFF76" s="954"/>
      <c r="FFG76" s="954"/>
      <c r="FFH76" s="954"/>
      <c r="FFI76" s="954"/>
      <c r="FFJ76" s="954"/>
      <c r="FFK76" s="954"/>
      <c r="FFL76" s="954"/>
      <c r="FFM76" s="954"/>
      <c r="FFN76" s="954"/>
      <c r="FFO76" s="954"/>
      <c r="FFP76" s="954"/>
      <c r="FFQ76" s="954"/>
      <c r="FFR76" s="954"/>
      <c r="FFS76" s="954"/>
      <c r="FFT76" s="954"/>
      <c r="FFU76" s="954"/>
      <c r="FFV76" s="954"/>
      <c r="FFW76" s="954"/>
      <c r="FFX76" s="954"/>
      <c r="FFY76" s="954"/>
      <c r="FFZ76" s="954"/>
      <c r="FGA76" s="954"/>
      <c r="FGB76" s="954"/>
      <c r="FGC76" s="954"/>
      <c r="FGD76" s="954"/>
      <c r="FGE76" s="954"/>
      <c r="FGF76" s="954"/>
      <c r="FGG76" s="954"/>
      <c r="FGH76" s="954"/>
      <c r="FGI76" s="954"/>
      <c r="FGJ76" s="954"/>
      <c r="FGK76" s="954"/>
      <c r="FGL76" s="954"/>
      <c r="FGM76" s="954"/>
      <c r="FGN76" s="954"/>
      <c r="FGO76" s="954"/>
      <c r="FGP76" s="954"/>
      <c r="FGQ76" s="954"/>
      <c r="FGR76" s="954"/>
      <c r="FGS76" s="954"/>
      <c r="FGT76" s="954"/>
      <c r="FGU76" s="954"/>
      <c r="FGV76" s="954"/>
      <c r="FGW76" s="954"/>
      <c r="FGX76" s="954"/>
      <c r="FGY76" s="954"/>
      <c r="FGZ76" s="954"/>
      <c r="FHA76" s="954"/>
      <c r="FHB76" s="954"/>
      <c r="FHC76" s="954"/>
      <c r="FHD76" s="954"/>
      <c r="FHE76" s="954"/>
      <c r="FHF76" s="954"/>
      <c r="FHG76" s="954"/>
      <c r="FHH76" s="954"/>
      <c r="FHI76" s="954"/>
      <c r="FHJ76" s="954"/>
      <c r="FHK76" s="954"/>
      <c r="FHL76" s="954"/>
      <c r="FHM76" s="954"/>
      <c r="FHN76" s="954"/>
      <c r="FHO76" s="954"/>
      <c r="FHP76" s="954"/>
      <c r="FHQ76" s="954"/>
      <c r="FHR76" s="954"/>
      <c r="FHS76" s="954"/>
      <c r="FHT76" s="954"/>
      <c r="FHU76" s="954"/>
      <c r="FHV76" s="954"/>
      <c r="FHW76" s="954"/>
      <c r="FHX76" s="954"/>
      <c r="FHY76" s="954"/>
      <c r="FHZ76" s="954"/>
      <c r="FIA76" s="954"/>
      <c r="FIB76" s="954"/>
      <c r="FIC76" s="954"/>
      <c r="FID76" s="954"/>
      <c r="FIE76" s="954"/>
      <c r="FIF76" s="954"/>
      <c r="FIG76" s="954"/>
      <c r="FIH76" s="954"/>
      <c r="FII76" s="954"/>
      <c r="FIJ76" s="954"/>
      <c r="FIK76" s="954"/>
      <c r="FIL76" s="954"/>
      <c r="FIM76" s="954"/>
      <c r="FIN76" s="954"/>
      <c r="FIO76" s="954"/>
      <c r="FIP76" s="954"/>
      <c r="FIQ76" s="954"/>
      <c r="FIR76" s="954"/>
      <c r="FIS76" s="954"/>
      <c r="FIT76" s="954"/>
      <c r="FIU76" s="954"/>
      <c r="FIV76" s="954"/>
      <c r="FIW76" s="954"/>
      <c r="FIX76" s="954"/>
      <c r="FIY76" s="954"/>
      <c r="FIZ76" s="954"/>
      <c r="FJA76" s="954"/>
      <c r="FJB76" s="954"/>
      <c r="FJC76" s="954"/>
      <c r="FJD76" s="954"/>
      <c r="FJE76" s="954"/>
      <c r="FJF76" s="954"/>
      <c r="FJG76" s="954"/>
      <c r="FJH76" s="954"/>
      <c r="FJI76" s="954"/>
      <c r="FJJ76" s="954"/>
      <c r="FJK76" s="954"/>
      <c r="FJL76" s="954"/>
      <c r="FJM76" s="954"/>
      <c r="FJN76" s="954"/>
      <c r="FJO76" s="954"/>
      <c r="FJP76" s="954"/>
      <c r="FJQ76" s="954"/>
      <c r="FJR76" s="954"/>
      <c r="FJS76" s="954"/>
      <c r="FJT76" s="954"/>
      <c r="FJU76" s="954"/>
      <c r="FJV76" s="954"/>
      <c r="FJW76" s="954"/>
      <c r="FJX76" s="954"/>
      <c r="FJY76" s="954"/>
      <c r="FJZ76" s="954"/>
      <c r="FKA76" s="954"/>
      <c r="FKB76" s="954"/>
      <c r="FKC76" s="954"/>
      <c r="FKD76" s="954"/>
      <c r="FKE76" s="954"/>
      <c r="FKF76" s="954"/>
      <c r="FKG76" s="954"/>
      <c r="FKH76" s="954"/>
      <c r="FKI76" s="954"/>
      <c r="FKJ76" s="954"/>
      <c r="FKK76" s="954"/>
      <c r="FKL76" s="954"/>
      <c r="FKM76" s="954"/>
      <c r="FKN76" s="954"/>
      <c r="FKO76" s="954"/>
      <c r="FKP76" s="954"/>
      <c r="FKQ76" s="954"/>
      <c r="FKR76" s="954"/>
      <c r="FKS76" s="954"/>
      <c r="FKT76" s="954"/>
      <c r="FKU76" s="954"/>
      <c r="FKV76" s="954"/>
      <c r="FKW76" s="954"/>
      <c r="FKX76" s="954"/>
      <c r="FKY76" s="954"/>
      <c r="FKZ76" s="954"/>
      <c r="FLA76" s="954"/>
      <c r="FLB76" s="954"/>
      <c r="FLC76" s="954"/>
      <c r="FLD76" s="954"/>
      <c r="FLE76" s="954"/>
      <c r="FLF76" s="954"/>
      <c r="FLG76" s="954"/>
      <c r="FLH76" s="954"/>
      <c r="FLI76" s="954"/>
      <c r="FLJ76" s="954"/>
      <c r="FLK76" s="954"/>
      <c r="FLL76" s="954"/>
      <c r="FLM76" s="954"/>
      <c r="FLN76" s="954"/>
      <c r="FLO76" s="954"/>
      <c r="FLP76" s="954"/>
      <c r="FLQ76" s="954"/>
      <c r="FLR76" s="954"/>
      <c r="FLS76" s="954"/>
      <c r="FLT76" s="954"/>
      <c r="FLU76" s="954"/>
      <c r="FLV76" s="954"/>
      <c r="FLW76" s="954"/>
      <c r="FLX76" s="954"/>
      <c r="FLY76" s="954"/>
      <c r="FLZ76" s="954"/>
      <c r="FMA76" s="954"/>
      <c r="FMB76" s="954"/>
      <c r="FMC76" s="954"/>
      <c r="FMD76" s="954"/>
      <c r="FME76" s="954"/>
      <c r="FMF76" s="954"/>
      <c r="FMG76" s="954"/>
      <c r="FMH76" s="954"/>
      <c r="FMI76" s="954"/>
      <c r="FMJ76" s="954"/>
      <c r="FMK76" s="954"/>
      <c r="FML76" s="954"/>
      <c r="FMM76" s="954"/>
      <c r="FMN76" s="954"/>
      <c r="FMO76" s="954"/>
      <c r="FMP76" s="954"/>
      <c r="FMQ76" s="954"/>
      <c r="FMR76" s="954"/>
      <c r="FMS76" s="954"/>
      <c r="FMT76" s="954"/>
      <c r="FMU76" s="954"/>
      <c r="FMV76" s="954"/>
      <c r="FMW76" s="954"/>
      <c r="FMX76" s="954"/>
      <c r="FMY76" s="954"/>
      <c r="FMZ76" s="954"/>
      <c r="FNA76" s="954"/>
      <c r="FNB76" s="954"/>
      <c r="FNC76" s="954"/>
      <c r="FND76" s="954"/>
      <c r="FNE76" s="954"/>
      <c r="FNF76" s="954"/>
      <c r="FNG76" s="954"/>
      <c r="FNH76" s="954"/>
      <c r="FNI76" s="954"/>
      <c r="FNJ76" s="954"/>
      <c r="FNK76" s="954"/>
      <c r="FNL76" s="954"/>
      <c r="FNM76" s="954"/>
      <c r="FNN76" s="954"/>
      <c r="FNO76" s="954"/>
      <c r="FNP76" s="954"/>
      <c r="FNQ76" s="954"/>
      <c r="FNR76" s="954"/>
      <c r="FNS76" s="954"/>
      <c r="FNT76" s="954"/>
      <c r="FNU76" s="954"/>
      <c r="FNV76" s="954"/>
      <c r="FNW76" s="954"/>
      <c r="FNX76" s="954"/>
      <c r="FNY76" s="954"/>
      <c r="FNZ76" s="954"/>
      <c r="FOA76" s="954"/>
      <c r="FOB76" s="954"/>
      <c r="FOC76" s="954"/>
      <c r="FOD76" s="954"/>
      <c r="FOE76" s="954"/>
      <c r="FOF76" s="954"/>
      <c r="FOG76" s="954"/>
      <c r="FOH76" s="954"/>
      <c r="FOI76" s="954"/>
      <c r="FOJ76" s="954"/>
      <c r="FOK76" s="954"/>
      <c r="FOL76" s="954"/>
      <c r="FOM76" s="954"/>
      <c r="FON76" s="954"/>
      <c r="FOO76" s="954"/>
      <c r="FOP76" s="954"/>
      <c r="FOQ76" s="954"/>
      <c r="FOR76" s="954"/>
      <c r="FOS76" s="954"/>
      <c r="FOT76" s="954"/>
      <c r="FOU76" s="954"/>
      <c r="FOV76" s="954"/>
      <c r="FOW76" s="954"/>
      <c r="FOX76" s="954"/>
      <c r="FOY76" s="954"/>
      <c r="FOZ76" s="954"/>
      <c r="FPA76" s="954"/>
      <c r="FPB76" s="954"/>
      <c r="FPC76" s="954"/>
      <c r="FPD76" s="954"/>
      <c r="FPE76" s="954"/>
      <c r="FPF76" s="954"/>
      <c r="FPG76" s="954"/>
      <c r="FPH76" s="954"/>
      <c r="FPI76" s="954"/>
      <c r="FPJ76" s="954"/>
      <c r="FPK76" s="954"/>
      <c r="FPL76" s="954"/>
      <c r="FPM76" s="954"/>
      <c r="FPN76" s="954"/>
      <c r="FPO76" s="954"/>
      <c r="FPP76" s="954"/>
      <c r="FPQ76" s="954"/>
      <c r="FPR76" s="954"/>
      <c r="FPS76" s="954"/>
      <c r="FPT76" s="954"/>
      <c r="FPU76" s="954"/>
      <c r="FPV76" s="954"/>
      <c r="FPW76" s="954"/>
      <c r="FPX76" s="954"/>
      <c r="FPY76" s="954"/>
      <c r="FPZ76" s="954"/>
      <c r="FQA76" s="954"/>
      <c r="FQB76" s="954"/>
      <c r="FQC76" s="954"/>
      <c r="FQD76" s="954"/>
      <c r="FQE76" s="954"/>
      <c r="FQF76" s="954"/>
      <c r="FQG76" s="954"/>
      <c r="FQH76" s="954"/>
      <c r="FQI76" s="954"/>
      <c r="FQJ76" s="954"/>
      <c r="FQK76" s="954"/>
      <c r="FQL76" s="954"/>
      <c r="FQM76" s="954"/>
      <c r="FQN76" s="954"/>
      <c r="FQO76" s="954"/>
      <c r="FQP76" s="954"/>
      <c r="FQQ76" s="954"/>
      <c r="FQR76" s="954"/>
      <c r="FQS76" s="954"/>
      <c r="FQT76" s="954"/>
      <c r="FQU76" s="954"/>
      <c r="FQV76" s="954"/>
      <c r="FQW76" s="954"/>
      <c r="FQX76" s="954"/>
      <c r="FQY76" s="954"/>
      <c r="FQZ76" s="954"/>
      <c r="FRA76" s="954"/>
      <c r="FRB76" s="954"/>
      <c r="FRC76" s="954"/>
      <c r="FRD76" s="954"/>
      <c r="FRE76" s="954"/>
      <c r="FRF76" s="954"/>
      <c r="FRG76" s="954"/>
      <c r="FRH76" s="954"/>
      <c r="FRI76" s="954"/>
      <c r="FRJ76" s="954"/>
      <c r="FRK76" s="954"/>
      <c r="FRL76" s="954"/>
      <c r="FRM76" s="954"/>
      <c r="FRN76" s="954"/>
      <c r="FRO76" s="954"/>
      <c r="FRP76" s="954"/>
      <c r="FRQ76" s="954"/>
      <c r="FRR76" s="954"/>
      <c r="FRS76" s="954"/>
      <c r="FRT76" s="954"/>
      <c r="FRU76" s="954"/>
      <c r="FRV76" s="954"/>
      <c r="FRW76" s="954"/>
      <c r="FRX76" s="954"/>
      <c r="FRY76" s="954"/>
      <c r="FRZ76" s="954"/>
      <c r="FSA76" s="954"/>
      <c r="FSB76" s="954"/>
      <c r="FSC76" s="954"/>
      <c r="FSD76" s="954"/>
      <c r="FSE76" s="954"/>
      <c r="FSF76" s="954"/>
      <c r="FSG76" s="954"/>
      <c r="FSH76" s="954"/>
      <c r="FSI76" s="954"/>
      <c r="FSJ76" s="954"/>
      <c r="FSK76" s="954"/>
      <c r="FSL76" s="954"/>
      <c r="FSM76" s="954"/>
      <c r="FSN76" s="954"/>
      <c r="FSO76" s="954"/>
      <c r="FSP76" s="954"/>
      <c r="FSQ76" s="954"/>
      <c r="FSR76" s="954"/>
      <c r="FSS76" s="954"/>
      <c r="FST76" s="954"/>
      <c r="FSU76" s="954"/>
      <c r="FSV76" s="954"/>
      <c r="FSW76" s="954"/>
      <c r="FSX76" s="954"/>
      <c r="FSY76" s="954"/>
      <c r="FSZ76" s="954"/>
      <c r="FTA76" s="954"/>
      <c r="FTB76" s="954"/>
      <c r="FTC76" s="954"/>
      <c r="FTD76" s="954"/>
      <c r="FTE76" s="954"/>
      <c r="FTF76" s="954"/>
      <c r="FTG76" s="954"/>
      <c r="FTH76" s="954"/>
      <c r="FTI76" s="954"/>
      <c r="FTJ76" s="954"/>
      <c r="FTK76" s="954"/>
      <c r="FTL76" s="954"/>
      <c r="FTM76" s="954"/>
      <c r="FTN76" s="954"/>
      <c r="FTO76" s="954"/>
      <c r="FTP76" s="954"/>
      <c r="FTQ76" s="954"/>
      <c r="FTR76" s="954"/>
      <c r="FTS76" s="954"/>
      <c r="FTT76" s="954"/>
      <c r="FTU76" s="954"/>
      <c r="FTV76" s="954"/>
      <c r="FTW76" s="954"/>
      <c r="FTX76" s="954"/>
      <c r="FTY76" s="954"/>
      <c r="FTZ76" s="954"/>
      <c r="FUA76" s="954"/>
      <c r="FUB76" s="954"/>
      <c r="FUC76" s="954"/>
      <c r="FUD76" s="954"/>
      <c r="FUE76" s="954"/>
      <c r="FUF76" s="954"/>
      <c r="FUG76" s="954"/>
      <c r="FUH76" s="954"/>
      <c r="FUI76" s="954"/>
      <c r="FUJ76" s="954"/>
      <c r="FUK76" s="954"/>
      <c r="FUL76" s="954"/>
      <c r="FUM76" s="954"/>
      <c r="FUN76" s="954"/>
      <c r="FUO76" s="954"/>
      <c r="FUP76" s="954"/>
      <c r="FUQ76" s="954"/>
      <c r="FUR76" s="954"/>
      <c r="FUS76" s="954"/>
      <c r="FUT76" s="954"/>
      <c r="FUU76" s="954"/>
      <c r="FUV76" s="954"/>
      <c r="FUW76" s="954"/>
      <c r="FUX76" s="954"/>
      <c r="FUY76" s="954"/>
      <c r="FUZ76" s="954"/>
      <c r="FVA76" s="954"/>
      <c r="FVB76" s="954"/>
      <c r="FVC76" s="954"/>
      <c r="FVD76" s="954"/>
      <c r="FVE76" s="954"/>
      <c r="FVF76" s="954"/>
      <c r="FVG76" s="954"/>
      <c r="FVH76" s="954"/>
      <c r="FVI76" s="954"/>
      <c r="FVJ76" s="954"/>
      <c r="FVK76" s="954"/>
      <c r="FVL76" s="954"/>
      <c r="FVM76" s="954"/>
      <c r="FVN76" s="954"/>
      <c r="FVO76" s="954"/>
      <c r="FVP76" s="954"/>
      <c r="FVQ76" s="954"/>
      <c r="FVR76" s="954"/>
      <c r="FVS76" s="954"/>
      <c r="FVT76" s="954"/>
      <c r="FVU76" s="954"/>
      <c r="FVV76" s="954"/>
      <c r="FVW76" s="954"/>
      <c r="FVX76" s="954"/>
      <c r="FVY76" s="954"/>
      <c r="FVZ76" s="954"/>
      <c r="FWA76" s="954"/>
      <c r="FWB76" s="954"/>
      <c r="FWC76" s="954"/>
      <c r="FWD76" s="954"/>
      <c r="FWE76" s="954"/>
      <c r="FWF76" s="954"/>
      <c r="FWG76" s="954"/>
      <c r="FWH76" s="954"/>
      <c r="FWI76" s="954"/>
      <c r="FWJ76" s="954"/>
      <c r="FWK76" s="954"/>
      <c r="FWL76" s="954"/>
      <c r="FWM76" s="954"/>
      <c r="FWN76" s="954"/>
      <c r="FWO76" s="954"/>
      <c r="FWP76" s="954"/>
      <c r="FWQ76" s="954"/>
      <c r="FWR76" s="954"/>
      <c r="FWS76" s="954"/>
      <c r="FWT76" s="954"/>
      <c r="FWU76" s="954"/>
      <c r="FWV76" s="954"/>
      <c r="FWW76" s="954"/>
      <c r="FWX76" s="954"/>
      <c r="FWY76" s="954"/>
      <c r="FWZ76" s="954"/>
      <c r="FXA76" s="954"/>
      <c r="FXB76" s="954"/>
      <c r="FXC76" s="954"/>
      <c r="FXD76" s="954"/>
      <c r="FXE76" s="954"/>
      <c r="FXF76" s="954"/>
      <c r="FXG76" s="954"/>
      <c r="FXH76" s="954"/>
      <c r="FXI76" s="954"/>
      <c r="FXJ76" s="954"/>
      <c r="FXK76" s="954"/>
      <c r="FXL76" s="954"/>
      <c r="FXM76" s="954"/>
      <c r="FXN76" s="954"/>
      <c r="FXO76" s="954"/>
      <c r="FXP76" s="954"/>
      <c r="FXQ76" s="954"/>
      <c r="FXR76" s="954"/>
      <c r="FXS76" s="954"/>
      <c r="FXT76" s="954"/>
      <c r="FXU76" s="954"/>
      <c r="FXV76" s="954"/>
      <c r="FXW76" s="954"/>
      <c r="FXX76" s="954"/>
      <c r="FXY76" s="954"/>
      <c r="FXZ76" s="954"/>
      <c r="FYA76" s="954"/>
      <c r="FYB76" s="954"/>
      <c r="FYC76" s="954"/>
      <c r="FYD76" s="954"/>
      <c r="FYE76" s="954"/>
      <c r="FYF76" s="954"/>
      <c r="FYG76" s="954"/>
      <c r="FYH76" s="954"/>
      <c r="FYI76" s="954"/>
      <c r="FYJ76" s="954"/>
      <c r="FYK76" s="954"/>
      <c r="FYL76" s="954"/>
      <c r="FYM76" s="954"/>
      <c r="FYN76" s="954"/>
      <c r="FYO76" s="954"/>
      <c r="FYP76" s="954"/>
      <c r="FYQ76" s="954"/>
      <c r="FYR76" s="954"/>
      <c r="FYS76" s="954"/>
      <c r="FYT76" s="954"/>
      <c r="FYU76" s="954"/>
      <c r="FYV76" s="954"/>
      <c r="FYW76" s="954"/>
      <c r="FYX76" s="954"/>
      <c r="FYY76" s="954"/>
      <c r="FYZ76" s="954"/>
      <c r="FZA76" s="954"/>
      <c r="FZB76" s="954"/>
      <c r="FZC76" s="954"/>
      <c r="FZD76" s="954"/>
      <c r="FZE76" s="954"/>
      <c r="FZF76" s="954"/>
      <c r="FZG76" s="954"/>
      <c r="FZH76" s="954"/>
      <c r="FZI76" s="954"/>
      <c r="FZJ76" s="954"/>
      <c r="FZK76" s="954"/>
      <c r="FZL76" s="954"/>
      <c r="FZM76" s="954"/>
      <c r="FZN76" s="954"/>
      <c r="FZO76" s="954"/>
      <c r="FZP76" s="954"/>
      <c r="FZQ76" s="954"/>
      <c r="FZR76" s="954"/>
      <c r="FZS76" s="954"/>
      <c r="FZT76" s="954"/>
      <c r="FZU76" s="954"/>
      <c r="FZV76" s="954"/>
      <c r="FZW76" s="954"/>
      <c r="FZX76" s="954"/>
      <c r="FZY76" s="954"/>
      <c r="FZZ76" s="954"/>
      <c r="GAA76" s="954"/>
      <c r="GAB76" s="954"/>
      <c r="GAC76" s="954"/>
      <c r="GAD76" s="954"/>
      <c r="GAE76" s="954"/>
      <c r="GAF76" s="954"/>
      <c r="GAG76" s="954"/>
      <c r="GAH76" s="954"/>
      <c r="GAI76" s="954"/>
      <c r="GAJ76" s="954"/>
      <c r="GAK76" s="954"/>
      <c r="GAL76" s="954"/>
      <c r="GAM76" s="954"/>
      <c r="GAN76" s="954"/>
      <c r="GAO76" s="954"/>
      <c r="GAP76" s="954"/>
      <c r="GAQ76" s="954"/>
      <c r="GAR76" s="954"/>
      <c r="GAS76" s="954"/>
      <c r="GAT76" s="954"/>
      <c r="GAU76" s="954"/>
      <c r="GAV76" s="954"/>
      <c r="GAW76" s="954"/>
      <c r="GAX76" s="954"/>
      <c r="GAY76" s="954"/>
      <c r="GAZ76" s="954"/>
      <c r="GBA76" s="954"/>
      <c r="GBB76" s="954"/>
      <c r="GBC76" s="954"/>
      <c r="GBD76" s="954"/>
      <c r="GBE76" s="954"/>
      <c r="GBF76" s="954"/>
      <c r="GBG76" s="954"/>
      <c r="GBH76" s="954"/>
      <c r="GBI76" s="954"/>
      <c r="GBJ76" s="954"/>
      <c r="GBK76" s="954"/>
      <c r="GBL76" s="954"/>
      <c r="GBM76" s="954"/>
      <c r="GBN76" s="954"/>
      <c r="GBO76" s="954"/>
      <c r="GBP76" s="954"/>
      <c r="GBQ76" s="954"/>
      <c r="GBR76" s="954"/>
      <c r="GBS76" s="954"/>
      <c r="GBT76" s="954"/>
      <c r="GBU76" s="954"/>
      <c r="GBV76" s="954"/>
      <c r="GBW76" s="954"/>
      <c r="GBX76" s="954"/>
      <c r="GBY76" s="954"/>
      <c r="GBZ76" s="954"/>
      <c r="GCA76" s="954"/>
      <c r="GCB76" s="954"/>
      <c r="GCC76" s="954"/>
      <c r="GCD76" s="954"/>
      <c r="GCE76" s="954"/>
      <c r="GCF76" s="954"/>
      <c r="GCG76" s="954"/>
      <c r="GCH76" s="954"/>
      <c r="GCI76" s="954"/>
      <c r="GCJ76" s="954"/>
      <c r="GCK76" s="954"/>
      <c r="GCL76" s="954"/>
      <c r="GCM76" s="954"/>
      <c r="GCN76" s="954"/>
      <c r="GCO76" s="954"/>
      <c r="GCP76" s="954"/>
      <c r="GCQ76" s="954"/>
      <c r="GCR76" s="954"/>
      <c r="GCS76" s="954"/>
      <c r="GCT76" s="954"/>
      <c r="GCU76" s="954"/>
      <c r="GCV76" s="954"/>
      <c r="GCW76" s="954"/>
      <c r="GCX76" s="954"/>
      <c r="GCY76" s="954"/>
      <c r="GCZ76" s="954"/>
      <c r="GDA76" s="954"/>
      <c r="GDB76" s="954"/>
      <c r="GDC76" s="954"/>
      <c r="GDD76" s="954"/>
      <c r="GDE76" s="954"/>
      <c r="GDF76" s="954"/>
      <c r="GDG76" s="954"/>
      <c r="GDH76" s="954"/>
      <c r="GDI76" s="954"/>
      <c r="GDJ76" s="954"/>
      <c r="GDK76" s="954"/>
      <c r="GDL76" s="954"/>
      <c r="GDM76" s="954"/>
      <c r="GDN76" s="954"/>
      <c r="GDO76" s="954"/>
      <c r="GDP76" s="954"/>
      <c r="GDQ76" s="954"/>
      <c r="GDR76" s="954"/>
      <c r="GDS76" s="954"/>
      <c r="GDT76" s="954"/>
      <c r="GDU76" s="954"/>
      <c r="GDV76" s="954"/>
      <c r="GDW76" s="954"/>
      <c r="GDX76" s="954"/>
      <c r="GDY76" s="954"/>
      <c r="GDZ76" s="954"/>
      <c r="GEA76" s="954"/>
      <c r="GEB76" s="954"/>
      <c r="GEC76" s="954"/>
      <c r="GED76" s="954"/>
      <c r="GEE76" s="954"/>
      <c r="GEF76" s="954"/>
      <c r="GEG76" s="954"/>
      <c r="GEH76" s="954"/>
      <c r="GEI76" s="954"/>
      <c r="GEJ76" s="954"/>
      <c r="GEK76" s="954"/>
      <c r="GEL76" s="954"/>
      <c r="GEM76" s="954"/>
      <c r="GEN76" s="954"/>
      <c r="GEO76" s="954"/>
      <c r="GEP76" s="954"/>
      <c r="GEQ76" s="954"/>
      <c r="GER76" s="954"/>
      <c r="GES76" s="954"/>
      <c r="GET76" s="954"/>
      <c r="GEU76" s="954"/>
      <c r="GEV76" s="954"/>
      <c r="GEW76" s="954"/>
      <c r="GEX76" s="954"/>
      <c r="GEY76" s="954"/>
      <c r="GEZ76" s="954"/>
      <c r="GFA76" s="954"/>
      <c r="GFB76" s="954"/>
      <c r="GFC76" s="954"/>
      <c r="GFD76" s="954"/>
      <c r="GFE76" s="954"/>
      <c r="GFF76" s="954"/>
      <c r="GFG76" s="954"/>
      <c r="GFH76" s="954"/>
      <c r="GFI76" s="954"/>
      <c r="GFJ76" s="954"/>
      <c r="GFK76" s="954"/>
      <c r="GFL76" s="954"/>
      <c r="GFM76" s="954"/>
      <c r="GFN76" s="954"/>
      <c r="GFO76" s="954"/>
      <c r="GFP76" s="954"/>
      <c r="GFQ76" s="954"/>
      <c r="GFR76" s="954"/>
      <c r="GFS76" s="954"/>
      <c r="GFT76" s="954"/>
      <c r="GFU76" s="954"/>
      <c r="GFV76" s="954"/>
      <c r="GFW76" s="954"/>
      <c r="GFX76" s="954"/>
      <c r="GFY76" s="954"/>
      <c r="GFZ76" s="954"/>
      <c r="GGA76" s="954"/>
      <c r="GGB76" s="954"/>
      <c r="GGC76" s="954"/>
      <c r="GGD76" s="954"/>
      <c r="GGE76" s="954"/>
      <c r="GGF76" s="954"/>
      <c r="GGG76" s="954"/>
      <c r="GGH76" s="954"/>
      <c r="GGI76" s="954"/>
      <c r="GGJ76" s="954"/>
      <c r="GGK76" s="954"/>
      <c r="GGL76" s="954"/>
      <c r="GGM76" s="954"/>
      <c r="GGN76" s="954"/>
      <c r="GGO76" s="954"/>
      <c r="GGP76" s="954"/>
      <c r="GGQ76" s="954"/>
      <c r="GGR76" s="954"/>
      <c r="GGS76" s="954"/>
      <c r="GGT76" s="954"/>
      <c r="GGU76" s="954"/>
      <c r="GGV76" s="954"/>
      <c r="GGW76" s="954"/>
      <c r="GGX76" s="954"/>
      <c r="GGY76" s="954"/>
      <c r="GGZ76" s="954"/>
      <c r="GHA76" s="954"/>
      <c r="GHB76" s="954"/>
      <c r="GHC76" s="954"/>
      <c r="GHD76" s="954"/>
      <c r="GHE76" s="954"/>
      <c r="GHF76" s="954"/>
      <c r="GHG76" s="954"/>
      <c r="GHH76" s="954"/>
      <c r="GHI76" s="954"/>
      <c r="GHJ76" s="954"/>
      <c r="GHK76" s="954"/>
      <c r="GHL76" s="954"/>
      <c r="GHM76" s="954"/>
      <c r="GHN76" s="954"/>
      <c r="GHO76" s="954"/>
      <c r="GHP76" s="954"/>
      <c r="GHQ76" s="954"/>
      <c r="GHR76" s="954"/>
      <c r="GHS76" s="954"/>
      <c r="GHT76" s="954"/>
      <c r="GHU76" s="954"/>
      <c r="GHV76" s="954"/>
      <c r="GHW76" s="954"/>
      <c r="GHX76" s="954"/>
      <c r="GHY76" s="954"/>
      <c r="GHZ76" s="954"/>
      <c r="GIA76" s="954"/>
      <c r="GIB76" s="954"/>
      <c r="GIC76" s="954"/>
      <c r="GID76" s="954"/>
      <c r="GIE76" s="954"/>
      <c r="GIF76" s="954"/>
      <c r="GIG76" s="954"/>
      <c r="GIH76" s="954"/>
      <c r="GII76" s="954"/>
      <c r="GIJ76" s="954"/>
      <c r="GIK76" s="954"/>
      <c r="GIL76" s="954"/>
      <c r="GIM76" s="954"/>
      <c r="GIN76" s="954"/>
      <c r="GIO76" s="954"/>
      <c r="GIP76" s="954"/>
      <c r="GIQ76" s="954"/>
      <c r="GIR76" s="954"/>
      <c r="GIS76" s="954"/>
      <c r="GIT76" s="954"/>
      <c r="GIU76" s="954"/>
      <c r="GIV76" s="954"/>
      <c r="GIW76" s="954"/>
      <c r="GIX76" s="954"/>
      <c r="GIY76" s="954"/>
      <c r="GIZ76" s="954"/>
      <c r="GJA76" s="954"/>
      <c r="GJB76" s="954"/>
      <c r="GJC76" s="954"/>
      <c r="GJD76" s="954"/>
      <c r="GJE76" s="954"/>
      <c r="GJF76" s="954"/>
      <c r="GJG76" s="954"/>
      <c r="GJH76" s="954"/>
      <c r="GJI76" s="954"/>
      <c r="GJJ76" s="954"/>
      <c r="GJK76" s="954"/>
      <c r="GJL76" s="954"/>
      <c r="GJM76" s="954"/>
      <c r="GJN76" s="954"/>
      <c r="GJO76" s="954"/>
      <c r="GJP76" s="954"/>
      <c r="GJQ76" s="954"/>
      <c r="GJR76" s="954"/>
      <c r="GJS76" s="954"/>
      <c r="GJT76" s="954"/>
      <c r="GJU76" s="954"/>
      <c r="GJV76" s="954"/>
      <c r="GJW76" s="954"/>
      <c r="GJX76" s="954"/>
      <c r="GJY76" s="954"/>
      <c r="GJZ76" s="954"/>
      <c r="GKA76" s="954"/>
      <c r="GKB76" s="954"/>
      <c r="GKC76" s="954"/>
      <c r="GKD76" s="954"/>
      <c r="GKE76" s="954"/>
      <c r="GKF76" s="954"/>
      <c r="GKG76" s="954"/>
      <c r="GKH76" s="954"/>
      <c r="GKI76" s="954"/>
      <c r="GKJ76" s="954"/>
      <c r="GKK76" s="954"/>
      <c r="GKL76" s="954"/>
      <c r="GKM76" s="954"/>
      <c r="GKN76" s="954"/>
      <c r="GKO76" s="954"/>
      <c r="GKP76" s="954"/>
      <c r="GKQ76" s="954"/>
      <c r="GKR76" s="954"/>
      <c r="GKS76" s="954"/>
      <c r="GKT76" s="954"/>
      <c r="GKU76" s="954"/>
      <c r="GKV76" s="954"/>
      <c r="GKW76" s="954"/>
      <c r="GKX76" s="954"/>
      <c r="GKY76" s="954"/>
      <c r="GKZ76" s="954"/>
      <c r="GLA76" s="954"/>
      <c r="GLB76" s="954"/>
      <c r="GLC76" s="954"/>
      <c r="GLD76" s="954"/>
      <c r="GLE76" s="954"/>
      <c r="GLF76" s="954"/>
      <c r="GLG76" s="954"/>
      <c r="GLH76" s="954"/>
      <c r="GLI76" s="954"/>
      <c r="GLJ76" s="954"/>
      <c r="GLK76" s="954"/>
      <c r="GLL76" s="954"/>
      <c r="GLM76" s="954"/>
      <c r="GLN76" s="954"/>
      <c r="GLO76" s="954"/>
      <c r="GLP76" s="954"/>
      <c r="GLQ76" s="954"/>
      <c r="GLR76" s="954"/>
      <c r="GLS76" s="954"/>
      <c r="GLT76" s="954"/>
      <c r="GLU76" s="954"/>
      <c r="GLV76" s="954"/>
      <c r="GLW76" s="954"/>
      <c r="GLX76" s="954"/>
      <c r="GLY76" s="954"/>
      <c r="GLZ76" s="954"/>
      <c r="GMA76" s="954"/>
      <c r="GMB76" s="954"/>
      <c r="GMC76" s="954"/>
      <c r="GMD76" s="954"/>
      <c r="GME76" s="954"/>
      <c r="GMF76" s="954"/>
      <c r="GMG76" s="954"/>
      <c r="GMH76" s="954"/>
      <c r="GMI76" s="954"/>
      <c r="GMJ76" s="954"/>
      <c r="GMK76" s="954"/>
      <c r="GML76" s="954"/>
      <c r="GMM76" s="954"/>
      <c r="GMN76" s="954"/>
      <c r="GMO76" s="954"/>
      <c r="GMP76" s="954"/>
      <c r="GMQ76" s="954"/>
      <c r="GMR76" s="954"/>
      <c r="GMS76" s="954"/>
      <c r="GMT76" s="954"/>
      <c r="GMU76" s="954"/>
      <c r="GMV76" s="954"/>
      <c r="GMW76" s="954"/>
      <c r="GMX76" s="954"/>
      <c r="GMY76" s="954"/>
      <c r="GMZ76" s="954"/>
      <c r="GNA76" s="954"/>
      <c r="GNB76" s="954"/>
      <c r="GNC76" s="954"/>
      <c r="GND76" s="954"/>
      <c r="GNE76" s="954"/>
      <c r="GNF76" s="954"/>
      <c r="GNG76" s="954"/>
      <c r="GNH76" s="954"/>
      <c r="GNI76" s="954"/>
      <c r="GNJ76" s="954"/>
      <c r="GNK76" s="954"/>
      <c r="GNL76" s="954"/>
      <c r="GNM76" s="954"/>
      <c r="GNN76" s="954"/>
      <c r="GNO76" s="954"/>
      <c r="GNP76" s="954"/>
      <c r="GNQ76" s="954"/>
      <c r="GNR76" s="954"/>
      <c r="GNS76" s="954"/>
      <c r="GNT76" s="954"/>
      <c r="GNU76" s="954"/>
      <c r="GNV76" s="954"/>
      <c r="GNW76" s="954"/>
      <c r="GNX76" s="954"/>
      <c r="GNY76" s="954"/>
      <c r="GNZ76" s="954"/>
      <c r="GOA76" s="954"/>
      <c r="GOB76" s="954"/>
      <c r="GOC76" s="954"/>
      <c r="GOD76" s="954"/>
      <c r="GOE76" s="954"/>
      <c r="GOF76" s="954"/>
      <c r="GOG76" s="954"/>
      <c r="GOH76" s="954"/>
      <c r="GOI76" s="954"/>
      <c r="GOJ76" s="954"/>
      <c r="GOK76" s="954"/>
      <c r="GOL76" s="954"/>
      <c r="GOM76" s="954"/>
      <c r="GON76" s="954"/>
      <c r="GOO76" s="954"/>
      <c r="GOP76" s="954"/>
      <c r="GOQ76" s="954"/>
      <c r="GOR76" s="954"/>
      <c r="GOS76" s="954"/>
      <c r="GOT76" s="954"/>
      <c r="GOU76" s="954"/>
      <c r="GOV76" s="954"/>
      <c r="GOW76" s="954"/>
      <c r="GOX76" s="954"/>
      <c r="GOY76" s="954"/>
      <c r="GOZ76" s="954"/>
      <c r="GPA76" s="954"/>
      <c r="GPB76" s="954"/>
      <c r="GPC76" s="954"/>
      <c r="GPD76" s="954"/>
      <c r="GPE76" s="954"/>
      <c r="GPF76" s="954"/>
      <c r="GPG76" s="954"/>
      <c r="GPH76" s="954"/>
      <c r="GPI76" s="954"/>
      <c r="GPJ76" s="954"/>
      <c r="GPK76" s="954"/>
      <c r="GPL76" s="954"/>
      <c r="GPM76" s="954"/>
      <c r="GPN76" s="954"/>
      <c r="GPO76" s="954"/>
      <c r="GPP76" s="954"/>
      <c r="GPQ76" s="954"/>
      <c r="GPR76" s="954"/>
      <c r="GPS76" s="954"/>
      <c r="GPT76" s="954"/>
      <c r="GPU76" s="954"/>
      <c r="GPV76" s="954"/>
      <c r="GPW76" s="954"/>
      <c r="GPX76" s="954"/>
      <c r="GPY76" s="954"/>
      <c r="GPZ76" s="954"/>
      <c r="GQA76" s="954"/>
      <c r="GQB76" s="954"/>
      <c r="GQC76" s="954"/>
      <c r="GQD76" s="954"/>
      <c r="GQE76" s="954"/>
      <c r="GQF76" s="954"/>
      <c r="GQG76" s="954"/>
      <c r="GQH76" s="954"/>
      <c r="GQI76" s="954"/>
      <c r="GQJ76" s="954"/>
      <c r="GQK76" s="954"/>
      <c r="GQL76" s="954"/>
      <c r="GQM76" s="954"/>
      <c r="GQN76" s="954"/>
      <c r="GQO76" s="954"/>
      <c r="GQP76" s="954"/>
      <c r="GQQ76" s="954"/>
      <c r="GQR76" s="954"/>
      <c r="GQS76" s="954"/>
      <c r="GQT76" s="954"/>
      <c r="GQU76" s="954"/>
      <c r="GQV76" s="954"/>
      <c r="GQW76" s="954"/>
      <c r="GQX76" s="954"/>
      <c r="GQY76" s="954"/>
      <c r="GQZ76" s="954"/>
      <c r="GRA76" s="954"/>
      <c r="GRB76" s="954"/>
      <c r="GRC76" s="954"/>
      <c r="GRD76" s="954"/>
      <c r="GRE76" s="954"/>
      <c r="GRF76" s="954"/>
      <c r="GRG76" s="954"/>
      <c r="GRH76" s="954"/>
      <c r="GRI76" s="954"/>
      <c r="GRJ76" s="954"/>
      <c r="GRK76" s="954"/>
      <c r="GRL76" s="954"/>
      <c r="GRM76" s="954"/>
      <c r="GRN76" s="954"/>
      <c r="GRO76" s="954"/>
      <c r="GRP76" s="954"/>
      <c r="GRQ76" s="954"/>
      <c r="GRR76" s="954"/>
      <c r="GRS76" s="954"/>
      <c r="GRT76" s="954"/>
      <c r="GRU76" s="954"/>
      <c r="GRV76" s="954"/>
      <c r="GRW76" s="954"/>
      <c r="GRX76" s="954"/>
      <c r="GRY76" s="954"/>
      <c r="GRZ76" s="954"/>
      <c r="GSA76" s="954"/>
      <c r="GSB76" s="954"/>
      <c r="GSC76" s="954"/>
      <c r="GSD76" s="954"/>
      <c r="GSE76" s="954"/>
      <c r="GSF76" s="954"/>
      <c r="GSG76" s="954"/>
      <c r="GSH76" s="954"/>
      <c r="GSI76" s="954"/>
      <c r="GSJ76" s="954"/>
      <c r="GSK76" s="954"/>
      <c r="GSL76" s="954"/>
      <c r="GSM76" s="954"/>
      <c r="GSN76" s="954"/>
      <c r="GSO76" s="954"/>
      <c r="GSP76" s="954"/>
      <c r="GSQ76" s="954"/>
      <c r="GSR76" s="954"/>
      <c r="GSS76" s="954"/>
      <c r="GST76" s="954"/>
      <c r="GSU76" s="954"/>
      <c r="GSV76" s="954"/>
      <c r="GSW76" s="954"/>
      <c r="GSX76" s="954"/>
      <c r="GSY76" s="954"/>
      <c r="GSZ76" s="954"/>
      <c r="GTA76" s="954"/>
      <c r="GTB76" s="954"/>
      <c r="GTC76" s="954"/>
      <c r="GTD76" s="954"/>
      <c r="GTE76" s="954"/>
      <c r="GTF76" s="954"/>
      <c r="GTG76" s="954"/>
      <c r="GTH76" s="954"/>
      <c r="GTI76" s="954"/>
      <c r="GTJ76" s="954"/>
      <c r="GTK76" s="954"/>
      <c r="GTL76" s="954"/>
      <c r="GTM76" s="954"/>
      <c r="GTN76" s="954"/>
      <c r="GTO76" s="954"/>
      <c r="GTP76" s="954"/>
      <c r="GTQ76" s="954"/>
      <c r="GTR76" s="954"/>
      <c r="GTS76" s="954"/>
      <c r="GTT76" s="954"/>
      <c r="GTU76" s="954"/>
      <c r="GTV76" s="954"/>
      <c r="GTW76" s="954"/>
      <c r="GTX76" s="954"/>
      <c r="GTY76" s="954"/>
      <c r="GTZ76" s="954"/>
      <c r="GUA76" s="954"/>
      <c r="GUB76" s="954"/>
      <c r="GUC76" s="954"/>
      <c r="GUD76" s="954"/>
      <c r="GUE76" s="954"/>
      <c r="GUF76" s="954"/>
      <c r="GUG76" s="954"/>
      <c r="GUH76" s="954"/>
      <c r="GUI76" s="954"/>
      <c r="GUJ76" s="954"/>
      <c r="GUK76" s="954"/>
      <c r="GUL76" s="954"/>
      <c r="GUM76" s="954"/>
      <c r="GUN76" s="954"/>
      <c r="GUO76" s="954"/>
      <c r="GUP76" s="954"/>
      <c r="GUQ76" s="954"/>
      <c r="GUR76" s="954"/>
      <c r="GUS76" s="954"/>
      <c r="GUT76" s="954"/>
      <c r="GUU76" s="954"/>
      <c r="GUV76" s="954"/>
      <c r="GUW76" s="954"/>
      <c r="GUX76" s="954"/>
      <c r="GUY76" s="954"/>
      <c r="GUZ76" s="954"/>
      <c r="GVA76" s="954"/>
      <c r="GVB76" s="954"/>
      <c r="GVC76" s="954"/>
      <c r="GVD76" s="954"/>
      <c r="GVE76" s="954"/>
      <c r="GVF76" s="954"/>
      <c r="GVG76" s="954"/>
      <c r="GVH76" s="954"/>
      <c r="GVI76" s="954"/>
      <c r="GVJ76" s="954"/>
      <c r="GVK76" s="954"/>
      <c r="GVL76" s="954"/>
      <c r="GVM76" s="954"/>
      <c r="GVN76" s="954"/>
      <c r="GVO76" s="954"/>
      <c r="GVP76" s="954"/>
      <c r="GVQ76" s="954"/>
      <c r="GVR76" s="954"/>
      <c r="GVS76" s="954"/>
      <c r="GVT76" s="954"/>
      <c r="GVU76" s="954"/>
      <c r="GVV76" s="954"/>
      <c r="GVW76" s="954"/>
      <c r="GVX76" s="954"/>
      <c r="GVY76" s="954"/>
      <c r="GVZ76" s="954"/>
      <c r="GWA76" s="954"/>
      <c r="GWB76" s="954"/>
      <c r="GWC76" s="954"/>
      <c r="GWD76" s="954"/>
      <c r="GWE76" s="954"/>
      <c r="GWF76" s="954"/>
      <c r="GWG76" s="954"/>
      <c r="GWH76" s="954"/>
      <c r="GWI76" s="954"/>
      <c r="GWJ76" s="954"/>
      <c r="GWK76" s="954"/>
      <c r="GWL76" s="954"/>
      <c r="GWM76" s="954"/>
      <c r="GWN76" s="954"/>
      <c r="GWO76" s="954"/>
      <c r="GWP76" s="954"/>
      <c r="GWQ76" s="954"/>
      <c r="GWR76" s="954"/>
      <c r="GWS76" s="954"/>
      <c r="GWT76" s="954"/>
      <c r="GWU76" s="954"/>
      <c r="GWV76" s="954"/>
      <c r="GWW76" s="954"/>
      <c r="GWX76" s="954"/>
      <c r="GWY76" s="954"/>
      <c r="GWZ76" s="954"/>
      <c r="GXA76" s="954"/>
      <c r="GXB76" s="954"/>
      <c r="GXC76" s="954"/>
      <c r="GXD76" s="954"/>
      <c r="GXE76" s="954"/>
      <c r="GXF76" s="954"/>
      <c r="GXG76" s="954"/>
      <c r="GXH76" s="954"/>
      <c r="GXI76" s="954"/>
      <c r="GXJ76" s="954"/>
      <c r="GXK76" s="954"/>
      <c r="GXL76" s="954"/>
      <c r="GXM76" s="954"/>
      <c r="GXN76" s="954"/>
      <c r="GXO76" s="954"/>
      <c r="GXP76" s="954"/>
      <c r="GXQ76" s="954"/>
      <c r="GXR76" s="954"/>
      <c r="GXS76" s="954"/>
      <c r="GXT76" s="954"/>
      <c r="GXU76" s="954"/>
      <c r="GXV76" s="954"/>
      <c r="GXW76" s="954"/>
      <c r="GXX76" s="954"/>
      <c r="GXY76" s="954"/>
      <c r="GXZ76" s="954"/>
      <c r="GYA76" s="954"/>
      <c r="GYB76" s="954"/>
      <c r="GYC76" s="954"/>
      <c r="GYD76" s="954"/>
      <c r="GYE76" s="954"/>
      <c r="GYF76" s="954"/>
      <c r="GYG76" s="954"/>
      <c r="GYH76" s="954"/>
      <c r="GYI76" s="954"/>
      <c r="GYJ76" s="954"/>
      <c r="GYK76" s="954"/>
      <c r="GYL76" s="954"/>
      <c r="GYM76" s="954"/>
      <c r="GYN76" s="954"/>
      <c r="GYO76" s="954"/>
      <c r="GYP76" s="954"/>
      <c r="GYQ76" s="954"/>
      <c r="GYR76" s="954"/>
      <c r="GYS76" s="954"/>
      <c r="GYT76" s="954"/>
      <c r="GYU76" s="954"/>
      <c r="GYV76" s="954"/>
      <c r="GYW76" s="954"/>
      <c r="GYX76" s="954"/>
      <c r="GYY76" s="954"/>
      <c r="GYZ76" s="954"/>
      <c r="GZA76" s="954"/>
      <c r="GZB76" s="954"/>
      <c r="GZC76" s="954"/>
      <c r="GZD76" s="954"/>
      <c r="GZE76" s="954"/>
      <c r="GZF76" s="954"/>
      <c r="GZG76" s="954"/>
      <c r="GZH76" s="954"/>
      <c r="GZI76" s="954"/>
      <c r="GZJ76" s="954"/>
      <c r="GZK76" s="954"/>
      <c r="GZL76" s="954"/>
      <c r="GZM76" s="954"/>
      <c r="GZN76" s="954"/>
      <c r="GZO76" s="954"/>
      <c r="GZP76" s="954"/>
      <c r="GZQ76" s="954"/>
      <c r="GZR76" s="954"/>
      <c r="GZS76" s="954"/>
      <c r="GZT76" s="954"/>
      <c r="GZU76" s="954"/>
      <c r="GZV76" s="954"/>
      <c r="GZW76" s="954"/>
      <c r="GZX76" s="954"/>
      <c r="GZY76" s="954"/>
      <c r="GZZ76" s="954"/>
      <c r="HAA76" s="954"/>
      <c r="HAB76" s="954"/>
      <c r="HAC76" s="954"/>
      <c r="HAD76" s="954"/>
      <c r="HAE76" s="954"/>
      <c r="HAF76" s="954"/>
      <c r="HAG76" s="954"/>
      <c r="HAH76" s="954"/>
      <c r="HAI76" s="954"/>
      <c r="HAJ76" s="954"/>
      <c r="HAK76" s="954"/>
      <c r="HAL76" s="954"/>
      <c r="HAM76" s="954"/>
      <c r="HAN76" s="954"/>
      <c r="HAO76" s="954"/>
      <c r="HAP76" s="954"/>
      <c r="HAQ76" s="954"/>
      <c r="HAR76" s="954"/>
      <c r="HAS76" s="954"/>
      <c r="HAT76" s="954"/>
      <c r="HAU76" s="954"/>
      <c r="HAV76" s="954"/>
      <c r="HAW76" s="954"/>
      <c r="HAX76" s="954"/>
      <c r="HAY76" s="954"/>
      <c r="HAZ76" s="954"/>
      <c r="HBA76" s="954"/>
      <c r="HBB76" s="954"/>
      <c r="HBC76" s="954"/>
      <c r="HBD76" s="954"/>
      <c r="HBE76" s="954"/>
      <c r="HBF76" s="954"/>
      <c r="HBG76" s="954"/>
      <c r="HBH76" s="954"/>
      <c r="HBI76" s="954"/>
      <c r="HBJ76" s="954"/>
      <c r="HBK76" s="954"/>
      <c r="HBL76" s="954"/>
      <c r="HBM76" s="954"/>
      <c r="HBN76" s="954"/>
      <c r="HBO76" s="954"/>
      <c r="HBP76" s="954"/>
      <c r="HBQ76" s="954"/>
      <c r="HBR76" s="954"/>
      <c r="HBS76" s="954"/>
      <c r="HBT76" s="954"/>
      <c r="HBU76" s="954"/>
      <c r="HBV76" s="954"/>
      <c r="HBW76" s="954"/>
      <c r="HBX76" s="954"/>
      <c r="HBY76" s="954"/>
      <c r="HBZ76" s="954"/>
      <c r="HCA76" s="954"/>
      <c r="HCB76" s="954"/>
      <c r="HCC76" s="954"/>
      <c r="HCD76" s="954"/>
      <c r="HCE76" s="954"/>
      <c r="HCF76" s="954"/>
      <c r="HCG76" s="954"/>
      <c r="HCH76" s="954"/>
      <c r="HCI76" s="954"/>
      <c r="HCJ76" s="954"/>
      <c r="HCK76" s="954"/>
      <c r="HCL76" s="954"/>
      <c r="HCM76" s="954"/>
      <c r="HCN76" s="954"/>
      <c r="HCO76" s="954"/>
      <c r="HCP76" s="954"/>
      <c r="HCQ76" s="954"/>
      <c r="HCR76" s="954"/>
      <c r="HCS76" s="954"/>
      <c r="HCT76" s="954"/>
      <c r="HCU76" s="954"/>
      <c r="HCV76" s="954"/>
      <c r="HCW76" s="954"/>
      <c r="HCX76" s="954"/>
      <c r="HCY76" s="954"/>
      <c r="HCZ76" s="954"/>
      <c r="HDA76" s="954"/>
      <c r="HDB76" s="954"/>
      <c r="HDC76" s="954"/>
      <c r="HDD76" s="954"/>
      <c r="HDE76" s="954"/>
      <c r="HDF76" s="954"/>
      <c r="HDG76" s="954"/>
      <c r="HDH76" s="954"/>
      <c r="HDI76" s="954"/>
      <c r="HDJ76" s="954"/>
      <c r="HDK76" s="954"/>
      <c r="HDL76" s="954"/>
      <c r="HDM76" s="954"/>
      <c r="HDN76" s="954"/>
      <c r="HDO76" s="954"/>
      <c r="HDP76" s="954"/>
      <c r="HDQ76" s="954"/>
      <c r="HDR76" s="954"/>
      <c r="HDS76" s="954"/>
      <c r="HDT76" s="954"/>
      <c r="HDU76" s="954"/>
      <c r="HDV76" s="954"/>
      <c r="HDW76" s="954"/>
      <c r="HDX76" s="954"/>
      <c r="HDY76" s="954"/>
      <c r="HDZ76" s="954"/>
      <c r="HEA76" s="954"/>
      <c r="HEB76" s="954"/>
      <c r="HEC76" s="954"/>
      <c r="HED76" s="954"/>
      <c r="HEE76" s="954"/>
      <c r="HEF76" s="954"/>
      <c r="HEG76" s="954"/>
      <c r="HEH76" s="954"/>
      <c r="HEI76" s="954"/>
      <c r="HEJ76" s="954"/>
      <c r="HEK76" s="954"/>
      <c r="HEL76" s="954"/>
      <c r="HEM76" s="954"/>
      <c r="HEN76" s="954"/>
      <c r="HEO76" s="954"/>
      <c r="HEP76" s="954"/>
      <c r="HEQ76" s="954"/>
      <c r="HER76" s="954"/>
      <c r="HES76" s="954"/>
      <c r="HET76" s="954"/>
      <c r="HEU76" s="954"/>
      <c r="HEV76" s="954"/>
      <c r="HEW76" s="954"/>
      <c r="HEX76" s="954"/>
      <c r="HEY76" s="954"/>
      <c r="HEZ76" s="954"/>
      <c r="HFA76" s="954"/>
      <c r="HFB76" s="954"/>
      <c r="HFC76" s="954"/>
      <c r="HFD76" s="954"/>
      <c r="HFE76" s="954"/>
      <c r="HFF76" s="954"/>
      <c r="HFG76" s="954"/>
      <c r="HFH76" s="954"/>
      <c r="HFI76" s="954"/>
      <c r="HFJ76" s="954"/>
      <c r="HFK76" s="954"/>
      <c r="HFL76" s="954"/>
      <c r="HFM76" s="954"/>
      <c r="HFN76" s="954"/>
      <c r="HFO76" s="954"/>
      <c r="HFP76" s="954"/>
      <c r="HFQ76" s="954"/>
      <c r="HFR76" s="954"/>
      <c r="HFS76" s="954"/>
      <c r="HFT76" s="954"/>
      <c r="HFU76" s="954"/>
      <c r="HFV76" s="954"/>
      <c r="HFW76" s="954"/>
      <c r="HFX76" s="954"/>
      <c r="HFY76" s="954"/>
      <c r="HFZ76" s="954"/>
      <c r="HGA76" s="954"/>
      <c r="HGB76" s="954"/>
      <c r="HGC76" s="954"/>
      <c r="HGD76" s="954"/>
      <c r="HGE76" s="954"/>
      <c r="HGF76" s="954"/>
      <c r="HGG76" s="954"/>
      <c r="HGH76" s="954"/>
      <c r="HGI76" s="954"/>
      <c r="HGJ76" s="954"/>
      <c r="HGK76" s="954"/>
      <c r="HGL76" s="954"/>
      <c r="HGM76" s="954"/>
      <c r="HGN76" s="954"/>
      <c r="HGO76" s="954"/>
      <c r="HGP76" s="954"/>
      <c r="HGQ76" s="954"/>
      <c r="HGR76" s="954"/>
      <c r="HGS76" s="954"/>
      <c r="HGT76" s="954"/>
      <c r="HGU76" s="954"/>
      <c r="HGV76" s="954"/>
      <c r="HGW76" s="954"/>
      <c r="HGX76" s="954"/>
      <c r="HGY76" s="954"/>
      <c r="HGZ76" s="954"/>
      <c r="HHA76" s="954"/>
      <c r="HHB76" s="954"/>
      <c r="HHC76" s="954"/>
      <c r="HHD76" s="954"/>
      <c r="HHE76" s="954"/>
      <c r="HHF76" s="954"/>
      <c r="HHG76" s="954"/>
      <c r="HHH76" s="954"/>
      <c r="HHI76" s="954"/>
      <c r="HHJ76" s="954"/>
      <c r="HHK76" s="954"/>
      <c r="HHL76" s="954"/>
      <c r="HHM76" s="954"/>
      <c r="HHN76" s="954"/>
      <c r="HHO76" s="954"/>
      <c r="HHP76" s="954"/>
      <c r="HHQ76" s="954"/>
      <c r="HHR76" s="954"/>
      <c r="HHS76" s="954"/>
      <c r="HHT76" s="954"/>
      <c r="HHU76" s="954"/>
      <c r="HHV76" s="954"/>
      <c r="HHW76" s="954"/>
      <c r="HHX76" s="954"/>
      <c r="HHY76" s="954"/>
      <c r="HHZ76" s="954"/>
      <c r="HIA76" s="954"/>
      <c r="HIB76" s="954"/>
      <c r="HIC76" s="954"/>
      <c r="HID76" s="954"/>
      <c r="HIE76" s="954"/>
      <c r="HIF76" s="954"/>
      <c r="HIG76" s="954"/>
      <c r="HIH76" s="954"/>
      <c r="HII76" s="954"/>
      <c r="HIJ76" s="954"/>
      <c r="HIK76" s="954"/>
      <c r="HIL76" s="954"/>
      <c r="HIM76" s="954"/>
      <c r="HIN76" s="954"/>
      <c r="HIO76" s="954"/>
      <c r="HIP76" s="954"/>
      <c r="HIQ76" s="954"/>
      <c r="HIR76" s="954"/>
      <c r="HIS76" s="954"/>
      <c r="HIT76" s="954"/>
      <c r="HIU76" s="954"/>
      <c r="HIV76" s="954"/>
      <c r="HIW76" s="954"/>
      <c r="HIX76" s="954"/>
      <c r="HIY76" s="954"/>
      <c r="HIZ76" s="954"/>
      <c r="HJA76" s="954"/>
      <c r="HJB76" s="954"/>
      <c r="HJC76" s="954"/>
      <c r="HJD76" s="954"/>
      <c r="HJE76" s="954"/>
      <c r="HJF76" s="954"/>
      <c r="HJG76" s="954"/>
      <c r="HJH76" s="954"/>
      <c r="HJI76" s="954"/>
      <c r="HJJ76" s="954"/>
      <c r="HJK76" s="954"/>
      <c r="HJL76" s="954"/>
      <c r="HJM76" s="954"/>
      <c r="HJN76" s="954"/>
      <c r="HJO76" s="954"/>
      <c r="HJP76" s="954"/>
      <c r="HJQ76" s="954"/>
      <c r="HJR76" s="954"/>
      <c r="HJS76" s="954"/>
      <c r="HJT76" s="954"/>
      <c r="HJU76" s="954"/>
      <c r="HJV76" s="954"/>
      <c r="HJW76" s="954"/>
      <c r="HJX76" s="954"/>
      <c r="HJY76" s="954"/>
      <c r="HJZ76" s="954"/>
      <c r="HKA76" s="954"/>
      <c r="HKB76" s="954"/>
      <c r="HKC76" s="954"/>
      <c r="HKD76" s="954"/>
      <c r="HKE76" s="954"/>
      <c r="HKF76" s="954"/>
      <c r="HKG76" s="954"/>
      <c r="HKH76" s="954"/>
      <c r="HKI76" s="954"/>
      <c r="HKJ76" s="954"/>
      <c r="HKK76" s="954"/>
      <c r="HKL76" s="954"/>
      <c r="HKM76" s="954"/>
      <c r="HKN76" s="954"/>
      <c r="HKO76" s="954"/>
      <c r="HKP76" s="954"/>
      <c r="HKQ76" s="954"/>
      <c r="HKR76" s="954"/>
      <c r="HKS76" s="954"/>
      <c r="HKT76" s="954"/>
      <c r="HKU76" s="954"/>
      <c r="HKV76" s="954"/>
      <c r="HKW76" s="954"/>
      <c r="HKX76" s="954"/>
      <c r="HKY76" s="954"/>
      <c r="HKZ76" s="954"/>
      <c r="HLA76" s="954"/>
      <c r="HLB76" s="954"/>
      <c r="HLC76" s="954"/>
      <c r="HLD76" s="954"/>
      <c r="HLE76" s="954"/>
      <c r="HLF76" s="954"/>
      <c r="HLG76" s="954"/>
      <c r="HLH76" s="954"/>
      <c r="HLI76" s="954"/>
      <c r="HLJ76" s="954"/>
      <c r="HLK76" s="954"/>
      <c r="HLL76" s="954"/>
      <c r="HLM76" s="954"/>
      <c r="HLN76" s="954"/>
      <c r="HLO76" s="954"/>
      <c r="HLP76" s="954"/>
      <c r="HLQ76" s="954"/>
      <c r="HLR76" s="954"/>
      <c r="HLS76" s="954"/>
      <c r="HLT76" s="954"/>
      <c r="HLU76" s="954"/>
      <c r="HLV76" s="954"/>
      <c r="HLW76" s="954"/>
      <c r="HLX76" s="954"/>
      <c r="HLY76" s="954"/>
      <c r="HLZ76" s="954"/>
      <c r="HMA76" s="954"/>
      <c r="HMB76" s="954"/>
      <c r="HMC76" s="954"/>
      <c r="HMD76" s="954"/>
      <c r="HME76" s="954"/>
      <c r="HMF76" s="954"/>
      <c r="HMG76" s="954"/>
      <c r="HMH76" s="954"/>
      <c r="HMI76" s="954"/>
      <c r="HMJ76" s="954"/>
      <c r="HMK76" s="954"/>
      <c r="HML76" s="954"/>
      <c r="HMM76" s="954"/>
      <c r="HMN76" s="954"/>
      <c r="HMO76" s="954"/>
      <c r="HMP76" s="954"/>
      <c r="HMQ76" s="954"/>
      <c r="HMR76" s="954"/>
      <c r="HMS76" s="954"/>
      <c r="HMT76" s="954"/>
      <c r="HMU76" s="954"/>
      <c r="HMV76" s="954"/>
      <c r="HMW76" s="954"/>
      <c r="HMX76" s="954"/>
      <c r="HMY76" s="954"/>
      <c r="HMZ76" s="954"/>
      <c r="HNA76" s="954"/>
      <c r="HNB76" s="954"/>
      <c r="HNC76" s="954"/>
      <c r="HND76" s="954"/>
      <c r="HNE76" s="954"/>
      <c r="HNF76" s="954"/>
      <c r="HNG76" s="954"/>
      <c r="HNH76" s="954"/>
      <c r="HNI76" s="954"/>
      <c r="HNJ76" s="954"/>
      <c r="HNK76" s="954"/>
      <c r="HNL76" s="954"/>
      <c r="HNM76" s="954"/>
      <c r="HNN76" s="954"/>
      <c r="HNO76" s="954"/>
      <c r="HNP76" s="954"/>
      <c r="HNQ76" s="954"/>
      <c r="HNR76" s="954"/>
      <c r="HNS76" s="954"/>
      <c r="HNT76" s="954"/>
      <c r="HNU76" s="954"/>
      <c r="HNV76" s="954"/>
      <c r="HNW76" s="954"/>
      <c r="HNX76" s="954"/>
      <c r="HNY76" s="954"/>
      <c r="HNZ76" s="954"/>
      <c r="HOA76" s="954"/>
      <c r="HOB76" s="954"/>
      <c r="HOC76" s="954"/>
      <c r="HOD76" s="954"/>
      <c r="HOE76" s="954"/>
      <c r="HOF76" s="954"/>
      <c r="HOG76" s="954"/>
      <c r="HOH76" s="954"/>
      <c r="HOI76" s="954"/>
      <c r="HOJ76" s="954"/>
      <c r="HOK76" s="954"/>
      <c r="HOL76" s="954"/>
      <c r="HOM76" s="954"/>
      <c r="HON76" s="954"/>
      <c r="HOO76" s="954"/>
      <c r="HOP76" s="954"/>
      <c r="HOQ76" s="954"/>
      <c r="HOR76" s="954"/>
      <c r="HOS76" s="954"/>
      <c r="HOT76" s="954"/>
      <c r="HOU76" s="954"/>
      <c r="HOV76" s="954"/>
      <c r="HOW76" s="954"/>
      <c r="HOX76" s="954"/>
      <c r="HOY76" s="954"/>
      <c r="HOZ76" s="954"/>
      <c r="HPA76" s="954"/>
      <c r="HPB76" s="954"/>
      <c r="HPC76" s="954"/>
      <c r="HPD76" s="954"/>
      <c r="HPE76" s="954"/>
      <c r="HPF76" s="954"/>
      <c r="HPG76" s="954"/>
      <c r="HPH76" s="954"/>
      <c r="HPI76" s="954"/>
      <c r="HPJ76" s="954"/>
      <c r="HPK76" s="954"/>
      <c r="HPL76" s="954"/>
      <c r="HPM76" s="954"/>
      <c r="HPN76" s="954"/>
      <c r="HPO76" s="954"/>
      <c r="HPP76" s="954"/>
      <c r="HPQ76" s="954"/>
      <c r="HPR76" s="954"/>
      <c r="HPS76" s="954"/>
      <c r="HPT76" s="954"/>
      <c r="HPU76" s="954"/>
      <c r="HPV76" s="954"/>
      <c r="HPW76" s="954"/>
      <c r="HPX76" s="954"/>
      <c r="HPY76" s="954"/>
      <c r="HPZ76" s="954"/>
      <c r="HQA76" s="954"/>
      <c r="HQB76" s="954"/>
      <c r="HQC76" s="954"/>
      <c r="HQD76" s="954"/>
      <c r="HQE76" s="954"/>
      <c r="HQF76" s="954"/>
      <c r="HQG76" s="954"/>
      <c r="HQH76" s="954"/>
      <c r="HQI76" s="954"/>
      <c r="HQJ76" s="954"/>
      <c r="HQK76" s="954"/>
      <c r="HQL76" s="954"/>
      <c r="HQM76" s="954"/>
      <c r="HQN76" s="954"/>
      <c r="HQO76" s="954"/>
      <c r="HQP76" s="954"/>
      <c r="HQQ76" s="954"/>
      <c r="HQR76" s="954"/>
      <c r="HQS76" s="954"/>
      <c r="HQT76" s="954"/>
      <c r="HQU76" s="954"/>
      <c r="HQV76" s="954"/>
      <c r="HQW76" s="954"/>
      <c r="HQX76" s="954"/>
      <c r="HQY76" s="954"/>
      <c r="HQZ76" s="954"/>
      <c r="HRA76" s="954"/>
      <c r="HRB76" s="954"/>
      <c r="HRC76" s="954"/>
      <c r="HRD76" s="954"/>
      <c r="HRE76" s="954"/>
      <c r="HRF76" s="954"/>
      <c r="HRG76" s="954"/>
      <c r="HRH76" s="954"/>
      <c r="HRI76" s="954"/>
      <c r="HRJ76" s="954"/>
      <c r="HRK76" s="954"/>
      <c r="HRL76" s="954"/>
      <c r="HRM76" s="954"/>
      <c r="HRN76" s="954"/>
      <c r="HRO76" s="954"/>
      <c r="HRP76" s="954"/>
      <c r="HRQ76" s="954"/>
      <c r="HRR76" s="954"/>
      <c r="HRS76" s="954"/>
      <c r="HRT76" s="954"/>
      <c r="HRU76" s="954"/>
      <c r="HRV76" s="954"/>
      <c r="HRW76" s="954"/>
      <c r="HRX76" s="954"/>
      <c r="HRY76" s="954"/>
      <c r="HRZ76" s="954"/>
      <c r="HSA76" s="954"/>
      <c r="HSB76" s="954"/>
      <c r="HSC76" s="954"/>
      <c r="HSD76" s="954"/>
      <c r="HSE76" s="954"/>
      <c r="HSF76" s="954"/>
      <c r="HSG76" s="954"/>
      <c r="HSH76" s="954"/>
      <c r="HSI76" s="954"/>
      <c r="HSJ76" s="954"/>
      <c r="HSK76" s="954"/>
      <c r="HSL76" s="954"/>
      <c r="HSM76" s="954"/>
      <c r="HSN76" s="954"/>
      <c r="HSO76" s="954"/>
      <c r="HSP76" s="954"/>
      <c r="HSQ76" s="954"/>
      <c r="HSR76" s="954"/>
      <c r="HSS76" s="954"/>
      <c r="HST76" s="954"/>
      <c r="HSU76" s="954"/>
      <c r="HSV76" s="954"/>
      <c r="HSW76" s="954"/>
      <c r="HSX76" s="954"/>
      <c r="HSY76" s="954"/>
      <c r="HSZ76" s="954"/>
      <c r="HTA76" s="954"/>
      <c r="HTB76" s="954"/>
      <c r="HTC76" s="954"/>
      <c r="HTD76" s="954"/>
      <c r="HTE76" s="954"/>
      <c r="HTF76" s="954"/>
      <c r="HTG76" s="954"/>
      <c r="HTH76" s="954"/>
      <c r="HTI76" s="954"/>
      <c r="HTJ76" s="954"/>
      <c r="HTK76" s="954"/>
      <c r="HTL76" s="954"/>
      <c r="HTM76" s="954"/>
      <c r="HTN76" s="954"/>
      <c r="HTO76" s="954"/>
      <c r="HTP76" s="954"/>
      <c r="HTQ76" s="954"/>
      <c r="HTR76" s="954"/>
      <c r="HTS76" s="954"/>
      <c r="HTT76" s="954"/>
      <c r="HTU76" s="954"/>
      <c r="HTV76" s="954"/>
      <c r="HTW76" s="954"/>
      <c r="HTX76" s="954"/>
      <c r="HTY76" s="954"/>
      <c r="HTZ76" s="954"/>
      <c r="HUA76" s="954"/>
      <c r="HUB76" s="954"/>
      <c r="HUC76" s="954"/>
      <c r="HUD76" s="954"/>
      <c r="HUE76" s="954"/>
      <c r="HUF76" s="954"/>
      <c r="HUG76" s="954"/>
      <c r="HUH76" s="954"/>
      <c r="HUI76" s="954"/>
      <c r="HUJ76" s="954"/>
      <c r="HUK76" s="954"/>
      <c r="HUL76" s="954"/>
      <c r="HUM76" s="954"/>
      <c r="HUN76" s="954"/>
      <c r="HUO76" s="954"/>
      <c r="HUP76" s="954"/>
      <c r="HUQ76" s="954"/>
      <c r="HUR76" s="954"/>
      <c r="HUS76" s="954"/>
      <c r="HUT76" s="954"/>
      <c r="HUU76" s="954"/>
      <c r="HUV76" s="954"/>
      <c r="HUW76" s="954"/>
      <c r="HUX76" s="954"/>
      <c r="HUY76" s="954"/>
      <c r="HUZ76" s="954"/>
      <c r="HVA76" s="954"/>
      <c r="HVB76" s="954"/>
      <c r="HVC76" s="954"/>
      <c r="HVD76" s="954"/>
      <c r="HVE76" s="954"/>
      <c r="HVF76" s="954"/>
      <c r="HVG76" s="954"/>
      <c r="HVH76" s="954"/>
      <c r="HVI76" s="954"/>
      <c r="HVJ76" s="954"/>
      <c r="HVK76" s="954"/>
      <c r="HVL76" s="954"/>
      <c r="HVM76" s="954"/>
      <c r="HVN76" s="954"/>
      <c r="HVO76" s="954"/>
      <c r="HVP76" s="954"/>
      <c r="HVQ76" s="954"/>
      <c r="HVR76" s="954"/>
      <c r="HVS76" s="954"/>
      <c r="HVT76" s="954"/>
      <c r="HVU76" s="954"/>
      <c r="HVV76" s="954"/>
      <c r="HVW76" s="954"/>
      <c r="HVX76" s="954"/>
      <c r="HVY76" s="954"/>
      <c r="HVZ76" s="954"/>
      <c r="HWA76" s="954"/>
      <c r="HWB76" s="954"/>
      <c r="HWC76" s="954"/>
      <c r="HWD76" s="954"/>
      <c r="HWE76" s="954"/>
      <c r="HWF76" s="954"/>
      <c r="HWG76" s="954"/>
      <c r="HWH76" s="954"/>
      <c r="HWI76" s="954"/>
      <c r="HWJ76" s="954"/>
      <c r="HWK76" s="954"/>
      <c r="HWL76" s="954"/>
      <c r="HWM76" s="954"/>
      <c r="HWN76" s="954"/>
      <c r="HWO76" s="954"/>
      <c r="HWP76" s="954"/>
      <c r="HWQ76" s="954"/>
      <c r="HWR76" s="954"/>
      <c r="HWS76" s="954"/>
      <c r="HWT76" s="954"/>
      <c r="HWU76" s="954"/>
      <c r="HWV76" s="954"/>
      <c r="HWW76" s="954"/>
      <c r="HWX76" s="954"/>
      <c r="HWY76" s="954"/>
      <c r="HWZ76" s="954"/>
      <c r="HXA76" s="954"/>
      <c r="HXB76" s="954"/>
      <c r="HXC76" s="954"/>
      <c r="HXD76" s="954"/>
      <c r="HXE76" s="954"/>
      <c r="HXF76" s="954"/>
      <c r="HXG76" s="954"/>
      <c r="HXH76" s="954"/>
      <c r="HXI76" s="954"/>
      <c r="HXJ76" s="954"/>
      <c r="HXK76" s="954"/>
      <c r="HXL76" s="954"/>
      <c r="HXM76" s="954"/>
      <c r="HXN76" s="954"/>
      <c r="HXO76" s="954"/>
      <c r="HXP76" s="954"/>
      <c r="HXQ76" s="954"/>
      <c r="HXR76" s="954"/>
      <c r="HXS76" s="954"/>
      <c r="HXT76" s="954"/>
      <c r="HXU76" s="954"/>
      <c r="HXV76" s="954"/>
      <c r="HXW76" s="954"/>
      <c r="HXX76" s="954"/>
      <c r="HXY76" s="954"/>
      <c r="HXZ76" s="954"/>
      <c r="HYA76" s="954"/>
      <c r="HYB76" s="954"/>
      <c r="HYC76" s="954"/>
      <c r="HYD76" s="954"/>
      <c r="HYE76" s="954"/>
      <c r="HYF76" s="954"/>
      <c r="HYG76" s="954"/>
      <c r="HYH76" s="954"/>
      <c r="HYI76" s="954"/>
      <c r="HYJ76" s="954"/>
      <c r="HYK76" s="954"/>
      <c r="HYL76" s="954"/>
      <c r="HYM76" s="954"/>
      <c r="HYN76" s="954"/>
      <c r="HYO76" s="954"/>
      <c r="HYP76" s="954"/>
      <c r="HYQ76" s="954"/>
      <c r="HYR76" s="954"/>
      <c r="HYS76" s="954"/>
      <c r="HYT76" s="954"/>
      <c r="HYU76" s="954"/>
      <c r="HYV76" s="954"/>
      <c r="HYW76" s="954"/>
      <c r="HYX76" s="954"/>
      <c r="HYY76" s="954"/>
      <c r="HYZ76" s="954"/>
      <c r="HZA76" s="954"/>
      <c r="HZB76" s="954"/>
      <c r="HZC76" s="954"/>
      <c r="HZD76" s="954"/>
      <c r="HZE76" s="954"/>
      <c r="HZF76" s="954"/>
      <c r="HZG76" s="954"/>
      <c r="HZH76" s="954"/>
      <c r="HZI76" s="954"/>
      <c r="HZJ76" s="954"/>
      <c r="HZK76" s="954"/>
      <c r="HZL76" s="954"/>
      <c r="HZM76" s="954"/>
      <c r="HZN76" s="954"/>
      <c r="HZO76" s="954"/>
      <c r="HZP76" s="954"/>
      <c r="HZQ76" s="954"/>
      <c r="HZR76" s="954"/>
      <c r="HZS76" s="954"/>
      <c r="HZT76" s="954"/>
      <c r="HZU76" s="954"/>
      <c r="HZV76" s="954"/>
      <c r="HZW76" s="954"/>
      <c r="HZX76" s="954"/>
      <c r="HZY76" s="954"/>
      <c r="HZZ76" s="954"/>
      <c r="IAA76" s="954"/>
      <c r="IAB76" s="954"/>
      <c r="IAC76" s="954"/>
      <c r="IAD76" s="954"/>
      <c r="IAE76" s="954"/>
      <c r="IAF76" s="954"/>
      <c r="IAG76" s="954"/>
      <c r="IAH76" s="954"/>
      <c r="IAI76" s="954"/>
      <c r="IAJ76" s="954"/>
      <c r="IAK76" s="954"/>
      <c r="IAL76" s="954"/>
      <c r="IAM76" s="954"/>
      <c r="IAN76" s="954"/>
      <c r="IAO76" s="954"/>
      <c r="IAP76" s="954"/>
      <c r="IAQ76" s="954"/>
      <c r="IAR76" s="954"/>
      <c r="IAS76" s="954"/>
      <c r="IAT76" s="954"/>
      <c r="IAU76" s="954"/>
      <c r="IAV76" s="954"/>
      <c r="IAW76" s="954"/>
      <c r="IAX76" s="954"/>
      <c r="IAY76" s="954"/>
      <c r="IAZ76" s="954"/>
      <c r="IBA76" s="954"/>
      <c r="IBB76" s="954"/>
      <c r="IBC76" s="954"/>
      <c r="IBD76" s="954"/>
      <c r="IBE76" s="954"/>
      <c r="IBF76" s="954"/>
      <c r="IBG76" s="954"/>
      <c r="IBH76" s="954"/>
      <c r="IBI76" s="954"/>
      <c r="IBJ76" s="954"/>
      <c r="IBK76" s="954"/>
      <c r="IBL76" s="954"/>
      <c r="IBM76" s="954"/>
      <c r="IBN76" s="954"/>
      <c r="IBO76" s="954"/>
      <c r="IBP76" s="954"/>
      <c r="IBQ76" s="954"/>
      <c r="IBR76" s="954"/>
      <c r="IBS76" s="954"/>
      <c r="IBT76" s="954"/>
      <c r="IBU76" s="954"/>
      <c r="IBV76" s="954"/>
      <c r="IBW76" s="954"/>
      <c r="IBX76" s="954"/>
      <c r="IBY76" s="954"/>
      <c r="IBZ76" s="954"/>
      <c r="ICA76" s="954"/>
      <c r="ICB76" s="954"/>
      <c r="ICC76" s="954"/>
      <c r="ICD76" s="954"/>
      <c r="ICE76" s="954"/>
      <c r="ICF76" s="954"/>
      <c r="ICG76" s="954"/>
      <c r="ICH76" s="954"/>
      <c r="ICI76" s="954"/>
      <c r="ICJ76" s="954"/>
      <c r="ICK76" s="954"/>
      <c r="ICL76" s="954"/>
      <c r="ICM76" s="954"/>
      <c r="ICN76" s="954"/>
      <c r="ICO76" s="954"/>
      <c r="ICP76" s="954"/>
      <c r="ICQ76" s="954"/>
      <c r="ICR76" s="954"/>
      <c r="ICS76" s="954"/>
      <c r="ICT76" s="954"/>
      <c r="ICU76" s="954"/>
      <c r="ICV76" s="954"/>
      <c r="ICW76" s="954"/>
      <c r="ICX76" s="954"/>
      <c r="ICY76" s="954"/>
      <c r="ICZ76" s="954"/>
      <c r="IDA76" s="954"/>
      <c r="IDB76" s="954"/>
      <c r="IDC76" s="954"/>
      <c r="IDD76" s="954"/>
      <c r="IDE76" s="954"/>
      <c r="IDF76" s="954"/>
      <c r="IDG76" s="954"/>
      <c r="IDH76" s="954"/>
      <c r="IDI76" s="954"/>
      <c r="IDJ76" s="954"/>
      <c r="IDK76" s="954"/>
      <c r="IDL76" s="954"/>
      <c r="IDM76" s="954"/>
      <c r="IDN76" s="954"/>
      <c r="IDO76" s="954"/>
      <c r="IDP76" s="954"/>
      <c r="IDQ76" s="954"/>
      <c r="IDR76" s="954"/>
      <c r="IDS76" s="954"/>
      <c r="IDT76" s="954"/>
      <c r="IDU76" s="954"/>
      <c r="IDV76" s="954"/>
      <c r="IDW76" s="954"/>
      <c r="IDX76" s="954"/>
      <c r="IDY76" s="954"/>
      <c r="IDZ76" s="954"/>
      <c r="IEA76" s="954"/>
      <c r="IEB76" s="954"/>
      <c r="IEC76" s="954"/>
      <c r="IED76" s="954"/>
      <c r="IEE76" s="954"/>
      <c r="IEF76" s="954"/>
      <c r="IEG76" s="954"/>
      <c r="IEH76" s="954"/>
      <c r="IEI76" s="954"/>
      <c r="IEJ76" s="954"/>
      <c r="IEK76" s="954"/>
      <c r="IEL76" s="954"/>
      <c r="IEM76" s="954"/>
      <c r="IEN76" s="954"/>
      <c r="IEO76" s="954"/>
      <c r="IEP76" s="954"/>
      <c r="IEQ76" s="954"/>
      <c r="IER76" s="954"/>
      <c r="IES76" s="954"/>
      <c r="IET76" s="954"/>
      <c r="IEU76" s="954"/>
      <c r="IEV76" s="954"/>
      <c r="IEW76" s="954"/>
      <c r="IEX76" s="954"/>
      <c r="IEY76" s="954"/>
      <c r="IEZ76" s="954"/>
      <c r="IFA76" s="954"/>
      <c r="IFB76" s="954"/>
      <c r="IFC76" s="954"/>
      <c r="IFD76" s="954"/>
      <c r="IFE76" s="954"/>
      <c r="IFF76" s="954"/>
      <c r="IFG76" s="954"/>
      <c r="IFH76" s="954"/>
      <c r="IFI76" s="954"/>
      <c r="IFJ76" s="954"/>
      <c r="IFK76" s="954"/>
      <c r="IFL76" s="954"/>
      <c r="IFM76" s="954"/>
      <c r="IFN76" s="954"/>
      <c r="IFO76" s="954"/>
      <c r="IFP76" s="954"/>
      <c r="IFQ76" s="954"/>
      <c r="IFR76" s="954"/>
      <c r="IFS76" s="954"/>
      <c r="IFT76" s="954"/>
      <c r="IFU76" s="954"/>
      <c r="IFV76" s="954"/>
      <c r="IFW76" s="954"/>
      <c r="IFX76" s="954"/>
      <c r="IFY76" s="954"/>
      <c r="IFZ76" s="954"/>
      <c r="IGA76" s="954"/>
      <c r="IGB76" s="954"/>
      <c r="IGC76" s="954"/>
      <c r="IGD76" s="954"/>
      <c r="IGE76" s="954"/>
      <c r="IGF76" s="954"/>
      <c r="IGG76" s="954"/>
      <c r="IGH76" s="954"/>
      <c r="IGI76" s="954"/>
      <c r="IGJ76" s="954"/>
      <c r="IGK76" s="954"/>
      <c r="IGL76" s="954"/>
      <c r="IGM76" s="954"/>
      <c r="IGN76" s="954"/>
      <c r="IGO76" s="954"/>
      <c r="IGP76" s="954"/>
      <c r="IGQ76" s="954"/>
      <c r="IGR76" s="954"/>
      <c r="IGS76" s="954"/>
      <c r="IGT76" s="954"/>
      <c r="IGU76" s="954"/>
      <c r="IGV76" s="954"/>
      <c r="IGW76" s="954"/>
      <c r="IGX76" s="954"/>
      <c r="IGY76" s="954"/>
      <c r="IGZ76" s="954"/>
      <c r="IHA76" s="954"/>
      <c r="IHB76" s="954"/>
      <c r="IHC76" s="954"/>
      <c r="IHD76" s="954"/>
      <c r="IHE76" s="954"/>
      <c r="IHF76" s="954"/>
      <c r="IHG76" s="954"/>
      <c r="IHH76" s="954"/>
      <c r="IHI76" s="954"/>
      <c r="IHJ76" s="954"/>
      <c r="IHK76" s="954"/>
      <c r="IHL76" s="954"/>
      <c r="IHM76" s="954"/>
      <c r="IHN76" s="954"/>
      <c r="IHO76" s="954"/>
      <c r="IHP76" s="954"/>
      <c r="IHQ76" s="954"/>
      <c r="IHR76" s="954"/>
      <c r="IHS76" s="954"/>
      <c r="IHT76" s="954"/>
      <c r="IHU76" s="954"/>
      <c r="IHV76" s="954"/>
      <c r="IHW76" s="954"/>
      <c r="IHX76" s="954"/>
      <c r="IHY76" s="954"/>
      <c r="IHZ76" s="954"/>
      <c r="IIA76" s="954"/>
      <c r="IIB76" s="954"/>
      <c r="IIC76" s="954"/>
      <c r="IID76" s="954"/>
      <c r="IIE76" s="954"/>
      <c r="IIF76" s="954"/>
      <c r="IIG76" s="954"/>
      <c r="IIH76" s="954"/>
      <c r="III76" s="954"/>
      <c r="IIJ76" s="954"/>
      <c r="IIK76" s="954"/>
      <c r="IIL76" s="954"/>
      <c r="IIM76" s="954"/>
      <c r="IIN76" s="954"/>
      <c r="IIO76" s="954"/>
      <c r="IIP76" s="954"/>
      <c r="IIQ76" s="954"/>
      <c r="IIR76" s="954"/>
      <c r="IIS76" s="954"/>
      <c r="IIT76" s="954"/>
      <c r="IIU76" s="954"/>
      <c r="IIV76" s="954"/>
      <c r="IIW76" s="954"/>
      <c r="IIX76" s="954"/>
      <c r="IIY76" s="954"/>
      <c r="IIZ76" s="954"/>
      <c r="IJA76" s="954"/>
      <c r="IJB76" s="954"/>
      <c r="IJC76" s="954"/>
      <c r="IJD76" s="954"/>
      <c r="IJE76" s="954"/>
      <c r="IJF76" s="954"/>
      <c r="IJG76" s="954"/>
      <c r="IJH76" s="954"/>
      <c r="IJI76" s="954"/>
      <c r="IJJ76" s="954"/>
      <c r="IJK76" s="954"/>
      <c r="IJL76" s="954"/>
      <c r="IJM76" s="954"/>
      <c r="IJN76" s="954"/>
      <c r="IJO76" s="954"/>
      <c r="IJP76" s="954"/>
      <c r="IJQ76" s="954"/>
      <c r="IJR76" s="954"/>
      <c r="IJS76" s="954"/>
      <c r="IJT76" s="954"/>
      <c r="IJU76" s="954"/>
      <c r="IJV76" s="954"/>
      <c r="IJW76" s="954"/>
      <c r="IJX76" s="954"/>
      <c r="IJY76" s="954"/>
      <c r="IJZ76" s="954"/>
      <c r="IKA76" s="954"/>
      <c r="IKB76" s="954"/>
      <c r="IKC76" s="954"/>
      <c r="IKD76" s="954"/>
      <c r="IKE76" s="954"/>
      <c r="IKF76" s="954"/>
      <c r="IKG76" s="954"/>
      <c r="IKH76" s="954"/>
      <c r="IKI76" s="954"/>
      <c r="IKJ76" s="954"/>
      <c r="IKK76" s="954"/>
      <c r="IKL76" s="954"/>
      <c r="IKM76" s="954"/>
      <c r="IKN76" s="954"/>
      <c r="IKO76" s="954"/>
      <c r="IKP76" s="954"/>
      <c r="IKQ76" s="954"/>
      <c r="IKR76" s="954"/>
      <c r="IKS76" s="954"/>
      <c r="IKT76" s="954"/>
      <c r="IKU76" s="954"/>
      <c r="IKV76" s="954"/>
      <c r="IKW76" s="954"/>
      <c r="IKX76" s="954"/>
      <c r="IKY76" s="954"/>
      <c r="IKZ76" s="954"/>
      <c r="ILA76" s="954"/>
      <c r="ILB76" s="954"/>
      <c r="ILC76" s="954"/>
      <c r="ILD76" s="954"/>
      <c r="ILE76" s="954"/>
      <c r="ILF76" s="954"/>
      <c r="ILG76" s="954"/>
      <c r="ILH76" s="954"/>
      <c r="ILI76" s="954"/>
      <c r="ILJ76" s="954"/>
      <c r="ILK76" s="954"/>
      <c r="ILL76" s="954"/>
      <c r="ILM76" s="954"/>
      <c r="ILN76" s="954"/>
      <c r="ILO76" s="954"/>
      <c r="ILP76" s="954"/>
      <c r="ILQ76" s="954"/>
      <c r="ILR76" s="954"/>
      <c r="ILS76" s="954"/>
      <c r="ILT76" s="954"/>
      <c r="ILU76" s="954"/>
      <c r="ILV76" s="954"/>
      <c r="ILW76" s="954"/>
      <c r="ILX76" s="954"/>
      <c r="ILY76" s="954"/>
      <c r="ILZ76" s="954"/>
      <c r="IMA76" s="954"/>
      <c r="IMB76" s="954"/>
      <c r="IMC76" s="954"/>
      <c r="IMD76" s="954"/>
      <c r="IME76" s="954"/>
      <c r="IMF76" s="954"/>
      <c r="IMG76" s="954"/>
      <c r="IMH76" s="954"/>
      <c r="IMI76" s="954"/>
      <c r="IMJ76" s="954"/>
      <c r="IMK76" s="954"/>
      <c r="IML76" s="954"/>
      <c r="IMM76" s="954"/>
      <c r="IMN76" s="954"/>
      <c r="IMO76" s="954"/>
      <c r="IMP76" s="954"/>
      <c r="IMQ76" s="954"/>
      <c r="IMR76" s="954"/>
      <c r="IMS76" s="954"/>
      <c r="IMT76" s="954"/>
      <c r="IMU76" s="954"/>
      <c r="IMV76" s="954"/>
      <c r="IMW76" s="954"/>
      <c r="IMX76" s="954"/>
      <c r="IMY76" s="954"/>
      <c r="IMZ76" s="954"/>
      <c r="INA76" s="954"/>
      <c r="INB76" s="954"/>
      <c r="INC76" s="954"/>
      <c r="IND76" s="954"/>
      <c r="INE76" s="954"/>
      <c r="INF76" s="954"/>
      <c r="ING76" s="954"/>
      <c r="INH76" s="954"/>
      <c r="INI76" s="954"/>
      <c r="INJ76" s="954"/>
      <c r="INK76" s="954"/>
      <c r="INL76" s="954"/>
      <c r="INM76" s="954"/>
      <c r="INN76" s="954"/>
      <c r="INO76" s="954"/>
      <c r="INP76" s="954"/>
      <c r="INQ76" s="954"/>
      <c r="INR76" s="954"/>
      <c r="INS76" s="954"/>
      <c r="INT76" s="954"/>
      <c r="INU76" s="954"/>
      <c r="INV76" s="954"/>
      <c r="INW76" s="954"/>
      <c r="INX76" s="954"/>
      <c r="INY76" s="954"/>
      <c r="INZ76" s="954"/>
      <c r="IOA76" s="954"/>
      <c r="IOB76" s="954"/>
      <c r="IOC76" s="954"/>
      <c r="IOD76" s="954"/>
      <c r="IOE76" s="954"/>
      <c r="IOF76" s="954"/>
      <c r="IOG76" s="954"/>
      <c r="IOH76" s="954"/>
      <c r="IOI76" s="954"/>
      <c r="IOJ76" s="954"/>
      <c r="IOK76" s="954"/>
      <c r="IOL76" s="954"/>
      <c r="IOM76" s="954"/>
      <c r="ION76" s="954"/>
      <c r="IOO76" s="954"/>
      <c r="IOP76" s="954"/>
      <c r="IOQ76" s="954"/>
      <c r="IOR76" s="954"/>
      <c r="IOS76" s="954"/>
      <c r="IOT76" s="954"/>
      <c r="IOU76" s="954"/>
      <c r="IOV76" s="954"/>
      <c r="IOW76" s="954"/>
      <c r="IOX76" s="954"/>
      <c r="IOY76" s="954"/>
      <c r="IOZ76" s="954"/>
      <c r="IPA76" s="954"/>
      <c r="IPB76" s="954"/>
      <c r="IPC76" s="954"/>
      <c r="IPD76" s="954"/>
      <c r="IPE76" s="954"/>
      <c r="IPF76" s="954"/>
      <c r="IPG76" s="954"/>
      <c r="IPH76" s="954"/>
      <c r="IPI76" s="954"/>
      <c r="IPJ76" s="954"/>
      <c r="IPK76" s="954"/>
      <c r="IPL76" s="954"/>
      <c r="IPM76" s="954"/>
      <c r="IPN76" s="954"/>
      <c r="IPO76" s="954"/>
      <c r="IPP76" s="954"/>
      <c r="IPQ76" s="954"/>
      <c r="IPR76" s="954"/>
      <c r="IPS76" s="954"/>
      <c r="IPT76" s="954"/>
      <c r="IPU76" s="954"/>
      <c r="IPV76" s="954"/>
      <c r="IPW76" s="954"/>
      <c r="IPX76" s="954"/>
      <c r="IPY76" s="954"/>
      <c r="IPZ76" s="954"/>
      <c r="IQA76" s="954"/>
      <c r="IQB76" s="954"/>
      <c r="IQC76" s="954"/>
      <c r="IQD76" s="954"/>
      <c r="IQE76" s="954"/>
      <c r="IQF76" s="954"/>
      <c r="IQG76" s="954"/>
      <c r="IQH76" s="954"/>
      <c r="IQI76" s="954"/>
      <c r="IQJ76" s="954"/>
      <c r="IQK76" s="954"/>
      <c r="IQL76" s="954"/>
      <c r="IQM76" s="954"/>
      <c r="IQN76" s="954"/>
      <c r="IQO76" s="954"/>
      <c r="IQP76" s="954"/>
      <c r="IQQ76" s="954"/>
      <c r="IQR76" s="954"/>
      <c r="IQS76" s="954"/>
      <c r="IQT76" s="954"/>
      <c r="IQU76" s="954"/>
      <c r="IQV76" s="954"/>
      <c r="IQW76" s="954"/>
      <c r="IQX76" s="954"/>
      <c r="IQY76" s="954"/>
      <c r="IQZ76" s="954"/>
      <c r="IRA76" s="954"/>
      <c r="IRB76" s="954"/>
      <c r="IRC76" s="954"/>
      <c r="IRD76" s="954"/>
      <c r="IRE76" s="954"/>
      <c r="IRF76" s="954"/>
      <c r="IRG76" s="954"/>
      <c r="IRH76" s="954"/>
      <c r="IRI76" s="954"/>
      <c r="IRJ76" s="954"/>
      <c r="IRK76" s="954"/>
      <c r="IRL76" s="954"/>
      <c r="IRM76" s="954"/>
      <c r="IRN76" s="954"/>
      <c r="IRO76" s="954"/>
      <c r="IRP76" s="954"/>
      <c r="IRQ76" s="954"/>
      <c r="IRR76" s="954"/>
      <c r="IRS76" s="954"/>
      <c r="IRT76" s="954"/>
      <c r="IRU76" s="954"/>
      <c r="IRV76" s="954"/>
      <c r="IRW76" s="954"/>
      <c r="IRX76" s="954"/>
      <c r="IRY76" s="954"/>
      <c r="IRZ76" s="954"/>
      <c r="ISA76" s="954"/>
      <c r="ISB76" s="954"/>
      <c r="ISC76" s="954"/>
      <c r="ISD76" s="954"/>
      <c r="ISE76" s="954"/>
      <c r="ISF76" s="954"/>
      <c r="ISG76" s="954"/>
      <c r="ISH76" s="954"/>
      <c r="ISI76" s="954"/>
      <c r="ISJ76" s="954"/>
      <c r="ISK76" s="954"/>
      <c r="ISL76" s="954"/>
      <c r="ISM76" s="954"/>
      <c r="ISN76" s="954"/>
      <c r="ISO76" s="954"/>
      <c r="ISP76" s="954"/>
      <c r="ISQ76" s="954"/>
      <c r="ISR76" s="954"/>
      <c r="ISS76" s="954"/>
      <c r="IST76" s="954"/>
      <c r="ISU76" s="954"/>
      <c r="ISV76" s="954"/>
      <c r="ISW76" s="954"/>
      <c r="ISX76" s="954"/>
      <c r="ISY76" s="954"/>
      <c r="ISZ76" s="954"/>
      <c r="ITA76" s="954"/>
      <c r="ITB76" s="954"/>
      <c r="ITC76" s="954"/>
      <c r="ITD76" s="954"/>
      <c r="ITE76" s="954"/>
      <c r="ITF76" s="954"/>
      <c r="ITG76" s="954"/>
      <c r="ITH76" s="954"/>
      <c r="ITI76" s="954"/>
      <c r="ITJ76" s="954"/>
      <c r="ITK76" s="954"/>
      <c r="ITL76" s="954"/>
      <c r="ITM76" s="954"/>
      <c r="ITN76" s="954"/>
      <c r="ITO76" s="954"/>
      <c r="ITP76" s="954"/>
      <c r="ITQ76" s="954"/>
      <c r="ITR76" s="954"/>
      <c r="ITS76" s="954"/>
      <c r="ITT76" s="954"/>
      <c r="ITU76" s="954"/>
      <c r="ITV76" s="954"/>
      <c r="ITW76" s="954"/>
      <c r="ITX76" s="954"/>
      <c r="ITY76" s="954"/>
      <c r="ITZ76" s="954"/>
      <c r="IUA76" s="954"/>
      <c r="IUB76" s="954"/>
      <c r="IUC76" s="954"/>
      <c r="IUD76" s="954"/>
      <c r="IUE76" s="954"/>
      <c r="IUF76" s="954"/>
      <c r="IUG76" s="954"/>
      <c r="IUH76" s="954"/>
      <c r="IUI76" s="954"/>
      <c r="IUJ76" s="954"/>
      <c r="IUK76" s="954"/>
      <c r="IUL76" s="954"/>
      <c r="IUM76" s="954"/>
      <c r="IUN76" s="954"/>
      <c r="IUO76" s="954"/>
      <c r="IUP76" s="954"/>
      <c r="IUQ76" s="954"/>
      <c r="IUR76" s="954"/>
      <c r="IUS76" s="954"/>
      <c r="IUT76" s="954"/>
      <c r="IUU76" s="954"/>
      <c r="IUV76" s="954"/>
      <c r="IUW76" s="954"/>
      <c r="IUX76" s="954"/>
      <c r="IUY76" s="954"/>
      <c r="IUZ76" s="954"/>
      <c r="IVA76" s="954"/>
      <c r="IVB76" s="954"/>
      <c r="IVC76" s="954"/>
      <c r="IVD76" s="954"/>
      <c r="IVE76" s="954"/>
      <c r="IVF76" s="954"/>
      <c r="IVG76" s="954"/>
      <c r="IVH76" s="954"/>
      <c r="IVI76" s="954"/>
      <c r="IVJ76" s="954"/>
      <c r="IVK76" s="954"/>
      <c r="IVL76" s="954"/>
      <c r="IVM76" s="954"/>
      <c r="IVN76" s="954"/>
      <c r="IVO76" s="954"/>
      <c r="IVP76" s="954"/>
      <c r="IVQ76" s="954"/>
      <c r="IVR76" s="954"/>
      <c r="IVS76" s="954"/>
      <c r="IVT76" s="954"/>
      <c r="IVU76" s="954"/>
      <c r="IVV76" s="954"/>
      <c r="IVW76" s="954"/>
      <c r="IVX76" s="954"/>
      <c r="IVY76" s="954"/>
      <c r="IVZ76" s="954"/>
      <c r="IWA76" s="954"/>
      <c r="IWB76" s="954"/>
      <c r="IWC76" s="954"/>
      <c r="IWD76" s="954"/>
      <c r="IWE76" s="954"/>
      <c r="IWF76" s="954"/>
      <c r="IWG76" s="954"/>
      <c r="IWH76" s="954"/>
      <c r="IWI76" s="954"/>
      <c r="IWJ76" s="954"/>
      <c r="IWK76" s="954"/>
      <c r="IWL76" s="954"/>
      <c r="IWM76" s="954"/>
      <c r="IWN76" s="954"/>
      <c r="IWO76" s="954"/>
      <c r="IWP76" s="954"/>
      <c r="IWQ76" s="954"/>
      <c r="IWR76" s="954"/>
      <c r="IWS76" s="954"/>
      <c r="IWT76" s="954"/>
      <c r="IWU76" s="954"/>
      <c r="IWV76" s="954"/>
      <c r="IWW76" s="954"/>
      <c r="IWX76" s="954"/>
      <c r="IWY76" s="954"/>
      <c r="IWZ76" s="954"/>
      <c r="IXA76" s="954"/>
      <c r="IXB76" s="954"/>
      <c r="IXC76" s="954"/>
      <c r="IXD76" s="954"/>
      <c r="IXE76" s="954"/>
      <c r="IXF76" s="954"/>
      <c r="IXG76" s="954"/>
      <c r="IXH76" s="954"/>
      <c r="IXI76" s="954"/>
      <c r="IXJ76" s="954"/>
      <c r="IXK76" s="954"/>
      <c r="IXL76" s="954"/>
      <c r="IXM76" s="954"/>
      <c r="IXN76" s="954"/>
      <c r="IXO76" s="954"/>
      <c r="IXP76" s="954"/>
      <c r="IXQ76" s="954"/>
      <c r="IXR76" s="954"/>
      <c r="IXS76" s="954"/>
      <c r="IXT76" s="954"/>
      <c r="IXU76" s="954"/>
      <c r="IXV76" s="954"/>
      <c r="IXW76" s="954"/>
      <c r="IXX76" s="954"/>
      <c r="IXY76" s="954"/>
      <c r="IXZ76" s="954"/>
      <c r="IYA76" s="954"/>
      <c r="IYB76" s="954"/>
      <c r="IYC76" s="954"/>
      <c r="IYD76" s="954"/>
      <c r="IYE76" s="954"/>
      <c r="IYF76" s="954"/>
      <c r="IYG76" s="954"/>
      <c r="IYH76" s="954"/>
      <c r="IYI76" s="954"/>
      <c r="IYJ76" s="954"/>
      <c r="IYK76" s="954"/>
      <c r="IYL76" s="954"/>
      <c r="IYM76" s="954"/>
      <c r="IYN76" s="954"/>
      <c r="IYO76" s="954"/>
      <c r="IYP76" s="954"/>
      <c r="IYQ76" s="954"/>
      <c r="IYR76" s="954"/>
      <c r="IYS76" s="954"/>
      <c r="IYT76" s="954"/>
      <c r="IYU76" s="954"/>
      <c r="IYV76" s="954"/>
      <c r="IYW76" s="954"/>
      <c r="IYX76" s="954"/>
      <c r="IYY76" s="954"/>
      <c r="IYZ76" s="954"/>
      <c r="IZA76" s="954"/>
      <c r="IZB76" s="954"/>
      <c r="IZC76" s="954"/>
      <c r="IZD76" s="954"/>
      <c r="IZE76" s="954"/>
      <c r="IZF76" s="954"/>
      <c r="IZG76" s="954"/>
      <c r="IZH76" s="954"/>
      <c r="IZI76" s="954"/>
      <c r="IZJ76" s="954"/>
      <c r="IZK76" s="954"/>
      <c r="IZL76" s="954"/>
      <c r="IZM76" s="954"/>
      <c r="IZN76" s="954"/>
      <c r="IZO76" s="954"/>
      <c r="IZP76" s="954"/>
      <c r="IZQ76" s="954"/>
      <c r="IZR76" s="954"/>
      <c r="IZS76" s="954"/>
      <c r="IZT76" s="954"/>
      <c r="IZU76" s="954"/>
      <c r="IZV76" s="954"/>
      <c r="IZW76" s="954"/>
      <c r="IZX76" s="954"/>
      <c r="IZY76" s="954"/>
      <c r="IZZ76" s="954"/>
      <c r="JAA76" s="954"/>
      <c r="JAB76" s="954"/>
      <c r="JAC76" s="954"/>
      <c r="JAD76" s="954"/>
      <c r="JAE76" s="954"/>
      <c r="JAF76" s="954"/>
      <c r="JAG76" s="954"/>
      <c r="JAH76" s="954"/>
      <c r="JAI76" s="954"/>
      <c r="JAJ76" s="954"/>
      <c r="JAK76" s="954"/>
      <c r="JAL76" s="954"/>
      <c r="JAM76" s="954"/>
      <c r="JAN76" s="954"/>
      <c r="JAO76" s="954"/>
      <c r="JAP76" s="954"/>
      <c r="JAQ76" s="954"/>
      <c r="JAR76" s="954"/>
      <c r="JAS76" s="954"/>
      <c r="JAT76" s="954"/>
      <c r="JAU76" s="954"/>
      <c r="JAV76" s="954"/>
      <c r="JAW76" s="954"/>
      <c r="JAX76" s="954"/>
      <c r="JAY76" s="954"/>
      <c r="JAZ76" s="954"/>
      <c r="JBA76" s="954"/>
      <c r="JBB76" s="954"/>
      <c r="JBC76" s="954"/>
      <c r="JBD76" s="954"/>
      <c r="JBE76" s="954"/>
      <c r="JBF76" s="954"/>
      <c r="JBG76" s="954"/>
      <c r="JBH76" s="954"/>
      <c r="JBI76" s="954"/>
      <c r="JBJ76" s="954"/>
      <c r="JBK76" s="954"/>
      <c r="JBL76" s="954"/>
      <c r="JBM76" s="954"/>
      <c r="JBN76" s="954"/>
      <c r="JBO76" s="954"/>
      <c r="JBP76" s="954"/>
      <c r="JBQ76" s="954"/>
      <c r="JBR76" s="954"/>
      <c r="JBS76" s="954"/>
      <c r="JBT76" s="954"/>
      <c r="JBU76" s="954"/>
      <c r="JBV76" s="954"/>
      <c r="JBW76" s="954"/>
      <c r="JBX76" s="954"/>
      <c r="JBY76" s="954"/>
      <c r="JBZ76" s="954"/>
      <c r="JCA76" s="954"/>
      <c r="JCB76" s="954"/>
      <c r="JCC76" s="954"/>
      <c r="JCD76" s="954"/>
      <c r="JCE76" s="954"/>
      <c r="JCF76" s="954"/>
      <c r="JCG76" s="954"/>
      <c r="JCH76" s="954"/>
      <c r="JCI76" s="954"/>
      <c r="JCJ76" s="954"/>
      <c r="JCK76" s="954"/>
      <c r="JCL76" s="954"/>
      <c r="JCM76" s="954"/>
      <c r="JCN76" s="954"/>
      <c r="JCO76" s="954"/>
      <c r="JCP76" s="954"/>
      <c r="JCQ76" s="954"/>
      <c r="JCR76" s="954"/>
      <c r="JCS76" s="954"/>
      <c r="JCT76" s="954"/>
      <c r="JCU76" s="954"/>
      <c r="JCV76" s="954"/>
      <c r="JCW76" s="954"/>
      <c r="JCX76" s="954"/>
      <c r="JCY76" s="954"/>
      <c r="JCZ76" s="954"/>
      <c r="JDA76" s="954"/>
      <c r="JDB76" s="954"/>
      <c r="JDC76" s="954"/>
      <c r="JDD76" s="954"/>
      <c r="JDE76" s="954"/>
      <c r="JDF76" s="954"/>
      <c r="JDG76" s="954"/>
      <c r="JDH76" s="954"/>
      <c r="JDI76" s="954"/>
      <c r="JDJ76" s="954"/>
      <c r="JDK76" s="954"/>
      <c r="JDL76" s="954"/>
      <c r="JDM76" s="954"/>
      <c r="JDN76" s="954"/>
      <c r="JDO76" s="954"/>
      <c r="JDP76" s="954"/>
      <c r="JDQ76" s="954"/>
      <c r="JDR76" s="954"/>
      <c r="JDS76" s="954"/>
      <c r="JDT76" s="954"/>
      <c r="JDU76" s="954"/>
      <c r="JDV76" s="954"/>
      <c r="JDW76" s="954"/>
      <c r="JDX76" s="954"/>
      <c r="JDY76" s="954"/>
      <c r="JDZ76" s="954"/>
      <c r="JEA76" s="954"/>
      <c r="JEB76" s="954"/>
      <c r="JEC76" s="954"/>
      <c r="JED76" s="954"/>
      <c r="JEE76" s="954"/>
      <c r="JEF76" s="954"/>
      <c r="JEG76" s="954"/>
      <c r="JEH76" s="954"/>
      <c r="JEI76" s="954"/>
      <c r="JEJ76" s="954"/>
      <c r="JEK76" s="954"/>
      <c r="JEL76" s="954"/>
      <c r="JEM76" s="954"/>
      <c r="JEN76" s="954"/>
      <c r="JEO76" s="954"/>
      <c r="JEP76" s="954"/>
      <c r="JEQ76" s="954"/>
      <c r="JER76" s="954"/>
      <c r="JES76" s="954"/>
      <c r="JET76" s="954"/>
      <c r="JEU76" s="954"/>
      <c r="JEV76" s="954"/>
      <c r="JEW76" s="954"/>
      <c r="JEX76" s="954"/>
      <c r="JEY76" s="954"/>
      <c r="JEZ76" s="954"/>
      <c r="JFA76" s="954"/>
      <c r="JFB76" s="954"/>
      <c r="JFC76" s="954"/>
      <c r="JFD76" s="954"/>
      <c r="JFE76" s="954"/>
      <c r="JFF76" s="954"/>
      <c r="JFG76" s="954"/>
      <c r="JFH76" s="954"/>
      <c r="JFI76" s="954"/>
      <c r="JFJ76" s="954"/>
      <c r="JFK76" s="954"/>
      <c r="JFL76" s="954"/>
      <c r="JFM76" s="954"/>
      <c r="JFN76" s="954"/>
      <c r="JFO76" s="954"/>
      <c r="JFP76" s="954"/>
      <c r="JFQ76" s="954"/>
      <c r="JFR76" s="954"/>
      <c r="JFS76" s="954"/>
      <c r="JFT76" s="954"/>
      <c r="JFU76" s="954"/>
      <c r="JFV76" s="954"/>
      <c r="JFW76" s="954"/>
      <c r="JFX76" s="954"/>
      <c r="JFY76" s="954"/>
      <c r="JFZ76" s="954"/>
      <c r="JGA76" s="954"/>
      <c r="JGB76" s="954"/>
      <c r="JGC76" s="954"/>
      <c r="JGD76" s="954"/>
      <c r="JGE76" s="954"/>
      <c r="JGF76" s="954"/>
      <c r="JGG76" s="954"/>
      <c r="JGH76" s="954"/>
      <c r="JGI76" s="954"/>
      <c r="JGJ76" s="954"/>
      <c r="JGK76" s="954"/>
      <c r="JGL76" s="954"/>
      <c r="JGM76" s="954"/>
      <c r="JGN76" s="954"/>
      <c r="JGO76" s="954"/>
      <c r="JGP76" s="954"/>
      <c r="JGQ76" s="954"/>
      <c r="JGR76" s="954"/>
      <c r="JGS76" s="954"/>
      <c r="JGT76" s="954"/>
      <c r="JGU76" s="954"/>
      <c r="JGV76" s="954"/>
      <c r="JGW76" s="954"/>
      <c r="JGX76" s="954"/>
      <c r="JGY76" s="954"/>
      <c r="JGZ76" s="954"/>
      <c r="JHA76" s="954"/>
      <c r="JHB76" s="954"/>
      <c r="JHC76" s="954"/>
      <c r="JHD76" s="954"/>
      <c r="JHE76" s="954"/>
      <c r="JHF76" s="954"/>
      <c r="JHG76" s="954"/>
      <c r="JHH76" s="954"/>
      <c r="JHI76" s="954"/>
      <c r="JHJ76" s="954"/>
      <c r="JHK76" s="954"/>
      <c r="JHL76" s="954"/>
      <c r="JHM76" s="954"/>
      <c r="JHN76" s="954"/>
      <c r="JHO76" s="954"/>
      <c r="JHP76" s="954"/>
      <c r="JHQ76" s="954"/>
      <c r="JHR76" s="954"/>
      <c r="JHS76" s="954"/>
      <c r="JHT76" s="954"/>
      <c r="JHU76" s="954"/>
      <c r="JHV76" s="954"/>
      <c r="JHW76" s="954"/>
      <c r="JHX76" s="954"/>
      <c r="JHY76" s="954"/>
      <c r="JHZ76" s="954"/>
      <c r="JIA76" s="954"/>
      <c r="JIB76" s="954"/>
      <c r="JIC76" s="954"/>
      <c r="JID76" s="954"/>
      <c r="JIE76" s="954"/>
      <c r="JIF76" s="954"/>
      <c r="JIG76" s="954"/>
      <c r="JIH76" s="954"/>
      <c r="JII76" s="954"/>
      <c r="JIJ76" s="954"/>
      <c r="JIK76" s="954"/>
      <c r="JIL76" s="954"/>
      <c r="JIM76" s="954"/>
      <c r="JIN76" s="954"/>
      <c r="JIO76" s="954"/>
      <c r="JIP76" s="954"/>
      <c r="JIQ76" s="954"/>
      <c r="JIR76" s="954"/>
      <c r="JIS76" s="954"/>
      <c r="JIT76" s="954"/>
      <c r="JIU76" s="954"/>
      <c r="JIV76" s="954"/>
      <c r="JIW76" s="954"/>
      <c r="JIX76" s="954"/>
      <c r="JIY76" s="954"/>
      <c r="JIZ76" s="954"/>
      <c r="JJA76" s="954"/>
      <c r="JJB76" s="954"/>
      <c r="JJC76" s="954"/>
      <c r="JJD76" s="954"/>
      <c r="JJE76" s="954"/>
      <c r="JJF76" s="954"/>
      <c r="JJG76" s="954"/>
      <c r="JJH76" s="954"/>
      <c r="JJI76" s="954"/>
      <c r="JJJ76" s="954"/>
      <c r="JJK76" s="954"/>
      <c r="JJL76" s="954"/>
      <c r="JJM76" s="954"/>
      <c r="JJN76" s="954"/>
      <c r="JJO76" s="954"/>
      <c r="JJP76" s="954"/>
      <c r="JJQ76" s="954"/>
      <c r="JJR76" s="954"/>
      <c r="JJS76" s="954"/>
      <c r="JJT76" s="954"/>
      <c r="JJU76" s="954"/>
      <c r="JJV76" s="954"/>
      <c r="JJW76" s="954"/>
      <c r="JJX76" s="954"/>
      <c r="JJY76" s="954"/>
      <c r="JJZ76" s="954"/>
      <c r="JKA76" s="954"/>
      <c r="JKB76" s="954"/>
      <c r="JKC76" s="954"/>
      <c r="JKD76" s="954"/>
      <c r="JKE76" s="954"/>
      <c r="JKF76" s="954"/>
      <c r="JKG76" s="954"/>
      <c r="JKH76" s="954"/>
      <c r="JKI76" s="954"/>
      <c r="JKJ76" s="954"/>
      <c r="JKK76" s="954"/>
      <c r="JKL76" s="954"/>
      <c r="JKM76" s="954"/>
      <c r="JKN76" s="954"/>
      <c r="JKO76" s="954"/>
      <c r="JKP76" s="954"/>
      <c r="JKQ76" s="954"/>
      <c r="JKR76" s="954"/>
      <c r="JKS76" s="954"/>
      <c r="JKT76" s="954"/>
      <c r="JKU76" s="954"/>
      <c r="JKV76" s="954"/>
      <c r="JKW76" s="954"/>
      <c r="JKX76" s="954"/>
      <c r="JKY76" s="954"/>
      <c r="JKZ76" s="954"/>
      <c r="JLA76" s="954"/>
      <c r="JLB76" s="954"/>
      <c r="JLC76" s="954"/>
      <c r="JLD76" s="954"/>
      <c r="JLE76" s="954"/>
      <c r="JLF76" s="954"/>
      <c r="JLG76" s="954"/>
      <c r="JLH76" s="954"/>
      <c r="JLI76" s="954"/>
      <c r="JLJ76" s="954"/>
      <c r="JLK76" s="954"/>
      <c r="JLL76" s="954"/>
      <c r="JLM76" s="954"/>
      <c r="JLN76" s="954"/>
      <c r="JLO76" s="954"/>
      <c r="JLP76" s="954"/>
      <c r="JLQ76" s="954"/>
      <c r="JLR76" s="954"/>
      <c r="JLS76" s="954"/>
      <c r="JLT76" s="954"/>
      <c r="JLU76" s="954"/>
      <c r="JLV76" s="954"/>
      <c r="JLW76" s="954"/>
      <c r="JLX76" s="954"/>
      <c r="JLY76" s="954"/>
      <c r="JLZ76" s="954"/>
      <c r="JMA76" s="954"/>
      <c r="JMB76" s="954"/>
      <c r="JMC76" s="954"/>
      <c r="JMD76" s="954"/>
      <c r="JME76" s="954"/>
      <c r="JMF76" s="954"/>
      <c r="JMG76" s="954"/>
      <c r="JMH76" s="954"/>
      <c r="JMI76" s="954"/>
      <c r="JMJ76" s="954"/>
      <c r="JMK76" s="954"/>
      <c r="JML76" s="954"/>
      <c r="JMM76" s="954"/>
      <c r="JMN76" s="954"/>
      <c r="JMO76" s="954"/>
      <c r="JMP76" s="954"/>
      <c r="JMQ76" s="954"/>
      <c r="JMR76" s="954"/>
      <c r="JMS76" s="954"/>
      <c r="JMT76" s="954"/>
      <c r="JMU76" s="954"/>
      <c r="JMV76" s="954"/>
      <c r="JMW76" s="954"/>
      <c r="JMX76" s="954"/>
      <c r="JMY76" s="954"/>
      <c r="JMZ76" s="954"/>
      <c r="JNA76" s="954"/>
      <c r="JNB76" s="954"/>
      <c r="JNC76" s="954"/>
      <c r="JND76" s="954"/>
      <c r="JNE76" s="954"/>
      <c r="JNF76" s="954"/>
      <c r="JNG76" s="954"/>
      <c r="JNH76" s="954"/>
      <c r="JNI76" s="954"/>
      <c r="JNJ76" s="954"/>
      <c r="JNK76" s="954"/>
      <c r="JNL76" s="954"/>
      <c r="JNM76" s="954"/>
      <c r="JNN76" s="954"/>
      <c r="JNO76" s="954"/>
      <c r="JNP76" s="954"/>
      <c r="JNQ76" s="954"/>
      <c r="JNR76" s="954"/>
      <c r="JNS76" s="954"/>
      <c r="JNT76" s="954"/>
      <c r="JNU76" s="954"/>
      <c r="JNV76" s="954"/>
      <c r="JNW76" s="954"/>
      <c r="JNX76" s="954"/>
      <c r="JNY76" s="954"/>
      <c r="JNZ76" s="954"/>
      <c r="JOA76" s="954"/>
      <c r="JOB76" s="954"/>
      <c r="JOC76" s="954"/>
      <c r="JOD76" s="954"/>
      <c r="JOE76" s="954"/>
      <c r="JOF76" s="954"/>
      <c r="JOG76" s="954"/>
      <c r="JOH76" s="954"/>
      <c r="JOI76" s="954"/>
      <c r="JOJ76" s="954"/>
      <c r="JOK76" s="954"/>
      <c r="JOL76" s="954"/>
      <c r="JOM76" s="954"/>
      <c r="JON76" s="954"/>
      <c r="JOO76" s="954"/>
      <c r="JOP76" s="954"/>
      <c r="JOQ76" s="954"/>
      <c r="JOR76" s="954"/>
      <c r="JOS76" s="954"/>
      <c r="JOT76" s="954"/>
      <c r="JOU76" s="954"/>
      <c r="JOV76" s="954"/>
      <c r="JOW76" s="954"/>
      <c r="JOX76" s="954"/>
      <c r="JOY76" s="954"/>
      <c r="JOZ76" s="954"/>
      <c r="JPA76" s="954"/>
      <c r="JPB76" s="954"/>
      <c r="JPC76" s="954"/>
      <c r="JPD76" s="954"/>
      <c r="JPE76" s="954"/>
      <c r="JPF76" s="954"/>
      <c r="JPG76" s="954"/>
      <c r="JPH76" s="954"/>
      <c r="JPI76" s="954"/>
      <c r="JPJ76" s="954"/>
      <c r="JPK76" s="954"/>
      <c r="JPL76" s="954"/>
      <c r="JPM76" s="954"/>
      <c r="JPN76" s="954"/>
      <c r="JPO76" s="954"/>
      <c r="JPP76" s="954"/>
      <c r="JPQ76" s="954"/>
      <c r="JPR76" s="954"/>
      <c r="JPS76" s="954"/>
      <c r="JPT76" s="954"/>
      <c r="JPU76" s="954"/>
      <c r="JPV76" s="954"/>
      <c r="JPW76" s="954"/>
      <c r="JPX76" s="954"/>
      <c r="JPY76" s="954"/>
      <c r="JPZ76" s="954"/>
      <c r="JQA76" s="954"/>
      <c r="JQB76" s="954"/>
      <c r="JQC76" s="954"/>
      <c r="JQD76" s="954"/>
      <c r="JQE76" s="954"/>
      <c r="JQF76" s="954"/>
      <c r="JQG76" s="954"/>
      <c r="JQH76" s="954"/>
      <c r="JQI76" s="954"/>
      <c r="JQJ76" s="954"/>
      <c r="JQK76" s="954"/>
      <c r="JQL76" s="954"/>
      <c r="JQM76" s="954"/>
      <c r="JQN76" s="954"/>
      <c r="JQO76" s="954"/>
      <c r="JQP76" s="954"/>
      <c r="JQQ76" s="954"/>
      <c r="JQR76" s="954"/>
      <c r="JQS76" s="954"/>
      <c r="JQT76" s="954"/>
      <c r="JQU76" s="954"/>
      <c r="JQV76" s="954"/>
      <c r="JQW76" s="954"/>
      <c r="JQX76" s="954"/>
      <c r="JQY76" s="954"/>
      <c r="JQZ76" s="954"/>
      <c r="JRA76" s="954"/>
      <c r="JRB76" s="954"/>
      <c r="JRC76" s="954"/>
      <c r="JRD76" s="954"/>
      <c r="JRE76" s="954"/>
      <c r="JRF76" s="954"/>
      <c r="JRG76" s="954"/>
      <c r="JRH76" s="954"/>
      <c r="JRI76" s="954"/>
      <c r="JRJ76" s="954"/>
      <c r="JRK76" s="954"/>
      <c r="JRL76" s="954"/>
      <c r="JRM76" s="954"/>
      <c r="JRN76" s="954"/>
      <c r="JRO76" s="954"/>
      <c r="JRP76" s="954"/>
      <c r="JRQ76" s="954"/>
      <c r="JRR76" s="954"/>
      <c r="JRS76" s="954"/>
      <c r="JRT76" s="954"/>
      <c r="JRU76" s="954"/>
      <c r="JRV76" s="954"/>
      <c r="JRW76" s="954"/>
      <c r="JRX76" s="954"/>
      <c r="JRY76" s="954"/>
      <c r="JRZ76" s="954"/>
      <c r="JSA76" s="954"/>
      <c r="JSB76" s="954"/>
      <c r="JSC76" s="954"/>
      <c r="JSD76" s="954"/>
      <c r="JSE76" s="954"/>
      <c r="JSF76" s="954"/>
      <c r="JSG76" s="954"/>
      <c r="JSH76" s="954"/>
      <c r="JSI76" s="954"/>
      <c r="JSJ76" s="954"/>
      <c r="JSK76" s="954"/>
      <c r="JSL76" s="954"/>
      <c r="JSM76" s="954"/>
      <c r="JSN76" s="954"/>
      <c r="JSO76" s="954"/>
      <c r="JSP76" s="954"/>
      <c r="JSQ76" s="954"/>
      <c r="JSR76" s="954"/>
      <c r="JSS76" s="954"/>
      <c r="JST76" s="954"/>
      <c r="JSU76" s="954"/>
      <c r="JSV76" s="954"/>
      <c r="JSW76" s="954"/>
      <c r="JSX76" s="954"/>
      <c r="JSY76" s="954"/>
      <c r="JSZ76" s="954"/>
      <c r="JTA76" s="954"/>
      <c r="JTB76" s="954"/>
      <c r="JTC76" s="954"/>
      <c r="JTD76" s="954"/>
      <c r="JTE76" s="954"/>
      <c r="JTF76" s="954"/>
      <c r="JTG76" s="954"/>
      <c r="JTH76" s="954"/>
      <c r="JTI76" s="954"/>
      <c r="JTJ76" s="954"/>
      <c r="JTK76" s="954"/>
      <c r="JTL76" s="954"/>
      <c r="JTM76" s="954"/>
      <c r="JTN76" s="954"/>
      <c r="JTO76" s="954"/>
      <c r="JTP76" s="954"/>
      <c r="JTQ76" s="954"/>
      <c r="JTR76" s="954"/>
      <c r="JTS76" s="954"/>
      <c r="JTT76" s="954"/>
      <c r="JTU76" s="954"/>
      <c r="JTV76" s="954"/>
      <c r="JTW76" s="954"/>
      <c r="JTX76" s="954"/>
      <c r="JTY76" s="954"/>
      <c r="JTZ76" s="954"/>
      <c r="JUA76" s="954"/>
      <c r="JUB76" s="954"/>
      <c r="JUC76" s="954"/>
      <c r="JUD76" s="954"/>
      <c r="JUE76" s="954"/>
      <c r="JUF76" s="954"/>
      <c r="JUG76" s="954"/>
      <c r="JUH76" s="954"/>
      <c r="JUI76" s="954"/>
      <c r="JUJ76" s="954"/>
      <c r="JUK76" s="954"/>
      <c r="JUL76" s="954"/>
      <c r="JUM76" s="954"/>
      <c r="JUN76" s="954"/>
      <c r="JUO76" s="954"/>
      <c r="JUP76" s="954"/>
      <c r="JUQ76" s="954"/>
      <c r="JUR76" s="954"/>
      <c r="JUS76" s="954"/>
      <c r="JUT76" s="954"/>
      <c r="JUU76" s="954"/>
      <c r="JUV76" s="954"/>
      <c r="JUW76" s="954"/>
      <c r="JUX76" s="954"/>
      <c r="JUY76" s="954"/>
      <c r="JUZ76" s="954"/>
      <c r="JVA76" s="954"/>
      <c r="JVB76" s="954"/>
      <c r="JVC76" s="954"/>
      <c r="JVD76" s="954"/>
      <c r="JVE76" s="954"/>
      <c r="JVF76" s="954"/>
      <c r="JVG76" s="954"/>
      <c r="JVH76" s="954"/>
      <c r="JVI76" s="954"/>
      <c r="JVJ76" s="954"/>
      <c r="JVK76" s="954"/>
      <c r="JVL76" s="954"/>
      <c r="JVM76" s="954"/>
      <c r="JVN76" s="954"/>
      <c r="JVO76" s="954"/>
      <c r="JVP76" s="954"/>
      <c r="JVQ76" s="954"/>
      <c r="JVR76" s="954"/>
      <c r="JVS76" s="954"/>
      <c r="JVT76" s="954"/>
      <c r="JVU76" s="954"/>
      <c r="JVV76" s="954"/>
      <c r="JVW76" s="954"/>
      <c r="JVX76" s="954"/>
      <c r="JVY76" s="954"/>
      <c r="JVZ76" s="954"/>
      <c r="JWA76" s="954"/>
      <c r="JWB76" s="954"/>
      <c r="JWC76" s="954"/>
      <c r="JWD76" s="954"/>
      <c r="JWE76" s="954"/>
      <c r="JWF76" s="954"/>
      <c r="JWG76" s="954"/>
      <c r="JWH76" s="954"/>
      <c r="JWI76" s="954"/>
      <c r="JWJ76" s="954"/>
      <c r="JWK76" s="954"/>
      <c r="JWL76" s="954"/>
      <c r="JWM76" s="954"/>
      <c r="JWN76" s="954"/>
      <c r="JWO76" s="954"/>
      <c r="JWP76" s="954"/>
      <c r="JWQ76" s="954"/>
      <c r="JWR76" s="954"/>
      <c r="JWS76" s="954"/>
      <c r="JWT76" s="954"/>
      <c r="JWU76" s="954"/>
      <c r="JWV76" s="954"/>
      <c r="JWW76" s="954"/>
      <c r="JWX76" s="954"/>
      <c r="JWY76" s="954"/>
      <c r="JWZ76" s="954"/>
      <c r="JXA76" s="954"/>
      <c r="JXB76" s="954"/>
      <c r="JXC76" s="954"/>
      <c r="JXD76" s="954"/>
      <c r="JXE76" s="954"/>
      <c r="JXF76" s="954"/>
      <c r="JXG76" s="954"/>
      <c r="JXH76" s="954"/>
      <c r="JXI76" s="954"/>
      <c r="JXJ76" s="954"/>
      <c r="JXK76" s="954"/>
      <c r="JXL76" s="954"/>
      <c r="JXM76" s="954"/>
      <c r="JXN76" s="954"/>
      <c r="JXO76" s="954"/>
      <c r="JXP76" s="954"/>
      <c r="JXQ76" s="954"/>
      <c r="JXR76" s="954"/>
      <c r="JXS76" s="954"/>
      <c r="JXT76" s="954"/>
      <c r="JXU76" s="954"/>
      <c r="JXV76" s="954"/>
      <c r="JXW76" s="954"/>
      <c r="JXX76" s="954"/>
      <c r="JXY76" s="954"/>
      <c r="JXZ76" s="954"/>
      <c r="JYA76" s="954"/>
      <c r="JYB76" s="954"/>
      <c r="JYC76" s="954"/>
      <c r="JYD76" s="954"/>
      <c r="JYE76" s="954"/>
      <c r="JYF76" s="954"/>
      <c r="JYG76" s="954"/>
      <c r="JYH76" s="954"/>
      <c r="JYI76" s="954"/>
      <c r="JYJ76" s="954"/>
      <c r="JYK76" s="954"/>
      <c r="JYL76" s="954"/>
      <c r="JYM76" s="954"/>
      <c r="JYN76" s="954"/>
      <c r="JYO76" s="954"/>
      <c r="JYP76" s="954"/>
      <c r="JYQ76" s="954"/>
      <c r="JYR76" s="954"/>
      <c r="JYS76" s="954"/>
      <c r="JYT76" s="954"/>
      <c r="JYU76" s="954"/>
      <c r="JYV76" s="954"/>
      <c r="JYW76" s="954"/>
      <c r="JYX76" s="954"/>
      <c r="JYY76" s="954"/>
      <c r="JYZ76" s="954"/>
      <c r="JZA76" s="954"/>
      <c r="JZB76" s="954"/>
      <c r="JZC76" s="954"/>
      <c r="JZD76" s="954"/>
      <c r="JZE76" s="954"/>
      <c r="JZF76" s="954"/>
      <c r="JZG76" s="954"/>
      <c r="JZH76" s="954"/>
      <c r="JZI76" s="954"/>
      <c r="JZJ76" s="954"/>
      <c r="JZK76" s="954"/>
      <c r="JZL76" s="954"/>
      <c r="JZM76" s="954"/>
      <c r="JZN76" s="954"/>
      <c r="JZO76" s="954"/>
      <c r="JZP76" s="954"/>
      <c r="JZQ76" s="954"/>
      <c r="JZR76" s="954"/>
      <c r="JZS76" s="954"/>
      <c r="JZT76" s="954"/>
      <c r="JZU76" s="954"/>
      <c r="JZV76" s="954"/>
      <c r="JZW76" s="954"/>
      <c r="JZX76" s="954"/>
      <c r="JZY76" s="954"/>
      <c r="JZZ76" s="954"/>
      <c r="KAA76" s="954"/>
      <c r="KAB76" s="954"/>
      <c r="KAC76" s="954"/>
      <c r="KAD76" s="954"/>
      <c r="KAE76" s="954"/>
      <c r="KAF76" s="954"/>
      <c r="KAG76" s="954"/>
      <c r="KAH76" s="954"/>
      <c r="KAI76" s="954"/>
      <c r="KAJ76" s="954"/>
      <c r="KAK76" s="954"/>
      <c r="KAL76" s="954"/>
      <c r="KAM76" s="954"/>
      <c r="KAN76" s="954"/>
      <c r="KAO76" s="954"/>
      <c r="KAP76" s="954"/>
      <c r="KAQ76" s="954"/>
      <c r="KAR76" s="954"/>
      <c r="KAS76" s="954"/>
      <c r="KAT76" s="954"/>
      <c r="KAU76" s="954"/>
      <c r="KAV76" s="954"/>
      <c r="KAW76" s="954"/>
      <c r="KAX76" s="954"/>
      <c r="KAY76" s="954"/>
      <c r="KAZ76" s="954"/>
      <c r="KBA76" s="954"/>
      <c r="KBB76" s="954"/>
      <c r="KBC76" s="954"/>
      <c r="KBD76" s="954"/>
      <c r="KBE76" s="954"/>
      <c r="KBF76" s="954"/>
      <c r="KBG76" s="954"/>
      <c r="KBH76" s="954"/>
      <c r="KBI76" s="954"/>
      <c r="KBJ76" s="954"/>
      <c r="KBK76" s="954"/>
      <c r="KBL76" s="954"/>
      <c r="KBM76" s="954"/>
      <c r="KBN76" s="954"/>
      <c r="KBO76" s="954"/>
      <c r="KBP76" s="954"/>
      <c r="KBQ76" s="954"/>
      <c r="KBR76" s="954"/>
      <c r="KBS76" s="954"/>
      <c r="KBT76" s="954"/>
      <c r="KBU76" s="954"/>
      <c r="KBV76" s="954"/>
      <c r="KBW76" s="954"/>
      <c r="KBX76" s="954"/>
      <c r="KBY76" s="954"/>
      <c r="KBZ76" s="954"/>
      <c r="KCA76" s="954"/>
      <c r="KCB76" s="954"/>
      <c r="KCC76" s="954"/>
      <c r="KCD76" s="954"/>
      <c r="KCE76" s="954"/>
      <c r="KCF76" s="954"/>
      <c r="KCG76" s="954"/>
      <c r="KCH76" s="954"/>
      <c r="KCI76" s="954"/>
      <c r="KCJ76" s="954"/>
      <c r="KCK76" s="954"/>
      <c r="KCL76" s="954"/>
      <c r="KCM76" s="954"/>
      <c r="KCN76" s="954"/>
      <c r="KCO76" s="954"/>
      <c r="KCP76" s="954"/>
      <c r="KCQ76" s="954"/>
      <c r="KCR76" s="954"/>
      <c r="KCS76" s="954"/>
      <c r="KCT76" s="954"/>
      <c r="KCU76" s="954"/>
      <c r="KCV76" s="954"/>
      <c r="KCW76" s="954"/>
      <c r="KCX76" s="954"/>
      <c r="KCY76" s="954"/>
      <c r="KCZ76" s="954"/>
      <c r="KDA76" s="954"/>
      <c r="KDB76" s="954"/>
      <c r="KDC76" s="954"/>
      <c r="KDD76" s="954"/>
      <c r="KDE76" s="954"/>
      <c r="KDF76" s="954"/>
      <c r="KDG76" s="954"/>
      <c r="KDH76" s="954"/>
      <c r="KDI76" s="954"/>
      <c r="KDJ76" s="954"/>
      <c r="KDK76" s="954"/>
      <c r="KDL76" s="954"/>
      <c r="KDM76" s="954"/>
      <c r="KDN76" s="954"/>
      <c r="KDO76" s="954"/>
      <c r="KDP76" s="954"/>
      <c r="KDQ76" s="954"/>
      <c r="KDR76" s="954"/>
      <c r="KDS76" s="954"/>
      <c r="KDT76" s="954"/>
      <c r="KDU76" s="954"/>
      <c r="KDV76" s="954"/>
      <c r="KDW76" s="954"/>
      <c r="KDX76" s="954"/>
      <c r="KDY76" s="954"/>
      <c r="KDZ76" s="954"/>
      <c r="KEA76" s="954"/>
      <c r="KEB76" s="954"/>
      <c r="KEC76" s="954"/>
      <c r="KED76" s="954"/>
      <c r="KEE76" s="954"/>
      <c r="KEF76" s="954"/>
      <c r="KEG76" s="954"/>
      <c r="KEH76" s="954"/>
      <c r="KEI76" s="954"/>
      <c r="KEJ76" s="954"/>
      <c r="KEK76" s="954"/>
      <c r="KEL76" s="954"/>
      <c r="KEM76" s="954"/>
      <c r="KEN76" s="954"/>
      <c r="KEO76" s="954"/>
      <c r="KEP76" s="954"/>
      <c r="KEQ76" s="954"/>
      <c r="KER76" s="954"/>
      <c r="KES76" s="954"/>
      <c r="KET76" s="954"/>
      <c r="KEU76" s="954"/>
      <c r="KEV76" s="954"/>
      <c r="KEW76" s="954"/>
      <c r="KEX76" s="954"/>
      <c r="KEY76" s="954"/>
      <c r="KEZ76" s="954"/>
      <c r="KFA76" s="954"/>
      <c r="KFB76" s="954"/>
      <c r="KFC76" s="954"/>
      <c r="KFD76" s="954"/>
      <c r="KFE76" s="954"/>
      <c r="KFF76" s="954"/>
      <c r="KFG76" s="954"/>
      <c r="KFH76" s="954"/>
      <c r="KFI76" s="954"/>
      <c r="KFJ76" s="954"/>
      <c r="KFK76" s="954"/>
      <c r="KFL76" s="954"/>
      <c r="KFM76" s="954"/>
      <c r="KFN76" s="954"/>
      <c r="KFO76" s="954"/>
      <c r="KFP76" s="954"/>
      <c r="KFQ76" s="954"/>
      <c r="KFR76" s="954"/>
      <c r="KFS76" s="954"/>
      <c r="KFT76" s="954"/>
      <c r="KFU76" s="954"/>
      <c r="KFV76" s="954"/>
      <c r="KFW76" s="954"/>
      <c r="KFX76" s="954"/>
      <c r="KFY76" s="954"/>
      <c r="KFZ76" s="954"/>
      <c r="KGA76" s="954"/>
      <c r="KGB76" s="954"/>
      <c r="KGC76" s="954"/>
      <c r="KGD76" s="954"/>
      <c r="KGE76" s="954"/>
      <c r="KGF76" s="954"/>
      <c r="KGG76" s="954"/>
      <c r="KGH76" s="954"/>
      <c r="KGI76" s="954"/>
      <c r="KGJ76" s="954"/>
      <c r="KGK76" s="954"/>
      <c r="KGL76" s="954"/>
      <c r="KGM76" s="954"/>
      <c r="KGN76" s="954"/>
      <c r="KGO76" s="954"/>
      <c r="KGP76" s="954"/>
      <c r="KGQ76" s="954"/>
      <c r="KGR76" s="954"/>
      <c r="KGS76" s="954"/>
      <c r="KGT76" s="954"/>
      <c r="KGU76" s="954"/>
      <c r="KGV76" s="954"/>
      <c r="KGW76" s="954"/>
      <c r="KGX76" s="954"/>
      <c r="KGY76" s="954"/>
      <c r="KGZ76" s="954"/>
      <c r="KHA76" s="954"/>
      <c r="KHB76" s="954"/>
      <c r="KHC76" s="954"/>
      <c r="KHD76" s="954"/>
      <c r="KHE76" s="954"/>
      <c r="KHF76" s="954"/>
      <c r="KHG76" s="954"/>
      <c r="KHH76" s="954"/>
      <c r="KHI76" s="954"/>
      <c r="KHJ76" s="954"/>
      <c r="KHK76" s="954"/>
      <c r="KHL76" s="954"/>
      <c r="KHM76" s="954"/>
      <c r="KHN76" s="954"/>
      <c r="KHO76" s="954"/>
      <c r="KHP76" s="954"/>
      <c r="KHQ76" s="954"/>
      <c r="KHR76" s="954"/>
      <c r="KHS76" s="954"/>
      <c r="KHT76" s="954"/>
      <c r="KHU76" s="954"/>
      <c r="KHV76" s="954"/>
      <c r="KHW76" s="954"/>
      <c r="KHX76" s="954"/>
      <c r="KHY76" s="954"/>
      <c r="KHZ76" s="954"/>
      <c r="KIA76" s="954"/>
      <c r="KIB76" s="954"/>
      <c r="KIC76" s="954"/>
      <c r="KID76" s="954"/>
      <c r="KIE76" s="954"/>
      <c r="KIF76" s="954"/>
      <c r="KIG76" s="954"/>
      <c r="KIH76" s="954"/>
      <c r="KII76" s="954"/>
      <c r="KIJ76" s="954"/>
      <c r="KIK76" s="954"/>
      <c r="KIL76" s="954"/>
      <c r="KIM76" s="954"/>
      <c r="KIN76" s="954"/>
      <c r="KIO76" s="954"/>
      <c r="KIP76" s="954"/>
      <c r="KIQ76" s="954"/>
      <c r="KIR76" s="954"/>
      <c r="KIS76" s="954"/>
      <c r="KIT76" s="954"/>
      <c r="KIU76" s="954"/>
      <c r="KIV76" s="954"/>
      <c r="KIW76" s="954"/>
      <c r="KIX76" s="954"/>
      <c r="KIY76" s="954"/>
      <c r="KIZ76" s="954"/>
      <c r="KJA76" s="954"/>
      <c r="KJB76" s="954"/>
      <c r="KJC76" s="954"/>
      <c r="KJD76" s="954"/>
      <c r="KJE76" s="954"/>
      <c r="KJF76" s="954"/>
      <c r="KJG76" s="954"/>
      <c r="KJH76" s="954"/>
      <c r="KJI76" s="954"/>
      <c r="KJJ76" s="954"/>
      <c r="KJK76" s="954"/>
      <c r="KJL76" s="954"/>
      <c r="KJM76" s="954"/>
      <c r="KJN76" s="954"/>
      <c r="KJO76" s="954"/>
      <c r="KJP76" s="954"/>
      <c r="KJQ76" s="954"/>
      <c r="KJR76" s="954"/>
      <c r="KJS76" s="954"/>
      <c r="KJT76" s="954"/>
      <c r="KJU76" s="954"/>
      <c r="KJV76" s="954"/>
      <c r="KJW76" s="954"/>
      <c r="KJX76" s="954"/>
      <c r="KJY76" s="954"/>
      <c r="KJZ76" s="954"/>
      <c r="KKA76" s="954"/>
      <c r="KKB76" s="954"/>
      <c r="KKC76" s="954"/>
      <c r="KKD76" s="954"/>
      <c r="KKE76" s="954"/>
      <c r="KKF76" s="954"/>
      <c r="KKG76" s="954"/>
      <c r="KKH76" s="954"/>
      <c r="KKI76" s="954"/>
      <c r="KKJ76" s="954"/>
      <c r="KKK76" s="954"/>
      <c r="KKL76" s="954"/>
      <c r="KKM76" s="954"/>
      <c r="KKN76" s="954"/>
      <c r="KKO76" s="954"/>
      <c r="KKP76" s="954"/>
      <c r="KKQ76" s="954"/>
      <c r="KKR76" s="954"/>
      <c r="KKS76" s="954"/>
      <c r="KKT76" s="954"/>
      <c r="KKU76" s="954"/>
      <c r="KKV76" s="954"/>
      <c r="KKW76" s="954"/>
      <c r="KKX76" s="954"/>
      <c r="KKY76" s="954"/>
      <c r="KKZ76" s="954"/>
      <c r="KLA76" s="954"/>
      <c r="KLB76" s="954"/>
      <c r="KLC76" s="954"/>
      <c r="KLD76" s="954"/>
      <c r="KLE76" s="954"/>
      <c r="KLF76" s="954"/>
      <c r="KLG76" s="954"/>
      <c r="KLH76" s="954"/>
      <c r="KLI76" s="954"/>
      <c r="KLJ76" s="954"/>
      <c r="KLK76" s="954"/>
      <c r="KLL76" s="954"/>
      <c r="KLM76" s="954"/>
      <c r="KLN76" s="954"/>
      <c r="KLO76" s="954"/>
      <c r="KLP76" s="954"/>
      <c r="KLQ76" s="954"/>
      <c r="KLR76" s="954"/>
      <c r="KLS76" s="954"/>
      <c r="KLT76" s="954"/>
      <c r="KLU76" s="954"/>
      <c r="KLV76" s="954"/>
      <c r="KLW76" s="954"/>
      <c r="KLX76" s="954"/>
      <c r="KLY76" s="954"/>
      <c r="KLZ76" s="954"/>
      <c r="KMA76" s="954"/>
      <c r="KMB76" s="954"/>
      <c r="KMC76" s="954"/>
      <c r="KMD76" s="954"/>
      <c r="KME76" s="954"/>
      <c r="KMF76" s="954"/>
      <c r="KMG76" s="954"/>
      <c r="KMH76" s="954"/>
      <c r="KMI76" s="954"/>
      <c r="KMJ76" s="954"/>
      <c r="KMK76" s="954"/>
      <c r="KML76" s="954"/>
      <c r="KMM76" s="954"/>
      <c r="KMN76" s="954"/>
      <c r="KMO76" s="954"/>
      <c r="KMP76" s="954"/>
      <c r="KMQ76" s="954"/>
      <c r="KMR76" s="954"/>
      <c r="KMS76" s="954"/>
      <c r="KMT76" s="954"/>
      <c r="KMU76" s="954"/>
      <c r="KMV76" s="954"/>
      <c r="KMW76" s="954"/>
      <c r="KMX76" s="954"/>
      <c r="KMY76" s="954"/>
      <c r="KMZ76" s="954"/>
      <c r="KNA76" s="954"/>
      <c r="KNB76" s="954"/>
      <c r="KNC76" s="954"/>
      <c r="KND76" s="954"/>
      <c r="KNE76" s="954"/>
      <c r="KNF76" s="954"/>
      <c r="KNG76" s="954"/>
      <c r="KNH76" s="954"/>
      <c r="KNI76" s="954"/>
      <c r="KNJ76" s="954"/>
      <c r="KNK76" s="954"/>
      <c r="KNL76" s="954"/>
      <c r="KNM76" s="954"/>
      <c r="KNN76" s="954"/>
      <c r="KNO76" s="954"/>
      <c r="KNP76" s="954"/>
      <c r="KNQ76" s="954"/>
      <c r="KNR76" s="954"/>
      <c r="KNS76" s="954"/>
      <c r="KNT76" s="954"/>
      <c r="KNU76" s="954"/>
      <c r="KNV76" s="954"/>
      <c r="KNW76" s="954"/>
      <c r="KNX76" s="954"/>
      <c r="KNY76" s="954"/>
      <c r="KNZ76" s="954"/>
      <c r="KOA76" s="954"/>
      <c r="KOB76" s="954"/>
      <c r="KOC76" s="954"/>
      <c r="KOD76" s="954"/>
      <c r="KOE76" s="954"/>
      <c r="KOF76" s="954"/>
      <c r="KOG76" s="954"/>
      <c r="KOH76" s="954"/>
      <c r="KOI76" s="954"/>
      <c r="KOJ76" s="954"/>
      <c r="KOK76" s="954"/>
      <c r="KOL76" s="954"/>
      <c r="KOM76" s="954"/>
      <c r="KON76" s="954"/>
      <c r="KOO76" s="954"/>
      <c r="KOP76" s="954"/>
      <c r="KOQ76" s="954"/>
      <c r="KOR76" s="954"/>
      <c r="KOS76" s="954"/>
      <c r="KOT76" s="954"/>
      <c r="KOU76" s="954"/>
      <c r="KOV76" s="954"/>
      <c r="KOW76" s="954"/>
      <c r="KOX76" s="954"/>
      <c r="KOY76" s="954"/>
      <c r="KOZ76" s="954"/>
      <c r="KPA76" s="954"/>
      <c r="KPB76" s="954"/>
      <c r="KPC76" s="954"/>
      <c r="KPD76" s="954"/>
      <c r="KPE76" s="954"/>
      <c r="KPF76" s="954"/>
      <c r="KPG76" s="954"/>
      <c r="KPH76" s="954"/>
      <c r="KPI76" s="954"/>
      <c r="KPJ76" s="954"/>
      <c r="KPK76" s="954"/>
      <c r="KPL76" s="954"/>
      <c r="KPM76" s="954"/>
      <c r="KPN76" s="954"/>
      <c r="KPO76" s="954"/>
      <c r="KPP76" s="954"/>
      <c r="KPQ76" s="954"/>
      <c r="KPR76" s="954"/>
      <c r="KPS76" s="954"/>
      <c r="KPT76" s="954"/>
      <c r="KPU76" s="954"/>
      <c r="KPV76" s="954"/>
      <c r="KPW76" s="954"/>
      <c r="KPX76" s="954"/>
      <c r="KPY76" s="954"/>
      <c r="KPZ76" s="954"/>
      <c r="KQA76" s="954"/>
      <c r="KQB76" s="954"/>
      <c r="KQC76" s="954"/>
      <c r="KQD76" s="954"/>
      <c r="KQE76" s="954"/>
      <c r="KQF76" s="954"/>
      <c r="KQG76" s="954"/>
      <c r="KQH76" s="954"/>
      <c r="KQI76" s="954"/>
      <c r="KQJ76" s="954"/>
      <c r="KQK76" s="954"/>
      <c r="KQL76" s="954"/>
      <c r="KQM76" s="954"/>
      <c r="KQN76" s="954"/>
      <c r="KQO76" s="954"/>
      <c r="KQP76" s="954"/>
      <c r="KQQ76" s="954"/>
      <c r="KQR76" s="954"/>
      <c r="KQS76" s="954"/>
      <c r="KQT76" s="954"/>
      <c r="KQU76" s="954"/>
      <c r="KQV76" s="954"/>
      <c r="KQW76" s="954"/>
      <c r="KQX76" s="954"/>
      <c r="KQY76" s="954"/>
      <c r="KQZ76" s="954"/>
      <c r="KRA76" s="954"/>
      <c r="KRB76" s="954"/>
      <c r="KRC76" s="954"/>
      <c r="KRD76" s="954"/>
      <c r="KRE76" s="954"/>
      <c r="KRF76" s="954"/>
      <c r="KRG76" s="954"/>
      <c r="KRH76" s="954"/>
      <c r="KRI76" s="954"/>
      <c r="KRJ76" s="954"/>
      <c r="KRK76" s="954"/>
      <c r="KRL76" s="954"/>
      <c r="KRM76" s="954"/>
      <c r="KRN76" s="954"/>
      <c r="KRO76" s="954"/>
      <c r="KRP76" s="954"/>
      <c r="KRQ76" s="954"/>
      <c r="KRR76" s="954"/>
      <c r="KRS76" s="954"/>
      <c r="KRT76" s="954"/>
      <c r="KRU76" s="954"/>
      <c r="KRV76" s="954"/>
      <c r="KRW76" s="954"/>
      <c r="KRX76" s="954"/>
      <c r="KRY76" s="954"/>
      <c r="KRZ76" s="954"/>
      <c r="KSA76" s="954"/>
      <c r="KSB76" s="954"/>
      <c r="KSC76" s="954"/>
      <c r="KSD76" s="954"/>
      <c r="KSE76" s="954"/>
      <c r="KSF76" s="954"/>
      <c r="KSG76" s="954"/>
      <c r="KSH76" s="954"/>
      <c r="KSI76" s="954"/>
      <c r="KSJ76" s="954"/>
      <c r="KSK76" s="954"/>
      <c r="KSL76" s="954"/>
      <c r="KSM76" s="954"/>
      <c r="KSN76" s="954"/>
      <c r="KSO76" s="954"/>
      <c r="KSP76" s="954"/>
      <c r="KSQ76" s="954"/>
      <c r="KSR76" s="954"/>
      <c r="KSS76" s="954"/>
      <c r="KST76" s="954"/>
      <c r="KSU76" s="954"/>
      <c r="KSV76" s="954"/>
      <c r="KSW76" s="954"/>
      <c r="KSX76" s="954"/>
      <c r="KSY76" s="954"/>
      <c r="KSZ76" s="954"/>
      <c r="KTA76" s="954"/>
      <c r="KTB76" s="954"/>
      <c r="KTC76" s="954"/>
      <c r="KTD76" s="954"/>
      <c r="KTE76" s="954"/>
      <c r="KTF76" s="954"/>
      <c r="KTG76" s="954"/>
      <c r="KTH76" s="954"/>
      <c r="KTI76" s="954"/>
      <c r="KTJ76" s="954"/>
      <c r="KTK76" s="954"/>
      <c r="KTL76" s="954"/>
      <c r="KTM76" s="954"/>
      <c r="KTN76" s="954"/>
      <c r="KTO76" s="954"/>
      <c r="KTP76" s="954"/>
      <c r="KTQ76" s="954"/>
      <c r="KTR76" s="954"/>
      <c r="KTS76" s="954"/>
      <c r="KTT76" s="954"/>
      <c r="KTU76" s="954"/>
      <c r="KTV76" s="954"/>
      <c r="KTW76" s="954"/>
      <c r="KTX76" s="954"/>
      <c r="KTY76" s="954"/>
      <c r="KTZ76" s="954"/>
      <c r="KUA76" s="954"/>
      <c r="KUB76" s="954"/>
      <c r="KUC76" s="954"/>
      <c r="KUD76" s="954"/>
      <c r="KUE76" s="954"/>
      <c r="KUF76" s="954"/>
      <c r="KUG76" s="954"/>
      <c r="KUH76" s="954"/>
      <c r="KUI76" s="954"/>
      <c r="KUJ76" s="954"/>
      <c r="KUK76" s="954"/>
      <c r="KUL76" s="954"/>
      <c r="KUM76" s="954"/>
      <c r="KUN76" s="954"/>
      <c r="KUO76" s="954"/>
      <c r="KUP76" s="954"/>
      <c r="KUQ76" s="954"/>
      <c r="KUR76" s="954"/>
      <c r="KUS76" s="954"/>
      <c r="KUT76" s="954"/>
      <c r="KUU76" s="954"/>
      <c r="KUV76" s="954"/>
      <c r="KUW76" s="954"/>
      <c r="KUX76" s="954"/>
      <c r="KUY76" s="954"/>
      <c r="KUZ76" s="954"/>
      <c r="KVA76" s="954"/>
      <c r="KVB76" s="954"/>
      <c r="KVC76" s="954"/>
      <c r="KVD76" s="954"/>
      <c r="KVE76" s="954"/>
      <c r="KVF76" s="954"/>
      <c r="KVG76" s="954"/>
      <c r="KVH76" s="954"/>
      <c r="KVI76" s="954"/>
      <c r="KVJ76" s="954"/>
      <c r="KVK76" s="954"/>
      <c r="KVL76" s="954"/>
      <c r="KVM76" s="954"/>
      <c r="KVN76" s="954"/>
      <c r="KVO76" s="954"/>
      <c r="KVP76" s="954"/>
      <c r="KVQ76" s="954"/>
      <c r="KVR76" s="954"/>
      <c r="KVS76" s="954"/>
      <c r="KVT76" s="954"/>
      <c r="KVU76" s="954"/>
      <c r="KVV76" s="954"/>
      <c r="KVW76" s="954"/>
      <c r="KVX76" s="954"/>
      <c r="KVY76" s="954"/>
      <c r="KVZ76" s="954"/>
      <c r="KWA76" s="954"/>
      <c r="KWB76" s="954"/>
      <c r="KWC76" s="954"/>
      <c r="KWD76" s="954"/>
      <c r="KWE76" s="954"/>
      <c r="KWF76" s="954"/>
      <c r="KWG76" s="954"/>
      <c r="KWH76" s="954"/>
      <c r="KWI76" s="954"/>
      <c r="KWJ76" s="954"/>
      <c r="KWK76" s="954"/>
      <c r="KWL76" s="954"/>
      <c r="KWM76" s="954"/>
      <c r="KWN76" s="954"/>
      <c r="KWO76" s="954"/>
      <c r="KWP76" s="954"/>
      <c r="KWQ76" s="954"/>
      <c r="KWR76" s="954"/>
      <c r="KWS76" s="954"/>
      <c r="KWT76" s="954"/>
      <c r="KWU76" s="954"/>
      <c r="KWV76" s="954"/>
      <c r="KWW76" s="954"/>
      <c r="KWX76" s="954"/>
      <c r="KWY76" s="954"/>
      <c r="KWZ76" s="954"/>
      <c r="KXA76" s="954"/>
      <c r="KXB76" s="954"/>
      <c r="KXC76" s="954"/>
      <c r="KXD76" s="954"/>
      <c r="KXE76" s="954"/>
      <c r="KXF76" s="954"/>
      <c r="KXG76" s="954"/>
      <c r="KXH76" s="954"/>
      <c r="KXI76" s="954"/>
      <c r="KXJ76" s="954"/>
      <c r="KXK76" s="954"/>
      <c r="KXL76" s="954"/>
      <c r="KXM76" s="954"/>
      <c r="KXN76" s="954"/>
      <c r="KXO76" s="954"/>
      <c r="KXP76" s="954"/>
      <c r="KXQ76" s="954"/>
      <c r="KXR76" s="954"/>
      <c r="KXS76" s="954"/>
      <c r="KXT76" s="954"/>
      <c r="KXU76" s="954"/>
      <c r="KXV76" s="954"/>
      <c r="KXW76" s="954"/>
      <c r="KXX76" s="954"/>
      <c r="KXY76" s="954"/>
      <c r="KXZ76" s="954"/>
      <c r="KYA76" s="954"/>
      <c r="KYB76" s="954"/>
      <c r="KYC76" s="954"/>
      <c r="KYD76" s="954"/>
      <c r="KYE76" s="954"/>
      <c r="KYF76" s="954"/>
      <c r="KYG76" s="954"/>
      <c r="KYH76" s="954"/>
      <c r="KYI76" s="954"/>
      <c r="KYJ76" s="954"/>
      <c r="KYK76" s="954"/>
      <c r="KYL76" s="954"/>
      <c r="KYM76" s="954"/>
      <c r="KYN76" s="954"/>
      <c r="KYO76" s="954"/>
      <c r="KYP76" s="954"/>
      <c r="KYQ76" s="954"/>
      <c r="KYR76" s="954"/>
      <c r="KYS76" s="954"/>
      <c r="KYT76" s="954"/>
      <c r="KYU76" s="954"/>
      <c r="KYV76" s="954"/>
      <c r="KYW76" s="954"/>
      <c r="KYX76" s="954"/>
      <c r="KYY76" s="954"/>
      <c r="KYZ76" s="954"/>
      <c r="KZA76" s="954"/>
      <c r="KZB76" s="954"/>
      <c r="KZC76" s="954"/>
      <c r="KZD76" s="954"/>
      <c r="KZE76" s="954"/>
      <c r="KZF76" s="954"/>
      <c r="KZG76" s="954"/>
      <c r="KZH76" s="954"/>
      <c r="KZI76" s="954"/>
      <c r="KZJ76" s="954"/>
      <c r="KZK76" s="954"/>
      <c r="KZL76" s="954"/>
      <c r="KZM76" s="954"/>
      <c r="KZN76" s="954"/>
      <c r="KZO76" s="954"/>
      <c r="KZP76" s="954"/>
      <c r="KZQ76" s="954"/>
      <c r="KZR76" s="954"/>
      <c r="KZS76" s="954"/>
      <c r="KZT76" s="954"/>
      <c r="KZU76" s="954"/>
      <c r="KZV76" s="954"/>
      <c r="KZW76" s="954"/>
      <c r="KZX76" s="954"/>
      <c r="KZY76" s="954"/>
      <c r="KZZ76" s="954"/>
      <c r="LAA76" s="954"/>
      <c r="LAB76" s="954"/>
      <c r="LAC76" s="954"/>
      <c r="LAD76" s="954"/>
      <c r="LAE76" s="954"/>
      <c r="LAF76" s="954"/>
      <c r="LAG76" s="954"/>
      <c r="LAH76" s="954"/>
      <c r="LAI76" s="954"/>
      <c r="LAJ76" s="954"/>
      <c r="LAK76" s="954"/>
      <c r="LAL76" s="954"/>
      <c r="LAM76" s="954"/>
      <c r="LAN76" s="954"/>
      <c r="LAO76" s="954"/>
      <c r="LAP76" s="954"/>
      <c r="LAQ76" s="954"/>
      <c r="LAR76" s="954"/>
      <c r="LAS76" s="954"/>
      <c r="LAT76" s="954"/>
      <c r="LAU76" s="954"/>
      <c r="LAV76" s="954"/>
      <c r="LAW76" s="954"/>
      <c r="LAX76" s="954"/>
      <c r="LAY76" s="954"/>
      <c r="LAZ76" s="954"/>
      <c r="LBA76" s="954"/>
      <c r="LBB76" s="954"/>
      <c r="LBC76" s="954"/>
      <c r="LBD76" s="954"/>
      <c r="LBE76" s="954"/>
      <c r="LBF76" s="954"/>
      <c r="LBG76" s="954"/>
      <c r="LBH76" s="954"/>
      <c r="LBI76" s="954"/>
      <c r="LBJ76" s="954"/>
      <c r="LBK76" s="954"/>
      <c r="LBL76" s="954"/>
      <c r="LBM76" s="954"/>
      <c r="LBN76" s="954"/>
      <c r="LBO76" s="954"/>
      <c r="LBP76" s="954"/>
      <c r="LBQ76" s="954"/>
      <c r="LBR76" s="954"/>
      <c r="LBS76" s="954"/>
      <c r="LBT76" s="954"/>
      <c r="LBU76" s="954"/>
      <c r="LBV76" s="954"/>
      <c r="LBW76" s="954"/>
      <c r="LBX76" s="954"/>
      <c r="LBY76" s="954"/>
      <c r="LBZ76" s="954"/>
      <c r="LCA76" s="954"/>
      <c r="LCB76" s="954"/>
      <c r="LCC76" s="954"/>
      <c r="LCD76" s="954"/>
      <c r="LCE76" s="954"/>
      <c r="LCF76" s="954"/>
      <c r="LCG76" s="954"/>
      <c r="LCH76" s="954"/>
      <c r="LCI76" s="954"/>
      <c r="LCJ76" s="954"/>
      <c r="LCK76" s="954"/>
      <c r="LCL76" s="954"/>
      <c r="LCM76" s="954"/>
      <c r="LCN76" s="954"/>
      <c r="LCO76" s="954"/>
      <c r="LCP76" s="954"/>
      <c r="LCQ76" s="954"/>
      <c r="LCR76" s="954"/>
      <c r="LCS76" s="954"/>
      <c r="LCT76" s="954"/>
      <c r="LCU76" s="954"/>
      <c r="LCV76" s="954"/>
      <c r="LCW76" s="954"/>
      <c r="LCX76" s="954"/>
      <c r="LCY76" s="954"/>
      <c r="LCZ76" s="954"/>
      <c r="LDA76" s="954"/>
      <c r="LDB76" s="954"/>
      <c r="LDC76" s="954"/>
      <c r="LDD76" s="954"/>
      <c r="LDE76" s="954"/>
      <c r="LDF76" s="954"/>
      <c r="LDG76" s="954"/>
      <c r="LDH76" s="954"/>
      <c r="LDI76" s="954"/>
      <c r="LDJ76" s="954"/>
      <c r="LDK76" s="954"/>
      <c r="LDL76" s="954"/>
      <c r="LDM76" s="954"/>
      <c r="LDN76" s="954"/>
      <c r="LDO76" s="954"/>
      <c r="LDP76" s="954"/>
      <c r="LDQ76" s="954"/>
      <c r="LDR76" s="954"/>
      <c r="LDS76" s="954"/>
      <c r="LDT76" s="954"/>
      <c r="LDU76" s="954"/>
      <c r="LDV76" s="954"/>
      <c r="LDW76" s="954"/>
      <c r="LDX76" s="954"/>
      <c r="LDY76" s="954"/>
      <c r="LDZ76" s="954"/>
      <c r="LEA76" s="954"/>
      <c r="LEB76" s="954"/>
      <c r="LEC76" s="954"/>
      <c r="LED76" s="954"/>
      <c r="LEE76" s="954"/>
      <c r="LEF76" s="954"/>
      <c r="LEG76" s="954"/>
      <c r="LEH76" s="954"/>
      <c r="LEI76" s="954"/>
      <c r="LEJ76" s="954"/>
      <c r="LEK76" s="954"/>
      <c r="LEL76" s="954"/>
      <c r="LEM76" s="954"/>
      <c r="LEN76" s="954"/>
      <c r="LEO76" s="954"/>
      <c r="LEP76" s="954"/>
      <c r="LEQ76" s="954"/>
      <c r="LER76" s="954"/>
      <c r="LES76" s="954"/>
      <c r="LET76" s="954"/>
      <c r="LEU76" s="954"/>
      <c r="LEV76" s="954"/>
      <c r="LEW76" s="954"/>
      <c r="LEX76" s="954"/>
      <c r="LEY76" s="954"/>
      <c r="LEZ76" s="954"/>
      <c r="LFA76" s="954"/>
      <c r="LFB76" s="954"/>
      <c r="LFC76" s="954"/>
      <c r="LFD76" s="954"/>
      <c r="LFE76" s="954"/>
      <c r="LFF76" s="954"/>
      <c r="LFG76" s="954"/>
      <c r="LFH76" s="954"/>
      <c r="LFI76" s="954"/>
      <c r="LFJ76" s="954"/>
      <c r="LFK76" s="954"/>
      <c r="LFL76" s="954"/>
      <c r="LFM76" s="954"/>
      <c r="LFN76" s="954"/>
      <c r="LFO76" s="954"/>
      <c r="LFP76" s="954"/>
      <c r="LFQ76" s="954"/>
      <c r="LFR76" s="954"/>
      <c r="LFS76" s="954"/>
      <c r="LFT76" s="954"/>
      <c r="LFU76" s="954"/>
      <c r="LFV76" s="954"/>
      <c r="LFW76" s="954"/>
      <c r="LFX76" s="954"/>
      <c r="LFY76" s="954"/>
      <c r="LFZ76" s="954"/>
      <c r="LGA76" s="954"/>
      <c r="LGB76" s="954"/>
      <c r="LGC76" s="954"/>
      <c r="LGD76" s="954"/>
      <c r="LGE76" s="954"/>
      <c r="LGF76" s="954"/>
      <c r="LGG76" s="954"/>
      <c r="LGH76" s="954"/>
      <c r="LGI76" s="954"/>
      <c r="LGJ76" s="954"/>
      <c r="LGK76" s="954"/>
      <c r="LGL76" s="954"/>
      <c r="LGM76" s="954"/>
      <c r="LGN76" s="954"/>
      <c r="LGO76" s="954"/>
      <c r="LGP76" s="954"/>
      <c r="LGQ76" s="954"/>
      <c r="LGR76" s="954"/>
      <c r="LGS76" s="954"/>
      <c r="LGT76" s="954"/>
      <c r="LGU76" s="954"/>
      <c r="LGV76" s="954"/>
      <c r="LGW76" s="954"/>
      <c r="LGX76" s="954"/>
      <c r="LGY76" s="954"/>
      <c r="LGZ76" s="954"/>
      <c r="LHA76" s="954"/>
      <c r="LHB76" s="954"/>
      <c r="LHC76" s="954"/>
      <c r="LHD76" s="954"/>
      <c r="LHE76" s="954"/>
      <c r="LHF76" s="954"/>
      <c r="LHG76" s="954"/>
      <c r="LHH76" s="954"/>
      <c r="LHI76" s="954"/>
      <c r="LHJ76" s="954"/>
      <c r="LHK76" s="954"/>
      <c r="LHL76" s="954"/>
      <c r="LHM76" s="954"/>
      <c r="LHN76" s="954"/>
      <c r="LHO76" s="954"/>
      <c r="LHP76" s="954"/>
      <c r="LHQ76" s="954"/>
      <c r="LHR76" s="954"/>
      <c r="LHS76" s="954"/>
      <c r="LHT76" s="954"/>
      <c r="LHU76" s="954"/>
      <c r="LHV76" s="954"/>
      <c r="LHW76" s="954"/>
      <c r="LHX76" s="954"/>
      <c r="LHY76" s="954"/>
      <c r="LHZ76" s="954"/>
      <c r="LIA76" s="954"/>
      <c r="LIB76" s="954"/>
      <c r="LIC76" s="954"/>
      <c r="LID76" s="954"/>
      <c r="LIE76" s="954"/>
      <c r="LIF76" s="954"/>
      <c r="LIG76" s="954"/>
      <c r="LIH76" s="954"/>
      <c r="LII76" s="954"/>
      <c r="LIJ76" s="954"/>
      <c r="LIK76" s="954"/>
      <c r="LIL76" s="954"/>
      <c r="LIM76" s="954"/>
      <c r="LIN76" s="954"/>
      <c r="LIO76" s="954"/>
      <c r="LIP76" s="954"/>
      <c r="LIQ76" s="954"/>
      <c r="LIR76" s="954"/>
      <c r="LIS76" s="954"/>
      <c r="LIT76" s="954"/>
      <c r="LIU76" s="954"/>
      <c r="LIV76" s="954"/>
      <c r="LIW76" s="954"/>
      <c r="LIX76" s="954"/>
      <c r="LIY76" s="954"/>
      <c r="LIZ76" s="954"/>
      <c r="LJA76" s="954"/>
      <c r="LJB76" s="954"/>
      <c r="LJC76" s="954"/>
      <c r="LJD76" s="954"/>
      <c r="LJE76" s="954"/>
      <c r="LJF76" s="954"/>
      <c r="LJG76" s="954"/>
      <c r="LJH76" s="954"/>
      <c r="LJI76" s="954"/>
      <c r="LJJ76" s="954"/>
      <c r="LJK76" s="954"/>
      <c r="LJL76" s="954"/>
      <c r="LJM76" s="954"/>
      <c r="LJN76" s="954"/>
      <c r="LJO76" s="954"/>
      <c r="LJP76" s="954"/>
      <c r="LJQ76" s="954"/>
      <c r="LJR76" s="954"/>
      <c r="LJS76" s="954"/>
      <c r="LJT76" s="954"/>
      <c r="LJU76" s="954"/>
      <c r="LJV76" s="954"/>
      <c r="LJW76" s="954"/>
      <c r="LJX76" s="954"/>
      <c r="LJY76" s="954"/>
      <c r="LJZ76" s="954"/>
      <c r="LKA76" s="954"/>
      <c r="LKB76" s="954"/>
      <c r="LKC76" s="954"/>
      <c r="LKD76" s="954"/>
      <c r="LKE76" s="954"/>
      <c r="LKF76" s="954"/>
      <c r="LKG76" s="954"/>
      <c r="LKH76" s="954"/>
      <c r="LKI76" s="954"/>
      <c r="LKJ76" s="954"/>
      <c r="LKK76" s="954"/>
      <c r="LKL76" s="954"/>
      <c r="LKM76" s="954"/>
      <c r="LKN76" s="954"/>
      <c r="LKO76" s="954"/>
      <c r="LKP76" s="954"/>
      <c r="LKQ76" s="954"/>
      <c r="LKR76" s="954"/>
      <c r="LKS76" s="954"/>
      <c r="LKT76" s="954"/>
      <c r="LKU76" s="954"/>
      <c r="LKV76" s="954"/>
      <c r="LKW76" s="954"/>
      <c r="LKX76" s="954"/>
      <c r="LKY76" s="954"/>
      <c r="LKZ76" s="954"/>
      <c r="LLA76" s="954"/>
      <c r="LLB76" s="954"/>
      <c r="LLC76" s="954"/>
      <c r="LLD76" s="954"/>
      <c r="LLE76" s="954"/>
      <c r="LLF76" s="954"/>
      <c r="LLG76" s="954"/>
      <c r="LLH76" s="954"/>
      <c r="LLI76" s="954"/>
      <c r="LLJ76" s="954"/>
      <c r="LLK76" s="954"/>
      <c r="LLL76" s="954"/>
      <c r="LLM76" s="954"/>
      <c r="LLN76" s="954"/>
      <c r="LLO76" s="954"/>
      <c r="LLP76" s="954"/>
      <c r="LLQ76" s="954"/>
      <c r="LLR76" s="954"/>
      <c r="LLS76" s="954"/>
      <c r="LLT76" s="954"/>
      <c r="LLU76" s="954"/>
      <c r="LLV76" s="954"/>
      <c r="LLW76" s="954"/>
      <c r="LLX76" s="954"/>
      <c r="LLY76" s="954"/>
      <c r="LLZ76" s="954"/>
      <c r="LMA76" s="954"/>
      <c r="LMB76" s="954"/>
      <c r="LMC76" s="954"/>
      <c r="LMD76" s="954"/>
      <c r="LME76" s="954"/>
      <c r="LMF76" s="954"/>
      <c r="LMG76" s="954"/>
      <c r="LMH76" s="954"/>
      <c r="LMI76" s="954"/>
      <c r="LMJ76" s="954"/>
      <c r="LMK76" s="954"/>
      <c r="LML76" s="954"/>
      <c r="LMM76" s="954"/>
      <c r="LMN76" s="954"/>
      <c r="LMO76" s="954"/>
      <c r="LMP76" s="954"/>
      <c r="LMQ76" s="954"/>
      <c r="LMR76" s="954"/>
      <c r="LMS76" s="954"/>
      <c r="LMT76" s="954"/>
      <c r="LMU76" s="954"/>
      <c r="LMV76" s="954"/>
      <c r="LMW76" s="954"/>
      <c r="LMX76" s="954"/>
      <c r="LMY76" s="954"/>
      <c r="LMZ76" s="954"/>
      <c r="LNA76" s="954"/>
      <c r="LNB76" s="954"/>
      <c r="LNC76" s="954"/>
      <c r="LND76" s="954"/>
      <c r="LNE76" s="954"/>
      <c r="LNF76" s="954"/>
      <c r="LNG76" s="954"/>
      <c r="LNH76" s="954"/>
      <c r="LNI76" s="954"/>
      <c r="LNJ76" s="954"/>
      <c r="LNK76" s="954"/>
      <c r="LNL76" s="954"/>
      <c r="LNM76" s="954"/>
      <c r="LNN76" s="954"/>
      <c r="LNO76" s="954"/>
      <c r="LNP76" s="954"/>
      <c r="LNQ76" s="954"/>
      <c r="LNR76" s="954"/>
      <c r="LNS76" s="954"/>
      <c r="LNT76" s="954"/>
      <c r="LNU76" s="954"/>
      <c r="LNV76" s="954"/>
      <c r="LNW76" s="954"/>
      <c r="LNX76" s="954"/>
      <c r="LNY76" s="954"/>
      <c r="LNZ76" s="954"/>
      <c r="LOA76" s="954"/>
      <c r="LOB76" s="954"/>
      <c r="LOC76" s="954"/>
      <c r="LOD76" s="954"/>
      <c r="LOE76" s="954"/>
      <c r="LOF76" s="954"/>
      <c r="LOG76" s="954"/>
      <c r="LOH76" s="954"/>
      <c r="LOI76" s="954"/>
      <c r="LOJ76" s="954"/>
      <c r="LOK76" s="954"/>
      <c r="LOL76" s="954"/>
      <c r="LOM76" s="954"/>
      <c r="LON76" s="954"/>
      <c r="LOO76" s="954"/>
      <c r="LOP76" s="954"/>
      <c r="LOQ76" s="954"/>
      <c r="LOR76" s="954"/>
      <c r="LOS76" s="954"/>
      <c r="LOT76" s="954"/>
      <c r="LOU76" s="954"/>
      <c r="LOV76" s="954"/>
      <c r="LOW76" s="954"/>
      <c r="LOX76" s="954"/>
      <c r="LOY76" s="954"/>
      <c r="LOZ76" s="954"/>
      <c r="LPA76" s="954"/>
      <c r="LPB76" s="954"/>
      <c r="LPC76" s="954"/>
      <c r="LPD76" s="954"/>
      <c r="LPE76" s="954"/>
      <c r="LPF76" s="954"/>
      <c r="LPG76" s="954"/>
      <c r="LPH76" s="954"/>
      <c r="LPI76" s="954"/>
      <c r="LPJ76" s="954"/>
      <c r="LPK76" s="954"/>
      <c r="LPL76" s="954"/>
      <c r="LPM76" s="954"/>
      <c r="LPN76" s="954"/>
      <c r="LPO76" s="954"/>
      <c r="LPP76" s="954"/>
      <c r="LPQ76" s="954"/>
      <c r="LPR76" s="954"/>
      <c r="LPS76" s="954"/>
      <c r="LPT76" s="954"/>
      <c r="LPU76" s="954"/>
      <c r="LPV76" s="954"/>
      <c r="LPW76" s="954"/>
      <c r="LPX76" s="954"/>
      <c r="LPY76" s="954"/>
      <c r="LPZ76" s="954"/>
      <c r="LQA76" s="954"/>
      <c r="LQB76" s="954"/>
      <c r="LQC76" s="954"/>
      <c r="LQD76" s="954"/>
      <c r="LQE76" s="954"/>
      <c r="LQF76" s="954"/>
      <c r="LQG76" s="954"/>
      <c r="LQH76" s="954"/>
      <c r="LQI76" s="954"/>
      <c r="LQJ76" s="954"/>
      <c r="LQK76" s="954"/>
      <c r="LQL76" s="954"/>
      <c r="LQM76" s="954"/>
      <c r="LQN76" s="954"/>
      <c r="LQO76" s="954"/>
      <c r="LQP76" s="954"/>
      <c r="LQQ76" s="954"/>
      <c r="LQR76" s="954"/>
      <c r="LQS76" s="954"/>
      <c r="LQT76" s="954"/>
      <c r="LQU76" s="954"/>
      <c r="LQV76" s="954"/>
      <c r="LQW76" s="954"/>
      <c r="LQX76" s="954"/>
      <c r="LQY76" s="954"/>
      <c r="LQZ76" s="954"/>
      <c r="LRA76" s="954"/>
      <c r="LRB76" s="954"/>
      <c r="LRC76" s="954"/>
      <c r="LRD76" s="954"/>
      <c r="LRE76" s="954"/>
      <c r="LRF76" s="954"/>
      <c r="LRG76" s="954"/>
      <c r="LRH76" s="954"/>
      <c r="LRI76" s="954"/>
      <c r="LRJ76" s="954"/>
      <c r="LRK76" s="954"/>
      <c r="LRL76" s="954"/>
      <c r="LRM76" s="954"/>
      <c r="LRN76" s="954"/>
      <c r="LRO76" s="954"/>
      <c r="LRP76" s="954"/>
      <c r="LRQ76" s="954"/>
      <c r="LRR76" s="954"/>
      <c r="LRS76" s="954"/>
      <c r="LRT76" s="954"/>
      <c r="LRU76" s="954"/>
      <c r="LRV76" s="954"/>
      <c r="LRW76" s="954"/>
      <c r="LRX76" s="954"/>
      <c r="LRY76" s="954"/>
      <c r="LRZ76" s="954"/>
      <c r="LSA76" s="954"/>
      <c r="LSB76" s="954"/>
      <c r="LSC76" s="954"/>
      <c r="LSD76" s="954"/>
      <c r="LSE76" s="954"/>
      <c r="LSF76" s="954"/>
      <c r="LSG76" s="954"/>
      <c r="LSH76" s="954"/>
      <c r="LSI76" s="954"/>
      <c r="LSJ76" s="954"/>
      <c r="LSK76" s="954"/>
      <c r="LSL76" s="954"/>
      <c r="LSM76" s="954"/>
      <c r="LSN76" s="954"/>
      <c r="LSO76" s="954"/>
      <c r="LSP76" s="954"/>
      <c r="LSQ76" s="954"/>
      <c r="LSR76" s="954"/>
      <c r="LSS76" s="954"/>
      <c r="LST76" s="954"/>
      <c r="LSU76" s="954"/>
      <c r="LSV76" s="954"/>
      <c r="LSW76" s="954"/>
      <c r="LSX76" s="954"/>
      <c r="LSY76" s="954"/>
      <c r="LSZ76" s="954"/>
      <c r="LTA76" s="954"/>
      <c r="LTB76" s="954"/>
      <c r="LTC76" s="954"/>
      <c r="LTD76" s="954"/>
      <c r="LTE76" s="954"/>
      <c r="LTF76" s="954"/>
      <c r="LTG76" s="954"/>
      <c r="LTH76" s="954"/>
      <c r="LTI76" s="954"/>
      <c r="LTJ76" s="954"/>
      <c r="LTK76" s="954"/>
      <c r="LTL76" s="954"/>
      <c r="LTM76" s="954"/>
      <c r="LTN76" s="954"/>
      <c r="LTO76" s="954"/>
      <c r="LTP76" s="954"/>
      <c r="LTQ76" s="954"/>
      <c r="LTR76" s="954"/>
      <c r="LTS76" s="954"/>
      <c r="LTT76" s="954"/>
      <c r="LTU76" s="954"/>
      <c r="LTV76" s="954"/>
      <c r="LTW76" s="954"/>
      <c r="LTX76" s="954"/>
      <c r="LTY76" s="954"/>
      <c r="LTZ76" s="954"/>
      <c r="LUA76" s="954"/>
      <c r="LUB76" s="954"/>
      <c r="LUC76" s="954"/>
      <c r="LUD76" s="954"/>
      <c r="LUE76" s="954"/>
      <c r="LUF76" s="954"/>
      <c r="LUG76" s="954"/>
      <c r="LUH76" s="954"/>
      <c r="LUI76" s="954"/>
      <c r="LUJ76" s="954"/>
      <c r="LUK76" s="954"/>
      <c r="LUL76" s="954"/>
      <c r="LUM76" s="954"/>
      <c r="LUN76" s="954"/>
      <c r="LUO76" s="954"/>
      <c r="LUP76" s="954"/>
      <c r="LUQ76" s="954"/>
      <c r="LUR76" s="954"/>
      <c r="LUS76" s="954"/>
      <c r="LUT76" s="954"/>
      <c r="LUU76" s="954"/>
      <c r="LUV76" s="954"/>
      <c r="LUW76" s="954"/>
      <c r="LUX76" s="954"/>
      <c r="LUY76" s="954"/>
      <c r="LUZ76" s="954"/>
      <c r="LVA76" s="954"/>
      <c r="LVB76" s="954"/>
      <c r="LVC76" s="954"/>
      <c r="LVD76" s="954"/>
      <c r="LVE76" s="954"/>
      <c r="LVF76" s="954"/>
      <c r="LVG76" s="954"/>
      <c r="LVH76" s="954"/>
      <c r="LVI76" s="954"/>
      <c r="LVJ76" s="954"/>
      <c r="LVK76" s="954"/>
      <c r="LVL76" s="954"/>
      <c r="LVM76" s="954"/>
      <c r="LVN76" s="954"/>
      <c r="LVO76" s="954"/>
      <c r="LVP76" s="954"/>
      <c r="LVQ76" s="954"/>
      <c r="LVR76" s="954"/>
      <c r="LVS76" s="954"/>
      <c r="LVT76" s="954"/>
      <c r="LVU76" s="954"/>
      <c r="LVV76" s="954"/>
      <c r="LVW76" s="954"/>
      <c r="LVX76" s="954"/>
      <c r="LVY76" s="954"/>
      <c r="LVZ76" s="954"/>
      <c r="LWA76" s="954"/>
      <c r="LWB76" s="954"/>
      <c r="LWC76" s="954"/>
      <c r="LWD76" s="954"/>
      <c r="LWE76" s="954"/>
      <c r="LWF76" s="954"/>
      <c r="LWG76" s="954"/>
      <c r="LWH76" s="954"/>
      <c r="LWI76" s="954"/>
      <c r="LWJ76" s="954"/>
      <c r="LWK76" s="954"/>
      <c r="LWL76" s="954"/>
      <c r="LWM76" s="954"/>
      <c r="LWN76" s="954"/>
      <c r="LWO76" s="954"/>
      <c r="LWP76" s="954"/>
      <c r="LWQ76" s="954"/>
      <c r="LWR76" s="954"/>
      <c r="LWS76" s="954"/>
      <c r="LWT76" s="954"/>
      <c r="LWU76" s="954"/>
      <c r="LWV76" s="954"/>
      <c r="LWW76" s="954"/>
      <c r="LWX76" s="954"/>
      <c r="LWY76" s="954"/>
      <c r="LWZ76" s="954"/>
      <c r="LXA76" s="954"/>
      <c r="LXB76" s="954"/>
      <c r="LXC76" s="954"/>
      <c r="LXD76" s="954"/>
      <c r="LXE76" s="954"/>
      <c r="LXF76" s="954"/>
      <c r="LXG76" s="954"/>
      <c r="LXH76" s="954"/>
      <c r="LXI76" s="954"/>
      <c r="LXJ76" s="954"/>
      <c r="LXK76" s="954"/>
      <c r="LXL76" s="954"/>
      <c r="LXM76" s="954"/>
      <c r="LXN76" s="954"/>
      <c r="LXO76" s="954"/>
      <c r="LXP76" s="954"/>
      <c r="LXQ76" s="954"/>
      <c r="LXR76" s="954"/>
      <c r="LXS76" s="954"/>
      <c r="LXT76" s="954"/>
      <c r="LXU76" s="954"/>
      <c r="LXV76" s="954"/>
      <c r="LXW76" s="954"/>
      <c r="LXX76" s="954"/>
      <c r="LXY76" s="954"/>
      <c r="LXZ76" s="954"/>
      <c r="LYA76" s="954"/>
      <c r="LYB76" s="954"/>
      <c r="LYC76" s="954"/>
      <c r="LYD76" s="954"/>
      <c r="LYE76" s="954"/>
      <c r="LYF76" s="954"/>
      <c r="LYG76" s="954"/>
      <c r="LYH76" s="954"/>
      <c r="LYI76" s="954"/>
      <c r="LYJ76" s="954"/>
      <c r="LYK76" s="954"/>
      <c r="LYL76" s="954"/>
      <c r="LYM76" s="954"/>
      <c r="LYN76" s="954"/>
      <c r="LYO76" s="954"/>
      <c r="LYP76" s="954"/>
      <c r="LYQ76" s="954"/>
      <c r="LYR76" s="954"/>
      <c r="LYS76" s="954"/>
      <c r="LYT76" s="954"/>
      <c r="LYU76" s="954"/>
      <c r="LYV76" s="954"/>
      <c r="LYW76" s="954"/>
      <c r="LYX76" s="954"/>
      <c r="LYY76" s="954"/>
      <c r="LYZ76" s="954"/>
      <c r="LZA76" s="954"/>
      <c r="LZB76" s="954"/>
      <c r="LZC76" s="954"/>
      <c r="LZD76" s="954"/>
      <c r="LZE76" s="954"/>
      <c r="LZF76" s="954"/>
      <c r="LZG76" s="954"/>
      <c r="LZH76" s="954"/>
      <c r="LZI76" s="954"/>
      <c r="LZJ76" s="954"/>
      <c r="LZK76" s="954"/>
      <c r="LZL76" s="954"/>
      <c r="LZM76" s="954"/>
      <c r="LZN76" s="954"/>
      <c r="LZO76" s="954"/>
      <c r="LZP76" s="954"/>
      <c r="LZQ76" s="954"/>
      <c r="LZR76" s="954"/>
      <c r="LZS76" s="954"/>
      <c r="LZT76" s="954"/>
      <c r="LZU76" s="954"/>
      <c r="LZV76" s="954"/>
      <c r="LZW76" s="954"/>
      <c r="LZX76" s="954"/>
      <c r="LZY76" s="954"/>
      <c r="LZZ76" s="954"/>
      <c r="MAA76" s="954"/>
      <c r="MAB76" s="954"/>
      <c r="MAC76" s="954"/>
      <c r="MAD76" s="954"/>
      <c r="MAE76" s="954"/>
      <c r="MAF76" s="954"/>
      <c r="MAG76" s="954"/>
      <c r="MAH76" s="954"/>
      <c r="MAI76" s="954"/>
      <c r="MAJ76" s="954"/>
      <c r="MAK76" s="954"/>
      <c r="MAL76" s="954"/>
      <c r="MAM76" s="954"/>
      <c r="MAN76" s="954"/>
      <c r="MAO76" s="954"/>
      <c r="MAP76" s="954"/>
      <c r="MAQ76" s="954"/>
      <c r="MAR76" s="954"/>
      <c r="MAS76" s="954"/>
      <c r="MAT76" s="954"/>
      <c r="MAU76" s="954"/>
      <c r="MAV76" s="954"/>
      <c r="MAW76" s="954"/>
      <c r="MAX76" s="954"/>
      <c r="MAY76" s="954"/>
      <c r="MAZ76" s="954"/>
      <c r="MBA76" s="954"/>
      <c r="MBB76" s="954"/>
      <c r="MBC76" s="954"/>
      <c r="MBD76" s="954"/>
      <c r="MBE76" s="954"/>
      <c r="MBF76" s="954"/>
      <c r="MBG76" s="954"/>
      <c r="MBH76" s="954"/>
      <c r="MBI76" s="954"/>
      <c r="MBJ76" s="954"/>
      <c r="MBK76" s="954"/>
      <c r="MBL76" s="954"/>
      <c r="MBM76" s="954"/>
      <c r="MBN76" s="954"/>
      <c r="MBO76" s="954"/>
      <c r="MBP76" s="954"/>
      <c r="MBQ76" s="954"/>
      <c r="MBR76" s="954"/>
      <c r="MBS76" s="954"/>
      <c r="MBT76" s="954"/>
      <c r="MBU76" s="954"/>
      <c r="MBV76" s="954"/>
      <c r="MBW76" s="954"/>
      <c r="MBX76" s="954"/>
      <c r="MBY76" s="954"/>
      <c r="MBZ76" s="954"/>
      <c r="MCA76" s="954"/>
      <c r="MCB76" s="954"/>
      <c r="MCC76" s="954"/>
      <c r="MCD76" s="954"/>
      <c r="MCE76" s="954"/>
      <c r="MCF76" s="954"/>
      <c r="MCG76" s="954"/>
      <c r="MCH76" s="954"/>
      <c r="MCI76" s="954"/>
      <c r="MCJ76" s="954"/>
      <c r="MCK76" s="954"/>
      <c r="MCL76" s="954"/>
      <c r="MCM76" s="954"/>
      <c r="MCN76" s="954"/>
      <c r="MCO76" s="954"/>
      <c r="MCP76" s="954"/>
      <c r="MCQ76" s="954"/>
      <c r="MCR76" s="954"/>
      <c r="MCS76" s="954"/>
      <c r="MCT76" s="954"/>
      <c r="MCU76" s="954"/>
      <c r="MCV76" s="954"/>
      <c r="MCW76" s="954"/>
      <c r="MCX76" s="954"/>
      <c r="MCY76" s="954"/>
      <c r="MCZ76" s="954"/>
      <c r="MDA76" s="954"/>
      <c r="MDB76" s="954"/>
      <c r="MDC76" s="954"/>
      <c r="MDD76" s="954"/>
      <c r="MDE76" s="954"/>
      <c r="MDF76" s="954"/>
      <c r="MDG76" s="954"/>
      <c r="MDH76" s="954"/>
      <c r="MDI76" s="954"/>
      <c r="MDJ76" s="954"/>
      <c r="MDK76" s="954"/>
      <c r="MDL76" s="954"/>
      <c r="MDM76" s="954"/>
      <c r="MDN76" s="954"/>
      <c r="MDO76" s="954"/>
      <c r="MDP76" s="954"/>
      <c r="MDQ76" s="954"/>
      <c r="MDR76" s="954"/>
      <c r="MDS76" s="954"/>
      <c r="MDT76" s="954"/>
      <c r="MDU76" s="954"/>
      <c r="MDV76" s="954"/>
      <c r="MDW76" s="954"/>
      <c r="MDX76" s="954"/>
      <c r="MDY76" s="954"/>
      <c r="MDZ76" s="954"/>
      <c r="MEA76" s="954"/>
      <c r="MEB76" s="954"/>
      <c r="MEC76" s="954"/>
      <c r="MED76" s="954"/>
      <c r="MEE76" s="954"/>
      <c r="MEF76" s="954"/>
      <c r="MEG76" s="954"/>
      <c r="MEH76" s="954"/>
      <c r="MEI76" s="954"/>
      <c r="MEJ76" s="954"/>
      <c r="MEK76" s="954"/>
      <c r="MEL76" s="954"/>
      <c r="MEM76" s="954"/>
      <c r="MEN76" s="954"/>
      <c r="MEO76" s="954"/>
      <c r="MEP76" s="954"/>
      <c r="MEQ76" s="954"/>
      <c r="MER76" s="954"/>
      <c r="MES76" s="954"/>
      <c r="MET76" s="954"/>
      <c r="MEU76" s="954"/>
      <c r="MEV76" s="954"/>
      <c r="MEW76" s="954"/>
      <c r="MEX76" s="954"/>
      <c r="MEY76" s="954"/>
      <c r="MEZ76" s="954"/>
      <c r="MFA76" s="954"/>
      <c r="MFB76" s="954"/>
      <c r="MFC76" s="954"/>
      <c r="MFD76" s="954"/>
      <c r="MFE76" s="954"/>
      <c r="MFF76" s="954"/>
      <c r="MFG76" s="954"/>
      <c r="MFH76" s="954"/>
      <c r="MFI76" s="954"/>
      <c r="MFJ76" s="954"/>
      <c r="MFK76" s="954"/>
      <c r="MFL76" s="954"/>
      <c r="MFM76" s="954"/>
      <c r="MFN76" s="954"/>
      <c r="MFO76" s="954"/>
      <c r="MFP76" s="954"/>
      <c r="MFQ76" s="954"/>
      <c r="MFR76" s="954"/>
      <c r="MFS76" s="954"/>
      <c r="MFT76" s="954"/>
      <c r="MFU76" s="954"/>
      <c r="MFV76" s="954"/>
      <c r="MFW76" s="954"/>
      <c r="MFX76" s="954"/>
      <c r="MFY76" s="954"/>
      <c r="MFZ76" s="954"/>
      <c r="MGA76" s="954"/>
      <c r="MGB76" s="954"/>
      <c r="MGC76" s="954"/>
      <c r="MGD76" s="954"/>
      <c r="MGE76" s="954"/>
      <c r="MGF76" s="954"/>
      <c r="MGG76" s="954"/>
      <c r="MGH76" s="954"/>
      <c r="MGI76" s="954"/>
      <c r="MGJ76" s="954"/>
      <c r="MGK76" s="954"/>
      <c r="MGL76" s="954"/>
      <c r="MGM76" s="954"/>
      <c r="MGN76" s="954"/>
      <c r="MGO76" s="954"/>
      <c r="MGP76" s="954"/>
      <c r="MGQ76" s="954"/>
      <c r="MGR76" s="954"/>
      <c r="MGS76" s="954"/>
      <c r="MGT76" s="954"/>
      <c r="MGU76" s="954"/>
      <c r="MGV76" s="954"/>
      <c r="MGW76" s="954"/>
      <c r="MGX76" s="954"/>
      <c r="MGY76" s="954"/>
      <c r="MGZ76" s="954"/>
      <c r="MHA76" s="954"/>
      <c r="MHB76" s="954"/>
      <c r="MHC76" s="954"/>
      <c r="MHD76" s="954"/>
      <c r="MHE76" s="954"/>
      <c r="MHF76" s="954"/>
      <c r="MHG76" s="954"/>
      <c r="MHH76" s="954"/>
      <c r="MHI76" s="954"/>
      <c r="MHJ76" s="954"/>
      <c r="MHK76" s="954"/>
      <c r="MHL76" s="954"/>
      <c r="MHM76" s="954"/>
      <c r="MHN76" s="954"/>
      <c r="MHO76" s="954"/>
      <c r="MHP76" s="954"/>
      <c r="MHQ76" s="954"/>
      <c r="MHR76" s="954"/>
      <c r="MHS76" s="954"/>
      <c r="MHT76" s="954"/>
      <c r="MHU76" s="954"/>
      <c r="MHV76" s="954"/>
      <c r="MHW76" s="954"/>
      <c r="MHX76" s="954"/>
      <c r="MHY76" s="954"/>
      <c r="MHZ76" s="954"/>
      <c r="MIA76" s="954"/>
      <c r="MIB76" s="954"/>
      <c r="MIC76" s="954"/>
      <c r="MID76" s="954"/>
      <c r="MIE76" s="954"/>
      <c r="MIF76" s="954"/>
      <c r="MIG76" s="954"/>
      <c r="MIH76" s="954"/>
      <c r="MII76" s="954"/>
      <c r="MIJ76" s="954"/>
      <c r="MIK76" s="954"/>
      <c r="MIL76" s="954"/>
      <c r="MIM76" s="954"/>
      <c r="MIN76" s="954"/>
      <c r="MIO76" s="954"/>
      <c r="MIP76" s="954"/>
      <c r="MIQ76" s="954"/>
      <c r="MIR76" s="954"/>
      <c r="MIS76" s="954"/>
      <c r="MIT76" s="954"/>
      <c r="MIU76" s="954"/>
      <c r="MIV76" s="954"/>
      <c r="MIW76" s="954"/>
      <c r="MIX76" s="954"/>
      <c r="MIY76" s="954"/>
      <c r="MIZ76" s="954"/>
      <c r="MJA76" s="954"/>
      <c r="MJB76" s="954"/>
      <c r="MJC76" s="954"/>
      <c r="MJD76" s="954"/>
      <c r="MJE76" s="954"/>
      <c r="MJF76" s="954"/>
      <c r="MJG76" s="954"/>
      <c r="MJH76" s="954"/>
      <c r="MJI76" s="954"/>
      <c r="MJJ76" s="954"/>
      <c r="MJK76" s="954"/>
      <c r="MJL76" s="954"/>
      <c r="MJM76" s="954"/>
      <c r="MJN76" s="954"/>
      <c r="MJO76" s="954"/>
      <c r="MJP76" s="954"/>
      <c r="MJQ76" s="954"/>
      <c r="MJR76" s="954"/>
      <c r="MJS76" s="954"/>
      <c r="MJT76" s="954"/>
      <c r="MJU76" s="954"/>
      <c r="MJV76" s="954"/>
      <c r="MJW76" s="954"/>
      <c r="MJX76" s="954"/>
      <c r="MJY76" s="954"/>
      <c r="MJZ76" s="954"/>
      <c r="MKA76" s="954"/>
      <c r="MKB76" s="954"/>
      <c r="MKC76" s="954"/>
      <c r="MKD76" s="954"/>
      <c r="MKE76" s="954"/>
      <c r="MKF76" s="954"/>
      <c r="MKG76" s="954"/>
      <c r="MKH76" s="954"/>
      <c r="MKI76" s="954"/>
      <c r="MKJ76" s="954"/>
      <c r="MKK76" s="954"/>
      <c r="MKL76" s="954"/>
      <c r="MKM76" s="954"/>
      <c r="MKN76" s="954"/>
      <c r="MKO76" s="954"/>
      <c r="MKP76" s="954"/>
      <c r="MKQ76" s="954"/>
      <c r="MKR76" s="954"/>
      <c r="MKS76" s="954"/>
      <c r="MKT76" s="954"/>
      <c r="MKU76" s="954"/>
      <c r="MKV76" s="954"/>
      <c r="MKW76" s="954"/>
      <c r="MKX76" s="954"/>
      <c r="MKY76" s="954"/>
      <c r="MKZ76" s="954"/>
      <c r="MLA76" s="954"/>
      <c r="MLB76" s="954"/>
      <c r="MLC76" s="954"/>
      <c r="MLD76" s="954"/>
      <c r="MLE76" s="954"/>
      <c r="MLF76" s="954"/>
      <c r="MLG76" s="954"/>
      <c r="MLH76" s="954"/>
      <c r="MLI76" s="954"/>
      <c r="MLJ76" s="954"/>
      <c r="MLK76" s="954"/>
      <c r="MLL76" s="954"/>
      <c r="MLM76" s="954"/>
      <c r="MLN76" s="954"/>
      <c r="MLO76" s="954"/>
      <c r="MLP76" s="954"/>
      <c r="MLQ76" s="954"/>
      <c r="MLR76" s="954"/>
      <c r="MLS76" s="954"/>
      <c r="MLT76" s="954"/>
      <c r="MLU76" s="954"/>
      <c r="MLV76" s="954"/>
      <c r="MLW76" s="954"/>
      <c r="MLX76" s="954"/>
      <c r="MLY76" s="954"/>
      <c r="MLZ76" s="954"/>
      <c r="MMA76" s="954"/>
      <c r="MMB76" s="954"/>
      <c r="MMC76" s="954"/>
      <c r="MMD76" s="954"/>
      <c r="MME76" s="954"/>
      <c r="MMF76" s="954"/>
      <c r="MMG76" s="954"/>
      <c r="MMH76" s="954"/>
      <c r="MMI76" s="954"/>
      <c r="MMJ76" s="954"/>
      <c r="MMK76" s="954"/>
      <c r="MML76" s="954"/>
      <c r="MMM76" s="954"/>
      <c r="MMN76" s="954"/>
      <c r="MMO76" s="954"/>
      <c r="MMP76" s="954"/>
      <c r="MMQ76" s="954"/>
      <c r="MMR76" s="954"/>
      <c r="MMS76" s="954"/>
      <c r="MMT76" s="954"/>
      <c r="MMU76" s="954"/>
      <c r="MMV76" s="954"/>
      <c r="MMW76" s="954"/>
      <c r="MMX76" s="954"/>
      <c r="MMY76" s="954"/>
      <c r="MMZ76" s="954"/>
      <c r="MNA76" s="954"/>
      <c r="MNB76" s="954"/>
      <c r="MNC76" s="954"/>
      <c r="MND76" s="954"/>
      <c r="MNE76" s="954"/>
      <c r="MNF76" s="954"/>
      <c r="MNG76" s="954"/>
      <c r="MNH76" s="954"/>
      <c r="MNI76" s="954"/>
      <c r="MNJ76" s="954"/>
      <c r="MNK76" s="954"/>
      <c r="MNL76" s="954"/>
      <c r="MNM76" s="954"/>
      <c r="MNN76" s="954"/>
      <c r="MNO76" s="954"/>
      <c r="MNP76" s="954"/>
      <c r="MNQ76" s="954"/>
      <c r="MNR76" s="954"/>
      <c r="MNS76" s="954"/>
      <c r="MNT76" s="954"/>
      <c r="MNU76" s="954"/>
      <c r="MNV76" s="954"/>
      <c r="MNW76" s="954"/>
      <c r="MNX76" s="954"/>
      <c r="MNY76" s="954"/>
      <c r="MNZ76" s="954"/>
      <c r="MOA76" s="954"/>
      <c r="MOB76" s="954"/>
      <c r="MOC76" s="954"/>
      <c r="MOD76" s="954"/>
      <c r="MOE76" s="954"/>
      <c r="MOF76" s="954"/>
      <c r="MOG76" s="954"/>
      <c r="MOH76" s="954"/>
      <c r="MOI76" s="954"/>
      <c r="MOJ76" s="954"/>
      <c r="MOK76" s="954"/>
      <c r="MOL76" s="954"/>
      <c r="MOM76" s="954"/>
      <c r="MON76" s="954"/>
      <c r="MOO76" s="954"/>
      <c r="MOP76" s="954"/>
      <c r="MOQ76" s="954"/>
      <c r="MOR76" s="954"/>
      <c r="MOS76" s="954"/>
      <c r="MOT76" s="954"/>
      <c r="MOU76" s="954"/>
      <c r="MOV76" s="954"/>
      <c r="MOW76" s="954"/>
      <c r="MOX76" s="954"/>
      <c r="MOY76" s="954"/>
      <c r="MOZ76" s="954"/>
      <c r="MPA76" s="954"/>
      <c r="MPB76" s="954"/>
      <c r="MPC76" s="954"/>
      <c r="MPD76" s="954"/>
      <c r="MPE76" s="954"/>
      <c r="MPF76" s="954"/>
      <c r="MPG76" s="954"/>
      <c r="MPH76" s="954"/>
      <c r="MPI76" s="954"/>
      <c r="MPJ76" s="954"/>
      <c r="MPK76" s="954"/>
      <c r="MPL76" s="954"/>
      <c r="MPM76" s="954"/>
      <c r="MPN76" s="954"/>
      <c r="MPO76" s="954"/>
      <c r="MPP76" s="954"/>
      <c r="MPQ76" s="954"/>
      <c r="MPR76" s="954"/>
      <c r="MPS76" s="954"/>
      <c r="MPT76" s="954"/>
      <c r="MPU76" s="954"/>
      <c r="MPV76" s="954"/>
      <c r="MPW76" s="954"/>
      <c r="MPX76" s="954"/>
      <c r="MPY76" s="954"/>
      <c r="MPZ76" s="954"/>
      <c r="MQA76" s="954"/>
      <c r="MQB76" s="954"/>
      <c r="MQC76" s="954"/>
      <c r="MQD76" s="954"/>
      <c r="MQE76" s="954"/>
      <c r="MQF76" s="954"/>
      <c r="MQG76" s="954"/>
      <c r="MQH76" s="954"/>
      <c r="MQI76" s="954"/>
      <c r="MQJ76" s="954"/>
      <c r="MQK76" s="954"/>
      <c r="MQL76" s="954"/>
      <c r="MQM76" s="954"/>
      <c r="MQN76" s="954"/>
      <c r="MQO76" s="954"/>
      <c r="MQP76" s="954"/>
      <c r="MQQ76" s="954"/>
      <c r="MQR76" s="954"/>
      <c r="MQS76" s="954"/>
      <c r="MQT76" s="954"/>
      <c r="MQU76" s="954"/>
      <c r="MQV76" s="954"/>
      <c r="MQW76" s="954"/>
      <c r="MQX76" s="954"/>
      <c r="MQY76" s="954"/>
      <c r="MQZ76" s="954"/>
      <c r="MRA76" s="954"/>
      <c r="MRB76" s="954"/>
      <c r="MRC76" s="954"/>
      <c r="MRD76" s="954"/>
      <c r="MRE76" s="954"/>
      <c r="MRF76" s="954"/>
      <c r="MRG76" s="954"/>
      <c r="MRH76" s="954"/>
      <c r="MRI76" s="954"/>
      <c r="MRJ76" s="954"/>
      <c r="MRK76" s="954"/>
      <c r="MRL76" s="954"/>
      <c r="MRM76" s="954"/>
      <c r="MRN76" s="954"/>
      <c r="MRO76" s="954"/>
      <c r="MRP76" s="954"/>
      <c r="MRQ76" s="954"/>
      <c r="MRR76" s="954"/>
      <c r="MRS76" s="954"/>
      <c r="MRT76" s="954"/>
      <c r="MRU76" s="954"/>
      <c r="MRV76" s="954"/>
      <c r="MRW76" s="954"/>
      <c r="MRX76" s="954"/>
      <c r="MRY76" s="954"/>
      <c r="MRZ76" s="954"/>
      <c r="MSA76" s="954"/>
      <c r="MSB76" s="954"/>
      <c r="MSC76" s="954"/>
      <c r="MSD76" s="954"/>
      <c r="MSE76" s="954"/>
      <c r="MSF76" s="954"/>
      <c r="MSG76" s="954"/>
      <c r="MSH76" s="954"/>
      <c r="MSI76" s="954"/>
      <c r="MSJ76" s="954"/>
      <c r="MSK76" s="954"/>
      <c r="MSL76" s="954"/>
      <c r="MSM76" s="954"/>
      <c r="MSN76" s="954"/>
      <c r="MSO76" s="954"/>
      <c r="MSP76" s="954"/>
      <c r="MSQ76" s="954"/>
      <c r="MSR76" s="954"/>
      <c r="MSS76" s="954"/>
      <c r="MST76" s="954"/>
      <c r="MSU76" s="954"/>
      <c r="MSV76" s="954"/>
      <c r="MSW76" s="954"/>
      <c r="MSX76" s="954"/>
      <c r="MSY76" s="954"/>
      <c r="MSZ76" s="954"/>
      <c r="MTA76" s="954"/>
      <c r="MTB76" s="954"/>
      <c r="MTC76" s="954"/>
      <c r="MTD76" s="954"/>
      <c r="MTE76" s="954"/>
      <c r="MTF76" s="954"/>
      <c r="MTG76" s="954"/>
      <c r="MTH76" s="954"/>
      <c r="MTI76" s="954"/>
      <c r="MTJ76" s="954"/>
      <c r="MTK76" s="954"/>
      <c r="MTL76" s="954"/>
      <c r="MTM76" s="954"/>
      <c r="MTN76" s="954"/>
      <c r="MTO76" s="954"/>
      <c r="MTP76" s="954"/>
      <c r="MTQ76" s="954"/>
      <c r="MTR76" s="954"/>
      <c r="MTS76" s="954"/>
      <c r="MTT76" s="954"/>
      <c r="MTU76" s="954"/>
      <c r="MTV76" s="954"/>
      <c r="MTW76" s="954"/>
      <c r="MTX76" s="954"/>
      <c r="MTY76" s="954"/>
      <c r="MTZ76" s="954"/>
      <c r="MUA76" s="954"/>
      <c r="MUB76" s="954"/>
      <c r="MUC76" s="954"/>
      <c r="MUD76" s="954"/>
      <c r="MUE76" s="954"/>
      <c r="MUF76" s="954"/>
      <c r="MUG76" s="954"/>
      <c r="MUH76" s="954"/>
      <c r="MUI76" s="954"/>
      <c r="MUJ76" s="954"/>
      <c r="MUK76" s="954"/>
      <c r="MUL76" s="954"/>
      <c r="MUM76" s="954"/>
      <c r="MUN76" s="954"/>
      <c r="MUO76" s="954"/>
      <c r="MUP76" s="954"/>
      <c r="MUQ76" s="954"/>
      <c r="MUR76" s="954"/>
      <c r="MUS76" s="954"/>
      <c r="MUT76" s="954"/>
      <c r="MUU76" s="954"/>
      <c r="MUV76" s="954"/>
      <c r="MUW76" s="954"/>
      <c r="MUX76" s="954"/>
      <c r="MUY76" s="954"/>
      <c r="MUZ76" s="954"/>
      <c r="MVA76" s="954"/>
      <c r="MVB76" s="954"/>
      <c r="MVC76" s="954"/>
      <c r="MVD76" s="954"/>
      <c r="MVE76" s="954"/>
      <c r="MVF76" s="954"/>
      <c r="MVG76" s="954"/>
      <c r="MVH76" s="954"/>
      <c r="MVI76" s="954"/>
      <c r="MVJ76" s="954"/>
      <c r="MVK76" s="954"/>
      <c r="MVL76" s="954"/>
      <c r="MVM76" s="954"/>
      <c r="MVN76" s="954"/>
      <c r="MVO76" s="954"/>
      <c r="MVP76" s="954"/>
      <c r="MVQ76" s="954"/>
      <c r="MVR76" s="954"/>
      <c r="MVS76" s="954"/>
      <c r="MVT76" s="954"/>
      <c r="MVU76" s="954"/>
      <c r="MVV76" s="954"/>
      <c r="MVW76" s="954"/>
      <c r="MVX76" s="954"/>
      <c r="MVY76" s="954"/>
      <c r="MVZ76" s="954"/>
      <c r="MWA76" s="954"/>
      <c r="MWB76" s="954"/>
      <c r="MWC76" s="954"/>
      <c r="MWD76" s="954"/>
      <c r="MWE76" s="954"/>
      <c r="MWF76" s="954"/>
      <c r="MWG76" s="954"/>
      <c r="MWH76" s="954"/>
      <c r="MWI76" s="954"/>
      <c r="MWJ76" s="954"/>
      <c r="MWK76" s="954"/>
      <c r="MWL76" s="954"/>
      <c r="MWM76" s="954"/>
      <c r="MWN76" s="954"/>
      <c r="MWO76" s="954"/>
      <c r="MWP76" s="954"/>
      <c r="MWQ76" s="954"/>
      <c r="MWR76" s="954"/>
      <c r="MWS76" s="954"/>
      <c r="MWT76" s="954"/>
      <c r="MWU76" s="954"/>
      <c r="MWV76" s="954"/>
      <c r="MWW76" s="954"/>
      <c r="MWX76" s="954"/>
      <c r="MWY76" s="954"/>
      <c r="MWZ76" s="954"/>
      <c r="MXA76" s="954"/>
      <c r="MXB76" s="954"/>
      <c r="MXC76" s="954"/>
      <c r="MXD76" s="954"/>
      <c r="MXE76" s="954"/>
      <c r="MXF76" s="954"/>
      <c r="MXG76" s="954"/>
      <c r="MXH76" s="954"/>
      <c r="MXI76" s="954"/>
      <c r="MXJ76" s="954"/>
      <c r="MXK76" s="954"/>
      <c r="MXL76" s="954"/>
      <c r="MXM76" s="954"/>
      <c r="MXN76" s="954"/>
      <c r="MXO76" s="954"/>
      <c r="MXP76" s="954"/>
      <c r="MXQ76" s="954"/>
      <c r="MXR76" s="954"/>
      <c r="MXS76" s="954"/>
      <c r="MXT76" s="954"/>
      <c r="MXU76" s="954"/>
      <c r="MXV76" s="954"/>
      <c r="MXW76" s="954"/>
      <c r="MXX76" s="954"/>
      <c r="MXY76" s="954"/>
      <c r="MXZ76" s="954"/>
      <c r="MYA76" s="954"/>
      <c r="MYB76" s="954"/>
      <c r="MYC76" s="954"/>
      <c r="MYD76" s="954"/>
      <c r="MYE76" s="954"/>
      <c r="MYF76" s="954"/>
      <c r="MYG76" s="954"/>
      <c r="MYH76" s="954"/>
      <c r="MYI76" s="954"/>
      <c r="MYJ76" s="954"/>
      <c r="MYK76" s="954"/>
      <c r="MYL76" s="954"/>
      <c r="MYM76" s="954"/>
      <c r="MYN76" s="954"/>
      <c r="MYO76" s="954"/>
      <c r="MYP76" s="954"/>
      <c r="MYQ76" s="954"/>
      <c r="MYR76" s="954"/>
      <c r="MYS76" s="954"/>
      <c r="MYT76" s="954"/>
      <c r="MYU76" s="954"/>
      <c r="MYV76" s="954"/>
      <c r="MYW76" s="954"/>
      <c r="MYX76" s="954"/>
      <c r="MYY76" s="954"/>
      <c r="MYZ76" s="954"/>
      <c r="MZA76" s="954"/>
      <c r="MZB76" s="954"/>
      <c r="MZC76" s="954"/>
      <c r="MZD76" s="954"/>
      <c r="MZE76" s="954"/>
      <c r="MZF76" s="954"/>
      <c r="MZG76" s="954"/>
      <c r="MZH76" s="954"/>
      <c r="MZI76" s="954"/>
      <c r="MZJ76" s="954"/>
      <c r="MZK76" s="954"/>
      <c r="MZL76" s="954"/>
      <c r="MZM76" s="954"/>
      <c r="MZN76" s="954"/>
      <c r="MZO76" s="954"/>
      <c r="MZP76" s="954"/>
      <c r="MZQ76" s="954"/>
      <c r="MZR76" s="954"/>
      <c r="MZS76" s="954"/>
      <c r="MZT76" s="954"/>
      <c r="MZU76" s="954"/>
      <c r="MZV76" s="954"/>
      <c r="MZW76" s="954"/>
      <c r="MZX76" s="954"/>
      <c r="MZY76" s="954"/>
      <c r="MZZ76" s="954"/>
      <c r="NAA76" s="954"/>
      <c r="NAB76" s="954"/>
      <c r="NAC76" s="954"/>
      <c r="NAD76" s="954"/>
      <c r="NAE76" s="954"/>
      <c r="NAF76" s="954"/>
      <c r="NAG76" s="954"/>
      <c r="NAH76" s="954"/>
      <c r="NAI76" s="954"/>
      <c r="NAJ76" s="954"/>
      <c r="NAK76" s="954"/>
      <c r="NAL76" s="954"/>
      <c r="NAM76" s="954"/>
      <c r="NAN76" s="954"/>
      <c r="NAO76" s="954"/>
      <c r="NAP76" s="954"/>
      <c r="NAQ76" s="954"/>
      <c r="NAR76" s="954"/>
      <c r="NAS76" s="954"/>
      <c r="NAT76" s="954"/>
      <c r="NAU76" s="954"/>
      <c r="NAV76" s="954"/>
      <c r="NAW76" s="954"/>
      <c r="NAX76" s="954"/>
      <c r="NAY76" s="954"/>
      <c r="NAZ76" s="954"/>
      <c r="NBA76" s="954"/>
      <c r="NBB76" s="954"/>
      <c r="NBC76" s="954"/>
      <c r="NBD76" s="954"/>
      <c r="NBE76" s="954"/>
      <c r="NBF76" s="954"/>
      <c r="NBG76" s="954"/>
      <c r="NBH76" s="954"/>
      <c r="NBI76" s="954"/>
      <c r="NBJ76" s="954"/>
      <c r="NBK76" s="954"/>
      <c r="NBL76" s="954"/>
      <c r="NBM76" s="954"/>
      <c r="NBN76" s="954"/>
      <c r="NBO76" s="954"/>
      <c r="NBP76" s="954"/>
      <c r="NBQ76" s="954"/>
      <c r="NBR76" s="954"/>
      <c r="NBS76" s="954"/>
      <c r="NBT76" s="954"/>
      <c r="NBU76" s="954"/>
      <c r="NBV76" s="954"/>
      <c r="NBW76" s="954"/>
      <c r="NBX76" s="954"/>
      <c r="NBY76" s="954"/>
      <c r="NBZ76" s="954"/>
      <c r="NCA76" s="954"/>
      <c r="NCB76" s="954"/>
      <c r="NCC76" s="954"/>
      <c r="NCD76" s="954"/>
      <c r="NCE76" s="954"/>
      <c r="NCF76" s="954"/>
      <c r="NCG76" s="954"/>
      <c r="NCH76" s="954"/>
      <c r="NCI76" s="954"/>
      <c r="NCJ76" s="954"/>
      <c r="NCK76" s="954"/>
      <c r="NCL76" s="954"/>
      <c r="NCM76" s="954"/>
      <c r="NCN76" s="954"/>
      <c r="NCO76" s="954"/>
      <c r="NCP76" s="954"/>
      <c r="NCQ76" s="954"/>
      <c r="NCR76" s="954"/>
      <c r="NCS76" s="954"/>
      <c r="NCT76" s="954"/>
      <c r="NCU76" s="954"/>
      <c r="NCV76" s="954"/>
      <c r="NCW76" s="954"/>
      <c r="NCX76" s="954"/>
      <c r="NCY76" s="954"/>
      <c r="NCZ76" s="954"/>
      <c r="NDA76" s="954"/>
      <c r="NDB76" s="954"/>
      <c r="NDC76" s="954"/>
      <c r="NDD76" s="954"/>
      <c r="NDE76" s="954"/>
      <c r="NDF76" s="954"/>
      <c r="NDG76" s="954"/>
      <c r="NDH76" s="954"/>
      <c r="NDI76" s="954"/>
      <c r="NDJ76" s="954"/>
      <c r="NDK76" s="954"/>
      <c r="NDL76" s="954"/>
      <c r="NDM76" s="954"/>
      <c r="NDN76" s="954"/>
      <c r="NDO76" s="954"/>
      <c r="NDP76" s="954"/>
      <c r="NDQ76" s="954"/>
      <c r="NDR76" s="954"/>
      <c r="NDS76" s="954"/>
      <c r="NDT76" s="954"/>
      <c r="NDU76" s="954"/>
      <c r="NDV76" s="954"/>
      <c r="NDW76" s="954"/>
      <c r="NDX76" s="954"/>
      <c r="NDY76" s="954"/>
      <c r="NDZ76" s="954"/>
      <c r="NEA76" s="954"/>
      <c r="NEB76" s="954"/>
      <c r="NEC76" s="954"/>
      <c r="NED76" s="954"/>
      <c r="NEE76" s="954"/>
      <c r="NEF76" s="954"/>
      <c r="NEG76" s="954"/>
      <c r="NEH76" s="954"/>
      <c r="NEI76" s="954"/>
      <c r="NEJ76" s="954"/>
      <c r="NEK76" s="954"/>
      <c r="NEL76" s="954"/>
      <c r="NEM76" s="954"/>
      <c r="NEN76" s="954"/>
      <c r="NEO76" s="954"/>
      <c r="NEP76" s="954"/>
      <c r="NEQ76" s="954"/>
      <c r="NER76" s="954"/>
      <c r="NES76" s="954"/>
      <c r="NET76" s="954"/>
      <c r="NEU76" s="954"/>
      <c r="NEV76" s="954"/>
      <c r="NEW76" s="954"/>
      <c r="NEX76" s="954"/>
      <c r="NEY76" s="954"/>
      <c r="NEZ76" s="954"/>
      <c r="NFA76" s="954"/>
      <c r="NFB76" s="954"/>
      <c r="NFC76" s="954"/>
      <c r="NFD76" s="954"/>
      <c r="NFE76" s="954"/>
      <c r="NFF76" s="954"/>
      <c r="NFG76" s="954"/>
      <c r="NFH76" s="954"/>
      <c r="NFI76" s="954"/>
      <c r="NFJ76" s="954"/>
      <c r="NFK76" s="954"/>
      <c r="NFL76" s="954"/>
      <c r="NFM76" s="954"/>
      <c r="NFN76" s="954"/>
      <c r="NFO76" s="954"/>
      <c r="NFP76" s="954"/>
      <c r="NFQ76" s="954"/>
      <c r="NFR76" s="954"/>
      <c r="NFS76" s="954"/>
      <c r="NFT76" s="954"/>
      <c r="NFU76" s="954"/>
      <c r="NFV76" s="954"/>
      <c r="NFW76" s="954"/>
      <c r="NFX76" s="954"/>
      <c r="NFY76" s="954"/>
      <c r="NFZ76" s="954"/>
      <c r="NGA76" s="954"/>
      <c r="NGB76" s="954"/>
      <c r="NGC76" s="954"/>
      <c r="NGD76" s="954"/>
      <c r="NGE76" s="954"/>
      <c r="NGF76" s="954"/>
      <c r="NGG76" s="954"/>
      <c r="NGH76" s="954"/>
      <c r="NGI76" s="954"/>
      <c r="NGJ76" s="954"/>
      <c r="NGK76" s="954"/>
      <c r="NGL76" s="954"/>
      <c r="NGM76" s="954"/>
      <c r="NGN76" s="954"/>
      <c r="NGO76" s="954"/>
      <c r="NGP76" s="954"/>
      <c r="NGQ76" s="954"/>
      <c r="NGR76" s="954"/>
      <c r="NGS76" s="954"/>
      <c r="NGT76" s="954"/>
      <c r="NGU76" s="954"/>
      <c r="NGV76" s="954"/>
      <c r="NGW76" s="954"/>
      <c r="NGX76" s="954"/>
      <c r="NGY76" s="954"/>
      <c r="NGZ76" s="954"/>
      <c r="NHA76" s="954"/>
      <c r="NHB76" s="954"/>
      <c r="NHC76" s="954"/>
      <c r="NHD76" s="954"/>
      <c r="NHE76" s="954"/>
      <c r="NHF76" s="954"/>
      <c r="NHG76" s="954"/>
      <c r="NHH76" s="954"/>
      <c r="NHI76" s="954"/>
      <c r="NHJ76" s="954"/>
      <c r="NHK76" s="954"/>
      <c r="NHL76" s="954"/>
      <c r="NHM76" s="954"/>
      <c r="NHN76" s="954"/>
      <c r="NHO76" s="954"/>
      <c r="NHP76" s="954"/>
      <c r="NHQ76" s="954"/>
      <c r="NHR76" s="954"/>
      <c r="NHS76" s="954"/>
      <c r="NHT76" s="954"/>
      <c r="NHU76" s="954"/>
      <c r="NHV76" s="954"/>
      <c r="NHW76" s="954"/>
      <c r="NHX76" s="954"/>
      <c r="NHY76" s="954"/>
      <c r="NHZ76" s="954"/>
      <c r="NIA76" s="954"/>
      <c r="NIB76" s="954"/>
      <c r="NIC76" s="954"/>
      <c r="NID76" s="954"/>
      <c r="NIE76" s="954"/>
      <c r="NIF76" s="954"/>
      <c r="NIG76" s="954"/>
      <c r="NIH76" s="954"/>
      <c r="NII76" s="954"/>
      <c r="NIJ76" s="954"/>
      <c r="NIK76" s="954"/>
      <c r="NIL76" s="954"/>
      <c r="NIM76" s="954"/>
      <c r="NIN76" s="954"/>
      <c r="NIO76" s="954"/>
      <c r="NIP76" s="954"/>
      <c r="NIQ76" s="954"/>
      <c r="NIR76" s="954"/>
      <c r="NIS76" s="954"/>
      <c r="NIT76" s="954"/>
      <c r="NIU76" s="954"/>
      <c r="NIV76" s="954"/>
      <c r="NIW76" s="954"/>
      <c r="NIX76" s="954"/>
      <c r="NIY76" s="954"/>
      <c r="NIZ76" s="954"/>
      <c r="NJA76" s="954"/>
      <c r="NJB76" s="954"/>
      <c r="NJC76" s="954"/>
      <c r="NJD76" s="954"/>
      <c r="NJE76" s="954"/>
      <c r="NJF76" s="954"/>
      <c r="NJG76" s="954"/>
      <c r="NJH76" s="954"/>
      <c r="NJI76" s="954"/>
      <c r="NJJ76" s="954"/>
      <c r="NJK76" s="954"/>
      <c r="NJL76" s="954"/>
      <c r="NJM76" s="954"/>
      <c r="NJN76" s="954"/>
      <c r="NJO76" s="954"/>
      <c r="NJP76" s="954"/>
      <c r="NJQ76" s="954"/>
      <c r="NJR76" s="954"/>
      <c r="NJS76" s="954"/>
      <c r="NJT76" s="954"/>
      <c r="NJU76" s="954"/>
      <c r="NJV76" s="954"/>
      <c r="NJW76" s="954"/>
      <c r="NJX76" s="954"/>
      <c r="NJY76" s="954"/>
      <c r="NJZ76" s="954"/>
      <c r="NKA76" s="954"/>
      <c r="NKB76" s="954"/>
      <c r="NKC76" s="954"/>
      <c r="NKD76" s="954"/>
      <c r="NKE76" s="954"/>
      <c r="NKF76" s="954"/>
      <c r="NKG76" s="954"/>
      <c r="NKH76" s="954"/>
      <c r="NKI76" s="954"/>
      <c r="NKJ76" s="954"/>
      <c r="NKK76" s="954"/>
      <c r="NKL76" s="954"/>
      <c r="NKM76" s="954"/>
      <c r="NKN76" s="954"/>
      <c r="NKO76" s="954"/>
      <c r="NKP76" s="954"/>
      <c r="NKQ76" s="954"/>
      <c r="NKR76" s="954"/>
      <c r="NKS76" s="954"/>
      <c r="NKT76" s="954"/>
      <c r="NKU76" s="954"/>
      <c r="NKV76" s="954"/>
      <c r="NKW76" s="954"/>
      <c r="NKX76" s="954"/>
      <c r="NKY76" s="954"/>
      <c r="NKZ76" s="954"/>
      <c r="NLA76" s="954"/>
      <c r="NLB76" s="954"/>
      <c r="NLC76" s="954"/>
      <c r="NLD76" s="954"/>
      <c r="NLE76" s="954"/>
      <c r="NLF76" s="954"/>
      <c r="NLG76" s="954"/>
      <c r="NLH76" s="954"/>
      <c r="NLI76" s="954"/>
      <c r="NLJ76" s="954"/>
      <c r="NLK76" s="954"/>
      <c r="NLL76" s="954"/>
      <c r="NLM76" s="954"/>
      <c r="NLN76" s="954"/>
      <c r="NLO76" s="954"/>
      <c r="NLP76" s="954"/>
      <c r="NLQ76" s="954"/>
      <c r="NLR76" s="954"/>
      <c r="NLS76" s="954"/>
      <c r="NLT76" s="954"/>
      <c r="NLU76" s="954"/>
      <c r="NLV76" s="954"/>
      <c r="NLW76" s="954"/>
      <c r="NLX76" s="954"/>
      <c r="NLY76" s="954"/>
      <c r="NLZ76" s="954"/>
      <c r="NMA76" s="954"/>
      <c r="NMB76" s="954"/>
      <c r="NMC76" s="954"/>
      <c r="NMD76" s="954"/>
      <c r="NME76" s="954"/>
      <c r="NMF76" s="954"/>
      <c r="NMG76" s="954"/>
      <c r="NMH76" s="954"/>
      <c r="NMI76" s="954"/>
      <c r="NMJ76" s="954"/>
      <c r="NMK76" s="954"/>
      <c r="NML76" s="954"/>
      <c r="NMM76" s="954"/>
      <c r="NMN76" s="954"/>
      <c r="NMO76" s="954"/>
      <c r="NMP76" s="954"/>
      <c r="NMQ76" s="954"/>
      <c r="NMR76" s="954"/>
      <c r="NMS76" s="954"/>
      <c r="NMT76" s="954"/>
      <c r="NMU76" s="954"/>
      <c r="NMV76" s="954"/>
      <c r="NMW76" s="954"/>
      <c r="NMX76" s="954"/>
      <c r="NMY76" s="954"/>
      <c r="NMZ76" s="954"/>
      <c r="NNA76" s="954"/>
      <c r="NNB76" s="954"/>
      <c r="NNC76" s="954"/>
      <c r="NND76" s="954"/>
      <c r="NNE76" s="954"/>
      <c r="NNF76" s="954"/>
      <c r="NNG76" s="954"/>
      <c r="NNH76" s="954"/>
      <c r="NNI76" s="954"/>
      <c r="NNJ76" s="954"/>
      <c r="NNK76" s="954"/>
      <c r="NNL76" s="954"/>
      <c r="NNM76" s="954"/>
      <c r="NNN76" s="954"/>
      <c r="NNO76" s="954"/>
      <c r="NNP76" s="954"/>
      <c r="NNQ76" s="954"/>
      <c r="NNR76" s="954"/>
      <c r="NNS76" s="954"/>
      <c r="NNT76" s="954"/>
      <c r="NNU76" s="954"/>
      <c r="NNV76" s="954"/>
      <c r="NNW76" s="954"/>
      <c r="NNX76" s="954"/>
      <c r="NNY76" s="954"/>
      <c r="NNZ76" s="954"/>
      <c r="NOA76" s="954"/>
      <c r="NOB76" s="954"/>
      <c r="NOC76" s="954"/>
      <c r="NOD76" s="954"/>
      <c r="NOE76" s="954"/>
      <c r="NOF76" s="954"/>
      <c r="NOG76" s="954"/>
      <c r="NOH76" s="954"/>
      <c r="NOI76" s="954"/>
      <c r="NOJ76" s="954"/>
      <c r="NOK76" s="954"/>
      <c r="NOL76" s="954"/>
      <c r="NOM76" s="954"/>
      <c r="NON76" s="954"/>
      <c r="NOO76" s="954"/>
      <c r="NOP76" s="954"/>
      <c r="NOQ76" s="954"/>
      <c r="NOR76" s="954"/>
      <c r="NOS76" s="954"/>
      <c r="NOT76" s="954"/>
      <c r="NOU76" s="954"/>
      <c r="NOV76" s="954"/>
      <c r="NOW76" s="954"/>
      <c r="NOX76" s="954"/>
      <c r="NOY76" s="954"/>
      <c r="NOZ76" s="954"/>
      <c r="NPA76" s="954"/>
      <c r="NPB76" s="954"/>
      <c r="NPC76" s="954"/>
      <c r="NPD76" s="954"/>
      <c r="NPE76" s="954"/>
      <c r="NPF76" s="954"/>
      <c r="NPG76" s="954"/>
      <c r="NPH76" s="954"/>
      <c r="NPI76" s="954"/>
      <c r="NPJ76" s="954"/>
      <c r="NPK76" s="954"/>
      <c r="NPL76" s="954"/>
      <c r="NPM76" s="954"/>
      <c r="NPN76" s="954"/>
      <c r="NPO76" s="954"/>
      <c r="NPP76" s="954"/>
      <c r="NPQ76" s="954"/>
      <c r="NPR76" s="954"/>
      <c r="NPS76" s="954"/>
      <c r="NPT76" s="954"/>
      <c r="NPU76" s="954"/>
      <c r="NPV76" s="954"/>
      <c r="NPW76" s="954"/>
      <c r="NPX76" s="954"/>
      <c r="NPY76" s="954"/>
      <c r="NPZ76" s="954"/>
      <c r="NQA76" s="954"/>
      <c r="NQB76" s="954"/>
      <c r="NQC76" s="954"/>
      <c r="NQD76" s="954"/>
      <c r="NQE76" s="954"/>
      <c r="NQF76" s="954"/>
      <c r="NQG76" s="954"/>
      <c r="NQH76" s="954"/>
      <c r="NQI76" s="954"/>
      <c r="NQJ76" s="954"/>
      <c r="NQK76" s="954"/>
      <c r="NQL76" s="954"/>
      <c r="NQM76" s="954"/>
      <c r="NQN76" s="954"/>
      <c r="NQO76" s="954"/>
      <c r="NQP76" s="954"/>
      <c r="NQQ76" s="954"/>
      <c r="NQR76" s="954"/>
      <c r="NQS76" s="954"/>
      <c r="NQT76" s="954"/>
      <c r="NQU76" s="954"/>
      <c r="NQV76" s="954"/>
      <c r="NQW76" s="954"/>
      <c r="NQX76" s="954"/>
      <c r="NQY76" s="954"/>
      <c r="NQZ76" s="954"/>
      <c r="NRA76" s="954"/>
      <c r="NRB76" s="954"/>
      <c r="NRC76" s="954"/>
      <c r="NRD76" s="954"/>
      <c r="NRE76" s="954"/>
      <c r="NRF76" s="954"/>
      <c r="NRG76" s="954"/>
      <c r="NRH76" s="954"/>
      <c r="NRI76" s="954"/>
      <c r="NRJ76" s="954"/>
      <c r="NRK76" s="954"/>
      <c r="NRL76" s="954"/>
      <c r="NRM76" s="954"/>
      <c r="NRN76" s="954"/>
      <c r="NRO76" s="954"/>
      <c r="NRP76" s="954"/>
      <c r="NRQ76" s="954"/>
      <c r="NRR76" s="954"/>
      <c r="NRS76" s="954"/>
      <c r="NRT76" s="954"/>
      <c r="NRU76" s="954"/>
      <c r="NRV76" s="954"/>
      <c r="NRW76" s="954"/>
      <c r="NRX76" s="954"/>
      <c r="NRY76" s="954"/>
      <c r="NRZ76" s="954"/>
      <c r="NSA76" s="954"/>
      <c r="NSB76" s="954"/>
      <c r="NSC76" s="954"/>
      <c r="NSD76" s="954"/>
      <c r="NSE76" s="954"/>
      <c r="NSF76" s="954"/>
      <c r="NSG76" s="954"/>
      <c r="NSH76" s="954"/>
      <c r="NSI76" s="954"/>
      <c r="NSJ76" s="954"/>
      <c r="NSK76" s="954"/>
      <c r="NSL76" s="954"/>
      <c r="NSM76" s="954"/>
      <c r="NSN76" s="954"/>
      <c r="NSO76" s="954"/>
      <c r="NSP76" s="954"/>
      <c r="NSQ76" s="954"/>
      <c r="NSR76" s="954"/>
      <c r="NSS76" s="954"/>
      <c r="NST76" s="954"/>
      <c r="NSU76" s="954"/>
      <c r="NSV76" s="954"/>
      <c r="NSW76" s="954"/>
      <c r="NSX76" s="954"/>
      <c r="NSY76" s="954"/>
      <c r="NSZ76" s="954"/>
      <c r="NTA76" s="954"/>
      <c r="NTB76" s="954"/>
      <c r="NTC76" s="954"/>
      <c r="NTD76" s="954"/>
      <c r="NTE76" s="954"/>
      <c r="NTF76" s="954"/>
      <c r="NTG76" s="954"/>
      <c r="NTH76" s="954"/>
      <c r="NTI76" s="954"/>
      <c r="NTJ76" s="954"/>
      <c r="NTK76" s="954"/>
      <c r="NTL76" s="954"/>
      <c r="NTM76" s="954"/>
      <c r="NTN76" s="954"/>
      <c r="NTO76" s="954"/>
      <c r="NTP76" s="954"/>
      <c r="NTQ76" s="954"/>
      <c r="NTR76" s="954"/>
      <c r="NTS76" s="954"/>
      <c r="NTT76" s="954"/>
      <c r="NTU76" s="954"/>
      <c r="NTV76" s="954"/>
      <c r="NTW76" s="954"/>
      <c r="NTX76" s="954"/>
      <c r="NTY76" s="954"/>
      <c r="NTZ76" s="954"/>
      <c r="NUA76" s="954"/>
      <c r="NUB76" s="954"/>
      <c r="NUC76" s="954"/>
      <c r="NUD76" s="954"/>
      <c r="NUE76" s="954"/>
      <c r="NUF76" s="954"/>
      <c r="NUG76" s="954"/>
      <c r="NUH76" s="954"/>
      <c r="NUI76" s="954"/>
      <c r="NUJ76" s="954"/>
      <c r="NUK76" s="954"/>
      <c r="NUL76" s="954"/>
      <c r="NUM76" s="954"/>
      <c r="NUN76" s="954"/>
      <c r="NUO76" s="954"/>
      <c r="NUP76" s="954"/>
      <c r="NUQ76" s="954"/>
      <c r="NUR76" s="954"/>
      <c r="NUS76" s="954"/>
      <c r="NUT76" s="954"/>
      <c r="NUU76" s="954"/>
      <c r="NUV76" s="954"/>
      <c r="NUW76" s="954"/>
      <c r="NUX76" s="954"/>
      <c r="NUY76" s="954"/>
      <c r="NUZ76" s="954"/>
      <c r="NVA76" s="954"/>
      <c r="NVB76" s="954"/>
      <c r="NVC76" s="954"/>
      <c r="NVD76" s="954"/>
      <c r="NVE76" s="954"/>
      <c r="NVF76" s="954"/>
      <c r="NVG76" s="954"/>
      <c r="NVH76" s="954"/>
      <c r="NVI76" s="954"/>
      <c r="NVJ76" s="954"/>
      <c r="NVK76" s="954"/>
      <c r="NVL76" s="954"/>
      <c r="NVM76" s="954"/>
      <c r="NVN76" s="954"/>
      <c r="NVO76" s="954"/>
      <c r="NVP76" s="954"/>
      <c r="NVQ76" s="954"/>
      <c r="NVR76" s="954"/>
      <c r="NVS76" s="954"/>
      <c r="NVT76" s="954"/>
      <c r="NVU76" s="954"/>
      <c r="NVV76" s="954"/>
      <c r="NVW76" s="954"/>
      <c r="NVX76" s="954"/>
      <c r="NVY76" s="954"/>
      <c r="NVZ76" s="954"/>
      <c r="NWA76" s="954"/>
      <c r="NWB76" s="954"/>
      <c r="NWC76" s="954"/>
      <c r="NWD76" s="954"/>
      <c r="NWE76" s="954"/>
      <c r="NWF76" s="954"/>
      <c r="NWG76" s="954"/>
      <c r="NWH76" s="954"/>
      <c r="NWI76" s="954"/>
      <c r="NWJ76" s="954"/>
      <c r="NWK76" s="954"/>
      <c r="NWL76" s="954"/>
      <c r="NWM76" s="954"/>
      <c r="NWN76" s="954"/>
      <c r="NWO76" s="954"/>
      <c r="NWP76" s="954"/>
      <c r="NWQ76" s="954"/>
      <c r="NWR76" s="954"/>
      <c r="NWS76" s="954"/>
      <c r="NWT76" s="954"/>
      <c r="NWU76" s="954"/>
      <c r="NWV76" s="954"/>
      <c r="NWW76" s="954"/>
      <c r="NWX76" s="954"/>
      <c r="NWY76" s="954"/>
      <c r="NWZ76" s="954"/>
      <c r="NXA76" s="954"/>
      <c r="NXB76" s="954"/>
      <c r="NXC76" s="954"/>
      <c r="NXD76" s="954"/>
      <c r="NXE76" s="954"/>
      <c r="NXF76" s="954"/>
      <c r="NXG76" s="954"/>
      <c r="NXH76" s="954"/>
      <c r="NXI76" s="954"/>
      <c r="NXJ76" s="954"/>
      <c r="NXK76" s="954"/>
      <c r="NXL76" s="954"/>
      <c r="NXM76" s="954"/>
      <c r="NXN76" s="954"/>
      <c r="NXO76" s="954"/>
      <c r="NXP76" s="954"/>
      <c r="NXQ76" s="954"/>
      <c r="NXR76" s="954"/>
      <c r="NXS76" s="954"/>
      <c r="NXT76" s="954"/>
      <c r="NXU76" s="954"/>
      <c r="NXV76" s="954"/>
      <c r="NXW76" s="954"/>
      <c r="NXX76" s="954"/>
      <c r="NXY76" s="954"/>
      <c r="NXZ76" s="954"/>
      <c r="NYA76" s="954"/>
      <c r="NYB76" s="954"/>
      <c r="NYC76" s="954"/>
      <c r="NYD76" s="954"/>
      <c r="NYE76" s="954"/>
      <c r="NYF76" s="954"/>
      <c r="NYG76" s="954"/>
      <c r="NYH76" s="954"/>
      <c r="NYI76" s="954"/>
      <c r="NYJ76" s="954"/>
      <c r="NYK76" s="954"/>
      <c r="NYL76" s="954"/>
      <c r="NYM76" s="954"/>
      <c r="NYN76" s="954"/>
      <c r="NYO76" s="954"/>
      <c r="NYP76" s="954"/>
      <c r="NYQ76" s="954"/>
      <c r="NYR76" s="954"/>
      <c r="NYS76" s="954"/>
      <c r="NYT76" s="954"/>
      <c r="NYU76" s="954"/>
      <c r="NYV76" s="954"/>
      <c r="NYW76" s="954"/>
      <c r="NYX76" s="954"/>
      <c r="NYY76" s="954"/>
      <c r="NYZ76" s="954"/>
      <c r="NZA76" s="954"/>
      <c r="NZB76" s="954"/>
      <c r="NZC76" s="954"/>
      <c r="NZD76" s="954"/>
      <c r="NZE76" s="954"/>
      <c r="NZF76" s="954"/>
      <c r="NZG76" s="954"/>
      <c r="NZH76" s="954"/>
      <c r="NZI76" s="954"/>
      <c r="NZJ76" s="954"/>
      <c r="NZK76" s="954"/>
      <c r="NZL76" s="954"/>
      <c r="NZM76" s="954"/>
      <c r="NZN76" s="954"/>
      <c r="NZO76" s="954"/>
      <c r="NZP76" s="954"/>
      <c r="NZQ76" s="954"/>
      <c r="NZR76" s="954"/>
      <c r="NZS76" s="954"/>
      <c r="NZT76" s="954"/>
      <c r="NZU76" s="954"/>
      <c r="NZV76" s="954"/>
      <c r="NZW76" s="954"/>
      <c r="NZX76" s="954"/>
      <c r="NZY76" s="954"/>
      <c r="NZZ76" s="954"/>
      <c r="OAA76" s="954"/>
      <c r="OAB76" s="954"/>
      <c r="OAC76" s="954"/>
      <c r="OAD76" s="954"/>
      <c r="OAE76" s="954"/>
      <c r="OAF76" s="954"/>
      <c r="OAG76" s="954"/>
      <c r="OAH76" s="954"/>
      <c r="OAI76" s="954"/>
      <c r="OAJ76" s="954"/>
      <c r="OAK76" s="954"/>
      <c r="OAL76" s="954"/>
      <c r="OAM76" s="954"/>
      <c r="OAN76" s="954"/>
      <c r="OAO76" s="954"/>
      <c r="OAP76" s="954"/>
      <c r="OAQ76" s="954"/>
      <c r="OAR76" s="954"/>
      <c r="OAS76" s="954"/>
      <c r="OAT76" s="954"/>
      <c r="OAU76" s="954"/>
      <c r="OAV76" s="954"/>
      <c r="OAW76" s="954"/>
      <c r="OAX76" s="954"/>
      <c r="OAY76" s="954"/>
      <c r="OAZ76" s="954"/>
      <c r="OBA76" s="954"/>
      <c r="OBB76" s="954"/>
      <c r="OBC76" s="954"/>
      <c r="OBD76" s="954"/>
      <c r="OBE76" s="954"/>
      <c r="OBF76" s="954"/>
      <c r="OBG76" s="954"/>
      <c r="OBH76" s="954"/>
      <c r="OBI76" s="954"/>
      <c r="OBJ76" s="954"/>
      <c r="OBK76" s="954"/>
      <c r="OBL76" s="954"/>
      <c r="OBM76" s="954"/>
      <c r="OBN76" s="954"/>
      <c r="OBO76" s="954"/>
      <c r="OBP76" s="954"/>
      <c r="OBQ76" s="954"/>
      <c r="OBR76" s="954"/>
      <c r="OBS76" s="954"/>
      <c r="OBT76" s="954"/>
      <c r="OBU76" s="954"/>
      <c r="OBV76" s="954"/>
      <c r="OBW76" s="954"/>
      <c r="OBX76" s="954"/>
      <c r="OBY76" s="954"/>
      <c r="OBZ76" s="954"/>
      <c r="OCA76" s="954"/>
      <c r="OCB76" s="954"/>
      <c r="OCC76" s="954"/>
      <c r="OCD76" s="954"/>
      <c r="OCE76" s="954"/>
      <c r="OCF76" s="954"/>
      <c r="OCG76" s="954"/>
      <c r="OCH76" s="954"/>
      <c r="OCI76" s="954"/>
      <c r="OCJ76" s="954"/>
      <c r="OCK76" s="954"/>
      <c r="OCL76" s="954"/>
      <c r="OCM76" s="954"/>
      <c r="OCN76" s="954"/>
      <c r="OCO76" s="954"/>
      <c r="OCP76" s="954"/>
      <c r="OCQ76" s="954"/>
      <c r="OCR76" s="954"/>
      <c r="OCS76" s="954"/>
      <c r="OCT76" s="954"/>
      <c r="OCU76" s="954"/>
      <c r="OCV76" s="954"/>
      <c r="OCW76" s="954"/>
      <c r="OCX76" s="954"/>
      <c r="OCY76" s="954"/>
      <c r="OCZ76" s="954"/>
      <c r="ODA76" s="954"/>
      <c r="ODB76" s="954"/>
      <c r="ODC76" s="954"/>
      <c r="ODD76" s="954"/>
      <c r="ODE76" s="954"/>
      <c r="ODF76" s="954"/>
      <c r="ODG76" s="954"/>
      <c r="ODH76" s="954"/>
      <c r="ODI76" s="954"/>
      <c r="ODJ76" s="954"/>
      <c r="ODK76" s="954"/>
      <c r="ODL76" s="954"/>
      <c r="ODM76" s="954"/>
      <c r="ODN76" s="954"/>
      <c r="ODO76" s="954"/>
      <c r="ODP76" s="954"/>
      <c r="ODQ76" s="954"/>
      <c r="ODR76" s="954"/>
      <c r="ODS76" s="954"/>
      <c r="ODT76" s="954"/>
      <c r="ODU76" s="954"/>
      <c r="ODV76" s="954"/>
      <c r="ODW76" s="954"/>
      <c r="ODX76" s="954"/>
      <c r="ODY76" s="954"/>
      <c r="ODZ76" s="954"/>
      <c r="OEA76" s="954"/>
      <c r="OEB76" s="954"/>
      <c r="OEC76" s="954"/>
      <c r="OED76" s="954"/>
      <c r="OEE76" s="954"/>
      <c r="OEF76" s="954"/>
      <c r="OEG76" s="954"/>
      <c r="OEH76" s="954"/>
      <c r="OEI76" s="954"/>
      <c r="OEJ76" s="954"/>
      <c r="OEK76" s="954"/>
      <c r="OEL76" s="954"/>
      <c r="OEM76" s="954"/>
      <c r="OEN76" s="954"/>
      <c r="OEO76" s="954"/>
      <c r="OEP76" s="954"/>
      <c r="OEQ76" s="954"/>
      <c r="OER76" s="954"/>
      <c r="OES76" s="954"/>
      <c r="OET76" s="954"/>
      <c r="OEU76" s="954"/>
      <c r="OEV76" s="954"/>
      <c r="OEW76" s="954"/>
      <c r="OEX76" s="954"/>
      <c r="OEY76" s="954"/>
      <c r="OEZ76" s="954"/>
      <c r="OFA76" s="954"/>
      <c r="OFB76" s="954"/>
      <c r="OFC76" s="954"/>
      <c r="OFD76" s="954"/>
      <c r="OFE76" s="954"/>
      <c r="OFF76" s="954"/>
      <c r="OFG76" s="954"/>
      <c r="OFH76" s="954"/>
      <c r="OFI76" s="954"/>
      <c r="OFJ76" s="954"/>
      <c r="OFK76" s="954"/>
      <c r="OFL76" s="954"/>
      <c r="OFM76" s="954"/>
      <c r="OFN76" s="954"/>
      <c r="OFO76" s="954"/>
      <c r="OFP76" s="954"/>
      <c r="OFQ76" s="954"/>
      <c r="OFR76" s="954"/>
      <c r="OFS76" s="954"/>
      <c r="OFT76" s="954"/>
      <c r="OFU76" s="954"/>
      <c r="OFV76" s="954"/>
      <c r="OFW76" s="954"/>
      <c r="OFX76" s="954"/>
      <c r="OFY76" s="954"/>
      <c r="OFZ76" s="954"/>
      <c r="OGA76" s="954"/>
      <c r="OGB76" s="954"/>
      <c r="OGC76" s="954"/>
      <c r="OGD76" s="954"/>
      <c r="OGE76" s="954"/>
      <c r="OGF76" s="954"/>
      <c r="OGG76" s="954"/>
      <c r="OGH76" s="954"/>
      <c r="OGI76" s="954"/>
      <c r="OGJ76" s="954"/>
      <c r="OGK76" s="954"/>
      <c r="OGL76" s="954"/>
      <c r="OGM76" s="954"/>
      <c r="OGN76" s="954"/>
      <c r="OGO76" s="954"/>
      <c r="OGP76" s="954"/>
      <c r="OGQ76" s="954"/>
      <c r="OGR76" s="954"/>
      <c r="OGS76" s="954"/>
      <c r="OGT76" s="954"/>
      <c r="OGU76" s="954"/>
      <c r="OGV76" s="954"/>
      <c r="OGW76" s="954"/>
      <c r="OGX76" s="954"/>
      <c r="OGY76" s="954"/>
      <c r="OGZ76" s="954"/>
      <c r="OHA76" s="954"/>
      <c r="OHB76" s="954"/>
      <c r="OHC76" s="954"/>
      <c r="OHD76" s="954"/>
      <c r="OHE76" s="954"/>
      <c r="OHF76" s="954"/>
      <c r="OHG76" s="954"/>
      <c r="OHH76" s="954"/>
      <c r="OHI76" s="954"/>
      <c r="OHJ76" s="954"/>
      <c r="OHK76" s="954"/>
      <c r="OHL76" s="954"/>
      <c r="OHM76" s="954"/>
      <c r="OHN76" s="954"/>
      <c r="OHO76" s="954"/>
      <c r="OHP76" s="954"/>
      <c r="OHQ76" s="954"/>
      <c r="OHR76" s="954"/>
      <c r="OHS76" s="954"/>
      <c r="OHT76" s="954"/>
      <c r="OHU76" s="954"/>
      <c r="OHV76" s="954"/>
      <c r="OHW76" s="954"/>
      <c r="OHX76" s="954"/>
      <c r="OHY76" s="954"/>
      <c r="OHZ76" s="954"/>
      <c r="OIA76" s="954"/>
      <c r="OIB76" s="954"/>
      <c r="OIC76" s="954"/>
      <c r="OID76" s="954"/>
      <c r="OIE76" s="954"/>
      <c r="OIF76" s="954"/>
      <c r="OIG76" s="954"/>
      <c r="OIH76" s="954"/>
      <c r="OII76" s="954"/>
      <c r="OIJ76" s="954"/>
      <c r="OIK76" s="954"/>
      <c r="OIL76" s="954"/>
      <c r="OIM76" s="954"/>
      <c r="OIN76" s="954"/>
      <c r="OIO76" s="954"/>
      <c r="OIP76" s="954"/>
      <c r="OIQ76" s="954"/>
      <c r="OIR76" s="954"/>
      <c r="OIS76" s="954"/>
      <c r="OIT76" s="954"/>
      <c r="OIU76" s="954"/>
      <c r="OIV76" s="954"/>
      <c r="OIW76" s="954"/>
      <c r="OIX76" s="954"/>
      <c r="OIY76" s="954"/>
      <c r="OIZ76" s="954"/>
      <c r="OJA76" s="954"/>
      <c r="OJB76" s="954"/>
      <c r="OJC76" s="954"/>
      <c r="OJD76" s="954"/>
      <c r="OJE76" s="954"/>
      <c r="OJF76" s="954"/>
      <c r="OJG76" s="954"/>
      <c r="OJH76" s="954"/>
      <c r="OJI76" s="954"/>
      <c r="OJJ76" s="954"/>
      <c r="OJK76" s="954"/>
      <c r="OJL76" s="954"/>
      <c r="OJM76" s="954"/>
      <c r="OJN76" s="954"/>
      <c r="OJO76" s="954"/>
      <c r="OJP76" s="954"/>
      <c r="OJQ76" s="954"/>
      <c r="OJR76" s="954"/>
      <c r="OJS76" s="954"/>
      <c r="OJT76" s="954"/>
      <c r="OJU76" s="954"/>
      <c r="OJV76" s="954"/>
      <c r="OJW76" s="954"/>
      <c r="OJX76" s="954"/>
      <c r="OJY76" s="954"/>
      <c r="OJZ76" s="954"/>
      <c r="OKA76" s="954"/>
      <c r="OKB76" s="954"/>
      <c r="OKC76" s="954"/>
      <c r="OKD76" s="954"/>
      <c r="OKE76" s="954"/>
      <c r="OKF76" s="954"/>
      <c r="OKG76" s="954"/>
      <c r="OKH76" s="954"/>
      <c r="OKI76" s="954"/>
      <c r="OKJ76" s="954"/>
      <c r="OKK76" s="954"/>
      <c r="OKL76" s="954"/>
      <c r="OKM76" s="954"/>
      <c r="OKN76" s="954"/>
      <c r="OKO76" s="954"/>
      <c r="OKP76" s="954"/>
      <c r="OKQ76" s="954"/>
      <c r="OKR76" s="954"/>
      <c r="OKS76" s="954"/>
      <c r="OKT76" s="954"/>
      <c r="OKU76" s="954"/>
      <c r="OKV76" s="954"/>
      <c r="OKW76" s="954"/>
      <c r="OKX76" s="954"/>
      <c r="OKY76" s="954"/>
      <c r="OKZ76" s="954"/>
      <c r="OLA76" s="954"/>
      <c r="OLB76" s="954"/>
      <c r="OLC76" s="954"/>
      <c r="OLD76" s="954"/>
      <c r="OLE76" s="954"/>
      <c r="OLF76" s="954"/>
      <c r="OLG76" s="954"/>
      <c r="OLH76" s="954"/>
      <c r="OLI76" s="954"/>
      <c r="OLJ76" s="954"/>
      <c r="OLK76" s="954"/>
      <c r="OLL76" s="954"/>
      <c r="OLM76" s="954"/>
      <c r="OLN76" s="954"/>
      <c r="OLO76" s="954"/>
      <c r="OLP76" s="954"/>
      <c r="OLQ76" s="954"/>
      <c r="OLR76" s="954"/>
      <c r="OLS76" s="954"/>
      <c r="OLT76" s="954"/>
      <c r="OLU76" s="954"/>
      <c r="OLV76" s="954"/>
      <c r="OLW76" s="954"/>
      <c r="OLX76" s="954"/>
      <c r="OLY76" s="954"/>
      <c r="OLZ76" s="954"/>
      <c r="OMA76" s="954"/>
      <c r="OMB76" s="954"/>
      <c r="OMC76" s="954"/>
      <c r="OMD76" s="954"/>
      <c r="OME76" s="954"/>
      <c r="OMF76" s="954"/>
      <c r="OMG76" s="954"/>
      <c r="OMH76" s="954"/>
      <c r="OMI76" s="954"/>
      <c r="OMJ76" s="954"/>
      <c r="OMK76" s="954"/>
      <c r="OML76" s="954"/>
      <c r="OMM76" s="954"/>
      <c r="OMN76" s="954"/>
      <c r="OMO76" s="954"/>
      <c r="OMP76" s="954"/>
      <c r="OMQ76" s="954"/>
      <c r="OMR76" s="954"/>
      <c r="OMS76" s="954"/>
      <c r="OMT76" s="954"/>
      <c r="OMU76" s="954"/>
      <c r="OMV76" s="954"/>
      <c r="OMW76" s="954"/>
      <c r="OMX76" s="954"/>
      <c r="OMY76" s="954"/>
      <c r="OMZ76" s="954"/>
      <c r="ONA76" s="954"/>
      <c r="ONB76" s="954"/>
      <c r="ONC76" s="954"/>
      <c r="OND76" s="954"/>
      <c r="ONE76" s="954"/>
      <c r="ONF76" s="954"/>
      <c r="ONG76" s="954"/>
      <c r="ONH76" s="954"/>
      <c r="ONI76" s="954"/>
      <c r="ONJ76" s="954"/>
      <c r="ONK76" s="954"/>
      <c r="ONL76" s="954"/>
      <c r="ONM76" s="954"/>
      <c r="ONN76" s="954"/>
      <c r="ONO76" s="954"/>
      <c r="ONP76" s="954"/>
      <c r="ONQ76" s="954"/>
      <c r="ONR76" s="954"/>
      <c r="ONS76" s="954"/>
      <c r="ONT76" s="954"/>
      <c r="ONU76" s="954"/>
      <c r="ONV76" s="954"/>
      <c r="ONW76" s="954"/>
      <c r="ONX76" s="954"/>
      <c r="ONY76" s="954"/>
      <c r="ONZ76" s="954"/>
      <c r="OOA76" s="954"/>
      <c r="OOB76" s="954"/>
      <c r="OOC76" s="954"/>
      <c r="OOD76" s="954"/>
      <c r="OOE76" s="954"/>
      <c r="OOF76" s="954"/>
      <c r="OOG76" s="954"/>
      <c r="OOH76" s="954"/>
      <c r="OOI76" s="954"/>
      <c r="OOJ76" s="954"/>
      <c r="OOK76" s="954"/>
      <c r="OOL76" s="954"/>
      <c r="OOM76" s="954"/>
      <c r="OON76" s="954"/>
      <c r="OOO76" s="954"/>
      <c r="OOP76" s="954"/>
      <c r="OOQ76" s="954"/>
      <c r="OOR76" s="954"/>
      <c r="OOS76" s="954"/>
      <c r="OOT76" s="954"/>
      <c r="OOU76" s="954"/>
      <c r="OOV76" s="954"/>
      <c r="OOW76" s="954"/>
      <c r="OOX76" s="954"/>
      <c r="OOY76" s="954"/>
      <c r="OOZ76" s="954"/>
      <c r="OPA76" s="954"/>
      <c r="OPB76" s="954"/>
      <c r="OPC76" s="954"/>
      <c r="OPD76" s="954"/>
      <c r="OPE76" s="954"/>
      <c r="OPF76" s="954"/>
      <c r="OPG76" s="954"/>
      <c r="OPH76" s="954"/>
      <c r="OPI76" s="954"/>
      <c r="OPJ76" s="954"/>
      <c r="OPK76" s="954"/>
      <c r="OPL76" s="954"/>
      <c r="OPM76" s="954"/>
      <c r="OPN76" s="954"/>
      <c r="OPO76" s="954"/>
      <c r="OPP76" s="954"/>
      <c r="OPQ76" s="954"/>
      <c r="OPR76" s="954"/>
      <c r="OPS76" s="954"/>
      <c r="OPT76" s="954"/>
      <c r="OPU76" s="954"/>
      <c r="OPV76" s="954"/>
      <c r="OPW76" s="954"/>
      <c r="OPX76" s="954"/>
      <c r="OPY76" s="954"/>
      <c r="OPZ76" s="954"/>
      <c r="OQA76" s="954"/>
      <c r="OQB76" s="954"/>
      <c r="OQC76" s="954"/>
      <c r="OQD76" s="954"/>
      <c r="OQE76" s="954"/>
      <c r="OQF76" s="954"/>
      <c r="OQG76" s="954"/>
      <c r="OQH76" s="954"/>
      <c r="OQI76" s="954"/>
      <c r="OQJ76" s="954"/>
      <c r="OQK76" s="954"/>
      <c r="OQL76" s="954"/>
      <c r="OQM76" s="954"/>
      <c r="OQN76" s="954"/>
      <c r="OQO76" s="954"/>
      <c r="OQP76" s="954"/>
      <c r="OQQ76" s="954"/>
      <c r="OQR76" s="954"/>
      <c r="OQS76" s="954"/>
      <c r="OQT76" s="954"/>
      <c r="OQU76" s="954"/>
      <c r="OQV76" s="954"/>
      <c r="OQW76" s="954"/>
      <c r="OQX76" s="954"/>
      <c r="OQY76" s="954"/>
      <c r="OQZ76" s="954"/>
      <c r="ORA76" s="954"/>
      <c r="ORB76" s="954"/>
      <c r="ORC76" s="954"/>
      <c r="ORD76" s="954"/>
      <c r="ORE76" s="954"/>
      <c r="ORF76" s="954"/>
      <c r="ORG76" s="954"/>
      <c r="ORH76" s="954"/>
      <c r="ORI76" s="954"/>
      <c r="ORJ76" s="954"/>
      <c r="ORK76" s="954"/>
      <c r="ORL76" s="954"/>
      <c r="ORM76" s="954"/>
      <c r="ORN76" s="954"/>
      <c r="ORO76" s="954"/>
      <c r="ORP76" s="954"/>
      <c r="ORQ76" s="954"/>
      <c r="ORR76" s="954"/>
      <c r="ORS76" s="954"/>
      <c r="ORT76" s="954"/>
      <c r="ORU76" s="954"/>
      <c r="ORV76" s="954"/>
      <c r="ORW76" s="954"/>
      <c r="ORX76" s="954"/>
      <c r="ORY76" s="954"/>
      <c r="ORZ76" s="954"/>
      <c r="OSA76" s="954"/>
      <c r="OSB76" s="954"/>
      <c r="OSC76" s="954"/>
      <c r="OSD76" s="954"/>
      <c r="OSE76" s="954"/>
      <c r="OSF76" s="954"/>
      <c r="OSG76" s="954"/>
      <c r="OSH76" s="954"/>
      <c r="OSI76" s="954"/>
      <c r="OSJ76" s="954"/>
      <c r="OSK76" s="954"/>
      <c r="OSL76" s="954"/>
      <c r="OSM76" s="954"/>
      <c r="OSN76" s="954"/>
      <c r="OSO76" s="954"/>
      <c r="OSP76" s="954"/>
      <c r="OSQ76" s="954"/>
      <c r="OSR76" s="954"/>
      <c r="OSS76" s="954"/>
      <c r="OST76" s="954"/>
      <c r="OSU76" s="954"/>
      <c r="OSV76" s="954"/>
      <c r="OSW76" s="954"/>
      <c r="OSX76" s="954"/>
      <c r="OSY76" s="954"/>
      <c r="OSZ76" s="954"/>
      <c r="OTA76" s="954"/>
      <c r="OTB76" s="954"/>
      <c r="OTC76" s="954"/>
      <c r="OTD76" s="954"/>
      <c r="OTE76" s="954"/>
      <c r="OTF76" s="954"/>
      <c r="OTG76" s="954"/>
      <c r="OTH76" s="954"/>
      <c r="OTI76" s="954"/>
      <c r="OTJ76" s="954"/>
      <c r="OTK76" s="954"/>
      <c r="OTL76" s="954"/>
      <c r="OTM76" s="954"/>
      <c r="OTN76" s="954"/>
      <c r="OTO76" s="954"/>
      <c r="OTP76" s="954"/>
      <c r="OTQ76" s="954"/>
      <c r="OTR76" s="954"/>
      <c r="OTS76" s="954"/>
      <c r="OTT76" s="954"/>
      <c r="OTU76" s="954"/>
      <c r="OTV76" s="954"/>
      <c r="OTW76" s="954"/>
      <c r="OTX76" s="954"/>
      <c r="OTY76" s="954"/>
      <c r="OTZ76" s="954"/>
      <c r="OUA76" s="954"/>
      <c r="OUB76" s="954"/>
      <c r="OUC76" s="954"/>
      <c r="OUD76" s="954"/>
      <c r="OUE76" s="954"/>
      <c r="OUF76" s="954"/>
      <c r="OUG76" s="954"/>
      <c r="OUH76" s="954"/>
      <c r="OUI76" s="954"/>
      <c r="OUJ76" s="954"/>
      <c r="OUK76" s="954"/>
      <c r="OUL76" s="954"/>
      <c r="OUM76" s="954"/>
      <c r="OUN76" s="954"/>
      <c r="OUO76" s="954"/>
      <c r="OUP76" s="954"/>
      <c r="OUQ76" s="954"/>
      <c r="OUR76" s="954"/>
      <c r="OUS76" s="954"/>
      <c r="OUT76" s="954"/>
      <c r="OUU76" s="954"/>
      <c r="OUV76" s="954"/>
      <c r="OUW76" s="954"/>
      <c r="OUX76" s="954"/>
      <c r="OUY76" s="954"/>
      <c r="OUZ76" s="954"/>
      <c r="OVA76" s="954"/>
      <c r="OVB76" s="954"/>
      <c r="OVC76" s="954"/>
      <c r="OVD76" s="954"/>
      <c r="OVE76" s="954"/>
      <c r="OVF76" s="954"/>
      <c r="OVG76" s="954"/>
      <c r="OVH76" s="954"/>
      <c r="OVI76" s="954"/>
      <c r="OVJ76" s="954"/>
      <c r="OVK76" s="954"/>
      <c r="OVL76" s="954"/>
      <c r="OVM76" s="954"/>
      <c r="OVN76" s="954"/>
      <c r="OVO76" s="954"/>
      <c r="OVP76" s="954"/>
      <c r="OVQ76" s="954"/>
      <c r="OVR76" s="954"/>
      <c r="OVS76" s="954"/>
      <c r="OVT76" s="954"/>
      <c r="OVU76" s="954"/>
      <c r="OVV76" s="954"/>
      <c r="OVW76" s="954"/>
      <c r="OVX76" s="954"/>
      <c r="OVY76" s="954"/>
      <c r="OVZ76" s="954"/>
      <c r="OWA76" s="954"/>
      <c r="OWB76" s="954"/>
      <c r="OWC76" s="954"/>
      <c r="OWD76" s="954"/>
      <c r="OWE76" s="954"/>
      <c r="OWF76" s="954"/>
      <c r="OWG76" s="954"/>
      <c r="OWH76" s="954"/>
      <c r="OWI76" s="954"/>
      <c r="OWJ76" s="954"/>
      <c r="OWK76" s="954"/>
      <c r="OWL76" s="954"/>
      <c r="OWM76" s="954"/>
      <c r="OWN76" s="954"/>
      <c r="OWO76" s="954"/>
      <c r="OWP76" s="954"/>
      <c r="OWQ76" s="954"/>
      <c r="OWR76" s="954"/>
      <c r="OWS76" s="954"/>
      <c r="OWT76" s="954"/>
      <c r="OWU76" s="954"/>
      <c r="OWV76" s="954"/>
      <c r="OWW76" s="954"/>
      <c r="OWX76" s="954"/>
      <c r="OWY76" s="954"/>
      <c r="OWZ76" s="954"/>
      <c r="OXA76" s="954"/>
      <c r="OXB76" s="954"/>
      <c r="OXC76" s="954"/>
      <c r="OXD76" s="954"/>
      <c r="OXE76" s="954"/>
      <c r="OXF76" s="954"/>
      <c r="OXG76" s="954"/>
      <c r="OXH76" s="954"/>
      <c r="OXI76" s="954"/>
      <c r="OXJ76" s="954"/>
      <c r="OXK76" s="954"/>
      <c r="OXL76" s="954"/>
      <c r="OXM76" s="954"/>
      <c r="OXN76" s="954"/>
      <c r="OXO76" s="954"/>
      <c r="OXP76" s="954"/>
      <c r="OXQ76" s="954"/>
      <c r="OXR76" s="954"/>
      <c r="OXS76" s="954"/>
      <c r="OXT76" s="954"/>
      <c r="OXU76" s="954"/>
      <c r="OXV76" s="954"/>
      <c r="OXW76" s="954"/>
      <c r="OXX76" s="954"/>
      <c r="OXY76" s="954"/>
      <c r="OXZ76" s="954"/>
      <c r="OYA76" s="954"/>
      <c r="OYB76" s="954"/>
      <c r="OYC76" s="954"/>
      <c r="OYD76" s="954"/>
      <c r="OYE76" s="954"/>
      <c r="OYF76" s="954"/>
      <c r="OYG76" s="954"/>
      <c r="OYH76" s="954"/>
      <c r="OYI76" s="954"/>
      <c r="OYJ76" s="954"/>
      <c r="OYK76" s="954"/>
      <c r="OYL76" s="954"/>
      <c r="OYM76" s="954"/>
      <c r="OYN76" s="954"/>
      <c r="OYO76" s="954"/>
      <c r="OYP76" s="954"/>
      <c r="OYQ76" s="954"/>
      <c r="OYR76" s="954"/>
      <c r="OYS76" s="954"/>
      <c r="OYT76" s="954"/>
      <c r="OYU76" s="954"/>
      <c r="OYV76" s="954"/>
      <c r="OYW76" s="954"/>
      <c r="OYX76" s="954"/>
      <c r="OYY76" s="954"/>
      <c r="OYZ76" s="954"/>
      <c r="OZA76" s="954"/>
      <c r="OZB76" s="954"/>
      <c r="OZC76" s="954"/>
      <c r="OZD76" s="954"/>
      <c r="OZE76" s="954"/>
      <c r="OZF76" s="954"/>
      <c r="OZG76" s="954"/>
      <c r="OZH76" s="954"/>
      <c r="OZI76" s="954"/>
      <c r="OZJ76" s="954"/>
      <c r="OZK76" s="954"/>
      <c r="OZL76" s="954"/>
      <c r="OZM76" s="954"/>
      <c r="OZN76" s="954"/>
      <c r="OZO76" s="954"/>
      <c r="OZP76" s="954"/>
      <c r="OZQ76" s="954"/>
      <c r="OZR76" s="954"/>
      <c r="OZS76" s="954"/>
      <c r="OZT76" s="954"/>
      <c r="OZU76" s="954"/>
      <c r="OZV76" s="954"/>
      <c r="OZW76" s="954"/>
      <c r="OZX76" s="954"/>
      <c r="OZY76" s="954"/>
      <c r="OZZ76" s="954"/>
      <c r="PAA76" s="954"/>
      <c r="PAB76" s="954"/>
      <c r="PAC76" s="954"/>
      <c r="PAD76" s="954"/>
      <c r="PAE76" s="954"/>
      <c r="PAF76" s="954"/>
      <c r="PAG76" s="954"/>
      <c r="PAH76" s="954"/>
      <c r="PAI76" s="954"/>
      <c r="PAJ76" s="954"/>
      <c r="PAK76" s="954"/>
      <c r="PAL76" s="954"/>
      <c r="PAM76" s="954"/>
      <c r="PAN76" s="954"/>
      <c r="PAO76" s="954"/>
      <c r="PAP76" s="954"/>
      <c r="PAQ76" s="954"/>
      <c r="PAR76" s="954"/>
      <c r="PAS76" s="954"/>
      <c r="PAT76" s="954"/>
      <c r="PAU76" s="954"/>
      <c r="PAV76" s="954"/>
      <c r="PAW76" s="954"/>
      <c r="PAX76" s="954"/>
      <c r="PAY76" s="954"/>
      <c r="PAZ76" s="954"/>
      <c r="PBA76" s="954"/>
      <c r="PBB76" s="954"/>
      <c r="PBC76" s="954"/>
      <c r="PBD76" s="954"/>
      <c r="PBE76" s="954"/>
      <c r="PBF76" s="954"/>
      <c r="PBG76" s="954"/>
      <c r="PBH76" s="954"/>
      <c r="PBI76" s="954"/>
      <c r="PBJ76" s="954"/>
      <c r="PBK76" s="954"/>
      <c r="PBL76" s="954"/>
      <c r="PBM76" s="954"/>
      <c r="PBN76" s="954"/>
      <c r="PBO76" s="954"/>
      <c r="PBP76" s="954"/>
      <c r="PBQ76" s="954"/>
      <c r="PBR76" s="954"/>
      <c r="PBS76" s="954"/>
      <c r="PBT76" s="954"/>
      <c r="PBU76" s="954"/>
      <c r="PBV76" s="954"/>
      <c r="PBW76" s="954"/>
      <c r="PBX76" s="954"/>
      <c r="PBY76" s="954"/>
      <c r="PBZ76" s="954"/>
      <c r="PCA76" s="954"/>
      <c r="PCB76" s="954"/>
      <c r="PCC76" s="954"/>
      <c r="PCD76" s="954"/>
      <c r="PCE76" s="954"/>
      <c r="PCF76" s="954"/>
      <c r="PCG76" s="954"/>
      <c r="PCH76" s="954"/>
      <c r="PCI76" s="954"/>
      <c r="PCJ76" s="954"/>
      <c r="PCK76" s="954"/>
      <c r="PCL76" s="954"/>
      <c r="PCM76" s="954"/>
      <c r="PCN76" s="954"/>
      <c r="PCO76" s="954"/>
      <c r="PCP76" s="954"/>
      <c r="PCQ76" s="954"/>
      <c r="PCR76" s="954"/>
      <c r="PCS76" s="954"/>
      <c r="PCT76" s="954"/>
      <c r="PCU76" s="954"/>
      <c r="PCV76" s="954"/>
      <c r="PCW76" s="954"/>
      <c r="PCX76" s="954"/>
      <c r="PCY76" s="954"/>
      <c r="PCZ76" s="954"/>
      <c r="PDA76" s="954"/>
      <c r="PDB76" s="954"/>
      <c r="PDC76" s="954"/>
      <c r="PDD76" s="954"/>
      <c r="PDE76" s="954"/>
      <c r="PDF76" s="954"/>
      <c r="PDG76" s="954"/>
      <c r="PDH76" s="954"/>
      <c r="PDI76" s="954"/>
      <c r="PDJ76" s="954"/>
      <c r="PDK76" s="954"/>
      <c r="PDL76" s="954"/>
      <c r="PDM76" s="954"/>
      <c r="PDN76" s="954"/>
      <c r="PDO76" s="954"/>
      <c r="PDP76" s="954"/>
      <c r="PDQ76" s="954"/>
      <c r="PDR76" s="954"/>
      <c r="PDS76" s="954"/>
      <c r="PDT76" s="954"/>
      <c r="PDU76" s="954"/>
      <c r="PDV76" s="954"/>
      <c r="PDW76" s="954"/>
      <c r="PDX76" s="954"/>
      <c r="PDY76" s="954"/>
      <c r="PDZ76" s="954"/>
      <c r="PEA76" s="954"/>
      <c r="PEB76" s="954"/>
      <c r="PEC76" s="954"/>
      <c r="PED76" s="954"/>
      <c r="PEE76" s="954"/>
      <c r="PEF76" s="954"/>
      <c r="PEG76" s="954"/>
      <c r="PEH76" s="954"/>
      <c r="PEI76" s="954"/>
      <c r="PEJ76" s="954"/>
      <c r="PEK76" s="954"/>
      <c r="PEL76" s="954"/>
      <c r="PEM76" s="954"/>
      <c r="PEN76" s="954"/>
      <c r="PEO76" s="954"/>
      <c r="PEP76" s="954"/>
      <c r="PEQ76" s="954"/>
      <c r="PER76" s="954"/>
      <c r="PES76" s="954"/>
      <c r="PET76" s="954"/>
      <c r="PEU76" s="954"/>
      <c r="PEV76" s="954"/>
      <c r="PEW76" s="954"/>
      <c r="PEX76" s="954"/>
      <c r="PEY76" s="954"/>
      <c r="PEZ76" s="954"/>
      <c r="PFA76" s="954"/>
      <c r="PFB76" s="954"/>
      <c r="PFC76" s="954"/>
      <c r="PFD76" s="954"/>
      <c r="PFE76" s="954"/>
      <c r="PFF76" s="954"/>
      <c r="PFG76" s="954"/>
      <c r="PFH76" s="954"/>
      <c r="PFI76" s="954"/>
      <c r="PFJ76" s="954"/>
      <c r="PFK76" s="954"/>
      <c r="PFL76" s="954"/>
      <c r="PFM76" s="954"/>
      <c r="PFN76" s="954"/>
      <c r="PFO76" s="954"/>
      <c r="PFP76" s="954"/>
      <c r="PFQ76" s="954"/>
      <c r="PFR76" s="954"/>
      <c r="PFS76" s="954"/>
      <c r="PFT76" s="954"/>
      <c r="PFU76" s="954"/>
      <c r="PFV76" s="954"/>
      <c r="PFW76" s="954"/>
      <c r="PFX76" s="954"/>
      <c r="PFY76" s="954"/>
      <c r="PFZ76" s="954"/>
      <c r="PGA76" s="954"/>
      <c r="PGB76" s="954"/>
      <c r="PGC76" s="954"/>
      <c r="PGD76" s="954"/>
      <c r="PGE76" s="954"/>
      <c r="PGF76" s="954"/>
      <c r="PGG76" s="954"/>
      <c r="PGH76" s="954"/>
      <c r="PGI76" s="954"/>
      <c r="PGJ76" s="954"/>
      <c r="PGK76" s="954"/>
      <c r="PGL76" s="954"/>
      <c r="PGM76" s="954"/>
      <c r="PGN76" s="954"/>
      <c r="PGO76" s="954"/>
      <c r="PGP76" s="954"/>
      <c r="PGQ76" s="954"/>
      <c r="PGR76" s="954"/>
      <c r="PGS76" s="954"/>
      <c r="PGT76" s="954"/>
      <c r="PGU76" s="954"/>
      <c r="PGV76" s="954"/>
      <c r="PGW76" s="954"/>
      <c r="PGX76" s="954"/>
      <c r="PGY76" s="954"/>
      <c r="PGZ76" s="954"/>
      <c r="PHA76" s="954"/>
      <c r="PHB76" s="954"/>
      <c r="PHC76" s="954"/>
      <c r="PHD76" s="954"/>
      <c r="PHE76" s="954"/>
      <c r="PHF76" s="954"/>
      <c r="PHG76" s="954"/>
      <c r="PHH76" s="954"/>
      <c r="PHI76" s="954"/>
      <c r="PHJ76" s="954"/>
      <c r="PHK76" s="954"/>
      <c r="PHL76" s="954"/>
      <c r="PHM76" s="954"/>
      <c r="PHN76" s="954"/>
      <c r="PHO76" s="954"/>
      <c r="PHP76" s="954"/>
      <c r="PHQ76" s="954"/>
      <c r="PHR76" s="954"/>
      <c r="PHS76" s="954"/>
      <c r="PHT76" s="954"/>
      <c r="PHU76" s="954"/>
      <c r="PHV76" s="954"/>
      <c r="PHW76" s="954"/>
      <c r="PHX76" s="954"/>
      <c r="PHY76" s="954"/>
      <c r="PHZ76" s="954"/>
      <c r="PIA76" s="954"/>
      <c r="PIB76" s="954"/>
      <c r="PIC76" s="954"/>
      <c r="PID76" s="954"/>
      <c r="PIE76" s="954"/>
      <c r="PIF76" s="954"/>
      <c r="PIG76" s="954"/>
      <c r="PIH76" s="954"/>
      <c r="PII76" s="954"/>
      <c r="PIJ76" s="954"/>
      <c r="PIK76" s="954"/>
      <c r="PIL76" s="954"/>
      <c r="PIM76" s="954"/>
      <c r="PIN76" s="954"/>
      <c r="PIO76" s="954"/>
      <c r="PIP76" s="954"/>
      <c r="PIQ76" s="954"/>
      <c r="PIR76" s="954"/>
      <c r="PIS76" s="954"/>
      <c r="PIT76" s="954"/>
      <c r="PIU76" s="954"/>
      <c r="PIV76" s="954"/>
      <c r="PIW76" s="954"/>
      <c r="PIX76" s="954"/>
      <c r="PIY76" s="954"/>
      <c r="PIZ76" s="954"/>
      <c r="PJA76" s="954"/>
      <c r="PJB76" s="954"/>
      <c r="PJC76" s="954"/>
      <c r="PJD76" s="954"/>
      <c r="PJE76" s="954"/>
      <c r="PJF76" s="954"/>
      <c r="PJG76" s="954"/>
      <c r="PJH76" s="954"/>
      <c r="PJI76" s="954"/>
      <c r="PJJ76" s="954"/>
      <c r="PJK76" s="954"/>
      <c r="PJL76" s="954"/>
      <c r="PJM76" s="954"/>
      <c r="PJN76" s="954"/>
      <c r="PJO76" s="954"/>
      <c r="PJP76" s="954"/>
      <c r="PJQ76" s="954"/>
      <c r="PJR76" s="954"/>
      <c r="PJS76" s="954"/>
      <c r="PJT76" s="954"/>
      <c r="PJU76" s="954"/>
      <c r="PJV76" s="954"/>
      <c r="PJW76" s="954"/>
      <c r="PJX76" s="954"/>
      <c r="PJY76" s="954"/>
      <c r="PJZ76" s="954"/>
      <c r="PKA76" s="954"/>
      <c r="PKB76" s="954"/>
      <c r="PKC76" s="954"/>
      <c r="PKD76" s="954"/>
      <c r="PKE76" s="954"/>
      <c r="PKF76" s="954"/>
      <c r="PKG76" s="954"/>
      <c r="PKH76" s="954"/>
      <c r="PKI76" s="954"/>
      <c r="PKJ76" s="954"/>
      <c r="PKK76" s="954"/>
      <c r="PKL76" s="954"/>
      <c r="PKM76" s="954"/>
      <c r="PKN76" s="954"/>
      <c r="PKO76" s="954"/>
      <c r="PKP76" s="954"/>
      <c r="PKQ76" s="954"/>
      <c r="PKR76" s="954"/>
      <c r="PKS76" s="954"/>
      <c r="PKT76" s="954"/>
      <c r="PKU76" s="954"/>
      <c r="PKV76" s="954"/>
      <c r="PKW76" s="954"/>
      <c r="PKX76" s="954"/>
      <c r="PKY76" s="954"/>
      <c r="PKZ76" s="954"/>
      <c r="PLA76" s="954"/>
      <c r="PLB76" s="954"/>
      <c r="PLC76" s="954"/>
      <c r="PLD76" s="954"/>
      <c r="PLE76" s="954"/>
      <c r="PLF76" s="954"/>
      <c r="PLG76" s="954"/>
      <c r="PLH76" s="954"/>
      <c r="PLI76" s="954"/>
      <c r="PLJ76" s="954"/>
      <c r="PLK76" s="954"/>
      <c r="PLL76" s="954"/>
      <c r="PLM76" s="954"/>
      <c r="PLN76" s="954"/>
      <c r="PLO76" s="954"/>
      <c r="PLP76" s="954"/>
      <c r="PLQ76" s="954"/>
      <c r="PLR76" s="954"/>
      <c r="PLS76" s="954"/>
      <c r="PLT76" s="954"/>
      <c r="PLU76" s="954"/>
      <c r="PLV76" s="954"/>
      <c r="PLW76" s="954"/>
      <c r="PLX76" s="954"/>
      <c r="PLY76" s="954"/>
      <c r="PLZ76" s="954"/>
      <c r="PMA76" s="954"/>
      <c r="PMB76" s="954"/>
      <c r="PMC76" s="954"/>
      <c r="PMD76" s="954"/>
      <c r="PME76" s="954"/>
      <c r="PMF76" s="954"/>
      <c r="PMG76" s="954"/>
      <c r="PMH76" s="954"/>
      <c r="PMI76" s="954"/>
      <c r="PMJ76" s="954"/>
      <c r="PMK76" s="954"/>
      <c r="PML76" s="954"/>
      <c r="PMM76" s="954"/>
      <c r="PMN76" s="954"/>
      <c r="PMO76" s="954"/>
      <c r="PMP76" s="954"/>
      <c r="PMQ76" s="954"/>
      <c r="PMR76" s="954"/>
      <c r="PMS76" s="954"/>
      <c r="PMT76" s="954"/>
      <c r="PMU76" s="954"/>
      <c r="PMV76" s="954"/>
      <c r="PMW76" s="954"/>
      <c r="PMX76" s="954"/>
      <c r="PMY76" s="954"/>
      <c r="PMZ76" s="954"/>
      <c r="PNA76" s="954"/>
      <c r="PNB76" s="954"/>
      <c r="PNC76" s="954"/>
      <c r="PND76" s="954"/>
      <c r="PNE76" s="954"/>
      <c r="PNF76" s="954"/>
      <c r="PNG76" s="954"/>
      <c r="PNH76" s="954"/>
      <c r="PNI76" s="954"/>
      <c r="PNJ76" s="954"/>
      <c r="PNK76" s="954"/>
      <c r="PNL76" s="954"/>
      <c r="PNM76" s="954"/>
      <c r="PNN76" s="954"/>
      <c r="PNO76" s="954"/>
      <c r="PNP76" s="954"/>
      <c r="PNQ76" s="954"/>
      <c r="PNR76" s="954"/>
      <c r="PNS76" s="954"/>
      <c r="PNT76" s="954"/>
      <c r="PNU76" s="954"/>
      <c r="PNV76" s="954"/>
      <c r="PNW76" s="954"/>
      <c r="PNX76" s="954"/>
      <c r="PNY76" s="954"/>
      <c r="PNZ76" s="954"/>
      <c r="POA76" s="954"/>
      <c r="POB76" s="954"/>
      <c r="POC76" s="954"/>
      <c r="POD76" s="954"/>
      <c r="POE76" s="954"/>
      <c r="POF76" s="954"/>
      <c r="POG76" s="954"/>
      <c r="POH76" s="954"/>
      <c r="POI76" s="954"/>
      <c r="POJ76" s="954"/>
      <c r="POK76" s="954"/>
      <c r="POL76" s="954"/>
      <c r="POM76" s="954"/>
      <c r="PON76" s="954"/>
      <c r="POO76" s="954"/>
      <c r="POP76" s="954"/>
      <c r="POQ76" s="954"/>
      <c r="POR76" s="954"/>
      <c r="POS76" s="954"/>
      <c r="POT76" s="954"/>
      <c r="POU76" s="954"/>
      <c r="POV76" s="954"/>
      <c r="POW76" s="954"/>
      <c r="POX76" s="954"/>
      <c r="POY76" s="954"/>
      <c r="POZ76" s="954"/>
      <c r="PPA76" s="954"/>
      <c r="PPB76" s="954"/>
      <c r="PPC76" s="954"/>
      <c r="PPD76" s="954"/>
      <c r="PPE76" s="954"/>
      <c r="PPF76" s="954"/>
      <c r="PPG76" s="954"/>
      <c r="PPH76" s="954"/>
      <c r="PPI76" s="954"/>
      <c r="PPJ76" s="954"/>
      <c r="PPK76" s="954"/>
      <c r="PPL76" s="954"/>
      <c r="PPM76" s="954"/>
      <c r="PPN76" s="954"/>
      <c r="PPO76" s="954"/>
      <c r="PPP76" s="954"/>
      <c r="PPQ76" s="954"/>
      <c r="PPR76" s="954"/>
      <c r="PPS76" s="954"/>
      <c r="PPT76" s="954"/>
      <c r="PPU76" s="954"/>
      <c r="PPV76" s="954"/>
      <c r="PPW76" s="954"/>
      <c r="PPX76" s="954"/>
      <c r="PPY76" s="954"/>
      <c r="PPZ76" s="954"/>
      <c r="PQA76" s="954"/>
      <c r="PQB76" s="954"/>
      <c r="PQC76" s="954"/>
      <c r="PQD76" s="954"/>
      <c r="PQE76" s="954"/>
      <c r="PQF76" s="954"/>
      <c r="PQG76" s="954"/>
      <c r="PQH76" s="954"/>
      <c r="PQI76" s="954"/>
      <c r="PQJ76" s="954"/>
      <c r="PQK76" s="954"/>
      <c r="PQL76" s="954"/>
      <c r="PQM76" s="954"/>
      <c r="PQN76" s="954"/>
      <c r="PQO76" s="954"/>
      <c r="PQP76" s="954"/>
      <c r="PQQ76" s="954"/>
      <c r="PQR76" s="954"/>
      <c r="PQS76" s="954"/>
      <c r="PQT76" s="954"/>
      <c r="PQU76" s="954"/>
      <c r="PQV76" s="954"/>
      <c r="PQW76" s="954"/>
      <c r="PQX76" s="954"/>
      <c r="PQY76" s="954"/>
      <c r="PQZ76" s="954"/>
      <c r="PRA76" s="954"/>
      <c r="PRB76" s="954"/>
      <c r="PRC76" s="954"/>
      <c r="PRD76" s="954"/>
      <c r="PRE76" s="954"/>
      <c r="PRF76" s="954"/>
      <c r="PRG76" s="954"/>
      <c r="PRH76" s="954"/>
      <c r="PRI76" s="954"/>
      <c r="PRJ76" s="954"/>
      <c r="PRK76" s="954"/>
      <c r="PRL76" s="954"/>
      <c r="PRM76" s="954"/>
      <c r="PRN76" s="954"/>
      <c r="PRO76" s="954"/>
      <c r="PRP76" s="954"/>
      <c r="PRQ76" s="954"/>
      <c r="PRR76" s="954"/>
      <c r="PRS76" s="954"/>
      <c r="PRT76" s="954"/>
      <c r="PRU76" s="954"/>
      <c r="PRV76" s="954"/>
      <c r="PRW76" s="954"/>
      <c r="PRX76" s="954"/>
      <c r="PRY76" s="954"/>
      <c r="PRZ76" s="954"/>
      <c r="PSA76" s="954"/>
      <c r="PSB76" s="954"/>
      <c r="PSC76" s="954"/>
      <c r="PSD76" s="954"/>
      <c r="PSE76" s="954"/>
      <c r="PSF76" s="954"/>
      <c r="PSG76" s="954"/>
      <c r="PSH76" s="954"/>
      <c r="PSI76" s="954"/>
      <c r="PSJ76" s="954"/>
      <c r="PSK76" s="954"/>
      <c r="PSL76" s="954"/>
      <c r="PSM76" s="954"/>
      <c r="PSN76" s="954"/>
      <c r="PSO76" s="954"/>
      <c r="PSP76" s="954"/>
      <c r="PSQ76" s="954"/>
      <c r="PSR76" s="954"/>
      <c r="PSS76" s="954"/>
      <c r="PST76" s="954"/>
      <c r="PSU76" s="954"/>
      <c r="PSV76" s="954"/>
      <c r="PSW76" s="954"/>
      <c r="PSX76" s="954"/>
      <c r="PSY76" s="954"/>
      <c r="PSZ76" s="954"/>
      <c r="PTA76" s="954"/>
      <c r="PTB76" s="954"/>
      <c r="PTC76" s="954"/>
      <c r="PTD76" s="954"/>
      <c r="PTE76" s="954"/>
      <c r="PTF76" s="954"/>
      <c r="PTG76" s="954"/>
      <c r="PTH76" s="954"/>
      <c r="PTI76" s="954"/>
      <c r="PTJ76" s="954"/>
      <c r="PTK76" s="954"/>
      <c r="PTL76" s="954"/>
      <c r="PTM76" s="954"/>
      <c r="PTN76" s="954"/>
      <c r="PTO76" s="954"/>
      <c r="PTP76" s="954"/>
      <c r="PTQ76" s="954"/>
      <c r="PTR76" s="954"/>
      <c r="PTS76" s="954"/>
      <c r="PTT76" s="954"/>
      <c r="PTU76" s="954"/>
      <c r="PTV76" s="954"/>
      <c r="PTW76" s="954"/>
      <c r="PTX76" s="954"/>
      <c r="PTY76" s="954"/>
      <c r="PTZ76" s="954"/>
      <c r="PUA76" s="954"/>
      <c r="PUB76" s="954"/>
      <c r="PUC76" s="954"/>
      <c r="PUD76" s="954"/>
      <c r="PUE76" s="954"/>
      <c r="PUF76" s="954"/>
      <c r="PUG76" s="954"/>
      <c r="PUH76" s="954"/>
      <c r="PUI76" s="954"/>
      <c r="PUJ76" s="954"/>
      <c r="PUK76" s="954"/>
      <c r="PUL76" s="954"/>
      <c r="PUM76" s="954"/>
      <c r="PUN76" s="954"/>
      <c r="PUO76" s="954"/>
      <c r="PUP76" s="954"/>
      <c r="PUQ76" s="954"/>
      <c r="PUR76" s="954"/>
      <c r="PUS76" s="954"/>
      <c r="PUT76" s="954"/>
      <c r="PUU76" s="954"/>
      <c r="PUV76" s="954"/>
      <c r="PUW76" s="954"/>
      <c r="PUX76" s="954"/>
      <c r="PUY76" s="954"/>
      <c r="PUZ76" s="954"/>
      <c r="PVA76" s="954"/>
      <c r="PVB76" s="954"/>
      <c r="PVC76" s="954"/>
      <c r="PVD76" s="954"/>
      <c r="PVE76" s="954"/>
      <c r="PVF76" s="954"/>
      <c r="PVG76" s="954"/>
      <c r="PVH76" s="954"/>
      <c r="PVI76" s="954"/>
      <c r="PVJ76" s="954"/>
      <c r="PVK76" s="954"/>
      <c r="PVL76" s="954"/>
      <c r="PVM76" s="954"/>
      <c r="PVN76" s="954"/>
      <c r="PVO76" s="954"/>
      <c r="PVP76" s="954"/>
      <c r="PVQ76" s="954"/>
      <c r="PVR76" s="954"/>
      <c r="PVS76" s="954"/>
      <c r="PVT76" s="954"/>
      <c r="PVU76" s="954"/>
      <c r="PVV76" s="954"/>
      <c r="PVW76" s="954"/>
      <c r="PVX76" s="954"/>
      <c r="PVY76" s="954"/>
      <c r="PVZ76" s="954"/>
      <c r="PWA76" s="954"/>
      <c r="PWB76" s="954"/>
      <c r="PWC76" s="954"/>
      <c r="PWD76" s="954"/>
      <c r="PWE76" s="954"/>
      <c r="PWF76" s="954"/>
      <c r="PWG76" s="954"/>
      <c r="PWH76" s="954"/>
      <c r="PWI76" s="954"/>
      <c r="PWJ76" s="954"/>
      <c r="PWK76" s="954"/>
      <c r="PWL76" s="954"/>
      <c r="PWM76" s="954"/>
      <c r="PWN76" s="954"/>
      <c r="PWO76" s="954"/>
      <c r="PWP76" s="954"/>
      <c r="PWQ76" s="954"/>
      <c r="PWR76" s="954"/>
      <c r="PWS76" s="954"/>
      <c r="PWT76" s="954"/>
      <c r="PWU76" s="954"/>
      <c r="PWV76" s="954"/>
      <c r="PWW76" s="954"/>
      <c r="PWX76" s="954"/>
      <c r="PWY76" s="954"/>
      <c r="PWZ76" s="954"/>
      <c r="PXA76" s="954"/>
      <c r="PXB76" s="954"/>
      <c r="PXC76" s="954"/>
      <c r="PXD76" s="954"/>
      <c r="PXE76" s="954"/>
      <c r="PXF76" s="954"/>
      <c r="PXG76" s="954"/>
      <c r="PXH76" s="954"/>
      <c r="PXI76" s="954"/>
      <c r="PXJ76" s="954"/>
      <c r="PXK76" s="954"/>
      <c r="PXL76" s="954"/>
      <c r="PXM76" s="954"/>
      <c r="PXN76" s="954"/>
      <c r="PXO76" s="954"/>
      <c r="PXP76" s="954"/>
      <c r="PXQ76" s="954"/>
      <c r="PXR76" s="954"/>
      <c r="PXS76" s="954"/>
      <c r="PXT76" s="954"/>
      <c r="PXU76" s="954"/>
      <c r="PXV76" s="954"/>
      <c r="PXW76" s="954"/>
      <c r="PXX76" s="954"/>
      <c r="PXY76" s="954"/>
      <c r="PXZ76" s="954"/>
      <c r="PYA76" s="954"/>
      <c r="PYB76" s="954"/>
      <c r="PYC76" s="954"/>
      <c r="PYD76" s="954"/>
      <c r="PYE76" s="954"/>
      <c r="PYF76" s="954"/>
      <c r="PYG76" s="954"/>
      <c r="PYH76" s="954"/>
      <c r="PYI76" s="954"/>
      <c r="PYJ76" s="954"/>
      <c r="PYK76" s="954"/>
      <c r="PYL76" s="954"/>
      <c r="PYM76" s="954"/>
      <c r="PYN76" s="954"/>
      <c r="PYO76" s="954"/>
      <c r="PYP76" s="954"/>
      <c r="PYQ76" s="954"/>
      <c r="PYR76" s="954"/>
      <c r="PYS76" s="954"/>
      <c r="PYT76" s="954"/>
      <c r="PYU76" s="954"/>
      <c r="PYV76" s="954"/>
      <c r="PYW76" s="954"/>
      <c r="PYX76" s="954"/>
      <c r="PYY76" s="954"/>
      <c r="PYZ76" s="954"/>
      <c r="PZA76" s="954"/>
      <c r="PZB76" s="954"/>
      <c r="PZC76" s="954"/>
      <c r="PZD76" s="954"/>
      <c r="PZE76" s="954"/>
      <c r="PZF76" s="954"/>
      <c r="PZG76" s="954"/>
      <c r="PZH76" s="954"/>
      <c r="PZI76" s="954"/>
      <c r="PZJ76" s="954"/>
      <c r="PZK76" s="954"/>
      <c r="PZL76" s="954"/>
      <c r="PZM76" s="954"/>
      <c r="PZN76" s="954"/>
      <c r="PZO76" s="954"/>
      <c r="PZP76" s="954"/>
      <c r="PZQ76" s="954"/>
      <c r="PZR76" s="954"/>
      <c r="PZS76" s="954"/>
      <c r="PZT76" s="954"/>
      <c r="PZU76" s="954"/>
      <c r="PZV76" s="954"/>
      <c r="PZW76" s="954"/>
      <c r="PZX76" s="954"/>
      <c r="PZY76" s="954"/>
      <c r="PZZ76" s="954"/>
      <c r="QAA76" s="954"/>
      <c r="QAB76" s="954"/>
      <c r="QAC76" s="954"/>
      <c r="QAD76" s="954"/>
      <c r="QAE76" s="954"/>
      <c r="QAF76" s="954"/>
      <c r="QAG76" s="954"/>
      <c r="QAH76" s="954"/>
      <c r="QAI76" s="954"/>
      <c r="QAJ76" s="954"/>
      <c r="QAK76" s="954"/>
      <c r="QAL76" s="954"/>
      <c r="QAM76" s="954"/>
      <c r="QAN76" s="954"/>
      <c r="QAO76" s="954"/>
      <c r="QAP76" s="954"/>
      <c r="QAQ76" s="954"/>
      <c r="QAR76" s="954"/>
      <c r="QAS76" s="954"/>
      <c r="QAT76" s="954"/>
      <c r="QAU76" s="954"/>
      <c r="QAV76" s="954"/>
      <c r="QAW76" s="954"/>
      <c r="QAX76" s="954"/>
      <c r="QAY76" s="954"/>
      <c r="QAZ76" s="954"/>
      <c r="QBA76" s="954"/>
      <c r="QBB76" s="954"/>
      <c r="QBC76" s="954"/>
      <c r="QBD76" s="954"/>
      <c r="QBE76" s="954"/>
      <c r="QBF76" s="954"/>
      <c r="QBG76" s="954"/>
      <c r="QBH76" s="954"/>
      <c r="QBI76" s="954"/>
      <c r="QBJ76" s="954"/>
      <c r="QBK76" s="954"/>
      <c r="QBL76" s="954"/>
      <c r="QBM76" s="954"/>
      <c r="QBN76" s="954"/>
      <c r="QBO76" s="954"/>
      <c r="QBP76" s="954"/>
      <c r="QBQ76" s="954"/>
      <c r="QBR76" s="954"/>
      <c r="QBS76" s="954"/>
      <c r="QBT76" s="954"/>
      <c r="QBU76" s="954"/>
      <c r="QBV76" s="954"/>
      <c r="QBW76" s="954"/>
      <c r="QBX76" s="954"/>
      <c r="QBY76" s="954"/>
      <c r="QBZ76" s="954"/>
      <c r="QCA76" s="954"/>
      <c r="QCB76" s="954"/>
      <c r="QCC76" s="954"/>
      <c r="QCD76" s="954"/>
      <c r="QCE76" s="954"/>
      <c r="QCF76" s="954"/>
      <c r="QCG76" s="954"/>
      <c r="QCH76" s="954"/>
      <c r="QCI76" s="954"/>
      <c r="QCJ76" s="954"/>
      <c r="QCK76" s="954"/>
      <c r="QCL76" s="954"/>
      <c r="QCM76" s="954"/>
      <c r="QCN76" s="954"/>
      <c r="QCO76" s="954"/>
      <c r="QCP76" s="954"/>
      <c r="QCQ76" s="954"/>
      <c r="QCR76" s="954"/>
      <c r="QCS76" s="954"/>
      <c r="QCT76" s="954"/>
      <c r="QCU76" s="954"/>
      <c r="QCV76" s="954"/>
      <c r="QCW76" s="954"/>
      <c r="QCX76" s="954"/>
      <c r="QCY76" s="954"/>
      <c r="QCZ76" s="954"/>
      <c r="QDA76" s="954"/>
      <c r="QDB76" s="954"/>
      <c r="QDC76" s="954"/>
      <c r="QDD76" s="954"/>
      <c r="QDE76" s="954"/>
      <c r="QDF76" s="954"/>
      <c r="QDG76" s="954"/>
      <c r="QDH76" s="954"/>
      <c r="QDI76" s="954"/>
      <c r="QDJ76" s="954"/>
      <c r="QDK76" s="954"/>
      <c r="QDL76" s="954"/>
      <c r="QDM76" s="954"/>
      <c r="QDN76" s="954"/>
      <c r="QDO76" s="954"/>
      <c r="QDP76" s="954"/>
      <c r="QDQ76" s="954"/>
      <c r="QDR76" s="954"/>
      <c r="QDS76" s="954"/>
      <c r="QDT76" s="954"/>
      <c r="QDU76" s="954"/>
      <c r="QDV76" s="954"/>
      <c r="QDW76" s="954"/>
      <c r="QDX76" s="954"/>
      <c r="QDY76" s="954"/>
      <c r="QDZ76" s="954"/>
      <c r="QEA76" s="954"/>
      <c r="QEB76" s="954"/>
      <c r="QEC76" s="954"/>
      <c r="QED76" s="954"/>
      <c r="QEE76" s="954"/>
      <c r="QEF76" s="954"/>
      <c r="QEG76" s="954"/>
      <c r="QEH76" s="954"/>
      <c r="QEI76" s="954"/>
      <c r="QEJ76" s="954"/>
      <c r="QEK76" s="954"/>
      <c r="QEL76" s="954"/>
      <c r="QEM76" s="954"/>
      <c r="QEN76" s="954"/>
      <c r="QEO76" s="954"/>
      <c r="QEP76" s="954"/>
      <c r="QEQ76" s="954"/>
      <c r="QER76" s="954"/>
      <c r="QES76" s="954"/>
      <c r="QET76" s="954"/>
      <c r="QEU76" s="954"/>
      <c r="QEV76" s="954"/>
      <c r="QEW76" s="954"/>
      <c r="QEX76" s="954"/>
      <c r="QEY76" s="954"/>
      <c r="QEZ76" s="954"/>
      <c r="QFA76" s="954"/>
      <c r="QFB76" s="954"/>
      <c r="QFC76" s="954"/>
      <c r="QFD76" s="954"/>
      <c r="QFE76" s="954"/>
      <c r="QFF76" s="954"/>
      <c r="QFG76" s="954"/>
      <c r="QFH76" s="954"/>
      <c r="QFI76" s="954"/>
      <c r="QFJ76" s="954"/>
      <c r="QFK76" s="954"/>
      <c r="QFL76" s="954"/>
      <c r="QFM76" s="954"/>
      <c r="QFN76" s="954"/>
      <c r="QFO76" s="954"/>
      <c r="QFP76" s="954"/>
      <c r="QFQ76" s="954"/>
      <c r="QFR76" s="954"/>
      <c r="QFS76" s="954"/>
      <c r="QFT76" s="954"/>
      <c r="QFU76" s="954"/>
      <c r="QFV76" s="954"/>
      <c r="QFW76" s="954"/>
      <c r="QFX76" s="954"/>
      <c r="QFY76" s="954"/>
      <c r="QFZ76" s="954"/>
      <c r="QGA76" s="954"/>
      <c r="QGB76" s="954"/>
      <c r="QGC76" s="954"/>
      <c r="QGD76" s="954"/>
      <c r="QGE76" s="954"/>
      <c r="QGF76" s="954"/>
      <c r="QGG76" s="954"/>
      <c r="QGH76" s="954"/>
      <c r="QGI76" s="954"/>
      <c r="QGJ76" s="954"/>
      <c r="QGK76" s="954"/>
      <c r="QGL76" s="954"/>
      <c r="QGM76" s="954"/>
      <c r="QGN76" s="954"/>
      <c r="QGO76" s="954"/>
      <c r="QGP76" s="954"/>
      <c r="QGQ76" s="954"/>
      <c r="QGR76" s="954"/>
      <c r="QGS76" s="954"/>
      <c r="QGT76" s="954"/>
      <c r="QGU76" s="954"/>
      <c r="QGV76" s="954"/>
      <c r="QGW76" s="954"/>
      <c r="QGX76" s="954"/>
      <c r="QGY76" s="954"/>
      <c r="QGZ76" s="954"/>
      <c r="QHA76" s="954"/>
      <c r="QHB76" s="954"/>
      <c r="QHC76" s="954"/>
      <c r="QHD76" s="954"/>
      <c r="QHE76" s="954"/>
      <c r="QHF76" s="954"/>
      <c r="QHG76" s="954"/>
      <c r="QHH76" s="954"/>
      <c r="QHI76" s="954"/>
      <c r="QHJ76" s="954"/>
      <c r="QHK76" s="954"/>
      <c r="QHL76" s="954"/>
      <c r="QHM76" s="954"/>
      <c r="QHN76" s="954"/>
      <c r="QHO76" s="954"/>
      <c r="QHP76" s="954"/>
      <c r="QHQ76" s="954"/>
      <c r="QHR76" s="954"/>
      <c r="QHS76" s="954"/>
      <c r="QHT76" s="954"/>
      <c r="QHU76" s="954"/>
      <c r="QHV76" s="954"/>
      <c r="QHW76" s="954"/>
      <c r="QHX76" s="954"/>
      <c r="QHY76" s="954"/>
      <c r="QHZ76" s="954"/>
      <c r="QIA76" s="954"/>
      <c r="QIB76" s="954"/>
      <c r="QIC76" s="954"/>
      <c r="QID76" s="954"/>
      <c r="QIE76" s="954"/>
      <c r="QIF76" s="954"/>
      <c r="QIG76" s="954"/>
      <c r="QIH76" s="954"/>
      <c r="QII76" s="954"/>
      <c r="QIJ76" s="954"/>
      <c r="QIK76" s="954"/>
      <c r="QIL76" s="954"/>
      <c r="QIM76" s="954"/>
      <c r="QIN76" s="954"/>
      <c r="QIO76" s="954"/>
      <c r="QIP76" s="954"/>
      <c r="QIQ76" s="954"/>
      <c r="QIR76" s="954"/>
      <c r="QIS76" s="954"/>
      <c r="QIT76" s="954"/>
      <c r="QIU76" s="954"/>
      <c r="QIV76" s="954"/>
      <c r="QIW76" s="954"/>
      <c r="QIX76" s="954"/>
      <c r="QIY76" s="954"/>
      <c r="QIZ76" s="954"/>
      <c r="QJA76" s="954"/>
      <c r="QJB76" s="954"/>
      <c r="QJC76" s="954"/>
      <c r="QJD76" s="954"/>
      <c r="QJE76" s="954"/>
      <c r="QJF76" s="954"/>
      <c r="QJG76" s="954"/>
      <c r="QJH76" s="954"/>
      <c r="QJI76" s="954"/>
      <c r="QJJ76" s="954"/>
      <c r="QJK76" s="954"/>
      <c r="QJL76" s="954"/>
      <c r="QJM76" s="954"/>
      <c r="QJN76" s="954"/>
      <c r="QJO76" s="954"/>
      <c r="QJP76" s="954"/>
      <c r="QJQ76" s="954"/>
      <c r="QJR76" s="954"/>
      <c r="QJS76" s="954"/>
      <c r="QJT76" s="954"/>
      <c r="QJU76" s="954"/>
      <c r="QJV76" s="954"/>
      <c r="QJW76" s="954"/>
      <c r="QJX76" s="954"/>
      <c r="QJY76" s="954"/>
      <c r="QJZ76" s="954"/>
      <c r="QKA76" s="954"/>
      <c r="QKB76" s="954"/>
      <c r="QKC76" s="954"/>
      <c r="QKD76" s="954"/>
      <c r="QKE76" s="954"/>
      <c r="QKF76" s="954"/>
      <c r="QKG76" s="954"/>
      <c r="QKH76" s="954"/>
      <c r="QKI76" s="954"/>
      <c r="QKJ76" s="954"/>
      <c r="QKK76" s="954"/>
      <c r="QKL76" s="954"/>
      <c r="QKM76" s="954"/>
      <c r="QKN76" s="954"/>
      <c r="QKO76" s="954"/>
      <c r="QKP76" s="954"/>
      <c r="QKQ76" s="954"/>
      <c r="QKR76" s="954"/>
      <c r="QKS76" s="954"/>
      <c r="QKT76" s="954"/>
      <c r="QKU76" s="954"/>
      <c r="QKV76" s="954"/>
      <c r="QKW76" s="954"/>
      <c r="QKX76" s="954"/>
      <c r="QKY76" s="954"/>
      <c r="QKZ76" s="954"/>
      <c r="QLA76" s="954"/>
      <c r="QLB76" s="954"/>
      <c r="QLC76" s="954"/>
      <c r="QLD76" s="954"/>
      <c r="QLE76" s="954"/>
      <c r="QLF76" s="954"/>
      <c r="QLG76" s="954"/>
      <c r="QLH76" s="954"/>
      <c r="QLI76" s="954"/>
      <c r="QLJ76" s="954"/>
      <c r="QLK76" s="954"/>
      <c r="QLL76" s="954"/>
      <c r="QLM76" s="954"/>
      <c r="QLN76" s="954"/>
      <c r="QLO76" s="954"/>
      <c r="QLP76" s="954"/>
      <c r="QLQ76" s="954"/>
      <c r="QLR76" s="954"/>
      <c r="QLS76" s="954"/>
      <c r="QLT76" s="954"/>
      <c r="QLU76" s="954"/>
      <c r="QLV76" s="954"/>
      <c r="QLW76" s="954"/>
      <c r="QLX76" s="954"/>
      <c r="QLY76" s="954"/>
      <c r="QLZ76" s="954"/>
      <c r="QMA76" s="954"/>
      <c r="QMB76" s="954"/>
      <c r="QMC76" s="954"/>
      <c r="QMD76" s="954"/>
      <c r="QME76" s="954"/>
      <c r="QMF76" s="954"/>
      <c r="QMG76" s="954"/>
      <c r="QMH76" s="954"/>
      <c r="QMI76" s="954"/>
      <c r="QMJ76" s="954"/>
      <c r="QMK76" s="954"/>
      <c r="QML76" s="954"/>
      <c r="QMM76" s="954"/>
      <c r="QMN76" s="954"/>
      <c r="QMO76" s="954"/>
      <c r="QMP76" s="954"/>
      <c r="QMQ76" s="954"/>
      <c r="QMR76" s="954"/>
      <c r="QMS76" s="954"/>
      <c r="QMT76" s="954"/>
      <c r="QMU76" s="954"/>
      <c r="QMV76" s="954"/>
      <c r="QMW76" s="954"/>
      <c r="QMX76" s="954"/>
      <c r="QMY76" s="954"/>
      <c r="QMZ76" s="954"/>
      <c r="QNA76" s="954"/>
      <c r="QNB76" s="954"/>
      <c r="QNC76" s="954"/>
      <c r="QND76" s="954"/>
      <c r="QNE76" s="954"/>
      <c r="QNF76" s="954"/>
      <c r="QNG76" s="954"/>
      <c r="QNH76" s="954"/>
      <c r="QNI76" s="954"/>
      <c r="QNJ76" s="954"/>
      <c r="QNK76" s="954"/>
      <c r="QNL76" s="954"/>
      <c r="QNM76" s="954"/>
      <c r="QNN76" s="954"/>
      <c r="QNO76" s="954"/>
      <c r="QNP76" s="954"/>
      <c r="QNQ76" s="954"/>
      <c r="QNR76" s="954"/>
      <c r="QNS76" s="954"/>
      <c r="QNT76" s="954"/>
      <c r="QNU76" s="954"/>
      <c r="QNV76" s="954"/>
      <c r="QNW76" s="954"/>
      <c r="QNX76" s="954"/>
      <c r="QNY76" s="954"/>
      <c r="QNZ76" s="954"/>
      <c r="QOA76" s="954"/>
      <c r="QOB76" s="954"/>
      <c r="QOC76" s="954"/>
      <c r="QOD76" s="954"/>
      <c r="QOE76" s="954"/>
      <c r="QOF76" s="954"/>
      <c r="QOG76" s="954"/>
      <c r="QOH76" s="954"/>
      <c r="QOI76" s="954"/>
      <c r="QOJ76" s="954"/>
      <c r="QOK76" s="954"/>
      <c r="QOL76" s="954"/>
      <c r="QOM76" s="954"/>
      <c r="QON76" s="954"/>
      <c r="QOO76" s="954"/>
      <c r="QOP76" s="954"/>
      <c r="QOQ76" s="954"/>
      <c r="QOR76" s="954"/>
      <c r="QOS76" s="954"/>
      <c r="QOT76" s="954"/>
      <c r="QOU76" s="954"/>
      <c r="QOV76" s="954"/>
      <c r="QOW76" s="954"/>
      <c r="QOX76" s="954"/>
      <c r="QOY76" s="954"/>
      <c r="QOZ76" s="954"/>
      <c r="QPA76" s="954"/>
      <c r="QPB76" s="954"/>
      <c r="QPC76" s="954"/>
      <c r="QPD76" s="954"/>
      <c r="QPE76" s="954"/>
      <c r="QPF76" s="954"/>
      <c r="QPG76" s="954"/>
      <c r="QPH76" s="954"/>
      <c r="QPI76" s="954"/>
      <c r="QPJ76" s="954"/>
      <c r="QPK76" s="954"/>
      <c r="QPL76" s="954"/>
      <c r="QPM76" s="954"/>
      <c r="QPN76" s="954"/>
      <c r="QPO76" s="954"/>
      <c r="QPP76" s="954"/>
      <c r="QPQ76" s="954"/>
      <c r="QPR76" s="954"/>
      <c r="QPS76" s="954"/>
      <c r="QPT76" s="954"/>
      <c r="QPU76" s="954"/>
      <c r="QPV76" s="954"/>
      <c r="QPW76" s="954"/>
      <c r="QPX76" s="954"/>
      <c r="QPY76" s="954"/>
      <c r="QPZ76" s="954"/>
      <c r="QQA76" s="954"/>
      <c r="QQB76" s="954"/>
      <c r="QQC76" s="954"/>
      <c r="QQD76" s="954"/>
      <c r="QQE76" s="954"/>
      <c r="QQF76" s="954"/>
      <c r="QQG76" s="954"/>
      <c r="QQH76" s="954"/>
      <c r="QQI76" s="954"/>
      <c r="QQJ76" s="954"/>
      <c r="QQK76" s="954"/>
      <c r="QQL76" s="954"/>
      <c r="QQM76" s="954"/>
      <c r="QQN76" s="954"/>
      <c r="QQO76" s="954"/>
      <c r="QQP76" s="954"/>
      <c r="QQQ76" s="954"/>
      <c r="QQR76" s="954"/>
      <c r="QQS76" s="954"/>
      <c r="QQT76" s="954"/>
      <c r="QQU76" s="954"/>
      <c r="QQV76" s="954"/>
      <c r="QQW76" s="954"/>
      <c r="QQX76" s="954"/>
      <c r="QQY76" s="954"/>
      <c r="QQZ76" s="954"/>
      <c r="QRA76" s="954"/>
      <c r="QRB76" s="954"/>
      <c r="QRC76" s="954"/>
      <c r="QRD76" s="954"/>
      <c r="QRE76" s="954"/>
      <c r="QRF76" s="954"/>
      <c r="QRG76" s="954"/>
      <c r="QRH76" s="954"/>
      <c r="QRI76" s="954"/>
      <c r="QRJ76" s="954"/>
      <c r="QRK76" s="954"/>
      <c r="QRL76" s="954"/>
      <c r="QRM76" s="954"/>
      <c r="QRN76" s="954"/>
      <c r="QRO76" s="954"/>
      <c r="QRP76" s="954"/>
      <c r="QRQ76" s="954"/>
      <c r="QRR76" s="954"/>
      <c r="QRS76" s="954"/>
      <c r="QRT76" s="954"/>
      <c r="QRU76" s="954"/>
      <c r="QRV76" s="954"/>
      <c r="QRW76" s="954"/>
      <c r="QRX76" s="954"/>
      <c r="QRY76" s="954"/>
      <c r="QRZ76" s="954"/>
      <c r="QSA76" s="954"/>
      <c r="QSB76" s="954"/>
      <c r="QSC76" s="954"/>
      <c r="QSD76" s="954"/>
      <c r="QSE76" s="954"/>
      <c r="QSF76" s="954"/>
      <c r="QSG76" s="954"/>
      <c r="QSH76" s="954"/>
      <c r="QSI76" s="954"/>
      <c r="QSJ76" s="954"/>
      <c r="QSK76" s="954"/>
      <c r="QSL76" s="954"/>
      <c r="QSM76" s="954"/>
      <c r="QSN76" s="954"/>
      <c r="QSO76" s="954"/>
      <c r="QSP76" s="954"/>
      <c r="QSQ76" s="954"/>
      <c r="QSR76" s="954"/>
      <c r="QSS76" s="954"/>
      <c r="QST76" s="954"/>
      <c r="QSU76" s="954"/>
      <c r="QSV76" s="954"/>
      <c r="QSW76" s="954"/>
      <c r="QSX76" s="954"/>
      <c r="QSY76" s="954"/>
      <c r="QSZ76" s="954"/>
      <c r="QTA76" s="954"/>
      <c r="QTB76" s="954"/>
      <c r="QTC76" s="954"/>
      <c r="QTD76" s="954"/>
      <c r="QTE76" s="954"/>
      <c r="QTF76" s="954"/>
      <c r="QTG76" s="954"/>
      <c r="QTH76" s="954"/>
      <c r="QTI76" s="954"/>
      <c r="QTJ76" s="954"/>
      <c r="QTK76" s="954"/>
      <c r="QTL76" s="954"/>
      <c r="QTM76" s="954"/>
      <c r="QTN76" s="954"/>
      <c r="QTO76" s="954"/>
      <c r="QTP76" s="954"/>
      <c r="QTQ76" s="954"/>
      <c r="QTR76" s="954"/>
      <c r="QTS76" s="954"/>
      <c r="QTT76" s="954"/>
      <c r="QTU76" s="954"/>
      <c r="QTV76" s="954"/>
      <c r="QTW76" s="954"/>
      <c r="QTX76" s="954"/>
      <c r="QTY76" s="954"/>
      <c r="QTZ76" s="954"/>
      <c r="QUA76" s="954"/>
      <c r="QUB76" s="954"/>
      <c r="QUC76" s="954"/>
      <c r="QUD76" s="954"/>
      <c r="QUE76" s="954"/>
      <c r="QUF76" s="954"/>
      <c r="QUG76" s="954"/>
      <c r="QUH76" s="954"/>
      <c r="QUI76" s="954"/>
      <c r="QUJ76" s="954"/>
      <c r="QUK76" s="954"/>
      <c r="QUL76" s="954"/>
      <c r="QUM76" s="954"/>
      <c r="QUN76" s="954"/>
      <c r="QUO76" s="954"/>
      <c r="QUP76" s="954"/>
      <c r="QUQ76" s="954"/>
      <c r="QUR76" s="954"/>
      <c r="QUS76" s="954"/>
      <c r="QUT76" s="954"/>
      <c r="QUU76" s="954"/>
      <c r="QUV76" s="954"/>
      <c r="QUW76" s="954"/>
      <c r="QUX76" s="954"/>
      <c r="QUY76" s="954"/>
      <c r="QUZ76" s="954"/>
      <c r="QVA76" s="954"/>
      <c r="QVB76" s="954"/>
      <c r="QVC76" s="954"/>
      <c r="QVD76" s="954"/>
      <c r="QVE76" s="954"/>
      <c r="QVF76" s="954"/>
      <c r="QVG76" s="954"/>
      <c r="QVH76" s="954"/>
      <c r="QVI76" s="954"/>
      <c r="QVJ76" s="954"/>
      <c r="QVK76" s="954"/>
      <c r="QVL76" s="954"/>
      <c r="QVM76" s="954"/>
      <c r="QVN76" s="954"/>
      <c r="QVO76" s="954"/>
      <c r="QVP76" s="954"/>
      <c r="QVQ76" s="954"/>
      <c r="QVR76" s="954"/>
      <c r="QVS76" s="954"/>
      <c r="QVT76" s="954"/>
      <c r="QVU76" s="954"/>
      <c r="QVV76" s="954"/>
      <c r="QVW76" s="954"/>
      <c r="QVX76" s="954"/>
      <c r="QVY76" s="954"/>
      <c r="QVZ76" s="954"/>
      <c r="QWA76" s="954"/>
      <c r="QWB76" s="954"/>
      <c r="QWC76" s="954"/>
      <c r="QWD76" s="954"/>
      <c r="QWE76" s="954"/>
      <c r="QWF76" s="954"/>
      <c r="QWG76" s="954"/>
      <c r="QWH76" s="954"/>
      <c r="QWI76" s="954"/>
      <c r="QWJ76" s="954"/>
      <c r="QWK76" s="954"/>
      <c r="QWL76" s="954"/>
      <c r="QWM76" s="954"/>
      <c r="QWN76" s="954"/>
      <c r="QWO76" s="954"/>
      <c r="QWP76" s="954"/>
      <c r="QWQ76" s="954"/>
      <c r="QWR76" s="954"/>
      <c r="QWS76" s="954"/>
      <c r="QWT76" s="954"/>
      <c r="QWU76" s="954"/>
      <c r="QWV76" s="954"/>
      <c r="QWW76" s="954"/>
      <c r="QWX76" s="954"/>
      <c r="QWY76" s="954"/>
      <c r="QWZ76" s="954"/>
      <c r="QXA76" s="954"/>
      <c r="QXB76" s="954"/>
      <c r="QXC76" s="954"/>
      <c r="QXD76" s="954"/>
      <c r="QXE76" s="954"/>
      <c r="QXF76" s="954"/>
      <c r="QXG76" s="954"/>
      <c r="QXH76" s="954"/>
      <c r="QXI76" s="954"/>
      <c r="QXJ76" s="954"/>
      <c r="QXK76" s="954"/>
      <c r="QXL76" s="954"/>
      <c r="QXM76" s="954"/>
      <c r="QXN76" s="954"/>
      <c r="QXO76" s="954"/>
      <c r="QXP76" s="954"/>
      <c r="QXQ76" s="954"/>
      <c r="QXR76" s="954"/>
      <c r="QXS76" s="954"/>
      <c r="QXT76" s="954"/>
      <c r="QXU76" s="954"/>
      <c r="QXV76" s="954"/>
      <c r="QXW76" s="954"/>
      <c r="QXX76" s="954"/>
      <c r="QXY76" s="954"/>
      <c r="QXZ76" s="954"/>
      <c r="QYA76" s="954"/>
      <c r="QYB76" s="954"/>
      <c r="QYC76" s="954"/>
      <c r="QYD76" s="954"/>
      <c r="QYE76" s="954"/>
      <c r="QYF76" s="954"/>
      <c r="QYG76" s="954"/>
      <c r="QYH76" s="954"/>
      <c r="QYI76" s="954"/>
      <c r="QYJ76" s="954"/>
      <c r="QYK76" s="954"/>
      <c r="QYL76" s="954"/>
      <c r="QYM76" s="954"/>
      <c r="QYN76" s="954"/>
      <c r="QYO76" s="954"/>
      <c r="QYP76" s="954"/>
      <c r="QYQ76" s="954"/>
      <c r="QYR76" s="954"/>
      <c r="QYS76" s="954"/>
      <c r="QYT76" s="954"/>
      <c r="QYU76" s="954"/>
      <c r="QYV76" s="954"/>
      <c r="QYW76" s="954"/>
      <c r="QYX76" s="954"/>
      <c r="QYY76" s="954"/>
      <c r="QYZ76" s="954"/>
      <c r="QZA76" s="954"/>
      <c r="QZB76" s="954"/>
      <c r="QZC76" s="954"/>
      <c r="QZD76" s="954"/>
      <c r="QZE76" s="954"/>
      <c r="QZF76" s="954"/>
      <c r="QZG76" s="954"/>
      <c r="QZH76" s="954"/>
      <c r="QZI76" s="954"/>
      <c r="QZJ76" s="954"/>
      <c r="QZK76" s="954"/>
      <c r="QZL76" s="954"/>
      <c r="QZM76" s="954"/>
      <c r="QZN76" s="954"/>
      <c r="QZO76" s="954"/>
      <c r="QZP76" s="954"/>
      <c r="QZQ76" s="954"/>
      <c r="QZR76" s="954"/>
      <c r="QZS76" s="954"/>
      <c r="QZT76" s="954"/>
      <c r="QZU76" s="954"/>
      <c r="QZV76" s="954"/>
      <c r="QZW76" s="954"/>
      <c r="QZX76" s="954"/>
      <c r="QZY76" s="954"/>
      <c r="QZZ76" s="954"/>
      <c r="RAA76" s="954"/>
      <c r="RAB76" s="954"/>
      <c r="RAC76" s="954"/>
      <c r="RAD76" s="954"/>
      <c r="RAE76" s="954"/>
      <c r="RAF76" s="954"/>
      <c r="RAG76" s="954"/>
      <c r="RAH76" s="954"/>
      <c r="RAI76" s="954"/>
      <c r="RAJ76" s="954"/>
      <c r="RAK76" s="954"/>
      <c r="RAL76" s="954"/>
      <c r="RAM76" s="954"/>
      <c r="RAN76" s="954"/>
      <c r="RAO76" s="954"/>
      <c r="RAP76" s="954"/>
      <c r="RAQ76" s="954"/>
      <c r="RAR76" s="954"/>
      <c r="RAS76" s="954"/>
      <c r="RAT76" s="954"/>
      <c r="RAU76" s="954"/>
      <c r="RAV76" s="954"/>
      <c r="RAW76" s="954"/>
      <c r="RAX76" s="954"/>
      <c r="RAY76" s="954"/>
      <c r="RAZ76" s="954"/>
      <c r="RBA76" s="954"/>
      <c r="RBB76" s="954"/>
      <c r="RBC76" s="954"/>
      <c r="RBD76" s="954"/>
      <c r="RBE76" s="954"/>
      <c r="RBF76" s="954"/>
      <c r="RBG76" s="954"/>
      <c r="RBH76" s="954"/>
      <c r="RBI76" s="954"/>
      <c r="RBJ76" s="954"/>
      <c r="RBK76" s="954"/>
      <c r="RBL76" s="954"/>
      <c r="RBM76" s="954"/>
      <c r="RBN76" s="954"/>
      <c r="RBO76" s="954"/>
      <c r="RBP76" s="954"/>
      <c r="RBQ76" s="954"/>
      <c r="RBR76" s="954"/>
      <c r="RBS76" s="954"/>
      <c r="RBT76" s="954"/>
      <c r="RBU76" s="954"/>
      <c r="RBV76" s="954"/>
      <c r="RBW76" s="954"/>
      <c r="RBX76" s="954"/>
      <c r="RBY76" s="954"/>
      <c r="RBZ76" s="954"/>
      <c r="RCA76" s="954"/>
      <c r="RCB76" s="954"/>
      <c r="RCC76" s="954"/>
      <c r="RCD76" s="954"/>
      <c r="RCE76" s="954"/>
      <c r="RCF76" s="954"/>
      <c r="RCG76" s="954"/>
      <c r="RCH76" s="954"/>
      <c r="RCI76" s="954"/>
      <c r="RCJ76" s="954"/>
      <c r="RCK76" s="954"/>
      <c r="RCL76" s="954"/>
      <c r="RCM76" s="954"/>
      <c r="RCN76" s="954"/>
      <c r="RCO76" s="954"/>
      <c r="RCP76" s="954"/>
      <c r="RCQ76" s="954"/>
      <c r="RCR76" s="954"/>
      <c r="RCS76" s="954"/>
      <c r="RCT76" s="954"/>
      <c r="RCU76" s="954"/>
      <c r="RCV76" s="954"/>
      <c r="RCW76" s="954"/>
      <c r="RCX76" s="954"/>
      <c r="RCY76" s="954"/>
      <c r="RCZ76" s="954"/>
      <c r="RDA76" s="954"/>
      <c r="RDB76" s="954"/>
      <c r="RDC76" s="954"/>
      <c r="RDD76" s="954"/>
      <c r="RDE76" s="954"/>
      <c r="RDF76" s="954"/>
      <c r="RDG76" s="954"/>
      <c r="RDH76" s="954"/>
      <c r="RDI76" s="954"/>
      <c r="RDJ76" s="954"/>
      <c r="RDK76" s="954"/>
      <c r="RDL76" s="954"/>
      <c r="RDM76" s="954"/>
      <c r="RDN76" s="954"/>
      <c r="RDO76" s="954"/>
      <c r="RDP76" s="954"/>
      <c r="RDQ76" s="954"/>
      <c r="RDR76" s="954"/>
      <c r="RDS76" s="954"/>
      <c r="RDT76" s="954"/>
      <c r="RDU76" s="954"/>
      <c r="RDV76" s="954"/>
      <c r="RDW76" s="954"/>
      <c r="RDX76" s="954"/>
      <c r="RDY76" s="954"/>
      <c r="RDZ76" s="954"/>
      <c r="REA76" s="954"/>
      <c r="REB76" s="954"/>
      <c r="REC76" s="954"/>
      <c r="RED76" s="954"/>
      <c r="REE76" s="954"/>
      <c r="REF76" s="954"/>
      <c r="REG76" s="954"/>
      <c r="REH76" s="954"/>
      <c r="REI76" s="954"/>
      <c r="REJ76" s="954"/>
      <c r="REK76" s="954"/>
      <c r="REL76" s="954"/>
      <c r="REM76" s="954"/>
      <c r="REN76" s="954"/>
      <c r="REO76" s="954"/>
      <c r="REP76" s="954"/>
      <c r="REQ76" s="954"/>
      <c r="RER76" s="954"/>
      <c r="RES76" s="954"/>
      <c r="RET76" s="954"/>
      <c r="REU76" s="954"/>
      <c r="REV76" s="954"/>
      <c r="REW76" s="954"/>
      <c r="REX76" s="954"/>
      <c r="REY76" s="954"/>
      <c r="REZ76" s="954"/>
      <c r="RFA76" s="954"/>
      <c r="RFB76" s="954"/>
      <c r="RFC76" s="954"/>
      <c r="RFD76" s="954"/>
      <c r="RFE76" s="954"/>
      <c r="RFF76" s="954"/>
      <c r="RFG76" s="954"/>
      <c r="RFH76" s="954"/>
      <c r="RFI76" s="954"/>
      <c r="RFJ76" s="954"/>
      <c r="RFK76" s="954"/>
      <c r="RFL76" s="954"/>
      <c r="RFM76" s="954"/>
      <c r="RFN76" s="954"/>
      <c r="RFO76" s="954"/>
      <c r="RFP76" s="954"/>
      <c r="RFQ76" s="954"/>
      <c r="RFR76" s="954"/>
      <c r="RFS76" s="954"/>
      <c r="RFT76" s="954"/>
      <c r="RFU76" s="954"/>
      <c r="RFV76" s="954"/>
      <c r="RFW76" s="954"/>
      <c r="RFX76" s="954"/>
      <c r="RFY76" s="954"/>
      <c r="RFZ76" s="954"/>
      <c r="RGA76" s="954"/>
      <c r="RGB76" s="954"/>
      <c r="RGC76" s="954"/>
      <c r="RGD76" s="954"/>
      <c r="RGE76" s="954"/>
      <c r="RGF76" s="954"/>
      <c r="RGG76" s="954"/>
      <c r="RGH76" s="954"/>
      <c r="RGI76" s="954"/>
      <c r="RGJ76" s="954"/>
      <c r="RGK76" s="954"/>
      <c r="RGL76" s="954"/>
      <c r="RGM76" s="954"/>
      <c r="RGN76" s="954"/>
      <c r="RGO76" s="954"/>
      <c r="RGP76" s="954"/>
      <c r="RGQ76" s="954"/>
      <c r="RGR76" s="954"/>
      <c r="RGS76" s="954"/>
      <c r="RGT76" s="954"/>
      <c r="RGU76" s="954"/>
      <c r="RGV76" s="954"/>
      <c r="RGW76" s="954"/>
      <c r="RGX76" s="954"/>
      <c r="RGY76" s="954"/>
      <c r="RGZ76" s="954"/>
      <c r="RHA76" s="954"/>
      <c r="RHB76" s="954"/>
      <c r="RHC76" s="954"/>
      <c r="RHD76" s="954"/>
      <c r="RHE76" s="954"/>
      <c r="RHF76" s="954"/>
      <c r="RHG76" s="954"/>
      <c r="RHH76" s="954"/>
      <c r="RHI76" s="954"/>
      <c r="RHJ76" s="954"/>
      <c r="RHK76" s="954"/>
      <c r="RHL76" s="954"/>
      <c r="RHM76" s="954"/>
      <c r="RHN76" s="954"/>
      <c r="RHO76" s="954"/>
      <c r="RHP76" s="954"/>
      <c r="RHQ76" s="954"/>
      <c r="RHR76" s="954"/>
      <c r="RHS76" s="954"/>
      <c r="RHT76" s="954"/>
      <c r="RHU76" s="954"/>
      <c r="RHV76" s="954"/>
      <c r="RHW76" s="954"/>
      <c r="RHX76" s="954"/>
      <c r="RHY76" s="954"/>
      <c r="RHZ76" s="954"/>
      <c r="RIA76" s="954"/>
      <c r="RIB76" s="954"/>
      <c r="RIC76" s="954"/>
      <c r="RID76" s="954"/>
      <c r="RIE76" s="954"/>
      <c r="RIF76" s="954"/>
      <c r="RIG76" s="954"/>
      <c r="RIH76" s="954"/>
      <c r="RII76" s="954"/>
      <c r="RIJ76" s="954"/>
      <c r="RIK76" s="954"/>
      <c r="RIL76" s="954"/>
      <c r="RIM76" s="954"/>
      <c r="RIN76" s="954"/>
      <c r="RIO76" s="954"/>
      <c r="RIP76" s="954"/>
      <c r="RIQ76" s="954"/>
      <c r="RIR76" s="954"/>
      <c r="RIS76" s="954"/>
      <c r="RIT76" s="954"/>
      <c r="RIU76" s="954"/>
      <c r="RIV76" s="954"/>
      <c r="RIW76" s="954"/>
      <c r="RIX76" s="954"/>
      <c r="RIY76" s="954"/>
      <c r="RIZ76" s="954"/>
      <c r="RJA76" s="954"/>
      <c r="RJB76" s="954"/>
      <c r="RJC76" s="954"/>
      <c r="RJD76" s="954"/>
      <c r="RJE76" s="954"/>
      <c r="RJF76" s="954"/>
      <c r="RJG76" s="954"/>
      <c r="RJH76" s="954"/>
      <c r="RJI76" s="954"/>
      <c r="RJJ76" s="954"/>
      <c r="RJK76" s="954"/>
      <c r="RJL76" s="954"/>
      <c r="RJM76" s="954"/>
      <c r="RJN76" s="954"/>
      <c r="RJO76" s="954"/>
      <c r="RJP76" s="954"/>
      <c r="RJQ76" s="954"/>
      <c r="RJR76" s="954"/>
      <c r="RJS76" s="954"/>
      <c r="RJT76" s="954"/>
      <c r="RJU76" s="954"/>
      <c r="RJV76" s="954"/>
      <c r="RJW76" s="954"/>
      <c r="RJX76" s="954"/>
      <c r="RJY76" s="954"/>
      <c r="RJZ76" s="954"/>
      <c r="RKA76" s="954"/>
      <c r="RKB76" s="954"/>
      <c r="RKC76" s="954"/>
      <c r="RKD76" s="954"/>
      <c r="RKE76" s="954"/>
      <c r="RKF76" s="954"/>
      <c r="RKG76" s="954"/>
      <c r="RKH76" s="954"/>
      <c r="RKI76" s="954"/>
      <c r="RKJ76" s="954"/>
      <c r="RKK76" s="954"/>
      <c r="RKL76" s="954"/>
      <c r="RKM76" s="954"/>
      <c r="RKN76" s="954"/>
      <c r="RKO76" s="954"/>
      <c r="RKP76" s="954"/>
      <c r="RKQ76" s="954"/>
      <c r="RKR76" s="954"/>
      <c r="RKS76" s="954"/>
      <c r="RKT76" s="954"/>
      <c r="RKU76" s="954"/>
      <c r="RKV76" s="954"/>
      <c r="RKW76" s="954"/>
      <c r="RKX76" s="954"/>
      <c r="RKY76" s="954"/>
      <c r="RKZ76" s="954"/>
      <c r="RLA76" s="954"/>
      <c r="RLB76" s="954"/>
      <c r="RLC76" s="954"/>
      <c r="RLD76" s="954"/>
      <c r="RLE76" s="954"/>
      <c r="RLF76" s="954"/>
      <c r="RLG76" s="954"/>
      <c r="RLH76" s="954"/>
      <c r="RLI76" s="954"/>
      <c r="RLJ76" s="954"/>
      <c r="RLK76" s="954"/>
      <c r="RLL76" s="954"/>
      <c r="RLM76" s="954"/>
      <c r="RLN76" s="954"/>
      <c r="RLO76" s="954"/>
      <c r="RLP76" s="954"/>
      <c r="RLQ76" s="954"/>
      <c r="RLR76" s="954"/>
      <c r="RLS76" s="954"/>
      <c r="RLT76" s="954"/>
      <c r="RLU76" s="954"/>
      <c r="RLV76" s="954"/>
      <c r="RLW76" s="954"/>
      <c r="RLX76" s="954"/>
      <c r="RLY76" s="954"/>
      <c r="RLZ76" s="954"/>
      <c r="RMA76" s="954"/>
      <c r="RMB76" s="954"/>
      <c r="RMC76" s="954"/>
      <c r="RMD76" s="954"/>
      <c r="RME76" s="954"/>
      <c r="RMF76" s="954"/>
      <c r="RMG76" s="954"/>
      <c r="RMH76" s="954"/>
      <c r="RMI76" s="954"/>
      <c r="RMJ76" s="954"/>
      <c r="RMK76" s="954"/>
      <c r="RML76" s="954"/>
      <c r="RMM76" s="954"/>
      <c r="RMN76" s="954"/>
      <c r="RMO76" s="954"/>
      <c r="RMP76" s="954"/>
      <c r="RMQ76" s="954"/>
      <c r="RMR76" s="954"/>
      <c r="RMS76" s="954"/>
      <c r="RMT76" s="954"/>
      <c r="RMU76" s="954"/>
      <c r="RMV76" s="954"/>
      <c r="RMW76" s="954"/>
      <c r="RMX76" s="954"/>
      <c r="RMY76" s="954"/>
      <c r="RMZ76" s="954"/>
      <c r="RNA76" s="954"/>
      <c r="RNB76" s="954"/>
      <c r="RNC76" s="954"/>
      <c r="RND76" s="954"/>
      <c r="RNE76" s="954"/>
      <c r="RNF76" s="954"/>
      <c r="RNG76" s="954"/>
      <c r="RNH76" s="954"/>
      <c r="RNI76" s="954"/>
      <c r="RNJ76" s="954"/>
      <c r="RNK76" s="954"/>
      <c r="RNL76" s="954"/>
      <c r="RNM76" s="954"/>
      <c r="RNN76" s="954"/>
      <c r="RNO76" s="954"/>
      <c r="RNP76" s="954"/>
      <c r="RNQ76" s="954"/>
      <c r="RNR76" s="954"/>
      <c r="RNS76" s="954"/>
      <c r="RNT76" s="954"/>
      <c r="RNU76" s="954"/>
      <c r="RNV76" s="954"/>
      <c r="RNW76" s="954"/>
      <c r="RNX76" s="954"/>
      <c r="RNY76" s="954"/>
      <c r="RNZ76" s="954"/>
      <c r="ROA76" s="954"/>
      <c r="ROB76" s="954"/>
      <c r="ROC76" s="954"/>
      <c r="ROD76" s="954"/>
      <c r="ROE76" s="954"/>
      <c r="ROF76" s="954"/>
      <c r="ROG76" s="954"/>
      <c r="ROH76" s="954"/>
      <c r="ROI76" s="954"/>
      <c r="ROJ76" s="954"/>
      <c r="ROK76" s="954"/>
      <c r="ROL76" s="954"/>
      <c r="ROM76" s="954"/>
      <c r="RON76" s="954"/>
      <c r="ROO76" s="954"/>
      <c r="ROP76" s="954"/>
      <c r="ROQ76" s="954"/>
      <c r="ROR76" s="954"/>
      <c r="ROS76" s="954"/>
      <c r="ROT76" s="954"/>
      <c r="ROU76" s="954"/>
      <c r="ROV76" s="954"/>
      <c r="ROW76" s="954"/>
      <c r="ROX76" s="954"/>
      <c r="ROY76" s="954"/>
      <c r="ROZ76" s="954"/>
      <c r="RPA76" s="954"/>
      <c r="RPB76" s="954"/>
      <c r="RPC76" s="954"/>
      <c r="RPD76" s="954"/>
      <c r="RPE76" s="954"/>
      <c r="RPF76" s="954"/>
      <c r="RPG76" s="954"/>
      <c r="RPH76" s="954"/>
      <c r="RPI76" s="954"/>
      <c r="RPJ76" s="954"/>
      <c r="RPK76" s="954"/>
      <c r="RPL76" s="954"/>
      <c r="RPM76" s="954"/>
      <c r="RPN76" s="954"/>
      <c r="RPO76" s="954"/>
      <c r="RPP76" s="954"/>
      <c r="RPQ76" s="954"/>
      <c r="RPR76" s="954"/>
      <c r="RPS76" s="954"/>
      <c r="RPT76" s="954"/>
      <c r="RPU76" s="954"/>
      <c r="RPV76" s="954"/>
      <c r="RPW76" s="954"/>
      <c r="RPX76" s="954"/>
      <c r="RPY76" s="954"/>
      <c r="RPZ76" s="954"/>
      <c r="RQA76" s="954"/>
      <c r="RQB76" s="954"/>
      <c r="RQC76" s="954"/>
      <c r="RQD76" s="954"/>
      <c r="RQE76" s="954"/>
      <c r="RQF76" s="954"/>
      <c r="RQG76" s="954"/>
      <c r="RQH76" s="954"/>
      <c r="RQI76" s="954"/>
      <c r="RQJ76" s="954"/>
      <c r="RQK76" s="954"/>
      <c r="RQL76" s="954"/>
      <c r="RQM76" s="954"/>
      <c r="RQN76" s="954"/>
      <c r="RQO76" s="954"/>
      <c r="RQP76" s="954"/>
      <c r="RQQ76" s="954"/>
      <c r="RQR76" s="954"/>
      <c r="RQS76" s="954"/>
      <c r="RQT76" s="954"/>
      <c r="RQU76" s="954"/>
      <c r="RQV76" s="954"/>
      <c r="RQW76" s="954"/>
      <c r="RQX76" s="954"/>
      <c r="RQY76" s="954"/>
      <c r="RQZ76" s="954"/>
      <c r="RRA76" s="954"/>
      <c r="RRB76" s="954"/>
      <c r="RRC76" s="954"/>
      <c r="RRD76" s="954"/>
      <c r="RRE76" s="954"/>
      <c r="RRF76" s="954"/>
      <c r="RRG76" s="954"/>
      <c r="RRH76" s="954"/>
      <c r="RRI76" s="954"/>
      <c r="RRJ76" s="954"/>
      <c r="RRK76" s="954"/>
      <c r="RRL76" s="954"/>
      <c r="RRM76" s="954"/>
      <c r="RRN76" s="954"/>
      <c r="RRO76" s="954"/>
      <c r="RRP76" s="954"/>
      <c r="RRQ76" s="954"/>
      <c r="RRR76" s="954"/>
      <c r="RRS76" s="954"/>
      <c r="RRT76" s="954"/>
      <c r="RRU76" s="954"/>
      <c r="RRV76" s="954"/>
      <c r="RRW76" s="954"/>
      <c r="RRX76" s="954"/>
      <c r="RRY76" s="954"/>
      <c r="RRZ76" s="954"/>
      <c r="RSA76" s="954"/>
      <c r="RSB76" s="954"/>
      <c r="RSC76" s="954"/>
      <c r="RSD76" s="954"/>
      <c r="RSE76" s="954"/>
      <c r="RSF76" s="954"/>
      <c r="RSG76" s="954"/>
      <c r="RSH76" s="954"/>
      <c r="RSI76" s="954"/>
      <c r="RSJ76" s="954"/>
      <c r="RSK76" s="954"/>
      <c r="RSL76" s="954"/>
      <c r="RSM76" s="954"/>
      <c r="RSN76" s="954"/>
      <c r="RSO76" s="954"/>
      <c r="RSP76" s="954"/>
      <c r="RSQ76" s="954"/>
      <c r="RSR76" s="954"/>
      <c r="RSS76" s="954"/>
      <c r="RST76" s="954"/>
      <c r="RSU76" s="954"/>
      <c r="RSV76" s="954"/>
      <c r="RSW76" s="954"/>
      <c r="RSX76" s="954"/>
      <c r="RSY76" s="954"/>
      <c r="RSZ76" s="954"/>
      <c r="RTA76" s="954"/>
      <c r="RTB76" s="954"/>
      <c r="RTC76" s="954"/>
      <c r="RTD76" s="954"/>
      <c r="RTE76" s="954"/>
      <c r="RTF76" s="954"/>
      <c r="RTG76" s="954"/>
      <c r="RTH76" s="954"/>
      <c r="RTI76" s="954"/>
      <c r="RTJ76" s="954"/>
      <c r="RTK76" s="954"/>
      <c r="RTL76" s="954"/>
      <c r="RTM76" s="954"/>
      <c r="RTN76" s="954"/>
      <c r="RTO76" s="954"/>
      <c r="RTP76" s="954"/>
      <c r="RTQ76" s="954"/>
      <c r="RTR76" s="954"/>
      <c r="RTS76" s="954"/>
      <c r="RTT76" s="954"/>
      <c r="RTU76" s="954"/>
      <c r="RTV76" s="954"/>
      <c r="RTW76" s="954"/>
      <c r="RTX76" s="954"/>
      <c r="RTY76" s="954"/>
      <c r="RTZ76" s="954"/>
      <c r="RUA76" s="954"/>
      <c r="RUB76" s="954"/>
      <c r="RUC76" s="954"/>
      <c r="RUD76" s="954"/>
      <c r="RUE76" s="954"/>
      <c r="RUF76" s="954"/>
      <c r="RUG76" s="954"/>
      <c r="RUH76" s="954"/>
      <c r="RUI76" s="954"/>
      <c r="RUJ76" s="954"/>
      <c r="RUK76" s="954"/>
      <c r="RUL76" s="954"/>
      <c r="RUM76" s="954"/>
      <c r="RUN76" s="954"/>
      <c r="RUO76" s="954"/>
      <c r="RUP76" s="954"/>
      <c r="RUQ76" s="954"/>
      <c r="RUR76" s="954"/>
      <c r="RUS76" s="954"/>
      <c r="RUT76" s="954"/>
      <c r="RUU76" s="954"/>
      <c r="RUV76" s="954"/>
      <c r="RUW76" s="954"/>
      <c r="RUX76" s="954"/>
      <c r="RUY76" s="954"/>
      <c r="RUZ76" s="954"/>
      <c r="RVA76" s="954"/>
      <c r="RVB76" s="954"/>
      <c r="RVC76" s="954"/>
      <c r="RVD76" s="954"/>
      <c r="RVE76" s="954"/>
      <c r="RVF76" s="954"/>
      <c r="RVG76" s="954"/>
      <c r="RVH76" s="954"/>
      <c r="RVI76" s="954"/>
      <c r="RVJ76" s="954"/>
      <c r="RVK76" s="954"/>
      <c r="RVL76" s="954"/>
      <c r="RVM76" s="954"/>
      <c r="RVN76" s="954"/>
      <c r="RVO76" s="954"/>
      <c r="RVP76" s="954"/>
      <c r="RVQ76" s="954"/>
      <c r="RVR76" s="954"/>
      <c r="RVS76" s="954"/>
      <c r="RVT76" s="954"/>
      <c r="RVU76" s="954"/>
      <c r="RVV76" s="954"/>
      <c r="RVW76" s="954"/>
      <c r="RVX76" s="954"/>
      <c r="RVY76" s="954"/>
      <c r="RVZ76" s="954"/>
      <c r="RWA76" s="954"/>
      <c r="RWB76" s="954"/>
      <c r="RWC76" s="954"/>
      <c r="RWD76" s="954"/>
      <c r="RWE76" s="954"/>
      <c r="RWF76" s="954"/>
      <c r="RWG76" s="954"/>
      <c r="RWH76" s="954"/>
      <c r="RWI76" s="954"/>
      <c r="RWJ76" s="954"/>
      <c r="RWK76" s="954"/>
      <c r="RWL76" s="954"/>
      <c r="RWM76" s="954"/>
      <c r="RWN76" s="954"/>
      <c r="RWO76" s="954"/>
      <c r="RWP76" s="954"/>
      <c r="RWQ76" s="954"/>
      <c r="RWR76" s="954"/>
      <c r="RWS76" s="954"/>
      <c r="RWT76" s="954"/>
      <c r="RWU76" s="954"/>
      <c r="RWV76" s="954"/>
      <c r="RWW76" s="954"/>
      <c r="RWX76" s="954"/>
      <c r="RWY76" s="954"/>
      <c r="RWZ76" s="954"/>
      <c r="RXA76" s="954"/>
      <c r="RXB76" s="954"/>
      <c r="RXC76" s="954"/>
      <c r="RXD76" s="954"/>
      <c r="RXE76" s="954"/>
      <c r="RXF76" s="954"/>
      <c r="RXG76" s="954"/>
      <c r="RXH76" s="954"/>
      <c r="RXI76" s="954"/>
      <c r="RXJ76" s="954"/>
      <c r="RXK76" s="954"/>
      <c r="RXL76" s="954"/>
      <c r="RXM76" s="954"/>
      <c r="RXN76" s="954"/>
      <c r="RXO76" s="954"/>
      <c r="RXP76" s="954"/>
      <c r="RXQ76" s="954"/>
      <c r="RXR76" s="954"/>
      <c r="RXS76" s="954"/>
      <c r="RXT76" s="954"/>
      <c r="RXU76" s="954"/>
      <c r="RXV76" s="954"/>
      <c r="RXW76" s="954"/>
      <c r="RXX76" s="954"/>
      <c r="RXY76" s="954"/>
      <c r="RXZ76" s="954"/>
      <c r="RYA76" s="954"/>
      <c r="RYB76" s="954"/>
      <c r="RYC76" s="954"/>
      <c r="RYD76" s="954"/>
      <c r="RYE76" s="954"/>
      <c r="RYF76" s="954"/>
      <c r="RYG76" s="954"/>
      <c r="RYH76" s="954"/>
      <c r="RYI76" s="954"/>
      <c r="RYJ76" s="954"/>
      <c r="RYK76" s="954"/>
      <c r="RYL76" s="954"/>
      <c r="RYM76" s="954"/>
      <c r="RYN76" s="954"/>
      <c r="RYO76" s="954"/>
      <c r="RYP76" s="954"/>
      <c r="RYQ76" s="954"/>
      <c r="RYR76" s="954"/>
      <c r="RYS76" s="954"/>
      <c r="RYT76" s="954"/>
      <c r="RYU76" s="954"/>
      <c r="RYV76" s="954"/>
      <c r="RYW76" s="954"/>
      <c r="RYX76" s="954"/>
      <c r="RYY76" s="954"/>
      <c r="RYZ76" s="954"/>
      <c r="RZA76" s="954"/>
      <c r="RZB76" s="954"/>
      <c r="RZC76" s="954"/>
      <c r="RZD76" s="954"/>
      <c r="RZE76" s="954"/>
      <c r="RZF76" s="954"/>
      <c r="RZG76" s="954"/>
      <c r="RZH76" s="954"/>
      <c r="RZI76" s="954"/>
      <c r="RZJ76" s="954"/>
      <c r="RZK76" s="954"/>
      <c r="RZL76" s="954"/>
      <c r="RZM76" s="954"/>
      <c r="RZN76" s="954"/>
      <c r="RZO76" s="954"/>
      <c r="RZP76" s="954"/>
      <c r="RZQ76" s="954"/>
      <c r="RZR76" s="954"/>
      <c r="RZS76" s="954"/>
      <c r="RZT76" s="954"/>
      <c r="RZU76" s="954"/>
      <c r="RZV76" s="954"/>
      <c r="RZW76" s="954"/>
      <c r="RZX76" s="954"/>
      <c r="RZY76" s="954"/>
      <c r="RZZ76" s="954"/>
      <c r="SAA76" s="954"/>
      <c r="SAB76" s="954"/>
      <c r="SAC76" s="954"/>
      <c r="SAD76" s="954"/>
      <c r="SAE76" s="954"/>
      <c r="SAF76" s="954"/>
      <c r="SAG76" s="954"/>
      <c r="SAH76" s="954"/>
      <c r="SAI76" s="954"/>
      <c r="SAJ76" s="954"/>
      <c r="SAK76" s="954"/>
      <c r="SAL76" s="954"/>
      <c r="SAM76" s="954"/>
      <c r="SAN76" s="954"/>
      <c r="SAO76" s="954"/>
      <c r="SAP76" s="954"/>
      <c r="SAQ76" s="954"/>
      <c r="SAR76" s="954"/>
      <c r="SAS76" s="954"/>
      <c r="SAT76" s="954"/>
      <c r="SAU76" s="954"/>
      <c r="SAV76" s="954"/>
      <c r="SAW76" s="954"/>
      <c r="SAX76" s="954"/>
      <c r="SAY76" s="954"/>
      <c r="SAZ76" s="954"/>
      <c r="SBA76" s="954"/>
      <c r="SBB76" s="954"/>
      <c r="SBC76" s="954"/>
      <c r="SBD76" s="954"/>
      <c r="SBE76" s="954"/>
      <c r="SBF76" s="954"/>
      <c r="SBG76" s="954"/>
      <c r="SBH76" s="954"/>
      <c r="SBI76" s="954"/>
      <c r="SBJ76" s="954"/>
      <c r="SBK76" s="954"/>
      <c r="SBL76" s="954"/>
      <c r="SBM76" s="954"/>
      <c r="SBN76" s="954"/>
      <c r="SBO76" s="954"/>
      <c r="SBP76" s="954"/>
      <c r="SBQ76" s="954"/>
      <c r="SBR76" s="954"/>
      <c r="SBS76" s="954"/>
      <c r="SBT76" s="954"/>
      <c r="SBU76" s="954"/>
      <c r="SBV76" s="954"/>
      <c r="SBW76" s="954"/>
      <c r="SBX76" s="954"/>
      <c r="SBY76" s="954"/>
      <c r="SBZ76" s="954"/>
      <c r="SCA76" s="954"/>
      <c r="SCB76" s="954"/>
      <c r="SCC76" s="954"/>
      <c r="SCD76" s="954"/>
      <c r="SCE76" s="954"/>
      <c r="SCF76" s="954"/>
      <c r="SCG76" s="954"/>
      <c r="SCH76" s="954"/>
      <c r="SCI76" s="954"/>
      <c r="SCJ76" s="954"/>
      <c r="SCK76" s="954"/>
      <c r="SCL76" s="954"/>
      <c r="SCM76" s="954"/>
      <c r="SCN76" s="954"/>
      <c r="SCO76" s="954"/>
      <c r="SCP76" s="954"/>
      <c r="SCQ76" s="954"/>
      <c r="SCR76" s="954"/>
      <c r="SCS76" s="954"/>
      <c r="SCT76" s="954"/>
      <c r="SCU76" s="954"/>
      <c r="SCV76" s="954"/>
      <c r="SCW76" s="954"/>
      <c r="SCX76" s="954"/>
      <c r="SCY76" s="954"/>
      <c r="SCZ76" s="954"/>
      <c r="SDA76" s="954"/>
      <c r="SDB76" s="954"/>
      <c r="SDC76" s="954"/>
      <c r="SDD76" s="954"/>
      <c r="SDE76" s="954"/>
      <c r="SDF76" s="954"/>
      <c r="SDG76" s="954"/>
      <c r="SDH76" s="954"/>
      <c r="SDI76" s="954"/>
      <c r="SDJ76" s="954"/>
      <c r="SDK76" s="954"/>
      <c r="SDL76" s="954"/>
      <c r="SDM76" s="954"/>
      <c r="SDN76" s="954"/>
      <c r="SDO76" s="954"/>
      <c r="SDP76" s="954"/>
      <c r="SDQ76" s="954"/>
      <c r="SDR76" s="954"/>
      <c r="SDS76" s="954"/>
      <c r="SDT76" s="954"/>
      <c r="SDU76" s="954"/>
      <c r="SDV76" s="954"/>
      <c r="SDW76" s="954"/>
      <c r="SDX76" s="954"/>
      <c r="SDY76" s="954"/>
      <c r="SDZ76" s="954"/>
      <c r="SEA76" s="954"/>
      <c r="SEB76" s="954"/>
      <c r="SEC76" s="954"/>
      <c r="SED76" s="954"/>
      <c r="SEE76" s="954"/>
      <c r="SEF76" s="954"/>
      <c r="SEG76" s="954"/>
      <c r="SEH76" s="954"/>
      <c r="SEI76" s="954"/>
      <c r="SEJ76" s="954"/>
      <c r="SEK76" s="954"/>
      <c r="SEL76" s="954"/>
      <c r="SEM76" s="954"/>
      <c r="SEN76" s="954"/>
      <c r="SEO76" s="954"/>
      <c r="SEP76" s="954"/>
      <c r="SEQ76" s="954"/>
      <c r="SER76" s="954"/>
      <c r="SES76" s="954"/>
      <c r="SET76" s="954"/>
      <c r="SEU76" s="954"/>
      <c r="SEV76" s="954"/>
      <c r="SEW76" s="954"/>
      <c r="SEX76" s="954"/>
      <c r="SEY76" s="954"/>
      <c r="SEZ76" s="954"/>
      <c r="SFA76" s="954"/>
      <c r="SFB76" s="954"/>
      <c r="SFC76" s="954"/>
      <c r="SFD76" s="954"/>
      <c r="SFE76" s="954"/>
      <c r="SFF76" s="954"/>
      <c r="SFG76" s="954"/>
      <c r="SFH76" s="954"/>
      <c r="SFI76" s="954"/>
      <c r="SFJ76" s="954"/>
      <c r="SFK76" s="954"/>
      <c r="SFL76" s="954"/>
      <c r="SFM76" s="954"/>
      <c r="SFN76" s="954"/>
      <c r="SFO76" s="954"/>
      <c r="SFP76" s="954"/>
      <c r="SFQ76" s="954"/>
      <c r="SFR76" s="954"/>
      <c r="SFS76" s="954"/>
      <c r="SFT76" s="954"/>
      <c r="SFU76" s="954"/>
      <c r="SFV76" s="954"/>
      <c r="SFW76" s="954"/>
      <c r="SFX76" s="954"/>
      <c r="SFY76" s="954"/>
      <c r="SFZ76" s="954"/>
      <c r="SGA76" s="954"/>
      <c r="SGB76" s="954"/>
      <c r="SGC76" s="954"/>
      <c r="SGD76" s="954"/>
      <c r="SGE76" s="954"/>
      <c r="SGF76" s="954"/>
      <c r="SGG76" s="954"/>
      <c r="SGH76" s="954"/>
      <c r="SGI76" s="954"/>
      <c r="SGJ76" s="954"/>
      <c r="SGK76" s="954"/>
      <c r="SGL76" s="954"/>
      <c r="SGM76" s="954"/>
      <c r="SGN76" s="954"/>
      <c r="SGO76" s="954"/>
      <c r="SGP76" s="954"/>
      <c r="SGQ76" s="954"/>
      <c r="SGR76" s="954"/>
      <c r="SGS76" s="954"/>
      <c r="SGT76" s="954"/>
      <c r="SGU76" s="954"/>
      <c r="SGV76" s="954"/>
      <c r="SGW76" s="954"/>
      <c r="SGX76" s="954"/>
      <c r="SGY76" s="954"/>
      <c r="SGZ76" s="954"/>
      <c r="SHA76" s="954"/>
      <c r="SHB76" s="954"/>
      <c r="SHC76" s="954"/>
      <c r="SHD76" s="954"/>
      <c r="SHE76" s="954"/>
      <c r="SHF76" s="954"/>
      <c r="SHG76" s="954"/>
      <c r="SHH76" s="954"/>
      <c r="SHI76" s="954"/>
      <c r="SHJ76" s="954"/>
      <c r="SHK76" s="954"/>
      <c r="SHL76" s="954"/>
      <c r="SHM76" s="954"/>
      <c r="SHN76" s="954"/>
      <c r="SHO76" s="954"/>
      <c r="SHP76" s="954"/>
      <c r="SHQ76" s="954"/>
      <c r="SHR76" s="954"/>
      <c r="SHS76" s="954"/>
      <c r="SHT76" s="954"/>
      <c r="SHU76" s="954"/>
      <c r="SHV76" s="954"/>
      <c r="SHW76" s="954"/>
      <c r="SHX76" s="954"/>
      <c r="SHY76" s="954"/>
      <c r="SHZ76" s="954"/>
      <c r="SIA76" s="954"/>
      <c r="SIB76" s="954"/>
      <c r="SIC76" s="954"/>
      <c r="SID76" s="954"/>
      <c r="SIE76" s="954"/>
      <c r="SIF76" s="954"/>
      <c r="SIG76" s="954"/>
      <c r="SIH76" s="954"/>
      <c r="SII76" s="954"/>
      <c r="SIJ76" s="954"/>
      <c r="SIK76" s="954"/>
      <c r="SIL76" s="954"/>
      <c r="SIM76" s="954"/>
      <c r="SIN76" s="954"/>
      <c r="SIO76" s="954"/>
      <c r="SIP76" s="954"/>
      <c r="SIQ76" s="954"/>
      <c r="SIR76" s="954"/>
      <c r="SIS76" s="954"/>
      <c r="SIT76" s="954"/>
      <c r="SIU76" s="954"/>
      <c r="SIV76" s="954"/>
      <c r="SIW76" s="954"/>
      <c r="SIX76" s="954"/>
      <c r="SIY76" s="954"/>
      <c r="SIZ76" s="954"/>
      <c r="SJA76" s="954"/>
      <c r="SJB76" s="954"/>
      <c r="SJC76" s="954"/>
      <c r="SJD76" s="954"/>
      <c r="SJE76" s="954"/>
      <c r="SJF76" s="954"/>
      <c r="SJG76" s="954"/>
      <c r="SJH76" s="954"/>
      <c r="SJI76" s="954"/>
      <c r="SJJ76" s="954"/>
      <c r="SJK76" s="954"/>
      <c r="SJL76" s="954"/>
      <c r="SJM76" s="954"/>
      <c r="SJN76" s="954"/>
      <c r="SJO76" s="954"/>
      <c r="SJP76" s="954"/>
      <c r="SJQ76" s="954"/>
      <c r="SJR76" s="954"/>
      <c r="SJS76" s="954"/>
      <c r="SJT76" s="954"/>
      <c r="SJU76" s="954"/>
      <c r="SJV76" s="954"/>
      <c r="SJW76" s="954"/>
      <c r="SJX76" s="954"/>
      <c r="SJY76" s="954"/>
      <c r="SJZ76" s="954"/>
      <c r="SKA76" s="954"/>
      <c r="SKB76" s="954"/>
      <c r="SKC76" s="954"/>
      <c r="SKD76" s="954"/>
      <c r="SKE76" s="954"/>
      <c r="SKF76" s="954"/>
      <c r="SKG76" s="954"/>
      <c r="SKH76" s="954"/>
      <c r="SKI76" s="954"/>
      <c r="SKJ76" s="954"/>
      <c r="SKK76" s="954"/>
      <c r="SKL76" s="954"/>
      <c r="SKM76" s="954"/>
      <c r="SKN76" s="954"/>
      <c r="SKO76" s="954"/>
      <c r="SKP76" s="954"/>
      <c r="SKQ76" s="954"/>
      <c r="SKR76" s="954"/>
      <c r="SKS76" s="954"/>
      <c r="SKT76" s="954"/>
      <c r="SKU76" s="954"/>
      <c r="SKV76" s="954"/>
      <c r="SKW76" s="954"/>
      <c r="SKX76" s="954"/>
      <c r="SKY76" s="954"/>
      <c r="SKZ76" s="954"/>
      <c r="SLA76" s="954"/>
      <c r="SLB76" s="954"/>
      <c r="SLC76" s="954"/>
      <c r="SLD76" s="954"/>
      <c r="SLE76" s="954"/>
      <c r="SLF76" s="954"/>
      <c r="SLG76" s="954"/>
      <c r="SLH76" s="954"/>
      <c r="SLI76" s="954"/>
      <c r="SLJ76" s="954"/>
      <c r="SLK76" s="954"/>
      <c r="SLL76" s="954"/>
      <c r="SLM76" s="954"/>
      <c r="SLN76" s="954"/>
      <c r="SLO76" s="954"/>
      <c r="SLP76" s="954"/>
      <c r="SLQ76" s="954"/>
      <c r="SLR76" s="954"/>
      <c r="SLS76" s="954"/>
      <c r="SLT76" s="954"/>
      <c r="SLU76" s="954"/>
      <c r="SLV76" s="954"/>
      <c r="SLW76" s="954"/>
      <c r="SLX76" s="954"/>
      <c r="SLY76" s="954"/>
      <c r="SLZ76" s="954"/>
      <c r="SMA76" s="954"/>
      <c r="SMB76" s="954"/>
      <c r="SMC76" s="954"/>
      <c r="SMD76" s="954"/>
      <c r="SME76" s="954"/>
      <c r="SMF76" s="954"/>
      <c r="SMG76" s="954"/>
      <c r="SMH76" s="954"/>
      <c r="SMI76" s="954"/>
      <c r="SMJ76" s="954"/>
      <c r="SMK76" s="954"/>
      <c r="SML76" s="954"/>
      <c r="SMM76" s="954"/>
      <c r="SMN76" s="954"/>
      <c r="SMO76" s="954"/>
      <c r="SMP76" s="954"/>
      <c r="SMQ76" s="954"/>
      <c r="SMR76" s="954"/>
      <c r="SMS76" s="954"/>
      <c r="SMT76" s="954"/>
      <c r="SMU76" s="954"/>
      <c r="SMV76" s="954"/>
      <c r="SMW76" s="954"/>
      <c r="SMX76" s="954"/>
      <c r="SMY76" s="954"/>
      <c r="SMZ76" s="954"/>
      <c r="SNA76" s="954"/>
      <c r="SNB76" s="954"/>
      <c r="SNC76" s="954"/>
      <c r="SND76" s="954"/>
      <c r="SNE76" s="954"/>
      <c r="SNF76" s="954"/>
      <c r="SNG76" s="954"/>
      <c r="SNH76" s="954"/>
      <c r="SNI76" s="954"/>
      <c r="SNJ76" s="954"/>
      <c r="SNK76" s="954"/>
      <c r="SNL76" s="954"/>
      <c r="SNM76" s="954"/>
      <c r="SNN76" s="954"/>
      <c r="SNO76" s="954"/>
      <c r="SNP76" s="954"/>
      <c r="SNQ76" s="954"/>
      <c r="SNR76" s="954"/>
      <c r="SNS76" s="954"/>
      <c r="SNT76" s="954"/>
      <c r="SNU76" s="954"/>
      <c r="SNV76" s="954"/>
      <c r="SNW76" s="954"/>
      <c r="SNX76" s="954"/>
      <c r="SNY76" s="954"/>
      <c r="SNZ76" s="954"/>
      <c r="SOA76" s="954"/>
      <c r="SOB76" s="954"/>
      <c r="SOC76" s="954"/>
      <c r="SOD76" s="954"/>
      <c r="SOE76" s="954"/>
      <c r="SOF76" s="954"/>
      <c r="SOG76" s="954"/>
      <c r="SOH76" s="954"/>
      <c r="SOI76" s="954"/>
      <c r="SOJ76" s="954"/>
      <c r="SOK76" s="954"/>
      <c r="SOL76" s="954"/>
      <c r="SOM76" s="954"/>
      <c r="SON76" s="954"/>
      <c r="SOO76" s="954"/>
      <c r="SOP76" s="954"/>
      <c r="SOQ76" s="954"/>
      <c r="SOR76" s="954"/>
      <c r="SOS76" s="954"/>
      <c r="SOT76" s="954"/>
      <c r="SOU76" s="954"/>
      <c r="SOV76" s="954"/>
      <c r="SOW76" s="954"/>
      <c r="SOX76" s="954"/>
      <c r="SOY76" s="954"/>
      <c r="SOZ76" s="954"/>
      <c r="SPA76" s="954"/>
      <c r="SPB76" s="954"/>
      <c r="SPC76" s="954"/>
      <c r="SPD76" s="954"/>
      <c r="SPE76" s="954"/>
      <c r="SPF76" s="954"/>
      <c r="SPG76" s="954"/>
      <c r="SPH76" s="954"/>
      <c r="SPI76" s="954"/>
      <c r="SPJ76" s="954"/>
      <c r="SPK76" s="954"/>
      <c r="SPL76" s="954"/>
      <c r="SPM76" s="954"/>
      <c r="SPN76" s="954"/>
      <c r="SPO76" s="954"/>
      <c r="SPP76" s="954"/>
      <c r="SPQ76" s="954"/>
      <c r="SPR76" s="954"/>
      <c r="SPS76" s="954"/>
      <c r="SPT76" s="954"/>
      <c r="SPU76" s="954"/>
      <c r="SPV76" s="954"/>
      <c r="SPW76" s="954"/>
      <c r="SPX76" s="954"/>
      <c r="SPY76" s="954"/>
      <c r="SPZ76" s="954"/>
      <c r="SQA76" s="954"/>
      <c r="SQB76" s="954"/>
      <c r="SQC76" s="954"/>
      <c r="SQD76" s="954"/>
      <c r="SQE76" s="954"/>
      <c r="SQF76" s="954"/>
      <c r="SQG76" s="954"/>
      <c r="SQH76" s="954"/>
      <c r="SQI76" s="954"/>
      <c r="SQJ76" s="954"/>
      <c r="SQK76" s="954"/>
      <c r="SQL76" s="954"/>
      <c r="SQM76" s="954"/>
      <c r="SQN76" s="954"/>
      <c r="SQO76" s="954"/>
      <c r="SQP76" s="954"/>
      <c r="SQQ76" s="954"/>
      <c r="SQR76" s="954"/>
      <c r="SQS76" s="954"/>
      <c r="SQT76" s="954"/>
      <c r="SQU76" s="954"/>
      <c r="SQV76" s="954"/>
      <c r="SQW76" s="954"/>
      <c r="SQX76" s="954"/>
      <c r="SQY76" s="954"/>
      <c r="SQZ76" s="954"/>
      <c r="SRA76" s="954"/>
      <c r="SRB76" s="954"/>
      <c r="SRC76" s="954"/>
      <c r="SRD76" s="954"/>
      <c r="SRE76" s="954"/>
      <c r="SRF76" s="954"/>
      <c r="SRG76" s="954"/>
      <c r="SRH76" s="954"/>
      <c r="SRI76" s="954"/>
      <c r="SRJ76" s="954"/>
      <c r="SRK76" s="954"/>
      <c r="SRL76" s="954"/>
      <c r="SRM76" s="954"/>
      <c r="SRN76" s="954"/>
      <c r="SRO76" s="954"/>
      <c r="SRP76" s="954"/>
      <c r="SRQ76" s="954"/>
      <c r="SRR76" s="954"/>
      <c r="SRS76" s="954"/>
      <c r="SRT76" s="954"/>
      <c r="SRU76" s="954"/>
      <c r="SRV76" s="954"/>
      <c r="SRW76" s="954"/>
      <c r="SRX76" s="954"/>
      <c r="SRY76" s="954"/>
      <c r="SRZ76" s="954"/>
      <c r="SSA76" s="954"/>
      <c r="SSB76" s="954"/>
      <c r="SSC76" s="954"/>
      <c r="SSD76" s="954"/>
      <c r="SSE76" s="954"/>
      <c r="SSF76" s="954"/>
      <c r="SSG76" s="954"/>
      <c r="SSH76" s="954"/>
      <c r="SSI76" s="954"/>
      <c r="SSJ76" s="954"/>
      <c r="SSK76" s="954"/>
      <c r="SSL76" s="954"/>
      <c r="SSM76" s="954"/>
      <c r="SSN76" s="954"/>
      <c r="SSO76" s="954"/>
      <c r="SSP76" s="954"/>
      <c r="SSQ76" s="954"/>
      <c r="SSR76" s="954"/>
      <c r="SSS76" s="954"/>
      <c r="SST76" s="954"/>
      <c r="SSU76" s="954"/>
      <c r="SSV76" s="954"/>
      <c r="SSW76" s="954"/>
      <c r="SSX76" s="954"/>
      <c r="SSY76" s="954"/>
      <c r="SSZ76" s="954"/>
      <c r="STA76" s="954"/>
      <c r="STB76" s="954"/>
      <c r="STC76" s="954"/>
      <c r="STD76" s="954"/>
      <c r="STE76" s="954"/>
      <c r="STF76" s="954"/>
      <c r="STG76" s="954"/>
      <c r="STH76" s="954"/>
      <c r="STI76" s="954"/>
      <c r="STJ76" s="954"/>
      <c r="STK76" s="954"/>
      <c r="STL76" s="954"/>
      <c r="STM76" s="954"/>
      <c r="STN76" s="954"/>
      <c r="STO76" s="954"/>
      <c r="STP76" s="954"/>
      <c r="STQ76" s="954"/>
      <c r="STR76" s="954"/>
      <c r="STS76" s="954"/>
      <c r="STT76" s="954"/>
      <c r="STU76" s="954"/>
      <c r="STV76" s="954"/>
      <c r="STW76" s="954"/>
      <c r="STX76" s="954"/>
      <c r="STY76" s="954"/>
      <c r="STZ76" s="954"/>
      <c r="SUA76" s="954"/>
      <c r="SUB76" s="954"/>
      <c r="SUC76" s="954"/>
      <c r="SUD76" s="954"/>
      <c r="SUE76" s="954"/>
      <c r="SUF76" s="954"/>
      <c r="SUG76" s="954"/>
      <c r="SUH76" s="954"/>
      <c r="SUI76" s="954"/>
      <c r="SUJ76" s="954"/>
      <c r="SUK76" s="954"/>
      <c r="SUL76" s="954"/>
      <c r="SUM76" s="954"/>
      <c r="SUN76" s="954"/>
      <c r="SUO76" s="954"/>
      <c r="SUP76" s="954"/>
      <c r="SUQ76" s="954"/>
      <c r="SUR76" s="954"/>
      <c r="SUS76" s="954"/>
      <c r="SUT76" s="954"/>
      <c r="SUU76" s="954"/>
      <c r="SUV76" s="954"/>
      <c r="SUW76" s="954"/>
      <c r="SUX76" s="954"/>
      <c r="SUY76" s="954"/>
      <c r="SUZ76" s="954"/>
      <c r="SVA76" s="954"/>
      <c r="SVB76" s="954"/>
      <c r="SVC76" s="954"/>
      <c r="SVD76" s="954"/>
      <c r="SVE76" s="954"/>
      <c r="SVF76" s="954"/>
      <c r="SVG76" s="954"/>
      <c r="SVH76" s="954"/>
      <c r="SVI76" s="954"/>
      <c r="SVJ76" s="954"/>
      <c r="SVK76" s="954"/>
      <c r="SVL76" s="954"/>
      <c r="SVM76" s="954"/>
      <c r="SVN76" s="954"/>
      <c r="SVO76" s="954"/>
      <c r="SVP76" s="954"/>
      <c r="SVQ76" s="954"/>
      <c r="SVR76" s="954"/>
      <c r="SVS76" s="954"/>
      <c r="SVT76" s="954"/>
      <c r="SVU76" s="954"/>
      <c r="SVV76" s="954"/>
      <c r="SVW76" s="954"/>
      <c r="SVX76" s="954"/>
      <c r="SVY76" s="954"/>
      <c r="SVZ76" s="954"/>
      <c r="SWA76" s="954"/>
      <c r="SWB76" s="954"/>
      <c r="SWC76" s="954"/>
      <c r="SWD76" s="954"/>
      <c r="SWE76" s="954"/>
      <c r="SWF76" s="954"/>
      <c r="SWG76" s="954"/>
      <c r="SWH76" s="954"/>
      <c r="SWI76" s="954"/>
      <c r="SWJ76" s="954"/>
      <c r="SWK76" s="954"/>
      <c r="SWL76" s="954"/>
      <c r="SWM76" s="954"/>
      <c r="SWN76" s="954"/>
      <c r="SWO76" s="954"/>
      <c r="SWP76" s="954"/>
      <c r="SWQ76" s="954"/>
      <c r="SWR76" s="954"/>
      <c r="SWS76" s="954"/>
      <c r="SWT76" s="954"/>
      <c r="SWU76" s="954"/>
      <c r="SWV76" s="954"/>
      <c r="SWW76" s="954"/>
      <c r="SWX76" s="954"/>
      <c r="SWY76" s="954"/>
      <c r="SWZ76" s="954"/>
      <c r="SXA76" s="954"/>
      <c r="SXB76" s="954"/>
      <c r="SXC76" s="954"/>
      <c r="SXD76" s="954"/>
      <c r="SXE76" s="954"/>
      <c r="SXF76" s="954"/>
      <c r="SXG76" s="954"/>
      <c r="SXH76" s="954"/>
      <c r="SXI76" s="954"/>
      <c r="SXJ76" s="954"/>
      <c r="SXK76" s="954"/>
      <c r="SXL76" s="954"/>
      <c r="SXM76" s="954"/>
      <c r="SXN76" s="954"/>
      <c r="SXO76" s="954"/>
      <c r="SXP76" s="954"/>
      <c r="SXQ76" s="954"/>
      <c r="SXR76" s="954"/>
      <c r="SXS76" s="954"/>
      <c r="SXT76" s="954"/>
      <c r="SXU76" s="954"/>
      <c r="SXV76" s="954"/>
      <c r="SXW76" s="954"/>
      <c r="SXX76" s="954"/>
      <c r="SXY76" s="954"/>
      <c r="SXZ76" s="954"/>
      <c r="SYA76" s="954"/>
      <c r="SYB76" s="954"/>
      <c r="SYC76" s="954"/>
      <c r="SYD76" s="954"/>
      <c r="SYE76" s="954"/>
      <c r="SYF76" s="954"/>
      <c r="SYG76" s="954"/>
      <c r="SYH76" s="954"/>
      <c r="SYI76" s="954"/>
      <c r="SYJ76" s="954"/>
      <c r="SYK76" s="954"/>
      <c r="SYL76" s="954"/>
      <c r="SYM76" s="954"/>
      <c r="SYN76" s="954"/>
      <c r="SYO76" s="954"/>
      <c r="SYP76" s="954"/>
      <c r="SYQ76" s="954"/>
      <c r="SYR76" s="954"/>
      <c r="SYS76" s="954"/>
      <c r="SYT76" s="954"/>
      <c r="SYU76" s="954"/>
      <c r="SYV76" s="954"/>
      <c r="SYW76" s="954"/>
      <c r="SYX76" s="954"/>
      <c r="SYY76" s="954"/>
      <c r="SYZ76" s="954"/>
      <c r="SZA76" s="954"/>
      <c r="SZB76" s="954"/>
      <c r="SZC76" s="954"/>
      <c r="SZD76" s="954"/>
      <c r="SZE76" s="954"/>
      <c r="SZF76" s="954"/>
      <c r="SZG76" s="954"/>
      <c r="SZH76" s="954"/>
      <c r="SZI76" s="954"/>
      <c r="SZJ76" s="954"/>
      <c r="SZK76" s="954"/>
      <c r="SZL76" s="954"/>
      <c r="SZM76" s="954"/>
      <c r="SZN76" s="954"/>
      <c r="SZO76" s="954"/>
      <c r="SZP76" s="954"/>
      <c r="SZQ76" s="954"/>
      <c r="SZR76" s="954"/>
      <c r="SZS76" s="954"/>
      <c r="SZT76" s="954"/>
      <c r="SZU76" s="954"/>
      <c r="SZV76" s="954"/>
      <c r="SZW76" s="954"/>
      <c r="SZX76" s="954"/>
      <c r="SZY76" s="954"/>
      <c r="SZZ76" s="954"/>
      <c r="TAA76" s="954"/>
      <c r="TAB76" s="954"/>
      <c r="TAC76" s="954"/>
      <c r="TAD76" s="954"/>
      <c r="TAE76" s="954"/>
      <c r="TAF76" s="954"/>
      <c r="TAG76" s="954"/>
      <c r="TAH76" s="954"/>
      <c r="TAI76" s="954"/>
      <c r="TAJ76" s="954"/>
      <c r="TAK76" s="954"/>
      <c r="TAL76" s="954"/>
      <c r="TAM76" s="954"/>
      <c r="TAN76" s="954"/>
      <c r="TAO76" s="954"/>
      <c r="TAP76" s="954"/>
      <c r="TAQ76" s="954"/>
      <c r="TAR76" s="954"/>
      <c r="TAS76" s="954"/>
      <c r="TAT76" s="954"/>
      <c r="TAU76" s="954"/>
      <c r="TAV76" s="954"/>
      <c r="TAW76" s="954"/>
      <c r="TAX76" s="954"/>
      <c r="TAY76" s="954"/>
      <c r="TAZ76" s="954"/>
      <c r="TBA76" s="954"/>
      <c r="TBB76" s="954"/>
      <c r="TBC76" s="954"/>
      <c r="TBD76" s="954"/>
      <c r="TBE76" s="954"/>
      <c r="TBF76" s="954"/>
      <c r="TBG76" s="954"/>
      <c r="TBH76" s="954"/>
      <c r="TBI76" s="954"/>
      <c r="TBJ76" s="954"/>
      <c r="TBK76" s="954"/>
      <c r="TBL76" s="954"/>
      <c r="TBM76" s="954"/>
      <c r="TBN76" s="954"/>
      <c r="TBO76" s="954"/>
      <c r="TBP76" s="954"/>
      <c r="TBQ76" s="954"/>
      <c r="TBR76" s="954"/>
      <c r="TBS76" s="954"/>
      <c r="TBT76" s="954"/>
      <c r="TBU76" s="954"/>
      <c r="TBV76" s="954"/>
      <c r="TBW76" s="954"/>
      <c r="TBX76" s="954"/>
      <c r="TBY76" s="954"/>
      <c r="TBZ76" s="954"/>
      <c r="TCA76" s="954"/>
      <c r="TCB76" s="954"/>
      <c r="TCC76" s="954"/>
      <c r="TCD76" s="954"/>
      <c r="TCE76" s="954"/>
      <c r="TCF76" s="954"/>
      <c r="TCG76" s="954"/>
      <c r="TCH76" s="954"/>
      <c r="TCI76" s="954"/>
      <c r="TCJ76" s="954"/>
      <c r="TCK76" s="954"/>
      <c r="TCL76" s="954"/>
      <c r="TCM76" s="954"/>
      <c r="TCN76" s="954"/>
      <c r="TCO76" s="954"/>
      <c r="TCP76" s="954"/>
      <c r="TCQ76" s="954"/>
      <c r="TCR76" s="954"/>
      <c r="TCS76" s="954"/>
      <c r="TCT76" s="954"/>
      <c r="TCU76" s="954"/>
      <c r="TCV76" s="954"/>
      <c r="TCW76" s="954"/>
      <c r="TCX76" s="954"/>
      <c r="TCY76" s="954"/>
      <c r="TCZ76" s="954"/>
      <c r="TDA76" s="954"/>
      <c r="TDB76" s="954"/>
      <c r="TDC76" s="954"/>
      <c r="TDD76" s="954"/>
      <c r="TDE76" s="954"/>
      <c r="TDF76" s="954"/>
      <c r="TDG76" s="954"/>
      <c r="TDH76" s="954"/>
      <c r="TDI76" s="954"/>
      <c r="TDJ76" s="954"/>
      <c r="TDK76" s="954"/>
      <c r="TDL76" s="954"/>
      <c r="TDM76" s="954"/>
      <c r="TDN76" s="954"/>
      <c r="TDO76" s="954"/>
      <c r="TDP76" s="954"/>
      <c r="TDQ76" s="954"/>
      <c r="TDR76" s="954"/>
      <c r="TDS76" s="954"/>
      <c r="TDT76" s="954"/>
      <c r="TDU76" s="954"/>
      <c r="TDV76" s="954"/>
      <c r="TDW76" s="954"/>
      <c r="TDX76" s="954"/>
      <c r="TDY76" s="954"/>
      <c r="TDZ76" s="954"/>
      <c r="TEA76" s="954"/>
      <c r="TEB76" s="954"/>
      <c r="TEC76" s="954"/>
      <c r="TED76" s="954"/>
      <c r="TEE76" s="954"/>
      <c r="TEF76" s="954"/>
      <c r="TEG76" s="954"/>
      <c r="TEH76" s="954"/>
      <c r="TEI76" s="954"/>
      <c r="TEJ76" s="954"/>
      <c r="TEK76" s="954"/>
      <c r="TEL76" s="954"/>
      <c r="TEM76" s="954"/>
      <c r="TEN76" s="954"/>
      <c r="TEO76" s="954"/>
      <c r="TEP76" s="954"/>
      <c r="TEQ76" s="954"/>
      <c r="TER76" s="954"/>
      <c r="TES76" s="954"/>
      <c r="TET76" s="954"/>
      <c r="TEU76" s="954"/>
      <c r="TEV76" s="954"/>
      <c r="TEW76" s="954"/>
      <c r="TEX76" s="954"/>
      <c r="TEY76" s="954"/>
      <c r="TEZ76" s="954"/>
      <c r="TFA76" s="954"/>
      <c r="TFB76" s="954"/>
      <c r="TFC76" s="954"/>
      <c r="TFD76" s="954"/>
      <c r="TFE76" s="954"/>
      <c r="TFF76" s="954"/>
      <c r="TFG76" s="954"/>
      <c r="TFH76" s="954"/>
      <c r="TFI76" s="954"/>
      <c r="TFJ76" s="954"/>
      <c r="TFK76" s="954"/>
      <c r="TFL76" s="954"/>
      <c r="TFM76" s="954"/>
      <c r="TFN76" s="954"/>
      <c r="TFO76" s="954"/>
      <c r="TFP76" s="954"/>
      <c r="TFQ76" s="954"/>
      <c r="TFR76" s="954"/>
      <c r="TFS76" s="954"/>
      <c r="TFT76" s="954"/>
      <c r="TFU76" s="954"/>
      <c r="TFV76" s="954"/>
      <c r="TFW76" s="954"/>
      <c r="TFX76" s="954"/>
      <c r="TFY76" s="954"/>
      <c r="TFZ76" s="954"/>
      <c r="TGA76" s="954"/>
      <c r="TGB76" s="954"/>
      <c r="TGC76" s="954"/>
      <c r="TGD76" s="954"/>
      <c r="TGE76" s="954"/>
      <c r="TGF76" s="954"/>
      <c r="TGG76" s="954"/>
      <c r="TGH76" s="954"/>
      <c r="TGI76" s="954"/>
      <c r="TGJ76" s="954"/>
      <c r="TGK76" s="954"/>
      <c r="TGL76" s="954"/>
      <c r="TGM76" s="954"/>
      <c r="TGN76" s="954"/>
      <c r="TGO76" s="954"/>
      <c r="TGP76" s="954"/>
      <c r="TGQ76" s="954"/>
      <c r="TGR76" s="954"/>
      <c r="TGS76" s="954"/>
      <c r="TGT76" s="954"/>
      <c r="TGU76" s="954"/>
      <c r="TGV76" s="954"/>
      <c r="TGW76" s="954"/>
      <c r="TGX76" s="954"/>
      <c r="TGY76" s="954"/>
      <c r="TGZ76" s="954"/>
      <c r="THA76" s="954"/>
      <c r="THB76" s="954"/>
      <c r="THC76" s="954"/>
      <c r="THD76" s="954"/>
      <c r="THE76" s="954"/>
      <c r="THF76" s="954"/>
      <c r="THG76" s="954"/>
      <c r="THH76" s="954"/>
      <c r="THI76" s="954"/>
      <c r="THJ76" s="954"/>
      <c r="THK76" s="954"/>
      <c r="THL76" s="954"/>
      <c r="THM76" s="954"/>
      <c r="THN76" s="954"/>
      <c r="THO76" s="954"/>
      <c r="THP76" s="954"/>
      <c r="THQ76" s="954"/>
      <c r="THR76" s="954"/>
      <c r="THS76" s="954"/>
      <c r="THT76" s="954"/>
      <c r="THU76" s="954"/>
      <c r="THV76" s="954"/>
      <c r="THW76" s="954"/>
      <c r="THX76" s="954"/>
      <c r="THY76" s="954"/>
      <c r="THZ76" s="954"/>
      <c r="TIA76" s="954"/>
      <c r="TIB76" s="954"/>
      <c r="TIC76" s="954"/>
      <c r="TID76" s="954"/>
      <c r="TIE76" s="954"/>
      <c r="TIF76" s="954"/>
      <c r="TIG76" s="954"/>
      <c r="TIH76" s="954"/>
      <c r="TII76" s="954"/>
      <c r="TIJ76" s="954"/>
      <c r="TIK76" s="954"/>
      <c r="TIL76" s="954"/>
      <c r="TIM76" s="954"/>
      <c r="TIN76" s="954"/>
      <c r="TIO76" s="954"/>
      <c r="TIP76" s="954"/>
      <c r="TIQ76" s="954"/>
      <c r="TIR76" s="954"/>
      <c r="TIS76" s="954"/>
      <c r="TIT76" s="954"/>
      <c r="TIU76" s="954"/>
      <c r="TIV76" s="954"/>
      <c r="TIW76" s="954"/>
      <c r="TIX76" s="954"/>
      <c r="TIY76" s="954"/>
      <c r="TIZ76" s="954"/>
      <c r="TJA76" s="954"/>
      <c r="TJB76" s="954"/>
      <c r="TJC76" s="954"/>
      <c r="TJD76" s="954"/>
      <c r="TJE76" s="954"/>
      <c r="TJF76" s="954"/>
      <c r="TJG76" s="954"/>
      <c r="TJH76" s="954"/>
      <c r="TJI76" s="954"/>
      <c r="TJJ76" s="954"/>
      <c r="TJK76" s="954"/>
      <c r="TJL76" s="954"/>
      <c r="TJM76" s="954"/>
      <c r="TJN76" s="954"/>
      <c r="TJO76" s="954"/>
      <c r="TJP76" s="954"/>
      <c r="TJQ76" s="954"/>
      <c r="TJR76" s="954"/>
      <c r="TJS76" s="954"/>
      <c r="TJT76" s="954"/>
      <c r="TJU76" s="954"/>
      <c r="TJV76" s="954"/>
      <c r="TJW76" s="954"/>
      <c r="TJX76" s="954"/>
      <c r="TJY76" s="954"/>
      <c r="TJZ76" s="954"/>
      <c r="TKA76" s="954"/>
      <c r="TKB76" s="954"/>
      <c r="TKC76" s="954"/>
      <c r="TKD76" s="954"/>
      <c r="TKE76" s="954"/>
      <c r="TKF76" s="954"/>
      <c r="TKG76" s="954"/>
      <c r="TKH76" s="954"/>
      <c r="TKI76" s="954"/>
      <c r="TKJ76" s="954"/>
      <c r="TKK76" s="954"/>
      <c r="TKL76" s="954"/>
      <c r="TKM76" s="954"/>
      <c r="TKN76" s="954"/>
      <c r="TKO76" s="954"/>
      <c r="TKP76" s="954"/>
      <c r="TKQ76" s="954"/>
      <c r="TKR76" s="954"/>
      <c r="TKS76" s="954"/>
      <c r="TKT76" s="954"/>
      <c r="TKU76" s="954"/>
      <c r="TKV76" s="954"/>
      <c r="TKW76" s="954"/>
      <c r="TKX76" s="954"/>
      <c r="TKY76" s="954"/>
      <c r="TKZ76" s="954"/>
      <c r="TLA76" s="954"/>
      <c r="TLB76" s="954"/>
      <c r="TLC76" s="954"/>
      <c r="TLD76" s="954"/>
      <c r="TLE76" s="954"/>
      <c r="TLF76" s="954"/>
      <c r="TLG76" s="954"/>
      <c r="TLH76" s="954"/>
      <c r="TLI76" s="954"/>
      <c r="TLJ76" s="954"/>
      <c r="TLK76" s="954"/>
      <c r="TLL76" s="954"/>
      <c r="TLM76" s="954"/>
      <c r="TLN76" s="954"/>
      <c r="TLO76" s="954"/>
      <c r="TLP76" s="954"/>
      <c r="TLQ76" s="954"/>
      <c r="TLR76" s="954"/>
      <c r="TLS76" s="954"/>
      <c r="TLT76" s="954"/>
      <c r="TLU76" s="954"/>
      <c r="TLV76" s="954"/>
      <c r="TLW76" s="954"/>
      <c r="TLX76" s="954"/>
      <c r="TLY76" s="954"/>
      <c r="TLZ76" s="954"/>
      <c r="TMA76" s="954"/>
      <c r="TMB76" s="954"/>
      <c r="TMC76" s="954"/>
      <c r="TMD76" s="954"/>
      <c r="TME76" s="954"/>
      <c r="TMF76" s="954"/>
      <c r="TMG76" s="954"/>
      <c r="TMH76" s="954"/>
      <c r="TMI76" s="954"/>
      <c r="TMJ76" s="954"/>
      <c r="TMK76" s="954"/>
      <c r="TML76" s="954"/>
      <c r="TMM76" s="954"/>
      <c r="TMN76" s="954"/>
      <c r="TMO76" s="954"/>
      <c r="TMP76" s="954"/>
      <c r="TMQ76" s="954"/>
      <c r="TMR76" s="954"/>
      <c r="TMS76" s="954"/>
      <c r="TMT76" s="954"/>
      <c r="TMU76" s="954"/>
      <c r="TMV76" s="954"/>
      <c r="TMW76" s="954"/>
      <c r="TMX76" s="954"/>
      <c r="TMY76" s="954"/>
      <c r="TMZ76" s="954"/>
      <c r="TNA76" s="954"/>
      <c r="TNB76" s="954"/>
      <c r="TNC76" s="954"/>
      <c r="TND76" s="954"/>
      <c r="TNE76" s="954"/>
      <c r="TNF76" s="954"/>
      <c r="TNG76" s="954"/>
      <c r="TNH76" s="954"/>
      <c r="TNI76" s="954"/>
      <c r="TNJ76" s="954"/>
      <c r="TNK76" s="954"/>
      <c r="TNL76" s="954"/>
      <c r="TNM76" s="954"/>
      <c r="TNN76" s="954"/>
      <c r="TNO76" s="954"/>
      <c r="TNP76" s="954"/>
      <c r="TNQ76" s="954"/>
      <c r="TNR76" s="954"/>
      <c r="TNS76" s="954"/>
      <c r="TNT76" s="954"/>
      <c r="TNU76" s="954"/>
      <c r="TNV76" s="954"/>
      <c r="TNW76" s="954"/>
      <c r="TNX76" s="954"/>
      <c r="TNY76" s="954"/>
      <c r="TNZ76" s="954"/>
      <c r="TOA76" s="954"/>
      <c r="TOB76" s="954"/>
      <c r="TOC76" s="954"/>
      <c r="TOD76" s="954"/>
      <c r="TOE76" s="954"/>
      <c r="TOF76" s="954"/>
      <c r="TOG76" s="954"/>
      <c r="TOH76" s="954"/>
      <c r="TOI76" s="954"/>
      <c r="TOJ76" s="954"/>
      <c r="TOK76" s="954"/>
      <c r="TOL76" s="954"/>
      <c r="TOM76" s="954"/>
      <c r="TON76" s="954"/>
      <c r="TOO76" s="954"/>
      <c r="TOP76" s="954"/>
      <c r="TOQ76" s="954"/>
      <c r="TOR76" s="954"/>
      <c r="TOS76" s="954"/>
      <c r="TOT76" s="954"/>
      <c r="TOU76" s="954"/>
      <c r="TOV76" s="954"/>
      <c r="TOW76" s="954"/>
      <c r="TOX76" s="954"/>
      <c r="TOY76" s="954"/>
      <c r="TOZ76" s="954"/>
      <c r="TPA76" s="954"/>
      <c r="TPB76" s="954"/>
      <c r="TPC76" s="954"/>
      <c r="TPD76" s="954"/>
      <c r="TPE76" s="954"/>
      <c r="TPF76" s="954"/>
      <c r="TPG76" s="954"/>
      <c r="TPH76" s="954"/>
      <c r="TPI76" s="954"/>
      <c r="TPJ76" s="954"/>
      <c r="TPK76" s="954"/>
      <c r="TPL76" s="954"/>
      <c r="TPM76" s="954"/>
      <c r="TPN76" s="954"/>
      <c r="TPO76" s="954"/>
      <c r="TPP76" s="954"/>
      <c r="TPQ76" s="954"/>
      <c r="TPR76" s="954"/>
      <c r="TPS76" s="954"/>
      <c r="TPT76" s="954"/>
      <c r="TPU76" s="954"/>
      <c r="TPV76" s="954"/>
      <c r="TPW76" s="954"/>
      <c r="TPX76" s="954"/>
      <c r="TPY76" s="954"/>
      <c r="TPZ76" s="954"/>
      <c r="TQA76" s="954"/>
      <c r="TQB76" s="954"/>
      <c r="TQC76" s="954"/>
      <c r="TQD76" s="954"/>
      <c r="TQE76" s="954"/>
      <c r="TQF76" s="954"/>
      <c r="TQG76" s="954"/>
      <c r="TQH76" s="954"/>
      <c r="TQI76" s="954"/>
      <c r="TQJ76" s="954"/>
      <c r="TQK76" s="954"/>
      <c r="TQL76" s="954"/>
      <c r="TQM76" s="954"/>
      <c r="TQN76" s="954"/>
      <c r="TQO76" s="954"/>
      <c r="TQP76" s="954"/>
      <c r="TQQ76" s="954"/>
      <c r="TQR76" s="954"/>
      <c r="TQS76" s="954"/>
      <c r="TQT76" s="954"/>
      <c r="TQU76" s="954"/>
      <c r="TQV76" s="954"/>
      <c r="TQW76" s="954"/>
      <c r="TQX76" s="954"/>
      <c r="TQY76" s="954"/>
      <c r="TQZ76" s="954"/>
      <c r="TRA76" s="954"/>
      <c r="TRB76" s="954"/>
      <c r="TRC76" s="954"/>
      <c r="TRD76" s="954"/>
      <c r="TRE76" s="954"/>
      <c r="TRF76" s="954"/>
      <c r="TRG76" s="954"/>
      <c r="TRH76" s="954"/>
      <c r="TRI76" s="954"/>
      <c r="TRJ76" s="954"/>
      <c r="TRK76" s="954"/>
      <c r="TRL76" s="954"/>
      <c r="TRM76" s="954"/>
      <c r="TRN76" s="954"/>
      <c r="TRO76" s="954"/>
      <c r="TRP76" s="954"/>
      <c r="TRQ76" s="954"/>
      <c r="TRR76" s="954"/>
      <c r="TRS76" s="954"/>
      <c r="TRT76" s="954"/>
      <c r="TRU76" s="954"/>
      <c r="TRV76" s="954"/>
      <c r="TRW76" s="954"/>
      <c r="TRX76" s="954"/>
      <c r="TRY76" s="954"/>
      <c r="TRZ76" s="954"/>
      <c r="TSA76" s="954"/>
      <c r="TSB76" s="954"/>
      <c r="TSC76" s="954"/>
      <c r="TSD76" s="954"/>
      <c r="TSE76" s="954"/>
      <c r="TSF76" s="954"/>
      <c r="TSG76" s="954"/>
      <c r="TSH76" s="954"/>
      <c r="TSI76" s="954"/>
      <c r="TSJ76" s="954"/>
      <c r="TSK76" s="954"/>
      <c r="TSL76" s="954"/>
      <c r="TSM76" s="954"/>
      <c r="TSN76" s="954"/>
      <c r="TSO76" s="954"/>
      <c r="TSP76" s="954"/>
      <c r="TSQ76" s="954"/>
      <c r="TSR76" s="954"/>
      <c r="TSS76" s="954"/>
      <c r="TST76" s="954"/>
      <c r="TSU76" s="954"/>
      <c r="TSV76" s="954"/>
      <c r="TSW76" s="954"/>
      <c r="TSX76" s="954"/>
      <c r="TSY76" s="954"/>
      <c r="TSZ76" s="954"/>
      <c r="TTA76" s="954"/>
      <c r="TTB76" s="954"/>
      <c r="TTC76" s="954"/>
      <c r="TTD76" s="954"/>
      <c r="TTE76" s="954"/>
      <c r="TTF76" s="954"/>
      <c r="TTG76" s="954"/>
      <c r="TTH76" s="954"/>
      <c r="TTI76" s="954"/>
      <c r="TTJ76" s="954"/>
      <c r="TTK76" s="954"/>
      <c r="TTL76" s="954"/>
      <c r="TTM76" s="954"/>
      <c r="TTN76" s="954"/>
      <c r="TTO76" s="954"/>
      <c r="TTP76" s="954"/>
      <c r="TTQ76" s="954"/>
      <c r="TTR76" s="954"/>
      <c r="TTS76" s="954"/>
      <c r="TTT76" s="954"/>
      <c r="TTU76" s="954"/>
      <c r="TTV76" s="954"/>
      <c r="TTW76" s="954"/>
      <c r="TTX76" s="954"/>
      <c r="TTY76" s="954"/>
      <c r="TTZ76" s="954"/>
      <c r="TUA76" s="954"/>
      <c r="TUB76" s="954"/>
      <c r="TUC76" s="954"/>
      <c r="TUD76" s="954"/>
      <c r="TUE76" s="954"/>
      <c r="TUF76" s="954"/>
      <c r="TUG76" s="954"/>
      <c r="TUH76" s="954"/>
      <c r="TUI76" s="954"/>
      <c r="TUJ76" s="954"/>
      <c r="TUK76" s="954"/>
      <c r="TUL76" s="954"/>
      <c r="TUM76" s="954"/>
      <c r="TUN76" s="954"/>
      <c r="TUO76" s="954"/>
      <c r="TUP76" s="954"/>
      <c r="TUQ76" s="954"/>
      <c r="TUR76" s="954"/>
      <c r="TUS76" s="954"/>
      <c r="TUT76" s="954"/>
      <c r="TUU76" s="954"/>
      <c r="TUV76" s="954"/>
      <c r="TUW76" s="954"/>
      <c r="TUX76" s="954"/>
      <c r="TUY76" s="954"/>
      <c r="TUZ76" s="954"/>
      <c r="TVA76" s="954"/>
      <c r="TVB76" s="954"/>
      <c r="TVC76" s="954"/>
      <c r="TVD76" s="954"/>
      <c r="TVE76" s="954"/>
      <c r="TVF76" s="954"/>
      <c r="TVG76" s="954"/>
      <c r="TVH76" s="954"/>
      <c r="TVI76" s="954"/>
      <c r="TVJ76" s="954"/>
      <c r="TVK76" s="954"/>
      <c r="TVL76" s="954"/>
      <c r="TVM76" s="954"/>
      <c r="TVN76" s="954"/>
      <c r="TVO76" s="954"/>
      <c r="TVP76" s="954"/>
      <c r="TVQ76" s="954"/>
      <c r="TVR76" s="954"/>
      <c r="TVS76" s="954"/>
      <c r="TVT76" s="954"/>
      <c r="TVU76" s="954"/>
      <c r="TVV76" s="954"/>
      <c r="TVW76" s="954"/>
      <c r="TVX76" s="954"/>
      <c r="TVY76" s="954"/>
      <c r="TVZ76" s="954"/>
      <c r="TWA76" s="954"/>
      <c r="TWB76" s="954"/>
      <c r="TWC76" s="954"/>
      <c r="TWD76" s="954"/>
      <c r="TWE76" s="954"/>
      <c r="TWF76" s="954"/>
      <c r="TWG76" s="954"/>
      <c r="TWH76" s="954"/>
      <c r="TWI76" s="954"/>
      <c r="TWJ76" s="954"/>
      <c r="TWK76" s="954"/>
      <c r="TWL76" s="954"/>
      <c r="TWM76" s="954"/>
      <c r="TWN76" s="954"/>
      <c r="TWO76" s="954"/>
      <c r="TWP76" s="954"/>
      <c r="TWQ76" s="954"/>
      <c r="TWR76" s="954"/>
      <c r="TWS76" s="954"/>
      <c r="TWT76" s="954"/>
      <c r="TWU76" s="954"/>
      <c r="TWV76" s="954"/>
      <c r="TWW76" s="954"/>
      <c r="TWX76" s="954"/>
      <c r="TWY76" s="954"/>
      <c r="TWZ76" s="954"/>
      <c r="TXA76" s="954"/>
      <c r="TXB76" s="954"/>
      <c r="TXC76" s="954"/>
      <c r="TXD76" s="954"/>
      <c r="TXE76" s="954"/>
      <c r="TXF76" s="954"/>
      <c r="TXG76" s="954"/>
      <c r="TXH76" s="954"/>
      <c r="TXI76" s="954"/>
      <c r="TXJ76" s="954"/>
      <c r="TXK76" s="954"/>
      <c r="TXL76" s="954"/>
      <c r="TXM76" s="954"/>
      <c r="TXN76" s="954"/>
      <c r="TXO76" s="954"/>
      <c r="TXP76" s="954"/>
      <c r="TXQ76" s="954"/>
      <c r="TXR76" s="954"/>
      <c r="TXS76" s="954"/>
      <c r="TXT76" s="954"/>
      <c r="TXU76" s="954"/>
      <c r="TXV76" s="954"/>
      <c r="TXW76" s="954"/>
      <c r="TXX76" s="954"/>
      <c r="TXY76" s="954"/>
      <c r="TXZ76" s="954"/>
      <c r="TYA76" s="954"/>
      <c r="TYB76" s="954"/>
      <c r="TYC76" s="954"/>
      <c r="TYD76" s="954"/>
      <c r="TYE76" s="954"/>
      <c r="TYF76" s="954"/>
      <c r="TYG76" s="954"/>
      <c r="TYH76" s="954"/>
      <c r="TYI76" s="954"/>
      <c r="TYJ76" s="954"/>
      <c r="TYK76" s="954"/>
      <c r="TYL76" s="954"/>
      <c r="TYM76" s="954"/>
      <c r="TYN76" s="954"/>
      <c r="TYO76" s="954"/>
      <c r="TYP76" s="954"/>
      <c r="TYQ76" s="954"/>
      <c r="TYR76" s="954"/>
      <c r="TYS76" s="954"/>
      <c r="TYT76" s="954"/>
      <c r="TYU76" s="954"/>
      <c r="TYV76" s="954"/>
      <c r="TYW76" s="954"/>
      <c r="TYX76" s="954"/>
      <c r="TYY76" s="954"/>
      <c r="TYZ76" s="954"/>
      <c r="TZA76" s="954"/>
      <c r="TZB76" s="954"/>
      <c r="TZC76" s="954"/>
      <c r="TZD76" s="954"/>
      <c r="TZE76" s="954"/>
      <c r="TZF76" s="954"/>
      <c r="TZG76" s="954"/>
      <c r="TZH76" s="954"/>
      <c r="TZI76" s="954"/>
      <c r="TZJ76" s="954"/>
      <c r="TZK76" s="954"/>
      <c r="TZL76" s="954"/>
      <c r="TZM76" s="954"/>
      <c r="TZN76" s="954"/>
      <c r="TZO76" s="954"/>
      <c r="TZP76" s="954"/>
      <c r="TZQ76" s="954"/>
      <c r="TZR76" s="954"/>
      <c r="TZS76" s="954"/>
      <c r="TZT76" s="954"/>
      <c r="TZU76" s="954"/>
      <c r="TZV76" s="954"/>
      <c r="TZW76" s="954"/>
      <c r="TZX76" s="954"/>
      <c r="TZY76" s="954"/>
      <c r="TZZ76" s="954"/>
      <c r="UAA76" s="954"/>
      <c r="UAB76" s="954"/>
      <c r="UAC76" s="954"/>
      <c r="UAD76" s="954"/>
      <c r="UAE76" s="954"/>
      <c r="UAF76" s="954"/>
      <c r="UAG76" s="954"/>
      <c r="UAH76" s="954"/>
      <c r="UAI76" s="954"/>
      <c r="UAJ76" s="954"/>
      <c r="UAK76" s="954"/>
      <c r="UAL76" s="954"/>
      <c r="UAM76" s="954"/>
      <c r="UAN76" s="954"/>
      <c r="UAO76" s="954"/>
      <c r="UAP76" s="954"/>
      <c r="UAQ76" s="954"/>
      <c r="UAR76" s="954"/>
      <c r="UAS76" s="954"/>
      <c r="UAT76" s="954"/>
      <c r="UAU76" s="954"/>
      <c r="UAV76" s="954"/>
      <c r="UAW76" s="954"/>
      <c r="UAX76" s="954"/>
      <c r="UAY76" s="954"/>
      <c r="UAZ76" s="954"/>
      <c r="UBA76" s="954"/>
      <c r="UBB76" s="954"/>
      <c r="UBC76" s="954"/>
      <c r="UBD76" s="954"/>
      <c r="UBE76" s="954"/>
      <c r="UBF76" s="954"/>
      <c r="UBG76" s="954"/>
      <c r="UBH76" s="954"/>
      <c r="UBI76" s="954"/>
      <c r="UBJ76" s="954"/>
      <c r="UBK76" s="954"/>
      <c r="UBL76" s="954"/>
      <c r="UBM76" s="954"/>
      <c r="UBN76" s="954"/>
      <c r="UBO76" s="954"/>
      <c r="UBP76" s="954"/>
      <c r="UBQ76" s="954"/>
      <c r="UBR76" s="954"/>
      <c r="UBS76" s="954"/>
      <c r="UBT76" s="954"/>
      <c r="UBU76" s="954"/>
      <c r="UBV76" s="954"/>
      <c r="UBW76" s="954"/>
      <c r="UBX76" s="954"/>
      <c r="UBY76" s="954"/>
      <c r="UBZ76" s="954"/>
      <c r="UCA76" s="954"/>
      <c r="UCB76" s="954"/>
      <c r="UCC76" s="954"/>
      <c r="UCD76" s="954"/>
      <c r="UCE76" s="954"/>
      <c r="UCF76" s="954"/>
      <c r="UCG76" s="954"/>
      <c r="UCH76" s="954"/>
      <c r="UCI76" s="954"/>
      <c r="UCJ76" s="954"/>
      <c r="UCK76" s="954"/>
      <c r="UCL76" s="954"/>
      <c r="UCM76" s="954"/>
      <c r="UCN76" s="954"/>
      <c r="UCO76" s="954"/>
      <c r="UCP76" s="954"/>
      <c r="UCQ76" s="954"/>
      <c r="UCR76" s="954"/>
      <c r="UCS76" s="954"/>
      <c r="UCT76" s="954"/>
      <c r="UCU76" s="954"/>
      <c r="UCV76" s="954"/>
      <c r="UCW76" s="954"/>
      <c r="UCX76" s="954"/>
      <c r="UCY76" s="954"/>
      <c r="UCZ76" s="954"/>
      <c r="UDA76" s="954"/>
      <c r="UDB76" s="954"/>
      <c r="UDC76" s="954"/>
      <c r="UDD76" s="954"/>
      <c r="UDE76" s="954"/>
      <c r="UDF76" s="954"/>
      <c r="UDG76" s="954"/>
      <c r="UDH76" s="954"/>
      <c r="UDI76" s="954"/>
      <c r="UDJ76" s="954"/>
      <c r="UDK76" s="954"/>
      <c r="UDL76" s="954"/>
      <c r="UDM76" s="954"/>
      <c r="UDN76" s="954"/>
      <c r="UDO76" s="954"/>
      <c r="UDP76" s="954"/>
      <c r="UDQ76" s="954"/>
      <c r="UDR76" s="954"/>
      <c r="UDS76" s="954"/>
      <c r="UDT76" s="954"/>
      <c r="UDU76" s="954"/>
      <c r="UDV76" s="954"/>
      <c r="UDW76" s="954"/>
      <c r="UDX76" s="954"/>
      <c r="UDY76" s="954"/>
      <c r="UDZ76" s="954"/>
      <c r="UEA76" s="954"/>
      <c r="UEB76" s="954"/>
      <c r="UEC76" s="954"/>
      <c r="UED76" s="954"/>
      <c r="UEE76" s="954"/>
      <c r="UEF76" s="954"/>
      <c r="UEG76" s="954"/>
      <c r="UEH76" s="954"/>
      <c r="UEI76" s="954"/>
      <c r="UEJ76" s="954"/>
      <c r="UEK76" s="954"/>
      <c r="UEL76" s="954"/>
      <c r="UEM76" s="954"/>
      <c r="UEN76" s="954"/>
      <c r="UEO76" s="954"/>
      <c r="UEP76" s="954"/>
      <c r="UEQ76" s="954"/>
      <c r="UER76" s="954"/>
      <c r="UES76" s="954"/>
      <c r="UET76" s="954"/>
      <c r="UEU76" s="954"/>
      <c r="UEV76" s="954"/>
      <c r="UEW76" s="954"/>
      <c r="UEX76" s="954"/>
      <c r="UEY76" s="954"/>
      <c r="UEZ76" s="954"/>
      <c r="UFA76" s="954"/>
      <c r="UFB76" s="954"/>
      <c r="UFC76" s="954"/>
      <c r="UFD76" s="954"/>
      <c r="UFE76" s="954"/>
      <c r="UFF76" s="954"/>
      <c r="UFG76" s="954"/>
      <c r="UFH76" s="954"/>
      <c r="UFI76" s="954"/>
      <c r="UFJ76" s="954"/>
      <c r="UFK76" s="954"/>
      <c r="UFL76" s="954"/>
      <c r="UFM76" s="954"/>
      <c r="UFN76" s="954"/>
      <c r="UFO76" s="954"/>
      <c r="UFP76" s="954"/>
      <c r="UFQ76" s="954"/>
      <c r="UFR76" s="954"/>
      <c r="UFS76" s="954"/>
      <c r="UFT76" s="954"/>
      <c r="UFU76" s="954"/>
      <c r="UFV76" s="954"/>
      <c r="UFW76" s="954"/>
      <c r="UFX76" s="954"/>
      <c r="UFY76" s="954"/>
      <c r="UFZ76" s="954"/>
      <c r="UGA76" s="954"/>
      <c r="UGB76" s="954"/>
      <c r="UGC76" s="954"/>
      <c r="UGD76" s="954"/>
      <c r="UGE76" s="954"/>
      <c r="UGF76" s="954"/>
      <c r="UGG76" s="954"/>
      <c r="UGH76" s="954"/>
      <c r="UGI76" s="954"/>
      <c r="UGJ76" s="954"/>
      <c r="UGK76" s="954"/>
      <c r="UGL76" s="954"/>
      <c r="UGM76" s="954"/>
      <c r="UGN76" s="954"/>
      <c r="UGO76" s="954"/>
      <c r="UGP76" s="954"/>
      <c r="UGQ76" s="954"/>
      <c r="UGR76" s="954"/>
      <c r="UGS76" s="954"/>
      <c r="UGT76" s="954"/>
      <c r="UGU76" s="954"/>
      <c r="UGV76" s="954"/>
      <c r="UGW76" s="954"/>
      <c r="UGX76" s="954"/>
      <c r="UGY76" s="954"/>
      <c r="UGZ76" s="954"/>
      <c r="UHA76" s="954"/>
      <c r="UHB76" s="954"/>
      <c r="UHC76" s="954"/>
      <c r="UHD76" s="954"/>
      <c r="UHE76" s="954"/>
      <c r="UHF76" s="954"/>
      <c r="UHG76" s="954"/>
      <c r="UHH76" s="954"/>
      <c r="UHI76" s="954"/>
      <c r="UHJ76" s="954"/>
      <c r="UHK76" s="954"/>
      <c r="UHL76" s="954"/>
      <c r="UHM76" s="954"/>
      <c r="UHN76" s="954"/>
      <c r="UHO76" s="954"/>
      <c r="UHP76" s="954"/>
      <c r="UHQ76" s="954"/>
      <c r="UHR76" s="954"/>
      <c r="UHS76" s="954"/>
      <c r="UHT76" s="954"/>
      <c r="UHU76" s="954"/>
      <c r="UHV76" s="954"/>
      <c r="UHW76" s="954"/>
      <c r="UHX76" s="954"/>
      <c r="UHY76" s="954"/>
      <c r="UHZ76" s="954"/>
      <c r="UIA76" s="954"/>
      <c r="UIB76" s="954"/>
      <c r="UIC76" s="954"/>
      <c r="UID76" s="954"/>
      <c r="UIE76" s="954"/>
      <c r="UIF76" s="954"/>
      <c r="UIG76" s="954"/>
      <c r="UIH76" s="954"/>
      <c r="UII76" s="954"/>
      <c r="UIJ76" s="954"/>
      <c r="UIK76" s="954"/>
      <c r="UIL76" s="954"/>
      <c r="UIM76" s="954"/>
      <c r="UIN76" s="954"/>
      <c r="UIO76" s="954"/>
      <c r="UIP76" s="954"/>
      <c r="UIQ76" s="954"/>
      <c r="UIR76" s="954"/>
      <c r="UIS76" s="954"/>
      <c r="UIT76" s="954"/>
      <c r="UIU76" s="954"/>
      <c r="UIV76" s="954"/>
      <c r="UIW76" s="954"/>
      <c r="UIX76" s="954"/>
      <c r="UIY76" s="954"/>
      <c r="UIZ76" s="954"/>
      <c r="UJA76" s="954"/>
      <c r="UJB76" s="954"/>
      <c r="UJC76" s="954"/>
      <c r="UJD76" s="954"/>
      <c r="UJE76" s="954"/>
      <c r="UJF76" s="954"/>
      <c r="UJG76" s="954"/>
      <c r="UJH76" s="954"/>
      <c r="UJI76" s="954"/>
      <c r="UJJ76" s="954"/>
      <c r="UJK76" s="954"/>
      <c r="UJL76" s="954"/>
      <c r="UJM76" s="954"/>
      <c r="UJN76" s="954"/>
      <c r="UJO76" s="954"/>
      <c r="UJP76" s="954"/>
      <c r="UJQ76" s="954"/>
      <c r="UJR76" s="954"/>
      <c r="UJS76" s="954"/>
      <c r="UJT76" s="954"/>
      <c r="UJU76" s="954"/>
      <c r="UJV76" s="954"/>
      <c r="UJW76" s="954"/>
      <c r="UJX76" s="954"/>
      <c r="UJY76" s="954"/>
      <c r="UJZ76" s="954"/>
      <c r="UKA76" s="954"/>
      <c r="UKB76" s="954"/>
      <c r="UKC76" s="954"/>
      <c r="UKD76" s="954"/>
      <c r="UKE76" s="954"/>
      <c r="UKF76" s="954"/>
      <c r="UKG76" s="954"/>
      <c r="UKH76" s="954"/>
      <c r="UKI76" s="954"/>
      <c r="UKJ76" s="954"/>
      <c r="UKK76" s="954"/>
      <c r="UKL76" s="954"/>
      <c r="UKM76" s="954"/>
      <c r="UKN76" s="954"/>
      <c r="UKO76" s="954"/>
      <c r="UKP76" s="954"/>
      <c r="UKQ76" s="954"/>
      <c r="UKR76" s="954"/>
      <c r="UKS76" s="954"/>
      <c r="UKT76" s="954"/>
      <c r="UKU76" s="954"/>
      <c r="UKV76" s="954"/>
      <c r="UKW76" s="954"/>
      <c r="UKX76" s="954"/>
      <c r="UKY76" s="954"/>
      <c r="UKZ76" s="954"/>
      <c r="ULA76" s="954"/>
      <c r="ULB76" s="954"/>
      <c r="ULC76" s="954"/>
      <c r="ULD76" s="954"/>
      <c r="ULE76" s="954"/>
      <c r="ULF76" s="954"/>
      <c r="ULG76" s="954"/>
      <c r="ULH76" s="954"/>
      <c r="ULI76" s="954"/>
      <c r="ULJ76" s="954"/>
      <c r="ULK76" s="954"/>
      <c r="ULL76" s="954"/>
      <c r="ULM76" s="954"/>
      <c r="ULN76" s="954"/>
      <c r="ULO76" s="954"/>
      <c r="ULP76" s="954"/>
      <c r="ULQ76" s="954"/>
      <c r="ULR76" s="954"/>
      <c r="ULS76" s="954"/>
      <c r="ULT76" s="954"/>
      <c r="ULU76" s="954"/>
      <c r="ULV76" s="954"/>
      <c r="ULW76" s="954"/>
      <c r="ULX76" s="954"/>
      <c r="ULY76" s="954"/>
      <c r="ULZ76" s="954"/>
      <c r="UMA76" s="954"/>
      <c r="UMB76" s="954"/>
      <c r="UMC76" s="954"/>
      <c r="UMD76" s="954"/>
      <c r="UME76" s="954"/>
      <c r="UMF76" s="954"/>
      <c r="UMG76" s="954"/>
      <c r="UMH76" s="954"/>
      <c r="UMI76" s="954"/>
      <c r="UMJ76" s="954"/>
      <c r="UMK76" s="954"/>
      <c r="UML76" s="954"/>
      <c r="UMM76" s="954"/>
      <c r="UMN76" s="954"/>
      <c r="UMO76" s="954"/>
      <c r="UMP76" s="954"/>
      <c r="UMQ76" s="954"/>
      <c r="UMR76" s="954"/>
      <c r="UMS76" s="954"/>
      <c r="UMT76" s="954"/>
      <c r="UMU76" s="954"/>
      <c r="UMV76" s="954"/>
      <c r="UMW76" s="954"/>
      <c r="UMX76" s="954"/>
      <c r="UMY76" s="954"/>
      <c r="UMZ76" s="954"/>
      <c r="UNA76" s="954"/>
      <c r="UNB76" s="954"/>
      <c r="UNC76" s="954"/>
      <c r="UND76" s="954"/>
      <c r="UNE76" s="954"/>
      <c r="UNF76" s="954"/>
      <c r="UNG76" s="954"/>
      <c r="UNH76" s="954"/>
      <c r="UNI76" s="954"/>
      <c r="UNJ76" s="954"/>
      <c r="UNK76" s="954"/>
      <c r="UNL76" s="954"/>
      <c r="UNM76" s="954"/>
      <c r="UNN76" s="954"/>
      <c r="UNO76" s="954"/>
      <c r="UNP76" s="954"/>
      <c r="UNQ76" s="954"/>
      <c r="UNR76" s="954"/>
      <c r="UNS76" s="954"/>
      <c r="UNT76" s="954"/>
      <c r="UNU76" s="954"/>
      <c r="UNV76" s="954"/>
      <c r="UNW76" s="954"/>
      <c r="UNX76" s="954"/>
      <c r="UNY76" s="954"/>
      <c r="UNZ76" s="954"/>
      <c r="UOA76" s="954"/>
      <c r="UOB76" s="954"/>
      <c r="UOC76" s="954"/>
      <c r="UOD76" s="954"/>
      <c r="UOE76" s="954"/>
      <c r="UOF76" s="954"/>
      <c r="UOG76" s="954"/>
      <c r="UOH76" s="954"/>
      <c r="UOI76" s="954"/>
      <c r="UOJ76" s="954"/>
      <c r="UOK76" s="954"/>
      <c r="UOL76" s="954"/>
      <c r="UOM76" s="954"/>
      <c r="UON76" s="954"/>
      <c r="UOO76" s="954"/>
      <c r="UOP76" s="954"/>
      <c r="UOQ76" s="954"/>
      <c r="UOR76" s="954"/>
      <c r="UOS76" s="954"/>
      <c r="UOT76" s="954"/>
      <c r="UOU76" s="954"/>
      <c r="UOV76" s="954"/>
      <c r="UOW76" s="954"/>
      <c r="UOX76" s="954"/>
      <c r="UOY76" s="954"/>
      <c r="UOZ76" s="954"/>
      <c r="UPA76" s="954"/>
      <c r="UPB76" s="954"/>
      <c r="UPC76" s="954"/>
      <c r="UPD76" s="954"/>
      <c r="UPE76" s="954"/>
      <c r="UPF76" s="954"/>
      <c r="UPG76" s="954"/>
      <c r="UPH76" s="954"/>
      <c r="UPI76" s="954"/>
      <c r="UPJ76" s="954"/>
      <c r="UPK76" s="954"/>
      <c r="UPL76" s="954"/>
      <c r="UPM76" s="954"/>
      <c r="UPN76" s="954"/>
      <c r="UPO76" s="954"/>
      <c r="UPP76" s="954"/>
      <c r="UPQ76" s="954"/>
      <c r="UPR76" s="954"/>
      <c r="UPS76" s="954"/>
      <c r="UPT76" s="954"/>
      <c r="UPU76" s="954"/>
      <c r="UPV76" s="954"/>
      <c r="UPW76" s="954"/>
      <c r="UPX76" s="954"/>
      <c r="UPY76" s="954"/>
      <c r="UPZ76" s="954"/>
      <c r="UQA76" s="954"/>
      <c r="UQB76" s="954"/>
      <c r="UQC76" s="954"/>
      <c r="UQD76" s="954"/>
      <c r="UQE76" s="954"/>
      <c r="UQF76" s="954"/>
      <c r="UQG76" s="954"/>
      <c r="UQH76" s="954"/>
      <c r="UQI76" s="954"/>
      <c r="UQJ76" s="954"/>
      <c r="UQK76" s="954"/>
      <c r="UQL76" s="954"/>
      <c r="UQM76" s="954"/>
      <c r="UQN76" s="954"/>
      <c r="UQO76" s="954"/>
      <c r="UQP76" s="954"/>
      <c r="UQQ76" s="954"/>
      <c r="UQR76" s="954"/>
      <c r="UQS76" s="954"/>
      <c r="UQT76" s="954"/>
      <c r="UQU76" s="954"/>
      <c r="UQV76" s="954"/>
      <c r="UQW76" s="954"/>
      <c r="UQX76" s="954"/>
      <c r="UQY76" s="954"/>
      <c r="UQZ76" s="954"/>
      <c r="URA76" s="954"/>
      <c r="URB76" s="954"/>
      <c r="URC76" s="954"/>
      <c r="URD76" s="954"/>
      <c r="URE76" s="954"/>
      <c r="URF76" s="954"/>
      <c r="URG76" s="954"/>
      <c r="URH76" s="954"/>
      <c r="URI76" s="954"/>
      <c r="URJ76" s="954"/>
      <c r="URK76" s="954"/>
      <c r="URL76" s="954"/>
      <c r="URM76" s="954"/>
      <c r="URN76" s="954"/>
      <c r="URO76" s="954"/>
      <c r="URP76" s="954"/>
      <c r="URQ76" s="954"/>
      <c r="URR76" s="954"/>
      <c r="URS76" s="954"/>
      <c r="URT76" s="954"/>
      <c r="URU76" s="954"/>
      <c r="URV76" s="954"/>
      <c r="URW76" s="954"/>
      <c r="URX76" s="954"/>
      <c r="URY76" s="954"/>
      <c r="URZ76" s="954"/>
      <c r="USA76" s="954"/>
      <c r="USB76" s="954"/>
      <c r="USC76" s="954"/>
      <c r="USD76" s="954"/>
      <c r="USE76" s="954"/>
      <c r="USF76" s="954"/>
      <c r="USG76" s="954"/>
      <c r="USH76" s="954"/>
      <c r="USI76" s="954"/>
      <c r="USJ76" s="954"/>
      <c r="USK76" s="954"/>
      <c r="USL76" s="954"/>
      <c r="USM76" s="954"/>
      <c r="USN76" s="954"/>
      <c r="USO76" s="954"/>
      <c r="USP76" s="954"/>
      <c r="USQ76" s="954"/>
      <c r="USR76" s="954"/>
      <c r="USS76" s="954"/>
      <c r="UST76" s="954"/>
      <c r="USU76" s="954"/>
      <c r="USV76" s="954"/>
      <c r="USW76" s="954"/>
      <c r="USX76" s="954"/>
      <c r="USY76" s="954"/>
      <c r="USZ76" s="954"/>
      <c r="UTA76" s="954"/>
      <c r="UTB76" s="954"/>
      <c r="UTC76" s="954"/>
      <c r="UTD76" s="954"/>
      <c r="UTE76" s="954"/>
      <c r="UTF76" s="954"/>
      <c r="UTG76" s="954"/>
      <c r="UTH76" s="954"/>
      <c r="UTI76" s="954"/>
      <c r="UTJ76" s="954"/>
      <c r="UTK76" s="954"/>
      <c r="UTL76" s="954"/>
      <c r="UTM76" s="954"/>
      <c r="UTN76" s="954"/>
      <c r="UTO76" s="954"/>
      <c r="UTP76" s="954"/>
      <c r="UTQ76" s="954"/>
      <c r="UTR76" s="954"/>
      <c r="UTS76" s="954"/>
      <c r="UTT76" s="954"/>
      <c r="UTU76" s="954"/>
      <c r="UTV76" s="954"/>
      <c r="UTW76" s="954"/>
      <c r="UTX76" s="954"/>
      <c r="UTY76" s="954"/>
      <c r="UTZ76" s="954"/>
      <c r="UUA76" s="954"/>
      <c r="UUB76" s="954"/>
      <c r="UUC76" s="954"/>
      <c r="UUD76" s="954"/>
      <c r="UUE76" s="954"/>
      <c r="UUF76" s="954"/>
      <c r="UUG76" s="954"/>
      <c r="UUH76" s="954"/>
      <c r="UUI76" s="954"/>
      <c r="UUJ76" s="954"/>
      <c r="UUK76" s="954"/>
      <c r="UUL76" s="954"/>
      <c r="UUM76" s="954"/>
      <c r="UUN76" s="954"/>
      <c r="UUO76" s="954"/>
      <c r="UUP76" s="954"/>
      <c r="UUQ76" s="954"/>
      <c r="UUR76" s="954"/>
      <c r="UUS76" s="954"/>
      <c r="UUT76" s="954"/>
      <c r="UUU76" s="954"/>
      <c r="UUV76" s="954"/>
      <c r="UUW76" s="954"/>
      <c r="UUX76" s="954"/>
      <c r="UUY76" s="954"/>
      <c r="UUZ76" s="954"/>
      <c r="UVA76" s="954"/>
      <c r="UVB76" s="954"/>
      <c r="UVC76" s="954"/>
      <c r="UVD76" s="954"/>
      <c r="UVE76" s="954"/>
      <c r="UVF76" s="954"/>
      <c r="UVG76" s="954"/>
      <c r="UVH76" s="954"/>
      <c r="UVI76" s="954"/>
      <c r="UVJ76" s="954"/>
      <c r="UVK76" s="954"/>
      <c r="UVL76" s="954"/>
      <c r="UVM76" s="954"/>
      <c r="UVN76" s="954"/>
      <c r="UVO76" s="954"/>
      <c r="UVP76" s="954"/>
      <c r="UVQ76" s="954"/>
      <c r="UVR76" s="954"/>
      <c r="UVS76" s="954"/>
      <c r="UVT76" s="954"/>
      <c r="UVU76" s="954"/>
      <c r="UVV76" s="954"/>
      <c r="UVW76" s="954"/>
      <c r="UVX76" s="954"/>
      <c r="UVY76" s="954"/>
      <c r="UVZ76" s="954"/>
      <c r="UWA76" s="954"/>
      <c r="UWB76" s="954"/>
      <c r="UWC76" s="954"/>
      <c r="UWD76" s="954"/>
      <c r="UWE76" s="954"/>
      <c r="UWF76" s="954"/>
      <c r="UWG76" s="954"/>
      <c r="UWH76" s="954"/>
      <c r="UWI76" s="954"/>
      <c r="UWJ76" s="954"/>
      <c r="UWK76" s="954"/>
      <c r="UWL76" s="954"/>
      <c r="UWM76" s="954"/>
      <c r="UWN76" s="954"/>
      <c r="UWO76" s="954"/>
      <c r="UWP76" s="954"/>
      <c r="UWQ76" s="954"/>
      <c r="UWR76" s="954"/>
      <c r="UWS76" s="954"/>
      <c r="UWT76" s="954"/>
      <c r="UWU76" s="954"/>
      <c r="UWV76" s="954"/>
      <c r="UWW76" s="954"/>
      <c r="UWX76" s="954"/>
      <c r="UWY76" s="954"/>
      <c r="UWZ76" s="954"/>
      <c r="UXA76" s="954"/>
      <c r="UXB76" s="954"/>
      <c r="UXC76" s="954"/>
      <c r="UXD76" s="954"/>
      <c r="UXE76" s="954"/>
      <c r="UXF76" s="954"/>
      <c r="UXG76" s="954"/>
      <c r="UXH76" s="954"/>
      <c r="UXI76" s="954"/>
      <c r="UXJ76" s="954"/>
      <c r="UXK76" s="954"/>
      <c r="UXL76" s="954"/>
      <c r="UXM76" s="954"/>
      <c r="UXN76" s="954"/>
      <c r="UXO76" s="954"/>
      <c r="UXP76" s="954"/>
      <c r="UXQ76" s="954"/>
      <c r="UXR76" s="954"/>
      <c r="UXS76" s="954"/>
      <c r="UXT76" s="954"/>
      <c r="UXU76" s="954"/>
      <c r="UXV76" s="954"/>
      <c r="UXW76" s="954"/>
      <c r="UXX76" s="954"/>
      <c r="UXY76" s="954"/>
      <c r="UXZ76" s="954"/>
      <c r="UYA76" s="954"/>
      <c r="UYB76" s="954"/>
      <c r="UYC76" s="954"/>
      <c r="UYD76" s="954"/>
      <c r="UYE76" s="954"/>
      <c r="UYF76" s="954"/>
      <c r="UYG76" s="954"/>
      <c r="UYH76" s="954"/>
      <c r="UYI76" s="954"/>
      <c r="UYJ76" s="954"/>
      <c r="UYK76" s="954"/>
      <c r="UYL76" s="954"/>
      <c r="UYM76" s="954"/>
      <c r="UYN76" s="954"/>
      <c r="UYO76" s="954"/>
      <c r="UYP76" s="954"/>
      <c r="UYQ76" s="954"/>
      <c r="UYR76" s="954"/>
      <c r="UYS76" s="954"/>
      <c r="UYT76" s="954"/>
      <c r="UYU76" s="954"/>
      <c r="UYV76" s="954"/>
      <c r="UYW76" s="954"/>
      <c r="UYX76" s="954"/>
      <c r="UYY76" s="954"/>
      <c r="UYZ76" s="954"/>
      <c r="UZA76" s="954"/>
      <c r="UZB76" s="954"/>
      <c r="UZC76" s="954"/>
      <c r="UZD76" s="954"/>
      <c r="UZE76" s="954"/>
      <c r="UZF76" s="954"/>
      <c r="UZG76" s="954"/>
      <c r="UZH76" s="954"/>
      <c r="UZI76" s="954"/>
      <c r="UZJ76" s="954"/>
      <c r="UZK76" s="954"/>
      <c r="UZL76" s="954"/>
      <c r="UZM76" s="954"/>
      <c r="UZN76" s="954"/>
      <c r="UZO76" s="954"/>
      <c r="UZP76" s="954"/>
      <c r="UZQ76" s="954"/>
      <c r="UZR76" s="954"/>
      <c r="UZS76" s="954"/>
      <c r="UZT76" s="954"/>
      <c r="UZU76" s="954"/>
      <c r="UZV76" s="954"/>
      <c r="UZW76" s="954"/>
      <c r="UZX76" s="954"/>
      <c r="UZY76" s="954"/>
      <c r="UZZ76" s="954"/>
      <c r="VAA76" s="954"/>
      <c r="VAB76" s="954"/>
      <c r="VAC76" s="954"/>
      <c r="VAD76" s="954"/>
      <c r="VAE76" s="954"/>
      <c r="VAF76" s="954"/>
      <c r="VAG76" s="954"/>
      <c r="VAH76" s="954"/>
      <c r="VAI76" s="954"/>
      <c r="VAJ76" s="954"/>
      <c r="VAK76" s="954"/>
      <c r="VAL76" s="954"/>
      <c r="VAM76" s="954"/>
      <c r="VAN76" s="954"/>
      <c r="VAO76" s="954"/>
      <c r="VAP76" s="954"/>
      <c r="VAQ76" s="954"/>
      <c r="VAR76" s="954"/>
      <c r="VAS76" s="954"/>
      <c r="VAT76" s="954"/>
      <c r="VAU76" s="954"/>
      <c r="VAV76" s="954"/>
      <c r="VAW76" s="954"/>
      <c r="VAX76" s="954"/>
      <c r="VAY76" s="954"/>
      <c r="VAZ76" s="954"/>
      <c r="VBA76" s="954"/>
      <c r="VBB76" s="954"/>
      <c r="VBC76" s="954"/>
      <c r="VBD76" s="954"/>
      <c r="VBE76" s="954"/>
      <c r="VBF76" s="954"/>
      <c r="VBG76" s="954"/>
      <c r="VBH76" s="954"/>
      <c r="VBI76" s="954"/>
      <c r="VBJ76" s="954"/>
      <c r="VBK76" s="954"/>
      <c r="VBL76" s="954"/>
      <c r="VBM76" s="954"/>
      <c r="VBN76" s="954"/>
      <c r="VBO76" s="954"/>
      <c r="VBP76" s="954"/>
      <c r="VBQ76" s="954"/>
      <c r="VBR76" s="954"/>
      <c r="VBS76" s="954"/>
      <c r="VBT76" s="954"/>
      <c r="VBU76" s="954"/>
      <c r="VBV76" s="954"/>
      <c r="VBW76" s="954"/>
      <c r="VBX76" s="954"/>
      <c r="VBY76" s="954"/>
      <c r="VBZ76" s="954"/>
      <c r="VCA76" s="954"/>
      <c r="VCB76" s="954"/>
      <c r="VCC76" s="954"/>
      <c r="VCD76" s="954"/>
      <c r="VCE76" s="954"/>
      <c r="VCF76" s="954"/>
      <c r="VCG76" s="954"/>
      <c r="VCH76" s="954"/>
      <c r="VCI76" s="954"/>
      <c r="VCJ76" s="954"/>
      <c r="VCK76" s="954"/>
      <c r="VCL76" s="954"/>
      <c r="VCM76" s="954"/>
      <c r="VCN76" s="954"/>
      <c r="VCO76" s="954"/>
      <c r="VCP76" s="954"/>
      <c r="VCQ76" s="954"/>
      <c r="VCR76" s="954"/>
      <c r="VCS76" s="954"/>
      <c r="VCT76" s="954"/>
      <c r="VCU76" s="954"/>
      <c r="VCV76" s="954"/>
      <c r="VCW76" s="954"/>
      <c r="VCX76" s="954"/>
      <c r="VCY76" s="954"/>
      <c r="VCZ76" s="954"/>
      <c r="VDA76" s="954"/>
      <c r="VDB76" s="954"/>
      <c r="VDC76" s="954"/>
      <c r="VDD76" s="954"/>
      <c r="VDE76" s="954"/>
      <c r="VDF76" s="954"/>
      <c r="VDG76" s="954"/>
      <c r="VDH76" s="954"/>
      <c r="VDI76" s="954"/>
      <c r="VDJ76" s="954"/>
      <c r="VDK76" s="954"/>
      <c r="VDL76" s="954"/>
      <c r="VDM76" s="954"/>
      <c r="VDN76" s="954"/>
      <c r="VDO76" s="954"/>
      <c r="VDP76" s="954"/>
      <c r="VDQ76" s="954"/>
      <c r="VDR76" s="954"/>
      <c r="VDS76" s="954"/>
      <c r="VDT76" s="954"/>
      <c r="VDU76" s="954"/>
      <c r="VDV76" s="954"/>
      <c r="VDW76" s="954"/>
      <c r="VDX76" s="954"/>
      <c r="VDY76" s="954"/>
      <c r="VDZ76" s="954"/>
      <c r="VEA76" s="954"/>
      <c r="VEB76" s="954"/>
      <c r="VEC76" s="954"/>
      <c r="VED76" s="954"/>
      <c r="VEE76" s="954"/>
      <c r="VEF76" s="954"/>
      <c r="VEG76" s="954"/>
      <c r="VEH76" s="954"/>
      <c r="VEI76" s="954"/>
      <c r="VEJ76" s="954"/>
      <c r="VEK76" s="954"/>
      <c r="VEL76" s="954"/>
      <c r="VEM76" s="954"/>
      <c r="VEN76" s="954"/>
      <c r="VEO76" s="954"/>
      <c r="VEP76" s="954"/>
      <c r="VEQ76" s="954"/>
      <c r="VER76" s="954"/>
      <c r="VES76" s="954"/>
      <c r="VET76" s="954"/>
      <c r="VEU76" s="954"/>
      <c r="VEV76" s="954"/>
      <c r="VEW76" s="954"/>
      <c r="VEX76" s="954"/>
      <c r="VEY76" s="954"/>
      <c r="VEZ76" s="954"/>
      <c r="VFA76" s="954"/>
      <c r="VFB76" s="954"/>
      <c r="VFC76" s="954"/>
      <c r="VFD76" s="954"/>
      <c r="VFE76" s="954"/>
      <c r="VFF76" s="954"/>
      <c r="VFG76" s="954"/>
      <c r="VFH76" s="954"/>
      <c r="VFI76" s="954"/>
      <c r="VFJ76" s="954"/>
      <c r="VFK76" s="954"/>
      <c r="VFL76" s="954"/>
      <c r="VFM76" s="954"/>
      <c r="VFN76" s="954"/>
      <c r="VFO76" s="954"/>
      <c r="VFP76" s="954"/>
      <c r="VFQ76" s="954"/>
      <c r="VFR76" s="954"/>
      <c r="VFS76" s="954"/>
      <c r="VFT76" s="954"/>
      <c r="VFU76" s="954"/>
      <c r="VFV76" s="954"/>
      <c r="VFW76" s="954"/>
      <c r="VFX76" s="954"/>
      <c r="VFY76" s="954"/>
      <c r="VFZ76" s="954"/>
      <c r="VGA76" s="954"/>
      <c r="VGB76" s="954"/>
      <c r="VGC76" s="954"/>
      <c r="VGD76" s="954"/>
      <c r="VGE76" s="954"/>
      <c r="VGF76" s="954"/>
      <c r="VGG76" s="954"/>
      <c r="VGH76" s="954"/>
      <c r="VGI76" s="954"/>
      <c r="VGJ76" s="954"/>
      <c r="VGK76" s="954"/>
      <c r="VGL76" s="954"/>
      <c r="VGM76" s="954"/>
      <c r="VGN76" s="954"/>
      <c r="VGO76" s="954"/>
      <c r="VGP76" s="954"/>
      <c r="VGQ76" s="954"/>
      <c r="VGR76" s="954"/>
      <c r="VGS76" s="954"/>
      <c r="VGT76" s="954"/>
      <c r="VGU76" s="954"/>
      <c r="VGV76" s="954"/>
      <c r="VGW76" s="954"/>
      <c r="VGX76" s="954"/>
      <c r="VGY76" s="954"/>
      <c r="VGZ76" s="954"/>
      <c r="VHA76" s="954"/>
      <c r="VHB76" s="954"/>
      <c r="VHC76" s="954"/>
      <c r="VHD76" s="954"/>
      <c r="VHE76" s="954"/>
      <c r="VHF76" s="954"/>
      <c r="VHG76" s="954"/>
      <c r="VHH76" s="954"/>
      <c r="VHI76" s="954"/>
      <c r="VHJ76" s="954"/>
      <c r="VHK76" s="954"/>
      <c r="VHL76" s="954"/>
      <c r="VHM76" s="954"/>
      <c r="VHN76" s="954"/>
      <c r="VHO76" s="954"/>
      <c r="VHP76" s="954"/>
      <c r="VHQ76" s="954"/>
      <c r="VHR76" s="954"/>
      <c r="VHS76" s="954"/>
      <c r="VHT76" s="954"/>
      <c r="VHU76" s="954"/>
      <c r="VHV76" s="954"/>
      <c r="VHW76" s="954"/>
      <c r="VHX76" s="954"/>
      <c r="VHY76" s="954"/>
      <c r="VHZ76" s="954"/>
      <c r="VIA76" s="954"/>
      <c r="VIB76" s="954"/>
      <c r="VIC76" s="954"/>
      <c r="VID76" s="954"/>
      <c r="VIE76" s="954"/>
      <c r="VIF76" s="954"/>
      <c r="VIG76" s="954"/>
      <c r="VIH76" s="954"/>
      <c r="VII76" s="954"/>
      <c r="VIJ76" s="954"/>
      <c r="VIK76" s="954"/>
      <c r="VIL76" s="954"/>
      <c r="VIM76" s="954"/>
      <c r="VIN76" s="954"/>
      <c r="VIO76" s="954"/>
      <c r="VIP76" s="954"/>
      <c r="VIQ76" s="954"/>
      <c r="VIR76" s="954"/>
      <c r="VIS76" s="954"/>
      <c r="VIT76" s="954"/>
      <c r="VIU76" s="954"/>
      <c r="VIV76" s="954"/>
      <c r="VIW76" s="954"/>
      <c r="VIX76" s="954"/>
      <c r="VIY76" s="954"/>
      <c r="VIZ76" s="954"/>
      <c r="VJA76" s="954"/>
      <c r="VJB76" s="954"/>
      <c r="VJC76" s="954"/>
      <c r="VJD76" s="954"/>
      <c r="VJE76" s="954"/>
      <c r="VJF76" s="954"/>
      <c r="VJG76" s="954"/>
      <c r="VJH76" s="954"/>
      <c r="VJI76" s="954"/>
      <c r="VJJ76" s="954"/>
      <c r="VJK76" s="954"/>
      <c r="VJL76" s="954"/>
      <c r="VJM76" s="954"/>
      <c r="VJN76" s="954"/>
      <c r="VJO76" s="954"/>
      <c r="VJP76" s="954"/>
      <c r="VJQ76" s="954"/>
      <c r="VJR76" s="954"/>
      <c r="VJS76" s="954"/>
      <c r="VJT76" s="954"/>
      <c r="VJU76" s="954"/>
      <c r="VJV76" s="954"/>
      <c r="VJW76" s="954"/>
      <c r="VJX76" s="954"/>
      <c r="VJY76" s="954"/>
      <c r="VJZ76" s="954"/>
      <c r="VKA76" s="954"/>
      <c r="VKB76" s="954"/>
      <c r="VKC76" s="954"/>
      <c r="VKD76" s="954"/>
      <c r="VKE76" s="954"/>
      <c r="VKF76" s="954"/>
      <c r="VKG76" s="954"/>
      <c r="VKH76" s="954"/>
      <c r="VKI76" s="954"/>
      <c r="VKJ76" s="954"/>
      <c r="VKK76" s="954"/>
      <c r="VKL76" s="954"/>
      <c r="VKM76" s="954"/>
      <c r="VKN76" s="954"/>
      <c r="VKO76" s="954"/>
      <c r="VKP76" s="954"/>
      <c r="VKQ76" s="954"/>
      <c r="VKR76" s="954"/>
      <c r="VKS76" s="954"/>
      <c r="VKT76" s="954"/>
      <c r="VKU76" s="954"/>
      <c r="VKV76" s="954"/>
      <c r="VKW76" s="954"/>
      <c r="VKX76" s="954"/>
      <c r="VKY76" s="954"/>
      <c r="VKZ76" s="954"/>
      <c r="VLA76" s="954"/>
      <c r="VLB76" s="954"/>
      <c r="VLC76" s="954"/>
      <c r="VLD76" s="954"/>
      <c r="VLE76" s="954"/>
      <c r="VLF76" s="954"/>
      <c r="VLG76" s="954"/>
      <c r="VLH76" s="954"/>
      <c r="VLI76" s="954"/>
      <c r="VLJ76" s="954"/>
      <c r="VLK76" s="954"/>
      <c r="VLL76" s="954"/>
      <c r="VLM76" s="954"/>
      <c r="VLN76" s="954"/>
      <c r="VLO76" s="954"/>
      <c r="VLP76" s="954"/>
      <c r="VLQ76" s="954"/>
      <c r="VLR76" s="954"/>
      <c r="VLS76" s="954"/>
      <c r="VLT76" s="954"/>
      <c r="VLU76" s="954"/>
      <c r="VLV76" s="954"/>
      <c r="VLW76" s="954"/>
      <c r="VLX76" s="954"/>
      <c r="VLY76" s="954"/>
      <c r="VLZ76" s="954"/>
      <c r="VMA76" s="954"/>
      <c r="VMB76" s="954"/>
      <c r="VMC76" s="954"/>
      <c r="VMD76" s="954"/>
      <c r="VME76" s="954"/>
      <c r="VMF76" s="954"/>
      <c r="VMG76" s="954"/>
      <c r="VMH76" s="954"/>
      <c r="VMI76" s="954"/>
      <c r="VMJ76" s="954"/>
      <c r="VMK76" s="954"/>
      <c r="VML76" s="954"/>
      <c r="VMM76" s="954"/>
      <c r="VMN76" s="954"/>
      <c r="VMO76" s="954"/>
      <c r="VMP76" s="954"/>
      <c r="VMQ76" s="954"/>
      <c r="VMR76" s="954"/>
      <c r="VMS76" s="954"/>
      <c r="VMT76" s="954"/>
      <c r="VMU76" s="954"/>
      <c r="VMV76" s="954"/>
      <c r="VMW76" s="954"/>
      <c r="VMX76" s="954"/>
      <c r="VMY76" s="954"/>
      <c r="VMZ76" s="954"/>
      <c r="VNA76" s="954"/>
      <c r="VNB76" s="954"/>
      <c r="VNC76" s="954"/>
      <c r="VND76" s="954"/>
      <c r="VNE76" s="954"/>
      <c r="VNF76" s="954"/>
      <c r="VNG76" s="954"/>
      <c r="VNH76" s="954"/>
      <c r="VNI76" s="954"/>
      <c r="VNJ76" s="954"/>
      <c r="VNK76" s="954"/>
      <c r="VNL76" s="954"/>
      <c r="VNM76" s="954"/>
      <c r="VNN76" s="954"/>
      <c r="VNO76" s="954"/>
      <c r="VNP76" s="954"/>
      <c r="VNQ76" s="954"/>
      <c r="VNR76" s="954"/>
      <c r="VNS76" s="954"/>
      <c r="VNT76" s="954"/>
      <c r="VNU76" s="954"/>
      <c r="VNV76" s="954"/>
      <c r="VNW76" s="954"/>
      <c r="VNX76" s="954"/>
      <c r="VNY76" s="954"/>
      <c r="VNZ76" s="954"/>
      <c r="VOA76" s="954"/>
      <c r="VOB76" s="954"/>
      <c r="VOC76" s="954"/>
      <c r="VOD76" s="954"/>
      <c r="VOE76" s="954"/>
      <c r="VOF76" s="954"/>
      <c r="VOG76" s="954"/>
      <c r="VOH76" s="954"/>
      <c r="VOI76" s="954"/>
      <c r="VOJ76" s="954"/>
      <c r="VOK76" s="954"/>
      <c r="VOL76" s="954"/>
      <c r="VOM76" s="954"/>
      <c r="VON76" s="954"/>
      <c r="VOO76" s="954"/>
      <c r="VOP76" s="954"/>
      <c r="VOQ76" s="954"/>
      <c r="VOR76" s="954"/>
      <c r="VOS76" s="954"/>
      <c r="VOT76" s="954"/>
      <c r="VOU76" s="954"/>
      <c r="VOV76" s="954"/>
      <c r="VOW76" s="954"/>
      <c r="VOX76" s="954"/>
      <c r="VOY76" s="954"/>
      <c r="VOZ76" s="954"/>
      <c r="VPA76" s="954"/>
      <c r="VPB76" s="954"/>
      <c r="VPC76" s="954"/>
      <c r="VPD76" s="954"/>
      <c r="VPE76" s="954"/>
      <c r="VPF76" s="954"/>
      <c r="VPG76" s="954"/>
      <c r="VPH76" s="954"/>
      <c r="VPI76" s="954"/>
      <c r="VPJ76" s="954"/>
      <c r="VPK76" s="954"/>
      <c r="VPL76" s="954"/>
      <c r="VPM76" s="954"/>
      <c r="VPN76" s="954"/>
      <c r="VPO76" s="954"/>
      <c r="VPP76" s="954"/>
      <c r="VPQ76" s="954"/>
      <c r="VPR76" s="954"/>
      <c r="VPS76" s="954"/>
      <c r="VPT76" s="954"/>
      <c r="VPU76" s="954"/>
      <c r="VPV76" s="954"/>
      <c r="VPW76" s="954"/>
      <c r="VPX76" s="954"/>
      <c r="VPY76" s="954"/>
      <c r="VPZ76" s="954"/>
      <c r="VQA76" s="954"/>
      <c r="VQB76" s="954"/>
      <c r="VQC76" s="954"/>
      <c r="VQD76" s="954"/>
      <c r="VQE76" s="954"/>
      <c r="VQF76" s="954"/>
      <c r="VQG76" s="954"/>
      <c r="VQH76" s="954"/>
      <c r="VQI76" s="954"/>
      <c r="VQJ76" s="954"/>
      <c r="VQK76" s="954"/>
      <c r="VQL76" s="954"/>
      <c r="VQM76" s="954"/>
      <c r="VQN76" s="954"/>
      <c r="VQO76" s="954"/>
      <c r="VQP76" s="954"/>
      <c r="VQQ76" s="954"/>
      <c r="VQR76" s="954"/>
      <c r="VQS76" s="954"/>
      <c r="VQT76" s="954"/>
      <c r="VQU76" s="954"/>
      <c r="VQV76" s="954"/>
      <c r="VQW76" s="954"/>
      <c r="VQX76" s="954"/>
      <c r="VQY76" s="954"/>
      <c r="VQZ76" s="954"/>
      <c r="VRA76" s="954"/>
      <c r="VRB76" s="954"/>
      <c r="VRC76" s="954"/>
      <c r="VRD76" s="954"/>
      <c r="VRE76" s="954"/>
      <c r="VRF76" s="954"/>
      <c r="VRG76" s="954"/>
      <c r="VRH76" s="954"/>
      <c r="VRI76" s="954"/>
      <c r="VRJ76" s="954"/>
      <c r="VRK76" s="954"/>
      <c r="VRL76" s="954"/>
      <c r="VRM76" s="954"/>
      <c r="VRN76" s="954"/>
      <c r="VRO76" s="954"/>
      <c r="VRP76" s="954"/>
      <c r="VRQ76" s="954"/>
      <c r="VRR76" s="954"/>
      <c r="VRS76" s="954"/>
      <c r="VRT76" s="954"/>
      <c r="VRU76" s="954"/>
      <c r="VRV76" s="954"/>
      <c r="VRW76" s="954"/>
      <c r="VRX76" s="954"/>
      <c r="VRY76" s="954"/>
      <c r="VRZ76" s="954"/>
      <c r="VSA76" s="954"/>
      <c r="VSB76" s="954"/>
      <c r="VSC76" s="954"/>
      <c r="VSD76" s="954"/>
      <c r="VSE76" s="954"/>
      <c r="VSF76" s="954"/>
      <c r="VSG76" s="954"/>
      <c r="VSH76" s="954"/>
      <c r="VSI76" s="954"/>
      <c r="VSJ76" s="954"/>
      <c r="VSK76" s="954"/>
      <c r="VSL76" s="954"/>
      <c r="VSM76" s="954"/>
      <c r="VSN76" s="954"/>
      <c r="VSO76" s="954"/>
      <c r="VSP76" s="954"/>
      <c r="VSQ76" s="954"/>
      <c r="VSR76" s="954"/>
      <c r="VSS76" s="954"/>
      <c r="VST76" s="954"/>
      <c r="VSU76" s="954"/>
      <c r="VSV76" s="954"/>
      <c r="VSW76" s="954"/>
      <c r="VSX76" s="954"/>
      <c r="VSY76" s="954"/>
      <c r="VSZ76" s="954"/>
      <c r="VTA76" s="954"/>
      <c r="VTB76" s="954"/>
      <c r="VTC76" s="954"/>
      <c r="VTD76" s="954"/>
      <c r="VTE76" s="954"/>
      <c r="VTF76" s="954"/>
      <c r="VTG76" s="954"/>
      <c r="VTH76" s="954"/>
      <c r="VTI76" s="954"/>
      <c r="VTJ76" s="954"/>
      <c r="VTK76" s="954"/>
      <c r="VTL76" s="954"/>
      <c r="VTM76" s="954"/>
      <c r="VTN76" s="954"/>
      <c r="VTO76" s="954"/>
      <c r="VTP76" s="954"/>
      <c r="VTQ76" s="954"/>
      <c r="VTR76" s="954"/>
      <c r="VTS76" s="954"/>
      <c r="VTT76" s="954"/>
      <c r="VTU76" s="954"/>
      <c r="VTV76" s="954"/>
      <c r="VTW76" s="954"/>
      <c r="VTX76" s="954"/>
      <c r="VTY76" s="954"/>
      <c r="VTZ76" s="954"/>
      <c r="VUA76" s="954"/>
      <c r="VUB76" s="954"/>
      <c r="VUC76" s="954"/>
      <c r="VUD76" s="954"/>
      <c r="VUE76" s="954"/>
      <c r="VUF76" s="954"/>
      <c r="VUG76" s="954"/>
      <c r="VUH76" s="954"/>
      <c r="VUI76" s="954"/>
      <c r="VUJ76" s="954"/>
      <c r="VUK76" s="954"/>
      <c r="VUL76" s="954"/>
      <c r="VUM76" s="954"/>
      <c r="VUN76" s="954"/>
      <c r="VUO76" s="954"/>
      <c r="VUP76" s="954"/>
      <c r="VUQ76" s="954"/>
      <c r="VUR76" s="954"/>
      <c r="VUS76" s="954"/>
      <c r="VUT76" s="954"/>
      <c r="VUU76" s="954"/>
      <c r="VUV76" s="954"/>
      <c r="VUW76" s="954"/>
      <c r="VUX76" s="954"/>
      <c r="VUY76" s="954"/>
      <c r="VUZ76" s="954"/>
      <c r="VVA76" s="954"/>
      <c r="VVB76" s="954"/>
      <c r="VVC76" s="954"/>
      <c r="VVD76" s="954"/>
      <c r="VVE76" s="954"/>
      <c r="VVF76" s="954"/>
      <c r="VVG76" s="954"/>
      <c r="VVH76" s="954"/>
      <c r="VVI76" s="954"/>
      <c r="VVJ76" s="954"/>
      <c r="VVK76" s="954"/>
      <c r="VVL76" s="954"/>
      <c r="VVM76" s="954"/>
      <c r="VVN76" s="954"/>
      <c r="VVO76" s="954"/>
      <c r="VVP76" s="954"/>
      <c r="VVQ76" s="954"/>
      <c r="VVR76" s="954"/>
      <c r="VVS76" s="954"/>
      <c r="VVT76" s="954"/>
      <c r="VVU76" s="954"/>
      <c r="VVV76" s="954"/>
      <c r="VVW76" s="954"/>
      <c r="VVX76" s="954"/>
      <c r="VVY76" s="954"/>
      <c r="VVZ76" s="954"/>
      <c r="VWA76" s="954"/>
      <c r="VWB76" s="954"/>
      <c r="VWC76" s="954"/>
      <c r="VWD76" s="954"/>
      <c r="VWE76" s="954"/>
      <c r="VWF76" s="954"/>
      <c r="VWG76" s="954"/>
      <c r="VWH76" s="954"/>
      <c r="VWI76" s="954"/>
      <c r="VWJ76" s="954"/>
      <c r="VWK76" s="954"/>
      <c r="VWL76" s="954"/>
      <c r="VWM76" s="954"/>
      <c r="VWN76" s="954"/>
      <c r="VWO76" s="954"/>
      <c r="VWP76" s="954"/>
      <c r="VWQ76" s="954"/>
      <c r="VWR76" s="954"/>
      <c r="VWS76" s="954"/>
      <c r="VWT76" s="954"/>
      <c r="VWU76" s="954"/>
      <c r="VWV76" s="954"/>
      <c r="VWW76" s="954"/>
      <c r="VWX76" s="954"/>
      <c r="VWY76" s="954"/>
      <c r="VWZ76" s="954"/>
      <c r="VXA76" s="954"/>
      <c r="VXB76" s="954"/>
      <c r="VXC76" s="954"/>
      <c r="VXD76" s="954"/>
      <c r="VXE76" s="954"/>
      <c r="VXF76" s="954"/>
      <c r="VXG76" s="954"/>
      <c r="VXH76" s="954"/>
      <c r="VXI76" s="954"/>
      <c r="VXJ76" s="954"/>
      <c r="VXK76" s="954"/>
      <c r="VXL76" s="954"/>
      <c r="VXM76" s="954"/>
      <c r="VXN76" s="954"/>
      <c r="VXO76" s="954"/>
      <c r="VXP76" s="954"/>
      <c r="VXQ76" s="954"/>
      <c r="VXR76" s="954"/>
      <c r="VXS76" s="954"/>
      <c r="VXT76" s="954"/>
      <c r="VXU76" s="954"/>
      <c r="VXV76" s="954"/>
      <c r="VXW76" s="954"/>
      <c r="VXX76" s="954"/>
      <c r="VXY76" s="954"/>
      <c r="VXZ76" s="954"/>
      <c r="VYA76" s="954"/>
      <c r="VYB76" s="954"/>
      <c r="VYC76" s="954"/>
      <c r="VYD76" s="954"/>
      <c r="VYE76" s="954"/>
      <c r="VYF76" s="954"/>
      <c r="VYG76" s="954"/>
      <c r="VYH76" s="954"/>
      <c r="VYI76" s="954"/>
      <c r="VYJ76" s="954"/>
      <c r="VYK76" s="954"/>
      <c r="VYL76" s="954"/>
      <c r="VYM76" s="954"/>
      <c r="VYN76" s="954"/>
      <c r="VYO76" s="954"/>
      <c r="VYP76" s="954"/>
      <c r="VYQ76" s="954"/>
      <c r="VYR76" s="954"/>
      <c r="VYS76" s="954"/>
      <c r="VYT76" s="954"/>
      <c r="VYU76" s="954"/>
      <c r="VYV76" s="954"/>
      <c r="VYW76" s="954"/>
      <c r="VYX76" s="954"/>
      <c r="VYY76" s="954"/>
      <c r="VYZ76" s="954"/>
      <c r="VZA76" s="954"/>
      <c r="VZB76" s="954"/>
      <c r="VZC76" s="954"/>
      <c r="VZD76" s="954"/>
      <c r="VZE76" s="954"/>
      <c r="VZF76" s="954"/>
      <c r="VZG76" s="954"/>
      <c r="VZH76" s="954"/>
      <c r="VZI76" s="954"/>
      <c r="VZJ76" s="954"/>
      <c r="VZK76" s="954"/>
      <c r="VZL76" s="954"/>
      <c r="VZM76" s="954"/>
      <c r="VZN76" s="954"/>
      <c r="VZO76" s="954"/>
      <c r="VZP76" s="954"/>
      <c r="VZQ76" s="954"/>
      <c r="VZR76" s="954"/>
      <c r="VZS76" s="954"/>
      <c r="VZT76" s="954"/>
      <c r="VZU76" s="954"/>
      <c r="VZV76" s="954"/>
      <c r="VZW76" s="954"/>
      <c r="VZX76" s="954"/>
      <c r="VZY76" s="954"/>
      <c r="VZZ76" s="954"/>
      <c r="WAA76" s="954"/>
      <c r="WAB76" s="954"/>
      <c r="WAC76" s="954"/>
      <c r="WAD76" s="954"/>
      <c r="WAE76" s="954"/>
      <c r="WAF76" s="954"/>
      <c r="WAG76" s="954"/>
      <c r="WAH76" s="954"/>
      <c r="WAI76" s="954"/>
      <c r="WAJ76" s="954"/>
      <c r="WAK76" s="954"/>
      <c r="WAL76" s="954"/>
      <c r="WAM76" s="954"/>
      <c r="WAN76" s="954"/>
      <c r="WAO76" s="954"/>
      <c r="WAP76" s="954"/>
      <c r="WAQ76" s="954"/>
      <c r="WAR76" s="954"/>
      <c r="WAS76" s="954"/>
      <c r="WAT76" s="954"/>
      <c r="WAU76" s="954"/>
      <c r="WAV76" s="954"/>
      <c r="WAW76" s="954"/>
      <c r="WAX76" s="954"/>
      <c r="WAY76" s="954"/>
      <c r="WAZ76" s="954"/>
      <c r="WBA76" s="954"/>
      <c r="WBB76" s="954"/>
      <c r="WBC76" s="954"/>
      <c r="WBD76" s="954"/>
      <c r="WBE76" s="954"/>
      <c r="WBF76" s="954"/>
      <c r="WBG76" s="954"/>
      <c r="WBH76" s="954"/>
      <c r="WBI76" s="954"/>
      <c r="WBJ76" s="954"/>
      <c r="WBK76" s="954"/>
      <c r="WBL76" s="954"/>
      <c r="WBM76" s="954"/>
      <c r="WBN76" s="954"/>
      <c r="WBO76" s="954"/>
      <c r="WBP76" s="954"/>
      <c r="WBQ76" s="954"/>
      <c r="WBR76" s="954"/>
      <c r="WBS76" s="954"/>
      <c r="WBT76" s="954"/>
      <c r="WBU76" s="954"/>
      <c r="WBV76" s="954"/>
      <c r="WBW76" s="954"/>
      <c r="WBX76" s="954"/>
      <c r="WBY76" s="954"/>
      <c r="WBZ76" s="954"/>
      <c r="WCA76" s="954"/>
      <c r="WCB76" s="954"/>
      <c r="WCC76" s="954"/>
      <c r="WCD76" s="954"/>
      <c r="WCE76" s="954"/>
      <c r="WCF76" s="954"/>
      <c r="WCG76" s="954"/>
      <c r="WCH76" s="954"/>
      <c r="WCI76" s="954"/>
      <c r="WCJ76" s="954"/>
      <c r="WCK76" s="954"/>
      <c r="WCL76" s="954"/>
      <c r="WCM76" s="954"/>
      <c r="WCN76" s="954"/>
      <c r="WCO76" s="954"/>
      <c r="WCP76" s="954"/>
      <c r="WCQ76" s="954"/>
      <c r="WCR76" s="954"/>
      <c r="WCS76" s="954"/>
      <c r="WCT76" s="954"/>
      <c r="WCU76" s="954"/>
      <c r="WCV76" s="954"/>
      <c r="WCW76" s="954"/>
      <c r="WCX76" s="954"/>
      <c r="WCY76" s="954"/>
      <c r="WCZ76" s="954"/>
      <c r="WDA76" s="954"/>
      <c r="WDB76" s="954"/>
      <c r="WDC76" s="954"/>
      <c r="WDD76" s="954"/>
      <c r="WDE76" s="954"/>
      <c r="WDF76" s="954"/>
      <c r="WDG76" s="954"/>
      <c r="WDH76" s="954"/>
      <c r="WDI76" s="954"/>
      <c r="WDJ76" s="954"/>
      <c r="WDK76" s="954"/>
      <c r="WDL76" s="954"/>
      <c r="WDM76" s="954"/>
      <c r="WDN76" s="954"/>
      <c r="WDO76" s="954"/>
      <c r="WDP76" s="954"/>
      <c r="WDQ76" s="954"/>
      <c r="WDR76" s="954"/>
      <c r="WDS76" s="954"/>
      <c r="WDT76" s="954"/>
      <c r="WDU76" s="954"/>
      <c r="WDV76" s="954"/>
      <c r="WDW76" s="954"/>
      <c r="WDX76" s="954"/>
      <c r="WDY76" s="954"/>
      <c r="WDZ76" s="954"/>
      <c r="WEA76" s="954"/>
      <c r="WEB76" s="954"/>
      <c r="WEC76" s="954"/>
      <c r="WED76" s="954"/>
      <c r="WEE76" s="954"/>
      <c r="WEF76" s="954"/>
      <c r="WEG76" s="954"/>
      <c r="WEH76" s="954"/>
      <c r="WEI76" s="954"/>
      <c r="WEJ76" s="954"/>
      <c r="WEK76" s="954"/>
      <c r="WEL76" s="954"/>
      <c r="WEM76" s="954"/>
      <c r="WEN76" s="954"/>
      <c r="WEO76" s="954"/>
      <c r="WEP76" s="954"/>
      <c r="WEQ76" s="954"/>
      <c r="WER76" s="954"/>
      <c r="WES76" s="954"/>
      <c r="WET76" s="954"/>
      <c r="WEU76" s="954"/>
      <c r="WEV76" s="954"/>
      <c r="WEW76" s="954"/>
      <c r="WEX76" s="954"/>
      <c r="WEY76" s="954"/>
      <c r="WEZ76" s="954"/>
      <c r="WFA76" s="954"/>
      <c r="WFB76" s="954"/>
      <c r="WFC76" s="954"/>
      <c r="WFD76" s="954"/>
      <c r="WFE76" s="954"/>
      <c r="WFF76" s="954"/>
      <c r="WFG76" s="954"/>
      <c r="WFH76" s="954"/>
      <c r="WFI76" s="954"/>
      <c r="WFJ76" s="954"/>
      <c r="WFK76" s="954"/>
      <c r="WFL76" s="954"/>
      <c r="WFM76" s="954"/>
      <c r="WFN76" s="954"/>
      <c r="WFO76" s="954"/>
      <c r="WFP76" s="954"/>
      <c r="WFQ76" s="954"/>
      <c r="WFR76" s="954"/>
      <c r="WFS76" s="954"/>
      <c r="WFT76" s="954"/>
      <c r="WFU76" s="954"/>
      <c r="WFV76" s="954"/>
      <c r="WFW76" s="954"/>
      <c r="WFX76" s="954"/>
      <c r="WFY76" s="954"/>
      <c r="WFZ76" s="954"/>
      <c r="WGA76" s="954"/>
      <c r="WGB76" s="954"/>
      <c r="WGC76" s="954"/>
      <c r="WGD76" s="954"/>
      <c r="WGE76" s="954"/>
      <c r="WGF76" s="954"/>
      <c r="WGG76" s="954"/>
      <c r="WGH76" s="954"/>
      <c r="WGI76" s="954"/>
      <c r="WGJ76" s="954"/>
      <c r="WGK76" s="954"/>
      <c r="WGL76" s="954"/>
      <c r="WGM76" s="954"/>
      <c r="WGN76" s="954"/>
      <c r="WGO76" s="954"/>
      <c r="WGP76" s="954"/>
      <c r="WGQ76" s="954"/>
      <c r="WGR76" s="954"/>
      <c r="WGS76" s="954"/>
      <c r="WGT76" s="954"/>
      <c r="WGU76" s="954"/>
      <c r="WGV76" s="954"/>
      <c r="WGW76" s="954"/>
      <c r="WGX76" s="954"/>
      <c r="WGY76" s="954"/>
      <c r="WGZ76" s="954"/>
      <c r="WHA76" s="954"/>
      <c r="WHB76" s="954"/>
      <c r="WHC76" s="954"/>
      <c r="WHD76" s="954"/>
      <c r="WHE76" s="954"/>
      <c r="WHF76" s="954"/>
      <c r="WHG76" s="954"/>
      <c r="WHH76" s="954"/>
      <c r="WHI76" s="954"/>
      <c r="WHJ76" s="954"/>
      <c r="WHK76" s="954"/>
      <c r="WHL76" s="954"/>
      <c r="WHM76" s="954"/>
      <c r="WHN76" s="954"/>
      <c r="WHO76" s="954"/>
      <c r="WHP76" s="954"/>
      <c r="WHQ76" s="954"/>
      <c r="WHR76" s="954"/>
      <c r="WHS76" s="954"/>
      <c r="WHT76" s="954"/>
      <c r="WHU76" s="954"/>
      <c r="WHV76" s="954"/>
      <c r="WHW76" s="954"/>
      <c r="WHX76" s="954"/>
      <c r="WHY76" s="954"/>
      <c r="WHZ76" s="954"/>
      <c r="WIA76" s="954"/>
      <c r="WIB76" s="954"/>
      <c r="WIC76" s="954"/>
      <c r="WID76" s="954"/>
      <c r="WIE76" s="954"/>
      <c r="WIF76" s="954"/>
      <c r="WIG76" s="954"/>
      <c r="WIH76" s="954"/>
      <c r="WII76" s="954"/>
      <c r="WIJ76" s="954"/>
      <c r="WIK76" s="954"/>
      <c r="WIL76" s="954"/>
      <c r="WIM76" s="954"/>
      <c r="WIN76" s="954"/>
      <c r="WIO76" s="954"/>
      <c r="WIP76" s="954"/>
      <c r="WIQ76" s="954"/>
      <c r="WIR76" s="954"/>
      <c r="WIS76" s="954"/>
      <c r="WIT76" s="954"/>
      <c r="WIU76" s="954"/>
      <c r="WIV76" s="954"/>
      <c r="WIW76" s="954"/>
      <c r="WIX76" s="954"/>
      <c r="WIY76" s="954"/>
      <c r="WIZ76" s="954"/>
      <c r="WJA76" s="954"/>
      <c r="WJB76" s="954"/>
      <c r="WJC76" s="954"/>
      <c r="WJD76" s="954"/>
      <c r="WJE76" s="954"/>
      <c r="WJF76" s="954"/>
      <c r="WJG76" s="954"/>
      <c r="WJH76" s="954"/>
      <c r="WJI76" s="954"/>
      <c r="WJJ76" s="954"/>
      <c r="WJK76" s="954"/>
      <c r="WJL76" s="954"/>
      <c r="WJM76" s="954"/>
      <c r="WJN76" s="954"/>
      <c r="WJO76" s="954"/>
      <c r="WJP76" s="954"/>
      <c r="WJQ76" s="954"/>
      <c r="WJR76" s="954"/>
      <c r="WJS76" s="954"/>
      <c r="WJT76" s="954"/>
      <c r="WJU76" s="954"/>
      <c r="WJV76" s="954"/>
      <c r="WJW76" s="954"/>
      <c r="WJX76" s="954"/>
      <c r="WJY76" s="954"/>
      <c r="WJZ76" s="954"/>
      <c r="WKA76" s="954"/>
      <c r="WKB76" s="954"/>
      <c r="WKC76" s="954"/>
      <c r="WKD76" s="954"/>
      <c r="WKE76" s="954"/>
      <c r="WKF76" s="954"/>
      <c r="WKG76" s="954"/>
      <c r="WKH76" s="954"/>
      <c r="WKI76" s="954"/>
      <c r="WKJ76" s="954"/>
      <c r="WKK76" s="954"/>
      <c r="WKL76" s="954"/>
      <c r="WKM76" s="954"/>
      <c r="WKN76" s="954"/>
      <c r="WKO76" s="954"/>
      <c r="WKP76" s="954"/>
      <c r="WKQ76" s="954"/>
      <c r="WKR76" s="954"/>
      <c r="WKS76" s="954"/>
      <c r="WKT76" s="954"/>
      <c r="WKU76" s="954"/>
      <c r="WKV76" s="954"/>
      <c r="WKW76" s="954"/>
      <c r="WKX76" s="954"/>
      <c r="WKY76" s="954"/>
      <c r="WKZ76" s="954"/>
      <c r="WLA76" s="954"/>
      <c r="WLB76" s="954"/>
      <c r="WLC76" s="954"/>
      <c r="WLD76" s="954"/>
      <c r="WLE76" s="954"/>
      <c r="WLF76" s="954"/>
      <c r="WLG76" s="954"/>
      <c r="WLH76" s="954"/>
      <c r="WLI76" s="954"/>
      <c r="WLJ76" s="954"/>
      <c r="WLK76" s="954"/>
      <c r="WLL76" s="954"/>
      <c r="WLM76" s="954"/>
      <c r="WLN76" s="954"/>
      <c r="WLO76" s="954"/>
      <c r="WLP76" s="954"/>
      <c r="WLQ76" s="954"/>
      <c r="WLR76" s="954"/>
      <c r="WLS76" s="954"/>
      <c r="WLT76" s="954"/>
      <c r="WLU76" s="954"/>
      <c r="WLV76" s="954"/>
      <c r="WLW76" s="954"/>
      <c r="WLX76" s="954"/>
      <c r="WLY76" s="954"/>
      <c r="WLZ76" s="954"/>
      <c r="WMA76" s="954"/>
      <c r="WMB76" s="954"/>
      <c r="WMC76" s="954"/>
      <c r="WMD76" s="954"/>
      <c r="WME76" s="954"/>
      <c r="WMF76" s="954"/>
      <c r="WMG76" s="954"/>
      <c r="WMH76" s="954"/>
      <c r="WMI76" s="954"/>
      <c r="WMJ76" s="954"/>
      <c r="WMK76" s="954"/>
      <c r="WML76" s="954"/>
      <c r="WMM76" s="954"/>
      <c r="WMN76" s="954"/>
      <c r="WMO76" s="954"/>
      <c r="WMP76" s="954"/>
      <c r="WMQ76" s="954"/>
      <c r="WMR76" s="954"/>
      <c r="WMS76" s="954"/>
      <c r="WMT76" s="954"/>
      <c r="WMU76" s="954"/>
      <c r="WMV76" s="954"/>
      <c r="WMW76" s="954"/>
      <c r="WMX76" s="954"/>
      <c r="WMY76" s="954"/>
      <c r="WMZ76" s="954"/>
      <c r="WNA76" s="954"/>
      <c r="WNB76" s="954"/>
      <c r="WNC76" s="954"/>
      <c r="WND76" s="954"/>
      <c r="WNE76" s="954"/>
      <c r="WNF76" s="954"/>
      <c r="WNG76" s="954"/>
      <c r="WNH76" s="954"/>
      <c r="WNI76" s="954"/>
      <c r="WNJ76" s="954"/>
      <c r="WNK76" s="954"/>
      <c r="WNL76" s="954"/>
      <c r="WNM76" s="954"/>
      <c r="WNN76" s="954"/>
      <c r="WNO76" s="954"/>
      <c r="WNP76" s="954"/>
      <c r="WNQ76" s="954"/>
      <c r="WNR76" s="954"/>
      <c r="WNS76" s="954"/>
      <c r="WNT76" s="954"/>
      <c r="WNU76" s="954"/>
      <c r="WNV76" s="954"/>
      <c r="WNW76" s="954"/>
      <c r="WNX76" s="954"/>
      <c r="WNY76" s="954"/>
      <c r="WNZ76" s="954"/>
      <c r="WOA76" s="954"/>
      <c r="WOB76" s="954"/>
      <c r="WOC76" s="954"/>
      <c r="WOD76" s="954"/>
      <c r="WOE76" s="954"/>
      <c r="WOF76" s="954"/>
      <c r="WOG76" s="954"/>
      <c r="WOH76" s="954"/>
      <c r="WOI76" s="954"/>
      <c r="WOJ76" s="954"/>
      <c r="WOK76" s="954"/>
      <c r="WOL76" s="954"/>
      <c r="WOM76" s="954"/>
      <c r="WON76" s="954"/>
      <c r="WOO76" s="954"/>
      <c r="WOP76" s="954"/>
      <c r="WOQ76" s="954"/>
      <c r="WOR76" s="954"/>
      <c r="WOS76" s="954"/>
      <c r="WOT76" s="954"/>
      <c r="WOU76" s="954"/>
      <c r="WOV76" s="954"/>
      <c r="WOW76" s="954"/>
      <c r="WOX76" s="954"/>
      <c r="WOY76" s="954"/>
      <c r="WOZ76" s="954"/>
      <c r="WPA76" s="954"/>
      <c r="WPB76" s="954"/>
      <c r="WPC76" s="954"/>
      <c r="WPD76" s="954"/>
      <c r="WPE76" s="954"/>
      <c r="WPF76" s="954"/>
      <c r="WPG76" s="954"/>
      <c r="WPH76" s="954"/>
      <c r="WPI76" s="954"/>
      <c r="WPJ76" s="954"/>
      <c r="WPK76" s="954"/>
      <c r="WPL76" s="954"/>
      <c r="WPM76" s="954"/>
      <c r="WPN76" s="954"/>
      <c r="WPO76" s="954"/>
      <c r="WPP76" s="954"/>
      <c r="WPQ76" s="954"/>
      <c r="WPR76" s="954"/>
      <c r="WPS76" s="954"/>
      <c r="WPT76" s="954"/>
      <c r="WPU76" s="954"/>
      <c r="WPV76" s="954"/>
      <c r="WPW76" s="954"/>
      <c r="WPX76" s="954"/>
      <c r="WPY76" s="954"/>
      <c r="WPZ76" s="954"/>
      <c r="WQA76" s="954"/>
      <c r="WQB76" s="954"/>
      <c r="WQC76" s="954"/>
      <c r="WQD76" s="954"/>
      <c r="WQE76" s="954"/>
      <c r="WQF76" s="954"/>
      <c r="WQG76" s="954"/>
      <c r="WQH76" s="954"/>
      <c r="WQI76" s="954"/>
      <c r="WQJ76" s="954"/>
      <c r="WQK76" s="954"/>
      <c r="WQL76" s="954"/>
      <c r="WQM76" s="954"/>
      <c r="WQN76" s="954"/>
      <c r="WQO76" s="954"/>
      <c r="WQP76" s="954"/>
      <c r="WQQ76" s="954"/>
      <c r="WQR76" s="954"/>
      <c r="WQS76" s="954"/>
      <c r="WQT76" s="954"/>
      <c r="WQU76" s="954"/>
      <c r="WQV76" s="954"/>
      <c r="WQW76" s="954"/>
      <c r="WQX76" s="954"/>
      <c r="WQY76" s="954"/>
      <c r="WQZ76" s="954"/>
      <c r="WRA76" s="954"/>
      <c r="WRB76" s="954"/>
      <c r="WRC76" s="954"/>
      <c r="WRD76" s="954"/>
      <c r="WRE76" s="954"/>
      <c r="WRF76" s="954"/>
      <c r="WRG76" s="954"/>
      <c r="WRH76" s="954"/>
      <c r="WRI76" s="954"/>
      <c r="WRJ76" s="954"/>
      <c r="WRK76" s="954"/>
      <c r="WRL76" s="954"/>
      <c r="WRM76" s="954"/>
      <c r="WRN76" s="954"/>
      <c r="WRO76" s="954"/>
      <c r="WRP76" s="954"/>
      <c r="WRQ76" s="954"/>
      <c r="WRR76" s="954"/>
      <c r="WRS76" s="954"/>
      <c r="WRT76" s="954"/>
      <c r="WRU76" s="954"/>
      <c r="WRV76" s="954"/>
      <c r="WRW76" s="954"/>
      <c r="WRX76" s="954"/>
      <c r="WRY76" s="954"/>
      <c r="WRZ76" s="954"/>
      <c r="WSA76" s="954"/>
      <c r="WSB76" s="954"/>
      <c r="WSC76" s="954"/>
      <c r="WSD76" s="954"/>
      <c r="WSE76" s="954"/>
      <c r="WSF76" s="954"/>
      <c r="WSG76" s="954"/>
      <c r="WSH76" s="954"/>
      <c r="WSI76" s="954"/>
      <c r="WSJ76" s="954"/>
      <c r="WSK76" s="954"/>
      <c r="WSL76" s="954"/>
      <c r="WSM76" s="954"/>
      <c r="WSN76" s="954"/>
      <c r="WSO76" s="954"/>
      <c r="WSP76" s="954"/>
      <c r="WSQ76" s="954"/>
      <c r="WSR76" s="954"/>
      <c r="WSS76" s="954"/>
      <c r="WST76" s="954"/>
      <c r="WSU76" s="954"/>
      <c r="WSV76" s="954"/>
      <c r="WSW76" s="954"/>
      <c r="WSX76" s="954"/>
      <c r="WSY76" s="954"/>
      <c r="WSZ76" s="954"/>
      <c r="WTA76" s="954"/>
      <c r="WTB76" s="954"/>
      <c r="WTC76" s="954"/>
      <c r="WTD76" s="954"/>
      <c r="WTE76" s="954"/>
      <c r="WTF76" s="954"/>
      <c r="WTG76" s="954"/>
      <c r="WTH76" s="954"/>
      <c r="WTI76" s="954"/>
      <c r="WTJ76" s="954"/>
      <c r="WTK76" s="954"/>
      <c r="WTL76" s="954"/>
      <c r="WTM76" s="954"/>
      <c r="WTN76" s="954"/>
      <c r="WTO76" s="954"/>
      <c r="WTP76" s="954"/>
      <c r="WTQ76" s="954"/>
      <c r="WTR76" s="954"/>
      <c r="WTS76" s="954"/>
      <c r="WTT76" s="954"/>
      <c r="WTU76" s="954"/>
      <c r="WTV76" s="954"/>
      <c r="WTW76" s="954"/>
      <c r="WTX76" s="954"/>
      <c r="WTY76" s="954"/>
      <c r="WTZ76" s="954"/>
      <c r="WUA76" s="954"/>
      <c r="WUB76" s="954"/>
      <c r="WUC76" s="954"/>
      <c r="WUD76" s="954"/>
      <c r="WUE76" s="954"/>
      <c r="WUF76" s="954"/>
      <c r="WUG76" s="954"/>
      <c r="WUH76" s="954"/>
      <c r="WUI76" s="954"/>
      <c r="WUJ76" s="954"/>
      <c r="WUK76" s="954"/>
      <c r="WUL76" s="954"/>
      <c r="WUM76" s="954"/>
      <c r="WUN76" s="954"/>
      <c r="WUO76" s="954"/>
      <c r="WUP76" s="954"/>
      <c r="WUQ76" s="954"/>
      <c r="WUR76" s="954"/>
      <c r="WUS76" s="954"/>
      <c r="WUT76" s="954"/>
      <c r="WUU76" s="954"/>
      <c r="WUV76" s="954"/>
      <c r="WUW76" s="954"/>
      <c r="WUX76" s="954"/>
      <c r="WUY76" s="954"/>
      <c r="WUZ76" s="954"/>
      <c r="WVA76" s="954"/>
      <c r="WVB76" s="954"/>
      <c r="WVC76" s="954"/>
      <c r="WVD76" s="954"/>
      <c r="WVE76" s="954"/>
      <c r="WVF76" s="954"/>
      <c r="WVG76" s="954"/>
      <c r="WVH76" s="954"/>
      <c r="WVI76" s="954"/>
      <c r="WVJ76" s="954"/>
      <c r="WVK76" s="954"/>
      <c r="WVL76" s="954"/>
      <c r="WVM76" s="954"/>
      <c r="WVN76" s="954"/>
      <c r="WVO76" s="954"/>
      <c r="WVP76" s="954"/>
      <c r="WVQ76" s="954"/>
      <c r="WVR76" s="954"/>
      <c r="WVS76" s="954"/>
      <c r="WVT76" s="954"/>
      <c r="WVU76" s="954"/>
      <c r="WVV76" s="954"/>
      <c r="WVW76" s="954"/>
      <c r="WVX76" s="954"/>
      <c r="WVY76" s="954"/>
      <c r="WVZ76" s="954"/>
      <c r="WWA76" s="954"/>
      <c r="WWB76" s="954"/>
      <c r="WWC76" s="954"/>
      <c r="WWD76" s="954"/>
      <c r="WWE76" s="954"/>
      <c r="WWF76" s="954"/>
      <c r="WWG76" s="954"/>
      <c r="WWH76" s="954"/>
      <c r="WWI76" s="954"/>
      <c r="WWJ76" s="954"/>
      <c r="WWK76" s="954"/>
      <c r="WWL76" s="954"/>
      <c r="WWM76" s="954"/>
      <c r="WWN76" s="954"/>
      <c r="WWO76" s="954"/>
      <c r="WWP76" s="954"/>
      <c r="WWQ76" s="954"/>
      <c r="WWR76" s="954"/>
      <c r="WWS76" s="954"/>
      <c r="WWT76" s="954"/>
      <c r="WWU76" s="954"/>
      <c r="WWV76" s="954"/>
      <c r="WWW76" s="954"/>
      <c r="WWX76" s="954"/>
      <c r="WWY76" s="954"/>
      <c r="WWZ76" s="954"/>
      <c r="WXA76" s="954"/>
      <c r="WXB76" s="954"/>
      <c r="WXC76" s="954"/>
      <c r="WXD76" s="954"/>
      <c r="WXE76" s="954"/>
      <c r="WXF76" s="954"/>
      <c r="WXG76" s="954"/>
      <c r="WXH76" s="954"/>
      <c r="WXI76" s="954"/>
      <c r="WXJ76" s="954"/>
    </row>
    <row r="77" spans="1:16182" s="957" customFormat="1" x14ac:dyDescent="0.25">
      <c r="A77" s="884"/>
      <c r="B77" s="924"/>
      <c r="C77" s="907" t="s">
        <v>155</v>
      </c>
      <c r="D77" s="907"/>
      <c r="E77" s="907"/>
      <c r="F77" s="907"/>
      <c r="G77" s="907"/>
      <c r="H77" s="903"/>
      <c r="I77" s="903"/>
      <c r="J77" s="903"/>
      <c r="K77" s="903"/>
      <c r="L77" s="903"/>
      <c r="M77" s="903"/>
      <c r="N77" s="903"/>
      <c r="O77" s="903"/>
      <c r="P77" s="903"/>
      <c r="Q77" s="903"/>
      <c r="R77" s="903"/>
      <c r="S77" s="903"/>
      <c r="T77" s="903"/>
      <c r="U77" s="903"/>
      <c r="V77" s="903"/>
      <c r="W77" s="903"/>
      <c r="X77" s="903"/>
      <c r="Y77" s="903"/>
      <c r="Z77" s="903"/>
      <c r="AA77" s="903"/>
      <c r="AB77" s="903"/>
      <c r="AC77" s="903"/>
      <c r="AD77" s="903"/>
      <c r="AE77" s="903"/>
      <c r="AF77" s="903"/>
      <c r="AG77" s="903"/>
      <c r="AH77" s="903"/>
      <c r="AI77" s="903"/>
      <c r="AJ77" s="903"/>
      <c r="AK77" s="903"/>
      <c r="AL77" s="903"/>
      <c r="AM77" s="903"/>
      <c r="AN77" s="903"/>
      <c r="AO77" s="903"/>
      <c r="AP77" s="903"/>
      <c r="AQ77" s="903"/>
      <c r="AR77" s="903"/>
      <c r="AS77" s="903"/>
      <c r="AT77" s="903"/>
      <c r="AU77" s="903"/>
      <c r="AV77" s="903"/>
      <c r="AW77" s="903"/>
      <c r="AX77" s="903"/>
      <c r="AY77" s="903"/>
      <c r="AZ77" s="903"/>
      <c r="BA77" s="903"/>
      <c r="BB77" s="903"/>
      <c r="BC77" s="903"/>
      <c r="BD77" s="903"/>
      <c r="BE77" s="903"/>
      <c r="BF77" s="903"/>
      <c r="BG77" s="903"/>
      <c r="BH77" s="903"/>
      <c r="BI77" s="903"/>
      <c r="BJ77" s="903"/>
      <c r="BK77" s="903"/>
      <c r="BL77" s="903"/>
      <c r="BM77" s="903"/>
      <c r="BN77" s="903"/>
      <c r="BO77" s="903"/>
      <c r="BP77" s="903"/>
      <c r="BQ77" s="903"/>
      <c r="BR77" s="903"/>
      <c r="BS77" s="903"/>
      <c r="BT77" s="903"/>
      <c r="BU77" s="903"/>
      <c r="BV77" s="903"/>
      <c r="BW77" s="903"/>
      <c r="BX77" s="903"/>
      <c r="BY77" s="903"/>
      <c r="BZ77" s="903"/>
      <c r="CA77" s="903"/>
      <c r="CB77" s="903"/>
      <c r="CC77" s="903"/>
    </row>
    <row r="78" spans="1:16182" s="957" customFormat="1" x14ac:dyDescent="0.25">
      <c r="A78" s="884"/>
      <c r="B78" s="924"/>
      <c r="C78" s="906"/>
      <c r="D78" s="908" t="s">
        <v>103</v>
      </c>
      <c r="E78" s="908"/>
      <c r="F78" s="908"/>
      <c r="G78" s="908"/>
      <c r="H78" s="904"/>
      <c r="I78" s="904"/>
      <c r="J78" s="904"/>
      <c r="K78" s="904"/>
      <c r="L78" s="904"/>
      <c r="M78" s="904"/>
      <c r="N78" s="904"/>
      <c r="O78" s="904"/>
      <c r="P78" s="904"/>
      <c r="Q78" s="904"/>
      <c r="R78" s="904"/>
      <c r="S78" s="904"/>
      <c r="T78" s="904"/>
      <c r="U78" s="904"/>
      <c r="V78" s="904"/>
      <c r="W78" s="904"/>
      <c r="X78" s="904"/>
      <c r="Y78" s="904"/>
      <c r="Z78" s="904"/>
      <c r="AA78" s="904"/>
      <c r="AB78" s="904"/>
      <c r="AC78" s="904"/>
      <c r="AD78" s="904"/>
      <c r="AE78" s="904"/>
      <c r="AF78" s="904"/>
      <c r="AG78" s="904"/>
      <c r="AH78" s="904"/>
      <c r="AI78" s="904"/>
      <c r="AJ78" s="904"/>
      <c r="AK78" s="904"/>
      <c r="AL78" s="904"/>
      <c r="AM78" s="904"/>
      <c r="AN78" s="904"/>
      <c r="AO78" s="904"/>
      <c r="AP78" s="904"/>
      <c r="AQ78" s="904"/>
      <c r="AR78" s="904"/>
      <c r="AS78" s="904"/>
      <c r="AT78" s="904"/>
      <c r="AU78" s="904"/>
      <c r="AV78" s="904"/>
      <c r="AW78" s="904"/>
      <c r="AX78" s="904"/>
      <c r="AY78" s="904"/>
      <c r="AZ78" s="904"/>
      <c r="BA78" s="904"/>
      <c r="BB78" s="904"/>
      <c r="BC78" s="904"/>
      <c r="BD78" s="904"/>
      <c r="BE78" s="904"/>
      <c r="BF78" s="904"/>
      <c r="BG78" s="904"/>
      <c r="BH78" s="904"/>
      <c r="BI78" s="904"/>
      <c r="BJ78" s="904"/>
      <c r="BK78" s="904"/>
      <c r="BL78" s="904"/>
      <c r="BM78" s="904"/>
      <c r="BN78" s="904"/>
      <c r="BO78" s="904"/>
      <c r="BP78" s="904"/>
      <c r="BQ78" s="904"/>
      <c r="BR78" s="904"/>
      <c r="BS78" s="904"/>
      <c r="BT78" s="904"/>
      <c r="BU78" s="904"/>
      <c r="BV78" s="904"/>
      <c r="BW78" s="904"/>
      <c r="BX78" s="904"/>
      <c r="BY78" s="904"/>
      <c r="BZ78" s="904"/>
      <c r="CA78" s="904"/>
      <c r="CB78" s="904"/>
      <c r="CC78" s="904"/>
    </row>
    <row r="79" spans="1:16182" x14ac:dyDescent="0.25">
      <c r="B79" s="924"/>
      <c r="C79" s="924"/>
      <c r="D79" s="924"/>
      <c r="E79" s="960" t="s">
        <v>121</v>
      </c>
      <c r="F79" s="960"/>
      <c r="G79" s="960"/>
      <c r="H79" s="961"/>
      <c r="I79" s="961"/>
      <c r="J79" s="961"/>
      <c r="K79" s="961"/>
      <c r="L79" s="961"/>
      <c r="M79" s="961"/>
      <c r="N79" s="961"/>
      <c r="O79" s="961"/>
      <c r="P79" s="961"/>
      <c r="Q79" s="961"/>
      <c r="R79" s="961"/>
      <c r="S79" s="889"/>
      <c r="T79" s="889"/>
      <c r="U79" s="889"/>
      <c r="V79" s="889"/>
      <c r="W79" s="889"/>
      <c r="X79" s="889"/>
      <c r="Y79" s="889"/>
      <c r="Z79" s="889"/>
      <c r="AA79" s="889"/>
      <c r="AB79" s="889"/>
      <c r="AC79" s="889"/>
      <c r="AD79" s="889"/>
      <c r="AE79" s="889"/>
      <c r="AF79" s="889"/>
      <c r="AG79" s="889"/>
      <c r="AH79" s="889"/>
      <c r="AI79" s="889"/>
      <c r="AJ79" s="889"/>
      <c r="AK79" s="889"/>
      <c r="AL79" s="889"/>
      <c r="AM79" s="889"/>
      <c r="AN79" s="889"/>
      <c r="AO79" s="889"/>
      <c r="AP79" s="889"/>
      <c r="AQ79" s="889"/>
      <c r="AR79" s="889"/>
      <c r="AS79" s="889"/>
      <c r="AT79" s="889"/>
      <c r="AU79" s="889"/>
      <c r="AV79" s="889"/>
      <c r="AW79" s="889"/>
      <c r="AX79" s="889"/>
      <c r="AY79" s="889"/>
      <c r="AZ79" s="889"/>
      <c r="BA79" s="889"/>
      <c r="BB79" s="889"/>
      <c r="BC79" s="889"/>
      <c r="BD79" s="889"/>
      <c r="BE79" s="889"/>
      <c r="BF79" s="889"/>
      <c r="BG79" s="889"/>
      <c r="BH79" s="889"/>
      <c r="BI79" s="889"/>
      <c r="BJ79" s="889"/>
      <c r="BK79" s="889"/>
      <c r="BL79" s="889"/>
      <c r="BM79" s="889"/>
      <c r="BN79" s="889"/>
      <c r="BO79" s="889"/>
      <c r="BP79" s="889"/>
      <c r="BQ79" s="889"/>
      <c r="BR79" s="889"/>
      <c r="BS79" s="889"/>
      <c r="BT79" s="889"/>
      <c r="BU79" s="889"/>
      <c r="BV79" s="889"/>
      <c r="BW79" s="889"/>
      <c r="BX79" s="889"/>
      <c r="BY79" s="889"/>
      <c r="BZ79" s="889"/>
      <c r="CA79" s="889"/>
      <c r="CB79" s="889"/>
      <c r="CC79" s="889"/>
    </row>
    <row r="80" spans="1:16182" x14ac:dyDescent="0.25">
      <c r="B80" s="925"/>
      <c r="F80" s="959" t="s">
        <v>121</v>
      </c>
      <c r="H80" s="959">
        <v>10166.129999999999</v>
      </c>
      <c r="I80" s="959">
        <v>127466.18</v>
      </c>
      <c r="J80" s="959">
        <v>117600.45000000001</v>
      </c>
      <c r="K80" s="959">
        <v>137742.41999999998</v>
      </c>
      <c r="L80" s="959">
        <v>154613.62</v>
      </c>
      <c r="M80" s="959">
        <v>141940.87</v>
      </c>
      <c r="N80" s="959">
        <v>295779.82</v>
      </c>
      <c r="O80" s="959">
        <v>150972.02000000002</v>
      </c>
      <c r="P80" s="959">
        <v>149805.26</v>
      </c>
      <c r="Q80" s="959">
        <v>61495.99</v>
      </c>
      <c r="R80" s="959">
        <v>76277.840000000011</v>
      </c>
      <c r="S80" s="887">
        <v>44856.979999999996</v>
      </c>
      <c r="T80" s="887">
        <v>244320.17</v>
      </c>
      <c r="U80" s="887">
        <v>114346.3</v>
      </c>
      <c r="V80" s="887">
        <v>150397.99</v>
      </c>
      <c r="W80" s="887">
        <v>249877.71</v>
      </c>
      <c r="X80" s="887">
        <v>188670.67</v>
      </c>
      <c r="Y80" s="887">
        <v>209251.75</v>
      </c>
      <c r="Z80" s="887">
        <v>115568.56</v>
      </c>
      <c r="AA80" s="887">
        <v>92513.37</v>
      </c>
      <c r="AB80" s="887">
        <v>194947.13</v>
      </c>
      <c r="AC80" s="887">
        <v>206551.45</v>
      </c>
      <c r="AD80" s="887">
        <v>239669.88</v>
      </c>
      <c r="AE80" s="887">
        <v>150453.07999999999</v>
      </c>
      <c r="AF80" s="887">
        <v>217494.95</v>
      </c>
      <c r="AG80" s="887">
        <v>323421</v>
      </c>
      <c r="AH80" s="887">
        <v>220261.32</v>
      </c>
      <c r="AI80" s="887">
        <v>233414.89</v>
      </c>
      <c r="AJ80" s="887">
        <v>331077.65000000002</v>
      </c>
    </row>
    <row r="81" spans="1:16384" x14ac:dyDescent="0.25">
      <c r="B81" s="925"/>
      <c r="E81" s="913" t="s">
        <v>156</v>
      </c>
      <c r="F81" s="913"/>
      <c r="G81" s="913"/>
      <c r="H81" s="936">
        <f>SUM(H80)</f>
        <v>10166.129999999999</v>
      </c>
      <c r="I81" s="936">
        <f>SUM(I80)</f>
        <v>127466.18</v>
      </c>
      <c r="J81" s="936">
        <f t="shared" ref="J81:T81" si="17">SUM(J80)</f>
        <v>117600.45000000001</v>
      </c>
      <c r="K81" s="936">
        <f t="shared" si="17"/>
        <v>137742.41999999998</v>
      </c>
      <c r="L81" s="936">
        <f t="shared" si="17"/>
        <v>154613.62</v>
      </c>
      <c r="M81" s="936">
        <f t="shared" si="17"/>
        <v>141940.87</v>
      </c>
      <c r="N81" s="936">
        <f t="shared" si="17"/>
        <v>295779.82</v>
      </c>
      <c r="O81" s="936">
        <f t="shared" si="17"/>
        <v>150972.02000000002</v>
      </c>
      <c r="P81" s="936">
        <f t="shared" si="17"/>
        <v>149805.26</v>
      </c>
      <c r="Q81" s="936">
        <f t="shared" si="17"/>
        <v>61495.99</v>
      </c>
      <c r="R81" s="936">
        <f t="shared" si="17"/>
        <v>76277.840000000011</v>
      </c>
      <c r="S81" s="936">
        <f t="shared" si="17"/>
        <v>44856.979999999996</v>
      </c>
      <c r="T81" s="936">
        <f t="shared" si="17"/>
        <v>244320.17</v>
      </c>
      <c r="U81" s="936">
        <f t="shared" ref="U81:AJ81" si="18">SUM(U80)</f>
        <v>114346.3</v>
      </c>
      <c r="V81" s="936">
        <f t="shared" si="18"/>
        <v>150397.99</v>
      </c>
      <c r="W81" s="936">
        <f t="shared" si="18"/>
        <v>249877.71</v>
      </c>
      <c r="X81" s="936">
        <f t="shared" si="18"/>
        <v>188670.67</v>
      </c>
      <c r="Y81" s="936">
        <f t="shared" si="18"/>
        <v>209251.75</v>
      </c>
      <c r="Z81" s="936">
        <f t="shared" si="18"/>
        <v>115568.56</v>
      </c>
      <c r="AA81" s="936">
        <f t="shared" si="18"/>
        <v>92513.37</v>
      </c>
      <c r="AB81" s="936">
        <f t="shared" si="18"/>
        <v>194947.13</v>
      </c>
      <c r="AC81" s="936">
        <f t="shared" si="18"/>
        <v>206551.45</v>
      </c>
      <c r="AD81" s="936">
        <f t="shared" si="18"/>
        <v>239669.88</v>
      </c>
      <c r="AE81" s="936">
        <f t="shared" si="18"/>
        <v>150453.07999999999</v>
      </c>
      <c r="AF81" s="936">
        <f t="shared" si="18"/>
        <v>217494.95</v>
      </c>
      <c r="AG81" s="936">
        <f t="shared" si="18"/>
        <v>323421</v>
      </c>
      <c r="AH81" s="936">
        <f t="shared" si="18"/>
        <v>220261.32</v>
      </c>
      <c r="AI81" s="1237">
        <f t="shared" si="18"/>
        <v>233414.89</v>
      </c>
      <c r="AJ81" s="1237">
        <f t="shared" si="18"/>
        <v>331077.65000000002</v>
      </c>
      <c r="AK81" s="944"/>
      <c r="AL81" s="944"/>
      <c r="AM81" s="944"/>
      <c r="AN81" s="944"/>
      <c r="AO81" s="944"/>
      <c r="AP81" s="944"/>
      <c r="AQ81" s="944"/>
      <c r="AR81" s="944"/>
      <c r="AS81" s="944"/>
      <c r="AT81" s="944"/>
      <c r="AU81" s="944"/>
      <c r="AV81" s="944"/>
      <c r="AW81" s="944"/>
      <c r="AX81" s="944"/>
      <c r="AY81" s="944"/>
      <c r="AZ81" s="944"/>
      <c r="BA81" s="944"/>
      <c r="BB81" s="944"/>
      <c r="BC81" s="944"/>
      <c r="BD81" s="944"/>
      <c r="BE81" s="944"/>
      <c r="BF81" s="944"/>
      <c r="BG81" s="944"/>
      <c r="BH81" s="944"/>
      <c r="BI81" s="944"/>
      <c r="BJ81" s="944"/>
      <c r="BK81" s="944"/>
      <c r="BL81" s="944"/>
      <c r="BM81" s="944"/>
      <c r="BN81" s="944"/>
      <c r="BO81" s="944"/>
      <c r="BP81" s="944"/>
      <c r="BQ81" s="944"/>
      <c r="BR81" s="944"/>
      <c r="BS81" s="944"/>
      <c r="BT81" s="944"/>
      <c r="BU81" s="944"/>
      <c r="BV81" s="944"/>
      <c r="BW81" s="944"/>
      <c r="BX81" s="944"/>
      <c r="BY81" s="944"/>
      <c r="BZ81" s="944"/>
      <c r="CA81" s="944"/>
      <c r="CB81" s="944"/>
      <c r="CC81" s="944"/>
      <c r="CD81" s="953"/>
      <c r="CE81" s="953"/>
      <c r="CF81" s="953"/>
      <c r="CG81" s="953"/>
      <c r="CH81" s="953"/>
      <c r="CI81" s="953"/>
      <c r="CJ81" s="953"/>
      <c r="CK81" s="953"/>
      <c r="CL81" s="953"/>
      <c r="CM81" s="953"/>
      <c r="CN81" s="953"/>
      <c r="CO81" s="953"/>
      <c r="CP81" s="953"/>
      <c r="CQ81" s="953"/>
      <c r="CR81" s="953"/>
      <c r="CS81" s="953"/>
      <c r="CT81" s="953"/>
      <c r="CU81" s="953"/>
      <c r="CV81" s="953"/>
      <c r="CW81" s="953"/>
      <c r="CX81" s="953"/>
      <c r="CY81" s="953"/>
      <c r="CZ81" s="953"/>
      <c r="DA81" s="953"/>
      <c r="DB81" s="953"/>
      <c r="DC81" s="953"/>
      <c r="DD81" s="953"/>
      <c r="DE81" s="953"/>
      <c r="DF81" s="953"/>
      <c r="DG81" s="953"/>
      <c r="DH81" s="953"/>
      <c r="DI81" s="953"/>
      <c r="DJ81" s="953"/>
      <c r="DK81" s="953"/>
      <c r="DL81" s="953"/>
      <c r="DM81" s="953"/>
      <c r="DN81" s="953"/>
      <c r="DO81" s="953"/>
      <c r="DP81" s="953"/>
      <c r="DQ81" s="953"/>
      <c r="DR81" s="953"/>
      <c r="DS81" s="953"/>
      <c r="DT81" s="953"/>
      <c r="DU81" s="953"/>
      <c r="DV81" s="953"/>
      <c r="DW81" s="953"/>
      <c r="DX81" s="953"/>
      <c r="DY81" s="953"/>
      <c r="DZ81" s="953"/>
      <c r="EA81" s="953"/>
      <c r="EB81" s="953"/>
      <c r="EC81" s="953"/>
      <c r="ED81" s="953"/>
      <c r="EE81" s="953"/>
      <c r="EF81" s="953"/>
      <c r="EG81" s="953"/>
      <c r="EH81" s="953"/>
      <c r="EI81" s="953"/>
      <c r="EJ81" s="953"/>
      <c r="EK81" s="953"/>
      <c r="EL81" s="953"/>
      <c r="EM81" s="953"/>
      <c r="EN81" s="953"/>
      <c r="EO81" s="953"/>
      <c r="EP81" s="953"/>
      <c r="EQ81" s="953"/>
      <c r="ER81" s="953"/>
      <c r="ES81" s="953"/>
      <c r="ET81" s="953"/>
      <c r="EU81" s="953"/>
      <c r="EV81" s="953"/>
      <c r="EW81" s="953"/>
      <c r="EX81" s="953"/>
      <c r="EY81" s="953"/>
      <c r="EZ81" s="953"/>
      <c r="FA81" s="953"/>
      <c r="FB81" s="953"/>
      <c r="FC81" s="953"/>
      <c r="FD81" s="953"/>
      <c r="FE81" s="953"/>
      <c r="FF81" s="953"/>
      <c r="FG81" s="953"/>
      <c r="FH81" s="953"/>
      <c r="FI81" s="953"/>
      <c r="FJ81" s="953"/>
      <c r="FK81" s="953"/>
      <c r="FL81" s="953"/>
      <c r="FM81" s="953"/>
      <c r="FN81" s="953"/>
      <c r="FO81" s="953"/>
      <c r="FP81" s="953"/>
      <c r="FQ81" s="953"/>
      <c r="FR81" s="953"/>
      <c r="FS81" s="953"/>
      <c r="FT81" s="953"/>
      <c r="FU81" s="953"/>
      <c r="FV81" s="953"/>
      <c r="FW81" s="953"/>
      <c r="FX81" s="953"/>
      <c r="FY81" s="953"/>
      <c r="FZ81" s="953"/>
      <c r="GA81" s="953"/>
      <c r="GB81" s="953"/>
      <c r="GC81" s="953"/>
      <c r="GD81" s="953"/>
      <c r="GE81" s="953"/>
      <c r="GF81" s="953"/>
      <c r="GG81" s="953"/>
      <c r="GH81" s="953"/>
      <c r="GI81" s="953"/>
      <c r="GJ81" s="953"/>
      <c r="GK81" s="953"/>
      <c r="GL81" s="953"/>
      <c r="GM81" s="953"/>
      <c r="GN81" s="953"/>
      <c r="GO81" s="953"/>
      <c r="GP81" s="953"/>
      <c r="GQ81" s="953"/>
      <c r="GR81" s="953"/>
      <c r="GS81" s="953"/>
      <c r="GT81" s="953"/>
      <c r="GU81" s="953"/>
      <c r="GV81" s="953"/>
      <c r="GW81" s="953"/>
      <c r="GX81" s="953"/>
      <c r="GY81" s="953"/>
      <c r="GZ81" s="953"/>
      <c r="HA81" s="953"/>
      <c r="HB81" s="953"/>
      <c r="HC81" s="953"/>
      <c r="HD81" s="953"/>
      <c r="HE81" s="953"/>
      <c r="HF81" s="953"/>
      <c r="HG81" s="953"/>
      <c r="HH81" s="953"/>
      <c r="HI81" s="953"/>
      <c r="HJ81" s="953"/>
      <c r="HK81" s="953"/>
      <c r="HL81" s="953"/>
      <c r="HM81" s="953"/>
      <c r="HN81" s="953"/>
      <c r="HO81" s="953"/>
      <c r="HP81" s="953"/>
      <c r="HQ81" s="953"/>
      <c r="HR81" s="953"/>
      <c r="HS81" s="953"/>
      <c r="HT81" s="953"/>
      <c r="HU81" s="953"/>
      <c r="HV81" s="953"/>
      <c r="HW81" s="953"/>
      <c r="HX81" s="953"/>
      <c r="HY81" s="953"/>
      <c r="HZ81" s="953"/>
      <c r="IA81" s="953"/>
      <c r="IB81" s="953"/>
      <c r="IC81" s="953"/>
      <c r="ID81" s="953"/>
      <c r="IE81" s="953"/>
      <c r="IF81" s="953"/>
      <c r="IG81" s="953"/>
      <c r="IH81" s="953"/>
      <c r="II81" s="953"/>
      <c r="IJ81" s="953"/>
      <c r="IK81" s="953"/>
      <c r="IL81" s="953"/>
      <c r="IM81" s="953"/>
      <c r="IN81" s="953"/>
      <c r="IO81" s="953"/>
      <c r="IP81" s="953"/>
      <c r="IQ81" s="953"/>
      <c r="IR81" s="953"/>
      <c r="IS81" s="953"/>
      <c r="IT81" s="953"/>
      <c r="IU81" s="953"/>
      <c r="IV81" s="953"/>
      <c r="IW81" s="953"/>
      <c r="IX81" s="953"/>
      <c r="IY81" s="953"/>
      <c r="IZ81" s="953"/>
      <c r="JA81" s="953"/>
      <c r="JB81" s="953"/>
      <c r="JC81" s="953"/>
      <c r="JD81" s="953"/>
      <c r="JE81" s="953"/>
      <c r="JF81" s="953"/>
      <c r="JG81" s="953"/>
      <c r="JH81" s="953"/>
      <c r="JI81" s="953"/>
      <c r="JJ81" s="953"/>
      <c r="JK81" s="953"/>
      <c r="JL81" s="953"/>
      <c r="JM81" s="953"/>
      <c r="JN81" s="953"/>
      <c r="JO81" s="953"/>
      <c r="JP81" s="953"/>
      <c r="JQ81" s="953"/>
      <c r="JR81" s="953"/>
      <c r="JS81" s="953"/>
      <c r="JT81" s="953"/>
      <c r="JU81" s="953"/>
      <c r="JV81" s="953"/>
      <c r="JW81" s="953"/>
      <c r="JX81" s="953"/>
      <c r="JY81" s="953"/>
      <c r="JZ81" s="953"/>
      <c r="KA81" s="953"/>
      <c r="KB81" s="953"/>
      <c r="KC81" s="953"/>
      <c r="KD81" s="953"/>
      <c r="KE81" s="953"/>
      <c r="KF81" s="953"/>
      <c r="KG81" s="953"/>
      <c r="KH81" s="953"/>
      <c r="KI81" s="953"/>
      <c r="KJ81" s="953"/>
      <c r="KK81" s="953"/>
      <c r="KL81" s="953"/>
      <c r="KM81" s="953"/>
      <c r="KN81" s="953"/>
      <c r="KO81" s="953"/>
      <c r="KP81" s="953"/>
      <c r="KQ81" s="953"/>
      <c r="KR81" s="953"/>
      <c r="KS81" s="953"/>
      <c r="KT81" s="953"/>
      <c r="KU81" s="953"/>
      <c r="KV81" s="953"/>
      <c r="KW81" s="953"/>
      <c r="KX81" s="953"/>
      <c r="KY81" s="953"/>
      <c r="KZ81" s="953"/>
      <c r="LA81" s="953"/>
      <c r="LB81" s="953"/>
      <c r="LC81" s="953"/>
      <c r="LD81" s="953"/>
      <c r="LE81" s="953"/>
      <c r="LF81" s="953"/>
      <c r="LG81" s="953"/>
      <c r="LH81" s="953"/>
      <c r="LI81" s="953"/>
      <c r="LJ81" s="953"/>
      <c r="LK81" s="953"/>
      <c r="LL81" s="953"/>
      <c r="LM81" s="953"/>
      <c r="LN81" s="953"/>
      <c r="LO81" s="953"/>
      <c r="LP81" s="953"/>
      <c r="LQ81" s="953"/>
      <c r="LR81" s="953"/>
      <c r="LS81" s="953"/>
      <c r="LT81" s="953"/>
      <c r="LU81" s="953"/>
      <c r="LV81" s="953"/>
      <c r="LW81" s="953"/>
      <c r="LX81" s="953"/>
      <c r="LY81" s="953"/>
      <c r="LZ81" s="953"/>
      <c r="MA81" s="953"/>
      <c r="MB81" s="953"/>
      <c r="MC81" s="953"/>
      <c r="MD81" s="953"/>
      <c r="ME81" s="953"/>
      <c r="MF81" s="953"/>
      <c r="MG81" s="953"/>
      <c r="MH81" s="953"/>
      <c r="MI81" s="953"/>
      <c r="MJ81" s="953"/>
      <c r="MK81" s="953"/>
      <c r="ML81" s="953"/>
      <c r="MM81" s="953"/>
      <c r="MN81" s="953"/>
      <c r="MO81" s="953"/>
      <c r="MP81" s="953"/>
      <c r="MQ81" s="953"/>
      <c r="MR81" s="953"/>
      <c r="MS81" s="953"/>
      <c r="MT81" s="953"/>
      <c r="MU81" s="953"/>
      <c r="MV81" s="953"/>
      <c r="MW81" s="953"/>
      <c r="MX81" s="953"/>
      <c r="MY81" s="953"/>
      <c r="MZ81" s="953"/>
      <c r="NA81" s="953"/>
      <c r="NB81" s="953"/>
      <c r="NC81" s="953"/>
      <c r="ND81" s="953"/>
      <c r="NE81" s="953"/>
      <c r="NF81" s="953"/>
      <c r="NG81" s="953"/>
      <c r="NH81" s="953"/>
      <c r="NI81" s="953"/>
      <c r="NJ81" s="953"/>
      <c r="NK81" s="953"/>
      <c r="NL81" s="953"/>
      <c r="NM81" s="953"/>
      <c r="NN81" s="953"/>
      <c r="NO81" s="953"/>
      <c r="NP81" s="953"/>
      <c r="NQ81" s="953"/>
      <c r="NR81" s="953"/>
      <c r="NS81" s="953"/>
      <c r="NT81" s="953"/>
      <c r="NU81" s="953"/>
      <c r="NV81" s="953"/>
      <c r="NW81" s="953"/>
      <c r="NX81" s="953"/>
      <c r="NY81" s="953"/>
      <c r="NZ81" s="953"/>
      <c r="OA81" s="953"/>
      <c r="OB81" s="953"/>
      <c r="OC81" s="953"/>
      <c r="OD81" s="953"/>
      <c r="OE81" s="953"/>
      <c r="OF81" s="953"/>
      <c r="OG81" s="953"/>
      <c r="OH81" s="953"/>
      <c r="OI81" s="953"/>
      <c r="OJ81" s="953"/>
      <c r="OK81" s="953"/>
      <c r="OL81" s="953"/>
      <c r="OM81" s="953"/>
      <c r="ON81" s="953"/>
      <c r="OO81" s="953"/>
      <c r="OP81" s="953"/>
      <c r="OQ81" s="953"/>
      <c r="OR81" s="953"/>
      <c r="OS81" s="953"/>
      <c r="OT81" s="953"/>
      <c r="OU81" s="953"/>
      <c r="OV81" s="953"/>
      <c r="OW81" s="953"/>
      <c r="OX81" s="953"/>
      <c r="OY81" s="953"/>
      <c r="OZ81" s="953"/>
      <c r="PA81" s="953"/>
      <c r="PB81" s="953"/>
      <c r="PC81" s="953"/>
      <c r="PD81" s="953"/>
      <c r="PE81" s="953"/>
      <c r="PF81" s="953"/>
      <c r="PG81" s="953"/>
      <c r="PH81" s="953"/>
      <c r="PI81" s="953"/>
      <c r="PJ81" s="953"/>
      <c r="PK81" s="953"/>
      <c r="PL81" s="953"/>
      <c r="PM81" s="953"/>
      <c r="PN81" s="953"/>
      <c r="PO81" s="953"/>
      <c r="PP81" s="953"/>
      <c r="PQ81" s="953"/>
      <c r="PR81" s="953"/>
      <c r="PS81" s="953"/>
      <c r="PT81" s="953"/>
      <c r="PU81" s="953"/>
      <c r="PV81" s="953"/>
      <c r="PW81" s="953"/>
      <c r="PX81" s="953"/>
      <c r="PY81" s="953"/>
      <c r="PZ81" s="953"/>
      <c r="QA81" s="953"/>
      <c r="QB81" s="953"/>
      <c r="QC81" s="953"/>
      <c r="QD81" s="953"/>
      <c r="QE81" s="953"/>
      <c r="QF81" s="953"/>
      <c r="QG81" s="953"/>
      <c r="QH81" s="953"/>
      <c r="QI81" s="953"/>
      <c r="QJ81" s="953"/>
      <c r="QK81" s="953"/>
      <c r="QL81" s="953"/>
      <c r="QM81" s="953"/>
      <c r="QN81" s="953"/>
      <c r="QO81" s="953"/>
      <c r="QP81" s="953"/>
      <c r="QQ81" s="953"/>
      <c r="QR81" s="953"/>
      <c r="QS81" s="953"/>
      <c r="QT81" s="953"/>
      <c r="QU81" s="953"/>
      <c r="QV81" s="953"/>
      <c r="QW81" s="953"/>
      <c r="QX81" s="953"/>
      <c r="QY81" s="953"/>
      <c r="QZ81" s="953"/>
      <c r="RA81" s="953"/>
      <c r="RB81" s="953"/>
      <c r="RC81" s="953"/>
      <c r="RD81" s="953"/>
      <c r="RE81" s="953"/>
      <c r="RF81" s="953"/>
      <c r="RG81" s="953"/>
      <c r="RH81" s="953"/>
      <c r="RI81" s="953"/>
      <c r="RJ81" s="953"/>
      <c r="RK81" s="953"/>
      <c r="RL81" s="953"/>
      <c r="RM81" s="953"/>
      <c r="RN81" s="953"/>
      <c r="RO81" s="953"/>
      <c r="RP81" s="953"/>
      <c r="RQ81" s="953"/>
      <c r="RR81" s="953"/>
      <c r="RS81" s="953"/>
      <c r="RT81" s="953"/>
      <c r="RU81" s="953"/>
      <c r="RV81" s="953"/>
      <c r="RW81" s="953"/>
      <c r="RX81" s="953"/>
      <c r="RY81" s="953"/>
      <c r="RZ81" s="953"/>
      <c r="SA81" s="953"/>
      <c r="SB81" s="953"/>
      <c r="SC81" s="953"/>
      <c r="SD81" s="953"/>
      <c r="SE81" s="953"/>
      <c r="SF81" s="953"/>
      <c r="SG81" s="953"/>
      <c r="SH81" s="953"/>
      <c r="SI81" s="953"/>
      <c r="SJ81" s="953"/>
      <c r="SK81" s="953"/>
      <c r="SL81" s="953"/>
      <c r="SM81" s="953"/>
      <c r="SN81" s="953"/>
      <c r="SO81" s="953"/>
      <c r="SP81" s="953"/>
      <c r="SQ81" s="953"/>
      <c r="SR81" s="953"/>
      <c r="SS81" s="953"/>
      <c r="ST81" s="953"/>
      <c r="SU81" s="953"/>
      <c r="SV81" s="953"/>
      <c r="SW81" s="953"/>
      <c r="SX81" s="953"/>
      <c r="SY81" s="953"/>
      <c r="SZ81" s="953"/>
      <c r="TA81" s="953"/>
      <c r="TB81" s="953"/>
      <c r="TC81" s="953"/>
      <c r="TD81" s="953"/>
      <c r="TE81" s="953"/>
      <c r="TF81" s="953"/>
      <c r="TG81" s="953"/>
      <c r="TH81" s="953"/>
      <c r="TI81" s="953"/>
      <c r="TJ81" s="953"/>
      <c r="TK81" s="953"/>
      <c r="TL81" s="953"/>
      <c r="TM81" s="953"/>
      <c r="TN81" s="953"/>
      <c r="TO81" s="953"/>
      <c r="TP81" s="953"/>
      <c r="TQ81" s="953"/>
      <c r="TR81" s="953"/>
      <c r="TS81" s="953"/>
      <c r="TT81" s="953"/>
      <c r="TU81" s="953"/>
      <c r="TV81" s="953"/>
      <c r="TW81" s="953"/>
      <c r="TX81" s="953"/>
      <c r="TY81" s="953"/>
      <c r="TZ81" s="953"/>
      <c r="UA81" s="953"/>
      <c r="UB81" s="953"/>
      <c r="UC81" s="953"/>
      <c r="UD81" s="953"/>
      <c r="UE81" s="953"/>
      <c r="UF81" s="953"/>
      <c r="UG81" s="953"/>
      <c r="UH81" s="953"/>
      <c r="UI81" s="953"/>
      <c r="UJ81" s="953"/>
      <c r="UK81" s="953"/>
      <c r="UL81" s="953"/>
      <c r="UM81" s="953"/>
      <c r="UN81" s="953"/>
      <c r="UO81" s="953"/>
      <c r="UP81" s="953"/>
      <c r="UQ81" s="953"/>
      <c r="UR81" s="953"/>
      <c r="US81" s="953"/>
      <c r="UT81" s="953"/>
      <c r="UU81" s="953"/>
      <c r="UV81" s="953"/>
      <c r="UW81" s="953"/>
      <c r="UX81" s="953"/>
      <c r="UY81" s="953"/>
      <c r="UZ81" s="953"/>
      <c r="VA81" s="953"/>
      <c r="VB81" s="953"/>
      <c r="VC81" s="953"/>
      <c r="VD81" s="953"/>
      <c r="VE81" s="953"/>
      <c r="VF81" s="953"/>
      <c r="VG81" s="953"/>
      <c r="VH81" s="953"/>
      <c r="VI81" s="953"/>
      <c r="VJ81" s="953"/>
      <c r="VK81" s="953"/>
      <c r="VL81" s="953"/>
      <c r="VM81" s="953"/>
      <c r="VN81" s="953"/>
      <c r="VO81" s="953"/>
      <c r="VP81" s="953"/>
      <c r="VQ81" s="953"/>
      <c r="VR81" s="953"/>
      <c r="VS81" s="953"/>
      <c r="VT81" s="953"/>
      <c r="VU81" s="953"/>
      <c r="VV81" s="953"/>
      <c r="VW81" s="953"/>
      <c r="VX81" s="953"/>
      <c r="VY81" s="953"/>
      <c r="VZ81" s="953"/>
      <c r="WA81" s="953"/>
      <c r="WB81" s="953"/>
      <c r="WC81" s="953"/>
      <c r="WD81" s="953"/>
      <c r="WE81" s="953"/>
      <c r="WF81" s="953"/>
      <c r="WG81" s="953"/>
      <c r="WH81" s="953"/>
      <c r="WI81" s="953"/>
      <c r="WJ81" s="953"/>
      <c r="WK81" s="953"/>
      <c r="WL81" s="953"/>
      <c r="WM81" s="953"/>
      <c r="WN81" s="953"/>
      <c r="WO81" s="953"/>
      <c r="WP81" s="953"/>
      <c r="WQ81" s="953"/>
      <c r="WR81" s="953"/>
      <c r="WS81" s="953"/>
      <c r="WT81" s="953"/>
      <c r="WU81" s="953"/>
      <c r="WV81" s="953"/>
      <c r="WW81" s="953"/>
      <c r="WX81" s="953"/>
      <c r="WY81" s="953"/>
      <c r="WZ81" s="953"/>
      <c r="XA81" s="953"/>
      <c r="XB81" s="953"/>
      <c r="XC81" s="953"/>
      <c r="XD81" s="953"/>
      <c r="XE81" s="953"/>
      <c r="XF81" s="953"/>
      <c r="XG81" s="953"/>
      <c r="XH81" s="953"/>
      <c r="XI81" s="953"/>
      <c r="XJ81" s="953"/>
      <c r="XK81" s="953"/>
      <c r="XL81" s="953"/>
      <c r="XM81" s="953"/>
      <c r="XN81" s="953"/>
      <c r="XO81" s="953"/>
      <c r="XP81" s="953"/>
      <c r="XQ81" s="953"/>
      <c r="XR81" s="953"/>
      <c r="XS81" s="953"/>
      <c r="XT81" s="953"/>
      <c r="XU81" s="953"/>
      <c r="XV81" s="953"/>
      <c r="XW81" s="953"/>
      <c r="XX81" s="953"/>
      <c r="XY81" s="953"/>
      <c r="XZ81" s="953"/>
      <c r="YA81" s="953"/>
      <c r="YB81" s="953"/>
      <c r="YC81" s="953"/>
      <c r="YD81" s="953"/>
      <c r="YE81" s="953"/>
      <c r="YF81" s="953"/>
      <c r="YG81" s="953"/>
      <c r="YH81" s="953"/>
      <c r="YI81" s="953"/>
      <c r="YJ81" s="953"/>
      <c r="YK81" s="953"/>
      <c r="YL81" s="953"/>
      <c r="YM81" s="953"/>
      <c r="YN81" s="953"/>
      <c r="YO81" s="953"/>
      <c r="YP81" s="953"/>
      <c r="YQ81" s="953"/>
      <c r="YR81" s="953"/>
      <c r="YS81" s="953"/>
      <c r="YT81" s="953"/>
      <c r="YU81" s="953"/>
      <c r="YV81" s="953"/>
      <c r="YW81" s="953"/>
      <c r="YX81" s="953"/>
      <c r="YY81" s="953"/>
      <c r="YZ81" s="953"/>
      <c r="ZA81" s="953"/>
      <c r="ZB81" s="953"/>
      <c r="ZC81" s="953"/>
      <c r="ZD81" s="953"/>
      <c r="ZE81" s="953"/>
      <c r="ZF81" s="953"/>
      <c r="ZG81" s="953"/>
      <c r="ZH81" s="953"/>
      <c r="ZI81" s="953"/>
      <c r="ZJ81" s="953"/>
      <c r="ZK81" s="953"/>
      <c r="ZL81" s="953"/>
      <c r="ZM81" s="953"/>
      <c r="ZN81" s="953"/>
      <c r="ZO81" s="953"/>
      <c r="ZP81" s="953"/>
      <c r="ZQ81" s="953"/>
      <c r="ZR81" s="953"/>
      <c r="ZS81" s="953"/>
      <c r="ZT81" s="953"/>
      <c r="ZU81" s="953"/>
      <c r="ZV81" s="953"/>
      <c r="ZW81" s="953"/>
      <c r="ZX81" s="953"/>
      <c r="ZY81" s="953"/>
      <c r="ZZ81" s="953"/>
      <c r="AAA81" s="953"/>
      <c r="AAB81" s="953"/>
      <c r="AAC81" s="953"/>
      <c r="AAD81" s="953"/>
      <c r="AAE81" s="953"/>
      <c r="AAF81" s="953"/>
      <c r="AAG81" s="953"/>
      <c r="AAH81" s="953"/>
      <c r="AAI81" s="953"/>
      <c r="AAJ81" s="953"/>
      <c r="AAK81" s="953"/>
      <c r="AAL81" s="953"/>
      <c r="AAM81" s="953"/>
      <c r="AAN81" s="953"/>
      <c r="AAO81" s="953"/>
      <c r="AAP81" s="953"/>
      <c r="AAQ81" s="953"/>
      <c r="AAR81" s="953"/>
      <c r="AAS81" s="953"/>
      <c r="AAT81" s="953"/>
      <c r="AAU81" s="953"/>
      <c r="AAV81" s="953"/>
      <c r="AAW81" s="953"/>
      <c r="AAX81" s="953"/>
      <c r="AAY81" s="953"/>
      <c r="AAZ81" s="953"/>
      <c r="ABA81" s="953"/>
      <c r="ABB81" s="953"/>
      <c r="ABC81" s="953"/>
      <c r="ABD81" s="953"/>
      <c r="ABE81" s="953"/>
      <c r="ABF81" s="953"/>
      <c r="ABG81" s="953"/>
      <c r="ABH81" s="953"/>
      <c r="ABI81" s="953"/>
      <c r="ABJ81" s="953"/>
      <c r="ABK81" s="953"/>
      <c r="ABL81" s="953"/>
      <c r="ABM81" s="953"/>
      <c r="ABN81" s="953"/>
      <c r="ABO81" s="953"/>
      <c r="ABP81" s="953"/>
      <c r="ABQ81" s="953"/>
      <c r="ABR81" s="953"/>
      <c r="ABS81" s="953"/>
      <c r="ABT81" s="953"/>
      <c r="ABU81" s="953"/>
      <c r="ABV81" s="953"/>
      <c r="ABW81" s="953"/>
      <c r="ABX81" s="953"/>
      <c r="ABY81" s="953"/>
      <c r="ABZ81" s="953"/>
      <c r="ACA81" s="953"/>
      <c r="ACB81" s="953"/>
      <c r="ACC81" s="953"/>
      <c r="ACD81" s="953"/>
      <c r="ACE81" s="953"/>
      <c r="ACF81" s="953"/>
      <c r="ACG81" s="953"/>
      <c r="ACH81" s="953"/>
      <c r="ACI81" s="953"/>
      <c r="ACJ81" s="953"/>
      <c r="ACK81" s="953"/>
      <c r="ACL81" s="953"/>
      <c r="ACM81" s="953"/>
      <c r="ACN81" s="953"/>
      <c r="ACO81" s="953"/>
      <c r="ACP81" s="953"/>
      <c r="ACQ81" s="953"/>
      <c r="ACR81" s="953"/>
      <c r="ACS81" s="953"/>
      <c r="ACT81" s="953"/>
      <c r="ACU81" s="953"/>
      <c r="ACV81" s="953"/>
      <c r="ACW81" s="953"/>
      <c r="ACX81" s="953"/>
      <c r="ACY81" s="953"/>
      <c r="ACZ81" s="953"/>
      <c r="ADA81" s="953"/>
      <c r="ADB81" s="953"/>
      <c r="ADC81" s="953"/>
      <c r="ADD81" s="953"/>
      <c r="ADE81" s="953"/>
      <c r="ADF81" s="953"/>
      <c r="ADG81" s="953"/>
      <c r="ADH81" s="953"/>
      <c r="ADI81" s="953"/>
      <c r="ADJ81" s="953"/>
      <c r="ADK81" s="953"/>
      <c r="ADL81" s="953"/>
      <c r="ADM81" s="953"/>
      <c r="ADN81" s="953"/>
      <c r="ADO81" s="953"/>
      <c r="ADP81" s="953"/>
      <c r="ADQ81" s="953"/>
      <c r="ADR81" s="953"/>
      <c r="ADS81" s="953"/>
      <c r="ADT81" s="953"/>
      <c r="ADU81" s="953"/>
      <c r="ADV81" s="953"/>
      <c r="ADW81" s="953"/>
      <c r="ADX81" s="953"/>
      <c r="ADY81" s="953"/>
      <c r="ADZ81" s="953"/>
      <c r="AEA81" s="953"/>
      <c r="AEB81" s="953"/>
      <c r="AEC81" s="953"/>
      <c r="AED81" s="953"/>
      <c r="AEE81" s="953"/>
      <c r="AEF81" s="953"/>
      <c r="AEG81" s="953"/>
      <c r="AEH81" s="953"/>
      <c r="AEI81" s="953"/>
      <c r="AEJ81" s="953"/>
      <c r="AEK81" s="953"/>
      <c r="AEL81" s="953"/>
      <c r="AEM81" s="953"/>
      <c r="AEN81" s="953"/>
      <c r="AEO81" s="953"/>
      <c r="AEP81" s="953"/>
      <c r="AEQ81" s="953"/>
      <c r="AER81" s="953"/>
      <c r="AES81" s="953"/>
      <c r="AET81" s="953"/>
      <c r="AEU81" s="953"/>
      <c r="AEV81" s="953"/>
      <c r="AEW81" s="953"/>
      <c r="AEX81" s="953"/>
      <c r="AEY81" s="953"/>
      <c r="AEZ81" s="953"/>
      <c r="AFA81" s="953"/>
      <c r="AFB81" s="953"/>
      <c r="AFC81" s="953"/>
      <c r="AFD81" s="953"/>
      <c r="AFE81" s="953"/>
      <c r="AFF81" s="953"/>
      <c r="AFG81" s="953"/>
      <c r="AFH81" s="953"/>
      <c r="AFI81" s="953"/>
      <c r="AFJ81" s="953"/>
      <c r="AFK81" s="953"/>
      <c r="AFL81" s="953"/>
      <c r="AFM81" s="953"/>
      <c r="AFN81" s="953"/>
      <c r="AFO81" s="953"/>
      <c r="AFP81" s="953"/>
      <c r="AFQ81" s="953"/>
      <c r="AFR81" s="953"/>
      <c r="AFS81" s="953"/>
      <c r="AFT81" s="953"/>
      <c r="AFU81" s="953"/>
      <c r="AFV81" s="953"/>
      <c r="AFW81" s="953"/>
      <c r="AFX81" s="953"/>
      <c r="AFY81" s="953"/>
      <c r="AFZ81" s="953"/>
      <c r="AGA81" s="953"/>
      <c r="AGB81" s="953"/>
      <c r="AGC81" s="953"/>
      <c r="AGD81" s="953"/>
      <c r="AGE81" s="953"/>
      <c r="AGF81" s="953"/>
      <c r="AGG81" s="953"/>
      <c r="AGH81" s="953"/>
      <c r="AGI81" s="953"/>
      <c r="AGJ81" s="953"/>
      <c r="AGK81" s="953"/>
      <c r="AGL81" s="953"/>
      <c r="AGM81" s="953"/>
      <c r="AGN81" s="953"/>
      <c r="AGO81" s="953"/>
      <c r="AGP81" s="953"/>
      <c r="AGQ81" s="953"/>
      <c r="AGR81" s="953"/>
      <c r="AGS81" s="953"/>
      <c r="AGT81" s="953"/>
      <c r="AGU81" s="953"/>
      <c r="AGV81" s="953"/>
      <c r="AGW81" s="953"/>
      <c r="AGX81" s="953"/>
      <c r="AGY81" s="953"/>
      <c r="AGZ81" s="953"/>
      <c r="AHA81" s="953"/>
      <c r="AHB81" s="953"/>
      <c r="AHC81" s="953"/>
      <c r="AHD81" s="953"/>
      <c r="AHE81" s="953"/>
      <c r="AHF81" s="953"/>
      <c r="AHG81" s="953"/>
      <c r="AHH81" s="953"/>
      <c r="AHI81" s="953"/>
      <c r="AHJ81" s="953"/>
      <c r="AHK81" s="953"/>
      <c r="AHL81" s="953"/>
      <c r="AHM81" s="953"/>
      <c r="AHN81" s="953"/>
      <c r="AHO81" s="953"/>
      <c r="AHP81" s="953"/>
      <c r="AHQ81" s="953"/>
      <c r="AHR81" s="953"/>
      <c r="AHS81" s="953"/>
      <c r="AHT81" s="953"/>
      <c r="AHU81" s="953"/>
      <c r="AHV81" s="953"/>
      <c r="AHW81" s="953"/>
      <c r="AHX81" s="953"/>
      <c r="AHY81" s="953"/>
      <c r="AHZ81" s="953"/>
      <c r="AIA81" s="953"/>
      <c r="AIB81" s="953"/>
      <c r="AIC81" s="953"/>
      <c r="AID81" s="953"/>
      <c r="AIE81" s="953"/>
      <c r="AIF81" s="953"/>
      <c r="AIG81" s="953"/>
      <c r="AIH81" s="953"/>
      <c r="AII81" s="953"/>
      <c r="AIJ81" s="953"/>
      <c r="AIK81" s="953"/>
      <c r="AIL81" s="953"/>
      <c r="AIM81" s="953"/>
      <c r="AIN81" s="953"/>
      <c r="AIO81" s="953"/>
      <c r="AIP81" s="953"/>
      <c r="AIQ81" s="953"/>
      <c r="AIR81" s="953"/>
      <c r="AIS81" s="953"/>
      <c r="AIT81" s="953"/>
      <c r="AIU81" s="953"/>
      <c r="AIV81" s="953"/>
      <c r="AIW81" s="953"/>
      <c r="AIX81" s="953"/>
      <c r="AIY81" s="953"/>
      <c r="AIZ81" s="953"/>
      <c r="AJA81" s="953"/>
      <c r="AJB81" s="953"/>
      <c r="AJC81" s="953"/>
      <c r="AJD81" s="953"/>
      <c r="AJE81" s="953"/>
      <c r="AJF81" s="953"/>
      <c r="AJG81" s="953"/>
      <c r="AJH81" s="953"/>
      <c r="AJI81" s="953"/>
      <c r="AJJ81" s="953"/>
      <c r="AJK81" s="953"/>
      <c r="AJL81" s="953"/>
      <c r="AJM81" s="953"/>
      <c r="AJN81" s="953"/>
      <c r="AJO81" s="953"/>
      <c r="AJP81" s="953"/>
      <c r="AJQ81" s="953"/>
      <c r="AJR81" s="953"/>
      <c r="AJS81" s="953"/>
      <c r="AJT81" s="953"/>
      <c r="AJU81" s="953"/>
      <c r="AJV81" s="953"/>
      <c r="AJW81" s="953"/>
      <c r="AJX81" s="953"/>
      <c r="AJY81" s="953"/>
      <c r="AJZ81" s="953"/>
      <c r="AKA81" s="953"/>
      <c r="AKB81" s="953"/>
      <c r="AKC81" s="953"/>
      <c r="AKD81" s="953"/>
      <c r="AKE81" s="953"/>
      <c r="AKF81" s="953"/>
      <c r="AKG81" s="953"/>
      <c r="AKH81" s="953"/>
      <c r="AKI81" s="953"/>
      <c r="AKJ81" s="953"/>
      <c r="AKK81" s="953"/>
      <c r="AKL81" s="953"/>
      <c r="AKM81" s="953"/>
      <c r="AKN81" s="953"/>
      <c r="AKO81" s="953"/>
      <c r="AKP81" s="953"/>
      <c r="AKQ81" s="953"/>
      <c r="AKR81" s="953"/>
      <c r="AKS81" s="953"/>
      <c r="AKT81" s="953"/>
      <c r="AKU81" s="953"/>
      <c r="AKV81" s="953"/>
      <c r="AKW81" s="953"/>
      <c r="AKX81" s="953"/>
      <c r="AKY81" s="953"/>
      <c r="AKZ81" s="953"/>
      <c r="ALA81" s="953"/>
      <c r="ALB81" s="953"/>
      <c r="ALC81" s="953"/>
      <c r="ALD81" s="953"/>
      <c r="ALE81" s="953"/>
      <c r="ALF81" s="953"/>
      <c r="ALG81" s="953"/>
      <c r="ALH81" s="953"/>
      <c r="ALI81" s="953"/>
      <c r="ALJ81" s="953"/>
      <c r="ALK81" s="953"/>
      <c r="ALL81" s="953"/>
      <c r="ALM81" s="953"/>
      <c r="ALN81" s="953"/>
      <c r="ALO81" s="953"/>
      <c r="ALP81" s="953"/>
      <c r="ALQ81" s="953"/>
      <c r="ALR81" s="953"/>
      <c r="ALS81" s="953"/>
      <c r="ALT81" s="953"/>
      <c r="ALU81" s="953"/>
      <c r="ALV81" s="953"/>
      <c r="ALW81" s="953"/>
      <c r="ALX81" s="953"/>
      <c r="ALY81" s="953"/>
      <c r="ALZ81" s="953"/>
      <c r="AMA81" s="953"/>
      <c r="AMB81" s="953"/>
      <c r="AMC81" s="953"/>
      <c r="AMD81" s="953"/>
      <c r="AME81" s="953"/>
      <c r="AMF81" s="953"/>
      <c r="AMG81" s="953"/>
      <c r="AMH81" s="953"/>
      <c r="AMI81" s="953"/>
      <c r="AMJ81" s="953"/>
      <c r="AMK81" s="953"/>
      <c r="AML81" s="953"/>
      <c r="AMM81" s="953"/>
      <c r="AMN81" s="953"/>
      <c r="AMO81" s="953"/>
      <c r="AMP81" s="953"/>
      <c r="AMQ81" s="953"/>
      <c r="AMR81" s="953"/>
      <c r="AMS81" s="953"/>
      <c r="AMT81" s="953"/>
      <c r="AMU81" s="953"/>
      <c r="AMV81" s="953"/>
      <c r="AMW81" s="953"/>
      <c r="AMX81" s="953"/>
      <c r="AMY81" s="953"/>
      <c r="AMZ81" s="953"/>
      <c r="ANA81" s="953"/>
      <c r="ANB81" s="953"/>
      <c r="ANC81" s="953"/>
      <c r="AND81" s="953"/>
      <c r="ANE81" s="953"/>
      <c r="ANF81" s="953"/>
      <c r="ANG81" s="953"/>
      <c r="ANH81" s="953"/>
      <c r="ANI81" s="953"/>
      <c r="ANJ81" s="953"/>
      <c r="ANK81" s="953"/>
      <c r="ANL81" s="953"/>
      <c r="ANM81" s="953"/>
      <c r="ANN81" s="953"/>
      <c r="ANO81" s="953"/>
      <c r="ANP81" s="953"/>
      <c r="ANQ81" s="953"/>
      <c r="ANR81" s="953"/>
      <c r="ANS81" s="953"/>
      <c r="ANT81" s="953"/>
      <c r="ANU81" s="953"/>
      <c r="ANV81" s="953"/>
      <c r="ANW81" s="953"/>
      <c r="ANX81" s="953"/>
      <c r="ANY81" s="953"/>
      <c r="ANZ81" s="953"/>
      <c r="AOA81" s="953"/>
      <c r="AOB81" s="953"/>
      <c r="AOC81" s="953"/>
      <c r="AOD81" s="953"/>
      <c r="AOE81" s="953"/>
      <c r="AOF81" s="953"/>
      <c r="AOG81" s="953"/>
      <c r="AOH81" s="953"/>
      <c r="AOI81" s="953"/>
      <c r="AOJ81" s="953"/>
      <c r="AOK81" s="953"/>
      <c r="AOL81" s="953"/>
      <c r="AOM81" s="953"/>
      <c r="AON81" s="953"/>
      <c r="AOO81" s="953"/>
      <c r="AOP81" s="953"/>
      <c r="AOQ81" s="953"/>
      <c r="AOR81" s="953"/>
      <c r="AOS81" s="953"/>
      <c r="AOT81" s="953"/>
      <c r="AOU81" s="953"/>
      <c r="AOV81" s="953"/>
      <c r="AOW81" s="953"/>
      <c r="AOX81" s="953"/>
      <c r="AOY81" s="953"/>
      <c r="AOZ81" s="953"/>
      <c r="APA81" s="953"/>
      <c r="APB81" s="953"/>
      <c r="APC81" s="953"/>
      <c r="APD81" s="953"/>
      <c r="APE81" s="953"/>
      <c r="APF81" s="953"/>
      <c r="APG81" s="953"/>
      <c r="APH81" s="953"/>
      <c r="API81" s="953"/>
      <c r="APJ81" s="953"/>
      <c r="APK81" s="953"/>
      <c r="APL81" s="953"/>
      <c r="APM81" s="953"/>
      <c r="APN81" s="953"/>
      <c r="APO81" s="953"/>
      <c r="APP81" s="953"/>
      <c r="APQ81" s="953"/>
      <c r="APR81" s="953"/>
      <c r="APS81" s="953"/>
      <c r="APT81" s="953"/>
      <c r="APU81" s="953"/>
      <c r="APV81" s="953"/>
      <c r="APW81" s="953"/>
      <c r="APX81" s="953"/>
      <c r="APY81" s="953"/>
      <c r="APZ81" s="953"/>
      <c r="AQA81" s="953"/>
      <c r="AQB81" s="953"/>
      <c r="AQC81" s="953"/>
      <c r="AQD81" s="953"/>
      <c r="AQE81" s="953"/>
      <c r="AQF81" s="953"/>
      <c r="AQG81" s="953"/>
      <c r="AQH81" s="953"/>
      <c r="AQI81" s="953"/>
      <c r="AQJ81" s="953"/>
      <c r="AQK81" s="953"/>
      <c r="AQL81" s="953"/>
      <c r="AQM81" s="953"/>
      <c r="AQN81" s="953"/>
      <c r="AQO81" s="953"/>
      <c r="AQP81" s="953"/>
      <c r="AQQ81" s="953"/>
      <c r="AQR81" s="953"/>
      <c r="AQS81" s="953"/>
      <c r="AQT81" s="953"/>
      <c r="AQU81" s="953"/>
      <c r="AQV81" s="953"/>
      <c r="AQW81" s="953"/>
      <c r="AQX81" s="953"/>
      <c r="AQY81" s="953"/>
      <c r="AQZ81" s="953"/>
      <c r="ARA81" s="953"/>
      <c r="ARB81" s="953"/>
      <c r="ARC81" s="953"/>
      <c r="ARD81" s="953"/>
      <c r="ARE81" s="953"/>
      <c r="ARF81" s="953"/>
      <c r="ARG81" s="953"/>
      <c r="ARH81" s="953"/>
      <c r="ARI81" s="953"/>
      <c r="ARJ81" s="953"/>
      <c r="ARK81" s="953"/>
      <c r="ARL81" s="953"/>
      <c r="ARM81" s="953"/>
      <c r="ARN81" s="953"/>
      <c r="ARO81" s="953"/>
      <c r="ARP81" s="953"/>
      <c r="ARQ81" s="953"/>
      <c r="ARR81" s="953"/>
      <c r="ARS81" s="953"/>
      <c r="ART81" s="953"/>
      <c r="ARU81" s="953"/>
      <c r="ARV81" s="953"/>
      <c r="ARW81" s="953"/>
      <c r="ARX81" s="953"/>
      <c r="ARY81" s="953"/>
      <c r="ARZ81" s="953"/>
      <c r="ASA81" s="953"/>
      <c r="ASB81" s="953"/>
      <c r="ASC81" s="953"/>
      <c r="ASD81" s="953"/>
      <c r="ASE81" s="953"/>
      <c r="ASF81" s="953"/>
      <c r="ASG81" s="953"/>
      <c r="ASH81" s="953"/>
      <c r="ASI81" s="953"/>
      <c r="ASJ81" s="953"/>
      <c r="ASK81" s="953"/>
      <c r="ASL81" s="953"/>
      <c r="ASM81" s="953"/>
      <c r="ASN81" s="953"/>
      <c r="ASO81" s="953"/>
      <c r="ASP81" s="953"/>
      <c r="ASQ81" s="953"/>
      <c r="ASR81" s="953"/>
      <c r="ASS81" s="953"/>
      <c r="AST81" s="953"/>
      <c r="ASU81" s="953"/>
      <c r="ASV81" s="953"/>
      <c r="ASW81" s="953"/>
      <c r="ASX81" s="953"/>
      <c r="ASY81" s="953"/>
      <c r="ASZ81" s="953"/>
      <c r="ATA81" s="953"/>
      <c r="ATB81" s="953"/>
      <c r="ATC81" s="953"/>
      <c r="ATD81" s="953"/>
      <c r="ATE81" s="953"/>
      <c r="ATF81" s="953"/>
      <c r="ATG81" s="953"/>
      <c r="ATH81" s="953"/>
      <c r="ATI81" s="953"/>
      <c r="ATJ81" s="953"/>
      <c r="ATK81" s="953"/>
      <c r="ATL81" s="953"/>
      <c r="ATM81" s="953"/>
      <c r="ATN81" s="953"/>
      <c r="ATO81" s="953"/>
      <c r="ATP81" s="953"/>
      <c r="ATQ81" s="953"/>
      <c r="ATR81" s="953"/>
      <c r="ATS81" s="953"/>
      <c r="ATT81" s="953"/>
      <c r="ATU81" s="953"/>
      <c r="ATV81" s="953"/>
      <c r="ATW81" s="953"/>
      <c r="ATX81" s="953"/>
      <c r="ATY81" s="953"/>
      <c r="ATZ81" s="953"/>
      <c r="AUA81" s="953"/>
      <c r="AUB81" s="953"/>
      <c r="AUC81" s="953"/>
      <c r="AUD81" s="953"/>
      <c r="AUE81" s="953"/>
      <c r="AUF81" s="953"/>
      <c r="AUG81" s="953"/>
      <c r="AUH81" s="953"/>
      <c r="AUI81" s="953"/>
      <c r="AUJ81" s="953"/>
      <c r="AUK81" s="953"/>
      <c r="AUL81" s="953"/>
      <c r="AUM81" s="953"/>
      <c r="AUN81" s="953"/>
      <c r="AUO81" s="953"/>
      <c r="AUP81" s="953"/>
      <c r="AUQ81" s="953"/>
      <c r="AUR81" s="953"/>
      <c r="AUS81" s="953"/>
      <c r="AUT81" s="953"/>
      <c r="AUU81" s="953"/>
      <c r="AUV81" s="953"/>
      <c r="AUW81" s="953"/>
      <c r="AUX81" s="953"/>
      <c r="AUY81" s="953"/>
      <c r="AUZ81" s="953"/>
      <c r="AVA81" s="953"/>
      <c r="AVB81" s="953"/>
      <c r="AVC81" s="953"/>
      <c r="AVD81" s="953"/>
      <c r="AVE81" s="953"/>
      <c r="AVF81" s="953"/>
      <c r="AVG81" s="953"/>
      <c r="AVH81" s="953"/>
      <c r="AVI81" s="953"/>
      <c r="AVJ81" s="953"/>
      <c r="AVK81" s="953"/>
      <c r="AVL81" s="953"/>
      <c r="AVM81" s="953"/>
      <c r="AVN81" s="953"/>
      <c r="AVO81" s="953"/>
      <c r="AVP81" s="953"/>
      <c r="AVQ81" s="953"/>
      <c r="AVR81" s="953"/>
      <c r="AVS81" s="953"/>
      <c r="AVT81" s="953"/>
      <c r="AVU81" s="953"/>
      <c r="AVV81" s="953"/>
      <c r="AVW81" s="953"/>
      <c r="AVX81" s="953"/>
      <c r="AVY81" s="953"/>
      <c r="AVZ81" s="953"/>
      <c r="AWA81" s="953"/>
      <c r="AWB81" s="953"/>
      <c r="AWC81" s="953"/>
      <c r="AWD81" s="953"/>
      <c r="AWE81" s="953"/>
      <c r="AWF81" s="953"/>
      <c r="AWG81" s="953"/>
      <c r="AWH81" s="953"/>
      <c r="AWI81" s="953"/>
      <c r="AWJ81" s="953"/>
      <c r="AWK81" s="953"/>
      <c r="AWL81" s="953"/>
      <c r="AWM81" s="953"/>
      <c r="AWN81" s="953"/>
      <c r="AWO81" s="953"/>
      <c r="AWP81" s="953"/>
      <c r="AWQ81" s="953"/>
      <c r="AWR81" s="953"/>
      <c r="AWS81" s="953"/>
      <c r="AWT81" s="953"/>
      <c r="AWU81" s="953"/>
      <c r="AWV81" s="953"/>
      <c r="AWW81" s="953"/>
      <c r="AWX81" s="953"/>
      <c r="AWY81" s="953"/>
      <c r="AWZ81" s="953"/>
      <c r="AXA81" s="953"/>
      <c r="AXB81" s="953"/>
      <c r="AXC81" s="953"/>
      <c r="AXD81" s="953"/>
      <c r="AXE81" s="953"/>
      <c r="AXF81" s="953"/>
      <c r="AXG81" s="953"/>
      <c r="AXH81" s="953"/>
      <c r="AXI81" s="953"/>
      <c r="AXJ81" s="953"/>
      <c r="AXK81" s="953"/>
      <c r="AXL81" s="953"/>
      <c r="AXM81" s="953"/>
      <c r="AXN81" s="953"/>
      <c r="AXO81" s="953"/>
      <c r="AXP81" s="953"/>
      <c r="AXQ81" s="953"/>
      <c r="AXR81" s="953"/>
      <c r="AXS81" s="953"/>
      <c r="AXT81" s="953"/>
      <c r="AXU81" s="953"/>
      <c r="AXV81" s="953"/>
      <c r="AXW81" s="953"/>
      <c r="AXX81" s="953"/>
      <c r="AXY81" s="953"/>
      <c r="AXZ81" s="953"/>
      <c r="AYA81" s="953"/>
      <c r="AYB81" s="953"/>
      <c r="AYC81" s="953"/>
      <c r="AYD81" s="953"/>
      <c r="AYE81" s="953"/>
      <c r="AYF81" s="953"/>
      <c r="AYG81" s="953"/>
      <c r="AYH81" s="953"/>
      <c r="AYI81" s="953"/>
      <c r="AYJ81" s="953"/>
      <c r="AYK81" s="953"/>
      <c r="AYL81" s="953"/>
      <c r="AYM81" s="953"/>
      <c r="AYN81" s="953"/>
      <c r="AYO81" s="953"/>
      <c r="AYP81" s="953"/>
      <c r="AYQ81" s="953"/>
      <c r="AYR81" s="953"/>
      <c r="AYS81" s="953"/>
      <c r="AYT81" s="953"/>
      <c r="AYU81" s="953"/>
      <c r="AYV81" s="953"/>
      <c r="AYW81" s="953"/>
      <c r="AYX81" s="953"/>
      <c r="AYY81" s="953"/>
      <c r="AYZ81" s="953"/>
      <c r="AZA81" s="953"/>
      <c r="AZB81" s="953"/>
      <c r="AZC81" s="953"/>
      <c r="AZD81" s="953"/>
      <c r="AZE81" s="953"/>
      <c r="AZF81" s="953"/>
      <c r="AZG81" s="953"/>
      <c r="AZH81" s="953"/>
      <c r="AZI81" s="953"/>
      <c r="AZJ81" s="953"/>
      <c r="AZK81" s="953"/>
      <c r="AZL81" s="953"/>
      <c r="AZM81" s="953"/>
      <c r="AZN81" s="953"/>
      <c r="AZO81" s="953"/>
      <c r="AZP81" s="953"/>
      <c r="AZQ81" s="953"/>
      <c r="AZR81" s="953"/>
      <c r="AZS81" s="953"/>
      <c r="AZT81" s="953"/>
      <c r="AZU81" s="953"/>
      <c r="AZV81" s="953"/>
      <c r="AZW81" s="953"/>
      <c r="AZX81" s="953"/>
      <c r="AZY81" s="953"/>
      <c r="AZZ81" s="953"/>
      <c r="BAA81" s="953"/>
      <c r="BAB81" s="953"/>
      <c r="BAC81" s="953"/>
      <c r="BAD81" s="953"/>
      <c r="BAE81" s="953"/>
      <c r="BAF81" s="953"/>
      <c r="BAG81" s="953"/>
      <c r="BAH81" s="953"/>
      <c r="BAI81" s="953"/>
      <c r="BAJ81" s="953"/>
      <c r="BAK81" s="953"/>
      <c r="BAL81" s="953"/>
      <c r="BAM81" s="953"/>
      <c r="BAN81" s="953"/>
      <c r="BAO81" s="953"/>
      <c r="BAP81" s="953"/>
      <c r="BAQ81" s="953"/>
      <c r="BAR81" s="953"/>
      <c r="BAS81" s="953"/>
      <c r="BAT81" s="953"/>
      <c r="BAU81" s="953"/>
      <c r="BAV81" s="953"/>
      <c r="BAW81" s="953"/>
      <c r="BAX81" s="953"/>
      <c r="BAY81" s="953"/>
      <c r="BAZ81" s="953"/>
      <c r="BBA81" s="953"/>
      <c r="BBB81" s="953"/>
      <c r="BBC81" s="953"/>
      <c r="BBD81" s="953"/>
      <c r="BBE81" s="953"/>
      <c r="BBF81" s="953"/>
      <c r="BBG81" s="953"/>
      <c r="BBH81" s="953"/>
      <c r="BBI81" s="953"/>
      <c r="BBJ81" s="953"/>
      <c r="BBK81" s="953"/>
      <c r="BBL81" s="953"/>
      <c r="BBM81" s="953"/>
      <c r="BBN81" s="953"/>
      <c r="BBO81" s="953"/>
      <c r="BBP81" s="953"/>
      <c r="BBQ81" s="953"/>
      <c r="BBR81" s="953"/>
      <c r="BBS81" s="953"/>
      <c r="BBT81" s="953"/>
      <c r="BBU81" s="953"/>
      <c r="BBV81" s="953"/>
      <c r="BBW81" s="953"/>
      <c r="BBX81" s="953"/>
      <c r="BBY81" s="953"/>
      <c r="BBZ81" s="953"/>
      <c r="BCA81" s="953"/>
      <c r="BCB81" s="953"/>
      <c r="BCC81" s="953"/>
      <c r="BCD81" s="953"/>
      <c r="BCE81" s="953"/>
      <c r="BCF81" s="953"/>
      <c r="BCG81" s="953"/>
      <c r="BCH81" s="953"/>
      <c r="BCI81" s="953"/>
      <c r="BCJ81" s="953"/>
      <c r="BCK81" s="953"/>
      <c r="BCL81" s="953"/>
      <c r="BCM81" s="953"/>
      <c r="BCN81" s="953"/>
      <c r="BCO81" s="953"/>
      <c r="BCP81" s="953"/>
      <c r="BCQ81" s="953"/>
      <c r="BCR81" s="953"/>
      <c r="BCS81" s="953"/>
      <c r="BCT81" s="953"/>
      <c r="BCU81" s="953"/>
      <c r="BCV81" s="953"/>
      <c r="BCW81" s="953"/>
      <c r="BCX81" s="953"/>
      <c r="BCY81" s="953"/>
      <c r="BCZ81" s="953"/>
      <c r="BDA81" s="953"/>
      <c r="BDB81" s="953"/>
      <c r="BDC81" s="953"/>
      <c r="BDD81" s="953"/>
      <c r="BDE81" s="953"/>
      <c r="BDF81" s="953"/>
      <c r="BDG81" s="953"/>
      <c r="BDH81" s="953"/>
      <c r="BDI81" s="953"/>
      <c r="BDJ81" s="953"/>
      <c r="BDK81" s="953"/>
      <c r="BDL81" s="953"/>
      <c r="BDM81" s="953"/>
      <c r="BDN81" s="953"/>
      <c r="BDO81" s="953"/>
      <c r="BDP81" s="953"/>
      <c r="BDQ81" s="953"/>
      <c r="BDR81" s="953"/>
      <c r="BDS81" s="953"/>
      <c r="BDT81" s="953"/>
      <c r="BDU81" s="953"/>
      <c r="BDV81" s="953"/>
      <c r="BDW81" s="953"/>
      <c r="BDX81" s="953"/>
      <c r="BDY81" s="953"/>
      <c r="BDZ81" s="953"/>
      <c r="BEA81" s="953"/>
      <c r="BEB81" s="953"/>
      <c r="BEC81" s="953"/>
      <c r="BED81" s="953"/>
      <c r="BEE81" s="953"/>
      <c r="BEF81" s="953"/>
      <c r="BEG81" s="953"/>
      <c r="BEH81" s="953"/>
      <c r="BEI81" s="953"/>
      <c r="BEJ81" s="953"/>
      <c r="BEK81" s="953"/>
      <c r="BEL81" s="953"/>
      <c r="BEM81" s="953"/>
      <c r="BEN81" s="953"/>
      <c r="BEO81" s="953"/>
      <c r="BEP81" s="953"/>
      <c r="BEQ81" s="953"/>
      <c r="BER81" s="953"/>
      <c r="BES81" s="953"/>
      <c r="BET81" s="953"/>
      <c r="BEU81" s="953"/>
      <c r="BEV81" s="953"/>
      <c r="BEW81" s="953"/>
      <c r="BEX81" s="953"/>
      <c r="BEY81" s="953"/>
      <c r="BEZ81" s="953"/>
      <c r="BFA81" s="953"/>
      <c r="BFB81" s="953"/>
      <c r="BFC81" s="953"/>
      <c r="BFD81" s="953"/>
      <c r="BFE81" s="953"/>
      <c r="BFF81" s="953"/>
      <c r="BFG81" s="953"/>
      <c r="BFH81" s="953"/>
      <c r="BFI81" s="953"/>
      <c r="BFJ81" s="953"/>
      <c r="BFK81" s="953"/>
      <c r="BFL81" s="953"/>
      <c r="BFM81" s="953"/>
      <c r="BFN81" s="953"/>
      <c r="BFO81" s="953"/>
      <c r="BFP81" s="953"/>
      <c r="BFQ81" s="953"/>
      <c r="BFR81" s="953"/>
      <c r="BFS81" s="953"/>
      <c r="BFT81" s="953"/>
      <c r="BFU81" s="953"/>
      <c r="BFV81" s="953"/>
      <c r="BFW81" s="953"/>
      <c r="BFX81" s="953"/>
      <c r="BFY81" s="953"/>
      <c r="BFZ81" s="953"/>
      <c r="BGA81" s="953"/>
      <c r="BGB81" s="953"/>
      <c r="BGC81" s="953"/>
      <c r="BGD81" s="953"/>
      <c r="BGE81" s="953"/>
      <c r="BGF81" s="953"/>
      <c r="BGG81" s="953"/>
      <c r="BGH81" s="953"/>
      <c r="BGI81" s="953"/>
      <c r="BGJ81" s="953"/>
      <c r="BGK81" s="953"/>
      <c r="BGL81" s="953"/>
      <c r="BGM81" s="953"/>
      <c r="BGN81" s="953"/>
      <c r="BGO81" s="953"/>
      <c r="BGP81" s="953"/>
      <c r="BGQ81" s="953"/>
      <c r="BGR81" s="953"/>
      <c r="BGS81" s="953"/>
      <c r="BGT81" s="953"/>
      <c r="BGU81" s="953"/>
      <c r="BGV81" s="953"/>
      <c r="BGW81" s="953"/>
      <c r="BGX81" s="953"/>
      <c r="BGY81" s="953"/>
      <c r="BGZ81" s="953"/>
      <c r="BHA81" s="953"/>
      <c r="BHB81" s="953"/>
      <c r="BHC81" s="953"/>
      <c r="BHD81" s="953"/>
      <c r="BHE81" s="953"/>
      <c r="BHF81" s="953"/>
      <c r="BHG81" s="953"/>
      <c r="BHH81" s="953"/>
      <c r="BHI81" s="953"/>
      <c r="BHJ81" s="953"/>
      <c r="BHK81" s="953"/>
      <c r="BHL81" s="953"/>
      <c r="BHM81" s="953"/>
      <c r="BHN81" s="953"/>
      <c r="BHO81" s="953"/>
      <c r="BHP81" s="953"/>
      <c r="BHQ81" s="953"/>
      <c r="BHR81" s="953"/>
      <c r="BHS81" s="953"/>
      <c r="BHT81" s="953"/>
      <c r="BHU81" s="953"/>
      <c r="BHV81" s="953"/>
      <c r="BHW81" s="953"/>
      <c r="BHX81" s="953"/>
      <c r="BHY81" s="953"/>
      <c r="BHZ81" s="953"/>
      <c r="BIA81" s="953"/>
      <c r="BIB81" s="953"/>
      <c r="BIC81" s="953"/>
      <c r="BID81" s="953"/>
      <c r="BIE81" s="953"/>
      <c r="BIF81" s="953"/>
      <c r="BIG81" s="953"/>
      <c r="BIH81" s="953"/>
      <c r="BII81" s="953"/>
      <c r="BIJ81" s="953"/>
      <c r="BIK81" s="953"/>
      <c r="BIL81" s="953"/>
      <c r="BIM81" s="953"/>
      <c r="BIN81" s="953"/>
      <c r="BIO81" s="953"/>
      <c r="BIP81" s="953"/>
      <c r="BIQ81" s="953"/>
      <c r="BIR81" s="953"/>
      <c r="BIS81" s="953"/>
      <c r="BIT81" s="953"/>
      <c r="BIU81" s="953"/>
      <c r="BIV81" s="953"/>
      <c r="BIW81" s="953"/>
      <c r="BIX81" s="953"/>
      <c r="BIY81" s="953"/>
      <c r="BIZ81" s="953"/>
      <c r="BJA81" s="953"/>
      <c r="BJB81" s="953"/>
      <c r="BJC81" s="953"/>
      <c r="BJD81" s="953"/>
      <c r="BJE81" s="953"/>
      <c r="BJF81" s="953"/>
      <c r="BJG81" s="953"/>
      <c r="BJH81" s="953"/>
      <c r="BJI81" s="953"/>
      <c r="BJJ81" s="953"/>
      <c r="BJK81" s="953"/>
      <c r="BJL81" s="953"/>
      <c r="BJM81" s="953"/>
      <c r="BJN81" s="953"/>
      <c r="BJO81" s="953"/>
      <c r="BJP81" s="953"/>
      <c r="BJQ81" s="953"/>
      <c r="BJR81" s="953"/>
      <c r="BJS81" s="953"/>
      <c r="BJT81" s="953"/>
      <c r="BJU81" s="953"/>
      <c r="BJV81" s="953"/>
      <c r="BJW81" s="953"/>
      <c r="BJX81" s="953"/>
      <c r="BJY81" s="953"/>
      <c r="BJZ81" s="953"/>
      <c r="BKA81" s="953"/>
      <c r="BKB81" s="953"/>
      <c r="BKC81" s="953"/>
      <c r="BKD81" s="953"/>
      <c r="BKE81" s="953"/>
      <c r="BKF81" s="953"/>
      <c r="BKG81" s="953"/>
      <c r="BKH81" s="953"/>
      <c r="BKI81" s="953"/>
      <c r="BKJ81" s="953"/>
      <c r="BKK81" s="953"/>
      <c r="BKL81" s="953"/>
      <c r="BKM81" s="953"/>
      <c r="BKN81" s="953"/>
      <c r="BKO81" s="953"/>
      <c r="BKP81" s="953"/>
      <c r="BKQ81" s="953"/>
      <c r="BKR81" s="953"/>
      <c r="BKS81" s="953"/>
      <c r="BKT81" s="953"/>
      <c r="BKU81" s="953"/>
      <c r="BKV81" s="953"/>
      <c r="BKW81" s="953"/>
      <c r="BKX81" s="953"/>
      <c r="BKY81" s="953"/>
      <c r="BKZ81" s="953"/>
      <c r="BLA81" s="953"/>
      <c r="BLB81" s="953"/>
      <c r="BLC81" s="953"/>
      <c r="BLD81" s="953"/>
      <c r="BLE81" s="953"/>
      <c r="BLF81" s="953"/>
      <c r="BLG81" s="953"/>
      <c r="BLH81" s="953"/>
      <c r="BLI81" s="953"/>
      <c r="BLJ81" s="953"/>
      <c r="BLK81" s="953"/>
      <c r="BLL81" s="953"/>
      <c r="BLM81" s="953"/>
      <c r="BLN81" s="953"/>
      <c r="BLO81" s="953"/>
      <c r="BLP81" s="953"/>
      <c r="BLQ81" s="953"/>
      <c r="BLR81" s="953"/>
      <c r="BLS81" s="953"/>
      <c r="BLT81" s="953"/>
      <c r="BLU81" s="953"/>
      <c r="BLV81" s="953"/>
      <c r="BLW81" s="953"/>
      <c r="BLX81" s="953"/>
      <c r="BLY81" s="953"/>
      <c r="BLZ81" s="953"/>
      <c r="BMA81" s="953"/>
      <c r="BMB81" s="953"/>
      <c r="BMC81" s="953"/>
      <c r="BMD81" s="953"/>
      <c r="BME81" s="953"/>
      <c r="BMF81" s="953"/>
      <c r="BMG81" s="953"/>
      <c r="BMH81" s="953"/>
      <c r="BMI81" s="953"/>
      <c r="BMJ81" s="953"/>
      <c r="BMK81" s="953"/>
      <c r="BML81" s="953"/>
      <c r="BMM81" s="953"/>
      <c r="BMN81" s="953"/>
      <c r="BMO81" s="953"/>
      <c r="BMP81" s="953"/>
      <c r="BMQ81" s="953"/>
      <c r="BMR81" s="953"/>
      <c r="BMS81" s="953"/>
      <c r="BMT81" s="953"/>
      <c r="BMU81" s="953"/>
      <c r="BMV81" s="953"/>
      <c r="BMW81" s="953"/>
      <c r="BMX81" s="953"/>
      <c r="BMY81" s="953"/>
      <c r="BMZ81" s="953"/>
      <c r="BNA81" s="953"/>
      <c r="BNB81" s="953"/>
      <c r="BNC81" s="953"/>
      <c r="BND81" s="953"/>
      <c r="BNE81" s="953"/>
      <c r="BNF81" s="953"/>
      <c r="BNG81" s="953"/>
      <c r="BNH81" s="953"/>
      <c r="BNI81" s="953"/>
      <c r="BNJ81" s="953"/>
      <c r="BNK81" s="953"/>
      <c r="BNL81" s="953"/>
      <c r="BNM81" s="953"/>
      <c r="BNN81" s="953"/>
      <c r="BNO81" s="953"/>
      <c r="BNP81" s="953"/>
      <c r="BNQ81" s="953"/>
      <c r="BNR81" s="953"/>
      <c r="BNS81" s="953"/>
      <c r="BNT81" s="953"/>
      <c r="BNU81" s="953"/>
      <c r="BNV81" s="953"/>
      <c r="BNW81" s="953"/>
      <c r="BNX81" s="953"/>
      <c r="BNY81" s="953"/>
      <c r="BNZ81" s="953"/>
      <c r="BOA81" s="953"/>
      <c r="BOB81" s="953"/>
      <c r="BOC81" s="953"/>
      <c r="BOD81" s="953"/>
      <c r="BOE81" s="953"/>
      <c r="BOF81" s="953"/>
      <c r="BOG81" s="953"/>
      <c r="BOH81" s="953"/>
      <c r="BOI81" s="953"/>
      <c r="BOJ81" s="953"/>
      <c r="BOK81" s="953"/>
      <c r="BOL81" s="953"/>
      <c r="BOM81" s="953"/>
      <c r="BON81" s="953"/>
      <c r="BOO81" s="953"/>
      <c r="BOP81" s="953"/>
      <c r="BOQ81" s="953"/>
      <c r="BOR81" s="953"/>
      <c r="BOS81" s="953"/>
      <c r="BOT81" s="953"/>
      <c r="BOU81" s="953"/>
      <c r="BOV81" s="953"/>
      <c r="BOW81" s="953"/>
      <c r="BOX81" s="953"/>
      <c r="BOY81" s="953"/>
      <c r="BOZ81" s="953"/>
      <c r="BPA81" s="953"/>
      <c r="BPB81" s="953"/>
      <c r="BPC81" s="953"/>
      <c r="BPD81" s="953"/>
      <c r="BPE81" s="953"/>
      <c r="BPF81" s="953"/>
      <c r="BPG81" s="953"/>
      <c r="BPH81" s="953"/>
      <c r="BPI81" s="953"/>
      <c r="BPJ81" s="953"/>
      <c r="BPK81" s="953"/>
      <c r="BPL81" s="953"/>
      <c r="BPM81" s="953"/>
      <c r="BPN81" s="953"/>
      <c r="BPO81" s="953"/>
      <c r="BPP81" s="953"/>
      <c r="BPQ81" s="953"/>
      <c r="BPR81" s="953"/>
      <c r="BPS81" s="953"/>
      <c r="BPT81" s="953"/>
      <c r="BPU81" s="953"/>
      <c r="BPV81" s="953"/>
      <c r="BPW81" s="953"/>
      <c r="BPX81" s="953"/>
      <c r="BPY81" s="953"/>
      <c r="BPZ81" s="953"/>
      <c r="BQA81" s="953"/>
      <c r="BQB81" s="953"/>
      <c r="BQC81" s="953"/>
      <c r="BQD81" s="953"/>
      <c r="BQE81" s="953"/>
      <c r="BQF81" s="953"/>
      <c r="BQG81" s="953"/>
      <c r="BQH81" s="953"/>
      <c r="BQI81" s="953"/>
      <c r="BQJ81" s="953"/>
      <c r="BQK81" s="953"/>
      <c r="BQL81" s="953"/>
      <c r="BQM81" s="953"/>
      <c r="BQN81" s="953"/>
      <c r="BQO81" s="953"/>
      <c r="BQP81" s="953"/>
      <c r="BQQ81" s="953"/>
      <c r="BQR81" s="953"/>
      <c r="BQS81" s="953"/>
      <c r="BQT81" s="953"/>
      <c r="BQU81" s="953"/>
      <c r="BQV81" s="953"/>
      <c r="BQW81" s="953"/>
      <c r="BQX81" s="953"/>
      <c r="BQY81" s="953"/>
      <c r="BQZ81" s="953"/>
      <c r="BRA81" s="953"/>
      <c r="BRB81" s="953"/>
      <c r="BRC81" s="953"/>
      <c r="BRD81" s="953"/>
      <c r="BRE81" s="953"/>
      <c r="BRF81" s="953"/>
      <c r="BRG81" s="953"/>
      <c r="BRH81" s="953"/>
      <c r="BRI81" s="953"/>
      <c r="BRJ81" s="953"/>
      <c r="BRK81" s="953"/>
      <c r="BRL81" s="953"/>
      <c r="BRM81" s="953"/>
      <c r="BRN81" s="953"/>
      <c r="BRO81" s="953"/>
      <c r="BRP81" s="953"/>
      <c r="BRQ81" s="953"/>
      <c r="BRR81" s="953"/>
      <c r="BRS81" s="953"/>
      <c r="BRT81" s="953"/>
      <c r="BRU81" s="953"/>
      <c r="BRV81" s="953"/>
      <c r="BRW81" s="953"/>
      <c r="BRX81" s="953"/>
      <c r="BRY81" s="953"/>
      <c r="BRZ81" s="953"/>
      <c r="BSA81" s="953"/>
      <c r="BSB81" s="953"/>
      <c r="BSC81" s="953"/>
      <c r="BSD81" s="953"/>
      <c r="BSE81" s="953"/>
      <c r="BSF81" s="953"/>
      <c r="BSG81" s="953"/>
      <c r="BSH81" s="953"/>
      <c r="BSI81" s="953"/>
      <c r="BSJ81" s="953"/>
      <c r="BSK81" s="953"/>
      <c r="BSL81" s="953"/>
      <c r="BSM81" s="953"/>
      <c r="BSN81" s="953"/>
      <c r="BSO81" s="953"/>
      <c r="BSP81" s="953"/>
      <c r="BSQ81" s="953"/>
      <c r="BSR81" s="953"/>
      <c r="BSS81" s="953"/>
      <c r="BST81" s="953"/>
      <c r="BSU81" s="953"/>
      <c r="BSV81" s="953"/>
      <c r="BSW81" s="953"/>
      <c r="BSX81" s="953"/>
      <c r="BSY81" s="953"/>
      <c r="BSZ81" s="953"/>
      <c r="BTA81" s="953"/>
      <c r="BTB81" s="953"/>
      <c r="BTC81" s="953"/>
      <c r="BTD81" s="953"/>
      <c r="BTE81" s="953"/>
      <c r="BTF81" s="953"/>
      <c r="BTG81" s="953"/>
      <c r="BTH81" s="953"/>
      <c r="BTI81" s="953"/>
      <c r="BTJ81" s="953"/>
      <c r="BTK81" s="953"/>
      <c r="BTL81" s="953"/>
      <c r="BTM81" s="953"/>
      <c r="BTN81" s="953"/>
      <c r="BTO81" s="953"/>
      <c r="BTP81" s="953"/>
      <c r="BTQ81" s="953"/>
      <c r="BTR81" s="953"/>
      <c r="BTS81" s="953"/>
      <c r="BTT81" s="953"/>
      <c r="BTU81" s="953"/>
      <c r="BTV81" s="953"/>
      <c r="BTW81" s="953"/>
      <c r="BTX81" s="953"/>
      <c r="BTY81" s="953"/>
      <c r="BTZ81" s="953"/>
      <c r="BUA81" s="953"/>
      <c r="BUB81" s="953"/>
      <c r="BUC81" s="953"/>
      <c r="BUD81" s="953"/>
      <c r="BUE81" s="953"/>
      <c r="BUF81" s="953"/>
      <c r="BUG81" s="953"/>
      <c r="BUH81" s="953"/>
      <c r="BUI81" s="953"/>
      <c r="BUJ81" s="953"/>
      <c r="BUK81" s="953"/>
      <c r="BUL81" s="953"/>
      <c r="BUM81" s="953"/>
      <c r="BUN81" s="953"/>
      <c r="BUO81" s="953"/>
      <c r="BUP81" s="953"/>
      <c r="BUQ81" s="953"/>
      <c r="BUR81" s="953"/>
      <c r="BUS81" s="953"/>
      <c r="BUT81" s="953"/>
      <c r="BUU81" s="953"/>
      <c r="BUV81" s="953"/>
      <c r="BUW81" s="953"/>
      <c r="BUX81" s="953"/>
      <c r="BUY81" s="953"/>
      <c r="BUZ81" s="953"/>
      <c r="BVA81" s="953"/>
      <c r="BVB81" s="953"/>
      <c r="BVC81" s="953"/>
      <c r="BVD81" s="953"/>
      <c r="BVE81" s="953"/>
      <c r="BVF81" s="953"/>
      <c r="BVG81" s="953"/>
      <c r="BVH81" s="953"/>
      <c r="BVI81" s="953"/>
      <c r="BVJ81" s="953"/>
      <c r="BVK81" s="953"/>
      <c r="BVL81" s="953"/>
      <c r="BVM81" s="953"/>
      <c r="BVN81" s="953"/>
      <c r="BVO81" s="953"/>
      <c r="BVP81" s="953"/>
      <c r="BVQ81" s="953"/>
      <c r="BVR81" s="953"/>
      <c r="BVS81" s="953"/>
      <c r="BVT81" s="953"/>
      <c r="BVU81" s="953"/>
      <c r="BVV81" s="953"/>
      <c r="BVW81" s="953"/>
      <c r="BVX81" s="953"/>
      <c r="BVY81" s="953"/>
      <c r="BVZ81" s="953"/>
      <c r="BWA81" s="953"/>
      <c r="BWB81" s="953"/>
      <c r="BWC81" s="953"/>
      <c r="BWD81" s="953"/>
      <c r="BWE81" s="953"/>
      <c r="BWF81" s="953"/>
      <c r="BWG81" s="953"/>
      <c r="BWH81" s="953"/>
      <c r="BWI81" s="953"/>
      <c r="BWJ81" s="953"/>
      <c r="BWK81" s="953"/>
      <c r="BWL81" s="953"/>
      <c r="BWM81" s="953"/>
      <c r="BWN81" s="953"/>
      <c r="BWO81" s="953"/>
      <c r="BWP81" s="953"/>
      <c r="BWQ81" s="953"/>
      <c r="BWR81" s="953"/>
      <c r="BWS81" s="953"/>
      <c r="BWT81" s="953"/>
      <c r="BWU81" s="953"/>
      <c r="BWV81" s="953"/>
      <c r="BWW81" s="953"/>
      <c r="BWX81" s="953"/>
      <c r="BWY81" s="953"/>
      <c r="BWZ81" s="953"/>
      <c r="BXA81" s="953"/>
      <c r="BXB81" s="953"/>
      <c r="BXC81" s="953"/>
      <c r="BXD81" s="953"/>
      <c r="BXE81" s="953"/>
      <c r="BXF81" s="953"/>
      <c r="BXG81" s="953"/>
      <c r="BXH81" s="953"/>
      <c r="BXI81" s="953"/>
      <c r="BXJ81" s="953"/>
      <c r="BXK81" s="953"/>
      <c r="BXL81" s="953"/>
      <c r="BXM81" s="953"/>
      <c r="BXN81" s="953"/>
      <c r="BXO81" s="953"/>
      <c r="BXP81" s="953"/>
      <c r="BXQ81" s="953"/>
      <c r="BXR81" s="953"/>
      <c r="BXS81" s="953"/>
      <c r="BXT81" s="953"/>
      <c r="BXU81" s="953"/>
      <c r="BXV81" s="953"/>
      <c r="BXW81" s="953"/>
      <c r="BXX81" s="953"/>
      <c r="BXY81" s="953"/>
      <c r="BXZ81" s="953"/>
      <c r="BYA81" s="953"/>
      <c r="BYB81" s="953"/>
      <c r="BYC81" s="953"/>
      <c r="BYD81" s="953"/>
      <c r="BYE81" s="953"/>
      <c r="BYF81" s="953"/>
      <c r="BYG81" s="953"/>
      <c r="BYH81" s="953"/>
      <c r="BYI81" s="953"/>
      <c r="BYJ81" s="953"/>
      <c r="BYK81" s="953"/>
      <c r="BYL81" s="953"/>
      <c r="BYM81" s="953"/>
      <c r="BYN81" s="953"/>
      <c r="BYO81" s="953"/>
      <c r="BYP81" s="953"/>
      <c r="BYQ81" s="953"/>
      <c r="BYR81" s="953"/>
      <c r="BYS81" s="953"/>
      <c r="BYT81" s="953"/>
      <c r="BYU81" s="953"/>
      <c r="BYV81" s="953"/>
      <c r="BYW81" s="953"/>
      <c r="BYX81" s="953"/>
      <c r="BYY81" s="953"/>
      <c r="BYZ81" s="953"/>
      <c r="BZA81" s="953"/>
      <c r="BZB81" s="953"/>
      <c r="BZC81" s="953"/>
      <c r="BZD81" s="953"/>
      <c r="BZE81" s="953"/>
      <c r="BZF81" s="953"/>
      <c r="BZG81" s="953"/>
      <c r="BZH81" s="953"/>
      <c r="BZI81" s="953"/>
      <c r="BZJ81" s="953"/>
      <c r="BZK81" s="953"/>
      <c r="BZL81" s="953"/>
      <c r="BZM81" s="953"/>
      <c r="BZN81" s="953"/>
      <c r="BZO81" s="953"/>
      <c r="BZP81" s="953"/>
      <c r="BZQ81" s="953"/>
      <c r="BZR81" s="953"/>
      <c r="BZS81" s="953"/>
      <c r="BZT81" s="953"/>
      <c r="BZU81" s="953"/>
      <c r="BZV81" s="953"/>
      <c r="BZW81" s="953"/>
      <c r="BZX81" s="953"/>
      <c r="BZY81" s="953"/>
      <c r="BZZ81" s="953"/>
      <c r="CAA81" s="953"/>
      <c r="CAB81" s="953"/>
      <c r="CAC81" s="953"/>
      <c r="CAD81" s="953"/>
      <c r="CAE81" s="953"/>
      <c r="CAF81" s="953"/>
      <c r="CAG81" s="953"/>
      <c r="CAH81" s="953"/>
      <c r="CAI81" s="953"/>
      <c r="CAJ81" s="953"/>
      <c r="CAK81" s="953"/>
      <c r="CAL81" s="953"/>
      <c r="CAM81" s="953"/>
      <c r="CAN81" s="953"/>
      <c r="CAO81" s="953"/>
      <c r="CAP81" s="953"/>
      <c r="CAQ81" s="953"/>
      <c r="CAR81" s="953"/>
      <c r="CAS81" s="953"/>
      <c r="CAT81" s="953"/>
      <c r="CAU81" s="953"/>
      <c r="CAV81" s="953"/>
      <c r="CAW81" s="953"/>
      <c r="CAX81" s="953"/>
      <c r="CAY81" s="953"/>
      <c r="CAZ81" s="953"/>
      <c r="CBA81" s="953"/>
      <c r="CBB81" s="953"/>
      <c r="CBC81" s="953"/>
      <c r="CBD81" s="953"/>
      <c r="CBE81" s="953"/>
      <c r="CBF81" s="953"/>
      <c r="CBG81" s="953"/>
      <c r="CBH81" s="953"/>
      <c r="CBI81" s="953"/>
      <c r="CBJ81" s="953"/>
      <c r="CBK81" s="953"/>
      <c r="CBL81" s="953"/>
      <c r="CBM81" s="953"/>
      <c r="CBN81" s="953"/>
      <c r="CBO81" s="953"/>
      <c r="CBP81" s="953"/>
      <c r="CBQ81" s="953"/>
      <c r="CBR81" s="953"/>
      <c r="CBS81" s="953"/>
      <c r="CBT81" s="953"/>
      <c r="CBU81" s="953"/>
      <c r="CBV81" s="953"/>
      <c r="CBW81" s="953"/>
      <c r="CBX81" s="953"/>
      <c r="CBY81" s="953"/>
      <c r="CBZ81" s="953"/>
      <c r="CCA81" s="953"/>
      <c r="CCB81" s="953"/>
      <c r="CCC81" s="953"/>
      <c r="CCD81" s="953"/>
      <c r="CCE81" s="953"/>
      <c r="CCF81" s="953"/>
      <c r="CCG81" s="953"/>
      <c r="CCH81" s="953"/>
      <c r="CCI81" s="953"/>
      <c r="CCJ81" s="953"/>
      <c r="CCK81" s="953"/>
      <c r="CCL81" s="953"/>
      <c r="CCM81" s="953"/>
      <c r="CCN81" s="953"/>
      <c r="CCO81" s="953"/>
      <c r="CCP81" s="953"/>
      <c r="CCQ81" s="953"/>
      <c r="CCR81" s="953"/>
      <c r="CCS81" s="953"/>
      <c r="CCT81" s="953"/>
      <c r="CCU81" s="953"/>
      <c r="CCV81" s="953"/>
      <c r="CCW81" s="953"/>
      <c r="CCX81" s="953"/>
      <c r="CCY81" s="953"/>
      <c r="CCZ81" s="953"/>
      <c r="CDA81" s="953"/>
      <c r="CDB81" s="953"/>
      <c r="CDC81" s="953"/>
      <c r="CDD81" s="953"/>
      <c r="CDE81" s="953"/>
      <c r="CDF81" s="953"/>
      <c r="CDG81" s="953"/>
      <c r="CDH81" s="953"/>
      <c r="CDI81" s="953"/>
      <c r="CDJ81" s="953"/>
      <c r="CDK81" s="953"/>
      <c r="CDL81" s="953"/>
      <c r="CDM81" s="953"/>
      <c r="CDN81" s="953"/>
      <c r="CDO81" s="953"/>
      <c r="CDP81" s="953"/>
      <c r="CDQ81" s="953"/>
      <c r="CDR81" s="953"/>
      <c r="CDS81" s="953"/>
      <c r="CDT81" s="953"/>
      <c r="CDU81" s="953"/>
      <c r="CDV81" s="953"/>
      <c r="CDW81" s="953"/>
      <c r="CDX81" s="953"/>
      <c r="CDY81" s="953"/>
      <c r="CDZ81" s="953"/>
      <c r="CEA81" s="953"/>
      <c r="CEB81" s="953"/>
      <c r="CEC81" s="953"/>
      <c r="CED81" s="953"/>
      <c r="CEE81" s="953"/>
      <c r="CEF81" s="953"/>
      <c r="CEG81" s="953"/>
      <c r="CEH81" s="953"/>
      <c r="CEI81" s="953"/>
      <c r="CEJ81" s="953"/>
      <c r="CEK81" s="953"/>
      <c r="CEL81" s="953"/>
      <c r="CEM81" s="953"/>
      <c r="CEN81" s="953"/>
      <c r="CEO81" s="953"/>
      <c r="CEP81" s="953"/>
      <c r="CEQ81" s="953"/>
      <c r="CER81" s="953"/>
      <c r="CES81" s="953"/>
      <c r="CET81" s="953"/>
      <c r="CEU81" s="953"/>
      <c r="CEV81" s="953"/>
      <c r="CEW81" s="953"/>
      <c r="CEX81" s="953"/>
      <c r="CEY81" s="953"/>
      <c r="CEZ81" s="953"/>
      <c r="CFA81" s="953"/>
      <c r="CFB81" s="953"/>
      <c r="CFC81" s="953"/>
      <c r="CFD81" s="953"/>
      <c r="CFE81" s="953"/>
      <c r="CFF81" s="953"/>
      <c r="CFG81" s="953"/>
      <c r="CFH81" s="953"/>
      <c r="CFI81" s="953"/>
      <c r="CFJ81" s="953"/>
      <c r="CFK81" s="953"/>
      <c r="CFL81" s="953"/>
      <c r="CFM81" s="953"/>
      <c r="CFN81" s="953"/>
      <c r="CFO81" s="953"/>
      <c r="CFP81" s="953"/>
      <c r="CFQ81" s="953"/>
      <c r="CFR81" s="953"/>
      <c r="CFS81" s="953"/>
      <c r="CFT81" s="953"/>
      <c r="CFU81" s="953"/>
      <c r="CFV81" s="953"/>
      <c r="CFW81" s="953"/>
      <c r="CFX81" s="953"/>
      <c r="CFY81" s="953"/>
      <c r="CFZ81" s="953"/>
      <c r="CGA81" s="953"/>
      <c r="CGB81" s="953"/>
      <c r="CGC81" s="953"/>
      <c r="CGD81" s="953"/>
      <c r="CGE81" s="953"/>
      <c r="CGF81" s="953"/>
      <c r="CGG81" s="953"/>
      <c r="CGH81" s="953"/>
      <c r="CGI81" s="953"/>
      <c r="CGJ81" s="953"/>
      <c r="CGK81" s="953"/>
      <c r="CGL81" s="953"/>
      <c r="CGM81" s="953"/>
      <c r="CGN81" s="953"/>
      <c r="CGO81" s="953"/>
      <c r="CGP81" s="953"/>
      <c r="CGQ81" s="953"/>
      <c r="CGR81" s="953"/>
      <c r="CGS81" s="953"/>
      <c r="CGT81" s="953"/>
      <c r="CGU81" s="953"/>
      <c r="CGV81" s="953"/>
      <c r="CGW81" s="953"/>
      <c r="CGX81" s="953"/>
      <c r="CGY81" s="953"/>
      <c r="CGZ81" s="953"/>
      <c r="CHA81" s="953"/>
      <c r="CHB81" s="953"/>
      <c r="CHC81" s="953"/>
      <c r="CHD81" s="953"/>
      <c r="CHE81" s="953"/>
      <c r="CHF81" s="953"/>
      <c r="CHG81" s="953"/>
      <c r="CHH81" s="953"/>
      <c r="CHI81" s="953"/>
      <c r="CHJ81" s="953"/>
      <c r="CHK81" s="953"/>
      <c r="CHL81" s="953"/>
      <c r="CHM81" s="953"/>
      <c r="CHN81" s="953"/>
      <c r="CHO81" s="953"/>
      <c r="CHP81" s="953"/>
      <c r="CHQ81" s="953"/>
      <c r="CHR81" s="953"/>
      <c r="CHS81" s="953"/>
      <c r="CHT81" s="953"/>
      <c r="CHU81" s="953"/>
      <c r="CHV81" s="953"/>
      <c r="CHW81" s="953"/>
      <c r="CHX81" s="953"/>
      <c r="CHY81" s="953"/>
      <c r="CHZ81" s="953"/>
      <c r="CIA81" s="953"/>
      <c r="CIB81" s="953"/>
      <c r="CIC81" s="953"/>
      <c r="CID81" s="953"/>
      <c r="CIE81" s="953"/>
      <c r="CIF81" s="953"/>
      <c r="CIG81" s="953"/>
      <c r="CIH81" s="953"/>
      <c r="CII81" s="953"/>
      <c r="CIJ81" s="953"/>
      <c r="CIK81" s="953"/>
      <c r="CIL81" s="953"/>
      <c r="CIM81" s="953"/>
      <c r="CIN81" s="953"/>
      <c r="CIO81" s="953"/>
      <c r="CIP81" s="953"/>
      <c r="CIQ81" s="953"/>
      <c r="CIR81" s="953"/>
      <c r="CIS81" s="953"/>
      <c r="CIT81" s="953"/>
      <c r="CIU81" s="953"/>
      <c r="CIV81" s="953"/>
      <c r="CIW81" s="953"/>
      <c r="CIX81" s="953"/>
      <c r="CIY81" s="953"/>
      <c r="CIZ81" s="953"/>
      <c r="CJA81" s="953"/>
      <c r="CJB81" s="953"/>
      <c r="CJC81" s="953"/>
      <c r="CJD81" s="953"/>
      <c r="CJE81" s="953"/>
      <c r="CJF81" s="953"/>
      <c r="CJG81" s="953"/>
      <c r="CJH81" s="953"/>
      <c r="CJI81" s="953"/>
      <c r="CJJ81" s="953"/>
      <c r="CJK81" s="953"/>
      <c r="CJL81" s="953"/>
      <c r="CJM81" s="953"/>
      <c r="CJN81" s="953"/>
      <c r="CJO81" s="953"/>
      <c r="CJP81" s="953"/>
      <c r="CJQ81" s="953"/>
      <c r="CJR81" s="953"/>
      <c r="CJS81" s="953"/>
      <c r="CJT81" s="953"/>
      <c r="CJU81" s="953"/>
      <c r="CJV81" s="953"/>
      <c r="CJW81" s="953"/>
      <c r="CJX81" s="953"/>
      <c r="CJY81" s="953"/>
      <c r="CJZ81" s="953"/>
      <c r="CKA81" s="953"/>
      <c r="CKB81" s="953"/>
      <c r="CKC81" s="953"/>
      <c r="CKD81" s="953"/>
      <c r="CKE81" s="953"/>
      <c r="CKF81" s="953"/>
      <c r="CKG81" s="953"/>
      <c r="CKH81" s="953"/>
      <c r="CKI81" s="953"/>
      <c r="CKJ81" s="953"/>
      <c r="CKK81" s="953"/>
      <c r="CKL81" s="953"/>
      <c r="CKM81" s="953"/>
      <c r="CKN81" s="953"/>
      <c r="CKO81" s="953"/>
      <c r="CKP81" s="953"/>
      <c r="CKQ81" s="953"/>
      <c r="CKR81" s="953"/>
      <c r="CKS81" s="953"/>
      <c r="CKT81" s="953"/>
      <c r="CKU81" s="953"/>
      <c r="CKV81" s="953"/>
      <c r="CKW81" s="953"/>
      <c r="CKX81" s="953"/>
      <c r="CKY81" s="953"/>
      <c r="CKZ81" s="953"/>
      <c r="CLA81" s="953"/>
      <c r="CLB81" s="953"/>
      <c r="CLC81" s="953"/>
      <c r="CLD81" s="953"/>
      <c r="CLE81" s="953"/>
      <c r="CLF81" s="953"/>
      <c r="CLG81" s="953"/>
      <c r="CLH81" s="953"/>
      <c r="CLI81" s="953"/>
      <c r="CLJ81" s="953"/>
      <c r="CLK81" s="953"/>
      <c r="CLL81" s="953"/>
      <c r="CLM81" s="953"/>
      <c r="CLN81" s="953"/>
      <c r="CLO81" s="953"/>
      <c r="CLP81" s="953"/>
      <c r="CLQ81" s="953"/>
      <c r="CLR81" s="953"/>
      <c r="CLS81" s="953"/>
      <c r="CLT81" s="953"/>
      <c r="CLU81" s="953"/>
      <c r="CLV81" s="953"/>
      <c r="CLW81" s="953"/>
      <c r="CLX81" s="953"/>
      <c r="CLY81" s="953"/>
      <c r="CLZ81" s="953"/>
      <c r="CMA81" s="953"/>
      <c r="CMB81" s="953"/>
      <c r="CMC81" s="953"/>
      <c r="CMD81" s="953"/>
      <c r="CME81" s="953"/>
      <c r="CMF81" s="953"/>
      <c r="CMG81" s="953"/>
      <c r="CMH81" s="953"/>
      <c r="CMI81" s="953"/>
      <c r="CMJ81" s="953"/>
      <c r="CMK81" s="953"/>
      <c r="CML81" s="953"/>
      <c r="CMM81" s="953"/>
      <c r="CMN81" s="953"/>
      <c r="CMO81" s="953"/>
      <c r="CMP81" s="953"/>
      <c r="CMQ81" s="953"/>
      <c r="CMR81" s="953"/>
      <c r="CMS81" s="953"/>
      <c r="CMT81" s="953"/>
      <c r="CMU81" s="953"/>
      <c r="CMV81" s="953"/>
      <c r="CMW81" s="953"/>
      <c r="CMX81" s="953"/>
      <c r="CMY81" s="953"/>
      <c r="CMZ81" s="953"/>
      <c r="CNA81" s="953"/>
      <c r="CNB81" s="953"/>
      <c r="CNC81" s="953"/>
      <c r="CND81" s="953"/>
      <c r="CNE81" s="953"/>
      <c r="CNF81" s="953"/>
      <c r="CNG81" s="953"/>
      <c r="CNH81" s="953"/>
      <c r="CNI81" s="953"/>
      <c r="CNJ81" s="953"/>
      <c r="CNK81" s="953"/>
      <c r="CNL81" s="953"/>
      <c r="CNM81" s="953"/>
      <c r="CNN81" s="953"/>
      <c r="CNO81" s="953"/>
      <c r="CNP81" s="953"/>
      <c r="CNQ81" s="953"/>
      <c r="CNR81" s="953"/>
      <c r="CNS81" s="953"/>
      <c r="CNT81" s="953"/>
      <c r="CNU81" s="953"/>
      <c r="CNV81" s="953"/>
      <c r="CNW81" s="953"/>
      <c r="CNX81" s="953"/>
      <c r="CNY81" s="953"/>
      <c r="CNZ81" s="953"/>
      <c r="COA81" s="953"/>
      <c r="COB81" s="953"/>
      <c r="COC81" s="953"/>
      <c r="COD81" s="953"/>
      <c r="COE81" s="953"/>
      <c r="COF81" s="953"/>
      <c r="COG81" s="953"/>
      <c r="COH81" s="953"/>
      <c r="COI81" s="953"/>
      <c r="COJ81" s="953"/>
      <c r="COK81" s="953"/>
      <c r="COL81" s="953"/>
      <c r="COM81" s="953"/>
      <c r="CON81" s="953"/>
      <c r="COO81" s="953"/>
      <c r="COP81" s="953"/>
      <c r="COQ81" s="953"/>
      <c r="COR81" s="953"/>
      <c r="COS81" s="953"/>
      <c r="COT81" s="953"/>
      <c r="COU81" s="953"/>
      <c r="COV81" s="953"/>
      <c r="COW81" s="953"/>
      <c r="COX81" s="953"/>
      <c r="COY81" s="953"/>
      <c r="COZ81" s="953"/>
      <c r="CPA81" s="953"/>
      <c r="CPB81" s="953"/>
      <c r="CPC81" s="953"/>
      <c r="CPD81" s="953"/>
      <c r="CPE81" s="953"/>
      <c r="CPF81" s="953"/>
      <c r="CPG81" s="953"/>
      <c r="CPH81" s="953"/>
      <c r="CPI81" s="953"/>
      <c r="CPJ81" s="953"/>
      <c r="CPK81" s="953"/>
      <c r="CPL81" s="953"/>
      <c r="CPM81" s="953"/>
      <c r="CPN81" s="953"/>
      <c r="CPO81" s="953"/>
      <c r="CPP81" s="953"/>
      <c r="CPQ81" s="953"/>
      <c r="CPR81" s="953"/>
      <c r="CPS81" s="953"/>
      <c r="CPT81" s="953"/>
      <c r="CPU81" s="953"/>
      <c r="CPV81" s="953"/>
      <c r="CPW81" s="953"/>
      <c r="CPX81" s="953"/>
      <c r="CPY81" s="953"/>
      <c r="CPZ81" s="953"/>
      <c r="CQA81" s="953"/>
      <c r="CQB81" s="953"/>
      <c r="CQC81" s="953"/>
      <c r="CQD81" s="953"/>
      <c r="CQE81" s="953"/>
      <c r="CQF81" s="953"/>
      <c r="CQG81" s="953"/>
      <c r="CQH81" s="953"/>
      <c r="CQI81" s="953"/>
      <c r="CQJ81" s="953"/>
      <c r="CQK81" s="953"/>
      <c r="CQL81" s="953"/>
      <c r="CQM81" s="953"/>
      <c r="CQN81" s="953"/>
      <c r="CQO81" s="953"/>
      <c r="CQP81" s="953"/>
      <c r="CQQ81" s="953"/>
      <c r="CQR81" s="953"/>
      <c r="CQS81" s="953"/>
      <c r="CQT81" s="953"/>
      <c r="CQU81" s="953"/>
      <c r="CQV81" s="953"/>
      <c r="CQW81" s="953"/>
      <c r="CQX81" s="953"/>
      <c r="CQY81" s="953"/>
      <c r="CQZ81" s="953"/>
      <c r="CRA81" s="953"/>
      <c r="CRB81" s="953"/>
      <c r="CRC81" s="953"/>
      <c r="CRD81" s="953"/>
      <c r="CRE81" s="953"/>
      <c r="CRF81" s="953"/>
      <c r="CRG81" s="953"/>
      <c r="CRH81" s="953"/>
      <c r="CRI81" s="953"/>
      <c r="CRJ81" s="953"/>
      <c r="CRK81" s="953"/>
      <c r="CRL81" s="953"/>
      <c r="CRM81" s="953"/>
      <c r="CRN81" s="953"/>
      <c r="CRO81" s="953"/>
      <c r="CRP81" s="953"/>
      <c r="CRQ81" s="953"/>
      <c r="CRR81" s="953"/>
      <c r="CRS81" s="953"/>
      <c r="CRT81" s="953"/>
      <c r="CRU81" s="953"/>
      <c r="CRV81" s="953"/>
      <c r="CRW81" s="953"/>
      <c r="CRX81" s="953"/>
      <c r="CRY81" s="953"/>
      <c r="CRZ81" s="953"/>
      <c r="CSA81" s="953"/>
      <c r="CSB81" s="953"/>
      <c r="CSC81" s="953"/>
      <c r="CSD81" s="953"/>
      <c r="CSE81" s="953"/>
      <c r="CSF81" s="953"/>
      <c r="CSG81" s="953"/>
      <c r="CSH81" s="953"/>
      <c r="CSI81" s="953"/>
      <c r="CSJ81" s="953"/>
      <c r="CSK81" s="953"/>
      <c r="CSL81" s="953"/>
      <c r="CSM81" s="953"/>
      <c r="CSN81" s="953"/>
      <c r="CSO81" s="953"/>
      <c r="CSP81" s="953"/>
      <c r="CSQ81" s="953"/>
      <c r="CSR81" s="953"/>
      <c r="CSS81" s="953"/>
      <c r="CST81" s="953"/>
      <c r="CSU81" s="953"/>
      <c r="CSV81" s="953"/>
      <c r="CSW81" s="953"/>
      <c r="CSX81" s="953"/>
      <c r="CSY81" s="953"/>
      <c r="CSZ81" s="953"/>
      <c r="CTA81" s="953"/>
      <c r="CTB81" s="953"/>
      <c r="CTC81" s="953"/>
      <c r="CTD81" s="953"/>
      <c r="CTE81" s="953"/>
      <c r="CTF81" s="953"/>
      <c r="CTG81" s="953"/>
      <c r="CTH81" s="953"/>
      <c r="CTI81" s="953"/>
      <c r="CTJ81" s="953"/>
      <c r="CTK81" s="953"/>
      <c r="CTL81" s="953"/>
      <c r="CTM81" s="953"/>
      <c r="CTN81" s="953"/>
      <c r="CTO81" s="953"/>
      <c r="CTP81" s="953"/>
      <c r="CTQ81" s="953"/>
      <c r="CTR81" s="953"/>
      <c r="CTS81" s="953"/>
      <c r="CTT81" s="953"/>
      <c r="CTU81" s="953"/>
      <c r="CTV81" s="953"/>
      <c r="CTW81" s="953"/>
      <c r="CTX81" s="953"/>
      <c r="CTY81" s="953"/>
      <c r="CTZ81" s="953"/>
      <c r="CUA81" s="953"/>
      <c r="CUB81" s="953"/>
      <c r="CUC81" s="953"/>
      <c r="CUD81" s="953"/>
      <c r="CUE81" s="953"/>
      <c r="CUF81" s="953"/>
      <c r="CUG81" s="953"/>
      <c r="CUH81" s="953"/>
      <c r="CUI81" s="953"/>
      <c r="CUJ81" s="953"/>
      <c r="CUK81" s="953"/>
      <c r="CUL81" s="953"/>
      <c r="CUM81" s="953"/>
      <c r="CUN81" s="953"/>
      <c r="CUO81" s="953"/>
      <c r="CUP81" s="953"/>
      <c r="CUQ81" s="953"/>
      <c r="CUR81" s="953"/>
      <c r="CUS81" s="953"/>
      <c r="CUT81" s="953"/>
      <c r="CUU81" s="953"/>
      <c r="CUV81" s="953"/>
      <c r="CUW81" s="953"/>
      <c r="CUX81" s="953"/>
      <c r="CUY81" s="953"/>
      <c r="CUZ81" s="953"/>
      <c r="CVA81" s="953"/>
      <c r="CVB81" s="953"/>
      <c r="CVC81" s="953"/>
      <c r="CVD81" s="953"/>
      <c r="CVE81" s="953"/>
      <c r="CVF81" s="953"/>
      <c r="CVG81" s="953"/>
      <c r="CVH81" s="953"/>
      <c r="CVI81" s="953"/>
      <c r="CVJ81" s="953"/>
      <c r="CVK81" s="953"/>
      <c r="CVL81" s="953"/>
      <c r="CVM81" s="953"/>
      <c r="CVN81" s="953"/>
      <c r="CVO81" s="953"/>
      <c r="CVP81" s="953"/>
      <c r="CVQ81" s="953"/>
      <c r="CVR81" s="953"/>
      <c r="CVS81" s="953"/>
      <c r="CVT81" s="953"/>
      <c r="CVU81" s="953"/>
      <c r="CVV81" s="953"/>
      <c r="CVW81" s="953"/>
      <c r="CVX81" s="953"/>
      <c r="CVY81" s="953"/>
      <c r="CVZ81" s="953"/>
      <c r="CWA81" s="953"/>
      <c r="CWB81" s="953"/>
      <c r="CWC81" s="953"/>
      <c r="CWD81" s="953"/>
      <c r="CWE81" s="953"/>
      <c r="CWF81" s="953"/>
      <c r="CWG81" s="953"/>
      <c r="CWH81" s="953"/>
      <c r="CWI81" s="953"/>
      <c r="CWJ81" s="953"/>
      <c r="CWK81" s="953"/>
      <c r="CWL81" s="953"/>
      <c r="CWM81" s="953"/>
      <c r="CWN81" s="953"/>
      <c r="CWO81" s="953"/>
      <c r="CWP81" s="953"/>
      <c r="CWQ81" s="953"/>
      <c r="CWR81" s="953"/>
      <c r="CWS81" s="953"/>
      <c r="CWT81" s="953"/>
      <c r="CWU81" s="953"/>
      <c r="CWV81" s="953"/>
      <c r="CWW81" s="953"/>
      <c r="CWX81" s="953"/>
      <c r="CWY81" s="953"/>
      <c r="CWZ81" s="953"/>
      <c r="CXA81" s="953"/>
      <c r="CXB81" s="953"/>
      <c r="CXC81" s="953"/>
      <c r="CXD81" s="953"/>
      <c r="CXE81" s="953"/>
      <c r="CXF81" s="953"/>
      <c r="CXG81" s="953"/>
      <c r="CXH81" s="953"/>
      <c r="CXI81" s="953"/>
      <c r="CXJ81" s="953"/>
      <c r="CXK81" s="953"/>
      <c r="CXL81" s="953"/>
      <c r="CXM81" s="953"/>
      <c r="CXN81" s="953"/>
      <c r="CXO81" s="953"/>
      <c r="CXP81" s="953"/>
      <c r="CXQ81" s="953"/>
      <c r="CXR81" s="953"/>
      <c r="CXS81" s="953"/>
      <c r="CXT81" s="953"/>
      <c r="CXU81" s="953"/>
      <c r="CXV81" s="953"/>
      <c r="CXW81" s="953"/>
      <c r="CXX81" s="953"/>
      <c r="CXY81" s="953"/>
      <c r="CXZ81" s="953"/>
      <c r="CYA81" s="953"/>
      <c r="CYB81" s="953"/>
      <c r="CYC81" s="953"/>
      <c r="CYD81" s="953"/>
      <c r="CYE81" s="953"/>
      <c r="CYF81" s="953"/>
      <c r="CYG81" s="953"/>
      <c r="CYH81" s="953"/>
      <c r="CYI81" s="953"/>
      <c r="CYJ81" s="953"/>
      <c r="CYK81" s="953"/>
      <c r="CYL81" s="953"/>
      <c r="CYM81" s="953"/>
      <c r="CYN81" s="953"/>
      <c r="CYO81" s="953"/>
      <c r="CYP81" s="953"/>
      <c r="CYQ81" s="953"/>
      <c r="CYR81" s="953"/>
      <c r="CYS81" s="953"/>
      <c r="CYT81" s="953"/>
      <c r="CYU81" s="953"/>
      <c r="CYV81" s="953"/>
      <c r="CYW81" s="953"/>
      <c r="CYX81" s="953"/>
      <c r="CYY81" s="953"/>
      <c r="CYZ81" s="953"/>
      <c r="CZA81" s="953"/>
      <c r="CZB81" s="953"/>
      <c r="CZC81" s="953"/>
      <c r="CZD81" s="953"/>
      <c r="CZE81" s="953"/>
      <c r="CZF81" s="953"/>
      <c r="CZG81" s="953"/>
      <c r="CZH81" s="953"/>
      <c r="CZI81" s="953"/>
      <c r="CZJ81" s="953"/>
      <c r="CZK81" s="953"/>
      <c r="CZL81" s="953"/>
      <c r="CZM81" s="953"/>
      <c r="CZN81" s="953"/>
      <c r="CZO81" s="953"/>
      <c r="CZP81" s="953"/>
      <c r="CZQ81" s="953"/>
      <c r="CZR81" s="953"/>
      <c r="CZS81" s="953"/>
      <c r="CZT81" s="953"/>
      <c r="CZU81" s="953"/>
      <c r="CZV81" s="953"/>
      <c r="CZW81" s="953"/>
      <c r="CZX81" s="953"/>
      <c r="CZY81" s="953"/>
      <c r="CZZ81" s="953"/>
      <c r="DAA81" s="953"/>
      <c r="DAB81" s="953"/>
      <c r="DAC81" s="953"/>
      <c r="DAD81" s="953"/>
      <c r="DAE81" s="953"/>
      <c r="DAF81" s="953"/>
      <c r="DAG81" s="953"/>
      <c r="DAH81" s="953"/>
      <c r="DAI81" s="953"/>
      <c r="DAJ81" s="953"/>
      <c r="DAK81" s="953"/>
      <c r="DAL81" s="953"/>
      <c r="DAM81" s="953"/>
      <c r="DAN81" s="953"/>
      <c r="DAO81" s="953"/>
      <c r="DAP81" s="953"/>
      <c r="DAQ81" s="953"/>
      <c r="DAR81" s="953"/>
      <c r="DAS81" s="953"/>
      <c r="DAT81" s="953"/>
      <c r="DAU81" s="953"/>
      <c r="DAV81" s="953"/>
      <c r="DAW81" s="953"/>
      <c r="DAX81" s="953"/>
      <c r="DAY81" s="953"/>
      <c r="DAZ81" s="953"/>
      <c r="DBA81" s="953"/>
      <c r="DBB81" s="953"/>
      <c r="DBC81" s="953"/>
      <c r="DBD81" s="953"/>
      <c r="DBE81" s="953"/>
      <c r="DBF81" s="953"/>
      <c r="DBG81" s="953"/>
      <c r="DBH81" s="953"/>
      <c r="DBI81" s="953"/>
      <c r="DBJ81" s="953"/>
      <c r="DBK81" s="953"/>
      <c r="DBL81" s="953"/>
      <c r="DBM81" s="953"/>
      <c r="DBN81" s="953"/>
      <c r="DBO81" s="953"/>
      <c r="DBP81" s="953"/>
      <c r="DBQ81" s="953"/>
      <c r="DBR81" s="953"/>
      <c r="DBS81" s="953"/>
      <c r="DBT81" s="953"/>
      <c r="DBU81" s="953"/>
      <c r="DBV81" s="953"/>
      <c r="DBW81" s="953"/>
      <c r="DBX81" s="953"/>
      <c r="DBY81" s="953"/>
      <c r="DBZ81" s="953"/>
      <c r="DCA81" s="953"/>
      <c r="DCB81" s="953"/>
      <c r="DCC81" s="953"/>
      <c r="DCD81" s="953"/>
      <c r="DCE81" s="953"/>
      <c r="DCF81" s="953"/>
      <c r="DCG81" s="953"/>
      <c r="DCH81" s="953"/>
      <c r="DCI81" s="953"/>
      <c r="DCJ81" s="953"/>
      <c r="DCK81" s="953"/>
      <c r="DCL81" s="953"/>
      <c r="DCM81" s="953"/>
      <c r="DCN81" s="953"/>
      <c r="DCO81" s="953"/>
      <c r="DCP81" s="953"/>
      <c r="DCQ81" s="953"/>
      <c r="DCR81" s="953"/>
      <c r="DCS81" s="953"/>
      <c r="DCT81" s="953"/>
      <c r="DCU81" s="953"/>
      <c r="DCV81" s="953"/>
      <c r="DCW81" s="953"/>
      <c r="DCX81" s="953"/>
      <c r="DCY81" s="953"/>
      <c r="DCZ81" s="953"/>
      <c r="DDA81" s="953"/>
      <c r="DDB81" s="953"/>
      <c r="DDC81" s="953"/>
      <c r="DDD81" s="953"/>
      <c r="DDE81" s="953"/>
      <c r="DDF81" s="953"/>
      <c r="DDG81" s="953"/>
      <c r="DDH81" s="953"/>
      <c r="DDI81" s="953"/>
      <c r="DDJ81" s="953"/>
      <c r="DDK81" s="953"/>
      <c r="DDL81" s="953"/>
      <c r="DDM81" s="953"/>
      <c r="DDN81" s="953"/>
      <c r="DDO81" s="953"/>
      <c r="DDP81" s="953"/>
      <c r="DDQ81" s="953"/>
      <c r="DDR81" s="953"/>
      <c r="DDS81" s="953"/>
      <c r="DDT81" s="953"/>
      <c r="DDU81" s="953"/>
      <c r="DDV81" s="953"/>
      <c r="DDW81" s="953"/>
      <c r="DDX81" s="953"/>
      <c r="DDY81" s="953"/>
      <c r="DDZ81" s="953"/>
      <c r="DEA81" s="953"/>
      <c r="DEB81" s="953"/>
      <c r="DEC81" s="953"/>
      <c r="DED81" s="953"/>
      <c r="DEE81" s="953"/>
      <c r="DEF81" s="953"/>
      <c r="DEG81" s="953"/>
      <c r="DEH81" s="953"/>
      <c r="DEI81" s="953"/>
      <c r="DEJ81" s="953"/>
      <c r="DEK81" s="953"/>
      <c r="DEL81" s="953"/>
      <c r="DEM81" s="953"/>
      <c r="DEN81" s="953"/>
      <c r="DEO81" s="953"/>
      <c r="DEP81" s="953"/>
      <c r="DEQ81" s="953"/>
      <c r="DER81" s="953"/>
      <c r="DES81" s="953"/>
      <c r="DET81" s="953"/>
      <c r="DEU81" s="953"/>
      <c r="DEV81" s="953"/>
      <c r="DEW81" s="953"/>
      <c r="DEX81" s="953"/>
      <c r="DEY81" s="953"/>
      <c r="DEZ81" s="953"/>
      <c r="DFA81" s="953"/>
      <c r="DFB81" s="953"/>
      <c r="DFC81" s="953"/>
      <c r="DFD81" s="953"/>
      <c r="DFE81" s="953"/>
      <c r="DFF81" s="953"/>
      <c r="DFG81" s="953"/>
      <c r="DFH81" s="953"/>
      <c r="DFI81" s="953"/>
      <c r="DFJ81" s="953"/>
      <c r="DFK81" s="953"/>
      <c r="DFL81" s="953"/>
      <c r="DFM81" s="953"/>
      <c r="DFN81" s="953"/>
      <c r="DFO81" s="953"/>
      <c r="DFP81" s="953"/>
      <c r="DFQ81" s="953"/>
      <c r="DFR81" s="953"/>
      <c r="DFS81" s="953"/>
      <c r="DFT81" s="953"/>
      <c r="DFU81" s="953"/>
      <c r="DFV81" s="953"/>
      <c r="DFW81" s="953"/>
      <c r="DFX81" s="953"/>
      <c r="DFY81" s="953"/>
      <c r="DFZ81" s="953"/>
      <c r="DGA81" s="953"/>
      <c r="DGB81" s="953"/>
      <c r="DGC81" s="953"/>
      <c r="DGD81" s="953"/>
      <c r="DGE81" s="953"/>
      <c r="DGF81" s="953"/>
      <c r="DGG81" s="953"/>
      <c r="DGH81" s="953"/>
      <c r="DGI81" s="953"/>
      <c r="DGJ81" s="953"/>
      <c r="DGK81" s="953"/>
      <c r="DGL81" s="953"/>
      <c r="DGM81" s="953"/>
      <c r="DGN81" s="953"/>
      <c r="DGO81" s="953"/>
      <c r="DGP81" s="953"/>
      <c r="DGQ81" s="953"/>
      <c r="DGR81" s="953"/>
      <c r="DGS81" s="953"/>
      <c r="DGT81" s="953"/>
      <c r="DGU81" s="953"/>
      <c r="DGV81" s="953"/>
      <c r="DGW81" s="953"/>
      <c r="DGX81" s="953"/>
      <c r="DGY81" s="953"/>
      <c r="DGZ81" s="953"/>
      <c r="DHA81" s="953"/>
      <c r="DHB81" s="953"/>
      <c r="DHC81" s="953"/>
      <c r="DHD81" s="953"/>
      <c r="DHE81" s="953"/>
      <c r="DHF81" s="953"/>
      <c r="DHG81" s="953"/>
      <c r="DHH81" s="953"/>
      <c r="DHI81" s="953"/>
      <c r="DHJ81" s="953"/>
      <c r="DHK81" s="953"/>
      <c r="DHL81" s="953"/>
      <c r="DHM81" s="953"/>
      <c r="DHN81" s="953"/>
      <c r="DHO81" s="953"/>
      <c r="DHP81" s="953"/>
      <c r="DHQ81" s="953"/>
      <c r="DHR81" s="953"/>
      <c r="DHS81" s="953"/>
      <c r="DHT81" s="953"/>
      <c r="DHU81" s="953"/>
      <c r="DHV81" s="953"/>
      <c r="DHW81" s="953"/>
      <c r="DHX81" s="953"/>
      <c r="DHY81" s="953"/>
      <c r="DHZ81" s="953"/>
      <c r="DIA81" s="953"/>
      <c r="DIB81" s="953"/>
      <c r="DIC81" s="953"/>
      <c r="DID81" s="953"/>
      <c r="DIE81" s="953"/>
      <c r="DIF81" s="953"/>
      <c r="DIG81" s="953"/>
      <c r="DIH81" s="953"/>
      <c r="DII81" s="953"/>
      <c r="DIJ81" s="953"/>
      <c r="DIK81" s="953"/>
      <c r="DIL81" s="953"/>
      <c r="DIM81" s="953"/>
      <c r="DIN81" s="953"/>
      <c r="DIO81" s="953"/>
      <c r="DIP81" s="953"/>
      <c r="DIQ81" s="953"/>
      <c r="DIR81" s="953"/>
      <c r="DIS81" s="953"/>
      <c r="DIT81" s="953"/>
      <c r="DIU81" s="953"/>
      <c r="DIV81" s="953"/>
      <c r="DIW81" s="953"/>
      <c r="DIX81" s="953"/>
      <c r="DIY81" s="953"/>
      <c r="DIZ81" s="953"/>
      <c r="DJA81" s="953"/>
      <c r="DJB81" s="953"/>
      <c r="DJC81" s="953"/>
      <c r="DJD81" s="953"/>
      <c r="DJE81" s="953"/>
      <c r="DJF81" s="953"/>
      <c r="DJG81" s="953"/>
      <c r="DJH81" s="953"/>
      <c r="DJI81" s="953"/>
      <c r="DJJ81" s="953"/>
      <c r="DJK81" s="953"/>
      <c r="DJL81" s="953"/>
      <c r="DJM81" s="953"/>
      <c r="DJN81" s="953"/>
      <c r="DJO81" s="953"/>
      <c r="DJP81" s="953"/>
      <c r="DJQ81" s="953"/>
      <c r="DJR81" s="953"/>
      <c r="DJS81" s="953"/>
      <c r="DJT81" s="953"/>
      <c r="DJU81" s="953"/>
      <c r="DJV81" s="953"/>
      <c r="DJW81" s="953"/>
      <c r="DJX81" s="953"/>
      <c r="DJY81" s="953"/>
      <c r="DJZ81" s="953"/>
      <c r="DKA81" s="953"/>
      <c r="DKB81" s="953"/>
      <c r="DKC81" s="953"/>
      <c r="DKD81" s="953"/>
      <c r="DKE81" s="953"/>
      <c r="DKF81" s="953"/>
      <c r="DKG81" s="953"/>
      <c r="DKH81" s="953"/>
      <c r="DKI81" s="953"/>
      <c r="DKJ81" s="953"/>
      <c r="DKK81" s="953"/>
      <c r="DKL81" s="953"/>
      <c r="DKM81" s="953"/>
      <c r="DKN81" s="953"/>
      <c r="DKO81" s="953"/>
      <c r="DKP81" s="953"/>
      <c r="DKQ81" s="953"/>
      <c r="DKR81" s="953"/>
      <c r="DKS81" s="953"/>
      <c r="DKT81" s="953"/>
      <c r="DKU81" s="953"/>
      <c r="DKV81" s="953"/>
      <c r="DKW81" s="953"/>
      <c r="DKX81" s="953"/>
      <c r="DKY81" s="953"/>
      <c r="DKZ81" s="953"/>
      <c r="DLA81" s="953"/>
      <c r="DLB81" s="953"/>
      <c r="DLC81" s="953"/>
      <c r="DLD81" s="953"/>
      <c r="DLE81" s="953"/>
      <c r="DLF81" s="953"/>
      <c r="DLG81" s="953"/>
      <c r="DLH81" s="953"/>
      <c r="DLI81" s="953"/>
      <c r="DLJ81" s="953"/>
      <c r="DLK81" s="953"/>
      <c r="DLL81" s="953"/>
      <c r="DLM81" s="953"/>
      <c r="DLN81" s="953"/>
      <c r="DLO81" s="953"/>
      <c r="DLP81" s="953"/>
      <c r="DLQ81" s="953"/>
      <c r="DLR81" s="953"/>
      <c r="DLS81" s="953"/>
      <c r="DLT81" s="953"/>
      <c r="DLU81" s="953"/>
      <c r="DLV81" s="953"/>
      <c r="DLW81" s="953"/>
      <c r="DLX81" s="953"/>
      <c r="DLY81" s="953"/>
      <c r="DLZ81" s="953"/>
      <c r="DMA81" s="953"/>
      <c r="DMB81" s="953"/>
      <c r="DMC81" s="953"/>
      <c r="DMD81" s="953"/>
      <c r="DME81" s="953"/>
      <c r="DMF81" s="953"/>
      <c r="DMG81" s="953"/>
      <c r="DMH81" s="953"/>
      <c r="DMI81" s="953"/>
      <c r="DMJ81" s="953"/>
      <c r="DMK81" s="953"/>
      <c r="DML81" s="953"/>
      <c r="DMM81" s="953"/>
      <c r="DMN81" s="953"/>
      <c r="DMO81" s="953"/>
      <c r="DMP81" s="953"/>
      <c r="DMQ81" s="953"/>
      <c r="DMR81" s="953"/>
      <c r="DMS81" s="953"/>
      <c r="DMT81" s="953"/>
      <c r="DMU81" s="953"/>
      <c r="DMV81" s="953"/>
      <c r="DMW81" s="953"/>
      <c r="DMX81" s="953"/>
      <c r="DMY81" s="953"/>
      <c r="DMZ81" s="953"/>
      <c r="DNA81" s="953"/>
      <c r="DNB81" s="953"/>
      <c r="DNC81" s="953"/>
      <c r="DND81" s="953"/>
      <c r="DNE81" s="953"/>
      <c r="DNF81" s="953"/>
      <c r="DNG81" s="953"/>
      <c r="DNH81" s="953"/>
      <c r="DNI81" s="953"/>
      <c r="DNJ81" s="953"/>
      <c r="DNK81" s="953"/>
      <c r="DNL81" s="953"/>
      <c r="DNM81" s="953"/>
      <c r="DNN81" s="953"/>
      <c r="DNO81" s="953"/>
      <c r="DNP81" s="953"/>
      <c r="DNQ81" s="953"/>
      <c r="DNR81" s="953"/>
      <c r="DNS81" s="953"/>
      <c r="DNT81" s="953"/>
      <c r="DNU81" s="953"/>
      <c r="DNV81" s="953"/>
      <c r="DNW81" s="953"/>
      <c r="DNX81" s="953"/>
      <c r="DNY81" s="953"/>
      <c r="DNZ81" s="953"/>
      <c r="DOA81" s="953"/>
      <c r="DOB81" s="953"/>
      <c r="DOC81" s="953"/>
      <c r="DOD81" s="953"/>
      <c r="DOE81" s="953"/>
      <c r="DOF81" s="953"/>
      <c r="DOG81" s="953"/>
      <c r="DOH81" s="953"/>
      <c r="DOI81" s="953"/>
      <c r="DOJ81" s="953"/>
      <c r="DOK81" s="953"/>
      <c r="DOL81" s="953"/>
      <c r="DOM81" s="953"/>
      <c r="DON81" s="953"/>
      <c r="DOO81" s="953"/>
      <c r="DOP81" s="953"/>
      <c r="DOQ81" s="953"/>
      <c r="DOR81" s="953"/>
      <c r="DOS81" s="953"/>
      <c r="DOT81" s="953"/>
      <c r="DOU81" s="953"/>
      <c r="DOV81" s="953"/>
      <c r="DOW81" s="953"/>
      <c r="DOX81" s="953"/>
      <c r="DOY81" s="953"/>
      <c r="DOZ81" s="953"/>
      <c r="DPA81" s="953"/>
      <c r="DPB81" s="953"/>
      <c r="DPC81" s="953"/>
      <c r="DPD81" s="953"/>
      <c r="DPE81" s="953"/>
      <c r="DPF81" s="953"/>
      <c r="DPG81" s="953"/>
      <c r="DPH81" s="953"/>
      <c r="DPI81" s="953"/>
      <c r="DPJ81" s="953"/>
      <c r="DPK81" s="953"/>
      <c r="DPL81" s="953"/>
      <c r="DPM81" s="953"/>
      <c r="DPN81" s="953"/>
      <c r="DPO81" s="953"/>
      <c r="DPP81" s="953"/>
      <c r="DPQ81" s="953"/>
      <c r="DPR81" s="953"/>
      <c r="DPS81" s="953"/>
      <c r="DPT81" s="953"/>
      <c r="DPU81" s="953"/>
      <c r="DPV81" s="953"/>
      <c r="DPW81" s="953"/>
      <c r="DPX81" s="953"/>
      <c r="DPY81" s="953"/>
      <c r="DPZ81" s="953"/>
      <c r="DQA81" s="953"/>
      <c r="DQB81" s="953"/>
      <c r="DQC81" s="953"/>
      <c r="DQD81" s="953"/>
      <c r="DQE81" s="953"/>
      <c r="DQF81" s="953"/>
      <c r="DQG81" s="953"/>
      <c r="DQH81" s="953"/>
      <c r="DQI81" s="953"/>
      <c r="DQJ81" s="953"/>
      <c r="DQK81" s="953"/>
      <c r="DQL81" s="953"/>
      <c r="DQM81" s="953"/>
      <c r="DQN81" s="953"/>
      <c r="DQO81" s="953"/>
      <c r="DQP81" s="953"/>
      <c r="DQQ81" s="953"/>
      <c r="DQR81" s="953"/>
      <c r="DQS81" s="953"/>
      <c r="DQT81" s="953"/>
      <c r="DQU81" s="953"/>
      <c r="DQV81" s="953"/>
      <c r="DQW81" s="953"/>
      <c r="DQX81" s="953"/>
      <c r="DQY81" s="953"/>
      <c r="DQZ81" s="953"/>
      <c r="DRA81" s="953"/>
      <c r="DRB81" s="953"/>
      <c r="DRC81" s="953"/>
      <c r="DRD81" s="953"/>
      <c r="DRE81" s="953"/>
      <c r="DRF81" s="953"/>
      <c r="DRG81" s="953"/>
      <c r="DRH81" s="953"/>
      <c r="DRI81" s="953"/>
      <c r="DRJ81" s="953"/>
      <c r="DRK81" s="953"/>
      <c r="DRL81" s="953"/>
      <c r="DRM81" s="953"/>
      <c r="DRN81" s="953"/>
      <c r="DRO81" s="953"/>
      <c r="DRP81" s="953"/>
      <c r="DRQ81" s="953"/>
      <c r="DRR81" s="953"/>
      <c r="DRS81" s="953"/>
      <c r="DRT81" s="953"/>
      <c r="DRU81" s="953"/>
      <c r="DRV81" s="953"/>
      <c r="DRW81" s="953"/>
      <c r="DRX81" s="953"/>
      <c r="DRY81" s="953"/>
      <c r="DRZ81" s="953"/>
      <c r="DSA81" s="953"/>
      <c r="DSB81" s="953"/>
      <c r="DSC81" s="953"/>
      <c r="DSD81" s="953"/>
      <c r="DSE81" s="953"/>
      <c r="DSF81" s="953"/>
      <c r="DSG81" s="953"/>
      <c r="DSH81" s="953"/>
      <c r="DSI81" s="953"/>
      <c r="DSJ81" s="953"/>
      <c r="DSK81" s="953"/>
      <c r="DSL81" s="953"/>
      <c r="DSM81" s="953"/>
      <c r="DSN81" s="953"/>
      <c r="DSO81" s="953"/>
      <c r="DSP81" s="953"/>
      <c r="DSQ81" s="953"/>
      <c r="DSR81" s="953"/>
      <c r="DSS81" s="953"/>
      <c r="DST81" s="953"/>
      <c r="DSU81" s="953"/>
      <c r="DSV81" s="953"/>
      <c r="DSW81" s="953"/>
      <c r="DSX81" s="953"/>
      <c r="DSY81" s="953"/>
      <c r="DSZ81" s="953"/>
      <c r="DTA81" s="953"/>
      <c r="DTB81" s="953"/>
      <c r="DTC81" s="953"/>
      <c r="DTD81" s="953"/>
      <c r="DTE81" s="953"/>
      <c r="DTF81" s="953"/>
      <c r="DTG81" s="953"/>
      <c r="DTH81" s="953"/>
      <c r="DTI81" s="953"/>
      <c r="DTJ81" s="953"/>
      <c r="DTK81" s="953"/>
      <c r="DTL81" s="953"/>
      <c r="DTM81" s="953"/>
      <c r="DTN81" s="953"/>
      <c r="DTO81" s="953"/>
      <c r="DTP81" s="953"/>
      <c r="DTQ81" s="953"/>
      <c r="DTR81" s="953"/>
      <c r="DTS81" s="953"/>
      <c r="DTT81" s="953"/>
      <c r="DTU81" s="953"/>
      <c r="DTV81" s="953"/>
      <c r="DTW81" s="953"/>
      <c r="DTX81" s="953"/>
      <c r="DTY81" s="953"/>
      <c r="DTZ81" s="953"/>
      <c r="DUA81" s="953"/>
      <c r="DUB81" s="953"/>
      <c r="DUC81" s="953"/>
      <c r="DUD81" s="953"/>
      <c r="DUE81" s="953"/>
      <c r="DUF81" s="953"/>
      <c r="DUG81" s="953"/>
      <c r="DUH81" s="953"/>
      <c r="DUI81" s="953"/>
      <c r="DUJ81" s="953"/>
      <c r="DUK81" s="953"/>
      <c r="DUL81" s="953"/>
      <c r="DUM81" s="953"/>
      <c r="DUN81" s="953"/>
      <c r="DUO81" s="953"/>
      <c r="DUP81" s="953"/>
      <c r="DUQ81" s="953"/>
      <c r="DUR81" s="953"/>
      <c r="DUS81" s="953"/>
      <c r="DUT81" s="953"/>
      <c r="DUU81" s="953"/>
      <c r="DUV81" s="953"/>
      <c r="DUW81" s="953"/>
      <c r="DUX81" s="953"/>
      <c r="DUY81" s="953"/>
      <c r="DUZ81" s="953"/>
      <c r="DVA81" s="953"/>
      <c r="DVB81" s="953"/>
      <c r="DVC81" s="953"/>
      <c r="DVD81" s="953"/>
      <c r="DVE81" s="953"/>
      <c r="DVF81" s="953"/>
      <c r="DVG81" s="953"/>
      <c r="DVH81" s="953"/>
      <c r="DVI81" s="953"/>
      <c r="DVJ81" s="953"/>
      <c r="DVK81" s="953"/>
      <c r="DVL81" s="953"/>
      <c r="DVM81" s="953"/>
      <c r="DVN81" s="953"/>
      <c r="DVO81" s="953"/>
      <c r="DVP81" s="953"/>
      <c r="DVQ81" s="953"/>
      <c r="DVR81" s="953"/>
      <c r="DVS81" s="953"/>
      <c r="DVT81" s="953"/>
      <c r="DVU81" s="953"/>
      <c r="DVV81" s="953"/>
      <c r="DVW81" s="953"/>
      <c r="DVX81" s="953"/>
      <c r="DVY81" s="953"/>
      <c r="DVZ81" s="953"/>
      <c r="DWA81" s="953"/>
      <c r="DWB81" s="953"/>
      <c r="DWC81" s="953"/>
      <c r="DWD81" s="953"/>
      <c r="DWE81" s="953"/>
      <c r="DWF81" s="953"/>
      <c r="DWG81" s="953"/>
      <c r="DWH81" s="953"/>
      <c r="DWI81" s="953"/>
      <c r="DWJ81" s="953"/>
      <c r="DWK81" s="953"/>
      <c r="DWL81" s="953"/>
      <c r="DWM81" s="953"/>
      <c r="DWN81" s="953"/>
      <c r="DWO81" s="953"/>
      <c r="DWP81" s="953"/>
      <c r="DWQ81" s="953"/>
      <c r="DWR81" s="953"/>
      <c r="DWS81" s="953"/>
      <c r="DWT81" s="953"/>
      <c r="DWU81" s="953"/>
      <c r="DWV81" s="953"/>
      <c r="DWW81" s="953"/>
      <c r="DWX81" s="953"/>
      <c r="DWY81" s="953"/>
      <c r="DWZ81" s="953"/>
      <c r="DXA81" s="953"/>
      <c r="DXB81" s="953"/>
      <c r="DXC81" s="953"/>
      <c r="DXD81" s="953"/>
      <c r="DXE81" s="953"/>
      <c r="DXF81" s="953"/>
      <c r="DXG81" s="953"/>
      <c r="DXH81" s="953"/>
      <c r="DXI81" s="953"/>
      <c r="DXJ81" s="953"/>
      <c r="DXK81" s="953"/>
      <c r="DXL81" s="953"/>
      <c r="DXM81" s="953"/>
      <c r="DXN81" s="953"/>
      <c r="DXO81" s="953"/>
      <c r="DXP81" s="953"/>
      <c r="DXQ81" s="953"/>
      <c r="DXR81" s="953"/>
      <c r="DXS81" s="953"/>
      <c r="DXT81" s="953"/>
      <c r="DXU81" s="953"/>
      <c r="DXV81" s="953"/>
      <c r="DXW81" s="953"/>
      <c r="DXX81" s="953"/>
      <c r="DXY81" s="953"/>
      <c r="DXZ81" s="953"/>
      <c r="DYA81" s="953"/>
      <c r="DYB81" s="953"/>
      <c r="DYC81" s="953"/>
      <c r="DYD81" s="953"/>
      <c r="DYE81" s="953"/>
      <c r="DYF81" s="953"/>
      <c r="DYG81" s="953"/>
      <c r="DYH81" s="953"/>
      <c r="DYI81" s="953"/>
      <c r="DYJ81" s="953"/>
      <c r="DYK81" s="953"/>
      <c r="DYL81" s="953"/>
      <c r="DYM81" s="953"/>
      <c r="DYN81" s="953"/>
      <c r="DYO81" s="953"/>
      <c r="DYP81" s="953"/>
      <c r="DYQ81" s="953"/>
      <c r="DYR81" s="953"/>
      <c r="DYS81" s="953"/>
      <c r="DYT81" s="953"/>
      <c r="DYU81" s="953"/>
      <c r="DYV81" s="953"/>
      <c r="DYW81" s="953"/>
      <c r="DYX81" s="953"/>
      <c r="DYY81" s="953"/>
      <c r="DYZ81" s="953"/>
      <c r="DZA81" s="953"/>
      <c r="DZB81" s="953"/>
      <c r="DZC81" s="953"/>
      <c r="DZD81" s="953"/>
      <c r="DZE81" s="953"/>
      <c r="DZF81" s="953"/>
      <c r="DZG81" s="953"/>
      <c r="DZH81" s="953"/>
      <c r="DZI81" s="953"/>
      <c r="DZJ81" s="953"/>
      <c r="DZK81" s="953"/>
      <c r="DZL81" s="953"/>
      <c r="DZM81" s="953"/>
      <c r="DZN81" s="953"/>
      <c r="DZO81" s="953"/>
      <c r="DZP81" s="953"/>
      <c r="DZQ81" s="953"/>
      <c r="DZR81" s="953"/>
      <c r="DZS81" s="953"/>
      <c r="DZT81" s="953"/>
      <c r="DZU81" s="953"/>
      <c r="DZV81" s="953"/>
      <c r="DZW81" s="953"/>
      <c r="DZX81" s="953"/>
      <c r="DZY81" s="953"/>
      <c r="DZZ81" s="953"/>
      <c r="EAA81" s="953"/>
      <c r="EAB81" s="953"/>
      <c r="EAC81" s="953"/>
      <c r="EAD81" s="953"/>
      <c r="EAE81" s="953"/>
      <c r="EAF81" s="953"/>
      <c r="EAG81" s="953"/>
      <c r="EAH81" s="953"/>
      <c r="EAI81" s="953"/>
      <c r="EAJ81" s="953"/>
      <c r="EAK81" s="953"/>
      <c r="EAL81" s="953"/>
      <c r="EAM81" s="953"/>
      <c r="EAN81" s="953"/>
      <c r="EAO81" s="953"/>
      <c r="EAP81" s="953"/>
      <c r="EAQ81" s="953"/>
      <c r="EAR81" s="953"/>
      <c r="EAS81" s="953"/>
      <c r="EAT81" s="953"/>
      <c r="EAU81" s="953"/>
      <c r="EAV81" s="953"/>
      <c r="EAW81" s="953"/>
      <c r="EAX81" s="953"/>
      <c r="EAY81" s="953"/>
      <c r="EAZ81" s="953"/>
      <c r="EBA81" s="953"/>
      <c r="EBB81" s="953"/>
      <c r="EBC81" s="953"/>
      <c r="EBD81" s="953"/>
      <c r="EBE81" s="953"/>
      <c r="EBF81" s="953"/>
      <c r="EBG81" s="953"/>
      <c r="EBH81" s="953"/>
      <c r="EBI81" s="953"/>
      <c r="EBJ81" s="953"/>
      <c r="EBK81" s="953"/>
      <c r="EBL81" s="953"/>
      <c r="EBM81" s="953"/>
      <c r="EBN81" s="953"/>
      <c r="EBO81" s="953"/>
      <c r="EBP81" s="953"/>
      <c r="EBQ81" s="953"/>
      <c r="EBR81" s="953"/>
      <c r="EBS81" s="953"/>
      <c r="EBT81" s="953"/>
      <c r="EBU81" s="953"/>
      <c r="EBV81" s="953"/>
      <c r="EBW81" s="953"/>
      <c r="EBX81" s="953"/>
      <c r="EBY81" s="953"/>
      <c r="EBZ81" s="953"/>
      <c r="ECA81" s="953"/>
      <c r="ECB81" s="953"/>
      <c r="ECC81" s="953"/>
      <c r="ECD81" s="953"/>
      <c r="ECE81" s="953"/>
      <c r="ECF81" s="953"/>
      <c r="ECG81" s="953"/>
      <c r="ECH81" s="953"/>
      <c r="ECI81" s="953"/>
      <c r="ECJ81" s="953"/>
      <c r="ECK81" s="953"/>
      <c r="ECL81" s="953"/>
      <c r="ECM81" s="953"/>
      <c r="ECN81" s="953"/>
      <c r="ECO81" s="953"/>
      <c r="ECP81" s="953"/>
      <c r="ECQ81" s="953"/>
      <c r="ECR81" s="953"/>
      <c r="ECS81" s="953"/>
      <c r="ECT81" s="953"/>
      <c r="ECU81" s="953"/>
      <c r="ECV81" s="953"/>
      <c r="ECW81" s="953"/>
      <c r="ECX81" s="953"/>
      <c r="ECY81" s="953"/>
      <c r="ECZ81" s="953"/>
      <c r="EDA81" s="953"/>
      <c r="EDB81" s="953"/>
      <c r="EDC81" s="953"/>
      <c r="EDD81" s="953"/>
      <c r="EDE81" s="953"/>
      <c r="EDF81" s="953"/>
      <c r="EDG81" s="953"/>
      <c r="EDH81" s="953"/>
      <c r="EDI81" s="953"/>
      <c r="EDJ81" s="953"/>
      <c r="EDK81" s="953"/>
      <c r="EDL81" s="953"/>
      <c r="EDM81" s="953"/>
      <c r="EDN81" s="953"/>
      <c r="EDO81" s="953"/>
      <c r="EDP81" s="953"/>
      <c r="EDQ81" s="953"/>
      <c r="EDR81" s="953"/>
      <c r="EDS81" s="953"/>
      <c r="EDT81" s="953"/>
      <c r="EDU81" s="953"/>
      <c r="EDV81" s="953"/>
      <c r="EDW81" s="953"/>
      <c r="EDX81" s="953"/>
      <c r="EDY81" s="953"/>
      <c r="EDZ81" s="953"/>
      <c r="EEA81" s="953"/>
      <c r="EEB81" s="953"/>
      <c r="EEC81" s="953"/>
      <c r="EED81" s="953"/>
      <c r="EEE81" s="953"/>
      <c r="EEF81" s="953"/>
      <c r="EEG81" s="953"/>
      <c r="EEH81" s="953"/>
      <c r="EEI81" s="953"/>
      <c r="EEJ81" s="953"/>
      <c r="EEK81" s="953"/>
      <c r="EEL81" s="953"/>
      <c r="EEM81" s="953"/>
      <c r="EEN81" s="953"/>
      <c r="EEO81" s="953"/>
      <c r="EEP81" s="953"/>
      <c r="EEQ81" s="953"/>
      <c r="EER81" s="953"/>
      <c r="EES81" s="953"/>
      <c r="EET81" s="953"/>
      <c r="EEU81" s="953"/>
      <c r="EEV81" s="953"/>
      <c r="EEW81" s="953"/>
      <c r="EEX81" s="953"/>
      <c r="EEY81" s="953"/>
      <c r="EEZ81" s="953"/>
      <c r="EFA81" s="953"/>
      <c r="EFB81" s="953"/>
      <c r="EFC81" s="953"/>
      <c r="EFD81" s="953"/>
      <c r="EFE81" s="953"/>
      <c r="EFF81" s="953"/>
      <c r="EFG81" s="953"/>
      <c r="EFH81" s="953"/>
      <c r="EFI81" s="953"/>
      <c r="EFJ81" s="953"/>
      <c r="EFK81" s="953"/>
      <c r="EFL81" s="953"/>
      <c r="EFM81" s="953"/>
      <c r="EFN81" s="953"/>
      <c r="EFO81" s="953"/>
      <c r="EFP81" s="953"/>
      <c r="EFQ81" s="953"/>
      <c r="EFR81" s="953"/>
      <c r="EFS81" s="953"/>
      <c r="EFT81" s="953"/>
      <c r="EFU81" s="953"/>
      <c r="EFV81" s="953"/>
      <c r="EFW81" s="953"/>
      <c r="EFX81" s="953"/>
      <c r="EFY81" s="953"/>
      <c r="EFZ81" s="953"/>
      <c r="EGA81" s="953"/>
      <c r="EGB81" s="953"/>
      <c r="EGC81" s="953"/>
      <c r="EGD81" s="953"/>
      <c r="EGE81" s="953"/>
      <c r="EGF81" s="953"/>
      <c r="EGG81" s="953"/>
      <c r="EGH81" s="953"/>
      <c r="EGI81" s="953"/>
      <c r="EGJ81" s="953"/>
      <c r="EGK81" s="953"/>
      <c r="EGL81" s="953"/>
      <c r="EGM81" s="953"/>
      <c r="EGN81" s="953"/>
      <c r="EGO81" s="953"/>
      <c r="EGP81" s="953"/>
      <c r="EGQ81" s="953"/>
      <c r="EGR81" s="953"/>
      <c r="EGS81" s="953"/>
      <c r="EGT81" s="953"/>
      <c r="EGU81" s="953"/>
      <c r="EGV81" s="953"/>
      <c r="EGW81" s="953"/>
      <c r="EGX81" s="953"/>
      <c r="EGY81" s="953"/>
      <c r="EGZ81" s="953"/>
      <c r="EHA81" s="953"/>
      <c r="EHB81" s="953"/>
      <c r="EHC81" s="953"/>
      <c r="EHD81" s="953"/>
      <c r="EHE81" s="953"/>
      <c r="EHF81" s="953"/>
      <c r="EHG81" s="953"/>
      <c r="EHH81" s="953"/>
      <c r="EHI81" s="953"/>
      <c r="EHJ81" s="953"/>
      <c r="EHK81" s="953"/>
      <c r="EHL81" s="953"/>
      <c r="EHM81" s="953"/>
      <c r="EHN81" s="953"/>
      <c r="EHO81" s="953"/>
      <c r="EHP81" s="953"/>
      <c r="EHQ81" s="953"/>
      <c r="EHR81" s="953"/>
      <c r="EHS81" s="953"/>
      <c r="EHT81" s="953"/>
      <c r="EHU81" s="953"/>
      <c r="EHV81" s="953"/>
      <c r="EHW81" s="953"/>
      <c r="EHX81" s="953"/>
      <c r="EHY81" s="953"/>
      <c r="EHZ81" s="953"/>
      <c r="EIA81" s="953"/>
      <c r="EIB81" s="953"/>
      <c r="EIC81" s="953"/>
      <c r="EID81" s="953"/>
      <c r="EIE81" s="953"/>
      <c r="EIF81" s="953"/>
      <c r="EIG81" s="953"/>
      <c r="EIH81" s="953"/>
      <c r="EII81" s="953"/>
      <c r="EIJ81" s="953"/>
      <c r="EIK81" s="953"/>
      <c r="EIL81" s="953"/>
      <c r="EIM81" s="953"/>
      <c r="EIN81" s="953"/>
      <c r="EIO81" s="953"/>
      <c r="EIP81" s="953"/>
      <c r="EIQ81" s="953"/>
      <c r="EIR81" s="953"/>
      <c r="EIS81" s="953"/>
      <c r="EIT81" s="953"/>
      <c r="EIU81" s="953"/>
      <c r="EIV81" s="953"/>
      <c r="EIW81" s="953"/>
      <c r="EIX81" s="953"/>
      <c r="EIY81" s="953"/>
      <c r="EIZ81" s="953"/>
      <c r="EJA81" s="953"/>
      <c r="EJB81" s="953"/>
      <c r="EJC81" s="953"/>
      <c r="EJD81" s="953"/>
      <c r="EJE81" s="953"/>
      <c r="EJF81" s="953"/>
      <c r="EJG81" s="953"/>
      <c r="EJH81" s="953"/>
      <c r="EJI81" s="953"/>
      <c r="EJJ81" s="953"/>
      <c r="EJK81" s="953"/>
      <c r="EJL81" s="953"/>
      <c r="EJM81" s="953"/>
      <c r="EJN81" s="953"/>
      <c r="EJO81" s="953"/>
      <c r="EJP81" s="953"/>
      <c r="EJQ81" s="953"/>
      <c r="EJR81" s="953"/>
      <c r="EJS81" s="953"/>
      <c r="EJT81" s="953"/>
      <c r="EJU81" s="953"/>
      <c r="EJV81" s="953"/>
      <c r="EJW81" s="953"/>
      <c r="EJX81" s="953"/>
      <c r="EJY81" s="953"/>
      <c r="EJZ81" s="953"/>
      <c r="EKA81" s="953"/>
      <c r="EKB81" s="953"/>
      <c r="EKC81" s="953"/>
      <c r="EKD81" s="953"/>
      <c r="EKE81" s="953"/>
      <c r="EKF81" s="953"/>
      <c r="EKG81" s="953"/>
      <c r="EKH81" s="953"/>
      <c r="EKI81" s="953"/>
      <c r="EKJ81" s="953"/>
      <c r="EKK81" s="953"/>
      <c r="EKL81" s="953"/>
      <c r="EKM81" s="953"/>
      <c r="EKN81" s="953"/>
      <c r="EKO81" s="953"/>
      <c r="EKP81" s="953"/>
      <c r="EKQ81" s="953"/>
      <c r="EKR81" s="953"/>
      <c r="EKS81" s="953"/>
      <c r="EKT81" s="953"/>
      <c r="EKU81" s="953"/>
      <c r="EKV81" s="953"/>
      <c r="EKW81" s="953"/>
      <c r="EKX81" s="953"/>
      <c r="EKY81" s="953"/>
      <c r="EKZ81" s="953"/>
      <c r="ELA81" s="953"/>
      <c r="ELB81" s="953"/>
      <c r="ELC81" s="953"/>
      <c r="ELD81" s="953"/>
      <c r="ELE81" s="953"/>
      <c r="ELF81" s="953"/>
      <c r="ELG81" s="953"/>
      <c r="ELH81" s="953"/>
      <c r="ELI81" s="953"/>
      <c r="ELJ81" s="953"/>
      <c r="ELK81" s="953"/>
      <c r="ELL81" s="953"/>
      <c r="ELM81" s="953"/>
      <c r="ELN81" s="953"/>
      <c r="ELO81" s="953"/>
      <c r="ELP81" s="953"/>
      <c r="ELQ81" s="953"/>
      <c r="ELR81" s="953"/>
      <c r="ELS81" s="953"/>
      <c r="ELT81" s="953"/>
      <c r="ELU81" s="953"/>
      <c r="ELV81" s="953"/>
      <c r="ELW81" s="953"/>
      <c r="ELX81" s="953"/>
      <c r="ELY81" s="953"/>
      <c r="ELZ81" s="953"/>
      <c r="EMA81" s="953"/>
      <c r="EMB81" s="953"/>
      <c r="EMC81" s="953"/>
      <c r="EMD81" s="953"/>
      <c r="EME81" s="953"/>
      <c r="EMF81" s="953"/>
      <c r="EMG81" s="953"/>
      <c r="EMH81" s="953"/>
      <c r="EMI81" s="953"/>
      <c r="EMJ81" s="953"/>
      <c r="EMK81" s="953"/>
      <c r="EML81" s="953"/>
      <c r="EMM81" s="953"/>
      <c r="EMN81" s="953"/>
      <c r="EMO81" s="953"/>
      <c r="EMP81" s="953"/>
      <c r="EMQ81" s="953"/>
      <c r="EMR81" s="953"/>
      <c r="EMS81" s="953"/>
      <c r="EMT81" s="953"/>
      <c r="EMU81" s="953"/>
      <c r="EMV81" s="953"/>
      <c r="EMW81" s="953"/>
      <c r="EMX81" s="953"/>
      <c r="EMY81" s="953"/>
      <c r="EMZ81" s="953"/>
      <c r="ENA81" s="953"/>
      <c r="ENB81" s="953"/>
      <c r="ENC81" s="953"/>
      <c r="END81" s="953"/>
      <c r="ENE81" s="953"/>
      <c r="ENF81" s="953"/>
      <c r="ENG81" s="953"/>
      <c r="ENH81" s="953"/>
      <c r="ENI81" s="953"/>
      <c r="ENJ81" s="953"/>
      <c r="ENK81" s="953"/>
      <c r="ENL81" s="953"/>
      <c r="ENM81" s="953"/>
      <c r="ENN81" s="953"/>
      <c r="ENO81" s="953"/>
      <c r="ENP81" s="953"/>
      <c r="ENQ81" s="953"/>
      <c r="ENR81" s="953"/>
      <c r="ENS81" s="953"/>
      <c r="ENT81" s="953"/>
      <c r="ENU81" s="953"/>
      <c r="ENV81" s="953"/>
      <c r="ENW81" s="953"/>
      <c r="ENX81" s="953"/>
      <c r="ENY81" s="953"/>
      <c r="ENZ81" s="953"/>
      <c r="EOA81" s="953"/>
      <c r="EOB81" s="953"/>
      <c r="EOC81" s="953"/>
      <c r="EOD81" s="953"/>
      <c r="EOE81" s="953"/>
      <c r="EOF81" s="953"/>
      <c r="EOG81" s="953"/>
      <c r="EOH81" s="953"/>
      <c r="EOI81" s="953"/>
      <c r="EOJ81" s="953"/>
      <c r="EOK81" s="953"/>
      <c r="EOL81" s="953"/>
      <c r="EOM81" s="953"/>
      <c r="EON81" s="953"/>
      <c r="EOO81" s="953"/>
      <c r="EOP81" s="953"/>
      <c r="EOQ81" s="953"/>
      <c r="EOR81" s="953"/>
      <c r="EOS81" s="953"/>
      <c r="EOT81" s="953"/>
      <c r="EOU81" s="953"/>
      <c r="EOV81" s="953"/>
      <c r="EOW81" s="953"/>
      <c r="EOX81" s="953"/>
      <c r="EOY81" s="953"/>
      <c r="EOZ81" s="953"/>
      <c r="EPA81" s="953"/>
      <c r="EPB81" s="953"/>
      <c r="EPC81" s="953"/>
      <c r="EPD81" s="953"/>
      <c r="EPE81" s="953"/>
      <c r="EPF81" s="953"/>
      <c r="EPG81" s="953"/>
      <c r="EPH81" s="953"/>
      <c r="EPI81" s="953"/>
      <c r="EPJ81" s="953"/>
      <c r="EPK81" s="953"/>
      <c r="EPL81" s="953"/>
      <c r="EPM81" s="953"/>
      <c r="EPN81" s="953"/>
      <c r="EPO81" s="953"/>
      <c r="EPP81" s="953"/>
      <c r="EPQ81" s="953"/>
      <c r="EPR81" s="953"/>
      <c r="EPS81" s="953"/>
      <c r="EPT81" s="953"/>
      <c r="EPU81" s="953"/>
      <c r="EPV81" s="953"/>
      <c r="EPW81" s="953"/>
      <c r="EPX81" s="953"/>
      <c r="EPY81" s="953"/>
      <c r="EPZ81" s="953"/>
      <c r="EQA81" s="953"/>
      <c r="EQB81" s="953"/>
      <c r="EQC81" s="953"/>
      <c r="EQD81" s="953"/>
      <c r="EQE81" s="953"/>
      <c r="EQF81" s="953"/>
      <c r="EQG81" s="953"/>
      <c r="EQH81" s="953"/>
      <c r="EQI81" s="953"/>
      <c r="EQJ81" s="953"/>
      <c r="EQK81" s="953"/>
      <c r="EQL81" s="953"/>
      <c r="EQM81" s="953"/>
      <c r="EQN81" s="953"/>
      <c r="EQO81" s="953"/>
      <c r="EQP81" s="953"/>
      <c r="EQQ81" s="953"/>
      <c r="EQR81" s="953"/>
      <c r="EQS81" s="953"/>
      <c r="EQT81" s="953"/>
      <c r="EQU81" s="953"/>
      <c r="EQV81" s="953"/>
      <c r="EQW81" s="953"/>
      <c r="EQX81" s="953"/>
      <c r="EQY81" s="953"/>
      <c r="EQZ81" s="953"/>
      <c r="ERA81" s="953"/>
      <c r="ERB81" s="953"/>
      <c r="ERC81" s="953"/>
      <c r="ERD81" s="953"/>
      <c r="ERE81" s="953"/>
      <c r="ERF81" s="953"/>
      <c r="ERG81" s="953"/>
      <c r="ERH81" s="953"/>
      <c r="ERI81" s="953"/>
      <c r="ERJ81" s="953"/>
      <c r="ERK81" s="953"/>
      <c r="ERL81" s="953"/>
      <c r="ERM81" s="953"/>
      <c r="ERN81" s="953"/>
      <c r="ERO81" s="953"/>
      <c r="ERP81" s="953"/>
      <c r="ERQ81" s="953"/>
      <c r="ERR81" s="953"/>
      <c r="ERS81" s="953"/>
      <c r="ERT81" s="953"/>
      <c r="ERU81" s="953"/>
      <c r="ERV81" s="953"/>
      <c r="ERW81" s="953"/>
      <c r="ERX81" s="953"/>
      <c r="ERY81" s="953"/>
      <c r="ERZ81" s="953"/>
      <c r="ESA81" s="953"/>
      <c r="ESB81" s="953"/>
      <c r="ESC81" s="953"/>
      <c r="ESD81" s="953"/>
      <c r="ESE81" s="953"/>
      <c r="ESF81" s="953"/>
      <c r="ESG81" s="953"/>
      <c r="ESH81" s="953"/>
      <c r="ESI81" s="953"/>
      <c r="ESJ81" s="953"/>
      <c r="ESK81" s="953"/>
      <c r="ESL81" s="953"/>
      <c r="ESM81" s="953"/>
      <c r="ESN81" s="953"/>
      <c r="ESO81" s="953"/>
      <c r="ESP81" s="953"/>
      <c r="ESQ81" s="953"/>
      <c r="ESR81" s="953"/>
      <c r="ESS81" s="953"/>
      <c r="EST81" s="953"/>
      <c r="ESU81" s="953"/>
      <c r="ESV81" s="953"/>
      <c r="ESW81" s="953"/>
      <c r="ESX81" s="953"/>
      <c r="ESY81" s="953"/>
      <c r="ESZ81" s="953"/>
      <c r="ETA81" s="953"/>
      <c r="ETB81" s="953"/>
      <c r="ETC81" s="953"/>
      <c r="ETD81" s="953"/>
      <c r="ETE81" s="953"/>
      <c r="ETF81" s="953"/>
      <c r="ETG81" s="953"/>
      <c r="ETH81" s="953"/>
      <c r="ETI81" s="953"/>
      <c r="ETJ81" s="953"/>
      <c r="ETK81" s="953"/>
      <c r="ETL81" s="953"/>
      <c r="ETM81" s="953"/>
      <c r="ETN81" s="953"/>
      <c r="ETO81" s="953"/>
      <c r="ETP81" s="953"/>
      <c r="ETQ81" s="953"/>
      <c r="ETR81" s="953"/>
      <c r="ETS81" s="953"/>
      <c r="ETT81" s="953"/>
      <c r="ETU81" s="953"/>
      <c r="ETV81" s="953"/>
      <c r="ETW81" s="953"/>
      <c r="ETX81" s="953"/>
      <c r="ETY81" s="953"/>
      <c r="ETZ81" s="953"/>
      <c r="EUA81" s="953"/>
      <c r="EUB81" s="953"/>
      <c r="EUC81" s="953"/>
      <c r="EUD81" s="953"/>
      <c r="EUE81" s="953"/>
      <c r="EUF81" s="953"/>
      <c r="EUG81" s="953"/>
      <c r="EUH81" s="953"/>
      <c r="EUI81" s="953"/>
      <c r="EUJ81" s="953"/>
      <c r="EUK81" s="953"/>
      <c r="EUL81" s="953"/>
      <c r="EUM81" s="953"/>
      <c r="EUN81" s="953"/>
      <c r="EUO81" s="953"/>
      <c r="EUP81" s="953"/>
      <c r="EUQ81" s="953"/>
      <c r="EUR81" s="953"/>
      <c r="EUS81" s="953"/>
      <c r="EUT81" s="953"/>
      <c r="EUU81" s="953"/>
      <c r="EUV81" s="953"/>
      <c r="EUW81" s="953"/>
      <c r="EUX81" s="953"/>
      <c r="EUY81" s="953"/>
      <c r="EUZ81" s="953"/>
      <c r="EVA81" s="953"/>
      <c r="EVB81" s="953"/>
      <c r="EVC81" s="953"/>
      <c r="EVD81" s="953"/>
      <c r="EVE81" s="953"/>
      <c r="EVF81" s="953"/>
      <c r="EVG81" s="953"/>
      <c r="EVH81" s="953"/>
      <c r="EVI81" s="953"/>
      <c r="EVJ81" s="953"/>
      <c r="EVK81" s="953"/>
      <c r="EVL81" s="953"/>
      <c r="EVM81" s="953"/>
      <c r="EVN81" s="953"/>
      <c r="EVO81" s="953"/>
      <c r="EVP81" s="953"/>
      <c r="EVQ81" s="953"/>
      <c r="EVR81" s="953"/>
      <c r="EVS81" s="953"/>
      <c r="EVT81" s="953"/>
      <c r="EVU81" s="953"/>
      <c r="EVV81" s="953"/>
      <c r="EVW81" s="953"/>
      <c r="EVX81" s="953"/>
      <c r="EVY81" s="953"/>
      <c r="EVZ81" s="953"/>
      <c r="EWA81" s="953"/>
      <c r="EWB81" s="953"/>
      <c r="EWC81" s="953"/>
      <c r="EWD81" s="953"/>
      <c r="EWE81" s="953"/>
      <c r="EWF81" s="953"/>
      <c r="EWG81" s="953"/>
      <c r="EWH81" s="953"/>
      <c r="EWI81" s="953"/>
      <c r="EWJ81" s="953"/>
      <c r="EWK81" s="953"/>
      <c r="EWL81" s="953"/>
      <c r="EWM81" s="953"/>
      <c r="EWN81" s="953"/>
      <c r="EWO81" s="953"/>
      <c r="EWP81" s="953"/>
      <c r="EWQ81" s="953"/>
      <c r="EWR81" s="953"/>
      <c r="EWS81" s="953"/>
      <c r="EWT81" s="953"/>
      <c r="EWU81" s="953"/>
      <c r="EWV81" s="953"/>
      <c r="EWW81" s="953"/>
      <c r="EWX81" s="953"/>
      <c r="EWY81" s="953"/>
      <c r="EWZ81" s="953"/>
      <c r="EXA81" s="953"/>
      <c r="EXB81" s="953"/>
      <c r="EXC81" s="953"/>
      <c r="EXD81" s="953"/>
      <c r="EXE81" s="953"/>
      <c r="EXF81" s="953"/>
      <c r="EXG81" s="953"/>
      <c r="EXH81" s="953"/>
      <c r="EXI81" s="953"/>
      <c r="EXJ81" s="953"/>
      <c r="EXK81" s="953"/>
      <c r="EXL81" s="953"/>
      <c r="EXM81" s="953"/>
      <c r="EXN81" s="953"/>
      <c r="EXO81" s="953"/>
      <c r="EXP81" s="953"/>
      <c r="EXQ81" s="953"/>
      <c r="EXR81" s="953"/>
      <c r="EXS81" s="953"/>
      <c r="EXT81" s="953"/>
      <c r="EXU81" s="953"/>
      <c r="EXV81" s="953"/>
      <c r="EXW81" s="953"/>
      <c r="EXX81" s="953"/>
      <c r="EXY81" s="953"/>
      <c r="EXZ81" s="953"/>
      <c r="EYA81" s="953"/>
      <c r="EYB81" s="953"/>
      <c r="EYC81" s="953"/>
      <c r="EYD81" s="953"/>
      <c r="EYE81" s="953"/>
      <c r="EYF81" s="953"/>
      <c r="EYG81" s="953"/>
      <c r="EYH81" s="953"/>
      <c r="EYI81" s="953"/>
      <c r="EYJ81" s="953"/>
      <c r="EYK81" s="953"/>
      <c r="EYL81" s="953"/>
      <c r="EYM81" s="953"/>
      <c r="EYN81" s="953"/>
      <c r="EYO81" s="953"/>
      <c r="EYP81" s="953"/>
      <c r="EYQ81" s="953"/>
      <c r="EYR81" s="953"/>
      <c r="EYS81" s="953"/>
      <c r="EYT81" s="953"/>
      <c r="EYU81" s="953"/>
      <c r="EYV81" s="953"/>
      <c r="EYW81" s="953"/>
      <c r="EYX81" s="953"/>
      <c r="EYY81" s="953"/>
      <c r="EYZ81" s="953"/>
      <c r="EZA81" s="953"/>
      <c r="EZB81" s="953"/>
      <c r="EZC81" s="953"/>
      <c r="EZD81" s="953"/>
      <c r="EZE81" s="953"/>
      <c r="EZF81" s="953"/>
      <c r="EZG81" s="953"/>
      <c r="EZH81" s="953"/>
      <c r="EZI81" s="953"/>
      <c r="EZJ81" s="953"/>
      <c r="EZK81" s="953"/>
      <c r="EZL81" s="953"/>
      <c r="EZM81" s="953"/>
      <c r="EZN81" s="953"/>
      <c r="EZO81" s="953"/>
      <c r="EZP81" s="953"/>
      <c r="EZQ81" s="953"/>
      <c r="EZR81" s="953"/>
      <c r="EZS81" s="953"/>
      <c r="EZT81" s="953"/>
      <c r="EZU81" s="953"/>
      <c r="EZV81" s="953"/>
      <c r="EZW81" s="953"/>
      <c r="EZX81" s="953"/>
      <c r="EZY81" s="953"/>
      <c r="EZZ81" s="953"/>
      <c r="FAA81" s="953"/>
      <c r="FAB81" s="953"/>
      <c r="FAC81" s="953"/>
      <c r="FAD81" s="953"/>
      <c r="FAE81" s="953"/>
      <c r="FAF81" s="953"/>
      <c r="FAG81" s="953"/>
      <c r="FAH81" s="953"/>
      <c r="FAI81" s="953"/>
      <c r="FAJ81" s="953"/>
      <c r="FAK81" s="953"/>
      <c r="FAL81" s="953"/>
      <c r="FAM81" s="953"/>
      <c r="FAN81" s="953"/>
      <c r="FAO81" s="953"/>
      <c r="FAP81" s="953"/>
      <c r="FAQ81" s="953"/>
      <c r="FAR81" s="953"/>
      <c r="FAS81" s="953"/>
      <c r="FAT81" s="953"/>
      <c r="FAU81" s="953"/>
      <c r="FAV81" s="953"/>
      <c r="FAW81" s="953"/>
      <c r="FAX81" s="953"/>
      <c r="FAY81" s="953"/>
      <c r="FAZ81" s="953"/>
      <c r="FBA81" s="953"/>
      <c r="FBB81" s="953"/>
      <c r="FBC81" s="953"/>
      <c r="FBD81" s="953"/>
      <c r="FBE81" s="953"/>
      <c r="FBF81" s="953"/>
      <c r="FBG81" s="953"/>
      <c r="FBH81" s="953"/>
      <c r="FBI81" s="953"/>
      <c r="FBJ81" s="953"/>
      <c r="FBK81" s="953"/>
      <c r="FBL81" s="953"/>
      <c r="FBM81" s="953"/>
      <c r="FBN81" s="953"/>
      <c r="FBO81" s="953"/>
      <c r="FBP81" s="953"/>
      <c r="FBQ81" s="953"/>
      <c r="FBR81" s="953"/>
      <c r="FBS81" s="953"/>
      <c r="FBT81" s="953"/>
      <c r="FBU81" s="953"/>
      <c r="FBV81" s="953"/>
      <c r="FBW81" s="953"/>
      <c r="FBX81" s="953"/>
      <c r="FBY81" s="953"/>
      <c r="FBZ81" s="953"/>
      <c r="FCA81" s="953"/>
      <c r="FCB81" s="953"/>
      <c r="FCC81" s="953"/>
      <c r="FCD81" s="953"/>
      <c r="FCE81" s="953"/>
      <c r="FCF81" s="953"/>
      <c r="FCG81" s="953"/>
      <c r="FCH81" s="953"/>
      <c r="FCI81" s="953"/>
      <c r="FCJ81" s="953"/>
      <c r="FCK81" s="953"/>
      <c r="FCL81" s="953"/>
      <c r="FCM81" s="953"/>
      <c r="FCN81" s="953"/>
      <c r="FCO81" s="953"/>
      <c r="FCP81" s="953"/>
      <c r="FCQ81" s="953"/>
      <c r="FCR81" s="953"/>
      <c r="FCS81" s="953"/>
      <c r="FCT81" s="953"/>
      <c r="FCU81" s="953"/>
      <c r="FCV81" s="953"/>
      <c r="FCW81" s="953"/>
      <c r="FCX81" s="953"/>
      <c r="FCY81" s="953"/>
      <c r="FCZ81" s="953"/>
      <c r="FDA81" s="953"/>
      <c r="FDB81" s="953"/>
      <c r="FDC81" s="953"/>
      <c r="FDD81" s="953"/>
      <c r="FDE81" s="953"/>
      <c r="FDF81" s="953"/>
      <c r="FDG81" s="953"/>
      <c r="FDH81" s="953"/>
      <c r="FDI81" s="953"/>
      <c r="FDJ81" s="953"/>
      <c r="FDK81" s="953"/>
      <c r="FDL81" s="953"/>
      <c r="FDM81" s="953"/>
      <c r="FDN81" s="953"/>
      <c r="FDO81" s="953"/>
      <c r="FDP81" s="953"/>
      <c r="FDQ81" s="953"/>
      <c r="FDR81" s="953"/>
      <c r="FDS81" s="953"/>
      <c r="FDT81" s="953"/>
      <c r="FDU81" s="953"/>
      <c r="FDV81" s="953"/>
      <c r="FDW81" s="953"/>
      <c r="FDX81" s="953"/>
      <c r="FDY81" s="953"/>
      <c r="FDZ81" s="953"/>
      <c r="FEA81" s="953"/>
      <c r="FEB81" s="953"/>
      <c r="FEC81" s="953"/>
      <c r="FED81" s="953"/>
      <c r="FEE81" s="953"/>
      <c r="FEF81" s="953"/>
      <c r="FEG81" s="953"/>
      <c r="FEH81" s="953"/>
      <c r="FEI81" s="953"/>
      <c r="FEJ81" s="953"/>
      <c r="FEK81" s="953"/>
      <c r="FEL81" s="953"/>
      <c r="FEM81" s="953"/>
      <c r="FEN81" s="953"/>
      <c r="FEO81" s="953"/>
      <c r="FEP81" s="953"/>
      <c r="FEQ81" s="953"/>
      <c r="FER81" s="953"/>
      <c r="FES81" s="953"/>
      <c r="FET81" s="953"/>
      <c r="FEU81" s="953"/>
      <c r="FEV81" s="953"/>
      <c r="FEW81" s="953"/>
      <c r="FEX81" s="953"/>
      <c r="FEY81" s="953"/>
      <c r="FEZ81" s="953"/>
      <c r="FFA81" s="953"/>
      <c r="FFB81" s="953"/>
      <c r="FFC81" s="953"/>
      <c r="FFD81" s="953"/>
      <c r="FFE81" s="953"/>
      <c r="FFF81" s="953"/>
      <c r="FFG81" s="953"/>
      <c r="FFH81" s="953"/>
      <c r="FFI81" s="953"/>
      <c r="FFJ81" s="953"/>
      <c r="FFK81" s="953"/>
      <c r="FFL81" s="953"/>
      <c r="FFM81" s="953"/>
      <c r="FFN81" s="953"/>
      <c r="FFO81" s="953"/>
      <c r="FFP81" s="953"/>
      <c r="FFQ81" s="953"/>
      <c r="FFR81" s="953"/>
      <c r="FFS81" s="953"/>
      <c r="FFT81" s="953"/>
      <c r="FFU81" s="953"/>
      <c r="FFV81" s="953"/>
      <c r="FFW81" s="953"/>
      <c r="FFX81" s="953"/>
      <c r="FFY81" s="953"/>
      <c r="FFZ81" s="953"/>
      <c r="FGA81" s="953"/>
      <c r="FGB81" s="953"/>
      <c r="FGC81" s="953"/>
      <c r="FGD81" s="953"/>
      <c r="FGE81" s="953"/>
      <c r="FGF81" s="953"/>
      <c r="FGG81" s="953"/>
      <c r="FGH81" s="953"/>
      <c r="FGI81" s="953"/>
      <c r="FGJ81" s="953"/>
      <c r="FGK81" s="953"/>
      <c r="FGL81" s="953"/>
      <c r="FGM81" s="953"/>
      <c r="FGN81" s="953"/>
      <c r="FGO81" s="953"/>
      <c r="FGP81" s="953"/>
      <c r="FGQ81" s="953"/>
      <c r="FGR81" s="953"/>
      <c r="FGS81" s="953"/>
      <c r="FGT81" s="953"/>
      <c r="FGU81" s="953"/>
      <c r="FGV81" s="953"/>
      <c r="FGW81" s="953"/>
      <c r="FGX81" s="953"/>
      <c r="FGY81" s="953"/>
      <c r="FGZ81" s="953"/>
      <c r="FHA81" s="953"/>
      <c r="FHB81" s="953"/>
      <c r="FHC81" s="953"/>
      <c r="FHD81" s="953"/>
      <c r="FHE81" s="953"/>
      <c r="FHF81" s="953"/>
      <c r="FHG81" s="953"/>
      <c r="FHH81" s="953"/>
      <c r="FHI81" s="953"/>
      <c r="FHJ81" s="953"/>
      <c r="FHK81" s="953"/>
      <c r="FHL81" s="953"/>
      <c r="FHM81" s="953"/>
      <c r="FHN81" s="953"/>
      <c r="FHO81" s="953"/>
      <c r="FHP81" s="953"/>
      <c r="FHQ81" s="953"/>
      <c r="FHR81" s="953"/>
      <c r="FHS81" s="953"/>
      <c r="FHT81" s="953"/>
      <c r="FHU81" s="953"/>
      <c r="FHV81" s="953"/>
      <c r="FHW81" s="953"/>
      <c r="FHX81" s="953"/>
      <c r="FHY81" s="953"/>
      <c r="FHZ81" s="953"/>
      <c r="FIA81" s="953"/>
      <c r="FIB81" s="953"/>
      <c r="FIC81" s="953"/>
      <c r="FID81" s="953"/>
      <c r="FIE81" s="953"/>
      <c r="FIF81" s="953"/>
      <c r="FIG81" s="953"/>
      <c r="FIH81" s="953"/>
      <c r="FII81" s="953"/>
      <c r="FIJ81" s="953"/>
      <c r="FIK81" s="953"/>
      <c r="FIL81" s="953"/>
      <c r="FIM81" s="953"/>
      <c r="FIN81" s="953"/>
      <c r="FIO81" s="953"/>
      <c r="FIP81" s="953"/>
      <c r="FIQ81" s="953"/>
      <c r="FIR81" s="953"/>
      <c r="FIS81" s="953"/>
      <c r="FIT81" s="953"/>
      <c r="FIU81" s="953"/>
      <c r="FIV81" s="953"/>
      <c r="FIW81" s="953"/>
      <c r="FIX81" s="953"/>
      <c r="FIY81" s="953"/>
      <c r="FIZ81" s="953"/>
      <c r="FJA81" s="953"/>
      <c r="FJB81" s="953"/>
      <c r="FJC81" s="953"/>
      <c r="FJD81" s="953"/>
      <c r="FJE81" s="953"/>
      <c r="FJF81" s="953"/>
      <c r="FJG81" s="953"/>
      <c r="FJH81" s="953"/>
      <c r="FJI81" s="953"/>
      <c r="FJJ81" s="953"/>
      <c r="FJK81" s="953"/>
      <c r="FJL81" s="953"/>
      <c r="FJM81" s="953"/>
      <c r="FJN81" s="953"/>
      <c r="FJO81" s="953"/>
      <c r="FJP81" s="953"/>
      <c r="FJQ81" s="953"/>
      <c r="FJR81" s="953"/>
      <c r="FJS81" s="953"/>
      <c r="FJT81" s="953"/>
      <c r="FJU81" s="953"/>
      <c r="FJV81" s="953"/>
      <c r="FJW81" s="953"/>
      <c r="FJX81" s="953"/>
      <c r="FJY81" s="953"/>
      <c r="FJZ81" s="953"/>
      <c r="FKA81" s="953"/>
      <c r="FKB81" s="953"/>
      <c r="FKC81" s="953"/>
      <c r="FKD81" s="953"/>
      <c r="FKE81" s="953"/>
      <c r="FKF81" s="953"/>
      <c r="FKG81" s="953"/>
      <c r="FKH81" s="953"/>
      <c r="FKI81" s="953"/>
      <c r="FKJ81" s="953"/>
      <c r="FKK81" s="953"/>
      <c r="FKL81" s="953"/>
      <c r="FKM81" s="953"/>
      <c r="FKN81" s="953"/>
      <c r="FKO81" s="953"/>
      <c r="FKP81" s="953"/>
      <c r="FKQ81" s="953"/>
      <c r="FKR81" s="953"/>
      <c r="FKS81" s="953"/>
      <c r="FKT81" s="953"/>
      <c r="FKU81" s="953"/>
      <c r="FKV81" s="953"/>
      <c r="FKW81" s="953"/>
      <c r="FKX81" s="953"/>
      <c r="FKY81" s="953"/>
      <c r="FKZ81" s="953"/>
      <c r="FLA81" s="953"/>
      <c r="FLB81" s="953"/>
      <c r="FLC81" s="953"/>
      <c r="FLD81" s="953"/>
      <c r="FLE81" s="953"/>
      <c r="FLF81" s="953"/>
      <c r="FLG81" s="953"/>
      <c r="FLH81" s="953"/>
      <c r="FLI81" s="953"/>
      <c r="FLJ81" s="953"/>
      <c r="FLK81" s="953"/>
      <c r="FLL81" s="953"/>
      <c r="FLM81" s="953"/>
      <c r="FLN81" s="953"/>
      <c r="FLO81" s="953"/>
      <c r="FLP81" s="953"/>
      <c r="FLQ81" s="953"/>
      <c r="FLR81" s="953"/>
      <c r="FLS81" s="953"/>
      <c r="FLT81" s="953"/>
      <c r="FLU81" s="953"/>
      <c r="FLV81" s="953"/>
      <c r="FLW81" s="953"/>
      <c r="FLX81" s="953"/>
      <c r="FLY81" s="953"/>
      <c r="FLZ81" s="953"/>
      <c r="FMA81" s="953"/>
      <c r="FMB81" s="953"/>
      <c r="FMC81" s="953"/>
      <c r="FMD81" s="953"/>
      <c r="FME81" s="953"/>
      <c r="FMF81" s="953"/>
      <c r="FMG81" s="953"/>
      <c r="FMH81" s="953"/>
      <c r="FMI81" s="953"/>
      <c r="FMJ81" s="953"/>
      <c r="FMK81" s="953"/>
      <c r="FML81" s="953"/>
      <c r="FMM81" s="953"/>
      <c r="FMN81" s="953"/>
      <c r="FMO81" s="953"/>
      <c r="FMP81" s="953"/>
      <c r="FMQ81" s="953"/>
      <c r="FMR81" s="953"/>
      <c r="FMS81" s="953"/>
      <c r="FMT81" s="953"/>
      <c r="FMU81" s="953"/>
      <c r="FMV81" s="953"/>
      <c r="FMW81" s="953"/>
      <c r="FMX81" s="953"/>
      <c r="FMY81" s="953"/>
      <c r="FMZ81" s="953"/>
      <c r="FNA81" s="953"/>
      <c r="FNB81" s="953"/>
      <c r="FNC81" s="953"/>
      <c r="FND81" s="953"/>
      <c r="FNE81" s="953"/>
      <c r="FNF81" s="953"/>
      <c r="FNG81" s="953"/>
      <c r="FNH81" s="953"/>
      <c r="FNI81" s="953"/>
      <c r="FNJ81" s="953"/>
      <c r="FNK81" s="953"/>
      <c r="FNL81" s="953"/>
      <c r="FNM81" s="953"/>
      <c r="FNN81" s="953"/>
      <c r="FNO81" s="953"/>
      <c r="FNP81" s="953"/>
      <c r="FNQ81" s="953"/>
      <c r="FNR81" s="953"/>
      <c r="FNS81" s="953"/>
      <c r="FNT81" s="953"/>
      <c r="FNU81" s="953"/>
      <c r="FNV81" s="953"/>
      <c r="FNW81" s="953"/>
      <c r="FNX81" s="953"/>
      <c r="FNY81" s="953"/>
      <c r="FNZ81" s="953"/>
      <c r="FOA81" s="953"/>
      <c r="FOB81" s="953"/>
      <c r="FOC81" s="953"/>
      <c r="FOD81" s="953"/>
      <c r="FOE81" s="953"/>
      <c r="FOF81" s="953"/>
      <c r="FOG81" s="953"/>
      <c r="FOH81" s="953"/>
      <c r="FOI81" s="953"/>
      <c r="FOJ81" s="953"/>
      <c r="FOK81" s="953"/>
      <c r="FOL81" s="953"/>
      <c r="FOM81" s="953"/>
      <c r="FON81" s="953"/>
      <c r="FOO81" s="953"/>
      <c r="FOP81" s="953"/>
      <c r="FOQ81" s="953"/>
      <c r="FOR81" s="953"/>
      <c r="FOS81" s="953"/>
      <c r="FOT81" s="953"/>
      <c r="FOU81" s="953"/>
      <c r="FOV81" s="953"/>
      <c r="FOW81" s="953"/>
      <c r="FOX81" s="953"/>
      <c r="FOY81" s="953"/>
      <c r="FOZ81" s="953"/>
      <c r="FPA81" s="953"/>
      <c r="FPB81" s="953"/>
      <c r="FPC81" s="953"/>
      <c r="FPD81" s="953"/>
      <c r="FPE81" s="953"/>
      <c r="FPF81" s="953"/>
      <c r="FPG81" s="953"/>
      <c r="FPH81" s="953"/>
      <c r="FPI81" s="953"/>
      <c r="FPJ81" s="953"/>
      <c r="FPK81" s="953"/>
      <c r="FPL81" s="953"/>
      <c r="FPM81" s="953"/>
      <c r="FPN81" s="953"/>
      <c r="FPO81" s="953"/>
      <c r="FPP81" s="953"/>
      <c r="FPQ81" s="953"/>
      <c r="FPR81" s="953"/>
      <c r="FPS81" s="953"/>
      <c r="FPT81" s="953"/>
      <c r="FPU81" s="953"/>
      <c r="FPV81" s="953"/>
      <c r="FPW81" s="953"/>
      <c r="FPX81" s="953"/>
      <c r="FPY81" s="953"/>
      <c r="FPZ81" s="953"/>
      <c r="FQA81" s="953"/>
      <c r="FQB81" s="953"/>
      <c r="FQC81" s="953"/>
      <c r="FQD81" s="953"/>
      <c r="FQE81" s="953"/>
      <c r="FQF81" s="953"/>
      <c r="FQG81" s="953"/>
      <c r="FQH81" s="953"/>
      <c r="FQI81" s="953"/>
      <c r="FQJ81" s="953"/>
      <c r="FQK81" s="953"/>
      <c r="FQL81" s="953"/>
      <c r="FQM81" s="953"/>
      <c r="FQN81" s="953"/>
      <c r="FQO81" s="953"/>
      <c r="FQP81" s="953"/>
      <c r="FQQ81" s="953"/>
      <c r="FQR81" s="953"/>
      <c r="FQS81" s="953"/>
      <c r="FQT81" s="953"/>
      <c r="FQU81" s="953"/>
      <c r="FQV81" s="953"/>
      <c r="FQW81" s="953"/>
      <c r="FQX81" s="953"/>
      <c r="FQY81" s="953"/>
      <c r="FQZ81" s="953"/>
      <c r="FRA81" s="953"/>
      <c r="FRB81" s="953"/>
      <c r="FRC81" s="953"/>
      <c r="FRD81" s="953"/>
      <c r="FRE81" s="953"/>
      <c r="FRF81" s="953"/>
      <c r="FRG81" s="953"/>
      <c r="FRH81" s="953"/>
      <c r="FRI81" s="953"/>
      <c r="FRJ81" s="953"/>
      <c r="FRK81" s="953"/>
      <c r="FRL81" s="953"/>
      <c r="FRM81" s="953"/>
      <c r="FRN81" s="953"/>
      <c r="FRO81" s="953"/>
      <c r="FRP81" s="953"/>
      <c r="FRQ81" s="953"/>
      <c r="FRR81" s="953"/>
      <c r="FRS81" s="953"/>
      <c r="FRT81" s="953"/>
      <c r="FRU81" s="953"/>
      <c r="FRV81" s="953"/>
      <c r="FRW81" s="953"/>
      <c r="FRX81" s="953"/>
      <c r="FRY81" s="953"/>
      <c r="FRZ81" s="953"/>
      <c r="FSA81" s="953"/>
      <c r="FSB81" s="953"/>
      <c r="FSC81" s="953"/>
      <c r="FSD81" s="953"/>
      <c r="FSE81" s="953"/>
      <c r="FSF81" s="953"/>
      <c r="FSG81" s="953"/>
      <c r="FSH81" s="953"/>
      <c r="FSI81" s="953"/>
      <c r="FSJ81" s="953"/>
      <c r="FSK81" s="953"/>
      <c r="FSL81" s="953"/>
      <c r="FSM81" s="953"/>
      <c r="FSN81" s="953"/>
      <c r="FSO81" s="953"/>
      <c r="FSP81" s="953"/>
      <c r="FSQ81" s="953"/>
      <c r="FSR81" s="953"/>
      <c r="FSS81" s="953"/>
      <c r="FST81" s="953"/>
      <c r="FSU81" s="953"/>
      <c r="FSV81" s="953"/>
      <c r="FSW81" s="953"/>
      <c r="FSX81" s="953"/>
      <c r="FSY81" s="953"/>
      <c r="FSZ81" s="953"/>
      <c r="FTA81" s="953"/>
      <c r="FTB81" s="953"/>
      <c r="FTC81" s="953"/>
      <c r="FTD81" s="953"/>
      <c r="FTE81" s="953"/>
      <c r="FTF81" s="953"/>
      <c r="FTG81" s="953"/>
      <c r="FTH81" s="953"/>
      <c r="FTI81" s="953"/>
      <c r="FTJ81" s="953"/>
      <c r="FTK81" s="953"/>
      <c r="FTL81" s="953"/>
      <c r="FTM81" s="953"/>
      <c r="FTN81" s="953"/>
      <c r="FTO81" s="953"/>
      <c r="FTP81" s="953"/>
      <c r="FTQ81" s="953"/>
      <c r="FTR81" s="953"/>
      <c r="FTS81" s="953"/>
      <c r="FTT81" s="953"/>
      <c r="FTU81" s="953"/>
      <c r="FTV81" s="953"/>
      <c r="FTW81" s="953"/>
      <c r="FTX81" s="953"/>
      <c r="FTY81" s="953"/>
      <c r="FTZ81" s="953"/>
      <c r="FUA81" s="953"/>
      <c r="FUB81" s="953"/>
      <c r="FUC81" s="953"/>
      <c r="FUD81" s="953"/>
      <c r="FUE81" s="953"/>
      <c r="FUF81" s="953"/>
      <c r="FUG81" s="953"/>
      <c r="FUH81" s="953"/>
      <c r="FUI81" s="953"/>
      <c r="FUJ81" s="953"/>
      <c r="FUK81" s="953"/>
      <c r="FUL81" s="953"/>
      <c r="FUM81" s="953"/>
      <c r="FUN81" s="953"/>
      <c r="FUO81" s="953"/>
      <c r="FUP81" s="953"/>
      <c r="FUQ81" s="953"/>
      <c r="FUR81" s="953"/>
      <c r="FUS81" s="953"/>
      <c r="FUT81" s="953"/>
      <c r="FUU81" s="953"/>
      <c r="FUV81" s="953"/>
      <c r="FUW81" s="953"/>
      <c r="FUX81" s="953"/>
      <c r="FUY81" s="953"/>
      <c r="FUZ81" s="953"/>
      <c r="FVA81" s="953"/>
      <c r="FVB81" s="953"/>
      <c r="FVC81" s="953"/>
      <c r="FVD81" s="953"/>
      <c r="FVE81" s="953"/>
      <c r="FVF81" s="953"/>
      <c r="FVG81" s="953"/>
      <c r="FVH81" s="953"/>
      <c r="FVI81" s="953"/>
      <c r="FVJ81" s="953"/>
      <c r="FVK81" s="953"/>
      <c r="FVL81" s="953"/>
      <c r="FVM81" s="953"/>
      <c r="FVN81" s="953"/>
      <c r="FVO81" s="953"/>
      <c r="FVP81" s="953"/>
      <c r="FVQ81" s="953"/>
      <c r="FVR81" s="953"/>
      <c r="FVS81" s="953"/>
      <c r="FVT81" s="953"/>
      <c r="FVU81" s="953"/>
      <c r="FVV81" s="953"/>
      <c r="FVW81" s="953"/>
      <c r="FVX81" s="953"/>
      <c r="FVY81" s="953"/>
      <c r="FVZ81" s="953"/>
      <c r="FWA81" s="953"/>
      <c r="FWB81" s="953"/>
      <c r="FWC81" s="953"/>
      <c r="FWD81" s="953"/>
      <c r="FWE81" s="953"/>
      <c r="FWF81" s="953"/>
      <c r="FWG81" s="953"/>
      <c r="FWH81" s="953"/>
      <c r="FWI81" s="953"/>
      <c r="FWJ81" s="953"/>
      <c r="FWK81" s="953"/>
      <c r="FWL81" s="953"/>
      <c r="FWM81" s="953"/>
      <c r="FWN81" s="953"/>
      <c r="FWO81" s="953"/>
      <c r="FWP81" s="953"/>
      <c r="FWQ81" s="953"/>
      <c r="FWR81" s="953"/>
      <c r="FWS81" s="953"/>
      <c r="FWT81" s="953"/>
      <c r="FWU81" s="953"/>
      <c r="FWV81" s="953"/>
      <c r="FWW81" s="953"/>
      <c r="FWX81" s="953"/>
      <c r="FWY81" s="953"/>
      <c r="FWZ81" s="953"/>
      <c r="FXA81" s="953"/>
      <c r="FXB81" s="953"/>
      <c r="FXC81" s="953"/>
      <c r="FXD81" s="953"/>
      <c r="FXE81" s="953"/>
      <c r="FXF81" s="953"/>
      <c r="FXG81" s="953"/>
      <c r="FXH81" s="953"/>
      <c r="FXI81" s="953"/>
      <c r="FXJ81" s="953"/>
      <c r="FXK81" s="953"/>
      <c r="FXL81" s="953"/>
      <c r="FXM81" s="953"/>
      <c r="FXN81" s="953"/>
      <c r="FXO81" s="953"/>
      <c r="FXP81" s="953"/>
      <c r="FXQ81" s="953"/>
      <c r="FXR81" s="953"/>
      <c r="FXS81" s="953"/>
      <c r="FXT81" s="953"/>
      <c r="FXU81" s="953"/>
      <c r="FXV81" s="953"/>
      <c r="FXW81" s="953"/>
      <c r="FXX81" s="953"/>
      <c r="FXY81" s="953"/>
      <c r="FXZ81" s="953"/>
      <c r="FYA81" s="953"/>
      <c r="FYB81" s="953"/>
      <c r="FYC81" s="953"/>
      <c r="FYD81" s="953"/>
      <c r="FYE81" s="953"/>
      <c r="FYF81" s="953"/>
      <c r="FYG81" s="953"/>
      <c r="FYH81" s="953"/>
      <c r="FYI81" s="953"/>
      <c r="FYJ81" s="953"/>
      <c r="FYK81" s="953"/>
      <c r="FYL81" s="953"/>
      <c r="FYM81" s="953"/>
      <c r="FYN81" s="953"/>
      <c r="FYO81" s="953"/>
      <c r="FYP81" s="953"/>
      <c r="FYQ81" s="953"/>
      <c r="FYR81" s="953"/>
      <c r="FYS81" s="953"/>
      <c r="FYT81" s="953"/>
      <c r="FYU81" s="953"/>
      <c r="FYV81" s="953"/>
      <c r="FYW81" s="953"/>
      <c r="FYX81" s="953"/>
      <c r="FYY81" s="953"/>
      <c r="FYZ81" s="953"/>
      <c r="FZA81" s="953"/>
      <c r="FZB81" s="953"/>
      <c r="FZC81" s="953"/>
      <c r="FZD81" s="953"/>
      <c r="FZE81" s="953"/>
      <c r="FZF81" s="953"/>
      <c r="FZG81" s="953"/>
      <c r="FZH81" s="953"/>
      <c r="FZI81" s="953"/>
      <c r="FZJ81" s="953"/>
      <c r="FZK81" s="953"/>
      <c r="FZL81" s="953"/>
      <c r="FZM81" s="953"/>
      <c r="FZN81" s="953"/>
      <c r="FZO81" s="953"/>
      <c r="FZP81" s="953"/>
      <c r="FZQ81" s="953"/>
      <c r="FZR81" s="953"/>
      <c r="FZS81" s="953"/>
      <c r="FZT81" s="953"/>
      <c r="FZU81" s="953"/>
      <c r="FZV81" s="953"/>
      <c r="FZW81" s="953"/>
      <c r="FZX81" s="953"/>
      <c r="FZY81" s="953"/>
      <c r="FZZ81" s="953"/>
      <c r="GAA81" s="953"/>
      <c r="GAB81" s="953"/>
      <c r="GAC81" s="953"/>
      <c r="GAD81" s="953"/>
      <c r="GAE81" s="953"/>
      <c r="GAF81" s="953"/>
      <c r="GAG81" s="953"/>
      <c r="GAH81" s="953"/>
      <c r="GAI81" s="953"/>
      <c r="GAJ81" s="953"/>
      <c r="GAK81" s="953"/>
      <c r="GAL81" s="953"/>
      <c r="GAM81" s="953"/>
      <c r="GAN81" s="953"/>
      <c r="GAO81" s="953"/>
      <c r="GAP81" s="953"/>
      <c r="GAQ81" s="953"/>
      <c r="GAR81" s="953"/>
      <c r="GAS81" s="953"/>
      <c r="GAT81" s="953"/>
      <c r="GAU81" s="953"/>
      <c r="GAV81" s="953"/>
      <c r="GAW81" s="953"/>
      <c r="GAX81" s="953"/>
      <c r="GAY81" s="953"/>
      <c r="GAZ81" s="953"/>
      <c r="GBA81" s="953"/>
      <c r="GBB81" s="953"/>
      <c r="GBC81" s="953"/>
      <c r="GBD81" s="953"/>
      <c r="GBE81" s="953"/>
      <c r="GBF81" s="953"/>
      <c r="GBG81" s="953"/>
      <c r="GBH81" s="953"/>
      <c r="GBI81" s="953"/>
      <c r="GBJ81" s="953"/>
      <c r="GBK81" s="953"/>
      <c r="GBL81" s="953"/>
      <c r="GBM81" s="953"/>
      <c r="GBN81" s="953"/>
      <c r="GBO81" s="953"/>
      <c r="GBP81" s="953"/>
      <c r="GBQ81" s="953"/>
      <c r="GBR81" s="953"/>
      <c r="GBS81" s="953"/>
      <c r="GBT81" s="953"/>
      <c r="GBU81" s="953"/>
      <c r="GBV81" s="953"/>
      <c r="GBW81" s="953"/>
      <c r="GBX81" s="953"/>
      <c r="GBY81" s="953"/>
      <c r="GBZ81" s="953"/>
      <c r="GCA81" s="953"/>
      <c r="GCB81" s="953"/>
      <c r="GCC81" s="953"/>
      <c r="GCD81" s="953"/>
      <c r="GCE81" s="953"/>
      <c r="GCF81" s="953"/>
      <c r="GCG81" s="953"/>
      <c r="GCH81" s="953"/>
      <c r="GCI81" s="953"/>
      <c r="GCJ81" s="953"/>
      <c r="GCK81" s="953"/>
      <c r="GCL81" s="953"/>
      <c r="GCM81" s="953"/>
      <c r="GCN81" s="953"/>
      <c r="GCO81" s="953"/>
      <c r="GCP81" s="953"/>
      <c r="GCQ81" s="953"/>
      <c r="GCR81" s="953"/>
      <c r="GCS81" s="953"/>
      <c r="GCT81" s="953"/>
      <c r="GCU81" s="953"/>
      <c r="GCV81" s="953"/>
      <c r="GCW81" s="953"/>
      <c r="GCX81" s="953"/>
      <c r="GCY81" s="953"/>
      <c r="GCZ81" s="953"/>
      <c r="GDA81" s="953"/>
      <c r="GDB81" s="953"/>
      <c r="GDC81" s="953"/>
      <c r="GDD81" s="953"/>
      <c r="GDE81" s="953"/>
      <c r="GDF81" s="953"/>
      <c r="GDG81" s="953"/>
      <c r="GDH81" s="953"/>
      <c r="GDI81" s="953"/>
      <c r="GDJ81" s="953"/>
      <c r="GDK81" s="953"/>
      <c r="GDL81" s="953"/>
      <c r="GDM81" s="953"/>
      <c r="GDN81" s="953"/>
      <c r="GDO81" s="953"/>
      <c r="GDP81" s="953"/>
      <c r="GDQ81" s="953"/>
      <c r="GDR81" s="953"/>
      <c r="GDS81" s="953"/>
      <c r="GDT81" s="953"/>
      <c r="GDU81" s="953"/>
      <c r="GDV81" s="953"/>
      <c r="GDW81" s="953"/>
      <c r="GDX81" s="953"/>
      <c r="GDY81" s="953"/>
      <c r="GDZ81" s="953"/>
      <c r="GEA81" s="953"/>
      <c r="GEB81" s="953"/>
      <c r="GEC81" s="953"/>
      <c r="GED81" s="953"/>
      <c r="GEE81" s="953"/>
      <c r="GEF81" s="953"/>
      <c r="GEG81" s="953"/>
      <c r="GEH81" s="953"/>
      <c r="GEI81" s="953"/>
      <c r="GEJ81" s="953"/>
      <c r="GEK81" s="953"/>
      <c r="GEL81" s="953"/>
      <c r="GEM81" s="953"/>
      <c r="GEN81" s="953"/>
      <c r="GEO81" s="953"/>
      <c r="GEP81" s="953"/>
      <c r="GEQ81" s="953"/>
      <c r="GER81" s="953"/>
      <c r="GES81" s="953"/>
      <c r="GET81" s="953"/>
      <c r="GEU81" s="953"/>
      <c r="GEV81" s="953"/>
      <c r="GEW81" s="953"/>
      <c r="GEX81" s="953"/>
      <c r="GEY81" s="953"/>
      <c r="GEZ81" s="953"/>
      <c r="GFA81" s="953"/>
      <c r="GFB81" s="953"/>
      <c r="GFC81" s="953"/>
      <c r="GFD81" s="953"/>
      <c r="GFE81" s="953"/>
      <c r="GFF81" s="953"/>
      <c r="GFG81" s="953"/>
      <c r="GFH81" s="953"/>
      <c r="GFI81" s="953"/>
      <c r="GFJ81" s="953"/>
      <c r="GFK81" s="953"/>
      <c r="GFL81" s="953"/>
      <c r="GFM81" s="953"/>
      <c r="GFN81" s="953"/>
      <c r="GFO81" s="953"/>
      <c r="GFP81" s="953"/>
      <c r="GFQ81" s="953"/>
      <c r="GFR81" s="953"/>
      <c r="GFS81" s="953"/>
      <c r="GFT81" s="953"/>
      <c r="GFU81" s="953"/>
      <c r="GFV81" s="953"/>
      <c r="GFW81" s="953"/>
      <c r="GFX81" s="953"/>
      <c r="GFY81" s="953"/>
      <c r="GFZ81" s="953"/>
      <c r="GGA81" s="953"/>
      <c r="GGB81" s="953"/>
      <c r="GGC81" s="953"/>
      <c r="GGD81" s="953"/>
      <c r="GGE81" s="953"/>
      <c r="GGF81" s="953"/>
      <c r="GGG81" s="953"/>
      <c r="GGH81" s="953"/>
      <c r="GGI81" s="953"/>
      <c r="GGJ81" s="953"/>
      <c r="GGK81" s="953"/>
      <c r="GGL81" s="953"/>
      <c r="GGM81" s="953"/>
      <c r="GGN81" s="953"/>
      <c r="GGO81" s="953"/>
      <c r="GGP81" s="953"/>
      <c r="GGQ81" s="953"/>
      <c r="GGR81" s="953"/>
      <c r="GGS81" s="953"/>
      <c r="GGT81" s="953"/>
      <c r="GGU81" s="953"/>
      <c r="GGV81" s="953"/>
      <c r="GGW81" s="953"/>
      <c r="GGX81" s="953"/>
      <c r="GGY81" s="953"/>
      <c r="GGZ81" s="953"/>
      <c r="GHA81" s="953"/>
      <c r="GHB81" s="953"/>
      <c r="GHC81" s="953"/>
      <c r="GHD81" s="953"/>
      <c r="GHE81" s="953"/>
      <c r="GHF81" s="953"/>
      <c r="GHG81" s="953"/>
      <c r="GHH81" s="953"/>
      <c r="GHI81" s="953"/>
      <c r="GHJ81" s="953"/>
      <c r="GHK81" s="953"/>
      <c r="GHL81" s="953"/>
      <c r="GHM81" s="953"/>
      <c r="GHN81" s="953"/>
      <c r="GHO81" s="953"/>
      <c r="GHP81" s="953"/>
      <c r="GHQ81" s="953"/>
      <c r="GHR81" s="953"/>
      <c r="GHS81" s="953"/>
      <c r="GHT81" s="953"/>
      <c r="GHU81" s="953"/>
      <c r="GHV81" s="953"/>
      <c r="GHW81" s="953"/>
      <c r="GHX81" s="953"/>
      <c r="GHY81" s="953"/>
      <c r="GHZ81" s="953"/>
      <c r="GIA81" s="953"/>
      <c r="GIB81" s="953"/>
      <c r="GIC81" s="953"/>
      <c r="GID81" s="953"/>
      <c r="GIE81" s="953"/>
      <c r="GIF81" s="953"/>
      <c r="GIG81" s="953"/>
      <c r="GIH81" s="953"/>
      <c r="GII81" s="953"/>
      <c r="GIJ81" s="953"/>
      <c r="GIK81" s="953"/>
      <c r="GIL81" s="953"/>
      <c r="GIM81" s="953"/>
      <c r="GIN81" s="953"/>
      <c r="GIO81" s="953"/>
      <c r="GIP81" s="953"/>
      <c r="GIQ81" s="953"/>
      <c r="GIR81" s="953"/>
      <c r="GIS81" s="953"/>
      <c r="GIT81" s="953"/>
      <c r="GIU81" s="953"/>
      <c r="GIV81" s="953"/>
      <c r="GIW81" s="953"/>
      <c r="GIX81" s="953"/>
      <c r="GIY81" s="953"/>
      <c r="GIZ81" s="953"/>
      <c r="GJA81" s="953"/>
      <c r="GJB81" s="953"/>
      <c r="GJC81" s="953"/>
      <c r="GJD81" s="953"/>
      <c r="GJE81" s="953"/>
      <c r="GJF81" s="953"/>
      <c r="GJG81" s="953"/>
      <c r="GJH81" s="953"/>
      <c r="GJI81" s="953"/>
      <c r="GJJ81" s="953"/>
      <c r="GJK81" s="953"/>
      <c r="GJL81" s="953"/>
      <c r="GJM81" s="953"/>
      <c r="GJN81" s="953"/>
      <c r="GJO81" s="953"/>
      <c r="GJP81" s="953"/>
      <c r="GJQ81" s="953"/>
      <c r="GJR81" s="953"/>
      <c r="GJS81" s="953"/>
      <c r="GJT81" s="953"/>
      <c r="GJU81" s="953"/>
      <c r="GJV81" s="953"/>
      <c r="GJW81" s="953"/>
      <c r="GJX81" s="953"/>
      <c r="GJY81" s="953"/>
      <c r="GJZ81" s="953"/>
      <c r="GKA81" s="953"/>
      <c r="GKB81" s="953"/>
      <c r="GKC81" s="953"/>
      <c r="GKD81" s="953"/>
      <c r="GKE81" s="953"/>
      <c r="GKF81" s="953"/>
      <c r="GKG81" s="953"/>
      <c r="GKH81" s="953"/>
      <c r="GKI81" s="953"/>
      <c r="GKJ81" s="953"/>
      <c r="GKK81" s="953"/>
      <c r="GKL81" s="953"/>
      <c r="GKM81" s="953"/>
      <c r="GKN81" s="953"/>
      <c r="GKO81" s="953"/>
      <c r="GKP81" s="953"/>
      <c r="GKQ81" s="953"/>
      <c r="GKR81" s="953"/>
      <c r="GKS81" s="953"/>
      <c r="GKT81" s="953"/>
      <c r="GKU81" s="953"/>
      <c r="GKV81" s="953"/>
      <c r="GKW81" s="953"/>
      <c r="GKX81" s="953"/>
      <c r="GKY81" s="953"/>
      <c r="GKZ81" s="953"/>
      <c r="GLA81" s="953"/>
      <c r="GLB81" s="953"/>
      <c r="GLC81" s="953"/>
      <c r="GLD81" s="953"/>
      <c r="GLE81" s="953"/>
      <c r="GLF81" s="953"/>
      <c r="GLG81" s="953"/>
      <c r="GLH81" s="953"/>
      <c r="GLI81" s="953"/>
      <c r="GLJ81" s="953"/>
      <c r="GLK81" s="953"/>
      <c r="GLL81" s="953"/>
      <c r="GLM81" s="953"/>
      <c r="GLN81" s="953"/>
      <c r="GLO81" s="953"/>
      <c r="GLP81" s="953"/>
      <c r="GLQ81" s="953"/>
      <c r="GLR81" s="953"/>
      <c r="GLS81" s="953"/>
      <c r="GLT81" s="953"/>
      <c r="GLU81" s="953"/>
      <c r="GLV81" s="953"/>
      <c r="GLW81" s="953"/>
      <c r="GLX81" s="953"/>
      <c r="GLY81" s="953"/>
      <c r="GLZ81" s="953"/>
      <c r="GMA81" s="953"/>
      <c r="GMB81" s="953"/>
      <c r="GMC81" s="953"/>
      <c r="GMD81" s="953"/>
      <c r="GME81" s="953"/>
      <c r="GMF81" s="953"/>
      <c r="GMG81" s="953"/>
      <c r="GMH81" s="953"/>
      <c r="GMI81" s="953"/>
      <c r="GMJ81" s="953"/>
      <c r="GMK81" s="953"/>
      <c r="GML81" s="953"/>
      <c r="GMM81" s="953"/>
      <c r="GMN81" s="953"/>
      <c r="GMO81" s="953"/>
      <c r="GMP81" s="953"/>
      <c r="GMQ81" s="953"/>
      <c r="GMR81" s="953"/>
      <c r="GMS81" s="953"/>
      <c r="GMT81" s="953"/>
      <c r="GMU81" s="953"/>
      <c r="GMV81" s="953"/>
      <c r="GMW81" s="953"/>
      <c r="GMX81" s="953"/>
      <c r="GMY81" s="953"/>
      <c r="GMZ81" s="953"/>
      <c r="GNA81" s="953"/>
      <c r="GNB81" s="953"/>
      <c r="GNC81" s="953"/>
      <c r="GND81" s="953"/>
      <c r="GNE81" s="953"/>
      <c r="GNF81" s="953"/>
      <c r="GNG81" s="953"/>
      <c r="GNH81" s="953"/>
      <c r="GNI81" s="953"/>
      <c r="GNJ81" s="953"/>
      <c r="GNK81" s="953"/>
      <c r="GNL81" s="953"/>
      <c r="GNM81" s="953"/>
      <c r="GNN81" s="953"/>
      <c r="GNO81" s="953"/>
      <c r="GNP81" s="953"/>
      <c r="GNQ81" s="953"/>
      <c r="GNR81" s="953"/>
      <c r="GNS81" s="953"/>
      <c r="GNT81" s="953"/>
      <c r="GNU81" s="953"/>
      <c r="GNV81" s="953"/>
      <c r="GNW81" s="953"/>
      <c r="GNX81" s="953"/>
      <c r="GNY81" s="953"/>
      <c r="GNZ81" s="953"/>
      <c r="GOA81" s="953"/>
      <c r="GOB81" s="953"/>
      <c r="GOC81" s="953"/>
      <c r="GOD81" s="953"/>
      <c r="GOE81" s="953"/>
      <c r="GOF81" s="953"/>
      <c r="GOG81" s="953"/>
      <c r="GOH81" s="953"/>
      <c r="GOI81" s="953"/>
      <c r="GOJ81" s="953"/>
      <c r="GOK81" s="953"/>
      <c r="GOL81" s="953"/>
      <c r="GOM81" s="953"/>
      <c r="GON81" s="953"/>
      <c r="GOO81" s="953"/>
      <c r="GOP81" s="953"/>
      <c r="GOQ81" s="953"/>
      <c r="GOR81" s="953"/>
      <c r="GOS81" s="953"/>
      <c r="GOT81" s="953"/>
      <c r="GOU81" s="953"/>
      <c r="GOV81" s="953"/>
      <c r="GOW81" s="953"/>
      <c r="GOX81" s="953"/>
      <c r="GOY81" s="953"/>
      <c r="GOZ81" s="953"/>
      <c r="GPA81" s="953"/>
      <c r="GPB81" s="953"/>
      <c r="GPC81" s="953"/>
      <c r="GPD81" s="953"/>
      <c r="GPE81" s="953"/>
      <c r="GPF81" s="953"/>
      <c r="GPG81" s="953"/>
      <c r="GPH81" s="953"/>
      <c r="GPI81" s="953"/>
      <c r="GPJ81" s="953"/>
      <c r="GPK81" s="953"/>
      <c r="GPL81" s="953"/>
      <c r="GPM81" s="953"/>
      <c r="GPN81" s="953"/>
      <c r="GPO81" s="953"/>
      <c r="GPP81" s="953"/>
      <c r="GPQ81" s="953"/>
      <c r="GPR81" s="953"/>
      <c r="GPS81" s="953"/>
      <c r="GPT81" s="953"/>
      <c r="GPU81" s="953"/>
      <c r="GPV81" s="953"/>
      <c r="GPW81" s="953"/>
      <c r="GPX81" s="953"/>
      <c r="GPY81" s="953"/>
      <c r="GPZ81" s="953"/>
      <c r="GQA81" s="953"/>
      <c r="GQB81" s="953"/>
      <c r="GQC81" s="953"/>
      <c r="GQD81" s="953"/>
      <c r="GQE81" s="953"/>
      <c r="GQF81" s="953"/>
      <c r="GQG81" s="953"/>
      <c r="GQH81" s="953"/>
      <c r="GQI81" s="953"/>
      <c r="GQJ81" s="953"/>
      <c r="GQK81" s="953"/>
      <c r="GQL81" s="953"/>
      <c r="GQM81" s="953"/>
      <c r="GQN81" s="953"/>
      <c r="GQO81" s="953"/>
      <c r="GQP81" s="953"/>
      <c r="GQQ81" s="953"/>
      <c r="GQR81" s="953"/>
      <c r="GQS81" s="953"/>
      <c r="GQT81" s="953"/>
      <c r="GQU81" s="953"/>
      <c r="GQV81" s="953"/>
      <c r="GQW81" s="953"/>
      <c r="GQX81" s="953"/>
      <c r="GQY81" s="953"/>
      <c r="GQZ81" s="953"/>
      <c r="GRA81" s="953"/>
      <c r="GRB81" s="953"/>
      <c r="GRC81" s="953"/>
      <c r="GRD81" s="953"/>
      <c r="GRE81" s="953"/>
      <c r="GRF81" s="953"/>
      <c r="GRG81" s="953"/>
      <c r="GRH81" s="953"/>
      <c r="GRI81" s="953"/>
      <c r="GRJ81" s="953"/>
      <c r="GRK81" s="953"/>
      <c r="GRL81" s="953"/>
      <c r="GRM81" s="953"/>
      <c r="GRN81" s="953"/>
      <c r="GRO81" s="953"/>
      <c r="GRP81" s="953"/>
      <c r="GRQ81" s="953"/>
      <c r="GRR81" s="953"/>
      <c r="GRS81" s="953"/>
      <c r="GRT81" s="953"/>
      <c r="GRU81" s="953"/>
      <c r="GRV81" s="953"/>
      <c r="GRW81" s="953"/>
      <c r="GRX81" s="953"/>
      <c r="GRY81" s="953"/>
      <c r="GRZ81" s="953"/>
      <c r="GSA81" s="953"/>
      <c r="GSB81" s="953"/>
      <c r="GSC81" s="953"/>
      <c r="GSD81" s="953"/>
      <c r="GSE81" s="953"/>
      <c r="GSF81" s="953"/>
      <c r="GSG81" s="953"/>
      <c r="GSH81" s="953"/>
      <c r="GSI81" s="953"/>
      <c r="GSJ81" s="953"/>
      <c r="GSK81" s="953"/>
      <c r="GSL81" s="953"/>
      <c r="GSM81" s="953"/>
      <c r="GSN81" s="953"/>
      <c r="GSO81" s="953"/>
      <c r="GSP81" s="953"/>
      <c r="GSQ81" s="953"/>
      <c r="GSR81" s="953"/>
      <c r="GSS81" s="953"/>
      <c r="GST81" s="953"/>
      <c r="GSU81" s="953"/>
      <c r="GSV81" s="953"/>
      <c r="GSW81" s="953"/>
      <c r="GSX81" s="953"/>
      <c r="GSY81" s="953"/>
      <c r="GSZ81" s="953"/>
      <c r="GTA81" s="953"/>
      <c r="GTB81" s="953"/>
      <c r="GTC81" s="953"/>
      <c r="GTD81" s="953"/>
      <c r="GTE81" s="953"/>
      <c r="GTF81" s="953"/>
      <c r="GTG81" s="953"/>
      <c r="GTH81" s="953"/>
      <c r="GTI81" s="953"/>
      <c r="GTJ81" s="953"/>
      <c r="GTK81" s="953"/>
      <c r="GTL81" s="953"/>
      <c r="GTM81" s="953"/>
      <c r="GTN81" s="953"/>
      <c r="GTO81" s="953"/>
      <c r="GTP81" s="953"/>
      <c r="GTQ81" s="953"/>
      <c r="GTR81" s="953"/>
      <c r="GTS81" s="953"/>
      <c r="GTT81" s="953"/>
      <c r="GTU81" s="953"/>
      <c r="GTV81" s="953"/>
      <c r="GTW81" s="953"/>
      <c r="GTX81" s="953"/>
      <c r="GTY81" s="953"/>
      <c r="GTZ81" s="953"/>
      <c r="GUA81" s="953"/>
      <c r="GUB81" s="953"/>
      <c r="GUC81" s="953"/>
      <c r="GUD81" s="953"/>
      <c r="GUE81" s="953"/>
      <c r="GUF81" s="953"/>
      <c r="GUG81" s="953"/>
      <c r="GUH81" s="953"/>
      <c r="GUI81" s="953"/>
      <c r="GUJ81" s="953"/>
      <c r="GUK81" s="953"/>
      <c r="GUL81" s="953"/>
      <c r="GUM81" s="953"/>
      <c r="GUN81" s="953"/>
      <c r="GUO81" s="953"/>
      <c r="GUP81" s="953"/>
      <c r="GUQ81" s="953"/>
      <c r="GUR81" s="953"/>
      <c r="GUS81" s="953"/>
      <c r="GUT81" s="953"/>
      <c r="GUU81" s="953"/>
      <c r="GUV81" s="953"/>
      <c r="GUW81" s="953"/>
      <c r="GUX81" s="953"/>
      <c r="GUY81" s="953"/>
      <c r="GUZ81" s="953"/>
      <c r="GVA81" s="953"/>
      <c r="GVB81" s="953"/>
      <c r="GVC81" s="953"/>
      <c r="GVD81" s="953"/>
      <c r="GVE81" s="953"/>
      <c r="GVF81" s="953"/>
      <c r="GVG81" s="953"/>
      <c r="GVH81" s="953"/>
      <c r="GVI81" s="953"/>
      <c r="GVJ81" s="953"/>
      <c r="GVK81" s="953"/>
      <c r="GVL81" s="953"/>
      <c r="GVM81" s="953"/>
      <c r="GVN81" s="953"/>
      <c r="GVO81" s="953"/>
      <c r="GVP81" s="953"/>
      <c r="GVQ81" s="953"/>
      <c r="GVR81" s="953"/>
      <c r="GVS81" s="953"/>
      <c r="GVT81" s="953"/>
      <c r="GVU81" s="953"/>
      <c r="GVV81" s="953"/>
      <c r="GVW81" s="953"/>
      <c r="GVX81" s="953"/>
      <c r="GVY81" s="953"/>
      <c r="GVZ81" s="953"/>
      <c r="GWA81" s="953"/>
      <c r="GWB81" s="953"/>
      <c r="GWC81" s="953"/>
      <c r="GWD81" s="953"/>
      <c r="GWE81" s="953"/>
      <c r="GWF81" s="953"/>
      <c r="GWG81" s="953"/>
      <c r="GWH81" s="953"/>
      <c r="GWI81" s="953"/>
      <c r="GWJ81" s="953"/>
      <c r="GWK81" s="953"/>
      <c r="GWL81" s="953"/>
      <c r="GWM81" s="953"/>
      <c r="GWN81" s="953"/>
      <c r="GWO81" s="953"/>
      <c r="GWP81" s="953"/>
      <c r="GWQ81" s="953"/>
      <c r="GWR81" s="953"/>
      <c r="GWS81" s="953"/>
      <c r="GWT81" s="953"/>
      <c r="GWU81" s="953"/>
      <c r="GWV81" s="953"/>
      <c r="GWW81" s="953"/>
      <c r="GWX81" s="953"/>
      <c r="GWY81" s="953"/>
      <c r="GWZ81" s="953"/>
      <c r="GXA81" s="953"/>
      <c r="GXB81" s="953"/>
      <c r="GXC81" s="953"/>
      <c r="GXD81" s="953"/>
      <c r="GXE81" s="953"/>
      <c r="GXF81" s="953"/>
      <c r="GXG81" s="953"/>
      <c r="GXH81" s="953"/>
      <c r="GXI81" s="953"/>
      <c r="GXJ81" s="953"/>
      <c r="GXK81" s="953"/>
      <c r="GXL81" s="953"/>
      <c r="GXM81" s="953"/>
      <c r="GXN81" s="953"/>
      <c r="GXO81" s="953"/>
      <c r="GXP81" s="953"/>
      <c r="GXQ81" s="953"/>
      <c r="GXR81" s="953"/>
      <c r="GXS81" s="953"/>
      <c r="GXT81" s="953"/>
      <c r="GXU81" s="953"/>
      <c r="GXV81" s="953"/>
      <c r="GXW81" s="953"/>
      <c r="GXX81" s="953"/>
      <c r="GXY81" s="953"/>
      <c r="GXZ81" s="953"/>
      <c r="GYA81" s="953"/>
      <c r="GYB81" s="953"/>
      <c r="GYC81" s="953"/>
      <c r="GYD81" s="953"/>
      <c r="GYE81" s="953"/>
      <c r="GYF81" s="953"/>
      <c r="GYG81" s="953"/>
      <c r="GYH81" s="953"/>
      <c r="GYI81" s="953"/>
      <c r="GYJ81" s="953"/>
      <c r="GYK81" s="953"/>
      <c r="GYL81" s="953"/>
      <c r="GYM81" s="953"/>
      <c r="GYN81" s="953"/>
      <c r="GYO81" s="953"/>
      <c r="GYP81" s="953"/>
      <c r="GYQ81" s="953"/>
      <c r="GYR81" s="953"/>
      <c r="GYS81" s="953"/>
      <c r="GYT81" s="953"/>
      <c r="GYU81" s="953"/>
      <c r="GYV81" s="953"/>
      <c r="GYW81" s="953"/>
      <c r="GYX81" s="953"/>
      <c r="GYY81" s="953"/>
      <c r="GYZ81" s="953"/>
      <c r="GZA81" s="953"/>
      <c r="GZB81" s="953"/>
      <c r="GZC81" s="953"/>
      <c r="GZD81" s="953"/>
      <c r="GZE81" s="953"/>
      <c r="GZF81" s="953"/>
      <c r="GZG81" s="953"/>
      <c r="GZH81" s="953"/>
      <c r="GZI81" s="953"/>
      <c r="GZJ81" s="953"/>
      <c r="GZK81" s="953"/>
      <c r="GZL81" s="953"/>
      <c r="GZM81" s="953"/>
      <c r="GZN81" s="953"/>
      <c r="GZO81" s="953"/>
      <c r="GZP81" s="953"/>
      <c r="GZQ81" s="953"/>
      <c r="GZR81" s="953"/>
      <c r="GZS81" s="953"/>
      <c r="GZT81" s="953"/>
      <c r="GZU81" s="953"/>
      <c r="GZV81" s="953"/>
      <c r="GZW81" s="953"/>
      <c r="GZX81" s="953"/>
      <c r="GZY81" s="953"/>
      <c r="GZZ81" s="953"/>
      <c r="HAA81" s="953"/>
      <c r="HAB81" s="953"/>
      <c r="HAC81" s="953"/>
      <c r="HAD81" s="953"/>
      <c r="HAE81" s="953"/>
      <c r="HAF81" s="953"/>
      <c r="HAG81" s="953"/>
      <c r="HAH81" s="953"/>
      <c r="HAI81" s="953"/>
      <c r="HAJ81" s="953"/>
      <c r="HAK81" s="953"/>
      <c r="HAL81" s="953"/>
      <c r="HAM81" s="953"/>
      <c r="HAN81" s="953"/>
      <c r="HAO81" s="953"/>
      <c r="HAP81" s="953"/>
      <c r="HAQ81" s="953"/>
      <c r="HAR81" s="953"/>
      <c r="HAS81" s="953"/>
      <c r="HAT81" s="953"/>
      <c r="HAU81" s="953"/>
      <c r="HAV81" s="953"/>
      <c r="HAW81" s="953"/>
      <c r="HAX81" s="953"/>
      <c r="HAY81" s="953"/>
      <c r="HAZ81" s="953"/>
      <c r="HBA81" s="953"/>
      <c r="HBB81" s="953"/>
      <c r="HBC81" s="953"/>
      <c r="HBD81" s="953"/>
      <c r="HBE81" s="953"/>
      <c r="HBF81" s="953"/>
      <c r="HBG81" s="953"/>
      <c r="HBH81" s="953"/>
      <c r="HBI81" s="953"/>
      <c r="HBJ81" s="953"/>
      <c r="HBK81" s="953"/>
      <c r="HBL81" s="953"/>
      <c r="HBM81" s="953"/>
      <c r="HBN81" s="953"/>
      <c r="HBO81" s="953"/>
      <c r="HBP81" s="953"/>
      <c r="HBQ81" s="953"/>
      <c r="HBR81" s="953"/>
      <c r="HBS81" s="953"/>
      <c r="HBT81" s="953"/>
      <c r="HBU81" s="953"/>
      <c r="HBV81" s="953"/>
      <c r="HBW81" s="953"/>
      <c r="HBX81" s="953"/>
      <c r="HBY81" s="953"/>
      <c r="HBZ81" s="953"/>
      <c r="HCA81" s="953"/>
      <c r="HCB81" s="953"/>
      <c r="HCC81" s="953"/>
      <c r="HCD81" s="953"/>
      <c r="HCE81" s="953"/>
      <c r="HCF81" s="953"/>
      <c r="HCG81" s="953"/>
      <c r="HCH81" s="953"/>
      <c r="HCI81" s="953"/>
      <c r="HCJ81" s="953"/>
      <c r="HCK81" s="953"/>
      <c r="HCL81" s="953"/>
      <c r="HCM81" s="953"/>
      <c r="HCN81" s="953"/>
      <c r="HCO81" s="953"/>
      <c r="HCP81" s="953"/>
      <c r="HCQ81" s="953"/>
      <c r="HCR81" s="953"/>
      <c r="HCS81" s="953"/>
      <c r="HCT81" s="953"/>
      <c r="HCU81" s="953"/>
      <c r="HCV81" s="953"/>
      <c r="HCW81" s="953"/>
      <c r="HCX81" s="953"/>
      <c r="HCY81" s="953"/>
      <c r="HCZ81" s="953"/>
      <c r="HDA81" s="953"/>
      <c r="HDB81" s="953"/>
      <c r="HDC81" s="953"/>
      <c r="HDD81" s="953"/>
      <c r="HDE81" s="953"/>
      <c r="HDF81" s="953"/>
      <c r="HDG81" s="953"/>
      <c r="HDH81" s="953"/>
      <c r="HDI81" s="953"/>
      <c r="HDJ81" s="953"/>
      <c r="HDK81" s="953"/>
      <c r="HDL81" s="953"/>
      <c r="HDM81" s="953"/>
      <c r="HDN81" s="953"/>
      <c r="HDO81" s="953"/>
      <c r="HDP81" s="953"/>
      <c r="HDQ81" s="953"/>
      <c r="HDR81" s="953"/>
      <c r="HDS81" s="953"/>
      <c r="HDT81" s="953"/>
      <c r="HDU81" s="953"/>
      <c r="HDV81" s="953"/>
      <c r="HDW81" s="953"/>
      <c r="HDX81" s="953"/>
      <c r="HDY81" s="953"/>
      <c r="HDZ81" s="953"/>
      <c r="HEA81" s="953"/>
      <c r="HEB81" s="953"/>
      <c r="HEC81" s="953"/>
      <c r="HED81" s="953"/>
      <c r="HEE81" s="953"/>
      <c r="HEF81" s="953"/>
      <c r="HEG81" s="953"/>
      <c r="HEH81" s="953"/>
      <c r="HEI81" s="953"/>
      <c r="HEJ81" s="953"/>
      <c r="HEK81" s="953"/>
      <c r="HEL81" s="953"/>
      <c r="HEM81" s="953"/>
      <c r="HEN81" s="953"/>
      <c r="HEO81" s="953"/>
      <c r="HEP81" s="953"/>
      <c r="HEQ81" s="953"/>
      <c r="HER81" s="953"/>
      <c r="HES81" s="953"/>
      <c r="HET81" s="953"/>
      <c r="HEU81" s="953"/>
      <c r="HEV81" s="953"/>
      <c r="HEW81" s="953"/>
      <c r="HEX81" s="953"/>
      <c r="HEY81" s="953"/>
      <c r="HEZ81" s="953"/>
      <c r="HFA81" s="953"/>
      <c r="HFB81" s="953"/>
      <c r="HFC81" s="953"/>
      <c r="HFD81" s="953"/>
      <c r="HFE81" s="953"/>
      <c r="HFF81" s="953"/>
      <c r="HFG81" s="953"/>
      <c r="HFH81" s="953"/>
      <c r="HFI81" s="953"/>
      <c r="HFJ81" s="953"/>
      <c r="HFK81" s="953"/>
      <c r="HFL81" s="953"/>
      <c r="HFM81" s="953"/>
      <c r="HFN81" s="953"/>
      <c r="HFO81" s="953"/>
      <c r="HFP81" s="953"/>
      <c r="HFQ81" s="953"/>
      <c r="HFR81" s="953"/>
      <c r="HFS81" s="953"/>
      <c r="HFT81" s="953"/>
      <c r="HFU81" s="953"/>
      <c r="HFV81" s="953"/>
      <c r="HFW81" s="953"/>
      <c r="HFX81" s="953"/>
      <c r="HFY81" s="953"/>
      <c r="HFZ81" s="953"/>
      <c r="HGA81" s="953"/>
      <c r="HGB81" s="953"/>
      <c r="HGC81" s="953"/>
      <c r="HGD81" s="953"/>
      <c r="HGE81" s="953"/>
      <c r="HGF81" s="953"/>
      <c r="HGG81" s="953"/>
      <c r="HGH81" s="953"/>
      <c r="HGI81" s="953"/>
      <c r="HGJ81" s="953"/>
      <c r="HGK81" s="953"/>
      <c r="HGL81" s="953"/>
      <c r="HGM81" s="953"/>
      <c r="HGN81" s="953"/>
      <c r="HGO81" s="953"/>
      <c r="HGP81" s="953"/>
      <c r="HGQ81" s="953"/>
      <c r="HGR81" s="953"/>
      <c r="HGS81" s="953"/>
      <c r="HGT81" s="953"/>
      <c r="HGU81" s="953"/>
      <c r="HGV81" s="953"/>
      <c r="HGW81" s="953"/>
      <c r="HGX81" s="953"/>
      <c r="HGY81" s="953"/>
      <c r="HGZ81" s="953"/>
      <c r="HHA81" s="953"/>
      <c r="HHB81" s="953"/>
      <c r="HHC81" s="953"/>
      <c r="HHD81" s="953"/>
      <c r="HHE81" s="953"/>
      <c r="HHF81" s="953"/>
      <c r="HHG81" s="953"/>
      <c r="HHH81" s="953"/>
      <c r="HHI81" s="953"/>
      <c r="HHJ81" s="953"/>
      <c r="HHK81" s="953"/>
      <c r="HHL81" s="953"/>
      <c r="HHM81" s="953"/>
      <c r="HHN81" s="953"/>
      <c r="HHO81" s="953"/>
      <c r="HHP81" s="953"/>
      <c r="HHQ81" s="953"/>
      <c r="HHR81" s="953"/>
      <c r="HHS81" s="953"/>
      <c r="HHT81" s="953"/>
      <c r="HHU81" s="953"/>
      <c r="HHV81" s="953"/>
      <c r="HHW81" s="953"/>
      <c r="HHX81" s="953"/>
      <c r="HHY81" s="953"/>
      <c r="HHZ81" s="953"/>
      <c r="HIA81" s="953"/>
      <c r="HIB81" s="953"/>
      <c r="HIC81" s="953"/>
      <c r="HID81" s="953"/>
      <c r="HIE81" s="953"/>
      <c r="HIF81" s="953"/>
      <c r="HIG81" s="953"/>
      <c r="HIH81" s="953"/>
      <c r="HII81" s="953"/>
      <c r="HIJ81" s="953"/>
      <c r="HIK81" s="953"/>
      <c r="HIL81" s="953"/>
      <c r="HIM81" s="953"/>
      <c r="HIN81" s="953"/>
      <c r="HIO81" s="953"/>
      <c r="HIP81" s="953"/>
      <c r="HIQ81" s="953"/>
      <c r="HIR81" s="953"/>
      <c r="HIS81" s="953"/>
      <c r="HIT81" s="953"/>
      <c r="HIU81" s="953"/>
      <c r="HIV81" s="953"/>
      <c r="HIW81" s="953"/>
      <c r="HIX81" s="953"/>
      <c r="HIY81" s="953"/>
      <c r="HIZ81" s="953"/>
      <c r="HJA81" s="953"/>
      <c r="HJB81" s="953"/>
      <c r="HJC81" s="953"/>
      <c r="HJD81" s="953"/>
      <c r="HJE81" s="953"/>
      <c r="HJF81" s="953"/>
      <c r="HJG81" s="953"/>
      <c r="HJH81" s="953"/>
      <c r="HJI81" s="953"/>
      <c r="HJJ81" s="953"/>
      <c r="HJK81" s="953"/>
      <c r="HJL81" s="953"/>
      <c r="HJM81" s="953"/>
      <c r="HJN81" s="953"/>
      <c r="HJO81" s="953"/>
      <c r="HJP81" s="953"/>
      <c r="HJQ81" s="953"/>
      <c r="HJR81" s="953"/>
      <c r="HJS81" s="953"/>
      <c r="HJT81" s="953"/>
      <c r="HJU81" s="953"/>
      <c r="HJV81" s="953"/>
      <c r="HJW81" s="953"/>
      <c r="HJX81" s="953"/>
      <c r="HJY81" s="953"/>
      <c r="HJZ81" s="953"/>
      <c r="HKA81" s="953"/>
      <c r="HKB81" s="953"/>
      <c r="HKC81" s="953"/>
      <c r="HKD81" s="953"/>
      <c r="HKE81" s="953"/>
      <c r="HKF81" s="953"/>
      <c r="HKG81" s="953"/>
      <c r="HKH81" s="953"/>
      <c r="HKI81" s="953"/>
      <c r="HKJ81" s="953"/>
      <c r="HKK81" s="953"/>
      <c r="HKL81" s="953"/>
      <c r="HKM81" s="953"/>
      <c r="HKN81" s="953"/>
      <c r="HKO81" s="953"/>
      <c r="HKP81" s="953"/>
      <c r="HKQ81" s="953"/>
      <c r="HKR81" s="953"/>
      <c r="HKS81" s="953"/>
      <c r="HKT81" s="953"/>
      <c r="HKU81" s="953"/>
      <c r="HKV81" s="953"/>
      <c r="HKW81" s="953"/>
      <c r="HKX81" s="953"/>
      <c r="HKY81" s="953"/>
      <c r="HKZ81" s="953"/>
      <c r="HLA81" s="953"/>
      <c r="HLB81" s="953"/>
      <c r="HLC81" s="953"/>
      <c r="HLD81" s="953"/>
      <c r="HLE81" s="953"/>
      <c r="HLF81" s="953"/>
      <c r="HLG81" s="953"/>
      <c r="HLH81" s="953"/>
      <c r="HLI81" s="953"/>
      <c r="HLJ81" s="953"/>
      <c r="HLK81" s="953"/>
      <c r="HLL81" s="953"/>
      <c r="HLM81" s="953"/>
      <c r="HLN81" s="953"/>
      <c r="HLO81" s="953"/>
      <c r="HLP81" s="953"/>
      <c r="HLQ81" s="953"/>
      <c r="HLR81" s="953"/>
      <c r="HLS81" s="953"/>
      <c r="HLT81" s="953"/>
      <c r="HLU81" s="953"/>
      <c r="HLV81" s="953"/>
      <c r="HLW81" s="953"/>
      <c r="HLX81" s="953"/>
      <c r="HLY81" s="953"/>
      <c r="HLZ81" s="953"/>
      <c r="HMA81" s="953"/>
      <c r="HMB81" s="953"/>
      <c r="HMC81" s="953"/>
      <c r="HMD81" s="953"/>
      <c r="HME81" s="953"/>
      <c r="HMF81" s="953"/>
      <c r="HMG81" s="953"/>
      <c r="HMH81" s="953"/>
      <c r="HMI81" s="953"/>
      <c r="HMJ81" s="953"/>
      <c r="HMK81" s="953"/>
      <c r="HML81" s="953"/>
      <c r="HMM81" s="953"/>
      <c r="HMN81" s="953"/>
      <c r="HMO81" s="953"/>
      <c r="HMP81" s="953"/>
      <c r="HMQ81" s="953"/>
      <c r="HMR81" s="953"/>
      <c r="HMS81" s="953"/>
      <c r="HMT81" s="953"/>
      <c r="HMU81" s="953"/>
      <c r="HMV81" s="953"/>
      <c r="HMW81" s="953"/>
      <c r="HMX81" s="953"/>
      <c r="HMY81" s="953"/>
      <c r="HMZ81" s="953"/>
      <c r="HNA81" s="953"/>
      <c r="HNB81" s="953"/>
      <c r="HNC81" s="953"/>
      <c r="HND81" s="953"/>
      <c r="HNE81" s="953"/>
      <c r="HNF81" s="953"/>
      <c r="HNG81" s="953"/>
      <c r="HNH81" s="953"/>
      <c r="HNI81" s="953"/>
      <c r="HNJ81" s="953"/>
      <c r="HNK81" s="953"/>
      <c r="HNL81" s="953"/>
      <c r="HNM81" s="953"/>
      <c r="HNN81" s="953"/>
      <c r="HNO81" s="953"/>
      <c r="HNP81" s="953"/>
      <c r="HNQ81" s="953"/>
      <c r="HNR81" s="953"/>
      <c r="HNS81" s="953"/>
      <c r="HNT81" s="953"/>
      <c r="HNU81" s="953"/>
      <c r="HNV81" s="953"/>
      <c r="HNW81" s="953"/>
      <c r="HNX81" s="953"/>
      <c r="HNY81" s="953"/>
      <c r="HNZ81" s="953"/>
      <c r="HOA81" s="953"/>
      <c r="HOB81" s="953"/>
      <c r="HOC81" s="953"/>
      <c r="HOD81" s="953"/>
      <c r="HOE81" s="953"/>
      <c r="HOF81" s="953"/>
      <c r="HOG81" s="953"/>
      <c r="HOH81" s="953"/>
      <c r="HOI81" s="953"/>
      <c r="HOJ81" s="953"/>
      <c r="HOK81" s="953"/>
      <c r="HOL81" s="953"/>
      <c r="HOM81" s="953"/>
      <c r="HON81" s="953"/>
      <c r="HOO81" s="953"/>
      <c r="HOP81" s="953"/>
      <c r="HOQ81" s="953"/>
      <c r="HOR81" s="953"/>
      <c r="HOS81" s="953"/>
      <c r="HOT81" s="953"/>
      <c r="HOU81" s="953"/>
      <c r="HOV81" s="953"/>
      <c r="HOW81" s="953"/>
      <c r="HOX81" s="953"/>
      <c r="HOY81" s="953"/>
      <c r="HOZ81" s="953"/>
      <c r="HPA81" s="953"/>
      <c r="HPB81" s="953"/>
      <c r="HPC81" s="953"/>
      <c r="HPD81" s="953"/>
      <c r="HPE81" s="953"/>
      <c r="HPF81" s="953"/>
      <c r="HPG81" s="953"/>
      <c r="HPH81" s="953"/>
      <c r="HPI81" s="953"/>
      <c r="HPJ81" s="953"/>
      <c r="HPK81" s="953"/>
      <c r="HPL81" s="953"/>
      <c r="HPM81" s="953"/>
      <c r="HPN81" s="953"/>
      <c r="HPO81" s="953"/>
      <c r="HPP81" s="953"/>
      <c r="HPQ81" s="953"/>
      <c r="HPR81" s="953"/>
      <c r="HPS81" s="953"/>
      <c r="HPT81" s="953"/>
      <c r="HPU81" s="953"/>
      <c r="HPV81" s="953"/>
      <c r="HPW81" s="953"/>
      <c r="HPX81" s="953"/>
      <c r="HPY81" s="953"/>
      <c r="HPZ81" s="953"/>
      <c r="HQA81" s="953"/>
      <c r="HQB81" s="953"/>
      <c r="HQC81" s="953"/>
      <c r="HQD81" s="953"/>
      <c r="HQE81" s="953"/>
      <c r="HQF81" s="953"/>
      <c r="HQG81" s="953"/>
      <c r="HQH81" s="953"/>
      <c r="HQI81" s="953"/>
      <c r="HQJ81" s="953"/>
      <c r="HQK81" s="953"/>
      <c r="HQL81" s="953"/>
      <c r="HQM81" s="953"/>
      <c r="HQN81" s="953"/>
      <c r="HQO81" s="953"/>
      <c r="HQP81" s="953"/>
      <c r="HQQ81" s="953"/>
      <c r="HQR81" s="953"/>
      <c r="HQS81" s="953"/>
      <c r="HQT81" s="953"/>
      <c r="HQU81" s="953"/>
      <c r="HQV81" s="953"/>
      <c r="HQW81" s="953"/>
      <c r="HQX81" s="953"/>
      <c r="HQY81" s="953"/>
      <c r="HQZ81" s="953"/>
      <c r="HRA81" s="953"/>
      <c r="HRB81" s="953"/>
      <c r="HRC81" s="953"/>
      <c r="HRD81" s="953"/>
      <c r="HRE81" s="953"/>
      <c r="HRF81" s="953"/>
      <c r="HRG81" s="953"/>
      <c r="HRH81" s="953"/>
      <c r="HRI81" s="953"/>
      <c r="HRJ81" s="953"/>
      <c r="HRK81" s="953"/>
      <c r="HRL81" s="953"/>
      <c r="HRM81" s="953"/>
      <c r="HRN81" s="953"/>
      <c r="HRO81" s="953"/>
      <c r="HRP81" s="953"/>
      <c r="HRQ81" s="953"/>
      <c r="HRR81" s="953"/>
      <c r="HRS81" s="953"/>
      <c r="HRT81" s="953"/>
      <c r="HRU81" s="953"/>
      <c r="HRV81" s="953"/>
      <c r="HRW81" s="953"/>
      <c r="HRX81" s="953"/>
      <c r="HRY81" s="953"/>
      <c r="HRZ81" s="953"/>
      <c r="HSA81" s="953"/>
      <c r="HSB81" s="953"/>
      <c r="HSC81" s="953"/>
      <c r="HSD81" s="953"/>
      <c r="HSE81" s="953"/>
      <c r="HSF81" s="953"/>
      <c r="HSG81" s="953"/>
      <c r="HSH81" s="953"/>
      <c r="HSI81" s="953"/>
      <c r="HSJ81" s="953"/>
      <c r="HSK81" s="953"/>
      <c r="HSL81" s="953"/>
      <c r="HSM81" s="953"/>
      <c r="HSN81" s="953"/>
      <c r="HSO81" s="953"/>
      <c r="HSP81" s="953"/>
      <c r="HSQ81" s="953"/>
      <c r="HSR81" s="953"/>
      <c r="HSS81" s="953"/>
      <c r="HST81" s="953"/>
      <c r="HSU81" s="953"/>
      <c r="HSV81" s="953"/>
      <c r="HSW81" s="953"/>
      <c r="HSX81" s="953"/>
      <c r="HSY81" s="953"/>
      <c r="HSZ81" s="953"/>
      <c r="HTA81" s="953"/>
      <c r="HTB81" s="953"/>
      <c r="HTC81" s="953"/>
      <c r="HTD81" s="953"/>
      <c r="HTE81" s="953"/>
      <c r="HTF81" s="953"/>
      <c r="HTG81" s="953"/>
      <c r="HTH81" s="953"/>
      <c r="HTI81" s="953"/>
      <c r="HTJ81" s="953"/>
      <c r="HTK81" s="953"/>
      <c r="HTL81" s="953"/>
      <c r="HTM81" s="953"/>
      <c r="HTN81" s="953"/>
      <c r="HTO81" s="953"/>
      <c r="HTP81" s="953"/>
      <c r="HTQ81" s="953"/>
      <c r="HTR81" s="953"/>
      <c r="HTS81" s="953"/>
      <c r="HTT81" s="953"/>
      <c r="HTU81" s="953"/>
      <c r="HTV81" s="953"/>
      <c r="HTW81" s="953"/>
      <c r="HTX81" s="953"/>
      <c r="HTY81" s="953"/>
      <c r="HTZ81" s="953"/>
      <c r="HUA81" s="953"/>
      <c r="HUB81" s="953"/>
      <c r="HUC81" s="953"/>
      <c r="HUD81" s="953"/>
      <c r="HUE81" s="953"/>
      <c r="HUF81" s="953"/>
      <c r="HUG81" s="953"/>
      <c r="HUH81" s="953"/>
      <c r="HUI81" s="953"/>
      <c r="HUJ81" s="953"/>
      <c r="HUK81" s="953"/>
      <c r="HUL81" s="953"/>
      <c r="HUM81" s="953"/>
      <c r="HUN81" s="953"/>
      <c r="HUO81" s="953"/>
      <c r="HUP81" s="953"/>
      <c r="HUQ81" s="953"/>
      <c r="HUR81" s="953"/>
      <c r="HUS81" s="953"/>
      <c r="HUT81" s="953"/>
      <c r="HUU81" s="953"/>
      <c r="HUV81" s="953"/>
      <c r="HUW81" s="953"/>
      <c r="HUX81" s="953"/>
      <c r="HUY81" s="953"/>
      <c r="HUZ81" s="953"/>
      <c r="HVA81" s="953"/>
      <c r="HVB81" s="953"/>
      <c r="HVC81" s="953"/>
      <c r="HVD81" s="953"/>
      <c r="HVE81" s="953"/>
      <c r="HVF81" s="953"/>
      <c r="HVG81" s="953"/>
      <c r="HVH81" s="953"/>
      <c r="HVI81" s="953"/>
      <c r="HVJ81" s="953"/>
      <c r="HVK81" s="953"/>
      <c r="HVL81" s="953"/>
      <c r="HVM81" s="953"/>
      <c r="HVN81" s="953"/>
      <c r="HVO81" s="953"/>
      <c r="HVP81" s="953"/>
      <c r="HVQ81" s="953"/>
      <c r="HVR81" s="953"/>
      <c r="HVS81" s="953"/>
      <c r="HVT81" s="953"/>
      <c r="HVU81" s="953"/>
      <c r="HVV81" s="953"/>
      <c r="HVW81" s="953"/>
      <c r="HVX81" s="953"/>
      <c r="HVY81" s="953"/>
      <c r="HVZ81" s="953"/>
      <c r="HWA81" s="953"/>
      <c r="HWB81" s="953"/>
      <c r="HWC81" s="953"/>
      <c r="HWD81" s="953"/>
      <c r="HWE81" s="953"/>
      <c r="HWF81" s="953"/>
      <c r="HWG81" s="953"/>
      <c r="HWH81" s="953"/>
      <c r="HWI81" s="953"/>
      <c r="HWJ81" s="953"/>
      <c r="HWK81" s="953"/>
      <c r="HWL81" s="953"/>
      <c r="HWM81" s="953"/>
      <c r="HWN81" s="953"/>
      <c r="HWO81" s="953"/>
      <c r="HWP81" s="953"/>
      <c r="HWQ81" s="953"/>
      <c r="HWR81" s="953"/>
      <c r="HWS81" s="953"/>
      <c r="HWT81" s="953"/>
      <c r="HWU81" s="953"/>
      <c r="HWV81" s="953"/>
      <c r="HWW81" s="953"/>
      <c r="HWX81" s="953"/>
      <c r="HWY81" s="953"/>
      <c r="HWZ81" s="953"/>
      <c r="HXA81" s="953"/>
      <c r="HXB81" s="953"/>
      <c r="HXC81" s="953"/>
      <c r="HXD81" s="953"/>
      <c r="HXE81" s="953"/>
      <c r="HXF81" s="953"/>
      <c r="HXG81" s="953"/>
      <c r="HXH81" s="953"/>
      <c r="HXI81" s="953"/>
      <c r="HXJ81" s="953"/>
      <c r="HXK81" s="953"/>
      <c r="HXL81" s="953"/>
      <c r="HXM81" s="953"/>
      <c r="HXN81" s="953"/>
      <c r="HXO81" s="953"/>
      <c r="HXP81" s="953"/>
      <c r="HXQ81" s="953"/>
      <c r="HXR81" s="953"/>
      <c r="HXS81" s="953"/>
      <c r="HXT81" s="953"/>
      <c r="HXU81" s="953"/>
      <c r="HXV81" s="953"/>
      <c r="HXW81" s="953"/>
      <c r="HXX81" s="953"/>
      <c r="HXY81" s="953"/>
      <c r="HXZ81" s="953"/>
      <c r="HYA81" s="953"/>
      <c r="HYB81" s="953"/>
      <c r="HYC81" s="953"/>
      <c r="HYD81" s="953"/>
      <c r="HYE81" s="953"/>
      <c r="HYF81" s="953"/>
      <c r="HYG81" s="953"/>
      <c r="HYH81" s="953"/>
      <c r="HYI81" s="953"/>
      <c r="HYJ81" s="953"/>
      <c r="HYK81" s="953"/>
      <c r="HYL81" s="953"/>
      <c r="HYM81" s="953"/>
      <c r="HYN81" s="953"/>
      <c r="HYO81" s="953"/>
      <c r="HYP81" s="953"/>
      <c r="HYQ81" s="953"/>
      <c r="HYR81" s="953"/>
      <c r="HYS81" s="953"/>
      <c r="HYT81" s="953"/>
      <c r="HYU81" s="953"/>
      <c r="HYV81" s="953"/>
      <c r="HYW81" s="953"/>
      <c r="HYX81" s="953"/>
      <c r="HYY81" s="953"/>
      <c r="HYZ81" s="953"/>
      <c r="HZA81" s="953"/>
      <c r="HZB81" s="953"/>
      <c r="HZC81" s="953"/>
      <c r="HZD81" s="953"/>
      <c r="HZE81" s="953"/>
      <c r="HZF81" s="953"/>
      <c r="HZG81" s="953"/>
      <c r="HZH81" s="953"/>
      <c r="HZI81" s="953"/>
      <c r="HZJ81" s="953"/>
      <c r="HZK81" s="953"/>
      <c r="HZL81" s="953"/>
      <c r="HZM81" s="953"/>
      <c r="HZN81" s="953"/>
      <c r="HZO81" s="953"/>
      <c r="HZP81" s="953"/>
      <c r="HZQ81" s="953"/>
      <c r="HZR81" s="953"/>
      <c r="HZS81" s="953"/>
      <c r="HZT81" s="953"/>
      <c r="HZU81" s="953"/>
      <c r="HZV81" s="953"/>
      <c r="HZW81" s="953"/>
      <c r="HZX81" s="953"/>
      <c r="HZY81" s="953"/>
      <c r="HZZ81" s="953"/>
      <c r="IAA81" s="953"/>
      <c r="IAB81" s="953"/>
      <c r="IAC81" s="953"/>
      <c r="IAD81" s="953"/>
      <c r="IAE81" s="953"/>
      <c r="IAF81" s="953"/>
      <c r="IAG81" s="953"/>
      <c r="IAH81" s="953"/>
      <c r="IAI81" s="953"/>
      <c r="IAJ81" s="953"/>
      <c r="IAK81" s="953"/>
      <c r="IAL81" s="953"/>
      <c r="IAM81" s="953"/>
      <c r="IAN81" s="953"/>
      <c r="IAO81" s="953"/>
      <c r="IAP81" s="953"/>
      <c r="IAQ81" s="953"/>
      <c r="IAR81" s="953"/>
      <c r="IAS81" s="953"/>
      <c r="IAT81" s="953"/>
      <c r="IAU81" s="953"/>
      <c r="IAV81" s="953"/>
      <c r="IAW81" s="953"/>
      <c r="IAX81" s="953"/>
      <c r="IAY81" s="953"/>
      <c r="IAZ81" s="953"/>
      <c r="IBA81" s="953"/>
      <c r="IBB81" s="953"/>
      <c r="IBC81" s="953"/>
      <c r="IBD81" s="953"/>
      <c r="IBE81" s="953"/>
      <c r="IBF81" s="953"/>
      <c r="IBG81" s="953"/>
      <c r="IBH81" s="953"/>
      <c r="IBI81" s="953"/>
      <c r="IBJ81" s="953"/>
      <c r="IBK81" s="953"/>
      <c r="IBL81" s="953"/>
      <c r="IBM81" s="953"/>
      <c r="IBN81" s="953"/>
      <c r="IBO81" s="953"/>
      <c r="IBP81" s="953"/>
      <c r="IBQ81" s="953"/>
      <c r="IBR81" s="953"/>
      <c r="IBS81" s="953"/>
      <c r="IBT81" s="953"/>
      <c r="IBU81" s="953"/>
      <c r="IBV81" s="953"/>
      <c r="IBW81" s="953"/>
      <c r="IBX81" s="953"/>
      <c r="IBY81" s="953"/>
      <c r="IBZ81" s="953"/>
      <c r="ICA81" s="953"/>
      <c r="ICB81" s="953"/>
      <c r="ICC81" s="953"/>
      <c r="ICD81" s="953"/>
      <c r="ICE81" s="953"/>
      <c r="ICF81" s="953"/>
      <c r="ICG81" s="953"/>
      <c r="ICH81" s="953"/>
      <c r="ICI81" s="953"/>
      <c r="ICJ81" s="953"/>
      <c r="ICK81" s="953"/>
      <c r="ICL81" s="953"/>
      <c r="ICM81" s="953"/>
      <c r="ICN81" s="953"/>
      <c r="ICO81" s="953"/>
      <c r="ICP81" s="953"/>
      <c r="ICQ81" s="953"/>
      <c r="ICR81" s="953"/>
      <c r="ICS81" s="953"/>
      <c r="ICT81" s="953"/>
      <c r="ICU81" s="953"/>
      <c r="ICV81" s="953"/>
      <c r="ICW81" s="953"/>
      <c r="ICX81" s="953"/>
      <c r="ICY81" s="953"/>
      <c r="ICZ81" s="953"/>
      <c r="IDA81" s="953"/>
      <c r="IDB81" s="953"/>
      <c r="IDC81" s="953"/>
      <c r="IDD81" s="953"/>
      <c r="IDE81" s="953"/>
      <c r="IDF81" s="953"/>
      <c r="IDG81" s="953"/>
      <c r="IDH81" s="953"/>
      <c r="IDI81" s="953"/>
      <c r="IDJ81" s="953"/>
      <c r="IDK81" s="953"/>
      <c r="IDL81" s="953"/>
      <c r="IDM81" s="953"/>
      <c r="IDN81" s="953"/>
      <c r="IDO81" s="953"/>
      <c r="IDP81" s="953"/>
      <c r="IDQ81" s="953"/>
      <c r="IDR81" s="953"/>
      <c r="IDS81" s="953"/>
      <c r="IDT81" s="953"/>
      <c r="IDU81" s="953"/>
      <c r="IDV81" s="953"/>
      <c r="IDW81" s="953"/>
      <c r="IDX81" s="953"/>
      <c r="IDY81" s="953"/>
      <c r="IDZ81" s="953"/>
      <c r="IEA81" s="953"/>
      <c r="IEB81" s="953"/>
      <c r="IEC81" s="953"/>
      <c r="IED81" s="953"/>
      <c r="IEE81" s="953"/>
      <c r="IEF81" s="953"/>
      <c r="IEG81" s="953"/>
      <c r="IEH81" s="953"/>
      <c r="IEI81" s="953"/>
      <c r="IEJ81" s="953"/>
      <c r="IEK81" s="953"/>
      <c r="IEL81" s="953"/>
      <c r="IEM81" s="953"/>
      <c r="IEN81" s="953"/>
      <c r="IEO81" s="953"/>
      <c r="IEP81" s="953"/>
      <c r="IEQ81" s="953"/>
      <c r="IER81" s="953"/>
      <c r="IES81" s="953"/>
      <c r="IET81" s="953"/>
      <c r="IEU81" s="953"/>
      <c r="IEV81" s="953"/>
      <c r="IEW81" s="953"/>
      <c r="IEX81" s="953"/>
      <c r="IEY81" s="953"/>
      <c r="IEZ81" s="953"/>
      <c r="IFA81" s="953"/>
      <c r="IFB81" s="953"/>
      <c r="IFC81" s="953"/>
      <c r="IFD81" s="953"/>
      <c r="IFE81" s="953"/>
      <c r="IFF81" s="953"/>
      <c r="IFG81" s="953"/>
      <c r="IFH81" s="953"/>
      <c r="IFI81" s="953"/>
      <c r="IFJ81" s="953"/>
      <c r="IFK81" s="953"/>
      <c r="IFL81" s="953"/>
      <c r="IFM81" s="953"/>
      <c r="IFN81" s="953"/>
      <c r="IFO81" s="953"/>
      <c r="IFP81" s="953"/>
      <c r="IFQ81" s="953"/>
      <c r="IFR81" s="953"/>
      <c r="IFS81" s="953"/>
      <c r="IFT81" s="953"/>
      <c r="IFU81" s="953"/>
      <c r="IFV81" s="953"/>
      <c r="IFW81" s="953"/>
      <c r="IFX81" s="953"/>
      <c r="IFY81" s="953"/>
      <c r="IFZ81" s="953"/>
      <c r="IGA81" s="953"/>
      <c r="IGB81" s="953"/>
      <c r="IGC81" s="953"/>
      <c r="IGD81" s="953"/>
      <c r="IGE81" s="953"/>
      <c r="IGF81" s="953"/>
      <c r="IGG81" s="953"/>
      <c r="IGH81" s="953"/>
      <c r="IGI81" s="953"/>
      <c r="IGJ81" s="953"/>
      <c r="IGK81" s="953"/>
      <c r="IGL81" s="953"/>
      <c r="IGM81" s="953"/>
      <c r="IGN81" s="953"/>
      <c r="IGO81" s="953"/>
      <c r="IGP81" s="953"/>
      <c r="IGQ81" s="953"/>
      <c r="IGR81" s="953"/>
      <c r="IGS81" s="953"/>
      <c r="IGT81" s="953"/>
      <c r="IGU81" s="953"/>
      <c r="IGV81" s="953"/>
      <c r="IGW81" s="953"/>
      <c r="IGX81" s="953"/>
      <c r="IGY81" s="953"/>
      <c r="IGZ81" s="953"/>
      <c r="IHA81" s="953"/>
      <c r="IHB81" s="953"/>
      <c r="IHC81" s="953"/>
      <c r="IHD81" s="953"/>
      <c r="IHE81" s="953"/>
      <c r="IHF81" s="953"/>
      <c r="IHG81" s="953"/>
      <c r="IHH81" s="953"/>
      <c r="IHI81" s="953"/>
      <c r="IHJ81" s="953"/>
      <c r="IHK81" s="953"/>
      <c r="IHL81" s="953"/>
      <c r="IHM81" s="953"/>
      <c r="IHN81" s="953"/>
      <c r="IHO81" s="953"/>
      <c r="IHP81" s="953"/>
      <c r="IHQ81" s="953"/>
      <c r="IHR81" s="953"/>
      <c r="IHS81" s="953"/>
      <c r="IHT81" s="953"/>
      <c r="IHU81" s="953"/>
      <c r="IHV81" s="953"/>
      <c r="IHW81" s="953"/>
      <c r="IHX81" s="953"/>
      <c r="IHY81" s="953"/>
      <c r="IHZ81" s="953"/>
      <c r="IIA81" s="953"/>
      <c r="IIB81" s="953"/>
      <c r="IIC81" s="953"/>
      <c r="IID81" s="953"/>
      <c r="IIE81" s="953"/>
      <c r="IIF81" s="953"/>
      <c r="IIG81" s="953"/>
      <c r="IIH81" s="953"/>
      <c r="III81" s="953"/>
      <c r="IIJ81" s="953"/>
      <c r="IIK81" s="953"/>
      <c r="IIL81" s="953"/>
      <c r="IIM81" s="953"/>
      <c r="IIN81" s="953"/>
      <c r="IIO81" s="953"/>
      <c r="IIP81" s="953"/>
      <c r="IIQ81" s="953"/>
      <c r="IIR81" s="953"/>
      <c r="IIS81" s="953"/>
      <c r="IIT81" s="953"/>
      <c r="IIU81" s="953"/>
      <c r="IIV81" s="953"/>
      <c r="IIW81" s="953"/>
      <c r="IIX81" s="953"/>
      <c r="IIY81" s="953"/>
      <c r="IIZ81" s="953"/>
      <c r="IJA81" s="953"/>
      <c r="IJB81" s="953"/>
      <c r="IJC81" s="953"/>
      <c r="IJD81" s="953"/>
      <c r="IJE81" s="953"/>
      <c r="IJF81" s="953"/>
      <c r="IJG81" s="953"/>
      <c r="IJH81" s="953"/>
      <c r="IJI81" s="953"/>
      <c r="IJJ81" s="953"/>
      <c r="IJK81" s="953"/>
      <c r="IJL81" s="953"/>
      <c r="IJM81" s="953"/>
      <c r="IJN81" s="953"/>
      <c r="IJO81" s="953"/>
      <c r="IJP81" s="953"/>
      <c r="IJQ81" s="953"/>
      <c r="IJR81" s="953"/>
      <c r="IJS81" s="953"/>
      <c r="IJT81" s="953"/>
      <c r="IJU81" s="953"/>
      <c r="IJV81" s="953"/>
      <c r="IJW81" s="953"/>
      <c r="IJX81" s="953"/>
      <c r="IJY81" s="953"/>
      <c r="IJZ81" s="953"/>
      <c r="IKA81" s="953"/>
      <c r="IKB81" s="953"/>
      <c r="IKC81" s="953"/>
      <c r="IKD81" s="953"/>
      <c r="IKE81" s="953"/>
      <c r="IKF81" s="953"/>
      <c r="IKG81" s="953"/>
      <c r="IKH81" s="953"/>
      <c r="IKI81" s="953"/>
      <c r="IKJ81" s="953"/>
      <c r="IKK81" s="953"/>
      <c r="IKL81" s="953"/>
      <c r="IKM81" s="953"/>
      <c r="IKN81" s="953"/>
      <c r="IKO81" s="953"/>
      <c r="IKP81" s="953"/>
      <c r="IKQ81" s="953"/>
      <c r="IKR81" s="953"/>
      <c r="IKS81" s="953"/>
      <c r="IKT81" s="953"/>
      <c r="IKU81" s="953"/>
      <c r="IKV81" s="953"/>
      <c r="IKW81" s="953"/>
      <c r="IKX81" s="953"/>
      <c r="IKY81" s="953"/>
      <c r="IKZ81" s="953"/>
      <c r="ILA81" s="953"/>
      <c r="ILB81" s="953"/>
      <c r="ILC81" s="953"/>
      <c r="ILD81" s="953"/>
      <c r="ILE81" s="953"/>
      <c r="ILF81" s="953"/>
      <c r="ILG81" s="953"/>
      <c r="ILH81" s="953"/>
      <c r="ILI81" s="953"/>
      <c r="ILJ81" s="953"/>
      <c r="ILK81" s="953"/>
      <c r="ILL81" s="953"/>
      <c r="ILM81" s="953"/>
      <c r="ILN81" s="953"/>
      <c r="ILO81" s="953"/>
      <c r="ILP81" s="953"/>
      <c r="ILQ81" s="953"/>
      <c r="ILR81" s="953"/>
      <c r="ILS81" s="953"/>
      <c r="ILT81" s="953"/>
      <c r="ILU81" s="953"/>
      <c r="ILV81" s="953"/>
      <c r="ILW81" s="953"/>
      <c r="ILX81" s="953"/>
      <c r="ILY81" s="953"/>
      <c r="ILZ81" s="953"/>
      <c r="IMA81" s="953"/>
      <c r="IMB81" s="953"/>
      <c r="IMC81" s="953"/>
      <c r="IMD81" s="953"/>
      <c r="IME81" s="953"/>
      <c r="IMF81" s="953"/>
      <c r="IMG81" s="953"/>
      <c r="IMH81" s="953"/>
      <c r="IMI81" s="953"/>
      <c r="IMJ81" s="953"/>
      <c r="IMK81" s="953"/>
      <c r="IML81" s="953"/>
      <c r="IMM81" s="953"/>
      <c r="IMN81" s="953"/>
      <c r="IMO81" s="953"/>
      <c r="IMP81" s="953"/>
      <c r="IMQ81" s="953"/>
      <c r="IMR81" s="953"/>
      <c r="IMS81" s="953"/>
      <c r="IMT81" s="953"/>
      <c r="IMU81" s="953"/>
      <c r="IMV81" s="953"/>
      <c r="IMW81" s="953"/>
      <c r="IMX81" s="953"/>
      <c r="IMY81" s="953"/>
      <c r="IMZ81" s="953"/>
      <c r="INA81" s="953"/>
      <c r="INB81" s="953"/>
      <c r="INC81" s="953"/>
      <c r="IND81" s="953"/>
      <c r="INE81" s="953"/>
      <c r="INF81" s="953"/>
      <c r="ING81" s="953"/>
      <c r="INH81" s="953"/>
      <c r="INI81" s="953"/>
      <c r="INJ81" s="953"/>
      <c r="INK81" s="953"/>
      <c r="INL81" s="953"/>
      <c r="INM81" s="953"/>
      <c r="INN81" s="953"/>
      <c r="INO81" s="953"/>
      <c r="INP81" s="953"/>
      <c r="INQ81" s="953"/>
      <c r="INR81" s="953"/>
      <c r="INS81" s="953"/>
      <c r="INT81" s="953"/>
      <c r="INU81" s="953"/>
      <c r="INV81" s="953"/>
      <c r="INW81" s="953"/>
      <c r="INX81" s="953"/>
      <c r="INY81" s="953"/>
      <c r="INZ81" s="953"/>
      <c r="IOA81" s="953"/>
      <c r="IOB81" s="953"/>
      <c r="IOC81" s="953"/>
      <c r="IOD81" s="953"/>
      <c r="IOE81" s="953"/>
      <c r="IOF81" s="953"/>
      <c r="IOG81" s="953"/>
      <c r="IOH81" s="953"/>
      <c r="IOI81" s="953"/>
      <c r="IOJ81" s="953"/>
      <c r="IOK81" s="953"/>
      <c r="IOL81" s="953"/>
      <c r="IOM81" s="953"/>
      <c r="ION81" s="953"/>
      <c r="IOO81" s="953"/>
      <c r="IOP81" s="953"/>
      <c r="IOQ81" s="953"/>
      <c r="IOR81" s="953"/>
      <c r="IOS81" s="953"/>
      <c r="IOT81" s="953"/>
      <c r="IOU81" s="953"/>
      <c r="IOV81" s="953"/>
      <c r="IOW81" s="953"/>
      <c r="IOX81" s="953"/>
      <c r="IOY81" s="953"/>
      <c r="IOZ81" s="953"/>
      <c r="IPA81" s="953"/>
      <c r="IPB81" s="953"/>
      <c r="IPC81" s="953"/>
      <c r="IPD81" s="953"/>
      <c r="IPE81" s="953"/>
      <c r="IPF81" s="953"/>
      <c r="IPG81" s="953"/>
      <c r="IPH81" s="953"/>
      <c r="IPI81" s="953"/>
      <c r="IPJ81" s="953"/>
      <c r="IPK81" s="953"/>
      <c r="IPL81" s="953"/>
      <c r="IPM81" s="953"/>
      <c r="IPN81" s="953"/>
      <c r="IPO81" s="953"/>
      <c r="IPP81" s="953"/>
      <c r="IPQ81" s="953"/>
      <c r="IPR81" s="953"/>
      <c r="IPS81" s="953"/>
      <c r="IPT81" s="953"/>
      <c r="IPU81" s="953"/>
      <c r="IPV81" s="953"/>
      <c r="IPW81" s="953"/>
      <c r="IPX81" s="953"/>
      <c r="IPY81" s="953"/>
      <c r="IPZ81" s="953"/>
      <c r="IQA81" s="953"/>
      <c r="IQB81" s="953"/>
      <c r="IQC81" s="953"/>
      <c r="IQD81" s="953"/>
      <c r="IQE81" s="953"/>
      <c r="IQF81" s="953"/>
      <c r="IQG81" s="953"/>
      <c r="IQH81" s="953"/>
      <c r="IQI81" s="953"/>
      <c r="IQJ81" s="953"/>
      <c r="IQK81" s="953"/>
      <c r="IQL81" s="953"/>
      <c r="IQM81" s="953"/>
      <c r="IQN81" s="953"/>
      <c r="IQO81" s="953"/>
      <c r="IQP81" s="953"/>
      <c r="IQQ81" s="953"/>
      <c r="IQR81" s="953"/>
      <c r="IQS81" s="953"/>
      <c r="IQT81" s="953"/>
      <c r="IQU81" s="953"/>
      <c r="IQV81" s="953"/>
      <c r="IQW81" s="953"/>
      <c r="IQX81" s="953"/>
      <c r="IQY81" s="953"/>
      <c r="IQZ81" s="953"/>
      <c r="IRA81" s="953"/>
      <c r="IRB81" s="953"/>
      <c r="IRC81" s="953"/>
      <c r="IRD81" s="953"/>
      <c r="IRE81" s="953"/>
      <c r="IRF81" s="953"/>
      <c r="IRG81" s="953"/>
      <c r="IRH81" s="953"/>
      <c r="IRI81" s="953"/>
      <c r="IRJ81" s="953"/>
      <c r="IRK81" s="953"/>
      <c r="IRL81" s="953"/>
      <c r="IRM81" s="953"/>
      <c r="IRN81" s="953"/>
      <c r="IRO81" s="953"/>
      <c r="IRP81" s="953"/>
      <c r="IRQ81" s="953"/>
      <c r="IRR81" s="953"/>
      <c r="IRS81" s="953"/>
      <c r="IRT81" s="953"/>
      <c r="IRU81" s="953"/>
      <c r="IRV81" s="953"/>
      <c r="IRW81" s="953"/>
      <c r="IRX81" s="953"/>
      <c r="IRY81" s="953"/>
      <c r="IRZ81" s="953"/>
      <c r="ISA81" s="953"/>
      <c r="ISB81" s="953"/>
      <c r="ISC81" s="953"/>
      <c r="ISD81" s="953"/>
      <c r="ISE81" s="953"/>
      <c r="ISF81" s="953"/>
      <c r="ISG81" s="953"/>
      <c r="ISH81" s="953"/>
      <c r="ISI81" s="953"/>
      <c r="ISJ81" s="953"/>
      <c r="ISK81" s="953"/>
      <c r="ISL81" s="953"/>
      <c r="ISM81" s="953"/>
      <c r="ISN81" s="953"/>
      <c r="ISO81" s="953"/>
      <c r="ISP81" s="953"/>
      <c r="ISQ81" s="953"/>
      <c r="ISR81" s="953"/>
      <c r="ISS81" s="953"/>
      <c r="IST81" s="953"/>
      <c r="ISU81" s="953"/>
      <c r="ISV81" s="953"/>
      <c r="ISW81" s="953"/>
      <c r="ISX81" s="953"/>
      <c r="ISY81" s="953"/>
      <c r="ISZ81" s="953"/>
      <c r="ITA81" s="953"/>
      <c r="ITB81" s="953"/>
      <c r="ITC81" s="953"/>
      <c r="ITD81" s="953"/>
      <c r="ITE81" s="953"/>
      <c r="ITF81" s="953"/>
      <c r="ITG81" s="953"/>
      <c r="ITH81" s="953"/>
      <c r="ITI81" s="953"/>
      <c r="ITJ81" s="953"/>
      <c r="ITK81" s="953"/>
      <c r="ITL81" s="953"/>
      <c r="ITM81" s="953"/>
      <c r="ITN81" s="953"/>
      <c r="ITO81" s="953"/>
      <c r="ITP81" s="953"/>
      <c r="ITQ81" s="953"/>
      <c r="ITR81" s="953"/>
      <c r="ITS81" s="953"/>
      <c r="ITT81" s="953"/>
      <c r="ITU81" s="953"/>
      <c r="ITV81" s="953"/>
      <c r="ITW81" s="953"/>
      <c r="ITX81" s="953"/>
      <c r="ITY81" s="953"/>
      <c r="ITZ81" s="953"/>
      <c r="IUA81" s="953"/>
      <c r="IUB81" s="953"/>
      <c r="IUC81" s="953"/>
      <c r="IUD81" s="953"/>
      <c r="IUE81" s="953"/>
      <c r="IUF81" s="953"/>
      <c r="IUG81" s="953"/>
      <c r="IUH81" s="953"/>
      <c r="IUI81" s="953"/>
      <c r="IUJ81" s="953"/>
      <c r="IUK81" s="953"/>
      <c r="IUL81" s="953"/>
      <c r="IUM81" s="953"/>
      <c r="IUN81" s="953"/>
      <c r="IUO81" s="953"/>
      <c r="IUP81" s="953"/>
      <c r="IUQ81" s="953"/>
      <c r="IUR81" s="953"/>
      <c r="IUS81" s="953"/>
      <c r="IUT81" s="953"/>
      <c r="IUU81" s="953"/>
      <c r="IUV81" s="953"/>
      <c r="IUW81" s="953"/>
      <c r="IUX81" s="953"/>
      <c r="IUY81" s="953"/>
      <c r="IUZ81" s="953"/>
      <c r="IVA81" s="953"/>
      <c r="IVB81" s="953"/>
      <c r="IVC81" s="953"/>
      <c r="IVD81" s="953"/>
      <c r="IVE81" s="953"/>
      <c r="IVF81" s="953"/>
      <c r="IVG81" s="953"/>
      <c r="IVH81" s="953"/>
      <c r="IVI81" s="953"/>
      <c r="IVJ81" s="953"/>
      <c r="IVK81" s="953"/>
      <c r="IVL81" s="953"/>
      <c r="IVM81" s="953"/>
      <c r="IVN81" s="953"/>
      <c r="IVO81" s="953"/>
      <c r="IVP81" s="953"/>
      <c r="IVQ81" s="953"/>
      <c r="IVR81" s="953"/>
      <c r="IVS81" s="953"/>
      <c r="IVT81" s="953"/>
      <c r="IVU81" s="953"/>
      <c r="IVV81" s="953"/>
      <c r="IVW81" s="953"/>
      <c r="IVX81" s="953"/>
      <c r="IVY81" s="953"/>
      <c r="IVZ81" s="953"/>
      <c r="IWA81" s="953"/>
      <c r="IWB81" s="953"/>
      <c r="IWC81" s="953"/>
      <c r="IWD81" s="953"/>
      <c r="IWE81" s="953"/>
      <c r="IWF81" s="953"/>
      <c r="IWG81" s="953"/>
      <c r="IWH81" s="953"/>
      <c r="IWI81" s="953"/>
      <c r="IWJ81" s="953"/>
      <c r="IWK81" s="953"/>
      <c r="IWL81" s="953"/>
      <c r="IWM81" s="953"/>
      <c r="IWN81" s="953"/>
      <c r="IWO81" s="953"/>
      <c r="IWP81" s="953"/>
      <c r="IWQ81" s="953"/>
      <c r="IWR81" s="953"/>
      <c r="IWS81" s="953"/>
      <c r="IWT81" s="953"/>
      <c r="IWU81" s="953"/>
      <c r="IWV81" s="953"/>
      <c r="IWW81" s="953"/>
      <c r="IWX81" s="953"/>
      <c r="IWY81" s="953"/>
      <c r="IWZ81" s="953"/>
      <c r="IXA81" s="953"/>
      <c r="IXB81" s="953"/>
      <c r="IXC81" s="953"/>
      <c r="IXD81" s="953"/>
      <c r="IXE81" s="953"/>
      <c r="IXF81" s="953"/>
      <c r="IXG81" s="953"/>
      <c r="IXH81" s="953"/>
      <c r="IXI81" s="953"/>
      <c r="IXJ81" s="953"/>
      <c r="IXK81" s="953"/>
      <c r="IXL81" s="953"/>
      <c r="IXM81" s="953"/>
      <c r="IXN81" s="953"/>
      <c r="IXO81" s="953"/>
      <c r="IXP81" s="953"/>
      <c r="IXQ81" s="953"/>
      <c r="IXR81" s="953"/>
      <c r="IXS81" s="953"/>
      <c r="IXT81" s="953"/>
      <c r="IXU81" s="953"/>
      <c r="IXV81" s="953"/>
      <c r="IXW81" s="953"/>
      <c r="IXX81" s="953"/>
      <c r="IXY81" s="953"/>
      <c r="IXZ81" s="953"/>
      <c r="IYA81" s="953"/>
      <c r="IYB81" s="953"/>
      <c r="IYC81" s="953"/>
      <c r="IYD81" s="953"/>
      <c r="IYE81" s="953"/>
      <c r="IYF81" s="953"/>
      <c r="IYG81" s="953"/>
      <c r="IYH81" s="953"/>
      <c r="IYI81" s="953"/>
      <c r="IYJ81" s="953"/>
      <c r="IYK81" s="953"/>
      <c r="IYL81" s="953"/>
      <c r="IYM81" s="953"/>
      <c r="IYN81" s="953"/>
      <c r="IYO81" s="953"/>
      <c r="IYP81" s="953"/>
      <c r="IYQ81" s="953"/>
      <c r="IYR81" s="953"/>
      <c r="IYS81" s="953"/>
      <c r="IYT81" s="953"/>
      <c r="IYU81" s="953"/>
      <c r="IYV81" s="953"/>
      <c r="IYW81" s="953"/>
      <c r="IYX81" s="953"/>
      <c r="IYY81" s="953"/>
      <c r="IYZ81" s="953"/>
      <c r="IZA81" s="953"/>
      <c r="IZB81" s="953"/>
      <c r="IZC81" s="953"/>
      <c r="IZD81" s="953"/>
      <c r="IZE81" s="953"/>
      <c r="IZF81" s="953"/>
      <c r="IZG81" s="953"/>
      <c r="IZH81" s="953"/>
      <c r="IZI81" s="953"/>
      <c r="IZJ81" s="953"/>
      <c r="IZK81" s="953"/>
      <c r="IZL81" s="953"/>
      <c r="IZM81" s="953"/>
      <c r="IZN81" s="953"/>
      <c r="IZO81" s="953"/>
      <c r="IZP81" s="953"/>
      <c r="IZQ81" s="953"/>
      <c r="IZR81" s="953"/>
      <c r="IZS81" s="953"/>
      <c r="IZT81" s="953"/>
      <c r="IZU81" s="953"/>
      <c r="IZV81" s="953"/>
      <c r="IZW81" s="953"/>
      <c r="IZX81" s="953"/>
      <c r="IZY81" s="953"/>
      <c r="IZZ81" s="953"/>
      <c r="JAA81" s="953"/>
      <c r="JAB81" s="953"/>
      <c r="JAC81" s="953"/>
      <c r="JAD81" s="953"/>
      <c r="JAE81" s="953"/>
      <c r="JAF81" s="953"/>
      <c r="JAG81" s="953"/>
      <c r="JAH81" s="953"/>
      <c r="JAI81" s="953"/>
      <c r="JAJ81" s="953"/>
      <c r="JAK81" s="953"/>
      <c r="JAL81" s="953"/>
      <c r="JAM81" s="953"/>
      <c r="JAN81" s="953"/>
      <c r="JAO81" s="953"/>
      <c r="JAP81" s="953"/>
      <c r="JAQ81" s="953"/>
      <c r="JAR81" s="953"/>
      <c r="JAS81" s="953"/>
      <c r="JAT81" s="953"/>
      <c r="JAU81" s="953"/>
      <c r="JAV81" s="953"/>
      <c r="JAW81" s="953"/>
      <c r="JAX81" s="953"/>
      <c r="JAY81" s="953"/>
      <c r="JAZ81" s="953"/>
      <c r="JBA81" s="953"/>
      <c r="JBB81" s="953"/>
      <c r="JBC81" s="953"/>
      <c r="JBD81" s="953"/>
      <c r="JBE81" s="953"/>
      <c r="JBF81" s="953"/>
      <c r="JBG81" s="953"/>
      <c r="JBH81" s="953"/>
      <c r="JBI81" s="953"/>
      <c r="JBJ81" s="953"/>
      <c r="JBK81" s="953"/>
      <c r="JBL81" s="953"/>
      <c r="JBM81" s="953"/>
      <c r="JBN81" s="953"/>
      <c r="JBO81" s="953"/>
      <c r="JBP81" s="953"/>
      <c r="JBQ81" s="953"/>
      <c r="JBR81" s="953"/>
      <c r="JBS81" s="953"/>
      <c r="JBT81" s="953"/>
      <c r="JBU81" s="953"/>
      <c r="JBV81" s="953"/>
      <c r="JBW81" s="953"/>
      <c r="JBX81" s="953"/>
      <c r="JBY81" s="953"/>
      <c r="JBZ81" s="953"/>
      <c r="JCA81" s="953"/>
      <c r="JCB81" s="953"/>
      <c r="JCC81" s="953"/>
      <c r="JCD81" s="953"/>
      <c r="JCE81" s="953"/>
      <c r="JCF81" s="953"/>
      <c r="JCG81" s="953"/>
      <c r="JCH81" s="953"/>
      <c r="JCI81" s="953"/>
      <c r="JCJ81" s="953"/>
      <c r="JCK81" s="953"/>
      <c r="JCL81" s="953"/>
      <c r="JCM81" s="953"/>
      <c r="JCN81" s="953"/>
      <c r="JCO81" s="953"/>
      <c r="JCP81" s="953"/>
      <c r="JCQ81" s="953"/>
      <c r="JCR81" s="953"/>
      <c r="JCS81" s="953"/>
      <c r="JCT81" s="953"/>
      <c r="JCU81" s="953"/>
      <c r="JCV81" s="953"/>
      <c r="JCW81" s="953"/>
      <c r="JCX81" s="953"/>
      <c r="JCY81" s="953"/>
      <c r="JCZ81" s="953"/>
      <c r="JDA81" s="953"/>
      <c r="JDB81" s="953"/>
      <c r="JDC81" s="953"/>
      <c r="JDD81" s="953"/>
      <c r="JDE81" s="953"/>
      <c r="JDF81" s="953"/>
      <c r="JDG81" s="953"/>
      <c r="JDH81" s="953"/>
      <c r="JDI81" s="953"/>
      <c r="JDJ81" s="953"/>
      <c r="JDK81" s="953"/>
      <c r="JDL81" s="953"/>
      <c r="JDM81" s="953"/>
      <c r="JDN81" s="953"/>
      <c r="JDO81" s="953"/>
      <c r="JDP81" s="953"/>
      <c r="JDQ81" s="953"/>
      <c r="JDR81" s="953"/>
      <c r="JDS81" s="953"/>
      <c r="JDT81" s="953"/>
      <c r="JDU81" s="953"/>
      <c r="JDV81" s="953"/>
      <c r="JDW81" s="953"/>
      <c r="JDX81" s="953"/>
      <c r="JDY81" s="953"/>
      <c r="JDZ81" s="953"/>
      <c r="JEA81" s="953"/>
      <c r="JEB81" s="953"/>
      <c r="JEC81" s="953"/>
      <c r="JED81" s="953"/>
      <c r="JEE81" s="953"/>
      <c r="JEF81" s="953"/>
      <c r="JEG81" s="953"/>
      <c r="JEH81" s="953"/>
      <c r="JEI81" s="953"/>
      <c r="JEJ81" s="953"/>
      <c r="JEK81" s="953"/>
      <c r="JEL81" s="953"/>
      <c r="JEM81" s="953"/>
      <c r="JEN81" s="953"/>
      <c r="JEO81" s="953"/>
      <c r="JEP81" s="953"/>
      <c r="JEQ81" s="953"/>
      <c r="JER81" s="953"/>
      <c r="JES81" s="953"/>
      <c r="JET81" s="953"/>
      <c r="JEU81" s="953"/>
      <c r="JEV81" s="953"/>
      <c r="JEW81" s="953"/>
      <c r="JEX81" s="953"/>
      <c r="JEY81" s="953"/>
      <c r="JEZ81" s="953"/>
      <c r="JFA81" s="953"/>
      <c r="JFB81" s="953"/>
      <c r="JFC81" s="953"/>
      <c r="JFD81" s="953"/>
      <c r="JFE81" s="953"/>
      <c r="JFF81" s="953"/>
      <c r="JFG81" s="953"/>
      <c r="JFH81" s="953"/>
      <c r="JFI81" s="953"/>
      <c r="JFJ81" s="953"/>
      <c r="JFK81" s="953"/>
      <c r="JFL81" s="953"/>
      <c r="JFM81" s="953"/>
      <c r="JFN81" s="953"/>
      <c r="JFO81" s="953"/>
      <c r="JFP81" s="953"/>
      <c r="JFQ81" s="953"/>
      <c r="JFR81" s="953"/>
      <c r="JFS81" s="953"/>
      <c r="JFT81" s="953"/>
      <c r="JFU81" s="953"/>
      <c r="JFV81" s="953"/>
      <c r="JFW81" s="953"/>
      <c r="JFX81" s="953"/>
      <c r="JFY81" s="953"/>
      <c r="JFZ81" s="953"/>
      <c r="JGA81" s="953"/>
      <c r="JGB81" s="953"/>
      <c r="JGC81" s="953"/>
      <c r="JGD81" s="953"/>
      <c r="JGE81" s="953"/>
      <c r="JGF81" s="953"/>
      <c r="JGG81" s="953"/>
      <c r="JGH81" s="953"/>
      <c r="JGI81" s="953"/>
      <c r="JGJ81" s="953"/>
      <c r="JGK81" s="953"/>
      <c r="JGL81" s="953"/>
      <c r="JGM81" s="953"/>
      <c r="JGN81" s="953"/>
      <c r="JGO81" s="953"/>
      <c r="JGP81" s="953"/>
      <c r="JGQ81" s="953"/>
      <c r="JGR81" s="953"/>
      <c r="JGS81" s="953"/>
      <c r="JGT81" s="953"/>
      <c r="JGU81" s="953"/>
      <c r="JGV81" s="953"/>
      <c r="JGW81" s="953"/>
      <c r="JGX81" s="953"/>
      <c r="JGY81" s="953"/>
      <c r="JGZ81" s="953"/>
      <c r="JHA81" s="953"/>
      <c r="JHB81" s="953"/>
      <c r="JHC81" s="953"/>
      <c r="JHD81" s="953"/>
      <c r="JHE81" s="953"/>
      <c r="JHF81" s="953"/>
      <c r="JHG81" s="953"/>
      <c r="JHH81" s="953"/>
      <c r="JHI81" s="953"/>
      <c r="JHJ81" s="953"/>
      <c r="JHK81" s="953"/>
      <c r="JHL81" s="953"/>
      <c r="JHM81" s="953"/>
      <c r="JHN81" s="953"/>
      <c r="JHO81" s="953"/>
      <c r="JHP81" s="953"/>
      <c r="JHQ81" s="953"/>
      <c r="JHR81" s="953"/>
      <c r="JHS81" s="953"/>
      <c r="JHT81" s="953"/>
      <c r="JHU81" s="953"/>
      <c r="JHV81" s="953"/>
      <c r="JHW81" s="953"/>
      <c r="JHX81" s="953"/>
      <c r="JHY81" s="953"/>
      <c r="JHZ81" s="953"/>
      <c r="JIA81" s="953"/>
      <c r="JIB81" s="953"/>
      <c r="JIC81" s="953"/>
      <c r="JID81" s="953"/>
      <c r="JIE81" s="953"/>
      <c r="JIF81" s="953"/>
      <c r="JIG81" s="953"/>
      <c r="JIH81" s="953"/>
      <c r="JII81" s="953"/>
      <c r="JIJ81" s="953"/>
      <c r="JIK81" s="953"/>
      <c r="JIL81" s="953"/>
      <c r="JIM81" s="953"/>
      <c r="JIN81" s="953"/>
      <c r="JIO81" s="953"/>
      <c r="JIP81" s="953"/>
      <c r="JIQ81" s="953"/>
      <c r="JIR81" s="953"/>
      <c r="JIS81" s="953"/>
      <c r="JIT81" s="953"/>
      <c r="JIU81" s="953"/>
      <c r="JIV81" s="953"/>
      <c r="JIW81" s="953"/>
      <c r="JIX81" s="953"/>
      <c r="JIY81" s="953"/>
      <c r="JIZ81" s="953"/>
      <c r="JJA81" s="953"/>
      <c r="JJB81" s="953"/>
      <c r="JJC81" s="953"/>
      <c r="JJD81" s="953"/>
      <c r="JJE81" s="953"/>
      <c r="JJF81" s="953"/>
      <c r="JJG81" s="953"/>
      <c r="JJH81" s="953"/>
      <c r="JJI81" s="953"/>
      <c r="JJJ81" s="953"/>
      <c r="JJK81" s="953"/>
      <c r="JJL81" s="953"/>
      <c r="JJM81" s="953"/>
      <c r="JJN81" s="953"/>
      <c r="JJO81" s="953"/>
      <c r="JJP81" s="953"/>
      <c r="JJQ81" s="953"/>
      <c r="JJR81" s="953"/>
      <c r="JJS81" s="953"/>
      <c r="JJT81" s="953"/>
      <c r="JJU81" s="953"/>
      <c r="JJV81" s="953"/>
      <c r="JJW81" s="953"/>
      <c r="JJX81" s="953"/>
      <c r="JJY81" s="953"/>
      <c r="JJZ81" s="953"/>
      <c r="JKA81" s="953"/>
      <c r="JKB81" s="953"/>
      <c r="JKC81" s="953"/>
      <c r="JKD81" s="953"/>
      <c r="JKE81" s="953"/>
      <c r="JKF81" s="953"/>
      <c r="JKG81" s="953"/>
      <c r="JKH81" s="953"/>
      <c r="JKI81" s="953"/>
      <c r="JKJ81" s="953"/>
      <c r="JKK81" s="953"/>
      <c r="JKL81" s="953"/>
      <c r="JKM81" s="953"/>
      <c r="JKN81" s="953"/>
      <c r="JKO81" s="953"/>
      <c r="JKP81" s="953"/>
      <c r="JKQ81" s="953"/>
      <c r="JKR81" s="953"/>
      <c r="JKS81" s="953"/>
      <c r="JKT81" s="953"/>
      <c r="JKU81" s="953"/>
      <c r="JKV81" s="953"/>
      <c r="JKW81" s="953"/>
      <c r="JKX81" s="953"/>
      <c r="JKY81" s="953"/>
      <c r="JKZ81" s="953"/>
      <c r="JLA81" s="953"/>
      <c r="JLB81" s="953"/>
      <c r="JLC81" s="953"/>
      <c r="JLD81" s="953"/>
      <c r="JLE81" s="953"/>
      <c r="JLF81" s="953"/>
      <c r="JLG81" s="953"/>
      <c r="JLH81" s="953"/>
      <c r="JLI81" s="953"/>
      <c r="JLJ81" s="953"/>
      <c r="JLK81" s="953"/>
      <c r="JLL81" s="953"/>
      <c r="JLM81" s="953"/>
      <c r="JLN81" s="953"/>
      <c r="JLO81" s="953"/>
      <c r="JLP81" s="953"/>
      <c r="JLQ81" s="953"/>
      <c r="JLR81" s="953"/>
      <c r="JLS81" s="953"/>
      <c r="JLT81" s="953"/>
      <c r="JLU81" s="953"/>
      <c r="JLV81" s="953"/>
      <c r="JLW81" s="953"/>
      <c r="JLX81" s="953"/>
      <c r="JLY81" s="953"/>
      <c r="JLZ81" s="953"/>
      <c r="JMA81" s="953"/>
      <c r="JMB81" s="953"/>
      <c r="JMC81" s="953"/>
      <c r="JMD81" s="953"/>
      <c r="JME81" s="953"/>
      <c r="JMF81" s="953"/>
      <c r="JMG81" s="953"/>
      <c r="JMH81" s="953"/>
      <c r="JMI81" s="953"/>
      <c r="JMJ81" s="953"/>
      <c r="JMK81" s="953"/>
      <c r="JML81" s="953"/>
      <c r="JMM81" s="953"/>
      <c r="JMN81" s="953"/>
      <c r="JMO81" s="953"/>
      <c r="JMP81" s="953"/>
      <c r="JMQ81" s="953"/>
      <c r="JMR81" s="953"/>
      <c r="JMS81" s="953"/>
      <c r="JMT81" s="953"/>
      <c r="JMU81" s="953"/>
      <c r="JMV81" s="953"/>
      <c r="JMW81" s="953"/>
      <c r="JMX81" s="953"/>
      <c r="JMY81" s="953"/>
      <c r="JMZ81" s="953"/>
      <c r="JNA81" s="953"/>
      <c r="JNB81" s="953"/>
      <c r="JNC81" s="953"/>
      <c r="JND81" s="953"/>
      <c r="JNE81" s="953"/>
      <c r="JNF81" s="953"/>
      <c r="JNG81" s="953"/>
      <c r="JNH81" s="953"/>
      <c r="JNI81" s="953"/>
      <c r="JNJ81" s="953"/>
      <c r="JNK81" s="953"/>
      <c r="JNL81" s="953"/>
      <c r="JNM81" s="953"/>
      <c r="JNN81" s="953"/>
      <c r="JNO81" s="953"/>
      <c r="JNP81" s="953"/>
      <c r="JNQ81" s="953"/>
      <c r="JNR81" s="953"/>
      <c r="JNS81" s="953"/>
      <c r="JNT81" s="953"/>
      <c r="JNU81" s="953"/>
      <c r="JNV81" s="953"/>
      <c r="JNW81" s="953"/>
      <c r="JNX81" s="953"/>
      <c r="JNY81" s="953"/>
      <c r="JNZ81" s="953"/>
      <c r="JOA81" s="953"/>
      <c r="JOB81" s="953"/>
      <c r="JOC81" s="953"/>
      <c r="JOD81" s="953"/>
      <c r="JOE81" s="953"/>
      <c r="JOF81" s="953"/>
      <c r="JOG81" s="953"/>
      <c r="JOH81" s="953"/>
      <c r="JOI81" s="953"/>
      <c r="JOJ81" s="953"/>
      <c r="JOK81" s="953"/>
      <c r="JOL81" s="953"/>
      <c r="JOM81" s="953"/>
      <c r="JON81" s="953"/>
      <c r="JOO81" s="953"/>
      <c r="JOP81" s="953"/>
      <c r="JOQ81" s="953"/>
      <c r="JOR81" s="953"/>
      <c r="JOS81" s="953"/>
      <c r="JOT81" s="953"/>
      <c r="JOU81" s="953"/>
      <c r="JOV81" s="953"/>
      <c r="JOW81" s="953"/>
      <c r="JOX81" s="953"/>
      <c r="JOY81" s="953"/>
      <c r="JOZ81" s="953"/>
      <c r="JPA81" s="953"/>
      <c r="JPB81" s="953"/>
      <c r="JPC81" s="953"/>
      <c r="JPD81" s="953"/>
      <c r="JPE81" s="953"/>
      <c r="JPF81" s="953"/>
      <c r="JPG81" s="953"/>
      <c r="JPH81" s="953"/>
      <c r="JPI81" s="953"/>
      <c r="JPJ81" s="953"/>
      <c r="JPK81" s="953"/>
      <c r="JPL81" s="953"/>
      <c r="JPM81" s="953"/>
      <c r="JPN81" s="953"/>
      <c r="JPO81" s="953"/>
      <c r="JPP81" s="953"/>
      <c r="JPQ81" s="953"/>
      <c r="JPR81" s="953"/>
      <c r="JPS81" s="953"/>
      <c r="JPT81" s="953"/>
      <c r="JPU81" s="953"/>
      <c r="JPV81" s="953"/>
      <c r="JPW81" s="953"/>
      <c r="JPX81" s="953"/>
      <c r="JPY81" s="953"/>
      <c r="JPZ81" s="953"/>
      <c r="JQA81" s="953"/>
      <c r="JQB81" s="953"/>
      <c r="JQC81" s="953"/>
      <c r="JQD81" s="953"/>
      <c r="JQE81" s="953"/>
      <c r="JQF81" s="953"/>
      <c r="JQG81" s="953"/>
      <c r="JQH81" s="953"/>
      <c r="JQI81" s="953"/>
      <c r="JQJ81" s="953"/>
      <c r="JQK81" s="953"/>
      <c r="JQL81" s="953"/>
      <c r="JQM81" s="953"/>
      <c r="JQN81" s="953"/>
      <c r="JQO81" s="953"/>
      <c r="JQP81" s="953"/>
      <c r="JQQ81" s="953"/>
      <c r="JQR81" s="953"/>
      <c r="JQS81" s="953"/>
      <c r="JQT81" s="953"/>
      <c r="JQU81" s="953"/>
      <c r="JQV81" s="953"/>
      <c r="JQW81" s="953"/>
      <c r="JQX81" s="953"/>
      <c r="JQY81" s="953"/>
      <c r="JQZ81" s="953"/>
      <c r="JRA81" s="953"/>
      <c r="JRB81" s="953"/>
      <c r="JRC81" s="953"/>
      <c r="JRD81" s="953"/>
      <c r="JRE81" s="953"/>
      <c r="JRF81" s="953"/>
      <c r="JRG81" s="953"/>
      <c r="JRH81" s="953"/>
      <c r="JRI81" s="953"/>
      <c r="JRJ81" s="953"/>
      <c r="JRK81" s="953"/>
      <c r="JRL81" s="953"/>
      <c r="JRM81" s="953"/>
      <c r="JRN81" s="953"/>
      <c r="JRO81" s="953"/>
      <c r="JRP81" s="953"/>
      <c r="JRQ81" s="953"/>
      <c r="JRR81" s="953"/>
      <c r="JRS81" s="953"/>
      <c r="JRT81" s="953"/>
      <c r="JRU81" s="953"/>
      <c r="JRV81" s="953"/>
      <c r="JRW81" s="953"/>
      <c r="JRX81" s="953"/>
      <c r="JRY81" s="953"/>
      <c r="JRZ81" s="953"/>
      <c r="JSA81" s="953"/>
      <c r="JSB81" s="953"/>
      <c r="JSC81" s="953"/>
      <c r="JSD81" s="953"/>
      <c r="JSE81" s="953"/>
      <c r="JSF81" s="953"/>
      <c r="JSG81" s="953"/>
      <c r="JSH81" s="953"/>
      <c r="JSI81" s="953"/>
      <c r="JSJ81" s="953"/>
      <c r="JSK81" s="953"/>
      <c r="JSL81" s="953"/>
      <c r="JSM81" s="953"/>
      <c r="JSN81" s="953"/>
      <c r="JSO81" s="953"/>
      <c r="JSP81" s="953"/>
      <c r="JSQ81" s="953"/>
      <c r="JSR81" s="953"/>
      <c r="JSS81" s="953"/>
      <c r="JST81" s="953"/>
      <c r="JSU81" s="953"/>
      <c r="JSV81" s="953"/>
      <c r="JSW81" s="953"/>
      <c r="JSX81" s="953"/>
      <c r="JSY81" s="953"/>
      <c r="JSZ81" s="953"/>
      <c r="JTA81" s="953"/>
      <c r="JTB81" s="953"/>
      <c r="JTC81" s="953"/>
      <c r="JTD81" s="953"/>
      <c r="JTE81" s="953"/>
      <c r="JTF81" s="953"/>
      <c r="JTG81" s="953"/>
      <c r="JTH81" s="953"/>
      <c r="JTI81" s="953"/>
      <c r="JTJ81" s="953"/>
      <c r="JTK81" s="953"/>
      <c r="JTL81" s="953"/>
      <c r="JTM81" s="953"/>
      <c r="JTN81" s="953"/>
      <c r="JTO81" s="953"/>
      <c r="JTP81" s="953"/>
      <c r="JTQ81" s="953"/>
      <c r="JTR81" s="953"/>
      <c r="JTS81" s="953"/>
      <c r="JTT81" s="953"/>
      <c r="JTU81" s="953"/>
      <c r="JTV81" s="953"/>
      <c r="JTW81" s="953"/>
      <c r="JTX81" s="953"/>
      <c r="JTY81" s="953"/>
      <c r="JTZ81" s="953"/>
      <c r="JUA81" s="953"/>
      <c r="JUB81" s="953"/>
      <c r="JUC81" s="953"/>
      <c r="JUD81" s="953"/>
      <c r="JUE81" s="953"/>
      <c r="JUF81" s="953"/>
      <c r="JUG81" s="953"/>
      <c r="JUH81" s="953"/>
      <c r="JUI81" s="953"/>
      <c r="JUJ81" s="953"/>
      <c r="JUK81" s="953"/>
      <c r="JUL81" s="953"/>
      <c r="JUM81" s="953"/>
      <c r="JUN81" s="953"/>
      <c r="JUO81" s="953"/>
      <c r="JUP81" s="953"/>
      <c r="JUQ81" s="953"/>
      <c r="JUR81" s="953"/>
      <c r="JUS81" s="953"/>
      <c r="JUT81" s="953"/>
      <c r="JUU81" s="953"/>
      <c r="JUV81" s="953"/>
      <c r="JUW81" s="953"/>
      <c r="JUX81" s="953"/>
      <c r="JUY81" s="953"/>
      <c r="JUZ81" s="953"/>
      <c r="JVA81" s="953"/>
      <c r="JVB81" s="953"/>
      <c r="JVC81" s="953"/>
      <c r="JVD81" s="953"/>
      <c r="JVE81" s="953"/>
      <c r="JVF81" s="953"/>
      <c r="JVG81" s="953"/>
      <c r="JVH81" s="953"/>
      <c r="JVI81" s="953"/>
      <c r="JVJ81" s="953"/>
      <c r="JVK81" s="953"/>
      <c r="JVL81" s="953"/>
      <c r="JVM81" s="953"/>
      <c r="JVN81" s="953"/>
      <c r="JVO81" s="953"/>
      <c r="JVP81" s="953"/>
      <c r="JVQ81" s="953"/>
      <c r="JVR81" s="953"/>
      <c r="JVS81" s="953"/>
      <c r="JVT81" s="953"/>
      <c r="JVU81" s="953"/>
      <c r="JVV81" s="953"/>
      <c r="JVW81" s="953"/>
      <c r="JVX81" s="953"/>
      <c r="JVY81" s="953"/>
      <c r="JVZ81" s="953"/>
      <c r="JWA81" s="953"/>
      <c r="JWB81" s="953"/>
      <c r="JWC81" s="953"/>
      <c r="JWD81" s="953"/>
      <c r="JWE81" s="953"/>
      <c r="JWF81" s="953"/>
      <c r="JWG81" s="953"/>
      <c r="JWH81" s="953"/>
      <c r="JWI81" s="953"/>
      <c r="JWJ81" s="953"/>
      <c r="JWK81" s="953"/>
      <c r="JWL81" s="953"/>
      <c r="JWM81" s="953"/>
      <c r="JWN81" s="953"/>
      <c r="JWO81" s="953"/>
      <c r="JWP81" s="953"/>
      <c r="JWQ81" s="953"/>
      <c r="JWR81" s="953"/>
      <c r="JWS81" s="953"/>
      <c r="JWT81" s="953"/>
      <c r="JWU81" s="953"/>
      <c r="JWV81" s="953"/>
      <c r="JWW81" s="953"/>
      <c r="JWX81" s="953"/>
      <c r="JWY81" s="953"/>
      <c r="JWZ81" s="953"/>
      <c r="JXA81" s="953"/>
      <c r="JXB81" s="953"/>
      <c r="JXC81" s="953"/>
      <c r="JXD81" s="953"/>
      <c r="JXE81" s="953"/>
      <c r="JXF81" s="953"/>
      <c r="JXG81" s="953"/>
      <c r="JXH81" s="953"/>
      <c r="JXI81" s="953"/>
      <c r="JXJ81" s="953"/>
      <c r="JXK81" s="953"/>
      <c r="JXL81" s="953"/>
      <c r="JXM81" s="953"/>
      <c r="JXN81" s="953"/>
      <c r="JXO81" s="953"/>
      <c r="JXP81" s="953"/>
      <c r="JXQ81" s="953"/>
      <c r="JXR81" s="953"/>
      <c r="JXS81" s="953"/>
      <c r="JXT81" s="953"/>
      <c r="JXU81" s="953"/>
      <c r="JXV81" s="953"/>
      <c r="JXW81" s="953"/>
      <c r="JXX81" s="953"/>
      <c r="JXY81" s="953"/>
      <c r="JXZ81" s="953"/>
      <c r="JYA81" s="953"/>
      <c r="JYB81" s="953"/>
      <c r="JYC81" s="953"/>
      <c r="JYD81" s="953"/>
      <c r="JYE81" s="953"/>
      <c r="JYF81" s="953"/>
      <c r="JYG81" s="953"/>
      <c r="JYH81" s="953"/>
      <c r="JYI81" s="953"/>
      <c r="JYJ81" s="953"/>
      <c r="JYK81" s="953"/>
      <c r="JYL81" s="953"/>
      <c r="JYM81" s="953"/>
      <c r="JYN81" s="953"/>
      <c r="JYO81" s="953"/>
      <c r="JYP81" s="953"/>
      <c r="JYQ81" s="953"/>
      <c r="JYR81" s="953"/>
      <c r="JYS81" s="953"/>
      <c r="JYT81" s="953"/>
      <c r="JYU81" s="953"/>
      <c r="JYV81" s="953"/>
      <c r="JYW81" s="953"/>
      <c r="JYX81" s="953"/>
      <c r="JYY81" s="953"/>
      <c r="JYZ81" s="953"/>
      <c r="JZA81" s="953"/>
      <c r="JZB81" s="953"/>
      <c r="JZC81" s="953"/>
      <c r="JZD81" s="953"/>
      <c r="JZE81" s="953"/>
      <c r="JZF81" s="953"/>
      <c r="JZG81" s="953"/>
      <c r="JZH81" s="953"/>
      <c r="JZI81" s="953"/>
      <c r="JZJ81" s="953"/>
      <c r="JZK81" s="953"/>
      <c r="JZL81" s="953"/>
      <c r="JZM81" s="953"/>
      <c r="JZN81" s="953"/>
      <c r="JZO81" s="953"/>
      <c r="JZP81" s="953"/>
      <c r="JZQ81" s="953"/>
      <c r="JZR81" s="953"/>
      <c r="JZS81" s="953"/>
      <c r="JZT81" s="953"/>
      <c r="JZU81" s="953"/>
      <c r="JZV81" s="953"/>
      <c r="JZW81" s="953"/>
      <c r="JZX81" s="953"/>
      <c r="JZY81" s="953"/>
      <c r="JZZ81" s="953"/>
      <c r="KAA81" s="953"/>
      <c r="KAB81" s="953"/>
      <c r="KAC81" s="953"/>
      <c r="KAD81" s="953"/>
      <c r="KAE81" s="953"/>
      <c r="KAF81" s="953"/>
      <c r="KAG81" s="953"/>
      <c r="KAH81" s="953"/>
      <c r="KAI81" s="953"/>
      <c r="KAJ81" s="953"/>
      <c r="KAK81" s="953"/>
      <c r="KAL81" s="953"/>
      <c r="KAM81" s="953"/>
      <c r="KAN81" s="953"/>
      <c r="KAO81" s="953"/>
      <c r="KAP81" s="953"/>
      <c r="KAQ81" s="953"/>
      <c r="KAR81" s="953"/>
      <c r="KAS81" s="953"/>
      <c r="KAT81" s="953"/>
      <c r="KAU81" s="953"/>
      <c r="KAV81" s="953"/>
      <c r="KAW81" s="953"/>
      <c r="KAX81" s="953"/>
      <c r="KAY81" s="953"/>
      <c r="KAZ81" s="953"/>
      <c r="KBA81" s="953"/>
      <c r="KBB81" s="953"/>
      <c r="KBC81" s="953"/>
      <c r="KBD81" s="953"/>
      <c r="KBE81" s="953"/>
      <c r="KBF81" s="953"/>
      <c r="KBG81" s="953"/>
      <c r="KBH81" s="953"/>
      <c r="KBI81" s="953"/>
      <c r="KBJ81" s="953"/>
      <c r="KBK81" s="953"/>
      <c r="KBL81" s="953"/>
      <c r="KBM81" s="953"/>
      <c r="KBN81" s="953"/>
      <c r="KBO81" s="953"/>
      <c r="KBP81" s="953"/>
      <c r="KBQ81" s="953"/>
      <c r="KBR81" s="953"/>
      <c r="KBS81" s="953"/>
      <c r="KBT81" s="953"/>
      <c r="KBU81" s="953"/>
      <c r="KBV81" s="953"/>
      <c r="KBW81" s="953"/>
      <c r="KBX81" s="953"/>
      <c r="KBY81" s="953"/>
      <c r="KBZ81" s="953"/>
      <c r="KCA81" s="953"/>
      <c r="KCB81" s="953"/>
      <c r="KCC81" s="953"/>
      <c r="KCD81" s="953"/>
      <c r="KCE81" s="953"/>
      <c r="KCF81" s="953"/>
      <c r="KCG81" s="953"/>
      <c r="KCH81" s="953"/>
      <c r="KCI81" s="953"/>
      <c r="KCJ81" s="953"/>
      <c r="KCK81" s="953"/>
      <c r="KCL81" s="953"/>
      <c r="KCM81" s="953"/>
      <c r="KCN81" s="953"/>
      <c r="KCO81" s="953"/>
      <c r="KCP81" s="953"/>
      <c r="KCQ81" s="953"/>
      <c r="KCR81" s="953"/>
      <c r="KCS81" s="953"/>
      <c r="KCT81" s="953"/>
      <c r="KCU81" s="953"/>
      <c r="KCV81" s="953"/>
      <c r="KCW81" s="953"/>
      <c r="KCX81" s="953"/>
      <c r="KCY81" s="953"/>
      <c r="KCZ81" s="953"/>
      <c r="KDA81" s="953"/>
      <c r="KDB81" s="953"/>
      <c r="KDC81" s="953"/>
      <c r="KDD81" s="953"/>
      <c r="KDE81" s="953"/>
      <c r="KDF81" s="953"/>
      <c r="KDG81" s="953"/>
      <c r="KDH81" s="953"/>
      <c r="KDI81" s="953"/>
      <c r="KDJ81" s="953"/>
      <c r="KDK81" s="953"/>
      <c r="KDL81" s="953"/>
      <c r="KDM81" s="953"/>
      <c r="KDN81" s="953"/>
      <c r="KDO81" s="953"/>
      <c r="KDP81" s="953"/>
      <c r="KDQ81" s="953"/>
      <c r="KDR81" s="953"/>
      <c r="KDS81" s="953"/>
      <c r="KDT81" s="953"/>
      <c r="KDU81" s="953"/>
      <c r="KDV81" s="953"/>
      <c r="KDW81" s="953"/>
      <c r="KDX81" s="953"/>
      <c r="KDY81" s="953"/>
      <c r="KDZ81" s="953"/>
      <c r="KEA81" s="953"/>
      <c r="KEB81" s="953"/>
      <c r="KEC81" s="953"/>
      <c r="KED81" s="953"/>
      <c r="KEE81" s="953"/>
      <c r="KEF81" s="953"/>
      <c r="KEG81" s="953"/>
      <c r="KEH81" s="953"/>
      <c r="KEI81" s="953"/>
      <c r="KEJ81" s="953"/>
      <c r="KEK81" s="953"/>
      <c r="KEL81" s="953"/>
      <c r="KEM81" s="953"/>
      <c r="KEN81" s="953"/>
      <c r="KEO81" s="953"/>
      <c r="KEP81" s="953"/>
      <c r="KEQ81" s="953"/>
      <c r="KER81" s="953"/>
      <c r="KES81" s="953"/>
      <c r="KET81" s="953"/>
      <c r="KEU81" s="953"/>
      <c r="KEV81" s="953"/>
      <c r="KEW81" s="953"/>
      <c r="KEX81" s="953"/>
      <c r="KEY81" s="953"/>
      <c r="KEZ81" s="953"/>
      <c r="KFA81" s="953"/>
      <c r="KFB81" s="953"/>
      <c r="KFC81" s="953"/>
      <c r="KFD81" s="953"/>
      <c r="KFE81" s="953"/>
      <c r="KFF81" s="953"/>
      <c r="KFG81" s="953"/>
      <c r="KFH81" s="953"/>
      <c r="KFI81" s="953"/>
      <c r="KFJ81" s="953"/>
      <c r="KFK81" s="953"/>
      <c r="KFL81" s="953"/>
      <c r="KFM81" s="953"/>
      <c r="KFN81" s="953"/>
      <c r="KFO81" s="953"/>
      <c r="KFP81" s="953"/>
      <c r="KFQ81" s="953"/>
      <c r="KFR81" s="953"/>
      <c r="KFS81" s="953"/>
      <c r="KFT81" s="953"/>
      <c r="KFU81" s="953"/>
      <c r="KFV81" s="953"/>
      <c r="KFW81" s="953"/>
      <c r="KFX81" s="953"/>
      <c r="KFY81" s="953"/>
      <c r="KFZ81" s="953"/>
      <c r="KGA81" s="953"/>
      <c r="KGB81" s="953"/>
      <c r="KGC81" s="953"/>
      <c r="KGD81" s="953"/>
      <c r="KGE81" s="953"/>
      <c r="KGF81" s="953"/>
      <c r="KGG81" s="953"/>
      <c r="KGH81" s="953"/>
      <c r="KGI81" s="953"/>
      <c r="KGJ81" s="953"/>
      <c r="KGK81" s="953"/>
      <c r="KGL81" s="953"/>
      <c r="KGM81" s="953"/>
      <c r="KGN81" s="953"/>
      <c r="KGO81" s="953"/>
      <c r="KGP81" s="953"/>
      <c r="KGQ81" s="953"/>
      <c r="KGR81" s="953"/>
      <c r="KGS81" s="953"/>
      <c r="KGT81" s="953"/>
      <c r="KGU81" s="953"/>
      <c r="KGV81" s="953"/>
      <c r="KGW81" s="953"/>
      <c r="KGX81" s="953"/>
      <c r="KGY81" s="953"/>
      <c r="KGZ81" s="953"/>
      <c r="KHA81" s="953"/>
      <c r="KHB81" s="953"/>
      <c r="KHC81" s="953"/>
      <c r="KHD81" s="953"/>
      <c r="KHE81" s="953"/>
      <c r="KHF81" s="953"/>
      <c r="KHG81" s="953"/>
      <c r="KHH81" s="953"/>
      <c r="KHI81" s="953"/>
      <c r="KHJ81" s="953"/>
      <c r="KHK81" s="953"/>
      <c r="KHL81" s="953"/>
      <c r="KHM81" s="953"/>
      <c r="KHN81" s="953"/>
      <c r="KHO81" s="953"/>
      <c r="KHP81" s="953"/>
      <c r="KHQ81" s="953"/>
      <c r="KHR81" s="953"/>
      <c r="KHS81" s="953"/>
      <c r="KHT81" s="953"/>
      <c r="KHU81" s="953"/>
      <c r="KHV81" s="953"/>
      <c r="KHW81" s="953"/>
      <c r="KHX81" s="953"/>
      <c r="KHY81" s="953"/>
      <c r="KHZ81" s="953"/>
      <c r="KIA81" s="953"/>
      <c r="KIB81" s="953"/>
      <c r="KIC81" s="953"/>
      <c r="KID81" s="953"/>
      <c r="KIE81" s="953"/>
      <c r="KIF81" s="953"/>
      <c r="KIG81" s="953"/>
      <c r="KIH81" s="953"/>
      <c r="KII81" s="953"/>
      <c r="KIJ81" s="953"/>
      <c r="KIK81" s="953"/>
      <c r="KIL81" s="953"/>
      <c r="KIM81" s="953"/>
      <c r="KIN81" s="953"/>
      <c r="KIO81" s="953"/>
      <c r="KIP81" s="953"/>
      <c r="KIQ81" s="953"/>
      <c r="KIR81" s="953"/>
      <c r="KIS81" s="953"/>
      <c r="KIT81" s="953"/>
      <c r="KIU81" s="953"/>
      <c r="KIV81" s="953"/>
      <c r="KIW81" s="953"/>
      <c r="KIX81" s="953"/>
      <c r="KIY81" s="953"/>
      <c r="KIZ81" s="953"/>
      <c r="KJA81" s="953"/>
      <c r="KJB81" s="953"/>
      <c r="KJC81" s="953"/>
      <c r="KJD81" s="953"/>
      <c r="KJE81" s="953"/>
      <c r="KJF81" s="953"/>
      <c r="KJG81" s="953"/>
      <c r="KJH81" s="953"/>
      <c r="KJI81" s="953"/>
      <c r="KJJ81" s="953"/>
      <c r="KJK81" s="953"/>
      <c r="KJL81" s="953"/>
      <c r="KJM81" s="953"/>
      <c r="KJN81" s="953"/>
      <c r="KJO81" s="953"/>
      <c r="KJP81" s="953"/>
      <c r="KJQ81" s="953"/>
      <c r="KJR81" s="953"/>
      <c r="KJS81" s="953"/>
      <c r="KJT81" s="953"/>
      <c r="KJU81" s="953"/>
      <c r="KJV81" s="953"/>
      <c r="KJW81" s="953"/>
      <c r="KJX81" s="953"/>
      <c r="KJY81" s="953"/>
      <c r="KJZ81" s="953"/>
      <c r="KKA81" s="953"/>
      <c r="KKB81" s="953"/>
      <c r="KKC81" s="953"/>
      <c r="KKD81" s="953"/>
      <c r="KKE81" s="953"/>
      <c r="KKF81" s="953"/>
      <c r="KKG81" s="953"/>
      <c r="KKH81" s="953"/>
      <c r="KKI81" s="953"/>
      <c r="KKJ81" s="953"/>
      <c r="KKK81" s="953"/>
      <c r="KKL81" s="953"/>
      <c r="KKM81" s="953"/>
      <c r="KKN81" s="953"/>
      <c r="KKO81" s="953"/>
      <c r="KKP81" s="953"/>
      <c r="KKQ81" s="953"/>
      <c r="KKR81" s="953"/>
      <c r="KKS81" s="953"/>
      <c r="KKT81" s="953"/>
      <c r="KKU81" s="953"/>
      <c r="KKV81" s="953"/>
      <c r="KKW81" s="953"/>
      <c r="KKX81" s="953"/>
      <c r="KKY81" s="953"/>
      <c r="KKZ81" s="953"/>
      <c r="KLA81" s="953"/>
      <c r="KLB81" s="953"/>
      <c r="KLC81" s="953"/>
      <c r="KLD81" s="953"/>
      <c r="KLE81" s="953"/>
      <c r="KLF81" s="953"/>
      <c r="KLG81" s="953"/>
      <c r="KLH81" s="953"/>
      <c r="KLI81" s="953"/>
      <c r="KLJ81" s="953"/>
      <c r="KLK81" s="953"/>
      <c r="KLL81" s="953"/>
      <c r="KLM81" s="953"/>
      <c r="KLN81" s="953"/>
      <c r="KLO81" s="953"/>
      <c r="KLP81" s="953"/>
      <c r="KLQ81" s="953"/>
      <c r="KLR81" s="953"/>
      <c r="KLS81" s="953"/>
      <c r="KLT81" s="953"/>
      <c r="KLU81" s="953"/>
      <c r="KLV81" s="953"/>
      <c r="KLW81" s="953"/>
      <c r="KLX81" s="953"/>
      <c r="KLY81" s="953"/>
      <c r="KLZ81" s="953"/>
      <c r="KMA81" s="953"/>
      <c r="KMB81" s="953"/>
      <c r="KMC81" s="953"/>
      <c r="KMD81" s="953"/>
      <c r="KME81" s="953"/>
      <c r="KMF81" s="953"/>
      <c r="KMG81" s="953"/>
      <c r="KMH81" s="953"/>
      <c r="KMI81" s="953"/>
      <c r="KMJ81" s="953"/>
      <c r="KMK81" s="953"/>
      <c r="KML81" s="953"/>
      <c r="KMM81" s="953"/>
      <c r="KMN81" s="953"/>
      <c r="KMO81" s="953"/>
      <c r="KMP81" s="953"/>
      <c r="KMQ81" s="953"/>
      <c r="KMR81" s="953"/>
      <c r="KMS81" s="953"/>
      <c r="KMT81" s="953"/>
      <c r="KMU81" s="953"/>
      <c r="KMV81" s="953"/>
      <c r="KMW81" s="953"/>
      <c r="KMX81" s="953"/>
      <c r="KMY81" s="953"/>
      <c r="KMZ81" s="953"/>
      <c r="KNA81" s="953"/>
      <c r="KNB81" s="953"/>
      <c r="KNC81" s="953"/>
      <c r="KND81" s="953"/>
      <c r="KNE81" s="953"/>
      <c r="KNF81" s="953"/>
      <c r="KNG81" s="953"/>
      <c r="KNH81" s="953"/>
      <c r="KNI81" s="953"/>
      <c r="KNJ81" s="953"/>
      <c r="KNK81" s="953"/>
      <c r="KNL81" s="953"/>
      <c r="KNM81" s="953"/>
      <c r="KNN81" s="953"/>
      <c r="KNO81" s="953"/>
      <c r="KNP81" s="953"/>
      <c r="KNQ81" s="953"/>
      <c r="KNR81" s="953"/>
      <c r="KNS81" s="953"/>
      <c r="KNT81" s="953"/>
      <c r="KNU81" s="953"/>
      <c r="KNV81" s="953"/>
      <c r="KNW81" s="953"/>
      <c r="KNX81" s="953"/>
      <c r="KNY81" s="953"/>
      <c r="KNZ81" s="953"/>
      <c r="KOA81" s="953"/>
      <c r="KOB81" s="953"/>
      <c r="KOC81" s="953"/>
      <c r="KOD81" s="953"/>
      <c r="KOE81" s="953"/>
      <c r="KOF81" s="953"/>
      <c r="KOG81" s="953"/>
      <c r="KOH81" s="953"/>
      <c r="KOI81" s="953"/>
      <c r="KOJ81" s="953"/>
      <c r="KOK81" s="953"/>
      <c r="KOL81" s="953"/>
      <c r="KOM81" s="953"/>
      <c r="KON81" s="953"/>
      <c r="KOO81" s="953"/>
      <c r="KOP81" s="953"/>
      <c r="KOQ81" s="953"/>
      <c r="KOR81" s="953"/>
      <c r="KOS81" s="953"/>
      <c r="KOT81" s="953"/>
      <c r="KOU81" s="953"/>
      <c r="KOV81" s="953"/>
      <c r="KOW81" s="953"/>
      <c r="KOX81" s="953"/>
      <c r="KOY81" s="953"/>
      <c r="KOZ81" s="953"/>
      <c r="KPA81" s="953"/>
      <c r="KPB81" s="953"/>
      <c r="KPC81" s="953"/>
      <c r="KPD81" s="953"/>
      <c r="KPE81" s="953"/>
      <c r="KPF81" s="953"/>
      <c r="KPG81" s="953"/>
      <c r="KPH81" s="953"/>
      <c r="KPI81" s="953"/>
      <c r="KPJ81" s="953"/>
      <c r="KPK81" s="953"/>
      <c r="KPL81" s="953"/>
      <c r="KPM81" s="953"/>
      <c r="KPN81" s="953"/>
      <c r="KPO81" s="953"/>
      <c r="KPP81" s="953"/>
      <c r="KPQ81" s="953"/>
      <c r="KPR81" s="953"/>
      <c r="KPS81" s="953"/>
      <c r="KPT81" s="953"/>
      <c r="KPU81" s="953"/>
      <c r="KPV81" s="953"/>
      <c r="KPW81" s="953"/>
      <c r="KPX81" s="953"/>
      <c r="KPY81" s="953"/>
      <c r="KPZ81" s="953"/>
      <c r="KQA81" s="953"/>
      <c r="KQB81" s="953"/>
      <c r="KQC81" s="953"/>
      <c r="KQD81" s="953"/>
      <c r="KQE81" s="953"/>
      <c r="KQF81" s="953"/>
      <c r="KQG81" s="953"/>
      <c r="KQH81" s="953"/>
      <c r="KQI81" s="953"/>
      <c r="KQJ81" s="953"/>
      <c r="KQK81" s="953"/>
      <c r="KQL81" s="953"/>
      <c r="KQM81" s="953"/>
      <c r="KQN81" s="953"/>
      <c r="KQO81" s="953"/>
      <c r="KQP81" s="953"/>
      <c r="KQQ81" s="953"/>
      <c r="KQR81" s="953"/>
      <c r="KQS81" s="953"/>
      <c r="KQT81" s="953"/>
      <c r="KQU81" s="953"/>
      <c r="KQV81" s="953"/>
      <c r="KQW81" s="953"/>
      <c r="KQX81" s="953"/>
      <c r="KQY81" s="953"/>
      <c r="KQZ81" s="953"/>
      <c r="KRA81" s="953"/>
      <c r="KRB81" s="953"/>
      <c r="KRC81" s="953"/>
      <c r="KRD81" s="953"/>
      <c r="KRE81" s="953"/>
      <c r="KRF81" s="953"/>
      <c r="KRG81" s="953"/>
      <c r="KRH81" s="953"/>
      <c r="KRI81" s="953"/>
      <c r="KRJ81" s="953"/>
      <c r="KRK81" s="953"/>
      <c r="KRL81" s="953"/>
      <c r="KRM81" s="953"/>
      <c r="KRN81" s="953"/>
      <c r="KRO81" s="953"/>
      <c r="KRP81" s="953"/>
      <c r="KRQ81" s="953"/>
      <c r="KRR81" s="953"/>
      <c r="KRS81" s="953"/>
      <c r="KRT81" s="953"/>
      <c r="KRU81" s="953"/>
      <c r="KRV81" s="953"/>
      <c r="KRW81" s="953"/>
      <c r="KRX81" s="953"/>
      <c r="KRY81" s="953"/>
      <c r="KRZ81" s="953"/>
      <c r="KSA81" s="953"/>
      <c r="KSB81" s="953"/>
      <c r="KSC81" s="953"/>
      <c r="KSD81" s="953"/>
      <c r="KSE81" s="953"/>
      <c r="KSF81" s="953"/>
      <c r="KSG81" s="953"/>
      <c r="KSH81" s="953"/>
      <c r="KSI81" s="953"/>
      <c r="KSJ81" s="953"/>
      <c r="KSK81" s="953"/>
      <c r="KSL81" s="953"/>
      <c r="KSM81" s="953"/>
      <c r="KSN81" s="953"/>
      <c r="KSO81" s="953"/>
      <c r="KSP81" s="953"/>
      <c r="KSQ81" s="953"/>
      <c r="KSR81" s="953"/>
      <c r="KSS81" s="953"/>
      <c r="KST81" s="953"/>
      <c r="KSU81" s="953"/>
      <c r="KSV81" s="953"/>
      <c r="KSW81" s="953"/>
      <c r="KSX81" s="953"/>
      <c r="KSY81" s="953"/>
      <c r="KSZ81" s="953"/>
      <c r="KTA81" s="953"/>
      <c r="KTB81" s="953"/>
      <c r="KTC81" s="953"/>
      <c r="KTD81" s="953"/>
      <c r="KTE81" s="953"/>
      <c r="KTF81" s="953"/>
      <c r="KTG81" s="953"/>
      <c r="KTH81" s="953"/>
      <c r="KTI81" s="953"/>
      <c r="KTJ81" s="953"/>
      <c r="KTK81" s="953"/>
      <c r="KTL81" s="953"/>
      <c r="KTM81" s="953"/>
      <c r="KTN81" s="953"/>
      <c r="KTO81" s="953"/>
      <c r="KTP81" s="953"/>
      <c r="KTQ81" s="953"/>
      <c r="KTR81" s="953"/>
      <c r="KTS81" s="953"/>
      <c r="KTT81" s="953"/>
      <c r="KTU81" s="953"/>
      <c r="KTV81" s="953"/>
      <c r="KTW81" s="953"/>
      <c r="KTX81" s="953"/>
      <c r="KTY81" s="953"/>
      <c r="KTZ81" s="953"/>
      <c r="KUA81" s="953"/>
      <c r="KUB81" s="953"/>
      <c r="KUC81" s="953"/>
      <c r="KUD81" s="953"/>
      <c r="KUE81" s="953"/>
      <c r="KUF81" s="953"/>
      <c r="KUG81" s="953"/>
      <c r="KUH81" s="953"/>
      <c r="KUI81" s="953"/>
      <c r="KUJ81" s="953"/>
      <c r="KUK81" s="953"/>
      <c r="KUL81" s="953"/>
      <c r="KUM81" s="953"/>
      <c r="KUN81" s="953"/>
      <c r="KUO81" s="953"/>
      <c r="KUP81" s="953"/>
      <c r="KUQ81" s="953"/>
      <c r="KUR81" s="953"/>
      <c r="KUS81" s="953"/>
      <c r="KUT81" s="953"/>
      <c r="KUU81" s="953"/>
      <c r="KUV81" s="953"/>
      <c r="KUW81" s="953"/>
      <c r="KUX81" s="953"/>
      <c r="KUY81" s="953"/>
      <c r="KUZ81" s="953"/>
      <c r="KVA81" s="953"/>
      <c r="KVB81" s="953"/>
      <c r="KVC81" s="953"/>
      <c r="KVD81" s="953"/>
      <c r="KVE81" s="953"/>
      <c r="KVF81" s="953"/>
      <c r="KVG81" s="953"/>
      <c r="KVH81" s="953"/>
      <c r="KVI81" s="953"/>
      <c r="KVJ81" s="953"/>
      <c r="KVK81" s="953"/>
      <c r="KVL81" s="953"/>
      <c r="KVM81" s="953"/>
      <c r="KVN81" s="953"/>
      <c r="KVO81" s="953"/>
      <c r="KVP81" s="953"/>
      <c r="KVQ81" s="953"/>
      <c r="KVR81" s="953"/>
      <c r="KVS81" s="953"/>
      <c r="KVT81" s="953"/>
      <c r="KVU81" s="953"/>
      <c r="KVV81" s="953"/>
      <c r="KVW81" s="953"/>
      <c r="KVX81" s="953"/>
      <c r="KVY81" s="953"/>
      <c r="KVZ81" s="953"/>
      <c r="KWA81" s="953"/>
      <c r="KWB81" s="953"/>
      <c r="KWC81" s="953"/>
      <c r="KWD81" s="953"/>
      <c r="KWE81" s="953"/>
      <c r="KWF81" s="953"/>
      <c r="KWG81" s="953"/>
      <c r="KWH81" s="953"/>
      <c r="KWI81" s="953"/>
      <c r="KWJ81" s="953"/>
      <c r="KWK81" s="953"/>
      <c r="KWL81" s="953"/>
      <c r="KWM81" s="953"/>
      <c r="KWN81" s="953"/>
      <c r="KWO81" s="953"/>
      <c r="KWP81" s="953"/>
      <c r="KWQ81" s="953"/>
      <c r="KWR81" s="953"/>
      <c r="KWS81" s="953"/>
      <c r="KWT81" s="953"/>
      <c r="KWU81" s="953"/>
      <c r="KWV81" s="953"/>
      <c r="KWW81" s="953"/>
      <c r="KWX81" s="953"/>
      <c r="KWY81" s="953"/>
      <c r="KWZ81" s="953"/>
      <c r="KXA81" s="953"/>
      <c r="KXB81" s="953"/>
      <c r="KXC81" s="953"/>
      <c r="KXD81" s="953"/>
      <c r="KXE81" s="953"/>
      <c r="KXF81" s="953"/>
      <c r="KXG81" s="953"/>
      <c r="KXH81" s="953"/>
      <c r="KXI81" s="953"/>
      <c r="KXJ81" s="953"/>
      <c r="KXK81" s="953"/>
      <c r="KXL81" s="953"/>
      <c r="KXM81" s="953"/>
      <c r="KXN81" s="953"/>
      <c r="KXO81" s="953"/>
      <c r="KXP81" s="953"/>
      <c r="KXQ81" s="953"/>
      <c r="KXR81" s="953"/>
      <c r="KXS81" s="953"/>
      <c r="KXT81" s="953"/>
      <c r="KXU81" s="953"/>
      <c r="KXV81" s="953"/>
      <c r="KXW81" s="953"/>
      <c r="KXX81" s="953"/>
      <c r="KXY81" s="953"/>
      <c r="KXZ81" s="953"/>
      <c r="KYA81" s="953"/>
      <c r="KYB81" s="953"/>
      <c r="KYC81" s="953"/>
      <c r="KYD81" s="953"/>
      <c r="KYE81" s="953"/>
      <c r="KYF81" s="953"/>
      <c r="KYG81" s="953"/>
      <c r="KYH81" s="953"/>
      <c r="KYI81" s="953"/>
      <c r="KYJ81" s="953"/>
      <c r="KYK81" s="953"/>
      <c r="KYL81" s="953"/>
      <c r="KYM81" s="953"/>
      <c r="KYN81" s="953"/>
      <c r="KYO81" s="953"/>
      <c r="KYP81" s="953"/>
      <c r="KYQ81" s="953"/>
      <c r="KYR81" s="953"/>
      <c r="KYS81" s="953"/>
      <c r="KYT81" s="953"/>
      <c r="KYU81" s="953"/>
      <c r="KYV81" s="953"/>
      <c r="KYW81" s="953"/>
      <c r="KYX81" s="953"/>
      <c r="KYY81" s="953"/>
      <c r="KYZ81" s="953"/>
      <c r="KZA81" s="953"/>
      <c r="KZB81" s="953"/>
      <c r="KZC81" s="953"/>
      <c r="KZD81" s="953"/>
      <c r="KZE81" s="953"/>
      <c r="KZF81" s="953"/>
      <c r="KZG81" s="953"/>
      <c r="KZH81" s="953"/>
      <c r="KZI81" s="953"/>
      <c r="KZJ81" s="953"/>
      <c r="KZK81" s="953"/>
      <c r="KZL81" s="953"/>
      <c r="KZM81" s="953"/>
      <c r="KZN81" s="953"/>
      <c r="KZO81" s="953"/>
      <c r="KZP81" s="953"/>
      <c r="KZQ81" s="953"/>
      <c r="KZR81" s="953"/>
      <c r="KZS81" s="953"/>
      <c r="KZT81" s="953"/>
      <c r="KZU81" s="953"/>
      <c r="KZV81" s="953"/>
      <c r="KZW81" s="953"/>
      <c r="KZX81" s="953"/>
      <c r="KZY81" s="953"/>
      <c r="KZZ81" s="953"/>
      <c r="LAA81" s="953"/>
      <c r="LAB81" s="953"/>
      <c r="LAC81" s="953"/>
      <c r="LAD81" s="953"/>
      <c r="LAE81" s="953"/>
      <c r="LAF81" s="953"/>
      <c r="LAG81" s="953"/>
      <c r="LAH81" s="953"/>
      <c r="LAI81" s="953"/>
      <c r="LAJ81" s="953"/>
      <c r="LAK81" s="953"/>
      <c r="LAL81" s="953"/>
      <c r="LAM81" s="953"/>
      <c r="LAN81" s="953"/>
      <c r="LAO81" s="953"/>
      <c r="LAP81" s="953"/>
      <c r="LAQ81" s="953"/>
      <c r="LAR81" s="953"/>
      <c r="LAS81" s="953"/>
      <c r="LAT81" s="953"/>
      <c r="LAU81" s="953"/>
      <c r="LAV81" s="953"/>
      <c r="LAW81" s="953"/>
      <c r="LAX81" s="953"/>
      <c r="LAY81" s="953"/>
      <c r="LAZ81" s="953"/>
      <c r="LBA81" s="953"/>
      <c r="LBB81" s="953"/>
      <c r="LBC81" s="953"/>
      <c r="LBD81" s="953"/>
      <c r="LBE81" s="953"/>
      <c r="LBF81" s="953"/>
      <c r="LBG81" s="953"/>
      <c r="LBH81" s="953"/>
      <c r="LBI81" s="953"/>
      <c r="LBJ81" s="953"/>
      <c r="LBK81" s="953"/>
      <c r="LBL81" s="953"/>
      <c r="LBM81" s="953"/>
      <c r="LBN81" s="953"/>
      <c r="LBO81" s="953"/>
      <c r="LBP81" s="953"/>
      <c r="LBQ81" s="953"/>
      <c r="LBR81" s="953"/>
      <c r="LBS81" s="953"/>
      <c r="LBT81" s="953"/>
      <c r="LBU81" s="953"/>
      <c r="LBV81" s="953"/>
      <c r="LBW81" s="953"/>
      <c r="LBX81" s="953"/>
      <c r="LBY81" s="953"/>
      <c r="LBZ81" s="953"/>
      <c r="LCA81" s="953"/>
      <c r="LCB81" s="953"/>
      <c r="LCC81" s="953"/>
      <c r="LCD81" s="953"/>
      <c r="LCE81" s="953"/>
      <c r="LCF81" s="953"/>
      <c r="LCG81" s="953"/>
      <c r="LCH81" s="953"/>
      <c r="LCI81" s="953"/>
      <c r="LCJ81" s="953"/>
      <c r="LCK81" s="953"/>
      <c r="LCL81" s="953"/>
      <c r="LCM81" s="953"/>
      <c r="LCN81" s="953"/>
      <c r="LCO81" s="953"/>
      <c r="LCP81" s="953"/>
      <c r="LCQ81" s="953"/>
      <c r="LCR81" s="953"/>
      <c r="LCS81" s="953"/>
      <c r="LCT81" s="953"/>
      <c r="LCU81" s="953"/>
      <c r="LCV81" s="953"/>
      <c r="LCW81" s="953"/>
      <c r="LCX81" s="953"/>
      <c r="LCY81" s="953"/>
      <c r="LCZ81" s="953"/>
      <c r="LDA81" s="953"/>
      <c r="LDB81" s="953"/>
      <c r="LDC81" s="953"/>
      <c r="LDD81" s="953"/>
      <c r="LDE81" s="953"/>
      <c r="LDF81" s="953"/>
      <c r="LDG81" s="953"/>
      <c r="LDH81" s="953"/>
      <c r="LDI81" s="953"/>
      <c r="LDJ81" s="953"/>
      <c r="LDK81" s="953"/>
      <c r="LDL81" s="953"/>
      <c r="LDM81" s="953"/>
      <c r="LDN81" s="953"/>
      <c r="LDO81" s="953"/>
      <c r="LDP81" s="953"/>
      <c r="LDQ81" s="953"/>
      <c r="LDR81" s="953"/>
      <c r="LDS81" s="953"/>
      <c r="LDT81" s="953"/>
      <c r="LDU81" s="953"/>
      <c r="LDV81" s="953"/>
      <c r="LDW81" s="953"/>
      <c r="LDX81" s="953"/>
      <c r="LDY81" s="953"/>
      <c r="LDZ81" s="953"/>
      <c r="LEA81" s="953"/>
      <c r="LEB81" s="953"/>
      <c r="LEC81" s="953"/>
      <c r="LED81" s="953"/>
      <c r="LEE81" s="953"/>
      <c r="LEF81" s="953"/>
      <c r="LEG81" s="953"/>
      <c r="LEH81" s="953"/>
      <c r="LEI81" s="953"/>
      <c r="LEJ81" s="953"/>
      <c r="LEK81" s="953"/>
      <c r="LEL81" s="953"/>
      <c r="LEM81" s="953"/>
      <c r="LEN81" s="953"/>
      <c r="LEO81" s="953"/>
      <c r="LEP81" s="953"/>
      <c r="LEQ81" s="953"/>
      <c r="LER81" s="953"/>
      <c r="LES81" s="953"/>
      <c r="LET81" s="953"/>
      <c r="LEU81" s="953"/>
      <c r="LEV81" s="953"/>
      <c r="LEW81" s="953"/>
      <c r="LEX81" s="953"/>
      <c r="LEY81" s="953"/>
      <c r="LEZ81" s="953"/>
      <c r="LFA81" s="953"/>
      <c r="LFB81" s="953"/>
      <c r="LFC81" s="953"/>
      <c r="LFD81" s="953"/>
      <c r="LFE81" s="953"/>
      <c r="LFF81" s="953"/>
      <c r="LFG81" s="953"/>
      <c r="LFH81" s="953"/>
      <c r="LFI81" s="953"/>
      <c r="LFJ81" s="953"/>
      <c r="LFK81" s="953"/>
      <c r="LFL81" s="953"/>
      <c r="LFM81" s="953"/>
      <c r="LFN81" s="953"/>
      <c r="LFO81" s="953"/>
      <c r="LFP81" s="953"/>
      <c r="LFQ81" s="953"/>
      <c r="LFR81" s="953"/>
      <c r="LFS81" s="953"/>
      <c r="LFT81" s="953"/>
      <c r="LFU81" s="953"/>
      <c r="LFV81" s="953"/>
      <c r="LFW81" s="953"/>
      <c r="LFX81" s="953"/>
      <c r="LFY81" s="953"/>
      <c r="LFZ81" s="953"/>
      <c r="LGA81" s="953"/>
      <c r="LGB81" s="953"/>
      <c r="LGC81" s="953"/>
      <c r="LGD81" s="953"/>
      <c r="LGE81" s="953"/>
      <c r="LGF81" s="953"/>
      <c r="LGG81" s="953"/>
      <c r="LGH81" s="953"/>
      <c r="LGI81" s="953"/>
      <c r="LGJ81" s="953"/>
      <c r="LGK81" s="953"/>
      <c r="LGL81" s="953"/>
      <c r="LGM81" s="953"/>
      <c r="LGN81" s="953"/>
      <c r="LGO81" s="953"/>
      <c r="LGP81" s="953"/>
      <c r="LGQ81" s="953"/>
      <c r="LGR81" s="953"/>
      <c r="LGS81" s="953"/>
      <c r="LGT81" s="953"/>
      <c r="LGU81" s="953"/>
      <c r="LGV81" s="953"/>
      <c r="LGW81" s="953"/>
      <c r="LGX81" s="953"/>
      <c r="LGY81" s="953"/>
      <c r="LGZ81" s="953"/>
      <c r="LHA81" s="953"/>
      <c r="LHB81" s="953"/>
      <c r="LHC81" s="953"/>
      <c r="LHD81" s="953"/>
      <c r="LHE81" s="953"/>
      <c r="LHF81" s="953"/>
      <c r="LHG81" s="953"/>
      <c r="LHH81" s="953"/>
      <c r="LHI81" s="953"/>
      <c r="LHJ81" s="953"/>
      <c r="LHK81" s="953"/>
      <c r="LHL81" s="953"/>
      <c r="LHM81" s="953"/>
      <c r="LHN81" s="953"/>
      <c r="LHO81" s="953"/>
      <c r="LHP81" s="953"/>
      <c r="LHQ81" s="953"/>
      <c r="LHR81" s="953"/>
      <c r="LHS81" s="953"/>
      <c r="LHT81" s="953"/>
      <c r="LHU81" s="953"/>
      <c r="LHV81" s="953"/>
      <c r="LHW81" s="953"/>
      <c r="LHX81" s="953"/>
      <c r="LHY81" s="953"/>
      <c r="LHZ81" s="953"/>
      <c r="LIA81" s="953"/>
      <c r="LIB81" s="953"/>
      <c r="LIC81" s="953"/>
      <c r="LID81" s="953"/>
      <c r="LIE81" s="953"/>
      <c r="LIF81" s="953"/>
      <c r="LIG81" s="953"/>
      <c r="LIH81" s="953"/>
      <c r="LII81" s="953"/>
      <c r="LIJ81" s="953"/>
      <c r="LIK81" s="953"/>
      <c r="LIL81" s="953"/>
      <c r="LIM81" s="953"/>
      <c r="LIN81" s="953"/>
      <c r="LIO81" s="953"/>
      <c r="LIP81" s="953"/>
      <c r="LIQ81" s="953"/>
      <c r="LIR81" s="953"/>
      <c r="LIS81" s="953"/>
      <c r="LIT81" s="953"/>
      <c r="LIU81" s="953"/>
      <c r="LIV81" s="953"/>
      <c r="LIW81" s="953"/>
      <c r="LIX81" s="953"/>
      <c r="LIY81" s="953"/>
      <c r="LIZ81" s="953"/>
      <c r="LJA81" s="953"/>
      <c r="LJB81" s="953"/>
      <c r="LJC81" s="953"/>
      <c r="LJD81" s="953"/>
      <c r="LJE81" s="953"/>
      <c r="LJF81" s="953"/>
      <c r="LJG81" s="953"/>
      <c r="LJH81" s="953"/>
      <c r="LJI81" s="953"/>
      <c r="LJJ81" s="953"/>
      <c r="LJK81" s="953"/>
      <c r="LJL81" s="953"/>
      <c r="LJM81" s="953"/>
      <c r="LJN81" s="953"/>
      <c r="LJO81" s="953"/>
      <c r="LJP81" s="953"/>
      <c r="LJQ81" s="953"/>
      <c r="LJR81" s="953"/>
      <c r="LJS81" s="953"/>
      <c r="LJT81" s="953"/>
      <c r="LJU81" s="953"/>
      <c r="LJV81" s="953"/>
      <c r="LJW81" s="953"/>
      <c r="LJX81" s="953"/>
      <c r="LJY81" s="953"/>
      <c r="LJZ81" s="953"/>
      <c r="LKA81" s="953"/>
      <c r="LKB81" s="953"/>
      <c r="LKC81" s="953"/>
      <c r="LKD81" s="953"/>
      <c r="LKE81" s="953"/>
      <c r="LKF81" s="953"/>
      <c r="LKG81" s="953"/>
      <c r="LKH81" s="953"/>
      <c r="LKI81" s="953"/>
      <c r="LKJ81" s="953"/>
      <c r="LKK81" s="953"/>
      <c r="LKL81" s="953"/>
      <c r="LKM81" s="953"/>
      <c r="LKN81" s="953"/>
      <c r="LKO81" s="953"/>
      <c r="LKP81" s="953"/>
      <c r="LKQ81" s="953"/>
      <c r="LKR81" s="953"/>
      <c r="LKS81" s="953"/>
      <c r="LKT81" s="953"/>
      <c r="LKU81" s="953"/>
      <c r="LKV81" s="953"/>
      <c r="LKW81" s="953"/>
      <c r="LKX81" s="953"/>
      <c r="LKY81" s="953"/>
      <c r="LKZ81" s="953"/>
      <c r="LLA81" s="953"/>
      <c r="LLB81" s="953"/>
      <c r="LLC81" s="953"/>
      <c r="LLD81" s="953"/>
      <c r="LLE81" s="953"/>
      <c r="LLF81" s="953"/>
      <c r="LLG81" s="953"/>
      <c r="LLH81" s="953"/>
      <c r="LLI81" s="953"/>
      <c r="LLJ81" s="953"/>
      <c r="LLK81" s="953"/>
      <c r="LLL81" s="953"/>
      <c r="LLM81" s="953"/>
      <c r="LLN81" s="953"/>
      <c r="LLO81" s="953"/>
      <c r="LLP81" s="953"/>
      <c r="LLQ81" s="953"/>
      <c r="LLR81" s="953"/>
      <c r="LLS81" s="953"/>
      <c r="LLT81" s="953"/>
      <c r="LLU81" s="953"/>
      <c r="LLV81" s="953"/>
      <c r="LLW81" s="953"/>
      <c r="LLX81" s="953"/>
      <c r="LLY81" s="953"/>
      <c r="LLZ81" s="953"/>
      <c r="LMA81" s="953"/>
      <c r="LMB81" s="953"/>
      <c r="LMC81" s="953"/>
      <c r="LMD81" s="953"/>
      <c r="LME81" s="953"/>
      <c r="LMF81" s="953"/>
      <c r="LMG81" s="953"/>
      <c r="LMH81" s="953"/>
      <c r="LMI81" s="953"/>
      <c r="LMJ81" s="953"/>
      <c r="LMK81" s="953"/>
      <c r="LML81" s="953"/>
      <c r="LMM81" s="953"/>
      <c r="LMN81" s="953"/>
      <c r="LMO81" s="953"/>
      <c r="LMP81" s="953"/>
      <c r="LMQ81" s="953"/>
      <c r="LMR81" s="953"/>
      <c r="LMS81" s="953"/>
      <c r="LMT81" s="953"/>
      <c r="LMU81" s="953"/>
      <c r="LMV81" s="953"/>
      <c r="LMW81" s="953"/>
      <c r="LMX81" s="953"/>
      <c r="LMY81" s="953"/>
      <c r="LMZ81" s="953"/>
      <c r="LNA81" s="953"/>
      <c r="LNB81" s="953"/>
      <c r="LNC81" s="953"/>
      <c r="LND81" s="953"/>
      <c r="LNE81" s="953"/>
      <c r="LNF81" s="953"/>
      <c r="LNG81" s="953"/>
      <c r="LNH81" s="953"/>
      <c r="LNI81" s="953"/>
      <c r="LNJ81" s="953"/>
      <c r="LNK81" s="953"/>
      <c r="LNL81" s="953"/>
      <c r="LNM81" s="953"/>
      <c r="LNN81" s="953"/>
      <c r="LNO81" s="953"/>
      <c r="LNP81" s="953"/>
      <c r="LNQ81" s="953"/>
      <c r="LNR81" s="953"/>
      <c r="LNS81" s="953"/>
      <c r="LNT81" s="953"/>
      <c r="LNU81" s="953"/>
      <c r="LNV81" s="953"/>
      <c r="LNW81" s="953"/>
      <c r="LNX81" s="953"/>
      <c r="LNY81" s="953"/>
      <c r="LNZ81" s="953"/>
      <c r="LOA81" s="953"/>
      <c r="LOB81" s="953"/>
      <c r="LOC81" s="953"/>
      <c r="LOD81" s="953"/>
      <c r="LOE81" s="953"/>
      <c r="LOF81" s="953"/>
      <c r="LOG81" s="953"/>
      <c r="LOH81" s="953"/>
      <c r="LOI81" s="953"/>
      <c r="LOJ81" s="953"/>
      <c r="LOK81" s="953"/>
      <c r="LOL81" s="953"/>
      <c r="LOM81" s="953"/>
      <c r="LON81" s="953"/>
      <c r="LOO81" s="953"/>
      <c r="LOP81" s="953"/>
      <c r="LOQ81" s="953"/>
      <c r="LOR81" s="953"/>
      <c r="LOS81" s="953"/>
      <c r="LOT81" s="953"/>
      <c r="LOU81" s="953"/>
      <c r="LOV81" s="953"/>
      <c r="LOW81" s="953"/>
      <c r="LOX81" s="953"/>
      <c r="LOY81" s="953"/>
      <c r="LOZ81" s="953"/>
      <c r="LPA81" s="953"/>
      <c r="LPB81" s="953"/>
      <c r="LPC81" s="953"/>
      <c r="LPD81" s="953"/>
      <c r="LPE81" s="953"/>
      <c r="LPF81" s="953"/>
      <c r="LPG81" s="953"/>
      <c r="LPH81" s="953"/>
      <c r="LPI81" s="953"/>
      <c r="LPJ81" s="953"/>
      <c r="LPK81" s="953"/>
      <c r="LPL81" s="953"/>
      <c r="LPM81" s="953"/>
      <c r="LPN81" s="953"/>
      <c r="LPO81" s="953"/>
      <c r="LPP81" s="953"/>
      <c r="LPQ81" s="953"/>
      <c r="LPR81" s="953"/>
      <c r="LPS81" s="953"/>
      <c r="LPT81" s="953"/>
      <c r="LPU81" s="953"/>
      <c r="LPV81" s="953"/>
      <c r="LPW81" s="953"/>
      <c r="LPX81" s="953"/>
      <c r="LPY81" s="953"/>
      <c r="LPZ81" s="953"/>
      <c r="LQA81" s="953"/>
      <c r="LQB81" s="953"/>
      <c r="LQC81" s="953"/>
      <c r="LQD81" s="953"/>
      <c r="LQE81" s="953"/>
      <c r="LQF81" s="953"/>
      <c r="LQG81" s="953"/>
      <c r="LQH81" s="953"/>
      <c r="LQI81" s="953"/>
      <c r="LQJ81" s="953"/>
      <c r="LQK81" s="953"/>
      <c r="LQL81" s="953"/>
      <c r="LQM81" s="953"/>
      <c r="LQN81" s="953"/>
      <c r="LQO81" s="953"/>
      <c r="LQP81" s="953"/>
      <c r="LQQ81" s="953"/>
      <c r="LQR81" s="953"/>
      <c r="LQS81" s="953"/>
      <c r="LQT81" s="953"/>
      <c r="LQU81" s="953"/>
      <c r="LQV81" s="953"/>
      <c r="LQW81" s="953"/>
      <c r="LQX81" s="953"/>
      <c r="LQY81" s="953"/>
      <c r="LQZ81" s="953"/>
      <c r="LRA81" s="953"/>
      <c r="LRB81" s="953"/>
      <c r="LRC81" s="953"/>
      <c r="LRD81" s="953"/>
      <c r="LRE81" s="953"/>
      <c r="LRF81" s="953"/>
      <c r="LRG81" s="953"/>
      <c r="LRH81" s="953"/>
      <c r="LRI81" s="953"/>
      <c r="LRJ81" s="953"/>
      <c r="LRK81" s="953"/>
      <c r="LRL81" s="953"/>
      <c r="LRM81" s="953"/>
      <c r="LRN81" s="953"/>
      <c r="LRO81" s="953"/>
      <c r="LRP81" s="953"/>
      <c r="LRQ81" s="953"/>
      <c r="LRR81" s="953"/>
      <c r="LRS81" s="953"/>
      <c r="LRT81" s="953"/>
      <c r="LRU81" s="953"/>
      <c r="LRV81" s="953"/>
      <c r="LRW81" s="953"/>
      <c r="LRX81" s="953"/>
      <c r="LRY81" s="953"/>
      <c r="LRZ81" s="953"/>
      <c r="LSA81" s="953"/>
      <c r="LSB81" s="953"/>
      <c r="LSC81" s="953"/>
      <c r="LSD81" s="953"/>
      <c r="LSE81" s="953"/>
      <c r="LSF81" s="953"/>
      <c r="LSG81" s="953"/>
      <c r="LSH81" s="953"/>
      <c r="LSI81" s="953"/>
      <c r="LSJ81" s="953"/>
      <c r="LSK81" s="953"/>
      <c r="LSL81" s="953"/>
      <c r="LSM81" s="953"/>
      <c r="LSN81" s="953"/>
      <c r="LSO81" s="953"/>
      <c r="LSP81" s="953"/>
      <c r="LSQ81" s="953"/>
      <c r="LSR81" s="953"/>
      <c r="LSS81" s="953"/>
      <c r="LST81" s="953"/>
      <c r="LSU81" s="953"/>
      <c r="LSV81" s="953"/>
      <c r="LSW81" s="953"/>
      <c r="LSX81" s="953"/>
      <c r="LSY81" s="953"/>
      <c r="LSZ81" s="953"/>
      <c r="LTA81" s="953"/>
      <c r="LTB81" s="953"/>
      <c r="LTC81" s="953"/>
      <c r="LTD81" s="953"/>
      <c r="LTE81" s="953"/>
      <c r="LTF81" s="953"/>
      <c r="LTG81" s="953"/>
      <c r="LTH81" s="953"/>
      <c r="LTI81" s="953"/>
      <c r="LTJ81" s="953"/>
      <c r="LTK81" s="953"/>
      <c r="LTL81" s="953"/>
      <c r="LTM81" s="953"/>
      <c r="LTN81" s="953"/>
      <c r="LTO81" s="953"/>
      <c r="LTP81" s="953"/>
      <c r="LTQ81" s="953"/>
      <c r="LTR81" s="953"/>
      <c r="LTS81" s="953"/>
      <c r="LTT81" s="953"/>
      <c r="LTU81" s="953"/>
      <c r="LTV81" s="953"/>
      <c r="LTW81" s="953"/>
      <c r="LTX81" s="953"/>
      <c r="LTY81" s="953"/>
      <c r="LTZ81" s="953"/>
      <c r="LUA81" s="953"/>
      <c r="LUB81" s="953"/>
      <c r="LUC81" s="953"/>
      <c r="LUD81" s="953"/>
      <c r="LUE81" s="953"/>
      <c r="LUF81" s="953"/>
      <c r="LUG81" s="953"/>
      <c r="LUH81" s="953"/>
      <c r="LUI81" s="953"/>
      <c r="LUJ81" s="953"/>
      <c r="LUK81" s="953"/>
      <c r="LUL81" s="953"/>
      <c r="LUM81" s="953"/>
      <c r="LUN81" s="953"/>
      <c r="LUO81" s="953"/>
      <c r="LUP81" s="953"/>
      <c r="LUQ81" s="953"/>
      <c r="LUR81" s="953"/>
      <c r="LUS81" s="953"/>
      <c r="LUT81" s="953"/>
      <c r="LUU81" s="953"/>
      <c r="LUV81" s="953"/>
      <c r="LUW81" s="953"/>
      <c r="LUX81" s="953"/>
      <c r="LUY81" s="953"/>
      <c r="LUZ81" s="953"/>
      <c r="LVA81" s="953"/>
      <c r="LVB81" s="953"/>
      <c r="LVC81" s="953"/>
      <c r="LVD81" s="953"/>
      <c r="LVE81" s="953"/>
      <c r="LVF81" s="953"/>
      <c r="LVG81" s="953"/>
      <c r="LVH81" s="953"/>
      <c r="LVI81" s="953"/>
      <c r="LVJ81" s="953"/>
      <c r="LVK81" s="953"/>
      <c r="LVL81" s="953"/>
      <c r="LVM81" s="953"/>
      <c r="LVN81" s="953"/>
      <c r="LVO81" s="953"/>
      <c r="LVP81" s="953"/>
      <c r="LVQ81" s="953"/>
      <c r="LVR81" s="953"/>
      <c r="LVS81" s="953"/>
      <c r="LVT81" s="953"/>
      <c r="LVU81" s="953"/>
      <c r="LVV81" s="953"/>
      <c r="LVW81" s="953"/>
      <c r="LVX81" s="953"/>
      <c r="LVY81" s="953"/>
      <c r="LVZ81" s="953"/>
      <c r="LWA81" s="953"/>
      <c r="LWB81" s="953"/>
      <c r="LWC81" s="953"/>
      <c r="LWD81" s="953"/>
      <c r="LWE81" s="953"/>
      <c r="LWF81" s="953"/>
      <c r="LWG81" s="953"/>
      <c r="LWH81" s="953"/>
      <c r="LWI81" s="953"/>
      <c r="LWJ81" s="953"/>
      <c r="LWK81" s="953"/>
      <c r="LWL81" s="953"/>
      <c r="LWM81" s="953"/>
      <c r="LWN81" s="953"/>
      <c r="LWO81" s="953"/>
      <c r="LWP81" s="953"/>
      <c r="LWQ81" s="953"/>
      <c r="LWR81" s="953"/>
      <c r="LWS81" s="953"/>
      <c r="LWT81" s="953"/>
      <c r="LWU81" s="953"/>
      <c r="LWV81" s="953"/>
      <c r="LWW81" s="953"/>
      <c r="LWX81" s="953"/>
      <c r="LWY81" s="953"/>
      <c r="LWZ81" s="953"/>
      <c r="LXA81" s="953"/>
      <c r="LXB81" s="953"/>
      <c r="LXC81" s="953"/>
      <c r="LXD81" s="953"/>
      <c r="LXE81" s="953"/>
      <c r="LXF81" s="953"/>
      <c r="LXG81" s="953"/>
      <c r="LXH81" s="953"/>
      <c r="LXI81" s="953"/>
      <c r="LXJ81" s="953"/>
      <c r="LXK81" s="953"/>
      <c r="LXL81" s="953"/>
      <c r="LXM81" s="953"/>
      <c r="LXN81" s="953"/>
      <c r="LXO81" s="953"/>
      <c r="LXP81" s="953"/>
      <c r="LXQ81" s="953"/>
      <c r="LXR81" s="953"/>
      <c r="LXS81" s="953"/>
      <c r="LXT81" s="953"/>
      <c r="LXU81" s="953"/>
      <c r="LXV81" s="953"/>
      <c r="LXW81" s="953"/>
      <c r="LXX81" s="953"/>
      <c r="LXY81" s="953"/>
      <c r="LXZ81" s="953"/>
      <c r="LYA81" s="953"/>
      <c r="LYB81" s="953"/>
      <c r="LYC81" s="953"/>
      <c r="LYD81" s="953"/>
      <c r="LYE81" s="953"/>
      <c r="LYF81" s="953"/>
      <c r="LYG81" s="953"/>
      <c r="LYH81" s="953"/>
      <c r="LYI81" s="953"/>
      <c r="LYJ81" s="953"/>
      <c r="LYK81" s="953"/>
      <c r="LYL81" s="953"/>
      <c r="LYM81" s="953"/>
      <c r="LYN81" s="953"/>
      <c r="LYO81" s="953"/>
      <c r="LYP81" s="953"/>
      <c r="LYQ81" s="953"/>
      <c r="LYR81" s="953"/>
      <c r="LYS81" s="953"/>
      <c r="LYT81" s="953"/>
      <c r="LYU81" s="953"/>
      <c r="LYV81" s="953"/>
      <c r="LYW81" s="953"/>
      <c r="LYX81" s="953"/>
      <c r="LYY81" s="953"/>
      <c r="LYZ81" s="953"/>
      <c r="LZA81" s="953"/>
      <c r="LZB81" s="953"/>
      <c r="LZC81" s="953"/>
      <c r="LZD81" s="953"/>
      <c r="LZE81" s="953"/>
      <c r="LZF81" s="953"/>
      <c r="LZG81" s="953"/>
      <c r="LZH81" s="953"/>
      <c r="LZI81" s="953"/>
      <c r="LZJ81" s="953"/>
      <c r="LZK81" s="953"/>
      <c r="LZL81" s="953"/>
      <c r="LZM81" s="953"/>
      <c r="LZN81" s="953"/>
      <c r="LZO81" s="953"/>
      <c r="LZP81" s="953"/>
      <c r="LZQ81" s="953"/>
      <c r="LZR81" s="953"/>
      <c r="LZS81" s="953"/>
      <c r="LZT81" s="953"/>
      <c r="LZU81" s="953"/>
      <c r="LZV81" s="953"/>
      <c r="LZW81" s="953"/>
      <c r="LZX81" s="953"/>
      <c r="LZY81" s="953"/>
      <c r="LZZ81" s="953"/>
      <c r="MAA81" s="953"/>
      <c r="MAB81" s="953"/>
      <c r="MAC81" s="953"/>
      <c r="MAD81" s="953"/>
      <c r="MAE81" s="953"/>
      <c r="MAF81" s="953"/>
      <c r="MAG81" s="953"/>
      <c r="MAH81" s="953"/>
      <c r="MAI81" s="953"/>
      <c r="MAJ81" s="953"/>
      <c r="MAK81" s="953"/>
      <c r="MAL81" s="953"/>
      <c r="MAM81" s="953"/>
      <c r="MAN81" s="953"/>
      <c r="MAO81" s="953"/>
      <c r="MAP81" s="953"/>
      <c r="MAQ81" s="953"/>
      <c r="MAR81" s="953"/>
      <c r="MAS81" s="953"/>
      <c r="MAT81" s="953"/>
      <c r="MAU81" s="953"/>
      <c r="MAV81" s="953"/>
      <c r="MAW81" s="953"/>
      <c r="MAX81" s="953"/>
      <c r="MAY81" s="953"/>
      <c r="MAZ81" s="953"/>
      <c r="MBA81" s="953"/>
      <c r="MBB81" s="953"/>
      <c r="MBC81" s="953"/>
      <c r="MBD81" s="953"/>
      <c r="MBE81" s="953"/>
      <c r="MBF81" s="953"/>
      <c r="MBG81" s="953"/>
      <c r="MBH81" s="953"/>
      <c r="MBI81" s="953"/>
      <c r="MBJ81" s="953"/>
      <c r="MBK81" s="953"/>
      <c r="MBL81" s="953"/>
      <c r="MBM81" s="953"/>
      <c r="MBN81" s="953"/>
      <c r="MBO81" s="953"/>
      <c r="MBP81" s="953"/>
      <c r="MBQ81" s="953"/>
      <c r="MBR81" s="953"/>
      <c r="MBS81" s="953"/>
      <c r="MBT81" s="953"/>
      <c r="MBU81" s="953"/>
      <c r="MBV81" s="953"/>
      <c r="MBW81" s="953"/>
      <c r="MBX81" s="953"/>
      <c r="MBY81" s="953"/>
      <c r="MBZ81" s="953"/>
      <c r="MCA81" s="953"/>
      <c r="MCB81" s="953"/>
      <c r="MCC81" s="953"/>
      <c r="MCD81" s="953"/>
      <c r="MCE81" s="953"/>
      <c r="MCF81" s="953"/>
      <c r="MCG81" s="953"/>
      <c r="MCH81" s="953"/>
      <c r="MCI81" s="953"/>
      <c r="MCJ81" s="953"/>
      <c r="MCK81" s="953"/>
      <c r="MCL81" s="953"/>
      <c r="MCM81" s="953"/>
      <c r="MCN81" s="953"/>
      <c r="MCO81" s="953"/>
      <c r="MCP81" s="953"/>
      <c r="MCQ81" s="953"/>
      <c r="MCR81" s="953"/>
      <c r="MCS81" s="953"/>
      <c r="MCT81" s="953"/>
      <c r="MCU81" s="953"/>
      <c r="MCV81" s="953"/>
      <c r="MCW81" s="953"/>
      <c r="MCX81" s="953"/>
      <c r="MCY81" s="953"/>
      <c r="MCZ81" s="953"/>
      <c r="MDA81" s="953"/>
      <c r="MDB81" s="953"/>
      <c r="MDC81" s="953"/>
      <c r="MDD81" s="953"/>
      <c r="MDE81" s="953"/>
      <c r="MDF81" s="953"/>
      <c r="MDG81" s="953"/>
      <c r="MDH81" s="953"/>
      <c r="MDI81" s="953"/>
      <c r="MDJ81" s="953"/>
      <c r="MDK81" s="953"/>
      <c r="MDL81" s="953"/>
      <c r="MDM81" s="953"/>
      <c r="MDN81" s="953"/>
      <c r="MDO81" s="953"/>
      <c r="MDP81" s="953"/>
      <c r="MDQ81" s="953"/>
      <c r="MDR81" s="953"/>
      <c r="MDS81" s="953"/>
      <c r="MDT81" s="953"/>
      <c r="MDU81" s="953"/>
      <c r="MDV81" s="953"/>
      <c r="MDW81" s="953"/>
      <c r="MDX81" s="953"/>
      <c r="MDY81" s="953"/>
      <c r="MDZ81" s="953"/>
      <c r="MEA81" s="953"/>
      <c r="MEB81" s="953"/>
      <c r="MEC81" s="953"/>
      <c r="MED81" s="953"/>
      <c r="MEE81" s="953"/>
      <c r="MEF81" s="953"/>
      <c r="MEG81" s="953"/>
      <c r="MEH81" s="953"/>
      <c r="MEI81" s="953"/>
      <c r="MEJ81" s="953"/>
      <c r="MEK81" s="953"/>
      <c r="MEL81" s="953"/>
      <c r="MEM81" s="953"/>
      <c r="MEN81" s="953"/>
      <c r="MEO81" s="953"/>
      <c r="MEP81" s="953"/>
      <c r="MEQ81" s="953"/>
      <c r="MER81" s="953"/>
      <c r="MES81" s="953"/>
      <c r="MET81" s="953"/>
      <c r="MEU81" s="953"/>
      <c r="MEV81" s="953"/>
      <c r="MEW81" s="953"/>
      <c r="MEX81" s="953"/>
      <c r="MEY81" s="953"/>
      <c r="MEZ81" s="953"/>
      <c r="MFA81" s="953"/>
      <c r="MFB81" s="953"/>
      <c r="MFC81" s="953"/>
      <c r="MFD81" s="953"/>
      <c r="MFE81" s="953"/>
      <c r="MFF81" s="953"/>
      <c r="MFG81" s="953"/>
      <c r="MFH81" s="953"/>
      <c r="MFI81" s="953"/>
      <c r="MFJ81" s="953"/>
      <c r="MFK81" s="953"/>
      <c r="MFL81" s="953"/>
      <c r="MFM81" s="953"/>
      <c r="MFN81" s="953"/>
      <c r="MFO81" s="953"/>
      <c r="MFP81" s="953"/>
      <c r="MFQ81" s="953"/>
      <c r="MFR81" s="953"/>
      <c r="MFS81" s="953"/>
      <c r="MFT81" s="953"/>
      <c r="MFU81" s="953"/>
      <c r="MFV81" s="953"/>
      <c r="MFW81" s="953"/>
      <c r="MFX81" s="953"/>
      <c r="MFY81" s="953"/>
      <c r="MFZ81" s="953"/>
      <c r="MGA81" s="953"/>
      <c r="MGB81" s="953"/>
      <c r="MGC81" s="953"/>
      <c r="MGD81" s="953"/>
      <c r="MGE81" s="953"/>
      <c r="MGF81" s="953"/>
      <c r="MGG81" s="953"/>
      <c r="MGH81" s="953"/>
      <c r="MGI81" s="953"/>
      <c r="MGJ81" s="953"/>
      <c r="MGK81" s="953"/>
      <c r="MGL81" s="953"/>
      <c r="MGM81" s="953"/>
      <c r="MGN81" s="953"/>
      <c r="MGO81" s="953"/>
      <c r="MGP81" s="953"/>
      <c r="MGQ81" s="953"/>
      <c r="MGR81" s="953"/>
      <c r="MGS81" s="953"/>
      <c r="MGT81" s="953"/>
      <c r="MGU81" s="953"/>
      <c r="MGV81" s="953"/>
      <c r="MGW81" s="953"/>
      <c r="MGX81" s="953"/>
      <c r="MGY81" s="953"/>
      <c r="MGZ81" s="953"/>
      <c r="MHA81" s="953"/>
      <c r="MHB81" s="953"/>
      <c r="MHC81" s="953"/>
      <c r="MHD81" s="953"/>
      <c r="MHE81" s="953"/>
      <c r="MHF81" s="953"/>
      <c r="MHG81" s="953"/>
      <c r="MHH81" s="953"/>
      <c r="MHI81" s="953"/>
      <c r="MHJ81" s="953"/>
      <c r="MHK81" s="953"/>
      <c r="MHL81" s="953"/>
      <c r="MHM81" s="953"/>
      <c r="MHN81" s="953"/>
      <c r="MHO81" s="953"/>
      <c r="MHP81" s="953"/>
      <c r="MHQ81" s="953"/>
      <c r="MHR81" s="953"/>
      <c r="MHS81" s="953"/>
      <c r="MHT81" s="953"/>
      <c r="MHU81" s="953"/>
      <c r="MHV81" s="953"/>
      <c r="MHW81" s="953"/>
      <c r="MHX81" s="953"/>
      <c r="MHY81" s="953"/>
      <c r="MHZ81" s="953"/>
      <c r="MIA81" s="953"/>
      <c r="MIB81" s="953"/>
      <c r="MIC81" s="953"/>
      <c r="MID81" s="953"/>
      <c r="MIE81" s="953"/>
      <c r="MIF81" s="953"/>
      <c r="MIG81" s="953"/>
      <c r="MIH81" s="953"/>
      <c r="MII81" s="953"/>
      <c r="MIJ81" s="953"/>
      <c r="MIK81" s="953"/>
      <c r="MIL81" s="953"/>
      <c r="MIM81" s="953"/>
      <c r="MIN81" s="953"/>
      <c r="MIO81" s="953"/>
      <c r="MIP81" s="953"/>
      <c r="MIQ81" s="953"/>
      <c r="MIR81" s="953"/>
      <c r="MIS81" s="953"/>
      <c r="MIT81" s="953"/>
      <c r="MIU81" s="953"/>
      <c r="MIV81" s="953"/>
      <c r="MIW81" s="953"/>
      <c r="MIX81" s="953"/>
      <c r="MIY81" s="953"/>
      <c r="MIZ81" s="953"/>
      <c r="MJA81" s="953"/>
      <c r="MJB81" s="953"/>
      <c r="MJC81" s="953"/>
      <c r="MJD81" s="953"/>
      <c r="MJE81" s="953"/>
      <c r="MJF81" s="953"/>
      <c r="MJG81" s="953"/>
      <c r="MJH81" s="953"/>
      <c r="MJI81" s="953"/>
      <c r="MJJ81" s="953"/>
      <c r="MJK81" s="953"/>
      <c r="MJL81" s="953"/>
      <c r="MJM81" s="953"/>
      <c r="MJN81" s="953"/>
      <c r="MJO81" s="953"/>
      <c r="MJP81" s="953"/>
      <c r="MJQ81" s="953"/>
      <c r="MJR81" s="953"/>
      <c r="MJS81" s="953"/>
      <c r="MJT81" s="953"/>
      <c r="MJU81" s="953"/>
      <c r="MJV81" s="953"/>
      <c r="MJW81" s="953"/>
      <c r="MJX81" s="953"/>
      <c r="MJY81" s="953"/>
      <c r="MJZ81" s="953"/>
      <c r="MKA81" s="953"/>
      <c r="MKB81" s="953"/>
      <c r="MKC81" s="953"/>
      <c r="MKD81" s="953"/>
      <c r="MKE81" s="953"/>
      <c r="MKF81" s="953"/>
      <c r="MKG81" s="953"/>
      <c r="MKH81" s="953"/>
      <c r="MKI81" s="953"/>
      <c r="MKJ81" s="953"/>
      <c r="MKK81" s="953"/>
      <c r="MKL81" s="953"/>
      <c r="MKM81" s="953"/>
      <c r="MKN81" s="953"/>
      <c r="MKO81" s="953"/>
      <c r="MKP81" s="953"/>
      <c r="MKQ81" s="953"/>
      <c r="MKR81" s="953"/>
      <c r="MKS81" s="953"/>
      <c r="MKT81" s="953"/>
      <c r="MKU81" s="953"/>
      <c r="MKV81" s="953"/>
      <c r="MKW81" s="953"/>
      <c r="MKX81" s="953"/>
      <c r="MKY81" s="953"/>
      <c r="MKZ81" s="953"/>
      <c r="MLA81" s="953"/>
      <c r="MLB81" s="953"/>
      <c r="MLC81" s="953"/>
      <c r="MLD81" s="953"/>
      <c r="MLE81" s="953"/>
      <c r="MLF81" s="953"/>
      <c r="MLG81" s="953"/>
      <c r="MLH81" s="953"/>
      <c r="MLI81" s="953"/>
      <c r="MLJ81" s="953"/>
      <c r="MLK81" s="953"/>
      <c r="MLL81" s="953"/>
      <c r="MLM81" s="953"/>
      <c r="MLN81" s="953"/>
      <c r="MLO81" s="953"/>
      <c r="MLP81" s="953"/>
      <c r="MLQ81" s="953"/>
      <c r="MLR81" s="953"/>
      <c r="MLS81" s="953"/>
      <c r="MLT81" s="953"/>
      <c r="MLU81" s="953"/>
      <c r="MLV81" s="953"/>
      <c r="MLW81" s="953"/>
      <c r="MLX81" s="953"/>
      <c r="MLY81" s="953"/>
      <c r="MLZ81" s="953"/>
      <c r="MMA81" s="953"/>
      <c r="MMB81" s="953"/>
      <c r="MMC81" s="953"/>
      <c r="MMD81" s="953"/>
      <c r="MME81" s="953"/>
      <c r="MMF81" s="953"/>
      <c r="MMG81" s="953"/>
      <c r="MMH81" s="953"/>
      <c r="MMI81" s="953"/>
      <c r="MMJ81" s="953"/>
      <c r="MMK81" s="953"/>
      <c r="MML81" s="953"/>
      <c r="MMM81" s="953"/>
      <c r="MMN81" s="953"/>
      <c r="MMO81" s="953"/>
      <c r="MMP81" s="953"/>
      <c r="MMQ81" s="953"/>
      <c r="MMR81" s="953"/>
      <c r="MMS81" s="953"/>
      <c r="MMT81" s="953"/>
      <c r="MMU81" s="953"/>
      <c r="MMV81" s="953"/>
      <c r="MMW81" s="953"/>
      <c r="MMX81" s="953"/>
      <c r="MMY81" s="953"/>
      <c r="MMZ81" s="953"/>
      <c r="MNA81" s="953"/>
      <c r="MNB81" s="953"/>
      <c r="MNC81" s="953"/>
      <c r="MND81" s="953"/>
      <c r="MNE81" s="953"/>
      <c r="MNF81" s="953"/>
      <c r="MNG81" s="953"/>
      <c r="MNH81" s="953"/>
      <c r="MNI81" s="953"/>
      <c r="MNJ81" s="953"/>
      <c r="MNK81" s="953"/>
      <c r="MNL81" s="953"/>
      <c r="MNM81" s="953"/>
      <c r="MNN81" s="953"/>
      <c r="MNO81" s="953"/>
      <c r="MNP81" s="953"/>
      <c r="MNQ81" s="953"/>
      <c r="MNR81" s="953"/>
      <c r="MNS81" s="953"/>
      <c r="MNT81" s="953"/>
      <c r="MNU81" s="953"/>
      <c r="MNV81" s="953"/>
      <c r="MNW81" s="953"/>
      <c r="MNX81" s="953"/>
      <c r="MNY81" s="953"/>
      <c r="MNZ81" s="953"/>
      <c r="MOA81" s="953"/>
      <c r="MOB81" s="953"/>
      <c r="MOC81" s="953"/>
      <c r="MOD81" s="953"/>
      <c r="MOE81" s="953"/>
      <c r="MOF81" s="953"/>
      <c r="MOG81" s="953"/>
      <c r="MOH81" s="953"/>
      <c r="MOI81" s="953"/>
      <c r="MOJ81" s="953"/>
      <c r="MOK81" s="953"/>
      <c r="MOL81" s="953"/>
      <c r="MOM81" s="953"/>
      <c r="MON81" s="953"/>
      <c r="MOO81" s="953"/>
      <c r="MOP81" s="953"/>
      <c r="MOQ81" s="953"/>
      <c r="MOR81" s="953"/>
      <c r="MOS81" s="953"/>
      <c r="MOT81" s="953"/>
      <c r="MOU81" s="953"/>
      <c r="MOV81" s="953"/>
      <c r="MOW81" s="953"/>
      <c r="MOX81" s="953"/>
      <c r="MOY81" s="953"/>
      <c r="MOZ81" s="953"/>
      <c r="MPA81" s="953"/>
      <c r="MPB81" s="953"/>
      <c r="MPC81" s="953"/>
      <c r="MPD81" s="953"/>
      <c r="MPE81" s="953"/>
      <c r="MPF81" s="953"/>
      <c r="MPG81" s="953"/>
      <c r="MPH81" s="953"/>
      <c r="MPI81" s="953"/>
      <c r="MPJ81" s="953"/>
      <c r="MPK81" s="953"/>
      <c r="MPL81" s="953"/>
      <c r="MPM81" s="953"/>
      <c r="MPN81" s="953"/>
      <c r="MPO81" s="953"/>
      <c r="MPP81" s="953"/>
      <c r="MPQ81" s="953"/>
      <c r="MPR81" s="953"/>
      <c r="MPS81" s="953"/>
      <c r="MPT81" s="953"/>
      <c r="MPU81" s="953"/>
      <c r="MPV81" s="953"/>
      <c r="MPW81" s="953"/>
      <c r="MPX81" s="953"/>
      <c r="MPY81" s="953"/>
      <c r="MPZ81" s="953"/>
      <c r="MQA81" s="953"/>
      <c r="MQB81" s="953"/>
      <c r="MQC81" s="953"/>
      <c r="MQD81" s="953"/>
      <c r="MQE81" s="953"/>
      <c r="MQF81" s="953"/>
      <c r="MQG81" s="953"/>
      <c r="MQH81" s="953"/>
      <c r="MQI81" s="953"/>
      <c r="MQJ81" s="953"/>
      <c r="MQK81" s="953"/>
      <c r="MQL81" s="953"/>
      <c r="MQM81" s="953"/>
      <c r="MQN81" s="953"/>
      <c r="MQO81" s="953"/>
      <c r="MQP81" s="953"/>
      <c r="MQQ81" s="953"/>
      <c r="MQR81" s="953"/>
      <c r="MQS81" s="953"/>
      <c r="MQT81" s="953"/>
      <c r="MQU81" s="953"/>
      <c r="MQV81" s="953"/>
      <c r="MQW81" s="953"/>
      <c r="MQX81" s="953"/>
      <c r="MQY81" s="953"/>
      <c r="MQZ81" s="953"/>
      <c r="MRA81" s="953"/>
      <c r="MRB81" s="953"/>
      <c r="MRC81" s="953"/>
      <c r="MRD81" s="953"/>
      <c r="MRE81" s="953"/>
      <c r="MRF81" s="953"/>
      <c r="MRG81" s="953"/>
      <c r="MRH81" s="953"/>
      <c r="MRI81" s="953"/>
      <c r="MRJ81" s="953"/>
      <c r="MRK81" s="953"/>
      <c r="MRL81" s="953"/>
      <c r="MRM81" s="953"/>
      <c r="MRN81" s="953"/>
      <c r="MRO81" s="953"/>
      <c r="MRP81" s="953"/>
      <c r="MRQ81" s="953"/>
      <c r="MRR81" s="953"/>
      <c r="MRS81" s="953"/>
      <c r="MRT81" s="953"/>
      <c r="MRU81" s="953"/>
      <c r="MRV81" s="953"/>
      <c r="MRW81" s="953"/>
      <c r="MRX81" s="953"/>
      <c r="MRY81" s="953"/>
      <c r="MRZ81" s="953"/>
      <c r="MSA81" s="953"/>
      <c r="MSB81" s="953"/>
      <c r="MSC81" s="953"/>
      <c r="MSD81" s="953"/>
      <c r="MSE81" s="953"/>
      <c r="MSF81" s="953"/>
      <c r="MSG81" s="953"/>
      <c r="MSH81" s="953"/>
      <c r="MSI81" s="953"/>
      <c r="MSJ81" s="953"/>
      <c r="MSK81" s="953"/>
      <c r="MSL81" s="953"/>
      <c r="MSM81" s="953"/>
      <c r="MSN81" s="953"/>
      <c r="MSO81" s="953"/>
      <c r="MSP81" s="953"/>
      <c r="MSQ81" s="953"/>
      <c r="MSR81" s="953"/>
      <c r="MSS81" s="953"/>
      <c r="MST81" s="953"/>
      <c r="MSU81" s="953"/>
      <c r="MSV81" s="953"/>
      <c r="MSW81" s="953"/>
      <c r="MSX81" s="953"/>
      <c r="MSY81" s="953"/>
      <c r="MSZ81" s="953"/>
      <c r="MTA81" s="953"/>
      <c r="MTB81" s="953"/>
      <c r="MTC81" s="953"/>
      <c r="MTD81" s="953"/>
      <c r="MTE81" s="953"/>
      <c r="MTF81" s="953"/>
      <c r="MTG81" s="953"/>
      <c r="MTH81" s="953"/>
      <c r="MTI81" s="953"/>
      <c r="MTJ81" s="953"/>
      <c r="MTK81" s="953"/>
      <c r="MTL81" s="953"/>
      <c r="MTM81" s="953"/>
      <c r="MTN81" s="953"/>
      <c r="MTO81" s="953"/>
      <c r="MTP81" s="953"/>
      <c r="MTQ81" s="953"/>
      <c r="MTR81" s="953"/>
      <c r="MTS81" s="953"/>
      <c r="MTT81" s="953"/>
      <c r="MTU81" s="953"/>
      <c r="MTV81" s="953"/>
      <c r="MTW81" s="953"/>
      <c r="MTX81" s="953"/>
      <c r="MTY81" s="953"/>
      <c r="MTZ81" s="953"/>
      <c r="MUA81" s="953"/>
      <c r="MUB81" s="953"/>
      <c r="MUC81" s="953"/>
      <c r="MUD81" s="953"/>
      <c r="MUE81" s="953"/>
      <c r="MUF81" s="953"/>
      <c r="MUG81" s="953"/>
      <c r="MUH81" s="953"/>
      <c r="MUI81" s="953"/>
      <c r="MUJ81" s="953"/>
      <c r="MUK81" s="953"/>
      <c r="MUL81" s="953"/>
      <c r="MUM81" s="953"/>
      <c r="MUN81" s="953"/>
      <c r="MUO81" s="953"/>
      <c r="MUP81" s="953"/>
      <c r="MUQ81" s="953"/>
      <c r="MUR81" s="953"/>
      <c r="MUS81" s="953"/>
      <c r="MUT81" s="953"/>
      <c r="MUU81" s="953"/>
      <c r="MUV81" s="953"/>
      <c r="MUW81" s="953"/>
      <c r="MUX81" s="953"/>
      <c r="MUY81" s="953"/>
      <c r="MUZ81" s="953"/>
      <c r="MVA81" s="953"/>
      <c r="MVB81" s="953"/>
      <c r="MVC81" s="953"/>
      <c r="MVD81" s="953"/>
      <c r="MVE81" s="953"/>
      <c r="MVF81" s="953"/>
      <c r="MVG81" s="953"/>
      <c r="MVH81" s="953"/>
      <c r="MVI81" s="953"/>
      <c r="MVJ81" s="953"/>
      <c r="MVK81" s="953"/>
      <c r="MVL81" s="953"/>
      <c r="MVM81" s="953"/>
      <c r="MVN81" s="953"/>
      <c r="MVO81" s="953"/>
      <c r="MVP81" s="953"/>
      <c r="MVQ81" s="953"/>
      <c r="MVR81" s="953"/>
      <c r="MVS81" s="953"/>
      <c r="MVT81" s="953"/>
      <c r="MVU81" s="953"/>
      <c r="MVV81" s="953"/>
      <c r="MVW81" s="953"/>
      <c r="MVX81" s="953"/>
      <c r="MVY81" s="953"/>
      <c r="MVZ81" s="953"/>
      <c r="MWA81" s="953"/>
      <c r="MWB81" s="953"/>
      <c r="MWC81" s="953"/>
      <c r="MWD81" s="953"/>
      <c r="MWE81" s="953"/>
      <c r="MWF81" s="953"/>
      <c r="MWG81" s="953"/>
      <c r="MWH81" s="953"/>
      <c r="MWI81" s="953"/>
      <c r="MWJ81" s="953"/>
      <c r="MWK81" s="953"/>
      <c r="MWL81" s="953"/>
      <c r="MWM81" s="953"/>
      <c r="MWN81" s="953"/>
      <c r="MWO81" s="953"/>
      <c r="MWP81" s="953"/>
      <c r="MWQ81" s="953"/>
      <c r="MWR81" s="953"/>
      <c r="MWS81" s="953"/>
      <c r="MWT81" s="953"/>
      <c r="MWU81" s="953"/>
      <c r="MWV81" s="953"/>
      <c r="MWW81" s="953"/>
      <c r="MWX81" s="953"/>
      <c r="MWY81" s="953"/>
      <c r="MWZ81" s="953"/>
      <c r="MXA81" s="953"/>
      <c r="MXB81" s="953"/>
      <c r="MXC81" s="953"/>
      <c r="MXD81" s="953"/>
      <c r="MXE81" s="953"/>
      <c r="MXF81" s="953"/>
      <c r="MXG81" s="953"/>
      <c r="MXH81" s="953"/>
      <c r="MXI81" s="953"/>
      <c r="MXJ81" s="953"/>
      <c r="MXK81" s="953"/>
      <c r="MXL81" s="953"/>
      <c r="MXM81" s="953"/>
      <c r="MXN81" s="953"/>
      <c r="MXO81" s="953"/>
      <c r="MXP81" s="953"/>
      <c r="MXQ81" s="953"/>
      <c r="MXR81" s="953"/>
      <c r="MXS81" s="953"/>
      <c r="MXT81" s="953"/>
      <c r="MXU81" s="953"/>
      <c r="MXV81" s="953"/>
      <c r="MXW81" s="953"/>
      <c r="MXX81" s="953"/>
      <c r="MXY81" s="953"/>
      <c r="MXZ81" s="953"/>
      <c r="MYA81" s="953"/>
      <c r="MYB81" s="953"/>
      <c r="MYC81" s="953"/>
      <c r="MYD81" s="953"/>
      <c r="MYE81" s="953"/>
      <c r="MYF81" s="953"/>
      <c r="MYG81" s="953"/>
      <c r="MYH81" s="953"/>
      <c r="MYI81" s="953"/>
      <c r="MYJ81" s="953"/>
      <c r="MYK81" s="953"/>
      <c r="MYL81" s="953"/>
      <c r="MYM81" s="953"/>
      <c r="MYN81" s="953"/>
      <c r="MYO81" s="953"/>
      <c r="MYP81" s="953"/>
      <c r="MYQ81" s="953"/>
      <c r="MYR81" s="953"/>
      <c r="MYS81" s="953"/>
      <c r="MYT81" s="953"/>
      <c r="MYU81" s="953"/>
      <c r="MYV81" s="953"/>
      <c r="MYW81" s="953"/>
      <c r="MYX81" s="953"/>
      <c r="MYY81" s="953"/>
      <c r="MYZ81" s="953"/>
      <c r="MZA81" s="953"/>
      <c r="MZB81" s="953"/>
      <c r="MZC81" s="953"/>
      <c r="MZD81" s="953"/>
      <c r="MZE81" s="953"/>
      <c r="MZF81" s="953"/>
      <c r="MZG81" s="953"/>
      <c r="MZH81" s="953"/>
      <c r="MZI81" s="953"/>
      <c r="MZJ81" s="953"/>
      <c r="MZK81" s="953"/>
      <c r="MZL81" s="953"/>
      <c r="MZM81" s="953"/>
      <c r="MZN81" s="953"/>
      <c r="MZO81" s="953"/>
      <c r="MZP81" s="953"/>
      <c r="MZQ81" s="953"/>
      <c r="MZR81" s="953"/>
      <c r="MZS81" s="953"/>
      <c r="MZT81" s="953"/>
      <c r="MZU81" s="953"/>
      <c r="MZV81" s="953"/>
      <c r="MZW81" s="953"/>
      <c r="MZX81" s="953"/>
      <c r="MZY81" s="953"/>
      <c r="MZZ81" s="953"/>
      <c r="NAA81" s="953"/>
      <c r="NAB81" s="953"/>
      <c r="NAC81" s="953"/>
      <c r="NAD81" s="953"/>
      <c r="NAE81" s="953"/>
      <c r="NAF81" s="953"/>
      <c r="NAG81" s="953"/>
      <c r="NAH81" s="953"/>
      <c r="NAI81" s="953"/>
      <c r="NAJ81" s="953"/>
      <c r="NAK81" s="953"/>
      <c r="NAL81" s="953"/>
      <c r="NAM81" s="953"/>
      <c r="NAN81" s="953"/>
      <c r="NAO81" s="953"/>
      <c r="NAP81" s="953"/>
      <c r="NAQ81" s="953"/>
      <c r="NAR81" s="953"/>
      <c r="NAS81" s="953"/>
      <c r="NAT81" s="953"/>
      <c r="NAU81" s="953"/>
      <c r="NAV81" s="953"/>
      <c r="NAW81" s="953"/>
      <c r="NAX81" s="953"/>
      <c r="NAY81" s="953"/>
      <c r="NAZ81" s="953"/>
      <c r="NBA81" s="953"/>
      <c r="NBB81" s="953"/>
      <c r="NBC81" s="953"/>
      <c r="NBD81" s="953"/>
      <c r="NBE81" s="953"/>
      <c r="NBF81" s="953"/>
      <c r="NBG81" s="953"/>
      <c r="NBH81" s="953"/>
      <c r="NBI81" s="953"/>
      <c r="NBJ81" s="953"/>
      <c r="NBK81" s="953"/>
      <c r="NBL81" s="953"/>
      <c r="NBM81" s="953"/>
      <c r="NBN81" s="953"/>
      <c r="NBO81" s="953"/>
      <c r="NBP81" s="953"/>
      <c r="NBQ81" s="953"/>
      <c r="NBR81" s="953"/>
      <c r="NBS81" s="953"/>
      <c r="NBT81" s="953"/>
      <c r="NBU81" s="953"/>
      <c r="NBV81" s="953"/>
      <c r="NBW81" s="953"/>
      <c r="NBX81" s="953"/>
      <c r="NBY81" s="953"/>
      <c r="NBZ81" s="953"/>
      <c r="NCA81" s="953"/>
      <c r="NCB81" s="953"/>
      <c r="NCC81" s="953"/>
      <c r="NCD81" s="953"/>
      <c r="NCE81" s="953"/>
      <c r="NCF81" s="953"/>
      <c r="NCG81" s="953"/>
      <c r="NCH81" s="953"/>
      <c r="NCI81" s="953"/>
      <c r="NCJ81" s="953"/>
      <c r="NCK81" s="953"/>
      <c r="NCL81" s="953"/>
      <c r="NCM81" s="953"/>
      <c r="NCN81" s="953"/>
      <c r="NCO81" s="953"/>
      <c r="NCP81" s="953"/>
      <c r="NCQ81" s="953"/>
      <c r="NCR81" s="953"/>
      <c r="NCS81" s="953"/>
      <c r="NCT81" s="953"/>
      <c r="NCU81" s="953"/>
      <c r="NCV81" s="953"/>
      <c r="NCW81" s="953"/>
      <c r="NCX81" s="953"/>
      <c r="NCY81" s="953"/>
      <c r="NCZ81" s="953"/>
      <c r="NDA81" s="953"/>
      <c r="NDB81" s="953"/>
      <c r="NDC81" s="953"/>
      <c r="NDD81" s="953"/>
      <c r="NDE81" s="953"/>
      <c r="NDF81" s="953"/>
      <c r="NDG81" s="953"/>
      <c r="NDH81" s="953"/>
      <c r="NDI81" s="953"/>
      <c r="NDJ81" s="953"/>
      <c r="NDK81" s="953"/>
      <c r="NDL81" s="953"/>
      <c r="NDM81" s="953"/>
      <c r="NDN81" s="953"/>
      <c r="NDO81" s="953"/>
      <c r="NDP81" s="953"/>
      <c r="NDQ81" s="953"/>
      <c r="NDR81" s="953"/>
      <c r="NDS81" s="953"/>
      <c r="NDT81" s="953"/>
      <c r="NDU81" s="953"/>
      <c r="NDV81" s="953"/>
      <c r="NDW81" s="953"/>
      <c r="NDX81" s="953"/>
      <c r="NDY81" s="953"/>
      <c r="NDZ81" s="953"/>
      <c r="NEA81" s="953"/>
      <c r="NEB81" s="953"/>
      <c r="NEC81" s="953"/>
      <c r="NED81" s="953"/>
      <c r="NEE81" s="953"/>
      <c r="NEF81" s="953"/>
      <c r="NEG81" s="953"/>
      <c r="NEH81" s="953"/>
      <c r="NEI81" s="953"/>
      <c r="NEJ81" s="953"/>
      <c r="NEK81" s="953"/>
      <c r="NEL81" s="953"/>
      <c r="NEM81" s="953"/>
      <c r="NEN81" s="953"/>
      <c r="NEO81" s="953"/>
      <c r="NEP81" s="953"/>
      <c r="NEQ81" s="953"/>
      <c r="NER81" s="953"/>
      <c r="NES81" s="953"/>
      <c r="NET81" s="953"/>
      <c r="NEU81" s="953"/>
      <c r="NEV81" s="953"/>
      <c r="NEW81" s="953"/>
      <c r="NEX81" s="953"/>
      <c r="NEY81" s="953"/>
      <c r="NEZ81" s="953"/>
      <c r="NFA81" s="953"/>
      <c r="NFB81" s="953"/>
      <c r="NFC81" s="953"/>
      <c r="NFD81" s="953"/>
      <c r="NFE81" s="953"/>
      <c r="NFF81" s="953"/>
      <c r="NFG81" s="953"/>
      <c r="NFH81" s="953"/>
      <c r="NFI81" s="953"/>
      <c r="NFJ81" s="953"/>
      <c r="NFK81" s="953"/>
      <c r="NFL81" s="953"/>
      <c r="NFM81" s="953"/>
      <c r="NFN81" s="953"/>
      <c r="NFO81" s="953"/>
      <c r="NFP81" s="953"/>
      <c r="NFQ81" s="953"/>
      <c r="NFR81" s="953"/>
      <c r="NFS81" s="953"/>
      <c r="NFT81" s="953"/>
      <c r="NFU81" s="953"/>
      <c r="NFV81" s="953"/>
      <c r="NFW81" s="953"/>
      <c r="NFX81" s="953"/>
      <c r="NFY81" s="953"/>
      <c r="NFZ81" s="953"/>
      <c r="NGA81" s="953"/>
      <c r="NGB81" s="953"/>
      <c r="NGC81" s="953"/>
      <c r="NGD81" s="953"/>
      <c r="NGE81" s="953"/>
      <c r="NGF81" s="953"/>
      <c r="NGG81" s="953"/>
      <c r="NGH81" s="953"/>
      <c r="NGI81" s="953"/>
      <c r="NGJ81" s="953"/>
      <c r="NGK81" s="953"/>
      <c r="NGL81" s="953"/>
      <c r="NGM81" s="953"/>
      <c r="NGN81" s="953"/>
      <c r="NGO81" s="953"/>
      <c r="NGP81" s="953"/>
      <c r="NGQ81" s="953"/>
      <c r="NGR81" s="953"/>
      <c r="NGS81" s="953"/>
      <c r="NGT81" s="953"/>
      <c r="NGU81" s="953"/>
      <c r="NGV81" s="953"/>
      <c r="NGW81" s="953"/>
      <c r="NGX81" s="953"/>
      <c r="NGY81" s="953"/>
      <c r="NGZ81" s="953"/>
      <c r="NHA81" s="953"/>
      <c r="NHB81" s="953"/>
      <c r="NHC81" s="953"/>
      <c r="NHD81" s="953"/>
      <c r="NHE81" s="953"/>
      <c r="NHF81" s="953"/>
      <c r="NHG81" s="953"/>
      <c r="NHH81" s="953"/>
      <c r="NHI81" s="953"/>
      <c r="NHJ81" s="953"/>
      <c r="NHK81" s="953"/>
      <c r="NHL81" s="953"/>
      <c r="NHM81" s="953"/>
      <c r="NHN81" s="953"/>
      <c r="NHO81" s="953"/>
      <c r="NHP81" s="953"/>
      <c r="NHQ81" s="953"/>
      <c r="NHR81" s="953"/>
      <c r="NHS81" s="953"/>
      <c r="NHT81" s="953"/>
      <c r="NHU81" s="953"/>
      <c r="NHV81" s="953"/>
      <c r="NHW81" s="953"/>
      <c r="NHX81" s="953"/>
      <c r="NHY81" s="953"/>
      <c r="NHZ81" s="953"/>
      <c r="NIA81" s="953"/>
      <c r="NIB81" s="953"/>
      <c r="NIC81" s="953"/>
      <c r="NID81" s="953"/>
      <c r="NIE81" s="953"/>
      <c r="NIF81" s="953"/>
      <c r="NIG81" s="953"/>
      <c r="NIH81" s="953"/>
      <c r="NII81" s="953"/>
      <c r="NIJ81" s="953"/>
      <c r="NIK81" s="953"/>
      <c r="NIL81" s="953"/>
      <c r="NIM81" s="953"/>
      <c r="NIN81" s="953"/>
      <c r="NIO81" s="953"/>
      <c r="NIP81" s="953"/>
      <c r="NIQ81" s="953"/>
      <c r="NIR81" s="953"/>
      <c r="NIS81" s="953"/>
      <c r="NIT81" s="953"/>
      <c r="NIU81" s="953"/>
      <c r="NIV81" s="953"/>
      <c r="NIW81" s="953"/>
      <c r="NIX81" s="953"/>
      <c r="NIY81" s="953"/>
      <c r="NIZ81" s="953"/>
      <c r="NJA81" s="953"/>
      <c r="NJB81" s="953"/>
      <c r="NJC81" s="953"/>
      <c r="NJD81" s="953"/>
      <c r="NJE81" s="953"/>
      <c r="NJF81" s="953"/>
      <c r="NJG81" s="953"/>
      <c r="NJH81" s="953"/>
      <c r="NJI81" s="953"/>
      <c r="NJJ81" s="953"/>
      <c r="NJK81" s="953"/>
      <c r="NJL81" s="953"/>
      <c r="NJM81" s="953"/>
      <c r="NJN81" s="953"/>
      <c r="NJO81" s="953"/>
      <c r="NJP81" s="953"/>
      <c r="NJQ81" s="953"/>
      <c r="NJR81" s="953"/>
      <c r="NJS81" s="953"/>
      <c r="NJT81" s="953"/>
      <c r="NJU81" s="953"/>
      <c r="NJV81" s="953"/>
      <c r="NJW81" s="953"/>
      <c r="NJX81" s="953"/>
      <c r="NJY81" s="953"/>
      <c r="NJZ81" s="953"/>
      <c r="NKA81" s="953"/>
      <c r="NKB81" s="953"/>
      <c r="NKC81" s="953"/>
      <c r="NKD81" s="953"/>
      <c r="NKE81" s="953"/>
      <c r="NKF81" s="953"/>
      <c r="NKG81" s="953"/>
      <c r="NKH81" s="953"/>
      <c r="NKI81" s="953"/>
      <c r="NKJ81" s="953"/>
      <c r="NKK81" s="953"/>
      <c r="NKL81" s="953"/>
      <c r="NKM81" s="953"/>
      <c r="NKN81" s="953"/>
      <c r="NKO81" s="953"/>
      <c r="NKP81" s="953"/>
      <c r="NKQ81" s="953"/>
      <c r="NKR81" s="953"/>
      <c r="NKS81" s="953"/>
      <c r="NKT81" s="953"/>
      <c r="NKU81" s="953"/>
      <c r="NKV81" s="953"/>
      <c r="NKW81" s="953"/>
      <c r="NKX81" s="953"/>
      <c r="NKY81" s="953"/>
      <c r="NKZ81" s="953"/>
      <c r="NLA81" s="953"/>
      <c r="NLB81" s="953"/>
      <c r="NLC81" s="953"/>
      <c r="NLD81" s="953"/>
      <c r="NLE81" s="953"/>
      <c r="NLF81" s="953"/>
      <c r="NLG81" s="953"/>
      <c r="NLH81" s="953"/>
      <c r="NLI81" s="953"/>
      <c r="NLJ81" s="953"/>
      <c r="NLK81" s="953"/>
      <c r="NLL81" s="953"/>
      <c r="NLM81" s="953"/>
      <c r="NLN81" s="953"/>
      <c r="NLO81" s="953"/>
      <c r="NLP81" s="953"/>
      <c r="NLQ81" s="953"/>
      <c r="NLR81" s="953"/>
      <c r="NLS81" s="953"/>
      <c r="NLT81" s="953"/>
      <c r="NLU81" s="953"/>
      <c r="NLV81" s="953"/>
      <c r="NLW81" s="953"/>
      <c r="NLX81" s="953"/>
      <c r="NLY81" s="953"/>
      <c r="NLZ81" s="953"/>
      <c r="NMA81" s="953"/>
      <c r="NMB81" s="953"/>
      <c r="NMC81" s="953"/>
      <c r="NMD81" s="953"/>
      <c r="NME81" s="953"/>
      <c r="NMF81" s="953"/>
      <c r="NMG81" s="953"/>
      <c r="NMH81" s="953"/>
      <c r="NMI81" s="953"/>
      <c r="NMJ81" s="953"/>
      <c r="NMK81" s="953"/>
      <c r="NML81" s="953"/>
      <c r="NMM81" s="953"/>
      <c r="NMN81" s="953"/>
      <c r="NMO81" s="953"/>
      <c r="NMP81" s="953"/>
      <c r="NMQ81" s="953"/>
      <c r="NMR81" s="953"/>
      <c r="NMS81" s="953"/>
      <c r="NMT81" s="953"/>
      <c r="NMU81" s="953"/>
      <c r="NMV81" s="953"/>
      <c r="NMW81" s="953"/>
      <c r="NMX81" s="953"/>
      <c r="NMY81" s="953"/>
      <c r="NMZ81" s="953"/>
      <c r="NNA81" s="953"/>
      <c r="NNB81" s="953"/>
      <c r="NNC81" s="953"/>
      <c r="NND81" s="953"/>
      <c r="NNE81" s="953"/>
      <c r="NNF81" s="953"/>
      <c r="NNG81" s="953"/>
      <c r="NNH81" s="953"/>
      <c r="NNI81" s="953"/>
      <c r="NNJ81" s="953"/>
      <c r="NNK81" s="953"/>
      <c r="NNL81" s="953"/>
      <c r="NNM81" s="953"/>
      <c r="NNN81" s="953"/>
      <c r="NNO81" s="953"/>
      <c r="NNP81" s="953"/>
      <c r="NNQ81" s="953"/>
      <c r="NNR81" s="953"/>
      <c r="NNS81" s="953"/>
      <c r="NNT81" s="953"/>
      <c r="NNU81" s="953"/>
      <c r="NNV81" s="953"/>
      <c r="NNW81" s="953"/>
      <c r="NNX81" s="953"/>
      <c r="NNY81" s="953"/>
      <c r="NNZ81" s="953"/>
      <c r="NOA81" s="953"/>
      <c r="NOB81" s="953"/>
      <c r="NOC81" s="953"/>
      <c r="NOD81" s="953"/>
      <c r="NOE81" s="953"/>
      <c r="NOF81" s="953"/>
      <c r="NOG81" s="953"/>
      <c r="NOH81" s="953"/>
      <c r="NOI81" s="953"/>
      <c r="NOJ81" s="953"/>
      <c r="NOK81" s="953"/>
      <c r="NOL81" s="953"/>
      <c r="NOM81" s="953"/>
      <c r="NON81" s="953"/>
      <c r="NOO81" s="953"/>
      <c r="NOP81" s="953"/>
      <c r="NOQ81" s="953"/>
      <c r="NOR81" s="953"/>
      <c r="NOS81" s="953"/>
      <c r="NOT81" s="953"/>
      <c r="NOU81" s="953"/>
      <c r="NOV81" s="953"/>
      <c r="NOW81" s="953"/>
      <c r="NOX81" s="953"/>
      <c r="NOY81" s="953"/>
      <c r="NOZ81" s="953"/>
      <c r="NPA81" s="953"/>
      <c r="NPB81" s="953"/>
      <c r="NPC81" s="953"/>
      <c r="NPD81" s="953"/>
      <c r="NPE81" s="953"/>
      <c r="NPF81" s="953"/>
      <c r="NPG81" s="953"/>
      <c r="NPH81" s="953"/>
      <c r="NPI81" s="953"/>
      <c r="NPJ81" s="953"/>
      <c r="NPK81" s="953"/>
      <c r="NPL81" s="953"/>
      <c r="NPM81" s="953"/>
      <c r="NPN81" s="953"/>
      <c r="NPO81" s="953"/>
      <c r="NPP81" s="953"/>
      <c r="NPQ81" s="953"/>
      <c r="NPR81" s="953"/>
      <c r="NPS81" s="953"/>
      <c r="NPT81" s="953"/>
      <c r="NPU81" s="953"/>
      <c r="NPV81" s="953"/>
      <c r="NPW81" s="953"/>
      <c r="NPX81" s="953"/>
      <c r="NPY81" s="953"/>
      <c r="NPZ81" s="953"/>
      <c r="NQA81" s="953"/>
      <c r="NQB81" s="953"/>
      <c r="NQC81" s="953"/>
      <c r="NQD81" s="953"/>
      <c r="NQE81" s="953"/>
      <c r="NQF81" s="953"/>
      <c r="NQG81" s="953"/>
      <c r="NQH81" s="953"/>
      <c r="NQI81" s="953"/>
      <c r="NQJ81" s="953"/>
      <c r="NQK81" s="953"/>
      <c r="NQL81" s="953"/>
      <c r="NQM81" s="953"/>
      <c r="NQN81" s="953"/>
      <c r="NQO81" s="953"/>
      <c r="NQP81" s="953"/>
      <c r="NQQ81" s="953"/>
      <c r="NQR81" s="953"/>
      <c r="NQS81" s="953"/>
      <c r="NQT81" s="953"/>
      <c r="NQU81" s="953"/>
      <c r="NQV81" s="953"/>
      <c r="NQW81" s="953"/>
      <c r="NQX81" s="953"/>
      <c r="NQY81" s="953"/>
      <c r="NQZ81" s="953"/>
      <c r="NRA81" s="953"/>
      <c r="NRB81" s="953"/>
      <c r="NRC81" s="953"/>
      <c r="NRD81" s="953"/>
      <c r="NRE81" s="953"/>
      <c r="NRF81" s="953"/>
      <c r="NRG81" s="953"/>
      <c r="NRH81" s="953"/>
      <c r="NRI81" s="953"/>
      <c r="NRJ81" s="953"/>
      <c r="NRK81" s="953"/>
      <c r="NRL81" s="953"/>
      <c r="NRM81" s="953"/>
      <c r="NRN81" s="953"/>
      <c r="NRO81" s="953"/>
      <c r="NRP81" s="953"/>
      <c r="NRQ81" s="953"/>
      <c r="NRR81" s="953"/>
      <c r="NRS81" s="953"/>
      <c r="NRT81" s="953"/>
      <c r="NRU81" s="953"/>
      <c r="NRV81" s="953"/>
      <c r="NRW81" s="953"/>
      <c r="NRX81" s="953"/>
      <c r="NRY81" s="953"/>
      <c r="NRZ81" s="953"/>
      <c r="NSA81" s="953"/>
      <c r="NSB81" s="953"/>
      <c r="NSC81" s="953"/>
      <c r="NSD81" s="953"/>
      <c r="NSE81" s="953"/>
      <c r="NSF81" s="953"/>
      <c r="NSG81" s="953"/>
      <c r="NSH81" s="953"/>
      <c r="NSI81" s="953"/>
      <c r="NSJ81" s="953"/>
      <c r="NSK81" s="953"/>
      <c r="NSL81" s="953"/>
      <c r="NSM81" s="953"/>
      <c r="NSN81" s="953"/>
      <c r="NSO81" s="953"/>
      <c r="NSP81" s="953"/>
      <c r="NSQ81" s="953"/>
      <c r="NSR81" s="953"/>
      <c r="NSS81" s="953"/>
      <c r="NST81" s="953"/>
      <c r="NSU81" s="953"/>
      <c r="NSV81" s="953"/>
      <c r="NSW81" s="953"/>
      <c r="NSX81" s="953"/>
      <c r="NSY81" s="953"/>
      <c r="NSZ81" s="953"/>
      <c r="NTA81" s="953"/>
      <c r="NTB81" s="953"/>
      <c r="NTC81" s="953"/>
      <c r="NTD81" s="953"/>
      <c r="NTE81" s="953"/>
      <c r="NTF81" s="953"/>
      <c r="NTG81" s="953"/>
      <c r="NTH81" s="953"/>
      <c r="NTI81" s="953"/>
      <c r="NTJ81" s="953"/>
      <c r="NTK81" s="953"/>
      <c r="NTL81" s="953"/>
      <c r="NTM81" s="953"/>
      <c r="NTN81" s="953"/>
      <c r="NTO81" s="953"/>
      <c r="NTP81" s="953"/>
      <c r="NTQ81" s="953"/>
      <c r="NTR81" s="953"/>
      <c r="NTS81" s="953"/>
      <c r="NTT81" s="953"/>
      <c r="NTU81" s="953"/>
      <c r="NTV81" s="953"/>
      <c r="NTW81" s="953"/>
      <c r="NTX81" s="953"/>
      <c r="NTY81" s="953"/>
      <c r="NTZ81" s="953"/>
      <c r="NUA81" s="953"/>
      <c r="NUB81" s="953"/>
      <c r="NUC81" s="953"/>
      <c r="NUD81" s="953"/>
      <c r="NUE81" s="953"/>
      <c r="NUF81" s="953"/>
      <c r="NUG81" s="953"/>
      <c r="NUH81" s="953"/>
      <c r="NUI81" s="953"/>
      <c r="NUJ81" s="953"/>
      <c r="NUK81" s="953"/>
      <c r="NUL81" s="953"/>
      <c r="NUM81" s="953"/>
      <c r="NUN81" s="953"/>
      <c r="NUO81" s="953"/>
      <c r="NUP81" s="953"/>
      <c r="NUQ81" s="953"/>
      <c r="NUR81" s="953"/>
      <c r="NUS81" s="953"/>
      <c r="NUT81" s="953"/>
      <c r="NUU81" s="953"/>
      <c r="NUV81" s="953"/>
      <c r="NUW81" s="953"/>
      <c r="NUX81" s="953"/>
      <c r="NUY81" s="953"/>
      <c r="NUZ81" s="953"/>
      <c r="NVA81" s="953"/>
      <c r="NVB81" s="953"/>
      <c r="NVC81" s="953"/>
      <c r="NVD81" s="953"/>
      <c r="NVE81" s="953"/>
      <c r="NVF81" s="953"/>
      <c r="NVG81" s="953"/>
      <c r="NVH81" s="953"/>
      <c r="NVI81" s="953"/>
      <c r="NVJ81" s="953"/>
      <c r="NVK81" s="953"/>
      <c r="NVL81" s="953"/>
      <c r="NVM81" s="953"/>
      <c r="NVN81" s="953"/>
      <c r="NVO81" s="953"/>
      <c r="NVP81" s="953"/>
      <c r="NVQ81" s="953"/>
      <c r="NVR81" s="953"/>
      <c r="NVS81" s="953"/>
      <c r="NVT81" s="953"/>
      <c r="NVU81" s="953"/>
      <c r="NVV81" s="953"/>
      <c r="NVW81" s="953"/>
      <c r="NVX81" s="953"/>
      <c r="NVY81" s="953"/>
      <c r="NVZ81" s="953"/>
      <c r="NWA81" s="953"/>
      <c r="NWB81" s="953"/>
      <c r="NWC81" s="953"/>
      <c r="NWD81" s="953"/>
      <c r="NWE81" s="953"/>
      <c r="NWF81" s="953"/>
      <c r="NWG81" s="953"/>
      <c r="NWH81" s="953"/>
      <c r="NWI81" s="953"/>
      <c r="NWJ81" s="953"/>
      <c r="NWK81" s="953"/>
      <c r="NWL81" s="953"/>
      <c r="NWM81" s="953"/>
      <c r="NWN81" s="953"/>
      <c r="NWO81" s="953"/>
      <c r="NWP81" s="953"/>
      <c r="NWQ81" s="953"/>
      <c r="NWR81" s="953"/>
      <c r="NWS81" s="953"/>
      <c r="NWT81" s="953"/>
      <c r="NWU81" s="953"/>
      <c r="NWV81" s="953"/>
      <c r="NWW81" s="953"/>
      <c r="NWX81" s="953"/>
      <c r="NWY81" s="953"/>
      <c r="NWZ81" s="953"/>
      <c r="NXA81" s="953"/>
      <c r="NXB81" s="953"/>
      <c r="NXC81" s="953"/>
      <c r="NXD81" s="953"/>
      <c r="NXE81" s="953"/>
      <c r="NXF81" s="953"/>
      <c r="NXG81" s="953"/>
      <c r="NXH81" s="953"/>
      <c r="NXI81" s="953"/>
      <c r="NXJ81" s="953"/>
      <c r="NXK81" s="953"/>
      <c r="NXL81" s="953"/>
      <c r="NXM81" s="953"/>
      <c r="NXN81" s="953"/>
      <c r="NXO81" s="953"/>
      <c r="NXP81" s="953"/>
      <c r="NXQ81" s="953"/>
      <c r="NXR81" s="953"/>
      <c r="NXS81" s="953"/>
      <c r="NXT81" s="953"/>
      <c r="NXU81" s="953"/>
      <c r="NXV81" s="953"/>
      <c r="NXW81" s="953"/>
      <c r="NXX81" s="953"/>
      <c r="NXY81" s="953"/>
      <c r="NXZ81" s="953"/>
      <c r="NYA81" s="953"/>
      <c r="NYB81" s="953"/>
      <c r="NYC81" s="953"/>
      <c r="NYD81" s="953"/>
      <c r="NYE81" s="953"/>
      <c r="NYF81" s="953"/>
      <c r="NYG81" s="953"/>
      <c r="NYH81" s="953"/>
      <c r="NYI81" s="953"/>
      <c r="NYJ81" s="953"/>
      <c r="NYK81" s="953"/>
      <c r="NYL81" s="953"/>
      <c r="NYM81" s="953"/>
      <c r="NYN81" s="953"/>
      <c r="NYO81" s="953"/>
      <c r="NYP81" s="953"/>
      <c r="NYQ81" s="953"/>
      <c r="NYR81" s="953"/>
      <c r="NYS81" s="953"/>
      <c r="NYT81" s="953"/>
      <c r="NYU81" s="953"/>
      <c r="NYV81" s="953"/>
      <c r="NYW81" s="953"/>
      <c r="NYX81" s="953"/>
      <c r="NYY81" s="953"/>
      <c r="NYZ81" s="953"/>
      <c r="NZA81" s="953"/>
      <c r="NZB81" s="953"/>
      <c r="NZC81" s="953"/>
      <c r="NZD81" s="953"/>
      <c r="NZE81" s="953"/>
      <c r="NZF81" s="953"/>
      <c r="NZG81" s="953"/>
      <c r="NZH81" s="953"/>
      <c r="NZI81" s="953"/>
      <c r="NZJ81" s="953"/>
      <c r="NZK81" s="953"/>
      <c r="NZL81" s="953"/>
      <c r="NZM81" s="953"/>
      <c r="NZN81" s="953"/>
      <c r="NZO81" s="953"/>
      <c r="NZP81" s="953"/>
      <c r="NZQ81" s="953"/>
      <c r="NZR81" s="953"/>
      <c r="NZS81" s="953"/>
      <c r="NZT81" s="953"/>
      <c r="NZU81" s="953"/>
      <c r="NZV81" s="953"/>
      <c r="NZW81" s="953"/>
      <c r="NZX81" s="953"/>
      <c r="NZY81" s="953"/>
      <c r="NZZ81" s="953"/>
      <c r="OAA81" s="953"/>
      <c r="OAB81" s="953"/>
      <c r="OAC81" s="953"/>
      <c r="OAD81" s="953"/>
      <c r="OAE81" s="953"/>
      <c r="OAF81" s="953"/>
      <c r="OAG81" s="953"/>
      <c r="OAH81" s="953"/>
      <c r="OAI81" s="953"/>
      <c r="OAJ81" s="953"/>
      <c r="OAK81" s="953"/>
      <c r="OAL81" s="953"/>
      <c r="OAM81" s="953"/>
      <c r="OAN81" s="953"/>
      <c r="OAO81" s="953"/>
      <c r="OAP81" s="953"/>
      <c r="OAQ81" s="953"/>
      <c r="OAR81" s="953"/>
      <c r="OAS81" s="953"/>
      <c r="OAT81" s="953"/>
      <c r="OAU81" s="953"/>
      <c r="OAV81" s="953"/>
      <c r="OAW81" s="953"/>
      <c r="OAX81" s="953"/>
      <c r="OAY81" s="953"/>
      <c r="OAZ81" s="953"/>
      <c r="OBA81" s="953"/>
      <c r="OBB81" s="953"/>
      <c r="OBC81" s="953"/>
      <c r="OBD81" s="953"/>
      <c r="OBE81" s="953"/>
      <c r="OBF81" s="953"/>
      <c r="OBG81" s="953"/>
      <c r="OBH81" s="953"/>
      <c r="OBI81" s="953"/>
      <c r="OBJ81" s="953"/>
      <c r="OBK81" s="953"/>
      <c r="OBL81" s="953"/>
      <c r="OBM81" s="953"/>
      <c r="OBN81" s="953"/>
      <c r="OBO81" s="953"/>
      <c r="OBP81" s="953"/>
      <c r="OBQ81" s="953"/>
      <c r="OBR81" s="953"/>
      <c r="OBS81" s="953"/>
      <c r="OBT81" s="953"/>
      <c r="OBU81" s="953"/>
      <c r="OBV81" s="953"/>
      <c r="OBW81" s="953"/>
      <c r="OBX81" s="953"/>
      <c r="OBY81" s="953"/>
      <c r="OBZ81" s="953"/>
      <c r="OCA81" s="953"/>
      <c r="OCB81" s="953"/>
      <c r="OCC81" s="953"/>
      <c r="OCD81" s="953"/>
      <c r="OCE81" s="953"/>
      <c r="OCF81" s="953"/>
      <c r="OCG81" s="953"/>
      <c r="OCH81" s="953"/>
      <c r="OCI81" s="953"/>
      <c r="OCJ81" s="953"/>
      <c r="OCK81" s="953"/>
      <c r="OCL81" s="953"/>
      <c r="OCM81" s="953"/>
      <c r="OCN81" s="953"/>
      <c r="OCO81" s="953"/>
      <c r="OCP81" s="953"/>
      <c r="OCQ81" s="953"/>
      <c r="OCR81" s="953"/>
      <c r="OCS81" s="953"/>
      <c r="OCT81" s="953"/>
      <c r="OCU81" s="953"/>
      <c r="OCV81" s="953"/>
      <c r="OCW81" s="953"/>
      <c r="OCX81" s="953"/>
      <c r="OCY81" s="953"/>
      <c r="OCZ81" s="953"/>
      <c r="ODA81" s="953"/>
      <c r="ODB81" s="953"/>
      <c r="ODC81" s="953"/>
      <c r="ODD81" s="953"/>
      <c r="ODE81" s="953"/>
      <c r="ODF81" s="953"/>
      <c r="ODG81" s="953"/>
      <c r="ODH81" s="953"/>
      <c r="ODI81" s="953"/>
      <c r="ODJ81" s="953"/>
      <c r="ODK81" s="953"/>
      <c r="ODL81" s="953"/>
      <c r="ODM81" s="953"/>
      <c r="ODN81" s="953"/>
      <c r="ODO81" s="953"/>
      <c r="ODP81" s="953"/>
      <c r="ODQ81" s="953"/>
      <c r="ODR81" s="953"/>
      <c r="ODS81" s="953"/>
      <c r="ODT81" s="953"/>
      <c r="ODU81" s="953"/>
      <c r="ODV81" s="953"/>
      <c r="ODW81" s="953"/>
      <c r="ODX81" s="953"/>
      <c r="ODY81" s="953"/>
      <c r="ODZ81" s="953"/>
      <c r="OEA81" s="953"/>
      <c r="OEB81" s="953"/>
      <c r="OEC81" s="953"/>
      <c r="OED81" s="953"/>
      <c r="OEE81" s="953"/>
      <c r="OEF81" s="953"/>
      <c r="OEG81" s="953"/>
      <c r="OEH81" s="953"/>
      <c r="OEI81" s="953"/>
      <c r="OEJ81" s="953"/>
      <c r="OEK81" s="953"/>
      <c r="OEL81" s="953"/>
      <c r="OEM81" s="953"/>
      <c r="OEN81" s="953"/>
      <c r="OEO81" s="953"/>
      <c r="OEP81" s="953"/>
      <c r="OEQ81" s="953"/>
      <c r="OER81" s="953"/>
      <c r="OES81" s="953"/>
      <c r="OET81" s="953"/>
      <c r="OEU81" s="953"/>
      <c r="OEV81" s="953"/>
      <c r="OEW81" s="953"/>
      <c r="OEX81" s="953"/>
      <c r="OEY81" s="953"/>
      <c r="OEZ81" s="953"/>
      <c r="OFA81" s="953"/>
      <c r="OFB81" s="953"/>
      <c r="OFC81" s="953"/>
      <c r="OFD81" s="953"/>
      <c r="OFE81" s="953"/>
      <c r="OFF81" s="953"/>
      <c r="OFG81" s="953"/>
      <c r="OFH81" s="953"/>
      <c r="OFI81" s="953"/>
      <c r="OFJ81" s="953"/>
      <c r="OFK81" s="953"/>
      <c r="OFL81" s="953"/>
      <c r="OFM81" s="953"/>
      <c r="OFN81" s="953"/>
      <c r="OFO81" s="953"/>
      <c r="OFP81" s="953"/>
      <c r="OFQ81" s="953"/>
      <c r="OFR81" s="953"/>
      <c r="OFS81" s="953"/>
      <c r="OFT81" s="953"/>
      <c r="OFU81" s="953"/>
      <c r="OFV81" s="953"/>
      <c r="OFW81" s="953"/>
      <c r="OFX81" s="953"/>
      <c r="OFY81" s="953"/>
      <c r="OFZ81" s="953"/>
      <c r="OGA81" s="953"/>
      <c r="OGB81" s="953"/>
      <c r="OGC81" s="953"/>
      <c r="OGD81" s="953"/>
      <c r="OGE81" s="953"/>
      <c r="OGF81" s="953"/>
      <c r="OGG81" s="953"/>
      <c r="OGH81" s="953"/>
      <c r="OGI81" s="953"/>
      <c r="OGJ81" s="953"/>
      <c r="OGK81" s="953"/>
      <c r="OGL81" s="953"/>
      <c r="OGM81" s="953"/>
      <c r="OGN81" s="953"/>
      <c r="OGO81" s="953"/>
      <c r="OGP81" s="953"/>
      <c r="OGQ81" s="953"/>
      <c r="OGR81" s="953"/>
      <c r="OGS81" s="953"/>
      <c r="OGT81" s="953"/>
      <c r="OGU81" s="953"/>
      <c r="OGV81" s="953"/>
      <c r="OGW81" s="953"/>
      <c r="OGX81" s="953"/>
      <c r="OGY81" s="953"/>
      <c r="OGZ81" s="953"/>
      <c r="OHA81" s="953"/>
      <c r="OHB81" s="953"/>
      <c r="OHC81" s="953"/>
      <c r="OHD81" s="953"/>
      <c r="OHE81" s="953"/>
      <c r="OHF81" s="953"/>
      <c r="OHG81" s="953"/>
      <c r="OHH81" s="953"/>
      <c r="OHI81" s="953"/>
      <c r="OHJ81" s="953"/>
      <c r="OHK81" s="953"/>
      <c r="OHL81" s="953"/>
      <c r="OHM81" s="953"/>
      <c r="OHN81" s="953"/>
      <c r="OHO81" s="953"/>
      <c r="OHP81" s="953"/>
      <c r="OHQ81" s="953"/>
      <c r="OHR81" s="953"/>
      <c r="OHS81" s="953"/>
      <c r="OHT81" s="953"/>
      <c r="OHU81" s="953"/>
      <c r="OHV81" s="953"/>
      <c r="OHW81" s="953"/>
      <c r="OHX81" s="953"/>
      <c r="OHY81" s="953"/>
      <c r="OHZ81" s="953"/>
      <c r="OIA81" s="953"/>
      <c r="OIB81" s="953"/>
      <c r="OIC81" s="953"/>
      <c r="OID81" s="953"/>
      <c r="OIE81" s="953"/>
      <c r="OIF81" s="953"/>
      <c r="OIG81" s="953"/>
      <c r="OIH81" s="953"/>
      <c r="OII81" s="953"/>
      <c r="OIJ81" s="953"/>
      <c r="OIK81" s="953"/>
      <c r="OIL81" s="953"/>
      <c r="OIM81" s="953"/>
      <c r="OIN81" s="953"/>
      <c r="OIO81" s="953"/>
      <c r="OIP81" s="953"/>
      <c r="OIQ81" s="953"/>
      <c r="OIR81" s="953"/>
      <c r="OIS81" s="953"/>
      <c r="OIT81" s="953"/>
      <c r="OIU81" s="953"/>
      <c r="OIV81" s="953"/>
      <c r="OIW81" s="953"/>
      <c r="OIX81" s="953"/>
      <c r="OIY81" s="953"/>
      <c r="OIZ81" s="953"/>
      <c r="OJA81" s="953"/>
      <c r="OJB81" s="953"/>
      <c r="OJC81" s="953"/>
      <c r="OJD81" s="953"/>
      <c r="OJE81" s="953"/>
      <c r="OJF81" s="953"/>
      <c r="OJG81" s="953"/>
      <c r="OJH81" s="953"/>
      <c r="OJI81" s="953"/>
      <c r="OJJ81" s="953"/>
      <c r="OJK81" s="953"/>
      <c r="OJL81" s="953"/>
      <c r="OJM81" s="953"/>
      <c r="OJN81" s="953"/>
      <c r="OJO81" s="953"/>
      <c r="OJP81" s="953"/>
      <c r="OJQ81" s="953"/>
      <c r="OJR81" s="953"/>
      <c r="OJS81" s="953"/>
      <c r="OJT81" s="953"/>
      <c r="OJU81" s="953"/>
      <c r="OJV81" s="953"/>
      <c r="OJW81" s="953"/>
      <c r="OJX81" s="953"/>
      <c r="OJY81" s="953"/>
      <c r="OJZ81" s="953"/>
      <c r="OKA81" s="953"/>
      <c r="OKB81" s="953"/>
      <c r="OKC81" s="953"/>
      <c r="OKD81" s="953"/>
      <c r="OKE81" s="953"/>
      <c r="OKF81" s="953"/>
      <c r="OKG81" s="953"/>
      <c r="OKH81" s="953"/>
      <c r="OKI81" s="953"/>
      <c r="OKJ81" s="953"/>
      <c r="OKK81" s="953"/>
      <c r="OKL81" s="953"/>
      <c r="OKM81" s="953"/>
      <c r="OKN81" s="953"/>
      <c r="OKO81" s="953"/>
      <c r="OKP81" s="953"/>
      <c r="OKQ81" s="953"/>
      <c r="OKR81" s="953"/>
      <c r="OKS81" s="953"/>
      <c r="OKT81" s="953"/>
      <c r="OKU81" s="953"/>
      <c r="OKV81" s="953"/>
      <c r="OKW81" s="953"/>
      <c r="OKX81" s="953"/>
      <c r="OKY81" s="953"/>
      <c r="OKZ81" s="953"/>
      <c r="OLA81" s="953"/>
      <c r="OLB81" s="953"/>
      <c r="OLC81" s="953"/>
      <c r="OLD81" s="953"/>
      <c r="OLE81" s="953"/>
      <c r="OLF81" s="953"/>
      <c r="OLG81" s="953"/>
      <c r="OLH81" s="953"/>
      <c r="OLI81" s="953"/>
      <c r="OLJ81" s="953"/>
      <c r="OLK81" s="953"/>
      <c r="OLL81" s="953"/>
      <c r="OLM81" s="953"/>
      <c r="OLN81" s="953"/>
      <c r="OLO81" s="953"/>
      <c r="OLP81" s="953"/>
      <c r="OLQ81" s="953"/>
      <c r="OLR81" s="953"/>
      <c r="OLS81" s="953"/>
      <c r="OLT81" s="953"/>
      <c r="OLU81" s="953"/>
      <c r="OLV81" s="953"/>
      <c r="OLW81" s="953"/>
      <c r="OLX81" s="953"/>
      <c r="OLY81" s="953"/>
      <c r="OLZ81" s="953"/>
      <c r="OMA81" s="953"/>
      <c r="OMB81" s="953"/>
      <c r="OMC81" s="953"/>
      <c r="OMD81" s="953"/>
      <c r="OME81" s="953"/>
      <c r="OMF81" s="953"/>
      <c r="OMG81" s="953"/>
      <c r="OMH81" s="953"/>
      <c r="OMI81" s="953"/>
      <c r="OMJ81" s="953"/>
      <c r="OMK81" s="953"/>
      <c r="OML81" s="953"/>
      <c r="OMM81" s="953"/>
      <c r="OMN81" s="953"/>
      <c r="OMO81" s="953"/>
      <c r="OMP81" s="953"/>
      <c r="OMQ81" s="953"/>
      <c r="OMR81" s="953"/>
      <c r="OMS81" s="953"/>
      <c r="OMT81" s="953"/>
      <c r="OMU81" s="953"/>
      <c r="OMV81" s="953"/>
      <c r="OMW81" s="953"/>
      <c r="OMX81" s="953"/>
      <c r="OMY81" s="953"/>
      <c r="OMZ81" s="953"/>
      <c r="ONA81" s="953"/>
      <c r="ONB81" s="953"/>
      <c r="ONC81" s="953"/>
      <c r="OND81" s="953"/>
      <c r="ONE81" s="953"/>
      <c r="ONF81" s="953"/>
      <c r="ONG81" s="953"/>
      <c r="ONH81" s="953"/>
      <c r="ONI81" s="953"/>
      <c r="ONJ81" s="953"/>
      <c r="ONK81" s="953"/>
      <c r="ONL81" s="953"/>
      <c r="ONM81" s="953"/>
      <c r="ONN81" s="953"/>
      <c r="ONO81" s="953"/>
      <c r="ONP81" s="953"/>
      <c r="ONQ81" s="953"/>
      <c r="ONR81" s="953"/>
      <c r="ONS81" s="953"/>
      <c r="ONT81" s="953"/>
      <c r="ONU81" s="953"/>
      <c r="ONV81" s="953"/>
      <c r="ONW81" s="953"/>
      <c r="ONX81" s="953"/>
      <c r="ONY81" s="953"/>
      <c r="ONZ81" s="953"/>
      <c r="OOA81" s="953"/>
      <c r="OOB81" s="953"/>
      <c r="OOC81" s="953"/>
      <c r="OOD81" s="953"/>
      <c r="OOE81" s="953"/>
      <c r="OOF81" s="953"/>
      <c r="OOG81" s="953"/>
      <c r="OOH81" s="953"/>
      <c r="OOI81" s="953"/>
      <c r="OOJ81" s="953"/>
      <c r="OOK81" s="953"/>
      <c r="OOL81" s="953"/>
      <c r="OOM81" s="953"/>
      <c r="OON81" s="953"/>
      <c r="OOO81" s="953"/>
      <c r="OOP81" s="953"/>
      <c r="OOQ81" s="953"/>
      <c r="OOR81" s="953"/>
      <c r="OOS81" s="953"/>
      <c r="OOT81" s="953"/>
      <c r="OOU81" s="953"/>
      <c r="OOV81" s="953"/>
      <c r="OOW81" s="953"/>
      <c r="OOX81" s="953"/>
      <c r="OOY81" s="953"/>
      <c r="OOZ81" s="953"/>
      <c r="OPA81" s="953"/>
      <c r="OPB81" s="953"/>
      <c r="OPC81" s="953"/>
      <c r="OPD81" s="953"/>
      <c r="OPE81" s="953"/>
      <c r="OPF81" s="953"/>
      <c r="OPG81" s="953"/>
      <c r="OPH81" s="953"/>
      <c r="OPI81" s="953"/>
      <c r="OPJ81" s="953"/>
      <c r="OPK81" s="953"/>
      <c r="OPL81" s="953"/>
      <c r="OPM81" s="953"/>
      <c r="OPN81" s="953"/>
      <c r="OPO81" s="953"/>
      <c r="OPP81" s="953"/>
      <c r="OPQ81" s="953"/>
      <c r="OPR81" s="953"/>
      <c r="OPS81" s="953"/>
      <c r="OPT81" s="953"/>
      <c r="OPU81" s="953"/>
      <c r="OPV81" s="953"/>
      <c r="OPW81" s="953"/>
      <c r="OPX81" s="953"/>
      <c r="OPY81" s="953"/>
      <c r="OPZ81" s="953"/>
      <c r="OQA81" s="953"/>
      <c r="OQB81" s="953"/>
      <c r="OQC81" s="953"/>
      <c r="OQD81" s="953"/>
      <c r="OQE81" s="953"/>
      <c r="OQF81" s="953"/>
      <c r="OQG81" s="953"/>
      <c r="OQH81" s="953"/>
      <c r="OQI81" s="953"/>
      <c r="OQJ81" s="953"/>
      <c r="OQK81" s="953"/>
      <c r="OQL81" s="953"/>
      <c r="OQM81" s="953"/>
      <c r="OQN81" s="953"/>
      <c r="OQO81" s="953"/>
      <c r="OQP81" s="953"/>
      <c r="OQQ81" s="953"/>
      <c r="OQR81" s="953"/>
      <c r="OQS81" s="953"/>
      <c r="OQT81" s="953"/>
      <c r="OQU81" s="953"/>
      <c r="OQV81" s="953"/>
      <c r="OQW81" s="953"/>
      <c r="OQX81" s="953"/>
      <c r="OQY81" s="953"/>
      <c r="OQZ81" s="953"/>
      <c r="ORA81" s="953"/>
      <c r="ORB81" s="953"/>
      <c r="ORC81" s="953"/>
      <c r="ORD81" s="953"/>
      <c r="ORE81" s="953"/>
      <c r="ORF81" s="953"/>
      <c r="ORG81" s="953"/>
      <c r="ORH81" s="953"/>
      <c r="ORI81" s="953"/>
      <c r="ORJ81" s="953"/>
      <c r="ORK81" s="953"/>
      <c r="ORL81" s="953"/>
      <c r="ORM81" s="953"/>
      <c r="ORN81" s="953"/>
      <c r="ORO81" s="953"/>
      <c r="ORP81" s="953"/>
      <c r="ORQ81" s="953"/>
      <c r="ORR81" s="953"/>
      <c r="ORS81" s="953"/>
      <c r="ORT81" s="953"/>
      <c r="ORU81" s="953"/>
      <c r="ORV81" s="953"/>
      <c r="ORW81" s="953"/>
      <c r="ORX81" s="953"/>
      <c r="ORY81" s="953"/>
      <c r="ORZ81" s="953"/>
      <c r="OSA81" s="953"/>
      <c r="OSB81" s="953"/>
      <c r="OSC81" s="953"/>
      <c r="OSD81" s="953"/>
      <c r="OSE81" s="953"/>
      <c r="OSF81" s="953"/>
      <c r="OSG81" s="953"/>
      <c r="OSH81" s="953"/>
      <c r="OSI81" s="953"/>
      <c r="OSJ81" s="953"/>
      <c r="OSK81" s="953"/>
      <c r="OSL81" s="953"/>
      <c r="OSM81" s="953"/>
      <c r="OSN81" s="953"/>
      <c r="OSO81" s="953"/>
      <c r="OSP81" s="953"/>
      <c r="OSQ81" s="953"/>
      <c r="OSR81" s="953"/>
      <c r="OSS81" s="953"/>
      <c r="OST81" s="953"/>
      <c r="OSU81" s="953"/>
      <c r="OSV81" s="953"/>
      <c r="OSW81" s="953"/>
      <c r="OSX81" s="953"/>
      <c r="OSY81" s="953"/>
      <c r="OSZ81" s="953"/>
      <c r="OTA81" s="953"/>
      <c r="OTB81" s="953"/>
      <c r="OTC81" s="953"/>
      <c r="OTD81" s="953"/>
      <c r="OTE81" s="953"/>
      <c r="OTF81" s="953"/>
      <c r="OTG81" s="953"/>
      <c r="OTH81" s="953"/>
      <c r="OTI81" s="953"/>
      <c r="OTJ81" s="953"/>
      <c r="OTK81" s="953"/>
      <c r="OTL81" s="953"/>
      <c r="OTM81" s="953"/>
      <c r="OTN81" s="953"/>
      <c r="OTO81" s="953"/>
      <c r="OTP81" s="953"/>
      <c r="OTQ81" s="953"/>
      <c r="OTR81" s="953"/>
      <c r="OTS81" s="953"/>
      <c r="OTT81" s="953"/>
      <c r="OTU81" s="953"/>
      <c r="OTV81" s="953"/>
      <c r="OTW81" s="953"/>
      <c r="OTX81" s="953"/>
      <c r="OTY81" s="953"/>
      <c r="OTZ81" s="953"/>
      <c r="OUA81" s="953"/>
      <c r="OUB81" s="953"/>
      <c r="OUC81" s="953"/>
      <c r="OUD81" s="953"/>
      <c r="OUE81" s="953"/>
      <c r="OUF81" s="953"/>
      <c r="OUG81" s="953"/>
      <c r="OUH81" s="953"/>
      <c r="OUI81" s="953"/>
      <c r="OUJ81" s="953"/>
      <c r="OUK81" s="953"/>
      <c r="OUL81" s="953"/>
      <c r="OUM81" s="953"/>
      <c r="OUN81" s="953"/>
      <c r="OUO81" s="953"/>
      <c r="OUP81" s="953"/>
      <c r="OUQ81" s="953"/>
      <c r="OUR81" s="953"/>
      <c r="OUS81" s="953"/>
      <c r="OUT81" s="953"/>
      <c r="OUU81" s="953"/>
      <c r="OUV81" s="953"/>
      <c r="OUW81" s="953"/>
      <c r="OUX81" s="953"/>
      <c r="OUY81" s="953"/>
      <c r="OUZ81" s="953"/>
      <c r="OVA81" s="953"/>
      <c r="OVB81" s="953"/>
      <c r="OVC81" s="953"/>
      <c r="OVD81" s="953"/>
      <c r="OVE81" s="953"/>
      <c r="OVF81" s="953"/>
      <c r="OVG81" s="953"/>
      <c r="OVH81" s="953"/>
      <c r="OVI81" s="953"/>
      <c r="OVJ81" s="953"/>
      <c r="OVK81" s="953"/>
      <c r="OVL81" s="953"/>
      <c r="OVM81" s="953"/>
      <c r="OVN81" s="953"/>
      <c r="OVO81" s="953"/>
      <c r="OVP81" s="953"/>
      <c r="OVQ81" s="953"/>
      <c r="OVR81" s="953"/>
      <c r="OVS81" s="953"/>
      <c r="OVT81" s="953"/>
      <c r="OVU81" s="953"/>
      <c r="OVV81" s="953"/>
      <c r="OVW81" s="953"/>
      <c r="OVX81" s="953"/>
      <c r="OVY81" s="953"/>
      <c r="OVZ81" s="953"/>
      <c r="OWA81" s="953"/>
      <c r="OWB81" s="953"/>
      <c r="OWC81" s="953"/>
      <c r="OWD81" s="953"/>
      <c r="OWE81" s="953"/>
      <c r="OWF81" s="953"/>
      <c r="OWG81" s="953"/>
      <c r="OWH81" s="953"/>
      <c r="OWI81" s="953"/>
      <c r="OWJ81" s="953"/>
      <c r="OWK81" s="953"/>
      <c r="OWL81" s="953"/>
      <c r="OWM81" s="953"/>
      <c r="OWN81" s="953"/>
      <c r="OWO81" s="953"/>
      <c r="OWP81" s="953"/>
      <c r="OWQ81" s="953"/>
      <c r="OWR81" s="953"/>
      <c r="OWS81" s="953"/>
      <c r="OWT81" s="953"/>
      <c r="OWU81" s="953"/>
      <c r="OWV81" s="953"/>
      <c r="OWW81" s="953"/>
      <c r="OWX81" s="953"/>
      <c r="OWY81" s="953"/>
      <c r="OWZ81" s="953"/>
      <c r="OXA81" s="953"/>
      <c r="OXB81" s="953"/>
      <c r="OXC81" s="953"/>
      <c r="OXD81" s="953"/>
      <c r="OXE81" s="953"/>
      <c r="OXF81" s="953"/>
      <c r="OXG81" s="953"/>
      <c r="OXH81" s="953"/>
      <c r="OXI81" s="953"/>
      <c r="OXJ81" s="953"/>
      <c r="OXK81" s="953"/>
      <c r="OXL81" s="953"/>
      <c r="OXM81" s="953"/>
      <c r="OXN81" s="953"/>
      <c r="OXO81" s="953"/>
      <c r="OXP81" s="953"/>
      <c r="OXQ81" s="953"/>
      <c r="OXR81" s="953"/>
      <c r="OXS81" s="953"/>
      <c r="OXT81" s="953"/>
      <c r="OXU81" s="953"/>
      <c r="OXV81" s="953"/>
      <c r="OXW81" s="953"/>
      <c r="OXX81" s="953"/>
      <c r="OXY81" s="953"/>
      <c r="OXZ81" s="953"/>
      <c r="OYA81" s="953"/>
      <c r="OYB81" s="953"/>
      <c r="OYC81" s="953"/>
      <c r="OYD81" s="953"/>
      <c r="OYE81" s="953"/>
      <c r="OYF81" s="953"/>
      <c r="OYG81" s="953"/>
      <c r="OYH81" s="953"/>
      <c r="OYI81" s="953"/>
      <c r="OYJ81" s="953"/>
      <c r="OYK81" s="953"/>
      <c r="OYL81" s="953"/>
      <c r="OYM81" s="953"/>
      <c r="OYN81" s="953"/>
      <c r="OYO81" s="953"/>
      <c r="OYP81" s="953"/>
      <c r="OYQ81" s="953"/>
      <c r="OYR81" s="953"/>
      <c r="OYS81" s="953"/>
      <c r="OYT81" s="953"/>
      <c r="OYU81" s="953"/>
      <c r="OYV81" s="953"/>
      <c r="OYW81" s="953"/>
      <c r="OYX81" s="953"/>
      <c r="OYY81" s="953"/>
      <c r="OYZ81" s="953"/>
      <c r="OZA81" s="953"/>
      <c r="OZB81" s="953"/>
      <c r="OZC81" s="953"/>
      <c r="OZD81" s="953"/>
      <c r="OZE81" s="953"/>
      <c r="OZF81" s="953"/>
      <c r="OZG81" s="953"/>
      <c r="OZH81" s="953"/>
      <c r="OZI81" s="953"/>
      <c r="OZJ81" s="953"/>
      <c r="OZK81" s="953"/>
      <c r="OZL81" s="953"/>
      <c r="OZM81" s="953"/>
      <c r="OZN81" s="953"/>
      <c r="OZO81" s="953"/>
      <c r="OZP81" s="953"/>
      <c r="OZQ81" s="953"/>
      <c r="OZR81" s="953"/>
      <c r="OZS81" s="953"/>
      <c r="OZT81" s="953"/>
      <c r="OZU81" s="953"/>
      <c r="OZV81" s="953"/>
      <c r="OZW81" s="953"/>
      <c r="OZX81" s="953"/>
      <c r="OZY81" s="953"/>
      <c r="OZZ81" s="953"/>
      <c r="PAA81" s="953"/>
      <c r="PAB81" s="953"/>
      <c r="PAC81" s="953"/>
      <c r="PAD81" s="953"/>
      <c r="PAE81" s="953"/>
      <c r="PAF81" s="953"/>
      <c r="PAG81" s="953"/>
      <c r="PAH81" s="953"/>
      <c r="PAI81" s="953"/>
      <c r="PAJ81" s="953"/>
      <c r="PAK81" s="953"/>
      <c r="PAL81" s="953"/>
      <c r="PAM81" s="953"/>
      <c r="PAN81" s="953"/>
      <c r="PAO81" s="953"/>
      <c r="PAP81" s="953"/>
      <c r="PAQ81" s="953"/>
      <c r="PAR81" s="953"/>
      <c r="PAS81" s="953"/>
      <c r="PAT81" s="953"/>
      <c r="PAU81" s="953"/>
      <c r="PAV81" s="953"/>
      <c r="PAW81" s="953"/>
      <c r="PAX81" s="953"/>
      <c r="PAY81" s="953"/>
      <c r="PAZ81" s="953"/>
      <c r="PBA81" s="953"/>
      <c r="PBB81" s="953"/>
      <c r="PBC81" s="953"/>
      <c r="PBD81" s="953"/>
      <c r="PBE81" s="953"/>
      <c r="PBF81" s="953"/>
      <c r="PBG81" s="953"/>
      <c r="PBH81" s="953"/>
      <c r="PBI81" s="953"/>
      <c r="PBJ81" s="953"/>
      <c r="PBK81" s="953"/>
      <c r="PBL81" s="953"/>
      <c r="PBM81" s="953"/>
      <c r="PBN81" s="953"/>
      <c r="PBO81" s="953"/>
      <c r="PBP81" s="953"/>
      <c r="PBQ81" s="953"/>
      <c r="PBR81" s="953"/>
      <c r="PBS81" s="953"/>
      <c r="PBT81" s="953"/>
      <c r="PBU81" s="953"/>
      <c r="PBV81" s="953"/>
      <c r="PBW81" s="953"/>
      <c r="PBX81" s="953"/>
      <c r="PBY81" s="953"/>
      <c r="PBZ81" s="953"/>
      <c r="PCA81" s="953"/>
      <c r="PCB81" s="953"/>
      <c r="PCC81" s="953"/>
      <c r="PCD81" s="953"/>
      <c r="PCE81" s="953"/>
      <c r="PCF81" s="953"/>
      <c r="PCG81" s="953"/>
      <c r="PCH81" s="953"/>
      <c r="PCI81" s="953"/>
      <c r="PCJ81" s="953"/>
      <c r="PCK81" s="953"/>
      <c r="PCL81" s="953"/>
      <c r="PCM81" s="953"/>
      <c r="PCN81" s="953"/>
      <c r="PCO81" s="953"/>
      <c r="PCP81" s="953"/>
      <c r="PCQ81" s="953"/>
      <c r="PCR81" s="953"/>
      <c r="PCS81" s="953"/>
      <c r="PCT81" s="953"/>
      <c r="PCU81" s="953"/>
      <c r="PCV81" s="953"/>
      <c r="PCW81" s="953"/>
      <c r="PCX81" s="953"/>
      <c r="PCY81" s="953"/>
      <c r="PCZ81" s="953"/>
      <c r="PDA81" s="953"/>
      <c r="PDB81" s="953"/>
      <c r="PDC81" s="953"/>
      <c r="PDD81" s="953"/>
      <c r="PDE81" s="953"/>
      <c r="PDF81" s="953"/>
      <c r="PDG81" s="953"/>
      <c r="PDH81" s="953"/>
      <c r="PDI81" s="953"/>
      <c r="PDJ81" s="953"/>
      <c r="PDK81" s="953"/>
      <c r="PDL81" s="953"/>
      <c r="PDM81" s="953"/>
      <c r="PDN81" s="953"/>
      <c r="PDO81" s="953"/>
      <c r="PDP81" s="953"/>
      <c r="PDQ81" s="953"/>
      <c r="PDR81" s="953"/>
      <c r="PDS81" s="953"/>
      <c r="PDT81" s="953"/>
      <c r="PDU81" s="953"/>
      <c r="PDV81" s="953"/>
      <c r="PDW81" s="953"/>
      <c r="PDX81" s="953"/>
      <c r="PDY81" s="953"/>
      <c r="PDZ81" s="953"/>
      <c r="PEA81" s="953"/>
      <c r="PEB81" s="953"/>
      <c r="PEC81" s="953"/>
      <c r="PED81" s="953"/>
      <c r="PEE81" s="953"/>
      <c r="PEF81" s="953"/>
      <c r="PEG81" s="953"/>
      <c r="PEH81" s="953"/>
      <c r="PEI81" s="953"/>
      <c r="PEJ81" s="953"/>
      <c r="PEK81" s="953"/>
      <c r="PEL81" s="953"/>
      <c r="PEM81" s="953"/>
      <c r="PEN81" s="953"/>
      <c r="PEO81" s="953"/>
      <c r="PEP81" s="953"/>
      <c r="PEQ81" s="953"/>
      <c r="PER81" s="953"/>
      <c r="PES81" s="953"/>
      <c r="PET81" s="953"/>
      <c r="PEU81" s="953"/>
      <c r="PEV81" s="953"/>
      <c r="PEW81" s="953"/>
      <c r="PEX81" s="953"/>
      <c r="PEY81" s="953"/>
      <c r="PEZ81" s="953"/>
      <c r="PFA81" s="953"/>
      <c r="PFB81" s="953"/>
      <c r="PFC81" s="953"/>
      <c r="PFD81" s="953"/>
      <c r="PFE81" s="953"/>
      <c r="PFF81" s="953"/>
      <c r="PFG81" s="953"/>
      <c r="PFH81" s="953"/>
      <c r="PFI81" s="953"/>
      <c r="PFJ81" s="953"/>
      <c r="PFK81" s="953"/>
      <c r="PFL81" s="953"/>
      <c r="PFM81" s="953"/>
      <c r="PFN81" s="953"/>
      <c r="PFO81" s="953"/>
      <c r="PFP81" s="953"/>
      <c r="PFQ81" s="953"/>
      <c r="PFR81" s="953"/>
      <c r="PFS81" s="953"/>
      <c r="PFT81" s="953"/>
      <c r="PFU81" s="953"/>
      <c r="PFV81" s="953"/>
      <c r="PFW81" s="953"/>
      <c r="PFX81" s="953"/>
      <c r="PFY81" s="953"/>
      <c r="PFZ81" s="953"/>
      <c r="PGA81" s="953"/>
      <c r="PGB81" s="953"/>
      <c r="PGC81" s="953"/>
      <c r="PGD81" s="953"/>
      <c r="PGE81" s="953"/>
      <c r="PGF81" s="953"/>
      <c r="PGG81" s="953"/>
      <c r="PGH81" s="953"/>
      <c r="PGI81" s="953"/>
      <c r="PGJ81" s="953"/>
      <c r="PGK81" s="953"/>
      <c r="PGL81" s="953"/>
      <c r="PGM81" s="953"/>
      <c r="PGN81" s="953"/>
      <c r="PGO81" s="953"/>
      <c r="PGP81" s="953"/>
      <c r="PGQ81" s="953"/>
      <c r="PGR81" s="953"/>
      <c r="PGS81" s="953"/>
      <c r="PGT81" s="953"/>
      <c r="PGU81" s="953"/>
      <c r="PGV81" s="953"/>
      <c r="PGW81" s="953"/>
      <c r="PGX81" s="953"/>
      <c r="PGY81" s="953"/>
      <c r="PGZ81" s="953"/>
      <c r="PHA81" s="953"/>
      <c r="PHB81" s="953"/>
      <c r="PHC81" s="953"/>
      <c r="PHD81" s="953"/>
      <c r="PHE81" s="953"/>
      <c r="PHF81" s="953"/>
      <c r="PHG81" s="953"/>
      <c r="PHH81" s="953"/>
      <c r="PHI81" s="953"/>
      <c r="PHJ81" s="953"/>
      <c r="PHK81" s="953"/>
      <c r="PHL81" s="953"/>
      <c r="PHM81" s="953"/>
      <c r="PHN81" s="953"/>
      <c r="PHO81" s="953"/>
      <c r="PHP81" s="953"/>
      <c r="PHQ81" s="953"/>
      <c r="PHR81" s="953"/>
      <c r="PHS81" s="953"/>
      <c r="PHT81" s="953"/>
      <c r="PHU81" s="953"/>
      <c r="PHV81" s="953"/>
      <c r="PHW81" s="953"/>
      <c r="PHX81" s="953"/>
      <c r="PHY81" s="953"/>
      <c r="PHZ81" s="953"/>
      <c r="PIA81" s="953"/>
      <c r="PIB81" s="953"/>
      <c r="PIC81" s="953"/>
      <c r="PID81" s="953"/>
      <c r="PIE81" s="953"/>
      <c r="PIF81" s="953"/>
      <c r="PIG81" s="953"/>
      <c r="PIH81" s="953"/>
      <c r="PII81" s="953"/>
      <c r="PIJ81" s="953"/>
      <c r="PIK81" s="953"/>
      <c r="PIL81" s="953"/>
      <c r="PIM81" s="953"/>
      <c r="PIN81" s="953"/>
      <c r="PIO81" s="953"/>
      <c r="PIP81" s="953"/>
      <c r="PIQ81" s="953"/>
      <c r="PIR81" s="953"/>
      <c r="PIS81" s="953"/>
      <c r="PIT81" s="953"/>
      <c r="PIU81" s="953"/>
      <c r="PIV81" s="953"/>
      <c r="PIW81" s="953"/>
      <c r="PIX81" s="953"/>
      <c r="PIY81" s="953"/>
      <c r="PIZ81" s="953"/>
      <c r="PJA81" s="953"/>
      <c r="PJB81" s="953"/>
      <c r="PJC81" s="953"/>
      <c r="PJD81" s="953"/>
      <c r="PJE81" s="953"/>
      <c r="PJF81" s="953"/>
      <c r="PJG81" s="953"/>
      <c r="PJH81" s="953"/>
      <c r="PJI81" s="953"/>
      <c r="PJJ81" s="953"/>
      <c r="PJK81" s="953"/>
      <c r="PJL81" s="953"/>
      <c r="PJM81" s="953"/>
      <c r="PJN81" s="953"/>
      <c r="PJO81" s="953"/>
      <c r="PJP81" s="953"/>
      <c r="PJQ81" s="953"/>
      <c r="PJR81" s="953"/>
      <c r="PJS81" s="953"/>
      <c r="PJT81" s="953"/>
      <c r="PJU81" s="953"/>
      <c r="PJV81" s="953"/>
      <c r="PJW81" s="953"/>
      <c r="PJX81" s="953"/>
      <c r="PJY81" s="953"/>
      <c r="PJZ81" s="953"/>
      <c r="PKA81" s="953"/>
      <c r="PKB81" s="953"/>
      <c r="PKC81" s="953"/>
      <c r="PKD81" s="953"/>
      <c r="PKE81" s="953"/>
      <c r="PKF81" s="953"/>
      <c r="PKG81" s="953"/>
      <c r="PKH81" s="953"/>
      <c r="PKI81" s="953"/>
      <c r="PKJ81" s="953"/>
      <c r="PKK81" s="953"/>
      <c r="PKL81" s="953"/>
      <c r="PKM81" s="953"/>
      <c r="PKN81" s="953"/>
      <c r="PKO81" s="953"/>
      <c r="PKP81" s="953"/>
      <c r="PKQ81" s="953"/>
      <c r="PKR81" s="953"/>
      <c r="PKS81" s="953"/>
      <c r="PKT81" s="953"/>
      <c r="PKU81" s="953"/>
      <c r="PKV81" s="953"/>
      <c r="PKW81" s="953"/>
      <c r="PKX81" s="953"/>
      <c r="PKY81" s="953"/>
      <c r="PKZ81" s="953"/>
      <c r="PLA81" s="953"/>
      <c r="PLB81" s="953"/>
      <c r="PLC81" s="953"/>
      <c r="PLD81" s="953"/>
      <c r="PLE81" s="953"/>
      <c r="PLF81" s="953"/>
      <c r="PLG81" s="953"/>
      <c r="PLH81" s="953"/>
      <c r="PLI81" s="953"/>
      <c r="PLJ81" s="953"/>
      <c r="PLK81" s="953"/>
      <c r="PLL81" s="953"/>
      <c r="PLM81" s="953"/>
      <c r="PLN81" s="953"/>
      <c r="PLO81" s="953"/>
      <c r="PLP81" s="953"/>
      <c r="PLQ81" s="953"/>
      <c r="PLR81" s="953"/>
      <c r="PLS81" s="953"/>
      <c r="PLT81" s="953"/>
      <c r="PLU81" s="953"/>
      <c r="PLV81" s="953"/>
      <c r="PLW81" s="953"/>
      <c r="PLX81" s="953"/>
      <c r="PLY81" s="953"/>
      <c r="PLZ81" s="953"/>
      <c r="PMA81" s="953"/>
      <c r="PMB81" s="953"/>
      <c r="PMC81" s="953"/>
      <c r="PMD81" s="953"/>
      <c r="PME81" s="953"/>
      <c r="PMF81" s="953"/>
      <c r="PMG81" s="953"/>
      <c r="PMH81" s="953"/>
      <c r="PMI81" s="953"/>
      <c r="PMJ81" s="953"/>
      <c r="PMK81" s="953"/>
      <c r="PML81" s="953"/>
      <c r="PMM81" s="953"/>
      <c r="PMN81" s="953"/>
      <c r="PMO81" s="953"/>
      <c r="PMP81" s="953"/>
      <c r="PMQ81" s="953"/>
      <c r="PMR81" s="953"/>
      <c r="PMS81" s="953"/>
      <c r="PMT81" s="953"/>
      <c r="PMU81" s="953"/>
      <c r="PMV81" s="953"/>
      <c r="PMW81" s="953"/>
      <c r="PMX81" s="953"/>
      <c r="PMY81" s="953"/>
      <c r="PMZ81" s="953"/>
      <c r="PNA81" s="953"/>
      <c r="PNB81" s="953"/>
      <c r="PNC81" s="953"/>
      <c r="PND81" s="953"/>
      <c r="PNE81" s="953"/>
      <c r="PNF81" s="953"/>
      <c r="PNG81" s="953"/>
      <c r="PNH81" s="953"/>
      <c r="PNI81" s="953"/>
      <c r="PNJ81" s="953"/>
      <c r="PNK81" s="953"/>
      <c r="PNL81" s="953"/>
      <c r="PNM81" s="953"/>
      <c r="PNN81" s="953"/>
      <c r="PNO81" s="953"/>
      <c r="PNP81" s="953"/>
      <c r="PNQ81" s="953"/>
      <c r="PNR81" s="953"/>
      <c r="PNS81" s="953"/>
      <c r="PNT81" s="953"/>
      <c r="PNU81" s="953"/>
      <c r="PNV81" s="953"/>
      <c r="PNW81" s="953"/>
      <c r="PNX81" s="953"/>
      <c r="PNY81" s="953"/>
      <c r="PNZ81" s="953"/>
      <c r="POA81" s="953"/>
      <c r="POB81" s="953"/>
      <c r="POC81" s="953"/>
      <c r="POD81" s="953"/>
      <c r="POE81" s="953"/>
      <c r="POF81" s="953"/>
      <c r="POG81" s="953"/>
      <c r="POH81" s="953"/>
      <c r="POI81" s="953"/>
      <c r="POJ81" s="953"/>
      <c r="POK81" s="953"/>
      <c r="POL81" s="953"/>
      <c r="POM81" s="953"/>
      <c r="PON81" s="953"/>
      <c r="POO81" s="953"/>
      <c r="POP81" s="953"/>
      <c r="POQ81" s="953"/>
      <c r="POR81" s="953"/>
      <c r="POS81" s="953"/>
      <c r="POT81" s="953"/>
      <c r="POU81" s="953"/>
      <c r="POV81" s="953"/>
      <c r="POW81" s="953"/>
      <c r="POX81" s="953"/>
      <c r="POY81" s="953"/>
      <c r="POZ81" s="953"/>
      <c r="PPA81" s="953"/>
      <c r="PPB81" s="953"/>
      <c r="PPC81" s="953"/>
      <c r="PPD81" s="953"/>
      <c r="PPE81" s="953"/>
      <c r="PPF81" s="953"/>
      <c r="PPG81" s="953"/>
      <c r="PPH81" s="953"/>
      <c r="PPI81" s="953"/>
      <c r="PPJ81" s="953"/>
      <c r="PPK81" s="953"/>
      <c r="PPL81" s="953"/>
      <c r="PPM81" s="953"/>
      <c r="PPN81" s="953"/>
      <c r="PPO81" s="953"/>
      <c r="PPP81" s="953"/>
      <c r="PPQ81" s="953"/>
      <c r="PPR81" s="953"/>
      <c r="PPS81" s="953"/>
      <c r="PPT81" s="953"/>
      <c r="PPU81" s="953"/>
      <c r="PPV81" s="953"/>
      <c r="PPW81" s="953"/>
      <c r="PPX81" s="953"/>
      <c r="PPY81" s="953"/>
      <c r="PPZ81" s="953"/>
      <c r="PQA81" s="953"/>
      <c r="PQB81" s="953"/>
      <c r="PQC81" s="953"/>
      <c r="PQD81" s="953"/>
      <c r="PQE81" s="953"/>
      <c r="PQF81" s="953"/>
      <c r="PQG81" s="953"/>
      <c r="PQH81" s="953"/>
      <c r="PQI81" s="953"/>
      <c r="PQJ81" s="953"/>
      <c r="PQK81" s="953"/>
      <c r="PQL81" s="953"/>
      <c r="PQM81" s="953"/>
      <c r="PQN81" s="953"/>
      <c r="PQO81" s="953"/>
      <c r="PQP81" s="953"/>
      <c r="PQQ81" s="953"/>
      <c r="PQR81" s="953"/>
      <c r="PQS81" s="953"/>
      <c r="PQT81" s="953"/>
      <c r="PQU81" s="953"/>
      <c r="PQV81" s="953"/>
      <c r="PQW81" s="953"/>
      <c r="PQX81" s="953"/>
      <c r="PQY81" s="953"/>
      <c r="PQZ81" s="953"/>
      <c r="PRA81" s="953"/>
      <c r="PRB81" s="953"/>
      <c r="PRC81" s="953"/>
      <c r="PRD81" s="953"/>
      <c r="PRE81" s="953"/>
      <c r="PRF81" s="953"/>
      <c r="PRG81" s="953"/>
      <c r="PRH81" s="953"/>
      <c r="PRI81" s="953"/>
      <c r="PRJ81" s="953"/>
      <c r="PRK81" s="953"/>
      <c r="PRL81" s="953"/>
      <c r="PRM81" s="953"/>
      <c r="PRN81" s="953"/>
      <c r="PRO81" s="953"/>
      <c r="PRP81" s="953"/>
      <c r="PRQ81" s="953"/>
      <c r="PRR81" s="953"/>
      <c r="PRS81" s="953"/>
      <c r="PRT81" s="953"/>
      <c r="PRU81" s="953"/>
      <c r="PRV81" s="953"/>
      <c r="PRW81" s="953"/>
      <c r="PRX81" s="953"/>
      <c r="PRY81" s="953"/>
      <c r="PRZ81" s="953"/>
      <c r="PSA81" s="953"/>
      <c r="PSB81" s="953"/>
      <c r="PSC81" s="953"/>
      <c r="PSD81" s="953"/>
      <c r="PSE81" s="953"/>
      <c r="PSF81" s="953"/>
      <c r="PSG81" s="953"/>
      <c r="PSH81" s="953"/>
      <c r="PSI81" s="953"/>
      <c r="PSJ81" s="953"/>
      <c r="PSK81" s="953"/>
      <c r="PSL81" s="953"/>
      <c r="PSM81" s="953"/>
      <c r="PSN81" s="953"/>
      <c r="PSO81" s="953"/>
      <c r="PSP81" s="953"/>
      <c r="PSQ81" s="953"/>
      <c r="PSR81" s="953"/>
      <c r="PSS81" s="953"/>
      <c r="PST81" s="953"/>
      <c r="PSU81" s="953"/>
      <c r="PSV81" s="953"/>
      <c r="PSW81" s="953"/>
      <c r="PSX81" s="953"/>
      <c r="PSY81" s="953"/>
      <c r="PSZ81" s="953"/>
      <c r="PTA81" s="953"/>
      <c r="PTB81" s="953"/>
      <c r="PTC81" s="953"/>
      <c r="PTD81" s="953"/>
      <c r="PTE81" s="953"/>
      <c r="PTF81" s="953"/>
      <c r="PTG81" s="953"/>
      <c r="PTH81" s="953"/>
      <c r="PTI81" s="953"/>
      <c r="PTJ81" s="953"/>
      <c r="PTK81" s="953"/>
      <c r="PTL81" s="953"/>
      <c r="PTM81" s="953"/>
      <c r="PTN81" s="953"/>
      <c r="PTO81" s="953"/>
      <c r="PTP81" s="953"/>
      <c r="PTQ81" s="953"/>
      <c r="PTR81" s="953"/>
      <c r="PTS81" s="953"/>
      <c r="PTT81" s="953"/>
      <c r="PTU81" s="953"/>
      <c r="PTV81" s="953"/>
      <c r="PTW81" s="953"/>
      <c r="PTX81" s="953"/>
      <c r="PTY81" s="953"/>
      <c r="PTZ81" s="953"/>
      <c r="PUA81" s="953"/>
      <c r="PUB81" s="953"/>
      <c r="PUC81" s="953"/>
      <c r="PUD81" s="953"/>
      <c r="PUE81" s="953"/>
      <c r="PUF81" s="953"/>
      <c r="PUG81" s="953"/>
      <c r="PUH81" s="953"/>
      <c r="PUI81" s="953"/>
      <c r="PUJ81" s="953"/>
      <c r="PUK81" s="953"/>
      <c r="PUL81" s="953"/>
      <c r="PUM81" s="953"/>
      <c r="PUN81" s="953"/>
      <c r="PUO81" s="953"/>
      <c r="PUP81" s="953"/>
      <c r="PUQ81" s="953"/>
      <c r="PUR81" s="953"/>
      <c r="PUS81" s="953"/>
      <c r="PUT81" s="953"/>
      <c r="PUU81" s="953"/>
      <c r="PUV81" s="953"/>
      <c r="PUW81" s="953"/>
      <c r="PUX81" s="953"/>
      <c r="PUY81" s="953"/>
      <c r="PUZ81" s="953"/>
      <c r="PVA81" s="953"/>
      <c r="PVB81" s="953"/>
      <c r="PVC81" s="953"/>
      <c r="PVD81" s="953"/>
      <c r="PVE81" s="953"/>
      <c r="PVF81" s="953"/>
      <c r="PVG81" s="953"/>
      <c r="PVH81" s="953"/>
      <c r="PVI81" s="953"/>
      <c r="PVJ81" s="953"/>
      <c r="PVK81" s="953"/>
      <c r="PVL81" s="953"/>
      <c r="PVM81" s="953"/>
      <c r="PVN81" s="953"/>
      <c r="PVO81" s="953"/>
      <c r="PVP81" s="953"/>
      <c r="PVQ81" s="953"/>
      <c r="PVR81" s="953"/>
      <c r="PVS81" s="953"/>
      <c r="PVT81" s="953"/>
      <c r="PVU81" s="953"/>
      <c r="PVV81" s="953"/>
      <c r="PVW81" s="953"/>
      <c r="PVX81" s="953"/>
      <c r="PVY81" s="953"/>
      <c r="PVZ81" s="953"/>
      <c r="PWA81" s="953"/>
      <c r="PWB81" s="953"/>
      <c r="PWC81" s="953"/>
      <c r="PWD81" s="953"/>
      <c r="PWE81" s="953"/>
      <c r="PWF81" s="953"/>
      <c r="PWG81" s="953"/>
      <c r="PWH81" s="953"/>
      <c r="PWI81" s="953"/>
      <c r="PWJ81" s="953"/>
      <c r="PWK81" s="953"/>
      <c r="PWL81" s="953"/>
      <c r="PWM81" s="953"/>
      <c r="PWN81" s="953"/>
      <c r="PWO81" s="953"/>
      <c r="PWP81" s="953"/>
      <c r="PWQ81" s="953"/>
      <c r="PWR81" s="953"/>
      <c r="PWS81" s="953"/>
      <c r="PWT81" s="953"/>
      <c r="PWU81" s="953"/>
      <c r="PWV81" s="953"/>
      <c r="PWW81" s="953"/>
      <c r="PWX81" s="953"/>
      <c r="PWY81" s="953"/>
      <c r="PWZ81" s="953"/>
      <c r="PXA81" s="953"/>
      <c r="PXB81" s="953"/>
      <c r="PXC81" s="953"/>
      <c r="PXD81" s="953"/>
      <c r="PXE81" s="953"/>
      <c r="PXF81" s="953"/>
      <c r="PXG81" s="953"/>
      <c r="PXH81" s="953"/>
      <c r="PXI81" s="953"/>
      <c r="PXJ81" s="953"/>
      <c r="PXK81" s="953"/>
      <c r="PXL81" s="953"/>
      <c r="PXM81" s="953"/>
      <c r="PXN81" s="953"/>
      <c r="PXO81" s="953"/>
      <c r="PXP81" s="953"/>
      <c r="PXQ81" s="953"/>
      <c r="PXR81" s="953"/>
      <c r="PXS81" s="953"/>
      <c r="PXT81" s="953"/>
      <c r="PXU81" s="953"/>
      <c r="PXV81" s="953"/>
      <c r="PXW81" s="953"/>
      <c r="PXX81" s="953"/>
      <c r="PXY81" s="953"/>
      <c r="PXZ81" s="953"/>
      <c r="PYA81" s="953"/>
      <c r="PYB81" s="953"/>
      <c r="PYC81" s="953"/>
      <c r="PYD81" s="953"/>
      <c r="PYE81" s="953"/>
      <c r="PYF81" s="953"/>
      <c r="PYG81" s="953"/>
      <c r="PYH81" s="953"/>
      <c r="PYI81" s="953"/>
      <c r="PYJ81" s="953"/>
      <c r="PYK81" s="953"/>
      <c r="PYL81" s="953"/>
      <c r="PYM81" s="953"/>
      <c r="PYN81" s="953"/>
      <c r="PYO81" s="953"/>
      <c r="PYP81" s="953"/>
      <c r="PYQ81" s="953"/>
      <c r="PYR81" s="953"/>
      <c r="PYS81" s="953"/>
      <c r="PYT81" s="953"/>
      <c r="PYU81" s="953"/>
      <c r="PYV81" s="953"/>
      <c r="PYW81" s="953"/>
      <c r="PYX81" s="953"/>
      <c r="PYY81" s="953"/>
      <c r="PYZ81" s="953"/>
      <c r="PZA81" s="953"/>
      <c r="PZB81" s="953"/>
      <c r="PZC81" s="953"/>
      <c r="PZD81" s="953"/>
      <c r="PZE81" s="953"/>
      <c r="PZF81" s="953"/>
      <c r="PZG81" s="953"/>
      <c r="PZH81" s="953"/>
      <c r="PZI81" s="953"/>
      <c r="PZJ81" s="953"/>
      <c r="PZK81" s="953"/>
      <c r="PZL81" s="953"/>
      <c r="PZM81" s="953"/>
      <c r="PZN81" s="953"/>
      <c r="PZO81" s="953"/>
      <c r="PZP81" s="953"/>
      <c r="PZQ81" s="953"/>
      <c r="PZR81" s="953"/>
      <c r="PZS81" s="953"/>
      <c r="PZT81" s="953"/>
      <c r="PZU81" s="953"/>
      <c r="PZV81" s="953"/>
      <c r="PZW81" s="953"/>
      <c r="PZX81" s="953"/>
      <c r="PZY81" s="953"/>
      <c r="PZZ81" s="953"/>
      <c r="QAA81" s="953"/>
      <c r="QAB81" s="953"/>
      <c r="QAC81" s="953"/>
      <c r="QAD81" s="953"/>
      <c r="QAE81" s="953"/>
      <c r="QAF81" s="953"/>
      <c r="QAG81" s="953"/>
      <c r="QAH81" s="953"/>
      <c r="QAI81" s="953"/>
      <c r="QAJ81" s="953"/>
      <c r="QAK81" s="953"/>
      <c r="QAL81" s="953"/>
      <c r="QAM81" s="953"/>
      <c r="QAN81" s="953"/>
      <c r="QAO81" s="953"/>
      <c r="QAP81" s="953"/>
      <c r="QAQ81" s="953"/>
      <c r="QAR81" s="953"/>
      <c r="QAS81" s="953"/>
      <c r="QAT81" s="953"/>
      <c r="QAU81" s="953"/>
      <c r="QAV81" s="953"/>
      <c r="QAW81" s="953"/>
      <c r="QAX81" s="953"/>
      <c r="QAY81" s="953"/>
      <c r="QAZ81" s="953"/>
      <c r="QBA81" s="953"/>
      <c r="QBB81" s="953"/>
      <c r="QBC81" s="953"/>
      <c r="QBD81" s="953"/>
      <c r="QBE81" s="953"/>
      <c r="QBF81" s="953"/>
      <c r="QBG81" s="953"/>
      <c r="QBH81" s="953"/>
      <c r="QBI81" s="953"/>
      <c r="QBJ81" s="953"/>
      <c r="QBK81" s="953"/>
      <c r="QBL81" s="953"/>
      <c r="QBM81" s="953"/>
      <c r="QBN81" s="953"/>
      <c r="QBO81" s="953"/>
      <c r="QBP81" s="953"/>
      <c r="QBQ81" s="953"/>
      <c r="QBR81" s="953"/>
      <c r="QBS81" s="953"/>
      <c r="QBT81" s="953"/>
      <c r="QBU81" s="953"/>
      <c r="QBV81" s="953"/>
      <c r="QBW81" s="953"/>
      <c r="QBX81" s="953"/>
      <c r="QBY81" s="953"/>
      <c r="QBZ81" s="953"/>
      <c r="QCA81" s="953"/>
      <c r="QCB81" s="953"/>
      <c r="QCC81" s="953"/>
      <c r="QCD81" s="953"/>
      <c r="QCE81" s="953"/>
      <c r="QCF81" s="953"/>
      <c r="QCG81" s="953"/>
      <c r="QCH81" s="953"/>
      <c r="QCI81" s="953"/>
      <c r="QCJ81" s="953"/>
      <c r="QCK81" s="953"/>
      <c r="QCL81" s="953"/>
      <c r="QCM81" s="953"/>
      <c r="QCN81" s="953"/>
      <c r="QCO81" s="953"/>
      <c r="QCP81" s="953"/>
      <c r="QCQ81" s="953"/>
      <c r="QCR81" s="953"/>
      <c r="QCS81" s="953"/>
      <c r="QCT81" s="953"/>
      <c r="QCU81" s="953"/>
      <c r="QCV81" s="953"/>
      <c r="QCW81" s="953"/>
      <c r="QCX81" s="953"/>
      <c r="QCY81" s="953"/>
      <c r="QCZ81" s="953"/>
      <c r="QDA81" s="953"/>
      <c r="QDB81" s="953"/>
      <c r="QDC81" s="953"/>
      <c r="QDD81" s="953"/>
      <c r="QDE81" s="953"/>
      <c r="QDF81" s="953"/>
      <c r="QDG81" s="953"/>
      <c r="QDH81" s="953"/>
      <c r="QDI81" s="953"/>
      <c r="QDJ81" s="953"/>
      <c r="QDK81" s="953"/>
      <c r="QDL81" s="953"/>
      <c r="QDM81" s="953"/>
      <c r="QDN81" s="953"/>
      <c r="QDO81" s="953"/>
      <c r="QDP81" s="953"/>
      <c r="QDQ81" s="953"/>
      <c r="QDR81" s="953"/>
      <c r="QDS81" s="953"/>
      <c r="QDT81" s="953"/>
      <c r="QDU81" s="953"/>
      <c r="QDV81" s="953"/>
      <c r="QDW81" s="953"/>
      <c r="QDX81" s="953"/>
      <c r="QDY81" s="953"/>
      <c r="QDZ81" s="953"/>
      <c r="QEA81" s="953"/>
      <c r="QEB81" s="953"/>
      <c r="QEC81" s="953"/>
      <c r="QED81" s="953"/>
      <c r="QEE81" s="953"/>
      <c r="QEF81" s="953"/>
      <c r="QEG81" s="953"/>
      <c r="QEH81" s="953"/>
      <c r="QEI81" s="953"/>
      <c r="QEJ81" s="953"/>
      <c r="QEK81" s="953"/>
      <c r="QEL81" s="953"/>
      <c r="QEM81" s="953"/>
      <c r="QEN81" s="953"/>
      <c r="QEO81" s="953"/>
      <c r="QEP81" s="953"/>
      <c r="QEQ81" s="953"/>
      <c r="QER81" s="953"/>
      <c r="QES81" s="953"/>
      <c r="QET81" s="953"/>
      <c r="QEU81" s="953"/>
      <c r="QEV81" s="953"/>
      <c r="QEW81" s="953"/>
      <c r="QEX81" s="953"/>
      <c r="QEY81" s="953"/>
      <c r="QEZ81" s="953"/>
      <c r="QFA81" s="953"/>
      <c r="QFB81" s="953"/>
      <c r="QFC81" s="953"/>
      <c r="QFD81" s="953"/>
      <c r="QFE81" s="953"/>
      <c r="QFF81" s="953"/>
      <c r="QFG81" s="953"/>
      <c r="QFH81" s="953"/>
      <c r="QFI81" s="953"/>
      <c r="QFJ81" s="953"/>
      <c r="QFK81" s="953"/>
      <c r="QFL81" s="953"/>
      <c r="QFM81" s="953"/>
      <c r="QFN81" s="953"/>
      <c r="QFO81" s="953"/>
      <c r="QFP81" s="953"/>
      <c r="QFQ81" s="953"/>
      <c r="QFR81" s="953"/>
      <c r="QFS81" s="953"/>
      <c r="QFT81" s="953"/>
      <c r="QFU81" s="953"/>
      <c r="QFV81" s="953"/>
      <c r="QFW81" s="953"/>
      <c r="QFX81" s="953"/>
      <c r="QFY81" s="953"/>
      <c r="QFZ81" s="953"/>
      <c r="QGA81" s="953"/>
      <c r="QGB81" s="953"/>
      <c r="QGC81" s="953"/>
      <c r="QGD81" s="953"/>
      <c r="QGE81" s="953"/>
      <c r="QGF81" s="953"/>
      <c r="QGG81" s="953"/>
      <c r="QGH81" s="953"/>
      <c r="QGI81" s="953"/>
      <c r="QGJ81" s="953"/>
      <c r="QGK81" s="953"/>
      <c r="QGL81" s="953"/>
      <c r="QGM81" s="953"/>
      <c r="QGN81" s="953"/>
      <c r="QGO81" s="953"/>
      <c r="QGP81" s="953"/>
      <c r="QGQ81" s="953"/>
      <c r="QGR81" s="953"/>
      <c r="QGS81" s="953"/>
      <c r="QGT81" s="953"/>
      <c r="QGU81" s="953"/>
      <c r="QGV81" s="953"/>
      <c r="QGW81" s="953"/>
      <c r="QGX81" s="953"/>
      <c r="QGY81" s="953"/>
      <c r="QGZ81" s="953"/>
      <c r="QHA81" s="953"/>
      <c r="QHB81" s="953"/>
      <c r="QHC81" s="953"/>
      <c r="QHD81" s="953"/>
      <c r="QHE81" s="953"/>
      <c r="QHF81" s="953"/>
      <c r="QHG81" s="953"/>
      <c r="QHH81" s="953"/>
      <c r="QHI81" s="953"/>
      <c r="QHJ81" s="953"/>
      <c r="QHK81" s="953"/>
      <c r="QHL81" s="953"/>
      <c r="QHM81" s="953"/>
      <c r="QHN81" s="953"/>
      <c r="QHO81" s="953"/>
      <c r="QHP81" s="953"/>
      <c r="QHQ81" s="953"/>
      <c r="QHR81" s="953"/>
      <c r="QHS81" s="953"/>
      <c r="QHT81" s="953"/>
      <c r="QHU81" s="953"/>
      <c r="QHV81" s="953"/>
      <c r="QHW81" s="953"/>
      <c r="QHX81" s="953"/>
      <c r="QHY81" s="953"/>
      <c r="QHZ81" s="953"/>
      <c r="QIA81" s="953"/>
      <c r="QIB81" s="953"/>
      <c r="QIC81" s="953"/>
      <c r="QID81" s="953"/>
      <c r="QIE81" s="953"/>
      <c r="QIF81" s="953"/>
      <c r="QIG81" s="953"/>
      <c r="QIH81" s="953"/>
      <c r="QII81" s="953"/>
      <c r="QIJ81" s="953"/>
      <c r="QIK81" s="953"/>
      <c r="QIL81" s="953"/>
      <c r="QIM81" s="953"/>
      <c r="QIN81" s="953"/>
      <c r="QIO81" s="953"/>
      <c r="QIP81" s="953"/>
      <c r="QIQ81" s="953"/>
      <c r="QIR81" s="953"/>
      <c r="QIS81" s="953"/>
      <c r="QIT81" s="953"/>
      <c r="QIU81" s="953"/>
      <c r="QIV81" s="953"/>
      <c r="QIW81" s="953"/>
      <c r="QIX81" s="953"/>
      <c r="QIY81" s="953"/>
      <c r="QIZ81" s="953"/>
      <c r="QJA81" s="953"/>
      <c r="QJB81" s="953"/>
      <c r="QJC81" s="953"/>
      <c r="QJD81" s="953"/>
      <c r="QJE81" s="953"/>
      <c r="QJF81" s="953"/>
      <c r="QJG81" s="953"/>
      <c r="QJH81" s="953"/>
      <c r="QJI81" s="953"/>
      <c r="QJJ81" s="953"/>
      <c r="QJK81" s="953"/>
      <c r="QJL81" s="953"/>
      <c r="QJM81" s="953"/>
      <c r="QJN81" s="953"/>
      <c r="QJO81" s="953"/>
      <c r="QJP81" s="953"/>
      <c r="QJQ81" s="953"/>
      <c r="QJR81" s="953"/>
      <c r="QJS81" s="953"/>
      <c r="QJT81" s="953"/>
      <c r="QJU81" s="953"/>
      <c r="QJV81" s="953"/>
      <c r="QJW81" s="953"/>
      <c r="QJX81" s="953"/>
      <c r="QJY81" s="953"/>
      <c r="QJZ81" s="953"/>
      <c r="QKA81" s="953"/>
      <c r="QKB81" s="953"/>
      <c r="QKC81" s="953"/>
      <c r="QKD81" s="953"/>
      <c r="QKE81" s="953"/>
      <c r="QKF81" s="953"/>
      <c r="QKG81" s="953"/>
      <c r="QKH81" s="953"/>
      <c r="QKI81" s="953"/>
      <c r="QKJ81" s="953"/>
      <c r="QKK81" s="953"/>
      <c r="QKL81" s="953"/>
      <c r="QKM81" s="953"/>
      <c r="QKN81" s="953"/>
      <c r="QKO81" s="953"/>
      <c r="QKP81" s="953"/>
      <c r="QKQ81" s="953"/>
      <c r="QKR81" s="953"/>
      <c r="QKS81" s="953"/>
      <c r="QKT81" s="953"/>
      <c r="QKU81" s="953"/>
      <c r="QKV81" s="953"/>
      <c r="QKW81" s="953"/>
      <c r="QKX81" s="953"/>
      <c r="QKY81" s="953"/>
      <c r="QKZ81" s="953"/>
      <c r="QLA81" s="953"/>
      <c r="QLB81" s="953"/>
      <c r="QLC81" s="953"/>
      <c r="QLD81" s="953"/>
      <c r="QLE81" s="953"/>
      <c r="QLF81" s="953"/>
      <c r="QLG81" s="953"/>
      <c r="QLH81" s="953"/>
      <c r="QLI81" s="953"/>
      <c r="QLJ81" s="953"/>
      <c r="QLK81" s="953"/>
      <c r="QLL81" s="953"/>
      <c r="QLM81" s="953"/>
      <c r="QLN81" s="953"/>
      <c r="QLO81" s="953"/>
      <c r="QLP81" s="953"/>
      <c r="QLQ81" s="953"/>
      <c r="QLR81" s="953"/>
      <c r="QLS81" s="953"/>
      <c r="QLT81" s="953"/>
      <c r="QLU81" s="953"/>
      <c r="QLV81" s="953"/>
      <c r="QLW81" s="953"/>
      <c r="QLX81" s="953"/>
      <c r="QLY81" s="953"/>
      <c r="QLZ81" s="953"/>
      <c r="QMA81" s="953"/>
      <c r="QMB81" s="953"/>
      <c r="QMC81" s="953"/>
      <c r="QMD81" s="953"/>
      <c r="QME81" s="953"/>
      <c r="QMF81" s="953"/>
      <c r="QMG81" s="953"/>
      <c r="QMH81" s="953"/>
      <c r="QMI81" s="953"/>
      <c r="QMJ81" s="953"/>
      <c r="QMK81" s="953"/>
      <c r="QML81" s="953"/>
      <c r="QMM81" s="953"/>
      <c r="QMN81" s="953"/>
      <c r="QMO81" s="953"/>
      <c r="QMP81" s="953"/>
      <c r="QMQ81" s="953"/>
      <c r="QMR81" s="953"/>
      <c r="QMS81" s="953"/>
      <c r="QMT81" s="953"/>
      <c r="QMU81" s="953"/>
      <c r="QMV81" s="953"/>
      <c r="QMW81" s="953"/>
      <c r="QMX81" s="953"/>
      <c r="QMY81" s="953"/>
      <c r="QMZ81" s="953"/>
      <c r="QNA81" s="953"/>
      <c r="QNB81" s="953"/>
      <c r="QNC81" s="953"/>
      <c r="QND81" s="953"/>
      <c r="QNE81" s="953"/>
      <c r="QNF81" s="953"/>
      <c r="QNG81" s="953"/>
      <c r="QNH81" s="953"/>
      <c r="QNI81" s="953"/>
      <c r="QNJ81" s="953"/>
      <c r="QNK81" s="953"/>
      <c r="QNL81" s="953"/>
      <c r="QNM81" s="953"/>
      <c r="QNN81" s="953"/>
      <c r="QNO81" s="953"/>
      <c r="QNP81" s="953"/>
      <c r="QNQ81" s="953"/>
      <c r="QNR81" s="953"/>
      <c r="QNS81" s="953"/>
      <c r="QNT81" s="953"/>
      <c r="QNU81" s="953"/>
      <c r="QNV81" s="953"/>
      <c r="QNW81" s="953"/>
      <c r="QNX81" s="953"/>
      <c r="QNY81" s="953"/>
      <c r="QNZ81" s="953"/>
      <c r="QOA81" s="953"/>
      <c r="QOB81" s="953"/>
      <c r="QOC81" s="953"/>
      <c r="QOD81" s="953"/>
      <c r="QOE81" s="953"/>
      <c r="QOF81" s="953"/>
      <c r="QOG81" s="953"/>
      <c r="QOH81" s="953"/>
      <c r="QOI81" s="953"/>
      <c r="QOJ81" s="953"/>
      <c r="QOK81" s="953"/>
      <c r="QOL81" s="953"/>
      <c r="QOM81" s="953"/>
      <c r="QON81" s="953"/>
      <c r="QOO81" s="953"/>
      <c r="QOP81" s="953"/>
      <c r="QOQ81" s="953"/>
      <c r="QOR81" s="953"/>
      <c r="QOS81" s="953"/>
      <c r="QOT81" s="953"/>
      <c r="QOU81" s="953"/>
      <c r="QOV81" s="953"/>
      <c r="QOW81" s="953"/>
      <c r="QOX81" s="953"/>
      <c r="QOY81" s="953"/>
      <c r="QOZ81" s="953"/>
      <c r="QPA81" s="953"/>
      <c r="QPB81" s="953"/>
      <c r="QPC81" s="953"/>
      <c r="QPD81" s="953"/>
      <c r="QPE81" s="953"/>
      <c r="QPF81" s="953"/>
      <c r="QPG81" s="953"/>
      <c r="QPH81" s="953"/>
      <c r="QPI81" s="953"/>
      <c r="QPJ81" s="953"/>
      <c r="QPK81" s="953"/>
      <c r="QPL81" s="953"/>
      <c r="QPM81" s="953"/>
      <c r="QPN81" s="953"/>
      <c r="QPO81" s="953"/>
      <c r="QPP81" s="953"/>
      <c r="QPQ81" s="953"/>
      <c r="QPR81" s="953"/>
      <c r="QPS81" s="953"/>
      <c r="QPT81" s="953"/>
      <c r="QPU81" s="953"/>
      <c r="QPV81" s="953"/>
      <c r="QPW81" s="953"/>
      <c r="QPX81" s="953"/>
      <c r="QPY81" s="953"/>
      <c r="QPZ81" s="953"/>
      <c r="QQA81" s="953"/>
      <c r="QQB81" s="953"/>
      <c r="QQC81" s="953"/>
      <c r="QQD81" s="953"/>
      <c r="QQE81" s="953"/>
      <c r="QQF81" s="953"/>
      <c r="QQG81" s="953"/>
      <c r="QQH81" s="953"/>
      <c r="QQI81" s="953"/>
      <c r="QQJ81" s="953"/>
      <c r="QQK81" s="953"/>
      <c r="QQL81" s="953"/>
      <c r="QQM81" s="953"/>
      <c r="QQN81" s="953"/>
      <c r="QQO81" s="953"/>
      <c r="QQP81" s="953"/>
      <c r="QQQ81" s="953"/>
      <c r="QQR81" s="953"/>
      <c r="QQS81" s="953"/>
      <c r="QQT81" s="953"/>
      <c r="QQU81" s="953"/>
      <c r="QQV81" s="953"/>
      <c r="QQW81" s="953"/>
      <c r="QQX81" s="953"/>
      <c r="QQY81" s="953"/>
      <c r="QQZ81" s="953"/>
      <c r="QRA81" s="953"/>
      <c r="QRB81" s="953"/>
      <c r="QRC81" s="953"/>
      <c r="QRD81" s="953"/>
      <c r="QRE81" s="953"/>
      <c r="QRF81" s="953"/>
      <c r="QRG81" s="953"/>
      <c r="QRH81" s="953"/>
      <c r="QRI81" s="953"/>
      <c r="QRJ81" s="953"/>
      <c r="QRK81" s="953"/>
      <c r="QRL81" s="953"/>
      <c r="QRM81" s="953"/>
      <c r="QRN81" s="953"/>
      <c r="QRO81" s="953"/>
      <c r="QRP81" s="953"/>
      <c r="QRQ81" s="953"/>
      <c r="QRR81" s="953"/>
      <c r="QRS81" s="953"/>
      <c r="QRT81" s="953"/>
      <c r="QRU81" s="953"/>
      <c r="QRV81" s="953"/>
      <c r="QRW81" s="953"/>
      <c r="QRX81" s="953"/>
      <c r="QRY81" s="953"/>
      <c r="QRZ81" s="953"/>
      <c r="QSA81" s="953"/>
      <c r="QSB81" s="953"/>
      <c r="QSC81" s="953"/>
      <c r="QSD81" s="953"/>
      <c r="QSE81" s="953"/>
      <c r="QSF81" s="953"/>
      <c r="QSG81" s="953"/>
      <c r="QSH81" s="953"/>
      <c r="QSI81" s="953"/>
      <c r="QSJ81" s="953"/>
      <c r="QSK81" s="953"/>
      <c r="QSL81" s="953"/>
      <c r="QSM81" s="953"/>
      <c r="QSN81" s="953"/>
      <c r="QSO81" s="953"/>
      <c r="QSP81" s="953"/>
      <c r="QSQ81" s="953"/>
      <c r="QSR81" s="953"/>
      <c r="QSS81" s="953"/>
      <c r="QST81" s="953"/>
      <c r="QSU81" s="953"/>
      <c r="QSV81" s="953"/>
      <c r="QSW81" s="953"/>
      <c r="QSX81" s="953"/>
      <c r="QSY81" s="953"/>
      <c r="QSZ81" s="953"/>
      <c r="QTA81" s="953"/>
      <c r="QTB81" s="953"/>
      <c r="QTC81" s="953"/>
      <c r="QTD81" s="953"/>
      <c r="QTE81" s="953"/>
      <c r="QTF81" s="953"/>
      <c r="QTG81" s="953"/>
      <c r="QTH81" s="953"/>
      <c r="QTI81" s="953"/>
      <c r="QTJ81" s="953"/>
      <c r="QTK81" s="953"/>
      <c r="QTL81" s="953"/>
      <c r="QTM81" s="953"/>
      <c r="QTN81" s="953"/>
      <c r="QTO81" s="953"/>
      <c r="QTP81" s="953"/>
      <c r="QTQ81" s="953"/>
      <c r="QTR81" s="953"/>
      <c r="QTS81" s="953"/>
      <c r="QTT81" s="953"/>
      <c r="QTU81" s="953"/>
      <c r="QTV81" s="953"/>
      <c r="QTW81" s="953"/>
      <c r="QTX81" s="953"/>
      <c r="QTY81" s="953"/>
      <c r="QTZ81" s="953"/>
      <c r="QUA81" s="953"/>
      <c r="QUB81" s="953"/>
      <c r="QUC81" s="953"/>
      <c r="QUD81" s="953"/>
      <c r="QUE81" s="953"/>
      <c r="QUF81" s="953"/>
      <c r="QUG81" s="953"/>
      <c r="QUH81" s="953"/>
      <c r="QUI81" s="953"/>
      <c r="QUJ81" s="953"/>
      <c r="QUK81" s="953"/>
      <c r="QUL81" s="953"/>
      <c r="QUM81" s="953"/>
      <c r="QUN81" s="953"/>
      <c r="QUO81" s="953"/>
      <c r="QUP81" s="953"/>
      <c r="QUQ81" s="953"/>
      <c r="QUR81" s="953"/>
      <c r="QUS81" s="953"/>
      <c r="QUT81" s="953"/>
      <c r="QUU81" s="953"/>
      <c r="QUV81" s="953"/>
      <c r="QUW81" s="953"/>
      <c r="QUX81" s="953"/>
      <c r="QUY81" s="953"/>
      <c r="QUZ81" s="953"/>
      <c r="QVA81" s="953"/>
      <c r="QVB81" s="953"/>
      <c r="QVC81" s="953"/>
      <c r="QVD81" s="953"/>
      <c r="QVE81" s="953"/>
      <c r="QVF81" s="953"/>
      <c r="QVG81" s="953"/>
      <c r="QVH81" s="953"/>
      <c r="QVI81" s="953"/>
      <c r="QVJ81" s="953"/>
      <c r="QVK81" s="953"/>
      <c r="QVL81" s="953"/>
      <c r="QVM81" s="953"/>
      <c r="QVN81" s="953"/>
      <c r="QVO81" s="953"/>
      <c r="QVP81" s="953"/>
      <c r="QVQ81" s="953"/>
      <c r="QVR81" s="953"/>
      <c r="QVS81" s="953"/>
      <c r="QVT81" s="953"/>
      <c r="QVU81" s="953"/>
      <c r="QVV81" s="953"/>
      <c r="QVW81" s="953"/>
      <c r="QVX81" s="953"/>
      <c r="QVY81" s="953"/>
      <c r="QVZ81" s="953"/>
      <c r="QWA81" s="953"/>
      <c r="QWB81" s="953"/>
      <c r="QWC81" s="953"/>
      <c r="QWD81" s="953"/>
      <c r="QWE81" s="953"/>
      <c r="QWF81" s="953"/>
      <c r="QWG81" s="953"/>
      <c r="QWH81" s="953"/>
      <c r="QWI81" s="953"/>
      <c r="QWJ81" s="953"/>
      <c r="QWK81" s="953"/>
      <c r="QWL81" s="953"/>
      <c r="QWM81" s="953"/>
      <c r="QWN81" s="953"/>
      <c r="QWO81" s="953"/>
      <c r="QWP81" s="953"/>
      <c r="QWQ81" s="953"/>
      <c r="QWR81" s="953"/>
      <c r="QWS81" s="953"/>
      <c r="QWT81" s="953"/>
      <c r="QWU81" s="953"/>
      <c r="QWV81" s="953"/>
      <c r="QWW81" s="953"/>
      <c r="QWX81" s="953"/>
      <c r="QWY81" s="953"/>
      <c r="QWZ81" s="953"/>
      <c r="QXA81" s="953"/>
      <c r="QXB81" s="953"/>
      <c r="QXC81" s="953"/>
      <c r="QXD81" s="953"/>
      <c r="QXE81" s="953"/>
      <c r="QXF81" s="953"/>
      <c r="QXG81" s="953"/>
      <c r="QXH81" s="953"/>
      <c r="QXI81" s="953"/>
      <c r="QXJ81" s="953"/>
      <c r="QXK81" s="953"/>
      <c r="QXL81" s="953"/>
      <c r="QXM81" s="953"/>
      <c r="QXN81" s="953"/>
      <c r="QXO81" s="953"/>
      <c r="QXP81" s="953"/>
      <c r="QXQ81" s="953"/>
      <c r="QXR81" s="953"/>
      <c r="QXS81" s="953"/>
      <c r="QXT81" s="953"/>
      <c r="QXU81" s="953"/>
      <c r="QXV81" s="953"/>
      <c r="QXW81" s="953"/>
      <c r="QXX81" s="953"/>
      <c r="QXY81" s="953"/>
      <c r="QXZ81" s="953"/>
      <c r="QYA81" s="953"/>
      <c r="QYB81" s="953"/>
      <c r="QYC81" s="953"/>
      <c r="QYD81" s="953"/>
      <c r="QYE81" s="953"/>
      <c r="QYF81" s="953"/>
      <c r="QYG81" s="953"/>
      <c r="QYH81" s="953"/>
      <c r="QYI81" s="953"/>
      <c r="QYJ81" s="953"/>
      <c r="QYK81" s="953"/>
      <c r="QYL81" s="953"/>
      <c r="QYM81" s="953"/>
      <c r="QYN81" s="953"/>
      <c r="QYO81" s="953"/>
      <c r="QYP81" s="953"/>
      <c r="QYQ81" s="953"/>
      <c r="QYR81" s="953"/>
      <c r="QYS81" s="953"/>
      <c r="QYT81" s="953"/>
      <c r="QYU81" s="953"/>
      <c r="QYV81" s="953"/>
      <c r="QYW81" s="953"/>
      <c r="QYX81" s="953"/>
      <c r="QYY81" s="953"/>
      <c r="QYZ81" s="953"/>
      <c r="QZA81" s="953"/>
      <c r="QZB81" s="953"/>
      <c r="QZC81" s="953"/>
      <c r="QZD81" s="953"/>
      <c r="QZE81" s="953"/>
      <c r="QZF81" s="953"/>
      <c r="QZG81" s="953"/>
      <c r="QZH81" s="953"/>
      <c r="QZI81" s="953"/>
      <c r="QZJ81" s="953"/>
      <c r="QZK81" s="953"/>
      <c r="QZL81" s="953"/>
      <c r="QZM81" s="953"/>
      <c r="QZN81" s="953"/>
      <c r="QZO81" s="953"/>
      <c r="QZP81" s="953"/>
      <c r="QZQ81" s="953"/>
      <c r="QZR81" s="953"/>
      <c r="QZS81" s="953"/>
      <c r="QZT81" s="953"/>
      <c r="QZU81" s="953"/>
      <c r="QZV81" s="953"/>
      <c r="QZW81" s="953"/>
      <c r="QZX81" s="953"/>
      <c r="QZY81" s="953"/>
      <c r="QZZ81" s="953"/>
      <c r="RAA81" s="953"/>
      <c r="RAB81" s="953"/>
      <c r="RAC81" s="953"/>
      <c r="RAD81" s="953"/>
      <c r="RAE81" s="953"/>
      <c r="RAF81" s="953"/>
      <c r="RAG81" s="953"/>
      <c r="RAH81" s="953"/>
      <c r="RAI81" s="953"/>
      <c r="RAJ81" s="953"/>
      <c r="RAK81" s="953"/>
      <c r="RAL81" s="953"/>
      <c r="RAM81" s="953"/>
      <c r="RAN81" s="953"/>
      <c r="RAO81" s="953"/>
      <c r="RAP81" s="953"/>
      <c r="RAQ81" s="953"/>
      <c r="RAR81" s="953"/>
      <c r="RAS81" s="953"/>
      <c r="RAT81" s="953"/>
      <c r="RAU81" s="953"/>
      <c r="RAV81" s="953"/>
      <c r="RAW81" s="953"/>
      <c r="RAX81" s="953"/>
      <c r="RAY81" s="953"/>
      <c r="RAZ81" s="953"/>
      <c r="RBA81" s="953"/>
      <c r="RBB81" s="953"/>
      <c r="RBC81" s="953"/>
      <c r="RBD81" s="953"/>
      <c r="RBE81" s="953"/>
      <c r="RBF81" s="953"/>
      <c r="RBG81" s="953"/>
      <c r="RBH81" s="953"/>
      <c r="RBI81" s="953"/>
      <c r="RBJ81" s="953"/>
      <c r="RBK81" s="953"/>
      <c r="RBL81" s="953"/>
      <c r="RBM81" s="953"/>
      <c r="RBN81" s="953"/>
      <c r="RBO81" s="953"/>
      <c r="RBP81" s="953"/>
      <c r="RBQ81" s="953"/>
      <c r="RBR81" s="953"/>
      <c r="RBS81" s="953"/>
      <c r="RBT81" s="953"/>
      <c r="RBU81" s="953"/>
      <c r="RBV81" s="953"/>
      <c r="RBW81" s="953"/>
      <c r="RBX81" s="953"/>
      <c r="RBY81" s="953"/>
      <c r="RBZ81" s="953"/>
      <c r="RCA81" s="953"/>
      <c r="RCB81" s="953"/>
      <c r="RCC81" s="953"/>
      <c r="RCD81" s="953"/>
      <c r="RCE81" s="953"/>
      <c r="RCF81" s="953"/>
      <c r="RCG81" s="953"/>
      <c r="RCH81" s="953"/>
      <c r="RCI81" s="953"/>
      <c r="RCJ81" s="953"/>
      <c r="RCK81" s="953"/>
      <c r="RCL81" s="953"/>
      <c r="RCM81" s="953"/>
      <c r="RCN81" s="953"/>
      <c r="RCO81" s="953"/>
      <c r="RCP81" s="953"/>
      <c r="RCQ81" s="953"/>
      <c r="RCR81" s="953"/>
      <c r="RCS81" s="953"/>
      <c r="RCT81" s="953"/>
      <c r="RCU81" s="953"/>
      <c r="RCV81" s="953"/>
      <c r="RCW81" s="953"/>
      <c r="RCX81" s="953"/>
      <c r="RCY81" s="953"/>
      <c r="RCZ81" s="953"/>
      <c r="RDA81" s="953"/>
      <c r="RDB81" s="953"/>
      <c r="RDC81" s="953"/>
      <c r="RDD81" s="953"/>
      <c r="RDE81" s="953"/>
      <c r="RDF81" s="953"/>
      <c r="RDG81" s="953"/>
      <c r="RDH81" s="953"/>
      <c r="RDI81" s="953"/>
      <c r="RDJ81" s="953"/>
      <c r="RDK81" s="953"/>
      <c r="RDL81" s="953"/>
      <c r="RDM81" s="953"/>
      <c r="RDN81" s="953"/>
      <c r="RDO81" s="953"/>
      <c r="RDP81" s="953"/>
      <c r="RDQ81" s="953"/>
      <c r="RDR81" s="953"/>
      <c r="RDS81" s="953"/>
      <c r="RDT81" s="953"/>
      <c r="RDU81" s="953"/>
      <c r="RDV81" s="953"/>
      <c r="RDW81" s="953"/>
      <c r="RDX81" s="953"/>
      <c r="RDY81" s="953"/>
      <c r="RDZ81" s="953"/>
      <c r="REA81" s="953"/>
      <c r="REB81" s="953"/>
      <c r="REC81" s="953"/>
      <c r="RED81" s="953"/>
      <c r="REE81" s="953"/>
      <c r="REF81" s="953"/>
      <c r="REG81" s="953"/>
      <c r="REH81" s="953"/>
      <c r="REI81" s="953"/>
      <c r="REJ81" s="953"/>
      <c r="REK81" s="953"/>
      <c r="REL81" s="953"/>
      <c r="REM81" s="953"/>
      <c r="REN81" s="953"/>
      <c r="REO81" s="953"/>
      <c r="REP81" s="953"/>
      <c r="REQ81" s="953"/>
      <c r="RER81" s="953"/>
      <c r="RES81" s="953"/>
      <c r="RET81" s="953"/>
      <c r="REU81" s="953"/>
      <c r="REV81" s="953"/>
      <c r="REW81" s="953"/>
      <c r="REX81" s="953"/>
      <c r="REY81" s="953"/>
      <c r="REZ81" s="953"/>
      <c r="RFA81" s="953"/>
      <c r="RFB81" s="953"/>
      <c r="RFC81" s="953"/>
      <c r="RFD81" s="953"/>
      <c r="RFE81" s="953"/>
      <c r="RFF81" s="953"/>
      <c r="RFG81" s="953"/>
      <c r="RFH81" s="953"/>
      <c r="RFI81" s="953"/>
      <c r="RFJ81" s="953"/>
      <c r="RFK81" s="953"/>
      <c r="RFL81" s="953"/>
      <c r="RFM81" s="953"/>
      <c r="RFN81" s="953"/>
      <c r="RFO81" s="953"/>
      <c r="RFP81" s="953"/>
      <c r="RFQ81" s="953"/>
      <c r="RFR81" s="953"/>
      <c r="RFS81" s="953"/>
      <c r="RFT81" s="953"/>
      <c r="RFU81" s="953"/>
      <c r="RFV81" s="953"/>
      <c r="RFW81" s="953"/>
      <c r="RFX81" s="953"/>
      <c r="RFY81" s="953"/>
      <c r="RFZ81" s="953"/>
      <c r="RGA81" s="953"/>
      <c r="RGB81" s="953"/>
      <c r="RGC81" s="953"/>
      <c r="RGD81" s="953"/>
      <c r="RGE81" s="953"/>
      <c r="RGF81" s="953"/>
      <c r="RGG81" s="953"/>
      <c r="RGH81" s="953"/>
      <c r="RGI81" s="953"/>
      <c r="RGJ81" s="953"/>
      <c r="RGK81" s="953"/>
      <c r="RGL81" s="953"/>
      <c r="RGM81" s="953"/>
      <c r="RGN81" s="953"/>
      <c r="RGO81" s="953"/>
      <c r="RGP81" s="953"/>
      <c r="RGQ81" s="953"/>
      <c r="RGR81" s="953"/>
      <c r="RGS81" s="953"/>
      <c r="RGT81" s="953"/>
      <c r="RGU81" s="953"/>
      <c r="RGV81" s="953"/>
      <c r="RGW81" s="953"/>
      <c r="RGX81" s="953"/>
      <c r="RGY81" s="953"/>
      <c r="RGZ81" s="953"/>
      <c r="RHA81" s="953"/>
      <c r="RHB81" s="953"/>
      <c r="RHC81" s="953"/>
      <c r="RHD81" s="953"/>
      <c r="RHE81" s="953"/>
      <c r="RHF81" s="953"/>
      <c r="RHG81" s="953"/>
      <c r="RHH81" s="953"/>
      <c r="RHI81" s="953"/>
      <c r="RHJ81" s="953"/>
      <c r="RHK81" s="953"/>
      <c r="RHL81" s="953"/>
      <c r="RHM81" s="953"/>
      <c r="RHN81" s="953"/>
      <c r="RHO81" s="953"/>
      <c r="RHP81" s="953"/>
      <c r="RHQ81" s="953"/>
      <c r="RHR81" s="953"/>
      <c r="RHS81" s="953"/>
      <c r="RHT81" s="953"/>
      <c r="RHU81" s="953"/>
      <c r="RHV81" s="953"/>
      <c r="RHW81" s="953"/>
      <c r="RHX81" s="953"/>
      <c r="RHY81" s="953"/>
      <c r="RHZ81" s="953"/>
      <c r="RIA81" s="953"/>
      <c r="RIB81" s="953"/>
      <c r="RIC81" s="953"/>
      <c r="RID81" s="953"/>
      <c r="RIE81" s="953"/>
      <c r="RIF81" s="953"/>
      <c r="RIG81" s="953"/>
      <c r="RIH81" s="953"/>
      <c r="RII81" s="953"/>
      <c r="RIJ81" s="953"/>
      <c r="RIK81" s="953"/>
      <c r="RIL81" s="953"/>
      <c r="RIM81" s="953"/>
      <c r="RIN81" s="953"/>
      <c r="RIO81" s="953"/>
      <c r="RIP81" s="953"/>
      <c r="RIQ81" s="953"/>
      <c r="RIR81" s="953"/>
      <c r="RIS81" s="953"/>
      <c r="RIT81" s="953"/>
      <c r="RIU81" s="953"/>
      <c r="RIV81" s="953"/>
      <c r="RIW81" s="953"/>
      <c r="RIX81" s="953"/>
      <c r="RIY81" s="953"/>
      <c r="RIZ81" s="953"/>
      <c r="RJA81" s="953"/>
      <c r="RJB81" s="953"/>
      <c r="RJC81" s="953"/>
      <c r="RJD81" s="953"/>
      <c r="RJE81" s="953"/>
      <c r="RJF81" s="953"/>
      <c r="RJG81" s="953"/>
      <c r="RJH81" s="953"/>
      <c r="RJI81" s="953"/>
      <c r="RJJ81" s="953"/>
      <c r="RJK81" s="953"/>
      <c r="RJL81" s="953"/>
      <c r="RJM81" s="953"/>
      <c r="RJN81" s="953"/>
      <c r="RJO81" s="953"/>
      <c r="RJP81" s="953"/>
      <c r="RJQ81" s="953"/>
      <c r="RJR81" s="953"/>
      <c r="RJS81" s="953"/>
      <c r="RJT81" s="953"/>
      <c r="RJU81" s="953"/>
      <c r="RJV81" s="953"/>
      <c r="RJW81" s="953"/>
      <c r="RJX81" s="953"/>
      <c r="RJY81" s="953"/>
      <c r="RJZ81" s="953"/>
      <c r="RKA81" s="953"/>
      <c r="RKB81" s="953"/>
      <c r="RKC81" s="953"/>
      <c r="RKD81" s="953"/>
      <c r="RKE81" s="953"/>
      <c r="RKF81" s="953"/>
      <c r="RKG81" s="953"/>
      <c r="RKH81" s="953"/>
      <c r="RKI81" s="953"/>
      <c r="RKJ81" s="953"/>
      <c r="RKK81" s="953"/>
      <c r="RKL81" s="953"/>
      <c r="RKM81" s="953"/>
      <c r="RKN81" s="953"/>
      <c r="RKO81" s="953"/>
      <c r="RKP81" s="953"/>
      <c r="RKQ81" s="953"/>
      <c r="RKR81" s="953"/>
      <c r="RKS81" s="953"/>
      <c r="RKT81" s="953"/>
      <c r="RKU81" s="953"/>
      <c r="RKV81" s="953"/>
      <c r="RKW81" s="953"/>
      <c r="RKX81" s="953"/>
      <c r="RKY81" s="953"/>
      <c r="RKZ81" s="953"/>
      <c r="RLA81" s="953"/>
      <c r="RLB81" s="953"/>
      <c r="RLC81" s="953"/>
      <c r="RLD81" s="953"/>
      <c r="RLE81" s="953"/>
      <c r="RLF81" s="953"/>
      <c r="RLG81" s="953"/>
      <c r="RLH81" s="953"/>
      <c r="RLI81" s="953"/>
      <c r="RLJ81" s="953"/>
      <c r="RLK81" s="953"/>
      <c r="RLL81" s="953"/>
      <c r="RLM81" s="953"/>
      <c r="RLN81" s="953"/>
      <c r="RLO81" s="953"/>
      <c r="RLP81" s="953"/>
      <c r="RLQ81" s="953"/>
      <c r="RLR81" s="953"/>
      <c r="RLS81" s="953"/>
      <c r="RLT81" s="953"/>
      <c r="RLU81" s="953"/>
      <c r="RLV81" s="953"/>
      <c r="RLW81" s="953"/>
      <c r="RLX81" s="953"/>
      <c r="RLY81" s="953"/>
      <c r="RLZ81" s="953"/>
      <c r="RMA81" s="953"/>
      <c r="RMB81" s="953"/>
      <c r="RMC81" s="953"/>
      <c r="RMD81" s="953"/>
      <c r="RME81" s="953"/>
      <c r="RMF81" s="953"/>
      <c r="RMG81" s="953"/>
      <c r="RMH81" s="953"/>
      <c r="RMI81" s="953"/>
      <c r="RMJ81" s="953"/>
      <c r="RMK81" s="953"/>
      <c r="RML81" s="953"/>
      <c r="RMM81" s="953"/>
      <c r="RMN81" s="953"/>
      <c r="RMO81" s="953"/>
      <c r="RMP81" s="953"/>
      <c r="RMQ81" s="953"/>
      <c r="RMR81" s="953"/>
      <c r="RMS81" s="953"/>
      <c r="RMT81" s="953"/>
      <c r="RMU81" s="953"/>
      <c r="RMV81" s="953"/>
      <c r="RMW81" s="953"/>
      <c r="RMX81" s="953"/>
      <c r="RMY81" s="953"/>
      <c r="RMZ81" s="953"/>
      <c r="RNA81" s="953"/>
      <c r="RNB81" s="953"/>
      <c r="RNC81" s="953"/>
      <c r="RND81" s="953"/>
      <c r="RNE81" s="953"/>
      <c r="RNF81" s="953"/>
      <c r="RNG81" s="953"/>
      <c r="RNH81" s="953"/>
      <c r="RNI81" s="953"/>
      <c r="RNJ81" s="953"/>
      <c r="RNK81" s="953"/>
      <c r="RNL81" s="953"/>
      <c r="RNM81" s="953"/>
      <c r="RNN81" s="953"/>
      <c r="RNO81" s="953"/>
      <c r="RNP81" s="953"/>
      <c r="RNQ81" s="953"/>
      <c r="RNR81" s="953"/>
      <c r="RNS81" s="953"/>
      <c r="RNT81" s="953"/>
      <c r="RNU81" s="953"/>
      <c r="RNV81" s="953"/>
      <c r="RNW81" s="953"/>
      <c r="RNX81" s="953"/>
      <c r="RNY81" s="953"/>
      <c r="RNZ81" s="953"/>
      <c r="ROA81" s="953"/>
      <c r="ROB81" s="953"/>
      <c r="ROC81" s="953"/>
      <c r="ROD81" s="953"/>
      <c r="ROE81" s="953"/>
      <c r="ROF81" s="953"/>
      <c r="ROG81" s="953"/>
      <c r="ROH81" s="953"/>
      <c r="ROI81" s="953"/>
      <c r="ROJ81" s="953"/>
      <c r="ROK81" s="953"/>
      <c r="ROL81" s="953"/>
      <c r="ROM81" s="953"/>
      <c r="RON81" s="953"/>
      <c r="ROO81" s="953"/>
      <c r="ROP81" s="953"/>
      <c r="ROQ81" s="953"/>
      <c r="ROR81" s="953"/>
      <c r="ROS81" s="953"/>
      <c r="ROT81" s="953"/>
      <c r="ROU81" s="953"/>
      <c r="ROV81" s="953"/>
      <c r="ROW81" s="953"/>
      <c r="ROX81" s="953"/>
      <c r="ROY81" s="953"/>
      <c r="ROZ81" s="953"/>
      <c r="RPA81" s="953"/>
      <c r="RPB81" s="953"/>
      <c r="RPC81" s="953"/>
      <c r="RPD81" s="953"/>
      <c r="RPE81" s="953"/>
      <c r="RPF81" s="953"/>
      <c r="RPG81" s="953"/>
      <c r="RPH81" s="953"/>
      <c r="RPI81" s="953"/>
      <c r="RPJ81" s="953"/>
      <c r="RPK81" s="953"/>
      <c r="RPL81" s="953"/>
      <c r="RPM81" s="953"/>
      <c r="RPN81" s="953"/>
      <c r="RPO81" s="953"/>
      <c r="RPP81" s="953"/>
      <c r="RPQ81" s="953"/>
      <c r="RPR81" s="953"/>
      <c r="RPS81" s="953"/>
      <c r="RPT81" s="953"/>
      <c r="RPU81" s="953"/>
      <c r="RPV81" s="953"/>
      <c r="RPW81" s="953"/>
      <c r="RPX81" s="953"/>
      <c r="RPY81" s="953"/>
      <c r="RPZ81" s="953"/>
      <c r="RQA81" s="953"/>
      <c r="RQB81" s="953"/>
      <c r="RQC81" s="953"/>
      <c r="RQD81" s="953"/>
      <c r="RQE81" s="953"/>
      <c r="RQF81" s="953"/>
      <c r="RQG81" s="953"/>
      <c r="RQH81" s="953"/>
      <c r="RQI81" s="953"/>
      <c r="RQJ81" s="953"/>
      <c r="RQK81" s="953"/>
      <c r="RQL81" s="953"/>
      <c r="RQM81" s="953"/>
      <c r="RQN81" s="953"/>
      <c r="RQO81" s="953"/>
      <c r="RQP81" s="953"/>
      <c r="RQQ81" s="953"/>
      <c r="RQR81" s="953"/>
      <c r="RQS81" s="953"/>
      <c r="RQT81" s="953"/>
      <c r="RQU81" s="953"/>
      <c r="RQV81" s="953"/>
      <c r="RQW81" s="953"/>
      <c r="RQX81" s="953"/>
      <c r="RQY81" s="953"/>
      <c r="RQZ81" s="953"/>
      <c r="RRA81" s="953"/>
      <c r="RRB81" s="953"/>
      <c r="RRC81" s="953"/>
      <c r="RRD81" s="953"/>
      <c r="RRE81" s="953"/>
      <c r="RRF81" s="953"/>
      <c r="RRG81" s="953"/>
      <c r="RRH81" s="953"/>
      <c r="RRI81" s="953"/>
      <c r="RRJ81" s="953"/>
      <c r="RRK81" s="953"/>
      <c r="RRL81" s="953"/>
      <c r="RRM81" s="953"/>
      <c r="RRN81" s="953"/>
      <c r="RRO81" s="953"/>
      <c r="RRP81" s="953"/>
      <c r="RRQ81" s="953"/>
      <c r="RRR81" s="953"/>
      <c r="RRS81" s="953"/>
      <c r="RRT81" s="953"/>
      <c r="RRU81" s="953"/>
      <c r="RRV81" s="953"/>
      <c r="RRW81" s="953"/>
      <c r="RRX81" s="953"/>
      <c r="RRY81" s="953"/>
      <c r="RRZ81" s="953"/>
      <c r="RSA81" s="953"/>
      <c r="RSB81" s="953"/>
      <c r="RSC81" s="953"/>
      <c r="RSD81" s="953"/>
      <c r="RSE81" s="953"/>
      <c r="RSF81" s="953"/>
      <c r="RSG81" s="953"/>
      <c r="RSH81" s="953"/>
      <c r="RSI81" s="953"/>
      <c r="RSJ81" s="953"/>
      <c r="RSK81" s="953"/>
      <c r="RSL81" s="953"/>
      <c r="RSM81" s="953"/>
      <c r="RSN81" s="953"/>
      <c r="RSO81" s="953"/>
      <c r="RSP81" s="953"/>
      <c r="RSQ81" s="953"/>
      <c r="RSR81" s="953"/>
      <c r="RSS81" s="953"/>
      <c r="RST81" s="953"/>
      <c r="RSU81" s="953"/>
      <c r="RSV81" s="953"/>
      <c r="RSW81" s="953"/>
      <c r="RSX81" s="953"/>
      <c r="RSY81" s="953"/>
      <c r="RSZ81" s="953"/>
      <c r="RTA81" s="953"/>
      <c r="RTB81" s="953"/>
      <c r="RTC81" s="953"/>
      <c r="RTD81" s="953"/>
      <c r="RTE81" s="953"/>
      <c r="RTF81" s="953"/>
      <c r="RTG81" s="953"/>
      <c r="RTH81" s="953"/>
      <c r="RTI81" s="953"/>
      <c r="RTJ81" s="953"/>
      <c r="RTK81" s="953"/>
      <c r="RTL81" s="953"/>
      <c r="RTM81" s="953"/>
      <c r="RTN81" s="953"/>
      <c r="RTO81" s="953"/>
      <c r="RTP81" s="953"/>
      <c r="RTQ81" s="953"/>
      <c r="RTR81" s="953"/>
      <c r="RTS81" s="953"/>
      <c r="RTT81" s="953"/>
      <c r="RTU81" s="953"/>
      <c r="RTV81" s="953"/>
      <c r="RTW81" s="953"/>
      <c r="RTX81" s="953"/>
      <c r="RTY81" s="953"/>
      <c r="RTZ81" s="953"/>
      <c r="RUA81" s="953"/>
      <c r="RUB81" s="953"/>
      <c r="RUC81" s="953"/>
      <c r="RUD81" s="953"/>
      <c r="RUE81" s="953"/>
      <c r="RUF81" s="953"/>
      <c r="RUG81" s="953"/>
      <c r="RUH81" s="953"/>
      <c r="RUI81" s="953"/>
      <c r="RUJ81" s="953"/>
      <c r="RUK81" s="953"/>
      <c r="RUL81" s="953"/>
      <c r="RUM81" s="953"/>
      <c r="RUN81" s="953"/>
      <c r="RUO81" s="953"/>
      <c r="RUP81" s="953"/>
      <c r="RUQ81" s="953"/>
      <c r="RUR81" s="953"/>
      <c r="RUS81" s="953"/>
      <c r="RUT81" s="953"/>
      <c r="RUU81" s="953"/>
      <c r="RUV81" s="953"/>
      <c r="RUW81" s="953"/>
      <c r="RUX81" s="953"/>
      <c r="RUY81" s="953"/>
      <c r="RUZ81" s="953"/>
      <c r="RVA81" s="953"/>
      <c r="RVB81" s="953"/>
      <c r="RVC81" s="953"/>
      <c r="RVD81" s="953"/>
      <c r="RVE81" s="953"/>
      <c r="RVF81" s="953"/>
      <c r="RVG81" s="953"/>
      <c r="RVH81" s="953"/>
      <c r="RVI81" s="953"/>
      <c r="RVJ81" s="953"/>
      <c r="RVK81" s="953"/>
      <c r="RVL81" s="953"/>
      <c r="RVM81" s="953"/>
      <c r="RVN81" s="953"/>
      <c r="RVO81" s="953"/>
      <c r="RVP81" s="953"/>
      <c r="RVQ81" s="953"/>
      <c r="RVR81" s="953"/>
      <c r="RVS81" s="953"/>
      <c r="RVT81" s="953"/>
      <c r="RVU81" s="953"/>
      <c r="RVV81" s="953"/>
      <c r="RVW81" s="953"/>
      <c r="RVX81" s="953"/>
      <c r="RVY81" s="953"/>
      <c r="RVZ81" s="953"/>
      <c r="RWA81" s="953"/>
      <c r="RWB81" s="953"/>
      <c r="RWC81" s="953"/>
      <c r="RWD81" s="953"/>
      <c r="RWE81" s="953"/>
      <c r="RWF81" s="953"/>
      <c r="RWG81" s="953"/>
      <c r="RWH81" s="953"/>
      <c r="RWI81" s="953"/>
      <c r="RWJ81" s="953"/>
      <c r="RWK81" s="953"/>
      <c r="RWL81" s="953"/>
      <c r="RWM81" s="953"/>
      <c r="RWN81" s="953"/>
      <c r="RWO81" s="953"/>
      <c r="RWP81" s="953"/>
      <c r="RWQ81" s="953"/>
      <c r="RWR81" s="953"/>
      <c r="RWS81" s="953"/>
      <c r="RWT81" s="953"/>
      <c r="RWU81" s="953"/>
      <c r="RWV81" s="953"/>
      <c r="RWW81" s="953"/>
      <c r="RWX81" s="953"/>
      <c r="RWY81" s="953"/>
      <c r="RWZ81" s="953"/>
      <c r="RXA81" s="953"/>
      <c r="RXB81" s="953"/>
      <c r="RXC81" s="953"/>
      <c r="RXD81" s="953"/>
      <c r="RXE81" s="953"/>
      <c r="RXF81" s="953"/>
      <c r="RXG81" s="953"/>
      <c r="RXH81" s="953"/>
      <c r="RXI81" s="953"/>
      <c r="RXJ81" s="953"/>
      <c r="RXK81" s="953"/>
      <c r="RXL81" s="953"/>
      <c r="RXM81" s="953"/>
      <c r="RXN81" s="953"/>
      <c r="RXO81" s="953"/>
      <c r="RXP81" s="953"/>
      <c r="RXQ81" s="953"/>
      <c r="RXR81" s="953"/>
      <c r="RXS81" s="953"/>
      <c r="RXT81" s="953"/>
      <c r="RXU81" s="953"/>
      <c r="RXV81" s="953"/>
      <c r="RXW81" s="953"/>
      <c r="RXX81" s="953"/>
      <c r="RXY81" s="953"/>
      <c r="RXZ81" s="953"/>
      <c r="RYA81" s="953"/>
      <c r="RYB81" s="953"/>
      <c r="RYC81" s="953"/>
      <c r="RYD81" s="953"/>
      <c r="RYE81" s="953"/>
      <c r="RYF81" s="953"/>
      <c r="RYG81" s="953"/>
      <c r="RYH81" s="953"/>
      <c r="RYI81" s="953"/>
      <c r="RYJ81" s="953"/>
      <c r="RYK81" s="953"/>
      <c r="RYL81" s="953"/>
      <c r="RYM81" s="953"/>
      <c r="RYN81" s="953"/>
      <c r="RYO81" s="953"/>
      <c r="RYP81" s="953"/>
      <c r="RYQ81" s="953"/>
      <c r="RYR81" s="953"/>
      <c r="RYS81" s="953"/>
      <c r="RYT81" s="953"/>
      <c r="RYU81" s="953"/>
      <c r="RYV81" s="953"/>
      <c r="RYW81" s="953"/>
      <c r="RYX81" s="953"/>
      <c r="RYY81" s="953"/>
      <c r="RYZ81" s="953"/>
      <c r="RZA81" s="953"/>
      <c r="RZB81" s="953"/>
      <c r="RZC81" s="953"/>
      <c r="RZD81" s="953"/>
      <c r="RZE81" s="953"/>
      <c r="RZF81" s="953"/>
      <c r="RZG81" s="953"/>
      <c r="RZH81" s="953"/>
      <c r="RZI81" s="953"/>
      <c r="RZJ81" s="953"/>
      <c r="RZK81" s="953"/>
      <c r="RZL81" s="953"/>
      <c r="RZM81" s="953"/>
      <c r="RZN81" s="953"/>
      <c r="RZO81" s="953"/>
      <c r="RZP81" s="953"/>
      <c r="RZQ81" s="953"/>
      <c r="RZR81" s="953"/>
      <c r="RZS81" s="953"/>
      <c r="RZT81" s="953"/>
      <c r="RZU81" s="953"/>
      <c r="RZV81" s="953"/>
      <c r="RZW81" s="953"/>
      <c r="RZX81" s="953"/>
      <c r="RZY81" s="953"/>
      <c r="RZZ81" s="953"/>
      <c r="SAA81" s="953"/>
      <c r="SAB81" s="953"/>
      <c r="SAC81" s="953"/>
      <c r="SAD81" s="953"/>
      <c r="SAE81" s="953"/>
      <c r="SAF81" s="953"/>
      <c r="SAG81" s="953"/>
      <c r="SAH81" s="953"/>
      <c r="SAI81" s="953"/>
      <c r="SAJ81" s="953"/>
      <c r="SAK81" s="953"/>
      <c r="SAL81" s="953"/>
      <c r="SAM81" s="953"/>
      <c r="SAN81" s="953"/>
      <c r="SAO81" s="953"/>
      <c r="SAP81" s="953"/>
      <c r="SAQ81" s="953"/>
      <c r="SAR81" s="953"/>
      <c r="SAS81" s="953"/>
      <c r="SAT81" s="953"/>
      <c r="SAU81" s="953"/>
      <c r="SAV81" s="953"/>
      <c r="SAW81" s="953"/>
      <c r="SAX81" s="953"/>
      <c r="SAY81" s="953"/>
      <c r="SAZ81" s="953"/>
      <c r="SBA81" s="953"/>
      <c r="SBB81" s="953"/>
      <c r="SBC81" s="953"/>
      <c r="SBD81" s="953"/>
      <c r="SBE81" s="953"/>
      <c r="SBF81" s="953"/>
      <c r="SBG81" s="953"/>
      <c r="SBH81" s="953"/>
      <c r="SBI81" s="953"/>
      <c r="SBJ81" s="953"/>
      <c r="SBK81" s="953"/>
      <c r="SBL81" s="953"/>
      <c r="SBM81" s="953"/>
      <c r="SBN81" s="953"/>
      <c r="SBO81" s="953"/>
      <c r="SBP81" s="953"/>
      <c r="SBQ81" s="953"/>
      <c r="SBR81" s="953"/>
      <c r="SBS81" s="953"/>
      <c r="SBT81" s="953"/>
      <c r="SBU81" s="953"/>
      <c r="SBV81" s="953"/>
      <c r="SBW81" s="953"/>
      <c r="SBX81" s="953"/>
      <c r="SBY81" s="953"/>
      <c r="SBZ81" s="953"/>
      <c r="SCA81" s="953"/>
      <c r="SCB81" s="953"/>
      <c r="SCC81" s="953"/>
      <c r="SCD81" s="953"/>
      <c r="SCE81" s="953"/>
      <c r="SCF81" s="953"/>
      <c r="SCG81" s="953"/>
      <c r="SCH81" s="953"/>
      <c r="SCI81" s="953"/>
      <c r="SCJ81" s="953"/>
      <c r="SCK81" s="953"/>
      <c r="SCL81" s="953"/>
      <c r="SCM81" s="953"/>
      <c r="SCN81" s="953"/>
      <c r="SCO81" s="953"/>
      <c r="SCP81" s="953"/>
      <c r="SCQ81" s="953"/>
      <c r="SCR81" s="953"/>
      <c r="SCS81" s="953"/>
      <c r="SCT81" s="953"/>
      <c r="SCU81" s="953"/>
      <c r="SCV81" s="953"/>
      <c r="SCW81" s="953"/>
      <c r="SCX81" s="953"/>
      <c r="SCY81" s="953"/>
      <c r="SCZ81" s="953"/>
      <c r="SDA81" s="953"/>
      <c r="SDB81" s="953"/>
      <c r="SDC81" s="953"/>
      <c r="SDD81" s="953"/>
      <c r="SDE81" s="953"/>
      <c r="SDF81" s="953"/>
      <c r="SDG81" s="953"/>
      <c r="SDH81" s="953"/>
      <c r="SDI81" s="953"/>
      <c r="SDJ81" s="953"/>
      <c r="SDK81" s="953"/>
      <c r="SDL81" s="953"/>
      <c r="SDM81" s="953"/>
      <c r="SDN81" s="953"/>
      <c r="SDO81" s="953"/>
      <c r="SDP81" s="953"/>
      <c r="SDQ81" s="953"/>
      <c r="SDR81" s="953"/>
      <c r="SDS81" s="953"/>
      <c r="SDT81" s="953"/>
      <c r="SDU81" s="953"/>
      <c r="SDV81" s="953"/>
      <c r="SDW81" s="953"/>
      <c r="SDX81" s="953"/>
      <c r="SDY81" s="953"/>
      <c r="SDZ81" s="953"/>
      <c r="SEA81" s="953"/>
      <c r="SEB81" s="953"/>
      <c r="SEC81" s="953"/>
      <c r="SED81" s="953"/>
      <c r="SEE81" s="953"/>
      <c r="SEF81" s="953"/>
      <c r="SEG81" s="953"/>
      <c r="SEH81" s="953"/>
      <c r="SEI81" s="953"/>
      <c r="SEJ81" s="953"/>
      <c r="SEK81" s="953"/>
      <c r="SEL81" s="953"/>
      <c r="SEM81" s="953"/>
      <c r="SEN81" s="953"/>
      <c r="SEO81" s="953"/>
      <c r="SEP81" s="953"/>
      <c r="SEQ81" s="953"/>
      <c r="SER81" s="953"/>
      <c r="SES81" s="953"/>
      <c r="SET81" s="953"/>
      <c r="SEU81" s="953"/>
      <c r="SEV81" s="953"/>
      <c r="SEW81" s="953"/>
      <c r="SEX81" s="953"/>
      <c r="SEY81" s="953"/>
      <c r="SEZ81" s="953"/>
      <c r="SFA81" s="953"/>
      <c r="SFB81" s="953"/>
      <c r="SFC81" s="953"/>
      <c r="SFD81" s="953"/>
      <c r="SFE81" s="953"/>
      <c r="SFF81" s="953"/>
      <c r="SFG81" s="953"/>
      <c r="SFH81" s="953"/>
      <c r="SFI81" s="953"/>
      <c r="SFJ81" s="953"/>
      <c r="SFK81" s="953"/>
      <c r="SFL81" s="953"/>
      <c r="SFM81" s="953"/>
      <c r="SFN81" s="953"/>
      <c r="SFO81" s="953"/>
      <c r="SFP81" s="953"/>
      <c r="SFQ81" s="953"/>
      <c r="SFR81" s="953"/>
      <c r="SFS81" s="953"/>
      <c r="SFT81" s="953"/>
      <c r="SFU81" s="953"/>
      <c r="SFV81" s="953"/>
      <c r="SFW81" s="953"/>
      <c r="SFX81" s="953"/>
      <c r="SFY81" s="953"/>
      <c r="SFZ81" s="953"/>
      <c r="SGA81" s="953"/>
      <c r="SGB81" s="953"/>
      <c r="SGC81" s="953"/>
      <c r="SGD81" s="953"/>
      <c r="SGE81" s="953"/>
      <c r="SGF81" s="953"/>
      <c r="SGG81" s="953"/>
      <c r="SGH81" s="953"/>
      <c r="SGI81" s="953"/>
      <c r="SGJ81" s="953"/>
      <c r="SGK81" s="953"/>
      <c r="SGL81" s="953"/>
      <c r="SGM81" s="953"/>
      <c r="SGN81" s="953"/>
      <c r="SGO81" s="953"/>
      <c r="SGP81" s="953"/>
      <c r="SGQ81" s="953"/>
      <c r="SGR81" s="953"/>
      <c r="SGS81" s="953"/>
      <c r="SGT81" s="953"/>
      <c r="SGU81" s="953"/>
      <c r="SGV81" s="953"/>
      <c r="SGW81" s="953"/>
      <c r="SGX81" s="953"/>
      <c r="SGY81" s="953"/>
      <c r="SGZ81" s="953"/>
      <c r="SHA81" s="953"/>
      <c r="SHB81" s="953"/>
      <c r="SHC81" s="953"/>
      <c r="SHD81" s="953"/>
      <c r="SHE81" s="953"/>
      <c r="SHF81" s="953"/>
      <c r="SHG81" s="953"/>
      <c r="SHH81" s="953"/>
      <c r="SHI81" s="953"/>
      <c r="SHJ81" s="953"/>
      <c r="SHK81" s="953"/>
      <c r="SHL81" s="953"/>
      <c r="SHM81" s="953"/>
      <c r="SHN81" s="953"/>
      <c r="SHO81" s="953"/>
      <c r="SHP81" s="953"/>
      <c r="SHQ81" s="953"/>
      <c r="SHR81" s="953"/>
      <c r="SHS81" s="953"/>
      <c r="SHT81" s="953"/>
      <c r="SHU81" s="953"/>
      <c r="SHV81" s="953"/>
      <c r="SHW81" s="953"/>
      <c r="SHX81" s="953"/>
      <c r="SHY81" s="953"/>
      <c r="SHZ81" s="953"/>
      <c r="SIA81" s="953"/>
      <c r="SIB81" s="953"/>
      <c r="SIC81" s="953"/>
      <c r="SID81" s="953"/>
      <c r="SIE81" s="953"/>
      <c r="SIF81" s="953"/>
      <c r="SIG81" s="953"/>
      <c r="SIH81" s="953"/>
      <c r="SII81" s="953"/>
      <c r="SIJ81" s="953"/>
      <c r="SIK81" s="953"/>
      <c r="SIL81" s="953"/>
      <c r="SIM81" s="953"/>
      <c r="SIN81" s="953"/>
      <c r="SIO81" s="953"/>
      <c r="SIP81" s="953"/>
      <c r="SIQ81" s="953"/>
      <c r="SIR81" s="953"/>
      <c r="SIS81" s="953"/>
      <c r="SIT81" s="953"/>
      <c r="SIU81" s="953"/>
      <c r="SIV81" s="953"/>
      <c r="SIW81" s="953"/>
      <c r="SIX81" s="953"/>
      <c r="SIY81" s="953"/>
      <c r="SIZ81" s="953"/>
      <c r="SJA81" s="953"/>
      <c r="SJB81" s="953"/>
      <c r="SJC81" s="953"/>
      <c r="SJD81" s="953"/>
      <c r="SJE81" s="953"/>
      <c r="SJF81" s="953"/>
      <c r="SJG81" s="953"/>
      <c r="SJH81" s="953"/>
      <c r="SJI81" s="953"/>
      <c r="SJJ81" s="953"/>
      <c r="SJK81" s="953"/>
      <c r="SJL81" s="953"/>
      <c r="SJM81" s="953"/>
      <c r="SJN81" s="953"/>
      <c r="SJO81" s="953"/>
      <c r="SJP81" s="953"/>
      <c r="SJQ81" s="953"/>
      <c r="SJR81" s="953"/>
      <c r="SJS81" s="953"/>
      <c r="SJT81" s="953"/>
      <c r="SJU81" s="953"/>
      <c r="SJV81" s="953"/>
      <c r="SJW81" s="953"/>
      <c r="SJX81" s="953"/>
      <c r="SJY81" s="953"/>
      <c r="SJZ81" s="953"/>
      <c r="SKA81" s="953"/>
      <c r="SKB81" s="953"/>
      <c r="SKC81" s="953"/>
      <c r="SKD81" s="953"/>
      <c r="SKE81" s="953"/>
      <c r="SKF81" s="953"/>
      <c r="SKG81" s="953"/>
      <c r="SKH81" s="953"/>
      <c r="SKI81" s="953"/>
      <c r="SKJ81" s="953"/>
      <c r="SKK81" s="953"/>
      <c r="SKL81" s="953"/>
      <c r="SKM81" s="953"/>
      <c r="SKN81" s="953"/>
      <c r="SKO81" s="953"/>
      <c r="SKP81" s="953"/>
      <c r="SKQ81" s="953"/>
      <c r="SKR81" s="953"/>
      <c r="SKS81" s="953"/>
      <c r="SKT81" s="953"/>
      <c r="SKU81" s="953"/>
      <c r="SKV81" s="953"/>
      <c r="SKW81" s="953"/>
      <c r="SKX81" s="953"/>
      <c r="SKY81" s="953"/>
      <c r="SKZ81" s="953"/>
      <c r="SLA81" s="953"/>
      <c r="SLB81" s="953"/>
      <c r="SLC81" s="953"/>
      <c r="SLD81" s="953"/>
      <c r="SLE81" s="953"/>
      <c r="SLF81" s="953"/>
      <c r="SLG81" s="953"/>
      <c r="SLH81" s="953"/>
      <c r="SLI81" s="953"/>
      <c r="SLJ81" s="953"/>
      <c r="SLK81" s="953"/>
      <c r="SLL81" s="953"/>
      <c r="SLM81" s="953"/>
      <c r="SLN81" s="953"/>
      <c r="SLO81" s="953"/>
      <c r="SLP81" s="953"/>
      <c r="SLQ81" s="953"/>
      <c r="SLR81" s="953"/>
      <c r="SLS81" s="953"/>
      <c r="SLT81" s="953"/>
      <c r="SLU81" s="953"/>
      <c r="SLV81" s="953"/>
      <c r="SLW81" s="953"/>
      <c r="SLX81" s="953"/>
      <c r="SLY81" s="953"/>
      <c r="SLZ81" s="953"/>
      <c r="SMA81" s="953"/>
      <c r="SMB81" s="953"/>
      <c r="SMC81" s="953"/>
      <c r="SMD81" s="953"/>
      <c r="SME81" s="953"/>
      <c r="SMF81" s="953"/>
      <c r="SMG81" s="953"/>
      <c r="SMH81" s="953"/>
      <c r="SMI81" s="953"/>
      <c r="SMJ81" s="953"/>
      <c r="SMK81" s="953"/>
      <c r="SML81" s="953"/>
      <c r="SMM81" s="953"/>
      <c r="SMN81" s="953"/>
      <c r="SMO81" s="953"/>
      <c r="SMP81" s="953"/>
      <c r="SMQ81" s="953"/>
      <c r="SMR81" s="953"/>
      <c r="SMS81" s="953"/>
      <c r="SMT81" s="953"/>
      <c r="SMU81" s="953"/>
      <c r="SMV81" s="953"/>
      <c r="SMW81" s="953"/>
      <c r="SMX81" s="953"/>
      <c r="SMY81" s="953"/>
      <c r="SMZ81" s="953"/>
      <c r="SNA81" s="953"/>
      <c r="SNB81" s="953"/>
      <c r="SNC81" s="953"/>
      <c r="SND81" s="953"/>
      <c r="SNE81" s="953"/>
      <c r="SNF81" s="953"/>
      <c r="SNG81" s="953"/>
      <c r="SNH81" s="953"/>
      <c r="SNI81" s="953"/>
      <c r="SNJ81" s="953"/>
      <c r="SNK81" s="953"/>
      <c r="SNL81" s="953"/>
      <c r="SNM81" s="953"/>
      <c r="SNN81" s="953"/>
      <c r="SNO81" s="953"/>
      <c r="SNP81" s="953"/>
      <c r="SNQ81" s="953"/>
      <c r="SNR81" s="953"/>
      <c r="SNS81" s="953"/>
      <c r="SNT81" s="953"/>
      <c r="SNU81" s="953"/>
      <c r="SNV81" s="953"/>
      <c r="SNW81" s="953"/>
      <c r="SNX81" s="953"/>
      <c r="SNY81" s="953"/>
      <c r="SNZ81" s="953"/>
      <c r="SOA81" s="953"/>
      <c r="SOB81" s="953"/>
      <c r="SOC81" s="953"/>
      <c r="SOD81" s="953"/>
      <c r="SOE81" s="953"/>
      <c r="SOF81" s="953"/>
      <c r="SOG81" s="953"/>
      <c r="SOH81" s="953"/>
      <c r="SOI81" s="953"/>
      <c r="SOJ81" s="953"/>
      <c r="SOK81" s="953"/>
      <c r="SOL81" s="953"/>
      <c r="SOM81" s="953"/>
      <c r="SON81" s="953"/>
      <c r="SOO81" s="953"/>
      <c r="SOP81" s="953"/>
      <c r="SOQ81" s="953"/>
      <c r="SOR81" s="953"/>
      <c r="SOS81" s="953"/>
      <c r="SOT81" s="953"/>
      <c r="SOU81" s="953"/>
      <c r="SOV81" s="953"/>
      <c r="SOW81" s="953"/>
      <c r="SOX81" s="953"/>
      <c r="SOY81" s="953"/>
      <c r="SOZ81" s="953"/>
      <c r="SPA81" s="953"/>
      <c r="SPB81" s="953"/>
      <c r="SPC81" s="953"/>
      <c r="SPD81" s="953"/>
      <c r="SPE81" s="953"/>
      <c r="SPF81" s="953"/>
      <c r="SPG81" s="953"/>
      <c r="SPH81" s="953"/>
      <c r="SPI81" s="953"/>
      <c r="SPJ81" s="953"/>
      <c r="SPK81" s="953"/>
      <c r="SPL81" s="953"/>
      <c r="SPM81" s="953"/>
      <c r="SPN81" s="953"/>
      <c r="SPO81" s="953"/>
      <c r="SPP81" s="953"/>
      <c r="SPQ81" s="953"/>
      <c r="SPR81" s="953"/>
      <c r="SPS81" s="953"/>
      <c r="SPT81" s="953"/>
      <c r="SPU81" s="953"/>
      <c r="SPV81" s="953"/>
      <c r="SPW81" s="953"/>
      <c r="SPX81" s="953"/>
      <c r="SPY81" s="953"/>
      <c r="SPZ81" s="953"/>
      <c r="SQA81" s="953"/>
      <c r="SQB81" s="953"/>
      <c r="SQC81" s="953"/>
      <c r="SQD81" s="953"/>
      <c r="SQE81" s="953"/>
      <c r="SQF81" s="953"/>
      <c r="SQG81" s="953"/>
      <c r="SQH81" s="953"/>
      <c r="SQI81" s="953"/>
      <c r="SQJ81" s="953"/>
      <c r="SQK81" s="953"/>
      <c r="SQL81" s="953"/>
      <c r="SQM81" s="953"/>
      <c r="SQN81" s="953"/>
      <c r="SQO81" s="953"/>
      <c r="SQP81" s="953"/>
      <c r="SQQ81" s="953"/>
      <c r="SQR81" s="953"/>
      <c r="SQS81" s="953"/>
      <c r="SQT81" s="953"/>
      <c r="SQU81" s="953"/>
      <c r="SQV81" s="953"/>
      <c r="SQW81" s="953"/>
      <c r="SQX81" s="953"/>
      <c r="SQY81" s="953"/>
      <c r="SQZ81" s="953"/>
      <c r="SRA81" s="953"/>
      <c r="SRB81" s="953"/>
      <c r="SRC81" s="953"/>
      <c r="SRD81" s="953"/>
      <c r="SRE81" s="953"/>
      <c r="SRF81" s="953"/>
      <c r="SRG81" s="953"/>
      <c r="SRH81" s="953"/>
      <c r="SRI81" s="953"/>
      <c r="SRJ81" s="953"/>
      <c r="SRK81" s="953"/>
      <c r="SRL81" s="953"/>
      <c r="SRM81" s="953"/>
      <c r="SRN81" s="953"/>
      <c r="SRO81" s="953"/>
      <c r="SRP81" s="953"/>
      <c r="SRQ81" s="953"/>
      <c r="SRR81" s="953"/>
      <c r="SRS81" s="953"/>
      <c r="SRT81" s="953"/>
      <c r="SRU81" s="953"/>
      <c r="SRV81" s="953"/>
      <c r="SRW81" s="953"/>
      <c r="SRX81" s="953"/>
      <c r="SRY81" s="953"/>
      <c r="SRZ81" s="953"/>
      <c r="SSA81" s="953"/>
      <c r="SSB81" s="953"/>
      <c r="SSC81" s="953"/>
      <c r="SSD81" s="953"/>
      <c r="SSE81" s="953"/>
      <c r="SSF81" s="953"/>
      <c r="SSG81" s="953"/>
      <c r="SSH81" s="953"/>
      <c r="SSI81" s="953"/>
      <c r="SSJ81" s="953"/>
      <c r="SSK81" s="953"/>
      <c r="SSL81" s="953"/>
      <c r="SSM81" s="953"/>
      <c r="SSN81" s="953"/>
      <c r="SSO81" s="953"/>
      <c r="SSP81" s="953"/>
      <c r="SSQ81" s="953"/>
      <c r="SSR81" s="953"/>
      <c r="SSS81" s="953"/>
      <c r="SST81" s="953"/>
      <c r="SSU81" s="953"/>
      <c r="SSV81" s="953"/>
      <c r="SSW81" s="953"/>
      <c r="SSX81" s="953"/>
      <c r="SSY81" s="953"/>
      <c r="SSZ81" s="953"/>
      <c r="STA81" s="953"/>
      <c r="STB81" s="953"/>
      <c r="STC81" s="953"/>
      <c r="STD81" s="953"/>
      <c r="STE81" s="953"/>
      <c r="STF81" s="953"/>
      <c r="STG81" s="953"/>
      <c r="STH81" s="953"/>
      <c r="STI81" s="953"/>
      <c r="STJ81" s="953"/>
      <c r="STK81" s="953"/>
      <c r="STL81" s="953"/>
      <c r="STM81" s="953"/>
      <c r="STN81" s="953"/>
      <c r="STO81" s="953"/>
      <c r="STP81" s="953"/>
      <c r="STQ81" s="953"/>
      <c r="STR81" s="953"/>
      <c r="STS81" s="953"/>
      <c r="STT81" s="953"/>
      <c r="STU81" s="953"/>
      <c r="STV81" s="953"/>
      <c r="STW81" s="953"/>
      <c r="STX81" s="953"/>
      <c r="STY81" s="953"/>
      <c r="STZ81" s="953"/>
      <c r="SUA81" s="953"/>
      <c r="SUB81" s="953"/>
      <c r="SUC81" s="953"/>
      <c r="SUD81" s="953"/>
      <c r="SUE81" s="953"/>
      <c r="SUF81" s="953"/>
      <c r="SUG81" s="953"/>
      <c r="SUH81" s="953"/>
      <c r="SUI81" s="953"/>
      <c r="SUJ81" s="953"/>
      <c r="SUK81" s="953"/>
      <c r="SUL81" s="953"/>
      <c r="SUM81" s="953"/>
      <c r="SUN81" s="953"/>
      <c r="SUO81" s="953"/>
      <c r="SUP81" s="953"/>
      <c r="SUQ81" s="953"/>
      <c r="SUR81" s="953"/>
      <c r="SUS81" s="953"/>
      <c r="SUT81" s="953"/>
      <c r="SUU81" s="953"/>
      <c r="SUV81" s="953"/>
      <c r="SUW81" s="953"/>
      <c r="SUX81" s="953"/>
      <c r="SUY81" s="953"/>
      <c r="SUZ81" s="953"/>
      <c r="SVA81" s="953"/>
      <c r="SVB81" s="953"/>
      <c r="SVC81" s="953"/>
      <c r="SVD81" s="953"/>
      <c r="SVE81" s="953"/>
      <c r="SVF81" s="953"/>
      <c r="SVG81" s="953"/>
      <c r="SVH81" s="953"/>
      <c r="SVI81" s="953"/>
      <c r="SVJ81" s="953"/>
      <c r="SVK81" s="953"/>
      <c r="SVL81" s="953"/>
      <c r="SVM81" s="953"/>
      <c r="SVN81" s="953"/>
      <c r="SVO81" s="953"/>
      <c r="SVP81" s="953"/>
      <c r="SVQ81" s="953"/>
      <c r="SVR81" s="953"/>
      <c r="SVS81" s="953"/>
      <c r="SVT81" s="953"/>
      <c r="SVU81" s="953"/>
      <c r="SVV81" s="953"/>
      <c r="SVW81" s="953"/>
      <c r="SVX81" s="953"/>
      <c r="SVY81" s="953"/>
      <c r="SVZ81" s="953"/>
      <c r="SWA81" s="953"/>
      <c r="SWB81" s="953"/>
      <c r="SWC81" s="953"/>
      <c r="SWD81" s="953"/>
      <c r="SWE81" s="953"/>
      <c r="SWF81" s="953"/>
      <c r="SWG81" s="953"/>
      <c r="SWH81" s="953"/>
      <c r="SWI81" s="953"/>
      <c r="SWJ81" s="953"/>
      <c r="SWK81" s="953"/>
      <c r="SWL81" s="953"/>
      <c r="SWM81" s="953"/>
      <c r="SWN81" s="953"/>
      <c r="SWO81" s="953"/>
      <c r="SWP81" s="953"/>
      <c r="SWQ81" s="953"/>
      <c r="SWR81" s="953"/>
      <c r="SWS81" s="953"/>
      <c r="SWT81" s="953"/>
      <c r="SWU81" s="953"/>
      <c r="SWV81" s="953"/>
      <c r="SWW81" s="953"/>
      <c r="SWX81" s="953"/>
      <c r="SWY81" s="953"/>
      <c r="SWZ81" s="953"/>
      <c r="SXA81" s="953"/>
      <c r="SXB81" s="953"/>
      <c r="SXC81" s="953"/>
      <c r="SXD81" s="953"/>
      <c r="SXE81" s="953"/>
      <c r="SXF81" s="953"/>
      <c r="SXG81" s="953"/>
      <c r="SXH81" s="953"/>
      <c r="SXI81" s="953"/>
      <c r="SXJ81" s="953"/>
      <c r="SXK81" s="953"/>
      <c r="SXL81" s="953"/>
      <c r="SXM81" s="953"/>
      <c r="SXN81" s="953"/>
      <c r="SXO81" s="953"/>
      <c r="SXP81" s="953"/>
      <c r="SXQ81" s="953"/>
      <c r="SXR81" s="953"/>
      <c r="SXS81" s="953"/>
      <c r="SXT81" s="953"/>
      <c r="SXU81" s="953"/>
      <c r="SXV81" s="953"/>
      <c r="SXW81" s="953"/>
      <c r="SXX81" s="953"/>
      <c r="SXY81" s="953"/>
      <c r="SXZ81" s="953"/>
      <c r="SYA81" s="953"/>
      <c r="SYB81" s="953"/>
      <c r="SYC81" s="953"/>
      <c r="SYD81" s="953"/>
      <c r="SYE81" s="953"/>
      <c r="SYF81" s="953"/>
      <c r="SYG81" s="953"/>
      <c r="SYH81" s="953"/>
      <c r="SYI81" s="953"/>
      <c r="SYJ81" s="953"/>
      <c r="SYK81" s="953"/>
      <c r="SYL81" s="953"/>
      <c r="SYM81" s="953"/>
      <c r="SYN81" s="953"/>
      <c r="SYO81" s="953"/>
      <c r="SYP81" s="953"/>
      <c r="SYQ81" s="953"/>
      <c r="SYR81" s="953"/>
      <c r="SYS81" s="953"/>
      <c r="SYT81" s="953"/>
      <c r="SYU81" s="953"/>
      <c r="SYV81" s="953"/>
      <c r="SYW81" s="953"/>
      <c r="SYX81" s="953"/>
      <c r="SYY81" s="953"/>
      <c r="SYZ81" s="953"/>
      <c r="SZA81" s="953"/>
      <c r="SZB81" s="953"/>
      <c r="SZC81" s="953"/>
      <c r="SZD81" s="953"/>
      <c r="SZE81" s="953"/>
      <c r="SZF81" s="953"/>
      <c r="SZG81" s="953"/>
      <c r="SZH81" s="953"/>
      <c r="SZI81" s="953"/>
      <c r="SZJ81" s="953"/>
      <c r="SZK81" s="953"/>
      <c r="SZL81" s="953"/>
      <c r="SZM81" s="953"/>
      <c r="SZN81" s="953"/>
      <c r="SZO81" s="953"/>
      <c r="SZP81" s="953"/>
      <c r="SZQ81" s="953"/>
      <c r="SZR81" s="953"/>
      <c r="SZS81" s="953"/>
      <c r="SZT81" s="953"/>
      <c r="SZU81" s="953"/>
      <c r="SZV81" s="953"/>
      <c r="SZW81" s="953"/>
      <c r="SZX81" s="953"/>
      <c r="SZY81" s="953"/>
      <c r="SZZ81" s="953"/>
      <c r="TAA81" s="953"/>
      <c r="TAB81" s="953"/>
      <c r="TAC81" s="953"/>
      <c r="TAD81" s="953"/>
      <c r="TAE81" s="953"/>
      <c r="TAF81" s="953"/>
      <c r="TAG81" s="953"/>
      <c r="TAH81" s="953"/>
      <c r="TAI81" s="953"/>
      <c r="TAJ81" s="953"/>
      <c r="TAK81" s="953"/>
      <c r="TAL81" s="953"/>
      <c r="TAM81" s="953"/>
      <c r="TAN81" s="953"/>
      <c r="TAO81" s="953"/>
      <c r="TAP81" s="953"/>
      <c r="TAQ81" s="953"/>
      <c r="TAR81" s="953"/>
      <c r="TAS81" s="953"/>
      <c r="TAT81" s="953"/>
      <c r="TAU81" s="953"/>
      <c r="TAV81" s="953"/>
      <c r="TAW81" s="953"/>
      <c r="TAX81" s="953"/>
      <c r="TAY81" s="953"/>
      <c r="TAZ81" s="953"/>
      <c r="TBA81" s="953"/>
      <c r="TBB81" s="953"/>
      <c r="TBC81" s="953"/>
      <c r="TBD81" s="953"/>
      <c r="TBE81" s="953"/>
      <c r="TBF81" s="953"/>
      <c r="TBG81" s="953"/>
      <c r="TBH81" s="953"/>
      <c r="TBI81" s="953"/>
      <c r="TBJ81" s="953"/>
      <c r="TBK81" s="953"/>
      <c r="TBL81" s="953"/>
      <c r="TBM81" s="953"/>
      <c r="TBN81" s="953"/>
      <c r="TBO81" s="953"/>
      <c r="TBP81" s="953"/>
      <c r="TBQ81" s="953"/>
      <c r="TBR81" s="953"/>
      <c r="TBS81" s="953"/>
      <c r="TBT81" s="953"/>
      <c r="TBU81" s="953"/>
      <c r="TBV81" s="953"/>
      <c r="TBW81" s="953"/>
      <c r="TBX81" s="953"/>
      <c r="TBY81" s="953"/>
      <c r="TBZ81" s="953"/>
      <c r="TCA81" s="953"/>
      <c r="TCB81" s="953"/>
      <c r="TCC81" s="953"/>
      <c r="TCD81" s="953"/>
      <c r="TCE81" s="953"/>
      <c r="TCF81" s="953"/>
      <c r="TCG81" s="953"/>
      <c r="TCH81" s="953"/>
      <c r="TCI81" s="953"/>
      <c r="TCJ81" s="953"/>
      <c r="TCK81" s="953"/>
      <c r="TCL81" s="953"/>
      <c r="TCM81" s="953"/>
      <c r="TCN81" s="953"/>
      <c r="TCO81" s="953"/>
      <c r="TCP81" s="953"/>
      <c r="TCQ81" s="953"/>
      <c r="TCR81" s="953"/>
      <c r="TCS81" s="953"/>
      <c r="TCT81" s="953"/>
      <c r="TCU81" s="953"/>
      <c r="TCV81" s="953"/>
      <c r="TCW81" s="953"/>
      <c r="TCX81" s="953"/>
      <c r="TCY81" s="953"/>
      <c r="TCZ81" s="953"/>
      <c r="TDA81" s="953"/>
      <c r="TDB81" s="953"/>
      <c r="TDC81" s="953"/>
      <c r="TDD81" s="953"/>
      <c r="TDE81" s="953"/>
      <c r="TDF81" s="953"/>
      <c r="TDG81" s="953"/>
      <c r="TDH81" s="953"/>
      <c r="TDI81" s="953"/>
      <c r="TDJ81" s="953"/>
      <c r="TDK81" s="953"/>
      <c r="TDL81" s="953"/>
      <c r="TDM81" s="953"/>
      <c r="TDN81" s="953"/>
      <c r="TDO81" s="953"/>
      <c r="TDP81" s="953"/>
      <c r="TDQ81" s="953"/>
      <c r="TDR81" s="953"/>
      <c r="TDS81" s="953"/>
      <c r="TDT81" s="953"/>
      <c r="TDU81" s="953"/>
      <c r="TDV81" s="953"/>
      <c r="TDW81" s="953"/>
      <c r="TDX81" s="953"/>
      <c r="TDY81" s="953"/>
      <c r="TDZ81" s="953"/>
      <c r="TEA81" s="953"/>
      <c r="TEB81" s="953"/>
      <c r="TEC81" s="953"/>
      <c r="TED81" s="953"/>
      <c r="TEE81" s="953"/>
      <c r="TEF81" s="953"/>
      <c r="TEG81" s="953"/>
      <c r="TEH81" s="953"/>
      <c r="TEI81" s="953"/>
      <c r="TEJ81" s="953"/>
      <c r="TEK81" s="953"/>
      <c r="TEL81" s="953"/>
      <c r="TEM81" s="953"/>
      <c r="TEN81" s="953"/>
      <c r="TEO81" s="953"/>
      <c r="TEP81" s="953"/>
      <c r="TEQ81" s="953"/>
      <c r="TER81" s="953"/>
      <c r="TES81" s="953"/>
      <c r="TET81" s="953"/>
      <c r="TEU81" s="953"/>
      <c r="TEV81" s="953"/>
      <c r="TEW81" s="953"/>
      <c r="TEX81" s="953"/>
      <c r="TEY81" s="953"/>
      <c r="TEZ81" s="953"/>
      <c r="TFA81" s="953"/>
      <c r="TFB81" s="953"/>
      <c r="TFC81" s="953"/>
      <c r="TFD81" s="953"/>
      <c r="TFE81" s="953"/>
      <c r="TFF81" s="953"/>
      <c r="TFG81" s="953"/>
      <c r="TFH81" s="953"/>
      <c r="TFI81" s="953"/>
      <c r="TFJ81" s="953"/>
      <c r="TFK81" s="953"/>
      <c r="TFL81" s="953"/>
      <c r="TFM81" s="953"/>
      <c r="TFN81" s="953"/>
      <c r="TFO81" s="953"/>
      <c r="TFP81" s="953"/>
      <c r="TFQ81" s="953"/>
      <c r="TFR81" s="953"/>
      <c r="TFS81" s="953"/>
      <c r="TFT81" s="953"/>
      <c r="TFU81" s="953"/>
      <c r="TFV81" s="953"/>
      <c r="TFW81" s="953"/>
      <c r="TFX81" s="953"/>
      <c r="TFY81" s="953"/>
      <c r="TFZ81" s="953"/>
      <c r="TGA81" s="953"/>
      <c r="TGB81" s="953"/>
      <c r="TGC81" s="953"/>
      <c r="TGD81" s="953"/>
      <c r="TGE81" s="953"/>
      <c r="TGF81" s="953"/>
      <c r="TGG81" s="953"/>
      <c r="TGH81" s="953"/>
      <c r="TGI81" s="953"/>
      <c r="TGJ81" s="953"/>
      <c r="TGK81" s="953"/>
      <c r="TGL81" s="953"/>
      <c r="TGM81" s="953"/>
      <c r="TGN81" s="953"/>
      <c r="TGO81" s="953"/>
      <c r="TGP81" s="953"/>
      <c r="TGQ81" s="953"/>
      <c r="TGR81" s="953"/>
      <c r="TGS81" s="953"/>
      <c r="TGT81" s="953"/>
      <c r="TGU81" s="953"/>
      <c r="TGV81" s="953"/>
      <c r="TGW81" s="953"/>
      <c r="TGX81" s="953"/>
      <c r="TGY81" s="953"/>
      <c r="TGZ81" s="953"/>
      <c r="THA81" s="953"/>
      <c r="THB81" s="953"/>
      <c r="THC81" s="953"/>
      <c r="THD81" s="953"/>
      <c r="THE81" s="953"/>
      <c r="THF81" s="953"/>
      <c r="THG81" s="953"/>
      <c r="THH81" s="953"/>
      <c r="THI81" s="953"/>
      <c r="THJ81" s="953"/>
      <c r="THK81" s="953"/>
      <c r="THL81" s="953"/>
      <c r="THM81" s="953"/>
      <c r="THN81" s="953"/>
      <c r="THO81" s="953"/>
      <c r="THP81" s="953"/>
      <c r="THQ81" s="953"/>
      <c r="THR81" s="953"/>
      <c r="THS81" s="953"/>
      <c r="THT81" s="953"/>
      <c r="THU81" s="953"/>
      <c r="THV81" s="953"/>
      <c r="THW81" s="953"/>
      <c r="THX81" s="953"/>
      <c r="THY81" s="953"/>
      <c r="THZ81" s="953"/>
      <c r="TIA81" s="953"/>
      <c r="TIB81" s="953"/>
      <c r="TIC81" s="953"/>
      <c r="TID81" s="953"/>
      <c r="TIE81" s="953"/>
      <c r="TIF81" s="953"/>
      <c r="TIG81" s="953"/>
      <c r="TIH81" s="953"/>
      <c r="TII81" s="953"/>
      <c r="TIJ81" s="953"/>
      <c r="TIK81" s="953"/>
      <c r="TIL81" s="953"/>
      <c r="TIM81" s="953"/>
      <c r="TIN81" s="953"/>
      <c r="TIO81" s="953"/>
      <c r="TIP81" s="953"/>
      <c r="TIQ81" s="953"/>
      <c r="TIR81" s="953"/>
      <c r="TIS81" s="953"/>
      <c r="TIT81" s="953"/>
      <c r="TIU81" s="953"/>
      <c r="TIV81" s="953"/>
      <c r="TIW81" s="953"/>
      <c r="TIX81" s="953"/>
      <c r="TIY81" s="953"/>
      <c r="TIZ81" s="953"/>
      <c r="TJA81" s="953"/>
      <c r="TJB81" s="953"/>
      <c r="TJC81" s="953"/>
      <c r="TJD81" s="953"/>
      <c r="TJE81" s="953"/>
      <c r="TJF81" s="953"/>
      <c r="TJG81" s="953"/>
      <c r="TJH81" s="953"/>
      <c r="TJI81" s="953"/>
      <c r="TJJ81" s="953"/>
      <c r="TJK81" s="953"/>
      <c r="TJL81" s="953"/>
      <c r="TJM81" s="953"/>
      <c r="TJN81" s="953"/>
      <c r="TJO81" s="953"/>
      <c r="TJP81" s="953"/>
      <c r="TJQ81" s="953"/>
      <c r="TJR81" s="953"/>
      <c r="TJS81" s="953"/>
      <c r="TJT81" s="953"/>
      <c r="TJU81" s="953"/>
      <c r="TJV81" s="953"/>
      <c r="TJW81" s="953"/>
      <c r="TJX81" s="953"/>
      <c r="TJY81" s="953"/>
      <c r="TJZ81" s="953"/>
      <c r="TKA81" s="953"/>
      <c r="TKB81" s="953"/>
      <c r="TKC81" s="953"/>
      <c r="TKD81" s="953"/>
      <c r="TKE81" s="953"/>
      <c r="TKF81" s="953"/>
      <c r="TKG81" s="953"/>
      <c r="TKH81" s="953"/>
      <c r="TKI81" s="953"/>
      <c r="TKJ81" s="953"/>
      <c r="TKK81" s="953"/>
      <c r="TKL81" s="953"/>
      <c r="TKM81" s="953"/>
      <c r="TKN81" s="953"/>
      <c r="TKO81" s="953"/>
      <c r="TKP81" s="953"/>
      <c r="TKQ81" s="953"/>
      <c r="TKR81" s="953"/>
      <c r="TKS81" s="953"/>
      <c r="TKT81" s="953"/>
      <c r="TKU81" s="953"/>
      <c r="TKV81" s="953"/>
      <c r="TKW81" s="953"/>
      <c r="TKX81" s="953"/>
      <c r="TKY81" s="953"/>
      <c r="TKZ81" s="953"/>
      <c r="TLA81" s="953"/>
      <c r="TLB81" s="953"/>
      <c r="TLC81" s="953"/>
      <c r="TLD81" s="953"/>
      <c r="TLE81" s="953"/>
      <c r="TLF81" s="953"/>
      <c r="TLG81" s="953"/>
      <c r="TLH81" s="953"/>
      <c r="TLI81" s="953"/>
      <c r="TLJ81" s="953"/>
      <c r="TLK81" s="953"/>
      <c r="TLL81" s="953"/>
      <c r="TLM81" s="953"/>
      <c r="TLN81" s="953"/>
      <c r="TLO81" s="953"/>
      <c r="TLP81" s="953"/>
      <c r="TLQ81" s="953"/>
      <c r="TLR81" s="953"/>
      <c r="TLS81" s="953"/>
      <c r="TLT81" s="953"/>
      <c r="TLU81" s="953"/>
      <c r="TLV81" s="953"/>
      <c r="TLW81" s="953"/>
      <c r="TLX81" s="953"/>
      <c r="TLY81" s="953"/>
      <c r="TLZ81" s="953"/>
      <c r="TMA81" s="953"/>
      <c r="TMB81" s="953"/>
      <c r="TMC81" s="953"/>
      <c r="TMD81" s="953"/>
      <c r="TME81" s="953"/>
      <c r="TMF81" s="953"/>
      <c r="TMG81" s="953"/>
      <c r="TMH81" s="953"/>
      <c r="TMI81" s="953"/>
      <c r="TMJ81" s="953"/>
      <c r="TMK81" s="953"/>
      <c r="TML81" s="953"/>
      <c r="TMM81" s="953"/>
      <c r="TMN81" s="953"/>
      <c r="TMO81" s="953"/>
      <c r="TMP81" s="953"/>
      <c r="TMQ81" s="953"/>
      <c r="TMR81" s="953"/>
      <c r="TMS81" s="953"/>
      <c r="TMT81" s="953"/>
      <c r="TMU81" s="953"/>
      <c r="TMV81" s="953"/>
      <c r="TMW81" s="953"/>
      <c r="TMX81" s="953"/>
      <c r="TMY81" s="953"/>
      <c r="TMZ81" s="953"/>
      <c r="TNA81" s="953"/>
      <c r="TNB81" s="953"/>
      <c r="TNC81" s="953"/>
      <c r="TND81" s="953"/>
      <c r="TNE81" s="953"/>
      <c r="TNF81" s="953"/>
      <c r="TNG81" s="953"/>
      <c r="TNH81" s="953"/>
      <c r="TNI81" s="953"/>
      <c r="TNJ81" s="953"/>
      <c r="TNK81" s="953"/>
      <c r="TNL81" s="953"/>
      <c r="TNM81" s="953"/>
      <c r="TNN81" s="953"/>
      <c r="TNO81" s="953"/>
      <c r="TNP81" s="953"/>
      <c r="TNQ81" s="953"/>
      <c r="TNR81" s="953"/>
      <c r="TNS81" s="953"/>
      <c r="TNT81" s="953"/>
      <c r="TNU81" s="953"/>
      <c r="TNV81" s="953"/>
      <c r="TNW81" s="953"/>
      <c r="TNX81" s="953"/>
      <c r="TNY81" s="953"/>
      <c r="TNZ81" s="953"/>
      <c r="TOA81" s="953"/>
      <c r="TOB81" s="953"/>
      <c r="TOC81" s="953"/>
      <c r="TOD81" s="953"/>
      <c r="TOE81" s="953"/>
      <c r="TOF81" s="953"/>
      <c r="TOG81" s="953"/>
      <c r="TOH81" s="953"/>
      <c r="TOI81" s="953"/>
      <c r="TOJ81" s="953"/>
      <c r="TOK81" s="953"/>
      <c r="TOL81" s="953"/>
      <c r="TOM81" s="953"/>
      <c r="TON81" s="953"/>
      <c r="TOO81" s="953"/>
      <c r="TOP81" s="953"/>
      <c r="TOQ81" s="953"/>
      <c r="TOR81" s="953"/>
      <c r="TOS81" s="953"/>
      <c r="TOT81" s="953"/>
      <c r="TOU81" s="953"/>
      <c r="TOV81" s="953"/>
      <c r="TOW81" s="953"/>
      <c r="TOX81" s="953"/>
      <c r="TOY81" s="953"/>
      <c r="TOZ81" s="953"/>
      <c r="TPA81" s="953"/>
      <c r="TPB81" s="953"/>
      <c r="TPC81" s="953"/>
      <c r="TPD81" s="953"/>
      <c r="TPE81" s="953"/>
      <c r="TPF81" s="953"/>
      <c r="TPG81" s="953"/>
      <c r="TPH81" s="953"/>
      <c r="TPI81" s="953"/>
      <c r="TPJ81" s="953"/>
      <c r="TPK81" s="953"/>
      <c r="TPL81" s="953"/>
      <c r="TPM81" s="953"/>
      <c r="TPN81" s="953"/>
      <c r="TPO81" s="953"/>
      <c r="TPP81" s="953"/>
      <c r="TPQ81" s="953"/>
      <c r="TPR81" s="953"/>
      <c r="TPS81" s="953"/>
      <c r="TPT81" s="953"/>
      <c r="TPU81" s="953"/>
      <c r="TPV81" s="953"/>
      <c r="TPW81" s="953"/>
      <c r="TPX81" s="953"/>
      <c r="TPY81" s="953"/>
      <c r="TPZ81" s="953"/>
      <c r="TQA81" s="953"/>
      <c r="TQB81" s="953"/>
      <c r="TQC81" s="953"/>
      <c r="TQD81" s="953"/>
      <c r="TQE81" s="953"/>
      <c r="TQF81" s="953"/>
      <c r="TQG81" s="953"/>
      <c r="TQH81" s="953"/>
      <c r="TQI81" s="953"/>
      <c r="TQJ81" s="953"/>
      <c r="TQK81" s="953"/>
      <c r="TQL81" s="953"/>
      <c r="TQM81" s="953"/>
      <c r="TQN81" s="953"/>
      <c r="TQO81" s="953"/>
      <c r="TQP81" s="953"/>
      <c r="TQQ81" s="953"/>
      <c r="TQR81" s="953"/>
      <c r="TQS81" s="953"/>
      <c r="TQT81" s="953"/>
      <c r="TQU81" s="953"/>
      <c r="TQV81" s="953"/>
      <c r="TQW81" s="953"/>
      <c r="TQX81" s="953"/>
      <c r="TQY81" s="953"/>
      <c r="TQZ81" s="953"/>
      <c r="TRA81" s="953"/>
      <c r="TRB81" s="953"/>
      <c r="TRC81" s="953"/>
      <c r="TRD81" s="953"/>
      <c r="TRE81" s="953"/>
      <c r="TRF81" s="953"/>
      <c r="TRG81" s="953"/>
      <c r="TRH81" s="953"/>
      <c r="TRI81" s="953"/>
      <c r="TRJ81" s="953"/>
      <c r="TRK81" s="953"/>
      <c r="TRL81" s="953"/>
      <c r="TRM81" s="953"/>
      <c r="TRN81" s="953"/>
      <c r="TRO81" s="953"/>
      <c r="TRP81" s="953"/>
      <c r="TRQ81" s="953"/>
      <c r="TRR81" s="953"/>
      <c r="TRS81" s="953"/>
      <c r="TRT81" s="953"/>
      <c r="TRU81" s="953"/>
      <c r="TRV81" s="953"/>
      <c r="TRW81" s="953"/>
      <c r="TRX81" s="953"/>
      <c r="TRY81" s="953"/>
      <c r="TRZ81" s="953"/>
      <c r="TSA81" s="953"/>
      <c r="TSB81" s="953"/>
      <c r="TSC81" s="953"/>
      <c r="TSD81" s="953"/>
      <c r="TSE81" s="953"/>
      <c r="TSF81" s="953"/>
      <c r="TSG81" s="953"/>
      <c r="TSH81" s="953"/>
      <c r="TSI81" s="953"/>
      <c r="TSJ81" s="953"/>
      <c r="TSK81" s="953"/>
      <c r="TSL81" s="953"/>
      <c r="TSM81" s="953"/>
      <c r="TSN81" s="953"/>
      <c r="TSO81" s="953"/>
      <c r="TSP81" s="953"/>
      <c r="TSQ81" s="953"/>
      <c r="TSR81" s="953"/>
      <c r="TSS81" s="953"/>
      <c r="TST81" s="953"/>
      <c r="TSU81" s="953"/>
      <c r="TSV81" s="953"/>
      <c r="TSW81" s="953"/>
      <c r="TSX81" s="953"/>
      <c r="TSY81" s="953"/>
      <c r="TSZ81" s="953"/>
      <c r="TTA81" s="953"/>
      <c r="TTB81" s="953"/>
      <c r="TTC81" s="953"/>
      <c r="TTD81" s="953"/>
      <c r="TTE81" s="953"/>
      <c r="TTF81" s="953"/>
      <c r="TTG81" s="953"/>
      <c r="TTH81" s="953"/>
      <c r="TTI81" s="953"/>
      <c r="TTJ81" s="953"/>
      <c r="TTK81" s="953"/>
      <c r="TTL81" s="953"/>
      <c r="TTM81" s="953"/>
      <c r="TTN81" s="953"/>
      <c r="TTO81" s="953"/>
      <c r="TTP81" s="953"/>
      <c r="TTQ81" s="953"/>
      <c r="TTR81" s="953"/>
      <c r="TTS81" s="953"/>
      <c r="TTT81" s="953"/>
      <c r="TTU81" s="953"/>
      <c r="TTV81" s="953"/>
      <c r="TTW81" s="953"/>
      <c r="TTX81" s="953"/>
      <c r="TTY81" s="953"/>
      <c r="TTZ81" s="953"/>
      <c r="TUA81" s="953"/>
      <c r="TUB81" s="953"/>
      <c r="TUC81" s="953"/>
      <c r="TUD81" s="953"/>
      <c r="TUE81" s="953"/>
      <c r="TUF81" s="953"/>
      <c r="TUG81" s="953"/>
      <c r="TUH81" s="953"/>
      <c r="TUI81" s="953"/>
      <c r="TUJ81" s="953"/>
      <c r="TUK81" s="953"/>
      <c r="TUL81" s="953"/>
      <c r="TUM81" s="953"/>
      <c r="TUN81" s="953"/>
      <c r="TUO81" s="953"/>
      <c r="TUP81" s="953"/>
      <c r="TUQ81" s="953"/>
      <c r="TUR81" s="953"/>
      <c r="TUS81" s="953"/>
      <c r="TUT81" s="953"/>
      <c r="TUU81" s="953"/>
      <c r="TUV81" s="953"/>
      <c r="TUW81" s="953"/>
      <c r="TUX81" s="953"/>
      <c r="TUY81" s="953"/>
      <c r="TUZ81" s="953"/>
      <c r="TVA81" s="953"/>
      <c r="TVB81" s="953"/>
      <c r="TVC81" s="953"/>
      <c r="TVD81" s="953"/>
      <c r="TVE81" s="953"/>
      <c r="TVF81" s="953"/>
      <c r="TVG81" s="953"/>
      <c r="TVH81" s="953"/>
      <c r="TVI81" s="953"/>
      <c r="TVJ81" s="953"/>
      <c r="TVK81" s="953"/>
      <c r="TVL81" s="953"/>
      <c r="TVM81" s="953"/>
      <c r="TVN81" s="953"/>
      <c r="TVO81" s="953"/>
      <c r="TVP81" s="953"/>
      <c r="TVQ81" s="953"/>
      <c r="TVR81" s="953"/>
      <c r="TVS81" s="953"/>
      <c r="TVT81" s="953"/>
      <c r="TVU81" s="953"/>
      <c r="TVV81" s="953"/>
      <c r="TVW81" s="953"/>
      <c r="TVX81" s="953"/>
      <c r="TVY81" s="953"/>
      <c r="TVZ81" s="953"/>
      <c r="TWA81" s="953"/>
      <c r="TWB81" s="953"/>
      <c r="TWC81" s="953"/>
      <c r="TWD81" s="953"/>
      <c r="TWE81" s="953"/>
      <c r="TWF81" s="953"/>
      <c r="TWG81" s="953"/>
      <c r="TWH81" s="953"/>
      <c r="TWI81" s="953"/>
      <c r="TWJ81" s="953"/>
      <c r="TWK81" s="953"/>
      <c r="TWL81" s="953"/>
      <c r="TWM81" s="953"/>
      <c r="TWN81" s="953"/>
      <c r="TWO81" s="953"/>
      <c r="TWP81" s="953"/>
      <c r="TWQ81" s="953"/>
      <c r="TWR81" s="953"/>
      <c r="TWS81" s="953"/>
      <c r="TWT81" s="953"/>
      <c r="TWU81" s="953"/>
      <c r="TWV81" s="953"/>
      <c r="TWW81" s="953"/>
      <c r="TWX81" s="953"/>
      <c r="TWY81" s="953"/>
      <c r="TWZ81" s="953"/>
      <c r="TXA81" s="953"/>
      <c r="TXB81" s="953"/>
      <c r="TXC81" s="953"/>
      <c r="TXD81" s="953"/>
      <c r="TXE81" s="953"/>
      <c r="TXF81" s="953"/>
      <c r="TXG81" s="953"/>
      <c r="TXH81" s="953"/>
      <c r="TXI81" s="953"/>
      <c r="TXJ81" s="953"/>
      <c r="TXK81" s="953"/>
      <c r="TXL81" s="953"/>
      <c r="TXM81" s="953"/>
      <c r="TXN81" s="953"/>
      <c r="TXO81" s="953"/>
      <c r="TXP81" s="953"/>
      <c r="TXQ81" s="953"/>
      <c r="TXR81" s="953"/>
      <c r="TXS81" s="953"/>
      <c r="TXT81" s="953"/>
      <c r="TXU81" s="953"/>
      <c r="TXV81" s="953"/>
      <c r="TXW81" s="953"/>
      <c r="TXX81" s="953"/>
      <c r="TXY81" s="953"/>
      <c r="TXZ81" s="953"/>
      <c r="TYA81" s="953"/>
      <c r="TYB81" s="953"/>
      <c r="TYC81" s="953"/>
      <c r="TYD81" s="953"/>
      <c r="TYE81" s="953"/>
      <c r="TYF81" s="953"/>
      <c r="TYG81" s="953"/>
      <c r="TYH81" s="953"/>
      <c r="TYI81" s="953"/>
      <c r="TYJ81" s="953"/>
      <c r="TYK81" s="953"/>
      <c r="TYL81" s="953"/>
      <c r="TYM81" s="953"/>
      <c r="TYN81" s="953"/>
      <c r="TYO81" s="953"/>
      <c r="TYP81" s="953"/>
      <c r="TYQ81" s="953"/>
      <c r="TYR81" s="953"/>
      <c r="TYS81" s="953"/>
      <c r="TYT81" s="953"/>
      <c r="TYU81" s="953"/>
      <c r="TYV81" s="953"/>
      <c r="TYW81" s="953"/>
      <c r="TYX81" s="953"/>
      <c r="TYY81" s="953"/>
      <c r="TYZ81" s="953"/>
      <c r="TZA81" s="953"/>
      <c r="TZB81" s="953"/>
      <c r="TZC81" s="953"/>
      <c r="TZD81" s="953"/>
      <c r="TZE81" s="953"/>
      <c r="TZF81" s="953"/>
      <c r="TZG81" s="953"/>
      <c r="TZH81" s="953"/>
      <c r="TZI81" s="953"/>
      <c r="TZJ81" s="953"/>
      <c r="TZK81" s="953"/>
      <c r="TZL81" s="953"/>
      <c r="TZM81" s="953"/>
      <c r="TZN81" s="953"/>
      <c r="TZO81" s="953"/>
      <c r="TZP81" s="953"/>
      <c r="TZQ81" s="953"/>
      <c r="TZR81" s="953"/>
      <c r="TZS81" s="953"/>
      <c r="TZT81" s="953"/>
      <c r="TZU81" s="953"/>
      <c r="TZV81" s="953"/>
      <c r="TZW81" s="953"/>
      <c r="TZX81" s="953"/>
      <c r="TZY81" s="953"/>
      <c r="TZZ81" s="953"/>
      <c r="UAA81" s="953"/>
      <c r="UAB81" s="953"/>
      <c r="UAC81" s="953"/>
      <c r="UAD81" s="953"/>
      <c r="UAE81" s="953"/>
      <c r="UAF81" s="953"/>
      <c r="UAG81" s="953"/>
      <c r="UAH81" s="953"/>
      <c r="UAI81" s="953"/>
      <c r="UAJ81" s="953"/>
      <c r="UAK81" s="953"/>
      <c r="UAL81" s="953"/>
      <c r="UAM81" s="953"/>
      <c r="UAN81" s="953"/>
      <c r="UAO81" s="953"/>
      <c r="UAP81" s="953"/>
      <c r="UAQ81" s="953"/>
      <c r="UAR81" s="953"/>
      <c r="UAS81" s="953"/>
      <c r="UAT81" s="953"/>
      <c r="UAU81" s="953"/>
      <c r="UAV81" s="953"/>
      <c r="UAW81" s="953"/>
      <c r="UAX81" s="953"/>
      <c r="UAY81" s="953"/>
      <c r="UAZ81" s="953"/>
      <c r="UBA81" s="953"/>
      <c r="UBB81" s="953"/>
      <c r="UBC81" s="953"/>
      <c r="UBD81" s="953"/>
      <c r="UBE81" s="953"/>
      <c r="UBF81" s="953"/>
      <c r="UBG81" s="953"/>
      <c r="UBH81" s="953"/>
      <c r="UBI81" s="953"/>
      <c r="UBJ81" s="953"/>
      <c r="UBK81" s="953"/>
      <c r="UBL81" s="953"/>
      <c r="UBM81" s="953"/>
      <c r="UBN81" s="953"/>
      <c r="UBO81" s="953"/>
      <c r="UBP81" s="953"/>
      <c r="UBQ81" s="953"/>
      <c r="UBR81" s="953"/>
      <c r="UBS81" s="953"/>
      <c r="UBT81" s="953"/>
      <c r="UBU81" s="953"/>
      <c r="UBV81" s="953"/>
      <c r="UBW81" s="953"/>
      <c r="UBX81" s="953"/>
      <c r="UBY81" s="953"/>
      <c r="UBZ81" s="953"/>
      <c r="UCA81" s="953"/>
      <c r="UCB81" s="953"/>
      <c r="UCC81" s="953"/>
      <c r="UCD81" s="953"/>
      <c r="UCE81" s="953"/>
      <c r="UCF81" s="953"/>
      <c r="UCG81" s="953"/>
      <c r="UCH81" s="953"/>
      <c r="UCI81" s="953"/>
      <c r="UCJ81" s="953"/>
      <c r="UCK81" s="953"/>
      <c r="UCL81" s="953"/>
      <c r="UCM81" s="953"/>
      <c r="UCN81" s="953"/>
      <c r="UCO81" s="953"/>
      <c r="UCP81" s="953"/>
      <c r="UCQ81" s="953"/>
      <c r="UCR81" s="953"/>
      <c r="UCS81" s="953"/>
      <c r="UCT81" s="953"/>
      <c r="UCU81" s="953"/>
      <c r="UCV81" s="953"/>
      <c r="UCW81" s="953"/>
      <c r="UCX81" s="953"/>
      <c r="UCY81" s="953"/>
      <c r="UCZ81" s="953"/>
      <c r="UDA81" s="953"/>
      <c r="UDB81" s="953"/>
      <c r="UDC81" s="953"/>
      <c r="UDD81" s="953"/>
      <c r="UDE81" s="953"/>
      <c r="UDF81" s="953"/>
      <c r="UDG81" s="953"/>
      <c r="UDH81" s="953"/>
      <c r="UDI81" s="953"/>
      <c r="UDJ81" s="953"/>
      <c r="UDK81" s="953"/>
      <c r="UDL81" s="953"/>
      <c r="UDM81" s="953"/>
      <c r="UDN81" s="953"/>
      <c r="UDO81" s="953"/>
      <c r="UDP81" s="953"/>
      <c r="UDQ81" s="953"/>
      <c r="UDR81" s="953"/>
      <c r="UDS81" s="953"/>
      <c r="UDT81" s="953"/>
      <c r="UDU81" s="953"/>
      <c r="UDV81" s="953"/>
      <c r="UDW81" s="953"/>
      <c r="UDX81" s="953"/>
      <c r="UDY81" s="953"/>
      <c r="UDZ81" s="953"/>
      <c r="UEA81" s="953"/>
      <c r="UEB81" s="953"/>
      <c r="UEC81" s="953"/>
      <c r="UED81" s="953"/>
      <c r="UEE81" s="953"/>
      <c r="UEF81" s="953"/>
      <c r="UEG81" s="953"/>
      <c r="UEH81" s="953"/>
      <c r="UEI81" s="953"/>
      <c r="UEJ81" s="953"/>
      <c r="UEK81" s="953"/>
      <c r="UEL81" s="953"/>
      <c r="UEM81" s="953"/>
      <c r="UEN81" s="953"/>
      <c r="UEO81" s="953"/>
      <c r="UEP81" s="953"/>
      <c r="UEQ81" s="953"/>
      <c r="UER81" s="953"/>
      <c r="UES81" s="953"/>
      <c r="UET81" s="953"/>
      <c r="UEU81" s="953"/>
      <c r="UEV81" s="953"/>
      <c r="UEW81" s="953"/>
      <c r="UEX81" s="953"/>
      <c r="UEY81" s="953"/>
      <c r="UEZ81" s="953"/>
      <c r="UFA81" s="953"/>
      <c r="UFB81" s="953"/>
      <c r="UFC81" s="953"/>
      <c r="UFD81" s="953"/>
      <c r="UFE81" s="953"/>
      <c r="UFF81" s="953"/>
      <c r="UFG81" s="953"/>
      <c r="UFH81" s="953"/>
      <c r="UFI81" s="953"/>
      <c r="UFJ81" s="953"/>
      <c r="UFK81" s="953"/>
      <c r="UFL81" s="953"/>
      <c r="UFM81" s="953"/>
      <c r="UFN81" s="953"/>
      <c r="UFO81" s="953"/>
      <c r="UFP81" s="953"/>
      <c r="UFQ81" s="953"/>
      <c r="UFR81" s="953"/>
      <c r="UFS81" s="953"/>
      <c r="UFT81" s="953"/>
      <c r="UFU81" s="953"/>
      <c r="UFV81" s="953"/>
      <c r="UFW81" s="953"/>
      <c r="UFX81" s="953"/>
      <c r="UFY81" s="953"/>
      <c r="UFZ81" s="953"/>
      <c r="UGA81" s="953"/>
      <c r="UGB81" s="953"/>
      <c r="UGC81" s="953"/>
      <c r="UGD81" s="953"/>
      <c r="UGE81" s="953"/>
      <c r="UGF81" s="953"/>
      <c r="UGG81" s="953"/>
      <c r="UGH81" s="953"/>
      <c r="UGI81" s="953"/>
      <c r="UGJ81" s="953"/>
      <c r="UGK81" s="953"/>
      <c r="UGL81" s="953"/>
      <c r="UGM81" s="953"/>
      <c r="UGN81" s="953"/>
      <c r="UGO81" s="953"/>
      <c r="UGP81" s="953"/>
      <c r="UGQ81" s="953"/>
      <c r="UGR81" s="953"/>
      <c r="UGS81" s="953"/>
      <c r="UGT81" s="953"/>
      <c r="UGU81" s="953"/>
      <c r="UGV81" s="953"/>
      <c r="UGW81" s="953"/>
      <c r="UGX81" s="953"/>
      <c r="UGY81" s="953"/>
      <c r="UGZ81" s="953"/>
      <c r="UHA81" s="953"/>
      <c r="UHB81" s="953"/>
      <c r="UHC81" s="953"/>
      <c r="UHD81" s="953"/>
      <c r="UHE81" s="953"/>
      <c r="UHF81" s="953"/>
      <c r="UHG81" s="953"/>
      <c r="UHH81" s="953"/>
      <c r="UHI81" s="953"/>
      <c r="UHJ81" s="953"/>
      <c r="UHK81" s="953"/>
      <c r="UHL81" s="953"/>
      <c r="UHM81" s="953"/>
      <c r="UHN81" s="953"/>
      <c r="UHO81" s="953"/>
      <c r="UHP81" s="953"/>
      <c r="UHQ81" s="953"/>
      <c r="UHR81" s="953"/>
      <c r="UHS81" s="953"/>
      <c r="UHT81" s="953"/>
      <c r="UHU81" s="953"/>
      <c r="UHV81" s="953"/>
      <c r="UHW81" s="953"/>
      <c r="UHX81" s="953"/>
      <c r="UHY81" s="953"/>
      <c r="UHZ81" s="953"/>
      <c r="UIA81" s="953"/>
      <c r="UIB81" s="953"/>
      <c r="UIC81" s="953"/>
      <c r="UID81" s="953"/>
      <c r="UIE81" s="953"/>
      <c r="UIF81" s="953"/>
      <c r="UIG81" s="953"/>
      <c r="UIH81" s="953"/>
      <c r="UII81" s="953"/>
      <c r="UIJ81" s="953"/>
      <c r="UIK81" s="953"/>
      <c r="UIL81" s="953"/>
      <c r="UIM81" s="953"/>
      <c r="UIN81" s="953"/>
      <c r="UIO81" s="953"/>
      <c r="UIP81" s="953"/>
      <c r="UIQ81" s="953"/>
      <c r="UIR81" s="953"/>
      <c r="UIS81" s="953"/>
      <c r="UIT81" s="953"/>
      <c r="UIU81" s="953"/>
      <c r="UIV81" s="953"/>
      <c r="UIW81" s="953"/>
      <c r="UIX81" s="953"/>
      <c r="UIY81" s="953"/>
      <c r="UIZ81" s="953"/>
      <c r="UJA81" s="953"/>
      <c r="UJB81" s="953"/>
      <c r="UJC81" s="953"/>
      <c r="UJD81" s="953"/>
      <c r="UJE81" s="953"/>
      <c r="UJF81" s="953"/>
      <c r="UJG81" s="953"/>
      <c r="UJH81" s="953"/>
      <c r="UJI81" s="953"/>
      <c r="UJJ81" s="953"/>
      <c r="UJK81" s="953"/>
      <c r="UJL81" s="953"/>
      <c r="UJM81" s="953"/>
      <c r="UJN81" s="953"/>
      <c r="UJO81" s="953"/>
      <c r="UJP81" s="953"/>
      <c r="UJQ81" s="953"/>
      <c r="UJR81" s="953"/>
      <c r="UJS81" s="953"/>
      <c r="UJT81" s="953"/>
      <c r="UJU81" s="953"/>
      <c r="UJV81" s="953"/>
      <c r="UJW81" s="953"/>
      <c r="UJX81" s="953"/>
      <c r="UJY81" s="953"/>
      <c r="UJZ81" s="953"/>
      <c r="UKA81" s="953"/>
      <c r="UKB81" s="953"/>
      <c r="UKC81" s="953"/>
      <c r="UKD81" s="953"/>
      <c r="UKE81" s="953"/>
      <c r="UKF81" s="953"/>
      <c r="UKG81" s="953"/>
      <c r="UKH81" s="953"/>
      <c r="UKI81" s="953"/>
      <c r="UKJ81" s="953"/>
      <c r="UKK81" s="953"/>
      <c r="UKL81" s="953"/>
      <c r="UKM81" s="953"/>
      <c r="UKN81" s="953"/>
      <c r="UKO81" s="953"/>
      <c r="UKP81" s="953"/>
      <c r="UKQ81" s="953"/>
      <c r="UKR81" s="953"/>
      <c r="UKS81" s="953"/>
      <c r="UKT81" s="953"/>
      <c r="UKU81" s="953"/>
      <c r="UKV81" s="953"/>
      <c r="UKW81" s="953"/>
      <c r="UKX81" s="953"/>
      <c r="UKY81" s="953"/>
      <c r="UKZ81" s="953"/>
      <c r="ULA81" s="953"/>
      <c r="ULB81" s="953"/>
      <c r="ULC81" s="953"/>
      <c r="ULD81" s="953"/>
      <c r="ULE81" s="953"/>
      <c r="ULF81" s="953"/>
      <c r="ULG81" s="953"/>
      <c r="ULH81" s="953"/>
      <c r="ULI81" s="953"/>
      <c r="ULJ81" s="953"/>
      <c r="ULK81" s="953"/>
      <c r="ULL81" s="953"/>
      <c r="ULM81" s="953"/>
      <c r="ULN81" s="953"/>
      <c r="ULO81" s="953"/>
      <c r="ULP81" s="953"/>
      <c r="ULQ81" s="953"/>
      <c r="ULR81" s="953"/>
      <c r="ULS81" s="953"/>
      <c r="ULT81" s="953"/>
      <c r="ULU81" s="953"/>
      <c r="ULV81" s="953"/>
      <c r="ULW81" s="953"/>
      <c r="ULX81" s="953"/>
      <c r="ULY81" s="953"/>
      <c r="ULZ81" s="953"/>
      <c r="UMA81" s="953"/>
      <c r="UMB81" s="953"/>
      <c r="UMC81" s="953"/>
      <c r="UMD81" s="953"/>
      <c r="UME81" s="953"/>
      <c r="UMF81" s="953"/>
      <c r="UMG81" s="953"/>
      <c r="UMH81" s="953"/>
      <c r="UMI81" s="953"/>
      <c r="UMJ81" s="953"/>
      <c r="UMK81" s="953"/>
      <c r="UML81" s="953"/>
      <c r="UMM81" s="953"/>
      <c r="UMN81" s="953"/>
      <c r="UMO81" s="953"/>
      <c r="UMP81" s="953"/>
      <c r="UMQ81" s="953"/>
      <c r="UMR81" s="953"/>
      <c r="UMS81" s="953"/>
      <c r="UMT81" s="953"/>
      <c r="UMU81" s="953"/>
      <c r="UMV81" s="953"/>
      <c r="UMW81" s="953"/>
      <c r="UMX81" s="953"/>
      <c r="UMY81" s="953"/>
      <c r="UMZ81" s="953"/>
      <c r="UNA81" s="953"/>
      <c r="UNB81" s="953"/>
      <c r="UNC81" s="953"/>
      <c r="UND81" s="953"/>
      <c r="UNE81" s="953"/>
      <c r="UNF81" s="953"/>
      <c r="UNG81" s="953"/>
      <c r="UNH81" s="953"/>
      <c r="UNI81" s="953"/>
      <c r="UNJ81" s="953"/>
      <c r="UNK81" s="953"/>
      <c r="UNL81" s="953"/>
      <c r="UNM81" s="953"/>
      <c r="UNN81" s="953"/>
      <c r="UNO81" s="953"/>
      <c r="UNP81" s="953"/>
      <c r="UNQ81" s="953"/>
      <c r="UNR81" s="953"/>
      <c r="UNS81" s="953"/>
      <c r="UNT81" s="953"/>
      <c r="UNU81" s="953"/>
      <c r="UNV81" s="953"/>
      <c r="UNW81" s="953"/>
      <c r="UNX81" s="953"/>
      <c r="UNY81" s="953"/>
      <c r="UNZ81" s="953"/>
      <c r="UOA81" s="953"/>
      <c r="UOB81" s="953"/>
      <c r="UOC81" s="953"/>
      <c r="UOD81" s="953"/>
      <c r="UOE81" s="953"/>
      <c r="UOF81" s="953"/>
      <c r="UOG81" s="953"/>
      <c r="UOH81" s="953"/>
      <c r="UOI81" s="953"/>
      <c r="UOJ81" s="953"/>
      <c r="UOK81" s="953"/>
      <c r="UOL81" s="953"/>
      <c r="UOM81" s="953"/>
      <c r="UON81" s="953"/>
      <c r="UOO81" s="953"/>
      <c r="UOP81" s="953"/>
      <c r="UOQ81" s="953"/>
      <c r="UOR81" s="953"/>
      <c r="UOS81" s="953"/>
      <c r="UOT81" s="953"/>
      <c r="UOU81" s="953"/>
      <c r="UOV81" s="953"/>
      <c r="UOW81" s="953"/>
      <c r="UOX81" s="953"/>
      <c r="UOY81" s="953"/>
      <c r="UOZ81" s="953"/>
      <c r="UPA81" s="953"/>
      <c r="UPB81" s="953"/>
      <c r="UPC81" s="953"/>
      <c r="UPD81" s="953"/>
      <c r="UPE81" s="953"/>
      <c r="UPF81" s="953"/>
      <c r="UPG81" s="953"/>
      <c r="UPH81" s="953"/>
      <c r="UPI81" s="953"/>
      <c r="UPJ81" s="953"/>
      <c r="UPK81" s="953"/>
      <c r="UPL81" s="953"/>
      <c r="UPM81" s="953"/>
      <c r="UPN81" s="953"/>
      <c r="UPO81" s="953"/>
      <c r="UPP81" s="953"/>
      <c r="UPQ81" s="953"/>
      <c r="UPR81" s="953"/>
      <c r="UPS81" s="953"/>
      <c r="UPT81" s="953"/>
      <c r="UPU81" s="953"/>
      <c r="UPV81" s="953"/>
      <c r="UPW81" s="953"/>
      <c r="UPX81" s="953"/>
      <c r="UPY81" s="953"/>
      <c r="UPZ81" s="953"/>
      <c r="UQA81" s="953"/>
      <c r="UQB81" s="953"/>
      <c r="UQC81" s="953"/>
      <c r="UQD81" s="953"/>
      <c r="UQE81" s="953"/>
      <c r="UQF81" s="953"/>
      <c r="UQG81" s="953"/>
      <c r="UQH81" s="953"/>
      <c r="UQI81" s="953"/>
      <c r="UQJ81" s="953"/>
      <c r="UQK81" s="953"/>
      <c r="UQL81" s="953"/>
      <c r="UQM81" s="953"/>
      <c r="UQN81" s="953"/>
      <c r="UQO81" s="953"/>
      <c r="UQP81" s="953"/>
      <c r="UQQ81" s="953"/>
      <c r="UQR81" s="953"/>
      <c r="UQS81" s="953"/>
      <c r="UQT81" s="953"/>
      <c r="UQU81" s="953"/>
      <c r="UQV81" s="953"/>
      <c r="UQW81" s="953"/>
      <c r="UQX81" s="953"/>
      <c r="UQY81" s="953"/>
      <c r="UQZ81" s="953"/>
      <c r="URA81" s="953"/>
      <c r="URB81" s="953"/>
      <c r="URC81" s="953"/>
      <c r="URD81" s="953"/>
      <c r="URE81" s="953"/>
      <c r="URF81" s="953"/>
      <c r="URG81" s="953"/>
      <c r="URH81" s="953"/>
      <c r="URI81" s="953"/>
      <c r="URJ81" s="953"/>
      <c r="URK81" s="953"/>
      <c r="URL81" s="953"/>
      <c r="URM81" s="953"/>
      <c r="URN81" s="953"/>
      <c r="URO81" s="953"/>
      <c r="URP81" s="953"/>
      <c r="URQ81" s="953"/>
      <c r="URR81" s="953"/>
      <c r="URS81" s="953"/>
      <c r="URT81" s="953"/>
      <c r="URU81" s="953"/>
      <c r="URV81" s="953"/>
      <c r="URW81" s="953"/>
      <c r="URX81" s="953"/>
      <c r="URY81" s="953"/>
      <c r="URZ81" s="953"/>
      <c r="USA81" s="953"/>
      <c r="USB81" s="953"/>
      <c r="USC81" s="953"/>
      <c r="USD81" s="953"/>
      <c r="USE81" s="953"/>
      <c r="USF81" s="953"/>
      <c r="USG81" s="953"/>
      <c r="USH81" s="953"/>
      <c r="USI81" s="953"/>
      <c r="USJ81" s="953"/>
      <c r="USK81" s="953"/>
      <c r="USL81" s="953"/>
      <c r="USM81" s="953"/>
      <c r="USN81" s="953"/>
      <c r="USO81" s="953"/>
      <c r="USP81" s="953"/>
      <c r="USQ81" s="953"/>
      <c r="USR81" s="953"/>
      <c r="USS81" s="953"/>
      <c r="UST81" s="953"/>
      <c r="USU81" s="953"/>
      <c r="USV81" s="953"/>
      <c r="USW81" s="953"/>
      <c r="USX81" s="953"/>
      <c r="USY81" s="953"/>
      <c r="USZ81" s="953"/>
      <c r="UTA81" s="953"/>
      <c r="UTB81" s="953"/>
      <c r="UTC81" s="953"/>
      <c r="UTD81" s="953"/>
      <c r="UTE81" s="953"/>
      <c r="UTF81" s="953"/>
      <c r="UTG81" s="953"/>
      <c r="UTH81" s="953"/>
      <c r="UTI81" s="953"/>
      <c r="UTJ81" s="953"/>
      <c r="UTK81" s="953"/>
      <c r="UTL81" s="953"/>
      <c r="UTM81" s="953"/>
      <c r="UTN81" s="953"/>
      <c r="UTO81" s="953"/>
      <c r="UTP81" s="953"/>
      <c r="UTQ81" s="953"/>
      <c r="UTR81" s="953"/>
      <c r="UTS81" s="953"/>
      <c r="UTT81" s="953"/>
      <c r="UTU81" s="953"/>
      <c r="UTV81" s="953"/>
      <c r="UTW81" s="953"/>
      <c r="UTX81" s="953"/>
      <c r="UTY81" s="953"/>
      <c r="UTZ81" s="953"/>
      <c r="UUA81" s="953"/>
      <c r="UUB81" s="953"/>
      <c r="UUC81" s="953"/>
      <c r="UUD81" s="953"/>
      <c r="UUE81" s="953"/>
      <c r="UUF81" s="953"/>
      <c r="UUG81" s="953"/>
      <c r="UUH81" s="953"/>
      <c r="UUI81" s="953"/>
      <c r="UUJ81" s="953"/>
      <c r="UUK81" s="953"/>
      <c r="UUL81" s="953"/>
      <c r="UUM81" s="953"/>
      <c r="UUN81" s="953"/>
      <c r="UUO81" s="953"/>
      <c r="UUP81" s="953"/>
      <c r="UUQ81" s="953"/>
      <c r="UUR81" s="953"/>
      <c r="UUS81" s="953"/>
      <c r="UUT81" s="953"/>
      <c r="UUU81" s="953"/>
      <c r="UUV81" s="953"/>
      <c r="UUW81" s="953"/>
      <c r="UUX81" s="953"/>
      <c r="UUY81" s="953"/>
      <c r="UUZ81" s="953"/>
      <c r="UVA81" s="953"/>
      <c r="UVB81" s="953"/>
      <c r="UVC81" s="953"/>
      <c r="UVD81" s="953"/>
      <c r="UVE81" s="953"/>
      <c r="UVF81" s="953"/>
      <c r="UVG81" s="953"/>
      <c r="UVH81" s="953"/>
      <c r="UVI81" s="953"/>
      <c r="UVJ81" s="953"/>
      <c r="UVK81" s="953"/>
      <c r="UVL81" s="953"/>
      <c r="UVM81" s="953"/>
      <c r="UVN81" s="953"/>
      <c r="UVO81" s="953"/>
      <c r="UVP81" s="953"/>
      <c r="UVQ81" s="953"/>
      <c r="UVR81" s="953"/>
      <c r="UVS81" s="953"/>
      <c r="UVT81" s="953"/>
      <c r="UVU81" s="953"/>
      <c r="UVV81" s="953"/>
      <c r="UVW81" s="953"/>
      <c r="UVX81" s="953"/>
      <c r="UVY81" s="953"/>
      <c r="UVZ81" s="953"/>
      <c r="UWA81" s="953"/>
      <c r="UWB81" s="953"/>
      <c r="UWC81" s="953"/>
      <c r="UWD81" s="953"/>
      <c r="UWE81" s="953"/>
      <c r="UWF81" s="953"/>
      <c r="UWG81" s="953"/>
      <c r="UWH81" s="953"/>
      <c r="UWI81" s="953"/>
      <c r="UWJ81" s="953"/>
      <c r="UWK81" s="953"/>
      <c r="UWL81" s="953"/>
      <c r="UWM81" s="953"/>
      <c r="UWN81" s="953"/>
      <c r="UWO81" s="953"/>
      <c r="UWP81" s="953"/>
      <c r="UWQ81" s="953"/>
      <c r="UWR81" s="953"/>
      <c r="UWS81" s="953"/>
      <c r="UWT81" s="953"/>
      <c r="UWU81" s="953"/>
      <c r="UWV81" s="953"/>
      <c r="UWW81" s="953"/>
      <c r="UWX81" s="953"/>
      <c r="UWY81" s="953"/>
      <c r="UWZ81" s="953"/>
      <c r="UXA81" s="953"/>
      <c r="UXB81" s="953"/>
      <c r="UXC81" s="953"/>
      <c r="UXD81" s="953"/>
      <c r="UXE81" s="953"/>
      <c r="UXF81" s="953"/>
      <c r="UXG81" s="953"/>
      <c r="UXH81" s="953"/>
      <c r="UXI81" s="953"/>
      <c r="UXJ81" s="953"/>
      <c r="UXK81" s="953"/>
      <c r="UXL81" s="953"/>
      <c r="UXM81" s="953"/>
      <c r="UXN81" s="953"/>
      <c r="UXO81" s="953"/>
      <c r="UXP81" s="953"/>
      <c r="UXQ81" s="953"/>
      <c r="UXR81" s="953"/>
      <c r="UXS81" s="953"/>
      <c r="UXT81" s="953"/>
      <c r="UXU81" s="953"/>
      <c r="UXV81" s="953"/>
      <c r="UXW81" s="953"/>
      <c r="UXX81" s="953"/>
      <c r="UXY81" s="953"/>
      <c r="UXZ81" s="953"/>
      <c r="UYA81" s="953"/>
      <c r="UYB81" s="953"/>
      <c r="UYC81" s="953"/>
      <c r="UYD81" s="953"/>
      <c r="UYE81" s="953"/>
      <c r="UYF81" s="953"/>
      <c r="UYG81" s="953"/>
      <c r="UYH81" s="953"/>
      <c r="UYI81" s="953"/>
      <c r="UYJ81" s="953"/>
      <c r="UYK81" s="953"/>
      <c r="UYL81" s="953"/>
      <c r="UYM81" s="953"/>
      <c r="UYN81" s="953"/>
      <c r="UYO81" s="953"/>
      <c r="UYP81" s="953"/>
      <c r="UYQ81" s="953"/>
      <c r="UYR81" s="953"/>
      <c r="UYS81" s="953"/>
      <c r="UYT81" s="953"/>
      <c r="UYU81" s="953"/>
      <c r="UYV81" s="953"/>
      <c r="UYW81" s="953"/>
      <c r="UYX81" s="953"/>
      <c r="UYY81" s="953"/>
      <c r="UYZ81" s="953"/>
      <c r="UZA81" s="953"/>
      <c r="UZB81" s="953"/>
      <c r="UZC81" s="953"/>
      <c r="UZD81" s="953"/>
      <c r="UZE81" s="953"/>
      <c r="UZF81" s="953"/>
      <c r="UZG81" s="953"/>
      <c r="UZH81" s="953"/>
      <c r="UZI81" s="953"/>
      <c r="UZJ81" s="953"/>
      <c r="UZK81" s="953"/>
      <c r="UZL81" s="953"/>
      <c r="UZM81" s="953"/>
      <c r="UZN81" s="953"/>
      <c r="UZO81" s="953"/>
      <c r="UZP81" s="953"/>
      <c r="UZQ81" s="953"/>
      <c r="UZR81" s="953"/>
      <c r="UZS81" s="953"/>
      <c r="UZT81" s="953"/>
      <c r="UZU81" s="953"/>
      <c r="UZV81" s="953"/>
      <c r="UZW81" s="953"/>
      <c r="UZX81" s="953"/>
      <c r="UZY81" s="953"/>
      <c r="UZZ81" s="953"/>
      <c r="VAA81" s="953"/>
      <c r="VAB81" s="953"/>
      <c r="VAC81" s="953"/>
      <c r="VAD81" s="953"/>
      <c r="VAE81" s="953"/>
      <c r="VAF81" s="953"/>
      <c r="VAG81" s="953"/>
      <c r="VAH81" s="953"/>
      <c r="VAI81" s="953"/>
      <c r="VAJ81" s="953"/>
      <c r="VAK81" s="953"/>
      <c r="VAL81" s="953"/>
      <c r="VAM81" s="953"/>
      <c r="VAN81" s="953"/>
      <c r="VAO81" s="953"/>
      <c r="VAP81" s="953"/>
      <c r="VAQ81" s="953"/>
      <c r="VAR81" s="953"/>
      <c r="VAS81" s="953"/>
      <c r="VAT81" s="953"/>
      <c r="VAU81" s="953"/>
      <c r="VAV81" s="953"/>
      <c r="VAW81" s="953"/>
      <c r="VAX81" s="953"/>
      <c r="VAY81" s="953"/>
      <c r="VAZ81" s="953"/>
      <c r="VBA81" s="953"/>
      <c r="VBB81" s="953"/>
      <c r="VBC81" s="953"/>
      <c r="VBD81" s="953"/>
      <c r="VBE81" s="953"/>
      <c r="VBF81" s="953"/>
      <c r="VBG81" s="953"/>
      <c r="VBH81" s="953"/>
      <c r="VBI81" s="953"/>
      <c r="VBJ81" s="953"/>
      <c r="VBK81" s="953"/>
      <c r="VBL81" s="953"/>
      <c r="VBM81" s="953"/>
      <c r="VBN81" s="953"/>
      <c r="VBO81" s="953"/>
      <c r="VBP81" s="953"/>
      <c r="VBQ81" s="953"/>
      <c r="VBR81" s="953"/>
      <c r="VBS81" s="953"/>
      <c r="VBT81" s="953"/>
      <c r="VBU81" s="953"/>
      <c r="VBV81" s="953"/>
      <c r="VBW81" s="953"/>
      <c r="VBX81" s="953"/>
      <c r="VBY81" s="953"/>
      <c r="VBZ81" s="953"/>
      <c r="VCA81" s="953"/>
      <c r="VCB81" s="953"/>
      <c r="VCC81" s="953"/>
      <c r="VCD81" s="953"/>
      <c r="VCE81" s="953"/>
      <c r="VCF81" s="953"/>
      <c r="VCG81" s="953"/>
      <c r="VCH81" s="953"/>
      <c r="VCI81" s="953"/>
      <c r="VCJ81" s="953"/>
      <c r="VCK81" s="953"/>
      <c r="VCL81" s="953"/>
      <c r="VCM81" s="953"/>
      <c r="VCN81" s="953"/>
      <c r="VCO81" s="953"/>
      <c r="VCP81" s="953"/>
      <c r="VCQ81" s="953"/>
      <c r="VCR81" s="953"/>
      <c r="VCS81" s="953"/>
      <c r="VCT81" s="953"/>
      <c r="VCU81" s="953"/>
      <c r="VCV81" s="953"/>
      <c r="VCW81" s="953"/>
      <c r="VCX81" s="953"/>
      <c r="VCY81" s="953"/>
      <c r="VCZ81" s="953"/>
      <c r="VDA81" s="953"/>
      <c r="VDB81" s="953"/>
      <c r="VDC81" s="953"/>
      <c r="VDD81" s="953"/>
      <c r="VDE81" s="953"/>
      <c r="VDF81" s="953"/>
      <c r="VDG81" s="953"/>
      <c r="VDH81" s="953"/>
      <c r="VDI81" s="953"/>
      <c r="VDJ81" s="953"/>
      <c r="VDK81" s="953"/>
      <c r="VDL81" s="953"/>
      <c r="VDM81" s="953"/>
      <c r="VDN81" s="953"/>
      <c r="VDO81" s="953"/>
      <c r="VDP81" s="953"/>
      <c r="VDQ81" s="953"/>
      <c r="VDR81" s="953"/>
      <c r="VDS81" s="953"/>
      <c r="VDT81" s="953"/>
      <c r="VDU81" s="953"/>
      <c r="VDV81" s="953"/>
      <c r="VDW81" s="953"/>
      <c r="VDX81" s="953"/>
      <c r="VDY81" s="953"/>
      <c r="VDZ81" s="953"/>
      <c r="VEA81" s="953"/>
      <c r="VEB81" s="953"/>
      <c r="VEC81" s="953"/>
      <c r="VED81" s="953"/>
      <c r="VEE81" s="953"/>
      <c r="VEF81" s="953"/>
      <c r="VEG81" s="953"/>
      <c r="VEH81" s="953"/>
      <c r="VEI81" s="953"/>
      <c r="VEJ81" s="953"/>
      <c r="VEK81" s="953"/>
      <c r="VEL81" s="953"/>
      <c r="VEM81" s="953"/>
      <c r="VEN81" s="953"/>
      <c r="VEO81" s="953"/>
      <c r="VEP81" s="953"/>
      <c r="VEQ81" s="953"/>
      <c r="VER81" s="953"/>
      <c r="VES81" s="953"/>
      <c r="VET81" s="953"/>
      <c r="VEU81" s="953"/>
      <c r="VEV81" s="953"/>
      <c r="VEW81" s="953"/>
      <c r="VEX81" s="953"/>
      <c r="VEY81" s="953"/>
      <c r="VEZ81" s="953"/>
      <c r="VFA81" s="953"/>
      <c r="VFB81" s="953"/>
      <c r="VFC81" s="953"/>
      <c r="VFD81" s="953"/>
      <c r="VFE81" s="953"/>
      <c r="VFF81" s="953"/>
      <c r="VFG81" s="953"/>
      <c r="VFH81" s="953"/>
      <c r="VFI81" s="953"/>
      <c r="VFJ81" s="953"/>
      <c r="VFK81" s="953"/>
      <c r="VFL81" s="953"/>
      <c r="VFM81" s="953"/>
      <c r="VFN81" s="953"/>
      <c r="VFO81" s="953"/>
      <c r="VFP81" s="953"/>
      <c r="VFQ81" s="953"/>
      <c r="VFR81" s="953"/>
      <c r="VFS81" s="953"/>
      <c r="VFT81" s="953"/>
      <c r="VFU81" s="953"/>
      <c r="VFV81" s="953"/>
      <c r="VFW81" s="953"/>
      <c r="VFX81" s="953"/>
      <c r="VFY81" s="953"/>
      <c r="VFZ81" s="953"/>
      <c r="VGA81" s="953"/>
      <c r="VGB81" s="953"/>
      <c r="VGC81" s="953"/>
      <c r="VGD81" s="953"/>
      <c r="VGE81" s="953"/>
      <c r="VGF81" s="953"/>
      <c r="VGG81" s="953"/>
      <c r="VGH81" s="953"/>
      <c r="VGI81" s="953"/>
      <c r="VGJ81" s="953"/>
      <c r="VGK81" s="953"/>
      <c r="VGL81" s="953"/>
      <c r="VGM81" s="953"/>
      <c r="VGN81" s="953"/>
      <c r="VGO81" s="953"/>
      <c r="VGP81" s="953"/>
      <c r="VGQ81" s="953"/>
      <c r="VGR81" s="953"/>
      <c r="VGS81" s="953"/>
      <c r="VGT81" s="953"/>
      <c r="VGU81" s="953"/>
      <c r="VGV81" s="953"/>
      <c r="VGW81" s="953"/>
      <c r="VGX81" s="953"/>
      <c r="VGY81" s="953"/>
      <c r="VGZ81" s="953"/>
      <c r="VHA81" s="953"/>
      <c r="VHB81" s="953"/>
      <c r="VHC81" s="953"/>
      <c r="VHD81" s="953"/>
      <c r="VHE81" s="953"/>
      <c r="VHF81" s="953"/>
      <c r="VHG81" s="953"/>
      <c r="VHH81" s="953"/>
      <c r="VHI81" s="953"/>
      <c r="VHJ81" s="953"/>
      <c r="VHK81" s="953"/>
      <c r="VHL81" s="953"/>
      <c r="VHM81" s="953"/>
      <c r="VHN81" s="953"/>
      <c r="VHO81" s="953"/>
      <c r="VHP81" s="953"/>
      <c r="VHQ81" s="953"/>
      <c r="VHR81" s="953"/>
      <c r="VHS81" s="953"/>
      <c r="VHT81" s="953"/>
      <c r="VHU81" s="953"/>
      <c r="VHV81" s="953"/>
      <c r="VHW81" s="953"/>
      <c r="VHX81" s="953"/>
      <c r="VHY81" s="953"/>
      <c r="VHZ81" s="953"/>
      <c r="VIA81" s="953"/>
      <c r="VIB81" s="953"/>
      <c r="VIC81" s="953"/>
      <c r="VID81" s="953"/>
      <c r="VIE81" s="953"/>
      <c r="VIF81" s="953"/>
      <c r="VIG81" s="953"/>
      <c r="VIH81" s="953"/>
      <c r="VII81" s="953"/>
      <c r="VIJ81" s="953"/>
      <c r="VIK81" s="953"/>
      <c r="VIL81" s="953"/>
      <c r="VIM81" s="953"/>
      <c r="VIN81" s="953"/>
      <c r="VIO81" s="953"/>
      <c r="VIP81" s="953"/>
      <c r="VIQ81" s="953"/>
      <c r="VIR81" s="953"/>
      <c r="VIS81" s="953"/>
      <c r="VIT81" s="953"/>
      <c r="VIU81" s="953"/>
      <c r="VIV81" s="953"/>
      <c r="VIW81" s="953"/>
      <c r="VIX81" s="953"/>
      <c r="VIY81" s="953"/>
      <c r="VIZ81" s="953"/>
      <c r="VJA81" s="953"/>
      <c r="VJB81" s="953"/>
      <c r="VJC81" s="953"/>
      <c r="VJD81" s="953"/>
      <c r="VJE81" s="953"/>
      <c r="VJF81" s="953"/>
      <c r="VJG81" s="953"/>
      <c r="VJH81" s="953"/>
      <c r="VJI81" s="953"/>
      <c r="VJJ81" s="953"/>
      <c r="VJK81" s="953"/>
      <c r="VJL81" s="953"/>
      <c r="VJM81" s="953"/>
      <c r="VJN81" s="953"/>
      <c r="VJO81" s="953"/>
      <c r="VJP81" s="953"/>
      <c r="VJQ81" s="953"/>
      <c r="VJR81" s="953"/>
      <c r="VJS81" s="953"/>
      <c r="VJT81" s="953"/>
      <c r="VJU81" s="953"/>
      <c r="VJV81" s="953"/>
      <c r="VJW81" s="953"/>
      <c r="VJX81" s="953"/>
      <c r="VJY81" s="953"/>
      <c r="VJZ81" s="953"/>
      <c r="VKA81" s="953"/>
      <c r="VKB81" s="953"/>
      <c r="VKC81" s="953"/>
      <c r="VKD81" s="953"/>
      <c r="VKE81" s="953"/>
      <c r="VKF81" s="953"/>
      <c r="VKG81" s="953"/>
      <c r="VKH81" s="953"/>
      <c r="VKI81" s="953"/>
      <c r="VKJ81" s="953"/>
      <c r="VKK81" s="953"/>
      <c r="VKL81" s="953"/>
      <c r="VKM81" s="953"/>
      <c r="VKN81" s="953"/>
      <c r="VKO81" s="953"/>
      <c r="VKP81" s="953"/>
      <c r="VKQ81" s="953"/>
      <c r="VKR81" s="953"/>
      <c r="VKS81" s="953"/>
      <c r="VKT81" s="953"/>
      <c r="VKU81" s="953"/>
      <c r="VKV81" s="953"/>
      <c r="VKW81" s="953"/>
      <c r="VKX81" s="953"/>
      <c r="VKY81" s="953"/>
      <c r="VKZ81" s="953"/>
      <c r="VLA81" s="953"/>
      <c r="VLB81" s="953"/>
      <c r="VLC81" s="953"/>
      <c r="VLD81" s="953"/>
      <c r="VLE81" s="953"/>
      <c r="VLF81" s="953"/>
      <c r="VLG81" s="953"/>
      <c r="VLH81" s="953"/>
      <c r="VLI81" s="953"/>
      <c r="VLJ81" s="953"/>
      <c r="VLK81" s="953"/>
      <c r="VLL81" s="953"/>
      <c r="VLM81" s="953"/>
      <c r="VLN81" s="953"/>
      <c r="VLO81" s="953"/>
      <c r="VLP81" s="953"/>
      <c r="VLQ81" s="953"/>
      <c r="VLR81" s="953"/>
      <c r="VLS81" s="953"/>
      <c r="VLT81" s="953"/>
      <c r="VLU81" s="953"/>
      <c r="VLV81" s="953"/>
      <c r="VLW81" s="953"/>
      <c r="VLX81" s="953"/>
      <c r="VLY81" s="953"/>
      <c r="VLZ81" s="953"/>
      <c r="VMA81" s="953"/>
      <c r="VMB81" s="953"/>
      <c r="VMC81" s="953"/>
      <c r="VMD81" s="953"/>
      <c r="VME81" s="953"/>
      <c r="VMF81" s="953"/>
      <c r="VMG81" s="953"/>
      <c r="VMH81" s="953"/>
      <c r="VMI81" s="953"/>
      <c r="VMJ81" s="953"/>
      <c r="VMK81" s="953"/>
      <c r="VML81" s="953"/>
      <c r="VMM81" s="953"/>
      <c r="VMN81" s="953"/>
      <c r="VMO81" s="953"/>
      <c r="VMP81" s="953"/>
      <c r="VMQ81" s="953"/>
      <c r="VMR81" s="953"/>
      <c r="VMS81" s="953"/>
      <c r="VMT81" s="953"/>
      <c r="VMU81" s="953"/>
      <c r="VMV81" s="953"/>
      <c r="VMW81" s="953"/>
      <c r="VMX81" s="953"/>
      <c r="VMY81" s="953"/>
      <c r="VMZ81" s="953"/>
      <c r="VNA81" s="953"/>
      <c r="VNB81" s="953"/>
      <c r="VNC81" s="953"/>
      <c r="VND81" s="953"/>
      <c r="VNE81" s="953"/>
      <c r="VNF81" s="953"/>
      <c r="VNG81" s="953"/>
      <c r="VNH81" s="953"/>
      <c r="VNI81" s="953"/>
      <c r="VNJ81" s="953"/>
      <c r="VNK81" s="953"/>
      <c r="VNL81" s="953"/>
      <c r="VNM81" s="953"/>
      <c r="VNN81" s="953"/>
      <c r="VNO81" s="953"/>
      <c r="VNP81" s="953"/>
      <c r="VNQ81" s="953"/>
      <c r="VNR81" s="953"/>
      <c r="VNS81" s="953"/>
      <c r="VNT81" s="953"/>
      <c r="VNU81" s="953"/>
      <c r="VNV81" s="953"/>
      <c r="VNW81" s="953"/>
      <c r="VNX81" s="953"/>
      <c r="VNY81" s="953"/>
      <c r="VNZ81" s="953"/>
      <c r="VOA81" s="953"/>
      <c r="VOB81" s="953"/>
      <c r="VOC81" s="953"/>
      <c r="VOD81" s="953"/>
      <c r="VOE81" s="953"/>
      <c r="VOF81" s="953"/>
      <c r="VOG81" s="953"/>
      <c r="VOH81" s="953"/>
      <c r="VOI81" s="953"/>
      <c r="VOJ81" s="953"/>
      <c r="VOK81" s="953"/>
      <c r="VOL81" s="953"/>
      <c r="VOM81" s="953"/>
      <c r="VON81" s="953"/>
      <c r="VOO81" s="953"/>
      <c r="VOP81" s="953"/>
      <c r="VOQ81" s="953"/>
      <c r="VOR81" s="953"/>
      <c r="VOS81" s="953"/>
      <c r="VOT81" s="953"/>
      <c r="VOU81" s="953"/>
      <c r="VOV81" s="953"/>
      <c r="VOW81" s="953"/>
      <c r="VOX81" s="953"/>
      <c r="VOY81" s="953"/>
      <c r="VOZ81" s="953"/>
      <c r="VPA81" s="953"/>
      <c r="VPB81" s="953"/>
      <c r="VPC81" s="953"/>
      <c r="VPD81" s="953"/>
      <c r="VPE81" s="953"/>
      <c r="VPF81" s="953"/>
      <c r="VPG81" s="953"/>
      <c r="VPH81" s="953"/>
      <c r="VPI81" s="953"/>
      <c r="VPJ81" s="953"/>
      <c r="VPK81" s="953"/>
      <c r="VPL81" s="953"/>
      <c r="VPM81" s="953"/>
      <c r="VPN81" s="953"/>
      <c r="VPO81" s="953"/>
      <c r="VPP81" s="953"/>
      <c r="VPQ81" s="953"/>
      <c r="VPR81" s="953"/>
      <c r="VPS81" s="953"/>
      <c r="VPT81" s="953"/>
      <c r="VPU81" s="953"/>
      <c r="VPV81" s="953"/>
      <c r="VPW81" s="953"/>
      <c r="VPX81" s="953"/>
      <c r="VPY81" s="953"/>
      <c r="VPZ81" s="953"/>
      <c r="VQA81" s="953"/>
      <c r="VQB81" s="953"/>
      <c r="VQC81" s="953"/>
      <c r="VQD81" s="953"/>
      <c r="VQE81" s="953"/>
      <c r="VQF81" s="953"/>
      <c r="VQG81" s="953"/>
      <c r="VQH81" s="953"/>
      <c r="VQI81" s="953"/>
      <c r="VQJ81" s="953"/>
      <c r="VQK81" s="953"/>
      <c r="VQL81" s="953"/>
      <c r="VQM81" s="953"/>
      <c r="VQN81" s="953"/>
      <c r="VQO81" s="953"/>
      <c r="VQP81" s="953"/>
      <c r="VQQ81" s="953"/>
      <c r="VQR81" s="953"/>
      <c r="VQS81" s="953"/>
      <c r="VQT81" s="953"/>
      <c r="VQU81" s="953"/>
      <c r="VQV81" s="953"/>
      <c r="VQW81" s="953"/>
      <c r="VQX81" s="953"/>
      <c r="VQY81" s="953"/>
      <c r="VQZ81" s="953"/>
      <c r="VRA81" s="953"/>
      <c r="VRB81" s="953"/>
      <c r="VRC81" s="953"/>
      <c r="VRD81" s="953"/>
      <c r="VRE81" s="953"/>
      <c r="VRF81" s="953"/>
      <c r="VRG81" s="953"/>
      <c r="VRH81" s="953"/>
      <c r="VRI81" s="953"/>
      <c r="VRJ81" s="953"/>
      <c r="VRK81" s="953"/>
      <c r="VRL81" s="953"/>
      <c r="VRM81" s="953"/>
      <c r="VRN81" s="953"/>
      <c r="VRO81" s="953"/>
      <c r="VRP81" s="953"/>
      <c r="VRQ81" s="953"/>
      <c r="VRR81" s="953"/>
      <c r="VRS81" s="953"/>
      <c r="VRT81" s="953"/>
      <c r="VRU81" s="953"/>
      <c r="VRV81" s="953"/>
      <c r="VRW81" s="953"/>
      <c r="VRX81" s="953"/>
      <c r="VRY81" s="953"/>
      <c r="VRZ81" s="953"/>
      <c r="VSA81" s="953"/>
      <c r="VSB81" s="953"/>
      <c r="VSC81" s="953"/>
      <c r="VSD81" s="953"/>
      <c r="VSE81" s="953"/>
      <c r="VSF81" s="953"/>
      <c r="VSG81" s="953"/>
      <c r="VSH81" s="953"/>
      <c r="VSI81" s="953"/>
      <c r="VSJ81" s="953"/>
      <c r="VSK81" s="953"/>
      <c r="VSL81" s="953"/>
      <c r="VSM81" s="953"/>
      <c r="VSN81" s="953"/>
      <c r="VSO81" s="953"/>
      <c r="VSP81" s="953"/>
      <c r="VSQ81" s="953"/>
      <c r="VSR81" s="953"/>
      <c r="VSS81" s="953"/>
      <c r="VST81" s="953"/>
      <c r="VSU81" s="953"/>
      <c r="VSV81" s="953"/>
      <c r="VSW81" s="953"/>
      <c r="VSX81" s="953"/>
      <c r="VSY81" s="953"/>
      <c r="VSZ81" s="953"/>
      <c r="VTA81" s="953"/>
      <c r="VTB81" s="953"/>
      <c r="VTC81" s="953"/>
      <c r="VTD81" s="953"/>
      <c r="VTE81" s="953"/>
      <c r="VTF81" s="953"/>
      <c r="VTG81" s="953"/>
      <c r="VTH81" s="953"/>
      <c r="VTI81" s="953"/>
      <c r="VTJ81" s="953"/>
      <c r="VTK81" s="953"/>
      <c r="VTL81" s="953"/>
      <c r="VTM81" s="953"/>
      <c r="VTN81" s="953"/>
      <c r="VTO81" s="953"/>
      <c r="VTP81" s="953"/>
      <c r="VTQ81" s="953"/>
      <c r="VTR81" s="953"/>
      <c r="VTS81" s="953"/>
      <c r="VTT81" s="953"/>
      <c r="VTU81" s="953"/>
      <c r="VTV81" s="953"/>
      <c r="VTW81" s="953"/>
      <c r="VTX81" s="953"/>
      <c r="VTY81" s="953"/>
      <c r="VTZ81" s="953"/>
      <c r="VUA81" s="953"/>
      <c r="VUB81" s="953"/>
      <c r="VUC81" s="953"/>
      <c r="VUD81" s="953"/>
      <c r="VUE81" s="953"/>
      <c r="VUF81" s="953"/>
      <c r="VUG81" s="953"/>
      <c r="VUH81" s="953"/>
      <c r="VUI81" s="953"/>
      <c r="VUJ81" s="953"/>
      <c r="VUK81" s="953"/>
      <c r="VUL81" s="953"/>
      <c r="VUM81" s="953"/>
      <c r="VUN81" s="953"/>
      <c r="VUO81" s="953"/>
      <c r="VUP81" s="953"/>
      <c r="VUQ81" s="953"/>
      <c r="VUR81" s="953"/>
      <c r="VUS81" s="953"/>
      <c r="VUT81" s="953"/>
      <c r="VUU81" s="953"/>
      <c r="VUV81" s="953"/>
      <c r="VUW81" s="953"/>
      <c r="VUX81" s="953"/>
      <c r="VUY81" s="953"/>
      <c r="VUZ81" s="953"/>
      <c r="VVA81" s="953"/>
      <c r="VVB81" s="953"/>
      <c r="VVC81" s="953"/>
      <c r="VVD81" s="953"/>
      <c r="VVE81" s="953"/>
      <c r="VVF81" s="953"/>
      <c r="VVG81" s="953"/>
      <c r="VVH81" s="953"/>
      <c r="VVI81" s="953"/>
      <c r="VVJ81" s="953"/>
      <c r="VVK81" s="953"/>
      <c r="VVL81" s="953"/>
      <c r="VVM81" s="953"/>
      <c r="VVN81" s="953"/>
      <c r="VVO81" s="953"/>
      <c r="VVP81" s="953"/>
      <c r="VVQ81" s="953"/>
      <c r="VVR81" s="953"/>
      <c r="VVS81" s="953"/>
      <c r="VVT81" s="953"/>
      <c r="VVU81" s="953"/>
      <c r="VVV81" s="953"/>
      <c r="VVW81" s="953"/>
      <c r="VVX81" s="953"/>
      <c r="VVY81" s="953"/>
      <c r="VVZ81" s="953"/>
      <c r="VWA81" s="953"/>
      <c r="VWB81" s="953"/>
      <c r="VWC81" s="953"/>
      <c r="VWD81" s="953"/>
      <c r="VWE81" s="953"/>
      <c r="VWF81" s="953"/>
      <c r="VWG81" s="953"/>
      <c r="VWH81" s="953"/>
      <c r="VWI81" s="953"/>
      <c r="VWJ81" s="953"/>
      <c r="VWK81" s="953"/>
      <c r="VWL81" s="953"/>
      <c r="VWM81" s="953"/>
      <c r="VWN81" s="953"/>
      <c r="VWO81" s="953"/>
      <c r="VWP81" s="953"/>
      <c r="VWQ81" s="953"/>
      <c r="VWR81" s="953"/>
      <c r="VWS81" s="953"/>
      <c r="VWT81" s="953"/>
      <c r="VWU81" s="953"/>
      <c r="VWV81" s="953"/>
      <c r="VWW81" s="953"/>
      <c r="VWX81" s="953"/>
      <c r="VWY81" s="953"/>
      <c r="VWZ81" s="953"/>
      <c r="VXA81" s="953"/>
      <c r="VXB81" s="953"/>
      <c r="VXC81" s="953"/>
      <c r="VXD81" s="953"/>
      <c r="VXE81" s="953"/>
      <c r="VXF81" s="953"/>
      <c r="VXG81" s="953"/>
      <c r="VXH81" s="953"/>
      <c r="VXI81" s="953"/>
      <c r="VXJ81" s="953"/>
      <c r="VXK81" s="953"/>
      <c r="VXL81" s="953"/>
      <c r="VXM81" s="953"/>
      <c r="VXN81" s="953"/>
      <c r="VXO81" s="953"/>
      <c r="VXP81" s="953"/>
      <c r="VXQ81" s="953"/>
      <c r="VXR81" s="953"/>
      <c r="VXS81" s="953"/>
      <c r="VXT81" s="953"/>
      <c r="VXU81" s="953"/>
      <c r="VXV81" s="953"/>
      <c r="VXW81" s="953"/>
      <c r="VXX81" s="953"/>
      <c r="VXY81" s="953"/>
      <c r="VXZ81" s="953"/>
      <c r="VYA81" s="953"/>
      <c r="VYB81" s="953"/>
      <c r="VYC81" s="953"/>
      <c r="VYD81" s="953"/>
      <c r="VYE81" s="953"/>
      <c r="VYF81" s="953"/>
      <c r="VYG81" s="953"/>
      <c r="VYH81" s="953"/>
      <c r="VYI81" s="953"/>
      <c r="VYJ81" s="953"/>
      <c r="VYK81" s="953"/>
      <c r="VYL81" s="953"/>
      <c r="VYM81" s="953"/>
      <c r="VYN81" s="953"/>
      <c r="VYO81" s="953"/>
      <c r="VYP81" s="953"/>
      <c r="VYQ81" s="953"/>
      <c r="VYR81" s="953"/>
      <c r="VYS81" s="953"/>
      <c r="VYT81" s="953"/>
      <c r="VYU81" s="953"/>
      <c r="VYV81" s="953"/>
      <c r="VYW81" s="953"/>
      <c r="VYX81" s="953"/>
      <c r="VYY81" s="953"/>
      <c r="VYZ81" s="953"/>
      <c r="VZA81" s="953"/>
      <c r="VZB81" s="953"/>
      <c r="VZC81" s="953"/>
      <c r="VZD81" s="953"/>
      <c r="VZE81" s="953"/>
      <c r="VZF81" s="953"/>
      <c r="VZG81" s="953"/>
      <c r="VZH81" s="953"/>
      <c r="VZI81" s="953"/>
      <c r="VZJ81" s="953"/>
      <c r="VZK81" s="953"/>
      <c r="VZL81" s="953"/>
      <c r="VZM81" s="953"/>
      <c r="VZN81" s="953"/>
      <c r="VZO81" s="953"/>
      <c r="VZP81" s="953"/>
      <c r="VZQ81" s="953"/>
      <c r="VZR81" s="953"/>
      <c r="VZS81" s="953"/>
      <c r="VZT81" s="953"/>
      <c r="VZU81" s="953"/>
      <c r="VZV81" s="953"/>
      <c r="VZW81" s="953"/>
      <c r="VZX81" s="953"/>
      <c r="VZY81" s="953"/>
      <c r="VZZ81" s="953"/>
      <c r="WAA81" s="953"/>
      <c r="WAB81" s="953"/>
      <c r="WAC81" s="953"/>
      <c r="WAD81" s="953"/>
      <c r="WAE81" s="953"/>
      <c r="WAF81" s="953"/>
      <c r="WAG81" s="953"/>
      <c r="WAH81" s="953"/>
      <c r="WAI81" s="953"/>
      <c r="WAJ81" s="953"/>
      <c r="WAK81" s="953"/>
      <c r="WAL81" s="953"/>
      <c r="WAM81" s="953"/>
      <c r="WAN81" s="953"/>
      <c r="WAO81" s="953"/>
      <c r="WAP81" s="953"/>
      <c r="WAQ81" s="953"/>
      <c r="WAR81" s="953"/>
      <c r="WAS81" s="953"/>
      <c r="WAT81" s="953"/>
      <c r="WAU81" s="953"/>
      <c r="WAV81" s="953"/>
      <c r="WAW81" s="953"/>
      <c r="WAX81" s="953"/>
      <c r="WAY81" s="953"/>
      <c r="WAZ81" s="953"/>
      <c r="WBA81" s="953"/>
      <c r="WBB81" s="953"/>
      <c r="WBC81" s="953"/>
      <c r="WBD81" s="953"/>
      <c r="WBE81" s="953"/>
      <c r="WBF81" s="953"/>
      <c r="WBG81" s="953"/>
      <c r="WBH81" s="953"/>
      <c r="WBI81" s="953"/>
      <c r="WBJ81" s="953"/>
      <c r="WBK81" s="953"/>
      <c r="WBL81" s="953"/>
      <c r="WBM81" s="953"/>
      <c r="WBN81" s="953"/>
      <c r="WBO81" s="953"/>
      <c r="WBP81" s="953"/>
      <c r="WBQ81" s="953"/>
      <c r="WBR81" s="953"/>
      <c r="WBS81" s="953"/>
      <c r="WBT81" s="953"/>
      <c r="WBU81" s="953"/>
      <c r="WBV81" s="953"/>
      <c r="WBW81" s="953"/>
      <c r="WBX81" s="953"/>
      <c r="WBY81" s="953"/>
      <c r="WBZ81" s="953"/>
      <c r="WCA81" s="953"/>
      <c r="WCB81" s="953"/>
      <c r="WCC81" s="953"/>
      <c r="WCD81" s="953"/>
      <c r="WCE81" s="953"/>
      <c r="WCF81" s="953"/>
      <c r="WCG81" s="953"/>
      <c r="WCH81" s="953"/>
      <c r="WCI81" s="953"/>
      <c r="WCJ81" s="953"/>
      <c r="WCK81" s="953"/>
      <c r="WCL81" s="953"/>
      <c r="WCM81" s="953"/>
      <c r="WCN81" s="953"/>
      <c r="WCO81" s="953"/>
      <c r="WCP81" s="953"/>
      <c r="WCQ81" s="953"/>
      <c r="WCR81" s="953"/>
      <c r="WCS81" s="953"/>
      <c r="WCT81" s="953"/>
      <c r="WCU81" s="953"/>
      <c r="WCV81" s="953"/>
      <c r="WCW81" s="953"/>
      <c r="WCX81" s="953"/>
      <c r="WCY81" s="953"/>
      <c r="WCZ81" s="953"/>
      <c r="WDA81" s="953"/>
      <c r="WDB81" s="953"/>
      <c r="WDC81" s="953"/>
      <c r="WDD81" s="953"/>
      <c r="WDE81" s="953"/>
      <c r="WDF81" s="953"/>
      <c r="WDG81" s="953"/>
      <c r="WDH81" s="953"/>
      <c r="WDI81" s="953"/>
      <c r="WDJ81" s="953"/>
      <c r="WDK81" s="953"/>
      <c r="WDL81" s="953"/>
      <c r="WDM81" s="953"/>
      <c r="WDN81" s="953"/>
      <c r="WDO81" s="953"/>
      <c r="WDP81" s="953"/>
      <c r="WDQ81" s="953"/>
      <c r="WDR81" s="953"/>
      <c r="WDS81" s="953"/>
      <c r="WDT81" s="953"/>
      <c r="WDU81" s="953"/>
      <c r="WDV81" s="953"/>
      <c r="WDW81" s="953"/>
      <c r="WDX81" s="953"/>
      <c r="WDY81" s="953"/>
      <c r="WDZ81" s="953"/>
      <c r="WEA81" s="953"/>
      <c r="WEB81" s="953"/>
      <c r="WEC81" s="953"/>
      <c r="WED81" s="953"/>
      <c r="WEE81" s="953"/>
      <c r="WEF81" s="953"/>
      <c r="WEG81" s="953"/>
      <c r="WEH81" s="953"/>
      <c r="WEI81" s="953"/>
      <c r="WEJ81" s="953"/>
      <c r="WEK81" s="953"/>
      <c r="WEL81" s="953"/>
      <c r="WEM81" s="953"/>
      <c r="WEN81" s="953"/>
      <c r="WEO81" s="953"/>
      <c r="WEP81" s="953"/>
      <c r="WEQ81" s="953"/>
      <c r="WER81" s="953"/>
      <c r="WES81" s="953"/>
      <c r="WET81" s="953"/>
      <c r="WEU81" s="953"/>
      <c r="WEV81" s="953"/>
      <c r="WEW81" s="953"/>
      <c r="WEX81" s="953"/>
      <c r="WEY81" s="953"/>
      <c r="WEZ81" s="953"/>
      <c r="WFA81" s="953"/>
      <c r="WFB81" s="953"/>
      <c r="WFC81" s="953"/>
      <c r="WFD81" s="953"/>
      <c r="WFE81" s="953"/>
      <c r="WFF81" s="953"/>
      <c r="WFG81" s="953"/>
      <c r="WFH81" s="953"/>
      <c r="WFI81" s="953"/>
      <c r="WFJ81" s="953"/>
      <c r="WFK81" s="953"/>
      <c r="WFL81" s="953"/>
      <c r="WFM81" s="953"/>
      <c r="WFN81" s="953"/>
      <c r="WFO81" s="953"/>
      <c r="WFP81" s="953"/>
      <c r="WFQ81" s="953"/>
      <c r="WFR81" s="953"/>
      <c r="WFS81" s="953"/>
      <c r="WFT81" s="953"/>
      <c r="WFU81" s="953"/>
      <c r="WFV81" s="953"/>
      <c r="WFW81" s="953"/>
      <c r="WFX81" s="953"/>
      <c r="WFY81" s="953"/>
      <c r="WFZ81" s="953"/>
      <c r="WGA81" s="953"/>
      <c r="WGB81" s="953"/>
      <c r="WGC81" s="953"/>
      <c r="WGD81" s="953"/>
      <c r="WGE81" s="953"/>
      <c r="WGF81" s="953"/>
      <c r="WGG81" s="953"/>
      <c r="WGH81" s="953"/>
      <c r="WGI81" s="953"/>
      <c r="WGJ81" s="953"/>
      <c r="WGK81" s="953"/>
      <c r="WGL81" s="953"/>
      <c r="WGM81" s="953"/>
      <c r="WGN81" s="953"/>
      <c r="WGO81" s="953"/>
      <c r="WGP81" s="953"/>
      <c r="WGQ81" s="953"/>
      <c r="WGR81" s="953"/>
      <c r="WGS81" s="953"/>
      <c r="WGT81" s="953"/>
      <c r="WGU81" s="953"/>
      <c r="WGV81" s="953"/>
      <c r="WGW81" s="953"/>
      <c r="WGX81" s="953"/>
      <c r="WGY81" s="953"/>
      <c r="WGZ81" s="953"/>
      <c r="WHA81" s="953"/>
      <c r="WHB81" s="953"/>
      <c r="WHC81" s="953"/>
      <c r="WHD81" s="953"/>
      <c r="WHE81" s="953"/>
      <c r="WHF81" s="953"/>
      <c r="WHG81" s="953"/>
      <c r="WHH81" s="953"/>
      <c r="WHI81" s="953"/>
      <c r="WHJ81" s="953"/>
      <c r="WHK81" s="953"/>
      <c r="WHL81" s="953"/>
      <c r="WHM81" s="953"/>
      <c r="WHN81" s="953"/>
      <c r="WHO81" s="953"/>
      <c r="WHP81" s="953"/>
      <c r="WHQ81" s="953"/>
      <c r="WHR81" s="953"/>
      <c r="WHS81" s="953"/>
      <c r="WHT81" s="953"/>
      <c r="WHU81" s="953"/>
      <c r="WHV81" s="953"/>
      <c r="WHW81" s="953"/>
      <c r="WHX81" s="953"/>
      <c r="WHY81" s="953"/>
      <c r="WHZ81" s="953"/>
      <c r="WIA81" s="953"/>
      <c r="WIB81" s="953"/>
      <c r="WIC81" s="953"/>
      <c r="WID81" s="953"/>
      <c r="WIE81" s="953"/>
      <c r="WIF81" s="953"/>
      <c r="WIG81" s="953"/>
      <c r="WIH81" s="953"/>
      <c r="WII81" s="953"/>
      <c r="WIJ81" s="953"/>
      <c r="WIK81" s="953"/>
      <c r="WIL81" s="953"/>
      <c r="WIM81" s="953"/>
      <c r="WIN81" s="953"/>
      <c r="WIO81" s="953"/>
      <c r="WIP81" s="953"/>
      <c r="WIQ81" s="953"/>
      <c r="WIR81" s="953"/>
      <c r="WIS81" s="953"/>
      <c r="WIT81" s="953"/>
      <c r="WIU81" s="953"/>
      <c r="WIV81" s="953"/>
      <c r="WIW81" s="953"/>
      <c r="WIX81" s="953"/>
      <c r="WIY81" s="953"/>
      <c r="WIZ81" s="953"/>
      <c r="WJA81" s="953"/>
      <c r="WJB81" s="953"/>
      <c r="WJC81" s="953"/>
      <c r="WJD81" s="953"/>
      <c r="WJE81" s="953"/>
      <c r="WJF81" s="953"/>
      <c r="WJG81" s="953"/>
      <c r="WJH81" s="953"/>
      <c r="WJI81" s="953"/>
      <c r="WJJ81" s="953"/>
      <c r="WJK81" s="953"/>
      <c r="WJL81" s="953"/>
      <c r="WJM81" s="953"/>
      <c r="WJN81" s="953"/>
      <c r="WJO81" s="953"/>
      <c r="WJP81" s="953"/>
      <c r="WJQ81" s="953"/>
      <c r="WJR81" s="953"/>
      <c r="WJS81" s="953"/>
      <c r="WJT81" s="953"/>
      <c r="WJU81" s="953"/>
      <c r="WJV81" s="953"/>
      <c r="WJW81" s="953"/>
      <c r="WJX81" s="953"/>
      <c r="WJY81" s="953"/>
      <c r="WJZ81" s="953"/>
      <c r="WKA81" s="953"/>
      <c r="WKB81" s="953"/>
      <c r="WKC81" s="953"/>
      <c r="WKD81" s="953"/>
      <c r="WKE81" s="953"/>
      <c r="WKF81" s="953"/>
      <c r="WKG81" s="953"/>
      <c r="WKH81" s="953"/>
      <c r="WKI81" s="953"/>
      <c r="WKJ81" s="953"/>
      <c r="WKK81" s="953"/>
      <c r="WKL81" s="953"/>
      <c r="WKM81" s="953"/>
      <c r="WKN81" s="953"/>
      <c r="WKO81" s="953"/>
      <c r="WKP81" s="953"/>
      <c r="WKQ81" s="953"/>
      <c r="WKR81" s="953"/>
      <c r="WKS81" s="953"/>
      <c r="WKT81" s="953"/>
      <c r="WKU81" s="953"/>
      <c r="WKV81" s="953"/>
      <c r="WKW81" s="953"/>
      <c r="WKX81" s="953"/>
      <c r="WKY81" s="953"/>
      <c r="WKZ81" s="953"/>
      <c r="WLA81" s="953"/>
      <c r="WLB81" s="953"/>
      <c r="WLC81" s="953"/>
      <c r="WLD81" s="953"/>
      <c r="WLE81" s="953"/>
      <c r="WLF81" s="953"/>
      <c r="WLG81" s="953"/>
      <c r="WLH81" s="953"/>
      <c r="WLI81" s="953"/>
      <c r="WLJ81" s="953"/>
      <c r="WLK81" s="953"/>
      <c r="WLL81" s="953"/>
      <c r="WLM81" s="953"/>
      <c r="WLN81" s="953"/>
      <c r="WLO81" s="953"/>
      <c r="WLP81" s="953"/>
      <c r="WLQ81" s="953"/>
      <c r="WLR81" s="953"/>
      <c r="WLS81" s="953"/>
      <c r="WLT81" s="953"/>
      <c r="WLU81" s="953"/>
      <c r="WLV81" s="953"/>
      <c r="WLW81" s="953"/>
      <c r="WLX81" s="953"/>
      <c r="WLY81" s="953"/>
      <c r="WLZ81" s="953"/>
      <c r="WMA81" s="953"/>
      <c r="WMB81" s="953"/>
      <c r="WMC81" s="953"/>
      <c r="WMD81" s="953"/>
      <c r="WME81" s="953"/>
      <c r="WMF81" s="953"/>
      <c r="WMG81" s="953"/>
      <c r="WMH81" s="953"/>
      <c r="WMI81" s="953"/>
      <c r="WMJ81" s="953"/>
      <c r="WMK81" s="953"/>
      <c r="WML81" s="953"/>
      <c r="WMM81" s="953"/>
      <c r="WMN81" s="953"/>
      <c r="WMO81" s="953"/>
      <c r="WMP81" s="953"/>
      <c r="WMQ81" s="953"/>
      <c r="WMR81" s="953"/>
      <c r="WMS81" s="953"/>
      <c r="WMT81" s="953"/>
      <c r="WMU81" s="953"/>
      <c r="WMV81" s="953"/>
      <c r="WMW81" s="953"/>
      <c r="WMX81" s="953"/>
      <c r="WMY81" s="953"/>
      <c r="WMZ81" s="953"/>
      <c r="WNA81" s="953"/>
      <c r="WNB81" s="953"/>
      <c r="WNC81" s="953"/>
      <c r="WND81" s="953"/>
      <c r="WNE81" s="953"/>
      <c r="WNF81" s="953"/>
      <c r="WNG81" s="953"/>
      <c r="WNH81" s="953"/>
      <c r="WNI81" s="953"/>
      <c r="WNJ81" s="953"/>
      <c r="WNK81" s="953"/>
      <c r="WNL81" s="953"/>
      <c r="WNM81" s="953"/>
      <c r="WNN81" s="953"/>
      <c r="WNO81" s="953"/>
      <c r="WNP81" s="953"/>
      <c r="WNQ81" s="953"/>
      <c r="WNR81" s="953"/>
      <c r="WNS81" s="953"/>
      <c r="WNT81" s="953"/>
      <c r="WNU81" s="953"/>
      <c r="WNV81" s="953"/>
      <c r="WNW81" s="953"/>
      <c r="WNX81" s="953"/>
      <c r="WNY81" s="953"/>
      <c r="WNZ81" s="953"/>
      <c r="WOA81" s="953"/>
      <c r="WOB81" s="953"/>
      <c r="WOC81" s="953"/>
      <c r="WOD81" s="953"/>
      <c r="WOE81" s="953"/>
      <c r="WOF81" s="953"/>
      <c r="WOG81" s="953"/>
      <c r="WOH81" s="953"/>
      <c r="WOI81" s="953"/>
      <c r="WOJ81" s="953"/>
      <c r="WOK81" s="953"/>
      <c r="WOL81" s="953"/>
      <c r="WOM81" s="953"/>
      <c r="WON81" s="953"/>
      <c r="WOO81" s="953"/>
      <c r="WOP81" s="953"/>
      <c r="WOQ81" s="953"/>
      <c r="WOR81" s="953"/>
      <c r="WOS81" s="953"/>
      <c r="WOT81" s="953"/>
      <c r="WOU81" s="953"/>
      <c r="WOV81" s="953"/>
      <c r="WOW81" s="953"/>
      <c r="WOX81" s="953"/>
      <c r="WOY81" s="953"/>
      <c r="WOZ81" s="953"/>
      <c r="WPA81" s="953"/>
      <c r="WPB81" s="953"/>
      <c r="WPC81" s="953"/>
      <c r="WPD81" s="953"/>
      <c r="WPE81" s="953"/>
      <c r="WPF81" s="953"/>
      <c r="WPG81" s="953"/>
      <c r="WPH81" s="953"/>
      <c r="WPI81" s="953"/>
      <c r="WPJ81" s="953"/>
      <c r="WPK81" s="953"/>
      <c r="WPL81" s="953"/>
      <c r="WPM81" s="953"/>
      <c r="WPN81" s="953"/>
      <c r="WPO81" s="953"/>
      <c r="WPP81" s="953"/>
      <c r="WPQ81" s="953"/>
      <c r="WPR81" s="953"/>
      <c r="WPS81" s="953"/>
      <c r="WPT81" s="953"/>
      <c r="WPU81" s="953"/>
      <c r="WPV81" s="953"/>
      <c r="WPW81" s="953"/>
      <c r="WPX81" s="953"/>
      <c r="WPY81" s="953"/>
      <c r="WPZ81" s="953"/>
      <c r="WQA81" s="953"/>
      <c r="WQB81" s="953"/>
      <c r="WQC81" s="953"/>
      <c r="WQD81" s="953"/>
      <c r="WQE81" s="953"/>
      <c r="WQF81" s="953"/>
      <c r="WQG81" s="953"/>
      <c r="WQH81" s="953"/>
      <c r="WQI81" s="953"/>
      <c r="WQJ81" s="953"/>
      <c r="WQK81" s="953"/>
      <c r="WQL81" s="953"/>
      <c r="WQM81" s="953"/>
      <c r="WQN81" s="953"/>
      <c r="WQO81" s="953"/>
      <c r="WQP81" s="953"/>
      <c r="WQQ81" s="953"/>
      <c r="WQR81" s="953"/>
      <c r="WQS81" s="953"/>
      <c r="WQT81" s="953"/>
      <c r="WQU81" s="953"/>
      <c r="WQV81" s="953"/>
      <c r="WQW81" s="953"/>
      <c r="WQX81" s="953"/>
      <c r="WQY81" s="953"/>
      <c r="WQZ81" s="953"/>
      <c r="WRA81" s="953"/>
      <c r="WRB81" s="953"/>
      <c r="WRC81" s="953"/>
      <c r="WRD81" s="953"/>
      <c r="WRE81" s="953"/>
      <c r="WRF81" s="953"/>
      <c r="WRG81" s="953"/>
      <c r="WRH81" s="953"/>
      <c r="WRI81" s="953"/>
      <c r="WRJ81" s="953"/>
      <c r="WRK81" s="953"/>
      <c r="WRL81" s="953"/>
      <c r="WRM81" s="953"/>
      <c r="WRN81" s="953"/>
      <c r="WRO81" s="953"/>
      <c r="WRP81" s="953"/>
      <c r="WRQ81" s="953"/>
      <c r="WRR81" s="953"/>
      <c r="WRS81" s="953"/>
      <c r="WRT81" s="953"/>
      <c r="WRU81" s="953"/>
      <c r="WRV81" s="953"/>
      <c r="WRW81" s="953"/>
      <c r="WRX81" s="953"/>
      <c r="WRY81" s="953"/>
      <c r="WRZ81" s="953"/>
      <c r="WSA81" s="953"/>
      <c r="WSB81" s="953"/>
      <c r="WSC81" s="953"/>
      <c r="WSD81" s="953"/>
      <c r="WSE81" s="953"/>
      <c r="WSF81" s="953"/>
      <c r="WSG81" s="953"/>
      <c r="WSH81" s="953"/>
      <c r="WSI81" s="953"/>
      <c r="WSJ81" s="953"/>
      <c r="WSK81" s="953"/>
      <c r="WSL81" s="953"/>
      <c r="WSM81" s="953"/>
      <c r="WSN81" s="953"/>
      <c r="WSO81" s="953"/>
      <c r="WSP81" s="953"/>
      <c r="WSQ81" s="953"/>
      <c r="WSR81" s="953"/>
      <c r="WSS81" s="953"/>
      <c r="WST81" s="953"/>
      <c r="WSU81" s="953"/>
      <c r="WSV81" s="953"/>
      <c r="WSW81" s="953"/>
      <c r="WSX81" s="953"/>
      <c r="WSY81" s="953"/>
      <c r="WSZ81" s="953"/>
      <c r="WTA81" s="953"/>
      <c r="WTB81" s="953"/>
      <c r="WTC81" s="953"/>
      <c r="WTD81" s="953"/>
      <c r="WTE81" s="953"/>
      <c r="WTF81" s="953"/>
      <c r="WTG81" s="953"/>
      <c r="WTH81" s="953"/>
      <c r="WTI81" s="953"/>
      <c r="WTJ81" s="953"/>
      <c r="WTK81" s="953"/>
      <c r="WTL81" s="953"/>
      <c r="WTM81" s="953"/>
      <c r="WTN81" s="953"/>
      <c r="WTO81" s="953"/>
      <c r="WTP81" s="953"/>
      <c r="WTQ81" s="953"/>
      <c r="WTR81" s="953"/>
      <c r="WTS81" s="953"/>
      <c r="WTT81" s="953"/>
      <c r="WTU81" s="953"/>
      <c r="WTV81" s="953"/>
      <c r="WTW81" s="953"/>
      <c r="WTX81" s="953"/>
      <c r="WTY81" s="953"/>
      <c r="WTZ81" s="953"/>
      <c r="WUA81" s="953"/>
      <c r="WUB81" s="953"/>
      <c r="WUC81" s="953"/>
      <c r="WUD81" s="953"/>
      <c r="WUE81" s="953"/>
      <c r="WUF81" s="953"/>
      <c r="WUG81" s="953"/>
      <c r="WUH81" s="953"/>
      <c r="WUI81" s="953"/>
      <c r="WUJ81" s="953"/>
      <c r="WUK81" s="953"/>
      <c r="WUL81" s="953"/>
      <c r="WUM81" s="953"/>
      <c r="WUN81" s="953"/>
      <c r="WUO81" s="953"/>
      <c r="WUP81" s="953"/>
      <c r="WUQ81" s="953"/>
      <c r="WUR81" s="953"/>
      <c r="WUS81" s="953"/>
      <c r="WUT81" s="953"/>
      <c r="WUU81" s="953"/>
      <c r="WUV81" s="953"/>
      <c r="WUW81" s="953"/>
      <c r="WUX81" s="953"/>
      <c r="WUY81" s="953"/>
      <c r="WUZ81" s="953"/>
      <c r="WVA81" s="953"/>
      <c r="WVB81" s="953"/>
      <c r="WVC81" s="953"/>
      <c r="WVD81" s="953"/>
      <c r="WVE81" s="953"/>
      <c r="WVF81" s="953"/>
      <c r="WVG81" s="953"/>
      <c r="WVH81" s="953"/>
      <c r="WVI81" s="953"/>
      <c r="WVJ81" s="953"/>
      <c r="WVK81" s="953"/>
      <c r="WVL81" s="953"/>
      <c r="WVM81" s="953"/>
      <c r="WVN81" s="953"/>
      <c r="WVO81" s="953"/>
      <c r="WVP81" s="953"/>
      <c r="WVQ81" s="953"/>
      <c r="WVR81" s="953"/>
      <c r="WVS81" s="953"/>
      <c r="WVT81" s="953"/>
      <c r="WVU81" s="953"/>
      <c r="WVV81" s="953"/>
      <c r="WVW81" s="953"/>
      <c r="WVX81" s="953"/>
      <c r="WVY81" s="953"/>
      <c r="WVZ81" s="953"/>
      <c r="WWA81" s="953"/>
      <c r="WWB81" s="953"/>
      <c r="WWC81" s="953"/>
      <c r="WWD81" s="953"/>
      <c r="WWE81" s="953"/>
      <c r="WWF81" s="953"/>
      <c r="WWG81" s="953"/>
      <c r="WWH81" s="953"/>
      <c r="WWI81" s="953"/>
      <c r="WWJ81" s="953"/>
      <c r="WWK81" s="953"/>
      <c r="WWL81" s="953"/>
      <c r="WWM81" s="953"/>
      <c r="WWN81" s="953"/>
      <c r="WWO81" s="953"/>
      <c r="WWP81" s="953"/>
      <c r="WWQ81" s="953"/>
      <c r="WWR81" s="953"/>
      <c r="WWS81" s="953"/>
      <c r="WWT81" s="953"/>
      <c r="WWU81" s="953"/>
      <c r="WWV81" s="953"/>
      <c r="WWW81" s="953"/>
      <c r="WWX81" s="953"/>
      <c r="WWY81" s="953"/>
      <c r="WWZ81" s="953"/>
      <c r="WXA81" s="953"/>
      <c r="WXB81" s="953"/>
      <c r="WXC81" s="953"/>
      <c r="WXD81" s="953"/>
      <c r="WXE81" s="953"/>
      <c r="WXF81" s="953"/>
      <c r="WXG81" s="953"/>
      <c r="WXH81" s="953"/>
      <c r="WXI81" s="953"/>
      <c r="WXJ81" s="953"/>
      <c r="WXK81" s="953"/>
      <c r="WXL81" s="953"/>
      <c r="WXM81" s="953"/>
      <c r="WXN81" s="953"/>
      <c r="WXO81" s="953"/>
      <c r="WXP81" s="953"/>
      <c r="WXQ81" s="953"/>
      <c r="WXR81" s="953"/>
      <c r="WXS81" s="953"/>
      <c r="WXT81" s="953"/>
      <c r="WXU81" s="953"/>
      <c r="WXV81" s="953"/>
      <c r="WXW81" s="953"/>
      <c r="WXX81" s="953"/>
      <c r="WXY81" s="953"/>
      <c r="WXZ81" s="953"/>
      <c r="WYA81" s="953"/>
      <c r="WYB81" s="953"/>
      <c r="WYC81" s="953"/>
      <c r="WYD81" s="953"/>
      <c r="WYE81" s="953"/>
      <c r="WYF81" s="953"/>
      <c r="WYG81" s="953"/>
      <c r="WYH81" s="953"/>
      <c r="WYI81" s="953"/>
      <c r="WYJ81" s="953"/>
      <c r="WYK81" s="953"/>
      <c r="WYL81" s="953"/>
      <c r="WYM81" s="953"/>
      <c r="WYN81" s="953"/>
      <c r="WYO81" s="953"/>
      <c r="WYP81" s="953"/>
      <c r="WYQ81" s="953"/>
      <c r="WYR81" s="953"/>
      <c r="WYS81" s="953"/>
      <c r="WYT81" s="953"/>
      <c r="WYU81" s="953"/>
      <c r="WYV81" s="953"/>
      <c r="WYW81" s="953"/>
      <c r="WYX81" s="953"/>
      <c r="WYY81" s="953"/>
      <c r="WYZ81" s="953"/>
      <c r="WZA81" s="953"/>
      <c r="WZB81" s="953"/>
      <c r="WZC81" s="953"/>
      <c r="WZD81" s="953"/>
      <c r="WZE81" s="953"/>
      <c r="WZF81" s="953"/>
      <c r="WZG81" s="953"/>
      <c r="WZH81" s="953"/>
      <c r="WZI81" s="953"/>
      <c r="WZJ81" s="953"/>
      <c r="WZK81" s="953"/>
      <c r="WZL81" s="953"/>
      <c r="WZM81" s="953"/>
      <c r="WZN81" s="953"/>
      <c r="WZO81" s="953"/>
      <c r="WZP81" s="953"/>
      <c r="WZQ81" s="953"/>
      <c r="WZR81" s="953"/>
      <c r="WZS81" s="953"/>
      <c r="WZT81" s="953"/>
      <c r="WZU81" s="953"/>
      <c r="WZV81" s="953"/>
      <c r="WZW81" s="953"/>
      <c r="WZX81" s="953"/>
      <c r="WZY81" s="953"/>
      <c r="WZZ81" s="953"/>
      <c r="XAA81" s="953"/>
      <c r="XAB81" s="953"/>
      <c r="XAC81" s="953"/>
      <c r="XAD81" s="953"/>
      <c r="XAE81" s="953"/>
      <c r="XAF81" s="953"/>
      <c r="XAG81" s="953"/>
      <c r="XAH81" s="953"/>
      <c r="XAI81" s="953"/>
      <c r="XAJ81" s="953"/>
      <c r="XAK81" s="953"/>
      <c r="XAL81" s="953"/>
      <c r="XAM81" s="953"/>
      <c r="XAN81" s="953"/>
      <c r="XAO81" s="953"/>
      <c r="XAP81" s="953"/>
      <c r="XAQ81" s="953"/>
      <c r="XAR81" s="953"/>
      <c r="XAS81" s="953"/>
      <c r="XAT81" s="953"/>
      <c r="XAU81" s="953"/>
      <c r="XAV81" s="953"/>
      <c r="XAW81" s="953"/>
      <c r="XAX81" s="953"/>
      <c r="XAY81" s="953"/>
      <c r="XAZ81" s="953"/>
      <c r="XBA81" s="953"/>
      <c r="XBB81" s="953"/>
      <c r="XBC81" s="953"/>
      <c r="XBD81" s="953"/>
      <c r="XBE81" s="953"/>
      <c r="XBF81" s="953"/>
      <c r="XBG81" s="953"/>
      <c r="XBH81" s="953"/>
      <c r="XBI81" s="953"/>
      <c r="XBJ81" s="953"/>
      <c r="XBK81" s="953"/>
      <c r="XBL81" s="953"/>
      <c r="XBM81" s="953"/>
      <c r="XBN81" s="953"/>
      <c r="XBO81" s="953"/>
      <c r="XBP81" s="953"/>
      <c r="XBQ81" s="953"/>
      <c r="XBR81" s="953"/>
      <c r="XBS81" s="953"/>
      <c r="XBT81" s="953"/>
      <c r="XBU81" s="953"/>
      <c r="XBV81" s="953"/>
      <c r="XBW81" s="953"/>
      <c r="XBX81" s="953"/>
      <c r="XBY81" s="953"/>
      <c r="XBZ81" s="953"/>
      <c r="XCA81" s="953"/>
      <c r="XCB81" s="953"/>
      <c r="XCC81" s="953"/>
      <c r="XCD81" s="953"/>
      <c r="XCE81" s="953"/>
      <c r="XCF81" s="953"/>
      <c r="XCG81" s="953"/>
      <c r="XCH81" s="953"/>
      <c r="XCI81" s="953"/>
      <c r="XCJ81" s="953"/>
      <c r="XCK81" s="953"/>
      <c r="XCL81" s="953"/>
      <c r="XCM81" s="953"/>
      <c r="XCN81" s="953"/>
      <c r="XCO81" s="953"/>
      <c r="XCP81" s="953"/>
      <c r="XCQ81" s="953"/>
      <c r="XCR81" s="953"/>
      <c r="XCS81" s="953"/>
      <c r="XCT81" s="953"/>
      <c r="XCU81" s="953"/>
      <c r="XCV81" s="953"/>
      <c r="XCW81" s="953"/>
      <c r="XCX81" s="953"/>
      <c r="XCY81" s="953"/>
      <c r="XCZ81" s="953"/>
      <c r="XDA81" s="953"/>
      <c r="XDB81" s="953"/>
      <c r="XDC81" s="953"/>
      <c r="XDD81" s="953"/>
      <c r="XDE81" s="953"/>
      <c r="XDF81" s="953"/>
      <c r="XDG81" s="953"/>
      <c r="XDH81" s="953"/>
      <c r="XDI81" s="953"/>
      <c r="XDJ81" s="953"/>
      <c r="XDK81" s="953"/>
      <c r="XDL81" s="953"/>
      <c r="XDM81" s="953"/>
      <c r="XDN81" s="953"/>
      <c r="XDO81" s="953"/>
      <c r="XDP81" s="953"/>
      <c r="XDQ81" s="953"/>
      <c r="XDR81" s="953"/>
      <c r="XDS81" s="953"/>
      <c r="XDT81" s="953"/>
      <c r="XDU81" s="953"/>
      <c r="XDV81" s="953"/>
      <c r="XDW81" s="953"/>
      <c r="XDX81" s="953"/>
      <c r="XDY81" s="953"/>
      <c r="XDZ81" s="953"/>
      <c r="XEA81" s="953"/>
      <c r="XEB81" s="953"/>
      <c r="XEC81" s="953"/>
      <c r="XED81" s="953"/>
      <c r="XEE81" s="953"/>
      <c r="XEF81" s="953"/>
      <c r="XEG81" s="953"/>
      <c r="XEH81" s="953"/>
      <c r="XEI81" s="953"/>
      <c r="XEJ81" s="953"/>
      <c r="XEK81" s="953"/>
      <c r="XEL81" s="953"/>
      <c r="XEM81" s="953"/>
      <c r="XEN81" s="953"/>
      <c r="XEO81" s="953"/>
      <c r="XEP81" s="953"/>
      <c r="XEQ81" s="953"/>
      <c r="XER81" s="953"/>
      <c r="XES81" s="953"/>
      <c r="XET81" s="953"/>
      <c r="XEU81" s="953"/>
      <c r="XEV81" s="953"/>
      <c r="XEW81" s="953"/>
      <c r="XEX81" s="953"/>
      <c r="XEY81" s="953"/>
      <c r="XEZ81" s="953"/>
      <c r="XFA81" s="953"/>
      <c r="XFB81" s="953"/>
      <c r="XFC81" s="953"/>
      <c r="XFD81" s="953"/>
    </row>
    <row r="82" spans="1:16384" x14ac:dyDescent="0.25">
      <c r="B82" s="925"/>
      <c r="F82" s="959" t="s">
        <v>420</v>
      </c>
      <c r="G82" s="959"/>
      <c r="H82" s="887">
        <v>37127.94</v>
      </c>
      <c r="I82" s="887">
        <v>70544.759999999995</v>
      </c>
      <c r="J82" s="887">
        <v>35650.589999999997</v>
      </c>
      <c r="K82" s="887">
        <v>62277.94</v>
      </c>
      <c r="L82" s="887">
        <v>91068.800000000003</v>
      </c>
      <c r="M82" s="887">
        <v>246391.55</v>
      </c>
      <c r="N82" s="887">
        <v>80187.600000000006</v>
      </c>
      <c r="O82" s="887">
        <v>90159.97</v>
      </c>
      <c r="P82" s="887">
        <v>92666.42</v>
      </c>
      <c r="Q82" s="887">
        <v>92544.59</v>
      </c>
      <c r="R82" s="887">
        <v>198454.8</v>
      </c>
      <c r="S82" s="887">
        <v>124583.08</v>
      </c>
      <c r="T82" s="887">
        <v>-90.64</v>
      </c>
      <c r="U82" s="887">
        <v>267347.57</v>
      </c>
      <c r="V82" s="887">
        <v>153021.45000000001</v>
      </c>
      <c r="W82" s="887">
        <v>133768.19</v>
      </c>
      <c r="X82" s="887">
        <v>330602.46999999997</v>
      </c>
      <c r="Y82" s="887">
        <v>296341.90000000002</v>
      </c>
      <c r="Z82" s="887">
        <v>318258.96999999997</v>
      </c>
      <c r="AA82" s="887">
        <v>408278.51</v>
      </c>
      <c r="AB82" s="887">
        <v>292391.63</v>
      </c>
      <c r="AC82" s="887">
        <v>135885.4</v>
      </c>
      <c r="AD82" s="887">
        <v>250209.3</v>
      </c>
      <c r="AE82" s="887">
        <v>212835.44</v>
      </c>
      <c r="AF82" s="887">
        <v>318198.21000000002</v>
      </c>
      <c r="AG82" s="887">
        <v>387571.88</v>
      </c>
      <c r="AH82" s="887">
        <v>314198.63</v>
      </c>
      <c r="AI82" s="887">
        <v>382666.44</v>
      </c>
      <c r="AJ82" s="887">
        <v>328548.08</v>
      </c>
    </row>
    <row r="83" spans="1:16384" x14ac:dyDescent="0.25">
      <c r="B83" s="925"/>
      <c r="F83" s="959"/>
      <c r="G83" s="959" t="s">
        <v>741</v>
      </c>
    </row>
    <row r="84" spans="1:16384" x14ac:dyDescent="0.25">
      <c r="B84" s="925"/>
      <c r="F84" s="959"/>
      <c r="G84" s="959" t="s">
        <v>742</v>
      </c>
    </row>
    <row r="85" spans="1:16384" x14ac:dyDescent="0.25">
      <c r="B85" s="925"/>
      <c r="G85" s="964" t="s">
        <v>743</v>
      </c>
      <c r="H85" s="965"/>
      <c r="I85" s="965"/>
      <c r="J85" s="965"/>
      <c r="K85" s="965"/>
      <c r="L85" s="965"/>
      <c r="M85" s="965"/>
      <c r="N85" s="965"/>
      <c r="O85" s="965"/>
      <c r="P85" s="965"/>
      <c r="Q85" s="965"/>
      <c r="R85" s="965"/>
      <c r="S85" s="965"/>
      <c r="T85" s="965"/>
      <c r="U85" s="965"/>
      <c r="V85" s="965"/>
      <c r="W85" s="965"/>
      <c r="X85" s="965"/>
      <c r="Y85" s="965"/>
      <c r="Z85" s="965"/>
      <c r="AA85" s="965"/>
      <c r="AB85" s="965"/>
      <c r="AC85" s="965"/>
      <c r="AD85" s="965"/>
      <c r="AE85" s="965"/>
      <c r="AF85" s="965"/>
      <c r="AG85" s="965"/>
      <c r="AH85" s="965"/>
      <c r="AI85" s="1239"/>
      <c r="AJ85" s="1239"/>
      <c r="AK85" s="965"/>
      <c r="AL85" s="965"/>
      <c r="AM85" s="965"/>
      <c r="AN85" s="965"/>
      <c r="AO85" s="965"/>
      <c r="AP85" s="965"/>
      <c r="AQ85" s="965"/>
      <c r="AR85" s="965"/>
      <c r="AS85" s="965"/>
      <c r="AT85" s="965"/>
      <c r="AU85" s="965"/>
      <c r="AV85" s="965"/>
      <c r="AW85" s="965"/>
      <c r="AX85" s="965"/>
      <c r="AY85" s="965"/>
      <c r="AZ85" s="965"/>
      <c r="BA85" s="965"/>
      <c r="BB85" s="965"/>
      <c r="BC85" s="965"/>
      <c r="BD85" s="965"/>
      <c r="BE85" s="965"/>
      <c r="BF85" s="965"/>
      <c r="BG85" s="965"/>
      <c r="BH85" s="965"/>
      <c r="BI85" s="965"/>
      <c r="BJ85" s="965"/>
      <c r="BK85" s="965"/>
      <c r="BL85" s="965"/>
      <c r="BM85" s="965"/>
      <c r="BN85" s="965"/>
      <c r="BO85" s="965"/>
      <c r="BP85" s="965"/>
      <c r="BQ85" s="965"/>
      <c r="BR85" s="965"/>
      <c r="BS85" s="965"/>
      <c r="BT85" s="965"/>
      <c r="BU85" s="965"/>
      <c r="BV85" s="965"/>
      <c r="BW85" s="965"/>
      <c r="BX85" s="965"/>
      <c r="BY85" s="965"/>
      <c r="BZ85" s="965"/>
      <c r="CA85" s="965"/>
      <c r="CB85" s="965"/>
      <c r="CC85" s="965"/>
    </row>
    <row r="86" spans="1:16384" x14ac:dyDescent="0.25">
      <c r="B86" s="924"/>
      <c r="C86" s="924"/>
      <c r="D86" s="924"/>
      <c r="E86" s="969" t="s">
        <v>105</v>
      </c>
      <c r="F86" s="969"/>
      <c r="G86" s="969"/>
      <c r="H86" s="970"/>
      <c r="I86" s="970"/>
      <c r="J86" s="970"/>
      <c r="K86" s="970"/>
      <c r="L86" s="970"/>
      <c r="M86" s="970"/>
      <c r="N86" s="970"/>
      <c r="O86" s="970"/>
      <c r="P86" s="970"/>
      <c r="Q86" s="970"/>
      <c r="R86" s="970"/>
      <c r="S86" s="970"/>
      <c r="T86" s="970"/>
      <c r="U86" s="970"/>
      <c r="V86" s="970"/>
      <c r="W86" s="970"/>
      <c r="X86" s="970"/>
      <c r="Y86" s="970"/>
      <c r="Z86" s="970"/>
      <c r="AA86" s="970"/>
      <c r="AB86" s="970"/>
      <c r="AC86" s="970"/>
      <c r="AD86" s="970"/>
      <c r="AE86" s="970"/>
      <c r="AF86" s="970"/>
      <c r="AG86" s="970"/>
      <c r="AH86" s="971"/>
      <c r="AI86" s="971"/>
      <c r="AJ86" s="971"/>
      <c r="AK86" s="971"/>
      <c r="AL86" s="971"/>
      <c r="AM86" s="971"/>
      <c r="AN86" s="971"/>
      <c r="AO86" s="971"/>
      <c r="AP86" s="971"/>
      <c r="AQ86" s="971"/>
      <c r="AR86" s="971"/>
      <c r="AS86" s="971"/>
      <c r="AT86" s="971"/>
      <c r="AU86" s="971"/>
      <c r="AV86" s="971"/>
      <c r="AW86" s="971"/>
      <c r="AX86" s="971"/>
      <c r="AY86" s="971"/>
      <c r="AZ86" s="971"/>
      <c r="BA86" s="971"/>
      <c r="BB86" s="971"/>
      <c r="BC86" s="971"/>
      <c r="BD86" s="971"/>
      <c r="BE86" s="971"/>
      <c r="BF86" s="971"/>
      <c r="BG86" s="971"/>
      <c r="BH86" s="971"/>
      <c r="BI86" s="971"/>
      <c r="BJ86" s="971"/>
      <c r="BK86" s="971"/>
      <c r="BL86" s="971"/>
      <c r="BM86" s="971"/>
      <c r="BN86" s="971"/>
      <c r="BO86" s="971"/>
      <c r="BP86" s="971"/>
      <c r="BQ86" s="971"/>
      <c r="BR86" s="971"/>
      <c r="BS86" s="971"/>
      <c r="BT86" s="971"/>
      <c r="BU86" s="971"/>
      <c r="BV86" s="971"/>
      <c r="BW86" s="971"/>
      <c r="BX86" s="971"/>
      <c r="BY86" s="971"/>
      <c r="BZ86" s="971"/>
      <c r="CA86" s="971"/>
      <c r="CB86" s="971"/>
      <c r="CC86" s="971"/>
      <c r="CD86" s="953"/>
      <c r="CE86" s="953"/>
      <c r="CF86" s="953"/>
      <c r="CG86" s="953"/>
      <c r="CH86" s="953"/>
      <c r="CI86" s="953"/>
      <c r="CJ86" s="953"/>
      <c r="CK86" s="953"/>
      <c r="CL86" s="953"/>
      <c r="CM86" s="953"/>
      <c r="CN86" s="953"/>
      <c r="CO86" s="953"/>
      <c r="CP86" s="953"/>
      <c r="CQ86" s="953"/>
      <c r="CR86" s="953"/>
      <c r="CS86" s="953"/>
      <c r="CT86" s="953"/>
      <c r="CU86" s="953"/>
      <c r="CV86" s="953"/>
      <c r="CW86" s="953"/>
      <c r="CX86" s="953"/>
      <c r="CY86" s="953"/>
      <c r="CZ86" s="953"/>
      <c r="DA86" s="953"/>
      <c r="DB86" s="953"/>
      <c r="DC86" s="953"/>
      <c r="DD86" s="953"/>
      <c r="DE86" s="953"/>
      <c r="DF86" s="953"/>
      <c r="DG86" s="953"/>
      <c r="DH86" s="953"/>
      <c r="DI86" s="953"/>
      <c r="DJ86" s="953"/>
      <c r="DK86" s="953"/>
      <c r="DL86" s="953"/>
      <c r="DM86" s="953"/>
      <c r="DN86" s="953"/>
      <c r="DO86" s="953"/>
      <c r="DP86" s="953"/>
      <c r="DQ86" s="953"/>
      <c r="DR86" s="953"/>
      <c r="DS86" s="953"/>
      <c r="DT86" s="953"/>
      <c r="DU86" s="953"/>
      <c r="DV86" s="953"/>
      <c r="DW86" s="953"/>
      <c r="DX86" s="953"/>
      <c r="DY86" s="953"/>
      <c r="DZ86" s="953"/>
      <c r="EA86" s="953"/>
      <c r="EB86" s="953"/>
      <c r="EC86" s="953"/>
      <c r="ED86" s="953"/>
      <c r="EE86" s="953"/>
      <c r="EF86" s="953"/>
      <c r="EG86" s="953"/>
      <c r="EH86" s="953"/>
      <c r="EI86" s="953"/>
      <c r="EJ86" s="953"/>
      <c r="EK86" s="953"/>
      <c r="EL86" s="953"/>
      <c r="EM86" s="953"/>
      <c r="EN86" s="953"/>
      <c r="EO86" s="953"/>
      <c r="EP86" s="953"/>
      <c r="EQ86" s="953"/>
      <c r="ER86" s="953"/>
      <c r="ES86" s="953"/>
      <c r="ET86" s="953"/>
      <c r="EU86" s="953"/>
      <c r="EV86" s="953"/>
      <c r="EW86" s="953"/>
      <c r="EX86" s="953"/>
      <c r="EY86" s="953"/>
      <c r="EZ86" s="953"/>
      <c r="FA86" s="953"/>
      <c r="FB86" s="953"/>
      <c r="FC86" s="953"/>
      <c r="FD86" s="953"/>
      <c r="FE86" s="953"/>
      <c r="FF86" s="953"/>
      <c r="FG86" s="953"/>
      <c r="FH86" s="953"/>
      <c r="FI86" s="953"/>
      <c r="FJ86" s="953"/>
      <c r="FK86" s="953"/>
      <c r="FL86" s="953"/>
      <c r="FM86" s="953"/>
      <c r="FN86" s="953"/>
      <c r="FO86" s="953"/>
      <c r="FP86" s="953"/>
      <c r="FQ86" s="953"/>
      <c r="FR86" s="953"/>
      <c r="FS86" s="953"/>
      <c r="FT86" s="953"/>
      <c r="FU86" s="953"/>
      <c r="FV86" s="953"/>
      <c r="FW86" s="953"/>
      <c r="FX86" s="953"/>
      <c r="FY86" s="953"/>
      <c r="FZ86" s="953"/>
      <c r="GA86" s="953"/>
      <c r="GB86" s="953"/>
      <c r="GC86" s="953"/>
      <c r="GD86" s="953"/>
      <c r="GE86" s="953"/>
      <c r="GF86" s="953"/>
      <c r="GG86" s="953"/>
      <c r="GH86" s="953"/>
      <c r="GI86" s="953"/>
      <c r="GJ86" s="953"/>
      <c r="GK86" s="953"/>
      <c r="GL86" s="953"/>
      <c r="GM86" s="953"/>
      <c r="GN86" s="953"/>
      <c r="GO86" s="953"/>
      <c r="GP86" s="953"/>
      <c r="GQ86" s="953"/>
      <c r="GR86" s="953"/>
      <c r="GS86" s="953"/>
      <c r="GT86" s="953"/>
      <c r="GU86" s="953"/>
      <c r="GV86" s="953"/>
      <c r="GW86" s="953"/>
      <c r="GX86" s="953"/>
      <c r="GY86" s="953"/>
      <c r="GZ86" s="953"/>
      <c r="HA86" s="953"/>
      <c r="HB86" s="953"/>
      <c r="HC86" s="953"/>
      <c r="HD86" s="953"/>
      <c r="HE86" s="953"/>
      <c r="HF86" s="953"/>
      <c r="HG86" s="953"/>
      <c r="HH86" s="953"/>
      <c r="HI86" s="953"/>
      <c r="HJ86" s="953"/>
      <c r="HK86" s="953"/>
      <c r="HL86" s="953"/>
      <c r="HM86" s="953"/>
      <c r="HN86" s="953"/>
      <c r="HO86" s="953"/>
      <c r="HP86" s="953"/>
      <c r="HQ86" s="953"/>
      <c r="HR86" s="953"/>
      <c r="HS86" s="953"/>
      <c r="HT86" s="953"/>
      <c r="HU86" s="953"/>
      <c r="HV86" s="953"/>
      <c r="HW86" s="953"/>
      <c r="HX86" s="953"/>
      <c r="HY86" s="953"/>
      <c r="HZ86" s="953"/>
      <c r="IA86" s="953"/>
      <c r="IB86" s="953"/>
      <c r="IC86" s="953"/>
      <c r="ID86" s="953"/>
      <c r="IE86" s="953"/>
      <c r="IF86" s="953"/>
      <c r="IG86" s="953"/>
      <c r="IH86" s="953"/>
      <c r="II86" s="953"/>
      <c r="IJ86" s="953"/>
      <c r="IK86" s="953"/>
      <c r="IL86" s="953"/>
      <c r="IM86" s="953"/>
      <c r="IN86" s="953"/>
      <c r="IO86" s="953"/>
      <c r="IP86" s="953"/>
      <c r="IQ86" s="953"/>
      <c r="IR86" s="953"/>
      <c r="IS86" s="953"/>
      <c r="IT86" s="953"/>
      <c r="IU86" s="953"/>
      <c r="IV86" s="953"/>
      <c r="IW86" s="953"/>
      <c r="IX86" s="953"/>
      <c r="IY86" s="953"/>
      <c r="IZ86" s="953"/>
      <c r="JA86" s="953"/>
      <c r="JB86" s="953"/>
      <c r="JC86" s="953"/>
      <c r="JD86" s="953"/>
      <c r="JE86" s="953"/>
      <c r="JF86" s="953"/>
      <c r="JG86" s="953"/>
      <c r="JH86" s="953"/>
      <c r="JI86" s="953"/>
      <c r="JJ86" s="953"/>
      <c r="JK86" s="953"/>
      <c r="JL86" s="953"/>
      <c r="JM86" s="953"/>
      <c r="JN86" s="953"/>
      <c r="JO86" s="953"/>
      <c r="JP86" s="953"/>
      <c r="JQ86" s="953"/>
      <c r="JR86" s="953"/>
      <c r="JS86" s="953"/>
      <c r="JT86" s="953"/>
      <c r="JU86" s="953"/>
      <c r="JV86" s="953"/>
      <c r="JW86" s="953"/>
      <c r="JX86" s="953"/>
      <c r="JY86" s="953"/>
      <c r="JZ86" s="953"/>
      <c r="KA86" s="953"/>
      <c r="KB86" s="953"/>
      <c r="KC86" s="953"/>
      <c r="KD86" s="953"/>
      <c r="KE86" s="953"/>
      <c r="KF86" s="953"/>
      <c r="KG86" s="953"/>
      <c r="KH86" s="953"/>
      <c r="KI86" s="953"/>
      <c r="KJ86" s="953"/>
      <c r="KK86" s="953"/>
      <c r="KL86" s="953"/>
      <c r="KM86" s="953"/>
      <c r="KN86" s="953"/>
      <c r="KO86" s="953"/>
      <c r="KP86" s="953"/>
      <c r="KQ86" s="953"/>
      <c r="KR86" s="953"/>
      <c r="KS86" s="953"/>
      <c r="KT86" s="953"/>
      <c r="KU86" s="953"/>
      <c r="KV86" s="953"/>
      <c r="KW86" s="953"/>
      <c r="KX86" s="953"/>
      <c r="KY86" s="953"/>
      <c r="KZ86" s="953"/>
      <c r="LA86" s="953"/>
      <c r="LB86" s="953"/>
      <c r="LC86" s="953"/>
      <c r="LD86" s="953"/>
      <c r="LE86" s="953"/>
      <c r="LF86" s="953"/>
      <c r="LG86" s="953"/>
      <c r="LH86" s="953"/>
      <c r="LI86" s="953"/>
      <c r="LJ86" s="953"/>
      <c r="LK86" s="953"/>
      <c r="LL86" s="953"/>
      <c r="LM86" s="953"/>
      <c r="LN86" s="953"/>
      <c r="LO86" s="953"/>
      <c r="LP86" s="953"/>
      <c r="LQ86" s="953"/>
      <c r="LR86" s="953"/>
      <c r="LS86" s="953"/>
      <c r="LT86" s="953"/>
      <c r="LU86" s="953"/>
      <c r="LV86" s="953"/>
      <c r="LW86" s="953"/>
      <c r="LX86" s="953"/>
      <c r="LY86" s="953"/>
      <c r="LZ86" s="953"/>
      <c r="MA86" s="953"/>
      <c r="MB86" s="953"/>
      <c r="MC86" s="953"/>
      <c r="MD86" s="953"/>
      <c r="ME86" s="953"/>
      <c r="MF86" s="953"/>
      <c r="MG86" s="953"/>
      <c r="MH86" s="953"/>
      <c r="MI86" s="953"/>
      <c r="MJ86" s="953"/>
      <c r="MK86" s="953"/>
      <c r="ML86" s="953"/>
      <c r="MM86" s="953"/>
      <c r="MN86" s="953"/>
      <c r="MO86" s="953"/>
      <c r="MP86" s="953"/>
      <c r="MQ86" s="953"/>
      <c r="MR86" s="953"/>
      <c r="MS86" s="953"/>
      <c r="MT86" s="953"/>
      <c r="MU86" s="953"/>
      <c r="MV86" s="953"/>
      <c r="MW86" s="953"/>
      <c r="MX86" s="953"/>
      <c r="MY86" s="953"/>
      <c r="MZ86" s="953"/>
      <c r="NA86" s="953"/>
      <c r="NB86" s="953"/>
      <c r="NC86" s="953"/>
      <c r="ND86" s="953"/>
      <c r="NE86" s="953"/>
      <c r="NF86" s="953"/>
      <c r="NG86" s="953"/>
      <c r="NH86" s="953"/>
      <c r="NI86" s="953"/>
      <c r="NJ86" s="953"/>
      <c r="NK86" s="953"/>
      <c r="NL86" s="953"/>
      <c r="NM86" s="953"/>
      <c r="NN86" s="953"/>
      <c r="NO86" s="953"/>
      <c r="NP86" s="953"/>
      <c r="NQ86" s="953"/>
      <c r="NR86" s="953"/>
      <c r="NS86" s="953"/>
      <c r="NT86" s="953"/>
      <c r="NU86" s="953"/>
      <c r="NV86" s="953"/>
      <c r="NW86" s="953"/>
      <c r="NX86" s="953"/>
      <c r="NY86" s="953"/>
      <c r="NZ86" s="953"/>
      <c r="OA86" s="953"/>
      <c r="OB86" s="953"/>
      <c r="OC86" s="953"/>
      <c r="OD86" s="953"/>
      <c r="OE86" s="953"/>
      <c r="OF86" s="953"/>
      <c r="OG86" s="953"/>
      <c r="OH86" s="953"/>
      <c r="OI86" s="953"/>
      <c r="OJ86" s="953"/>
      <c r="OK86" s="953"/>
      <c r="OL86" s="953"/>
      <c r="OM86" s="953"/>
      <c r="ON86" s="953"/>
      <c r="OO86" s="953"/>
      <c r="OP86" s="953"/>
      <c r="OQ86" s="953"/>
      <c r="OR86" s="953"/>
      <c r="OS86" s="953"/>
      <c r="OT86" s="953"/>
      <c r="OU86" s="953"/>
      <c r="OV86" s="953"/>
      <c r="OW86" s="953"/>
      <c r="OX86" s="953"/>
      <c r="OY86" s="953"/>
      <c r="OZ86" s="953"/>
      <c r="PA86" s="953"/>
      <c r="PB86" s="953"/>
      <c r="PC86" s="953"/>
      <c r="PD86" s="953"/>
      <c r="PE86" s="953"/>
      <c r="PF86" s="953"/>
      <c r="PG86" s="953"/>
      <c r="PH86" s="953"/>
      <c r="PI86" s="953"/>
      <c r="PJ86" s="953"/>
      <c r="PK86" s="953"/>
      <c r="PL86" s="953"/>
      <c r="PM86" s="953"/>
      <c r="PN86" s="953"/>
      <c r="PO86" s="953"/>
      <c r="PP86" s="953"/>
      <c r="PQ86" s="953"/>
      <c r="PR86" s="953"/>
      <c r="PS86" s="953"/>
      <c r="PT86" s="953"/>
      <c r="PU86" s="953"/>
      <c r="PV86" s="953"/>
      <c r="PW86" s="953"/>
      <c r="PX86" s="953"/>
      <c r="PY86" s="953"/>
      <c r="PZ86" s="953"/>
      <c r="QA86" s="953"/>
      <c r="QB86" s="953"/>
      <c r="QC86" s="953"/>
      <c r="QD86" s="953"/>
      <c r="QE86" s="953"/>
      <c r="QF86" s="953"/>
      <c r="QG86" s="953"/>
      <c r="QH86" s="953"/>
      <c r="QI86" s="953"/>
      <c r="QJ86" s="953"/>
      <c r="QK86" s="953"/>
      <c r="QL86" s="953"/>
      <c r="QM86" s="953"/>
      <c r="QN86" s="953"/>
      <c r="QO86" s="953"/>
      <c r="QP86" s="953"/>
      <c r="QQ86" s="953"/>
      <c r="QR86" s="953"/>
      <c r="QS86" s="953"/>
      <c r="QT86" s="953"/>
      <c r="QU86" s="953"/>
      <c r="QV86" s="953"/>
      <c r="QW86" s="953"/>
      <c r="QX86" s="953"/>
      <c r="QY86" s="953"/>
      <c r="QZ86" s="953"/>
      <c r="RA86" s="953"/>
      <c r="RB86" s="953"/>
      <c r="RC86" s="953"/>
      <c r="RD86" s="953"/>
      <c r="RE86" s="953"/>
      <c r="RF86" s="953"/>
      <c r="RG86" s="953"/>
      <c r="RH86" s="953"/>
      <c r="RI86" s="953"/>
      <c r="RJ86" s="953"/>
      <c r="RK86" s="953"/>
      <c r="RL86" s="953"/>
      <c r="RM86" s="953"/>
      <c r="RN86" s="953"/>
      <c r="RO86" s="953"/>
      <c r="RP86" s="953"/>
      <c r="RQ86" s="953"/>
      <c r="RR86" s="953"/>
      <c r="RS86" s="953"/>
      <c r="RT86" s="953"/>
      <c r="RU86" s="953"/>
      <c r="RV86" s="953"/>
      <c r="RW86" s="953"/>
      <c r="RX86" s="953"/>
      <c r="RY86" s="953"/>
      <c r="RZ86" s="953"/>
      <c r="SA86" s="953"/>
      <c r="SB86" s="953"/>
      <c r="SC86" s="953"/>
      <c r="SD86" s="953"/>
      <c r="SE86" s="953"/>
      <c r="SF86" s="953"/>
      <c r="SG86" s="953"/>
      <c r="SH86" s="953"/>
      <c r="SI86" s="953"/>
      <c r="SJ86" s="953"/>
      <c r="SK86" s="953"/>
      <c r="SL86" s="953"/>
      <c r="SM86" s="953"/>
      <c r="SN86" s="953"/>
      <c r="SO86" s="953"/>
      <c r="SP86" s="953"/>
      <c r="SQ86" s="953"/>
      <c r="SR86" s="953"/>
      <c r="SS86" s="953"/>
      <c r="ST86" s="953"/>
      <c r="SU86" s="953"/>
      <c r="SV86" s="953"/>
      <c r="SW86" s="953"/>
      <c r="SX86" s="953"/>
      <c r="SY86" s="953"/>
      <c r="SZ86" s="953"/>
      <c r="TA86" s="953"/>
      <c r="TB86" s="953"/>
      <c r="TC86" s="953"/>
      <c r="TD86" s="953"/>
      <c r="TE86" s="953"/>
      <c r="TF86" s="953"/>
      <c r="TG86" s="953"/>
      <c r="TH86" s="953"/>
      <c r="TI86" s="953"/>
      <c r="TJ86" s="953"/>
      <c r="TK86" s="953"/>
      <c r="TL86" s="953"/>
      <c r="TM86" s="953"/>
      <c r="TN86" s="953"/>
      <c r="TO86" s="953"/>
      <c r="TP86" s="953"/>
      <c r="TQ86" s="953"/>
      <c r="TR86" s="953"/>
      <c r="TS86" s="953"/>
      <c r="TT86" s="953"/>
      <c r="TU86" s="953"/>
      <c r="TV86" s="953"/>
      <c r="TW86" s="953"/>
      <c r="TX86" s="953"/>
      <c r="TY86" s="953"/>
      <c r="TZ86" s="953"/>
      <c r="UA86" s="953"/>
      <c r="UB86" s="953"/>
      <c r="UC86" s="953"/>
      <c r="UD86" s="953"/>
      <c r="UE86" s="953"/>
      <c r="UF86" s="953"/>
      <c r="UG86" s="953"/>
      <c r="UH86" s="953"/>
      <c r="UI86" s="953"/>
      <c r="UJ86" s="953"/>
      <c r="UK86" s="953"/>
      <c r="UL86" s="953"/>
      <c r="UM86" s="953"/>
      <c r="UN86" s="953"/>
      <c r="UO86" s="953"/>
      <c r="UP86" s="953"/>
      <c r="UQ86" s="953"/>
      <c r="UR86" s="953"/>
      <c r="US86" s="953"/>
      <c r="UT86" s="953"/>
      <c r="UU86" s="953"/>
      <c r="UV86" s="953"/>
      <c r="UW86" s="953"/>
      <c r="UX86" s="953"/>
      <c r="UY86" s="953"/>
      <c r="UZ86" s="953"/>
      <c r="VA86" s="953"/>
      <c r="VB86" s="953"/>
      <c r="VC86" s="953"/>
      <c r="VD86" s="953"/>
      <c r="VE86" s="953"/>
      <c r="VF86" s="953"/>
      <c r="VG86" s="953"/>
      <c r="VH86" s="953"/>
      <c r="VI86" s="953"/>
      <c r="VJ86" s="953"/>
      <c r="VK86" s="953"/>
      <c r="VL86" s="953"/>
      <c r="VM86" s="953"/>
      <c r="VN86" s="953"/>
      <c r="VO86" s="953"/>
      <c r="VP86" s="953"/>
      <c r="VQ86" s="953"/>
      <c r="VR86" s="953"/>
      <c r="VS86" s="953"/>
      <c r="VT86" s="953"/>
      <c r="VU86" s="953"/>
      <c r="VV86" s="953"/>
      <c r="VW86" s="953"/>
      <c r="VX86" s="953"/>
      <c r="VY86" s="953"/>
      <c r="VZ86" s="953"/>
      <c r="WA86" s="953"/>
      <c r="WB86" s="953"/>
      <c r="WC86" s="953"/>
      <c r="WD86" s="953"/>
      <c r="WE86" s="953"/>
      <c r="WF86" s="953"/>
      <c r="WG86" s="953"/>
      <c r="WH86" s="953"/>
      <c r="WI86" s="953"/>
      <c r="WJ86" s="953"/>
      <c r="WK86" s="953"/>
      <c r="WL86" s="953"/>
      <c r="WM86" s="953"/>
      <c r="WN86" s="953"/>
      <c r="WO86" s="953"/>
      <c r="WP86" s="953"/>
      <c r="WQ86" s="953"/>
      <c r="WR86" s="953"/>
      <c r="WS86" s="953"/>
      <c r="WT86" s="953"/>
      <c r="WU86" s="953"/>
      <c r="WV86" s="953"/>
      <c r="WW86" s="953"/>
      <c r="WX86" s="953"/>
      <c r="WY86" s="953"/>
      <c r="WZ86" s="953"/>
      <c r="XA86" s="953"/>
      <c r="XB86" s="953"/>
      <c r="XC86" s="953"/>
      <c r="XD86" s="953"/>
      <c r="XE86" s="953"/>
      <c r="XF86" s="953"/>
      <c r="XG86" s="953"/>
      <c r="XH86" s="953"/>
      <c r="XI86" s="953"/>
      <c r="XJ86" s="953"/>
      <c r="XK86" s="953"/>
      <c r="XL86" s="953"/>
      <c r="XM86" s="953"/>
      <c r="XN86" s="953"/>
      <c r="XO86" s="953"/>
      <c r="XP86" s="953"/>
      <c r="XQ86" s="953"/>
      <c r="XR86" s="953"/>
      <c r="XS86" s="953"/>
      <c r="XT86" s="953"/>
      <c r="XU86" s="953"/>
      <c r="XV86" s="953"/>
      <c r="XW86" s="953"/>
      <c r="XX86" s="953"/>
      <c r="XY86" s="953"/>
      <c r="XZ86" s="953"/>
      <c r="YA86" s="953"/>
      <c r="YB86" s="953"/>
      <c r="YC86" s="953"/>
      <c r="YD86" s="953"/>
      <c r="YE86" s="953"/>
      <c r="YF86" s="953"/>
      <c r="YG86" s="953"/>
      <c r="YH86" s="953"/>
      <c r="YI86" s="953"/>
      <c r="YJ86" s="953"/>
      <c r="YK86" s="953"/>
      <c r="YL86" s="953"/>
      <c r="YM86" s="953"/>
      <c r="YN86" s="953"/>
      <c r="YO86" s="953"/>
      <c r="YP86" s="953"/>
      <c r="YQ86" s="953"/>
      <c r="YR86" s="953"/>
      <c r="YS86" s="953"/>
      <c r="YT86" s="953"/>
      <c r="YU86" s="953"/>
      <c r="YV86" s="953"/>
      <c r="YW86" s="953"/>
      <c r="YX86" s="953"/>
      <c r="YY86" s="953"/>
      <c r="YZ86" s="953"/>
      <c r="ZA86" s="953"/>
      <c r="ZB86" s="953"/>
      <c r="ZC86" s="953"/>
      <c r="ZD86" s="953"/>
      <c r="ZE86" s="953"/>
      <c r="ZF86" s="953"/>
      <c r="ZG86" s="953"/>
      <c r="ZH86" s="953"/>
      <c r="ZI86" s="953"/>
      <c r="ZJ86" s="953"/>
      <c r="ZK86" s="953"/>
      <c r="ZL86" s="953"/>
      <c r="ZM86" s="953"/>
      <c r="ZN86" s="953"/>
      <c r="ZO86" s="953"/>
      <c r="ZP86" s="953"/>
      <c r="ZQ86" s="953"/>
      <c r="ZR86" s="953"/>
      <c r="ZS86" s="953"/>
      <c r="ZT86" s="953"/>
      <c r="ZU86" s="953"/>
      <c r="ZV86" s="953"/>
      <c r="ZW86" s="953"/>
      <c r="ZX86" s="953"/>
      <c r="ZY86" s="953"/>
      <c r="ZZ86" s="953"/>
      <c r="AAA86" s="953"/>
      <c r="AAB86" s="953"/>
      <c r="AAC86" s="953"/>
      <c r="AAD86" s="953"/>
      <c r="AAE86" s="953"/>
      <c r="AAF86" s="953"/>
      <c r="AAG86" s="953"/>
      <c r="AAH86" s="953"/>
      <c r="AAI86" s="953"/>
      <c r="AAJ86" s="953"/>
      <c r="AAK86" s="953"/>
      <c r="AAL86" s="953"/>
      <c r="AAM86" s="953"/>
      <c r="AAN86" s="953"/>
      <c r="AAO86" s="953"/>
      <c r="AAP86" s="953"/>
      <c r="AAQ86" s="953"/>
      <c r="AAR86" s="953"/>
      <c r="AAS86" s="953"/>
      <c r="AAT86" s="953"/>
      <c r="AAU86" s="953"/>
      <c r="AAV86" s="953"/>
      <c r="AAW86" s="953"/>
      <c r="AAX86" s="953"/>
      <c r="AAY86" s="953"/>
      <c r="AAZ86" s="953"/>
      <c r="ABA86" s="953"/>
      <c r="ABB86" s="953"/>
      <c r="ABC86" s="953"/>
      <c r="ABD86" s="953"/>
      <c r="ABE86" s="953"/>
      <c r="ABF86" s="953"/>
      <c r="ABG86" s="953"/>
      <c r="ABH86" s="953"/>
      <c r="ABI86" s="953"/>
      <c r="ABJ86" s="953"/>
      <c r="ABK86" s="953"/>
      <c r="ABL86" s="953"/>
      <c r="ABM86" s="953"/>
      <c r="ABN86" s="953"/>
      <c r="ABO86" s="953"/>
      <c r="ABP86" s="953"/>
      <c r="ABQ86" s="953"/>
      <c r="ABR86" s="953"/>
      <c r="ABS86" s="953"/>
      <c r="ABT86" s="953"/>
      <c r="ABU86" s="953"/>
      <c r="ABV86" s="953"/>
      <c r="ABW86" s="953"/>
      <c r="ABX86" s="953"/>
      <c r="ABY86" s="953"/>
      <c r="ABZ86" s="953"/>
      <c r="ACA86" s="953"/>
      <c r="ACB86" s="953"/>
      <c r="ACC86" s="953"/>
      <c r="ACD86" s="953"/>
      <c r="ACE86" s="953"/>
      <c r="ACF86" s="953"/>
      <c r="ACG86" s="953"/>
      <c r="ACH86" s="953"/>
      <c r="ACI86" s="953"/>
      <c r="ACJ86" s="953"/>
      <c r="ACK86" s="953"/>
      <c r="ACL86" s="953"/>
      <c r="ACM86" s="953"/>
      <c r="ACN86" s="953"/>
      <c r="ACO86" s="953"/>
      <c r="ACP86" s="953"/>
      <c r="ACQ86" s="953"/>
      <c r="ACR86" s="953"/>
      <c r="ACS86" s="953"/>
      <c r="ACT86" s="953"/>
      <c r="ACU86" s="953"/>
      <c r="ACV86" s="953"/>
      <c r="ACW86" s="953"/>
      <c r="ACX86" s="953"/>
      <c r="ACY86" s="953"/>
      <c r="ACZ86" s="953"/>
      <c r="ADA86" s="953"/>
      <c r="ADB86" s="953"/>
      <c r="ADC86" s="953"/>
      <c r="ADD86" s="953"/>
      <c r="ADE86" s="953"/>
      <c r="ADF86" s="953"/>
      <c r="ADG86" s="953"/>
      <c r="ADH86" s="953"/>
      <c r="ADI86" s="953"/>
      <c r="ADJ86" s="953"/>
      <c r="ADK86" s="953"/>
      <c r="ADL86" s="953"/>
      <c r="ADM86" s="953"/>
      <c r="ADN86" s="953"/>
      <c r="ADO86" s="953"/>
      <c r="ADP86" s="953"/>
      <c r="ADQ86" s="953"/>
      <c r="ADR86" s="953"/>
      <c r="ADS86" s="953"/>
      <c r="ADT86" s="953"/>
      <c r="ADU86" s="953"/>
      <c r="ADV86" s="953"/>
      <c r="ADW86" s="953"/>
      <c r="ADX86" s="953"/>
      <c r="ADY86" s="953"/>
      <c r="ADZ86" s="953"/>
      <c r="AEA86" s="953"/>
      <c r="AEB86" s="953"/>
      <c r="AEC86" s="953"/>
      <c r="AED86" s="953"/>
      <c r="AEE86" s="953"/>
      <c r="AEF86" s="953"/>
      <c r="AEG86" s="953"/>
      <c r="AEH86" s="953"/>
      <c r="AEI86" s="953"/>
      <c r="AEJ86" s="953"/>
      <c r="AEK86" s="953"/>
      <c r="AEL86" s="953"/>
      <c r="AEM86" s="953"/>
      <c r="AEN86" s="953"/>
      <c r="AEO86" s="953"/>
      <c r="AEP86" s="953"/>
      <c r="AEQ86" s="953"/>
      <c r="AER86" s="953"/>
      <c r="AES86" s="953"/>
      <c r="AET86" s="953"/>
      <c r="AEU86" s="953"/>
      <c r="AEV86" s="953"/>
      <c r="AEW86" s="953"/>
      <c r="AEX86" s="953"/>
      <c r="AEY86" s="953"/>
      <c r="AEZ86" s="953"/>
      <c r="AFA86" s="953"/>
      <c r="AFB86" s="953"/>
      <c r="AFC86" s="953"/>
      <c r="AFD86" s="953"/>
      <c r="AFE86" s="953"/>
      <c r="AFF86" s="953"/>
      <c r="AFG86" s="953"/>
      <c r="AFH86" s="953"/>
      <c r="AFI86" s="953"/>
      <c r="AFJ86" s="953"/>
      <c r="AFK86" s="953"/>
      <c r="AFL86" s="953"/>
      <c r="AFM86" s="953"/>
      <c r="AFN86" s="953"/>
      <c r="AFO86" s="953"/>
      <c r="AFP86" s="953"/>
      <c r="AFQ86" s="953"/>
      <c r="AFR86" s="953"/>
      <c r="AFS86" s="953"/>
      <c r="AFT86" s="953"/>
      <c r="AFU86" s="953"/>
      <c r="AFV86" s="953"/>
      <c r="AFW86" s="953"/>
      <c r="AFX86" s="953"/>
      <c r="AFY86" s="953"/>
      <c r="AFZ86" s="953"/>
      <c r="AGA86" s="953"/>
      <c r="AGB86" s="953"/>
      <c r="AGC86" s="953"/>
      <c r="AGD86" s="953"/>
      <c r="AGE86" s="953"/>
      <c r="AGF86" s="953"/>
      <c r="AGG86" s="953"/>
      <c r="AGH86" s="953"/>
      <c r="AGI86" s="953"/>
      <c r="AGJ86" s="953"/>
      <c r="AGK86" s="953"/>
      <c r="AGL86" s="953"/>
      <c r="AGM86" s="953"/>
      <c r="AGN86" s="953"/>
      <c r="AGO86" s="953"/>
      <c r="AGP86" s="953"/>
      <c r="AGQ86" s="953"/>
      <c r="AGR86" s="953"/>
      <c r="AGS86" s="953"/>
      <c r="AGT86" s="953"/>
      <c r="AGU86" s="953"/>
      <c r="AGV86" s="953"/>
      <c r="AGW86" s="953"/>
      <c r="AGX86" s="953"/>
      <c r="AGY86" s="953"/>
      <c r="AGZ86" s="953"/>
      <c r="AHA86" s="953"/>
      <c r="AHB86" s="953"/>
      <c r="AHC86" s="953"/>
      <c r="AHD86" s="953"/>
      <c r="AHE86" s="953"/>
      <c r="AHF86" s="953"/>
      <c r="AHG86" s="953"/>
      <c r="AHH86" s="953"/>
      <c r="AHI86" s="953"/>
      <c r="AHJ86" s="953"/>
      <c r="AHK86" s="953"/>
      <c r="AHL86" s="953"/>
      <c r="AHM86" s="953"/>
      <c r="AHN86" s="953"/>
      <c r="AHO86" s="953"/>
      <c r="AHP86" s="953"/>
      <c r="AHQ86" s="953"/>
      <c r="AHR86" s="953"/>
      <c r="AHS86" s="953"/>
      <c r="AHT86" s="953"/>
      <c r="AHU86" s="953"/>
      <c r="AHV86" s="953"/>
      <c r="AHW86" s="953"/>
      <c r="AHX86" s="953"/>
      <c r="AHY86" s="953"/>
      <c r="AHZ86" s="953"/>
      <c r="AIA86" s="953"/>
      <c r="AIB86" s="953"/>
      <c r="AIC86" s="953"/>
      <c r="AID86" s="953"/>
      <c r="AIE86" s="953"/>
      <c r="AIF86" s="953"/>
      <c r="AIG86" s="953"/>
      <c r="AIH86" s="953"/>
      <c r="AII86" s="953"/>
      <c r="AIJ86" s="953"/>
      <c r="AIK86" s="953"/>
      <c r="AIL86" s="953"/>
      <c r="AIM86" s="953"/>
      <c r="AIN86" s="953"/>
      <c r="AIO86" s="953"/>
      <c r="AIP86" s="953"/>
      <c r="AIQ86" s="953"/>
      <c r="AIR86" s="953"/>
      <c r="AIS86" s="953"/>
      <c r="AIT86" s="953"/>
      <c r="AIU86" s="953"/>
      <c r="AIV86" s="953"/>
      <c r="AIW86" s="953"/>
      <c r="AIX86" s="953"/>
      <c r="AIY86" s="953"/>
      <c r="AIZ86" s="953"/>
      <c r="AJA86" s="953"/>
      <c r="AJB86" s="953"/>
      <c r="AJC86" s="953"/>
      <c r="AJD86" s="953"/>
      <c r="AJE86" s="953"/>
      <c r="AJF86" s="953"/>
      <c r="AJG86" s="953"/>
      <c r="AJH86" s="953"/>
      <c r="AJI86" s="953"/>
      <c r="AJJ86" s="953"/>
      <c r="AJK86" s="953"/>
      <c r="AJL86" s="953"/>
      <c r="AJM86" s="953"/>
      <c r="AJN86" s="953"/>
      <c r="AJO86" s="953"/>
      <c r="AJP86" s="953"/>
      <c r="AJQ86" s="953"/>
      <c r="AJR86" s="953"/>
      <c r="AJS86" s="953"/>
      <c r="AJT86" s="953"/>
      <c r="AJU86" s="953"/>
      <c r="AJV86" s="953"/>
      <c r="AJW86" s="953"/>
      <c r="AJX86" s="953"/>
      <c r="AJY86" s="953"/>
      <c r="AJZ86" s="953"/>
      <c r="AKA86" s="953"/>
      <c r="AKB86" s="953"/>
      <c r="AKC86" s="953"/>
      <c r="AKD86" s="953"/>
      <c r="AKE86" s="953"/>
      <c r="AKF86" s="953"/>
      <c r="AKG86" s="953"/>
      <c r="AKH86" s="953"/>
      <c r="AKI86" s="953"/>
      <c r="AKJ86" s="953"/>
      <c r="AKK86" s="953"/>
      <c r="AKL86" s="953"/>
      <c r="AKM86" s="953"/>
      <c r="AKN86" s="953"/>
      <c r="AKO86" s="953"/>
      <c r="AKP86" s="953"/>
      <c r="AKQ86" s="953"/>
      <c r="AKR86" s="953"/>
      <c r="AKS86" s="953"/>
      <c r="AKT86" s="953"/>
      <c r="AKU86" s="953"/>
      <c r="AKV86" s="953"/>
      <c r="AKW86" s="953"/>
      <c r="AKX86" s="953"/>
      <c r="AKY86" s="953"/>
      <c r="AKZ86" s="953"/>
      <c r="ALA86" s="953"/>
      <c r="ALB86" s="953"/>
      <c r="ALC86" s="953"/>
      <c r="ALD86" s="953"/>
      <c r="ALE86" s="953"/>
      <c r="ALF86" s="953"/>
      <c r="ALG86" s="953"/>
      <c r="ALH86" s="953"/>
      <c r="ALI86" s="953"/>
      <c r="ALJ86" s="953"/>
      <c r="ALK86" s="953"/>
      <c r="ALL86" s="953"/>
      <c r="ALM86" s="953"/>
      <c r="ALN86" s="953"/>
      <c r="ALO86" s="953"/>
      <c r="ALP86" s="953"/>
      <c r="ALQ86" s="953"/>
      <c r="ALR86" s="953"/>
      <c r="ALS86" s="953"/>
      <c r="ALT86" s="953"/>
      <c r="ALU86" s="953"/>
      <c r="ALV86" s="953"/>
      <c r="ALW86" s="953"/>
      <c r="ALX86" s="953"/>
      <c r="ALY86" s="953"/>
      <c r="ALZ86" s="953"/>
      <c r="AMA86" s="953"/>
      <c r="AMB86" s="953"/>
      <c r="AMC86" s="953"/>
      <c r="AMD86" s="953"/>
      <c r="AME86" s="953"/>
      <c r="AMF86" s="953"/>
      <c r="AMG86" s="953"/>
      <c r="AMH86" s="953"/>
      <c r="AMI86" s="953"/>
      <c r="AMJ86" s="953"/>
      <c r="AMK86" s="953"/>
      <c r="AML86" s="953"/>
      <c r="AMM86" s="953"/>
      <c r="AMN86" s="953"/>
      <c r="AMO86" s="953"/>
      <c r="AMP86" s="953"/>
      <c r="AMQ86" s="953"/>
      <c r="AMR86" s="953"/>
      <c r="AMS86" s="953"/>
      <c r="AMT86" s="953"/>
      <c r="AMU86" s="953"/>
      <c r="AMV86" s="953"/>
      <c r="AMW86" s="953"/>
      <c r="AMX86" s="953"/>
      <c r="AMY86" s="953"/>
      <c r="AMZ86" s="953"/>
      <c r="ANA86" s="953"/>
      <c r="ANB86" s="953"/>
      <c r="ANC86" s="953"/>
      <c r="AND86" s="953"/>
      <c r="ANE86" s="953"/>
      <c r="ANF86" s="953"/>
      <c r="ANG86" s="953"/>
      <c r="ANH86" s="953"/>
      <c r="ANI86" s="953"/>
      <c r="ANJ86" s="953"/>
      <c r="ANK86" s="953"/>
      <c r="ANL86" s="953"/>
      <c r="ANM86" s="953"/>
      <c r="ANN86" s="953"/>
      <c r="ANO86" s="953"/>
      <c r="ANP86" s="953"/>
      <c r="ANQ86" s="953"/>
      <c r="ANR86" s="953"/>
      <c r="ANS86" s="953"/>
      <c r="ANT86" s="953"/>
      <c r="ANU86" s="953"/>
      <c r="ANV86" s="953"/>
      <c r="ANW86" s="953"/>
      <c r="ANX86" s="953"/>
      <c r="ANY86" s="953"/>
      <c r="ANZ86" s="953"/>
      <c r="AOA86" s="953"/>
      <c r="AOB86" s="953"/>
      <c r="AOC86" s="953"/>
      <c r="AOD86" s="953"/>
      <c r="AOE86" s="953"/>
      <c r="AOF86" s="953"/>
      <c r="AOG86" s="953"/>
      <c r="AOH86" s="953"/>
      <c r="AOI86" s="953"/>
      <c r="AOJ86" s="953"/>
      <c r="AOK86" s="953"/>
      <c r="AOL86" s="953"/>
      <c r="AOM86" s="953"/>
      <c r="AON86" s="953"/>
      <c r="AOO86" s="953"/>
      <c r="AOP86" s="953"/>
      <c r="AOQ86" s="953"/>
      <c r="AOR86" s="953"/>
      <c r="AOS86" s="953"/>
      <c r="AOT86" s="953"/>
      <c r="AOU86" s="953"/>
      <c r="AOV86" s="953"/>
      <c r="AOW86" s="953"/>
      <c r="AOX86" s="953"/>
      <c r="AOY86" s="953"/>
      <c r="AOZ86" s="953"/>
      <c r="APA86" s="953"/>
      <c r="APB86" s="953"/>
      <c r="APC86" s="953"/>
      <c r="APD86" s="953"/>
      <c r="APE86" s="953"/>
      <c r="APF86" s="953"/>
      <c r="APG86" s="953"/>
      <c r="APH86" s="953"/>
      <c r="API86" s="953"/>
      <c r="APJ86" s="953"/>
      <c r="APK86" s="953"/>
      <c r="APL86" s="953"/>
      <c r="APM86" s="953"/>
      <c r="APN86" s="953"/>
      <c r="APO86" s="953"/>
      <c r="APP86" s="953"/>
      <c r="APQ86" s="953"/>
      <c r="APR86" s="953"/>
      <c r="APS86" s="953"/>
      <c r="APT86" s="953"/>
      <c r="APU86" s="953"/>
      <c r="APV86" s="953"/>
      <c r="APW86" s="953"/>
      <c r="APX86" s="953"/>
      <c r="APY86" s="953"/>
      <c r="APZ86" s="953"/>
      <c r="AQA86" s="953"/>
      <c r="AQB86" s="953"/>
      <c r="AQC86" s="953"/>
      <c r="AQD86" s="953"/>
      <c r="AQE86" s="953"/>
      <c r="AQF86" s="953"/>
      <c r="AQG86" s="953"/>
      <c r="AQH86" s="953"/>
      <c r="AQI86" s="953"/>
      <c r="AQJ86" s="953"/>
      <c r="AQK86" s="953"/>
      <c r="AQL86" s="953"/>
      <c r="AQM86" s="953"/>
      <c r="AQN86" s="953"/>
      <c r="AQO86" s="953"/>
      <c r="AQP86" s="953"/>
      <c r="AQQ86" s="953"/>
      <c r="AQR86" s="953"/>
      <c r="AQS86" s="953"/>
      <c r="AQT86" s="953"/>
      <c r="AQU86" s="953"/>
      <c r="AQV86" s="953"/>
      <c r="AQW86" s="953"/>
      <c r="AQX86" s="953"/>
      <c r="AQY86" s="953"/>
      <c r="AQZ86" s="953"/>
      <c r="ARA86" s="953"/>
      <c r="ARB86" s="953"/>
      <c r="ARC86" s="953"/>
      <c r="ARD86" s="953"/>
      <c r="ARE86" s="953"/>
      <c r="ARF86" s="953"/>
      <c r="ARG86" s="953"/>
      <c r="ARH86" s="953"/>
      <c r="ARI86" s="953"/>
      <c r="ARJ86" s="953"/>
      <c r="ARK86" s="953"/>
      <c r="ARL86" s="953"/>
      <c r="ARM86" s="953"/>
      <c r="ARN86" s="953"/>
      <c r="ARO86" s="953"/>
      <c r="ARP86" s="953"/>
      <c r="ARQ86" s="953"/>
      <c r="ARR86" s="953"/>
      <c r="ARS86" s="953"/>
      <c r="ART86" s="953"/>
      <c r="ARU86" s="953"/>
      <c r="ARV86" s="953"/>
      <c r="ARW86" s="953"/>
      <c r="ARX86" s="953"/>
      <c r="ARY86" s="953"/>
      <c r="ARZ86" s="953"/>
      <c r="ASA86" s="953"/>
      <c r="ASB86" s="953"/>
      <c r="ASC86" s="953"/>
      <c r="ASD86" s="953"/>
      <c r="ASE86" s="953"/>
      <c r="ASF86" s="953"/>
      <c r="ASG86" s="953"/>
      <c r="ASH86" s="953"/>
      <c r="ASI86" s="953"/>
      <c r="ASJ86" s="953"/>
      <c r="ASK86" s="953"/>
      <c r="ASL86" s="953"/>
      <c r="ASM86" s="953"/>
      <c r="ASN86" s="953"/>
      <c r="ASO86" s="953"/>
      <c r="ASP86" s="953"/>
      <c r="ASQ86" s="953"/>
      <c r="ASR86" s="953"/>
      <c r="ASS86" s="953"/>
      <c r="AST86" s="953"/>
      <c r="ASU86" s="953"/>
      <c r="ASV86" s="953"/>
      <c r="ASW86" s="953"/>
      <c r="ASX86" s="953"/>
      <c r="ASY86" s="953"/>
      <c r="ASZ86" s="953"/>
      <c r="ATA86" s="953"/>
      <c r="ATB86" s="953"/>
      <c r="ATC86" s="953"/>
      <c r="ATD86" s="953"/>
      <c r="ATE86" s="953"/>
      <c r="ATF86" s="953"/>
      <c r="ATG86" s="953"/>
      <c r="ATH86" s="953"/>
      <c r="ATI86" s="953"/>
      <c r="ATJ86" s="953"/>
      <c r="ATK86" s="953"/>
      <c r="ATL86" s="953"/>
      <c r="ATM86" s="953"/>
      <c r="ATN86" s="953"/>
      <c r="ATO86" s="953"/>
      <c r="ATP86" s="953"/>
      <c r="ATQ86" s="953"/>
      <c r="ATR86" s="953"/>
      <c r="ATS86" s="953"/>
      <c r="ATT86" s="953"/>
      <c r="ATU86" s="953"/>
      <c r="ATV86" s="953"/>
      <c r="ATW86" s="953"/>
      <c r="ATX86" s="953"/>
      <c r="ATY86" s="953"/>
      <c r="ATZ86" s="953"/>
      <c r="AUA86" s="953"/>
      <c r="AUB86" s="953"/>
      <c r="AUC86" s="953"/>
      <c r="AUD86" s="953"/>
      <c r="AUE86" s="953"/>
      <c r="AUF86" s="953"/>
      <c r="AUG86" s="953"/>
      <c r="AUH86" s="953"/>
      <c r="AUI86" s="953"/>
      <c r="AUJ86" s="953"/>
      <c r="AUK86" s="953"/>
      <c r="AUL86" s="953"/>
      <c r="AUM86" s="953"/>
      <c r="AUN86" s="953"/>
      <c r="AUO86" s="953"/>
      <c r="AUP86" s="953"/>
      <c r="AUQ86" s="953"/>
      <c r="AUR86" s="953"/>
      <c r="AUS86" s="953"/>
      <c r="AUT86" s="953"/>
      <c r="AUU86" s="953"/>
      <c r="AUV86" s="953"/>
      <c r="AUW86" s="953"/>
      <c r="AUX86" s="953"/>
      <c r="AUY86" s="953"/>
      <c r="AUZ86" s="953"/>
      <c r="AVA86" s="953"/>
      <c r="AVB86" s="953"/>
      <c r="AVC86" s="953"/>
      <c r="AVD86" s="953"/>
      <c r="AVE86" s="953"/>
      <c r="AVF86" s="953"/>
      <c r="AVG86" s="953"/>
      <c r="AVH86" s="953"/>
      <c r="AVI86" s="953"/>
      <c r="AVJ86" s="953"/>
      <c r="AVK86" s="953"/>
      <c r="AVL86" s="953"/>
      <c r="AVM86" s="953"/>
      <c r="AVN86" s="953"/>
      <c r="AVO86" s="953"/>
      <c r="AVP86" s="953"/>
      <c r="AVQ86" s="953"/>
      <c r="AVR86" s="953"/>
      <c r="AVS86" s="953"/>
      <c r="AVT86" s="953"/>
      <c r="AVU86" s="953"/>
      <c r="AVV86" s="953"/>
      <c r="AVW86" s="953"/>
      <c r="AVX86" s="953"/>
      <c r="AVY86" s="953"/>
      <c r="AVZ86" s="953"/>
      <c r="AWA86" s="953"/>
      <c r="AWB86" s="953"/>
      <c r="AWC86" s="953"/>
      <c r="AWD86" s="953"/>
      <c r="AWE86" s="953"/>
      <c r="AWF86" s="953"/>
      <c r="AWG86" s="953"/>
      <c r="AWH86" s="953"/>
      <c r="AWI86" s="953"/>
      <c r="AWJ86" s="953"/>
      <c r="AWK86" s="953"/>
      <c r="AWL86" s="953"/>
      <c r="AWM86" s="953"/>
      <c r="AWN86" s="953"/>
      <c r="AWO86" s="953"/>
      <c r="AWP86" s="953"/>
      <c r="AWQ86" s="953"/>
      <c r="AWR86" s="953"/>
      <c r="AWS86" s="953"/>
      <c r="AWT86" s="953"/>
      <c r="AWU86" s="953"/>
      <c r="AWV86" s="953"/>
      <c r="AWW86" s="953"/>
      <c r="AWX86" s="953"/>
      <c r="AWY86" s="953"/>
      <c r="AWZ86" s="953"/>
      <c r="AXA86" s="953"/>
      <c r="AXB86" s="953"/>
      <c r="AXC86" s="953"/>
      <c r="AXD86" s="953"/>
      <c r="AXE86" s="953"/>
      <c r="AXF86" s="953"/>
      <c r="AXG86" s="953"/>
      <c r="AXH86" s="953"/>
      <c r="AXI86" s="953"/>
      <c r="AXJ86" s="953"/>
      <c r="AXK86" s="953"/>
      <c r="AXL86" s="953"/>
      <c r="AXM86" s="953"/>
      <c r="AXN86" s="953"/>
      <c r="AXO86" s="953"/>
      <c r="AXP86" s="953"/>
      <c r="AXQ86" s="953"/>
      <c r="AXR86" s="953"/>
      <c r="AXS86" s="953"/>
      <c r="AXT86" s="953"/>
      <c r="AXU86" s="953"/>
      <c r="AXV86" s="953"/>
      <c r="AXW86" s="953"/>
      <c r="AXX86" s="953"/>
      <c r="AXY86" s="953"/>
      <c r="AXZ86" s="953"/>
      <c r="AYA86" s="953"/>
      <c r="AYB86" s="953"/>
      <c r="AYC86" s="953"/>
      <c r="AYD86" s="953"/>
      <c r="AYE86" s="953"/>
      <c r="AYF86" s="953"/>
      <c r="AYG86" s="953"/>
      <c r="AYH86" s="953"/>
      <c r="AYI86" s="953"/>
      <c r="AYJ86" s="953"/>
      <c r="AYK86" s="953"/>
      <c r="AYL86" s="953"/>
      <c r="AYM86" s="953"/>
      <c r="AYN86" s="953"/>
      <c r="AYO86" s="953"/>
      <c r="AYP86" s="953"/>
      <c r="AYQ86" s="953"/>
      <c r="AYR86" s="953"/>
      <c r="AYS86" s="953"/>
      <c r="AYT86" s="953"/>
      <c r="AYU86" s="953"/>
      <c r="AYV86" s="953"/>
      <c r="AYW86" s="953"/>
      <c r="AYX86" s="953"/>
      <c r="AYY86" s="953"/>
      <c r="AYZ86" s="953"/>
      <c r="AZA86" s="953"/>
      <c r="AZB86" s="953"/>
      <c r="AZC86" s="953"/>
      <c r="AZD86" s="953"/>
      <c r="AZE86" s="953"/>
      <c r="AZF86" s="953"/>
      <c r="AZG86" s="953"/>
      <c r="AZH86" s="953"/>
      <c r="AZI86" s="953"/>
      <c r="AZJ86" s="953"/>
      <c r="AZK86" s="953"/>
      <c r="AZL86" s="953"/>
      <c r="AZM86" s="953"/>
      <c r="AZN86" s="953"/>
      <c r="AZO86" s="953"/>
      <c r="AZP86" s="953"/>
      <c r="AZQ86" s="953"/>
      <c r="AZR86" s="953"/>
      <c r="AZS86" s="953"/>
      <c r="AZT86" s="953"/>
      <c r="AZU86" s="953"/>
      <c r="AZV86" s="953"/>
      <c r="AZW86" s="953"/>
      <c r="AZX86" s="953"/>
      <c r="AZY86" s="953"/>
      <c r="AZZ86" s="953"/>
      <c r="BAA86" s="953"/>
      <c r="BAB86" s="953"/>
      <c r="BAC86" s="953"/>
      <c r="BAD86" s="953"/>
      <c r="BAE86" s="953"/>
      <c r="BAF86" s="953"/>
      <c r="BAG86" s="953"/>
      <c r="BAH86" s="953"/>
      <c r="BAI86" s="953"/>
      <c r="BAJ86" s="953"/>
      <c r="BAK86" s="953"/>
      <c r="BAL86" s="953"/>
      <c r="BAM86" s="953"/>
      <c r="BAN86" s="953"/>
      <c r="BAO86" s="953"/>
      <c r="BAP86" s="953"/>
      <c r="BAQ86" s="953"/>
      <c r="BAR86" s="953"/>
      <c r="BAS86" s="953"/>
      <c r="BAT86" s="953"/>
      <c r="BAU86" s="953"/>
      <c r="BAV86" s="953"/>
      <c r="BAW86" s="953"/>
      <c r="BAX86" s="953"/>
      <c r="BAY86" s="953"/>
      <c r="BAZ86" s="953"/>
      <c r="BBA86" s="953"/>
      <c r="BBB86" s="953"/>
      <c r="BBC86" s="953"/>
      <c r="BBD86" s="953"/>
      <c r="BBE86" s="953"/>
      <c r="BBF86" s="953"/>
      <c r="BBG86" s="953"/>
      <c r="BBH86" s="953"/>
      <c r="BBI86" s="953"/>
      <c r="BBJ86" s="953"/>
      <c r="BBK86" s="953"/>
      <c r="BBL86" s="953"/>
      <c r="BBM86" s="953"/>
      <c r="BBN86" s="953"/>
      <c r="BBO86" s="953"/>
      <c r="BBP86" s="953"/>
      <c r="BBQ86" s="953"/>
      <c r="BBR86" s="953"/>
      <c r="BBS86" s="953"/>
      <c r="BBT86" s="953"/>
      <c r="BBU86" s="953"/>
      <c r="BBV86" s="953"/>
      <c r="BBW86" s="953"/>
      <c r="BBX86" s="953"/>
      <c r="BBY86" s="953"/>
      <c r="BBZ86" s="953"/>
      <c r="BCA86" s="953"/>
      <c r="BCB86" s="953"/>
      <c r="BCC86" s="953"/>
      <c r="BCD86" s="953"/>
      <c r="BCE86" s="953"/>
      <c r="BCF86" s="953"/>
      <c r="BCG86" s="953"/>
      <c r="BCH86" s="953"/>
      <c r="BCI86" s="953"/>
      <c r="BCJ86" s="953"/>
      <c r="BCK86" s="953"/>
      <c r="BCL86" s="953"/>
      <c r="BCM86" s="953"/>
      <c r="BCN86" s="953"/>
      <c r="BCO86" s="953"/>
      <c r="BCP86" s="953"/>
      <c r="BCQ86" s="953"/>
      <c r="BCR86" s="953"/>
      <c r="BCS86" s="953"/>
      <c r="BCT86" s="953"/>
      <c r="BCU86" s="953"/>
      <c r="BCV86" s="953"/>
      <c r="BCW86" s="953"/>
      <c r="BCX86" s="953"/>
      <c r="BCY86" s="953"/>
      <c r="BCZ86" s="953"/>
      <c r="BDA86" s="953"/>
      <c r="BDB86" s="953"/>
      <c r="BDC86" s="953"/>
      <c r="BDD86" s="953"/>
      <c r="BDE86" s="953"/>
      <c r="BDF86" s="953"/>
      <c r="BDG86" s="953"/>
      <c r="BDH86" s="953"/>
      <c r="BDI86" s="953"/>
      <c r="BDJ86" s="953"/>
      <c r="BDK86" s="953"/>
      <c r="BDL86" s="953"/>
      <c r="BDM86" s="953"/>
      <c r="BDN86" s="953"/>
      <c r="BDO86" s="953"/>
      <c r="BDP86" s="953"/>
      <c r="BDQ86" s="953"/>
      <c r="BDR86" s="953"/>
      <c r="BDS86" s="953"/>
      <c r="BDT86" s="953"/>
      <c r="BDU86" s="953"/>
      <c r="BDV86" s="953"/>
      <c r="BDW86" s="953"/>
      <c r="BDX86" s="953"/>
      <c r="BDY86" s="953"/>
      <c r="BDZ86" s="953"/>
      <c r="BEA86" s="953"/>
      <c r="BEB86" s="953"/>
      <c r="BEC86" s="953"/>
      <c r="BED86" s="953"/>
      <c r="BEE86" s="953"/>
      <c r="BEF86" s="953"/>
      <c r="BEG86" s="953"/>
      <c r="BEH86" s="953"/>
      <c r="BEI86" s="953"/>
      <c r="BEJ86" s="953"/>
      <c r="BEK86" s="953"/>
      <c r="BEL86" s="953"/>
      <c r="BEM86" s="953"/>
      <c r="BEN86" s="953"/>
      <c r="BEO86" s="953"/>
      <c r="BEP86" s="953"/>
      <c r="BEQ86" s="953"/>
      <c r="BER86" s="953"/>
      <c r="BES86" s="953"/>
      <c r="BET86" s="953"/>
      <c r="BEU86" s="953"/>
      <c r="BEV86" s="953"/>
      <c r="BEW86" s="953"/>
      <c r="BEX86" s="953"/>
      <c r="BEY86" s="953"/>
      <c r="BEZ86" s="953"/>
      <c r="BFA86" s="953"/>
      <c r="BFB86" s="953"/>
      <c r="BFC86" s="953"/>
      <c r="BFD86" s="953"/>
      <c r="BFE86" s="953"/>
      <c r="BFF86" s="953"/>
      <c r="BFG86" s="953"/>
      <c r="BFH86" s="953"/>
      <c r="BFI86" s="953"/>
      <c r="BFJ86" s="953"/>
      <c r="BFK86" s="953"/>
      <c r="BFL86" s="953"/>
      <c r="BFM86" s="953"/>
      <c r="BFN86" s="953"/>
      <c r="BFO86" s="953"/>
      <c r="BFP86" s="953"/>
      <c r="BFQ86" s="953"/>
      <c r="BFR86" s="953"/>
      <c r="BFS86" s="953"/>
      <c r="BFT86" s="953"/>
      <c r="BFU86" s="953"/>
      <c r="BFV86" s="953"/>
      <c r="BFW86" s="953"/>
      <c r="BFX86" s="953"/>
      <c r="BFY86" s="953"/>
      <c r="BFZ86" s="953"/>
      <c r="BGA86" s="953"/>
      <c r="BGB86" s="953"/>
      <c r="BGC86" s="953"/>
      <c r="BGD86" s="953"/>
      <c r="BGE86" s="953"/>
      <c r="BGF86" s="953"/>
      <c r="BGG86" s="953"/>
      <c r="BGH86" s="953"/>
      <c r="BGI86" s="953"/>
      <c r="BGJ86" s="953"/>
      <c r="BGK86" s="953"/>
      <c r="BGL86" s="953"/>
      <c r="BGM86" s="953"/>
      <c r="BGN86" s="953"/>
      <c r="BGO86" s="953"/>
      <c r="BGP86" s="953"/>
      <c r="BGQ86" s="953"/>
      <c r="BGR86" s="953"/>
      <c r="BGS86" s="953"/>
      <c r="BGT86" s="953"/>
      <c r="BGU86" s="953"/>
      <c r="BGV86" s="953"/>
      <c r="BGW86" s="953"/>
      <c r="BGX86" s="953"/>
      <c r="BGY86" s="953"/>
      <c r="BGZ86" s="953"/>
      <c r="BHA86" s="953"/>
      <c r="BHB86" s="953"/>
      <c r="BHC86" s="953"/>
      <c r="BHD86" s="953"/>
      <c r="BHE86" s="953"/>
      <c r="BHF86" s="953"/>
      <c r="BHG86" s="953"/>
      <c r="BHH86" s="953"/>
      <c r="BHI86" s="953"/>
      <c r="BHJ86" s="953"/>
      <c r="BHK86" s="953"/>
      <c r="BHL86" s="953"/>
      <c r="BHM86" s="953"/>
      <c r="BHN86" s="953"/>
      <c r="BHO86" s="953"/>
      <c r="BHP86" s="953"/>
      <c r="BHQ86" s="953"/>
      <c r="BHR86" s="953"/>
      <c r="BHS86" s="953"/>
      <c r="BHT86" s="953"/>
      <c r="BHU86" s="953"/>
      <c r="BHV86" s="953"/>
      <c r="BHW86" s="953"/>
      <c r="BHX86" s="953"/>
      <c r="BHY86" s="953"/>
      <c r="BHZ86" s="953"/>
      <c r="BIA86" s="953"/>
      <c r="BIB86" s="953"/>
      <c r="BIC86" s="953"/>
      <c r="BID86" s="953"/>
      <c r="BIE86" s="953"/>
      <c r="BIF86" s="953"/>
      <c r="BIG86" s="953"/>
      <c r="BIH86" s="953"/>
      <c r="BII86" s="953"/>
      <c r="BIJ86" s="953"/>
      <c r="BIK86" s="953"/>
      <c r="BIL86" s="953"/>
      <c r="BIM86" s="953"/>
      <c r="BIN86" s="953"/>
      <c r="BIO86" s="953"/>
      <c r="BIP86" s="953"/>
      <c r="BIQ86" s="953"/>
      <c r="BIR86" s="953"/>
      <c r="BIS86" s="953"/>
      <c r="BIT86" s="953"/>
      <c r="BIU86" s="953"/>
      <c r="BIV86" s="953"/>
      <c r="BIW86" s="953"/>
      <c r="BIX86" s="953"/>
      <c r="BIY86" s="953"/>
      <c r="BIZ86" s="953"/>
      <c r="BJA86" s="953"/>
      <c r="BJB86" s="953"/>
      <c r="BJC86" s="953"/>
      <c r="BJD86" s="953"/>
      <c r="BJE86" s="953"/>
      <c r="BJF86" s="953"/>
      <c r="BJG86" s="953"/>
      <c r="BJH86" s="953"/>
      <c r="BJI86" s="953"/>
      <c r="BJJ86" s="953"/>
      <c r="BJK86" s="953"/>
      <c r="BJL86" s="953"/>
      <c r="BJM86" s="953"/>
      <c r="BJN86" s="953"/>
      <c r="BJO86" s="953"/>
      <c r="BJP86" s="953"/>
      <c r="BJQ86" s="953"/>
      <c r="BJR86" s="953"/>
      <c r="BJS86" s="953"/>
      <c r="BJT86" s="953"/>
      <c r="BJU86" s="953"/>
      <c r="BJV86" s="953"/>
      <c r="BJW86" s="953"/>
      <c r="BJX86" s="953"/>
      <c r="BJY86" s="953"/>
      <c r="BJZ86" s="953"/>
      <c r="BKA86" s="953"/>
      <c r="BKB86" s="953"/>
      <c r="BKC86" s="953"/>
      <c r="BKD86" s="953"/>
      <c r="BKE86" s="953"/>
      <c r="BKF86" s="953"/>
      <c r="BKG86" s="953"/>
      <c r="BKH86" s="953"/>
      <c r="BKI86" s="953"/>
      <c r="BKJ86" s="953"/>
      <c r="BKK86" s="953"/>
      <c r="BKL86" s="953"/>
      <c r="BKM86" s="953"/>
      <c r="BKN86" s="953"/>
      <c r="BKO86" s="953"/>
      <c r="BKP86" s="953"/>
      <c r="BKQ86" s="953"/>
      <c r="BKR86" s="953"/>
      <c r="BKS86" s="953"/>
      <c r="BKT86" s="953"/>
      <c r="BKU86" s="953"/>
      <c r="BKV86" s="953"/>
      <c r="BKW86" s="953"/>
      <c r="BKX86" s="953"/>
      <c r="BKY86" s="953"/>
      <c r="BKZ86" s="953"/>
      <c r="BLA86" s="953"/>
      <c r="BLB86" s="953"/>
      <c r="BLC86" s="953"/>
      <c r="BLD86" s="953"/>
      <c r="BLE86" s="953"/>
      <c r="BLF86" s="953"/>
      <c r="BLG86" s="953"/>
      <c r="BLH86" s="953"/>
      <c r="BLI86" s="953"/>
      <c r="BLJ86" s="953"/>
      <c r="BLK86" s="953"/>
      <c r="BLL86" s="953"/>
      <c r="BLM86" s="953"/>
      <c r="BLN86" s="953"/>
      <c r="BLO86" s="953"/>
      <c r="BLP86" s="953"/>
      <c r="BLQ86" s="953"/>
      <c r="BLR86" s="953"/>
      <c r="BLS86" s="953"/>
      <c r="BLT86" s="953"/>
      <c r="BLU86" s="953"/>
      <c r="BLV86" s="953"/>
      <c r="BLW86" s="953"/>
      <c r="BLX86" s="953"/>
      <c r="BLY86" s="953"/>
      <c r="BLZ86" s="953"/>
      <c r="BMA86" s="953"/>
      <c r="BMB86" s="953"/>
      <c r="BMC86" s="953"/>
      <c r="BMD86" s="953"/>
      <c r="BME86" s="953"/>
      <c r="BMF86" s="953"/>
      <c r="BMG86" s="953"/>
      <c r="BMH86" s="953"/>
      <c r="BMI86" s="953"/>
      <c r="BMJ86" s="953"/>
      <c r="BMK86" s="953"/>
      <c r="BML86" s="953"/>
      <c r="BMM86" s="953"/>
      <c r="BMN86" s="953"/>
      <c r="BMO86" s="953"/>
      <c r="BMP86" s="953"/>
      <c r="BMQ86" s="953"/>
      <c r="BMR86" s="953"/>
      <c r="BMS86" s="953"/>
      <c r="BMT86" s="953"/>
      <c r="BMU86" s="953"/>
      <c r="BMV86" s="953"/>
      <c r="BMW86" s="953"/>
      <c r="BMX86" s="953"/>
      <c r="BMY86" s="953"/>
      <c r="BMZ86" s="953"/>
      <c r="BNA86" s="953"/>
      <c r="BNB86" s="953"/>
      <c r="BNC86" s="953"/>
      <c r="BND86" s="953"/>
      <c r="BNE86" s="953"/>
      <c r="BNF86" s="953"/>
      <c r="BNG86" s="953"/>
      <c r="BNH86" s="953"/>
      <c r="BNI86" s="953"/>
      <c r="BNJ86" s="953"/>
      <c r="BNK86" s="953"/>
      <c r="BNL86" s="953"/>
      <c r="BNM86" s="953"/>
      <c r="BNN86" s="953"/>
      <c r="BNO86" s="953"/>
      <c r="BNP86" s="953"/>
      <c r="BNQ86" s="953"/>
      <c r="BNR86" s="953"/>
      <c r="BNS86" s="953"/>
      <c r="BNT86" s="953"/>
      <c r="BNU86" s="953"/>
      <c r="BNV86" s="953"/>
      <c r="BNW86" s="953"/>
      <c r="BNX86" s="953"/>
      <c r="BNY86" s="953"/>
      <c r="BNZ86" s="953"/>
      <c r="BOA86" s="953"/>
      <c r="BOB86" s="953"/>
      <c r="BOC86" s="953"/>
      <c r="BOD86" s="953"/>
      <c r="BOE86" s="953"/>
      <c r="BOF86" s="953"/>
      <c r="BOG86" s="953"/>
      <c r="BOH86" s="953"/>
      <c r="BOI86" s="953"/>
      <c r="BOJ86" s="953"/>
      <c r="BOK86" s="953"/>
      <c r="BOL86" s="953"/>
      <c r="BOM86" s="953"/>
      <c r="BON86" s="953"/>
      <c r="BOO86" s="953"/>
      <c r="BOP86" s="953"/>
      <c r="BOQ86" s="953"/>
      <c r="BOR86" s="953"/>
      <c r="BOS86" s="953"/>
      <c r="BOT86" s="953"/>
      <c r="BOU86" s="953"/>
      <c r="BOV86" s="953"/>
      <c r="BOW86" s="953"/>
      <c r="BOX86" s="953"/>
      <c r="BOY86" s="953"/>
      <c r="BOZ86" s="953"/>
      <c r="BPA86" s="953"/>
      <c r="BPB86" s="953"/>
      <c r="BPC86" s="953"/>
      <c r="BPD86" s="953"/>
      <c r="BPE86" s="953"/>
      <c r="BPF86" s="953"/>
      <c r="BPG86" s="953"/>
      <c r="BPH86" s="953"/>
      <c r="BPI86" s="953"/>
      <c r="BPJ86" s="953"/>
      <c r="BPK86" s="953"/>
      <c r="BPL86" s="953"/>
      <c r="BPM86" s="953"/>
      <c r="BPN86" s="953"/>
      <c r="BPO86" s="953"/>
      <c r="BPP86" s="953"/>
      <c r="BPQ86" s="953"/>
      <c r="BPR86" s="953"/>
      <c r="BPS86" s="953"/>
      <c r="BPT86" s="953"/>
      <c r="BPU86" s="953"/>
      <c r="BPV86" s="953"/>
      <c r="BPW86" s="953"/>
      <c r="BPX86" s="953"/>
      <c r="BPY86" s="953"/>
      <c r="BPZ86" s="953"/>
      <c r="BQA86" s="953"/>
      <c r="BQB86" s="953"/>
      <c r="BQC86" s="953"/>
      <c r="BQD86" s="953"/>
      <c r="BQE86" s="953"/>
      <c r="BQF86" s="953"/>
      <c r="BQG86" s="953"/>
      <c r="BQH86" s="953"/>
      <c r="BQI86" s="953"/>
      <c r="BQJ86" s="953"/>
      <c r="BQK86" s="953"/>
      <c r="BQL86" s="953"/>
      <c r="BQM86" s="953"/>
      <c r="BQN86" s="953"/>
      <c r="BQO86" s="953"/>
      <c r="BQP86" s="953"/>
      <c r="BQQ86" s="953"/>
      <c r="BQR86" s="953"/>
      <c r="BQS86" s="953"/>
      <c r="BQT86" s="953"/>
      <c r="BQU86" s="953"/>
      <c r="BQV86" s="953"/>
      <c r="BQW86" s="953"/>
      <c r="BQX86" s="953"/>
      <c r="BQY86" s="953"/>
      <c r="BQZ86" s="953"/>
      <c r="BRA86" s="953"/>
      <c r="BRB86" s="953"/>
      <c r="BRC86" s="953"/>
      <c r="BRD86" s="953"/>
      <c r="BRE86" s="953"/>
      <c r="BRF86" s="953"/>
      <c r="BRG86" s="953"/>
      <c r="BRH86" s="953"/>
      <c r="BRI86" s="953"/>
      <c r="BRJ86" s="953"/>
      <c r="BRK86" s="953"/>
      <c r="BRL86" s="953"/>
      <c r="BRM86" s="953"/>
      <c r="BRN86" s="953"/>
      <c r="BRO86" s="953"/>
      <c r="BRP86" s="953"/>
      <c r="BRQ86" s="953"/>
      <c r="BRR86" s="953"/>
      <c r="BRS86" s="953"/>
      <c r="BRT86" s="953"/>
      <c r="BRU86" s="953"/>
      <c r="BRV86" s="953"/>
      <c r="BRW86" s="953"/>
      <c r="BRX86" s="953"/>
      <c r="BRY86" s="953"/>
      <c r="BRZ86" s="953"/>
      <c r="BSA86" s="953"/>
      <c r="BSB86" s="953"/>
      <c r="BSC86" s="953"/>
      <c r="BSD86" s="953"/>
      <c r="BSE86" s="953"/>
      <c r="BSF86" s="953"/>
      <c r="BSG86" s="953"/>
      <c r="BSH86" s="953"/>
      <c r="BSI86" s="953"/>
      <c r="BSJ86" s="953"/>
      <c r="BSK86" s="953"/>
      <c r="BSL86" s="953"/>
      <c r="BSM86" s="953"/>
      <c r="BSN86" s="953"/>
      <c r="BSO86" s="953"/>
      <c r="BSP86" s="953"/>
      <c r="BSQ86" s="953"/>
      <c r="BSR86" s="953"/>
      <c r="BSS86" s="953"/>
      <c r="BST86" s="953"/>
      <c r="BSU86" s="953"/>
      <c r="BSV86" s="953"/>
      <c r="BSW86" s="953"/>
      <c r="BSX86" s="953"/>
      <c r="BSY86" s="953"/>
      <c r="BSZ86" s="953"/>
      <c r="BTA86" s="953"/>
      <c r="BTB86" s="953"/>
      <c r="BTC86" s="953"/>
      <c r="BTD86" s="953"/>
      <c r="BTE86" s="953"/>
      <c r="BTF86" s="953"/>
      <c r="BTG86" s="953"/>
      <c r="BTH86" s="953"/>
      <c r="BTI86" s="953"/>
      <c r="BTJ86" s="953"/>
      <c r="BTK86" s="953"/>
      <c r="BTL86" s="953"/>
      <c r="BTM86" s="953"/>
      <c r="BTN86" s="953"/>
      <c r="BTO86" s="953"/>
      <c r="BTP86" s="953"/>
      <c r="BTQ86" s="953"/>
      <c r="BTR86" s="953"/>
      <c r="BTS86" s="953"/>
      <c r="BTT86" s="953"/>
      <c r="BTU86" s="953"/>
      <c r="BTV86" s="953"/>
      <c r="BTW86" s="953"/>
      <c r="BTX86" s="953"/>
      <c r="BTY86" s="953"/>
      <c r="BTZ86" s="953"/>
      <c r="BUA86" s="953"/>
      <c r="BUB86" s="953"/>
      <c r="BUC86" s="953"/>
      <c r="BUD86" s="953"/>
      <c r="BUE86" s="953"/>
      <c r="BUF86" s="953"/>
      <c r="BUG86" s="953"/>
      <c r="BUH86" s="953"/>
      <c r="BUI86" s="953"/>
      <c r="BUJ86" s="953"/>
      <c r="BUK86" s="953"/>
      <c r="BUL86" s="953"/>
      <c r="BUM86" s="953"/>
      <c r="BUN86" s="953"/>
      <c r="BUO86" s="953"/>
      <c r="BUP86" s="953"/>
      <c r="BUQ86" s="953"/>
      <c r="BUR86" s="953"/>
      <c r="BUS86" s="953"/>
      <c r="BUT86" s="953"/>
      <c r="BUU86" s="953"/>
      <c r="BUV86" s="953"/>
      <c r="BUW86" s="953"/>
      <c r="BUX86" s="953"/>
      <c r="BUY86" s="953"/>
      <c r="BUZ86" s="953"/>
      <c r="BVA86" s="953"/>
      <c r="BVB86" s="953"/>
      <c r="BVC86" s="953"/>
      <c r="BVD86" s="953"/>
      <c r="BVE86" s="953"/>
      <c r="BVF86" s="953"/>
      <c r="BVG86" s="953"/>
      <c r="BVH86" s="953"/>
      <c r="BVI86" s="953"/>
      <c r="BVJ86" s="953"/>
      <c r="BVK86" s="953"/>
      <c r="BVL86" s="953"/>
      <c r="BVM86" s="953"/>
      <c r="BVN86" s="953"/>
      <c r="BVO86" s="953"/>
      <c r="BVP86" s="953"/>
      <c r="BVQ86" s="953"/>
      <c r="BVR86" s="953"/>
      <c r="BVS86" s="953"/>
      <c r="BVT86" s="953"/>
      <c r="BVU86" s="953"/>
      <c r="BVV86" s="953"/>
      <c r="BVW86" s="953"/>
      <c r="BVX86" s="953"/>
      <c r="BVY86" s="953"/>
      <c r="BVZ86" s="953"/>
      <c r="BWA86" s="953"/>
      <c r="BWB86" s="953"/>
      <c r="BWC86" s="953"/>
      <c r="BWD86" s="953"/>
      <c r="BWE86" s="953"/>
      <c r="BWF86" s="953"/>
      <c r="BWG86" s="953"/>
      <c r="BWH86" s="953"/>
      <c r="BWI86" s="953"/>
      <c r="BWJ86" s="953"/>
      <c r="BWK86" s="953"/>
      <c r="BWL86" s="953"/>
      <c r="BWM86" s="953"/>
      <c r="BWN86" s="953"/>
      <c r="BWO86" s="953"/>
      <c r="BWP86" s="953"/>
      <c r="BWQ86" s="953"/>
      <c r="BWR86" s="953"/>
      <c r="BWS86" s="953"/>
      <c r="BWT86" s="953"/>
      <c r="BWU86" s="953"/>
      <c r="BWV86" s="953"/>
      <c r="BWW86" s="953"/>
      <c r="BWX86" s="953"/>
      <c r="BWY86" s="953"/>
      <c r="BWZ86" s="953"/>
      <c r="BXA86" s="953"/>
      <c r="BXB86" s="953"/>
      <c r="BXC86" s="953"/>
      <c r="BXD86" s="953"/>
      <c r="BXE86" s="953"/>
      <c r="BXF86" s="953"/>
      <c r="BXG86" s="953"/>
      <c r="BXH86" s="953"/>
      <c r="BXI86" s="953"/>
      <c r="BXJ86" s="953"/>
      <c r="BXK86" s="953"/>
      <c r="BXL86" s="953"/>
      <c r="BXM86" s="953"/>
      <c r="BXN86" s="953"/>
      <c r="BXO86" s="953"/>
      <c r="BXP86" s="953"/>
      <c r="BXQ86" s="953"/>
      <c r="BXR86" s="953"/>
      <c r="BXS86" s="953"/>
      <c r="BXT86" s="953"/>
      <c r="BXU86" s="953"/>
      <c r="BXV86" s="953"/>
      <c r="BXW86" s="953"/>
      <c r="BXX86" s="953"/>
      <c r="BXY86" s="953"/>
      <c r="BXZ86" s="953"/>
      <c r="BYA86" s="953"/>
      <c r="BYB86" s="953"/>
      <c r="BYC86" s="953"/>
      <c r="BYD86" s="953"/>
      <c r="BYE86" s="953"/>
      <c r="BYF86" s="953"/>
      <c r="BYG86" s="953"/>
      <c r="BYH86" s="953"/>
      <c r="BYI86" s="953"/>
      <c r="BYJ86" s="953"/>
      <c r="BYK86" s="953"/>
      <c r="BYL86" s="953"/>
      <c r="BYM86" s="953"/>
      <c r="BYN86" s="953"/>
      <c r="BYO86" s="953"/>
      <c r="BYP86" s="953"/>
      <c r="BYQ86" s="953"/>
      <c r="BYR86" s="953"/>
      <c r="BYS86" s="953"/>
      <c r="BYT86" s="953"/>
      <c r="BYU86" s="953"/>
      <c r="BYV86" s="953"/>
      <c r="BYW86" s="953"/>
      <c r="BYX86" s="953"/>
      <c r="BYY86" s="953"/>
      <c r="BYZ86" s="953"/>
      <c r="BZA86" s="953"/>
      <c r="BZB86" s="953"/>
      <c r="BZC86" s="953"/>
      <c r="BZD86" s="953"/>
      <c r="BZE86" s="953"/>
      <c r="BZF86" s="953"/>
      <c r="BZG86" s="953"/>
      <c r="BZH86" s="953"/>
      <c r="BZI86" s="953"/>
      <c r="BZJ86" s="953"/>
      <c r="BZK86" s="953"/>
      <c r="BZL86" s="953"/>
      <c r="BZM86" s="953"/>
      <c r="BZN86" s="953"/>
      <c r="BZO86" s="953"/>
      <c r="BZP86" s="953"/>
      <c r="BZQ86" s="953"/>
      <c r="BZR86" s="953"/>
      <c r="BZS86" s="953"/>
      <c r="BZT86" s="953"/>
      <c r="BZU86" s="953"/>
      <c r="BZV86" s="953"/>
      <c r="BZW86" s="953"/>
      <c r="BZX86" s="953"/>
      <c r="BZY86" s="953"/>
      <c r="BZZ86" s="953"/>
      <c r="CAA86" s="953"/>
      <c r="CAB86" s="953"/>
      <c r="CAC86" s="953"/>
      <c r="CAD86" s="953"/>
      <c r="CAE86" s="953"/>
      <c r="CAF86" s="953"/>
      <c r="CAG86" s="953"/>
      <c r="CAH86" s="953"/>
      <c r="CAI86" s="953"/>
      <c r="CAJ86" s="953"/>
      <c r="CAK86" s="953"/>
      <c r="CAL86" s="953"/>
      <c r="CAM86" s="953"/>
      <c r="CAN86" s="953"/>
      <c r="CAO86" s="953"/>
      <c r="CAP86" s="953"/>
      <c r="CAQ86" s="953"/>
      <c r="CAR86" s="953"/>
      <c r="CAS86" s="953"/>
      <c r="CAT86" s="953"/>
      <c r="CAU86" s="953"/>
      <c r="CAV86" s="953"/>
      <c r="CAW86" s="953"/>
      <c r="CAX86" s="953"/>
      <c r="CAY86" s="953"/>
      <c r="CAZ86" s="953"/>
      <c r="CBA86" s="953"/>
      <c r="CBB86" s="953"/>
      <c r="CBC86" s="953"/>
      <c r="CBD86" s="953"/>
      <c r="CBE86" s="953"/>
      <c r="CBF86" s="953"/>
      <c r="CBG86" s="953"/>
      <c r="CBH86" s="953"/>
      <c r="CBI86" s="953"/>
      <c r="CBJ86" s="953"/>
      <c r="CBK86" s="953"/>
      <c r="CBL86" s="953"/>
      <c r="CBM86" s="953"/>
      <c r="CBN86" s="953"/>
      <c r="CBO86" s="953"/>
      <c r="CBP86" s="953"/>
      <c r="CBQ86" s="953"/>
      <c r="CBR86" s="953"/>
      <c r="CBS86" s="953"/>
      <c r="CBT86" s="953"/>
      <c r="CBU86" s="953"/>
      <c r="CBV86" s="953"/>
      <c r="CBW86" s="953"/>
      <c r="CBX86" s="953"/>
      <c r="CBY86" s="953"/>
      <c r="CBZ86" s="953"/>
      <c r="CCA86" s="953"/>
      <c r="CCB86" s="953"/>
      <c r="CCC86" s="953"/>
      <c r="CCD86" s="953"/>
      <c r="CCE86" s="953"/>
      <c r="CCF86" s="953"/>
      <c r="CCG86" s="953"/>
      <c r="CCH86" s="953"/>
      <c r="CCI86" s="953"/>
      <c r="CCJ86" s="953"/>
      <c r="CCK86" s="953"/>
      <c r="CCL86" s="953"/>
      <c r="CCM86" s="953"/>
      <c r="CCN86" s="953"/>
      <c r="CCO86" s="953"/>
      <c r="CCP86" s="953"/>
      <c r="CCQ86" s="953"/>
      <c r="CCR86" s="953"/>
      <c r="CCS86" s="953"/>
      <c r="CCT86" s="953"/>
      <c r="CCU86" s="953"/>
      <c r="CCV86" s="953"/>
      <c r="CCW86" s="953"/>
      <c r="CCX86" s="953"/>
      <c r="CCY86" s="953"/>
      <c r="CCZ86" s="953"/>
      <c r="CDA86" s="953"/>
      <c r="CDB86" s="953"/>
      <c r="CDC86" s="953"/>
      <c r="CDD86" s="953"/>
      <c r="CDE86" s="953"/>
      <c r="CDF86" s="953"/>
      <c r="CDG86" s="953"/>
      <c r="CDH86" s="953"/>
      <c r="CDI86" s="953"/>
      <c r="CDJ86" s="953"/>
      <c r="CDK86" s="953"/>
      <c r="CDL86" s="953"/>
      <c r="CDM86" s="953"/>
      <c r="CDN86" s="953"/>
      <c r="CDO86" s="953"/>
      <c r="CDP86" s="953"/>
      <c r="CDQ86" s="953"/>
      <c r="CDR86" s="953"/>
      <c r="CDS86" s="953"/>
      <c r="CDT86" s="953"/>
      <c r="CDU86" s="953"/>
      <c r="CDV86" s="953"/>
      <c r="CDW86" s="953"/>
      <c r="CDX86" s="953"/>
      <c r="CDY86" s="953"/>
      <c r="CDZ86" s="953"/>
      <c r="CEA86" s="953"/>
      <c r="CEB86" s="953"/>
      <c r="CEC86" s="953"/>
      <c r="CED86" s="953"/>
      <c r="CEE86" s="953"/>
      <c r="CEF86" s="953"/>
      <c r="CEG86" s="953"/>
      <c r="CEH86" s="953"/>
      <c r="CEI86" s="953"/>
      <c r="CEJ86" s="953"/>
      <c r="CEK86" s="953"/>
      <c r="CEL86" s="953"/>
      <c r="CEM86" s="953"/>
      <c r="CEN86" s="953"/>
      <c r="CEO86" s="953"/>
      <c r="CEP86" s="953"/>
      <c r="CEQ86" s="953"/>
      <c r="CER86" s="953"/>
      <c r="CES86" s="953"/>
      <c r="CET86" s="953"/>
      <c r="CEU86" s="953"/>
      <c r="CEV86" s="953"/>
      <c r="CEW86" s="953"/>
      <c r="CEX86" s="953"/>
      <c r="CEY86" s="953"/>
      <c r="CEZ86" s="953"/>
      <c r="CFA86" s="953"/>
      <c r="CFB86" s="953"/>
      <c r="CFC86" s="953"/>
      <c r="CFD86" s="953"/>
      <c r="CFE86" s="953"/>
      <c r="CFF86" s="953"/>
      <c r="CFG86" s="953"/>
      <c r="CFH86" s="953"/>
      <c r="CFI86" s="953"/>
      <c r="CFJ86" s="953"/>
      <c r="CFK86" s="953"/>
      <c r="CFL86" s="953"/>
      <c r="CFM86" s="953"/>
      <c r="CFN86" s="953"/>
      <c r="CFO86" s="953"/>
      <c r="CFP86" s="953"/>
      <c r="CFQ86" s="953"/>
      <c r="CFR86" s="953"/>
      <c r="CFS86" s="953"/>
      <c r="CFT86" s="953"/>
      <c r="CFU86" s="953"/>
      <c r="CFV86" s="953"/>
      <c r="CFW86" s="953"/>
      <c r="CFX86" s="953"/>
      <c r="CFY86" s="953"/>
      <c r="CFZ86" s="953"/>
      <c r="CGA86" s="953"/>
      <c r="CGB86" s="953"/>
      <c r="CGC86" s="953"/>
      <c r="CGD86" s="953"/>
      <c r="CGE86" s="953"/>
      <c r="CGF86" s="953"/>
      <c r="CGG86" s="953"/>
      <c r="CGH86" s="953"/>
      <c r="CGI86" s="953"/>
      <c r="CGJ86" s="953"/>
      <c r="CGK86" s="953"/>
      <c r="CGL86" s="953"/>
      <c r="CGM86" s="953"/>
      <c r="CGN86" s="953"/>
      <c r="CGO86" s="953"/>
      <c r="CGP86" s="953"/>
      <c r="CGQ86" s="953"/>
      <c r="CGR86" s="953"/>
      <c r="CGS86" s="953"/>
      <c r="CGT86" s="953"/>
      <c r="CGU86" s="953"/>
      <c r="CGV86" s="953"/>
      <c r="CGW86" s="953"/>
      <c r="CGX86" s="953"/>
      <c r="CGY86" s="953"/>
      <c r="CGZ86" s="953"/>
      <c r="CHA86" s="953"/>
      <c r="CHB86" s="953"/>
      <c r="CHC86" s="953"/>
      <c r="CHD86" s="953"/>
      <c r="CHE86" s="953"/>
      <c r="CHF86" s="953"/>
      <c r="CHG86" s="953"/>
      <c r="CHH86" s="953"/>
      <c r="CHI86" s="953"/>
      <c r="CHJ86" s="953"/>
      <c r="CHK86" s="953"/>
      <c r="CHL86" s="953"/>
      <c r="CHM86" s="953"/>
      <c r="CHN86" s="953"/>
      <c r="CHO86" s="953"/>
      <c r="CHP86" s="953"/>
      <c r="CHQ86" s="953"/>
      <c r="CHR86" s="953"/>
      <c r="CHS86" s="953"/>
      <c r="CHT86" s="953"/>
      <c r="CHU86" s="953"/>
      <c r="CHV86" s="953"/>
      <c r="CHW86" s="953"/>
      <c r="CHX86" s="953"/>
      <c r="CHY86" s="953"/>
      <c r="CHZ86" s="953"/>
      <c r="CIA86" s="953"/>
      <c r="CIB86" s="953"/>
      <c r="CIC86" s="953"/>
      <c r="CID86" s="953"/>
      <c r="CIE86" s="953"/>
      <c r="CIF86" s="953"/>
      <c r="CIG86" s="953"/>
      <c r="CIH86" s="953"/>
      <c r="CII86" s="953"/>
      <c r="CIJ86" s="953"/>
      <c r="CIK86" s="953"/>
      <c r="CIL86" s="953"/>
      <c r="CIM86" s="953"/>
      <c r="CIN86" s="953"/>
      <c r="CIO86" s="953"/>
      <c r="CIP86" s="953"/>
      <c r="CIQ86" s="953"/>
      <c r="CIR86" s="953"/>
      <c r="CIS86" s="953"/>
      <c r="CIT86" s="953"/>
      <c r="CIU86" s="953"/>
      <c r="CIV86" s="953"/>
      <c r="CIW86" s="953"/>
      <c r="CIX86" s="953"/>
      <c r="CIY86" s="953"/>
      <c r="CIZ86" s="953"/>
      <c r="CJA86" s="953"/>
      <c r="CJB86" s="953"/>
      <c r="CJC86" s="953"/>
      <c r="CJD86" s="953"/>
      <c r="CJE86" s="953"/>
      <c r="CJF86" s="953"/>
      <c r="CJG86" s="953"/>
      <c r="CJH86" s="953"/>
      <c r="CJI86" s="953"/>
      <c r="CJJ86" s="953"/>
      <c r="CJK86" s="953"/>
      <c r="CJL86" s="953"/>
      <c r="CJM86" s="953"/>
      <c r="CJN86" s="953"/>
      <c r="CJO86" s="953"/>
      <c r="CJP86" s="953"/>
      <c r="CJQ86" s="953"/>
      <c r="CJR86" s="953"/>
      <c r="CJS86" s="953"/>
      <c r="CJT86" s="953"/>
      <c r="CJU86" s="953"/>
      <c r="CJV86" s="953"/>
      <c r="CJW86" s="953"/>
      <c r="CJX86" s="953"/>
      <c r="CJY86" s="953"/>
      <c r="CJZ86" s="953"/>
      <c r="CKA86" s="953"/>
      <c r="CKB86" s="953"/>
      <c r="CKC86" s="953"/>
      <c r="CKD86" s="953"/>
      <c r="CKE86" s="953"/>
      <c r="CKF86" s="953"/>
      <c r="CKG86" s="953"/>
      <c r="CKH86" s="953"/>
      <c r="CKI86" s="953"/>
      <c r="CKJ86" s="953"/>
      <c r="CKK86" s="953"/>
      <c r="CKL86" s="953"/>
      <c r="CKM86" s="953"/>
      <c r="CKN86" s="953"/>
      <c r="CKO86" s="953"/>
      <c r="CKP86" s="953"/>
      <c r="CKQ86" s="953"/>
      <c r="CKR86" s="953"/>
      <c r="CKS86" s="953"/>
      <c r="CKT86" s="953"/>
      <c r="CKU86" s="953"/>
      <c r="CKV86" s="953"/>
      <c r="CKW86" s="953"/>
      <c r="CKX86" s="953"/>
      <c r="CKY86" s="953"/>
      <c r="CKZ86" s="953"/>
      <c r="CLA86" s="953"/>
      <c r="CLB86" s="953"/>
      <c r="CLC86" s="953"/>
      <c r="CLD86" s="953"/>
      <c r="CLE86" s="953"/>
      <c r="CLF86" s="953"/>
      <c r="CLG86" s="953"/>
      <c r="CLH86" s="953"/>
      <c r="CLI86" s="953"/>
      <c r="CLJ86" s="953"/>
      <c r="CLK86" s="953"/>
      <c r="CLL86" s="953"/>
      <c r="CLM86" s="953"/>
      <c r="CLN86" s="953"/>
      <c r="CLO86" s="953"/>
      <c r="CLP86" s="953"/>
      <c r="CLQ86" s="953"/>
      <c r="CLR86" s="953"/>
      <c r="CLS86" s="953"/>
      <c r="CLT86" s="953"/>
      <c r="CLU86" s="953"/>
      <c r="CLV86" s="953"/>
      <c r="CLW86" s="953"/>
      <c r="CLX86" s="953"/>
      <c r="CLY86" s="953"/>
      <c r="CLZ86" s="953"/>
      <c r="CMA86" s="953"/>
      <c r="CMB86" s="953"/>
      <c r="CMC86" s="953"/>
      <c r="CMD86" s="953"/>
      <c r="CME86" s="953"/>
      <c r="CMF86" s="953"/>
      <c r="CMG86" s="953"/>
      <c r="CMH86" s="953"/>
      <c r="CMI86" s="953"/>
      <c r="CMJ86" s="953"/>
      <c r="CMK86" s="953"/>
      <c r="CML86" s="953"/>
      <c r="CMM86" s="953"/>
      <c r="CMN86" s="953"/>
      <c r="CMO86" s="953"/>
      <c r="CMP86" s="953"/>
      <c r="CMQ86" s="953"/>
      <c r="CMR86" s="953"/>
      <c r="CMS86" s="953"/>
      <c r="CMT86" s="953"/>
      <c r="CMU86" s="953"/>
      <c r="CMV86" s="953"/>
      <c r="CMW86" s="953"/>
      <c r="CMX86" s="953"/>
      <c r="CMY86" s="953"/>
      <c r="CMZ86" s="953"/>
      <c r="CNA86" s="953"/>
      <c r="CNB86" s="953"/>
      <c r="CNC86" s="953"/>
      <c r="CND86" s="953"/>
      <c r="CNE86" s="953"/>
      <c r="CNF86" s="953"/>
      <c r="CNG86" s="953"/>
      <c r="CNH86" s="953"/>
      <c r="CNI86" s="953"/>
      <c r="CNJ86" s="953"/>
      <c r="CNK86" s="953"/>
      <c r="CNL86" s="953"/>
      <c r="CNM86" s="953"/>
      <c r="CNN86" s="953"/>
      <c r="CNO86" s="953"/>
      <c r="CNP86" s="953"/>
      <c r="CNQ86" s="953"/>
      <c r="CNR86" s="953"/>
      <c r="CNS86" s="953"/>
      <c r="CNT86" s="953"/>
      <c r="CNU86" s="953"/>
      <c r="CNV86" s="953"/>
      <c r="CNW86" s="953"/>
      <c r="CNX86" s="953"/>
      <c r="CNY86" s="953"/>
      <c r="CNZ86" s="953"/>
      <c r="COA86" s="953"/>
      <c r="COB86" s="953"/>
      <c r="COC86" s="953"/>
      <c r="COD86" s="953"/>
      <c r="COE86" s="953"/>
      <c r="COF86" s="953"/>
      <c r="COG86" s="953"/>
      <c r="COH86" s="953"/>
      <c r="COI86" s="953"/>
      <c r="COJ86" s="953"/>
      <c r="COK86" s="953"/>
      <c r="COL86" s="953"/>
      <c r="COM86" s="953"/>
      <c r="CON86" s="953"/>
      <c r="COO86" s="953"/>
      <c r="COP86" s="953"/>
      <c r="COQ86" s="953"/>
      <c r="COR86" s="953"/>
      <c r="COS86" s="953"/>
      <c r="COT86" s="953"/>
      <c r="COU86" s="953"/>
      <c r="COV86" s="953"/>
      <c r="COW86" s="953"/>
      <c r="COX86" s="953"/>
      <c r="COY86" s="953"/>
      <c r="COZ86" s="953"/>
      <c r="CPA86" s="953"/>
      <c r="CPB86" s="953"/>
      <c r="CPC86" s="953"/>
      <c r="CPD86" s="953"/>
      <c r="CPE86" s="953"/>
      <c r="CPF86" s="953"/>
      <c r="CPG86" s="953"/>
      <c r="CPH86" s="953"/>
      <c r="CPI86" s="953"/>
      <c r="CPJ86" s="953"/>
      <c r="CPK86" s="953"/>
      <c r="CPL86" s="953"/>
      <c r="CPM86" s="953"/>
      <c r="CPN86" s="953"/>
      <c r="CPO86" s="953"/>
      <c r="CPP86" s="953"/>
      <c r="CPQ86" s="953"/>
      <c r="CPR86" s="953"/>
      <c r="CPS86" s="953"/>
      <c r="CPT86" s="953"/>
      <c r="CPU86" s="953"/>
      <c r="CPV86" s="953"/>
      <c r="CPW86" s="953"/>
      <c r="CPX86" s="953"/>
      <c r="CPY86" s="953"/>
      <c r="CPZ86" s="953"/>
      <c r="CQA86" s="953"/>
      <c r="CQB86" s="953"/>
      <c r="CQC86" s="953"/>
      <c r="CQD86" s="953"/>
      <c r="CQE86" s="953"/>
      <c r="CQF86" s="953"/>
      <c r="CQG86" s="953"/>
      <c r="CQH86" s="953"/>
      <c r="CQI86" s="953"/>
      <c r="CQJ86" s="953"/>
      <c r="CQK86" s="953"/>
      <c r="CQL86" s="953"/>
      <c r="CQM86" s="953"/>
      <c r="CQN86" s="953"/>
      <c r="CQO86" s="953"/>
      <c r="CQP86" s="953"/>
      <c r="CQQ86" s="953"/>
      <c r="CQR86" s="953"/>
      <c r="CQS86" s="953"/>
      <c r="CQT86" s="953"/>
      <c r="CQU86" s="953"/>
      <c r="CQV86" s="953"/>
      <c r="CQW86" s="953"/>
      <c r="CQX86" s="953"/>
      <c r="CQY86" s="953"/>
      <c r="CQZ86" s="953"/>
      <c r="CRA86" s="953"/>
      <c r="CRB86" s="953"/>
      <c r="CRC86" s="953"/>
      <c r="CRD86" s="953"/>
      <c r="CRE86" s="953"/>
      <c r="CRF86" s="953"/>
      <c r="CRG86" s="953"/>
      <c r="CRH86" s="953"/>
      <c r="CRI86" s="953"/>
      <c r="CRJ86" s="953"/>
      <c r="CRK86" s="953"/>
      <c r="CRL86" s="953"/>
      <c r="CRM86" s="953"/>
      <c r="CRN86" s="953"/>
      <c r="CRO86" s="953"/>
      <c r="CRP86" s="953"/>
      <c r="CRQ86" s="953"/>
      <c r="CRR86" s="953"/>
      <c r="CRS86" s="953"/>
      <c r="CRT86" s="953"/>
      <c r="CRU86" s="953"/>
      <c r="CRV86" s="953"/>
      <c r="CRW86" s="953"/>
      <c r="CRX86" s="953"/>
      <c r="CRY86" s="953"/>
      <c r="CRZ86" s="953"/>
      <c r="CSA86" s="953"/>
      <c r="CSB86" s="953"/>
      <c r="CSC86" s="953"/>
      <c r="CSD86" s="953"/>
      <c r="CSE86" s="953"/>
      <c r="CSF86" s="953"/>
      <c r="CSG86" s="953"/>
      <c r="CSH86" s="953"/>
      <c r="CSI86" s="953"/>
      <c r="CSJ86" s="953"/>
      <c r="CSK86" s="953"/>
      <c r="CSL86" s="953"/>
      <c r="CSM86" s="953"/>
      <c r="CSN86" s="953"/>
      <c r="CSO86" s="953"/>
      <c r="CSP86" s="953"/>
      <c r="CSQ86" s="953"/>
      <c r="CSR86" s="953"/>
      <c r="CSS86" s="953"/>
      <c r="CST86" s="953"/>
      <c r="CSU86" s="953"/>
      <c r="CSV86" s="953"/>
      <c r="CSW86" s="953"/>
      <c r="CSX86" s="953"/>
      <c r="CSY86" s="953"/>
      <c r="CSZ86" s="953"/>
      <c r="CTA86" s="953"/>
      <c r="CTB86" s="953"/>
      <c r="CTC86" s="953"/>
      <c r="CTD86" s="953"/>
      <c r="CTE86" s="953"/>
      <c r="CTF86" s="953"/>
      <c r="CTG86" s="953"/>
      <c r="CTH86" s="953"/>
      <c r="CTI86" s="953"/>
      <c r="CTJ86" s="953"/>
      <c r="CTK86" s="953"/>
      <c r="CTL86" s="953"/>
      <c r="CTM86" s="953"/>
      <c r="CTN86" s="953"/>
      <c r="CTO86" s="953"/>
      <c r="CTP86" s="953"/>
      <c r="CTQ86" s="953"/>
      <c r="CTR86" s="953"/>
      <c r="CTS86" s="953"/>
      <c r="CTT86" s="953"/>
      <c r="CTU86" s="953"/>
      <c r="CTV86" s="953"/>
      <c r="CTW86" s="953"/>
      <c r="CTX86" s="953"/>
      <c r="CTY86" s="953"/>
      <c r="CTZ86" s="953"/>
      <c r="CUA86" s="953"/>
      <c r="CUB86" s="953"/>
      <c r="CUC86" s="953"/>
      <c r="CUD86" s="953"/>
      <c r="CUE86" s="953"/>
      <c r="CUF86" s="953"/>
      <c r="CUG86" s="953"/>
      <c r="CUH86" s="953"/>
      <c r="CUI86" s="953"/>
      <c r="CUJ86" s="953"/>
      <c r="CUK86" s="953"/>
      <c r="CUL86" s="953"/>
      <c r="CUM86" s="953"/>
      <c r="CUN86" s="953"/>
      <c r="CUO86" s="953"/>
      <c r="CUP86" s="953"/>
      <c r="CUQ86" s="953"/>
      <c r="CUR86" s="953"/>
      <c r="CUS86" s="953"/>
      <c r="CUT86" s="953"/>
      <c r="CUU86" s="953"/>
      <c r="CUV86" s="953"/>
      <c r="CUW86" s="953"/>
      <c r="CUX86" s="953"/>
      <c r="CUY86" s="953"/>
      <c r="CUZ86" s="953"/>
      <c r="CVA86" s="953"/>
      <c r="CVB86" s="953"/>
      <c r="CVC86" s="953"/>
      <c r="CVD86" s="953"/>
      <c r="CVE86" s="953"/>
      <c r="CVF86" s="953"/>
      <c r="CVG86" s="953"/>
      <c r="CVH86" s="953"/>
      <c r="CVI86" s="953"/>
      <c r="CVJ86" s="953"/>
      <c r="CVK86" s="953"/>
      <c r="CVL86" s="953"/>
      <c r="CVM86" s="953"/>
      <c r="CVN86" s="953"/>
      <c r="CVO86" s="953"/>
      <c r="CVP86" s="953"/>
      <c r="CVQ86" s="953"/>
      <c r="CVR86" s="953"/>
      <c r="CVS86" s="953"/>
      <c r="CVT86" s="953"/>
      <c r="CVU86" s="953"/>
      <c r="CVV86" s="953"/>
      <c r="CVW86" s="953"/>
      <c r="CVX86" s="953"/>
      <c r="CVY86" s="953"/>
      <c r="CVZ86" s="953"/>
      <c r="CWA86" s="953"/>
      <c r="CWB86" s="953"/>
      <c r="CWC86" s="953"/>
      <c r="CWD86" s="953"/>
      <c r="CWE86" s="953"/>
      <c r="CWF86" s="953"/>
      <c r="CWG86" s="953"/>
      <c r="CWH86" s="953"/>
      <c r="CWI86" s="953"/>
      <c r="CWJ86" s="953"/>
      <c r="CWK86" s="953"/>
      <c r="CWL86" s="953"/>
      <c r="CWM86" s="953"/>
      <c r="CWN86" s="953"/>
      <c r="CWO86" s="953"/>
      <c r="CWP86" s="953"/>
      <c r="CWQ86" s="953"/>
      <c r="CWR86" s="953"/>
      <c r="CWS86" s="953"/>
      <c r="CWT86" s="953"/>
      <c r="CWU86" s="953"/>
      <c r="CWV86" s="953"/>
      <c r="CWW86" s="953"/>
      <c r="CWX86" s="953"/>
      <c r="CWY86" s="953"/>
      <c r="CWZ86" s="953"/>
      <c r="CXA86" s="953"/>
      <c r="CXB86" s="953"/>
      <c r="CXC86" s="953"/>
      <c r="CXD86" s="953"/>
      <c r="CXE86" s="953"/>
      <c r="CXF86" s="953"/>
      <c r="CXG86" s="953"/>
      <c r="CXH86" s="953"/>
      <c r="CXI86" s="953"/>
      <c r="CXJ86" s="953"/>
      <c r="CXK86" s="953"/>
      <c r="CXL86" s="953"/>
      <c r="CXM86" s="953"/>
      <c r="CXN86" s="953"/>
      <c r="CXO86" s="953"/>
      <c r="CXP86" s="953"/>
      <c r="CXQ86" s="953"/>
      <c r="CXR86" s="953"/>
      <c r="CXS86" s="953"/>
      <c r="CXT86" s="953"/>
      <c r="CXU86" s="953"/>
      <c r="CXV86" s="953"/>
      <c r="CXW86" s="953"/>
      <c r="CXX86" s="953"/>
      <c r="CXY86" s="953"/>
      <c r="CXZ86" s="953"/>
      <c r="CYA86" s="953"/>
      <c r="CYB86" s="953"/>
      <c r="CYC86" s="953"/>
      <c r="CYD86" s="953"/>
      <c r="CYE86" s="953"/>
      <c r="CYF86" s="953"/>
      <c r="CYG86" s="953"/>
      <c r="CYH86" s="953"/>
      <c r="CYI86" s="953"/>
      <c r="CYJ86" s="953"/>
      <c r="CYK86" s="953"/>
      <c r="CYL86" s="953"/>
      <c r="CYM86" s="953"/>
      <c r="CYN86" s="953"/>
      <c r="CYO86" s="953"/>
      <c r="CYP86" s="953"/>
      <c r="CYQ86" s="953"/>
      <c r="CYR86" s="953"/>
      <c r="CYS86" s="953"/>
      <c r="CYT86" s="953"/>
      <c r="CYU86" s="953"/>
      <c r="CYV86" s="953"/>
      <c r="CYW86" s="953"/>
      <c r="CYX86" s="953"/>
      <c r="CYY86" s="953"/>
      <c r="CYZ86" s="953"/>
      <c r="CZA86" s="953"/>
      <c r="CZB86" s="953"/>
      <c r="CZC86" s="953"/>
      <c r="CZD86" s="953"/>
      <c r="CZE86" s="953"/>
      <c r="CZF86" s="953"/>
      <c r="CZG86" s="953"/>
      <c r="CZH86" s="953"/>
      <c r="CZI86" s="953"/>
      <c r="CZJ86" s="953"/>
      <c r="CZK86" s="953"/>
      <c r="CZL86" s="953"/>
      <c r="CZM86" s="953"/>
      <c r="CZN86" s="953"/>
      <c r="CZO86" s="953"/>
      <c r="CZP86" s="953"/>
      <c r="CZQ86" s="953"/>
      <c r="CZR86" s="953"/>
      <c r="CZS86" s="953"/>
      <c r="CZT86" s="953"/>
      <c r="CZU86" s="953"/>
      <c r="CZV86" s="953"/>
      <c r="CZW86" s="953"/>
      <c r="CZX86" s="953"/>
      <c r="CZY86" s="953"/>
      <c r="CZZ86" s="953"/>
      <c r="DAA86" s="953"/>
      <c r="DAB86" s="953"/>
      <c r="DAC86" s="953"/>
      <c r="DAD86" s="953"/>
      <c r="DAE86" s="953"/>
      <c r="DAF86" s="953"/>
      <c r="DAG86" s="953"/>
      <c r="DAH86" s="953"/>
      <c r="DAI86" s="953"/>
      <c r="DAJ86" s="953"/>
      <c r="DAK86" s="953"/>
      <c r="DAL86" s="953"/>
      <c r="DAM86" s="953"/>
      <c r="DAN86" s="953"/>
      <c r="DAO86" s="953"/>
      <c r="DAP86" s="953"/>
      <c r="DAQ86" s="953"/>
      <c r="DAR86" s="953"/>
      <c r="DAS86" s="953"/>
      <c r="DAT86" s="953"/>
      <c r="DAU86" s="953"/>
      <c r="DAV86" s="953"/>
      <c r="DAW86" s="953"/>
      <c r="DAX86" s="953"/>
      <c r="DAY86" s="953"/>
      <c r="DAZ86" s="953"/>
      <c r="DBA86" s="953"/>
      <c r="DBB86" s="953"/>
      <c r="DBC86" s="953"/>
      <c r="DBD86" s="953"/>
      <c r="DBE86" s="953"/>
      <c r="DBF86" s="953"/>
      <c r="DBG86" s="953"/>
      <c r="DBH86" s="953"/>
      <c r="DBI86" s="953"/>
      <c r="DBJ86" s="953"/>
      <c r="DBK86" s="953"/>
      <c r="DBL86" s="953"/>
      <c r="DBM86" s="953"/>
      <c r="DBN86" s="953"/>
      <c r="DBO86" s="953"/>
      <c r="DBP86" s="953"/>
      <c r="DBQ86" s="953"/>
      <c r="DBR86" s="953"/>
      <c r="DBS86" s="953"/>
      <c r="DBT86" s="953"/>
      <c r="DBU86" s="953"/>
      <c r="DBV86" s="953"/>
      <c r="DBW86" s="953"/>
      <c r="DBX86" s="953"/>
      <c r="DBY86" s="953"/>
      <c r="DBZ86" s="953"/>
      <c r="DCA86" s="953"/>
      <c r="DCB86" s="953"/>
      <c r="DCC86" s="953"/>
      <c r="DCD86" s="953"/>
      <c r="DCE86" s="953"/>
      <c r="DCF86" s="953"/>
      <c r="DCG86" s="953"/>
      <c r="DCH86" s="953"/>
      <c r="DCI86" s="953"/>
      <c r="DCJ86" s="953"/>
      <c r="DCK86" s="953"/>
      <c r="DCL86" s="953"/>
      <c r="DCM86" s="953"/>
      <c r="DCN86" s="953"/>
      <c r="DCO86" s="953"/>
      <c r="DCP86" s="953"/>
      <c r="DCQ86" s="953"/>
      <c r="DCR86" s="953"/>
      <c r="DCS86" s="953"/>
      <c r="DCT86" s="953"/>
      <c r="DCU86" s="953"/>
      <c r="DCV86" s="953"/>
      <c r="DCW86" s="953"/>
      <c r="DCX86" s="953"/>
      <c r="DCY86" s="953"/>
      <c r="DCZ86" s="953"/>
      <c r="DDA86" s="953"/>
      <c r="DDB86" s="953"/>
      <c r="DDC86" s="953"/>
      <c r="DDD86" s="953"/>
      <c r="DDE86" s="953"/>
      <c r="DDF86" s="953"/>
      <c r="DDG86" s="953"/>
      <c r="DDH86" s="953"/>
      <c r="DDI86" s="953"/>
      <c r="DDJ86" s="953"/>
      <c r="DDK86" s="953"/>
      <c r="DDL86" s="953"/>
      <c r="DDM86" s="953"/>
      <c r="DDN86" s="953"/>
      <c r="DDO86" s="953"/>
      <c r="DDP86" s="953"/>
      <c r="DDQ86" s="953"/>
      <c r="DDR86" s="953"/>
      <c r="DDS86" s="953"/>
      <c r="DDT86" s="953"/>
      <c r="DDU86" s="953"/>
      <c r="DDV86" s="953"/>
      <c r="DDW86" s="953"/>
      <c r="DDX86" s="953"/>
      <c r="DDY86" s="953"/>
      <c r="DDZ86" s="953"/>
      <c r="DEA86" s="953"/>
      <c r="DEB86" s="953"/>
      <c r="DEC86" s="953"/>
      <c r="DED86" s="953"/>
      <c r="DEE86" s="953"/>
      <c r="DEF86" s="953"/>
      <c r="DEG86" s="953"/>
      <c r="DEH86" s="953"/>
      <c r="DEI86" s="953"/>
      <c r="DEJ86" s="953"/>
      <c r="DEK86" s="953"/>
      <c r="DEL86" s="953"/>
      <c r="DEM86" s="953"/>
      <c r="DEN86" s="953"/>
      <c r="DEO86" s="953"/>
      <c r="DEP86" s="953"/>
      <c r="DEQ86" s="953"/>
      <c r="DER86" s="953"/>
      <c r="DES86" s="953"/>
      <c r="DET86" s="953"/>
      <c r="DEU86" s="953"/>
      <c r="DEV86" s="953"/>
      <c r="DEW86" s="953"/>
      <c r="DEX86" s="953"/>
      <c r="DEY86" s="953"/>
      <c r="DEZ86" s="953"/>
      <c r="DFA86" s="953"/>
      <c r="DFB86" s="953"/>
      <c r="DFC86" s="953"/>
      <c r="DFD86" s="953"/>
      <c r="DFE86" s="953"/>
      <c r="DFF86" s="953"/>
      <c r="DFG86" s="953"/>
      <c r="DFH86" s="953"/>
      <c r="DFI86" s="953"/>
      <c r="DFJ86" s="953"/>
      <c r="DFK86" s="953"/>
      <c r="DFL86" s="953"/>
      <c r="DFM86" s="953"/>
      <c r="DFN86" s="953"/>
      <c r="DFO86" s="953"/>
      <c r="DFP86" s="953"/>
      <c r="DFQ86" s="953"/>
      <c r="DFR86" s="953"/>
      <c r="DFS86" s="953"/>
      <c r="DFT86" s="953"/>
      <c r="DFU86" s="953"/>
      <c r="DFV86" s="953"/>
      <c r="DFW86" s="953"/>
      <c r="DFX86" s="953"/>
      <c r="DFY86" s="953"/>
      <c r="DFZ86" s="953"/>
      <c r="DGA86" s="953"/>
      <c r="DGB86" s="953"/>
      <c r="DGC86" s="953"/>
      <c r="DGD86" s="953"/>
      <c r="DGE86" s="953"/>
      <c r="DGF86" s="953"/>
      <c r="DGG86" s="953"/>
      <c r="DGH86" s="953"/>
      <c r="DGI86" s="953"/>
      <c r="DGJ86" s="953"/>
      <c r="DGK86" s="953"/>
      <c r="DGL86" s="953"/>
      <c r="DGM86" s="953"/>
      <c r="DGN86" s="953"/>
      <c r="DGO86" s="953"/>
      <c r="DGP86" s="953"/>
      <c r="DGQ86" s="953"/>
      <c r="DGR86" s="953"/>
      <c r="DGS86" s="953"/>
      <c r="DGT86" s="953"/>
      <c r="DGU86" s="953"/>
      <c r="DGV86" s="953"/>
      <c r="DGW86" s="953"/>
      <c r="DGX86" s="953"/>
      <c r="DGY86" s="953"/>
      <c r="DGZ86" s="953"/>
      <c r="DHA86" s="953"/>
      <c r="DHB86" s="953"/>
      <c r="DHC86" s="953"/>
      <c r="DHD86" s="953"/>
      <c r="DHE86" s="953"/>
      <c r="DHF86" s="953"/>
      <c r="DHG86" s="953"/>
      <c r="DHH86" s="953"/>
      <c r="DHI86" s="953"/>
      <c r="DHJ86" s="953"/>
      <c r="DHK86" s="953"/>
      <c r="DHL86" s="953"/>
      <c r="DHM86" s="953"/>
      <c r="DHN86" s="953"/>
      <c r="DHO86" s="953"/>
      <c r="DHP86" s="953"/>
      <c r="DHQ86" s="953"/>
      <c r="DHR86" s="953"/>
      <c r="DHS86" s="953"/>
      <c r="DHT86" s="953"/>
      <c r="DHU86" s="953"/>
      <c r="DHV86" s="953"/>
      <c r="DHW86" s="953"/>
      <c r="DHX86" s="953"/>
      <c r="DHY86" s="953"/>
      <c r="DHZ86" s="953"/>
      <c r="DIA86" s="953"/>
      <c r="DIB86" s="953"/>
      <c r="DIC86" s="953"/>
      <c r="DID86" s="953"/>
      <c r="DIE86" s="953"/>
      <c r="DIF86" s="953"/>
      <c r="DIG86" s="953"/>
      <c r="DIH86" s="953"/>
      <c r="DII86" s="953"/>
      <c r="DIJ86" s="953"/>
      <c r="DIK86" s="953"/>
      <c r="DIL86" s="953"/>
      <c r="DIM86" s="953"/>
      <c r="DIN86" s="953"/>
      <c r="DIO86" s="953"/>
      <c r="DIP86" s="953"/>
      <c r="DIQ86" s="953"/>
      <c r="DIR86" s="953"/>
      <c r="DIS86" s="953"/>
      <c r="DIT86" s="953"/>
      <c r="DIU86" s="953"/>
      <c r="DIV86" s="953"/>
      <c r="DIW86" s="953"/>
      <c r="DIX86" s="953"/>
      <c r="DIY86" s="953"/>
      <c r="DIZ86" s="953"/>
      <c r="DJA86" s="953"/>
      <c r="DJB86" s="953"/>
      <c r="DJC86" s="953"/>
      <c r="DJD86" s="953"/>
      <c r="DJE86" s="953"/>
      <c r="DJF86" s="953"/>
      <c r="DJG86" s="953"/>
      <c r="DJH86" s="953"/>
      <c r="DJI86" s="953"/>
      <c r="DJJ86" s="953"/>
      <c r="DJK86" s="953"/>
      <c r="DJL86" s="953"/>
      <c r="DJM86" s="953"/>
      <c r="DJN86" s="953"/>
      <c r="DJO86" s="953"/>
      <c r="DJP86" s="953"/>
      <c r="DJQ86" s="953"/>
      <c r="DJR86" s="953"/>
      <c r="DJS86" s="953"/>
      <c r="DJT86" s="953"/>
      <c r="DJU86" s="953"/>
      <c r="DJV86" s="953"/>
      <c r="DJW86" s="953"/>
      <c r="DJX86" s="953"/>
      <c r="DJY86" s="953"/>
      <c r="DJZ86" s="953"/>
      <c r="DKA86" s="953"/>
      <c r="DKB86" s="953"/>
      <c r="DKC86" s="953"/>
      <c r="DKD86" s="953"/>
      <c r="DKE86" s="953"/>
      <c r="DKF86" s="953"/>
      <c r="DKG86" s="953"/>
      <c r="DKH86" s="953"/>
      <c r="DKI86" s="953"/>
      <c r="DKJ86" s="953"/>
      <c r="DKK86" s="953"/>
      <c r="DKL86" s="953"/>
      <c r="DKM86" s="953"/>
      <c r="DKN86" s="953"/>
      <c r="DKO86" s="953"/>
      <c r="DKP86" s="953"/>
      <c r="DKQ86" s="953"/>
      <c r="DKR86" s="953"/>
      <c r="DKS86" s="953"/>
      <c r="DKT86" s="953"/>
      <c r="DKU86" s="953"/>
      <c r="DKV86" s="953"/>
      <c r="DKW86" s="953"/>
      <c r="DKX86" s="953"/>
      <c r="DKY86" s="953"/>
      <c r="DKZ86" s="953"/>
      <c r="DLA86" s="953"/>
      <c r="DLB86" s="953"/>
      <c r="DLC86" s="953"/>
      <c r="DLD86" s="953"/>
      <c r="DLE86" s="953"/>
      <c r="DLF86" s="953"/>
      <c r="DLG86" s="953"/>
      <c r="DLH86" s="953"/>
      <c r="DLI86" s="953"/>
      <c r="DLJ86" s="953"/>
      <c r="DLK86" s="953"/>
      <c r="DLL86" s="953"/>
      <c r="DLM86" s="953"/>
      <c r="DLN86" s="953"/>
      <c r="DLO86" s="953"/>
      <c r="DLP86" s="953"/>
      <c r="DLQ86" s="953"/>
      <c r="DLR86" s="953"/>
      <c r="DLS86" s="953"/>
      <c r="DLT86" s="953"/>
      <c r="DLU86" s="953"/>
      <c r="DLV86" s="953"/>
      <c r="DLW86" s="953"/>
      <c r="DLX86" s="953"/>
      <c r="DLY86" s="953"/>
      <c r="DLZ86" s="953"/>
      <c r="DMA86" s="953"/>
      <c r="DMB86" s="953"/>
      <c r="DMC86" s="953"/>
      <c r="DMD86" s="953"/>
      <c r="DME86" s="953"/>
      <c r="DMF86" s="953"/>
      <c r="DMG86" s="953"/>
      <c r="DMH86" s="953"/>
      <c r="DMI86" s="953"/>
      <c r="DMJ86" s="953"/>
      <c r="DMK86" s="953"/>
      <c r="DML86" s="953"/>
      <c r="DMM86" s="953"/>
      <c r="DMN86" s="953"/>
      <c r="DMO86" s="953"/>
      <c r="DMP86" s="953"/>
      <c r="DMQ86" s="953"/>
      <c r="DMR86" s="953"/>
      <c r="DMS86" s="953"/>
      <c r="DMT86" s="953"/>
      <c r="DMU86" s="953"/>
      <c r="DMV86" s="953"/>
      <c r="DMW86" s="953"/>
      <c r="DMX86" s="953"/>
      <c r="DMY86" s="953"/>
      <c r="DMZ86" s="953"/>
      <c r="DNA86" s="953"/>
      <c r="DNB86" s="953"/>
      <c r="DNC86" s="953"/>
      <c r="DND86" s="953"/>
      <c r="DNE86" s="953"/>
      <c r="DNF86" s="953"/>
      <c r="DNG86" s="953"/>
      <c r="DNH86" s="953"/>
      <c r="DNI86" s="953"/>
      <c r="DNJ86" s="953"/>
      <c r="DNK86" s="953"/>
      <c r="DNL86" s="953"/>
      <c r="DNM86" s="953"/>
      <c r="DNN86" s="953"/>
      <c r="DNO86" s="953"/>
      <c r="DNP86" s="953"/>
      <c r="DNQ86" s="953"/>
      <c r="DNR86" s="953"/>
      <c r="DNS86" s="953"/>
      <c r="DNT86" s="953"/>
      <c r="DNU86" s="953"/>
      <c r="DNV86" s="953"/>
      <c r="DNW86" s="953"/>
      <c r="DNX86" s="953"/>
      <c r="DNY86" s="953"/>
      <c r="DNZ86" s="953"/>
      <c r="DOA86" s="953"/>
      <c r="DOB86" s="953"/>
      <c r="DOC86" s="953"/>
      <c r="DOD86" s="953"/>
      <c r="DOE86" s="953"/>
      <c r="DOF86" s="953"/>
      <c r="DOG86" s="953"/>
      <c r="DOH86" s="953"/>
      <c r="DOI86" s="953"/>
      <c r="DOJ86" s="953"/>
      <c r="DOK86" s="953"/>
      <c r="DOL86" s="953"/>
      <c r="DOM86" s="953"/>
      <c r="DON86" s="953"/>
      <c r="DOO86" s="953"/>
      <c r="DOP86" s="953"/>
      <c r="DOQ86" s="953"/>
      <c r="DOR86" s="953"/>
      <c r="DOS86" s="953"/>
      <c r="DOT86" s="953"/>
      <c r="DOU86" s="953"/>
      <c r="DOV86" s="953"/>
      <c r="DOW86" s="953"/>
      <c r="DOX86" s="953"/>
      <c r="DOY86" s="953"/>
      <c r="DOZ86" s="953"/>
      <c r="DPA86" s="953"/>
      <c r="DPB86" s="953"/>
      <c r="DPC86" s="953"/>
      <c r="DPD86" s="953"/>
      <c r="DPE86" s="953"/>
      <c r="DPF86" s="953"/>
      <c r="DPG86" s="953"/>
      <c r="DPH86" s="953"/>
      <c r="DPI86" s="953"/>
      <c r="DPJ86" s="953"/>
      <c r="DPK86" s="953"/>
      <c r="DPL86" s="953"/>
      <c r="DPM86" s="953"/>
      <c r="DPN86" s="953"/>
      <c r="DPO86" s="953"/>
      <c r="DPP86" s="953"/>
      <c r="DPQ86" s="953"/>
      <c r="DPR86" s="953"/>
      <c r="DPS86" s="953"/>
      <c r="DPT86" s="953"/>
      <c r="DPU86" s="953"/>
      <c r="DPV86" s="953"/>
      <c r="DPW86" s="953"/>
      <c r="DPX86" s="953"/>
      <c r="DPY86" s="953"/>
      <c r="DPZ86" s="953"/>
      <c r="DQA86" s="953"/>
      <c r="DQB86" s="953"/>
      <c r="DQC86" s="953"/>
      <c r="DQD86" s="953"/>
      <c r="DQE86" s="953"/>
      <c r="DQF86" s="953"/>
      <c r="DQG86" s="953"/>
      <c r="DQH86" s="953"/>
      <c r="DQI86" s="953"/>
      <c r="DQJ86" s="953"/>
      <c r="DQK86" s="953"/>
      <c r="DQL86" s="953"/>
      <c r="DQM86" s="953"/>
      <c r="DQN86" s="953"/>
      <c r="DQO86" s="953"/>
      <c r="DQP86" s="953"/>
      <c r="DQQ86" s="953"/>
      <c r="DQR86" s="953"/>
      <c r="DQS86" s="953"/>
      <c r="DQT86" s="953"/>
      <c r="DQU86" s="953"/>
      <c r="DQV86" s="953"/>
      <c r="DQW86" s="953"/>
      <c r="DQX86" s="953"/>
      <c r="DQY86" s="953"/>
      <c r="DQZ86" s="953"/>
      <c r="DRA86" s="953"/>
      <c r="DRB86" s="953"/>
      <c r="DRC86" s="953"/>
      <c r="DRD86" s="953"/>
      <c r="DRE86" s="953"/>
      <c r="DRF86" s="953"/>
      <c r="DRG86" s="953"/>
      <c r="DRH86" s="953"/>
      <c r="DRI86" s="953"/>
      <c r="DRJ86" s="953"/>
      <c r="DRK86" s="953"/>
      <c r="DRL86" s="953"/>
      <c r="DRM86" s="953"/>
      <c r="DRN86" s="953"/>
      <c r="DRO86" s="953"/>
      <c r="DRP86" s="953"/>
      <c r="DRQ86" s="953"/>
      <c r="DRR86" s="953"/>
      <c r="DRS86" s="953"/>
      <c r="DRT86" s="953"/>
      <c r="DRU86" s="953"/>
      <c r="DRV86" s="953"/>
      <c r="DRW86" s="953"/>
      <c r="DRX86" s="953"/>
      <c r="DRY86" s="953"/>
      <c r="DRZ86" s="953"/>
      <c r="DSA86" s="953"/>
      <c r="DSB86" s="953"/>
      <c r="DSC86" s="953"/>
      <c r="DSD86" s="953"/>
      <c r="DSE86" s="953"/>
      <c r="DSF86" s="953"/>
      <c r="DSG86" s="953"/>
      <c r="DSH86" s="953"/>
      <c r="DSI86" s="953"/>
      <c r="DSJ86" s="953"/>
      <c r="DSK86" s="953"/>
      <c r="DSL86" s="953"/>
      <c r="DSM86" s="953"/>
      <c r="DSN86" s="953"/>
      <c r="DSO86" s="953"/>
      <c r="DSP86" s="953"/>
      <c r="DSQ86" s="953"/>
      <c r="DSR86" s="953"/>
      <c r="DSS86" s="953"/>
      <c r="DST86" s="953"/>
      <c r="DSU86" s="953"/>
      <c r="DSV86" s="953"/>
      <c r="DSW86" s="953"/>
      <c r="DSX86" s="953"/>
      <c r="DSY86" s="953"/>
      <c r="DSZ86" s="953"/>
      <c r="DTA86" s="953"/>
      <c r="DTB86" s="953"/>
      <c r="DTC86" s="953"/>
      <c r="DTD86" s="953"/>
      <c r="DTE86" s="953"/>
      <c r="DTF86" s="953"/>
      <c r="DTG86" s="953"/>
      <c r="DTH86" s="953"/>
      <c r="DTI86" s="953"/>
      <c r="DTJ86" s="953"/>
      <c r="DTK86" s="953"/>
      <c r="DTL86" s="953"/>
      <c r="DTM86" s="953"/>
      <c r="DTN86" s="953"/>
      <c r="DTO86" s="953"/>
      <c r="DTP86" s="953"/>
      <c r="DTQ86" s="953"/>
      <c r="DTR86" s="953"/>
      <c r="DTS86" s="953"/>
      <c r="DTT86" s="953"/>
      <c r="DTU86" s="953"/>
      <c r="DTV86" s="953"/>
      <c r="DTW86" s="953"/>
      <c r="DTX86" s="953"/>
      <c r="DTY86" s="953"/>
      <c r="DTZ86" s="953"/>
      <c r="DUA86" s="953"/>
      <c r="DUB86" s="953"/>
      <c r="DUC86" s="953"/>
      <c r="DUD86" s="953"/>
      <c r="DUE86" s="953"/>
      <c r="DUF86" s="953"/>
      <c r="DUG86" s="953"/>
      <c r="DUH86" s="953"/>
      <c r="DUI86" s="953"/>
      <c r="DUJ86" s="953"/>
      <c r="DUK86" s="953"/>
      <c r="DUL86" s="953"/>
      <c r="DUM86" s="953"/>
      <c r="DUN86" s="953"/>
      <c r="DUO86" s="953"/>
      <c r="DUP86" s="953"/>
      <c r="DUQ86" s="953"/>
      <c r="DUR86" s="953"/>
      <c r="DUS86" s="953"/>
      <c r="DUT86" s="953"/>
      <c r="DUU86" s="953"/>
      <c r="DUV86" s="953"/>
      <c r="DUW86" s="953"/>
      <c r="DUX86" s="953"/>
      <c r="DUY86" s="953"/>
      <c r="DUZ86" s="953"/>
      <c r="DVA86" s="953"/>
      <c r="DVB86" s="953"/>
      <c r="DVC86" s="953"/>
      <c r="DVD86" s="953"/>
      <c r="DVE86" s="953"/>
      <c r="DVF86" s="953"/>
      <c r="DVG86" s="953"/>
      <c r="DVH86" s="953"/>
      <c r="DVI86" s="953"/>
      <c r="DVJ86" s="953"/>
      <c r="DVK86" s="953"/>
      <c r="DVL86" s="953"/>
      <c r="DVM86" s="953"/>
      <c r="DVN86" s="953"/>
      <c r="DVO86" s="953"/>
      <c r="DVP86" s="953"/>
      <c r="DVQ86" s="953"/>
      <c r="DVR86" s="953"/>
      <c r="DVS86" s="953"/>
      <c r="DVT86" s="953"/>
      <c r="DVU86" s="953"/>
      <c r="DVV86" s="953"/>
      <c r="DVW86" s="953"/>
      <c r="DVX86" s="953"/>
      <c r="DVY86" s="953"/>
      <c r="DVZ86" s="953"/>
      <c r="DWA86" s="953"/>
      <c r="DWB86" s="953"/>
      <c r="DWC86" s="953"/>
      <c r="DWD86" s="953"/>
      <c r="DWE86" s="953"/>
      <c r="DWF86" s="953"/>
      <c r="DWG86" s="953"/>
      <c r="DWH86" s="953"/>
      <c r="DWI86" s="953"/>
      <c r="DWJ86" s="953"/>
      <c r="DWK86" s="953"/>
      <c r="DWL86" s="953"/>
      <c r="DWM86" s="953"/>
      <c r="DWN86" s="953"/>
      <c r="DWO86" s="953"/>
      <c r="DWP86" s="953"/>
      <c r="DWQ86" s="953"/>
      <c r="DWR86" s="953"/>
      <c r="DWS86" s="953"/>
      <c r="DWT86" s="953"/>
      <c r="DWU86" s="953"/>
      <c r="DWV86" s="953"/>
      <c r="DWW86" s="953"/>
      <c r="DWX86" s="953"/>
      <c r="DWY86" s="953"/>
      <c r="DWZ86" s="953"/>
      <c r="DXA86" s="953"/>
      <c r="DXB86" s="953"/>
      <c r="DXC86" s="953"/>
      <c r="DXD86" s="953"/>
      <c r="DXE86" s="953"/>
      <c r="DXF86" s="953"/>
      <c r="DXG86" s="953"/>
      <c r="DXH86" s="953"/>
      <c r="DXI86" s="953"/>
      <c r="DXJ86" s="953"/>
      <c r="DXK86" s="953"/>
      <c r="DXL86" s="953"/>
      <c r="DXM86" s="953"/>
      <c r="DXN86" s="953"/>
      <c r="DXO86" s="953"/>
      <c r="DXP86" s="953"/>
      <c r="DXQ86" s="953"/>
      <c r="DXR86" s="953"/>
      <c r="DXS86" s="953"/>
      <c r="DXT86" s="953"/>
      <c r="DXU86" s="953"/>
      <c r="DXV86" s="953"/>
      <c r="DXW86" s="953"/>
      <c r="DXX86" s="953"/>
      <c r="DXY86" s="953"/>
      <c r="DXZ86" s="953"/>
      <c r="DYA86" s="953"/>
      <c r="DYB86" s="953"/>
      <c r="DYC86" s="953"/>
      <c r="DYD86" s="953"/>
      <c r="DYE86" s="953"/>
      <c r="DYF86" s="953"/>
      <c r="DYG86" s="953"/>
      <c r="DYH86" s="953"/>
      <c r="DYI86" s="953"/>
      <c r="DYJ86" s="953"/>
      <c r="DYK86" s="953"/>
      <c r="DYL86" s="953"/>
      <c r="DYM86" s="953"/>
      <c r="DYN86" s="953"/>
      <c r="DYO86" s="953"/>
      <c r="DYP86" s="953"/>
      <c r="DYQ86" s="953"/>
      <c r="DYR86" s="953"/>
      <c r="DYS86" s="953"/>
      <c r="DYT86" s="953"/>
      <c r="DYU86" s="953"/>
      <c r="DYV86" s="953"/>
      <c r="DYW86" s="953"/>
      <c r="DYX86" s="953"/>
      <c r="DYY86" s="953"/>
      <c r="DYZ86" s="953"/>
      <c r="DZA86" s="953"/>
      <c r="DZB86" s="953"/>
      <c r="DZC86" s="953"/>
      <c r="DZD86" s="953"/>
      <c r="DZE86" s="953"/>
      <c r="DZF86" s="953"/>
      <c r="DZG86" s="953"/>
      <c r="DZH86" s="953"/>
      <c r="DZI86" s="953"/>
      <c r="DZJ86" s="953"/>
      <c r="DZK86" s="953"/>
      <c r="DZL86" s="953"/>
      <c r="DZM86" s="953"/>
      <c r="DZN86" s="953"/>
      <c r="DZO86" s="953"/>
      <c r="DZP86" s="953"/>
      <c r="DZQ86" s="953"/>
      <c r="DZR86" s="953"/>
      <c r="DZS86" s="953"/>
      <c r="DZT86" s="953"/>
      <c r="DZU86" s="953"/>
      <c r="DZV86" s="953"/>
      <c r="DZW86" s="953"/>
      <c r="DZX86" s="953"/>
      <c r="DZY86" s="953"/>
      <c r="DZZ86" s="953"/>
      <c r="EAA86" s="953"/>
      <c r="EAB86" s="953"/>
      <c r="EAC86" s="953"/>
      <c r="EAD86" s="953"/>
      <c r="EAE86" s="953"/>
      <c r="EAF86" s="953"/>
      <c r="EAG86" s="953"/>
      <c r="EAH86" s="953"/>
      <c r="EAI86" s="953"/>
      <c r="EAJ86" s="953"/>
      <c r="EAK86" s="953"/>
      <c r="EAL86" s="953"/>
      <c r="EAM86" s="953"/>
      <c r="EAN86" s="953"/>
      <c r="EAO86" s="953"/>
      <c r="EAP86" s="953"/>
      <c r="EAQ86" s="953"/>
      <c r="EAR86" s="953"/>
      <c r="EAS86" s="953"/>
      <c r="EAT86" s="953"/>
      <c r="EAU86" s="953"/>
      <c r="EAV86" s="953"/>
      <c r="EAW86" s="953"/>
      <c r="EAX86" s="953"/>
      <c r="EAY86" s="953"/>
      <c r="EAZ86" s="953"/>
      <c r="EBA86" s="953"/>
      <c r="EBB86" s="953"/>
      <c r="EBC86" s="953"/>
      <c r="EBD86" s="953"/>
      <c r="EBE86" s="953"/>
      <c r="EBF86" s="953"/>
      <c r="EBG86" s="953"/>
      <c r="EBH86" s="953"/>
      <c r="EBI86" s="953"/>
      <c r="EBJ86" s="953"/>
      <c r="EBK86" s="953"/>
      <c r="EBL86" s="953"/>
      <c r="EBM86" s="953"/>
      <c r="EBN86" s="953"/>
      <c r="EBO86" s="953"/>
      <c r="EBP86" s="953"/>
      <c r="EBQ86" s="953"/>
      <c r="EBR86" s="953"/>
      <c r="EBS86" s="953"/>
      <c r="EBT86" s="953"/>
      <c r="EBU86" s="953"/>
      <c r="EBV86" s="953"/>
      <c r="EBW86" s="953"/>
      <c r="EBX86" s="953"/>
      <c r="EBY86" s="953"/>
      <c r="EBZ86" s="953"/>
      <c r="ECA86" s="953"/>
      <c r="ECB86" s="953"/>
      <c r="ECC86" s="953"/>
      <c r="ECD86" s="953"/>
      <c r="ECE86" s="953"/>
      <c r="ECF86" s="953"/>
      <c r="ECG86" s="953"/>
      <c r="ECH86" s="953"/>
      <c r="ECI86" s="953"/>
      <c r="ECJ86" s="953"/>
      <c r="ECK86" s="953"/>
      <c r="ECL86" s="953"/>
      <c r="ECM86" s="953"/>
      <c r="ECN86" s="953"/>
      <c r="ECO86" s="953"/>
      <c r="ECP86" s="953"/>
      <c r="ECQ86" s="953"/>
      <c r="ECR86" s="953"/>
      <c r="ECS86" s="953"/>
      <c r="ECT86" s="953"/>
      <c r="ECU86" s="953"/>
      <c r="ECV86" s="953"/>
      <c r="ECW86" s="953"/>
      <c r="ECX86" s="953"/>
      <c r="ECY86" s="953"/>
      <c r="ECZ86" s="953"/>
      <c r="EDA86" s="953"/>
      <c r="EDB86" s="953"/>
      <c r="EDC86" s="953"/>
      <c r="EDD86" s="953"/>
      <c r="EDE86" s="953"/>
      <c r="EDF86" s="953"/>
      <c r="EDG86" s="953"/>
      <c r="EDH86" s="953"/>
      <c r="EDI86" s="953"/>
      <c r="EDJ86" s="953"/>
      <c r="EDK86" s="953"/>
      <c r="EDL86" s="953"/>
      <c r="EDM86" s="953"/>
      <c r="EDN86" s="953"/>
      <c r="EDO86" s="953"/>
      <c r="EDP86" s="953"/>
      <c r="EDQ86" s="953"/>
      <c r="EDR86" s="953"/>
      <c r="EDS86" s="953"/>
      <c r="EDT86" s="953"/>
      <c r="EDU86" s="953"/>
      <c r="EDV86" s="953"/>
      <c r="EDW86" s="953"/>
      <c r="EDX86" s="953"/>
      <c r="EDY86" s="953"/>
      <c r="EDZ86" s="953"/>
      <c r="EEA86" s="953"/>
      <c r="EEB86" s="953"/>
      <c r="EEC86" s="953"/>
      <c r="EED86" s="953"/>
      <c r="EEE86" s="953"/>
      <c r="EEF86" s="953"/>
      <c r="EEG86" s="953"/>
      <c r="EEH86" s="953"/>
      <c r="EEI86" s="953"/>
      <c r="EEJ86" s="953"/>
      <c r="EEK86" s="953"/>
      <c r="EEL86" s="953"/>
      <c r="EEM86" s="953"/>
      <c r="EEN86" s="953"/>
      <c r="EEO86" s="953"/>
      <c r="EEP86" s="953"/>
      <c r="EEQ86" s="953"/>
      <c r="EER86" s="953"/>
      <c r="EES86" s="953"/>
      <c r="EET86" s="953"/>
      <c r="EEU86" s="953"/>
      <c r="EEV86" s="953"/>
      <c r="EEW86" s="953"/>
      <c r="EEX86" s="953"/>
      <c r="EEY86" s="953"/>
      <c r="EEZ86" s="953"/>
      <c r="EFA86" s="953"/>
      <c r="EFB86" s="953"/>
      <c r="EFC86" s="953"/>
      <c r="EFD86" s="953"/>
      <c r="EFE86" s="953"/>
      <c r="EFF86" s="953"/>
      <c r="EFG86" s="953"/>
      <c r="EFH86" s="953"/>
      <c r="EFI86" s="953"/>
      <c r="EFJ86" s="953"/>
      <c r="EFK86" s="953"/>
      <c r="EFL86" s="953"/>
      <c r="EFM86" s="953"/>
      <c r="EFN86" s="953"/>
      <c r="EFO86" s="953"/>
      <c r="EFP86" s="953"/>
      <c r="EFQ86" s="953"/>
      <c r="EFR86" s="953"/>
      <c r="EFS86" s="953"/>
      <c r="EFT86" s="953"/>
      <c r="EFU86" s="953"/>
      <c r="EFV86" s="953"/>
      <c r="EFW86" s="953"/>
      <c r="EFX86" s="953"/>
      <c r="EFY86" s="953"/>
      <c r="EFZ86" s="953"/>
      <c r="EGA86" s="953"/>
      <c r="EGB86" s="953"/>
      <c r="EGC86" s="953"/>
      <c r="EGD86" s="953"/>
      <c r="EGE86" s="953"/>
      <c r="EGF86" s="953"/>
      <c r="EGG86" s="953"/>
      <c r="EGH86" s="953"/>
      <c r="EGI86" s="953"/>
      <c r="EGJ86" s="953"/>
      <c r="EGK86" s="953"/>
      <c r="EGL86" s="953"/>
      <c r="EGM86" s="953"/>
      <c r="EGN86" s="953"/>
      <c r="EGO86" s="953"/>
      <c r="EGP86" s="953"/>
      <c r="EGQ86" s="953"/>
      <c r="EGR86" s="953"/>
      <c r="EGS86" s="953"/>
      <c r="EGT86" s="953"/>
      <c r="EGU86" s="953"/>
      <c r="EGV86" s="953"/>
      <c r="EGW86" s="953"/>
      <c r="EGX86" s="953"/>
      <c r="EGY86" s="953"/>
      <c r="EGZ86" s="953"/>
      <c r="EHA86" s="953"/>
      <c r="EHB86" s="953"/>
      <c r="EHC86" s="953"/>
      <c r="EHD86" s="953"/>
      <c r="EHE86" s="953"/>
      <c r="EHF86" s="953"/>
      <c r="EHG86" s="953"/>
      <c r="EHH86" s="953"/>
      <c r="EHI86" s="953"/>
      <c r="EHJ86" s="953"/>
      <c r="EHK86" s="953"/>
      <c r="EHL86" s="953"/>
      <c r="EHM86" s="953"/>
      <c r="EHN86" s="953"/>
      <c r="EHO86" s="953"/>
      <c r="EHP86" s="953"/>
      <c r="EHQ86" s="953"/>
      <c r="EHR86" s="953"/>
      <c r="EHS86" s="953"/>
      <c r="EHT86" s="953"/>
      <c r="EHU86" s="953"/>
      <c r="EHV86" s="953"/>
      <c r="EHW86" s="953"/>
      <c r="EHX86" s="953"/>
      <c r="EHY86" s="953"/>
      <c r="EHZ86" s="953"/>
      <c r="EIA86" s="953"/>
      <c r="EIB86" s="953"/>
      <c r="EIC86" s="953"/>
      <c r="EID86" s="953"/>
      <c r="EIE86" s="953"/>
      <c r="EIF86" s="953"/>
      <c r="EIG86" s="953"/>
      <c r="EIH86" s="953"/>
      <c r="EII86" s="953"/>
      <c r="EIJ86" s="953"/>
      <c r="EIK86" s="953"/>
      <c r="EIL86" s="953"/>
      <c r="EIM86" s="953"/>
      <c r="EIN86" s="953"/>
      <c r="EIO86" s="953"/>
      <c r="EIP86" s="953"/>
      <c r="EIQ86" s="953"/>
      <c r="EIR86" s="953"/>
      <c r="EIS86" s="953"/>
      <c r="EIT86" s="953"/>
      <c r="EIU86" s="953"/>
      <c r="EIV86" s="953"/>
      <c r="EIW86" s="953"/>
      <c r="EIX86" s="953"/>
      <c r="EIY86" s="953"/>
      <c r="EIZ86" s="953"/>
      <c r="EJA86" s="953"/>
      <c r="EJB86" s="953"/>
      <c r="EJC86" s="953"/>
      <c r="EJD86" s="953"/>
      <c r="EJE86" s="953"/>
      <c r="EJF86" s="953"/>
      <c r="EJG86" s="953"/>
      <c r="EJH86" s="953"/>
      <c r="EJI86" s="953"/>
      <c r="EJJ86" s="953"/>
      <c r="EJK86" s="953"/>
      <c r="EJL86" s="953"/>
      <c r="EJM86" s="953"/>
      <c r="EJN86" s="953"/>
      <c r="EJO86" s="953"/>
      <c r="EJP86" s="953"/>
      <c r="EJQ86" s="953"/>
      <c r="EJR86" s="953"/>
      <c r="EJS86" s="953"/>
      <c r="EJT86" s="953"/>
      <c r="EJU86" s="953"/>
      <c r="EJV86" s="953"/>
      <c r="EJW86" s="953"/>
      <c r="EJX86" s="953"/>
      <c r="EJY86" s="953"/>
      <c r="EJZ86" s="953"/>
      <c r="EKA86" s="953"/>
      <c r="EKB86" s="953"/>
      <c r="EKC86" s="953"/>
      <c r="EKD86" s="953"/>
      <c r="EKE86" s="953"/>
      <c r="EKF86" s="953"/>
      <c r="EKG86" s="953"/>
      <c r="EKH86" s="953"/>
      <c r="EKI86" s="953"/>
      <c r="EKJ86" s="953"/>
      <c r="EKK86" s="953"/>
      <c r="EKL86" s="953"/>
      <c r="EKM86" s="953"/>
      <c r="EKN86" s="953"/>
      <c r="EKO86" s="953"/>
      <c r="EKP86" s="953"/>
      <c r="EKQ86" s="953"/>
      <c r="EKR86" s="953"/>
      <c r="EKS86" s="953"/>
      <c r="EKT86" s="953"/>
      <c r="EKU86" s="953"/>
      <c r="EKV86" s="953"/>
      <c r="EKW86" s="953"/>
      <c r="EKX86" s="953"/>
      <c r="EKY86" s="953"/>
      <c r="EKZ86" s="953"/>
      <c r="ELA86" s="953"/>
      <c r="ELB86" s="953"/>
      <c r="ELC86" s="953"/>
      <c r="ELD86" s="953"/>
      <c r="ELE86" s="953"/>
      <c r="ELF86" s="953"/>
      <c r="ELG86" s="953"/>
      <c r="ELH86" s="953"/>
      <c r="ELI86" s="953"/>
      <c r="ELJ86" s="953"/>
      <c r="ELK86" s="953"/>
      <c r="ELL86" s="953"/>
      <c r="ELM86" s="953"/>
      <c r="ELN86" s="953"/>
      <c r="ELO86" s="953"/>
      <c r="ELP86" s="953"/>
      <c r="ELQ86" s="953"/>
      <c r="ELR86" s="953"/>
      <c r="ELS86" s="953"/>
      <c r="ELT86" s="953"/>
      <c r="ELU86" s="953"/>
      <c r="ELV86" s="953"/>
      <c r="ELW86" s="953"/>
      <c r="ELX86" s="953"/>
      <c r="ELY86" s="953"/>
      <c r="ELZ86" s="953"/>
      <c r="EMA86" s="953"/>
      <c r="EMB86" s="953"/>
      <c r="EMC86" s="953"/>
      <c r="EMD86" s="953"/>
      <c r="EME86" s="953"/>
      <c r="EMF86" s="953"/>
      <c r="EMG86" s="953"/>
      <c r="EMH86" s="953"/>
      <c r="EMI86" s="953"/>
      <c r="EMJ86" s="953"/>
      <c r="EMK86" s="953"/>
      <c r="EML86" s="953"/>
      <c r="EMM86" s="953"/>
      <c r="EMN86" s="953"/>
      <c r="EMO86" s="953"/>
      <c r="EMP86" s="953"/>
      <c r="EMQ86" s="953"/>
      <c r="EMR86" s="953"/>
      <c r="EMS86" s="953"/>
      <c r="EMT86" s="953"/>
      <c r="EMU86" s="953"/>
      <c r="EMV86" s="953"/>
      <c r="EMW86" s="953"/>
      <c r="EMX86" s="953"/>
      <c r="EMY86" s="953"/>
      <c r="EMZ86" s="953"/>
      <c r="ENA86" s="953"/>
      <c r="ENB86" s="953"/>
      <c r="ENC86" s="953"/>
      <c r="END86" s="953"/>
      <c r="ENE86" s="953"/>
      <c r="ENF86" s="953"/>
      <c r="ENG86" s="953"/>
      <c r="ENH86" s="953"/>
      <c r="ENI86" s="953"/>
      <c r="ENJ86" s="953"/>
      <c r="ENK86" s="953"/>
      <c r="ENL86" s="953"/>
      <c r="ENM86" s="953"/>
      <c r="ENN86" s="953"/>
      <c r="ENO86" s="953"/>
      <c r="ENP86" s="953"/>
      <c r="ENQ86" s="953"/>
      <c r="ENR86" s="953"/>
      <c r="ENS86" s="953"/>
      <c r="ENT86" s="953"/>
      <c r="ENU86" s="953"/>
      <c r="ENV86" s="953"/>
      <c r="ENW86" s="953"/>
      <c r="ENX86" s="953"/>
      <c r="ENY86" s="953"/>
      <c r="ENZ86" s="953"/>
      <c r="EOA86" s="953"/>
      <c r="EOB86" s="953"/>
      <c r="EOC86" s="953"/>
      <c r="EOD86" s="953"/>
      <c r="EOE86" s="953"/>
      <c r="EOF86" s="953"/>
      <c r="EOG86" s="953"/>
      <c r="EOH86" s="953"/>
      <c r="EOI86" s="953"/>
      <c r="EOJ86" s="953"/>
      <c r="EOK86" s="953"/>
      <c r="EOL86" s="953"/>
      <c r="EOM86" s="953"/>
      <c r="EON86" s="953"/>
      <c r="EOO86" s="953"/>
      <c r="EOP86" s="953"/>
      <c r="EOQ86" s="953"/>
      <c r="EOR86" s="953"/>
      <c r="EOS86" s="953"/>
      <c r="EOT86" s="953"/>
      <c r="EOU86" s="953"/>
      <c r="EOV86" s="953"/>
      <c r="EOW86" s="953"/>
      <c r="EOX86" s="953"/>
      <c r="EOY86" s="953"/>
      <c r="EOZ86" s="953"/>
      <c r="EPA86" s="953"/>
      <c r="EPB86" s="953"/>
      <c r="EPC86" s="953"/>
      <c r="EPD86" s="953"/>
      <c r="EPE86" s="953"/>
      <c r="EPF86" s="953"/>
      <c r="EPG86" s="953"/>
      <c r="EPH86" s="953"/>
      <c r="EPI86" s="953"/>
      <c r="EPJ86" s="953"/>
      <c r="EPK86" s="953"/>
      <c r="EPL86" s="953"/>
      <c r="EPM86" s="953"/>
      <c r="EPN86" s="953"/>
      <c r="EPO86" s="953"/>
      <c r="EPP86" s="953"/>
      <c r="EPQ86" s="953"/>
      <c r="EPR86" s="953"/>
      <c r="EPS86" s="953"/>
      <c r="EPT86" s="953"/>
      <c r="EPU86" s="953"/>
      <c r="EPV86" s="953"/>
      <c r="EPW86" s="953"/>
      <c r="EPX86" s="953"/>
      <c r="EPY86" s="953"/>
      <c r="EPZ86" s="953"/>
      <c r="EQA86" s="953"/>
      <c r="EQB86" s="953"/>
      <c r="EQC86" s="953"/>
      <c r="EQD86" s="953"/>
      <c r="EQE86" s="953"/>
      <c r="EQF86" s="953"/>
      <c r="EQG86" s="953"/>
      <c r="EQH86" s="953"/>
      <c r="EQI86" s="953"/>
      <c r="EQJ86" s="953"/>
      <c r="EQK86" s="953"/>
      <c r="EQL86" s="953"/>
      <c r="EQM86" s="953"/>
      <c r="EQN86" s="953"/>
      <c r="EQO86" s="953"/>
      <c r="EQP86" s="953"/>
      <c r="EQQ86" s="953"/>
      <c r="EQR86" s="953"/>
      <c r="EQS86" s="953"/>
      <c r="EQT86" s="953"/>
      <c r="EQU86" s="953"/>
      <c r="EQV86" s="953"/>
      <c r="EQW86" s="953"/>
      <c r="EQX86" s="953"/>
      <c r="EQY86" s="953"/>
      <c r="EQZ86" s="953"/>
      <c r="ERA86" s="953"/>
      <c r="ERB86" s="953"/>
      <c r="ERC86" s="953"/>
      <c r="ERD86" s="953"/>
      <c r="ERE86" s="953"/>
      <c r="ERF86" s="953"/>
      <c r="ERG86" s="953"/>
      <c r="ERH86" s="953"/>
      <c r="ERI86" s="953"/>
      <c r="ERJ86" s="953"/>
      <c r="ERK86" s="953"/>
      <c r="ERL86" s="953"/>
      <c r="ERM86" s="953"/>
      <c r="ERN86" s="953"/>
      <c r="ERO86" s="953"/>
      <c r="ERP86" s="953"/>
      <c r="ERQ86" s="953"/>
      <c r="ERR86" s="953"/>
      <c r="ERS86" s="953"/>
      <c r="ERT86" s="953"/>
      <c r="ERU86" s="953"/>
      <c r="ERV86" s="953"/>
      <c r="ERW86" s="953"/>
      <c r="ERX86" s="953"/>
      <c r="ERY86" s="953"/>
      <c r="ERZ86" s="953"/>
      <c r="ESA86" s="953"/>
      <c r="ESB86" s="953"/>
      <c r="ESC86" s="953"/>
      <c r="ESD86" s="953"/>
      <c r="ESE86" s="953"/>
      <c r="ESF86" s="953"/>
      <c r="ESG86" s="953"/>
      <c r="ESH86" s="953"/>
      <c r="ESI86" s="953"/>
      <c r="ESJ86" s="953"/>
      <c r="ESK86" s="953"/>
      <c r="ESL86" s="953"/>
      <c r="ESM86" s="953"/>
      <c r="ESN86" s="953"/>
      <c r="ESO86" s="953"/>
      <c r="ESP86" s="953"/>
      <c r="ESQ86" s="953"/>
      <c r="ESR86" s="953"/>
      <c r="ESS86" s="953"/>
      <c r="EST86" s="953"/>
      <c r="ESU86" s="953"/>
      <c r="ESV86" s="953"/>
      <c r="ESW86" s="953"/>
      <c r="ESX86" s="953"/>
      <c r="ESY86" s="953"/>
      <c r="ESZ86" s="953"/>
      <c r="ETA86" s="953"/>
      <c r="ETB86" s="953"/>
      <c r="ETC86" s="953"/>
      <c r="ETD86" s="953"/>
      <c r="ETE86" s="953"/>
      <c r="ETF86" s="953"/>
      <c r="ETG86" s="953"/>
      <c r="ETH86" s="953"/>
      <c r="ETI86" s="953"/>
      <c r="ETJ86" s="953"/>
      <c r="ETK86" s="953"/>
      <c r="ETL86" s="953"/>
      <c r="ETM86" s="953"/>
      <c r="ETN86" s="953"/>
      <c r="ETO86" s="953"/>
      <c r="ETP86" s="953"/>
      <c r="ETQ86" s="953"/>
      <c r="ETR86" s="953"/>
      <c r="ETS86" s="953"/>
      <c r="ETT86" s="953"/>
      <c r="ETU86" s="953"/>
      <c r="ETV86" s="953"/>
      <c r="ETW86" s="953"/>
      <c r="ETX86" s="953"/>
      <c r="ETY86" s="953"/>
      <c r="ETZ86" s="953"/>
      <c r="EUA86" s="953"/>
      <c r="EUB86" s="953"/>
      <c r="EUC86" s="953"/>
      <c r="EUD86" s="953"/>
      <c r="EUE86" s="953"/>
      <c r="EUF86" s="953"/>
      <c r="EUG86" s="953"/>
      <c r="EUH86" s="953"/>
      <c r="EUI86" s="953"/>
      <c r="EUJ86" s="953"/>
      <c r="EUK86" s="953"/>
      <c r="EUL86" s="953"/>
      <c r="EUM86" s="953"/>
      <c r="EUN86" s="953"/>
      <c r="EUO86" s="953"/>
      <c r="EUP86" s="953"/>
      <c r="EUQ86" s="953"/>
      <c r="EUR86" s="953"/>
      <c r="EUS86" s="953"/>
      <c r="EUT86" s="953"/>
      <c r="EUU86" s="953"/>
      <c r="EUV86" s="953"/>
      <c r="EUW86" s="953"/>
      <c r="EUX86" s="953"/>
      <c r="EUY86" s="953"/>
      <c r="EUZ86" s="953"/>
      <c r="EVA86" s="953"/>
      <c r="EVB86" s="953"/>
      <c r="EVC86" s="953"/>
      <c r="EVD86" s="953"/>
      <c r="EVE86" s="953"/>
      <c r="EVF86" s="953"/>
      <c r="EVG86" s="953"/>
      <c r="EVH86" s="953"/>
      <c r="EVI86" s="953"/>
      <c r="EVJ86" s="953"/>
      <c r="EVK86" s="953"/>
      <c r="EVL86" s="953"/>
      <c r="EVM86" s="953"/>
      <c r="EVN86" s="953"/>
      <c r="EVO86" s="953"/>
      <c r="EVP86" s="953"/>
      <c r="EVQ86" s="953"/>
      <c r="EVR86" s="953"/>
      <c r="EVS86" s="953"/>
      <c r="EVT86" s="953"/>
      <c r="EVU86" s="953"/>
      <c r="EVV86" s="953"/>
      <c r="EVW86" s="953"/>
      <c r="EVX86" s="953"/>
      <c r="EVY86" s="953"/>
      <c r="EVZ86" s="953"/>
      <c r="EWA86" s="953"/>
      <c r="EWB86" s="953"/>
      <c r="EWC86" s="953"/>
      <c r="EWD86" s="953"/>
      <c r="EWE86" s="953"/>
      <c r="EWF86" s="953"/>
      <c r="EWG86" s="953"/>
      <c r="EWH86" s="953"/>
      <c r="EWI86" s="953"/>
      <c r="EWJ86" s="953"/>
      <c r="EWK86" s="953"/>
      <c r="EWL86" s="953"/>
      <c r="EWM86" s="953"/>
      <c r="EWN86" s="953"/>
      <c r="EWO86" s="953"/>
      <c r="EWP86" s="953"/>
      <c r="EWQ86" s="953"/>
      <c r="EWR86" s="953"/>
      <c r="EWS86" s="953"/>
      <c r="EWT86" s="953"/>
      <c r="EWU86" s="953"/>
      <c r="EWV86" s="953"/>
      <c r="EWW86" s="953"/>
      <c r="EWX86" s="953"/>
      <c r="EWY86" s="953"/>
      <c r="EWZ86" s="953"/>
      <c r="EXA86" s="953"/>
      <c r="EXB86" s="953"/>
      <c r="EXC86" s="953"/>
      <c r="EXD86" s="953"/>
      <c r="EXE86" s="953"/>
      <c r="EXF86" s="953"/>
      <c r="EXG86" s="953"/>
      <c r="EXH86" s="953"/>
      <c r="EXI86" s="953"/>
      <c r="EXJ86" s="953"/>
      <c r="EXK86" s="953"/>
      <c r="EXL86" s="953"/>
      <c r="EXM86" s="953"/>
      <c r="EXN86" s="953"/>
      <c r="EXO86" s="953"/>
      <c r="EXP86" s="953"/>
      <c r="EXQ86" s="953"/>
      <c r="EXR86" s="953"/>
      <c r="EXS86" s="953"/>
      <c r="EXT86" s="953"/>
      <c r="EXU86" s="953"/>
      <c r="EXV86" s="953"/>
      <c r="EXW86" s="953"/>
      <c r="EXX86" s="953"/>
      <c r="EXY86" s="953"/>
      <c r="EXZ86" s="953"/>
      <c r="EYA86" s="953"/>
      <c r="EYB86" s="953"/>
      <c r="EYC86" s="953"/>
      <c r="EYD86" s="953"/>
      <c r="EYE86" s="953"/>
      <c r="EYF86" s="953"/>
      <c r="EYG86" s="953"/>
      <c r="EYH86" s="953"/>
      <c r="EYI86" s="953"/>
      <c r="EYJ86" s="953"/>
      <c r="EYK86" s="953"/>
      <c r="EYL86" s="953"/>
      <c r="EYM86" s="953"/>
      <c r="EYN86" s="953"/>
      <c r="EYO86" s="953"/>
      <c r="EYP86" s="953"/>
      <c r="EYQ86" s="953"/>
      <c r="EYR86" s="953"/>
      <c r="EYS86" s="953"/>
      <c r="EYT86" s="953"/>
      <c r="EYU86" s="953"/>
      <c r="EYV86" s="953"/>
      <c r="EYW86" s="953"/>
      <c r="EYX86" s="953"/>
      <c r="EYY86" s="953"/>
      <c r="EYZ86" s="953"/>
      <c r="EZA86" s="953"/>
      <c r="EZB86" s="953"/>
      <c r="EZC86" s="953"/>
      <c r="EZD86" s="953"/>
      <c r="EZE86" s="953"/>
      <c r="EZF86" s="953"/>
      <c r="EZG86" s="953"/>
      <c r="EZH86" s="953"/>
      <c r="EZI86" s="953"/>
      <c r="EZJ86" s="953"/>
      <c r="EZK86" s="953"/>
      <c r="EZL86" s="953"/>
      <c r="EZM86" s="953"/>
      <c r="EZN86" s="953"/>
      <c r="EZO86" s="953"/>
      <c r="EZP86" s="953"/>
      <c r="EZQ86" s="953"/>
      <c r="EZR86" s="953"/>
      <c r="EZS86" s="953"/>
      <c r="EZT86" s="953"/>
      <c r="EZU86" s="953"/>
      <c r="EZV86" s="953"/>
      <c r="EZW86" s="953"/>
      <c r="EZX86" s="953"/>
      <c r="EZY86" s="953"/>
      <c r="EZZ86" s="953"/>
      <c r="FAA86" s="953"/>
      <c r="FAB86" s="953"/>
      <c r="FAC86" s="953"/>
      <c r="FAD86" s="953"/>
      <c r="FAE86" s="953"/>
      <c r="FAF86" s="953"/>
      <c r="FAG86" s="953"/>
      <c r="FAH86" s="953"/>
      <c r="FAI86" s="953"/>
      <c r="FAJ86" s="953"/>
      <c r="FAK86" s="953"/>
      <c r="FAL86" s="953"/>
      <c r="FAM86" s="953"/>
      <c r="FAN86" s="953"/>
      <c r="FAO86" s="953"/>
      <c r="FAP86" s="953"/>
      <c r="FAQ86" s="953"/>
      <c r="FAR86" s="953"/>
      <c r="FAS86" s="953"/>
      <c r="FAT86" s="953"/>
      <c r="FAU86" s="953"/>
      <c r="FAV86" s="953"/>
      <c r="FAW86" s="953"/>
      <c r="FAX86" s="953"/>
      <c r="FAY86" s="953"/>
      <c r="FAZ86" s="953"/>
      <c r="FBA86" s="953"/>
      <c r="FBB86" s="953"/>
      <c r="FBC86" s="953"/>
      <c r="FBD86" s="953"/>
      <c r="FBE86" s="953"/>
      <c r="FBF86" s="953"/>
      <c r="FBG86" s="953"/>
      <c r="FBH86" s="953"/>
      <c r="FBI86" s="953"/>
      <c r="FBJ86" s="953"/>
      <c r="FBK86" s="953"/>
      <c r="FBL86" s="953"/>
      <c r="FBM86" s="953"/>
      <c r="FBN86" s="953"/>
      <c r="FBO86" s="953"/>
      <c r="FBP86" s="953"/>
      <c r="FBQ86" s="953"/>
      <c r="FBR86" s="953"/>
      <c r="FBS86" s="953"/>
      <c r="FBT86" s="953"/>
      <c r="FBU86" s="953"/>
      <c r="FBV86" s="953"/>
      <c r="FBW86" s="953"/>
      <c r="FBX86" s="953"/>
      <c r="FBY86" s="953"/>
      <c r="FBZ86" s="953"/>
      <c r="FCA86" s="953"/>
      <c r="FCB86" s="953"/>
      <c r="FCC86" s="953"/>
      <c r="FCD86" s="953"/>
      <c r="FCE86" s="953"/>
      <c r="FCF86" s="953"/>
      <c r="FCG86" s="953"/>
      <c r="FCH86" s="953"/>
      <c r="FCI86" s="953"/>
      <c r="FCJ86" s="953"/>
      <c r="FCK86" s="953"/>
      <c r="FCL86" s="953"/>
      <c r="FCM86" s="953"/>
      <c r="FCN86" s="953"/>
      <c r="FCO86" s="953"/>
      <c r="FCP86" s="953"/>
      <c r="FCQ86" s="953"/>
      <c r="FCR86" s="953"/>
      <c r="FCS86" s="953"/>
      <c r="FCT86" s="953"/>
      <c r="FCU86" s="953"/>
      <c r="FCV86" s="953"/>
      <c r="FCW86" s="953"/>
      <c r="FCX86" s="953"/>
      <c r="FCY86" s="953"/>
      <c r="FCZ86" s="953"/>
      <c r="FDA86" s="953"/>
      <c r="FDB86" s="953"/>
      <c r="FDC86" s="953"/>
      <c r="FDD86" s="953"/>
      <c r="FDE86" s="953"/>
      <c r="FDF86" s="953"/>
      <c r="FDG86" s="953"/>
      <c r="FDH86" s="953"/>
      <c r="FDI86" s="953"/>
      <c r="FDJ86" s="953"/>
      <c r="FDK86" s="953"/>
      <c r="FDL86" s="953"/>
      <c r="FDM86" s="953"/>
      <c r="FDN86" s="953"/>
      <c r="FDO86" s="953"/>
      <c r="FDP86" s="953"/>
      <c r="FDQ86" s="953"/>
      <c r="FDR86" s="953"/>
      <c r="FDS86" s="953"/>
      <c r="FDT86" s="953"/>
      <c r="FDU86" s="953"/>
      <c r="FDV86" s="953"/>
      <c r="FDW86" s="953"/>
      <c r="FDX86" s="953"/>
      <c r="FDY86" s="953"/>
      <c r="FDZ86" s="953"/>
      <c r="FEA86" s="953"/>
      <c r="FEB86" s="953"/>
      <c r="FEC86" s="953"/>
      <c r="FED86" s="953"/>
      <c r="FEE86" s="953"/>
      <c r="FEF86" s="953"/>
      <c r="FEG86" s="953"/>
      <c r="FEH86" s="953"/>
      <c r="FEI86" s="953"/>
      <c r="FEJ86" s="953"/>
      <c r="FEK86" s="953"/>
      <c r="FEL86" s="953"/>
      <c r="FEM86" s="953"/>
      <c r="FEN86" s="953"/>
      <c r="FEO86" s="953"/>
      <c r="FEP86" s="953"/>
      <c r="FEQ86" s="953"/>
      <c r="FER86" s="953"/>
      <c r="FES86" s="953"/>
      <c r="FET86" s="953"/>
      <c r="FEU86" s="953"/>
      <c r="FEV86" s="953"/>
      <c r="FEW86" s="953"/>
      <c r="FEX86" s="953"/>
      <c r="FEY86" s="953"/>
      <c r="FEZ86" s="953"/>
      <c r="FFA86" s="953"/>
      <c r="FFB86" s="953"/>
      <c r="FFC86" s="953"/>
      <c r="FFD86" s="953"/>
      <c r="FFE86" s="953"/>
      <c r="FFF86" s="953"/>
      <c r="FFG86" s="953"/>
      <c r="FFH86" s="953"/>
      <c r="FFI86" s="953"/>
      <c r="FFJ86" s="953"/>
      <c r="FFK86" s="953"/>
      <c r="FFL86" s="953"/>
      <c r="FFM86" s="953"/>
      <c r="FFN86" s="953"/>
      <c r="FFO86" s="953"/>
      <c r="FFP86" s="953"/>
      <c r="FFQ86" s="953"/>
      <c r="FFR86" s="953"/>
      <c r="FFS86" s="953"/>
      <c r="FFT86" s="953"/>
      <c r="FFU86" s="953"/>
      <c r="FFV86" s="953"/>
      <c r="FFW86" s="953"/>
      <c r="FFX86" s="953"/>
      <c r="FFY86" s="953"/>
      <c r="FFZ86" s="953"/>
      <c r="FGA86" s="953"/>
      <c r="FGB86" s="953"/>
      <c r="FGC86" s="953"/>
      <c r="FGD86" s="953"/>
      <c r="FGE86" s="953"/>
      <c r="FGF86" s="953"/>
      <c r="FGG86" s="953"/>
      <c r="FGH86" s="953"/>
      <c r="FGI86" s="953"/>
      <c r="FGJ86" s="953"/>
      <c r="FGK86" s="953"/>
      <c r="FGL86" s="953"/>
      <c r="FGM86" s="953"/>
      <c r="FGN86" s="953"/>
      <c r="FGO86" s="953"/>
      <c r="FGP86" s="953"/>
      <c r="FGQ86" s="953"/>
      <c r="FGR86" s="953"/>
      <c r="FGS86" s="953"/>
      <c r="FGT86" s="953"/>
      <c r="FGU86" s="953"/>
      <c r="FGV86" s="953"/>
      <c r="FGW86" s="953"/>
      <c r="FGX86" s="953"/>
      <c r="FGY86" s="953"/>
      <c r="FGZ86" s="953"/>
      <c r="FHA86" s="953"/>
      <c r="FHB86" s="953"/>
      <c r="FHC86" s="953"/>
      <c r="FHD86" s="953"/>
      <c r="FHE86" s="953"/>
      <c r="FHF86" s="953"/>
      <c r="FHG86" s="953"/>
      <c r="FHH86" s="953"/>
      <c r="FHI86" s="953"/>
      <c r="FHJ86" s="953"/>
      <c r="FHK86" s="953"/>
      <c r="FHL86" s="953"/>
      <c r="FHM86" s="953"/>
      <c r="FHN86" s="953"/>
      <c r="FHO86" s="953"/>
      <c r="FHP86" s="953"/>
      <c r="FHQ86" s="953"/>
      <c r="FHR86" s="953"/>
      <c r="FHS86" s="953"/>
      <c r="FHT86" s="953"/>
      <c r="FHU86" s="953"/>
      <c r="FHV86" s="953"/>
      <c r="FHW86" s="953"/>
      <c r="FHX86" s="953"/>
      <c r="FHY86" s="953"/>
      <c r="FHZ86" s="953"/>
      <c r="FIA86" s="953"/>
      <c r="FIB86" s="953"/>
      <c r="FIC86" s="953"/>
      <c r="FID86" s="953"/>
      <c r="FIE86" s="953"/>
      <c r="FIF86" s="953"/>
      <c r="FIG86" s="953"/>
      <c r="FIH86" s="953"/>
      <c r="FII86" s="953"/>
      <c r="FIJ86" s="953"/>
      <c r="FIK86" s="953"/>
      <c r="FIL86" s="953"/>
      <c r="FIM86" s="953"/>
      <c r="FIN86" s="953"/>
      <c r="FIO86" s="953"/>
      <c r="FIP86" s="953"/>
      <c r="FIQ86" s="953"/>
      <c r="FIR86" s="953"/>
      <c r="FIS86" s="953"/>
      <c r="FIT86" s="953"/>
      <c r="FIU86" s="953"/>
      <c r="FIV86" s="953"/>
      <c r="FIW86" s="953"/>
      <c r="FIX86" s="953"/>
      <c r="FIY86" s="953"/>
      <c r="FIZ86" s="953"/>
      <c r="FJA86" s="953"/>
      <c r="FJB86" s="953"/>
      <c r="FJC86" s="953"/>
      <c r="FJD86" s="953"/>
      <c r="FJE86" s="953"/>
      <c r="FJF86" s="953"/>
      <c r="FJG86" s="953"/>
      <c r="FJH86" s="953"/>
      <c r="FJI86" s="953"/>
      <c r="FJJ86" s="953"/>
      <c r="FJK86" s="953"/>
      <c r="FJL86" s="953"/>
      <c r="FJM86" s="953"/>
      <c r="FJN86" s="953"/>
      <c r="FJO86" s="953"/>
      <c r="FJP86" s="953"/>
      <c r="FJQ86" s="953"/>
      <c r="FJR86" s="953"/>
      <c r="FJS86" s="953"/>
      <c r="FJT86" s="953"/>
      <c r="FJU86" s="953"/>
      <c r="FJV86" s="953"/>
      <c r="FJW86" s="953"/>
      <c r="FJX86" s="953"/>
      <c r="FJY86" s="953"/>
      <c r="FJZ86" s="953"/>
      <c r="FKA86" s="953"/>
      <c r="FKB86" s="953"/>
      <c r="FKC86" s="953"/>
      <c r="FKD86" s="953"/>
      <c r="FKE86" s="953"/>
      <c r="FKF86" s="953"/>
      <c r="FKG86" s="953"/>
      <c r="FKH86" s="953"/>
      <c r="FKI86" s="953"/>
      <c r="FKJ86" s="953"/>
      <c r="FKK86" s="953"/>
      <c r="FKL86" s="953"/>
      <c r="FKM86" s="953"/>
      <c r="FKN86" s="953"/>
      <c r="FKO86" s="953"/>
      <c r="FKP86" s="953"/>
      <c r="FKQ86" s="953"/>
      <c r="FKR86" s="953"/>
      <c r="FKS86" s="953"/>
      <c r="FKT86" s="953"/>
      <c r="FKU86" s="953"/>
      <c r="FKV86" s="953"/>
      <c r="FKW86" s="953"/>
      <c r="FKX86" s="953"/>
      <c r="FKY86" s="953"/>
      <c r="FKZ86" s="953"/>
      <c r="FLA86" s="953"/>
      <c r="FLB86" s="953"/>
      <c r="FLC86" s="953"/>
      <c r="FLD86" s="953"/>
      <c r="FLE86" s="953"/>
      <c r="FLF86" s="953"/>
      <c r="FLG86" s="953"/>
      <c r="FLH86" s="953"/>
      <c r="FLI86" s="953"/>
      <c r="FLJ86" s="953"/>
      <c r="FLK86" s="953"/>
      <c r="FLL86" s="953"/>
      <c r="FLM86" s="953"/>
      <c r="FLN86" s="953"/>
      <c r="FLO86" s="953"/>
      <c r="FLP86" s="953"/>
      <c r="FLQ86" s="953"/>
      <c r="FLR86" s="953"/>
      <c r="FLS86" s="953"/>
      <c r="FLT86" s="953"/>
      <c r="FLU86" s="953"/>
      <c r="FLV86" s="953"/>
      <c r="FLW86" s="953"/>
      <c r="FLX86" s="953"/>
      <c r="FLY86" s="953"/>
      <c r="FLZ86" s="953"/>
      <c r="FMA86" s="953"/>
      <c r="FMB86" s="953"/>
      <c r="FMC86" s="953"/>
      <c r="FMD86" s="953"/>
      <c r="FME86" s="953"/>
      <c r="FMF86" s="953"/>
      <c r="FMG86" s="953"/>
      <c r="FMH86" s="953"/>
      <c r="FMI86" s="953"/>
      <c r="FMJ86" s="953"/>
      <c r="FMK86" s="953"/>
      <c r="FML86" s="953"/>
      <c r="FMM86" s="953"/>
      <c r="FMN86" s="953"/>
      <c r="FMO86" s="953"/>
      <c r="FMP86" s="953"/>
      <c r="FMQ86" s="953"/>
      <c r="FMR86" s="953"/>
      <c r="FMS86" s="953"/>
      <c r="FMT86" s="953"/>
      <c r="FMU86" s="953"/>
      <c r="FMV86" s="953"/>
      <c r="FMW86" s="953"/>
      <c r="FMX86" s="953"/>
      <c r="FMY86" s="953"/>
      <c r="FMZ86" s="953"/>
      <c r="FNA86" s="953"/>
      <c r="FNB86" s="953"/>
      <c r="FNC86" s="953"/>
      <c r="FND86" s="953"/>
      <c r="FNE86" s="953"/>
      <c r="FNF86" s="953"/>
      <c r="FNG86" s="953"/>
      <c r="FNH86" s="953"/>
      <c r="FNI86" s="953"/>
      <c r="FNJ86" s="953"/>
      <c r="FNK86" s="953"/>
      <c r="FNL86" s="953"/>
      <c r="FNM86" s="953"/>
      <c r="FNN86" s="953"/>
      <c r="FNO86" s="953"/>
      <c r="FNP86" s="953"/>
      <c r="FNQ86" s="953"/>
      <c r="FNR86" s="953"/>
      <c r="FNS86" s="953"/>
      <c r="FNT86" s="953"/>
      <c r="FNU86" s="953"/>
      <c r="FNV86" s="953"/>
      <c r="FNW86" s="953"/>
      <c r="FNX86" s="953"/>
      <c r="FNY86" s="953"/>
      <c r="FNZ86" s="953"/>
      <c r="FOA86" s="953"/>
      <c r="FOB86" s="953"/>
      <c r="FOC86" s="953"/>
      <c r="FOD86" s="953"/>
      <c r="FOE86" s="953"/>
      <c r="FOF86" s="953"/>
      <c r="FOG86" s="953"/>
      <c r="FOH86" s="953"/>
      <c r="FOI86" s="953"/>
      <c r="FOJ86" s="953"/>
      <c r="FOK86" s="953"/>
      <c r="FOL86" s="953"/>
      <c r="FOM86" s="953"/>
      <c r="FON86" s="953"/>
      <c r="FOO86" s="953"/>
      <c r="FOP86" s="953"/>
      <c r="FOQ86" s="953"/>
      <c r="FOR86" s="953"/>
      <c r="FOS86" s="953"/>
      <c r="FOT86" s="953"/>
      <c r="FOU86" s="953"/>
      <c r="FOV86" s="953"/>
      <c r="FOW86" s="953"/>
      <c r="FOX86" s="953"/>
      <c r="FOY86" s="953"/>
      <c r="FOZ86" s="953"/>
      <c r="FPA86" s="953"/>
      <c r="FPB86" s="953"/>
      <c r="FPC86" s="953"/>
      <c r="FPD86" s="953"/>
      <c r="FPE86" s="953"/>
      <c r="FPF86" s="953"/>
      <c r="FPG86" s="953"/>
      <c r="FPH86" s="953"/>
      <c r="FPI86" s="953"/>
      <c r="FPJ86" s="953"/>
      <c r="FPK86" s="953"/>
      <c r="FPL86" s="953"/>
      <c r="FPM86" s="953"/>
      <c r="FPN86" s="953"/>
      <c r="FPO86" s="953"/>
      <c r="FPP86" s="953"/>
      <c r="FPQ86" s="953"/>
      <c r="FPR86" s="953"/>
      <c r="FPS86" s="953"/>
      <c r="FPT86" s="953"/>
      <c r="FPU86" s="953"/>
      <c r="FPV86" s="953"/>
      <c r="FPW86" s="953"/>
      <c r="FPX86" s="953"/>
      <c r="FPY86" s="953"/>
      <c r="FPZ86" s="953"/>
      <c r="FQA86" s="953"/>
      <c r="FQB86" s="953"/>
      <c r="FQC86" s="953"/>
      <c r="FQD86" s="953"/>
      <c r="FQE86" s="953"/>
      <c r="FQF86" s="953"/>
      <c r="FQG86" s="953"/>
      <c r="FQH86" s="953"/>
      <c r="FQI86" s="953"/>
      <c r="FQJ86" s="953"/>
      <c r="FQK86" s="953"/>
      <c r="FQL86" s="953"/>
      <c r="FQM86" s="953"/>
      <c r="FQN86" s="953"/>
      <c r="FQO86" s="953"/>
      <c r="FQP86" s="953"/>
      <c r="FQQ86" s="953"/>
      <c r="FQR86" s="953"/>
      <c r="FQS86" s="953"/>
      <c r="FQT86" s="953"/>
      <c r="FQU86" s="953"/>
      <c r="FQV86" s="953"/>
      <c r="FQW86" s="953"/>
      <c r="FQX86" s="953"/>
      <c r="FQY86" s="953"/>
      <c r="FQZ86" s="953"/>
      <c r="FRA86" s="953"/>
      <c r="FRB86" s="953"/>
      <c r="FRC86" s="953"/>
      <c r="FRD86" s="953"/>
      <c r="FRE86" s="953"/>
      <c r="FRF86" s="953"/>
      <c r="FRG86" s="953"/>
      <c r="FRH86" s="953"/>
      <c r="FRI86" s="953"/>
      <c r="FRJ86" s="953"/>
      <c r="FRK86" s="953"/>
      <c r="FRL86" s="953"/>
      <c r="FRM86" s="953"/>
      <c r="FRN86" s="953"/>
      <c r="FRO86" s="953"/>
      <c r="FRP86" s="953"/>
      <c r="FRQ86" s="953"/>
      <c r="FRR86" s="953"/>
      <c r="FRS86" s="953"/>
      <c r="FRT86" s="953"/>
      <c r="FRU86" s="953"/>
      <c r="FRV86" s="953"/>
      <c r="FRW86" s="953"/>
      <c r="FRX86" s="953"/>
      <c r="FRY86" s="953"/>
      <c r="FRZ86" s="953"/>
      <c r="FSA86" s="953"/>
      <c r="FSB86" s="953"/>
      <c r="FSC86" s="953"/>
      <c r="FSD86" s="953"/>
      <c r="FSE86" s="953"/>
      <c r="FSF86" s="953"/>
      <c r="FSG86" s="953"/>
      <c r="FSH86" s="953"/>
      <c r="FSI86" s="953"/>
      <c r="FSJ86" s="953"/>
      <c r="FSK86" s="953"/>
      <c r="FSL86" s="953"/>
      <c r="FSM86" s="953"/>
      <c r="FSN86" s="953"/>
      <c r="FSO86" s="953"/>
      <c r="FSP86" s="953"/>
      <c r="FSQ86" s="953"/>
      <c r="FSR86" s="953"/>
      <c r="FSS86" s="953"/>
      <c r="FST86" s="953"/>
      <c r="FSU86" s="953"/>
      <c r="FSV86" s="953"/>
      <c r="FSW86" s="953"/>
      <c r="FSX86" s="953"/>
      <c r="FSY86" s="953"/>
      <c r="FSZ86" s="953"/>
      <c r="FTA86" s="953"/>
      <c r="FTB86" s="953"/>
      <c r="FTC86" s="953"/>
      <c r="FTD86" s="953"/>
      <c r="FTE86" s="953"/>
      <c r="FTF86" s="953"/>
      <c r="FTG86" s="953"/>
      <c r="FTH86" s="953"/>
      <c r="FTI86" s="953"/>
      <c r="FTJ86" s="953"/>
      <c r="FTK86" s="953"/>
      <c r="FTL86" s="953"/>
      <c r="FTM86" s="953"/>
      <c r="FTN86" s="953"/>
      <c r="FTO86" s="953"/>
      <c r="FTP86" s="953"/>
      <c r="FTQ86" s="953"/>
      <c r="FTR86" s="953"/>
      <c r="FTS86" s="953"/>
      <c r="FTT86" s="953"/>
      <c r="FTU86" s="953"/>
      <c r="FTV86" s="953"/>
      <c r="FTW86" s="953"/>
      <c r="FTX86" s="953"/>
      <c r="FTY86" s="953"/>
      <c r="FTZ86" s="953"/>
      <c r="FUA86" s="953"/>
      <c r="FUB86" s="953"/>
      <c r="FUC86" s="953"/>
      <c r="FUD86" s="953"/>
      <c r="FUE86" s="953"/>
      <c r="FUF86" s="953"/>
      <c r="FUG86" s="953"/>
      <c r="FUH86" s="953"/>
      <c r="FUI86" s="953"/>
      <c r="FUJ86" s="953"/>
      <c r="FUK86" s="953"/>
      <c r="FUL86" s="953"/>
      <c r="FUM86" s="953"/>
      <c r="FUN86" s="953"/>
      <c r="FUO86" s="953"/>
      <c r="FUP86" s="953"/>
      <c r="FUQ86" s="953"/>
      <c r="FUR86" s="953"/>
      <c r="FUS86" s="953"/>
      <c r="FUT86" s="953"/>
      <c r="FUU86" s="953"/>
      <c r="FUV86" s="953"/>
      <c r="FUW86" s="953"/>
      <c r="FUX86" s="953"/>
      <c r="FUY86" s="953"/>
      <c r="FUZ86" s="953"/>
      <c r="FVA86" s="953"/>
      <c r="FVB86" s="953"/>
      <c r="FVC86" s="953"/>
      <c r="FVD86" s="953"/>
      <c r="FVE86" s="953"/>
      <c r="FVF86" s="953"/>
      <c r="FVG86" s="953"/>
      <c r="FVH86" s="953"/>
      <c r="FVI86" s="953"/>
      <c r="FVJ86" s="953"/>
      <c r="FVK86" s="953"/>
      <c r="FVL86" s="953"/>
      <c r="FVM86" s="953"/>
      <c r="FVN86" s="953"/>
      <c r="FVO86" s="953"/>
      <c r="FVP86" s="953"/>
      <c r="FVQ86" s="953"/>
      <c r="FVR86" s="953"/>
      <c r="FVS86" s="953"/>
      <c r="FVT86" s="953"/>
      <c r="FVU86" s="953"/>
      <c r="FVV86" s="953"/>
      <c r="FVW86" s="953"/>
      <c r="FVX86" s="953"/>
      <c r="FVY86" s="953"/>
      <c r="FVZ86" s="953"/>
      <c r="FWA86" s="953"/>
      <c r="FWB86" s="953"/>
      <c r="FWC86" s="953"/>
      <c r="FWD86" s="953"/>
      <c r="FWE86" s="953"/>
      <c r="FWF86" s="953"/>
      <c r="FWG86" s="953"/>
      <c r="FWH86" s="953"/>
      <c r="FWI86" s="953"/>
      <c r="FWJ86" s="953"/>
      <c r="FWK86" s="953"/>
      <c r="FWL86" s="953"/>
      <c r="FWM86" s="953"/>
      <c r="FWN86" s="953"/>
      <c r="FWO86" s="953"/>
      <c r="FWP86" s="953"/>
      <c r="FWQ86" s="953"/>
      <c r="FWR86" s="953"/>
      <c r="FWS86" s="953"/>
      <c r="FWT86" s="953"/>
      <c r="FWU86" s="953"/>
      <c r="FWV86" s="953"/>
      <c r="FWW86" s="953"/>
      <c r="FWX86" s="953"/>
      <c r="FWY86" s="953"/>
      <c r="FWZ86" s="953"/>
      <c r="FXA86" s="953"/>
      <c r="FXB86" s="953"/>
      <c r="FXC86" s="953"/>
      <c r="FXD86" s="953"/>
      <c r="FXE86" s="953"/>
      <c r="FXF86" s="953"/>
      <c r="FXG86" s="953"/>
      <c r="FXH86" s="953"/>
      <c r="FXI86" s="953"/>
      <c r="FXJ86" s="953"/>
      <c r="FXK86" s="953"/>
      <c r="FXL86" s="953"/>
      <c r="FXM86" s="953"/>
      <c r="FXN86" s="953"/>
      <c r="FXO86" s="953"/>
      <c r="FXP86" s="953"/>
      <c r="FXQ86" s="953"/>
      <c r="FXR86" s="953"/>
      <c r="FXS86" s="953"/>
      <c r="FXT86" s="953"/>
      <c r="FXU86" s="953"/>
      <c r="FXV86" s="953"/>
      <c r="FXW86" s="953"/>
      <c r="FXX86" s="953"/>
      <c r="FXY86" s="953"/>
      <c r="FXZ86" s="953"/>
      <c r="FYA86" s="953"/>
      <c r="FYB86" s="953"/>
      <c r="FYC86" s="953"/>
      <c r="FYD86" s="953"/>
      <c r="FYE86" s="953"/>
      <c r="FYF86" s="953"/>
      <c r="FYG86" s="953"/>
      <c r="FYH86" s="953"/>
      <c r="FYI86" s="953"/>
      <c r="FYJ86" s="953"/>
      <c r="FYK86" s="953"/>
      <c r="FYL86" s="953"/>
      <c r="FYM86" s="953"/>
      <c r="FYN86" s="953"/>
      <c r="FYO86" s="953"/>
      <c r="FYP86" s="953"/>
      <c r="FYQ86" s="953"/>
      <c r="FYR86" s="953"/>
      <c r="FYS86" s="953"/>
      <c r="FYT86" s="953"/>
      <c r="FYU86" s="953"/>
      <c r="FYV86" s="953"/>
      <c r="FYW86" s="953"/>
      <c r="FYX86" s="953"/>
      <c r="FYY86" s="953"/>
      <c r="FYZ86" s="953"/>
      <c r="FZA86" s="953"/>
      <c r="FZB86" s="953"/>
      <c r="FZC86" s="953"/>
      <c r="FZD86" s="953"/>
      <c r="FZE86" s="953"/>
      <c r="FZF86" s="953"/>
      <c r="FZG86" s="953"/>
      <c r="FZH86" s="953"/>
      <c r="FZI86" s="953"/>
      <c r="FZJ86" s="953"/>
      <c r="FZK86" s="953"/>
      <c r="FZL86" s="953"/>
      <c r="FZM86" s="953"/>
      <c r="FZN86" s="953"/>
      <c r="FZO86" s="953"/>
      <c r="FZP86" s="953"/>
      <c r="FZQ86" s="953"/>
      <c r="FZR86" s="953"/>
      <c r="FZS86" s="953"/>
      <c r="FZT86" s="953"/>
      <c r="FZU86" s="953"/>
      <c r="FZV86" s="953"/>
      <c r="FZW86" s="953"/>
      <c r="FZX86" s="953"/>
      <c r="FZY86" s="953"/>
      <c r="FZZ86" s="953"/>
      <c r="GAA86" s="953"/>
      <c r="GAB86" s="953"/>
      <c r="GAC86" s="953"/>
      <c r="GAD86" s="953"/>
      <c r="GAE86" s="953"/>
      <c r="GAF86" s="953"/>
      <c r="GAG86" s="953"/>
      <c r="GAH86" s="953"/>
      <c r="GAI86" s="953"/>
      <c r="GAJ86" s="953"/>
      <c r="GAK86" s="953"/>
      <c r="GAL86" s="953"/>
      <c r="GAM86" s="953"/>
      <c r="GAN86" s="953"/>
      <c r="GAO86" s="953"/>
      <c r="GAP86" s="953"/>
      <c r="GAQ86" s="953"/>
      <c r="GAR86" s="953"/>
      <c r="GAS86" s="953"/>
      <c r="GAT86" s="953"/>
      <c r="GAU86" s="953"/>
      <c r="GAV86" s="953"/>
      <c r="GAW86" s="953"/>
      <c r="GAX86" s="953"/>
      <c r="GAY86" s="953"/>
      <c r="GAZ86" s="953"/>
      <c r="GBA86" s="953"/>
      <c r="GBB86" s="953"/>
      <c r="GBC86" s="953"/>
      <c r="GBD86" s="953"/>
      <c r="GBE86" s="953"/>
      <c r="GBF86" s="953"/>
      <c r="GBG86" s="953"/>
      <c r="GBH86" s="953"/>
      <c r="GBI86" s="953"/>
      <c r="GBJ86" s="953"/>
      <c r="GBK86" s="953"/>
      <c r="GBL86" s="953"/>
      <c r="GBM86" s="953"/>
      <c r="GBN86" s="953"/>
      <c r="GBO86" s="953"/>
      <c r="GBP86" s="953"/>
      <c r="GBQ86" s="953"/>
      <c r="GBR86" s="953"/>
      <c r="GBS86" s="953"/>
      <c r="GBT86" s="953"/>
      <c r="GBU86" s="953"/>
      <c r="GBV86" s="953"/>
      <c r="GBW86" s="953"/>
      <c r="GBX86" s="953"/>
      <c r="GBY86" s="953"/>
      <c r="GBZ86" s="953"/>
      <c r="GCA86" s="953"/>
      <c r="GCB86" s="953"/>
      <c r="GCC86" s="953"/>
      <c r="GCD86" s="953"/>
      <c r="GCE86" s="953"/>
      <c r="GCF86" s="953"/>
      <c r="GCG86" s="953"/>
      <c r="GCH86" s="953"/>
      <c r="GCI86" s="953"/>
      <c r="GCJ86" s="953"/>
      <c r="GCK86" s="953"/>
      <c r="GCL86" s="953"/>
      <c r="GCM86" s="953"/>
      <c r="GCN86" s="953"/>
      <c r="GCO86" s="953"/>
      <c r="GCP86" s="953"/>
      <c r="GCQ86" s="953"/>
      <c r="GCR86" s="953"/>
      <c r="GCS86" s="953"/>
      <c r="GCT86" s="953"/>
      <c r="GCU86" s="953"/>
      <c r="GCV86" s="953"/>
      <c r="GCW86" s="953"/>
      <c r="GCX86" s="953"/>
      <c r="GCY86" s="953"/>
      <c r="GCZ86" s="953"/>
      <c r="GDA86" s="953"/>
      <c r="GDB86" s="953"/>
      <c r="GDC86" s="953"/>
      <c r="GDD86" s="953"/>
      <c r="GDE86" s="953"/>
      <c r="GDF86" s="953"/>
      <c r="GDG86" s="953"/>
      <c r="GDH86" s="953"/>
      <c r="GDI86" s="953"/>
      <c r="GDJ86" s="953"/>
      <c r="GDK86" s="953"/>
      <c r="GDL86" s="953"/>
      <c r="GDM86" s="953"/>
      <c r="GDN86" s="953"/>
      <c r="GDO86" s="953"/>
      <c r="GDP86" s="953"/>
      <c r="GDQ86" s="953"/>
      <c r="GDR86" s="953"/>
      <c r="GDS86" s="953"/>
      <c r="GDT86" s="953"/>
      <c r="GDU86" s="953"/>
      <c r="GDV86" s="953"/>
      <c r="GDW86" s="953"/>
      <c r="GDX86" s="953"/>
      <c r="GDY86" s="953"/>
      <c r="GDZ86" s="953"/>
      <c r="GEA86" s="953"/>
      <c r="GEB86" s="953"/>
      <c r="GEC86" s="953"/>
      <c r="GED86" s="953"/>
      <c r="GEE86" s="953"/>
      <c r="GEF86" s="953"/>
      <c r="GEG86" s="953"/>
      <c r="GEH86" s="953"/>
      <c r="GEI86" s="953"/>
      <c r="GEJ86" s="953"/>
      <c r="GEK86" s="953"/>
      <c r="GEL86" s="953"/>
      <c r="GEM86" s="953"/>
      <c r="GEN86" s="953"/>
      <c r="GEO86" s="953"/>
      <c r="GEP86" s="953"/>
      <c r="GEQ86" s="953"/>
      <c r="GER86" s="953"/>
      <c r="GES86" s="953"/>
      <c r="GET86" s="953"/>
      <c r="GEU86" s="953"/>
      <c r="GEV86" s="953"/>
      <c r="GEW86" s="953"/>
      <c r="GEX86" s="953"/>
      <c r="GEY86" s="953"/>
      <c r="GEZ86" s="953"/>
      <c r="GFA86" s="953"/>
      <c r="GFB86" s="953"/>
      <c r="GFC86" s="953"/>
      <c r="GFD86" s="953"/>
      <c r="GFE86" s="953"/>
      <c r="GFF86" s="953"/>
      <c r="GFG86" s="953"/>
      <c r="GFH86" s="953"/>
      <c r="GFI86" s="953"/>
      <c r="GFJ86" s="953"/>
      <c r="GFK86" s="953"/>
      <c r="GFL86" s="953"/>
      <c r="GFM86" s="953"/>
      <c r="GFN86" s="953"/>
      <c r="GFO86" s="953"/>
      <c r="GFP86" s="953"/>
      <c r="GFQ86" s="953"/>
      <c r="GFR86" s="953"/>
      <c r="GFS86" s="953"/>
      <c r="GFT86" s="953"/>
      <c r="GFU86" s="953"/>
      <c r="GFV86" s="953"/>
      <c r="GFW86" s="953"/>
      <c r="GFX86" s="953"/>
      <c r="GFY86" s="953"/>
      <c r="GFZ86" s="953"/>
      <c r="GGA86" s="953"/>
      <c r="GGB86" s="953"/>
      <c r="GGC86" s="953"/>
      <c r="GGD86" s="953"/>
      <c r="GGE86" s="953"/>
      <c r="GGF86" s="953"/>
      <c r="GGG86" s="953"/>
      <c r="GGH86" s="953"/>
      <c r="GGI86" s="953"/>
      <c r="GGJ86" s="953"/>
      <c r="GGK86" s="953"/>
      <c r="GGL86" s="953"/>
      <c r="GGM86" s="953"/>
      <c r="GGN86" s="953"/>
      <c r="GGO86" s="953"/>
      <c r="GGP86" s="953"/>
      <c r="GGQ86" s="953"/>
      <c r="GGR86" s="953"/>
      <c r="GGS86" s="953"/>
      <c r="GGT86" s="953"/>
      <c r="GGU86" s="953"/>
      <c r="GGV86" s="953"/>
      <c r="GGW86" s="953"/>
      <c r="GGX86" s="953"/>
      <c r="GGY86" s="953"/>
      <c r="GGZ86" s="953"/>
      <c r="GHA86" s="953"/>
      <c r="GHB86" s="953"/>
      <c r="GHC86" s="953"/>
      <c r="GHD86" s="953"/>
      <c r="GHE86" s="953"/>
      <c r="GHF86" s="953"/>
      <c r="GHG86" s="953"/>
      <c r="GHH86" s="953"/>
      <c r="GHI86" s="953"/>
      <c r="GHJ86" s="953"/>
      <c r="GHK86" s="953"/>
      <c r="GHL86" s="953"/>
      <c r="GHM86" s="953"/>
      <c r="GHN86" s="953"/>
      <c r="GHO86" s="953"/>
      <c r="GHP86" s="953"/>
      <c r="GHQ86" s="953"/>
      <c r="GHR86" s="953"/>
      <c r="GHS86" s="953"/>
      <c r="GHT86" s="953"/>
      <c r="GHU86" s="953"/>
      <c r="GHV86" s="953"/>
      <c r="GHW86" s="953"/>
      <c r="GHX86" s="953"/>
      <c r="GHY86" s="953"/>
      <c r="GHZ86" s="953"/>
      <c r="GIA86" s="953"/>
      <c r="GIB86" s="953"/>
      <c r="GIC86" s="953"/>
      <c r="GID86" s="953"/>
      <c r="GIE86" s="953"/>
      <c r="GIF86" s="953"/>
      <c r="GIG86" s="953"/>
      <c r="GIH86" s="953"/>
      <c r="GII86" s="953"/>
      <c r="GIJ86" s="953"/>
      <c r="GIK86" s="953"/>
      <c r="GIL86" s="953"/>
      <c r="GIM86" s="953"/>
      <c r="GIN86" s="953"/>
      <c r="GIO86" s="953"/>
      <c r="GIP86" s="953"/>
      <c r="GIQ86" s="953"/>
      <c r="GIR86" s="953"/>
      <c r="GIS86" s="953"/>
      <c r="GIT86" s="953"/>
      <c r="GIU86" s="953"/>
      <c r="GIV86" s="953"/>
      <c r="GIW86" s="953"/>
      <c r="GIX86" s="953"/>
      <c r="GIY86" s="953"/>
      <c r="GIZ86" s="953"/>
      <c r="GJA86" s="953"/>
      <c r="GJB86" s="953"/>
      <c r="GJC86" s="953"/>
      <c r="GJD86" s="953"/>
      <c r="GJE86" s="953"/>
      <c r="GJF86" s="953"/>
      <c r="GJG86" s="953"/>
      <c r="GJH86" s="953"/>
      <c r="GJI86" s="953"/>
      <c r="GJJ86" s="953"/>
      <c r="GJK86" s="953"/>
      <c r="GJL86" s="953"/>
      <c r="GJM86" s="953"/>
      <c r="GJN86" s="953"/>
      <c r="GJO86" s="953"/>
      <c r="GJP86" s="953"/>
      <c r="GJQ86" s="953"/>
      <c r="GJR86" s="953"/>
      <c r="GJS86" s="953"/>
      <c r="GJT86" s="953"/>
      <c r="GJU86" s="953"/>
      <c r="GJV86" s="953"/>
      <c r="GJW86" s="953"/>
      <c r="GJX86" s="953"/>
      <c r="GJY86" s="953"/>
      <c r="GJZ86" s="953"/>
      <c r="GKA86" s="953"/>
      <c r="GKB86" s="953"/>
      <c r="GKC86" s="953"/>
      <c r="GKD86" s="953"/>
      <c r="GKE86" s="953"/>
      <c r="GKF86" s="953"/>
      <c r="GKG86" s="953"/>
      <c r="GKH86" s="953"/>
      <c r="GKI86" s="953"/>
      <c r="GKJ86" s="953"/>
      <c r="GKK86" s="953"/>
      <c r="GKL86" s="953"/>
      <c r="GKM86" s="953"/>
      <c r="GKN86" s="953"/>
      <c r="GKO86" s="953"/>
      <c r="GKP86" s="953"/>
      <c r="GKQ86" s="953"/>
      <c r="GKR86" s="953"/>
      <c r="GKS86" s="953"/>
      <c r="GKT86" s="953"/>
      <c r="GKU86" s="953"/>
      <c r="GKV86" s="953"/>
      <c r="GKW86" s="953"/>
      <c r="GKX86" s="953"/>
      <c r="GKY86" s="953"/>
      <c r="GKZ86" s="953"/>
      <c r="GLA86" s="953"/>
      <c r="GLB86" s="953"/>
      <c r="GLC86" s="953"/>
      <c r="GLD86" s="953"/>
      <c r="GLE86" s="953"/>
      <c r="GLF86" s="953"/>
      <c r="GLG86" s="953"/>
      <c r="GLH86" s="953"/>
      <c r="GLI86" s="953"/>
      <c r="GLJ86" s="953"/>
      <c r="GLK86" s="953"/>
      <c r="GLL86" s="953"/>
      <c r="GLM86" s="953"/>
      <c r="GLN86" s="953"/>
      <c r="GLO86" s="953"/>
      <c r="GLP86" s="953"/>
      <c r="GLQ86" s="953"/>
      <c r="GLR86" s="953"/>
      <c r="GLS86" s="953"/>
      <c r="GLT86" s="953"/>
      <c r="GLU86" s="953"/>
      <c r="GLV86" s="953"/>
      <c r="GLW86" s="953"/>
      <c r="GLX86" s="953"/>
      <c r="GLY86" s="953"/>
      <c r="GLZ86" s="953"/>
      <c r="GMA86" s="953"/>
      <c r="GMB86" s="953"/>
      <c r="GMC86" s="953"/>
      <c r="GMD86" s="953"/>
      <c r="GME86" s="953"/>
      <c r="GMF86" s="953"/>
      <c r="GMG86" s="953"/>
      <c r="GMH86" s="953"/>
      <c r="GMI86" s="953"/>
      <c r="GMJ86" s="953"/>
      <c r="GMK86" s="953"/>
      <c r="GML86" s="953"/>
      <c r="GMM86" s="953"/>
      <c r="GMN86" s="953"/>
      <c r="GMO86" s="953"/>
      <c r="GMP86" s="953"/>
      <c r="GMQ86" s="953"/>
      <c r="GMR86" s="953"/>
      <c r="GMS86" s="953"/>
      <c r="GMT86" s="953"/>
      <c r="GMU86" s="953"/>
      <c r="GMV86" s="953"/>
      <c r="GMW86" s="953"/>
      <c r="GMX86" s="953"/>
      <c r="GMY86" s="953"/>
      <c r="GMZ86" s="953"/>
      <c r="GNA86" s="953"/>
      <c r="GNB86" s="953"/>
      <c r="GNC86" s="953"/>
      <c r="GND86" s="953"/>
      <c r="GNE86" s="953"/>
      <c r="GNF86" s="953"/>
      <c r="GNG86" s="953"/>
      <c r="GNH86" s="953"/>
      <c r="GNI86" s="953"/>
      <c r="GNJ86" s="953"/>
      <c r="GNK86" s="953"/>
      <c r="GNL86" s="953"/>
      <c r="GNM86" s="953"/>
      <c r="GNN86" s="953"/>
      <c r="GNO86" s="953"/>
      <c r="GNP86" s="953"/>
      <c r="GNQ86" s="953"/>
      <c r="GNR86" s="953"/>
      <c r="GNS86" s="953"/>
      <c r="GNT86" s="953"/>
      <c r="GNU86" s="953"/>
      <c r="GNV86" s="953"/>
      <c r="GNW86" s="953"/>
      <c r="GNX86" s="953"/>
      <c r="GNY86" s="953"/>
      <c r="GNZ86" s="953"/>
      <c r="GOA86" s="953"/>
      <c r="GOB86" s="953"/>
      <c r="GOC86" s="953"/>
      <c r="GOD86" s="953"/>
      <c r="GOE86" s="953"/>
      <c r="GOF86" s="953"/>
      <c r="GOG86" s="953"/>
      <c r="GOH86" s="953"/>
      <c r="GOI86" s="953"/>
      <c r="GOJ86" s="953"/>
      <c r="GOK86" s="953"/>
      <c r="GOL86" s="953"/>
      <c r="GOM86" s="953"/>
      <c r="GON86" s="953"/>
      <c r="GOO86" s="953"/>
      <c r="GOP86" s="953"/>
      <c r="GOQ86" s="953"/>
      <c r="GOR86" s="953"/>
      <c r="GOS86" s="953"/>
      <c r="GOT86" s="953"/>
      <c r="GOU86" s="953"/>
      <c r="GOV86" s="953"/>
      <c r="GOW86" s="953"/>
      <c r="GOX86" s="953"/>
      <c r="GOY86" s="953"/>
      <c r="GOZ86" s="953"/>
      <c r="GPA86" s="953"/>
      <c r="GPB86" s="953"/>
      <c r="GPC86" s="953"/>
      <c r="GPD86" s="953"/>
      <c r="GPE86" s="953"/>
      <c r="GPF86" s="953"/>
      <c r="GPG86" s="953"/>
      <c r="GPH86" s="953"/>
      <c r="GPI86" s="953"/>
      <c r="GPJ86" s="953"/>
      <c r="GPK86" s="953"/>
      <c r="GPL86" s="953"/>
      <c r="GPM86" s="953"/>
      <c r="GPN86" s="953"/>
      <c r="GPO86" s="953"/>
      <c r="GPP86" s="953"/>
      <c r="GPQ86" s="953"/>
      <c r="GPR86" s="953"/>
      <c r="GPS86" s="953"/>
      <c r="GPT86" s="953"/>
      <c r="GPU86" s="953"/>
      <c r="GPV86" s="953"/>
      <c r="GPW86" s="953"/>
      <c r="GPX86" s="953"/>
      <c r="GPY86" s="953"/>
      <c r="GPZ86" s="953"/>
      <c r="GQA86" s="953"/>
      <c r="GQB86" s="953"/>
      <c r="GQC86" s="953"/>
      <c r="GQD86" s="953"/>
      <c r="GQE86" s="953"/>
      <c r="GQF86" s="953"/>
      <c r="GQG86" s="953"/>
      <c r="GQH86" s="953"/>
      <c r="GQI86" s="953"/>
      <c r="GQJ86" s="953"/>
      <c r="GQK86" s="953"/>
      <c r="GQL86" s="953"/>
      <c r="GQM86" s="953"/>
      <c r="GQN86" s="953"/>
      <c r="GQO86" s="953"/>
      <c r="GQP86" s="953"/>
      <c r="GQQ86" s="953"/>
      <c r="GQR86" s="953"/>
      <c r="GQS86" s="953"/>
      <c r="GQT86" s="953"/>
      <c r="GQU86" s="953"/>
      <c r="GQV86" s="953"/>
      <c r="GQW86" s="953"/>
      <c r="GQX86" s="953"/>
      <c r="GQY86" s="953"/>
      <c r="GQZ86" s="953"/>
      <c r="GRA86" s="953"/>
      <c r="GRB86" s="953"/>
      <c r="GRC86" s="953"/>
      <c r="GRD86" s="953"/>
      <c r="GRE86" s="953"/>
      <c r="GRF86" s="953"/>
      <c r="GRG86" s="953"/>
      <c r="GRH86" s="953"/>
      <c r="GRI86" s="953"/>
      <c r="GRJ86" s="953"/>
      <c r="GRK86" s="953"/>
      <c r="GRL86" s="953"/>
      <c r="GRM86" s="953"/>
      <c r="GRN86" s="953"/>
      <c r="GRO86" s="953"/>
      <c r="GRP86" s="953"/>
      <c r="GRQ86" s="953"/>
      <c r="GRR86" s="953"/>
      <c r="GRS86" s="953"/>
      <c r="GRT86" s="953"/>
      <c r="GRU86" s="953"/>
      <c r="GRV86" s="953"/>
      <c r="GRW86" s="953"/>
      <c r="GRX86" s="953"/>
      <c r="GRY86" s="953"/>
      <c r="GRZ86" s="953"/>
      <c r="GSA86" s="953"/>
      <c r="GSB86" s="953"/>
      <c r="GSC86" s="953"/>
      <c r="GSD86" s="953"/>
      <c r="GSE86" s="953"/>
      <c r="GSF86" s="953"/>
      <c r="GSG86" s="953"/>
      <c r="GSH86" s="953"/>
      <c r="GSI86" s="953"/>
      <c r="GSJ86" s="953"/>
      <c r="GSK86" s="953"/>
      <c r="GSL86" s="953"/>
      <c r="GSM86" s="953"/>
      <c r="GSN86" s="953"/>
      <c r="GSO86" s="953"/>
      <c r="GSP86" s="953"/>
      <c r="GSQ86" s="953"/>
      <c r="GSR86" s="953"/>
      <c r="GSS86" s="953"/>
      <c r="GST86" s="953"/>
      <c r="GSU86" s="953"/>
      <c r="GSV86" s="953"/>
      <c r="GSW86" s="953"/>
      <c r="GSX86" s="953"/>
      <c r="GSY86" s="953"/>
      <c r="GSZ86" s="953"/>
      <c r="GTA86" s="953"/>
      <c r="GTB86" s="953"/>
      <c r="GTC86" s="953"/>
      <c r="GTD86" s="953"/>
      <c r="GTE86" s="953"/>
      <c r="GTF86" s="953"/>
      <c r="GTG86" s="953"/>
      <c r="GTH86" s="953"/>
      <c r="GTI86" s="953"/>
      <c r="GTJ86" s="953"/>
      <c r="GTK86" s="953"/>
      <c r="GTL86" s="953"/>
      <c r="GTM86" s="953"/>
      <c r="GTN86" s="953"/>
      <c r="GTO86" s="953"/>
      <c r="GTP86" s="953"/>
      <c r="GTQ86" s="953"/>
      <c r="GTR86" s="953"/>
      <c r="GTS86" s="953"/>
      <c r="GTT86" s="953"/>
      <c r="GTU86" s="953"/>
      <c r="GTV86" s="953"/>
      <c r="GTW86" s="953"/>
      <c r="GTX86" s="953"/>
      <c r="GTY86" s="953"/>
      <c r="GTZ86" s="953"/>
      <c r="GUA86" s="953"/>
      <c r="GUB86" s="953"/>
      <c r="GUC86" s="953"/>
      <c r="GUD86" s="953"/>
      <c r="GUE86" s="953"/>
      <c r="GUF86" s="953"/>
      <c r="GUG86" s="953"/>
      <c r="GUH86" s="953"/>
      <c r="GUI86" s="953"/>
      <c r="GUJ86" s="953"/>
      <c r="GUK86" s="953"/>
      <c r="GUL86" s="953"/>
      <c r="GUM86" s="953"/>
      <c r="GUN86" s="953"/>
      <c r="GUO86" s="953"/>
      <c r="GUP86" s="953"/>
      <c r="GUQ86" s="953"/>
      <c r="GUR86" s="953"/>
      <c r="GUS86" s="953"/>
      <c r="GUT86" s="953"/>
      <c r="GUU86" s="953"/>
      <c r="GUV86" s="953"/>
      <c r="GUW86" s="953"/>
      <c r="GUX86" s="953"/>
      <c r="GUY86" s="953"/>
      <c r="GUZ86" s="953"/>
      <c r="GVA86" s="953"/>
      <c r="GVB86" s="953"/>
      <c r="GVC86" s="953"/>
      <c r="GVD86" s="953"/>
      <c r="GVE86" s="953"/>
      <c r="GVF86" s="953"/>
      <c r="GVG86" s="953"/>
      <c r="GVH86" s="953"/>
      <c r="GVI86" s="953"/>
      <c r="GVJ86" s="953"/>
      <c r="GVK86" s="953"/>
      <c r="GVL86" s="953"/>
      <c r="GVM86" s="953"/>
      <c r="GVN86" s="953"/>
      <c r="GVO86" s="953"/>
      <c r="GVP86" s="953"/>
      <c r="GVQ86" s="953"/>
      <c r="GVR86" s="953"/>
      <c r="GVS86" s="953"/>
      <c r="GVT86" s="953"/>
      <c r="GVU86" s="953"/>
      <c r="GVV86" s="953"/>
      <c r="GVW86" s="953"/>
      <c r="GVX86" s="953"/>
      <c r="GVY86" s="953"/>
      <c r="GVZ86" s="953"/>
      <c r="GWA86" s="953"/>
      <c r="GWB86" s="953"/>
      <c r="GWC86" s="953"/>
      <c r="GWD86" s="953"/>
      <c r="GWE86" s="953"/>
      <c r="GWF86" s="953"/>
      <c r="GWG86" s="953"/>
      <c r="GWH86" s="953"/>
      <c r="GWI86" s="953"/>
      <c r="GWJ86" s="953"/>
      <c r="GWK86" s="953"/>
      <c r="GWL86" s="953"/>
      <c r="GWM86" s="953"/>
      <c r="GWN86" s="953"/>
      <c r="GWO86" s="953"/>
      <c r="GWP86" s="953"/>
      <c r="GWQ86" s="953"/>
      <c r="GWR86" s="953"/>
      <c r="GWS86" s="953"/>
      <c r="GWT86" s="953"/>
      <c r="GWU86" s="953"/>
      <c r="GWV86" s="953"/>
      <c r="GWW86" s="953"/>
      <c r="GWX86" s="953"/>
      <c r="GWY86" s="953"/>
      <c r="GWZ86" s="953"/>
      <c r="GXA86" s="953"/>
      <c r="GXB86" s="953"/>
      <c r="GXC86" s="953"/>
      <c r="GXD86" s="953"/>
      <c r="GXE86" s="953"/>
      <c r="GXF86" s="953"/>
      <c r="GXG86" s="953"/>
      <c r="GXH86" s="953"/>
      <c r="GXI86" s="953"/>
      <c r="GXJ86" s="953"/>
      <c r="GXK86" s="953"/>
      <c r="GXL86" s="953"/>
      <c r="GXM86" s="953"/>
      <c r="GXN86" s="953"/>
      <c r="GXO86" s="953"/>
      <c r="GXP86" s="953"/>
      <c r="GXQ86" s="953"/>
      <c r="GXR86" s="953"/>
      <c r="GXS86" s="953"/>
      <c r="GXT86" s="953"/>
      <c r="GXU86" s="953"/>
      <c r="GXV86" s="953"/>
      <c r="GXW86" s="953"/>
      <c r="GXX86" s="953"/>
      <c r="GXY86" s="953"/>
      <c r="GXZ86" s="953"/>
      <c r="GYA86" s="953"/>
      <c r="GYB86" s="953"/>
      <c r="GYC86" s="953"/>
      <c r="GYD86" s="953"/>
      <c r="GYE86" s="953"/>
      <c r="GYF86" s="953"/>
      <c r="GYG86" s="953"/>
      <c r="GYH86" s="953"/>
      <c r="GYI86" s="953"/>
      <c r="GYJ86" s="953"/>
      <c r="GYK86" s="953"/>
      <c r="GYL86" s="953"/>
      <c r="GYM86" s="953"/>
      <c r="GYN86" s="953"/>
      <c r="GYO86" s="953"/>
      <c r="GYP86" s="953"/>
      <c r="GYQ86" s="953"/>
      <c r="GYR86" s="953"/>
      <c r="GYS86" s="953"/>
      <c r="GYT86" s="953"/>
      <c r="GYU86" s="953"/>
      <c r="GYV86" s="953"/>
      <c r="GYW86" s="953"/>
      <c r="GYX86" s="953"/>
      <c r="GYY86" s="953"/>
      <c r="GYZ86" s="953"/>
      <c r="GZA86" s="953"/>
      <c r="GZB86" s="953"/>
      <c r="GZC86" s="953"/>
      <c r="GZD86" s="953"/>
      <c r="GZE86" s="953"/>
      <c r="GZF86" s="953"/>
      <c r="GZG86" s="953"/>
      <c r="GZH86" s="953"/>
      <c r="GZI86" s="953"/>
      <c r="GZJ86" s="953"/>
      <c r="GZK86" s="953"/>
      <c r="GZL86" s="953"/>
      <c r="GZM86" s="953"/>
      <c r="GZN86" s="953"/>
      <c r="GZO86" s="953"/>
      <c r="GZP86" s="953"/>
      <c r="GZQ86" s="953"/>
      <c r="GZR86" s="953"/>
      <c r="GZS86" s="953"/>
      <c r="GZT86" s="953"/>
      <c r="GZU86" s="953"/>
      <c r="GZV86" s="953"/>
      <c r="GZW86" s="953"/>
      <c r="GZX86" s="953"/>
      <c r="GZY86" s="953"/>
      <c r="GZZ86" s="953"/>
      <c r="HAA86" s="953"/>
      <c r="HAB86" s="953"/>
      <c r="HAC86" s="953"/>
      <c r="HAD86" s="953"/>
      <c r="HAE86" s="953"/>
      <c r="HAF86" s="953"/>
      <c r="HAG86" s="953"/>
      <c r="HAH86" s="953"/>
      <c r="HAI86" s="953"/>
      <c r="HAJ86" s="953"/>
      <c r="HAK86" s="953"/>
      <c r="HAL86" s="953"/>
      <c r="HAM86" s="953"/>
      <c r="HAN86" s="953"/>
      <c r="HAO86" s="953"/>
      <c r="HAP86" s="953"/>
      <c r="HAQ86" s="953"/>
      <c r="HAR86" s="953"/>
      <c r="HAS86" s="953"/>
      <c r="HAT86" s="953"/>
      <c r="HAU86" s="953"/>
      <c r="HAV86" s="953"/>
      <c r="HAW86" s="953"/>
      <c r="HAX86" s="953"/>
      <c r="HAY86" s="953"/>
      <c r="HAZ86" s="953"/>
      <c r="HBA86" s="953"/>
      <c r="HBB86" s="953"/>
      <c r="HBC86" s="953"/>
      <c r="HBD86" s="953"/>
      <c r="HBE86" s="953"/>
      <c r="HBF86" s="953"/>
      <c r="HBG86" s="953"/>
      <c r="HBH86" s="953"/>
      <c r="HBI86" s="953"/>
      <c r="HBJ86" s="953"/>
      <c r="HBK86" s="953"/>
      <c r="HBL86" s="953"/>
      <c r="HBM86" s="953"/>
      <c r="HBN86" s="953"/>
      <c r="HBO86" s="953"/>
      <c r="HBP86" s="953"/>
      <c r="HBQ86" s="953"/>
      <c r="HBR86" s="953"/>
      <c r="HBS86" s="953"/>
      <c r="HBT86" s="953"/>
      <c r="HBU86" s="953"/>
      <c r="HBV86" s="953"/>
      <c r="HBW86" s="953"/>
      <c r="HBX86" s="953"/>
      <c r="HBY86" s="953"/>
      <c r="HBZ86" s="953"/>
      <c r="HCA86" s="953"/>
      <c r="HCB86" s="953"/>
      <c r="HCC86" s="953"/>
      <c r="HCD86" s="953"/>
      <c r="HCE86" s="953"/>
      <c r="HCF86" s="953"/>
      <c r="HCG86" s="953"/>
      <c r="HCH86" s="953"/>
      <c r="HCI86" s="953"/>
      <c r="HCJ86" s="953"/>
      <c r="HCK86" s="953"/>
      <c r="HCL86" s="953"/>
      <c r="HCM86" s="953"/>
      <c r="HCN86" s="953"/>
      <c r="HCO86" s="953"/>
      <c r="HCP86" s="953"/>
      <c r="HCQ86" s="953"/>
      <c r="HCR86" s="953"/>
      <c r="HCS86" s="953"/>
      <c r="HCT86" s="953"/>
      <c r="HCU86" s="953"/>
      <c r="HCV86" s="953"/>
      <c r="HCW86" s="953"/>
      <c r="HCX86" s="953"/>
      <c r="HCY86" s="953"/>
      <c r="HCZ86" s="953"/>
      <c r="HDA86" s="953"/>
      <c r="HDB86" s="953"/>
      <c r="HDC86" s="953"/>
      <c r="HDD86" s="953"/>
      <c r="HDE86" s="953"/>
      <c r="HDF86" s="953"/>
      <c r="HDG86" s="953"/>
      <c r="HDH86" s="953"/>
      <c r="HDI86" s="953"/>
      <c r="HDJ86" s="953"/>
      <c r="HDK86" s="953"/>
      <c r="HDL86" s="953"/>
      <c r="HDM86" s="953"/>
      <c r="HDN86" s="953"/>
      <c r="HDO86" s="953"/>
      <c r="HDP86" s="953"/>
      <c r="HDQ86" s="953"/>
      <c r="HDR86" s="953"/>
      <c r="HDS86" s="953"/>
      <c r="HDT86" s="953"/>
      <c r="HDU86" s="953"/>
      <c r="HDV86" s="953"/>
      <c r="HDW86" s="953"/>
      <c r="HDX86" s="953"/>
      <c r="HDY86" s="953"/>
      <c r="HDZ86" s="953"/>
      <c r="HEA86" s="953"/>
      <c r="HEB86" s="953"/>
      <c r="HEC86" s="953"/>
      <c r="HED86" s="953"/>
      <c r="HEE86" s="953"/>
      <c r="HEF86" s="953"/>
      <c r="HEG86" s="953"/>
      <c r="HEH86" s="953"/>
      <c r="HEI86" s="953"/>
      <c r="HEJ86" s="953"/>
      <c r="HEK86" s="953"/>
      <c r="HEL86" s="953"/>
      <c r="HEM86" s="953"/>
      <c r="HEN86" s="953"/>
      <c r="HEO86" s="953"/>
      <c r="HEP86" s="953"/>
      <c r="HEQ86" s="953"/>
      <c r="HER86" s="953"/>
      <c r="HES86" s="953"/>
      <c r="HET86" s="953"/>
      <c r="HEU86" s="953"/>
      <c r="HEV86" s="953"/>
      <c r="HEW86" s="953"/>
      <c r="HEX86" s="953"/>
      <c r="HEY86" s="953"/>
      <c r="HEZ86" s="953"/>
      <c r="HFA86" s="953"/>
      <c r="HFB86" s="953"/>
      <c r="HFC86" s="953"/>
      <c r="HFD86" s="953"/>
      <c r="HFE86" s="953"/>
      <c r="HFF86" s="953"/>
      <c r="HFG86" s="953"/>
      <c r="HFH86" s="953"/>
      <c r="HFI86" s="953"/>
      <c r="HFJ86" s="953"/>
      <c r="HFK86" s="953"/>
      <c r="HFL86" s="953"/>
      <c r="HFM86" s="953"/>
      <c r="HFN86" s="953"/>
      <c r="HFO86" s="953"/>
      <c r="HFP86" s="953"/>
      <c r="HFQ86" s="953"/>
      <c r="HFR86" s="953"/>
      <c r="HFS86" s="953"/>
      <c r="HFT86" s="953"/>
      <c r="HFU86" s="953"/>
      <c r="HFV86" s="953"/>
      <c r="HFW86" s="953"/>
      <c r="HFX86" s="953"/>
      <c r="HFY86" s="953"/>
      <c r="HFZ86" s="953"/>
      <c r="HGA86" s="953"/>
      <c r="HGB86" s="953"/>
      <c r="HGC86" s="953"/>
      <c r="HGD86" s="953"/>
      <c r="HGE86" s="953"/>
      <c r="HGF86" s="953"/>
      <c r="HGG86" s="953"/>
      <c r="HGH86" s="953"/>
      <c r="HGI86" s="953"/>
      <c r="HGJ86" s="953"/>
      <c r="HGK86" s="953"/>
      <c r="HGL86" s="953"/>
      <c r="HGM86" s="953"/>
      <c r="HGN86" s="953"/>
      <c r="HGO86" s="953"/>
      <c r="HGP86" s="953"/>
      <c r="HGQ86" s="953"/>
      <c r="HGR86" s="953"/>
      <c r="HGS86" s="953"/>
      <c r="HGT86" s="953"/>
      <c r="HGU86" s="953"/>
      <c r="HGV86" s="953"/>
      <c r="HGW86" s="953"/>
      <c r="HGX86" s="953"/>
      <c r="HGY86" s="953"/>
      <c r="HGZ86" s="953"/>
      <c r="HHA86" s="953"/>
      <c r="HHB86" s="953"/>
      <c r="HHC86" s="953"/>
      <c r="HHD86" s="953"/>
      <c r="HHE86" s="953"/>
      <c r="HHF86" s="953"/>
      <c r="HHG86" s="953"/>
      <c r="HHH86" s="953"/>
      <c r="HHI86" s="953"/>
      <c r="HHJ86" s="953"/>
      <c r="HHK86" s="953"/>
      <c r="HHL86" s="953"/>
      <c r="HHM86" s="953"/>
      <c r="HHN86" s="953"/>
      <c r="HHO86" s="953"/>
      <c r="HHP86" s="953"/>
      <c r="HHQ86" s="953"/>
      <c r="HHR86" s="953"/>
      <c r="HHS86" s="953"/>
      <c r="HHT86" s="953"/>
      <c r="HHU86" s="953"/>
      <c r="HHV86" s="953"/>
      <c r="HHW86" s="953"/>
      <c r="HHX86" s="953"/>
      <c r="HHY86" s="953"/>
      <c r="HHZ86" s="953"/>
      <c r="HIA86" s="953"/>
      <c r="HIB86" s="953"/>
      <c r="HIC86" s="953"/>
      <c r="HID86" s="953"/>
      <c r="HIE86" s="953"/>
      <c r="HIF86" s="953"/>
      <c r="HIG86" s="953"/>
      <c r="HIH86" s="953"/>
      <c r="HII86" s="953"/>
      <c r="HIJ86" s="953"/>
      <c r="HIK86" s="953"/>
      <c r="HIL86" s="953"/>
      <c r="HIM86" s="953"/>
      <c r="HIN86" s="953"/>
      <c r="HIO86" s="953"/>
      <c r="HIP86" s="953"/>
      <c r="HIQ86" s="953"/>
      <c r="HIR86" s="953"/>
      <c r="HIS86" s="953"/>
      <c r="HIT86" s="953"/>
      <c r="HIU86" s="953"/>
      <c r="HIV86" s="953"/>
      <c r="HIW86" s="953"/>
      <c r="HIX86" s="953"/>
      <c r="HIY86" s="953"/>
      <c r="HIZ86" s="953"/>
      <c r="HJA86" s="953"/>
      <c r="HJB86" s="953"/>
      <c r="HJC86" s="953"/>
      <c r="HJD86" s="953"/>
      <c r="HJE86" s="953"/>
      <c r="HJF86" s="953"/>
      <c r="HJG86" s="953"/>
      <c r="HJH86" s="953"/>
      <c r="HJI86" s="953"/>
      <c r="HJJ86" s="953"/>
      <c r="HJK86" s="953"/>
      <c r="HJL86" s="953"/>
      <c r="HJM86" s="953"/>
      <c r="HJN86" s="953"/>
      <c r="HJO86" s="953"/>
      <c r="HJP86" s="953"/>
      <c r="HJQ86" s="953"/>
      <c r="HJR86" s="953"/>
      <c r="HJS86" s="953"/>
      <c r="HJT86" s="953"/>
      <c r="HJU86" s="953"/>
      <c r="HJV86" s="953"/>
      <c r="HJW86" s="953"/>
      <c r="HJX86" s="953"/>
      <c r="HJY86" s="953"/>
      <c r="HJZ86" s="953"/>
      <c r="HKA86" s="953"/>
      <c r="HKB86" s="953"/>
      <c r="HKC86" s="953"/>
      <c r="HKD86" s="953"/>
      <c r="HKE86" s="953"/>
      <c r="HKF86" s="953"/>
      <c r="HKG86" s="953"/>
      <c r="HKH86" s="953"/>
      <c r="HKI86" s="953"/>
      <c r="HKJ86" s="953"/>
      <c r="HKK86" s="953"/>
      <c r="HKL86" s="953"/>
      <c r="HKM86" s="953"/>
      <c r="HKN86" s="953"/>
      <c r="HKO86" s="953"/>
      <c r="HKP86" s="953"/>
      <c r="HKQ86" s="953"/>
      <c r="HKR86" s="953"/>
      <c r="HKS86" s="953"/>
      <c r="HKT86" s="953"/>
      <c r="HKU86" s="953"/>
      <c r="HKV86" s="953"/>
      <c r="HKW86" s="953"/>
      <c r="HKX86" s="953"/>
      <c r="HKY86" s="953"/>
      <c r="HKZ86" s="953"/>
      <c r="HLA86" s="953"/>
      <c r="HLB86" s="953"/>
      <c r="HLC86" s="953"/>
      <c r="HLD86" s="953"/>
      <c r="HLE86" s="953"/>
      <c r="HLF86" s="953"/>
      <c r="HLG86" s="953"/>
      <c r="HLH86" s="953"/>
      <c r="HLI86" s="953"/>
      <c r="HLJ86" s="953"/>
      <c r="HLK86" s="953"/>
      <c r="HLL86" s="953"/>
      <c r="HLM86" s="953"/>
      <c r="HLN86" s="953"/>
      <c r="HLO86" s="953"/>
      <c r="HLP86" s="953"/>
      <c r="HLQ86" s="953"/>
      <c r="HLR86" s="953"/>
      <c r="HLS86" s="953"/>
      <c r="HLT86" s="953"/>
      <c r="HLU86" s="953"/>
      <c r="HLV86" s="953"/>
      <c r="HLW86" s="953"/>
      <c r="HLX86" s="953"/>
      <c r="HLY86" s="953"/>
      <c r="HLZ86" s="953"/>
      <c r="HMA86" s="953"/>
      <c r="HMB86" s="953"/>
      <c r="HMC86" s="953"/>
      <c r="HMD86" s="953"/>
      <c r="HME86" s="953"/>
      <c r="HMF86" s="953"/>
      <c r="HMG86" s="953"/>
      <c r="HMH86" s="953"/>
      <c r="HMI86" s="953"/>
      <c r="HMJ86" s="953"/>
      <c r="HMK86" s="953"/>
      <c r="HML86" s="953"/>
      <c r="HMM86" s="953"/>
      <c r="HMN86" s="953"/>
      <c r="HMO86" s="953"/>
      <c r="HMP86" s="953"/>
      <c r="HMQ86" s="953"/>
      <c r="HMR86" s="953"/>
      <c r="HMS86" s="953"/>
      <c r="HMT86" s="953"/>
      <c r="HMU86" s="953"/>
      <c r="HMV86" s="953"/>
      <c r="HMW86" s="953"/>
      <c r="HMX86" s="953"/>
      <c r="HMY86" s="953"/>
      <c r="HMZ86" s="953"/>
      <c r="HNA86" s="953"/>
      <c r="HNB86" s="953"/>
      <c r="HNC86" s="953"/>
      <c r="HND86" s="953"/>
      <c r="HNE86" s="953"/>
      <c r="HNF86" s="953"/>
      <c r="HNG86" s="953"/>
      <c r="HNH86" s="953"/>
      <c r="HNI86" s="953"/>
      <c r="HNJ86" s="953"/>
      <c r="HNK86" s="953"/>
      <c r="HNL86" s="953"/>
      <c r="HNM86" s="953"/>
      <c r="HNN86" s="953"/>
      <c r="HNO86" s="953"/>
      <c r="HNP86" s="953"/>
      <c r="HNQ86" s="953"/>
      <c r="HNR86" s="953"/>
      <c r="HNS86" s="953"/>
      <c r="HNT86" s="953"/>
      <c r="HNU86" s="953"/>
      <c r="HNV86" s="953"/>
      <c r="HNW86" s="953"/>
      <c r="HNX86" s="953"/>
      <c r="HNY86" s="953"/>
      <c r="HNZ86" s="953"/>
      <c r="HOA86" s="953"/>
      <c r="HOB86" s="953"/>
      <c r="HOC86" s="953"/>
      <c r="HOD86" s="953"/>
      <c r="HOE86" s="953"/>
      <c r="HOF86" s="953"/>
      <c r="HOG86" s="953"/>
      <c r="HOH86" s="953"/>
      <c r="HOI86" s="953"/>
      <c r="HOJ86" s="953"/>
      <c r="HOK86" s="953"/>
      <c r="HOL86" s="953"/>
      <c r="HOM86" s="953"/>
      <c r="HON86" s="953"/>
      <c r="HOO86" s="953"/>
      <c r="HOP86" s="953"/>
      <c r="HOQ86" s="953"/>
      <c r="HOR86" s="953"/>
      <c r="HOS86" s="953"/>
      <c r="HOT86" s="953"/>
      <c r="HOU86" s="953"/>
      <c r="HOV86" s="953"/>
      <c r="HOW86" s="953"/>
      <c r="HOX86" s="953"/>
      <c r="HOY86" s="953"/>
      <c r="HOZ86" s="953"/>
      <c r="HPA86" s="953"/>
      <c r="HPB86" s="953"/>
      <c r="HPC86" s="953"/>
      <c r="HPD86" s="953"/>
      <c r="HPE86" s="953"/>
      <c r="HPF86" s="953"/>
      <c r="HPG86" s="953"/>
      <c r="HPH86" s="953"/>
      <c r="HPI86" s="953"/>
      <c r="HPJ86" s="953"/>
      <c r="HPK86" s="953"/>
      <c r="HPL86" s="953"/>
      <c r="HPM86" s="953"/>
      <c r="HPN86" s="953"/>
      <c r="HPO86" s="953"/>
      <c r="HPP86" s="953"/>
      <c r="HPQ86" s="953"/>
      <c r="HPR86" s="953"/>
      <c r="HPS86" s="953"/>
      <c r="HPT86" s="953"/>
      <c r="HPU86" s="953"/>
      <c r="HPV86" s="953"/>
      <c r="HPW86" s="953"/>
      <c r="HPX86" s="953"/>
      <c r="HPY86" s="953"/>
      <c r="HPZ86" s="953"/>
      <c r="HQA86" s="953"/>
      <c r="HQB86" s="953"/>
      <c r="HQC86" s="953"/>
      <c r="HQD86" s="953"/>
      <c r="HQE86" s="953"/>
      <c r="HQF86" s="953"/>
      <c r="HQG86" s="953"/>
      <c r="HQH86" s="953"/>
      <c r="HQI86" s="953"/>
      <c r="HQJ86" s="953"/>
      <c r="HQK86" s="953"/>
      <c r="HQL86" s="953"/>
      <c r="HQM86" s="953"/>
      <c r="HQN86" s="953"/>
      <c r="HQO86" s="953"/>
      <c r="HQP86" s="953"/>
      <c r="HQQ86" s="953"/>
      <c r="HQR86" s="953"/>
      <c r="HQS86" s="953"/>
      <c r="HQT86" s="953"/>
      <c r="HQU86" s="953"/>
      <c r="HQV86" s="953"/>
      <c r="HQW86" s="953"/>
      <c r="HQX86" s="953"/>
      <c r="HQY86" s="953"/>
      <c r="HQZ86" s="953"/>
      <c r="HRA86" s="953"/>
      <c r="HRB86" s="953"/>
      <c r="HRC86" s="953"/>
      <c r="HRD86" s="953"/>
      <c r="HRE86" s="953"/>
      <c r="HRF86" s="953"/>
      <c r="HRG86" s="953"/>
      <c r="HRH86" s="953"/>
      <c r="HRI86" s="953"/>
      <c r="HRJ86" s="953"/>
      <c r="HRK86" s="953"/>
      <c r="HRL86" s="953"/>
      <c r="HRM86" s="953"/>
      <c r="HRN86" s="953"/>
      <c r="HRO86" s="953"/>
      <c r="HRP86" s="953"/>
      <c r="HRQ86" s="953"/>
      <c r="HRR86" s="953"/>
      <c r="HRS86" s="953"/>
      <c r="HRT86" s="953"/>
      <c r="HRU86" s="953"/>
      <c r="HRV86" s="953"/>
      <c r="HRW86" s="953"/>
      <c r="HRX86" s="953"/>
      <c r="HRY86" s="953"/>
      <c r="HRZ86" s="953"/>
      <c r="HSA86" s="953"/>
      <c r="HSB86" s="953"/>
      <c r="HSC86" s="953"/>
      <c r="HSD86" s="953"/>
      <c r="HSE86" s="953"/>
      <c r="HSF86" s="953"/>
      <c r="HSG86" s="953"/>
      <c r="HSH86" s="953"/>
      <c r="HSI86" s="953"/>
      <c r="HSJ86" s="953"/>
      <c r="HSK86" s="953"/>
      <c r="HSL86" s="953"/>
      <c r="HSM86" s="953"/>
      <c r="HSN86" s="953"/>
      <c r="HSO86" s="953"/>
      <c r="HSP86" s="953"/>
      <c r="HSQ86" s="953"/>
      <c r="HSR86" s="953"/>
      <c r="HSS86" s="953"/>
      <c r="HST86" s="953"/>
      <c r="HSU86" s="953"/>
      <c r="HSV86" s="953"/>
      <c r="HSW86" s="953"/>
      <c r="HSX86" s="953"/>
      <c r="HSY86" s="953"/>
      <c r="HSZ86" s="953"/>
      <c r="HTA86" s="953"/>
      <c r="HTB86" s="953"/>
      <c r="HTC86" s="953"/>
      <c r="HTD86" s="953"/>
      <c r="HTE86" s="953"/>
      <c r="HTF86" s="953"/>
      <c r="HTG86" s="953"/>
      <c r="HTH86" s="953"/>
      <c r="HTI86" s="953"/>
      <c r="HTJ86" s="953"/>
      <c r="HTK86" s="953"/>
      <c r="HTL86" s="953"/>
      <c r="HTM86" s="953"/>
      <c r="HTN86" s="953"/>
      <c r="HTO86" s="953"/>
      <c r="HTP86" s="953"/>
      <c r="HTQ86" s="953"/>
      <c r="HTR86" s="953"/>
      <c r="HTS86" s="953"/>
      <c r="HTT86" s="953"/>
      <c r="HTU86" s="953"/>
      <c r="HTV86" s="953"/>
      <c r="HTW86" s="953"/>
      <c r="HTX86" s="953"/>
      <c r="HTY86" s="953"/>
      <c r="HTZ86" s="953"/>
      <c r="HUA86" s="953"/>
      <c r="HUB86" s="953"/>
      <c r="HUC86" s="953"/>
      <c r="HUD86" s="953"/>
      <c r="HUE86" s="953"/>
      <c r="HUF86" s="953"/>
      <c r="HUG86" s="953"/>
      <c r="HUH86" s="953"/>
      <c r="HUI86" s="953"/>
      <c r="HUJ86" s="953"/>
      <c r="HUK86" s="953"/>
      <c r="HUL86" s="953"/>
      <c r="HUM86" s="953"/>
      <c r="HUN86" s="953"/>
      <c r="HUO86" s="953"/>
      <c r="HUP86" s="953"/>
      <c r="HUQ86" s="953"/>
      <c r="HUR86" s="953"/>
      <c r="HUS86" s="953"/>
      <c r="HUT86" s="953"/>
      <c r="HUU86" s="953"/>
      <c r="HUV86" s="953"/>
      <c r="HUW86" s="953"/>
      <c r="HUX86" s="953"/>
      <c r="HUY86" s="953"/>
      <c r="HUZ86" s="953"/>
      <c r="HVA86" s="953"/>
      <c r="HVB86" s="953"/>
      <c r="HVC86" s="953"/>
      <c r="HVD86" s="953"/>
      <c r="HVE86" s="953"/>
      <c r="HVF86" s="953"/>
      <c r="HVG86" s="953"/>
      <c r="HVH86" s="953"/>
      <c r="HVI86" s="953"/>
      <c r="HVJ86" s="953"/>
      <c r="HVK86" s="953"/>
      <c r="HVL86" s="953"/>
      <c r="HVM86" s="953"/>
      <c r="HVN86" s="953"/>
      <c r="HVO86" s="953"/>
      <c r="HVP86" s="953"/>
      <c r="HVQ86" s="953"/>
      <c r="HVR86" s="953"/>
      <c r="HVS86" s="953"/>
      <c r="HVT86" s="953"/>
      <c r="HVU86" s="953"/>
      <c r="HVV86" s="953"/>
      <c r="HVW86" s="953"/>
      <c r="HVX86" s="953"/>
      <c r="HVY86" s="953"/>
      <c r="HVZ86" s="953"/>
      <c r="HWA86" s="953"/>
      <c r="HWB86" s="953"/>
      <c r="HWC86" s="953"/>
      <c r="HWD86" s="953"/>
      <c r="HWE86" s="953"/>
      <c r="HWF86" s="953"/>
      <c r="HWG86" s="953"/>
      <c r="HWH86" s="953"/>
      <c r="HWI86" s="953"/>
      <c r="HWJ86" s="953"/>
      <c r="HWK86" s="953"/>
      <c r="HWL86" s="953"/>
      <c r="HWM86" s="953"/>
      <c r="HWN86" s="953"/>
      <c r="HWO86" s="953"/>
      <c r="HWP86" s="953"/>
      <c r="HWQ86" s="953"/>
      <c r="HWR86" s="953"/>
      <c r="HWS86" s="953"/>
      <c r="HWT86" s="953"/>
      <c r="HWU86" s="953"/>
      <c r="HWV86" s="953"/>
      <c r="HWW86" s="953"/>
      <c r="HWX86" s="953"/>
      <c r="HWY86" s="953"/>
      <c r="HWZ86" s="953"/>
      <c r="HXA86" s="953"/>
      <c r="HXB86" s="953"/>
      <c r="HXC86" s="953"/>
      <c r="HXD86" s="953"/>
      <c r="HXE86" s="953"/>
      <c r="HXF86" s="953"/>
      <c r="HXG86" s="953"/>
      <c r="HXH86" s="953"/>
      <c r="HXI86" s="953"/>
      <c r="HXJ86" s="953"/>
      <c r="HXK86" s="953"/>
      <c r="HXL86" s="953"/>
      <c r="HXM86" s="953"/>
      <c r="HXN86" s="953"/>
      <c r="HXO86" s="953"/>
      <c r="HXP86" s="953"/>
      <c r="HXQ86" s="953"/>
      <c r="HXR86" s="953"/>
      <c r="HXS86" s="953"/>
      <c r="HXT86" s="953"/>
      <c r="HXU86" s="953"/>
      <c r="HXV86" s="953"/>
      <c r="HXW86" s="953"/>
      <c r="HXX86" s="953"/>
      <c r="HXY86" s="953"/>
      <c r="HXZ86" s="953"/>
      <c r="HYA86" s="953"/>
      <c r="HYB86" s="953"/>
      <c r="HYC86" s="953"/>
      <c r="HYD86" s="953"/>
      <c r="HYE86" s="953"/>
      <c r="HYF86" s="953"/>
      <c r="HYG86" s="953"/>
      <c r="HYH86" s="953"/>
      <c r="HYI86" s="953"/>
      <c r="HYJ86" s="953"/>
      <c r="HYK86" s="953"/>
      <c r="HYL86" s="953"/>
      <c r="HYM86" s="953"/>
      <c r="HYN86" s="953"/>
      <c r="HYO86" s="953"/>
      <c r="HYP86" s="953"/>
      <c r="HYQ86" s="953"/>
      <c r="HYR86" s="953"/>
      <c r="HYS86" s="953"/>
      <c r="HYT86" s="953"/>
      <c r="HYU86" s="953"/>
      <c r="HYV86" s="953"/>
      <c r="HYW86" s="953"/>
      <c r="HYX86" s="953"/>
      <c r="HYY86" s="953"/>
      <c r="HYZ86" s="953"/>
      <c r="HZA86" s="953"/>
      <c r="HZB86" s="953"/>
      <c r="HZC86" s="953"/>
      <c r="HZD86" s="953"/>
      <c r="HZE86" s="953"/>
      <c r="HZF86" s="953"/>
      <c r="HZG86" s="953"/>
      <c r="HZH86" s="953"/>
      <c r="HZI86" s="953"/>
      <c r="HZJ86" s="953"/>
      <c r="HZK86" s="953"/>
      <c r="HZL86" s="953"/>
      <c r="HZM86" s="953"/>
      <c r="HZN86" s="953"/>
      <c r="HZO86" s="953"/>
      <c r="HZP86" s="953"/>
      <c r="HZQ86" s="953"/>
      <c r="HZR86" s="953"/>
      <c r="HZS86" s="953"/>
      <c r="HZT86" s="953"/>
      <c r="HZU86" s="953"/>
      <c r="HZV86" s="953"/>
      <c r="HZW86" s="953"/>
      <c r="HZX86" s="953"/>
      <c r="HZY86" s="953"/>
      <c r="HZZ86" s="953"/>
      <c r="IAA86" s="953"/>
      <c r="IAB86" s="953"/>
      <c r="IAC86" s="953"/>
      <c r="IAD86" s="953"/>
      <c r="IAE86" s="953"/>
      <c r="IAF86" s="953"/>
      <c r="IAG86" s="953"/>
      <c r="IAH86" s="953"/>
      <c r="IAI86" s="953"/>
      <c r="IAJ86" s="953"/>
      <c r="IAK86" s="953"/>
      <c r="IAL86" s="953"/>
      <c r="IAM86" s="953"/>
      <c r="IAN86" s="953"/>
      <c r="IAO86" s="953"/>
      <c r="IAP86" s="953"/>
      <c r="IAQ86" s="953"/>
      <c r="IAR86" s="953"/>
      <c r="IAS86" s="953"/>
      <c r="IAT86" s="953"/>
      <c r="IAU86" s="953"/>
      <c r="IAV86" s="953"/>
      <c r="IAW86" s="953"/>
      <c r="IAX86" s="953"/>
      <c r="IAY86" s="953"/>
      <c r="IAZ86" s="953"/>
      <c r="IBA86" s="953"/>
      <c r="IBB86" s="953"/>
      <c r="IBC86" s="953"/>
      <c r="IBD86" s="953"/>
      <c r="IBE86" s="953"/>
      <c r="IBF86" s="953"/>
      <c r="IBG86" s="953"/>
      <c r="IBH86" s="953"/>
      <c r="IBI86" s="953"/>
      <c r="IBJ86" s="953"/>
      <c r="IBK86" s="953"/>
      <c r="IBL86" s="953"/>
      <c r="IBM86" s="953"/>
      <c r="IBN86" s="953"/>
      <c r="IBO86" s="953"/>
      <c r="IBP86" s="953"/>
      <c r="IBQ86" s="953"/>
      <c r="IBR86" s="953"/>
      <c r="IBS86" s="953"/>
      <c r="IBT86" s="953"/>
      <c r="IBU86" s="953"/>
      <c r="IBV86" s="953"/>
      <c r="IBW86" s="953"/>
      <c r="IBX86" s="953"/>
      <c r="IBY86" s="953"/>
      <c r="IBZ86" s="953"/>
      <c r="ICA86" s="953"/>
      <c r="ICB86" s="953"/>
      <c r="ICC86" s="953"/>
      <c r="ICD86" s="953"/>
      <c r="ICE86" s="953"/>
      <c r="ICF86" s="953"/>
      <c r="ICG86" s="953"/>
      <c r="ICH86" s="953"/>
      <c r="ICI86" s="953"/>
      <c r="ICJ86" s="953"/>
      <c r="ICK86" s="953"/>
      <c r="ICL86" s="953"/>
      <c r="ICM86" s="953"/>
      <c r="ICN86" s="953"/>
      <c r="ICO86" s="953"/>
      <c r="ICP86" s="953"/>
      <c r="ICQ86" s="953"/>
      <c r="ICR86" s="953"/>
      <c r="ICS86" s="953"/>
      <c r="ICT86" s="953"/>
      <c r="ICU86" s="953"/>
      <c r="ICV86" s="953"/>
      <c r="ICW86" s="953"/>
      <c r="ICX86" s="953"/>
      <c r="ICY86" s="953"/>
      <c r="ICZ86" s="953"/>
      <c r="IDA86" s="953"/>
      <c r="IDB86" s="953"/>
      <c r="IDC86" s="953"/>
      <c r="IDD86" s="953"/>
      <c r="IDE86" s="953"/>
      <c r="IDF86" s="953"/>
      <c r="IDG86" s="953"/>
      <c r="IDH86" s="953"/>
      <c r="IDI86" s="953"/>
      <c r="IDJ86" s="953"/>
      <c r="IDK86" s="953"/>
      <c r="IDL86" s="953"/>
      <c r="IDM86" s="953"/>
      <c r="IDN86" s="953"/>
      <c r="IDO86" s="953"/>
      <c r="IDP86" s="953"/>
      <c r="IDQ86" s="953"/>
      <c r="IDR86" s="953"/>
      <c r="IDS86" s="953"/>
      <c r="IDT86" s="953"/>
      <c r="IDU86" s="953"/>
      <c r="IDV86" s="953"/>
      <c r="IDW86" s="953"/>
      <c r="IDX86" s="953"/>
      <c r="IDY86" s="953"/>
      <c r="IDZ86" s="953"/>
      <c r="IEA86" s="953"/>
      <c r="IEB86" s="953"/>
      <c r="IEC86" s="953"/>
      <c r="IED86" s="953"/>
      <c r="IEE86" s="953"/>
      <c r="IEF86" s="953"/>
      <c r="IEG86" s="953"/>
      <c r="IEH86" s="953"/>
      <c r="IEI86" s="953"/>
      <c r="IEJ86" s="953"/>
      <c r="IEK86" s="953"/>
      <c r="IEL86" s="953"/>
      <c r="IEM86" s="953"/>
      <c r="IEN86" s="953"/>
      <c r="IEO86" s="953"/>
      <c r="IEP86" s="953"/>
      <c r="IEQ86" s="953"/>
      <c r="IER86" s="953"/>
      <c r="IES86" s="953"/>
      <c r="IET86" s="953"/>
      <c r="IEU86" s="953"/>
      <c r="IEV86" s="953"/>
      <c r="IEW86" s="953"/>
      <c r="IEX86" s="953"/>
      <c r="IEY86" s="953"/>
      <c r="IEZ86" s="953"/>
      <c r="IFA86" s="953"/>
      <c r="IFB86" s="953"/>
      <c r="IFC86" s="953"/>
      <c r="IFD86" s="953"/>
      <c r="IFE86" s="953"/>
      <c r="IFF86" s="953"/>
      <c r="IFG86" s="953"/>
      <c r="IFH86" s="953"/>
      <c r="IFI86" s="953"/>
      <c r="IFJ86" s="953"/>
      <c r="IFK86" s="953"/>
      <c r="IFL86" s="953"/>
      <c r="IFM86" s="953"/>
      <c r="IFN86" s="953"/>
      <c r="IFO86" s="953"/>
      <c r="IFP86" s="953"/>
      <c r="IFQ86" s="953"/>
      <c r="IFR86" s="953"/>
      <c r="IFS86" s="953"/>
      <c r="IFT86" s="953"/>
      <c r="IFU86" s="953"/>
      <c r="IFV86" s="953"/>
      <c r="IFW86" s="953"/>
      <c r="IFX86" s="953"/>
      <c r="IFY86" s="953"/>
      <c r="IFZ86" s="953"/>
      <c r="IGA86" s="953"/>
      <c r="IGB86" s="953"/>
      <c r="IGC86" s="953"/>
      <c r="IGD86" s="953"/>
      <c r="IGE86" s="953"/>
      <c r="IGF86" s="953"/>
      <c r="IGG86" s="953"/>
      <c r="IGH86" s="953"/>
      <c r="IGI86" s="953"/>
      <c r="IGJ86" s="953"/>
      <c r="IGK86" s="953"/>
      <c r="IGL86" s="953"/>
      <c r="IGM86" s="953"/>
      <c r="IGN86" s="953"/>
      <c r="IGO86" s="953"/>
      <c r="IGP86" s="953"/>
      <c r="IGQ86" s="953"/>
      <c r="IGR86" s="953"/>
      <c r="IGS86" s="953"/>
      <c r="IGT86" s="953"/>
      <c r="IGU86" s="953"/>
      <c r="IGV86" s="953"/>
      <c r="IGW86" s="953"/>
      <c r="IGX86" s="953"/>
      <c r="IGY86" s="953"/>
      <c r="IGZ86" s="953"/>
      <c r="IHA86" s="953"/>
      <c r="IHB86" s="953"/>
      <c r="IHC86" s="953"/>
      <c r="IHD86" s="953"/>
      <c r="IHE86" s="953"/>
      <c r="IHF86" s="953"/>
      <c r="IHG86" s="953"/>
      <c r="IHH86" s="953"/>
      <c r="IHI86" s="953"/>
      <c r="IHJ86" s="953"/>
      <c r="IHK86" s="953"/>
      <c r="IHL86" s="953"/>
      <c r="IHM86" s="953"/>
      <c r="IHN86" s="953"/>
      <c r="IHO86" s="953"/>
      <c r="IHP86" s="953"/>
      <c r="IHQ86" s="953"/>
      <c r="IHR86" s="953"/>
      <c r="IHS86" s="953"/>
      <c r="IHT86" s="953"/>
      <c r="IHU86" s="953"/>
      <c r="IHV86" s="953"/>
      <c r="IHW86" s="953"/>
      <c r="IHX86" s="953"/>
      <c r="IHY86" s="953"/>
      <c r="IHZ86" s="953"/>
      <c r="IIA86" s="953"/>
      <c r="IIB86" s="953"/>
      <c r="IIC86" s="953"/>
      <c r="IID86" s="953"/>
      <c r="IIE86" s="953"/>
      <c r="IIF86" s="953"/>
      <c r="IIG86" s="953"/>
      <c r="IIH86" s="953"/>
      <c r="III86" s="953"/>
      <c r="IIJ86" s="953"/>
      <c r="IIK86" s="953"/>
      <c r="IIL86" s="953"/>
      <c r="IIM86" s="953"/>
      <c r="IIN86" s="953"/>
      <c r="IIO86" s="953"/>
      <c r="IIP86" s="953"/>
      <c r="IIQ86" s="953"/>
      <c r="IIR86" s="953"/>
      <c r="IIS86" s="953"/>
      <c r="IIT86" s="953"/>
      <c r="IIU86" s="953"/>
      <c r="IIV86" s="953"/>
      <c r="IIW86" s="953"/>
      <c r="IIX86" s="953"/>
      <c r="IIY86" s="953"/>
      <c r="IIZ86" s="953"/>
      <c r="IJA86" s="953"/>
      <c r="IJB86" s="953"/>
      <c r="IJC86" s="953"/>
      <c r="IJD86" s="953"/>
      <c r="IJE86" s="953"/>
      <c r="IJF86" s="953"/>
      <c r="IJG86" s="953"/>
      <c r="IJH86" s="953"/>
      <c r="IJI86" s="953"/>
      <c r="IJJ86" s="953"/>
      <c r="IJK86" s="953"/>
      <c r="IJL86" s="953"/>
      <c r="IJM86" s="953"/>
      <c r="IJN86" s="953"/>
      <c r="IJO86" s="953"/>
      <c r="IJP86" s="953"/>
      <c r="IJQ86" s="953"/>
      <c r="IJR86" s="953"/>
      <c r="IJS86" s="953"/>
      <c r="IJT86" s="953"/>
      <c r="IJU86" s="953"/>
      <c r="IJV86" s="953"/>
      <c r="IJW86" s="953"/>
      <c r="IJX86" s="953"/>
      <c r="IJY86" s="953"/>
      <c r="IJZ86" s="953"/>
      <c r="IKA86" s="953"/>
      <c r="IKB86" s="953"/>
      <c r="IKC86" s="953"/>
      <c r="IKD86" s="953"/>
      <c r="IKE86" s="953"/>
      <c r="IKF86" s="953"/>
      <c r="IKG86" s="953"/>
      <c r="IKH86" s="953"/>
      <c r="IKI86" s="953"/>
      <c r="IKJ86" s="953"/>
      <c r="IKK86" s="953"/>
      <c r="IKL86" s="953"/>
      <c r="IKM86" s="953"/>
      <c r="IKN86" s="953"/>
      <c r="IKO86" s="953"/>
      <c r="IKP86" s="953"/>
      <c r="IKQ86" s="953"/>
      <c r="IKR86" s="953"/>
      <c r="IKS86" s="953"/>
      <c r="IKT86" s="953"/>
      <c r="IKU86" s="953"/>
      <c r="IKV86" s="953"/>
      <c r="IKW86" s="953"/>
      <c r="IKX86" s="953"/>
      <c r="IKY86" s="953"/>
      <c r="IKZ86" s="953"/>
      <c r="ILA86" s="953"/>
      <c r="ILB86" s="953"/>
      <c r="ILC86" s="953"/>
      <c r="ILD86" s="953"/>
      <c r="ILE86" s="953"/>
      <c r="ILF86" s="953"/>
      <c r="ILG86" s="953"/>
      <c r="ILH86" s="953"/>
      <c r="ILI86" s="953"/>
      <c r="ILJ86" s="953"/>
      <c r="ILK86" s="953"/>
      <c r="ILL86" s="953"/>
      <c r="ILM86" s="953"/>
      <c r="ILN86" s="953"/>
      <c r="ILO86" s="953"/>
      <c r="ILP86" s="953"/>
      <c r="ILQ86" s="953"/>
      <c r="ILR86" s="953"/>
      <c r="ILS86" s="953"/>
      <c r="ILT86" s="953"/>
      <c r="ILU86" s="953"/>
      <c r="ILV86" s="953"/>
      <c r="ILW86" s="953"/>
      <c r="ILX86" s="953"/>
      <c r="ILY86" s="953"/>
      <c r="ILZ86" s="953"/>
      <c r="IMA86" s="953"/>
      <c r="IMB86" s="953"/>
      <c r="IMC86" s="953"/>
      <c r="IMD86" s="953"/>
      <c r="IME86" s="953"/>
      <c r="IMF86" s="953"/>
      <c r="IMG86" s="953"/>
      <c r="IMH86" s="953"/>
      <c r="IMI86" s="953"/>
      <c r="IMJ86" s="953"/>
      <c r="IMK86" s="953"/>
      <c r="IML86" s="953"/>
      <c r="IMM86" s="953"/>
      <c r="IMN86" s="953"/>
      <c r="IMO86" s="953"/>
      <c r="IMP86" s="953"/>
      <c r="IMQ86" s="953"/>
      <c r="IMR86" s="953"/>
      <c r="IMS86" s="953"/>
      <c r="IMT86" s="953"/>
      <c r="IMU86" s="953"/>
      <c r="IMV86" s="953"/>
      <c r="IMW86" s="953"/>
      <c r="IMX86" s="953"/>
      <c r="IMY86" s="953"/>
      <c r="IMZ86" s="953"/>
      <c r="INA86" s="953"/>
      <c r="INB86" s="953"/>
      <c r="INC86" s="953"/>
      <c r="IND86" s="953"/>
      <c r="INE86" s="953"/>
      <c r="INF86" s="953"/>
      <c r="ING86" s="953"/>
      <c r="INH86" s="953"/>
      <c r="INI86" s="953"/>
      <c r="INJ86" s="953"/>
      <c r="INK86" s="953"/>
      <c r="INL86" s="953"/>
      <c r="INM86" s="953"/>
      <c r="INN86" s="953"/>
      <c r="INO86" s="953"/>
      <c r="INP86" s="953"/>
      <c r="INQ86" s="953"/>
      <c r="INR86" s="953"/>
      <c r="INS86" s="953"/>
      <c r="INT86" s="953"/>
      <c r="INU86" s="953"/>
      <c r="INV86" s="953"/>
      <c r="INW86" s="953"/>
      <c r="INX86" s="953"/>
      <c r="INY86" s="953"/>
      <c r="INZ86" s="953"/>
      <c r="IOA86" s="953"/>
      <c r="IOB86" s="953"/>
      <c r="IOC86" s="953"/>
      <c r="IOD86" s="953"/>
      <c r="IOE86" s="953"/>
      <c r="IOF86" s="953"/>
      <c r="IOG86" s="953"/>
      <c r="IOH86" s="953"/>
      <c r="IOI86" s="953"/>
      <c r="IOJ86" s="953"/>
      <c r="IOK86" s="953"/>
      <c r="IOL86" s="953"/>
      <c r="IOM86" s="953"/>
      <c r="ION86" s="953"/>
      <c r="IOO86" s="953"/>
      <c r="IOP86" s="953"/>
      <c r="IOQ86" s="953"/>
      <c r="IOR86" s="953"/>
      <c r="IOS86" s="953"/>
      <c r="IOT86" s="953"/>
      <c r="IOU86" s="953"/>
      <c r="IOV86" s="953"/>
      <c r="IOW86" s="953"/>
      <c r="IOX86" s="953"/>
      <c r="IOY86" s="953"/>
      <c r="IOZ86" s="953"/>
      <c r="IPA86" s="953"/>
      <c r="IPB86" s="953"/>
      <c r="IPC86" s="953"/>
      <c r="IPD86" s="953"/>
      <c r="IPE86" s="953"/>
      <c r="IPF86" s="953"/>
      <c r="IPG86" s="953"/>
      <c r="IPH86" s="953"/>
      <c r="IPI86" s="953"/>
      <c r="IPJ86" s="953"/>
      <c r="IPK86" s="953"/>
      <c r="IPL86" s="953"/>
      <c r="IPM86" s="953"/>
      <c r="IPN86" s="953"/>
      <c r="IPO86" s="953"/>
      <c r="IPP86" s="953"/>
      <c r="IPQ86" s="953"/>
      <c r="IPR86" s="953"/>
      <c r="IPS86" s="953"/>
      <c r="IPT86" s="953"/>
      <c r="IPU86" s="953"/>
      <c r="IPV86" s="953"/>
      <c r="IPW86" s="953"/>
      <c r="IPX86" s="953"/>
      <c r="IPY86" s="953"/>
      <c r="IPZ86" s="953"/>
      <c r="IQA86" s="953"/>
      <c r="IQB86" s="953"/>
      <c r="IQC86" s="953"/>
      <c r="IQD86" s="953"/>
      <c r="IQE86" s="953"/>
      <c r="IQF86" s="953"/>
      <c r="IQG86" s="953"/>
      <c r="IQH86" s="953"/>
      <c r="IQI86" s="953"/>
      <c r="IQJ86" s="953"/>
      <c r="IQK86" s="953"/>
      <c r="IQL86" s="953"/>
      <c r="IQM86" s="953"/>
      <c r="IQN86" s="953"/>
      <c r="IQO86" s="953"/>
      <c r="IQP86" s="953"/>
      <c r="IQQ86" s="953"/>
      <c r="IQR86" s="953"/>
      <c r="IQS86" s="953"/>
      <c r="IQT86" s="953"/>
      <c r="IQU86" s="953"/>
      <c r="IQV86" s="953"/>
      <c r="IQW86" s="953"/>
      <c r="IQX86" s="953"/>
      <c r="IQY86" s="953"/>
      <c r="IQZ86" s="953"/>
      <c r="IRA86" s="953"/>
      <c r="IRB86" s="953"/>
      <c r="IRC86" s="953"/>
      <c r="IRD86" s="953"/>
      <c r="IRE86" s="953"/>
      <c r="IRF86" s="953"/>
      <c r="IRG86" s="953"/>
      <c r="IRH86" s="953"/>
      <c r="IRI86" s="953"/>
      <c r="IRJ86" s="953"/>
      <c r="IRK86" s="953"/>
      <c r="IRL86" s="953"/>
      <c r="IRM86" s="953"/>
      <c r="IRN86" s="953"/>
      <c r="IRO86" s="953"/>
      <c r="IRP86" s="953"/>
      <c r="IRQ86" s="953"/>
      <c r="IRR86" s="953"/>
      <c r="IRS86" s="953"/>
      <c r="IRT86" s="953"/>
      <c r="IRU86" s="953"/>
      <c r="IRV86" s="953"/>
      <c r="IRW86" s="953"/>
      <c r="IRX86" s="953"/>
      <c r="IRY86" s="953"/>
      <c r="IRZ86" s="953"/>
      <c r="ISA86" s="953"/>
      <c r="ISB86" s="953"/>
      <c r="ISC86" s="953"/>
      <c r="ISD86" s="953"/>
      <c r="ISE86" s="953"/>
      <c r="ISF86" s="953"/>
      <c r="ISG86" s="953"/>
      <c r="ISH86" s="953"/>
      <c r="ISI86" s="953"/>
      <c r="ISJ86" s="953"/>
      <c r="ISK86" s="953"/>
      <c r="ISL86" s="953"/>
      <c r="ISM86" s="953"/>
      <c r="ISN86" s="953"/>
      <c r="ISO86" s="953"/>
      <c r="ISP86" s="953"/>
      <c r="ISQ86" s="953"/>
      <c r="ISR86" s="953"/>
      <c r="ISS86" s="953"/>
      <c r="IST86" s="953"/>
      <c r="ISU86" s="953"/>
      <c r="ISV86" s="953"/>
      <c r="ISW86" s="953"/>
      <c r="ISX86" s="953"/>
      <c r="ISY86" s="953"/>
      <c r="ISZ86" s="953"/>
      <c r="ITA86" s="953"/>
      <c r="ITB86" s="953"/>
      <c r="ITC86" s="953"/>
      <c r="ITD86" s="953"/>
      <c r="ITE86" s="953"/>
      <c r="ITF86" s="953"/>
      <c r="ITG86" s="953"/>
      <c r="ITH86" s="953"/>
      <c r="ITI86" s="953"/>
      <c r="ITJ86" s="953"/>
      <c r="ITK86" s="953"/>
      <c r="ITL86" s="953"/>
      <c r="ITM86" s="953"/>
      <c r="ITN86" s="953"/>
      <c r="ITO86" s="953"/>
      <c r="ITP86" s="953"/>
      <c r="ITQ86" s="953"/>
      <c r="ITR86" s="953"/>
      <c r="ITS86" s="953"/>
      <c r="ITT86" s="953"/>
      <c r="ITU86" s="953"/>
      <c r="ITV86" s="953"/>
      <c r="ITW86" s="953"/>
      <c r="ITX86" s="953"/>
      <c r="ITY86" s="953"/>
      <c r="ITZ86" s="953"/>
      <c r="IUA86" s="953"/>
      <c r="IUB86" s="953"/>
      <c r="IUC86" s="953"/>
      <c r="IUD86" s="953"/>
      <c r="IUE86" s="953"/>
      <c r="IUF86" s="953"/>
      <c r="IUG86" s="953"/>
      <c r="IUH86" s="953"/>
      <c r="IUI86" s="953"/>
      <c r="IUJ86" s="953"/>
      <c r="IUK86" s="953"/>
      <c r="IUL86" s="953"/>
      <c r="IUM86" s="953"/>
      <c r="IUN86" s="953"/>
      <c r="IUO86" s="953"/>
      <c r="IUP86" s="953"/>
      <c r="IUQ86" s="953"/>
      <c r="IUR86" s="953"/>
      <c r="IUS86" s="953"/>
      <c r="IUT86" s="953"/>
      <c r="IUU86" s="953"/>
      <c r="IUV86" s="953"/>
      <c r="IUW86" s="953"/>
      <c r="IUX86" s="953"/>
      <c r="IUY86" s="953"/>
      <c r="IUZ86" s="953"/>
      <c r="IVA86" s="953"/>
      <c r="IVB86" s="953"/>
      <c r="IVC86" s="953"/>
      <c r="IVD86" s="953"/>
      <c r="IVE86" s="953"/>
      <c r="IVF86" s="953"/>
      <c r="IVG86" s="953"/>
      <c r="IVH86" s="953"/>
      <c r="IVI86" s="953"/>
      <c r="IVJ86" s="953"/>
      <c r="IVK86" s="953"/>
      <c r="IVL86" s="953"/>
      <c r="IVM86" s="953"/>
      <c r="IVN86" s="953"/>
      <c r="IVO86" s="953"/>
      <c r="IVP86" s="953"/>
      <c r="IVQ86" s="953"/>
      <c r="IVR86" s="953"/>
      <c r="IVS86" s="953"/>
      <c r="IVT86" s="953"/>
      <c r="IVU86" s="953"/>
      <c r="IVV86" s="953"/>
      <c r="IVW86" s="953"/>
      <c r="IVX86" s="953"/>
      <c r="IVY86" s="953"/>
      <c r="IVZ86" s="953"/>
      <c r="IWA86" s="953"/>
      <c r="IWB86" s="953"/>
      <c r="IWC86" s="953"/>
      <c r="IWD86" s="953"/>
      <c r="IWE86" s="953"/>
      <c r="IWF86" s="953"/>
      <c r="IWG86" s="953"/>
      <c r="IWH86" s="953"/>
      <c r="IWI86" s="953"/>
      <c r="IWJ86" s="953"/>
      <c r="IWK86" s="953"/>
      <c r="IWL86" s="953"/>
      <c r="IWM86" s="953"/>
      <c r="IWN86" s="953"/>
      <c r="IWO86" s="953"/>
      <c r="IWP86" s="953"/>
      <c r="IWQ86" s="953"/>
      <c r="IWR86" s="953"/>
      <c r="IWS86" s="953"/>
      <c r="IWT86" s="953"/>
      <c r="IWU86" s="953"/>
      <c r="IWV86" s="953"/>
      <c r="IWW86" s="953"/>
      <c r="IWX86" s="953"/>
      <c r="IWY86" s="953"/>
      <c r="IWZ86" s="953"/>
      <c r="IXA86" s="953"/>
      <c r="IXB86" s="953"/>
      <c r="IXC86" s="953"/>
      <c r="IXD86" s="953"/>
      <c r="IXE86" s="953"/>
      <c r="IXF86" s="953"/>
      <c r="IXG86" s="953"/>
      <c r="IXH86" s="953"/>
      <c r="IXI86" s="953"/>
      <c r="IXJ86" s="953"/>
      <c r="IXK86" s="953"/>
      <c r="IXL86" s="953"/>
      <c r="IXM86" s="953"/>
      <c r="IXN86" s="953"/>
      <c r="IXO86" s="953"/>
      <c r="IXP86" s="953"/>
      <c r="IXQ86" s="953"/>
      <c r="IXR86" s="953"/>
      <c r="IXS86" s="953"/>
      <c r="IXT86" s="953"/>
      <c r="IXU86" s="953"/>
      <c r="IXV86" s="953"/>
      <c r="IXW86" s="953"/>
      <c r="IXX86" s="953"/>
      <c r="IXY86" s="953"/>
      <c r="IXZ86" s="953"/>
      <c r="IYA86" s="953"/>
      <c r="IYB86" s="953"/>
      <c r="IYC86" s="953"/>
      <c r="IYD86" s="953"/>
      <c r="IYE86" s="953"/>
      <c r="IYF86" s="953"/>
      <c r="IYG86" s="953"/>
      <c r="IYH86" s="953"/>
      <c r="IYI86" s="953"/>
      <c r="IYJ86" s="953"/>
      <c r="IYK86" s="953"/>
      <c r="IYL86" s="953"/>
      <c r="IYM86" s="953"/>
      <c r="IYN86" s="953"/>
      <c r="IYO86" s="953"/>
      <c r="IYP86" s="953"/>
      <c r="IYQ86" s="953"/>
      <c r="IYR86" s="953"/>
      <c r="IYS86" s="953"/>
      <c r="IYT86" s="953"/>
      <c r="IYU86" s="953"/>
      <c r="IYV86" s="953"/>
      <c r="IYW86" s="953"/>
      <c r="IYX86" s="953"/>
      <c r="IYY86" s="953"/>
      <c r="IYZ86" s="953"/>
      <c r="IZA86" s="953"/>
      <c r="IZB86" s="953"/>
      <c r="IZC86" s="953"/>
      <c r="IZD86" s="953"/>
      <c r="IZE86" s="953"/>
      <c r="IZF86" s="953"/>
      <c r="IZG86" s="953"/>
      <c r="IZH86" s="953"/>
      <c r="IZI86" s="953"/>
      <c r="IZJ86" s="953"/>
      <c r="IZK86" s="953"/>
      <c r="IZL86" s="953"/>
      <c r="IZM86" s="953"/>
      <c r="IZN86" s="953"/>
      <c r="IZO86" s="953"/>
      <c r="IZP86" s="953"/>
      <c r="IZQ86" s="953"/>
      <c r="IZR86" s="953"/>
      <c r="IZS86" s="953"/>
      <c r="IZT86" s="953"/>
      <c r="IZU86" s="953"/>
      <c r="IZV86" s="953"/>
      <c r="IZW86" s="953"/>
      <c r="IZX86" s="953"/>
      <c r="IZY86" s="953"/>
      <c r="IZZ86" s="953"/>
      <c r="JAA86" s="953"/>
      <c r="JAB86" s="953"/>
      <c r="JAC86" s="953"/>
      <c r="JAD86" s="953"/>
      <c r="JAE86" s="953"/>
      <c r="JAF86" s="953"/>
      <c r="JAG86" s="953"/>
      <c r="JAH86" s="953"/>
      <c r="JAI86" s="953"/>
      <c r="JAJ86" s="953"/>
      <c r="JAK86" s="953"/>
      <c r="JAL86" s="953"/>
      <c r="JAM86" s="953"/>
      <c r="JAN86" s="953"/>
      <c r="JAO86" s="953"/>
      <c r="JAP86" s="953"/>
      <c r="JAQ86" s="953"/>
      <c r="JAR86" s="953"/>
      <c r="JAS86" s="953"/>
      <c r="JAT86" s="953"/>
      <c r="JAU86" s="953"/>
      <c r="JAV86" s="953"/>
      <c r="JAW86" s="953"/>
      <c r="JAX86" s="953"/>
      <c r="JAY86" s="953"/>
      <c r="JAZ86" s="953"/>
      <c r="JBA86" s="953"/>
      <c r="JBB86" s="953"/>
      <c r="JBC86" s="953"/>
      <c r="JBD86" s="953"/>
      <c r="JBE86" s="953"/>
      <c r="JBF86" s="953"/>
      <c r="JBG86" s="953"/>
      <c r="JBH86" s="953"/>
      <c r="JBI86" s="953"/>
      <c r="JBJ86" s="953"/>
      <c r="JBK86" s="953"/>
      <c r="JBL86" s="953"/>
      <c r="JBM86" s="953"/>
      <c r="JBN86" s="953"/>
      <c r="JBO86" s="953"/>
      <c r="JBP86" s="953"/>
      <c r="JBQ86" s="953"/>
      <c r="JBR86" s="953"/>
      <c r="JBS86" s="953"/>
      <c r="JBT86" s="953"/>
      <c r="JBU86" s="953"/>
      <c r="JBV86" s="953"/>
      <c r="JBW86" s="953"/>
      <c r="JBX86" s="953"/>
      <c r="JBY86" s="953"/>
      <c r="JBZ86" s="953"/>
      <c r="JCA86" s="953"/>
      <c r="JCB86" s="953"/>
      <c r="JCC86" s="953"/>
      <c r="JCD86" s="953"/>
      <c r="JCE86" s="953"/>
      <c r="JCF86" s="953"/>
      <c r="JCG86" s="953"/>
      <c r="JCH86" s="953"/>
      <c r="JCI86" s="953"/>
      <c r="JCJ86" s="953"/>
      <c r="JCK86" s="953"/>
      <c r="JCL86" s="953"/>
      <c r="JCM86" s="953"/>
      <c r="JCN86" s="953"/>
      <c r="JCO86" s="953"/>
      <c r="JCP86" s="953"/>
      <c r="JCQ86" s="953"/>
      <c r="JCR86" s="953"/>
      <c r="JCS86" s="953"/>
      <c r="JCT86" s="953"/>
      <c r="JCU86" s="953"/>
      <c r="JCV86" s="953"/>
      <c r="JCW86" s="953"/>
      <c r="JCX86" s="953"/>
      <c r="JCY86" s="953"/>
      <c r="JCZ86" s="953"/>
      <c r="JDA86" s="953"/>
      <c r="JDB86" s="953"/>
      <c r="JDC86" s="953"/>
      <c r="JDD86" s="953"/>
      <c r="JDE86" s="953"/>
      <c r="JDF86" s="953"/>
      <c r="JDG86" s="953"/>
      <c r="JDH86" s="953"/>
      <c r="JDI86" s="953"/>
      <c r="JDJ86" s="953"/>
      <c r="JDK86" s="953"/>
      <c r="JDL86" s="953"/>
      <c r="JDM86" s="953"/>
      <c r="JDN86" s="953"/>
      <c r="JDO86" s="953"/>
      <c r="JDP86" s="953"/>
      <c r="JDQ86" s="953"/>
      <c r="JDR86" s="953"/>
      <c r="JDS86" s="953"/>
      <c r="JDT86" s="953"/>
      <c r="JDU86" s="953"/>
      <c r="JDV86" s="953"/>
      <c r="JDW86" s="953"/>
      <c r="JDX86" s="953"/>
      <c r="JDY86" s="953"/>
      <c r="JDZ86" s="953"/>
      <c r="JEA86" s="953"/>
      <c r="JEB86" s="953"/>
      <c r="JEC86" s="953"/>
      <c r="JED86" s="953"/>
      <c r="JEE86" s="953"/>
      <c r="JEF86" s="953"/>
      <c r="JEG86" s="953"/>
      <c r="JEH86" s="953"/>
      <c r="JEI86" s="953"/>
      <c r="JEJ86" s="953"/>
      <c r="JEK86" s="953"/>
      <c r="JEL86" s="953"/>
      <c r="JEM86" s="953"/>
      <c r="JEN86" s="953"/>
      <c r="JEO86" s="953"/>
      <c r="JEP86" s="953"/>
      <c r="JEQ86" s="953"/>
      <c r="JER86" s="953"/>
      <c r="JES86" s="953"/>
      <c r="JET86" s="953"/>
      <c r="JEU86" s="953"/>
      <c r="JEV86" s="953"/>
      <c r="JEW86" s="953"/>
      <c r="JEX86" s="953"/>
      <c r="JEY86" s="953"/>
      <c r="JEZ86" s="953"/>
      <c r="JFA86" s="953"/>
      <c r="JFB86" s="953"/>
      <c r="JFC86" s="953"/>
      <c r="JFD86" s="953"/>
      <c r="JFE86" s="953"/>
      <c r="JFF86" s="953"/>
      <c r="JFG86" s="953"/>
      <c r="JFH86" s="953"/>
      <c r="JFI86" s="953"/>
      <c r="JFJ86" s="953"/>
      <c r="JFK86" s="953"/>
      <c r="JFL86" s="953"/>
      <c r="JFM86" s="953"/>
      <c r="JFN86" s="953"/>
      <c r="JFO86" s="953"/>
      <c r="JFP86" s="953"/>
      <c r="JFQ86" s="953"/>
      <c r="JFR86" s="953"/>
      <c r="JFS86" s="953"/>
      <c r="JFT86" s="953"/>
      <c r="JFU86" s="953"/>
      <c r="JFV86" s="953"/>
      <c r="JFW86" s="953"/>
      <c r="JFX86" s="953"/>
      <c r="JFY86" s="953"/>
      <c r="JFZ86" s="953"/>
      <c r="JGA86" s="953"/>
      <c r="JGB86" s="953"/>
      <c r="JGC86" s="953"/>
      <c r="JGD86" s="953"/>
      <c r="JGE86" s="953"/>
      <c r="JGF86" s="953"/>
      <c r="JGG86" s="953"/>
      <c r="JGH86" s="953"/>
      <c r="JGI86" s="953"/>
      <c r="JGJ86" s="953"/>
      <c r="JGK86" s="953"/>
      <c r="JGL86" s="953"/>
      <c r="JGM86" s="953"/>
      <c r="JGN86" s="953"/>
      <c r="JGO86" s="953"/>
      <c r="JGP86" s="953"/>
      <c r="JGQ86" s="953"/>
      <c r="JGR86" s="953"/>
      <c r="JGS86" s="953"/>
      <c r="JGT86" s="953"/>
      <c r="JGU86" s="953"/>
      <c r="JGV86" s="953"/>
      <c r="JGW86" s="953"/>
      <c r="JGX86" s="953"/>
      <c r="JGY86" s="953"/>
      <c r="JGZ86" s="953"/>
      <c r="JHA86" s="953"/>
      <c r="JHB86" s="953"/>
      <c r="JHC86" s="953"/>
      <c r="JHD86" s="953"/>
      <c r="JHE86" s="953"/>
      <c r="JHF86" s="953"/>
      <c r="JHG86" s="953"/>
      <c r="JHH86" s="953"/>
      <c r="JHI86" s="953"/>
      <c r="JHJ86" s="953"/>
      <c r="JHK86" s="953"/>
      <c r="JHL86" s="953"/>
      <c r="JHM86" s="953"/>
      <c r="JHN86" s="953"/>
      <c r="JHO86" s="953"/>
      <c r="JHP86" s="953"/>
      <c r="JHQ86" s="953"/>
      <c r="JHR86" s="953"/>
      <c r="JHS86" s="953"/>
      <c r="JHT86" s="953"/>
      <c r="JHU86" s="953"/>
      <c r="JHV86" s="953"/>
      <c r="JHW86" s="953"/>
      <c r="JHX86" s="953"/>
      <c r="JHY86" s="953"/>
      <c r="JHZ86" s="953"/>
      <c r="JIA86" s="953"/>
      <c r="JIB86" s="953"/>
      <c r="JIC86" s="953"/>
      <c r="JID86" s="953"/>
      <c r="JIE86" s="953"/>
      <c r="JIF86" s="953"/>
      <c r="JIG86" s="953"/>
      <c r="JIH86" s="953"/>
      <c r="JII86" s="953"/>
      <c r="JIJ86" s="953"/>
      <c r="JIK86" s="953"/>
      <c r="JIL86" s="953"/>
      <c r="JIM86" s="953"/>
      <c r="JIN86" s="953"/>
      <c r="JIO86" s="953"/>
      <c r="JIP86" s="953"/>
      <c r="JIQ86" s="953"/>
      <c r="JIR86" s="953"/>
      <c r="JIS86" s="953"/>
      <c r="JIT86" s="953"/>
      <c r="JIU86" s="953"/>
      <c r="JIV86" s="953"/>
      <c r="JIW86" s="953"/>
      <c r="JIX86" s="953"/>
      <c r="JIY86" s="953"/>
      <c r="JIZ86" s="953"/>
      <c r="JJA86" s="953"/>
      <c r="JJB86" s="953"/>
      <c r="JJC86" s="953"/>
      <c r="JJD86" s="953"/>
      <c r="JJE86" s="953"/>
      <c r="JJF86" s="953"/>
      <c r="JJG86" s="953"/>
      <c r="JJH86" s="953"/>
      <c r="JJI86" s="953"/>
      <c r="JJJ86" s="953"/>
      <c r="JJK86" s="953"/>
      <c r="JJL86" s="953"/>
      <c r="JJM86" s="953"/>
      <c r="JJN86" s="953"/>
      <c r="JJO86" s="953"/>
      <c r="JJP86" s="953"/>
      <c r="JJQ86" s="953"/>
      <c r="JJR86" s="953"/>
      <c r="JJS86" s="953"/>
      <c r="JJT86" s="953"/>
      <c r="JJU86" s="953"/>
      <c r="JJV86" s="953"/>
      <c r="JJW86" s="953"/>
      <c r="JJX86" s="953"/>
      <c r="JJY86" s="953"/>
      <c r="JJZ86" s="953"/>
      <c r="JKA86" s="953"/>
      <c r="JKB86" s="953"/>
      <c r="JKC86" s="953"/>
      <c r="JKD86" s="953"/>
      <c r="JKE86" s="953"/>
      <c r="JKF86" s="953"/>
      <c r="JKG86" s="953"/>
      <c r="JKH86" s="953"/>
      <c r="JKI86" s="953"/>
      <c r="JKJ86" s="953"/>
      <c r="JKK86" s="953"/>
      <c r="JKL86" s="953"/>
      <c r="JKM86" s="953"/>
      <c r="JKN86" s="953"/>
      <c r="JKO86" s="953"/>
      <c r="JKP86" s="953"/>
      <c r="JKQ86" s="953"/>
      <c r="JKR86" s="953"/>
      <c r="JKS86" s="953"/>
      <c r="JKT86" s="953"/>
      <c r="JKU86" s="953"/>
      <c r="JKV86" s="953"/>
      <c r="JKW86" s="953"/>
      <c r="JKX86" s="953"/>
      <c r="JKY86" s="953"/>
      <c r="JKZ86" s="953"/>
      <c r="JLA86" s="953"/>
      <c r="JLB86" s="953"/>
      <c r="JLC86" s="953"/>
      <c r="JLD86" s="953"/>
      <c r="JLE86" s="953"/>
      <c r="JLF86" s="953"/>
      <c r="JLG86" s="953"/>
      <c r="JLH86" s="953"/>
      <c r="JLI86" s="953"/>
      <c r="JLJ86" s="953"/>
      <c r="JLK86" s="953"/>
      <c r="JLL86" s="953"/>
      <c r="JLM86" s="953"/>
      <c r="JLN86" s="953"/>
      <c r="JLO86" s="953"/>
      <c r="JLP86" s="953"/>
      <c r="JLQ86" s="953"/>
      <c r="JLR86" s="953"/>
      <c r="JLS86" s="953"/>
      <c r="JLT86" s="953"/>
      <c r="JLU86" s="953"/>
      <c r="JLV86" s="953"/>
      <c r="JLW86" s="953"/>
      <c r="JLX86" s="953"/>
      <c r="JLY86" s="953"/>
      <c r="JLZ86" s="953"/>
      <c r="JMA86" s="953"/>
      <c r="JMB86" s="953"/>
      <c r="JMC86" s="953"/>
      <c r="JMD86" s="953"/>
      <c r="JME86" s="953"/>
      <c r="JMF86" s="953"/>
      <c r="JMG86" s="953"/>
      <c r="JMH86" s="953"/>
      <c r="JMI86" s="953"/>
      <c r="JMJ86" s="953"/>
      <c r="JMK86" s="953"/>
      <c r="JML86" s="953"/>
      <c r="JMM86" s="953"/>
      <c r="JMN86" s="953"/>
      <c r="JMO86" s="953"/>
      <c r="JMP86" s="953"/>
      <c r="JMQ86" s="953"/>
      <c r="JMR86" s="953"/>
      <c r="JMS86" s="953"/>
      <c r="JMT86" s="953"/>
      <c r="JMU86" s="953"/>
      <c r="JMV86" s="953"/>
      <c r="JMW86" s="953"/>
      <c r="JMX86" s="953"/>
      <c r="JMY86" s="953"/>
      <c r="JMZ86" s="953"/>
      <c r="JNA86" s="953"/>
      <c r="JNB86" s="953"/>
      <c r="JNC86" s="953"/>
      <c r="JND86" s="953"/>
      <c r="JNE86" s="953"/>
      <c r="JNF86" s="953"/>
      <c r="JNG86" s="953"/>
      <c r="JNH86" s="953"/>
      <c r="JNI86" s="953"/>
      <c r="JNJ86" s="953"/>
      <c r="JNK86" s="953"/>
      <c r="JNL86" s="953"/>
      <c r="JNM86" s="953"/>
      <c r="JNN86" s="953"/>
      <c r="JNO86" s="953"/>
      <c r="JNP86" s="953"/>
      <c r="JNQ86" s="953"/>
      <c r="JNR86" s="953"/>
      <c r="JNS86" s="953"/>
      <c r="JNT86" s="953"/>
      <c r="JNU86" s="953"/>
      <c r="JNV86" s="953"/>
      <c r="JNW86" s="953"/>
      <c r="JNX86" s="953"/>
      <c r="JNY86" s="953"/>
      <c r="JNZ86" s="953"/>
      <c r="JOA86" s="953"/>
      <c r="JOB86" s="953"/>
      <c r="JOC86" s="953"/>
      <c r="JOD86" s="953"/>
      <c r="JOE86" s="953"/>
      <c r="JOF86" s="953"/>
      <c r="JOG86" s="953"/>
      <c r="JOH86" s="953"/>
      <c r="JOI86" s="953"/>
      <c r="JOJ86" s="953"/>
      <c r="JOK86" s="953"/>
      <c r="JOL86" s="953"/>
      <c r="JOM86" s="953"/>
      <c r="JON86" s="953"/>
      <c r="JOO86" s="953"/>
      <c r="JOP86" s="953"/>
      <c r="JOQ86" s="953"/>
      <c r="JOR86" s="953"/>
      <c r="JOS86" s="953"/>
      <c r="JOT86" s="953"/>
      <c r="JOU86" s="953"/>
      <c r="JOV86" s="953"/>
      <c r="JOW86" s="953"/>
      <c r="JOX86" s="953"/>
      <c r="JOY86" s="953"/>
      <c r="JOZ86" s="953"/>
      <c r="JPA86" s="953"/>
      <c r="JPB86" s="953"/>
      <c r="JPC86" s="953"/>
      <c r="JPD86" s="953"/>
      <c r="JPE86" s="953"/>
      <c r="JPF86" s="953"/>
      <c r="JPG86" s="953"/>
      <c r="JPH86" s="953"/>
      <c r="JPI86" s="953"/>
      <c r="JPJ86" s="953"/>
      <c r="JPK86" s="953"/>
      <c r="JPL86" s="953"/>
      <c r="JPM86" s="953"/>
      <c r="JPN86" s="953"/>
      <c r="JPO86" s="953"/>
      <c r="JPP86" s="953"/>
      <c r="JPQ86" s="953"/>
      <c r="JPR86" s="953"/>
      <c r="JPS86" s="953"/>
      <c r="JPT86" s="953"/>
      <c r="JPU86" s="953"/>
      <c r="JPV86" s="953"/>
      <c r="JPW86" s="953"/>
      <c r="JPX86" s="953"/>
      <c r="JPY86" s="953"/>
      <c r="JPZ86" s="953"/>
      <c r="JQA86" s="953"/>
      <c r="JQB86" s="953"/>
      <c r="JQC86" s="953"/>
      <c r="JQD86" s="953"/>
      <c r="JQE86" s="953"/>
      <c r="JQF86" s="953"/>
      <c r="JQG86" s="953"/>
      <c r="JQH86" s="953"/>
      <c r="JQI86" s="953"/>
      <c r="JQJ86" s="953"/>
      <c r="JQK86" s="953"/>
      <c r="JQL86" s="953"/>
      <c r="JQM86" s="953"/>
      <c r="JQN86" s="953"/>
      <c r="JQO86" s="953"/>
      <c r="JQP86" s="953"/>
      <c r="JQQ86" s="953"/>
      <c r="JQR86" s="953"/>
      <c r="JQS86" s="953"/>
      <c r="JQT86" s="953"/>
      <c r="JQU86" s="953"/>
      <c r="JQV86" s="953"/>
      <c r="JQW86" s="953"/>
      <c r="JQX86" s="953"/>
      <c r="JQY86" s="953"/>
      <c r="JQZ86" s="953"/>
      <c r="JRA86" s="953"/>
      <c r="JRB86" s="953"/>
      <c r="JRC86" s="953"/>
      <c r="JRD86" s="953"/>
      <c r="JRE86" s="953"/>
      <c r="JRF86" s="953"/>
      <c r="JRG86" s="953"/>
      <c r="JRH86" s="953"/>
      <c r="JRI86" s="953"/>
      <c r="JRJ86" s="953"/>
      <c r="JRK86" s="953"/>
      <c r="JRL86" s="953"/>
      <c r="JRM86" s="953"/>
      <c r="JRN86" s="953"/>
      <c r="JRO86" s="953"/>
      <c r="JRP86" s="953"/>
      <c r="JRQ86" s="953"/>
      <c r="JRR86" s="953"/>
      <c r="JRS86" s="953"/>
      <c r="JRT86" s="953"/>
      <c r="JRU86" s="953"/>
      <c r="JRV86" s="953"/>
      <c r="JRW86" s="953"/>
      <c r="JRX86" s="953"/>
      <c r="JRY86" s="953"/>
      <c r="JRZ86" s="953"/>
      <c r="JSA86" s="953"/>
      <c r="JSB86" s="953"/>
      <c r="JSC86" s="953"/>
      <c r="JSD86" s="953"/>
      <c r="JSE86" s="953"/>
      <c r="JSF86" s="953"/>
      <c r="JSG86" s="953"/>
      <c r="JSH86" s="953"/>
      <c r="JSI86" s="953"/>
      <c r="JSJ86" s="953"/>
      <c r="JSK86" s="953"/>
      <c r="JSL86" s="953"/>
      <c r="JSM86" s="953"/>
      <c r="JSN86" s="953"/>
      <c r="JSO86" s="953"/>
      <c r="JSP86" s="953"/>
      <c r="JSQ86" s="953"/>
      <c r="JSR86" s="953"/>
      <c r="JSS86" s="953"/>
      <c r="JST86" s="953"/>
      <c r="JSU86" s="953"/>
      <c r="JSV86" s="953"/>
      <c r="JSW86" s="953"/>
      <c r="JSX86" s="953"/>
      <c r="JSY86" s="953"/>
      <c r="JSZ86" s="953"/>
      <c r="JTA86" s="953"/>
      <c r="JTB86" s="953"/>
      <c r="JTC86" s="953"/>
      <c r="JTD86" s="953"/>
      <c r="JTE86" s="953"/>
      <c r="JTF86" s="953"/>
      <c r="JTG86" s="953"/>
      <c r="JTH86" s="953"/>
      <c r="JTI86" s="953"/>
      <c r="JTJ86" s="953"/>
      <c r="JTK86" s="953"/>
      <c r="JTL86" s="953"/>
      <c r="JTM86" s="953"/>
      <c r="JTN86" s="953"/>
      <c r="JTO86" s="953"/>
      <c r="JTP86" s="953"/>
      <c r="JTQ86" s="953"/>
      <c r="JTR86" s="953"/>
      <c r="JTS86" s="953"/>
      <c r="JTT86" s="953"/>
      <c r="JTU86" s="953"/>
      <c r="JTV86" s="953"/>
      <c r="JTW86" s="953"/>
      <c r="JTX86" s="953"/>
      <c r="JTY86" s="953"/>
      <c r="JTZ86" s="953"/>
      <c r="JUA86" s="953"/>
      <c r="JUB86" s="953"/>
      <c r="JUC86" s="953"/>
      <c r="JUD86" s="953"/>
      <c r="JUE86" s="953"/>
      <c r="JUF86" s="953"/>
      <c r="JUG86" s="953"/>
      <c r="JUH86" s="953"/>
      <c r="JUI86" s="953"/>
      <c r="JUJ86" s="953"/>
      <c r="JUK86" s="953"/>
      <c r="JUL86" s="953"/>
      <c r="JUM86" s="953"/>
      <c r="JUN86" s="953"/>
      <c r="JUO86" s="953"/>
      <c r="JUP86" s="953"/>
      <c r="JUQ86" s="953"/>
      <c r="JUR86" s="953"/>
      <c r="JUS86" s="953"/>
      <c r="JUT86" s="953"/>
      <c r="JUU86" s="953"/>
      <c r="JUV86" s="953"/>
      <c r="JUW86" s="953"/>
      <c r="JUX86" s="953"/>
      <c r="JUY86" s="953"/>
      <c r="JUZ86" s="953"/>
      <c r="JVA86" s="953"/>
      <c r="JVB86" s="953"/>
      <c r="JVC86" s="953"/>
      <c r="JVD86" s="953"/>
      <c r="JVE86" s="953"/>
      <c r="JVF86" s="953"/>
      <c r="JVG86" s="953"/>
      <c r="JVH86" s="953"/>
      <c r="JVI86" s="953"/>
      <c r="JVJ86" s="953"/>
      <c r="JVK86" s="953"/>
      <c r="JVL86" s="953"/>
      <c r="JVM86" s="953"/>
      <c r="JVN86" s="953"/>
      <c r="JVO86" s="953"/>
      <c r="JVP86" s="953"/>
      <c r="JVQ86" s="953"/>
      <c r="JVR86" s="953"/>
      <c r="JVS86" s="953"/>
      <c r="JVT86" s="953"/>
      <c r="JVU86" s="953"/>
      <c r="JVV86" s="953"/>
      <c r="JVW86" s="953"/>
      <c r="JVX86" s="953"/>
      <c r="JVY86" s="953"/>
      <c r="JVZ86" s="953"/>
      <c r="JWA86" s="953"/>
      <c r="JWB86" s="953"/>
      <c r="JWC86" s="953"/>
      <c r="JWD86" s="953"/>
      <c r="JWE86" s="953"/>
      <c r="JWF86" s="953"/>
      <c r="JWG86" s="953"/>
      <c r="JWH86" s="953"/>
      <c r="JWI86" s="953"/>
      <c r="JWJ86" s="953"/>
      <c r="JWK86" s="953"/>
      <c r="JWL86" s="953"/>
      <c r="JWM86" s="953"/>
      <c r="JWN86" s="953"/>
      <c r="JWO86" s="953"/>
      <c r="JWP86" s="953"/>
      <c r="JWQ86" s="953"/>
      <c r="JWR86" s="953"/>
      <c r="JWS86" s="953"/>
      <c r="JWT86" s="953"/>
      <c r="JWU86" s="953"/>
      <c r="JWV86" s="953"/>
      <c r="JWW86" s="953"/>
      <c r="JWX86" s="953"/>
      <c r="JWY86" s="953"/>
      <c r="JWZ86" s="953"/>
      <c r="JXA86" s="953"/>
      <c r="JXB86" s="953"/>
      <c r="JXC86" s="953"/>
      <c r="JXD86" s="953"/>
      <c r="JXE86" s="953"/>
      <c r="JXF86" s="953"/>
      <c r="JXG86" s="953"/>
      <c r="JXH86" s="953"/>
      <c r="JXI86" s="953"/>
      <c r="JXJ86" s="953"/>
      <c r="JXK86" s="953"/>
      <c r="JXL86" s="953"/>
      <c r="JXM86" s="953"/>
      <c r="JXN86" s="953"/>
      <c r="JXO86" s="953"/>
      <c r="JXP86" s="953"/>
      <c r="JXQ86" s="953"/>
      <c r="JXR86" s="953"/>
      <c r="JXS86" s="953"/>
      <c r="JXT86" s="953"/>
      <c r="JXU86" s="953"/>
      <c r="JXV86" s="953"/>
      <c r="JXW86" s="953"/>
      <c r="JXX86" s="953"/>
      <c r="JXY86" s="953"/>
      <c r="JXZ86" s="953"/>
      <c r="JYA86" s="953"/>
      <c r="JYB86" s="953"/>
      <c r="JYC86" s="953"/>
      <c r="JYD86" s="953"/>
      <c r="JYE86" s="953"/>
      <c r="JYF86" s="953"/>
      <c r="JYG86" s="953"/>
      <c r="JYH86" s="953"/>
      <c r="JYI86" s="953"/>
      <c r="JYJ86" s="953"/>
      <c r="JYK86" s="953"/>
      <c r="JYL86" s="953"/>
      <c r="JYM86" s="953"/>
      <c r="JYN86" s="953"/>
      <c r="JYO86" s="953"/>
      <c r="JYP86" s="953"/>
      <c r="JYQ86" s="953"/>
      <c r="JYR86" s="953"/>
      <c r="JYS86" s="953"/>
      <c r="JYT86" s="953"/>
      <c r="JYU86" s="953"/>
      <c r="JYV86" s="953"/>
      <c r="JYW86" s="953"/>
      <c r="JYX86" s="953"/>
      <c r="JYY86" s="953"/>
      <c r="JYZ86" s="953"/>
      <c r="JZA86" s="953"/>
      <c r="JZB86" s="953"/>
      <c r="JZC86" s="953"/>
      <c r="JZD86" s="953"/>
      <c r="JZE86" s="953"/>
      <c r="JZF86" s="953"/>
      <c r="JZG86" s="953"/>
      <c r="JZH86" s="953"/>
      <c r="JZI86" s="953"/>
      <c r="JZJ86" s="953"/>
      <c r="JZK86" s="953"/>
      <c r="JZL86" s="953"/>
      <c r="JZM86" s="953"/>
      <c r="JZN86" s="953"/>
      <c r="JZO86" s="953"/>
      <c r="JZP86" s="953"/>
      <c r="JZQ86" s="953"/>
      <c r="JZR86" s="953"/>
      <c r="JZS86" s="953"/>
      <c r="JZT86" s="953"/>
      <c r="JZU86" s="953"/>
      <c r="JZV86" s="953"/>
      <c r="JZW86" s="953"/>
      <c r="JZX86" s="953"/>
      <c r="JZY86" s="953"/>
      <c r="JZZ86" s="953"/>
      <c r="KAA86" s="953"/>
      <c r="KAB86" s="953"/>
      <c r="KAC86" s="953"/>
      <c r="KAD86" s="953"/>
      <c r="KAE86" s="953"/>
      <c r="KAF86" s="953"/>
      <c r="KAG86" s="953"/>
      <c r="KAH86" s="953"/>
      <c r="KAI86" s="953"/>
      <c r="KAJ86" s="953"/>
      <c r="KAK86" s="953"/>
      <c r="KAL86" s="953"/>
      <c r="KAM86" s="953"/>
      <c r="KAN86" s="953"/>
      <c r="KAO86" s="953"/>
      <c r="KAP86" s="953"/>
      <c r="KAQ86" s="953"/>
      <c r="KAR86" s="953"/>
      <c r="KAS86" s="953"/>
      <c r="KAT86" s="953"/>
      <c r="KAU86" s="953"/>
      <c r="KAV86" s="953"/>
      <c r="KAW86" s="953"/>
      <c r="KAX86" s="953"/>
      <c r="KAY86" s="953"/>
      <c r="KAZ86" s="953"/>
      <c r="KBA86" s="953"/>
      <c r="KBB86" s="953"/>
      <c r="KBC86" s="953"/>
      <c r="KBD86" s="953"/>
      <c r="KBE86" s="953"/>
      <c r="KBF86" s="953"/>
      <c r="KBG86" s="953"/>
      <c r="KBH86" s="953"/>
      <c r="KBI86" s="953"/>
      <c r="KBJ86" s="953"/>
      <c r="KBK86" s="953"/>
      <c r="KBL86" s="953"/>
      <c r="KBM86" s="953"/>
      <c r="KBN86" s="953"/>
      <c r="KBO86" s="953"/>
      <c r="KBP86" s="953"/>
      <c r="KBQ86" s="953"/>
      <c r="KBR86" s="953"/>
      <c r="KBS86" s="953"/>
      <c r="KBT86" s="953"/>
      <c r="KBU86" s="953"/>
      <c r="KBV86" s="953"/>
      <c r="KBW86" s="953"/>
      <c r="KBX86" s="953"/>
      <c r="KBY86" s="953"/>
      <c r="KBZ86" s="953"/>
      <c r="KCA86" s="953"/>
      <c r="KCB86" s="953"/>
      <c r="KCC86" s="953"/>
      <c r="KCD86" s="953"/>
      <c r="KCE86" s="953"/>
      <c r="KCF86" s="953"/>
      <c r="KCG86" s="953"/>
      <c r="KCH86" s="953"/>
      <c r="KCI86" s="953"/>
      <c r="KCJ86" s="953"/>
      <c r="KCK86" s="953"/>
      <c r="KCL86" s="953"/>
      <c r="KCM86" s="953"/>
      <c r="KCN86" s="953"/>
      <c r="KCO86" s="953"/>
      <c r="KCP86" s="953"/>
      <c r="KCQ86" s="953"/>
      <c r="KCR86" s="953"/>
      <c r="KCS86" s="953"/>
      <c r="KCT86" s="953"/>
      <c r="KCU86" s="953"/>
      <c r="KCV86" s="953"/>
      <c r="KCW86" s="953"/>
      <c r="KCX86" s="953"/>
      <c r="KCY86" s="953"/>
      <c r="KCZ86" s="953"/>
      <c r="KDA86" s="953"/>
      <c r="KDB86" s="953"/>
      <c r="KDC86" s="953"/>
      <c r="KDD86" s="953"/>
      <c r="KDE86" s="953"/>
      <c r="KDF86" s="953"/>
      <c r="KDG86" s="953"/>
      <c r="KDH86" s="953"/>
      <c r="KDI86" s="953"/>
      <c r="KDJ86" s="953"/>
      <c r="KDK86" s="953"/>
      <c r="KDL86" s="953"/>
      <c r="KDM86" s="953"/>
      <c r="KDN86" s="953"/>
      <c r="KDO86" s="953"/>
      <c r="KDP86" s="953"/>
      <c r="KDQ86" s="953"/>
      <c r="KDR86" s="953"/>
      <c r="KDS86" s="953"/>
      <c r="KDT86" s="953"/>
      <c r="KDU86" s="953"/>
      <c r="KDV86" s="953"/>
      <c r="KDW86" s="953"/>
      <c r="KDX86" s="953"/>
      <c r="KDY86" s="953"/>
      <c r="KDZ86" s="953"/>
      <c r="KEA86" s="953"/>
      <c r="KEB86" s="953"/>
      <c r="KEC86" s="953"/>
      <c r="KED86" s="953"/>
      <c r="KEE86" s="953"/>
      <c r="KEF86" s="953"/>
      <c r="KEG86" s="953"/>
      <c r="KEH86" s="953"/>
      <c r="KEI86" s="953"/>
      <c r="KEJ86" s="953"/>
      <c r="KEK86" s="953"/>
      <c r="KEL86" s="953"/>
      <c r="KEM86" s="953"/>
      <c r="KEN86" s="953"/>
      <c r="KEO86" s="953"/>
      <c r="KEP86" s="953"/>
      <c r="KEQ86" s="953"/>
      <c r="KER86" s="953"/>
      <c r="KES86" s="953"/>
      <c r="KET86" s="953"/>
      <c r="KEU86" s="953"/>
      <c r="KEV86" s="953"/>
      <c r="KEW86" s="953"/>
      <c r="KEX86" s="953"/>
      <c r="KEY86" s="953"/>
      <c r="KEZ86" s="953"/>
      <c r="KFA86" s="953"/>
      <c r="KFB86" s="953"/>
      <c r="KFC86" s="953"/>
      <c r="KFD86" s="953"/>
      <c r="KFE86" s="953"/>
      <c r="KFF86" s="953"/>
      <c r="KFG86" s="953"/>
      <c r="KFH86" s="953"/>
      <c r="KFI86" s="953"/>
      <c r="KFJ86" s="953"/>
      <c r="KFK86" s="953"/>
      <c r="KFL86" s="953"/>
      <c r="KFM86" s="953"/>
      <c r="KFN86" s="953"/>
      <c r="KFO86" s="953"/>
      <c r="KFP86" s="953"/>
      <c r="KFQ86" s="953"/>
      <c r="KFR86" s="953"/>
      <c r="KFS86" s="953"/>
      <c r="KFT86" s="953"/>
      <c r="KFU86" s="953"/>
      <c r="KFV86" s="953"/>
      <c r="KFW86" s="953"/>
      <c r="KFX86" s="953"/>
      <c r="KFY86" s="953"/>
      <c r="KFZ86" s="953"/>
      <c r="KGA86" s="953"/>
      <c r="KGB86" s="953"/>
      <c r="KGC86" s="953"/>
      <c r="KGD86" s="953"/>
      <c r="KGE86" s="953"/>
      <c r="KGF86" s="953"/>
      <c r="KGG86" s="953"/>
      <c r="KGH86" s="953"/>
      <c r="KGI86" s="953"/>
      <c r="KGJ86" s="953"/>
      <c r="KGK86" s="953"/>
      <c r="KGL86" s="953"/>
      <c r="KGM86" s="953"/>
      <c r="KGN86" s="953"/>
      <c r="KGO86" s="953"/>
      <c r="KGP86" s="953"/>
      <c r="KGQ86" s="953"/>
      <c r="KGR86" s="953"/>
      <c r="KGS86" s="953"/>
      <c r="KGT86" s="953"/>
      <c r="KGU86" s="953"/>
      <c r="KGV86" s="953"/>
      <c r="KGW86" s="953"/>
      <c r="KGX86" s="953"/>
      <c r="KGY86" s="953"/>
      <c r="KGZ86" s="953"/>
      <c r="KHA86" s="953"/>
      <c r="KHB86" s="953"/>
      <c r="KHC86" s="953"/>
      <c r="KHD86" s="953"/>
      <c r="KHE86" s="953"/>
      <c r="KHF86" s="953"/>
      <c r="KHG86" s="953"/>
      <c r="KHH86" s="953"/>
      <c r="KHI86" s="953"/>
      <c r="KHJ86" s="953"/>
      <c r="KHK86" s="953"/>
      <c r="KHL86" s="953"/>
      <c r="KHM86" s="953"/>
      <c r="KHN86" s="953"/>
      <c r="KHO86" s="953"/>
      <c r="KHP86" s="953"/>
      <c r="KHQ86" s="953"/>
      <c r="KHR86" s="953"/>
      <c r="KHS86" s="953"/>
      <c r="KHT86" s="953"/>
      <c r="KHU86" s="953"/>
      <c r="KHV86" s="953"/>
      <c r="KHW86" s="953"/>
      <c r="KHX86" s="953"/>
      <c r="KHY86" s="953"/>
      <c r="KHZ86" s="953"/>
      <c r="KIA86" s="953"/>
      <c r="KIB86" s="953"/>
      <c r="KIC86" s="953"/>
      <c r="KID86" s="953"/>
      <c r="KIE86" s="953"/>
      <c r="KIF86" s="953"/>
      <c r="KIG86" s="953"/>
      <c r="KIH86" s="953"/>
      <c r="KII86" s="953"/>
      <c r="KIJ86" s="953"/>
      <c r="KIK86" s="953"/>
      <c r="KIL86" s="953"/>
      <c r="KIM86" s="953"/>
      <c r="KIN86" s="953"/>
      <c r="KIO86" s="953"/>
      <c r="KIP86" s="953"/>
      <c r="KIQ86" s="953"/>
      <c r="KIR86" s="953"/>
      <c r="KIS86" s="953"/>
      <c r="KIT86" s="953"/>
      <c r="KIU86" s="953"/>
      <c r="KIV86" s="953"/>
      <c r="KIW86" s="953"/>
      <c r="KIX86" s="953"/>
      <c r="KIY86" s="953"/>
      <c r="KIZ86" s="953"/>
      <c r="KJA86" s="953"/>
      <c r="KJB86" s="953"/>
      <c r="KJC86" s="953"/>
      <c r="KJD86" s="953"/>
      <c r="KJE86" s="953"/>
      <c r="KJF86" s="953"/>
      <c r="KJG86" s="953"/>
      <c r="KJH86" s="953"/>
      <c r="KJI86" s="953"/>
      <c r="KJJ86" s="953"/>
      <c r="KJK86" s="953"/>
      <c r="KJL86" s="953"/>
      <c r="KJM86" s="953"/>
      <c r="KJN86" s="953"/>
      <c r="KJO86" s="953"/>
      <c r="KJP86" s="953"/>
      <c r="KJQ86" s="953"/>
      <c r="KJR86" s="953"/>
      <c r="KJS86" s="953"/>
      <c r="KJT86" s="953"/>
      <c r="KJU86" s="953"/>
      <c r="KJV86" s="953"/>
      <c r="KJW86" s="953"/>
      <c r="KJX86" s="953"/>
      <c r="KJY86" s="953"/>
      <c r="KJZ86" s="953"/>
      <c r="KKA86" s="953"/>
      <c r="KKB86" s="953"/>
      <c r="KKC86" s="953"/>
      <c r="KKD86" s="953"/>
      <c r="KKE86" s="953"/>
      <c r="KKF86" s="953"/>
      <c r="KKG86" s="953"/>
      <c r="KKH86" s="953"/>
      <c r="KKI86" s="953"/>
      <c r="KKJ86" s="953"/>
      <c r="KKK86" s="953"/>
      <c r="KKL86" s="953"/>
      <c r="KKM86" s="953"/>
      <c r="KKN86" s="953"/>
      <c r="KKO86" s="953"/>
      <c r="KKP86" s="953"/>
      <c r="KKQ86" s="953"/>
      <c r="KKR86" s="953"/>
      <c r="KKS86" s="953"/>
      <c r="KKT86" s="953"/>
      <c r="KKU86" s="953"/>
      <c r="KKV86" s="953"/>
      <c r="KKW86" s="953"/>
      <c r="KKX86" s="953"/>
      <c r="KKY86" s="953"/>
      <c r="KKZ86" s="953"/>
      <c r="KLA86" s="953"/>
      <c r="KLB86" s="953"/>
      <c r="KLC86" s="953"/>
      <c r="KLD86" s="953"/>
      <c r="KLE86" s="953"/>
      <c r="KLF86" s="953"/>
      <c r="KLG86" s="953"/>
      <c r="KLH86" s="953"/>
      <c r="KLI86" s="953"/>
      <c r="KLJ86" s="953"/>
      <c r="KLK86" s="953"/>
      <c r="KLL86" s="953"/>
      <c r="KLM86" s="953"/>
      <c r="KLN86" s="953"/>
      <c r="KLO86" s="953"/>
      <c r="KLP86" s="953"/>
      <c r="KLQ86" s="953"/>
      <c r="KLR86" s="953"/>
      <c r="KLS86" s="953"/>
      <c r="KLT86" s="953"/>
      <c r="KLU86" s="953"/>
      <c r="KLV86" s="953"/>
      <c r="KLW86" s="953"/>
      <c r="KLX86" s="953"/>
      <c r="KLY86" s="953"/>
      <c r="KLZ86" s="953"/>
      <c r="KMA86" s="953"/>
      <c r="KMB86" s="953"/>
      <c r="KMC86" s="953"/>
      <c r="KMD86" s="953"/>
      <c r="KME86" s="953"/>
      <c r="KMF86" s="953"/>
      <c r="KMG86" s="953"/>
      <c r="KMH86" s="953"/>
      <c r="KMI86" s="953"/>
      <c r="KMJ86" s="953"/>
      <c r="KMK86" s="953"/>
      <c r="KML86" s="953"/>
      <c r="KMM86" s="953"/>
      <c r="KMN86" s="953"/>
      <c r="KMO86" s="953"/>
      <c r="KMP86" s="953"/>
      <c r="KMQ86" s="953"/>
      <c r="KMR86" s="953"/>
      <c r="KMS86" s="953"/>
      <c r="KMT86" s="953"/>
      <c r="KMU86" s="953"/>
      <c r="KMV86" s="953"/>
      <c r="KMW86" s="953"/>
      <c r="KMX86" s="953"/>
      <c r="KMY86" s="953"/>
      <c r="KMZ86" s="953"/>
      <c r="KNA86" s="953"/>
      <c r="KNB86" s="953"/>
      <c r="KNC86" s="953"/>
      <c r="KND86" s="953"/>
      <c r="KNE86" s="953"/>
      <c r="KNF86" s="953"/>
      <c r="KNG86" s="953"/>
      <c r="KNH86" s="953"/>
      <c r="KNI86" s="953"/>
      <c r="KNJ86" s="953"/>
      <c r="KNK86" s="953"/>
      <c r="KNL86" s="953"/>
      <c r="KNM86" s="953"/>
      <c r="KNN86" s="953"/>
      <c r="KNO86" s="953"/>
      <c r="KNP86" s="953"/>
      <c r="KNQ86" s="953"/>
      <c r="KNR86" s="953"/>
      <c r="KNS86" s="953"/>
      <c r="KNT86" s="953"/>
      <c r="KNU86" s="953"/>
      <c r="KNV86" s="953"/>
      <c r="KNW86" s="953"/>
      <c r="KNX86" s="953"/>
      <c r="KNY86" s="953"/>
      <c r="KNZ86" s="953"/>
      <c r="KOA86" s="953"/>
      <c r="KOB86" s="953"/>
      <c r="KOC86" s="953"/>
      <c r="KOD86" s="953"/>
      <c r="KOE86" s="953"/>
      <c r="KOF86" s="953"/>
      <c r="KOG86" s="953"/>
      <c r="KOH86" s="953"/>
      <c r="KOI86" s="953"/>
      <c r="KOJ86" s="953"/>
      <c r="KOK86" s="953"/>
      <c r="KOL86" s="953"/>
      <c r="KOM86" s="953"/>
      <c r="KON86" s="953"/>
      <c r="KOO86" s="953"/>
      <c r="KOP86" s="953"/>
      <c r="KOQ86" s="953"/>
      <c r="KOR86" s="953"/>
      <c r="KOS86" s="953"/>
      <c r="KOT86" s="953"/>
      <c r="KOU86" s="953"/>
      <c r="KOV86" s="953"/>
      <c r="KOW86" s="953"/>
      <c r="KOX86" s="953"/>
      <c r="KOY86" s="953"/>
      <c r="KOZ86" s="953"/>
      <c r="KPA86" s="953"/>
      <c r="KPB86" s="953"/>
      <c r="KPC86" s="953"/>
      <c r="KPD86" s="953"/>
      <c r="KPE86" s="953"/>
      <c r="KPF86" s="953"/>
      <c r="KPG86" s="953"/>
      <c r="KPH86" s="953"/>
      <c r="KPI86" s="953"/>
      <c r="KPJ86" s="953"/>
      <c r="KPK86" s="953"/>
      <c r="KPL86" s="953"/>
      <c r="KPM86" s="953"/>
      <c r="KPN86" s="953"/>
      <c r="KPO86" s="953"/>
      <c r="KPP86" s="953"/>
      <c r="KPQ86" s="953"/>
      <c r="KPR86" s="953"/>
      <c r="KPS86" s="953"/>
      <c r="KPT86" s="953"/>
      <c r="KPU86" s="953"/>
      <c r="KPV86" s="953"/>
      <c r="KPW86" s="953"/>
      <c r="KPX86" s="953"/>
      <c r="KPY86" s="953"/>
      <c r="KPZ86" s="953"/>
      <c r="KQA86" s="953"/>
      <c r="KQB86" s="953"/>
      <c r="KQC86" s="953"/>
      <c r="KQD86" s="953"/>
      <c r="KQE86" s="953"/>
      <c r="KQF86" s="953"/>
      <c r="KQG86" s="953"/>
      <c r="KQH86" s="953"/>
      <c r="KQI86" s="953"/>
      <c r="KQJ86" s="953"/>
      <c r="KQK86" s="953"/>
      <c r="KQL86" s="953"/>
      <c r="KQM86" s="953"/>
      <c r="KQN86" s="953"/>
      <c r="KQO86" s="953"/>
      <c r="KQP86" s="953"/>
      <c r="KQQ86" s="953"/>
      <c r="KQR86" s="953"/>
      <c r="KQS86" s="953"/>
      <c r="KQT86" s="953"/>
      <c r="KQU86" s="953"/>
      <c r="KQV86" s="953"/>
      <c r="KQW86" s="953"/>
      <c r="KQX86" s="953"/>
      <c r="KQY86" s="953"/>
      <c r="KQZ86" s="953"/>
      <c r="KRA86" s="953"/>
      <c r="KRB86" s="953"/>
      <c r="KRC86" s="953"/>
      <c r="KRD86" s="953"/>
      <c r="KRE86" s="953"/>
      <c r="KRF86" s="953"/>
      <c r="KRG86" s="953"/>
      <c r="KRH86" s="953"/>
      <c r="KRI86" s="953"/>
      <c r="KRJ86" s="953"/>
      <c r="KRK86" s="953"/>
      <c r="KRL86" s="953"/>
      <c r="KRM86" s="953"/>
      <c r="KRN86" s="953"/>
      <c r="KRO86" s="953"/>
      <c r="KRP86" s="953"/>
      <c r="KRQ86" s="953"/>
      <c r="KRR86" s="953"/>
      <c r="KRS86" s="953"/>
      <c r="KRT86" s="953"/>
      <c r="KRU86" s="953"/>
      <c r="KRV86" s="953"/>
      <c r="KRW86" s="953"/>
      <c r="KRX86" s="953"/>
      <c r="KRY86" s="953"/>
      <c r="KRZ86" s="953"/>
      <c r="KSA86" s="953"/>
      <c r="KSB86" s="953"/>
      <c r="KSC86" s="953"/>
      <c r="KSD86" s="953"/>
      <c r="KSE86" s="953"/>
      <c r="KSF86" s="953"/>
      <c r="KSG86" s="953"/>
      <c r="KSH86" s="953"/>
      <c r="KSI86" s="953"/>
      <c r="KSJ86" s="953"/>
      <c r="KSK86" s="953"/>
      <c r="KSL86" s="953"/>
      <c r="KSM86" s="953"/>
      <c r="KSN86" s="953"/>
      <c r="KSO86" s="953"/>
      <c r="KSP86" s="953"/>
      <c r="KSQ86" s="953"/>
      <c r="KSR86" s="953"/>
      <c r="KSS86" s="953"/>
      <c r="KST86" s="953"/>
      <c r="KSU86" s="953"/>
      <c r="KSV86" s="953"/>
      <c r="KSW86" s="953"/>
      <c r="KSX86" s="953"/>
      <c r="KSY86" s="953"/>
      <c r="KSZ86" s="953"/>
      <c r="KTA86" s="953"/>
      <c r="KTB86" s="953"/>
      <c r="KTC86" s="953"/>
      <c r="KTD86" s="953"/>
      <c r="KTE86" s="953"/>
      <c r="KTF86" s="953"/>
      <c r="KTG86" s="953"/>
      <c r="KTH86" s="953"/>
      <c r="KTI86" s="953"/>
      <c r="KTJ86" s="953"/>
      <c r="KTK86" s="953"/>
      <c r="KTL86" s="953"/>
      <c r="KTM86" s="953"/>
      <c r="KTN86" s="953"/>
      <c r="KTO86" s="953"/>
      <c r="KTP86" s="953"/>
      <c r="KTQ86" s="953"/>
      <c r="KTR86" s="953"/>
      <c r="KTS86" s="953"/>
      <c r="KTT86" s="953"/>
      <c r="KTU86" s="953"/>
      <c r="KTV86" s="953"/>
      <c r="KTW86" s="953"/>
      <c r="KTX86" s="953"/>
      <c r="KTY86" s="953"/>
      <c r="KTZ86" s="953"/>
      <c r="KUA86" s="953"/>
      <c r="KUB86" s="953"/>
      <c r="KUC86" s="953"/>
      <c r="KUD86" s="953"/>
      <c r="KUE86" s="953"/>
      <c r="KUF86" s="953"/>
      <c r="KUG86" s="953"/>
      <c r="KUH86" s="953"/>
      <c r="KUI86" s="953"/>
      <c r="KUJ86" s="953"/>
      <c r="KUK86" s="953"/>
      <c r="KUL86" s="953"/>
      <c r="KUM86" s="953"/>
      <c r="KUN86" s="953"/>
      <c r="KUO86" s="953"/>
      <c r="KUP86" s="953"/>
      <c r="KUQ86" s="953"/>
      <c r="KUR86" s="953"/>
      <c r="KUS86" s="953"/>
      <c r="KUT86" s="953"/>
      <c r="KUU86" s="953"/>
      <c r="KUV86" s="953"/>
      <c r="KUW86" s="953"/>
      <c r="KUX86" s="953"/>
      <c r="KUY86" s="953"/>
      <c r="KUZ86" s="953"/>
      <c r="KVA86" s="953"/>
      <c r="KVB86" s="953"/>
      <c r="KVC86" s="953"/>
      <c r="KVD86" s="953"/>
      <c r="KVE86" s="953"/>
      <c r="KVF86" s="953"/>
      <c r="KVG86" s="953"/>
      <c r="KVH86" s="953"/>
      <c r="KVI86" s="953"/>
      <c r="KVJ86" s="953"/>
      <c r="KVK86" s="953"/>
      <c r="KVL86" s="953"/>
      <c r="KVM86" s="953"/>
      <c r="KVN86" s="953"/>
      <c r="KVO86" s="953"/>
      <c r="KVP86" s="953"/>
      <c r="KVQ86" s="953"/>
      <c r="KVR86" s="953"/>
      <c r="KVS86" s="953"/>
      <c r="KVT86" s="953"/>
      <c r="KVU86" s="953"/>
      <c r="KVV86" s="953"/>
      <c r="KVW86" s="953"/>
      <c r="KVX86" s="953"/>
      <c r="KVY86" s="953"/>
      <c r="KVZ86" s="953"/>
      <c r="KWA86" s="953"/>
      <c r="KWB86" s="953"/>
      <c r="KWC86" s="953"/>
      <c r="KWD86" s="953"/>
      <c r="KWE86" s="953"/>
      <c r="KWF86" s="953"/>
      <c r="KWG86" s="953"/>
      <c r="KWH86" s="953"/>
      <c r="KWI86" s="953"/>
      <c r="KWJ86" s="953"/>
      <c r="KWK86" s="953"/>
      <c r="KWL86" s="953"/>
      <c r="KWM86" s="953"/>
      <c r="KWN86" s="953"/>
      <c r="KWO86" s="953"/>
      <c r="KWP86" s="953"/>
      <c r="KWQ86" s="953"/>
      <c r="KWR86" s="953"/>
      <c r="KWS86" s="953"/>
      <c r="KWT86" s="953"/>
      <c r="KWU86" s="953"/>
      <c r="KWV86" s="953"/>
      <c r="KWW86" s="953"/>
      <c r="KWX86" s="953"/>
      <c r="KWY86" s="953"/>
      <c r="KWZ86" s="953"/>
      <c r="KXA86" s="953"/>
      <c r="KXB86" s="953"/>
      <c r="KXC86" s="953"/>
      <c r="KXD86" s="953"/>
      <c r="KXE86" s="953"/>
      <c r="KXF86" s="953"/>
      <c r="KXG86" s="953"/>
      <c r="KXH86" s="953"/>
      <c r="KXI86" s="953"/>
      <c r="KXJ86" s="953"/>
      <c r="KXK86" s="953"/>
      <c r="KXL86" s="953"/>
      <c r="KXM86" s="953"/>
      <c r="KXN86" s="953"/>
      <c r="KXO86" s="953"/>
      <c r="KXP86" s="953"/>
      <c r="KXQ86" s="953"/>
      <c r="KXR86" s="953"/>
      <c r="KXS86" s="953"/>
      <c r="KXT86" s="953"/>
      <c r="KXU86" s="953"/>
      <c r="KXV86" s="953"/>
      <c r="KXW86" s="953"/>
      <c r="KXX86" s="953"/>
      <c r="KXY86" s="953"/>
      <c r="KXZ86" s="953"/>
      <c r="KYA86" s="953"/>
      <c r="KYB86" s="953"/>
      <c r="KYC86" s="953"/>
      <c r="KYD86" s="953"/>
      <c r="KYE86" s="953"/>
      <c r="KYF86" s="953"/>
      <c r="KYG86" s="953"/>
      <c r="KYH86" s="953"/>
      <c r="KYI86" s="953"/>
      <c r="KYJ86" s="953"/>
      <c r="KYK86" s="953"/>
      <c r="KYL86" s="953"/>
      <c r="KYM86" s="953"/>
      <c r="KYN86" s="953"/>
      <c r="KYO86" s="953"/>
      <c r="KYP86" s="953"/>
      <c r="KYQ86" s="953"/>
      <c r="KYR86" s="953"/>
      <c r="KYS86" s="953"/>
      <c r="KYT86" s="953"/>
      <c r="KYU86" s="953"/>
      <c r="KYV86" s="953"/>
      <c r="KYW86" s="953"/>
      <c r="KYX86" s="953"/>
      <c r="KYY86" s="953"/>
      <c r="KYZ86" s="953"/>
      <c r="KZA86" s="953"/>
      <c r="KZB86" s="953"/>
      <c r="KZC86" s="953"/>
      <c r="KZD86" s="953"/>
      <c r="KZE86" s="953"/>
      <c r="KZF86" s="953"/>
      <c r="KZG86" s="953"/>
      <c r="KZH86" s="953"/>
      <c r="KZI86" s="953"/>
      <c r="KZJ86" s="953"/>
      <c r="KZK86" s="953"/>
      <c r="KZL86" s="953"/>
      <c r="KZM86" s="953"/>
      <c r="KZN86" s="953"/>
      <c r="KZO86" s="953"/>
      <c r="KZP86" s="953"/>
      <c r="KZQ86" s="953"/>
      <c r="KZR86" s="953"/>
      <c r="KZS86" s="953"/>
      <c r="KZT86" s="953"/>
      <c r="KZU86" s="953"/>
      <c r="KZV86" s="953"/>
      <c r="KZW86" s="953"/>
      <c r="KZX86" s="953"/>
      <c r="KZY86" s="953"/>
      <c r="KZZ86" s="953"/>
      <c r="LAA86" s="953"/>
      <c r="LAB86" s="953"/>
      <c r="LAC86" s="953"/>
      <c r="LAD86" s="953"/>
      <c r="LAE86" s="953"/>
      <c r="LAF86" s="953"/>
      <c r="LAG86" s="953"/>
      <c r="LAH86" s="953"/>
      <c r="LAI86" s="953"/>
      <c r="LAJ86" s="953"/>
      <c r="LAK86" s="953"/>
      <c r="LAL86" s="953"/>
      <c r="LAM86" s="953"/>
      <c r="LAN86" s="953"/>
      <c r="LAO86" s="953"/>
      <c r="LAP86" s="953"/>
      <c r="LAQ86" s="953"/>
      <c r="LAR86" s="953"/>
      <c r="LAS86" s="953"/>
      <c r="LAT86" s="953"/>
      <c r="LAU86" s="953"/>
      <c r="LAV86" s="953"/>
      <c r="LAW86" s="953"/>
      <c r="LAX86" s="953"/>
      <c r="LAY86" s="953"/>
      <c r="LAZ86" s="953"/>
      <c r="LBA86" s="953"/>
      <c r="LBB86" s="953"/>
      <c r="LBC86" s="953"/>
      <c r="LBD86" s="953"/>
      <c r="LBE86" s="953"/>
      <c r="LBF86" s="953"/>
      <c r="LBG86" s="953"/>
      <c r="LBH86" s="953"/>
      <c r="LBI86" s="953"/>
      <c r="LBJ86" s="953"/>
      <c r="LBK86" s="953"/>
      <c r="LBL86" s="953"/>
      <c r="LBM86" s="953"/>
      <c r="LBN86" s="953"/>
      <c r="LBO86" s="953"/>
      <c r="LBP86" s="953"/>
      <c r="LBQ86" s="953"/>
      <c r="LBR86" s="953"/>
      <c r="LBS86" s="953"/>
      <c r="LBT86" s="953"/>
      <c r="LBU86" s="953"/>
      <c r="LBV86" s="953"/>
      <c r="LBW86" s="953"/>
      <c r="LBX86" s="953"/>
      <c r="LBY86" s="953"/>
      <c r="LBZ86" s="953"/>
      <c r="LCA86" s="953"/>
      <c r="LCB86" s="953"/>
      <c r="LCC86" s="953"/>
      <c r="LCD86" s="953"/>
      <c r="LCE86" s="953"/>
      <c r="LCF86" s="953"/>
      <c r="LCG86" s="953"/>
      <c r="LCH86" s="953"/>
      <c r="LCI86" s="953"/>
      <c r="LCJ86" s="953"/>
      <c r="LCK86" s="953"/>
      <c r="LCL86" s="953"/>
      <c r="LCM86" s="953"/>
      <c r="LCN86" s="953"/>
      <c r="LCO86" s="953"/>
      <c r="LCP86" s="953"/>
      <c r="LCQ86" s="953"/>
      <c r="LCR86" s="953"/>
      <c r="LCS86" s="953"/>
      <c r="LCT86" s="953"/>
      <c r="LCU86" s="953"/>
      <c r="LCV86" s="953"/>
      <c r="LCW86" s="953"/>
      <c r="LCX86" s="953"/>
      <c r="LCY86" s="953"/>
      <c r="LCZ86" s="953"/>
      <c r="LDA86" s="953"/>
      <c r="LDB86" s="953"/>
      <c r="LDC86" s="953"/>
      <c r="LDD86" s="953"/>
      <c r="LDE86" s="953"/>
      <c r="LDF86" s="953"/>
      <c r="LDG86" s="953"/>
      <c r="LDH86" s="953"/>
      <c r="LDI86" s="953"/>
      <c r="LDJ86" s="953"/>
      <c r="LDK86" s="953"/>
      <c r="LDL86" s="953"/>
      <c r="LDM86" s="953"/>
      <c r="LDN86" s="953"/>
      <c r="LDO86" s="953"/>
      <c r="LDP86" s="953"/>
      <c r="LDQ86" s="953"/>
      <c r="LDR86" s="953"/>
      <c r="LDS86" s="953"/>
      <c r="LDT86" s="953"/>
      <c r="LDU86" s="953"/>
      <c r="LDV86" s="953"/>
      <c r="LDW86" s="953"/>
      <c r="LDX86" s="953"/>
      <c r="LDY86" s="953"/>
      <c r="LDZ86" s="953"/>
      <c r="LEA86" s="953"/>
      <c r="LEB86" s="953"/>
      <c r="LEC86" s="953"/>
      <c r="LED86" s="953"/>
      <c r="LEE86" s="953"/>
      <c r="LEF86" s="953"/>
      <c r="LEG86" s="953"/>
      <c r="LEH86" s="953"/>
      <c r="LEI86" s="953"/>
      <c r="LEJ86" s="953"/>
      <c r="LEK86" s="953"/>
      <c r="LEL86" s="953"/>
      <c r="LEM86" s="953"/>
      <c r="LEN86" s="953"/>
      <c r="LEO86" s="953"/>
      <c r="LEP86" s="953"/>
      <c r="LEQ86" s="953"/>
      <c r="LER86" s="953"/>
      <c r="LES86" s="953"/>
      <c r="LET86" s="953"/>
      <c r="LEU86" s="953"/>
      <c r="LEV86" s="953"/>
      <c r="LEW86" s="953"/>
      <c r="LEX86" s="953"/>
      <c r="LEY86" s="953"/>
      <c r="LEZ86" s="953"/>
      <c r="LFA86" s="953"/>
      <c r="LFB86" s="953"/>
      <c r="LFC86" s="953"/>
      <c r="LFD86" s="953"/>
      <c r="LFE86" s="953"/>
      <c r="LFF86" s="953"/>
      <c r="LFG86" s="953"/>
      <c r="LFH86" s="953"/>
      <c r="LFI86" s="953"/>
      <c r="LFJ86" s="953"/>
      <c r="LFK86" s="953"/>
      <c r="LFL86" s="953"/>
      <c r="LFM86" s="953"/>
      <c r="LFN86" s="953"/>
      <c r="LFO86" s="953"/>
      <c r="LFP86" s="953"/>
      <c r="LFQ86" s="953"/>
      <c r="LFR86" s="953"/>
      <c r="LFS86" s="953"/>
      <c r="LFT86" s="953"/>
      <c r="LFU86" s="953"/>
      <c r="LFV86" s="953"/>
      <c r="LFW86" s="953"/>
      <c r="LFX86" s="953"/>
      <c r="LFY86" s="953"/>
      <c r="LFZ86" s="953"/>
      <c r="LGA86" s="953"/>
      <c r="LGB86" s="953"/>
      <c r="LGC86" s="953"/>
      <c r="LGD86" s="953"/>
      <c r="LGE86" s="953"/>
      <c r="LGF86" s="953"/>
      <c r="LGG86" s="953"/>
      <c r="LGH86" s="953"/>
      <c r="LGI86" s="953"/>
      <c r="LGJ86" s="953"/>
      <c r="LGK86" s="953"/>
      <c r="LGL86" s="953"/>
      <c r="LGM86" s="953"/>
      <c r="LGN86" s="953"/>
      <c r="LGO86" s="953"/>
      <c r="LGP86" s="953"/>
      <c r="LGQ86" s="953"/>
      <c r="LGR86" s="953"/>
      <c r="LGS86" s="953"/>
      <c r="LGT86" s="953"/>
      <c r="LGU86" s="953"/>
      <c r="LGV86" s="953"/>
      <c r="LGW86" s="953"/>
      <c r="LGX86" s="953"/>
      <c r="LGY86" s="953"/>
      <c r="LGZ86" s="953"/>
      <c r="LHA86" s="953"/>
      <c r="LHB86" s="953"/>
      <c r="LHC86" s="953"/>
      <c r="LHD86" s="953"/>
      <c r="LHE86" s="953"/>
      <c r="LHF86" s="953"/>
      <c r="LHG86" s="953"/>
      <c r="LHH86" s="953"/>
      <c r="LHI86" s="953"/>
      <c r="LHJ86" s="953"/>
      <c r="LHK86" s="953"/>
      <c r="LHL86" s="953"/>
      <c r="LHM86" s="953"/>
      <c r="LHN86" s="953"/>
      <c r="LHO86" s="953"/>
      <c r="LHP86" s="953"/>
      <c r="LHQ86" s="953"/>
      <c r="LHR86" s="953"/>
      <c r="LHS86" s="953"/>
      <c r="LHT86" s="953"/>
      <c r="LHU86" s="953"/>
      <c r="LHV86" s="953"/>
      <c r="LHW86" s="953"/>
      <c r="LHX86" s="953"/>
      <c r="LHY86" s="953"/>
      <c r="LHZ86" s="953"/>
      <c r="LIA86" s="953"/>
      <c r="LIB86" s="953"/>
      <c r="LIC86" s="953"/>
      <c r="LID86" s="953"/>
      <c r="LIE86" s="953"/>
      <c r="LIF86" s="953"/>
      <c r="LIG86" s="953"/>
      <c r="LIH86" s="953"/>
      <c r="LII86" s="953"/>
      <c r="LIJ86" s="953"/>
      <c r="LIK86" s="953"/>
      <c r="LIL86" s="953"/>
      <c r="LIM86" s="953"/>
      <c r="LIN86" s="953"/>
      <c r="LIO86" s="953"/>
      <c r="LIP86" s="953"/>
      <c r="LIQ86" s="953"/>
      <c r="LIR86" s="953"/>
      <c r="LIS86" s="953"/>
      <c r="LIT86" s="953"/>
      <c r="LIU86" s="953"/>
      <c r="LIV86" s="953"/>
      <c r="LIW86" s="953"/>
      <c r="LIX86" s="953"/>
      <c r="LIY86" s="953"/>
      <c r="LIZ86" s="953"/>
      <c r="LJA86" s="953"/>
      <c r="LJB86" s="953"/>
      <c r="LJC86" s="953"/>
      <c r="LJD86" s="953"/>
      <c r="LJE86" s="953"/>
      <c r="LJF86" s="953"/>
      <c r="LJG86" s="953"/>
      <c r="LJH86" s="953"/>
      <c r="LJI86" s="953"/>
      <c r="LJJ86" s="953"/>
      <c r="LJK86" s="953"/>
      <c r="LJL86" s="953"/>
      <c r="LJM86" s="953"/>
      <c r="LJN86" s="953"/>
      <c r="LJO86" s="953"/>
      <c r="LJP86" s="953"/>
      <c r="LJQ86" s="953"/>
      <c r="LJR86" s="953"/>
      <c r="LJS86" s="953"/>
      <c r="LJT86" s="953"/>
      <c r="LJU86" s="953"/>
      <c r="LJV86" s="953"/>
      <c r="LJW86" s="953"/>
      <c r="LJX86" s="953"/>
      <c r="LJY86" s="953"/>
      <c r="LJZ86" s="953"/>
      <c r="LKA86" s="953"/>
      <c r="LKB86" s="953"/>
      <c r="LKC86" s="953"/>
      <c r="LKD86" s="953"/>
      <c r="LKE86" s="953"/>
      <c r="LKF86" s="953"/>
      <c r="LKG86" s="953"/>
      <c r="LKH86" s="953"/>
      <c r="LKI86" s="953"/>
      <c r="LKJ86" s="953"/>
      <c r="LKK86" s="953"/>
      <c r="LKL86" s="953"/>
      <c r="LKM86" s="953"/>
      <c r="LKN86" s="953"/>
      <c r="LKO86" s="953"/>
      <c r="LKP86" s="953"/>
      <c r="LKQ86" s="953"/>
      <c r="LKR86" s="953"/>
      <c r="LKS86" s="953"/>
      <c r="LKT86" s="953"/>
      <c r="LKU86" s="953"/>
      <c r="LKV86" s="953"/>
      <c r="LKW86" s="953"/>
      <c r="LKX86" s="953"/>
      <c r="LKY86" s="953"/>
      <c r="LKZ86" s="953"/>
      <c r="LLA86" s="953"/>
      <c r="LLB86" s="953"/>
      <c r="LLC86" s="953"/>
      <c r="LLD86" s="953"/>
      <c r="LLE86" s="953"/>
      <c r="LLF86" s="953"/>
      <c r="LLG86" s="953"/>
      <c r="LLH86" s="953"/>
      <c r="LLI86" s="953"/>
      <c r="LLJ86" s="953"/>
      <c r="LLK86" s="953"/>
      <c r="LLL86" s="953"/>
      <c r="LLM86" s="953"/>
      <c r="LLN86" s="953"/>
      <c r="LLO86" s="953"/>
      <c r="LLP86" s="953"/>
      <c r="LLQ86" s="953"/>
      <c r="LLR86" s="953"/>
      <c r="LLS86" s="953"/>
      <c r="LLT86" s="953"/>
      <c r="LLU86" s="953"/>
      <c r="LLV86" s="953"/>
      <c r="LLW86" s="953"/>
      <c r="LLX86" s="953"/>
      <c r="LLY86" s="953"/>
      <c r="LLZ86" s="953"/>
      <c r="LMA86" s="953"/>
      <c r="LMB86" s="953"/>
      <c r="LMC86" s="953"/>
      <c r="LMD86" s="953"/>
      <c r="LME86" s="953"/>
      <c r="LMF86" s="953"/>
      <c r="LMG86" s="953"/>
      <c r="LMH86" s="953"/>
      <c r="LMI86" s="953"/>
      <c r="LMJ86" s="953"/>
      <c r="LMK86" s="953"/>
      <c r="LML86" s="953"/>
      <c r="LMM86" s="953"/>
      <c r="LMN86" s="953"/>
      <c r="LMO86" s="953"/>
      <c r="LMP86" s="953"/>
      <c r="LMQ86" s="953"/>
      <c r="LMR86" s="953"/>
      <c r="LMS86" s="953"/>
      <c r="LMT86" s="953"/>
      <c r="LMU86" s="953"/>
      <c r="LMV86" s="953"/>
      <c r="LMW86" s="953"/>
      <c r="LMX86" s="953"/>
      <c r="LMY86" s="953"/>
      <c r="LMZ86" s="953"/>
      <c r="LNA86" s="953"/>
      <c r="LNB86" s="953"/>
      <c r="LNC86" s="953"/>
      <c r="LND86" s="953"/>
      <c r="LNE86" s="953"/>
      <c r="LNF86" s="953"/>
      <c r="LNG86" s="953"/>
      <c r="LNH86" s="953"/>
      <c r="LNI86" s="953"/>
      <c r="LNJ86" s="953"/>
      <c r="LNK86" s="953"/>
      <c r="LNL86" s="953"/>
      <c r="LNM86" s="953"/>
      <c r="LNN86" s="953"/>
      <c r="LNO86" s="953"/>
      <c r="LNP86" s="953"/>
      <c r="LNQ86" s="953"/>
      <c r="LNR86" s="953"/>
      <c r="LNS86" s="953"/>
      <c r="LNT86" s="953"/>
      <c r="LNU86" s="953"/>
      <c r="LNV86" s="953"/>
      <c r="LNW86" s="953"/>
      <c r="LNX86" s="953"/>
      <c r="LNY86" s="953"/>
      <c r="LNZ86" s="953"/>
      <c r="LOA86" s="953"/>
      <c r="LOB86" s="953"/>
      <c r="LOC86" s="953"/>
      <c r="LOD86" s="953"/>
      <c r="LOE86" s="953"/>
      <c r="LOF86" s="953"/>
      <c r="LOG86" s="953"/>
      <c r="LOH86" s="953"/>
      <c r="LOI86" s="953"/>
      <c r="LOJ86" s="953"/>
      <c r="LOK86" s="953"/>
      <c r="LOL86" s="953"/>
      <c r="LOM86" s="953"/>
      <c r="LON86" s="953"/>
      <c r="LOO86" s="953"/>
      <c r="LOP86" s="953"/>
      <c r="LOQ86" s="953"/>
      <c r="LOR86" s="953"/>
      <c r="LOS86" s="953"/>
      <c r="LOT86" s="953"/>
      <c r="LOU86" s="953"/>
      <c r="LOV86" s="953"/>
      <c r="LOW86" s="953"/>
      <c r="LOX86" s="953"/>
      <c r="LOY86" s="953"/>
      <c r="LOZ86" s="953"/>
      <c r="LPA86" s="953"/>
      <c r="LPB86" s="953"/>
      <c r="LPC86" s="953"/>
      <c r="LPD86" s="953"/>
      <c r="LPE86" s="953"/>
      <c r="LPF86" s="953"/>
      <c r="LPG86" s="953"/>
      <c r="LPH86" s="953"/>
      <c r="LPI86" s="953"/>
      <c r="LPJ86" s="953"/>
      <c r="LPK86" s="953"/>
      <c r="LPL86" s="953"/>
      <c r="LPM86" s="953"/>
      <c r="LPN86" s="953"/>
      <c r="LPO86" s="953"/>
      <c r="LPP86" s="953"/>
      <c r="LPQ86" s="953"/>
      <c r="LPR86" s="953"/>
      <c r="LPS86" s="953"/>
      <c r="LPT86" s="953"/>
      <c r="LPU86" s="953"/>
      <c r="LPV86" s="953"/>
      <c r="LPW86" s="953"/>
      <c r="LPX86" s="953"/>
      <c r="LPY86" s="953"/>
      <c r="LPZ86" s="953"/>
      <c r="LQA86" s="953"/>
      <c r="LQB86" s="953"/>
      <c r="LQC86" s="953"/>
      <c r="LQD86" s="953"/>
      <c r="LQE86" s="953"/>
      <c r="LQF86" s="953"/>
      <c r="LQG86" s="953"/>
      <c r="LQH86" s="953"/>
      <c r="LQI86" s="953"/>
      <c r="LQJ86" s="953"/>
      <c r="LQK86" s="953"/>
      <c r="LQL86" s="953"/>
      <c r="LQM86" s="953"/>
      <c r="LQN86" s="953"/>
      <c r="LQO86" s="953"/>
      <c r="LQP86" s="953"/>
      <c r="LQQ86" s="953"/>
      <c r="LQR86" s="953"/>
      <c r="LQS86" s="953"/>
      <c r="LQT86" s="953"/>
      <c r="LQU86" s="953"/>
      <c r="LQV86" s="953"/>
      <c r="LQW86" s="953"/>
      <c r="LQX86" s="953"/>
      <c r="LQY86" s="953"/>
      <c r="LQZ86" s="953"/>
      <c r="LRA86" s="953"/>
      <c r="LRB86" s="953"/>
      <c r="LRC86" s="953"/>
      <c r="LRD86" s="953"/>
      <c r="LRE86" s="953"/>
      <c r="LRF86" s="953"/>
      <c r="LRG86" s="953"/>
      <c r="LRH86" s="953"/>
      <c r="LRI86" s="953"/>
      <c r="LRJ86" s="953"/>
      <c r="LRK86" s="953"/>
      <c r="LRL86" s="953"/>
      <c r="LRM86" s="953"/>
      <c r="LRN86" s="953"/>
      <c r="LRO86" s="953"/>
      <c r="LRP86" s="953"/>
      <c r="LRQ86" s="953"/>
      <c r="LRR86" s="953"/>
      <c r="LRS86" s="953"/>
      <c r="LRT86" s="953"/>
      <c r="LRU86" s="953"/>
      <c r="LRV86" s="953"/>
      <c r="LRW86" s="953"/>
      <c r="LRX86" s="953"/>
      <c r="LRY86" s="953"/>
      <c r="LRZ86" s="953"/>
      <c r="LSA86" s="953"/>
      <c r="LSB86" s="953"/>
      <c r="LSC86" s="953"/>
      <c r="LSD86" s="953"/>
      <c r="LSE86" s="953"/>
      <c r="LSF86" s="953"/>
      <c r="LSG86" s="953"/>
      <c r="LSH86" s="953"/>
      <c r="LSI86" s="953"/>
      <c r="LSJ86" s="953"/>
      <c r="LSK86" s="953"/>
      <c r="LSL86" s="953"/>
      <c r="LSM86" s="953"/>
      <c r="LSN86" s="953"/>
      <c r="LSO86" s="953"/>
      <c r="LSP86" s="953"/>
      <c r="LSQ86" s="953"/>
      <c r="LSR86" s="953"/>
      <c r="LSS86" s="953"/>
      <c r="LST86" s="953"/>
      <c r="LSU86" s="953"/>
      <c r="LSV86" s="953"/>
      <c r="LSW86" s="953"/>
      <c r="LSX86" s="953"/>
      <c r="LSY86" s="953"/>
      <c r="LSZ86" s="953"/>
      <c r="LTA86" s="953"/>
      <c r="LTB86" s="953"/>
      <c r="LTC86" s="953"/>
      <c r="LTD86" s="953"/>
      <c r="LTE86" s="953"/>
      <c r="LTF86" s="953"/>
      <c r="LTG86" s="953"/>
      <c r="LTH86" s="953"/>
      <c r="LTI86" s="953"/>
      <c r="LTJ86" s="953"/>
      <c r="LTK86" s="953"/>
      <c r="LTL86" s="953"/>
      <c r="LTM86" s="953"/>
      <c r="LTN86" s="953"/>
      <c r="LTO86" s="953"/>
      <c r="LTP86" s="953"/>
      <c r="LTQ86" s="953"/>
      <c r="LTR86" s="953"/>
      <c r="LTS86" s="953"/>
      <c r="LTT86" s="953"/>
      <c r="LTU86" s="953"/>
      <c r="LTV86" s="953"/>
      <c r="LTW86" s="953"/>
      <c r="LTX86" s="953"/>
      <c r="LTY86" s="953"/>
      <c r="LTZ86" s="953"/>
      <c r="LUA86" s="953"/>
      <c r="LUB86" s="953"/>
      <c r="LUC86" s="953"/>
      <c r="LUD86" s="953"/>
      <c r="LUE86" s="953"/>
      <c r="LUF86" s="953"/>
      <c r="LUG86" s="953"/>
      <c r="LUH86" s="953"/>
      <c r="LUI86" s="953"/>
      <c r="LUJ86" s="953"/>
      <c r="LUK86" s="953"/>
      <c r="LUL86" s="953"/>
      <c r="LUM86" s="953"/>
      <c r="LUN86" s="953"/>
      <c r="LUO86" s="953"/>
      <c r="LUP86" s="953"/>
      <c r="LUQ86" s="953"/>
      <c r="LUR86" s="953"/>
      <c r="LUS86" s="953"/>
      <c r="LUT86" s="953"/>
      <c r="LUU86" s="953"/>
      <c r="LUV86" s="953"/>
      <c r="LUW86" s="953"/>
      <c r="LUX86" s="953"/>
      <c r="LUY86" s="953"/>
      <c r="LUZ86" s="953"/>
      <c r="LVA86" s="953"/>
      <c r="LVB86" s="953"/>
      <c r="LVC86" s="953"/>
      <c r="LVD86" s="953"/>
      <c r="LVE86" s="953"/>
      <c r="LVF86" s="953"/>
      <c r="LVG86" s="953"/>
      <c r="LVH86" s="953"/>
      <c r="LVI86" s="953"/>
      <c r="LVJ86" s="953"/>
      <c r="LVK86" s="953"/>
      <c r="LVL86" s="953"/>
      <c r="LVM86" s="953"/>
      <c r="LVN86" s="953"/>
      <c r="LVO86" s="953"/>
      <c r="LVP86" s="953"/>
      <c r="LVQ86" s="953"/>
      <c r="LVR86" s="953"/>
      <c r="LVS86" s="953"/>
      <c r="LVT86" s="953"/>
      <c r="LVU86" s="953"/>
      <c r="LVV86" s="953"/>
      <c r="LVW86" s="953"/>
      <c r="LVX86" s="953"/>
      <c r="LVY86" s="953"/>
      <c r="LVZ86" s="953"/>
      <c r="LWA86" s="953"/>
      <c r="LWB86" s="953"/>
      <c r="LWC86" s="953"/>
      <c r="LWD86" s="953"/>
      <c r="LWE86" s="953"/>
      <c r="LWF86" s="953"/>
      <c r="LWG86" s="953"/>
      <c r="LWH86" s="953"/>
      <c r="LWI86" s="953"/>
      <c r="LWJ86" s="953"/>
      <c r="LWK86" s="953"/>
      <c r="LWL86" s="953"/>
      <c r="LWM86" s="953"/>
      <c r="LWN86" s="953"/>
      <c r="LWO86" s="953"/>
      <c r="LWP86" s="953"/>
      <c r="LWQ86" s="953"/>
      <c r="LWR86" s="953"/>
      <c r="LWS86" s="953"/>
      <c r="LWT86" s="953"/>
      <c r="LWU86" s="953"/>
      <c r="LWV86" s="953"/>
      <c r="LWW86" s="953"/>
      <c r="LWX86" s="953"/>
      <c r="LWY86" s="953"/>
      <c r="LWZ86" s="953"/>
      <c r="LXA86" s="953"/>
      <c r="LXB86" s="953"/>
      <c r="LXC86" s="953"/>
      <c r="LXD86" s="953"/>
      <c r="LXE86" s="953"/>
      <c r="LXF86" s="953"/>
      <c r="LXG86" s="953"/>
      <c r="LXH86" s="953"/>
      <c r="LXI86" s="953"/>
      <c r="LXJ86" s="953"/>
      <c r="LXK86" s="953"/>
      <c r="LXL86" s="953"/>
      <c r="LXM86" s="953"/>
      <c r="LXN86" s="953"/>
      <c r="LXO86" s="953"/>
      <c r="LXP86" s="953"/>
      <c r="LXQ86" s="953"/>
      <c r="LXR86" s="953"/>
      <c r="LXS86" s="953"/>
      <c r="LXT86" s="953"/>
      <c r="LXU86" s="953"/>
      <c r="LXV86" s="953"/>
      <c r="LXW86" s="953"/>
      <c r="LXX86" s="953"/>
      <c r="LXY86" s="953"/>
      <c r="LXZ86" s="953"/>
      <c r="LYA86" s="953"/>
      <c r="LYB86" s="953"/>
      <c r="LYC86" s="953"/>
      <c r="LYD86" s="953"/>
      <c r="LYE86" s="953"/>
      <c r="LYF86" s="953"/>
      <c r="LYG86" s="953"/>
      <c r="LYH86" s="953"/>
      <c r="LYI86" s="953"/>
      <c r="LYJ86" s="953"/>
      <c r="LYK86" s="953"/>
      <c r="LYL86" s="953"/>
      <c r="LYM86" s="953"/>
      <c r="LYN86" s="953"/>
      <c r="LYO86" s="953"/>
      <c r="LYP86" s="953"/>
      <c r="LYQ86" s="953"/>
      <c r="LYR86" s="953"/>
      <c r="LYS86" s="953"/>
      <c r="LYT86" s="953"/>
      <c r="LYU86" s="953"/>
      <c r="LYV86" s="953"/>
      <c r="LYW86" s="953"/>
      <c r="LYX86" s="953"/>
      <c r="LYY86" s="953"/>
      <c r="LYZ86" s="953"/>
      <c r="LZA86" s="953"/>
      <c r="LZB86" s="953"/>
      <c r="LZC86" s="953"/>
      <c r="LZD86" s="953"/>
      <c r="LZE86" s="953"/>
      <c r="LZF86" s="953"/>
      <c r="LZG86" s="953"/>
      <c r="LZH86" s="953"/>
      <c r="LZI86" s="953"/>
      <c r="LZJ86" s="953"/>
      <c r="LZK86" s="953"/>
      <c r="LZL86" s="953"/>
      <c r="LZM86" s="953"/>
      <c r="LZN86" s="953"/>
      <c r="LZO86" s="953"/>
      <c r="LZP86" s="953"/>
      <c r="LZQ86" s="953"/>
      <c r="LZR86" s="953"/>
      <c r="LZS86" s="953"/>
      <c r="LZT86" s="953"/>
      <c r="LZU86" s="953"/>
      <c r="LZV86" s="953"/>
      <c r="LZW86" s="953"/>
      <c r="LZX86" s="953"/>
      <c r="LZY86" s="953"/>
      <c r="LZZ86" s="953"/>
      <c r="MAA86" s="953"/>
      <c r="MAB86" s="953"/>
      <c r="MAC86" s="953"/>
      <c r="MAD86" s="953"/>
      <c r="MAE86" s="953"/>
      <c r="MAF86" s="953"/>
      <c r="MAG86" s="953"/>
      <c r="MAH86" s="953"/>
      <c r="MAI86" s="953"/>
      <c r="MAJ86" s="953"/>
      <c r="MAK86" s="953"/>
      <c r="MAL86" s="953"/>
      <c r="MAM86" s="953"/>
      <c r="MAN86" s="953"/>
      <c r="MAO86" s="953"/>
      <c r="MAP86" s="953"/>
      <c r="MAQ86" s="953"/>
      <c r="MAR86" s="953"/>
      <c r="MAS86" s="953"/>
      <c r="MAT86" s="953"/>
      <c r="MAU86" s="953"/>
      <c r="MAV86" s="953"/>
      <c r="MAW86" s="953"/>
      <c r="MAX86" s="953"/>
      <c r="MAY86" s="953"/>
      <c r="MAZ86" s="953"/>
      <c r="MBA86" s="953"/>
      <c r="MBB86" s="953"/>
      <c r="MBC86" s="953"/>
      <c r="MBD86" s="953"/>
      <c r="MBE86" s="953"/>
      <c r="MBF86" s="953"/>
      <c r="MBG86" s="953"/>
      <c r="MBH86" s="953"/>
      <c r="MBI86" s="953"/>
      <c r="MBJ86" s="953"/>
      <c r="MBK86" s="953"/>
      <c r="MBL86" s="953"/>
      <c r="MBM86" s="953"/>
      <c r="MBN86" s="953"/>
      <c r="MBO86" s="953"/>
      <c r="MBP86" s="953"/>
      <c r="MBQ86" s="953"/>
      <c r="MBR86" s="953"/>
      <c r="MBS86" s="953"/>
      <c r="MBT86" s="953"/>
      <c r="MBU86" s="953"/>
      <c r="MBV86" s="953"/>
      <c r="MBW86" s="953"/>
      <c r="MBX86" s="953"/>
      <c r="MBY86" s="953"/>
      <c r="MBZ86" s="953"/>
      <c r="MCA86" s="953"/>
      <c r="MCB86" s="953"/>
      <c r="MCC86" s="953"/>
      <c r="MCD86" s="953"/>
      <c r="MCE86" s="953"/>
      <c r="MCF86" s="953"/>
      <c r="MCG86" s="953"/>
      <c r="MCH86" s="953"/>
      <c r="MCI86" s="953"/>
      <c r="MCJ86" s="953"/>
      <c r="MCK86" s="953"/>
      <c r="MCL86" s="953"/>
      <c r="MCM86" s="953"/>
      <c r="MCN86" s="953"/>
      <c r="MCO86" s="953"/>
      <c r="MCP86" s="953"/>
      <c r="MCQ86" s="953"/>
      <c r="MCR86" s="953"/>
      <c r="MCS86" s="953"/>
      <c r="MCT86" s="953"/>
      <c r="MCU86" s="953"/>
      <c r="MCV86" s="953"/>
      <c r="MCW86" s="953"/>
      <c r="MCX86" s="953"/>
      <c r="MCY86" s="953"/>
      <c r="MCZ86" s="953"/>
      <c r="MDA86" s="953"/>
      <c r="MDB86" s="953"/>
      <c r="MDC86" s="953"/>
      <c r="MDD86" s="953"/>
      <c r="MDE86" s="953"/>
      <c r="MDF86" s="953"/>
      <c r="MDG86" s="953"/>
      <c r="MDH86" s="953"/>
      <c r="MDI86" s="953"/>
      <c r="MDJ86" s="953"/>
      <c r="MDK86" s="953"/>
      <c r="MDL86" s="953"/>
      <c r="MDM86" s="953"/>
      <c r="MDN86" s="953"/>
      <c r="MDO86" s="953"/>
      <c r="MDP86" s="953"/>
      <c r="MDQ86" s="953"/>
      <c r="MDR86" s="953"/>
      <c r="MDS86" s="953"/>
      <c r="MDT86" s="953"/>
      <c r="MDU86" s="953"/>
      <c r="MDV86" s="953"/>
      <c r="MDW86" s="953"/>
      <c r="MDX86" s="953"/>
      <c r="MDY86" s="953"/>
      <c r="MDZ86" s="953"/>
      <c r="MEA86" s="953"/>
      <c r="MEB86" s="953"/>
      <c r="MEC86" s="953"/>
      <c r="MED86" s="953"/>
      <c r="MEE86" s="953"/>
      <c r="MEF86" s="953"/>
      <c r="MEG86" s="953"/>
      <c r="MEH86" s="953"/>
      <c r="MEI86" s="953"/>
      <c r="MEJ86" s="953"/>
      <c r="MEK86" s="953"/>
      <c r="MEL86" s="953"/>
      <c r="MEM86" s="953"/>
      <c r="MEN86" s="953"/>
      <c r="MEO86" s="953"/>
      <c r="MEP86" s="953"/>
      <c r="MEQ86" s="953"/>
      <c r="MER86" s="953"/>
      <c r="MES86" s="953"/>
      <c r="MET86" s="953"/>
      <c r="MEU86" s="953"/>
      <c r="MEV86" s="953"/>
      <c r="MEW86" s="953"/>
      <c r="MEX86" s="953"/>
      <c r="MEY86" s="953"/>
      <c r="MEZ86" s="953"/>
      <c r="MFA86" s="953"/>
      <c r="MFB86" s="953"/>
      <c r="MFC86" s="953"/>
      <c r="MFD86" s="953"/>
      <c r="MFE86" s="953"/>
      <c r="MFF86" s="953"/>
      <c r="MFG86" s="953"/>
      <c r="MFH86" s="953"/>
      <c r="MFI86" s="953"/>
      <c r="MFJ86" s="953"/>
      <c r="MFK86" s="953"/>
      <c r="MFL86" s="953"/>
      <c r="MFM86" s="953"/>
      <c r="MFN86" s="953"/>
      <c r="MFO86" s="953"/>
      <c r="MFP86" s="953"/>
      <c r="MFQ86" s="953"/>
      <c r="MFR86" s="953"/>
      <c r="MFS86" s="953"/>
      <c r="MFT86" s="953"/>
      <c r="MFU86" s="953"/>
      <c r="MFV86" s="953"/>
      <c r="MFW86" s="953"/>
      <c r="MFX86" s="953"/>
      <c r="MFY86" s="953"/>
      <c r="MFZ86" s="953"/>
      <c r="MGA86" s="953"/>
      <c r="MGB86" s="953"/>
      <c r="MGC86" s="953"/>
      <c r="MGD86" s="953"/>
      <c r="MGE86" s="953"/>
      <c r="MGF86" s="953"/>
      <c r="MGG86" s="953"/>
      <c r="MGH86" s="953"/>
      <c r="MGI86" s="953"/>
      <c r="MGJ86" s="953"/>
      <c r="MGK86" s="953"/>
      <c r="MGL86" s="953"/>
      <c r="MGM86" s="953"/>
      <c r="MGN86" s="953"/>
      <c r="MGO86" s="953"/>
      <c r="MGP86" s="953"/>
      <c r="MGQ86" s="953"/>
      <c r="MGR86" s="953"/>
      <c r="MGS86" s="953"/>
      <c r="MGT86" s="953"/>
      <c r="MGU86" s="953"/>
      <c r="MGV86" s="953"/>
      <c r="MGW86" s="953"/>
      <c r="MGX86" s="953"/>
      <c r="MGY86" s="953"/>
      <c r="MGZ86" s="953"/>
      <c r="MHA86" s="953"/>
      <c r="MHB86" s="953"/>
      <c r="MHC86" s="953"/>
      <c r="MHD86" s="953"/>
      <c r="MHE86" s="953"/>
      <c r="MHF86" s="953"/>
      <c r="MHG86" s="953"/>
      <c r="MHH86" s="953"/>
      <c r="MHI86" s="953"/>
      <c r="MHJ86" s="953"/>
      <c r="MHK86" s="953"/>
      <c r="MHL86" s="953"/>
      <c r="MHM86" s="953"/>
      <c r="MHN86" s="953"/>
      <c r="MHO86" s="953"/>
      <c r="MHP86" s="953"/>
      <c r="MHQ86" s="953"/>
      <c r="MHR86" s="953"/>
      <c r="MHS86" s="953"/>
      <c r="MHT86" s="953"/>
      <c r="MHU86" s="953"/>
      <c r="MHV86" s="953"/>
      <c r="MHW86" s="953"/>
      <c r="MHX86" s="953"/>
      <c r="MHY86" s="953"/>
      <c r="MHZ86" s="953"/>
      <c r="MIA86" s="953"/>
      <c r="MIB86" s="953"/>
      <c r="MIC86" s="953"/>
      <c r="MID86" s="953"/>
      <c r="MIE86" s="953"/>
      <c r="MIF86" s="953"/>
      <c r="MIG86" s="953"/>
      <c r="MIH86" s="953"/>
      <c r="MII86" s="953"/>
      <c r="MIJ86" s="953"/>
      <c r="MIK86" s="953"/>
      <c r="MIL86" s="953"/>
      <c r="MIM86" s="953"/>
      <c r="MIN86" s="953"/>
      <c r="MIO86" s="953"/>
      <c r="MIP86" s="953"/>
      <c r="MIQ86" s="953"/>
      <c r="MIR86" s="953"/>
      <c r="MIS86" s="953"/>
      <c r="MIT86" s="953"/>
      <c r="MIU86" s="953"/>
      <c r="MIV86" s="953"/>
      <c r="MIW86" s="953"/>
      <c r="MIX86" s="953"/>
      <c r="MIY86" s="953"/>
      <c r="MIZ86" s="953"/>
      <c r="MJA86" s="953"/>
      <c r="MJB86" s="953"/>
      <c r="MJC86" s="953"/>
      <c r="MJD86" s="953"/>
      <c r="MJE86" s="953"/>
      <c r="MJF86" s="953"/>
      <c r="MJG86" s="953"/>
      <c r="MJH86" s="953"/>
      <c r="MJI86" s="953"/>
      <c r="MJJ86" s="953"/>
      <c r="MJK86" s="953"/>
      <c r="MJL86" s="953"/>
      <c r="MJM86" s="953"/>
      <c r="MJN86" s="953"/>
      <c r="MJO86" s="953"/>
      <c r="MJP86" s="953"/>
      <c r="MJQ86" s="953"/>
      <c r="MJR86" s="953"/>
      <c r="MJS86" s="953"/>
      <c r="MJT86" s="953"/>
      <c r="MJU86" s="953"/>
      <c r="MJV86" s="953"/>
      <c r="MJW86" s="953"/>
      <c r="MJX86" s="953"/>
      <c r="MJY86" s="953"/>
      <c r="MJZ86" s="953"/>
      <c r="MKA86" s="953"/>
      <c r="MKB86" s="953"/>
      <c r="MKC86" s="953"/>
      <c r="MKD86" s="953"/>
      <c r="MKE86" s="953"/>
      <c r="MKF86" s="953"/>
      <c r="MKG86" s="953"/>
      <c r="MKH86" s="953"/>
      <c r="MKI86" s="953"/>
      <c r="MKJ86" s="953"/>
      <c r="MKK86" s="953"/>
      <c r="MKL86" s="953"/>
      <c r="MKM86" s="953"/>
      <c r="MKN86" s="953"/>
      <c r="MKO86" s="953"/>
      <c r="MKP86" s="953"/>
      <c r="MKQ86" s="953"/>
      <c r="MKR86" s="953"/>
      <c r="MKS86" s="953"/>
      <c r="MKT86" s="953"/>
      <c r="MKU86" s="953"/>
      <c r="MKV86" s="953"/>
      <c r="MKW86" s="953"/>
      <c r="MKX86" s="953"/>
      <c r="MKY86" s="953"/>
      <c r="MKZ86" s="953"/>
      <c r="MLA86" s="953"/>
      <c r="MLB86" s="953"/>
      <c r="MLC86" s="953"/>
      <c r="MLD86" s="953"/>
      <c r="MLE86" s="953"/>
      <c r="MLF86" s="953"/>
      <c r="MLG86" s="953"/>
      <c r="MLH86" s="953"/>
      <c r="MLI86" s="953"/>
      <c r="MLJ86" s="953"/>
      <c r="MLK86" s="953"/>
      <c r="MLL86" s="953"/>
      <c r="MLM86" s="953"/>
      <c r="MLN86" s="953"/>
      <c r="MLO86" s="953"/>
      <c r="MLP86" s="953"/>
      <c r="MLQ86" s="953"/>
      <c r="MLR86" s="953"/>
      <c r="MLS86" s="953"/>
      <c r="MLT86" s="953"/>
      <c r="MLU86" s="953"/>
      <c r="MLV86" s="953"/>
      <c r="MLW86" s="953"/>
      <c r="MLX86" s="953"/>
      <c r="MLY86" s="953"/>
      <c r="MLZ86" s="953"/>
      <c r="MMA86" s="953"/>
      <c r="MMB86" s="953"/>
      <c r="MMC86" s="953"/>
      <c r="MMD86" s="953"/>
      <c r="MME86" s="953"/>
      <c r="MMF86" s="953"/>
      <c r="MMG86" s="953"/>
      <c r="MMH86" s="953"/>
      <c r="MMI86" s="953"/>
      <c r="MMJ86" s="953"/>
      <c r="MMK86" s="953"/>
      <c r="MML86" s="953"/>
      <c r="MMM86" s="953"/>
      <c r="MMN86" s="953"/>
      <c r="MMO86" s="953"/>
      <c r="MMP86" s="953"/>
      <c r="MMQ86" s="953"/>
      <c r="MMR86" s="953"/>
      <c r="MMS86" s="953"/>
      <c r="MMT86" s="953"/>
      <c r="MMU86" s="953"/>
      <c r="MMV86" s="953"/>
      <c r="MMW86" s="953"/>
      <c r="MMX86" s="953"/>
      <c r="MMY86" s="953"/>
      <c r="MMZ86" s="953"/>
      <c r="MNA86" s="953"/>
      <c r="MNB86" s="953"/>
      <c r="MNC86" s="953"/>
      <c r="MND86" s="953"/>
      <c r="MNE86" s="953"/>
      <c r="MNF86" s="953"/>
      <c r="MNG86" s="953"/>
      <c r="MNH86" s="953"/>
      <c r="MNI86" s="953"/>
      <c r="MNJ86" s="953"/>
      <c r="MNK86" s="953"/>
      <c r="MNL86" s="953"/>
      <c r="MNM86" s="953"/>
      <c r="MNN86" s="953"/>
      <c r="MNO86" s="953"/>
      <c r="MNP86" s="953"/>
      <c r="MNQ86" s="953"/>
      <c r="MNR86" s="953"/>
      <c r="MNS86" s="953"/>
      <c r="MNT86" s="953"/>
      <c r="MNU86" s="953"/>
      <c r="MNV86" s="953"/>
      <c r="MNW86" s="953"/>
      <c r="MNX86" s="953"/>
      <c r="MNY86" s="953"/>
      <c r="MNZ86" s="953"/>
      <c r="MOA86" s="953"/>
      <c r="MOB86" s="953"/>
      <c r="MOC86" s="953"/>
      <c r="MOD86" s="953"/>
      <c r="MOE86" s="953"/>
      <c r="MOF86" s="953"/>
      <c r="MOG86" s="953"/>
      <c r="MOH86" s="953"/>
      <c r="MOI86" s="953"/>
      <c r="MOJ86" s="953"/>
      <c r="MOK86" s="953"/>
      <c r="MOL86" s="953"/>
      <c r="MOM86" s="953"/>
      <c r="MON86" s="953"/>
      <c r="MOO86" s="953"/>
      <c r="MOP86" s="953"/>
      <c r="MOQ86" s="953"/>
      <c r="MOR86" s="953"/>
      <c r="MOS86" s="953"/>
      <c r="MOT86" s="953"/>
      <c r="MOU86" s="953"/>
      <c r="MOV86" s="953"/>
      <c r="MOW86" s="953"/>
      <c r="MOX86" s="953"/>
      <c r="MOY86" s="953"/>
      <c r="MOZ86" s="953"/>
      <c r="MPA86" s="953"/>
      <c r="MPB86" s="953"/>
      <c r="MPC86" s="953"/>
      <c r="MPD86" s="953"/>
      <c r="MPE86" s="953"/>
      <c r="MPF86" s="953"/>
      <c r="MPG86" s="953"/>
      <c r="MPH86" s="953"/>
      <c r="MPI86" s="953"/>
      <c r="MPJ86" s="953"/>
      <c r="MPK86" s="953"/>
      <c r="MPL86" s="953"/>
      <c r="MPM86" s="953"/>
      <c r="MPN86" s="953"/>
      <c r="MPO86" s="953"/>
      <c r="MPP86" s="953"/>
      <c r="MPQ86" s="953"/>
      <c r="MPR86" s="953"/>
      <c r="MPS86" s="953"/>
      <c r="MPT86" s="953"/>
      <c r="MPU86" s="953"/>
      <c r="MPV86" s="953"/>
      <c r="MPW86" s="953"/>
      <c r="MPX86" s="953"/>
      <c r="MPY86" s="953"/>
      <c r="MPZ86" s="953"/>
      <c r="MQA86" s="953"/>
      <c r="MQB86" s="953"/>
      <c r="MQC86" s="953"/>
      <c r="MQD86" s="953"/>
      <c r="MQE86" s="953"/>
      <c r="MQF86" s="953"/>
      <c r="MQG86" s="953"/>
      <c r="MQH86" s="953"/>
      <c r="MQI86" s="953"/>
      <c r="MQJ86" s="953"/>
      <c r="MQK86" s="953"/>
      <c r="MQL86" s="953"/>
      <c r="MQM86" s="953"/>
      <c r="MQN86" s="953"/>
      <c r="MQO86" s="953"/>
      <c r="MQP86" s="953"/>
      <c r="MQQ86" s="953"/>
      <c r="MQR86" s="953"/>
      <c r="MQS86" s="953"/>
      <c r="MQT86" s="953"/>
      <c r="MQU86" s="953"/>
      <c r="MQV86" s="953"/>
      <c r="MQW86" s="953"/>
      <c r="MQX86" s="953"/>
      <c r="MQY86" s="953"/>
      <c r="MQZ86" s="953"/>
      <c r="MRA86" s="953"/>
      <c r="MRB86" s="953"/>
      <c r="MRC86" s="953"/>
      <c r="MRD86" s="953"/>
      <c r="MRE86" s="953"/>
      <c r="MRF86" s="953"/>
      <c r="MRG86" s="953"/>
      <c r="MRH86" s="953"/>
      <c r="MRI86" s="953"/>
      <c r="MRJ86" s="953"/>
      <c r="MRK86" s="953"/>
      <c r="MRL86" s="953"/>
      <c r="MRM86" s="953"/>
      <c r="MRN86" s="953"/>
      <c r="MRO86" s="953"/>
      <c r="MRP86" s="953"/>
      <c r="MRQ86" s="953"/>
      <c r="MRR86" s="953"/>
      <c r="MRS86" s="953"/>
      <c r="MRT86" s="953"/>
      <c r="MRU86" s="953"/>
      <c r="MRV86" s="953"/>
      <c r="MRW86" s="953"/>
      <c r="MRX86" s="953"/>
      <c r="MRY86" s="953"/>
      <c r="MRZ86" s="953"/>
      <c r="MSA86" s="953"/>
      <c r="MSB86" s="953"/>
      <c r="MSC86" s="953"/>
      <c r="MSD86" s="953"/>
      <c r="MSE86" s="953"/>
      <c r="MSF86" s="953"/>
      <c r="MSG86" s="953"/>
      <c r="MSH86" s="953"/>
      <c r="MSI86" s="953"/>
      <c r="MSJ86" s="953"/>
      <c r="MSK86" s="953"/>
      <c r="MSL86" s="953"/>
      <c r="MSM86" s="953"/>
      <c r="MSN86" s="953"/>
      <c r="MSO86" s="953"/>
      <c r="MSP86" s="953"/>
      <c r="MSQ86" s="953"/>
      <c r="MSR86" s="953"/>
      <c r="MSS86" s="953"/>
      <c r="MST86" s="953"/>
      <c r="MSU86" s="953"/>
      <c r="MSV86" s="953"/>
      <c r="MSW86" s="953"/>
      <c r="MSX86" s="953"/>
      <c r="MSY86" s="953"/>
      <c r="MSZ86" s="953"/>
      <c r="MTA86" s="953"/>
      <c r="MTB86" s="953"/>
      <c r="MTC86" s="953"/>
      <c r="MTD86" s="953"/>
      <c r="MTE86" s="953"/>
      <c r="MTF86" s="953"/>
      <c r="MTG86" s="953"/>
      <c r="MTH86" s="953"/>
      <c r="MTI86" s="953"/>
      <c r="MTJ86" s="953"/>
      <c r="MTK86" s="953"/>
      <c r="MTL86" s="953"/>
      <c r="MTM86" s="953"/>
      <c r="MTN86" s="953"/>
      <c r="MTO86" s="953"/>
      <c r="MTP86" s="953"/>
      <c r="MTQ86" s="953"/>
      <c r="MTR86" s="953"/>
      <c r="MTS86" s="953"/>
      <c r="MTT86" s="953"/>
      <c r="MTU86" s="953"/>
      <c r="MTV86" s="953"/>
      <c r="MTW86" s="953"/>
      <c r="MTX86" s="953"/>
      <c r="MTY86" s="953"/>
      <c r="MTZ86" s="953"/>
      <c r="MUA86" s="953"/>
      <c r="MUB86" s="953"/>
      <c r="MUC86" s="953"/>
      <c r="MUD86" s="953"/>
      <c r="MUE86" s="953"/>
      <c r="MUF86" s="953"/>
      <c r="MUG86" s="953"/>
      <c r="MUH86" s="953"/>
      <c r="MUI86" s="953"/>
      <c r="MUJ86" s="953"/>
      <c r="MUK86" s="953"/>
      <c r="MUL86" s="953"/>
      <c r="MUM86" s="953"/>
      <c r="MUN86" s="953"/>
      <c r="MUO86" s="953"/>
      <c r="MUP86" s="953"/>
      <c r="MUQ86" s="953"/>
      <c r="MUR86" s="953"/>
      <c r="MUS86" s="953"/>
      <c r="MUT86" s="953"/>
      <c r="MUU86" s="953"/>
      <c r="MUV86" s="953"/>
      <c r="MUW86" s="953"/>
      <c r="MUX86" s="953"/>
      <c r="MUY86" s="953"/>
      <c r="MUZ86" s="953"/>
      <c r="MVA86" s="953"/>
      <c r="MVB86" s="953"/>
      <c r="MVC86" s="953"/>
      <c r="MVD86" s="953"/>
      <c r="MVE86" s="953"/>
      <c r="MVF86" s="953"/>
      <c r="MVG86" s="953"/>
      <c r="MVH86" s="953"/>
      <c r="MVI86" s="953"/>
      <c r="MVJ86" s="953"/>
      <c r="MVK86" s="953"/>
      <c r="MVL86" s="953"/>
      <c r="MVM86" s="953"/>
      <c r="MVN86" s="953"/>
      <c r="MVO86" s="953"/>
      <c r="MVP86" s="953"/>
      <c r="MVQ86" s="953"/>
      <c r="MVR86" s="953"/>
      <c r="MVS86" s="953"/>
      <c r="MVT86" s="953"/>
      <c r="MVU86" s="953"/>
      <c r="MVV86" s="953"/>
      <c r="MVW86" s="953"/>
      <c r="MVX86" s="953"/>
      <c r="MVY86" s="953"/>
      <c r="MVZ86" s="953"/>
      <c r="MWA86" s="953"/>
      <c r="MWB86" s="953"/>
      <c r="MWC86" s="953"/>
      <c r="MWD86" s="953"/>
      <c r="MWE86" s="953"/>
      <c r="MWF86" s="953"/>
      <c r="MWG86" s="953"/>
      <c r="MWH86" s="953"/>
      <c r="MWI86" s="953"/>
      <c r="MWJ86" s="953"/>
      <c r="MWK86" s="953"/>
      <c r="MWL86" s="953"/>
      <c r="MWM86" s="953"/>
      <c r="MWN86" s="953"/>
      <c r="MWO86" s="953"/>
      <c r="MWP86" s="953"/>
      <c r="MWQ86" s="953"/>
      <c r="MWR86" s="953"/>
      <c r="MWS86" s="953"/>
      <c r="MWT86" s="953"/>
      <c r="MWU86" s="953"/>
      <c r="MWV86" s="953"/>
      <c r="MWW86" s="953"/>
      <c r="MWX86" s="953"/>
      <c r="MWY86" s="953"/>
      <c r="MWZ86" s="953"/>
      <c r="MXA86" s="953"/>
      <c r="MXB86" s="953"/>
      <c r="MXC86" s="953"/>
      <c r="MXD86" s="953"/>
      <c r="MXE86" s="953"/>
      <c r="MXF86" s="953"/>
      <c r="MXG86" s="953"/>
      <c r="MXH86" s="953"/>
      <c r="MXI86" s="953"/>
      <c r="MXJ86" s="953"/>
      <c r="MXK86" s="953"/>
      <c r="MXL86" s="953"/>
      <c r="MXM86" s="953"/>
      <c r="MXN86" s="953"/>
      <c r="MXO86" s="953"/>
      <c r="MXP86" s="953"/>
      <c r="MXQ86" s="953"/>
      <c r="MXR86" s="953"/>
      <c r="MXS86" s="953"/>
      <c r="MXT86" s="953"/>
      <c r="MXU86" s="953"/>
      <c r="MXV86" s="953"/>
      <c r="MXW86" s="953"/>
      <c r="MXX86" s="953"/>
      <c r="MXY86" s="953"/>
      <c r="MXZ86" s="953"/>
      <c r="MYA86" s="953"/>
      <c r="MYB86" s="953"/>
      <c r="MYC86" s="953"/>
      <c r="MYD86" s="953"/>
      <c r="MYE86" s="953"/>
      <c r="MYF86" s="953"/>
      <c r="MYG86" s="953"/>
      <c r="MYH86" s="953"/>
      <c r="MYI86" s="953"/>
      <c r="MYJ86" s="953"/>
      <c r="MYK86" s="953"/>
      <c r="MYL86" s="953"/>
      <c r="MYM86" s="953"/>
      <c r="MYN86" s="953"/>
      <c r="MYO86" s="953"/>
      <c r="MYP86" s="953"/>
      <c r="MYQ86" s="953"/>
      <c r="MYR86" s="953"/>
      <c r="MYS86" s="953"/>
      <c r="MYT86" s="953"/>
      <c r="MYU86" s="953"/>
      <c r="MYV86" s="953"/>
      <c r="MYW86" s="953"/>
      <c r="MYX86" s="953"/>
      <c r="MYY86" s="953"/>
      <c r="MYZ86" s="953"/>
      <c r="MZA86" s="953"/>
      <c r="MZB86" s="953"/>
      <c r="MZC86" s="953"/>
      <c r="MZD86" s="953"/>
      <c r="MZE86" s="953"/>
      <c r="MZF86" s="953"/>
      <c r="MZG86" s="953"/>
      <c r="MZH86" s="953"/>
      <c r="MZI86" s="953"/>
      <c r="MZJ86" s="953"/>
      <c r="MZK86" s="953"/>
      <c r="MZL86" s="953"/>
      <c r="MZM86" s="953"/>
      <c r="MZN86" s="953"/>
      <c r="MZO86" s="953"/>
      <c r="MZP86" s="953"/>
      <c r="MZQ86" s="953"/>
      <c r="MZR86" s="953"/>
      <c r="MZS86" s="953"/>
      <c r="MZT86" s="953"/>
      <c r="MZU86" s="953"/>
      <c r="MZV86" s="953"/>
      <c r="MZW86" s="953"/>
      <c r="MZX86" s="953"/>
      <c r="MZY86" s="953"/>
      <c r="MZZ86" s="953"/>
      <c r="NAA86" s="953"/>
      <c r="NAB86" s="953"/>
      <c r="NAC86" s="953"/>
      <c r="NAD86" s="953"/>
      <c r="NAE86" s="953"/>
      <c r="NAF86" s="953"/>
      <c r="NAG86" s="953"/>
      <c r="NAH86" s="953"/>
      <c r="NAI86" s="953"/>
      <c r="NAJ86" s="953"/>
      <c r="NAK86" s="953"/>
      <c r="NAL86" s="953"/>
      <c r="NAM86" s="953"/>
      <c r="NAN86" s="953"/>
      <c r="NAO86" s="953"/>
      <c r="NAP86" s="953"/>
      <c r="NAQ86" s="953"/>
      <c r="NAR86" s="953"/>
      <c r="NAS86" s="953"/>
      <c r="NAT86" s="953"/>
      <c r="NAU86" s="953"/>
      <c r="NAV86" s="953"/>
      <c r="NAW86" s="953"/>
      <c r="NAX86" s="953"/>
      <c r="NAY86" s="953"/>
      <c r="NAZ86" s="953"/>
      <c r="NBA86" s="953"/>
      <c r="NBB86" s="953"/>
      <c r="NBC86" s="953"/>
      <c r="NBD86" s="953"/>
      <c r="NBE86" s="953"/>
      <c r="NBF86" s="953"/>
      <c r="NBG86" s="953"/>
      <c r="NBH86" s="953"/>
      <c r="NBI86" s="953"/>
      <c r="NBJ86" s="953"/>
      <c r="NBK86" s="953"/>
      <c r="NBL86" s="953"/>
      <c r="NBM86" s="953"/>
      <c r="NBN86" s="953"/>
      <c r="NBO86" s="953"/>
      <c r="NBP86" s="953"/>
      <c r="NBQ86" s="953"/>
      <c r="NBR86" s="953"/>
      <c r="NBS86" s="953"/>
      <c r="NBT86" s="953"/>
      <c r="NBU86" s="953"/>
      <c r="NBV86" s="953"/>
      <c r="NBW86" s="953"/>
      <c r="NBX86" s="953"/>
      <c r="NBY86" s="953"/>
      <c r="NBZ86" s="953"/>
      <c r="NCA86" s="953"/>
      <c r="NCB86" s="953"/>
      <c r="NCC86" s="953"/>
      <c r="NCD86" s="953"/>
      <c r="NCE86" s="953"/>
      <c r="NCF86" s="953"/>
      <c r="NCG86" s="953"/>
      <c r="NCH86" s="953"/>
      <c r="NCI86" s="953"/>
      <c r="NCJ86" s="953"/>
      <c r="NCK86" s="953"/>
      <c r="NCL86" s="953"/>
      <c r="NCM86" s="953"/>
      <c r="NCN86" s="953"/>
      <c r="NCO86" s="953"/>
      <c r="NCP86" s="953"/>
      <c r="NCQ86" s="953"/>
      <c r="NCR86" s="953"/>
      <c r="NCS86" s="953"/>
      <c r="NCT86" s="953"/>
      <c r="NCU86" s="953"/>
      <c r="NCV86" s="953"/>
      <c r="NCW86" s="953"/>
      <c r="NCX86" s="953"/>
      <c r="NCY86" s="953"/>
      <c r="NCZ86" s="953"/>
      <c r="NDA86" s="953"/>
      <c r="NDB86" s="953"/>
      <c r="NDC86" s="953"/>
      <c r="NDD86" s="953"/>
      <c r="NDE86" s="953"/>
      <c r="NDF86" s="953"/>
      <c r="NDG86" s="953"/>
      <c r="NDH86" s="953"/>
      <c r="NDI86" s="953"/>
      <c r="NDJ86" s="953"/>
      <c r="NDK86" s="953"/>
      <c r="NDL86" s="953"/>
      <c r="NDM86" s="953"/>
      <c r="NDN86" s="953"/>
      <c r="NDO86" s="953"/>
      <c r="NDP86" s="953"/>
      <c r="NDQ86" s="953"/>
      <c r="NDR86" s="953"/>
      <c r="NDS86" s="953"/>
      <c r="NDT86" s="953"/>
      <c r="NDU86" s="953"/>
      <c r="NDV86" s="953"/>
      <c r="NDW86" s="953"/>
      <c r="NDX86" s="953"/>
      <c r="NDY86" s="953"/>
      <c r="NDZ86" s="953"/>
      <c r="NEA86" s="953"/>
      <c r="NEB86" s="953"/>
      <c r="NEC86" s="953"/>
      <c r="NED86" s="953"/>
      <c r="NEE86" s="953"/>
      <c r="NEF86" s="953"/>
      <c r="NEG86" s="953"/>
      <c r="NEH86" s="953"/>
      <c r="NEI86" s="953"/>
      <c r="NEJ86" s="953"/>
      <c r="NEK86" s="953"/>
      <c r="NEL86" s="953"/>
      <c r="NEM86" s="953"/>
      <c r="NEN86" s="953"/>
      <c r="NEO86" s="953"/>
      <c r="NEP86" s="953"/>
      <c r="NEQ86" s="953"/>
      <c r="NER86" s="953"/>
      <c r="NES86" s="953"/>
      <c r="NET86" s="953"/>
      <c r="NEU86" s="953"/>
      <c r="NEV86" s="953"/>
      <c r="NEW86" s="953"/>
      <c r="NEX86" s="953"/>
      <c r="NEY86" s="953"/>
      <c r="NEZ86" s="953"/>
      <c r="NFA86" s="953"/>
      <c r="NFB86" s="953"/>
      <c r="NFC86" s="953"/>
      <c r="NFD86" s="953"/>
      <c r="NFE86" s="953"/>
      <c r="NFF86" s="953"/>
      <c r="NFG86" s="953"/>
      <c r="NFH86" s="953"/>
      <c r="NFI86" s="953"/>
      <c r="NFJ86" s="953"/>
      <c r="NFK86" s="953"/>
      <c r="NFL86" s="953"/>
      <c r="NFM86" s="953"/>
      <c r="NFN86" s="953"/>
      <c r="NFO86" s="953"/>
      <c r="NFP86" s="953"/>
      <c r="NFQ86" s="953"/>
      <c r="NFR86" s="953"/>
      <c r="NFS86" s="953"/>
      <c r="NFT86" s="953"/>
      <c r="NFU86" s="953"/>
      <c r="NFV86" s="953"/>
      <c r="NFW86" s="953"/>
      <c r="NFX86" s="953"/>
      <c r="NFY86" s="953"/>
      <c r="NFZ86" s="953"/>
      <c r="NGA86" s="953"/>
      <c r="NGB86" s="953"/>
      <c r="NGC86" s="953"/>
      <c r="NGD86" s="953"/>
      <c r="NGE86" s="953"/>
      <c r="NGF86" s="953"/>
      <c r="NGG86" s="953"/>
      <c r="NGH86" s="953"/>
      <c r="NGI86" s="953"/>
      <c r="NGJ86" s="953"/>
      <c r="NGK86" s="953"/>
      <c r="NGL86" s="953"/>
      <c r="NGM86" s="953"/>
      <c r="NGN86" s="953"/>
      <c r="NGO86" s="953"/>
      <c r="NGP86" s="953"/>
      <c r="NGQ86" s="953"/>
      <c r="NGR86" s="953"/>
      <c r="NGS86" s="953"/>
      <c r="NGT86" s="953"/>
      <c r="NGU86" s="953"/>
      <c r="NGV86" s="953"/>
      <c r="NGW86" s="953"/>
      <c r="NGX86" s="953"/>
      <c r="NGY86" s="953"/>
      <c r="NGZ86" s="953"/>
      <c r="NHA86" s="953"/>
      <c r="NHB86" s="953"/>
      <c r="NHC86" s="953"/>
      <c r="NHD86" s="953"/>
      <c r="NHE86" s="953"/>
      <c r="NHF86" s="953"/>
      <c r="NHG86" s="953"/>
      <c r="NHH86" s="953"/>
      <c r="NHI86" s="953"/>
      <c r="NHJ86" s="953"/>
      <c r="NHK86" s="953"/>
      <c r="NHL86" s="953"/>
      <c r="NHM86" s="953"/>
      <c r="NHN86" s="953"/>
      <c r="NHO86" s="953"/>
      <c r="NHP86" s="953"/>
      <c r="NHQ86" s="953"/>
      <c r="NHR86" s="953"/>
      <c r="NHS86" s="953"/>
      <c r="NHT86" s="953"/>
      <c r="NHU86" s="953"/>
      <c r="NHV86" s="953"/>
      <c r="NHW86" s="953"/>
      <c r="NHX86" s="953"/>
      <c r="NHY86" s="953"/>
      <c r="NHZ86" s="953"/>
      <c r="NIA86" s="953"/>
      <c r="NIB86" s="953"/>
      <c r="NIC86" s="953"/>
      <c r="NID86" s="953"/>
      <c r="NIE86" s="953"/>
      <c r="NIF86" s="953"/>
      <c r="NIG86" s="953"/>
      <c r="NIH86" s="953"/>
      <c r="NII86" s="953"/>
      <c r="NIJ86" s="953"/>
      <c r="NIK86" s="953"/>
      <c r="NIL86" s="953"/>
      <c r="NIM86" s="953"/>
      <c r="NIN86" s="953"/>
      <c r="NIO86" s="953"/>
      <c r="NIP86" s="953"/>
      <c r="NIQ86" s="953"/>
      <c r="NIR86" s="953"/>
      <c r="NIS86" s="953"/>
      <c r="NIT86" s="953"/>
      <c r="NIU86" s="953"/>
      <c r="NIV86" s="953"/>
      <c r="NIW86" s="953"/>
      <c r="NIX86" s="953"/>
      <c r="NIY86" s="953"/>
      <c r="NIZ86" s="953"/>
      <c r="NJA86" s="953"/>
      <c r="NJB86" s="953"/>
      <c r="NJC86" s="953"/>
      <c r="NJD86" s="953"/>
      <c r="NJE86" s="953"/>
      <c r="NJF86" s="953"/>
      <c r="NJG86" s="953"/>
      <c r="NJH86" s="953"/>
      <c r="NJI86" s="953"/>
      <c r="NJJ86" s="953"/>
      <c r="NJK86" s="953"/>
      <c r="NJL86" s="953"/>
      <c r="NJM86" s="953"/>
      <c r="NJN86" s="953"/>
      <c r="NJO86" s="953"/>
      <c r="NJP86" s="953"/>
      <c r="NJQ86" s="953"/>
      <c r="NJR86" s="953"/>
      <c r="NJS86" s="953"/>
      <c r="NJT86" s="953"/>
      <c r="NJU86" s="953"/>
      <c r="NJV86" s="953"/>
      <c r="NJW86" s="953"/>
      <c r="NJX86" s="953"/>
      <c r="NJY86" s="953"/>
      <c r="NJZ86" s="953"/>
      <c r="NKA86" s="953"/>
      <c r="NKB86" s="953"/>
      <c r="NKC86" s="953"/>
      <c r="NKD86" s="953"/>
      <c r="NKE86" s="953"/>
      <c r="NKF86" s="953"/>
      <c r="NKG86" s="953"/>
      <c r="NKH86" s="953"/>
      <c r="NKI86" s="953"/>
      <c r="NKJ86" s="953"/>
      <c r="NKK86" s="953"/>
      <c r="NKL86" s="953"/>
      <c r="NKM86" s="953"/>
      <c r="NKN86" s="953"/>
      <c r="NKO86" s="953"/>
      <c r="NKP86" s="953"/>
      <c r="NKQ86" s="953"/>
      <c r="NKR86" s="953"/>
      <c r="NKS86" s="953"/>
      <c r="NKT86" s="953"/>
      <c r="NKU86" s="953"/>
      <c r="NKV86" s="953"/>
      <c r="NKW86" s="953"/>
      <c r="NKX86" s="953"/>
      <c r="NKY86" s="953"/>
      <c r="NKZ86" s="953"/>
      <c r="NLA86" s="953"/>
      <c r="NLB86" s="953"/>
      <c r="NLC86" s="953"/>
      <c r="NLD86" s="953"/>
      <c r="NLE86" s="953"/>
      <c r="NLF86" s="953"/>
      <c r="NLG86" s="953"/>
      <c r="NLH86" s="953"/>
      <c r="NLI86" s="953"/>
      <c r="NLJ86" s="953"/>
      <c r="NLK86" s="953"/>
      <c r="NLL86" s="953"/>
      <c r="NLM86" s="953"/>
      <c r="NLN86" s="953"/>
      <c r="NLO86" s="953"/>
      <c r="NLP86" s="953"/>
      <c r="NLQ86" s="953"/>
      <c r="NLR86" s="953"/>
      <c r="NLS86" s="953"/>
      <c r="NLT86" s="953"/>
      <c r="NLU86" s="953"/>
      <c r="NLV86" s="953"/>
      <c r="NLW86" s="953"/>
      <c r="NLX86" s="953"/>
      <c r="NLY86" s="953"/>
      <c r="NLZ86" s="953"/>
      <c r="NMA86" s="953"/>
      <c r="NMB86" s="953"/>
      <c r="NMC86" s="953"/>
      <c r="NMD86" s="953"/>
      <c r="NME86" s="953"/>
      <c r="NMF86" s="953"/>
      <c r="NMG86" s="953"/>
      <c r="NMH86" s="953"/>
      <c r="NMI86" s="953"/>
      <c r="NMJ86" s="953"/>
      <c r="NMK86" s="953"/>
      <c r="NML86" s="953"/>
      <c r="NMM86" s="953"/>
      <c r="NMN86" s="953"/>
      <c r="NMO86" s="953"/>
      <c r="NMP86" s="953"/>
      <c r="NMQ86" s="953"/>
      <c r="NMR86" s="953"/>
      <c r="NMS86" s="953"/>
      <c r="NMT86" s="953"/>
      <c r="NMU86" s="953"/>
      <c r="NMV86" s="953"/>
      <c r="NMW86" s="953"/>
      <c r="NMX86" s="953"/>
      <c r="NMY86" s="953"/>
      <c r="NMZ86" s="953"/>
      <c r="NNA86" s="953"/>
      <c r="NNB86" s="953"/>
      <c r="NNC86" s="953"/>
      <c r="NND86" s="953"/>
      <c r="NNE86" s="953"/>
      <c r="NNF86" s="953"/>
      <c r="NNG86" s="953"/>
      <c r="NNH86" s="953"/>
      <c r="NNI86" s="953"/>
      <c r="NNJ86" s="953"/>
      <c r="NNK86" s="953"/>
      <c r="NNL86" s="953"/>
      <c r="NNM86" s="953"/>
      <c r="NNN86" s="953"/>
      <c r="NNO86" s="953"/>
      <c r="NNP86" s="953"/>
      <c r="NNQ86" s="953"/>
      <c r="NNR86" s="953"/>
      <c r="NNS86" s="953"/>
      <c r="NNT86" s="953"/>
      <c r="NNU86" s="953"/>
      <c r="NNV86" s="953"/>
      <c r="NNW86" s="953"/>
      <c r="NNX86" s="953"/>
      <c r="NNY86" s="953"/>
      <c r="NNZ86" s="953"/>
      <c r="NOA86" s="953"/>
      <c r="NOB86" s="953"/>
      <c r="NOC86" s="953"/>
      <c r="NOD86" s="953"/>
      <c r="NOE86" s="953"/>
      <c r="NOF86" s="953"/>
      <c r="NOG86" s="953"/>
      <c r="NOH86" s="953"/>
      <c r="NOI86" s="953"/>
      <c r="NOJ86" s="953"/>
      <c r="NOK86" s="953"/>
      <c r="NOL86" s="953"/>
      <c r="NOM86" s="953"/>
      <c r="NON86" s="953"/>
      <c r="NOO86" s="953"/>
      <c r="NOP86" s="953"/>
      <c r="NOQ86" s="953"/>
      <c r="NOR86" s="953"/>
      <c r="NOS86" s="953"/>
      <c r="NOT86" s="953"/>
      <c r="NOU86" s="953"/>
      <c r="NOV86" s="953"/>
      <c r="NOW86" s="953"/>
      <c r="NOX86" s="953"/>
      <c r="NOY86" s="953"/>
      <c r="NOZ86" s="953"/>
      <c r="NPA86" s="953"/>
      <c r="NPB86" s="953"/>
      <c r="NPC86" s="953"/>
      <c r="NPD86" s="953"/>
      <c r="NPE86" s="953"/>
      <c r="NPF86" s="953"/>
      <c r="NPG86" s="953"/>
      <c r="NPH86" s="953"/>
      <c r="NPI86" s="953"/>
      <c r="NPJ86" s="953"/>
      <c r="NPK86" s="953"/>
      <c r="NPL86" s="953"/>
      <c r="NPM86" s="953"/>
      <c r="NPN86" s="953"/>
      <c r="NPO86" s="953"/>
      <c r="NPP86" s="953"/>
      <c r="NPQ86" s="953"/>
      <c r="NPR86" s="953"/>
      <c r="NPS86" s="953"/>
      <c r="NPT86" s="953"/>
      <c r="NPU86" s="953"/>
      <c r="NPV86" s="953"/>
      <c r="NPW86" s="953"/>
      <c r="NPX86" s="953"/>
      <c r="NPY86" s="953"/>
      <c r="NPZ86" s="953"/>
      <c r="NQA86" s="953"/>
      <c r="NQB86" s="953"/>
      <c r="NQC86" s="953"/>
      <c r="NQD86" s="953"/>
      <c r="NQE86" s="953"/>
      <c r="NQF86" s="953"/>
      <c r="NQG86" s="953"/>
      <c r="NQH86" s="953"/>
      <c r="NQI86" s="953"/>
      <c r="NQJ86" s="953"/>
      <c r="NQK86" s="953"/>
      <c r="NQL86" s="953"/>
      <c r="NQM86" s="953"/>
      <c r="NQN86" s="953"/>
      <c r="NQO86" s="953"/>
      <c r="NQP86" s="953"/>
      <c r="NQQ86" s="953"/>
      <c r="NQR86" s="953"/>
      <c r="NQS86" s="953"/>
      <c r="NQT86" s="953"/>
      <c r="NQU86" s="953"/>
      <c r="NQV86" s="953"/>
      <c r="NQW86" s="953"/>
      <c r="NQX86" s="953"/>
      <c r="NQY86" s="953"/>
      <c r="NQZ86" s="953"/>
      <c r="NRA86" s="953"/>
      <c r="NRB86" s="953"/>
      <c r="NRC86" s="953"/>
      <c r="NRD86" s="953"/>
      <c r="NRE86" s="953"/>
      <c r="NRF86" s="953"/>
      <c r="NRG86" s="953"/>
      <c r="NRH86" s="953"/>
      <c r="NRI86" s="953"/>
      <c r="NRJ86" s="953"/>
      <c r="NRK86" s="953"/>
      <c r="NRL86" s="953"/>
      <c r="NRM86" s="953"/>
      <c r="NRN86" s="953"/>
      <c r="NRO86" s="953"/>
      <c r="NRP86" s="953"/>
      <c r="NRQ86" s="953"/>
      <c r="NRR86" s="953"/>
      <c r="NRS86" s="953"/>
      <c r="NRT86" s="953"/>
      <c r="NRU86" s="953"/>
      <c r="NRV86" s="953"/>
      <c r="NRW86" s="953"/>
      <c r="NRX86" s="953"/>
      <c r="NRY86" s="953"/>
      <c r="NRZ86" s="953"/>
      <c r="NSA86" s="953"/>
      <c r="NSB86" s="953"/>
      <c r="NSC86" s="953"/>
      <c r="NSD86" s="953"/>
      <c r="NSE86" s="953"/>
      <c r="NSF86" s="953"/>
      <c r="NSG86" s="953"/>
      <c r="NSH86" s="953"/>
      <c r="NSI86" s="953"/>
      <c r="NSJ86" s="953"/>
      <c r="NSK86" s="953"/>
      <c r="NSL86" s="953"/>
      <c r="NSM86" s="953"/>
      <c r="NSN86" s="953"/>
      <c r="NSO86" s="953"/>
      <c r="NSP86" s="953"/>
      <c r="NSQ86" s="953"/>
      <c r="NSR86" s="953"/>
      <c r="NSS86" s="953"/>
      <c r="NST86" s="953"/>
      <c r="NSU86" s="953"/>
      <c r="NSV86" s="953"/>
      <c r="NSW86" s="953"/>
      <c r="NSX86" s="953"/>
      <c r="NSY86" s="953"/>
      <c r="NSZ86" s="953"/>
      <c r="NTA86" s="953"/>
      <c r="NTB86" s="953"/>
      <c r="NTC86" s="953"/>
      <c r="NTD86" s="953"/>
      <c r="NTE86" s="953"/>
      <c r="NTF86" s="953"/>
      <c r="NTG86" s="953"/>
      <c r="NTH86" s="953"/>
      <c r="NTI86" s="953"/>
      <c r="NTJ86" s="953"/>
      <c r="NTK86" s="953"/>
      <c r="NTL86" s="953"/>
      <c r="NTM86" s="953"/>
      <c r="NTN86" s="953"/>
      <c r="NTO86" s="953"/>
      <c r="NTP86" s="953"/>
      <c r="NTQ86" s="953"/>
      <c r="NTR86" s="953"/>
      <c r="NTS86" s="953"/>
      <c r="NTT86" s="953"/>
      <c r="NTU86" s="953"/>
      <c r="NTV86" s="953"/>
      <c r="NTW86" s="953"/>
      <c r="NTX86" s="953"/>
      <c r="NTY86" s="953"/>
      <c r="NTZ86" s="953"/>
      <c r="NUA86" s="953"/>
      <c r="NUB86" s="953"/>
      <c r="NUC86" s="953"/>
      <c r="NUD86" s="953"/>
      <c r="NUE86" s="953"/>
      <c r="NUF86" s="953"/>
      <c r="NUG86" s="953"/>
      <c r="NUH86" s="953"/>
      <c r="NUI86" s="953"/>
      <c r="NUJ86" s="953"/>
      <c r="NUK86" s="953"/>
      <c r="NUL86" s="953"/>
      <c r="NUM86" s="953"/>
      <c r="NUN86" s="953"/>
      <c r="NUO86" s="953"/>
      <c r="NUP86" s="953"/>
      <c r="NUQ86" s="953"/>
      <c r="NUR86" s="953"/>
      <c r="NUS86" s="953"/>
      <c r="NUT86" s="953"/>
      <c r="NUU86" s="953"/>
      <c r="NUV86" s="953"/>
      <c r="NUW86" s="953"/>
      <c r="NUX86" s="953"/>
      <c r="NUY86" s="953"/>
      <c r="NUZ86" s="953"/>
      <c r="NVA86" s="953"/>
      <c r="NVB86" s="953"/>
      <c r="NVC86" s="953"/>
      <c r="NVD86" s="953"/>
      <c r="NVE86" s="953"/>
      <c r="NVF86" s="953"/>
      <c r="NVG86" s="953"/>
      <c r="NVH86" s="953"/>
      <c r="NVI86" s="953"/>
      <c r="NVJ86" s="953"/>
      <c r="NVK86" s="953"/>
      <c r="NVL86" s="953"/>
      <c r="NVM86" s="953"/>
      <c r="NVN86" s="953"/>
      <c r="NVO86" s="953"/>
      <c r="NVP86" s="953"/>
      <c r="NVQ86" s="953"/>
      <c r="NVR86" s="953"/>
      <c r="NVS86" s="953"/>
      <c r="NVT86" s="953"/>
      <c r="NVU86" s="953"/>
      <c r="NVV86" s="953"/>
      <c r="NVW86" s="953"/>
      <c r="NVX86" s="953"/>
      <c r="NVY86" s="953"/>
      <c r="NVZ86" s="953"/>
      <c r="NWA86" s="953"/>
      <c r="NWB86" s="953"/>
      <c r="NWC86" s="953"/>
      <c r="NWD86" s="953"/>
      <c r="NWE86" s="953"/>
      <c r="NWF86" s="953"/>
      <c r="NWG86" s="953"/>
      <c r="NWH86" s="953"/>
      <c r="NWI86" s="953"/>
      <c r="NWJ86" s="953"/>
      <c r="NWK86" s="953"/>
      <c r="NWL86" s="953"/>
      <c r="NWM86" s="953"/>
      <c r="NWN86" s="953"/>
      <c r="NWO86" s="953"/>
      <c r="NWP86" s="953"/>
      <c r="NWQ86" s="953"/>
      <c r="NWR86" s="953"/>
      <c r="NWS86" s="953"/>
      <c r="NWT86" s="953"/>
      <c r="NWU86" s="953"/>
      <c r="NWV86" s="953"/>
      <c r="NWW86" s="953"/>
      <c r="NWX86" s="953"/>
      <c r="NWY86" s="953"/>
      <c r="NWZ86" s="953"/>
      <c r="NXA86" s="953"/>
      <c r="NXB86" s="953"/>
      <c r="NXC86" s="953"/>
      <c r="NXD86" s="953"/>
      <c r="NXE86" s="953"/>
      <c r="NXF86" s="953"/>
      <c r="NXG86" s="953"/>
      <c r="NXH86" s="953"/>
      <c r="NXI86" s="953"/>
      <c r="NXJ86" s="953"/>
      <c r="NXK86" s="953"/>
      <c r="NXL86" s="953"/>
      <c r="NXM86" s="953"/>
      <c r="NXN86" s="953"/>
      <c r="NXO86" s="953"/>
      <c r="NXP86" s="953"/>
      <c r="NXQ86" s="953"/>
      <c r="NXR86" s="953"/>
      <c r="NXS86" s="953"/>
      <c r="NXT86" s="953"/>
      <c r="NXU86" s="953"/>
      <c r="NXV86" s="953"/>
      <c r="NXW86" s="953"/>
      <c r="NXX86" s="953"/>
      <c r="NXY86" s="953"/>
      <c r="NXZ86" s="953"/>
      <c r="NYA86" s="953"/>
      <c r="NYB86" s="953"/>
      <c r="NYC86" s="953"/>
      <c r="NYD86" s="953"/>
      <c r="NYE86" s="953"/>
      <c r="NYF86" s="953"/>
      <c r="NYG86" s="953"/>
      <c r="NYH86" s="953"/>
      <c r="NYI86" s="953"/>
      <c r="NYJ86" s="953"/>
      <c r="NYK86" s="953"/>
      <c r="NYL86" s="953"/>
      <c r="NYM86" s="953"/>
      <c r="NYN86" s="953"/>
      <c r="NYO86" s="953"/>
      <c r="NYP86" s="953"/>
      <c r="NYQ86" s="953"/>
      <c r="NYR86" s="953"/>
      <c r="NYS86" s="953"/>
      <c r="NYT86" s="953"/>
      <c r="NYU86" s="953"/>
      <c r="NYV86" s="953"/>
      <c r="NYW86" s="953"/>
      <c r="NYX86" s="953"/>
      <c r="NYY86" s="953"/>
      <c r="NYZ86" s="953"/>
      <c r="NZA86" s="953"/>
      <c r="NZB86" s="953"/>
      <c r="NZC86" s="953"/>
      <c r="NZD86" s="953"/>
      <c r="NZE86" s="953"/>
      <c r="NZF86" s="953"/>
      <c r="NZG86" s="953"/>
      <c r="NZH86" s="953"/>
      <c r="NZI86" s="953"/>
      <c r="NZJ86" s="953"/>
      <c r="NZK86" s="953"/>
      <c r="NZL86" s="953"/>
      <c r="NZM86" s="953"/>
      <c r="NZN86" s="953"/>
      <c r="NZO86" s="953"/>
      <c r="NZP86" s="953"/>
      <c r="NZQ86" s="953"/>
      <c r="NZR86" s="953"/>
      <c r="NZS86" s="953"/>
      <c r="NZT86" s="953"/>
      <c r="NZU86" s="953"/>
      <c r="NZV86" s="953"/>
      <c r="NZW86" s="953"/>
      <c r="NZX86" s="953"/>
      <c r="NZY86" s="953"/>
      <c r="NZZ86" s="953"/>
      <c r="OAA86" s="953"/>
      <c r="OAB86" s="953"/>
      <c r="OAC86" s="953"/>
      <c r="OAD86" s="953"/>
      <c r="OAE86" s="953"/>
      <c r="OAF86" s="953"/>
      <c r="OAG86" s="953"/>
      <c r="OAH86" s="953"/>
      <c r="OAI86" s="953"/>
      <c r="OAJ86" s="953"/>
      <c r="OAK86" s="953"/>
      <c r="OAL86" s="953"/>
      <c r="OAM86" s="953"/>
      <c r="OAN86" s="953"/>
      <c r="OAO86" s="953"/>
      <c r="OAP86" s="953"/>
      <c r="OAQ86" s="953"/>
      <c r="OAR86" s="953"/>
      <c r="OAS86" s="953"/>
      <c r="OAT86" s="953"/>
      <c r="OAU86" s="953"/>
      <c r="OAV86" s="953"/>
      <c r="OAW86" s="953"/>
      <c r="OAX86" s="953"/>
      <c r="OAY86" s="953"/>
      <c r="OAZ86" s="953"/>
      <c r="OBA86" s="953"/>
      <c r="OBB86" s="953"/>
      <c r="OBC86" s="953"/>
      <c r="OBD86" s="953"/>
      <c r="OBE86" s="953"/>
      <c r="OBF86" s="953"/>
      <c r="OBG86" s="953"/>
      <c r="OBH86" s="953"/>
      <c r="OBI86" s="953"/>
      <c r="OBJ86" s="953"/>
      <c r="OBK86" s="953"/>
      <c r="OBL86" s="953"/>
      <c r="OBM86" s="953"/>
      <c r="OBN86" s="953"/>
      <c r="OBO86" s="953"/>
      <c r="OBP86" s="953"/>
      <c r="OBQ86" s="953"/>
      <c r="OBR86" s="953"/>
      <c r="OBS86" s="953"/>
      <c r="OBT86" s="953"/>
      <c r="OBU86" s="953"/>
      <c r="OBV86" s="953"/>
      <c r="OBW86" s="953"/>
      <c r="OBX86" s="953"/>
      <c r="OBY86" s="953"/>
      <c r="OBZ86" s="953"/>
      <c r="OCA86" s="953"/>
      <c r="OCB86" s="953"/>
      <c r="OCC86" s="953"/>
      <c r="OCD86" s="953"/>
      <c r="OCE86" s="953"/>
      <c r="OCF86" s="953"/>
      <c r="OCG86" s="953"/>
      <c r="OCH86" s="953"/>
      <c r="OCI86" s="953"/>
      <c r="OCJ86" s="953"/>
      <c r="OCK86" s="953"/>
      <c r="OCL86" s="953"/>
      <c r="OCM86" s="953"/>
      <c r="OCN86" s="953"/>
      <c r="OCO86" s="953"/>
      <c r="OCP86" s="953"/>
      <c r="OCQ86" s="953"/>
      <c r="OCR86" s="953"/>
      <c r="OCS86" s="953"/>
      <c r="OCT86" s="953"/>
      <c r="OCU86" s="953"/>
      <c r="OCV86" s="953"/>
      <c r="OCW86" s="953"/>
      <c r="OCX86" s="953"/>
      <c r="OCY86" s="953"/>
      <c r="OCZ86" s="953"/>
      <c r="ODA86" s="953"/>
      <c r="ODB86" s="953"/>
      <c r="ODC86" s="953"/>
      <c r="ODD86" s="953"/>
      <c r="ODE86" s="953"/>
      <c r="ODF86" s="953"/>
      <c r="ODG86" s="953"/>
      <c r="ODH86" s="953"/>
      <c r="ODI86" s="953"/>
      <c r="ODJ86" s="953"/>
      <c r="ODK86" s="953"/>
      <c r="ODL86" s="953"/>
      <c r="ODM86" s="953"/>
      <c r="ODN86" s="953"/>
      <c r="ODO86" s="953"/>
      <c r="ODP86" s="953"/>
      <c r="ODQ86" s="953"/>
      <c r="ODR86" s="953"/>
      <c r="ODS86" s="953"/>
      <c r="ODT86" s="953"/>
      <c r="ODU86" s="953"/>
      <c r="ODV86" s="953"/>
      <c r="ODW86" s="953"/>
      <c r="ODX86" s="953"/>
      <c r="ODY86" s="953"/>
      <c r="ODZ86" s="953"/>
      <c r="OEA86" s="953"/>
      <c r="OEB86" s="953"/>
      <c r="OEC86" s="953"/>
      <c r="OED86" s="953"/>
      <c r="OEE86" s="953"/>
      <c r="OEF86" s="953"/>
      <c r="OEG86" s="953"/>
      <c r="OEH86" s="953"/>
      <c r="OEI86" s="953"/>
      <c r="OEJ86" s="953"/>
      <c r="OEK86" s="953"/>
      <c r="OEL86" s="953"/>
      <c r="OEM86" s="953"/>
      <c r="OEN86" s="953"/>
      <c r="OEO86" s="953"/>
      <c r="OEP86" s="953"/>
      <c r="OEQ86" s="953"/>
      <c r="OER86" s="953"/>
      <c r="OES86" s="953"/>
      <c r="OET86" s="953"/>
      <c r="OEU86" s="953"/>
      <c r="OEV86" s="953"/>
      <c r="OEW86" s="953"/>
      <c r="OEX86" s="953"/>
      <c r="OEY86" s="953"/>
      <c r="OEZ86" s="953"/>
      <c r="OFA86" s="953"/>
      <c r="OFB86" s="953"/>
      <c r="OFC86" s="953"/>
      <c r="OFD86" s="953"/>
      <c r="OFE86" s="953"/>
      <c r="OFF86" s="953"/>
      <c r="OFG86" s="953"/>
      <c r="OFH86" s="953"/>
      <c r="OFI86" s="953"/>
      <c r="OFJ86" s="953"/>
      <c r="OFK86" s="953"/>
      <c r="OFL86" s="953"/>
      <c r="OFM86" s="953"/>
      <c r="OFN86" s="953"/>
      <c r="OFO86" s="953"/>
      <c r="OFP86" s="953"/>
      <c r="OFQ86" s="953"/>
      <c r="OFR86" s="953"/>
      <c r="OFS86" s="953"/>
      <c r="OFT86" s="953"/>
      <c r="OFU86" s="953"/>
      <c r="OFV86" s="953"/>
      <c r="OFW86" s="953"/>
      <c r="OFX86" s="953"/>
      <c r="OFY86" s="953"/>
      <c r="OFZ86" s="953"/>
      <c r="OGA86" s="953"/>
      <c r="OGB86" s="953"/>
      <c r="OGC86" s="953"/>
      <c r="OGD86" s="953"/>
      <c r="OGE86" s="953"/>
      <c r="OGF86" s="953"/>
      <c r="OGG86" s="953"/>
      <c r="OGH86" s="953"/>
      <c r="OGI86" s="953"/>
      <c r="OGJ86" s="953"/>
      <c r="OGK86" s="953"/>
      <c r="OGL86" s="953"/>
      <c r="OGM86" s="953"/>
      <c r="OGN86" s="953"/>
      <c r="OGO86" s="953"/>
      <c r="OGP86" s="953"/>
      <c r="OGQ86" s="953"/>
      <c r="OGR86" s="953"/>
      <c r="OGS86" s="953"/>
      <c r="OGT86" s="953"/>
      <c r="OGU86" s="953"/>
      <c r="OGV86" s="953"/>
      <c r="OGW86" s="953"/>
      <c r="OGX86" s="953"/>
      <c r="OGY86" s="953"/>
      <c r="OGZ86" s="953"/>
      <c r="OHA86" s="953"/>
      <c r="OHB86" s="953"/>
      <c r="OHC86" s="953"/>
      <c r="OHD86" s="953"/>
      <c r="OHE86" s="953"/>
      <c r="OHF86" s="953"/>
      <c r="OHG86" s="953"/>
      <c r="OHH86" s="953"/>
      <c r="OHI86" s="953"/>
      <c r="OHJ86" s="953"/>
      <c r="OHK86" s="953"/>
      <c r="OHL86" s="953"/>
      <c r="OHM86" s="953"/>
      <c r="OHN86" s="953"/>
      <c r="OHO86" s="953"/>
      <c r="OHP86" s="953"/>
      <c r="OHQ86" s="953"/>
      <c r="OHR86" s="953"/>
      <c r="OHS86" s="953"/>
      <c r="OHT86" s="953"/>
      <c r="OHU86" s="953"/>
      <c r="OHV86" s="953"/>
      <c r="OHW86" s="953"/>
      <c r="OHX86" s="953"/>
      <c r="OHY86" s="953"/>
      <c r="OHZ86" s="953"/>
      <c r="OIA86" s="953"/>
      <c r="OIB86" s="953"/>
      <c r="OIC86" s="953"/>
      <c r="OID86" s="953"/>
      <c r="OIE86" s="953"/>
      <c r="OIF86" s="953"/>
      <c r="OIG86" s="953"/>
      <c r="OIH86" s="953"/>
      <c r="OII86" s="953"/>
      <c r="OIJ86" s="953"/>
      <c r="OIK86" s="953"/>
      <c r="OIL86" s="953"/>
      <c r="OIM86" s="953"/>
      <c r="OIN86" s="953"/>
      <c r="OIO86" s="953"/>
      <c r="OIP86" s="953"/>
      <c r="OIQ86" s="953"/>
      <c r="OIR86" s="953"/>
      <c r="OIS86" s="953"/>
      <c r="OIT86" s="953"/>
      <c r="OIU86" s="953"/>
      <c r="OIV86" s="953"/>
      <c r="OIW86" s="953"/>
      <c r="OIX86" s="953"/>
      <c r="OIY86" s="953"/>
      <c r="OIZ86" s="953"/>
      <c r="OJA86" s="953"/>
      <c r="OJB86" s="953"/>
      <c r="OJC86" s="953"/>
      <c r="OJD86" s="953"/>
      <c r="OJE86" s="953"/>
      <c r="OJF86" s="953"/>
      <c r="OJG86" s="953"/>
      <c r="OJH86" s="953"/>
      <c r="OJI86" s="953"/>
      <c r="OJJ86" s="953"/>
      <c r="OJK86" s="953"/>
      <c r="OJL86" s="953"/>
      <c r="OJM86" s="953"/>
      <c r="OJN86" s="953"/>
      <c r="OJO86" s="953"/>
      <c r="OJP86" s="953"/>
      <c r="OJQ86" s="953"/>
      <c r="OJR86" s="953"/>
      <c r="OJS86" s="953"/>
      <c r="OJT86" s="953"/>
      <c r="OJU86" s="953"/>
      <c r="OJV86" s="953"/>
      <c r="OJW86" s="953"/>
      <c r="OJX86" s="953"/>
      <c r="OJY86" s="953"/>
      <c r="OJZ86" s="953"/>
      <c r="OKA86" s="953"/>
      <c r="OKB86" s="953"/>
      <c r="OKC86" s="953"/>
      <c r="OKD86" s="953"/>
      <c r="OKE86" s="953"/>
      <c r="OKF86" s="953"/>
      <c r="OKG86" s="953"/>
      <c r="OKH86" s="953"/>
      <c r="OKI86" s="953"/>
      <c r="OKJ86" s="953"/>
      <c r="OKK86" s="953"/>
      <c r="OKL86" s="953"/>
      <c r="OKM86" s="953"/>
      <c r="OKN86" s="953"/>
      <c r="OKO86" s="953"/>
      <c r="OKP86" s="953"/>
      <c r="OKQ86" s="953"/>
      <c r="OKR86" s="953"/>
      <c r="OKS86" s="953"/>
      <c r="OKT86" s="953"/>
      <c r="OKU86" s="953"/>
      <c r="OKV86" s="953"/>
      <c r="OKW86" s="953"/>
      <c r="OKX86" s="953"/>
      <c r="OKY86" s="953"/>
      <c r="OKZ86" s="953"/>
      <c r="OLA86" s="953"/>
      <c r="OLB86" s="953"/>
      <c r="OLC86" s="953"/>
      <c r="OLD86" s="953"/>
      <c r="OLE86" s="953"/>
      <c r="OLF86" s="953"/>
      <c r="OLG86" s="953"/>
      <c r="OLH86" s="953"/>
      <c r="OLI86" s="953"/>
      <c r="OLJ86" s="953"/>
      <c r="OLK86" s="953"/>
      <c r="OLL86" s="953"/>
      <c r="OLM86" s="953"/>
      <c r="OLN86" s="953"/>
      <c r="OLO86" s="953"/>
      <c r="OLP86" s="953"/>
      <c r="OLQ86" s="953"/>
      <c r="OLR86" s="953"/>
      <c r="OLS86" s="953"/>
      <c r="OLT86" s="953"/>
      <c r="OLU86" s="953"/>
      <c r="OLV86" s="953"/>
      <c r="OLW86" s="953"/>
      <c r="OLX86" s="953"/>
      <c r="OLY86" s="953"/>
      <c r="OLZ86" s="953"/>
      <c r="OMA86" s="953"/>
      <c r="OMB86" s="953"/>
      <c r="OMC86" s="953"/>
      <c r="OMD86" s="953"/>
      <c r="OME86" s="953"/>
      <c r="OMF86" s="953"/>
      <c r="OMG86" s="953"/>
      <c r="OMH86" s="953"/>
      <c r="OMI86" s="953"/>
      <c r="OMJ86" s="953"/>
      <c r="OMK86" s="953"/>
      <c r="OML86" s="953"/>
      <c r="OMM86" s="953"/>
      <c r="OMN86" s="953"/>
      <c r="OMO86" s="953"/>
      <c r="OMP86" s="953"/>
      <c r="OMQ86" s="953"/>
      <c r="OMR86" s="953"/>
      <c r="OMS86" s="953"/>
      <c r="OMT86" s="953"/>
      <c r="OMU86" s="953"/>
      <c r="OMV86" s="953"/>
      <c r="OMW86" s="953"/>
      <c r="OMX86" s="953"/>
      <c r="OMY86" s="953"/>
      <c r="OMZ86" s="953"/>
      <c r="ONA86" s="953"/>
      <c r="ONB86" s="953"/>
      <c r="ONC86" s="953"/>
      <c r="OND86" s="953"/>
      <c r="ONE86" s="953"/>
      <c r="ONF86" s="953"/>
      <c r="ONG86" s="953"/>
      <c r="ONH86" s="953"/>
      <c r="ONI86" s="953"/>
      <c r="ONJ86" s="953"/>
      <c r="ONK86" s="953"/>
      <c r="ONL86" s="953"/>
      <c r="ONM86" s="953"/>
      <c r="ONN86" s="953"/>
      <c r="ONO86" s="953"/>
      <c r="ONP86" s="953"/>
      <c r="ONQ86" s="953"/>
      <c r="ONR86" s="953"/>
      <c r="ONS86" s="953"/>
      <c r="ONT86" s="953"/>
      <c r="ONU86" s="953"/>
      <c r="ONV86" s="953"/>
      <c r="ONW86" s="953"/>
      <c r="ONX86" s="953"/>
      <c r="ONY86" s="953"/>
      <c r="ONZ86" s="953"/>
      <c r="OOA86" s="953"/>
      <c r="OOB86" s="953"/>
      <c r="OOC86" s="953"/>
      <c r="OOD86" s="953"/>
      <c r="OOE86" s="953"/>
      <c r="OOF86" s="953"/>
      <c r="OOG86" s="953"/>
      <c r="OOH86" s="953"/>
      <c r="OOI86" s="953"/>
      <c r="OOJ86" s="953"/>
      <c r="OOK86" s="953"/>
      <c r="OOL86" s="953"/>
      <c r="OOM86" s="953"/>
      <c r="OON86" s="953"/>
      <c r="OOO86" s="953"/>
      <c r="OOP86" s="953"/>
      <c r="OOQ86" s="953"/>
      <c r="OOR86" s="953"/>
      <c r="OOS86" s="953"/>
      <c r="OOT86" s="953"/>
      <c r="OOU86" s="953"/>
      <c r="OOV86" s="953"/>
      <c r="OOW86" s="953"/>
      <c r="OOX86" s="953"/>
      <c r="OOY86" s="953"/>
      <c r="OOZ86" s="953"/>
      <c r="OPA86" s="953"/>
      <c r="OPB86" s="953"/>
      <c r="OPC86" s="953"/>
      <c r="OPD86" s="953"/>
      <c r="OPE86" s="953"/>
      <c r="OPF86" s="953"/>
      <c r="OPG86" s="953"/>
      <c r="OPH86" s="953"/>
      <c r="OPI86" s="953"/>
      <c r="OPJ86" s="953"/>
      <c r="OPK86" s="953"/>
      <c r="OPL86" s="953"/>
      <c r="OPM86" s="953"/>
      <c r="OPN86" s="953"/>
      <c r="OPO86" s="953"/>
      <c r="OPP86" s="953"/>
      <c r="OPQ86" s="953"/>
      <c r="OPR86" s="953"/>
      <c r="OPS86" s="953"/>
      <c r="OPT86" s="953"/>
      <c r="OPU86" s="953"/>
      <c r="OPV86" s="953"/>
      <c r="OPW86" s="953"/>
      <c r="OPX86" s="953"/>
      <c r="OPY86" s="953"/>
      <c r="OPZ86" s="953"/>
      <c r="OQA86" s="953"/>
      <c r="OQB86" s="953"/>
      <c r="OQC86" s="953"/>
      <c r="OQD86" s="953"/>
      <c r="OQE86" s="953"/>
      <c r="OQF86" s="953"/>
      <c r="OQG86" s="953"/>
      <c r="OQH86" s="953"/>
      <c r="OQI86" s="953"/>
      <c r="OQJ86" s="953"/>
      <c r="OQK86" s="953"/>
      <c r="OQL86" s="953"/>
      <c r="OQM86" s="953"/>
      <c r="OQN86" s="953"/>
      <c r="OQO86" s="953"/>
      <c r="OQP86" s="953"/>
      <c r="OQQ86" s="953"/>
      <c r="OQR86" s="953"/>
      <c r="OQS86" s="953"/>
      <c r="OQT86" s="953"/>
      <c r="OQU86" s="953"/>
      <c r="OQV86" s="953"/>
      <c r="OQW86" s="953"/>
      <c r="OQX86" s="953"/>
      <c r="OQY86" s="953"/>
      <c r="OQZ86" s="953"/>
      <c r="ORA86" s="953"/>
      <c r="ORB86" s="953"/>
      <c r="ORC86" s="953"/>
      <c r="ORD86" s="953"/>
      <c r="ORE86" s="953"/>
      <c r="ORF86" s="953"/>
      <c r="ORG86" s="953"/>
      <c r="ORH86" s="953"/>
      <c r="ORI86" s="953"/>
      <c r="ORJ86" s="953"/>
      <c r="ORK86" s="953"/>
      <c r="ORL86" s="953"/>
      <c r="ORM86" s="953"/>
      <c r="ORN86" s="953"/>
      <c r="ORO86" s="953"/>
      <c r="ORP86" s="953"/>
      <c r="ORQ86" s="953"/>
      <c r="ORR86" s="953"/>
      <c r="ORS86" s="953"/>
      <c r="ORT86" s="953"/>
      <c r="ORU86" s="953"/>
      <c r="ORV86" s="953"/>
      <c r="ORW86" s="953"/>
      <c r="ORX86" s="953"/>
      <c r="ORY86" s="953"/>
      <c r="ORZ86" s="953"/>
      <c r="OSA86" s="953"/>
      <c r="OSB86" s="953"/>
      <c r="OSC86" s="953"/>
      <c r="OSD86" s="953"/>
      <c r="OSE86" s="953"/>
      <c r="OSF86" s="953"/>
      <c r="OSG86" s="953"/>
      <c r="OSH86" s="953"/>
      <c r="OSI86" s="953"/>
      <c r="OSJ86" s="953"/>
      <c r="OSK86" s="953"/>
      <c r="OSL86" s="953"/>
      <c r="OSM86" s="953"/>
      <c r="OSN86" s="953"/>
      <c r="OSO86" s="953"/>
      <c r="OSP86" s="953"/>
      <c r="OSQ86" s="953"/>
      <c r="OSR86" s="953"/>
      <c r="OSS86" s="953"/>
      <c r="OST86" s="953"/>
      <c r="OSU86" s="953"/>
      <c r="OSV86" s="953"/>
      <c r="OSW86" s="953"/>
      <c r="OSX86" s="953"/>
      <c r="OSY86" s="953"/>
      <c r="OSZ86" s="953"/>
      <c r="OTA86" s="953"/>
      <c r="OTB86" s="953"/>
      <c r="OTC86" s="953"/>
      <c r="OTD86" s="953"/>
      <c r="OTE86" s="953"/>
      <c r="OTF86" s="953"/>
      <c r="OTG86" s="953"/>
      <c r="OTH86" s="953"/>
      <c r="OTI86" s="953"/>
      <c r="OTJ86" s="953"/>
      <c r="OTK86" s="953"/>
      <c r="OTL86" s="953"/>
      <c r="OTM86" s="953"/>
      <c r="OTN86" s="953"/>
      <c r="OTO86" s="953"/>
      <c r="OTP86" s="953"/>
      <c r="OTQ86" s="953"/>
      <c r="OTR86" s="953"/>
      <c r="OTS86" s="953"/>
      <c r="OTT86" s="953"/>
      <c r="OTU86" s="953"/>
      <c r="OTV86" s="953"/>
      <c r="OTW86" s="953"/>
      <c r="OTX86" s="953"/>
      <c r="OTY86" s="953"/>
      <c r="OTZ86" s="953"/>
      <c r="OUA86" s="953"/>
      <c r="OUB86" s="953"/>
      <c r="OUC86" s="953"/>
      <c r="OUD86" s="953"/>
      <c r="OUE86" s="953"/>
      <c r="OUF86" s="953"/>
      <c r="OUG86" s="953"/>
      <c r="OUH86" s="953"/>
      <c r="OUI86" s="953"/>
      <c r="OUJ86" s="953"/>
      <c r="OUK86" s="953"/>
      <c r="OUL86" s="953"/>
      <c r="OUM86" s="953"/>
      <c r="OUN86" s="953"/>
      <c r="OUO86" s="953"/>
      <c r="OUP86" s="953"/>
      <c r="OUQ86" s="953"/>
      <c r="OUR86" s="953"/>
      <c r="OUS86" s="953"/>
      <c r="OUT86" s="953"/>
      <c r="OUU86" s="953"/>
      <c r="OUV86" s="953"/>
      <c r="OUW86" s="953"/>
      <c r="OUX86" s="953"/>
      <c r="OUY86" s="953"/>
      <c r="OUZ86" s="953"/>
      <c r="OVA86" s="953"/>
      <c r="OVB86" s="953"/>
      <c r="OVC86" s="953"/>
      <c r="OVD86" s="953"/>
      <c r="OVE86" s="953"/>
      <c r="OVF86" s="953"/>
      <c r="OVG86" s="953"/>
      <c r="OVH86" s="953"/>
      <c r="OVI86" s="953"/>
      <c r="OVJ86" s="953"/>
      <c r="OVK86" s="953"/>
      <c r="OVL86" s="953"/>
      <c r="OVM86" s="953"/>
      <c r="OVN86" s="953"/>
      <c r="OVO86" s="953"/>
      <c r="OVP86" s="953"/>
      <c r="OVQ86" s="953"/>
      <c r="OVR86" s="953"/>
      <c r="OVS86" s="953"/>
      <c r="OVT86" s="953"/>
      <c r="OVU86" s="953"/>
      <c r="OVV86" s="953"/>
      <c r="OVW86" s="953"/>
      <c r="OVX86" s="953"/>
      <c r="OVY86" s="953"/>
      <c r="OVZ86" s="953"/>
      <c r="OWA86" s="953"/>
      <c r="OWB86" s="953"/>
      <c r="OWC86" s="953"/>
      <c r="OWD86" s="953"/>
      <c r="OWE86" s="953"/>
      <c r="OWF86" s="953"/>
      <c r="OWG86" s="953"/>
      <c r="OWH86" s="953"/>
      <c r="OWI86" s="953"/>
      <c r="OWJ86" s="953"/>
      <c r="OWK86" s="953"/>
      <c r="OWL86" s="953"/>
      <c r="OWM86" s="953"/>
      <c r="OWN86" s="953"/>
      <c r="OWO86" s="953"/>
      <c r="OWP86" s="953"/>
      <c r="OWQ86" s="953"/>
      <c r="OWR86" s="953"/>
      <c r="OWS86" s="953"/>
      <c r="OWT86" s="953"/>
      <c r="OWU86" s="953"/>
      <c r="OWV86" s="953"/>
      <c r="OWW86" s="953"/>
      <c r="OWX86" s="953"/>
      <c r="OWY86" s="953"/>
      <c r="OWZ86" s="953"/>
      <c r="OXA86" s="953"/>
      <c r="OXB86" s="953"/>
      <c r="OXC86" s="953"/>
      <c r="OXD86" s="953"/>
      <c r="OXE86" s="953"/>
      <c r="OXF86" s="953"/>
      <c r="OXG86" s="953"/>
      <c r="OXH86" s="953"/>
      <c r="OXI86" s="953"/>
      <c r="OXJ86" s="953"/>
      <c r="OXK86" s="953"/>
      <c r="OXL86" s="953"/>
      <c r="OXM86" s="953"/>
      <c r="OXN86" s="953"/>
      <c r="OXO86" s="953"/>
      <c r="OXP86" s="953"/>
      <c r="OXQ86" s="953"/>
      <c r="OXR86" s="953"/>
      <c r="OXS86" s="953"/>
      <c r="OXT86" s="953"/>
      <c r="OXU86" s="953"/>
      <c r="OXV86" s="953"/>
      <c r="OXW86" s="953"/>
      <c r="OXX86" s="953"/>
      <c r="OXY86" s="953"/>
      <c r="OXZ86" s="953"/>
      <c r="OYA86" s="953"/>
      <c r="OYB86" s="953"/>
      <c r="OYC86" s="953"/>
      <c r="OYD86" s="953"/>
      <c r="OYE86" s="953"/>
      <c r="OYF86" s="953"/>
      <c r="OYG86" s="953"/>
      <c r="OYH86" s="953"/>
      <c r="OYI86" s="953"/>
      <c r="OYJ86" s="953"/>
      <c r="OYK86" s="953"/>
      <c r="OYL86" s="953"/>
      <c r="OYM86" s="953"/>
      <c r="OYN86" s="953"/>
      <c r="OYO86" s="953"/>
      <c r="OYP86" s="953"/>
      <c r="OYQ86" s="953"/>
      <c r="OYR86" s="953"/>
      <c r="OYS86" s="953"/>
      <c r="OYT86" s="953"/>
      <c r="OYU86" s="953"/>
      <c r="OYV86" s="953"/>
      <c r="OYW86" s="953"/>
      <c r="OYX86" s="953"/>
      <c r="OYY86" s="953"/>
      <c r="OYZ86" s="953"/>
      <c r="OZA86" s="953"/>
      <c r="OZB86" s="953"/>
      <c r="OZC86" s="953"/>
      <c r="OZD86" s="953"/>
      <c r="OZE86" s="953"/>
      <c r="OZF86" s="953"/>
      <c r="OZG86" s="953"/>
      <c r="OZH86" s="953"/>
      <c r="OZI86" s="953"/>
      <c r="OZJ86" s="953"/>
      <c r="OZK86" s="953"/>
      <c r="OZL86" s="953"/>
      <c r="OZM86" s="953"/>
      <c r="OZN86" s="953"/>
      <c r="OZO86" s="953"/>
      <c r="OZP86" s="953"/>
      <c r="OZQ86" s="953"/>
      <c r="OZR86" s="953"/>
      <c r="OZS86" s="953"/>
      <c r="OZT86" s="953"/>
      <c r="OZU86" s="953"/>
      <c r="OZV86" s="953"/>
      <c r="OZW86" s="953"/>
      <c r="OZX86" s="953"/>
      <c r="OZY86" s="953"/>
      <c r="OZZ86" s="953"/>
      <c r="PAA86" s="953"/>
      <c r="PAB86" s="953"/>
      <c r="PAC86" s="953"/>
      <c r="PAD86" s="953"/>
      <c r="PAE86" s="953"/>
      <c r="PAF86" s="953"/>
      <c r="PAG86" s="953"/>
      <c r="PAH86" s="953"/>
      <c r="PAI86" s="953"/>
      <c r="PAJ86" s="953"/>
      <c r="PAK86" s="953"/>
      <c r="PAL86" s="953"/>
      <c r="PAM86" s="953"/>
      <c r="PAN86" s="953"/>
      <c r="PAO86" s="953"/>
      <c r="PAP86" s="953"/>
      <c r="PAQ86" s="953"/>
      <c r="PAR86" s="953"/>
      <c r="PAS86" s="953"/>
      <c r="PAT86" s="953"/>
      <c r="PAU86" s="953"/>
      <c r="PAV86" s="953"/>
      <c r="PAW86" s="953"/>
      <c r="PAX86" s="953"/>
      <c r="PAY86" s="953"/>
      <c r="PAZ86" s="953"/>
      <c r="PBA86" s="953"/>
      <c r="PBB86" s="953"/>
      <c r="PBC86" s="953"/>
      <c r="PBD86" s="953"/>
      <c r="PBE86" s="953"/>
      <c r="PBF86" s="953"/>
      <c r="PBG86" s="953"/>
      <c r="PBH86" s="953"/>
      <c r="PBI86" s="953"/>
      <c r="PBJ86" s="953"/>
      <c r="PBK86" s="953"/>
      <c r="PBL86" s="953"/>
      <c r="PBM86" s="953"/>
      <c r="PBN86" s="953"/>
      <c r="PBO86" s="953"/>
      <c r="PBP86" s="953"/>
      <c r="PBQ86" s="953"/>
      <c r="PBR86" s="953"/>
      <c r="PBS86" s="953"/>
      <c r="PBT86" s="953"/>
      <c r="PBU86" s="953"/>
      <c r="PBV86" s="953"/>
      <c r="PBW86" s="953"/>
      <c r="PBX86" s="953"/>
      <c r="PBY86" s="953"/>
      <c r="PBZ86" s="953"/>
      <c r="PCA86" s="953"/>
      <c r="PCB86" s="953"/>
      <c r="PCC86" s="953"/>
      <c r="PCD86" s="953"/>
      <c r="PCE86" s="953"/>
      <c r="PCF86" s="953"/>
      <c r="PCG86" s="953"/>
      <c r="PCH86" s="953"/>
      <c r="PCI86" s="953"/>
      <c r="PCJ86" s="953"/>
      <c r="PCK86" s="953"/>
      <c r="PCL86" s="953"/>
      <c r="PCM86" s="953"/>
      <c r="PCN86" s="953"/>
      <c r="PCO86" s="953"/>
      <c r="PCP86" s="953"/>
      <c r="PCQ86" s="953"/>
      <c r="PCR86" s="953"/>
      <c r="PCS86" s="953"/>
      <c r="PCT86" s="953"/>
      <c r="PCU86" s="953"/>
      <c r="PCV86" s="953"/>
      <c r="PCW86" s="953"/>
      <c r="PCX86" s="953"/>
      <c r="PCY86" s="953"/>
      <c r="PCZ86" s="953"/>
      <c r="PDA86" s="953"/>
      <c r="PDB86" s="953"/>
      <c r="PDC86" s="953"/>
      <c r="PDD86" s="953"/>
      <c r="PDE86" s="953"/>
      <c r="PDF86" s="953"/>
      <c r="PDG86" s="953"/>
      <c r="PDH86" s="953"/>
      <c r="PDI86" s="953"/>
      <c r="PDJ86" s="953"/>
      <c r="PDK86" s="953"/>
      <c r="PDL86" s="953"/>
      <c r="PDM86" s="953"/>
      <c r="PDN86" s="953"/>
      <c r="PDO86" s="953"/>
      <c r="PDP86" s="953"/>
      <c r="PDQ86" s="953"/>
      <c r="PDR86" s="953"/>
      <c r="PDS86" s="953"/>
      <c r="PDT86" s="953"/>
      <c r="PDU86" s="953"/>
      <c r="PDV86" s="953"/>
      <c r="PDW86" s="953"/>
      <c r="PDX86" s="953"/>
      <c r="PDY86" s="953"/>
      <c r="PDZ86" s="953"/>
      <c r="PEA86" s="953"/>
      <c r="PEB86" s="953"/>
      <c r="PEC86" s="953"/>
      <c r="PED86" s="953"/>
      <c r="PEE86" s="953"/>
      <c r="PEF86" s="953"/>
      <c r="PEG86" s="953"/>
      <c r="PEH86" s="953"/>
      <c r="PEI86" s="953"/>
      <c r="PEJ86" s="953"/>
      <c r="PEK86" s="953"/>
      <c r="PEL86" s="953"/>
      <c r="PEM86" s="953"/>
      <c r="PEN86" s="953"/>
      <c r="PEO86" s="953"/>
      <c r="PEP86" s="953"/>
      <c r="PEQ86" s="953"/>
      <c r="PER86" s="953"/>
      <c r="PES86" s="953"/>
      <c r="PET86" s="953"/>
      <c r="PEU86" s="953"/>
      <c r="PEV86" s="953"/>
      <c r="PEW86" s="953"/>
      <c r="PEX86" s="953"/>
      <c r="PEY86" s="953"/>
      <c r="PEZ86" s="953"/>
      <c r="PFA86" s="953"/>
      <c r="PFB86" s="953"/>
      <c r="PFC86" s="953"/>
      <c r="PFD86" s="953"/>
      <c r="PFE86" s="953"/>
      <c r="PFF86" s="953"/>
      <c r="PFG86" s="953"/>
      <c r="PFH86" s="953"/>
      <c r="PFI86" s="953"/>
      <c r="PFJ86" s="953"/>
      <c r="PFK86" s="953"/>
      <c r="PFL86" s="953"/>
      <c r="PFM86" s="953"/>
      <c r="PFN86" s="953"/>
      <c r="PFO86" s="953"/>
      <c r="PFP86" s="953"/>
      <c r="PFQ86" s="953"/>
      <c r="PFR86" s="953"/>
      <c r="PFS86" s="953"/>
      <c r="PFT86" s="953"/>
      <c r="PFU86" s="953"/>
      <c r="PFV86" s="953"/>
      <c r="PFW86" s="953"/>
      <c r="PFX86" s="953"/>
      <c r="PFY86" s="953"/>
      <c r="PFZ86" s="953"/>
      <c r="PGA86" s="953"/>
      <c r="PGB86" s="953"/>
      <c r="PGC86" s="953"/>
      <c r="PGD86" s="953"/>
      <c r="PGE86" s="953"/>
      <c r="PGF86" s="953"/>
      <c r="PGG86" s="953"/>
      <c r="PGH86" s="953"/>
      <c r="PGI86" s="953"/>
      <c r="PGJ86" s="953"/>
      <c r="PGK86" s="953"/>
      <c r="PGL86" s="953"/>
      <c r="PGM86" s="953"/>
      <c r="PGN86" s="953"/>
      <c r="PGO86" s="953"/>
      <c r="PGP86" s="953"/>
      <c r="PGQ86" s="953"/>
      <c r="PGR86" s="953"/>
      <c r="PGS86" s="953"/>
      <c r="PGT86" s="953"/>
      <c r="PGU86" s="953"/>
      <c r="PGV86" s="953"/>
      <c r="PGW86" s="953"/>
      <c r="PGX86" s="953"/>
      <c r="PGY86" s="953"/>
      <c r="PGZ86" s="953"/>
      <c r="PHA86" s="953"/>
      <c r="PHB86" s="953"/>
      <c r="PHC86" s="953"/>
      <c r="PHD86" s="953"/>
      <c r="PHE86" s="953"/>
      <c r="PHF86" s="953"/>
      <c r="PHG86" s="953"/>
      <c r="PHH86" s="953"/>
      <c r="PHI86" s="953"/>
      <c r="PHJ86" s="953"/>
      <c r="PHK86" s="953"/>
      <c r="PHL86" s="953"/>
      <c r="PHM86" s="953"/>
      <c r="PHN86" s="953"/>
      <c r="PHO86" s="953"/>
      <c r="PHP86" s="953"/>
      <c r="PHQ86" s="953"/>
      <c r="PHR86" s="953"/>
      <c r="PHS86" s="953"/>
      <c r="PHT86" s="953"/>
      <c r="PHU86" s="953"/>
      <c r="PHV86" s="953"/>
      <c r="PHW86" s="953"/>
      <c r="PHX86" s="953"/>
      <c r="PHY86" s="953"/>
      <c r="PHZ86" s="953"/>
      <c r="PIA86" s="953"/>
      <c r="PIB86" s="953"/>
      <c r="PIC86" s="953"/>
      <c r="PID86" s="953"/>
      <c r="PIE86" s="953"/>
      <c r="PIF86" s="953"/>
      <c r="PIG86" s="953"/>
      <c r="PIH86" s="953"/>
      <c r="PII86" s="953"/>
      <c r="PIJ86" s="953"/>
      <c r="PIK86" s="953"/>
      <c r="PIL86" s="953"/>
      <c r="PIM86" s="953"/>
      <c r="PIN86" s="953"/>
      <c r="PIO86" s="953"/>
      <c r="PIP86" s="953"/>
      <c r="PIQ86" s="953"/>
      <c r="PIR86" s="953"/>
      <c r="PIS86" s="953"/>
      <c r="PIT86" s="953"/>
      <c r="PIU86" s="953"/>
      <c r="PIV86" s="953"/>
      <c r="PIW86" s="953"/>
      <c r="PIX86" s="953"/>
      <c r="PIY86" s="953"/>
      <c r="PIZ86" s="953"/>
      <c r="PJA86" s="953"/>
      <c r="PJB86" s="953"/>
      <c r="PJC86" s="953"/>
      <c r="PJD86" s="953"/>
      <c r="PJE86" s="953"/>
      <c r="PJF86" s="953"/>
      <c r="PJG86" s="953"/>
      <c r="PJH86" s="953"/>
      <c r="PJI86" s="953"/>
      <c r="PJJ86" s="953"/>
      <c r="PJK86" s="953"/>
      <c r="PJL86" s="953"/>
      <c r="PJM86" s="953"/>
      <c r="PJN86" s="953"/>
      <c r="PJO86" s="953"/>
      <c r="PJP86" s="953"/>
      <c r="PJQ86" s="953"/>
      <c r="PJR86" s="953"/>
      <c r="PJS86" s="953"/>
      <c r="PJT86" s="953"/>
      <c r="PJU86" s="953"/>
      <c r="PJV86" s="953"/>
      <c r="PJW86" s="953"/>
      <c r="PJX86" s="953"/>
      <c r="PJY86" s="953"/>
      <c r="PJZ86" s="953"/>
      <c r="PKA86" s="953"/>
      <c r="PKB86" s="953"/>
      <c r="PKC86" s="953"/>
      <c r="PKD86" s="953"/>
      <c r="PKE86" s="953"/>
      <c r="PKF86" s="953"/>
      <c r="PKG86" s="953"/>
      <c r="PKH86" s="953"/>
      <c r="PKI86" s="953"/>
      <c r="PKJ86" s="953"/>
      <c r="PKK86" s="953"/>
      <c r="PKL86" s="953"/>
      <c r="PKM86" s="953"/>
      <c r="PKN86" s="953"/>
      <c r="PKO86" s="953"/>
      <c r="PKP86" s="953"/>
      <c r="PKQ86" s="953"/>
      <c r="PKR86" s="953"/>
      <c r="PKS86" s="953"/>
      <c r="PKT86" s="953"/>
      <c r="PKU86" s="953"/>
      <c r="PKV86" s="953"/>
      <c r="PKW86" s="953"/>
      <c r="PKX86" s="953"/>
      <c r="PKY86" s="953"/>
      <c r="PKZ86" s="953"/>
      <c r="PLA86" s="953"/>
      <c r="PLB86" s="953"/>
      <c r="PLC86" s="953"/>
      <c r="PLD86" s="953"/>
      <c r="PLE86" s="953"/>
      <c r="PLF86" s="953"/>
      <c r="PLG86" s="953"/>
      <c r="PLH86" s="953"/>
      <c r="PLI86" s="953"/>
      <c r="PLJ86" s="953"/>
      <c r="PLK86" s="953"/>
      <c r="PLL86" s="953"/>
      <c r="PLM86" s="953"/>
      <c r="PLN86" s="953"/>
      <c r="PLO86" s="953"/>
      <c r="PLP86" s="953"/>
      <c r="PLQ86" s="953"/>
      <c r="PLR86" s="953"/>
      <c r="PLS86" s="953"/>
      <c r="PLT86" s="953"/>
      <c r="PLU86" s="953"/>
      <c r="PLV86" s="953"/>
      <c r="PLW86" s="953"/>
      <c r="PLX86" s="953"/>
      <c r="PLY86" s="953"/>
      <c r="PLZ86" s="953"/>
      <c r="PMA86" s="953"/>
      <c r="PMB86" s="953"/>
      <c r="PMC86" s="953"/>
      <c r="PMD86" s="953"/>
      <c r="PME86" s="953"/>
      <c r="PMF86" s="953"/>
      <c r="PMG86" s="953"/>
      <c r="PMH86" s="953"/>
      <c r="PMI86" s="953"/>
      <c r="PMJ86" s="953"/>
      <c r="PMK86" s="953"/>
      <c r="PML86" s="953"/>
      <c r="PMM86" s="953"/>
      <c r="PMN86" s="953"/>
      <c r="PMO86" s="953"/>
      <c r="PMP86" s="953"/>
      <c r="PMQ86" s="953"/>
      <c r="PMR86" s="953"/>
      <c r="PMS86" s="953"/>
      <c r="PMT86" s="953"/>
      <c r="PMU86" s="953"/>
      <c r="PMV86" s="953"/>
      <c r="PMW86" s="953"/>
      <c r="PMX86" s="953"/>
      <c r="PMY86" s="953"/>
      <c r="PMZ86" s="953"/>
      <c r="PNA86" s="953"/>
      <c r="PNB86" s="953"/>
      <c r="PNC86" s="953"/>
      <c r="PND86" s="953"/>
      <c r="PNE86" s="953"/>
      <c r="PNF86" s="953"/>
      <c r="PNG86" s="953"/>
      <c r="PNH86" s="953"/>
      <c r="PNI86" s="953"/>
      <c r="PNJ86" s="953"/>
      <c r="PNK86" s="953"/>
      <c r="PNL86" s="953"/>
      <c r="PNM86" s="953"/>
      <c r="PNN86" s="953"/>
      <c r="PNO86" s="953"/>
      <c r="PNP86" s="953"/>
      <c r="PNQ86" s="953"/>
      <c r="PNR86" s="953"/>
      <c r="PNS86" s="953"/>
      <c r="PNT86" s="953"/>
      <c r="PNU86" s="953"/>
      <c r="PNV86" s="953"/>
      <c r="PNW86" s="953"/>
      <c r="PNX86" s="953"/>
      <c r="PNY86" s="953"/>
      <c r="PNZ86" s="953"/>
      <c r="POA86" s="953"/>
      <c r="POB86" s="953"/>
      <c r="POC86" s="953"/>
      <c r="POD86" s="953"/>
      <c r="POE86" s="953"/>
      <c r="POF86" s="953"/>
      <c r="POG86" s="953"/>
      <c r="POH86" s="953"/>
      <c r="POI86" s="953"/>
      <c r="POJ86" s="953"/>
      <c r="POK86" s="953"/>
      <c r="POL86" s="953"/>
      <c r="POM86" s="953"/>
      <c r="PON86" s="953"/>
      <c r="POO86" s="953"/>
      <c r="POP86" s="953"/>
      <c r="POQ86" s="953"/>
      <c r="POR86" s="953"/>
      <c r="POS86" s="953"/>
      <c r="POT86" s="953"/>
      <c r="POU86" s="953"/>
      <c r="POV86" s="953"/>
      <c r="POW86" s="953"/>
      <c r="POX86" s="953"/>
      <c r="POY86" s="953"/>
      <c r="POZ86" s="953"/>
      <c r="PPA86" s="953"/>
      <c r="PPB86" s="953"/>
      <c r="PPC86" s="953"/>
      <c r="PPD86" s="953"/>
      <c r="PPE86" s="953"/>
      <c r="PPF86" s="953"/>
      <c r="PPG86" s="953"/>
      <c r="PPH86" s="953"/>
      <c r="PPI86" s="953"/>
      <c r="PPJ86" s="953"/>
      <c r="PPK86" s="953"/>
      <c r="PPL86" s="953"/>
      <c r="PPM86" s="953"/>
      <c r="PPN86" s="953"/>
      <c r="PPO86" s="953"/>
      <c r="PPP86" s="953"/>
      <c r="PPQ86" s="953"/>
      <c r="PPR86" s="953"/>
      <c r="PPS86" s="953"/>
      <c r="PPT86" s="953"/>
      <c r="PPU86" s="953"/>
      <c r="PPV86" s="953"/>
      <c r="PPW86" s="953"/>
      <c r="PPX86" s="953"/>
      <c r="PPY86" s="953"/>
      <c r="PPZ86" s="953"/>
      <c r="PQA86" s="953"/>
      <c r="PQB86" s="953"/>
      <c r="PQC86" s="953"/>
      <c r="PQD86" s="953"/>
      <c r="PQE86" s="953"/>
      <c r="PQF86" s="953"/>
      <c r="PQG86" s="953"/>
      <c r="PQH86" s="953"/>
      <c r="PQI86" s="953"/>
      <c r="PQJ86" s="953"/>
      <c r="PQK86" s="953"/>
      <c r="PQL86" s="953"/>
      <c r="PQM86" s="953"/>
      <c r="PQN86" s="953"/>
      <c r="PQO86" s="953"/>
      <c r="PQP86" s="953"/>
      <c r="PQQ86" s="953"/>
      <c r="PQR86" s="953"/>
      <c r="PQS86" s="953"/>
      <c r="PQT86" s="953"/>
      <c r="PQU86" s="953"/>
      <c r="PQV86" s="953"/>
      <c r="PQW86" s="953"/>
      <c r="PQX86" s="953"/>
      <c r="PQY86" s="953"/>
      <c r="PQZ86" s="953"/>
      <c r="PRA86" s="953"/>
      <c r="PRB86" s="953"/>
      <c r="PRC86" s="953"/>
      <c r="PRD86" s="953"/>
      <c r="PRE86" s="953"/>
      <c r="PRF86" s="953"/>
      <c r="PRG86" s="953"/>
      <c r="PRH86" s="953"/>
      <c r="PRI86" s="953"/>
      <c r="PRJ86" s="953"/>
      <c r="PRK86" s="953"/>
      <c r="PRL86" s="953"/>
      <c r="PRM86" s="953"/>
      <c r="PRN86" s="953"/>
      <c r="PRO86" s="953"/>
      <c r="PRP86" s="953"/>
      <c r="PRQ86" s="953"/>
      <c r="PRR86" s="953"/>
      <c r="PRS86" s="953"/>
      <c r="PRT86" s="953"/>
      <c r="PRU86" s="953"/>
      <c r="PRV86" s="953"/>
      <c r="PRW86" s="953"/>
      <c r="PRX86" s="953"/>
      <c r="PRY86" s="953"/>
      <c r="PRZ86" s="953"/>
      <c r="PSA86" s="953"/>
      <c r="PSB86" s="953"/>
      <c r="PSC86" s="953"/>
      <c r="PSD86" s="953"/>
      <c r="PSE86" s="953"/>
      <c r="PSF86" s="953"/>
      <c r="PSG86" s="953"/>
      <c r="PSH86" s="953"/>
      <c r="PSI86" s="953"/>
      <c r="PSJ86" s="953"/>
      <c r="PSK86" s="953"/>
      <c r="PSL86" s="953"/>
      <c r="PSM86" s="953"/>
      <c r="PSN86" s="953"/>
      <c r="PSO86" s="953"/>
      <c r="PSP86" s="953"/>
      <c r="PSQ86" s="953"/>
      <c r="PSR86" s="953"/>
      <c r="PSS86" s="953"/>
      <c r="PST86" s="953"/>
      <c r="PSU86" s="953"/>
      <c r="PSV86" s="953"/>
      <c r="PSW86" s="953"/>
      <c r="PSX86" s="953"/>
      <c r="PSY86" s="953"/>
      <c r="PSZ86" s="953"/>
      <c r="PTA86" s="953"/>
      <c r="PTB86" s="953"/>
      <c r="PTC86" s="953"/>
      <c r="PTD86" s="953"/>
      <c r="PTE86" s="953"/>
      <c r="PTF86" s="953"/>
      <c r="PTG86" s="953"/>
      <c r="PTH86" s="953"/>
      <c r="PTI86" s="953"/>
      <c r="PTJ86" s="953"/>
      <c r="PTK86" s="953"/>
      <c r="PTL86" s="953"/>
      <c r="PTM86" s="953"/>
      <c r="PTN86" s="953"/>
      <c r="PTO86" s="953"/>
      <c r="PTP86" s="953"/>
      <c r="PTQ86" s="953"/>
      <c r="PTR86" s="953"/>
      <c r="PTS86" s="953"/>
      <c r="PTT86" s="953"/>
      <c r="PTU86" s="953"/>
      <c r="PTV86" s="953"/>
      <c r="PTW86" s="953"/>
      <c r="PTX86" s="953"/>
      <c r="PTY86" s="953"/>
      <c r="PTZ86" s="953"/>
      <c r="PUA86" s="953"/>
      <c r="PUB86" s="953"/>
      <c r="PUC86" s="953"/>
      <c r="PUD86" s="953"/>
      <c r="PUE86" s="953"/>
      <c r="PUF86" s="953"/>
      <c r="PUG86" s="953"/>
      <c r="PUH86" s="953"/>
      <c r="PUI86" s="953"/>
      <c r="PUJ86" s="953"/>
      <c r="PUK86" s="953"/>
      <c r="PUL86" s="953"/>
      <c r="PUM86" s="953"/>
      <c r="PUN86" s="953"/>
      <c r="PUO86" s="953"/>
      <c r="PUP86" s="953"/>
      <c r="PUQ86" s="953"/>
      <c r="PUR86" s="953"/>
      <c r="PUS86" s="953"/>
      <c r="PUT86" s="953"/>
      <c r="PUU86" s="953"/>
      <c r="PUV86" s="953"/>
      <c r="PUW86" s="953"/>
      <c r="PUX86" s="953"/>
      <c r="PUY86" s="953"/>
      <c r="PUZ86" s="953"/>
      <c r="PVA86" s="953"/>
      <c r="PVB86" s="953"/>
      <c r="PVC86" s="953"/>
      <c r="PVD86" s="953"/>
      <c r="PVE86" s="953"/>
      <c r="PVF86" s="953"/>
      <c r="PVG86" s="953"/>
      <c r="PVH86" s="953"/>
      <c r="PVI86" s="953"/>
      <c r="PVJ86" s="953"/>
      <c r="PVK86" s="953"/>
      <c r="PVL86" s="953"/>
      <c r="PVM86" s="953"/>
      <c r="PVN86" s="953"/>
      <c r="PVO86" s="953"/>
      <c r="PVP86" s="953"/>
      <c r="PVQ86" s="953"/>
      <c r="PVR86" s="953"/>
      <c r="PVS86" s="953"/>
      <c r="PVT86" s="953"/>
      <c r="PVU86" s="953"/>
      <c r="PVV86" s="953"/>
      <c r="PVW86" s="953"/>
      <c r="PVX86" s="953"/>
      <c r="PVY86" s="953"/>
      <c r="PVZ86" s="953"/>
      <c r="PWA86" s="953"/>
      <c r="PWB86" s="953"/>
      <c r="PWC86" s="953"/>
      <c r="PWD86" s="953"/>
      <c r="PWE86" s="953"/>
      <c r="PWF86" s="953"/>
      <c r="PWG86" s="953"/>
      <c r="PWH86" s="953"/>
      <c r="PWI86" s="953"/>
      <c r="PWJ86" s="953"/>
      <c r="PWK86" s="953"/>
      <c r="PWL86" s="953"/>
      <c r="PWM86" s="953"/>
      <c r="PWN86" s="953"/>
      <c r="PWO86" s="953"/>
      <c r="PWP86" s="953"/>
      <c r="PWQ86" s="953"/>
      <c r="PWR86" s="953"/>
      <c r="PWS86" s="953"/>
      <c r="PWT86" s="953"/>
      <c r="PWU86" s="953"/>
      <c r="PWV86" s="953"/>
      <c r="PWW86" s="953"/>
      <c r="PWX86" s="953"/>
      <c r="PWY86" s="953"/>
      <c r="PWZ86" s="953"/>
      <c r="PXA86" s="953"/>
      <c r="PXB86" s="953"/>
      <c r="PXC86" s="953"/>
      <c r="PXD86" s="953"/>
      <c r="PXE86" s="953"/>
      <c r="PXF86" s="953"/>
      <c r="PXG86" s="953"/>
      <c r="PXH86" s="953"/>
      <c r="PXI86" s="953"/>
      <c r="PXJ86" s="953"/>
      <c r="PXK86" s="953"/>
      <c r="PXL86" s="953"/>
      <c r="PXM86" s="953"/>
      <c r="PXN86" s="953"/>
      <c r="PXO86" s="953"/>
      <c r="PXP86" s="953"/>
      <c r="PXQ86" s="953"/>
      <c r="PXR86" s="953"/>
      <c r="PXS86" s="953"/>
      <c r="PXT86" s="953"/>
      <c r="PXU86" s="953"/>
      <c r="PXV86" s="953"/>
      <c r="PXW86" s="953"/>
      <c r="PXX86" s="953"/>
      <c r="PXY86" s="953"/>
      <c r="PXZ86" s="953"/>
      <c r="PYA86" s="953"/>
      <c r="PYB86" s="953"/>
      <c r="PYC86" s="953"/>
      <c r="PYD86" s="953"/>
      <c r="PYE86" s="953"/>
      <c r="PYF86" s="953"/>
      <c r="PYG86" s="953"/>
      <c r="PYH86" s="953"/>
      <c r="PYI86" s="953"/>
      <c r="PYJ86" s="953"/>
      <c r="PYK86" s="953"/>
      <c r="PYL86" s="953"/>
      <c r="PYM86" s="953"/>
      <c r="PYN86" s="953"/>
      <c r="PYO86" s="953"/>
      <c r="PYP86" s="953"/>
      <c r="PYQ86" s="953"/>
      <c r="PYR86" s="953"/>
      <c r="PYS86" s="953"/>
      <c r="PYT86" s="953"/>
      <c r="PYU86" s="953"/>
      <c r="PYV86" s="953"/>
      <c r="PYW86" s="953"/>
      <c r="PYX86" s="953"/>
      <c r="PYY86" s="953"/>
      <c r="PYZ86" s="953"/>
      <c r="PZA86" s="953"/>
      <c r="PZB86" s="953"/>
      <c r="PZC86" s="953"/>
      <c r="PZD86" s="953"/>
      <c r="PZE86" s="953"/>
      <c r="PZF86" s="953"/>
      <c r="PZG86" s="953"/>
      <c r="PZH86" s="953"/>
      <c r="PZI86" s="953"/>
      <c r="PZJ86" s="953"/>
      <c r="PZK86" s="953"/>
      <c r="PZL86" s="953"/>
      <c r="PZM86" s="953"/>
      <c r="PZN86" s="953"/>
      <c r="PZO86" s="953"/>
      <c r="PZP86" s="953"/>
      <c r="PZQ86" s="953"/>
      <c r="PZR86" s="953"/>
      <c r="PZS86" s="953"/>
      <c r="PZT86" s="953"/>
      <c r="PZU86" s="953"/>
      <c r="PZV86" s="953"/>
      <c r="PZW86" s="953"/>
      <c r="PZX86" s="953"/>
      <c r="PZY86" s="953"/>
      <c r="PZZ86" s="953"/>
      <c r="QAA86" s="953"/>
      <c r="QAB86" s="953"/>
      <c r="QAC86" s="953"/>
      <c r="QAD86" s="953"/>
      <c r="QAE86" s="953"/>
      <c r="QAF86" s="953"/>
      <c r="QAG86" s="953"/>
      <c r="QAH86" s="953"/>
      <c r="QAI86" s="953"/>
      <c r="QAJ86" s="953"/>
      <c r="QAK86" s="953"/>
      <c r="QAL86" s="953"/>
      <c r="QAM86" s="953"/>
      <c r="QAN86" s="953"/>
      <c r="QAO86" s="953"/>
      <c r="QAP86" s="953"/>
      <c r="QAQ86" s="953"/>
      <c r="QAR86" s="953"/>
      <c r="QAS86" s="953"/>
      <c r="QAT86" s="953"/>
      <c r="QAU86" s="953"/>
      <c r="QAV86" s="953"/>
      <c r="QAW86" s="953"/>
      <c r="QAX86" s="953"/>
      <c r="QAY86" s="953"/>
      <c r="QAZ86" s="953"/>
      <c r="QBA86" s="953"/>
      <c r="QBB86" s="953"/>
      <c r="QBC86" s="953"/>
      <c r="QBD86" s="953"/>
      <c r="QBE86" s="953"/>
      <c r="QBF86" s="953"/>
      <c r="QBG86" s="953"/>
      <c r="QBH86" s="953"/>
      <c r="QBI86" s="953"/>
      <c r="QBJ86" s="953"/>
      <c r="QBK86" s="953"/>
      <c r="QBL86" s="953"/>
      <c r="QBM86" s="953"/>
      <c r="QBN86" s="953"/>
      <c r="QBO86" s="953"/>
      <c r="QBP86" s="953"/>
      <c r="QBQ86" s="953"/>
      <c r="QBR86" s="953"/>
      <c r="QBS86" s="953"/>
      <c r="QBT86" s="953"/>
      <c r="QBU86" s="953"/>
      <c r="QBV86" s="953"/>
      <c r="QBW86" s="953"/>
      <c r="QBX86" s="953"/>
      <c r="QBY86" s="953"/>
      <c r="QBZ86" s="953"/>
      <c r="QCA86" s="953"/>
      <c r="QCB86" s="953"/>
      <c r="QCC86" s="953"/>
      <c r="QCD86" s="953"/>
      <c r="QCE86" s="953"/>
      <c r="QCF86" s="953"/>
      <c r="QCG86" s="953"/>
      <c r="QCH86" s="953"/>
      <c r="QCI86" s="953"/>
      <c r="QCJ86" s="953"/>
      <c r="QCK86" s="953"/>
      <c r="QCL86" s="953"/>
      <c r="QCM86" s="953"/>
      <c r="QCN86" s="953"/>
      <c r="QCO86" s="953"/>
      <c r="QCP86" s="953"/>
      <c r="QCQ86" s="953"/>
      <c r="QCR86" s="953"/>
      <c r="QCS86" s="953"/>
      <c r="QCT86" s="953"/>
      <c r="QCU86" s="953"/>
      <c r="QCV86" s="953"/>
      <c r="QCW86" s="953"/>
      <c r="QCX86" s="953"/>
      <c r="QCY86" s="953"/>
      <c r="QCZ86" s="953"/>
      <c r="QDA86" s="953"/>
      <c r="QDB86" s="953"/>
      <c r="QDC86" s="953"/>
      <c r="QDD86" s="953"/>
      <c r="QDE86" s="953"/>
      <c r="QDF86" s="953"/>
      <c r="QDG86" s="953"/>
      <c r="QDH86" s="953"/>
      <c r="QDI86" s="953"/>
      <c r="QDJ86" s="953"/>
      <c r="QDK86" s="953"/>
      <c r="QDL86" s="953"/>
      <c r="QDM86" s="953"/>
      <c r="QDN86" s="953"/>
      <c r="QDO86" s="953"/>
      <c r="QDP86" s="953"/>
      <c r="QDQ86" s="953"/>
      <c r="QDR86" s="953"/>
      <c r="QDS86" s="953"/>
      <c r="QDT86" s="953"/>
      <c r="QDU86" s="953"/>
      <c r="QDV86" s="953"/>
      <c r="QDW86" s="953"/>
      <c r="QDX86" s="953"/>
      <c r="QDY86" s="953"/>
      <c r="QDZ86" s="953"/>
      <c r="QEA86" s="953"/>
      <c r="QEB86" s="953"/>
      <c r="QEC86" s="953"/>
      <c r="QED86" s="953"/>
      <c r="QEE86" s="953"/>
      <c r="QEF86" s="953"/>
      <c r="QEG86" s="953"/>
      <c r="QEH86" s="953"/>
      <c r="QEI86" s="953"/>
      <c r="QEJ86" s="953"/>
      <c r="QEK86" s="953"/>
      <c r="QEL86" s="953"/>
      <c r="QEM86" s="953"/>
      <c r="QEN86" s="953"/>
      <c r="QEO86" s="953"/>
      <c r="QEP86" s="953"/>
      <c r="QEQ86" s="953"/>
      <c r="QER86" s="953"/>
      <c r="QES86" s="953"/>
      <c r="QET86" s="953"/>
      <c r="QEU86" s="953"/>
      <c r="QEV86" s="953"/>
      <c r="QEW86" s="953"/>
      <c r="QEX86" s="953"/>
      <c r="QEY86" s="953"/>
      <c r="QEZ86" s="953"/>
      <c r="QFA86" s="953"/>
      <c r="QFB86" s="953"/>
      <c r="QFC86" s="953"/>
      <c r="QFD86" s="953"/>
      <c r="QFE86" s="953"/>
      <c r="QFF86" s="953"/>
      <c r="QFG86" s="953"/>
      <c r="QFH86" s="953"/>
      <c r="QFI86" s="953"/>
      <c r="QFJ86" s="953"/>
      <c r="QFK86" s="953"/>
      <c r="QFL86" s="953"/>
      <c r="QFM86" s="953"/>
      <c r="QFN86" s="953"/>
      <c r="QFO86" s="953"/>
      <c r="QFP86" s="953"/>
      <c r="QFQ86" s="953"/>
      <c r="QFR86" s="953"/>
      <c r="QFS86" s="953"/>
      <c r="QFT86" s="953"/>
      <c r="QFU86" s="953"/>
      <c r="QFV86" s="953"/>
      <c r="QFW86" s="953"/>
      <c r="QFX86" s="953"/>
      <c r="QFY86" s="953"/>
      <c r="QFZ86" s="953"/>
      <c r="QGA86" s="953"/>
      <c r="QGB86" s="953"/>
      <c r="QGC86" s="953"/>
      <c r="QGD86" s="953"/>
      <c r="QGE86" s="953"/>
      <c r="QGF86" s="953"/>
      <c r="QGG86" s="953"/>
      <c r="QGH86" s="953"/>
      <c r="QGI86" s="953"/>
      <c r="QGJ86" s="953"/>
      <c r="QGK86" s="953"/>
      <c r="QGL86" s="953"/>
      <c r="QGM86" s="953"/>
      <c r="QGN86" s="953"/>
      <c r="QGO86" s="953"/>
      <c r="QGP86" s="953"/>
      <c r="QGQ86" s="953"/>
      <c r="QGR86" s="953"/>
      <c r="QGS86" s="953"/>
      <c r="QGT86" s="953"/>
      <c r="QGU86" s="953"/>
      <c r="QGV86" s="953"/>
      <c r="QGW86" s="953"/>
      <c r="QGX86" s="953"/>
      <c r="QGY86" s="953"/>
      <c r="QGZ86" s="953"/>
      <c r="QHA86" s="953"/>
      <c r="QHB86" s="953"/>
      <c r="QHC86" s="953"/>
      <c r="QHD86" s="953"/>
      <c r="QHE86" s="953"/>
      <c r="QHF86" s="953"/>
      <c r="QHG86" s="953"/>
      <c r="QHH86" s="953"/>
      <c r="QHI86" s="953"/>
      <c r="QHJ86" s="953"/>
      <c r="QHK86" s="953"/>
      <c r="QHL86" s="953"/>
      <c r="QHM86" s="953"/>
      <c r="QHN86" s="953"/>
      <c r="QHO86" s="953"/>
      <c r="QHP86" s="953"/>
      <c r="QHQ86" s="953"/>
      <c r="QHR86" s="953"/>
      <c r="QHS86" s="953"/>
      <c r="QHT86" s="953"/>
      <c r="QHU86" s="953"/>
      <c r="QHV86" s="953"/>
      <c r="QHW86" s="953"/>
      <c r="QHX86" s="953"/>
      <c r="QHY86" s="953"/>
      <c r="QHZ86" s="953"/>
      <c r="QIA86" s="953"/>
      <c r="QIB86" s="953"/>
      <c r="QIC86" s="953"/>
      <c r="QID86" s="953"/>
      <c r="QIE86" s="953"/>
      <c r="QIF86" s="953"/>
      <c r="QIG86" s="953"/>
      <c r="QIH86" s="953"/>
      <c r="QII86" s="953"/>
      <c r="QIJ86" s="953"/>
      <c r="QIK86" s="953"/>
      <c r="QIL86" s="953"/>
      <c r="QIM86" s="953"/>
      <c r="QIN86" s="953"/>
      <c r="QIO86" s="953"/>
      <c r="QIP86" s="953"/>
      <c r="QIQ86" s="953"/>
      <c r="QIR86" s="953"/>
      <c r="QIS86" s="953"/>
      <c r="QIT86" s="953"/>
      <c r="QIU86" s="953"/>
      <c r="QIV86" s="953"/>
      <c r="QIW86" s="953"/>
      <c r="QIX86" s="953"/>
      <c r="QIY86" s="953"/>
      <c r="QIZ86" s="953"/>
      <c r="QJA86" s="953"/>
      <c r="QJB86" s="953"/>
      <c r="QJC86" s="953"/>
      <c r="QJD86" s="953"/>
      <c r="QJE86" s="953"/>
      <c r="QJF86" s="953"/>
      <c r="QJG86" s="953"/>
      <c r="QJH86" s="953"/>
      <c r="QJI86" s="953"/>
      <c r="QJJ86" s="953"/>
      <c r="QJK86" s="953"/>
      <c r="QJL86" s="953"/>
      <c r="QJM86" s="953"/>
      <c r="QJN86" s="953"/>
      <c r="QJO86" s="953"/>
      <c r="QJP86" s="953"/>
      <c r="QJQ86" s="953"/>
      <c r="QJR86" s="953"/>
      <c r="QJS86" s="953"/>
      <c r="QJT86" s="953"/>
      <c r="QJU86" s="953"/>
      <c r="QJV86" s="953"/>
      <c r="QJW86" s="953"/>
      <c r="QJX86" s="953"/>
      <c r="QJY86" s="953"/>
      <c r="QJZ86" s="953"/>
      <c r="QKA86" s="953"/>
      <c r="QKB86" s="953"/>
      <c r="QKC86" s="953"/>
      <c r="QKD86" s="953"/>
      <c r="QKE86" s="953"/>
      <c r="QKF86" s="953"/>
      <c r="QKG86" s="953"/>
      <c r="QKH86" s="953"/>
      <c r="QKI86" s="953"/>
      <c r="QKJ86" s="953"/>
      <c r="QKK86" s="953"/>
      <c r="QKL86" s="953"/>
      <c r="QKM86" s="953"/>
      <c r="QKN86" s="953"/>
      <c r="QKO86" s="953"/>
      <c r="QKP86" s="953"/>
      <c r="QKQ86" s="953"/>
      <c r="QKR86" s="953"/>
      <c r="QKS86" s="953"/>
      <c r="QKT86" s="953"/>
      <c r="QKU86" s="953"/>
      <c r="QKV86" s="953"/>
      <c r="QKW86" s="953"/>
      <c r="QKX86" s="953"/>
      <c r="QKY86" s="953"/>
      <c r="QKZ86" s="953"/>
      <c r="QLA86" s="953"/>
      <c r="QLB86" s="953"/>
      <c r="QLC86" s="953"/>
      <c r="QLD86" s="953"/>
      <c r="QLE86" s="953"/>
      <c r="QLF86" s="953"/>
      <c r="QLG86" s="953"/>
      <c r="QLH86" s="953"/>
      <c r="QLI86" s="953"/>
      <c r="QLJ86" s="953"/>
      <c r="QLK86" s="953"/>
      <c r="QLL86" s="953"/>
      <c r="QLM86" s="953"/>
      <c r="QLN86" s="953"/>
      <c r="QLO86" s="953"/>
      <c r="QLP86" s="953"/>
      <c r="QLQ86" s="953"/>
      <c r="QLR86" s="953"/>
      <c r="QLS86" s="953"/>
      <c r="QLT86" s="953"/>
      <c r="QLU86" s="953"/>
      <c r="QLV86" s="953"/>
      <c r="QLW86" s="953"/>
      <c r="QLX86" s="953"/>
      <c r="QLY86" s="953"/>
      <c r="QLZ86" s="953"/>
      <c r="QMA86" s="953"/>
      <c r="QMB86" s="953"/>
      <c r="QMC86" s="953"/>
      <c r="QMD86" s="953"/>
      <c r="QME86" s="953"/>
      <c r="QMF86" s="953"/>
      <c r="QMG86" s="953"/>
      <c r="QMH86" s="953"/>
      <c r="QMI86" s="953"/>
      <c r="QMJ86" s="953"/>
      <c r="QMK86" s="953"/>
      <c r="QML86" s="953"/>
      <c r="QMM86" s="953"/>
      <c r="QMN86" s="953"/>
      <c r="QMO86" s="953"/>
      <c r="QMP86" s="953"/>
      <c r="QMQ86" s="953"/>
      <c r="QMR86" s="953"/>
      <c r="QMS86" s="953"/>
      <c r="QMT86" s="953"/>
      <c r="QMU86" s="953"/>
      <c r="QMV86" s="953"/>
      <c r="QMW86" s="953"/>
      <c r="QMX86" s="953"/>
      <c r="QMY86" s="953"/>
      <c r="QMZ86" s="953"/>
      <c r="QNA86" s="953"/>
      <c r="QNB86" s="953"/>
      <c r="QNC86" s="953"/>
      <c r="QND86" s="953"/>
      <c r="QNE86" s="953"/>
      <c r="QNF86" s="953"/>
      <c r="QNG86" s="953"/>
      <c r="QNH86" s="953"/>
      <c r="QNI86" s="953"/>
      <c r="QNJ86" s="953"/>
      <c r="QNK86" s="953"/>
      <c r="QNL86" s="953"/>
      <c r="QNM86" s="953"/>
      <c r="QNN86" s="953"/>
      <c r="QNO86" s="953"/>
      <c r="QNP86" s="953"/>
      <c r="QNQ86" s="953"/>
      <c r="QNR86" s="953"/>
      <c r="QNS86" s="953"/>
      <c r="QNT86" s="953"/>
      <c r="QNU86" s="953"/>
      <c r="QNV86" s="953"/>
      <c r="QNW86" s="953"/>
      <c r="QNX86" s="953"/>
      <c r="QNY86" s="953"/>
      <c r="QNZ86" s="953"/>
      <c r="QOA86" s="953"/>
      <c r="QOB86" s="953"/>
      <c r="QOC86" s="953"/>
      <c r="QOD86" s="953"/>
      <c r="QOE86" s="953"/>
      <c r="QOF86" s="953"/>
      <c r="QOG86" s="953"/>
      <c r="QOH86" s="953"/>
      <c r="QOI86" s="953"/>
      <c r="QOJ86" s="953"/>
      <c r="QOK86" s="953"/>
      <c r="QOL86" s="953"/>
      <c r="QOM86" s="953"/>
      <c r="QON86" s="953"/>
      <c r="QOO86" s="953"/>
      <c r="QOP86" s="953"/>
      <c r="QOQ86" s="953"/>
      <c r="QOR86" s="953"/>
      <c r="QOS86" s="953"/>
      <c r="QOT86" s="953"/>
      <c r="QOU86" s="953"/>
      <c r="QOV86" s="953"/>
      <c r="QOW86" s="953"/>
      <c r="QOX86" s="953"/>
      <c r="QOY86" s="953"/>
      <c r="QOZ86" s="953"/>
      <c r="QPA86" s="953"/>
      <c r="QPB86" s="953"/>
      <c r="QPC86" s="953"/>
      <c r="QPD86" s="953"/>
      <c r="QPE86" s="953"/>
      <c r="QPF86" s="953"/>
      <c r="QPG86" s="953"/>
      <c r="QPH86" s="953"/>
      <c r="QPI86" s="953"/>
      <c r="QPJ86" s="953"/>
      <c r="QPK86" s="953"/>
      <c r="QPL86" s="953"/>
      <c r="QPM86" s="953"/>
      <c r="QPN86" s="953"/>
      <c r="QPO86" s="953"/>
      <c r="QPP86" s="953"/>
      <c r="QPQ86" s="953"/>
      <c r="QPR86" s="953"/>
      <c r="QPS86" s="953"/>
      <c r="QPT86" s="953"/>
      <c r="QPU86" s="953"/>
      <c r="QPV86" s="953"/>
      <c r="QPW86" s="953"/>
      <c r="QPX86" s="953"/>
      <c r="QPY86" s="953"/>
      <c r="QPZ86" s="953"/>
      <c r="QQA86" s="953"/>
      <c r="QQB86" s="953"/>
      <c r="QQC86" s="953"/>
      <c r="QQD86" s="953"/>
      <c r="QQE86" s="953"/>
      <c r="QQF86" s="953"/>
      <c r="QQG86" s="953"/>
      <c r="QQH86" s="953"/>
      <c r="QQI86" s="953"/>
      <c r="QQJ86" s="953"/>
      <c r="QQK86" s="953"/>
      <c r="QQL86" s="953"/>
      <c r="QQM86" s="953"/>
      <c r="QQN86" s="953"/>
      <c r="QQO86" s="953"/>
      <c r="QQP86" s="953"/>
      <c r="QQQ86" s="953"/>
      <c r="QQR86" s="953"/>
      <c r="QQS86" s="953"/>
      <c r="QQT86" s="953"/>
      <c r="QQU86" s="953"/>
      <c r="QQV86" s="953"/>
      <c r="QQW86" s="953"/>
      <c r="QQX86" s="953"/>
      <c r="QQY86" s="953"/>
      <c r="QQZ86" s="953"/>
      <c r="QRA86" s="953"/>
      <c r="QRB86" s="953"/>
      <c r="QRC86" s="953"/>
      <c r="QRD86" s="953"/>
      <c r="QRE86" s="953"/>
      <c r="QRF86" s="953"/>
      <c r="QRG86" s="953"/>
      <c r="QRH86" s="953"/>
      <c r="QRI86" s="953"/>
      <c r="QRJ86" s="953"/>
      <c r="QRK86" s="953"/>
      <c r="QRL86" s="953"/>
      <c r="QRM86" s="953"/>
      <c r="QRN86" s="953"/>
      <c r="QRO86" s="953"/>
      <c r="QRP86" s="953"/>
      <c r="QRQ86" s="953"/>
      <c r="QRR86" s="953"/>
      <c r="QRS86" s="953"/>
      <c r="QRT86" s="953"/>
      <c r="QRU86" s="953"/>
      <c r="QRV86" s="953"/>
      <c r="QRW86" s="953"/>
      <c r="QRX86" s="953"/>
      <c r="QRY86" s="953"/>
      <c r="QRZ86" s="953"/>
      <c r="QSA86" s="953"/>
      <c r="QSB86" s="953"/>
      <c r="QSC86" s="953"/>
      <c r="QSD86" s="953"/>
      <c r="QSE86" s="953"/>
      <c r="QSF86" s="953"/>
      <c r="QSG86" s="953"/>
      <c r="QSH86" s="953"/>
      <c r="QSI86" s="953"/>
      <c r="QSJ86" s="953"/>
      <c r="QSK86" s="953"/>
      <c r="QSL86" s="953"/>
      <c r="QSM86" s="953"/>
      <c r="QSN86" s="953"/>
      <c r="QSO86" s="953"/>
      <c r="QSP86" s="953"/>
      <c r="QSQ86" s="953"/>
      <c r="QSR86" s="953"/>
      <c r="QSS86" s="953"/>
      <c r="QST86" s="953"/>
      <c r="QSU86" s="953"/>
      <c r="QSV86" s="953"/>
      <c r="QSW86" s="953"/>
      <c r="QSX86" s="953"/>
      <c r="QSY86" s="953"/>
      <c r="QSZ86" s="953"/>
      <c r="QTA86" s="953"/>
      <c r="QTB86" s="953"/>
      <c r="QTC86" s="953"/>
      <c r="QTD86" s="953"/>
      <c r="QTE86" s="953"/>
      <c r="QTF86" s="953"/>
      <c r="QTG86" s="953"/>
      <c r="QTH86" s="953"/>
      <c r="QTI86" s="953"/>
      <c r="QTJ86" s="953"/>
      <c r="QTK86" s="953"/>
      <c r="QTL86" s="953"/>
      <c r="QTM86" s="953"/>
      <c r="QTN86" s="953"/>
      <c r="QTO86" s="953"/>
      <c r="QTP86" s="953"/>
      <c r="QTQ86" s="953"/>
      <c r="QTR86" s="953"/>
      <c r="QTS86" s="953"/>
      <c r="QTT86" s="953"/>
      <c r="QTU86" s="953"/>
      <c r="QTV86" s="953"/>
      <c r="QTW86" s="953"/>
      <c r="QTX86" s="953"/>
      <c r="QTY86" s="953"/>
      <c r="QTZ86" s="953"/>
      <c r="QUA86" s="953"/>
      <c r="QUB86" s="953"/>
      <c r="QUC86" s="953"/>
      <c r="QUD86" s="953"/>
      <c r="QUE86" s="953"/>
      <c r="QUF86" s="953"/>
      <c r="QUG86" s="953"/>
      <c r="QUH86" s="953"/>
      <c r="QUI86" s="953"/>
      <c r="QUJ86" s="953"/>
      <c r="QUK86" s="953"/>
      <c r="QUL86" s="953"/>
      <c r="QUM86" s="953"/>
      <c r="QUN86" s="953"/>
      <c r="QUO86" s="953"/>
      <c r="QUP86" s="953"/>
      <c r="QUQ86" s="953"/>
      <c r="QUR86" s="953"/>
      <c r="QUS86" s="953"/>
      <c r="QUT86" s="953"/>
      <c r="QUU86" s="953"/>
      <c r="QUV86" s="953"/>
      <c r="QUW86" s="953"/>
      <c r="QUX86" s="953"/>
      <c r="QUY86" s="953"/>
      <c r="QUZ86" s="953"/>
      <c r="QVA86" s="953"/>
      <c r="QVB86" s="953"/>
      <c r="QVC86" s="953"/>
      <c r="QVD86" s="953"/>
      <c r="QVE86" s="953"/>
      <c r="QVF86" s="953"/>
      <c r="QVG86" s="953"/>
      <c r="QVH86" s="953"/>
      <c r="QVI86" s="953"/>
      <c r="QVJ86" s="953"/>
      <c r="QVK86" s="953"/>
      <c r="QVL86" s="953"/>
      <c r="QVM86" s="953"/>
      <c r="QVN86" s="953"/>
      <c r="QVO86" s="953"/>
      <c r="QVP86" s="953"/>
      <c r="QVQ86" s="953"/>
      <c r="QVR86" s="953"/>
      <c r="QVS86" s="953"/>
      <c r="QVT86" s="953"/>
      <c r="QVU86" s="953"/>
      <c r="QVV86" s="953"/>
      <c r="QVW86" s="953"/>
      <c r="QVX86" s="953"/>
      <c r="QVY86" s="953"/>
      <c r="QVZ86" s="953"/>
      <c r="QWA86" s="953"/>
      <c r="QWB86" s="953"/>
      <c r="QWC86" s="953"/>
      <c r="QWD86" s="953"/>
      <c r="QWE86" s="953"/>
      <c r="QWF86" s="953"/>
      <c r="QWG86" s="953"/>
      <c r="QWH86" s="953"/>
      <c r="QWI86" s="953"/>
      <c r="QWJ86" s="953"/>
      <c r="QWK86" s="953"/>
      <c r="QWL86" s="953"/>
      <c r="QWM86" s="953"/>
      <c r="QWN86" s="953"/>
      <c r="QWO86" s="953"/>
      <c r="QWP86" s="953"/>
      <c r="QWQ86" s="953"/>
      <c r="QWR86" s="953"/>
      <c r="QWS86" s="953"/>
      <c r="QWT86" s="953"/>
      <c r="QWU86" s="953"/>
      <c r="QWV86" s="953"/>
      <c r="QWW86" s="953"/>
      <c r="QWX86" s="953"/>
      <c r="QWY86" s="953"/>
      <c r="QWZ86" s="953"/>
      <c r="QXA86" s="953"/>
      <c r="QXB86" s="953"/>
      <c r="QXC86" s="953"/>
      <c r="QXD86" s="953"/>
      <c r="QXE86" s="953"/>
      <c r="QXF86" s="953"/>
      <c r="QXG86" s="953"/>
      <c r="QXH86" s="953"/>
      <c r="QXI86" s="953"/>
      <c r="QXJ86" s="953"/>
      <c r="QXK86" s="953"/>
      <c r="QXL86" s="953"/>
      <c r="QXM86" s="953"/>
      <c r="QXN86" s="953"/>
      <c r="QXO86" s="953"/>
      <c r="QXP86" s="953"/>
      <c r="QXQ86" s="953"/>
      <c r="QXR86" s="953"/>
      <c r="QXS86" s="953"/>
      <c r="QXT86" s="953"/>
      <c r="QXU86" s="953"/>
      <c r="QXV86" s="953"/>
      <c r="QXW86" s="953"/>
      <c r="QXX86" s="953"/>
      <c r="QXY86" s="953"/>
      <c r="QXZ86" s="953"/>
      <c r="QYA86" s="953"/>
      <c r="QYB86" s="953"/>
      <c r="QYC86" s="953"/>
      <c r="QYD86" s="953"/>
      <c r="QYE86" s="953"/>
      <c r="QYF86" s="953"/>
      <c r="QYG86" s="953"/>
      <c r="QYH86" s="953"/>
      <c r="QYI86" s="953"/>
      <c r="QYJ86" s="953"/>
      <c r="QYK86" s="953"/>
      <c r="QYL86" s="953"/>
      <c r="QYM86" s="953"/>
      <c r="QYN86" s="953"/>
      <c r="QYO86" s="953"/>
      <c r="QYP86" s="953"/>
      <c r="QYQ86" s="953"/>
      <c r="QYR86" s="953"/>
      <c r="QYS86" s="953"/>
      <c r="QYT86" s="953"/>
      <c r="QYU86" s="953"/>
      <c r="QYV86" s="953"/>
      <c r="QYW86" s="953"/>
      <c r="QYX86" s="953"/>
      <c r="QYY86" s="953"/>
      <c r="QYZ86" s="953"/>
      <c r="QZA86" s="953"/>
      <c r="QZB86" s="953"/>
      <c r="QZC86" s="953"/>
      <c r="QZD86" s="953"/>
      <c r="QZE86" s="953"/>
      <c r="QZF86" s="953"/>
      <c r="QZG86" s="953"/>
      <c r="QZH86" s="953"/>
      <c r="QZI86" s="953"/>
      <c r="QZJ86" s="953"/>
      <c r="QZK86" s="953"/>
      <c r="QZL86" s="953"/>
      <c r="QZM86" s="953"/>
      <c r="QZN86" s="953"/>
      <c r="QZO86" s="953"/>
      <c r="QZP86" s="953"/>
      <c r="QZQ86" s="953"/>
      <c r="QZR86" s="953"/>
      <c r="QZS86" s="953"/>
      <c r="QZT86" s="953"/>
      <c r="QZU86" s="953"/>
      <c r="QZV86" s="953"/>
      <c r="QZW86" s="953"/>
      <c r="QZX86" s="953"/>
      <c r="QZY86" s="953"/>
      <c r="QZZ86" s="953"/>
      <c r="RAA86" s="953"/>
      <c r="RAB86" s="953"/>
      <c r="RAC86" s="953"/>
      <c r="RAD86" s="953"/>
      <c r="RAE86" s="953"/>
      <c r="RAF86" s="953"/>
      <c r="RAG86" s="953"/>
      <c r="RAH86" s="953"/>
      <c r="RAI86" s="953"/>
      <c r="RAJ86" s="953"/>
      <c r="RAK86" s="953"/>
      <c r="RAL86" s="953"/>
      <c r="RAM86" s="953"/>
      <c r="RAN86" s="953"/>
      <c r="RAO86" s="953"/>
      <c r="RAP86" s="953"/>
      <c r="RAQ86" s="953"/>
      <c r="RAR86" s="953"/>
      <c r="RAS86" s="953"/>
      <c r="RAT86" s="953"/>
      <c r="RAU86" s="953"/>
      <c r="RAV86" s="953"/>
      <c r="RAW86" s="953"/>
      <c r="RAX86" s="953"/>
      <c r="RAY86" s="953"/>
      <c r="RAZ86" s="953"/>
      <c r="RBA86" s="953"/>
      <c r="RBB86" s="953"/>
      <c r="RBC86" s="953"/>
      <c r="RBD86" s="953"/>
      <c r="RBE86" s="953"/>
      <c r="RBF86" s="953"/>
      <c r="RBG86" s="953"/>
      <c r="RBH86" s="953"/>
      <c r="RBI86" s="953"/>
      <c r="RBJ86" s="953"/>
      <c r="RBK86" s="953"/>
      <c r="RBL86" s="953"/>
      <c r="RBM86" s="953"/>
      <c r="RBN86" s="953"/>
      <c r="RBO86" s="953"/>
      <c r="RBP86" s="953"/>
      <c r="RBQ86" s="953"/>
      <c r="RBR86" s="953"/>
      <c r="RBS86" s="953"/>
      <c r="RBT86" s="953"/>
      <c r="RBU86" s="953"/>
      <c r="RBV86" s="953"/>
      <c r="RBW86" s="953"/>
      <c r="RBX86" s="953"/>
      <c r="RBY86" s="953"/>
      <c r="RBZ86" s="953"/>
      <c r="RCA86" s="953"/>
      <c r="RCB86" s="953"/>
      <c r="RCC86" s="953"/>
      <c r="RCD86" s="953"/>
      <c r="RCE86" s="953"/>
      <c r="RCF86" s="953"/>
      <c r="RCG86" s="953"/>
      <c r="RCH86" s="953"/>
      <c r="RCI86" s="953"/>
      <c r="RCJ86" s="953"/>
      <c r="RCK86" s="953"/>
      <c r="RCL86" s="953"/>
      <c r="RCM86" s="953"/>
      <c r="RCN86" s="953"/>
      <c r="RCO86" s="953"/>
      <c r="RCP86" s="953"/>
      <c r="RCQ86" s="953"/>
      <c r="RCR86" s="953"/>
      <c r="RCS86" s="953"/>
      <c r="RCT86" s="953"/>
      <c r="RCU86" s="953"/>
      <c r="RCV86" s="953"/>
      <c r="RCW86" s="953"/>
      <c r="RCX86" s="953"/>
      <c r="RCY86" s="953"/>
      <c r="RCZ86" s="953"/>
      <c r="RDA86" s="953"/>
      <c r="RDB86" s="953"/>
      <c r="RDC86" s="953"/>
      <c r="RDD86" s="953"/>
      <c r="RDE86" s="953"/>
      <c r="RDF86" s="953"/>
      <c r="RDG86" s="953"/>
      <c r="RDH86" s="953"/>
      <c r="RDI86" s="953"/>
      <c r="RDJ86" s="953"/>
      <c r="RDK86" s="953"/>
      <c r="RDL86" s="953"/>
      <c r="RDM86" s="953"/>
      <c r="RDN86" s="953"/>
      <c r="RDO86" s="953"/>
      <c r="RDP86" s="953"/>
      <c r="RDQ86" s="953"/>
      <c r="RDR86" s="953"/>
      <c r="RDS86" s="953"/>
      <c r="RDT86" s="953"/>
      <c r="RDU86" s="953"/>
      <c r="RDV86" s="953"/>
      <c r="RDW86" s="953"/>
      <c r="RDX86" s="953"/>
      <c r="RDY86" s="953"/>
      <c r="RDZ86" s="953"/>
      <c r="REA86" s="953"/>
      <c r="REB86" s="953"/>
      <c r="REC86" s="953"/>
      <c r="RED86" s="953"/>
      <c r="REE86" s="953"/>
      <c r="REF86" s="953"/>
      <c r="REG86" s="953"/>
      <c r="REH86" s="953"/>
      <c r="REI86" s="953"/>
      <c r="REJ86" s="953"/>
      <c r="REK86" s="953"/>
      <c r="REL86" s="953"/>
      <c r="REM86" s="953"/>
      <c r="REN86" s="953"/>
      <c r="REO86" s="953"/>
      <c r="REP86" s="953"/>
      <c r="REQ86" s="953"/>
      <c r="RER86" s="953"/>
      <c r="RES86" s="953"/>
      <c r="RET86" s="953"/>
      <c r="REU86" s="953"/>
      <c r="REV86" s="953"/>
      <c r="REW86" s="953"/>
      <c r="REX86" s="953"/>
      <c r="REY86" s="953"/>
      <c r="REZ86" s="953"/>
      <c r="RFA86" s="953"/>
      <c r="RFB86" s="953"/>
      <c r="RFC86" s="953"/>
      <c r="RFD86" s="953"/>
      <c r="RFE86" s="953"/>
      <c r="RFF86" s="953"/>
      <c r="RFG86" s="953"/>
      <c r="RFH86" s="953"/>
      <c r="RFI86" s="953"/>
      <c r="RFJ86" s="953"/>
      <c r="RFK86" s="953"/>
      <c r="RFL86" s="953"/>
      <c r="RFM86" s="953"/>
      <c r="RFN86" s="953"/>
      <c r="RFO86" s="953"/>
      <c r="RFP86" s="953"/>
      <c r="RFQ86" s="953"/>
      <c r="RFR86" s="953"/>
      <c r="RFS86" s="953"/>
      <c r="RFT86" s="953"/>
      <c r="RFU86" s="953"/>
      <c r="RFV86" s="953"/>
      <c r="RFW86" s="953"/>
      <c r="RFX86" s="953"/>
      <c r="RFY86" s="953"/>
      <c r="RFZ86" s="953"/>
      <c r="RGA86" s="953"/>
      <c r="RGB86" s="953"/>
      <c r="RGC86" s="953"/>
      <c r="RGD86" s="953"/>
      <c r="RGE86" s="953"/>
      <c r="RGF86" s="953"/>
      <c r="RGG86" s="953"/>
      <c r="RGH86" s="953"/>
      <c r="RGI86" s="953"/>
      <c r="RGJ86" s="953"/>
      <c r="RGK86" s="953"/>
      <c r="RGL86" s="953"/>
      <c r="RGM86" s="953"/>
      <c r="RGN86" s="953"/>
      <c r="RGO86" s="953"/>
      <c r="RGP86" s="953"/>
      <c r="RGQ86" s="953"/>
      <c r="RGR86" s="953"/>
      <c r="RGS86" s="953"/>
      <c r="RGT86" s="953"/>
      <c r="RGU86" s="953"/>
      <c r="RGV86" s="953"/>
      <c r="RGW86" s="953"/>
      <c r="RGX86" s="953"/>
      <c r="RGY86" s="953"/>
      <c r="RGZ86" s="953"/>
      <c r="RHA86" s="953"/>
      <c r="RHB86" s="953"/>
      <c r="RHC86" s="953"/>
      <c r="RHD86" s="953"/>
      <c r="RHE86" s="953"/>
      <c r="RHF86" s="953"/>
      <c r="RHG86" s="953"/>
      <c r="RHH86" s="953"/>
      <c r="RHI86" s="953"/>
      <c r="RHJ86" s="953"/>
      <c r="RHK86" s="953"/>
      <c r="RHL86" s="953"/>
      <c r="RHM86" s="953"/>
      <c r="RHN86" s="953"/>
      <c r="RHO86" s="953"/>
      <c r="RHP86" s="953"/>
      <c r="RHQ86" s="953"/>
      <c r="RHR86" s="953"/>
      <c r="RHS86" s="953"/>
      <c r="RHT86" s="953"/>
      <c r="RHU86" s="953"/>
      <c r="RHV86" s="953"/>
      <c r="RHW86" s="953"/>
      <c r="RHX86" s="953"/>
      <c r="RHY86" s="953"/>
      <c r="RHZ86" s="953"/>
      <c r="RIA86" s="953"/>
      <c r="RIB86" s="953"/>
      <c r="RIC86" s="953"/>
      <c r="RID86" s="953"/>
      <c r="RIE86" s="953"/>
      <c r="RIF86" s="953"/>
      <c r="RIG86" s="953"/>
      <c r="RIH86" s="953"/>
      <c r="RII86" s="953"/>
      <c r="RIJ86" s="953"/>
      <c r="RIK86" s="953"/>
      <c r="RIL86" s="953"/>
      <c r="RIM86" s="953"/>
      <c r="RIN86" s="953"/>
      <c r="RIO86" s="953"/>
      <c r="RIP86" s="953"/>
      <c r="RIQ86" s="953"/>
      <c r="RIR86" s="953"/>
      <c r="RIS86" s="953"/>
      <c r="RIT86" s="953"/>
      <c r="RIU86" s="953"/>
      <c r="RIV86" s="953"/>
      <c r="RIW86" s="953"/>
      <c r="RIX86" s="953"/>
      <c r="RIY86" s="953"/>
      <c r="RIZ86" s="953"/>
      <c r="RJA86" s="953"/>
      <c r="RJB86" s="953"/>
      <c r="RJC86" s="953"/>
      <c r="RJD86" s="953"/>
      <c r="RJE86" s="953"/>
      <c r="RJF86" s="953"/>
      <c r="RJG86" s="953"/>
      <c r="RJH86" s="953"/>
      <c r="RJI86" s="953"/>
      <c r="RJJ86" s="953"/>
      <c r="RJK86" s="953"/>
      <c r="RJL86" s="953"/>
      <c r="RJM86" s="953"/>
      <c r="RJN86" s="953"/>
      <c r="RJO86" s="953"/>
      <c r="RJP86" s="953"/>
      <c r="RJQ86" s="953"/>
      <c r="RJR86" s="953"/>
      <c r="RJS86" s="953"/>
      <c r="RJT86" s="953"/>
      <c r="RJU86" s="953"/>
      <c r="RJV86" s="953"/>
      <c r="RJW86" s="953"/>
      <c r="RJX86" s="953"/>
      <c r="RJY86" s="953"/>
      <c r="RJZ86" s="953"/>
      <c r="RKA86" s="953"/>
      <c r="RKB86" s="953"/>
      <c r="RKC86" s="953"/>
      <c r="RKD86" s="953"/>
      <c r="RKE86" s="953"/>
      <c r="RKF86" s="953"/>
      <c r="RKG86" s="953"/>
      <c r="RKH86" s="953"/>
      <c r="RKI86" s="953"/>
      <c r="RKJ86" s="953"/>
      <c r="RKK86" s="953"/>
      <c r="RKL86" s="953"/>
      <c r="RKM86" s="953"/>
      <c r="RKN86" s="953"/>
      <c r="RKO86" s="953"/>
      <c r="RKP86" s="953"/>
      <c r="RKQ86" s="953"/>
      <c r="RKR86" s="953"/>
      <c r="RKS86" s="953"/>
      <c r="RKT86" s="953"/>
      <c r="RKU86" s="953"/>
      <c r="RKV86" s="953"/>
      <c r="RKW86" s="953"/>
      <c r="RKX86" s="953"/>
      <c r="RKY86" s="953"/>
      <c r="RKZ86" s="953"/>
      <c r="RLA86" s="953"/>
      <c r="RLB86" s="953"/>
      <c r="RLC86" s="953"/>
      <c r="RLD86" s="953"/>
      <c r="RLE86" s="953"/>
      <c r="RLF86" s="953"/>
      <c r="RLG86" s="953"/>
      <c r="RLH86" s="953"/>
      <c r="RLI86" s="953"/>
      <c r="RLJ86" s="953"/>
      <c r="RLK86" s="953"/>
      <c r="RLL86" s="953"/>
      <c r="RLM86" s="953"/>
      <c r="RLN86" s="953"/>
      <c r="RLO86" s="953"/>
      <c r="RLP86" s="953"/>
      <c r="RLQ86" s="953"/>
      <c r="RLR86" s="953"/>
      <c r="RLS86" s="953"/>
      <c r="RLT86" s="953"/>
      <c r="RLU86" s="953"/>
      <c r="RLV86" s="953"/>
      <c r="RLW86" s="953"/>
      <c r="RLX86" s="953"/>
      <c r="RLY86" s="953"/>
      <c r="RLZ86" s="953"/>
      <c r="RMA86" s="953"/>
      <c r="RMB86" s="953"/>
      <c r="RMC86" s="953"/>
      <c r="RMD86" s="953"/>
      <c r="RME86" s="953"/>
      <c r="RMF86" s="953"/>
      <c r="RMG86" s="953"/>
      <c r="RMH86" s="953"/>
      <c r="RMI86" s="953"/>
      <c r="RMJ86" s="953"/>
      <c r="RMK86" s="953"/>
      <c r="RML86" s="953"/>
      <c r="RMM86" s="953"/>
      <c r="RMN86" s="953"/>
      <c r="RMO86" s="953"/>
      <c r="RMP86" s="953"/>
      <c r="RMQ86" s="953"/>
      <c r="RMR86" s="953"/>
      <c r="RMS86" s="953"/>
      <c r="RMT86" s="953"/>
      <c r="RMU86" s="953"/>
      <c r="RMV86" s="953"/>
      <c r="RMW86" s="953"/>
      <c r="RMX86" s="953"/>
      <c r="RMY86" s="953"/>
      <c r="RMZ86" s="953"/>
      <c r="RNA86" s="953"/>
      <c r="RNB86" s="953"/>
      <c r="RNC86" s="953"/>
      <c r="RND86" s="953"/>
      <c r="RNE86" s="953"/>
      <c r="RNF86" s="953"/>
      <c r="RNG86" s="953"/>
      <c r="RNH86" s="953"/>
      <c r="RNI86" s="953"/>
      <c r="RNJ86" s="953"/>
      <c r="RNK86" s="953"/>
      <c r="RNL86" s="953"/>
      <c r="RNM86" s="953"/>
      <c r="RNN86" s="953"/>
      <c r="RNO86" s="953"/>
      <c r="RNP86" s="953"/>
      <c r="RNQ86" s="953"/>
      <c r="RNR86" s="953"/>
      <c r="RNS86" s="953"/>
      <c r="RNT86" s="953"/>
      <c r="RNU86" s="953"/>
      <c r="RNV86" s="953"/>
      <c r="RNW86" s="953"/>
      <c r="RNX86" s="953"/>
      <c r="RNY86" s="953"/>
      <c r="RNZ86" s="953"/>
      <c r="ROA86" s="953"/>
      <c r="ROB86" s="953"/>
      <c r="ROC86" s="953"/>
      <c r="ROD86" s="953"/>
      <c r="ROE86" s="953"/>
      <c r="ROF86" s="953"/>
      <c r="ROG86" s="953"/>
      <c r="ROH86" s="953"/>
      <c r="ROI86" s="953"/>
      <c r="ROJ86" s="953"/>
      <c r="ROK86" s="953"/>
      <c r="ROL86" s="953"/>
      <c r="ROM86" s="953"/>
      <c r="RON86" s="953"/>
      <c r="ROO86" s="953"/>
      <c r="ROP86" s="953"/>
      <c r="ROQ86" s="953"/>
      <c r="ROR86" s="953"/>
      <c r="ROS86" s="953"/>
      <c r="ROT86" s="953"/>
      <c r="ROU86" s="953"/>
      <c r="ROV86" s="953"/>
      <c r="ROW86" s="953"/>
      <c r="ROX86" s="953"/>
      <c r="ROY86" s="953"/>
      <c r="ROZ86" s="953"/>
      <c r="RPA86" s="953"/>
      <c r="RPB86" s="953"/>
      <c r="RPC86" s="953"/>
      <c r="RPD86" s="953"/>
      <c r="RPE86" s="953"/>
      <c r="RPF86" s="953"/>
      <c r="RPG86" s="953"/>
      <c r="RPH86" s="953"/>
      <c r="RPI86" s="953"/>
      <c r="RPJ86" s="953"/>
      <c r="RPK86" s="953"/>
      <c r="RPL86" s="953"/>
      <c r="RPM86" s="953"/>
      <c r="RPN86" s="953"/>
      <c r="RPO86" s="953"/>
      <c r="RPP86" s="953"/>
      <c r="RPQ86" s="953"/>
      <c r="RPR86" s="953"/>
      <c r="RPS86" s="953"/>
      <c r="RPT86" s="953"/>
      <c r="RPU86" s="953"/>
      <c r="RPV86" s="953"/>
      <c r="RPW86" s="953"/>
      <c r="RPX86" s="953"/>
      <c r="RPY86" s="953"/>
      <c r="RPZ86" s="953"/>
      <c r="RQA86" s="953"/>
      <c r="RQB86" s="953"/>
      <c r="RQC86" s="953"/>
      <c r="RQD86" s="953"/>
      <c r="RQE86" s="953"/>
      <c r="RQF86" s="953"/>
      <c r="RQG86" s="953"/>
      <c r="RQH86" s="953"/>
      <c r="RQI86" s="953"/>
      <c r="RQJ86" s="953"/>
      <c r="RQK86" s="953"/>
      <c r="RQL86" s="953"/>
      <c r="RQM86" s="953"/>
      <c r="RQN86" s="953"/>
      <c r="RQO86" s="953"/>
      <c r="RQP86" s="953"/>
      <c r="RQQ86" s="953"/>
      <c r="RQR86" s="953"/>
      <c r="RQS86" s="953"/>
      <c r="RQT86" s="953"/>
      <c r="RQU86" s="953"/>
      <c r="RQV86" s="953"/>
      <c r="RQW86" s="953"/>
      <c r="RQX86" s="953"/>
      <c r="RQY86" s="953"/>
      <c r="RQZ86" s="953"/>
      <c r="RRA86" s="953"/>
      <c r="RRB86" s="953"/>
      <c r="RRC86" s="953"/>
      <c r="RRD86" s="953"/>
      <c r="RRE86" s="953"/>
      <c r="RRF86" s="953"/>
      <c r="RRG86" s="953"/>
      <c r="RRH86" s="953"/>
      <c r="RRI86" s="953"/>
      <c r="RRJ86" s="953"/>
      <c r="RRK86" s="953"/>
      <c r="RRL86" s="953"/>
      <c r="RRM86" s="953"/>
      <c r="RRN86" s="953"/>
      <c r="RRO86" s="953"/>
      <c r="RRP86" s="953"/>
      <c r="RRQ86" s="953"/>
      <c r="RRR86" s="953"/>
      <c r="RRS86" s="953"/>
      <c r="RRT86" s="953"/>
      <c r="RRU86" s="953"/>
      <c r="RRV86" s="953"/>
      <c r="RRW86" s="953"/>
      <c r="RRX86" s="953"/>
      <c r="RRY86" s="953"/>
      <c r="RRZ86" s="953"/>
      <c r="RSA86" s="953"/>
      <c r="RSB86" s="953"/>
      <c r="RSC86" s="953"/>
      <c r="RSD86" s="953"/>
      <c r="RSE86" s="953"/>
      <c r="RSF86" s="953"/>
      <c r="RSG86" s="953"/>
      <c r="RSH86" s="953"/>
      <c r="RSI86" s="953"/>
      <c r="RSJ86" s="953"/>
      <c r="RSK86" s="953"/>
      <c r="RSL86" s="953"/>
      <c r="RSM86" s="953"/>
      <c r="RSN86" s="953"/>
      <c r="RSO86" s="953"/>
      <c r="RSP86" s="953"/>
      <c r="RSQ86" s="953"/>
      <c r="RSR86" s="953"/>
      <c r="RSS86" s="953"/>
      <c r="RST86" s="953"/>
      <c r="RSU86" s="953"/>
      <c r="RSV86" s="953"/>
      <c r="RSW86" s="953"/>
      <c r="RSX86" s="953"/>
      <c r="RSY86" s="953"/>
      <c r="RSZ86" s="953"/>
      <c r="RTA86" s="953"/>
      <c r="RTB86" s="953"/>
      <c r="RTC86" s="953"/>
      <c r="RTD86" s="953"/>
      <c r="RTE86" s="953"/>
      <c r="RTF86" s="953"/>
      <c r="RTG86" s="953"/>
      <c r="RTH86" s="953"/>
      <c r="RTI86" s="953"/>
      <c r="RTJ86" s="953"/>
      <c r="RTK86" s="953"/>
      <c r="RTL86" s="953"/>
      <c r="RTM86" s="953"/>
      <c r="RTN86" s="953"/>
      <c r="RTO86" s="953"/>
      <c r="RTP86" s="953"/>
      <c r="RTQ86" s="953"/>
      <c r="RTR86" s="953"/>
      <c r="RTS86" s="953"/>
      <c r="RTT86" s="953"/>
      <c r="RTU86" s="953"/>
      <c r="RTV86" s="953"/>
      <c r="RTW86" s="953"/>
      <c r="RTX86" s="953"/>
      <c r="RTY86" s="953"/>
      <c r="RTZ86" s="953"/>
      <c r="RUA86" s="953"/>
      <c r="RUB86" s="953"/>
      <c r="RUC86" s="953"/>
      <c r="RUD86" s="953"/>
      <c r="RUE86" s="953"/>
      <c r="RUF86" s="953"/>
      <c r="RUG86" s="953"/>
      <c r="RUH86" s="953"/>
      <c r="RUI86" s="953"/>
      <c r="RUJ86" s="953"/>
      <c r="RUK86" s="953"/>
      <c r="RUL86" s="953"/>
      <c r="RUM86" s="953"/>
      <c r="RUN86" s="953"/>
      <c r="RUO86" s="953"/>
      <c r="RUP86" s="953"/>
      <c r="RUQ86" s="953"/>
      <c r="RUR86" s="953"/>
      <c r="RUS86" s="953"/>
      <c r="RUT86" s="953"/>
      <c r="RUU86" s="953"/>
      <c r="RUV86" s="953"/>
      <c r="RUW86" s="953"/>
      <c r="RUX86" s="953"/>
      <c r="RUY86" s="953"/>
      <c r="RUZ86" s="953"/>
      <c r="RVA86" s="953"/>
      <c r="RVB86" s="953"/>
      <c r="RVC86" s="953"/>
      <c r="RVD86" s="953"/>
      <c r="RVE86" s="953"/>
      <c r="RVF86" s="953"/>
      <c r="RVG86" s="953"/>
      <c r="RVH86" s="953"/>
      <c r="RVI86" s="953"/>
      <c r="RVJ86" s="953"/>
      <c r="RVK86" s="953"/>
      <c r="RVL86" s="953"/>
      <c r="RVM86" s="953"/>
      <c r="RVN86" s="953"/>
      <c r="RVO86" s="953"/>
      <c r="RVP86" s="953"/>
      <c r="RVQ86" s="953"/>
      <c r="RVR86" s="953"/>
      <c r="RVS86" s="953"/>
      <c r="RVT86" s="953"/>
      <c r="RVU86" s="953"/>
      <c r="RVV86" s="953"/>
      <c r="RVW86" s="953"/>
      <c r="RVX86" s="953"/>
      <c r="RVY86" s="953"/>
      <c r="RVZ86" s="953"/>
      <c r="RWA86" s="953"/>
      <c r="RWB86" s="953"/>
      <c r="RWC86" s="953"/>
      <c r="RWD86" s="953"/>
      <c r="RWE86" s="953"/>
      <c r="RWF86" s="953"/>
      <c r="RWG86" s="953"/>
      <c r="RWH86" s="953"/>
      <c r="RWI86" s="953"/>
      <c r="RWJ86" s="953"/>
      <c r="RWK86" s="953"/>
      <c r="RWL86" s="953"/>
      <c r="RWM86" s="953"/>
      <c r="RWN86" s="953"/>
      <c r="RWO86" s="953"/>
      <c r="RWP86" s="953"/>
      <c r="RWQ86" s="953"/>
      <c r="RWR86" s="953"/>
      <c r="RWS86" s="953"/>
      <c r="RWT86" s="953"/>
      <c r="RWU86" s="953"/>
      <c r="RWV86" s="953"/>
      <c r="RWW86" s="953"/>
      <c r="RWX86" s="953"/>
      <c r="RWY86" s="953"/>
      <c r="RWZ86" s="953"/>
      <c r="RXA86" s="953"/>
      <c r="RXB86" s="953"/>
      <c r="RXC86" s="953"/>
      <c r="RXD86" s="953"/>
      <c r="RXE86" s="953"/>
      <c r="RXF86" s="953"/>
      <c r="RXG86" s="953"/>
      <c r="RXH86" s="953"/>
      <c r="RXI86" s="953"/>
      <c r="RXJ86" s="953"/>
      <c r="RXK86" s="953"/>
      <c r="RXL86" s="953"/>
      <c r="RXM86" s="953"/>
      <c r="RXN86" s="953"/>
      <c r="RXO86" s="953"/>
      <c r="RXP86" s="953"/>
      <c r="RXQ86" s="953"/>
      <c r="RXR86" s="953"/>
      <c r="RXS86" s="953"/>
      <c r="RXT86" s="953"/>
      <c r="RXU86" s="953"/>
      <c r="RXV86" s="953"/>
      <c r="RXW86" s="953"/>
      <c r="RXX86" s="953"/>
      <c r="RXY86" s="953"/>
      <c r="RXZ86" s="953"/>
      <c r="RYA86" s="953"/>
      <c r="RYB86" s="953"/>
      <c r="RYC86" s="953"/>
      <c r="RYD86" s="953"/>
      <c r="RYE86" s="953"/>
      <c r="RYF86" s="953"/>
      <c r="RYG86" s="953"/>
      <c r="RYH86" s="953"/>
      <c r="RYI86" s="953"/>
      <c r="RYJ86" s="953"/>
      <c r="RYK86" s="953"/>
      <c r="RYL86" s="953"/>
      <c r="RYM86" s="953"/>
      <c r="RYN86" s="953"/>
      <c r="RYO86" s="953"/>
      <c r="RYP86" s="953"/>
      <c r="RYQ86" s="953"/>
      <c r="RYR86" s="953"/>
      <c r="RYS86" s="953"/>
      <c r="RYT86" s="953"/>
      <c r="RYU86" s="953"/>
      <c r="RYV86" s="953"/>
      <c r="RYW86" s="953"/>
      <c r="RYX86" s="953"/>
      <c r="RYY86" s="953"/>
      <c r="RYZ86" s="953"/>
      <c r="RZA86" s="953"/>
      <c r="RZB86" s="953"/>
      <c r="RZC86" s="953"/>
      <c r="RZD86" s="953"/>
      <c r="RZE86" s="953"/>
      <c r="RZF86" s="953"/>
      <c r="RZG86" s="953"/>
      <c r="RZH86" s="953"/>
      <c r="RZI86" s="953"/>
      <c r="RZJ86" s="953"/>
      <c r="RZK86" s="953"/>
      <c r="RZL86" s="953"/>
      <c r="RZM86" s="953"/>
      <c r="RZN86" s="953"/>
      <c r="RZO86" s="953"/>
      <c r="RZP86" s="953"/>
      <c r="RZQ86" s="953"/>
      <c r="RZR86" s="953"/>
      <c r="RZS86" s="953"/>
      <c r="RZT86" s="953"/>
      <c r="RZU86" s="953"/>
      <c r="RZV86" s="953"/>
      <c r="RZW86" s="953"/>
      <c r="RZX86" s="953"/>
      <c r="RZY86" s="953"/>
      <c r="RZZ86" s="953"/>
      <c r="SAA86" s="953"/>
      <c r="SAB86" s="953"/>
      <c r="SAC86" s="953"/>
      <c r="SAD86" s="953"/>
      <c r="SAE86" s="953"/>
      <c r="SAF86" s="953"/>
      <c r="SAG86" s="953"/>
      <c r="SAH86" s="953"/>
      <c r="SAI86" s="953"/>
      <c r="SAJ86" s="953"/>
      <c r="SAK86" s="953"/>
      <c r="SAL86" s="953"/>
      <c r="SAM86" s="953"/>
      <c r="SAN86" s="953"/>
      <c r="SAO86" s="953"/>
      <c r="SAP86" s="953"/>
      <c r="SAQ86" s="953"/>
      <c r="SAR86" s="953"/>
      <c r="SAS86" s="953"/>
      <c r="SAT86" s="953"/>
      <c r="SAU86" s="953"/>
      <c r="SAV86" s="953"/>
      <c r="SAW86" s="953"/>
      <c r="SAX86" s="953"/>
      <c r="SAY86" s="953"/>
      <c r="SAZ86" s="953"/>
      <c r="SBA86" s="953"/>
      <c r="SBB86" s="953"/>
      <c r="SBC86" s="953"/>
      <c r="SBD86" s="953"/>
      <c r="SBE86" s="953"/>
      <c r="SBF86" s="953"/>
      <c r="SBG86" s="953"/>
      <c r="SBH86" s="953"/>
      <c r="SBI86" s="953"/>
      <c r="SBJ86" s="953"/>
      <c r="SBK86" s="953"/>
      <c r="SBL86" s="953"/>
      <c r="SBM86" s="953"/>
      <c r="SBN86" s="953"/>
      <c r="SBO86" s="953"/>
      <c r="SBP86" s="953"/>
      <c r="SBQ86" s="953"/>
      <c r="SBR86" s="953"/>
      <c r="SBS86" s="953"/>
      <c r="SBT86" s="953"/>
      <c r="SBU86" s="953"/>
      <c r="SBV86" s="953"/>
      <c r="SBW86" s="953"/>
      <c r="SBX86" s="953"/>
      <c r="SBY86" s="953"/>
      <c r="SBZ86" s="953"/>
      <c r="SCA86" s="953"/>
      <c r="SCB86" s="953"/>
      <c r="SCC86" s="953"/>
      <c r="SCD86" s="953"/>
      <c r="SCE86" s="953"/>
      <c r="SCF86" s="953"/>
      <c r="SCG86" s="953"/>
      <c r="SCH86" s="953"/>
      <c r="SCI86" s="953"/>
      <c r="SCJ86" s="953"/>
      <c r="SCK86" s="953"/>
      <c r="SCL86" s="953"/>
      <c r="SCM86" s="953"/>
      <c r="SCN86" s="953"/>
      <c r="SCO86" s="953"/>
      <c r="SCP86" s="953"/>
      <c r="SCQ86" s="953"/>
      <c r="SCR86" s="953"/>
      <c r="SCS86" s="953"/>
      <c r="SCT86" s="953"/>
      <c r="SCU86" s="953"/>
      <c r="SCV86" s="953"/>
      <c r="SCW86" s="953"/>
      <c r="SCX86" s="953"/>
      <c r="SCY86" s="953"/>
      <c r="SCZ86" s="953"/>
      <c r="SDA86" s="953"/>
      <c r="SDB86" s="953"/>
      <c r="SDC86" s="953"/>
      <c r="SDD86" s="953"/>
      <c r="SDE86" s="953"/>
      <c r="SDF86" s="953"/>
      <c r="SDG86" s="953"/>
      <c r="SDH86" s="953"/>
      <c r="SDI86" s="953"/>
      <c r="SDJ86" s="953"/>
      <c r="SDK86" s="953"/>
      <c r="SDL86" s="953"/>
      <c r="SDM86" s="953"/>
      <c r="SDN86" s="953"/>
      <c r="SDO86" s="953"/>
      <c r="SDP86" s="953"/>
      <c r="SDQ86" s="953"/>
      <c r="SDR86" s="953"/>
      <c r="SDS86" s="953"/>
      <c r="SDT86" s="953"/>
      <c r="SDU86" s="953"/>
      <c r="SDV86" s="953"/>
      <c r="SDW86" s="953"/>
      <c r="SDX86" s="953"/>
      <c r="SDY86" s="953"/>
      <c r="SDZ86" s="953"/>
      <c r="SEA86" s="953"/>
      <c r="SEB86" s="953"/>
      <c r="SEC86" s="953"/>
      <c r="SED86" s="953"/>
      <c r="SEE86" s="953"/>
      <c r="SEF86" s="953"/>
      <c r="SEG86" s="953"/>
      <c r="SEH86" s="953"/>
      <c r="SEI86" s="953"/>
      <c r="SEJ86" s="953"/>
      <c r="SEK86" s="953"/>
      <c r="SEL86" s="953"/>
      <c r="SEM86" s="953"/>
      <c r="SEN86" s="953"/>
      <c r="SEO86" s="953"/>
      <c r="SEP86" s="953"/>
      <c r="SEQ86" s="953"/>
      <c r="SER86" s="953"/>
      <c r="SES86" s="953"/>
      <c r="SET86" s="953"/>
      <c r="SEU86" s="953"/>
      <c r="SEV86" s="953"/>
      <c r="SEW86" s="953"/>
      <c r="SEX86" s="953"/>
      <c r="SEY86" s="953"/>
      <c r="SEZ86" s="953"/>
      <c r="SFA86" s="953"/>
      <c r="SFB86" s="953"/>
      <c r="SFC86" s="953"/>
      <c r="SFD86" s="953"/>
      <c r="SFE86" s="953"/>
      <c r="SFF86" s="953"/>
      <c r="SFG86" s="953"/>
      <c r="SFH86" s="953"/>
      <c r="SFI86" s="953"/>
      <c r="SFJ86" s="953"/>
      <c r="SFK86" s="953"/>
      <c r="SFL86" s="953"/>
      <c r="SFM86" s="953"/>
      <c r="SFN86" s="953"/>
      <c r="SFO86" s="953"/>
      <c r="SFP86" s="953"/>
      <c r="SFQ86" s="953"/>
      <c r="SFR86" s="953"/>
      <c r="SFS86" s="953"/>
      <c r="SFT86" s="953"/>
      <c r="SFU86" s="953"/>
      <c r="SFV86" s="953"/>
      <c r="SFW86" s="953"/>
      <c r="SFX86" s="953"/>
      <c r="SFY86" s="953"/>
      <c r="SFZ86" s="953"/>
      <c r="SGA86" s="953"/>
      <c r="SGB86" s="953"/>
      <c r="SGC86" s="953"/>
      <c r="SGD86" s="953"/>
      <c r="SGE86" s="953"/>
      <c r="SGF86" s="953"/>
      <c r="SGG86" s="953"/>
      <c r="SGH86" s="953"/>
      <c r="SGI86" s="953"/>
      <c r="SGJ86" s="953"/>
      <c r="SGK86" s="953"/>
      <c r="SGL86" s="953"/>
      <c r="SGM86" s="953"/>
      <c r="SGN86" s="953"/>
      <c r="SGO86" s="953"/>
      <c r="SGP86" s="953"/>
      <c r="SGQ86" s="953"/>
      <c r="SGR86" s="953"/>
      <c r="SGS86" s="953"/>
      <c r="SGT86" s="953"/>
      <c r="SGU86" s="953"/>
      <c r="SGV86" s="953"/>
      <c r="SGW86" s="953"/>
      <c r="SGX86" s="953"/>
      <c r="SGY86" s="953"/>
      <c r="SGZ86" s="953"/>
      <c r="SHA86" s="953"/>
      <c r="SHB86" s="953"/>
      <c r="SHC86" s="953"/>
      <c r="SHD86" s="953"/>
      <c r="SHE86" s="953"/>
      <c r="SHF86" s="953"/>
      <c r="SHG86" s="953"/>
      <c r="SHH86" s="953"/>
      <c r="SHI86" s="953"/>
      <c r="SHJ86" s="953"/>
      <c r="SHK86" s="953"/>
      <c r="SHL86" s="953"/>
      <c r="SHM86" s="953"/>
      <c r="SHN86" s="953"/>
      <c r="SHO86" s="953"/>
      <c r="SHP86" s="953"/>
      <c r="SHQ86" s="953"/>
      <c r="SHR86" s="953"/>
      <c r="SHS86" s="953"/>
      <c r="SHT86" s="953"/>
      <c r="SHU86" s="953"/>
      <c r="SHV86" s="953"/>
      <c r="SHW86" s="953"/>
      <c r="SHX86" s="953"/>
      <c r="SHY86" s="953"/>
      <c r="SHZ86" s="953"/>
      <c r="SIA86" s="953"/>
      <c r="SIB86" s="953"/>
      <c r="SIC86" s="953"/>
      <c r="SID86" s="953"/>
      <c r="SIE86" s="953"/>
      <c r="SIF86" s="953"/>
      <c r="SIG86" s="953"/>
      <c r="SIH86" s="953"/>
      <c r="SII86" s="953"/>
      <c r="SIJ86" s="953"/>
      <c r="SIK86" s="953"/>
      <c r="SIL86" s="953"/>
      <c r="SIM86" s="953"/>
      <c r="SIN86" s="953"/>
      <c r="SIO86" s="953"/>
      <c r="SIP86" s="953"/>
      <c r="SIQ86" s="953"/>
      <c r="SIR86" s="953"/>
      <c r="SIS86" s="953"/>
      <c r="SIT86" s="953"/>
      <c r="SIU86" s="953"/>
      <c r="SIV86" s="953"/>
      <c r="SIW86" s="953"/>
      <c r="SIX86" s="953"/>
      <c r="SIY86" s="953"/>
      <c r="SIZ86" s="953"/>
      <c r="SJA86" s="953"/>
      <c r="SJB86" s="953"/>
      <c r="SJC86" s="953"/>
      <c r="SJD86" s="953"/>
      <c r="SJE86" s="953"/>
      <c r="SJF86" s="953"/>
      <c r="SJG86" s="953"/>
      <c r="SJH86" s="953"/>
      <c r="SJI86" s="953"/>
      <c r="SJJ86" s="953"/>
      <c r="SJK86" s="953"/>
      <c r="SJL86" s="953"/>
      <c r="SJM86" s="953"/>
      <c r="SJN86" s="953"/>
      <c r="SJO86" s="953"/>
      <c r="SJP86" s="953"/>
      <c r="SJQ86" s="953"/>
      <c r="SJR86" s="953"/>
      <c r="SJS86" s="953"/>
      <c r="SJT86" s="953"/>
      <c r="SJU86" s="953"/>
      <c r="SJV86" s="953"/>
      <c r="SJW86" s="953"/>
      <c r="SJX86" s="953"/>
      <c r="SJY86" s="953"/>
      <c r="SJZ86" s="953"/>
      <c r="SKA86" s="953"/>
      <c r="SKB86" s="953"/>
      <c r="SKC86" s="953"/>
      <c r="SKD86" s="953"/>
      <c r="SKE86" s="953"/>
      <c r="SKF86" s="953"/>
      <c r="SKG86" s="953"/>
      <c r="SKH86" s="953"/>
      <c r="SKI86" s="953"/>
      <c r="SKJ86" s="953"/>
      <c r="SKK86" s="953"/>
      <c r="SKL86" s="953"/>
      <c r="SKM86" s="953"/>
      <c r="SKN86" s="953"/>
      <c r="SKO86" s="953"/>
      <c r="SKP86" s="953"/>
      <c r="SKQ86" s="953"/>
      <c r="SKR86" s="953"/>
      <c r="SKS86" s="953"/>
      <c r="SKT86" s="953"/>
      <c r="SKU86" s="953"/>
      <c r="SKV86" s="953"/>
      <c r="SKW86" s="953"/>
      <c r="SKX86" s="953"/>
      <c r="SKY86" s="953"/>
      <c r="SKZ86" s="953"/>
      <c r="SLA86" s="953"/>
      <c r="SLB86" s="953"/>
      <c r="SLC86" s="953"/>
      <c r="SLD86" s="953"/>
      <c r="SLE86" s="953"/>
      <c r="SLF86" s="953"/>
      <c r="SLG86" s="953"/>
      <c r="SLH86" s="953"/>
      <c r="SLI86" s="953"/>
      <c r="SLJ86" s="953"/>
      <c r="SLK86" s="953"/>
      <c r="SLL86" s="953"/>
      <c r="SLM86" s="953"/>
      <c r="SLN86" s="953"/>
      <c r="SLO86" s="953"/>
      <c r="SLP86" s="953"/>
      <c r="SLQ86" s="953"/>
      <c r="SLR86" s="953"/>
      <c r="SLS86" s="953"/>
      <c r="SLT86" s="953"/>
      <c r="SLU86" s="953"/>
      <c r="SLV86" s="953"/>
      <c r="SLW86" s="953"/>
      <c r="SLX86" s="953"/>
      <c r="SLY86" s="953"/>
      <c r="SLZ86" s="953"/>
      <c r="SMA86" s="953"/>
      <c r="SMB86" s="953"/>
      <c r="SMC86" s="953"/>
      <c r="SMD86" s="953"/>
      <c r="SME86" s="953"/>
      <c r="SMF86" s="953"/>
      <c r="SMG86" s="953"/>
      <c r="SMH86" s="953"/>
      <c r="SMI86" s="953"/>
      <c r="SMJ86" s="953"/>
      <c r="SMK86" s="953"/>
      <c r="SML86" s="953"/>
      <c r="SMM86" s="953"/>
      <c r="SMN86" s="953"/>
      <c r="SMO86" s="953"/>
      <c r="SMP86" s="953"/>
      <c r="SMQ86" s="953"/>
      <c r="SMR86" s="953"/>
      <c r="SMS86" s="953"/>
      <c r="SMT86" s="953"/>
      <c r="SMU86" s="953"/>
      <c r="SMV86" s="953"/>
      <c r="SMW86" s="953"/>
      <c r="SMX86" s="953"/>
      <c r="SMY86" s="953"/>
      <c r="SMZ86" s="953"/>
      <c r="SNA86" s="953"/>
      <c r="SNB86" s="953"/>
      <c r="SNC86" s="953"/>
      <c r="SND86" s="953"/>
      <c r="SNE86" s="953"/>
      <c r="SNF86" s="953"/>
      <c r="SNG86" s="953"/>
      <c r="SNH86" s="953"/>
      <c r="SNI86" s="953"/>
      <c r="SNJ86" s="953"/>
      <c r="SNK86" s="953"/>
      <c r="SNL86" s="953"/>
      <c r="SNM86" s="953"/>
      <c r="SNN86" s="953"/>
      <c r="SNO86" s="953"/>
      <c r="SNP86" s="953"/>
      <c r="SNQ86" s="953"/>
      <c r="SNR86" s="953"/>
      <c r="SNS86" s="953"/>
      <c r="SNT86" s="953"/>
      <c r="SNU86" s="953"/>
      <c r="SNV86" s="953"/>
      <c r="SNW86" s="953"/>
      <c r="SNX86" s="953"/>
      <c r="SNY86" s="953"/>
      <c r="SNZ86" s="953"/>
      <c r="SOA86" s="953"/>
      <c r="SOB86" s="953"/>
      <c r="SOC86" s="953"/>
      <c r="SOD86" s="953"/>
      <c r="SOE86" s="953"/>
      <c r="SOF86" s="953"/>
      <c r="SOG86" s="953"/>
      <c r="SOH86" s="953"/>
      <c r="SOI86" s="953"/>
      <c r="SOJ86" s="953"/>
      <c r="SOK86" s="953"/>
      <c r="SOL86" s="953"/>
      <c r="SOM86" s="953"/>
      <c r="SON86" s="953"/>
      <c r="SOO86" s="953"/>
      <c r="SOP86" s="953"/>
      <c r="SOQ86" s="953"/>
      <c r="SOR86" s="953"/>
      <c r="SOS86" s="953"/>
      <c r="SOT86" s="953"/>
      <c r="SOU86" s="953"/>
      <c r="SOV86" s="953"/>
      <c r="SOW86" s="953"/>
      <c r="SOX86" s="953"/>
      <c r="SOY86" s="953"/>
      <c r="SOZ86" s="953"/>
      <c r="SPA86" s="953"/>
      <c r="SPB86" s="953"/>
      <c r="SPC86" s="953"/>
      <c r="SPD86" s="953"/>
      <c r="SPE86" s="953"/>
      <c r="SPF86" s="953"/>
      <c r="SPG86" s="953"/>
      <c r="SPH86" s="953"/>
      <c r="SPI86" s="953"/>
      <c r="SPJ86" s="953"/>
      <c r="SPK86" s="953"/>
      <c r="SPL86" s="953"/>
      <c r="SPM86" s="953"/>
      <c r="SPN86" s="953"/>
      <c r="SPO86" s="953"/>
      <c r="SPP86" s="953"/>
      <c r="SPQ86" s="953"/>
      <c r="SPR86" s="953"/>
      <c r="SPS86" s="953"/>
      <c r="SPT86" s="953"/>
      <c r="SPU86" s="953"/>
      <c r="SPV86" s="953"/>
      <c r="SPW86" s="953"/>
      <c r="SPX86" s="953"/>
      <c r="SPY86" s="953"/>
      <c r="SPZ86" s="953"/>
      <c r="SQA86" s="953"/>
      <c r="SQB86" s="953"/>
      <c r="SQC86" s="953"/>
      <c r="SQD86" s="953"/>
      <c r="SQE86" s="953"/>
      <c r="SQF86" s="953"/>
      <c r="SQG86" s="953"/>
      <c r="SQH86" s="953"/>
      <c r="SQI86" s="953"/>
      <c r="SQJ86" s="953"/>
      <c r="SQK86" s="953"/>
      <c r="SQL86" s="953"/>
      <c r="SQM86" s="953"/>
      <c r="SQN86" s="953"/>
      <c r="SQO86" s="953"/>
      <c r="SQP86" s="953"/>
      <c r="SQQ86" s="953"/>
      <c r="SQR86" s="953"/>
      <c r="SQS86" s="953"/>
      <c r="SQT86" s="953"/>
      <c r="SQU86" s="953"/>
      <c r="SQV86" s="953"/>
      <c r="SQW86" s="953"/>
      <c r="SQX86" s="953"/>
      <c r="SQY86" s="953"/>
      <c r="SQZ86" s="953"/>
      <c r="SRA86" s="953"/>
      <c r="SRB86" s="953"/>
      <c r="SRC86" s="953"/>
      <c r="SRD86" s="953"/>
      <c r="SRE86" s="953"/>
      <c r="SRF86" s="953"/>
      <c r="SRG86" s="953"/>
      <c r="SRH86" s="953"/>
      <c r="SRI86" s="953"/>
      <c r="SRJ86" s="953"/>
      <c r="SRK86" s="953"/>
      <c r="SRL86" s="953"/>
      <c r="SRM86" s="953"/>
      <c r="SRN86" s="953"/>
      <c r="SRO86" s="953"/>
      <c r="SRP86" s="953"/>
      <c r="SRQ86" s="953"/>
      <c r="SRR86" s="953"/>
      <c r="SRS86" s="953"/>
      <c r="SRT86" s="953"/>
      <c r="SRU86" s="953"/>
      <c r="SRV86" s="953"/>
      <c r="SRW86" s="953"/>
      <c r="SRX86" s="953"/>
      <c r="SRY86" s="953"/>
      <c r="SRZ86" s="953"/>
      <c r="SSA86" s="953"/>
      <c r="SSB86" s="953"/>
      <c r="SSC86" s="953"/>
      <c r="SSD86" s="953"/>
      <c r="SSE86" s="953"/>
      <c r="SSF86" s="953"/>
      <c r="SSG86" s="953"/>
      <c r="SSH86" s="953"/>
      <c r="SSI86" s="953"/>
      <c r="SSJ86" s="953"/>
      <c r="SSK86" s="953"/>
      <c r="SSL86" s="953"/>
      <c r="SSM86" s="953"/>
      <c r="SSN86" s="953"/>
      <c r="SSO86" s="953"/>
      <c r="SSP86" s="953"/>
      <c r="SSQ86" s="953"/>
      <c r="SSR86" s="953"/>
      <c r="SSS86" s="953"/>
      <c r="SST86" s="953"/>
      <c r="SSU86" s="953"/>
      <c r="SSV86" s="953"/>
      <c r="SSW86" s="953"/>
      <c r="SSX86" s="953"/>
      <c r="SSY86" s="953"/>
      <c r="SSZ86" s="953"/>
      <c r="STA86" s="953"/>
      <c r="STB86" s="953"/>
      <c r="STC86" s="953"/>
      <c r="STD86" s="953"/>
      <c r="STE86" s="953"/>
      <c r="STF86" s="953"/>
      <c r="STG86" s="953"/>
      <c r="STH86" s="953"/>
      <c r="STI86" s="953"/>
      <c r="STJ86" s="953"/>
      <c r="STK86" s="953"/>
      <c r="STL86" s="953"/>
      <c r="STM86" s="953"/>
      <c r="STN86" s="953"/>
      <c r="STO86" s="953"/>
      <c r="STP86" s="953"/>
      <c r="STQ86" s="953"/>
      <c r="STR86" s="953"/>
      <c r="STS86" s="953"/>
      <c r="STT86" s="953"/>
      <c r="STU86" s="953"/>
      <c r="STV86" s="953"/>
      <c r="STW86" s="953"/>
      <c r="STX86" s="953"/>
      <c r="STY86" s="953"/>
      <c r="STZ86" s="953"/>
      <c r="SUA86" s="953"/>
      <c r="SUB86" s="953"/>
      <c r="SUC86" s="953"/>
      <c r="SUD86" s="953"/>
      <c r="SUE86" s="953"/>
      <c r="SUF86" s="953"/>
      <c r="SUG86" s="953"/>
      <c r="SUH86" s="953"/>
      <c r="SUI86" s="953"/>
      <c r="SUJ86" s="953"/>
      <c r="SUK86" s="953"/>
      <c r="SUL86" s="953"/>
      <c r="SUM86" s="953"/>
      <c r="SUN86" s="953"/>
      <c r="SUO86" s="953"/>
      <c r="SUP86" s="953"/>
      <c r="SUQ86" s="953"/>
      <c r="SUR86" s="953"/>
      <c r="SUS86" s="953"/>
      <c r="SUT86" s="953"/>
      <c r="SUU86" s="953"/>
      <c r="SUV86" s="953"/>
      <c r="SUW86" s="953"/>
      <c r="SUX86" s="953"/>
      <c r="SUY86" s="953"/>
      <c r="SUZ86" s="953"/>
      <c r="SVA86" s="953"/>
      <c r="SVB86" s="953"/>
      <c r="SVC86" s="953"/>
      <c r="SVD86" s="953"/>
      <c r="SVE86" s="953"/>
      <c r="SVF86" s="953"/>
      <c r="SVG86" s="953"/>
      <c r="SVH86" s="953"/>
      <c r="SVI86" s="953"/>
      <c r="SVJ86" s="953"/>
      <c r="SVK86" s="953"/>
      <c r="SVL86" s="953"/>
      <c r="SVM86" s="953"/>
      <c r="SVN86" s="953"/>
      <c r="SVO86" s="953"/>
      <c r="SVP86" s="953"/>
      <c r="SVQ86" s="953"/>
      <c r="SVR86" s="953"/>
      <c r="SVS86" s="953"/>
      <c r="SVT86" s="953"/>
      <c r="SVU86" s="953"/>
      <c r="SVV86" s="953"/>
      <c r="SVW86" s="953"/>
      <c r="SVX86" s="953"/>
      <c r="SVY86" s="953"/>
      <c r="SVZ86" s="953"/>
      <c r="SWA86" s="953"/>
      <c r="SWB86" s="953"/>
      <c r="SWC86" s="953"/>
      <c r="SWD86" s="953"/>
      <c r="SWE86" s="953"/>
      <c r="SWF86" s="953"/>
      <c r="SWG86" s="953"/>
      <c r="SWH86" s="953"/>
      <c r="SWI86" s="953"/>
      <c r="SWJ86" s="953"/>
      <c r="SWK86" s="953"/>
      <c r="SWL86" s="953"/>
      <c r="SWM86" s="953"/>
      <c r="SWN86" s="953"/>
      <c r="SWO86" s="953"/>
      <c r="SWP86" s="953"/>
      <c r="SWQ86" s="953"/>
      <c r="SWR86" s="953"/>
      <c r="SWS86" s="953"/>
      <c r="SWT86" s="953"/>
      <c r="SWU86" s="953"/>
      <c r="SWV86" s="953"/>
      <c r="SWW86" s="953"/>
      <c r="SWX86" s="953"/>
      <c r="SWY86" s="953"/>
      <c r="SWZ86" s="953"/>
      <c r="SXA86" s="953"/>
      <c r="SXB86" s="953"/>
      <c r="SXC86" s="953"/>
      <c r="SXD86" s="953"/>
      <c r="SXE86" s="953"/>
      <c r="SXF86" s="953"/>
      <c r="SXG86" s="953"/>
      <c r="SXH86" s="953"/>
      <c r="SXI86" s="953"/>
      <c r="SXJ86" s="953"/>
      <c r="SXK86" s="953"/>
      <c r="SXL86" s="953"/>
      <c r="SXM86" s="953"/>
      <c r="SXN86" s="953"/>
      <c r="SXO86" s="953"/>
      <c r="SXP86" s="953"/>
      <c r="SXQ86" s="953"/>
      <c r="SXR86" s="953"/>
      <c r="SXS86" s="953"/>
      <c r="SXT86" s="953"/>
      <c r="SXU86" s="953"/>
      <c r="SXV86" s="953"/>
      <c r="SXW86" s="953"/>
      <c r="SXX86" s="953"/>
      <c r="SXY86" s="953"/>
      <c r="SXZ86" s="953"/>
      <c r="SYA86" s="953"/>
      <c r="SYB86" s="953"/>
      <c r="SYC86" s="953"/>
      <c r="SYD86" s="953"/>
      <c r="SYE86" s="953"/>
      <c r="SYF86" s="953"/>
      <c r="SYG86" s="953"/>
      <c r="SYH86" s="953"/>
      <c r="SYI86" s="953"/>
      <c r="SYJ86" s="953"/>
      <c r="SYK86" s="953"/>
      <c r="SYL86" s="953"/>
      <c r="SYM86" s="953"/>
      <c r="SYN86" s="953"/>
      <c r="SYO86" s="953"/>
      <c r="SYP86" s="953"/>
      <c r="SYQ86" s="953"/>
      <c r="SYR86" s="953"/>
      <c r="SYS86" s="953"/>
      <c r="SYT86" s="953"/>
      <c r="SYU86" s="953"/>
      <c r="SYV86" s="953"/>
      <c r="SYW86" s="953"/>
      <c r="SYX86" s="953"/>
      <c r="SYY86" s="953"/>
      <c r="SYZ86" s="953"/>
      <c r="SZA86" s="953"/>
      <c r="SZB86" s="953"/>
      <c r="SZC86" s="953"/>
      <c r="SZD86" s="953"/>
      <c r="SZE86" s="953"/>
      <c r="SZF86" s="953"/>
      <c r="SZG86" s="953"/>
      <c r="SZH86" s="953"/>
      <c r="SZI86" s="953"/>
      <c r="SZJ86" s="953"/>
      <c r="SZK86" s="953"/>
      <c r="SZL86" s="953"/>
      <c r="SZM86" s="953"/>
      <c r="SZN86" s="953"/>
      <c r="SZO86" s="953"/>
      <c r="SZP86" s="953"/>
      <c r="SZQ86" s="953"/>
      <c r="SZR86" s="953"/>
      <c r="SZS86" s="953"/>
      <c r="SZT86" s="953"/>
      <c r="SZU86" s="953"/>
      <c r="SZV86" s="953"/>
      <c r="SZW86" s="953"/>
      <c r="SZX86" s="953"/>
      <c r="SZY86" s="953"/>
      <c r="SZZ86" s="953"/>
      <c r="TAA86" s="953"/>
      <c r="TAB86" s="953"/>
      <c r="TAC86" s="953"/>
      <c r="TAD86" s="953"/>
      <c r="TAE86" s="953"/>
      <c r="TAF86" s="953"/>
      <c r="TAG86" s="953"/>
      <c r="TAH86" s="953"/>
      <c r="TAI86" s="953"/>
      <c r="TAJ86" s="953"/>
      <c r="TAK86" s="953"/>
      <c r="TAL86" s="953"/>
      <c r="TAM86" s="953"/>
      <c r="TAN86" s="953"/>
      <c r="TAO86" s="953"/>
      <c r="TAP86" s="953"/>
      <c r="TAQ86" s="953"/>
      <c r="TAR86" s="953"/>
      <c r="TAS86" s="953"/>
      <c r="TAT86" s="953"/>
      <c r="TAU86" s="953"/>
      <c r="TAV86" s="953"/>
      <c r="TAW86" s="953"/>
      <c r="TAX86" s="953"/>
      <c r="TAY86" s="953"/>
      <c r="TAZ86" s="953"/>
      <c r="TBA86" s="953"/>
      <c r="TBB86" s="953"/>
      <c r="TBC86" s="953"/>
      <c r="TBD86" s="953"/>
      <c r="TBE86" s="953"/>
      <c r="TBF86" s="953"/>
      <c r="TBG86" s="953"/>
      <c r="TBH86" s="953"/>
      <c r="TBI86" s="953"/>
      <c r="TBJ86" s="953"/>
      <c r="TBK86" s="953"/>
      <c r="TBL86" s="953"/>
      <c r="TBM86" s="953"/>
      <c r="TBN86" s="953"/>
      <c r="TBO86" s="953"/>
      <c r="TBP86" s="953"/>
      <c r="TBQ86" s="953"/>
      <c r="TBR86" s="953"/>
      <c r="TBS86" s="953"/>
      <c r="TBT86" s="953"/>
      <c r="TBU86" s="953"/>
      <c r="TBV86" s="953"/>
      <c r="TBW86" s="953"/>
      <c r="TBX86" s="953"/>
      <c r="TBY86" s="953"/>
      <c r="TBZ86" s="953"/>
      <c r="TCA86" s="953"/>
      <c r="TCB86" s="953"/>
      <c r="TCC86" s="953"/>
      <c r="TCD86" s="953"/>
      <c r="TCE86" s="953"/>
      <c r="TCF86" s="953"/>
      <c r="TCG86" s="953"/>
      <c r="TCH86" s="953"/>
      <c r="TCI86" s="953"/>
      <c r="TCJ86" s="953"/>
      <c r="TCK86" s="953"/>
      <c r="TCL86" s="953"/>
      <c r="TCM86" s="953"/>
      <c r="TCN86" s="953"/>
      <c r="TCO86" s="953"/>
      <c r="TCP86" s="953"/>
      <c r="TCQ86" s="953"/>
      <c r="TCR86" s="953"/>
      <c r="TCS86" s="953"/>
      <c r="TCT86" s="953"/>
      <c r="TCU86" s="953"/>
      <c r="TCV86" s="953"/>
      <c r="TCW86" s="953"/>
      <c r="TCX86" s="953"/>
      <c r="TCY86" s="953"/>
      <c r="TCZ86" s="953"/>
      <c r="TDA86" s="953"/>
      <c r="TDB86" s="953"/>
      <c r="TDC86" s="953"/>
      <c r="TDD86" s="953"/>
      <c r="TDE86" s="953"/>
      <c r="TDF86" s="953"/>
      <c r="TDG86" s="953"/>
      <c r="TDH86" s="953"/>
      <c r="TDI86" s="953"/>
      <c r="TDJ86" s="953"/>
      <c r="TDK86" s="953"/>
      <c r="TDL86" s="953"/>
      <c r="TDM86" s="953"/>
      <c r="TDN86" s="953"/>
      <c r="TDO86" s="953"/>
      <c r="TDP86" s="953"/>
      <c r="TDQ86" s="953"/>
      <c r="TDR86" s="953"/>
      <c r="TDS86" s="953"/>
      <c r="TDT86" s="953"/>
      <c r="TDU86" s="953"/>
      <c r="TDV86" s="953"/>
      <c r="TDW86" s="953"/>
      <c r="TDX86" s="953"/>
      <c r="TDY86" s="953"/>
      <c r="TDZ86" s="953"/>
      <c r="TEA86" s="953"/>
      <c r="TEB86" s="953"/>
      <c r="TEC86" s="953"/>
      <c r="TED86" s="953"/>
      <c r="TEE86" s="953"/>
      <c r="TEF86" s="953"/>
      <c r="TEG86" s="953"/>
      <c r="TEH86" s="953"/>
      <c r="TEI86" s="953"/>
      <c r="TEJ86" s="953"/>
      <c r="TEK86" s="953"/>
      <c r="TEL86" s="953"/>
      <c r="TEM86" s="953"/>
      <c r="TEN86" s="953"/>
      <c r="TEO86" s="953"/>
      <c r="TEP86" s="953"/>
      <c r="TEQ86" s="953"/>
      <c r="TER86" s="953"/>
      <c r="TES86" s="953"/>
      <c r="TET86" s="953"/>
      <c r="TEU86" s="953"/>
      <c r="TEV86" s="953"/>
      <c r="TEW86" s="953"/>
      <c r="TEX86" s="953"/>
      <c r="TEY86" s="953"/>
      <c r="TEZ86" s="953"/>
      <c r="TFA86" s="953"/>
      <c r="TFB86" s="953"/>
      <c r="TFC86" s="953"/>
      <c r="TFD86" s="953"/>
      <c r="TFE86" s="953"/>
      <c r="TFF86" s="953"/>
      <c r="TFG86" s="953"/>
      <c r="TFH86" s="953"/>
      <c r="TFI86" s="953"/>
      <c r="TFJ86" s="953"/>
      <c r="TFK86" s="953"/>
      <c r="TFL86" s="953"/>
      <c r="TFM86" s="953"/>
      <c r="TFN86" s="953"/>
      <c r="TFO86" s="953"/>
      <c r="TFP86" s="953"/>
      <c r="TFQ86" s="953"/>
      <c r="TFR86" s="953"/>
      <c r="TFS86" s="953"/>
      <c r="TFT86" s="953"/>
      <c r="TFU86" s="953"/>
      <c r="TFV86" s="953"/>
      <c r="TFW86" s="953"/>
      <c r="TFX86" s="953"/>
      <c r="TFY86" s="953"/>
      <c r="TFZ86" s="953"/>
      <c r="TGA86" s="953"/>
      <c r="TGB86" s="953"/>
      <c r="TGC86" s="953"/>
      <c r="TGD86" s="953"/>
      <c r="TGE86" s="953"/>
      <c r="TGF86" s="953"/>
      <c r="TGG86" s="953"/>
      <c r="TGH86" s="953"/>
      <c r="TGI86" s="953"/>
      <c r="TGJ86" s="953"/>
      <c r="TGK86" s="953"/>
      <c r="TGL86" s="953"/>
      <c r="TGM86" s="953"/>
      <c r="TGN86" s="953"/>
      <c r="TGO86" s="953"/>
      <c r="TGP86" s="953"/>
      <c r="TGQ86" s="953"/>
      <c r="TGR86" s="953"/>
      <c r="TGS86" s="953"/>
      <c r="TGT86" s="953"/>
      <c r="TGU86" s="953"/>
      <c r="TGV86" s="953"/>
      <c r="TGW86" s="953"/>
      <c r="TGX86" s="953"/>
      <c r="TGY86" s="953"/>
      <c r="TGZ86" s="953"/>
      <c r="THA86" s="953"/>
      <c r="THB86" s="953"/>
      <c r="THC86" s="953"/>
      <c r="THD86" s="953"/>
      <c r="THE86" s="953"/>
      <c r="THF86" s="953"/>
      <c r="THG86" s="953"/>
      <c r="THH86" s="953"/>
      <c r="THI86" s="953"/>
      <c r="THJ86" s="953"/>
      <c r="THK86" s="953"/>
      <c r="THL86" s="953"/>
      <c r="THM86" s="953"/>
      <c r="THN86" s="953"/>
      <c r="THO86" s="953"/>
      <c r="THP86" s="953"/>
      <c r="THQ86" s="953"/>
      <c r="THR86" s="953"/>
      <c r="THS86" s="953"/>
      <c r="THT86" s="953"/>
      <c r="THU86" s="953"/>
      <c r="THV86" s="953"/>
      <c r="THW86" s="953"/>
      <c r="THX86" s="953"/>
      <c r="THY86" s="953"/>
      <c r="THZ86" s="953"/>
      <c r="TIA86" s="953"/>
      <c r="TIB86" s="953"/>
      <c r="TIC86" s="953"/>
      <c r="TID86" s="953"/>
      <c r="TIE86" s="953"/>
      <c r="TIF86" s="953"/>
      <c r="TIG86" s="953"/>
      <c r="TIH86" s="953"/>
      <c r="TII86" s="953"/>
      <c r="TIJ86" s="953"/>
      <c r="TIK86" s="953"/>
      <c r="TIL86" s="953"/>
      <c r="TIM86" s="953"/>
      <c r="TIN86" s="953"/>
      <c r="TIO86" s="953"/>
      <c r="TIP86" s="953"/>
      <c r="TIQ86" s="953"/>
      <c r="TIR86" s="953"/>
      <c r="TIS86" s="953"/>
      <c r="TIT86" s="953"/>
      <c r="TIU86" s="953"/>
      <c r="TIV86" s="953"/>
      <c r="TIW86" s="953"/>
      <c r="TIX86" s="953"/>
      <c r="TIY86" s="953"/>
      <c r="TIZ86" s="953"/>
      <c r="TJA86" s="953"/>
      <c r="TJB86" s="953"/>
      <c r="TJC86" s="953"/>
      <c r="TJD86" s="953"/>
      <c r="TJE86" s="953"/>
      <c r="TJF86" s="953"/>
      <c r="TJG86" s="953"/>
      <c r="TJH86" s="953"/>
      <c r="TJI86" s="953"/>
      <c r="TJJ86" s="953"/>
      <c r="TJK86" s="953"/>
      <c r="TJL86" s="953"/>
      <c r="TJM86" s="953"/>
      <c r="TJN86" s="953"/>
      <c r="TJO86" s="953"/>
      <c r="TJP86" s="953"/>
      <c r="TJQ86" s="953"/>
      <c r="TJR86" s="953"/>
      <c r="TJS86" s="953"/>
      <c r="TJT86" s="953"/>
      <c r="TJU86" s="953"/>
      <c r="TJV86" s="953"/>
      <c r="TJW86" s="953"/>
      <c r="TJX86" s="953"/>
      <c r="TJY86" s="953"/>
      <c r="TJZ86" s="953"/>
      <c r="TKA86" s="953"/>
      <c r="TKB86" s="953"/>
      <c r="TKC86" s="953"/>
      <c r="TKD86" s="953"/>
      <c r="TKE86" s="953"/>
      <c r="TKF86" s="953"/>
      <c r="TKG86" s="953"/>
      <c r="TKH86" s="953"/>
      <c r="TKI86" s="953"/>
      <c r="TKJ86" s="953"/>
      <c r="TKK86" s="953"/>
      <c r="TKL86" s="953"/>
      <c r="TKM86" s="953"/>
      <c r="TKN86" s="953"/>
      <c r="TKO86" s="953"/>
      <c r="TKP86" s="953"/>
      <c r="TKQ86" s="953"/>
      <c r="TKR86" s="953"/>
      <c r="TKS86" s="953"/>
      <c r="TKT86" s="953"/>
      <c r="TKU86" s="953"/>
      <c r="TKV86" s="953"/>
      <c r="TKW86" s="953"/>
      <c r="TKX86" s="953"/>
      <c r="TKY86" s="953"/>
      <c r="TKZ86" s="953"/>
      <c r="TLA86" s="953"/>
      <c r="TLB86" s="953"/>
      <c r="TLC86" s="953"/>
      <c r="TLD86" s="953"/>
      <c r="TLE86" s="953"/>
      <c r="TLF86" s="953"/>
      <c r="TLG86" s="953"/>
      <c r="TLH86" s="953"/>
      <c r="TLI86" s="953"/>
      <c r="TLJ86" s="953"/>
      <c r="TLK86" s="953"/>
      <c r="TLL86" s="953"/>
      <c r="TLM86" s="953"/>
      <c r="TLN86" s="953"/>
      <c r="TLO86" s="953"/>
      <c r="TLP86" s="953"/>
      <c r="TLQ86" s="953"/>
      <c r="TLR86" s="953"/>
      <c r="TLS86" s="953"/>
      <c r="TLT86" s="953"/>
      <c r="TLU86" s="953"/>
      <c r="TLV86" s="953"/>
      <c r="TLW86" s="953"/>
      <c r="TLX86" s="953"/>
      <c r="TLY86" s="953"/>
      <c r="TLZ86" s="953"/>
      <c r="TMA86" s="953"/>
      <c r="TMB86" s="953"/>
      <c r="TMC86" s="953"/>
      <c r="TMD86" s="953"/>
      <c r="TME86" s="953"/>
      <c r="TMF86" s="953"/>
      <c r="TMG86" s="953"/>
      <c r="TMH86" s="953"/>
      <c r="TMI86" s="953"/>
      <c r="TMJ86" s="953"/>
      <c r="TMK86" s="953"/>
      <c r="TML86" s="953"/>
      <c r="TMM86" s="953"/>
      <c r="TMN86" s="953"/>
      <c r="TMO86" s="953"/>
      <c r="TMP86" s="953"/>
      <c r="TMQ86" s="953"/>
      <c r="TMR86" s="953"/>
      <c r="TMS86" s="953"/>
      <c r="TMT86" s="953"/>
      <c r="TMU86" s="953"/>
      <c r="TMV86" s="953"/>
      <c r="TMW86" s="953"/>
      <c r="TMX86" s="953"/>
      <c r="TMY86" s="953"/>
      <c r="TMZ86" s="953"/>
      <c r="TNA86" s="953"/>
      <c r="TNB86" s="953"/>
      <c r="TNC86" s="953"/>
      <c r="TND86" s="953"/>
      <c r="TNE86" s="953"/>
      <c r="TNF86" s="953"/>
      <c r="TNG86" s="953"/>
      <c r="TNH86" s="953"/>
      <c r="TNI86" s="953"/>
      <c r="TNJ86" s="953"/>
      <c r="TNK86" s="953"/>
      <c r="TNL86" s="953"/>
      <c r="TNM86" s="953"/>
      <c r="TNN86" s="953"/>
      <c r="TNO86" s="953"/>
      <c r="TNP86" s="953"/>
      <c r="TNQ86" s="953"/>
      <c r="TNR86" s="953"/>
      <c r="TNS86" s="953"/>
      <c r="TNT86" s="953"/>
      <c r="TNU86" s="953"/>
      <c r="TNV86" s="953"/>
      <c r="TNW86" s="953"/>
      <c r="TNX86" s="953"/>
      <c r="TNY86" s="953"/>
      <c r="TNZ86" s="953"/>
      <c r="TOA86" s="953"/>
      <c r="TOB86" s="953"/>
      <c r="TOC86" s="953"/>
      <c r="TOD86" s="953"/>
      <c r="TOE86" s="953"/>
      <c r="TOF86" s="953"/>
      <c r="TOG86" s="953"/>
      <c r="TOH86" s="953"/>
      <c r="TOI86" s="953"/>
      <c r="TOJ86" s="953"/>
      <c r="TOK86" s="953"/>
      <c r="TOL86" s="953"/>
      <c r="TOM86" s="953"/>
      <c r="TON86" s="953"/>
      <c r="TOO86" s="953"/>
      <c r="TOP86" s="953"/>
      <c r="TOQ86" s="953"/>
      <c r="TOR86" s="953"/>
      <c r="TOS86" s="953"/>
      <c r="TOT86" s="953"/>
      <c r="TOU86" s="953"/>
      <c r="TOV86" s="953"/>
      <c r="TOW86" s="953"/>
      <c r="TOX86" s="953"/>
      <c r="TOY86" s="953"/>
      <c r="TOZ86" s="953"/>
      <c r="TPA86" s="953"/>
      <c r="TPB86" s="953"/>
      <c r="TPC86" s="953"/>
      <c r="TPD86" s="953"/>
      <c r="TPE86" s="953"/>
      <c r="TPF86" s="953"/>
      <c r="TPG86" s="953"/>
      <c r="TPH86" s="953"/>
      <c r="TPI86" s="953"/>
      <c r="TPJ86" s="953"/>
      <c r="TPK86" s="953"/>
      <c r="TPL86" s="953"/>
      <c r="TPM86" s="953"/>
      <c r="TPN86" s="953"/>
      <c r="TPO86" s="953"/>
      <c r="TPP86" s="953"/>
      <c r="TPQ86" s="953"/>
      <c r="TPR86" s="953"/>
      <c r="TPS86" s="953"/>
      <c r="TPT86" s="953"/>
      <c r="TPU86" s="953"/>
      <c r="TPV86" s="953"/>
      <c r="TPW86" s="953"/>
      <c r="TPX86" s="953"/>
      <c r="TPY86" s="953"/>
      <c r="TPZ86" s="953"/>
      <c r="TQA86" s="953"/>
      <c r="TQB86" s="953"/>
      <c r="TQC86" s="953"/>
      <c r="TQD86" s="953"/>
      <c r="TQE86" s="953"/>
      <c r="TQF86" s="953"/>
      <c r="TQG86" s="953"/>
      <c r="TQH86" s="953"/>
      <c r="TQI86" s="953"/>
      <c r="TQJ86" s="953"/>
      <c r="TQK86" s="953"/>
      <c r="TQL86" s="953"/>
      <c r="TQM86" s="953"/>
      <c r="TQN86" s="953"/>
      <c r="TQO86" s="953"/>
      <c r="TQP86" s="953"/>
      <c r="TQQ86" s="953"/>
      <c r="TQR86" s="953"/>
      <c r="TQS86" s="953"/>
      <c r="TQT86" s="953"/>
      <c r="TQU86" s="953"/>
      <c r="TQV86" s="953"/>
      <c r="TQW86" s="953"/>
      <c r="TQX86" s="953"/>
      <c r="TQY86" s="953"/>
      <c r="TQZ86" s="953"/>
      <c r="TRA86" s="953"/>
      <c r="TRB86" s="953"/>
      <c r="TRC86" s="953"/>
      <c r="TRD86" s="953"/>
      <c r="TRE86" s="953"/>
      <c r="TRF86" s="953"/>
      <c r="TRG86" s="953"/>
      <c r="TRH86" s="953"/>
      <c r="TRI86" s="953"/>
      <c r="TRJ86" s="953"/>
      <c r="TRK86" s="953"/>
      <c r="TRL86" s="953"/>
      <c r="TRM86" s="953"/>
      <c r="TRN86" s="953"/>
      <c r="TRO86" s="953"/>
      <c r="TRP86" s="953"/>
      <c r="TRQ86" s="953"/>
      <c r="TRR86" s="953"/>
      <c r="TRS86" s="953"/>
      <c r="TRT86" s="953"/>
      <c r="TRU86" s="953"/>
      <c r="TRV86" s="953"/>
      <c r="TRW86" s="953"/>
      <c r="TRX86" s="953"/>
      <c r="TRY86" s="953"/>
      <c r="TRZ86" s="953"/>
      <c r="TSA86" s="953"/>
      <c r="TSB86" s="953"/>
      <c r="TSC86" s="953"/>
      <c r="TSD86" s="953"/>
      <c r="TSE86" s="953"/>
      <c r="TSF86" s="953"/>
      <c r="TSG86" s="953"/>
      <c r="TSH86" s="953"/>
      <c r="TSI86" s="953"/>
      <c r="TSJ86" s="953"/>
      <c r="TSK86" s="953"/>
      <c r="TSL86" s="953"/>
      <c r="TSM86" s="953"/>
      <c r="TSN86" s="953"/>
      <c r="TSO86" s="953"/>
      <c r="TSP86" s="953"/>
      <c r="TSQ86" s="953"/>
      <c r="TSR86" s="953"/>
      <c r="TSS86" s="953"/>
      <c r="TST86" s="953"/>
      <c r="TSU86" s="953"/>
      <c r="TSV86" s="953"/>
      <c r="TSW86" s="953"/>
      <c r="TSX86" s="953"/>
      <c r="TSY86" s="953"/>
      <c r="TSZ86" s="953"/>
      <c r="TTA86" s="953"/>
      <c r="TTB86" s="953"/>
      <c r="TTC86" s="953"/>
      <c r="TTD86" s="953"/>
      <c r="TTE86" s="953"/>
      <c r="TTF86" s="953"/>
      <c r="TTG86" s="953"/>
      <c r="TTH86" s="953"/>
      <c r="TTI86" s="953"/>
      <c r="TTJ86" s="953"/>
      <c r="TTK86" s="953"/>
      <c r="TTL86" s="953"/>
      <c r="TTM86" s="953"/>
      <c r="TTN86" s="953"/>
      <c r="TTO86" s="953"/>
      <c r="TTP86" s="953"/>
      <c r="TTQ86" s="953"/>
      <c r="TTR86" s="953"/>
      <c r="TTS86" s="953"/>
      <c r="TTT86" s="953"/>
      <c r="TTU86" s="953"/>
      <c r="TTV86" s="953"/>
      <c r="TTW86" s="953"/>
      <c r="TTX86" s="953"/>
      <c r="TTY86" s="953"/>
      <c r="TTZ86" s="953"/>
      <c r="TUA86" s="953"/>
      <c r="TUB86" s="953"/>
      <c r="TUC86" s="953"/>
      <c r="TUD86" s="953"/>
      <c r="TUE86" s="953"/>
      <c r="TUF86" s="953"/>
      <c r="TUG86" s="953"/>
      <c r="TUH86" s="953"/>
      <c r="TUI86" s="953"/>
      <c r="TUJ86" s="953"/>
      <c r="TUK86" s="953"/>
      <c r="TUL86" s="953"/>
      <c r="TUM86" s="953"/>
      <c r="TUN86" s="953"/>
      <c r="TUO86" s="953"/>
      <c r="TUP86" s="953"/>
      <c r="TUQ86" s="953"/>
      <c r="TUR86" s="953"/>
      <c r="TUS86" s="953"/>
      <c r="TUT86" s="953"/>
      <c r="TUU86" s="953"/>
      <c r="TUV86" s="953"/>
      <c r="TUW86" s="953"/>
      <c r="TUX86" s="953"/>
      <c r="TUY86" s="953"/>
      <c r="TUZ86" s="953"/>
      <c r="TVA86" s="953"/>
      <c r="TVB86" s="953"/>
      <c r="TVC86" s="953"/>
      <c r="TVD86" s="953"/>
      <c r="TVE86" s="953"/>
      <c r="TVF86" s="953"/>
      <c r="TVG86" s="953"/>
      <c r="TVH86" s="953"/>
      <c r="TVI86" s="953"/>
      <c r="TVJ86" s="953"/>
      <c r="TVK86" s="953"/>
      <c r="TVL86" s="953"/>
      <c r="TVM86" s="953"/>
      <c r="TVN86" s="953"/>
      <c r="TVO86" s="953"/>
      <c r="TVP86" s="953"/>
      <c r="TVQ86" s="953"/>
      <c r="TVR86" s="953"/>
      <c r="TVS86" s="953"/>
      <c r="TVT86" s="953"/>
      <c r="TVU86" s="953"/>
      <c r="TVV86" s="953"/>
      <c r="TVW86" s="953"/>
      <c r="TVX86" s="953"/>
      <c r="TVY86" s="953"/>
      <c r="TVZ86" s="953"/>
      <c r="TWA86" s="953"/>
      <c r="TWB86" s="953"/>
      <c r="TWC86" s="953"/>
      <c r="TWD86" s="953"/>
      <c r="TWE86" s="953"/>
      <c r="TWF86" s="953"/>
      <c r="TWG86" s="953"/>
      <c r="TWH86" s="953"/>
      <c r="TWI86" s="953"/>
      <c r="TWJ86" s="953"/>
      <c r="TWK86" s="953"/>
      <c r="TWL86" s="953"/>
      <c r="TWM86" s="953"/>
      <c r="TWN86" s="953"/>
      <c r="TWO86" s="953"/>
      <c r="TWP86" s="953"/>
      <c r="TWQ86" s="953"/>
      <c r="TWR86" s="953"/>
      <c r="TWS86" s="953"/>
      <c r="TWT86" s="953"/>
      <c r="TWU86" s="953"/>
      <c r="TWV86" s="953"/>
      <c r="TWW86" s="953"/>
      <c r="TWX86" s="953"/>
      <c r="TWY86" s="953"/>
      <c r="TWZ86" s="953"/>
      <c r="TXA86" s="953"/>
      <c r="TXB86" s="953"/>
      <c r="TXC86" s="953"/>
      <c r="TXD86" s="953"/>
      <c r="TXE86" s="953"/>
      <c r="TXF86" s="953"/>
      <c r="TXG86" s="953"/>
      <c r="TXH86" s="953"/>
      <c r="TXI86" s="953"/>
      <c r="TXJ86" s="953"/>
      <c r="TXK86" s="953"/>
      <c r="TXL86" s="953"/>
      <c r="TXM86" s="953"/>
      <c r="TXN86" s="953"/>
      <c r="TXO86" s="953"/>
      <c r="TXP86" s="953"/>
      <c r="TXQ86" s="953"/>
      <c r="TXR86" s="953"/>
      <c r="TXS86" s="953"/>
      <c r="TXT86" s="953"/>
      <c r="TXU86" s="953"/>
      <c r="TXV86" s="953"/>
      <c r="TXW86" s="953"/>
      <c r="TXX86" s="953"/>
      <c r="TXY86" s="953"/>
      <c r="TXZ86" s="953"/>
      <c r="TYA86" s="953"/>
      <c r="TYB86" s="953"/>
      <c r="TYC86" s="953"/>
      <c r="TYD86" s="953"/>
      <c r="TYE86" s="953"/>
      <c r="TYF86" s="953"/>
      <c r="TYG86" s="953"/>
      <c r="TYH86" s="953"/>
      <c r="TYI86" s="953"/>
      <c r="TYJ86" s="953"/>
      <c r="TYK86" s="953"/>
      <c r="TYL86" s="953"/>
      <c r="TYM86" s="953"/>
      <c r="TYN86" s="953"/>
      <c r="TYO86" s="953"/>
      <c r="TYP86" s="953"/>
      <c r="TYQ86" s="953"/>
      <c r="TYR86" s="953"/>
      <c r="TYS86" s="953"/>
      <c r="TYT86" s="953"/>
      <c r="TYU86" s="953"/>
      <c r="TYV86" s="953"/>
      <c r="TYW86" s="953"/>
      <c r="TYX86" s="953"/>
      <c r="TYY86" s="953"/>
      <c r="TYZ86" s="953"/>
      <c r="TZA86" s="953"/>
      <c r="TZB86" s="953"/>
      <c r="TZC86" s="953"/>
      <c r="TZD86" s="953"/>
      <c r="TZE86" s="953"/>
      <c r="TZF86" s="953"/>
      <c r="TZG86" s="953"/>
      <c r="TZH86" s="953"/>
      <c r="TZI86" s="953"/>
      <c r="TZJ86" s="953"/>
      <c r="TZK86" s="953"/>
      <c r="TZL86" s="953"/>
      <c r="TZM86" s="953"/>
      <c r="TZN86" s="953"/>
      <c r="TZO86" s="953"/>
      <c r="TZP86" s="953"/>
      <c r="TZQ86" s="953"/>
      <c r="TZR86" s="953"/>
      <c r="TZS86" s="953"/>
      <c r="TZT86" s="953"/>
      <c r="TZU86" s="953"/>
      <c r="TZV86" s="953"/>
      <c r="TZW86" s="953"/>
      <c r="TZX86" s="953"/>
      <c r="TZY86" s="953"/>
      <c r="TZZ86" s="953"/>
      <c r="UAA86" s="953"/>
      <c r="UAB86" s="953"/>
      <c r="UAC86" s="953"/>
      <c r="UAD86" s="953"/>
      <c r="UAE86" s="953"/>
      <c r="UAF86" s="953"/>
      <c r="UAG86" s="953"/>
      <c r="UAH86" s="953"/>
      <c r="UAI86" s="953"/>
      <c r="UAJ86" s="953"/>
      <c r="UAK86" s="953"/>
      <c r="UAL86" s="953"/>
      <c r="UAM86" s="953"/>
      <c r="UAN86" s="953"/>
      <c r="UAO86" s="953"/>
      <c r="UAP86" s="953"/>
      <c r="UAQ86" s="953"/>
      <c r="UAR86" s="953"/>
      <c r="UAS86" s="953"/>
      <c r="UAT86" s="953"/>
      <c r="UAU86" s="953"/>
      <c r="UAV86" s="953"/>
      <c r="UAW86" s="953"/>
      <c r="UAX86" s="953"/>
      <c r="UAY86" s="953"/>
      <c r="UAZ86" s="953"/>
      <c r="UBA86" s="953"/>
      <c r="UBB86" s="953"/>
      <c r="UBC86" s="953"/>
      <c r="UBD86" s="953"/>
      <c r="UBE86" s="953"/>
      <c r="UBF86" s="953"/>
      <c r="UBG86" s="953"/>
      <c r="UBH86" s="953"/>
      <c r="UBI86" s="953"/>
      <c r="UBJ86" s="953"/>
      <c r="UBK86" s="953"/>
      <c r="UBL86" s="953"/>
      <c r="UBM86" s="953"/>
      <c r="UBN86" s="953"/>
      <c r="UBO86" s="953"/>
      <c r="UBP86" s="953"/>
      <c r="UBQ86" s="953"/>
      <c r="UBR86" s="953"/>
      <c r="UBS86" s="953"/>
      <c r="UBT86" s="953"/>
      <c r="UBU86" s="953"/>
      <c r="UBV86" s="953"/>
      <c r="UBW86" s="953"/>
      <c r="UBX86" s="953"/>
      <c r="UBY86" s="953"/>
      <c r="UBZ86" s="953"/>
      <c r="UCA86" s="953"/>
      <c r="UCB86" s="953"/>
      <c r="UCC86" s="953"/>
      <c r="UCD86" s="953"/>
      <c r="UCE86" s="953"/>
      <c r="UCF86" s="953"/>
      <c r="UCG86" s="953"/>
      <c r="UCH86" s="953"/>
      <c r="UCI86" s="953"/>
      <c r="UCJ86" s="953"/>
      <c r="UCK86" s="953"/>
      <c r="UCL86" s="953"/>
      <c r="UCM86" s="953"/>
      <c r="UCN86" s="953"/>
      <c r="UCO86" s="953"/>
      <c r="UCP86" s="953"/>
      <c r="UCQ86" s="953"/>
      <c r="UCR86" s="953"/>
      <c r="UCS86" s="953"/>
      <c r="UCT86" s="953"/>
      <c r="UCU86" s="953"/>
      <c r="UCV86" s="953"/>
      <c r="UCW86" s="953"/>
      <c r="UCX86" s="953"/>
      <c r="UCY86" s="953"/>
      <c r="UCZ86" s="953"/>
      <c r="UDA86" s="953"/>
      <c r="UDB86" s="953"/>
      <c r="UDC86" s="953"/>
      <c r="UDD86" s="953"/>
      <c r="UDE86" s="953"/>
      <c r="UDF86" s="953"/>
      <c r="UDG86" s="953"/>
      <c r="UDH86" s="953"/>
      <c r="UDI86" s="953"/>
      <c r="UDJ86" s="953"/>
      <c r="UDK86" s="953"/>
      <c r="UDL86" s="953"/>
      <c r="UDM86" s="953"/>
      <c r="UDN86" s="953"/>
      <c r="UDO86" s="953"/>
      <c r="UDP86" s="953"/>
      <c r="UDQ86" s="953"/>
      <c r="UDR86" s="953"/>
      <c r="UDS86" s="953"/>
      <c r="UDT86" s="953"/>
      <c r="UDU86" s="953"/>
      <c r="UDV86" s="953"/>
      <c r="UDW86" s="953"/>
      <c r="UDX86" s="953"/>
      <c r="UDY86" s="953"/>
      <c r="UDZ86" s="953"/>
      <c r="UEA86" s="953"/>
      <c r="UEB86" s="953"/>
      <c r="UEC86" s="953"/>
      <c r="UED86" s="953"/>
      <c r="UEE86" s="953"/>
      <c r="UEF86" s="953"/>
      <c r="UEG86" s="953"/>
      <c r="UEH86" s="953"/>
      <c r="UEI86" s="953"/>
      <c r="UEJ86" s="953"/>
      <c r="UEK86" s="953"/>
      <c r="UEL86" s="953"/>
      <c r="UEM86" s="953"/>
      <c r="UEN86" s="953"/>
      <c r="UEO86" s="953"/>
      <c r="UEP86" s="953"/>
      <c r="UEQ86" s="953"/>
      <c r="UER86" s="953"/>
      <c r="UES86" s="953"/>
      <c r="UET86" s="953"/>
      <c r="UEU86" s="953"/>
      <c r="UEV86" s="953"/>
      <c r="UEW86" s="953"/>
      <c r="UEX86" s="953"/>
      <c r="UEY86" s="953"/>
      <c r="UEZ86" s="953"/>
      <c r="UFA86" s="953"/>
      <c r="UFB86" s="953"/>
      <c r="UFC86" s="953"/>
      <c r="UFD86" s="953"/>
      <c r="UFE86" s="953"/>
      <c r="UFF86" s="953"/>
      <c r="UFG86" s="953"/>
      <c r="UFH86" s="953"/>
      <c r="UFI86" s="953"/>
      <c r="UFJ86" s="953"/>
      <c r="UFK86" s="953"/>
      <c r="UFL86" s="953"/>
      <c r="UFM86" s="953"/>
      <c r="UFN86" s="953"/>
      <c r="UFO86" s="953"/>
      <c r="UFP86" s="953"/>
      <c r="UFQ86" s="953"/>
      <c r="UFR86" s="953"/>
      <c r="UFS86" s="953"/>
      <c r="UFT86" s="953"/>
      <c r="UFU86" s="953"/>
      <c r="UFV86" s="953"/>
      <c r="UFW86" s="953"/>
      <c r="UFX86" s="953"/>
      <c r="UFY86" s="953"/>
      <c r="UFZ86" s="953"/>
      <c r="UGA86" s="953"/>
      <c r="UGB86" s="953"/>
      <c r="UGC86" s="953"/>
      <c r="UGD86" s="953"/>
      <c r="UGE86" s="953"/>
      <c r="UGF86" s="953"/>
      <c r="UGG86" s="953"/>
      <c r="UGH86" s="953"/>
      <c r="UGI86" s="953"/>
      <c r="UGJ86" s="953"/>
      <c r="UGK86" s="953"/>
      <c r="UGL86" s="953"/>
      <c r="UGM86" s="953"/>
      <c r="UGN86" s="953"/>
      <c r="UGO86" s="953"/>
      <c r="UGP86" s="953"/>
      <c r="UGQ86" s="953"/>
      <c r="UGR86" s="953"/>
      <c r="UGS86" s="953"/>
      <c r="UGT86" s="953"/>
      <c r="UGU86" s="953"/>
      <c r="UGV86" s="953"/>
      <c r="UGW86" s="953"/>
      <c r="UGX86" s="953"/>
      <c r="UGY86" s="953"/>
      <c r="UGZ86" s="953"/>
      <c r="UHA86" s="953"/>
      <c r="UHB86" s="953"/>
      <c r="UHC86" s="953"/>
      <c r="UHD86" s="953"/>
      <c r="UHE86" s="953"/>
      <c r="UHF86" s="953"/>
      <c r="UHG86" s="953"/>
      <c r="UHH86" s="953"/>
      <c r="UHI86" s="953"/>
      <c r="UHJ86" s="953"/>
      <c r="UHK86" s="953"/>
      <c r="UHL86" s="953"/>
      <c r="UHM86" s="953"/>
      <c r="UHN86" s="953"/>
      <c r="UHO86" s="953"/>
      <c r="UHP86" s="953"/>
      <c r="UHQ86" s="953"/>
      <c r="UHR86" s="953"/>
      <c r="UHS86" s="953"/>
      <c r="UHT86" s="953"/>
      <c r="UHU86" s="953"/>
      <c r="UHV86" s="953"/>
      <c r="UHW86" s="953"/>
      <c r="UHX86" s="953"/>
      <c r="UHY86" s="953"/>
      <c r="UHZ86" s="953"/>
      <c r="UIA86" s="953"/>
      <c r="UIB86" s="953"/>
      <c r="UIC86" s="953"/>
      <c r="UID86" s="953"/>
      <c r="UIE86" s="953"/>
      <c r="UIF86" s="953"/>
      <c r="UIG86" s="953"/>
      <c r="UIH86" s="953"/>
      <c r="UII86" s="953"/>
      <c r="UIJ86" s="953"/>
      <c r="UIK86" s="953"/>
      <c r="UIL86" s="953"/>
      <c r="UIM86" s="953"/>
      <c r="UIN86" s="953"/>
      <c r="UIO86" s="953"/>
      <c r="UIP86" s="953"/>
      <c r="UIQ86" s="953"/>
      <c r="UIR86" s="953"/>
      <c r="UIS86" s="953"/>
      <c r="UIT86" s="953"/>
      <c r="UIU86" s="953"/>
      <c r="UIV86" s="953"/>
      <c r="UIW86" s="953"/>
      <c r="UIX86" s="953"/>
      <c r="UIY86" s="953"/>
      <c r="UIZ86" s="953"/>
      <c r="UJA86" s="953"/>
      <c r="UJB86" s="953"/>
      <c r="UJC86" s="953"/>
      <c r="UJD86" s="953"/>
      <c r="UJE86" s="953"/>
      <c r="UJF86" s="953"/>
      <c r="UJG86" s="953"/>
      <c r="UJH86" s="953"/>
      <c r="UJI86" s="953"/>
      <c r="UJJ86" s="953"/>
      <c r="UJK86" s="953"/>
      <c r="UJL86" s="953"/>
      <c r="UJM86" s="953"/>
      <c r="UJN86" s="953"/>
      <c r="UJO86" s="953"/>
      <c r="UJP86" s="953"/>
      <c r="UJQ86" s="953"/>
      <c r="UJR86" s="953"/>
      <c r="UJS86" s="953"/>
      <c r="UJT86" s="953"/>
      <c r="UJU86" s="953"/>
      <c r="UJV86" s="953"/>
      <c r="UJW86" s="953"/>
      <c r="UJX86" s="953"/>
      <c r="UJY86" s="953"/>
      <c r="UJZ86" s="953"/>
      <c r="UKA86" s="953"/>
      <c r="UKB86" s="953"/>
      <c r="UKC86" s="953"/>
      <c r="UKD86" s="953"/>
      <c r="UKE86" s="953"/>
      <c r="UKF86" s="953"/>
      <c r="UKG86" s="953"/>
      <c r="UKH86" s="953"/>
      <c r="UKI86" s="953"/>
      <c r="UKJ86" s="953"/>
      <c r="UKK86" s="953"/>
      <c r="UKL86" s="953"/>
      <c r="UKM86" s="953"/>
      <c r="UKN86" s="953"/>
      <c r="UKO86" s="953"/>
      <c r="UKP86" s="953"/>
      <c r="UKQ86" s="953"/>
      <c r="UKR86" s="953"/>
      <c r="UKS86" s="953"/>
      <c r="UKT86" s="953"/>
      <c r="UKU86" s="953"/>
      <c r="UKV86" s="953"/>
      <c r="UKW86" s="953"/>
      <c r="UKX86" s="953"/>
      <c r="UKY86" s="953"/>
      <c r="UKZ86" s="953"/>
      <c r="ULA86" s="953"/>
      <c r="ULB86" s="953"/>
      <c r="ULC86" s="953"/>
      <c r="ULD86" s="953"/>
      <c r="ULE86" s="953"/>
      <c r="ULF86" s="953"/>
      <c r="ULG86" s="953"/>
      <c r="ULH86" s="953"/>
      <c r="ULI86" s="953"/>
      <c r="ULJ86" s="953"/>
      <c r="ULK86" s="953"/>
      <c r="ULL86" s="953"/>
      <c r="ULM86" s="953"/>
      <c r="ULN86" s="953"/>
      <c r="ULO86" s="953"/>
      <c r="ULP86" s="953"/>
      <c r="ULQ86" s="953"/>
      <c r="ULR86" s="953"/>
      <c r="ULS86" s="953"/>
      <c r="ULT86" s="953"/>
      <c r="ULU86" s="953"/>
      <c r="ULV86" s="953"/>
      <c r="ULW86" s="953"/>
      <c r="ULX86" s="953"/>
      <c r="ULY86" s="953"/>
      <c r="ULZ86" s="953"/>
      <c r="UMA86" s="953"/>
      <c r="UMB86" s="953"/>
      <c r="UMC86" s="953"/>
      <c r="UMD86" s="953"/>
      <c r="UME86" s="953"/>
      <c r="UMF86" s="953"/>
      <c r="UMG86" s="953"/>
      <c r="UMH86" s="953"/>
      <c r="UMI86" s="953"/>
      <c r="UMJ86" s="953"/>
      <c r="UMK86" s="953"/>
      <c r="UML86" s="953"/>
      <c r="UMM86" s="953"/>
      <c r="UMN86" s="953"/>
      <c r="UMO86" s="953"/>
      <c r="UMP86" s="953"/>
      <c r="UMQ86" s="953"/>
      <c r="UMR86" s="953"/>
      <c r="UMS86" s="953"/>
      <c r="UMT86" s="953"/>
      <c r="UMU86" s="953"/>
      <c r="UMV86" s="953"/>
      <c r="UMW86" s="953"/>
      <c r="UMX86" s="953"/>
      <c r="UMY86" s="953"/>
      <c r="UMZ86" s="953"/>
      <c r="UNA86" s="953"/>
      <c r="UNB86" s="953"/>
      <c r="UNC86" s="953"/>
      <c r="UND86" s="953"/>
      <c r="UNE86" s="953"/>
      <c r="UNF86" s="953"/>
      <c r="UNG86" s="953"/>
      <c r="UNH86" s="953"/>
      <c r="UNI86" s="953"/>
      <c r="UNJ86" s="953"/>
      <c r="UNK86" s="953"/>
      <c r="UNL86" s="953"/>
      <c r="UNM86" s="953"/>
      <c r="UNN86" s="953"/>
      <c r="UNO86" s="953"/>
      <c r="UNP86" s="953"/>
      <c r="UNQ86" s="953"/>
      <c r="UNR86" s="953"/>
      <c r="UNS86" s="953"/>
      <c r="UNT86" s="953"/>
      <c r="UNU86" s="953"/>
      <c r="UNV86" s="953"/>
      <c r="UNW86" s="953"/>
      <c r="UNX86" s="953"/>
      <c r="UNY86" s="953"/>
      <c r="UNZ86" s="953"/>
      <c r="UOA86" s="953"/>
      <c r="UOB86" s="953"/>
      <c r="UOC86" s="953"/>
      <c r="UOD86" s="953"/>
      <c r="UOE86" s="953"/>
      <c r="UOF86" s="953"/>
      <c r="UOG86" s="953"/>
      <c r="UOH86" s="953"/>
      <c r="UOI86" s="953"/>
      <c r="UOJ86" s="953"/>
      <c r="UOK86" s="953"/>
      <c r="UOL86" s="953"/>
      <c r="UOM86" s="953"/>
      <c r="UON86" s="953"/>
      <c r="UOO86" s="953"/>
      <c r="UOP86" s="953"/>
      <c r="UOQ86" s="953"/>
      <c r="UOR86" s="953"/>
      <c r="UOS86" s="953"/>
      <c r="UOT86" s="953"/>
      <c r="UOU86" s="953"/>
      <c r="UOV86" s="953"/>
      <c r="UOW86" s="953"/>
      <c r="UOX86" s="953"/>
      <c r="UOY86" s="953"/>
      <c r="UOZ86" s="953"/>
      <c r="UPA86" s="953"/>
      <c r="UPB86" s="953"/>
      <c r="UPC86" s="953"/>
      <c r="UPD86" s="953"/>
      <c r="UPE86" s="953"/>
      <c r="UPF86" s="953"/>
      <c r="UPG86" s="953"/>
      <c r="UPH86" s="953"/>
      <c r="UPI86" s="953"/>
      <c r="UPJ86" s="953"/>
      <c r="UPK86" s="953"/>
      <c r="UPL86" s="953"/>
      <c r="UPM86" s="953"/>
      <c r="UPN86" s="953"/>
      <c r="UPO86" s="953"/>
      <c r="UPP86" s="953"/>
      <c r="UPQ86" s="953"/>
      <c r="UPR86" s="953"/>
      <c r="UPS86" s="953"/>
      <c r="UPT86" s="953"/>
      <c r="UPU86" s="953"/>
      <c r="UPV86" s="953"/>
      <c r="UPW86" s="953"/>
      <c r="UPX86" s="953"/>
      <c r="UPY86" s="953"/>
      <c r="UPZ86" s="953"/>
      <c r="UQA86" s="953"/>
      <c r="UQB86" s="953"/>
      <c r="UQC86" s="953"/>
      <c r="UQD86" s="953"/>
      <c r="UQE86" s="953"/>
      <c r="UQF86" s="953"/>
      <c r="UQG86" s="953"/>
      <c r="UQH86" s="953"/>
      <c r="UQI86" s="953"/>
      <c r="UQJ86" s="953"/>
      <c r="UQK86" s="953"/>
      <c r="UQL86" s="953"/>
      <c r="UQM86" s="953"/>
      <c r="UQN86" s="953"/>
      <c r="UQO86" s="953"/>
      <c r="UQP86" s="953"/>
      <c r="UQQ86" s="953"/>
      <c r="UQR86" s="953"/>
      <c r="UQS86" s="953"/>
      <c r="UQT86" s="953"/>
      <c r="UQU86" s="953"/>
      <c r="UQV86" s="953"/>
      <c r="UQW86" s="953"/>
      <c r="UQX86" s="953"/>
      <c r="UQY86" s="953"/>
      <c r="UQZ86" s="953"/>
      <c r="URA86" s="953"/>
      <c r="URB86" s="953"/>
      <c r="URC86" s="953"/>
      <c r="URD86" s="953"/>
      <c r="URE86" s="953"/>
      <c r="URF86" s="953"/>
      <c r="URG86" s="953"/>
      <c r="URH86" s="953"/>
      <c r="URI86" s="953"/>
      <c r="URJ86" s="953"/>
      <c r="URK86" s="953"/>
      <c r="URL86" s="953"/>
      <c r="URM86" s="953"/>
      <c r="URN86" s="953"/>
      <c r="URO86" s="953"/>
      <c r="URP86" s="953"/>
      <c r="URQ86" s="953"/>
      <c r="URR86" s="953"/>
      <c r="URS86" s="953"/>
      <c r="URT86" s="953"/>
      <c r="URU86" s="953"/>
      <c r="URV86" s="953"/>
      <c r="URW86" s="953"/>
      <c r="URX86" s="953"/>
      <c r="URY86" s="953"/>
      <c r="URZ86" s="953"/>
      <c r="USA86" s="953"/>
      <c r="USB86" s="953"/>
      <c r="USC86" s="953"/>
      <c r="USD86" s="953"/>
      <c r="USE86" s="953"/>
      <c r="USF86" s="953"/>
      <c r="USG86" s="953"/>
      <c r="USH86" s="953"/>
      <c r="USI86" s="953"/>
      <c r="USJ86" s="953"/>
      <c r="USK86" s="953"/>
      <c r="USL86" s="953"/>
      <c r="USM86" s="953"/>
      <c r="USN86" s="953"/>
      <c r="USO86" s="953"/>
      <c r="USP86" s="953"/>
      <c r="USQ86" s="953"/>
      <c r="USR86" s="953"/>
      <c r="USS86" s="953"/>
      <c r="UST86" s="953"/>
      <c r="USU86" s="953"/>
      <c r="USV86" s="953"/>
      <c r="USW86" s="953"/>
      <c r="USX86" s="953"/>
      <c r="USY86" s="953"/>
      <c r="USZ86" s="953"/>
      <c r="UTA86" s="953"/>
      <c r="UTB86" s="953"/>
      <c r="UTC86" s="953"/>
      <c r="UTD86" s="953"/>
      <c r="UTE86" s="953"/>
      <c r="UTF86" s="953"/>
      <c r="UTG86" s="953"/>
      <c r="UTH86" s="953"/>
      <c r="UTI86" s="953"/>
      <c r="UTJ86" s="953"/>
      <c r="UTK86" s="953"/>
      <c r="UTL86" s="953"/>
      <c r="UTM86" s="953"/>
      <c r="UTN86" s="953"/>
      <c r="UTO86" s="953"/>
      <c r="UTP86" s="953"/>
      <c r="UTQ86" s="953"/>
      <c r="UTR86" s="953"/>
      <c r="UTS86" s="953"/>
      <c r="UTT86" s="953"/>
      <c r="UTU86" s="953"/>
      <c r="UTV86" s="953"/>
      <c r="UTW86" s="953"/>
      <c r="UTX86" s="953"/>
      <c r="UTY86" s="953"/>
      <c r="UTZ86" s="953"/>
      <c r="UUA86" s="953"/>
      <c r="UUB86" s="953"/>
      <c r="UUC86" s="953"/>
      <c r="UUD86" s="953"/>
      <c r="UUE86" s="953"/>
      <c r="UUF86" s="953"/>
      <c r="UUG86" s="953"/>
      <c r="UUH86" s="953"/>
      <c r="UUI86" s="953"/>
      <c r="UUJ86" s="953"/>
      <c r="UUK86" s="953"/>
      <c r="UUL86" s="953"/>
      <c r="UUM86" s="953"/>
      <c r="UUN86" s="953"/>
      <c r="UUO86" s="953"/>
      <c r="UUP86" s="953"/>
      <c r="UUQ86" s="953"/>
      <c r="UUR86" s="953"/>
      <c r="UUS86" s="953"/>
      <c r="UUT86" s="953"/>
      <c r="UUU86" s="953"/>
      <c r="UUV86" s="953"/>
      <c r="UUW86" s="953"/>
      <c r="UUX86" s="953"/>
      <c r="UUY86" s="953"/>
      <c r="UUZ86" s="953"/>
      <c r="UVA86" s="953"/>
      <c r="UVB86" s="953"/>
      <c r="UVC86" s="953"/>
      <c r="UVD86" s="953"/>
      <c r="UVE86" s="953"/>
      <c r="UVF86" s="953"/>
      <c r="UVG86" s="953"/>
      <c r="UVH86" s="953"/>
      <c r="UVI86" s="953"/>
      <c r="UVJ86" s="953"/>
      <c r="UVK86" s="953"/>
      <c r="UVL86" s="953"/>
      <c r="UVM86" s="953"/>
      <c r="UVN86" s="953"/>
      <c r="UVO86" s="953"/>
      <c r="UVP86" s="953"/>
      <c r="UVQ86" s="953"/>
      <c r="UVR86" s="953"/>
      <c r="UVS86" s="953"/>
      <c r="UVT86" s="953"/>
      <c r="UVU86" s="953"/>
      <c r="UVV86" s="953"/>
      <c r="UVW86" s="953"/>
      <c r="UVX86" s="953"/>
      <c r="UVY86" s="953"/>
      <c r="UVZ86" s="953"/>
      <c r="UWA86" s="953"/>
      <c r="UWB86" s="953"/>
      <c r="UWC86" s="953"/>
      <c r="UWD86" s="953"/>
      <c r="UWE86" s="953"/>
      <c r="UWF86" s="953"/>
      <c r="UWG86" s="953"/>
      <c r="UWH86" s="953"/>
      <c r="UWI86" s="953"/>
      <c r="UWJ86" s="953"/>
      <c r="UWK86" s="953"/>
      <c r="UWL86" s="953"/>
      <c r="UWM86" s="953"/>
      <c r="UWN86" s="953"/>
      <c r="UWO86" s="953"/>
      <c r="UWP86" s="953"/>
      <c r="UWQ86" s="953"/>
      <c r="UWR86" s="953"/>
      <c r="UWS86" s="953"/>
      <c r="UWT86" s="953"/>
      <c r="UWU86" s="953"/>
      <c r="UWV86" s="953"/>
      <c r="UWW86" s="953"/>
      <c r="UWX86" s="953"/>
      <c r="UWY86" s="953"/>
      <c r="UWZ86" s="953"/>
      <c r="UXA86" s="953"/>
      <c r="UXB86" s="953"/>
      <c r="UXC86" s="953"/>
      <c r="UXD86" s="953"/>
      <c r="UXE86" s="953"/>
      <c r="UXF86" s="953"/>
      <c r="UXG86" s="953"/>
      <c r="UXH86" s="953"/>
      <c r="UXI86" s="953"/>
      <c r="UXJ86" s="953"/>
      <c r="UXK86" s="953"/>
      <c r="UXL86" s="953"/>
      <c r="UXM86" s="953"/>
      <c r="UXN86" s="953"/>
      <c r="UXO86" s="953"/>
      <c r="UXP86" s="953"/>
      <c r="UXQ86" s="953"/>
      <c r="UXR86" s="953"/>
      <c r="UXS86" s="953"/>
      <c r="UXT86" s="953"/>
      <c r="UXU86" s="953"/>
      <c r="UXV86" s="953"/>
      <c r="UXW86" s="953"/>
      <c r="UXX86" s="953"/>
      <c r="UXY86" s="953"/>
      <c r="UXZ86" s="953"/>
      <c r="UYA86" s="953"/>
      <c r="UYB86" s="953"/>
      <c r="UYC86" s="953"/>
      <c r="UYD86" s="953"/>
      <c r="UYE86" s="953"/>
      <c r="UYF86" s="953"/>
      <c r="UYG86" s="953"/>
      <c r="UYH86" s="953"/>
      <c r="UYI86" s="953"/>
      <c r="UYJ86" s="953"/>
      <c r="UYK86" s="953"/>
      <c r="UYL86" s="953"/>
      <c r="UYM86" s="953"/>
      <c r="UYN86" s="953"/>
      <c r="UYO86" s="953"/>
      <c r="UYP86" s="953"/>
      <c r="UYQ86" s="953"/>
      <c r="UYR86" s="953"/>
      <c r="UYS86" s="953"/>
      <c r="UYT86" s="953"/>
      <c r="UYU86" s="953"/>
      <c r="UYV86" s="953"/>
      <c r="UYW86" s="953"/>
      <c r="UYX86" s="953"/>
      <c r="UYY86" s="953"/>
      <c r="UYZ86" s="953"/>
      <c r="UZA86" s="953"/>
      <c r="UZB86" s="953"/>
      <c r="UZC86" s="953"/>
      <c r="UZD86" s="953"/>
      <c r="UZE86" s="953"/>
      <c r="UZF86" s="953"/>
      <c r="UZG86" s="953"/>
      <c r="UZH86" s="953"/>
      <c r="UZI86" s="953"/>
      <c r="UZJ86" s="953"/>
      <c r="UZK86" s="953"/>
      <c r="UZL86" s="953"/>
      <c r="UZM86" s="953"/>
      <c r="UZN86" s="953"/>
      <c r="UZO86" s="953"/>
      <c r="UZP86" s="953"/>
      <c r="UZQ86" s="953"/>
      <c r="UZR86" s="953"/>
      <c r="UZS86" s="953"/>
      <c r="UZT86" s="953"/>
      <c r="UZU86" s="953"/>
      <c r="UZV86" s="953"/>
      <c r="UZW86" s="953"/>
      <c r="UZX86" s="953"/>
      <c r="UZY86" s="953"/>
      <c r="UZZ86" s="953"/>
      <c r="VAA86" s="953"/>
      <c r="VAB86" s="953"/>
      <c r="VAC86" s="953"/>
      <c r="VAD86" s="953"/>
      <c r="VAE86" s="953"/>
      <c r="VAF86" s="953"/>
      <c r="VAG86" s="953"/>
      <c r="VAH86" s="953"/>
      <c r="VAI86" s="953"/>
      <c r="VAJ86" s="953"/>
      <c r="VAK86" s="953"/>
      <c r="VAL86" s="953"/>
      <c r="VAM86" s="953"/>
      <c r="VAN86" s="953"/>
      <c r="VAO86" s="953"/>
      <c r="VAP86" s="953"/>
      <c r="VAQ86" s="953"/>
      <c r="VAR86" s="953"/>
      <c r="VAS86" s="953"/>
      <c r="VAT86" s="953"/>
      <c r="VAU86" s="953"/>
      <c r="VAV86" s="953"/>
      <c r="VAW86" s="953"/>
      <c r="VAX86" s="953"/>
      <c r="VAY86" s="953"/>
      <c r="VAZ86" s="953"/>
      <c r="VBA86" s="953"/>
      <c r="VBB86" s="953"/>
      <c r="VBC86" s="953"/>
      <c r="VBD86" s="953"/>
      <c r="VBE86" s="953"/>
      <c r="VBF86" s="953"/>
      <c r="VBG86" s="953"/>
      <c r="VBH86" s="953"/>
      <c r="VBI86" s="953"/>
      <c r="VBJ86" s="953"/>
      <c r="VBK86" s="953"/>
      <c r="VBL86" s="953"/>
      <c r="VBM86" s="953"/>
      <c r="VBN86" s="953"/>
      <c r="VBO86" s="953"/>
      <c r="VBP86" s="953"/>
      <c r="VBQ86" s="953"/>
      <c r="VBR86" s="953"/>
      <c r="VBS86" s="953"/>
      <c r="VBT86" s="953"/>
      <c r="VBU86" s="953"/>
      <c r="VBV86" s="953"/>
      <c r="VBW86" s="953"/>
      <c r="VBX86" s="953"/>
      <c r="VBY86" s="953"/>
      <c r="VBZ86" s="953"/>
      <c r="VCA86" s="953"/>
      <c r="VCB86" s="953"/>
      <c r="VCC86" s="953"/>
      <c r="VCD86" s="953"/>
      <c r="VCE86" s="953"/>
      <c r="VCF86" s="953"/>
      <c r="VCG86" s="953"/>
      <c r="VCH86" s="953"/>
      <c r="VCI86" s="953"/>
      <c r="VCJ86" s="953"/>
      <c r="VCK86" s="953"/>
      <c r="VCL86" s="953"/>
      <c r="VCM86" s="953"/>
      <c r="VCN86" s="953"/>
      <c r="VCO86" s="953"/>
      <c r="VCP86" s="953"/>
      <c r="VCQ86" s="953"/>
      <c r="VCR86" s="953"/>
      <c r="VCS86" s="953"/>
      <c r="VCT86" s="953"/>
      <c r="VCU86" s="953"/>
      <c r="VCV86" s="953"/>
      <c r="VCW86" s="953"/>
      <c r="VCX86" s="953"/>
      <c r="VCY86" s="953"/>
      <c r="VCZ86" s="953"/>
      <c r="VDA86" s="953"/>
      <c r="VDB86" s="953"/>
      <c r="VDC86" s="953"/>
      <c r="VDD86" s="953"/>
      <c r="VDE86" s="953"/>
      <c r="VDF86" s="953"/>
      <c r="VDG86" s="953"/>
      <c r="VDH86" s="953"/>
      <c r="VDI86" s="953"/>
      <c r="VDJ86" s="953"/>
      <c r="VDK86" s="953"/>
      <c r="VDL86" s="953"/>
      <c r="VDM86" s="953"/>
      <c r="VDN86" s="953"/>
      <c r="VDO86" s="953"/>
      <c r="VDP86" s="953"/>
      <c r="VDQ86" s="953"/>
      <c r="VDR86" s="953"/>
      <c r="VDS86" s="953"/>
      <c r="VDT86" s="953"/>
      <c r="VDU86" s="953"/>
      <c r="VDV86" s="953"/>
      <c r="VDW86" s="953"/>
      <c r="VDX86" s="953"/>
      <c r="VDY86" s="953"/>
      <c r="VDZ86" s="953"/>
      <c r="VEA86" s="953"/>
      <c r="VEB86" s="953"/>
      <c r="VEC86" s="953"/>
      <c r="VED86" s="953"/>
      <c r="VEE86" s="953"/>
      <c r="VEF86" s="953"/>
      <c r="VEG86" s="953"/>
      <c r="VEH86" s="953"/>
      <c r="VEI86" s="953"/>
      <c r="VEJ86" s="953"/>
      <c r="VEK86" s="953"/>
      <c r="VEL86" s="953"/>
      <c r="VEM86" s="953"/>
      <c r="VEN86" s="953"/>
      <c r="VEO86" s="953"/>
      <c r="VEP86" s="953"/>
      <c r="VEQ86" s="953"/>
      <c r="VER86" s="953"/>
      <c r="VES86" s="953"/>
      <c r="VET86" s="953"/>
      <c r="VEU86" s="953"/>
      <c r="VEV86" s="953"/>
      <c r="VEW86" s="953"/>
      <c r="VEX86" s="953"/>
      <c r="VEY86" s="953"/>
      <c r="VEZ86" s="953"/>
      <c r="VFA86" s="953"/>
      <c r="VFB86" s="953"/>
      <c r="VFC86" s="953"/>
      <c r="VFD86" s="953"/>
      <c r="VFE86" s="953"/>
      <c r="VFF86" s="953"/>
      <c r="VFG86" s="953"/>
      <c r="VFH86" s="953"/>
      <c r="VFI86" s="953"/>
      <c r="VFJ86" s="953"/>
      <c r="VFK86" s="953"/>
      <c r="VFL86" s="953"/>
      <c r="VFM86" s="953"/>
      <c r="VFN86" s="953"/>
      <c r="VFO86" s="953"/>
      <c r="VFP86" s="953"/>
      <c r="VFQ86" s="953"/>
      <c r="VFR86" s="953"/>
      <c r="VFS86" s="953"/>
      <c r="VFT86" s="953"/>
      <c r="VFU86" s="953"/>
      <c r="VFV86" s="953"/>
      <c r="VFW86" s="953"/>
      <c r="VFX86" s="953"/>
      <c r="VFY86" s="953"/>
      <c r="VFZ86" s="953"/>
      <c r="VGA86" s="953"/>
      <c r="VGB86" s="953"/>
      <c r="VGC86" s="953"/>
      <c r="VGD86" s="953"/>
      <c r="VGE86" s="953"/>
      <c r="VGF86" s="953"/>
      <c r="VGG86" s="953"/>
      <c r="VGH86" s="953"/>
      <c r="VGI86" s="953"/>
      <c r="VGJ86" s="953"/>
      <c r="VGK86" s="953"/>
      <c r="VGL86" s="953"/>
      <c r="VGM86" s="953"/>
      <c r="VGN86" s="953"/>
      <c r="VGO86" s="953"/>
      <c r="VGP86" s="953"/>
      <c r="VGQ86" s="953"/>
      <c r="VGR86" s="953"/>
      <c r="VGS86" s="953"/>
      <c r="VGT86" s="953"/>
      <c r="VGU86" s="953"/>
      <c r="VGV86" s="953"/>
      <c r="VGW86" s="953"/>
      <c r="VGX86" s="953"/>
      <c r="VGY86" s="953"/>
      <c r="VGZ86" s="953"/>
      <c r="VHA86" s="953"/>
      <c r="VHB86" s="953"/>
      <c r="VHC86" s="953"/>
      <c r="VHD86" s="953"/>
      <c r="VHE86" s="953"/>
      <c r="VHF86" s="953"/>
      <c r="VHG86" s="953"/>
      <c r="VHH86" s="953"/>
      <c r="VHI86" s="953"/>
      <c r="VHJ86" s="953"/>
      <c r="VHK86" s="953"/>
      <c r="VHL86" s="953"/>
      <c r="VHM86" s="953"/>
      <c r="VHN86" s="953"/>
      <c r="VHO86" s="953"/>
      <c r="VHP86" s="953"/>
      <c r="VHQ86" s="953"/>
      <c r="VHR86" s="953"/>
      <c r="VHS86" s="953"/>
      <c r="VHT86" s="953"/>
      <c r="VHU86" s="953"/>
      <c r="VHV86" s="953"/>
      <c r="VHW86" s="953"/>
      <c r="VHX86" s="953"/>
      <c r="VHY86" s="953"/>
      <c r="VHZ86" s="953"/>
      <c r="VIA86" s="953"/>
      <c r="VIB86" s="953"/>
      <c r="VIC86" s="953"/>
      <c r="VID86" s="953"/>
      <c r="VIE86" s="953"/>
      <c r="VIF86" s="953"/>
      <c r="VIG86" s="953"/>
      <c r="VIH86" s="953"/>
      <c r="VII86" s="953"/>
      <c r="VIJ86" s="953"/>
      <c r="VIK86" s="953"/>
      <c r="VIL86" s="953"/>
      <c r="VIM86" s="953"/>
      <c r="VIN86" s="953"/>
      <c r="VIO86" s="953"/>
      <c r="VIP86" s="953"/>
      <c r="VIQ86" s="953"/>
      <c r="VIR86" s="953"/>
      <c r="VIS86" s="953"/>
      <c r="VIT86" s="953"/>
      <c r="VIU86" s="953"/>
      <c r="VIV86" s="953"/>
      <c r="VIW86" s="953"/>
      <c r="VIX86" s="953"/>
      <c r="VIY86" s="953"/>
      <c r="VIZ86" s="953"/>
      <c r="VJA86" s="953"/>
      <c r="VJB86" s="953"/>
      <c r="VJC86" s="953"/>
      <c r="VJD86" s="953"/>
      <c r="VJE86" s="953"/>
      <c r="VJF86" s="953"/>
      <c r="VJG86" s="953"/>
      <c r="VJH86" s="953"/>
      <c r="VJI86" s="953"/>
      <c r="VJJ86" s="953"/>
      <c r="VJK86" s="953"/>
      <c r="VJL86" s="953"/>
      <c r="VJM86" s="953"/>
      <c r="VJN86" s="953"/>
      <c r="VJO86" s="953"/>
      <c r="VJP86" s="953"/>
      <c r="VJQ86" s="953"/>
      <c r="VJR86" s="953"/>
      <c r="VJS86" s="953"/>
      <c r="VJT86" s="953"/>
      <c r="VJU86" s="953"/>
      <c r="VJV86" s="953"/>
      <c r="VJW86" s="953"/>
      <c r="VJX86" s="953"/>
      <c r="VJY86" s="953"/>
      <c r="VJZ86" s="953"/>
      <c r="VKA86" s="953"/>
      <c r="VKB86" s="953"/>
      <c r="VKC86" s="953"/>
      <c r="VKD86" s="953"/>
      <c r="VKE86" s="953"/>
      <c r="VKF86" s="953"/>
      <c r="VKG86" s="953"/>
      <c r="VKH86" s="953"/>
      <c r="VKI86" s="953"/>
      <c r="VKJ86" s="953"/>
      <c r="VKK86" s="953"/>
      <c r="VKL86" s="953"/>
      <c r="VKM86" s="953"/>
      <c r="VKN86" s="953"/>
      <c r="VKO86" s="953"/>
      <c r="VKP86" s="953"/>
      <c r="VKQ86" s="953"/>
      <c r="VKR86" s="953"/>
      <c r="VKS86" s="953"/>
      <c r="VKT86" s="953"/>
      <c r="VKU86" s="953"/>
      <c r="VKV86" s="953"/>
      <c r="VKW86" s="953"/>
      <c r="VKX86" s="953"/>
      <c r="VKY86" s="953"/>
      <c r="VKZ86" s="953"/>
      <c r="VLA86" s="953"/>
      <c r="VLB86" s="953"/>
      <c r="VLC86" s="953"/>
      <c r="VLD86" s="953"/>
      <c r="VLE86" s="953"/>
      <c r="VLF86" s="953"/>
      <c r="VLG86" s="953"/>
      <c r="VLH86" s="953"/>
      <c r="VLI86" s="953"/>
      <c r="VLJ86" s="953"/>
      <c r="VLK86" s="953"/>
      <c r="VLL86" s="953"/>
      <c r="VLM86" s="953"/>
      <c r="VLN86" s="953"/>
      <c r="VLO86" s="953"/>
      <c r="VLP86" s="953"/>
      <c r="VLQ86" s="953"/>
      <c r="VLR86" s="953"/>
      <c r="VLS86" s="953"/>
      <c r="VLT86" s="953"/>
      <c r="VLU86" s="953"/>
      <c r="VLV86" s="953"/>
      <c r="VLW86" s="953"/>
      <c r="VLX86" s="953"/>
      <c r="VLY86" s="953"/>
      <c r="VLZ86" s="953"/>
      <c r="VMA86" s="953"/>
      <c r="VMB86" s="953"/>
      <c r="VMC86" s="953"/>
      <c r="VMD86" s="953"/>
      <c r="VME86" s="953"/>
      <c r="VMF86" s="953"/>
      <c r="VMG86" s="953"/>
      <c r="VMH86" s="953"/>
      <c r="VMI86" s="953"/>
      <c r="VMJ86" s="953"/>
      <c r="VMK86" s="953"/>
      <c r="VML86" s="953"/>
      <c r="VMM86" s="953"/>
      <c r="VMN86" s="953"/>
      <c r="VMO86" s="953"/>
      <c r="VMP86" s="953"/>
      <c r="VMQ86" s="953"/>
      <c r="VMR86" s="953"/>
      <c r="VMS86" s="953"/>
      <c r="VMT86" s="953"/>
      <c r="VMU86" s="953"/>
      <c r="VMV86" s="953"/>
      <c r="VMW86" s="953"/>
      <c r="VMX86" s="953"/>
      <c r="VMY86" s="953"/>
      <c r="VMZ86" s="953"/>
      <c r="VNA86" s="953"/>
      <c r="VNB86" s="953"/>
      <c r="VNC86" s="953"/>
      <c r="VND86" s="953"/>
      <c r="VNE86" s="953"/>
      <c r="VNF86" s="953"/>
      <c r="VNG86" s="953"/>
      <c r="VNH86" s="953"/>
      <c r="VNI86" s="953"/>
      <c r="VNJ86" s="953"/>
      <c r="VNK86" s="953"/>
      <c r="VNL86" s="953"/>
      <c r="VNM86" s="953"/>
      <c r="VNN86" s="953"/>
      <c r="VNO86" s="953"/>
      <c r="VNP86" s="953"/>
      <c r="VNQ86" s="953"/>
      <c r="VNR86" s="953"/>
      <c r="VNS86" s="953"/>
      <c r="VNT86" s="953"/>
      <c r="VNU86" s="953"/>
      <c r="VNV86" s="953"/>
      <c r="VNW86" s="953"/>
      <c r="VNX86" s="953"/>
      <c r="VNY86" s="953"/>
      <c r="VNZ86" s="953"/>
      <c r="VOA86" s="953"/>
      <c r="VOB86" s="953"/>
      <c r="VOC86" s="953"/>
      <c r="VOD86" s="953"/>
      <c r="VOE86" s="953"/>
      <c r="VOF86" s="953"/>
      <c r="VOG86" s="953"/>
      <c r="VOH86" s="953"/>
      <c r="VOI86" s="953"/>
      <c r="VOJ86" s="953"/>
      <c r="VOK86" s="953"/>
      <c r="VOL86" s="953"/>
      <c r="VOM86" s="953"/>
      <c r="VON86" s="953"/>
      <c r="VOO86" s="953"/>
      <c r="VOP86" s="953"/>
      <c r="VOQ86" s="953"/>
      <c r="VOR86" s="953"/>
      <c r="VOS86" s="953"/>
      <c r="VOT86" s="953"/>
      <c r="VOU86" s="953"/>
      <c r="VOV86" s="953"/>
      <c r="VOW86" s="953"/>
      <c r="VOX86" s="953"/>
      <c r="VOY86" s="953"/>
      <c r="VOZ86" s="953"/>
      <c r="VPA86" s="953"/>
      <c r="VPB86" s="953"/>
      <c r="VPC86" s="953"/>
      <c r="VPD86" s="953"/>
      <c r="VPE86" s="953"/>
      <c r="VPF86" s="953"/>
      <c r="VPG86" s="953"/>
      <c r="VPH86" s="953"/>
      <c r="VPI86" s="953"/>
      <c r="VPJ86" s="953"/>
      <c r="VPK86" s="953"/>
      <c r="VPL86" s="953"/>
      <c r="VPM86" s="953"/>
      <c r="VPN86" s="953"/>
      <c r="VPO86" s="953"/>
      <c r="VPP86" s="953"/>
      <c r="VPQ86" s="953"/>
      <c r="VPR86" s="953"/>
      <c r="VPS86" s="953"/>
      <c r="VPT86" s="953"/>
      <c r="VPU86" s="953"/>
      <c r="VPV86" s="953"/>
      <c r="VPW86" s="953"/>
      <c r="VPX86" s="953"/>
      <c r="VPY86" s="953"/>
      <c r="VPZ86" s="953"/>
      <c r="VQA86" s="953"/>
      <c r="VQB86" s="953"/>
      <c r="VQC86" s="953"/>
      <c r="VQD86" s="953"/>
      <c r="VQE86" s="953"/>
      <c r="VQF86" s="953"/>
      <c r="VQG86" s="953"/>
      <c r="VQH86" s="953"/>
      <c r="VQI86" s="953"/>
      <c r="VQJ86" s="953"/>
      <c r="VQK86" s="953"/>
      <c r="VQL86" s="953"/>
      <c r="VQM86" s="953"/>
      <c r="VQN86" s="953"/>
      <c r="VQO86" s="953"/>
      <c r="VQP86" s="953"/>
      <c r="VQQ86" s="953"/>
      <c r="VQR86" s="953"/>
      <c r="VQS86" s="953"/>
      <c r="VQT86" s="953"/>
      <c r="VQU86" s="953"/>
      <c r="VQV86" s="953"/>
      <c r="VQW86" s="953"/>
      <c r="VQX86" s="953"/>
      <c r="VQY86" s="953"/>
      <c r="VQZ86" s="953"/>
      <c r="VRA86" s="953"/>
      <c r="VRB86" s="953"/>
      <c r="VRC86" s="953"/>
      <c r="VRD86" s="953"/>
      <c r="VRE86" s="953"/>
      <c r="VRF86" s="953"/>
      <c r="VRG86" s="953"/>
      <c r="VRH86" s="953"/>
      <c r="VRI86" s="953"/>
      <c r="VRJ86" s="953"/>
      <c r="VRK86" s="953"/>
      <c r="VRL86" s="953"/>
      <c r="VRM86" s="953"/>
      <c r="VRN86" s="953"/>
      <c r="VRO86" s="953"/>
      <c r="VRP86" s="953"/>
      <c r="VRQ86" s="953"/>
      <c r="VRR86" s="953"/>
      <c r="VRS86" s="953"/>
      <c r="VRT86" s="953"/>
      <c r="VRU86" s="953"/>
      <c r="VRV86" s="953"/>
      <c r="VRW86" s="953"/>
      <c r="VRX86" s="953"/>
      <c r="VRY86" s="953"/>
      <c r="VRZ86" s="953"/>
      <c r="VSA86" s="953"/>
      <c r="VSB86" s="953"/>
      <c r="VSC86" s="953"/>
      <c r="VSD86" s="953"/>
      <c r="VSE86" s="953"/>
      <c r="VSF86" s="953"/>
      <c r="VSG86" s="953"/>
      <c r="VSH86" s="953"/>
      <c r="VSI86" s="953"/>
      <c r="VSJ86" s="953"/>
      <c r="VSK86" s="953"/>
      <c r="VSL86" s="953"/>
      <c r="VSM86" s="953"/>
      <c r="VSN86" s="953"/>
      <c r="VSO86" s="953"/>
      <c r="VSP86" s="953"/>
      <c r="VSQ86" s="953"/>
      <c r="VSR86" s="953"/>
      <c r="VSS86" s="953"/>
      <c r="VST86" s="953"/>
      <c r="VSU86" s="953"/>
      <c r="VSV86" s="953"/>
      <c r="VSW86" s="953"/>
      <c r="VSX86" s="953"/>
      <c r="VSY86" s="953"/>
      <c r="VSZ86" s="953"/>
      <c r="VTA86" s="953"/>
      <c r="VTB86" s="953"/>
      <c r="VTC86" s="953"/>
      <c r="VTD86" s="953"/>
      <c r="VTE86" s="953"/>
      <c r="VTF86" s="953"/>
      <c r="VTG86" s="953"/>
      <c r="VTH86" s="953"/>
      <c r="VTI86" s="953"/>
      <c r="VTJ86" s="953"/>
      <c r="VTK86" s="953"/>
      <c r="VTL86" s="953"/>
      <c r="VTM86" s="953"/>
      <c r="VTN86" s="953"/>
      <c r="VTO86" s="953"/>
      <c r="VTP86" s="953"/>
      <c r="VTQ86" s="953"/>
      <c r="VTR86" s="953"/>
      <c r="VTS86" s="953"/>
      <c r="VTT86" s="953"/>
      <c r="VTU86" s="953"/>
      <c r="VTV86" s="953"/>
      <c r="VTW86" s="953"/>
      <c r="VTX86" s="953"/>
      <c r="VTY86" s="953"/>
      <c r="VTZ86" s="953"/>
      <c r="VUA86" s="953"/>
      <c r="VUB86" s="953"/>
      <c r="VUC86" s="953"/>
      <c r="VUD86" s="953"/>
      <c r="VUE86" s="953"/>
      <c r="VUF86" s="953"/>
      <c r="VUG86" s="953"/>
      <c r="VUH86" s="953"/>
      <c r="VUI86" s="953"/>
      <c r="VUJ86" s="953"/>
      <c r="VUK86" s="953"/>
      <c r="VUL86" s="953"/>
      <c r="VUM86" s="953"/>
      <c r="VUN86" s="953"/>
      <c r="VUO86" s="953"/>
      <c r="VUP86" s="953"/>
      <c r="VUQ86" s="953"/>
      <c r="VUR86" s="953"/>
      <c r="VUS86" s="953"/>
      <c r="VUT86" s="953"/>
      <c r="VUU86" s="953"/>
      <c r="VUV86" s="953"/>
      <c r="VUW86" s="953"/>
      <c r="VUX86" s="953"/>
      <c r="VUY86" s="953"/>
      <c r="VUZ86" s="953"/>
      <c r="VVA86" s="953"/>
      <c r="VVB86" s="953"/>
      <c r="VVC86" s="953"/>
      <c r="VVD86" s="953"/>
      <c r="VVE86" s="953"/>
      <c r="VVF86" s="953"/>
      <c r="VVG86" s="953"/>
      <c r="VVH86" s="953"/>
      <c r="VVI86" s="953"/>
      <c r="VVJ86" s="953"/>
      <c r="VVK86" s="953"/>
      <c r="VVL86" s="953"/>
      <c r="VVM86" s="953"/>
      <c r="VVN86" s="953"/>
      <c r="VVO86" s="953"/>
      <c r="VVP86" s="953"/>
      <c r="VVQ86" s="953"/>
      <c r="VVR86" s="953"/>
      <c r="VVS86" s="953"/>
      <c r="VVT86" s="953"/>
      <c r="VVU86" s="953"/>
      <c r="VVV86" s="953"/>
      <c r="VVW86" s="953"/>
      <c r="VVX86" s="953"/>
      <c r="VVY86" s="953"/>
      <c r="VVZ86" s="953"/>
      <c r="VWA86" s="953"/>
      <c r="VWB86" s="953"/>
      <c r="VWC86" s="953"/>
      <c r="VWD86" s="953"/>
      <c r="VWE86" s="953"/>
      <c r="VWF86" s="953"/>
      <c r="VWG86" s="953"/>
      <c r="VWH86" s="953"/>
      <c r="VWI86" s="953"/>
      <c r="VWJ86" s="953"/>
      <c r="VWK86" s="953"/>
      <c r="VWL86" s="953"/>
      <c r="VWM86" s="953"/>
      <c r="VWN86" s="953"/>
      <c r="VWO86" s="953"/>
      <c r="VWP86" s="953"/>
      <c r="VWQ86" s="953"/>
      <c r="VWR86" s="953"/>
      <c r="VWS86" s="953"/>
      <c r="VWT86" s="953"/>
      <c r="VWU86" s="953"/>
      <c r="VWV86" s="953"/>
      <c r="VWW86" s="953"/>
      <c r="VWX86" s="953"/>
      <c r="VWY86" s="953"/>
      <c r="VWZ86" s="953"/>
      <c r="VXA86" s="953"/>
      <c r="VXB86" s="953"/>
      <c r="VXC86" s="953"/>
      <c r="VXD86" s="953"/>
      <c r="VXE86" s="953"/>
      <c r="VXF86" s="953"/>
      <c r="VXG86" s="953"/>
      <c r="VXH86" s="953"/>
      <c r="VXI86" s="953"/>
      <c r="VXJ86" s="953"/>
      <c r="VXK86" s="953"/>
      <c r="VXL86" s="953"/>
      <c r="VXM86" s="953"/>
      <c r="VXN86" s="953"/>
      <c r="VXO86" s="953"/>
      <c r="VXP86" s="953"/>
      <c r="VXQ86" s="953"/>
      <c r="VXR86" s="953"/>
      <c r="VXS86" s="953"/>
      <c r="VXT86" s="953"/>
      <c r="VXU86" s="953"/>
      <c r="VXV86" s="953"/>
      <c r="VXW86" s="953"/>
      <c r="VXX86" s="953"/>
      <c r="VXY86" s="953"/>
      <c r="VXZ86" s="953"/>
      <c r="VYA86" s="953"/>
      <c r="VYB86" s="953"/>
      <c r="VYC86" s="953"/>
      <c r="VYD86" s="953"/>
      <c r="VYE86" s="953"/>
      <c r="VYF86" s="953"/>
      <c r="VYG86" s="953"/>
      <c r="VYH86" s="953"/>
      <c r="VYI86" s="953"/>
      <c r="VYJ86" s="953"/>
      <c r="VYK86" s="953"/>
      <c r="VYL86" s="953"/>
      <c r="VYM86" s="953"/>
      <c r="VYN86" s="953"/>
      <c r="VYO86" s="953"/>
      <c r="VYP86" s="953"/>
      <c r="VYQ86" s="953"/>
      <c r="VYR86" s="953"/>
      <c r="VYS86" s="953"/>
      <c r="VYT86" s="953"/>
      <c r="VYU86" s="953"/>
      <c r="VYV86" s="953"/>
      <c r="VYW86" s="953"/>
      <c r="VYX86" s="953"/>
      <c r="VYY86" s="953"/>
      <c r="VYZ86" s="953"/>
      <c r="VZA86" s="953"/>
      <c r="VZB86" s="953"/>
      <c r="VZC86" s="953"/>
      <c r="VZD86" s="953"/>
      <c r="VZE86" s="953"/>
      <c r="VZF86" s="953"/>
      <c r="VZG86" s="953"/>
      <c r="VZH86" s="953"/>
      <c r="VZI86" s="953"/>
      <c r="VZJ86" s="953"/>
      <c r="VZK86" s="953"/>
      <c r="VZL86" s="953"/>
      <c r="VZM86" s="953"/>
      <c r="VZN86" s="953"/>
      <c r="VZO86" s="953"/>
      <c r="VZP86" s="953"/>
      <c r="VZQ86" s="953"/>
      <c r="VZR86" s="953"/>
      <c r="VZS86" s="953"/>
      <c r="VZT86" s="953"/>
      <c r="VZU86" s="953"/>
      <c r="VZV86" s="953"/>
      <c r="VZW86" s="953"/>
      <c r="VZX86" s="953"/>
      <c r="VZY86" s="953"/>
      <c r="VZZ86" s="953"/>
      <c r="WAA86" s="953"/>
      <c r="WAB86" s="953"/>
      <c r="WAC86" s="953"/>
      <c r="WAD86" s="953"/>
      <c r="WAE86" s="953"/>
      <c r="WAF86" s="953"/>
      <c r="WAG86" s="953"/>
      <c r="WAH86" s="953"/>
      <c r="WAI86" s="953"/>
      <c r="WAJ86" s="953"/>
      <c r="WAK86" s="953"/>
      <c r="WAL86" s="953"/>
      <c r="WAM86" s="953"/>
      <c r="WAN86" s="953"/>
      <c r="WAO86" s="953"/>
      <c r="WAP86" s="953"/>
      <c r="WAQ86" s="953"/>
      <c r="WAR86" s="953"/>
      <c r="WAS86" s="953"/>
      <c r="WAT86" s="953"/>
      <c r="WAU86" s="953"/>
      <c r="WAV86" s="953"/>
      <c r="WAW86" s="953"/>
      <c r="WAX86" s="953"/>
      <c r="WAY86" s="953"/>
      <c r="WAZ86" s="953"/>
      <c r="WBA86" s="953"/>
      <c r="WBB86" s="953"/>
      <c r="WBC86" s="953"/>
      <c r="WBD86" s="953"/>
      <c r="WBE86" s="953"/>
      <c r="WBF86" s="953"/>
      <c r="WBG86" s="953"/>
      <c r="WBH86" s="953"/>
      <c r="WBI86" s="953"/>
      <c r="WBJ86" s="953"/>
      <c r="WBK86" s="953"/>
      <c r="WBL86" s="953"/>
      <c r="WBM86" s="953"/>
      <c r="WBN86" s="953"/>
      <c r="WBO86" s="953"/>
      <c r="WBP86" s="953"/>
      <c r="WBQ86" s="953"/>
      <c r="WBR86" s="953"/>
      <c r="WBS86" s="953"/>
      <c r="WBT86" s="953"/>
      <c r="WBU86" s="953"/>
      <c r="WBV86" s="953"/>
      <c r="WBW86" s="953"/>
      <c r="WBX86" s="953"/>
      <c r="WBY86" s="953"/>
      <c r="WBZ86" s="953"/>
      <c r="WCA86" s="953"/>
      <c r="WCB86" s="953"/>
      <c r="WCC86" s="953"/>
      <c r="WCD86" s="953"/>
      <c r="WCE86" s="953"/>
      <c r="WCF86" s="953"/>
      <c r="WCG86" s="953"/>
      <c r="WCH86" s="953"/>
      <c r="WCI86" s="953"/>
      <c r="WCJ86" s="953"/>
      <c r="WCK86" s="953"/>
      <c r="WCL86" s="953"/>
      <c r="WCM86" s="953"/>
      <c r="WCN86" s="953"/>
      <c r="WCO86" s="953"/>
      <c r="WCP86" s="953"/>
      <c r="WCQ86" s="953"/>
      <c r="WCR86" s="953"/>
      <c r="WCS86" s="953"/>
      <c r="WCT86" s="953"/>
      <c r="WCU86" s="953"/>
      <c r="WCV86" s="953"/>
      <c r="WCW86" s="953"/>
      <c r="WCX86" s="953"/>
      <c r="WCY86" s="953"/>
      <c r="WCZ86" s="953"/>
      <c r="WDA86" s="953"/>
      <c r="WDB86" s="953"/>
      <c r="WDC86" s="953"/>
      <c r="WDD86" s="953"/>
      <c r="WDE86" s="953"/>
      <c r="WDF86" s="953"/>
      <c r="WDG86" s="953"/>
      <c r="WDH86" s="953"/>
      <c r="WDI86" s="953"/>
      <c r="WDJ86" s="953"/>
      <c r="WDK86" s="953"/>
      <c r="WDL86" s="953"/>
      <c r="WDM86" s="953"/>
      <c r="WDN86" s="953"/>
      <c r="WDO86" s="953"/>
      <c r="WDP86" s="953"/>
      <c r="WDQ86" s="953"/>
      <c r="WDR86" s="953"/>
      <c r="WDS86" s="953"/>
      <c r="WDT86" s="953"/>
      <c r="WDU86" s="953"/>
      <c r="WDV86" s="953"/>
      <c r="WDW86" s="953"/>
      <c r="WDX86" s="953"/>
      <c r="WDY86" s="953"/>
      <c r="WDZ86" s="953"/>
      <c r="WEA86" s="953"/>
      <c r="WEB86" s="953"/>
      <c r="WEC86" s="953"/>
      <c r="WED86" s="953"/>
      <c r="WEE86" s="953"/>
      <c r="WEF86" s="953"/>
      <c r="WEG86" s="953"/>
      <c r="WEH86" s="953"/>
      <c r="WEI86" s="953"/>
      <c r="WEJ86" s="953"/>
      <c r="WEK86" s="953"/>
      <c r="WEL86" s="953"/>
      <c r="WEM86" s="953"/>
      <c r="WEN86" s="953"/>
      <c r="WEO86" s="953"/>
      <c r="WEP86" s="953"/>
      <c r="WEQ86" s="953"/>
      <c r="WER86" s="953"/>
      <c r="WES86" s="953"/>
      <c r="WET86" s="953"/>
      <c r="WEU86" s="953"/>
      <c r="WEV86" s="953"/>
      <c r="WEW86" s="953"/>
      <c r="WEX86" s="953"/>
      <c r="WEY86" s="953"/>
      <c r="WEZ86" s="953"/>
      <c r="WFA86" s="953"/>
      <c r="WFB86" s="953"/>
      <c r="WFC86" s="953"/>
      <c r="WFD86" s="953"/>
      <c r="WFE86" s="953"/>
      <c r="WFF86" s="953"/>
      <c r="WFG86" s="953"/>
      <c r="WFH86" s="953"/>
      <c r="WFI86" s="953"/>
      <c r="WFJ86" s="953"/>
      <c r="WFK86" s="953"/>
      <c r="WFL86" s="953"/>
      <c r="WFM86" s="953"/>
      <c r="WFN86" s="953"/>
      <c r="WFO86" s="953"/>
      <c r="WFP86" s="953"/>
      <c r="WFQ86" s="953"/>
      <c r="WFR86" s="953"/>
      <c r="WFS86" s="953"/>
      <c r="WFT86" s="953"/>
      <c r="WFU86" s="953"/>
      <c r="WFV86" s="953"/>
      <c r="WFW86" s="953"/>
      <c r="WFX86" s="953"/>
      <c r="WFY86" s="953"/>
      <c r="WFZ86" s="953"/>
      <c r="WGA86" s="953"/>
      <c r="WGB86" s="953"/>
      <c r="WGC86" s="953"/>
      <c r="WGD86" s="953"/>
      <c r="WGE86" s="953"/>
      <c r="WGF86" s="953"/>
      <c r="WGG86" s="953"/>
      <c r="WGH86" s="953"/>
      <c r="WGI86" s="953"/>
      <c r="WGJ86" s="953"/>
      <c r="WGK86" s="953"/>
      <c r="WGL86" s="953"/>
      <c r="WGM86" s="953"/>
      <c r="WGN86" s="953"/>
      <c r="WGO86" s="953"/>
      <c r="WGP86" s="953"/>
      <c r="WGQ86" s="953"/>
      <c r="WGR86" s="953"/>
      <c r="WGS86" s="953"/>
      <c r="WGT86" s="953"/>
      <c r="WGU86" s="953"/>
      <c r="WGV86" s="953"/>
      <c r="WGW86" s="953"/>
      <c r="WGX86" s="953"/>
      <c r="WGY86" s="953"/>
      <c r="WGZ86" s="953"/>
      <c r="WHA86" s="953"/>
      <c r="WHB86" s="953"/>
      <c r="WHC86" s="953"/>
      <c r="WHD86" s="953"/>
      <c r="WHE86" s="953"/>
      <c r="WHF86" s="953"/>
      <c r="WHG86" s="953"/>
      <c r="WHH86" s="953"/>
      <c r="WHI86" s="953"/>
      <c r="WHJ86" s="953"/>
      <c r="WHK86" s="953"/>
      <c r="WHL86" s="953"/>
      <c r="WHM86" s="953"/>
      <c r="WHN86" s="953"/>
      <c r="WHO86" s="953"/>
      <c r="WHP86" s="953"/>
      <c r="WHQ86" s="953"/>
      <c r="WHR86" s="953"/>
      <c r="WHS86" s="953"/>
      <c r="WHT86" s="953"/>
      <c r="WHU86" s="953"/>
      <c r="WHV86" s="953"/>
      <c r="WHW86" s="953"/>
      <c r="WHX86" s="953"/>
      <c r="WHY86" s="953"/>
      <c r="WHZ86" s="953"/>
      <c r="WIA86" s="953"/>
      <c r="WIB86" s="953"/>
      <c r="WIC86" s="953"/>
      <c r="WID86" s="953"/>
      <c r="WIE86" s="953"/>
      <c r="WIF86" s="953"/>
      <c r="WIG86" s="953"/>
      <c r="WIH86" s="953"/>
      <c r="WII86" s="953"/>
      <c r="WIJ86" s="953"/>
      <c r="WIK86" s="953"/>
      <c r="WIL86" s="953"/>
      <c r="WIM86" s="953"/>
      <c r="WIN86" s="953"/>
      <c r="WIO86" s="953"/>
      <c r="WIP86" s="953"/>
      <c r="WIQ86" s="953"/>
      <c r="WIR86" s="953"/>
      <c r="WIS86" s="953"/>
      <c r="WIT86" s="953"/>
      <c r="WIU86" s="953"/>
      <c r="WIV86" s="953"/>
      <c r="WIW86" s="953"/>
      <c r="WIX86" s="953"/>
      <c r="WIY86" s="953"/>
      <c r="WIZ86" s="953"/>
      <c r="WJA86" s="953"/>
      <c r="WJB86" s="953"/>
      <c r="WJC86" s="953"/>
      <c r="WJD86" s="953"/>
      <c r="WJE86" s="953"/>
      <c r="WJF86" s="953"/>
      <c r="WJG86" s="953"/>
      <c r="WJH86" s="953"/>
      <c r="WJI86" s="953"/>
      <c r="WJJ86" s="953"/>
      <c r="WJK86" s="953"/>
      <c r="WJL86" s="953"/>
      <c r="WJM86" s="953"/>
      <c r="WJN86" s="953"/>
      <c r="WJO86" s="953"/>
      <c r="WJP86" s="953"/>
      <c r="WJQ86" s="953"/>
      <c r="WJR86" s="953"/>
      <c r="WJS86" s="953"/>
      <c r="WJT86" s="953"/>
      <c r="WJU86" s="953"/>
      <c r="WJV86" s="953"/>
      <c r="WJW86" s="953"/>
      <c r="WJX86" s="953"/>
      <c r="WJY86" s="953"/>
      <c r="WJZ86" s="953"/>
      <c r="WKA86" s="953"/>
      <c r="WKB86" s="953"/>
      <c r="WKC86" s="953"/>
      <c r="WKD86" s="953"/>
      <c r="WKE86" s="953"/>
      <c r="WKF86" s="953"/>
      <c r="WKG86" s="953"/>
      <c r="WKH86" s="953"/>
      <c r="WKI86" s="953"/>
      <c r="WKJ86" s="953"/>
      <c r="WKK86" s="953"/>
      <c r="WKL86" s="953"/>
      <c r="WKM86" s="953"/>
      <c r="WKN86" s="953"/>
      <c r="WKO86" s="953"/>
      <c r="WKP86" s="953"/>
      <c r="WKQ86" s="953"/>
      <c r="WKR86" s="953"/>
      <c r="WKS86" s="953"/>
      <c r="WKT86" s="953"/>
      <c r="WKU86" s="953"/>
      <c r="WKV86" s="953"/>
      <c r="WKW86" s="953"/>
      <c r="WKX86" s="953"/>
      <c r="WKY86" s="953"/>
      <c r="WKZ86" s="953"/>
      <c r="WLA86" s="953"/>
      <c r="WLB86" s="953"/>
      <c r="WLC86" s="953"/>
      <c r="WLD86" s="953"/>
      <c r="WLE86" s="953"/>
      <c r="WLF86" s="953"/>
      <c r="WLG86" s="953"/>
      <c r="WLH86" s="953"/>
      <c r="WLI86" s="953"/>
      <c r="WLJ86" s="953"/>
      <c r="WLK86" s="953"/>
      <c r="WLL86" s="953"/>
      <c r="WLM86" s="953"/>
      <c r="WLN86" s="953"/>
      <c r="WLO86" s="953"/>
      <c r="WLP86" s="953"/>
      <c r="WLQ86" s="953"/>
      <c r="WLR86" s="953"/>
      <c r="WLS86" s="953"/>
      <c r="WLT86" s="953"/>
      <c r="WLU86" s="953"/>
      <c r="WLV86" s="953"/>
      <c r="WLW86" s="953"/>
      <c r="WLX86" s="953"/>
      <c r="WLY86" s="953"/>
      <c r="WLZ86" s="953"/>
      <c r="WMA86" s="953"/>
      <c r="WMB86" s="953"/>
      <c r="WMC86" s="953"/>
      <c r="WMD86" s="953"/>
      <c r="WME86" s="953"/>
      <c r="WMF86" s="953"/>
      <c r="WMG86" s="953"/>
      <c r="WMH86" s="953"/>
      <c r="WMI86" s="953"/>
      <c r="WMJ86" s="953"/>
      <c r="WMK86" s="953"/>
      <c r="WML86" s="953"/>
      <c r="WMM86" s="953"/>
      <c r="WMN86" s="953"/>
      <c r="WMO86" s="953"/>
      <c r="WMP86" s="953"/>
      <c r="WMQ86" s="953"/>
      <c r="WMR86" s="953"/>
      <c r="WMS86" s="953"/>
      <c r="WMT86" s="953"/>
      <c r="WMU86" s="953"/>
      <c r="WMV86" s="953"/>
      <c r="WMW86" s="953"/>
      <c r="WMX86" s="953"/>
      <c r="WMY86" s="953"/>
      <c r="WMZ86" s="953"/>
      <c r="WNA86" s="953"/>
      <c r="WNB86" s="953"/>
      <c r="WNC86" s="953"/>
      <c r="WND86" s="953"/>
      <c r="WNE86" s="953"/>
      <c r="WNF86" s="953"/>
      <c r="WNG86" s="953"/>
      <c r="WNH86" s="953"/>
      <c r="WNI86" s="953"/>
      <c r="WNJ86" s="953"/>
      <c r="WNK86" s="953"/>
      <c r="WNL86" s="953"/>
      <c r="WNM86" s="953"/>
      <c r="WNN86" s="953"/>
      <c r="WNO86" s="953"/>
      <c r="WNP86" s="953"/>
      <c r="WNQ86" s="953"/>
      <c r="WNR86" s="953"/>
      <c r="WNS86" s="953"/>
      <c r="WNT86" s="953"/>
      <c r="WNU86" s="953"/>
      <c r="WNV86" s="953"/>
      <c r="WNW86" s="953"/>
      <c r="WNX86" s="953"/>
      <c r="WNY86" s="953"/>
      <c r="WNZ86" s="953"/>
      <c r="WOA86" s="953"/>
      <c r="WOB86" s="953"/>
      <c r="WOC86" s="953"/>
      <c r="WOD86" s="953"/>
      <c r="WOE86" s="953"/>
      <c r="WOF86" s="953"/>
      <c r="WOG86" s="953"/>
      <c r="WOH86" s="953"/>
      <c r="WOI86" s="953"/>
      <c r="WOJ86" s="953"/>
      <c r="WOK86" s="953"/>
      <c r="WOL86" s="953"/>
      <c r="WOM86" s="953"/>
      <c r="WON86" s="953"/>
      <c r="WOO86" s="953"/>
      <c r="WOP86" s="953"/>
      <c r="WOQ86" s="953"/>
      <c r="WOR86" s="953"/>
      <c r="WOS86" s="953"/>
      <c r="WOT86" s="953"/>
      <c r="WOU86" s="953"/>
      <c r="WOV86" s="953"/>
      <c r="WOW86" s="953"/>
      <c r="WOX86" s="953"/>
      <c r="WOY86" s="953"/>
      <c r="WOZ86" s="953"/>
      <c r="WPA86" s="953"/>
      <c r="WPB86" s="953"/>
      <c r="WPC86" s="953"/>
      <c r="WPD86" s="953"/>
      <c r="WPE86" s="953"/>
      <c r="WPF86" s="953"/>
      <c r="WPG86" s="953"/>
      <c r="WPH86" s="953"/>
      <c r="WPI86" s="953"/>
      <c r="WPJ86" s="953"/>
      <c r="WPK86" s="953"/>
      <c r="WPL86" s="953"/>
      <c r="WPM86" s="953"/>
      <c r="WPN86" s="953"/>
      <c r="WPO86" s="953"/>
      <c r="WPP86" s="953"/>
      <c r="WPQ86" s="953"/>
      <c r="WPR86" s="953"/>
      <c r="WPS86" s="953"/>
      <c r="WPT86" s="953"/>
      <c r="WPU86" s="953"/>
      <c r="WPV86" s="953"/>
      <c r="WPW86" s="953"/>
      <c r="WPX86" s="953"/>
      <c r="WPY86" s="953"/>
      <c r="WPZ86" s="953"/>
      <c r="WQA86" s="953"/>
      <c r="WQB86" s="953"/>
      <c r="WQC86" s="953"/>
      <c r="WQD86" s="953"/>
      <c r="WQE86" s="953"/>
      <c r="WQF86" s="953"/>
      <c r="WQG86" s="953"/>
      <c r="WQH86" s="953"/>
      <c r="WQI86" s="953"/>
      <c r="WQJ86" s="953"/>
      <c r="WQK86" s="953"/>
      <c r="WQL86" s="953"/>
      <c r="WQM86" s="953"/>
      <c r="WQN86" s="953"/>
      <c r="WQO86" s="953"/>
      <c r="WQP86" s="953"/>
      <c r="WQQ86" s="953"/>
      <c r="WQR86" s="953"/>
      <c r="WQS86" s="953"/>
      <c r="WQT86" s="953"/>
      <c r="WQU86" s="953"/>
      <c r="WQV86" s="953"/>
      <c r="WQW86" s="953"/>
      <c r="WQX86" s="953"/>
      <c r="WQY86" s="953"/>
      <c r="WQZ86" s="953"/>
      <c r="WRA86" s="953"/>
      <c r="WRB86" s="953"/>
      <c r="WRC86" s="953"/>
      <c r="WRD86" s="953"/>
      <c r="WRE86" s="953"/>
      <c r="WRF86" s="953"/>
      <c r="WRG86" s="953"/>
      <c r="WRH86" s="953"/>
      <c r="WRI86" s="953"/>
      <c r="WRJ86" s="953"/>
      <c r="WRK86" s="953"/>
      <c r="WRL86" s="953"/>
      <c r="WRM86" s="953"/>
      <c r="WRN86" s="953"/>
      <c r="WRO86" s="953"/>
      <c r="WRP86" s="953"/>
      <c r="WRQ86" s="953"/>
      <c r="WRR86" s="953"/>
      <c r="WRS86" s="953"/>
      <c r="WRT86" s="953"/>
      <c r="WRU86" s="953"/>
      <c r="WRV86" s="953"/>
      <c r="WRW86" s="953"/>
      <c r="WRX86" s="953"/>
      <c r="WRY86" s="953"/>
      <c r="WRZ86" s="953"/>
      <c r="WSA86" s="953"/>
      <c r="WSB86" s="953"/>
      <c r="WSC86" s="953"/>
      <c r="WSD86" s="953"/>
      <c r="WSE86" s="953"/>
      <c r="WSF86" s="953"/>
      <c r="WSG86" s="953"/>
      <c r="WSH86" s="953"/>
      <c r="WSI86" s="953"/>
      <c r="WSJ86" s="953"/>
      <c r="WSK86" s="953"/>
      <c r="WSL86" s="953"/>
      <c r="WSM86" s="953"/>
      <c r="WSN86" s="953"/>
      <c r="WSO86" s="953"/>
      <c r="WSP86" s="953"/>
      <c r="WSQ86" s="953"/>
      <c r="WSR86" s="953"/>
      <c r="WSS86" s="953"/>
      <c r="WST86" s="953"/>
      <c r="WSU86" s="953"/>
      <c r="WSV86" s="953"/>
      <c r="WSW86" s="953"/>
      <c r="WSX86" s="953"/>
      <c r="WSY86" s="953"/>
      <c r="WSZ86" s="953"/>
      <c r="WTA86" s="953"/>
      <c r="WTB86" s="953"/>
      <c r="WTC86" s="953"/>
      <c r="WTD86" s="953"/>
      <c r="WTE86" s="953"/>
      <c r="WTF86" s="953"/>
      <c r="WTG86" s="953"/>
      <c r="WTH86" s="953"/>
      <c r="WTI86" s="953"/>
      <c r="WTJ86" s="953"/>
      <c r="WTK86" s="953"/>
      <c r="WTL86" s="953"/>
      <c r="WTM86" s="953"/>
      <c r="WTN86" s="953"/>
      <c r="WTO86" s="953"/>
      <c r="WTP86" s="953"/>
      <c r="WTQ86" s="953"/>
      <c r="WTR86" s="953"/>
      <c r="WTS86" s="953"/>
      <c r="WTT86" s="953"/>
      <c r="WTU86" s="953"/>
      <c r="WTV86" s="953"/>
      <c r="WTW86" s="953"/>
      <c r="WTX86" s="953"/>
      <c r="WTY86" s="953"/>
      <c r="WTZ86" s="953"/>
      <c r="WUA86" s="953"/>
      <c r="WUB86" s="953"/>
      <c r="WUC86" s="953"/>
      <c r="WUD86" s="953"/>
      <c r="WUE86" s="953"/>
      <c r="WUF86" s="953"/>
      <c r="WUG86" s="953"/>
      <c r="WUH86" s="953"/>
      <c r="WUI86" s="953"/>
      <c r="WUJ86" s="953"/>
      <c r="WUK86" s="953"/>
      <c r="WUL86" s="953"/>
      <c r="WUM86" s="953"/>
      <c r="WUN86" s="953"/>
      <c r="WUO86" s="953"/>
      <c r="WUP86" s="953"/>
      <c r="WUQ86" s="953"/>
      <c r="WUR86" s="953"/>
      <c r="WUS86" s="953"/>
      <c r="WUT86" s="953"/>
      <c r="WUU86" s="953"/>
      <c r="WUV86" s="953"/>
      <c r="WUW86" s="953"/>
      <c r="WUX86" s="953"/>
      <c r="WUY86" s="953"/>
      <c r="WUZ86" s="953"/>
      <c r="WVA86" s="953"/>
      <c r="WVB86" s="953"/>
      <c r="WVC86" s="953"/>
      <c r="WVD86" s="953"/>
      <c r="WVE86" s="953"/>
      <c r="WVF86" s="953"/>
      <c r="WVG86" s="953"/>
      <c r="WVH86" s="953"/>
      <c r="WVI86" s="953"/>
      <c r="WVJ86" s="953"/>
      <c r="WVK86" s="953"/>
      <c r="WVL86" s="953"/>
      <c r="WVM86" s="953"/>
      <c r="WVN86" s="953"/>
      <c r="WVO86" s="953"/>
      <c r="WVP86" s="953"/>
      <c r="WVQ86" s="953"/>
      <c r="WVR86" s="953"/>
      <c r="WVS86" s="953"/>
      <c r="WVT86" s="953"/>
      <c r="WVU86" s="953"/>
      <c r="WVV86" s="953"/>
      <c r="WVW86" s="953"/>
      <c r="WVX86" s="953"/>
      <c r="WVY86" s="953"/>
      <c r="WVZ86" s="953"/>
      <c r="WWA86" s="953"/>
      <c r="WWB86" s="953"/>
      <c r="WWC86" s="953"/>
      <c r="WWD86" s="953"/>
      <c r="WWE86" s="953"/>
      <c r="WWF86" s="953"/>
      <c r="WWG86" s="953"/>
      <c r="WWH86" s="953"/>
      <c r="WWI86" s="953"/>
      <c r="WWJ86" s="953"/>
      <c r="WWK86" s="953"/>
      <c r="WWL86" s="953"/>
      <c r="WWM86" s="953"/>
      <c r="WWN86" s="953"/>
      <c r="WWO86" s="953"/>
      <c r="WWP86" s="953"/>
      <c r="WWQ86" s="953"/>
      <c r="WWR86" s="953"/>
      <c r="WWS86" s="953"/>
      <c r="WWT86" s="953"/>
      <c r="WWU86" s="953"/>
      <c r="WWV86" s="953"/>
      <c r="WWW86" s="953"/>
      <c r="WWX86" s="953"/>
      <c r="WWY86" s="953"/>
      <c r="WWZ86" s="953"/>
      <c r="WXA86" s="953"/>
      <c r="WXB86" s="953"/>
      <c r="WXC86" s="953"/>
      <c r="WXD86" s="953"/>
      <c r="WXE86" s="953"/>
      <c r="WXF86" s="953"/>
      <c r="WXG86" s="953"/>
      <c r="WXH86" s="953"/>
      <c r="WXI86" s="953"/>
      <c r="WXJ86" s="953"/>
      <c r="WXK86" s="953"/>
      <c r="WXL86" s="953"/>
      <c r="WXM86" s="953"/>
      <c r="WXN86" s="953"/>
      <c r="WXO86" s="953"/>
      <c r="WXP86" s="953"/>
      <c r="WXQ86" s="953"/>
      <c r="WXR86" s="953"/>
      <c r="WXS86" s="953"/>
      <c r="WXT86" s="953"/>
      <c r="WXU86" s="953"/>
      <c r="WXV86" s="953"/>
      <c r="WXW86" s="953"/>
      <c r="WXX86" s="953"/>
      <c r="WXY86" s="953"/>
      <c r="WXZ86" s="953"/>
      <c r="WYA86" s="953"/>
      <c r="WYB86" s="953"/>
      <c r="WYC86" s="953"/>
      <c r="WYD86" s="953"/>
      <c r="WYE86" s="953"/>
      <c r="WYF86" s="953"/>
      <c r="WYG86" s="953"/>
      <c r="WYH86" s="953"/>
      <c r="WYI86" s="953"/>
      <c r="WYJ86" s="953"/>
      <c r="WYK86" s="953"/>
      <c r="WYL86" s="953"/>
      <c r="WYM86" s="953"/>
      <c r="WYN86" s="953"/>
      <c r="WYO86" s="953"/>
      <c r="WYP86" s="953"/>
      <c r="WYQ86" s="953"/>
      <c r="WYR86" s="953"/>
      <c r="WYS86" s="953"/>
      <c r="WYT86" s="953"/>
      <c r="WYU86" s="953"/>
      <c r="WYV86" s="953"/>
      <c r="WYW86" s="953"/>
      <c r="WYX86" s="953"/>
      <c r="WYY86" s="953"/>
      <c r="WYZ86" s="953"/>
      <c r="WZA86" s="953"/>
      <c r="WZB86" s="953"/>
      <c r="WZC86" s="953"/>
      <c r="WZD86" s="953"/>
      <c r="WZE86" s="953"/>
      <c r="WZF86" s="953"/>
      <c r="WZG86" s="953"/>
      <c r="WZH86" s="953"/>
      <c r="WZI86" s="953"/>
      <c r="WZJ86" s="953"/>
      <c r="WZK86" s="953"/>
      <c r="WZL86" s="953"/>
      <c r="WZM86" s="953"/>
      <c r="WZN86" s="953"/>
      <c r="WZO86" s="953"/>
      <c r="WZP86" s="953"/>
      <c r="WZQ86" s="953"/>
      <c r="WZR86" s="953"/>
      <c r="WZS86" s="953"/>
      <c r="WZT86" s="953"/>
      <c r="WZU86" s="953"/>
      <c r="WZV86" s="953"/>
      <c r="WZW86" s="953"/>
      <c r="WZX86" s="953"/>
      <c r="WZY86" s="953"/>
      <c r="WZZ86" s="953"/>
      <c r="XAA86" s="953"/>
      <c r="XAB86" s="953"/>
      <c r="XAC86" s="953"/>
      <c r="XAD86" s="953"/>
      <c r="XAE86" s="953"/>
      <c r="XAF86" s="953"/>
      <c r="XAG86" s="953"/>
      <c r="XAH86" s="953"/>
      <c r="XAI86" s="953"/>
      <c r="XAJ86" s="953"/>
      <c r="XAK86" s="953"/>
      <c r="XAL86" s="953"/>
      <c r="XAM86" s="953"/>
      <c r="XAN86" s="953"/>
      <c r="XAO86" s="953"/>
      <c r="XAP86" s="953"/>
      <c r="XAQ86" s="953"/>
      <c r="XAR86" s="953"/>
      <c r="XAS86" s="953"/>
      <c r="XAT86" s="953"/>
      <c r="XAU86" s="953"/>
      <c r="XAV86" s="953"/>
      <c r="XAW86" s="953"/>
      <c r="XAX86" s="953"/>
      <c r="XAY86" s="953"/>
      <c r="XAZ86" s="953"/>
      <c r="XBA86" s="953"/>
      <c r="XBB86" s="953"/>
      <c r="XBC86" s="953"/>
      <c r="XBD86" s="953"/>
      <c r="XBE86" s="953"/>
      <c r="XBF86" s="953"/>
      <c r="XBG86" s="953"/>
      <c r="XBH86" s="953"/>
      <c r="XBI86" s="953"/>
      <c r="XBJ86" s="953"/>
      <c r="XBK86" s="953"/>
      <c r="XBL86" s="953"/>
      <c r="XBM86" s="953"/>
      <c r="XBN86" s="953"/>
      <c r="XBO86" s="953"/>
      <c r="XBP86" s="953"/>
      <c r="XBQ86" s="953"/>
      <c r="XBR86" s="953"/>
      <c r="XBS86" s="953"/>
      <c r="XBT86" s="953"/>
      <c r="XBU86" s="953"/>
      <c r="XBV86" s="953"/>
      <c r="XBW86" s="953"/>
      <c r="XBX86" s="953"/>
      <c r="XBY86" s="953"/>
      <c r="XBZ86" s="953"/>
      <c r="XCA86" s="953"/>
      <c r="XCB86" s="953"/>
      <c r="XCC86" s="953"/>
      <c r="XCD86" s="953"/>
      <c r="XCE86" s="953"/>
      <c r="XCF86" s="953"/>
      <c r="XCG86" s="953"/>
      <c r="XCH86" s="953"/>
      <c r="XCI86" s="953"/>
      <c r="XCJ86" s="953"/>
      <c r="XCK86" s="953"/>
      <c r="XCL86" s="953"/>
      <c r="XCM86" s="953"/>
      <c r="XCN86" s="953"/>
      <c r="XCO86" s="953"/>
      <c r="XCP86" s="953"/>
      <c r="XCQ86" s="953"/>
      <c r="XCR86" s="953"/>
      <c r="XCS86" s="953"/>
      <c r="XCT86" s="953"/>
      <c r="XCU86" s="953"/>
      <c r="XCV86" s="953"/>
      <c r="XCW86" s="953"/>
      <c r="XCX86" s="953"/>
      <c r="XCY86" s="953"/>
      <c r="XCZ86" s="953"/>
      <c r="XDA86" s="953"/>
      <c r="XDB86" s="953"/>
      <c r="XDC86" s="953"/>
      <c r="XDD86" s="953"/>
      <c r="XDE86" s="953"/>
      <c r="XDF86" s="953"/>
      <c r="XDG86" s="953"/>
      <c r="XDH86" s="953"/>
      <c r="XDI86" s="953"/>
      <c r="XDJ86" s="953"/>
      <c r="XDK86" s="953"/>
      <c r="XDL86" s="953"/>
      <c r="XDM86" s="953"/>
      <c r="XDN86" s="953"/>
      <c r="XDO86" s="953"/>
      <c r="XDP86" s="953"/>
      <c r="XDQ86" s="953"/>
      <c r="XDR86" s="953"/>
      <c r="XDS86" s="953"/>
      <c r="XDT86" s="953"/>
      <c r="XDU86" s="953"/>
      <c r="XDV86" s="953"/>
      <c r="XDW86" s="953"/>
      <c r="XDX86" s="953"/>
      <c r="XDY86" s="953"/>
      <c r="XDZ86" s="953"/>
      <c r="XEA86" s="953"/>
      <c r="XEB86" s="953"/>
      <c r="XEC86" s="953"/>
      <c r="XED86" s="953"/>
      <c r="XEE86" s="953"/>
      <c r="XEF86" s="953"/>
      <c r="XEG86" s="953"/>
      <c r="XEH86" s="953"/>
      <c r="XEI86" s="953"/>
      <c r="XEJ86" s="953"/>
      <c r="XEK86" s="953"/>
      <c r="XEL86" s="953"/>
      <c r="XEM86" s="953"/>
      <c r="XEN86" s="953"/>
      <c r="XEO86" s="953"/>
      <c r="XEP86" s="953"/>
      <c r="XEQ86" s="953"/>
      <c r="XER86" s="953"/>
      <c r="XES86" s="953"/>
      <c r="XET86" s="953"/>
      <c r="XEU86" s="953"/>
      <c r="XEV86" s="953"/>
      <c r="XEW86" s="953"/>
      <c r="XEX86" s="953"/>
      <c r="XEY86" s="953"/>
      <c r="XEZ86" s="953"/>
      <c r="XFA86" s="953"/>
      <c r="XFB86" s="953"/>
      <c r="XFC86" s="953"/>
      <c r="XFD86" s="953"/>
    </row>
    <row r="87" spans="1:16384" x14ac:dyDescent="0.25">
      <c r="B87" s="925"/>
      <c r="C87" s="925"/>
      <c r="D87" s="925"/>
      <c r="E87" s="960"/>
      <c r="F87" s="961" t="s">
        <v>505</v>
      </c>
      <c r="G87" s="961"/>
      <c r="H87" s="961">
        <v>9649.16</v>
      </c>
      <c r="I87" s="961">
        <v>351.91</v>
      </c>
      <c r="J87" s="961">
        <v>2328.86</v>
      </c>
      <c r="K87" s="961">
        <v>4305.8100000000004</v>
      </c>
      <c r="L87" s="961">
        <v>3953.76</v>
      </c>
      <c r="M87" s="961">
        <v>-0.01</v>
      </c>
      <c r="N87" s="961">
        <v>-67104.2</v>
      </c>
      <c r="O87" s="961">
        <v>-0.16</v>
      </c>
      <c r="P87" s="961">
        <v>-0.16</v>
      </c>
      <c r="Q87" s="961">
        <v>-0.16</v>
      </c>
      <c r="R87" s="961">
        <v>-0.16</v>
      </c>
      <c r="S87" s="961">
        <v>-274.55</v>
      </c>
      <c r="T87" s="961">
        <v>-30.11</v>
      </c>
      <c r="U87" s="959">
        <v>15603.62</v>
      </c>
      <c r="V87" s="959">
        <v>17976.3</v>
      </c>
      <c r="W87" s="959">
        <v>-3015.78</v>
      </c>
      <c r="X87" s="959">
        <v>1670.34</v>
      </c>
      <c r="Y87" s="959">
        <v>462.88</v>
      </c>
      <c r="Z87" s="959">
        <v>7364.19</v>
      </c>
      <c r="AA87" s="959">
        <v>5955.15</v>
      </c>
      <c r="AB87" s="959">
        <v>5855.61</v>
      </c>
      <c r="AC87" s="887">
        <v>53639.34</v>
      </c>
      <c r="AD87" s="887">
        <v>452.93</v>
      </c>
      <c r="AE87" s="959">
        <v>4661.38</v>
      </c>
      <c r="AF87" s="959">
        <v>10779.23</v>
      </c>
      <c r="AG87" s="959">
        <v>9193.51</v>
      </c>
      <c r="AH87" s="887">
        <v>5192.21</v>
      </c>
      <c r="AI87" s="887">
        <v>5989.05</v>
      </c>
      <c r="AJ87" s="887">
        <v>6311.28</v>
      </c>
    </row>
    <row r="88" spans="1:16384" x14ac:dyDescent="0.25">
      <c r="B88" s="925"/>
      <c r="C88" s="925"/>
      <c r="D88" s="925"/>
      <c r="E88" s="960"/>
      <c r="F88" s="961"/>
      <c r="G88" s="961" t="s">
        <v>744</v>
      </c>
      <c r="H88" s="961"/>
      <c r="I88" s="961"/>
      <c r="J88" s="961"/>
      <c r="K88" s="961"/>
      <c r="L88" s="961"/>
      <c r="M88" s="961"/>
      <c r="N88" s="961"/>
      <c r="O88" s="961"/>
      <c r="P88" s="961"/>
      <c r="Q88" s="961"/>
      <c r="R88" s="961"/>
      <c r="S88" s="961"/>
      <c r="T88" s="961"/>
      <c r="U88" s="959"/>
      <c r="V88" s="959"/>
      <c r="W88" s="959"/>
      <c r="X88" s="959"/>
      <c r="Y88" s="959"/>
      <c r="Z88" s="959"/>
      <c r="AA88" s="959"/>
      <c r="AB88" s="959"/>
      <c r="AC88" s="959"/>
      <c r="AD88" s="959"/>
      <c r="AE88" s="959"/>
      <c r="AF88" s="959"/>
      <c r="AG88" s="959"/>
    </row>
    <row r="89" spans="1:16384" x14ac:dyDescent="0.25">
      <c r="B89" s="925"/>
      <c r="C89" s="925"/>
      <c r="D89" s="925"/>
      <c r="E89" s="960"/>
      <c r="F89" s="961"/>
      <c r="G89" s="961" t="s">
        <v>745</v>
      </c>
      <c r="H89" s="961"/>
      <c r="I89" s="961"/>
      <c r="J89" s="961"/>
      <c r="K89" s="961"/>
      <c r="L89" s="961"/>
      <c r="M89" s="961"/>
      <c r="N89" s="961"/>
      <c r="O89" s="961"/>
      <c r="P89" s="961"/>
      <c r="Q89" s="961"/>
      <c r="R89" s="961"/>
      <c r="S89" s="961"/>
      <c r="T89" s="961"/>
      <c r="U89" s="959"/>
      <c r="V89" s="959"/>
      <c r="W89" s="959"/>
      <c r="X89" s="959"/>
      <c r="Y89" s="959"/>
      <c r="Z89" s="959"/>
      <c r="AA89" s="959"/>
      <c r="AB89" s="959"/>
      <c r="AC89" s="959"/>
      <c r="AD89" s="959"/>
      <c r="AE89" s="959"/>
      <c r="AF89" s="959"/>
      <c r="AG89" s="959"/>
    </row>
    <row r="90" spans="1:16384" x14ac:dyDescent="0.25">
      <c r="B90" s="925"/>
      <c r="G90" s="964" t="s">
        <v>746</v>
      </c>
      <c r="H90" s="965"/>
      <c r="I90" s="965"/>
      <c r="J90" s="965"/>
      <c r="K90" s="965"/>
      <c r="L90" s="965"/>
      <c r="M90" s="965"/>
      <c r="N90" s="965"/>
      <c r="O90" s="965"/>
      <c r="P90" s="965"/>
      <c r="Q90" s="965"/>
      <c r="R90" s="965"/>
      <c r="S90" s="965"/>
      <c r="T90" s="965"/>
      <c r="U90" s="965"/>
      <c r="V90" s="965"/>
      <c r="W90" s="965"/>
      <c r="X90" s="965"/>
      <c r="Y90" s="965"/>
      <c r="Z90" s="965"/>
      <c r="AA90" s="965"/>
      <c r="AB90" s="965"/>
      <c r="AC90" s="965"/>
      <c r="AD90" s="965"/>
      <c r="AE90" s="965"/>
      <c r="AF90" s="965"/>
      <c r="AG90" s="965"/>
      <c r="AH90" s="965"/>
      <c r="AI90" s="1239"/>
      <c r="AJ90" s="1239"/>
      <c r="AK90" s="965"/>
      <c r="AL90" s="965"/>
      <c r="AM90" s="965"/>
      <c r="AN90" s="965"/>
      <c r="AO90" s="965"/>
      <c r="AP90" s="965"/>
      <c r="AQ90" s="965"/>
      <c r="AR90" s="965"/>
      <c r="AS90" s="965"/>
      <c r="AT90" s="965"/>
      <c r="AU90" s="965"/>
      <c r="AV90" s="965"/>
      <c r="AW90" s="965"/>
      <c r="AX90" s="965"/>
      <c r="AY90" s="965"/>
      <c r="AZ90" s="965"/>
      <c r="BA90" s="965"/>
      <c r="BB90" s="965"/>
      <c r="BC90" s="965"/>
      <c r="BD90" s="965"/>
      <c r="BE90" s="965"/>
      <c r="BF90" s="965"/>
      <c r="BG90" s="965"/>
      <c r="BH90" s="965"/>
      <c r="BI90" s="965"/>
      <c r="BJ90" s="965"/>
      <c r="BK90" s="965"/>
      <c r="BL90" s="965"/>
      <c r="BM90" s="965"/>
      <c r="BN90" s="965"/>
      <c r="BO90" s="965"/>
      <c r="BP90" s="965"/>
      <c r="BQ90" s="965"/>
      <c r="BR90" s="965"/>
      <c r="BS90" s="965"/>
      <c r="BT90" s="965"/>
      <c r="BU90" s="965"/>
      <c r="BV90" s="965"/>
      <c r="BW90" s="965"/>
      <c r="BX90" s="965"/>
      <c r="BY90" s="965"/>
      <c r="BZ90" s="965"/>
      <c r="CA90" s="965"/>
      <c r="CB90" s="965"/>
      <c r="CC90" s="965"/>
    </row>
    <row r="91" spans="1:16384" x14ac:dyDescent="0.25">
      <c r="B91" s="924"/>
      <c r="C91" s="924"/>
      <c r="D91" s="924"/>
      <c r="E91" s="960"/>
      <c r="F91" s="961" t="s">
        <v>353</v>
      </c>
      <c r="G91" s="961"/>
      <c r="H91" s="961"/>
      <c r="I91" s="961"/>
      <c r="J91" s="961"/>
      <c r="K91" s="961"/>
      <c r="L91" s="961"/>
      <c r="M91" s="961"/>
      <c r="N91" s="961"/>
      <c r="O91" s="961"/>
      <c r="P91" s="961"/>
      <c r="Q91" s="961"/>
      <c r="R91" s="961"/>
      <c r="S91" s="889"/>
      <c r="T91" s="889"/>
      <c r="U91" s="889"/>
      <c r="V91" s="889"/>
      <c r="W91" s="889"/>
      <c r="X91" s="889"/>
      <c r="Y91" s="889"/>
      <c r="Z91" s="889"/>
      <c r="AA91" s="889"/>
      <c r="AB91" s="889"/>
      <c r="AC91" s="889"/>
      <c r="AD91" s="889"/>
      <c r="AE91" s="889"/>
      <c r="AF91" s="889"/>
      <c r="AG91" s="889"/>
      <c r="AH91" s="889"/>
      <c r="AI91" s="889"/>
      <c r="AJ91" s="889"/>
      <c r="AK91" s="889"/>
      <c r="AL91" s="889"/>
      <c r="AM91" s="889"/>
      <c r="AN91" s="889"/>
      <c r="AO91" s="889"/>
      <c r="AP91" s="889"/>
      <c r="AQ91" s="889"/>
      <c r="AR91" s="889"/>
      <c r="AS91" s="889"/>
      <c r="AT91" s="889"/>
      <c r="AU91" s="889"/>
      <c r="AV91" s="889"/>
      <c r="AW91" s="889"/>
      <c r="AX91" s="889"/>
      <c r="AY91" s="889"/>
      <c r="AZ91" s="889"/>
      <c r="BA91" s="889"/>
      <c r="BB91" s="889"/>
      <c r="BC91" s="889"/>
      <c r="BD91" s="889"/>
      <c r="BE91" s="889"/>
      <c r="BF91" s="889"/>
      <c r="BG91" s="889"/>
      <c r="BH91" s="889"/>
      <c r="BI91" s="889"/>
      <c r="BJ91" s="889"/>
      <c r="BK91" s="889"/>
      <c r="BL91" s="889"/>
      <c r="BM91" s="889"/>
      <c r="BN91" s="889"/>
      <c r="BO91" s="889"/>
      <c r="BP91" s="889"/>
      <c r="BQ91" s="889"/>
      <c r="BR91" s="889"/>
      <c r="BS91" s="889"/>
      <c r="BT91" s="889"/>
      <c r="BU91" s="889"/>
      <c r="BV91" s="889"/>
      <c r="BW91" s="889"/>
      <c r="BX91" s="889"/>
      <c r="BY91" s="889"/>
      <c r="BZ91" s="889"/>
      <c r="CA91" s="889"/>
      <c r="CB91" s="889"/>
      <c r="CC91" s="889"/>
    </row>
    <row r="92" spans="1:16384" x14ac:dyDescent="0.25">
      <c r="A92" s="881"/>
      <c r="F92" s="959"/>
      <c r="G92" s="959" t="s">
        <v>355</v>
      </c>
      <c r="H92" s="888"/>
      <c r="I92" s="888"/>
      <c r="J92" s="888">
        <v>0</v>
      </c>
      <c r="K92" s="888">
        <v>0</v>
      </c>
      <c r="L92" s="888">
        <v>0</v>
      </c>
      <c r="M92" s="887">
        <v>0</v>
      </c>
      <c r="N92" s="887">
        <v>0</v>
      </c>
      <c r="O92" s="887">
        <v>0</v>
      </c>
      <c r="P92" s="887">
        <v>0</v>
      </c>
      <c r="Q92" s="887">
        <v>0</v>
      </c>
      <c r="R92" s="887">
        <v>0</v>
      </c>
      <c r="S92" s="887">
        <v>0</v>
      </c>
      <c r="T92" s="887">
        <v>0</v>
      </c>
      <c r="U92" s="887">
        <v>21864.46</v>
      </c>
      <c r="V92" s="887">
        <v>147992.04999999999</v>
      </c>
      <c r="W92" s="887">
        <v>227548.07</v>
      </c>
      <c r="X92" s="887">
        <v>342677.26</v>
      </c>
      <c r="Y92" s="887">
        <v>467806.56</v>
      </c>
      <c r="Z92" s="887">
        <v>386117.4</v>
      </c>
      <c r="AA92" s="887">
        <v>463340.88</v>
      </c>
      <c r="AB92" s="887">
        <v>631242.48</v>
      </c>
      <c r="AC92" s="887">
        <v>474998.43</v>
      </c>
      <c r="AD92" s="887">
        <v>575038.26</v>
      </c>
      <c r="AE92" s="887">
        <v>744844.14</v>
      </c>
      <c r="AF92" s="438">
        <v>603188.96</v>
      </c>
      <c r="AG92" s="438">
        <v>45577.49</v>
      </c>
      <c r="AH92" s="438">
        <v>261792.37</v>
      </c>
      <c r="AI92" s="438">
        <v>341950.68</v>
      </c>
      <c r="AJ92" s="438">
        <v>456106.16</v>
      </c>
      <c r="AK92" s="889"/>
      <c r="AL92" s="889"/>
      <c r="AM92" s="889"/>
      <c r="AN92" s="889"/>
      <c r="AO92" s="889"/>
      <c r="AP92" s="889"/>
      <c r="AQ92" s="889"/>
      <c r="AR92" s="889"/>
      <c r="AS92" s="889"/>
      <c r="AT92" s="889"/>
      <c r="AU92" s="889"/>
      <c r="AV92" s="889"/>
      <c r="AW92" s="889"/>
      <c r="AX92" s="889"/>
      <c r="AY92" s="889"/>
      <c r="AZ92" s="889"/>
      <c r="BA92" s="889"/>
      <c r="BB92" s="889"/>
      <c r="BC92" s="889"/>
      <c r="BD92" s="889"/>
      <c r="BE92" s="889"/>
      <c r="BF92" s="889"/>
      <c r="BG92" s="889"/>
      <c r="BH92" s="889"/>
      <c r="BI92" s="889"/>
      <c r="BJ92" s="889"/>
      <c r="BK92" s="889"/>
      <c r="BL92" s="889"/>
      <c r="BM92" s="889"/>
      <c r="BN92" s="889"/>
      <c r="BO92" s="889"/>
      <c r="BP92" s="889"/>
      <c r="BQ92" s="889"/>
      <c r="BR92" s="889"/>
      <c r="BS92" s="889"/>
      <c r="BT92" s="889"/>
      <c r="BU92" s="889"/>
      <c r="BV92" s="889"/>
      <c r="BW92" s="889"/>
      <c r="BX92" s="889"/>
      <c r="BY92" s="889"/>
      <c r="BZ92" s="889"/>
      <c r="CA92" s="889"/>
      <c r="CB92" s="889"/>
      <c r="CC92" s="889"/>
    </row>
    <row r="93" spans="1:16384" x14ac:dyDescent="0.25">
      <c r="F93" s="959"/>
      <c r="G93" s="959" t="s">
        <v>354</v>
      </c>
      <c r="H93" s="959"/>
      <c r="I93" s="959"/>
      <c r="J93" s="959"/>
      <c r="K93" s="959"/>
      <c r="L93" s="959"/>
      <c r="U93" s="887">
        <v>142187.78</v>
      </c>
      <c r="V93" s="887">
        <v>153001.26999999999</v>
      </c>
      <c r="W93" s="887">
        <v>167998.36</v>
      </c>
      <c r="X93" s="887">
        <v>178782.71</v>
      </c>
      <c r="Y93" s="887">
        <v>187809.98</v>
      </c>
      <c r="Z93" s="887">
        <v>198149.42</v>
      </c>
      <c r="AA93" s="887">
        <v>211652.2</v>
      </c>
      <c r="AB93" s="887">
        <v>208163.94</v>
      </c>
      <c r="AC93" s="887">
        <v>202058.61</v>
      </c>
      <c r="AD93" s="887">
        <v>216923</v>
      </c>
      <c r="AE93" s="887">
        <v>229772.57</v>
      </c>
      <c r="AF93" s="438">
        <v>234814.38</v>
      </c>
      <c r="AG93" s="438">
        <v>211985.58</v>
      </c>
      <c r="AH93" s="438">
        <v>227431.42</v>
      </c>
      <c r="AI93" s="438">
        <v>239347.44</v>
      </c>
      <c r="AJ93" s="438">
        <v>257991.74</v>
      </c>
    </row>
    <row r="94" spans="1:16384" x14ac:dyDescent="0.25">
      <c r="F94" s="959"/>
      <c r="G94" s="959" t="s">
        <v>747</v>
      </c>
      <c r="H94" s="959"/>
      <c r="I94" s="959"/>
      <c r="J94" s="959"/>
      <c r="K94" s="959"/>
      <c r="L94" s="959"/>
      <c r="M94" s="959"/>
      <c r="N94" s="959"/>
      <c r="O94" s="959"/>
      <c r="P94" s="959"/>
    </row>
    <row r="95" spans="1:16384" x14ac:dyDescent="0.25">
      <c r="F95" s="959"/>
      <c r="G95" s="959" t="s">
        <v>506</v>
      </c>
      <c r="H95" s="959"/>
      <c r="I95" s="959"/>
      <c r="J95" s="959"/>
      <c r="K95" s="959"/>
      <c r="L95" s="959"/>
      <c r="M95" s="959"/>
      <c r="N95" s="959"/>
      <c r="O95" s="959"/>
      <c r="P95" s="959"/>
      <c r="U95" s="887">
        <f>15659.72+141038.12</f>
        <v>156697.84</v>
      </c>
      <c r="V95" s="887">
        <v>134409.97999999998</v>
      </c>
      <c r="W95" s="887">
        <v>118239.81</v>
      </c>
      <c r="X95" s="887">
        <v>125027.84</v>
      </c>
      <c r="Y95" s="887">
        <v>175135.82</v>
      </c>
      <c r="Z95" s="887">
        <v>210155.66</v>
      </c>
      <c r="AA95" s="887">
        <v>213750.77</v>
      </c>
      <c r="AB95" s="887">
        <v>387011.98</v>
      </c>
      <c r="AC95" s="887">
        <v>337413.69999999995</v>
      </c>
      <c r="AD95" s="887">
        <v>378216.85000000003</v>
      </c>
      <c r="AE95" s="887">
        <v>369730.92</v>
      </c>
      <c r="AF95" s="887">
        <v>321671.73000000004</v>
      </c>
      <c r="AG95" s="887">
        <v>427059.36</v>
      </c>
      <c r="AH95" s="887">
        <v>411768.43</v>
      </c>
      <c r="AI95" s="887">
        <v>429762.77</v>
      </c>
      <c r="AJ95" s="887">
        <v>489095.82999999996</v>
      </c>
    </row>
    <row r="96" spans="1:16384" x14ac:dyDescent="0.25">
      <c r="A96" s="881"/>
      <c r="F96" s="964" t="s">
        <v>356</v>
      </c>
      <c r="G96" s="965"/>
      <c r="H96" s="965"/>
      <c r="I96" s="965"/>
      <c r="J96" s="965">
        <f t="shared" ref="J96:T96" si="19">SUM(J93:J95)</f>
        <v>0</v>
      </c>
      <c r="K96" s="965">
        <f t="shared" si="19"/>
        <v>0</v>
      </c>
      <c r="L96" s="965">
        <f t="shared" si="19"/>
        <v>0</v>
      </c>
      <c r="M96" s="965">
        <f t="shared" si="19"/>
        <v>0</v>
      </c>
      <c r="N96" s="965">
        <f t="shared" si="19"/>
        <v>0</v>
      </c>
      <c r="O96" s="965">
        <f t="shared" si="19"/>
        <v>0</v>
      </c>
      <c r="P96" s="965">
        <f t="shared" si="19"/>
        <v>0</v>
      </c>
      <c r="Q96" s="965">
        <f t="shared" si="19"/>
        <v>0</v>
      </c>
      <c r="R96" s="965">
        <f t="shared" si="19"/>
        <v>0</v>
      </c>
      <c r="S96" s="965">
        <f t="shared" si="19"/>
        <v>0</v>
      </c>
      <c r="T96" s="965">
        <f t="shared" si="19"/>
        <v>0</v>
      </c>
      <c r="U96" s="965">
        <f>SUM(U92:U95)</f>
        <v>320750.07999999996</v>
      </c>
      <c r="V96" s="965">
        <f>SUM(V92:V95)</f>
        <v>435403.29999999993</v>
      </c>
      <c r="W96" s="965">
        <f t="shared" ref="W96:AJ96" si="20">SUM(W92:W95)</f>
        <v>513786.24</v>
      </c>
      <c r="X96" s="965">
        <f t="shared" si="20"/>
        <v>646487.80999999994</v>
      </c>
      <c r="Y96" s="965">
        <f t="shared" si="20"/>
        <v>830752.3600000001</v>
      </c>
      <c r="Z96" s="965">
        <f t="shared" si="20"/>
        <v>794422.4800000001</v>
      </c>
      <c r="AA96" s="965">
        <f>SUM(AA92:AA95)</f>
        <v>888743.85000000009</v>
      </c>
      <c r="AB96" s="965">
        <f>SUM(AB92:AB95)</f>
        <v>1226418.3999999999</v>
      </c>
      <c r="AC96" s="965">
        <f>SUM(AC92:AC95)</f>
        <v>1014470.74</v>
      </c>
      <c r="AD96" s="965">
        <f t="shared" si="20"/>
        <v>1170178.1100000001</v>
      </c>
      <c r="AE96" s="965">
        <f t="shared" si="20"/>
        <v>1344347.63</v>
      </c>
      <c r="AF96" s="965">
        <f t="shared" si="20"/>
        <v>1159675.07</v>
      </c>
      <c r="AG96" s="965">
        <f t="shared" si="20"/>
        <v>684622.42999999993</v>
      </c>
      <c r="AH96" s="965">
        <f t="shared" si="20"/>
        <v>900992.22</v>
      </c>
      <c r="AI96" s="1239">
        <f t="shared" si="20"/>
        <v>1011060.89</v>
      </c>
      <c r="AJ96" s="1239">
        <f t="shared" si="20"/>
        <v>1203193.73</v>
      </c>
      <c r="AK96" s="965"/>
      <c r="AL96" s="965"/>
      <c r="AM96" s="965"/>
      <c r="AN96" s="965"/>
      <c r="AO96" s="965"/>
      <c r="AP96" s="965"/>
      <c r="AQ96" s="965"/>
      <c r="AR96" s="965"/>
      <c r="AS96" s="965"/>
      <c r="AT96" s="965"/>
      <c r="AU96" s="965"/>
      <c r="AV96" s="965"/>
      <c r="AW96" s="965"/>
      <c r="AX96" s="965"/>
      <c r="AY96" s="965"/>
      <c r="AZ96" s="965"/>
      <c r="BA96" s="965"/>
      <c r="BB96" s="965"/>
      <c r="BC96" s="965"/>
      <c r="BD96" s="965"/>
      <c r="BE96" s="965"/>
      <c r="BF96" s="965"/>
      <c r="BG96" s="965"/>
      <c r="BH96" s="965"/>
      <c r="BI96" s="965"/>
      <c r="BJ96" s="965"/>
      <c r="BK96" s="965"/>
      <c r="BL96" s="965"/>
      <c r="BM96" s="965"/>
      <c r="BN96" s="965"/>
      <c r="BO96" s="965"/>
      <c r="BP96" s="965"/>
      <c r="BQ96" s="965"/>
      <c r="BR96" s="965"/>
      <c r="BS96" s="965"/>
      <c r="BT96" s="965"/>
      <c r="BU96" s="965"/>
      <c r="BV96" s="965"/>
      <c r="BW96" s="965"/>
      <c r="BX96" s="965"/>
      <c r="BY96" s="965"/>
      <c r="BZ96" s="965"/>
      <c r="CA96" s="965"/>
      <c r="CB96" s="965"/>
      <c r="CC96" s="956"/>
    </row>
    <row r="97" spans="1:16384" x14ac:dyDescent="0.25">
      <c r="B97" s="925"/>
      <c r="F97" s="959" t="s">
        <v>748</v>
      </c>
    </row>
    <row r="98" spans="1:16384" ht="13.9" customHeight="1" thickBot="1" x14ac:dyDescent="0.3">
      <c r="B98" s="925"/>
      <c r="F98" s="959" t="s">
        <v>352</v>
      </c>
      <c r="H98" s="959"/>
      <c r="I98" s="959"/>
      <c r="J98" s="959"/>
      <c r="K98" s="959"/>
      <c r="L98" s="959"/>
      <c r="M98" s="959"/>
      <c r="N98" s="959"/>
      <c r="O98" s="959"/>
      <c r="P98" s="959"/>
      <c r="Q98" s="959"/>
      <c r="R98" s="959"/>
      <c r="U98" s="959">
        <v>29816.6</v>
      </c>
      <c r="V98" s="959">
        <v>30329.53</v>
      </c>
      <c r="W98" s="959">
        <v>30842.46</v>
      </c>
      <c r="X98" s="959">
        <v>30886.39</v>
      </c>
      <c r="Y98" s="959">
        <v>32555.72</v>
      </c>
      <c r="Z98" s="959">
        <v>31465.32</v>
      </c>
      <c r="AA98" s="959">
        <v>30355.35</v>
      </c>
      <c r="AB98" s="959">
        <v>29245.38</v>
      </c>
      <c r="AC98" s="887">
        <v>28135.41</v>
      </c>
      <c r="AD98" s="887">
        <v>27025.439999999999</v>
      </c>
      <c r="AE98" s="887">
        <v>25915.47</v>
      </c>
      <c r="AF98" s="887">
        <v>24527.4</v>
      </c>
      <c r="AG98" s="887">
        <v>37523.160000000003</v>
      </c>
      <c r="AH98" s="1028">
        <v>36785.769999999997</v>
      </c>
      <c r="AI98" s="1028">
        <v>36377.72</v>
      </c>
      <c r="AJ98" s="1004">
        <v>35311.14</v>
      </c>
    </row>
    <row r="99" spans="1:16384" ht="13.9" customHeight="1" x14ac:dyDescent="0.25">
      <c r="B99" s="925"/>
      <c r="G99" s="964" t="s">
        <v>749</v>
      </c>
      <c r="H99" s="965"/>
      <c r="I99" s="965"/>
      <c r="J99" s="965"/>
      <c r="K99" s="965"/>
      <c r="L99" s="965"/>
      <c r="M99" s="965"/>
      <c r="N99" s="965"/>
      <c r="O99" s="965"/>
      <c r="P99" s="965"/>
      <c r="Q99" s="965"/>
      <c r="R99" s="965"/>
      <c r="S99" s="965"/>
      <c r="T99" s="965"/>
      <c r="U99" s="965"/>
      <c r="V99" s="965"/>
      <c r="W99" s="965"/>
      <c r="X99" s="965"/>
      <c r="Y99" s="965"/>
      <c r="Z99" s="965"/>
      <c r="AA99" s="965"/>
      <c r="AB99" s="965"/>
      <c r="AC99" s="965"/>
      <c r="AD99" s="965"/>
      <c r="AE99" s="965"/>
      <c r="AF99" s="965"/>
      <c r="AG99" s="965"/>
      <c r="AH99" s="965"/>
      <c r="AI99" s="1239"/>
      <c r="AJ99" s="1239"/>
      <c r="AK99" s="965"/>
      <c r="AL99" s="965"/>
      <c r="AM99" s="965"/>
      <c r="AN99" s="965"/>
      <c r="AO99" s="965"/>
      <c r="AP99" s="965"/>
      <c r="AQ99" s="965"/>
      <c r="AR99" s="965"/>
      <c r="AS99" s="965"/>
      <c r="AT99" s="965"/>
      <c r="AU99" s="965"/>
      <c r="AV99" s="965"/>
      <c r="AW99" s="965"/>
      <c r="AX99" s="965"/>
      <c r="AY99" s="965"/>
      <c r="AZ99" s="965"/>
      <c r="BA99" s="965"/>
      <c r="BB99" s="965"/>
      <c r="BC99" s="965"/>
      <c r="BD99" s="965"/>
      <c r="BE99" s="965"/>
      <c r="BF99" s="965"/>
      <c r="BG99" s="965"/>
      <c r="BH99" s="965"/>
      <c r="BI99" s="965"/>
      <c r="BJ99" s="965"/>
      <c r="BK99" s="965"/>
      <c r="BL99" s="965"/>
      <c r="BM99" s="965"/>
      <c r="BN99" s="965"/>
      <c r="BO99" s="965"/>
      <c r="BP99" s="965"/>
      <c r="BQ99" s="965"/>
      <c r="BR99" s="965"/>
      <c r="BS99" s="965"/>
      <c r="BT99" s="965"/>
      <c r="BU99" s="965"/>
      <c r="BV99" s="965"/>
      <c r="BW99" s="965"/>
      <c r="BX99" s="965"/>
      <c r="BY99" s="965"/>
      <c r="BZ99" s="965"/>
      <c r="CA99" s="965"/>
      <c r="CB99" s="965"/>
      <c r="CC99" s="965"/>
    </row>
    <row r="100" spans="1:16384" x14ac:dyDescent="0.25">
      <c r="B100" s="925"/>
      <c r="F100" s="959" t="s">
        <v>507</v>
      </c>
      <c r="H100" s="887">
        <v>1465072.79</v>
      </c>
      <c r="I100" s="887">
        <v>2448176.83</v>
      </c>
      <c r="J100" s="887">
        <v>2451443.6811143844</v>
      </c>
      <c r="K100" s="887">
        <v>2411815.7549593886</v>
      </c>
      <c r="L100" s="887">
        <v>2359010.9015557361</v>
      </c>
      <c r="M100" s="887">
        <v>3303695.0664396943</v>
      </c>
      <c r="N100" s="887">
        <v>3565567.1843792517</v>
      </c>
      <c r="O100" s="887">
        <v>3497235.7020452945</v>
      </c>
      <c r="P100" s="887">
        <v>3504387.7004646901</v>
      </c>
      <c r="Q100" s="887">
        <v>3457435.0925441496</v>
      </c>
      <c r="R100" s="887">
        <v>3411836.1159384376</v>
      </c>
      <c r="S100" s="887">
        <v>3608558.6505331378</v>
      </c>
      <c r="T100" s="887">
        <v>3389939.2191822021</v>
      </c>
      <c r="U100" s="887">
        <v>2110394.37</v>
      </c>
      <c r="V100" s="959">
        <v>3091002.33</v>
      </c>
      <c r="W100" s="959">
        <v>2766690.83</v>
      </c>
      <c r="X100" s="959">
        <v>2602389.7799999998</v>
      </c>
      <c r="Y100" s="959">
        <v>2431390.27</v>
      </c>
      <c r="Z100" s="959">
        <v>2374179.9500000002</v>
      </c>
      <c r="AA100" s="959">
        <v>2484153.2799999998</v>
      </c>
      <c r="AB100" s="959">
        <v>2312820.5499999998</v>
      </c>
      <c r="AC100" s="887">
        <v>2351706.7000000002</v>
      </c>
      <c r="AD100" s="887">
        <v>2702980.32</v>
      </c>
      <c r="AE100" s="959">
        <v>2390645.64</v>
      </c>
      <c r="AF100" s="959">
        <v>2326548.5499999998</v>
      </c>
      <c r="AG100" s="959">
        <v>1923457.01</v>
      </c>
      <c r="AH100" s="1004">
        <v>2331022.65</v>
      </c>
      <c r="AI100" s="1004">
        <v>2237217.4900000002</v>
      </c>
      <c r="AJ100" s="1004">
        <v>2226243.5</v>
      </c>
    </row>
    <row r="101" spans="1:16384" x14ac:dyDescent="0.25">
      <c r="E101" s="913" t="s">
        <v>157</v>
      </c>
      <c r="F101" s="913"/>
      <c r="G101" s="913"/>
      <c r="H101" s="936">
        <f>SUM(H82:H100)</f>
        <v>1511849.8900000001</v>
      </c>
      <c r="I101" s="936">
        <f>SUM(I82:I100)</f>
        <v>2519073.5</v>
      </c>
      <c r="J101" s="936">
        <f t="shared" ref="J101:AH101" si="21">J96+J87+J100+J98+J82</f>
        <v>2489423.1311143842</v>
      </c>
      <c r="K101" s="936">
        <f t="shared" si="21"/>
        <v>2478399.5049593886</v>
      </c>
      <c r="L101" s="936">
        <f t="shared" si="21"/>
        <v>2454033.4615557357</v>
      </c>
      <c r="M101" s="936">
        <f t="shared" si="21"/>
        <v>3550086.6064396943</v>
      </c>
      <c r="N101" s="936">
        <f t="shared" si="21"/>
        <v>3578650.5843792516</v>
      </c>
      <c r="O101" s="936">
        <f t="shared" si="21"/>
        <v>3587395.5120452945</v>
      </c>
      <c r="P101" s="936">
        <f t="shared" si="21"/>
        <v>3597053.9604646899</v>
      </c>
      <c r="Q101" s="936">
        <f t="shared" si="21"/>
        <v>3549979.5225441493</v>
      </c>
      <c r="R101" s="936">
        <f t="shared" si="21"/>
        <v>3610290.7559384373</v>
      </c>
      <c r="S101" s="936">
        <f t="shared" si="21"/>
        <v>3732867.1805331381</v>
      </c>
      <c r="T101" s="936">
        <f t="shared" si="21"/>
        <v>3389818.4691822021</v>
      </c>
      <c r="U101" s="936">
        <f t="shared" si="21"/>
        <v>2743912.24</v>
      </c>
      <c r="V101" s="936">
        <f t="shared" si="21"/>
        <v>3727732.91</v>
      </c>
      <c r="W101" s="936">
        <f t="shared" si="21"/>
        <v>3442071.94</v>
      </c>
      <c r="X101" s="936">
        <f t="shared" si="21"/>
        <v>3612036.79</v>
      </c>
      <c r="Y101" s="936">
        <f t="shared" si="21"/>
        <v>3591503.1300000004</v>
      </c>
      <c r="Z101" s="936">
        <f t="shared" si="21"/>
        <v>3525690.91</v>
      </c>
      <c r="AA101" s="936">
        <f t="shared" si="21"/>
        <v>3817486.1399999997</v>
      </c>
      <c r="AB101" s="936">
        <f t="shared" si="21"/>
        <v>3866731.5699999994</v>
      </c>
      <c r="AC101" s="936">
        <f t="shared" si="21"/>
        <v>3583837.5900000003</v>
      </c>
      <c r="AD101" s="936">
        <f t="shared" si="21"/>
        <v>4150846.0999999996</v>
      </c>
      <c r="AE101" s="936">
        <f t="shared" si="21"/>
        <v>3978405.56</v>
      </c>
      <c r="AF101" s="936">
        <f t="shared" si="21"/>
        <v>3839728.4599999995</v>
      </c>
      <c r="AG101" s="936">
        <f t="shared" si="21"/>
        <v>3042367.99</v>
      </c>
      <c r="AH101" s="936">
        <f t="shared" si="21"/>
        <v>3588191.48</v>
      </c>
      <c r="AI101" s="1237">
        <f>AI96+AI87+AI100+AI98+AI82</f>
        <v>3673311.5900000003</v>
      </c>
      <c r="AJ101" s="1237">
        <f>AJ96+AJ87+AJ100+AJ98+AJ82</f>
        <v>3799607.73</v>
      </c>
      <c r="AK101" s="944"/>
      <c r="AL101" s="944"/>
      <c r="AM101" s="944"/>
      <c r="AN101" s="944"/>
      <c r="AO101" s="944"/>
      <c r="AP101" s="944"/>
      <c r="AQ101" s="944"/>
      <c r="AR101" s="944"/>
      <c r="AS101" s="944"/>
      <c r="AT101" s="944"/>
      <c r="AU101" s="944"/>
      <c r="AV101" s="944"/>
      <c r="AW101" s="944"/>
      <c r="AX101" s="944"/>
      <c r="AY101" s="944"/>
      <c r="AZ101" s="944"/>
      <c r="BA101" s="944"/>
      <c r="BB101" s="944"/>
      <c r="BC101" s="944"/>
      <c r="BD101" s="944"/>
      <c r="BE101" s="944"/>
      <c r="BF101" s="944"/>
      <c r="BG101" s="944"/>
      <c r="BH101" s="944"/>
      <c r="BI101" s="944"/>
      <c r="BJ101" s="944"/>
      <c r="BK101" s="944"/>
      <c r="BL101" s="944"/>
      <c r="BM101" s="944"/>
      <c r="BN101" s="944"/>
      <c r="BO101" s="944"/>
      <c r="BP101" s="944"/>
      <c r="BQ101" s="944"/>
      <c r="BR101" s="944"/>
      <c r="BS101" s="944"/>
      <c r="BT101" s="944"/>
      <c r="BU101" s="944"/>
      <c r="BV101" s="944"/>
      <c r="BW101" s="944"/>
      <c r="BX101" s="944"/>
      <c r="BY101" s="944"/>
      <c r="BZ101" s="944"/>
      <c r="CA101" s="944"/>
      <c r="CB101" s="944"/>
      <c r="CC101" s="944"/>
      <c r="CD101" s="953"/>
      <c r="CE101" s="953"/>
      <c r="CF101" s="953"/>
      <c r="CG101" s="953"/>
      <c r="CH101" s="953"/>
      <c r="CI101" s="953"/>
      <c r="CJ101" s="953"/>
      <c r="CK101" s="953"/>
      <c r="CL101" s="953"/>
      <c r="CM101" s="953"/>
      <c r="CN101" s="953"/>
      <c r="CO101" s="953"/>
      <c r="CP101" s="953"/>
      <c r="CQ101" s="953"/>
      <c r="CR101" s="953"/>
      <c r="CS101" s="953"/>
      <c r="CT101" s="953"/>
      <c r="CU101" s="953"/>
      <c r="CV101" s="953"/>
      <c r="CW101" s="953"/>
      <c r="CX101" s="953"/>
      <c r="CY101" s="953"/>
      <c r="CZ101" s="953"/>
      <c r="DA101" s="953"/>
      <c r="DB101" s="953"/>
      <c r="DC101" s="953"/>
      <c r="DD101" s="953"/>
      <c r="DE101" s="953"/>
      <c r="DF101" s="953"/>
      <c r="DG101" s="953"/>
      <c r="DH101" s="953"/>
      <c r="DI101" s="953"/>
      <c r="DJ101" s="953"/>
      <c r="DK101" s="953"/>
      <c r="DL101" s="953"/>
      <c r="DM101" s="953"/>
      <c r="DN101" s="953"/>
      <c r="DO101" s="953"/>
      <c r="DP101" s="953"/>
      <c r="DQ101" s="953"/>
      <c r="DR101" s="953"/>
      <c r="DS101" s="953"/>
      <c r="DT101" s="953"/>
      <c r="DU101" s="953"/>
      <c r="DV101" s="953"/>
      <c r="DW101" s="953"/>
      <c r="DX101" s="953"/>
      <c r="DY101" s="953"/>
      <c r="DZ101" s="953"/>
      <c r="EA101" s="953"/>
      <c r="EB101" s="953"/>
      <c r="EC101" s="953"/>
      <c r="ED101" s="953"/>
      <c r="EE101" s="953"/>
      <c r="EF101" s="953"/>
      <c r="EG101" s="953"/>
      <c r="EH101" s="953"/>
      <c r="EI101" s="953"/>
      <c r="EJ101" s="953"/>
      <c r="EK101" s="953"/>
      <c r="EL101" s="953"/>
      <c r="EM101" s="953"/>
      <c r="EN101" s="953"/>
      <c r="EO101" s="953"/>
      <c r="EP101" s="953"/>
      <c r="EQ101" s="953"/>
      <c r="ER101" s="953"/>
      <c r="ES101" s="953"/>
      <c r="ET101" s="953"/>
      <c r="EU101" s="953"/>
      <c r="EV101" s="953"/>
      <c r="EW101" s="953"/>
      <c r="EX101" s="953"/>
      <c r="EY101" s="953"/>
      <c r="EZ101" s="953"/>
      <c r="FA101" s="953"/>
      <c r="FB101" s="953"/>
      <c r="FC101" s="953"/>
      <c r="FD101" s="953"/>
      <c r="FE101" s="953"/>
      <c r="FF101" s="953"/>
      <c r="FG101" s="953"/>
      <c r="FH101" s="953"/>
      <c r="FI101" s="953"/>
      <c r="FJ101" s="953"/>
      <c r="FK101" s="953"/>
      <c r="FL101" s="953"/>
      <c r="FM101" s="953"/>
      <c r="FN101" s="953"/>
      <c r="FO101" s="953"/>
      <c r="FP101" s="953"/>
      <c r="FQ101" s="953"/>
      <c r="FR101" s="953"/>
      <c r="FS101" s="953"/>
      <c r="FT101" s="953"/>
      <c r="FU101" s="953"/>
      <c r="FV101" s="953"/>
      <c r="FW101" s="953"/>
      <c r="FX101" s="953"/>
      <c r="FY101" s="953"/>
      <c r="FZ101" s="953"/>
      <c r="GA101" s="953"/>
      <c r="GB101" s="953"/>
      <c r="GC101" s="953"/>
      <c r="GD101" s="953"/>
      <c r="GE101" s="953"/>
      <c r="GF101" s="953"/>
      <c r="GG101" s="953"/>
      <c r="GH101" s="953"/>
      <c r="GI101" s="953"/>
      <c r="GJ101" s="953"/>
      <c r="GK101" s="953"/>
      <c r="GL101" s="953"/>
      <c r="GM101" s="953"/>
      <c r="GN101" s="953"/>
      <c r="GO101" s="953"/>
      <c r="GP101" s="953"/>
      <c r="GQ101" s="953"/>
      <c r="GR101" s="953"/>
      <c r="GS101" s="953"/>
      <c r="GT101" s="953"/>
      <c r="GU101" s="953"/>
      <c r="GV101" s="953"/>
      <c r="GW101" s="953"/>
      <c r="GX101" s="953"/>
      <c r="GY101" s="953"/>
      <c r="GZ101" s="953"/>
      <c r="HA101" s="953"/>
      <c r="HB101" s="953"/>
      <c r="HC101" s="953"/>
      <c r="HD101" s="953"/>
      <c r="HE101" s="953"/>
      <c r="HF101" s="953"/>
      <c r="HG101" s="953"/>
      <c r="HH101" s="953"/>
      <c r="HI101" s="953"/>
      <c r="HJ101" s="953"/>
      <c r="HK101" s="953"/>
      <c r="HL101" s="953"/>
      <c r="HM101" s="953"/>
      <c r="HN101" s="953"/>
      <c r="HO101" s="953"/>
      <c r="HP101" s="953"/>
      <c r="HQ101" s="953"/>
      <c r="HR101" s="953"/>
      <c r="HS101" s="953"/>
      <c r="HT101" s="953"/>
      <c r="HU101" s="953"/>
      <c r="HV101" s="953"/>
      <c r="HW101" s="953"/>
      <c r="HX101" s="953"/>
      <c r="HY101" s="953"/>
      <c r="HZ101" s="953"/>
      <c r="IA101" s="953"/>
      <c r="IB101" s="953"/>
      <c r="IC101" s="953"/>
      <c r="ID101" s="953"/>
      <c r="IE101" s="953"/>
      <c r="IF101" s="953"/>
      <c r="IG101" s="953"/>
      <c r="IH101" s="953"/>
      <c r="II101" s="953"/>
      <c r="IJ101" s="953"/>
      <c r="IK101" s="953"/>
      <c r="IL101" s="953"/>
      <c r="IM101" s="953"/>
      <c r="IN101" s="953"/>
      <c r="IO101" s="953"/>
      <c r="IP101" s="953"/>
      <c r="IQ101" s="953"/>
      <c r="IR101" s="953"/>
      <c r="IS101" s="953"/>
      <c r="IT101" s="953"/>
      <c r="IU101" s="953"/>
      <c r="IV101" s="953"/>
      <c r="IW101" s="953"/>
      <c r="IX101" s="953"/>
      <c r="IY101" s="953"/>
      <c r="IZ101" s="953"/>
      <c r="JA101" s="953"/>
      <c r="JB101" s="953"/>
      <c r="JC101" s="953"/>
      <c r="JD101" s="953"/>
      <c r="JE101" s="953"/>
      <c r="JF101" s="953"/>
      <c r="JG101" s="953"/>
      <c r="JH101" s="953"/>
      <c r="JI101" s="953"/>
      <c r="JJ101" s="953"/>
      <c r="JK101" s="953"/>
      <c r="JL101" s="953"/>
      <c r="JM101" s="953"/>
      <c r="JN101" s="953"/>
      <c r="JO101" s="953"/>
      <c r="JP101" s="953"/>
      <c r="JQ101" s="953"/>
      <c r="JR101" s="953"/>
      <c r="JS101" s="953"/>
      <c r="JT101" s="953"/>
      <c r="JU101" s="953"/>
      <c r="JV101" s="953"/>
      <c r="JW101" s="953"/>
      <c r="JX101" s="953"/>
      <c r="JY101" s="953"/>
      <c r="JZ101" s="953"/>
      <c r="KA101" s="953"/>
      <c r="KB101" s="953"/>
      <c r="KC101" s="953"/>
      <c r="KD101" s="953"/>
      <c r="KE101" s="953"/>
      <c r="KF101" s="953"/>
      <c r="KG101" s="953"/>
      <c r="KH101" s="953"/>
      <c r="KI101" s="953"/>
      <c r="KJ101" s="953"/>
      <c r="KK101" s="953"/>
      <c r="KL101" s="953"/>
      <c r="KM101" s="953"/>
      <c r="KN101" s="953"/>
      <c r="KO101" s="953"/>
      <c r="KP101" s="953"/>
      <c r="KQ101" s="953"/>
      <c r="KR101" s="953"/>
      <c r="KS101" s="953"/>
      <c r="KT101" s="953"/>
      <c r="KU101" s="953"/>
      <c r="KV101" s="953"/>
      <c r="KW101" s="953"/>
      <c r="KX101" s="953"/>
      <c r="KY101" s="953"/>
      <c r="KZ101" s="953"/>
      <c r="LA101" s="953"/>
      <c r="LB101" s="953"/>
      <c r="LC101" s="953"/>
      <c r="LD101" s="953"/>
      <c r="LE101" s="953"/>
      <c r="LF101" s="953"/>
      <c r="LG101" s="953"/>
      <c r="LH101" s="953"/>
      <c r="LI101" s="953"/>
      <c r="LJ101" s="953"/>
      <c r="LK101" s="953"/>
      <c r="LL101" s="953"/>
      <c r="LM101" s="953"/>
      <c r="LN101" s="953"/>
      <c r="LO101" s="953"/>
      <c r="LP101" s="953"/>
      <c r="LQ101" s="953"/>
      <c r="LR101" s="953"/>
      <c r="LS101" s="953"/>
      <c r="LT101" s="953"/>
      <c r="LU101" s="953"/>
      <c r="LV101" s="953"/>
      <c r="LW101" s="953"/>
      <c r="LX101" s="953"/>
      <c r="LY101" s="953"/>
      <c r="LZ101" s="953"/>
      <c r="MA101" s="953"/>
      <c r="MB101" s="953"/>
      <c r="MC101" s="953"/>
      <c r="MD101" s="953"/>
      <c r="ME101" s="953"/>
      <c r="MF101" s="953"/>
      <c r="MG101" s="953"/>
      <c r="MH101" s="953"/>
      <c r="MI101" s="953"/>
      <c r="MJ101" s="953"/>
      <c r="MK101" s="953"/>
      <c r="ML101" s="953"/>
      <c r="MM101" s="953"/>
      <c r="MN101" s="953"/>
      <c r="MO101" s="953"/>
      <c r="MP101" s="953"/>
      <c r="MQ101" s="953"/>
      <c r="MR101" s="953"/>
      <c r="MS101" s="953"/>
      <c r="MT101" s="953"/>
      <c r="MU101" s="953"/>
      <c r="MV101" s="953"/>
      <c r="MW101" s="953"/>
      <c r="MX101" s="953"/>
      <c r="MY101" s="953"/>
      <c r="MZ101" s="953"/>
      <c r="NA101" s="953"/>
      <c r="NB101" s="953"/>
      <c r="NC101" s="953"/>
      <c r="ND101" s="953"/>
      <c r="NE101" s="953"/>
      <c r="NF101" s="953"/>
      <c r="NG101" s="953"/>
      <c r="NH101" s="953"/>
      <c r="NI101" s="953"/>
      <c r="NJ101" s="953"/>
      <c r="NK101" s="953"/>
      <c r="NL101" s="953"/>
      <c r="NM101" s="953"/>
      <c r="NN101" s="953"/>
      <c r="NO101" s="953"/>
      <c r="NP101" s="953"/>
      <c r="NQ101" s="953"/>
      <c r="NR101" s="953"/>
      <c r="NS101" s="953"/>
      <c r="NT101" s="953"/>
      <c r="NU101" s="953"/>
      <c r="NV101" s="953"/>
      <c r="NW101" s="953"/>
      <c r="NX101" s="953"/>
      <c r="NY101" s="953"/>
      <c r="NZ101" s="953"/>
      <c r="OA101" s="953"/>
      <c r="OB101" s="953"/>
      <c r="OC101" s="953"/>
      <c r="OD101" s="953"/>
      <c r="OE101" s="953"/>
      <c r="OF101" s="953"/>
      <c r="OG101" s="953"/>
      <c r="OH101" s="953"/>
      <c r="OI101" s="953"/>
      <c r="OJ101" s="953"/>
      <c r="OK101" s="953"/>
      <c r="OL101" s="953"/>
      <c r="OM101" s="953"/>
      <c r="ON101" s="953"/>
      <c r="OO101" s="953"/>
      <c r="OP101" s="953"/>
      <c r="OQ101" s="953"/>
      <c r="OR101" s="953"/>
      <c r="OS101" s="953"/>
      <c r="OT101" s="953"/>
      <c r="OU101" s="953"/>
      <c r="OV101" s="953"/>
      <c r="OW101" s="953"/>
      <c r="OX101" s="953"/>
      <c r="OY101" s="953"/>
      <c r="OZ101" s="953"/>
      <c r="PA101" s="953"/>
      <c r="PB101" s="953"/>
      <c r="PC101" s="953"/>
      <c r="PD101" s="953"/>
      <c r="PE101" s="953"/>
      <c r="PF101" s="953"/>
      <c r="PG101" s="953"/>
      <c r="PH101" s="953"/>
      <c r="PI101" s="953"/>
      <c r="PJ101" s="953"/>
      <c r="PK101" s="953"/>
      <c r="PL101" s="953"/>
      <c r="PM101" s="953"/>
      <c r="PN101" s="953"/>
      <c r="PO101" s="953"/>
      <c r="PP101" s="953"/>
      <c r="PQ101" s="953"/>
      <c r="PR101" s="953"/>
      <c r="PS101" s="953"/>
      <c r="PT101" s="953"/>
      <c r="PU101" s="953"/>
      <c r="PV101" s="953"/>
      <c r="PW101" s="953"/>
      <c r="PX101" s="953"/>
      <c r="PY101" s="953"/>
      <c r="PZ101" s="953"/>
      <c r="QA101" s="953"/>
      <c r="QB101" s="953"/>
      <c r="QC101" s="953"/>
      <c r="QD101" s="953"/>
      <c r="QE101" s="953"/>
      <c r="QF101" s="953"/>
      <c r="QG101" s="953"/>
      <c r="QH101" s="953"/>
      <c r="QI101" s="953"/>
      <c r="QJ101" s="953"/>
      <c r="QK101" s="953"/>
      <c r="QL101" s="953"/>
      <c r="QM101" s="953"/>
      <c r="QN101" s="953"/>
      <c r="QO101" s="953"/>
      <c r="QP101" s="953"/>
      <c r="QQ101" s="953"/>
      <c r="QR101" s="953"/>
      <c r="QS101" s="953"/>
      <c r="QT101" s="953"/>
      <c r="QU101" s="953"/>
      <c r="QV101" s="953"/>
      <c r="QW101" s="953"/>
      <c r="QX101" s="953"/>
      <c r="QY101" s="953"/>
      <c r="QZ101" s="953"/>
      <c r="RA101" s="953"/>
      <c r="RB101" s="953"/>
      <c r="RC101" s="953"/>
      <c r="RD101" s="953"/>
      <c r="RE101" s="953"/>
      <c r="RF101" s="953"/>
      <c r="RG101" s="953"/>
      <c r="RH101" s="953"/>
      <c r="RI101" s="953"/>
      <c r="RJ101" s="953"/>
      <c r="RK101" s="953"/>
      <c r="RL101" s="953"/>
      <c r="RM101" s="953"/>
      <c r="RN101" s="953"/>
      <c r="RO101" s="953"/>
      <c r="RP101" s="953"/>
      <c r="RQ101" s="953"/>
      <c r="RR101" s="953"/>
      <c r="RS101" s="953"/>
      <c r="RT101" s="953"/>
      <c r="RU101" s="953"/>
      <c r="RV101" s="953"/>
      <c r="RW101" s="953"/>
      <c r="RX101" s="953"/>
      <c r="RY101" s="953"/>
      <c r="RZ101" s="953"/>
      <c r="SA101" s="953"/>
      <c r="SB101" s="953"/>
      <c r="SC101" s="953"/>
      <c r="SD101" s="953"/>
      <c r="SE101" s="953"/>
      <c r="SF101" s="953"/>
      <c r="SG101" s="953"/>
      <c r="SH101" s="953"/>
      <c r="SI101" s="953"/>
      <c r="SJ101" s="953"/>
      <c r="SK101" s="953"/>
      <c r="SL101" s="953"/>
      <c r="SM101" s="953"/>
      <c r="SN101" s="953"/>
      <c r="SO101" s="953"/>
      <c r="SP101" s="953"/>
      <c r="SQ101" s="953"/>
      <c r="SR101" s="953"/>
      <c r="SS101" s="953"/>
      <c r="ST101" s="953"/>
      <c r="SU101" s="953"/>
      <c r="SV101" s="953"/>
      <c r="SW101" s="953"/>
      <c r="SX101" s="953"/>
      <c r="SY101" s="953"/>
      <c r="SZ101" s="953"/>
      <c r="TA101" s="953"/>
      <c r="TB101" s="953"/>
      <c r="TC101" s="953"/>
      <c r="TD101" s="953"/>
      <c r="TE101" s="953"/>
      <c r="TF101" s="953"/>
      <c r="TG101" s="953"/>
      <c r="TH101" s="953"/>
      <c r="TI101" s="953"/>
      <c r="TJ101" s="953"/>
      <c r="TK101" s="953"/>
      <c r="TL101" s="953"/>
      <c r="TM101" s="953"/>
      <c r="TN101" s="953"/>
      <c r="TO101" s="953"/>
      <c r="TP101" s="953"/>
      <c r="TQ101" s="953"/>
      <c r="TR101" s="953"/>
      <c r="TS101" s="953"/>
      <c r="TT101" s="953"/>
      <c r="TU101" s="953"/>
      <c r="TV101" s="953"/>
      <c r="TW101" s="953"/>
      <c r="TX101" s="953"/>
      <c r="TY101" s="953"/>
      <c r="TZ101" s="953"/>
      <c r="UA101" s="953"/>
      <c r="UB101" s="953"/>
      <c r="UC101" s="953"/>
      <c r="UD101" s="953"/>
      <c r="UE101" s="953"/>
      <c r="UF101" s="953"/>
      <c r="UG101" s="953"/>
      <c r="UH101" s="953"/>
      <c r="UI101" s="953"/>
      <c r="UJ101" s="953"/>
      <c r="UK101" s="953"/>
      <c r="UL101" s="953"/>
      <c r="UM101" s="953"/>
      <c r="UN101" s="953"/>
      <c r="UO101" s="953"/>
      <c r="UP101" s="953"/>
      <c r="UQ101" s="953"/>
      <c r="UR101" s="953"/>
      <c r="US101" s="953"/>
      <c r="UT101" s="953"/>
      <c r="UU101" s="953"/>
      <c r="UV101" s="953"/>
      <c r="UW101" s="953"/>
      <c r="UX101" s="953"/>
      <c r="UY101" s="953"/>
      <c r="UZ101" s="953"/>
      <c r="VA101" s="953"/>
      <c r="VB101" s="953"/>
      <c r="VC101" s="953"/>
      <c r="VD101" s="953"/>
      <c r="VE101" s="953"/>
      <c r="VF101" s="953"/>
      <c r="VG101" s="953"/>
      <c r="VH101" s="953"/>
      <c r="VI101" s="953"/>
      <c r="VJ101" s="953"/>
      <c r="VK101" s="953"/>
      <c r="VL101" s="953"/>
      <c r="VM101" s="953"/>
      <c r="VN101" s="953"/>
      <c r="VO101" s="953"/>
      <c r="VP101" s="953"/>
      <c r="VQ101" s="953"/>
      <c r="VR101" s="953"/>
      <c r="VS101" s="953"/>
      <c r="VT101" s="953"/>
      <c r="VU101" s="953"/>
      <c r="VV101" s="953"/>
      <c r="VW101" s="953"/>
      <c r="VX101" s="953"/>
      <c r="VY101" s="953"/>
      <c r="VZ101" s="953"/>
      <c r="WA101" s="953"/>
      <c r="WB101" s="953"/>
      <c r="WC101" s="953"/>
      <c r="WD101" s="953"/>
      <c r="WE101" s="953"/>
      <c r="WF101" s="953"/>
      <c r="WG101" s="953"/>
      <c r="WH101" s="953"/>
      <c r="WI101" s="953"/>
      <c r="WJ101" s="953"/>
      <c r="WK101" s="953"/>
      <c r="WL101" s="953"/>
      <c r="WM101" s="953"/>
      <c r="WN101" s="953"/>
      <c r="WO101" s="953"/>
      <c r="WP101" s="953"/>
      <c r="WQ101" s="953"/>
      <c r="WR101" s="953"/>
      <c r="WS101" s="953"/>
      <c r="WT101" s="953"/>
      <c r="WU101" s="953"/>
      <c r="WV101" s="953"/>
      <c r="WW101" s="953"/>
      <c r="WX101" s="953"/>
      <c r="WY101" s="953"/>
      <c r="WZ101" s="953"/>
      <c r="XA101" s="953"/>
      <c r="XB101" s="953"/>
      <c r="XC101" s="953"/>
      <c r="XD101" s="953"/>
      <c r="XE101" s="953"/>
      <c r="XF101" s="953"/>
      <c r="XG101" s="953"/>
      <c r="XH101" s="953"/>
      <c r="XI101" s="953"/>
      <c r="XJ101" s="953"/>
      <c r="XK101" s="953"/>
      <c r="XL101" s="953"/>
      <c r="XM101" s="953"/>
      <c r="XN101" s="953"/>
      <c r="XO101" s="953"/>
      <c r="XP101" s="953"/>
      <c r="XQ101" s="953"/>
      <c r="XR101" s="953"/>
      <c r="XS101" s="953"/>
      <c r="XT101" s="953"/>
      <c r="XU101" s="953"/>
      <c r="XV101" s="953"/>
      <c r="XW101" s="953"/>
      <c r="XX101" s="953"/>
      <c r="XY101" s="953"/>
      <c r="XZ101" s="953"/>
      <c r="YA101" s="953"/>
      <c r="YB101" s="953"/>
      <c r="YC101" s="953"/>
      <c r="YD101" s="953"/>
      <c r="YE101" s="953"/>
      <c r="YF101" s="953"/>
      <c r="YG101" s="953"/>
      <c r="YH101" s="953"/>
      <c r="YI101" s="953"/>
      <c r="YJ101" s="953"/>
      <c r="YK101" s="953"/>
      <c r="YL101" s="953"/>
      <c r="YM101" s="953"/>
      <c r="YN101" s="953"/>
      <c r="YO101" s="953"/>
      <c r="YP101" s="953"/>
      <c r="YQ101" s="953"/>
      <c r="YR101" s="953"/>
      <c r="YS101" s="953"/>
      <c r="YT101" s="953"/>
      <c r="YU101" s="953"/>
      <c r="YV101" s="953"/>
      <c r="YW101" s="953"/>
      <c r="YX101" s="953"/>
      <c r="YY101" s="953"/>
      <c r="YZ101" s="953"/>
      <c r="ZA101" s="953"/>
      <c r="ZB101" s="953"/>
      <c r="ZC101" s="953"/>
      <c r="ZD101" s="953"/>
      <c r="ZE101" s="953"/>
      <c r="ZF101" s="953"/>
      <c r="ZG101" s="953"/>
      <c r="ZH101" s="953"/>
      <c r="ZI101" s="953"/>
      <c r="ZJ101" s="953"/>
      <c r="ZK101" s="953"/>
      <c r="ZL101" s="953"/>
      <c r="ZM101" s="953"/>
      <c r="ZN101" s="953"/>
      <c r="ZO101" s="953"/>
      <c r="ZP101" s="953"/>
      <c r="ZQ101" s="953"/>
      <c r="ZR101" s="953"/>
      <c r="ZS101" s="953"/>
      <c r="ZT101" s="953"/>
      <c r="ZU101" s="953"/>
      <c r="ZV101" s="953"/>
      <c r="ZW101" s="953"/>
      <c r="ZX101" s="953"/>
      <c r="ZY101" s="953"/>
      <c r="ZZ101" s="953"/>
      <c r="AAA101" s="953"/>
      <c r="AAB101" s="953"/>
      <c r="AAC101" s="953"/>
      <c r="AAD101" s="953"/>
      <c r="AAE101" s="953"/>
      <c r="AAF101" s="953"/>
      <c r="AAG101" s="953"/>
      <c r="AAH101" s="953"/>
      <c r="AAI101" s="953"/>
      <c r="AAJ101" s="953"/>
      <c r="AAK101" s="953"/>
      <c r="AAL101" s="953"/>
      <c r="AAM101" s="953"/>
      <c r="AAN101" s="953"/>
      <c r="AAO101" s="953"/>
      <c r="AAP101" s="953"/>
      <c r="AAQ101" s="953"/>
      <c r="AAR101" s="953"/>
      <c r="AAS101" s="953"/>
      <c r="AAT101" s="953"/>
      <c r="AAU101" s="953"/>
      <c r="AAV101" s="953"/>
      <c r="AAW101" s="953"/>
      <c r="AAX101" s="953"/>
      <c r="AAY101" s="953"/>
      <c r="AAZ101" s="953"/>
      <c r="ABA101" s="953"/>
      <c r="ABB101" s="953"/>
      <c r="ABC101" s="953"/>
      <c r="ABD101" s="953"/>
      <c r="ABE101" s="953"/>
      <c r="ABF101" s="953"/>
      <c r="ABG101" s="953"/>
      <c r="ABH101" s="953"/>
      <c r="ABI101" s="953"/>
      <c r="ABJ101" s="953"/>
      <c r="ABK101" s="953"/>
      <c r="ABL101" s="953"/>
      <c r="ABM101" s="953"/>
      <c r="ABN101" s="953"/>
      <c r="ABO101" s="953"/>
      <c r="ABP101" s="953"/>
      <c r="ABQ101" s="953"/>
      <c r="ABR101" s="953"/>
      <c r="ABS101" s="953"/>
      <c r="ABT101" s="953"/>
      <c r="ABU101" s="953"/>
      <c r="ABV101" s="953"/>
      <c r="ABW101" s="953"/>
      <c r="ABX101" s="953"/>
      <c r="ABY101" s="953"/>
      <c r="ABZ101" s="953"/>
      <c r="ACA101" s="953"/>
      <c r="ACB101" s="953"/>
      <c r="ACC101" s="953"/>
      <c r="ACD101" s="953"/>
      <c r="ACE101" s="953"/>
      <c r="ACF101" s="953"/>
      <c r="ACG101" s="953"/>
      <c r="ACH101" s="953"/>
      <c r="ACI101" s="953"/>
      <c r="ACJ101" s="953"/>
      <c r="ACK101" s="953"/>
      <c r="ACL101" s="953"/>
      <c r="ACM101" s="953"/>
      <c r="ACN101" s="953"/>
      <c r="ACO101" s="953"/>
      <c r="ACP101" s="953"/>
      <c r="ACQ101" s="953"/>
      <c r="ACR101" s="953"/>
      <c r="ACS101" s="953"/>
      <c r="ACT101" s="953"/>
      <c r="ACU101" s="953"/>
      <c r="ACV101" s="953"/>
      <c r="ACW101" s="953"/>
      <c r="ACX101" s="953"/>
      <c r="ACY101" s="953"/>
      <c r="ACZ101" s="953"/>
      <c r="ADA101" s="953"/>
      <c r="ADB101" s="953"/>
      <c r="ADC101" s="953"/>
      <c r="ADD101" s="953"/>
      <c r="ADE101" s="953"/>
      <c r="ADF101" s="953"/>
      <c r="ADG101" s="953"/>
      <c r="ADH101" s="953"/>
      <c r="ADI101" s="953"/>
      <c r="ADJ101" s="953"/>
      <c r="ADK101" s="953"/>
      <c r="ADL101" s="953"/>
      <c r="ADM101" s="953"/>
      <c r="ADN101" s="953"/>
      <c r="ADO101" s="953"/>
      <c r="ADP101" s="953"/>
      <c r="ADQ101" s="953"/>
      <c r="ADR101" s="953"/>
      <c r="ADS101" s="953"/>
      <c r="ADT101" s="953"/>
      <c r="ADU101" s="953"/>
      <c r="ADV101" s="953"/>
      <c r="ADW101" s="953"/>
      <c r="ADX101" s="953"/>
      <c r="ADY101" s="953"/>
      <c r="ADZ101" s="953"/>
      <c r="AEA101" s="953"/>
      <c r="AEB101" s="953"/>
      <c r="AEC101" s="953"/>
      <c r="AED101" s="953"/>
      <c r="AEE101" s="953"/>
      <c r="AEF101" s="953"/>
      <c r="AEG101" s="953"/>
      <c r="AEH101" s="953"/>
      <c r="AEI101" s="953"/>
      <c r="AEJ101" s="953"/>
      <c r="AEK101" s="953"/>
      <c r="AEL101" s="953"/>
      <c r="AEM101" s="953"/>
      <c r="AEN101" s="953"/>
      <c r="AEO101" s="953"/>
      <c r="AEP101" s="953"/>
      <c r="AEQ101" s="953"/>
      <c r="AER101" s="953"/>
      <c r="AES101" s="953"/>
      <c r="AET101" s="953"/>
      <c r="AEU101" s="953"/>
      <c r="AEV101" s="953"/>
      <c r="AEW101" s="953"/>
      <c r="AEX101" s="953"/>
      <c r="AEY101" s="953"/>
      <c r="AEZ101" s="953"/>
      <c r="AFA101" s="953"/>
      <c r="AFB101" s="953"/>
      <c r="AFC101" s="953"/>
      <c r="AFD101" s="953"/>
      <c r="AFE101" s="953"/>
      <c r="AFF101" s="953"/>
      <c r="AFG101" s="953"/>
      <c r="AFH101" s="953"/>
      <c r="AFI101" s="953"/>
      <c r="AFJ101" s="953"/>
      <c r="AFK101" s="953"/>
      <c r="AFL101" s="953"/>
      <c r="AFM101" s="953"/>
      <c r="AFN101" s="953"/>
      <c r="AFO101" s="953"/>
      <c r="AFP101" s="953"/>
      <c r="AFQ101" s="953"/>
      <c r="AFR101" s="953"/>
      <c r="AFS101" s="953"/>
      <c r="AFT101" s="953"/>
      <c r="AFU101" s="953"/>
      <c r="AFV101" s="953"/>
      <c r="AFW101" s="953"/>
      <c r="AFX101" s="953"/>
      <c r="AFY101" s="953"/>
      <c r="AFZ101" s="953"/>
      <c r="AGA101" s="953"/>
      <c r="AGB101" s="953"/>
      <c r="AGC101" s="953"/>
      <c r="AGD101" s="953"/>
      <c r="AGE101" s="953"/>
      <c r="AGF101" s="953"/>
      <c r="AGG101" s="953"/>
      <c r="AGH101" s="953"/>
      <c r="AGI101" s="953"/>
      <c r="AGJ101" s="953"/>
      <c r="AGK101" s="953"/>
      <c r="AGL101" s="953"/>
      <c r="AGM101" s="953"/>
      <c r="AGN101" s="953"/>
      <c r="AGO101" s="953"/>
      <c r="AGP101" s="953"/>
      <c r="AGQ101" s="953"/>
      <c r="AGR101" s="953"/>
      <c r="AGS101" s="953"/>
      <c r="AGT101" s="953"/>
      <c r="AGU101" s="953"/>
      <c r="AGV101" s="953"/>
      <c r="AGW101" s="953"/>
      <c r="AGX101" s="953"/>
      <c r="AGY101" s="953"/>
      <c r="AGZ101" s="953"/>
      <c r="AHA101" s="953"/>
      <c r="AHB101" s="953"/>
      <c r="AHC101" s="953"/>
      <c r="AHD101" s="953"/>
      <c r="AHE101" s="953"/>
      <c r="AHF101" s="953"/>
      <c r="AHG101" s="953"/>
      <c r="AHH101" s="953"/>
      <c r="AHI101" s="953"/>
      <c r="AHJ101" s="953"/>
      <c r="AHK101" s="953"/>
      <c r="AHL101" s="953"/>
      <c r="AHM101" s="953"/>
      <c r="AHN101" s="953"/>
      <c r="AHO101" s="953"/>
      <c r="AHP101" s="953"/>
      <c r="AHQ101" s="953"/>
      <c r="AHR101" s="953"/>
      <c r="AHS101" s="953"/>
      <c r="AHT101" s="953"/>
      <c r="AHU101" s="953"/>
      <c r="AHV101" s="953"/>
      <c r="AHW101" s="953"/>
      <c r="AHX101" s="953"/>
      <c r="AHY101" s="953"/>
      <c r="AHZ101" s="953"/>
      <c r="AIA101" s="953"/>
      <c r="AIB101" s="953"/>
      <c r="AIC101" s="953"/>
      <c r="AID101" s="953"/>
      <c r="AIE101" s="953"/>
      <c r="AIF101" s="953"/>
      <c r="AIG101" s="953"/>
      <c r="AIH101" s="953"/>
      <c r="AII101" s="953"/>
      <c r="AIJ101" s="953"/>
      <c r="AIK101" s="953"/>
      <c r="AIL101" s="953"/>
      <c r="AIM101" s="953"/>
      <c r="AIN101" s="953"/>
      <c r="AIO101" s="953"/>
      <c r="AIP101" s="953"/>
      <c r="AIQ101" s="953"/>
      <c r="AIR101" s="953"/>
      <c r="AIS101" s="953"/>
      <c r="AIT101" s="953"/>
      <c r="AIU101" s="953"/>
      <c r="AIV101" s="953"/>
      <c r="AIW101" s="953"/>
      <c r="AIX101" s="953"/>
      <c r="AIY101" s="953"/>
      <c r="AIZ101" s="953"/>
      <c r="AJA101" s="953"/>
      <c r="AJB101" s="953"/>
      <c r="AJC101" s="953"/>
      <c r="AJD101" s="953"/>
      <c r="AJE101" s="953"/>
      <c r="AJF101" s="953"/>
      <c r="AJG101" s="953"/>
      <c r="AJH101" s="953"/>
      <c r="AJI101" s="953"/>
      <c r="AJJ101" s="953"/>
      <c r="AJK101" s="953"/>
      <c r="AJL101" s="953"/>
      <c r="AJM101" s="953"/>
      <c r="AJN101" s="953"/>
      <c r="AJO101" s="953"/>
      <c r="AJP101" s="953"/>
      <c r="AJQ101" s="953"/>
      <c r="AJR101" s="953"/>
      <c r="AJS101" s="953"/>
      <c r="AJT101" s="953"/>
      <c r="AJU101" s="953"/>
      <c r="AJV101" s="953"/>
      <c r="AJW101" s="953"/>
      <c r="AJX101" s="953"/>
      <c r="AJY101" s="953"/>
      <c r="AJZ101" s="953"/>
      <c r="AKA101" s="953"/>
      <c r="AKB101" s="953"/>
      <c r="AKC101" s="953"/>
      <c r="AKD101" s="953"/>
      <c r="AKE101" s="953"/>
      <c r="AKF101" s="953"/>
      <c r="AKG101" s="953"/>
      <c r="AKH101" s="953"/>
      <c r="AKI101" s="953"/>
      <c r="AKJ101" s="953"/>
      <c r="AKK101" s="953"/>
      <c r="AKL101" s="953"/>
      <c r="AKM101" s="953"/>
      <c r="AKN101" s="953"/>
      <c r="AKO101" s="953"/>
      <c r="AKP101" s="953"/>
      <c r="AKQ101" s="953"/>
      <c r="AKR101" s="953"/>
      <c r="AKS101" s="953"/>
      <c r="AKT101" s="953"/>
      <c r="AKU101" s="953"/>
      <c r="AKV101" s="953"/>
      <c r="AKW101" s="953"/>
      <c r="AKX101" s="953"/>
      <c r="AKY101" s="953"/>
      <c r="AKZ101" s="953"/>
      <c r="ALA101" s="953"/>
      <c r="ALB101" s="953"/>
      <c r="ALC101" s="953"/>
      <c r="ALD101" s="953"/>
      <c r="ALE101" s="953"/>
      <c r="ALF101" s="953"/>
      <c r="ALG101" s="953"/>
      <c r="ALH101" s="953"/>
      <c r="ALI101" s="953"/>
      <c r="ALJ101" s="953"/>
      <c r="ALK101" s="953"/>
      <c r="ALL101" s="953"/>
      <c r="ALM101" s="953"/>
      <c r="ALN101" s="953"/>
      <c r="ALO101" s="953"/>
      <c r="ALP101" s="953"/>
      <c r="ALQ101" s="953"/>
      <c r="ALR101" s="953"/>
      <c r="ALS101" s="953"/>
      <c r="ALT101" s="953"/>
      <c r="ALU101" s="953"/>
      <c r="ALV101" s="953"/>
      <c r="ALW101" s="953"/>
      <c r="ALX101" s="953"/>
      <c r="ALY101" s="953"/>
      <c r="ALZ101" s="953"/>
      <c r="AMA101" s="953"/>
      <c r="AMB101" s="953"/>
      <c r="AMC101" s="953"/>
      <c r="AMD101" s="953"/>
      <c r="AME101" s="953"/>
      <c r="AMF101" s="953"/>
      <c r="AMG101" s="953"/>
      <c r="AMH101" s="953"/>
      <c r="AMI101" s="953"/>
      <c r="AMJ101" s="953"/>
      <c r="AMK101" s="953"/>
      <c r="AML101" s="953"/>
      <c r="AMM101" s="953"/>
      <c r="AMN101" s="953"/>
      <c r="AMO101" s="953"/>
      <c r="AMP101" s="953"/>
      <c r="AMQ101" s="953"/>
      <c r="AMR101" s="953"/>
      <c r="AMS101" s="953"/>
      <c r="AMT101" s="953"/>
      <c r="AMU101" s="953"/>
      <c r="AMV101" s="953"/>
      <c r="AMW101" s="953"/>
      <c r="AMX101" s="953"/>
      <c r="AMY101" s="953"/>
      <c r="AMZ101" s="953"/>
      <c r="ANA101" s="953"/>
      <c r="ANB101" s="953"/>
      <c r="ANC101" s="953"/>
      <c r="AND101" s="953"/>
      <c r="ANE101" s="953"/>
      <c r="ANF101" s="953"/>
      <c r="ANG101" s="953"/>
      <c r="ANH101" s="953"/>
      <c r="ANI101" s="953"/>
      <c r="ANJ101" s="953"/>
      <c r="ANK101" s="953"/>
      <c r="ANL101" s="953"/>
      <c r="ANM101" s="953"/>
      <c r="ANN101" s="953"/>
      <c r="ANO101" s="953"/>
      <c r="ANP101" s="953"/>
      <c r="ANQ101" s="953"/>
      <c r="ANR101" s="953"/>
      <c r="ANS101" s="953"/>
      <c r="ANT101" s="953"/>
      <c r="ANU101" s="953"/>
      <c r="ANV101" s="953"/>
      <c r="ANW101" s="953"/>
      <c r="ANX101" s="953"/>
      <c r="ANY101" s="953"/>
      <c r="ANZ101" s="953"/>
      <c r="AOA101" s="953"/>
      <c r="AOB101" s="953"/>
      <c r="AOC101" s="953"/>
      <c r="AOD101" s="953"/>
      <c r="AOE101" s="953"/>
      <c r="AOF101" s="953"/>
      <c r="AOG101" s="953"/>
      <c r="AOH101" s="953"/>
      <c r="AOI101" s="953"/>
      <c r="AOJ101" s="953"/>
      <c r="AOK101" s="953"/>
      <c r="AOL101" s="953"/>
      <c r="AOM101" s="953"/>
      <c r="AON101" s="953"/>
      <c r="AOO101" s="953"/>
      <c r="AOP101" s="953"/>
      <c r="AOQ101" s="953"/>
      <c r="AOR101" s="953"/>
      <c r="AOS101" s="953"/>
      <c r="AOT101" s="953"/>
      <c r="AOU101" s="953"/>
      <c r="AOV101" s="953"/>
      <c r="AOW101" s="953"/>
      <c r="AOX101" s="953"/>
      <c r="AOY101" s="953"/>
      <c r="AOZ101" s="953"/>
      <c r="APA101" s="953"/>
      <c r="APB101" s="953"/>
      <c r="APC101" s="953"/>
      <c r="APD101" s="953"/>
      <c r="APE101" s="953"/>
      <c r="APF101" s="953"/>
      <c r="APG101" s="953"/>
      <c r="APH101" s="953"/>
      <c r="API101" s="953"/>
      <c r="APJ101" s="953"/>
      <c r="APK101" s="953"/>
      <c r="APL101" s="953"/>
      <c r="APM101" s="953"/>
      <c r="APN101" s="953"/>
      <c r="APO101" s="953"/>
      <c r="APP101" s="953"/>
      <c r="APQ101" s="953"/>
      <c r="APR101" s="953"/>
      <c r="APS101" s="953"/>
      <c r="APT101" s="953"/>
      <c r="APU101" s="953"/>
      <c r="APV101" s="953"/>
      <c r="APW101" s="953"/>
      <c r="APX101" s="953"/>
      <c r="APY101" s="953"/>
      <c r="APZ101" s="953"/>
      <c r="AQA101" s="953"/>
      <c r="AQB101" s="953"/>
      <c r="AQC101" s="953"/>
      <c r="AQD101" s="953"/>
      <c r="AQE101" s="953"/>
      <c r="AQF101" s="953"/>
      <c r="AQG101" s="953"/>
      <c r="AQH101" s="953"/>
      <c r="AQI101" s="953"/>
      <c r="AQJ101" s="953"/>
      <c r="AQK101" s="953"/>
      <c r="AQL101" s="953"/>
      <c r="AQM101" s="953"/>
      <c r="AQN101" s="953"/>
      <c r="AQO101" s="953"/>
      <c r="AQP101" s="953"/>
      <c r="AQQ101" s="953"/>
      <c r="AQR101" s="953"/>
      <c r="AQS101" s="953"/>
      <c r="AQT101" s="953"/>
      <c r="AQU101" s="953"/>
      <c r="AQV101" s="953"/>
      <c r="AQW101" s="953"/>
      <c r="AQX101" s="953"/>
      <c r="AQY101" s="953"/>
      <c r="AQZ101" s="953"/>
      <c r="ARA101" s="953"/>
      <c r="ARB101" s="953"/>
      <c r="ARC101" s="953"/>
      <c r="ARD101" s="953"/>
      <c r="ARE101" s="953"/>
      <c r="ARF101" s="953"/>
      <c r="ARG101" s="953"/>
      <c r="ARH101" s="953"/>
      <c r="ARI101" s="953"/>
      <c r="ARJ101" s="953"/>
      <c r="ARK101" s="953"/>
      <c r="ARL101" s="953"/>
      <c r="ARM101" s="953"/>
      <c r="ARN101" s="953"/>
      <c r="ARO101" s="953"/>
      <c r="ARP101" s="953"/>
      <c r="ARQ101" s="953"/>
      <c r="ARR101" s="953"/>
      <c r="ARS101" s="953"/>
      <c r="ART101" s="953"/>
      <c r="ARU101" s="953"/>
      <c r="ARV101" s="953"/>
      <c r="ARW101" s="953"/>
      <c r="ARX101" s="953"/>
      <c r="ARY101" s="953"/>
      <c r="ARZ101" s="953"/>
      <c r="ASA101" s="953"/>
      <c r="ASB101" s="953"/>
      <c r="ASC101" s="953"/>
      <c r="ASD101" s="953"/>
      <c r="ASE101" s="953"/>
      <c r="ASF101" s="953"/>
      <c r="ASG101" s="953"/>
      <c r="ASH101" s="953"/>
      <c r="ASI101" s="953"/>
      <c r="ASJ101" s="953"/>
      <c r="ASK101" s="953"/>
      <c r="ASL101" s="953"/>
      <c r="ASM101" s="953"/>
      <c r="ASN101" s="953"/>
      <c r="ASO101" s="953"/>
      <c r="ASP101" s="953"/>
      <c r="ASQ101" s="953"/>
      <c r="ASR101" s="953"/>
      <c r="ASS101" s="953"/>
      <c r="AST101" s="953"/>
      <c r="ASU101" s="953"/>
      <c r="ASV101" s="953"/>
      <c r="ASW101" s="953"/>
      <c r="ASX101" s="953"/>
      <c r="ASY101" s="953"/>
      <c r="ASZ101" s="953"/>
      <c r="ATA101" s="953"/>
      <c r="ATB101" s="953"/>
      <c r="ATC101" s="953"/>
      <c r="ATD101" s="953"/>
      <c r="ATE101" s="953"/>
      <c r="ATF101" s="953"/>
      <c r="ATG101" s="953"/>
      <c r="ATH101" s="953"/>
      <c r="ATI101" s="953"/>
      <c r="ATJ101" s="953"/>
      <c r="ATK101" s="953"/>
      <c r="ATL101" s="953"/>
      <c r="ATM101" s="953"/>
      <c r="ATN101" s="953"/>
      <c r="ATO101" s="953"/>
      <c r="ATP101" s="953"/>
      <c r="ATQ101" s="953"/>
      <c r="ATR101" s="953"/>
      <c r="ATS101" s="953"/>
      <c r="ATT101" s="953"/>
      <c r="ATU101" s="953"/>
      <c r="ATV101" s="953"/>
      <c r="ATW101" s="953"/>
      <c r="ATX101" s="953"/>
      <c r="ATY101" s="953"/>
      <c r="ATZ101" s="953"/>
      <c r="AUA101" s="953"/>
      <c r="AUB101" s="953"/>
      <c r="AUC101" s="953"/>
      <c r="AUD101" s="953"/>
      <c r="AUE101" s="953"/>
      <c r="AUF101" s="953"/>
      <c r="AUG101" s="953"/>
      <c r="AUH101" s="953"/>
      <c r="AUI101" s="953"/>
      <c r="AUJ101" s="953"/>
      <c r="AUK101" s="953"/>
      <c r="AUL101" s="953"/>
      <c r="AUM101" s="953"/>
      <c r="AUN101" s="953"/>
      <c r="AUO101" s="953"/>
      <c r="AUP101" s="953"/>
      <c r="AUQ101" s="953"/>
      <c r="AUR101" s="953"/>
      <c r="AUS101" s="953"/>
      <c r="AUT101" s="953"/>
      <c r="AUU101" s="953"/>
      <c r="AUV101" s="953"/>
      <c r="AUW101" s="953"/>
      <c r="AUX101" s="953"/>
      <c r="AUY101" s="953"/>
      <c r="AUZ101" s="953"/>
      <c r="AVA101" s="953"/>
      <c r="AVB101" s="953"/>
      <c r="AVC101" s="953"/>
      <c r="AVD101" s="953"/>
      <c r="AVE101" s="953"/>
      <c r="AVF101" s="953"/>
      <c r="AVG101" s="953"/>
      <c r="AVH101" s="953"/>
      <c r="AVI101" s="953"/>
      <c r="AVJ101" s="953"/>
      <c r="AVK101" s="953"/>
      <c r="AVL101" s="953"/>
      <c r="AVM101" s="953"/>
      <c r="AVN101" s="953"/>
      <c r="AVO101" s="953"/>
      <c r="AVP101" s="953"/>
      <c r="AVQ101" s="953"/>
      <c r="AVR101" s="953"/>
      <c r="AVS101" s="953"/>
      <c r="AVT101" s="953"/>
      <c r="AVU101" s="953"/>
      <c r="AVV101" s="953"/>
      <c r="AVW101" s="953"/>
      <c r="AVX101" s="953"/>
      <c r="AVY101" s="953"/>
      <c r="AVZ101" s="953"/>
      <c r="AWA101" s="953"/>
      <c r="AWB101" s="953"/>
      <c r="AWC101" s="953"/>
      <c r="AWD101" s="953"/>
      <c r="AWE101" s="953"/>
      <c r="AWF101" s="953"/>
      <c r="AWG101" s="953"/>
      <c r="AWH101" s="953"/>
      <c r="AWI101" s="953"/>
      <c r="AWJ101" s="953"/>
      <c r="AWK101" s="953"/>
      <c r="AWL101" s="953"/>
      <c r="AWM101" s="953"/>
      <c r="AWN101" s="953"/>
      <c r="AWO101" s="953"/>
      <c r="AWP101" s="953"/>
      <c r="AWQ101" s="953"/>
      <c r="AWR101" s="953"/>
      <c r="AWS101" s="953"/>
      <c r="AWT101" s="953"/>
      <c r="AWU101" s="953"/>
      <c r="AWV101" s="953"/>
      <c r="AWW101" s="953"/>
      <c r="AWX101" s="953"/>
      <c r="AWY101" s="953"/>
      <c r="AWZ101" s="953"/>
      <c r="AXA101" s="953"/>
      <c r="AXB101" s="953"/>
      <c r="AXC101" s="953"/>
      <c r="AXD101" s="953"/>
      <c r="AXE101" s="953"/>
      <c r="AXF101" s="953"/>
      <c r="AXG101" s="953"/>
      <c r="AXH101" s="953"/>
      <c r="AXI101" s="953"/>
      <c r="AXJ101" s="953"/>
      <c r="AXK101" s="953"/>
      <c r="AXL101" s="953"/>
      <c r="AXM101" s="953"/>
      <c r="AXN101" s="953"/>
      <c r="AXO101" s="953"/>
      <c r="AXP101" s="953"/>
      <c r="AXQ101" s="953"/>
      <c r="AXR101" s="953"/>
      <c r="AXS101" s="953"/>
      <c r="AXT101" s="953"/>
      <c r="AXU101" s="953"/>
      <c r="AXV101" s="953"/>
      <c r="AXW101" s="953"/>
      <c r="AXX101" s="953"/>
      <c r="AXY101" s="953"/>
      <c r="AXZ101" s="953"/>
      <c r="AYA101" s="953"/>
      <c r="AYB101" s="953"/>
      <c r="AYC101" s="953"/>
      <c r="AYD101" s="953"/>
      <c r="AYE101" s="953"/>
      <c r="AYF101" s="953"/>
      <c r="AYG101" s="953"/>
      <c r="AYH101" s="953"/>
      <c r="AYI101" s="953"/>
      <c r="AYJ101" s="953"/>
      <c r="AYK101" s="953"/>
      <c r="AYL101" s="953"/>
      <c r="AYM101" s="953"/>
      <c r="AYN101" s="953"/>
      <c r="AYO101" s="953"/>
      <c r="AYP101" s="953"/>
      <c r="AYQ101" s="953"/>
      <c r="AYR101" s="953"/>
      <c r="AYS101" s="953"/>
      <c r="AYT101" s="953"/>
      <c r="AYU101" s="953"/>
      <c r="AYV101" s="953"/>
      <c r="AYW101" s="953"/>
      <c r="AYX101" s="953"/>
      <c r="AYY101" s="953"/>
      <c r="AYZ101" s="953"/>
      <c r="AZA101" s="953"/>
      <c r="AZB101" s="953"/>
      <c r="AZC101" s="953"/>
      <c r="AZD101" s="953"/>
      <c r="AZE101" s="953"/>
      <c r="AZF101" s="953"/>
      <c r="AZG101" s="953"/>
      <c r="AZH101" s="953"/>
      <c r="AZI101" s="953"/>
      <c r="AZJ101" s="953"/>
      <c r="AZK101" s="953"/>
      <c r="AZL101" s="953"/>
      <c r="AZM101" s="953"/>
      <c r="AZN101" s="953"/>
      <c r="AZO101" s="953"/>
      <c r="AZP101" s="953"/>
      <c r="AZQ101" s="953"/>
      <c r="AZR101" s="953"/>
      <c r="AZS101" s="953"/>
      <c r="AZT101" s="953"/>
      <c r="AZU101" s="953"/>
      <c r="AZV101" s="953"/>
      <c r="AZW101" s="953"/>
      <c r="AZX101" s="953"/>
      <c r="AZY101" s="953"/>
      <c r="AZZ101" s="953"/>
      <c r="BAA101" s="953"/>
      <c r="BAB101" s="953"/>
      <c r="BAC101" s="953"/>
      <c r="BAD101" s="953"/>
      <c r="BAE101" s="953"/>
      <c r="BAF101" s="953"/>
      <c r="BAG101" s="953"/>
      <c r="BAH101" s="953"/>
      <c r="BAI101" s="953"/>
      <c r="BAJ101" s="953"/>
      <c r="BAK101" s="953"/>
      <c r="BAL101" s="953"/>
      <c r="BAM101" s="953"/>
      <c r="BAN101" s="953"/>
      <c r="BAO101" s="953"/>
      <c r="BAP101" s="953"/>
      <c r="BAQ101" s="953"/>
      <c r="BAR101" s="953"/>
      <c r="BAS101" s="953"/>
      <c r="BAT101" s="953"/>
      <c r="BAU101" s="953"/>
      <c r="BAV101" s="953"/>
      <c r="BAW101" s="953"/>
      <c r="BAX101" s="953"/>
      <c r="BAY101" s="953"/>
      <c r="BAZ101" s="953"/>
      <c r="BBA101" s="953"/>
      <c r="BBB101" s="953"/>
      <c r="BBC101" s="953"/>
      <c r="BBD101" s="953"/>
      <c r="BBE101" s="953"/>
      <c r="BBF101" s="953"/>
      <c r="BBG101" s="953"/>
      <c r="BBH101" s="953"/>
      <c r="BBI101" s="953"/>
      <c r="BBJ101" s="953"/>
      <c r="BBK101" s="953"/>
      <c r="BBL101" s="953"/>
      <c r="BBM101" s="953"/>
      <c r="BBN101" s="953"/>
      <c r="BBO101" s="953"/>
      <c r="BBP101" s="953"/>
      <c r="BBQ101" s="953"/>
      <c r="BBR101" s="953"/>
      <c r="BBS101" s="953"/>
      <c r="BBT101" s="953"/>
      <c r="BBU101" s="953"/>
      <c r="BBV101" s="953"/>
      <c r="BBW101" s="953"/>
      <c r="BBX101" s="953"/>
      <c r="BBY101" s="953"/>
      <c r="BBZ101" s="953"/>
      <c r="BCA101" s="953"/>
      <c r="BCB101" s="953"/>
      <c r="BCC101" s="953"/>
      <c r="BCD101" s="953"/>
      <c r="BCE101" s="953"/>
      <c r="BCF101" s="953"/>
      <c r="BCG101" s="953"/>
      <c r="BCH101" s="953"/>
      <c r="BCI101" s="953"/>
      <c r="BCJ101" s="953"/>
      <c r="BCK101" s="953"/>
      <c r="BCL101" s="953"/>
      <c r="BCM101" s="953"/>
      <c r="BCN101" s="953"/>
      <c r="BCO101" s="953"/>
      <c r="BCP101" s="953"/>
      <c r="BCQ101" s="953"/>
      <c r="BCR101" s="953"/>
      <c r="BCS101" s="953"/>
      <c r="BCT101" s="953"/>
      <c r="BCU101" s="953"/>
      <c r="BCV101" s="953"/>
      <c r="BCW101" s="953"/>
      <c r="BCX101" s="953"/>
      <c r="BCY101" s="953"/>
      <c r="BCZ101" s="953"/>
      <c r="BDA101" s="953"/>
      <c r="BDB101" s="953"/>
      <c r="BDC101" s="953"/>
      <c r="BDD101" s="953"/>
      <c r="BDE101" s="953"/>
      <c r="BDF101" s="953"/>
      <c r="BDG101" s="953"/>
      <c r="BDH101" s="953"/>
      <c r="BDI101" s="953"/>
      <c r="BDJ101" s="953"/>
      <c r="BDK101" s="953"/>
      <c r="BDL101" s="953"/>
      <c r="BDM101" s="953"/>
      <c r="BDN101" s="953"/>
      <c r="BDO101" s="953"/>
      <c r="BDP101" s="953"/>
      <c r="BDQ101" s="953"/>
      <c r="BDR101" s="953"/>
      <c r="BDS101" s="953"/>
      <c r="BDT101" s="953"/>
      <c r="BDU101" s="953"/>
      <c r="BDV101" s="953"/>
      <c r="BDW101" s="953"/>
      <c r="BDX101" s="953"/>
      <c r="BDY101" s="953"/>
      <c r="BDZ101" s="953"/>
      <c r="BEA101" s="953"/>
      <c r="BEB101" s="953"/>
      <c r="BEC101" s="953"/>
      <c r="BED101" s="953"/>
      <c r="BEE101" s="953"/>
      <c r="BEF101" s="953"/>
      <c r="BEG101" s="953"/>
      <c r="BEH101" s="953"/>
      <c r="BEI101" s="953"/>
      <c r="BEJ101" s="953"/>
      <c r="BEK101" s="953"/>
      <c r="BEL101" s="953"/>
      <c r="BEM101" s="953"/>
      <c r="BEN101" s="953"/>
      <c r="BEO101" s="953"/>
      <c r="BEP101" s="953"/>
      <c r="BEQ101" s="953"/>
      <c r="BER101" s="953"/>
      <c r="BES101" s="953"/>
      <c r="BET101" s="953"/>
      <c r="BEU101" s="953"/>
      <c r="BEV101" s="953"/>
      <c r="BEW101" s="953"/>
      <c r="BEX101" s="953"/>
      <c r="BEY101" s="953"/>
      <c r="BEZ101" s="953"/>
      <c r="BFA101" s="953"/>
      <c r="BFB101" s="953"/>
      <c r="BFC101" s="953"/>
      <c r="BFD101" s="953"/>
      <c r="BFE101" s="953"/>
      <c r="BFF101" s="953"/>
      <c r="BFG101" s="953"/>
      <c r="BFH101" s="953"/>
      <c r="BFI101" s="953"/>
      <c r="BFJ101" s="953"/>
      <c r="BFK101" s="953"/>
      <c r="BFL101" s="953"/>
      <c r="BFM101" s="953"/>
      <c r="BFN101" s="953"/>
      <c r="BFO101" s="953"/>
      <c r="BFP101" s="953"/>
      <c r="BFQ101" s="953"/>
      <c r="BFR101" s="953"/>
      <c r="BFS101" s="953"/>
      <c r="BFT101" s="953"/>
      <c r="BFU101" s="953"/>
      <c r="BFV101" s="953"/>
      <c r="BFW101" s="953"/>
      <c r="BFX101" s="953"/>
      <c r="BFY101" s="953"/>
      <c r="BFZ101" s="953"/>
      <c r="BGA101" s="953"/>
      <c r="BGB101" s="953"/>
      <c r="BGC101" s="953"/>
      <c r="BGD101" s="953"/>
      <c r="BGE101" s="953"/>
      <c r="BGF101" s="953"/>
      <c r="BGG101" s="953"/>
      <c r="BGH101" s="953"/>
      <c r="BGI101" s="953"/>
      <c r="BGJ101" s="953"/>
      <c r="BGK101" s="953"/>
      <c r="BGL101" s="953"/>
      <c r="BGM101" s="953"/>
      <c r="BGN101" s="953"/>
      <c r="BGO101" s="953"/>
      <c r="BGP101" s="953"/>
      <c r="BGQ101" s="953"/>
      <c r="BGR101" s="953"/>
      <c r="BGS101" s="953"/>
      <c r="BGT101" s="953"/>
      <c r="BGU101" s="953"/>
      <c r="BGV101" s="953"/>
      <c r="BGW101" s="953"/>
      <c r="BGX101" s="953"/>
      <c r="BGY101" s="953"/>
      <c r="BGZ101" s="953"/>
      <c r="BHA101" s="953"/>
      <c r="BHB101" s="953"/>
      <c r="BHC101" s="953"/>
      <c r="BHD101" s="953"/>
      <c r="BHE101" s="953"/>
      <c r="BHF101" s="953"/>
      <c r="BHG101" s="953"/>
      <c r="BHH101" s="953"/>
      <c r="BHI101" s="953"/>
      <c r="BHJ101" s="953"/>
      <c r="BHK101" s="953"/>
      <c r="BHL101" s="953"/>
      <c r="BHM101" s="953"/>
      <c r="BHN101" s="953"/>
      <c r="BHO101" s="953"/>
      <c r="BHP101" s="953"/>
      <c r="BHQ101" s="953"/>
      <c r="BHR101" s="953"/>
      <c r="BHS101" s="953"/>
      <c r="BHT101" s="953"/>
      <c r="BHU101" s="953"/>
      <c r="BHV101" s="953"/>
      <c r="BHW101" s="953"/>
      <c r="BHX101" s="953"/>
      <c r="BHY101" s="953"/>
      <c r="BHZ101" s="953"/>
      <c r="BIA101" s="953"/>
      <c r="BIB101" s="953"/>
      <c r="BIC101" s="953"/>
      <c r="BID101" s="953"/>
      <c r="BIE101" s="953"/>
      <c r="BIF101" s="953"/>
      <c r="BIG101" s="953"/>
      <c r="BIH101" s="953"/>
      <c r="BII101" s="953"/>
      <c r="BIJ101" s="953"/>
      <c r="BIK101" s="953"/>
      <c r="BIL101" s="953"/>
      <c r="BIM101" s="953"/>
      <c r="BIN101" s="953"/>
      <c r="BIO101" s="953"/>
      <c r="BIP101" s="953"/>
      <c r="BIQ101" s="953"/>
      <c r="BIR101" s="953"/>
      <c r="BIS101" s="953"/>
      <c r="BIT101" s="953"/>
      <c r="BIU101" s="953"/>
      <c r="BIV101" s="953"/>
      <c r="BIW101" s="953"/>
      <c r="BIX101" s="953"/>
      <c r="BIY101" s="953"/>
      <c r="BIZ101" s="953"/>
      <c r="BJA101" s="953"/>
      <c r="BJB101" s="953"/>
      <c r="BJC101" s="953"/>
      <c r="BJD101" s="953"/>
      <c r="BJE101" s="953"/>
      <c r="BJF101" s="953"/>
      <c r="BJG101" s="953"/>
      <c r="BJH101" s="953"/>
      <c r="BJI101" s="953"/>
      <c r="BJJ101" s="953"/>
      <c r="BJK101" s="953"/>
      <c r="BJL101" s="953"/>
      <c r="BJM101" s="953"/>
      <c r="BJN101" s="953"/>
      <c r="BJO101" s="953"/>
      <c r="BJP101" s="953"/>
      <c r="BJQ101" s="953"/>
      <c r="BJR101" s="953"/>
      <c r="BJS101" s="953"/>
      <c r="BJT101" s="953"/>
      <c r="BJU101" s="953"/>
      <c r="BJV101" s="953"/>
      <c r="BJW101" s="953"/>
      <c r="BJX101" s="953"/>
      <c r="BJY101" s="953"/>
      <c r="BJZ101" s="953"/>
      <c r="BKA101" s="953"/>
      <c r="BKB101" s="953"/>
      <c r="BKC101" s="953"/>
      <c r="BKD101" s="953"/>
      <c r="BKE101" s="953"/>
      <c r="BKF101" s="953"/>
      <c r="BKG101" s="953"/>
      <c r="BKH101" s="953"/>
      <c r="BKI101" s="953"/>
      <c r="BKJ101" s="953"/>
      <c r="BKK101" s="953"/>
      <c r="BKL101" s="953"/>
      <c r="BKM101" s="953"/>
      <c r="BKN101" s="953"/>
      <c r="BKO101" s="953"/>
      <c r="BKP101" s="953"/>
      <c r="BKQ101" s="953"/>
      <c r="BKR101" s="953"/>
      <c r="BKS101" s="953"/>
      <c r="BKT101" s="953"/>
      <c r="BKU101" s="953"/>
      <c r="BKV101" s="953"/>
      <c r="BKW101" s="953"/>
      <c r="BKX101" s="953"/>
      <c r="BKY101" s="953"/>
      <c r="BKZ101" s="953"/>
      <c r="BLA101" s="953"/>
      <c r="BLB101" s="953"/>
      <c r="BLC101" s="953"/>
      <c r="BLD101" s="953"/>
      <c r="BLE101" s="953"/>
      <c r="BLF101" s="953"/>
      <c r="BLG101" s="953"/>
      <c r="BLH101" s="953"/>
      <c r="BLI101" s="953"/>
      <c r="BLJ101" s="953"/>
      <c r="BLK101" s="953"/>
      <c r="BLL101" s="953"/>
      <c r="BLM101" s="953"/>
      <c r="BLN101" s="953"/>
      <c r="BLO101" s="953"/>
      <c r="BLP101" s="953"/>
      <c r="BLQ101" s="953"/>
      <c r="BLR101" s="953"/>
      <c r="BLS101" s="953"/>
      <c r="BLT101" s="953"/>
      <c r="BLU101" s="953"/>
      <c r="BLV101" s="953"/>
      <c r="BLW101" s="953"/>
      <c r="BLX101" s="953"/>
      <c r="BLY101" s="953"/>
      <c r="BLZ101" s="953"/>
      <c r="BMA101" s="953"/>
      <c r="BMB101" s="953"/>
      <c r="BMC101" s="953"/>
      <c r="BMD101" s="953"/>
      <c r="BME101" s="953"/>
      <c r="BMF101" s="953"/>
      <c r="BMG101" s="953"/>
      <c r="BMH101" s="953"/>
      <c r="BMI101" s="953"/>
      <c r="BMJ101" s="953"/>
      <c r="BMK101" s="953"/>
      <c r="BML101" s="953"/>
      <c r="BMM101" s="953"/>
      <c r="BMN101" s="953"/>
      <c r="BMO101" s="953"/>
      <c r="BMP101" s="953"/>
      <c r="BMQ101" s="953"/>
      <c r="BMR101" s="953"/>
      <c r="BMS101" s="953"/>
      <c r="BMT101" s="953"/>
      <c r="BMU101" s="953"/>
      <c r="BMV101" s="953"/>
      <c r="BMW101" s="953"/>
      <c r="BMX101" s="953"/>
      <c r="BMY101" s="953"/>
      <c r="BMZ101" s="953"/>
      <c r="BNA101" s="953"/>
      <c r="BNB101" s="953"/>
      <c r="BNC101" s="953"/>
      <c r="BND101" s="953"/>
      <c r="BNE101" s="953"/>
      <c r="BNF101" s="953"/>
      <c r="BNG101" s="953"/>
      <c r="BNH101" s="953"/>
      <c r="BNI101" s="953"/>
      <c r="BNJ101" s="953"/>
      <c r="BNK101" s="953"/>
      <c r="BNL101" s="953"/>
      <c r="BNM101" s="953"/>
      <c r="BNN101" s="953"/>
      <c r="BNO101" s="953"/>
      <c r="BNP101" s="953"/>
      <c r="BNQ101" s="953"/>
      <c r="BNR101" s="953"/>
      <c r="BNS101" s="953"/>
      <c r="BNT101" s="953"/>
      <c r="BNU101" s="953"/>
      <c r="BNV101" s="953"/>
      <c r="BNW101" s="953"/>
      <c r="BNX101" s="953"/>
      <c r="BNY101" s="953"/>
      <c r="BNZ101" s="953"/>
      <c r="BOA101" s="953"/>
      <c r="BOB101" s="953"/>
      <c r="BOC101" s="953"/>
      <c r="BOD101" s="953"/>
      <c r="BOE101" s="953"/>
      <c r="BOF101" s="953"/>
      <c r="BOG101" s="953"/>
      <c r="BOH101" s="953"/>
      <c r="BOI101" s="953"/>
      <c r="BOJ101" s="953"/>
      <c r="BOK101" s="953"/>
      <c r="BOL101" s="953"/>
      <c r="BOM101" s="953"/>
      <c r="BON101" s="953"/>
      <c r="BOO101" s="953"/>
      <c r="BOP101" s="953"/>
      <c r="BOQ101" s="953"/>
      <c r="BOR101" s="953"/>
      <c r="BOS101" s="953"/>
      <c r="BOT101" s="953"/>
      <c r="BOU101" s="953"/>
      <c r="BOV101" s="953"/>
      <c r="BOW101" s="953"/>
      <c r="BOX101" s="953"/>
      <c r="BOY101" s="953"/>
      <c r="BOZ101" s="953"/>
      <c r="BPA101" s="953"/>
      <c r="BPB101" s="953"/>
      <c r="BPC101" s="953"/>
      <c r="BPD101" s="953"/>
      <c r="BPE101" s="953"/>
      <c r="BPF101" s="953"/>
      <c r="BPG101" s="953"/>
      <c r="BPH101" s="953"/>
      <c r="BPI101" s="953"/>
      <c r="BPJ101" s="953"/>
      <c r="BPK101" s="953"/>
      <c r="BPL101" s="953"/>
      <c r="BPM101" s="953"/>
      <c r="BPN101" s="953"/>
      <c r="BPO101" s="953"/>
      <c r="BPP101" s="953"/>
      <c r="BPQ101" s="953"/>
      <c r="BPR101" s="953"/>
      <c r="BPS101" s="953"/>
      <c r="BPT101" s="953"/>
      <c r="BPU101" s="953"/>
      <c r="BPV101" s="953"/>
      <c r="BPW101" s="953"/>
      <c r="BPX101" s="953"/>
      <c r="BPY101" s="953"/>
      <c r="BPZ101" s="953"/>
      <c r="BQA101" s="953"/>
      <c r="BQB101" s="953"/>
      <c r="BQC101" s="953"/>
      <c r="BQD101" s="953"/>
      <c r="BQE101" s="953"/>
      <c r="BQF101" s="953"/>
      <c r="BQG101" s="953"/>
      <c r="BQH101" s="953"/>
      <c r="BQI101" s="953"/>
      <c r="BQJ101" s="953"/>
      <c r="BQK101" s="953"/>
      <c r="BQL101" s="953"/>
      <c r="BQM101" s="953"/>
      <c r="BQN101" s="953"/>
      <c r="BQO101" s="953"/>
      <c r="BQP101" s="953"/>
      <c r="BQQ101" s="953"/>
      <c r="BQR101" s="953"/>
      <c r="BQS101" s="953"/>
      <c r="BQT101" s="953"/>
      <c r="BQU101" s="953"/>
      <c r="BQV101" s="953"/>
      <c r="BQW101" s="953"/>
      <c r="BQX101" s="953"/>
      <c r="BQY101" s="953"/>
      <c r="BQZ101" s="953"/>
      <c r="BRA101" s="953"/>
      <c r="BRB101" s="953"/>
      <c r="BRC101" s="953"/>
      <c r="BRD101" s="953"/>
      <c r="BRE101" s="953"/>
      <c r="BRF101" s="953"/>
      <c r="BRG101" s="953"/>
      <c r="BRH101" s="953"/>
      <c r="BRI101" s="953"/>
      <c r="BRJ101" s="953"/>
      <c r="BRK101" s="953"/>
      <c r="BRL101" s="953"/>
      <c r="BRM101" s="953"/>
      <c r="BRN101" s="953"/>
      <c r="BRO101" s="953"/>
      <c r="BRP101" s="953"/>
      <c r="BRQ101" s="953"/>
      <c r="BRR101" s="953"/>
      <c r="BRS101" s="953"/>
      <c r="BRT101" s="953"/>
      <c r="BRU101" s="953"/>
      <c r="BRV101" s="953"/>
      <c r="BRW101" s="953"/>
      <c r="BRX101" s="953"/>
      <c r="BRY101" s="953"/>
      <c r="BRZ101" s="953"/>
      <c r="BSA101" s="953"/>
      <c r="BSB101" s="953"/>
      <c r="BSC101" s="953"/>
      <c r="BSD101" s="953"/>
      <c r="BSE101" s="953"/>
      <c r="BSF101" s="953"/>
      <c r="BSG101" s="953"/>
      <c r="BSH101" s="953"/>
      <c r="BSI101" s="953"/>
      <c r="BSJ101" s="953"/>
      <c r="BSK101" s="953"/>
      <c r="BSL101" s="953"/>
      <c r="BSM101" s="953"/>
      <c r="BSN101" s="953"/>
      <c r="BSO101" s="953"/>
      <c r="BSP101" s="953"/>
      <c r="BSQ101" s="953"/>
      <c r="BSR101" s="953"/>
      <c r="BSS101" s="953"/>
      <c r="BST101" s="953"/>
      <c r="BSU101" s="953"/>
      <c r="BSV101" s="953"/>
      <c r="BSW101" s="953"/>
      <c r="BSX101" s="953"/>
      <c r="BSY101" s="953"/>
      <c r="BSZ101" s="953"/>
      <c r="BTA101" s="953"/>
      <c r="BTB101" s="953"/>
      <c r="BTC101" s="953"/>
      <c r="BTD101" s="953"/>
      <c r="BTE101" s="953"/>
      <c r="BTF101" s="953"/>
      <c r="BTG101" s="953"/>
      <c r="BTH101" s="953"/>
      <c r="BTI101" s="953"/>
      <c r="BTJ101" s="953"/>
      <c r="BTK101" s="953"/>
      <c r="BTL101" s="953"/>
      <c r="BTM101" s="953"/>
      <c r="BTN101" s="953"/>
      <c r="BTO101" s="953"/>
      <c r="BTP101" s="953"/>
      <c r="BTQ101" s="953"/>
      <c r="BTR101" s="953"/>
      <c r="BTS101" s="953"/>
      <c r="BTT101" s="953"/>
      <c r="BTU101" s="953"/>
      <c r="BTV101" s="953"/>
      <c r="BTW101" s="953"/>
      <c r="BTX101" s="953"/>
      <c r="BTY101" s="953"/>
      <c r="BTZ101" s="953"/>
      <c r="BUA101" s="953"/>
      <c r="BUB101" s="953"/>
      <c r="BUC101" s="953"/>
      <c r="BUD101" s="953"/>
      <c r="BUE101" s="953"/>
      <c r="BUF101" s="953"/>
      <c r="BUG101" s="953"/>
      <c r="BUH101" s="953"/>
      <c r="BUI101" s="953"/>
      <c r="BUJ101" s="953"/>
      <c r="BUK101" s="953"/>
      <c r="BUL101" s="953"/>
      <c r="BUM101" s="953"/>
      <c r="BUN101" s="953"/>
      <c r="BUO101" s="953"/>
      <c r="BUP101" s="953"/>
      <c r="BUQ101" s="953"/>
      <c r="BUR101" s="953"/>
      <c r="BUS101" s="953"/>
      <c r="BUT101" s="953"/>
      <c r="BUU101" s="953"/>
      <c r="BUV101" s="953"/>
      <c r="BUW101" s="953"/>
      <c r="BUX101" s="953"/>
      <c r="BUY101" s="953"/>
      <c r="BUZ101" s="953"/>
      <c r="BVA101" s="953"/>
      <c r="BVB101" s="953"/>
      <c r="BVC101" s="953"/>
      <c r="BVD101" s="953"/>
      <c r="BVE101" s="953"/>
      <c r="BVF101" s="953"/>
      <c r="BVG101" s="953"/>
      <c r="BVH101" s="953"/>
      <c r="BVI101" s="953"/>
      <c r="BVJ101" s="953"/>
      <c r="BVK101" s="953"/>
      <c r="BVL101" s="953"/>
      <c r="BVM101" s="953"/>
      <c r="BVN101" s="953"/>
      <c r="BVO101" s="953"/>
      <c r="BVP101" s="953"/>
      <c r="BVQ101" s="953"/>
      <c r="BVR101" s="953"/>
      <c r="BVS101" s="953"/>
      <c r="BVT101" s="953"/>
      <c r="BVU101" s="953"/>
      <c r="BVV101" s="953"/>
      <c r="BVW101" s="953"/>
      <c r="BVX101" s="953"/>
      <c r="BVY101" s="953"/>
      <c r="BVZ101" s="953"/>
      <c r="BWA101" s="953"/>
      <c r="BWB101" s="953"/>
      <c r="BWC101" s="953"/>
      <c r="BWD101" s="953"/>
      <c r="BWE101" s="953"/>
      <c r="BWF101" s="953"/>
      <c r="BWG101" s="953"/>
      <c r="BWH101" s="953"/>
      <c r="BWI101" s="953"/>
      <c r="BWJ101" s="953"/>
      <c r="BWK101" s="953"/>
      <c r="BWL101" s="953"/>
      <c r="BWM101" s="953"/>
      <c r="BWN101" s="953"/>
      <c r="BWO101" s="953"/>
      <c r="BWP101" s="953"/>
      <c r="BWQ101" s="953"/>
      <c r="BWR101" s="953"/>
      <c r="BWS101" s="953"/>
      <c r="BWT101" s="953"/>
      <c r="BWU101" s="953"/>
      <c r="BWV101" s="953"/>
      <c r="BWW101" s="953"/>
      <c r="BWX101" s="953"/>
      <c r="BWY101" s="953"/>
      <c r="BWZ101" s="953"/>
      <c r="BXA101" s="953"/>
      <c r="BXB101" s="953"/>
      <c r="BXC101" s="953"/>
      <c r="BXD101" s="953"/>
      <c r="BXE101" s="953"/>
      <c r="BXF101" s="953"/>
      <c r="BXG101" s="953"/>
      <c r="BXH101" s="953"/>
      <c r="BXI101" s="953"/>
      <c r="BXJ101" s="953"/>
      <c r="BXK101" s="953"/>
      <c r="BXL101" s="953"/>
      <c r="BXM101" s="953"/>
      <c r="BXN101" s="953"/>
      <c r="BXO101" s="953"/>
      <c r="BXP101" s="953"/>
      <c r="BXQ101" s="953"/>
      <c r="BXR101" s="953"/>
      <c r="BXS101" s="953"/>
      <c r="BXT101" s="953"/>
      <c r="BXU101" s="953"/>
      <c r="BXV101" s="953"/>
      <c r="BXW101" s="953"/>
      <c r="BXX101" s="953"/>
      <c r="BXY101" s="953"/>
      <c r="BXZ101" s="953"/>
      <c r="BYA101" s="953"/>
      <c r="BYB101" s="953"/>
      <c r="BYC101" s="953"/>
      <c r="BYD101" s="953"/>
      <c r="BYE101" s="953"/>
      <c r="BYF101" s="953"/>
      <c r="BYG101" s="953"/>
      <c r="BYH101" s="953"/>
      <c r="BYI101" s="953"/>
      <c r="BYJ101" s="953"/>
      <c r="BYK101" s="953"/>
      <c r="BYL101" s="953"/>
      <c r="BYM101" s="953"/>
      <c r="BYN101" s="953"/>
      <c r="BYO101" s="953"/>
      <c r="BYP101" s="953"/>
      <c r="BYQ101" s="953"/>
      <c r="BYR101" s="953"/>
      <c r="BYS101" s="953"/>
      <c r="BYT101" s="953"/>
      <c r="BYU101" s="953"/>
      <c r="BYV101" s="953"/>
      <c r="BYW101" s="953"/>
      <c r="BYX101" s="953"/>
      <c r="BYY101" s="953"/>
      <c r="BYZ101" s="953"/>
      <c r="BZA101" s="953"/>
      <c r="BZB101" s="953"/>
      <c r="BZC101" s="953"/>
      <c r="BZD101" s="953"/>
      <c r="BZE101" s="953"/>
      <c r="BZF101" s="953"/>
      <c r="BZG101" s="953"/>
      <c r="BZH101" s="953"/>
      <c r="BZI101" s="953"/>
      <c r="BZJ101" s="953"/>
      <c r="BZK101" s="953"/>
      <c r="BZL101" s="953"/>
      <c r="BZM101" s="953"/>
      <c r="BZN101" s="953"/>
      <c r="BZO101" s="953"/>
      <c r="BZP101" s="953"/>
      <c r="BZQ101" s="953"/>
      <c r="BZR101" s="953"/>
      <c r="BZS101" s="953"/>
      <c r="BZT101" s="953"/>
      <c r="BZU101" s="953"/>
      <c r="BZV101" s="953"/>
      <c r="BZW101" s="953"/>
      <c r="BZX101" s="953"/>
      <c r="BZY101" s="953"/>
      <c r="BZZ101" s="953"/>
      <c r="CAA101" s="953"/>
      <c r="CAB101" s="953"/>
      <c r="CAC101" s="953"/>
      <c r="CAD101" s="953"/>
      <c r="CAE101" s="953"/>
      <c r="CAF101" s="953"/>
      <c r="CAG101" s="953"/>
      <c r="CAH101" s="953"/>
      <c r="CAI101" s="953"/>
      <c r="CAJ101" s="953"/>
      <c r="CAK101" s="953"/>
      <c r="CAL101" s="953"/>
      <c r="CAM101" s="953"/>
      <c r="CAN101" s="953"/>
      <c r="CAO101" s="953"/>
      <c r="CAP101" s="953"/>
      <c r="CAQ101" s="953"/>
      <c r="CAR101" s="953"/>
      <c r="CAS101" s="953"/>
      <c r="CAT101" s="953"/>
      <c r="CAU101" s="953"/>
      <c r="CAV101" s="953"/>
      <c r="CAW101" s="953"/>
      <c r="CAX101" s="953"/>
      <c r="CAY101" s="953"/>
      <c r="CAZ101" s="953"/>
      <c r="CBA101" s="953"/>
      <c r="CBB101" s="953"/>
      <c r="CBC101" s="953"/>
      <c r="CBD101" s="953"/>
      <c r="CBE101" s="953"/>
      <c r="CBF101" s="953"/>
      <c r="CBG101" s="953"/>
      <c r="CBH101" s="953"/>
      <c r="CBI101" s="953"/>
      <c r="CBJ101" s="953"/>
      <c r="CBK101" s="953"/>
      <c r="CBL101" s="953"/>
      <c r="CBM101" s="953"/>
      <c r="CBN101" s="953"/>
      <c r="CBO101" s="953"/>
      <c r="CBP101" s="953"/>
      <c r="CBQ101" s="953"/>
      <c r="CBR101" s="953"/>
      <c r="CBS101" s="953"/>
      <c r="CBT101" s="953"/>
      <c r="CBU101" s="953"/>
      <c r="CBV101" s="953"/>
      <c r="CBW101" s="953"/>
      <c r="CBX101" s="953"/>
      <c r="CBY101" s="953"/>
      <c r="CBZ101" s="953"/>
      <c r="CCA101" s="953"/>
      <c r="CCB101" s="953"/>
      <c r="CCC101" s="953"/>
      <c r="CCD101" s="953"/>
      <c r="CCE101" s="953"/>
      <c r="CCF101" s="953"/>
      <c r="CCG101" s="953"/>
      <c r="CCH101" s="953"/>
      <c r="CCI101" s="953"/>
      <c r="CCJ101" s="953"/>
      <c r="CCK101" s="953"/>
      <c r="CCL101" s="953"/>
      <c r="CCM101" s="953"/>
      <c r="CCN101" s="953"/>
      <c r="CCO101" s="953"/>
      <c r="CCP101" s="953"/>
      <c r="CCQ101" s="953"/>
      <c r="CCR101" s="953"/>
      <c r="CCS101" s="953"/>
      <c r="CCT101" s="953"/>
      <c r="CCU101" s="953"/>
      <c r="CCV101" s="953"/>
      <c r="CCW101" s="953"/>
      <c r="CCX101" s="953"/>
      <c r="CCY101" s="953"/>
      <c r="CCZ101" s="953"/>
      <c r="CDA101" s="953"/>
      <c r="CDB101" s="953"/>
      <c r="CDC101" s="953"/>
      <c r="CDD101" s="953"/>
      <c r="CDE101" s="953"/>
      <c r="CDF101" s="953"/>
      <c r="CDG101" s="953"/>
      <c r="CDH101" s="953"/>
      <c r="CDI101" s="953"/>
      <c r="CDJ101" s="953"/>
      <c r="CDK101" s="953"/>
      <c r="CDL101" s="953"/>
      <c r="CDM101" s="953"/>
      <c r="CDN101" s="953"/>
      <c r="CDO101" s="953"/>
      <c r="CDP101" s="953"/>
      <c r="CDQ101" s="953"/>
      <c r="CDR101" s="953"/>
      <c r="CDS101" s="953"/>
      <c r="CDT101" s="953"/>
      <c r="CDU101" s="953"/>
      <c r="CDV101" s="953"/>
      <c r="CDW101" s="953"/>
      <c r="CDX101" s="953"/>
      <c r="CDY101" s="953"/>
      <c r="CDZ101" s="953"/>
      <c r="CEA101" s="953"/>
      <c r="CEB101" s="953"/>
      <c r="CEC101" s="953"/>
      <c r="CED101" s="953"/>
      <c r="CEE101" s="953"/>
      <c r="CEF101" s="953"/>
      <c r="CEG101" s="953"/>
      <c r="CEH101" s="953"/>
      <c r="CEI101" s="953"/>
      <c r="CEJ101" s="953"/>
      <c r="CEK101" s="953"/>
      <c r="CEL101" s="953"/>
      <c r="CEM101" s="953"/>
      <c r="CEN101" s="953"/>
      <c r="CEO101" s="953"/>
      <c r="CEP101" s="953"/>
      <c r="CEQ101" s="953"/>
      <c r="CER101" s="953"/>
      <c r="CES101" s="953"/>
      <c r="CET101" s="953"/>
      <c r="CEU101" s="953"/>
      <c r="CEV101" s="953"/>
      <c r="CEW101" s="953"/>
      <c r="CEX101" s="953"/>
      <c r="CEY101" s="953"/>
      <c r="CEZ101" s="953"/>
      <c r="CFA101" s="953"/>
      <c r="CFB101" s="953"/>
      <c r="CFC101" s="953"/>
      <c r="CFD101" s="953"/>
      <c r="CFE101" s="953"/>
      <c r="CFF101" s="953"/>
      <c r="CFG101" s="953"/>
      <c r="CFH101" s="953"/>
      <c r="CFI101" s="953"/>
      <c r="CFJ101" s="953"/>
      <c r="CFK101" s="953"/>
      <c r="CFL101" s="953"/>
      <c r="CFM101" s="953"/>
      <c r="CFN101" s="953"/>
      <c r="CFO101" s="953"/>
      <c r="CFP101" s="953"/>
      <c r="CFQ101" s="953"/>
      <c r="CFR101" s="953"/>
      <c r="CFS101" s="953"/>
      <c r="CFT101" s="953"/>
      <c r="CFU101" s="953"/>
      <c r="CFV101" s="953"/>
      <c r="CFW101" s="953"/>
      <c r="CFX101" s="953"/>
      <c r="CFY101" s="953"/>
      <c r="CFZ101" s="953"/>
      <c r="CGA101" s="953"/>
      <c r="CGB101" s="953"/>
      <c r="CGC101" s="953"/>
      <c r="CGD101" s="953"/>
      <c r="CGE101" s="953"/>
      <c r="CGF101" s="953"/>
      <c r="CGG101" s="953"/>
      <c r="CGH101" s="953"/>
      <c r="CGI101" s="953"/>
      <c r="CGJ101" s="953"/>
      <c r="CGK101" s="953"/>
      <c r="CGL101" s="953"/>
      <c r="CGM101" s="953"/>
      <c r="CGN101" s="953"/>
      <c r="CGO101" s="953"/>
      <c r="CGP101" s="953"/>
      <c r="CGQ101" s="953"/>
      <c r="CGR101" s="953"/>
      <c r="CGS101" s="953"/>
      <c r="CGT101" s="953"/>
      <c r="CGU101" s="953"/>
      <c r="CGV101" s="953"/>
      <c r="CGW101" s="953"/>
      <c r="CGX101" s="953"/>
      <c r="CGY101" s="953"/>
      <c r="CGZ101" s="953"/>
      <c r="CHA101" s="953"/>
      <c r="CHB101" s="953"/>
      <c r="CHC101" s="953"/>
      <c r="CHD101" s="953"/>
      <c r="CHE101" s="953"/>
      <c r="CHF101" s="953"/>
      <c r="CHG101" s="953"/>
      <c r="CHH101" s="953"/>
      <c r="CHI101" s="953"/>
      <c r="CHJ101" s="953"/>
      <c r="CHK101" s="953"/>
      <c r="CHL101" s="953"/>
      <c r="CHM101" s="953"/>
      <c r="CHN101" s="953"/>
      <c r="CHO101" s="953"/>
      <c r="CHP101" s="953"/>
      <c r="CHQ101" s="953"/>
      <c r="CHR101" s="953"/>
      <c r="CHS101" s="953"/>
      <c r="CHT101" s="953"/>
      <c r="CHU101" s="953"/>
      <c r="CHV101" s="953"/>
      <c r="CHW101" s="953"/>
      <c r="CHX101" s="953"/>
      <c r="CHY101" s="953"/>
      <c r="CHZ101" s="953"/>
      <c r="CIA101" s="953"/>
      <c r="CIB101" s="953"/>
      <c r="CIC101" s="953"/>
      <c r="CID101" s="953"/>
      <c r="CIE101" s="953"/>
      <c r="CIF101" s="953"/>
      <c r="CIG101" s="953"/>
      <c r="CIH101" s="953"/>
      <c r="CII101" s="953"/>
      <c r="CIJ101" s="953"/>
      <c r="CIK101" s="953"/>
      <c r="CIL101" s="953"/>
      <c r="CIM101" s="953"/>
      <c r="CIN101" s="953"/>
      <c r="CIO101" s="953"/>
      <c r="CIP101" s="953"/>
      <c r="CIQ101" s="953"/>
      <c r="CIR101" s="953"/>
      <c r="CIS101" s="953"/>
      <c r="CIT101" s="953"/>
      <c r="CIU101" s="953"/>
      <c r="CIV101" s="953"/>
      <c r="CIW101" s="953"/>
      <c r="CIX101" s="953"/>
      <c r="CIY101" s="953"/>
      <c r="CIZ101" s="953"/>
      <c r="CJA101" s="953"/>
      <c r="CJB101" s="953"/>
      <c r="CJC101" s="953"/>
      <c r="CJD101" s="953"/>
      <c r="CJE101" s="953"/>
      <c r="CJF101" s="953"/>
      <c r="CJG101" s="953"/>
      <c r="CJH101" s="953"/>
      <c r="CJI101" s="953"/>
      <c r="CJJ101" s="953"/>
      <c r="CJK101" s="953"/>
      <c r="CJL101" s="953"/>
      <c r="CJM101" s="953"/>
      <c r="CJN101" s="953"/>
      <c r="CJO101" s="953"/>
      <c r="CJP101" s="953"/>
      <c r="CJQ101" s="953"/>
      <c r="CJR101" s="953"/>
      <c r="CJS101" s="953"/>
      <c r="CJT101" s="953"/>
      <c r="CJU101" s="953"/>
      <c r="CJV101" s="953"/>
      <c r="CJW101" s="953"/>
      <c r="CJX101" s="953"/>
      <c r="CJY101" s="953"/>
      <c r="CJZ101" s="953"/>
      <c r="CKA101" s="953"/>
      <c r="CKB101" s="953"/>
      <c r="CKC101" s="953"/>
      <c r="CKD101" s="953"/>
      <c r="CKE101" s="953"/>
      <c r="CKF101" s="953"/>
      <c r="CKG101" s="953"/>
      <c r="CKH101" s="953"/>
      <c r="CKI101" s="953"/>
      <c r="CKJ101" s="953"/>
      <c r="CKK101" s="953"/>
      <c r="CKL101" s="953"/>
      <c r="CKM101" s="953"/>
      <c r="CKN101" s="953"/>
      <c r="CKO101" s="953"/>
      <c r="CKP101" s="953"/>
      <c r="CKQ101" s="953"/>
      <c r="CKR101" s="953"/>
      <c r="CKS101" s="953"/>
      <c r="CKT101" s="953"/>
      <c r="CKU101" s="953"/>
      <c r="CKV101" s="953"/>
      <c r="CKW101" s="953"/>
      <c r="CKX101" s="953"/>
      <c r="CKY101" s="953"/>
      <c r="CKZ101" s="953"/>
      <c r="CLA101" s="953"/>
      <c r="CLB101" s="953"/>
      <c r="CLC101" s="953"/>
      <c r="CLD101" s="953"/>
      <c r="CLE101" s="953"/>
      <c r="CLF101" s="953"/>
      <c r="CLG101" s="953"/>
      <c r="CLH101" s="953"/>
      <c r="CLI101" s="953"/>
      <c r="CLJ101" s="953"/>
      <c r="CLK101" s="953"/>
      <c r="CLL101" s="953"/>
      <c r="CLM101" s="953"/>
      <c r="CLN101" s="953"/>
      <c r="CLO101" s="953"/>
      <c r="CLP101" s="953"/>
      <c r="CLQ101" s="953"/>
      <c r="CLR101" s="953"/>
      <c r="CLS101" s="953"/>
      <c r="CLT101" s="953"/>
      <c r="CLU101" s="953"/>
      <c r="CLV101" s="953"/>
      <c r="CLW101" s="953"/>
      <c r="CLX101" s="953"/>
      <c r="CLY101" s="953"/>
      <c r="CLZ101" s="953"/>
      <c r="CMA101" s="953"/>
      <c r="CMB101" s="953"/>
      <c r="CMC101" s="953"/>
      <c r="CMD101" s="953"/>
      <c r="CME101" s="953"/>
      <c r="CMF101" s="953"/>
      <c r="CMG101" s="953"/>
      <c r="CMH101" s="953"/>
      <c r="CMI101" s="953"/>
      <c r="CMJ101" s="953"/>
      <c r="CMK101" s="953"/>
      <c r="CML101" s="953"/>
      <c r="CMM101" s="953"/>
      <c r="CMN101" s="953"/>
      <c r="CMO101" s="953"/>
      <c r="CMP101" s="953"/>
      <c r="CMQ101" s="953"/>
      <c r="CMR101" s="953"/>
      <c r="CMS101" s="953"/>
      <c r="CMT101" s="953"/>
      <c r="CMU101" s="953"/>
      <c r="CMV101" s="953"/>
      <c r="CMW101" s="953"/>
      <c r="CMX101" s="953"/>
      <c r="CMY101" s="953"/>
      <c r="CMZ101" s="953"/>
      <c r="CNA101" s="953"/>
      <c r="CNB101" s="953"/>
      <c r="CNC101" s="953"/>
      <c r="CND101" s="953"/>
      <c r="CNE101" s="953"/>
      <c r="CNF101" s="953"/>
      <c r="CNG101" s="953"/>
      <c r="CNH101" s="953"/>
      <c r="CNI101" s="953"/>
      <c r="CNJ101" s="953"/>
      <c r="CNK101" s="953"/>
      <c r="CNL101" s="953"/>
      <c r="CNM101" s="953"/>
      <c r="CNN101" s="953"/>
      <c r="CNO101" s="953"/>
      <c r="CNP101" s="953"/>
      <c r="CNQ101" s="953"/>
      <c r="CNR101" s="953"/>
      <c r="CNS101" s="953"/>
      <c r="CNT101" s="953"/>
      <c r="CNU101" s="953"/>
      <c r="CNV101" s="953"/>
      <c r="CNW101" s="953"/>
      <c r="CNX101" s="953"/>
      <c r="CNY101" s="953"/>
      <c r="CNZ101" s="953"/>
      <c r="COA101" s="953"/>
      <c r="COB101" s="953"/>
      <c r="COC101" s="953"/>
      <c r="COD101" s="953"/>
      <c r="COE101" s="953"/>
      <c r="COF101" s="953"/>
      <c r="COG101" s="953"/>
      <c r="COH101" s="953"/>
      <c r="COI101" s="953"/>
      <c r="COJ101" s="953"/>
      <c r="COK101" s="953"/>
      <c r="COL101" s="953"/>
      <c r="COM101" s="953"/>
      <c r="CON101" s="953"/>
      <c r="COO101" s="953"/>
      <c r="COP101" s="953"/>
      <c r="COQ101" s="953"/>
      <c r="COR101" s="953"/>
      <c r="COS101" s="953"/>
      <c r="COT101" s="953"/>
      <c r="COU101" s="953"/>
      <c r="COV101" s="953"/>
      <c r="COW101" s="953"/>
      <c r="COX101" s="953"/>
      <c r="COY101" s="953"/>
      <c r="COZ101" s="953"/>
      <c r="CPA101" s="953"/>
      <c r="CPB101" s="953"/>
      <c r="CPC101" s="953"/>
      <c r="CPD101" s="953"/>
      <c r="CPE101" s="953"/>
      <c r="CPF101" s="953"/>
      <c r="CPG101" s="953"/>
      <c r="CPH101" s="953"/>
      <c r="CPI101" s="953"/>
      <c r="CPJ101" s="953"/>
      <c r="CPK101" s="953"/>
      <c r="CPL101" s="953"/>
      <c r="CPM101" s="953"/>
      <c r="CPN101" s="953"/>
      <c r="CPO101" s="953"/>
      <c r="CPP101" s="953"/>
      <c r="CPQ101" s="953"/>
      <c r="CPR101" s="953"/>
      <c r="CPS101" s="953"/>
      <c r="CPT101" s="953"/>
      <c r="CPU101" s="953"/>
      <c r="CPV101" s="953"/>
      <c r="CPW101" s="953"/>
      <c r="CPX101" s="953"/>
      <c r="CPY101" s="953"/>
      <c r="CPZ101" s="953"/>
      <c r="CQA101" s="953"/>
      <c r="CQB101" s="953"/>
      <c r="CQC101" s="953"/>
      <c r="CQD101" s="953"/>
      <c r="CQE101" s="953"/>
      <c r="CQF101" s="953"/>
      <c r="CQG101" s="953"/>
      <c r="CQH101" s="953"/>
      <c r="CQI101" s="953"/>
      <c r="CQJ101" s="953"/>
      <c r="CQK101" s="953"/>
      <c r="CQL101" s="953"/>
      <c r="CQM101" s="953"/>
      <c r="CQN101" s="953"/>
      <c r="CQO101" s="953"/>
      <c r="CQP101" s="953"/>
      <c r="CQQ101" s="953"/>
      <c r="CQR101" s="953"/>
      <c r="CQS101" s="953"/>
      <c r="CQT101" s="953"/>
      <c r="CQU101" s="953"/>
      <c r="CQV101" s="953"/>
      <c r="CQW101" s="953"/>
      <c r="CQX101" s="953"/>
      <c r="CQY101" s="953"/>
      <c r="CQZ101" s="953"/>
      <c r="CRA101" s="953"/>
      <c r="CRB101" s="953"/>
      <c r="CRC101" s="953"/>
      <c r="CRD101" s="953"/>
      <c r="CRE101" s="953"/>
      <c r="CRF101" s="953"/>
      <c r="CRG101" s="953"/>
      <c r="CRH101" s="953"/>
      <c r="CRI101" s="953"/>
      <c r="CRJ101" s="953"/>
      <c r="CRK101" s="953"/>
      <c r="CRL101" s="953"/>
      <c r="CRM101" s="953"/>
      <c r="CRN101" s="953"/>
      <c r="CRO101" s="953"/>
      <c r="CRP101" s="953"/>
      <c r="CRQ101" s="953"/>
      <c r="CRR101" s="953"/>
      <c r="CRS101" s="953"/>
      <c r="CRT101" s="953"/>
      <c r="CRU101" s="953"/>
      <c r="CRV101" s="953"/>
      <c r="CRW101" s="953"/>
      <c r="CRX101" s="953"/>
      <c r="CRY101" s="953"/>
      <c r="CRZ101" s="953"/>
      <c r="CSA101" s="953"/>
      <c r="CSB101" s="953"/>
      <c r="CSC101" s="953"/>
      <c r="CSD101" s="953"/>
      <c r="CSE101" s="953"/>
      <c r="CSF101" s="953"/>
      <c r="CSG101" s="953"/>
      <c r="CSH101" s="953"/>
      <c r="CSI101" s="953"/>
      <c r="CSJ101" s="953"/>
      <c r="CSK101" s="953"/>
      <c r="CSL101" s="953"/>
      <c r="CSM101" s="953"/>
      <c r="CSN101" s="953"/>
      <c r="CSO101" s="953"/>
      <c r="CSP101" s="953"/>
      <c r="CSQ101" s="953"/>
      <c r="CSR101" s="953"/>
      <c r="CSS101" s="953"/>
      <c r="CST101" s="953"/>
      <c r="CSU101" s="953"/>
      <c r="CSV101" s="953"/>
      <c r="CSW101" s="953"/>
      <c r="CSX101" s="953"/>
      <c r="CSY101" s="953"/>
      <c r="CSZ101" s="953"/>
      <c r="CTA101" s="953"/>
      <c r="CTB101" s="953"/>
      <c r="CTC101" s="953"/>
      <c r="CTD101" s="953"/>
      <c r="CTE101" s="953"/>
      <c r="CTF101" s="953"/>
      <c r="CTG101" s="953"/>
      <c r="CTH101" s="953"/>
      <c r="CTI101" s="953"/>
      <c r="CTJ101" s="953"/>
      <c r="CTK101" s="953"/>
      <c r="CTL101" s="953"/>
      <c r="CTM101" s="953"/>
      <c r="CTN101" s="953"/>
      <c r="CTO101" s="953"/>
      <c r="CTP101" s="953"/>
      <c r="CTQ101" s="953"/>
      <c r="CTR101" s="953"/>
      <c r="CTS101" s="953"/>
      <c r="CTT101" s="953"/>
      <c r="CTU101" s="953"/>
      <c r="CTV101" s="953"/>
      <c r="CTW101" s="953"/>
      <c r="CTX101" s="953"/>
      <c r="CTY101" s="953"/>
      <c r="CTZ101" s="953"/>
      <c r="CUA101" s="953"/>
      <c r="CUB101" s="953"/>
      <c r="CUC101" s="953"/>
      <c r="CUD101" s="953"/>
      <c r="CUE101" s="953"/>
      <c r="CUF101" s="953"/>
      <c r="CUG101" s="953"/>
      <c r="CUH101" s="953"/>
      <c r="CUI101" s="953"/>
      <c r="CUJ101" s="953"/>
      <c r="CUK101" s="953"/>
      <c r="CUL101" s="953"/>
      <c r="CUM101" s="953"/>
      <c r="CUN101" s="953"/>
      <c r="CUO101" s="953"/>
      <c r="CUP101" s="953"/>
      <c r="CUQ101" s="953"/>
      <c r="CUR101" s="953"/>
      <c r="CUS101" s="953"/>
      <c r="CUT101" s="953"/>
      <c r="CUU101" s="953"/>
      <c r="CUV101" s="953"/>
      <c r="CUW101" s="953"/>
      <c r="CUX101" s="953"/>
      <c r="CUY101" s="953"/>
      <c r="CUZ101" s="953"/>
      <c r="CVA101" s="953"/>
      <c r="CVB101" s="953"/>
      <c r="CVC101" s="953"/>
      <c r="CVD101" s="953"/>
      <c r="CVE101" s="953"/>
      <c r="CVF101" s="953"/>
      <c r="CVG101" s="953"/>
      <c r="CVH101" s="953"/>
      <c r="CVI101" s="953"/>
      <c r="CVJ101" s="953"/>
      <c r="CVK101" s="953"/>
      <c r="CVL101" s="953"/>
      <c r="CVM101" s="953"/>
      <c r="CVN101" s="953"/>
      <c r="CVO101" s="953"/>
      <c r="CVP101" s="953"/>
      <c r="CVQ101" s="953"/>
      <c r="CVR101" s="953"/>
      <c r="CVS101" s="953"/>
      <c r="CVT101" s="953"/>
      <c r="CVU101" s="953"/>
      <c r="CVV101" s="953"/>
      <c r="CVW101" s="953"/>
      <c r="CVX101" s="953"/>
      <c r="CVY101" s="953"/>
      <c r="CVZ101" s="953"/>
      <c r="CWA101" s="953"/>
      <c r="CWB101" s="953"/>
      <c r="CWC101" s="953"/>
      <c r="CWD101" s="953"/>
      <c r="CWE101" s="953"/>
      <c r="CWF101" s="953"/>
      <c r="CWG101" s="953"/>
      <c r="CWH101" s="953"/>
      <c r="CWI101" s="953"/>
      <c r="CWJ101" s="953"/>
      <c r="CWK101" s="953"/>
      <c r="CWL101" s="953"/>
      <c r="CWM101" s="953"/>
      <c r="CWN101" s="953"/>
      <c r="CWO101" s="953"/>
      <c r="CWP101" s="953"/>
      <c r="CWQ101" s="953"/>
      <c r="CWR101" s="953"/>
      <c r="CWS101" s="953"/>
      <c r="CWT101" s="953"/>
      <c r="CWU101" s="953"/>
      <c r="CWV101" s="953"/>
      <c r="CWW101" s="953"/>
      <c r="CWX101" s="953"/>
      <c r="CWY101" s="953"/>
      <c r="CWZ101" s="953"/>
      <c r="CXA101" s="953"/>
      <c r="CXB101" s="953"/>
      <c r="CXC101" s="953"/>
      <c r="CXD101" s="953"/>
      <c r="CXE101" s="953"/>
      <c r="CXF101" s="953"/>
      <c r="CXG101" s="953"/>
      <c r="CXH101" s="953"/>
      <c r="CXI101" s="953"/>
      <c r="CXJ101" s="953"/>
      <c r="CXK101" s="953"/>
      <c r="CXL101" s="953"/>
      <c r="CXM101" s="953"/>
      <c r="CXN101" s="953"/>
      <c r="CXO101" s="953"/>
      <c r="CXP101" s="953"/>
      <c r="CXQ101" s="953"/>
      <c r="CXR101" s="953"/>
      <c r="CXS101" s="953"/>
      <c r="CXT101" s="953"/>
      <c r="CXU101" s="953"/>
      <c r="CXV101" s="953"/>
      <c r="CXW101" s="953"/>
      <c r="CXX101" s="953"/>
      <c r="CXY101" s="953"/>
      <c r="CXZ101" s="953"/>
      <c r="CYA101" s="953"/>
      <c r="CYB101" s="953"/>
      <c r="CYC101" s="953"/>
      <c r="CYD101" s="953"/>
      <c r="CYE101" s="953"/>
      <c r="CYF101" s="953"/>
      <c r="CYG101" s="953"/>
      <c r="CYH101" s="953"/>
      <c r="CYI101" s="953"/>
      <c r="CYJ101" s="953"/>
      <c r="CYK101" s="953"/>
      <c r="CYL101" s="953"/>
      <c r="CYM101" s="953"/>
      <c r="CYN101" s="953"/>
      <c r="CYO101" s="953"/>
      <c r="CYP101" s="953"/>
      <c r="CYQ101" s="953"/>
      <c r="CYR101" s="953"/>
      <c r="CYS101" s="953"/>
      <c r="CYT101" s="953"/>
      <c r="CYU101" s="953"/>
      <c r="CYV101" s="953"/>
      <c r="CYW101" s="953"/>
      <c r="CYX101" s="953"/>
      <c r="CYY101" s="953"/>
      <c r="CYZ101" s="953"/>
      <c r="CZA101" s="953"/>
      <c r="CZB101" s="953"/>
      <c r="CZC101" s="953"/>
      <c r="CZD101" s="953"/>
      <c r="CZE101" s="953"/>
      <c r="CZF101" s="953"/>
      <c r="CZG101" s="953"/>
      <c r="CZH101" s="953"/>
      <c r="CZI101" s="953"/>
      <c r="CZJ101" s="953"/>
      <c r="CZK101" s="953"/>
      <c r="CZL101" s="953"/>
      <c r="CZM101" s="953"/>
      <c r="CZN101" s="953"/>
      <c r="CZO101" s="953"/>
      <c r="CZP101" s="953"/>
      <c r="CZQ101" s="953"/>
      <c r="CZR101" s="953"/>
      <c r="CZS101" s="953"/>
      <c r="CZT101" s="953"/>
      <c r="CZU101" s="953"/>
      <c r="CZV101" s="953"/>
      <c r="CZW101" s="953"/>
      <c r="CZX101" s="953"/>
      <c r="CZY101" s="953"/>
      <c r="CZZ101" s="953"/>
      <c r="DAA101" s="953"/>
      <c r="DAB101" s="953"/>
      <c r="DAC101" s="953"/>
      <c r="DAD101" s="953"/>
      <c r="DAE101" s="953"/>
      <c r="DAF101" s="953"/>
      <c r="DAG101" s="953"/>
      <c r="DAH101" s="953"/>
      <c r="DAI101" s="953"/>
      <c r="DAJ101" s="953"/>
      <c r="DAK101" s="953"/>
      <c r="DAL101" s="953"/>
      <c r="DAM101" s="953"/>
      <c r="DAN101" s="953"/>
      <c r="DAO101" s="953"/>
      <c r="DAP101" s="953"/>
      <c r="DAQ101" s="953"/>
      <c r="DAR101" s="953"/>
      <c r="DAS101" s="953"/>
      <c r="DAT101" s="953"/>
      <c r="DAU101" s="953"/>
      <c r="DAV101" s="953"/>
      <c r="DAW101" s="953"/>
      <c r="DAX101" s="953"/>
      <c r="DAY101" s="953"/>
      <c r="DAZ101" s="953"/>
      <c r="DBA101" s="953"/>
      <c r="DBB101" s="953"/>
      <c r="DBC101" s="953"/>
      <c r="DBD101" s="953"/>
      <c r="DBE101" s="953"/>
      <c r="DBF101" s="953"/>
      <c r="DBG101" s="953"/>
      <c r="DBH101" s="953"/>
      <c r="DBI101" s="953"/>
      <c r="DBJ101" s="953"/>
      <c r="DBK101" s="953"/>
      <c r="DBL101" s="953"/>
      <c r="DBM101" s="953"/>
      <c r="DBN101" s="953"/>
      <c r="DBO101" s="953"/>
      <c r="DBP101" s="953"/>
      <c r="DBQ101" s="953"/>
      <c r="DBR101" s="953"/>
      <c r="DBS101" s="953"/>
      <c r="DBT101" s="953"/>
      <c r="DBU101" s="953"/>
      <c r="DBV101" s="953"/>
      <c r="DBW101" s="953"/>
      <c r="DBX101" s="953"/>
      <c r="DBY101" s="953"/>
      <c r="DBZ101" s="953"/>
      <c r="DCA101" s="953"/>
      <c r="DCB101" s="953"/>
      <c r="DCC101" s="953"/>
      <c r="DCD101" s="953"/>
      <c r="DCE101" s="953"/>
      <c r="DCF101" s="953"/>
      <c r="DCG101" s="953"/>
      <c r="DCH101" s="953"/>
      <c r="DCI101" s="953"/>
      <c r="DCJ101" s="953"/>
      <c r="DCK101" s="953"/>
      <c r="DCL101" s="953"/>
      <c r="DCM101" s="953"/>
      <c r="DCN101" s="953"/>
      <c r="DCO101" s="953"/>
      <c r="DCP101" s="953"/>
      <c r="DCQ101" s="953"/>
      <c r="DCR101" s="953"/>
      <c r="DCS101" s="953"/>
      <c r="DCT101" s="953"/>
      <c r="DCU101" s="953"/>
      <c r="DCV101" s="953"/>
      <c r="DCW101" s="953"/>
      <c r="DCX101" s="953"/>
      <c r="DCY101" s="953"/>
      <c r="DCZ101" s="953"/>
      <c r="DDA101" s="953"/>
      <c r="DDB101" s="953"/>
      <c r="DDC101" s="953"/>
      <c r="DDD101" s="953"/>
      <c r="DDE101" s="953"/>
      <c r="DDF101" s="953"/>
      <c r="DDG101" s="953"/>
      <c r="DDH101" s="953"/>
      <c r="DDI101" s="953"/>
      <c r="DDJ101" s="953"/>
      <c r="DDK101" s="953"/>
      <c r="DDL101" s="953"/>
      <c r="DDM101" s="953"/>
      <c r="DDN101" s="953"/>
      <c r="DDO101" s="953"/>
      <c r="DDP101" s="953"/>
      <c r="DDQ101" s="953"/>
      <c r="DDR101" s="953"/>
      <c r="DDS101" s="953"/>
      <c r="DDT101" s="953"/>
      <c r="DDU101" s="953"/>
      <c r="DDV101" s="953"/>
      <c r="DDW101" s="953"/>
      <c r="DDX101" s="953"/>
      <c r="DDY101" s="953"/>
      <c r="DDZ101" s="953"/>
      <c r="DEA101" s="953"/>
      <c r="DEB101" s="953"/>
      <c r="DEC101" s="953"/>
      <c r="DED101" s="953"/>
      <c r="DEE101" s="953"/>
      <c r="DEF101" s="953"/>
      <c r="DEG101" s="953"/>
      <c r="DEH101" s="953"/>
      <c r="DEI101" s="953"/>
      <c r="DEJ101" s="953"/>
      <c r="DEK101" s="953"/>
      <c r="DEL101" s="953"/>
      <c r="DEM101" s="953"/>
      <c r="DEN101" s="953"/>
      <c r="DEO101" s="953"/>
      <c r="DEP101" s="953"/>
      <c r="DEQ101" s="953"/>
      <c r="DER101" s="953"/>
      <c r="DES101" s="953"/>
      <c r="DET101" s="953"/>
      <c r="DEU101" s="953"/>
      <c r="DEV101" s="953"/>
      <c r="DEW101" s="953"/>
      <c r="DEX101" s="953"/>
      <c r="DEY101" s="953"/>
      <c r="DEZ101" s="953"/>
      <c r="DFA101" s="953"/>
      <c r="DFB101" s="953"/>
      <c r="DFC101" s="953"/>
      <c r="DFD101" s="953"/>
      <c r="DFE101" s="953"/>
      <c r="DFF101" s="953"/>
      <c r="DFG101" s="953"/>
      <c r="DFH101" s="953"/>
      <c r="DFI101" s="953"/>
      <c r="DFJ101" s="953"/>
      <c r="DFK101" s="953"/>
      <c r="DFL101" s="953"/>
      <c r="DFM101" s="953"/>
      <c r="DFN101" s="953"/>
      <c r="DFO101" s="953"/>
      <c r="DFP101" s="953"/>
      <c r="DFQ101" s="953"/>
      <c r="DFR101" s="953"/>
      <c r="DFS101" s="953"/>
      <c r="DFT101" s="953"/>
      <c r="DFU101" s="953"/>
      <c r="DFV101" s="953"/>
      <c r="DFW101" s="953"/>
      <c r="DFX101" s="953"/>
      <c r="DFY101" s="953"/>
      <c r="DFZ101" s="953"/>
      <c r="DGA101" s="953"/>
      <c r="DGB101" s="953"/>
      <c r="DGC101" s="953"/>
      <c r="DGD101" s="953"/>
      <c r="DGE101" s="953"/>
      <c r="DGF101" s="953"/>
      <c r="DGG101" s="953"/>
      <c r="DGH101" s="953"/>
      <c r="DGI101" s="953"/>
      <c r="DGJ101" s="953"/>
      <c r="DGK101" s="953"/>
      <c r="DGL101" s="953"/>
      <c r="DGM101" s="953"/>
      <c r="DGN101" s="953"/>
      <c r="DGO101" s="953"/>
      <c r="DGP101" s="953"/>
      <c r="DGQ101" s="953"/>
      <c r="DGR101" s="953"/>
      <c r="DGS101" s="953"/>
      <c r="DGT101" s="953"/>
      <c r="DGU101" s="953"/>
      <c r="DGV101" s="953"/>
      <c r="DGW101" s="953"/>
      <c r="DGX101" s="953"/>
      <c r="DGY101" s="953"/>
      <c r="DGZ101" s="953"/>
      <c r="DHA101" s="953"/>
      <c r="DHB101" s="953"/>
      <c r="DHC101" s="953"/>
      <c r="DHD101" s="953"/>
      <c r="DHE101" s="953"/>
      <c r="DHF101" s="953"/>
      <c r="DHG101" s="953"/>
      <c r="DHH101" s="953"/>
      <c r="DHI101" s="953"/>
      <c r="DHJ101" s="953"/>
      <c r="DHK101" s="953"/>
      <c r="DHL101" s="953"/>
      <c r="DHM101" s="953"/>
      <c r="DHN101" s="953"/>
      <c r="DHO101" s="953"/>
      <c r="DHP101" s="953"/>
      <c r="DHQ101" s="953"/>
      <c r="DHR101" s="953"/>
      <c r="DHS101" s="953"/>
      <c r="DHT101" s="953"/>
      <c r="DHU101" s="953"/>
      <c r="DHV101" s="953"/>
      <c r="DHW101" s="953"/>
      <c r="DHX101" s="953"/>
      <c r="DHY101" s="953"/>
      <c r="DHZ101" s="953"/>
      <c r="DIA101" s="953"/>
      <c r="DIB101" s="953"/>
      <c r="DIC101" s="953"/>
      <c r="DID101" s="953"/>
      <c r="DIE101" s="953"/>
      <c r="DIF101" s="953"/>
      <c r="DIG101" s="953"/>
      <c r="DIH101" s="953"/>
      <c r="DII101" s="953"/>
      <c r="DIJ101" s="953"/>
      <c r="DIK101" s="953"/>
      <c r="DIL101" s="953"/>
      <c r="DIM101" s="953"/>
      <c r="DIN101" s="953"/>
      <c r="DIO101" s="953"/>
      <c r="DIP101" s="953"/>
      <c r="DIQ101" s="953"/>
      <c r="DIR101" s="953"/>
      <c r="DIS101" s="953"/>
      <c r="DIT101" s="953"/>
      <c r="DIU101" s="953"/>
      <c r="DIV101" s="953"/>
      <c r="DIW101" s="953"/>
      <c r="DIX101" s="953"/>
      <c r="DIY101" s="953"/>
      <c r="DIZ101" s="953"/>
      <c r="DJA101" s="953"/>
      <c r="DJB101" s="953"/>
      <c r="DJC101" s="953"/>
      <c r="DJD101" s="953"/>
      <c r="DJE101" s="953"/>
      <c r="DJF101" s="953"/>
      <c r="DJG101" s="953"/>
      <c r="DJH101" s="953"/>
      <c r="DJI101" s="953"/>
      <c r="DJJ101" s="953"/>
      <c r="DJK101" s="953"/>
      <c r="DJL101" s="953"/>
      <c r="DJM101" s="953"/>
      <c r="DJN101" s="953"/>
      <c r="DJO101" s="953"/>
      <c r="DJP101" s="953"/>
      <c r="DJQ101" s="953"/>
      <c r="DJR101" s="953"/>
      <c r="DJS101" s="953"/>
      <c r="DJT101" s="953"/>
      <c r="DJU101" s="953"/>
      <c r="DJV101" s="953"/>
      <c r="DJW101" s="953"/>
      <c r="DJX101" s="953"/>
      <c r="DJY101" s="953"/>
      <c r="DJZ101" s="953"/>
      <c r="DKA101" s="953"/>
      <c r="DKB101" s="953"/>
      <c r="DKC101" s="953"/>
      <c r="DKD101" s="953"/>
      <c r="DKE101" s="953"/>
      <c r="DKF101" s="953"/>
      <c r="DKG101" s="953"/>
      <c r="DKH101" s="953"/>
      <c r="DKI101" s="953"/>
      <c r="DKJ101" s="953"/>
      <c r="DKK101" s="953"/>
      <c r="DKL101" s="953"/>
      <c r="DKM101" s="953"/>
      <c r="DKN101" s="953"/>
      <c r="DKO101" s="953"/>
      <c r="DKP101" s="953"/>
      <c r="DKQ101" s="953"/>
      <c r="DKR101" s="953"/>
      <c r="DKS101" s="953"/>
      <c r="DKT101" s="953"/>
      <c r="DKU101" s="953"/>
      <c r="DKV101" s="953"/>
      <c r="DKW101" s="953"/>
      <c r="DKX101" s="953"/>
      <c r="DKY101" s="953"/>
      <c r="DKZ101" s="953"/>
      <c r="DLA101" s="953"/>
      <c r="DLB101" s="953"/>
      <c r="DLC101" s="953"/>
      <c r="DLD101" s="953"/>
      <c r="DLE101" s="953"/>
      <c r="DLF101" s="953"/>
      <c r="DLG101" s="953"/>
      <c r="DLH101" s="953"/>
      <c r="DLI101" s="953"/>
      <c r="DLJ101" s="953"/>
      <c r="DLK101" s="953"/>
      <c r="DLL101" s="953"/>
      <c r="DLM101" s="953"/>
      <c r="DLN101" s="953"/>
      <c r="DLO101" s="953"/>
      <c r="DLP101" s="953"/>
      <c r="DLQ101" s="953"/>
      <c r="DLR101" s="953"/>
      <c r="DLS101" s="953"/>
      <c r="DLT101" s="953"/>
      <c r="DLU101" s="953"/>
      <c r="DLV101" s="953"/>
      <c r="DLW101" s="953"/>
      <c r="DLX101" s="953"/>
      <c r="DLY101" s="953"/>
      <c r="DLZ101" s="953"/>
      <c r="DMA101" s="953"/>
      <c r="DMB101" s="953"/>
      <c r="DMC101" s="953"/>
      <c r="DMD101" s="953"/>
      <c r="DME101" s="953"/>
      <c r="DMF101" s="953"/>
      <c r="DMG101" s="953"/>
      <c r="DMH101" s="953"/>
      <c r="DMI101" s="953"/>
      <c r="DMJ101" s="953"/>
      <c r="DMK101" s="953"/>
      <c r="DML101" s="953"/>
      <c r="DMM101" s="953"/>
      <c r="DMN101" s="953"/>
      <c r="DMO101" s="953"/>
      <c r="DMP101" s="953"/>
      <c r="DMQ101" s="953"/>
      <c r="DMR101" s="953"/>
      <c r="DMS101" s="953"/>
      <c r="DMT101" s="953"/>
      <c r="DMU101" s="953"/>
      <c r="DMV101" s="953"/>
      <c r="DMW101" s="953"/>
      <c r="DMX101" s="953"/>
      <c r="DMY101" s="953"/>
      <c r="DMZ101" s="953"/>
      <c r="DNA101" s="953"/>
      <c r="DNB101" s="953"/>
      <c r="DNC101" s="953"/>
      <c r="DND101" s="953"/>
      <c r="DNE101" s="953"/>
      <c r="DNF101" s="953"/>
      <c r="DNG101" s="953"/>
      <c r="DNH101" s="953"/>
      <c r="DNI101" s="953"/>
      <c r="DNJ101" s="953"/>
      <c r="DNK101" s="953"/>
      <c r="DNL101" s="953"/>
      <c r="DNM101" s="953"/>
      <c r="DNN101" s="953"/>
      <c r="DNO101" s="953"/>
      <c r="DNP101" s="953"/>
      <c r="DNQ101" s="953"/>
      <c r="DNR101" s="953"/>
      <c r="DNS101" s="953"/>
      <c r="DNT101" s="953"/>
      <c r="DNU101" s="953"/>
      <c r="DNV101" s="953"/>
      <c r="DNW101" s="953"/>
      <c r="DNX101" s="953"/>
      <c r="DNY101" s="953"/>
      <c r="DNZ101" s="953"/>
      <c r="DOA101" s="953"/>
      <c r="DOB101" s="953"/>
      <c r="DOC101" s="953"/>
      <c r="DOD101" s="953"/>
      <c r="DOE101" s="953"/>
      <c r="DOF101" s="953"/>
      <c r="DOG101" s="953"/>
      <c r="DOH101" s="953"/>
      <c r="DOI101" s="953"/>
      <c r="DOJ101" s="953"/>
      <c r="DOK101" s="953"/>
      <c r="DOL101" s="953"/>
      <c r="DOM101" s="953"/>
      <c r="DON101" s="953"/>
      <c r="DOO101" s="953"/>
      <c r="DOP101" s="953"/>
      <c r="DOQ101" s="953"/>
      <c r="DOR101" s="953"/>
      <c r="DOS101" s="953"/>
      <c r="DOT101" s="953"/>
      <c r="DOU101" s="953"/>
      <c r="DOV101" s="953"/>
      <c r="DOW101" s="953"/>
      <c r="DOX101" s="953"/>
      <c r="DOY101" s="953"/>
      <c r="DOZ101" s="953"/>
      <c r="DPA101" s="953"/>
      <c r="DPB101" s="953"/>
      <c r="DPC101" s="953"/>
      <c r="DPD101" s="953"/>
      <c r="DPE101" s="953"/>
      <c r="DPF101" s="953"/>
      <c r="DPG101" s="953"/>
      <c r="DPH101" s="953"/>
      <c r="DPI101" s="953"/>
      <c r="DPJ101" s="953"/>
      <c r="DPK101" s="953"/>
      <c r="DPL101" s="953"/>
      <c r="DPM101" s="953"/>
      <c r="DPN101" s="953"/>
      <c r="DPO101" s="953"/>
      <c r="DPP101" s="953"/>
      <c r="DPQ101" s="953"/>
      <c r="DPR101" s="953"/>
      <c r="DPS101" s="953"/>
      <c r="DPT101" s="953"/>
      <c r="DPU101" s="953"/>
      <c r="DPV101" s="953"/>
      <c r="DPW101" s="953"/>
      <c r="DPX101" s="953"/>
      <c r="DPY101" s="953"/>
      <c r="DPZ101" s="953"/>
      <c r="DQA101" s="953"/>
      <c r="DQB101" s="953"/>
      <c r="DQC101" s="953"/>
      <c r="DQD101" s="953"/>
      <c r="DQE101" s="953"/>
      <c r="DQF101" s="953"/>
      <c r="DQG101" s="953"/>
      <c r="DQH101" s="953"/>
      <c r="DQI101" s="953"/>
      <c r="DQJ101" s="953"/>
      <c r="DQK101" s="953"/>
      <c r="DQL101" s="953"/>
      <c r="DQM101" s="953"/>
      <c r="DQN101" s="953"/>
      <c r="DQO101" s="953"/>
      <c r="DQP101" s="953"/>
      <c r="DQQ101" s="953"/>
      <c r="DQR101" s="953"/>
      <c r="DQS101" s="953"/>
      <c r="DQT101" s="953"/>
      <c r="DQU101" s="953"/>
      <c r="DQV101" s="953"/>
      <c r="DQW101" s="953"/>
      <c r="DQX101" s="953"/>
      <c r="DQY101" s="953"/>
      <c r="DQZ101" s="953"/>
      <c r="DRA101" s="953"/>
      <c r="DRB101" s="953"/>
      <c r="DRC101" s="953"/>
      <c r="DRD101" s="953"/>
      <c r="DRE101" s="953"/>
      <c r="DRF101" s="953"/>
      <c r="DRG101" s="953"/>
      <c r="DRH101" s="953"/>
      <c r="DRI101" s="953"/>
      <c r="DRJ101" s="953"/>
      <c r="DRK101" s="953"/>
      <c r="DRL101" s="953"/>
      <c r="DRM101" s="953"/>
      <c r="DRN101" s="953"/>
      <c r="DRO101" s="953"/>
      <c r="DRP101" s="953"/>
      <c r="DRQ101" s="953"/>
      <c r="DRR101" s="953"/>
      <c r="DRS101" s="953"/>
      <c r="DRT101" s="953"/>
      <c r="DRU101" s="953"/>
      <c r="DRV101" s="953"/>
      <c r="DRW101" s="953"/>
      <c r="DRX101" s="953"/>
      <c r="DRY101" s="953"/>
      <c r="DRZ101" s="953"/>
      <c r="DSA101" s="953"/>
      <c r="DSB101" s="953"/>
      <c r="DSC101" s="953"/>
      <c r="DSD101" s="953"/>
      <c r="DSE101" s="953"/>
      <c r="DSF101" s="953"/>
      <c r="DSG101" s="953"/>
      <c r="DSH101" s="953"/>
      <c r="DSI101" s="953"/>
      <c r="DSJ101" s="953"/>
      <c r="DSK101" s="953"/>
      <c r="DSL101" s="953"/>
      <c r="DSM101" s="953"/>
      <c r="DSN101" s="953"/>
      <c r="DSO101" s="953"/>
      <c r="DSP101" s="953"/>
      <c r="DSQ101" s="953"/>
      <c r="DSR101" s="953"/>
      <c r="DSS101" s="953"/>
      <c r="DST101" s="953"/>
      <c r="DSU101" s="953"/>
      <c r="DSV101" s="953"/>
      <c r="DSW101" s="953"/>
      <c r="DSX101" s="953"/>
      <c r="DSY101" s="953"/>
      <c r="DSZ101" s="953"/>
      <c r="DTA101" s="953"/>
      <c r="DTB101" s="953"/>
      <c r="DTC101" s="953"/>
      <c r="DTD101" s="953"/>
      <c r="DTE101" s="953"/>
      <c r="DTF101" s="953"/>
      <c r="DTG101" s="953"/>
      <c r="DTH101" s="953"/>
      <c r="DTI101" s="953"/>
      <c r="DTJ101" s="953"/>
      <c r="DTK101" s="953"/>
      <c r="DTL101" s="953"/>
      <c r="DTM101" s="953"/>
      <c r="DTN101" s="953"/>
      <c r="DTO101" s="953"/>
      <c r="DTP101" s="953"/>
      <c r="DTQ101" s="953"/>
      <c r="DTR101" s="953"/>
      <c r="DTS101" s="953"/>
      <c r="DTT101" s="953"/>
      <c r="DTU101" s="953"/>
      <c r="DTV101" s="953"/>
      <c r="DTW101" s="953"/>
      <c r="DTX101" s="953"/>
      <c r="DTY101" s="953"/>
      <c r="DTZ101" s="953"/>
      <c r="DUA101" s="953"/>
      <c r="DUB101" s="953"/>
      <c r="DUC101" s="953"/>
      <c r="DUD101" s="953"/>
      <c r="DUE101" s="953"/>
      <c r="DUF101" s="953"/>
      <c r="DUG101" s="953"/>
      <c r="DUH101" s="953"/>
      <c r="DUI101" s="953"/>
      <c r="DUJ101" s="953"/>
      <c r="DUK101" s="953"/>
      <c r="DUL101" s="953"/>
      <c r="DUM101" s="953"/>
      <c r="DUN101" s="953"/>
      <c r="DUO101" s="953"/>
      <c r="DUP101" s="953"/>
      <c r="DUQ101" s="953"/>
      <c r="DUR101" s="953"/>
      <c r="DUS101" s="953"/>
      <c r="DUT101" s="953"/>
      <c r="DUU101" s="953"/>
      <c r="DUV101" s="953"/>
      <c r="DUW101" s="953"/>
      <c r="DUX101" s="953"/>
      <c r="DUY101" s="953"/>
      <c r="DUZ101" s="953"/>
      <c r="DVA101" s="953"/>
      <c r="DVB101" s="953"/>
      <c r="DVC101" s="953"/>
      <c r="DVD101" s="953"/>
      <c r="DVE101" s="953"/>
      <c r="DVF101" s="953"/>
      <c r="DVG101" s="953"/>
      <c r="DVH101" s="953"/>
      <c r="DVI101" s="953"/>
      <c r="DVJ101" s="953"/>
      <c r="DVK101" s="953"/>
      <c r="DVL101" s="953"/>
      <c r="DVM101" s="953"/>
      <c r="DVN101" s="953"/>
      <c r="DVO101" s="953"/>
      <c r="DVP101" s="953"/>
      <c r="DVQ101" s="953"/>
      <c r="DVR101" s="953"/>
      <c r="DVS101" s="953"/>
      <c r="DVT101" s="953"/>
      <c r="DVU101" s="953"/>
      <c r="DVV101" s="953"/>
      <c r="DVW101" s="953"/>
      <c r="DVX101" s="953"/>
      <c r="DVY101" s="953"/>
      <c r="DVZ101" s="953"/>
      <c r="DWA101" s="953"/>
      <c r="DWB101" s="953"/>
      <c r="DWC101" s="953"/>
      <c r="DWD101" s="953"/>
      <c r="DWE101" s="953"/>
      <c r="DWF101" s="953"/>
      <c r="DWG101" s="953"/>
      <c r="DWH101" s="953"/>
      <c r="DWI101" s="953"/>
      <c r="DWJ101" s="953"/>
      <c r="DWK101" s="953"/>
      <c r="DWL101" s="953"/>
      <c r="DWM101" s="953"/>
      <c r="DWN101" s="953"/>
      <c r="DWO101" s="953"/>
      <c r="DWP101" s="953"/>
      <c r="DWQ101" s="953"/>
      <c r="DWR101" s="953"/>
      <c r="DWS101" s="953"/>
      <c r="DWT101" s="953"/>
      <c r="DWU101" s="953"/>
      <c r="DWV101" s="953"/>
      <c r="DWW101" s="953"/>
      <c r="DWX101" s="953"/>
      <c r="DWY101" s="953"/>
      <c r="DWZ101" s="953"/>
      <c r="DXA101" s="953"/>
      <c r="DXB101" s="953"/>
      <c r="DXC101" s="953"/>
      <c r="DXD101" s="953"/>
      <c r="DXE101" s="953"/>
      <c r="DXF101" s="953"/>
      <c r="DXG101" s="953"/>
      <c r="DXH101" s="953"/>
      <c r="DXI101" s="953"/>
      <c r="DXJ101" s="953"/>
      <c r="DXK101" s="953"/>
      <c r="DXL101" s="953"/>
      <c r="DXM101" s="953"/>
      <c r="DXN101" s="953"/>
      <c r="DXO101" s="953"/>
      <c r="DXP101" s="953"/>
      <c r="DXQ101" s="953"/>
      <c r="DXR101" s="953"/>
      <c r="DXS101" s="953"/>
      <c r="DXT101" s="953"/>
      <c r="DXU101" s="953"/>
      <c r="DXV101" s="953"/>
      <c r="DXW101" s="953"/>
      <c r="DXX101" s="953"/>
      <c r="DXY101" s="953"/>
      <c r="DXZ101" s="953"/>
      <c r="DYA101" s="953"/>
      <c r="DYB101" s="953"/>
      <c r="DYC101" s="953"/>
      <c r="DYD101" s="953"/>
      <c r="DYE101" s="953"/>
      <c r="DYF101" s="953"/>
      <c r="DYG101" s="953"/>
      <c r="DYH101" s="953"/>
      <c r="DYI101" s="953"/>
      <c r="DYJ101" s="953"/>
      <c r="DYK101" s="953"/>
      <c r="DYL101" s="953"/>
      <c r="DYM101" s="953"/>
      <c r="DYN101" s="953"/>
      <c r="DYO101" s="953"/>
      <c r="DYP101" s="953"/>
      <c r="DYQ101" s="953"/>
      <c r="DYR101" s="953"/>
      <c r="DYS101" s="953"/>
      <c r="DYT101" s="953"/>
      <c r="DYU101" s="953"/>
      <c r="DYV101" s="953"/>
      <c r="DYW101" s="953"/>
      <c r="DYX101" s="953"/>
      <c r="DYY101" s="953"/>
      <c r="DYZ101" s="953"/>
      <c r="DZA101" s="953"/>
      <c r="DZB101" s="953"/>
      <c r="DZC101" s="953"/>
      <c r="DZD101" s="953"/>
      <c r="DZE101" s="953"/>
      <c r="DZF101" s="953"/>
      <c r="DZG101" s="953"/>
      <c r="DZH101" s="953"/>
      <c r="DZI101" s="953"/>
      <c r="DZJ101" s="953"/>
      <c r="DZK101" s="953"/>
      <c r="DZL101" s="953"/>
      <c r="DZM101" s="953"/>
      <c r="DZN101" s="953"/>
      <c r="DZO101" s="953"/>
      <c r="DZP101" s="953"/>
      <c r="DZQ101" s="953"/>
      <c r="DZR101" s="953"/>
      <c r="DZS101" s="953"/>
      <c r="DZT101" s="953"/>
      <c r="DZU101" s="953"/>
      <c r="DZV101" s="953"/>
      <c r="DZW101" s="953"/>
      <c r="DZX101" s="953"/>
      <c r="DZY101" s="953"/>
      <c r="DZZ101" s="953"/>
      <c r="EAA101" s="953"/>
      <c r="EAB101" s="953"/>
      <c r="EAC101" s="953"/>
      <c r="EAD101" s="953"/>
      <c r="EAE101" s="953"/>
      <c r="EAF101" s="953"/>
      <c r="EAG101" s="953"/>
      <c r="EAH101" s="953"/>
      <c r="EAI101" s="953"/>
      <c r="EAJ101" s="953"/>
      <c r="EAK101" s="953"/>
      <c r="EAL101" s="953"/>
      <c r="EAM101" s="953"/>
      <c r="EAN101" s="953"/>
      <c r="EAO101" s="953"/>
      <c r="EAP101" s="953"/>
      <c r="EAQ101" s="953"/>
      <c r="EAR101" s="953"/>
      <c r="EAS101" s="953"/>
      <c r="EAT101" s="953"/>
      <c r="EAU101" s="953"/>
      <c r="EAV101" s="953"/>
      <c r="EAW101" s="953"/>
      <c r="EAX101" s="953"/>
      <c r="EAY101" s="953"/>
      <c r="EAZ101" s="953"/>
      <c r="EBA101" s="953"/>
      <c r="EBB101" s="953"/>
      <c r="EBC101" s="953"/>
      <c r="EBD101" s="953"/>
      <c r="EBE101" s="953"/>
      <c r="EBF101" s="953"/>
      <c r="EBG101" s="953"/>
      <c r="EBH101" s="953"/>
      <c r="EBI101" s="953"/>
      <c r="EBJ101" s="953"/>
      <c r="EBK101" s="953"/>
      <c r="EBL101" s="953"/>
      <c r="EBM101" s="953"/>
      <c r="EBN101" s="953"/>
      <c r="EBO101" s="953"/>
      <c r="EBP101" s="953"/>
      <c r="EBQ101" s="953"/>
      <c r="EBR101" s="953"/>
      <c r="EBS101" s="953"/>
      <c r="EBT101" s="953"/>
      <c r="EBU101" s="953"/>
      <c r="EBV101" s="953"/>
      <c r="EBW101" s="953"/>
      <c r="EBX101" s="953"/>
      <c r="EBY101" s="953"/>
      <c r="EBZ101" s="953"/>
      <c r="ECA101" s="953"/>
      <c r="ECB101" s="953"/>
      <c r="ECC101" s="953"/>
      <c r="ECD101" s="953"/>
      <c r="ECE101" s="953"/>
      <c r="ECF101" s="953"/>
      <c r="ECG101" s="953"/>
      <c r="ECH101" s="953"/>
      <c r="ECI101" s="953"/>
      <c r="ECJ101" s="953"/>
      <c r="ECK101" s="953"/>
      <c r="ECL101" s="953"/>
      <c r="ECM101" s="953"/>
      <c r="ECN101" s="953"/>
      <c r="ECO101" s="953"/>
      <c r="ECP101" s="953"/>
      <c r="ECQ101" s="953"/>
      <c r="ECR101" s="953"/>
      <c r="ECS101" s="953"/>
      <c r="ECT101" s="953"/>
      <c r="ECU101" s="953"/>
      <c r="ECV101" s="953"/>
      <c r="ECW101" s="953"/>
      <c r="ECX101" s="953"/>
      <c r="ECY101" s="953"/>
      <c r="ECZ101" s="953"/>
      <c r="EDA101" s="953"/>
      <c r="EDB101" s="953"/>
      <c r="EDC101" s="953"/>
      <c r="EDD101" s="953"/>
      <c r="EDE101" s="953"/>
      <c r="EDF101" s="953"/>
      <c r="EDG101" s="953"/>
      <c r="EDH101" s="953"/>
      <c r="EDI101" s="953"/>
      <c r="EDJ101" s="953"/>
      <c r="EDK101" s="953"/>
      <c r="EDL101" s="953"/>
      <c r="EDM101" s="953"/>
      <c r="EDN101" s="953"/>
      <c r="EDO101" s="953"/>
      <c r="EDP101" s="953"/>
      <c r="EDQ101" s="953"/>
      <c r="EDR101" s="953"/>
      <c r="EDS101" s="953"/>
      <c r="EDT101" s="953"/>
      <c r="EDU101" s="953"/>
      <c r="EDV101" s="953"/>
      <c r="EDW101" s="953"/>
      <c r="EDX101" s="953"/>
      <c r="EDY101" s="953"/>
      <c r="EDZ101" s="953"/>
      <c r="EEA101" s="953"/>
      <c r="EEB101" s="953"/>
      <c r="EEC101" s="953"/>
      <c r="EED101" s="953"/>
      <c r="EEE101" s="953"/>
      <c r="EEF101" s="953"/>
      <c r="EEG101" s="953"/>
      <c r="EEH101" s="953"/>
      <c r="EEI101" s="953"/>
      <c r="EEJ101" s="953"/>
      <c r="EEK101" s="953"/>
      <c r="EEL101" s="953"/>
      <c r="EEM101" s="953"/>
      <c r="EEN101" s="953"/>
      <c r="EEO101" s="953"/>
      <c r="EEP101" s="953"/>
      <c r="EEQ101" s="953"/>
      <c r="EER101" s="953"/>
      <c r="EES101" s="953"/>
      <c r="EET101" s="953"/>
      <c r="EEU101" s="953"/>
      <c r="EEV101" s="953"/>
      <c r="EEW101" s="953"/>
      <c r="EEX101" s="953"/>
      <c r="EEY101" s="953"/>
      <c r="EEZ101" s="953"/>
      <c r="EFA101" s="953"/>
      <c r="EFB101" s="953"/>
      <c r="EFC101" s="953"/>
      <c r="EFD101" s="953"/>
      <c r="EFE101" s="953"/>
      <c r="EFF101" s="953"/>
      <c r="EFG101" s="953"/>
      <c r="EFH101" s="953"/>
      <c r="EFI101" s="953"/>
      <c r="EFJ101" s="953"/>
      <c r="EFK101" s="953"/>
      <c r="EFL101" s="953"/>
      <c r="EFM101" s="953"/>
      <c r="EFN101" s="953"/>
      <c r="EFO101" s="953"/>
      <c r="EFP101" s="953"/>
      <c r="EFQ101" s="953"/>
      <c r="EFR101" s="953"/>
      <c r="EFS101" s="953"/>
      <c r="EFT101" s="953"/>
      <c r="EFU101" s="953"/>
      <c r="EFV101" s="953"/>
      <c r="EFW101" s="953"/>
      <c r="EFX101" s="953"/>
      <c r="EFY101" s="953"/>
      <c r="EFZ101" s="953"/>
      <c r="EGA101" s="953"/>
      <c r="EGB101" s="953"/>
      <c r="EGC101" s="953"/>
      <c r="EGD101" s="953"/>
      <c r="EGE101" s="953"/>
      <c r="EGF101" s="953"/>
      <c r="EGG101" s="953"/>
      <c r="EGH101" s="953"/>
      <c r="EGI101" s="953"/>
      <c r="EGJ101" s="953"/>
      <c r="EGK101" s="953"/>
      <c r="EGL101" s="953"/>
      <c r="EGM101" s="953"/>
      <c r="EGN101" s="953"/>
      <c r="EGO101" s="953"/>
      <c r="EGP101" s="953"/>
      <c r="EGQ101" s="953"/>
      <c r="EGR101" s="953"/>
      <c r="EGS101" s="953"/>
      <c r="EGT101" s="953"/>
      <c r="EGU101" s="953"/>
      <c r="EGV101" s="953"/>
      <c r="EGW101" s="953"/>
      <c r="EGX101" s="953"/>
      <c r="EGY101" s="953"/>
      <c r="EGZ101" s="953"/>
      <c r="EHA101" s="953"/>
      <c r="EHB101" s="953"/>
      <c r="EHC101" s="953"/>
      <c r="EHD101" s="953"/>
      <c r="EHE101" s="953"/>
      <c r="EHF101" s="953"/>
      <c r="EHG101" s="953"/>
      <c r="EHH101" s="953"/>
      <c r="EHI101" s="953"/>
      <c r="EHJ101" s="953"/>
      <c r="EHK101" s="953"/>
      <c r="EHL101" s="953"/>
      <c r="EHM101" s="953"/>
      <c r="EHN101" s="953"/>
      <c r="EHO101" s="953"/>
      <c r="EHP101" s="953"/>
      <c r="EHQ101" s="953"/>
      <c r="EHR101" s="953"/>
      <c r="EHS101" s="953"/>
      <c r="EHT101" s="953"/>
      <c r="EHU101" s="953"/>
      <c r="EHV101" s="953"/>
      <c r="EHW101" s="953"/>
      <c r="EHX101" s="953"/>
      <c r="EHY101" s="953"/>
      <c r="EHZ101" s="953"/>
      <c r="EIA101" s="953"/>
      <c r="EIB101" s="953"/>
      <c r="EIC101" s="953"/>
      <c r="EID101" s="953"/>
      <c r="EIE101" s="953"/>
      <c r="EIF101" s="953"/>
      <c r="EIG101" s="953"/>
      <c r="EIH101" s="953"/>
      <c r="EII101" s="953"/>
      <c r="EIJ101" s="953"/>
      <c r="EIK101" s="953"/>
      <c r="EIL101" s="953"/>
      <c r="EIM101" s="953"/>
      <c r="EIN101" s="953"/>
      <c r="EIO101" s="953"/>
      <c r="EIP101" s="953"/>
      <c r="EIQ101" s="953"/>
      <c r="EIR101" s="953"/>
      <c r="EIS101" s="953"/>
      <c r="EIT101" s="953"/>
      <c r="EIU101" s="953"/>
      <c r="EIV101" s="953"/>
      <c r="EIW101" s="953"/>
      <c r="EIX101" s="953"/>
      <c r="EIY101" s="953"/>
      <c r="EIZ101" s="953"/>
      <c r="EJA101" s="953"/>
      <c r="EJB101" s="953"/>
      <c r="EJC101" s="953"/>
      <c r="EJD101" s="953"/>
      <c r="EJE101" s="953"/>
      <c r="EJF101" s="953"/>
      <c r="EJG101" s="953"/>
      <c r="EJH101" s="953"/>
      <c r="EJI101" s="953"/>
      <c r="EJJ101" s="953"/>
      <c r="EJK101" s="953"/>
      <c r="EJL101" s="953"/>
      <c r="EJM101" s="953"/>
      <c r="EJN101" s="953"/>
      <c r="EJO101" s="953"/>
      <c r="EJP101" s="953"/>
      <c r="EJQ101" s="953"/>
      <c r="EJR101" s="953"/>
      <c r="EJS101" s="953"/>
      <c r="EJT101" s="953"/>
      <c r="EJU101" s="953"/>
      <c r="EJV101" s="953"/>
      <c r="EJW101" s="953"/>
      <c r="EJX101" s="953"/>
      <c r="EJY101" s="953"/>
      <c r="EJZ101" s="953"/>
      <c r="EKA101" s="953"/>
      <c r="EKB101" s="953"/>
      <c r="EKC101" s="953"/>
      <c r="EKD101" s="953"/>
      <c r="EKE101" s="953"/>
      <c r="EKF101" s="953"/>
      <c r="EKG101" s="953"/>
      <c r="EKH101" s="953"/>
      <c r="EKI101" s="953"/>
      <c r="EKJ101" s="953"/>
      <c r="EKK101" s="953"/>
      <c r="EKL101" s="953"/>
      <c r="EKM101" s="953"/>
      <c r="EKN101" s="953"/>
      <c r="EKO101" s="953"/>
      <c r="EKP101" s="953"/>
      <c r="EKQ101" s="953"/>
      <c r="EKR101" s="953"/>
      <c r="EKS101" s="953"/>
      <c r="EKT101" s="953"/>
      <c r="EKU101" s="953"/>
      <c r="EKV101" s="953"/>
      <c r="EKW101" s="953"/>
      <c r="EKX101" s="953"/>
      <c r="EKY101" s="953"/>
      <c r="EKZ101" s="953"/>
      <c r="ELA101" s="953"/>
      <c r="ELB101" s="953"/>
      <c r="ELC101" s="953"/>
      <c r="ELD101" s="953"/>
      <c r="ELE101" s="953"/>
      <c r="ELF101" s="953"/>
      <c r="ELG101" s="953"/>
      <c r="ELH101" s="953"/>
      <c r="ELI101" s="953"/>
      <c r="ELJ101" s="953"/>
      <c r="ELK101" s="953"/>
      <c r="ELL101" s="953"/>
      <c r="ELM101" s="953"/>
      <c r="ELN101" s="953"/>
      <c r="ELO101" s="953"/>
      <c r="ELP101" s="953"/>
      <c r="ELQ101" s="953"/>
      <c r="ELR101" s="953"/>
      <c r="ELS101" s="953"/>
      <c r="ELT101" s="953"/>
      <c r="ELU101" s="953"/>
      <c r="ELV101" s="953"/>
      <c r="ELW101" s="953"/>
      <c r="ELX101" s="953"/>
      <c r="ELY101" s="953"/>
      <c r="ELZ101" s="953"/>
      <c r="EMA101" s="953"/>
      <c r="EMB101" s="953"/>
      <c r="EMC101" s="953"/>
      <c r="EMD101" s="953"/>
      <c r="EME101" s="953"/>
      <c r="EMF101" s="953"/>
      <c r="EMG101" s="953"/>
      <c r="EMH101" s="953"/>
      <c r="EMI101" s="953"/>
      <c r="EMJ101" s="953"/>
      <c r="EMK101" s="953"/>
      <c r="EML101" s="953"/>
      <c r="EMM101" s="953"/>
      <c r="EMN101" s="953"/>
      <c r="EMO101" s="953"/>
      <c r="EMP101" s="953"/>
      <c r="EMQ101" s="953"/>
      <c r="EMR101" s="953"/>
      <c r="EMS101" s="953"/>
      <c r="EMT101" s="953"/>
      <c r="EMU101" s="953"/>
      <c r="EMV101" s="953"/>
      <c r="EMW101" s="953"/>
      <c r="EMX101" s="953"/>
      <c r="EMY101" s="953"/>
      <c r="EMZ101" s="953"/>
      <c r="ENA101" s="953"/>
      <c r="ENB101" s="953"/>
      <c r="ENC101" s="953"/>
      <c r="END101" s="953"/>
      <c r="ENE101" s="953"/>
      <c r="ENF101" s="953"/>
      <c r="ENG101" s="953"/>
      <c r="ENH101" s="953"/>
      <c r="ENI101" s="953"/>
      <c r="ENJ101" s="953"/>
      <c r="ENK101" s="953"/>
      <c r="ENL101" s="953"/>
      <c r="ENM101" s="953"/>
      <c r="ENN101" s="953"/>
      <c r="ENO101" s="953"/>
      <c r="ENP101" s="953"/>
      <c r="ENQ101" s="953"/>
      <c r="ENR101" s="953"/>
      <c r="ENS101" s="953"/>
      <c r="ENT101" s="953"/>
      <c r="ENU101" s="953"/>
      <c r="ENV101" s="953"/>
      <c r="ENW101" s="953"/>
      <c r="ENX101" s="953"/>
      <c r="ENY101" s="953"/>
      <c r="ENZ101" s="953"/>
      <c r="EOA101" s="953"/>
      <c r="EOB101" s="953"/>
      <c r="EOC101" s="953"/>
      <c r="EOD101" s="953"/>
      <c r="EOE101" s="953"/>
      <c r="EOF101" s="953"/>
      <c r="EOG101" s="953"/>
      <c r="EOH101" s="953"/>
      <c r="EOI101" s="953"/>
      <c r="EOJ101" s="953"/>
      <c r="EOK101" s="953"/>
      <c r="EOL101" s="953"/>
      <c r="EOM101" s="953"/>
      <c r="EON101" s="953"/>
      <c r="EOO101" s="953"/>
      <c r="EOP101" s="953"/>
      <c r="EOQ101" s="953"/>
      <c r="EOR101" s="953"/>
      <c r="EOS101" s="953"/>
      <c r="EOT101" s="953"/>
      <c r="EOU101" s="953"/>
      <c r="EOV101" s="953"/>
      <c r="EOW101" s="953"/>
      <c r="EOX101" s="953"/>
      <c r="EOY101" s="953"/>
      <c r="EOZ101" s="953"/>
      <c r="EPA101" s="953"/>
      <c r="EPB101" s="953"/>
      <c r="EPC101" s="953"/>
      <c r="EPD101" s="953"/>
      <c r="EPE101" s="953"/>
      <c r="EPF101" s="953"/>
      <c r="EPG101" s="953"/>
      <c r="EPH101" s="953"/>
      <c r="EPI101" s="953"/>
      <c r="EPJ101" s="953"/>
      <c r="EPK101" s="953"/>
      <c r="EPL101" s="953"/>
      <c r="EPM101" s="953"/>
      <c r="EPN101" s="953"/>
      <c r="EPO101" s="953"/>
      <c r="EPP101" s="953"/>
      <c r="EPQ101" s="953"/>
      <c r="EPR101" s="953"/>
      <c r="EPS101" s="953"/>
      <c r="EPT101" s="953"/>
      <c r="EPU101" s="953"/>
      <c r="EPV101" s="953"/>
      <c r="EPW101" s="953"/>
      <c r="EPX101" s="953"/>
      <c r="EPY101" s="953"/>
      <c r="EPZ101" s="953"/>
      <c r="EQA101" s="953"/>
      <c r="EQB101" s="953"/>
      <c r="EQC101" s="953"/>
      <c r="EQD101" s="953"/>
      <c r="EQE101" s="953"/>
      <c r="EQF101" s="953"/>
      <c r="EQG101" s="953"/>
      <c r="EQH101" s="953"/>
      <c r="EQI101" s="953"/>
      <c r="EQJ101" s="953"/>
      <c r="EQK101" s="953"/>
      <c r="EQL101" s="953"/>
      <c r="EQM101" s="953"/>
      <c r="EQN101" s="953"/>
      <c r="EQO101" s="953"/>
      <c r="EQP101" s="953"/>
      <c r="EQQ101" s="953"/>
      <c r="EQR101" s="953"/>
      <c r="EQS101" s="953"/>
      <c r="EQT101" s="953"/>
      <c r="EQU101" s="953"/>
      <c r="EQV101" s="953"/>
      <c r="EQW101" s="953"/>
      <c r="EQX101" s="953"/>
      <c r="EQY101" s="953"/>
      <c r="EQZ101" s="953"/>
      <c r="ERA101" s="953"/>
      <c r="ERB101" s="953"/>
      <c r="ERC101" s="953"/>
      <c r="ERD101" s="953"/>
      <c r="ERE101" s="953"/>
      <c r="ERF101" s="953"/>
      <c r="ERG101" s="953"/>
      <c r="ERH101" s="953"/>
      <c r="ERI101" s="953"/>
      <c r="ERJ101" s="953"/>
      <c r="ERK101" s="953"/>
      <c r="ERL101" s="953"/>
      <c r="ERM101" s="953"/>
      <c r="ERN101" s="953"/>
      <c r="ERO101" s="953"/>
      <c r="ERP101" s="953"/>
      <c r="ERQ101" s="953"/>
      <c r="ERR101" s="953"/>
      <c r="ERS101" s="953"/>
      <c r="ERT101" s="953"/>
      <c r="ERU101" s="953"/>
      <c r="ERV101" s="953"/>
      <c r="ERW101" s="953"/>
      <c r="ERX101" s="953"/>
      <c r="ERY101" s="953"/>
      <c r="ERZ101" s="953"/>
      <c r="ESA101" s="953"/>
      <c r="ESB101" s="953"/>
      <c r="ESC101" s="953"/>
      <c r="ESD101" s="953"/>
      <c r="ESE101" s="953"/>
      <c r="ESF101" s="953"/>
      <c r="ESG101" s="953"/>
      <c r="ESH101" s="953"/>
      <c r="ESI101" s="953"/>
      <c r="ESJ101" s="953"/>
      <c r="ESK101" s="953"/>
      <c r="ESL101" s="953"/>
      <c r="ESM101" s="953"/>
      <c r="ESN101" s="953"/>
      <c r="ESO101" s="953"/>
      <c r="ESP101" s="953"/>
      <c r="ESQ101" s="953"/>
      <c r="ESR101" s="953"/>
      <c r="ESS101" s="953"/>
      <c r="EST101" s="953"/>
      <c r="ESU101" s="953"/>
      <c r="ESV101" s="953"/>
      <c r="ESW101" s="953"/>
      <c r="ESX101" s="953"/>
      <c r="ESY101" s="953"/>
      <c r="ESZ101" s="953"/>
      <c r="ETA101" s="953"/>
      <c r="ETB101" s="953"/>
      <c r="ETC101" s="953"/>
      <c r="ETD101" s="953"/>
      <c r="ETE101" s="953"/>
      <c r="ETF101" s="953"/>
      <c r="ETG101" s="953"/>
      <c r="ETH101" s="953"/>
      <c r="ETI101" s="953"/>
      <c r="ETJ101" s="953"/>
      <c r="ETK101" s="953"/>
      <c r="ETL101" s="953"/>
      <c r="ETM101" s="953"/>
      <c r="ETN101" s="953"/>
      <c r="ETO101" s="953"/>
      <c r="ETP101" s="953"/>
      <c r="ETQ101" s="953"/>
      <c r="ETR101" s="953"/>
      <c r="ETS101" s="953"/>
      <c r="ETT101" s="953"/>
      <c r="ETU101" s="953"/>
      <c r="ETV101" s="953"/>
      <c r="ETW101" s="953"/>
      <c r="ETX101" s="953"/>
      <c r="ETY101" s="953"/>
      <c r="ETZ101" s="953"/>
      <c r="EUA101" s="953"/>
      <c r="EUB101" s="953"/>
      <c r="EUC101" s="953"/>
      <c r="EUD101" s="953"/>
      <c r="EUE101" s="953"/>
      <c r="EUF101" s="953"/>
      <c r="EUG101" s="953"/>
      <c r="EUH101" s="953"/>
      <c r="EUI101" s="953"/>
      <c r="EUJ101" s="953"/>
      <c r="EUK101" s="953"/>
      <c r="EUL101" s="953"/>
      <c r="EUM101" s="953"/>
      <c r="EUN101" s="953"/>
      <c r="EUO101" s="953"/>
      <c r="EUP101" s="953"/>
      <c r="EUQ101" s="953"/>
      <c r="EUR101" s="953"/>
      <c r="EUS101" s="953"/>
      <c r="EUT101" s="953"/>
      <c r="EUU101" s="953"/>
      <c r="EUV101" s="953"/>
      <c r="EUW101" s="953"/>
      <c r="EUX101" s="953"/>
      <c r="EUY101" s="953"/>
      <c r="EUZ101" s="953"/>
      <c r="EVA101" s="953"/>
      <c r="EVB101" s="953"/>
      <c r="EVC101" s="953"/>
      <c r="EVD101" s="953"/>
      <c r="EVE101" s="953"/>
      <c r="EVF101" s="953"/>
      <c r="EVG101" s="953"/>
      <c r="EVH101" s="953"/>
      <c r="EVI101" s="953"/>
      <c r="EVJ101" s="953"/>
      <c r="EVK101" s="953"/>
      <c r="EVL101" s="953"/>
      <c r="EVM101" s="953"/>
      <c r="EVN101" s="953"/>
      <c r="EVO101" s="953"/>
      <c r="EVP101" s="953"/>
      <c r="EVQ101" s="953"/>
      <c r="EVR101" s="953"/>
      <c r="EVS101" s="953"/>
      <c r="EVT101" s="953"/>
      <c r="EVU101" s="953"/>
      <c r="EVV101" s="953"/>
      <c r="EVW101" s="953"/>
      <c r="EVX101" s="953"/>
      <c r="EVY101" s="953"/>
      <c r="EVZ101" s="953"/>
      <c r="EWA101" s="953"/>
      <c r="EWB101" s="953"/>
      <c r="EWC101" s="953"/>
      <c r="EWD101" s="953"/>
      <c r="EWE101" s="953"/>
      <c r="EWF101" s="953"/>
      <c r="EWG101" s="953"/>
      <c r="EWH101" s="953"/>
      <c r="EWI101" s="953"/>
      <c r="EWJ101" s="953"/>
      <c r="EWK101" s="953"/>
      <c r="EWL101" s="953"/>
      <c r="EWM101" s="953"/>
      <c r="EWN101" s="953"/>
      <c r="EWO101" s="953"/>
      <c r="EWP101" s="953"/>
      <c r="EWQ101" s="953"/>
      <c r="EWR101" s="953"/>
      <c r="EWS101" s="953"/>
      <c r="EWT101" s="953"/>
      <c r="EWU101" s="953"/>
      <c r="EWV101" s="953"/>
      <c r="EWW101" s="953"/>
      <c r="EWX101" s="953"/>
      <c r="EWY101" s="953"/>
      <c r="EWZ101" s="953"/>
      <c r="EXA101" s="953"/>
      <c r="EXB101" s="953"/>
      <c r="EXC101" s="953"/>
      <c r="EXD101" s="953"/>
      <c r="EXE101" s="953"/>
      <c r="EXF101" s="953"/>
      <c r="EXG101" s="953"/>
      <c r="EXH101" s="953"/>
      <c r="EXI101" s="953"/>
      <c r="EXJ101" s="953"/>
      <c r="EXK101" s="953"/>
      <c r="EXL101" s="953"/>
      <c r="EXM101" s="953"/>
      <c r="EXN101" s="953"/>
      <c r="EXO101" s="953"/>
      <c r="EXP101" s="953"/>
      <c r="EXQ101" s="953"/>
      <c r="EXR101" s="953"/>
      <c r="EXS101" s="953"/>
      <c r="EXT101" s="953"/>
      <c r="EXU101" s="953"/>
      <c r="EXV101" s="953"/>
      <c r="EXW101" s="953"/>
      <c r="EXX101" s="953"/>
      <c r="EXY101" s="953"/>
      <c r="EXZ101" s="953"/>
      <c r="EYA101" s="953"/>
      <c r="EYB101" s="953"/>
      <c r="EYC101" s="953"/>
      <c r="EYD101" s="953"/>
      <c r="EYE101" s="953"/>
      <c r="EYF101" s="953"/>
      <c r="EYG101" s="953"/>
      <c r="EYH101" s="953"/>
      <c r="EYI101" s="953"/>
      <c r="EYJ101" s="953"/>
      <c r="EYK101" s="953"/>
      <c r="EYL101" s="953"/>
      <c r="EYM101" s="953"/>
      <c r="EYN101" s="953"/>
      <c r="EYO101" s="953"/>
      <c r="EYP101" s="953"/>
      <c r="EYQ101" s="953"/>
      <c r="EYR101" s="953"/>
      <c r="EYS101" s="953"/>
      <c r="EYT101" s="953"/>
      <c r="EYU101" s="953"/>
      <c r="EYV101" s="953"/>
      <c r="EYW101" s="953"/>
      <c r="EYX101" s="953"/>
      <c r="EYY101" s="953"/>
      <c r="EYZ101" s="953"/>
      <c r="EZA101" s="953"/>
      <c r="EZB101" s="953"/>
      <c r="EZC101" s="953"/>
      <c r="EZD101" s="953"/>
      <c r="EZE101" s="953"/>
      <c r="EZF101" s="953"/>
      <c r="EZG101" s="953"/>
      <c r="EZH101" s="953"/>
      <c r="EZI101" s="953"/>
      <c r="EZJ101" s="953"/>
      <c r="EZK101" s="953"/>
      <c r="EZL101" s="953"/>
      <c r="EZM101" s="953"/>
      <c r="EZN101" s="953"/>
      <c r="EZO101" s="953"/>
      <c r="EZP101" s="953"/>
      <c r="EZQ101" s="953"/>
      <c r="EZR101" s="953"/>
      <c r="EZS101" s="953"/>
      <c r="EZT101" s="953"/>
      <c r="EZU101" s="953"/>
      <c r="EZV101" s="953"/>
      <c r="EZW101" s="953"/>
      <c r="EZX101" s="953"/>
      <c r="EZY101" s="953"/>
      <c r="EZZ101" s="953"/>
      <c r="FAA101" s="953"/>
      <c r="FAB101" s="953"/>
      <c r="FAC101" s="953"/>
      <c r="FAD101" s="953"/>
      <c r="FAE101" s="953"/>
      <c r="FAF101" s="953"/>
      <c r="FAG101" s="953"/>
      <c r="FAH101" s="953"/>
      <c r="FAI101" s="953"/>
      <c r="FAJ101" s="953"/>
      <c r="FAK101" s="953"/>
      <c r="FAL101" s="953"/>
      <c r="FAM101" s="953"/>
      <c r="FAN101" s="953"/>
      <c r="FAO101" s="953"/>
      <c r="FAP101" s="953"/>
      <c r="FAQ101" s="953"/>
      <c r="FAR101" s="953"/>
      <c r="FAS101" s="953"/>
      <c r="FAT101" s="953"/>
      <c r="FAU101" s="953"/>
      <c r="FAV101" s="953"/>
      <c r="FAW101" s="953"/>
      <c r="FAX101" s="953"/>
      <c r="FAY101" s="953"/>
      <c r="FAZ101" s="953"/>
      <c r="FBA101" s="953"/>
      <c r="FBB101" s="953"/>
      <c r="FBC101" s="953"/>
      <c r="FBD101" s="953"/>
      <c r="FBE101" s="953"/>
      <c r="FBF101" s="953"/>
      <c r="FBG101" s="953"/>
      <c r="FBH101" s="953"/>
      <c r="FBI101" s="953"/>
      <c r="FBJ101" s="953"/>
      <c r="FBK101" s="953"/>
      <c r="FBL101" s="953"/>
      <c r="FBM101" s="953"/>
      <c r="FBN101" s="953"/>
      <c r="FBO101" s="953"/>
      <c r="FBP101" s="953"/>
      <c r="FBQ101" s="953"/>
      <c r="FBR101" s="953"/>
      <c r="FBS101" s="953"/>
      <c r="FBT101" s="953"/>
      <c r="FBU101" s="953"/>
      <c r="FBV101" s="953"/>
      <c r="FBW101" s="953"/>
      <c r="FBX101" s="953"/>
      <c r="FBY101" s="953"/>
      <c r="FBZ101" s="953"/>
      <c r="FCA101" s="953"/>
      <c r="FCB101" s="953"/>
      <c r="FCC101" s="953"/>
      <c r="FCD101" s="953"/>
      <c r="FCE101" s="953"/>
      <c r="FCF101" s="953"/>
      <c r="FCG101" s="953"/>
      <c r="FCH101" s="953"/>
      <c r="FCI101" s="953"/>
      <c r="FCJ101" s="953"/>
      <c r="FCK101" s="953"/>
      <c r="FCL101" s="953"/>
      <c r="FCM101" s="953"/>
      <c r="FCN101" s="953"/>
      <c r="FCO101" s="953"/>
      <c r="FCP101" s="953"/>
      <c r="FCQ101" s="953"/>
      <c r="FCR101" s="953"/>
      <c r="FCS101" s="953"/>
      <c r="FCT101" s="953"/>
      <c r="FCU101" s="953"/>
      <c r="FCV101" s="953"/>
      <c r="FCW101" s="953"/>
      <c r="FCX101" s="953"/>
      <c r="FCY101" s="953"/>
      <c r="FCZ101" s="953"/>
      <c r="FDA101" s="953"/>
      <c r="FDB101" s="953"/>
      <c r="FDC101" s="953"/>
      <c r="FDD101" s="953"/>
      <c r="FDE101" s="953"/>
      <c r="FDF101" s="953"/>
      <c r="FDG101" s="953"/>
      <c r="FDH101" s="953"/>
      <c r="FDI101" s="953"/>
      <c r="FDJ101" s="953"/>
      <c r="FDK101" s="953"/>
      <c r="FDL101" s="953"/>
      <c r="FDM101" s="953"/>
      <c r="FDN101" s="953"/>
      <c r="FDO101" s="953"/>
      <c r="FDP101" s="953"/>
      <c r="FDQ101" s="953"/>
      <c r="FDR101" s="953"/>
      <c r="FDS101" s="953"/>
      <c r="FDT101" s="953"/>
      <c r="FDU101" s="953"/>
      <c r="FDV101" s="953"/>
      <c r="FDW101" s="953"/>
      <c r="FDX101" s="953"/>
      <c r="FDY101" s="953"/>
      <c r="FDZ101" s="953"/>
      <c r="FEA101" s="953"/>
      <c r="FEB101" s="953"/>
      <c r="FEC101" s="953"/>
      <c r="FED101" s="953"/>
      <c r="FEE101" s="953"/>
      <c r="FEF101" s="953"/>
      <c r="FEG101" s="953"/>
      <c r="FEH101" s="953"/>
      <c r="FEI101" s="953"/>
      <c r="FEJ101" s="953"/>
      <c r="FEK101" s="953"/>
      <c r="FEL101" s="953"/>
      <c r="FEM101" s="953"/>
      <c r="FEN101" s="953"/>
      <c r="FEO101" s="953"/>
      <c r="FEP101" s="953"/>
      <c r="FEQ101" s="953"/>
      <c r="FER101" s="953"/>
      <c r="FES101" s="953"/>
      <c r="FET101" s="953"/>
      <c r="FEU101" s="953"/>
      <c r="FEV101" s="953"/>
      <c r="FEW101" s="953"/>
      <c r="FEX101" s="953"/>
      <c r="FEY101" s="953"/>
      <c r="FEZ101" s="953"/>
      <c r="FFA101" s="953"/>
      <c r="FFB101" s="953"/>
      <c r="FFC101" s="953"/>
      <c r="FFD101" s="953"/>
      <c r="FFE101" s="953"/>
      <c r="FFF101" s="953"/>
      <c r="FFG101" s="953"/>
      <c r="FFH101" s="953"/>
      <c r="FFI101" s="953"/>
      <c r="FFJ101" s="953"/>
      <c r="FFK101" s="953"/>
      <c r="FFL101" s="953"/>
      <c r="FFM101" s="953"/>
      <c r="FFN101" s="953"/>
      <c r="FFO101" s="953"/>
      <c r="FFP101" s="953"/>
      <c r="FFQ101" s="953"/>
      <c r="FFR101" s="953"/>
      <c r="FFS101" s="953"/>
      <c r="FFT101" s="953"/>
      <c r="FFU101" s="953"/>
      <c r="FFV101" s="953"/>
      <c r="FFW101" s="953"/>
      <c r="FFX101" s="953"/>
      <c r="FFY101" s="953"/>
      <c r="FFZ101" s="953"/>
      <c r="FGA101" s="953"/>
      <c r="FGB101" s="953"/>
      <c r="FGC101" s="953"/>
      <c r="FGD101" s="953"/>
      <c r="FGE101" s="953"/>
      <c r="FGF101" s="953"/>
      <c r="FGG101" s="953"/>
      <c r="FGH101" s="953"/>
      <c r="FGI101" s="953"/>
      <c r="FGJ101" s="953"/>
      <c r="FGK101" s="953"/>
      <c r="FGL101" s="953"/>
      <c r="FGM101" s="953"/>
      <c r="FGN101" s="953"/>
      <c r="FGO101" s="953"/>
      <c r="FGP101" s="953"/>
      <c r="FGQ101" s="953"/>
      <c r="FGR101" s="953"/>
      <c r="FGS101" s="953"/>
      <c r="FGT101" s="953"/>
      <c r="FGU101" s="953"/>
      <c r="FGV101" s="953"/>
      <c r="FGW101" s="953"/>
      <c r="FGX101" s="953"/>
      <c r="FGY101" s="953"/>
      <c r="FGZ101" s="953"/>
      <c r="FHA101" s="953"/>
      <c r="FHB101" s="953"/>
      <c r="FHC101" s="953"/>
      <c r="FHD101" s="953"/>
      <c r="FHE101" s="953"/>
      <c r="FHF101" s="953"/>
      <c r="FHG101" s="953"/>
      <c r="FHH101" s="953"/>
      <c r="FHI101" s="953"/>
      <c r="FHJ101" s="953"/>
      <c r="FHK101" s="953"/>
      <c r="FHL101" s="953"/>
      <c r="FHM101" s="953"/>
      <c r="FHN101" s="953"/>
      <c r="FHO101" s="953"/>
      <c r="FHP101" s="953"/>
      <c r="FHQ101" s="953"/>
      <c r="FHR101" s="953"/>
      <c r="FHS101" s="953"/>
      <c r="FHT101" s="953"/>
      <c r="FHU101" s="953"/>
      <c r="FHV101" s="953"/>
      <c r="FHW101" s="953"/>
      <c r="FHX101" s="953"/>
      <c r="FHY101" s="953"/>
      <c r="FHZ101" s="953"/>
      <c r="FIA101" s="953"/>
      <c r="FIB101" s="953"/>
      <c r="FIC101" s="953"/>
      <c r="FID101" s="953"/>
      <c r="FIE101" s="953"/>
      <c r="FIF101" s="953"/>
      <c r="FIG101" s="953"/>
      <c r="FIH101" s="953"/>
      <c r="FII101" s="953"/>
      <c r="FIJ101" s="953"/>
      <c r="FIK101" s="953"/>
      <c r="FIL101" s="953"/>
      <c r="FIM101" s="953"/>
      <c r="FIN101" s="953"/>
      <c r="FIO101" s="953"/>
      <c r="FIP101" s="953"/>
      <c r="FIQ101" s="953"/>
      <c r="FIR101" s="953"/>
      <c r="FIS101" s="953"/>
      <c r="FIT101" s="953"/>
      <c r="FIU101" s="953"/>
      <c r="FIV101" s="953"/>
      <c r="FIW101" s="953"/>
      <c r="FIX101" s="953"/>
      <c r="FIY101" s="953"/>
      <c r="FIZ101" s="953"/>
      <c r="FJA101" s="953"/>
      <c r="FJB101" s="953"/>
      <c r="FJC101" s="953"/>
      <c r="FJD101" s="953"/>
      <c r="FJE101" s="953"/>
      <c r="FJF101" s="953"/>
      <c r="FJG101" s="953"/>
      <c r="FJH101" s="953"/>
      <c r="FJI101" s="953"/>
      <c r="FJJ101" s="953"/>
      <c r="FJK101" s="953"/>
      <c r="FJL101" s="953"/>
      <c r="FJM101" s="953"/>
      <c r="FJN101" s="953"/>
      <c r="FJO101" s="953"/>
      <c r="FJP101" s="953"/>
      <c r="FJQ101" s="953"/>
      <c r="FJR101" s="953"/>
      <c r="FJS101" s="953"/>
      <c r="FJT101" s="953"/>
      <c r="FJU101" s="953"/>
      <c r="FJV101" s="953"/>
      <c r="FJW101" s="953"/>
      <c r="FJX101" s="953"/>
      <c r="FJY101" s="953"/>
      <c r="FJZ101" s="953"/>
      <c r="FKA101" s="953"/>
      <c r="FKB101" s="953"/>
      <c r="FKC101" s="953"/>
      <c r="FKD101" s="953"/>
      <c r="FKE101" s="953"/>
      <c r="FKF101" s="953"/>
      <c r="FKG101" s="953"/>
      <c r="FKH101" s="953"/>
      <c r="FKI101" s="953"/>
      <c r="FKJ101" s="953"/>
      <c r="FKK101" s="953"/>
      <c r="FKL101" s="953"/>
      <c r="FKM101" s="953"/>
      <c r="FKN101" s="953"/>
      <c r="FKO101" s="953"/>
      <c r="FKP101" s="953"/>
      <c r="FKQ101" s="953"/>
      <c r="FKR101" s="953"/>
      <c r="FKS101" s="953"/>
      <c r="FKT101" s="953"/>
      <c r="FKU101" s="953"/>
      <c r="FKV101" s="953"/>
      <c r="FKW101" s="953"/>
      <c r="FKX101" s="953"/>
      <c r="FKY101" s="953"/>
      <c r="FKZ101" s="953"/>
      <c r="FLA101" s="953"/>
      <c r="FLB101" s="953"/>
      <c r="FLC101" s="953"/>
      <c r="FLD101" s="953"/>
      <c r="FLE101" s="953"/>
      <c r="FLF101" s="953"/>
      <c r="FLG101" s="953"/>
      <c r="FLH101" s="953"/>
      <c r="FLI101" s="953"/>
      <c r="FLJ101" s="953"/>
      <c r="FLK101" s="953"/>
      <c r="FLL101" s="953"/>
      <c r="FLM101" s="953"/>
      <c r="FLN101" s="953"/>
      <c r="FLO101" s="953"/>
      <c r="FLP101" s="953"/>
      <c r="FLQ101" s="953"/>
      <c r="FLR101" s="953"/>
      <c r="FLS101" s="953"/>
      <c r="FLT101" s="953"/>
      <c r="FLU101" s="953"/>
      <c r="FLV101" s="953"/>
      <c r="FLW101" s="953"/>
      <c r="FLX101" s="953"/>
      <c r="FLY101" s="953"/>
      <c r="FLZ101" s="953"/>
      <c r="FMA101" s="953"/>
      <c r="FMB101" s="953"/>
      <c r="FMC101" s="953"/>
      <c r="FMD101" s="953"/>
      <c r="FME101" s="953"/>
      <c r="FMF101" s="953"/>
      <c r="FMG101" s="953"/>
      <c r="FMH101" s="953"/>
      <c r="FMI101" s="953"/>
      <c r="FMJ101" s="953"/>
      <c r="FMK101" s="953"/>
      <c r="FML101" s="953"/>
      <c r="FMM101" s="953"/>
      <c r="FMN101" s="953"/>
      <c r="FMO101" s="953"/>
      <c r="FMP101" s="953"/>
      <c r="FMQ101" s="953"/>
      <c r="FMR101" s="953"/>
      <c r="FMS101" s="953"/>
      <c r="FMT101" s="953"/>
      <c r="FMU101" s="953"/>
      <c r="FMV101" s="953"/>
      <c r="FMW101" s="953"/>
      <c r="FMX101" s="953"/>
      <c r="FMY101" s="953"/>
      <c r="FMZ101" s="953"/>
      <c r="FNA101" s="953"/>
      <c r="FNB101" s="953"/>
      <c r="FNC101" s="953"/>
      <c r="FND101" s="953"/>
      <c r="FNE101" s="953"/>
      <c r="FNF101" s="953"/>
      <c r="FNG101" s="953"/>
      <c r="FNH101" s="953"/>
      <c r="FNI101" s="953"/>
      <c r="FNJ101" s="953"/>
      <c r="FNK101" s="953"/>
      <c r="FNL101" s="953"/>
      <c r="FNM101" s="953"/>
      <c r="FNN101" s="953"/>
      <c r="FNO101" s="953"/>
      <c r="FNP101" s="953"/>
      <c r="FNQ101" s="953"/>
      <c r="FNR101" s="953"/>
      <c r="FNS101" s="953"/>
      <c r="FNT101" s="953"/>
      <c r="FNU101" s="953"/>
      <c r="FNV101" s="953"/>
      <c r="FNW101" s="953"/>
      <c r="FNX101" s="953"/>
      <c r="FNY101" s="953"/>
      <c r="FNZ101" s="953"/>
      <c r="FOA101" s="953"/>
      <c r="FOB101" s="953"/>
      <c r="FOC101" s="953"/>
      <c r="FOD101" s="953"/>
      <c r="FOE101" s="953"/>
      <c r="FOF101" s="953"/>
      <c r="FOG101" s="953"/>
      <c r="FOH101" s="953"/>
      <c r="FOI101" s="953"/>
      <c r="FOJ101" s="953"/>
      <c r="FOK101" s="953"/>
      <c r="FOL101" s="953"/>
      <c r="FOM101" s="953"/>
      <c r="FON101" s="953"/>
      <c r="FOO101" s="953"/>
      <c r="FOP101" s="953"/>
      <c r="FOQ101" s="953"/>
      <c r="FOR101" s="953"/>
      <c r="FOS101" s="953"/>
      <c r="FOT101" s="953"/>
      <c r="FOU101" s="953"/>
      <c r="FOV101" s="953"/>
      <c r="FOW101" s="953"/>
      <c r="FOX101" s="953"/>
      <c r="FOY101" s="953"/>
      <c r="FOZ101" s="953"/>
      <c r="FPA101" s="953"/>
      <c r="FPB101" s="953"/>
      <c r="FPC101" s="953"/>
      <c r="FPD101" s="953"/>
      <c r="FPE101" s="953"/>
      <c r="FPF101" s="953"/>
      <c r="FPG101" s="953"/>
      <c r="FPH101" s="953"/>
      <c r="FPI101" s="953"/>
      <c r="FPJ101" s="953"/>
      <c r="FPK101" s="953"/>
      <c r="FPL101" s="953"/>
      <c r="FPM101" s="953"/>
      <c r="FPN101" s="953"/>
      <c r="FPO101" s="953"/>
      <c r="FPP101" s="953"/>
      <c r="FPQ101" s="953"/>
      <c r="FPR101" s="953"/>
      <c r="FPS101" s="953"/>
      <c r="FPT101" s="953"/>
      <c r="FPU101" s="953"/>
      <c r="FPV101" s="953"/>
      <c r="FPW101" s="953"/>
      <c r="FPX101" s="953"/>
      <c r="FPY101" s="953"/>
      <c r="FPZ101" s="953"/>
      <c r="FQA101" s="953"/>
      <c r="FQB101" s="953"/>
      <c r="FQC101" s="953"/>
      <c r="FQD101" s="953"/>
      <c r="FQE101" s="953"/>
      <c r="FQF101" s="953"/>
      <c r="FQG101" s="953"/>
      <c r="FQH101" s="953"/>
      <c r="FQI101" s="953"/>
      <c r="FQJ101" s="953"/>
      <c r="FQK101" s="953"/>
      <c r="FQL101" s="953"/>
      <c r="FQM101" s="953"/>
      <c r="FQN101" s="953"/>
      <c r="FQO101" s="953"/>
      <c r="FQP101" s="953"/>
      <c r="FQQ101" s="953"/>
      <c r="FQR101" s="953"/>
      <c r="FQS101" s="953"/>
      <c r="FQT101" s="953"/>
      <c r="FQU101" s="953"/>
      <c r="FQV101" s="953"/>
      <c r="FQW101" s="953"/>
      <c r="FQX101" s="953"/>
      <c r="FQY101" s="953"/>
      <c r="FQZ101" s="953"/>
      <c r="FRA101" s="953"/>
      <c r="FRB101" s="953"/>
      <c r="FRC101" s="953"/>
      <c r="FRD101" s="953"/>
      <c r="FRE101" s="953"/>
      <c r="FRF101" s="953"/>
      <c r="FRG101" s="953"/>
      <c r="FRH101" s="953"/>
      <c r="FRI101" s="953"/>
      <c r="FRJ101" s="953"/>
      <c r="FRK101" s="953"/>
      <c r="FRL101" s="953"/>
      <c r="FRM101" s="953"/>
      <c r="FRN101" s="953"/>
      <c r="FRO101" s="953"/>
      <c r="FRP101" s="953"/>
      <c r="FRQ101" s="953"/>
      <c r="FRR101" s="953"/>
      <c r="FRS101" s="953"/>
      <c r="FRT101" s="953"/>
      <c r="FRU101" s="953"/>
      <c r="FRV101" s="953"/>
      <c r="FRW101" s="953"/>
      <c r="FRX101" s="953"/>
      <c r="FRY101" s="953"/>
      <c r="FRZ101" s="953"/>
      <c r="FSA101" s="953"/>
      <c r="FSB101" s="953"/>
      <c r="FSC101" s="953"/>
      <c r="FSD101" s="953"/>
      <c r="FSE101" s="953"/>
      <c r="FSF101" s="953"/>
      <c r="FSG101" s="953"/>
      <c r="FSH101" s="953"/>
      <c r="FSI101" s="953"/>
      <c r="FSJ101" s="953"/>
      <c r="FSK101" s="953"/>
      <c r="FSL101" s="953"/>
      <c r="FSM101" s="953"/>
      <c r="FSN101" s="953"/>
      <c r="FSO101" s="953"/>
      <c r="FSP101" s="953"/>
      <c r="FSQ101" s="953"/>
      <c r="FSR101" s="953"/>
      <c r="FSS101" s="953"/>
      <c r="FST101" s="953"/>
      <c r="FSU101" s="953"/>
      <c r="FSV101" s="953"/>
      <c r="FSW101" s="953"/>
      <c r="FSX101" s="953"/>
      <c r="FSY101" s="953"/>
      <c r="FSZ101" s="953"/>
      <c r="FTA101" s="953"/>
      <c r="FTB101" s="953"/>
      <c r="FTC101" s="953"/>
      <c r="FTD101" s="953"/>
      <c r="FTE101" s="953"/>
      <c r="FTF101" s="953"/>
      <c r="FTG101" s="953"/>
      <c r="FTH101" s="953"/>
      <c r="FTI101" s="953"/>
      <c r="FTJ101" s="953"/>
      <c r="FTK101" s="953"/>
      <c r="FTL101" s="953"/>
      <c r="FTM101" s="953"/>
      <c r="FTN101" s="953"/>
      <c r="FTO101" s="953"/>
      <c r="FTP101" s="953"/>
      <c r="FTQ101" s="953"/>
      <c r="FTR101" s="953"/>
      <c r="FTS101" s="953"/>
      <c r="FTT101" s="953"/>
      <c r="FTU101" s="953"/>
      <c r="FTV101" s="953"/>
      <c r="FTW101" s="953"/>
      <c r="FTX101" s="953"/>
      <c r="FTY101" s="953"/>
      <c r="FTZ101" s="953"/>
      <c r="FUA101" s="953"/>
      <c r="FUB101" s="953"/>
      <c r="FUC101" s="953"/>
      <c r="FUD101" s="953"/>
      <c r="FUE101" s="953"/>
      <c r="FUF101" s="953"/>
      <c r="FUG101" s="953"/>
      <c r="FUH101" s="953"/>
      <c r="FUI101" s="953"/>
      <c r="FUJ101" s="953"/>
      <c r="FUK101" s="953"/>
      <c r="FUL101" s="953"/>
      <c r="FUM101" s="953"/>
      <c r="FUN101" s="953"/>
      <c r="FUO101" s="953"/>
      <c r="FUP101" s="953"/>
      <c r="FUQ101" s="953"/>
      <c r="FUR101" s="953"/>
      <c r="FUS101" s="953"/>
      <c r="FUT101" s="953"/>
      <c r="FUU101" s="953"/>
      <c r="FUV101" s="953"/>
      <c r="FUW101" s="953"/>
      <c r="FUX101" s="953"/>
      <c r="FUY101" s="953"/>
      <c r="FUZ101" s="953"/>
      <c r="FVA101" s="953"/>
      <c r="FVB101" s="953"/>
      <c r="FVC101" s="953"/>
      <c r="FVD101" s="953"/>
      <c r="FVE101" s="953"/>
      <c r="FVF101" s="953"/>
      <c r="FVG101" s="953"/>
      <c r="FVH101" s="953"/>
      <c r="FVI101" s="953"/>
      <c r="FVJ101" s="953"/>
      <c r="FVK101" s="953"/>
      <c r="FVL101" s="953"/>
      <c r="FVM101" s="953"/>
      <c r="FVN101" s="953"/>
      <c r="FVO101" s="953"/>
      <c r="FVP101" s="953"/>
      <c r="FVQ101" s="953"/>
      <c r="FVR101" s="953"/>
      <c r="FVS101" s="953"/>
      <c r="FVT101" s="953"/>
      <c r="FVU101" s="953"/>
      <c r="FVV101" s="953"/>
      <c r="FVW101" s="953"/>
      <c r="FVX101" s="953"/>
      <c r="FVY101" s="953"/>
      <c r="FVZ101" s="953"/>
      <c r="FWA101" s="953"/>
      <c r="FWB101" s="953"/>
      <c r="FWC101" s="953"/>
      <c r="FWD101" s="953"/>
      <c r="FWE101" s="953"/>
      <c r="FWF101" s="953"/>
      <c r="FWG101" s="953"/>
      <c r="FWH101" s="953"/>
      <c r="FWI101" s="953"/>
      <c r="FWJ101" s="953"/>
      <c r="FWK101" s="953"/>
      <c r="FWL101" s="953"/>
      <c r="FWM101" s="953"/>
      <c r="FWN101" s="953"/>
      <c r="FWO101" s="953"/>
      <c r="FWP101" s="953"/>
      <c r="FWQ101" s="953"/>
      <c r="FWR101" s="953"/>
      <c r="FWS101" s="953"/>
      <c r="FWT101" s="953"/>
      <c r="FWU101" s="953"/>
      <c r="FWV101" s="953"/>
      <c r="FWW101" s="953"/>
      <c r="FWX101" s="953"/>
      <c r="FWY101" s="953"/>
      <c r="FWZ101" s="953"/>
      <c r="FXA101" s="953"/>
      <c r="FXB101" s="953"/>
      <c r="FXC101" s="953"/>
      <c r="FXD101" s="953"/>
      <c r="FXE101" s="953"/>
      <c r="FXF101" s="953"/>
      <c r="FXG101" s="953"/>
      <c r="FXH101" s="953"/>
      <c r="FXI101" s="953"/>
      <c r="FXJ101" s="953"/>
      <c r="FXK101" s="953"/>
      <c r="FXL101" s="953"/>
      <c r="FXM101" s="953"/>
      <c r="FXN101" s="953"/>
      <c r="FXO101" s="953"/>
      <c r="FXP101" s="953"/>
      <c r="FXQ101" s="953"/>
      <c r="FXR101" s="953"/>
      <c r="FXS101" s="953"/>
      <c r="FXT101" s="953"/>
      <c r="FXU101" s="953"/>
      <c r="FXV101" s="953"/>
      <c r="FXW101" s="953"/>
      <c r="FXX101" s="953"/>
      <c r="FXY101" s="953"/>
      <c r="FXZ101" s="953"/>
      <c r="FYA101" s="953"/>
      <c r="FYB101" s="953"/>
      <c r="FYC101" s="953"/>
      <c r="FYD101" s="953"/>
      <c r="FYE101" s="953"/>
      <c r="FYF101" s="953"/>
      <c r="FYG101" s="953"/>
      <c r="FYH101" s="953"/>
      <c r="FYI101" s="953"/>
      <c r="FYJ101" s="953"/>
      <c r="FYK101" s="953"/>
      <c r="FYL101" s="953"/>
      <c r="FYM101" s="953"/>
      <c r="FYN101" s="953"/>
      <c r="FYO101" s="953"/>
      <c r="FYP101" s="953"/>
      <c r="FYQ101" s="953"/>
      <c r="FYR101" s="953"/>
      <c r="FYS101" s="953"/>
      <c r="FYT101" s="953"/>
      <c r="FYU101" s="953"/>
      <c r="FYV101" s="953"/>
      <c r="FYW101" s="953"/>
      <c r="FYX101" s="953"/>
      <c r="FYY101" s="953"/>
      <c r="FYZ101" s="953"/>
      <c r="FZA101" s="953"/>
      <c r="FZB101" s="953"/>
      <c r="FZC101" s="953"/>
      <c r="FZD101" s="953"/>
      <c r="FZE101" s="953"/>
      <c r="FZF101" s="953"/>
      <c r="FZG101" s="953"/>
      <c r="FZH101" s="953"/>
      <c r="FZI101" s="953"/>
      <c r="FZJ101" s="953"/>
      <c r="FZK101" s="953"/>
      <c r="FZL101" s="953"/>
      <c r="FZM101" s="953"/>
      <c r="FZN101" s="953"/>
      <c r="FZO101" s="953"/>
      <c r="FZP101" s="953"/>
      <c r="FZQ101" s="953"/>
      <c r="FZR101" s="953"/>
      <c r="FZS101" s="953"/>
      <c r="FZT101" s="953"/>
      <c r="FZU101" s="953"/>
      <c r="FZV101" s="953"/>
      <c r="FZW101" s="953"/>
      <c r="FZX101" s="953"/>
      <c r="FZY101" s="953"/>
      <c r="FZZ101" s="953"/>
      <c r="GAA101" s="953"/>
      <c r="GAB101" s="953"/>
      <c r="GAC101" s="953"/>
      <c r="GAD101" s="953"/>
      <c r="GAE101" s="953"/>
      <c r="GAF101" s="953"/>
      <c r="GAG101" s="953"/>
      <c r="GAH101" s="953"/>
      <c r="GAI101" s="953"/>
      <c r="GAJ101" s="953"/>
      <c r="GAK101" s="953"/>
      <c r="GAL101" s="953"/>
      <c r="GAM101" s="953"/>
      <c r="GAN101" s="953"/>
      <c r="GAO101" s="953"/>
      <c r="GAP101" s="953"/>
      <c r="GAQ101" s="953"/>
      <c r="GAR101" s="953"/>
      <c r="GAS101" s="953"/>
      <c r="GAT101" s="953"/>
      <c r="GAU101" s="953"/>
      <c r="GAV101" s="953"/>
      <c r="GAW101" s="953"/>
      <c r="GAX101" s="953"/>
      <c r="GAY101" s="953"/>
      <c r="GAZ101" s="953"/>
      <c r="GBA101" s="953"/>
      <c r="GBB101" s="953"/>
      <c r="GBC101" s="953"/>
      <c r="GBD101" s="953"/>
      <c r="GBE101" s="953"/>
      <c r="GBF101" s="953"/>
      <c r="GBG101" s="953"/>
      <c r="GBH101" s="953"/>
      <c r="GBI101" s="953"/>
      <c r="GBJ101" s="953"/>
      <c r="GBK101" s="953"/>
      <c r="GBL101" s="953"/>
      <c r="GBM101" s="953"/>
      <c r="GBN101" s="953"/>
      <c r="GBO101" s="953"/>
      <c r="GBP101" s="953"/>
      <c r="GBQ101" s="953"/>
      <c r="GBR101" s="953"/>
      <c r="GBS101" s="953"/>
      <c r="GBT101" s="953"/>
      <c r="GBU101" s="953"/>
      <c r="GBV101" s="953"/>
      <c r="GBW101" s="953"/>
      <c r="GBX101" s="953"/>
      <c r="GBY101" s="953"/>
      <c r="GBZ101" s="953"/>
      <c r="GCA101" s="953"/>
      <c r="GCB101" s="953"/>
      <c r="GCC101" s="953"/>
      <c r="GCD101" s="953"/>
      <c r="GCE101" s="953"/>
      <c r="GCF101" s="953"/>
      <c r="GCG101" s="953"/>
      <c r="GCH101" s="953"/>
      <c r="GCI101" s="953"/>
      <c r="GCJ101" s="953"/>
      <c r="GCK101" s="953"/>
      <c r="GCL101" s="953"/>
      <c r="GCM101" s="953"/>
      <c r="GCN101" s="953"/>
      <c r="GCO101" s="953"/>
      <c r="GCP101" s="953"/>
      <c r="GCQ101" s="953"/>
      <c r="GCR101" s="953"/>
      <c r="GCS101" s="953"/>
      <c r="GCT101" s="953"/>
      <c r="GCU101" s="953"/>
      <c r="GCV101" s="953"/>
      <c r="GCW101" s="953"/>
      <c r="GCX101" s="953"/>
      <c r="GCY101" s="953"/>
      <c r="GCZ101" s="953"/>
      <c r="GDA101" s="953"/>
      <c r="GDB101" s="953"/>
      <c r="GDC101" s="953"/>
      <c r="GDD101" s="953"/>
      <c r="GDE101" s="953"/>
      <c r="GDF101" s="953"/>
      <c r="GDG101" s="953"/>
      <c r="GDH101" s="953"/>
      <c r="GDI101" s="953"/>
      <c r="GDJ101" s="953"/>
      <c r="GDK101" s="953"/>
      <c r="GDL101" s="953"/>
      <c r="GDM101" s="953"/>
      <c r="GDN101" s="953"/>
      <c r="GDO101" s="953"/>
      <c r="GDP101" s="953"/>
      <c r="GDQ101" s="953"/>
      <c r="GDR101" s="953"/>
      <c r="GDS101" s="953"/>
      <c r="GDT101" s="953"/>
      <c r="GDU101" s="953"/>
      <c r="GDV101" s="953"/>
      <c r="GDW101" s="953"/>
      <c r="GDX101" s="953"/>
      <c r="GDY101" s="953"/>
      <c r="GDZ101" s="953"/>
      <c r="GEA101" s="953"/>
      <c r="GEB101" s="953"/>
      <c r="GEC101" s="953"/>
      <c r="GED101" s="953"/>
      <c r="GEE101" s="953"/>
      <c r="GEF101" s="953"/>
      <c r="GEG101" s="953"/>
      <c r="GEH101" s="953"/>
      <c r="GEI101" s="953"/>
      <c r="GEJ101" s="953"/>
      <c r="GEK101" s="953"/>
      <c r="GEL101" s="953"/>
      <c r="GEM101" s="953"/>
      <c r="GEN101" s="953"/>
      <c r="GEO101" s="953"/>
      <c r="GEP101" s="953"/>
      <c r="GEQ101" s="953"/>
      <c r="GER101" s="953"/>
      <c r="GES101" s="953"/>
      <c r="GET101" s="953"/>
      <c r="GEU101" s="953"/>
      <c r="GEV101" s="953"/>
      <c r="GEW101" s="953"/>
      <c r="GEX101" s="953"/>
      <c r="GEY101" s="953"/>
      <c r="GEZ101" s="953"/>
      <c r="GFA101" s="953"/>
      <c r="GFB101" s="953"/>
      <c r="GFC101" s="953"/>
      <c r="GFD101" s="953"/>
      <c r="GFE101" s="953"/>
      <c r="GFF101" s="953"/>
      <c r="GFG101" s="953"/>
      <c r="GFH101" s="953"/>
      <c r="GFI101" s="953"/>
      <c r="GFJ101" s="953"/>
      <c r="GFK101" s="953"/>
      <c r="GFL101" s="953"/>
      <c r="GFM101" s="953"/>
      <c r="GFN101" s="953"/>
      <c r="GFO101" s="953"/>
      <c r="GFP101" s="953"/>
      <c r="GFQ101" s="953"/>
      <c r="GFR101" s="953"/>
      <c r="GFS101" s="953"/>
      <c r="GFT101" s="953"/>
      <c r="GFU101" s="953"/>
      <c r="GFV101" s="953"/>
      <c r="GFW101" s="953"/>
      <c r="GFX101" s="953"/>
      <c r="GFY101" s="953"/>
      <c r="GFZ101" s="953"/>
      <c r="GGA101" s="953"/>
      <c r="GGB101" s="953"/>
      <c r="GGC101" s="953"/>
      <c r="GGD101" s="953"/>
      <c r="GGE101" s="953"/>
      <c r="GGF101" s="953"/>
      <c r="GGG101" s="953"/>
      <c r="GGH101" s="953"/>
      <c r="GGI101" s="953"/>
      <c r="GGJ101" s="953"/>
      <c r="GGK101" s="953"/>
      <c r="GGL101" s="953"/>
      <c r="GGM101" s="953"/>
      <c r="GGN101" s="953"/>
      <c r="GGO101" s="953"/>
      <c r="GGP101" s="953"/>
      <c r="GGQ101" s="953"/>
      <c r="GGR101" s="953"/>
      <c r="GGS101" s="953"/>
      <c r="GGT101" s="953"/>
      <c r="GGU101" s="953"/>
      <c r="GGV101" s="953"/>
      <c r="GGW101" s="953"/>
      <c r="GGX101" s="953"/>
      <c r="GGY101" s="953"/>
      <c r="GGZ101" s="953"/>
      <c r="GHA101" s="953"/>
      <c r="GHB101" s="953"/>
      <c r="GHC101" s="953"/>
      <c r="GHD101" s="953"/>
      <c r="GHE101" s="953"/>
      <c r="GHF101" s="953"/>
      <c r="GHG101" s="953"/>
      <c r="GHH101" s="953"/>
      <c r="GHI101" s="953"/>
      <c r="GHJ101" s="953"/>
      <c r="GHK101" s="953"/>
      <c r="GHL101" s="953"/>
      <c r="GHM101" s="953"/>
      <c r="GHN101" s="953"/>
      <c r="GHO101" s="953"/>
      <c r="GHP101" s="953"/>
      <c r="GHQ101" s="953"/>
      <c r="GHR101" s="953"/>
      <c r="GHS101" s="953"/>
      <c r="GHT101" s="953"/>
      <c r="GHU101" s="953"/>
      <c r="GHV101" s="953"/>
      <c r="GHW101" s="953"/>
      <c r="GHX101" s="953"/>
      <c r="GHY101" s="953"/>
      <c r="GHZ101" s="953"/>
      <c r="GIA101" s="953"/>
      <c r="GIB101" s="953"/>
      <c r="GIC101" s="953"/>
      <c r="GID101" s="953"/>
      <c r="GIE101" s="953"/>
      <c r="GIF101" s="953"/>
      <c r="GIG101" s="953"/>
      <c r="GIH101" s="953"/>
      <c r="GII101" s="953"/>
      <c r="GIJ101" s="953"/>
      <c r="GIK101" s="953"/>
      <c r="GIL101" s="953"/>
      <c r="GIM101" s="953"/>
      <c r="GIN101" s="953"/>
      <c r="GIO101" s="953"/>
      <c r="GIP101" s="953"/>
      <c r="GIQ101" s="953"/>
      <c r="GIR101" s="953"/>
      <c r="GIS101" s="953"/>
      <c r="GIT101" s="953"/>
      <c r="GIU101" s="953"/>
      <c r="GIV101" s="953"/>
      <c r="GIW101" s="953"/>
      <c r="GIX101" s="953"/>
      <c r="GIY101" s="953"/>
      <c r="GIZ101" s="953"/>
      <c r="GJA101" s="953"/>
      <c r="GJB101" s="953"/>
      <c r="GJC101" s="953"/>
      <c r="GJD101" s="953"/>
      <c r="GJE101" s="953"/>
      <c r="GJF101" s="953"/>
      <c r="GJG101" s="953"/>
      <c r="GJH101" s="953"/>
      <c r="GJI101" s="953"/>
      <c r="GJJ101" s="953"/>
      <c r="GJK101" s="953"/>
      <c r="GJL101" s="953"/>
      <c r="GJM101" s="953"/>
      <c r="GJN101" s="953"/>
      <c r="GJO101" s="953"/>
      <c r="GJP101" s="953"/>
      <c r="GJQ101" s="953"/>
      <c r="GJR101" s="953"/>
      <c r="GJS101" s="953"/>
      <c r="GJT101" s="953"/>
      <c r="GJU101" s="953"/>
      <c r="GJV101" s="953"/>
      <c r="GJW101" s="953"/>
      <c r="GJX101" s="953"/>
      <c r="GJY101" s="953"/>
      <c r="GJZ101" s="953"/>
      <c r="GKA101" s="953"/>
      <c r="GKB101" s="953"/>
      <c r="GKC101" s="953"/>
      <c r="GKD101" s="953"/>
      <c r="GKE101" s="953"/>
      <c r="GKF101" s="953"/>
      <c r="GKG101" s="953"/>
      <c r="GKH101" s="953"/>
      <c r="GKI101" s="953"/>
      <c r="GKJ101" s="953"/>
      <c r="GKK101" s="953"/>
      <c r="GKL101" s="953"/>
      <c r="GKM101" s="953"/>
      <c r="GKN101" s="953"/>
      <c r="GKO101" s="953"/>
      <c r="GKP101" s="953"/>
      <c r="GKQ101" s="953"/>
      <c r="GKR101" s="953"/>
      <c r="GKS101" s="953"/>
      <c r="GKT101" s="953"/>
      <c r="GKU101" s="953"/>
      <c r="GKV101" s="953"/>
      <c r="GKW101" s="953"/>
      <c r="GKX101" s="953"/>
      <c r="GKY101" s="953"/>
      <c r="GKZ101" s="953"/>
      <c r="GLA101" s="953"/>
      <c r="GLB101" s="953"/>
      <c r="GLC101" s="953"/>
      <c r="GLD101" s="953"/>
      <c r="GLE101" s="953"/>
      <c r="GLF101" s="953"/>
      <c r="GLG101" s="953"/>
      <c r="GLH101" s="953"/>
      <c r="GLI101" s="953"/>
      <c r="GLJ101" s="953"/>
      <c r="GLK101" s="953"/>
      <c r="GLL101" s="953"/>
      <c r="GLM101" s="953"/>
      <c r="GLN101" s="953"/>
      <c r="GLO101" s="953"/>
      <c r="GLP101" s="953"/>
      <c r="GLQ101" s="953"/>
      <c r="GLR101" s="953"/>
      <c r="GLS101" s="953"/>
      <c r="GLT101" s="953"/>
      <c r="GLU101" s="953"/>
      <c r="GLV101" s="953"/>
      <c r="GLW101" s="953"/>
      <c r="GLX101" s="953"/>
      <c r="GLY101" s="953"/>
      <c r="GLZ101" s="953"/>
      <c r="GMA101" s="953"/>
      <c r="GMB101" s="953"/>
      <c r="GMC101" s="953"/>
      <c r="GMD101" s="953"/>
      <c r="GME101" s="953"/>
      <c r="GMF101" s="953"/>
      <c r="GMG101" s="953"/>
      <c r="GMH101" s="953"/>
      <c r="GMI101" s="953"/>
      <c r="GMJ101" s="953"/>
      <c r="GMK101" s="953"/>
      <c r="GML101" s="953"/>
      <c r="GMM101" s="953"/>
      <c r="GMN101" s="953"/>
      <c r="GMO101" s="953"/>
      <c r="GMP101" s="953"/>
      <c r="GMQ101" s="953"/>
      <c r="GMR101" s="953"/>
      <c r="GMS101" s="953"/>
      <c r="GMT101" s="953"/>
      <c r="GMU101" s="953"/>
      <c r="GMV101" s="953"/>
      <c r="GMW101" s="953"/>
      <c r="GMX101" s="953"/>
      <c r="GMY101" s="953"/>
      <c r="GMZ101" s="953"/>
      <c r="GNA101" s="953"/>
      <c r="GNB101" s="953"/>
      <c r="GNC101" s="953"/>
      <c r="GND101" s="953"/>
      <c r="GNE101" s="953"/>
      <c r="GNF101" s="953"/>
      <c r="GNG101" s="953"/>
      <c r="GNH101" s="953"/>
      <c r="GNI101" s="953"/>
      <c r="GNJ101" s="953"/>
      <c r="GNK101" s="953"/>
      <c r="GNL101" s="953"/>
      <c r="GNM101" s="953"/>
      <c r="GNN101" s="953"/>
      <c r="GNO101" s="953"/>
      <c r="GNP101" s="953"/>
      <c r="GNQ101" s="953"/>
      <c r="GNR101" s="953"/>
      <c r="GNS101" s="953"/>
      <c r="GNT101" s="953"/>
      <c r="GNU101" s="953"/>
      <c r="GNV101" s="953"/>
      <c r="GNW101" s="953"/>
      <c r="GNX101" s="953"/>
      <c r="GNY101" s="953"/>
      <c r="GNZ101" s="953"/>
      <c r="GOA101" s="953"/>
      <c r="GOB101" s="953"/>
      <c r="GOC101" s="953"/>
      <c r="GOD101" s="953"/>
      <c r="GOE101" s="953"/>
      <c r="GOF101" s="953"/>
      <c r="GOG101" s="953"/>
      <c r="GOH101" s="953"/>
      <c r="GOI101" s="953"/>
      <c r="GOJ101" s="953"/>
      <c r="GOK101" s="953"/>
      <c r="GOL101" s="953"/>
      <c r="GOM101" s="953"/>
      <c r="GON101" s="953"/>
      <c r="GOO101" s="953"/>
      <c r="GOP101" s="953"/>
      <c r="GOQ101" s="953"/>
      <c r="GOR101" s="953"/>
      <c r="GOS101" s="953"/>
      <c r="GOT101" s="953"/>
      <c r="GOU101" s="953"/>
      <c r="GOV101" s="953"/>
      <c r="GOW101" s="953"/>
      <c r="GOX101" s="953"/>
      <c r="GOY101" s="953"/>
      <c r="GOZ101" s="953"/>
      <c r="GPA101" s="953"/>
      <c r="GPB101" s="953"/>
      <c r="GPC101" s="953"/>
      <c r="GPD101" s="953"/>
      <c r="GPE101" s="953"/>
      <c r="GPF101" s="953"/>
      <c r="GPG101" s="953"/>
      <c r="GPH101" s="953"/>
      <c r="GPI101" s="953"/>
      <c r="GPJ101" s="953"/>
      <c r="GPK101" s="953"/>
      <c r="GPL101" s="953"/>
      <c r="GPM101" s="953"/>
      <c r="GPN101" s="953"/>
      <c r="GPO101" s="953"/>
      <c r="GPP101" s="953"/>
      <c r="GPQ101" s="953"/>
      <c r="GPR101" s="953"/>
      <c r="GPS101" s="953"/>
      <c r="GPT101" s="953"/>
      <c r="GPU101" s="953"/>
      <c r="GPV101" s="953"/>
      <c r="GPW101" s="953"/>
      <c r="GPX101" s="953"/>
      <c r="GPY101" s="953"/>
      <c r="GPZ101" s="953"/>
      <c r="GQA101" s="953"/>
      <c r="GQB101" s="953"/>
      <c r="GQC101" s="953"/>
      <c r="GQD101" s="953"/>
      <c r="GQE101" s="953"/>
      <c r="GQF101" s="953"/>
      <c r="GQG101" s="953"/>
      <c r="GQH101" s="953"/>
      <c r="GQI101" s="953"/>
      <c r="GQJ101" s="953"/>
      <c r="GQK101" s="953"/>
      <c r="GQL101" s="953"/>
      <c r="GQM101" s="953"/>
      <c r="GQN101" s="953"/>
      <c r="GQO101" s="953"/>
      <c r="GQP101" s="953"/>
      <c r="GQQ101" s="953"/>
      <c r="GQR101" s="953"/>
      <c r="GQS101" s="953"/>
      <c r="GQT101" s="953"/>
      <c r="GQU101" s="953"/>
      <c r="GQV101" s="953"/>
      <c r="GQW101" s="953"/>
      <c r="GQX101" s="953"/>
      <c r="GQY101" s="953"/>
      <c r="GQZ101" s="953"/>
      <c r="GRA101" s="953"/>
      <c r="GRB101" s="953"/>
      <c r="GRC101" s="953"/>
      <c r="GRD101" s="953"/>
      <c r="GRE101" s="953"/>
      <c r="GRF101" s="953"/>
      <c r="GRG101" s="953"/>
      <c r="GRH101" s="953"/>
      <c r="GRI101" s="953"/>
      <c r="GRJ101" s="953"/>
      <c r="GRK101" s="953"/>
      <c r="GRL101" s="953"/>
      <c r="GRM101" s="953"/>
      <c r="GRN101" s="953"/>
      <c r="GRO101" s="953"/>
      <c r="GRP101" s="953"/>
      <c r="GRQ101" s="953"/>
      <c r="GRR101" s="953"/>
      <c r="GRS101" s="953"/>
      <c r="GRT101" s="953"/>
      <c r="GRU101" s="953"/>
      <c r="GRV101" s="953"/>
      <c r="GRW101" s="953"/>
      <c r="GRX101" s="953"/>
      <c r="GRY101" s="953"/>
      <c r="GRZ101" s="953"/>
      <c r="GSA101" s="953"/>
      <c r="GSB101" s="953"/>
      <c r="GSC101" s="953"/>
      <c r="GSD101" s="953"/>
      <c r="GSE101" s="953"/>
      <c r="GSF101" s="953"/>
      <c r="GSG101" s="953"/>
      <c r="GSH101" s="953"/>
      <c r="GSI101" s="953"/>
      <c r="GSJ101" s="953"/>
      <c r="GSK101" s="953"/>
      <c r="GSL101" s="953"/>
      <c r="GSM101" s="953"/>
      <c r="GSN101" s="953"/>
      <c r="GSO101" s="953"/>
      <c r="GSP101" s="953"/>
      <c r="GSQ101" s="953"/>
      <c r="GSR101" s="953"/>
      <c r="GSS101" s="953"/>
      <c r="GST101" s="953"/>
      <c r="GSU101" s="953"/>
      <c r="GSV101" s="953"/>
      <c r="GSW101" s="953"/>
      <c r="GSX101" s="953"/>
      <c r="GSY101" s="953"/>
      <c r="GSZ101" s="953"/>
      <c r="GTA101" s="953"/>
      <c r="GTB101" s="953"/>
      <c r="GTC101" s="953"/>
      <c r="GTD101" s="953"/>
      <c r="GTE101" s="953"/>
      <c r="GTF101" s="953"/>
      <c r="GTG101" s="953"/>
      <c r="GTH101" s="953"/>
      <c r="GTI101" s="953"/>
      <c r="GTJ101" s="953"/>
      <c r="GTK101" s="953"/>
      <c r="GTL101" s="953"/>
      <c r="GTM101" s="953"/>
      <c r="GTN101" s="953"/>
      <c r="GTO101" s="953"/>
      <c r="GTP101" s="953"/>
      <c r="GTQ101" s="953"/>
      <c r="GTR101" s="953"/>
      <c r="GTS101" s="953"/>
      <c r="GTT101" s="953"/>
      <c r="GTU101" s="953"/>
      <c r="GTV101" s="953"/>
      <c r="GTW101" s="953"/>
      <c r="GTX101" s="953"/>
      <c r="GTY101" s="953"/>
      <c r="GTZ101" s="953"/>
      <c r="GUA101" s="953"/>
      <c r="GUB101" s="953"/>
      <c r="GUC101" s="953"/>
      <c r="GUD101" s="953"/>
      <c r="GUE101" s="953"/>
      <c r="GUF101" s="953"/>
      <c r="GUG101" s="953"/>
      <c r="GUH101" s="953"/>
      <c r="GUI101" s="953"/>
      <c r="GUJ101" s="953"/>
      <c r="GUK101" s="953"/>
      <c r="GUL101" s="953"/>
      <c r="GUM101" s="953"/>
      <c r="GUN101" s="953"/>
      <c r="GUO101" s="953"/>
      <c r="GUP101" s="953"/>
      <c r="GUQ101" s="953"/>
      <c r="GUR101" s="953"/>
      <c r="GUS101" s="953"/>
      <c r="GUT101" s="953"/>
      <c r="GUU101" s="953"/>
      <c r="GUV101" s="953"/>
      <c r="GUW101" s="953"/>
      <c r="GUX101" s="953"/>
      <c r="GUY101" s="953"/>
      <c r="GUZ101" s="953"/>
      <c r="GVA101" s="953"/>
      <c r="GVB101" s="953"/>
      <c r="GVC101" s="953"/>
      <c r="GVD101" s="953"/>
      <c r="GVE101" s="953"/>
      <c r="GVF101" s="953"/>
      <c r="GVG101" s="953"/>
      <c r="GVH101" s="953"/>
      <c r="GVI101" s="953"/>
      <c r="GVJ101" s="953"/>
      <c r="GVK101" s="953"/>
      <c r="GVL101" s="953"/>
      <c r="GVM101" s="953"/>
      <c r="GVN101" s="953"/>
      <c r="GVO101" s="953"/>
      <c r="GVP101" s="953"/>
      <c r="GVQ101" s="953"/>
      <c r="GVR101" s="953"/>
      <c r="GVS101" s="953"/>
      <c r="GVT101" s="953"/>
      <c r="GVU101" s="953"/>
      <c r="GVV101" s="953"/>
      <c r="GVW101" s="953"/>
      <c r="GVX101" s="953"/>
      <c r="GVY101" s="953"/>
      <c r="GVZ101" s="953"/>
      <c r="GWA101" s="953"/>
      <c r="GWB101" s="953"/>
      <c r="GWC101" s="953"/>
      <c r="GWD101" s="953"/>
      <c r="GWE101" s="953"/>
      <c r="GWF101" s="953"/>
      <c r="GWG101" s="953"/>
      <c r="GWH101" s="953"/>
      <c r="GWI101" s="953"/>
      <c r="GWJ101" s="953"/>
      <c r="GWK101" s="953"/>
      <c r="GWL101" s="953"/>
      <c r="GWM101" s="953"/>
      <c r="GWN101" s="953"/>
      <c r="GWO101" s="953"/>
      <c r="GWP101" s="953"/>
      <c r="GWQ101" s="953"/>
      <c r="GWR101" s="953"/>
      <c r="GWS101" s="953"/>
      <c r="GWT101" s="953"/>
      <c r="GWU101" s="953"/>
      <c r="GWV101" s="953"/>
      <c r="GWW101" s="953"/>
      <c r="GWX101" s="953"/>
      <c r="GWY101" s="953"/>
      <c r="GWZ101" s="953"/>
      <c r="GXA101" s="953"/>
      <c r="GXB101" s="953"/>
      <c r="GXC101" s="953"/>
      <c r="GXD101" s="953"/>
      <c r="GXE101" s="953"/>
      <c r="GXF101" s="953"/>
      <c r="GXG101" s="953"/>
      <c r="GXH101" s="953"/>
      <c r="GXI101" s="953"/>
      <c r="GXJ101" s="953"/>
      <c r="GXK101" s="953"/>
      <c r="GXL101" s="953"/>
      <c r="GXM101" s="953"/>
      <c r="GXN101" s="953"/>
      <c r="GXO101" s="953"/>
      <c r="GXP101" s="953"/>
      <c r="GXQ101" s="953"/>
      <c r="GXR101" s="953"/>
      <c r="GXS101" s="953"/>
      <c r="GXT101" s="953"/>
      <c r="GXU101" s="953"/>
      <c r="GXV101" s="953"/>
      <c r="GXW101" s="953"/>
      <c r="GXX101" s="953"/>
      <c r="GXY101" s="953"/>
      <c r="GXZ101" s="953"/>
      <c r="GYA101" s="953"/>
      <c r="GYB101" s="953"/>
      <c r="GYC101" s="953"/>
      <c r="GYD101" s="953"/>
      <c r="GYE101" s="953"/>
      <c r="GYF101" s="953"/>
      <c r="GYG101" s="953"/>
      <c r="GYH101" s="953"/>
      <c r="GYI101" s="953"/>
      <c r="GYJ101" s="953"/>
      <c r="GYK101" s="953"/>
      <c r="GYL101" s="953"/>
      <c r="GYM101" s="953"/>
      <c r="GYN101" s="953"/>
      <c r="GYO101" s="953"/>
      <c r="GYP101" s="953"/>
      <c r="GYQ101" s="953"/>
      <c r="GYR101" s="953"/>
      <c r="GYS101" s="953"/>
      <c r="GYT101" s="953"/>
      <c r="GYU101" s="953"/>
      <c r="GYV101" s="953"/>
      <c r="GYW101" s="953"/>
      <c r="GYX101" s="953"/>
      <c r="GYY101" s="953"/>
      <c r="GYZ101" s="953"/>
      <c r="GZA101" s="953"/>
      <c r="GZB101" s="953"/>
      <c r="GZC101" s="953"/>
      <c r="GZD101" s="953"/>
      <c r="GZE101" s="953"/>
      <c r="GZF101" s="953"/>
      <c r="GZG101" s="953"/>
      <c r="GZH101" s="953"/>
      <c r="GZI101" s="953"/>
      <c r="GZJ101" s="953"/>
      <c r="GZK101" s="953"/>
      <c r="GZL101" s="953"/>
      <c r="GZM101" s="953"/>
      <c r="GZN101" s="953"/>
      <c r="GZO101" s="953"/>
      <c r="GZP101" s="953"/>
      <c r="GZQ101" s="953"/>
      <c r="GZR101" s="953"/>
      <c r="GZS101" s="953"/>
      <c r="GZT101" s="953"/>
      <c r="GZU101" s="953"/>
      <c r="GZV101" s="953"/>
      <c r="GZW101" s="953"/>
      <c r="GZX101" s="953"/>
      <c r="GZY101" s="953"/>
      <c r="GZZ101" s="953"/>
      <c r="HAA101" s="953"/>
      <c r="HAB101" s="953"/>
      <c r="HAC101" s="953"/>
      <c r="HAD101" s="953"/>
      <c r="HAE101" s="953"/>
      <c r="HAF101" s="953"/>
      <c r="HAG101" s="953"/>
      <c r="HAH101" s="953"/>
      <c r="HAI101" s="953"/>
      <c r="HAJ101" s="953"/>
      <c r="HAK101" s="953"/>
      <c r="HAL101" s="953"/>
      <c r="HAM101" s="953"/>
      <c r="HAN101" s="953"/>
      <c r="HAO101" s="953"/>
      <c r="HAP101" s="953"/>
      <c r="HAQ101" s="953"/>
      <c r="HAR101" s="953"/>
      <c r="HAS101" s="953"/>
      <c r="HAT101" s="953"/>
      <c r="HAU101" s="953"/>
      <c r="HAV101" s="953"/>
      <c r="HAW101" s="953"/>
      <c r="HAX101" s="953"/>
      <c r="HAY101" s="953"/>
      <c r="HAZ101" s="953"/>
      <c r="HBA101" s="953"/>
      <c r="HBB101" s="953"/>
      <c r="HBC101" s="953"/>
      <c r="HBD101" s="953"/>
      <c r="HBE101" s="953"/>
      <c r="HBF101" s="953"/>
      <c r="HBG101" s="953"/>
      <c r="HBH101" s="953"/>
      <c r="HBI101" s="953"/>
      <c r="HBJ101" s="953"/>
      <c r="HBK101" s="953"/>
      <c r="HBL101" s="953"/>
      <c r="HBM101" s="953"/>
      <c r="HBN101" s="953"/>
      <c r="HBO101" s="953"/>
      <c r="HBP101" s="953"/>
      <c r="HBQ101" s="953"/>
      <c r="HBR101" s="953"/>
      <c r="HBS101" s="953"/>
      <c r="HBT101" s="953"/>
      <c r="HBU101" s="953"/>
      <c r="HBV101" s="953"/>
      <c r="HBW101" s="953"/>
      <c r="HBX101" s="953"/>
      <c r="HBY101" s="953"/>
      <c r="HBZ101" s="953"/>
      <c r="HCA101" s="953"/>
      <c r="HCB101" s="953"/>
      <c r="HCC101" s="953"/>
      <c r="HCD101" s="953"/>
      <c r="HCE101" s="953"/>
      <c r="HCF101" s="953"/>
      <c r="HCG101" s="953"/>
      <c r="HCH101" s="953"/>
      <c r="HCI101" s="953"/>
      <c r="HCJ101" s="953"/>
      <c r="HCK101" s="953"/>
      <c r="HCL101" s="953"/>
      <c r="HCM101" s="953"/>
      <c r="HCN101" s="953"/>
      <c r="HCO101" s="953"/>
      <c r="HCP101" s="953"/>
      <c r="HCQ101" s="953"/>
      <c r="HCR101" s="953"/>
      <c r="HCS101" s="953"/>
      <c r="HCT101" s="953"/>
      <c r="HCU101" s="953"/>
      <c r="HCV101" s="953"/>
      <c r="HCW101" s="953"/>
      <c r="HCX101" s="953"/>
      <c r="HCY101" s="953"/>
      <c r="HCZ101" s="953"/>
      <c r="HDA101" s="953"/>
      <c r="HDB101" s="953"/>
      <c r="HDC101" s="953"/>
      <c r="HDD101" s="953"/>
      <c r="HDE101" s="953"/>
      <c r="HDF101" s="953"/>
      <c r="HDG101" s="953"/>
      <c r="HDH101" s="953"/>
      <c r="HDI101" s="953"/>
      <c r="HDJ101" s="953"/>
      <c r="HDK101" s="953"/>
      <c r="HDL101" s="953"/>
      <c r="HDM101" s="953"/>
      <c r="HDN101" s="953"/>
      <c r="HDO101" s="953"/>
      <c r="HDP101" s="953"/>
      <c r="HDQ101" s="953"/>
      <c r="HDR101" s="953"/>
      <c r="HDS101" s="953"/>
      <c r="HDT101" s="953"/>
      <c r="HDU101" s="953"/>
      <c r="HDV101" s="953"/>
      <c r="HDW101" s="953"/>
      <c r="HDX101" s="953"/>
      <c r="HDY101" s="953"/>
      <c r="HDZ101" s="953"/>
      <c r="HEA101" s="953"/>
      <c r="HEB101" s="953"/>
      <c r="HEC101" s="953"/>
      <c r="HED101" s="953"/>
      <c r="HEE101" s="953"/>
      <c r="HEF101" s="953"/>
      <c r="HEG101" s="953"/>
      <c r="HEH101" s="953"/>
      <c r="HEI101" s="953"/>
      <c r="HEJ101" s="953"/>
      <c r="HEK101" s="953"/>
      <c r="HEL101" s="953"/>
      <c r="HEM101" s="953"/>
      <c r="HEN101" s="953"/>
      <c r="HEO101" s="953"/>
      <c r="HEP101" s="953"/>
      <c r="HEQ101" s="953"/>
      <c r="HER101" s="953"/>
      <c r="HES101" s="953"/>
      <c r="HET101" s="953"/>
      <c r="HEU101" s="953"/>
      <c r="HEV101" s="953"/>
      <c r="HEW101" s="953"/>
      <c r="HEX101" s="953"/>
      <c r="HEY101" s="953"/>
      <c r="HEZ101" s="953"/>
      <c r="HFA101" s="953"/>
      <c r="HFB101" s="953"/>
      <c r="HFC101" s="953"/>
      <c r="HFD101" s="953"/>
      <c r="HFE101" s="953"/>
      <c r="HFF101" s="953"/>
      <c r="HFG101" s="953"/>
      <c r="HFH101" s="953"/>
      <c r="HFI101" s="953"/>
      <c r="HFJ101" s="953"/>
      <c r="HFK101" s="953"/>
      <c r="HFL101" s="953"/>
      <c r="HFM101" s="953"/>
      <c r="HFN101" s="953"/>
      <c r="HFO101" s="953"/>
      <c r="HFP101" s="953"/>
      <c r="HFQ101" s="953"/>
      <c r="HFR101" s="953"/>
      <c r="HFS101" s="953"/>
      <c r="HFT101" s="953"/>
      <c r="HFU101" s="953"/>
      <c r="HFV101" s="953"/>
      <c r="HFW101" s="953"/>
      <c r="HFX101" s="953"/>
      <c r="HFY101" s="953"/>
      <c r="HFZ101" s="953"/>
      <c r="HGA101" s="953"/>
      <c r="HGB101" s="953"/>
      <c r="HGC101" s="953"/>
      <c r="HGD101" s="953"/>
      <c r="HGE101" s="953"/>
      <c r="HGF101" s="953"/>
      <c r="HGG101" s="953"/>
      <c r="HGH101" s="953"/>
      <c r="HGI101" s="953"/>
      <c r="HGJ101" s="953"/>
      <c r="HGK101" s="953"/>
      <c r="HGL101" s="953"/>
      <c r="HGM101" s="953"/>
      <c r="HGN101" s="953"/>
      <c r="HGO101" s="953"/>
      <c r="HGP101" s="953"/>
      <c r="HGQ101" s="953"/>
      <c r="HGR101" s="953"/>
      <c r="HGS101" s="953"/>
      <c r="HGT101" s="953"/>
      <c r="HGU101" s="953"/>
      <c r="HGV101" s="953"/>
      <c r="HGW101" s="953"/>
      <c r="HGX101" s="953"/>
      <c r="HGY101" s="953"/>
      <c r="HGZ101" s="953"/>
      <c r="HHA101" s="953"/>
      <c r="HHB101" s="953"/>
      <c r="HHC101" s="953"/>
      <c r="HHD101" s="953"/>
      <c r="HHE101" s="953"/>
      <c r="HHF101" s="953"/>
      <c r="HHG101" s="953"/>
      <c r="HHH101" s="953"/>
      <c r="HHI101" s="953"/>
      <c r="HHJ101" s="953"/>
      <c r="HHK101" s="953"/>
      <c r="HHL101" s="953"/>
      <c r="HHM101" s="953"/>
      <c r="HHN101" s="953"/>
      <c r="HHO101" s="953"/>
      <c r="HHP101" s="953"/>
      <c r="HHQ101" s="953"/>
      <c r="HHR101" s="953"/>
      <c r="HHS101" s="953"/>
      <c r="HHT101" s="953"/>
      <c r="HHU101" s="953"/>
      <c r="HHV101" s="953"/>
      <c r="HHW101" s="953"/>
      <c r="HHX101" s="953"/>
      <c r="HHY101" s="953"/>
      <c r="HHZ101" s="953"/>
      <c r="HIA101" s="953"/>
      <c r="HIB101" s="953"/>
      <c r="HIC101" s="953"/>
      <c r="HID101" s="953"/>
      <c r="HIE101" s="953"/>
      <c r="HIF101" s="953"/>
      <c r="HIG101" s="953"/>
      <c r="HIH101" s="953"/>
      <c r="HII101" s="953"/>
      <c r="HIJ101" s="953"/>
      <c r="HIK101" s="953"/>
      <c r="HIL101" s="953"/>
      <c r="HIM101" s="953"/>
      <c r="HIN101" s="953"/>
      <c r="HIO101" s="953"/>
      <c r="HIP101" s="953"/>
      <c r="HIQ101" s="953"/>
      <c r="HIR101" s="953"/>
      <c r="HIS101" s="953"/>
      <c r="HIT101" s="953"/>
      <c r="HIU101" s="953"/>
      <c r="HIV101" s="953"/>
      <c r="HIW101" s="953"/>
      <c r="HIX101" s="953"/>
      <c r="HIY101" s="953"/>
      <c r="HIZ101" s="953"/>
      <c r="HJA101" s="953"/>
      <c r="HJB101" s="953"/>
      <c r="HJC101" s="953"/>
      <c r="HJD101" s="953"/>
      <c r="HJE101" s="953"/>
      <c r="HJF101" s="953"/>
      <c r="HJG101" s="953"/>
      <c r="HJH101" s="953"/>
      <c r="HJI101" s="953"/>
      <c r="HJJ101" s="953"/>
      <c r="HJK101" s="953"/>
      <c r="HJL101" s="953"/>
      <c r="HJM101" s="953"/>
      <c r="HJN101" s="953"/>
      <c r="HJO101" s="953"/>
      <c r="HJP101" s="953"/>
      <c r="HJQ101" s="953"/>
      <c r="HJR101" s="953"/>
      <c r="HJS101" s="953"/>
      <c r="HJT101" s="953"/>
      <c r="HJU101" s="953"/>
      <c r="HJV101" s="953"/>
      <c r="HJW101" s="953"/>
      <c r="HJX101" s="953"/>
      <c r="HJY101" s="953"/>
      <c r="HJZ101" s="953"/>
      <c r="HKA101" s="953"/>
      <c r="HKB101" s="953"/>
      <c r="HKC101" s="953"/>
      <c r="HKD101" s="953"/>
      <c r="HKE101" s="953"/>
      <c r="HKF101" s="953"/>
      <c r="HKG101" s="953"/>
      <c r="HKH101" s="953"/>
      <c r="HKI101" s="953"/>
      <c r="HKJ101" s="953"/>
      <c r="HKK101" s="953"/>
      <c r="HKL101" s="953"/>
      <c r="HKM101" s="953"/>
      <c r="HKN101" s="953"/>
      <c r="HKO101" s="953"/>
      <c r="HKP101" s="953"/>
      <c r="HKQ101" s="953"/>
      <c r="HKR101" s="953"/>
      <c r="HKS101" s="953"/>
      <c r="HKT101" s="953"/>
      <c r="HKU101" s="953"/>
      <c r="HKV101" s="953"/>
      <c r="HKW101" s="953"/>
      <c r="HKX101" s="953"/>
      <c r="HKY101" s="953"/>
      <c r="HKZ101" s="953"/>
      <c r="HLA101" s="953"/>
      <c r="HLB101" s="953"/>
      <c r="HLC101" s="953"/>
      <c r="HLD101" s="953"/>
      <c r="HLE101" s="953"/>
      <c r="HLF101" s="953"/>
      <c r="HLG101" s="953"/>
      <c r="HLH101" s="953"/>
      <c r="HLI101" s="953"/>
      <c r="HLJ101" s="953"/>
      <c r="HLK101" s="953"/>
      <c r="HLL101" s="953"/>
      <c r="HLM101" s="953"/>
      <c r="HLN101" s="953"/>
      <c r="HLO101" s="953"/>
      <c r="HLP101" s="953"/>
      <c r="HLQ101" s="953"/>
      <c r="HLR101" s="953"/>
      <c r="HLS101" s="953"/>
      <c r="HLT101" s="953"/>
      <c r="HLU101" s="953"/>
      <c r="HLV101" s="953"/>
      <c r="HLW101" s="953"/>
      <c r="HLX101" s="953"/>
      <c r="HLY101" s="953"/>
      <c r="HLZ101" s="953"/>
      <c r="HMA101" s="953"/>
      <c r="HMB101" s="953"/>
      <c r="HMC101" s="953"/>
      <c r="HMD101" s="953"/>
      <c r="HME101" s="953"/>
      <c r="HMF101" s="953"/>
      <c r="HMG101" s="953"/>
      <c r="HMH101" s="953"/>
      <c r="HMI101" s="953"/>
      <c r="HMJ101" s="953"/>
      <c r="HMK101" s="953"/>
      <c r="HML101" s="953"/>
      <c r="HMM101" s="953"/>
      <c r="HMN101" s="953"/>
      <c r="HMO101" s="953"/>
      <c r="HMP101" s="953"/>
      <c r="HMQ101" s="953"/>
      <c r="HMR101" s="953"/>
      <c r="HMS101" s="953"/>
      <c r="HMT101" s="953"/>
      <c r="HMU101" s="953"/>
      <c r="HMV101" s="953"/>
      <c r="HMW101" s="953"/>
      <c r="HMX101" s="953"/>
      <c r="HMY101" s="953"/>
      <c r="HMZ101" s="953"/>
      <c r="HNA101" s="953"/>
      <c r="HNB101" s="953"/>
      <c r="HNC101" s="953"/>
      <c r="HND101" s="953"/>
      <c r="HNE101" s="953"/>
      <c r="HNF101" s="953"/>
      <c r="HNG101" s="953"/>
      <c r="HNH101" s="953"/>
      <c r="HNI101" s="953"/>
      <c r="HNJ101" s="953"/>
      <c r="HNK101" s="953"/>
      <c r="HNL101" s="953"/>
      <c r="HNM101" s="953"/>
      <c r="HNN101" s="953"/>
      <c r="HNO101" s="953"/>
      <c r="HNP101" s="953"/>
      <c r="HNQ101" s="953"/>
      <c r="HNR101" s="953"/>
      <c r="HNS101" s="953"/>
      <c r="HNT101" s="953"/>
      <c r="HNU101" s="953"/>
      <c r="HNV101" s="953"/>
      <c r="HNW101" s="953"/>
      <c r="HNX101" s="953"/>
      <c r="HNY101" s="953"/>
      <c r="HNZ101" s="953"/>
      <c r="HOA101" s="953"/>
      <c r="HOB101" s="953"/>
      <c r="HOC101" s="953"/>
      <c r="HOD101" s="953"/>
      <c r="HOE101" s="953"/>
      <c r="HOF101" s="953"/>
      <c r="HOG101" s="953"/>
      <c r="HOH101" s="953"/>
      <c r="HOI101" s="953"/>
      <c r="HOJ101" s="953"/>
      <c r="HOK101" s="953"/>
      <c r="HOL101" s="953"/>
      <c r="HOM101" s="953"/>
      <c r="HON101" s="953"/>
      <c r="HOO101" s="953"/>
      <c r="HOP101" s="953"/>
      <c r="HOQ101" s="953"/>
      <c r="HOR101" s="953"/>
      <c r="HOS101" s="953"/>
      <c r="HOT101" s="953"/>
      <c r="HOU101" s="953"/>
      <c r="HOV101" s="953"/>
      <c r="HOW101" s="953"/>
      <c r="HOX101" s="953"/>
      <c r="HOY101" s="953"/>
      <c r="HOZ101" s="953"/>
      <c r="HPA101" s="953"/>
      <c r="HPB101" s="953"/>
      <c r="HPC101" s="953"/>
      <c r="HPD101" s="953"/>
      <c r="HPE101" s="953"/>
      <c r="HPF101" s="953"/>
      <c r="HPG101" s="953"/>
      <c r="HPH101" s="953"/>
      <c r="HPI101" s="953"/>
      <c r="HPJ101" s="953"/>
      <c r="HPK101" s="953"/>
      <c r="HPL101" s="953"/>
      <c r="HPM101" s="953"/>
      <c r="HPN101" s="953"/>
      <c r="HPO101" s="953"/>
      <c r="HPP101" s="953"/>
      <c r="HPQ101" s="953"/>
      <c r="HPR101" s="953"/>
      <c r="HPS101" s="953"/>
      <c r="HPT101" s="953"/>
      <c r="HPU101" s="953"/>
      <c r="HPV101" s="953"/>
      <c r="HPW101" s="953"/>
      <c r="HPX101" s="953"/>
      <c r="HPY101" s="953"/>
      <c r="HPZ101" s="953"/>
      <c r="HQA101" s="953"/>
      <c r="HQB101" s="953"/>
      <c r="HQC101" s="953"/>
      <c r="HQD101" s="953"/>
      <c r="HQE101" s="953"/>
      <c r="HQF101" s="953"/>
      <c r="HQG101" s="953"/>
      <c r="HQH101" s="953"/>
      <c r="HQI101" s="953"/>
      <c r="HQJ101" s="953"/>
      <c r="HQK101" s="953"/>
      <c r="HQL101" s="953"/>
      <c r="HQM101" s="953"/>
      <c r="HQN101" s="953"/>
      <c r="HQO101" s="953"/>
      <c r="HQP101" s="953"/>
      <c r="HQQ101" s="953"/>
      <c r="HQR101" s="953"/>
      <c r="HQS101" s="953"/>
      <c r="HQT101" s="953"/>
      <c r="HQU101" s="953"/>
      <c r="HQV101" s="953"/>
      <c r="HQW101" s="953"/>
      <c r="HQX101" s="953"/>
      <c r="HQY101" s="953"/>
      <c r="HQZ101" s="953"/>
      <c r="HRA101" s="953"/>
      <c r="HRB101" s="953"/>
      <c r="HRC101" s="953"/>
      <c r="HRD101" s="953"/>
      <c r="HRE101" s="953"/>
      <c r="HRF101" s="953"/>
      <c r="HRG101" s="953"/>
      <c r="HRH101" s="953"/>
      <c r="HRI101" s="953"/>
      <c r="HRJ101" s="953"/>
      <c r="HRK101" s="953"/>
      <c r="HRL101" s="953"/>
      <c r="HRM101" s="953"/>
      <c r="HRN101" s="953"/>
      <c r="HRO101" s="953"/>
      <c r="HRP101" s="953"/>
      <c r="HRQ101" s="953"/>
      <c r="HRR101" s="953"/>
      <c r="HRS101" s="953"/>
      <c r="HRT101" s="953"/>
      <c r="HRU101" s="953"/>
      <c r="HRV101" s="953"/>
      <c r="HRW101" s="953"/>
      <c r="HRX101" s="953"/>
      <c r="HRY101" s="953"/>
      <c r="HRZ101" s="953"/>
      <c r="HSA101" s="953"/>
      <c r="HSB101" s="953"/>
      <c r="HSC101" s="953"/>
      <c r="HSD101" s="953"/>
      <c r="HSE101" s="953"/>
      <c r="HSF101" s="953"/>
      <c r="HSG101" s="953"/>
      <c r="HSH101" s="953"/>
      <c r="HSI101" s="953"/>
      <c r="HSJ101" s="953"/>
      <c r="HSK101" s="953"/>
      <c r="HSL101" s="953"/>
      <c r="HSM101" s="953"/>
      <c r="HSN101" s="953"/>
      <c r="HSO101" s="953"/>
      <c r="HSP101" s="953"/>
      <c r="HSQ101" s="953"/>
      <c r="HSR101" s="953"/>
      <c r="HSS101" s="953"/>
      <c r="HST101" s="953"/>
      <c r="HSU101" s="953"/>
      <c r="HSV101" s="953"/>
      <c r="HSW101" s="953"/>
      <c r="HSX101" s="953"/>
      <c r="HSY101" s="953"/>
      <c r="HSZ101" s="953"/>
      <c r="HTA101" s="953"/>
      <c r="HTB101" s="953"/>
      <c r="HTC101" s="953"/>
      <c r="HTD101" s="953"/>
      <c r="HTE101" s="953"/>
      <c r="HTF101" s="953"/>
      <c r="HTG101" s="953"/>
      <c r="HTH101" s="953"/>
      <c r="HTI101" s="953"/>
      <c r="HTJ101" s="953"/>
      <c r="HTK101" s="953"/>
      <c r="HTL101" s="953"/>
      <c r="HTM101" s="953"/>
      <c r="HTN101" s="953"/>
      <c r="HTO101" s="953"/>
      <c r="HTP101" s="953"/>
      <c r="HTQ101" s="953"/>
      <c r="HTR101" s="953"/>
      <c r="HTS101" s="953"/>
      <c r="HTT101" s="953"/>
      <c r="HTU101" s="953"/>
      <c r="HTV101" s="953"/>
      <c r="HTW101" s="953"/>
      <c r="HTX101" s="953"/>
      <c r="HTY101" s="953"/>
      <c r="HTZ101" s="953"/>
      <c r="HUA101" s="953"/>
      <c r="HUB101" s="953"/>
      <c r="HUC101" s="953"/>
      <c r="HUD101" s="953"/>
      <c r="HUE101" s="953"/>
      <c r="HUF101" s="953"/>
      <c r="HUG101" s="953"/>
      <c r="HUH101" s="953"/>
      <c r="HUI101" s="953"/>
      <c r="HUJ101" s="953"/>
      <c r="HUK101" s="953"/>
      <c r="HUL101" s="953"/>
      <c r="HUM101" s="953"/>
      <c r="HUN101" s="953"/>
      <c r="HUO101" s="953"/>
      <c r="HUP101" s="953"/>
      <c r="HUQ101" s="953"/>
      <c r="HUR101" s="953"/>
      <c r="HUS101" s="953"/>
      <c r="HUT101" s="953"/>
      <c r="HUU101" s="953"/>
      <c r="HUV101" s="953"/>
      <c r="HUW101" s="953"/>
      <c r="HUX101" s="953"/>
      <c r="HUY101" s="953"/>
      <c r="HUZ101" s="953"/>
      <c r="HVA101" s="953"/>
      <c r="HVB101" s="953"/>
      <c r="HVC101" s="953"/>
      <c r="HVD101" s="953"/>
      <c r="HVE101" s="953"/>
      <c r="HVF101" s="953"/>
      <c r="HVG101" s="953"/>
      <c r="HVH101" s="953"/>
      <c r="HVI101" s="953"/>
      <c r="HVJ101" s="953"/>
      <c r="HVK101" s="953"/>
      <c r="HVL101" s="953"/>
      <c r="HVM101" s="953"/>
      <c r="HVN101" s="953"/>
      <c r="HVO101" s="953"/>
      <c r="HVP101" s="953"/>
      <c r="HVQ101" s="953"/>
      <c r="HVR101" s="953"/>
      <c r="HVS101" s="953"/>
      <c r="HVT101" s="953"/>
      <c r="HVU101" s="953"/>
      <c r="HVV101" s="953"/>
      <c r="HVW101" s="953"/>
      <c r="HVX101" s="953"/>
      <c r="HVY101" s="953"/>
      <c r="HVZ101" s="953"/>
      <c r="HWA101" s="953"/>
      <c r="HWB101" s="953"/>
      <c r="HWC101" s="953"/>
      <c r="HWD101" s="953"/>
      <c r="HWE101" s="953"/>
      <c r="HWF101" s="953"/>
      <c r="HWG101" s="953"/>
      <c r="HWH101" s="953"/>
      <c r="HWI101" s="953"/>
      <c r="HWJ101" s="953"/>
      <c r="HWK101" s="953"/>
      <c r="HWL101" s="953"/>
      <c r="HWM101" s="953"/>
      <c r="HWN101" s="953"/>
      <c r="HWO101" s="953"/>
      <c r="HWP101" s="953"/>
      <c r="HWQ101" s="953"/>
      <c r="HWR101" s="953"/>
      <c r="HWS101" s="953"/>
      <c r="HWT101" s="953"/>
      <c r="HWU101" s="953"/>
      <c r="HWV101" s="953"/>
      <c r="HWW101" s="953"/>
      <c r="HWX101" s="953"/>
      <c r="HWY101" s="953"/>
      <c r="HWZ101" s="953"/>
      <c r="HXA101" s="953"/>
      <c r="HXB101" s="953"/>
      <c r="HXC101" s="953"/>
      <c r="HXD101" s="953"/>
      <c r="HXE101" s="953"/>
      <c r="HXF101" s="953"/>
      <c r="HXG101" s="953"/>
      <c r="HXH101" s="953"/>
      <c r="HXI101" s="953"/>
      <c r="HXJ101" s="953"/>
      <c r="HXK101" s="953"/>
      <c r="HXL101" s="953"/>
      <c r="HXM101" s="953"/>
      <c r="HXN101" s="953"/>
      <c r="HXO101" s="953"/>
      <c r="HXP101" s="953"/>
      <c r="HXQ101" s="953"/>
      <c r="HXR101" s="953"/>
      <c r="HXS101" s="953"/>
      <c r="HXT101" s="953"/>
      <c r="HXU101" s="953"/>
      <c r="HXV101" s="953"/>
      <c r="HXW101" s="953"/>
      <c r="HXX101" s="953"/>
      <c r="HXY101" s="953"/>
      <c r="HXZ101" s="953"/>
      <c r="HYA101" s="953"/>
      <c r="HYB101" s="953"/>
      <c r="HYC101" s="953"/>
      <c r="HYD101" s="953"/>
      <c r="HYE101" s="953"/>
      <c r="HYF101" s="953"/>
      <c r="HYG101" s="953"/>
      <c r="HYH101" s="953"/>
      <c r="HYI101" s="953"/>
      <c r="HYJ101" s="953"/>
      <c r="HYK101" s="953"/>
      <c r="HYL101" s="953"/>
      <c r="HYM101" s="953"/>
      <c r="HYN101" s="953"/>
      <c r="HYO101" s="953"/>
      <c r="HYP101" s="953"/>
      <c r="HYQ101" s="953"/>
      <c r="HYR101" s="953"/>
      <c r="HYS101" s="953"/>
      <c r="HYT101" s="953"/>
      <c r="HYU101" s="953"/>
      <c r="HYV101" s="953"/>
      <c r="HYW101" s="953"/>
      <c r="HYX101" s="953"/>
      <c r="HYY101" s="953"/>
      <c r="HYZ101" s="953"/>
      <c r="HZA101" s="953"/>
      <c r="HZB101" s="953"/>
      <c r="HZC101" s="953"/>
      <c r="HZD101" s="953"/>
      <c r="HZE101" s="953"/>
      <c r="HZF101" s="953"/>
      <c r="HZG101" s="953"/>
      <c r="HZH101" s="953"/>
      <c r="HZI101" s="953"/>
      <c r="HZJ101" s="953"/>
      <c r="HZK101" s="953"/>
      <c r="HZL101" s="953"/>
      <c r="HZM101" s="953"/>
      <c r="HZN101" s="953"/>
      <c r="HZO101" s="953"/>
      <c r="HZP101" s="953"/>
      <c r="HZQ101" s="953"/>
      <c r="HZR101" s="953"/>
      <c r="HZS101" s="953"/>
      <c r="HZT101" s="953"/>
      <c r="HZU101" s="953"/>
      <c r="HZV101" s="953"/>
      <c r="HZW101" s="953"/>
      <c r="HZX101" s="953"/>
      <c r="HZY101" s="953"/>
      <c r="HZZ101" s="953"/>
      <c r="IAA101" s="953"/>
      <c r="IAB101" s="953"/>
      <c r="IAC101" s="953"/>
      <c r="IAD101" s="953"/>
      <c r="IAE101" s="953"/>
      <c r="IAF101" s="953"/>
      <c r="IAG101" s="953"/>
      <c r="IAH101" s="953"/>
      <c r="IAI101" s="953"/>
      <c r="IAJ101" s="953"/>
      <c r="IAK101" s="953"/>
      <c r="IAL101" s="953"/>
      <c r="IAM101" s="953"/>
      <c r="IAN101" s="953"/>
      <c r="IAO101" s="953"/>
      <c r="IAP101" s="953"/>
      <c r="IAQ101" s="953"/>
      <c r="IAR101" s="953"/>
      <c r="IAS101" s="953"/>
      <c r="IAT101" s="953"/>
      <c r="IAU101" s="953"/>
      <c r="IAV101" s="953"/>
      <c r="IAW101" s="953"/>
      <c r="IAX101" s="953"/>
      <c r="IAY101" s="953"/>
      <c r="IAZ101" s="953"/>
      <c r="IBA101" s="953"/>
      <c r="IBB101" s="953"/>
      <c r="IBC101" s="953"/>
      <c r="IBD101" s="953"/>
      <c r="IBE101" s="953"/>
      <c r="IBF101" s="953"/>
      <c r="IBG101" s="953"/>
      <c r="IBH101" s="953"/>
      <c r="IBI101" s="953"/>
      <c r="IBJ101" s="953"/>
      <c r="IBK101" s="953"/>
      <c r="IBL101" s="953"/>
      <c r="IBM101" s="953"/>
      <c r="IBN101" s="953"/>
      <c r="IBO101" s="953"/>
      <c r="IBP101" s="953"/>
      <c r="IBQ101" s="953"/>
      <c r="IBR101" s="953"/>
      <c r="IBS101" s="953"/>
      <c r="IBT101" s="953"/>
      <c r="IBU101" s="953"/>
      <c r="IBV101" s="953"/>
      <c r="IBW101" s="953"/>
      <c r="IBX101" s="953"/>
      <c r="IBY101" s="953"/>
      <c r="IBZ101" s="953"/>
      <c r="ICA101" s="953"/>
      <c r="ICB101" s="953"/>
      <c r="ICC101" s="953"/>
      <c r="ICD101" s="953"/>
      <c r="ICE101" s="953"/>
      <c r="ICF101" s="953"/>
      <c r="ICG101" s="953"/>
      <c r="ICH101" s="953"/>
      <c r="ICI101" s="953"/>
      <c r="ICJ101" s="953"/>
      <c r="ICK101" s="953"/>
      <c r="ICL101" s="953"/>
      <c r="ICM101" s="953"/>
      <c r="ICN101" s="953"/>
      <c r="ICO101" s="953"/>
      <c r="ICP101" s="953"/>
      <c r="ICQ101" s="953"/>
      <c r="ICR101" s="953"/>
      <c r="ICS101" s="953"/>
      <c r="ICT101" s="953"/>
      <c r="ICU101" s="953"/>
      <c r="ICV101" s="953"/>
      <c r="ICW101" s="953"/>
      <c r="ICX101" s="953"/>
      <c r="ICY101" s="953"/>
      <c r="ICZ101" s="953"/>
      <c r="IDA101" s="953"/>
      <c r="IDB101" s="953"/>
      <c r="IDC101" s="953"/>
      <c r="IDD101" s="953"/>
      <c r="IDE101" s="953"/>
      <c r="IDF101" s="953"/>
      <c r="IDG101" s="953"/>
      <c r="IDH101" s="953"/>
      <c r="IDI101" s="953"/>
      <c r="IDJ101" s="953"/>
      <c r="IDK101" s="953"/>
      <c r="IDL101" s="953"/>
      <c r="IDM101" s="953"/>
      <c r="IDN101" s="953"/>
      <c r="IDO101" s="953"/>
      <c r="IDP101" s="953"/>
      <c r="IDQ101" s="953"/>
      <c r="IDR101" s="953"/>
      <c r="IDS101" s="953"/>
      <c r="IDT101" s="953"/>
      <c r="IDU101" s="953"/>
      <c r="IDV101" s="953"/>
      <c r="IDW101" s="953"/>
      <c r="IDX101" s="953"/>
      <c r="IDY101" s="953"/>
      <c r="IDZ101" s="953"/>
      <c r="IEA101" s="953"/>
      <c r="IEB101" s="953"/>
      <c r="IEC101" s="953"/>
      <c r="IED101" s="953"/>
      <c r="IEE101" s="953"/>
      <c r="IEF101" s="953"/>
      <c r="IEG101" s="953"/>
      <c r="IEH101" s="953"/>
      <c r="IEI101" s="953"/>
      <c r="IEJ101" s="953"/>
      <c r="IEK101" s="953"/>
      <c r="IEL101" s="953"/>
      <c r="IEM101" s="953"/>
      <c r="IEN101" s="953"/>
      <c r="IEO101" s="953"/>
      <c r="IEP101" s="953"/>
      <c r="IEQ101" s="953"/>
      <c r="IER101" s="953"/>
      <c r="IES101" s="953"/>
      <c r="IET101" s="953"/>
      <c r="IEU101" s="953"/>
      <c r="IEV101" s="953"/>
      <c r="IEW101" s="953"/>
      <c r="IEX101" s="953"/>
      <c r="IEY101" s="953"/>
      <c r="IEZ101" s="953"/>
      <c r="IFA101" s="953"/>
      <c r="IFB101" s="953"/>
      <c r="IFC101" s="953"/>
      <c r="IFD101" s="953"/>
      <c r="IFE101" s="953"/>
      <c r="IFF101" s="953"/>
      <c r="IFG101" s="953"/>
      <c r="IFH101" s="953"/>
      <c r="IFI101" s="953"/>
      <c r="IFJ101" s="953"/>
      <c r="IFK101" s="953"/>
      <c r="IFL101" s="953"/>
      <c r="IFM101" s="953"/>
      <c r="IFN101" s="953"/>
      <c r="IFO101" s="953"/>
      <c r="IFP101" s="953"/>
      <c r="IFQ101" s="953"/>
      <c r="IFR101" s="953"/>
      <c r="IFS101" s="953"/>
      <c r="IFT101" s="953"/>
      <c r="IFU101" s="953"/>
      <c r="IFV101" s="953"/>
      <c r="IFW101" s="953"/>
      <c r="IFX101" s="953"/>
      <c r="IFY101" s="953"/>
      <c r="IFZ101" s="953"/>
      <c r="IGA101" s="953"/>
      <c r="IGB101" s="953"/>
      <c r="IGC101" s="953"/>
      <c r="IGD101" s="953"/>
      <c r="IGE101" s="953"/>
      <c r="IGF101" s="953"/>
      <c r="IGG101" s="953"/>
      <c r="IGH101" s="953"/>
      <c r="IGI101" s="953"/>
      <c r="IGJ101" s="953"/>
      <c r="IGK101" s="953"/>
      <c r="IGL101" s="953"/>
      <c r="IGM101" s="953"/>
      <c r="IGN101" s="953"/>
      <c r="IGO101" s="953"/>
      <c r="IGP101" s="953"/>
      <c r="IGQ101" s="953"/>
      <c r="IGR101" s="953"/>
      <c r="IGS101" s="953"/>
      <c r="IGT101" s="953"/>
      <c r="IGU101" s="953"/>
      <c r="IGV101" s="953"/>
      <c r="IGW101" s="953"/>
      <c r="IGX101" s="953"/>
      <c r="IGY101" s="953"/>
      <c r="IGZ101" s="953"/>
      <c r="IHA101" s="953"/>
      <c r="IHB101" s="953"/>
      <c r="IHC101" s="953"/>
      <c r="IHD101" s="953"/>
      <c r="IHE101" s="953"/>
      <c r="IHF101" s="953"/>
      <c r="IHG101" s="953"/>
      <c r="IHH101" s="953"/>
      <c r="IHI101" s="953"/>
      <c r="IHJ101" s="953"/>
      <c r="IHK101" s="953"/>
      <c r="IHL101" s="953"/>
      <c r="IHM101" s="953"/>
      <c r="IHN101" s="953"/>
      <c r="IHO101" s="953"/>
      <c r="IHP101" s="953"/>
      <c r="IHQ101" s="953"/>
      <c r="IHR101" s="953"/>
      <c r="IHS101" s="953"/>
      <c r="IHT101" s="953"/>
      <c r="IHU101" s="953"/>
      <c r="IHV101" s="953"/>
      <c r="IHW101" s="953"/>
      <c r="IHX101" s="953"/>
      <c r="IHY101" s="953"/>
      <c r="IHZ101" s="953"/>
      <c r="IIA101" s="953"/>
      <c r="IIB101" s="953"/>
      <c r="IIC101" s="953"/>
      <c r="IID101" s="953"/>
      <c r="IIE101" s="953"/>
      <c r="IIF101" s="953"/>
      <c r="IIG101" s="953"/>
      <c r="IIH101" s="953"/>
      <c r="III101" s="953"/>
      <c r="IIJ101" s="953"/>
      <c r="IIK101" s="953"/>
      <c r="IIL101" s="953"/>
      <c r="IIM101" s="953"/>
      <c r="IIN101" s="953"/>
      <c r="IIO101" s="953"/>
      <c r="IIP101" s="953"/>
      <c r="IIQ101" s="953"/>
      <c r="IIR101" s="953"/>
      <c r="IIS101" s="953"/>
      <c r="IIT101" s="953"/>
      <c r="IIU101" s="953"/>
      <c r="IIV101" s="953"/>
      <c r="IIW101" s="953"/>
      <c r="IIX101" s="953"/>
      <c r="IIY101" s="953"/>
      <c r="IIZ101" s="953"/>
      <c r="IJA101" s="953"/>
      <c r="IJB101" s="953"/>
      <c r="IJC101" s="953"/>
      <c r="IJD101" s="953"/>
      <c r="IJE101" s="953"/>
      <c r="IJF101" s="953"/>
      <c r="IJG101" s="953"/>
      <c r="IJH101" s="953"/>
      <c r="IJI101" s="953"/>
      <c r="IJJ101" s="953"/>
      <c r="IJK101" s="953"/>
      <c r="IJL101" s="953"/>
      <c r="IJM101" s="953"/>
      <c r="IJN101" s="953"/>
      <c r="IJO101" s="953"/>
      <c r="IJP101" s="953"/>
      <c r="IJQ101" s="953"/>
      <c r="IJR101" s="953"/>
      <c r="IJS101" s="953"/>
      <c r="IJT101" s="953"/>
      <c r="IJU101" s="953"/>
      <c r="IJV101" s="953"/>
      <c r="IJW101" s="953"/>
      <c r="IJX101" s="953"/>
      <c r="IJY101" s="953"/>
      <c r="IJZ101" s="953"/>
      <c r="IKA101" s="953"/>
      <c r="IKB101" s="953"/>
      <c r="IKC101" s="953"/>
      <c r="IKD101" s="953"/>
      <c r="IKE101" s="953"/>
      <c r="IKF101" s="953"/>
      <c r="IKG101" s="953"/>
      <c r="IKH101" s="953"/>
      <c r="IKI101" s="953"/>
      <c r="IKJ101" s="953"/>
      <c r="IKK101" s="953"/>
      <c r="IKL101" s="953"/>
      <c r="IKM101" s="953"/>
      <c r="IKN101" s="953"/>
      <c r="IKO101" s="953"/>
      <c r="IKP101" s="953"/>
      <c r="IKQ101" s="953"/>
      <c r="IKR101" s="953"/>
      <c r="IKS101" s="953"/>
      <c r="IKT101" s="953"/>
      <c r="IKU101" s="953"/>
      <c r="IKV101" s="953"/>
      <c r="IKW101" s="953"/>
      <c r="IKX101" s="953"/>
      <c r="IKY101" s="953"/>
      <c r="IKZ101" s="953"/>
      <c r="ILA101" s="953"/>
      <c r="ILB101" s="953"/>
      <c r="ILC101" s="953"/>
      <c r="ILD101" s="953"/>
      <c r="ILE101" s="953"/>
      <c r="ILF101" s="953"/>
      <c r="ILG101" s="953"/>
      <c r="ILH101" s="953"/>
      <c r="ILI101" s="953"/>
      <c r="ILJ101" s="953"/>
      <c r="ILK101" s="953"/>
      <c r="ILL101" s="953"/>
      <c r="ILM101" s="953"/>
      <c r="ILN101" s="953"/>
      <c r="ILO101" s="953"/>
      <c r="ILP101" s="953"/>
      <c r="ILQ101" s="953"/>
      <c r="ILR101" s="953"/>
      <c r="ILS101" s="953"/>
      <c r="ILT101" s="953"/>
      <c r="ILU101" s="953"/>
      <c r="ILV101" s="953"/>
      <c r="ILW101" s="953"/>
      <c r="ILX101" s="953"/>
      <c r="ILY101" s="953"/>
      <c r="ILZ101" s="953"/>
      <c r="IMA101" s="953"/>
      <c r="IMB101" s="953"/>
      <c r="IMC101" s="953"/>
      <c r="IMD101" s="953"/>
      <c r="IME101" s="953"/>
      <c r="IMF101" s="953"/>
      <c r="IMG101" s="953"/>
      <c r="IMH101" s="953"/>
      <c r="IMI101" s="953"/>
      <c r="IMJ101" s="953"/>
      <c r="IMK101" s="953"/>
      <c r="IML101" s="953"/>
      <c r="IMM101" s="953"/>
      <c r="IMN101" s="953"/>
      <c r="IMO101" s="953"/>
      <c r="IMP101" s="953"/>
      <c r="IMQ101" s="953"/>
      <c r="IMR101" s="953"/>
      <c r="IMS101" s="953"/>
      <c r="IMT101" s="953"/>
      <c r="IMU101" s="953"/>
      <c r="IMV101" s="953"/>
      <c r="IMW101" s="953"/>
      <c r="IMX101" s="953"/>
      <c r="IMY101" s="953"/>
      <c r="IMZ101" s="953"/>
      <c r="INA101" s="953"/>
      <c r="INB101" s="953"/>
      <c r="INC101" s="953"/>
      <c r="IND101" s="953"/>
      <c r="INE101" s="953"/>
      <c r="INF101" s="953"/>
      <c r="ING101" s="953"/>
      <c r="INH101" s="953"/>
      <c r="INI101" s="953"/>
      <c r="INJ101" s="953"/>
      <c r="INK101" s="953"/>
      <c r="INL101" s="953"/>
      <c r="INM101" s="953"/>
      <c r="INN101" s="953"/>
      <c r="INO101" s="953"/>
      <c r="INP101" s="953"/>
      <c r="INQ101" s="953"/>
      <c r="INR101" s="953"/>
      <c r="INS101" s="953"/>
      <c r="INT101" s="953"/>
      <c r="INU101" s="953"/>
      <c r="INV101" s="953"/>
      <c r="INW101" s="953"/>
      <c r="INX101" s="953"/>
      <c r="INY101" s="953"/>
      <c r="INZ101" s="953"/>
      <c r="IOA101" s="953"/>
      <c r="IOB101" s="953"/>
      <c r="IOC101" s="953"/>
      <c r="IOD101" s="953"/>
      <c r="IOE101" s="953"/>
      <c r="IOF101" s="953"/>
      <c r="IOG101" s="953"/>
      <c r="IOH101" s="953"/>
      <c r="IOI101" s="953"/>
      <c r="IOJ101" s="953"/>
      <c r="IOK101" s="953"/>
      <c r="IOL101" s="953"/>
      <c r="IOM101" s="953"/>
      <c r="ION101" s="953"/>
      <c r="IOO101" s="953"/>
      <c r="IOP101" s="953"/>
      <c r="IOQ101" s="953"/>
      <c r="IOR101" s="953"/>
      <c r="IOS101" s="953"/>
      <c r="IOT101" s="953"/>
      <c r="IOU101" s="953"/>
      <c r="IOV101" s="953"/>
      <c r="IOW101" s="953"/>
      <c r="IOX101" s="953"/>
      <c r="IOY101" s="953"/>
      <c r="IOZ101" s="953"/>
      <c r="IPA101" s="953"/>
      <c r="IPB101" s="953"/>
      <c r="IPC101" s="953"/>
      <c r="IPD101" s="953"/>
      <c r="IPE101" s="953"/>
      <c r="IPF101" s="953"/>
      <c r="IPG101" s="953"/>
      <c r="IPH101" s="953"/>
      <c r="IPI101" s="953"/>
      <c r="IPJ101" s="953"/>
      <c r="IPK101" s="953"/>
      <c r="IPL101" s="953"/>
      <c r="IPM101" s="953"/>
      <c r="IPN101" s="953"/>
      <c r="IPO101" s="953"/>
      <c r="IPP101" s="953"/>
      <c r="IPQ101" s="953"/>
      <c r="IPR101" s="953"/>
      <c r="IPS101" s="953"/>
      <c r="IPT101" s="953"/>
      <c r="IPU101" s="953"/>
      <c r="IPV101" s="953"/>
      <c r="IPW101" s="953"/>
      <c r="IPX101" s="953"/>
      <c r="IPY101" s="953"/>
      <c r="IPZ101" s="953"/>
      <c r="IQA101" s="953"/>
      <c r="IQB101" s="953"/>
      <c r="IQC101" s="953"/>
      <c r="IQD101" s="953"/>
      <c r="IQE101" s="953"/>
      <c r="IQF101" s="953"/>
      <c r="IQG101" s="953"/>
      <c r="IQH101" s="953"/>
      <c r="IQI101" s="953"/>
      <c r="IQJ101" s="953"/>
      <c r="IQK101" s="953"/>
      <c r="IQL101" s="953"/>
      <c r="IQM101" s="953"/>
      <c r="IQN101" s="953"/>
      <c r="IQO101" s="953"/>
      <c r="IQP101" s="953"/>
      <c r="IQQ101" s="953"/>
      <c r="IQR101" s="953"/>
      <c r="IQS101" s="953"/>
      <c r="IQT101" s="953"/>
      <c r="IQU101" s="953"/>
      <c r="IQV101" s="953"/>
      <c r="IQW101" s="953"/>
      <c r="IQX101" s="953"/>
      <c r="IQY101" s="953"/>
      <c r="IQZ101" s="953"/>
      <c r="IRA101" s="953"/>
      <c r="IRB101" s="953"/>
      <c r="IRC101" s="953"/>
      <c r="IRD101" s="953"/>
      <c r="IRE101" s="953"/>
      <c r="IRF101" s="953"/>
      <c r="IRG101" s="953"/>
      <c r="IRH101" s="953"/>
      <c r="IRI101" s="953"/>
      <c r="IRJ101" s="953"/>
      <c r="IRK101" s="953"/>
      <c r="IRL101" s="953"/>
      <c r="IRM101" s="953"/>
      <c r="IRN101" s="953"/>
      <c r="IRO101" s="953"/>
      <c r="IRP101" s="953"/>
      <c r="IRQ101" s="953"/>
      <c r="IRR101" s="953"/>
      <c r="IRS101" s="953"/>
      <c r="IRT101" s="953"/>
      <c r="IRU101" s="953"/>
      <c r="IRV101" s="953"/>
      <c r="IRW101" s="953"/>
      <c r="IRX101" s="953"/>
      <c r="IRY101" s="953"/>
      <c r="IRZ101" s="953"/>
      <c r="ISA101" s="953"/>
      <c r="ISB101" s="953"/>
      <c r="ISC101" s="953"/>
      <c r="ISD101" s="953"/>
      <c r="ISE101" s="953"/>
      <c r="ISF101" s="953"/>
      <c r="ISG101" s="953"/>
      <c r="ISH101" s="953"/>
      <c r="ISI101" s="953"/>
      <c r="ISJ101" s="953"/>
      <c r="ISK101" s="953"/>
      <c r="ISL101" s="953"/>
      <c r="ISM101" s="953"/>
      <c r="ISN101" s="953"/>
      <c r="ISO101" s="953"/>
      <c r="ISP101" s="953"/>
      <c r="ISQ101" s="953"/>
      <c r="ISR101" s="953"/>
      <c r="ISS101" s="953"/>
      <c r="IST101" s="953"/>
      <c r="ISU101" s="953"/>
      <c r="ISV101" s="953"/>
      <c r="ISW101" s="953"/>
      <c r="ISX101" s="953"/>
      <c r="ISY101" s="953"/>
      <c r="ISZ101" s="953"/>
      <c r="ITA101" s="953"/>
      <c r="ITB101" s="953"/>
      <c r="ITC101" s="953"/>
      <c r="ITD101" s="953"/>
      <c r="ITE101" s="953"/>
      <c r="ITF101" s="953"/>
      <c r="ITG101" s="953"/>
      <c r="ITH101" s="953"/>
      <c r="ITI101" s="953"/>
      <c r="ITJ101" s="953"/>
      <c r="ITK101" s="953"/>
      <c r="ITL101" s="953"/>
      <c r="ITM101" s="953"/>
      <c r="ITN101" s="953"/>
      <c r="ITO101" s="953"/>
      <c r="ITP101" s="953"/>
      <c r="ITQ101" s="953"/>
      <c r="ITR101" s="953"/>
      <c r="ITS101" s="953"/>
      <c r="ITT101" s="953"/>
      <c r="ITU101" s="953"/>
      <c r="ITV101" s="953"/>
      <c r="ITW101" s="953"/>
      <c r="ITX101" s="953"/>
      <c r="ITY101" s="953"/>
      <c r="ITZ101" s="953"/>
      <c r="IUA101" s="953"/>
      <c r="IUB101" s="953"/>
      <c r="IUC101" s="953"/>
      <c r="IUD101" s="953"/>
      <c r="IUE101" s="953"/>
      <c r="IUF101" s="953"/>
      <c r="IUG101" s="953"/>
      <c r="IUH101" s="953"/>
      <c r="IUI101" s="953"/>
      <c r="IUJ101" s="953"/>
      <c r="IUK101" s="953"/>
      <c r="IUL101" s="953"/>
      <c r="IUM101" s="953"/>
      <c r="IUN101" s="953"/>
      <c r="IUO101" s="953"/>
      <c r="IUP101" s="953"/>
      <c r="IUQ101" s="953"/>
      <c r="IUR101" s="953"/>
      <c r="IUS101" s="953"/>
      <c r="IUT101" s="953"/>
      <c r="IUU101" s="953"/>
      <c r="IUV101" s="953"/>
      <c r="IUW101" s="953"/>
      <c r="IUX101" s="953"/>
      <c r="IUY101" s="953"/>
      <c r="IUZ101" s="953"/>
      <c r="IVA101" s="953"/>
      <c r="IVB101" s="953"/>
      <c r="IVC101" s="953"/>
      <c r="IVD101" s="953"/>
      <c r="IVE101" s="953"/>
      <c r="IVF101" s="953"/>
      <c r="IVG101" s="953"/>
      <c r="IVH101" s="953"/>
      <c r="IVI101" s="953"/>
      <c r="IVJ101" s="953"/>
      <c r="IVK101" s="953"/>
      <c r="IVL101" s="953"/>
      <c r="IVM101" s="953"/>
      <c r="IVN101" s="953"/>
      <c r="IVO101" s="953"/>
      <c r="IVP101" s="953"/>
      <c r="IVQ101" s="953"/>
      <c r="IVR101" s="953"/>
      <c r="IVS101" s="953"/>
      <c r="IVT101" s="953"/>
      <c r="IVU101" s="953"/>
      <c r="IVV101" s="953"/>
      <c r="IVW101" s="953"/>
      <c r="IVX101" s="953"/>
      <c r="IVY101" s="953"/>
      <c r="IVZ101" s="953"/>
      <c r="IWA101" s="953"/>
      <c r="IWB101" s="953"/>
      <c r="IWC101" s="953"/>
      <c r="IWD101" s="953"/>
      <c r="IWE101" s="953"/>
      <c r="IWF101" s="953"/>
      <c r="IWG101" s="953"/>
      <c r="IWH101" s="953"/>
      <c r="IWI101" s="953"/>
      <c r="IWJ101" s="953"/>
      <c r="IWK101" s="953"/>
      <c r="IWL101" s="953"/>
      <c r="IWM101" s="953"/>
      <c r="IWN101" s="953"/>
      <c r="IWO101" s="953"/>
      <c r="IWP101" s="953"/>
      <c r="IWQ101" s="953"/>
      <c r="IWR101" s="953"/>
      <c r="IWS101" s="953"/>
      <c r="IWT101" s="953"/>
      <c r="IWU101" s="953"/>
      <c r="IWV101" s="953"/>
      <c r="IWW101" s="953"/>
      <c r="IWX101" s="953"/>
      <c r="IWY101" s="953"/>
      <c r="IWZ101" s="953"/>
      <c r="IXA101" s="953"/>
      <c r="IXB101" s="953"/>
      <c r="IXC101" s="953"/>
      <c r="IXD101" s="953"/>
      <c r="IXE101" s="953"/>
      <c r="IXF101" s="953"/>
      <c r="IXG101" s="953"/>
      <c r="IXH101" s="953"/>
      <c r="IXI101" s="953"/>
      <c r="IXJ101" s="953"/>
      <c r="IXK101" s="953"/>
      <c r="IXL101" s="953"/>
      <c r="IXM101" s="953"/>
      <c r="IXN101" s="953"/>
      <c r="IXO101" s="953"/>
      <c r="IXP101" s="953"/>
      <c r="IXQ101" s="953"/>
      <c r="IXR101" s="953"/>
      <c r="IXS101" s="953"/>
      <c r="IXT101" s="953"/>
      <c r="IXU101" s="953"/>
      <c r="IXV101" s="953"/>
      <c r="IXW101" s="953"/>
      <c r="IXX101" s="953"/>
      <c r="IXY101" s="953"/>
      <c r="IXZ101" s="953"/>
      <c r="IYA101" s="953"/>
      <c r="IYB101" s="953"/>
      <c r="IYC101" s="953"/>
      <c r="IYD101" s="953"/>
      <c r="IYE101" s="953"/>
      <c r="IYF101" s="953"/>
      <c r="IYG101" s="953"/>
      <c r="IYH101" s="953"/>
      <c r="IYI101" s="953"/>
      <c r="IYJ101" s="953"/>
      <c r="IYK101" s="953"/>
      <c r="IYL101" s="953"/>
      <c r="IYM101" s="953"/>
      <c r="IYN101" s="953"/>
      <c r="IYO101" s="953"/>
      <c r="IYP101" s="953"/>
      <c r="IYQ101" s="953"/>
      <c r="IYR101" s="953"/>
      <c r="IYS101" s="953"/>
      <c r="IYT101" s="953"/>
      <c r="IYU101" s="953"/>
      <c r="IYV101" s="953"/>
      <c r="IYW101" s="953"/>
      <c r="IYX101" s="953"/>
      <c r="IYY101" s="953"/>
      <c r="IYZ101" s="953"/>
      <c r="IZA101" s="953"/>
      <c r="IZB101" s="953"/>
      <c r="IZC101" s="953"/>
      <c r="IZD101" s="953"/>
      <c r="IZE101" s="953"/>
      <c r="IZF101" s="953"/>
      <c r="IZG101" s="953"/>
      <c r="IZH101" s="953"/>
      <c r="IZI101" s="953"/>
      <c r="IZJ101" s="953"/>
      <c r="IZK101" s="953"/>
      <c r="IZL101" s="953"/>
      <c r="IZM101" s="953"/>
      <c r="IZN101" s="953"/>
      <c r="IZO101" s="953"/>
      <c r="IZP101" s="953"/>
      <c r="IZQ101" s="953"/>
      <c r="IZR101" s="953"/>
      <c r="IZS101" s="953"/>
      <c r="IZT101" s="953"/>
      <c r="IZU101" s="953"/>
      <c r="IZV101" s="953"/>
      <c r="IZW101" s="953"/>
      <c r="IZX101" s="953"/>
      <c r="IZY101" s="953"/>
      <c r="IZZ101" s="953"/>
      <c r="JAA101" s="953"/>
      <c r="JAB101" s="953"/>
      <c r="JAC101" s="953"/>
      <c r="JAD101" s="953"/>
      <c r="JAE101" s="953"/>
      <c r="JAF101" s="953"/>
      <c r="JAG101" s="953"/>
      <c r="JAH101" s="953"/>
      <c r="JAI101" s="953"/>
      <c r="JAJ101" s="953"/>
      <c r="JAK101" s="953"/>
      <c r="JAL101" s="953"/>
      <c r="JAM101" s="953"/>
      <c r="JAN101" s="953"/>
      <c r="JAO101" s="953"/>
      <c r="JAP101" s="953"/>
      <c r="JAQ101" s="953"/>
      <c r="JAR101" s="953"/>
      <c r="JAS101" s="953"/>
      <c r="JAT101" s="953"/>
      <c r="JAU101" s="953"/>
      <c r="JAV101" s="953"/>
      <c r="JAW101" s="953"/>
      <c r="JAX101" s="953"/>
      <c r="JAY101" s="953"/>
      <c r="JAZ101" s="953"/>
      <c r="JBA101" s="953"/>
      <c r="JBB101" s="953"/>
      <c r="JBC101" s="953"/>
      <c r="JBD101" s="953"/>
      <c r="JBE101" s="953"/>
      <c r="JBF101" s="953"/>
      <c r="JBG101" s="953"/>
      <c r="JBH101" s="953"/>
      <c r="JBI101" s="953"/>
      <c r="JBJ101" s="953"/>
      <c r="JBK101" s="953"/>
      <c r="JBL101" s="953"/>
      <c r="JBM101" s="953"/>
      <c r="JBN101" s="953"/>
      <c r="JBO101" s="953"/>
      <c r="JBP101" s="953"/>
      <c r="JBQ101" s="953"/>
      <c r="JBR101" s="953"/>
      <c r="JBS101" s="953"/>
      <c r="JBT101" s="953"/>
      <c r="JBU101" s="953"/>
      <c r="JBV101" s="953"/>
      <c r="JBW101" s="953"/>
      <c r="JBX101" s="953"/>
      <c r="JBY101" s="953"/>
      <c r="JBZ101" s="953"/>
      <c r="JCA101" s="953"/>
      <c r="JCB101" s="953"/>
      <c r="JCC101" s="953"/>
      <c r="JCD101" s="953"/>
      <c r="JCE101" s="953"/>
      <c r="JCF101" s="953"/>
      <c r="JCG101" s="953"/>
      <c r="JCH101" s="953"/>
      <c r="JCI101" s="953"/>
      <c r="JCJ101" s="953"/>
      <c r="JCK101" s="953"/>
      <c r="JCL101" s="953"/>
      <c r="JCM101" s="953"/>
      <c r="JCN101" s="953"/>
      <c r="JCO101" s="953"/>
      <c r="JCP101" s="953"/>
      <c r="JCQ101" s="953"/>
      <c r="JCR101" s="953"/>
      <c r="JCS101" s="953"/>
      <c r="JCT101" s="953"/>
      <c r="JCU101" s="953"/>
      <c r="JCV101" s="953"/>
      <c r="JCW101" s="953"/>
      <c r="JCX101" s="953"/>
      <c r="JCY101" s="953"/>
      <c r="JCZ101" s="953"/>
      <c r="JDA101" s="953"/>
      <c r="JDB101" s="953"/>
      <c r="JDC101" s="953"/>
      <c r="JDD101" s="953"/>
      <c r="JDE101" s="953"/>
      <c r="JDF101" s="953"/>
      <c r="JDG101" s="953"/>
      <c r="JDH101" s="953"/>
      <c r="JDI101" s="953"/>
      <c r="JDJ101" s="953"/>
      <c r="JDK101" s="953"/>
      <c r="JDL101" s="953"/>
      <c r="JDM101" s="953"/>
      <c r="JDN101" s="953"/>
      <c r="JDO101" s="953"/>
      <c r="JDP101" s="953"/>
      <c r="JDQ101" s="953"/>
      <c r="JDR101" s="953"/>
      <c r="JDS101" s="953"/>
      <c r="JDT101" s="953"/>
      <c r="JDU101" s="953"/>
      <c r="JDV101" s="953"/>
      <c r="JDW101" s="953"/>
      <c r="JDX101" s="953"/>
      <c r="JDY101" s="953"/>
      <c r="JDZ101" s="953"/>
      <c r="JEA101" s="953"/>
      <c r="JEB101" s="953"/>
      <c r="JEC101" s="953"/>
      <c r="JED101" s="953"/>
      <c r="JEE101" s="953"/>
      <c r="JEF101" s="953"/>
      <c r="JEG101" s="953"/>
      <c r="JEH101" s="953"/>
      <c r="JEI101" s="953"/>
      <c r="JEJ101" s="953"/>
      <c r="JEK101" s="953"/>
      <c r="JEL101" s="953"/>
      <c r="JEM101" s="953"/>
      <c r="JEN101" s="953"/>
      <c r="JEO101" s="953"/>
      <c r="JEP101" s="953"/>
      <c r="JEQ101" s="953"/>
      <c r="JER101" s="953"/>
      <c r="JES101" s="953"/>
      <c r="JET101" s="953"/>
      <c r="JEU101" s="953"/>
      <c r="JEV101" s="953"/>
      <c r="JEW101" s="953"/>
      <c r="JEX101" s="953"/>
      <c r="JEY101" s="953"/>
      <c r="JEZ101" s="953"/>
      <c r="JFA101" s="953"/>
      <c r="JFB101" s="953"/>
      <c r="JFC101" s="953"/>
      <c r="JFD101" s="953"/>
      <c r="JFE101" s="953"/>
      <c r="JFF101" s="953"/>
      <c r="JFG101" s="953"/>
      <c r="JFH101" s="953"/>
      <c r="JFI101" s="953"/>
      <c r="JFJ101" s="953"/>
      <c r="JFK101" s="953"/>
      <c r="JFL101" s="953"/>
      <c r="JFM101" s="953"/>
      <c r="JFN101" s="953"/>
      <c r="JFO101" s="953"/>
      <c r="JFP101" s="953"/>
      <c r="JFQ101" s="953"/>
      <c r="JFR101" s="953"/>
      <c r="JFS101" s="953"/>
      <c r="JFT101" s="953"/>
      <c r="JFU101" s="953"/>
      <c r="JFV101" s="953"/>
      <c r="JFW101" s="953"/>
      <c r="JFX101" s="953"/>
      <c r="JFY101" s="953"/>
      <c r="JFZ101" s="953"/>
      <c r="JGA101" s="953"/>
      <c r="JGB101" s="953"/>
      <c r="JGC101" s="953"/>
      <c r="JGD101" s="953"/>
      <c r="JGE101" s="953"/>
      <c r="JGF101" s="953"/>
      <c r="JGG101" s="953"/>
      <c r="JGH101" s="953"/>
      <c r="JGI101" s="953"/>
      <c r="JGJ101" s="953"/>
      <c r="JGK101" s="953"/>
      <c r="JGL101" s="953"/>
      <c r="JGM101" s="953"/>
      <c r="JGN101" s="953"/>
      <c r="JGO101" s="953"/>
      <c r="JGP101" s="953"/>
      <c r="JGQ101" s="953"/>
      <c r="JGR101" s="953"/>
      <c r="JGS101" s="953"/>
      <c r="JGT101" s="953"/>
      <c r="JGU101" s="953"/>
      <c r="JGV101" s="953"/>
      <c r="JGW101" s="953"/>
      <c r="JGX101" s="953"/>
      <c r="JGY101" s="953"/>
      <c r="JGZ101" s="953"/>
      <c r="JHA101" s="953"/>
      <c r="JHB101" s="953"/>
      <c r="JHC101" s="953"/>
      <c r="JHD101" s="953"/>
      <c r="JHE101" s="953"/>
      <c r="JHF101" s="953"/>
      <c r="JHG101" s="953"/>
      <c r="JHH101" s="953"/>
      <c r="JHI101" s="953"/>
      <c r="JHJ101" s="953"/>
      <c r="JHK101" s="953"/>
      <c r="JHL101" s="953"/>
      <c r="JHM101" s="953"/>
      <c r="JHN101" s="953"/>
      <c r="JHO101" s="953"/>
      <c r="JHP101" s="953"/>
      <c r="JHQ101" s="953"/>
      <c r="JHR101" s="953"/>
      <c r="JHS101" s="953"/>
      <c r="JHT101" s="953"/>
      <c r="JHU101" s="953"/>
      <c r="JHV101" s="953"/>
      <c r="JHW101" s="953"/>
      <c r="JHX101" s="953"/>
      <c r="JHY101" s="953"/>
      <c r="JHZ101" s="953"/>
      <c r="JIA101" s="953"/>
      <c r="JIB101" s="953"/>
      <c r="JIC101" s="953"/>
      <c r="JID101" s="953"/>
      <c r="JIE101" s="953"/>
      <c r="JIF101" s="953"/>
      <c r="JIG101" s="953"/>
      <c r="JIH101" s="953"/>
      <c r="JII101" s="953"/>
      <c r="JIJ101" s="953"/>
      <c r="JIK101" s="953"/>
      <c r="JIL101" s="953"/>
      <c r="JIM101" s="953"/>
      <c r="JIN101" s="953"/>
      <c r="JIO101" s="953"/>
      <c r="JIP101" s="953"/>
      <c r="JIQ101" s="953"/>
      <c r="JIR101" s="953"/>
      <c r="JIS101" s="953"/>
      <c r="JIT101" s="953"/>
      <c r="JIU101" s="953"/>
      <c r="JIV101" s="953"/>
      <c r="JIW101" s="953"/>
      <c r="JIX101" s="953"/>
      <c r="JIY101" s="953"/>
      <c r="JIZ101" s="953"/>
      <c r="JJA101" s="953"/>
      <c r="JJB101" s="953"/>
      <c r="JJC101" s="953"/>
      <c r="JJD101" s="953"/>
      <c r="JJE101" s="953"/>
      <c r="JJF101" s="953"/>
      <c r="JJG101" s="953"/>
      <c r="JJH101" s="953"/>
      <c r="JJI101" s="953"/>
      <c r="JJJ101" s="953"/>
      <c r="JJK101" s="953"/>
      <c r="JJL101" s="953"/>
      <c r="JJM101" s="953"/>
      <c r="JJN101" s="953"/>
      <c r="JJO101" s="953"/>
      <c r="JJP101" s="953"/>
      <c r="JJQ101" s="953"/>
      <c r="JJR101" s="953"/>
      <c r="JJS101" s="953"/>
      <c r="JJT101" s="953"/>
      <c r="JJU101" s="953"/>
      <c r="JJV101" s="953"/>
      <c r="JJW101" s="953"/>
      <c r="JJX101" s="953"/>
      <c r="JJY101" s="953"/>
      <c r="JJZ101" s="953"/>
      <c r="JKA101" s="953"/>
      <c r="JKB101" s="953"/>
      <c r="JKC101" s="953"/>
      <c r="JKD101" s="953"/>
      <c r="JKE101" s="953"/>
      <c r="JKF101" s="953"/>
      <c r="JKG101" s="953"/>
      <c r="JKH101" s="953"/>
      <c r="JKI101" s="953"/>
      <c r="JKJ101" s="953"/>
      <c r="JKK101" s="953"/>
      <c r="JKL101" s="953"/>
      <c r="JKM101" s="953"/>
      <c r="JKN101" s="953"/>
      <c r="JKO101" s="953"/>
      <c r="JKP101" s="953"/>
      <c r="JKQ101" s="953"/>
      <c r="JKR101" s="953"/>
      <c r="JKS101" s="953"/>
      <c r="JKT101" s="953"/>
      <c r="JKU101" s="953"/>
      <c r="JKV101" s="953"/>
      <c r="JKW101" s="953"/>
      <c r="JKX101" s="953"/>
      <c r="JKY101" s="953"/>
      <c r="JKZ101" s="953"/>
      <c r="JLA101" s="953"/>
      <c r="JLB101" s="953"/>
      <c r="JLC101" s="953"/>
      <c r="JLD101" s="953"/>
      <c r="JLE101" s="953"/>
      <c r="JLF101" s="953"/>
      <c r="JLG101" s="953"/>
      <c r="JLH101" s="953"/>
      <c r="JLI101" s="953"/>
      <c r="JLJ101" s="953"/>
      <c r="JLK101" s="953"/>
      <c r="JLL101" s="953"/>
      <c r="JLM101" s="953"/>
      <c r="JLN101" s="953"/>
      <c r="JLO101" s="953"/>
      <c r="JLP101" s="953"/>
      <c r="JLQ101" s="953"/>
      <c r="JLR101" s="953"/>
      <c r="JLS101" s="953"/>
      <c r="JLT101" s="953"/>
      <c r="JLU101" s="953"/>
      <c r="JLV101" s="953"/>
      <c r="JLW101" s="953"/>
      <c r="JLX101" s="953"/>
      <c r="JLY101" s="953"/>
      <c r="JLZ101" s="953"/>
      <c r="JMA101" s="953"/>
      <c r="JMB101" s="953"/>
      <c r="JMC101" s="953"/>
      <c r="JMD101" s="953"/>
      <c r="JME101" s="953"/>
      <c r="JMF101" s="953"/>
      <c r="JMG101" s="953"/>
      <c r="JMH101" s="953"/>
      <c r="JMI101" s="953"/>
      <c r="JMJ101" s="953"/>
      <c r="JMK101" s="953"/>
      <c r="JML101" s="953"/>
      <c r="JMM101" s="953"/>
      <c r="JMN101" s="953"/>
      <c r="JMO101" s="953"/>
      <c r="JMP101" s="953"/>
      <c r="JMQ101" s="953"/>
      <c r="JMR101" s="953"/>
      <c r="JMS101" s="953"/>
      <c r="JMT101" s="953"/>
      <c r="JMU101" s="953"/>
      <c r="JMV101" s="953"/>
      <c r="JMW101" s="953"/>
      <c r="JMX101" s="953"/>
      <c r="JMY101" s="953"/>
      <c r="JMZ101" s="953"/>
      <c r="JNA101" s="953"/>
      <c r="JNB101" s="953"/>
      <c r="JNC101" s="953"/>
      <c r="JND101" s="953"/>
      <c r="JNE101" s="953"/>
      <c r="JNF101" s="953"/>
      <c r="JNG101" s="953"/>
      <c r="JNH101" s="953"/>
      <c r="JNI101" s="953"/>
      <c r="JNJ101" s="953"/>
      <c r="JNK101" s="953"/>
      <c r="JNL101" s="953"/>
      <c r="JNM101" s="953"/>
      <c r="JNN101" s="953"/>
      <c r="JNO101" s="953"/>
      <c r="JNP101" s="953"/>
      <c r="JNQ101" s="953"/>
      <c r="JNR101" s="953"/>
      <c r="JNS101" s="953"/>
      <c r="JNT101" s="953"/>
      <c r="JNU101" s="953"/>
      <c r="JNV101" s="953"/>
      <c r="JNW101" s="953"/>
      <c r="JNX101" s="953"/>
      <c r="JNY101" s="953"/>
      <c r="JNZ101" s="953"/>
      <c r="JOA101" s="953"/>
      <c r="JOB101" s="953"/>
      <c r="JOC101" s="953"/>
      <c r="JOD101" s="953"/>
      <c r="JOE101" s="953"/>
      <c r="JOF101" s="953"/>
      <c r="JOG101" s="953"/>
      <c r="JOH101" s="953"/>
      <c r="JOI101" s="953"/>
      <c r="JOJ101" s="953"/>
      <c r="JOK101" s="953"/>
      <c r="JOL101" s="953"/>
      <c r="JOM101" s="953"/>
      <c r="JON101" s="953"/>
      <c r="JOO101" s="953"/>
      <c r="JOP101" s="953"/>
      <c r="JOQ101" s="953"/>
      <c r="JOR101" s="953"/>
      <c r="JOS101" s="953"/>
      <c r="JOT101" s="953"/>
      <c r="JOU101" s="953"/>
      <c r="JOV101" s="953"/>
      <c r="JOW101" s="953"/>
      <c r="JOX101" s="953"/>
      <c r="JOY101" s="953"/>
      <c r="JOZ101" s="953"/>
      <c r="JPA101" s="953"/>
      <c r="JPB101" s="953"/>
      <c r="JPC101" s="953"/>
      <c r="JPD101" s="953"/>
      <c r="JPE101" s="953"/>
      <c r="JPF101" s="953"/>
      <c r="JPG101" s="953"/>
      <c r="JPH101" s="953"/>
      <c r="JPI101" s="953"/>
      <c r="JPJ101" s="953"/>
      <c r="JPK101" s="953"/>
      <c r="JPL101" s="953"/>
      <c r="JPM101" s="953"/>
      <c r="JPN101" s="953"/>
      <c r="JPO101" s="953"/>
      <c r="JPP101" s="953"/>
      <c r="JPQ101" s="953"/>
      <c r="JPR101" s="953"/>
      <c r="JPS101" s="953"/>
      <c r="JPT101" s="953"/>
      <c r="JPU101" s="953"/>
      <c r="JPV101" s="953"/>
      <c r="JPW101" s="953"/>
      <c r="JPX101" s="953"/>
      <c r="JPY101" s="953"/>
      <c r="JPZ101" s="953"/>
      <c r="JQA101" s="953"/>
      <c r="JQB101" s="953"/>
      <c r="JQC101" s="953"/>
      <c r="JQD101" s="953"/>
      <c r="JQE101" s="953"/>
      <c r="JQF101" s="953"/>
      <c r="JQG101" s="953"/>
      <c r="JQH101" s="953"/>
      <c r="JQI101" s="953"/>
      <c r="JQJ101" s="953"/>
      <c r="JQK101" s="953"/>
      <c r="JQL101" s="953"/>
      <c r="JQM101" s="953"/>
      <c r="JQN101" s="953"/>
      <c r="JQO101" s="953"/>
      <c r="JQP101" s="953"/>
      <c r="JQQ101" s="953"/>
      <c r="JQR101" s="953"/>
      <c r="JQS101" s="953"/>
      <c r="JQT101" s="953"/>
      <c r="JQU101" s="953"/>
      <c r="JQV101" s="953"/>
      <c r="JQW101" s="953"/>
      <c r="JQX101" s="953"/>
      <c r="JQY101" s="953"/>
      <c r="JQZ101" s="953"/>
      <c r="JRA101" s="953"/>
      <c r="JRB101" s="953"/>
      <c r="JRC101" s="953"/>
      <c r="JRD101" s="953"/>
      <c r="JRE101" s="953"/>
      <c r="JRF101" s="953"/>
      <c r="JRG101" s="953"/>
      <c r="JRH101" s="953"/>
      <c r="JRI101" s="953"/>
      <c r="JRJ101" s="953"/>
      <c r="JRK101" s="953"/>
      <c r="JRL101" s="953"/>
      <c r="JRM101" s="953"/>
      <c r="JRN101" s="953"/>
      <c r="JRO101" s="953"/>
      <c r="JRP101" s="953"/>
      <c r="JRQ101" s="953"/>
      <c r="JRR101" s="953"/>
      <c r="JRS101" s="953"/>
      <c r="JRT101" s="953"/>
      <c r="JRU101" s="953"/>
      <c r="JRV101" s="953"/>
      <c r="JRW101" s="953"/>
      <c r="JRX101" s="953"/>
      <c r="JRY101" s="953"/>
      <c r="JRZ101" s="953"/>
      <c r="JSA101" s="953"/>
      <c r="JSB101" s="953"/>
      <c r="JSC101" s="953"/>
      <c r="JSD101" s="953"/>
      <c r="JSE101" s="953"/>
      <c r="JSF101" s="953"/>
      <c r="JSG101" s="953"/>
      <c r="JSH101" s="953"/>
      <c r="JSI101" s="953"/>
      <c r="JSJ101" s="953"/>
      <c r="JSK101" s="953"/>
      <c r="JSL101" s="953"/>
      <c r="JSM101" s="953"/>
      <c r="JSN101" s="953"/>
      <c r="JSO101" s="953"/>
      <c r="JSP101" s="953"/>
      <c r="JSQ101" s="953"/>
      <c r="JSR101" s="953"/>
      <c r="JSS101" s="953"/>
      <c r="JST101" s="953"/>
      <c r="JSU101" s="953"/>
      <c r="JSV101" s="953"/>
      <c r="JSW101" s="953"/>
      <c r="JSX101" s="953"/>
      <c r="JSY101" s="953"/>
      <c r="JSZ101" s="953"/>
      <c r="JTA101" s="953"/>
      <c r="JTB101" s="953"/>
      <c r="JTC101" s="953"/>
      <c r="JTD101" s="953"/>
      <c r="JTE101" s="953"/>
      <c r="JTF101" s="953"/>
      <c r="JTG101" s="953"/>
      <c r="JTH101" s="953"/>
      <c r="JTI101" s="953"/>
      <c r="JTJ101" s="953"/>
      <c r="JTK101" s="953"/>
      <c r="JTL101" s="953"/>
      <c r="JTM101" s="953"/>
      <c r="JTN101" s="953"/>
      <c r="JTO101" s="953"/>
      <c r="JTP101" s="953"/>
      <c r="JTQ101" s="953"/>
      <c r="JTR101" s="953"/>
      <c r="JTS101" s="953"/>
      <c r="JTT101" s="953"/>
      <c r="JTU101" s="953"/>
      <c r="JTV101" s="953"/>
      <c r="JTW101" s="953"/>
      <c r="JTX101" s="953"/>
      <c r="JTY101" s="953"/>
      <c r="JTZ101" s="953"/>
      <c r="JUA101" s="953"/>
      <c r="JUB101" s="953"/>
      <c r="JUC101" s="953"/>
      <c r="JUD101" s="953"/>
      <c r="JUE101" s="953"/>
      <c r="JUF101" s="953"/>
      <c r="JUG101" s="953"/>
      <c r="JUH101" s="953"/>
      <c r="JUI101" s="953"/>
      <c r="JUJ101" s="953"/>
      <c r="JUK101" s="953"/>
      <c r="JUL101" s="953"/>
      <c r="JUM101" s="953"/>
      <c r="JUN101" s="953"/>
      <c r="JUO101" s="953"/>
      <c r="JUP101" s="953"/>
      <c r="JUQ101" s="953"/>
      <c r="JUR101" s="953"/>
      <c r="JUS101" s="953"/>
      <c r="JUT101" s="953"/>
      <c r="JUU101" s="953"/>
      <c r="JUV101" s="953"/>
      <c r="JUW101" s="953"/>
      <c r="JUX101" s="953"/>
      <c r="JUY101" s="953"/>
      <c r="JUZ101" s="953"/>
      <c r="JVA101" s="953"/>
      <c r="JVB101" s="953"/>
      <c r="JVC101" s="953"/>
      <c r="JVD101" s="953"/>
      <c r="JVE101" s="953"/>
      <c r="JVF101" s="953"/>
      <c r="JVG101" s="953"/>
      <c r="JVH101" s="953"/>
      <c r="JVI101" s="953"/>
      <c r="JVJ101" s="953"/>
      <c r="JVK101" s="953"/>
      <c r="JVL101" s="953"/>
      <c r="JVM101" s="953"/>
      <c r="JVN101" s="953"/>
      <c r="JVO101" s="953"/>
      <c r="JVP101" s="953"/>
      <c r="JVQ101" s="953"/>
      <c r="JVR101" s="953"/>
      <c r="JVS101" s="953"/>
      <c r="JVT101" s="953"/>
      <c r="JVU101" s="953"/>
      <c r="JVV101" s="953"/>
      <c r="JVW101" s="953"/>
      <c r="JVX101" s="953"/>
      <c r="JVY101" s="953"/>
      <c r="JVZ101" s="953"/>
      <c r="JWA101" s="953"/>
      <c r="JWB101" s="953"/>
      <c r="JWC101" s="953"/>
      <c r="JWD101" s="953"/>
      <c r="JWE101" s="953"/>
      <c r="JWF101" s="953"/>
      <c r="JWG101" s="953"/>
      <c r="JWH101" s="953"/>
      <c r="JWI101" s="953"/>
      <c r="JWJ101" s="953"/>
      <c r="JWK101" s="953"/>
      <c r="JWL101" s="953"/>
      <c r="JWM101" s="953"/>
      <c r="JWN101" s="953"/>
      <c r="JWO101" s="953"/>
      <c r="JWP101" s="953"/>
      <c r="JWQ101" s="953"/>
      <c r="JWR101" s="953"/>
      <c r="JWS101" s="953"/>
      <c r="JWT101" s="953"/>
      <c r="JWU101" s="953"/>
      <c r="JWV101" s="953"/>
      <c r="JWW101" s="953"/>
      <c r="JWX101" s="953"/>
      <c r="JWY101" s="953"/>
      <c r="JWZ101" s="953"/>
      <c r="JXA101" s="953"/>
      <c r="JXB101" s="953"/>
      <c r="JXC101" s="953"/>
      <c r="JXD101" s="953"/>
      <c r="JXE101" s="953"/>
      <c r="JXF101" s="953"/>
      <c r="JXG101" s="953"/>
      <c r="JXH101" s="953"/>
      <c r="JXI101" s="953"/>
      <c r="JXJ101" s="953"/>
      <c r="JXK101" s="953"/>
      <c r="JXL101" s="953"/>
      <c r="JXM101" s="953"/>
      <c r="JXN101" s="953"/>
      <c r="JXO101" s="953"/>
      <c r="JXP101" s="953"/>
      <c r="JXQ101" s="953"/>
      <c r="JXR101" s="953"/>
      <c r="JXS101" s="953"/>
      <c r="JXT101" s="953"/>
      <c r="JXU101" s="953"/>
      <c r="JXV101" s="953"/>
      <c r="JXW101" s="953"/>
      <c r="JXX101" s="953"/>
      <c r="JXY101" s="953"/>
      <c r="JXZ101" s="953"/>
      <c r="JYA101" s="953"/>
      <c r="JYB101" s="953"/>
      <c r="JYC101" s="953"/>
      <c r="JYD101" s="953"/>
      <c r="JYE101" s="953"/>
      <c r="JYF101" s="953"/>
      <c r="JYG101" s="953"/>
      <c r="JYH101" s="953"/>
      <c r="JYI101" s="953"/>
      <c r="JYJ101" s="953"/>
      <c r="JYK101" s="953"/>
      <c r="JYL101" s="953"/>
      <c r="JYM101" s="953"/>
      <c r="JYN101" s="953"/>
      <c r="JYO101" s="953"/>
      <c r="JYP101" s="953"/>
      <c r="JYQ101" s="953"/>
      <c r="JYR101" s="953"/>
      <c r="JYS101" s="953"/>
      <c r="JYT101" s="953"/>
      <c r="JYU101" s="953"/>
      <c r="JYV101" s="953"/>
      <c r="JYW101" s="953"/>
      <c r="JYX101" s="953"/>
      <c r="JYY101" s="953"/>
      <c r="JYZ101" s="953"/>
      <c r="JZA101" s="953"/>
      <c r="JZB101" s="953"/>
      <c r="JZC101" s="953"/>
      <c r="JZD101" s="953"/>
      <c r="JZE101" s="953"/>
      <c r="JZF101" s="953"/>
      <c r="JZG101" s="953"/>
      <c r="JZH101" s="953"/>
      <c r="JZI101" s="953"/>
      <c r="JZJ101" s="953"/>
      <c r="JZK101" s="953"/>
      <c r="JZL101" s="953"/>
      <c r="JZM101" s="953"/>
      <c r="JZN101" s="953"/>
      <c r="JZO101" s="953"/>
      <c r="JZP101" s="953"/>
      <c r="JZQ101" s="953"/>
      <c r="JZR101" s="953"/>
      <c r="JZS101" s="953"/>
      <c r="JZT101" s="953"/>
      <c r="JZU101" s="953"/>
      <c r="JZV101" s="953"/>
      <c r="JZW101" s="953"/>
      <c r="JZX101" s="953"/>
      <c r="JZY101" s="953"/>
      <c r="JZZ101" s="953"/>
      <c r="KAA101" s="953"/>
      <c r="KAB101" s="953"/>
      <c r="KAC101" s="953"/>
      <c r="KAD101" s="953"/>
      <c r="KAE101" s="953"/>
      <c r="KAF101" s="953"/>
      <c r="KAG101" s="953"/>
      <c r="KAH101" s="953"/>
      <c r="KAI101" s="953"/>
      <c r="KAJ101" s="953"/>
      <c r="KAK101" s="953"/>
      <c r="KAL101" s="953"/>
      <c r="KAM101" s="953"/>
      <c r="KAN101" s="953"/>
      <c r="KAO101" s="953"/>
      <c r="KAP101" s="953"/>
      <c r="KAQ101" s="953"/>
      <c r="KAR101" s="953"/>
      <c r="KAS101" s="953"/>
      <c r="KAT101" s="953"/>
      <c r="KAU101" s="953"/>
      <c r="KAV101" s="953"/>
      <c r="KAW101" s="953"/>
      <c r="KAX101" s="953"/>
      <c r="KAY101" s="953"/>
      <c r="KAZ101" s="953"/>
      <c r="KBA101" s="953"/>
      <c r="KBB101" s="953"/>
      <c r="KBC101" s="953"/>
      <c r="KBD101" s="953"/>
      <c r="KBE101" s="953"/>
      <c r="KBF101" s="953"/>
      <c r="KBG101" s="953"/>
      <c r="KBH101" s="953"/>
      <c r="KBI101" s="953"/>
      <c r="KBJ101" s="953"/>
      <c r="KBK101" s="953"/>
      <c r="KBL101" s="953"/>
      <c r="KBM101" s="953"/>
      <c r="KBN101" s="953"/>
      <c r="KBO101" s="953"/>
      <c r="KBP101" s="953"/>
      <c r="KBQ101" s="953"/>
      <c r="KBR101" s="953"/>
      <c r="KBS101" s="953"/>
      <c r="KBT101" s="953"/>
      <c r="KBU101" s="953"/>
      <c r="KBV101" s="953"/>
      <c r="KBW101" s="953"/>
      <c r="KBX101" s="953"/>
      <c r="KBY101" s="953"/>
      <c r="KBZ101" s="953"/>
      <c r="KCA101" s="953"/>
      <c r="KCB101" s="953"/>
      <c r="KCC101" s="953"/>
      <c r="KCD101" s="953"/>
      <c r="KCE101" s="953"/>
      <c r="KCF101" s="953"/>
      <c r="KCG101" s="953"/>
      <c r="KCH101" s="953"/>
      <c r="KCI101" s="953"/>
      <c r="KCJ101" s="953"/>
      <c r="KCK101" s="953"/>
      <c r="KCL101" s="953"/>
      <c r="KCM101" s="953"/>
      <c r="KCN101" s="953"/>
      <c r="KCO101" s="953"/>
      <c r="KCP101" s="953"/>
      <c r="KCQ101" s="953"/>
      <c r="KCR101" s="953"/>
      <c r="KCS101" s="953"/>
      <c r="KCT101" s="953"/>
      <c r="KCU101" s="953"/>
      <c r="KCV101" s="953"/>
      <c r="KCW101" s="953"/>
      <c r="KCX101" s="953"/>
      <c r="KCY101" s="953"/>
      <c r="KCZ101" s="953"/>
      <c r="KDA101" s="953"/>
      <c r="KDB101" s="953"/>
      <c r="KDC101" s="953"/>
      <c r="KDD101" s="953"/>
      <c r="KDE101" s="953"/>
      <c r="KDF101" s="953"/>
      <c r="KDG101" s="953"/>
      <c r="KDH101" s="953"/>
      <c r="KDI101" s="953"/>
      <c r="KDJ101" s="953"/>
      <c r="KDK101" s="953"/>
      <c r="KDL101" s="953"/>
      <c r="KDM101" s="953"/>
      <c r="KDN101" s="953"/>
      <c r="KDO101" s="953"/>
      <c r="KDP101" s="953"/>
      <c r="KDQ101" s="953"/>
      <c r="KDR101" s="953"/>
      <c r="KDS101" s="953"/>
      <c r="KDT101" s="953"/>
      <c r="KDU101" s="953"/>
      <c r="KDV101" s="953"/>
      <c r="KDW101" s="953"/>
      <c r="KDX101" s="953"/>
      <c r="KDY101" s="953"/>
      <c r="KDZ101" s="953"/>
      <c r="KEA101" s="953"/>
      <c r="KEB101" s="953"/>
      <c r="KEC101" s="953"/>
      <c r="KED101" s="953"/>
      <c r="KEE101" s="953"/>
      <c r="KEF101" s="953"/>
      <c r="KEG101" s="953"/>
      <c r="KEH101" s="953"/>
      <c r="KEI101" s="953"/>
      <c r="KEJ101" s="953"/>
      <c r="KEK101" s="953"/>
      <c r="KEL101" s="953"/>
      <c r="KEM101" s="953"/>
      <c r="KEN101" s="953"/>
      <c r="KEO101" s="953"/>
      <c r="KEP101" s="953"/>
      <c r="KEQ101" s="953"/>
      <c r="KER101" s="953"/>
      <c r="KES101" s="953"/>
      <c r="KET101" s="953"/>
      <c r="KEU101" s="953"/>
      <c r="KEV101" s="953"/>
      <c r="KEW101" s="953"/>
      <c r="KEX101" s="953"/>
      <c r="KEY101" s="953"/>
      <c r="KEZ101" s="953"/>
      <c r="KFA101" s="953"/>
      <c r="KFB101" s="953"/>
      <c r="KFC101" s="953"/>
      <c r="KFD101" s="953"/>
      <c r="KFE101" s="953"/>
      <c r="KFF101" s="953"/>
      <c r="KFG101" s="953"/>
      <c r="KFH101" s="953"/>
      <c r="KFI101" s="953"/>
      <c r="KFJ101" s="953"/>
      <c r="KFK101" s="953"/>
      <c r="KFL101" s="953"/>
      <c r="KFM101" s="953"/>
      <c r="KFN101" s="953"/>
      <c r="KFO101" s="953"/>
      <c r="KFP101" s="953"/>
      <c r="KFQ101" s="953"/>
      <c r="KFR101" s="953"/>
      <c r="KFS101" s="953"/>
      <c r="KFT101" s="953"/>
      <c r="KFU101" s="953"/>
      <c r="KFV101" s="953"/>
      <c r="KFW101" s="953"/>
      <c r="KFX101" s="953"/>
      <c r="KFY101" s="953"/>
      <c r="KFZ101" s="953"/>
      <c r="KGA101" s="953"/>
      <c r="KGB101" s="953"/>
      <c r="KGC101" s="953"/>
      <c r="KGD101" s="953"/>
      <c r="KGE101" s="953"/>
      <c r="KGF101" s="953"/>
      <c r="KGG101" s="953"/>
      <c r="KGH101" s="953"/>
      <c r="KGI101" s="953"/>
      <c r="KGJ101" s="953"/>
      <c r="KGK101" s="953"/>
      <c r="KGL101" s="953"/>
      <c r="KGM101" s="953"/>
      <c r="KGN101" s="953"/>
      <c r="KGO101" s="953"/>
      <c r="KGP101" s="953"/>
      <c r="KGQ101" s="953"/>
      <c r="KGR101" s="953"/>
      <c r="KGS101" s="953"/>
      <c r="KGT101" s="953"/>
      <c r="KGU101" s="953"/>
      <c r="KGV101" s="953"/>
      <c r="KGW101" s="953"/>
      <c r="KGX101" s="953"/>
      <c r="KGY101" s="953"/>
      <c r="KGZ101" s="953"/>
      <c r="KHA101" s="953"/>
      <c r="KHB101" s="953"/>
      <c r="KHC101" s="953"/>
      <c r="KHD101" s="953"/>
      <c r="KHE101" s="953"/>
      <c r="KHF101" s="953"/>
      <c r="KHG101" s="953"/>
      <c r="KHH101" s="953"/>
      <c r="KHI101" s="953"/>
      <c r="KHJ101" s="953"/>
      <c r="KHK101" s="953"/>
      <c r="KHL101" s="953"/>
      <c r="KHM101" s="953"/>
      <c r="KHN101" s="953"/>
      <c r="KHO101" s="953"/>
      <c r="KHP101" s="953"/>
      <c r="KHQ101" s="953"/>
      <c r="KHR101" s="953"/>
      <c r="KHS101" s="953"/>
      <c r="KHT101" s="953"/>
      <c r="KHU101" s="953"/>
      <c r="KHV101" s="953"/>
      <c r="KHW101" s="953"/>
      <c r="KHX101" s="953"/>
      <c r="KHY101" s="953"/>
      <c r="KHZ101" s="953"/>
      <c r="KIA101" s="953"/>
      <c r="KIB101" s="953"/>
      <c r="KIC101" s="953"/>
      <c r="KID101" s="953"/>
      <c r="KIE101" s="953"/>
      <c r="KIF101" s="953"/>
      <c r="KIG101" s="953"/>
      <c r="KIH101" s="953"/>
      <c r="KII101" s="953"/>
      <c r="KIJ101" s="953"/>
      <c r="KIK101" s="953"/>
      <c r="KIL101" s="953"/>
      <c r="KIM101" s="953"/>
      <c r="KIN101" s="953"/>
      <c r="KIO101" s="953"/>
      <c r="KIP101" s="953"/>
      <c r="KIQ101" s="953"/>
      <c r="KIR101" s="953"/>
      <c r="KIS101" s="953"/>
      <c r="KIT101" s="953"/>
      <c r="KIU101" s="953"/>
      <c r="KIV101" s="953"/>
      <c r="KIW101" s="953"/>
      <c r="KIX101" s="953"/>
      <c r="KIY101" s="953"/>
      <c r="KIZ101" s="953"/>
      <c r="KJA101" s="953"/>
      <c r="KJB101" s="953"/>
      <c r="KJC101" s="953"/>
      <c r="KJD101" s="953"/>
      <c r="KJE101" s="953"/>
      <c r="KJF101" s="953"/>
      <c r="KJG101" s="953"/>
      <c r="KJH101" s="953"/>
      <c r="KJI101" s="953"/>
      <c r="KJJ101" s="953"/>
      <c r="KJK101" s="953"/>
      <c r="KJL101" s="953"/>
      <c r="KJM101" s="953"/>
      <c r="KJN101" s="953"/>
      <c r="KJO101" s="953"/>
      <c r="KJP101" s="953"/>
      <c r="KJQ101" s="953"/>
      <c r="KJR101" s="953"/>
      <c r="KJS101" s="953"/>
      <c r="KJT101" s="953"/>
      <c r="KJU101" s="953"/>
      <c r="KJV101" s="953"/>
      <c r="KJW101" s="953"/>
      <c r="KJX101" s="953"/>
      <c r="KJY101" s="953"/>
      <c r="KJZ101" s="953"/>
      <c r="KKA101" s="953"/>
      <c r="KKB101" s="953"/>
      <c r="KKC101" s="953"/>
      <c r="KKD101" s="953"/>
      <c r="KKE101" s="953"/>
      <c r="KKF101" s="953"/>
      <c r="KKG101" s="953"/>
      <c r="KKH101" s="953"/>
      <c r="KKI101" s="953"/>
      <c r="KKJ101" s="953"/>
      <c r="KKK101" s="953"/>
      <c r="KKL101" s="953"/>
      <c r="KKM101" s="953"/>
      <c r="KKN101" s="953"/>
      <c r="KKO101" s="953"/>
      <c r="KKP101" s="953"/>
      <c r="KKQ101" s="953"/>
      <c r="KKR101" s="953"/>
      <c r="KKS101" s="953"/>
      <c r="KKT101" s="953"/>
      <c r="KKU101" s="953"/>
      <c r="KKV101" s="953"/>
      <c r="KKW101" s="953"/>
      <c r="KKX101" s="953"/>
      <c r="KKY101" s="953"/>
      <c r="KKZ101" s="953"/>
      <c r="KLA101" s="953"/>
      <c r="KLB101" s="953"/>
      <c r="KLC101" s="953"/>
      <c r="KLD101" s="953"/>
      <c r="KLE101" s="953"/>
      <c r="KLF101" s="953"/>
      <c r="KLG101" s="953"/>
      <c r="KLH101" s="953"/>
      <c r="KLI101" s="953"/>
      <c r="KLJ101" s="953"/>
      <c r="KLK101" s="953"/>
      <c r="KLL101" s="953"/>
      <c r="KLM101" s="953"/>
      <c r="KLN101" s="953"/>
      <c r="KLO101" s="953"/>
      <c r="KLP101" s="953"/>
      <c r="KLQ101" s="953"/>
      <c r="KLR101" s="953"/>
      <c r="KLS101" s="953"/>
      <c r="KLT101" s="953"/>
      <c r="KLU101" s="953"/>
      <c r="KLV101" s="953"/>
      <c r="KLW101" s="953"/>
      <c r="KLX101" s="953"/>
      <c r="KLY101" s="953"/>
      <c r="KLZ101" s="953"/>
      <c r="KMA101" s="953"/>
      <c r="KMB101" s="953"/>
      <c r="KMC101" s="953"/>
      <c r="KMD101" s="953"/>
      <c r="KME101" s="953"/>
      <c r="KMF101" s="953"/>
      <c r="KMG101" s="953"/>
      <c r="KMH101" s="953"/>
      <c r="KMI101" s="953"/>
      <c r="KMJ101" s="953"/>
      <c r="KMK101" s="953"/>
      <c r="KML101" s="953"/>
      <c r="KMM101" s="953"/>
      <c r="KMN101" s="953"/>
      <c r="KMO101" s="953"/>
      <c r="KMP101" s="953"/>
      <c r="KMQ101" s="953"/>
      <c r="KMR101" s="953"/>
      <c r="KMS101" s="953"/>
      <c r="KMT101" s="953"/>
      <c r="KMU101" s="953"/>
      <c r="KMV101" s="953"/>
      <c r="KMW101" s="953"/>
      <c r="KMX101" s="953"/>
      <c r="KMY101" s="953"/>
      <c r="KMZ101" s="953"/>
      <c r="KNA101" s="953"/>
      <c r="KNB101" s="953"/>
      <c r="KNC101" s="953"/>
      <c r="KND101" s="953"/>
      <c r="KNE101" s="953"/>
      <c r="KNF101" s="953"/>
      <c r="KNG101" s="953"/>
      <c r="KNH101" s="953"/>
      <c r="KNI101" s="953"/>
      <c r="KNJ101" s="953"/>
      <c r="KNK101" s="953"/>
      <c r="KNL101" s="953"/>
      <c r="KNM101" s="953"/>
      <c r="KNN101" s="953"/>
      <c r="KNO101" s="953"/>
      <c r="KNP101" s="953"/>
      <c r="KNQ101" s="953"/>
      <c r="KNR101" s="953"/>
      <c r="KNS101" s="953"/>
      <c r="KNT101" s="953"/>
      <c r="KNU101" s="953"/>
      <c r="KNV101" s="953"/>
      <c r="KNW101" s="953"/>
      <c r="KNX101" s="953"/>
      <c r="KNY101" s="953"/>
      <c r="KNZ101" s="953"/>
      <c r="KOA101" s="953"/>
      <c r="KOB101" s="953"/>
      <c r="KOC101" s="953"/>
      <c r="KOD101" s="953"/>
      <c r="KOE101" s="953"/>
      <c r="KOF101" s="953"/>
      <c r="KOG101" s="953"/>
      <c r="KOH101" s="953"/>
      <c r="KOI101" s="953"/>
      <c r="KOJ101" s="953"/>
      <c r="KOK101" s="953"/>
      <c r="KOL101" s="953"/>
      <c r="KOM101" s="953"/>
      <c r="KON101" s="953"/>
      <c r="KOO101" s="953"/>
      <c r="KOP101" s="953"/>
      <c r="KOQ101" s="953"/>
      <c r="KOR101" s="953"/>
      <c r="KOS101" s="953"/>
      <c r="KOT101" s="953"/>
      <c r="KOU101" s="953"/>
      <c r="KOV101" s="953"/>
      <c r="KOW101" s="953"/>
      <c r="KOX101" s="953"/>
      <c r="KOY101" s="953"/>
      <c r="KOZ101" s="953"/>
      <c r="KPA101" s="953"/>
      <c r="KPB101" s="953"/>
      <c r="KPC101" s="953"/>
      <c r="KPD101" s="953"/>
      <c r="KPE101" s="953"/>
      <c r="KPF101" s="953"/>
      <c r="KPG101" s="953"/>
      <c r="KPH101" s="953"/>
      <c r="KPI101" s="953"/>
      <c r="KPJ101" s="953"/>
      <c r="KPK101" s="953"/>
      <c r="KPL101" s="953"/>
      <c r="KPM101" s="953"/>
      <c r="KPN101" s="953"/>
      <c r="KPO101" s="953"/>
      <c r="KPP101" s="953"/>
      <c r="KPQ101" s="953"/>
      <c r="KPR101" s="953"/>
      <c r="KPS101" s="953"/>
      <c r="KPT101" s="953"/>
      <c r="KPU101" s="953"/>
      <c r="KPV101" s="953"/>
      <c r="KPW101" s="953"/>
      <c r="KPX101" s="953"/>
      <c r="KPY101" s="953"/>
      <c r="KPZ101" s="953"/>
      <c r="KQA101" s="953"/>
      <c r="KQB101" s="953"/>
      <c r="KQC101" s="953"/>
      <c r="KQD101" s="953"/>
      <c r="KQE101" s="953"/>
      <c r="KQF101" s="953"/>
      <c r="KQG101" s="953"/>
      <c r="KQH101" s="953"/>
      <c r="KQI101" s="953"/>
      <c r="KQJ101" s="953"/>
      <c r="KQK101" s="953"/>
      <c r="KQL101" s="953"/>
      <c r="KQM101" s="953"/>
      <c r="KQN101" s="953"/>
      <c r="KQO101" s="953"/>
      <c r="KQP101" s="953"/>
      <c r="KQQ101" s="953"/>
      <c r="KQR101" s="953"/>
      <c r="KQS101" s="953"/>
      <c r="KQT101" s="953"/>
      <c r="KQU101" s="953"/>
      <c r="KQV101" s="953"/>
      <c r="KQW101" s="953"/>
      <c r="KQX101" s="953"/>
      <c r="KQY101" s="953"/>
      <c r="KQZ101" s="953"/>
      <c r="KRA101" s="953"/>
      <c r="KRB101" s="953"/>
      <c r="KRC101" s="953"/>
      <c r="KRD101" s="953"/>
      <c r="KRE101" s="953"/>
      <c r="KRF101" s="953"/>
      <c r="KRG101" s="953"/>
      <c r="KRH101" s="953"/>
      <c r="KRI101" s="953"/>
      <c r="KRJ101" s="953"/>
      <c r="KRK101" s="953"/>
      <c r="KRL101" s="953"/>
      <c r="KRM101" s="953"/>
      <c r="KRN101" s="953"/>
      <c r="KRO101" s="953"/>
      <c r="KRP101" s="953"/>
      <c r="KRQ101" s="953"/>
      <c r="KRR101" s="953"/>
      <c r="KRS101" s="953"/>
      <c r="KRT101" s="953"/>
      <c r="KRU101" s="953"/>
      <c r="KRV101" s="953"/>
      <c r="KRW101" s="953"/>
      <c r="KRX101" s="953"/>
      <c r="KRY101" s="953"/>
      <c r="KRZ101" s="953"/>
      <c r="KSA101" s="953"/>
      <c r="KSB101" s="953"/>
      <c r="KSC101" s="953"/>
      <c r="KSD101" s="953"/>
      <c r="KSE101" s="953"/>
      <c r="KSF101" s="953"/>
      <c r="KSG101" s="953"/>
      <c r="KSH101" s="953"/>
      <c r="KSI101" s="953"/>
      <c r="KSJ101" s="953"/>
      <c r="KSK101" s="953"/>
      <c r="KSL101" s="953"/>
      <c r="KSM101" s="953"/>
      <c r="KSN101" s="953"/>
      <c r="KSO101" s="953"/>
      <c r="KSP101" s="953"/>
      <c r="KSQ101" s="953"/>
      <c r="KSR101" s="953"/>
      <c r="KSS101" s="953"/>
      <c r="KST101" s="953"/>
      <c r="KSU101" s="953"/>
      <c r="KSV101" s="953"/>
      <c r="KSW101" s="953"/>
      <c r="KSX101" s="953"/>
      <c r="KSY101" s="953"/>
      <c r="KSZ101" s="953"/>
      <c r="KTA101" s="953"/>
      <c r="KTB101" s="953"/>
      <c r="KTC101" s="953"/>
      <c r="KTD101" s="953"/>
      <c r="KTE101" s="953"/>
      <c r="KTF101" s="953"/>
      <c r="KTG101" s="953"/>
      <c r="KTH101" s="953"/>
      <c r="KTI101" s="953"/>
      <c r="KTJ101" s="953"/>
      <c r="KTK101" s="953"/>
      <c r="KTL101" s="953"/>
      <c r="KTM101" s="953"/>
      <c r="KTN101" s="953"/>
      <c r="KTO101" s="953"/>
      <c r="KTP101" s="953"/>
      <c r="KTQ101" s="953"/>
      <c r="KTR101" s="953"/>
      <c r="KTS101" s="953"/>
      <c r="KTT101" s="953"/>
      <c r="KTU101" s="953"/>
      <c r="KTV101" s="953"/>
      <c r="KTW101" s="953"/>
      <c r="KTX101" s="953"/>
      <c r="KTY101" s="953"/>
      <c r="KTZ101" s="953"/>
      <c r="KUA101" s="953"/>
      <c r="KUB101" s="953"/>
      <c r="KUC101" s="953"/>
      <c r="KUD101" s="953"/>
      <c r="KUE101" s="953"/>
      <c r="KUF101" s="953"/>
      <c r="KUG101" s="953"/>
      <c r="KUH101" s="953"/>
      <c r="KUI101" s="953"/>
      <c r="KUJ101" s="953"/>
      <c r="KUK101" s="953"/>
      <c r="KUL101" s="953"/>
      <c r="KUM101" s="953"/>
      <c r="KUN101" s="953"/>
      <c r="KUO101" s="953"/>
      <c r="KUP101" s="953"/>
      <c r="KUQ101" s="953"/>
      <c r="KUR101" s="953"/>
      <c r="KUS101" s="953"/>
      <c r="KUT101" s="953"/>
      <c r="KUU101" s="953"/>
      <c r="KUV101" s="953"/>
      <c r="KUW101" s="953"/>
      <c r="KUX101" s="953"/>
      <c r="KUY101" s="953"/>
      <c r="KUZ101" s="953"/>
      <c r="KVA101" s="953"/>
      <c r="KVB101" s="953"/>
      <c r="KVC101" s="953"/>
      <c r="KVD101" s="953"/>
      <c r="KVE101" s="953"/>
      <c r="KVF101" s="953"/>
      <c r="KVG101" s="953"/>
      <c r="KVH101" s="953"/>
      <c r="KVI101" s="953"/>
      <c r="KVJ101" s="953"/>
      <c r="KVK101" s="953"/>
      <c r="KVL101" s="953"/>
      <c r="KVM101" s="953"/>
      <c r="KVN101" s="953"/>
      <c r="KVO101" s="953"/>
      <c r="KVP101" s="953"/>
      <c r="KVQ101" s="953"/>
      <c r="KVR101" s="953"/>
      <c r="KVS101" s="953"/>
      <c r="KVT101" s="953"/>
      <c r="KVU101" s="953"/>
      <c r="KVV101" s="953"/>
      <c r="KVW101" s="953"/>
      <c r="KVX101" s="953"/>
      <c r="KVY101" s="953"/>
      <c r="KVZ101" s="953"/>
      <c r="KWA101" s="953"/>
      <c r="KWB101" s="953"/>
      <c r="KWC101" s="953"/>
      <c r="KWD101" s="953"/>
      <c r="KWE101" s="953"/>
      <c r="KWF101" s="953"/>
      <c r="KWG101" s="953"/>
      <c r="KWH101" s="953"/>
      <c r="KWI101" s="953"/>
      <c r="KWJ101" s="953"/>
      <c r="KWK101" s="953"/>
      <c r="KWL101" s="953"/>
      <c r="KWM101" s="953"/>
      <c r="KWN101" s="953"/>
      <c r="KWO101" s="953"/>
      <c r="KWP101" s="953"/>
      <c r="KWQ101" s="953"/>
      <c r="KWR101" s="953"/>
      <c r="KWS101" s="953"/>
      <c r="KWT101" s="953"/>
      <c r="KWU101" s="953"/>
      <c r="KWV101" s="953"/>
      <c r="KWW101" s="953"/>
      <c r="KWX101" s="953"/>
      <c r="KWY101" s="953"/>
      <c r="KWZ101" s="953"/>
      <c r="KXA101" s="953"/>
      <c r="KXB101" s="953"/>
      <c r="KXC101" s="953"/>
      <c r="KXD101" s="953"/>
      <c r="KXE101" s="953"/>
      <c r="KXF101" s="953"/>
      <c r="KXG101" s="953"/>
      <c r="KXH101" s="953"/>
      <c r="KXI101" s="953"/>
      <c r="KXJ101" s="953"/>
      <c r="KXK101" s="953"/>
      <c r="KXL101" s="953"/>
      <c r="KXM101" s="953"/>
      <c r="KXN101" s="953"/>
      <c r="KXO101" s="953"/>
      <c r="KXP101" s="953"/>
      <c r="KXQ101" s="953"/>
      <c r="KXR101" s="953"/>
      <c r="KXS101" s="953"/>
      <c r="KXT101" s="953"/>
      <c r="KXU101" s="953"/>
      <c r="KXV101" s="953"/>
      <c r="KXW101" s="953"/>
      <c r="KXX101" s="953"/>
      <c r="KXY101" s="953"/>
      <c r="KXZ101" s="953"/>
      <c r="KYA101" s="953"/>
      <c r="KYB101" s="953"/>
      <c r="KYC101" s="953"/>
      <c r="KYD101" s="953"/>
      <c r="KYE101" s="953"/>
      <c r="KYF101" s="953"/>
      <c r="KYG101" s="953"/>
      <c r="KYH101" s="953"/>
      <c r="KYI101" s="953"/>
      <c r="KYJ101" s="953"/>
      <c r="KYK101" s="953"/>
      <c r="KYL101" s="953"/>
      <c r="KYM101" s="953"/>
      <c r="KYN101" s="953"/>
      <c r="KYO101" s="953"/>
      <c r="KYP101" s="953"/>
      <c r="KYQ101" s="953"/>
      <c r="KYR101" s="953"/>
      <c r="KYS101" s="953"/>
      <c r="KYT101" s="953"/>
      <c r="KYU101" s="953"/>
      <c r="KYV101" s="953"/>
      <c r="KYW101" s="953"/>
      <c r="KYX101" s="953"/>
      <c r="KYY101" s="953"/>
      <c r="KYZ101" s="953"/>
      <c r="KZA101" s="953"/>
      <c r="KZB101" s="953"/>
      <c r="KZC101" s="953"/>
      <c r="KZD101" s="953"/>
      <c r="KZE101" s="953"/>
      <c r="KZF101" s="953"/>
      <c r="KZG101" s="953"/>
      <c r="KZH101" s="953"/>
      <c r="KZI101" s="953"/>
      <c r="KZJ101" s="953"/>
      <c r="KZK101" s="953"/>
      <c r="KZL101" s="953"/>
      <c r="KZM101" s="953"/>
      <c r="KZN101" s="953"/>
      <c r="KZO101" s="953"/>
      <c r="KZP101" s="953"/>
      <c r="KZQ101" s="953"/>
      <c r="KZR101" s="953"/>
      <c r="KZS101" s="953"/>
      <c r="KZT101" s="953"/>
      <c r="KZU101" s="953"/>
      <c r="KZV101" s="953"/>
      <c r="KZW101" s="953"/>
      <c r="KZX101" s="953"/>
      <c r="KZY101" s="953"/>
      <c r="KZZ101" s="953"/>
      <c r="LAA101" s="953"/>
      <c r="LAB101" s="953"/>
      <c r="LAC101" s="953"/>
      <c r="LAD101" s="953"/>
      <c r="LAE101" s="953"/>
      <c r="LAF101" s="953"/>
      <c r="LAG101" s="953"/>
      <c r="LAH101" s="953"/>
      <c r="LAI101" s="953"/>
      <c r="LAJ101" s="953"/>
      <c r="LAK101" s="953"/>
      <c r="LAL101" s="953"/>
      <c r="LAM101" s="953"/>
      <c r="LAN101" s="953"/>
      <c r="LAO101" s="953"/>
      <c r="LAP101" s="953"/>
      <c r="LAQ101" s="953"/>
      <c r="LAR101" s="953"/>
      <c r="LAS101" s="953"/>
      <c r="LAT101" s="953"/>
      <c r="LAU101" s="953"/>
      <c r="LAV101" s="953"/>
      <c r="LAW101" s="953"/>
      <c r="LAX101" s="953"/>
      <c r="LAY101" s="953"/>
      <c r="LAZ101" s="953"/>
      <c r="LBA101" s="953"/>
      <c r="LBB101" s="953"/>
      <c r="LBC101" s="953"/>
      <c r="LBD101" s="953"/>
      <c r="LBE101" s="953"/>
      <c r="LBF101" s="953"/>
      <c r="LBG101" s="953"/>
      <c r="LBH101" s="953"/>
      <c r="LBI101" s="953"/>
      <c r="LBJ101" s="953"/>
      <c r="LBK101" s="953"/>
      <c r="LBL101" s="953"/>
      <c r="LBM101" s="953"/>
      <c r="LBN101" s="953"/>
      <c r="LBO101" s="953"/>
      <c r="LBP101" s="953"/>
      <c r="LBQ101" s="953"/>
      <c r="LBR101" s="953"/>
      <c r="LBS101" s="953"/>
      <c r="LBT101" s="953"/>
      <c r="LBU101" s="953"/>
      <c r="LBV101" s="953"/>
      <c r="LBW101" s="953"/>
      <c r="LBX101" s="953"/>
      <c r="LBY101" s="953"/>
      <c r="LBZ101" s="953"/>
      <c r="LCA101" s="953"/>
      <c r="LCB101" s="953"/>
      <c r="LCC101" s="953"/>
      <c r="LCD101" s="953"/>
      <c r="LCE101" s="953"/>
      <c r="LCF101" s="953"/>
      <c r="LCG101" s="953"/>
      <c r="LCH101" s="953"/>
      <c r="LCI101" s="953"/>
      <c r="LCJ101" s="953"/>
      <c r="LCK101" s="953"/>
      <c r="LCL101" s="953"/>
      <c r="LCM101" s="953"/>
      <c r="LCN101" s="953"/>
      <c r="LCO101" s="953"/>
      <c r="LCP101" s="953"/>
      <c r="LCQ101" s="953"/>
      <c r="LCR101" s="953"/>
      <c r="LCS101" s="953"/>
      <c r="LCT101" s="953"/>
      <c r="LCU101" s="953"/>
      <c r="LCV101" s="953"/>
      <c r="LCW101" s="953"/>
      <c r="LCX101" s="953"/>
      <c r="LCY101" s="953"/>
      <c r="LCZ101" s="953"/>
      <c r="LDA101" s="953"/>
      <c r="LDB101" s="953"/>
      <c r="LDC101" s="953"/>
      <c r="LDD101" s="953"/>
      <c r="LDE101" s="953"/>
      <c r="LDF101" s="953"/>
      <c r="LDG101" s="953"/>
      <c r="LDH101" s="953"/>
      <c r="LDI101" s="953"/>
      <c r="LDJ101" s="953"/>
      <c r="LDK101" s="953"/>
      <c r="LDL101" s="953"/>
      <c r="LDM101" s="953"/>
      <c r="LDN101" s="953"/>
      <c r="LDO101" s="953"/>
      <c r="LDP101" s="953"/>
      <c r="LDQ101" s="953"/>
      <c r="LDR101" s="953"/>
      <c r="LDS101" s="953"/>
      <c r="LDT101" s="953"/>
      <c r="LDU101" s="953"/>
      <c r="LDV101" s="953"/>
      <c r="LDW101" s="953"/>
      <c r="LDX101" s="953"/>
      <c r="LDY101" s="953"/>
      <c r="LDZ101" s="953"/>
      <c r="LEA101" s="953"/>
      <c r="LEB101" s="953"/>
      <c r="LEC101" s="953"/>
      <c r="LED101" s="953"/>
      <c r="LEE101" s="953"/>
      <c r="LEF101" s="953"/>
      <c r="LEG101" s="953"/>
      <c r="LEH101" s="953"/>
      <c r="LEI101" s="953"/>
      <c r="LEJ101" s="953"/>
      <c r="LEK101" s="953"/>
      <c r="LEL101" s="953"/>
      <c r="LEM101" s="953"/>
      <c r="LEN101" s="953"/>
      <c r="LEO101" s="953"/>
      <c r="LEP101" s="953"/>
      <c r="LEQ101" s="953"/>
      <c r="LER101" s="953"/>
      <c r="LES101" s="953"/>
      <c r="LET101" s="953"/>
      <c r="LEU101" s="953"/>
      <c r="LEV101" s="953"/>
      <c r="LEW101" s="953"/>
      <c r="LEX101" s="953"/>
      <c r="LEY101" s="953"/>
      <c r="LEZ101" s="953"/>
      <c r="LFA101" s="953"/>
      <c r="LFB101" s="953"/>
      <c r="LFC101" s="953"/>
      <c r="LFD101" s="953"/>
      <c r="LFE101" s="953"/>
      <c r="LFF101" s="953"/>
      <c r="LFG101" s="953"/>
      <c r="LFH101" s="953"/>
      <c r="LFI101" s="953"/>
      <c r="LFJ101" s="953"/>
      <c r="LFK101" s="953"/>
      <c r="LFL101" s="953"/>
      <c r="LFM101" s="953"/>
      <c r="LFN101" s="953"/>
      <c r="LFO101" s="953"/>
      <c r="LFP101" s="953"/>
      <c r="LFQ101" s="953"/>
      <c r="LFR101" s="953"/>
      <c r="LFS101" s="953"/>
      <c r="LFT101" s="953"/>
      <c r="LFU101" s="953"/>
      <c r="LFV101" s="953"/>
      <c r="LFW101" s="953"/>
      <c r="LFX101" s="953"/>
      <c r="LFY101" s="953"/>
      <c r="LFZ101" s="953"/>
      <c r="LGA101" s="953"/>
      <c r="LGB101" s="953"/>
      <c r="LGC101" s="953"/>
      <c r="LGD101" s="953"/>
      <c r="LGE101" s="953"/>
      <c r="LGF101" s="953"/>
      <c r="LGG101" s="953"/>
      <c r="LGH101" s="953"/>
      <c r="LGI101" s="953"/>
      <c r="LGJ101" s="953"/>
      <c r="LGK101" s="953"/>
      <c r="LGL101" s="953"/>
      <c r="LGM101" s="953"/>
      <c r="LGN101" s="953"/>
      <c r="LGO101" s="953"/>
      <c r="LGP101" s="953"/>
      <c r="LGQ101" s="953"/>
      <c r="LGR101" s="953"/>
      <c r="LGS101" s="953"/>
      <c r="LGT101" s="953"/>
      <c r="LGU101" s="953"/>
      <c r="LGV101" s="953"/>
      <c r="LGW101" s="953"/>
      <c r="LGX101" s="953"/>
      <c r="LGY101" s="953"/>
      <c r="LGZ101" s="953"/>
      <c r="LHA101" s="953"/>
      <c r="LHB101" s="953"/>
      <c r="LHC101" s="953"/>
      <c r="LHD101" s="953"/>
      <c r="LHE101" s="953"/>
      <c r="LHF101" s="953"/>
      <c r="LHG101" s="953"/>
      <c r="LHH101" s="953"/>
      <c r="LHI101" s="953"/>
      <c r="LHJ101" s="953"/>
      <c r="LHK101" s="953"/>
      <c r="LHL101" s="953"/>
      <c r="LHM101" s="953"/>
      <c r="LHN101" s="953"/>
      <c r="LHO101" s="953"/>
      <c r="LHP101" s="953"/>
      <c r="LHQ101" s="953"/>
      <c r="LHR101" s="953"/>
      <c r="LHS101" s="953"/>
      <c r="LHT101" s="953"/>
      <c r="LHU101" s="953"/>
      <c r="LHV101" s="953"/>
      <c r="LHW101" s="953"/>
      <c r="LHX101" s="953"/>
      <c r="LHY101" s="953"/>
      <c r="LHZ101" s="953"/>
      <c r="LIA101" s="953"/>
      <c r="LIB101" s="953"/>
      <c r="LIC101" s="953"/>
      <c r="LID101" s="953"/>
      <c r="LIE101" s="953"/>
      <c r="LIF101" s="953"/>
      <c r="LIG101" s="953"/>
      <c r="LIH101" s="953"/>
      <c r="LII101" s="953"/>
      <c r="LIJ101" s="953"/>
      <c r="LIK101" s="953"/>
      <c r="LIL101" s="953"/>
      <c r="LIM101" s="953"/>
      <c r="LIN101" s="953"/>
      <c r="LIO101" s="953"/>
      <c r="LIP101" s="953"/>
      <c r="LIQ101" s="953"/>
      <c r="LIR101" s="953"/>
      <c r="LIS101" s="953"/>
      <c r="LIT101" s="953"/>
      <c r="LIU101" s="953"/>
      <c r="LIV101" s="953"/>
      <c r="LIW101" s="953"/>
      <c r="LIX101" s="953"/>
      <c r="LIY101" s="953"/>
      <c r="LIZ101" s="953"/>
      <c r="LJA101" s="953"/>
      <c r="LJB101" s="953"/>
      <c r="LJC101" s="953"/>
      <c r="LJD101" s="953"/>
      <c r="LJE101" s="953"/>
      <c r="LJF101" s="953"/>
      <c r="LJG101" s="953"/>
      <c r="LJH101" s="953"/>
      <c r="LJI101" s="953"/>
      <c r="LJJ101" s="953"/>
      <c r="LJK101" s="953"/>
      <c r="LJL101" s="953"/>
      <c r="LJM101" s="953"/>
      <c r="LJN101" s="953"/>
      <c r="LJO101" s="953"/>
      <c r="LJP101" s="953"/>
      <c r="LJQ101" s="953"/>
      <c r="LJR101" s="953"/>
      <c r="LJS101" s="953"/>
      <c r="LJT101" s="953"/>
      <c r="LJU101" s="953"/>
      <c r="LJV101" s="953"/>
      <c r="LJW101" s="953"/>
      <c r="LJX101" s="953"/>
      <c r="LJY101" s="953"/>
      <c r="LJZ101" s="953"/>
      <c r="LKA101" s="953"/>
      <c r="LKB101" s="953"/>
      <c r="LKC101" s="953"/>
      <c r="LKD101" s="953"/>
      <c r="LKE101" s="953"/>
      <c r="LKF101" s="953"/>
      <c r="LKG101" s="953"/>
      <c r="LKH101" s="953"/>
      <c r="LKI101" s="953"/>
      <c r="LKJ101" s="953"/>
      <c r="LKK101" s="953"/>
      <c r="LKL101" s="953"/>
      <c r="LKM101" s="953"/>
      <c r="LKN101" s="953"/>
      <c r="LKO101" s="953"/>
      <c r="LKP101" s="953"/>
      <c r="LKQ101" s="953"/>
      <c r="LKR101" s="953"/>
      <c r="LKS101" s="953"/>
      <c r="LKT101" s="953"/>
      <c r="LKU101" s="953"/>
      <c r="LKV101" s="953"/>
      <c r="LKW101" s="953"/>
      <c r="LKX101" s="953"/>
      <c r="LKY101" s="953"/>
      <c r="LKZ101" s="953"/>
      <c r="LLA101" s="953"/>
      <c r="LLB101" s="953"/>
      <c r="LLC101" s="953"/>
      <c r="LLD101" s="953"/>
      <c r="LLE101" s="953"/>
      <c r="LLF101" s="953"/>
      <c r="LLG101" s="953"/>
      <c r="LLH101" s="953"/>
      <c r="LLI101" s="953"/>
      <c r="LLJ101" s="953"/>
      <c r="LLK101" s="953"/>
      <c r="LLL101" s="953"/>
      <c r="LLM101" s="953"/>
      <c r="LLN101" s="953"/>
      <c r="LLO101" s="953"/>
      <c r="LLP101" s="953"/>
      <c r="LLQ101" s="953"/>
      <c r="LLR101" s="953"/>
      <c r="LLS101" s="953"/>
      <c r="LLT101" s="953"/>
      <c r="LLU101" s="953"/>
      <c r="LLV101" s="953"/>
      <c r="LLW101" s="953"/>
      <c r="LLX101" s="953"/>
      <c r="LLY101" s="953"/>
      <c r="LLZ101" s="953"/>
      <c r="LMA101" s="953"/>
      <c r="LMB101" s="953"/>
      <c r="LMC101" s="953"/>
      <c r="LMD101" s="953"/>
      <c r="LME101" s="953"/>
      <c r="LMF101" s="953"/>
      <c r="LMG101" s="953"/>
      <c r="LMH101" s="953"/>
      <c r="LMI101" s="953"/>
      <c r="LMJ101" s="953"/>
      <c r="LMK101" s="953"/>
      <c r="LML101" s="953"/>
      <c r="LMM101" s="953"/>
      <c r="LMN101" s="953"/>
      <c r="LMO101" s="953"/>
      <c r="LMP101" s="953"/>
      <c r="LMQ101" s="953"/>
      <c r="LMR101" s="953"/>
      <c r="LMS101" s="953"/>
      <c r="LMT101" s="953"/>
      <c r="LMU101" s="953"/>
      <c r="LMV101" s="953"/>
      <c r="LMW101" s="953"/>
      <c r="LMX101" s="953"/>
      <c r="LMY101" s="953"/>
      <c r="LMZ101" s="953"/>
      <c r="LNA101" s="953"/>
      <c r="LNB101" s="953"/>
      <c r="LNC101" s="953"/>
      <c r="LND101" s="953"/>
      <c r="LNE101" s="953"/>
      <c r="LNF101" s="953"/>
      <c r="LNG101" s="953"/>
      <c r="LNH101" s="953"/>
      <c r="LNI101" s="953"/>
      <c r="LNJ101" s="953"/>
      <c r="LNK101" s="953"/>
      <c r="LNL101" s="953"/>
      <c r="LNM101" s="953"/>
      <c r="LNN101" s="953"/>
      <c r="LNO101" s="953"/>
      <c r="LNP101" s="953"/>
      <c r="LNQ101" s="953"/>
      <c r="LNR101" s="953"/>
      <c r="LNS101" s="953"/>
      <c r="LNT101" s="953"/>
      <c r="LNU101" s="953"/>
      <c r="LNV101" s="953"/>
      <c r="LNW101" s="953"/>
      <c r="LNX101" s="953"/>
      <c r="LNY101" s="953"/>
      <c r="LNZ101" s="953"/>
      <c r="LOA101" s="953"/>
      <c r="LOB101" s="953"/>
      <c r="LOC101" s="953"/>
      <c r="LOD101" s="953"/>
      <c r="LOE101" s="953"/>
      <c r="LOF101" s="953"/>
      <c r="LOG101" s="953"/>
      <c r="LOH101" s="953"/>
      <c r="LOI101" s="953"/>
      <c r="LOJ101" s="953"/>
      <c r="LOK101" s="953"/>
      <c r="LOL101" s="953"/>
      <c r="LOM101" s="953"/>
      <c r="LON101" s="953"/>
      <c r="LOO101" s="953"/>
      <c r="LOP101" s="953"/>
      <c r="LOQ101" s="953"/>
      <c r="LOR101" s="953"/>
      <c r="LOS101" s="953"/>
      <c r="LOT101" s="953"/>
      <c r="LOU101" s="953"/>
      <c r="LOV101" s="953"/>
      <c r="LOW101" s="953"/>
      <c r="LOX101" s="953"/>
      <c r="LOY101" s="953"/>
      <c r="LOZ101" s="953"/>
      <c r="LPA101" s="953"/>
      <c r="LPB101" s="953"/>
      <c r="LPC101" s="953"/>
      <c r="LPD101" s="953"/>
      <c r="LPE101" s="953"/>
      <c r="LPF101" s="953"/>
      <c r="LPG101" s="953"/>
      <c r="LPH101" s="953"/>
      <c r="LPI101" s="953"/>
      <c r="LPJ101" s="953"/>
      <c r="LPK101" s="953"/>
      <c r="LPL101" s="953"/>
      <c r="LPM101" s="953"/>
      <c r="LPN101" s="953"/>
      <c r="LPO101" s="953"/>
      <c r="LPP101" s="953"/>
      <c r="LPQ101" s="953"/>
      <c r="LPR101" s="953"/>
      <c r="LPS101" s="953"/>
      <c r="LPT101" s="953"/>
      <c r="LPU101" s="953"/>
      <c r="LPV101" s="953"/>
      <c r="LPW101" s="953"/>
      <c r="LPX101" s="953"/>
      <c r="LPY101" s="953"/>
      <c r="LPZ101" s="953"/>
      <c r="LQA101" s="953"/>
      <c r="LQB101" s="953"/>
      <c r="LQC101" s="953"/>
      <c r="LQD101" s="953"/>
      <c r="LQE101" s="953"/>
      <c r="LQF101" s="953"/>
      <c r="LQG101" s="953"/>
      <c r="LQH101" s="953"/>
      <c r="LQI101" s="953"/>
      <c r="LQJ101" s="953"/>
      <c r="LQK101" s="953"/>
      <c r="LQL101" s="953"/>
      <c r="LQM101" s="953"/>
      <c r="LQN101" s="953"/>
      <c r="LQO101" s="953"/>
      <c r="LQP101" s="953"/>
      <c r="LQQ101" s="953"/>
      <c r="LQR101" s="953"/>
      <c r="LQS101" s="953"/>
      <c r="LQT101" s="953"/>
      <c r="LQU101" s="953"/>
      <c r="LQV101" s="953"/>
      <c r="LQW101" s="953"/>
      <c r="LQX101" s="953"/>
      <c r="LQY101" s="953"/>
      <c r="LQZ101" s="953"/>
      <c r="LRA101" s="953"/>
      <c r="LRB101" s="953"/>
      <c r="LRC101" s="953"/>
      <c r="LRD101" s="953"/>
      <c r="LRE101" s="953"/>
      <c r="LRF101" s="953"/>
      <c r="LRG101" s="953"/>
      <c r="LRH101" s="953"/>
      <c r="LRI101" s="953"/>
      <c r="LRJ101" s="953"/>
      <c r="LRK101" s="953"/>
      <c r="LRL101" s="953"/>
      <c r="LRM101" s="953"/>
      <c r="LRN101" s="953"/>
      <c r="LRO101" s="953"/>
      <c r="LRP101" s="953"/>
      <c r="LRQ101" s="953"/>
      <c r="LRR101" s="953"/>
      <c r="LRS101" s="953"/>
      <c r="LRT101" s="953"/>
      <c r="LRU101" s="953"/>
      <c r="LRV101" s="953"/>
      <c r="LRW101" s="953"/>
      <c r="LRX101" s="953"/>
      <c r="LRY101" s="953"/>
      <c r="LRZ101" s="953"/>
      <c r="LSA101" s="953"/>
      <c r="LSB101" s="953"/>
      <c r="LSC101" s="953"/>
      <c r="LSD101" s="953"/>
      <c r="LSE101" s="953"/>
      <c r="LSF101" s="953"/>
      <c r="LSG101" s="953"/>
      <c r="LSH101" s="953"/>
      <c r="LSI101" s="953"/>
      <c r="LSJ101" s="953"/>
      <c r="LSK101" s="953"/>
      <c r="LSL101" s="953"/>
      <c r="LSM101" s="953"/>
      <c r="LSN101" s="953"/>
      <c r="LSO101" s="953"/>
      <c r="LSP101" s="953"/>
      <c r="LSQ101" s="953"/>
      <c r="LSR101" s="953"/>
      <c r="LSS101" s="953"/>
      <c r="LST101" s="953"/>
      <c r="LSU101" s="953"/>
      <c r="LSV101" s="953"/>
      <c r="LSW101" s="953"/>
      <c r="LSX101" s="953"/>
      <c r="LSY101" s="953"/>
      <c r="LSZ101" s="953"/>
      <c r="LTA101" s="953"/>
      <c r="LTB101" s="953"/>
      <c r="LTC101" s="953"/>
      <c r="LTD101" s="953"/>
      <c r="LTE101" s="953"/>
      <c r="LTF101" s="953"/>
      <c r="LTG101" s="953"/>
      <c r="LTH101" s="953"/>
      <c r="LTI101" s="953"/>
      <c r="LTJ101" s="953"/>
      <c r="LTK101" s="953"/>
      <c r="LTL101" s="953"/>
      <c r="LTM101" s="953"/>
      <c r="LTN101" s="953"/>
      <c r="LTO101" s="953"/>
      <c r="LTP101" s="953"/>
      <c r="LTQ101" s="953"/>
      <c r="LTR101" s="953"/>
      <c r="LTS101" s="953"/>
      <c r="LTT101" s="953"/>
      <c r="LTU101" s="953"/>
      <c r="LTV101" s="953"/>
      <c r="LTW101" s="953"/>
      <c r="LTX101" s="953"/>
      <c r="LTY101" s="953"/>
      <c r="LTZ101" s="953"/>
      <c r="LUA101" s="953"/>
      <c r="LUB101" s="953"/>
      <c r="LUC101" s="953"/>
      <c r="LUD101" s="953"/>
      <c r="LUE101" s="953"/>
      <c r="LUF101" s="953"/>
      <c r="LUG101" s="953"/>
      <c r="LUH101" s="953"/>
      <c r="LUI101" s="953"/>
      <c r="LUJ101" s="953"/>
      <c r="LUK101" s="953"/>
      <c r="LUL101" s="953"/>
      <c r="LUM101" s="953"/>
      <c r="LUN101" s="953"/>
      <c r="LUO101" s="953"/>
      <c r="LUP101" s="953"/>
      <c r="LUQ101" s="953"/>
      <c r="LUR101" s="953"/>
      <c r="LUS101" s="953"/>
      <c r="LUT101" s="953"/>
      <c r="LUU101" s="953"/>
      <c r="LUV101" s="953"/>
      <c r="LUW101" s="953"/>
      <c r="LUX101" s="953"/>
      <c r="LUY101" s="953"/>
      <c r="LUZ101" s="953"/>
      <c r="LVA101" s="953"/>
      <c r="LVB101" s="953"/>
      <c r="LVC101" s="953"/>
      <c r="LVD101" s="953"/>
      <c r="LVE101" s="953"/>
      <c r="LVF101" s="953"/>
      <c r="LVG101" s="953"/>
      <c r="LVH101" s="953"/>
      <c r="LVI101" s="953"/>
      <c r="LVJ101" s="953"/>
      <c r="LVK101" s="953"/>
      <c r="LVL101" s="953"/>
      <c r="LVM101" s="953"/>
      <c r="LVN101" s="953"/>
      <c r="LVO101" s="953"/>
      <c r="LVP101" s="953"/>
      <c r="LVQ101" s="953"/>
      <c r="LVR101" s="953"/>
      <c r="LVS101" s="953"/>
      <c r="LVT101" s="953"/>
      <c r="LVU101" s="953"/>
      <c r="LVV101" s="953"/>
      <c r="LVW101" s="953"/>
      <c r="LVX101" s="953"/>
      <c r="LVY101" s="953"/>
      <c r="LVZ101" s="953"/>
      <c r="LWA101" s="953"/>
      <c r="LWB101" s="953"/>
      <c r="LWC101" s="953"/>
      <c r="LWD101" s="953"/>
      <c r="LWE101" s="953"/>
      <c r="LWF101" s="953"/>
      <c r="LWG101" s="953"/>
      <c r="LWH101" s="953"/>
      <c r="LWI101" s="953"/>
      <c r="LWJ101" s="953"/>
      <c r="LWK101" s="953"/>
      <c r="LWL101" s="953"/>
      <c r="LWM101" s="953"/>
      <c r="LWN101" s="953"/>
      <c r="LWO101" s="953"/>
      <c r="LWP101" s="953"/>
      <c r="LWQ101" s="953"/>
      <c r="LWR101" s="953"/>
      <c r="LWS101" s="953"/>
      <c r="LWT101" s="953"/>
      <c r="LWU101" s="953"/>
      <c r="LWV101" s="953"/>
      <c r="LWW101" s="953"/>
      <c r="LWX101" s="953"/>
      <c r="LWY101" s="953"/>
      <c r="LWZ101" s="953"/>
      <c r="LXA101" s="953"/>
      <c r="LXB101" s="953"/>
      <c r="LXC101" s="953"/>
      <c r="LXD101" s="953"/>
      <c r="LXE101" s="953"/>
      <c r="LXF101" s="953"/>
      <c r="LXG101" s="953"/>
      <c r="LXH101" s="953"/>
      <c r="LXI101" s="953"/>
      <c r="LXJ101" s="953"/>
      <c r="LXK101" s="953"/>
      <c r="LXL101" s="953"/>
      <c r="LXM101" s="953"/>
      <c r="LXN101" s="953"/>
      <c r="LXO101" s="953"/>
      <c r="LXP101" s="953"/>
      <c r="LXQ101" s="953"/>
      <c r="LXR101" s="953"/>
      <c r="LXS101" s="953"/>
      <c r="LXT101" s="953"/>
      <c r="LXU101" s="953"/>
      <c r="LXV101" s="953"/>
      <c r="LXW101" s="953"/>
      <c r="LXX101" s="953"/>
      <c r="LXY101" s="953"/>
      <c r="LXZ101" s="953"/>
      <c r="LYA101" s="953"/>
      <c r="LYB101" s="953"/>
      <c r="LYC101" s="953"/>
      <c r="LYD101" s="953"/>
      <c r="LYE101" s="953"/>
      <c r="LYF101" s="953"/>
      <c r="LYG101" s="953"/>
      <c r="LYH101" s="953"/>
      <c r="LYI101" s="953"/>
      <c r="LYJ101" s="953"/>
      <c r="LYK101" s="953"/>
      <c r="LYL101" s="953"/>
      <c r="LYM101" s="953"/>
      <c r="LYN101" s="953"/>
      <c r="LYO101" s="953"/>
      <c r="LYP101" s="953"/>
      <c r="LYQ101" s="953"/>
      <c r="LYR101" s="953"/>
      <c r="LYS101" s="953"/>
      <c r="LYT101" s="953"/>
      <c r="LYU101" s="953"/>
      <c r="LYV101" s="953"/>
      <c r="LYW101" s="953"/>
      <c r="LYX101" s="953"/>
      <c r="LYY101" s="953"/>
      <c r="LYZ101" s="953"/>
      <c r="LZA101" s="953"/>
      <c r="LZB101" s="953"/>
      <c r="LZC101" s="953"/>
      <c r="LZD101" s="953"/>
      <c r="LZE101" s="953"/>
      <c r="LZF101" s="953"/>
      <c r="LZG101" s="953"/>
      <c r="LZH101" s="953"/>
      <c r="LZI101" s="953"/>
      <c r="LZJ101" s="953"/>
      <c r="LZK101" s="953"/>
      <c r="LZL101" s="953"/>
      <c r="LZM101" s="953"/>
      <c r="LZN101" s="953"/>
      <c r="LZO101" s="953"/>
      <c r="LZP101" s="953"/>
      <c r="LZQ101" s="953"/>
      <c r="LZR101" s="953"/>
      <c r="LZS101" s="953"/>
      <c r="LZT101" s="953"/>
      <c r="LZU101" s="953"/>
      <c r="LZV101" s="953"/>
      <c r="LZW101" s="953"/>
      <c r="LZX101" s="953"/>
      <c r="LZY101" s="953"/>
      <c r="LZZ101" s="953"/>
      <c r="MAA101" s="953"/>
      <c r="MAB101" s="953"/>
      <c r="MAC101" s="953"/>
      <c r="MAD101" s="953"/>
      <c r="MAE101" s="953"/>
      <c r="MAF101" s="953"/>
      <c r="MAG101" s="953"/>
      <c r="MAH101" s="953"/>
      <c r="MAI101" s="953"/>
      <c r="MAJ101" s="953"/>
      <c r="MAK101" s="953"/>
      <c r="MAL101" s="953"/>
      <c r="MAM101" s="953"/>
      <c r="MAN101" s="953"/>
      <c r="MAO101" s="953"/>
      <c r="MAP101" s="953"/>
      <c r="MAQ101" s="953"/>
      <c r="MAR101" s="953"/>
      <c r="MAS101" s="953"/>
      <c r="MAT101" s="953"/>
      <c r="MAU101" s="953"/>
      <c r="MAV101" s="953"/>
      <c r="MAW101" s="953"/>
      <c r="MAX101" s="953"/>
      <c r="MAY101" s="953"/>
      <c r="MAZ101" s="953"/>
      <c r="MBA101" s="953"/>
      <c r="MBB101" s="953"/>
      <c r="MBC101" s="953"/>
      <c r="MBD101" s="953"/>
      <c r="MBE101" s="953"/>
      <c r="MBF101" s="953"/>
      <c r="MBG101" s="953"/>
      <c r="MBH101" s="953"/>
      <c r="MBI101" s="953"/>
      <c r="MBJ101" s="953"/>
      <c r="MBK101" s="953"/>
      <c r="MBL101" s="953"/>
      <c r="MBM101" s="953"/>
      <c r="MBN101" s="953"/>
      <c r="MBO101" s="953"/>
      <c r="MBP101" s="953"/>
      <c r="MBQ101" s="953"/>
      <c r="MBR101" s="953"/>
      <c r="MBS101" s="953"/>
      <c r="MBT101" s="953"/>
      <c r="MBU101" s="953"/>
      <c r="MBV101" s="953"/>
      <c r="MBW101" s="953"/>
      <c r="MBX101" s="953"/>
      <c r="MBY101" s="953"/>
      <c r="MBZ101" s="953"/>
      <c r="MCA101" s="953"/>
      <c r="MCB101" s="953"/>
      <c r="MCC101" s="953"/>
      <c r="MCD101" s="953"/>
      <c r="MCE101" s="953"/>
      <c r="MCF101" s="953"/>
      <c r="MCG101" s="953"/>
      <c r="MCH101" s="953"/>
      <c r="MCI101" s="953"/>
      <c r="MCJ101" s="953"/>
      <c r="MCK101" s="953"/>
      <c r="MCL101" s="953"/>
      <c r="MCM101" s="953"/>
      <c r="MCN101" s="953"/>
      <c r="MCO101" s="953"/>
      <c r="MCP101" s="953"/>
      <c r="MCQ101" s="953"/>
      <c r="MCR101" s="953"/>
      <c r="MCS101" s="953"/>
      <c r="MCT101" s="953"/>
      <c r="MCU101" s="953"/>
      <c r="MCV101" s="953"/>
      <c r="MCW101" s="953"/>
      <c r="MCX101" s="953"/>
      <c r="MCY101" s="953"/>
      <c r="MCZ101" s="953"/>
      <c r="MDA101" s="953"/>
      <c r="MDB101" s="953"/>
      <c r="MDC101" s="953"/>
      <c r="MDD101" s="953"/>
      <c r="MDE101" s="953"/>
      <c r="MDF101" s="953"/>
      <c r="MDG101" s="953"/>
      <c r="MDH101" s="953"/>
      <c r="MDI101" s="953"/>
      <c r="MDJ101" s="953"/>
      <c r="MDK101" s="953"/>
      <c r="MDL101" s="953"/>
      <c r="MDM101" s="953"/>
      <c r="MDN101" s="953"/>
      <c r="MDO101" s="953"/>
      <c r="MDP101" s="953"/>
      <c r="MDQ101" s="953"/>
      <c r="MDR101" s="953"/>
      <c r="MDS101" s="953"/>
      <c r="MDT101" s="953"/>
      <c r="MDU101" s="953"/>
      <c r="MDV101" s="953"/>
      <c r="MDW101" s="953"/>
      <c r="MDX101" s="953"/>
      <c r="MDY101" s="953"/>
      <c r="MDZ101" s="953"/>
      <c r="MEA101" s="953"/>
      <c r="MEB101" s="953"/>
      <c r="MEC101" s="953"/>
      <c r="MED101" s="953"/>
      <c r="MEE101" s="953"/>
      <c r="MEF101" s="953"/>
      <c r="MEG101" s="953"/>
      <c r="MEH101" s="953"/>
      <c r="MEI101" s="953"/>
      <c r="MEJ101" s="953"/>
      <c r="MEK101" s="953"/>
      <c r="MEL101" s="953"/>
      <c r="MEM101" s="953"/>
      <c r="MEN101" s="953"/>
      <c r="MEO101" s="953"/>
      <c r="MEP101" s="953"/>
      <c r="MEQ101" s="953"/>
      <c r="MER101" s="953"/>
      <c r="MES101" s="953"/>
      <c r="MET101" s="953"/>
      <c r="MEU101" s="953"/>
      <c r="MEV101" s="953"/>
      <c r="MEW101" s="953"/>
      <c r="MEX101" s="953"/>
      <c r="MEY101" s="953"/>
      <c r="MEZ101" s="953"/>
      <c r="MFA101" s="953"/>
      <c r="MFB101" s="953"/>
      <c r="MFC101" s="953"/>
      <c r="MFD101" s="953"/>
      <c r="MFE101" s="953"/>
      <c r="MFF101" s="953"/>
      <c r="MFG101" s="953"/>
      <c r="MFH101" s="953"/>
      <c r="MFI101" s="953"/>
      <c r="MFJ101" s="953"/>
      <c r="MFK101" s="953"/>
      <c r="MFL101" s="953"/>
      <c r="MFM101" s="953"/>
      <c r="MFN101" s="953"/>
      <c r="MFO101" s="953"/>
      <c r="MFP101" s="953"/>
      <c r="MFQ101" s="953"/>
      <c r="MFR101" s="953"/>
      <c r="MFS101" s="953"/>
      <c r="MFT101" s="953"/>
      <c r="MFU101" s="953"/>
      <c r="MFV101" s="953"/>
      <c r="MFW101" s="953"/>
      <c r="MFX101" s="953"/>
      <c r="MFY101" s="953"/>
      <c r="MFZ101" s="953"/>
      <c r="MGA101" s="953"/>
      <c r="MGB101" s="953"/>
      <c r="MGC101" s="953"/>
      <c r="MGD101" s="953"/>
      <c r="MGE101" s="953"/>
      <c r="MGF101" s="953"/>
      <c r="MGG101" s="953"/>
      <c r="MGH101" s="953"/>
      <c r="MGI101" s="953"/>
      <c r="MGJ101" s="953"/>
      <c r="MGK101" s="953"/>
      <c r="MGL101" s="953"/>
      <c r="MGM101" s="953"/>
      <c r="MGN101" s="953"/>
      <c r="MGO101" s="953"/>
      <c r="MGP101" s="953"/>
      <c r="MGQ101" s="953"/>
      <c r="MGR101" s="953"/>
      <c r="MGS101" s="953"/>
      <c r="MGT101" s="953"/>
      <c r="MGU101" s="953"/>
      <c r="MGV101" s="953"/>
      <c r="MGW101" s="953"/>
      <c r="MGX101" s="953"/>
      <c r="MGY101" s="953"/>
      <c r="MGZ101" s="953"/>
      <c r="MHA101" s="953"/>
      <c r="MHB101" s="953"/>
      <c r="MHC101" s="953"/>
      <c r="MHD101" s="953"/>
      <c r="MHE101" s="953"/>
      <c r="MHF101" s="953"/>
      <c r="MHG101" s="953"/>
      <c r="MHH101" s="953"/>
      <c r="MHI101" s="953"/>
      <c r="MHJ101" s="953"/>
      <c r="MHK101" s="953"/>
      <c r="MHL101" s="953"/>
      <c r="MHM101" s="953"/>
      <c r="MHN101" s="953"/>
      <c r="MHO101" s="953"/>
      <c r="MHP101" s="953"/>
      <c r="MHQ101" s="953"/>
      <c r="MHR101" s="953"/>
      <c r="MHS101" s="953"/>
      <c r="MHT101" s="953"/>
      <c r="MHU101" s="953"/>
      <c r="MHV101" s="953"/>
      <c r="MHW101" s="953"/>
      <c r="MHX101" s="953"/>
      <c r="MHY101" s="953"/>
      <c r="MHZ101" s="953"/>
      <c r="MIA101" s="953"/>
      <c r="MIB101" s="953"/>
      <c r="MIC101" s="953"/>
      <c r="MID101" s="953"/>
      <c r="MIE101" s="953"/>
      <c r="MIF101" s="953"/>
      <c r="MIG101" s="953"/>
      <c r="MIH101" s="953"/>
      <c r="MII101" s="953"/>
      <c r="MIJ101" s="953"/>
      <c r="MIK101" s="953"/>
      <c r="MIL101" s="953"/>
      <c r="MIM101" s="953"/>
      <c r="MIN101" s="953"/>
      <c r="MIO101" s="953"/>
      <c r="MIP101" s="953"/>
      <c r="MIQ101" s="953"/>
      <c r="MIR101" s="953"/>
      <c r="MIS101" s="953"/>
      <c r="MIT101" s="953"/>
      <c r="MIU101" s="953"/>
      <c r="MIV101" s="953"/>
      <c r="MIW101" s="953"/>
      <c r="MIX101" s="953"/>
      <c r="MIY101" s="953"/>
      <c r="MIZ101" s="953"/>
      <c r="MJA101" s="953"/>
      <c r="MJB101" s="953"/>
      <c r="MJC101" s="953"/>
      <c r="MJD101" s="953"/>
      <c r="MJE101" s="953"/>
      <c r="MJF101" s="953"/>
      <c r="MJG101" s="953"/>
      <c r="MJH101" s="953"/>
      <c r="MJI101" s="953"/>
      <c r="MJJ101" s="953"/>
      <c r="MJK101" s="953"/>
      <c r="MJL101" s="953"/>
      <c r="MJM101" s="953"/>
      <c r="MJN101" s="953"/>
      <c r="MJO101" s="953"/>
      <c r="MJP101" s="953"/>
      <c r="MJQ101" s="953"/>
      <c r="MJR101" s="953"/>
      <c r="MJS101" s="953"/>
      <c r="MJT101" s="953"/>
      <c r="MJU101" s="953"/>
      <c r="MJV101" s="953"/>
      <c r="MJW101" s="953"/>
      <c r="MJX101" s="953"/>
      <c r="MJY101" s="953"/>
      <c r="MJZ101" s="953"/>
      <c r="MKA101" s="953"/>
      <c r="MKB101" s="953"/>
      <c r="MKC101" s="953"/>
      <c r="MKD101" s="953"/>
      <c r="MKE101" s="953"/>
      <c r="MKF101" s="953"/>
      <c r="MKG101" s="953"/>
      <c r="MKH101" s="953"/>
      <c r="MKI101" s="953"/>
      <c r="MKJ101" s="953"/>
      <c r="MKK101" s="953"/>
      <c r="MKL101" s="953"/>
      <c r="MKM101" s="953"/>
      <c r="MKN101" s="953"/>
      <c r="MKO101" s="953"/>
      <c r="MKP101" s="953"/>
      <c r="MKQ101" s="953"/>
      <c r="MKR101" s="953"/>
      <c r="MKS101" s="953"/>
      <c r="MKT101" s="953"/>
      <c r="MKU101" s="953"/>
      <c r="MKV101" s="953"/>
      <c r="MKW101" s="953"/>
      <c r="MKX101" s="953"/>
      <c r="MKY101" s="953"/>
      <c r="MKZ101" s="953"/>
      <c r="MLA101" s="953"/>
      <c r="MLB101" s="953"/>
      <c r="MLC101" s="953"/>
      <c r="MLD101" s="953"/>
      <c r="MLE101" s="953"/>
      <c r="MLF101" s="953"/>
      <c r="MLG101" s="953"/>
      <c r="MLH101" s="953"/>
      <c r="MLI101" s="953"/>
      <c r="MLJ101" s="953"/>
      <c r="MLK101" s="953"/>
      <c r="MLL101" s="953"/>
      <c r="MLM101" s="953"/>
      <c r="MLN101" s="953"/>
      <c r="MLO101" s="953"/>
      <c r="MLP101" s="953"/>
      <c r="MLQ101" s="953"/>
      <c r="MLR101" s="953"/>
      <c r="MLS101" s="953"/>
      <c r="MLT101" s="953"/>
      <c r="MLU101" s="953"/>
      <c r="MLV101" s="953"/>
      <c r="MLW101" s="953"/>
      <c r="MLX101" s="953"/>
      <c r="MLY101" s="953"/>
      <c r="MLZ101" s="953"/>
      <c r="MMA101" s="953"/>
      <c r="MMB101" s="953"/>
      <c r="MMC101" s="953"/>
      <c r="MMD101" s="953"/>
      <c r="MME101" s="953"/>
      <c r="MMF101" s="953"/>
      <c r="MMG101" s="953"/>
      <c r="MMH101" s="953"/>
      <c r="MMI101" s="953"/>
      <c r="MMJ101" s="953"/>
      <c r="MMK101" s="953"/>
      <c r="MML101" s="953"/>
      <c r="MMM101" s="953"/>
      <c r="MMN101" s="953"/>
      <c r="MMO101" s="953"/>
      <c r="MMP101" s="953"/>
      <c r="MMQ101" s="953"/>
      <c r="MMR101" s="953"/>
      <c r="MMS101" s="953"/>
      <c r="MMT101" s="953"/>
      <c r="MMU101" s="953"/>
      <c r="MMV101" s="953"/>
      <c r="MMW101" s="953"/>
      <c r="MMX101" s="953"/>
      <c r="MMY101" s="953"/>
      <c r="MMZ101" s="953"/>
      <c r="MNA101" s="953"/>
      <c r="MNB101" s="953"/>
      <c r="MNC101" s="953"/>
      <c r="MND101" s="953"/>
      <c r="MNE101" s="953"/>
      <c r="MNF101" s="953"/>
      <c r="MNG101" s="953"/>
      <c r="MNH101" s="953"/>
      <c r="MNI101" s="953"/>
      <c r="MNJ101" s="953"/>
      <c r="MNK101" s="953"/>
      <c r="MNL101" s="953"/>
      <c r="MNM101" s="953"/>
      <c r="MNN101" s="953"/>
      <c r="MNO101" s="953"/>
      <c r="MNP101" s="953"/>
      <c r="MNQ101" s="953"/>
      <c r="MNR101" s="953"/>
      <c r="MNS101" s="953"/>
      <c r="MNT101" s="953"/>
      <c r="MNU101" s="953"/>
      <c r="MNV101" s="953"/>
      <c r="MNW101" s="953"/>
      <c r="MNX101" s="953"/>
      <c r="MNY101" s="953"/>
      <c r="MNZ101" s="953"/>
      <c r="MOA101" s="953"/>
      <c r="MOB101" s="953"/>
      <c r="MOC101" s="953"/>
      <c r="MOD101" s="953"/>
      <c r="MOE101" s="953"/>
      <c r="MOF101" s="953"/>
      <c r="MOG101" s="953"/>
      <c r="MOH101" s="953"/>
      <c r="MOI101" s="953"/>
      <c r="MOJ101" s="953"/>
      <c r="MOK101" s="953"/>
      <c r="MOL101" s="953"/>
      <c r="MOM101" s="953"/>
      <c r="MON101" s="953"/>
      <c r="MOO101" s="953"/>
      <c r="MOP101" s="953"/>
      <c r="MOQ101" s="953"/>
      <c r="MOR101" s="953"/>
      <c r="MOS101" s="953"/>
      <c r="MOT101" s="953"/>
      <c r="MOU101" s="953"/>
      <c r="MOV101" s="953"/>
      <c r="MOW101" s="953"/>
      <c r="MOX101" s="953"/>
      <c r="MOY101" s="953"/>
      <c r="MOZ101" s="953"/>
      <c r="MPA101" s="953"/>
      <c r="MPB101" s="953"/>
      <c r="MPC101" s="953"/>
      <c r="MPD101" s="953"/>
      <c r="MPE101" s="953"/>
      <c r="MPF101" s="953"/>
      <c r="MPG101" s="953"/>
      <c r="MPH101" s="953"/>
      <c r="MPI101" s="953"/>
      <c r="MPJ101" s="953"/>
      <c r="MPK101" s="953"/>
      <c r="MPL101" s="953"/>
      <c r="MPM101" s="953"/>
      <c r="MPN101" s="953"/>
      <c r="MPO101" s="953"/>
      <c r="MPP101" s="953"/>
      <c r="MPQ101" s="953"/>
      <c r="MPR101" s="953"/>
      <c r="MPS101" s="953"/>
      <c r="MPT101" s="953"/>
      <c r="MPU101" s="953"/>
      <c r="MPV101" s="953"/>
      <c r="MPW101" s="953"/>
      <c r="MPX101" s="953"/>
      <c r="MPY101" s="953"/>
      <c r="MPZ101" s="953"/>
      <c r="MQA101" s="953"/>
      <c r="MQB101" s="953"/>
      <c r="MQC101" s="953"/>
      <c r="MQD101" s="953"/>
      <c r="MQE101" s="953"/>
      <c r="MQF101" s="953"/>
      <c r="MQG101" s="953"/>
      <c r="MQH101" s="953"/>
      <c r="MQI101" s="953"/>
      <c r="MQJ101" s="953"/>
      <c r="MQK101" s="953"/>
      <c r="MQL101" s="953"/>
      <c r="MQM101" s="953"/>
      <c r="MQN101" s="953"/>
      <c r="MQO101" s="953"/>
      <c r="MQP101" s="953"/>
      <c r="MQQ101" s="953"/>
      <c r="MQR101" s="953"/>
      <c r="MQS101" s="953"/>
      <c r="MQT101" s="953"/>
      <c r="MQU101" s="953"/>
      <c r="MQV101" s="953"/>
      <c r="MQW101" s="953"/>
      <c r="MQX101" s="953"/>
      <c r="MQY101" s="953"/>
      <c r="MQZ101" s="953"/>
      <c r="MRA101" s="953"/>
      <c r="MRB101" s="953"/>
      <c r="MRC101" s="953"/>
      <c r="MRD101" s="953"/>
      <c r="MRE101" s="953"/>
      <c r="MRF101" s="953"/>
      <c r="MRG101" s="953"/>
      <c r="MRH101" s="953"/>
      <c r="MRI101" s="953"/>
      <c r="MRJ101" s="953"/>
      <c r="MRK101" s="953"/>
      <c r="MRL101" s="953"/>
      <c r="MRM101" s="953"/>
      <c r="MRN101" s="953"/>
      <c r="MRO101" s="953"/>
      <c r="MRP101" s="953"/>
      <c r="MRQ101" s="953"/>
      <c r="MRR101" s="953"/>
      <c r="MRS101" s="953"/>
      <c r="MRT101" s="953"/>
      <c r="MRU101" s="953"/>
      <c r="MRV101" s="953"/>
      <c r="MRW101" s="953"/>
      <c r="MRX101" s="953"/>
      <c r="MRY101" s="953"/>
      <c r="MRZ101" s="953"/>
      <c r="MSA101" s="953"/>
      <c r="MSB101" s="953"/>
      <c r="MSC101" s="953"/>
      <c r="MSD101" s="953"/>
      <c r="MSE101" s="953"/>
      <c r="MSF101" s="953"/>
      <c r="MSG101" s="953"/>
      <c r="MSH101" s="953"/>
      <c r="MSI101" s="953"/>
      <c r="MSJ101" s="953"/>
      <c r="MSK101" s="953"/>
      <c r="MSL101" s="953"/>
      <c r="MSM101" s="953"/>
      <c r="MSN101" s="953"/>
      <c r="MSO101" s="953"/>
      <c r="MSP101" s="953"/>
      <c r="MSQ101" s="953"/>
      <c r="MSR101" s="953"/>
      <c r="MSS101" s="953"/>
      <c r="MST101" s="953"/>
      <c r="MSU101" s="953"/>
      <c r="MSV101" s="953"/>
      <c r="MSW101" s="953"/>
      <c r="MSX101" s="953"/>
      <c r="MSY101" s="953"/>
      <c r="MSZ101" s="953"/>
      <c r="MTA101" s="953"/>
      <c r="MTB101" s="953"/>
      <c r="MTC101" s="953"/>
      <c r="MTD101" s="953"/>
      <c r="MTE101" s="953"/>
      <c r="MTF101" s="953"/>
      <c r="MTG101" s="953"/>
      <c r="MTH101" s="953"/>
      <c r="MTI101" s="953"/>
      <c r="MTJ101" s="953"/>
      <c r="MTK101" s="953"/>
      <c r="MTL101" s="953"/>
      <c r="MTM101" s="953"/>
      <c r="MTN101" s="953"/>
      <c r="MTO101" s="953"/>
      <c r="MTP101" s="953"/>
      <c r="MTQ101" s="953"/>
      <c r="MTR101" s="953"/>
      <c r="MTS101" s="953"/>
      <c r="MTT101" s="953"/>
      <c r="MTU101" s="953"/>
      <c r="MTV101" s="953"/>
      <c r="MTW101" s="953"/>
      <c r="MTX101" s="953"/>
      <c r="MTY101" s="953"/>
      <c r="MTZ101" s="953"/>
      <c r="MUA101" s="953"/>
      <c r="MUB101" s="953"/>
      <c r="MUC101" s="953"/>
      <c r="MUD101" s="953"/>
      <c r="MUE101" s="953"/>
      <c r="MUF101" s="953"/>
      <c r="MUG101" s="953"/>
      <c r="MUH101" s="953"/>
      <c r="MUI101" s="953"/>
      <c r="MUJ101" s="953"/>
      <c r="MUK101" s="953"/>
      <c r="MUL101" s="953"/>
      <c r="MUM101" s="953"/>
      <c r="MUN101" s="953"/>
      <c r="MUO101" s="953"/>
      <c r="MUP101" s="953"/>
      <c r="MUQ101" s="953"/>
      <c r="MUR101" s="953"/>
      <c r="MUS101" s="953"/>
      <c r="MUT101" s="953"/>
      <c r="MUU101" s="953"/>
      <c r="MUV101" s="953"/>
      <c r="MUW101" s="953"/>
      <c r="MUX101" s="953"/>
      <c r="MUY101" s="953"/>
      <c r="MUZ101" s="953"/>
      <c r="MVA101" s="953"/>
      <c r="MVB101" s="953"/>
      <c r="MVC101" s="953"/>
      <c r="MVD101" s="953"/>
      <c r="MVE101" s="953"/>
      <c r="MVF101" s="953"/>
      <c r="MVG101" s="953"/>
      <c r="MVH101" s="953"/>
      <c r="MVI101" s="953"/>
      <c r="MVJ101" s="953"/>
      <c r="MVK101" s="953"/>
      <c r="MVL101" s="953"/>
      <c r="MVM101" s="953"/>
      <c r="MVN101" s="953"/>
      <c r="MVO101" s="953"/>
      <c r="MVP101" s="953"/>
      <c r="MVQ101" s="953"/>
      <c r="MVR101" s="953"/>
      <c r="MVS101" s="953"/>
      <c r="MVT101" s="953"/>
      <c r="MVU101" s="953"/>
      <c r="MVV101" s="953"/>
      <c r="MVW101" s="953"/>
      <c r="MVX101" s="953"/>
      <c r="MVY101" s="953"/>
      <c r="MVZ101" s="953"/>
      <c r="MWA101" s="953"/>
      <c r="MWB101" s="953"/>
      <c r="MWC101" s="953"/>
      <c r="MWD101" s="953"/>
      <c r="MWE101" s="953"/>
      <c r="MWF101" s="953"/>
      <c r="MWG101" s="953"/>
      <c r="MWH101" s="953"/>
      <c r="MWI101" s="953"/>
      <c r="MWJ101" s="953"/>
      <c r="MWK101" s="953"/>
      <c r="MWL101" s="953"/>
      <c r="MWM101" s="953"/>
      <c r="MWN101" s="953"/>
      <c r="MWO101" s="953"/>
      <c r="MWP101" s="953"/>
      <c r="MWQ101" s="953"/>
      <c r="MWR101" s="953"/>
      <c r="MWS101" s="953"/>
      <c r="MWT101" s="953"/>
      <c r="MWU101" s="953"/>
      <c r="MWV101" s="953"/>
      <c r="MWW101" s="953"/>
      <c r="MWX101" s="953"/>
      <c r="MWY101" s="953"/>
      <c r="MWZ101" s="953"/>
      <c r="MXA101" s="953"/>
      <c r="MXB101" s="953"/>
      <c r="MXC101" s="953"/>
      <c r="MXD101" s="953"/>
      <c r="MXE101" s="953"/>
      <c r="MXF101" s="953"/>
      <c r="MXG101" s="953"/>
      <c r="MXH101" s="953"/>
      <c r="MXI101" s="953"/>
      <c r="MXJ101" s="953"/>
      <c r="MXK101" s="953"/>
      <c r="MXL101" s="953"/>
      <c r="MXM101" s="953"/>
      <c r="MXN101" s="953"/>
      <c r="MXO101" s="953"/>
      <c r="MXP101" s="953"/>
      <c r="MXQ101" s="953"/>
      <c r="MXR101" s="953"/>
      <c r="MXS101" s="953"/>
      <c r="MXT101" s="953"/>
      <c r="MXU101" s="953"/>
      <c r="MXV101" s="953"/>
      <c r="MXW101" s="953"/>
      <c r="MXX101" s="953"/>
      <c r="MXY101" s="953"/>
      <c r="MXZ101" s="953"/>
      <c r="MYA101" s="953"/>
      <c r="MYB101" s="953"/>
      <c r="MYC101" s="953"/>
      <c r="MYD101" s="953"/>
      <c r="MYE101" s="953"/>
      <c r="MYF101" s="953"/>
      <c r="MYG101" s="953"/>
      <c r="MYH101" s="953"/>
      <c r="MYI101" s="953"/>
      <c r="MYJ101" s="953"/>
      <c r="MYK101" s="953"/>
      <c r="MYL101" s="953"/>
      <c r="MYM101" s="953"/>
      <c r="MYN101" s="953"/>
      <c r="MYO101" s="953"/>
      <c r="MYP101" s="953"/>
      <c r="MYQ101" s="953"/>
      <c r="MYR101" s="953"/>
      <c r="MYS101" s="953"/>
      <c r="MYT101" s="953"/>
      <c r="MYU101" s="953"/>
      <c r="MYV101" s="953"/>
      <c r="MYW101" s="953"/>
      <c r="MYX101" s="953"/>
      <c r="MYY101" s="953"/>
      <c r="MYZ101" s="953"/>
      <c r="MZA101" s="953"/>
      <c r="MZB101" s="953"/>
      <c r="MZC101" s="953"/>
      <c r="MZD101" s="953"/>
      <c r="MZE101" s="953"/>
      <c r="MZF101" s="953"/>
      <c r="MZG101" s="953"/>
      <c r="MZH101" s="953"/>
      <c r="MZI101" s="953"/>
      <c r="MZJ101" s="953"/>
      <c r="MZK101" s="953"/>
      <c r="MZL101" s="953"/>
      <c r="MZM101" s="953"/>
      <c r="MZN101" s="953"/>
      <c r="MZO101" s="953"/>
      <c r="MZP101" s="953"/>
      <c r="MZQ101" s="953"/>
      <c r="MZR101" s="953"/>
      <c r="MZS101" s="953"/>
      <c r="MZT101" s="953"/>
      <c r="MZU101" s="953"/>
      <c r="MZV101" s="953"/>
      <c r="MZW101" s="953"/>
      <c r="MZX101" s="953"/>
      <c r="MZY101" s="953"/>
      <c r="MZZ101" s="953"/>
      <c r="NAA101" s="953"/>
      <c r="NAB101" s="953"/>
      <c r="NAC101" s="953"/>
      <c r="NAD101" s="953"/>
      <c r="NAE101" s="953"/>
      <c r="NAF101" s="953"/>
      <c r="NAG101" s="953"/>
      <c r="NAH101" s="953"/>
      <c r="NAI101" s="953"/>
      <c r="NAJ101" s="953"/>
      <c r="NAK101" s="953"/>
      <c r="NAL101" s="953"/>
      <c r="NAM101" s="953"/>
      <c r="NAN101" s="953"/>
      <c r="NAO101" s="953"/>
      <c r="NAP101" s="953"/>
      <c r="NAQ101" s="953"/>
      <c r="NAR101" s="953"/>
      <c r="NAS101" s="953"/>
      <c r="NAT101" s="953"/>
      <c r="NAU101" s="953"/>
      <c r="NAV101" s="953"/>
      <c r="NAW101" s="953"/>
      <c r="NAX101" s="953"/>
      <c r="NAY101" s="953"/>
      <c r="NAZ101" s="953"/>
      <c r="NBA101" s="953"/>
      <c r="NBB101" s="953"/>
      <c r="NBC101" s="953"/>
      <c r="NBD101" s="953"/>
      <c r="NBE101" s="953"/>
      <c r="NBF101" s="953"/>
      <c r="NBG101" s="953"/>
      <c r="NBH101" s="953"/>
      <c r="NBI101" s="953"/>
      <c r="NBJ101" s="953"/>
      <c r="NBK101" s="953"/>
      <c r="NBL101" s="953"/>
      <c r="NBM101" s="953"/>
      <c r="NBN101" s="953"/>
      <c r="NBO101" s="953"/>
      <c r="NBP101" s="953"/>
      <c r="NBQ101" s="953"/>
      <c r="NBR101" s="953"/>
      <c r="NBS101" s="953"/>
      <c r="NBT101" s="953"/>
      <c r="NBU101" s="953"/>
      <c r="NBV101" s="953"/>
      <c r="NBW101" s="953"/>
      <c r="NBX101" s="953"/>
      <c r="NBY101" s="953"/>
      <c r="NBZ101" s="953"/>
      <c r="NCA101" s="953"/>
      <c r="NCB101" s="953"/>
      <c r="NCC101" s="953"/>
      <c r="NCD101" s="953"/>
      <c r="NCE101" s="953"/>
      <c r="NCF101" s="953"/>
      <c r="NCG101" s="953"/>
      <c r="NCH101" s="953"/>
      <c r="NCI101" s="953"/>
      <c r="NCJ101" s="953"/>
      <c r="NCK101" s="953"/>
      <c r="NCL101" s="953"/>
      <c r="NCM101" s="953"/>
      <c r="NCN101" s="953"/>
      <c r="NCO101" s="953"/>
      <c r="NCP101" s="953"/>
      <c r="NCQ101" s="953"/>
      <c r="NCR101" s="953"/>
      <c r="NCS101" s="953"/>
      <c r="NCT101" s="953"/>
      <c r="NCU101" s="953"/>
      <c r="NCV101" s="953"/>
      <c r="NCW101" s="953"/>
      <c r="NCX101" s="953"/>
      <c r="NCY101" s="953"/>
      <c r="NCZ101" s="953"/>
      <c r="NDA101" s="953"/>
      <c r="NDB101" s="953"/>
      <c r="NDC101" s="953"/>
      <c r="NDD101" s="953"/>
      <c r="NDE101" s="953"/>
      <c r="NDF101" s="953"/>
      <c r="NDG101" s="953"/>
      <c r="NDH101" s="953"/>
      <c r="NDI101" s="953"/>
      <c r="NDJ101" s="953"/>
      <c r="NDK101" s="953"/>
      <c r="NDL101" s="953"/>
      <c r="NDM101" s="953"/>
      <c r="NDN101" s="953"/>
      <c r="NDO101" s="953"/>
      <c r="NDP101" s="953"/>
      <c r="NDQ101" s="953"/>
      <c r="NDR101" s="953"/>
      <c r="NDS101" s="953"/>
      <c r="NDT101" s="953"/>
      <c r="NDU101" s="953"/>
      <c r="NDV101" s="953"/>
      <c r="NDW101" s="953"/>
      <c r="NDX101" s="953"/>
      <c r="NDY101" s="953"/>
      <c r="NDZ101" s="953"/>
      <c r="NEA101" s="953"/>
      <c r="NEB101" s="953"/>
      <c r="NEC101" s="953"/>
      <c r="NED101" s="953"/>
      <c r="NEE101" s="953"/>
      <c r="NEF101" s="953"/>
      <c r="NEG101" s="953"/>
      <c r="NEH101" s="953"/>
      <c r="NEI101" s="953"/>
      <c r="NEJ101" s="953"/>
      <c r="NEK101" s="953"/>
      <c r="NEL101" s="953"/>
      <c r="NEM101" s="953"/>
      <c r="NEN101" s="953"/>
      <c r="NEO101" s="953"/>
      <c r="NEP101" s="953"/>
      <c r="NEQ101" s="953"/>
      <c r="NER101" s="953"/>
      <c r="NES101" s="953"/>
      <c r="NET101" s="953"/>
      <c r="NEU101" s="953"/>
      <c r="NEV101" s="953"/>
      <c r="NEW101" s="953"/>
      <c r="NEX101" s="953"/>
      <c r="NEY101" s="953"/>
      <c r="NEZ101" s="953"/>
      <c r="NFA101" s="953"/>
      <c r="NFB101" s="953"/>
      <c r="NFC101" s="953"/>
      <c r="NFD101" s="953"/>
      <c r="NFE101" s="953"/>
      <c r="NFF101" s="953"/>
      <c r="NFG101" s="953"/>
      <c r="NFH101" s="953"/>
      <c r="NFI101" s="953"/>
      <c r="NFJ101" s="953"/>
      <c r="NFK101" s="953"/>
      <c r="NFL101" s="953"/>
      <c r="NFM101" s="953"/>
      <c r="NFN101" s="953"/>
      <c r="NFO101" s="953"/>
      <c r="NFP101" s="953"/>
      <c r="NFQ101" s="953"/>
      <c r="NFR101" s="953"/>
      <c r="NFS101" s="953"/>
      <c r="NFT101" s="953"/>
      <c r="NFU101" s="953"/>
      <c r="NFV101" s="953"/>
      <c r="NFW101" s="953"/>
      <c r="NFX101" s="953"/>
      <c r="NFY101" s="953"/>
      <c r="NFZ101" s="953"/>
      <c r="NGA101" s="953"/>
      <c r="NGB101" s="953"/>
      <c r="NGC101" s="953"/>
      <c r="NGD101" s="953"/>
      <c r="NGE101" s="953"/>
      <c r="NGF101" s="953"/>
      <c r="NGG101" s="953"/>
      <c r="NGH101" s="953"/>
      <c r="NGI101" s="953"/>
      <c r="NGJ101" s="953"/>
      <c r="NGK101" s="953"/>
      <c r="NGL101" s="953"/>
      <c r="NGM101" s="953"/>
      <c r="NGN101" s="953"/>
      <c r="NGO101" s="953"/>
      <c r="NGP101" s="953"/>
      <c r="NGQ101" s="953"/>
      <c r="NGR101" s="953"/>
      <c r="NGS101" s="953"/>
      <c r="NGT101" s="953"/>
      <c r="NGU101" s="953"/>
      <c r="NGV101" s="953"/>
      <c r="NGW101" s="953"/>
      <c r="NGX101" s="953"/>
      <c r="NGY101" s="953"/>
      <c r="NGZ101" s="953"/>
      <c r="NHA101" s="953"/>
      <c r="NHB101" s="953"/>
      <c r="NHC101" s="953"/>
      <c r="NHD101" s="953"/>
      <c r="NHE101" s="953"/>
      <c r="NHF101" s="953"/>
      <c r="NHG101" s="953"/>
      <c r="NHH101" s="953"/>
      <c r="NHI101" s="953"/>
      <c r="NHJ101" s="953"/>
      <c r="NHK101" s="953"/>
      <c r="NHL101" s="953"/>
      <c r="NHM101" s="953"/>
      <c r="NHN101" s="953"/>
      <c r="NHO101" s="953"/>
      <c r="NHP101" s="953"/>
      <c r="NHQ101" s="953"/>
      <c r="NHR101" s="953"/>
      <c r="NHS101" s="953"/>
      <c r="NHT101" s="953"/>
      <c r="NHU101" s="953"/>
      <c r="NHV101" s="953"/>
      <c r="NHW101" s="953"/>
      <c r="NHX101" s="953"/>
      <c r="NHY101" s="953"/>
      <c r="NHZ101" s="953"/>
      <c r="NIA101" s="953"/>
      <c r="NIB101" s="953"/>
      <c r="NIC101" s="953"/>
      <c r="NID101" s="953"/>
      <c r="NIE101" s="953"/>
      <c r="NIF101" s="953"/>
      <c r="NIG101" s="953"/>
      <c r="NIH101" s="953"/>
      <c r="NII101" s="953"/>
      <c r="NIJ101" s="953"/>
      <c r="NIK101" s="953"/>
      <c r="NIL101" s="953"/>
      <c r="NIM101" s="953"/>
      <c r="NIN101" s="953"/>
      <c r="NIO101" s="953"/>
      <c r="NIP101" s="953"/>
      <c r="NIQ101" s="953"/>
      <c r="NIR101" s="953"/>
      <c r="NIS101" s="953"/>
      <c r="NIT101" s="953"/>
      <c r="NIU101" s="953"/>
      <c r="NIV101" s="953"/>
      <c r="NIW101" s="953"/>
      <c r="NIX101" s="953"/>
      <c r="NIY101" s="953"/>
      <c r="NIZ101" s="953"/>
      <c r="NJA101" s="953"/>
      <c r="NJB101" s="953"/>
      <c r="NJC101" s="953"/>
      <c r="NJD101" s="953"/>
      <c r="NJE101" s="953"/>
      <c r="NJF101" s="953"/>
      <c r="NJG101" s="953"/>
      <c r="NJH101" s="953"/>
      <c r="NJI101" s="953"/>
      <c r="NJJ101" s="953"/>
      <c r="NJK101" s="953"/>
      <c r="NJL101" s="953"/>
      <c r="NJM101" s="953"/>
      <c r="NJN101" s="953"/>
      <c r="NJO101" s="953"/>
      <c r="NJP101" s="953"/>
      <c r="NJQ101" s="953"/>
      <c r="NJR101" s="953"/>
      <c r="NJS101" s="953"/>
      <c r="NJT101" s="953"/>
      <c r="NJU101" s="953"/>
      <c r="NJV101" s="953"/>
      <c r="NJW101" s="953"/>
      <c r="NJX101" s="953"/>
      <c r="NJY101" s="953"/>
      <c r="NJZ101" s="953"/>
      <c r="NKA101" s="953"/>
      <c r="NKB101" s="953"/>
      <c r="NKC101" s="953"/>
      <c r="NKD101" s="953"/>
      <c r="NKE101" s="953"/>
      <c r="NKF101" s="953"/>
      <c r="NKG101" s="953"/>
      <c r="NKH101" s="953"/>
      <c r="NKI101" s="953"/>
      <c r="NKJ101" s="953"/>
      <c r="NKK101" s="953"/>
      <c r="NKL101" s="953"/>
      <c r="NKM101" s="953"/>
      <c r="NKN101" s="953"/>
      <c r="NKO101" s="953"/>
      <c r="NKP101" s="953"/>
      <c r="NKQ101" s="953"/>
      <c r="NKR101" s="953"/>
      <c r="NKS101" s="953"/>
      <c r="NKT101" s="953"/>
      <c r="NKU101" s="953"/>
      <c r="NKV101" s="953"/>
      <c r="NKW101" s="953"/>
      <c r="NKX101" s="953"/>
      <c r="NKY101" s="953"/>
      <c r="NKZ101" s="953"/>
      <c r="NLA101" s="953"/>
      <c r="NLB101" s="953"/>
      <c r="NLC101" s="953"/>
      <c r="NLD101" s="953"/>
      <c r="NLE101" s="953"/>
      <c r="NLF101" s="953"/>
      <c r="NLG101" s="953"/>
      <c r="NLH101" s="953"/>
      <c r="NLI101" s="953"/>
      <c r="NLJ101" s="953"/>
      <c r="NLK101" s="953"/>
      <c r="NLL101" s="953"/>
      <c r="NLM101" s="953"/>
      <c r="NLN101" s="953"/>
      <c r="NLO101" s="953"/>
      <c r="NLP101" s="953"/>
      <c r="NLQ101" s="953"/>
      <c r="NLR101" s="953"/>
      <c r="NLS101" s="953"/>
      <c r="NLT101" s="953"/>
      <c r="NLU101" s="953"/>
      <c r="NLV101" s="953"/>
      <c r="NLW101" s="953"/>
      <c r="NLX101" s="953"/>
      <c r="NLY101" s="953"/>
      <c r="NLZ101" s="953"/>
      <c r="NMA101" s="953"/>
      <c r="NMB101" s="953"/>
      <c r="NMC101" s="953"/>
      <c r="NMD101" s="953"/>
      <c r="NME101" s="953"/>
      <c r="NMF101" s="953"/>
      <c r="NMG101" s="953"/>
      <c r="NMH101" s="953"/>
      <c r="NMI101" s="953"/>
      <c r="NMJ101" s="953"/>
      <c r="NMK101" s="953"/>
      <c r="NML101" s="953"/>
      <c r="NMM101" s="953"/>
      <c r="NMN101" s="953"/>
      <c r="NMO101" s="953"/>
      <c r="NMP101" s="953"/>
      <c r="NMQ101" s="953"/>
      <c r="NMR101" s="953"/>
      <c r="NMS101" s="953"/>
      <c r="NMT101" s="953"/>
      <c r="NMU101" s="953"/>
      <c r="NMV101" s="953"/>
      <c r="NMW101" s="953"/>
      <c r="NMX101" s="953"/>
      <c r="NMY101" s="953"/>
      <c r="NMZ101" s="953"/>
      <c r="NNA101" s="953"/>
      <c r="NNB101" s="953"/>
      <c r="NNC101" s="953"/>
      <c r="NND101" s="953"/>
      <c r="NNE101" s="953"/>
      <c r="NNF101" s="953"/>
      <c r="NNG101" s="953"/>
      <c r="NNH101" s="953"/>
      <c r="NNI101" s="953"/>
      <c r="NNJ101" s="953"/>
      <c r="NNK101" s="953"/>
      <c r="NNL101" s="953"/>
      <c r="NNM101" s="953"/>
      <c r="NNN101" s="953"/>
      <c r="NNO101" s="953"/>
      <c r="NNP101" s="953"/>
      <c r="NNQ101" s="953"/>
      <c r="NNR101" s="953"/>
      <c r="NNS101" s="953"/>
      <c r="NNT101" s="953"/>
      <c r="NNU101" s="953"/>
      <c r="NNV101" s="953"/>
      <c r="NNW101" s="953"/>
      <c r="NNX101" s="953"/>
      <c r="NNY101" s="953"/>
      <c r="NNZ101" s="953"/>
      <c r="NOA101" s="953"/>
      <c r="NOB101" s="953"/>
      <c r="NOC101" s="953"/>
      <c r="NOD101" s="953"/>
      <c r="NOE101" s="953"/>
      <c r="NOF101" s="953"/>
      <c r="NOG101" s="953"/>
      <c r="NOH101" s="953"/>
      <c r="NOI101" s="953"/>
      <c r="NOJ101" s="953"/>
      <c r="NOK101" s="953"/>
      <c r="NOL101" s="953"/>
      <c r="NOM101" s="953"/>
      <c r="NON101" s="953"/>
      <c r="NOO101" s="953"/>
      <c r="NOP101" s="953"/>
      <c r="NOQ101" s="953"/>
      <c r="NOR101" s="953"/>
      <c r="NOS101" s="953"/>
      <c r="NOT101" s="953"/>
      <c r="NOU101" s="953"/>
      <c r="NOV101" s="953"/>
      <c r="NOW101" s="953"/>
      <c r="NOX101" s="953"/>
      <c r="NOY101" s="953"/>
      <c r="NOZ101" s="953"/>
      <c r="NPA101" s="953"/>
      <c r="NPB101" s="953"/>
      <c r="NPC101" s="953"/>
      <c r="NPD101" s="953"/>
      <c r="NPE101" s="953"/>
      <c r="NPF101" s="953"/>
      <c r="NPG101" s="953"/>
      <c r="NPH101" s="953"/>
      <c r="NPI101" s="953"/>
      <c r="NPJ101" s="953"/>
      <c r="NPK101" s="953"/>
      <c r="NPL101" s="953"/>
      <c r="NPM101" s="953"/>
      <c r="NPN101" s="953"/>
      <c r="NPO101" s="953"/>
      <c r="NPP101" s="953"/>
      <c r="NPQ101" s="953"/>
      <c r="NPR101" s="953"/>
      <c r="NPS101" s="953"/>
      <c r="NPT101" s="953"/>
      <c r="NPU101" s="953"/>
      <c r="NPV101" s="953"/>
      <c r="NPW101" s="953"/>
      <c r="NPX101" s="953"/>
      <c r="NPY101" s="953"/>
      <c r="NPZ101" s="953"/>
      <c r="NQA101" s="953"/>
      <c r="NQB101" s="953"/>
      <c r="NQC101" s="953"/>
      <c r="NQD101" s="953"/>
      <c r="NQE101" s="953"/>
      <c r="NQF101" s="953"/>
      <c r="NQG101" s="953"/>
      <c r="NQH101" s="953"/>
      <c r="NQI101" s="953"/>
      <c r="NQJ101" s="953"/>
      <c r="NQK101" s="953"/>
      <c r="NQL101" s="953"/>
      <c r="NQM101" s="953"/>
      <c r="NQN101" s="953"/>
      <c r="NQO101" s="953"/>
      <c r="NQP101" s="953"/>
      <c r="NQQ101" s="953"/>
      <c r="NQR101" s="953"/>
      <c r="NQS101" s="953"/>
      <c r="NQT101" s="953"/>
      <c r="NQU101" s="953"/>
      <c r="NQV101" s="953"/>
      <c r="NQW101" s="953"/>
      <c r="NQX101" s="953"/>
      <c r="NQY101" s="953"/>
      <c r="NQZ101" s="953"/>
      <c r="NRA101" s="953"/>
      <c r="NRB101" s="953"/>
      <c r="NRC101" s="953"/>
      <c r="NRD101" s="953"/>
      <c r="NRE101" s="953"/>
      <c r="NRF101" s="953"/>
      <c r="NRG101" s="953"/>
      <c r="NRH101" s="953"/>
      <c r="NRI101" s="953"/>
      <c r="NRJ101" s="953"/>
      <c r="NRK101" s="953"/>
      <c r="NRL101" s="953"/>
      <c r="NRM101" s="953"/>
      <c r="NRN101" s="953"/>
      <c r="NRO101" s="953"/>
      <c r="NRP101" s="953"/>
      <c r="NRQ101" s="953"/>
      <c r="NRR101" s="953"/>
      <c r="NRS101" s="953"/>
      <c r="NRT101" s="953"/>
      <c r="NRU101" s="953"/>
      <c r="NRV101" s="953"/>
      <c r="NRW101" s="953"/>
      <c r="NRX101" s="953"/>
      <c r="NRY101" s="953"/>
      <c r="NRZ101" s="953"/>
      <c r="NSA101" s="953"/>
      <c r="NSB101" s="953"/>
      <c r="NSC101" s="953"/>
      <c r="NSD101" s="953"/>
      <c r="NSE101" s="953"/>
      <c r="NSF101" s="953"/>
      <c r="NSG101" s="953"/>
      <c r="NSH101" s="953"/>
      <c r="NSI101" s="953"/>
      <c r="NSJ101" s="953"/>
      <c r="NSK101" s="953"/>
      <c r="NSL101" s="953"/>
      <c r="NSM101" s="953"/>
      <c r="NSN101" s="953"/>
      <c r="NSO101" s="953"/>
      <c r="NSP101" s="953"/>
      <c r="NSQ101" s="953"/>
      <c r="NSR101" s="953"/>
      <c r="NSS101" s="953"/>
      <c r="NST101" s="953"/>
      <c r="NSU101" s="953"/>
      <c r="NSV101" s="953"/>
      <c r="NSW101" s="953"/>
      <c r="NSX101" s="953"/>
      <c r="NSY101" s="953"/>
      <c r="NSZ101" s="953"/>
      <c r="NTA101" s="953"/>
      <c r="NTB101" s="953"/>
      <c r="NTC101" s="953"/>
      <c r="NTD101" s="953"/>
      <c r="NTE101" s="953"/>
      <c r="NTF101" s="953"/>
      <c r="NTG101" s="953"/>
      <c r="NTH101" s="953"/>
      <c r="NTI101" s="953"/>
      <c r="NTJ101" s="953"/>
      <c r="NTK101" s="953"/>
      <c r="NTL101" s="953"/>
      <c r="NTM101" s="953"/>
      <c r="NTN101" s="953"/>
      <c r="NTO101" s="953"/>
      <c r="NTP101" s="953"/>
      <c r="NTQ101" s="953"/>
      <c r="NTR101" s="953"/>
      <c r="NTS101" s="953"/>
      <c r="NTT101" s="953"/>
      <c r="NTU101" s="953"/>
      <c r="NTV101" s="953"/>
      <c r="NTW101" s="953"/>
      <c r="NTX101" s="953"/>
      <c r="NTY101" s="953"/>
      <c r="NTZ101" s="953"/>
      <c r="NUA101" s="953"/>
      <c r="NUB101" s="953"/>
      <c r="NUC101" s="953"/>
      <c r="NUD101" s="953"/>
      <c r="NUE101" s="953"/>
      <c r="NUF101" s="953"/>
      <c r="NUG101" s="953"/>
      <c r="NUH101" s="953"/>
      <c r="NUI101" s="953"/>
      <c r="NUJ101" s="953"/>
      <c r="NUK101" s="953"/>
      <c r="NUL101" s="953"/>
      <c r="NUM101" s="953"/>
      <c r="NUN101" s="953"/>
      <c r="NUO101" s="953"/>
      <c r="NUP101" s="953"/>
      <c r="NUQ101" s="953"/>
      <c r="NUR101" s="953"/>
      <c r="NUS101" s="953"/>
      <c r="NUT101" s="953"/>
      <c r="NUU101" s="953"/>
      <c r="NUV101" s="953"/>
      <c r="NUW101" s="953"/>
      <c r="NUX101" s="953"/>
      <c r="NUY101" s="953"/>
      <c r="NUZ101" s="953"/>
      <c r="NVA101" s="953"/>
      <c r="NVB101" s="953"/>
      <c r="NVC101" s="953"/>
      <c r="NVD101" s="953"/>
      <c r="NVE101" s="953"/>
      <c r="NVF101" s="953"/>
      <c r="NVG101" s="953"/>
      <c r="NVH101" s="953"/>
      <c r="NVI101" s="953"/>
      <c r="NVJ101" s="953"/>
      <c r="NVK101" s="953"/>
      <c r="NVL101" s="953"/>
      <c r="NVM101" s="953"/>
      <c r="NVN101" s="953"/>
      <c r="NVO101" s="953"/>
      <c r="NVP101" s="953"/>
      <c r="NVQ101" s="953"/>
      <c r="NVR101" s="953"/>
      <c r="NVS101" s="953"/>
      <c r="NVT101" s="953"/>
      <c r="NVU101" s="953"/>
      <c r="NVV101" s="953"/>
      <c r="NVW101" s="953"/>
      <c r="NVX101" s="953"/>
      <c r="NVY101" s="953"/>
      <c r="NVZ101" s="953"/>
      <c r="NWA101" s="953"/>
      <c r="NWB101" s="953"/>
      <c r="NWC101" s="953"/>
      <c r="NWD101" s="953"/>
      <c r="NWE101" s="953"/>
      <c r="NWF101" s="953"/>
      <c r="NWG101" s="953"/>
      <c r="NWH101" s="953"/>
      <c r="NWI101" s="953"/>
      <c r="NWJ101" s="953"/>
      <c r="NWK101" s="953"/>
      <c r="NWL101" s="953"/>
      <c r="NWM101" s="953"/>
      <c r="NWN101" s="953"/>
      <c r="NWO101" s="953"/>
      <c r="NWP101" s="953"/>
      <c r="NWQ101" s="953"/>
      <c r="NWR101" s="953"/>
      <c r="NWS101" s="953"/>
      <c r="NWT101" s="953"/>
      <c r="NWU101" s="953"/>
      <c r="NWV101" s="953"/>
      <c r="NWW101" s="953"/>
      <c r="NWX101" s="953"/>
      <c r="NWY101" s="953"/>
      <c r="NWZ101" s="953"/>
      <c r="NXA101" s="953"/>
      <c r="NXB101" s="953"/>
      <c r="NXC101" s="953"/>
      <c r="NXD101" s="953"/>
      <c r="NXE101" s="953"/>
      <c r="NXF101" s="953"/>
      <c r="NXG101" s="953"/>
      <c r="NXH101" s="953"/>
      <c r="NXI101" s="953"/>
      <c r="NXJ101" s="953"/>
      <c r="NXK101" s="953"/>
      <c r="NXL101" s="953"/>
      <c r="NXM101" s="953"/>
      <c r="NXN101" s="953"/>
      <c r="NXO101" s="953"/>
      <c r="NXP101" s="953"/>
      <c r="NXQ101" s="953"/>
      <c r="NXR101" s="953"/>
      <c r="NXS101" s="953"/>
      <c r="NXT101" s="953"/>
      <c r="NXU101" s="953"/>
      <c r="NXV101" s="953"/>
      <c r="NXW101" s="953"/>
      <c r="NXX101" s="953"/>
      <c r="NXY101" s="953"/>
      <c r="NXZ101" s="953"/>
      <c r="NYA101" s="953"/>
      <c r="NYB101" s="953"/>
      <c r="NYC101" s="953"/>
      <c r="NYD101" s="953"/>
      <c r="NYE101" s="953"/>
      <c r="NYF101" s="953"/>
      <c r="NYG101" s="953"/>
      <c r="NYH101" s="953"/>
      <c r="NYI101" s="953"/>
      <c r="NYJ101" s="953"/>
      <c r="NYK101" s="953"/>
      <c r="NYL101" s="953"/>
      <c r="NYM101" s="953"/>
      <c r="NYN101" s="953"/>
      <c r="NYO101" s="953"/>
      <c r="NYP101" s="953"/>
      <c r="NYQ101" s="953"/>
      <c r="NYR101" s="953"/>
      <c r="NYS101" s="953"/>
      <c r="NYT101" s="953"/>
      <c r="NYU101" s="953"/>
      <c r="NYV101" s="953"/>
      <c r="NYW101" s="953"/>
      <c r="NYX101" s="953"/>
      <c r="NYY101" s="953"/>
      <c r="NYZ101" s="953"/>
      <c r="NZA101" s="953"/>
      <c r="NZB101" s="953"/>
      <c r="NZC101" s="953"/>
      <c r="NZD101" s="953"/>
      <c r="NZE101" s="953"/>
      <c r="NZF101" s="953"/>
      <c r="NZG101" s="953"/>
      <c r="NZH101" s="953"/>
      <c r="NZI101" s="953"/>
      <c r="NZJ101" s="953"/>
      <c r="NZK101" s="953"/>
      <c r="NZL101" s="953"/>
      <c r="NZM101" s="953"/>
      <c r="NZN101" s="953"/>
      <c r="NZO101" s="953"/>
      <c r="NZP101" s="953"/>
      <c r="NZQ101" s="953"/>
      <c r="NZR101" s="953"/>
      <c r="NZS101" s="953"/>
      <c r="NZT101" s="953"/>
      <c r="NZU101" s="953"/>
      <c r="NZV101" s="953"/>
      <c r="NZW101" s="953"/>
      <c r="NZX101" s="953"/>
      <c r="NZY101" s="953"/>
      <c r="NZZ101" s="953"/>
      <c r="OAA101" s="953"/>
      <c r="OAB101" s="953"/>
      <c r="OAC101" s="953"/>
      <c r="OAD101" s="953"/>
      <c r="OAE101" s="953"/>
      <c r="OAF101" s="953"/>
      <c r="OAG101" s="953"/>
      <c r="OAH101" s="953"/>
      <c r="OAI101" s="953"/>
      <c r="OAJ101" s="953"/>
      <c r="OAK101" s="953"/>
      <c r="OAL101" s="953"/>
      <c r="OAM101" s="953"/>
      <c r="OAN101" s="953"/>
      <c r="OAO101" s="953"/>
      <c r="OAP101" s="953"/>
      <c r="OAQ101" s="953"/>
      <c r="OAR101" s="953"/>
      <c r="OAS101" s="953"/>
      <c r="OAT101" s="953"/>
      <c r="OAU101" s="953"/>
      <c r="OAV101" s="953"/>
      <c r="OAW101" s="953"/>
      <c r="OAX101" s="953"/>
      <c r="OAY101" s="953"/>
      <c r="OAZ101" s="953"/>
      <c r="OBA101" s="953"/>
      <c r="OBB101" s="953"/>
      <c r="OBC101" s="953"/>
      <c r="OBD101" s="953"/>
      <c r="OBE101" s="953"/>
      <c r="OBF101" s="953"/>
      <c r="OBG101" s="953"/>
      <c r="OBH101" s="953"/>
      <c r="OBI101" s="953"/>
      <c r="OBJ101" s="953"/>
      <c r="OBK101" s="953"/>
      <c r="OBL101" s="953"/>
      <c r="OBM101" s="953"/>
      <c r="OBN101" s="953"/>
      <c r="OBO101" s="953"/>
      <c r="OBP101" s="953"/>
      <c r="OBQ101" s="953"/>
      <c r="OBR101" s="953"/>
      <c r="OBS101" s="953"/>
      <c r="OBT101" s="953"/>
      <c r="OBU101" s="953"/>
      <c r="OBV101" s="953"/>
      <c r="OBW101" s="953"/>
      <c r="OBX101" s="953"/>
      <c r="OBY101" s="953"/>
      <c r="OBZ101" s="953"/>
      <c r="OCA101" s="953"/>
      <c r="OCB101" s="953"/>
      <c r="OCC101" s="953"/>
      <c r="OCD101" s="953"/>
      <c r="OCE101" s="953"/>
      <c r="OCF101" s="953"/>
      <c r="OCG101" s="953"/>
      <c r="OCH101" s="953"/>
      <c r="OCI101" s="953"/>
      <c r="OCJ101" s="953"/>
      <c r="OCK101" s="953"/>
      <c r="OCL101" s="953"/>
      <c r="OCM101" s="953"/>
      <c r="OCN101" s="953"/>
      <c r="OCO101" s="953"/>
      <c r="OCP101" s="953"/>
      <c r="OCQ101" s="953"/>
      <c r="OCR101" s="953"/>
      <c r="OCS101" s="953"/>
      <c r="OCT101" s="953"/>
      <c r="OCU101" s="953"/>
      <c r="OCV101" s="953"/>
      <c r="OCW101" s="953"/>
      <c r="OCX101" s="953"/>
      <c r="OCY101" s="953"/>
      <c r="OCZ101" s="953"/>
      <c r="ODA101" s="953"/>
      <c r="ODB101" s="953"/>
      <c r="ODC101" s="953"/>
      <c r="ODD101" s="953"/>
      <c r="ODE101" s="953"/>
      <c r="ODF101" s="953"/>
      <c r="ODG101" s="953"/>
      <c r="ODH101" s="953"/>
      <c r="ODI101" s="953"/>
      <c r="ODJ101" s="953"/>
      <c r="ODK101" s="953"/>
      <c r="ODL101" s="953"/>
      <c r="ODM101" s="953"/>
      <c r="ODN101" s="953"/>
      <c r="ODO101" s="953"/>
      <c r="ODP101" s="953"/>
      <c r="ODQ101" s="953"/>
      <c r="ODR101" s="953"/>
      <c r="ODS101" s="953"/>
      <c r="ODT101" s="953"/>
      <c r="ODU101" s="953"/>
      <c r="ODV101" s="953"/>
      <c r="ODW101" s="953"/>
      <c r="ODX101" s="953"/>
      <c r="ODY101" s="953"/>
      <c r="ODZ101" s="953"/>
      <c r="OEA101" s="953"/>
      <c r="OEB101" s="953"/>
      <c r="OEC101" s="953"/>
      <c r="OED101" s="953"/>
      <c r="OEE101" s="953"/>
      <c r="OEF101" s="953"/>
      <c r="OEG101" s="953"/>
      <c r="OEH101" s="953"/>
      <c r="OEI101" s="953"/>
      <c r="OEJ101" s="953"/>
      <c r="OEK101" s="953"/>
      <c r="OEL101" s="953"/>
      <c r="OEM101" s="953"/>
      <c r="OEN101" s="953"/>
      <c r="OEO101" s="953"/>
      <c r="OEP101" s="953"/>
      <c r="OEQ101" s="953"/>
      <c r="OER101" s="953"/>
      <c r="OES101" s="953"/>
      <c r="OET101" s="953"/>
      <c r="OEU101" s="953"/>
      <c r="OEV101" s="953"/>
      <c r="OEW101" s="953"/>
      <c r="OEX101" s="953"/>
      <c r="OEY101" s="953"/>
      <c r="OEZ101" s="953"/>
      <c r="OFA101" s="953"/>
      <c r="OFB101" s="953"/>
      <c r="OFC101" s="953"/>
      <c r="OFD101" s="953"/>
      <c r="OFE101" s="953"/>
      <c r="OFF101" s="953"/>
      <c r="OFG101" s="953"/>
      <c r="OFH101" s="953"/>
      <c r="OFI101" s="953"/>
      <c r="OFJ101" s="953"/>
      <c r="OFK101" s="953"/>
      <c r="OFL101" s="953"/>
      <c r="OFM101" s="953"/>
      <c r="OFN101" s="953"/>
      <c r="OFO101" s="953"/>
      <c r="OFP101" s="953"/>
      <c r="OFQ101" s="953"/>
      <c r="OFR101" s="953"/>
      <c r="OFS101" s="953"/>
      <c r="OFT101" s="953"/>
      <c r="OFU101" s="953"/>
      <c r="OFV101" s="953"/>
      <c r="OFW101" s="953"/>
      <c r="OFX101" s="953"/>
      <c r="OFY101" s="953"/>
      <c r="OFZ101" s="953"/>
      <c r="OGA101" s="953"/>
      <c r="OGB101" s="953"/>
      <c r="OGC101" s="953"/>
      <c r="OGD101" s="953"/>
      <c r="OGE101" s="953"/>
      <c r="OGF101" s="953"/>
      <c r="OGG101" s="953"/>
      <c r="OGH101" s="953"/>
      <c r="OGI101" s="953"/>
      <c r="OGJ101" s="953"/>
      <c r="OGK101" s="953"/>
      <c r="OGL101" s="953"/>
      <c r="OGM101" s="953"/>
      <c r="OGN101" s="953"/>
      <c r="OGO101" s="953"/>
      <c r="OGP101" s="953"/>
      <c r="OGQ101" s="953"/>
      <c r="OGR101" s="953"/>
      <c r="OGS101" s="953"/>
      <c r="OGT101" s="953"/>
      <c r="OGU101" s="953"/>
      <c r="OGV101" s="953"/>
      <c r="OGW101" s="953"/>
      <c r="OGX101" s="953"/>
      <c r="OGY101" s="953"/>
      <c r="OGZ101" s="953"/>
      <c r="OHA101" s="953"/>
      <c r="OHB101" s="953"/>
      <c r="OHC101" s="953"/>
      <c r="OHD101" s="953"/>
      <c r="OHE101" s="953"/>
      <c r="OHF101" s="953"/>
      <c r="OHG101" s="953"/>
      <c r="OHH101" s="953"/>
      <c r="OHI101" s="953"/>
      <c r="OHJ101" s="953"/>
      <c r="OHK101" s="953"/>
      <c r="OHL101" s="953"/>
      <c r="OHM101" s="953"/>
      <c r="OHN101" s="953"/>
      <c r="OHO101" s="953"/>
      <c r="OHP101" s="953"/>
      <c r="OHQ101" s="953"/>
      <c r="OHR101" s="953"/>
      <c r="OHS101" s="953"/>
      <c r="OHT101" s="953"/>
      <c r="OHU101" s="953"/>
      <c r="OHV101" s="953"/>
      <c r="OHW101" s="953"/>
      <c r="OHX101" s="953"/>
      <c r="OHY101" s="953"/>
      <c r="OHZ101" s="953"/>
      <c r="OIA101" s="953"/>
      <c r="OIB101" s="953"/>
      <c r="OIC101" s="953"/>
      <c r="OID101" s="953"/>
      <c r="OIE101" s="953"/>
      <c r="OIF101" s="953"/>
      <c r="OIG101" s="953"/>
      <c r="OIH101" s="953"/>
      <c r="OII101" s="953"/>
      <c r="OIJ101" s="953"/>
      <c r="OIK101" s="953"/>
      <c r="OIL101" s="953"/>
      <c r="OIM101" s="953"/>
      <c r="OIN101" s="953"/>
      <c r="OIO101" s="953"/>
      <c r="OIP101" s="953"/>
      <c r="OIQ101" s="953"/>
      <c r="OIR101" s="953"/>
      <c r="OIS101" s="953"/>
      <c r="OIT101" s="953"/>
      <c r="OIU101" s="953"/>
      <c r="OIV101" s="953"/>
      <c r="OIW101" s="953"/>
      <c r="OIX101" s="953"/>
      <c r="OIY101" s="953"/>
      <c r="OIZ101" s="953"/>
      <c r="OJA101" s="953"/>
      <c r="OJB101" s="953"/>
      <c r="OJC101" s="953"/>
      <c r="OJD101" s="953"/>
      <c r="OJE101" s="953"/>
      <c r="OJF101" s="953"/>
      <c r="OJG101" s="953"/>
      <c r="OJH101" s="953"/>
      <c r="OJI101" s="953"/>
      <c r="OJJ101" s="953"/>
      <c r="OJK101" s="953"/>
      <c r="OJL101" s="953"/>
      <c r="OJM101" s="953"/>
      <c r="OJN101" s="953"/>
      <c r="OJO101" s="953"/>
      <c r="OJP101" s="953"/>
      <c r="OJQ101" s="953"/>
      <c r="OJR101" s="953"/>
      <c r="OJS101" s="953"/>
      <c r="OJT101" s="953"/>
      <c r="OJU101" s="953"/>
      <c r="OJV101" s="953"/>
      <c r="OJW101" s="953"/>
      <c r="OJX101" s="953"/>
      <c r="OJY101" s="953"/>
      <c r="OJZ101" s="953"/>
      <c r="OKA101" s="953"/>
      <c r="OKB101" s="953"/>
      <c r="OKC101" s="953"/>
      <c r="OKD101" s="953"/>
      <c r="OKE101" s="953"/>
      <c r="OKF101" s="953"/>
      <c r="OKG101" s="953"/>
      <c r="OKH101" s="953"/>
      <c r="OKI101" s="953"/>
      <c r="OKJ101" s="953"/>
      <c r="OKK101" s="953"/>
      <c r="OKL101" s="953"/>
      <c r="OKM101" s="953"/>
      <c r="OKN101" s="953"/>
      <c r="OKO101" s="953"/>
      <c r="OKP101" s="953"/>
      <c r="OKQ101" s="953"/>
      <c r="OKR101" s="953"/>
      <c r="OKS101" s="953"/>
      <c r="OKT101" s="953"/>
      <c r="OKU101" s="953"/>
      <c r="OKV101" s="953"/>
      <c r="OKW101" s="953"/>
      <c r="OKX101" s="953"/>
      <c r="OKY101" s="953"/>
      <c r="OKZ101" s="953"/>
      <c r="OLA101" s="953"/>
      <c r="OLB101" s="953"/>
      <c r="OLC101" s="953"/>
      <c r="OLD101" s="953"/>
      <c r="OLE101" s="953"/>
      <c r="OLF101" s="953"/>
      <c r="OLG101" s="953"/>
      <c r="OLH101" s="953"/>
      <c r="OLI101" s="953"/>
      <c r="OLJ101" s="953"/>
      <c r="OLK101" s="953"/>
      <c r="OLL101" s="953"/>
      <c r="OLM101" s="953"/>
      <c r="OLN101" s="953"/>
      <c r="OLO101" s="953"/>
      <c r="OLP101" s="953"/>
      <c r="OLQ101" s="953"/>
      <c r="OLR101" s="953"/>
      <c r="OLS101" s="953"/>
      <c r="OLT101" s="953"/>
      <c r="OLU101" s="953"/>
      <c r="OLV101" s="953"/>
      <c r="OLW101" s="953"/>
      <c r="OLX101" s="953"/>
      <c r="OLY101" s="953"/>
      <c r="OLZ101" s="953"/>
      <c r="OMA101" s="953"/>
      <c r="OMB101" s="953"/>
      <c r="OMC101" s="953"/>
      <c r="OMD101" s="953"/>
      <c r="OME101" s="953"/>
      <c r="OMF101" s="953"/>
      <c r="OMG101" s="953"/>
      <c r="OMH101" s="953"/>
      <c r="OMI101" s="953"/>
      <c r="OMJ101" s="953"/>
      <c r="OMK101" s="953"/>
      <c r="OML101" s="953"/>
      <c r="OMM101" s="953"/>
      <c r="OMN101" s="953"/>
      <c r="OMO101" s="953"/>
      <c r="OMP101" s="953"/>
      <c r="OMQ101" s="953"/>
      <c r="OMR101" s="953"/>
      <c r="OMS101" s="953"/>
      <c r="OMT101" s="953"/>
      <c r="OMU101" s="953"/>
      <c r="OMV101" s="953"/>
      <c r="OMW101" s="953"/>
      <c r="OMX101" s="953"/>
      <c r="OMY101" s="953"/>
      <c r="OMZ101" s="953"/>
      <c r="ONA101" s="953"/>
      <c r="ONB101" s="953"/>
      <c r="ONC101" s="953"/>
      <c r="OND101" s="953"/>
      <c r="ONE101" s="953"/>
      <c r="ONF101" s="953"/>
      <c r="ONG101" s="953"/>
      <c r="ONH101" s="953"/>
      <c r="ONI101" s="953"/>
      <c r="ONJ101" s="953"/>
      <c r="ONK101" s="953"/>
      <c r="ONL101" s="953"/>
      <c r="ONM101" s="953"/>
      <c r="ONN101" s="953"/>
      <c r="ONO101" s="953"/>
      <c r="ONP101" s="953"/>
      <c r="ONQ101" s="953"/>
      <c r="ONR101" s="953"/>
      <c r="ONS101" s="953"/>
      <c r="ONT101" s="953"/>
      <c r="ONU101" s="953"/>
      <c r="ONV101" s="953"/>
      <c r="ONW101" s="953"/>
      <c r="ONX101" s="953"/>
      <c r="ONY101" s="953"/>
      <c r="ONZ101" s="953"/>
      <c r="OOA101" s="953"/>
      <c r="OOB101" s="953"/>
      <c r="OOC101" s="953"/>
      <c r="OOD101" s="953"/>
      <c r="OOE101" s="953"/>
      <c r="OOF101" s="953"/>
      <c r="OOG101" s="953"/>
      <c r="OOH101" s="953"/>
      <c r="OOI101" s="953"/>
      <c r="OOJ101" s="953"/>
      <c r="OOK101" s="953"/>
      <c r="OOL101" s="953"/>
      <c r="OOM101" s="953"/>
      <c r="OON101" s="953"/>
      <c r="OOO101" s="953"/>
      <c r="OOP101" s="953"/>
      <c r="OOQ101" s="953"/>
      <c r="OOR101" s="953"/>
      <c r="OOS101" s="953"/>
      <c r="OOT101" s="953"/>
      <c r="OOU101" s="953"/>
      <c r="OOV101" s="953"/>
      <c r="OOW101" s="953"/>
      <c r="OOX101" s="953"/>
      <c r="OOY101" s="953"/>
      <c r="OOZ101" s="953"/>
      <c r="OPA101" s="953"/>
      <c r="OPB101" s="953"/>
      <c r="OPC101" s="953"/>
      <c r="OPD101" s="953"/>
      <c r="OPE101" s="953"/>
      <c r="OPF101" s="953"/>
      <c r="OPG101" s="953"/>
      <c r="OPH101" s="953"/>
      <c r="OPI101" s="953"/>
      <c r="OPJ101" s="953"/>
      <c r="OPK101" s="953"/>
      <c r="OPL101" s="953"/>
      <c r="OPM101" s="953"/>
      <c r="OPN101" s="953"/>
      <c r="OPO101" s="953"/>
      <c r="OPP101" s="953"/>
      <c r="OPQ101" s="953"/>
      <c r="OPR101" s="953"/>
      <c r="OPS101" s="953"/>
      <c r="OPT101" s="953"/>
      <c r="OPU101" s="953"/>
      <c r="OPV101" s="953"/>
      <c r="OPW101" s="953"/>
      <c r="OPX101" s="953"/>
      <c r="OPY101" s="953"/>
      <c r="OPZ101" s="953"/>
      <c r="OQA101" s="953"/>
      <c r="OQB101" s="953"/>
      <c r="OQC101" s="953"/>
      <c r="OQD101" s="953"/>
      <c r="OQE101" s="953"/>
      <c r="OQF101" s="953"/>
      <c r="OQG101" s="953"/>
      <c r="OQH101" s="953"/>
      <c r="OQI101" s="953"/>
      <c r="OQJ101" s="953"/>
      <c r="OQK101" s="953"/>
      <c r="OQL101" s="953"/>
      <c r="OQM101" s="953"/>
      <c r="OQN101" s="953"/>
      <c r="OQO101" s="953"/>
      <c r="OQP101" s="953"/>
      <c r="OQQ101" s="953"/>
      <c r="OQR101" s="953"/>
      <c r="OQS101" s="953"/>
      <c r="OQT101" s="953"/>
      <c r="OQU101" s="953"/>
      <c r="OQV101" s="953"/>
      <c r="OQW101" s="953"/>
      <c r="OQX101" s="953"/>
      <c r="OQY101" s="953"/>
      <c r="OQZ101" s="953"/>
      <c r="ORA101" s="953"/>
      <c r="ORB101" s="953"/>
      <c r="ORC101" s="953"/>
      <c r="ORD101" s="953"/>
      <c r="ORE101" s="953"/>
      <c r="ORF101" s="953"/>
      <c r="ORG101" s="953"/>
      <c r="ORH101" s="953"/>
      <c r="ORI101" s="953"/>
      <c r="ORJ101" s="953"/>
      <c r="ORK101" s="953"/>
      <c r="ORL101" s="953"/>
      <c r="ORM101" s="953"/>
      <c r="ORN101" s="953"/>
      <c r="ORO101" s="953"/>
      <c r="ORP101" s="953"/>
      <c r="ORQ101" s="953"/>
      <c r="ORR101" s="953"/>
      <c r="ORS101" s="953"/>
      <c r="ORT101" s="953"/>
      <c r="ORU101" s="953"/>
      <c r="ORV101" s="953"/>
      <c r="ORW101" s="953"/>
      <c r="ORX101" s="953"/>
      <c r="ORY101" s="953"/>
      <c r="ORZ101" s="953"/>
      <c r="OSA101" s="953"/>
      <c r="OSB101" s="953"/>
      <c r="OSC101" s="953"/>
      <c r="OSD101" s="953"/>
      <c r="OSE101" s="953"/>
      <c r="OSF101" s="953"/>
      <c r="OSG101" s="953"/>
      <c r="OSH101" s="953"/>
      <c r="OSI101" s="953"/>
      <c r="OSJ101" s="953"/>
      <c r="OSK101" s="953"/>
      <c r="OSL101" s="953"/>
      <c r="OSM101" s="953"/>
      <c r="OSN101" s="953"/>
      <c r="OSO101" s="953"/>
      <c r="OSP101" s="953"/>
      <c r="OSQ101" s="953"/>
      <c r="OSR101" s="953"/>
      <c r="OSS101" s="953"/>
      <c r="OST101" s="953"/>
      <c r="OSU101" s="953"/>
      <c r="OSV101" s="953"/>
      <c r="OSW101" s="953"/>
      <c r="OSX101" s="953"/>
      <c r="OSY101" s="953"/>
      <c r="OSZ101" s="953"/>
      <c r="OTA101" s="953"/>
      <c r="OTB101" s="953"/>
      <c r="OTC101" s="953"/>
      <c r="OTD101" s="953"/>
      <c r="OTE101" s="953"/>
      <c r="OTF101" s="953"/>
      <c r="OTG101" s="953"/>
      <c r="OTH101" s="953"/>
      <c r="OTI101" s="953"/>
      <c r="OTJ101" s="953"/>
      <c r="OTK101" s="953"/>
      <c r="OTL101" s="953"/>
      <c r="OTM101" s="953"/>
      <c r="OTN101" s="953"/>
      <c r="OTO101" s="953"/>
      <c r="OTP101" s="953"/>
      <c r="OTQ101" s="953"/>
      <c r="OTR101" s="953"/>
      <c r="OTS101" s="953"/>
      <c r="OTT101" s="953"/>
      <c r="OTU101" s="953"/>
      <c r="OTV101" s="953"/>
      <c r="OTW101" s="953"/>
      <c r="OTX101" s="953"/>
      <c r="OTY101" s="953"/>
      <c r="OTZ101" s="953"/>
      <c r="OUA101" s="953"/>
      <c r="OUB101" s="953"/>
      <c r="OUC101" s="953"/>
      <c r="OUD101" s="953"/>
      <c r="OUE101" s="953"/>
      <c r="OUF101" s="953"/>
      <c r="OUG101" s="953"/>
      <c r="OUH101" s="953"/>
      <c r="OUI101" s="953"/>
      <c r="OUJ101" s="953"/>
      <c r="OUK101" s="953"/>
      <c r="OUL101" s="953"/>
      <c r="OUM101" s="953"/>
      <c r="OUN101" s="953"/>
      <c r="OUO101" s="953"/>
      <c r="OUP101" s="953"/>
      <c r="OUQ101" s="953"/>
      <c r="OUR101" s="953"/>
      <c r="OUS101" s="953"/>
      <c r="OUT101" s="953"/>
      <c r="OUU101" s="953"/>
      <c r="OUV101" s="953"/>
      <c r="OUW101" s="953"/>
      <c r="OUX101" s="953"/>
      <c r="OUY101" s="953"/>
      <c r="OUZ101" s="953"/>
      <c r="OVA101" s="953"/>
      <c r="OVB101" s="953"/>
      <c r="OVC101" s="953"/>
      <c r="OVD101" s="953"/>
      <c r="OVE101" s="953"/>
      <c r="OVF101" s="953"/>
      <c r="OVG101" s="953"/>
      <c r="OVH101" s="953"/>
      <c r="OVI101" s="953"/>
      <c r="OVJ101" s="953"/>
      <c r="OVK101" s="953"/>
      <c r="OVL101" s="953"/>
      <c r="OVM101" s="953"/>
      <c r="OVN101" s="953"/>
      <c r="OVO101" s="953"/>
      <c r="OVP101" s="953"/>
      <c r="OVQ101" s="953"/>
      <c r="OVR101" s="953"/>
      <c r="OVS101" s="953"/>
      <c r="OVT101" s="953"/>
      <c r="OVU101" s="953"/>
      <c r="OVV101" s="953"/>
      <c r="OVW101" s="953"/>
      <c r="OVX101" s="953"/>
      <c r="OVY101" s="953"/>
      <c r="OVZ101" s="953"/>
      <c r="OWA101" s="953"/>
      <c r="OWB101" s="953"/>
      <c r="OWC101" s="953"/>
      <c r="OWD101" s="953"/>
      <c r="OWE101" s="953"/>
      <c r="OWF101" s="953"/>
      <c r="OWG101" s="953"/>
      <c r="OWH101" s="953"/>
      <c r="OWI101" s="953"/>
      <c r="OWJ101" s="953"/>
      <c r="OWK101" s="953"/>
      <c r="OWL101" s="953"/>
      <c r="OWM101" s="953"/>
      <c r="OWN101" s="953"/>
      <c r="OWO101" s="953"/>
      <c r="OWP101" s="953"/>
      <c r="OWQ101" s="953"/>
      <c r="OWR101" s="953"/>
      <c r="OWS101" s="953"/>
      <c r="OWT101" s="953"/>
      <c r="OWU101" s="953"/>
      <c r="OWV101" s="953"/>
      <c r="OWW101" s="953"/>
      <c r="OWX101" s="953"/>
      <c r="OWY101" s="953"/>
      <c r="OWZ101" s="953"/>
      <c r="OXA101" s="953"/>
      <c r="OXB101" s="953"/>
      <c r="OXC101" s="953"/>
      <c r="OXD101" s="953"/>
      <c r="OXE101" s="953"/>
      <c r="OXF101" s="953"/>
      <c r="OXG101" s="953"/>
      <c r="OXH101" s="953"/>
      <c r="OXI101" s="953"/>
      <c r="OXJ101" s="953"/>
      <c r="OXK101" s="953"/>
      <c r="OXL101" s="953"/>
      <c r="OXM101" s="953"/>
      <c r="OXN101" s="953"/>
      <c r="OXO101" s="953"/>
      <c r="OXP101" s="953"/>
      <c r="OXQ101" s="953"/>
      <c r="OXR101" s="953"/>
      <c r="OXS101" s="953"/>
      <c r="OXT101" s="953"/>
      <c r="OXU101" s="953"/>
      <c r="OXV101" s="953"/>
      <c r="OXW101" s="953"/>
      <c r="OXX101" s="953"/>
      <c r="OXY101" s="953"/>
      <c r="OXZ101" s="953"/>
      <c r="OYA101" s="953"/>
      <c r="OYB101" s="953"/>
      <c r="OYC101" s="953"/>
      <c r="OYD101" s="953"/>
      <c r="OYE101" s="953"/>
      <c r="OYF101" s="953"/>
      <c r="OYG101" s="953"/>
      <c r="OYH101" s="953"/>
      <c r="OYI101" s="953"/>
      <c r="OYJ101" s="953"/>
      <c r="OYK101" s="953"/>
      <c r="OYL101" s="953"/>
      <c r="OYM101" s="953"/>
      <c r="OYN101" s="953"/>
      <c r="OYO101" s="953"/>
      <c r="OYP101" s="953"/>
      <c r="OYQ101" s="953"/>
      <c r="OYR101" s="953"/>
      <c r="OYS101" s="953"/>
      <c r="OYT101" s="953"/>
      <c r="OYU101" s="953"/>
      <c r="OYV101" s="953"/>
      <c r="OYW101" s="953"/>
      <c r="OYX101" s="953"/>
      <c r="OYY101" s="953"/>
      <c r="OYZ101" s="953"/>
      <c r="OZA101" s="953"/>
      <c r="OZB101" s="953"/>
      <c r="OZC101" s="953"/>
      <c r="OZD101" s="953"/>
      <c r="OZE101" s="953"/>
      <c r="OZF101" s="953"/>
      <c r="OZG101" s="953"/>
      <c r="OZH101" s="953"/>
      <c r="OZI101" s="953"/>
      <c r="OZJ101" s="953"/>
      <c r="OZK101" s="953"/>
      <c r="OZL101" s="953"/>
      <c r="OZM101" s="953"/>
      <c r="OZN101" s="953"/>
      <c r="OZO101" s="953"/>
      <c r="OZP101" s="953"/>
      <c r="OZQ101" s="953"/>
      <c r="OZR101" s="953"/>
      <c r="OZS101" s="953"/>
      <c r="OZT101" s="953"/>
      <c r="OZU101" s="953"/>
      <c r="OZV101" s="953"/>
      <c r="OZW101" s="953"/>
      <c r="OZX101" s="953"/>
      <c r="OZY101" s="953"/>
      <c r="OZZ101" s="953"/>
      <c r="PAA101" s="953"/>
      <c r="PAB101" s="953"/>
      <c r="PAC101" s="953"/>
      <c r="PAD101" s="953"/>
      <c r="PAE101" s="953"/>
      <c r="PAF101" s="953"/>
      <c r="PAG101" s="953"/>
      <c r="PAH101" s="953"/>
      <c r="PAI101" s="953"/>
      <c r="PAJ101" s="953"/>
      <c r="PAK101" s="953"/>
      <c r="PAL101" s="953"/>
      <c r="PAM101" s="953"/>
      <c r="PAN101" s="953"/>
      <c r="PAO101" s="953"/>
      <c r="PAP101" s="953"/>
      <c r="PAQ101" s="953"/>
      <c r="PAR101" s="953"/>
      <c r="PAS101" s="953"/>
      <c r="PAT101" s="953"/>
      <c r="PAU101" s="953"/>
      <c r="PAV101" s="953"/>
      <c r="PAW101" s="953"/>
      <c r="PAX101" s="953"/>
      <c r="PAY101" s="953"/>
      <c r="PAZ101" s="953"/>
      <c r="PBA101" s="953"/>
      <c r="PBB101" s="953"/>
      <c r="PBC101" s="953"/>
      <c r="PBD101" s="953"/>
      <c r="PBE101" s="953"/>
      <c r="PBF101" s="953"/>
      <c r="PBG101" s="953"/>
      <c r="PBH101" s="953"/>
      <c r="PBI101" s="953"/>
      <c r="PBJ101" s="953"/>
      <c r="PBK101" s="953"/>
      <c r="PBL101" s="953"/>
      <c r="PBM101" s="953"/>
      <c r="PBN101" s="953"/>
      <c r="PBO101" s="953"/>
      <c r="PBP101" s="953"/>
      <c r="PBQ101" s="953"/>
      <c r="PBR101" s="953"/>
      <c r="PBS101" s="953"/>
      <c r="PBT101" s="953"/>
      <c r="PBU101" s="953"/>
      <c r="PBV101" s="953"/>
      <c r="PBW101" s="953"/>
      <c r="PBX101" s="953"/>
      <c r="PBY101" s="953"/>
      <c r="PBZ101" s="953"/>
      <c r="PCA101" s="953"/>
      <c r="PCB101" s="953"/>
      <c r="PCC101" s="953"/>
      <c r="PCD101" s="953"/>
      <c r="PCE101" s="953"/>
      <c r="PCF101" s="953"/>
      <c r="PCG101" s="953"/>
      <c r="PCH101" s="953"/>
      <c r="PCI101" s="953"/>
      <c r="PCJ101" s="953"/>
      <c r="PCK101" s="953"/>
      <c r="PCL101" s="953"/>
      <c r="PCM101" s="953"/>
      <c r="PCN101" s="953"/>
      <c r="PCO101" s="953"/>
      <c r="PCP101" s="953"/>
      <c r="PCQ101" s="953"/>
      <c r="PCR101" s="953"/>
      <c r="PCS101" s="953"/>
      <c r="PCT101" s="953"/>
      <c r="PCU101" s="953"/>
      <c r="PCV101" s="953"/>
      <c r="PCW101" s="953"/>
      <c r="PCX101" s="953"/>
      <c r="PCY101" s="953"/>
      <c r="PCZ101" s="953"/>
      <c r="PDA101" s="953"/>
      <c r="PDB101" s="953"/>
      <c r="PDC101" s="953"/>
      <c r="PDD101" s="953"/>
      <c r="PDE101" s="953"/>
      <c r="PDF101" s="953"/>
      <c r="PDG101" s="953"/>
      <c r="PDH101" s="953"/>
      <c r="PDI101" s="953"/>
      <c r="PDJ101" s="953"/>
      <c r="PDK101" s="953"/>
      <c r="PDL101" s="953"/>
      <c r="PDM101" s="953"/>
      <c r="PDN101" s="953"/>
      <c r="PDO101" s="953"/>
      <c r="PDP101" s="953"/>
      <c r="PDQ101" s="953"/>
      <c r="PDR101" s="953"/>
      <c r="PDS101" s="953"/>
      <c r="PDT101" s="953"/>
      <c r="PDU101" s="953"/>
      <c r="PDV101" s="953"/>
      <c r="PDW101" s="953"/>
      <c r="PDX101" s="953"/>
      <c r="PDY101" s="953"/>
      <c r="PDZ101" s="953"/>
      <c r="PEA101" s="953"/>
      <c r="PEB101" s="953"/>
      <c r="PEC101" s="953"/>
      <c r="PED101" s="953"/>
      <c r="PEE101" s="953"/>
      <c r="PEF101" s="953"/>
      <c r="PEG101" s="953"/>
      <c r="PEH101" s="953"/>
      <c r="PEI101" s="953"/>
      <c r="PEJ101" s="953"/>
      <c r="PEK101" s="953"/>
      <c r="PEL101" s="953"/>
      <c r="PEM101" s="953"/>
      <c r="PEN101" s="953"/>
      <c r="PEO101" s="953"/>
      <c r="PEP101" s="953"/>
      <c r="PEQ101" s="953"/>
      <c r="PER101" s="953"/>
      <c r="PES101" s="953"/>
      <c r="PET101" s="953"/>
      <c r="PEU101" s="953"/>
      <c r="PEV101" s="953"/>
      <c r="PEW101" s="953"/>
      <c r="PEX101" s="953"/>
      <c r="PEY101" s="953"/>
      <c r="PEZ101" s="953"/>
      <c r="PFA101" s="953"/>
      <c r="PFB101" s="953"/>
      <c r="PFC101" s="953"/>
      <c r="PFD101" s="953"/>
      <c r="PFE101" s="953"/>
      <c r="PFF101" s="953"/>
      <c r="PFG101" s="953"/>
      <c r="PFH101" s="953"/>
      <c r="PFI101" s="953"/>
      <c r="PFJ101" s="953"/>
      <c r="PFK101" s="953"/>
      <c r="PFL101" s="953"/>
      <c r="PFM101" s="953"/>
      <c r="PFN101" s="953"/>
      <c r="PFO101" s="953"/>
      <c r="PFP101" s="953"/>
      <c r="PFQ101" s="953"/>
      <c r="PFR101" s="953"/>
      <c r="PFS101" s="953"/>
      <c r="PFT101" s="953"/>
      <c r="PFU101" s="953"/>
      <c r="PFV101" s="953"/>
      <c r="PFW101" s="953"/>
      <c r="PFX101" s="953"/>
      <c r="PFY101" s="953"/>
      <c r="PFZ101" s="953"/>
      <c r="PGA101" s="953"/>
      <c r="PGB101" s="953"/>
      <c r="PGC101" s="953"/>
      <c r="PGD101" s="953"/>
      <c r="PGE101" s="953"/>
      <c r="PGF101" s="953"/>
      <c r="PGG101" s="953"/>
      <c r="PGH101" s="953"/>
      <c r="PGI101" s="953"/>
      <c r="PGJ101" s="953"/>
      <c r="PGK101" s="953"/>
      <c r="PGL101" s="953"/>
      <c r="PGM101" s="953"/>
      <c r="PGN101" s="953"/>
      <c r="PGO101" s="953"/>
      <c r="PGP101" s="953"/>
      <c r="PGQ101" s="953"/>
      <c r="PGR101" s="953"/>
      <c r="PGS101" s="953"/>
      <c r="PGT101" s="953"/>
      <c r="PGU101" s="953"/>
      <c r="PGV101" s="953"/>
      <c r="PGW101" s="953"/>
      <c r="PGX101" s="953"/>
      <c r="PGY101" s="953"/>
      <c r="PGZ101" s="953"/>
      <c r="PHA101" s="953"/>
      <c r="PHB101" s="953"/>
      <c r="PHC101" s="953"/>
      <c r="PHD101" s="953"/>
      <c r="PHE101" s="953"/>
      <c r="PHF101" s="953"/>
      <c r="PHG101" s="953"/>
      <c r="PHH101" s="953"/>
      <c r="PHI101" s="953"/>
      <c r="PHJ101" s="953"/>
      <c r="PHK101" s="953"/>
      <c r="PHL101" s="953"/>
      <c r="PHM101" s="953"/>
      <c r="PHN101" s="953"/>
      <c r="PHO101" s="953"/>
      <c r="PHP101" s="953"/>
      <c r="PHQ101" s="953"/>
      <c r="PHR101" s="953"/>
      <c r="PHS101" s="953"/>
      <c r="PHT101" s="953"/>
      <c r="PHU101" s="953"/>
      <c r="PHV101" s="953"/>
      <c r="PHW101" s="953"/>
      <c r="PHX101" s="953"/>
      <c r="PHY101" s="953"/>
      <c r="PHZ101" s="953"/>
      <c r="PIA101" s="953"/>
      <c r="PIB101" s="953"/>
      <c r="PIC101" s="953"/>
      <c r="PID101" s="953"/>
      <c r="PIE101" s="953"/>
      <c r="PIF101" s="953"/>
      <c r="PIG101" s="953"/>
      <c r="PIH101" s="953"/>
      <c r="PII101" s="953"/>
      <c r="PIJ101" s="953"/>
      <c r="PIK101" s="953"/>
      <c r="PIL101" s="953"/>
      <c r="PIM101" s="953"/>
      <c r="PIN101" s="953"/>
      <c r="PIO101" s="953"/>
      <c r="PIP101" s="953"/>
      <c r="PIQ101" s="953"/>
      <c r="PIR101" s="953"/>
      <c r="PIS101" s="953"/>
      <c r="PIT101" s="953"/>
      <c r="PIU101" s="953"/>
      <c r="PIV101" s="953"/>
      <c r="PIW101" s="953"/>
      <c r="PIX101" s="953"/>
      <c r="PIY101" s="953"/>
      <c r="PIZ101" s="953"/>
      <c r="PJA101" s="953"/>
      <c r="PJB101" s="953"/>
      <c r="PJC101" s="953"/>
      <c r="PJD101" s="953"/>
      <c r="PJE101" s="953"/>
      <c r="PJF101" s="953"/>
      <c r="PJG101" s="953"/>
      <c r="PJH101" s="953"/>
      <c r="PJI101" s="953"/>
      <c r="PJJ101" s="953"/>
      <c r="PJK101" s="953"/>
      <c r="PJL101" s="953"/>
      <c r="PJM101" s="953"/>
      <c r="PJN101" s="953"/>
      <c r="PJO101" s="953"/>
      <c r="PJP101" s="953"/>
      <c r="PJQ101" s="953"/>
      <c r="PJR101" s="953"/>
      <c r="PJS101" s="953"/>
      <c r="PJT101" s="953"/>
      <c r="PJU101" s="953"/>
      <c r="PJV101" s="953"/>
      <c r="PJW101" s="953"/>
      <c r="PJX101" s="953"/>
      <c r="PJY101" s="953"/>
      <c r="PJZ101" s="953"/>
      <c r="PKA101" s="953"/>
      <c r="PKB101" s="953"/>
      <c r="PKC101" s="953"/>
      <c r="PKD101" s="953"/>
      <c r="PKE101" s="953"/>
      <c r="PKF101" s="953"/>
      <c r="PKG101" s="953"/>
      <c r="PKH101" s="953"/>
      <c r="PKI101" s="953"/>
      <c r="PKJ101" s="953"/>
      <c r="PKK101" s="953"/>
      <c r="PKL101" s="953"/>
      <c r="PKM101" s="953"/>
      <c r="PKN101" s="953"/>
      <c r="PKO101" s="953"/>
      <c r="PKP101" s="953"/>
      <c r="PKQ101" s="953"/>
      <c r="PKR101" s="953"/>
      <c r="PKS101" s="953"/>
      <c r="PKT101" s="953"/>
      <c r="PKU101" s="953"/>
      <c r="PKV101" s="953"/>
      <c r="PKW101" s="953"/>
      <c r="PKX101" s="953"/>
      <c r="PKY101" s="953"/>
      <c r="PKZ101" s="953"/>
      <c r="PLA101" s="953"/>
      <c r="PLB101" s="953"/>
      <c r="PLC101" s="953"/>
      <c r="PLD101" s="953"/>
      <c r="PLE101" s="953"/>
      <c r="PLF101" s="953"/>
      <c r="PLG101" s="953"/>
      <c r="PLH101" s="953"/>
      <c r="PLI101" s="953"/>
      <c r="PLJ101" s="953"/>
      <c r="PLK101" s="953"/>
      <c r="PLL101" s="953"/>
      <c r="PLM101" s="953"/>
      <c r="PLN101" s="953"/>
      <c r="PLO101" s="953"/>
      <c r="PLP101" s="953"/>
      <c r="PLQ101" s="953"/>
      <c r="PLR101" s="953"/>
      <c r="PLS101" s="953"/>
      <c r="PLT101" s="953"/>
      <c r="PLU101" s="953"/>
      <c r="PLV101" s="953"/>
      <c r="PLW101" s="953"/>
      <c r="PLX101" s="953"/>
      <c r="PLY101" s="953"/>
      <c r="PLZ101" s="953"/>
      <c r="PMA101" s="953"/>
      <c r="PMB101" s="953"/>
      <c r="PMC101" s="953"/>
      <c r="PMD101" s="953"/>
      <c r="PME101" s="953"/>
      <c r="PMF101" s="953"/>
      <c r="PMG101" s="953"/>
      <c r="PMH101" s="953"/>
      <c r="PMI101" s="953"/>
      <c r="PMJ101" s="953"/>
      <c r="PMK101" s="953"/>
      <c r="PML101" s="953"/>
      <c r="PMM101" s="953"/>
      <c r="PMN101" s="953"/>
      <c r="PMO101" s="953"/>
      <c r="PMP101" s="953"/>
      <c r="PMQ101" s="953"/>
      <c r="PMR101" s="953"/>
      <c r="PMS101" s="953"/>
      <c r="PMT101" s="953"/>
      <c r="PMU101" s="953"/>
      <c r="PMV101" s="953"/>
      <c r="PMW101" s="953"/>
      <c r="PMX101" s="953"/>
      <c r="PMY101" s="953"/>
      <c r="PMZ101" s="953"/>
      <c r="PNA101" s="953"/>
      <c r="PNB101" s="953"/>
      <c r="PNC101" s="953"/>
      <c r="PND101" s="953"/>
      <c r="PNE101" s="953"/>
      <c r="PNF101" s="953"/>
      <c r="PNG101" s="953"/>
      <c r="PNH101" s="953"/>
      <c r="PNI101" s="953"/>
      <c r="PNJ101" s="953"/>
      <c r="PNK101" s="953"/>
      <c r="PNL101" s="953"/>
      <c r="PNM101" s="953"/>
      <c r="PNN101" s="953"/>
      <c r="PNO101" s="953"/>
      <c r="PNP101" s="953"/>
      <c r="PNQ101" s="953"/>
      <c r="PNR101" s="953"/>
      <c r="PNS101" s="953"/>
      <c r="PNT101" s="953"/>
      <c r="PNU101" s="953"/>
      <c r="PNV101" s="953"/>
      <c r="PNW101" s="953"/>
      <c r="PNX101" s="953"/>
      <c r="PNY101" s="953"/>
      <c r="PNZ101" s="953"/>
      <c r="POA101" s="953"/>
      <c r="POB101" s="953"/>
      <c r="POC101" s="953"/>
      <c r="POD101" s="953"/>
      <c r="POE101" s="953"/>
      <c r="POF101" s="953"/>
      <c r="POG101" s="953"/>
      <c r="POH101" s="953"/>
      <c r="POI101" s="953"/>
      <c r="POJ101" s="953"/>
      <c r="POK101" s="953"/>
      <c r="POL101" s="953"/>
      <c r="POM101" s="953"/>
      <c r="PON101" s="953"/>
      <c r="POO101" s="953"/>
      <c r="POP101" s="953"/>
      <c r="POQ101" s="953"/>
      <c r="POR101" s="953"/>
      <c r="POS101" s="953"/>
      <c r="POT101" s="953"/>
      <c r="POU101" s="953"/>
      <c r="POV101" s="953"/>
      <c r="POW101" s="953"/>
      <c r="POX101" s="953"/>
      <c r="POY101" s="953"/>
      <c r="POZ101" s="953"/>
      <c r="PPA101" s="953"/>
      <c r="PPB101" s="953"/>
      <c r="PPC101" s="953"/>
      <c r="PPD101" s="953"/>
      <c r="PPE101" s="953"/>
      <c r="PPF101" s="953"/>
      <c r="PPG101" s="953"/>
      <c r="PPH101" s="953"/>
      <c r="PPI101" s="953"/>
      <c r="PPJ101" s="953"/>
      <c r="PPK101" s="953"/>
      <c r="PPL101" s="953"/>
      <c r="PPM101" s="953"/>
      <c r="PPN101" s="953"/>
      <c r="PPO101" s="953"/>
      <c r="PPP101" s="953"/>
      <c r="PPQ101" s="953"/>
      <c r="PPR101" s="953"/>
      <c r="PPS101" s="953"/>
      <c r="PPT101" s="953"/>
      <c r="PPU101" s="953"/>
      <c r="PPV101" s="953"/>
      <c r="PPW101" s="953"/>
      <c r="PPX101" s="953"/>
      <c r="PPY101" s="953"/>
      <c r="PPZ101" s="953"/>
      <c r="PQA101" s="953"/>
      <c r="PQB101" s="953"/>
      <c r="PQC101" s="953"/>
      <c r="PQD101" s="953"/>
      <c r="PQE101" s="953"/>
      <c r="PQF101" s="953"/>
      <c r="PQG101" s="953"/>
      <c r="PQH101" s="953"/>
      <c r="PQI101" s="953"/>
      <c r="PQJ101" s="953"/>
      <c r="PQK101" s="953"/>
      <c r="PQL101" s="953"/>
      <c r="PQM101" s="953"/>
      <c r="PQN101" s="953"/>
      <c r="PQO101" s="953"/>
      <c r="PQP101" s="953"/>
      <c r="PQQ101" s="953"/>
      <c r="PQR101" s="953"/>
      <c r="PQS101" s="953"/>
      <c r="PQT101" s="953"/>
      <c r="PQU101" s="953"/>
      <c r="PQV101" s="953"/>
      <c r="PQW101" s="953"/>
      <c r="PQX101" s="953"/>
      <c r="PQY101" s="953"/>
      <c r="PQZ101" s="953"/>
      <c r="PRA101" s="953"/>
      <c r="PRB101" s="953"/>
      <c r="PRC101" s="953"/>
      <c r="PRD101" s="953"/>
      <c r="PRE101" s="953"/>
      <c r="PRF101" s="953"/>
      <c r="PRG101" s="953"/>
      <c r="PRH101" s="953"/>
      <c r="PRI101" s="953"/>
      <c r="PRJ101" s="953"/>
      <c r="PRK101" s="953"/>
      <c r="PRL101" s="953"/>
      <c r="PRM101" s="953"/>
      <c r="PRN101" s="953"/>
      <c r="PRO101" s="953"/>
      <c r="PRP101" s="953"/>
      <c r="PRQ101" s="953"/>
      <c r="PRR101" s="953"/>
      <c r="PRS101" s="953"/>
      <c r="PRT101" s="953"/>
      <c r="PRU101" s="953"/>
      <c r="PRV101" s="953"/>
      <c r="PRW101" s="953"/>
      <c r="PRX101" s="953"/>
      <c r="PRY101" s="953"/>
      <c r="PRZ101" s="953"/>
      <c r="PSA101" s="953"/>
      <c r="PSB101" s="953"/>
      <c r="PSC101" s="953"/>
      <c r="PSD101" s="953"/>
      <c r="PSE101" s="953"/>
      <c r="PSF101" s="953"/>
      <c r="PSG101" s="953"/>
      <c r="PSH101" s="953"/>
      <c r="PSI101" s="953"/>
      <c r="PSJ101" s="953"/>
      <c r="PSK101" s="953"/>
      <c r="PSL101" s="953"/>
      <c r="PSM101" s="953"/>
      <c r="PSN101" s="953"/>
      <c r="PSO101" s="953"/>
      <c r="PSP101" s="953"/>
      <c r="PSQ101" s="953"/>
      <c r="PSR101" s="953"/>
      <c r="PSS101" s="953"/>
      <c r="PST101" s="953"/>
      <c r="PSU101" s="953"/>
      <c r="PSV101" s="953"/>
      <c r="PSW101" s="953"/>
      <c r="PSX101" s="953"/>
      <c r="PSY101" s="953"/>
      <c r="PSZ101" s="953"/>
      <c r="PTA101" s="953"/>
      <c r="PTB101" s="953"/>
      <c r="PTC101" s="953"/>
      <c r="PTD101" s="953"/>
      <c r="PTE101" s="953"/>
      <c r="PTF101" s="953"/>
      <c r="PTG101" s="953"/>
      <c r="PTH101" s="953"/>
      <c r="PTI101" s="953"/>
      <c r="PTJ101" s="953"/>
      <c r="PTK101" s="953"/>
      <c r="PTL101" s="953"/>
      <c r="PTM101" s="953"/>
      <c r="PTN101" s="953"/>
      <c r="PTO101" s="953"/>
      <c r="PTP101" s="953"/>
      <c r="PTQ101" s="953"/>
      <c r="PTR101" s="953"/>
      <c r="PTS101" s="953"/>
      <c r="PTT101" s="953"/>
      <c r="PTU101" s="953"/>
      <c r="PTV101" s="953"/>
      <c r="PTW101" s="953"/>
      <c r="PTX101" s="953"/>
      <c r="PTY101" s="953"/>
      <c r="PTZ101" s="953"/>
      <c r="PUA101" s="953"/>
      <c r="PUB101" s="953"/>
      <c r="PUC101" s="953"/>
      <c r="PUD101" s="953"/>
      <c r="PUE101" s="953"/>
      <c r="PUF101" s="953"/>
      <c r="PUG101" s="953"/>
      <c r="PUH101" s="953"/>
      <c r="PUI101" s="953"/>
      <c r="PUJ101" s="953"/>
      <c r="PUK101" s="953"/>
      <c r="PUL101" s="953"/>
      <c r="PUM101" s="953"/>
      <c r="PUN101" s="953"/>
      <c r="PUO101" s="953"/>
      <c r="PUP101" s="953"/>
      <c r="PUQ101" s="953"/>
      <c r="PUR101" s="953"/>
      <c r="PUS101" s="953"/>
      <c r="PUT101" s="953"/>
      <c r="PUU101" s="953"/>
      <c r="PUV101" s="953"/>
      <c r="PUW101" s="953"/>
      <c r="PUX101" s="953"/>
      <c r="PUY101" s="953"/>
      <c r="PUZ101" s="953"/>
      <c r="PVA101" s="953"/>
      <c r="PVB101" s="953"/>
      <c r="PVC101" s="953"/>
      <c r="PVD101" s="953"/>
      <c r="PVE101" s="953"/>
      <c r="PVF101" s="953"/>
      <c r="PVG101" s="953"/>
      <c r="PVH101" s="953"/>
      <c r="PVI101" s="953"/>
      <c r="PVJ101" s="953"/>
      <c r="PVK101" s="953"/>
      <c r="PVL101" s="953"/>
      <c r="PVM101" s="953"/>
      <c r="PVN101" s="953"/>
      <c r="PVO101" s="953"/>
      <c r="PVP101" s="953"/>
      <c r="PVQ101" s="953"/>
      <c r="PVR101" s="953"/>
      <c r="PVS101" s="953"/>
      <c r="PVT101" s="953"/>
      <c r="PVU101" s="953"/>
      <c r="PVV101" s="953"/>
      <c r="PVW101" s="953"/>
      <c r="PVX101" s="953"/>
      <c r="PVY101" s="953"/>
      <c r="PVZ101" s="953"/>
      <c r="PWA101" s="953"/>
      <c r="PWB101" s="953"/>
      <c r="PWC101" s="953"/>
      <c r="PWD101" s="953"/>
      <c r="PWE101" s="953"/>
      <c r="PWF101" s="953"/>
      <c r="PWG101" s="953"/>
      <c r="PWH101" s="953"/>
      <c r="PWI101" s="953"/>
      <c r="PWJ101" s="953"/>
      <c r="PWK101" s="953"/>
      <c r="PWL101" s="953"/>
      <c r="PWM101" s="953"/>
      <c r="PWN101" s="953"/>
      <c r="PWO101" s="953"/>
      <c r="PWP101" s="953"/>
      <c r="PWQ101" s="953"/>
      <c r="PWR101" s="953"/>
      <c r="PWS101" s="953"/>
      <c r="PWT101" s="953"/>
      <c r="PWU101" s="953"/>
      <c r="PWV101" s="953"/>
      <c r="PWW101" s="953"/>
      <c r="PWX101" s="953"/>
      <c r="PWY101" s="953"/>
      <c r="PWZ101" s="953"/>
      <c r="PXA101" s="953"/>
      <c r="PXB101" s="953"/>
      <c r="PXC101" s="953"/>
      <c r="PXD101" s="953"/>
      <c r="PXE101" s="953"/>
      <c r="PXF101" s="953"/>
      <c r="PXG101" s="953"/>
      <c r="PXH101" s="953"/>
      <c r="PXI101" s="953"/>
      <c r="PXJ101" s="953"/>
      <c r="PXK101" s="953"/>
      <c r="PXL101" s="953"/>
      <c r="PXM101" s="953"/>
      <c r="PXN101" s="953"/>
      <c r="PXO101" s="953"/>
      <c r="PXP101" s="953"/>
      <c r="PXQ101" s="953"/>
      <c r="PXR101" s="953"/>
      <c r="PXS101" s="953"/>
      <c r="PXT101" s="953"/>
      <c r="PXU101" s="953"/>
      <c r="PXV101" s="953"/>
      <c r="PXW101" s="953"/>
      <c r="PXX101" s="953"/>
      <c r="PXY101" s="953"/>
      <c r="PXZ101" s="953"/>
      <c r="PYA101" s="953"/>
      <c r="PYB101" s="953"/>
      <c r="PYC101" s="953"/>
      <c r="PYD101" s="953"/>
      <c r="PYE101" s="953"/>
      <c r="PYF101" s="953"/>
      <c r="PYG101" s="953"/>
      <c r="PYH101" s="953"/>
      <c r="PYI101" s="953"/>
      <c r="PYJ101" s="953"/>
      <c r="PYK101" s="953"/>
      <c r="PYL101" s="953"/>
      <c r="PYM101" s="953"/>
      <c r="PYN101" s="953"/>
      <c r="PYO101" s="953"/>
      <c r="PYP101" s="953"/>
      <c r="PYQ101" s="953"/>
      <c r="PYR101" s="953"/>
      <c r="PYS101" s="953"/>
      <c r="PYT101" s="953"/>
      <c r="PYU101" s="953"/>
      <c r="PYV101" s="953"/>
      <c r="PYW101" s="953"/>
      <c r="PYX101" s="953"/>
      <c r="PYY101" s="953"/>
      <c r="PYZ101" s="953"/>
      <c r="PZA101" s="953"/>
      <c r="PZB101" s="953"/>
      <c r="PZC101" s="953"/>
      <c r="PZD101" s="953"/>
      <c r="PZE101" s="953"/>
      <c r="PZF101" s="953"/>
      <c r="PZG101" s="953"/>
      <c r="PZH101" s="953"/>
      <c r="PZI101" s="953"/>
      <c r="PZJ101" s="953"/>
      <c r="PZK101" s="953"/>
      <c r="PZL101" s="953"/>
      <c r="PZM101" s="953"/>
      <c r="PZN101" s="953"/>
      <c r="PZO101" s="953"/>
      <c r="PZP101" s="953"/>
      <c r="PZQ101" s="953"/>
      <c r="PZR101" s="953"/>
      <c r="PZS101" s="953"/>
      <c r="PZT101" s="953"/>
      <c r="PZU101" s="953"/>
      <c r="PZV101" s="953"/>
      <c r="PZW101" s="953"/>
      <c r="PZX101" s="953"/>
      <c r="PZY101" s="953"/>
      <c r="PZZ101" s="953"/>
      <c r="QAA101" s="953"/>
      <c r="QAB101" s="953"/>
      <c r="QAC101" s="953"/>
      <c r="QAD101" s="953"/>
      <c r="QAE101" s="953"/>
      <c r="QAF101" s="953"/>
      <c r="QAG101" s="953"/>
      <c r="QAH101" s="953"/>
      <c r="QAI101" s="953"/>
      <c r="QAJ101" s="953"/>
      <c r="QAK101" s="953"/>
      <c r="QAL101" s="953"/>
      <c r="QAM101" s="953"/>
      <c r="QAN101" s="953"/>
      <c r="QAO101" s="953"/>
      <c r="QAP101" s="953"/>
      <c r="QAQ101" s="953"/>
      <c r="QAR101" s="953"/>
      <c r="QAS101" s="953"/>
      <c r="QAT101" s="953"/>
      <c r="QAU101" s="953"/>
      <c r="QAV101" s="953"/>
      <c r="QAW101" s="953"/>
      <c r="QAX101" s="953"/>
      <c r="QAY101" s="953"/>
      <c r="QAZ101" s="953"/>
      <c r="QBA101" s="953"/>
      <c r="QBB101" s="953"/>
      <c r="QBC101" s="953"/>
      <c r="QBD101" s="953"/>
      <c r="QBE101" s="953"/>
      <c r="QBF101" s="953"/>
      <c r="QBG101" s="953"/>
      <c r="QBH101" s="953"/>
      <c r="QBI101" s="953"/>
      <c r="QBJ101" s="953"/>
      <c r="QBK101" s="953"/>
      <c r="QBL101" s="953"/>
      <c r="QBM101" s="953"/>
      <c r="QBN101" s="953"/>
      <c r="QBO101" s="953"/>
      <c r="QBP101" s="953"/>
      <c r="QBQ101" s="953"/>
      <c r="QBR101" s="953"/>
      <c r="QBS101" s="953"/>
      <c r="QBT101" s="953"/>
      <c r="QBU101" s="953"/>
      <c r="QBV101" s="953"/>
      <c r="QBW101" s="953"/>
      <c r="QBX101" s="953"/>
      <c r="QBY101" s="953"/>
      <c r="QBZ101" s="953"/>
      <c r="QCA101" s="953"/>
      <c r="QCB101" s="953"/>
      <c r="QCC101" s="953"/>
      <c r="QCD101" s="953"/>
      <c r="QCE101" s="953"/>
      <c r="QCF101" s="953"/>
      <c r="QCG101" s="953"/>
      <c r="QCH101" s="953"/>
      <c r="QCI101" s="953"/>
      <c r="QCJ101" s="953"/>
      <c r="QCK101" s="953"/>
      <c r="QCL101" s="953"/>
      <c r="QCM101" s="953"/>
      <c r="QCN101" s="953"/>
      <c r="QCO101" s="953"/>
      <c r="QCP101" s="953"/>
      <c r="QCQ101" s="953"/>
      <c r="QCR101" s="953"/>
      <c r="QCS101" s="953"/>
      <c r="QCT101" s="953"/>
      <c r="QCU101" s="953"/>
      <c r="QCV101" s="953"/>
      <c r="QCW101" s="953"/>
      <c r="QCX101" s="953"/>
      <c r="QCY101" s="953"/>
      <c r="QCZ101" s="953"/>
      <c r="QDA101" s="953"/>
      <c r="QDB101" s="953"/>
      <c r="QDC101" s="953"/>
      <c r="QDD101" s="953"/>
      <c r="QDE101" s="953"/>
      <c r="QDF101" s="953"/>
      <c r="QDG101" s="953"/>
      <c r="QDH101" s="953"/>
      <c r="QDI101" s="953"/>
      <c r="QDJ101" s="953"/>
      <c r="QDK101" s="953"/>
      <c r="QDL101" s="953"/>
      <c r="QDM101" s="953"/>
      <c r="QDN101" s="953"/>
      <c r="QDO101" s="953"/>
      <c r="QDP101" s="953"/>
      <c r="QDQ101" s="953"/>
      <c r="QDR101" s="953"/>
      <c r="QDS101" s="953"/>
      <c r="QDT101" s="953"/>
      <c r="QDU101" s="953"/>
      <c r="QDV101" s="953"/>
      <c r="QDW101" s="953"/>
      <c r="QDX101" s="953"/>
      <c r="QDY101" s="953"/>
      <c r="QDZ101" s="953"/>
      <c r="QEA101" s="953"/>
      <c r="QEB101" s="953"/>
      <c r="QEC101" s="953"/>
      <c r="QED101" s="953"/>
      <c r="QEE101" s="953"/>
      <c r="QEF101" s="953"/>
      <c r="QEG101" s="953"/>
      <c r="QEH101" s="953"/>
      <c r="QEI101" s="953"/>
      <c r="QEJ101" s="953"/>
      <c r="QEK101" s="953"/>
      <c r="QEL101" s="953"/>
      <c r="QEM101" s="953"/>
      <c r="QEN101" s="953"/>
      <c r="QEO101" s="953"/>
      <c r="QEP101" s="953"/>
      <c r="QEQ101" s="953"/>
      <c r="QER101" s="953"/>
      <c r="QES101" s="953"/>
      <c r="QET101" s="953"/>
      <c r="QEU101" s="953"/>
      <c r="QEV101" s="953"/>
      <c r="QEW101" s="953"/>
      <c r="QEX101" s="953"/>
      <c r="QEY101" s="953"/>
      <c r="QEZ101" s="953"/>
      <c r="QFA101" s="953"/>
      <c r="QFB101" s="953"/>
      <c r="QFC101" s="953"/>
      <c r="QFD101" s="953"/>
      <c r="QFE101" s="953"/>
      <c r="QFF101" s="953"/>
      <c r="QFG101" s="953"/>
      <c r="QFH101" s="953"/>
      <c r="QFI101" s="953"/>
      <c r="QFJ101" s="953"/>
      <c r="QFK101" s="953"/>
      <c r="QFL101" s="953"/>
      <c r="QFM101" s="953"/>
      <c r="QFN101" s="953"/>
      <c r="QFO101" s="953"/>
      <c r="QFP101" s="953"/>
      <c r="QFQ101" s="953"/>
      <c r="QFR101" s="953"/>
      <c r="QFS101" s="953"/>
      <c r="QFT101" s="953"/>
      <c r="QFU101" s="953"/>
      <c r="QFV101" s="953"/>
      <c r="QFW101" s="953"/>
      <c r="QFX101" s="953"/>
      <c r="QFY101" s="953"/>
      <c r="QFZ101" s="953"/>
      <c r="QGA101" s="953"/>
      <c r="QGB101" s="953"/>
      <c r="QGC101" s="953"/>
      <c r="QGD101" s="953"/>
      <c r="QGE101" s="953"/>
      <c r="QGF101" s="953"/>
      <c r="QGG101" s="953"/>
      <c r="QGH101" s="953"/>
      <c r="QGI101" s="953"/>
      <c r="QGJ101" s="953"/>
      <c r="QGK101" s="953"/>
      <c r="QGL101" s="953"/>
      <c r="QGM101" s="953"/>
      <c r="QGN101" s="953"/>
      <c r="QGO101" s="953"/>
      <c r="QGP101" s="953"/>
      <c r="QGQ101" s="953"/>
      <c r="QGR101" s="953"/>
      <c r="QGS101" s="953"/>
      <c r="QGT101" s="953"/>
      <c r="QGU101" s="953"/>
      <c r="QGV101" s="953"/>
      <c r="QGW101" s="953"/>
      <c r="QGX101" s="953"/>
      <c r="QGY101" s="953"/>
      <c r="QGZ101" s="953"/>
      <c r="QHA101" s="953"/>
      <c r="QHB101" s="953"/>
      <c r="QHC101" s="953"/>
      <c r="QHD101" s="953"/>
      <c r="QHE101" s="953"/>
      <c r="QHF101" s="953"/>
      <c r="QHG101" s="953"/>
      <c r="QHH101" s="953"/>
      <c r="QHI101" s="953"/>
      <c r="QHJ101" s="953"/>
      <c r="QHK101" s="953"/>
      <c r="QHL101" s="953"/>
      <c r="QHM101" s="953"/>
      <c r="QHN101" s="953"/>
      <c r="QHO101" s="953"/>
      <c r="QHP101" s="953"/>
      <c r="QHQ101" s="953"/>
      <c r="QHR101" s="953"/>
      <c r="QHS101" s="953"/>
      <c r="QHT101" s="953"/>
      <c r="QHU101" s="953"/>
      <c r="QHV101" s="953"/>
      <c r="QHW101" s="953"/>
      <c r="QHX101" s="953"/>
      <c r="QHY101" s="953"/>
      <c r="QHZ101" s="953"/>
      <c r="QIA101" s="953"/>
      <c r="QIB101" s="953"/>
      <c r="QIC101" s="953"/>
      <c r="QID101" s="953"/>
      <c r="QIE101" s="953"/>
      <c r="QIF101" s="953"/>
      <c r="QIG101" s="953"/>
      <c r="QIH101" s="953"/>
      <c r="QII101" s="953"/>
      <c r="QIJ101" s="953"/>
      <c r="QIK101" s="953"/>
      <c r="QIL101" s="953"/>
      <c r="QIM101" s="953"/>
      <c r="QIN101" s="953"/>
      <c r="QIO101" s="953"/>
      <c r="QIP101" s="953"/>
      <c r="QIQ101" s="953"/>
      <c r="QIR101" s="953"/>
      <c r="QIS101" s="953"/>
      <c r="QIT101" s="953"/>
      <c r="QIU101" s="953"/>
      <c r="QIV101" s="953"/>
      <c r="QIW101" s="953"/>
      <c r="QIX101" s="953"/>
      <c r="QIY101" s="953"/>
      <c r="QIZ101" s="953"/>
      <c r="QJA101" s="953"/>
      <c r="QJB101" s="953"/>
      <c r="QJC101" s="953"/>
      <c r="QJD101" s="953"/>
      <c r="QJE101" s="953"/>
      <c r="QJF101" s="953"/>
      <c r="QJG101" s="953"/>
      <c r="QJH101" s="953"/>
      <c r="QJI101" s="953"/>
      <c r="QJJ101" s="953"/>
      <c r="QJK101" s="953"/>
      <c r="QJL101" s="953"/>
      <c r="QJM101" s="953"/>
      <c r="QJN101" s="953"/>
      <c r="QJO101" s="953"/>
      <c r="QJP101" s="953"/>
      <c r="QJQ101" s="953"/>
      <c r="QJR101" s="953"/>
      <c r="QJS101" s="953"/>
      <c r="QJT101" s="953"/>
      <c r="QJU101" s="953"/>
      <c r="QJV101" s="953"/>
      <c r="QJW101" s="953"/>
      <c r="QJX101" s="953"/>
      <c r="QJY101" s="953"/>
      <c r="QJZ101" s="953"/>
      <c r="QKA101" s="953"/>
      <c r="QKB101" s="953"/>
      <c r="QKC101" s="953"/>
      <c r="QKD101" s="953"/>
      <c r="QKE101" s="953"/>
      <c r="QKF101" s="953"/>
      <c r="QKG101" s="953"/>
      <c r="QKH101" s="953"/>
      <c r="QKI101" s="953"/>
      <c r="QKJ101" s="953"/>
      <c r="QKK101" s="953"/>
      <c r="QKL101" s="953"/>
      <c r="QKM101" s="953"/>
      <c r="QKN101" s="953"/>
      <c r="QKO101" s="953"/>
      <c r="QKP101" s="953"/>
      <c r="QKQ101" s="953"/>
      <c r="QKR101" s="953"/>
      <c r="QKS101" s="953"/>
      <c r="QKT101" s="953"/>
      <c r="QKU101" s="953"/>
      <c r="QKV101" s="953"/>
      <c r="QKW101" s="953"/>
      <c r="QKX101" s="953"/>
      <c r="QKY101" s="953"/>
      <c r="QKZ101" s="953"/>
      <c r="QLA101" s="953"/>
      <c r="QLB101" s="953"/>
      <c r="QLC101" s="953"/>
      <c r="QLD101" s="953"/>
      <c r="QLE101" s="953"/>
      <c r="QLF101" s="953"/>
      <c r="QLG101" s="953"/>
      <c r="QLH101" s="953"/>
      <c r="QLI101" s="953"/>
      <c r="QLJ101" s="953"/>
      <c r="QLK101" s="953"/>
      <c r="QLL101" s="953"/>
      <c r="QLM101" s="953"/>
      <c r="QLN101" s="953"/>
      <c r="QLO101" s="953"/>
      <c r="QLP101" s="953"/>
      <c r="QLQ101" s="953"/>
      <c r="QLR101" s="953"/>
      <c r="QLS101" s="953"/>
      <c r="QLT101" s="953"/>
      <c r="QLU101" s="953"/>
      <c r="QLV101" s="953"/>
      <c r="QLW101" s="953"/>
      <c r="QLX101" s="953"/>
      <c r="QLY101" s="953"/>
      <c r="QLZ101" s="953"/>
      <c r="QMA101" s="953"/>
      <c r="QMB101" s="953"/>
      <c r="QMC101" s="953"/>
      <c r="QMD101" s="953"/>
      <c r="QME101" s="953"/>
      <c r="QMF101" s="953"/>
      <c r="QMG101" s="953"/>
      <c r="QMH101" s="953"/>
      <c r="QMI101" s="953"/>
      <c r="QMJ101" s="953"/>
      <c r="QMK101" s="953"/>
      <c r="QML101" s="953"/>
      <c r="QMM101" s="953"/>
      <c r="QMN101" s="953"/>
      <c r="QMO101" s="953"/>
      <c r="QMP101" s="953"/>
      <c r="QMQ101" s="953"/>
      <c r="QMR101" s="953"/>
      <c r="QMS101" s="953"/>
      <c r="QMT101" s="953"/>
      <c r="QMU101" s="953"/>
      <c r="QMV101" s="953"/>
      <c r="QMW101" s="953"/>
      <c r="QMX101" s="953"/>
      <c r="QMY101" s="953"/>
      <c r="QMZ101" s="953"/>
      <c r="QNA101" s="953"/>
      <c r="QNB101" s="953"/>
      <c r="QNC101" s="953"/>
      <c r="QND101" s="953"/>
      <c r="QNE101" s="953"/>
      <c r="QNF101" s="953"/>
      <c r="QNG101" s="953"/>
      <c r="QNH101" s="953"/>
      <c r="QNI101" s="953"/>
      <c r="QNJ101" s="953"/>
      <c r="QNK101" s="953"/>
      <c r="QNL101" s="953"/>
      <c r="QNM101" s="953"/>
      <c r="QNN101" s="953"/>
      <c r="QNO101" s="953"/>
      <c r="QNP101" s="953"/>
      <c r="QNQ101" s="953"/>
      <c r="QNR101" s="953"/>
      <c r="QNS101" s="953"/>
      <c r="QNT101" s="953"/>
      <c r="QNU101" s="953"/>
      <c r="QNV101" s="953"/>
      <c r="QNW101" s="953"/>
      <c r="QNX101" s="953"/>
      <c r="QNY101" s="953"/>
      <c r="QNZ101" s="953"/>
      <c r="QOA101" s="953"/>
      <c r="QOB101" s="953"/>
      <c r="QOC101" s="953"/>
      <c r="QOD101" s="953"/>
      <c r="QOE101" s="953"/>
      <c r="QOF101" s="953"/>
      <c r="QOG101" s="953"/>
      <c r="QOH101" s="953"/>
      <c r="QOI101" s="953"/>
      <c r="QOJ101" s="953"/>
      <c r="QOK101" s="953"/>
      <c r="QOL101" s="953"/>
      <c r="QOM101" s="953"/>
      <c r="QON101" s="953"/>
      <c r="QOO101" s="953"/>
      <c r="QOP101" s="953"/>
      <c r="QOQ101" s="953"/>
      <c r="QOR101" s="953"/>
      <c r="QOS101" s="953"/>
      <c r="QOT101" s="953"/>
      <c r="QOU101" s="953"/>
      <c r="QOV101" s="953"/>
      <c r="QOW101" s="953"/>
      <c r="QOX101" s="953"/>
      <c r="QOY101" s="953"/>
      <c r="QOZ101" s="953"/>
      <c r="QPA101" s="953"/>
      <c r="QPB101" s="953"/>
      <c r="QPC101" s="953"/>
      <c r="QPD101" s="953"/>
      <c r="QPE101" s="953"/>
      <c r="QPF101" s="953"/>
      <c r="QPG101" s="953"/>
      <c r="QPH101" s="953"/>
      <c r="QPI101" s="953"/>
      <c r="QPJ101" s="953"/>
      <c r="QPK101" s="953"/>
      <c r="QPL101" s="953"/>
      <c r="QPM101" s="953"/>
      <c r="QPN101" s="953"/>
      <c r="QPO101" s="953"/>
      <c r="QPP101" s="953"/>
      <c r="QPQ101" s="953"/>
      <c r="QPR101" s="953"/>
      <c r="QPS101" s="953"/>
      <c r="QPT101" s="953"/>
      <c r="QPU101" s="953"/>
      <c r="QPV101" s="953"/>
      <c r="QPW101" s="953"/>
      <c r="QPX101" s="953"/>
      <c r="QPY101" s="953"/>
      <c r="QPZ101" s="953"/>
      <c r="QQA101" s="953"/>
      <c r="QQB101" s="953"/>
      <c r="QQC101" s="953"/>
      <c r="QQD101" s="953"/>
      <c r="QQE101" s="953"/>
      <c r="QQF101" s="953"/>
      <c r="QQG101" s="953"/>
      <c r="QQH101" s="953"/>
      <c r="QQI101" s="953"/>
      <c r="QQJ101" s="953"/>
      <c r="QQK101" s="953"/>
      <c r="QQL101" s="953"/>
      <c r="QQM101" s="953"/>
      <c r="QQN101" s="953"/>
      <c r="QQO101" s="953"/>
      <c r="QQP101" s="953"/>
      <c r="QQQ101" s="953"/>
      <c r="QQR101" s="953"/>
      <c r="QQS101" s="953"/>
      <c r="QQT101" s="953"/>
      <c r="QQU101" s="953"/>
      <c r="QQV101" s="953"/>
      <c r="QQW101" s="953"/>
      <c r="QQX101" s="953"/>
      <c r="QQY101" s="953"/>
      <c r="QQZ101" s="953"/>
      <c r="QRA101" s="953"/>
      <c r="QRB101" s="953"/>
      <c r="QRC101" s="953"/>
      <c r="QRD101" s="953"/>
      <c r="QRE101" s="953"/>
      <c r="QRF101" s="953"/>
      <c r="QRG101" s="953"/>
      <c r="QRH101" s="953"/>
      <c r="QRI101" s="953"/>
      <c r="QRJ101" s="953"/>
      <c r="QRK101" s="953"/>
      <c r="QRL101" s="953"/>
      <c r="QRM101" s="953"/>
      <c r="QRN101" s="953"/>
      <c r="QRO101" s="953"/>
      <c r="QRP101" s="953"/>
      <c r="QRQ101" s="953"/>
      <c r="QRR101" s="953"/>
      <c r="QRS101" s="953"/>
      <c r="QRT101" s="953"/>
      <c r="QRU101" s="953"/>
      <c r="QRV101" s="953"/>
      <c r="QRW101" s="953"/>
      <c r="QRX101" s="953"/>
      <c r="QRY101" s="953"/>
      <c r="QRZ101" s="953"/>
      <c r="QSA101" s="953"/>
      <c r="QSB101" s="953"/>
      <c r="QSC101" s="953"/>
      <c r="QSD101" s="953"/>
      <c r="QSE101" s="953"/>
      <c r="QSF101" s="953"/>
      <c r="QSG101" s="953"/>
      <c r="QSH101" s="953"/>
      <c r="QSI101" s="953"/>
      <c r="QSJ101" s="953"/>
      <c r="QSK101" s="953"/>
      <c r="QSL101" s="953"/>
      <c r="QSM101" s="953"/>
      <c r="QSN101" s="953"/>
      <c r="QSO101" s="953"/>
      <c r="QSP101" s="953"/>
      <c r="QSQ101" s="953"/>
      <c r="QSR101" s="953"/>
      <c r="QSS101" s="953"/>
      <c r="QST101" s="953"/>
      <c r="QSU101" s="953"/>
      <c r="QSV101" s="953"/>
      <c r="QSW101" s="953"/>
      <c r="QSX101" s="953"/>
      <c r="QSY101" s="953"/>
      <c r="QSZ101" s="953"/>
      <c r="QTA101" s="953"/>
      <c r="QTB101" s="953"/>
      <c r="QTC101" s="953"/>
      <c r="QTD101" s="953"/>
      <c r="QTE101" s="953"/>
      <c r="QTF101" s="953"/>
      <c r="QTG101" s="953"/>
      <c r="QTH101" s="953"/>
      <c r="QTI101" s="953"/>
      <c r="QTJ101" s="953"/>
      <c r="QTK101" s="953"/>
      <c r="QTL101" s="953"/>
      <c r="QTM101" s="953"/>
      <c r="QTN101" s="953"/>
      <c r="QTO101" s="953"/>
      <c r="QTP101" s="953"/>
      <c r="QTQ101" s="953"/>
      <c r="QTR101" s="953"/>
      <c r="QTS101" s="953"/>
      <c r="QTT101" s="953"/>
      <c r="QTU101" s="953"/>
      <c r="QTV101" s="953"/>
      <c r="QTW101" s="953"/>
      <c r="QTX101" s="953"/>
      <c r="QTY101" s="953"/>
      <c r="QTZ101" s="953"/>
      <c r="QUA101" s="953"/>
      <c r="QUB101" s="953"/>
      <c r="QUC101" s="953"/>
      <c r="QUD101" s="953"/>
      <c r="QUE101" s="953"/>
      <c r="QUF101" s="953"/>
      <c r="QUG101" s="953"/>
      <c r="QUH101" s="953"/>
      <c r="QUI101" s="953"/>
      <c r="QUJ101" s="953"/>
      <c r="QUK101" s="953"/>
      <c r="QUL101" s="953"/>
      <c r="QUM101" s="953"/>
      <c r="QUN101" s="953"/>
      <c r="QUO101" s="953"/>
      <c r="QUP101" s="953"/>
      <c r="QUQ101" s="953"/>
      <c r="QUR101" s="953"/>
      <c r="QUS101" s="953"/>
      <c r="QUT101" s="953"/>
      <c r="QUU101" s="953"/>
      <c r="QUV101" s="953"/>
      <c r="QUW101" s="953"/>
      <c r="QUX101" s="953"/>
      <c r="QUY101" s="953"/>
      <c r="QUZ101" s="953"/>
      <c r="QVA101" s="953"/>
      <c r="QVB101" s="953"/>
      <c r="QVC101" s="953"/>
      <c r="QVD101" s="953"/>
      <c r="QVE101" s="953"/>
      <c r="QVF101" s="953"/>
      <c r="QVG101" s="953"/>
      <c r="QVH101" s="953"/>
      <c r="QVI101" s="953"/>
      <c r="QVJ101" s="953"/>
      <c r="QVK101" s="953"/>
      <c r="QVL101" s="953"/>
      <c r="QVM101" s="953"/>
      <c r="QVN101" s="953"/>
      <c r="QVO101" s="953"/>
      <c r="QVP101" s="953"/>
      <c r="QVQ101" s="953"/>
      <c r="QVR101" s="953"/>
      <c r="QVS101" s="953"/>
      <c r="QVT101" s="953"/>
      <c r="QVU101" s="953"/>
      <c r="QVV101" s="953"/>
      <c r="QVW101" s="953"/>
      <c r="QVX101" s="953"/>
      <c r="QVY101" s="953"/>
      <c r="QVZ101" s="953"/>
      <c r="QWA101" s="953"/>
      <c r="QWB101" s="953"/>
      <c r="QWC101" s="953"/>
      <c r="QWD101" s="953"/>
      <c r="QWE101" s="953"/>
      <c r="QWF101" s="953"/>
      <c r="QWG101" s="953"/>
      <c r="QWH101" s="953"/>
      <c r="QWI101" s="953"/>
      <c r="QWJ101" s="953"/>
      <c r="QWK101" s="953"/>
      <c r="QWL101" s="953"/>
      <c r="QWM101" s="953"/>
      <c r="QWN101" s="953"/>
      <c r="QWO101" s="953"/>
      <c r="QWP101" s="953"/>
      <c r="QWQ101" s="953"/>
      <c r="QWR101" s="953"/>
      <c r="QWS101" s="953"/>
      <c r="QWT101" s="953"/>
      <c r="QWU101" s="953"/>
      <c r="QWV101" s="953"/>
      <c r="QWW101" s="953"/>
      <c r="QWX101" s="953"/>
      <c r="QWY101" s="953"/>
      <c r="QWZ101" s="953"/>
      <c r="QXA101" s="953"/>
      <c r="QXB101" s="953"/>
      <c r="QXC101" s="953"/>
      <c r="QXD101" s="953"/>
      <c r="QXE101" s="953"/>
      <c r="QXF101" s="953"/>
      <c r="QXG101" s="953"/>
      <c r="QXH101" s="953"/>
      <c r="QXI101" s="953"/>
      <c r="QXJ101" s="953"/>
      <c r="QXK101" s="953"/>
      <c r="QXL101" s="953"/>
      <c r="QXM101" s="953"/>
      <c r="QXN101" s="953"/>
      <c r="QXO101" s="953"/>
      <c r="QXP101" s="953"/>
      <c r="QXQ101" s="953"/>
      <c r="QXR101" s="953"/>
      <c r="QXS101" s="953"/>
      <c r="QXT101" s="953"/>
      <c r="QXU101" s="953"/>
      <c r="QXV101" s="953"/>
      <c r="QXW101" s="953"/>
      <c r="QXX101" s="953"/>
      <c r="QXY101" s="953"/>
      <c r="QXZ101" s="953"/>
      <c r="QYA101" s="953"/>
      <c r="QYB101" s="953"/>
      <c r="QYC101" s="953"/>
      <c r="QYD101" s="953"/>
      <c r="QYE101" s="953"/>
      <c r="QYF101" s="953"/>
      <c r="QYG101" s="953"/>
      <c r="QYH101" s="953"/>
      <c r="QYI101" s="953"/>
      <c r="QYJ101" s="953"/>
      <c r="QYK101" s="953"/>
      <c r="QYL101" s="953"/>
      <c r="QYM101" s="953"/>
      <c r="QYN101" s="953"/>
      <c r="QYO101" s="953"/>
      <c r="QYP101" s="953"/>
      <c r="QYQ101" s="953"/>
      <c r="QYR101" s="953"/>
      <c r="QYS101" s="953"/>
      <c r="QYT101" s="953"/>
      <c r="QYU101" s="953"/>
      <c r="QYV101" s="953"/>
      <c r="QYW101" s="953"/>
      <c r="QYX101" s="953"/>
      <c r="QYY101" s="953"/>
      <c r="QYZ101" s="953"/>
      <c r="QZA101" s="953"/>
      <c r="QZB101" s="953"/>
      <c r="QZC101" s="953"/>
      <c r="QZD101" s="953"/>
      <c r="QZE101" s="953"/>
      <c r="QZF101" s="953"/>
      <c r="QZG101" s="953"/>
      <c r="QZH101" s="953"/>
      <c r="QZI101" s="953"/>
      <c r="QZJ101" s="953"/>
      <c r="QZK101" s="953"/>
      <c r="QZL101" s="953"/>
      <c r="QZM101" s="953"/>
      <c r="QZN101" s="953"/>
      <c r="QZO101" s="953"/>
      <c r="QZP101" s="953"/>
      <c r="QZQ101" s="953"/>
      <c r="QZR101" s="953"/>
      <c r="QZS101" s="953"/>
      <c r="QZT101" s="953"/>
      <c r="QZU101" s="953"/>
      <c r="QZV101" s="953"/>
      <c r="QZW101" s="953"/>
      <c r="QZX101" s="953"/>
      <c r="QZY101" s="953"/>
      <c r="QZZ101" s="953"/>
      <c r="RAA101" s="953"/>
      <c r="RAB101" s="953"/>
      <c r="RAC101" s="953"/>
      <c r="RAD101" s="953"/>
      <c r="RAE101" s="953"/>
      <c r="RAF101" s="953"/>
      <c r="RAG101" s="953"/>
      <c r="RAH101" s="953"/>
      <c r="RAI101" s="953"/>
      <c r="RAJ101" s="953"/>
      <c r="RAK101" s="953"/>
      <c r="RAL101" s="953"/>
      <c r="RAM101" s="953"/>
      <c r="RAN101" s="953"/>
      <c r="RAO101" s="953"/>
      <c r="RAP101" s="953"/>
      <c r="RAQ101" s="953"/>
      <c r="RAR101" s="953"/>
      <c r="RAS101" s="953"/>
      <c r="RAT101" s="953"/>
      <c r="RAU101" s="953"/>
      <c r="RAV101" s="953"/>
      <c r="RAW101" s="953"/>
      <c r="RAX101" s="953"/>
      <c r="RAY101" s="953"/>
      <c r="RAZ101" s="953"/>
      <c r="RBA101" s="953"/>
      <c r="RBB101" s="953"/>
      <c r="RBC101" s="953"/>
      <c r="RBD101" s="953"/>
      <c r="RBE101" s="953"/>
      <c r="RBF101" s="953"/>
      <c r="RBG101" s="953"/>
      <c r="RBH101" s="953"/>
      <c r="RBI101" s="953"/>
      <c r="RBJ101" s="953"/>
      <c r="RBK101" s="953"/>
      <c r="RBL101" s="953"/>
      <c r="RBM101" s="953"/>
      <c r="RBN101" s="953"/>
      <c r="RBO101" s="953"/>
      <c r="RBP101" s="953"/>
      <c r="RBQ101" s="953"/>
      <c r="RBR101" s="953"/>
      <c r="RBS101" s="953"/>
      <c r="RBT101" s="953"/>
      <c r="RBU101" s="953"/>
      <c r="RBV101" s="953"/>
      <c r="RBW101" s="953"/>
      <c r="RBX101" s="953"/>
      <c r="RBY101" s="953"/>
      <c r="RBZ101" s="953"/>
      <c r="RCA101" s="953"/>
      <c r="RCB101" s="953"/>
      <c r="RCC101" s="953"/>
      <c r="RCD101" s="953"/>
      <c r="RCE101" s="953"/>
      <c r="RCF101" s="953"/>
      <c r="RCG101" s="953"/>
      <c r="RCH101" s="953"/>
      <c r="RCI101" s="953"/>
      <c r="RCJ101" s="953"/>
      <c r="RCK101" s="953"/>
      <c r="RCL101" s="953"/>
      <c r="RCM101" s="953"/>
      <c r="RCN101" s="953"/>
      <c r="RCO101" s="953"/>
      <c r="RCP101" s="953"/>
      <c r="RCQ101" s="953"/>
      <c r="RCR101" s="953"/>
      <c r="RCS101" s="953"/>
      <c r="RCT101" s="953"/>
      <c r="RCU101" s="953"/>
      <c r="RCV101" s="953"/>
      <c r="RCW101" s="953"/>
      <c r="RCX101" s="953"/>
      <c r="RCY101" s="953"/>
      <c r="RCZ101" s="953"/>
      <c r="RDA101" s="953"/>
      <c r="RDB101" s="953"/>
      <c r="RDC101" s="953"/>
      <c r="RDD101" s="953"/>
      <c r="RDE101" s="953"/>
      <c r="RDF101" s="953"/>
      <c r="RDG101" s="953"/>
      <c r="RDH101" s="953"/>
      <c r="RDI101" s="953"/>
      <c r="RDJ101" s="953"/>
      <c r="RDK101" s="953"/>
      <c r="RDL101" s="953"/>
      <c r="RDM101" s="953"/>
      <c r="RDN101" s="953"/>
      <c r="RDO101" s="953"/>
      <c r="RDP101" s="953"/>
      <c r="RDQ101" s="953"/>
      <c r="RDR101" s="953"/>
      <c r="RDS101" s="953"/>
      <c r="RDT101" s="953"/>
      <c r="RDU101" s="953"/>
      <c r="RDV101" s="953"/>
      <c r="RDW101" s="953"/>
      <c r="RDX101" s="953"/>
      <c r="RDY101" s="953"/>
      <c r="RDZ101" s="953"/>
      <c r="REA101" s="953"/>
      <c r="REB101" s="953"/>
      <c r="REC101" s="953"/>
      <c r="RED101" s="953"/>
      <c r="REE101" s="953"/>
      <c r="REF101" s="953"/>
      <c r="REG101" s="953"/>
      <c r="REH101" s="953"/>
      <c r="REI101" s="953"/>
      <c r="REJ101" s="953"/>
      <c r="REK101" s="953"/>
      <c r="REL101" s="953"/>
      <c r="REM101" s="953"/>
      <c r="REN101" s="953"/>
      <c r="REO101" s="953"/>
      <c r="REP101" s="953"/>
      <c r="REQ101" s="953"/>
      <c r="RER101" s="953"/>
      <c r="RES101" s="953"/>
      <c r="RET101" s="953"/>
      <c r="REU101" s="953"/>
      <c r="REV101" s="953"/>
      <c r="REW101" s="953"/>
      <c r="REX101" s="953"/>
      <c r="REY101" s="953"/>
      <c r="REZ101" s="953"/>
      <c r="RFA101" s="953"/>
      <c r="RFB101" s="953"/>
      <c r="RFC101" s="953"/>
      <c r="RFD101" s="953"/>
      <c r="RFE101" s="953"/>
      <c r="RFF101" s="953"/>
      <c r="RFG101" s="953"/>
      <c r="RFH101" s="953"/>
      <c r="RFI101" s="953"/>
      <c r="RFJ101" s="953"/>
      <c r="RFK101" s="953"/>
      <c r="RFL101" s="953"/>
      <c r="RFM101" s="953"/>
      <c r="RFN101" s="953"/>
      <c r="RFO101" s="953"/>
      <c r="RFP101" s="953"/>
      <c r="RFQ101" s="953"/>
      <c r="RFR101" s="953"/>
      <c r="RFS101" s="953"/>
      <c r="RFT101" s="953"/>
      <c r="RFU101" s="953"/>
      <c r="RFV101" s="953"/>
      <c r="RFW101" s="953"/>
      <c r="RFX101" s="953"/>
      <c r="RFY101" s="953"/>
      <c r="RFZ101" s="953"/>
      <c r="RGA101" s="953"/>
      <c r="RGB101" s="953"/>
      <c r="RGC101" s="953"/>
      <c r="RGD101" s="953"/>
      <c r="RGE101" s="953"/>
      <c r="RGF101" s="953"/>
      <c r="RGG101" s="953"/>
      <c r="RGH101" s="953"/>
      <c r="RGI101" s="953"/>
      <c r="RGJ101" s="953"/>
      <c r="RGK101" s="953"/>
      <c r="RGL101" s="953"/>
      <c r="RGM101" s="953"/>
      <c r="RGN101" s="953"/>
      <c r="RGO101" s="953"/>
      <c r="RGP101" s="953"/>
      <c r="RGQ101" s="953"/>
      <c r="RGR101" s="953"/>
      <c r="RGS101" s="953"/>
      <c r="RGT101" s="953"/>
      <c r="RGU101" s="953"/>
      <c r="RGV101" s="953"/>
      <c r="RGW101" s="953"/>
      <c r="RGX101" s="953"/>
      <c r="RGY101" s="953"/>
      <c r="RGZ101" s="953"/>
      <c r="RHA101" s="953"/>
      <c r="RHB101" s="953"/>
      <c r="RHC101" s="953"/>
      <c r="RHD101" s="953"/>
      <c r="RHE101" s="953"/>
      <c r="RHF101" s="953"/>
      <c r="RHG101" s="953"/>
      <c r="RHH101" s="953"/>
      <c r="RHI101" s="953"/>
      <c r="RHJ101" s="953"/>
      <c r="RHK101" s="953"/>
      <c r="RHL101" s="953"/>
      <c r="RHM101" s="953"/>
      <c r="RHN101" s="953"/>
      <c r="RHO101" s="953"/>
      <c r="RHP101" s="953"/>
      <c r="RHQ101" s="953"/>
      <c r="RHR101" s="953"/>
      <c r="RHS101" s="953"/>
      <c r="RHT101" s="953"/>
      <c r="RHU101" s="953"/>
      <c r="RHV101" s="953"/>
      <c r="RHW101" s="953"/>
      <c r="RHX101" s="953"/>
      <c r="RHY101" s="953"/>
      <c r="RHZ101" s="953"/>
      <c r="RIA101" s="953"/>
      <c r="RIB101" s="953"/>
      <c r="RIC101" s="953"/>
      <c r="RID101" s="953"/>
      <c r="RIE101" s="953"/>
      <c r="RIF101" s="953"/>
      <c r="RIG101" s="953"/>
      <c r="RIH101" s="953"/>
      <c r="RII101" s="953"/>
      <c r="RIJ101" s="953"/>
      <c r="RIK101" s="953"/>
      <c r="RIL101" s="953"/>
      <c r="RIM101" s="953"/>
      <c r="RIN101" s="953"/>
      <c r="RIO101" s="953"/>
      <c r="RIP101" s="953"/>
      <c r="RIQ101" s="953"/>
      <c r="RIR101" s="953"/>
      <c r="RIS101" s="953"/>
      <c r="RIT101" s="953"/>
      <c r="RIU101" s="953"/>
      <c r="RIV101" s="953"/>
      <c r="RIW101" s="953"/>
      <c r="RIX101" s="953"/>
      <c r="RIY101" s="953"/>
      <c r="RIZ101" s="953"/>
      <c r="RJA101" s="953"/>
      <c r="RJB101" s="953"/>
      <c r="RJC101" s="953"/>
      <c r="RJD101" s="953"/>
      <c r="RJE101" s="953"/>
      <c r="RJF101" s="953"/>
      <c r="RJG101" s="953"/>
      <c r="RJH101" s="953"/>
      <c r="RJI101" s="953"/>
      <c r="RJJ101" s="953"/>
      <c r="RJK101" s="953"/>
      <c r="RJL101" s="953"/>
      <c r="RJM101" s="953"/>
      <c r="RJN101" s="953"/>
      <c r="RJO101" s="953"/>
      <c r="RJP101" s="953"/>
      <c r="RJQ101" s="953"/>
      <c r="RJR101" s="953"/>
      <c r="RJS101" s="953"/>
      <c r="RJT101" s="953"/>
      <c r="RJU101" s="953"/>
      <c r="RJV101" s="953"/>
      <c r="RJW101" s="953"/>
      <c r="RJX101" s="953"/>
      <c r="RJY101" s="953"/>
      <c r="RJZ101" s="953"/>
      <c r="RKA101" s="953"/>
      <c r="RKB101" s="953"/>
      <c r="RKC101" s="953"/>
      <c r="RKD101" s="953"/>
      <c r="RKE101" s="953"/>
      <c r="RKF101" s="953"/>
      <c r="RKG101" s="953"/>
      <c r="RKH101" s="953"/>
      <c r="RKI101" s="953"/>
      <c r="RKJ101" s="953"/>
      <c r="RKK101" s="953"/>
      <c r="RKL101" s="953"/>
      <c r="RKM101" s="953"/>
      <c r="RKN101" s="953"/>
      <c r="RKO101" s="953"/>
      <c r="RKP101" s="953"/>
      <c r="RKQ101" s="953"/>
      <c r="RKR101" s="953"/>
      <c r="RKS101" s="953"/>
      <c r="RKT101" s="953"/>
      <c r="RKU101" s="953"/>
      <c r="RKV101" s="953"/>
      <c r="RKW101" s="953"/>
      <c r="RKX101" s="953"/>
      <c r="RKY101" s="953"/>
      <c r="RKZ101" s="953"/>
      <c r="RLA101" s="953"/>
      <c r="RLB101" s="953"/>
      <c r="RLC101" s="953"/>
      <c r="RLD101" s="953"/>
      <c r="RLE101" s="953"/>
      <c r="RLF101" s="953"/>
      <c r="RLG101" s="953"/>
      <c r="RLH101" s="953"/>
      <c r="RLI101" s="953"/>
      <c r="RLJ101" s="953"/>
      <c r="RLK101" s="953"/>
      <c r="RLL101" s="953"/>
      <c r="RLM101" s="953"/>
      <c r="RLN101" s="953"/>
      <c r="RLO101" s="953"/>
      <c r="RLP101" s="953"/>
      <c r="RLQ101" s="953"/>
      <c r="RLR101" s="953"/>
      <c r="RLS101" s="953"/>
      <c r="RLT101" s="953"/>
      <c r="RLU101" s="953"/>
      <c r="RLV101" s="953"/>
      <c r="RLW101" s="953"/>
      <c r="RLX101" s="953"/>
      <c r="RLY101" s="953"/>
      <c r="RLZ101" s="953"/>
      <c r="RMA101" s="953"/>
      <c r="RMB101" s="953"/>
      <c r="RMC101" s="953"/>
      <c r="RMD101" s="953"/>
      <c r="RME101" s="953"/>
      <c r="RMF101" s="953"/>
      <c r="RMG101" s="953"/>
      <c r="RMH101" s="953"/>
      <c r="RMI101" s="953"/>
      <c r="RMJ101" s="953"/>
      <c r="RMK101" s="953"/>
      <c r="RML101" s="953"/>
      <c r="RMM101" s="953"/>
      <c r="RMN101" s="953"/>
      <c r="RMO101" s="953"/>
      <c r="RMP101" s="953"/>
      <c r="RMQ101" s="953"/>
      <c r="RMR101" s="953"/>
      <c r="RMS101" s="953"/>
      <c r="RMT101" s="953"/>
      <c r="RMU101" s="953"/>
      <c r="RMV101" s="953"/>
      <c r="RMW101" s="953"/>
      <c r="RMX101" s="953"/>
      <c r="RMY101" s="953"/>
      <c r="RMZ101" s="953"/>
      <c r="RNA101" s="953"/>
      <c r="RNB101" s="953"/>
      <c r="RNC101" s="953"/>
      <c r="RND101" s="953"/>
      <c r="RNE101" s="953"/>
      <c r="RNF101" s="953"/>
      <c r="RNG101" s="953"/>
      <c r="RNH101" s="953"/>
      <c r="RNI101" s="953"/>
      <c r="RNJ101" s="953"/>
      <c r="RNK101" s="953"/>
      <c r="RNL101" s="953"/>
      <c r="RNM101" s="953"/>
      <c r="RNN101" s="953"/>
      <c r="RNO101" s="953"/>
      <c r="RNP101" s="953"/>
      <c r="RNQ101" s="953"/>
      <c r="RNR101" s="953"/>
      <c r="RNS101" s="953"/>
      <c r="RNT101" s="953"/>
      <c r="RNU101" s="953"/>
      <c r="RNV101" s="953"/>
      <c r="RNW101" s="953"/>
      <c r="RNX101" s="953"/>
      <c r="RNY101" s="953"/>
      <c r="RNZ101" s="953"/>
      <c r="ROA101" s="953"/>
      <c r="ROB101" s="953"/>
      <c r="ROC101" s="953"/>
      <c r="ROD101" s="953"/>
      <c r="ROE101" s="953"/>
      <c r="ROF101" s="953"/>
      <c r="ROG101" s="953"/>
      <c r="ROH101" s="953"/>
      <c r="ROI101" s="953"/>
      <c r="ROJ101" s="953"/>
      <c r="ROK101" s="953"/>
      <c r="ROL101" s="953"/>
      <c r="ROM101" s="953"/>
      <c r="RON101" s="953"/>
      <c r="ROO101" s="953"/>
      <c r="ROP101" s="953"/>
      <c r="ROQ101" s="953"/>
      <c r="ROR101" s="953"/>
      <c r="ROS101" s="953"/>
      <c r="ROT101" s="953"/>
      <c r="ROU101" s="953"/>
      <c r="ROV101" s="953"/>
      <c r="ROW101" s="953"/>
      <c r="ROX101" s="953"/>
      <c r="ROY101" s="953"/>
      <c r="ROZ101" s="953"/>
      <c r="RPA101" s="953"/>
      <c r="RPB101" s="953"/>
      <c r="RPC101" s="953"/>
      <c r="RPD101" s="953"/>
      <c r="RPE101" s="953"/>
      <c r="RPF101" s="953"/>
      <c r="RPG101" s="953"/>
      <c r="RPH101" s="953"/>
      <c r="RPI101" s="953"/>
      <c r="RPJ101" s="953"/>
      <c r="RPK101" s="953"/>
      <c r="RPL101" s="953"/>
      <c r="RPM101" s="953"/>
      <c r="RPN101" s="953"/>
      <c r="RPO101" s="953"/>
      <c r="RPP101" s="953"/>
      <c r="RPQ101" s="953"/>
      <c r="RPR101" s="953"/>
      <c r="RPS101" s="953"/>
      <c r="RPT101" s="953"/>
      <c r="RPU101" s="953"/>
      <c r="RPV101" s="953"/>
      <c r="RPW101" s="953"/>
      <c r="RPX101" s="953"/>
      <c r="RPY101" s="953"/>
      <c r="RPZ101" s="953"/>
      <c r="RQA101" s="953"/>
      <c r="RQB101" s="953"/>
      <c r="RQC101" s="953"/>
      <c r="RQD101" s="953"/>
      <c r="RQE101" s="953"/>
      <c r="RQF101" s="953"/>
      <c r="RQG101" s="953"/>
      <c r="RQH101" s="953"/>
      <c r="RQI101" s="953"/>
      <c r="RQJ101" s="953"/>
      <c r="RQK101" s="953"/>
      <c r="RQL101" s="953"/>
      <c r="RQM101" s="953"/>
      <c r="RQN101" s="953"/>
      <c r="RQO101" s="953"/>
      <c r="RQP101" s="953"/>
      <c r="RQQ101" s="953"/>
      <c r="RQR101" s="953"/>
      <c r="RQS101" s="953"/>
      <c r="RQT101" s="953"/>
      <c r="RQU101" s="953"/>
      <c r="RQV101" s="953"/>
      <c r="RQW101" s="953"/>
      <c r="RQX101" s="953"/>
      <c r="RQY101" s="953"/>
      <c r="RQZ101" s="953"/>
      <c r="RRA101" s="953"/>
      <c r="RRB101" s="953"/>
      <c r="RRC101" s="953"/>
      <c r="RRD101" s="953"/>
      <c r="RRE101" s="953"/>
      <c r="RRF101" s="953"/>
      <c r="RRG101" s="953"/>
      <c r="RRH101" s="953"/>
      <c r="RRI101" s="953"/>
      <c r="RRJ101" s="953"/>
      <c r="RRK101" s="953"/>
      <c r="RRL101" s="953"/>
      <c r="RRM101" s="953"/>
      <c r="RRN101" s="953"/>
      <c r="RRO101" s="953"/>
      <c r="RRP101" s="953"/>
      <c r="RRQ101" s="953"/>
      <c r="RRR101" s="953"/>
      <c r="RRS101" s="953"/>
      <c r="RRT101" s="953"/>
      <c r="RRU101" s="953"/>
      <c r="RRV101" s="953"/>
      <c r="RRW101" s="953"/>
      <c r="RRX101" s="953"/>
      <c r="RRY101" s="953"/>
      <c r="RRZ101" s="953"/>
      <c r="RSA101" s="953"/>
      <c r="RSB101" s="953"/>
      <c r="RSC101" s="953"/>
      <c r="RSD101" s="953"/>
      <c r="RSE101" s="953"/>
      <c r="RSF101" s="953"/>
      <c r="RSG101" s="953"/>
      <c r="RSH101" s="953"/>
      <c r="RSI101" s="953"/>
      <c r="RSJ101" s="953"/>
      <c r="RSK101" s="953"/>
      <c r="RSL101" s="953"/>
      <c r="RSM101" s="953"/>
      <c r="RSN101" s="953"/>
      <c r="RSO101" s="953"/>
      <c r="RSP101" s="953"/>
      <c r="RSQ101" s="953"/>
      <c r="RSR101" s="953"/>
      <c r="RSS101" s="953"/>
      <c r="RST101" s="953"/>
      <c r="RSU101" s="953"/>
      <c r="RSV101" s="953"/>
      <c r="RSW101" s="953"/>
      <c r="RSX101" s="953"/>
      <c r="RSY101" s="953"/>
      <c r="RSZ101" s="953"/>
      <c r="RTA101" s="953"/>
      <c r="RTB101" s="953"/>
      <c r="RTC101" s="953"/>
      <c r="RTD101" s="953"/>
      <c r="RTE101" s="953"/>
      <c r="RTF101" s="953"/>
      <c r="RTG101" s="953"/>
      <c r="RTH101" s="953"/>
      <c r="RTI101" s="953"/>
      <c r="RTJ101" s="953"/>
      <c r="RTK101" s="953"/>
      <c r="RTL101" s="953"/>
      <c r="RTM101" s="953"/>
      <c r="RTN101" s="953"/>
      <c r="RTO101" s="953"/>
      <c r="RTP101" s="953"/>
      <c r="RTQ101" s="953"/>
      <c r="RTR101" s="953"/>
      <c r="RTS101" s="953"/>
      <c r="RTT101" s="953"/>
      <c r="RTU101" s="953"/>
      <c r="RTV101" s="953"/>
      <c r="RTW101" s="953"/>
      <c r="RTX101" s="953"/>
      <c r="RTY101" s="953"/>
      <c r="RTZ101" s="953"/>
      <c r="RUA101" s="953"/>
      <c r="RUB101" s="953"/>
      <c r="RUC101" s="953"/>
      <c r="RUD101" s="953"/>
      <c r="RUE101" s="953"/>
      <c r="RUF101" s="953"/>
      <c r="RUG101" s="953"/>
      <c r="RUH101" s="953"/>
      <c r="RUI101" s="953"/>
      <c r="RUJ101" s="953"/>
      <c r="RUK101" s="953"/>
      <c r="RUL101" s="953"/>
      <c r="RUM101" s="953"/>
      <c r="RUN101" s="953"/>
      <c r="RUO101" s="953"/>
      <c r="RUP101" s="953"/>
      <c r="RUQ101" s="953"/>
      <c r="RUR101" s="953"/>
      <c r="RUS101" s="953"/>
      <c r="RUT101" s="953"/>
      <c r="RUU101" s="953"/>
      <c r="RUV101" s="953"/>
      <c r="RUW101" s="953"/>
      <c r="RUX101" s="953"/>
      <c r="RUY101" s="953"/>
      <c r="RUZ101" s="953"/>
      <c r="RVA101" s="953"/>
      <c r="RVB101" s="953"/>
      <c r="RVC101" s="953"/>
      <c r="RVD101" s="953"/>
      <c r="RVE101" s="953"/>
      <c r="RVF101" s="953"/>
      <c r="RVG101" s="953"/>
      <c r="RVH101" s="953"/>
      <c r="RVI101" s="953"/>
      <c r="RVJ101" s="953"/>
      <c r="RVK101" s="953"/>
      <c r="RVL101" s="953"/>
      <c r="RVM101" s="953"/>
      <c r="RVN101" s="953"/>
      <c r="RVO101" s="953"/>
      <c r="RVP101" s="953"/>
      <c r="RVQ101" s="953"/>
      <c r="RVR101" s="953"/>
      <c r="RVS101" s="953"/>
      <c r="RVT101" s="953"/>
      <c r="RVU101" s="953"/>
      <c r="RVV101" s="953"/>
      <c r="RVW101" s="953"/>
      <c r="RVX101" s="953"/>
      <c r="RVY101" s="953"/>
      <c r="RVZ101" s="953"/>
      <c r="RWA101" s="953"/>
      <c r="RWB101" s="953"/>
      <c r="RWC101" s="953"/>
      <c r="RWD101" s="953"/>
      <c r="RWE101" s="953"/>
      <c r="RWF101" s="953"/>
      <c r="RWG101" s="953"/>
      <c r="RWH101" s="953"/>
      <c r="RWI101" s="953"/>
      <c r="RWJ101" s="953"/>
      <c r="RWK101" s="953"/>
      <c r="RWL101" s="953"/>
      <c r="RWM101" s="953"/>
      <c r="RWN101" s="953"/>
      <c r="RWO101" s="953"/>
      <c r="RWP101" s="953"/>
      <c r="RWQ101" s="953"/>
      <c r="RWR101" s="953"/>
      <c r="RWS101" s="953"/>
      <c r="RWT101" s="953"/>
      <c r="RWU101" s="953"/>
      <c r="RWV101" s="953"/>
      <c r="RWW101" s="953"/>
      <c r="RWX101" s="953"/>
      <c r="RWY101" s="953"/>
      <c r="RWZ101" s="953"/>
      <c r="RXA101" s="953"/>
      <c r="RXB101" s="953"/>
      <c r="RXC101" s="953"/>
      <c r="RXD101" s="953"/>
      <c r="RXE101" s="953"/>
      <c r="RXF101" s="953"/>
      <c r="RXG101" s="953"/>
      <c r="RXH101" s="953"/>
      <c r="RXI101" s="953"/>
      <c r="RXJ101" s="953"/>
      <c r="RXK101" s="953"/>
      <c r="RXL101" s="953"/>
      <c r="RXM101" s="953"/>
      <c r="RXN101" s="953"/>
      <c r="RXO101" s="953"/>
      <c r="RXP101" s="953"/>
      <c r="RXQ101" s="953"/>
      <c r="RXR101" s="953"/>
      <c r="RXS101" s="953"/>
      <c r="RXT101" s="953"/>
      <c r="RXU101" s="953"/>
      <c r="RXV101" s="953"/>
      <c r="RXW101" s="953"/>
      <c r="RXX101" s="953"/>
      <c r="RXY101" s="953"/>
      <c r="RXZ101" s="953"/>
      <c r="RYA101" s="953"/>
      <c r="RYB101" s="953"/>
      <c r="RYC101" s="953"/>
      <c r="RYD101" s="953"/>
      <c r="RYE101" s="953"/>
      <c r="RYF101" s="953"/>
      <c r="RYG101" s="953"/>
      <c r="RYH101" s="953"/>
      <c r="RYI101" s="953"/>
      <c r="RYJ101" s="953"/>
      <c r="RYK101" s="953"/>
      <c r="RYL101" s="953"/>
      <c r="RYM101" s="953"/>
      <c r="RYN101" s="953"/>
      <c r="RYO101" s="953"/>
      <c r="RYP101" s="953"/>
      <c r="RYQ101" s="953"/>
      <c r="RYR101" s="953"/>
      <c r="RYS101" s="953"/>
      <c r="RYT101" s="953"/>
      <c r="RYU101" s="953"/>
      <c r="RYV101" s="953"/>
      <c r="RYW101" s="953"/>
      <c r="RYX101" s="953"/>
      <c r="RYY101" s="953"/>
      <c r="RYZ101" s="953"/>
      <c r="RZA101" s="953"/>
      <c r="RZB101" s="953"/>
      <c r="RZC101" s="953"/>
      <c r="RZD101" s="953"/>
      <c r="RZE101" s="953"/>
      <c r="RZF101" s="953"/>
      <c r="RZG101" s="953"/>
      <c r="RZH101" s="953"/>
      <c r="RZI101" s="953"/>
      <c r="RZJ101" s="953"/>
      <c r="RZK101" s="953"/>
      <c r="RZL101" s="953"/>
      <c r="RZM101" s="953"/>
      <c r="RZN101" s="953"/>
      <c r="RZO101" s="953"/>
      <c r="RZP101" s="953"/>
      <c r="RZQ101" s="953"/>
      <c r="RZR101" s="953"/>
      <c r="RZS101" s="953"/>
      <c r="RZT101" s="953"/>
      <c r="RZU101" s="953"/>
      <c r="RZV101" s="953"/>
      <c r="RZW101" s="953"/>
      <c r="RZX101" s="953"/>
      <c r="RZY101" s="953"/>
      <c r="RZZ101" s="953"/>
      <c r="SAA101" s="953"/>
      <c r="SAB101" s="953"/>
      <c r="SAC101" s="953"/>
      <c r="SAD101" s="953"/>
      <c r="SAE101" s="953"/>
      <c r="SAF101" s="953"/>
      <c r="SAG101" s="953"/>
      <c r="SAH101" s="953"/>
      <c r="SAI101" s="953"/>
      <c r="SAJ101" s="953"/>
      <c r="SAK101" s="953"/>
      <c r="SAL101" s="953"/>
      <c r="SAM101" s="953"/>
      <c r="SAN101" s="953"/>
      <c r="SAO101" s="953"/>
      <c r="SAP101" s="953"/>
      <c r="SAQ101" s="953"/>
      <c r="SAR101" s="953"/>
      <c r="SAS101" s="953"/>
      <c r="SAT101" s="953"/>
      <c r="SAU101" s="953"/>
      <c r="SAV101" s="953"/>
      <c r="SAW101" s="953"/>
      <c r="SAX101" s="953"/>
      <c r="SAY101" s="953"/>
      <c r="SAZ101" s="953"/>
      <c r="SBA101" s="953"/>
      <c r="SBB101" s="953"/>
      <c r="SBC101" s="953"/>
      <c r="SBD101" s="953"/>
      <c r="SBE101" s="953"/>
      <c r="SBF101" s="953"/>
      <c r="SBG101" s="953"/>
      <c r="SBH101" s="953"/>
      <c r="SBI101" s="953"/>
      <c r="SBJ101" s="953"/>
      <c r="SBK101" s="953"/>
      <c r="SBL101" s="953"/>
      <c r="SBM101" s="953"/>
      <c r="SBN101" s="953"/>
      <c r="SBO101" s="953"/>
      <c r="SBP101" s="953"/>
      <c r="SBQ101" s="953"/>
      <c r="SBR101" s="953"/>
      <c r="SBS101" s="953"/>
      <c r="SBT101" s="953"/>
      <c r="SBU101" s="953"/>
      <c r="SBV101" s="953"/>
      <c r="SBW101" s="953"/>
      <c r="SBX101" s="953"/>
      <c r="SBY101" s="953"/>
      <c r="SBZ101" s="953"/>
      <c r="SCA101" s="953"/>
      <c r="SCB101" s="953"/>
      <c r="SCC101" s="953"/>
      <c r="SCD101" s="953"/>
      <c r="SCE101" s="953"/>
      <c r="SCF101" s="953"/>
      <c r="SCG101" s="953"/>
      <c r="SCH101" s="953"/>
      <c r="SCI101" s="953"/>
      <c r="SCJ101" s="953"/>
      <c r="SCK101" s="953"/>
      <c r="SCL101" s="953"/>
      <c r="SCM101" s="953"/>
      <c r="SCN101" s="953"/>
      <c r="SCO101" s="953"/>
      <c r="SCP101" s="953"/>
      <c r="SCQ101" s="953"/>
      <c r="SCR101" s="953"/>
      <c r="SCS101" s="953"/>
      <c r="SCT101" s="953"/>
      <c r="SCU101" s="953"/>
      <c r="SCV101" s="953"/>
      <c r="SCW101" s="953"/>
      <c r="SCX101" s="953"/>
      <c r="SCY101" s="953"/>
      <c r="SCZ101" s="953"/>
      <c r="SDA101" s="953"/>
      <c r="SDB101" s="953"/>
      <c r="SDC101" s="953"/>
      <c r="SDD101" s="953"/>
      <c r="SDE101" s="953"/>
      <c r="SDF101" s="953"/>
      <c r="SDG101" s="953"/>
      <c r="SDH101" s="953"/>
      <c r="SDI101" s="953"/>
      <c r="SDJ101" s="953"/>
      <c r="SDK101" s="953"/>
      <c r="SDL101" s="953"/>
      <c r="SDM101" s="953"/>
      <c r="SDN101" s="953"/>
      <c r="SDO101" s="953"/>
      <c r="SDP101" s="953"/>
      <c r="SDQ101" s="953"/>
      <c r="SDR101" s="953"/>
      <c r="SDS101" s="953"/>
      <c r="SDT101" s="953"/>
      <c r="SDU101" s="953"/>
      <c r="SDV101" s="953"/>
      <c r="SDW101" s="953"/>
      <c r="SDX101" s="953"/>
      <c r="SDY101" s="953"/>
      <c r="SDZ101" s="953"/>
      <c r="SEA101" s="953"/>
      <c r="SEB101" s="953"/>
      <c r="SEC101" s="953"/>
      <c r="SED101" s="953"/>
      <c r="SEE101" s="953"/>
      <c r="SEF101" s="953"/>
      <c r="SEG101" s="953"/>
      <c r="SEH101" s="953"/>
      <c r="SEI101" s="953"/>
      <c r="SEJ101" s="953"/>
      <c r="SEK101" s="953"/>
      <c r="SEL101" s="953"/>
      <c r="SEM101" s="953"/>
      <c r="SEN101" s="953"/>
      <c r="SEO101" s="953"/>
      <c r="SEP101" s="953"/>
      <c r="SEQ101" s="953"/>
      <c r="SER101" s="953"/>
      <c r="SES101" s="953"/>
      <c r="SET101" s="953"/>
      <c r="SEU101" s="953"/>
      <c r="SEV101" s="953"/>
      <c r="SEW101" s="953"/>
      <c r="SEX101" s="953"/>
      <c r="SEY101" s="953"/>
      <c r="SEZ101" s="953"/>
      <c r="SFA101" s="953"/>
      <c r="SFB101" s="953"/>
      <c r="SFC101" s="953"/>
      <c r="SFD101" s="953"/>
      <c r="SFE101" s="953"/>
      <c r="SFF101" s="953"/>
      <c r="SFG101" s="953"/>
      <c r="SFH101" s="953"/>
      <c r="SFI101" s="953"/>
      <c r="SFJ101" s="953"/>
      <c r="SFK101" s="953"/>
      <c r="SFL101" s="953"/>
      <c r="SFM101" s="953"/>
      <c r="SFN101" s="953"/>
      <c r="SFO101" s="953"/>
      <c r="SFP101" s="953"/>
      <c r="SFQ101" s="953"/>
      <c r="SFR101" s="953"/>
      <c r="SFS101" s="953"/>
      <c r="SFT101" s="953"/>
      <c r="SFU101" s="953"/>
      <c r="SFV101" s="953"/>
      <c r="SFW101" s="953"/>
      <c r="SFX101" s="953"/>
      <c r="SFY101" s="953"/>
      <c r="SFZ101" s="953"/>
      <c r="SGA101" s="953"/>
      <c r="SGB101" s="953"/>
      <c r="SGC101" s="953"/>
      <c r="SGD101" s="953"/>
      <c r="SGE101" s="953"/>
      <c r="SGF101" s="953"/>
      <c r="SGG101" s="953"/>
      <c r="SGH101" s="953"/>
      <c r="SGI101" s="953"/>
      <c r="SGJ101" s="953"/>
      <c r="SGK101" s="953"/>
      <c r="SGL101" s="953"/>
      <c r="SGM101" s="953"/>
      <c r="SGN101" s="953"/>
      <c r="SGO101" s="953"/>
      <c r="SGP101" s="953"/>
      <c r="SGQ101" s="953"/>
      <c r="SGR101" s="953"/>
      <c r="SGS101" s="953"/>
      <c r="SGT101" s="953"/>
      <c r="SGU101" s="953"/>
      <c r="SGV101" s="953"/>
      <c r="SGW101" s="953"/>
      <c r="SGX101" s="953"/>
      <c r="SGY101" s="953"/>
      <c r="SGZ101" s="953"/>
      <c r="SHA101" s="953"/>
      <c r="SHB101" s="953"/>
      <c r="SHC101" s="953"/>
      <c r="SHD101" s="953"/>
      <c r="SHE101" s="953"/>
      <c r="SHF101" s="953"/>
      <c r="SHG101" s="953"/>
      <c r="SHH101" s="953"/>
      <c r="SHI101" s="953"/>
      <c r="SHJ101" s="953"/>
      <c r="SHK101" s="953"/>
      <c r="SHL101" s="953"/>
      <c r="SHM101" s="953"/>
      <c r="SHN101" s="953"/>
      <c r="SHO101" s="953"/>
      <c r="SHP101" s="953"/>
      <c r="SHQ101" s="953"/>
      <c r="SHR101" s="953"/>
      <c r="SHS101" s="953"/>
      <c r="SHT101" s="953"/>
      <c r="SHU101" s="953"/>
      <c r="SHV101" s="953"/>
      <c r="SHW101" s="953"/>
      <c r="SHX101" s="953"/>
      <c r="SHY101" s="953"/>
      <c r="SHZ101" s="953"/>
      <c r="SIA101" s="953"/>
      <c r="SIB101" s="953"/>
      <c r="SIC101" s="953"/>
      <c r="SID101" s="953"/>
      <c r="SIE101" s="953"/>
      <c r="SIF101" s="953"/>
      <c r="SIG101" s="953"/>
      <c r="SIH101" s="953"/>
      <c r="SII101" s="953"/>
      <c r="SIJ101" s="953"/>
      <c r="SIK101" s="953"/>
      <c r="SIL101" s="953"/>
      <c r="SIM101" s="953"/>
      <c r="SIN101" s="953"/>
      <c r="SIO101" s="953"/>
      <c r="SIP101" s="953"/>
      <c r="SIQ101" s="953"/>
      <c r="SIR101" s="953"/>
      <c r="SIS101" s="953"/>
      <c r="SIT101" s="953"/>
      <c r="SIU101" s="953"/>
      <c r="SIV101" s="953"/>
      <c r="SIW101" s="953"/>
      <c r="SIX101" s="953"/>
      <c r="SIY101" s="953"/>
      <c r="SIZ101" s="953"/>
      <c r="SJA101" s="953"/>
      <c r="SJB101" s="953"/>
      <c r="SJC101" s="953"/>
      <c r="SJD101" s="953"/>
      <c r="SJE101" s="953"/>
      <c r="SJF101" s="953"/>
      <c r="SJG101" s="953"/>
      <c r="SJH101" s="953"/>
      <c r="SJI101" s="953"/>
      <c r="SJJ101" s="953"/>
      <c r="SJK101" s="953"/>
      <c r="SJL101" s="953"/>
      <c r="SJM101" s="953"/>
      <c r="SJN101" s="953"/>
      <c r="SJO101" s="953"/>
      <c r="SJP101" s="953"/>
      <c r="SJQ101" s="953"/>
      <c r="SJR101" s="953"/>
      <c r="SJS101" s="953"/>
      <c r="SJT101" s="953"/>
      <c r="SJU101" s="953"/>
      <c r="SJV101" s="953"/>
      <c r="SJW101" s="953"/>
      <c r="SJX101" s="953"/>
      <c r="SJY101" s="953"/>
      <c r="SJZ101" s="953"/>
      <c r="SKA101" s="953"/>
      <c r="SKB101" s="953"/>
      <c r="SKC101" s="953"/>
      <c r="SKD101" s="953"/>
      <c r="SKE101" s="953"/>
      <c r="SKF101" s="953"/>
      <c r="SKG101" s="953"/>
      <c r="SKH101" s="953"/>
      <c r="SKI101" s="953"/>
      <c r="SKJ101" s="953"/>
      <c r="SKK101" s="953"/>
      <c r="SKL101" s="953"/>
      <c r="SKM101" s="953"/>
      <c r="SKN101" s="953"/>
      <c r="SKO101" s="953"/>
      <c r="SKP101" s="953"/>
      <c r="SKQ101" s="953"/>
      <c r="SKR101" s="953"/>
      <c r="SKS101" s="953"/>
      <c r="SKT101" s="953"/>
      <c r="SKU101" s="953"/>
      <c r="SKV101" s="953"/>
      <c r="SKW101" s="953"/>
      <c r="SKX101" s="953"/>
      <c r="SKY101" s="953"/>
      <c r="SKZ101" s="953"/>
      <c r="SLA101" s="953"/>
      <c r="SLB101" s="953"/>
      <c r="SLC101" s="953"/>
      <c r="SLD101" s="953"/>
      <c r="SLE101" s="953"/>
      <c r="SLF101" s="953"/>
      <c r="SLG101" s="953"/>
      <c r="SLH101" s="953"/>
      <c r="SLI101" s="953"/>
      <c r="SLJ101" s="953"/>
      <c r="SLK101" s="953"/>
      <c r="SLL101" s="953"/>
      <c r="SLM101" s="953"/>
      <c r="SLN101" s="953"/>
      <c r="SLO101" s="953"/>
      <c r="SLP101" s="953"/>
      <c r="SLQ101" s="953"/>
      <c r="SLR101" s="953"/>
      <c r="SLS101" s="953"/>
      <c r="SLT101" s="953"/>
      <c r="SLU101" s="953"/>
      <c r="SLV101" s="953"/>
      <c r="SLW101" s="953"/>
      <c r="SLX101" s="953"/>
      <c r="SLY101" s="953"/>
      <c r="SLZ101" s="953"/>
      <c r="SMA101" s="953"/>
      <c r="SMB101" s="953"/>
      <c r="SMC101" s="953"/>
      <c r="SMD101" s="953"/>
      <c r="SME101" s="953"/>
      <c r="SMF101" s="953"/>
      <c r="SMG101" s="953"/>
      <c r="SMH101" s="953"/>
      <c r="SMI101" s="953"/>
      <c r="SMJ101" s="953"/>
      <c r="SMK101" s="953"/>
      <c r="SML101" s="953"/>
      <c r="SMM101" s="953"/>
      <c r="SMN101" s="953"/>
      <c r="SMO101" s="953"/>
      <c r="SMP101" s="953"/>
      <c r="SMQ101" s="953"/>
      <c r="SMR101" s="953"/>
      <c r="SMS101" s="953"/>
      <c r="SMT101" s="953"/>
      <c r="SMU101" s="953"/>
      <c r="SMV101" s="953"/>
      <c r="SMW101" s="953"/>
      <c r="SMX101" s="953"/>
      <c r="SMY101" s="953"/>
      <c r="SMZ101" s="953"/>
      <c r="SNA101" s="953"/>
      <c r="SNB101" s="953"/>
      <c r="SNC101" s="953"/>
      <c r="SND101" s="953"/>
      <c r="SNE101" s="953"/>
      <c r="SNF101" s="953"/>
      <c r="SNG101" s="953"/>
      <c r="SNH101" s="953"/>
      <c r="SNI101" s="953"/>
      <c r="SNJ101" s="953"/>
      <c r="SNK101" s="953"/>
      <c r="SNL101" s="953"/>
      <c r="SNM101" s="953"/>
      <c r="SNN101" s="953"/>
      <c r="SNO101" s="953"/>
      <c r="SNP101" s="953"/>
      <c r="SNQ101" s="953"/>
      <c r="SNR101" s="953"/>
      <c r="SNS101" s="953"/>
      <c r="SNT101" s="953"/>
      <c r="SNU101" s="953"/>
      <c r="SNV101" s="953"/>
      <c r="SNW101" s="953"/>
      <c r="SNX101" s="953"/>
      <c r="SNY101" s="953"/>
      <c r="SNZ101" s="953"/>
      <c r="SOA101" s="953"/>
      <c r="SOB101" s="953"/>
      <c r="SOC101" s="953"/>
      <c r="SOD101" s="953"/>
      <c r="SOE101" s="953"/>
      <c r="SOF101" s="953"/>
      <c r="SOG101" s="953"/>
      <c r="SOH101" s="953"/>
      <c r="SOI101" s="953"/>
      <c r="SOJ101" s="953"/>
      <c r="SOK101" s="953"/>
      <c r="SOL101" s="953"/>
      <c r="SOM101" s="953"/>
      <c r="SON101" s="953"/>
      <c r="SOO101" s="953"/>
      <c r="SOP101" s="953"/>
      <c r="SOQ101" s="953"/>
      <c r="SOR101" s="953"/>
      <c r="SOS101" s="953"/>
      <c r="SOT101" s="953"/>
      <c r="SOU101" s="953"/>
      <c r="SOV101" s="953"/>
      <c r="SOW101" s="953"/>
      <c r="SOX101" s="953"/>
      <c r="SOY101" s="953"/>
      <c r="SOZ101" s="953"/>
      <c r="SPA101" s="953"/>
      <c r="SPB101" s="953"/>
      <c r="SPC101" s="953"/>
      <c r="SPD101" s="953"/>
      <c r="SPE101" s="953"/>
      <c r="SPF101" s="953"/>
      <c r="SPG101" s="953"/>
      <c r="SPH101" s="953"/>
      <c r="SPI101" s="953"/>
      <c r="SPJ101" s="953"/>
      <c r="SPK101" s="953"/>
      <c r="SPL101" s="953"/>
      <c r="SPM101" s="953"/>
      <c r="SPN101" s="953"/>
      <c r="SPO101" s="953"/>
      <c r="SPP101" s="953"/>
      <c r="SPQ101" s="953"/>
      <c r="SPR101" s="953"/>
      <c r="SPS101" s="953"/>
      <c r="SPT101" s="953"/>
      <c r="SPU101" s="953"/>
      <c r="SPV101" s="953"/>
      <c r="SPW101" s="953"/>
      <c r="SPX101" s="953"/>
      <c r="SPY101" s="953"/>
      <c r="SPZ101" s="953"/>
      <c r="SQA101" s="953"/>
      <c r="SQB101" s="953"/>
      <c r="SQC101" s="953"/>
      <c r="SQD101" s="953"/>
      <c r="SQE101" s="953"/>
      <c r="SQF101" s="953"/>
      <c r="SQG101" s="953"/>
      <c r="SQH101" s="953"/>
      <c r="SQI101" s="953"/>
      <c r="SQJ101" s="953"/>
      <c r="SQK101" s="953"/>
      <c r="SQL101" s="953"/>
      <c r="SQM101" s="953"/>
      <c r="SQN101" s="953"/>
      <c r="SQO101" s="953"/>
      <c r="SQP101" s="953"/>
      <c r="SQQ101" s="953"/>
      <c r="SQR101" s="953"/>
      <c r="SQS101" s="953"/>
      <c r="SQT101" s="953"/>
      <c r="SQU101" s="953"/>
      <c r="SQV101" s="953"/>
      <c r="SQW101" s="953"/>
      <c r="SQX101" s="953"/>
      <c r="SQY101" s="953"/>
      <c r="SQZ101" s="953"/>
      <c r="SRA101" s="953"/>
      <c r="SRB101" s="953"/>
      <c r="SRC101" s="953"/>
      <c r="SRD101" s="953"/>
      <c r="SRE101" s="953"/>
      <c r="SRF101" s="953"/>
      <c r="SRG101" s="953"/>
      <c r="SRH101" s="953"/>
      <c r="SRI101" s="953"/>
      <c r="SRJ101" s="953"/>
      <c r="SRK101" s="953"/>
      <c r="SRL101" s="953"/>
      <c r="SRM101" s="953"/>
      <c r="SRN101" s="953"/>
      <c r="SRO101" s="953"/>
      <c r="SRP101" s="953"/>
      <c r="SRQ101" s="953"/>
      <c r="SRR101" s="953"/>
      <c r="SRS101" s="953"/>
      <c r="SRT101" s="953"/>
      <c r="SRU101" s="953"/>
      <c r="SRV101" s="953"/>
      <c r="SRW101" s="953"/>
      <c r="SRX101" s="953"/>
      <c r="SRY101" s="953"/>
      <c r="SRZ101" s="953"/>
      <c r="SSA101" s="953"/>
      <c r="SSB101" s="953"/>
      <c r="SSC101" s="953"/>
      <c r="SSD101" s="953"/>
      <c r="SSE101" s="953"/>
      <c r="SSF101" s="953"/>
      <c r="SSG101" s="953"/>
      <c r="SSH101" s="953"/>
      <c r="SSI101" s="953"/>
      <c r="SSJ101" s="953"/>
      <c r="SSK101" s="953"/>
      <c r="SSL101" s="953"/>
      <c r="SSM101" s="953"/>
      <c r="SSN101" s="953"/>
      <c r="SSO101" s="953"/>
      <c r="SSP101" s="953"/>
      <c r="SSQ101" s="953"/>
      <c r="SSR101" s="953"/>
      <c r="SSS101" s="953"/>
      <c r="SST101" s="953"/>
      <c r="SSU101" s="953"/>
      <c r="SSV101" s="953"/>
      <c r="SSW101" s="953"/>
      <c r="SSX101" s="953"/>
      <c r="SSY101" s="953"/>
      <c r="SSZ101" s="953"/>
      <c r="STA101" s="953"/>
      <c r="STB101" s="953"/>
      <c r="STC101" s="953"/>
      <c r="STD101" s="953"/>
      <c r="STE101" s="953"/>
      <c r="STF101" s="953"/>
      <c r="STG101" s="953"/>
      <c r="STH101" s="953"/>
      <c r="STI101" s="953"/>
      <c r="STJ101" s="953"/>
      <c r="STK101" s="953"/>
      <c r="STL101" s="953"/>
      <c r="STM101" s="953"/>
      <c r="STN101" s="953"/>
      <c r="STO101" s="953"/>
      <c r="STP101" s="953"/>
      <c r="STQ101" s="953"/>
      <c r="STR101" s="953"/>
      <c r="STS101" s="953"/>
      <c r="STT101" s="953"/>
      <c r="STU101" s="953"/>
      <c r="STV101" s="953"/>
      <c r="STW101" s="953"/>
      <c r="STX101" s="953"/>
      <c r="STY101" s="953"/>
      <c r="STZ101" s="953"/>
      <c r="SUA101" s="953"/>
      <c r="SUB101" s="953"/>
      <c r="SUC101" s="953"/>
      <c r="SUD101" s="953"/>
      <c r="SUE101" s="953"/>
      <c r="SUF101" s="953"/>
      <c r="SUG101" s="953"/>
      <c r="SUH101" s="953"/>
      <c r="SUI101" s="953"/>
      <c r="SUJ101" s="953"/>
      <c r="SUK101" s="953"/>
      <c r="SUL101" s="953"/>
      <c r="SUM101" s="953"/>
      <c r="SUN101" s="953"/>
      <c r="SUO101" s="953"/>
      <c r="SUP101" s="953"/>
      <c r="SUQ101" s="953"/>
      <c r="SUR101" s="953"/>
      <c r="SUS101" s="953"/>
      <c r="SUT101" s="953"/>
      <c r="SUU101" s="953"/>
      <c r="SUV101" s="953"/>
      <c r="SUW101" s="953"/>
      <c r="SUX101" s="953"/>
      <c r="SUY101" s="953"/>
      <c r="SUZ101" s="953"/>
      <c r="SVA101" s="953"/>
      <c r="SVB101" s="953"/>
      <c r="SVC101" s="953"/>
      <c r="SVD101" s="953"/>
      <c r="SVE101" s="953"/>
      <c r="SVF101" s="953"/>
      <c r="SVG101" s="953"/>
      <c r="SVH101" s="953"/>
      <c r="SVI101" s="953"/>
      <c r="SVJ101" s="953"/>
      <c r="SVK101" s="953"/>
      <c r="SVL101" s="953"/>
      <c r="SVM101" s="953"/>
      <c r="SVN101" s="953"/>
      <c r="SVO101" s="953"/>
      <c r="SVP101" s="953"/>
      <c r="SVQ101" s="953"/>
      <c r="SVR101" s="953"/>
      <c r="SVS101" s="953"/>
      <c r="SVT101" s="953"/>
      <c r="SVU101" s="953"/>
      <c r="SVV101" s="953"/>
      <c r="SVW101" s="953"/>
      <c r="SVX101" s="953"/>
      <c r="SVY101" s="953"/>
      <c r="SVZ101" s="953"/>
      <c r="SWA101" s="953"/>
      <c r="SWB101" s="953"/>
      <c r="SWC101" s="953"/>
      <c r="SWD101" s="953"/>
      <c r="SWE101" s="953"/>
      <c r="SWF101" s="953"/>
      <c r="SWG101" s="953"/>
      <c r="SWH101" s="953"/>
      <c r="SWI101" s="953"/>
      <c r="SWJ101" s="953"/>
      <c r="SWK101" s="953"/>
      <c r="SWL101" s="953"/>
      <c r="SWM101" s="953"/>
      <c r="SWN101" s="953"/>
      <c r="SWO101" s="953"/>
      <c r="SWP101" s="953"/>
      <c r="SWQ101" s="953"/>
      <c r="SWR101" s="953"/>
      <c r="SWS101" s="953"/>
      <c r="SWT101" s="953"/>
      <c r="SWU101" s="953"/>
      <c r="SWV101" s="953"/>
      <c r="SWW101" s="953"/>
      <c r="SWX101" s="953"/>
      <c r="SWY101" s="953"/>
      <c r="SWZ101" s="953"/>
      <c r="SXA101" s="953"/>
      <c r="SXB101" s="953"/>
      <c r="SXC101" s="953"/>
      <c r="SXD101" s="953"/>
      <c r="SXE101" s="953"/>
      <c r="SXF101" s="953"/>
      <c r="SXG101" s="953"/>
      <c r="SXH101" s="953"/>
      <c r="SXI101" s="953"/>
      <c r="SXJ101" s="953"/>
      <c r="SXK101" s="953"/>
      <c r="SXL101" s="953"/>
      <c r="SXM101" s="953"/>
      <c r="SXN101" s="953"/>
      <c r="SXO101" s="953"/>
      <c r="SXP101" s="953"/>
      <c r="SXQ101" s="953"/>
      <c r="SXR101" s="953"/>
      <c r="SXS101" s="953"/>
      <c r="SXT101" s="953"/>
      <c r="SXU101" s="953"/>
      <c r="SXV101" s="953"/>
      <c r="SXW101" s="953"/>
      <c r="SXX101" s="953"/>
      <c r="SXY101" s="953"/>
      <c r="SXZ101" s="953"/>
      <c r="SYA101" s="953"/>
      <c r="SYB101" s="953"/>
      <c r="SYC101" s="953"/>
      <c r="SYD101" s="953"/>
      <c r="SYE101" s="953"/>
      <c r="SYF101" s="953"/>
      <c r="SYG101" s="953"/>
      <c r="SYH101" s="953"/>
      <c r="SYI101" s="953"/>
      <c r="SYJ101" s="953"/>
      <c r="SYK101" s="953"/>
      <c r="SYL101" s="953"/>
      <c r="SYM101" s="953"/>
      <c r="SYN101" s="953"/>
      <c r="SYO101" s="953"/>
      <c r="SYP101" s="953"/>
      <c r="SYQ101" s="953"/>
      <c r="SYR101" s="953"/>
      <c r="SYS101" s="953"/>
      <c r="SYT101" s="953"/>
      <c r="SYU101" s="953"/>
      <c r="SYV101" s="953"/>
      <c r="SYW101" s="953"/>
      <c r="SYX101" s="953"/>
      <c r="SYY101" s="953"/>
      <c r="SYZ101" s="953"/>
      <c r="SZA101" s="953"/>
      <c r="SZB101" s="953"/>
      <c r="SZC101" s="953"/>
      <c r="SZD101" s="953"/>
      <c r="SZE101" s="953"/>
      <c r="SZF101" s="953"/>
      <c r="SZG101" s="953"/>
      <c r="SZH101" s="953"/>
      <c r="SZI101" s="953"/>
      <c r="SZJ101" s="953"/>
      <c r="SZK101" s="953"/>
      <c r="SZL101" s="953"/>
      <c r="SZM101" s="953"/>
      <c r="SZN101" s="953"/>
      <c r="SZO101" s="953"/>
      <c r="SZP101" s="953"/>
      <c r="SZQ101" s="953"/>
      <c r="SZR101" s="953"/>
      <c r="SZS101" s="953"/>
      <c r="SZT101" s="953"/>
      <c r="SZU101" s="953"/>
      <c r="SZV101" s="953"/>
      <c r="SZW101" s="953"/>
      <c r="SZX101" s="953"/>
      <c r="SZY101" s="953"/>
      <c r="SZZ101" s="953"/>
      <c r="TAA101" s="953"/>
      <c r="TAB101" s="953"/>
      <c r="TAC101" s="953"/>
      <c r="TAD101" s="953"/>
      <c r="TAE101" s="953"/>
      <c r="TAF101" s="953"/>
      <c r="TAG101" s="953"/>
      <c r="TAH101" s="953"/>
      <c r="TAI101" s="953"/>
      <c r="TAJ101" s="953"/>
      <c r="TAK101" s="953"/>
      <c r="TAL101" s="953"/>
      <c r="TAM101" s="953"/>
      <c r="TAN101" s="953"/>
      <c r="TAO101" s="953"/>
      <c r="TAP101" s="953"/>
      <c r="TAQ101" s="953"/>
      <c r="TAR101" s="953"/>
      <c r="TAS101" s="953"/>
      <c r="TAT101" s="953"/>
      <c r="TAU101" s="953"/>
      <c r="TAV101" s="953"/>
      <c r="TAW101" s="953"/>
      <c r="TAX101" s="953"/>
      <c r="TAY101" s="953"/>
      <c r="TAZ101" s="953"/>
      <c r="TBA101" s="953"/>
      <c r="TBB101" s="953"/>
      <c r="TBC101" s="953"/>
      <c r="TBD101" s="953"/>
      <c r="TBE101" s="953"/>
      <c r="TBF101" s="953"/>
      <c r="TBG101" s="953"/>
      <c r="TBH101" s="953"/>
      <c r="TBI101" s="953"/>
      <c r="TBJ101" s="953"/>
      <c r="TBK101" s="953"/>
      <c r="TBL101" s="953"/>
      <c r="TBM101" s="953"/>
      <c r="TBN101" s="953"/>
      <c r="TBO101" s="953"/>
      <c r="TBP101" s="953"/>
      <c r="TBQ101" s="953"/>
      <c r="TBR101" s="953"/>
      <c r="TBS101" s="953"/>
      <c r="TBT101" s="953"/>
      <c r="TBU101" s="953"/>
      <c r="TBV101" s="953"/>
      <c r="TBW101" s="953"/>
      <c r="TBX101" s="953"/>
      <c r="TBY101" s="953"/>
      <c r="TBZ101" s="953"/>
      <c r="TCA101" s="953"/>
      <c r="TCB101" s="953"/>
      <c r="TCC101" s="953"/>
      <c r="TCD101" s="953"/>
      <c r="TCE101" s="953"/>
      <c r="TCF101" s="953"/>
      <c r="TCG101" s="953"/>
      <c r="TCH101" s="953"/>
      <c r="TCI101" s="953"/>
      <c r="TCJ101" s="953"/>
      <c r="TCK101" s="953"/>
      <c r="TCL101" s="953"/>
      <c r="TCM101" s="953"/>
      <c r="TCN101" s="953"/>
      <c r="TCO101" s="953"/>
      <c r="TCP101" s="953"/>
      <c r="TCQ101" s="953"/>
      <c r="TCR101" s="953"/>
      <c r="TCS101" s="953"/>
      <c r="TCT101" s="953"/>
      <c r="TCU101" s="953"/>
      <c r="TCV101" s="953"/>
      <c r="TCW101" s="953"/>
      <c r="TCX101" s="953"/>
      <c r="TCY101" s="953"/>
      <c r="TCZ101" s="953"/>
      <c r="TDA101" s="953"/>
      <c r="TDB101" s="953"/>
      <c r="TDC101" s="953"/>
      <c r="TDD101" s="953"/>
      <c r="TDE101" s="953"/>
      <c r="TDF101" s="953"/>
      <c r="TDG101" s="953"/>
      <c r="TDH101" s="953"/>
      <c r="TDI101" s="953"/>
      <c r="TDJ101" s="953"/>
      <c r="TDK101" s="953"/>
      <c r="TDL101" s="953"/>
      <c r="TDM101" s="953"/>
      <c r="TDN101" s="953"/>
      <c r="TDO101" s="953"/>
      <c r="TDP101" s="953"/>
      <c r="TDQ101" s="953"/>
      <c r="TDR101" s="953"/>
      <c r="TDS101" s="953"/>
      <c r="TDT101" s="953"/>
      <c r="TDU101" s="953"/>
      <c r="TDV101" s="953"/>
      <c r="TDW101" s="953"/>
      <c r="TDX101" s="953"/>
      <c r="TDY101" s="953"/>
      <c r="TDZ101" s="953"/>
      <c r="TEA101" s="953"/>
      <c r="TEB101" s="953"/>
      <c r="TEC101" s="953"/>
      <c r="TED101" s="953"/>
      <c r="TEE101" s="953"/>
      <c r="TEF101" s="953"/>
      <c r="TEG101" s="953"/>
      <c r="TEH101" s="953"/>
      <c r="TEI101" s="953"/>
      <c r="TEJ101" s="953"/>
      <c r="TEK101" s="953"/>
      <c r="TEL101" s="953"/>
      <c r="TEM101" s="953"/>
      <c r="TEN101" s="953"/>
      <c r="TEO101" s="953"/>
      <c r="TEP101" s="953"/>
      <c r="TEQ101" s="953"/>
      <c r="TER101" s="953"/>
      <c r="TES101" s="953"/>
      <c r="TET101" s="953"/>
      <c r="TEU101" s="953"/>
      <c r="TEV101" s="953"/>
      <c r="TEW101" s="953"/>
      <c r="TEX101" s="953"/>
      <c r="TEY101" s="953"/>
      <c r="TEZ101" s="953"/>
      <c r="TFA101" s="953"/>
      <c r="TFB101" s="953"/>
      <c r="TFC101" s="953"/>
      <c r="TFD101" s="953"/>
      <c r="TFE101" s="953"/>
      <c r="TFF101" s="953"/>
      <c r="TFG101" s="953"/>
      <c r="TFH101" s="953"/>
      <c r="TFI101" s="953"/>
      <c r="TFJ101" s="953"/>
      <c r="TFK101" s="953"/>
      <c r="TFL101" s="953"/>
      <c r="TFM101" s="953"/>
      <c r="TFN101" s="953"/>
      <c r="TFO101" s="953"/>
      <c r="TFP101" s="953"/>
      <c r="TFQ101" s="953"/>
      <c r="TFR101" s="953"/>
      <c r="TFS101" s="953"/>
      <c r="TFT101" s="953"/>
      <c r="TFU101" s="953"/>
      <c r="TFV101" s="953"/>
      <c r="TFW101" s="953"/>
      <c r="TFX101" s="953"/>
      <c r="TFY101" s="953"/>
      <c r="TFZ101" s="953"/>
      <c r="TGA101" s="953"/>
      <c r="TGB101" s="953"/>
      <c r="TGC101" s="953"/>
      <c r="TGD101" s="953"/>
      <c r="TGE101" s="953"/>
      <c r="TGF101" s="953"/>
      <c r="TGG101" s="953"/>
      <c r="TGH101" s="953"/>
      <c r="TGI101" s="953"/>
      <c r="TGJ101" s="953"/>
      <c r="TGK101" s="953"/>
      <c r="TGL101" s="953"/>
      <c r="TGM101" s="953"/>
      <c r="TGN101" s="953"/>
      <c r="TGO101" s="953"/>
      <c r="TGP101" s="953"/>
      <c r="TGQ101" s="953"/>
      <c r="TGR101" s="953"/>
      <c r="TGS101" s="953"/>
      <c r="TGT101" s="953"/>
      <c r="TGU101" s="953"/>
      <c r="TGV101" s="953"/>
      <c r="TGW101" s="953"/>
      <c r="TGX101" s="953"/>
      <c r="TGY101" s="953"/>
      <c r="TGZ101" s="953"/>
      <c r="THA101" s="953"/>
      <c r="THB101" s="953"/>
      <c r="THC101" s="953"/>
      <c r="THD101" s="953"/>
      <c r="THE101" s="953"/>
      <c r="THF101" s="953"/>
      <c r="THG101" s="953"/>
      <c r="THH101" s="953"/>
      <c r="THI101" s="953"/>
      <c r="THJ101" s="953"/>
      <c r="THK101" s="953"/>
      <c r="THL101" s="953"/>
      <c r="THM101" s="953"/>
      <c r="THN101" s="953"/>
      <c r="THO101" s="953"/>
      <c r="THP101" s="953"/>
      <c r="THQ101" s="953"/>
      <c r="THR101" s="953"/>
      <c r="THS101" s="953"/>
      <c r="THT101" s="953"/>
      <c r="THU101" s="953"/>
      <c r="THV101" s="953"/>
      <c r="THW101" s="953"/>
      <c r="THX101" s="953"/>
      <c r="THY101" s="953"/>
      <c r="THZ101" s="953"/>
      <c r="TIA101" s="953"/>
      <c r="TIB101" s="953"/>
      <c r="TIC101" s="953"/>
      <c r="TID101" s="953"/>
      <c r="TIE101" s="953"/>
      <c r="TIF101" s="953"/>
      <c r="TIG101" s="953"/>
      <c r="TIH101" s="953"/>
      <c r="TII101" s="953"/>
      <c r="TIJ101" s="953"/>
      <c r="TIK101" s="953"/>
      <c r="TIL101" s="953"/>
      <c r="TIM101" s="953"/>
      <c r="TIN101" s="953"/>
      <c r="TIO101" s="953"/>
      <c r="TIP101" s="953"/>
      <c r="TIQ101" s="953"/>
      <c r="TIR101" s="953"/>
      <c r="TIS101" s="953"/>
      <c r="TIT101" s="953"/>
      <c r="TIU101" s="953"/>
      <c r="TIV101" s="953"/>
      <c r="TIW101" s="953"/>
      <c r="TIX101" s="953"/>
      <c r="TIY101" s="953"/>
      <c r="TIZ101" s="953"/>
      <c r="TJA101" s="953"/>
      <c r="TJB101" s="953"/>
      <c r="TJC101" s="953"/>
      <c r="TJD101" s="953"/>
      <c r="TJE101" s="953"/>
      <c r="TJF101" s="953"/>
      <c r="TJG101" s="953"/>
      <c r="TJH101" s="953"/>
      <c r="TJI101" s="953"/>
      <c r="TJJ101" s="953"/>
      <c r="TJK101" s="953"/>
      <c r="TJL101" s="953"/>
      <c r="TJM101" s="953"/>
      <c r="TJN101" s="953"/>
      <c r="TJO101" s="953"/>
      <c r="TJP101" s="953"/>
      <c r="TJQ101" s="953"/>
      <c r="TJR101" s="953"/>
      <c r="TJS101" s="953"/>
      <c r="TJT101" s="953"/>
      <c r="TJU101" s="953"/>
      <c r="TJV101" s="953"/>
      <c r="TJW101" s="953"/>
      <c r="TJX101" s="953"/>
      <c r="TJY101" s="953"/>
      <c r="TJZ101" s="953"/>
      <c r="TKA101" s="953"/>
      <c r="TKB101" s="953"/>
      <c r="TKC101" s="953"/>
      <c r="TKD101" s="953"/>
      <c r="TKE101" s="953"/>
      <c r="TKF101" s="953"/>
      <c r="TKG101" s="953"/>
      <c r="TKH101" s="953"/>
      <c r="TKI101" s="953"/>
      <c r="TKJ101" s="953"/>
      <c r="TKK101" s="953"/>
      <c r="TKL101" s="953"/>
      <c r="TKM101" s="953"/>
      <c r="TKN101" s="953"/>
      <c r="TKO101" s="953"/>
      <c r="TKP101" s="953"/>
      <c r="TKQ101" s="953"/>
      <c r="TKR101" s="953"/>
      <c r="TKS101" s="953"/>
      <c r="TKT101" s="953"/>
      <c r="TKU101" s="953"/>
      <c r="TKV101" s="953"/>
      <c r="TKW101" s="953"/>
      <c r="TKX101" s="953"/>
      <c r="TKY101" s="953"/>
      <c r="TKZ101" s="953"/>
      <c r="TLA101" s="953"/>
      <c r="TLB101" s="953"/>
      <c r="TLC101" s="953"/>
      <c r="TLD101" s="953"/>
      <c r="TLE101" s="953"/>
      <c r="TLF101" s="953"/>
      <c r="TLG101" s="953"/>
      <c r="TLH101" s="953"/>
      <c r="TLI101" s="953"/>
      <c r="TLJ101" s="953"/>
      <c r="TLK101" s="953"/>
      <c r="TLL101" s="953"/>
      <c r="TLM101" s="953"/>
      <c r="TLN101" s="953"/>
      <c r="TLO101" s="953"/>
      <c r="TLP101" s="953"/>
      <c r="TLQ101" s="953"/>
      <c r="TLR101" s="953"/>
      <c r="TLS101" s="953"/>
      <c r="TLT101" s="953"/>
      <c r="TLU101" s="953"/>
      <c r="TLV101" s="953"/>
      <c r="TLW101" s="953"/>
      <c r="TLX101" s="953"/>
      <c r="TLY101" s="953"/>
      <c r="TLZ101" s="953"/>
      <c r="TMA101" s="953"/>
      <c r="TMB101" s="953"/>
      <c r="TMC101" s="953"/>
      <c r="TMD101" s="953"/>
      <c r="TME101" s="953"/>
      <c r="TMF101" s="953"/>
      <c r="TMG101" s="953"/>
      <c r="TMH101" s="953"/>
      <c r="TMI101" s="953"/>
      <c r="TMJ101" s="953"/>
      <c r="TMK101" s="953"/>
      <c r="TML101" s="953"/>
      <c r="TMM101" s="953"/>
      <c r="TMN101" s="953"/>
      <c r="TMO101" s="953"/>
      <c r="TMP101" s="953"/>
      <c r="TMQ101" s="953"/>
      <c r="TMR101" s="953"/>
      <c r="TMS101" s="953"/>
      <c r="TMT101" s="953"/>
      <c r="TMU101" s="953"/>
      <c r="TMV101" s="953"/>
      <c r="TMW101" s="953"/>
      <c r="TMX101" s="953"/>
      <c r="TMY101" s="953"/>
      <c r="TMZ101" s="953"/>
      <c r="TNA101" s="953"/>
      <c r="TNB101" s="953"/>
      <c r="TNC101" s="953"/>
      <c r="TND101" s="953"/>
      <c r="TNE101" s="953"/>
      <c r="TNF101" s="953"/>
      <c r="TNG101" s="953"/>
      <c r="TNH101" s="953"/>
      <c r="TNI101" s="953"/>
      <c r="TNJ101" s="953"/>
      <c r="TNK101" s="953"/>
      <c r="TNL101" s="953"/>
      <c r="TNM101" s="953"/>
      <c r="TNN101" s="953"/>
      <c r="TNO101" s="953"/>
      <c r="TNP101" s="953"/>
      <c r="TNQ101" s="953"/>
      <c r="TNR101" s="953"/>
      <c r="TNS101" s="953"/>
      <c r="TNT101" s="953"/>
      <c r="TNU101" s="953"/>
      <c r="TNV101" s="953"/>
      <c r="TNW101" s="953"/>
      <c r="TNX101" s="953"/>
      <c r="TNY101" s="953"/>
      <c r="TNZ101" s="953"/>
      <c r="TOA101" s="953"/>
      <c r="TOB101" s="953"/>
      <c r="TOC101" s="953"/>
      <c r="TOD101" s="953"/>
      <c r="TOE101" s="953"/>
      <c r="TOF101" s="953"/>
      <c r="TOG101" s="953"/>
      <c r="TOH101" s="953"/>
      <c r="TOI101" s="953"/>
      <c r="TOJ101" s="953"/>
      <c r="TOK101" s="953"/>
      <c r="TOL101" s="953"/>
      <c r="TOM101" s="953"/>
      <c r="TON101" s="953"/>
      <c r="TOO101" s="953"/>
      <c r="TOP101" s="953"/>
      <c r="TOQ101" s="953"/>
      <c r="TOR101" s="953"/>
      <c r="TOS101" s="953"/>
      <c r="TOT101" s="953"/>
      <c r="TOU101" s="953"/>
      <c r="TOV101" s="953"/>
      <c r="TOW101" s="953"/>
      <c r="TOX101" s="953"/>
      <c r="TOY101" s="953"/>
      <c r="TOZ101" s="953"/>
      <c r="TPA101" s="953"/>
      <c r="TPB101" s="953"/>
      <c r="TPC101" s="953"/>
      <c r="TPD101" s="953"/>
      <c r="TPE101" s="953"/>
      <c r="TPF101" s="953"/>
      <c r="TPG101" s="953"/>
      <c r="TPH101" s="953"/>
      <c r="TPI101" s="953"/>
      <c r="TPJ101" s="953"/>
      <c r="TPK101" s="953"/>
      <c r="TPL101" s="953"/>
      <c r="TPM101" s="953"/>
      <c r="TPN101" s="953"/>
      <c r="TPO101" s="953"/>
      <c r="TPP101" s="953"/>
      <c r="TPQ101" s="953"/>
      <c r="TPR101" s="953"/>
      <c r="TPS101" s="953"/>
      <c r="TPT101" s="953"/>
      <c r="TPU101" s="953"/>
      <c r="TPV101" s="953"/>
      <c r="TPW101" s="953"/>
      <c r="TPX101" s="953"/>
      <c r="TPY101" s="953"/>
      <c r="TPZ101" s="953"/>
      <c r="TQA101" s="953"/>
      <c r="TQB101" s="953"/>
      <c r="TQC101" s="953"/>
      <c r="TQD101" s="953"/>
      <c r="TQE101" s="953"/>
      <c r="TQF101" s="953"/>
      <c r="TQG101" s="953"/>
      <c r="TQH101" s="953"/>
      <c r="TQI101" s="953"/>
      <c r="TQJ101" s="953"/>
      <c r="TQK101" s="953"/>
      <c r="TQL101" s="953"/>
      <c r="TQM101" s="953"/>
      <c r="TQN101" s="953"/>
      <c r="TQO101" s="953"/>
      <c r="TQP101" s="953"/>
      <c r="TQQ101" s="953"/>
      <c r="TQR101" s="953"/>
      <c r="TQS101" s="953"/>
      <c r="TQT101" s="953"/>
      <c r="TQU101" s="953"/>
      <c r="TQV101" s="953"/>
      <c r="TQW101" s="953"/>
      <c r="TQX101" s="953"/>
      <c r="TQY101" s="953"/>
      <c r="TQZ101" s="953"/>
      <c r="TRA101" s="953"/>
      <c r="TRB101" s="953"/>
      <c r="TRC101" s="953"/>
      <c r="TRD101" s="953"/>
      <c r="TRE101" s="953"/>
      <c r="TRF101" s="953"/>
      <c r="TRG101" s="953"/>
      <c r="TRH101" s="953"/>
      <c r="TRI101" s="953"/>
      <c r="TRJ101" s="953"/>
      <c r="TRK101" s="953"/>
      <c r="TRL101" s="953"/>
      <c r="TRM101" s="953"/>
      <c r="TRN101" s="953"/>
      <c r="TRO101" s="953"/>
      <c r="TRP101" s="953"/>
      <c r="TRQ101" s="953"/>
      <c r="TRR101" s="953"/>
      <c r="TRS101" s="953"/>
      <c r="TRT101" s="953"/>
      <c r="TRU101" s="953"/>
      <c r="TRV101" s="953"/>
      <c r="TRW101" s="953"/>
      <c r="TRX101" s="953"/>
      <c r="TRY101" s="953"/>
      <c r="TRZ101" s="953"/>
      <c r="TSA101" s="953"/>
      <c r="TSB101" s="953"/>
      <c r="TSC101" s="953"/>
      <c r="TSD101" s="953"/>
      <c r="TSE101" s="953"/>
      <c r="TSF101" s="953"/>
      <c r="TSG101" s="953"/>
      <c r="TSH101" s="953"/>
      <c r="TSI101" s="953"/>
      <c r="TSJ101" s="953"/>
      <c r="TSK101" s="953"/>
      <c r="TSL101" s="953"/>
      <c r="TSM101" s="953"/>
      <c r="TSN101" s="953"/>
      <c r="TSO101" s="953"/>
      <c r="TSP101" s="953"/>
      <c r="TSQ101" s="953"/>
      <c r="TSR101" s="953"/>
      <c r="TSS101" s="953"/>
      <c r="TST101" s="953"/>
      <c r="TSU101" s="953"/>
      <c r="TSV101" s="953"/>
      <c r="TSW101" s="953"/>
      <c r="TSX101" s="953"/>
      <c r="TSY101" s="953"/>
      <c r="TSZ101" s="953"/>
      <c r="TTA101" s="953"/>
      <c r="TTB101" s="953"/>
      <c r="TTC101" s="953"/>
      <c r="TTD101" s="953"/>
      <c r="TTE101" s="953"/>
      <c r="TTF101" s="953"/>
      <c r="TTG101" s="953"/>
      <c r="TTH101" s="953"/>
      <c r="TTI101" s="953"/>
      <c r="TTJ101" s="953"/>
      <c r="TTK101" s="953"/>
      <c r="TTL101" s="953"/>
      <c r="TTM101" s="953"/>
      <c r="TTN101" s="953"/>
      <c r="TTO101" s="953"/>
      <c r="TTP101" s="953"/>
      <c r="TTQ101" s="953"/>
      <c r="TTR101" s="953"/>
      <c r="TTS101" s="953"/>
      <c r="TTT101" s="953"/>
      <c r="TTU101" s="953"/>
      <c r="TTV101" s="953"/>
      <c r="TTW101" s="953"/>
      <c r="TTX101" s="953"/>
      <c r="TTY101" s="953"/>
      <c r="TTZ101" s="953"/>
      <c r="TUA101" s="953"/>
      <c r="TUB101" s="953"/>
      <c r="TUC101" s="953"/>
      <c r="TUD101" s="953"/>
      <c r="TUE101" s="953"/>
      <c r="TUF101" s="953"/>
      <c r="TUG101" s="953"/>
      <c r="TUH101" s="953"/>
      <c r="TUI101" s="953"/>
      <c r="TUJ101" s="953"/>
      <c r="TUK101" s="953"/>
      <c r="TUL101" s="953"/>
      <c r="TUM101" s="953"/>
      <c r="TUN101" s="953"/>
      <c r="TUO101" s="953"/>
      <c r="TUP101" s="953"/>
      <c r="TUQ101" s="953"/>
      <c r="TUR101" s="953"/>
      <c r="TUS101" s="953"/>
      <c r="TUT101" s="953"/>
      <c r="TUU101" s="953"/>
      <c r="TUV101" s="953"/>
      <c r="TUW101" s="953"/>
      <c r="TUX101" s="953"/>
      <c r="TUY101" s="953"/>
      <c r="TUZ101" s="953"/>
      <c r="TVA101" s="953"/>
      <c r="TVB101" s="953"/>
      <c r="TVC101" s="953"/>
      <c r="TVD101" s="953"/>
      <c r="TVE101" s="953"/>
      <c r="TVF101" s="953"/>
      <c r="TVG101" s="953"/>
      <c r="TVH101" s="953"/>
      <c r="TVI101" s="953"/>
      <c r="TVJ101" s="953"/>
      <c r="TVK101" s="953"/>
      <c r="TVL101" s="953"/>
      <c r="TVM101" s="953"/>
      <c r="TVN101" s="953"/>
      <c r="TVO101" s="953"/>
      <c r="TVP101" s="953"/>
      <c r="TVQ101" s="953"/>
      <c r="TVR101" s="953"/>
      <c r="TVS101" s="953"/>
      <c r="TVT101" s="953"/>
      <c r="TVU101" s="953"/>
      <c r="TVV101" s="953"/>
      <c r="TVW101" s="953"/>
      <c r="TVX101" s="953"/>
      <c r="TVY101" s="953"/>
      <c r="TVZ101" s="953"/>
      <c r="TWA101" s="953"/>
      <c r="TWB101" s="953"/>
      <c r="TWC101" s="953"/>
      <c r="TWD101" s="953"/>
      <c r="TWE101" s="953"/>
      <c r="TWF101" s="953"/>
      <c r="TWG101" s="953"/>
      <c r="TWH101" s="953"/>
      <c r="TWI101" s="953"/>
      <c r="TWJ101" s="953"/>
      <c r="TWK101" s="953"/>
      <c r="TWL101" s="953"/>
      <c r="TWM101" s="953"/>
      <c r="TWN101" s="953"/>
      <c r="TWO101" s="953"/>
      <c r="TWP101" s="953"/>
      <c r="TWQ101" s="953"/>
      <c r="TWR101" s="953"/>
      <c r="TWS101" s="953"/>
      <c r="TWT101" s="953"/>
      <c r="TWU101" s="953"/>
      <c r="TWV101" s="953"/>
      <c r="TWW101" s="953"/>
      <c r="TWX101" s="953"/>
      <c r="TWY101" s="953"/>
      <c r="TWZ101" s="953"/>
      <c r="TXA101" s="953"/>
      <c r="TXB101" s="953"/>
      <c r="TXC101" s="953"/>
      <c r="TXD101" s="953"/>
      <c r="TXE101" s="953"/>
      <c r="TXF101" s="953"/>
      <c r="TXG101" s="953"/>
      <c r="TXH101" s="953"/>
      <c r="TXI101" s="953"/>
      <c r="TXJ101" s="953"/>
      <c r="TXK101" s="953"/>
      <c r="TXL101" s="953"/>
      <c r="TXM101" s="953"/>
      <c r="TXN101" s="953"/>
      <c r="TXO101" s="953"/>
      <c r="TXP101" s="953"/>
      <c r="TXQ101" s="953"/>
      <c r="TXR101" s="953"/>
      <c r="TXS101" s="953"/>
      <c r="TXT101" s="953"/>
      <c r="TXU101" s="953"/>
      <c r="TXV101" s="953"/>
      <c r="TXW101" s="953"/>
      <c r="TXX101" s="953"/>
      <c r="TXY101" s="953"/>
      <c r="TXZ101" s="953"/>
      <c r="TYA101" s="953"/>
      <c r="TYB101" s="953"/>
      <c r="TYC101" s="953"/>
      <c r="TYD101" s="953"/>
      <c r="TYE101" s="953"/>
      <c r="TYF101" s="953"/>
      <c r="TYG101" s="953"/>
      <c r="TYH101" s="953"/>
      <c r="TYI101" s="953"/>
      <c r="TYJ101" s="953"/>
      <c r="TYK101" s="953"/>
      <c r="TYL101" s="953"/>
      <c r="TYM101" s="953"/>
      <c r="TYN101" s="953"/>
      <c r="TYO101" s="953"/>
      <c r="TYP101" s="953"/>
      <c r="TYQ101" s="953"/>
      <c r="TYR101" s="953"/>
      <c r="TYS101" s="953"/>
      <c r="TYT101" s="953"/>
      <c r="TYU101" s="953"/>
      <c r="TYV101" s="953"/>
      <c r="TYW101" s="953"/>
      <c r="TYX101" s="953"/>
      <c r="TYY101" s="953"/>
      <c r="TYZ101" s="953"/>
      <c r="TZA101" s="953"/>
      <c r="TZB101" s="953"/>
      <c r="TZC101" s="953"/>
      <c r="TZD101" s="953"/>
      <c r="TZE101" s="953"/>
      <c r="TZF101" s="953"/>
      <c r="TZG101" s="953"/>
      <c r="TZH101" s="953"/>
      <c r="TZI101" s="953"/>
      <c r="TZJ101" s="953"/>
      <c r="TZK101" s="953"/>
      <c r="TZL101" s="953"/>
      <c r="TZM101" s="953"/>
      <c r="TZN101" s="953"/>
      <c r="TZO101" s="953"/>
      <c r="TZP101" s="953"/>
      <c r="TZQ101" s="953"/>
      <c r="TZR101" s="953"/>
      <c r="TZS101" s="953"/>
      <c r="TZT101" s="953"/>
      <c r="TZU101" s="953"/>
      <c r="TZV101" s="953"/>
      <c r="TZW101" s="953"/>
      <c r="TZX101" s="953"/>
      <c r="TZY101" s="953"/>
      <c r="TZZ101" s="953"/>
      <c r="UAA101" s="953"/>
      <c r="UAB101" s="953"/>
      <c r="UAC101" s="953"/>
      <c r="UAD101" s="953"/>
      <c r="UAE101" s="953"/>
      <c r="UAF101" s="953"/>
      <c r="UAG101" s="953"/>
      <c r="UAH101" s="953"/>
      <c r="UAI101" s="953"/>
      <c r="UAJ101" s="953"/>
      <c r="UAK101" s="953"/>
      <c r="UAL101" s="953"/>
      <c r="UAM101" s="953"/>
      <c r="UAN101" s="953"/>
      <c r="UAO101" s="953"/>
      <c r="UAP101" s="953"/>
      <c r="UAQ101" s="953"/>
      <c r="UAR101" s="953"/>
      <c r="UAS101" s="953"/>
      <c r="UAT101" s="953"/>
      <c r="UAU101" s="953"/>
      <c r="UAV101" s="953"/>
      <c r="UAW101" s="953"/>
      <c r="UAX101" s="953"/>
      <c r="UAY101" s="953"/>
      <c r="UAZ101" s="953"/>
      <c r="UBA101" s="953"/>
      <c r="UBB101" s="953"/>
      <c r="UBC101" s="953"/>
      <c r="UBD101" s="953"/>
      <c r="UBE101" s="953"/>
      <c r="UBF101" s="953"/>
      <c r="UBG101" s="953"/>
      <c r="UBH101" s="953"/>
      <c r="UBI101" s="953"/>
      <c r="UBJ101" s="953"/>
      <c r="UBK101" s="953"/>
      <c r="UBL101" s="953"/>
      <c r="UBM101" s="953"/>
      <c r="UBN101" s="953"/>
      <c r="UBO101" s="953"/>
      <c r="UBP101" s="953"/>
      <c r="UBQ101" s="953"/>
      <c r="UBR101" s="953"/>
      <c r="UBS101" s="953"/>
      <c r="UBT101" s="953"/>
      <c r="UBU101" s="953"/>
      <c r="UBV101" s="953"/>
      <c r="UBW101" s="953"/>
      <c r="UBX101" s="953"/>
      <c r="UBY101" s="953"/>
      <c r="UBZ101" s="953"/>
      <c r="UCA101" s="953"/>
      <c r="UCB101" s="953"/>
      <c r="UCC101" s="953"/>
      <c r="UCD101" s="953"/>
      <c r="UCE101" s="953"/>
      <c r="UCF101" s="953"/>
      <c r="UCG101" s="953"/>
      <c r="UCH101" s="953"/>
      <c r="UCI101" s="953"/>
      <c r="UCJ101" s="953"/>
      <c r="UCK101" s="953"/>
      <c r="UCL101" s="953"/>
      <c r="UCM101" s="953"/>
      <c r="UCN101" s="953"/>
      <c r="UCO101" s="953"/>
      <c r="UCP101" s="953"/>
      <c r="UCQ101" s="953"/>
      <c r="UCR101" s="953"/>
      <c r="UCS101" s="953"/>
      <c r="UCT101" s="953"/>
      <c r="UCU101" s="953"/>
      <c r="UCV101" s="953"/>
      <c r="UCW101" s="953"/>
      <c r="UCX101" s="953"/>
      <c r="UCY101" s="953"/>
      <c r="UCZ101" s="953"/>
      <c r="UDA101" s="953"/>
      <c r="UDB101" s="953"/>
      <c r="UDC101" s="953"/>
      <c r="UDD101" s="953"/>
      <c r="UDE101" s="953"/>
      <c r="UDF101" s="953"/>
      <c r="UDG101" s="953"/>
      <c r="UDH101" s="953"/>
      <c r="UDI101" s="953"/>
      <c r="UDJ101" s="953"/>
      <c r="UDK101" s="953"/>
      <c r="UDL101" s="953"/>
      <c r="UDM101" s="953"/>
      <c r="UDN101" s="953"/>
      <c r="UDO101" s="953"/>
      <c r="UDP101" s="953"/>
      <c r="UDQ101" s="953"/>
      <c r="UDR101" s="953"/>
      <c r="UDS101" s="953"/>
      <c r="UDT101" s="953"/>
      <c r="UDU101" s="953"/>
      <c r="UDV101" s="953"/>
      <c r="UDW101" s="953"/>
      <c r="UDX101" s="953"/>
      <c r="UDY101" s="953"/>
      <c r="UDZ101" s="953"/>
      <c r="UEA101" s="953"/>
      <c r="UEB101" s="953"/>
      <c r="UEC101" s="953"/>
      <c r="UED101" s="953"/>
      <c r="UEE101" s="953"/>
      <c r="UEF101" s="953"/>
      <c r="UEG101" s="953"/>
      <c r="UEH101" s="953"/>
      <c r="UEI101" s="953"/>
      <c r="UEJ101" s="953"/>
      <c r="UEK101" s="953"/>
      <c r="UEL101" s="953"/>
      <c r="UEM101" s="953"/>
      <c r="UEN101" s="953"/>
      <c r="UEO101" s="953"/>
      <c r="UEP101" s="953"/>
      <c r="UEQ101" s="953"/>
      <c r="UER101" s="953"/>
      <c r="UES101" s="953"/>
      <c r="UET101" s="953"/>
      <c r="UEU101" s="953"/>
      <c r="UEV101" s="953"/>
      <c r="UEW101" s="953"/>
      <c r="UEX101" s="953"/>
      <c r="UEY101" s="953"/>
      <c r="UEZ101" s="953"/>
      <c r="UFA101" s="953"/>
      <c r="UFB101" s="953"/>
      <c r="UFC101" s="953"/>
      <c r="UFD101" s="953"/>
      <c r="UFE101" s="953"/>
      <c r="UFF101" s="953"/>
      <c r="UFG101" s="953"/>
      <c r="UFH101" s="953"/>
      <c r="UFI101" s="953"/>
      <c r="UFJ101" s="953"/>
      <c r="UFK101" s="953"/>
      <c r="UFL101" s="953"/>
      <c r="UFM101" s="953"/>
      <c r="UFN101" s="953"/>
      <c r="UFO101" s="953"/>
      <c r="UFP101" s="953"/>
      <c r="UFQ101" s="953"/>
      <c r="UFR101" s="953"/>
      <c r="UFS101" s="953"/>
      <c r="UFT101" s="953"/>
      <c r="UFU101" s="953"/>
      <c r="UFV101" s="953"/>
      <c r="UFW101" s="953"/>
      <c r="UFX101" s="953"/>
      <c r="UFY101" s="953"/>
      <c r="UFZ101" s="953"/>
      <c r="UGA101" s="953"/>
      <c r="UGB101" s="953"/>
      <c r="UGC101" s="953"/>
      <c r="UGD101" s="953"/>
      <c r="UGE101" s="953"/>
      <c r="UGF101" s="953"/>
      <c r="UGG101" s="953"/>
      <c r="UGH101" s="953"/>
      <c r="UGI101" s="953"/>
      <c r="UGJ101" s="953"/>
      <c r="UGK101" s="953"/>
      <c r="UGL101" s="953"/>
      <c r="UGM101" s="953"/>
      <c r="UGN101" s="953"/>
      <c r="UGO101" s="953"/>
      <c r="UGP101" s="953"/>
      <c r="UGQ101" s="953"/>
      <c r="UGR101" s="953"/>
      <c r="UGS101" s="953"/>
      <c r="UGT101" s="953"/>
      <c r="UGU101" s="953"/>
      <c r="UGV101" s="953"/>
      <c r="UGW101" s="953"/>
      <c r="UGX101" s="953"/>
      <c r="UGY101" s="953"/>
      <c r="UGZ101" s="953"/>
      <c r="UHA101" s="953"/>
      <c r="UHB101" s="953"/>
      <c r="UHC101" s="953"/>
      <c r="UHD101" s="953"/>
      <c r="UHE101" s="953"/>
      <c r="UHF101" s="953"/>
      <c r="UHG101" s="953"/>
      <c r="UHH101" s="953"/>
      <c r="UHI101" s="953"/>
      <c r="UHJ101" s="953"/>
      <c r="UHK101" s="953"/>
      <c r="UHL101" s="953"/>
      <c r="UHM101" s="953"/>
      <c r="UHN101" s="953"/>
      <c r="UHO101" s="953"/>
      <c r="UHP101" s="953"/>
      <c r="UHQ101" s="953"/>
      <c r="UHR101" s="953"/>
      <c r="UHS101" s="953"/>
      <c r="UHT101" s="953"/>
      <c r="UHU101" s="953"/>
      <c r="UHV101" s="953"/>
      <c r="UHW101" s="953"/>
      <c r="UHX101" s="953"/>
      <c r="UHY101" s="953"/>
      <c r="UHZ101" s="953"/>
      <c r="UIA101" s="953"/>
      <c r="UIB101" s="953"/>
      <c r="UIC101" s="953"/>
      <c r="UID101" s="953"/>
      <c r="UIE101" s="953"/>
      <c r="UIF101" s="953"/>
      <c r="UIG101" s="953"/>
      <c r="UIH101" s="953"/>
      <c r="UII101" s="953"/>
      <c r="UIJ101" s="953"/>
      <c r="UIK101" s="953"/>
      <c r="UIL101" s="953"/>
      <c r="UIM101" s="953"/>
      <c r="UIN101" s="953"/>
      <c r="UIO101" s="953"/>
      <c r="UIP101" s="953"/>
      <c r="UIQ101" s="953"/>
      <c r="UIR101" s="953"/>
      <c r="UIS101" s="953"/>
      <c r="UIT101" s="953"/>
      <c r="UIU101" s="953"/>
      <c r="UIV101" s="953"/>
      <c r="UIW101" s="953"/>
      <c r="UIX101" s="953"/>
      <c r="UIY101" s="953"/>
      <c r="UIZ101" s="953"/>
      <c r="UJA101" s="953"/>
      <c r="UJB101" s="953"/>
      <c r="UJC101" s="953"/>
      <c r="UJD101" s="953"/>
      <c r="UJE101" s="953"/>
      <c r="UJF101" s="953"/>
      <c r="UJG101" s="953"/>
      <c r="UJH101" s="953"/>
      <c r="UJI101" s="953"/>
      <c r="UJJ101" s="953"/>
      <c r="UJK101" s="953"/>
      <c r="UJL101" s="953"/>
      <c r="UJM101" s="953"/>
      <c r="UJN101" s="953"/>
      <c r="UJO101" s="953"/>
      <c r="UJP101" s="953"/>
      <c r="UJQ101" s="953"/>
      <c r="UJR101" s="953"/>
      <c r="UJS101" s="953"/>
      <c r="UJT101" s="953"/>
      <c r="UJU101" s="953"/>
      <c r="UJV101" s="953"/>
      <c r="UJW101" s="953"/>
      <c r="UJX101" s="953"/>
      <c r="UJY101" s="953"/>
      <c r="UJZ101" s="953"/>
      <c r="UKA101" s="953"/>
      <c r="UKB101" s="953"/>
      <c r="UKC101" s="953"/>
      <c r="UKD101" s="953"/>
      <c r="UKE101" s="953"/>
      <c r="UKF101" s="953"/>
      <c r="UKG101" s="953"/>
      <c r="UKH101" s="953"/>
      <c r="UKI101" s="953"/>
      <c r="UKJ101" s="953"/>
      <c r="UKK101" s="953"/>
      <c r="UKL101" s="953"/>
      <c r="UKM101" s="953"/>
      <c r="UKN101" s="953"/>
      <c r="UKO101" s="953"/>
      <c r="UKP101" s="953"/>
      <c r="UKQ101" s="953"/>
      <c r="UKR101" s="953"/>
      <c r="UKS101" s="953"/>
      <c r="UKT101" s="953"/>
      <c r="UKU101" s="953"/>
      <c r="UKV101" s="953"/>
      <c r="UKW101" s="953"/>
      <c r="UKX101" s="953"/>
      <c r="UKY101" s="953"/>
      <c r="UKZ101" s="953"/>
      <c r="ULA101" s="953"/>
      <c r="ULB101" s="953"/>
      <c r="ULC101" s="953"/>
      <c r="ULD101" s="953"/>
      <c r="ULE101" s="953"/>
      <c r="ULF101" s="953"/>
      <c r="ULG101" s="953"/>
      <c r="ULH101" s="953"/>
      <c r="ULI101" s="953"/>
      <c r="ULJ101" s="953"/>
      <c r="ULK101" s="953"/>
      <c r="ULL101" s="953"/>
      <c r="ULM101" s="953"/>
      <c r="ULN101" s="953"/>
      <c r="ULO101" s="953"/>
      <c r="ULP101" s="953"/>
      <c r="ULQ101" s="953"/>
      <c r="ULR101" s="953"/>
      <c r="ULS101" s="953"/>
      <c r="ULT101" s="953"/>
      <c r="ULU101" s="953"/>
      <c r="ULV101" s="953"/>
      <c r="ULW101" s="953"/>
      <c r="ULX101" s="953"/>
      <c r="ULY101" s="953"/>
      <c r="ULZ101" s="953"/>
      <c r="UMA101" s="953"/>
      <c r="UMB101" s="953"/>
      <c r="UMC101" s="953"/>
      <c r="UMD101" s="953"/>
      <c r="UME101" s="953"/>
      <c r="UMF101" s="953"/>
      <c r="UMG101" s="953"/>
      <c r="UMH101" s="953"/>
      <c r="UMI101" s="953"/>
      <c r="UMJ101" s="953"/>
      <c r="UMK101" s="953"/>
      <c r="UML101" s="953"/>
      <c r="UMM101" s="953"/>
      <c r="UMN101" s="953"/>
      <c r="UMO101" s="953"/>
      <c r="UMP101" s="953"/>
      <c r="UMQ101" s="953"/>
      <c r="UMR101" s="953"/>
      <c r="UMS101" s="953"/>
      <c r="UMT101" s="953"/>
      <c r="UMU101" s="953"/>
      <c r="UMV101" s="953"/>
      <c r="UMW101" s="953"/>
      <c r="UMX101" s="953"/>
      <c r="UMY101" s="953"/>
      <c r="UMZ101" s="953"/>
      <c r="UNA101" s="953"/>
      <c r="UNB101" s="953"/>
      <c r="UNC101" s="953"/>
      <c r="UND101" s="953"/>
      <c r="UNE101" s="953"/>
      <c r="UNF101" s="953"/>
      <c r="UNG101" s="953"/>
      <c r="UNH101" s="953"/>
      <c r="UNI101" s="953"/>
      <c r="UNJ101" s="953"/>
      <c r="UNK101" s="953"/>
      <c r="UNL101" s="953"/>
      <c r="UNM101" s="953"/>
      <c r="UNN101" s="953"/>
      <c r="UNO101" s="953"/>
      <c r="UNP101" s="953"/>
      <c r="UNQ101" s="953"/>
      <c r="UNR101" s="953"/>
      <c r="UNS101" s="953"/>
      <c r="UNT101" s="953"/>
      <c r="UNU101" s="953"/>
      <c r="UNV101" s="953"/>
      <c r="UNW101" s="953"/>
      <c r="UNX101" s="953"/>
      <c r="UNY101" s="953"/>
      <c r="UNZ101" s="953"/>
      <c r="UOA101" s="953"/>
      <c r="UOB101" s="953"/>
      <c r="UOC101" s="953"/>
      <c r="UOD101" s="953"/>
      <c r="UOE101" s="953"/>
      <c r="UOF101" s="953"/>
      <c r="UOG101" s="953"/>
      <c r="UOH101" s="953"/>
      <c r="UOI101" s="953"/>
      <c r="UOJ101" s="953"/>
      <c r="UOK101" s="953"/>
      <c r="UOL101" s="953"/>
      <c r="UOM101" s="953"/>
      <c r="UON101" s="953"/>
      <c r="UOO101" s="953"/>
      <c r="UOP101" s="953"/>
      <c r="UOQ101" s="953"/>
      <c r="UOR101" s="953"/>
      <c r="UOS101" s="953"/>
      <c r="UOT101" s="953"/>
      <c r="UOU101" s="953"/>
      <c r="UOV101" s="953"/>
      <c r="UOW101" s="953"/>
      <c r="UOX101" s="953"/>
      <c r="UOY101" s="953"/>
      <c r="UOZ101" s="953"/>
      <c r="UPA101" s="953"/>
      <c r="UPB101" s="953"/>
      <c r="UPC101" s="953"/>
      <c r="UPD101" s="953"/>
      <c r="UPE101" s="953"/>
      <c r="UPF101" s="953"/>
      <c r="UPG101" s="953"/>
      <c r="UPH101" s="953"/>
      <c r="UPI101" s="953"/>
      <c r="UPJ101" s="953"/>
      <c r="UPK101" s="953"/>
      <c r="UPL101" s="953"/>
      <c r="UPM101" s="953"/>
      <c r="UPN101" s="953"/>
      <c r="UPO101" s="953"/>
      <c r="UPP101" s="953"/>
      <c r="UPQ101" s="953"/>
      <c r="UPR101" s="953"/>
      <c r="UPS101" s="953"/>
      <c r="UPT101" s="953"/>
      <c r="UPU101" s="953"/>
      <c r="UPV101" s="953"/>
      <c r="UPW101" s="953"/>
      <c r="UPX101" s="953"/>
      <c r="UPY101" s="953"/>
      <c r="UPZ101" s="953"/>
      <c r="UQA101" s="953"/>
      <c r="UQB101" s="953"/>
      <c r="UQC101" s="953"/>
      <c r="UQD101" s="953"/>
      <c r="UQE101" s="953"/>
      <c r="UQF101" s="953"/>
      <c r="UQG101" s="953"/>
      <c r="UQH101" s="953"/>
      <c r="UQI101" s="953"/>
      <c r="UQJ101" s="953"/>
      <c r="UQK101" s="953"/>
      <c r="UQL101" s="953"/>
      <c r="UQM101" s="953"/>
      <c r="UQN101" s="953"/>
      <c r="UQO101" s="953"/>
      <c r="UQP101" s="953"/>
      <c r="UQQ101" s="953"/>
      <c r="UQR101" s="953"/>
      <c r="UQS101" s="953"/>
      <c r="UQT101" s="953"/>
      <c r="UQU101" s="953"/>
      <c r="UQV101" s="953"/>
      <c r="UQW101" s="953"/>
      <c r="UQX101" s="953"/>
      <c r="UQY101" s="953"/>
      <c r="UQZ101" s="953"/>
      <c r="URA101" s="953"/>
      <c r="URB101" s="953"/>
      <c r="URC101" s="953"/>
      <c r="URD101" s="953"/>
      <c r="URE101" s="953"/>
      <c r="URF101" s="953"/>
      <c r="URG101" s="953"/>
      <c r="URH101" s="953"/>
      <c r="URI101" s="953"/>
      <c r="URJ101" s="953"/>
      <c r="URK101" s="953"/>
      <c r="URL101" s="953"/>
      <c r="URM101" s="953"/>
      <c r="URN101" s="953"/>
      <c r="URO101" s="953"/>
      <c r="URP101" s="953"/>
      <c r="URQ101" s="953"/>
      <c r="URR101" s="953"/>
      <c r="URS101" s="953"/>
      <c r="URT101" s="953"/>
      <c r="URU101" s="953"/>
      <c r="URV101" s="953"/>
      <c r="URW101" s="953"/>
      <c r="URX101" s="953"/>
      <c r="URY101" s="953"/>
      <c r="URZ101" s="953"/>
      <c r="USA101" s="953"/>
      <c r="USB101" s="953"/>
      <c r="USC101" s="953"/>
      <c r="USD101" s="953"/>
      <c r="USE101" s="953"/>
      <c r="USF101" s="953"/>
      <c r="USG101" s="953"/>
      <c r="USH101" s="953"/>
      <c r="USI101" s="953"/>
      <c r="USJ101" s="953"/>
      <c r="USK101" s="953"/>
      <c r="USL101" s="953"/>
      <c r="USM101" s="953"/>
      <c r="USN101" s="953"/>
      <c r="USO101" s="953"/>
      <c r="USP101" s="953"/>
      <c r="USQ101" s="953"/>
      <c r="USR101" s="953"/>
      <c r="USS101" s="953"/>
      <c r="UST101" s="953"/>
      <c r="USU101" s="953"/>
      <c r="USV101" s="953"/>
      <c r="USW101" s="953"/>
      <c r="USX101" s="953"/>
      <c r="USY101" s="953"/>
      <c r="USZ101" s="953"/>
      <c r="UTA101" s="953"/>
      <c r="UTB101" s="953"/>
      <c r="UTC101" s="953"/>
      <c r="UTD101" s="953"/>
      <c r="UTE101" s="953"/>
      <c r="UTF101" s="953"/>
      <c r="UTG101" s="953"/>
      <c r="UTH101" s="953"/>
      <c r="UTI101" s="953"/>
      <c r="UTJ101" s="953"/>
      <c r="UTK101" s="953"/>
      <c r="UTL101" s="953"/>
      <c r="UTM101" s="953"/>
      <c r="UTN101" s="953"/>
      <c r="UTO101" s="953"/>
      <c r="UTP101" s="953"/>
      <c r="UTQ101" s="953"/>
      <c r="UTR101" s="953"/>
      <c r="UTS101" s="953"/>
      <c r="UTT101" s="953"/>
      <c r="UTU101" s="953"/>
      <c r="UTV101" s="953"/>
      <c r="UTW101" s="953"/>
      <c r="UTX101" s="953"/>
      <c r="UTY101" s="953"/>
      <c r="UTZ101" s="953"/>
      <c r="UUA101" s="953"/>
      <c r="UUB101" s="953"/>
      <c r="UUC101" s="953"/>
      <c r="UUD101" s="953"/>
      <c r="UUE101" s="953"/>
      <c r="UUF101" s="953"/>
      <c r="UUG101" s="953"/>
      <c r="UUH101" s="953"/>
      <c r="UUI101" s="953"/>
      <c r="UUJ101" s="953"/>
      <c r="UUK101" s="953"/>
      <c r="UUL101" s="953"/>
      <c r="UUM101" s="953"/>
      <c r="UUN101" s="953"/>
      <c r="UUO101" s="953"/>
      <c r="UUP101" s="953"/>
      <c r="UUQ101" s="953"/>
      <c r="UUR101" s="953"/>
      <c r="UUS101" s="953"/>
      <c r="UUT101" s="953"/>
      <c r="UUU101" s="953"/>
      <c r="UUV101" s="953"/>
      <c r="UUW101" s="953"/>
      <c r="UUX101" s="953"/>
      <c r="UUY101" s="953"/>
      <c r="UUZ101" s="953"/>
      <c r="UVA101" s="953"/>
      <c r="UVB101" s="953"/>
      <c r="UVC101" s="953"/>
      <c r="UVD101" s="953"/>
      <c r="UVE101" s="953"/>
      <c r="UVF101" s="953"/>
      <c r="UVG101" s="953"/>
      <c r="UVH101" s="953"/>
      <c r="UVI101" s="953"/>
      <c r="UVJ101" s="953"/>
      <c r="UVK101" s="953"/>
      <c r="UVL101" s="953"/>
      <c r="UVM101" s="953"/>
      <c r="UVN101" s="953"/>
      <c r="UVO101" s="953"/>
      <c r="UVP101" s="953"/>
      <c r="UVQ101" s="953"/>
      <c r="UVR101" s="953"/>
      <c r="UVS101" s="953"/>
      <c r="UVT101" s="953"/>
      <c r="UVU101" s="953"/>
      <c r="UVV101" s="953"/>
      <c r="UVW101" s="953"/>
      <c r="UVX101" s="953"/>
      <c r="UVY101" s="953"/>
      <c r="UVZ101" s="953"/>
      <c r="UWA101" s="953"/>
      <c r="UWB101" s="953"/>
      <c r="UWC101" s="953"/>
      <c r="UWD101" s="953"/>
      <c r="UWE101" s="953"/>
      <c r="UWF101" s="953"/>
      <c r="UWG101" s="953"/>
      <c r="UWH101" s="953"/>
      <c r="UWI101" s="953"/>
      <c r="UWJ101" s="953"/>
      <c r="UWK101" s="953"/>
      <c r="UWL101" s="953"/>
      <c r="UWM101" s="953"/>
      <c r="UWN101" s="953"/>
      <c r="UWO101" s="953"/>
      <c r="UWP101" s="953"/>
      <c r="UWQ101" s="953"/>
      <c r="UWR101" s="953"/>
      <c r="UWS101" s="953"/>
      <c r="UWT101" s="953"/>
      <c r="UWU101" s="953"/>
      <c r="UWV101" s="953"/>
      <c r="UWW101" s="953"/>
      <c r="UWX101" s="953"/>
      <c r="UWY101" s="953"/>
      <c r="UWZ101" s="953"/>
      <c r="UXA101" s="953"/>
      <c r="UXB101" s="953"/>
      <c r="UXC101" s="953"/>
      <c r="UXD101" s="953"/>
      <c r="UXE101" s="953"/>
      <c r="UXF101" s="953"/>
      <c r="UXG101" s="953"/>
      <c r="UXH101" s="953"/>
      <c r="UXI101" s="953"/>
      <c r="UXJ101" s="953"/>
      <c r="UXK101" s="953"/>
      <c r="UXL101" s="953"/>
      <c r="UXM101" s="953"/>
      <c r="UXN101" s="953"/>
      <c r="UXO101" s="953"/>
      <c r="UXP101" s="953"/>
      <c r="UXQ101" s="953"/>
      <c r="UXR101" s="953"/>
      <c r="UXS101" s="953"/>
      <c r="UXT101" s="953"/>
      <c r="UXU101" s="953"/>
      <c r="UXV101" s="953"/>
      <c r="UXW101" s="953"/>
      <c r="UXX101" s="953"/>
      <c r="UXY101" s="953"/>
      <c r="UXZ101" s="953"/>
      <c r="UYA101" s="953"/>
      <c r="UYB101" s="953"/>
      <c r="UYC101" s="953"/>
      <c r="UYD101" s="953"/>
      <c r="UYE101" s="953"/>
      <c r="UYF101" s="953"/>
      <c r="UYG101" s="953"/>
      <c r="UYH101" s="953"/>
      <c r="UYI101" s="953"/>
      <c r="UYJ101" s="953"/>
      <c r="UYK101" s="953"/>
      <c r="UYL101" s="953"/>
      <c r="UYM101" s="953"/>
      <c r="UYN101" s="953"/>
      <c r="UYO101" s="953"/>
      <c r="UYP101" s="953"/>
      <c r="UYQ101" s="953"/>
      <c r="UYR101" s="953"/>
      <c r="UYS101" s="953"/>
      <c r="UYT101" s="953"/>
      <c r="UYU101" s="953"/>
      <c r="UYV101" s="953"/>
      <c r="UYW101" s="953"/>
      <c r="UYX101" s="953"/>
      <c r="UYY101" s="953"/>
      <c r="UYZ101" s="953"/>
      <c r="UZA101" s="953"/>
      <c r="UZB101" s="953"/>
      <c r="UZC101" s="953"/>
      <c r="UZD101" s="953"/>
      <c r="UZE101" s="953"/>
      <c r="UZF101" s="953"/>
      <c r="UZG101" s="953"/>
      <c r="UZH101" s="953"/>
      <c r="UZI101" s="953"/>
      <c r="UZJ101" s="953"/>
      <c r="UZK101" s="953"/>
      <c r="UZL101" s="953"/>
      <c r="UZM101" s="953"/>
      <c r="UZN101" s="953"/>
      <c r="UZO101" s="953"/>
      <c r="UZP101" s="953"/>
      <c r="UZQ101" s="953"/>
      <c r="UZR101" s="953"/>
      <c r="UZS101" s="953"/>
      <c r="UZT101" s="953"/>
      <c r="UZU101" s="953"/>
      <c r="UZV101" s="953"/>
      <c r="UZW101" s="953"/>
      <c r="UZX101" s="953"/>
      <c r="UZY101" s="953"/>
      <c r="UZZ101" s="953"/>
      <c r="VAA101" s="953"/>
      <c r="VAB101" s="953"/>
      <c r="VAC101" s="953"/>
      <c r="VAD101" s="953"/>
      <c r="VAE101" s="953"/>
      <c r="VAF101" s="953"/>
      <c r="VAG101" s="953"/>
      <c r="VAH101" s="953"/>
      <c r="VAI101" s="953"/>
      <c r="VAJ101" s="953"/>
      <c r="VAK101" s="953"/>
      <c r="VAL101" s="953"/>
      <c r="VAM101" s="953"/>
      <c r="VAN101" s="953"/>
      <c r="VAO101" s="953"/>
      <c r="VAP101" s="953"/>
      <c r="VAQ101" s="953"/>
      <c r="VAR101" s="953"/>
      <c r="VAS101" s="953"/>
      <c r="VAT101" s="953"/>
      <c r="VAU101" s="953"/>
      <c r="VAV101" s="953"/>
      <c r="VAW101" s="953"/>
      <c r="VAX101" s="953"/>
      <c r="VAY101" s="953"/>
      <c r="VAZ101" s="953"/>
      <c r="VBA101" s="953"/>
      <c r="VBB101" s="953"/>
      <c r="VBC101" s="953"/>
      <c r="VBD101" s="953"/>
      <c r="VBE101" s="953"/>
      <c r="VBF101" s="953"/>
      <c r="VBG101" s="953"/>
      <c r="VBH101" s="953"/>
      <c r="VBI101" s="953"/>
      <c r="VBJ101" s="953"/>
      <c r="VBK101" s="953"/>
      <c r="VBL101" s="953"/>
      <c r="VBM101" s="953"/>
      <c r="VBN101" s="953"/>
      <c r="VBO101" s="953"/>
      <c r="VBP101" s="953"/>
      <c r="VBQ101" s="953"/>
      <c r="VBR101" s="953"/>
      <c r="VBS101" s="953"/>
      <c r="VBT101" s="953"/>
      <c r="VBU101" s="953"/>
      <c r="VBV101" s="953"/>
      <c r="VBW101" s="953"/>
      <c r="VBX101" s="953"/>
      <c r="VBY101" s="953"/>
      <c r="VBZ101" s="953"/>
      <c r="VCA101" s="953"/>
      <c r="VCB101" s="953"/>
      <c r="VCC101" s="953"/>
      <c r="VCD101" s="953"/>
      <c r="VCE101" s="953"/>
      <c r="VCF101" s="953"/>
      <c r="VCG101" s="953"/>
      <c r="VCH101" s="953"/>
      <c r="VCI101" s="953"/>
      <c r="VCJ101" s="953"/>
      <c r="VCK101" s="953"/>
      <c r="VCL101" s="953"/>
      <c r="VCM101" s="953"/>
      <c r="VCN101" s="953"/>
      <c r="VCO101" s="953"/>
      <c r="VCP101" s="953"/>
      <c r="VCQ101" s="953"/>
      <c r="VCR101" s="953"/>
      <c r="VCS101" s="953"/>
      <c r="VCT101" s="953"/>
      <c r="VCU101" s="953"/>
      <c r="VCV101" s="953"/>
      <c r="VCW101" s="953"/>
      <c r="VCX101" s="953"/>
      <c r="VCY101" s="953"/>
      <c r="VCZ101" s="953"/>
      <c r="VDA101" s="953"/>
      <c r="VDB101" s="953"/>
      <c r="VDC101" s="953"/>
      <c r="VDD101" s="953"/>
      <c r="VDE101" s="953"/>
      <c r="VDF101" s="953"/>
      <c r="VDG101" s="953"/>
      <c r="VDH101" s="953"/>
      <c r="VDI101" s="953"/>
      <c r="VDJ101" s="953"/>
      <c r="VDK101" s="953"/>
      <c r="VDL101" s="953"/>
      <c r="VDM101" s="953"/>
      <c r="VDN101" s="953"/>
      <c r="VDO101" s="953"/>
      <c r="VDP101" s="953"/>
      <c r="VDQ101" s="953"/>
      <c r="VDR101" s="953"/>
      <c r="VDS101" s="953"/>
      <c r="VDT101" s="953"/>
      <c r="VDU101" s="953"/>
      <c r="VDV101" s="953"/>
      <c r="VDW101" s="953"/>
      <c r="VDX101" s="953"/>
      <c r="VDY101" s="953"/>
      <c r="VDZ101" s="953"/>
      <c r="VEA101" s="953"/>
      <c r="VEB101" s="953"/>
      <c r="VEC101" s="953"/>
      <c r="VED101" s="953"/>
      <c r="VEE101" s="953"/>
      <c r="VEF101" s="953"/>
      <c r="VEG101" s="953"/>
      <c r="VEH101" s="953"/>
      <c r="VEI101" s="953"/>
      <c r="VEJ101" s="953"/>
      <c r="VEK101" s="953"/>
      <c r="VEL101" s="953"/>
      <c r="VEM101" s="953"/>
      <c r="VEN101" s="953"/>
      <c r="VEO101" s="953"/>
      <c r="VEP101" s="953"/>
      <c r="VEQ101" s="953"/>
      <c r="VER101" s="953"/>
      <c r="VES101" s="953"/>
      <c r="VET101" s="953"/>
      <c r="VEU101" s="953"/>
      <c r="VEV101" s="953"/>
      <c r="VEW101" s="953"/>
      <c r="VEX101" s="953"/>
      <c r="VEY101" s="953"/>
      <c r="VEZ101" s="953"/>
      <c r="VFA101" s="953"/>
      <c r="VFB101" s="953"/>
      <c r="VFC101" s="953"/>
      <c r="VFD101" s="953"/>
      <c r="VFE101" s="953"/>
      <c r="VFF101" s="953"/>
      <c r="VFG101" s="953"/>
      <c r="VFH101" s="953"/>
      <c r="VFI101" s="953"/>
      <c r="VFJ101" s="953"/>
      <c r="VFK101" s="953"/>
      <c r="VFL101" s="953"/>
      <c r="VFM101" s="953"/>
      <c r="VFN101" s="953"/>
      <c r="VFO101" s="953"/>
      <c r="VFP101" s="953"/>
      <c r="VFQ101" s="953"/>
      <c r="VFR101" s="953"/>
      <c r="VFS101" s="953"/>
      <c r="VFT101" s="953"/>
      <c r="VFU101" s="953"/>
      <c r="VFV101" s="953"/>
      <c r="VFW101" s="953"/>
      <c r="VFX101" s="953"/>
      <c r="VFY101" s="953"/>
      <c r="VFZ101" s="953"/>
      <c r="VGA101" s="953"/>
      <c r="VGB101" s="953"/>
      <c r="VGC101" s="953"/>
      <c r="VGD101" s="953"/>
      <c r="VGE101" s="953"/>
      <c r="VGF101" s="953"/>
      <c r="VGG101" s="953"/>
      <c r="VGH101" s="953"/>
      <c r="VGI101" s="953"/>
      <c r="VGJ101" s="953"/>
      <c r="VGK101" s="953"/>
      <c r="VGL101" s="953"/>
      <c r="VGM101" s="953"/>
      <c r="VGN101" s="953"/>
      <c r="VGO101" s="953"/>
      <c r="VGP101" s="953"/>
      <c r="VGQ101" s="953"/>
      <c r="VGR101" s="953"/>
      <c r="VGS101" s="953"/>
      <c r="VGT101" s="953"/>
      <c r="VGU101" s="953"/>
      <c r="VGV101" s="953"/>
      <c r="VGW101" s="953"/>
      <c r="VGX101" s="953"/>
      <c r="VGY101" s="953"/>
      <c r="VGZ101" s="953"/>
      <c r="VHA101" s="953"/>
      <c r="VHB101" s="953"/>
      <c r="VHC101" s="953"/>
      <c r="VHD101" s="953"/>
      <c r="VHE101" s="953"/>
      <c r="VHF101" s="953"/>
      <c r="VHG101" s="953"/>
      <c r="VHH101" s="953"/>
      <c r="VHI101" s="953"/>
      <c r="VHJ101" s="953"/>
      <c r="VHK101" s="953"/>
      <c r="VHL101" s="953"/>
      <c r="VHM101" s="953"/>
      <c r="VHN101" s="953"/>
      <c r="VHO101" s="953"/>
      <c r="VHP101" s="953"/>
      <c r="VHQ101" s="953"/>
      <c r="VHR101" s="953"/>
      <c r="VHS101" s="953"/>
      <c r="VHT101" s="953"/>
      <c r="VHU101" s="953"/>
      <c r="VHV101" s="953"/>
      <c r="VHW101" s="953"/>
      <c r="VHX101" s="953"/>
      <c r="VHY101" s="953"/>
      <c r="VHZ101" s="953"/>
      <c r="VIA101" s="953"/>
      <c r="VIB101" s="953"/>
      <c r="VIC101" s="953"/>
      <c r="VID101" s="953"/>
      <c r="VIE101" s="953"/>
      <c r="VIF101" s="953"/>
      <c r="VIG101" s="953"/>
      <c r="VIH101" s="953"/>
      <c r="VII101" s="953"/>
      <c r="VIJ101" s="953"/>
      <c r="VIK101" s="953"/>
      <c r="VIL101" s="953"/>
      <c r="VIM101" s="953"/>
      <c r="VIN101" s="953"/>
      <c r="VIO101" s="953"/>
      <c r="VIP101" s="953"/>
      <c r="VIQ101" s="953"/>
      <c r="VIR101" s="953"/>
      <c r="VIS101" s="953"/>
      <c r="VIT101" s="953"/>
      <c r="VIU101" s="953"/>
      <c r="VIV101" s="953"/>
      <c r="VIW101" s="953"/>
      <c r="VIX101" s="953"/>
      <c r="VIY101" s="953"/>
      <c r="VIZ101" s="953"/>
      <c r="VJA101" s="953"/>
      <c r="VJB101" s="953"/>
      <c r="VJC101" s="953"/>
      <c r="VJD101" s="953"/>
      <c r="VJE101" s="953"/>
      <c r="VJF101" s="953"/>
      <c r="VJG101" s="953"/>
      <c r="VJH101" s="953"/>
      <c r="VJI101" s="953"/>
      <c r="VJJ101" s="953"/>
      <c r="VJK101" s="953"/>
      <c r="VJL101" s="953"/>
      <c r="VJM101" s="953"/>
      <c r="VJN101" s="953"/>
      <c r="VJO101" s="953"/>
      <c r="VJP101" s="953"/>
      <c r="VJQ101" s="953"/>
      <c r="VJR101" s="953"/>
      <c r="VJS101" s="953"/>
      <c r="VJT101" s="953"/>
      <c r="VJU101" s="953"/>
      <c r="VJV101" s="953"/>
      <c r="VJW101" s="953"/>
      <c r="VJX101" s="953"/>
      <c r="VJY101" s="953"/>
      <c r="VJZ101" s="953"/>
      <c r="VKA101" s="953"/>
      <c r="VKB101" s="953"/>
      <c r="VKC101" s="953"/>
      <c r="VKD101" s="953"/>
      <c r="VKE101" s="953"/>
      <c r="VKF101" s="953"/>
      <c r="VKG101" s="953"/>
      <c r="VKH101" s="953"/>
      <c r="VKI101" s="953"/>
      <c r="VKJ101" s="953"/>
      <c r="VKK101" s="953"/>
      <c r="VKL101" s="953"/>
      <c r="VKM101" s="953"/>
      <c r="VKN101" s="953"/>
      <c r="VKO101" s="953"/>
      <c r="VKP101" s="953"/>
      <c r="VKQ101" s="953"/>
      <c r="VKR101" s="953"/>
      <c r="VKS101" s="953"/>
      <c r="VKT101" s="953"/>
      <c r="VKU101" s="953"/>
      <c r="VKV101" s="953"/>
      <c r="VKW101" s="953"/>
      <c r="VKX101" s="953"/>
      <c r="VKY101" s="953"/>
      <c r="VKZ101" s="953"/>
      <c r="VLA101" s="953"/>
      <c r="VLB101" s="953"/>
      <c r="VLC101" s="953"/>
      <c r="VLD101" s="953"/>
      <c r="VLE101" s="953"/>
      <c r="VLF101" s="953"/>
      <c r="VLG101" s="953"/>
      <c r="VLH101" s="953"/>
      <c r="VLI101" s="953"/>
      <c r="VLJ101" s="953"/>
      <c r="VLK101" s="953"/>
      <c r="VLL101" s="953"/>
      <c r="VLM101" s="953"/>
      <c r="VLN101" s="953"/>
      <c r="VLO101" s="953"/>
      <c r="VLP101" s="953"/>
      <c r="VLQ101" s="953"/>
      <c r="VLR101" s="953"/>
      <c r="VLS101" s="953"/>
      <c r="VLT101" s="953"/>
      <c r="VLU101" s="953"/>
      <c r="VLV101" s="953"/>
      <c r="VLW101" s="953"/>
      <c r="VLX101" s="953"/>
      <c r="VLY101" s="953"/>
      <c r="VLZ101" s="953"/>
      <c r="VMA101" s="953"/>
      <c r="VMB101" s="953"/>
      <c r="VMC101" s="953"/>
      <c r="VMD101" s="953"/>
      <c r="VME101" s="953"/>
      <c r="VMF101" s="953"/>
      <c r="VMG101" s="953"/>
      <c r="VMH101" s="953"/>
      <c r="VMI101" s="953"/>
      <c r="VMJ101" s="953"/>
      <c r="VMK101" s="953"/>
      <c r="VML101" s="953"/>
      <c r="VMM101" s="953"/>
      <c r="VMN101" s="953"/>
      <c r="VMO101" s="953"/>
      <c r="VMP101" s="953"/>
      <c r="VMQ101" s="953"/>
      <c r="VMR101" s="953"/>
      <c r="VMS101" s="953"/>
      <c r="VMT101" s="953"/>
      <c r="VMU101" s="953"/>
      <c r="VMV101" s="953"/>
      <c r="VMW101" s="953"/>
      <c r="VMX101" s="953"/>
      <c r="VMY101" s="953"/>
      <c r="VMZ101" s="953"/>
      <c r="VNA101" s="953"/>
      <c r="VNB101" s="953"/>
      <c r="VNC101" s="953"/>
      <c r="VND101" s="953"/>
      <c r="VNE101" s="953"/>
      <c r="VNF101" s="953"/>
      <c r="VNG101" s="953"/>
      <c r="VNH101" s="953"/>
      <c r="VNI101" s="953"/>
      <c r="VNJ101" s="953"/>
      <c r="VNK101" s="953"/>
      <c r="VNL101" s="953"/>
      <c r="VNM101" s="953"/>
      <c r="VNN101" s="953"/>
      <c r="VNO101" s="953"/>
      <c r="VNP101" s="953"/>
      <c r="VNQ101" s="953"/>
      <c r="VNR101" s="953"/>
      <c r="VNS101" s="953"/>
      <c r="VNT101" s="953"/>
      <c r="VNU101" s="953"/>
      <c r="VNV101" s="953"/>
      <c r="VNW101" s="953"/>
      <c r="VNX101" s="953"/>
      <c r="VNY101" s="953"/>
      <c r="VNZ101" s="953"/>
      <c r="VOA101" s="953"/>
      <c r="VOB101" s="953"/>
      <c r="VOC101" s="953"/>
      <c r="VOD101" s="953"/>
      <c r="VOE101" s="953"/>
      <c r="VOF101" s="953"/>
      <c r="VOG101" s="953"/>
      <c r="VOH101" s="953"/>
      <c r="VOI101" s="953"/>
      <c r="VOJ101" s="953"/>
      <c r="VOK101" s="953"/>
      <c r="VOL101" s="953"/>
      <c r="VOM101" s="953"/>
      <c r="VON101" s="953"/>
      <c r="VOO101" s="953"/>
      <c r="VOP101" s="953"/>
      <c r="VOQ101" s="953"/>
      <c r="VOR101" s="953"/>
      <c r="VOS101" s="953"/>
      <c r="VOT101" s="953"/>
      <c r="VOU101" s="953"/>
      <c r="VOV101" s="953"/>
      <c r="VOW101" s="953"/>
      <c r="VOX101" s="953"/>
      <c r="VOY101" s="953"/>
      <c r="VOZ101" s="953"/>
      <c r="VPA101" s="953"/>
      <c r="VPB101" s="953"/>
      <c r="VPC101" s="953"/>
      <c r="VPD101" s="953"/>
      <c r="VPE101" s="953"/>
      <c r="VPF101" s="953"/>
      <c r="VPG101" s="953"/>
      <c r="VPH101" s="953"/>
      <c r="VPI101" s="953"/>
      <c r="VPJ101" s="953"/>
      <c r="VPK101" s="953"/>
      <c r="VPL101" s="953"/>
      <c r="VPM101" s="953"/>
      <c r="VPN101" s="953"/>
      <c r="VPO101" s="953"/>
      <c r="VPP101" s="953"/>
      <c r="VPQ101" s="953"/>
      <c r="VPR101" s="953"/>
      <c r="VPS101" s="953"/>
      <c r="VPT101" s="953"/>
      <c r="VPU101" s="953"/>
      <c r="VPV101" s="953"/>
      <c r="VPW101" s="953"/>
      <c r="VPX101" s="953"/>
      <c r="VPY101" s="953"/>
      <c r="VPZ101" s="953"/>
      <c r="VQA101" s="953"/>
      <c r="VQB101" s="953"/>
      <c r="VQC101" s="953"/>
      <c r="VQD101" s="953"/>
      <c r="VQE101" s="953"/>
      <c r="VQF101" s="953"/>
      <c r="VQG101" s="953"/>
      <c r="VQH101" s="953"/>
      <c r="VQI101" s="953"/>
      <c r="VQJ101" s="953"/>
      <c r="VQK101" s="953"/>
      <c r="VQL101" s="953"/>
      <c r="VQM101" s="953"/>
      <c r="VQN101" s="953"/>
      <c r="VQO101" s="953"/>
      <c r="VQP101" s="953"/>
      <c r="VQQ101" s="953"/>
      <c r="VQR101" s="953"/>
      <c r="VQS101" s="953"/>
      <c r="VQT101" s="953"/>
      <c r="VQU101" s="953"/>
      <c r="VQV101" s="953"/>
      <c r="VQW101" s="953"/>
      <c r="VQX101" s="953"/>
      <c r="VQY101" s="953"/>
      <c r="VQZ101" s="953"/>
      <c r="VRA101" s="953"/>
      <c r="VRB101" s="953"/>
      <c r="VRC101" s="953"/>
      <c r="VRD101" s="953"/>
      <c r="VRE101" s="953"/>
      <c r="VRF101" s="953"/>
      <c r="VRG101" s="953"/>
      <c r="VRH101" s="953"/>
      <c r="VRI101" s="953"/>
      <c r="VRJ101" s="953"/>
      <c r="VRK101" s="953"/>
      <c r="VRL101" s="953"/>
      <c r="VRM101" s="953"/>
      <c r="VRN101" s="953"/>
      <c r="VRO101" s="953"/>
      <c r="VRP101" s="953"/>
      <c r="VRQ101" s="953"/>
      <c r="VRR101" s="953"/>
      <c r="VRS101" s="953"/>
      <c r="VRT101" s="953"/>
      <c r="VRU101" s="953"/>
      <c r="VRV101" s="953"/>
      <c r="VRW101" s="953"/>
      <c r="VRX101" s="953"/>
      <c r="VRY101" s="953"/>
      <c r="VRZ101" s="953"/>
      <c r="VSA101" s="953"/>
      <c r="VSB101" s="953"/>
      <c r="VSC101" s="953"/>
      <c r="VSD101" s="953"/>
      <c r="VSE101" s="953"/>
      <c r="VSF101" s="953"/>
      <c r="VSG101" s="953"/>
      <c r="VSH101" s="953"/>
      <c r="VSI101" s="953"/>
      <c r="VSJ101" s="953"/>
      <c r="VSK101" s="953"/>
      <c r="VSL101" s="953"/>
      <c r="VSM101" s="953"/>
      <c r="VSN101" s="953"/>
      <c r="VSO101" s="953"/>
      <c r="VSP101" s="953"/>
      <c r="VSQ101" s="953"/>
      <c r="VSR101" s="953"/>
      <c r="VSS101" s="953"/>
      <c r="VST101" s="953"/>
      <c r="VSU101" s="953"/>
      <c r="VSV101" s="953"/>
      <c r="VSW101" s="953"/>
      <c r="VSX101" s="953"/>
      <c r="VSY101" s="953"/>
      <c r="VSZ101" s="953"/>
      <c r="VTA101" s="953"/>
      <c r="VTB101" s="953"/>
      <c r="VTC101" s="953"/>
      <c r="VTD101" s="953"/>
      <c r="VTE101" s="953"/>
      <c r="VTF101" s="953"/>
      <c r="VTG101" s="953"/>
      <c r="VTH101" s="953"/>
      <c r="VTI101" s="953"/>
      <c r="VTJ101" s="953"/>
      <c r="VTK101" s="953"/>
      <c r="VTL101" s="953"/>
      <c r="VTM101" s="953"/>
      <c r="VTN101" s="953"/>
      <c r="VTO101" s="953"/>
      <c r="VTP101" s="953"/>
      <c r="VTQ101" s="953"/>
      <c r="VTR101" s="953"/>
      <c r="VTS101" s="953"/>
      <c r="VTT101" s="953"/>
      <c r="VTU101" s="953"/>
      <c r="VTV101" s="953"/>
      <c r="VTW101" s="953"/>
      <c r="VTX101" s="953"/>
      <c r="VTY101" s="953"/>
      <c r="VTZ101" s="953"/>
      <c r="VUA101" s="953"/>
      <c r="VUB101" s="953"/>
      <c r="VUC101" s="953"/>
      <c r="VUD101" s="953"/>
      <c r="VUE101" s="953"/>
      <c r="VUF101" s="953"/>
      <c r="VUG101" s="953"/>
      <c r="VUH101" s="953"/>
      <c r="VUI101" s="953"/>
      <c r="VUJ101" s="953"/>
      <c r="VUK101" s="953"/>
      <c r="VUL101" s="953"/>
      <c r="VUM101" s="953"/>
      <c r="VUN101" s="953"/>
      <c r="VUO101" s="953"/>
      <c r="VUP101" s="953"/>
      <c r="VUQ101" s="953"/>
      <c r="VUR101" s="953"/>
      <c r="VUS101" s="953"/>
      <c r="VUT101" s="953"/>
      <c r="VUU101" s="953"/>
      <c r="VUV101" s="953"/>
      <c r="VUW101" s="953"/>
      <c r="VUX101" s="953"/>
      <c r="VUY101" s="953"/>
      <c r="VUZ101" s="953"/>
      <c r="VVA101" s="953"/>
      <c r="VVB101" s="953"/>
      <c r="VVC101" s="953"/>
      <c r="VVD101" s="953"/>
      <c r="VVE101" s="953"/>
      <c r="VVF101" s="953"/>
      <c r="VVG101" s="953"/>
      <c r="VVH101" s="953"/>
      <c r="VVI101" s="953"/>
      <c r="VVJ101" s="953"/>
      <c r="VVK101" s="953"/>
      <c r="VVL101" s="953"/>
      <c r="VVM101" s="953"/>
      <c r="VVN101" s="953"/>
      <c r="VVO101" s="953"/>
      <c r="VVP101" s="953"/>
      <c r="VVQ101" s="953"/>
      <c r="VVR101" s="953"/>
      <c r="VVS101" s="953"/>
      <c r="VVT101" s="953"/>
      <c r="VVU101" s="953"/>
      <c r="VVV101" s="953"/>
      <c r="VVW101" s="953"/>
      <c r="VVX101" s="953"/>
      <c r="VVY101" s="953"/>
      <c r="VVZ101" s="953"/>
      <c r="VWA101" s="953"/>
      <c r="VWB101" s="953"/>
      <c r="VWC101" s="953"/>
      <c r="VWD101" s="953"/>
      <c r="VWE101" s="953"/>
      <c r="VWF101" s="953"/>
      <c r="VWG101" s="953"/>
      <c r="VWH101" s="953"/>
      <c r="VWI101" s="953"/>
      <c r="VWJ101" s="953"/>
      <c r="VWK101" s="953"/>
      <c r="VWL101" s="953"/>
      <c r="VWM101" s="953"/>
      <c r="VWN101" s="953"/>
      <c r="VWO101" s="953"/>
      <c r="VWP101" s="953"/>
      <c r="VWQ101" s="953"/>
      <c r="VWR101" s="953"/>
      <c r="VWS101" s="953"/>
      <c r="VWT101" s="953"/>
      <c r="VWU101" s="953"/>
      <c r="VWV101" s="953"/>
      <c r="VWW101" s="953"/>
      <c r="VWX101" s="953"/>
      <c r="VWY101" s="953"/>
      <c r="VWZ101" s="953"/>
      <c r="VXA101" s="953"/>
      <c r="VXB101" s="953"/>
      <c r="VXC101" s="953"/>
      <c r="VXD101" s="953"/>
      <c r="VXE101" s="953"/>
      <c r="VXF101" s="953"/>
      <c r="VXG101" s="953"/>
      <c r="VXH101" s="953"/>
      <c r="VXI101" s="953"/>
      <c r="VXJ101" s="953"/>
      <c r="VXK101" s="953"/>
      <c r="VXL101" s="953"/>
      <c r="VXM101" s="953"/>
      <c r="VXN101" s="953"/>
      <c r="VXO101" s="953"/>
      <c r="VXP101" s="953"/>
      <c r="VXQ101" s="953"/>
      <c r="VXR101" s="953"/>
      <c r="VXS101" s="953"/>
      <c r="VXT101" s="953"/>
      <c r="VXU101" s="953"/>
      <c r="VXV101" s="953"/>
      <c r="VXW101" s="953"/>
      <c r="VXX101" s="953"/>
      <c r="VXY101" s="953"/>
      <c r="VXZ101" s="953"/>
      <c r="VYA101" s="953"/>
      <c r="VYB101" s="953"/>
      <c r="VYC101" s="953"/>
      <c r="VYD101" s="953"/>
      <c r="VYE101" s="953"/>
      <c r="VYF101" s="953"/>
      <c r="VYG101" s="953"/>
      <c r="VYH101" s="953"/>
      <c r="VYI101" s="953"/>
      <c r="VYJ101" s="953"/>
      <c r="VYK101" s="953"/>
      <c r="VYL101" s="953"/>
      <c r="VYM101" s="953"/>
      <c r="VYN101" s="953"/>
      <c r="VYO101" s="953"/>
      <c r="VYP101" s="953"/>
      <c r="VYQ101" s="953"/>
      <c r="VYR101" s="953"/>
      <c r="VYS101" s="953"/>
      <c r="VYT101" s="953"/>
      <c r="VYU101" s="953"/>
      <c r="VYV101" s="953"/>
      <c r="VYW101" s="953"/>
      <c r="VYX101" s="953"/>
      <c r="VYY101" s="953"/>
      <c r="VYZ101" s="953"/>
      <c r="VZA101" s="953"/>
      <c r="VZB101" s="953"/>
      <c r="VZC101" s="953"/>
      <c r="VZD101" s="953"/>
      <c r="VZE101" s="953"/>
      <c r="VZF101" s="953"/>
      <c r="VZG101" s="953"/>
      <c r="VZH101" s="953"/>
      <c r="VZI101" s="953"/>
      <c r="VZJ101" s="953"/>
      <c r="VZK101" s="953"/>
      <c r="VZL101" s="953"/>
      <c r="VZM101" s="953"/>
      <c r="VZN101" s="953"/>
      <c r="VZO101" s="953"/>
      <c r="VZP101" s="953"/>
      <c r="VZQ101" s="953"/>
      <c r="VZR101" s="953"/>
      <c r="VZS101" s="953"/>
      <c r="VZT101" s="953"/>
      <c r="VZU101" s="953"/>
      <c r="VZV101" s="953"/>
      <c r="VZW101" s="953"/>
      <c r="VZX101" s="953"/>
      <c r="VZY101" s="953"/>
      <c r="VZZ101" s="953"/>
      <c r="WAA101" s="953"/>
      <c r="WAB101" s="953"/>
      <c r="WAC101" s="953"/>
      <c r="WAD101" s="953"/>
      <c r="WAE101" s="953"/>
      <c r="WAF101" s="953"/>
      <c r="WAG101" s="953"/>
      <c r="WAH101" s="953"/>
      <c r="WAI101" s="953"/>
      <c r="WAJ101" s="953"/>
      <c r="WAK101" s="953"/>
      <c r="WAL101" s="953"/>
      <c r="WAM101" s="953"/>
      <c r="WAN101" s="953"/>
      <c r="WAO101" s="953"/>
      <c r="WAP101" s="953"/>
      <c r="WAQ101" s="953"/>
      <c r="WAR101" s="953"/>
      <c r="WAS101" s="953"/>
      <c r="WAT101" s="953"/>
      <c r="WAU101" s="953"/>
      <c r="WAV101" s="953"/>
      <c r="WAW101" s="953"/>
      <c r="WAX101" s="953"/>
      <c r="WAY101" s="953"/>
      <c r="WAZ101" s="953"/>
      <c r="WBA101" s="953"/>
      <c r="WBB101" s="953"/>
      <c r="WBC101" s="953"/>
      <c r="WBD101" s="953"/>
      <c r="WBE101" s="953"/>
      <c r="WBF101" s="953"/>
      <c r="WBG101" s="953"/>
      <c r="WBH101" s="953"/>
      <c r="WBI101" s="953"/>
      <c r="WBJ101" s="953"/>
      <c r="WBK101" s="953"/>
      <c r="WBL101" s="953"/>
      <c r="WBM101" s="953"/>
      <c r="WBN101" s="953"/>
      <c r="WBO101" s="953"/>
      <c r="WBP101" s="953"/>
      <c r="WBQ101" s="953"/>
      <c r="WBR101" s="953"/>
      <c r="WBS101" s="953"/>
      <c r="WBT101" s="953"/>
      <c r="WBU101" s="953"/>
      <c r="WBV101" s="953"/>
      <c r="WBW101" s="953"/>
      <c r="WBX101" s="953"/>
      <c r="WBY101" s="953"/>
      <c r="WBZ101" s="953"/>
      <c r="WCA101" s="953"/>
      <c r="WCB101" s="953"/>
      <c r="WCC101" s="953"/>
      <c r="WCD101" s="953"/>
      <c r="WCE101" s="953"/>
      <c r="WCF101" s="953"/>
      <c r="WCG101" s="953"/>
      <c r="WCH101" s="953"/>
      <c r="WCI101" s="953"/>
      <c r="WCJ101" s="953"/>
      <c r="WCK101" s="953"/>
      <c r="WCL101" s="953"/>
      <c r="WCM101" s="953"/>
      <c r="WCN101" s="953"/>
      <c r="WCO101" s="953"/>
      <c r="WCP101" s="953"/>
      <c r="WCQ101" s="953"/>
      <c r="WCR101" s="953"/>
      <c r="WCS101" s="953"/>
      <c r="WCT101" s="953"/>
      <c r="WCU101" s="953"/>
      <c r="WCV101" s="953"/>
      <c r="WCW101" s="953"/>
      <c r="WCX101" s="953"/>
      <c r="WCY101" s="953"/>
      <c r="WCZ101" s="953"/>
      <c r="WDA101" s="953"/>
      <c r="WDB101" s="953"/>
      <c r="WDC101" s="953"/>
      <c r="WDD101" s="953"/>
      <c r="WDE101" s="953"/>
      <c r="WDF101" s="953"/>
      <c r="WDG101" s="953"/>
      <c r="WDH101" s="953"/>
      <c r="WDI101" s="953"/>
      <c r="WDJ101" s="953"/>
      <c r="WDK101" s="953"/>
      <c r="WDL101" s="953"/>
      <c r="WDM101" s="953"/>
      <c r="WDN101" s="953"/>
      <c r="WDO101" s="953"/>
      <c r="WDP101" s="953"/>
      <c r="WDQ101" s="953"/>
      <c r="WDR101" s="953"/>
      <c r="WDS101" s="953"/>
      <c r="WDT101" s="953"/>
      <c r="WDU101" s="953"/>
      <c r="WDV101" s="953"/>
      <c r="WDW101" s="953"/>
      <c r="WDX101" s="953"/>
      <c r="WDY101" s="953"/>
      <c r="WDZ101" s="953"/>
      <c r="WEA101" s="953"/>
      <c r="WEB101" s="953"/>
      <c r="WEC101" s="953"/>
      <c r="WED101" s="953"/>
      <c r="WEE101" s="953"/>
      <c r="WEF101" s="953"/>
      <c r="WEG101" s="953"/>
      <c r="WEH101" s="953"/>
      <c r="WEI101" s="953"/>
      <c r="WEJ101" s="953"/>
      <c r="WEK101" s="953"/>
      <c r="WEL101" s="953"/>
      <c r="WEM101" s="953"/>
      <c r="WEN101" s="953"/>
      <c r="WEO101" s="953"/>
      <c r="WEP101" s="953"/>
      <c r="WEQ101" s="953"/>
      <c r="WER101" s="953"/>
      <c r="WES101" s="953"/>
      <c r="WET101" s="953"/>
      <c r="WEU101" s="953"/>
      <c r="WEV101" s="953"/>
      <c r="WEW101" s="953"/>
      <c r="WEX101" s="953"/>
      <c r="WEY101" s="953"/>
      <c r="WEZ101" s="953"/>
      <c r="WFA101" s="953"/>
      <c r="WFB101" s="953"/>
      <c r="WFC101" s="953"/>
      <c r="WFD101" s="953"/>
      <c r="WFE101" s="953"/>
      <c r="WFF101" s="953"/>
      <c r="WFG101" s="953"/>
      <c r="WFH101" s="953"/>
      <c r="WFI101" s="953"/>
      <c r="WFJ101" s="953"/>
      <c r="WFK101" s="953"/>
      <c r="WFL101" s="953"/>
      <c r="WFM101" s="953"/>
      <c r="WFN101" s="953"/>
      <c r="WFO101" s="953"/>
      <c r="WFP101" s="953"/>
      <c r="WFQ101" s="953"/>
      <c r="WFR101" s="953"/>
      <c r="WFS101" s="953"/>
      <c r="WFT101" s="953"/>
      <c r="WFU101" s="953"/>
      <c r="WFV101" s="953"/>
      <c r="WFW101" s="953"/>
      <c r="WFX101" s="953"/>
      <c r="WFY101" s="953"/>
      <c r="WFZ101" s="953"/>
      <c r="WGA101" s="953"/>
      <c r="WGB101" s="953"/>
      <c r="WGC101" s="953"/>
      <c r="WGD101" s="953"/>
      <c r="WGE101" s="953"/>
      <c r="WGF101" s="953"/>
      <c r="WGG101" s="953"/>
      <c r="WGH101" s="953"/>
      <c r="WGI101" s="953"/>
      <c r="WGJ101" s="953"/>
      <c r="WGK101" s="953"/>
      <c r="WGL101" s="953"/>
      <c r="WGM101" s="953"/>
      <c r="WGN101" s="953"/>
      <c r="WGO101" s="953"/>
      <c r="WGP101" s="953"/>
      <c r="WGQ101" s="953"/>
      <c r="WGR101" s="953"/>
      <c r="WGS101" s="953"/>
      <c r="WGT101" s="953"/>
      <c r="WGU101" s="953"/>
      <c r="WGV101" s="953"/>
      <c r="WGW101" s="953"/>
      <c r="WGX101" s="953"/>
      <c r="WGY101" s="953"/>
      <c r="WGZ101" s="953"/>
      <c r="WHA101" s="953"/>
      <c r="WHB101" s="953"/>
      <c r="WHC101" s="953"/>
      <c r="WHD101" s="953"/>
      <c r="WHE101" s="953"/>
      <c r="WHF101" s="953"/>
      <c r="WHG101" s="953"/>
      <c r="WHH101" s="953"/>
      <c r="WHI101" s="953"/>
      <c r="WHJ101" s="953"/>
      <c r="WHK101" s="953"/>
      <c r="WHL101" s="953"/>
      <c r="WHM101" s="953"/>
      <c r="WHN101" s="953"/>
      <c r="WHO101" s="953"/>
      <c r="WHP101" s="953"/>
      <c r="WHQ101" s="953"/>
      <c r="WHR101" s="953"/>
      <c r="WHS101" s="953"/>
      <c r="WHT101" s="953"/>
      <c r="WHU101" s="953"/>
      <c r="WHV101" s="953"/>
      <c r="WHW101" s="953"/>
      <c r="WHX101" s="953"/>
      <c r="WHY101" s="953"/>
      <c r="WHZ101" s="953"/>
      <c r="WIA101" s="953"/>
      <c r="WIB101" s="953"/>
      <c r="WIC101" s="953"/>
      <c r="WID101" s="953"/>
      <c r="WIE101" s="953"/>
      <c r="WIF101" s="953"/>
      <c r="WIG101" s="953"/>
      <c r="WIH101" s="953"/>
      <c r="WII101" s="953"/>
      <c r="WIJ101" s="953"/>
      <c r="WIK101" s="953"/>
      <c r="WIL101" s="953"/>
      <c r="WIM101" s="953"/>
      <c r="WIN101" s="953"/>
      <c r="WIO101" s="953"/>
      <c r="WIP101" s="953"/>
      <c r="WIQ101" s="953"/>
      <c r="WIR101" s="953"/>
      <c r="WIS101" s="953"/>
      <c r="WIT101" s="953"/>
      <c r="WIU101" s="953"/>
      <c r="WIV101" s="953"/>
      <c r="WIW101" s="953"/>
      <c r="WIX101" s="953"/>
      <c r="WIY101" s="953"/>
      <c r="WIZ101" s="953"/>
      <c r="WJA101" s="953"/>
      <c r="WJB101" s="953"/>
      <c r="WJC101" s="953"/>
      <c r="WJD101" s="953"/>
      <c r="WJE101" s="953"/>
      <c r="WJF101" s="953"/>
      <c r="WJG101" s="953"/>
      <c r="WJH101" s="953"/>
      <c r="WJI101" s="953"/>
      <c r="WJJ101" s="953"/>
      <c r="WJK101" s="953"/>
      <c r="WJL101" s="953"/>
      <c r="WJM101" s="953"/>
      <c r="WJN101" s="953"/>
      <c r="WJO101" s="953"/>
      <c r="WJP101" s="953"/>
      <c r="WJQ101" s="953"/>
      <c r="WJR101" s="953"/>
      <c r="WJS101" s="953"/>
      <c r="WJT101" s="953"/>
      <c r="WJU101" s="953"/>
      <c r="WJV101" s="953"/>
      <c r="WJW101" s="953"/>
      <c r="WJX101" s="953"/>
      <c r="WJY101" s="953"/>
      <c r="WJZ101" s="953"/>
      <c r="WKA101" s="953"/>
      <c r="WKB101" s="953"/>
      <c r="WKC101" s="953"/>
      <c r="WKD101" s="953"/>
      <c r="WKE101" s="953"/>
      <c r="WKF101" s="953"/>
      <c r="WKG101" s="953"/>
      <c r="WKH101" s="953"/>
      <c r="WKI101" s="953"/>
      <c r="WKJ101" s="953"/>
      <c r="WKK101" s="953"/>
      <c r="WKL101" s="953"/>
      <c r="WKM101" s="953"/>
      <c r="WKN101" s="953"/>
      <c r="WKO101" s="953"/>
      <c r="WKP101" s="953"/>
      <c r="WKQ101" s="953"/>
      <c r="WKR101" s="953"/>
      <c r="WKS101" s="953"/>
      <c r="WKT101" s="953"/>
      <c r="WKU101" s="953"/>
      <c r="WKV101" s="953"/>
      <c r="WKW101" s="953"/>
      <c r="WKX101" s="953"/>
      <c r="WKY101" s="953"/>
      <c r="WKZ101" s="953"/>
      <c r="WLA101" s="953"/>
      <c r="WLB101" s="953"/>
      <c r="WLC101" s="953"/>
      <c r="WLD101" s="953"/>
      <c r="WLE101" s="953"/>
      <c r="WLF101" s="953"/>
      <c r="WLG101" s="953"/>
      <c r="WLH101" s="953"/>
      <c r="WLI101" s="953"/>
      <c r="WLJ101" s="953"/>
      <c r="WLK101" s="953"/>
      <c r="WLL101" s="953"/>
      <c r="WLM101" s="953"/>
      <c r="WLN101" s="953"/>
      <c r="WLO101" s="953"/>
      <c r="WLP101" s="953"/>
      <c r="WLQ101" s="953"/>
      <c r="WLR101" s="953"/>
      <c r="WLS101" s="953"/>
      <c r="WLT101" s="953"/>
      <c r="WLU101" s="953"/>
      <c r="WLV101" s="953"/>
      <c r="WLW101" s="953"/>
      <c r="WLX101" s="953"/>
      <c r="WLY101" s="953"/>
      <c r="WLZ101" s="953"/>
      <c r="WMA101" s="953"/>
      <c r="WMB101" s="953"/>
      <c r="WMC101" s="953"/>
      <c r="WMD101" s="953"/>
      <c r="WME101" s="953"/>
      <c r="WMF101" s="953"/>
      <c r="WMG101" s="953"/>
      <c r="WMH101" s="953"/>
      <c r="WMI101" s="953"/>
      <c r="WMJ101" s="953"/>
      <c r="WMK101" s="953"/>
      <c r="WML101" s="953"/>
      <c r="WMM101" s="953"/>
      <c r="WMN101" s="953"/>
      <c r="WMO101" s="953"/>
      <c r="WMP101" s="953"/>
      <c r="WMQ101" s="953"/>
      <c r="WMR101" s="953"/>
      <c r="WMS101" s="953"/>
      <c r="WMT101" s="953"/>
      <c r="WMU101" s="953"/>
      <c r="WMV101" s="953"/>
      <c r="WMW101" s="953"/>
      <c r="WMX101" s="953"/>
      <c r="WMY101" s="953"/>
      <c r="WMZ101" s="953"/>
      <c r="WNA101" s="953"/>
      <c r="WNB101" s="953"/>
      <c r="WNC101" s="953"/>
      <c r="WND101" s="953"/>
      <c r="WNE101" s="953"/>
      <c r="WNF101" s="953"/>
      <c r="WNG101" s="953"/>
      <c r="WNH101" s="953"/>
      <c r="WNI101" s="953"/>
      <c r="WNJ101" s="953"/>
      <c r="WNK101" s="953"/>
      <c r="WNL101" s="953"/>
      <c r="WNM101" s="953"/>
      <c r="WNN101" s="953"/>
      <c r="WNO101" s="953"/>
      <c r="WNP101" s="953"/>
      <c r="WNQ101" s="953"/>
      <c r="WNR101" s="953"/>
      <c r="WNS101" s="953"/>
      <c r="WNT101" s="953"/>
      <c r="WNU101" s="953"/>
      <c r="WNV101" s="953"/>
      <c r="WNW101" s="953"/>
      <c r="WNX101" s="953"/>
      <c r="WNY101" s="953"/>
      <c r="WNZ101" s="953"/>
      <c r="WOA101" s="953"/>
      <c r="WOB101" s="953"/>
      <c r="WOC101" s="953"/>
      <c r="WOD101" s="953"/>
      <c r="WOE101" s="953"/>
      <c r="WOF101" s="953"/>
      <c r="WOG101" s="953"/>
      <c r="WOH101" s="953"/>
      <c r="WOI101" s="953"/>
      <c r="WOJ101" s="953"/>
      <c r="WOK101" s="953"/>
      <c r="WOL101" s="953"/>
      <c r="WOM101" s="953"/>
      <c r="WON101" s="953"/>
      <c r="WOO101" s="953"/>
      <c r="WOP101" s="953"/>
      <c r="WOQ101" s="953"/>
      <c r="WOR101" s="953"/>
      <c r="WOS101" s="953"/>
      <c r="WOT101" s="953"/>
      <c r="WOU101" s="953"/>
      <c r="WOV101" s="953"/>
      <c r="WOW101" s="953"/>
      <c r="WOX101" s="953"/>
      <c r="WOY101" s="953"/>
      <c r="WOZ101" s="953"/>
      <c r="WPA101" s="953"/>
      <c r="WPB101" s="953"/>
      <c r="WPC101" s="953"/>
      <c r="WPD101" s="953"/>
      <c r="WPE101" s="953"/>
      <c r="WPF101" s="953"/>
      <c r="WPG101" s="953"/>
      <c r="WPH101" s="953"/>
      <c r="WPI101" s="953"/>
      <c r="WPJ101" s="953"/>
      <c r="WPK101" s="953"/>
      <c r="WPL101" s="953"/>
      <c r="WPM101" s="953"/>
      <c r="WPN101" s="953"/>
      <c r="WPO101" s="953"/>
      <c r="WPP101" s="953"/>
      <c r="WPQ101" s="953"/>
      <c r="WPR101" s="953"/>
      <c r="WPS101" s="953"/>
      <c r="WPT101" s="953"/>
      <c r="WPU101" s="953"/>
      <c r="WPV101" s="953"/>
      <c r="WPW101" s="953"/>
      <c r="WPX101" s="953"/>
      <c r="WPY101" s="953"/>
      <c r="WPZ101" s="953"/>
      <c r="WQA101" s="953"/>
      <c r="WQB101" s="953"/>
      <c r="WQC101" s="953"/>
      <c r="WQD101" s="953"/>
      <c r="WQE101" s="953"/>
      <c r="WQF101" s="953"/>
      <c r="WQG101" s="953"/>
      <c r="WQH101" s="953"/>
      <c r="WQI101" s="953"/>
      <c r="WQJ101" s="953"/>
      <c r="WQK101" s="953"/>
      <c r="WQL101" s="953"/>
      <c r="WQM101" s="953"/>
      <c r="WQN101" s="953"/>
      <c r="WQO101" s="953"/>
      <c r="WQP101" s="953"/>
      <c r="WQQ101" s="953"/>
      <c r="WQR101" s="953"/>
      <c r="WQS101" s="953"/>
      <c r="WQT101" s="953"/>
      <c r="WQU101" s="953"/>
      <c r="WQV101" s="953"/>
      <c r="WQW101" s="953"/>
      <c r="WQX101" s="953"/>
      <c r="WQY101" s="953"/>
      <c r="WQZ101" s="953"/>
      <c r="WRA101" s="953"/>
      <c r="WRB101" s="953"/>
      <c r="WRC101" s="953"/>
      <c r="WRD101" s="953"/>
      <c r="WRE101" s="953"/>
      <c r="WRF101" s="953"/>
      <c r="WRG101" s="953"/>
      <c r="WRH101" s="953"/>
      <c r="WRI101" s="953"/>
      <c r="WRJ101" s="953"/>
      <c r="WRK101" s="953"/>
      <c r="WRL101" s="953"/>
      <c r="WRM101" s="953"/>
      <c r="WRN101" s="953"/>
      <c r="WRO101" s="953"/>
      <c r="WRP101" s="953"/>
      <c r="WRQ101" s="953"/>
      <c r="WRR101" s="953"/>
      <c r="WRS101" s="953"/>
      <c r="WRT101" s="953"/>
      <c r="WRU101" s="953"/>
      <c r="WRV101" s="953"/>
      <c r="WRW101" s="953"/>
      <c r="WRX101" s="953"/>
      <c r="WRY101" s="953"/>
      <c r="WRZ101" s="953"/>
      <c r="WSA101" s="953"/>
      <c r="WSB101" s="953"/>
      <c r="WSC101" s="953"/>
      <c r="WSD101" s="953"/>
      <c r="WSE101" s="953"/>
      <c r="WSF101" s="953"/>
      <c r="WSG101" s="953"/>
      <c r="WSH101" s="953"/>
      <c r="WSI101" s="953"/>
      <c r="WSJ101" s="953"/>
      <c r="WSK101" s="953"/>
      <c r="WSL101" s="953"/>
      <c r="WSM101" s="953"/>
      <c r="WSN101" s="953"/>
      <c r="WSO101" s="953"/>
      <c r="WSP101" s="953"/>
      <c r="WSQ101" s="953"/>
      <c r="WSR101" s="953"/>
      <c r="WSS101" s="953"/>
      <c r="WST101" s="953"/>
      <c r="WSU101" s="953"/>
      <c r="WSV101" s="953"/>
      <c r="WSW101" s="953"/>
      <c r="WSX101" s="953"/>
      <c r="WSY101" s="953"/>
      <c r="WSZ101" s="953"/>
      <c r="WTA101" s="953"/>
      <c r="WTB101" s="953"/>
      <c r="WTC101" s="953"/>
      <c r="WTD101" s="953"/>
      <c r="WTE101" s="953"/>
      <c r="WTF101" s="953"/>
      <c r="WTG101" s="953"/>
      <c r="WTH101" s="953"/>
      <c r="WTI101" s="953"/>
      <c r="WTJ101" s="953"/>
      <c r="WTK101" s="953"/>
      <c r="WTL101" s="953"/>
      <c r="WTM101" s="953"/>
      <c r="WTN101" s="953"/>
      <c r="WTO101" s="953"/>
      <c r="WTP101" s="953"/>
      <c r="WTQ101" s="953"/>
      <c r="WTR101" s="953"/>
      <c r="WTS101" s="953"/>
      <c r="WTT101" s="953"/>
      <c r="WTU101" s="953"/>
      <c r="WTV101" s="953"/>
      <c r="WTW101" s="953"/>
      <c r="WTX101" s="953"/>
      <c r="WTY101" s="953"/>
      <c r="WTZ101" s="953"/>
      <c r="WUA101" s="953"/>
      <c r="WUB101" s="953"/>
      <c r="WUC101" s="953"/>
      <c r="WUD101" s="953"/>
      <c r="WUE101" s="953"/>
      <c r="WUF101" s="953"/>
      <c r="WUG101" s="953"/>
      <c r="WUH101" s="953"/>
      <c r="WUI101" s="953"/>
      <c r="WUJ101" s="953"/>
      <c r="WUK101" s="953"/>
      <c r="WUL101" s="953"/>
      <c r="WUM101" s="953"/>
      <c r="WUN101" s="953"/>
      <c r="WUO101" s="953"/>
      <c r="WUP101" s="953"/>
      <c r="WUQ101" s="953"/>
      <c r="WUR101" s="953"/>
      <c r="WUS101" s="953"/>
      <c r="WUT101" s="953"/>
      <c r="WUU101" s="953"/>
      <c r="WUV101" s="953"/>
      <c r="WUW101" s="953"/>
      <c r="WUX101" s="953"/>
      <c r="WUY101" s="953"/>
      <c r="WUZ101" s="953"/>
      <c r="WVA101" s="953"/>
      <c r="WVB101" s="953"/>
      <c r="WVC101" s="953"/>
      <c r="WVD101" s="953"/>
      <c r="WVE101" s="953"/>
      <c r="WVF101" s="953"/>
      <c r="WVG101" s="953"/>
      <c r="WVH101" s="953"/>
      <c r="WVI101" s="953"/>
      <c r="WVJ101" s="953"/>
      <c r="WVK101" s="953"/>
      <c r="WVL101" s="953"/>
      <c r="WVM101" s="953"/>
      <c r="WVN101" s="953"/>
      <c r="WVO101" s="953"/>
      <c r="WVP101" s="953"/>
      <c r="WVQ101" s="953"/>
      <c r="WVR101" s="953"/>
      <c r="WVS101" s="953"/>
      <c r="WVT101" s="953"/>
      <c r="WVU101" s="953"/>
      <c r="WVV101" s="953"/>
      <c r="WVW101" s="953"/>
      <c r="WVX101" s="953"/>
      <c r="WVY101" s="953"/>
      <c r="WVZ101" s="953"/>
      <c r="WWA101" s="953"/>
      <c r="WWB101" s="953"/>
      <c r="WWC101" s="953"/>
      <c r="WWD101" s="953"/>
      <c r="WWE101" s="953"/>
      <c r="WWF101" s="953"/>
      <c r="WWG101" s="953"/>
      <c r="WWH101" s="953"/>
      <c r="WWI101" s="953"/>
      <c r="WWJ101" s="953"/>
      <c r="WWK101" s="953"/>
      <c r="WWL101" s="953"/>
      <c r="WWM101" s="953"/>
      <c r="WWN101" s="953"/>
      <c r="WWO101" s="953"/>
      <c r="WWP101" s="953"/>
      <c r="WWQ101" s="953"/>
      <c r="WWR101" s="953"/>
      <c r="WWS101" s="953"/>
      <c r="WWT101" s="953"/>
      <c r="WWU101" s="953"/>
      <c r="WWV101" s="953"/>
      <c r="WWW101" s="953"/>
      <c r="WWX101" s="953"/>
      <c r="WWY101" s="953"/>
      <c r="WWZ101" s="953"/>
      <c r="WXA101" s="953"/>
      <c r="WXB101" s="953"/>
      <c r="WXC101" s="953"/>
      <c r="WXD101" s="953"/>
      <c r="WXE101" s="953"/>
      <c r="WXF101" s="953"/>
      <c r="WXG101" s="953"/>
      <c r="WXH101" s="953"/>
      <c r="WXI101" s="953"/>
      <c r="WXJ101" s="953"/>
      <c r="WXK101" s="953"/>
      <c r="WXL101" s="953"/>
      <c r="WXM101" s="953"/>
      <c r="WXN101" s="953"/>
      <c r="WXO101" s="953"/>
      <c r="WXP101" s="953"/>
      <c r="WXQ101" s="953"/>
      <c r="WXR101" s="953"/>
      <c r="WXS101" s="953"/>
      <c r="WXT101" s="953"/>
      <c r="WXU101" s="953"/>
      <c r="WXV101" s="953"/>
      <c r="WXW101" s="953"/>
      <c r="WXX101" s="953"/>
      <c r="WXY101" s="953"/>
      <c r="WXZ101" s="953"/>
      <c r="WYA101" s="953"/>
      <c r="WYB101" s="953"/>
      <c r="WYC101" s="953"/>
      <c r="WYD101" s="953"/>
      <c r="WYE101" s="953"/>
      <c r="WYF101" s="953"/>
      <c r="WYG101" s="953"/>
      <c r="WYH101" s="953"/>
      <c r="WYI101" s="953"/>
      <c r="WYJ101" s="953"/>
      <c r="WYK101" s="953"/>
      <c r="WYL101" s="953"/>
      <c r="WYM101" s="953"/>
      <c r="WYN101" s="953"/>
      <c r="WYO101" s="953"/>
      <c r="WYP101" s="953"/>
      <c r="WYQ101" s="953"/>
      <c r="WYR101" s="953"/>
      <c r="WYS101" s="953"/>
      <c r="WYT101" s="953"/>
      <c r="WYU101" s="953"/>
      <c r="WYV101" s="953"/>
      <c r="WYW101" s="953"/>
      <c r="WYX101" s="953"/>
      <c r="WYY101" s="953"/>
      <c r="WYZ101" s="953"/>
      <c r="WZA101" s="953"/>
      <c r="WZB101" s="953"/>
      <c r="WZC101" s="953"/>
      <c r="WZD101" s="953"/>
      <c r="WZE101" s="953"/>
      <c r="WZF101" s="953"/>
      <c r="WZG101" s="953"/>
      <c r="WZH101" s="953"/>
      <c r="WZI101" s="953"/>
      <c r="WZJ101" s="953"/>
      <c r="WZK101" s="953"/>
      <c r="WZL101" s="953"/>
      <c r="WZM101" s="953"/>
      <c r="WZN101" s="953"/>
      <c r="WZO101" s="953"/>
      <c r="WZP101" s="953"/>
      <c r="WZQ101" s="953"/>
      <c r="WZR101" s="953"/>
      <c r="WZS101" s="953"/>
      <c r="WZT101" s="953"/>
      <c r="WZU101" s="953"/>
      <c r="WZV101" s="953"/>
      <c r="WZW101" s="953"/>
      <c r="WZX101" s="953"/>
      <c r="WZY101" s="953"/>
      <c r="WZZ101" s="953"/>
      <c r="XAA101" s="953"/>
      <c r="XAB101" s="953"/>
      <c r="XAC101" s="953"/>
      <c r="XAD101" s="953"/>
      <c r="XAE101" s="953"/>
      <c r="XAF101" s="953"/>
      <c r="XAG101" s="953"/>
      <c r="XAH101" s="953"/>
      <c r="XAI101" s="953"/>
      <c r="XAJ101" s="953"/>
      <c r="XAK101" s="953"/>
      <c r="XAL101" s="953"/>
      <c r="XAM101" s="953"/>
      <c r="XAN101" s="953"/>
      <c r="XAO101" s="953"/>
      <c r="XAP101" s="953"/>
      <c r="XAQ101" s="953"/>
      <c r="XAR101" s="953"/>
      <c r="XAS101" s="953"/>
      <c r="XAT101" s="953"/>
      <c r="XAU101" s="953"/>
      <c r="XAV101" s="953"/>
      <c r="XAW101" s="953"/>
      <c r="XAX101" s="953"/>
      <c r="XAY101" s="953"/>
      <c r="XAZ101" s="953"/>
      <c r="XBA101" s="953"/>
      <c r="XBB101" s="953"/>
      <c r="XBC101" s="953"/>
      <c r="XBD101" s="953"/>
      <c r="XBE101" s="953"/>
      <c r="XBF101" s="953"/>
      <c r="XBG101" s="953"/>
      <c r="XBH101" s="953"/>
      <c r="XBI101" s="953"/>
      <c r="XBJ101" s="953"/>
      <c r="XBK101" s="953"/>
      <c r="XBL101" s="953"/>
      <c r="XBM101" s="953"/>
      <c r="XBN101" s="953"/>
      <c r="XBO101" s="953"/>
      <c r="XBP101" s="953"/>
      <c r="XBQ101" s="953"/>
      <c r="XBR101" s="953"/>
      <c r="XBS101" s="953"/>
      <c r="XBT101" s="953"/>
      <c r="XBU101" s="953"/>
      <c r="XBV101" s="953"/>
      <c r="XBW101" s="953"/>
      <c r="XBX101" s="953"/>
      <c r="XBY101" s="953"/>
      <c r="XBZ101" s="953"/>
      <c r="XCA101" s="953"/>
      <c r="XCB101" s="953"/>
      <c r="XCC101" s="953"/>
      <c r="XCD101" s="953"/>
      <c r="XCE101" s="953"/>
      <c r="XCF101" s="953"/>
      <c r="XCG101" s="953"/>
      <c r="XCH101" s="953"/>
      <c r="XCI101" s="953"/>
      <c r="XCJ101" s="953"/>
      <c r="XCK101" s="953"/>
      <c r="XCL101" s="953"/>
      <c r="XCM101" s="953"/>
      <c r="XCN101" s="953"/>
      <c r="XCO101" s="953"/>
      <c r="XCP101" s="953"/>
      <c r="XCQ101" s="953"/>
      <c r="XCR101" s="953"/>
      <c r="XCS101" s="953"/>
      <c r="XCT101" s="953"/>
      <c r="XCU101" s="953"/>
      <c r="XCV101" s="953"/>
      <c r="XCW101" s="953"/>
      <c r="XCX101" s="953"/>
      <c r="XCY101" s="953"/>
      <c r="XCZ101" s="953"/>
      <c r="XDA101" s="953"/>
      <c r="XDB101" s="953"/>
      <c r="XDC101" s="953"/>
      <c r="XDD101" s="953"/>
      <c r="XDE101" s="953"/>
      <c r="XDF101" s="953"/>
      <c r="XDG101" s="953"/>
      <c r="XDH101" s="953"/>
      <c r="XDI101" s="953"/>
      <c r="XDJ101" s="953"/>
      <c r="XDK101" s="953"/>
      <c r="XDL101" s="953"/>
      <c r="XDM101" s="953"/>
      <c r="XDN101" s="953"/>
      <c r="XDO101" s="953"/>
      <c r="XDP101" s="953"/>
      <c r="XDQ101" s="953"/>
      <c r="XDR101" s="953"/>
      <c r="XDS101" s="953"/>
      <c r="XDT101" s="953"/>
      <c r="XDU101" s="953"/>
      <c r="XDV101" s="953"/>
      <c r="XDW101" s="953"/>
      <c r="XDX101" s="953"/>
      <c r="XDY101" s="953"/>
      <c r="XDZ101" s="953"/>
      <c r="XEA101" s="953"/>
      <c r="XEB101" s="953"/>
      <c r="XEC101" s="953"/>
      <c r="XED101" s="953"/>
      <c r="XEE101" s="953"/>
      <c r="XEF101" s="953"/>
      <c r="XEG101" s="953"/>
      <c r="XEH101" s="953"/>
      <c r="XEI101" s="953"/>
      <c r="XEJ101" s="953"/>
      <c r="XEK101" s="953"/>
      <c r="XEL101" s="953"/>
      <c r="XEM101" s="953"/>
      <c r="XEN101" s="953"/>
      <c r="XEO101" s="953"/>
      <c r="XEP101" s="953"/>
      <c r="XEQ101" s="953"/>
      <c r="XER101" s="953"/>
      <c r="XES101" s="953"/>
      <c r="XET101" s="953"/>
      <c r="XEU101" s="953"/>
      <c r="XEV101" s="953"/>
      <c r="XEW101" s="953"/>
      <c r="XEX101" s="953"/>
      <c r="XEY101" s="953"/>
      <c r="XEZ101" s="953"/>
      <c r="XFA101" s="953"/>
      <c r="XFB101" s="953"/>
      <c r="XFC101" s="953"/>
      <c r="XFD101" s="953"/>
    </row>
    <row r="102" spans="1:16384" s="966" customFormat="1" x14ac:dyDescent="0.25">
      <c r="A102" s="884"/>
      <c r="B102" s="922"/>
      <c r="C102" s="922"/>
      <c r="D102" s="913" t="s">
        <v>106</v>
      </c>
      <c r="E102" s="913"/>
      <c r="F102" s="913"/>
      <c r="G102" s="913"/>
      <c r="H102" s="967">
        <f t="shared" ref="H102:W102" si="22">H101+H81</f>
        <v>1522016.02</v>
      </c>
      <c r="I102" s="967">
        <f t="shared" si="22"/>
        <v>2646539.6800000002</v>
      </c>
      <c r="J102" s="967">
        <f t="shared" si="22"/>
        <v>2607023.5811143843</v>
      </c>
      <c r="K102" s="967">
        <f t="shared" si="22"/>
        <v>2616141.9249593886</v>
      </c>
      <c r="L102" s="967">
        <f t="shared" si="22"/>
        <v>2608647.0815557358</v>
      </c>
      <c r="M102" s="967">
        <f t="shared" si="22"/>
        <v>3692027.4764396944</v>
      </c>
      <c r="N102" s="967">
        <f t="shared" si="22"/>
        <v>3874430.4043792514</v>
      </c>
      <c r="O102" s="967">
        <f t="shared" si="22"/>
        <v>3738367.5320452945</v>
      </c>
      <c r="P102" s="967">
        <f t="shared" si="22"/>
        <v>3746859.2204646897</v>
      </c>
      <c r="Q102" s="967">
        <f t="shared" si="22"/>
        <v>3611475.5125441495</v>
      </c>
      <c r="R102" s="967">
        <f t="shared" si="22"/>
        <v>3686568.5959384372</v>
      </c>
      <c r="S102" s="944">
        <f t="shared" si="22"/>
        <v>3777724.1605331381</v>
      </c>
      <c r="T102" s="944">
        <f t="shared" si="22"/>
        <v>3634138.6391822021</v>
      </c>
      <c r="U102" s="944">
        <f t="shared" si="22"/>
        <v>2858258.54</v>
      </c>
      <c r="V102" s="944">
        <f t="shared" si="22"/>
        <v>3878130.9000000004</v>
      </c>
      <c r="W102" s="944">
        <f t="shared" si="22"/>
        <v>3691949.65</v>
      </c>
      <c r="X102" s="944">
        <f>+X101+X81</f>
        <v>3800707.46</v>
      </c>
      <c r="Y102" s="944">
        <f>+Y101+Y81</f>
        <v>3800754.8800000004</v>
      </c>
      <c r="Z102" s="944">
        <f>+Z101+Z81</f>
        <v>3641259.47</v>
      </c>
      <c r="AA102" s="944">
        <f t="shared" ref="AA102:AJ102" si="23">AA101+AA81</f>
        <v>3909999.51</v>
      </c>
      <c r="AB102" s="944">
        <f t="shared" si="23"/>
        <v>4061678.6999999993</v>
      </c>
      <c r="AC102" s="944">
        <f t="shared" si="23"/>
        <v>3790389.0400000005</v>
      </c>
      <c r="AD102" s="944">
        <f t="shared" si="23"/>
        <v>4390515.9799999995</v>
      </c>
      <c r="AE102" s="944">
        <f t="shared" si="23"/>
        <v>4128858.64</v>
      </c>
      <c r="AF102" s="944">
        <f t="shared" si="23"/>
        <v>4057223.4099999997</v>
      </c>
      <c r="AG102" s="944">
        <f t="shared" si="23"/>
        <v>3365788.99</v>
      </c>
      <c r="AH102" s="944">
        <f t="shared" si="23"/>
        <v>3808452.8</v>
      </c>
      <c r="AI102" s="1240">
        <f t="shared" si="23"/>
        <v>3906726.4800000004</v>
      </c>
      <c r="AJ102" s="1240">
        <f t="shared" si="23"/>
        <v>4130685.38</v>
      </c>
      <c r="AK102" s="944"/>
      <c r="AL102" s="944"/>
      <c r="AM102" s="944"/>
      <c r="AN102" s="944"/>
      <c r="AO102" s="944"/>
      <c r="AP102" s="944"/>
      <c r="AQ102" s="944"/>
      <c r="AR102" s="944"/>
      <c r="AS102" s="944"/>
      <c r="AT102" s="944"/>
      <c r="AU102" s="944"/>
      <c r="AV102" s="944"/>
      <c r="AW102" s="944"/>
      <c r="AX102" s="944"/>
      <c r="AY102" s="944"/>
      <c r="AZ102" s="944"/>
      <c r="BA102" s="944"/>
      <c r="BB102" s="944"/>
      <c r="BC102" s="944"/>
      <c r="BD102" s="944"/>
      <c r="BE102" s="944"/>
      <c r="BF102" s="944"/>
      <c r="BG102" s="944"/>
      <c r="BH102" s="944"/>
      <c r="BI102" s="944"/>
      <c r="BJ102" s="944"/>
      <c r="BK102" s="944"/>
      <c r="BL102" s="944"/>
      <c r="BM102" s="944"/>
      <c r="BN102" s="944"/>
      <c r="BO102" s="944"/>
      <c r="BP102" s="944"/>
      <c r="BQ102" s="944"/>
      <c r="BR102" s="944"/>
      <c r="BS102" s="944"/>
      <c r="BT102" s="944"/>
      <c r="BU102" s="944"/>
      <c r="BV102" s="944"/>
      <c r="BW102" s="944"/>
      <c r="BX102" s="944"/>
      <c r="BY102" s="944"/>
      <c r="BZ102" s="944"/>
      <c r="CA102" s="944"/>
      <c r="CB102" s="944"/>
      <c r="CC102" s="944"/>
      <c r="CD102" s="952"/>
      <c r="CE102" s="952"/>
      <c r="CF102" s="952"/>
      <c r="CG102" s="952"/>
      <c r="CH102" s="952"/>
      <c r="CI102" s="952"/>
      <c r="CJ102" s="952"/>
      <c r="CK102" s="952"/>
      <c r="CL102" s="952"/>
      <c r="CM102" s="952"/>
      <c r="CN102" s="952"/>
      <c r="CO102" s="952"/>
      <c r="CP102" s="952"/>
      <c r="CQ102" s="952"/>
      <c r="CR102" s="952"/>
      <c r="CS102" s="952"/>
      <c r="CT102" s="952"/>
      <c r="CU102" s="952"/>
      <c r="CV102" s="952"/>
      <c r="CW102" s="952"/>
      <c r="CX102" s="952"/>
      <c r="CY102" s="952"/>
      <c r="CZ102" s="952"/>
      <c r="DA102" s="952"/>
      <c r="DB102" s="952"/>
      <c r="DC102" s="952"/>
      <c r="DD102" s="952"/>
      <c r="DE102" s="952"/>
      <c r="DF102" s="952"/>
      <c r="DG102" s="952"/>
      <c r="DH102" s="952"/>
      <c r="DI102" s="952"/>
      <c r="DJ102" s="952"/>
      <c r="DK102" s="952"/>
      <c r="DL102" s="952"/>
      <c r="DM102" s="952"/>
      <c r="DN102" s="952"/>
      <c r="DO102" s="952"/>
      <c r="DP102" s="952"/>
      <c r="DQ102" s="952"/>
      <c r="DR102" s="952"/>
      <c r="DS102" s="952"/>
      <c r="DT102" s="952"/>
      <c r="DU102" s="952"/>
      <c r="DV102" s="952"/>
      <c r="DW102" s="952"/>
      <c r="DX102" s="952"/>
      <c r="DY102" s="952"/>
      <c r="DZ102" s="952"/>
      <c r="EA102" s="952"/>
      <c r="EB102" s="952"/>
      <c r="EC102" s="952"/>
      <c r="ED102" s="952"/>
      <c r="EE102" s="952"/>
      <c r="EF102" s="952"/>
      <c r="EG102" s="952"/>
      <c r="EH102" s="952"/>
      <c r="EI102" s="952"/>
      <c r="EJ102" s="952"/>
      <c r="EK102" s="952"/>
      <c r="EL102" s="952"/>
      <c r="EM102" s="952"/>
      <c r="EN102" s="952"/>
      <c r="EO102" s="952"/>
      <c r="EP102" s="952"/>
      <c r="EQ102" s="952"/>
      <c r="ER102" s="952"/>
      <c r="ES102" s="952"/>
      <c r="ET102" s="952"/>
      <c r="EU102" s="952"/>
      <c r="EV102" s="952"/>
      <c r="EW102" s="952"/>
      <c r="EX102" s="952"/>
      <c r="EY102" s="952"/>
      <c r="EZ102" s="952"/>
      <c r="FA102" s="952"/>
      <c r="FB102" s="952"/>
      <c r="FC102" s="952"/>
      <c r="FD102" s="952"/>
      <c r="FE102" s="952"/>
      <c r="FF102" s="952"/>
      <c r="FG102" s="952"/>
      <c r="FH102" s="952"/>
      <c r="FI102" s="952"/>
      <c r="FJ102" s="952"/>
      <c r="FK102" s="952"/>
      <c r="FL102" s="952"/>
      <c r="FM102" s="952"/>
      <c r="FN102" s="952"/>
      <c r="FO102" s="952"/>
      <c r="FP102" s="952"/>
      <c r="FQ102" s="952"/>
      <c r="FR102" s="952"/>
      <c r="FS102" s="952"/>
      <c r="FT102" s="952"/>
      <c r="FU102" s="952"/>
      <c r="FV102" s="952"/>
      <c r="FW102" s="952"/>
      <c r="FX102" s="952"/>
      <c r="FY102" s="952"/>
      <c r="FZ102" s="952"/>
      <c r="GA102" s="952"/>
      <c r="GB102" s="952"/>
      <c r="GC102" s="952"/>
      <c r="GD102" s="952"/>
      <c r="GE102" s="952"/>
      <c r="GF102" s="952"/>
      <c r="GG102" s="952"/>
      <c r="GH102" s="952"/>
      <c r="GI102" s="952"/>
      <c r="GJ102" s="952"/>
      <c r="GK102" s="952"/>
      <c r="GL102" s="952"/>
      <c r="GM102" s="952"/>
      <c r="GN102" s="952"/>
      <c r="GO102" s="952"/>
      <c r="GP102" s="952"/>
      <c r="GQ102" s="952"/>
      <c r="GR102" s="952"/>
      <c r="GS102" s="952"/>
      <c r="GT102" s="952"/>
      <c r="GU102" s="952"/>
      <c r="GV102" s="952"/>
      <c r="GW102" s="952"/>
      <c r="GX102" s="952"/>
      <c r="GY102" s="952"/>
      <c r="GZ102" s="952"/>
      <c r="HA102" s="952"/>
      <c r="HB102" s="952"/>
      <c r="HC102" s="952"/>
      <c r="HD102" s="952"/>
      <c r="HE102" s="952"/>
      <c r="HF102" s="952"/>
      <c r="HG102" s="952"/>
      <c r="HH102" s="952"/>
      <c r="HI102" s="952"/>
      <c r="HJ102" s="952"/>
      <c r="HK102" s="952"/>
      <c r="HL102" s="952"/>
      <c r="HM102" s="952"/>
      <c r="HN102" s="952"/>
      <c r="HO102" s="952"/>
      <c r="HP102" s="952"/>
      <c r="HQ102" s="952"/>
      <c r="HR102" s="952"/>
      <c r="HS102" s="952"/>
      <c r="HT102" s="952"/>
      <c r="HU102" s="952"/>
      <c r="HV102" s="952"/>
      <c r="HW102" s="952"/>
      <c r="HX102" s="952"/>
      <c r="HY102" s="952"/>
      <c r="HZ102" s="952"/>
      <c r="IA102" s="952"/>
      <c r="IB102" s="952"/>
      <c r="IC102" s="952"/>
      <c r="ID102" s="952"/>
      <c r="IE102" s="952"/>
      <c r="IF102" s="952"/>
      <c r="IG102" s="952"/>
      <c r="IH102" s="952"/>
      <c r="II102" s="952"/>
      <c r="IJ102" s="952"/>
      <c r="IK102" s="952"/>
      <c r="IL102" s="952"/>
      <c r="IM102" s="952"/>
      <c r="IN102" s="952"/>
      <c r="IO102" s="952"/>
      <c r="IP102" s="952"/>
      <c r="IQ102" s="952"/>
      <c r="IR102" s="952"/>
      <c r="IS102" s="952"/>
      <c r="IT102" s="952"/>
      <c r="IU102" s="952"/>
      <c r="IV102" s="952"/>
      <c r="IW102" s="952"/>
      <c r="IX102" s="952"/>
      <c r="IY102" s="952"/>
      <c r="IZ102" s="952"/>
      <c r="JA102" s="952"/>
      <c r="JB102" s="952"/>
      <c r="JC102" s="952"/>
      <c r="JD102" s="952"/>
      <c r="JE102" s="952"/>
      <c r="JF102" s="952"/>
      <c r="JG102" s="952"/>
      <c r="JH102" s="952"/>
      <c r="JI102" s="952"/>
      <c r="JJ102" s="952"/>
      <c r="JK102" s="952"/>
      <c r="JL102" s="952"/>
      <c r="JM102" s="952"/>
      <c r="JN102" s="952"/>
      <c r="JO102" s="952"/>
      <c r="JP102" s="952"/>
      <c r="JQ102" s="952"/>
      <c r="JR102" s="952"/>
      <c r="JS102" s="952"/>
      <c r="JT102" s="952"/>
      <c r="JU102" s="952"/>
      <c r="JV102" s="952"/>
      <c r="JW102" s="952"/>
      <c r="JX102" s="952"/>
      <c r="JY102" s="952"/>
      <c r="JZ102" s="952"/>
      <c r="KA102" s="952"/>
      <c r="KB102" s="952"/>
      <c r="KC102" s="952"/>
      <c r="KD102" s="952"/>
      <c r="KE102" s="952"/>
      <c r="KF102" s="952"/>
      <c r="KG102" s="952"/>
      <c r="KH102" s="952"/>
      <c r="KI102" s="952"/>
      <c r="KJ102" s="952"/>
      <c r="KK102" s="952"/>
      <c r="KL102" s="952"/>
      <c r="KM102" s="952"/>
      <c r="KN102" s="952"/>
      <c r="KO102" s="952"/>
      <c r="KP102" s="952"/>
      <c r="KQ102" s="952"/>
      <c r="KR102" s="952"/>
      <c r="KS102" s="952"/>
      <c r="KT102" s="952"/>
      <c r="KU102" s="952"/>
      <c r="KV102" s="952"/>
      <c r="KW102" s="952"/>
      <c r="KX102" s="952"/>
      <c r="KY102" s="952"/>
      <c r="KZ102" s="952"/>
      <c r="LA102" s="952"/>
      <c r="LB102" s="952"/>
      <c r="LC102" s="952"/>
      <c r="LD102" s="952"/>
      <c r="LE102" s="952"/>
      <c r="LF102" s="952"/>
      <c r="LG102" s="952"/>
      <c r="LH102" s="952"/>
      <c r="LI102" s="952"/>
      <c r="LJ102" s="952"/>
      <c r="LK102" s="952"/>
      <c r="LL102" s="952"/>
      <c r="LM102" s="952"/>
      <c r="LN102" s="952"/>
      <c r="LO102" s="952"/>
      <c r="LP102" s="952"/>
      <c r="LQ102" s="952"/>
      <c r="LR102" s="952"/>
      <c r="LS102" s="952"/>
      <c r="LT102" s="952"/>
      <c r="LU102" s="952"/>
      <c r="LV102" s="952"/>
      <c r="LW102" s="952"/>
      <c r="LX102" s="952"/>
      <c r="LY102" s="952"/>
      <c r="LZ102" s="952"/>
      <c r="MA102" s="952"/>
      <c r="MB102" s="952"/>
      <c r="MC102" s="952"/>
      <c r="MD102" s="952"/>
      <c r="ME102" s="952"/>
      <c r="MF102" s="952"/>
      <c r="MG102" s="952"/>
      <c r="MH102" s="952"/>
      <c r="MI102" s="952"/>
      <c r="MJ102" s="952"/>
      <c r="MK102" s="952"/>
      <c r="ML102" s="952"/>
      <c r="MM102" s="952"/>
      <c r="MN102" s="952"/>
      <c r="MO102" s="952"/>
      <c r="MP102" s="952"/>
      <c r="MQ102" s="952"/>
      <c r="MR102" s="952"/>
      <c r="MS102" s="952"/>
      <c r="MT102" s="952"/>
      <c r="MU102" s="952"/>
      <c r="MV102" s="952"/>
      <c r="MW102" s="952"/>
      <c r="MX102" s="952"/>
      <c r="MY102" s="952"/>
      <c r="MZ102" s="952"/>
      <c r="NA102" s="952"/>
      <c r="NB102" s="952"/>
      <c r="NC102" s="952"/>
      <c r="ND102" s="952"/>
      <c r="NE102" s="952"/>
      <c r="NF102" s="952"/>
      <c r="NG102" s="952"/>
      <c r="NH102" s="952"/>
      <c r="NI102" s="952"/>
      <c r="NJ102" s="952"/>
      <c r="NK102" s="952"/>
      <c r="NL102" s="952"/>
      <c r="NM102" s="952"/>
      <c r="NN102" s="952"/>
      <c r="NO102" s="952"/>
      <c r="NP102" s="952"/>
      <c r="NQ102" s="952"/>
      <c r="NR102" s="952"/>
      <c r="NS102" s="952"/>
      <c r="NT102" s="952"/>
      <c r="NU102" s="952"/>
      <c r="NV102" s="952"/>
      <c r="NW102" s="952"/>
      <c r="NX102" s="952"/>
      <c r="NY102" s="952"/>
      <c r="NZ102" s="952"/>
      <c r="OA102" s="952"/>
      <c r="OB102" s="952"/>
      <c r="OC102" s="952"/>
      <c r="OD102" s="952"/>
      <c r="OE102" s="952"/>
      <c r="OF102" s="952"/>
      <c r="OG102" s="952"/>
      <c r="OH102" s="952"/>
      <c r="OI102" s="952"/>
      <c r="OJ102" s="952"/>
      <c r="OK102" s="952"/>
      <c r="OL102" s="952"/>
      <c r="OM102" s="952"/>
      <c r="ON102" s="952"/>
      <c r="OO102" s="952"/>
      <c r="OP102" s="952"/>
      <c r="OQ102" s="952"/>
      <c r="OR102" s="952"/>
      <c r="OS102" s="952"/>
      <c r="OT102" s="952"/>
      <c r="OU102" s="952"/>
      <c r="OV102" s="952"/>
      <c r="OW102" s="952"/>
      <c r="OX102" s="952"/>
      <c r="OY102" s="952"/>
      <c r="OZ102" s="952"/>
      <c r="PA102" s="952"/>
      <c r="PB102" s="952"/>
      <c r="PC102" s="952"/>
      <c r="PD102" s="952"/>
      <c r="PE102" s="952"/>
      <c r="PF102" s="952"/>
      <c r="PG102" s="952"/>
      <c r="PH102" s="952"/>
      <c r="PI102" s="952"/>
      <c r="PJ102" s="952"/>
      <c r="PK102" s="952"/>
      <c r="PL102" s="952"/>
      <c r="PM102" s="952"/>
      <c r="PN102" s="952"/>
      <c r="PO102" s="952"/>
      <c r="PP102" s="952"/>
      <c r="PQ102" s="952"/>
      <c r="PR102" s="952"/>
      <c r="PS102" s="952"/>
      <c r="PT102" s="952"/>
      <c r="PU102" s="952"/>
      <c r="PV102" s="952"/>
      <c r="PW102" s="952"/>
      <c r="PX102" s="952"/>
      <c r="PY102" s="952"/>
      <c r="PZ102" s="952"/>
      <c r="QA102" s="952"/>
      <c r="QB102" s="952"/>
      <c r="QC102" s="952"/>
      <c r="QD102" s="952"/>
      <c r="QE102" s="952"/>
      <c r="QF102" s="952"/>
      <c r="QG102" s="952"/>
      <c r="QH102" s="952"/>
      <c r="QI102" s="952"/>
      <c r="QJ102" s="952"/>
      <c r="QK102" s="952"/>
      <c r="QL102" s="952"/>
      <c r="QM102" s="952"/>
      <c r="QN102" s="952"/>
      <c r="QO102" s="952"/>
      <c r="QP102" s="952"/>
      <c r="QQ102" s="952"/>
      <c r="QR102" s="952"/>
      <c r="QS102" s="952"/>
      <c r="QT102" s="952"/>
      <c r="QU102" s="952"/>
      <c r="QV102" s="952"/>
      <c r="QW102" s="952"/>
      <c r="QX102" s="952"/>
      <c r="QY102" s="952"/>
      <c r="QZ102" s="952"/>
      <c r="RA102" s="952"/>
      <c r="RB102" s="952"/>
      <c r="RC102" s="952"/>
      <c r="RD102" s="952"/>
      <c r="RE102" s="952"/>
      <c r="RF102" s="952"/>
      <c r="RG102" s="952"/>
      <c r="RH102" s="952"/>
      <c r="RI102" s="952"/>
      <c r="RJ102" s="952"/>
      <c r="RK102" s="952"/>
      <c r="RL102" s="952"/>
      <c r="RM102" s="952"/>
      <c r="RN102" s="952"/>
      <c r="RO102" s="952"/>
      <c r="RP102" s="952"/>
      <c r="RQ102" s="952"/>
      <c r="RR102" s="952"/>
      <c r="RS102" s="952"/>
      <c r="RT102" s="952"/>
      <c r="RU102" s="952"/>
      <c r="RV102" s="952"/>
      <c r="RW102" s="952"/>
      <c r="RX102" s="952"/>
      <c r="RY102" s="952"/>
      <c r="RZ102" s="952"/>
      <c r="SA102" s="952"/>
      <c r="SB102" s="952"/>
      <c r="SC102" s="952"/>
      <c r="SD102" s="952"/>
      <c r="SE102" s="952"/>
      <c r="SF102" s="952"/>
      <c r="SG102" s="952"/>
      <c r="SH102" s="952"/>
      <c r="SI102" s="952"/>
      <c r="SJ102" s="952"/>
      <c r="SK102" s="952"/>
      <c r="SL102" s="952"/>
      <c r="SM102" s="952"/>
      <c r="SN102" s="952"/>
      <c r="SO102" s="952"/>
      <c r="SP102" s="952"/>
      <c r="SQ102" s="952"/>
      <c r="SR102" s="952"/>
      <c r="SS102" s="952"/>
      <c r="ST102" s="952"/>
      <c r="SU102" s="952"/>
      <c r="SV102" s="952"/>
      <c r="SW102" s="952"/>
      <c r="SX102" s="952"/>
      <c r="SY102" s="952"/>
      <c r="SZ102" s="952"/>
      <c r="TA102" s="952"/>
      <c r="TB102" s="952"/>
      <c r="TC102" s="952"/>
      <c r="TD102" s="952"/>
      <c r="TE102" s="952"/>
      <c r="TF102" s="952"/>
      <c r="TG102" s="952"/>
      <c r="TH102" s="952"/>
      <c r="TI102" s="952"/>
      <c r="TJ102" s="952"/>
      <c r="TK102" s="952"/>
      <c r="TL102" s="952"/>
      <c r="TM102" s="952"/>
      <c r="TN102" s="952"/>
      <c r="TO102" s="952"/>
      <c r="TP102" s="952"/>
      <c r="TQ102" s="952"/>
      <c r="TR102" s="952"/>
      <c r="TS102" s="952"/>
      <c r="TT102" s="952"/>
      <c r="TU102" s="952"/>
      <c r="TV102" s="952"/>
      <c r="TW102" s="952"/>
      <c r="TX102" s="952"/>
      <c r="TY102" s="952"/>
      <c r="TZ102" s="952"/>
      <c r="UA102" s="952"/>
      <c r="UB102" s="952"/>
      <c r="UC102" s="952"/>
      <c r="UD102" s="952"/>
      <c r="UE102" s="952"/>
      <c r="UF102" s="952"/>
      <c r="UG102" s="952"/>
      <c r="UH102" s="952"/>
      <c r="UI102" s="952"/>
      <c r="UJ102" s="952"/>
      <c r="UK102" s="952"/>
      <c r="UL102" s="952"/>
      <c r="UM102" s="952"/>
      <c r="UN102" s="952"/>
      <c r="UO102" s="952"/>
      <c r="UP102" s="952"/>
      <c r="UQ102" s="952"/>
      <c r="UR102" s="952"/>
      <c r="US102" s="952"/>
      <c r="UT102" s="952"/>
      <c r="UU102" s="952"/>
      <c r="UV102" s="952"/>
      <c r="UW102" s="952"/>
      <c r="UX102" s="952"/>
      <c r="UY102" s="952"/>
      <c r="UZ102" s="952"/>
      <c r="VA102" s="952"/>
      <c r="VB102" s="952"/>
      <c r="VC102" s="952"/>
      <c r="VD102" s="952"/>
      <c r="VE102" s="952"/>
      <c r="VF102" s="952"/>
      <c r="VG102" s="952"/>
      <c r="VH102" s="952"/>
      <c r="VI102" s="952"/>
      <c r="VJ102" s="952"/>
      <c r="VK102" s="952"/>
      <c r="VL102" s="952"/>
      <c r="VM102" s="952"/>
      <c r="VN102" s="952"/>
      <c r="VO102" s="952"/>
      <c r="VP102" s="952"/>
      <c r="VQ102" s="952"/>
      <c r="VR102" s="952"/>
      <c r="VS102" s="952"/>
      <c r="VT102" s="952"/>
      <c r="VU102" s="952"/>
      <c r="VV102" s="952"/>
      <c r="VW102" s="952"/>
      <c r="VX102" s="952"/>
      <c r="VY102" s="952"/>
      <c r="VZ102" s="952"/>
      <c r="WA102" s="952"/>
      <c r="WB102" s="952"/>
      <c r="WC102" s="952"/>
      <c r="WD102" s="952"/>
      <c r="WE102" s="952"/>
      <c r="WF102" s="952"/>
      <c r="WG102" s="952"/>
      <c r="WH102" s="952"/>
      <c r="WI102" s="952"/>
      <c r="WJ102" s="952"/>
      <c r="WK102" s="952"/>
      <c r="WL102" s="952"/>
      <c r="WM102" s="952"/>
      <c r="WN102" s="952"/>
      <c r="WO102" s="952"/>
      <c r="WP102" s="952"/>
      <c r="WQ102" s="952"/>
      <c r="WR102" s="952"/>
      <c r="WS102" s="952"/>
      <c r="WT102" s="952"/>
      <c r="WU102" s="952"/>
      <c r="WV102" s="952"/>
      <c r="WW102" s="952"/>
      <c r="WX102" s="952"/>
      <c r="WY102" s="952"/>
      <c r="WZ102" s="952"/>
      <c r="XA102" s="952"/>
      <c r="XB102" s="952"/>
      <c r="XC102" s="952"/>
      <c r="XD102" s="952"/>
      <c r="XE102" s="952"/>
      <c r="XF102" s="952"/>
      <c r="XG102" s="952"/>
      <c r="XH102" s="952"/>
      <c r="XI102" s="952"/>
      <c r="XJ102" s="952"/>
      <c r="XK102" s="952"/>
      <c r="XL102" s="952"/>
      <c r="XM102" s="952"/>
      <c r="XN102" s="952"/>
      <c r="XO102" s="952"/>
      <c r="XP102" s="952"/>
      <c r="XQ102" s="952"/>
      <c r="XR102" s="952"/>
      <c r="XS102" s="952"/>
      <c r="XT102" s="952"/>
      <c r="XU102" s="952"/>
      <c r="XV102" s="952"/>
      <c r="XW102" s="952"/>
      <c r="XX102" s="952"/>
      <c r="XY102" s="952"/>
      <c r="XZ102" s="952"/>
      <c r="YA102" s="952"/>
      <c r="YB102" s="952"/>
      <c r="YC102" s="952"/>
      <c r="YD102" s="952"/>
      <c r="YE102" s="952"/>
      <c r="YF102" s="952"/>
      <c r="YG102" s="952"/>
      <c r="YH102" s="952"/>
      <c r="YI102" s="952"/>
      <c r="YJ102" s="952"/>
      <c r="YK102" s="952"/>
      <c r="YL102" s="952"/>
      <c r="YM102" s="952"/>
      <c r="YN102" s="952"/>
      <c r="YO102" s="952"/>
      <c r="YP102" s="952"/>
      <c r="YQ102" s="952"/>
      <c r="YR102" s="952"/>
      <c r="YS102" s="952"/>
      <c r="YT102" s="952"/>
      <c r="YU102" s="952"/>
      <c r="YV102" s="952"/>
      <c r="YW102" s="952"/>
      <c r="YX102" s="952"/>
      <c r="YY102" s="952"/>
      <c r="YZ102" s="952"/>
      <c r="ZA102" s="952"/>
      <c r="ZB102" s="952"/>
      <c r="ZC102" s="952"/>
      <c r="ZD102" s="952"/>
      <c r="ZE102" s="952"/>
      <c r="ZF102" s="952"/>
      <c r="ZG102" s="952"/>
      <c r="ZH102" s="952"/>
      <c r="ZI102" s="952"/>
      <c r="ZJ102" s="952"/>
      <c r="ZK102" s="952"/>
      <c r="ZL102" s="952"/>
      <c r="ZM102" s="952"/>
      <c r="ZN102" s="952"/>
      <c r="ZO102" s="952"/>
      <c r="ZP102" s="952"/>
      <c r="ZQ102" s="952"/>
      <c r="ZR102" s="952"/>
      <c r="ZS102" s="952"/>
      <c r="ZT102" s="952"/>
      <c r="ZU102" s="952"/>
      <c r="ZV102" s="952"/>
      <c r="ZW102" s="952"/>
      <c r="ZX102" s="952"/>
      <c r="ZY102" s="952"/>
      <c r="ZZ102" s="952"/>
      <c r="AAA102" s="952"/>
      <c r="AAB102" s="952"/>
      <c r="AAC102" s="952"/>
      <c r="AAD102" s="952"/>
      <c r="AAE102" s="952"/>
      <c r="AAF102" s="952"/>
      <c r="AAG102" s="952"/>
      <c r="AAH102" s="952"/>
      <c r="AAI102" s="952"/>
      <c r="AAJ102" s="952"/>
      <c r="AAK102" s="952"/>
      <c r="AAL102" s="952"/>
      <c r="AAM102" s="952"/>
      <c r="AAN102" s="952"/>
      <c r="AAO102" s="952"/>
      <c r="AAP102" s="952"/>
      <c r="AAQ102" s="952"/>
      <c r="AAR102" s="952"/>
      <c r="AAS102" s="952"/>
      <c r="AAT102" s="952"/>
      <c r="AAU102" s="952"/>
      <c r="AAV102" s="952"/>
      <c r="AAW102" s="952"/>
      <c r="AAX102" s="952"/>
      <c r="AAY102" s="952"/>
      <c r="AAZ102" s="952"/>
      <c r="ABA102" s="952"/>
      <c r="ABB102" s="952"/>
      <c r="ABC102" s="952"/>
      <c r="ABD102" s="952"/>
      <c r="ABE102" s="952"/>
      <c r="ABF102" s="952"/>
      <c r="ABG102" s="952"/>
      <c r="ABH102" s="952"/>
      <c r="ABI102" s="952"/>
      <c r="ABJ102" s="952"/>
      <c r="ABK102" s="952"/>
      <c r="ABL102" s="952"/>
      <c r="ABM102" s="952"/>
      <c r="ABN102" s="952"/>
      <c r="ABO102" s="952"/>
      <c r="ABP102" s="952"/>
      <c r="ABQ102" s="952"/>
      <c r="ABR102" s="952"/>
      <c r="ABS102" s="952"/>
      <c r="ABT102" s="952"/>
      <c r="ABU102" s="952"/>
      <c r="ABV102" s="952"/>
      <c r="ABW102" s="952"/>
      <c r="ABX102" s="952"/>
      <c r="ABY102" s="952"/>
      <c r="ABZ102" s="952"/>
      <c r="ACA102" s="952"/>
      <c r="ACB102" s="952"/>
      <c r="ACC102" s="952"/>
      <c r="ACD102" s="952"/>
      <c r="ACE102" s="952"/>
      <c r="ACF102" s="952"/>
      <c r="ACG102" s="952"/>
      <c r="ACH102" s="952"/>
      <c r="ACI102" s="952"/>
      <c r="ACJ102" s="952"/>
      <c r="ACK102" s="952"/>
      <c r="ACL102" s="952"/>
      <c r="ACM102" s="952"/>
      <c r="ACN102" s="952"/>
      <c r="ACO102" s="952"/>
      <c r="ACP102" s="952"/>
      <c r="ACQ102" s="952"/>
      <c r="ACR102" s="952"/>
      <c r="ACS102" s="952"/>
      <c r="ACT102" s="952"/>
      <c r="ACU102" s="952"/>
      <c r="ACV102" s="952"/>
      <c r="ACW102" s="952"/>
      <c r="ACX102" s="952"/>
      <c r="ACY102" s="952"/>
      <c r="ACZ102" s="952"/>
      <c r="ADA102" s="952"/>
      <c r="ADB102" s="952"/>
      <c r="ADC102" s="952"/>
      <c r="ADD102" s="952"/>
      <c r="ADE102" s="952"/>
      <c r="ADF102" s="952"/>
      <c r="ADG102" s="952"/>
      <c r="ADH102" s="952"/>
      <c r="ADI102" s="952"/>
      <c r="ADJ102" s="952"/>
      <c r="ADK102" s="952"/>
      <c r="ADL102" s="952"/>
      <c r="ADM102" s="952"/>
      <c r="ADN102" s="952"/>
      <c r="ADO102" s="952"/>
      <c r="ADP102" s="952"/>
      <c r="ADQ102" s="952"/>
      <c r="ADR102" s="952"/>
      <c r="ADS102" s="952"/>
      <c r="ADT102" s="952"/>
      <c r="ADU102" s="952"/>
      <c r="ADV102" s="952"/>
      <c r="ADW102" s="952"/>
      <c r="ADX102" s="952"/>
      <c r="ADY102" s="952"/>
      <c r="ADZ102" s="952"/>
      <c r="AEA102" s="952"/>
      <c r="AEB102" s="952"/>
      <c r="AEC102" s="952"/>
      <c r="AED102" s="952"/>
      <c r="AEE102" s="952"/>
      <c r="AEF102" s="952"/>
      <c r="AEG102" s="952"/>
      <c r="AEH102" s="952"/>
      <c r="AEI102" s="952"/>
      <c r="AEJ102" s="952"/>
      <c r="AEK102" s="952"/>
      <c r="AEL102" s="952"/>
      <c r="AEM102" s="952"/>
      <c r="AEN102" s="952"/>
      <c r="AEO102" s="952"/>
      <c r="AEP102" s="952"/>
      <c r="AEQ102" s="952"/>
      <c r="AER102" s="952"/>
      <c r="AES102" s="952"/>
      <c r="AET102" s="952"/>
      <c r="AEU102" s="952"/>
      <c r="AEV102" s="952"/>
      <c r="AEW102" s="952"/>
      <c r="AEX102" s="952"/>
      <c r="AEY102" s="952"/>
      <c r="AEZ102" s="952"/>
      <c r="AFA102" s="952"/>
      <c r="AFB102" s="952"/>
      <c r="AFC102" s="952"/>
      <c r="AFD102" s="952"/>
      <c r="AFE102" s="952"/>
      <c r="AFF102" s="952"/>
      <c r="AFG102" s="952"/>
      <c r="AFH102" s="952"/>
      <c r="AFI102" s="952"/>
      <c r="AFJ102" s="952"/>
      <c r="AFK102" s="952"/>
      <c r="AFL102" s="952"/>
      <c r="AFM102" s="952"/>
      <c r="AFN102" s="952"/>
      <c r="AFO102" s="952"/>
      <c r="AFP102" s="952"/>
      <c r="AFQ102" s="952"/>
      <c r="AFR102" s="952"/>
      <c r="AFS102" s="952"/>
      <c r="AFT102" s="952"/>
      <c r="AFU102" s="952"/>
      <c r="AFV102" s="952"/>
      <c r="AFW102" s="952"/>
      <c r="AFX102" s="952"/>
      <c r="AFY102" s="952"/>
      <c r="AFZ102" s="952"/>
      <c r="AGA102" s="952"/>
      <c r="AGB102" s="952"/>
      <c r="AGC102" s="952"/>
      <c r="AGD102" s="952"/>
      <c r="AGE102" s="952"/>
      <c r="AGF102" s="952"/>
      <c r="AGG102" s="952"/>
      <c r="AGH102" s="952"/>
      <c r="AGI102" s="952"/>
      <c r="AGJ102" s="952"/>
      <c r="AGK102" s="952"/>
      <c r="AGL102" s="952"/>
      <c r="AGM102" s="952"/>
      <c r="AGN102" s="952"/>
      <c r="AGO102" s="952"/>
      <c r="AGP102" s="952"/>
      <c r="AGQ102" s="952"/>
      <c r="AGR102" s="952"/>
      <c r="AGS102" s="952"/>
      <c r="AGT102" s="952"/>
      <c r="AGU102" s="952"/>
      <c r="AGV102" s="952"/>
      <c r="AGW102" s="952"/>
      <c r="AGX102" s="952"/>
      <c r="AGY102" s="952"/>
      <c r="AGZ102" s="952"/>
      <c r="AHA102" s="952"/>
      <c r="AHB102" s="952"/>
      <c r="AHC102" s="952"/>
      <c r="AHD102" s="952"/>
      <c r="AHE102" s="952"/>
      <c r="AHF102" s="952"/>
      <c r="AHG102" s="952"/>
      <c r="AHH102" s="952"/>
      <c r="AHI102" s="952"/>
      <c r="AHJ102" s="952"/>
      <c r="AHK102" s="952"/>
      <c r="AHL102" s="952"/>
      <c r="AHM102" s="952"/>
      <c r="AHN102" s="952"/>
      <c r="AHO102" s="952"/>
      <c r="AHP102" s="952"/>
      <c r="AHQ102" s="952"/>
      <c r="AHR102" s="952"/>
      <c r="AHS102" s="952"/>
      <c r="AHT102" s="952"/>
      <c r="AHU102" s="952"/>
      <c r="AHV102" s="952"/>
      <c r="AHW102" s="952"/>
      <c r="AHX102" s="952"/>
      <c r="AHY102" s="952"/>
      <c r="AHZ102" s="952"/>
      <c r="AIA102" s="952"/>
      <c r="AIB102" s="952"/>
      <c r="AIC102" s="952"/>
      <c r="AID102" s="952"/>
      <c r="AIE102" s="952"/>
      <c r="AIF102" s="952"/>
      <c r="AIG102" s="952"/>
      <c r="AIH102" s="952"/>
      <c r="AII102" s="952"/>
      <c r="AIJ102" s="952"/>
      <c r="AIK102" s="952"/>
      <c r="AIL102" s="952"/>
      <c r="AIM102" s="952"/>
      <c r="AIN102" s="952"/>
      <c r="AIO102" s="952"/>
      <c r="AIP102" s="952"/>
      <c r="AIQ102" s="952"/>
      <c r="AIR102" s="952"/>
      <c r="AIS102" s="952"/>
      <c r="AIT102" s="952"/>
      <c r="AIU102" s="952"/>
      <c r="AIV102" s="952"/>
      <c r="AIW102" s="952"/>
      <c r="AIX102" s="952"/>
      <c r="AIY102" s="952"/>
      <c r="AIZ102" s="952"/>
      <c r="AJA102" s="952"/>
      <c r="AJB102" s="952"/>
      <c r="AJC102" s="952"/>
      <c r="AJD102" s="952"/>
      <c r="AJE102" s="952"/>
      <c r="AJF102" s="952"/>
      <c r="AJG102" s="952"/>
      <c r="AJH102" s="952"/>
      <c r="AJI102" s="952"/>
      <c r="AJJ102" s="952"/>
      <c r="AJK102" s="952"/>
      <c r="AJL102" s="952"/>
      <c r="AJM102" s="952"/>
      <c r="AJN102" s="952"/>
      <c r="AJO102" s="952"/>
      <c r="AJP102" s="952"/>
      <c r="AJQ102" s="952"/>
      <c r="AJR102" s="952"/>
      <c r="AJS102" s="952"/>
      <c r="AJT102" s="952"/>
      <c r="AJU102" s="952"/>
      <c r="AJV102" s="952"/>
      <c r="AJW102" s="952"/>
      <c r="AJX102" s="952"/>
      <c r="AJY102" s="952"/>
      <c r="AJZ102" s="952"/>
      <c r="AKA102" s="952"/>
      <c r="AKB102" s="952"/>
      <c r="AKC102" s="952"/>
      <c r="AKD102" s="952"/>
      <c r="AKE102" s="952"/>
      <c r="AKF102" s="952"/>
      <c r="AKG102" s="952"/>
      <c r="AKH102" s="952"/>
      <c r="AKI102" s="952"/>
      <c r="AKJ102" s="952"/>
      <c r="AKK102" s="952"/>
      <c r="AKL102" s="952"/>
      <c r="AKM102" s="952"/>
      <c r="AKN102" s="952"/>
      <c r="AKO102" s="952"/>
      <c r="AKP102" s="952"/>
      <c r="AKQ102" s="952"/>
      <c r="AKR102" s="952"/>
      <c r="AKS102" s="952"/>
      <c r="AKT102" s="952"/>
      <c r="AKU102" s="952"/>
      <c r="AKV102" s="952"/>
      <c r="AKW102" s="952"/>
      <c r="AKX102" s="952"/>
      <c r="AKY102" s="952"/>
      <c r="AKZ102" s="952"/>
      <c r="ALA102" s="952"/>
      <c r="ALB102" s="952"/>
      <c r="ALC102" s="952"/>
      <c r="ALD102" s="952"/>
      <c r="ALE102" s="952"/>
      <c r="ALF102" s="952"/>
      <c r="ALG102" s="952"/>
      <c r="ALH102" s="952"/>
      <c r="ALI102" s="952"/>
      <c r="ALJ102" s="952"/>
      <c r="ALK102" s="952"/>
      <c r="ALL102" s="952"/>
      <c r="ALM102" s="952"/>
      <c r="ALN102" s="952"/>
      <c r="ALO102" s="952"/>
      <c r="ALP102" s="952"/>
      <c r="ALQ102" s="952"/>
      <c r="ALR102" s="952"/>
      <c r="ALS102" s="952"/>
      <c r="ALT102" s="952"/>
      <c r="ALU102" s="952"/>
      <c r="ALV102" s="952"/>
      <c r="ALW102" s="952"/>
      <c r="ALX102" s="952"/>
      <c r="ALY102" s="952"/>
      <c r="ALZ102" s="952"/>
      <c r="AMA102" s="952"/>
      <c r="AMB102" s="952"/>
      <c r="AMC102" s="952"/>
      <c r="AMD102" s="952"/>
      <c r="AME102" s="952"/>
      <c r="AMF102" s="952"/>
      <c r="AMG102" s="952"/>
      <c r="AMH102" s="952"/>
      <c r="AMI102" s="952"/>
      <c r="AMJ102" s="952"/>
      <c r="AMK102" s="952"/>
      <c r="AML102" s="952"/>
      <c r="AMM102" s="952"/>
      <c r="AMN102" s="952"/>
      <c r="AMO102" s="952"/>
      <c r="AMP102" s="952"/>
      <c r="AMQ102" s="952"/>
      <c r="AMR102" s="952"/>
      <c r="AMS102" s="952"/>
      <c r="AMT102" s="952"/>
      <c r="AMU102" s="952"/>
      <c r="AMV102" s="952"/>
      <c r="AMW102" s="952"/>
      <c r="AMX102" s="952"/>
      <c r="AMY102" s="952"/>
      <c r="AMZ102" s="952"/>
      <c r="ANA102" s="952"/>
      <c r="ANB102" s="952"/>
      <c r="ANC102" s="952"/>
      <c r="AND102" s="952"/>
      <c r="ANE102" s="952"/>
      <c r="ANF102" s="952"/>
      <c r="ANG102" s="952"/>
      <c r="ANH102" s="952"/>
      <c r="ANI102" s="952"/>
      <c r="ANJ102" s="952"/>
      <c r="ANK102" s="952"/>
      <c r="ANL102" s="952"/>
      <c r="ANM102" s="952"/>
      <c r="ANN102" s="952"/>
      <c r="ANO102" s="952"/>
      <c r="ANP102" s="952"/>
      <c r="ANQ102" s="952"/>
      <c r="ANR102" s="952"/>
      <c r="ANS102" s="952"/>
      <c r="ANT102" s="952"/>
      <c r="ANU102" s="952"/>
      <c r="ANV102" s="952"/>
      <c r="ANW102" s="952"/>
      <c r="ANX102" s="952"/>
      <c r="ANY102" s="952"/>
      <c r="ANZ102" s="952"/>
      <c r="AOA102" s="952"/>
      <c r="AOB102" s="952"/>
      <c r="AOC102" s="952"/>
      <c r="AOD102" s="952"/>
      <c r="AOE102" s="952"/>
      <c r="AOF102" s="952"/>
      <c r="AOG102" s="952"/>
      <c r="AOH102" s="952"/>
      <c r="AOI102" s="952"/>
      <c r="AOJ102" s="952"/>
      <c r="AOK102" s="952"/>
      <c r="AOL102" s="952"/>
      <c r="AOM102" s="952"/>
      <c r="AON102" s="952"/>
      <c r="AOO102" s="952"/>
      <c r="AOP102" s="952"/>
      <c r="AOQ102" s="952"/>
      <c r="AOR102" s="952"/>
      <c r="AOS102" s="952"/>
      <c r="AOT102" s="952"/>
      <c r="AOU102" s="952"/>
      <c r="AOV102" s="952"/>
      <c r="AOW102" s="952"/>
      <c r="AOX102" s="952"/>
      <c r="AOY102" s="952"/>
      <c r="AOZ102" s="952"/>
      <c r="APA102" s="952"/>
      <c r="APB102" s="952"/>
      <c r="APC102" s="952"/>
      <c r="APD102" s="952"/>
      <c r="APE102" s="952"/>
      <c r="APF102" s="952"/>
      <c r="APG102" s="952"/>
      <c r="APH102" s="952"/>
      <c r="API102" s="952"/>
      <c r="APJ102" s="952"/>
      <c r="APK102" s="952"/>
      <c r="APL102" s="952"/>
      <c r="APM102" s="952"/>
      <c r="APN102" s="952"/>
      <c r="APO102" s="952"/>
      <c r="APP102" s="952"/>
      <c r="APQ102" s="952"/>
      <c r="APR102" s="952"/>
      <c r="APS102" s="952"/>
      <c r="APT102" s="952"/>
      <c r="APU102" s="952"/>
      <c r="APV102" s="952"/>
      <c r="APW102" s="952"/>
      <c r="APX102" s="952"/>
      <c r="APY102" s="952"/>
      <c r="APZ102" s="952"/>
      <c r="AQA102" s="952"/>
      <c r="AQB102" s="952"/>
      <c r="AQC102" s="952"/>
      <c r="AQD102" s="952"/>
      <c r="AQE102" s="952"/>
      <c r="AQF102" s="952"/>
      <c r="AQG102" s="952"/>
      <c r="AQH102" s="952"/>
      <c r="AQI102" s="952"/>
      <c r="AQJ102" s="952"/>
      <c r="AQK102" s="952"/>
      <c r="AQL102" s="952"/>
      <c r="AQM102" s="952"/>
      <c r="AQN102" s="952"/>
      <c r="AQO102" s="952"/>
      <c r="AQP102" s="952"/>
      <c r="AQQ102" s="952"/>
      <c r="AQR102" s="952"/>
      <c r="AQS102" s="952"/>
      <c r="AQT102" s="952"/>
      <c r="AQU102" s="952"/>
      <c r="AQV102" s="952"/>
      <c r="AQW102" s="952"/>
      <c r="AQX102" s="952"/>
      <c r="AQY102" s="952"/>
      <c r="AQZ102" s="952"/>
      <c r="ARA102" s="952"/>
      <c r="ARB102" s="952"/>
      <c r="ARC102" s="952"/>
      <c r="ARD102" s="952"/>
      <c r="ARE102" s="952"/>
      <c r="ARF102" s="952"/>
      <c r="ARG102" s="952"/>
      <c r="ARH102" s="952"/>
      <c r="ARI102" s="952"/>
      <c r="ARJ102" s="952"/>
      <c r="ARK102" s="952"/>
      <c r="ARL102" s="952"/>
      <c r="ARM102" s="952"/>
      <c r="ARN102" s="952"/>
      <c r="ARO102" s="952"/>
      <c r="ARP102" s="952"/>
      <c r="ARQ102" s="952"/>
      <c r="ARR102" s="952"/>
      <c r="ARS102" s="952"/>
      <c r="ART102" s="952"/>
      <c r="ARU102" s="952"/>
      <c r="ARV102" s="952"/>
      <c r="ARW102" s="952"/>
      <c r="ARX102" s="952"/>
      <c r="ARY102" s="952"/>
      <c r="ARZ102" s="952"/>
      <c r="ASA102" s="952"/>
      <c r="ASB102" s="952"/>
      <c r="ASC102" s="952"/>
      <c r="ASD102" s="952"/>
      <c r="ASE102" s="952"/>
      <c r="ASF102" s="952"/>
      <c r="ASG102" s="952"/>
      <c r="ASH102" s="952"/>
      <c r="ASI102" s="952"/>
      <c r="ASJ102" s="952"/>
      <c r="ASK102" s="952"/>
      <c r="ASL102" s="952"/>
      <c r="ASM102" s="952"/>
      <c r="ASN102" s="952"/>
      <c r="ASO102" s="952"/>
      <c r="ASP102" s="952"/>
      <c r="ASQ102" s="952"/>
      <c r="ASR102" s="952"/>
      <c r="ASS102" s="952"/>
      <c r="AST102" s="952"/>
      <c r="ASU102" s="952"/>
      <c r="ASV102" s="952"/>
      <c r="ASW102" s="952"/>
      <c r="ASX102" s="952"/>
      <c r="ASY102" s="952"/>
      <c r="ASZ102" s="952"/>
      <c r="ATA102" s="952"/>
      <c r="ATB102" s="952"/>
      <c r="ATC102" s="952"/>
      <c r="ATD102" s="952"/>
      <c r="ATE102" s="952"/>
      <c r="ATF102" s="952"/>
      <c r="ATG102" s="952"/>
      <c r="ATH102" s="952"/>
      <c r="ATI102" s="952"/>
      <c r="ATJ102" s="952"/>
      <c r="ATK102" s="952"/>
      <c r="ATL102" s="952"/>
      <c r="ATM102" s="952"/>
      <c r="ATN102" s="952"/>
      <c r="ATO102" s="952"/>
      <c r="ATP102" s="952"/>
      <c r="ATQ102" s="952"/>
      <c r="ATR102" s="952"/>
      <c r="ATS102" s="952"/>
      <c r="ATT102" s="952"/>
      <c r="ATU102" s="952"/>
      <c r="ATV102" s="952"/>
      <c r="ATW102" s="952"/>
      <c r="ATX102" s="952"/>
      <c r="ATY102" s="952"/>
      <c r="ATZ102" s="952"/>
      <c r="AUA102" s="952"/>
      <c r="AUB102" s="952"/>
      <c r="AUC102" s="952"/>
      <c r="AUD102" s="952"/>
      <c r="AUE102" s="952"/>
      <c r="AUF102" s="952"/>
      <c r="AUG102" s="952"/>
      <c r="AUH102" s="952"/>
      <c r="AUI102" s="952"/>
      <c r="AUJ102" s="952"/>
      <c r="AUK102" s="952"/>
      <c r="AUL102" s="952"/>
      <c r="AUM102" s="952"/>
      <c r="AUN102" s="952"/>
      <c r="AUO102" s="952"/>
      <c r="AUP102" s="952"/>
      <c r="AUQ102" s="952"/>
      <c r="AUR102" s="952"/>
      <c r="AUS102" s="952"/>
      <c r="AUT102" s="952"/>
      <c r="AUU102" s="952"/>
      <c r="AUV102" s="952"/>
      <c r="AUW102" s="952"/>
      <c r="AUX102" s="952"/>
      <c r="AUY102" s="952"/>
      <c r="AUZ102" s="952"/>
      <c r="AVA102" s="952"/>
      <c r="AVB102" s="952"/>
      <c r="AVC102" s="952"/>
      <c r="AVD102" s="952"/>
      <c r="AVE102" s="952"/>
      <c r="AVF102" s="952"/>
      <c r="AVG102" s="952"/>
      <c r="AVH102" s="952"/>
      <c r="AVI102" s="952"/>
      <c r="AVJ102" s="952"/>
      <c r="AVK102" s="952"/>
      <c r="AVL102" s="952"/>
      <c r="AVM102" s="952"/>
      <c r="AVN102" s="952"/>
      <c r="AVO102" s="952"/>
      <c r="AVP102" s="952"/>
      <c r="AVQ102" s="952"/>
      <c r="AVR102" s="952"/>
      <c r="AVS102" s="952"/>
      <c r="AVT102" s="952"/>
      <c r="AVU102" s="952"/>
      <c r="AVV102" s="952"/>
      <c r="AVW102" s="952"/>
      <c r="AVX102" s="952"/>
      <c r="AVY102" s="952"/>
      <c r="AVZ102" s="952"/>
      <c r="AWA102" s="952"/>
      <c r="AWB102" s="952"/>
      <c r="AWC102" s="952"/>
      <c r="AWD102" s="952"/>
      <c r="AWE102" s="952"/>
      <c r="AWF102" s="952"/>
      <c r="AWG102" s="952"/>
      <c r="AWH102" s="952"/>
      <c r="AWI102" s="952"/>
      <c r="AWJ102" s="952"/>
      <c r="AWK102" s="952"/>
      <c r="AWL102" s="952"/>
      <c r="AWM102" s="952"/>
      <c r="AWN102" s="952"/>
      <c r="AWO102" s="952"/>
      <c r="AWP102" s="952"/>
      <c r="AWQ102" s="952"/>
      <c r="AWR102" s="952"/>
      <c r="AWS102" s="952"/>
      <c r="AWT102" s="952"/>
      <c r="AWU102" s="952"/>
      <c r="AWV102" s="952"/>
      <c r="AWW102" s="952"/>
      <c r="AWX102" s="952"/>
      <c r="AWY102" s="952"/>
      <c r="AWZ102" s="952"/>
      <c r="AXA102" s="952"/>
      <c r="AXB102" s="952"/>
      <c r="AXC102" s="952"/>
      <c r="AXD102" s="952"/>
      <c r="AXE102" s="952"/>
      <c r="AXF102" s="952"/>
      <c r="AXG102" s="952"/>
      <c r="AXH102" s="952"/>
      <c r="AXI102" s="952"/>
      <c r="AXJ102" s="952"/>
      <c r="AXK102" s="952"/>
      <c r="AXL102" s="952"/>
      <c r="AXM102" s="952"/>
      <c r="AXN102" s="952"/>
      <c r="AXO102" s="952"/>
      <c r="AXP102" s="952"/>
      <c r="AXQ102" s="952"/>
      <c r="AXR102" s="952"/>
      <c r="AXS102" s="952"/>
      <c r="AXT102" s="952"/>
      <c r="AXU102" s="952"/>
      <c r="AXV102" s="952"/>
      <c r="AXW102" s="952"/>
      <c r="AXX102" s="952"/>
      <c r="AXY102" s="952"/>
      <c r="AXZ102" s="952"/>
      <c r="AYA102" s="952"/>
      <c r="AYB102" s="952"/>
      <c r="AYC102" s="952"/>
      <c r="AYD102" s="952"/>
      <c r="AYE102" s="952"/>
      <c r="AYF102" s="952"/>
      <c r="AYG102" s="952"/>
      <c r="AYH102" s="952"/>
      <c r="AYI102" s="952"/>
      <c r="AYJ102" s="952"/>
      <c r="AYK102" s="952"/>
      <c r="AYL102" s="952"/>
      <c r="AYM102" s="952"/>
      <c r="AYN102" s="952"/>
      <c r="AYO102" s="952"/>
      <c r="AYP102" s="952"/>
      <c r="AYQ102" s="952"/>
      <c r="AYR102" s="952"/>
      <c r="AYS102" s="952"/>
      <c r="AYT102" s="952"/>
      <c r="AYU102" s="952"/>
      <c r="AYV102" s="952"/>
      <c r="AYW102" s="952"/>
      <c r="AYX102" s="952"/>
      <c r="AYY102" s="952"/>
      <c r="AYZ102" s="952"/>
      <c r="AZA102" s="952"/>
      <c r="AZB102" s="952"/>
      <c r="AZC102" s="952"/>
      <c r="AZD102" s="952"/>
      <c r="AZE102" s="952"/>
      <c r="AZF102" s="952"/>
      <c r="AZG102" s="952"/>
      <c r="AZH102" s="952"/>
      <c r="AZI102" s="952"/>
      <c r="AZJ102" s="952"/>
      <c r="AZK102" s="952"/>
      <c r="AZL102" s="952"/>
      <c r="AZM102" s="952"/>
      <c r="AZN102" s="952"/>
      <c r="AZO102" s="952"/>
      <c r="AZP102" s="952"/>
      <c r="AZQ102" s="952"/>
      <c r="AZR102" s="952"/>
      <c r="AZS102" s="952"/>
      <c r="AZT102" s="952"/>
      <c r="AZU102" s="952"/>
      <c r="AZV102" s="952"/>
      <c r="AZW102" s="952"/>
      <c r="AZX102" s="952"/>
      <c r="AZY102" s="952"/>
      <c r="AZZ102" s="952"/>
      <c r="BAA102" s="952"/>
      <c r="BAB102" s="952"/>
      <c r="BAC102" s="952"/>
      <c r="BAD102" s="952"/>
      <c r="BAE102" s="952"/>
      <c r="BAF102" s="952"/>
      <c r="BAG102" s="952"/>
      <c r="BAH102" s="952"/>
      <c r="BAI102" s="952"/>
      <c r="BAJ102" s="952"/>
      <c r="BAK102" s="952"/>
      <c r="BAL102" s="952"/>
      <c r="BAM102" s="952"/>
      <c r="BAN102" s="952"/>
      <c r="BAO102" s="952"/>
      <c r="BAP102" s="952"/>
      <c r="BAQ102" s="952"/>
      <c r="BAR102" s="952"/>
      <c r="BAS102" s="952"/>
      <c r="BAT102" s="952"/>
      <c r="BAU102" s="952"/>
      <c r="BAV102" s="952"/>
      <c r="BAW102" s="952"/>
      <c r="BAX102" s="952"/>
      <c r="BAY102" s="952"/>
      <c r="BAZ102" s="952"/>
      <c r="BBA102" s="952"/>
      <c r="BBB102" s="952"/>
      <c r="BBC102" s="952"/>
      <c r="BBD102" s="952"/>
      <c r="BBE102" s="952"/>
      <c r="BBF102" s="952"/>
      <c r="BBG102" s="952"/>
      <c r="BBH102" s="952"/>
      <c r="BBI102" s="952"/>
      <c r="BBJ102" s="952"/>
      <c r="BBK102" s="952"/>
      <c r="BBL102" s="952"/>
      <c r="BBM102" s="952"/>
      <c r="BBN102" s="952"/>
      <c r="BBO102" s="952"/>
      <c r="BBP102" s="952"/>
      <c r="BBQ102" s="952"/>
      <c r="BBR102" s="952"/>
      <c r="BBS102" s="952"/>
      <c r="BBT102" s="952"/>
      <c r="BBU102" s="952"/>
      <c r="BBV102" s="952"/>
      <c r="BBW102" s="952"/>
      <c r="BBX102" s="952"/>
      <c r="BBY102" s="952"/>
      <c r="BBZ102" s="952"/>
      <c r="BCA102" s="952"/>
      <c r="BCB102" s="952"/>
      <c r="BCC102" s="952"/>
      <c r="BCD102" s="952"/>
      <c r="BCE102" s="952"/>
      <c r="BCF102" s="952"/>
      <c r="BCG102" s="952"/>
      <c r="BCH102" s="952"/>
      <c r="BCI102" s="952"/>
      <c r="BCJ102" s="952"/>
      <c r="BCK102" s="952"/>
      <c r="BCL102" s="952"/>
      <c r="BCM102" s="952"/>
      <c r="BCN102" s="952"/>
      <c r="BCO102" s="952"/>
      <c r="BCP102" s="952"/>
      <c r="BCQ102" s="952"/>
      <c r="BCR102" s="952"/>
      <c r="BCS102" s="952"/>
      <c r="BCT102" s="952"/>
      <c r="BCU102" s="952"/>
      <c r="BCV102" s="952"/>
      <c r="BCW102" s="952"/>
      <c r="BCX102" s="952"/>
      <c r="BCY102" s="952"/>
      <c r="BCZ102" s="952"/>
      <c r="BDA102" s="952"/>
      <c r="BDB102" s="952"/>
      <c r="BDC102" s="952"/>
      <c r="BDD102" s="952"/>
      <c r="BDE102" s="952"/>
      <c r="BDF102" s="952"/>
      <c r="BDG102" s="952"/>
      <c r="BDH102" s="952"/>
      <c r="BDI102" s="952"/>
      <c r="BDJ102" s="952"/>
      <c r="BDK102" s="952"/>
      <c r="BDL102" s="952"/>
      <c r="BDM102" s="952"/>
      <c r="BDN102" s="952"/>
      <c r="BDO102" s="952"/>
      <c r="BDP102" s="952"/>
      <c r="BDQ102" s="952"/>
      <c r="BDR102" s="952"/>
      <c r="BDS102" s="952"/>
      <c r="BDT102" s="952"/>
      <c r="BDU102" s="952"/>
      <c r="BDV102" s="952"/>
      <c r="BDW102" s="952"/>
      <c r="BDX102" s="952"/>
      <c r="BDY102" s="952"/>
      <c r="BDZ102" s="952"/>
      <c r="BEA102" s="952"/>
      <c r="BEB102" s="952"/>
      <c r="BEC102" s="952"/>
      <c r="BED102" s="952"/>
      <c r="BEE102" s="952"/>
      <c r="BEF102" s="952"/>
      <c r="BEG102" s="952"/>
      <c r="BEH102" s="952"/>
      <c r="BEI102" s="952"/>
      <c r="BEJ102" s="952"/>
      <c r="BEK102" s="952"/>
      <c r="BEL102" s="952"/>
      <c r="BEM102" s="952"/>
      <c r="BEN102" s="952"/>
      <c r="BEO102" s="952"/>
      <c r="BEP102" s="952"/>
      <c r="BEQ102" s="952"/>
      <c r="BER102" s="952"/>
      <c r="BES102" s="952"/>
      <c r="BET102" s="952"/>
      <c r="BEU102" s="952"/>
      <c r="BEV102" s="952"/>
      <c r="BEW102" s="952"/>
      <c r="BEX102" s="952"/>
      <c r="BEY102" s="952"/>
      <c r="BEZ102" s="952"/>
      <c r="BFA102" s="952"/>
      <c r="BFB102" s="952"/>
      <c r="BFC102" s="952"/>
      <c r="BFD102" s="952"/>
      <c r="BFE102" s="952"/>
      <c r="BFF102" s="952"/>
      <c r="BFG102" s="952"/>
      <c r="BFH102" s="952"/>
      <c r="BFI102" s="952"/>
      <c r="BFJ102" s="952"/>
      <c r="BFK102" s="952"/>
      <c r="BFL102" s="952"/>
      <c r="BFM102" s="952"/>
      <c r="BFN102" s="952"/>
      <c r="BFO102" s="952"/>
      <c r="BFP102" s="952"/>
      <c r="BFQ102" s="952"/>
      <c r="BFR102" s="952"/>
      <c r="BFS102" s="952"/>
      <c r="BFT102" s="952"/>
      <c r="BFU102" s="952"/>
      <c r="BFV102" s="952"/>
      <c r="BFW102" s="952"/>
      <c r="BFX102" s="952"/>
      <c r="BFY102" s="952"/>
      <c r="BFZ102" s="952"/>
      <c r="BGA102" s="952"/>
      <c r="BGB102" s="952"/>
      <c r="BGC102" s="952"/>
      <c r="BGD102" s="952"/>
      <c r="BGE102" s="952"/>
      <c r="BGF102" s="952"/>
      <c r="BGG102" s="952"/>
      <c r="BGH102" s="952"/>
      <c r="BGI102" s="952"/>
      <c r="BGJ102" s="952"/>
      <c r="BGK102" s="952"/>
      <c r="BGL102" s="952"/>
      <c r="BGM102" s="952"/>
      <c r="BGN102" s="952"/>
      <c r="BGO102" s="952"/>
      <c r="BGP102" s="952"/>
      <c r="BGQ102" s="952"/>
      <c r="BGR102" s="952"/>
      <c r="BGS102" s="952"/>
      <c r="BGT102" s="952"/>
      <c r="BGU102" s="952"/>
      <c r="BGV102" s="952"/>
      <c r="BGW102" s="952"/>
      <c r="BGX102" s="952"/>
      <c r="BGY102" s="952"/>
      <c r="BGZ102" s="952"/>
      <c r="BHA102" s="952"/>
      <c r="BHB102" s="952"/>
      <c r="BHC102" s="952"/>
      <c r="BHD102" s="952"/>
      <c r="BHE102" s="952"/>
      <c r="BHF102" s="952"/>
      <c r="BHG102" s="952"/>
      <c r="BHH102" s="952"/>
      <c r="BHI102" s="952"/>
      <c r="BHJ102" s="952"/>
      <c r="BHK102" s="952"/>
      <c r="BHL102" s="952"/>
      <c r="BHM102" s="952"/>
      <c r="BHN102" s="952"/>
      <c r="BHO102" s="952"/>
      <c r="BHP102" s="952"/>
      <c r="BHQ102" s="952"/>
      <c r="BHR102" s="952"/>
      <c r="BHS102" s="952"/>
      <c r="BHT102" s="952"/>
      <c r="BHU102" s="952"/>
      <c r="BHV102" s="952"/>
      <c r="BHW102" s="952"/>
      <c r="BHX102" s="952"/>
      <c r="BHY102" s="952"/>
      <c r="BHZ102" s="952"/>
      <c r="BIA102" s="952"/>
      <c r="BIB102" s="952"/>
      <c r="BIC102" s="952"/>
      <c r="BID102" s="952"/>
      <c r="BIE102" s="952"/>
      <c r="BIF102" s="952"/>
      <c r="BIG102" s="952"/>
      <c r="BIH102" s="952"/>
      <c r="BII102" s="952"/>
      <c r="BIJ102" s="952"/>
      <c r="BIK102" s="952"/>
      <c r="BIL102" s="952"/>
      <c r="BIM102" s="952"/>
      <c r="BIN102" s="952"/>
      <c r="BIO102" s="952"/>
      <c r="BIP102" s="952"/>
      <c r="BIQ102" s="952"/>
      <c r="BIR102" s="952"/>
      <c r="BIS102" s="952"/>
      <c r="BIT102" s="952"/>
      <c r="BIU102" s="952"/>
      <c r="BIV102" s="952"/>
      <c r="BIW102" s="952"/>
      <c r="BIX102" s="952"/>
      <c r="BIY102" s="952"/>
      <c r="BIZ102" s="952"/>
      <c r="BJA102" s="952"/>
      <c r="BJB102" s="952"/>
      <c r="BJC102" s="952"/>
      <c r="BJD102" s="952"/>
      <c r="BJE102" s="952"/>
      <c r="BJF102" s="952"/>
      <c r="BJG102" s="952"/>
      <c r="BJH102" s="952"/>
      <c r="BJI102" s="952"/>
      <c r="BJJ102" s="952"/>
      <c r="BJK102" s="952"/>
      <c r="BJL102" s="952"/>
      <c r="BJM102" s="952"/>
      <c r="BJN102" s="952"/>
      <c r="BJO102" s="952"/>
      <c r="BJP102" s="952"/>
      <c r="BJQ102" s="952"/>
      <c r="BJR102" s="952"/>
      <c r="BJS102" s="952"/>
      <c r="BJT102" s="952"/>
      <c r="BJU102" s="952"/>
      <c r="BJV102" s="952"/>
      <c r="BJW102" s="952"/>
      <c r="BJX102" s="952"/>
      <c r="BJY102" s="952"/>
      <c r="BJZ102" s="952"/>
      <c r="BKA102" s="952"/>
      <c r="BKB102" s="952"/>
      <c r="BKC102" s="952"/>
      <c r="BKD102" s="952"/>
      <c r="BKE102" s="952"/>
      <c r="BKF102" s="952"/>
      <c r="BKG102" s="952"/>
      <c r="BKH102" s="952"/>
      <c r="BKI102" s="952"/>
      <c r="BKJ102" s="952"/>
      <c r="BKK102" s="952"/>
      <c r="BKL102" s="952"/>
      <c r="BKM102" s="952"/>
      <c r="BKN102" s="952"/>
      <c r="BKO102" s="952"/>
      <c r="BKP102" s="952"/>
      <c r="BKQ102" s="952"/>
      <c r="BKR102" s="952"/>
      <c r="BKS102" s="952"/>
      <c r="BKT102" s="952"/>
      <c r="BKU102" s="952"/>
      <c r="BKV102" s="952"/>
      <c r="BKW102" s="952"/>
      <c r="BKX102" s="952"/>
      <c r="BKY102" s="952"/>
      <c r="BKZ102" s="952"/>
      <c r="BLA102" s="952"/>
      <c r="BLB102" s="952"/>
      <c r="BLC102" s="952"/>
      <c r="BLD102" s="952"/>
      <c r="BLE102" s="952"/>
      <c r="BLF102" s="952"/>
      <c r="BLG102" s="952"/>
      <c r="BLH102" s="952"/>
      <c r="BLI102" s="952"/>
      <c r="BLJ102" s="952"/>
      <c r="BLK102" s="952"/>
      <c r="BLL102" s="952"/>
      <c r="BLM102" s="952"/>
      <c r="BLN102" s="952"/>
      <c r="BLO102" s="952"/>
      <c r="BLP102" s="952"/>
      <c r="BLQ102" s="952"/>
      <c r="BLR102" s="952"/>
      <c r="BLS102" s="952"/>
      <c r="BLT102" s="952"/>
      <c r="BLU102" s="952"/>
      <c r="BLV102" s="952"/>
      <c r="BLW102" s="952"/>
      <c r="BLX102" s="952"/>
      <c r="BLY102" s="952"/>
      <c r="BLZ102" s="952"/>
      <c r="BMA102" s="952"/>
      <c r="BMB102" s="952"/>
      <c r="BMC102" s="952"/>
      <c r="BMD102" s="952"/>
      <c r="BME102" s="952"/>
      <c r="BMF102" s="952"/>
      <c r="BMG102" s="952"/>
      <c r="BMH102" s="952"/>
      <c r="BMI102" s="952"/>
      <c r="BMJ102" s="952"/>
      <c r="BMK102" s="952"/>
      <c r="BML102" s="952"/>
      <c r="BMM102" s="952"/>
      <c r="BMN102" s="952"/>
      <c r="BMO102" s="952"/>
      <c r="BMP102" s="952"/>
      <c r="BMQ102" s="952"/>
      <c r="BMR102" s="952"/>
      <c r="BMS102" s="952"/>
      <c r="BMT102" s="952"/>
      <c r="BMU102" s="952"/>
      <c r="BMV102" s="952"/>
      <c r="BMW102" s="952"/>
      <c r="BMX102" s="952"/>
      <c r="BMY102" s="952"/>
      <c r="BMZ102" s="952"/>
      <c r="BNA102" s="952"/>
      <c r="BNB102" s="952"/>
      <c r="BNC102" s="952"/>
      <c r="BND102" s="952"/>
      <c r="BNE102" s="952"/>
      <c r="BNF102" s="952"/>
      <c r="BNG102" s="952"/>
      <c r="BNH102" s="952"/>
      <c r="BNI102" s="952"/>
      <c r="BNJ102" s="952"/>
      <c r="BNK102" s="952"/>
      <c r="BNL102" s="952"/>
      <c r="BNM102" s="952"/>
      <c r="BNN102" s="952"/>
      <c r="BNO102" s="952"/>
      <c r="BNP102" s="952"/>
      <c r="BNQ102" s="952"/>
      <c r="BNR102" s="952"/>
      <c r="BNS102" s="952"/>
      <c r="BNT102" s="952"/>
      <c r="BNU102" s="952"/>
      <c r="BNV102" s="952"/>
      <c r="BNW102" s="952"/>
      <c r="BNX102" s="952"/>
      <c r="BNY102" s="952"/>
      <c r="BNZ102" s="952"/>
      <c r="BOA102" s="952"/>
      <c r="BOB102" s="952"/>
      <c r="BOC102" s="952"/>
      <c r="BOD102" s="952"/>
      <c r="BOE102" s="952"/>
      <c r="BOF102" s="952"/>
      <c r="BOG102" s="952"/>
      <c r="BOH102" s="952"/>
      <c r="BOI102" s="952"/>
      <c r="BOJ102" s="952"/>
      <c r="BOK102" s="952"/>
      <c r="BOL102" s="952"/>
      <c r="BOM102" s="952"/>
      <c r="BON102" s="952"/>
      <c r="BOO102" s="952"/>
      <c r="BOP102" s="952"/>
      <c r="BOQ102" s="952"/>
      <c r="BOR102" s="952"/>
      <c r="BOS102" s="952"/>
      <c r="BOT102" s="952"/>
      <c r="BOU102" s="952"/>
      <c r="BOV102" s="952"/>
      <c r="BOW102" s="952"/>
      <c r="BOX102" s="952"/>
      <c r="BOY102" s="952"/>
      <c r="BOZ102" s="952"/>
      <c r="BPA102" s="952"/>
      <c r="BPB102" s="952"/>
      <c r="BPC102" s="952"/>
      <c r="BPD102" s="952"/>
      <c r="BPE102" s="952"/>
      <c r="BPF102" s="952"/>
      <c r="BPG102" s="952"/>
      <c r="BPH102" s="952"/>
      <c r="BPI102" s="952"/>
      <c r="BPJ102" s="952"/>
      <c r="BPK102" s="952"/>
      <c r="BPL102" s="952"/>
      <c r="BPM102" s="952"/>
      <c r="BPN102" s="952"/>
      <c r="BPO102" s="952"/>
      <c r="BPP102" s="952"/>
      <c r="BPQ102" s="952"/>
      <c r="BPR102" s="952"/>
      <c r="BPS102" s="952"/>
      <c r="BPT102" s="952"/>
      <c r="BPU102" s="952"/>
      <c r="BPV102" s="952"/>
      <c r="BPW102" s="952"/>
      <c r="BPX102" s="952"/>
      <c r="BPY102" s="952"/>
      <c r="BPZ102" s="952"/>
      <c r="BQA102" s="952"/>
      <c r="BQB102" s="952"/>
      <c r="BQC102" s="952"/>
      <c r="BQD102" s="952"/>
      <c r="BQE102" s="952"/>
      <c r="BQF102" s="952"/>
      <c r="BQG102" s="952"/>
      <c r="BQH102" s="952"/>
      <c r="BQI102" s="952"/>
      <c r="BQJ102" s="952"/>
      <c r="BQK102" s="952"/>
      <c r="BQL102" s="952"/>
      <c r="BQM102" s="952"/>
      <c r="BQN102" s="952"/>
      <c r="BQO102" s="952"/>
      <c r="BQP102" s="952"/>
      <c r="BQQ102" s="952"/>
      <c r="BQR102" s="952"/>
      <c r="BQS102" s="952"/>
      <c r="BQT102" s="952"/>
      <c r="BQU102" s="952"/>
      <c r="BQV102" s="952"/>
      <c r="BQW102" s="952"/>
      <c r="BQX102" s="952"/>
      <c r="BQY102" s="952"/>
      <c r="BQZ102" s="952"/>
      <c r="BRA102" s="952"/>
      <c r="BRB102" s="952"/>
      <c r="BRC102" s="952"/>
      <c r="BRD102" s="952"/>
      <c r="BRE102" s="952"/>
      <c r="BRF102" s="952"/>
      <c r="BRG102" s="952"/>
      <c r="BRH102" s="952"/>
      <c r="BRI102" s="952"/>
      <c r="BRJ102" s="952"/>
      <c r="BRK102" s="952"/>
      <c r="BRL102" s="952"/>
      <c r="BRM102" s="952"/>
      <c r="BRN102" s="952"/>
      <c r="BRO102" s="952"/>
      <c r="BRP102" s="952"/>
      <c r="BRQ102" s="952"/>
      <c r="BRR102" s="952"/>
      <c r="BRS102" s="952"/>
      <c r="BRT102" s="952"/>
      <c r="BRU102" s="952"/>
      <c r="BRV102" s="952"/>
      <c r="BRW102" s="952"/>
      <c r="BRX102" s="952"/>
      <c r="BRY102" s="952"/>
      <c r="BRZ102" s="952"/>
      <c r="BSA102" s="952"/>
      <c r="BSB102" s="952"/>
      <c r="BSC102" s="952"/>
      <c r="BSD102" s="952"/>
      <c r="BSE102" s="952"/>
      <c r="BSF102" s="952"/>
      <c r="BSG102" s="952"/>
      <c r="BSH102" s="952"/>
      <c r="BSI102" s="952"/>
      <c r="BSJ102" s="952"/>
      <c r="BSK102" s="952"/>
      <c r="BSL102" s="952"/>
      <c r="BSM102" s="952"/>
      <c r="BSN102" s="952"/>
      <c r="BSO102" s="952"/>
      <c r="BSP102" s="952"/>
      <c r="BSQ102" s="952"/>
      <c r="BSR102" s="952"/>
      <c r="BSS102" s="952"/>
      <c r="BST102" s="952"/>
      <c r="BSU102" s="952"/>
      <c r="BSV102" s="952"/>
      <c r="BSW102" s="952"/>
      <c r="BSX102" s="952"/>
      <c r="BSY102" s="952"/>
      <c r="BSZ102" s="952"/>
      <c r="BTA102" s="952"/>
      <c r="BTB102" s="952"/>
      <c r="BTC102" s="952"/>
      <c r="BTD102" s="952"/>
      <c r="BTE102" s="952"/>
      <c r="BTF102" s="952"/>
      <c r="BTG102" s="952"/>
      <c r="BTH102" s="952"/>
      <c r="BTI102" s="952"/>
      <c r="BTJ102" s="952"/>
      <c r="BTK102" s="952"/>
      <c r="BTL102" s="952"/>
      <c r="BTM102" s="952"/>
      <c r="BTN102" s="952"/>
      <c r="BTO102" s="952"/>
      <c r="BTP102" s="952"/>
      <c r="BTQ102" s="952"/>
      <c r="BTR102" s="952"/>
      <c r="BTS102" s="952"/>
      <c r="BTT102" s="952"/>
      <c r="BTU102" s="952"/>
      <c r="BTV102" s="952"/>
      <c r="BTW102" s="952"/>
      <c r="BTX102" s="952"/>
      <c r="BTY102" s="952"/>
      <c r="BTZ102" s="952"/>
      <c r="BUA102" s="952"/>
      <c r="BUB102" s="952"/>
      <c r="BUC102" s="952"/>
      <c r="BUD102" s="952"/>
      <c r="BUE102" s="952"/>
      <c r="BUF102" s="952"/>
      <c r="BUG102" s="952"/>
      <c r="BUH102" s="952"/>
      <c r="BUI102" s="952"/>
      <c r="BUJ102" s="952"/>
      <c r="BUK102" s="952"/>
      <c r="BUL102" s="952"/>
      <c r="BUM102" s="952"/>
      <c r="BUN102" s="952"/>
      <c r="BUO102" s="952"/>
      <c r="BUP102" s="952"/>
      <c r="BUQ102" s="952"/>
      <c r="BUR102" s="952"/>
      <c r="BUS102" s="952"/>
      <c r="BUT102" s="952"/>
      <c r="BUU102" s="952"/>
      <c r="BUV102" s="952"/>
      <c r="BUW102" s="952"/>
      <c r="BUX102" s="952"/>
      <c r="BUY102" s="952"/>
      <c r="BUZ102" s="952"/>
      <c r="BVA102" s="952"/>
      <c r="BVB102" s="952"/>
      <c r="BVC102" s="952"/>
      <c r="BVD102" s="952"/>
      <c r="BVE102" s="952"/>
      <c r="BVF102" s="952"/>
      <c r="BVG102" s="952"/>
      <c r="BVH102" s="952"/>
      <c r="BVI102" s="952"/>
      <c r="BVJ102" s="952"/>
      <c r="BVK102" s="952"/>
      <c r="BVL102" s="952"/>
      <c r="BVM102" s="952"/>
      <c r="BVN102" s="952"/>
      <c r="BVO102" s="952"/>
      <c r="BVP102" s="952"/>
      <c r="BVQ102" s="952"/>
      <c r="BVR102" s="952"/>
      <c r="BVS102" s="952"/>
      <c r="BVT102" s="952"/>
      <c r="BVU102" s="952"/>
      <c r="BVV102" s="952"/>
      <c r="BVW102" s="952"/>
      <c r="BVX102" s="952"/>
      <c r="BVY102" s="952"/>
      <c r="BVZ102" s="952"/>
      <c r="BWA102" s="952"/>
      <c r="BWB102" s="952"/>
      <c r="BWC102" s="952"/>
      <c r="BWD102" s="952"/>
      <c r="BWE102" s="952"/>
      <c r="BWF102" s="952"/>
      <c r="BWG102" s="952"/>
      <c r="BWH102" s="952"/>
      <c r="BWI102" s="952"/>
      <c r="BWJ102" s="952"/>
      <c r="BWK102" s="952"/>
      <c r="BWL102" s="952"/>
      <c r="BWM102" s="952"/>
      <c r="BWN102" s="952"/>
      <c r="BWO102" s="952"/>
      <c r="BWP102" s="952"/>
      <c r="BWQ102" s="952"/>
      <c r="BWR102" s="952"/>
      <c r="BWS102" s="952"/>
      <c r="BWT102" s="952"/>
      <c r="BWU102" s="952"/>
      <c r="BWV102" s="952"/>
      <c r="BWW102" s="952"/>
      <c r="BWX102" s="952"/>
      <c r="BWY102" s="952"/>
      <c r="BWZ102" s="952"/>
      <c r="BXA102" s="952"/>
      <c r="BXB102" s="952"/>
      <c r="BXC102" s="952"/>
      <c r="BXD102" s="952"/>
      <c r="BXE102" s="952"/>
      <c r="BXF102" s="952"/>
      <c r="BXG102" s="952"/>
      <c r="BXH102" s="952"/>
      <c r="BXI102" s="952"/>
      <c r="BXJ102" s="952"/>
      <c r="BXK102" s="952"/>
      <c r="BXL102" s="952"/>
      <c r="BXM102" s="952"/>
      <c r="BXN102" s="952"/>
      <c r="BXO102" s="952"/>
      <c r="BXP102" s="952"/>
      <c r="BXQ102" s="952"/>
      <c r="BXR102" s="952"/>
      <c r="BXS102" s="952"/>
      <c r="BXT102" s="952"/>
      <c r="BXU102" s="952"/>
      <c r="BXV102" s="952"/>
      <c r="BXW102" s="952"/>
      <c r="BXX102" s="952"/>
      <c r="BXY102" s="952"/>
      <c r="BXZ102" s="952"/>
      <c r="BYA102" s="952"/>
      <c r="BYB102" s="952"/>
      <c r="BYC102" s="952"/>
      <c r="BYD102" s="952"/>
      <c r="BYE102" s="952"/>
      <c r="BYF102" s="952"/>
      <c r="BYG102" s="952"/>
      <c r="BYH102" s="952"/>
      <c r="BYI102" s="952"/>
      <c r="BYJ102" s="952"/>
      <c r="BYK102" s="952"/>
      <c r="BYL102" s="952"/>
      <c r="BYM102" s="952"/>
      <c r="BYN102" s="952"/>
      <c r="BYO102" s="952"/>
      <c r="BYP102" s="952"/>
      <c r="BYQ102" s="952"/>
      <c r="BYR102" s="952"/>
      <c r="BYS102" s="952"/>
      <c r="BYT102" s="952"/>
      <c r="BYU102" s="952"/>
      <c r="BYV102" s="952"/>
      <c r="BYW102" s="952"/>
      <c r="BYX102" s="952"/>
      <c r="BYY102" s="952"/>
      <c r="BYZ102" s="952"/>
      <c r="BZA102" s="952"/>
      <c r="BZB102" s="952"/>
      <c r="BZC102" s="952"/>
      <c r="BZD102" s="952"/>
      <c r="BZE102" s="952"/>
      <c r="BZF102" s="952"/>
      <c r="BZG102" s="952"/>
      <c r="BZH102" s="952"/>
      <c r="BZI102" s="952"/>
      <c r="BZJ102" s="952"/>
      <c r="BZK102" s="952"/>
      <c r="BZL102" s="952"/>
      <c r="BZM102" s="952"/>
      <c r="BZN102" s="952"/>
      <c r="BZO102" s="952"/>
      <c r="BZP102" s="952"/>
      <c r="BZQ102" s="952"/>
      <c r="BZR102" s="952"/>
      <c r="BZS102" s="952"/>
      <c r="BZT102" s="952"/>
      <c r="BZU102" s="952"/>
      <c r="BZV102" s="952"/>
      <c r="BZW102" s="952"/>
      <c r="BZX102" s="952"/>
      <c r="BZY102" s="952"/>
      <c r="BZZ102" s="952"/>
      <c r="CAA102" s="952"/>
      <c r="CAB102" s="952"/>
      <c r="CAC102" s="952"/>
      <c r="CAD102" s="952"/>
      <c r="CAE102" s="952"/>
      <c r="CAF102" s="952"/>
      <c r="CAG102" s="952"/>
      <c r="CAH102" s="952"/>
      <c r="CAI102" s="952"/>
      <c r="CAJ102" s="952"/>
      <c r="CAK102" s="952"/>
      <c r="CAL102" s="952"/>
      <c r="CAM102" s="952"/>
      <c r="CAN102" s="952"/>
      <c r="CAO102" s="952"/>
      <c r="CAP102" s="952"/>
      <c r="CAQ102" s="952"/>
      <c r="CAR102" s="952"/>
      <c r="CAS102" s="952"/>
      <c r="CAT102" s="952"/>
      <c r="CAU102" s="952"/>
      <c r="CAV102" s="952"/>
      <c r="CAW102" s="952"/>
      <c r="CAX102" s="952"/>
      <c r="CAY102" s="952"/>
      <c r="CAZ102" s="952"/>
      <c r="CBA102" s="952"/>
      <c r="CBB102" s="952"/>
      <c r="CBC102" s="952"/>
      <c r="CBD102" s="952"/>
      <c r="CBE102" s="952"/>
      <c r="CBF102" s="952"/>
      <c r="CBG102" s="952"/>
      <c r="CBH102" s="952"/>
      <c r="CBI102" s="952"/>
      <c r="CBJ102" s="952"/>
      <c r="CBK102" s="952"/>
      <c r="CBL102" s="952"/>
      <c r="CBM102" s="952"/>
      <c r="CBN102" s="952"/>
      <c r="CBO102" s="952"/>
      <c r="CBP102" s="952"/>
      <c r="CBQ102" s="952"/>
      <c r="CBR102" s="952"/>
      <c r="CBS102" s="952"/>
      <c r="CBT102" s="952"/>
      <c r="CBU102" s="952"/>
      <c r="CBV102" s="952"/>
      <c r="CBW102" s="952"/>
      <c r="CBX102" s="952"/>
      <c r="CBY102" s="952"/>
      <c r="CBZ102" s="952"/>
      <c r="CCA102" s="952"/>
      <c r="CCB102" s="952"/>
      <c r="CCC102" s="952"/>
      <c r="CCD102" s="952"/>
      <c r="CCE102" s="952"/>
      <c r="CCF102" s="952"/>
      <c r="CCG102" s="952"/>
      <c r="CCH102" s="952"/>
      <c r="CCI102" s="952"/>
      <c r="CCJ102" s="952"/>
      <c r="CCK102" s="952"/>
      <c r="CCL102" s="952"/>
      <c r="CCM102" s="952"/>
      <c r="CCN102" s="952"/>
      <c r="CCO102" s="952"/>
      <c r="CCP102" s="952"/>
      <c r="CCQ102" s="952"/>
      <c r="CCR102" s="952"/>
      <c r="CCS102" s="952"/>
      <c r="CCT102" s="952"/>
      <c r="CCU102" s="952"/>
      <c r="CCV102" s="952"/>
      <c r="CCW102" s="952"/>
      <c r="CCX102" s="952"/>
      <c r="CCY102" s="952"/>
      <c r="CCZ102" s="952"/>
      <c r="CDA102" s="952"/>
      <c r="CDB102" s="952"/>
      <c r="CDC102" s="952"/>
      <c r="CDD102" s="952"/>
      <c r="CDE102" s="952"/>
      <c r="CDF102" s="952"/>
      <c r="CDG102" s="952"/>
      <c r="CDH102" s="952"/>
      <c r="CDI102" s="952"/>
      <c r="CDJ102" s="952"/>
      <c r="CDK102" s="952"/>
      <c r="CDL102" s="952"/>
      <c r="CDM102" s="952"/>
      <c r="CDN102" s="952"/>
      <c r="CDO102" s="952"/>
      <c r="CDP102" s="952"/>
      <c r="CDQ102" s="952"/>
      <c r="CDR102" s="952"/>
      <c r="CDS102" s="952"/>
      <c r="CDT102" s="952"/>
      <c r="CDU102" s="952"/>
      <c r="CDV102" s="952"/>
      <c r="CDW102" s="952"/>
      <c r="CDX102" s="952"/>
      <c r="CDY102" s="952"/>
      <c r="CDZ102" s="952"/>
      <c r="CEA102" s="952"/>
      <c r="CEB102" s="952"/>
      <c r="CEC102" s="952"/>
      <c r="CED102" s="952"/>
      <c r="CEE102" s="952"/>
      <c r="CEF102" s="952"/>
      <c r="CEG102" s="952"/>
      <c r="CEH102" s="952"/>
      <c r="CEI102" s="952"/>
      <c r="CEJ102" s="952"/>
      <c r="CEK102" s="952"/>
      <c r="CEL102" s="952"/>
      <c r="CEM102" s="952"/>
      <c r="CEN102" s="952"/>
      <c r="CEO102" s="952"/>
      <c r="CEP102" s="952"/>
      <c r="CEQ102" s="952"/>
      <c r="CER102" s="952"/>
      <c r="CES102" s="952"/>
      <c r="CET102" s="952"/>
      <c r="CEU102" s="952"/>
      <c r="CEV102" s="952"/>
      <c r="CEW102" s="952"/>
      <c r="CEX102" s="952"/>
      <c r="CEY102" s="952"/>
      <c r="CEZ102" s="952"/>
      <c r="CFA102" s="952"/>
      <c r="CFB102" s="952"/>
      <c r="CFC102" s="952"/>
      <c r="CFD102" s="952"/>
      <c r="CFE102" s="952"/>
      <c r="CFF102" s="952"/>
      <c r="CFG102" s="952"/>
      <c r="CFH102" s="952"/>
      <c r="CFI102" s="952"/>
      <c r="CFJ102" s="952"/>
      <c r="CFK102" s="952"/>
      <c r="CFL102" s="952"/>
      <c r="CFM102" s="952"/>
      <c r="CFN102" s="952"/>
      <c r="CFO102" s="952"/>
      <c r="CFP102" s="952"/>
      <c r="CFQ102" s="952"/>
      <c r="CFR102" s="952"/>
      <c r="CFS102" s="952"/>
      <c r="CFT102" s="952"/>
      <c r="CFU102" s="952"/>
      <c r="CFV102" s="952"/>
      <c r="CFW102" s="952"/>
      <c r="CFX102" s="952"/>
      <c r="CFY102" s="952"/>
      <c r="CFZ102" s="952"/>
      <c r="CGA102" s="952"/>
      <c r="CGB102" s="952"/>
      <c r="CGC102" s="952"/>
      <c r="CGD102" s="952"/>
      <c r="CGE102" s="952"/>
      <c r="CGF102" s="952"/>
      <c r="CGG102" s="952"/>
      <c r="CGH102" s="952"/>
      <c r="CGI102" s="952"/>
      <c r="CGJ102" s="952"/>
      <c r="CGK102" s="952"/>
      <c r="CGL102" s="952"/>
      <c r="CGM102" s="952"/>
      <c r="CGN102" s="952"/>
      <c r="CGO102" s="952"/>
      <c r="CGP102" s="952"/>
      <c r="CGQ102" s="952"/>
      <c r="CGR102" s="952"/>
      <c r="CGS102" s="952"/>
      <c r="CGT102" s="952"/>
      <c r="CGU102" s="952"/>
      <c r="CGV102" s="952"/>
      <c r="CGW102" s="952"/>
      <c r="CGX102" s="952"/>
      <c r="CGY102" s="952"/>
      <c r="CGZ102" s="952"/>
      <c r="CHA102" s="952"/>
      <c r="CHB102" s="952"/>
      <c r="CHC102" s="952"/>
      <c r="CHD102" s="952"/>
      <c r="CHE102" s="952"/>
      <c r="CHF102" s="952"/>
      <c r="CHG102" s="952"/>
      <c r="CHH102" s="952"/>
      <c r="CHI102" s="952"/>
      <c r="CHJ102" s="952"/>
      <c r="CHK102" s="952"/>
      <c r="CHL102" s="952"/>
      <c r="CHM102" s="952"/>
      <c r="CHN102" s="952"/>
      <c r="CHO102" s="952"/>
      <c r="CHP102" s="952"/>
      <c r="CHQ102" s="952"/>
      <c r="CHR102" s="952"/>
      <c r="CHS102" s="952"/>
      <c r="CHT102" s="952"/>
      <c r="CHU102" s="952"/>
      <c r="CHV102" s="952"/>
      <c r="CHW102" s="952"/>
      <c r="CHX102" s="952"/>
      <c r="CHY102" s="952"/>
      <c r="CHZ102" s="952"/>
      <c r="CIA102" s="952"/>
      <c r="CIB102" s="952"/>
      <c r="CIC102" s="952"/>
      <c r="CID102" s="952"/>
      <c r="CIE102" s="952"/>
      <c r="CIF102" s="952"/>
      <c r="CIG102" s="952"/>
      <c r="CIH102" s="952"/>
      <c r="CII102" s="952"/>
      <c r="CIJ102" s="952"/>
      <c r="CIK102" s="952"/>
      <c r="CIL102" s="952"/>
      <c r="CIM102" s="952"/>
      <c r="CIN102" s="952"/>
      <c r="CIO102" s="952"/>
      <c r="CIP102" s="952"/>
      <c r="CIQ102" s="952"/>
      <c r="CIR102" s="952"/>
      <c r="CIS102" s="952"/>
      <c r="CIT102" s="952"/>
      <c r="CIU102" s="952"/>
      <c r="CIV102" s="952"/>
      <c r="CIW102" s="952"/>
      <c r="CIX102" s="952"/>
      <c r="CIY102" s="952"/>
      <c r="CIZ102" s="952"/>
      <c r="CJA102" s="952"/>
      <c r="CJB102" s="952"/>
      <c r="CJC102" s="952"/>
      <c r="CJD102" s="952"/>
      <c r="CJE102" s="952"/>
      <c r="CJF102" s="952"/>
      <c r="CJG102" s="952"/>
      <c r="CJH102" s="952"/>
      <c r="CJI102" s="952"/>
      <c r="CJJ102" s="952"/>
      <c r="CJK102" s="952"/>
      <c r="CJL102" s="952"/>
      <c r="CJM102" s="952"/>
      <c r="CJN102" s="952"/>
      <c r="CJO102" s="952"/>
      <c r="CJP102" s="952"/>
      <c r="CJQ102" s="952"/>
      <c r="CJR102" s="952"/>
      <c r="CJS102" s="952"/>
      <c r="CJT102" s="952"/>
      <c r="CJU102" s="952"/>
      <c r="CJV102" s="952"/>
      <c r="CJW102" s="952"/>
      <c r="CJX102" s="952"/>
      <c r="CJY102" s="952"/>
      <c r="CJZ102" s="952"/>
      <c r="CKA102" s="952"/>
      <c r="CKB102" s="952"/>
      <c r="CKC102" s="952"/>
      <c r="CKD102" s="952"/>
      <c r="CKE102" s="952"/>
      <c r="CKF102" s="952"/>
      <c r="CKG102" s="952"/>
      <c r="CKH102" s="952"/>
      <c r="CKI102" s="952"/>
      <c r="CKJ102" s="952"/>
      <c r="CKK102" s="952"/>
      <c r="CKL102" s="952"/>
      <c r="CKM102" s="952"/>
      <c r="CKN102" s="952"/>
      <c r="CKO102" s="952"/>
      <c r="CKP102" s="952"/>
      <c r="CKQ102" s="952"/>
      <c r="CKR102" s="952"/>
      <c r="CKS102" s="952"/>
      <c r="CKT102" s="952"/>
      <c r="CKU102" s="952"/>
      <c r="CKV102" s="952"/>
      <c r="CKW102" s="952"/>
      <c r="CKX102" s="952"/>
      <c r="CKY102" s="952"/>
      <c r="CKZ102" s="952"/>
      <c r="CLA102" s="952"/>
      <c r="CLB102" s="952"/>
      <c r="CLC102" s="952"/>
      <c r="CLD102" s="952"/>
      <c r="CLE102" s="952"/>
      <c r="CLF102" s="952"/>
      <c r="CLG102" s="952"/>
      <c r="CLH102" s="952"/>
      <c r="CLI102" s="952"/>
      <c r="CLJ102" s="952"/>
      <c r="CLK102" s="952"/>
      <c r="CLL102" s="952"/>
      <c r="CLM102" s="952"/>
      <c r="CLN102" s="952"/>
      <c r="CLO102" s="952"/>
      <c r="CLP102" s="952"/>
      <c r="CLQ102" s="952"/>
      <c r="CLR102" s="952"/>
      <c r="CLS102" s="952"/>
      <c r="CLT102" s="952"/>
      <c r="CLU102" s="952"/>
      <c r="CLV102" s="952"/>
      <c r="CLW102" s="952"/>
      <c r="CLX102" s="952"/>
      <c r="CLY102" s="952"/>
      <c r="CLZ102" s="952"/>
      <c r="CMA102" s="952"/>
      <c r="CMB102" s="952"/>
      <c r="CMC102" s="952"/>
      <c r="CMD102" s="952"/>
      <c r="CME102" s="952"/>
      <c r="CMF102" s="952"/>
      <c r="CMG102" s="952"/>
      <c r="CMH102" s="952"/>
      <c r="CMI102" s="952"/>
      <c r="CMJ102" s="952"/>
      <c r="CMK102" s="952"/>
      <c r="CML102" s="952"/>
      <c r="CMM102" s="952"/>
      <c r="CMN102" s="952"/>
      <c r="CMO102" s="952"/>
      <c r="CMP102" s="952"/>
      <c r="CMQ102" s="952"/>
      <c r="CMR102" s="952"/>
      <c r="CMS102" s="952"/>
      <c r="CMT102" s="952"/>
      <c r="CMU102" s="952"/>
      <c r="CMV102" s="952"/>
      <c r="CMW102" s="952"/>
      <c r="CMX102" s="952"/>
      <c r="CMY102" s="952"/>
      <c r="CMZ102" s="952"/>
      <c r="CNA102" s="952"/>
      <c r="CNB102" s="952"/>
      <c r="CNC102" s="952"/>
      <c r="CND102" s="952"/>
      <c r="CNE102" s="952"/>
      <c r="CNF102" s="952"/>
      <c r="CNG102" s="952"/>
      <c r="CNH102" s="952"/>
      <c r="CNI102" s="952"/>
      <c r="CNJ102" s="952"/>
      <c r="CNK102" s="952"/>
      <c r="CNL102" s="952"/>
      <c r="CNM102" s="952"/>
      <c r="CNN102" s="952"/>
      <c r="CNO102" s="952"/>
      <c r="CNP102" s="952"/>
      <c r="CNQ102" s="952"/>
      <c r="CNR102" s="952"/>
      <c r="CNS102" s="952"/>
      <c r="CNT102" s="952"/>
      <c r="CNU102" s="952"/>
      <c r="CNV102" s="952"/>
      <c r="CNW102" s="952"/>
      <c r="CNX102" s="952"/>
      <c r="CNY102" s="952"/>
      <c r="CNZ102" s="952"/>
      <c r="COA102" s="952"/>
      <c r="COB102" s="952"/>
      <c r="COC102" s="952"/>
      <c r="COD102" s="952"/>
      <c r="COE102" s="952"/>
      <c r="COF102" s="952"/>
      <c r="COG102" s="952"/>
      <c r="COH102" s="952"/>
      <c r="COI102" s="952"/>
      <c r="COJ102" s="952"/>
      <c r="COK102" s="952"/>
      <c r="COL102" s="952"/>
      <c r="COM102" s="952"/>
      <c r="CON102" s="952"/>
      <c r="COO102" s="952"/>
      <c r="COP102" s="952"/>
      <c r="COQ102" s="952"/>
      <c r="COR102" s="952"/>
      <c r="COS102" s="952"/>
      <c r="COT102" s="952"/>
      <c r="COU102" s="952"/>
      <c r="COV102" s="952"/>
      <c r="COW102" s="952"/>
      <c r="COX102" s="952"/>
      <c r="COY102" s="952"/>
      <c r="COZ102" s="952"/>
      <c r="CPA102" s="952"/>
      <c r="CPB102" s="952"/>
      <c r="CPC102" s="952"/>
      <c r="CPD102" s="952"/>
      <c r="CPE102" s="952"/>
      <c r="CPF102" s="952"/>
      <c r="CPG102" s="952"/>
      <c r="CPH102" s="952"/>
      <c r="CPI102" s="952"/>
      <c r="CPJ102" s="952"/>
      <c r="CPK102" s="952"/>
      <c r="CPL102" s="952"/>
      <c r="CPM102" s="952"/>
      <c r="CPN102" s="952"/>
      <c r="CPO102" s="952"/>
      <c r="CPP102" s="952"/>
      <c r="CPQ102" s="952"/>
      <c r="CPR102" s="952"/>
      <c r="CPS102" s="952"/>
      <c r="CPT102" s="952"/>
      <c r="CPU102" s="952"/>
      <c r="CPV102" s="952"/>
      <c r="CPW102" s="952"/>
      <c r="CPX102" s="952"/>
      <c r="CPY102" s="952"/>
      <c r="CPZ102" s="952"/>
      <c r="CQA102" s="952"/>
      <c r="CQB102" s="952"/>
      <c r="CQC102" s="952"/>
      <c r="CQD102" s="952"/>
      <c r="CQE102" s="952"/>
      <c r="CQF102" s="952"/>
      <c r="CQG102" s="952"/>
      <c r="CQH102" s="952"/>
      <c r="CQI102" s="952"/>
      <c r="CQJ102" s="952"/>
      <c r="CQK102" s="952"/>
      <c r="CQL102" s="952"/>
      <c r="CQM102" s="952"/>
      <c r="CQN102" s="952"/>
      <c r="CQO102" s="952"/>
      <c r="CQP102" s="952"/>
      <c r="CQQ102" s="952"/>
      <c r="CQR102" s="952"/>
      <c r="CQS102" s="952"/>
      <c r="CQT102" s="952"/>
      <c r="CQU102" s="952"/>
      <c r="CQV102" s="952"/>
      <c r="CQW102" s="952"/>
      <c r="CQX102" s="952"/>
      <c r="CQY102" s="952"/>
      <c r="CQZ102" s="952"/>
      <c r="CRA102" s="952"/>
      <c r="CRB102" s="952"/>
      <c r="CRC102" s="952"/>
      <c r="CRD102" s="952"/>
      <c r="CRE102" s="952"/>
      <c r="CRF102" s="952"/>
      <c r="CRG102" s="952"/>
      <c r="CRH102" s="952"/>
      <c r="CRI102" s="952"/>
      <c r="CRJ102" s="952"/>
      <c r="CRK102" s="952"/>
      <c r="CRL102" s="952"/>
      <c r="CRM102" s="952"/>
      <c r="CRN102" s="952"/>
      <c r="CRO102" s="952"/>
      <c r="CRP102" s="952"/>
      <c r="CRQ102" s="952"/>
      <c r="CRR102" s="952"/>
      <c r="CRS102" s="952"/>
      <c r="CRT102" s="952"/>
      <c r="CRU102" s="952"/>
      <c r="CRV102" s="952"/>
      <c r="CRW102" s="952"/>
      <c r="CRX102" s="952"/>
      <c r="CRY102" s="952"/>
      <c r="CRZ102" s="952"/>
      <c r="CSA102" s="952"/>
      <c r="CSB102" s="952"/>
      <c r="CSC102" s="952"/>
      <c r="CSD102" s="952"/>
      <c r="CSE102" s="952"/>
      <c r="CSF102" s="952"/>
      <c r="CSG102" s="952"/>
      <c r="CSH102" s="952"/>
      <c r="CSI102" s="952"/>
      <c r="CSJ102" s="952"/>
      <c r="CSK102" s="952"/>
      <c r="CSL102" s="952"/>
      <c r="CSM102" s="952"/>
      <c r="CSN102" s="952"/>
      <c r="CSO102" s="952"/>
      <c r="CSP102" s="952"/>
      <c r="CSQ102" s="952"/>
      <c r="CSR102" s="952"/>
      <c r="CSS102" s="952"/>
      <c r="CST102" s="952"/>
      <c r="CSU102" s="952"/>
      <c r="CSV102" s="952"/>
      <c r="CSW102" s="952"/>
      <c r="CSX102" s="952"/>
      <c r="CSY102" s="952"/>
      <c r="CSZ102" s="952"/>
      <c r="CTA102" s="952"/>
      <c r="CTB102" s="952"/>
      <c r="CTC102" s="952"/>
      <c r="CTD102" s="952"/>
      <c r="CTE102" s="952"/>
      <c r="CTF102" s="952"/>
      <c r="CTG102" s="952"/>
      <c r="CTH102" s="952"/>
      <c r="CTI102" s="952"/>
      <c r="CTJ102" s="952"/>
      <c r="CTK102" s="952"/>
      <c r="CTL102" s="952"/>
      <c r="CTM102" s="952"/>
      <c r="CTN102" s="952"/>
      <c r="CTO102" s="952"/>
      <c r="CTP102" s="952"/>
      <c r="CTQ102" s="952"/>
      <c r="CTR102" s="952"/>
      <c r="CTS102" s="952"/>
      <c r="CTT102" s="952"/>
      <c r="CTU102" s="952"/>
      <c r="CTV102" s="952"/>
      <c r="CTW102" s="952"/>
      <c r="CTX102" s="952"/>
      <c r="CTY102" s="952"/>
      <c r="CTZ102" s="952"/>
      <c r="CUA102" s="952"/>
      <c r="CUB102" s="952"/>
      <c r="CUC102" s="952"/>
      <c r="CUD102" s="952"/>
      <c r="CUE102" s="952"/>
      <c r="CUF102" s="952"/>
      <c r="CUG102" s="952"/>
      <c r="CUH102" s="952"/>
      <c r="CUI102" s="952"/>
      <c r="CUJ102" s="952"/>
      <c r="CUK102" s="952"/>
      <c r="CUL102" s="952"/>
      <c r="CUM102" s="952"/>
      <c r="CUN102" s="952"/>
      <c r="CUO102" s="952"/>
      <c r="CUP102" s="952"/>
      <c r="CUQ102" s="952"/>
      <c r="CUR102" s="952"/>
      <c r="CUS102" s="952"/>
      <c r="CUT102" s="952"/>
      <c r="CUU102" s="952"/>
      <c r="CUV102" s="952"/>
      <c r="CUW102" s="952"/>
      <c r="CUX102" s="952"/>
      <c r="CUY102" s="952"/>
      <c r="CUZ102" s="952"/>
      <c r="CVA102" s="952"/>
      <c r="CVB102" s="952"/>
      <c r="CVC102" s="952"/>
      <c r="CVD102" s="952"/>
      <c r="CVE102" s="952"/>
      <c r="CVF102" s="952"/>
      <c r="CVG102" s="952"/>
      <c r="CVH102" s="952"/>
      <c r="CVI102" s="952"/>
      <c r="CVJ102" s="952"/>
      <c r="CVK102" s="952"/>
      <c r="CVL102" s="952"/>
      <c r="CVM102" s="952"/>
      <c r="CVN102" s="952"/>
      <c r="CVO102" s="952"/>
      <c r="CVP102" s="952"/>
      <c r="CVQ102" s="952"/>
      <c r="CVR102" s="952"/>
      <c r="CVS102" s="952"/>
      <c r="CVT102" s="952"/>
      <c r="CVU102" s="952"/>
      <c r="CVV102" s="952"/>
      <c r="CVW102" s="952"/>
      <c r="CVX102" s="952"/>
      <c r="CVY102" s="952"/>
      <c r="CVZ102" s="952"/>
      <c r="CWA102" s="952"/>
      <c r="CWB102" s="952"/>
      <c r="CWC102" s="952"/>
      <c r="CWD102" s="952"/>
      <c r="CWE102" s="952"/>
      <c r="CWF102" s="952"/>
      <c r="CWG102" s="952"/>
      <c r="CWH102" s="952"/>
      <c r="CWI102" s="952"/>
      <c r="CWJ102" s="952"/>
      <c r="CWK102" s="952"/>
      <c r="CWL102" s="952"/>
      <c r="CWM102" s="952"/>
      <c r="CWN102" s="952"/>
      <c r="CWO102" s="952"/>
      <c r="CWP102" s="952"/>
      <c r="CWQ102" s="952"/>
      <c r="CWR102" s="952"/>
      <c r="CWS102" s="952"/>
      <c r="CWT102" s="952"/>
      <c r="CWU102" s="952"/>
      <c r="CWV102" s="952"/>
      <c r="CWW102" s="952"/>
      <c r="CWX102" s="952"/>
      <c r="CWY102" s="952"/>
      <c r="CWZ102" s="952"/>
      <c r="CXA102" s="952"/>
      <c r="CXB102" s="952"/>
      <c r="CXC102" s="952"/>
      <c r="CXD102" s="952"/>
      <c r="CXE102" s="952"/>
      <c r="CXF102" s="952"/>
      <c r="CXG102" s="952"/>
      <c r="CXH102" s="952"/>
      <c r="CXI102" s="952"/>
      <c r="CXJ102" s="952"/>
      <c r="CXK102" s="952"/>
      <c r="CXL102" s="952"/>
      <c r="CXM102" s="952"/>
      <c r="CXN102" s="952"/>
      <c r="CXO102" s="952"/>
      <c r="CXP102" s="952"/>
      <c r="CXQ102" s="952"/>
      <c r="CXR102" s="952"/>
      <c r="CXS102" s="952"/>
      <c r="CXT102" s="952"/>
      <c r="CXU102" s="952"/>
      <c r="CXV102" s="952"/>
      <c r="CXW102" s="952"/>
      <c r="CXX102" s="952"/>
      <c r="CXY102" s="952"/>
      <c r="CXZ102" s="952"/>
      <c r="CYA102" s="952"/>
      <c r="CYB102" s="952"/>
      <c r="CYC102" s="952"/>
      <c r="CYD102" s="952"/>
      <c r="CYE102" s="952"/>
      <c r="CYF102" s="952"/>
      <c r="CYG102" s="952"/>
      <c r="CYH102" s="952"/>
      <c r="CYI102" s="952"/>
      <c r="CYJ102" s="952"/>
      <c r="CYK102" s="952"/>
      <c r="CYL102" s="952"/>
      <c r="CYM102" s="952"/>
      <c r="CYN102" s="952"/>
      <c r="CYO102" s="952"/>
      <c r="CYP102" s="952"/>
      <c r="CYQ102" s="952"/>
      <c r="CYR102" s="952"/>
      <c r="CYS102" s="952"/>
      <c r="CYT102" s="952"/>
      <c r="CYU102" s="952"/>
      <c r="CYV102" s="952"/>
      <c r="CYW102" s="952"/>
      <c r="CYX102" s="952"/>
      <c r="CYY102" s="952"/>
      <c r="CYZ102" s="952"/>
      <c r="CZA102" s="952"/>
      <c r="CZB102" s="952"/>
      <c r="CZC102" s="952"/>
      <c r="CZD102" s="952"/>
      <c r="CZE102" s="952"/>
      <c r="CZF102" s="952"/>
      <c r="CZG102" s="952"/>
      <c r="CZH102" s="952"/>
      <c r="CZI102" s="952"/>
      <c r="CZJ102" s="952"/>
      <c r="CZK102" s="952"/>
      <c r="CZL102" s="952"/>
      <c r="CZM102" s="952"/>
      <c r="CZN102" s="952"/>
      <c r="CZO102" s="952"/>
      <c r="CZP102" s="952"/>
      <c r="CZQ102" s="952"/>
      <c r="CZR102" s="952"/>
      <c r="CZS102" s="952"/>
      <c r="CZT102" s="952"/>
      <c r="CZU102" s="952"/>
      <c r="CZV102" s="952"/>
      <c r="CZW102" s="952"/>
      <c r="CZX102" s="952"/>
      <c r="CZY102" s="952"/>
      <c r="CZZ102" s="952"/>
      <c r="DAA102" s="952"/>
      <c r="DAB102" s="952"/>
      <c r="DAC102" s="952"/>
      <c r="DAD102" s="952"/>
      <c r="DAE102" s="952"/>
      <c r="DAF102" s="952"/>
      <c r="DAG102" s="952"/>
      <c r="DAH102" s="952"/>
      <c r="DAI102" s="952"/>
      <c r="DAJ102" s="952"/>
      <c r="DAK102" s="952"/>
      <c r="DAL102" s="952"/>
      <c r="DAM102" s="952"/>
      <c r="DAN102" s="952"/>
      <c r="DAO102" s="952"/>
      <c r="DAP102" s="952"/>
      <c r="DAQ102" s="952"/>
      <c r="DAR102" s="952"/>
      <c r="DAS102" s="952"/>
      <c r="DAT102" s="952"/>
      <c r="DAU102" s="952"/>
      <c r="DAV102" s="952"/>
      <c r="DAW102" s="952"/>
      <c r="DAX102" s="952"/>
      <c r="DAY102" s="952"/>
      <c r="DAZ102" s="952"/>
      <c r="DBA102" s="952"/>
      <c r="DBB102" s="952"/>
      <c r="DBC102" s="952"/>
      <c r="DBD102" s="952"/>
      <c r="DBE102" s="952"/>
      <c r="DBF102" s="952"/>
      <c r="DBG102" s="952"/>
      <c r="DBH102" s="952"/>
      <c r="DBI102" s="952"/>
      <c r="DBJ102" s="952"/>
      <c r="DBK102" s="952"/>
      <c r="DBL102" s="952"/>
      <c r="DBM102" s="952"/>
      <c r="DBN102" s="952"/>
      <c r="DBO102" s="952"/>
      <c r="DBP102" s="952"/>
      <c r="DBQ102" s="952"/>
      <c r="DBR102" s="952"/>
      <c r="DBS102" s="952"/>
      <c r="DBT102" s="952"/>
      <c r="DBU102" s="952"/>
      <c r="DBV102" s="952"/>
      <c r="DBW102" s="952"/>
      <c r="DBX102" s="952"/>
      <c r="DBY102" s="952"/>
      <c r="DBZ102" s="952"/>
      <c r="DCA102" s="952"/>
      <c r="DCB102" s="952"/>
      <c r="DCC102" s="952"/>
      <c r="DCD102" s="952"/>
      <c r="DCE102" s="952"/>
      <c r="DCF102" s="952"/>
      <c r="DCG102" s="952"/>
      <c r="DCH102" s="952"/>
      <c r="DCI102" s="952"/>
      <c r="DCJ102" s="952"/>
      <c r="DCK102" s="952"/>
      <c r="DCL102" s="952"/>
      <c r="DCM102" s="952"/>
      <c r="DCN102" s="952"/>
      <c r="DCO102" s="952"/>
      <c r="DCP102" s="952"/>
      <c r="DCQ102" s="952"/>
      <c r="DCR102" s="952"/>
      <c r="DCS102" s="952"/>
      <c r="DCT102" s="952"/>
      <c r="DCU102" s="952"/>
      <c r="DCV102" s="952"/>
      <c r="DCW102" s="952"/>
      <c r="DCX102" s="952"/>
      <c r="DCY102" s="952"/>
      <c r="DCZ102" s="952"/>
      <c r="DDA102" s="952"/>
      <c r="DDB102" s="952"/>
      <c r="DDC102" s="952"/>
      <c r="DDD102" s="952"/>
      <c r="DDE102" s="952"/>
      <c r="DDF102" s="952"/>
      <c r="DDG102" s="952"/>
      <c r="DDH102" s="952"/>
      <c r="DDI102" s="952"/>
      <c r="DDJ102" s="952"/>
      <c r="DDK102" s="952"/>
      <c r="DDL102" s="952"/>
      <c r="DDM102" s="952"/>
      <c r="DDN102" s="952"/>
      <c r="DDO102" s="952"/>
      <c r="DDP102" s="952"/>
      <c r="DDQ102" s="952"/>
      <c r="DDR102" s="952"/>
      <c r="DDS102" s="952"/>
      <c r="DDT102" s="952"/>
      <c r="DDU102" s="952"/>
      <c r="DDV102" s="952"/>
      <c r="DDW102" s="952"/>
      <c r="DDX102" s="952"/>
      <c r="DDY102" s="952"/>
      <c r="DDZ102" s="952"/>
      <c r="DEA102" s="952"/>
      <c r="DEB102" s="952"/>
      <c r="DEC102" s="952"/>
      <c r="DED102" s="952"/>
      <c r="DEE102" s="952"/>
      <c r="DEF102" s="952"/>
      <c r="DEG102" s="952"/>
      <c r="DEH102" s="952"/>
      <c r="DEI102" s="952"/>
      <c r="DEJ102" s="952"/>
      <c r="DEK102" s="952"/>
      <c r="DEL102" s="952"/>
      <c r="DEM102" s="952"/>
      <c r="DEN102" s="952"/>
      <c r="DEO102" s="952"/>
      <c r="DEP102" s="952"/>
      <c r="DEQ102" s="952"/>
      <c r="DER102" s="952"/>
      <c r="DES102" s="952"/>
      <c r="DET102" s="952"/>
      <c r="DEU102" s="952"/>
      <c r="DEV102" s="952"/>
      <c r="DEW102" s="952"/>
      <c r="DEX102" s="952"/>
      <c r="DEY102" s="952"/>
      <c r="DEZ102" s="952"/>
      <c r="DFA102" s="952"/>
      <c r="DFB102" s="952"/>
      <c r="DFC102" s="952"/>
      <c r="DFD102" s="952"/>
      <c r="DFE102" s="952"/>
      <c r="DFF102" s="952"/>
      <c r="DFG102" s="952"/>
      <c r="DFH102" s="952"/>
      <c r="DFI102" s="952"/>
      <c r="DFJ102" s="952"/>
      <c r="DFK102" s="952"/>
      <c r="DFL102" s="952"/>
      <c r="DFM102" s="952"/>
      <c r="DFN102" s="952"/>
      <c r="DFO102" s="952"/>
      <c r="DFP102" s="952"/>
      <c r="DFQ102" s="952"/>
      <c r="DFR102" s="952"/>
      <c r="DFS102" s="952"/>
      <c r="DFT102" s="952"/>
      <c r="DFU102" s="952"/>
      <c r="DFV102" s="952"/>
      <c r="DFW102" s="952"/>
      <c r="DFX102" s="952"/>
      <c r="DFY102" s="952"/>
      <c r="DFZ102" s="952"/>
      <c r="DGA102" s="952"/>
      <c r="DGB102" s="952"/>
      <c r="DGC102" s="952"/>
      <c r="DGD102" s="952"/>
      <c r="DGE102" s="952"/>
      <c r="DGF102" s="952"/>
      <c r="DGG102" s="952"/>
      <c r="DGH102" s="952"/>
      <c r="DGI102" s="952"/>
      <c r="DGJ102" s="952"/>
      <c r="DGK102" s="952"/>
      <c r="DGL102" s="952"/>
      <c r="DGM102" s="952"/>
      <c r="DGN102" s="952"/>
      <c r="DGO102" s="952"/>
      <c r="DGP102" s="952"/>
      <c r="DGQ102" s="952"/>
      <c r="DGR102" s="952"/>
      <c r="DGS102" s="952"/>
      <c r="DGT102" s="952"/>
      <c r="DGU102" s="952"/>
      <c r="DGV102" s="952"/>
      <c r="DGW102" s="952"/>
      <c r="DGX102" s="952"/>
      <c r="DGY102" s="952"/>
      <c r="DGZ102" s="952"/>
      <c r="DHA102" s="952"/>
      <c r="DHB102" s="952"/>
      <c r="DHC102" s="952"/>
      <c r="DHD102" s="952"/>
      <c r="DHE102" s="952"/>
      <c r="DHF102" s="952"/>
      <c r="DHG102" s="952"/>
      <c r="DHH102" s="952"/>
      <c r="DHI102" s="952"/>
      <c r="DHJ102" s="952"/>
      <c r="DHK102" s="952"/>
      <c r="DHL102" s="952"/>
      <c r="DHM102" s="952"/>
      <c r="DHN102" s="952"/>
      <c r="DHO102" s="952"/>
      <c r="DHP102" s="952"/>
      <c r="DHQ102" s="952"/>
      <c r="DHR102" s="952"/>
      <c r="DHS102" s="952"/>
      <c r="DHT102" s="952"/>
      <c r="DHU102" s="952"/>
      <c r="DHV102" s="952"/>
      <c r="DHW102" s="952"/>
      <c r="DHX102" s="952"/>
      <c r="DHY102" s="952"/>
      <c r="DHZ102" s="952"/>
      <c r="DIA102" s="952"/>
      <c r="DIB102" s="952"/>
      <c r="DIC102" s="952"/>
      <c r="DID102" s="952"/>
      <c r="DIE102" s="952"/>
      <c r="DIF102" s="952"/>
      <c r="DIG102" s="952"/>
      <c r="DIH102" s="952"/>
      <c r="DII102" s="952"/>
      <c r="DIJ102" s="952"/>
      <c r="DIK102" s="952"/>
      <c r="DIL102" s="952"/>
      <c r="DIM102" s="952"/>
      <c r="DIN102" s="952"/>
      <c r="DIO102" s="952"/>
      <c r="DIP102" s="952"/>
      <c r="DIQ102" s="952"/>
      <c r="DIR102" s="952"/>
      <c r="DIS102" s="952"/>
      <c r="DIT102" s="952"/>
      <c r="DIU102" s="952"/>
      <c r="DIV102" s="952"/>
      <c r="DIW102" s="952"/>
      <c r="DIX102" s="952"/>
      <c r="DIY102" s="952"/>
      <c r="DIZ102" s="952"/>
      <c r="DJA102" s="952"/>
      <c r="DJB102" s="952"/>
      <c r="DJC102" s="952"/>
      <c r="DJD102" s="952"/>
      <c r="DJE102" s="952"/>
      <c r="DJF102" s="952"/>
      <c r="DJG102" s="952"/>
      <c r="DJH102" s="952"/>
      <c r="DJI102" s="952"/>
      <c r="DJJ102" s="952"/>
      <c r="DJK102" s="952"/>
      <c r="DJL102" s="952"/>
      <c r="DJM102" s="952"/>
      <c r="DJN102" s="952"/>
      <c r="DJO102" s="952"/>
      <c r="DJP102" s="952"/>
      <c r="DJQ102" s="952"/>
      <c r="DJR102" s="952"/>
      <c r="DJS102" s="952"/>
      <c r="DJT102" s="952"/>
      <c r="DJU102" s="952"/>
      <c r="DJV102" s="952"/>
      <c r="DJW102" s="952"/>
      <c r="DJX102" s="952"/>
      <c r="DJY102" s="952"/>
      <c r="DJZ102" s="952"/>
      <c r="DKA102" s="952"/>
      <c r="DKB102" s="952"/>
      <c r="DKC102" s="952"/>
      <c r="DKD102" s="952"/>
      <c r="DKE102" s="952"/>
      <c r="DKF102" s="952"/>
      <c r="DKG102" s="952"/>
      <c r="DKH102" s="952"/>
      <c r="DKI102" s="952"/>
      <c r="DKJ102" s="952"/>
      <c r="DKK102" s="952"/>
      <c r="DKL102" s="952"/>
      <c r="DKM102" s="952"/>
      <c r="DKN102" s="952"/>
      <c r="DKO102" s="952"/>
      <c r="DKP102" s="952"/>
      <c r="DKQ102" s="952"/>
      <c r="DKR102" s="952"/>
      <c r="DKS102" s="952"/>
      <c r="DKT102" s="952"/>
      <c r="DKU102" s="952"/>
      <c r="DKV102" s="952"/>
      <c r="DKW102" s="952"/>
      <c r="DKX102" s="952"/>
      <c r="DKY102" s="952"/>
      <c r="DKZ102" s="952"/>
      <c r="DLA102" s="952"/>
      <c r="DLB102" s="952"/>
      <c r="DLC102" s="952"/>
      <c r="DLD102" s="952"/>
      <c r="DLE102" s="952"/>
      <c r="DLF102" s="952"/>
      <c r="DLG102" s="952"/>
      <c r="DLH102" s="952"/>
      <c r="DLI102" s="952"/>
      <c r="DLJ102" s="952"/>
      <c r="DLK102" s="952"/>
      <c r="DLL102" s="952"/>
      <c r="DLM102" s="952"/>
      <c r="DLN102" s="952"/>
      <c r="DLO102" s="952"/>
      <c r="DLP102" s="952"/>
      <c r="DLQ102" s="952"/>
      <c r="DLR102" s="952"/>
      <c r="DLS102" s="952"/>
      <c r="DLT102" s="952"/>
      <c r="DLU102" s="952"/>
      <c r="DLV102" s="952"/>
      <c r="DLW102" s="952"/>
      <c r="DLX102" s="952"/>
      <c r="DLY102" s="952"/>
      <c r="DLZ102" s="952"/>
      <c r="DMA102" s="952"/>
      <c r="DMB102" s="952"/>
      <c r="DMC102" s="952"/>
      <c r="DMD102" s="952"/>
      <c r="DME102" s="952"/>
      <c r="DMF102" s="952"/>
      <c r="DMG102" s="952"/>
      <c r="DMH102" s="952"/>
      <c r="DMI102" s="952"/>
      <c r="DMJ102" s="952"/>
      <c r="DMK102" s="952"/>
      <c r="DML102" s="952"/>
      <c r="DMM102" s="952"/>
      <c r="DMN102" s="952"/>
      <c r="DMO102" s="952"/>
      <c r="DMP102" s="952"/>
      <c r="DMQ102" s="952"/>
      <c r="DMR102" s="952"/>
      <c r="DMS102" s="952"/>
      <c r="DMT102" s="952"/>
      <c r="DMU102" s="952"/>
      <c r="DMV102" s="952"/>
      <c r="DMW102" s="952"/>
      <c r="DMX102" s="952"/>
      <c r="DMY102" s="952"/>
      <c r="DMZ102" s="952"/>
      <c r="DNA102" s="952"/>
      <c r="DNB102" s="952"/>
      <c r="DNC102" s="952"/>
      <c r="DND102" s="952"/>
      <c r="DNE102" s="952"/>
      <c r="DNF102" s="952"/>
      <c r="DNG102" s="952"/>
      <c r="DNH102" s="952"/>
      <c r="DNI102" s="952"/>
      <c r="DNJ102" s="952"/>
      <c r="DNK102" s="952"/>
      <c r="DNL102" s="952"/>
      <c r="DNM102" s="952"/>
      <c r="DNN102" s="952"/>
      <c r="DNO102" s="952"/>
      <c r="DNP102" s="952"/>
      <c r="DNQ102" s="952"/>
      <c r="DNR102" s="952"/>
      <c r="DNS102" s="952"/>
      <c r="DNT102" s="952"/>
      <c r="DNU102" s="952"/>
      <c r="DNV102" s="952"/>
      <c r="DNW102" s="952"/>
      <c r="DNX102" s="952"/>
      <c r="DNY102" s="952"/>
      <c r="DNZ102" s="952"/>
      <c r="DOA102" s="952"/>
      <c r="DOB102" s="952"/>
      <c r="DOC102" s="952"/>
      <c r="DOD102" s="952"/>
      <c r="DOE102" s="952"/>
      <c r="DOF102" s="952"/>
      <c r="DOG102" s="952"/>
      <c r="DOH102" s="952"/>
      <c r="DOI102" s="952"/>
      <c r="DOJ102" s="952"/>
      <c r="DOK102" s="952"/>
      <c r="DOL102" s="952"/>
      <c r="DOM102" s="952"/>
      <c r="DON102" s="952"/>
      <c r="DOO102" s="952"/>
      <c r="DOP102" s="952"/>
      <c r="DOQ102" s="952"/>
      <c r="DOR102" s="952"/>
      <c r="DOS102" s="952"/>
      <c r="DOT102" s="952"/>
      <c r="DOU102" s="952"/>
      <c r="DOV102" s="952"/>
      <c r="DOW102" s="952"/>
      <c r="DOX102" s="952"/>
      <c r="DOY102" s="952"/>
      <c r="DOZ102" s="952"/>
      <c r="DPA102" s="952"/>
      <c r="DPB102" s="952"/>
      <c r="DPC102" s="952"/>
      <c r="DPD102" s="952"/>
      <c r="DPE102" s="952"/>
      <c r="DPF102" s="952"/>
      <c r="DPG102" s="952"/>
      <c r="DPH102" s="952"/>
      <c r="DPI102" s="952"/>
      <c r="DPJ102" s="952"/>
      <c r="DPK102" s="952"/>
      <c r="DPL102" s="952"/>
      <c r="DPM102" s="952"/>
      <c r="DPN102" s="952"/>
      <c r="DPO102" s="952"/>
      <c r="DPP102" s="952"/>
      <c r="DPQ102" s="952"/>
      <c r="DPR102" s="952"/>
      <c r="DPS102" s="952"/>
      <c r="DPT102" s="952"/>
      <c r="DPU102" s="952"/>
      <c r="DPV102" s="952"/>
      <c r="DPW102" s="952"/>
      <c r="DPX102" s="952"/>
      <c r="DPY102" s="952"/>
      <c r="DPZ102" s="952"/>
      <c r="DQA102" s="952"/>
      <c r="DQB102" s="952"/>
      <c r="DQC102" s="952"/>
      <c r="DQD102" s="952"/>
      <c r="DQE102" s="952"/>
      <c r="DQF102" s="952"/>
      <c r="DQG102" s="952"/>
      <c r="DQH102" s="952"/>
      <c r="DQI102" s="952"/>
      <c r="DQJ102" s="952"/>
      <c r="DQK102" s="952"/>
      <c r="DQL102" s="952"/>
      <c r="DQM102" s="952"/>
      <c r="DQN102" s="952"/>
      <c r="DQO102" s="952"/>
      <c r="DQP102" s="952"/>
      <c r="DQQ102" s="952"/>
      <c r="DQR102" s="952"/>
      <c r="DQS102" s="952"/>
      <c r="DQT102" s="952"/>
      <c r="DQU102" s="952"/>
      <c r="DQV102" s="952"/>
      <c r="DQW102" s="952"/>
      <c r="DQX102" s="952"/>
      <c r="DQY102" s="952"/>
      <c r="DQZ102" s="952"/>
      <c r="DRA102" s="952"/>
      <c r="DRB102" s="952"/>
      <c r="DRC102" s="952"/>
      <c r="DRD102" s="952"/>
      <c r="DRE102" s="952"/>
      <c r="DRF102" s="952"/>
      <c r="DRG102" s="952"/>
      <c r="DRH102" s="952"/>
      <c r="DRI102" s="952"/>
      <c r="DRJ102" s="952"/>
      <c r="DRK102" s="952"/>
      <c r="DRL102" s="952"/>
      <c r="DRM102" s="952"/>
      <c r="DRN102" s="952"/>
      <c r="DRO102" s="952"/>
      <c r="DRP102" s="952"/>
      <c r="DRQ102" s="952"/>
      <c r="DRR102" s="952"/>
      <c r="DRS102" s="952"/>
      <c r="DRT102" s="952"/>
      <c r="DRU102" s="952"/>
      <c r="DRV102" s="952"/>
      <c r="DRW102" s="952"/>
      <c r="DRX102" s="952"/>
      <c r="DRY102" s="952"/>
      <c r="DRZ102" s="952"/>
      <c r="DSA102" s="952"/>
      <c r="DSB102" s="952"/>
      <c r="DSC102" s="952"/>
      <c r="DSD102" s="952"/>
      <c r="DSE102" s="952"/>
      <c r="DSF102" s="952"/>
      <c r="DSG102" s="952"/>
      <c r="DSH102" s="952"/>
      <c r="DSI102" s="952"/>
      <c r="DSJ102" s="952"/>
      <c r="DSK102" s="952"/>
      <c r="DSL102" s="952"/>
      <c r="DSM102" s="952"/>
      <c r="DSN102" s="952"/>
      <c r="DSO102" s="952"/>
      <c r="DSP102" s="952"/>
      <c r="DSQ102" s="952"/>
      <c r="DSR102" s="952"/>
      <c r="DSS102" s="952"/>
      <c r="DST102" s="952"/>
      <c r="DSU102" s="952"/>
      <c r="DSV102" s="952"/>
      <c r="DSW102" s="952"/>
      <c r="DSX102" s="952"/>
      <c r="DSY102" s="952"/>
      <c r="DSZ102" s="952"/>
      <c r="DTA102" s="952"/>
      <c r="DTB102" s="952"/>
      <c r="DTC102" s="952"/>
      <c r="DTD102" s="952"/>
      <c r="DTE102" s="952"/>
      <c r="DTF102" s="952"/>
      <c r="DTG102" s="952"/>
      <c r="DTH102" s="952"/>
      <c r="DTI102" s="952"/>
      <c r="DTJ102" s="952"/>
      <c r="DTK102" s="952"/>
      <c r="DTL102" s="952"/>
      <c r="DTM102" s="952"/>
      <c r="DTN102" s="952"/>
      <c r="DTO102" s="952"/>
      <c r="DTP102" s="952"/>
      <c r="DTQ102" s="952"/>
      <c r="DTR102" s="952"/>
      <c r="DTS102" s="952"/>
      <c r="DTT102" s="952"/>
      <c r="DTU102" s="952"/>
      <c r="DTV102" s="952"/>
      <c r="DTW102" s="952"/>
      <c r="DTX102" s="952"/>
      <c r="DTY102" s="952"/>
      <c r="DTZ102" s="952"/>
      <c r="DUA102" s="952"/>
      <c r="DUB102" s="952"/>
      <c r="DUC102" s="952"/>
      <c r="DUD102" s="952"/>
      <c r="DUE102" s="952"/>
      <c r="DUF102" s="952"/>
      <c r="DUG102" s="952"/>
      <c r="DUH102" s="952"/>
      <c r="DUI102" s="952"/>
      <c r="DUJ102" s="952"/>
      <c r="DUK102" s="952"/>
      <c r="DUL102" s="952"/>
      <c r="DUM102" s="952"/>
      <c r="DUN102" s="952"/>
      <c r="DUO102" s="952"/>
      <c r="DUP102" s="952"/>
      <c r="DUQ102" s="952"/>
      <c r="DUR102" s="952"/>
      <c r="DUS102" s="952"/>
      <c r="DUT102" s="952"/>
      <c r="DUU102" s="952"/>
      <c r="DUV102" s="952"/>
      <c r="DUW102" s="952"/>
      <c r="DUX102" s="952"/>
      <c r="DUY102" s="952"/>
      <c r="DUZ102" s="952"/>
      <c r="DVA102" s="952"/>
      <c r="DVB102" s="952"/>
      <c r="DVC102" s="952"/>
      <c r="DVD102" s="952"/>
      <c r="DVE102" s="952"/>
      <c r="DVF102" s="952"/>
      <c r="DVG102" s="952"/>
      <c r="DVH102" s="952"/>
      <c r="DVI102" s="952"/>
      <c r="DVJ102" s="952"/>
      <c r="DVK102" s="952"/>
      <c r="DVL102" s="952"/>
      <c r="DVM102" s="952"/>
      <c r="DVN102" s="952"/>
      <c r="DVO102" s="952"/>
      <c r="DVP102" s="952"/>
      <c r="DVQ102" s="952"/>
      <c r="DVR102" s="952"/>
      <c r="DVS102" s="952"/>
      <c r="DVT102" s="952"/>
      <c r="DVU102" s="952"/>
      <c r="DVV102" s="952"/>
      <c r="DVW102" s="952"/>
      <c r="DVX102" s="952"/>
      <c r="DVY102" s="952"/>
      <c r="DVZ102" s="952"/>
      <c r="DWA102" s="952"/>
      <c r="DWB102" s="952"/>
      <c r="DWC102" s="952"/>
      <c r="DWD102" s="952"/>
      <c r="DWE102" s="952"/>
      <c r="DWF102" s="952"/>
      <c r="DWG102" s="952"/>
      <c r="DWH102" s="952"/>
      <c r="DWI102" s="952"/>
      <c r="DWJ102" s="952"/>
      <c r="DWK102" s="952"/>
      <c r="DWL102" s="952"/>
      <c r="DWM102" s="952"/>
      <c r="DWN102" s="952"/>
      <c r="DWO102" s="952"/>
      <c r="DWP102" s="952"/>
      <c r="DWQ102" s="952"/>
      <c r="DWR102" s="952"/>
      <c r="DWS102" s="952"/>
      <c r="DWT102" s="952"/>
      <c r="DWU102" s="952"/>
      <c r="DWV102" s="952"/>
      <c r="DWW102" s="952"/>
      <c r="DWX102" s="952"/>
      <c r="DWY102" s="952"/>
      <c r="DWZ102" s="952"/>
      <c r="DXA102" s="952"/>
      <c r="DXB102" s="952"/>
      <c r="DXC102" s="952"/>
      <c r="DXD102" s="952"/>
      <c r="DXE102" s="952"/>
      <c r="DXF102" s="952"/>
      <c r="DXG102" s="952"/>
      <c r="DXH102" s="952"/>
      <c r="DXI102" s="952"/>
      <c r="DXJ102" s="952"/>
      <c r="DXK102" s="952"/>
      <c r="DXL102" s="952"/>
      <c r="DXM102" s="952"/>
      <c r="DXN102" s="952"/>
      <c r="DXO102" s="952"/>
      <c r="DXP102" s="952"/>
      <c r="DXQ102" s="952"/>
      <c r="DXR102" s="952"/>
      <c r="DXS102" s="952"/>
      <c r="DXT102" s="952"/>
      <c r="DXU102" s="952"/>
      <c r="DXV102" s="952"/>
      <c r="DXW102" s="952"/>
      <c r="DXX102" s="952"/>
      <c r="DXY102" s="952"/>
      <c r="DXZ102" s="952"/>
      <c r="DYA102" s="952"/>
      <c r="DYB102" s="952"/>
      <c r="DYC102" s="952"/>
      <c r="DYD102" s="952"/>
      <c r="DYE102" s="952"/>
      <c r="DYF102" s="952"/>
      <c r="DYG102" s="952"/>
      <c r="DYH102" s="952"/>
      <c r="DYI102" s="952"/>
      <c r="DYJ102" s="952"/>
      <c r="DYK102" s="952"/>
      <c r="DYL102" s="952"/>
      <c r="DYM102" s="952"/>
      <c r="DYN102" s="952"/>
      <c r="DYO102" s="952"/>
      <c r="DYP102" s="952"/>
      <c r="DYQ102" s="952"/>
      <c r="DYR102" s="952"/>
      <c r="DYS102" s="952"/>
      <c r="DYT102" s="952"/>
      <c r="DYU102" s="952"/>
      <c r="DYV102" s="952"/>
      <c r="DYW102" s="952"/>
      <c r="DYX102" s="952"/>
      <c r="DYY102" s="952"/>
      <c r="DYZ102" s="952"/>
      <c r="DZA102" s="952"/>
      <c r="DZB102" s="952"/>
      <c r="DZC102" s="952"/>
      <c r="DZD102" s="952"/>
      <c r="DZE102" s="952"/>
      <c r="DZF102" s="952"/>
      <c r="DZG102" s="952"/>
      <c r="DZH102" s="952"/>
      <c r="DZI102" s="952"/>
      <c r="DZJ102" s="952"/>
      <c r="DZK102" s="952"/>
      <c r="DZL102" s="952"/>
      <c r="DZM102" s="952"/>
      <c r="DZN102" s="952"/>
      <c r="DZO102" s="952"/>
      <c r="DZP102" s="952"/>
      <c r="DZQ102" s="952"/>
      <c r="DZR102" s="952"/>
      <c r="DZS102" s="952"/>
      <c r="DZT102" s="952"/>
      <c r="DZU102" s="952"/>
      <c r="DZV102" s="952"/>
      <c r="DZW102" s="952"/>
      <c r="DZX102" s="952"/>
      <c r="DZY102" s="952"/>
      <c r="DZZ102" s="952"/>
      <c r="EAA102" s="952"/>
      <c r="EAB102" s="952"/>
      <c r="EAC102" s="952"/>
      <c r="EAD102" s="952"/>
      <c r="EAE102" s="952"/>
      <c r="EAF102" s="952"/>
      <c r="EAG102" s="952"/>
      <c r="EAH102" s="952"/>
      <c r="EAI102" s="952"/>
      <c r="EAJ102" s="952"/>
      <c r="EAK102" s="952"/>
      <c r="EAL102" s="952"/>
      <c r="EAM102" s="952"/>
      <c r="EAN102" s="952"/>
      <c r="EAO102" s="952"/>
      <c r="EAP102" s="952"/>
      <c r="EAQ102" s="952"/>
      <c r="EAR102" s="952"/>
      <c r="EAS102" s="952"/>
      <c r="EAT102" s="952"/>
      <c r="EAU102" s="952"/>
      <c r="EAV102" s="952"/>
      <c r="EAW102" s="952"/>
      <c r="EAX102" s="952"/>
      <c r="EAY102" s="952"/>
      <c r="EAZ102" s="952"/>
      <c r="EBA102" s="952"/>
      <c r="EBB102" s="952"/>
      <c r="EBC102" s="952"/>
      <c r="EBD102" s="952"/>
      <c r="EBE102" s="952"/>
      <c r="EBF102" s="952"/>
      <c r="EBG102" s="952"/>
      <c r="EBH102" s="952"/>
      <c r="EBI102" s="952"/>
      <c r="EBJ102" s="952"/>
      <c r="EBK102" s="952"/>
      <c r="EBL102" s="952"/>
      <c r="EBM102" s="952"/>
      <c r="EBN102" s="952"/>
      <c r="EBO102" s="952"/>
      <c r="EBP102" s="952"/>
      <c r="EBQ102" s="952"/>
      <c r="EBR102" s="952"/>
      <c r="EBS102" s="952"/>
      <c r="EBT102" s="952"/>
      <c r="EBU102" s="952"/>
      <c r="EBV102" s="952"/>
      <c r="EBW102" s="952"/>
      <c r="EBX102" s="952"/>
      <c r="EBY102" s="952"/>
      <c r="EBZ102" s="952"/>
      <c r="ECA102" s="952"/>
      <c r="ECB102" s="952"/>
      <c r="ECC102" s="952"/>
      <c r="ECD102" s="952"/>
      <c r="ECE102" s="952"/>
      <c r="ECF102" s="952"/>
      <c r="ECG102" s="952"/>
      <c r="ECH102" s="952"/>
      <c r="ECI102" s="952"/>
      <c r="ECJ102" s="952"/>
      <c r="ECK102" s="952"/>
      <c r="ECL102" s="952"/>
      <c r="ECM102" s="952"/>
      <c r="ECN102" s="952"/>
      <c r="ECO102" s="952"/>
      <c r="ECP102" s="952"/>
      <c r="ECQ102" s="952"/>
      <c r="ECR102" s="952"/>
      <c r="ECS102" s="952"/>
      <c r="ECT102" s="952"/>
      <c r="ECU102" s="952"/>
      <c r="ECV102" s="952"/>
      <c r="ECW102" s="952"/>
      <c r="ECX102" s="952"/>
      <c r="ECY102" s="952"/>
      <c r="ECZ102" s="952"/>
      <c r="EDA102" s="952"/>
      <c r="EDB102" s="952"/>
      <c r="EDC102" s="952"/>
      <c r="EDD102" s="952"/>
      <c r="EDE102" s="952"/>
      <c r="EDF102" s="952"/>
      <c r="EDG102" s="952"/>
      <c r="EDH102" s="952"/>
      <c r="EDI102" s="952"/>
      <c r="EDJ102" s="952"/>
      <c r="EDK102" s="952"/>
      <c r="EDL102" s="952"/>
      <c r="EDM102" s="952"/>
      <c r="EDN102" s="952"/>
      <c r="EDO102" s="952"/>
      <c r="EDP102" s="952"/>
      <c r="EDQ102" s="952"/>
      <c r="EDR102" s="952"/>
      <c r="EDS102" s="952"/>
      <c r="EDT102" s="952"/>
      <c r="EDU102" s="952"/>
      <c r="EDV102" s="952"/>
      <c r="EDW102" s="952"/>
      <c r="EDX102" s="952"/>
      <c r="EDY102" s="952"/>
      <c r="EDZ102" s="952"/>
      <c r="EEA102" s="952"/>
      <c r="EEB102" s="952"/>
      <c r="EEC102" s="952"/>
      <c r="EED102" s="952"/>
      <c r="EEE102" s="952"/>
      <c r="EEF102" s="952"/>
      <c r="EEG102" s="952"/>
      <c r="EEH102" s="952"/>
      <c r="EEI102" s="952"/>
      <c r="EEJ102" s="952"/>
      <c r="EEK102" s="952"/>
      <c r="EEL102" s="952"/>
      <c r="EEM102" s="952"/>
      <c r="EEN102" s="952"/>
      <c r="EEO102" s="952"/>
      <c r="EEP102" s="952"/>
      <c r="EEQ102" s="952"/>
      <c r="EER102" s="952"/>
      <c r="EES102" s="952"/>
      <c r="EET102" s="952"/>
      <c r="EEU102" s="952"/>
      <c r="EEV102" s="952"/>
      <c r="EEW102" s="952"/>
      <c r="EEX102" s="952"/>
      <c r="EEY102" s="952"/>
      <c r="EEZ102" s="952"/>
      <c r="EFA102" s="952"/>
      <c r="EFB102" s="952"/>
      <c r="EFC102" s="952"/>
      <c r="EFD102" s="952"/>
      <c r="EFE102" s="952"/>
      <c r="EFF102" s="952"/>
      <c r="EFG102" s="952"/>
      <c r="EFH102" s="952"/>
      <c r="EFI102" s="952"/>
      <c r="EFJ102" s="952"/>
      <c r="EFK102" s="952"/>
      <c r="EFL102" s="952"/>
      <c r="EFM102" s="952"/>
      <c r="EFN102" s="952"/>
      <c r="EFO102" s="952"/>
      <c r="EFP102" s="952"/>
      <c r="EFQ102" s="952"/>
      <c r="EFR102" s="952"/>
      <c r="EFS102" s="952"/>
      <c r="EFT102" s="952"/>
      <c r="EFU102" s="952"/>
      <c r="EFV102" s="952"/>
      <c r="EFW102" s="952"/>
      <c r="EFX102" s="952"/>
      <c r="EFY102" s="952"/>
      <c r="EFZ102" s="952"/>
      <c r="EGA102" s="952"/>
      <c r="EGB102" s="952"/>
      <c r="EGC102" s="952"/>
      <c r="EGD102" s="952"/>
      <c r="EGE102" s="952"/>
      <c r="EGF102" s="952"/>
      <c r="EGG102" s="952"/>
      <c r="EGH102" s="952"/>
      <c r="EGI102" s="952"/>
      <c r="EGJ102" s="952"/>
      <c r="EGK102" s="952"/>
      <c r="EGL102" s="952"/>
      <c r="EGM102" s="952"/>
      <c r="EGN102" s="952"/>
      <c r="EGO102" s="952"/>
      <c r="EGP102" s="952"/>
      <c r="EGQ102" s="952"/>
      <c r="EGR102" s="952"/>
      <c r="EGS102" s="952"/>
      <c r="EGT102" s="952"/>
      <c r="EGU102" s="952"/>
      <c r="EGV102" s="952"/>
      <c r="EGW102" s="952"/>
      <c r="EGX102" s="952"/>
      <c r="EGY102" s="952"/>
      <c r="EGZ102" s="952"/>
      <c r="EHA102" s="952"/>
      <c r="EHB102" s="952"/>
      <c r="EHC102" s="952"/>
      <c r="EHD102" s="952"/>
      <c r="EHE102" s="952"/>
      <c r="EHF102" s="952"/>
      <c r="EHG102" s="952"/>
      <c r="EHH102" s="952"/>
      <c r="EHI102" s="952"/>
      <c r="EHJ102" s="952"/>
      <c r="EHK102" s="952"/>
      <c r="EHL102" s="952"/>
      <c r="EHM102" s="952"/>
      <c r="EHN102" s="952"/>
      <c r="EHO102" s="952"/>
      <c r="EHP102" s="952"/>
      <c r="EHQ102" s="952"/>
      <c r="EHR102" s="952"/>
      <c r="EHS102" s="952"/>
      <c r="EHT102" s="952"/>
      <c r="EHU102" s="952"/>
      <c r="EHV102" s="952"/>
      <c r="EHW102" s="952"/>
      <c r="EHX102" s="952"/>
      <c r="EHY102" s="952"/>
      <c r="EHZ102" s="952"/>
      <c r="EIA102" s="952"/>
      <c r="EIB102" s="952"/>
      <c r="EIC102" s="952"/>
      <c r="EID102" s="952"/>
      <c r="EIE102" s="952"/>
      <c r="EIF102" s="952"/>
      <c r="EIG102" s="952"/>
      <c r="EIH102" s="952"/>
      <c r="EII102" s="952"/>
      <c r="EIJ102" s="952"/>
      <c r="EIK102" s="952"/>
      <c r="EIL102" s="952"/>
      <c r="EIM102" s="952"/>
      <c r="EIN102" s="952"/>
      <c r="EIO102" s="952"/>
      <c r="EIP102" s="952"/>
      <c r="EIQ102" s="952"/>
      <c r="EIR102" s="952"/>
      <c r="EIS102" s="952"/>
      <c r="EIT102" s="952"/>
      <c r="EIU102" s="952"/>
      <c r="EIV102" s="952"/>
      <c r="EIW102" s="952"/>
      <c r="EIX102" s="952"/>
      <c r="EIY102" s="952"/>
      <c r="EIZ102" s="952"/>
      <c r="EJA102" s="952"/>
      <c r="EJB102" s="952"/>
      <c r="EJC102" s="952"/>
      <c r="EJD102" s="952"/>
      <c r="EJE102" s="952"/>
      <c r="EJF102" s="952"/>
      <c r="EJG102" s="952"/>
      <c r="EJH102" s="952"/>
      <c r="EJI102" s="952"/>
      <c r="EJJ102" s="952"/>
      <c r="EJK102" s="952"/>
      <c r="EJL102" s="952"/>
      <c r="EJM102" s="952"/>
      <c r="EJN102" s="952"/>
      <c r="EJO102" s="952"/>
      <c r="EJP102" s="952"/>
      <c r="EJQ102" s="952"/>
      <c r="EJR102" s="952"/>
      <c r="EJS102" s="952"/>
      <c r="EJT102" s="952"/>
      <c r="EJU102" s="952"/>
      <c r="EJV102" s="952"/>
      <c r="EJW102" s="952"/>
      <c r="EJX102" s="952"/>
      <c r="EJY102" s="952"/>
      <c r="EJZ102" s="952"/>
      <c r="EKA102" s="952"/>
      <c r="EKB102" s="952"/>
      <c r="EKC102" s="952"/>
      <c r="EKD102" s="952"/>
      <c r="EKE102" s="952"/>
      <c r="EKF102" s="952"/>
      <c r="EKG102" s="952"/>
      <c r="EKH102" s="952"/>
      <c r="EKI102" s="952"/>
      <c r="EKJ102" s="952"/>
      <c r="EKK102" s="952"/>
      <c r="EKL102" s="952"/>
      <c r="EKM102" s="952"/>
      <c r="EKN102" s="952"/>
      <c r="EKO102" s="952"/>
      <c r="EKP102" s="952"/>
      <c r="EKQ102" s="952"/>
      <c r="EKR102" s="952"/>
      <c r="EKS102" s="952"/>
      <c r="EKT102" s="952"/>
      <c r="EKU102" s="952"/>
      <c r="EKV102" s="952"/>
      <c r="EKW102" s="952"/>
      <c r="EKX102" s="952"/>
      <c r="EKY102" s="952"/>
      <c r="EKZ102" s="952"/>
      <c r="ELA102" s="952"/>
      <c r="ELB102" s="952"/>
      <c r="ELC102" s="952"/>
      <c r="ELD102" s="952"/>
      <c r="ELE102" s="952"/>
      <c r="ELF102" s="952"/>
      <c r="ELG102" s="952"/>
      <c r="ELH102" s="952"/>
      <c r="ELI102" s="952"/>
      <c r="ELJ102" s="952"/>
      <c r="ELK102" s="952"/>
      <c r="ELL102" s="952"/>
      <c r="ELM102" s="952"/>
      <c r="ELN102" s="952"/>
      <c r="ELO102" s="952"/>
      <c r="ELP102" s="952"/>
      <c r="ELQ102" s="952"/>
      <c r="ELR102" s="952"/>
      <c r="ELS102" s="952"/>
      <c r="ELT102" s="952"/>
      <c r="ELU102" s="952"/>
      <c r="ELV102" s="952"/>
      <c r="ELW102" s="952"/>
      <c r="ELX102" s="952"/>
      <c r="ELY102" s="952"/>
      <c r="ELZ102" s="952"/>
      <c r="EMA102" s="952"/>
      <c r="EMB102" s="952"/>
      <c r="EMC102" s="952"/>
      <c r="EMD102" s="952"/>
      <c r="EME102" s="952"/>
      <c r="EMF102" s="952"/>
      <c r="EMG102" s="952"/>
      <c r="EMH102" s="952"/>
      <c r="EMI102" s="952"/>
      <c r="EMJ102" s="952"/>
      <c r="EMK102" s="952"/>
      <c r="EML102" s="952"/>
      <c r="EMM102" s="952"/>
      <c r="EMN102" s="952"/>
      <c r="EMO102" s="952"/>
      <c r="EMP102" s="952"/>
      <c r="EMQ102" s="952"/>
      <c r="EMR102" s="952"/>
      <c r="EMS102" s="952"/>
      <c r="EMT102" s="952"/>
      <c r="EMU102" s="952"/>
      <c r="EMV102" s="952"/>
      <c r="EMW102" s="952"/>
      <c r="EMX102" s="952"/>
      <c r="EMY102" s="952"/>
      <c r="EMZ102" s="952"/>
      <c r="ENA102" s="952"/>
      <c r="ENB102" s="952"/>
      <c r="ENC102" s="952"/>
      <c r="END102" s="952"/>
      <c r="ENE102" s="952"/>
      <c r="ENF102" s="952"/>
      <c r="ENG102" s="952"/>
      <c r="ENH102" s="952"/>
      <c r="ENI102" s="952"/>
      <c r="ENJ102" s="952"/>
      <c r="ENK102" s="952"/>
      <c r="ENL102" s="952"/>
      <c r="ENM102" s="952"/>
      <c r="ENN102" s="952"/>
      <c r="ENO102" s="952"/>
      <c r="ENP102" s="952"/>
      <c r="ENQ102" s="952"/>
      <c r="ENR102" s="952"/>
      <c r="ENS102" s="952"/>
      <c r="ENT102" s="952"/>
      <c r="ENU102" s="952"/>
      <c r="ENV102" s="952"/>
      <c r="ENW102" s="952"/>
      <c r="ENX102" s="952"/>
      <c r="ENY102" s="952"/>
      <c r="ENZ102" s="952"/>
      <c r="EOA102" s="952"/>
      <c r="EOB102" s="952"/>
      <c r="EOC102" s="952"/>
      <c r="EOD102" s="952"/>
      <c r="EOE102" s="952"/>
      <c r="EOF102" s="952"/>
      <c r="EOG102" s="952"/>
      <c r="EOH102" s="952"/>
      <c r="EOI102" s="952"/>
      <c r="EOJ102" s="952"/>
      <c r="EOK102" s="952"/>
      <c r="EOL102" s="952"/>
      <c r="EOM102" s="952"/>
      <c r="EON102" s="952"/>
      <c r="EOO102" s="952"/>
      <c r="EOP102" s="952"/>
      <c r="EOQ102" s="952"/>
      <c r="EOR102" s="952"/>
      <c r="EOS102" s="952"/>
      <c r="EOT102" s="952"/>
      <c r="EOU102" s="952"/>
      <c r="EOV102" s="952"/>
      <c r="EOW102" s="952"/>
      <c r="EOX102" s="952"/>
      <c r="EOY102" s="952"/>
      <c r="EOZ102" s="952"/>
      <c r="EPA102" s="952"/>
      <c r="EPB102" s="952"/>
      <c r="EPC102" s="952"/>
      <c r="EPD102" s="952"/>
      <c r="EPE102" s="952"/>
      <c r="EPF102" s="952"/>
      <c r="EPG102" s="952"/>
      <c r="EPH102" s="952"/>
      <c r="EPI102" s="952"/>
      <c r="EPJ102" s="952"/>
      <c r="EPK102" s="952"/>
      <c r="EPL102" s="952"/>
      <c r="EPM102" s="952"/>
      <c r="EPN102" s="952"/>
      <c r="EPO102" s="952"/>
      <c r="EPP102" s="952"/>
      <c r="EPQ102" s="952"/>
      <c r="EPR102" s="952"/>
      <c r="EPS102" s="952"/>
      <c r="EPT102" s="952"/>
      <c r="EPU102" s="952"/>
      <c r="EPV102" s="952"/>
      <c r="EPW102" s="952"/>
      <c r="EPX102" s="952"/>
      <c r="EPY102" s="952"/>
      <c r="EPZ102" s="952"/>
      <c r="EQA102" s="952"/>
      <c r="EQB102" s="952"/>
      <c r="EQC102" s="952"/>
      <c r="EQD102" s="952"/>
      <c r="EQE102" s="952"/>
      <c r="EQF102" s="952"/>
      <c r="EQG102" s="952"/>
      <c r="EQH102" s="952"/>
      <c r="EQI102" s="952"/>
      <c r="EQJ102" s="952"/>
      <c r="EQK102" s="952"/>
      <c r="EQL102" s="952"/>
      <c r="EQM102" s="952"/>
      <c r="EQN102" s="952"/>
      <c r="EQO102" s="952"/>
      <c r="EQP102" s="952"/>
      <c r="EQQ102" s="952"/>
      <c r="EQR102" s="952"/>
      <c r="EQS102" s="952"/>
      <c r="EQT102" s="952"/>
      <c r="EQU102" s="952"/>
      <c r="EQV102" s="952"/>
      <c r="EQW102" s="952"/>
      <c r="EQX102" s="952"/>
      <c r="EQY102" s="952"/>
      <c r="EQZ102" s="952"/>
      <c r="ERA102" s="952"/>
      <c r="ERB102" s="952"/>
      <c r="ERC102" s="952"/>
      <c r="ERD102" s="952"/>
      <c r="ERE102" s="952"/>
      <c r="ERF102" s="952"/>
      <c r="ERG102" s="952"/>
      <c r="ERH102" s="952"/>
      <c r="ERI102" s="952"/>
      <c r="ERJ102" s="952"/>
      <c r="ERK102" s="952"/>
      <c r="ERL102" s="952"/>
      <c r="ERM102" s="952"/>
      <c r="ERN102" s="952"/>
      <c r="ERO102" s="952"/>
      <c r="ERP102" s="952"/>
      <c r="ERQ102" s="952"/>
      <c r="ERR102" s="952"/>
      <c r="ERS102" s="952"/>
      <c r="ERT102" s="952"/>
      <c r="ERU102" s="952"/>
      <c r="ERV102" s="952"/>
      <c r="ERW102" s="952"/>
      <c r="ERX102" s="952"/>
      <c r="ERY102" s="952"/>
      <c r="ERZ102" s="952"/>
      <c r="ESA102" s="952"/>
      <c r="ESB102" s="952"/>
      <c r="ESC102" s="952"/>
      <c r="ESD102" s="952"/>
      <c r="ESE102" s="952"/>
      <c r="ESF102" s="952"/>
      <c r="ESG102" s="952"/>
      <c r="ESH102" s="952"/>
      <c r="ESI102" s="952"/>
      <c r="ESJ102" s="952"/>
      <c r="ESK102" s="952"/>
      <c r="ESL102" s="952"/>
      <c r="ESM102" s="952"/>
      <c r="ESN102" s="952"/>
      <c r="ESO102" s="952"/>
      <c r="ESP102" s="952"/>
      <c r="ESQ102" s="952"/>
      <c r="ESR102" s="952"/>
      <c r="ESS102" s="952"/>
      <c r="EST102" s="952"/>
      <c r="ESU102" s="952"/>
      <c r="ESV102" s="952"/>
      <c r="ESW102" s="952"/>
      <c r="ESX102" s="952"/>
      <c r="ESY102" s="952"/>
      <c r="ESZ102" s="952"/>
      <c r="ETA102" s="952"/>
      <c r="ETB102" s="952"/>
      <c r="ETC102" s="952"/>
      <c r="ETD102" s="952"/>
      <c r="ETE102" s="952"/>
      <c r="ETF102" s="952"/>
      <c r="ETG102" s="952"/>
      <c r="ETH102" s="952"/>
      <c r="ETI102" s="952"/>
      <c r="ETJ102" s="952"/>
      <c r="ETK102" s="952"/>
      <c r="ETL102" s="952"/>
      <c r="ETM102" s="952"/>
      <c r="ETN102" s="952"/>
      <c r="ETO102" s="952"/>
      <c r="ETP102" s="952"/>
      <c r="ETQ102" s="952"/>
      <c r="ETR102" s="952"/>
      <c r="ETS102" s="952"/>
      <c r="ETT102" s="952"/>
      <c r="ETU102" s="952"/>
      <c r="ETV102" s="952"/>
      <c r="ETW102" s="952"/>
      <c r="ETX102" s="952"/>
      <c r="ETY102" s="952"/>
      <c r="ETZ102" s="952"/>
      <c r="EUA102" s="952"/>
      <c r="EUB102" s="952"/>
      <c r="EUC102" s="952"/>
      <c r="EUD102" s="952"/>
      <c r="EUE102" s="952"/>
      <c r="EUF102" s="952"/>
      <c r="EUG102" s="952"/>
      <c r="EUH102" s="952"/>
      <c r="EUI102" s="952"/>
      <c r="EUJ102" s="952"/>
      <c r="EUK102" s="952"/>
      <c r="EUL102" s="952"/>
      <c r="EUM102" s="952"/>
      <c r="EUN102" s="952"/>
      <c r="EUO102" s="952"/>
      <c r="EUP102" s="952"/>
      <c r="EUQ102" s="952"/>
      <c r="EUR102" s="952"/>
      <c r="EUS102" s="952"/>
      <c r="EUT102" s="952"/>
      <c r="EUU102" s="952"/>
      <c r="EUV102" s="952"/>
      <c r="EUW102" s="952"/>
      <c r="EUX102" s="952"/>
      <c r="EUY102" s="952"/>
      <c r="EUZ102" s="952"/>
      <c r="EVA102" s="952"/>
      <c r="EVB102" s="952"/>
      <c r="EVC102" s="952"/>
      <c r="EVD102" s="952"/>
      <c r="EVE102" s="952"/>
      <c r="EVF102" s="952"/>
      <c r="EVG102" s="952"/>
      <c r="EVH102" s="952"/>
      <c r="EVI102" s="952"/>
      <c r="EVJ102" s="952"/>
      <c r="EVK102" s="952"/>
      <c r="EVL102" s="952"/>
      <c r="EVM102" s="952"/>
      <c r="EVN102" s="952"/>
      <c r="EVO102" s="952"/>
      <c r="EVP102" s="952"/>
      <c r="EVQ102" s="952"/>
      <c r="EVR102" s="952"/>
      <c r="EVS102" s="952"/>
      <c r="EVT102" s="952"/>
      <c r="EVU102" s="952"/>
      <c r="EVV102" s="952"/>
      <c r="EVW102" s="952"/>
      <c r="EVX102" s="952"/>
      <c r="EVY102" s="952"/>
      <c r="EVZ102" s="952"/>
      <c r="EWA102" s="952"/>
      <c r="EWB102" s="952"/>
      <c r="EWC102" s="952"/>
      <c r="EWD102" s="952"/>
      <c r="EWE102" s="952"/>
      <c r="EWF102" s="952"/>
      <c r="EWG102" s="952"/>
      <c r="EWH102" s="952"/>
      <c r="EWI102" s="952"/>
      <c r="EWJ102" s="952"/>
      <c r="EWK102" s="952"/>
      <c r="EWL102" s="952"/>
      <c r="EWM102" s="952"/>
      <c r="EWN102" s="952"/>
      <c r="EWO102" s="952"/>
      <c r="EWP102" s="952"/>
      <c r="EWQ102" s="952"/>
      <c r="EWR102" s="952"/>
      <c r="EWS102" s="952"/>
      <c r="EWT102" s="952"/>
      <c r="EWU102" s="952"/>
      <c r="EWV102" s="952"/>
      <c r="EWW102" s="952"/>
      <c r="EWX102" s="952"/>
      <c r="EWY102" s="952"/>
      <c r="EWZ102" s="952"/>
      <c r="EXA102" s="952"/>
      <c r="EXB102" s="952"/>
      <c r="EXC102" s="952"/>
      <c r="EXD102" s="952"/>
      <c r="EXE102" s="952"/>
      <c r="EXF102" s="952"/>
      <c r="EXG102" s="952"/>
      <c r="EXH102" s="952"/>
      <c r="EXI102" s="952"/>
      <c r="EXJ102" s="952"/>
      <c r="EXK102" s="952"/>
      <c r="EXL102" s="952"/>
      <c r="EXM102" s="952"/>
      <c r="EXN102" s="952"/>
      <c r="EXO102" s="952"/>
      <c r="EXP102" s="952"/>
      <c r="EXQ102" s="952"/>
      <c r="EXR102" s="952"/>
      <c r="EXS102" s="952"/>
      <c r="EXT102" s="952"/>
      <c r="EXU102" s="952"/>
      <c r="EXV102" s="952"/>
      <c r="EXW102" s="952"/>
      <c r="EXX102" s="952"/>
      <c r="EXY102" s="952"/>
      <c r="EXZ102" s="952"/>
      <c r="EYA102" s="952"/>
      <c r="EYB102" s="952"/>
      <c r="EYC102" s="952"/>
      <c r="EYD102" s="952"/>
      <c r="EYE102" s="952"/>
      <c r="EYF102" s="952"/>
      <c r="EYG102" s="952"/>
      <c r="EYH102" s="952"/>
      <c r="EYI102" s="952"/>
      <c r="EYJ102" s="952"/>
      <c r="EYK102" s="952"/>
      <c r="EYL102" s="952"/>
      <c r="EYM102" s="952"/>
      <c r="EYN102" s="952"/>
      <c r="EYO102" s="952"/>
      <c r="EYP102" s="952"/>
      <c r="EYQ102" s="952"/>
      <c r="EYR102" s="952"/>
      <c r="EYS102" s="952"/>
      <c r="EYT102" s="952"/>
      <c r="EYU102" s="952"/>
      <c r="EYV102" s="952"/>
      <c r="EYW102" s="952"/>
      <c r="EYX102" s="952"/>
      <c r="EYY102" s="952"/>
      <c r="EYZ102" s="952"/>
      <c r="EZA102" s="952"/>
      <c r="EZB102" s="952"/>
      <c r="EZC102" s="952"/>
      <c r="EZD102" s="952"/>
      <c r="EZE102" s="952"/>
      <c r="EZF102" s="952"/>
      <c r="EZG102" s="952"/>
      <c r="EZH102" s="952"/>
      <c r="EZI102" s="952"/>
      <c r="EZJ102" s="952"/>
      <c r="EZK102" s="952"/>
      <c r="EZL102" s="952"/>
      <c r="EZM102" s="952"/>
      <c r="EZN102" s="952"/>
      <c r="EZO102" s="952"/>
      <c r="EZP102" s="952"/>
      <c r="EZQ102" s="952"/>
      <c r="EZR102" s="952"/>
      <c r="EZS102" s="952"/>
      <c r="EZT102" s="952"/>
      <c r="EZU102" s="952"/>
      <c r="EZV102" s="952"/>
      <c r="EZW102" s="952"/>
      <c r="EZX102" s="952"/>
      <c r="EZY102" s="952"/>
      <c r="EZZ102" s="952"/>
      <c r="FAA102" s="952"/>
      <c r="FAB102" s="952"/>
      <c r="FAC102" s="952"/>
      <c r="FAD102" s="952"/>
      <c r="FAE102" s="952"/>
      <c r="FAF102" s="952"/>
      <c r="FAG102" s="952"/>
      <c r="FAH102" s="952"/>
      <c r="FAI102" s="952"/>
      <c r="FAJ102" s="952"/>
      <c r="FAK102" s="952"/>
      <c r="FAL102" s="952"/>
      <c r="FAM102" s="952"/>
      <c r="FAN102" s="952"/>
      <c r="FAO102" s="952"/>
      <c r="FAP102" s="952"/>
      <c r="FAQ102" s="952"/>
      <c r="FAR102" s="952"/>
      <c r="FAS102" s="952"/>
      <c r="FAT102" s="952"/>
      <c r="FAU102" s="952"/>
      <c r="FAV102" s="952"/>
      <c r="FAW102" s="952"/>
      <c r="FAX102" s="952"/>
      <c r="FAY102" s="952"/>
      <c r="FAZ102" s="952"/>
      <c r="FBA102" s="952"/>
      <c r="FBB102" s="952"/>
      <c r="FBC102" s="952"/>
      <c r="FBD102" s="952"/>
      <c r="FBE102" s="952"/>
      <c r="FBF102" s="952"/>
      <c r="FBG102" s="952"/>
      <c r="FBH102" s="952"/>
      <c r="FBI102" s="952"/>
      <c r="FBJ102" s="952"/>
      <c r="FBK102" s="952"/>
      <c r="FBL102" s="952"/>
      <c r="FBM102" s="952"/>
      <c r="FBN102" s="952"/>
      <c r="FBO102" s="952"/>
      <c r="FBP102" s="952"/>
      <c r="FBQ102" s="952"/>
      <c r="FBR102" s="952"/>
      <c r="FBS102" s="952"/>
      <c r="FBT102" s="952"/>
      <c r="FBU102" s="952"/>
      <c r="FBV102" s="952"/>
      <c r="FBW102" s="952"/>
      <c r="FBX102" s="952"/>
      <c r="FBY102" s="952"/>
      <c r="FBZ102" s="952"/>
      <c r="FCA102" s="952"/>
      <c r="FCB102" s="952"/>
      <c r="FCC102" s="952"/>
      <c r="FCD102" s="952"/>
      <c r="FCE102" s="952"/>
      <c r="FCF102" s="952"/>
      <c r="FCG102" s="952"/>
      <c r="FCH102" s="952"/>
      <c r="FCI102" s="952"/>
      <c r="FCJ102" s="952"/>
      <c r="FCK102" s="952"/>
      <c r="FCL102" s="952"/>
      <c r="FCM102" s="952"/>
      <c r="FCN102" s="952"/>
      <c r="FCO102" s="952"/>
      <c r="FCP102" s="952"/>
      <c r="FCQ102" s="952"/>
      <c r="FCR102" s="952"/>
      <c r="FCS102" s="952"/>
      <c r="FCT102" s="952"/>
      <c r="FCU102" s="952"/>
      <c r="FCV102" s="952"/>
      <c r="FCW102" s="952"/>
      <c r="FCX102" s="952"/>
      <c r="FCY102" s="952"/>
      <c r="FCZ102" s="952"/>
      <c r="FDA102" s="952"/>
      <c r="FDB102" s="952"/>
      <c r="FDC102" s="952"/>
      <c r="FDD102" s="952"/>
      <c r="FDE102" s="952"/>
      <c r="FDF102" s="952"/>
      <c r="FDG102" s="952"/>
      <c r="FDH102" s="952"/>
      <c r="FDI102" s="952"/>
      <c r="FDJ102" s="952"/>
      <c r="FDK102" s="952"/>
      <c r="FDL102" s="952"/>
      <c r="FDM102" s="952"/>
      <c r="FDN102" s="952"/>
      <c r="FDO102" s="952"/>
      <c r="FDP102" s="952"/>
      <c r="FDQ102" s="952"/>
      <c r="FDR102" s="952"/>
      <c r="FDS102" s="952"/>
      <c r="FDT102" s="952"/>
      <c r="FDU102" s="952"/>
      <c r="FDV102" s="952"/>
      <c r="FDW102" s="952"/>
      <c r="FDX102" s="952"/>
      <c r="FDY102" s="952"/>
      <c r="FDZ102" s="952"/>
      <c r="FEA102" s="952"/>
      <c r="FEB102" s="952"/>
      <c r="FEC102" s="952"/>
      <c r="FED102" s="952"/>
      <c r="FEE102" s="952"/>
      <c r="FEF102" s="952"/>
      <c r="FEG102" s="952"/>
      <c r="FEH102" s="952"/>
      <c r="FEI102" s="952"/>
      <c r="FEJ102" s="952"/>
      <c r="FEK102" s="952"/>
      <c r="FEL102" s="952"/>
      <c r="FEM102" s="952"/>
      <c r="FEN102" s="952"/>
      <c r="FEO102" s="952"/>
      <c r="FEP102" s="952"/>
      <c r="FEQ102" s="952"/>
      <c r="FER102" s="952"/>
      <c r="FES102" s="952"/>
      <c r="FET102" s="952"/>
      <c r="FEU102" s="952"/>
      <c r="FEV102" s="952"/>
      <c r="FEW102" s="952"/>
      <c r="FEX102" s="952"/>
      <c r="FEY102" s="952"/>
      <c r="FEZ102" s="952"/>
      <c r="FFA102" s="952"/>
      <c r="FFB102" s="952"/>
      <c r="FFC102" s="952"/>
      <c r="FFD102" s="952"/>
      <c r="FFE102" s="952"/>
      <c r="FFF102" s="952"/>
      <c r="FFG102" s="952"/>
      <c r="FFH102" s="952"/>
      <c r="FFI102" s="952"/>
      <c r="FFJ102" s="952"/>
      <c r="FFK102" s="952"/>
      <c r="FFL102" s="952"/>
      <c r="FFM102" s="952"/>
      <c r="FFN102" s="952"/>
      <c r="FFO102" s="952"/>
      <c r="FFP102" s="952"/>
      <c r="FFQ102" s="952"/>
      <c r="FFR102" s="952"/>
      <c r="FFS102" s="952"/>
      <c r="FFT102" s="952"/>
      <c r="FFU102" s="952"/>
      <c r="FFV102" s="952"/>
      <c r="FFW102" s="952"/>
      <c r="FFX102" s="952"/>
      <c r="FFY102" s="952"/>
      <c r="FFZ102" s="952"/>
      <c r="FGA102" s="952"/>
      <c r="FGB102" s="952"/>
      <c r="FGC102" s="952"/>
      <c r="FGD102" s="952"/>
      <c r="FGE102" s="952"/>
      <c r="FGF102" s="952"/>
      <c r="FGG102" s="952"/>
      <c r="FGH102" s="952"/>
      <c r="FGI102" s="952"/>
      <c r="FGJ102" s="952"/>
      <c r="FGK102" s="952"/>
      <c r="FGL102" s="952"/>
      <c r="FGM102" s="952"/>
      <c r="FGN102" s="952"/>
      <c r="FGO102" s="952"/>
      <c r="FGP102" s="952"/>
      <c r="FGQ102" s="952"/>
      <c r="FGR102" s="952"/>
      <c r="FGS102" s="952"/>
      <c r="FGT102" s="952"/>
      <c r="FGU102" s="952"/>
      <c r="FGV102" s="952"/>
      <c r="FGW102" s="952"/>
      <c r="FGX102" s="952"/>
      <c r="FGY102" s="952"/>
      <c r="FGZ102" s="952"/>
      <c r="FHA102" s="952"/>
      <c r="FHB102" s="952"/>
      <c r="FHC102" s="952"/>
      <c r="FHD102" s="952"/>
      <c r="FHE102" s="952"/>
      <c r="FHF102" s="952"/>
      <c r="FHG102" s="952"/>
      <c r="FHH102" s="952"/>
      <c r="FHI102" s="952"/>
      <c r="FHJ102" s="952"/>
      <c r="FHK102" s="952"/>
      <c r="FHL102" s="952"/>
      <c r="FHM102" s="952"/>
      <c r="FHN102" s="952"/>
      <c r="FHO102" s="952"/>
      <c r="FHP102" s="952"/>
      <c r="FHQ102" s="952"/>
      <c r="FHR102" s="952"/>
      <c r="FHS102" s="952"/>
      <c r="FHT102" s="952"/>
      <c r="FHU102" s="952"/>
      <c r="FHV102" s="952"/>
      <c r="FHW102" s="952"/>
      <c r="FHX102" s="952"/>
      <c r="FHY102" s="952"/>
      <c r="FHZ102" s="952"/>
      <c r="FIA102" s="952"/>
      <c r="FIB102" s="952"/>
      <c r="FIC102" s="952"/>
      <c r="FID102" s="952"/>
      <c r="FIE102" s="952"/>
      <c r="FIF102" s="952"/>
      <c r="FIG102" s="952"/>
      <c r="FIH102" s="952"/>
      <c r="FII102" s="952"/>
      <c r="FIJ102" s="952"/>
      <c r="FIK102" s="952"/>
      <c r="FIL102" s="952"/>
      <c r="FIM102" s="952"/>
      <c r="FIN102" s="952"/>
      <c r="FIO102" s="952"/>
      <c r="FIP102" s="952"/>
      <c r="FIQ102" s="952"/>
      <c r="FIR102" s="952"/>
      <c r="FIS102" s="952"/>
      <c r="FIT102" s="952"/>
      <c r="FIU102" s="952"/>
      <c r="FIV102" s="952"/>
      <c r="FIW102" s="952"/>
      <c r="FIX102" s="952"/>
      <c r="FIY102" s="952"/>
      <c r="FIZ102" s="952"/>
      <c r="FJA102" s="952"/>
      <c r="FJB102" s="952"/>
      <c r="FJC102" s="952"/>
      <c r="FJD102" s="952"/>
      <c r="FJE102" s="952"/>
      <c r="FJF102" s="952"/>
      <c r="FJG102" s="952"/>
      <c r="FJH102" s="952"/>
      <c r="FJI102" s="952"/>
      <c r="FJJ102" s="952"/>
      <c r="FJK102" s="952"/>
      <c r="FJL102" s="952"/>
      <c r="FJM102" s="952"/>
      <c r="FJN102" s="952"/>
      <c r="FJO102" s="952"/>
      <c r="FJP102" s="952"/>
      <c r="FJQ102" s="952"/>
      <c r="FJR102" s="952"/>
      <c r="FJS102" s="952"/>
      <c r="FJT102" s="952"/>
      <c r="FJU102" s="952"/>
      <c r="FJV102" s="952"/>
      <c r="FJW102" s="952"/>
      <c r="FJX102" s="952"/>
      <c r="FJY102" s="952"/>
      <c r="FJZ102" s="952"/>
      <c r="FKA102" s="952"/>
      <c r="FKB102" s="952"/>
      <c r="FKC102" s="952"/>
      <c r="FKD102" s="952"/>
      <c r="FKE102" s="952"/>
      <c r="FKF102" s="952"/>
      <c r="FKG102" s="952"/>
      <c r="FKH102" s="952"/>
      <c r="FKI102" s="952"/>
      <c r="FKJ102" s="952"/>
      <c r="FKK102" s="952"/>
      <c r="FKL102" s="952"/>
      <c r="FKM102" s="952"/>
      <c r="FKN102" s="952"/>
      <c r="FKO102" s="952"/>
      <c r="FKP102" s="952"/>
      <c r="FKQ102" s="952"/>
      <c r="FKR102" s="952"/>
      <c r="FKS102" s="952"/>
      <c r="FKT102" s="952"/>
      <c r="FKU102" s="952"/>
      <c r="FKV102" s="952"/>
      <c r="FKW102" s="952"/>
      <c r="FKX102" s="952"/>
      <c r="FKY102" s="952"/>
      <c r="FKZ102" s="952"/>
      <c r="FLA102" s="952"/>
      <c r="FLB102" s="952"/>
      <c r="FLC102" s="952"/>
      <c r="FLD102" s="952"/>
      <c r="FLE102" s="952"/>
      <c r="FLF102" s="952"/>
      <c r="FLG102" s="952"/>
      <c r="FLH102" s="952"/>
      <c r="FLI102" s="952"/>
      <c r="FLJ102" s="952"/>
      <c r="FLK102" s="952"/>
      <c r="FLL102" s="952"/>
      <c r="FLM102" s="952"/>
      <c r="FLN102" s="952"/>
      <c r="FLO102" s="952"/>
      <c r="FLP102" s="952"/>
      <c r="FLQ102" s="952"/>
      <c r="FLR102" s="952"/>
      <c r="FLS102" s="952"/>
      <c r="FLT102" s="952"/>
      <c r="FLU102" s="952"/>
      <c r="FLV102" s="952"/>
      <c r="FLW102" s="952"/>
      <c r="FLX102" s="952"/>
      <c r="FLY102" s="952"/>
      <c r="FLZ102" s="952"/>
      <c r="FMA102" s="952"/>
      <c r="FMB102" s="952"/>
      <c r="FMC102" s="952"/>
      <c r="FMD102" s="952"/>
      <c r="FME102" s="952"/>
      <c r="FMF102" s="952"/>
      <c r="FMG102" s="952"/>
      <c r="FMH102" s="952"/>
      <c r="FMI102" s="952"/>
      <c r="FMJ102" s="952"/>
      <c r="FMK102" s="952"/>
      <c r="FML102" s="952"/>
      <c r="FMM102" s="952"/>
      <c r="FMN102" s="952"/>
      <c r="FMO102" s="952"/>
      <c r="FMP102" s="952"/>
      <c r="FMQ102" s="952"/>
      <c r="FMR102" s="952"/>
      <c r="FMS102" s="952"/>
      <c r="FMT102" s="952"/>
      <c r="FMU102" s="952"/>
      <c r="FMV102" s="952"/>
      <c r="FMW102" s="952"/>
      <c r="FMX102" s="952"/>
      <c r="FMY102" s="952"/>
      <c r="FMZ102" s="952"/>
      <c r="FNA102" s="952"/>
      <c r="FNB102" s="952"/>
      <c r="FNC102" s="952"/>
      <c r="FND102" s="952"/>
      <c r="FNE102" s="952"/>
      <c r="FNF102" s="952"/>
      <c r="FNG102" s="952"/>
      <c r="FNH102" s="952"/>
      <c r="FNI102" s="952"/>
      <c r="FNJ102" s="952"/>
      <c r="FNK102" s="952"/>
      <c r="FNL102" s="952"/>
      <c r="FNM102" s="952"/>
      <c r="FNN102" s="952"/>
      <c r="FNO102" s="952"/>
      <c r="FNP102" s="952"/>
      <c r="FNQ102" s="952"/>
      <c r="FNR102" s="952"/>
      <c r="FNS102" s="952"/>
      <c r="FNT102" s="952"/>
      <c r="FNU102" s="952"/>
      <c r="FNV102" s="952"/>
      <c r="FNW102" s="952"/>
      <c r="FNX102" s="952"/>
      <c r="FNY102" s="952"/>
      <c r="FNZ102" s="952"/>
      <c r="FOA102" s="952"/>
      <c r="FOB102" s="952"/>
      <c r="FOC102" s="952"/>
      <c r="FOD102" s="952"/>
      <c r="FOE102" s="952"/>
      <c r="FOF102" s="952"/>
      <c r="FOG102" s="952"/>
      <c r="FOH102" s="952"/>
      <c r="FOI102" s="952"/>
      <c r="FOJ102" s="952"/>
      <c r="FOK102" s="952"/>
      <c r="FOL102" s="952"/>
      <c r="FOM102" s="952"/>
      <c r="FON102" s="952"/>
      <c r="FOO102" s="952"/>
      <c r="FOP102" s="952"/>
      <c r="FOQ102" s="952"/>
      <c r="FOR102" s="952"/>
      <c r="FOS102" s="952"/>
      <c r="FOT102" s="952"/>
      <c r="FOU102" s="952"/>
      <c r="FOV102" s="952"/>
      <c r="FOW102" s="952"/>
      <c r="FOX102" s="952"/>
      <c r="FOY102" s="952"/>
      <c r="FOZ102" s="952"/>
      <c r="FPA102" s="952"/>
      <c r="FPB102" s="952"/>
      <c r="FPC102" s="952"/>
      <c r="FPD102" s="952"/>
      <c r="FPE102" s="952"/>
      <c r="FPF102" s="952"/>
      <c r="FPG102" s="952"/>
      <c r="FPH102" s="952"/>
      <c r="FPI102" s="952"/>
      <c r="FPJ102" s="952"/>
      <c r="FPK102" s="952"/>
      <c r="FPL102" s="952"/>
      <c r="FPM102" s="952"/>
      <c r="FPN102" s="952"/>
      <c r="FPO102" s="952"/>
      <c r="FPP102" s="952"/>
      <c r="FPQ102" s="952"/>
      <c r="FPR102" s="952"/>
      <c r="FPS102" s="952"/>
      <c r="FPT102" s="952"/>
      <c r="FPU102" s="952"/>
      <c r="FPV102" s="952"/>
      <c r="FPW102" s="952"/>
      <c r="FPX102" s="952"/>
      <c r="FPY102" s="952"/>
      <c r="FPZ102" s="952"/>
      <c r="FQA102" s="952"/>
      <c r="FQB102" s="952"/>
      <c r="FQC102" s="952"/>
      <c r="FQD102" s="952"/>
      <c r="FQE102" s="952"/>
      <c r="FQF102" s="952"/>
      <c r="FQG102" s="952"/>
      <c r="FQH102" s="952"/>
      <c r="FQI102" s="952"/>
      <c r="FQJ102" s="952"/>
      <c r="FQK102" s="952"/>
      <c r="FQL102" s="952"/>
      <c r="FQM102" s="952"/>
      <c r="FQN102" s="952"/>
      <c r="FQO102" s="952"/>
      <c r="FQP102" s="952"/>
      <c r="FQQ102" s="952"/>
      <c r="FQR102" s="952"/>
      <c r="FQS102" s="952"/>
      <c r="FQT102" s="952"/>
      <c r="FQU102" s="952"/>
      <c r="FQV102" s="952"/>
      <c r="FQW102" s="952"/>
      <c r="FQX102" s="952"/>
      <c r="FQY102" s="952"/>
      <c r="FQZ102" s="952"/>
      <c r="FRA102" s="952"/>
      <c r="FRB102" s="952"/>
      <c r="FRC102" s="952"/>
      <c r="FRD102" s="952"/>
      <c r="FRE102" s="952"/>
      <c r="FRF102" s="952"/>
      <c r="FRG102" s="952"/>
      <c r="FRH102" s="952"/>
      <c r="FRI102" s="952"/>
      <c r="FRJ102" s="952"/>
      <c r="FRK102" s="952"/>
      <c r="FRL102" s="952"/>
      <c r="FRM102" s="952"/>
      <c r="FRN102" s="952"/>
      <c r="FRO102" s="952"/>
      <c r="FRP102" s="952"/>
      <c r="FRQ102" s="952"/>
      <c r="FRR102" s="952"/>
      <c r="FRS102" s="952"/>
      <c r="FRT102" s="952"/>
      <c r="FRU102" s="952"/>
      <c r="FRV102" s="952"/>
      <c r="FRW102" s="952"/>
      <c r="FRX102" s="952"/>
      <c r="FRY102" s="952"/>
      <c r="FRZ102" s="952"/>
      <c r="FSA102" s="952"/>
      <c r="FSB102" s="952"/>
      <c r="FSC102" s="952"/>
      <c r="FSD102" s="952"/>
      <c r="FSE102" s="952"/>
      <c r="FSF102" s="952"/>
      <c r="FSG102" s="952"/>
      <c r="FSH102" s="952"/>
      <c r="FSI102" s="952"/>
      <c r="FSJ102" s="952"/>
      <c r="FSK102" s="952"/>
      <c r="FSL102" s="952"/>
      <c r="FSM102" s="952"/>
      <c r="FSN102" s="952"/>
      <c r="FSO102" s="952"/>
      <c r="FSP102" s="952"/>
      <c r="FSQ102" s="952"/>
      <c r="FSR102" s="952"/>
      <c r="FSS102" s="952"/>
      <c r="FST102" s="952"/>
      <c r="FSU102" s="952"/>
      <c r="FSV102" s="952"/>
      <c r="FSW102" s="952"/>
      <c r="FSX102" s="952"/>
      <c r="FSY102" s="952"/>
      <c r="FSZ102" s="952"/>
      <c r="FTA102" s="952"/>
      <c r="FTB102" s="952"/>
      <c r="FTC102" s="952"/>
      <c r="FTD102" s="952"/>
      <c r="FTE102" s="952"/>
      <c r="FTF102" s="952"/>
      <c r="FTG102" s="952"/>
      <c r="FTH102" s="952"/>
      <c r="FTI102" s="952"/>
      <c r="FTJ102" s="952"/>
      <c r="FTK102" s="952"/>
      <c r="FTL102" s="952"/>
      <c r="FTM102" s="952"/>
      <c r="FTN102" s="952"/>
      <c r="FTO102" s="952"/>
      <c r="FTP102" s="952"/>
      <c r="FTQ102" s="952"/>
      <c r="FTR102" s="952"/>
      <c r="FTS102" s="952"/>
      <c r="FTT102" s="952"/>
      <c r="FTU102" s="952"/>
      <c r="FTV102" s="952"/>
      <c r="FTW102" s="952"/>
      <c r="FTX102" s="952"/>
      <c r="FTY102" s="952"/>
      <c r="FTZ102" s="952"/>
      <c r="FUA102" s="952"/>
      <c r="FUB102" s="952"/>
      <c r="FUC102" s="952"/>
      <c r="FUD102" s="952"/>
      <c r="FUE102" s="952"/>
      <c r="FUF102" s="952"/>
      <c r="FUG102" s="952"/>
      <c r="FUH102" s="952"/>
      <c r="FUI102" s="952"/>
      <c r="FUJ102" s="952"/>
      <c r="FUK102" s="952"/>
      <c r="FUL102" s="952"/>
      <c r="FUM102" s="952"/>
      <c r="FUN102" s="952"/>
      <c r="FUO102" s="952"/>
      <c r="FUP102" s="952"/>
      <c r="FUQ102" s="952"/>
      <c r="FUR102" s="952"/>
      <c r="FUS102" s="952"/>
      <c r="FUT102" s="952"/>
      <c r="FUU102" s="952"/>
      <c r="FUV102" s="952"/>
      <c r="FUW102" s="952"/>
      <c r="FUX102" s="952"/>
      <c r="FUY102" s="952"/>
      <c r="FUZ102" s="952"/>
      <c r="FVA102" s="952"/>
      <c r="FVB102" s="952"/>
      <c r="FVC102" s="952"/>
      <c r="FVD102" s="952"/>
      <c r="FVE102" s="952"/>
      <c r="FVF102" s="952"/>
      <c r="FVG102" s="952"/>
      <c r="FVH102" s="952"/>
      <c r="FVI102" s="952"/>
      <c r="FVJ102" s="952"/>
      <c r="FVK102" s="952"/>
      <c r="FVL102" s="952"/>
      <c r="FVM102" s="952"/>
      <c r="FVN102" s="952"/>
      <c r="FVO102" s="952"/>
      <c r="FVP102" s="952"/>
      <c r="FVQ102" s="952"/>
      <c r="FVR102" s="952"/>
      <c r="FVS102" s="952"/>
      <c r="FVT102" s="952"/>
      <c r="FVU102" s="952"/>
      <c r="FVV102" s="952"/>
      <c r="FVW102" s="952"/>
      <c r="FVX102" s="952"/>
      <c r="FVY102" s="952"/>
      <c r="FVZ102" s="952"/>
      <c r="FWA102" s="952"/>
      <c r="FWB102" s="952"/>
      <c r="FWC102" s="952"/>
      <c r="FWD102" s="952"/>
      <c r="FWE102" s="952"/>
      <c r="FWF102" s="952"/>
      <c r="FWG102" s="952"/>
      <c r="FWH102" s="952"/>
      <c r="FWI102" s="952"/>
      <c r="FWJ102" s="952"/>
      <c r="FWK102" s="952"/>
      <c r="FWL102" s="952"/>
      <c r="FWM102" s="952"/>
      <c r="FWN102" s="952"/>
      <c r="FWO102" s="952"/>
      <c r="FWP102" s="952"/>
      <c r="FWQ102" s="952"/>
      <c r="FWR102" s="952"/>
      <c r="FWS102" s="952"/>
      <c r="FWT102" s="952"/>
      <c r="FWU102" s="952"/>
      <c r="FWV102" s="952"/>
      <c r="FWW102" s="952"/>
      <c r="FWX102" s="952"/>
      <c r="FWY102" s="952"/>
      <c r="FWZ102" s="952"/>
      <c r="FXA102" s="952"/>
      <c r="FXB102" s="952"/>
      <c r="FXC102" s="952"/>
      <c r="FXD102" s="952"/>
      <c r="FXE102" s="952"/>
      <c r="FXF102" s="952"/>
      <c r="FXG102" s="952"/>
      <c r="FXH102" s="952"/>
      <c r="FXI102" s="952"/>
      <c r="FXJ102" s="952"/>
      <c r="FXK102" s="952"/>
      <c r="FXL102" s="952"/>
      <c r="FXM102" s="952"/>
      <c r="FXN102" s="952"/>
      <c r="FXO102" s="952"/>
      <c r="FXP102" s="952"/>
      <c r="FXQ102" s="952"/>
      <c r="FXR102" s="952"/>
      <c r="FXS102" s="952"/>
      <c r="FXT102" s="952"/>
      <c r="FXU102" s="952"/>
      <c r="FXV102" s="952"/>
      <c r="FXW102" s="952"/>
      <c r="FXX102" s="952"/>
      <c r="FXY102" s="952"/>
      <c r="FXZ102" s="952"/>
      <c r="FYA102" s="952"/>
      <c r="FYB102" s="952"/>
      <c r="FYC102" s="952"/>
      <c r="FYD102" s="952"/>
      <c r="FYE102" s="952"/>
      <c r="FYF102" s="952"/>
      <c r="FYG102" s="952"/>
      <c r="FYH102" s="952"/>
      <c r="FYI102" s="952"/>
      <c r="FYJ102" s="952"/>
      <c r="FYK102" s="952"/>
      <c r="FYL102" s="952"/>
      <c r="FYM102" s="952"/>
      <c r="FYN102" s="952"/>
      <c r="FYO102" s="952"/>
      <c r="FYP102" s="952"/>
      <c r="FYQ102" s="952"/>
      <c r="FYR102" s="952"/>
      <c r="FYS102" s="952"/>
      <c r="FYT102" s="952"/>
      <c r="FYU102" s="952"/>
      <c r="FYV102" s="952"/>
      <c r="FYW102" s="952"/>
      <c r="FYX102" s="952"/>
      <c r="FYY102" s="952"/>
      <c r="FYZ102" s="952"/>
      <c r="FZA102" s="952"/>
      <c r="FZB102" s="952"/>
      <c r="FZC102" s="952"/>
      <c r="FZD102" s="952"/>
      <c r="FZE102" s="952"/>
      <c r="FZF102" s="952"/>
      <c r="FZG102" s="952"/>
      <c r="FZH102" s="952"/>
      <c r="FZI102" s="952"/>
      <c r="FZJ102" s="952"/>
      <c r="FZK102" s="952"/>
      <c r="FZL102" s="952"/>
      <c r="FZM102" s="952"/>
      <c r="FZN102" s="952"/>
      <c r="FZO102" s="952"/>
      <c r="FZP102" s="952"/>
      <c r="FZQ102" s="952"/>
      <c r="FZR102" s="952"/>
      <c r="FZS102" s="952"/>
      <c r="FZT102" s="952"/>
      <c r="FZU102" s="952"/>
      <c r="FZV102" s="952"/>
      <c r="FZW102" s="952"/>
      <c r="FZX102" s="952"/>
      <c r="FZY102" s="952"/>
      <c r="FZZ102" s="952"/>
      <c r="GAA102" s="952"/>
      <c r="GAB102" s="952"/>
      <c r="GAC102" s="952"/>
      <c r="GAD102" s="952"/>
      <c r="GAE102" s="952"/>
      <c r="GAF102" s="952"/>
      <c r="GAG102" s="952"/>
      <c r="GAH102" s="952"/>
      <c r="GAI102" s="952"/>
      <c r="GAJ102" s="952"/>
      <c r="GAK102" s="952"/>
      <c r="GAL102" s="952"/>
      <c r="GAM102" s="952"/>
      <c r="GAN102" s="952"/>
      <c r="GAO102" s="952"/>
      <c r="GAP102" s="952"/>
      <c r="GAQ102" s="952"/>
      <c r="GAR102" s="952"/>
      <c r="GAS102" s="952"/>
      <c r="GAT102" s="952"/>
      <c r="GAU102" s="952"/>
      <c r="GAV102" s="952"/>
      <c r="GAW102" s="952"/>
      <c r="GAX102" s="952"/>
      <c r="GAY102" s="952"/>
      <c r="GAZ102" s="952"/>
      <c r="GBA102" s="952"/>
      <c r="GBB102" s="952"/>
      <c r="GBC102" s="952"/>
      <c r="GBD102" s="952"/>
      <c r="GBE102" s="952"/>
      <c r="GBF102" s="952"/>
      <c r="GBG102" s="952"/>
      <c r="GBH102" s="952"/>
      <c r="GBI102" s="952"/>
      <c r="GBJ102" s="952"/>
      <c r="GBK102" s="952"/>
      <c r="GBL102" s="952"/>
      <c r="GBM102" s="952"/>
      <c r="GBN102" s="952"/>
      <c r="GBO102" s="952"/>
      <c r="GBP102" s="952"/>
      <c r="GBQ102" s="952"/>
      <c r="GBR102" s="952"/>
      <c r="GBS102" s="952"/>
      <c r="GBT102" s="952"/>
      <c r="GBU102" s="952"/>
      <c r="GBV102" s="952"/>
      <c r="GBW102" s="952"/>
      <c r="GBX102" s="952"/>
      <c r="GBY102" s="952"/>
      <c r="GBZ102" s="952"/>
      <c r="GCA102" s="952"/>
      <c r="GCB102" s="952"/>
      <c r="GCC102" s="952"/>
      <c r="GCD102" s="952"/>
      <c r="GCE102" s="952"/>
      <c r="GCF102" s="952"/>
      <c r="GCG102" s="952"/>
      <c r="GCH102" s="952"/>
      <c r="GCI102" s="952"/>
      <c r="GCJ102" s="952"/>
      <c r="GCK102" s="952"/>
      <c r="GCL102" s="952"/>
      <c r="GCM102" s="952"/>
      <c r="GCN102" s="952"/>
      <c r="GCO102" s="952"/>
      <c r="GCP102" s="952"/>
      <c r="GCQ102" s="952"/>
      <c r="GCR102" s="952"/>
      <c r="GCS102" s="952"/>
      <c r="GCT102" s="952"/>
      <c r="GCU102" s="952"/>
      <c r="GCV102" s="952"/>
      <c r="GCW102" s="952"/>
      <c r="GCX102" s="952"/>
      <c r="GCY102" s="952"/>
      <c r="GCZ102" s="952"/>
      <c r="GDA102" s="952"/>
      <c r="GDB102" s="952"/>
      <c r="GDC102" s="952"/>
      <c r="GDD102" s="952"/>
      <c r="GDE102" s="952"/>
      <c r="GDF102" s="952"/>
      <c r="GDG102" s="952"/>
      <c r="GDH102" s="952"/>
      <c r="GDI102" s="952"/>
      <c r="GDJ102" s="952"/>
      <c r="GDK102" s="952"/>
      <c r="GDL102" s="952"/>
      <c r="GDM102" s="952"/>
      <c r="GDN102" s="952"/>
      <c r="GDO102" s="952"/>
      <c r="GDP102" s="952"/>
      <c r="GDQ102" s="952"/>
      <c r="GDR102" s="952"/>
      <c r="GDS102" s="952"/>
      <c r="GDT102" s="952"/>
      <c r="GDU102" s="952"/>
      <c r="GDV102" s="952"/>
      <c r="GDW102" s="952"/>
      <c r="GDX102" s="952"/>
      <c r="GDY102" s="952"/>
      <c r="GDZ102" s="952"/>
      <c r="GEA102" s="952"/>
      <c r="GEB102" s="952"/>
      <c r="GEC102" s="952"/>
      <c r="GED102" s="952"/>
      <c r="GEE102" s="952"/>
      <c r="GEF102" s="952"/>
      <c r="GEG102" s="952"/>
      <c r="GEH102" s="952"/>
      <c r="GEI102" s="952"/>
      <c r="GEJ102" s="952"/>
      <c r="GEK102" s="952"/>
      <c r="GEL102" s="952"/>
      <c r="GEM102" s="952"/>
      <c r="GEN102" s="952"/>
      <c r="GEO102" s="952"/>
      <c r="GEP102" s="952"/>
      <c r="GEQ102" s="952"/>
      <c r="GER102" s="952"/>
      <c r="GES102" s="952"/>
      <c r="GET102" s="952"/>
      <c r="GEU102" s="952"/>
      <c r="GEV102" s="952"/>
      <c r="GEW102" s="952"/>
      <c r="GEX102" s="952"/>
      <c r="GEY102" s="952"/>
      <c r="GEZ102" s="952"/>
      <c r="GFA102" s="952"/>
      <c r="GFB102" s="952"/>
      <c r="GFC102" s="952"/>
      <c r="GFD102" s="952"/>
      <c r="GFE102" s="952"/>
      <c r="GFF102" s="952"/>
      <c r="GFG102" s="952"/>
      <c r="GFH102" s="952"/>
      <c r="GFI102" s="952"/>
      <c r="GFJ102" s="952"/>
      <c r="GFK102" s="952"/>
      <c r="GFL102" s="952"/>
      <c r="GFM102" s="952"/>
      <c r="GFN102" s="952"/>
      <c r="GFO102" s="952"/>
      <c r="GFP102" s="952"/>
      <c r="GFQ102" s="952"/>
      <c r="GFR102" s="952"/>
      <c r="GFS102" s="952"/>
      <c r="GFT102" s="952"/>
      <c r="GFU102" s="952"/>
      <c r="GFV102" s="952"/>
      <c r="GFW102" s="952"/>
      <c r="GFX102" s="952"/>
      <c r="GFY102" s="952"/>
      <c r="GFZ102" s="952"/>
      <c r="GGA102" s="952"/>
      <c r="GGB102" s="952"/>
      <c r="GGC102" s="952"/>
      <c r="GGD102" s="952"/>
      <c r="GGE102" s="952"/>
      <c r="GGF102" s="952"/>
      <c r="GGG102" s="952"/>
      <c r="GGH102" s="952"/>
      <c r="GGI102" s="952"/>
      <c r="GGJ102" s="952"/>
      <c r="GGK102" s="952"/>
      <c r="GGL102" s="952"/>
      <c r="GGM102" s="952"/>
      <c r="GGN102" s="952"/>
      <c r="GGO102" s="952"/>
      <c r="GGP102" s="952"/>
      <c r="GGQ102" s="952"/>
      <c r="GGR102" s="952"/>
      <c r="GGS102" s="952"/>
      <c r="GGT102" s="952"/>
      <c r="GGU102" s="952"/>
      <c r="GGV102" s="952"/>
      <c r="GGW102" s="952"/>
      <c r="GGX102" s="952"/>
      <c r="GGY102" s="952"/>
      <c r="GGZ102" s="952"/>
      <c r="GHA102" s="952"/>
      <c r="GHB102" s="952"/>
      <c r="GHC102" s="952"/>
      <c r="GHD102" s="952"/>
      <c r="GHE102" s="952"/>
      <c r="GHF102" s="952"/>
      <c r="GHG102" s="952"/>
      <c r="GHH102" s="952"/>
      <c r="GHI102" s="952"/>
      <c r="GHJ102" s="952"/>
      <c r="GHK102" s="952"/>
      <c r="GHL102" s="952"/>
      <c r="GHM102" s="952"/>
      <c r="GHN102" s="952"/>
      <c r="GHO102" s="952"/>
      <c r="GHP102" s="952"/>
      <c r="GHQ102" s="952"/>
      <c r="GHR102" s="952"/>
      <c r="GHS102" s="952"/>
      <c r="GHT102" s="952"/>
      <c r="GHU102" s="952"/>
      <c r="GHV102" s="952"/>
      <c r="GHW102" s="952"/>
      <c r="GHX102" s="952"/>
      <c r="GHY102" s="952"/>
      <c r="GHZ102" s="952"/>
      <c r="GIA102" s="952"/>
      <c r="GIB102" s="952"/>
      <c r="GIC102" s="952"/>
      <c r="GID102" s="952"/>
      <c r="GIE102" s="952"/>
      <c r="GIF102" s="952"/>
      <c r="GIG102" s="952"/>
      <c r="GIH102" s="952"/>
      <c r="GII102" s="952"/>
      <c r="GIJ102" s="952"/>
      <c r="GIK102" s="952"/>
      <c r="GIL102" s="952"/>
      <c r="GIM102" s="952"/>
      <c r="GIN102" s="952"/>
      <c r="GIO102" s="952"/>
      <c r="GIP102" s="952"/>
      <c r="GIQ102" s="952"/>
      <c r="GIR102" s="952"/>
      <c r="GIS102" s="952"/>
      <c r="GIT102" s="952"/>
      <c r="GIU102" s="952"/>
      <c r="GIV102" s="952"/>
      <c r="GIW102" s="952"/>
      <c r="GIX102" s="952"/>
      <c r="GIY102" s="952"/>
      <c r="GIZ102" s="952"/>
      <c r="GJA102" s="952"/>
      <c r="GJB102" s="952"/>
      <c r="GJC102" s="952"/>
      <c r="GJD102" s="952"/>
      <c r="GJE102" s="952"/>
      <c r="GJF102" s="952"/>
      <c r="GJG102" s="952"/>
      <c r="GJH102" s="952"/>
      <c r="GJI102" s="952"/>
      <c r="GJJ102" s="952"/>
      <c r="GJK102" s="952"/>
      <c r="GJL102" s="952"/>
      <c r="GJM102" s="952"/>
      <c r="GJN102" s="952"/>
      <c r="GJO102" s="952"/>
      <c r="GJP102" s="952"/>
      <c r="GJQ102" s="952"/>
      <c r="GJR102" s="952"/>
      <c r="GJS102" s="952"/>
      <c r="GJT102" s="952"/>
      <c r="GJU102" s="952"/>
      <c r="GJV102" s="952"/>
      <c r="GJW102" s="952"/>
      <c r="GJX102" s="952"/>
      <c r="GJY102" s="952"/>
      <c r="GJZ102" s="952"/>
      <c r="GKA102" s="952"/>
      <c r="GKB102" s="952"/>
      <c r="GKC102" s="952"/>
      <c r="GKD102" s="952"/>
      <c r="GKE102" s="952"/>
      <c r="GKF102" s="952"/>
      <c r="GKG102" s="952"/>
      <c r="GKH102" s="952"/>
      <c r="GKI102" s="952"/>
      <c r="GKJ102" s="952"/>
      <c r="GKK102" s="952"/>
      <c r="GKL102" s="952"/>
      <c r="GKM102" s="952"/>
      <c r="GKN102" s="952"/>
      <c r="GKO102" s="952"/>
      <c r="GKP102" s="952"/>
      <c r="GKQ102" s="952"/>
      <c r="GKR102" s="952"/>
      <c r="GKS102" s="952"/>
      <c r="GKT102" s="952"/>
      <c r="GKU102" s="952"/>
      <c r="GKV102" s="952"/>
      <c r="GKW102" s="952"/>
      <c r="GKX102" s="952"/>
      <c r="GKY102" s="952"/>
      <c r="GKZ102" s="952"/>
      <c r="GLA102" s="952"/>
      <c r="GLB102" s="952"/>
      <c r="GLC102" s="952"/>
      <c r="GLD102" s="952"/>
      <c r="GLE102" s="952"/>
      <c r="GLF102" s="952"/>
      <c r="GLG102" s="952"/>
      <c r="GLH102" s="952"/>
      <c r="GLI102" s="952"/>
      <c r="GLJ102" s="952"/>
      <c r="GLK102" s="952"/>
      <c r="GLL102" s="952"/>
      <c r="GLM102" s="952"/>
      <c r="GLN102" s="952"/>
      <c r="GLO102" s="952"/>
      <c r="GLP102" s="952"/>
      <c r="GLQ102" s="952"/>
      <c r="GLR102" s="952"/>
      <c r="GLS102" s="952"/>
      <c r="GLT102" s="952"/>
      <c r="GLU102" s="952"/>
      <c r="GLV102" s="952"/>
      <c r="GLW102" s="952"/>
      <c r="GLX102" s="952"/>
      <c r="GLY102" s="952"/>
      <c r="GLZ102" s="952"/>
      <c r="GMA102" s="952"/>
      <c r="GMB102" s="952"/>
      <c r="GMC102" s="952"/>
      <c r="GMD102" s="952"/>
      <c r="GME102" s="952"/>
      <c r="GMF102" s="952"/>
      <c r="GMG102" s="952"/>
      <c r="GMH102" s="952"/>
      <c r="GMI102" s="952"/>
      <c r="GMJ102" s="952"/>
      <c r="GMK102" s="952"/>
      <c r="GML102" s="952"/>
      <c r="GMM102" s="952"/>
      <c r="GMN102" s="952"/>
      <c r="GMO102" s="952"/>
      <c r="GMP102" s="952"/>
      <c r="GMQ102" s="952"/>
      <c r="GMR102" s="952"/>
      <c r="GMS102" s="952"/>
      <c r="GMT102" s="952"/>
      <c r="GMU102" s="952"/>
      <c r="GMV102" s="952"/>
      <c r="GMW102" s="952"/>
      <c r="GMX102" s="952"/>
      <c r="GMY102" s="952"/>
      <c r="GMZ102" s="952"/>
      <c r="GNA102" s="952"/>
      <c r="GNB102" s="952"/>
      <c r="GNC102" s="952"/>
      <c r="GND102" s="952"/>
      <c r="GNE102" s="952"/>
      <c r="GNF102" s="952"/>
      <c r="GNG102" s="952"/>
      <c r="GNH102" s="952"/>
      <c r="GNI102" s="952"/>
      <c r="GNJ102" s="952"/>
      <c r="GNK102" s="952"/>
      <c r="GNL102" s="952"/>
      <c r="GNM102" s="952"/>
      <c r="GNN102" s="952"/>
      <c r="GNO102" s="952"/>
      <c r="GNP102" s="952"/>
      <c r="GNQ102" s="952"/>
      <c r="GNR102" s="952"/>
      <c r="GNS102" s="952"/>
      <c r="GNT102" s="952"/>
      <c r="GNU102" s="952"/>
      <c r="GNV102" s="952"/>
      <c r="GNW102" s="952"/>
      <c r="GNX102" s="952"/>
      <c r="GNY102" s="952"/>
      <c r="GNZ102" s="952"/>
      <c r="GOA102" s="952"/>
      <c r="GOB102" s="952"/>
      <c r="GOC102" s="952"/>
      <c r="GOD102" s="952"/>
      <c r="GOE102" s="952"/>
      <c r="GOF102" s="952"/>
      <c r="GOG102" s="952"/>
      <c r="GOH102" s="952"/>
      <c r="GOI102" s="952"/>
      <c r="GOJ102" s="952"/>
      <c r="GOK102" s="952"/>
      <c r="GOL102" s="952"/>
      <c r="GOM102" s="952"/>
      <c r="GON102" s="952"/>
      <c r="GOO102" s="952"/>
      <c r="GOP102" s="952"/>
      <c r="GOQ102" s="952"/>
      <c r="GOR102" s="952"/>
      <c r="GOS102" s="952"/>
      <c r="GOT102" s="952"/>
      <c r="GOU102" s="952"/>
      <c r="GOV102" s="952"/>
      <c r="GOW102" s="952"/>
      <c r="GOX102" s="952"/>
      <c r="GOY102" s="952"/>
      <c r="GOZ102" s="952"/>
      <c r="GPA102" s="952"/>
      <c r="GPB102" s="952"/>
      <c r="GPC102" s="952"/>
      <c r="GPD102" s="952"/>
      <c r="GPE102" s="952"/>
      <c r="GPF102" s="952"/>
      <c r="GPG102" s="952"/>
      <c r="GPH102" s="952"/>
      <c r="GPI102" s="952"/>
      <c r="GPJ102" s="952"/>
      <c r="GPK102" s="952"/>
      <c r="GPL102" s="952"/>
      <c r="GPM102" s="952"/>
      <c r="GPN102" s="952"/>
      <c r="GPO102" s="952"/>
      <c r="GPP102" s="952"/>
      <c r="GPQ102" s="952"/>
      <c r="GPR102" s="952"/>
      <c r="GPS102" s="952"/>
      <c r="GPT102" s="952"/>
      <c r="GPU102" s="952"/>
      <c r="GPV102" s="952"/>
      <c r="GPW102" s="952"/>
      <c r="GPX102" s="952"/>
      <c r="GPY102" s="952"/>
      <c r="GPZ102" s="952"/>
      <c r="GQA102" s="952"/>
      <c r="GQB102" s="952"/>
      <c r="GQC102" s="952"/>
      <c r="GQD102" s="952"/>
      <c r="GQE102" s="952"/>
      <c r="GQF102" s="952"/>
      <c r="GQG102" s="952"/>
      <c r="GQH102" s="952"/>
      <c r="GQI102" s="952"/>
      <c r="GQJ102" s="952"/>
      <c r="GQK102" s="952"/>
      <c r="GQL102" s="952"/>
      <c r="GQM102" s="952"/>
      <c r="GQN102" s="952"/>
      <c r="GQO102" s="952"/>
      <c r="GQP102" s="952"/>
      <c r="GQQ102" s="952"/>
      <c r="GQR102" s="952"/>
      <c r="GQS102" s="952"/>
      <c r="GQT102" s="952"/>
      <c r="GQU102" s="952"/>
      <c r="GQV102" s="952"/>
      <c r="GQW102" s="952"/>
      <c r="GQX102" s="952"/>
      <c r="GQY102" s="952"/>
      <c r="GQZ102" s="952"/>
      <c r="GRA102" s="952"/>
      <c r="GRB102" s="952"/>
      <c r="GRC102" s="952"/>
      <c r="GRD102" s="952"/>
      <c r="GRE102" s="952"/>
      <c r="GRF102" s="952"/>
      <c r="GRG102" s="952"/>
      <c r="GRH102" s="952"/>
      <c r="GRI102" s="952"/>
      <c r="GRJ102" s="952"/>
      <c r="GRK102" s="952"/>
      <c r="GRL102" s="952"/>
      <c r="GRM102" s="952"/>
      <c r="GRN102" s="952"/>
      <c r="GRO102" s="952"/>
      <c r="GRP102" s="952"/>
      <c r="GRQ102" s="952"/>
      <c r="GRR102" s="952"/>
      <c r="GRS102" s="952"/>
      <c r="GRT102" s="952"/>
      <c r="GRU102" s="952"/>
      <c r="GRV102" s="952"/>
      <c r="GRW102" s="952"/>
      <c r="GRX102" s="952"/>
      <c r="GRY102" s="952"/>
      <c r="GRZ102" s="952"/>
      <c r="GSA102" s="952"/>
      <c r="GSB102" s="952"/>
      <c r="GSC102" s="952"/>
      <c r="GSD102" s="952"/>
      <c r="GSE102" s="952"/>
      <c r="GSF102" s="952"/>
      <c r="GSG102" s="952"/>
      <c r="GSH102" s="952"/>
      <c r="GSI102" s="952"/>
      <c r="GSJ102" s="952"/>
      <c r="GSK102" s="952"/>
      <c r="GSL102" s="952"/>
      <c r="GSM102" s="952"/>
      <c r="GSN102" s="952"/>
      <c r="GSO102" s="952"/>
      <c r="GSP102" s="952"/>
      <c r="GSQ102" s="952"/>
      <c r="GSR102" s="952"/>
      <c r="GSS102" s="952"/>
      <c r="GST102" s="952"/>
      <c r="GSU102" s="952"/>
      <c r="GSV102" s="952"/>
      <c r="GSW102" s="952"/>
      <c r="GSX102" s="952"/>
      <c r="GSY102" s="952"/>
      <c r="GSZ102" s="952"/>
      <c r="GTA102" s="952"/>
      <c r="GTB102" s="952"/>
      <c r="GTC102" s="952"/>
      <c r="GTD102" s="952"/>
      <c r="GTE102" s="952"/>
      <c r="GTF102" s="952"/>
      <c r="GTG102" s="952"/>
      <c r="GTH102" s="952"/>
      <c r="GTI102" s="952"/>
      <c r="GTJ102" s="952"/>
      <c r="GTK102" s="952"/>
      <c r="GTL102" s="952"/>
      <c r="GTM102" s="952"/>
      <c r="GTN102" s="952"/>
      <c r="GTO102" s="952"/>
      <c r="GTP102" s="952"/>
      <c r="GTQ102" s="952"/>
      <c r="GTR102" s="952"/>
      <c r="GTS102" s="952"/>
      <c r="GTT102" s="952"/>
      <c r="GTU102" s="952"/>
      <c r="GTV102" s="952"/>
      <c r="GTW102" s="952"/>
      <c r="GTX102" s="952"/>
      <c r="GTY102" s="952"/>
      <c r="GTZ102" s="952"/>
      <c r="GUA102" s="952"/>
      <c r="GUB102" s="952"/>
      <c r="GUC102" s="952"/>
      <c r="GUD102" s="952"/>
      <c r="GUE102" s="952"/>
      <c r="GUF102" s="952"/>
      <c r="GUG102" s="952"/>
      <c r="GUH102" s="952"/>
      <c r="GUI102" s="952"/>
      <c r="GUJ102" s="952"/>
      <c r="GUK102" s="952"/>
      <c r="GUL102" s="952"/>
      <c r="GUM102" s="952"/>
      <c r="GUN102" s="952"/>
      <c r="GUO102" s="952"/>
      <c r="GUP102" s="952"/>
      <c r="GUQ102" s="952"/>
      <c r="GUR102" s="952"/>
      <c r="GUS102" s="952"/>
      <c r="GUT102" s="952"/>
      <c r="GUU102" s="952"/>
      <c r="GUV102" s="952"/>
      <c r="GUW102" s="952"/>
      <c r="GUX102" s="952"/>
      <c r="GUY102" s="952"/>
      <c r="GUZ102" s="952"/>
      <c r="GVA102" s="952"/>
      <c r="GVB102" s="952"/>
      <c r="GVC102" s="952"/>
      <c r="GVD102" s="952"/>
      <c r="GVE102" s="952"/>
      <c r="GVF102" s="952"/>
      <c r="GVG102" s="952"/>
      <c r="GVH102" s="952"/>
      <c r="GVI102" s="952"/>
      <c r="GVJ102" s="952"/>
      <c r="GVK102" s="952"/>
      <c r="GVL102" s="952"/>
      <c r="GVM102" s="952"/>
      <c r="GVN102" s="952"/>
      <c r="GVO102" s="952"/>
      <c r="GVP102" s="952"/>
      <c r="GVQ102" s="952"/>
      <c r="GVR102" s="952"/>
      <c r="GVS102" s="952"/>
      <c r="GVT102" s="952"/>
      <c r="GVU102" s="952"/>
      <c r="GVV102" s="952"/>
      <c r="GVW102" s="952"/>
      <c r="GVX102" s="952"/>
      <c r="GVY102" s="952"/>
      <c r="GVZ102" s="952"/>
      <c r="GWA102" s="952"/>
      <c r="GWB102" s="952"/>
      <c r="GWC102" s="952"/>
      <c r="GWD102" s="952"/>
      <c r="GWE102" s="952"/>
      <c r="GWF102" s="952"/>
      <c r="GWG102" s="952"/>
      <c r="GWH102" s="952"/>
      <c r="GWI102" s="952"/>
      <c r="GWJ102" s="952"/>
      <c r="GWK102" s="952"/>
      <c r="GWL102" s="952"/>
      <c r="GWM102" s="952"/>
      <c r="GWN102" s="952"/>
      <c r="GWO102" s="952"/>
      <c r="GWP102" s="952"/>
      <c r="GWQ102" s="952"/>
      <c r="GWR102" s="952"/>
      <c r="GWS102" s="952"/>
      <c r="GWT102" s="952"/>
      <c r="GWU102" s="952"/>
      <c r="GWV102" s="952"/>
      <c r="GWW102" s="952"/>
      <c r="GWX102" s="952"/>
      <c r="GWY102" s="952"/>
      <c r="GWZ102" s="952"/>
      <c r="GXA102" s="952"/>
      <c r="GXB102" s="952"/>
      <c r="GXC102" s="952"/>
      <c r="GXD102" s="952"/>
      <c r="GXE102" s="952"/>
      <c r="GXF102" s="952"/>
      <c r="GXG102" s="952"/>
      <c r="GXH102" s="952"/>
      <c r="GXI102" s="952"/>
      <c r="GXJ102" s="952"/>
      <c r="GXK102" s="952"/>
      <c r="GXL102" s="952"/>
      <c r="GXM102" s="952"/>
      <c r="GXN102" s="952"/>
      <c r="GXO102" s="952"/>
      <c r="GXP102" s="952"/>
      <c r="GXQ102" s="952"/>
      <c r="GXR102" s="952"/>
      <c r="GXS102" s="952"/>
      <c r="GXT102" s="952"/>
      <c r="GXU102" s="952"/>
      <c r="GXV102" s="952"/>
      <c r="GXW102" s="952"/>
      <c r="GXX102" s="952"/>
      <c r="GXY102" s="952"/>
      <c r="GXZ102" s="952"/>
      <c r="GYA102" s="952"/>
      <c r="GYB102" s="952"/>
      <c r="GYC102" s="952"/>
      <c r="GYD102" s="952"/>
      <c r="GYE102" s="952"/>
      <c r="GYF102" s="952"/>
      <c r="GYG102" s="952"/>
      <c r="GYH102" s="952"/>
      <c r="GYI102" s="952"/>
      <c r="GYJ102" s="952"/>
      <c r="GYK102" s="952"/>
      <c r="GYL102" s="952"/>
      <c r="GYM102" s="952"/>
      <c r="GYN102" s="952"/>
      <c r="GYO102" s="952"/>
      <c r="GYP102" s="952"/>
      <c r="GYQ102" s="952"/>
      <c r="GYR102" s="952"/>
      <c r="GYS102" s="952"/>
      <c r="GYT102" s="952"/>
      <c r="GYU102" s="952"/>
      <c r="GYV102" s="952"/>
      <c r="GYW102" s="952"/>
      <c r="GYX102" s="952"/>
      <c r="GYY102" s="952"/>
      <c r="GYZ102" s="952"/>
      <c r="GZA102" s="952"/>
      <c r="GZB102" s="952"/>
      <c r="GZC102" s="952"/>
      <c r="GZD102" s="952"/>
      <c r="GZE102" s="952"/>
      <c r="GZF102" s="952"/>
      <c r="GZG102" s="952"/>
      <c r="GZH102" s="952"/>
      <c r="GZI102" s="952"/>
      <c r="GZJ102" s="952"/>
      <c r="GZK102" s="952"/>
      <c r="GZL102" s="952"/>
      <c r="GZM102" s="952"/>
      <c r="GZN102" s="952"/>
      <c r="GZO102" s="952"/>
      <c r="GZP102" s="952"/>
      <c r="GZQ102" s="952"/>
      <c r="GZR102" s="952"/>
      <c r="GZS102" s="952"/>
      <c r="GZT102" s="952"/>
      <c r="GZU102" s="952"/>
      <c r="GZV102" s="952"/>
      <c r="GZW102" s="952"/>
      <c r="GZX102" s="952"/>
      <c r="GZY102" s="952"/>
      <c r="GZZ102" s="952"/>
      <c r="HAA102" s="952"/>
      <c r="HAB102" s="952"/>
      <c r="HAC102" s="952"/>
      <c r="HAD102" s="952"/>
      <c r="HAE102" s="952"/>
      <c r="HAF102" s="952"/>
      <c r="HAG102" s="952"/>
      <c r="HAH102" s="952"/>
      <c r="HAI102" s="952"/>
      <c r="HAJ102" s="952"/>
      <c r="HAK102" s="952"/>
      <c r="HAL102" s="952"/>
      <c r="HAM102" s="952"/>
      <c r="HAN102" s="952"/>
      <c r="HAO102" s="952"/>
      <c r="HAP102" s="952"/>
      <c r="HAQ102" s="952"/>
      <c r="HAR102" s="952"/>
      <c r="HAS102" s="952"/>
      <c r="HAT102" s="952"/>
      <c r="HAU102" s="952"/>
      <c r="HAV102" s="952"/>
      <c r="HAW102" s="952"/>
      <c r="HAX102" s="952"/>
      <c r="HAY102" s="952"/>
      <c r="HAZ102" s="952"/>
      <c r="HBA102" s="952"/>
      <c r="HBB102" s="952"/>
      <c r="HBC102" s="952"/>
      <c r="HBD102" s="952"/>
      <c r="HBE102" s="952"/>
      <c r="HBF102" s="952"/>
      <c r="HBG102" s="952"/>
      <c r="HBH102" s="952"/>
      <c r="HBI102" s="952"/>
      <c r="HBJ102" s="952"/>
      <c r="HBK102" s="952"/>
      <c r="HBL102" s="952"/>
      <c r="HBM102" s="952"/>
      <c r="HBN102" s="952"/>
      <c r="HBO102" s="952"/>
      <c r="HBP102" s="952"/>
      <c r="HBQ102" s="952"/>
      <c r="HBR102" s="952"/>
      <c r="HBS102" s="952"/>
      <c r="HBT102" s="952"/>
      <c r="HBU102" s="952"/>
      <c r="HBV102" s="952"/>
      <c r="HBW102" s="952"/>
      <c r="HBX102" s="952"/>
      <c r="HBY102" s="952"/>
      <c r="HBZ102" s="952"/>
      <c r="HCA102" s="952"/>
      <c r="HCB102" s="952"/>
      <c r="HCC102" s="952"/>
      <c r="HCD102" s="952"/>
      <c r="HCE102" s="952"/>
      <c r="HCF102" s="952"/>
      <c r="HCG102" s="952"/>
      <c r="HCH102" s="952"/>
      <c r="HCI102" s="952"/>
      <c r="HCJ102" s="952"/>
      <c r="HCK102" s="952"/>
      <c r="HCL102" s="952"/>
      <c r="HCM102" s="952"/>
      <c r="HCN102" s="952"/>
      <c r="HCO102" s="952"/>
      <c r="HCP102" s="952"/>
      <c r="HCQ102" s="952"/>
      <c r="HCR102" s="952"/>
      <c r="HCS102" s="952"/>
      <c r="HCT102" s="952"/>
      <c r="HCU102" s="952"/>
      <c r="HCV102" s="952"/>
      <c r="HCW102" s="952"/>
      <c r="HCX102" s="952"/>
      <c r="HCY102" s="952"/>
      <c r="HCZ102" s="952"/>
      <c r="HDA102" s="952"/>
      <c r="HDB102" s="952"/>
      <c r="HDC102" s="952"/>
      <c r="HDD102" s="952"/>
      <c r="HDE102" s="952"/>
      <c r="HDF102" s="952"/>
      <c r="HDG102" s="952"/>
      <c r="HDH102" s="952"/>
      <c r="HDI102" s="952"/>
      <c r="HDJ102" s="952"/>
      <c r="HDK102" s="952"/>
      <c r="HDL102" s="952"/>
      <c r="HDM102" s="952"/>
      <c r="HDN102" s="952"/>
      <c r="HDO102" s="952"/>
      <c r="HDP102" s="952"/>
      <c r="HDQ102" s="952"/>
      <c r="HDR102" s="952"/>
      <c r="HDS102" s="952"/>
      <c r="HDT102" s="952"/>
      <c r="HDU102" s="952"/>
      <c r="HDV102" s="952"/>
      <c r="HDW102" s="952"/>
      <c r="HDX102" s="952"/>
      <c r="HDY102" s="952"/>
      <c r="HDZ102" s="952"/>
      <c r="HEA102" s="952"/>
      <c r="HEB102" s="952"/>
      <c r="HEC102" s="952"/>
      <c r="HED102" s="952"/>
      <c r="HEE102" s="952"/>
      <c r="HEF102" s="952"/>
      <c r="HEG102" s="952"/>
      <c r="HEH102" s="952"/>
      <c r="HEI102" s="952"/>
      <c r="HEJ102" s="952"/>
      <c r="HEK102" s="952"/>
      <c r="HEL102" s="952"/>
      <c r="HEM102" s="952"/>
      <c r="HEN102" s="952"/>
      <c r="HEO102" s="952"/>
      <c r="HEP102" s="952"/>
      <c r="HEQ102" s="952"/>
      <c r="HER102" s="952"/>
      <c r="HES102" s="952"/>
      <c r="HET102" s="952"/>
      <c r="HEU102" s="952"/>
      <c r="HEV102" s="952"/>
      <c r="HEW102" s="952"/>
      <c r="HEX102" s="952"/>
      <c r="HEY102" s="952"/>
      <c r="HEZ102" s="952"/>
      <c r="HFA102" s="952"/>
      <c r="HFB102" s="952"/>
      <c r="HFC102" s="952"/>
      <c r="HFD102" s="952"/>
      <c r="HFE102" s="952"/>
      <c r="HFF102" s="952"/>
      <c r="HFG102" s="952"/>
      <c r="HFH102" s="952"/>
      <c r="HFI102" s="952"/>
      <c r="HFJ102" s="952"/>
      <c r="HFK102" s="952"/>
      <c r="HFL102" s="952"/>
      <c r="HFM102" s="952"/>
      <c r="HFN102" s="952"/>
      <c r="HFO102" s="952"/>
      <c r="HFP102" s="952"/>
      <c r="HFQ102" s="952"/>
      <c r="HFR102" s="952"/>
      <c r="HFS102" s="952"/>
      <c r="HFT102" s="952"/>
      <c r="HFU102" s="952"/>
      <c r="HFV102" s="952"/>
      <c r="HFW102" s="952"/>
      <c r="HFX102" s="952"/>
      <c r="HFY102" s="952"/>
      <c r="HFZ102" s="952"/>
      <c r="HGA102" s="952"/>
      <c r="HGB102" s="952"/>
      <c r="HGC102" s="952"/>
      <c r="HGD102" s="952"/>
      <c r="HGE102" s="952"/>
      <c r="HGF102" s="952"/>
      <c r="HGG102" s="952"/>
      <c r="HGH102" s="952"/>
      <c r="HGI102" s="952"/>
      <c r="HGJ102" s="952"/>
      <c r="HGK102" s="952"/>
      <c r="HGL102" s="952"/>
      <c r="HGM102" s="952"/>
      <c r="HGN102" s="952"/>
      <c r="HGO102" s="952"/>
      <c r="HGP102" s="952"/>
      <c r="HGQ102" s="952"/>
      <c r="HGR102" s="952"/>
      <c r="HGS102" s="952"/>
      <c r="HGT102" s="952"/>
      <c r="HGU102" s="952"/>
      <c r="HGV102" s="952"/>
      <c r="HGW102" s="952"/>
      <c r="HGX102" s="952"/>
      <c r="HGY102" s="952"/>
      <c r="HGZ102" s="952"/>
      <c r="HHA102" s="952"/>
      <c r="HHB102" s="952"/>
      <c r="HHC102" s="952"/>
      <c r="HHD102" s="952"/>
      <c r="HHE102" s="952"/>
      <c r="HHF102" s="952"/>
      <c r="HHG102" s="952"/>
      <c r="HHH102" s="952"/>
      <c r="HHI102" s="952"/>
      <c r="HHJ102" s="952"/>
      <c r="HHK102" s="952"/>
      <c r="HHL102" s="952"/>
      <c r="HHM102" s="952"/>
      <c r="HHN102" s="952"/>
      <c r="HHO102" s="952"/>
      <c r="HHP102" s="952"/>
      <c r="HHQ102" s="952"/>
      <c r="HHR102" s="952"/>
      <c r="HHS102" s="952"/>
      <c r="HHT102" s="952"/>
      <c r="HHU102" s="952"/>
      <c r="HHV102" s="952"/>
      <c r="HHW102" s="952"/>
      <c r="HHX102" s="952"/>
      <c r="HHY102" s="952"/>
      <c r="HHZ102" s="952"/>
      <c r="HIA102" s="952"/>
      <c r="HIB102" s="952"/>
      <c r="HIC102" s="952"/>
      <c r="HID102" s="952"/>
      <c r="HIE102" s="952"/>
      <c r="HIF102" s="952"/>
      <c r="HIG102" s="952"/>
      <c r="HIH102" s="952"/>
      <c r="HII102" s="952"/>
      <c r="HIJ102" s="952"/>
      <c r="HIK102" s="952"/>
      <c r="HIL102" s="952"/>
      <c r="HIM102" s="952"/>
      <c r="HIN102" s="952"/>
      <c r="HIO102" s="952"/>
      <c r="HIP102" s="952"/>
      <c r="HIQ102" s="952"/>
      <c r="HIR102" s="952"/>
      <c r="HIS102" s="952"/>
      <c r="HIT102" s="952"/>
      <c r="HIU102" s="952"/>
      <c r="HIV102" s="952"/>
      <c r="HIW102" s="952"/>
      <c r="HIX102" s="952"/>
      <c r="HIY102" s="952"/>
      <c r="HIZ102" s="952"/>
      <c r="HJA102" s="952"/>
      <c r="HJB102" s="952"/>
      <c r="HJC102" s="952"/>
      <c r="HJD102" s="952"/>
      <c r="HJE102" s="952"/>
      <c r="HJF102" s="952"/>
      <c r="HJG102" s="952"/>
      <c r="HJH102" s="952"/>
      <c r="HJI102" s="952"/>
      <c r="HJJ102" s="952"/>
      <c r="HJK102" s="952"/>
      <c r="HJL102" s="952"/>
      <c r="HJM102" s="952"/>
      <c r="HJN102" s="952"/>
      <c r="HJO102" s="952"/>
      <c r="HJP102" s="952"/>
      <c r="HJQ102" s="952"/>
      <c r="HJR102" s="952"/>
      <c r="HJS102" s="952"/>
      <c r="HJT102" s="952"/>
      <c r="HJU102" s="952"/>
      <c r="HJV102" s="952"/>
      <c r="HJW102" s="952"/>
      <c r="HJX102" s="952"/>
      <c r="HJY102" s="952"/>
      <c r="HJZ102" s="952"/>
      <c r="HKA102" s="952"/>
      <c r="HKB102" s="952"/>
      <c r="HKC102" s="952"/>
      <c r="HKD102" s="952"/>
      <c r="HKE102" s="952"/>
      <c r="HKF102" s="952"/>
      <c r="HKG102" s="952"/>
      <c r="HKH102" s="952"/>
      <c r="HKI102" s="952"/>
      <c r="HKJ102" s="952"/>
      <c r="HKK102" s="952"/>
      <c r="HKL102" s="952"/>
      <c r="HKM102" s="952"/>
      <c r="HKN102" s="952"/>
      <c r="HKO102" s="952"/>
      <c r="HKP102" s="952"/>
      <c r="HKQ102" s="952"/>
      <c r="HKR102" s="952"/>
      <c r="HKS102" s="952"/>
      <c r="HKT102" s="952"/>
      <c r="HKU102" s="952"/>
      <c r="HKV102" s="952"/>
      <c r="HKW102" s="952"/>
      <c r="HKX102" s="952"/>
      <c r="HKY102" s="952"/>
      <c r="HKZ102" s="952"/>
      <c r="HLA102" s="952"/>
      <c r="HLB102" s="952"/>
      <c r="HLC102" s="952"/>
      <c r="HLD102" s="952"/>
      <c r="HLE102" s="952"/>
      <c r="HLF102" s="952"/>
      <c r="HLG102" s="952"/>
      <c r="HLH102" s="952"/>
      <c r="HLI102" s="952"/>
      <c r="HLJ102" s="952"/>
      <c r="HLK102" s="952"/>
      <c r="HLL102" s="952"/>
      <c r="HLM102" s="952"/>
      <c r="HLN102" s="952"/>
      <c r="HLO102" s="952"/>
      <c r="HLP102" s="952"/>
      <c r="HLQ102" s="952"/>
      <c r="HLR102" s="952"/>
      <c r="HLS102" s="952"/>
      <c r="HLT102" s="952"/>
      <c r="HLU102" s="952"/>
      <c r="HLV102" s="952"/>
      <c r="HLW102" s="952"/>
      <c r="HLX102" s="952"/>
      <c r="HLY102" s="952"/>
      <c r="HLZ102" s="952"/>
      <c r="HMA102" s="952"/>
      <c r="HMB102" s="952"/>
      <c r="HMC102" s="952"/>
      <c r="HMD102" s="952"/>
      <c r="HME102" s="952"/>
      <c r="HMF102" s="952"/>
      <c r="HMG102" s="952"/>
      <c r="HMH102" s="952"/>
      <c r="HMI102" s="952"/>
      <c r="HMJ102" s="952"/>
      <c r="HMK102" s="952"/>
      <c r="HML102" s="952"/>
      <c r="HMM102" s="952"/>
      <c r="HMN102" s="952"/>
      <c r="HMO102" s="952"/>
      <c r="HMP102" s="952"/>
      <c r="HMQ102" s="952"/>
      <c r="HMR102" s="952"/>
      <c r="HMS102" s="952"/>
      <c r="HMT102" s="952"/>
      <c r="HMU102" s="952"/>
      <c r="HMV102" s="952"/>
      <c r="HMW102" s="952"/>
      <c r="HMX102" s="952"/>
      <c r="HMY102" s="952"/>
      <c r="HMZ102" s="952"/>
      <c r="HNA102" s="952"/>
      <c r="HNB102" s="952"/>
      <c r="HNC102" s="952"/>
      <c r="HND102" s="952"/>
      <c r="HNE102" s="952"/>
      <c r="HNF102" s="952"/>
      <c r="HNG102" s="952"/>
      <c r="HNH102" s="952"/>
      <c r="HNI102" s="952"/>
      <c r="HNJ102" s="952"/>
      <c r="HNK102" s="952"/>
      <c r="HNL102" s="952"/>
      <c r="HNM102" s="952"/>
      <c r="HNN102" s="952"/>
      <c r="HNO102" s="952"/>
      <c r="HNP102" s="952"/>
      <c r="HNQ102" s="952"/>
      <c r="HNR102" s="952"/>
      <c r="HNS102" s="952"/>
      <c r="HNT102" s="952"/>
      <c r="HNU102" s="952"/>
      <c r="HNV102" s="952"/>
      <c r="HNW102" s="952"/>
      <c r="HNX102" s="952"/>
      <c r="HNY102" s="952"/>
      <c r="HNZ102" s="952"/>
      <c r="HOA102" s="952"/>
      <c r="HOB102" s="952"/>
      <c r="HOC102" s="952"/>
      <c r="HOD102" s="952"/>
      <c r="HOE102" s="952"/>
      <c r="HOF102" s="952"/>
      <c r="HOG102" s="952"/>
      <c r="HOH102" s="952"/>
      <c r="HOI102" s="952"/>
      <c r="HOJ102" s="952"/>
      <c r="HOK102" s="952"/>
      <c r="HOL102" s="952"/>
      <c r="HOM102" s="952"/>
      <c r="HON102" s="952"/>
      <c r="HOO102" s="952"/>
      <c r="HOP102" s="952"/>
      <c r="HOQ102" s="952"/>
      <c r="HOR102" s="952"/>
      <c r="HOS102" s="952"/>
      <c r="HOT102" s="952"/>
      <c r="HOU102" s="952"/>
      <c r="HOV102" s="952"/>
      <c r="HOW102" s="952"/>
      <c r="HOX102" s="952"/>
      <c r="HOY102" s="952"/>
      <c r="HOZ102" s="952"/>
      <c r="HPA102" s="952"/>
      <c r="HPB102" s="952"/>
      <c r="HPC102" s="952"/>
      <c r="HPD102" s="952"/>
      <c r="HPE102" s="952"/>
      <c r="HPF102" s="952"/>
      <c r="HPG102" s="952"/>
      <c r="HPH102" s="952"/>
      <c r="HPI102" s="952"/>
      <c r="HPJ102" s="952"/>
      <c r="HPK102" s="952"/>
      <c r="HPL102" s="952"/>
      <c r="HPM102" s="952"/>
      <c r="HPN102" s="952"/>
      <c r="HPO102" s="952"/>
      <c r="HPP102" s="952"/>
      <c r="HPQ102" s="952"/>
      <c r="HPR102" s="952"/>
      <c r="HPS102" s="952"/>
      <c r="HPT102" s="952"/>
      <c r="HPU102" s="952"/>
      <c r="HPV102" s="952"/>
      <c r="HPW102" s="952"/>
      <c r="HPX102" s="952"/>
      <c r="HPY102" s="952"/>
      <c r="HPZ102" s="952"/>
      <c r="HQA102" s="952"/>
      <c r="HQB102" s="952"/>
      <c r="HQC102" s="952"/>
      <c r="HQD102" s="952"/>
      <c r="HQE102" s="952"/>
      <c r="HQF102" s="952"/>
      <c r="HQG102" s="952"/>
      <c r="HQH102" s="952"/>
      <c r="HQI102" s="952"/>
      <c r="HQJ102" s="952"/>
      <c r="HQK102" s="952"/>
      <c r="HQL102" s="952"/>
      <c r="HQM102" s="952"/>
      <c r="HQN102" s="952"/>
      <c r="HQO102" s="952"/>
      <c r="HQP102" s="952"/>
      <c r="HQQ102" s="952"/>
      <c r="HQR102" s="952"/>
      <c r="HQS102" s="952"/>
      <c r="HQT102" s="952"/>
      <c r="HQU102" s="952"/>
      <c r="HQV102" s="952"/>
      <c r="HQW102" s="952"/>
      <c r="HQX102" s="952"/>
      <c r="HQY102" s="952"/>
      <c r="HQZ102" s="952"/>
      <c r="HRA102" s="952"/>
      <c r="HRB102" s="952"/>
      <c r="HRC102" s="952"/>
      <c r="HRD102" s="952"/>
      <c r="HRE102" s="952"/>
      <c r="HRF102" s="952"/>
      <c r="HRG102" s="952"/>
      <c r="HRH102" s="952"/>
      <c r="HRI102" s="952"/>
      <c r="HRJ102" s="952"/>
      <c r="HRK102" s="952"/>
      <c r="HRL102" s="952"/>
      <c r="HRM102" s="952"/>
      <c r="HRN102" s="952"/>
      <c r="HRO102" s="952"/>
      <c r="HRP102" s="952"/>
      <c r="HRQ102" s="952"/>
      <c r="HRR102" s="952"/>
      <c r="HRS102" s="952"/>
      <c r="HRT102" s="952"/>
      <c r="HRU102" s="952"/>
      <c r="HRV102" s="952"/>
      <c r="HRW102" s="952"/>
      <c r="HRX102" s="952"/>
      <c r="HRY102" s="952"/>
      <c r="HRZ102" s="952"/>
      <c r="HSA102" s="952"/>
      <c r="HSB102" s="952"/>
      <c r="HSC102" s="952"/>
      <c r="HSD102" s="952"/>
      <c r="HSE102" s="952"/>
      <c r="HSF102" s="952"/>
      <c r="HSG102" s="952"/>
      <c r="HSH102" s="952"/>
      <c r="HSI102" s="952"/>
      <c r="HSJ102" s="952"/>
      <c r="HSK102" s="952"/>
      <c r="HSL102" s="952"/>
      <c r="HSM102" s="952"/>
      <c r="HSN102" s="952"/>
      <c r="HSO102" s="952"/>
      <c r="HSP102" s="952"/>
      <c r="HSQ102" s="952"/>
      <c r="HSR102" s="952"/>
      <c r="HSS102" s="952"/>
      <c r="HST102" s="952"/>
      <c r="HSU102" s="952"/>
      <c r="HSV102" s="952"/>
      <c r="HSW102" s="952"/>
      <c r="HSX102" s="952"/>
      <c r="HSY102" s="952"/>
      <c r="HSZ102" s="952"/>
      <c r="HTA102" s="952"/>
      <c r="HTB102" s="952"/>
      <c r="HTC102" s="952"/>
      <c r="HTD102" s="952"/>
      <c r="HTE102" s="952"/>
      <c r="HTF102" s="952"/>
      <c r="HTG102" s="952"/>
      <c r="HTH102" s="952"/>
      <c r="HTI102" s="952"/>
      <c r="HTJ102" s="952"/>
      <c r="HTK102" s="952"/>
      <c r="HTL102" s="952"/>
      <c r="HTM102" s="952"/>
      <c r="HTN102" s="952"/>
      <c r="HTO102" s="952"/>
      <c r="HTP102" s="952"/>
      <c r="HTQ102" s="952"/>
      <c r="HTR102" s="952"/>
      <c r="HTS102" s="952"/>
      <c r="HTT102" s="952"/>
      <c r="HTU102" s="952"/>
      <c r="HTV102" s="952"/>
      <c r="HTW102" s="952"/>
      <c r="HTX102" s="952"/>
      <c r="HTY102" s="952"/>
      <c r="HTZ102" s="952"/>
      <c r="HUA102" s="952"/>
      <c r="HUB102" s="952"/>
      <c r="HUC102" s="952"/>
      <c r="HUD102" s="952"/>
      <c r="HUE102" s="952"/>
      <c r="HUF102" s="952"/>
      <c r="HUG102" s="952"/>
      <c r="HUH102" s="952"/>
      <c r="HUI102" s="952"/>
      <c r="HUJ102" s="952"/>
      <c r="HUK102" s="952"/>
      <c r="HUL102" s="952"/>
      <c r="HUM102" s="952"/>
      <c r="HUN102" s="952"/>
      <c r="HUO102" s="952"/>
      <c r="HUP102" s="952"/>
      <c r="HUQ102" s="952"/>
      <c r="HUR102" s="952"/>
      <c r="HUS102" s="952"/>
      <c r="HUT102" s="952"/>
      <c r="HUU102" s="952"/>
      <c r="HUV102" s="952"/>
      <c r="HUW102" s="952"/>
      <c r="HUX102" s="952"/>
      <c r="HUY102" s="952"/>
      <c r="HUZ102" s="952"/>
      <c r="HVA102" s="952"/>
      <c r="HVB102" s="952"/>
      <c r="HVC102" s="952"/>
      <c r="HVD102" s="952"/>
      <c r="HVE102" s="952"/>
      <c r="HVF102" s="952"/>
      <c r="HVG102" s="952"/>
      <c r="HVH102" s="952"/>
      <c r="HVI102" s="952"/>
      <c r="HVJ102" s="952"/>
      <c r="HVK102" s="952"/>
      <c r="HVL102" s="952"/>
      <c r="HVM102" s="952"/>
      <c r="HVN102" s="952"/>
      <c r="HVO102" s="952"/>
      <c r="HVP102" s="952"/>
      <c r="HVQ102" s="952"/>
      <c r="HVR102" s="952"/>
      <c r="HVS102" s="952"/>
      <c r="HVT102" s="952"/>
      <c r="HVU102" s="952"/>
      <c r="HVV102" s="952"/>
      <c r="HVW102" s="952"/>
      <c r="HVX102" s="952"/>
      <c r="HVY102" s="952"/>
      <c r="HVZ102" s="952"/>
      <c r="HWA102" s="952"/>
      <c r="HWB102" s="952"/>
      <c r="HWC102" s="952"/>
      <c r="HWD102" s="952"/>
      <c r="HWE102" s="952"/>
      <c r="HWF102" s="952"/>
      <c r="HWG102" s="952"/>
      <c r="HWH102" s="952"/>
      <c r="HWI102" s="952"/>
      <c r="HWJ102" s="952"/>
      <c r="HWK102" s="952"/>
      <c r="HWL102" s="952"/>
      <c r="HWM102" s="952"/>
      <c r="HWN102" s="952"/>
      <c r="HWO102" s="952"/>
      <c r="HWP102" s="952"/>
      <c r="HWQ102" s="952"/>
      <c r="HWR102" s="952"/>
      <c r="HWS102" s="952"/>
      <c r="HWT102" s="952"/>
      <c r="HWU102" s="952"/>
      <c r="HWV102" s="952"/>
      <c r="HWW102" s="952"/>
      <c r="HWX102" s="952"/>
      <c r="HWY102" s="952"/>
      <c r="HWZ102" s="952"/>
      <c r="HXA102" s="952"/>
      <c r="HXB102" s="952"/>
      <c r="HXC102" s="952"/>
      <c r="HXD102" s="952"/>
      <c r="HXE102" s="952"/>
      <c r="HXF102" s="952"/>
      <c r="HXG102" s="952"/>
      <c r="HXH102" s="952"/>
      <c r="HXI102" s="952"/>
      <c r="HXJ102" s="952"/>
      <c r="HXK102" s="952"/>
      <c r="HXL102" s="952"/>
      <c r="HXM102" s="952"/>
      <c r="HXN102" s="952"/>
      <c r="HXO102" s="952"/>
      <c r="HXP102" s="952"/>
      <c r="HXQ102" s="952"/>
      <c r="HXR102" s="952"/>
      <c r="HXS102" s="952"/>
      <c r="HXT102" s="952"/>
      <c r="HXU102" s="952"/>
      <c r="HXV102" s="952"/>
      <c r="HXW102" s="952"/>
      <c r="HXX102" s="952"/>
      <c r="HXY102" s="952"/>
      <c r="HXZ102" s="952"/>
      <c r="HYA102" s="952"/>
      <c r="HYB102" s="952"/>
      <c r="HYC102" s="952"/>
      <c r="HYD102" s="952"/>
      <c r="HYE102" s="952"/>
      <c r="HYF102" s="952"/>
      <c r="HYG102" s="952"/>
      <c r="HYH102" s="952"/>
      <c r="HYI102" s="952"/>
      <c r="HYJ102" s="952"/>
      <c r="HYK102" s="952"/>
      <c r="HYL102" s="952"/>
      <c r="HYM102" s="952"/>
      <c r="HYN102" s="952"/>
      <c r="HYO102" s="952"/>
      <c r="HYP102" s="952"/>
      <c r="HYQ102" s="952"/>
      <c r="HYR102" s="952"/>
      <c r="HYS102" s="952"/>
      <c r="HYT102" s="952"/>
      <c r="HYU102" s="952"/>
      <c r="HYV102" s="952"/>
      <c r="HYW102" s="952"/>
      <c r="HYX102" s="952"/>
      <c r="HYY102" s="952"/>
      <c r="HYZ102" s="952"/>
      <c r="HZA102" s="952"/>
      <c r="HZB102" s="952"/>
      <c r="HZC102" s="952"/>
      <c r="HZD102" s="952"/>
      <c r="HZE102" s="952"/>
      <c r="HZF102" s="952"/>
      <c r="HZG102" s="952"/>
      <c r="HZH102" s="952"/>
      <c r="HZI102" s="952"/>
      <c r="HZJ102" s="952"/>
      <c r="HZK102" s="952"/>
      <c r="HZL102" s="952"/>
      <c r="HZM102" s="952"/>
      <c r="HZN102" s="952"/>
      <c r="HZO102" s="952"/>
      <c r="HZP102" s="952"/>
      <c r="HZQ102" s="952"/>
      <c r="HZR102" s="952"/>
      <c r="HZS102" s="952"/>
      <c r="HZT102" s="952"/>
      <c r="HZU102" s="952"/>
      <c r="HZV102" s="952"/>
      <c r="HZW102" s="952"/>
      <c r="HZX102" s="952"/>
      <c r="HZY102" s="952"/>
      <c r="HZZ102" s="952"/>
      <c r="IAA102" s="952"/>
      <c r="IAB102" s="952"/>
      <c r="IAC102" s="952"/>
      <c r="IAD102" s="952"/>
      <c r="IAE102" s="952"/>
      <c r="IAF102" s="952"/>
      <c r="IAG102" s="952"/>
      <c r="IAH102" s="952"/>
      <c r="IAI102" s="952"/>
      <c r="IAJ102" s="952"/>
      <c r="IAK102" s="952"/>
      <c r="IAL102" s="952"/>
      <c r="IAM102" s="952"/>
      <c r="IAN102" s="952"/>
      <c r="IAO102" s="952"/>
      <c r="IAP102" s="952"/>
      <c r="IAQ102" s="952"/>
      <c r="IAR102" s="952"/>
      <c r="IAS102" s="952"/>
      <c r="IAT102" s="952"/>
      <c r="IAU102" s="952"/>
      <c r="IAV102" s="952"/>
      <c r="IAW102" s="952"/>
      <c r="IAX102" s="952"/>
      <c r="IAY102" s="952"/>
      <c r="IAZ102" s="952"/>
      <c r="IBA102" s="952"/>
      <c r="IBB102" s="952"/>
      <c r="IBC102" s="952"/>
      <c r="IBD102" s="952"/>
      <c r="IBE102" s="952"/>
      <c r="IBF102" s="952"/>
      <c r="IBG102" s="952"/>
      <c r="IBH102" s="952"/>
      <c r="IBI102" s="952"/>
      <c r="IBJ102" s="952"/>
      <c r="IBK102" s="952"/>
      <c r="IBL102" s="952"/>
      <c r="IBM102" s="952"/>
      <c r="IBN102" s="952"/>
      <c r="IBO102" s="952"/>
      <c r="IBP102" s="952"/>
      <c r="IBQ102" s="952"/>
      <c r="IBR102" s="952"/>
      <c r="IBS102" s="952"/>
      <c r="IBT102" s="952"/>
      <c r="IBU102" s="952"/>
      <c r="IBV102" s="952"/>
      <c r="IBW102" s="952"/>
      <c r="IBX102" s="952"/>
      <c r="IBY102" s="952"/>
      <c r="IBZ102" s="952"/>
      <c r="ICA102" s="952"/>
      <c r="ICB102" s="952"/>
      <c r="ICC102" s="952"/>
      <c r="ICD102" s="952"/>
      <c r="ICE102" s="952"/>
      <c r="ICF102" s="952"/>
      <c r="ICG102" s="952"/>
      <c r="ICH102" s="952"/>
      <c r="ICI102" s="952"/>
      <c r="ICJ102" s="952"/>
      <c r="ICK102" s="952"/>
      <c r="ICL102" s="952"/>
      <c r="ICM102" s="952"/>
      <c r="ICN102" s="952"/>
      <c r="ICO102" s="952"/>
      <c r="ICP102" s="952"/>
      <c r="ICQ102" s="952"/>
      <c r="ICR102" s="952"/>
      <c r="ICS102" s="952"/>
      <c r="ICT102" s="952"/>
      <c r="ICU102" s="952"/>
      <c r="ICV102" s="952"/>
      <c r="ICW102" s="952"/>
      <c r="ICX102" s="952"/>
      <c r="ICY102" s="952"/>
      <c r="ICZ102" s="952"/>
      <c r="IDA102" s="952"/>
      <c r="IDB102" s="952"/>
      <c r="IDC102" s="952"/>
      <c r="IDD102" s="952"/>
      <c r="IDE102" s="952"/>
      <c r="IDF102" s="952"/>
      <c r="IDG102" s="952"/>
      <c r="IDH102" s="952"/>
      <c r="IDI102" s="952"/>
      <c r="IDJ102" s="952"/>
      <c r="IDK102" s="952"/>
      <c r="IDL102" s="952"/>
      <c r="IDM102" s="952"/>
      <c r="IDN102" s="952"/>
      <c r="IDO102" s="952"/>
      <c r="IDP102" s="952"/>
      <c r="IDQ102" s="952"/>
      <c r="IDR102" s="952"/>
      <c r="IDS102" s="952"/>
      <c r="IDT102" s="952"/>
      <c r="IDU102" s="952"/>
      <c r="IDV102" s="952"/>
      <c r="IDW102" s="952"/>
      <c r="IDX102" s="952"/>
      <c r="IDY102" s="952"/>
      <c r="IDZ102" s="952"/>
      <c r="IEA102" s="952"/>
      <c r="IEB102" s="952"/>
      <c r="IEC102" s="952"/>
      <c r="IED102" s="952"/>
      <c r="IEE102" s="952"/>
      <c r="IEF102" s="952"/>
      <c r="IEG102" s="952"/>
      <c r="IEH102" s="952"/>
      <c r="IEI102" s="952"/>
      <c r="IEJ102" s="952"/>
      <c r="IEK102" s="952"/>
      <c r="IEL102" s="952"/>
      <c r="IEM102" s="952"/>
      <c r="IEN102" s="952"/>
      <c r="IEO102" s="952"/>
      <c r="IEP102" s="952"/>
      <c r="IEQ102" s="952"/>
      <c r="IER102" s="952"/>
      <c r="IES102" s="952"/>
      <c r="IET102" s="952"/>
      <c r="IEU102" s="952"/>
      <c r="IEV102" s="952"/>
      <c r="IEW102" s="952"/>
      <c r="IEX102" s="952"/>
      <c r="IEY102" s="952"/>
      <c r="IEZ102" s="952"/>
      <c r="IFA102" s="952"/>
      <c r="IFB102" s="952"/>
      <c r="IFC102" s="952"/>
      <c r="IFD102" s="952"/>
      <c r="IFE102" s="952"/>
      <c r="IFF102" s="952"/>
      <c r="IFG102" s="952"/>
      <c r="IFH102" s="952"/>
      <c r="IFI102" s="952"/>
      <c r="IFJ102" s="952"/>
      <c r="IFK102" s="952"/>
      <c r="IFL102" s="952"/>
      <c r="IFM102" s="952"/>
      <c r="IFN102" s="952"/>
      <c r="IFO102" s="952"/>
      <c r="IFP102" s="952"/>
      <c r="IFQ102" s="952"/>
      <c r="IFR102" s="952"/>
      <c r="IFS102" s="952"/>
      <c r="IFT102" s="952"/>
      <c r="IFU102" s="952"/>
      <c r="IFV102" s="952"/>
      <c r="IFW102" s="952"/>
      <c r="IFX102" s="952"/>
      <c r="IFY102" s="952"/>
      <c r="IFZ102" s="952"/>
      <c r="IGA102" s="952"/>
      <c r="IGB102" s="952"/>
      <c r="IGC102" s="952"/>
      <c r="IGD102" s="952"/>
      <c r="IGE102" s="952"/>
      <c r="IGF102" s="952"/>
      <c r="IGG102" s="952"/>
      <c r="IGH102" s="952"/>
      <c r="IGI102" s="952"/>
      <c r="IGJ102" s="952"/>
      <c r="IGK102" s="952"/>
      <c r="IGL102" s="952"/>
      <c r="IGM102" s="952"/>
      <c r="IGN102" s="952"/>
      <c r="IGO102" s="952"/>
      <c r="IGP102" s="952"/>
      <c r="IGQ102" s="952"/>
      <c r="IGR102" s="952"/>
      <c r="IGS102" s="952"/>
      <c r="IGT102" s="952"/>
      <c r="IGU102" s="952"/>
      <c r="IGV102" s="952"/>
      <c r="IGW102" s="952"/>
      <c r="IGX102" s="952"/>
      <c r="IGY102" s="952"/>
      <c r="IGZ102" s="952"/>
      <c r="IHA102" s="952"/>
      <c r="IHB102" s="952"/>
      <c r="IHC102" s="952"/>
      <c r="IHD102" s="952"/>
      <c r="IHE102" s="952"/>
      <c r="IHF102" s="952"/>
      <c r="IHG102" s="952"/>
      <c r="IHH102" s="952"/>
      <c r="IHI102" s="952"/>
      <c r="IHJ102" s="952"/>
      <c r="IHK102" s="952"/>
      <c r="IHL102" s="952"/>
      <c r="IHM102" s="952"/>
      <c r="IHN102" s="952"/>
      <c r="IHO102" s="952"/>
      <c r="IHP102" s="952"/>
      <c r="IHQ102" s="952"/>
      <c r="IHR102" s="952"/>
      <c r="IHS102" s="952"/>
      <c r="IHT102" s="952"/>
      <c r="IHU102" s="952"/>
      <c r="IHV102" s="952"/>
      <c r="IHW102" s="952"/>
      <c r="IHX102" s="952"/>
      <c r="IHY102" s="952"/>
      <c r="IHZ102" s="952"/>
      <c r="IIA102" s="952"/>
      <c r="IIB102" s="952"/>
      <c r="IIC102" s="952"/>
      <c r="IID102" s="952"/>
      <c r="IIE102" s="952"/>
      <c r="IIF102" s="952"/>
      <c r="IIG102" s="952"/>
      <c r="IIH102" s="952"/>
      <c r="III102" s="952"/>
      <c r="IIJ102" s="952"/>
      <c r="IIK102" s="952"/>
      <c r="IIL102" s="952"/>
      <c r="IIM102" s="952"/>
      <c r="IIN102" s="952"/>
      <c r="IIO102" s="952"/>
      <c r="IIP102" s="952"/>
      <c r="IIQ102" s="952"/>
      <c r="IIR102" s="952"/>
      <c r="IIS102" s="952"/>
      <c r="IIT102" s="952"/>
      <c r="IIU102" s="952"/>
      <c r="IIV102" s="952"/>
      <c r="IIW102" s="952"/>
      <c r="IIX102" s="952"/>
      <c r="IIY102" s="952"/>
      <c r="IIZ102" s="952"/>
      <c r="IJA102" s="952"/>
      <c r="IJB102" s="952"/>
      <c r="IJC102" s="952"/>
      <c r="IJD102" s="952"/>
      <c r="IJE102" s="952"/>
      <c r="IJF102" s="952"/>
      <c r="IJG102" s="952"/>
      <c r="IJH102" s="952"/>
      <c r="IJI102" s="952"/>
      <c r="IJJ102" s="952"/>
      <c r="IJK102" s="952"/>
      <c r="IJL102" s="952"/>
      <c r="IJM102" s="952"/>
      <c r="IJN102" s="952"/>
      <c r="IJO102" s="952"/>
      <c r="IJP102" s="952"/>
      <c r="IJQ102" s="952"/>
      <c r="IJR102" s="952"/>
      <c r="IJS102" s="952"/>
      <c r="IJT102" s="952"/>
      <c r="IJU102" s="952"/>
      <c r="IJV102" s="952"/>
      <c r="IJW102" s="952"/>
      <c r="IJX102" s="952"/>
      <c r="IJY102" s="952"/>
      <c r="IJZ102" s="952"/>
      <c r="IKA102" s="952"/>
      <c r="IKB102" s="952"/>
      <c r="IKC102" s="952"/>
      <c r="IKD102" s="952"/>
      <c r="IKE102" s="952"/>
      <c r="IKF102" s="952"/>
      <c r="IKG102" s="952"/>
      <c r="IKH102" s="952"/>
      <c r="IKI102" s="952"/>
      <c r="IKJ102" s="952"/>
      <c r="IKK102" s="952"/>
      <c r="IKL102" s="952"/>
      <c r="IKM102" s="952"/>
      <c r="IKN102" s="952"/>
      <c r="IKO102" s="952"/>
      <c r="IKP102" s="952"/>
      <c r="IKQ102" s="952"/>
      <c r="IKR102" s="952"/>
      <c r="IKS102" s="952"/>
      <c r="IKT102" s="952"/>
      <c r="IKU102" s="952"/>
      <c r="IKV102" s="952"/>
      <c r="IKW102" s="952"/>
      <c r="IKX102" s="952"/>
      <c r="IKY102" s="952"/>
      <c r="IKZ102" s="952"/>
      <c r="ILA102" s="952"/>
      <c r="ILB102" s="952"/>
      <c r="ILC102" s="952"/>
      <c r="ILD102" s="952"/>
      <c r="ILE102" s="952"/>
      <c r="ILF102" s="952"/>
      <c r="ILG102" s="952"/>
      <c r="ILH102" s="952"/>
      <c r="ILI102" s="952"/>
      <c r="ILJ102" s="952"/>
      <c r="ILK102" s="952"/>
      <c r="ILL102" s="952"/>
      <c r="ILM102" s="952"/>
      <c r="ILN102" s="952"/>
      <c r="ILO102" s="952"/>
      <c r="ILP102" s="952"/>
      <c r="ILQ102" s="952"/>
      <c r="ILR102" s="952"/>
      <c r="ILS102" s="952"/>
      <c r="ILT102" s="952"/>
      <c r="ILU102" s="952"/>
      <c r="ILV102" s="952"/>
      <c r="ILW102" s="952"/>
      <c r="ILX102" s="952"/>
      <c r="ILY102" s="952"/>
      <c r="ILZ102" s="952"/>
      <c r="IMA102" s="952"/>
      <c r="IMB102" s="952"/>
      <c r="IMC102" s="952"/>
      <c r="IMD102" s="952"/>
      <c r="IME102" s="952"/>
      <c r="IMF102" s="952"/>
      <c r="IMG102" s="952"/>
      <c r="IMH102" s="952"/>
      <c r="IMI102" s="952"/>
      <c r="IMJ102" s="952"/>
      <c r="IMK102" s="952"/>
      <c r="IML102" s="952"/>
      <c r="IMM102" s="952"/>
      <c r="IMN102" s="952"/>
      <c r="IMO102" s="952"/>
      <c r="IMP102" s="952"/>
      <c r="IMQ102" s="952"/>
      <c r="IMR102" s="952"/>
      <c r="IMS102" s="952"/>
      <c r="IMT102" s="952"/>
      <c r="IMU102" s="952"/>
      <c r="IMV102" s="952"/>
      <c r="IMW102" s="952"/>
      <c r="IMX102" s="952"/>
      <c r="IMY102" s="952"/>
      <c r="IMZ102" s="952"/>
      <c r="INA102" s="952"/>
      <c r="INB102" s="952"/>
      <c r="INC102" s="952"/>
      <c r="IND102" s="952"/>
      <c r="INE102" s="952"/>
      <c r="INF102" s="952"/>
      <c r="ING102" s="952"/>
      <c r="INH102" s="952"/>
      <c r="INI102" s="952"/>
      <c r="INJ102" s="952"/>
      <c r="INK102" s="952"/>
      <c r="INL102" s="952"/>
      <c r="INM102" s="952"/>
      <c r="INN102" s="952"/>
      <c r="INO102" s="952"/>
      <c r="INP102" s="952"/>
      <c r="INQ102" s="952"/>
      <c r="INR102" s="952"/>
      <c r="INS102" s="952"/>
      <c r="INT102" s="952"/>
      <c r="INU102" s="952"/>
      <c r="INV102" s="952"/>
      <c r="INW102" s="952"/>
      <c r="INX102" s="952"/>
      <c r="INY102" s="952"/>
      <c r="INZ102" s="952"/>
      <c r="IOA102" s="952"/>
      <c r="IOB102" s="952"/>
      <c r="IOC102" s="952"/>
      <c r="IOD102" s="952"/>
      <c r="IOE102" s="952"/>
      <c r="IOF102" s="952"/>
      <c r="IOG102" s="952"/>
      <c r="IOH102" s="952"/>
      <c r="IOI102" s="952"/>
      <c r="IOJ102" s="952"/>
      <c r="IOK102" s="952"/>
      <c r="IOL102" s="952"/>
      <c r="IOM102" s="952"/>
      <c r="ION102" s="952"/>
      <c r="IOO102" s="952"/>
      <c r="IOP102" s="952"/>
      <c r="IOQ102" s="952"/>
      <c r="IOR102" s="952"/>
      <c r="IOS102" s="952"/>
      <c r="IOT102" s="952"/>
      <c r="IOU102" s="952"/>
      <c r="IOV102" s="952"/>
      <c r="IOW102" s="952"/>
      <c r="IOX102" s="952"/>
      <c r="IOY102" s="952"/>
      <c r="IOZ102" s="952"/>
      <c r="IPA102" s="952"/>
      <c r="IPB102" s="952"/>
      <c r="IPC102" s="952"/>
      <c r="IPD102" s="952"/>
      <c r="IPE102" s="952"/>
      <c r="IPF102" s="952"/>
      <c r="IPG102" s="952"/>
      <c r="IPH102" s="952"/>
      <c r="IPI102" s="952"/>
      <c r="IPJ102" s="952"/>
      <c r="IPK102" s="952"/>
      <c r="IPL102" s="952"/>
      <c r="IPM102" s="952"/>
      <c r="IPN102" s="952"/>
      <c r="IPO102" s="952"/>
      <c r="IPP102" s="952"/>
      <c r="IPQ102" s="952"/>
      <c r="IPR102" s="952"/>
      <c r="IPS102" s="952"/>
      <c r="IPT102" s="952"/>
      <c r="IPU102" s="952"/>
      <c r="IPV102" s="952"/>
      <c r="IPW102" s="952"/>
      <c r="IPX102" s="952"/>
      <c r="IPY102" s="952"/>
      <c r="IPZ102" s="952"/>
      <c r="IQA102" s="952"/>
      <c r="IQB102" s="952"/>
      <c r="IQC102" s="952"/>
      <c r="IQD102" s="952"/>
      <c r="IQE102" s="952"/>
      <c r="IQF102" s="952"/>
      <c r="IQG102" s="952"/>
      <c r="IQH102" s="952"/>
      <c r="IQI102" s="952"/>
      <c r="IQJ102" s="952"/>
      <c r="IQK102" s="952"/>
      <c r="IQL102" s="952"/>
      <c r="IQM102" s="952"/>
      <c r="IQN102" s="952"/>
      <c r="IQO102" s="952"/>
      <c r="IQP102" s="952"/>
      <c r="IQQ102" s="952"/>
      <c r="IQR102" s="952"/>
      <c r="IQS102" s="952"/>
      <c r="IQT102" s="952"/>
      <c r="IQU102" s="952"/>
      <c r="IQV102" s="952"/>
      <c r="IQW102" s="952"/>
      <c r="IQX102" s="952"/>
      <c r="IQY102" s="952"/>
      <c r="IQZ102" s="952"/>
      <c r="IRA102" s="952"/>
      <c r="IRB102" s="952"/>
      <c r="IRC102" s="952"/>
      <c r="IRD102" s="952"/>
      <c r="IRE102" s="952"/>
      <c r="IRF102" s="952"/>
      <c r="IRG102" s="952"/>
      <c r="IRH102" s="952"/>
      <c r="IRI102" s="952"/>
      <c r="IRJ102" s="952"/>
      <c r="IRK102" s="952"/>
      <c r="IRL102" s="952"/>
      <c r="IRM102" s="952"/>
      <c r="IRN102" s="952"/>
      <c r="IRO102" s="952"/>
      <c r="IRP102" s="952"/>
      <c r="IRQ102" s="952"/>
      <c r="IRR102" s="952"/>
      <c r="IRS102" s="952"/>
      <c r="IRT102" s="952"/>
      <c r="IRU102" s="952"/>
      <c r="IRV102" s="952"/>
      <c r="IRW102" s="952"/>
      <c r="IRX102" s="952"/>
      <c r="IRY102" s="952"/>
      <c r="IRZ102" s="952"/>
      <c r="ISA102" s="952"/>
      <c r="ISB102" s="952"/>
      <c r="ISC102" s="952"/>
      <c r="ISD102" s="952"/>
      <c r="ISE102" s="952"/>
      <c r="ISF102" s="952"/>
      <c r="ISG102" s="952"/>
      <c r="ISH102" s="952"/>
      <c r="ISI102" s="952"/>
      <c r="ISJ102" s="952"/>
      <c r="ISK102" s="952"/>
      <c r="ISL102" s="952"/>
      <c r="ISM102" s="952"/>
      <c r="ISN102" s="952"/>
      <c r="ISO102" s="952"/>
      <c r="ISP102" s="952"/>
      <c r="ISQ102" s="952"/>
      <c r="ISR102" s="952"/>
      <c r="ISS102" s="952"/>
      <c r="IST102" s="952"/>
      <c r="ISU102" s="952"/>
      <c r="ISV102" s="952"/>
      <c r="ISW102" s="952"/>
      <c r="ISX102" s="952"/>
      <c r="ISY102" s="952"/>
      <c r="ISZ102" s="952"/>
      <c r="ITA102" s="952"/>
      <c r="ITB102" s="952"/>
      <c r="ITC102" s="952"/>
      <c r="ITD102" s="952"/>
      <c r="ITE102" s="952"/>
      <c r="ITF102" s="952"/>
      <c r="ITG102" s="952"/>
      <c r="ITH102" s="952"/>
      <c r="ITI102" s="952"/>
      <c r="ITJ102" s="952"/>
      <c r="ITK102" s="952"/>
      <c r="ITL102" s="952"/>
      <c r="ITM102" s="952"/>
      <c r="ITN102" s="952"/>
      <c r="ITO102" s="952"/>
      <c r="ITP102" s="952"/>
      <c r="ITQ102" s="952"/>
      <c r="ITR102" s="952"/>
      <c r="ITS102" s="952"/>
      <c r="ITT102" s="952"/>
      <c r="ITU102" s="952"/>
      <c r="ITV102" s="952"/>
      <c r="ITW102" s="952"/>
      <c r="ITX102" s="952"/>
      <c r="ITY102" s="952"/>
      <c r="ITZ102" s="952"/>
      <c r="IUA102" s="952"/>
      <c r="IUB102" s="952"/>
      <c r="IUC102" s="952"/>
      <c r="IUD102" s="952"/>
      <c r="IUE102" s="952"/>
      <c r="IUF102" s="952"/>
      <c r="IUG102" s="952"/>
      <c r="IUH102" s="952"/>
      <c r="IUI102" s="952"/>
      <c r="IUJ102" s="952"/>
      <c r="IUK102" s="952"/>
      <c r="IUL102" s="952"/>
      <c r="IUM102" s="952"/>
      <c r="IUN102" s="952"/>
      <c r="IUO102" s="952"/>
      <c r="IUP102" s="952"/>
      <c r="IUQ102" s="952"/>
      <c r="IUR102" s="952"/>
      <c r="IUS102" s="952"/>
      <c r="IUT102" s="952"/>
      <c r="IUU102" s="952"/>
      <c r="IUV102" s="952"/>
      <c r="IUW102" s="952"/>
      <c r="IUX102" s="952"/>
      <c r="IUY102" s="952"/>
      <c r="IUZ102" s="952"/>
      <c r="IVA102" s="952"/>
      <c r="IVB102" s="952"/>
      <c r="IVC102" s="952"/>
      <c r="IVD102" s="952"/>
      <c r="IVE102" s="952"/>
      <c r="IVF102" s="952"/>
      <c r="IVG102" s="952"/>
      <c r="IVH102" s="952"/>
      <c r="IVI102" s="952"/>
      <c r="IVJ102" s="952"/>
      <c r="IVK102" s="952"/>
      <c r="IVL102" s="952"/>
      <c r="IVM102" s="952"/>
      <c r="IVN102" s="952"/>
      <c r="IVO102" s="952"/>
      <c r="IVP102" s="952"/>
      <c r="IVQ102" s="952"/>
      <c r="IVR102" s="952"/>
      <c r="IVS102" s="952"/>
      <c r="IVT102" s="952"/>
      <c r="IVU102" s="952"/>
      <c r="IVV102" s="952"/>
      <c r="IVW102" s="952"/>
      <c r="IVX102" s="952"/>
      <c r="IVY102" s="952"/>
      <c r="IVZ102" s="952"/>
      <c r="IWA102" s="952"/>
      <c r="IWB102" s="952"/>
      <c r="IWC102" s="952"/>
      <c r="IWD102" s="952"/>
      <c r="IWE102" s="952"/>
      <c r="IWF102" s="952"/>
      <c r="IWG102" s="952"/>
      <c r="IWH102" s="952"/>
      <c r="IWI102" s="952"/>
      <c r="IWJ102" s="952"/>
      <c r="IWK102" s="952"/>
      <c r="IWL102" s="952"/>
      <c r="IWM102" s="952"/>
      <c r="IWN102" s="952"/>
      <c r="IWO102" s="952"/>
      <c r="IWP102" s="952"/>
      <c r="IWQ102" s="952"/>
      <c r="IWR102" s="952"/>
      <c r="IWS102" s="952"/>
      <c r="IWT102" s="952"/>
      <c r="IWU102" s="952"/>
      <c r="IWV102" s="952"/>
      <c r="IWW102" s="952"/>
      <c r="IWX102" s="952"/>
      <c r="IWY102" s="952"/>
      <c r="IWZ102" s="952"/>
      <c r="IXA102" s="952"/>
      <c r="IXB102" s="952"/>
      <c r="IXC102" s="952"/>
      <c r="IXD102" s="952"/>
      <c r="IXE102" s="952"/>
      <c r="IXF102" s="952"/>
      <c r="IXG102" s="952"/>
      <c r="IXH102" s="952"/>
      <c r="IXI102" s="952"/>
      <c r="IXJ102" s="952"/>
      <c r="IXK102" s="952"/>
      <c r="IXL102" s="952"/>
      <c r="IXM102" s="952"/>
      <c r="IXN102" s="952"/>
      <c r="IXO102" s="952"/>
      <c r="IXP102" s="952"/>
      <c r="IXQ102" s="952"/>
      <c r="IXR102" s="952"/>
      <c r="IXS102" s="952"/>
      <c r="IXT102" s="952"/>
      <c r="IXU102" s="952"/>
      <c r="IXV102" s="952"/>
      <c r="IXW102" s="952"/>
      <c r="IXX102" s="952"/>
      <c r="IXY102" s="952"/>
      <c r="IXZ102" s="952"/>
      <c r="IYA102" s="952"/>
      <c r="IYB102" s="952"/>
      <c r="IYC102" s="952"/>
      <c r="IYD102" s="952"/>
      <c r="IYE102" s="952"/>
      <c r="IYF102" s="952"/>
      <c r="IYG102" s="952"/>
      <c r="IYH102" s="952"/>
      <c r="IYI102" s="952"/>
      <c r="IYJ102" s="952"/>
      <c r="IYK102" s="952"/>
      <c r="IYL102" s="952"/>
      <c r="IYM102" s="952"/>
      <c r="IYN102" s="952"/>
      <c r="IYO102" s="952"/>
      <c r="IYP102" s="952"/>
      <c r="IYQ102" s="952"/>
      <c r="IYR102" s="952"/>
      <c r="IYS102" s="952"/>
      <c r="IYT102" s="952"/>
      <c r="IYU102" s="952"/>
      <c r="IYV102" s="952"/>
      <c r="IYW102" s="952"/>
      <c r="IYX102" s="952"/>
      <c r="IYY102" s="952"/>
      <c r="IYZ102" s="952"/>
      <c r="IZA102" s="952"/>
      <c r="IZB102" s="952"/>
      <c r="IZC102" s="952"/>
      <c r="IZD102" s="952"/>
      <c r="IZE102" s="952"/>
      <c r="IZF102" s="952"/>
      <c r="IZG102" s="952"/>
      <c r="IZH102" s="952"/>
      <c r="IZI102" s="952"/>
      <c r="IZJ102" s="952"/>
      <c r="IZK102" s="952"/>
      <c r="IZL102" s="952"/>
      <c r="IZM102" s="952"/>
      <c r="IZN102" s="952"/>
      <c r="IZO102" s="952"/>
      <c r="IZP102" s="952"/>
      <c r="IZQ102" s="952"/>
      <c r="IZR102" s="952"/>
      <c r="IZS102" s="952"/>
      <c r="IZT102" s="952"/>
      <c r="IZU102" s="952"/>
      <c r="IZV102" s="952"/>
      <c r="IZW102" s="952"/>
      <c r="IZX102" s="952"/>
      <c r="IZY102" s="952"/>
      <c r="IZZ102" s="952"/>
      <c r="JAA102" s="952"/>
      <c r="JAB102" s="952"/>
      <c r="JAC102" s="952"/>
      <c r="JAD102" s="952"/>
      <c r="JAE102" s="952"/>
      <c r="JAF102" s="952"/>
      <c r="JAG102" s="952"/>
      <c r="JAH102" s="952"/>
      <c r="JAI102" s="952"/>
      <c r="JAJ102" s="952"/>
      <c r="JAK102" s="952"/>
      <c r="JAL102" s="952"/>
      <c r="JAM102" s="952"/>
      <c r="JAN102" s="952"/>
      <c r="JAO102" s="952"/>
      <c r="JAP102" s="952"/>
      <c r="JAQ102" s="952"/>
      <c r="JAR102" s="952"/>
      <c r="JAS102" s="952"/>
      <c r="JAT102" s="952"/>
      <c r="JAU102" s="952"/>
      <c r="JAV102" s="952"/>
      <c r="JAW102" s="952"/>
      <c r="JAX102" s="952"/>
      <c r="JAY102" s="952"/>
      <c r="JAZ102" s="952"/>
      <c r="JBA102" s="952"/>
      <c r="JBB102" s="952"/>
      <c r="JBC102" s="952"/>
      <c r="JBD102" s="952"/>
      <c r="JBE102" s="952"/>
      <c r="JBF102" s="952"/>
      <c r="JBG102" s="952"/>
      <c r="JBH102" s="952"/>
      <c r="JBI102" s="952"/>
      <c r="JBJ102" s="952"/>
      <c r="JBK102" s="952"/>
      <c r="JBL102" s="952"/>
      <c r="JBM102" s="952"/>
      <c r="JBN102" s="952"/>
      <c r="JBO102" s="952"/>
      <c r="JBP102" s="952"/>
      <c r="JBQ102" s="952"/>
      <c r="JBR102" s="952"/>
      <c r="JBS102" s="952"/>
      <c r="JBT102" s="952"/>
      <c r="JBU102" s="952"/>
      <c r="JBV102" s="952"/>
      <c r="JBW102" s="952"/>
      <c r="JBX102" s="952"/>
      <c r="JBY102" s="952"/>
      <c r="JBZ102" s="952"/>
      <c r="JCA102" s="952"/>
      <c r="JCB102" s="952"/>
      <c r="JCC102" s="952"/>
      <c r="JCD102" s="952"/>
      <c r="JCE102" s="952"/>
      <c r="JCF102" s="952"/>
      <c r="JCG102" s="952"/>
      <c r="JCH102" s="952"/>
      <c r="JCI102" s="952"/>
      <c r="JCJ102" s="952"/>
      <c r="JCK102" s="952"/>
      <c r="JCL102" s="952"/>
      <c r="JCM102" s="952"/>
      <c r="JCN102" s="952"/>
      <c r="JCO102" s="952"/>
      <c r="JCP102" s="952"/>
      <c r="JCQ102" s="952"/>
      <c r="JCR102" s="952"/>
      <c r="JCS102" s="952"/>
      <c r="JCT102" s="952"/>
      <c r="JCU102" s="952"/>
      <c r="JCV102" s="952"/>
      <c r="JCW102" s="952"/>
      <c r="JCX102" s="952"/>
      <c r="JCY102" s="952"/>
      <c r="JCZ102" s="952"/>
      <c r="JDA102" s="952"/>
      <c r="JDB102" s="952"/>
      <c r="JDC102" s="952"/>
      <c r="JDD102" s="952"/>
      <c r="JDE102" s="952"/>
      <c r="JDF102" s="952"/>
      <c r="JDG102" s="952"/>
      <c r="JDH102" s="952"/>
      <c r="JDI102" s="952"/>
      <c r="JDJ102" s="952"/>
      <c r="JDK102" s="952"/>
      <c r="JDL102" s="952"/>
      <c r="JDM102" s="952"/>
      <c r="JDN102" s="952"/>
      <c r="JDO102" s="952"/>
      <c r="JDP102" s="952"/>
      <c r="JDQ102" s="952"/>
      <c r="JDR102" s="952"/>
      <c r="JDS102" s="952"/>
      <c r="JDT102" s="952"/>
      <c r="JDU102" s="952"/>
      <c r="JDV102" s="952"/>
      <c r="JDW102" s="952"/>
      <c r="JDX102" s="952"/>
      <c r="JDY102" s="952"/>
      <c r="JDZ102" s="952"/>
      <c r="JEA102" s="952"/>
      <c r="JEB102" s="952"/>
      <c r="JEC102" s="952"/>
      <c r="JED102" s="952"/>
      <c r="JEE102" s="952"/>
      <c r="JEF102" s="952"/>
      <c r="JEG102" s="952"/>
      <c r="JEH102" s="952"/>
      <c r="JEI102" s="952"/>
      <c r="JEJ102" s="952"/>
      <c r="JEK102" s="952"/>
      <c r="JEL102" s="952"/>
      <c r="JEM102" s="952"/>
      <c r="JEN102" s="952"/>
      <c r="JEO102" s="952"/>
      <c r="JEP102" s="952"/>
      <c r="JEQ102" s="952"/>
      <c r="JER102" s="952"/>
      <c r="JES102" s="952"/>
      <c r="JET102" s="952"/>
      <c r="JEU102" s="952"/>
      <c r="JEV102" s="952"/>
      <c r="JEW102" s="952"/>
      <c r="JEX102" s="952"/>
      <c r="JEY102" s="952"/>
      <c r="JEZ102" s="952"/>
      <c r="JFA102" s="952"/>
      <c r="JFB102" s="952"/>
      <c r="JFC102" s="952"/>
      <c r="JFD102" s="952"/>
      <c r="JFE102" s="952"/>
      <c r="JFF102" s="952"/>
      <c r="JFG102" s="952"/>
      <c r="JFH102" s="952"/>
      <c r="JFI102" s="952"/>
      <c r="JFJ102" s="952"/>
      <c r="JFK102" s="952"/>
      <c r="JFL102" s="952"/>
      <c r="JFM102" s="952"/>
      <c r="JFN102" s="952"/>
      <c r="JFO102" s="952"/>
      <c r="JFP102" s="952"/>
      <c r="JFQ102" s="952"/>
      <c r="JFR102" s="952"/>
      <c r="JFS102" s="952"/>
      <c r="JFT102" s="952"/>
      <c r="JFU102" s="952"/>
      <c r="JFV102" s="952"/>
      <c r="JFW102" s="952"/>
      <c r="JFX102" s="952"/>
      <c r="JFY102" s="952"/>
      <c r="JFZ102" s="952"/>
      <c r="JGA102" s="952"/>
      <c r="JGB102" s="952"/>
      <c r="JGC102" s="952"/>
      <c r="JGD102" s="952"/>
      <c r="JGE102" s="952"/>
      <c r="JGF102" s="952"/>
      <c r="JGG102" s="952"/>
      <c r="JGH102" s="952"/>
      <c r="JGI102" s="952"/>
      <c r="JGJ102" s="952"/>
      <c r="JGK102" s="952"/>
      <c r="JGL102" s="952"/>
      <c r="JGM102" s="952"/>
      <c r="JGN102" s="952"/>
      <c r="JGO102" s="952"/>
      <c r="JGP102" s="952"/>
      <c r="JGQ102" s="952"/>
      <c r="JGR102" s="952"/>
      <c r="JGS102" s="952"/>
      <c r="JGT102" s="952"/>
      <c r="JGU102" s="952"/>
      <c r="JGV102" s="952"/>
      <c r="JGW102" s="952"/>
      <c r="JGX102" s="952"/>
      <c r="JGY102" s="952"/>
      <c r="JGZ102" s="952"/>
      <c r="JHA102" s="952"/>
      <c r="JHB102" s="952"/>
      <c r="JHC102" s="952"/>
      <c r="JHD102" s="952"/>
      <c r="JHE102" s="952"/>
      <c r="JHF102" s="952"/>
      <c r="JHG102" s="952"/>
      <c r="JHH102" s="952"/>
      <c r="JHI102" s="952"/>
      <c r="JHJ102" s="952"/>
      <c r="JHK102" s="952"/>
      <c r="JHL102" s="952"/>
      <c r="JHM102" s="952"/>
      <c r="JHN102" s="952"/>
      <c r="JHO102" s="952"/>
      <c r="JHP102" s="952"/>
      <c r="JHQ102" s="952"/>
      <c r="JHR102" s="952"/>
      <c r="JHS102" s="952"/>
      <c r="JHT102" s="952"/>
      <c r="JHU102" s="952"/>
      <c r="JHV102" s="952"/>
      <c r="JHW102" s="952"/>
      <c r="JHX102" s="952"/>
      <c r="JHY102" s="952"/>
      <c r="JHZ102" s="952"/>
      <c r="JIA102" s="952"/>
      <c r="JIB102" s="952"/>
      <c r="JIC102" s="952"/>
      <c r="JID102" s="952"/>
      <c r="JIE102" s="952"/>
      <c r="JIF102" s="952"/>
      <c r="JIG102" s="952"/>
      <c r="JIH102" s="952"/>
      <c r="JII102" s="952"/>
      <c r="JIJ102" s="952"/>
      <c r="JIK102" s="952"/>
      <c r="JIL102" s="952"/>
      <c r="JIM102" s="952"/>
      <c r="JIN102" s="952"/>
      <c r="JIO102" s="952"/>
      <c r="JIP102" s="952"/>
      <c r="JIQ102" s="952"/>
      <c r="JIR102" s="952"/>
      <c r="JIS102" s="952"/>
      <c r="JIT102" s="952"/>
      <c r="JIU102" s="952"/>
      <c r="JIV102" s="952"/>
      <c r="JIW102" s="952"/>
      <c r="JIX102" s="952"/>
      <c r="JIY102" s="952"/>
      <c r="JIZ102" s="952"/>
      <c r="JJA102" s="952"/>
      <c r="JJB102" s="952"/>
      <c r="JJC102" s="952"/>
      <c r="JJD102" s="952"/>
      <c r="JJE102" s="952"/>
      <c r="JJF102" s="952"/>
      <c r="JJG102" s="952"/>
      <c r="JJH102" s="952"/>
      <c r="JJI102" s="952"/>
      <c r="JJJ102" s="952"/>
      <c r="JJK102" s="952"/>
      <c r="JJL102" s="952"/>
      <c r="JJM102" s="952"/>
      <c r="JJN102" s="952"/>
      <c r="JJO102" s="952"/>
      <c r="JJP102" s="952"/>
      <c r="JJQ102" s="952"/>
      <c r="JJR102" s="952"/>
      <c r="JJS102" s="952"/>
      <c r="JJT102" s="952"/>
      <c r="JJU102" s="952"/>
      <c r="JJV102" s="952"/>
      <c r="JJW102" s="952"/>
      <c r="JJX102" s="952"/>
      <c r="JJY102" s="952"/>
      <c r="JJZ102" s="952"/>
      <c r="JKA102" s="952"/>
      <c r="JKB102" s="952"/>
      <c r="JKC102" s="952"/>
      <c r="JKD102" s="952"/>
      <c r="JKE102" s="952"/>
      <c r="JKF102" s="952"/>
      <c r="JKG102" s="952"/>
      <c r="JKH102" s="952"/>
      <c r="JKI102" s="952"/>
      <c r="JKJ102" s="952"/>
      <c r="JKK102" s="952"/>
      <c r="JKL102" s="952"/>
      <c r="JKM102" s="952"/>
      <c r="JKN102" s="952"/>
      <c r="JKO102" s="952"/>
      <c r="JKP102" s="952"/>
      <c r="JKQ102" s="952"/>
      <c r="JKR102" s="952"/>
      <c r="JKS102" s="952"/>
      <c r="JKT102" s="952"/>
      <c r="JKU102" s="952"/>
      <c r="JKV102" s="952"/>
      <c r="JKW102" s="952"/>
      <c r="JKX102" s="952"/>
      <c r="JKY102" s="952"/>
      <c r="JKZ102" s="952"/>
      <c r="JLA102" s="952"/>
      <c r="JLB102" s="952"/>
      <c r="JLC102" s="952"/>
      <c r="JLD102" s="952"/>
      <c r="JLE102" s="952"/>
      <c r="JLF102" s="952"/>
      <c r="JLG102" s="952"/>
      <c r="JLH102" s="952"/>
      <c r="JLI102" s="952"/>
      <c r="JLJ102" s="952"/>
      <c r="JLK102" s="952"/>
      <c r="JLL102" s="952"/>
      <c r="JLM102" s="952"/>
      <c r="JLN102" s="952"/>
      <c r="JLO102" s="952"/>
      <c r="JLP102" s="952"/>
      <c r="JLQ102" s="952"/>
      <c r="JLR102" s="952"/>
      <c r="JLS102" s="952"/>
      <c r="JLT102" s="952"/>
      <c r="JLU102" s="952"/>
      <c r="JLV102" s="952"/>
      <c r="JLW102" s="952"/>
      <c r="JLX102" s="952"/>
      <c r="JLY102" s="952"/>
      <c r="JLZ102" s="952"/>
      <c r="JMA102" s="952"/>
      <c r="JMB102" s="952"/>
      <c r="JMC102" s="952"/>
      <c r="JMD102" s="952"/>
      <c r="JME102" s="952"/>
      <c r="JMF102" s="952"/>
      <c r="JMG102" s="952"/>
      <c r="JMH102" s="952"/>
      <c r="JMI102" s="952"/>
      <c r="JMJ102" s="952"/>
      <c r="JMK102" s="952"/>
      <c r="JML102" s="952"/>
      <c r="JMM102" s="952"/>
      <c r="JMN102" s="952"/>
      <c r="JMO102" s="952"/>
      <c r="JMP102" s="952"/>
      <c r="JMQ102" s="952"/>
      <c r="JMR102" s="952"/>
      <c r="JMS102" s="952"/>
      <c r="JMT102" s="952"/>
      <c r="JMU102" s="952"/>
      <c r="JMV102" s="952"/>
      <c r="JMW102" s="952"/>
      <c r="JMX102" s="952"/>
      <c r="JMY102" s="952"/>
      <c r="JMZ102" s="952"/>
      <c r="JNA102" s="952"/>
      <c r="JNB102" s="952"/>
      <c r="JNC102" s="952"/>
      <c r="JND102" s="952"/>
      <c r="JNE102" s="952"/>
      <c r="JNF102" s="952"/>
      <c r="JNG102" s="952"/>
      <c r="JNH102" s="952"/>
      <c r="JNI102" s="952"/>
      <c r="JNJ102" s="952"/>
      <c r="JNK102" s="952"/>
      <c r="JNL102" s="952"/>
      <c r="JNM102" s="952"/>
      <c r="JNN102" s="952"/>
      <c r="JNO102" s="952"/>
      <c r="JNP102" s="952"/>
      <c r="JNQ102" s="952"/>
      <c r="JNR102" s="952"/>
      <c r="JNS102" s="952"/>
      <c r="JNT102" s="952"/>
      <c r="JNU102" s="952"/>
      <c r="JNV102" s="952"/>
      <c r="JNW102" s="952"/>
      <c r="JNX102" s="952"/>
      <c r="JNY102" s="952"/>
      <c r="JNZ102" s="952"/>
      <c r="JOA102" s="952"/>
      <c r="JOB102" s="952"/>
      <c r="JOC102" s="952"/>
      <c r="JOD102" s="952"/>
      <c r="JOE102" s="952"/>
      <c r="JOF102" s="952"/>
      <c r="JOG102" s="952"/>
      <c r="JOH102" s="952"/>
      <c r="JOI102" s="952"/>
      <c r="JOJ102" s="952"/>
      <c r="JOK102" s="952"/>
      <c r="JOL102" s="952"/>
      <c r="JOM102" s="952"/>
      <c r="JON102" s="952"/>
      <c r="JOO102" s="952"/>
      <c r="JOP102" s="952"/>
      <c r="JOQ102" s="952"/>
      <c r="JOR102" s="952"/>
      <c r="JOS102" s="952"/>
      <c r="JOT102" s="952"/>
      <c r="JOU102" s="952"/>
      <c r="JOV102" s="952"/>
      <c r="JOW102" s="952"/>
      <c r="JOX102" s="952"/>
      <c r="JOY102" s="952"/>
      <c r="JOZ102" s="952"/>
      <c r="JPA102" s="952"/>
      <c r="JPB102" s="952"/>
      <c r="JPC102" s="952"/>
      <c r="JPD102" s="952"/>
      <c r="JPE102" s="952"/>
      <c r="JPF102" s="952"/>
      <c r="JPG102" s="952"/>
      <c r="JPH102" s="952"/>
      <c r="JPI102" s="952"/>
      <c r="JPJ102" s="952"/>
      <c r="JPK102" s="952"/>
      <c r="JPL102" s="952"/>
      <c r="JPM102" s="952"/>
      <c r="JPN102" s="952"/>
      <c r="JPO102" s="952"/>
      <c r="JPP102" s="952"/>
      <c r="JPQ102" s="952"/>
      <c r="JPR102" s="952"/>
      <c r="JPS102" s="952"/>
      <c r="JPT102" s="952"/>
      <c r="JPU102" s="952"/>
      <c r="JPV102" s="952"/>
      <c r="JPW102" s="952"/>
      <c r="JPX102" s="952"/>
      <c r="JPY102" s="952"/>
      <c r="JPZ102" s="952"/>
      <c r="JQA102" s="952"/>
      <c r="JQB102" s="952"/>
      <c r="JQC102" s="952"/>
      <c r="JQD102" s="952"/>
      <c r="JQE102" s="952"/>
      <c r="JQF102" s="952"/>
      <c r="JQG102" s="952"/>
      <c r="JQH102" s="952"/>
      <c r="JQI102" s="952"/>
      <c r="JQJ102" s="952"/>
      <c r="JQK102" s="952"/>
      <c r="JQL102" s="952"/>
      <c r="JQM102" s="952"/>
      <c r="JQN102" s="952"/>
      <c r="JQO102" s="952"/>
      <c r="JQP102" s="952"/>
      <c r="JQQ102" s="952"/>
      <c r="JQR102" s="952"/>
      <c r="JQS102" s="952"/>
      <c r="JQT102" s="952"/>
      <c r="JQU102" s="952"/>
      <c r="JQV102" s="952"/>
      <c r="JQW102" s="952"/>
      <c r="JQX102" s="952"/>
      <c r="JQY102" s="952"/>
      <c r="JQZ102" s="952"/>
      <c r="JRA102" s="952"/>
      <c r="JRB102" s="952"/>
      <c r="JRC102" s="952"/>
      <c r="JRD102" s="952"/>
      <c r="JRE102" s="952"/>
      <c r="JRF102" s="952"/>
      <c r="JRG102" s="952"/>
      <c r="JRH102" s="952"/>
      <c r="JRI102" s="952"/>
      <c r="JRJ102" s="952"/>
      <c r="JRK102" s="952"/>
      <c r="JRL102" s="952"/>
      <c r="JRM102" s="952"/>
      <c r="JRN102" s="952"/>
      <c r="JRO102" s="952"/>
      <c r="JRP102" s="952"/>
      <c r="JRQ102" s="952"/>
      <c r="JRR102" s="952"/>
      <c r="JRS102" s="952"/>
      <c r="JRT102" s="952"/>
      <c r="JRU102" s="952"/>
      <c r="JRV102" s="952"/>
      <c r="JRW102" s="952"/>
      <c r="JRX102" s="952"/>
      <c r="JRY102" s="952"/>
      <c r="JRZ102" s="952"/>
      <c r="JSA102" s="952"/>
      <c r="JSB102" s="952"/>
      <c r="JSC102" s="952"/>
      <c r="JSD102" s="952"/>
      <c r="JSE102" s="952"/>
      <c r="JSF102" s="952"/>
      <c r="JSG102" s="952"/>
      <c r="JSH102" s="952"/>
      <c r="JSI102" s="952"/>
      <c r="JSJ102" s="952"/>
      <c r="JSK102" s="952"/>
      <c r="JSL102" s="952"/>
      <c r="JSM102" s="952"/>
      <c r="JSN102" s="952"/>
      <c r="JSO102" s="952"/>
      <c r="JSP102" s="952"/>
      <c r="JSQ102" s="952"/>
      <c r="JSR102" s="952"/>
      <c r="JSS102" s="952"/>
      <c r="JST102" s="952"/>
      <c r="JSU102" s="952"/>
      <c r="JSV102" s="952"/>
      <c r="JSW102" s="952"/>
      <c r="JSX102" s="952"/>
      <c r="JSY102" s="952"/>
      <c r="JSZ102" s="952"/>
      <c r="JTA102" s="952"/>
      <c r="JTB102" s="952"/>
      <c r="JTC102" s="952"/>
      <c r="JTD102" s="952"/>
      <c r="JTE102" s="952"/>
      <c r="JTF102" s="952"/>
      <c r="JTG102" s="952"/>
      <c r="JTH102" s="952"/>
      <c r="JTI102" s="952"/>
      <c r="JTJ102" s="952"/>
      <c r="JTK102" s="952"/>
      <c r="JTL102" s="952"/>
      <c r="JTM102" s="952"/>
      <c r="JTN102" s="952"/>
      <c r="JTO102" s="952"/>
      <c r="JTP102" s="952"/>
      <c r="JTQ102" s="952"/>
      <c r="JTR102" s="952"/>
      <c r="JTS102" s="952"/>
      <c r="JTT102" s="952"/>
      <c r="JTU102" s="952"/>
      <c r="JTV102" s="952"/>
      <c r="JTW102" s="952"/>
      <c r="JTX102" s="952"/>
      <c r="JTY102" s="952"/>
      <c r="JTZ102" s="952"/>
      <c r="JUA102" s="952"/>
      <c r="JUB102" s="952"/>
      <c r="JUC102" s="952"/>
      <c r="JUD102" s="952"/>
      <c r="JUE102" s="952"/>
      <c r="JUF102" s="952"/>
      <c r="JUG102" s="952"/>
      <c r="JUH102" s="952"/>
      <c r="JUI102" s="952"/>
      <c r="JUJ102" s="952"/>
      <c r="JUK102" s="952"/>
      <c r="JUL102" s="952"/>
      <c r="JUM102" s="952"/>
      <c r="JUN102" s="952"/>
      <c r="JUO102" s="952"/>
      <c r="JUP102" s="952"/>
      <c r="JUQ102" s="952"/>
      <c r="JUR102" s="952"/>
      <c r="JUS102" s="952"/>
      <c r="JUT102" s="952"/>
      <c r="JUU102" s="952"/>
      <c r="JUV102" s="952"/>
      <c r="JUW102" s="952"/>
      <c r="JUX102" s="952"/>
      <c r="JUY102" s="952"/>
      <c r="JUZ102" s="952"/>
      <c r="JVA102" s="952"/>
      <c r="JVB102" s="952"/>
      <c r="JVC102" s="952"/>
      <c r="JVD102" s="952"/>
      <c r="JVE102" s="952"/>
      <c r="JVF102" s="952"/>
      <c r="JVG102" s="952"/>
      <c r="JVH102" s="952"/>
      <c r="JVI102" s="952"/>
      <c r="JVJ102" s="952"/>
      <c r="JVK102" s="952"/>
      <c r="JVL102" s="952"/>
      <c r="JVM102" s="952"/>
      <c r="JVN102" s="952"/>
      <c r="JVO102" s="952"/>
      <c r="JVP102" s="952"/>
      <c r="JVQ102" s="952"/>
      <c r="JVR102" s="952"/>
      <c r="JVS102" s="952"/>
      <c r="JVT102" s="952"/>
      <c r="JVU102" s="952"/>
      <c r="JVV102" s="952"/>
      <c r="JVW102" s="952"/>
      <c r="JVX102" s="952"/>
      <c r="JVY102" s="952"/>
      <c r="JVZ102" s="952"/>
      <c r="JWA102" s="952"/>
      <c r="JWB102" s="952"/>
      <c r="JWC102" s="952"/>
      <c r="JWD102" s="952"/>
      <c r="JWE102" s="952"/>
      <c r="JWF102" s="952"/>
      <c r="JWG102" s="952"/>
      <c r="JWH102" s="952"/>
      <c r="JWI102" s="952"/>
      <c r="JWJ102" s="952"/>
      <c r="JWK102" s="952"/>
      <c r="JWL102" s="952"/>
      <c r="JWM102" s="952"/>
      <c r="JWN102" s="952"/>
      <c r="JWO102" s="952"/>
      <c r="JWP102" s="952"/>
      <c r="JWQ102" s="952"/>
      <c r="JWR102" s="952"/>
      <c r="JWS102" s="952"/>
      <c r="JWT102" s="952"/>
      <c r="JWU102" s="952"/>
      <c r="JWV102" s="952"/>
      <c r="JWW102" s="952"/>
      <c r="JWX102" s="952"/>
      <c r="JWY102" s="952"/>
      <c r="JWZ102" s="952"/>
      <c r="JXA102" s="952"/>
      <c r="JXB102" s="952"/>
      <c r="JXC102" s="952"/>
      <c r="JXD102" s="952"/>
      <c r="JXE102" s="952"/>
      <c r="JXF102" s="952"/>
      <c r="JXG102" s="952"/>
      <c r="JXH102" s="952"/>
      <c r="JXI102" s="952"/>
      <c r="JXJ102" s="952"/>
      <c r="JXK102" s="952"/>
      <c r="JXL102" s="952"/>
      <c r="JXM102" s="952"/>
      <c r="JXN102" s="952"/>
      <c r="JXO102" s="952"/>
      <c r="JXP102" s="952"/>
      <c r="JXQ102" s="952"/>
      <c r="JXR102" s="952"/>
      <c r="JXS102" s="952"/>
      <c r="JXT102" s="952"/>
      <c r="JXU102" s="952"/>
      <c r="JXV102" s="952"/>
      <c r="JXW102" s="952"/>
      <c r="JXX102" s="952"/>
      <c r="JXY102" s="952"/>
      <c r="JXZ102" s="952"/>
      <c r="JYA102" s="952"/>
      <c r="JYB102" s="952"/>
      <c r="JYC102" s="952"/>
      <c r="JYD102" s="952"/>
      <c r="JYE102" s="952"/>
      <c r="JYF102" s="952"/>
      <c r="JYG102" s="952"/>
      <c r="JYH102" s="952"/>
      <c r="JYI102" s="952"/>
      <c r="JYJ102" s="952"/>
      <c r="JYK102" s="952"/>
      <c r="JYL102" s="952"/>
      <c r="JYM102" s="952"/>
      <c r="JYN102" s="952"/>
      <c r="JYO102" s="952"/>
      <c r="JYP102" s="952"/>
      <c r="JYQ102" s="952"/>
      <c r="JYR102" s="952"/>
      <c r="JYS102" s="952"/>
      <c r="JYT102" s="952"/>
      <c r="JYU102" s="952"/>
      <c r="JYV102" s="952"/>
      <c r="JYW102" s="952"/>
      <c r="JYX102" s="952"/>
      <c r="JYY102" s="952"/>
      <c r="JYZ102" s="952"/>
      <c r="JZA102" s="952"/>
      <c r="JZB102" s="952"/>
      <c r="JZC102" s="952"/>
      <c r="JZD102" s="952"/>
      <c r="JZE102" s="952"/>
      <c r="JZF102" s="952"/>
      <c r="JZG102" s="952"/>
      <c r="JZH102" s="952"/>
      <c r="JZI102" s="952"/>
      <c r="JZJ102" s="952"/>
      <c r="JZK102" s="952"/>
      <c r="JZL102" s="952"/>
      <c r="JZM102" s="952"/>
      <c r="JZN102" s="952"/>
      <c r="JZO102" s="952"/>
      <c r="JZP102" s="952"/>
      <c r="JZQ102" s="952"/>
      <c r="JZR102" s="952"/>
      <c r="JZS102" s="952"/>
      <c r="JZT102" s="952"/>
      <c r="JZU102" s="952"/>
      <c r="JZV102" s="952"/>
      <c r="JZW102" s="952"/>
      <c r="JZX102" s="952"/>
      <c r="JZY102" s="952"/>
      <c r="JZZ102" s="952"/>
      <c r="KAA102" s="952"/>
      <c r="KAB102" s="952"/>
      <c r="KAC102" s="952"/>
      <c r="KAD102" s="952"/>
      <c r="KAE102" s="952"/>
      <c r="KAF102" s="952"/>
      <c r="KAG102" s="952"/>
      <c r="KAH102" s="952"/>
      <c r="KAI102" s="952"/>
      <c r="KAJ102" s="952"/>
      <c r="KAK102" s="952"/>
      <c r="KAL102" s="952"/>
      <c r="KAM102" s="952"/>
      <c r="KAN102" s="952"/>
      <c r="KAO102" s="952"/>
      <c r="KAP102" s="952"/>
      <c r="KAQ102" s="952"/>
      <c r="KAR102" s="952"/>
      <c r="KAS102" s="952"/>
      <c r="KAT102" s="952"/>
      <c r="KAU102" s="952"/>
      <c r="KAV102" s="952"/>
      <c r="KAW102" s="952"/>
      <c r="KAX102" s="952"/>
      <c r="KAY102" s="952"/>
      <c r="KAZ102" s="952"/>
      <c r="KBA102" s="952"/>
      <c r="KBB102" s="952"/>
      <c r="KBC102" s="952"/>
      <c r="KBD102" s="952"/>
      <c r="KBE102" s="952"/>
      <c r="KBF102" s="952"/>
      <c r="KBG102" s="952"/>
      <c r="KBH102" s="952"/>
      <c r="KBI102" s="952"/>
      <c r="KBJ102" s="952"/>
      <c r="KBK102" s="952"/>
      <c r="KBL102" s="952"/>
      <c r="KBM102" s="952"/>
      <c r="KBN102" s="952"/>
      <c r="KBO102" s="952"/>
      <c r="KBP102" s="952"/>
      <c r="KBQ102" s="952"/>
      <c r="KBR102" s="952"/>
      <c r="KBS102" s="952"/>
      <c r="KBT102" s="952"/>
      <c r="KBU102" s="952"/>
      <c r="KBV102" s="952"/>
      <c r="KBW102" s="952"/>
      <c r="KBX102" s="952"/>
      <c r="KBY102" s="952"/>
      <c r="KBZ102" s="952"/>
      <c r="KCA102" s="952"/>
      <c r="KCB102" s="952"/>
      <c r="KCC102" s="952"/>
      <c r="KCD102" s="952"/>
      <c r="KCE102" s="952"/>
      <c r="KCF102" s="952"/>
      <c r="KCG102" s="952"/>
      <c r="KCH102" s="952"/>
      <c r="KCI102" s="952"/>
      <c r="KCJ102" s="952"/>
      <c r="KCK102" s="952"/>
      <c r="KCL102" s="952"/>
      <c r="KCM102" s="952"/>
      <c r="KCN102" s="952"/>
      <c r="KCO102" s="952"/>
      <c r="KCP102" s="952"/>
      <c r="KCQ102" s="952"/>
      <c r="KCR102" s="952"/>
      <c r="KCS102" s="952"/>
      <c r="KCT102" s="952"/>
      <c r="KCU102" s="952"/>
      <c r="KCV102" s="952"/>
      <c r="KCW102" s="952"/>
      <c r="KCX102" s="952"/>
      <c r="KCY102" s="952"/>
      <c r="KCZ102" s="952"/>
      <c r="KDA102" s="952"/>
      <c r="KDB102" s="952"/>
      <c r="KDC102" s="952"/>
      <c r="KDD102" s="952"/>
      <c r="KDE102" s="952"/>
      <c r="KDF102" s="952"/>
      <c r="KDG102" s="952"/>
      <c r="KDH102" s="952"/>
      <c r="KDI102" s="952"/>
      <c r="KDJ102" s="952"/>
      <c r="KDK102" s="952"/>
      <c r="KDL102" s="952"/>
      <c r="KDM102" s="952"/>
      <c r="KDN102" s="952"/>
      <c r="KDO102" s="952"/>
      <c r="KDP102" s="952"/>
      <c r="KDQ102" s="952"/>
      <c r="KDR102" s="952"/>
      <c r="KDS102" s="952"/>
      <c r="KDT102" s="952"/>
      <c r="KDU102" s="952"/>
      <c r="KDV102" s="952"/>
      <c r="KDW102" s="952"/>
      <c r="KDX102" s="952"/>
      <c r="KDY102" s="952"/>
      <c r="KDZ102" s="952"/>
      <c r="KEA102" s="952"/>
      <c r="KEB102" s="952"/>
      <c r="KEC102" s="952"/>
      <c r="KED102" s="952"/>
      <c r="KEE102" s="952"/>
      <c r="KEF102" s="952"/>
      <c r="KEG102" s="952"/>
      <c r="KEH102" s="952"/>
      <c r="KEI102" s="952"/>
      <c r="KEJ102" s="952"/>
      <c r="KEK102" s="952"/>
      <c r="KEL102" s="952"/>
      <c r="KEM102" s="952"/>
      <c r="KEN102" s="952"/>
      <c r="KEO102" s="952"/>
      <c r="KEP102" s="952"/>
      <c r="KEQ102" s="952"/>
      <c r="KER102" s="952"/>
      <c r="KES102" s="952"/>
      <c r="KET102" s="952"/>
      <c r="KEU102" s="952"/>
      <c r="KEV102" s="952"/>
      <c r="KEW102" s="952"/>
      <c r="KEX102" s="952"/>
      <c r="KEY102" s="952"/>
      <c r="KEZ102" s="952"/>
      <c r="KFA102" s="952"/>
      <c r="KFB102" s="952"/>
      <c r="KFC102" s="952"/>
      <c r="KFD102" s="952"/>
      <c r="KFE102" s="952"/>
      <c r="KFF102" s="952"/>
      <c r="KFG102" s="952"/>
      <c r="KFH102" s="952"/>
      <c r="KFI102" s="952"/>
      <c r="KFJ102" s="952"/>
      <c r="KFK102" s="952"/>
      <c r="KFL102" s="952"/>
      <c r="KFM102" s="952"/>
      <c r="KFN102" s="952"/>
      <c r="KFO102" s="952"/>
      <c r="KFP102" s="952"/>
      <c r="KFQ102" s="952"/>
      <c r="KFR102" s="952"/>
      <c r="KFS102" s="952"/>
      <c r="KFT102" s="952"/>
      <c r="KFU102" s="952"/>
      <c r="KFV102" s="952"/>
      <c r="KFW102" s="952"/>
      <c r="KFX102" s="952"/>
      <c r="KFY102" s="952"/>
      <c r="KFZ102" s="952"/>
      <c r="KGA102" s="952"/>
      <c r="KGB102" s="952"/>
      <c r="KGC102" s="952"/>
      <c r="KGD102" s="952"/>
      <c r="KGE102" s="952"/>
      <c r="KGF102" s="952"/>
      <c r="KGG102" s="952"/>
      <c r="KGH102" s="952"/>
      <c r="KGI102" s="952"/>
      <c r="KGJ102" s="952"/>
      <c r="KGK102" s="952"/>
      <c r="KGL102" s="952"/>
      <c r="KGM102" s="952"/>
      <c r="KGN102" s="952"/>
      <c r="KGO102" s="952"/>
      <c r="KGP102" s="952"/>
      <c r="KGQ102" s="952"/>
      <c r="KGR102" s="952"/>
      <c r="KGS102" s="952"/>
      <c r="KGT102" s="952"/>
      <c r="KGU102" s="952"/>
      <c r="KGV102" s="952"/>
      <c r="KGW102" s="952"/>
      <c r="KGX102" s="952"/>
      <c r="KGY102" s="952"/>
      <c r="KGZ102" s="952"/>
      <c r="KHA102" s="952"/>
      <c r="KHB102" s="952"/>
      <c r="KHC102" s="952"/>
      <c r="KHD102" s="952"/>
      <c r="KHE102" s="952"/>
      <c r="KHF102" s="952"/>
      <c r="KHG102" s="952"/>
      <c r="KHH102" s="952"/>
      <c r="KHI102" s="952"/>
      <c r="KHJ102" s="952"/>
      <c r="KHK102" s="952"/>
      <c r="KHL102" s="952"/>
      <c r="KHM102" s="952"/>
      <c r="KHN102" s="952"/>
      <c r="KHO102" s="952"/>
      <c r="KHP102" s="952"/>
      <c r="KHQ102" s="952"/>
      <c r="KHR102" s="952"/>
      <c r="KHS102" s="952"/>
      <c r="KHT102" s="952"/>
      <c r="KHU102" s="952"/>
      <c r="KHV102" s="952"/>
      <c r="KHW102" s="952"/>
      <c r="KHX102" s="952"/>
      <c r="KHY102" s="952"/>
      <c r="KHZ102" s="952"/>
      <c r="KIA102" s="952"/>
      <c r="KIB102" s="952"/>
      <c r="KIC102" s="952"/>
      <c r="KID102" s="952"/>
      <c r="KIE102" s="952"/>
      <c r="KIF102" s="952"/>
      <c r="KIG102" s="952"/>
      <c r="KIH102" s="952"/>
      <c r="KII102" s="952"/>
      <c r="KIJ102" s="952"/>
      <c r="KIK102" s="952"/>
      <c r="KIL102" s="952"/>
      <c r="KIM102" s="952"/>
      <c r="KIN102" s="952"/>
      <c r="KIO102" s="952"/>
      <c r="KIP102" s="952"/>
      <c r="KIQ102" s="952"/>
      <c r="KIR102" s="952"/>
      <c r="KIS102" s="952"/>
      <c r="KIT102" s="952"/>
      <c r="KIU102" s="952"/>
      <c r="KIV102" s="952"/>
      <c r="KIW102" s="952"/>
      <c r="KIX102" s="952"/>
      <c r="KIY102" s="952"/>
      <c r="KIZ102" s="952"/>
      <c r="KJA102" s="952"/>
      <c r="KJB102" s="952"/>
      <c r="KJC102" s="952"/>
      <c r="KJD102" s="952"/>
      <c r="KJE102" s="952"/>
      <c r="KJF102" s="952"/>
      <c r="KJG102" s="952"/>
      <c r="KJH102" s="952"/>
      <c r="KJI102" s="952"/>
      <c r="KJJ102" s="952"/>
      <c r="KJK102" s="952"/>
      <c r="KJL102" s="952"/>
      <c r="KJM102" s="952"/>
      <c r="KJN102" s="952"/>
      <c r="KJO102" s="952"/>
      <c r="KJP102" s="952"/>
      <c r="KJQ102" s="952"/>
      <c r="KJR102" s="952"/>
      <c r="KJS102" s="952"/>
      <c r="KJT102" s="952"/>
      <c r="KJU102" s="952"/>
      <c r="KJV102" s="952"/>
      <c r="KJW102" s="952"/>
      <c r="KJX102" s="952"/>
      <c r="KJY102" s="952"/>
      <c r="KJZ102" s="952"/>
      <c r="KKA102" s="952"/>
      <c r="KKB102" s="952"/>
      <c r="KKC102" s="952"/>
      <c r="KKD102" s="952"/>
      <c r="KKE102" s="952"/>
      <c r="KKF102" s="952"/>
      <c r="KKG102" s="952"/>
      <c r="KKH102" s="952"/>
      <c r="KKI102" s="952"/>
      <c r="KKJ102" s="952"/>
      <c r="KKK102" s="952"/>
      <c r="KKL102" s="952"/>
      <c r="KKM102" s="952"/>
      <c r="KKN102" s="952"/>
      <c r="KKO102" s="952"/>
      <c r="KKP102" s="952"/>
      <c r="KKQ102" s="952"/>
      <c r="KKR102" s="952"/>
      <c r="KKS102" s="952"/>
      <c r="KKT102" s="952"/>
      <c r="KKU102" s="952"/>
      <c r="KKV102" s="952"/>
      <c r="KKW102" s="952"/>
      <c r="KKX102" s="952"/>
      <c r="KKY102" s="952"/>
      <c r="KKZ102" s="952"/>
      <c r="KLA102" s="952"/>
      <c r="KLB102" s="952"/>
      <c r="KLC102" s="952"/>
      <c r="KLD102" s="952"/>
      <c r="KLE102" s="952"/>
      <c r="KLF102" s="952"/>
      <c r="KLG102" s="952"/>
      <c r="KLH102" s="952"/>
      <c r="KLI102" s="952"/>
      <c r="KLJ102" s="952"/>
      <c r="KLK102" s="952"/>
      <c r="KLL102" s="952"/>
      <c r="KLM102" s="952"/>
      <c r="KLN102" s="952"/>
      <c r="KLO102" s="952"/>
      <c r="KLP102" s="952"/>
      <c r="KLQ102" s="952"/>
      <c r="KLR102" s="952"/>
      <c r="KLS102" s="952"/>
      <c r="KLT102" s="952"/>
      <c r="KLU102" s="952"/>
      <c r="KLV102" s="952"/>
      <c r="KLW102" s="952"/>
      <c r="KLX102" s="952"/>
      <c r="KLY102" s="952"/>
      <c r="KLZ102" s="952"/>
      <c r="KMA102" s="952"/>
      <c r="KMB102" s="952"/>
      <c r="KMC102" s="952"/>
      <c r="KMD102" s="952"/>
      <c r="KME102" s="952"/>
      <c r="KMF102" s="952"/>
      <c r="KMG102" s="952"/>
      <c r="KMH102" s="952"/>
      <c r="KMI102" s="952"/>
      <c r="KMJ102" s="952"/>
      <c r="KMK102" s="952"/>
      <c r="KML102" s="952"/>
      <c r="KMM102" s="952"/>
      <c r="KMN102" s="952"/>
      <c r="KMO102" s="952"/>
      <c r="KMP102" s="952"/>
      <c r="KMQ102" s="952"/>
      <c r="KMR102" s="952"/>
      <c r="KMS102" s="952"/>
      <c r="KMT102" s="952"/>
      <c r="KMU102" s="952"/>
      <c r="KMV102" s="952"/>
      <c r="KMW102" s="952"/>
      <c r="KMX102" s="952"/>
      <c r="KMY102" s="952"/>
      <c r="KMZ102" s="952"/>
      <c r="KNA102" s="952"/>
      <c r="KNB102" s="952"/>
      <c r="KNC102" s="952"/>
      <c r="KND102" s="952"/>
      <c r="KNE102" s="952"/>
      <c r="KNF102" s="952"/>
      <c r="KNG102" s="952"/>
      <c r="KNH102" s="952"/>
      <c r="KNI102" s="952"/>
      <c r="KNJ102" s="952"/>
      <c r="KNK102" s="952"/>
      <c r="KNL102" s="952"/>
      <c r="KNM102" s="952"/>
      <c r="KNN102" s="952"/>
      <c r="KNO102" s="952"/>
      <c r="KNP102" s="952"/>
      <c r="KNQ102" s="952"/>
      <c r="KNR102" s="952"/>
      <c r="KNS102" s="952"/>
      <c r="KNT102" s="952"/>
      <c r="KNU102" s="952"/>
      <c r="KNV102" s="952"/>
      <c r="KNW102" s="952"/>
      <c r="KNX102" s="952"/>
      <c r="KNY102" s="952"/>
      <c r="KNZ102" s="952"/>
      <c r="KOA102" s="952"/>
      <c r="KOB102" s="952"/>
      <c r="KOC102" s="952"/>
      <c r="KOD102" s="952"/>
      <c r="KOE102" s="952"/>
      <c r="KOF102" s="952"/>
      <c r="KOG102" s="952"/>
      <c r="KOH102" s="952"/>
      <c r="KOI102" s="952"/>
      <c r="KOJ102" s="952"/>
      <c r="KOK102" s="952"/>
      <c r="KOL102" s="952"/>
      <c r="KOM102" s="952"/>
      <c r="KON102" s="952"/>
      <c r="KOO102" s="952"/>
      <c r="KOP102" s="952"/>
      <c r="KOQ102" s="952"/>
      <c r="KOR102" s="952"/>
      <c r="KOS102" s="952"/>
      <c r="KOT102" s="952"/>
      <c r="KOU102" s="952"/>
      <c r="KOV102" s="952"/>
      <c r="KOW102" s="952"/>
      <c r="KOX102" s="952"/>
      <c r="KOY102" s="952"/>
      <c r="KOZ102" s="952"/>
      <c r="KPA102" s="952"/>
      <c r="KPB102" s="952"/>
      <c r="KPC102" s="952"/>
      <c r="KPD102" s="952"/>
      <c r="KPE102" s="952"/>
      <c r="KPF102" s="952"/>
      <c r="KPG102" s="952"/>
      <c r="KPH102" s="952"/>
      <c r="KPI102" s="952"/>
      <c r="KPJ102" s="952"/>
      <c r="KPK102" s="952"/>
      <c r="KPL102" s="952"/>
      <c r="KPM102" s="952"/>
      <c r="KPN102" s="952"/>
      <c r="KPO102" s="952"/>
      <c r="KPP102" s="952"/>
      <c r="KPQ102" s="952"/>
      <c r="KPR102" s="952"/>
      <c r="KPS102" s="952"/>
      <c r="KPT102" s="952"/>
      <c r="KPU102" s="952"/>
      <c r="KPV102" s="952"/>
      <c r="KPW102" s="952"/>
      <c r="KPX102" s="952"/>
      <c r="KPY102" s="952"/>
      <c r="KPZ102" s="952"/>
      <c r="KQA102" s="952"/>
      <c r="KQB102" s="952"/>
      <c r="KQC102" s="952"/>
      <c r="KQD102" s="952"/>
      <c r="KQE102" s="952"/>
      <c r="KQF102" s="952"/>
      <c r="KQG102" s="952"/>
      <c r="KQH102" s="952"/>
      <c r="KQI102" s="952"/>
      <c r="KQJ102" s="952"/>
      <c r="KQK102" s="952"/>
      <c r="KQL102" s="952"/>
      <c r="KQM102" s="952"/>
      <c r="KQN102" s="952"/>
      <c r="KQO102" s="952"/>
      <c r="KQP102" s="952"/>
      <c r="KQQ102" s="952"/>
      <c r="KQR102" s="952"/>
      <c r="KQS102" s="952"/>
      <c r="KQT102" s="952"/>
      <c r="KQU102" s="952"/>
      <c r="KQV102" s="952"/>
      <c r="KQW102" s="952"/>
      <c r="KQX102" s="952"/>
      <c r="KQY102" s="952"/>
      <c r="KQZ102" s="952"/>
      <c r="KRA102" s="952"/>
      <c r="KRB102" s="952"/>
      <c r="KRC102" s="952"/>
      <c r="KRD102" s="952"/>
      <c r="KRE102" s="952"/>
      <c r="KRF102" s="952"/>
      <c r="KRG102" s="952"/>
      <c r="KRH102" s="952"/>
      <c r="KRI102" s="952"/>
      <c r="KRJ102" s="952"/>
      <c r="KRK102" s="952"/>
      <c r="KRL102" s="952"/>
      <c r="KRM102" s="952"/>
      <c r="KRN102" s="952"/>
      <c r="KRO102" s="952"/>
      <c r="KRP102" s="952"/>
      <c r="KRQ102" s="952"/>
      <c r="KRR102" s="952"/>
      <c r="KRS102" s="952"/>
      <c r="KRT102" s="952"/>
      <c r="KRU102" s="952"/>
      <c r="KRV102" s="952"/>
      <c r="KRW102" s="952"/>
      <c r="KRX102" s="952"/>
      <c r="KRY102" s="952"/>
      <c r="KRZ102" s="952"/>
      <c r="KSA102" s="952"/>
      <c r="KSB102" s="952"/>
      <c r="KSC102" s="952"/>
      <c r="KSD102" s="952"/>
      <c r="KSE102" s="952"/>
      <c r="KSF102" s="952"/>
      <c r="KSG102" s="952"/>
      <c r="KSH102" s="952"/>
      <c r="KSI102" s="952"/>
      <c r="KSJ102" s="952"/>
      <c r="KSK102" s="952"/>
      <c r="KSL102" s="952"/>
      <c r="KSM102" s="952"/>
      <c r="KSN102" s="952"/>
      <c r="KSO102" s="952"/>
      <c r="KSP102" s="952"/>
      <c r="KSQ102" s="952"/>
      <c r="KSR102" s="952"/>
      <c r="KSS102" s="952"/>
      <c r="KST102" s="952"/>
      <c r="KSU102" s="952"/>
      <c r="KSV102" s="952"/>
      <c r="KSW102" s="952"/>
      <c r="KSX102" s="952"/>
      <c r="KSY102" s="952"/>
      <c r="KSZ102" s="952"/>
      <c r="KTA102" s="952"/>
      <c r="KTB102" s="952"/>
      <c r="KTC102" s="952"/>
      <c r="KTD102" s="952"/>
      <c r="KTE102" s="952"/>
      <c r="KTF102" s="952"/>
      <c r="KTG102" s="952"/>
      <c r="KTH102" s="952"/>
      <c r="KTI102" s="952"/>
      <c r="KTJ102" s="952"/>
      <c r="KTK102" s="952"/>
      <c r="KTL102" s="952"/>
      <c r="KTM102" s="952"/>
      <c r="KTN102" s="952"/>
      <c r="KTO102" s="952"/>
      <c r="KTP102" s="952"/>
      <c r="KTQ102" s="952"/>
      <c r="KTR102" s="952"/>
      <c r="KTS102" s="952"/>
      <c r="KTT102" s="952"/>
      <c r="KTU102" s="952"/>
      <c r="KTV102" s="952"/>
      <c r="KTW102" s="952"/>
      <c r="KTX102" s="952"/>
      <c r="KTY102" s="952"/>
      <c r="KTZ102" s="952"/>
      <c r="KUA102" s="952"/>
      <c r="KUB102" s="952"/>
      <c r="KUC102" s="952"/>
      <c r="KUD102" s="952"/>
      <c r="KUE102" s="952"/>
      <c r="KUF102" s="952"/>
      <c r="KUG102" s="952"/>
      <c r="KUH102" s="952"/>
      <c r="KUI102" s="952"/>
      <c r="KUJ102" s="952"/>
      <c r="KUK102" s="952"/>
      <c r="KUL102" s="952"/>
      <c r="KUM102" s="952"/>
      <c r="KUN102" s="952"/>
      <c r="KUO102" s="952"/>
      <c r="KUP102" s="952"/>
      <c r="KUQ102" s="952"/>
      <c r="KUR102" s="952"/>
      <c r="KUS102" s="952"/>
      <c r="KUT102" s="952"/>
      <c r="KUU102" s="952"/>
      <c r="KUV102" s="952"/>
      <c r="KUW102" s="952"/>
      <c r="KUX102" s="952"/>
      <c r="KUY102" s="952"/>
      <c r="KUZ102" s="952"/>
      <c r="KVA102" s="952"/>
      <c r="KVB102" s="952"/>
      <c r="KVC102" s="952"/>
      <c r="KVD102" s="952"/>
      <c r="KVE102" s="952"/>
      <c r="KVF102" s="952"/>
      <c r="KVG102" s="952"/>
      <c r="KVH102" s="952"/>
      <c r="KVI102" s="952"/>
      <c r="KVJ102" s="952"/>
      <c r="KVK102" s="952"/>
      <c r="KVL102" s="952"/>
      <c r="KVM102" s="952"/>
      <c r="KVN102" s="952"/>
      <c r="KVO102" s="952"/>
      <c r="KVP102" s="952"/>
      <c r="KVQ102" s="952"/>
      <c r="KVR102" s="952"/>
      <c r="KVS102" s="952"/>
      <c r="KVT102" s="952"/>
      <c r="KVU102" s="952"/>
      <c r="KVV102" s="952"/>
      <c r="KVW102" s="952"/>
      <c r="KVX102" s="952"/>
      <c r="KVY102" s="952"/>
      <c r="KVZ102" s="952"/>
      <c r="KWA102" s="952"/>
      <c r="KWB102" s="952"/>
      <c r="KWC102" s="952"/>
      <c r="KWD102" s="952"/>
      <c r="KWE102" s="952"/>
      <c r="KWF102" s="952"/>
      <c r="KWG102" s="952"/>
      <c r="KWH102" s="952"/>
      <c r="KWI102" s="952"/>
      <c r="KWJ102" s="952"/>
      <c r="KWK102" s="952"/>
      <c r="KWL102" s="952"/>
      <c r="KWM102" s="952"/>
      <c r="KWN102" s="952"/>
      <c r="KWO102" s="952"/>
      <c r="KWP102" s="952"/>
      <c r="KWQ102" s="952"/>
      <c r="KWR102" s="952"/>
      <c r="KWS102" s="952"/>
      <c r="KWT102" s="952"/>
      <c r="KWU102" s="952"/>
      <c r="KWV102" s="952"/>
      <c r="KWW102" s="952"/>
      <c r="KWX102" s="952"/>
      <c r="KWY102" s="952"/>
      <c r="KWZ102" s="952"/>
      <c r="KXA102" s="952"/>
      <c r="KXB102" s="952"/>
      <c r="KXC102" s="952"/>
      <c r="KXD102" s="952"/>
      <c r="KXE102" s="952"/>
      <c r="KXF102" s="952"/>
      <c r="KXG102" s="952"/>
      <c r="KXH102" s="952"/>
      <c r="KXI102" s="952"/>
      <c r="KXJ102" s="952"/>
      <c r="KXK102" s="952"/>
      <c r="KXL102" s="952"/>
      <c r="KXM102" s="952"/>
      <c r="KXN102" s="952"/>
      <c r="KXO102" s="952"/>
      <c r="KXP102" s="952"/>
      <c r="KXQ102" s="952"/>
      <c r="KXR102" s="952"/>
      <c r="KXS102" s="952"/>
      <c r="KXT102" s="952"/>
      <c r="KXU102" s="952"/>
      <c r="KXV102" s="952"/>
      <c r="KXW102" s="952"/>
      <c r="KXX102" s="952"/>
      <c r="KXY102" s="952"/>
      <c r="KXZ102" s="952"/>
      <c r="KYA102" s="952"/>
      <c r="KYB102" s="952"/>
      <c r="KYC102" s="952"/>
      <c r="KYD102" s="952"/>
      <c r="KYE102" s="952"/>
      <c r="KYF102" s="952"/>
      <c r="KYG102" s="952"/>
      <c r="KYH102" s="952"/>
      <c r="KYI102" s="952"/>
      <c r="KYJ102" s="952"/>
      <c r="KYK102" s="952"/>
      <c r="KYL102" s="952"/>
      <c r="KYM102" s="952"/>
      <c r="KYN102" s="952"/>
      <c r="KYO102" s="952"/>
      <c r="KYP102" s="952"/>
      <c r="KYQ102" s="952"/>
      <c r="KYR102" s="952"/>
      <c r="KYS102" s="952"/>
      <c r="KYT102" s="952"/>
      <c r="KYU102" s="952"/>
      <c r="KYV102" s="952"/>
      <c r="KYW102" s="952"/>
      <c r="KYX102" s="952"/>
      <c r="KYY102" s="952"/>
      <c r="KYZ102" s="952"/>
      <c r="KZA102" s="952"/>
      <c r="KZB102" s="952"/>
      <c r="KZC102" s="952"/>
      <c r="KZD102" s="952"/>
      <c r="KZE102" s="952"/>
      <c r="KZF102" s="952"/>
      <c r="KZG102" s="952"/>
      <c r="KZH102" s="952"/>
      <c r="KZI102" s="952"/>
      <c r="KZJ102" s="952"/>
      <c r="KZK102" s="952"/>
      <c r="KZL102" s="952"/>
      <c r="KZM102" s="952"/>
      <c r="KZN102" s="952"/>
      <c r="KZO102" s="952"/>
      <c r="KZP102" s="952"/>
      <c r="KZQ102" s="952"/>
      <c r="KZR102" s="952"/>
      <c r="KZS102" s="952"/>
      <c r="KZT102" s="952"/>
      <c r="KZU102" s="952"/>
      <c r="KZV102" s="952"/>
      <c r="KZW102" s="952"/>
      <c r="KZX102" s="952"/>
      <c r="KZY102" s="952"/>
      <c r="KZZ102" s="952"/>
      <c r="LAA102" s="952"/>
      <c r="LAB102" s="952"/>
      <c r="LAC102" s="952"/>
      <c r="LAD102" s="952"/>
      <c r="LAE102" s="952"/>
      <c r="LAF102" s="952"/>
      <c r="LAG102" s="952"/>
      <c r="LAH102" s="952"/>
      <c r="LAI102" s="952"/>
      <c r="LAJ102" s="952"/>
      <c r="LAK102" s="952"/>
      <c r="LAL102" s="952"/>
      <c r="LAM102" s="952"/>
      <c r="LAN102" s="952"/>
      <c r="LAO102" s="952"/>
      <c r="LAP102" s="952"/>
      <c r="LAQ102" s="952"/>
      <c r="LAR102" s="952"/>
      <c r="LAS102" s="952"/>
      <c r="LAT102" s="952"/>
      <c r="LAU102" s="952"/>
      <c r="LAV102" s="952"/>
      <c r="LAW102" s="952"/>
      <c r="LAX102" s="952"/>
      <c r="LAY102" s="952"/>
      <c r="LAZ102" s="952"/>
      <c r="LBA102" s="952"/>
      <c r="LBB102" s="952"/>
      <c r="LBC102" s="952"/>
      <c r="LBD102" s="952"/>
      <c r="LBE102" s="952"/>
      <c r="LBF102" s="952"/>
      <c r="LBG102" s="952"/>
      <c r="LBH102" s="952"/>
      <c r="LBI102" s="952"/>
      <c r="LBJ102" s="952"/>
      <c r="LBK102" s="952"/>
      <c r="LBL102" s="952"/>
      <c r="LBM102" s="952"/>
      <c r="LBN102" s="952"/>
      <c r="LBO102" s="952"/>
      <c r="LBP102" s="952"/>
      <c r="LBQ102" s="952"/>
      <c r="LBR102" s="952"/>
      <c r="LBS102" s="952"/>
      <c r="LBT102" s="952"/>
      <c r="LBU102" s="952"/>
      <c r="LBV102" s="952"/>
      <c r="LBW102" s="952"/>
      <c r="LBX102" s="952"/>
      <c r="LBY102" s="952"/>
      <c r="LBZ102" s="952"/>
      <c r="LCA102" s="952"/>
      <c r="LCB102" s="952"/>
      <c r="LCC102" s="952"/>
      <c r="LCD102" s="952"/>
      <c r="LCE102" s="952"/>
      <c r="LCF102" s="952"/>
      <c r="LCG102" s="952"/>
      <c r="LCH102" s="952"/>
      <c r="LCI102" s="952"/>
      <c r="LCJ102" s="952"/>
      <c r="LCK102" s="952"/>
      <c r="LCL102" s="952"/>
      <c r="LCM102" s="952"/>
      <c r="LCN102" s="952"/>
      <c r="LCO102" s="952"/>
      <c r="LCP102" s="952"/>
      <c r="LCQ102" s="952"/>
      <c r="LCR102" s="952"/>
      <c r="LCS102" s="952"/>
      <c r="LCT102" s="952"/>
      <c r="LCU102" s="952"/>
      <c r="LCV102" s="952"/>
      <c r="LCW102" s="952"/>
      <c r="LCX102" s="952"/>
      <c r="LCY102" s="952"/>
      <c r="LCZ102" s="952"/>
      <c r="LDA102" s="952"/>
      <c r="LDB102" s="952"/>
      <c r="LDC102" s="952"/>
      <c r="LDD102" s="952"/>
      <c r="LDE102" s="952"/>
      <c r="LDF102" s="952"/>
      <c r="LDG102" s="952"/>
      <c r="LDH102" s="952"/>
      <c r="LDI102" s="952"/>
      <c r="LDJ102" s="952"/>
      <c r="LDK102" s="952"/>
      <c r="LDL102" s="952"/>
      <c r="LDM102" s="952"/>
      <c r="LDN102" s="952"/>
      <c r="LDO102" s="952"/>
      <c r="LDP102" s="952"/>
      <c r="LDQ102" s="952"/>
      <c r="LDR102" s="952"/>
      <c r="LDS102" s="952"/>
      <c r="LDT102" s="952"/>
      <c r="LDU102" s="952"/>
      <c r="LDV102" s="952"/>
      <c r="LDW102" s="952"/>
      <c r="LDX102" s="952"/>
      <c r="LDY102" s="952"/>
      <c r="LDZ102" s="952"/>
      <c r="LEA102" s="952"/>
      <c r="LEB102" s="952"/>
      <c r="LEC102" s="952"/>
      <c r="LED102" s="952"/>
      <c r="LEE102" s="952"/>
      <c r="LEF102" s="952"/>
      <c r="LEG102" s="952"/>
      <c r="LEH102" s="952"/>
      <c r="LEI102" s="952"/>
      <c r="LEJ102" s="952"/>
      <c r="LEK102" s="952"/>
      <c r="LEL102" s="952"/>
      <c r="LEM102" s="952"/>
      <c r="LEN102" s="952"/>
      <c r="LEO102" s="952"/>
      <c r="LEP102" s="952"/>
      <c r="LEQ102" s="952"/>
      <c r="LER102" s="952"/>
      <c r="LES102" s="952"/>
      <c r="LET102" s="952"/>
      <c r="LEU102" s="952"/>
      <c r="LEV102" s="952"/>
      <c r="LEW102" s="952"/>
      <c r="LEX102" s="952"/>
      <c r="LEY102" s="952"/>
      <c r="LEZ102" s="952"/>
      <c r="LFA102" s="952"/>
      <c r="LFB102" s="952"/>
      <c r="LFC102" s="952"/>
      <c r="LFD102" s="952"/>
      <c r="LFE102" s="952"/>
      <c r="LFF102" s="952"/>
      <c r="LFG102" s="952"/>
      <c r="LFH102" s="952"/>
      <c r="LFI102" s="952"/>
      <c r="LFJ102" s="952"/>
      <c r="LFK102" s="952"/>
      <c r="LFL102" s="952"/>
      <c r="LFM102" s="952"/>
      <c r="LFN102" s="952"/>
      <c r="LFO102" s="952"/>
      <c r="LFP102" s="952"/>
      <c r="LFQ102" s="952"/>
      <c r="LFR102" s="952"/>
      <c r="LFS102" s="952"/>
      <c r="LFT102" s="952"/>
      <c r="LFU102" s="952"/>
      <c r="LFV102" s="952"/>
      <c r="LFW102" s="952"/>
      <c r="LFX102" s="952"/>
      <c r="LFY102" s="952"/>
      <c r="LFZ102" s="952"/>
      <c r="LGA102" s="952"/>
      <c r="LGB102" s="952"/>
      <c r="LGC102" s="952"/>
      <c r="LGD102" s="952"/>
      <c r="LGE102" s="952"/>
      <c r="LGF102" s="952"/>
      <c r="LGG102" s="952"/>
      <c r="LGH102" s="952"/>
      <c r="LGI102" s="952"/>
      <c r="LGJ102" s="952"/>
      <c r="LGK102" s="952"/>
      <c r="LGL102" s="952"/>
      <c r="LGM102" s="952"/>
      <c r="LGN102" s="952"/>
      <c r="LGO102" s="952"/>
      <c r="LGP102" s="952"/>
      <c r="LGQ102" s="952"/>
      <c r="LGR102" s="952"/>
      <c r="LGS102" s="952"/>
      <c r="LGT102" s="952"/>
      <c r="LGU102" s="952"/>
      <c r="LGV102" s="952"/>
      <c r="LGW102" s="952"/>
      <c r="LGX102" s="952"/>
      <c r="LGY102" s="952"/>
      <c r="LGZ102" s="952"/>
      <c r="LHA102" s="952"/>
      <c r="LHB102" s="952"/>
      <c r="LHC102" s="952"/>
      <c r="LHD102" s="952"/>
      <c r="LHE102" s="952"/>
      <c r="LHF102" s="952"/>
      <c r="LHG102" s="952"/>
      <c r="LHH102" s="952"/>
      <c r="LHI102" s="952"/>
      <c r="LHJ102" s="952"/>
      <c r="LHK102" s="952"/>
      <c r="LHL102" s="952"/>
      <c r="LHM102" s="952"/>
      <c r="LHN102" s="952"/>
      <c r="LHO102" s="952"/>
      <c r="LHP102" s="952"/>
      <c r="LHQ102" s="952"/>
      <c r="LHR102" s="952"/>
      <c r="LHS102" s="952"/>
      <c r="LHT102" s="952"/>
      <c r="LHU102" s="952"/>
      <c r="LHV102" s="952"/>
      <c r="LHW102" s="952"/>
      <c r="LHX102" s="952"/>
      <c r="LHY102" s="952"/>
      <c r="LHZ102" s="952"/>
      <c r="LIA102" s="952"/>
      <c r="LIB102" s="952"/>
      <c r="LIC102" s="952"/>
      <c r="LID102" s="952"/>
      <c r="LIE102" s="952"/>
      <c r="LIF102" s="952"/>
      <c r="LIG102" s="952"/>
      <c r="LIH102" s="952"/>
      <c r="LII102" s="952"/>
      <c r="LIJ102" s="952"/>
      <c r="LIK102" s="952"/>
      <c r="LIL102" s="952"/>
      <c r="LIM102" s="952"/>
      <c r="LIN102" s="952"/>
      <c r="LIO102" s="952"/>
      <c r="LIP102" s="952"/>
      <c r="LIQ102" s="952"/>
      <c r="LIR102" s="952"/>
      <c r="LIS102" s="952"/>
      <c r="LIT102" s="952"/>
      <c r="LIU102" s="952"/>
      <c r="LIV102" s="952"/>
      <c r="LIW102" s="952"/>
      <c r="LIX102" s="952"/>
      <c r="LIY102" s="952"/>
      <c r="LIZ102" s="952"/>
      <c r="LJA102" s="952"/>
      <c r="LJB102" s="952"/>
      <c r="LJC102" s="952"/>
      <c r="LJD102" s="952"/>
      <c r="LJE102" s="952"/>
      <c r="LJF102" s="952"/>
      <c r="LJG102" s="952"/>
      <c r="LJH102" s="952"/>
      <c r="LJI102" s="952"/>
      <c r="LJJ102" s="952"/>
      <c r="LJK102" s="952"/>
      <c r="LJL102" s="952"/>
      <c r="LJM102" s="952"/>
      <c r="LJN102" s="952"/>
      <c r="LJO102" s="952"/>
      <c r="LJP102" s="952"/>
      <c r="LJQ102" s="952"/>
      <c r="LJR102" s="952"/>
      <c r="LJS102" s="952"/>
      <c r="LJT102" s="952"/>
      <c r="LJU102" s="952"/>
      <c r="LJV102" s="952"/>
      <c r="LJW102" s="952"/>
      <c r="LJX102" s="952"/>
      <c r="LJY102" s="952"/>
      <c r="LJZ102" s="952"/>
      <c r="LKA102" s="952"/>
      <c r="LKB102" s="952"/>
      <c r="LKC102" s="952"/>
      <c r="LKD102" s="952"/>
      <c r="LKE102" s="952"/>
      <c r="LKF102" s="952"/>
      <c r="LKG102" s="952"/>
      <c r="LKH102" s="952"/>
      <c r="LKI102" s="952"/>
      <c r="LKJ102" s="952"/>
      <c r="LKK102" s="952"/>
      <c r="LKL102" s="952"/>
      <c r="LKM102" s="952"/>
      <c r="LKN102" s="952"/>
      <c r="LKO102" s="952"/>
      <c r="LKP102" s="952"/>
      <c r="LKQ102" s="952"/>
      <c r="LKR102" s="952"/>
      <c r="LKS102" s="952"/>
      <c r="LKT102" s="952"/>
      <c r="LKU102" s="952"/>
      <c r="LKV102" s="952"/>
      <c r="LKW102" s="952"/>
      <c r="LKX102" s="952"/>
      <c r="LKY102" s="952"/>
      <c r="LKZ102" s="952"/>
      <c r="LLA102" s="952"/>
      <c r="LLB102" s="952"/>
      <c r="LLC102" s="952"/>
      <c r="LLD102" s="952"/>
      <c r="LLE102" s="952"/>
      <c r="LLF102" s="952"/>
      <c r="LLG102" s="952"/>
      <c r="LLH102" s="952"/>
      <c r="LLI102" s="952"/>
      <c r="LLJ102" s="952"/>
      <c r="LLK102" s="952"/>
      <c r="LLL102" s="952"/>
      <c r="LLM102" s="952"/>
      <c r="LLN102" s="952"/>
      <c r="LLO102" s="952"/>
      <c r="LLP102" s="952"/>
      <c r="LLQ102" s="952"/>
      <c r="LLR102" s="952"/>
      <c r="LLS102" s="952"/>
      <c r="LLT102" s="952"/>
      <c r="LLU102" s="952"/>
      <c r="LLV102" s="952"/>
      <c r="LLW102" s="952"/>
      <c r="LLX102" s="952"/>
      <c r="LLY102" s="952"/>
      <c r="LLZ102" s="952"/>
      <c r="LMA102" s="952"/>
      <c r="LMB102" s="952"/>
      <c r="LMC102" s="952"/>
      <c r="LMD102" s="952"/>
      <c r="LME102" s="952"/>
      <c r="LMF102" s="952"/>
      <c r="LMG102" s="952"/>
      <c r="LMH102" s="952"/>
      <c r="LMI102" s="952"/>
      <c r="LMJ102" s="952"/>
      <c r="LMK102" s="952"/>
      <c r="LML102" s="952"/>
      <c r="LMM102" s="952"/>
      <c r="LMN102" s="952"/>
      <c r="LMO102" s="952"/>
      <c r="LMP102" s="952"/>
      <c r="LMQ102" s="952"/>
      <c r="LMR102" s="952"/>
      <c r="LMS102" s="952"/>
      <c r="LMT102" s="952"/>
      <c r="LMU102" s="952"/>
      <c r="LMV102" s="952"/>
      <c r="LMW102" s="952"/>
      <c r="LMX102" s="952"/>
      <c r="LMY102" s="952"/>
      <c r="LMZ102" s="952"/>
      <c r="LNA102" s="952"/>
      <c r="LNB102" s="952"/>
      <c r="LNC102" s="952"/>
      <c r="LND102" s="952"/>
      <c r="LNE102" s="952"/>
      <c r="LNF102" s="952"/>
      <c r="LNG102" s="952"/>
      <c r="LNH102" s="952"/>
      <c r="LNI102" s="952"/>
      <c r="LNJ102" s="952"/>
      <c r="LNK102" s="952"/>
      <c r="LNL102" s="952"/>
      <c r="LNM102" s="952"/>
      <c r="LNN102" s="952"/>
      <c r="LNO102" s="952"/>
      <c r="LNP102" s="952"/>
      <c r="LNQ102" s="952"/>
      <c r="LNR102" s="952"/>
      <c r="LNS102" s="952"/>
      <c r="LNT102" s="952"/>
      <c r="LNU102" s="952"/>
      <c r="LNV102" s="952"/>
      <c r="LNW102" s="952"/>
      <c r="LNX102" s="952"/>
      <c r="LNY102" s="952"/>
      <c r="LNZ102" s="952"/>
      <c r="LOA102" s="952"/>
      <c r="LOB102" s="952"/>
      <c r="LOC102" s="952"/>
      <c r="LOD102" s="952"/>
      <c r="LOE102" s="952"/>
      <c r="LOF102" s="952"/>
      <c r="LOG102" s="952"/>
      <c r="LOH102" s="952"/>
      <c r="LOI102" s="952"/>
      <c r="LOJ102" s="952"/>
      <c r="LOK102" s="952"/>
      <c r="LOL102" s="952"/>
      <c r="LOM102" s="952"/>
      <c r="LON102" s="952"/>
      <c r="LOO102" s="952"/>
      <c r="LOP102" s="952"/>
      <c r="LOQ102" s="952"/>
      <c r="LOR102" s="952"/>
      <c r="LOS102" s="952"/>
      <c r="LOT102" s="952"/>
      <c r="LOU102" s="952"/>
      <c r="LOV102" s="952"/>
      <c r="LOW102" s="952"/>
      <c r="LOX102" s="952"/>
      <c r="LOY102" s="952"/>
      <c r="LOZ102" s="952"/>
      <c r="LPA102" s="952"/>
      <c r="LPB102" s="952"/>
      <c r="LPC102" s="952"/>
      <c r="LPD102" s="952"/>
      <c r="LPE102" s="952"/>
      <c r="LPF102" s="952"/>
      <c r="LPG102" s="952"/>
      <c r="LPH102" s="952"/>
      <c r="LPI102" s="952"/>
      <c r="LPJ102" s="952"/>
      <c r="LPK102" s="952"/>
      <c r="LPL102" s="952"/>
      <c r="LPM102" s="952"/>
      <c r="LPN102" s="952"/>
      <c r="LPO102" s="952"/>
      <c r="LPP102" s="952"/>
      <c r="LPQ102" s="952"/>
      <c r="LPR102" s="952"/>
      <c r="LPS102" s="952"/>
      <c r="LPT102" s="952"/>
      <c r="LPU102" s="952"/>
      <c r="LPV102" s="952"/>
      <c r="LPW102" s="952"/>
      <c r="LPX102" s="952"/>
      <c r="LPY102" s="952"/>
      <c r="LPZ102" s="952"/>
      <c r="LQA102" s="952"/>
      <c r="LQB102" s="952"/>
      <c r="LQC102" s="952"/>
      <c r="LQD102" s="952"/>
      <c r="LQE102" s="952"/>
      <c r="LQF102" s="952"/>
      <c r="LQG102" s="952"/>
      <c r="LQH102" s="952"/>
      <c r="LQI102" s="952"/>
      <c r="LQJ102" s="952"/>
      <c r="LQK102" s="952"/>
      <c r="LQL102" s="952"/>
      <c r="LQM102" s="952"/>
      <c r="LQN102" s="952"/>
      <c r="LQO102" s="952"/>
      <c r="LQP102" s="952"/>
      <c r="LQQ102" s="952"/>
      <c r="LQR102" s="952"/>
      <c r="LQS102" s="952"/>
      <c r="LQT102" s="952"/>
      <c r="LQU102" s="952"/>
      <c r="LQV102" s="952"/>
      <c r="LQW102" s="952"/>
      <c r="LQX102" s="952"/>
      <c r="LQY102" s="952"/>
      <c r="LQZ102" s="952"/>
      <c r="LRA102" s="952"/>
      <c r="LRB102" s="952"/>
      <c r="LRC102" s="952"/>
      <c r="LRD102" s="952"/>
      <c r="LRE102" s="952"/>
      <c r="LRF102" s="952"/>
      <c r="LRG102" s="952"/>
      <c r="LRH102" s="952"/>
      <c r="LRI102" s="952"/>
      <c r="LRJ102" s="952"/>
      <c r="LRK102" s="952"/>
      <c r="LRL102" s="952"/>
      <c r="LRM102" s="952"/>
      <c r="LRN102" s="952"/>
      <c r="LRO102" s="952"/>
      <c r="LRP102" s="952"/>
      <c r="LRQ102" s="952"/>
      <c r="LRR102" s="952"/>
      <c r="LRS102" s="952"/>
      <c r="LRT102" s="952"/>
      <c r="LRU102" s="952"/>
      <c r="LRV102" s="952"/>
      <c r="LRW102" s="952"/>
      <c r="LRX102" s="952"/>
      <c r="LRY102" s="952"/>
      <c r="LRZ102" s="952"/>
      <c r="LSA102" s="952"/>
      <c r="LSB102" s="952"/>
      <c r="LSC102" s="952"/>
      <c r="LSD102" s="952"/>
      <c r="LSE102" s="952"/>
      <c r="LSF102" s="952"/>
      <c r="LSG102" s="952"/>
      <c r="LSH102" s="952"/>
      <c r="LSI102" s="952"/>
      <c r="LSJ102" s="952"/>
      <c r="LSK102" s="952"/>
      <c r="LSL102" s="952"/>
      <c r="LSM102" s="952"/>
      <c r="LSN102" s="952"/>
      <c r="LSO102" s="952"/>
      <c r="LSP102" s="952"/>
      <c r="LSQ102" s="952"/>
      <c r="LSR102" s="952"/>
      <c r="LSS102" s="952"/>
      <c r="LST102" s="952"/>
      <c r="LSU102" s="952"/>
      <c r="LSV102" s="952"/>
      <c r="LSW102" s="952"/>
      <c r="LSX102" s="952"/>
      <c r="LSY102" s="952"/>
      <c r="LSZ102" s="952"/>
      <c r="LTA102" s="952"/>
      <c r="LTB102" s="952"/>
      <c r="LTC102" s="952"/>
      <c r="LTD102" s="952"/>
      <c r="LTE102" s="952"/>
      <c r="LTF102" s="952"/>
      <c r="LTG102" s="952"/>
      <c r="LTH102" s="952"/>
      <c r="LTI102" s="952"/>
      <c r="LTJ102" s="952"/>
      <c r="LTK102" s="952"/>
      <c r="LTL102" s="952"/>
      <c r="LTM102" s="952"/>
      <c r="LTN102" s="952"/>
      <c r="LTO102" s="952"/>
      <c r="LTP102" s="952"/>
      <c r="LTQ102" s="952"/>
      <c r="LTR102" s="952"/>
      <c r="LTS102" s="952"/>
      <c r="LTT102" s="952"/>
      <c r="LTU102" s="952"/>
      <c r="LTV102" s="952"/>
      <c r="LTW102" s="952"/>
      <c r="LTX102" s="952"/>
      <c r="LTY102" s="952"/>
      <c r="LTZ102" s="952"/>
      <c r="LUA102" s="952"/>
      <c r="LUB102" s="952"/>
      <c r="LUC102" s="952"/>
      <c r="LUD102" s="952"/>
      <c r="LUE102" s="952"/>
      <c r="LUF102" s="952"/>
      <c r="LUG102" s="952"/>
      <c r="LUH102" s="952"/>
      <c r="LUI102" s="952"/>
      <c r="LUJ102" s="952"/>
      <c r="LUK102" s="952"/>
      <c r="LUL102" s="952"/>
      <c r="LUM102" s="952"/>
      <c r="LUN102" s="952"/>
      <c r="LUO102" s="952"/>
      <c r="LUP102" s="952"/>
      <c r="LUQ102" s="952"/>
      <c r="LUR102" s="952"/>
      <c r="LUS102" s="952"/>
      <c r="LUT102" s="952"/>
      <c r="LUU102" s="952"/>
      <c r="LUV102" s="952"/>
      <c r="LUW102" s="952"/>
      <c r="LUX102" s="952"/>
      <c r="LUY102" s="952"/>
      <c r="LUZ102" s="952"/>
      <c r="LVA102" s="952"/>
      <c r="LVB102" s="952"/>
      <c r="LVC102" s="952"/>
      <c r="LVD102" s="952"/>
      <c r="LVE102" s="952"/>
      <c r="LVF102" s="952"/>
      <c r="LVG102" s="952"/>
      <c r="LVH102" s="952"/>
      <c r="LVI102" s="952"/>
      <c r="LVJ102" s="952"/>
      <c r="LVK102" s="952"/>
      <c r="LVL102" s="952"/>
      <c r="LVM102" s="952"/>
      <c r="LVN102" s="952"/>
      <c r="LVO102" s="952"/>
      <c r="LVP102" s="952"/>
      <c r="LVQ102" s="952"/>
      <c r="LVR102" s="952"/>
      <c r="LVS102" s="952"/>
      <c r="LVT102" s="952"/>
      <c r="LVU102" s="952"/>
      <c r="LVV102" s="952"/>
      <c r="LVW102" s="952"/>
      <c r="LVX102" s="952"/>
      <c r="LVY102" s="952"/>
      <c r="LVZ102" s="952"/>
      <c r="LWA102" s="952"/>
      <c r="LWB102" s="952"/>
      <c r="LWC102" s="952"/>
      <c r="LWD102" s="952"/>
      <c r="LWE102" s="952"/>
      <c r="LWF102" s="952"/>
      <c r="LWG102" s="952"/>
      <c r="LWH102" s="952"/>
      <c r="LWI102" s="952"/>
      <c r="LWJ102" s="952"/>
      <c r="LWK102" s="952"/>
      <c r="LWL102" s="952"/>
      <c r="LWM102" s="952"/>
      <c r="LWN102" s="952"/>
      <c r="LWO102" s="952"/>
      <c r="LWP102" s="952"/>
      <c r="LWQ102" s="952"/>
      <c r="LWR102" s="952"/>
      <c r="LWS102" s="952"/>
      <c r="LWT102" s="952"/>
      <c r="LWU102" s="952"/>
      <c r="LWV102" s="952"/>
      <c r="LWW102" s="952"/>
      <c r="LWX102" s="952"/>
      <c r="LWY102" s="952"/>
      <c r="LWZ102" s="952"/>
      <c r="LXA102" s="952"/>
      <c r="LXB102" s="952"/>
      <c r="LXC102" s="952"/>
      <c r="LXD102" s="952"/>
      <c r="LXE102" s="952"/>
      <c r="LXF102" s="952"/>
      <c r="LXG102" s="952"/>
      <c r="LXH102" s="952"/>
      <c r="LXI102" s="952"/>
      <c r="LXJ102" s="952"/>
      <c r="LXK102" s="952"/>
      <c r="LXL102" s="952"/>
      <c r="LXM102" s="952"/>
      <c r="LXN102" s="952"/>
      <c r="LXO102" s="952"/>
      <c r="LXP102" s="952"/>
      <c r="LXQ102" s="952"/>
      <c r="LXR102" s="952"/>
      <c r="LXS102" s="952"/>
      <c r="LXT102" s="952"/>
      <c r="LXU102" s="952"/>
      <c r="LXV102" s="952"/>
      <c r="LXW102" s="952"/>
      <c r="LXX102" s="952"/>
      <c r="LXY102" s="952"/>
      <c r="LXZ102" s="952"/>
      <c r="LYA102" s="952"/>
      <c r="LYB102" s="952"/>
      <c r="LYC102" s="952"/>
      <c r="LYD102" s="952"/>
      <c r="LYE102" s="952"/>
      <c r="LYF102" s="952"/>
      <c r="LYG102" s="952"/>
      <c r="LYH102" s="952"/>
      <c r="LYI102" s="952"/>
      <c r="LYJ102" s="952"/>
      <c r="LYK102" s="952"/>
      <c r="LYL102" s="952"/>
      <c r="LYM102" s="952"/>
      <c r="LYN102" s="952"/>
      <c r="LYO102" s="952"/>
      <c r="LYP102" s="952"/>
      <c r="LYQ102" s="952"/>
      <c r="LYR102" s="952"/>
      <c r="LYS102" s="952"/>
      <c r="LYT102" s="952"/>
      <c r="LYU102" s="952"/>
      <c r="LYV102" s="952"/>
      <c r="LYW102" s="952"/>
      <c r="LYX102" s="952"/>
      <c r="LYY102" s="952"/>
      <c r="LYZ102" s="952"/>
      <c r="LZA102" s="952"/>
      <c r="LZB102" s="952"/>
      <c r="LZC102" s="952"/>
      <c r="LZD102" s="952"/>
      <c r="LZE102" s="952"/>
      <c r="LZF102" s="952"/>
      <c r="LZG102" s="952"/>
      <c r="LZH102" s="952"/>
      <c r="LZI102" s="952"/>
      <c r="LZJ102" s="952"/>
      <c r="LZK102" s="952"/>
      <c r="LZL102" s="952"/>
      <c r="LZM102" s="952"/>
      <c r="LZN102" s="952"/>
      <c r="LZO102" s="952"/>
      <c r="LZP102" s="952"/>
      <c r="LZQ102" s="952"/>
      <c r="LZR102" s="952"/>
      <c r="LZS102" s="952"/>
      <c r="LZT102" s="952"/>
      <c r="LZU102" s="952"/>
      <c r="LZV102" s="952"/>
      <c r="LZW102" s="952"/>
      <c r="LZX102" s="952"/>
      <c r="LZY102" s="952"/>
      <c r="LZZ102" s="952"/>
      <c r="MAA102" s="952"/>
      <c r="MAB102" s="952"/>
      <c r="MAC102" s="952"/>
      <c r="MAD102" s="952"/>
      <c r="MAE102" s="952"/>
      <c r="MAF102" s="952"/>
      <c r="MAG102" s="952"/>
      <c r="MAH102" s="952"/>
      <c r="MAI102" s="952"/>
      <c r="MAJ102" s="952"/>
      <c r="MAK102" s="952"/>
      <c r="MAL102" s="952"/>
      <c r="MAM102" s="952"/>
      <c r="MAN102" s="952"/>
      <c r="MAO102" s="952"/>
      <c r="MAP102" s="952"/>
      <c r="MAQ102" s="952"/>
      <c r="MAR102" s="952"/>
      <c r="MAS102" s="952"/>
      <c r="MAT102" s="952"/>
      <c r="MAU102" s="952"/>
      <c r="MAV102" s="952"/>
      <c r="MAW102" s="952"/>
      <c r="MAX102" s="952"/>
      <c r="MAY102" s="952"/>
      <c r="MAZ102" s="952"/>
      <c r="MBA102" s="952"/>
      <c r="MBB102" s="952"/>
      <c r="MBC102" s="952"/>
      <c r="MBD102" s="952"/>
      <c r="MBE102" s="952"/>
      <c r="MBF102" s="952"/>
      <c r="MBG102" s="952"/>
      <c r="MBH102" s="952"/>
      <c r="MBI102" s="952"/>
      <c r="MBJ102" s="952"/>
      <c r="MBK102" s="952"/>
      <c r="MBL102" s="952"/>
      <c r="MBM102" s="952"/>
      <c r="MBN102" s="952"/>
      <c r="MBO102" s="952"/>
      <c r="MBP102" s="952"/>
      <c r="MBQ102" s="952"/>
      <c r="MBR102" s="952"/>
      <c r="MBS102" s="952"/>
      <c r="MBT102" s="952"/>
      <c r="MBU102" s="952"/>
      <c r="MBV102" s="952"/>
      <c r="MBW102" s="952"/>
      <c r="MBX102" s="952"/>
      <c r="MBY102" s="952"/>
      <c r="MBZ102" s="952"/>
      <c r="MCA102" s="952"/>
      <c r="MCB102" s="952"/>
      <c r="MCC102" s="952"/>
      <c r="MCD102" s="952"/>
      <c r="MCE102" s="952"/>
      <c r="MCF102" s="952"/>
      <c r="MCG102" s="952"/>
      <c r="MCH102" s="952"/>
      <c r="MCI102" s="952"/>
      <c r="MCJ102" s="952"/>
      <c r="MCK102" s="952"/>
      <c r="MCL102" s="952"/>
      <c r="MCM102" s="952"/>
      <c r="MCN102" s="952"/>
      <c r="MCO102" s="952"/>
      <c r="MCP102" s="952"/>
      <c r="MCQ102" s="952"/>
      <c r="MCR102" s="952"/>
      <c r="MCS102" s="952"/>
      <c r="MCT102" s="952"/>
      <c r="MCU102" s="952"/>
      <c r="MCV102" s="952"/>
      <c r="MCW102" s="952"/>
      <c r="MCX102" s="952"/>
      <c r="MCY102" s="952"/>
      <c r="MCZ102" s="952"/>
      <c r="MDA102" s="952"/>
      <c r="MDB102" s="952"/>
      <c r="MDC102" s="952"/>
      <c r="MDD102" s="952"/>
      <c r="MDE102" s="952"/>
      <c r="MDF102" s="952"/>
      <c r="MDG102" s="952"/>
      <c r="MDH102" s="952"/>
      <c r="MDI102" s="952"/>
      <c r="MDJ102" s="952"/>
      <c r="MDK102" s="952"/>
      <c r="MDL102" s="952"/>
      <c r="MDM102" s="952"/>
      <c r="MDN102" s="952"/>
      <c r="MDO102" s="952"/>
      <c r="MDP102" s="952"/>
      <c r="MDQ102" s="952"/>
      <c r="MDR102" s="952"/>
      <c r="MDS102" s="952"/>
      <c r="MDT102" s="952"/>
      <c r="MDU102" s="952"/>
      <c r="MDV102" s="952"/>
      <c r="MDW102" s="952"/>
      <c r="MDX102" s="952"/>
      <c r="MDY102" s="952"/>
      <c r="MDZ102" s="952"/>
      <c r="MEA102" s="952"/>
      <c r="MEB102" s="952"/>
      <c r="MEC102" s="952"/>
      <c r="MED102" s="952"/>
      <c r="MEE102" s="952"/>
      <c r="MEF102" s="952"/>
      <c r="MEG102" s="952"/>
      <c r="MEH102" s="952"/>
      <c r="MEI102" s="952"/>
      <c r="MEJ102" s="952"/>
      <c r="MEK102" s="952"/>
      <c r="MEL102" s="952"/>
      <c r="MEM102" s="952"/>
      <c r="MEN102" s="952"/>
      <c r="MEO102" s="952"/>
      <c r="MEP102" s="952"/>
      <c r="MEQ102" s="952"/>
      <c r="MER102" s="952"/>
      <c r="MES102" s="952"/>
      <c r="MET102" s="952"/>
      <c r="MEU102" s="952"/>
      <c r="MEV102" s="952"/>
      <c r="MEW102" s="952"/>
      <c r="MEX102" s="952"/>
      <c r="MEY102" s="952"/>
      <c r="MEZ102" s="952"/>
      <c r="MFA102" s="952"/>
      <c r="MFB102" s="952"/>
      <c r="MFC102" s="952"/>
      <c r="MFD102" s="952"/>
      <c r="MFE102" s="952"/>
      <c r="MFF102" s="952"/>
      <c r="MFG102" s="952"/>
      <c r="MFH102" s="952"/>
      <c r="MFI102" s="952"/>
      <c r="MFJ102" s="952"/>
      <c r="MFK102" s="952"/>
      <c r="MFL102" s="952"/>
      <c r="MFM102" s="952"/>
      <c r="MFN102" s="952"/>
      <c r="MFO102" s="952"/>
      <c r="MFP102" s="952"/>
      <c r="MFQ102" s="952"/>
      <c r="MFR102" s="952"/>
      <c r="MFS102" s="952"/>
      <c r="MFT102" s="952"/>
      <c r="MFU102" s="952"/>
      <c r="MFV102" s="952"/>
      <c r="MFW102" s="952"/>
      <c r="MFX102" s="952"/>
      <c r="MFY102" s="952"/>
      <c r="MFZ102" s="952"/>
      <c r="MGA102" s="952"/>
      <c r="MGB102" s="952"/>
      <c r="MGC102" s="952"/>
      <c r="MGD102" s="952"/>
      <c r="MGE102" s="952"/>
      <c r="MGF102" s="952"/>
      <c r="MGG102" s="952"/>
      <c r="MGH102" s="952"/>
      <c r="MGI102" s="952"/>
      <c r="MGJ102" s="952"/>
      <c r="MGK102" s="952"/>
      <c r="MGL102" s="952"/>
      <c r="MGM102" s="952"/>
      <c r="MGN102" s="952"/>
      <c r="MGO102" s="952"/>
      <c r="MGP102" s="952"/>
      <c r="MGQ102" s="952"/>
      <c r="MGR102" s="952"/>
      <c r="MGS102" s="952"/>
      <c r="MGT102" s="952"/>
      <c r="MGU102" s="952"/>
      <c r="MGV102" s="952"/>
      <c r="MGW102" s="952"/>
      <c r="MGX102" s="952"/>
      <c r="MGY102" s="952"/>
      <c r="MGZ102" s="952"/>
      <c r="MHA102" s="952"/>
      <c r="MHB102" s="952"/>
      <c r="MHC102" s="952"/>
      <c r="MHD102" s="952"/>
      <c r="MHE102" s="952"/>
      <c r="MHF102" s="952"/>
      <c r="MHG102" s="952"/>
      <c r="MHH102" s="952"/>
      <c r="MHI102" s="952"/>
      <c r="MHJ102" s="952"/>
      <c r="MHK102" s="952"/>
      <c r="MHL102" s="952"/>
      <c r="MHM102" s="952"/>
      <c r="MHN102" s="952"/>
      <c r="MHO102" s="952"/>
      <c r="MHP102" s="952"/>
      <c r="MHQ102" s="952"/>
      <c r="MHR102" s="952"/>
      <c r="MHS102" s="952"/>
      <c r="MHT102" s="952"/>
      <c r="MHU102" s="952"/>
      <c r="MHV102" s="952"/>
      <c r="MHW102" s="952"/>
      <c r="MHX102" s="952"/>
      <c r="MHY102" s="952"/>
      <c r="MHZ102" s="952"/>
      <c r="MIA102" s="952"/>
      <c r="MIB102" s="952"/>
      <c r="MIC102" s="952"/>
      <c r="MID102" s="952"/>
      <c r="MIE102" s="952"/>
      <c r="MIF102" s="952"/>
      <c r="MIG102" s="952"/>
      <c r="MIH102" s="952"/>
      <c r="MII102" s="952"/>
      <c r="MIJ102" s="952"/>
      <c r="MIK102" s="952"/>
      <c r="MIL102" s="952"/>
      <c r="MIM102" s="952"/>
      <c r="MIN102" s="952"/>
      <c r="MIO102" s="952"/>
      <c r="MIP102" s="952"/>
      <c r="MIQ102" s="952"/>
      <c r="MIR102" s="952"/>
      <c r="MIS102" s="952"/>
      <c r="MIT102" s="952"/>
      <c r="MIU102" s="952"/>
      <c r="MIV102" s="952"/>
      <c r="MIW102" s="952"/>
      <c r="MIX102" s="952"/>
      <c r="MIY102" s="952"/>
      <c r="MIZ102" s="952"/>
      <c r="MJA102" s="952"/>
      <c r="MJB102" s="952"/>
      <c r="MJC102" s="952"/>
      <c r="MJD102" s="952"/>
      <c r="MJE102" s="952"/>
      <c r="MJF102" s="952"/>
      <c r="MJG102" s="952"/>
      <c r="MJH102" s="952"/>
      <c r="MJI102" s="952"/>
      <c r="MJJ102" s="952"/>
      <c r="MJK102" s="952"/>
      <c r="MJL102" s="952"/>
      <c r="MJM102" s="952"/>
      <c r="MJN102" s="952"/>
      <c r="MJO102" s="952"/>
      <c r="MJP102" s="952"/>
      <c r="MJQ102" s="952"/>
      <c r="MJR102" s="952"/>
      <c r="MJS102" s="952"/>
      <c r="MJT102" s="952"/>
      <c r="MJU102" s="952"/>
      <c r="MJV102" s="952"/>
      <c r="MJW102" s="952"/>
      <c r="MJX102" s="952"/>
      <c r="MJY102" s="952"/>
      <c r="MJZ102" s="952"/>
      <c r="MKA102" s="952"/>
      <c r="MKB102" s="952"/>
      <c r="MKC102" s="952"/>
      <c r="MKD102" s="952"/>
      <c r="MKE102" s="952"/>
      <c r="MKF102" s="952"/>
      <c r="MKG102" s="952"/>
      <c r="MKH102" s="952"/>
      <c r="MKI102" s="952"/>
      <c r="MKJ102" s="952"/>
      <c r="MKK102" s="952"/>
      <c r="MKL102" s="952"/>
      <c r="MKM102" s="952"/>
      <c r="MKN102" s="952"/>
      <c r="MKO102" s="952"/>
      <c r="MKP102" s="952"/>
      <c r="MKQ102" s="952"/>
      <c r="MKR102" s="952"/>
      <c r="MKS102" s="952"/>
      <c r="MKT102" s="952"/>
      <c r="MKU102" s="952"/>
      <c r="MKV102" s="952"/>
      <c r="MKW102" s="952"/>
      <c r="MKX102" s="952"/>
      <c r="MKY102" s="952"/>
      <c r="MKZ102" s="952"/>
      <c r="MLA102" s="952"/>
      <c r="MLB102" s="952"/>
      <c r="MLC102" s="952"/>
      <c r="MLD102" s="952"/>
      <c r="MLE102" s="952"/>
      <c r="MLF102" s="952"/>
      <c r="MLG102" s="952"/>
      <c r="MLH102" s="952"/>
      <c r="MLI102" s="952"/>
      <c r="MLJ102" s="952"/>
      <c r="MLK102" s="952"/>
      <c r="MLL102" s="952"/>
      <c r="MLM102" s="952"/>
      <c r="MLN102" s="952"/>
      <c r="MLO102" s="952"/>
      <c r="MLP102" s="952"/>
      <c r="MLQ102" s="952"/>
      <c r="MLR102" s="952"/>
      <c r="MLS102" s="952"/>
      <c r="MLT102" s="952"/>
      <c r="MLU102" s="952"/>
      <c r="MLV102" s="952"/>
      <c r="MLW102" s="952"/>
      <c r="MLX102" s="952"/>
      <c r="MLY102" s="952"/>
      <c r="MLZ102" s="952"/>
      <c r="MMA102" s="952"/>
      <c r="MMB102" s="952"/>
      <c r="MMC102" s="952"/>
      <c r="MMD102" s="952"/>
      <c r="MME102" s="952"/>
      <c r="MMF102" s="952"/>
      <c r="MMG102" s="952"/>
      <c r="MMH102" s="952"/>
      <c r="MMI102" s="952"/>
      <c r="MMJ102" s="952"/>
      <c r="MMK102" s="952"/>
      <c r="MML102" s="952"/>
      <c r="MMM102" s="952"/>
      <c r="MMN102" s="952"/>
      <c r="MMO102" s="952"/>
      <c r="MMP102" s="952"/>
      <c r="MMQ102" s="952"/>
      <c r="MMR102" s="952"/>
      <c r="MMS102" s="952"/>
      <c r="MMT102" s="952"/>
      <c r="MMU102" s="952"/>
      <c r="MMV102" s="952"/>
      <c r="MMW102" s="952"/>
      <c r="MMX102" s="952"/>
      <c r="MMY102" s="952"/>
      <c r="MMZ102" s="952"/>
      <c r="MNA102" s="952"/>
      <c r="MNB102" s="952"/>
      <c r="MNC102" s="952"/>
      <c r="MND102" s="952"/>
      <c r="MNE102" s="952"/>
      <c r="MNF102" s="952"/>
      <c r="MNG102" s="952"/>
      <c r="MNH102" s="952"/>
      <c r="MNI102" s="952"/>
      <c r="MNJ102" s="952"/>
      <c r="MNK102" s="952"/>
      <c r="MNL102" s="952"/>
      <c r="MNM102" s="952"/>
      <c r="MNN102" s="952"/>
      <c r="MNO102" s="952"/>
      <c r="MNP102" s="952"/>
      <c r="MNQ102" s="952"/>
      <c r="MNR102" s="952"/>
      <c r="MNS102" s="952"/>
      <c r="MNT102" s="952"/>
      <c r="MNU102" s="952"/>
      <c r="MNV102" s="952"/>
      <c r="MNW102" s="952"/>
      <c r="MNX102" s="952"/>
      <c r="MNY102" s="952"/>
      <c r="MNZ102" s="952"/>
      <c r="MOA102" s="952"/>
      <c r="MOB102" s="952"/>
      <c r="MOC102" s="952"/>
      <c r="MOD102" s="952"/>
      <c r="MOE102" s="952"/>
      <c r="MOF102" s="952"/>
      <c r="MOG102" s="952"/>
      <c r="MOH102" s="952"/>
      <c r="MOI102" s="952"/>
      <c r="MOJ102" s="952"/>
      <c r="MOK102" s="952"/>
      <c r="MOL102" s="952"/>
      <c r="MOM102" s="952"/>
      <c r="MON102" s="952"/>
      <c r="MOO102" s="952"/>
      <c r="MOP102" s="952"/>
      <c r="MOQ102" s="952"/>
      <c r="MOR102" s="952"/>
      <c r="MOS102" s="952"/>
      <c r="MOT102" s="952"/>
      <c r="MOU102" s="952"/>
      <c r="MOV102" s="952"/>
      <c r="MOW102" s="952"/>
      <c r="MOX102" s="952"/>
      <c r="MOY102" s="952"/>
      <c r="MOZ102" s="952"/>
      <c r="MPA102" s="952"/>
      <c r="MPB102" s="952"/>
      <c r="MPC102" s="952"/>
      <c r="MPD102" s="952"/>
      <c r="MPE102" s="952"/>
      <c r="MPF102" s="952"/>
      <c r="MPG102" s="952"/>
      <c r="MPH102" s="952"/>
      <c r="MPI102" s="952"/>
      <c r="MPJ102" s="952"/>
      <c r="MPK102" s="952"/>
      <c r="MPL102" s="952"/>
      <c r="MPM102" s="952"/>
      <c r="MPN102" s="952"/>
      <c r="MPO102" s="952"/>
      <c r="MPP102" s="952"/>
      <c r="MPQ102" s="952"/>
      <c r="MPR102" s="952"/>
      <c r="MPS102" s="952"/>
      <c r="MPT102" s="952"/>
      <c r="MPU102" s="952"/>
      <c r="MPV102" s="952"/>
      <c r="MPW102" s="952"/>
      <c r="MPX102" s="952"/>
      <c r="MPY102" s="952"/>
      <c r="MPZ102" s="952"/>
      <c r="MQA102" s="952"/>
      <c r="MQB102" s="952"/>
      <c r="MQC102" s="952"/>
      <c r="MQD102" s="952"/>
      <c r="MQE102" s="952"/>
      <c r="MQF102" s="952"/>
      <c r="MQG102" s="952"/>
      <c r="MQH102" s="952"/>
      <c r="MQI102" s="952"/>
      <c r="MQJ102" s="952"/>
      <c r="MQK102" s="952"/>
      <c r="MQL102" s="952"/>
      <c r="MQM102" s="952"/>
      <c r="MQN102" s="952"/>
      <c r="MQO102" s="952"/>
      <c r="MQP102" s="952"/>
      <c r="MQQ102" s="952"/>
      <c r="MQR102" s="952"/>
      <c r="MQS102" s="952"/>
      <c r="MQT102" s="952"/>
      <c r="MQU102" s="952"/>
      <c r="MQV102" s="952"/>
      <c r="MQW102" s="952"/>
      <c r="MQX102" s="952"/>
      <c r="MQY102" s="952"/>
      <c r="MQZ102" s="952"/>
      <c r="MRA102" s="952"/>
      <c r="MRB102" s="952"/>
      <c r="MRC102" s="952"/>
      <c r="MRD102" s="952"/>
      <c r="MRE102" s="952"/>
      <c r="MRF102" s="952"/>
      <c r="MRG102" s="952"/>
      <c r="MRH102" s="952"/>
      <c r="MRI102" s="952"/>
      <c r="MRJ102" s="952"/>
      <c r="MRK102" s="952"/>
      <c r="MRL102" s="952"/>
      <c r="MRM102" s="952"/>
      <c r="MRN102" s="952"/>
      <c r="MRO102" s="952"/>
      <c r="MRP102" s="952"/>
      <c r="MRQ102" s="952"/>
      <c r="MRR102" s="952"/>
      <c r="MRS102" s="952"/>
      <c r="MRT102" s="952"/>
      <c r="MRU102" s="952"/>
      <c r="MRV102" s="952"/>
      <c r="MRW102" s="952"/>
      <c r="MRX102" s="952"/>
      <c r="MRY102" s="952"/>
      <c r="MRZ102" s="952"/>
      <c r="MSA102" s="952"/>
      <c r="MSB102" s="952"/>
      <c r="MSC102" s="952"/>
      <c r="MSD102" s="952"/>
      <c r="MSE102" s="952"/>
      <c r="MSF102" s="952"/>
      <c r="MSG102" s="952"/>
      <c r="MSH102" s="952"/>
      <c r="MSI102" s="952"/>
      <c r="MSJ102" s="952"/>
      <c r="MSK102" s="952"/>
      <c r="MSL102" s="952"/>
      <c r="MSM102" s="952"/>
      <c r="MSN102" s="952"/>
      <c r="MSO102" s="952"/>
      <c r="MSP102" s="952"/>
      <c r="MSQ102" s="952"/>
      <c r="MSR102" s="952"/>
      <c r="MSS102" s="952"/>
      <c r="MST102" s="952"/>
      <c r="MSU102" s="952"/>
      <c r="MSV102" s="952"/>
      <c r="MSW102" s="952"/>
      <c r="MSX102" s="952"/>
      <c r="MSY102" s="952"/>
      <c r="MSZ102" s="952"/>
      <c r="MTA102" s="952"/>
      <c r="MTB102" s="952"/>
      <c r="MTC102" s="952"/>
      <c r="MTD102" s="952"/>
      <c r="MTE102" s="952"/>
      <c r="MTF102" s="952"/>
      <c r="MTG102" s="952"/>
      <c r="MTH102" s="952"/>
      <c r="MTI102" s="952"/>
      <c r="MTJ102" s="952"/>
      <c r="MTK102" s="952"/>
      <c r="MTL102" s="952"/>
      <c r="MTM102" s="952"/>
      <c r="MTN102" s="952"/>
      <c r="MTO102" s="952"/>
      <c r="MTP102" s="952"/>
      <c r="MTQ102" s="952"/>
      <c r="MTR102" s="952"/>
      <c r="MTS102" s="952"/>
      <c r="MTT102" s="952"/>
      <c r="MTU102" s="952"/>
      <c r="MTV102" s="952"/>
      <c r="MTW102" s="952"/>
      <c r="MTX102" s="952"/>
      <c r="MTY102" s="952"/>
      <c r="MTZ102" s="952"/>
      <c r="MUA102" s="952"/>
      <c r="MUB102" s="952"/>
      <c r="MUC102" s="952"/>
      <c r="MUD102" s="952"/>
      <c r="MUE102" s="952"/>
      <c r="MUF102" s="952"/>
      <c r="MUG102" s="952"/>
      <c r="MUH102" s="952"/>
      <c r="MUI102" s="952"/>
      <c r="MUJ102" s="952"/>
      <c r="MUK102" s="952"/>
      <c r="MUL102" s="952"/>
      <c r="MUM102" s="952"/>
      <c r="MUN102" s="952"/>
      <c r="MUO102" s="952"/>
      <c r="MUP102" s="952"/>
      <c r="MUQ102" s="952"/>
      <c r="MUR102" s="952"/>
      <c r="MUS102" s="952"/>
      <c r="MUT102" s="952"/>
      <c r="MUU102" s="952"/>
      <c r="MUV102" s="952"/>
      <c r="MUW102" s="952"/>
      <c r="MUX102" s="952"/>
      <c r="MUY102" s="952"/>
      <c r="MUZ102" s="952"/>
      <c r="MVA102" s="952"/>
      <c r="MVB102" s="952"/>
      <c r="MVC102" s="952"/>
      <c r="MVD102" s="952"/>
      <c r="MVE102" s="952"/>
      <c r="MVF102" s="952"/>
      <c r="MVG102" s="952"/>
      <c r="MVH102" s="952"/>
      <c r="MVI102" s="952"/>
      <c r="MVJ102" s="952"/>
      <c r="MVK102" s="952"/>
      <c r="MVL102" s="952"/>
      <c r="MVM102" s="952"/>
      <c r="MVN102" s="952"/>
      <c r="MVO102" s="952"/>
      <c r="MVP102" s="952"/>
      <c r="MVQ102" s="952"/>
      <c r="MVR102" s="952"/>
      <c r="MVS102" s="952"/>
      <c r="MVT102" s="952"/>
      <c r="MVU102" s="952"/>
      <c r="MVV102" s="952"/>
      <c r="MVW102" s="952"/>
      <c r="MVX102" s="952"/>
      <c r="MVY102" s="952"/>
      <c r="MVZ102" s="952"/>
      <c r="MWA102" s="952"/>
      <c r="MWB102" s="952"/>
      <c r="MWC102" s="952"/>
      <c r="MWD102" s="952"/>
      <c r="MWE102" s="952"/>
      <c r="MWF102" s="952"/>
      <c r="MWG102" s="952"/>
      <c r="MWH102" s="952"/>
      <c r="MWI102" s="952"/>
      <c r="MWJ102" s="952"/>
      <c r="MWK102" s="952"/>
      <c r="MWL102" s="952"/>
      <c r="MWM102" s="952"/>
      <c r="MWN102" s="952"/>
      <c r="MWO102" s="952"/>
      <c r="MWP102" s="952"/>
      <c r="MWQ102" s="952"/>
      <c r="MWR102" s="952"/>
      <c r="MWS102" s="952"/>
      <c r="MWT102" s="952"/>
      <c r="MWU102" s="952"/>
      <c r="MWV102" s="952"/>
      <c r="MWW102" s="952"/>
      <c r="MWX102" s="952"/>
      <c r="MWY102" s="952"/>
      <c r="MWZ102" s="952"/>
      <c r="MXA102" s="952"/>
      <c r="MXB102" s="952"/>
      <c r="MXC102" s="952"/>
      <c r="MXD102" s="952"/>
      <c r="MXE102" s="952"/>
      <c r="MXF102" s="952"/>
      <c r="MXG102" s="952"/>
      <c r="MXH102" s="952"/>
      <c r="MXI102" s="952"/>
      <c r="MXJ102" s="952"/>
      <c r="MXK102" s="952"/>
      <c r="MXL102" s="952"/>
      <c r="MXM102" s="952"/>
      <c r="MXN102" s="952"/>
      <c r="MXO102" s="952"/>
      <c r="MXP102" s="952"/>
      <c r="MXQ102" s="952"/>
      <c r="MXR102" s="952"/>
      <c r="MXS102" s="952"/>
      <c r="MXT102" s="952"/>
      <c r="MXU102" s="952"/>
      <c r="MXV102" s="952"/>
      <c r="MXW102" s="952"/>
      <c r="MXX102" s="952"/>
      <c r="MXY102" s="952"/>
      <c r="MXZ102" s="952"/>
      <c r="MYA102" s="952"/>
      <c r="MYB102" s="952"/>
      <c r="MYC102" s="952"/>
      <c r="MYD102" s="952"/>
      <c r="MYE102" s="952"/>
      <c r="MYF102" s="952"/>
      <c r="MYG102" s="952"/>
      <c r="MYH102" s="952"/>
      <c r="MYI102" s="952"/>
      <c r="MYJ102" s="952"/>
      <c r="MYK102" s="952"/>
      <c r="MYL102" s="952"/>
      <c r="MYM102" s="952"/>
      <c r="MYN102" s="952"/>
      <c r="MYO102" s="952"/>
      <c r="MYP102" s="952"/>
      <c r="MYQ102" s="952"/>
      <c r="MYR102" s="952"/>
      <c r="MYS102" s="952"/>
      <c r="MYT102" s="952"/>
      <c r="MYU102" s="952"/>
      <c r="MYV102" s="952"/>
      <c r="MYW102" s="952"/>
      <c r="MYX102" s="952"/>
      <c r="MYY102" s="952"/>
      <c r="MYZ102" s="952"/>
      <c r="MZA102" s="952"/>
      <c r="MZB102" s="952"/>
      <c r="MZC102" s="952"/>
      <c r="MZD102" s="952"/>
      <c r="MZE102" s="952"/>
      <c r="MZF102" s="952"/>
      <c r="MZG102" s="952"/>
      <c r="MZH102" s="952"/>
      <c r="MZI102" s="952"/>
      <c r="MZJ102" s="952"/>
      <c r="MZK102" s="952"/>
      <c r="MZL102" s="952"/>
      <c r="MZM102" s="952"/>
      <c r="MZN102" s="952"/>
      <c r="MZO102" s="952"/>
      <c r="MZP102" s="952"/>
      <c r="MZQ102" s="952"/>
      <c r="MZR102" s="952"/>
      <c r="MZS102" s="952"/>
      <c r="MZT102" s="952"/>
      <c r="MZU102" s="952"/>
      <c r="MZV102" s="952"/>
      <c r="MZW102" s="952"/>
      <c r="MZX102" s="952"/>
      <c r="MZY102" s="952"/>
      <c r="MZZ102" s="952"/>
      <c r="NAA102" s="952"/>
      <c r="NAB102" s="952"/>
      <c r="NAC102" s="952"/>
      <c r="NAD102" s="952"/>
      <c r="NAE102" s="952"/>
      <c r="NAF102" s="952"/>
      <c r="NAG102" s="952"/>
      <c r="NAH102" s="952"/>
      <c r="NAI102" s="952"/>
      <c r="NAJ102" s="952"/>
      <c r="NAK102" s="952"/>
      <c r="NAL102" s="952"/>
      <c r="NAM102" s="952"/>
      <c r="NAN102" s="952"/>
      <c r="NAO102" s="952"/>
      <c r="NAP102" s="952"/>
      <c r="NAQ102" s="952"/>
      <c r="NAR102" s="952"/>
      <c r="NAS102" s="952"/>
      <c r="NAT102" s="952"/>
      <c r="NAU102" s="952"/>
      <c r="NAV102" s="952"/>
      <c r="NAW102" s="952"/>
      <c r="NAX102" s="952"/>
      <c r="NAY102" s="952"/>
      <c r="NAZ102" s="952"/>
      <c r="NBA102" s="952"/>
      <c r="NBB102" s="952"/>
      <c r="NBC102" s="952"/>
      <c r="NBD102" s="952"/>
      <c r="NBE102" s="952"/>
      <c r="NBF102" s="952"/>
      <c r="NBG102" s="952"/>
      <c r="NBH102" s="952"/>
      <c r="NBI102" s="952"/>
      <c r="NBJ102" s="952"/>
      <c r="NBK102" s="952"/>
      <c r="NBL102" s="952"/>
      <c r="NBM102" s="952"/>
      <c r="NBN102" s="952"/>
      <c r="NBO102" s="952"/>
      <c r="NBP102" s="952"/>
      <c r="NBQ102" s="952"/>
      <c r="NBR102" s="952"/>
      <c r="NBS102" s="952"/>
      <c r="NBT102" s="952"/>
      <c r="NBU102" s="952"/>
      <c r="NBV102" s="952"/>
      <c r="NBW102" s="952"/>
      <c r="NBX102" s="952"/>
      <c r="NBY102" s="952"/>
      <c r="NBZ102" s="952"/>
      <c r="NCA102" s="952"/>
      <c r="NCB102" s="952"/>
      <c r="NCC102" s="952"/>
      <c r="NCD102" s="952"/>
      <c r="NCE102" s="952"/>
      <c r="NCF102" s="952"/>
      <c r="NCG102" s="952"/>
      <c r="NCH102" s="952"/>
      <c r="NCI102" s="952"/>
      <c r="NCJ102" s="952"/>
      <c r="NCK102" s="952"/>
      <c r="NCL102" s="952"/>
      <c r="NCM102" s="952"/>
      <c r="NCN102" s="952"/>
      <c r="NCO102" s="952"/>
      <c r="NCP102" s="952"/>
      <c r="NCQ102" s="952"/>
      <c r="NCR102" s="952"/>
      <c r="NCS102" s="952"/>
      <c r="NCT102" s="952"/>
      <c r="NCU102" s="952"/>
      <c r="NCV102" s="952"/>
      <c r="NCW102" s="952"/>
      <c r="NCX102" s="952"/>
      <c r="NCY102" s="952"/>
      <c r="NCZ102" s="952"/>
      <c r="NDA102" s="952"/>
      <c r="NDB102" s="952"/>
      <c r="NDC102" s="952"/>
      <c r="NDD102" s="952"/>
      <c r="NDE102" s="952"/>
      <c r="NDF102" s="952"/>
      <c r="NDG102" s="952"/>
      <c r="NDH102" s="952"/>
      <c r="NDI102" s="952"/>
      <c r="NDJ102" s="952"/>
      <c r="NDK102" s="952"/>
      <c r="NDL102" s="952"/>
      <c r="NDM102" s="952"/>
      <c r="NDN102" s="952"/>
      <c r="NDO102" s="952"/>
      <c r="NDP102" s="952"/>
      <c r="NDQ102" s="952"/>
      <c r="NDR102" s="952"/>
      <c r="NDS102" s="952"/>
      <c r="NDT102" s="952"/>
      <c r="NDU102" s="952"/>
      <c r="NDV102" s="952"/>
      <c r="NDW102" s="952"/>
      <c r="NDX102" s="952"/>
      <c r="NDY102" s="952"/>
      <c r="NDZ102" s="952"/>
      <c r="NEA102" s="952"/>
      <c r="NEB102" s="952"/>
      <c r="NEC102" s="952"/>
      <c r="NED102" s="952"/>
      <c r="NEE102" s="952"/>
      <c r="NEF102" s="952"/>
      <c r="NEG102" s="952"/>
      <c r="NEH102" s="952"/>
      <c r="NEI102" s="952"/>
      <c r="NEJ102" s="952"/>
      <c r="NEK102" s="952"/>
      <c r="NEL102" s="952"/>
      <c r="NEM102" s="952"/>
      <c r="NEN102" s="952"/>
      <c r="NEO102" s="952"/>
      <c r="NEP102" s="952"/>
      <c r="NEQ102" s="952"/>
      <c r="NER102" s="952"/>
      <c r="NES102" s="952"/>
      <c r="NET102" s="952"/>
      <c r="NEU102" s="952"/>
      <c r="NEV102" s="952"/>
      <c r="NEW102" s="952"/>
      <c r="NEX102" s="952"/>
      <c r="NEY102" s="952"/>
      <c r="NEZ102" s="952"/>
      <c r="NFA102" s="952"/>
      <c r="NFB102" s="952"/>
      <c r="NFC102" s="952"/>
      <c r="NFD102" s="952"/>
      <c r="NFE102" s="952"/>
      <c r="NFF102" s="952"/>
      <c r="NFG102" s="952"/>
      <c r="NFH102" s="952"/>
      <c r="NFI102" s="952"/>
      <c r="NFJ102" s="952"/>
      <c r="NFK102" s="952"/>
      <c r="NFL102" s="952"/>
      <c r="NFM102" s="952"/>
      <c r="NFN102" s="952"/>
      <c r="NFO102" s="952"/>
      <c r="NFP102" s="952"/>
      <c r="NFQ102" s="952"/>
      <c r="NFR102" s="952"/>
      <c r="NFS102" s="952"/>
      <c r="NFT102" s="952"/>
      <c r="NFU102" s="952"/>
      <c r="NFV102" s="952"/>
      <c r="NFW102" s="952"/>
      <c r="NFX102" s="952"/>
      <c r="NFY102" s="952"/>
      <c r="NFZ102" s="952"/>
      <c r="NGA102" s="952"/>
      <c r="NGB102" s="952"/>
      <c r="NGC102" s="952"/>
      <c r="NGD102" s="952"/>
      <c r="NGE102" s="952"/>
      <c r="NGF102" s="952"/>
      <c r="NGG102" s="952"/>
      <c r="NGH102" s="952"/>
      <c r="NGI102" s="952"/>
      <c r="NGJ102" s="952"/>
      <c r="NGK102" s="952"/>
      <c r="NGL102" s="952"/>
      <c r="NGM102" s="952"/>
      <c r="NGN102" s="952"/>
      <c r="NGO102" s="952"/>
      <c r="NGP102" s="952"/>
      <c r="NGQ102" s="952"/>
      <c r="NGR102" s="952"/>
      <c r="NGS102" s="952"/>
      <c r="NGT102" s="952"/>
      <c r="NGU102" s="952"/>
      <c r="NGV102" s="952"/>
      <c r="NGW102" s="952"/>
      <c r="NGX102" s="952"/>
      <c r="NGY102" s="952"/>
      <c r="NGZ102" s="952"/>
      <c r="NHA102" s="952"/>
      <c r="NHB102" s="952"/>
      <c r="NHC102" s="952"/>
      <c r="NHD102" s="952"/>
      <c r="NHE102" s="952"/>
      <c r="NHF102" s="952"/>
      <c r="NHG102" s="952"/>
      <c r="NHH102" s="952"/>
      <c r="NHI102" s="952"/>
      <c r="NHJ102" s="952"/>
      <c r="NHK102" s="952"/>
      <c r="NHL102" s="952"/>
      <c r="NHM102" s="952"/>
      <c r="NHN102" s="952"/>
      <c r="NHO102" s="952"/>
      <c r="NHP102" s="952"/>
      <c r="NHQ102" s="952"/>
      <c r="NHR102" s="952"/>
      <c r="NHS102" s="952"/>
      <c r="NHT102" s="952"/>
      <c r="NHU102" s="952"/>
      <c r="NHV102" s="952"/>
      <c r="NHW102" s="952"/>
      <c r="NHX102" s="952"/>
      <c r="NHY102" s="952"/>
      <c r="NHZ102" s="952"/>
      <c r="NIA102" s="952"/>
      <c r="NIB102" s="952"/>
      <c r="NIC102" s="952"/>
      <c r="NID102" s="952"/>
      <c r="NIE102" s="952"/>
      <c r="NIF102" s="952"/>
      <c r="NIG102" s="952"/>
      <c r="NIH102" s="952"/>
      <c r="NII102" s="952"/>
      <c r="NIJ102" s="952"/>
      <c r="NIK102" s="952"/>
      <c r="NIL102" s="952"/>
      <c r="NIM102" s="952"/>
      <c r="NIN102" s="952"/>
      <c r="NIO102" s="952"/>
      <c r="NIP102" s="952"/>
      <c r="NIQ102" s="952"/>
      <c r="NIR102" s="952"/>
      <c r="NIS102" s="952"/>
      <c r="NIT102" s="952"/>
      <c r="NIU102" s="952"/>
      <c r="NIV102" s="952"/>
      <c r="NIW102" s="952"/>
      <c r="NIX102" s="952"/>
      <c r="NIY102" s="952"/>
      <c r="NIZ102" s="952"/>
      <c r="NJA102" s="952"/>
      <c r="NJB102" s="952"/>
      <c r="NJC102" s="952"/>
      <c r="NJD102" s="952"/>
      <c r="NJE102" s="952"/>
      <c r="NJF102" s="952"/>
      <c r="NJG102" s="952"/>
      <c r="NJH102" s="952"/>
      <c r="NJI102" s="952"/>
      <c r="NJJ102" s="952"/>
      <c r="NJK102" s="952"/>
      <c r="NJL102" s="952"/>
      <c r="NJM102" s="952"/>
      <c r="NJN102" s="952"/>
      <c r="NJO102" s="952"/>
      <c r="NJP102" s="952"/>
      <c r="NJQ102" s="952"/>
      <c r="NJR102" s="952"/>
      <c r="NJS102" s="952"/>
      <c r="NJT102" s="952"/>
      <c r="NJU102" s="952"/>
      <c r="NJV102" s="952"/>
      <c r="NJW102" s="952"/>
      <c r="NJX102" s="952"/>
      <c r="NJY102" s="952"/>
      <c r="NJZ102" s="952"/>
      <c r="NKA102" s="952"/>
      <c r="NKB102" s="952"/>
      <c r="NKC102" s="952"/>
      <c r="NKD102" s="952"/>
      <c r="NKE102" s="952"/>
      <c r="NKF102" s="952"/>
      <c r="NKG102" s="952"/>
      <c r="NKH102" s="952"/>
      <c r="NKI102" s="952"/>
      <c r="NKJ102" s="952"/>
      <c r="NKK102" s="952"/>
      <c r="NKL102" s="952"/>
      <c r="NKM102" s="952"/>
      <c r="NKN102" s="952"/>
      <c r="NKO102" s="952"/>
      <c r="NKP102" s="952"/>
      <c r="NKQ102" s="952"/>
      <c r="NKR102" s="952"/>
      <c r="NKS102" s="952"/>
      <c r="NKT102" s="952"/>
      <c r="NKU102" s="952"/>
      <c r="NKV102" s="952"/>
      <c r="NKW102" s="952"/>
      <c r="NKX102" s="952"/>
      <c r="NKY102" s="952"/>
      <c r="NKZ102" s="952"/>
      <c r="NLA102" s="952"/>
      <c r="NLB102" s="952"/>
      <c r="NLC102" s="952"/>
      <c r="NLD102" s="952"/>
      <c r="NLE102" s="952"/>
      <c r="NLF102" s="952"/>
      <c r="NLG102" s="952"/>
      <c r="NLH102" s="952"/>
      <c r="NLI102" s="952"/>
      <c r="NLJ102" s="952"/>
      <c r="NLK102" s="952"/>
      <c r="NLL102" s="952"/>
      <c r="NLM102" s="952"/>
      <c r="NLN102" s="952"/>
      <c r="NLO102" s="952"/>
      <c r="NLP102" s="952"/>
      <c r="NLQ102" s="952"/>
      <c r="NLR102" s="952"/>
      <c r="NLS102" s="952"/>
      <c r="NLT102" s="952"/>
      <c r="NLU102" s="952"/>
      <c r="NLV102" s="952"/>
      <c r="NLW102" s="952"/>
      <c r="NLX102" s="952"/>
      <c r="NLY102" s="952"/>
      <c r="NLZ102" s="952"/>
      <c r="NMA102" s="952"/>
      <c r="NMB102" s="952"/>
      <c r="NMC102" s="952"/>
      <c r="NMD102" s="952"/>
      <c r="NME102" s="952"/>
      <c r="NMF102" s="952"/>
      <c r="NMG102" s="952"/>
      <c r="NMH102" s="952"/>
      <c r="NMI102" s="952"/>
      <c r="NMJ102" s="952"/>
      <c r="NMK102" s="952"/>
      <c r="NML102" s="952"/>
      <c r="NMM102" s="952"/>
      <c r="NMN102" s="952"/>
      <c r="NMO102" s="952"/>
      <c r="NMP102" s="952"/>
      <c r="NMQ102" s="952"/>
      <c r="NMR102" s="952"/>
      <c r="NMS102" s="952"/>
      <c r="NMT102" s="952"/>
      <c r="NMU102" s="952"/>
      <c r="NMV102" s="952"/>
      <c r="NMW102" s="952"/>
      <c r="NMX102" s="952"/>
      <c r="NMY102" s="952"/>
      <c r="NMZ102" s="952"/>
      <c r="NNA102" s="952"/>
      <c r="NNB102" s="952"/>
      <c r="NNC102" s="952"/>
      <c r="NND102" s="952"/>
      <c r="NNE102" s="952"/>
      <c r="NNF102" s="952"/>
      <c r="NNG102" s="952"/>
      <c r="NNH102" s="952"/>
      <c r="NNI102" s="952"/>
      <c r="NNJ102" s="952"/>
      <c r="NNK102" s="952"/>
      <c r="NNL102" s="952"/>
      <c r="NNM102" s="952"/>
      <c r="NNN102" s="952"/>
      <c r="NNO102" s="952"/>
      <c r="NNP102" s="952"/>
      <c r="NNQ102" s="952"/>
      <c r="NNR102" s="952"/>
      <c r="NNS102" s="952"/>
      <c r="NNT102" s="952"/>
      <c r="NNU102" s="952"/>
      <c r="NNV102" s="952"/>
      <c r="NNW102" s="952"/>
      <c r="NNX102" s="952"/>
      <c r="NNY102" s="952"/>
      <c r="NNZ102" s="952"/>
      <c r="NOA102" s="952"/>
      <c r="NOB102" s="952"/>
      <c r="NOC102" s="952"/>
      <c r="NOD102" s="952"/>
      <c r="NOE102" s="952"/>
      <c r="NOF102" s="952"/>
      <c r="NOG102" s="952"/>
      <c r="NOH102" s="952"/>
      <c r="NOI102" s="952"/>
      <c r="NOJ102" s="952"/>
      <c r="NOK102" s="952"/>
      <c r="NOL102" s="952"/>
      <c r="NOM102" s="952"/>
      <c r="NON102" s="952"/>
      <c r="NOO102" s="952"/>
      <c r="NOP102" s="952"/>
      <c r="NOQ102" s="952"/>
      <c r="NOR102" s="952"/>
      <c r="NOS102" s="952"/>
      <c r="NOT102" s="952"/>
      <c r="NOU102" s="952"/>
      <c r="NOV102" s="952"/>
      <c r="NOW102" s="952"/>
      <c r="NOX102" s="952"/>
      <c r="NOY102" s="952"/>
      <c r="NOZ102" s="952"/>
      <c r="NPA102" s="952"/>
      <c r="NPB102" s="952"/>
      <c r="NPC102" s="952"/>
      <c r="NPD102" s="952"/>
      <c r="NPE102" s="952"/>
      <c r="NPF102" s="952"/>
      <c r="NPG102" s="952"/>
      <c r="NPH102" s="952"/>
      <c r="NPI102" s="952"/>
      <c r="NPJ102" s="952"/>
      <c r="NPK102" s="952"/>
      <c r="NPL102" s="952"/>
      <c r="NPM102" s="952"/>
      <c r="NPN102" s="952"/>
      <c r="NPO102" s="952"/>
      <c r="NPP102" s="952"/>
      <c r="NPQ102" s="952"/>
      <c r="NPR102" s="952"/>
      <c r="NPS102" s="952"/>
      <c r="NPT102" s="952"/>
      <c r="NPU102" s="952"/>
      <c r="NPV102" s="952"/>
      <c r="NPW102" s="952"/>
      <c r="NPX102" s="952"/>
      <c r="NPY102" s="952"/>
      <c r="NPZ102" s="952"/>
      <c r="NQA102" s="952"/>
      <c r="NQB102" s="952"/>
      <c r="NQC102" s="952"/>
      <c r="NQD102" s="952"/>
      <c r="NQE102" s="952"/>
      <c r="NQF102" s="952"/>
      <c r="NQG102" s="952"/>
      <c r="NQH102" s="952"/>
      <c r="NQI102" s="952"/>
      <c r="NQJ102" s="952"/>
      <c r="NQK102" s="952"/>
      <c r="NQL102" s="952"/>
      <c r="NQM102" s="952"/>
      <c r="NQN102" s="952"/>
      <c r="NQO102" s="952"/>
      <c r="NQP102" s="952"/>
      <c r="NQQ102" s="952"/>
      <c r="NQR102" s="952"/>
      <c r="NQS102" s="952"/>
      <c r="NQT102" s="952"/>
      <c r="NQU102" s="952"/>
      <c r="NQV102" s="952"/>
      <c r="NQW102" s="952"/>
      <c r="NQX102" s="952"/>
      <c r="NQY102" s="952"/>
      <c r="NQZ102" s="952"/>
      <c r="NRA102" s="952"/>
      <c r="NRB102" s="952"/>
      <c r="NRC102" s="952"/>
      <c r="NRD102" s="952"/>
      <c r="NRE102" s="952"/>
      <c r="NRF102" s="952"/>
      <c r="NRG102" s="952"/>
      <c r="NRH102" s="952"/>
      <c r="NRI102" s="952"/>
      <c r="NRJ102" s="952"/>
      <c r="NRK102" s="952"/>
      <c r="NRL102" s="952"/>
      <c r="NRM102" s="952"/>
      <c r="NRN102" s="952"/>
      <c r="NRO102" s="952"/>
      <c r="NRP102" s="952"/>
      <c r="NRQ102" s="952"/>
      <c r="NRR102" s="952"/>
      <c r="NRS102" s="952"/>
      <c r="NRT102" s="952"/>
      <c r="NRU102" s="952"/>
      <c r="NRV102" s="952"/>
      <c r="NRW102" s="952"/>
      <c r="NRX102" s="952"/>
      <c r="NRY102" s="952"/>
      <c r="NRZ102" s="952"/>
      <c r="NSA102" s="952"/>
      <c r="NSB102" s="952"/>
      <c r="NSC102" s="952"/>
      <c r="NSD102" s="952"/>
      <c r="NSE102" s="952"/>
      <c r="NSF102" s="952"/>
      <c r="NSG102" s="952"/>
      <c r="NSH102" s="952"/>
      <c r="NSI102" s="952"/>
      <c r="NSJ102" s="952"/>
      <c r="NSK102" s="952"/>
      <c r="NSL102" s="952"/>
      <c r="NSM102" s="952"/>
      <c r="NSN102" s="952"/>
      <c r="NSO102" s="952"/>
      <c r="NSP102" s="952"/>
      <c r="NSQ102" s="952"/>
      <c r="NSR102" s="952"/>
      <c r="NSS102" s="952"/>
      <c r="NST102" s="952"/>
      <c r="NSU102" s="952"/>
      <c r="NSV102" s="952"/>
      <c r="NSW102" s="952"/>
      <c r="NSX102" s="952"/>
      <c r="NSY102" s="952"/>
      <c r="NSZ102" s="952"/>
      <c r="NTA102" s="952"/>
      <c r="NTB102" s="952"/>
      <c r="NTC102" s="952"/>
      <c r="NTD102" s="952"/>
      <c r="NTE102" s="952"/>
      <c r="NTF102" s="952"/>
      <c r="NTG102" s="952"/>
      <c r="NTH102" s="952"/>
      <c r="NTI102" s="952"/>
      <c r="NTJ102" s="952"/>
      <c r="NTK102" s="952"/>
      <c r="NTL102" s="952"/>
      <c r="NTM102" s="952"/>
      <c r="NTN102" s="952"/>
      <c r="NTO102" s="952"/>
      <c r="NTP102" s="952"/>
      <c r="NTQ102" s="952"/>
      <c r="NTR102" s="952"/>
      <c r="NTS102" s="952"/>
      <c r="NTT102" s="952"/>
      <c r="NTU102" s="952"/>
      <c r="NTV102" s="952"/>
      <c r="NTW102" s="952"/>
      <c r="NTX102" s="952"/>
      <c r="NTY102" s="952"/>
      <c r="NTZ102" s="952"/>
      <c r="NUA102" s="952"/>
      <c r="NUB102" s="952"/>
      <c r="NUC102" s="952"/>
      <c r="NUD102" s="952"/>
      <c r="NUE102" s="952"/>
      <c r="NUF102" s="952"/>
      <c r="NUG102" s="952"/>
      <c r="NUH102" s="952"/>
      <c r="NUI102" s="952"/>
      <c r="NUJ102" s="952"/>
      <c r="NUK102" s="952"/>
      <c r="NUL102" s="952"/>
      <c r="NUM102" s="952"/>
      <c r="NUN102" s="952"/>
      <c r="NUO102" s="952"/>
      <c r="NUP102" s="952"/>
      <c r="NUQ102" s="952"/>
      <c r="NUR102" s="952"/>
      <c r="NUS102" s="952"/>
      <c r="NUT102" s="952"/>
      <c r="NUU102" s="952"/>
      <c r="NUV102" s="952"/>
      <c r="NUW102" s="952"/>
      <c r="NUX102" s="952"/>
      <c r="NUY102" s="952"/>
      <c r="NUZ102" s="952"/>
      <c r="NVA102" s="952"/>
      <c r="NVB102" s="952"/>
      <c r="NVC102" s="952"/>
      <c r="NVD102" s="952"/>
      <c r="NVE102" s="952"/>
      <c r="NVF102" s="952"/>
      <c r="NVG102" s="952"/>
      <c r="NVH102" s="952"/>
      <c r="NVI102" s="952"/>
      <c r="NVJ102" s="952"/>
      <c r="NVK102" s="952"/>
      <c r="NVL102" s="952"/>
      <c r="NVM102" s="952"/>
      <c r="NVN102" s="952"/>
      <c r="NVO102" s="952"/>
      <c r="NVP102" s="952"/>
      <c r="NVQ102" s="952"/>
      <c r="NVR102" s="952"/>
      <c r="NVS102" s="952"/>
      <c r="NVT102" s="952"/>
      <c r="NVU102" s="952"/>
      <c r="NVV102" s="952"/>
      <c r="NVW102" s="952"/>
      <c r="NVX102" s="952"/>
      <c r="NVY102" s="952"/>
      <c r="NVZ102" s="952"/>
      <c r="NWA102" s="952"/>
      <c r="NWB102" s="952"/>
      <c r="NWC102" s="952"/>
      <c r="NWD102" s="952"/>
      <c r="NWE102" s="952"/>
      <c r="NWF102" s="952"/>
      <c r="NWG102" s="952"/>
      <c r="NWH102" s="952"/>
      <c r="NWI102" s="952"/>
      <c r="NWJ102" s="952"/>
      <c r="NWK102" s="952"/>
      <c r="NWL102" s="952"/>
      <c r="NWM102" s="952"/>
      <c r="NWN102" s="952"/>
      <c r="NWO102" s="952"/>
      <c r="NWP102" s="952"/>
      <c r="NWQ102" s="952"/>
      <c r="NWR102" s="952"/>
      <c r="NWS102" s="952"/>
      <c r="NWT102" s="952"/>
      <c r="NWU102" s="952"/>
      <c r="NWV102" s="952"/>
      <c r="NWW102" s="952"/>
      <c r="NWX102" s="952"/>
      <c r="NWY102" s="952"/>
      <c r="NWZ102" s="952"/>
      <c r="NXA102" s="952"/>
      <c r="NXB102" s="952"/>
      <c r="NXC102" s="952"/>
      <c r="NXD102" s="952"/>
      <c r="NXE102" s="952"/>
      <c r="NXF102" s="952"/>
      <c r="NXG102" s="952"/>
      <c r="NXH102" s="952"/>
      <c r="NXI102" s="952"/>
      <c r="NXJ102" s="952"/>
      <c r="NXK102" s="952"/>
      <c r="NXL102" s="952"/>
      <c r="NXM102" s="952"/>
      <c r="NXN102" s="952"/>
      <c r="NXO102" s="952"/>
      <c r="NXP102" s="952"/>
      <c r="NXQ102" s="952"/>
      <c r="NXR102" s="952"/>
      <c r="NXS102" s="952"/>
      <c r="NXT102" s="952"/>
      <c r="NXU102" s="952"/>
      <c r="NXV102" s="952"/>
      <c r="NXW102" s="952"/>
      <c r="NXX102" s="952"/>
      <c r="NXY102" s="952"/>
      <c r="NXZ102" s="952"/>
      <c r="NYA102" s="952"/>
      <c r="NYB102" s="952"/>
      <c r="NYC102" s="952"/>
      <c r="NYD102" s="952"/>
      <c r="NYE102" s="952"/>
      <c r="NYF102" s="952"/>
      <c r="NYG102" s="952"/>
      <c r="NYH102" s="952"/>
      <c r="NYI102" s="952"/>
      <c r="NYJ102" s="952"/>
      <c r="NYK102" s="952"/>
      <c r="NYL102" s="952"/>
      <c r="NYM102" s="952"/>
      <c r="NYN102" s="952"/>
      <c r="NYO102" s="952"/>
      <c r="NYP102" s="952"/>
      <c r="NYQ102" s="952"/>
      <c r="NYR102" s="952"/>
      <c r="NYS102" s="952"/>
      <c r="NYT102" s="952"/>
      <c r="NYU102" s="952"/>
      <c r="NYV102" s="952"/>
      <c r="NYW102" s="952"/>
      <c r="NYX102" s="952"/>
      <c r="NYY102" s="952"/>
      <c r="NYZ102" s="952"/>
      <c r="NZA102" s="952"/>
      <c r="NZB102" s="952"/>
      <c r="NZC102" s="952"/>
      <c r="NZD102" s="952"/>
      <c r="NZE102" s="952"/>
      <c r="NZF102" s="952"/>
      <c r="NZG102" s="952"/>
      <c r="NZH102" s="952"/>
      <c r="NZI102" s="952"/>
      <c r="NZJ102" s="952"/>
      <c r="NZK102" s="952"/>
      <c r="NZL102" s="952"/>
      <c r="NZM102" s="952"/>
      <c r="NZN102" s="952"/>
      <c r="NZO102" s="952"/>
      <c r="NZP102" s="952"/>
      <c r="NZQ102" s="952"/>
      <c r="NZR102" s="952"/>
      <c r="NZS102" s="952"/>
      <c r="NZT102" s="952"/>
      <c r="NZU102" s="952"/>
      <c r="NZV102" s="952"/>
      <c r="NZW102" s="952"/>
      <c r="NZX102" s="952"/>
      <c r="NZY102" s="952"/>
      <c r="NZZ102" s="952"/>
      <c r="OAA102" s="952"/>
      <c r="OAB102" s="952"/>
      <c r="OAC102" s="952"/>
      <c r="OAD102" s="952"/>
      <c r="OAE102" s="952"/>
      <c r="OAF102" s="952"/>
      <c r="OAG102" s="952"/>
      <c r="OAH102" s="952"/>
      <c r="OAI102" s="952"/>
      <c r="OAJ102" s="952"/>
      <c r="OAK102" s="952"/>
      <c r="OAL102" s="952"/>
      <c r="OAM102" s="952"/>
      <c r="OAN102" s="952"/>
      <c r="OAO102" s="952"/>
      <c r="OAP102" s="952"/>
      <c r="OAQ102" s="952"/>
      <c r="OAR102" s="952"/>
      <c r="OAS102" s="952"/>
      <c r="OAT102" s="952"/>
      <c r="OAU102" s="952"/>
      <c r="OAV102" s="952"/>
      <c r="OAW102" s="952"/>
      <c r="OAX102" s="952"/>
      <c r="OAY102" s="952"/>
      <c r="OAZ102" s="952"/>
      <c r="OBA102" s="952"/>
      <c r="OBB102" s="952"/>
      <c r="OBC102" s="952"/>
      <c r="OBD102" s="952"/>
      <c r="OBE102" s="952"/>
      <c r="OBF102" s="952"/>
      <c r="OBG102" s="952"/>
      <c r="OBH102" s="952"/>
      <c r="OBI102" s="952"/>
      <c r="OBJ102" s="952"/>
      <c r="OBK102" s="952"/>
      <c r="OBL102" s="952"/>
      <c r="OBM102" s="952"/>
      <c r="OBN102" s="952"/>
      <c r="OBO102" s="952"/>
      <c r="OBP102" s="952"/>
      <c r="OBQ102" s="952"/>
      <c r="OBR102" s="952"/>
      <c r="OBS102" s="952"/>
      <c r="OBT102" s="952"/>
      <c r="OBU102" s="952"/>
      <c r="OBV102" s="952"/>
      <c r="OBW102" s="952"/>
      <c r="OBX102" s="952"/>
      <c r="OBY102" s="952"/>
      <c r="OBZ102" s="952"/>
      <c r="OCA102" s="952"/>
      <c r="OCB102" s="952"/>
      <c r="OCC102" s="952"/>
      <c r="OCD102" s="952"/>
      <c r="OCE102" s="952"/>
      <c r="OCF102" s="952"/>
      <c r="OCG102" s="952"/>
      <c r="OCH102" s="952"/>
      <c r="OCI102" s="952"/>
      <c r="OCJ102" s="952"/>
      <c r="OCK102" s="952"/>
      <c r="OCL102" s="952"/>
      <c r="OCM102" s="952"/>
      <c r="OCN102" s="952"/>
      <c r="OCO102" s="952"/>
      <c r="OCP102" s="952"/>
      <c r="OCQ102" s="952"/>
      <c r="OCR102" s="952"/>
      <c r="OCS102" s="952"/>
      <c r="OCT102" s="952"/>
      <c r="OCU102" s="952"/>
      <c r="OCV102" s="952"/>
      <c r="OCW102" s="952"/>
      <c r="OCX102" s="952"/>
      <c r="OCY102" s="952"/>
      <c r="OCZ102" s="952"/>
      <c r="ODA102" s="952"/>
      <c r="ODB102" s="952"/>
      <c r="ODC102" s="952"/>
      <c r="ODD102" s="952"/>
      <c r="ODE102" s="952"/>
      <c r="ODF102" s="952"/>
      <c r="ODG102" s="952"/>
      <c r="ODH102" s="952"/>
      <c r="ODI102" s="952"/>
      <c r="ODJ102" s="952"/>
      <c r="ODK102" s="952"/>
      <c r="ODL102" s="952"/>
      <c r="ODM102" s="952"/>
      <c r="ODN102" s="952"/>
      <c r="ODO102" s="952"/>
      <c r="ODP102" s="952"/>
      <c r="ODQ102" s="952"/>
      <c r="ODR102" s="952"/>
      <c r="ODS102" s="952"/>
      <c r="ODT102" s="952"/>
      <c r="ODU102" s="952"/>
      <c r="ODV102" s="952"/>
      <c r="ODW102" s="952"/>
      <c r="ODX102" s="952"/>
      <c r="ODY102" s="952"/>
      <c r="ODZ102" s="952"/>
      <c r="OEA102" s="952"/>
      <c r="OEB102" s="952"/>
      <c r="OEC102" s="952"/>
      <c r="OED102" s="952"/>
      <c r="OEE102" s="952"/>
      <c r="OEF102" s="952"/>
      <c r="OEG102" s="952"/>
      <c r="OEH102" s="952"/>
      <c r="OEI102" s="952"/>
      <c r="OEJ102" s="952"/>
      <c r="OEK102" s="952"/>
      <c r="OEL102" s="952"/>
      <c r="OEM102" s="952"/>
      <c r="OEN102" s="952"/>
      <c r="OEO102" s="952"/>
      <c r="OEP102" s="952"/>
      <c r="OEQ102" s="952"/>
      <c r="OER102" s="952"/>
      <c r="OES102" s="952"/>
      <c r="OET102" s="952"/>
      <c r="OEU102" s="952"/>
      <c r="OEV102" s="952"/>
      <c r="OEW102" s="952"/>
      <c r="OEX102" s="952"/>
      <c r="OEY102" s="952"/>
      <c r="OEZ102" s="952"/>
      <c r="OFA102" s="952"/>
      <c r="OFB102" s="952"/>
      <c r="OFC102" s="952"/>
      <c r="OFD102" s="952"/>
      <c r="OFE102" s="952"/>
      <c r="OFF102" s="952"/>
      <c r="OFG102" s="952"/>
      <c r="OFH102" s="952"/>
      <c r="OFI102" s="952"/>
      <c r="OFJ102" s="952"/>
      <c r="OFK102" s="952"/>
      <c r="OFL102" s="952"/>
      <c r="OFM102" s="952"/>
      <c r="OFN102" s="952"/>
      <c r="OFO102" s="952"/>
      <c r="OFP102" s="952"/>
      <c r="OFQ102" s="952"/>
      <c r="OFR102" s="952"/>
      <c r="OFS102" s="952"/>
      <c r="OFT102" s="952"/>
      <c r="OFU102" s="952"/>
      <c r="OFV102" s="952"/>
      <c r="OFW102" s="952"/>
      <c r="OFX102" s="952"/>
      <c r="OFY102" s="952"/>
      <c r="OFZ102" s="952"/>
      <c r="OGA102" s="952"/>
      <c r="OGB102" s="952"/>
      <c r="OGC102" s="952"/>
      <c r="OGD102" s="952"/>
      <c r="OGE102" s="952"/>
      <c r="OGF102" s="952"/>
      <c r="OGG102" s="952"/>
      <c r="OGH102" s="952"/>
      <c r="OGI102" s="952"/>
      <c r="OGJ102" s="952"/>
      <c r="OGK102" s="952"/>
      <c r="OGL102" s="952"/>
      <c r="OGM102" s="952"/>
      <c r="OGN102" s="952"/>
      <c r="OGO102" s="952"/>
      <c r="OGP102" s="952"/>
      <c r="OGQ102" s="952"/>
      <c r="OGR102" s="952"/>
      <c r="OGS102" s="952"/>
      <c r="OGT102" s="952"/>
      <c r="OGU102" s="952"/>
      <c r="OGV102" s="952"/>
      <c r="OGW102" s="952"/>
      <c r="OGX102" s="952"/>
      <c r="OGY102" s="952"/>
      <c r="OGZ102" s="952"/>
      <c r="OHA102" s="952"/>
      <c r="OHB102" s="952"/>
      <c r="OHC102" s="952"/>
      <c r="OHD102" s="952"/>
      <c r="OHE102" s="952"/>
      <c r="OHF102" s="952"/>
      <c r="OHG102" s="952"/>
      <c r="OHH102" s="952"/>
      <c r="OHI102" s="952"/>
      <c r="OHJ102" s="952"/>
      <c r="OHK102" s="952"/>
      <c r="OHL102" s="952"/>
      <c r="OHM102" s="952"/>
      <c r="OHN102" s="952"/>
      <c r="OHO102" s="952"/>
      <c r="OHP102" s="952"/>
      <c r="OHQ102" s="952"/>
      <c r="OHR102" s="952"/>
      <c r="OHS102" s="952"/>
      <c r="OHT102" s="952"/>
      <c r="OHU102" s="952"/>
      <c r="OHV102" s="952"/>
      <c r="OHW102" s="952"/>
      <c r="OHX102" s="952"/>
      <c r="OHY102" s="952"/>
      <c r="OHZ102" s="952"/>
      <c r="OIA102" s="952"/>
      <c r="OIB102" s="952"/>
      <c r="OIC102" s="952"/>
      <c r="OID102" s="952"/>
      <c r="OIE102" s="952"/>
      <c r="OIF102" s="952"/>
      <c r="OIG102" s="952"/>
      <c r="OIH102" s="952"/>
      <c r="OII102" s="952"/>
      <c r="OIJ102" s="952"/>
      <c r="OIK102" s="952"/>
      <c r="OIL102" s="952"/>
      <c r="OIM102" s="952"/>
      <c r="OIN102" s="952"/>
      <c r="OIO102" s="952"/>
      <c r="OIP102" s="952"/>
      <c r="OIQ102" s="952"/>
      <c r="OIR102" s="952"/>
      <c r="OIS102" s="952"/>
      <c r="OIT102" s="952"/>
      <c r="OIU102" s="952"/>
      <c r="OIV102" s="952"/>
      <c r="OIW102" s="952"/>
      <c r="OIX102" s="952"/>
      <c r="OIY102" s="952"/>
      <c r="OIZ102" s="952"/>
      <c r="OJA102" s="952"/>
      <c r="OJB102" s="952"/>
      <c r="OJC102" s="952"/>
      <c r="OJD102" s="952"/>
      <c r="OJE102" s="952"/>
      <c r="OJF102" s="952"/>
      <c r="OJG102" s="952"/>
      <c r="OJH102" s="952"/>
      <c r="OJI102" s="952"/>
      <c r="OJJ102" s="952"/>
      <c r="OJK102" s="952"/>
      <c r="OJL102" s="952"/>
      <c r="OJM102" s="952"/>
      <c r="OJN102" s="952"/>
      <c r="OJO102" s="952"/>
      <c r="OJP102" s="952"/>
      <c r="OJQ102" s="952"/>
      <c r="OJR102" s="952"/>
      <c r="OJS102" s="952"/>
      <c r="OJT102" s="952"/>
      <c r="OJU102" s="952"/>
      <c r="OJV102" s="952"/>
      <c r="OJW102" s="952"/>
      <c r="OJX102" s="952"/>
      <c r="OJY102" s="952"/>
      <c r="OJZ102" s="952"/>
      <c r="OKA102" s="952"/>
      <c r="OKB102" s="952"/>
      <c r="OKC102" s="952"/>
      <c r="OKD102" s="952"/>
      <c r="OKE102" s="952"/>
      <c r="OKF102" s="952"/>
      <c r="OKG102" s="952"/>
      <c r="OKH102" s="952"/>
      <c r="OKI102" s="952"/>
      <c r="OKJ102" s="952"/>
      <c r="OKK102" s="952"/>
      <c r="OKL102" s="952"/>
      <c r="OKM102" s="952"/>
      <c r="OKN102" s="952"/>
      <c r="OKO102" s="952"/>
      <c r="OKP102" s="952"/>
      <c r="OKQ102" s="952"/>
      <c r="OKR102" s="952"/>
      <c r="OKS102" s="952"/>
      <c r="OKT102" s="952"/>
      <c r="OKU102" s="952"/>
      <c r="OKV102" s="952"/>
      <c r="OKW102" s="952"/>
      <c r="OKX102" s="952"/>
      <c r="OKY102" s="952"/>
      <c r="OKZ102" s="952"/>
      <c r="OLA102" s="952"/>
      <c r="OLB102" s="952"/>
      <c r="OLC102" s="952"/>
      <c r="OLD102" s="952"/>
      <c r="OLE102" s="952"/>
      <c r="OLF102" s="952"/>
      <c r="OLG102" s="952"/>
      <c r="OLH102" s="952"/>
      <c r="OLI102" s="952"/>
      <c r="OLJ102" s="952"/>
      <c r="OLK102" s="952"/>
      <c r="OLL102" s="952"/>
      <c r="OLM102" s="952"/>
      <c r="OLN102" s="952"/>
      <c r="OLO102" s="952"/>
      <c r="OLP102" s="952"/>
      <c r="OLQ102" s="952"/>
      <c r="OLR102" s="952"/>
      <c r="OLS102" s="952"/>
      <c r="OLT102" s="952"/>
      <c r="OLU102" s="952"/>
      <c r="OLV102" s="952"/>
      <c r="OLW102" s="952"/>
      <c r="OLX102" s="952"/>
      <c r="OLY102" s="952"/>
      <c r="OLZ102" s="952"/>
      <c r="OMA102" s="952"/>
      <c r="OMB102" s="952"/>
      <c r="OMC102" s="952"/>
      <c r="OMD102" s="952"/>
      <c r="OME102" s="952"/>
      <c r="OMF102" s="952"/>
      <c r="OMG102" s="952"/>
      <c r="OMH102" s="952"/>
      <c r="OMI102" s="952"/>
      <c r="OMJ102" s="952"/>
      <c r="OMK102" s="952"/>
      <c r="OML102" s="952"/>
      <c r="OMM102" s="952"/>
      <c r="OMN102" s="952"/>
      <c r="OMO102" s="952"/>
      <c r="OMP102" s="952"/>
      <c r="OMQ102" s="952"/>
      <c r="OMR102" s="952"/>
      <c r="OMS102" s="952"/>
      <c r="OMT102" s="952"/>
      <c r="OMU102" s="952"/>
      <c r="OMV102" s="952"/>
      <c r="OMW102" s="952"/>
      <c r="OMX102" s="952"/>
      <c r="OMY102" s="952"/>
      <c r="OMZ102" s="952"/>
      <c r="ONA102" s="952"/>
      <c r="ONB102" s="952"/>
      <c r="ONC102" s="952"/>
      <c r="OND102" s="952"/>
      <c r="ONE102" s="952"/>
      <c r="ONF102" s="952"/>
      <c r="ONG102" s="952"/>
      <c r="ONH102" s="952"/>
      <c r="ONI102" s="952"/>
      <c r="ONJ102" s="952"/>
      <c r="ONK102" s="952"/>
      <c r="ONL102" s="952"/>
      <c r="ONM102" s="952"/>
      <c r="ONN102" s="952"/>
      <c r="ONO102" s="952"/>
      <c r="ONP102" s="952"/>
      <c r="ONQ102" s="952"/>
      <c r="ONR102" s="952"/>
      <c r="ONS102" s="952"/>
      <c r="ONT102" s="952"/>
      <c r="ONU102" s="952"/>
      <c r="ONV102" s="952"/>
      <c r="ONW102" s="952"/>
      <c r="ONX102" s="952"/>
      <c r="ONY102" s="952"/>
      <c r="ONZ102" s="952"/>
      <c r="OOA102" s="952"/>
      <c r="OOB102" s="952"/>
      <c r="OOC102" s="952"/>
      <c r="OOD102" s="952"/>
      <c r="OOE102" s="952"/>
      <c r="OOF102" s="952"/>
      <c r="OOG102" s="952"/>
      <c r="OOH102" s="952"/>
      <c r="OOI102" s="952"/>
      <c r="OOJ102" s="952"/>
      <c r="OOK102" s="952"/>
      <c r="OOL102" s="952"/>
      <c r="OOM102" s="952"/>
      <c r="OON102" s="952"/>
      <c r="OOO102" s="952"/>
      <c r="OOP102" s="952"/>
      <c r="OOQ102" s="952"/>
      <c r="OOR102" s="952"/>
      <c r="OOS102" s="952"/>
      <c r="OOT102" s="952"/>
      <c r="OOU102" s="952"/>
      <c r="OOV102" s="952"/>
      <c r="OOW102" s="952"/>
      <c r="OOX102" s="952"/>
      <c r="OOY102" s="952"/>
      <c r="OOZ102" s="952"/>
      <c r="OPA102" s="952"/>
      <c r="OPB102" s="952"/>
      <c r="OPC102" s="952"/>
      <c r="OPD102" s="952"/>
      <c r="OPE102" s="952"/>
      <c r="OPF102" s="952"/>
      <c r="OPG102" s="952"/>
      <c r="OPH102" s="952"/>
      <c r="OPI102" s="952"/>
      <c r="OPJ102" s="952"/>
      <c r="OPK102" s="952"/>
      <c r="OPL102" s="952"/>
      <c r="OPM102" s="952"/>
      <c r="OPN102" s="952"/>
      <c r="OPO102" s="952"/>
      <c r="OPP102" s="952"/>
      <c r="OPQ102" s="952"/>
      <c r="OPR102" s="952"/>
      <c r="OPS102" s="952"/>
      <c r="OPT102" s="952"/>
      <c r="OPU102" s="952"/>
      <c r="OPV102" s="952"/>
      <c r="OPW102" s="952"/>
      <c r="OPX102" s="952"/>
      <c r="OPY102" s="952"/>
      <c r="OPZ102" s="952"/>
      <c r="OQA102" s="952"/>
      <c r="OQB102" s="952"/>
      <c r="OQC102" s="952"/>
      <c r="OQD102" s="952"/>
      <c r="OQE102" s="952"/>
      <c r="OQF102" s="952"/>
      <c r="OQG102" s="952"/>
      <c r="OQH102" s="952"/>
      <c r="OQI102" s="952"/>
      <c r="OQJ102" s="952"/>
      <c r="OQK102" s="952"/>
      <c r="OQL102" s="952"/>
      <c r="OQM102" s="952"/>
      <c r="OQN102" s="952"/>
      <c r="OQO102" s="952"/>
      <c r="OQP102" s="952"/>
      <c r="OQQ102" s="952"/>
      <c r="OQR102" s="952"/>
      <c r="OQS102" s="952"/>
      <c r="OQT102" s="952"/>
      <c r="OQU102" s="952"/>
      <c r="OQV102" s="952"/>
      <c r="OQW102" s="952"/>
      <c r="OQX102" s="952"/>
      <c r="OQY102" s="952"/>
      <c r="OQZ102" s="952"/>
      <c r="ORA102" s="952"/>
      <c r="ORB102" s="952"/>
      <c r="ORC102" s="952"/>
      <c r="ORD102" s="952"/>
      <c r="ORE102" s="952"/>
      <c r="ORF102" s="952"/>
      <c r="ORG102" s="952"/>
      <c r="ORH102" s="952"/>
      <c r="ORI102" s="952"/>
      <c r="ORJ102" s="952"/>
      <c r="ORK102" s="952"/>
      <c r="ORL102" s="952"/>
      <c r="ORM102" s="952"/>
      <c r="ORN102" s="952"/>
      <c r="ORO102" s="952"/>
      <c r="ORP102" s="952"/>
      <c r="ORQ102" s="952"/>
      <c r="ORR102" s="952"/>
      <c r="ORS102" s="952"/>
      <c r="ORT102" s="952"/>
      <c r="ORU102" s="952"/>
      <c r="ORV102" s="952"/>
      <c r="ORW102" s="952"/>
      <c r="ORX102" s="952"/>
      <c r="ORY102" s="952"/>
      <c r="ORZ102" s="952"/>
      <c r="OSA102" s="952"/>
      <c r="OSB102" s="952"/>
      <c r="OSC102" s="952"/>
      <c r="OSD102" s="952"/>
      <c r="OSE102" s="952"/>
      <c r="OSF102" s="952"/>
      <c r="OSG102" s="952"/>
      <c r="OSH102" s="952"/>
      <c r="OSI102" s="952"/>
      <c r="OSJ102" s="952"/>
      <c r="OSK102" s="952"/>
      <c r="OSL102" s="952"/>
      <c r="OSM102" s="952"/>
      <c r="OSN102" s="952"/>
      <c r="OSO102" s="952"/>
      <c r="OSP102" s="952"/>
      <c r="OSQ102" s="952"/>
      <c r="OSR102" s="952"/>
      <c r="OSS102" s="952"/>
      <c r="OST102" s="952"/>
      <c r="OSU102" s="952"/>
      <c r="OSV102" s="952"/>
      <c r="OSW102" s="952"/>
      <c r="OSX102" s="952"/>
      <c r="OSY102" s="952"/>
      <c r="OSZ102" s="952"/>
      <c r="OTA102" s="952"/>
      <c r="OTB102" s="952"/>
      <c r="OTC102" s="952"/>
      <c r="OTD102" s="952"/>
      <c r="OTE102" s="952"/>
      <c r="OTF102" s="952"/>
      <c r="OTG102" s="952"/>
      <c r="OTH102" s="952"/>
      <c r="OTI102" s="952"/>
      <c r="OTJ102" s="952"/>
      <c r="OTK102" s="952"/>
      <c r="OTL102" s="952"/>
      <c r="OTM102" s="952"/>
      <c r="OTN102" s="952"/>
      <c r="OTO102" s="952"/>
      <c r="OTP102" s="952"/>
      <c r="OTQ102" s="952"/>
      <c r="OTR102" s="952"/>
      <c r="OTS102" s="952"/>
      <c r="OTT102" s="952"/>
      <c r="OTU102" s="952"/>
      <c r="OTV102" s="952"/>
      <c r="OTW102" s="952"/>
      <c r="OTX102" s="952"/>
      <c r="OTY102" s="952"/>
      <c r="OTZ102" s="952"/>
      <c r="OUA102" s="952"/>
      <c r="OUB102" s="952"/>
      <c r="OUC102" s="952"/>
      <c r="OUD102" s="952"/>
      <c r="OUE102" s="952"/>
      <c r="OUF102" s="952"/>
      <c r="OUG102" s="952"/>
      <c r="OUH102" s="952"/>
      <c r="OUI102" s="952"/>
      <c r="OUJ102" s="952"/>
      <c r="OUK102" s="952"/>
      <c r="OUL102" s="952"/>
      <c r="OUM102" s="952"/>
      <c r="OUN102" s="952"/>
      <c r="OUO102" s="952"/>
      <c r="OUP102" s="952"/>
      <c r="OUQ102" s="952"/>
      <c r="OUR102" s="952"/>
      <c r="OUS102" s="952"/>
      <c r="OUT102" s="952"/>
      <c r="OUU102" s="952"/>
      <c r="OUV102" s="952"/>
      <c r="OUW102" s="952"/>
      <c r="OUX102" s="952"/>
      <c r="OUY102" s="952"/>
      <c r="OUZ102" s="952"/>
      <c r="OVA102" s="952"/>
      <c r="OVB102" s="952"/>
      <c r="OVC102" s="952"/>
      <c r="OVD102" s="952"/>
      <c r="OVE102" s="952"/>
      <c r="OVF102" s="952"/>
      <c r="OVG102" s="952"/>
      <c r="OVH102" s="952"/>
      <c r="OVI102" s="952"/>
      <c r="OVJ102" s="952"/>
      <c r="OVK102" s="952"/>
      <c r="OVL102" s="952"/>
      <c r="OVM102" s="952"/>
      <c r="OVN102" s="952"/>
      <c r="OVO102" s="952"/>
      <c r="OVP102" s="952"/>
      <c r="OVQ102" s="952"/>
      <c r="OVR102" s="952"/>
      <c r="OVS102" s="952"/>
      <c r="OVT102" s="952"/>
      <c r="OVU102" s="952"/>
      <c r="OVV102" s="952"/>
      <c r="OVW102" s="952"/>
      <c r="OVX102" s="952"/>
      <c r="OVY102" s="952"/>
      <c r="OVZ102" s="952"/>
      <c r="OWA102" s="952"/>
      <c r="OWB102" s="952"/>
      <c r="OWC102" s="952"/>
      <c r="OWD102" s="952"/>
      <c r="OWE102" s="952"/>
      <c r="OWF102" s="952"/>
      <c r="OWG102" s="952"/>
      <c r="OWH102" s="952"/>
      <c r="OWI102" s="952"/>
      <c r="OWJ102" s="952"/>
      <c r="OWK102" s="952"/>
      <c r="OWL102" s="952"/>
      <c r="OWM102" s="952"/>
      <c r="OWN102" s="952"/>
      <c r="OWO102" s="952"/>
      <c r="OWP102" s="952"/>
      <c r="OWQ102" s="952"/>
      <c r="OWR102" s="952"/>
      <c r="OWS102" s="952"/>
      <c r="OWT102" s="952"/>
      <c r="OWU102" s="952"/>
      <c r="OWV102" s="952"/>
      <c r="OWW102" s="952"/>
      <c r="OWX102" s="952"/>
      <c r="OWY102" s="952"/>
      <c r="OWZ102" s="952"/>
      <c r="OXA102" s="952"/>
      <c r="OXB102" s="952"/>
      <c r="OXC102" s="952"/>
      <c r="OXD102" s="952"/>
      <c r="OXE102" s="952"/>
      <c r="OXF102" s="952"/>
      <c r="OXG102" s="952"/>
      <c r="OXH102" s="952"/>
      <c r="OXI102" s="952"/>
      <c r="OXJ102" s="952"/>
      <c r="OXK102" s="952"/>
      <c r="OXL102" s="952"/>
      <c r="OXM102" s="952"/>
      <c r="OXN102" s="952"/>
      <c r="OXO102" s="952"/>
      <c r="OXP102" s="952"/>
      <c r="OXQ102" s="952"/>
      <c r="OXR102" s="952"/>
      <c r="OXS102" s="952"/>
      <c r="OXT102" s="952"/>
      <c r="OXU102" s="952"/>
      <c r="OXV102" s="952"/>
      <c r="OXW102" s="952"/>
      <c r="OXX102" s="952"/>
      <c r="OXY102" s="952"/>
      <c r="OXZ102" s="952"/>
      <c r="OYA102" s="952"/>
      <c r="OYB102" s="952"/>
      <c r="OYC102" s="952"/>
      <c r="OYD102" s="952"/>
      <c r="OYE102" s="952"/>
      <c r="OYF102" s="952"/>
      <c r="OYG102" s="952"/>
      <c r="OYH102" s="952"/>
      <c r="OYI102" s="952"/>
      <c r="OYJ102" s="952"/>
      <c r="OYK102" s="952"/>
      <c r="OYL102" s="952"/>
      <c r="OYM102" s="952"/>
      <c r="OYN102" s="952"/>
      <c r="OYO102" s="952"/>
      <c r="OYP102" s="952"/>
      <c r="OYQ102" s="952"/>
      <c r="OYR102" s="952"/>
      <c r="OYS102" s="952"/>
      <c r="OYT102" s="952"/>
      <c r="OYU102" s="952"/>
      <c r="OYV102" s="952"/>
      <c r="OYW102" s="952"/>
      <c r="OYX102" s="952"/>
      <c r="OYY102" s="952"/>
      <c r="OYZ102" s="952"/>
      <c r="OZA102" s="952"/>
      <c r="OZB102" s="952"/>
      <c r="OZC102" s="952"/>
      <c r="OZD102" s="952"/>
      <c r="OZE102" s="952"/>
      <c r="OZF102" s="952"/>
      <c r="OZG102" s="952"/>
      <c r="OZH102" s="952"/>
      <c r="OZI102" s="952"/>
      <c r="OZJ102" s="952"/>
      <c r="OZK102" s="952"/>
      <c r="OZL102" s="952"/>
      <c r="OZM102" s="952"/>
      <c r="OZN102" s="952"/>
      <c r="OZO102" s="952"/>
      <c r="OZP102" s="952"/>
      <c r="OZQ102" s="952"/>
      <c r="OZR102" s="952"/>
      <c r="OZS102" s="952"/>
      <c r="OZT102" s="952"/>
      <c r="OZU102" s="952"/>
      <c r="OZV102" s="952"/>
      <c r="OZW102" s="952"/>
      <c r="OZX102" s="952"/>
      <c r="OZY102" s="952"/>
      <c r="OZZ102" s="952"/>
      <c r="PAA102" s="952"/>
      <c r="PAB102" s="952"/>
      <c r="PAC102" s="952"/>
      <c r="PAD102" s="952"/>
      <c r="PAE102" s="952"/>
      <c r="PAF102" s="952"/>
      <c r="PAG102" s="952"/>
      <c r="PAH102" s="952"/>
      <c r="PAI102" s="952"/>
      <c r="PAJ102" s="952"/>
      <c r="PAK102" s="952"/>
      <c r="PAL102" s="952"/>
      <c r="PAM102" s="952"/>
      <c r="PAN102" s="952"/>
      <c r="PAO102" s="952"/>
      <c r="PAP102" s="952"/>
      <c r="PAQ102" s="952"/>
      <c r="PAR102" s="952"/>
      <c r="PAS102" s="952"/>
      <c r="PAT102" s="952"/>
      <c r="PAU102" s="952"/>
      <c r="PAV102" s="952"/>
      <c r="PAW102" s="952"/>
      <c r="PAX102" s="952"/>
      <c r="PAY102" s="952"/>
      <c r="PAZ102" s="952"/>
      <c r="PBA102" s="952"/>
      <c r="PBB102" s="952"/>
      <c r="PBC102" s="952"/>
      <c r="PBD102" s="952"/>
      <c r="PBE102" s="952"/>
      <c r="PBF102" s="952"/>
      <c r="PBG102" s="952"/>
      <c r="PBH102" s="952"/>
      <c r="PBI102" s="952"/>
      <c r="PBJ102" s="952"/>
      <c r="PBK102" s="952"/>
      <c r="PBL102" s="952"/>
      <c r="PBM102" s="952"/>
      <c r="PBN102" s="952"/>
      <c r="PBO102" s="952"/>
      <c r="PBP102" s="952"/>
      <c r="PBQ102" s="952"/>
      <c r="PBR102" s="952"/>
      <c r="PBS102" s="952"/>
      <c r="PBT102" s="952"/>
      <c r="PBU102" s="952"/>
      <c r="PBV102" s="952"/>
      <c r="PBW102" s="952"/>
      <c r="PBX102" s="952"/>
      <c r="PBY102" s="952"/>
      <c r="PBZ102" s="952"/>
      <c r="PCA102" s="952"/>
      <c r="PCB102" s="952"/>
      <c r="PCC102" s="952"/>
      <c r="PCD102" s="952"/>
      <c r="PCE102" s="952"/>
      <c r="PCF102" s="952"/>
      <c r="PCG102" s="952"/>
      <c r="PCH102" s="952"/>
      <c r="PCI102" s="952"/>
      <c r="PCJ102" s="952"/>
      <c r="PCK102" s="952"/>
      <c r="PCL102" s="952"/>
      <c r="PCM102" s="952"/>
      <c r="PCN102" s="952"/>
      <c r="PCO102" s="952"/>
      <c r="PCP102" s="952"/>
      <c r="PCQ102" s="952"/>
      <c r="PCR102" s="952"/>
      <c r="PCS102" s="952"/>
      <c r="PCT102" s="952"/>
      <c r="PCU102" s="952"/>
      <c r="PCV102" s="952"/>
      <c r="PCW102" s="952"/>
      <c r="PCX102" s="952"/>
      <c r="PCY102" s="952"/>
      <c r="PCZ102" s="952"/>
      <c r="PDA102" s="952"/>
      <c r="PDB102" s="952"/>
      <c r="PDC102" s="952"/>
      <c r="PDD102" s="952"/>
      <c r="PDE102" s="952"/>
      <c r="PDF102" s="952"/>
      <c r="PDG102" s="952"/>
      <c r="PDH102" s="952"/>
      <c r="PDI102" s="952"/>
      <c r="PDJ102" s="952"/>
      <c r="PDK102" s="952"/>
      <c r="PDL102" s="952"/>
      <c r="PDM102" s="952"/>
      <c r="PDN102" s="952"/>
      <c r="PDO102" s="952"/>
      <c r="PDP102" s="952"/>
      <c r="PDQ102" s="952"/>
      <c r="PDR102" s="952"/>
      <c r="PDS102" s="952"/>
      <c r="PDT102" s="952"/>
      <c r="PDU102" s="952"/>
      <c r="PDV102" s="952"/>
      <c r="PDW102" s="952"/>
      <c r="PDX102" s="952"/>
      <c r="PDY102" s="952"/>
      <c r="PDZ102" s="952"/>
      <c r="PEA102" s="952"/>
      <c r="PEB102" s="952"/>
      <c r="PEC102" s="952"/>
      <c r="PED102" s="952"/>
      <c r="PEE102" s="952"/>
      <c r="PEF102" s="952"/>
      <c r="PEG102" s="952"/>
      <c r="PEH102" s="952"/>
      <c r="PEI102" s="952"/>
      <c r="PEJ102" s="952"/>
      <c r="PEK102" s="952"/>
      <c r="PEL102" s="952"/>
      <c r="PEM102" s="952"/>
      <c r="PEN102" s="952"/>
      <c r="PEO102" s="952"/>
      <c r="PEP102" s="952"/>
      <c r="PEQ102" s="952"/>
      <c r="PER102" s="952"/>
      <c r="PES102" s="952"/>
      <c r="PET102" s="952"/>
      <c r="PEU102" s="952"/>
      <c r="PEV102" s="952"/>
      <c r="PEW102" s="952"/>
      <c r="PEX102" s="952"/>
      <c r="PEY102" s="952"/>
      <c r="PEZ102" s="952"/>
      <c r="PFA102" s="952"/>
      <c r="PFB102" s="952"/>
      <c r="PFC102" s="952"/>
      <c r="PFD102" s="952"/>
      <c r="PFE102" s="952"/>
      <c r="PFF102" s="952"/>
      <c r="PFG102" s="952"/>
      <c r="PFH102" s="952"/>
      <c r="PFI102" s="952"/>
      <c r="PFJ102" s="952"/>
      <c r="PFK102" s="952"/>
      <c r="PFL102" s="952"/>
      <c r="PFM102" s="952"/>
      <c r="PFN102" s="952"/>
      <c r="PFO102" s="952"/>
      <c r="PFP102" s="952"/>
      <c r="PFQ102" s="952"/>
      <c r="PFR102" s="952"/>
      <c r="PFS102" s="952"/>
      <c r="PFT102" s="952"/>
      <c r="PFU102" s="952"/>
      <c r="PFV102" s="952"/>
      <c r="PFW102" s="952"/>
      <c r="PFX102" s="952"/>
      <c r="PFY102" s="952"/>
      <c r="PFZ102" s="952"/>
      <c r="PGA102" s="952"/>
      <c r="PGB102" s="952"/>
      <c r="PGC102" s="952"/>
      <c r="PGD102" s="952"/>
      <c r="PGE102" s="952"/>
      <c r="PGF102" s="952"/>
      <c r="PGG102" s="952"/>
      <c r="PGH102" s="952"/>
      <c r="PGI102" s="952"/>
      <c r="PGJ102" s="952"/>
      <c r="PGK102" s="952"/>
      <c r="PGL102" s="952"/>
      <c r="PGM102" s="952"/>
      <c r="PGN102" s="952"/>
      <c r="PGO102" s="952"/>
      <c r="PGP102" s="952"/>
      <c r="PGQ102" s="952"/>
      <c r="PGR102" s="952"/>
      <c r="PGS102" s="952"/>
      <c r="PGT102" s="952"/>
      <c r="PGU102" s="952"/>
      <c r="PGV102" s="952"/>
      <c r="PGW102" s="952"/>
      <c r="PGX102" s="952"/>
      <c r="PGY102" s="952"/>
      <c r="PGZ102" s="952"/>
      <c r="PHA102" s="952"/>
      <c r="PHB102" s="952"/>
      <c r="PHC102" s="952"/>
      <c r="PHD102" s="952"/>
      <c r="PHE102" s="952"/>
      <c r="PHF102" s="952"/>
      <c r="PHG102" s="952"/>
      <c r="PHH102" s="952"/>
      <c r="PHI102" s="952"/>
      <c r="PHJ102" s="952"/>
      <c r="PHK102" s="952"/>
      <c r="PHL102" s="952"/>
      <c r="PHM102" s="952"/>
      <c r="PHN102" s="952"/>
      <c r="PHO102" s="952"/>
      <c r="PHP102" s="952"/>
      <c r="PHQ102" s="952"/>
      <c r="PHR102" s="952"/>
      <c r="PHS102" s="952"/>
      <c r="PHT102" s="952"/>
      <c r="PHU102" s="952"/>
      <c r="PHV102" s="952"/>
      <c r="PHW102" s="952"/>
      <c r="PHX102" s="952"/>
      <c r="PHY102" s="952"/>
      <c r="PHZ102" s="952"/>
      <c r="PIA102" s="952"/>
      <c r="PIB102" s="952"/>
      <c r="PIC102" s="952"/>
      <c r="PID102" s="952"/>
      <c r="PIE102" s="952"/>
      <c r="PIF102" s="952"/>
      <c r="PIG102" s="952"/>
      <c r="PIH102" s="952"/>
      <c r="PII102" s="952"/>
      <c r="PIJ102" s="952"/>
      <c r="PIK102" s="952"/>
      <c r="PIL102" s="952"/>
      <c r="PIM102" s="952"/>
      <c r="PIN102" s="952"/>
      <c r="PIO102" s="952"/>
      <c r="PIP102" s="952"/>
      <c r="PIQ102" s="952"/>
      <c r="PIR102" s="952"/>
      <c r="PIS102" s="952"/>
      <c r="PIT102" s="952"/>
      <c r="PIU102" s="952"/>
      <c r="PIV102" s="952"/>
      <c r="PIW102" s="952"/>
      <c r="PIX102" s="952"/>
      <c r="PIY102" s="952"/>
      <c r="PIZ102" s="952"/>
      <c r="PJA102" s="952"/>
      <c r="PJB102" s="952"/>
      <c r="PJC102" s="952"/>
      <c r="PJD102" s="952"/>
      <c r="PJE102" s="952"/>
      <c r="PJF102" s="952"/>
      <c r="PJG102" s="952"/>
      <c r="PJH102" s="952"/>
      <c r="PJI102" s="952"/>
      <c r="PJJ102" s="952"/>
      <c r="PJK102" s="952"/>
      <c r="PJL102" s="952"/>
      <c r="PJM102" s="952"/>
      <c r="PJN102" s="952"/>
      <c r="PJO102" s="952"/>
      <c r="PJP102" s="952"/>
      <c r="PJQ102" s="952"/>
      <c r="PJR102" s="952"/>
      <c r="PJS102" s="952"/>
      <c r="PJT102" s="952"/>
      <c r="PJU102" s="952"/>
      <c r="PJV102" s="952"/>
      <c r="PJW102" s="952"/>
      <c r="PJX102" s="952"/>
      <c r="PJY102" s="952"/>
      <c r="PJZ102" s="952"/>
      <c r="PKA102" s="952"/>
      <c r="PKB102" s="952"/>
      <c r="PKC102" s="952"/>
      <c r="PKD102" s="952"/>
      <c r="PKE102" s="952"/>
      <c r="PKF102" s="952"/>
      <c r="PKG102" s="952"/>
      <c r="PKH102" s="952"/>
      <c r="PKI102" s="952"/>
      <c r="PKJ102" s="952"/>
      <c r="PKK102" s="952"/>
      <c r="PKL102" s="952"/>
      <c r="PKM102" s="952"/>
      <c r="PKN102" s="952"/>
      <c r="PKO102" s="952"/>
      <c r="PKP102" s="952"/>
      <c r="PKQ102" s="952"/>
      <c r="PKR102" s="952"/>
      <c r="PKS102" s="952"/>
      <c r="PKT102" s="952"/>
      <c r="PKU102" s="952"/>
      <c r="PKV102" s="952"/>
      <c r="PKW102" s="952"/>
      <c r="PKX102" s="952"/>
      <c r="PKY102" s="952"/>
      <c r="PKZ102" s="952"/>
      <c r="PLA102" s="952"/>
      <c r="PLB102" s="952"/>
      <c r="PLC102" s="952"/>
      <c r="PLD102" s="952"/>
      <c r="PLE102" s="952"/>
      <c r="PLF102" s="952"/>
      <c r="PLG102" s="952"/>
      <c r="PLH102" s="952"/>
      <c r="PLI102" s="952"/>
      <c r="PLJ102" s="952"/>
      <c r="PLK102" s="952"/>
      <c r="PLL102" s="952"/>
      <c r="PLM102" s="952"/>
      <c r="PLN102" s="952"/>
      <c r="PLO102" s="952"/>
      <c r="PLP102" s="952"/>
      <c r="PLQ102" s="952"/>
      <c r="PLR102" s="952"/>
      <c r="PLS102" s="952"/>
      <c r="PLT102" s="952"/>
      <c r="PLU102" s="952"/>
      <c r="PLV102" s="952"/>
      <c r="PLW102" s="952"/>
      <c r="PLX102" s="952"/>
      <c r="PLY102" s="952"/>
      <c r="PLZ102" s="952"/>
      <c r="PMA102" s="952"/>
      <c r="PMB102" s="952"/>
      <c r="PMC102" s="952"/>
      <c r="PMD102" s="952"/>
      <c r="PME102" s="952"/>
      <c r="PMF102" s="952"/>
      <c r="PMG102" s="952"/>
      <c r="PMH102" s="952"/>
      <c r="PMI102" s="952"/>
      <c r="PMJ102" s="952"/>
      <c r="PMK102" s="952"/>
      <c r="PML102" s="952"/>
      <c r="PMM102" s="952"/>
      <c r="PMN102" s="952"/>
      <c r="PMO102" s="952"/>
      <c r="PMP102" s="952"/>
      <c r="PMQ102" s="952"/>
      <c r="PMR102" s="952"/>
      <c r="PMS102" s="952"/>
      <c r="PMT102" s="952"/>
      <c r="PMU102" s="952"/>
      <c r="PMV102" s="952"/>
      <c r="PMW102" s="952"/>
      <c r="PMX102" s="952"/>
      <c r="PMY102" s="952"/>
      <c r="PMZ102" s="952"/>
      <c r="PNA102" s="952"/>
      <c r="PNB102" s="952"/>
      <c r="PNC102" s="952"/>
      <c r="PND102" s="952"/>
      <c r="PNE102" s="952"/>
      <c r="PNF102" s="952"/>
      <c r="PNG102" s="952"/>
      <c r="PNH102" s="952"/>
      <c r="PNI102" s="952"/>
      <c r="PNJ102" s="952"/>
      <c r="PNK102" s="952"/>
      <c r="PNL102" s="952"/>
      <c r="PNM102" s="952"/>
      <c r="PNN102" s="952"/>
      <c r="PNO102" s="952"/>
      <c r="PNP102" s="952"/>
      <c r="PNQ102" s="952"/>
      <c r="PNR102" s="952"/>
      <c r="PNS102" s="952"/>
      <c r="PNT102" s="952"/>
      <c r="PNU102" s="952"/>
      <c r="PNV102" s="952"/>
      <c r="PNW102" s="952"/>
      <c r="PNX102" s="952"/>
      <c r="PNY102" s="952"/>
      <c r="PNZ102" s="952"/>
      <c r="POA102" s="952"/>
      <c r="POB102" s="952"/>
      <c r="POC102" s="952"/>
      <c r="POD102" s="952"/>
      <c r="POE102" s="952"/>
      <c r="POF102" s="952"/>
      <c r="POG102" s="952"/>
      <c r="POH102" s="952"/>
      <c r="POI102" s="952"/>
      <c r="POJ102" s="952"/>
      <c r="POK102" s="952"/>
      <c r="POL102" s="952"/>
      <c r="POM102" s="952"/>
      <c r="PON102" s="952"/>
      <c r="POO102" s="952"/>
      <c r="POP102" s="952"/>
      <c r="POQ102" s="952"/>
      <c r="POR102" s="952"/>
      <c r="POS102" s="952"/>
      <c r="POT102" s="952"/>
      <c r="POU102" s="952"/>
      <c r="POV102" s="952"/>
      <c r="POW102" s="952"/>
      <c r="POX102" s="952"/>
      <c r="POY102" s="952"/>
      <c r="POZ102" s="952"/>
      <c r="PPA102" s="952"/>
      <c r="PPB102" s="952"/>
      <c r="PPC102" s="952"/>
      <c r="PPD102" s="952"/>
      <c r="PPE102" s="952"/>
      <c r="PPF102" s="952"/>
      <c r="PPG102" s="952"/>
      <c r="PPH102" s="952"/>
      <c r="PPI102" s="952"/>
      <c r="PPJ102" s="952"/>
      <c r="PPK102" s="952"/>
      <c r="PPL102" s="952"/>
      <c r="PPM102" s="952"/>
      <c r="PPN102" s="952"/>
      <c r="PPO102" s="952"/>
      <c r="PPP102" s="952"/>
      <c r="PPQ102" s="952"/>
      <c r="PPR102" s="952"/>
      <c r="PPS102" s="952"/>
      <c r="PPT102" s="952"/>
      <c r="PPU102" s="952"/>
      <c r="PPV102" s="952"/>
      <c r="PPW102" s="952"/>
      <c r="PPX102" s="952"/>
      <c r="PPY102" s="952"/>
      <c r="PPZ102" s="952"/>
      <c r="PQA102" s="952"/>
      <c r="PQB102" s="952"/>
      <c r="PQC102" s="952"/>
      <c r="PQD102" s="952"/>
      <c r="PQE102" s="952"/>
      <c r="PQF102" s="952"/>
      <c r="PQG102" s="952"/>
      <c r="PQH102" s="952"/>
      <c r="PQI102" s="952"/>
      <c r="PQJ102" s="952"/>
      <c r="PQK102" s="952"/>
      <c r="PQL102" s="952"/>
      <c r="PQM102" s="952"/>
      <c r="PQN102" s="952"/>
      <c r="PQO102" s="952"/>
      <c r="PQP102" s="952"/>
      <c r="PQQ102" s="952"/>
      <c r="PQR102" s="952"/>
      <c r="PQS102" s="952"/>
      <c r="PQT102" s="952"/>
      <c r="PQU102" s="952"/>
      <c r="PQV102" s="952"/>
      <c r="PQW102" s="952"/>
      <c r="PQX102" s="952"/>
      <c r="PQY102" s="952"/>
      <c r="PQZ102" s="952"/>
      <c r="PRA102" s="952"/>
      <c r="PRB102" s="952"/>
      <c r="PRC102" s="952"/>
      <c r="PRD102" s="952"/>
      <c r="PRE102" s="952"/>
      <c r="PRF102" s="952"/>
      <c r="PRG102" s="952"/>
      <c r="PRH102" s="952"/>
      <c r="PRI102" s="952"/>
      <c r="PRJ102" s="952"/>
      <c r="PRK102" s="952"/>
      <c r="PRL102" s="952"/>
      <c r="PRM102" s="952"/>
      <c r="PRN102" s="952"/>
      <c r="PRO102" s="952"/>
      <c r="PRP102" s="952"/>
      <c r="PRQ102" s="952"/>
      <c r="PRR102" s="952"/>
      <c r="PRS102" s="952"/>
      <c r="PRT102" s="952"/>
      <c r="PRU102" s="952"/>
      <c r="PRV102" s="952"/>
      <c r="PRW102" s="952"/>
      <c r="PRX102" s="952"/>
      <c r="PRY102" s="952"/>
      <c r="PRZ102" s="952"/>
      <c r="PSA102" s="952"/>
      <c r="PSB102" s="952"/>
      <c r="PSC102" s="952"/>
      <c r="PSD102" s="952"/>
      <c r="PSE102" s="952"/>
      <c r="PSF102" s="952"/>
      <c r="PSG102" s="952"/>
      <c r="PSH102" s="952"/>
      <c r="PSI102" s="952"/>
      <c r="PSJ102" s="952"/>
      <c r="PSK102" s="952"/>
      <c r="PSL102" s="952"/>
      <c r="PSM102" s="952"/>
      <c r="PSN102" s="952"/>
      <c r="PSO102" s="952"/>
      <c r="PSP102" s="952"/>
      <c r="PSQ102" s="952"/>
      <c r="PSR102" s="952"/>
      <c r="PSS102" s="952"/>
      <c r="PST102" s="952"/>
      <c r="PSU102" s="952"/>
      <c r="PSV102" s="952"/>
      <c r="PSW102" s="952"/>
      <c r="PSX102" s="952"/>
      <c r="PSY102" s="952"/>
      <c r="PSZ102" s="952"/>
      <c r="PTA102" s="952"/>
      <c r="PTB102" s="952"/>
      <c r="PTC102" s="952"/>
      <c r="PTD102" s="952"/>
      <c r="PTE102" s="952"/>
      <c r="PTF102" s="952"/>
      <c r="PTG102" s="952"/>
      <c r="PTH102" s="952"/>
      <c r="PTI102" s="952"/>
      <c r="PTJ102" s="952"/>
      <c r="PTK102" s="952"/>
      <c r="PTL102" s="952"/>
      <c r="PTM102" s="952"/>
      <c r="PTN102" s="952"/>
      <c r="PTO102" s="952"/>
      <c r="PTP102" s="952"/>
      <c r="PTQ102" s="952"/>
      <c r="PTR102" s="952"/>
      <c r="PTS102" s="952"/>
      <c r="PTT102" s="952"/>
      <c r="PTU102" s="952"/>
      <c r="PTV102" s="952"/>
      <c r="PTW102" s="952"/>
      <c r="PTX102" s="952"/>
      <c r="PTY102" s="952"/>
      <c r="PTZ102" s="952"/>
      <c r="PUA102" s="952"/>
      <c r="PUB102" s="952"/>
      <c r="PUC102" s="952"/>
      <c r="PUD102" s="952"/>
      <c r="PUE102" s="952"/>
      <c r="PUF102" s="952"/>
      <c r="PUG102" s="952"/>
      <c r="PUH102" s="952"/>
      <c r="PUI102" s="952"/>
      <c r="PUJ102" s="952"/>
      <c r="PUK102" s="952"/>
      <c r="PUL102" s="952"/>
      <c r="PUM102" s="952"/>
      <c r="PUN102" s="952"/>
      <c r="PUO102" s="952"/>
      <c r="PUP102" s="952"/>
      <c r="PUQ102" s="952"/>
      <c r="PUR102" s="952"/>
      <c r="PUS102" s="952"/>
      <c r="PUT102" s="952"/>
      <c r="PUU102" s="952"/>
      <c r="PUV102" s="952"/>
      <c r="PUW102" s="952"/>
      <c r="PUX102" s="952"/>
      <c r="PUY102" s="952"/>
      <c r="PUZ102" s="952"/>
      <c r="PVA102" s="952"/>
      <c r="PVB102" s="952"/>
      <c r="PVC102" s="952"/>
      <c r="PVD102" s="952"/>
      <c r="PVE102" s="952"/>
      <c r="PVF102" s="952"/>
      <c r="PVG102" s="952"/>
      <c r="PVH102" s="952"/>
      <c r="PVI102" s="952"/>
      <c r="PVJ102" s="952"/>
      <c r="PVK102" s="952"/>
      <c r="PVL102" s="952"/>
      <c r="PVM102" s="952"/>
      <c r="PVN102" s="952"/>
      <c r="PVO102" s="952"/>
      <c r="PVP102" s="952"/>
      <c r="PVQ102" s="952"/>
      <c r="PVR102" s="952"/>
      <c r="PVS102" s="952"/>
      <c r="PVT102" s="952"/>
      <c r="PVU102" s="952"/>
      <c r="PVV102" s="952"/>
      <c r="PVW102" s="952"/>
      <c r="PVX102" s="952"/>
      <c r="PVY102" s="952"/>
      <c r="PVZ102" s="952"/>
      <c r="PWA102" s="952"/>
      <c r="PWB102" s="952"/>
      <c r="PWC102" s="952"/>
      <c r="PWD102" s="952"/>
      <c r="PWE102" s="952"/>
      <c r="PWF102" s="952"/>
      <c r="PWG102" s="952"/>
      <c r="PWH102" s="952"/>
      <c r="PWI102" s="952"/>
      <c r="PWJ102" s="952"/>
      <c r="PWK102" s="952"/>
      <c r="PWL102" s="952"/>
      <c r="PWM102" s="952"/>
      <c r="PWN102" s="952"/>
      <c r="PWO102" s="952"/>
      <c r="PWP102" s="952"/>
      <c r="PWQ102" s="952"/>
      <c r="PWR102" s="952"/>
      <c r="PWS102" s="952"/>
      <c r="PWT102" s="952"/>
      <c r="PWU102" s="952"/>
      <c r="PWV102" s="952"/>
      <c r="PWW102" s="952"/>
      <c r="PWX102" s="952"/>
      <c r="PWY102" s="952"/>
      <c r="PWZ102" s="952"/>
      <c r="PXA102" s="952"/>
      <c r="PXB102" s="952"/>
      <c r="PXC102" s="952"/>
      <c r="PXD102" s="952"/>
      <c r="PXE102" s="952"/>
      <c r="PXF102" s="952"/>
      <c r="PXG102" s="952"/>
      <c r="PXH102" s="952"/>
      <c r="PXI102" s="952"/>
      <c r="PXJ102" s="952"/>
      <c r="PXK102" s="952"/>
      <c r="PXL102" s="952"/>
      <c r="PXM102" s="952"/>
      <c r="PXN102" s="952"/>
      <c r="PXO102" s="952"/>
      <c r="PXP102" s="952"/>
      <c r="PXQ102" s="952"/>
      <c r="PXR102" s="952"/>
      <c r="PXS102" s="952"/>
      <c r="PXT102" s="952"/>
      <c r="PXU102" s="952"/>
      <c r="PXV102" s="952"/>
      <c r="PXW102" s="952"/>
      <c r="PXX102" s="952"/>
      <c r="PXY102" s="952"/>
      <c r="PXZ102" s="952"/>
      <c r="PYA102" s="952"/>
      <c r="PYB102" s="952"/>
      <c r="PYC102" s="952"/>
      <c r="PYD102" s="952"/>
      <c r="PYE102" s="952"/>
      <c r="PYF102" s="952"/>
      <c r="PYG102" s="952"/>
      <c r="PYH102" s="952"/>
      <c r="PYI102" s="952"/>
      <c r="PYJ102" s="952"/>
      <c r="PYK102" s="952"/>
      <c r="PYL102" s="952"/>
      <c r="PYM102" s="952"/>
      <c r="PYN102" s="952"/>
      <c r="PYO102" s="952"/>
      <c r="PYP102" s="952"/>
      <c r="PYQ102" s="952"/>
      <c r="PYR102" s="952"/>
      <c r="PYS102" s="952"/>
      <c r="PYT102" s="952"/>
      <c r="PYU102" s="952"/>
      <c r="PYV102" s="952"/>
      <c r="PYW102" s="952"/>
      <c r="PYX102" s="952"/>
      <c r="PYY102" s="952"/>
      <c r="PYZ102" s="952"/>
      <c r="PZA102" s="952"/>
      <c r="PZB102" s="952"/>
      <c r="PZC102" s="952"/>
      <c r="PZD102" s="952"/>
      <c r="PZE102" s="952"/>
      <c r="PZF102" s="952"/>
      <c r="PZG102" s="952"/>
      <c r="PZH102" s="952"/>
      <c r="PZI102" s="952"/>
      <c r="PZJ102" s="952"/>
      <c r="PZK102" s="952"/>
      <c r="PZL102" s="952"/>
      <c r="PZM102" s="952"/>
      <c r="PZN102" s="952"/>
      <c r="PZO102" s="952"/>
      <c r="PZP102" s="952"/>
      <c r="PZQ102" s="952"/>
      <c r="PZR102" s="952"/>
      <c r="PZS102" s="952"/>
      <c r="PZT102" s="952"/>
      <c r="PZU102" s="952"/>
      <c r="PZV102" s="952"/>
      <c r="PZW102" s="952"/>
      <c r="PZX102" s="952"/>
      <c r="PZY102" s="952"/>
      <c r="PZZ102" s="952"/>
      <c r="QAA102" s="952"/>
      <c r="QAB102" s="952"/>
      <c r="QAC102" s="952"/>
      <c r="QAD102" s="952"/>
      <c r="QAE102" s="952"/>
      <c r="QAF102" s="952"/>
      <c r="QAG102" s="952"/>
      <c r="QAH102" s="952"/>
      <c r="QAI102" s="952"/>
      <c r="QAJ102" s="952"/>
      <c r="QAK102" s="952"/>
      <c r="QAL102" s="952"/>
      <c r="QAM102" s="952"/>
      <c r="QAN102" s="952"/>
      <c r="QAO102" s="952"/>
      <c r="QAP102" s="952"/>
      <c r="QAQ102" s="952"/>
      <c r="QAR102" s="952"/>
      <c r="QAS102" s="952"/>
      <c r="QAT102" s="952"/>
      <c r="QAU102" s="952"/>
      <c r="QAV102" s="952"/>
      <c r="QAW102" s="952"/>
      <c r="QAX102" s="952"/>
      <c r="QAY102" s="952"/>
      <c r="QAZ102" s="952"/>
      <c r="QBA102" s="952"/>
      <c r="QBB102" s="952"/>
      <c r="QBC102" s="952"/>
      <c r="QBD102" s="952"/>
      <c r="QBE102" s="952"/>
      <c r="QBF102" s="952"/>
      <c r="QBG102" s="952"/>
      <c r="QBH102" s="952"/>
      <c r="QBI102" s="952"/>
      <c r="QBJ102" s="952"/>
      <c r="QBK102" s="952"/>
      <c r="QBL102" s="952"/>
      <c r="QBM102" s="952"/>
      <c r="QBN102" s="952"/>
      <c r="QBO102" s="952"/>
      <c r="QBP102" s="952"/>
      <c r="QBQ102" s="952"/>
      <c r="QBR102" s="952"/>
      <c r="QBS102" s="952"/>
      <c r="QBT102" s="952"/>
      <c r="QBU102" s="952"/>
      <c r="QBV102" s="952"/>
      <c r="QBW102" s="952"/>
      <c r="QBX102" s="952"/>
      <c r="QBY102" s="952"/>
      <c r="QBZ102" s="952"/>
      <c r="QCA102" s="952"/>
      <c r="QCB102" s="952"/>
      <c r="QCC102" s="952"/>
      <c r="QCD102" s="952"/>
      <c r="QCE102" s="952"/>
      <c r="QCF102" s="952"/>
      <c r="QCG102" s="952"/>
      <c r="QCH102" s="952"/>
      <c r="QCI102" s="952"/>
      <c r="QCJ102" s="952"/>
      <c r="QCK102" s="952"/>
      <c r="QCL102" s="952"/>
      <c r="QCM102" s="952"/>
      <c r="QCN102" s="952"/>
      <c r="QCO102" s="952"/>
      <c r="QCP102" s="952"/>
      <c r="QCQ102" s="952"/>
      <c r="QCR102" s="952"/>
      <c r="QCS102" s="952"/>
      <c r="QCT102" s="952"/>
      <c r="QCU102" s="952"/>
      <c r="QCV102" s="952"/>
      <c r="QCW102" s="952"/>
      <c r="QCX102" s="952"/>
      <c r="QCY102" s="952"/>
      <c r="QCZ102" s="952"/>
      <c r="QDA102" s="952"/>
      <c r="QDB102" s="952"/>
      <c r="QDC102" s="952"/>
      <c r="QDD102" s="952"/>
      <c r="QDE102" s="952"/>
      <c r="QDF102" s="952"/>
      <c r="QDG102" s="952"/>
      <c r="QDH102" s="952"/>
      <c r="QDI102" s="952"/>
      <c r="QDJ102" s="952"/>
      <c r="QDK102" s="952"/>
      <c r="QDL102" s="952"/>
      <c r="QDM102" s="952"/>
      <c r="QDN102" s="952"/>
      <c r="QDO102" s="952"/>
      <c r="QDP102" s="952"/>
      <c r="QDQ102" s="952"/>
      <c r="QDR102" s="952"/>
      <c r="QDS102" s="952"/>
      <c r="QDT102" s="952"/>
      <c r="QDU102" s="952"/>
      <c r="QDV102" s="952"/>
      <c r="QDW102" s="952"/>
      <c r="QDX102" s="952"/>
      <c r="QDY102" s="952"/>
      <c r="QDZ102" s="952"/>
      <c r="QEA102" s="952"/>
      <c r="QEB102" s="952"/>
      <c r="QEC102" s="952"/>
      <c r="QED102" s="952"/>
      <c r="QEE102" s="952"/>
      <c r="QEF102" s="952"/>
      <c r="QEG102" s="952"/>
      <c r="QEH102" s="952"/>
      <c r="QEI102" s="952"/>
      <c r="QEJ102" s="952"/>
      <c r="QEK102" s="952"/>
      <c r="QEL102" s="952"/>
      <c r="QEM102" s="952"/>
      <c r="QEN102" s="952"/>
      <c r="QEO102" s="952"/>
      <c r="QEP102" s="952"/>
      <c r="QEQ102" s="952"/>
      <c r="QER102" s="952"/>
      <c r="QES102" s="952"/>
      <c r="QET102" s="952"/>
      <c r="QEU102" s="952"/>
      <c r="QEV102" s="952"/>
      <c r="QEW102" s="952"/>
      <c r="QEX102" s="952"/>
      <c r="QEY102" s="952"/>
      <c r="QEZ102" s="952"/>
      <c r="QFA102" s="952"/>
      <c r="QFB102" s="952"/>
      <c r="QFC102" s="952"/>
      <c r="QFD102" s="952"/>
      <c r="QFE102" s="952"/>
      <c r="QFF102" s="952"/>
      <c r="QFG102" s="952"/>
      <c r="QFH102" s="952"/>
      <c r="QFI102" s="952"/>
      <c r="QFJ102" s="952"/>
      <c r="QFK102" s="952"/>
      <c r="QFL102" s="952"/>
      <c r="QFM102" s="952"/>
      <c r="QFN102" s="952"/>
      <c r="QFO102" s="952"/>
      <c r="QFP102" s="952"/>
      <c r="QFQ102" s="952"/>
      <c r="QFR102" s="952"/>
      <c r="QFS102" s="952"/>
      <c r="QFT102" s="952"/>
      <c r="QFU102" s="952"/>
      <c r="QFV102" s="952"/>
      <c r="QFW102" s="952"/>
      <c r="QFX102" s="952"/>
      <c r="QFY102" s="952"/>
      <c r="QFZ102" s="952"/>
      <c r="QGA102" s="952"/>
      <c r="QGB102" s="952"/>
      <c r="QGC102" s="952"/>
      <c r="QGD102" s="952"/>
      <c r="QGE102" s="952"/>
      <c r="QGF102" s="952"/>
      <c r="QGG102" s="952"/>
      <c r="QGH102" s="952"/>
      <c r="QGI102" s="952"/>
      <c r="QGJ102" s="952"/>
      <c r="QGK102" s="952"/>
      <c r="QGL102" s="952"/>
      <c r="QGM102" s="952"/>
      <c r="QGN102" s="952"/>
      <c r="QGO102" s="952"/>
      <c r="QGP102" s="952"/>
      <c r="QGQ102" s="952"/>
      <c r="QGR102" s="952"/>
      <c r="QGS102" s="952"/>
      <c r="QGT102" s="952"/>
      <c r="QGU102" s="952"/>
      <c r="QGV102" s="952"/>
      <c r="QGW102" s="952"/>
      <c r="QGX102" s="952"/>
      <c r="QGY102" s="952"/>
      <c r="QGZ102" s="952"/>
      <c r="QHA102" s="952"/>
      <c r="QHB102" s="952"/>
      <c r="QHC102" s="952"/>
      <c r="QHD102" s="952"/>
      <c r="QHE102" s="952"/>
      <c r="QHF102" s="952"/>
      <c r="QHG102" s="952"/>
      <c r="QHH102" s="952"/>
      <c r="QHI102" s="952"/>
      <c r="QHJ102" s="952"/>
      <c r="QHK102" s="952"/>
      <c r="QHL102" s="952"/>
      <c r="QHM102" s="952"/>
      <c r="QHN102" s="952"/>
      <c r="QHO102" s="952"/>
      <c r="QHP102" s="952"/>
      <c r="QHQ102" s="952"/>
      <c r="QHR102" s="952"/>
      <c r="QHS102" s="952"/>
      <c r="QHT102" s="952"/>
      <c r="QHU102" s="952"/>
      <c r="QHV102" s="952"/>
      <c r="QHW102" s="952"/>
      <c r="QHX102" s="952"/>
      <c r="QHY102" s="952"/>
      <c r="QHZ102" s="952"/>
      <c r="QIA102" s="952"/>
      <c r="QIB102" s="952"/>
      <c r="QIC102" s="952"/>
      <c r="QID102" s="952"/>
      <c r="QIE102" s="952"/>
      <c r="QIF102" s="952"/>
      <c r="QIG102" s="952"/>
      <c r="QIH102" s="952"/>
      <c r="QII102" s="952"/>
      <c r="QIJ102" s="952"/>
      <c r="QIK102" s="952"/>
      <c r="QIL102" s="952"/>
      <c r="QIM102" s="952"/>
      <c r="QIN102" s="952"/>
      <c r="QIO102" s="952"/>
      <c r="QIP102" s="952"/>
      <c r="QIQ102" s="952"/>
      <c r="QIR102" s="952"/>
      <c r="QIS102" s="952"/>
      <c r="QIT102" s="952"/>
      <c r="QIU102" s="952"/>
      <c r="QIV102" s="952"/>
      <c r="QIW102" s="952"/>
      <c r="QIX102" s="952"/>
      <c r="QIY102" s="952"/>
      <c r="QIZ102" s="952"/>
      <c r="QJA102" s="952"/>
      <c r="QJB102" s="952"/>
      <c r="QJC102" s="952"/>
      <c r="QJD102" s="952"/>
      <c r="QJE102" s="952"/>
      <c r="QJF102" s="952"/>
      <c r="QJG102" s="952"/>
      <c r="QJH102" s="952"/>
      <c r="QJI102" s="952"/>
      <c r="QJJ102" s="952"/>
      <c r="QJK102" s="952"/>
      <c r="QJL102" s="952"/>
      <c r="QJM102" s="952"/>
      <c r="QJN102" s="952"/>
      <c r="QJO102" s="952"/>
      <c r="QJP102" s="952"/>
      <c r="QJQ102" s="952"/>
      <c r="QJR102" s="952"/>
      <c r="QJS102" s="952"/>
      <c r="QJT102" s="952"/>
      <c r="QJU102" s="952"/>
      <c r="QJV102" s="952"/>
      <c r="QJW102" s="952"/>
      <c r="QJX102" s="952"/>
      <c r="QJY102" s="952"/>
      <c r="QJZ102" s="952"/>
      <c r="QKA102" s="952"/>
      <c r="QKB102" s="952"/>
      <c r="QKC102" s="952"/>
      <c r="QKD102" s="952"/>
      <c r="QKE102" s="952"/>
      <c r="QKF102" s="952"/>
      <c r="QKG102" s="952"/>
      <c r="QKH102" s="952"/>
      <c r="QKI102" s="952"/>
      <c r="QKJ102" s="952"/>
      <c r="QKK102" s="952"/>
      <c r="QKL102" s="952"/>
      <c r="QKM102" s="952"/>
      <c r="QKN102" s="952"/>
      <c r="QKO102" s="952"/>
      <c r="QKP102" s="952"/>
      <c r="QKQ102" s="952"/>
      <c r="QKR102" s="952"/>
      <c r="QKS102" s="952"/>
      <c r="QKT102" s="952"/>
      <c r="QKU102" s="952"/>
      <c r="QKV102" s="952"/>
      <c r="QKW102" s="952"/>
      <c r="QKX102" s="952"/>
      <c r="QKY102" s="952"/>
      <c r="QKZ102" s="952"/>
      <c r="QLA102" s="952"/>
      <c r="QLB102" s="952"/>
      <c r="QLC102" s="952"/>
      <c r="QLD102" s="952"/>
      <c r="QLE102" s="952"/>
      <c r="QLF102" s="952"/>
      <c r="QLG102" s="952"/>
      <c r="QLH102" s="952"/>
      <c r="QLI102" s="952"/>
      <c r="QLJ102" s="952"/>
      <c r="QLK102" s="952"/>
      <c r="QLL102" s="952"/>
      <c r="QLM102" s="952"/>
      <c r="QLN102" s="952"/>
      <c r="QLO102" s="952"/>
      <c r="QLP102" s="952"/>
      <c r="QLQ102" s="952"/>
      <c r="QLR102" s="952"/>
      <c r="QLS102" s="952"/>
      <c r="QLT102" s="952"/>
      <c r="QLU102" s="952"/>
      <c r="QLV102" s="952"/>
      <c r="QLW102" s="952"/>
      <c r="QLX102" s="952"/>
      <c r="QLY102" s="952"/>
      <c r="QLZ102" s="952"/>
      <c r="QMA102" s="952"/>
      <c r="QMB102" s="952"/>
      <c r="QMC102" s="952"/>
      <c r="QMD102" s="952"/>
      <c r="QME102" s="952"/>
      <c r="QMF102" s="952"/>
      <c r="QMG102" s="952"/>
      <c r="QMH102" s="952"/>
      <c r="QMI102" s="952"/>
      <c r="QMJ102" s="952"/>
      <c r="QMK102" s="952"/>
      <c r="QML102" s="952"/>
      <c r="QMM102" s="952"/>
      <c r="QMN102" s="952"/>
      <c r="QMO102" s="952"/>
      <c r="QMP102" s="952"/>
      <c r="QMQ102" s="952"/>
      <c r="QMR102" s="952"/>
      <c r="QMS102" s="952"/>
      <c r="QMT102" s="952"/>
      <c r="QMU102" s="952"/>
      <c r="QMV102" s="952"/>
      <c r="QMW102" s="952"/>
      <c r="QMX102" s="952"/>
      <c r="QMY102" s="952"/>
      <c r="QMZ102" s="952"/>
      <c r="QNA102" s="952"/>
      <c r="QNB102" s="952"/>
      <c r="QNC102" s="952"/>
      <c r="QND102" s="952"/>
      <c r="QNE102" s="952"/>
      <c r="QNF102" s="952"/>
      <c r="QNG102" s="952"/>
      <c r="QNH102" s="952"/>
      <c r="QNI102" s="952"/>
      <c r="QNJ102" s="952"/>
      <c r="QNK102" s="952"/>
      <c r="QNL102" s="952"/>
      <c r="QNM102" s="952"/>
      <c r="QNN102" s="952"/>
      <c r="QNO102" s="952"/>
      <c r="QNP102" s="952"/>
      <c r="QNQ102" s="952"/>
      <c r="QNR102" s="952"/>
      <c r="QNS102" s="952"/>
      <c r="QNT102" s="952"/>
      <c r="QNU102" s="952"/>
      <c r="QNV102" s="952"/>
      <c r="QNW102" s="952"/>
      <c r="QNX102" s="952"/>
      <c r="QNY102" s="952"/>
      <c r="QNZ102" s="952"/>
      <c r="QOA102" s="952"/>
      <c r="QOB102" s="952"/>
      <c r="QOC102" s="952"/>
      <c r="QOD102" s="952"/>
      <c r="QOE102" s="952"/>
      <c r="QOF102" s="952"/>
      <c r="QOG102" s="952"/>
      <c r="QOH102" s="952"/>
      <c r="QOI102" s="952"/>
      <c r="QOJ102" s="952"/>
      <c r="QOK102" s="952"/>
      <c r="QOL102" s="952"/>
      <c r="QOM102" s="952"/>
      <c r="QON102" s="952"/>
      <c r="QOO102" s="952"/>
      <c r="QOP102" s="952"/>
      <c r="QOQ102" s="952"/>
      <c r="QOR102" s="952"/>
      <c r="QOS102" s="952"/>
      <c r="QOT102" s="952"/>
      <c r="QOU102" s="952"/>
      <c r="QOV102" s="952"/>
      <c r="QOW102" s="952"/>
      <c r="QOX102" s="952"/>
      <c r="QOY102" s="952"/>
      <c r="QOZ102" s="952"/>
      <c r="QPA102" s="952"/>
      <c r="QPB102" s="952"/>
      <c r="QPC102" s="952"/>
      <c r="QPD102" s="952"/>
      <c r="QPE102" s="952"/>
      <c r="QPF102" s="952"/>
      <c r="QPG102" s="952"/>
      <c r="QPH102" s="952"/>
      <c r="QPI102" s="952"/>
      <c r="QPJ102" s="952"/>
      <c r="QPK102" s="952"/>
      <c r="QPL102" s="952"/>
      <c r="QPM102" s="952"/>
      <c r="QPN102" s="952"/>
      <c r="QPO102" s="952"/>
      <c r="QPP102" s="952"/>
      <c r="QPQ102" s="952"/>
      <c r="QPR102" s="952"/>
      <c r="QPS102" s="952"/>
      <c r="QPT102" s="952"/>
      <c r="QPU102" s="952"/>
      <c r="QPV102" s="952"/>
      <c r="QPW102" s="952"/>
      <c r="QPX102" s="952"/>
      <c r="QPY102" s="952"/>
      <c r="QPZ102" s="952"/>
      <c r="QQA102" s="952"/>
      <c r="QQB102" s="952"/>
      <c r="QQC102" s="952"/>
      <c r="QQD102" s="952"/>
      <c r="QQE102" s="952"/>
      <c r="QQF102" s="952"/>
      <c r="QQG102" s="952"/>
      <c r="QQH102" s="952"/>
      <c r="QQI102" s="952"/>
      <c r="QQJ102" s="952"/>
      <c r="QQK102" s="952"/>
      <c r="QQL102" s="952"/>
      <c r="QQM102" s="952"/>
      <c r="QQN102" s="952"/>
      <c r="QQO102" s="952"/>
      <c r="QQP102" s="952"/>
      <c r="QQQ102" s="952"/>
      <c r="QQR102" s="952"/>
      <c r="QQS102" s="952"/>
      <c r="QQT102" s="952"/>
      <c r="QQU102" s="952"/>
      <c r="QQV102" s="952"/>
      <c r="QQW102" s="952"/>
      <c r="QQX102" s="952"/>
      <c r="QQY102" s="952"/>
      <c r="QQZ102" s="952"/>
      <c r="QRA102" s="952"/>
      <c r="QRB102" s="952"/>
      <c r="QRC102" s="952"/>
      <c r="QRD102" s="952"/>
      <c r="QRE102" s="952"/>
      <c r="QRF102" s="952"/>
      <c r="QRG102" s="952"/>
      <c r="QRH102" s="952"/>
      <c r="QRI102" s="952"/>
      <c r="QRJ102" s="952"/>
      <c r="QRK102" s="952"/>
      <c r="QRL102" s="952"/>
      <c r="QRM102" s="952"/>
      <c r="QRN102" s="952"/>
      <c r="QRO102" s="952"/>
      <c r="QRP102" s="952"/>
      <c r="QRQ102" s="952"/>
      <c r="QRR102" s="952"/>
      <c r="QRS102" s="952"/>
      <c r="QRT102" s="952"/>
      <c r="QRU102" s="952"/>
      <c r="QRV102" s="952"/>
      <c r="QRW102" s="952"/>
      <c r="QRX102" s="952"/>
      <c r="QRY102" s="952"/>
      <c r="QRZ102" s="952"/>
      <c r="QSA102" s="952"/>
      <c r="QSB102" s="952"/>
      <c r="QSC102" s="952"/>
      <c r="QSD102" s="952"/>
      <c r="QSE102" s="952"/>
      <c r="QSF102" s="952"/>
      <c r="QSG102" s="952"/>
      <c r="QSH102" s="952"/>
      <c r="QSI102" s="952"/>
      <c r="QSJ102" s="952"/>
      <c r="QSK102" s="952"/>
      <c r="QSL102" s="952"/>
      <c r="QSM102" s="952"/>
      <c r="QSN102" s="952"/>
      <c r="QSO102" s="952"/>
      <c r="QSP102" s="952"/>
      <c r="QSQ102" s="952"/>
      <c r="QSR102" s="952"/>
      <c r="QSS102" s="952"/>
      <c r="QST102" s="952"/>
      <c r="QSU102" s="952"/>
      <c r="QSV102" s="952"/>
      <c r="QSW102" s="952"/>
      <c r="QSX102" s="952"/>
      <c r="QSY102" s="952"/>
      <c r="QSZ102" s="952"/>
      <c r="QTA102" s="952"/>
      <c r="QTB102" s="952"/>
      <c r="QTC102" s="952"/>
      <c r="QTD102" s="952"/>
      <c r="QTE102" s="952"/>
      <c r="QTF102" s="952"/>
      <c r="QTG102" s="952"/>
      <c r="QTH102" s="952"/>
      <c r="QTI102" s="952"/>
      <c r="QTJ102" s="952"/>
      <c r="QTK102" s="952"/>
      <c r="QTL102" s="952"/>
      <c r="QTM102" s="952"/>
      <c r="QTN102" s="952"/>
      <c r="QTO102" s="952"/>
      <c r="QTP102" s="952"/>
      <c r="QTQ102" s="952"/>
      <c r="QTR102" s="952"/>
      <c r="QTS102" s="952"/>
      <c r="QTT102" s="952"/>
      <c r="QTU102" s="952"/>
      <c r="QTV102" s="952"/>
      <c r="QTW102" s="952"/>
      <c r="QTX102" s="952"/>
      <c r="QTY102" s="952"/>
      <c r="QTZ102" s="952"/>
      <c r="QUA102" s="952"/>
      <c r="QUB102" s="952"/>
      <c r="QUC102" s="952"/>
      <c r="QUD102" s="952"/>
      <c r="QUE102" s="952"/>
      <c r="QUF102" s="952"/>
      <c r="QUG102" s="952"/>
      <c r="QUH102" s="952"/>
      <c r="QUI102" s="952"/>
      <c r="QUJ102" s="952"/>
      <c r="QUK102" s="952"/>
      <c r="QUL102" s="952"/>
      <c r="QUM102" s="952"/>
      <c r="QUN102" s="952"/>
      <c r="QUO102" s="952"/>
      <c r="QUP102" s="952"/>
      <c r="QUQ102" s="952"/>
      <c r="QUR102" s="952"/>
      <c r="QUS102" s="952"/>
      <c r="QUT102" s="952"/>
      <c r="QUU102" s="952"/>
      <c r="QUV102" s="952"/>
      <c r="QUW102" s="952"/>
      <c r="QUX102" s="952"/>
      <c r="QUY102" s="952"/>
      <c r="QUZ102" s="952"/>
      <c r="QVA102" s="952"/>
      <c r="QVB102" s="952"/>
      <c r="QVC102" s="952"/>
      <c r="QVD102" s="952"/>
      <c r="QVE102" s="952"/>
      <c r="QVF102" s="952"/>
      <c r="QVG102" s="952"/>
      <c r="QVH102" s="952"/>
      <c r="QVI102" s="952"/>
      <c r="QVJ102" s="952"/>
      <c r="QVK102" s="952"/>
      <c r="QVL102" s="952"/>
      <c r="QVM102" s="952"/>
      <c r="QVN102" s="952"/>
      <c r="QVO102" s="952"/>
      <c r="QVP102" s="952"/>
      <c r="QVQ102" s="952"/>
      <c r="QVR102" s="952"/>
      <c r="QVS102" s="952"/>
      <c r="QVT102" s="952"/>
      <c r="QVU102" s="952"/>
      <c r="QVV102" s="952"/>
      <c r="QVW102" s="952"/>
      <c r="QVX102" s="952"/>
      <c r="QVY102" s="952"/>
      <c r="QVZ102" s="952"/>
      <c r="QWA102" s="952"/>
      <c r="QWB102" s="952"/>
      <c r="QWC102" s="952"/>
      <c r="QWD102" s="952"/>
      <c r="QWE102" s="952"/>
      <c r="QWF102" s="952"/>
      <c r="QWG102" s="952"/>
      <c r="QWH102" s="952"/>
      <c r="QWI102" s="952"/>
      <c r="QWJ102" s="952"/>
      <c r="QWK102" s="952"/>
      <c r="QWL102" s="952"/>
      <c r="QWM102" s="952"/>
      <c r="QWN102" s="952"/>
      <c r="QWO102" s="952"/>
      <c r="QWP102" s="952"/>
      <c r="QWQ102" s="952"/>
      <c r="QWR102" s="952"/>
      <c r="QWS102" s="952"/>
      <c r="QWT102" s="952"/>
      <c r="QWU102" s="952"/>
      <c r="QWV102" s="952"/>
      <c r="QWW102" s="952"/>
      <c r="QWX102" s="952"/>
      <c r="QWY102" s="952"/>
      <c r="QWZ102" s="952"/>
      <c r="QXA102" s="952"/>
      <c r="QXB102" s="952"/>
      <c r="QXC102" s="952"/>
      <c r="QXD102" s="952"/>
      <c r="QXE102" s="952"/>
      <c r="QXF102" s="952"/>
      <c r="QXG102" s="952"/>
      <c r="QXH102" s="952"/>
      <c r="QXI102" s="952"/>
      <c r="QXJ102" s="952"/>
      <c r="QXK102" s="952"/>
      <c r="QXL102" s="952"/>
      <c r="QXM102" s="952"/>
      <c r="QXN102" s="952"/>
      <c r="QXO102" s="952"/>
      <c r="QXP102" s="952"/>
      <c r="QXQ102" s="952"/>
      <c r="QXR102" s="952"/>
      <c r="QXS102" s="952"/>
      <c r="QXT102" s="952"/>
      <c r="QXU102" s="952"/>
      <c r="QXV102" s="952"/>
      <c r="QXW102" s="952"/>
      <c r="QXX102" s="952"/>
      <c r="QXY102" s="952"/>
      <c r="QXZ102" s="952"/>
      <c r="QYA102" s="952"/>
      <c r="QYB102" s="952"/>
      <c r="QYC102" s="952"/>
      <c r="QYD102" s="952"/>
      <c r="QYE102" s="952"/>
      <c r="QYF102" s="952"/>
      <c r="QYG102" s="952"/>
      <c r="QYH102" s="952"/>
      <c r="QYI102" s="952"/>
      <c r="QYJ102" s="952"/>
      <c r="QYK102" s="952"/>
      <c r="QYL102" s="952"/>
      <c r="QYM102" s="952"/>
      <c r="QYN102" s="952"/>
      <c r="QYO102" s="952"/>
      <c r="QYP102" s="952"/>
      <c r="QYQ102" s="952"/>
      <c r="QYR102" s="952"/>
      <c r="QYS102" s="952"/>
      <c r="QYT102" s="952"/>
      <c r="QYU102" s="952"/>
      <c r="QYV102" s="952"/>
      <c r="QYW102" s="952"/>
      <c r="QYX102" s="952"/>
      <c r="QYY102" s="952"/>
      <c r="QYZ102" s="952"/>
      <c r="QZA102" s="952"/>
      <c r="QZB102" s="952"/>
      <c r="QZC102" s="952"/>
      <c r="QZD102" s="952"/>
      <c r="QZE102" s="952"/>
      <c r="QZF102" s="952"/>
      <c r="QZG102" s="952"/>
      <c r="QZH102" s="952"/>
      <c r="QZI102" s="952"/>
      <c r="QZJ102" s="952"/>
      <c r="QZK102" s="952"/>
      <c r="QZL102" s="952"/>
      <c r="QZM102" s="952"/>
      <c r="QZN102" s="952"/>
      <c r="QZO102" s="952"/>
      <c r="QZP102" s="952"/>
      <c r="QZQ102" s="952"/>
      <c r="QZR102" s="952"/>
      <c r="QZS102" s="952"/>
      <c r="QZT102" s="952"/>
      <c r="QZU102" s="952"/>
      <c r="QZV102" s="952"/>
      <c r="QZW102" s="952"/>
      <c r="QZX102" s="952"/>
      <c r="QZY102" s="952"/>
      <c r="QZZ102" s="952"/>
      <c r="RAA102" s="952"/>
      <c r="RAB102" s="952"/>
      <c r="RAC102" s="952"/>
      <c r="RAD102" s="952"/>
      <c r="RAE102" s="952"/>
      <c r="RAF102" s="952"/>
      <c r="RAG102" s="952"/>
      <c r="RAH102" s="952"/>
      <c r="RAI102" s="952"/>
      <c r="RAJ102" s="952"/>
      <c r="RAK102" s="952"/>
      <c r="RAL102" s="952"/>
      <c r="RAM102" s="952"/>
      <c r="RAN102" s="952"/>
      <c r="RAO102" s="952"/>
      <c r="RAP102" s="952"/>
      <c r="RAQ102" s="952"/>
      <c r="RAR102" s="952"/>
      <c r="RAS102" s="952"/>
      <c r="RAT102" s="952"/>
      <c r="RAU102" s="952"/>
      <c r="RAV102" s="952"/>
      <c r="RAW102" s="952"/>
      <c r="RAX102" s="952"/>
      <c r="RAY102" s="952"/>
      <c r="RAZ102" s="952"/>
      <c r="RBA102" s="952"/>
      <c r="RBB102" s="952"/>
      <c r="RBC102" s="952"/>
      <c r="RBD102" s="952"/>
      <c r="RBE102" s="952"/>
      <c r="RBF102" s="952"/>
      <c r="RBG102" s="952"/>
      <c r="RBH102" s="952"/>
      <c r="RBI102" s="952"/>
      <c r="RBJ102" s="952"/>
      <c r="RBK102" s="952"/>
      <c r="RBL102" s="952"/>
      <c r="RBM102" s="952"/>
      <c r="RBN102" s="952"/>
      <c r="RBO102" s="952"/>
      <c r="RBP102" s="952"/>
      <c r="RBQ102" s="952"/>
      <c r="RBR102" s="952"/>
      <c r="RBS102" s="952"/>
      <c r="RBT102" s="952"/>
      <c r="RBU102" s="952"/>
      <c r="RBV102" s="952"/>
      <c r="RBW102" s="952"/>
      <c r="RBX102" s="952"/>
      <c r="RBY102" s="952"/>
      <c r="RBZ102" s="952"/>
      <c r="RCA102" s="952"/>
      <c r="RCB102" s="952"/>
      <c r="RCC102" s="952"/>
      <c r="RCD102" s="952"/>
      <c r="RCE102" s="952"/>
      <c r="RCF102" s="952"/>
      <c r="RCG102" s="952"/>
      <c r="RCH102" s="952"/>
      <c r="RCI102" s="952"/>
      <c r="RCJ102" s="952"/>
      <c r="RCK102" s="952"/>
      <c r="RCL102" s="952"/>
      <c r="RCM102" s="952"/>
      <c r="RCN102" s="952"/>
      <c r="RCO102" s="952"/>
      <c r="RCP102" s="952"/>
      <c r="RCQ102" s="952"/>
      <c r="RCR102" s="952"/>
      <c r="RCS102" s="952"/>
      <c r="RCT102" s="952"/>
      <c r="RCU102" s="952"/>
      <c r="RCV102" s="952"/>
      <c r="RCW102" s="952"/>
      <c r="RCX102" s="952"/>
      <c r="RCY102" s="952"/>
      <c r="RCZ102" s="952"/>
      <c r="RDA102" s="952"/>
      <c r="RDB102" s="952"/>
      <c r="RDC102" s="952"/>
      <c r="RDD102" s="952"/>
      <c r="RDE102" s="952"/>
      <c r="RDF102" s="952"/>
      <c r="RDG102" s="952"/>
      <c r="RDH102" s="952"/>
      <c r="RDI102" s="952"/>
      <c r="RDJ102" s="952"/>
      <c r="RDK102" s="952"/>
      <c r="RDL102" s="952"/>
      <c r="RDM102" s="952"/>
      <c r="RDN102" s="952"/>
      <c r="RDO102" s="952"/>
      <c r="RDP102" s="952"/>
      <c r="RDQ102" s="952"/>
      <c r="RDR102" s="952"/>
      <c r="RDS102" s="952"/>
      <c r="RDT102" s="952"/>
      <c r="RDU102" s="952"/>
      <c r="RDV102" s="952"/>
      <c r="RDW102" s="952"/>
      <c r="RDX102" s="952"/>
      <c r="RDY102" s="952"/>
      <c r="RDZ102" s="952"/>
      <c r="REA102" s="952"/>
      <c r="REB102" s="952"/>
      <c r="REC102" s="952"/>
      <c r="RED102" s="952"/>
      <c r="REE102" s="952"/>
      <c r="REF102" s="952"/>
      <c r="REG102" s="952"/>
      <c r="REH102" s="952"/>
      <c r="REI102" s="952"/>
      <c r="REJ102" s="952"/>
      <c r="REK102" s="952"/>
      <c r="REL102" s="952"/>
      <c r="REM102" s="952"/>
      <c r="REN102" s="952"/>
      <c r="REO102" s="952"/>
      <c r="REP102" s="952"/>
      <c r="REQ102" s="952"/>
      <c r="RER102" s="952"/>
      <c r="RES102" s="952"/>
      <c r="RET102" s="952"/>
      <c r="REU102" s="952"/>
      <c r="REV102" s="952"/>
      <c r="REW102" s="952"/>
      <c r="REX102" s="952"/>
      <c r="REY102" s="952"/>
      <c r="REZ102" s="952"/>
      <c r="RFA102" s="952"/>
      <c r="RFB102" s="952"/>
      <c r="RFC102" s="952"/>
      <c r="RFD102" s="952"/>
      <c r="RFE102" s="952"/>
      <c r="RFF102" s="952"/>
      <c r="RFG102" s="952"/>
      <c r="RFH102" s="952"/>
      <c r="RFI102" s="952"/>
      <c r="RFJ102" s="952"/>
      <c r="RFK102" s="952"/>
      <c r="RFL102" s="952"/>
      <c r="RFM102" s="952"/>
      <c r="RFN102" s="952"/>
      <c r="RFO102" s="952"/>
      <c r="RFP102" s="952"/>
      <c r="RFQ102" s="952"/>
      <c r="RFR102" s="952"/>
      <c r="RFS102" s="952"/>
      <c r="RFT102" s="952"/>
      <c r="RFU102" s="952"/>
      <c r="RFV102" s="952"/>
      <c r="RFW102" s="952"/>
      <c r="RFX102" s="952"/>
      <c r="RFY102" s="952"/>
      <c r="RFZ102" s="952"/>
      <c r="RGA102" s="952"/>
      <c r="RGB102" s="952"/>
      <c r="RGC102" s="952"/>
      <c r="RGD102" s="952"/>
      <c r="RGE102" s="952"/>
      <c r="RGF102" s="952"/>
      <c r="RGG102" s="952"/>
      <c r="RGH102" s="952"/>
      <c r="RGI102" s="952"/>
      <c r="RGJ102" s="952"/>
      <c r="RGK102" s="952"/>
      <c r="RGL102" s="952"/>
      <c r="RGM102" s="952"/>
      <c r="RGN102" s="952"/>
      <c r="RGO102" s="952"/>
      <c r="RGP102" s="952"/>
      <c r="RGQ102" s="952"/>
      <c r="RGR102" s="952"/>
      <c r="RGS102" s="952"/>
      <c r="RGT102" s="952"/>
      <c r="RGU102" s="952"/>
      <c r="RGV102" s="952"/>
      <c r="RGW102" s="952"/>
      <c r="RGX102" s="952"/>
      <c r="RGY102" s="952"/>
      <c r="RGZ102" s="952"/>
      <c r="RHA102" s="952"/>
      <c r="RHB102" s="952"/>
      <c r="RHC102" s="952"/>
      <c r="RHD102" s="952"/>
      <c r="RHE102" s="952"/>
      <c r="RHF102" s="952"/>
      <c r="RHG102" s="952"/>
      <c r="RHH102" s="952"/>
      <c r="RHI102" s="952"/>
      <c r="RHJ102" s="952"/>
      <c r="RHK102" s="952"/>
      <c r="RHL102" s="952"/>
      <c r="RHM102" s="952"/>
      <c r="RHN102" s="952"/>
      <c r="RHO102" s="952"/>
      <c r="RHP102" s="952"/>
      <c r="RHQ102" s="952"/>
      <c r="RHR102" s="952"/>
      <c r="RHS102" s="952"/>
      <c r="RHT102" s="952"/>
      <c r="RHU102" s="952"/>
      <c r="RHV102" s="952"/>
      <c r="RHW102" s="952"/>
      <c r="RHX102" s="952"/>
      <c r="RHY102" s="952"/>
      <c r="RHZ102" s="952"/>
      <c r="RIA102" s="952"/>
      <c r="RIB102" s="952"/>
      <c r="RIC102" s="952"/>
      <c r="RID102" s="952"/>
      <c r="RIE102" s="952"/>
      <c r="RIF102" s="952"/>
      <c r="RIG102" s="952"/>
      <c r="RIH102" s="952"/>
      <c r="RII102" s="952"/>
      <c r="RIJ102" s="952"/>
      <c r="RIK102" s="952"/>
      <c r="RIL102" s="952"/>
      <c r="RIM102" s="952"/>
      <c r="RIN102" s="952"/>
      <c r="RIO102" s="952"/>
      <c r="RIP102" s="952"/>
      <c r="RIQ102" s="952"/>
      <c r="RIR102" s="952"/>
      <c r="RIS102" s="952"/>
      <c r="RIT102" s="952"/>
      <c r="RIU102" s="952"/>
      <c r="RIV102" s="952"/>
      <c r="RIW102" s="952"/>
      <c r="RIX102" s="952"/>
      <c r="RIY102" s="952"/>
      <c r="RIZ102" s="952"/>
      <c r="RJA102" s="952"/>
      <c r="RJB102" s="952"/>
      <c r="RJC102" s="952"/>
      <c r="RJD102" s="952"/>
      <c r="RJE102" s="952"/>
      <c r="RJF102" s="952"/>
      <c r="RJG102" s="952"/>
      <c r="RJH102" s="952"/>
      <c r="RJI102" s="952"/>
      <c r="RJJ102" s="952"/>
      <c r="RJK102" s="952"/>
      <c r="RJL102" s="952"/>
      <c r="RJM102" s="952"/>
      <c r="RJN102" s="952"/>
      <c r="RJO102" s="952"/>
      <c r="RJP102" s="952"/>
      <c r="RJQ102" s="952"/>
      <c r="RJR102" s="952"/>
      <c r="RJS102" s="952"/>
      <c r="RJT102" s="952"/>
      <c r="RJU102" s="952"/>
      <c r="RJV102" s="952"/>
      <c r="RJW102" s="952"/>
      <c r="RJX102" s="952"/>
      <c r="RJY102" s="952"/>
      <c r="RJZ102" s="952"/>
      <c r="RKA102" s="952"/>
      <c r="RKB102" s="952"/>
      <c r="RKC102" s="952"/>
      <c r="RKD102" s="952"/>
      <c r="RKE102" s="952"/>
      <c r="RKF102" s="952"/>
      <c r="RKG102" s="952"/>
      <c r="RKH102" s="952"/>
      <c r="RKI102" s="952"/>
      <c r="RKJ102" s="952"/>
      <c r="RKK102" s="952"/>
      <c r="RKL102" s="952"/>
      <c r="RKM102" s="952"/>
      <c r="RKN102" s="952"/>
      <c r="RKO102" s="952"/>
      <c r="RKP102" s="952"/>
      <c r="RKQ102" s="952"/>
      <c r="RKR102" s="952"/>
      <c r="RKS102" s="952"/>
      <c r="RKT102" s="952"/>
      <c r="RKU102" s="952"/>
      <c r="RKV102" s="952"/>
      <c r="RKW102" s="952"/>
      <c r="RKX102" s="952"/>
      <c r="RKY102" s="952"/>
      <c r="RKZ102" s="952"/>
      <c r="RLA102" s="952"/>
      <c r="RLB102" s="952"/>
      <c r="RLC102" s="952"/>
      <c r="RLD102" s="952"/>
      <c r="RLE102" s="952"/>
      <c r="RLF102" s="952"/>
      <c r="RLG102" s="952"/>
      <c r="RLH102" s="952"/>
      <c r="RLI102" s="952"/>
      <c r="RLJ102" s="952"/>
      <c r="RLK102" s="952"/>
      <c r="RLL102" s="952"/>
      <c r="RLM102" s="952"/>
      <c r="RLN102" s="952"/>
      <c r="RLO102" s="952"/>
      <c r="RLP102" s="952"/>
      <c r="RLQ102" s="952"/>
      <c r="RLR102" s="952"/>
      <c r="RLS102" s="952"/>
      <c r="RLT102" s="952"/>
      <c r="RLU102" s="952"/>
      <c r="RLV102" s="952"/>
      <c r="RLW102" s="952"/>
      <c r="RLX102" s="952"/>
      <c r="RLY102" s="952"/>
      <c r="RLZ102" s="952"/>
      <c r="RMA102" s="952"/>
      <c r="RMB102" s="952"/>
      <c r="RMC102" s="952"/>
      <c r="RMD102" s="952"/>
      <c r="RME102" s="952"/>
      <c r="RMF102" s="952"/>
      <c r="RMG102" s="952"/>
      <c r="RMH102" s="952"/>
      <c r="RMI102" s="952"/>
      <c r="RMJ102" s="952"/>
      <c r="RMK102" s="952"/>
      <c r="RML102" s="952"/>
      <c r="RMM102" s="952"/>
      <c r="RMN102" s="952"/>
      <c r="RMO102" s="952"/>
      <c r="RMP102" s="952"/>
      <c r="RMQ102" s="952"/>
      <c r="RMR102" s="952"/>
      <c r="RMS102" s="952"/>
      <c r="RMT102" s="952"/>
      <c r="RMU102" s="952"/>
      <c r="RMV102" s="952"/>
      <c r="RMW102" s="952"/>
      <c r="RMX102" s="952"/>
      <c r="RMY102" s="952"/>
      <c r="RMZ102" s="952"/>
      <c r="RNA102" s="952"/>
      <c r="RNB102" s="952"/>
      <c r="RNC102" s="952"/>
      <c r="RND102" s="952"/>
      <c r="RNE102" s="952"/>
      <c r="RNF102" s="952"/>
      <c r="RNG102" s="952"/>
      <c r="RNH102" s="952"/>
      <c r="RNI102" s="952"/>
      <c r="RNJ102" s="952"/>
      <c r="RNK102" s="952"/>
      <c r="RNL102" s="952"/>
      <c r="RNM102" s="952"/>
      <c r="RNN102" s="952"/>
      <c r="RNO102" s="952"/>
      <c r="RNP102" s="952"/>
      <c r="RNQ102" s="952"/>
      <c r="RNR102" s="952"/>
      <c r="RNS102" s="952"/>
      <c r="RNT102" s="952"/>
      <c r="RNU102" s="952"/>
      <c r="RNV102" s="952"/>
      <c r="RNW102" s="952"/>
      <c r="RNX102" s="952"/>
      <c r="RNY102" s="952"/>
      <c r="RNZ102" s="952"/>
      <c r="ROA102" s="952"/>
      <c r="ROB102" s="952"/>
      <c r="ROC102" s="952"/>
      <c r="ROD102" s="952"/>
      <c r="ROE102" s="952"/>
      <c r="ROF102" s="952"/>
      <c r="ROG102" s="952"/>
      <c r="ROH102" s="952"/>
      <c r="ROI102" s="952"/>
      <c r="ROJ102" s="952"/>
      <c r="ROK102" s="952"/>
      <c r="ROL102" s="952"/>
      <c r="ROM102" s="952"/>
      <c r="RON102" s="952"/>
      <c r="ROO102" s="952"/>
      <c r="ROP102" s="952"/>
      <c r="ROQ102" s="952"/>
      <c r="ROR102" s="952"/>
      <c r="ROS102" s="952"/>
      <c r="ROT102" s="952"/>
      <c r="ROU102" s="952"/>
      <c r="ROV102" s="952"/>
      <c r="ROW102" s="952"/>
      <c r="ROX102" s="952"/>
      <c r="ROY102" s="952"/>
      <c r="ROZ102" s="952"/>
      <c r="RPA102" s="952"/>
      <c r="RPB102" s="952"/>
      <c r="RPC102" s="952"/>
      <c r="RPD102" s="952"/>
      <c r="RPE102" s="952"/>
      <c r="RPF102" s="952"/>
      <c r="RPG102" s="952"/>
      <c r="RPH102" s="952"/>
      <c r="RPI102" s="952"/>
      <c r="RPJ102" s="952"/>
      <c r="RPK102" s="952"/>
      <c r="RPL102" s="952"/>
      <c r="RPM102" s="952"/>
      <c r="RPN102" s="952"/>
      <c r="RPO102" s="952"/>
      <c r="RPP102" s="952"/>
      <c r="RPQ102" s="952"/>
      <c r="RPR102" s="952"/>
      <c r="RPS102" s="952"/>
      <c r="RPT102" s="952"/>
      <c r="RPU102" s="952"/>
      <c r="RPV102" s="952"/>
      <c r="RPW102" s="952"/>
      <c r="RPX102" s="952"/>
      <c r="RPY102" s="952"/>
      <c r="RPZ102" s="952"/>
      <c r="RQA102" s="952"/>
      <c r="RQB102" s="952"/>
      <c r="RQC102" s="952"/>
      <c r="RQD102" s="952"/>
      <c r="RQE102" s="952"/>
      <c r="RQF102" s="952"/>
      <c r="RQG102" s="952"/>
      <c r="RQH102" s="952"/>
      <c r="RQI102" s="952"/>
      <c r="RQJ102" s="952"/>
      <c r="RQK102" s="952"/>
      <c r="RQL102" s="952"/>
      <c r="RQM102" s="952"/>
      <c r="RQN102" s="952"/>
      <c r="RQO102" s="952"/>
      <c r="RQP102" s="952"/>
      <c r="RQQ102" s="952"/>
      <c r="RQR102" s="952"/>
      <c r="RQS102" s="952"/>
      <c r="RQT102" s="952"/>
      <c r="RQU102" s="952"/>
      <c r="RQV102" s="952"/>
      <c r="RQW102" s="952"/>
      <c r="RQX102" s="952"/>
      <c r="RQY102" s="952"/>
      <c r="RQZ102" s="952"/>
      <c r="RRA102" s="952"/>
      <c r="RRB102" s="952"/>
      <c r="RRC102" s="952"/>
      <c r="RRD102" s="952"/>
      <c r="RRE102" s="952"/>
      <c r="RRF102" s="952"/>
      <c r="RRG102" s="952"/>
      <c r="RRH102" s="952"/>
      <c r="RRI102" s="952"/>
      <c r="RRJ102" s="952"/>
      <c r="RRK102" s="952"/>
      <c r="RRL102" s="952"/>
      <c r="RRM102" s="952"/>
      <c r="RRN102" s="952"/>
      <c r="RRO102" s="952"/>
      <c r="RRP102" s="952"/>
      <c r="RRQ102" s="952"/>
      <c r="RRR102" s="952"/>
      <c r="RRS102" s="952"/>
      <c r="RRT102" s="952"/>
      <c r="RRU102" s="952"/>
      <c r="RRV102" s="952"/>
      <c r="RRW102" s="952"/>
      <c r="RRX102" s="952"/>
      <c r="RRY102" s="952"/>
      <c r="RRZ102" s="952"/>
      <c r="RSA102" s="952"/>
      <c r="RSB102" s="952"/>
      <c r="RSC102" s="952"/>
      <c r="RSD102" s="952"/>
      <c r="RSE102" s="952"/>
      <c r="RSF102" s="952"/>
      <c r="RSG102" s="952"/>
      <c r="RSH102" s="952"/>
      <c r="RSI102" s="952"/>
      <c r="RSJ102" s="952"/>
      <c r="RSK102" s="952"/>
      <c r="RSL102" s="952"/>
      <c r="RSM102" s="952"/>
      <c r="RSN102" s="952"/>
      <c r="RSO102" s="952"/>
      <c r="RSP102" s="952"/>
      <c r="RSQ102" s="952"/>
      <c r="RSR102" s="952"/>
      <c r="RSS102" s="952"/>
      <c r="RST102" s="952"/>
      <c r="RSU102" s="952"/>
      <c r="RSV102" s="952"/>
      <c r="RSW102" s="952"/>
      <c r="RSX102" s="952"/>
      <c r="RSY102" s="952"/>
      <c r="RSZ102" s="952"/>
      <c r="RTA102" s="952"/>
      <c r="RTB102" s="952"/>
      <c r="RTC102" s="952"/>
      <c r="RTD102" s="952"/>
      <c r="RTE102" s="952"/>
      <c r="RTF102" s="952"/>
      <c r="RTG102" s="952"/>
      <c r="RTH102" s="952"/>
      <c r="RTI102" s="952"/>
      <c r="RTJ102" s="952"/>
      <c r="RTK102" s="952"/>
      <c r="RTL102" s="952"/>
      <c r="RTM102" s="952"/>
      <c r="RTN102" s="952"/>
      <c r="RTO102" s="952"/>
      <c r="RTP102" s="952"/>
      <c r="RTQ102" s="952"/>
      <c r="RTR102" s="952"/>
      <c r="RTS102" s="952"/>
      <c r="RTT102" s="952"/>
      <c r="RTU102" s="952"/>
      <c r="RTV102" s="952"/>
      <c r="RTW102" s="952"/>
      <c r="RTX102" s="952"/>
      <c r="RTY102" s="952"/>
      <c r="RTZ102" s="952"/>
      <c r="RUA102" s="952"/>
      <c r="RUB102" s="952"/>
      <c r="RUC102" s="952"/>
      <c r="RUD102" s="952"/>
      <c r="RUE102" s="952"/>
      <c r="RUF102" s="952"/>
      <c r="RUG102" s="952"/>
      <c r="RUH102" s="952"/>
      <c r="RUI102" s="952"/>
      <c r="RUJ102" s="952"/>
      <c r="RUK102" s="952"/>
      <c r="RUL102" s="952"/>
      <c r="RUM102" s="952"/>
      <c r="RUN102" s="952"/>
      <c r="RUO102" s="952"/>
      <c r="RUP102" s="952"/>
      <c r="RUQ102" s="952"/>
      <c r="RUR102" s="952"/>
      <c r="RUS102" s="952"/>
      <c r="RUT102" s="952"/>
      <c r="RUU102" s="952"/>
      <c r="RUV102" s="952"/>
      <c r="RUW102" s="952"/>
      <c r="RUX102" s="952"/>
      <c r="RUY102" s="952"/>
      <c r="RUZ102" s="952"/>
      <c r="RVA102" s="952"/>
      <c r="RVB102" s="952"/>
      <c r="RVC102" s="952"/>
      <c r="RVD102" s="952"/>
      <c r="RVE102" s="952"/>
      <c r="RVF102" s="952"/>
      <c r="RVG102" s="952"/>
      <c r="RVH102" s="952"/>
      <c r="RVI102" s="952"/>
      <c r="RVJ102" s="952"/>
      <c r="RVK102" s="952"/>
      <c r="RVL102" s="952"/>
      <c r="RVM102" s="952"/>
      <c r="RVN102" s="952"/>
      <c r="RVO102" s="952"/>
      <c r="RVP102" s="952"/>
      <c r="RVQ102" s="952"/>
      <c r="RVR102" s="952"/>
      <c r="RVS102" s="952"/>
      <c r="RVT102" s="952"/>
      <c r="RVU102" s="952"/>
      <c r="RVV102" s="952"/>
      <c r="RVW102" s="952"/>
      <c r="RVX102" s="952"/>
      <c r="RVY102" s="952"/>
      <c r="RVZ102" s="952"/>
      <c r="RWA102" s="952"/>
      <c r="RWB102" s="952"/>
      <c r="RWC102" s="952"/>
      <c r="RWD102" s="952"/>
      <c r="RWE102" s="952"/>
      <c r="RWF102" s="952"/>
      <c r="RWG102" s="952"/>
      <c r="RWH102" s="952"/>
      <c r="RWI102" s="952"/>
      <c r="RWJ102" s="952"/>
      <c r="RWK102" s="952"/>
      <c r="RWL102" s="952"/>
      <c r="RWM102" s="952"/>
      <c r="RWN102" s="952"/>
      <c r="RWO102" s="952"/>
      <c r="RWP102" s="952"/>
      <c r="RWQ102" s="952"/>
      <c r="RWR102" s="952"/>
      <c r="RWS102" s="952"/>
      <c r="RWT102" s="952"/>
      <c r="RWU102" s="952"/>
      <c r="RWV102" s="952"/>
      <c r="RWW102" s="952"/>
      <c r="RWX102" s="952"/>
      <c r="RWY102" s="952"/>
      <c r="RWZ102" s="952"/>
      <c r="RXA102" s="952"/>
      <c r="RXB102" s="952"/>
      <c r="RXC102" s="952"/>
      <c r="RXD102" s="952"/>
      <c r="RXE102" s="952"/>
      <c r="RXF102" s="952"/>
      <c r="RXG102" s="952"/>
      <c r="RXH102" s="952"/>
      <c r="RXI102" s="952"/>
      <c r="RXJ102" s="952"/>
      <c r="RXK102" s="952"/>
      <c r="RXL102" s="952"/>
      <c r="RXM102" s="952"/>
      <c r="RXN102" s="952"/>
      <c r="RXO102" s="952"/>
      <c r="RXP102" s="952"/>
      <c r="RXQ102" s="952"/>
      <c r="RXR102" s="952"/>
      <c r="RXS102" s="952"/>
      <c r="RXT102" s="952"/>
      <c r="RXU102" s="952"/>
      <c r="RXV102" s="952"/>
      <c r="RXW102" s="952"/>
      <c r="RXX102" s="952"/>
      <c r="RXY102" s="952"/>
      <c r="RXZ102" s="952"/>
      <c r="RYA102" s="952"/>
      <c r="RYB102" s="952"/>
      <c r="RYC102" s="952"/>
      <c r="RYD102" s="952"/>
      <c r="RYE102" s="952"/>
      <c r="RYF102" s="952"/>
      <c r="RYG102" s="952"/>
      <c r="RYH102" s="952"/>
      <c r="RYI102" s="952"/>
      <c r="RYJ102" s="952"/>
      <c r="RYK102" s="952"/>
      <c r="RYL102" s="952"/>
      <c r="RYM102" s="952"/>
      <c r="RYN102" s="952"/>
      <c r="RYO102" s="952"/>
      <c r="RYP102" s="952"/>
      <c r="RYQ102" s="952"/>
      <c r="RYR102" s="952"/>
      <c r="RYS102" s="952"/>
      <c r="RYT102" s="952"/>
      <c r="RYU102" s="952"/>
      <c r="RYV102" s="952"/>
      <c r="RYW102" s="952"/>
      <c r="RYX102" s="952"/>
      <c r="RYY102" s="952"/>
      <c r="RYZ102" s="952"/>
      <c r="RZA102" s="952"/>
      <c r="RZB102" s="952"/>
      <c r="RZC102" s="952"/>
      <c r="RZD102" s="952"/>
      <c r="RZE102" s="952"/>
      <c r="RZF102" s="952"/>
      <c r="RZG102" s="952"/>
      <c r="RZH102" s="952"/>
      <c r="RZI102" s="952"/>
      <c r="RZJ102" s="952"/>
      <c r="RZK102" s="952"/>
      <c r="RZL102" s="952"/>
      <c r="RZM102" s="952"/>
      <c r="RZN102" s="952"/>
      <c r="RZO102" s="952"/>
      <c r="RZP102" s="952"/>
      <c r="RZQ102" s="952"/>
      <c r="RZR102" s="952"/>
      <c r="RZS102" s="952"/>
      <c r="RZT102" s="952"/>
      <c r="RZU102" s="952"/>
      <c r="RZV102" s="952"/>
      <c r="RZW102" s="952"/>
      <c r="RZX102" s="952"/>
      <c r="RZY102" s="952"/>
      <c r="RZZ102" s="952"/>
      <c r="SAA102" s="952"/>
      <c r="SAB102" s="952"/>
      <c r="SAC102" s="952"/>
      <c r="SAD102" s="952"/>
      <c r="SAE102" s="952"/>
      <c r="SAF102" s="952"/>
      <c r="SAG102" s="952"/>
      <c r="SAH102" s="952"/>
      <c r="SAI102" s="952"/>
      <c r="SAJ102" s="952"/>
      <c r="SAK102" s="952"/>
      <c r="SAL102" s="952"/>
      <c r="SAM102" s="952"/>
      <c r="SAN102" s="952"/>
      <c r="SAO102" s="952"/>
      <c r="SAP102" s="952"/>
      <c r="SAQ102" s="952"/>
      <c r="SAR102" s="952"/>
      <c r="SAS102" s="952"/>
      <c r="SAT102" s="952"/>
      <c r="SAU102" s="952"/>
      <c r="SAV102" s="952"/>
      <c r="SAW102" s="952"/>
      <c r="SAX102" s="952"/>
      <c r="SAY102" s="952"/>
      <c r="SAZ102" s="952"/>
      <c r="SBA102" s="952"/>
      <c r="SBB102" s="952"/>
      <c r="SBC102" s="952"/>
      <c r="SBD102" s="952"/>
      <c r="SBE102" s="952"/>
      <c r="SBF102" s="952"/>
      <c r="SBG102" s="952"/>
      <c r="SBH102" s="952"/>
      <c r="SBI102" s="952"/>
      <c r="SBJ102" s="952"/>
      <c r="SBK102" s="952"/>
      <c r="SBL102" s="952"/>
      <c r="SBM102" s="952"/>
      <c r="SBN102" s="952"/>
      <c r="SBO102" s="952"/>
      <c r="SBP102" s="952"/>
      <c r="SBQ102" s="952"/>
      <c r="SBR102" s="952"/>
      <c r="SBS102" s="952"/>
      <c r="SBT102" s="952"/>
      <c r="SBU102" s="952"/>
      <c r="SBV102" s="952"/>
      <c r="SBW102" s="952"/>
      <c r="SBX102" s="952"/>
      <c r="SBY102" s="952"/>
      <c r="SBZ102" s="952"/>
      <c r="SCA102" s="952"/>
      <c r="SCB102" s="952"/>
      <c r="SCC102" s="952"/>
      <c r="SCD102" s="952"/>
      <c r="SCE102" s="952"/>
      <c r="SCF102" s="952"/>
      <c r="SCG102" s="952"/>
      <c r="SCH102" s="952"/>
      <c r="SCI102" s="952"/>
      <c r="SCJ102" s="952"/>
      <c r="SCK102" s="952"/>
      <c r="SCL102" s="952"/>
      <c r="SCM102" s="952"/>
      <c r="SCN102" s="952"/>
      <c r="SCO102" s="952"/>
      <c r="SCP102" s="952"/>
      <c r="SCQ102" s="952"/>
      <c r="SCR102" s="952"/>
      <c r="SCS102" s="952"/>
      <c r="SCT102" s="952"/>
      <c r="SCU102" s="952"/>
      <c r="SCV102" s="952"/>
      <c r="SCW102" s="952"/>
      <c r="SCX102" s="952"/>
      <c r="SCY102" s="952"/>
      <c r="SCZ102" s="952"/>
      <c r="SDA102" s="952"/>
      <c r="SDB102" s="952"/>
      <c r="SDC102" s="952"/>
      <c r="SDD102" s="952"/>
      <c r="SDE102" s="952"/>
      <c r="SDF102" s="952"/>
      <c r="SDG102" s="952"/>
      <c r="SDH102" s="952"/>
      <c r="SDI102" s="952"/>
      <c r="SDJ102" s="952"/>
      <c r="SDK102" s="952"/>
      <c r="SDL102" s="952"/>
      <c r="SDM102" s="952"/>
      <c r="SDN102" s="952"/>
      <c r="SDO102" s="952"/>
      <c r="SDP102" s="952"/>
      <c r="SDQ102" s="952"/>
      <c r="SDR102" s="952"/>
      <c r="SDS102" s="952"/>
      <c r="SDT102" s="952"/>
      <c r="SDU102" s="952"/>
      <c r="SDV102" s="952"/>
      <c r="SDW102" s="952"/>
      <c r="SDX102" s="952"/>
      <c r="SDY102" s="952"/>
      <c r="SDZ102" s="952"/>
      <c r="SEA102" s="952"/>
      <c r="SEB102" s="952"/>
      <c r="SEC102" s="952"/>
      <c r="SED102" s="952"/>
      <c r="SEE102" s="952"/>
      <c r="SEF102" s="952"/>
      <c r="SEG102" s="952"/>
      <c r="SEH102" s="952"/>
      <c r="SEI102" s="952"/>
      <c r="SEJ102" s="952"/>
      <c r="SEK102" s="952"/>
      <c r="SEL102" s="952"/>
      <c r="SEM102" s="952"/>
      <c r="SEN102" s="952"/>
      <c r="SEO102" s="952"/>
      <c r="SEP102" s="952"/>
      <c r="SEQ102" s="952"/>
      <c r="SER102" s="952"/>
      <c r="SES102" s="952"/>
      <c r="SET102" s="952"/>
      <c r="SEU102" s="952"/>
      <c r="SEV102" s="952"/>
      <c r="SEW102" s="952"/>
      <c r="SEX102" s="952"/>
      <c r="SEY102" s="952"/>
      <c r="SEZ102" s="952"/>
      <c r="SFA102" s="952"/>
      <c r="SFB102" s="952"/>
      <c r="SFC102" s="952"/>
      <c r="SFD102" s="952"/>
      <c r="SFE102" s="952"/>
      <c r="SFF102" s="952"/>
      <c r="SFG102" s="952"/>
      <c r="SFH102" s="952"/>
      <c r="SFI102" s="952"/>
      <c r="SFJ102" s="952"/>
      <c r="SFK102" s="952"/>
      <c r="SFL102" s="952"/>
      <c r="SFM102" s="952"/>
      <c r="SFN102" s="952"/>
      <c r="SFO102" s="952"/>
      <c r="SFP102" s="952"/>
      <c r="SFQ102" s="952"/>
      <c r="SFR102" s="952"/>
      <c r="SFS102" s="952"/>
      <c r="SFT102" s="952"/>
      <c r="SFU102" s="952"/>
      <c r="SFV102" s="952"/>
      <c r="SFW102" s="952"/>
      <c r="SFX102" s="952"/>
      <c r="SFY102" s="952"/>
      <c r="SFZ102" s="952"/>
      <c r="SGA102" s="952"/>
      <c r="SGB102" s="952"/>
      <c r="SGC102" s="952"/>
      <c r="SGD102" s="952"/>
      <c r="SGE102" s="952"/>
      <c r="SGF102" s="952"/>
      <c r="SGG102" s="952"/>
      <c r="SGH102" s="952"/>
      <c r="SGI102" s="952"/>
      <c r="SGJ102" s="952"/>
      <c r="SGK102" s="952"/>
      <c r="SGL102" s="952"/>
      <c r="SGM102" s="952"/>
      <c r="SGN102" s="952"/>
      <c r="SGO102" s="952"/>
      <c r="SGP102" s="952"/>
      <c r="SGQ102" s="952"/>
      <c r="SGR102" s="952"/>
      <c r="SGS102" s="952"/>
      <c r="SGT102" s="952"/>
      <c r="SGU102" s="952"/>
      <c r="SGV102" s="952"/>
      <c r="SGW102" s="952"/>
      <c r="SGX102" s="952"/>
      <c r="SGY102" s="952"/>
      <c r="SGZ102" s="952"/>
      <c r="SHA102" s="952"/>
      <c r="SHB102" s="952"/>
      <c r="SHC102" s="952"/>
      <c r="SHD102" s="952"/>
      <c r="SHE102" s="952"/>
      <c r="SHF102" s="952"/>
      <c r="SHG102" s="952"/>
      <c r="SHH102" s="952"/>
      <c r="SHI102" s="952"/>
      <c r="SHJ102" s="952"/>
      <c r="SHK102" s="952"/>
      <c r="SHL102" s="952"/>
      <c r="SHM102" s="952"/>
      <c r="SHN102" s="952"/>
      <c r="SHO102" s="952"/>
      <c r="SHP102" s="952"/>
      <c r="SHQ102" s="952"/>
      <c r="SHR102" s="952"/>
      <c r="SHS102" s="952"/>
      <c r="SHT102" s="952"/>
      <c r="SHU102" s="952"/>
      <c r="SHV102" s="952"/>
      <c r="SHW102" s="952"/>
      <c r="SHX102" s="952"/>
      <c r="SHY102" s="952"/>
      <c r="SHZ102" s="952"/>
      <c r="SIA102" s="952"/>
      <c r="SIB102" s="952"/>
      <c r="SIC102" s="952"/>
      <c r="SID102" s="952"/>
      <c r="SIE102" s="952"/>
      <c r="SIF102" s="952"/>
      <c r="SIG102" s="952"/>
      <c r="SIH102" s="952"/>
      <c r="SII102" s="952"/>
      <c r="SIJ102" s="952"/>
      <c r="SIK102" s="952"/>
      <c r="SIL102" s="952"/>
      <c r="SIM102" s="952"/>
      <c r="SIN102" s="952"/>
      <c r="SIO102" s="952"/>
      <c r="SIP102" s="952"/>
      <c r="SIQ102" s="952"/>
      <c r="SIR102" s="952"/>
      <c r="SIS102" s="952"/>
      <c r="SIT102" s="952"/>
      <c r="SIU102" s="952"/>
      <c r="SIV102" s="952"/>
      <c r="SIW102" s="952"/>
      <c r="SIX102" s="952"/>
      <c r="SIY102" s="952"/>
      <c r="SIZ102" s="952"/>
      <c r="SJA102" s="952"/>
      <c r="SJB102" s="952"/>
      <c r="SJC102" s="952"/>
      <c r="SJD102" s="952"/>
      <c r="SJE102" s="952"/>
      <c r="SJF102" s="952"/>
      <c r="SJG102" s="952"/>
      <c r="SJH102" s="952"/>
      <c r="SJI102" s="952"/>
      <c r="SJJ102" s="952"/>
      <c r="SJK102" s="952"/>
      <c r="SJL102" s="952"/>
      <c r="SJM102" s="952"/>
      <c r="SJN102" s="952"/>
      <c r="SJO102" s="952"/>
      <c r="SJP102" s="952"/>
      <c r="SJQ102" s="952"/>
      <c r="SJR102" s="952"/>
      <c r="SJS102" s="952"/>
      <c r="SJT102" s="952"/>
      <c r="SJU102" s="952"/>
      <c r="SJV102" s="952"/>
      <c r="SJW102" s="952"/>
      <c r="SJX102" s="952"/>
      <c r="SJY102" s="952"/>
      <c r="SJZ102" s="952"/>
      <c r="SKA102" s="952"/>
      <c r="SKB102" s="952"/>
      <c r="SKC102" s="952"/>
      <c r="SKD102" s="952"/>
      <c r="SKE102" s="952"/>
      <c r="SKF102" s="952"/>
      <c r="SKG102" s="952"/>
      <c r="SKH102" s="952"/>
      <c r="SKI102" s="952"/>
      <c r="SKJ102" s="952"/>
      <c r="SKK102" s="952"/>
      <c r="SKL102" s="952"/>
      <c r="SKM102" s="952"/>
      <c r="SKN102" s="952"/>
      <c r="SKO102" s="952"/>
      <c r="SKP102" s="952"/>
      <c r="SKQ102" s="952"/>
      <c r="SKR102" s="952"/>
      <c r="SKS102" s="952"/>
      <c r="SKT102" s="952"/>
      <c r="SKU102" s="952"/>
      <c r="SKV102" s="952"/>
      <c r="SKW102" s="952"/>
      <c r="SKX102" s="952"/>
      <c r="SKY102" s="952"/>
      <c r="SKZ102" s="952"/>
      <c r="SLA102" s="952"/>
      <c r="SLB102" s="952"/>
      <c r="SLC102" s="952"/>
      <c r="SLD102" s="952"/>
      <c r="SLE102" s="952"/>
      <c r="SLF102" s="952"/>
      <c r="SLG102" s="952"/>
      <c r="SLH102" s="952"/>
      <c r="SLI102" s="952"/>
      <c r="SLJ102" s="952"/>
      <c r="SLK102" s="952"/>
      <c r="SLL102" s="952"/>
      <c r="SLM102" s="952"/>
      <c r="SLN102" s="952"/>
      <c r="SLO102" s="952"/>
      <c r="SLP102" s="952"/>
      <c r="SLQ102" s="952"/>
      <c r="SLR102" s="952"/>
      <c r="SLS102" s="952"/>
      <c r="SLT102" s="952"/>
      <c r="SLU102" s="952"/>
      <c r="SLV102" s="952"/>
      <c r="SLW102" s="952"/>
      <c r="SLX102" s="952"/>
      <c r="SLY102" s="952"/>
      <c r="SLZ102" s="952"/>
      <c r="SMA102" s="952"/>
      <c r="SMB102" s="952"/>
      <c r="SMC102" s="952"/>
      <c r="SMD102" s="952"/>
      <c r="SME102" s="952"/>
      <c r="SMF102" s="952"/>
      <c r="SMG102" s="952"/>
      <c r="SMH102" s="952"/>
      <c r="SMI102" s="952"/>
      <c r="SMJ102" s="952"/>
      <c r="SMK102" s="952"/>
      <c r="SML102" s="952"/>
      <c r="SMM102" s="952"/>
      <c r="SMN102" s="952"/>
      <c r="SMO102" s="952"/>
      <c r="SMP102" s="952"/>
      <c r="SMQ102" s="952"/>
      <c r="SMR102" s="952"/>
      <c r="SMS102" s="952"/>
      <c r="SMT102" s="952"/>
      <c r="SMU102" s="952"/>
      <c r="SMV102" s="952"/>
      <c r="SMW102" s="952"/>
      <c r="SMX102" s="952"/>
      <c r="SMY102" s="952"/>
      <c r="SMZ102" s="952"/>
      <c r="SNA102" s="952"/>
      <c r="SNB102" s="952"/>
      <c r="SNC102" s="952"/>
      <c r="SND102" s="952"/>
      <c r="SNE102" s="952"/>
      <c r="SNF102" s="952"/>
      <c r="SNG102" s="952"/>
      <c r="SNH102" s="952"/>
      <c r="SNI102" s="952"/>
      <c r="SNJ102" s="952"/>
      <c r="SNK102" s="952"/>
      <c r="SNL102" s="952"/>
      <c r="SNM102" s="952"/>
      <c r="SNN102" s="952"/>
      <c r="SNO102" s="952"/>
      <c r="SNP102" s="952"/>
      <c r="SNQ102" s="952"/>
      <c r="SNR102" s="952"/>
      <c r="SNS102" s="952"/>
      <c r="SNT102" s="952"/>
      <c r="SNU102" s="952"/>
      <c r="SNV102" s="952"/>
      <c r="SNW102" s="952"/>
      <c r="SNX102" s="952"/>
      <c r="SNY102" s="952"/>
      <c r="SNZ102" s="952"/>
      <c r="SOA102" s="952"/>
      <c r="SOB102" s="952"/>
      <c r="SOC102" s="952"/>
      <c r="SOD102" s="952"/>
      <c r="SOE102" s="952"/>
      <c r="SOF102" s="952"/>
      <c r="SOG102" s="952"/>
      <c r="SOH102" s="952"/>
      <c r="SOI102" s="952"/>
      <c r="SOJ102" s="952"/>
      <c r="SOK102" s="952"/>
      <c r="SOL102" s="952"/>
      <c r="SOM102" s="952"/>
      <c r="SON102" s="952"/>
      <c r="SOO102" s="952"/>
      <c r="SOP102" s="952"/>
      <c r="SOQ102" s="952"/>
      <c r="SOR102" s="952"/>
      <c r="SOS102" s="952"/>
      <c r="SOT102" s="952"/>
      <c r="SOU102" s="952"/>
      <c r="SOV102" s="952"/>
      <c r="SOW102" s="952"/>
      <c r="SOX102" s="952"/>
      <c r="SOY102" s="952"/>
      <c r="SOZ102" s="952"/>
      <c r="SPA102" s="952"/>
      <c r="SPB102" s="952"/>
      <c r="SPC102" s="952"/>
      <c r="SPD102" s="952"/>
      <c r="SPE102" s="952"/>
      <c r="SPF102" s="952"/>
      <c r="SPG102" s="952"/>
      <c r="SPH102" s="952"/>
      <c r="SPI102" s="952"/>
      <c r="SPJ102" s="952"/>
      <c r="SPK102" s="952"/>
      <c r="SPL102" s="952"/>
      <c r="SPM102" s="952"/>
      <c r="SPN102" s="952"/>
      <c r="SPO102" s="952"/>
      <c r="SPP102" s="952"/>
      <c r="SPQ102" s="952"/>
      <c r="SPR102" s="952"/>
      <c r="SPS102" s="952"/>
      <c r="SPT102" s="952"/>
      <c r="SPU102" s="952"/>
      <c r="SPV102" s="952"/>
      <c r="SPW102" s="952"/>
      <c r="SPX102" s="952"/>
      <c r="SPY102" s="952"/>
      <c r="SPZ102" s="952"/>
      <c r="SQA102" s="952"/>
      <c r="SQB102" s="952"/>
      <c r="SQC102" s="952"/>
      <c r="SQD102" s="952"/>
      <c r="SQE102" s="952"/>
      <c r="SQF102" s="952"/>
      <c r="SQG102" s="952"/>
      <c r="SQH102" s="952"/>
      <c r="SQI102" s="952"/>
      <c r="SQJ102" s="952"/>
      <c r="SQK102" s="952"/>
      <c r="SQL102" s="952"/>
      <c r="SQM102" s="952"/>
      <c r="SQN102" s="952"/>
      <c r="SQO102" s="952"/>
      <c r="SQP102" s="952"/>
      <c r="SQQ102" s="952"/>
      <c r="SQR102" s="952"/>
      <c r="SQS102" s="952"/>
      <c r="SQT102" s="952"/>
      <c r="SQU102" s="952"/>
      <c r="SQV102" s="952"/>
      <c r="SQW102" s="952"/>
      <c r="SQX102" s="952"/>
      <c r="SQY102" s="952"/>
      <c r="SQZ102" s="952"/>
      <c r="SRA102" s="952"/>
      <c r="SRB102" s="952"/>
      <c r="SRC102" s="952"/>
      <c r="SRD102" s="952"/>
      <c r="SRE102" s="952"/>
      <c r="SRF102" s="952"/>
      <c r="SRG102" s="952"/>
      <c r="SRH102" s="952"/>
      <c r="SRI102" s="952"/>
      <c r="SRJ102" s="952"/>
      <c r="SRK102" s="952"/>
      <c r="SRL102" s="952"/>
      <c r="SRM102" s="952"/>
      <c r="SRN102" s="952"/>
      <c r="SRO102" s="952"/>
      <c r="SRP102" s="952"/>
      <c r="SRQ102" s="952"/>
      <c r="SRR102" s="952"/>
      <c r="SRS102" s="952"/>
      <c r="SRT102" s="952"/>
      <c r="SRU102" s="952"/>
      <c r="SRV102" s="952"/>
      <c r="SRW102" s="952"/>
      <c r="SRX102" s="952"/>
      <c r="SRY102" s="952"/>
      <c r="SRZ102" s="952"/>
      <c r="SSA102" s="952"/>
      <c r="SSB102" s="952"/>
      <c r="SSC102" s="952"/>
      <c r="SSD102" s="952"/>
      <c r="SSE102" s="952"/>
      <c r="SSF102" s="952"/>
      <c r="SSG102" s="952"/>
      <c r="SSH102" s="952"/>
      <c r="SSI102" s="952"/>
      <c r="SSJ102" s="952"/>
      <c r="SSK102" s="952"/>
      <c r="SSL102" s="952"/>
      <c r="SSM102" s="952"/>
      <c r="SSN102" s="952"/>
      <c r="SSO102" s="952"/>
      <c r="SSP102" s="952"/>
      <c r="SSQ102" s="952"/>
      <c r="SSR102" s="952"/>
      <c r="SSS102" s="952"/>
      <c r="SST102" s="952"/>
      <c r="SSU102" s="952"/>
      <c r="SSV102" s="952"/>
      <c r="SSW102" s="952"/>
      <c r="SSX102" s="952"/>
      <c r="SSY102" s="952"/>
      <c r="SSZ102" s="952"/>
      <c r="STA102" s="952"/>
      <c r="STB102" s="952"/>
      <c r="STC102" s="952"/>
      <c r="STD102" s="952"/>
      <c r="STE102" s="952"/>
      <c r="STF102" s="952"/>
      <c r="STG102" s="952"/>
      <c r="STH102" s="952"/>
      <c r="STI102" s="952"/>
      <c r="STJ102" s="952"/>
      <c r="STK102" s="952"/>
      <c r="STL102" s="952"/>
      <c r="STM102" s="952"/>
      <c r="STN102" s="952"/>
      <c r="STO102" s="952"/>
      <c r="STP102" s="952"/>
      <c r="STQ102" s="952"/>
      <c r="STR102" s="952"/>
      <c r="STS102" s="952"/>
      <c r="STT102" s="952"/>
      <c r="STU102" s="952"/>
      <c r="STV102" s="952"/>
      <c r="STW102" s="952"/>
      <c r="STX102" s="952"/>
      <c r="STY102" s="952"/>
      <c r="STZ102" s="952"/>
      <c r="SUA102" s="952"/>
      <c r="SUB102" s="952"/>
      <c r="SUC102" s="952"/>
      <c r="SUD102" s="952"/>
      <c r="SUE102" s="952"/>
      <c r="SUF102" s="952"/>
      <c r="SUG102" s="952"/>
      <c r="SUH102" s="952"/>
      <c r="SUI102" s="952"/>
      <c r="SUJ102" s="952"/>
      <c r="SUK102" s="952"/>
      <c r="SUL102" s="952"/>
      <c r="SUM102" s="952"/>
      <c r="SUN102" s="952"/>
      <c r="SUO102" s="952"/>
      <c r="SUP102" s="952"/>
      <c r="SUQ102" s="952"/>
      <c r="SUR102" s="952"/>
      <c r="SUS102" s="952"/>
      <c r="SUT102" s="952"/>
      <c r="SUU102" s="952"/>
      <c r="SUV102" s="952"/>
      <c r="SUW102" s="952"/>
      <c r="SUX102" s="952"/>
      <c r="SUY102" s="952"/>
      <c r="SUZ102" s="952"/>
      <c r="SVA102" s="952"/>
      <c r="SVB102" s="952"/>
      <c r="SVC102" s="952"/>
      <c r="SVD102" s="952"/>
      <c r="SVE102" s="952"/>
      <c r="SVF102" s="952"/>
      <c r="SVG102" s="952"/>
      <c r="SVH102" s="952"/>
      <c r="SVI102" s="952"/>
      <c r="SVJ102" s="952"/>
      <c r="SVK102" s="952"/>
      <c r="SVL102" s="952"/>
      <c r="SVM102" s="952"/>
      <c r="SVN102" s="952"/>
      <c r="SVO102" s="952"/>
      <c r="SVP102" s="952"/>
      <c r="SVQ102" s="952"/>
      <c r="SVR102" s="952"/>
      <c r="SVS102" s="952"/>
      <c r="SVT102" s="952"/>
      <c r="SVU102" s="952"/>
      <c r="SVV102" s="952"/>
      <c r="SVW102" s="952"/>
      <c r="SVX102" s="952"/>
      <c r="SVY102" s="952"/>
      <c r="SVZ102" s="952"/>
      <c r="SWA102" s="952"/>
      <c r="SWB102" s="952"/>
      <c r="SWC102" s="952"/>
      <c r="SWD102" s="952"/>
      <c r="SWE102" s="952"/>
      <c r="SWF102" s="952"/>
      <c r="SWG102" s="952"/>
      <c r="SWH102" s="952"/>
      <c r="SWI102" s="952"/>
      <c r="SWJ102" s="952"/>
      <c r="SWK102" s="952"/>
      <c r="SWL102" s="952"/>
      <c r="SWM102" s="952"/>
      <c r="SWN102" s="952"/>
      <c r="SWO102" s="952"/>
      <c r="SWP102" s="952"/>
      <c r="SWQ102" s="952"/>
      <c r="SWR102" s="952"/>
      <c r="SWS102" s="952"/>
      <c r="SWT102" s="952"/>
      <c r="SWU102" s="952"/>
      <c r="SWV102" s="952"/>
      <c r="SWW102" s="952"/>
      <c r="SWX102" s="952"/>
      <c r="SWY102" s="952"/>
      <c r="SWZ102" s="952"/>
      <c r="SXA102" s="952"/>
      <c r="SXB102" s="952"/>
      <c r="SXC102" s="952"/>
      <c r="SXD102" s="952"/>
      <c r="SXE102" s="952"/>
      <c r="SXF102" s="952"/>
      <c r="SXG102" s="952"/>
      <c r="SXH102" s="952"/>
      <c r="SXI102" s="952"/>
      <c r="SXJ102" s="952"/>
      <c r="SXK102" s="952"/>
      <c r="SXL102" s="952"/>
      <c r="SXM102" s="952"/>
      <c r="SXN102" s="952"/>
      <c r="SXO102" s="952"/>
      <c r="SXP102" s="952"/>
      <c r="SXQ102" s="952"/>
      <c r="SXR102" s="952"/>
      <c r="SXS102" s="952"/>
      <c r="SXT102" s="952"/>
      <c r="SXU102" s="952"/>
      <c r="SXV102" s="952"/>
      <c r="SXW102" s="952"/>
      <c r="SXX102" s="952"/>
      <c r="SXY102" s="952"/>
      <c r="SXZ102" s="952"/>
      <c r="SYA102" s="952"/>
      <c r="SYB102" s="952"/>
      <c r="SYC102" s="952"/>
      <c r="SYD102" s="952"/>
      <c r="SYE102" s="952"/>
      <c r="SYF102" s="952"/>
      <c r="SYG102" s="952"/>
      <c r="SYH102" s="952"/>
      <c r="SYI102" s="952"/>
      <c r="SYJ102" s="952"/>
      <c r="SYK102" s="952"/>
      <c r="SYL102" s="952"/>
      <c r="SYM102" s="952"/>
      <c r="SYN102" s="952"/>
      <c r="SYO102" s="952"/>
      <c r="SYP102" s="952"/>
      <c r="SYQ102" s="952"/>
      <c r="SYR102" s="952"/>
      <c r="SYS102" s="952"/>
      <c r="SYT102" s="952"/>
      <c r="SYU102" s="952"/>
      <c r="SYV102" s="952"/>
      <c r="SYW102" s="952"/>
      <c r="SYX102" s="952"/>
      <c r="SYY102" s="952"/>
      <c r="SYZ102" s="952"/>
      <c r="SZA102" s="952"/>
      <c r="SZB102" s="952"/>
      <c r="SZC102" s="952"/>
      <c r="SZD102" s="952"/>
      <c r="SZE102" s="952"/>
      <c r="SZF102" s="952"/>
      <c r="SZG102" s="952"/>
      <c r="SZH102" s="952"/>
      <c r="SZI102" s="952"/>
      <c r="SZJ102" s="952"/>
      <c r="SZK102" s="952"/>
      <c r="SZL102" s="952"/>
      <c r="SZM102" s="952"/>
      <c r="SZN102" s="952"/>
      <c r="SZO102" s="952"/>
      <c r="SZP102" s="952"/>
      <c r="SZQ102" s="952"/>
      <c r="SZR102" s="952"/>
      <c r="SZS102" s="952"/>
      <c r="SZT102" s="952"/>
      <c r="SZU102" s="952"/>
      <c r="SZV102" s="952"/>
      <c r="SZW102" s="952"/>
      <c r="SZX102" s="952"/>
      <c r="SZY102" s="952"/>
      <c r="SZZ102" s="952"/>
      <c r="TAA102" s="952"/>
      <c r="TAB102" s="952"/>
      <c r="TAC102" s="952"/>
      <c r="TAD102" s="952"/>
      <c r="TAE102" s="952"/>
      <c r="TAF102" s="952"/>
      <c r="TAG102" s="952"/>
      <c r="TAH102" s="952"/>
      <c r="TAI102" s="952"/>
      <c r="TAJ102" s="952"/>
      <c r="TAK102" s="952"/>
      <c r="TAL102" s="952"/>
      <c r="TAM102" s="952"/>
      <c r="TAN102" s="952"/>
      <c r="TAO102" s="952"/>
      <c r="TAP102" s="952"/>
      <c r="TAQ102" s="952"/>
      <c r="TAR102" s="952"/>
      <c r="TAS102" s="952"/>
      <c r="TAT102" s="952"/>
      <c r="TAU102" s="952"/>
      <c r="TAV102" s="952"/>
      <c r="TAW102" s="952"/>
      <c r="TAX102" s="952"/>
      <c r="TAY102" s="952"/>
      <c r="TAZ102" s="952"/>
      <c r="TBA102" s="952"/>
      <c r="TBB102" s="952"/>
      <c r="TBC102" s="952"/>
      <c r="TBD102" s="952"/>
      <c r="TBE102" s="952"/>
      <c r="TBF102" s="952"/>
      <c r="TBG102" s="952"/>
      <c r="TBH102" s="952"/>
      <c r="TBI102" s="952"/>
      <c r="TBJ102" s="952"/>
      <c r="TBK102" s="952"/>
      <c r="TBL102" s="952"/>
      <c r="TBM102" s="952"/>
      <c r="TBN102" s="952"/>
      <c r="TBO102" s="952"/>
      <c r="TBP102" s="952"/>
      <c r="TBQ102" s="952"/>
      <c r="TBR102" s="952"/>
      <c r="TBS102" s="952"/>
      <c r="TBT102" s="952"/>
      <c r="TBU102" s="952"/>
      <c r="TBV102" s="952"/>
      <c r="TBW102" s="952"/>
      <c r="TBX102" s="952"/>
      <c r="TBY102" s="952"/>
      <c r="TBZ102" s="952"/>
      <c r="TCA102" s="952"/>
      <c r="TCB102" s="952"/>
      <c r="TCC102" s="952"/>
      <c r="TCD102" s="952"/>
      <c r="TCE102" s="952"/>
      <c r="TCF102" s="952"/>
      <c r="TCG102" s="952"/>
      <c r="TCH102" s="952"/>
      <c r="TCI102" s="952"/>
      <c r="TCJ102" s="952"/>
      <c r="TCK102" s="952"/>
      <c r="TCL102" s="952"/>
      <c r="TCM102" s="952"/>
      <c r="TCN102" s="952"/>
      <c r="TCO102" s="952"/>
      <c r="TCP102" s="952"/>
      <c r="TCQ102" s="952"/>
      <c r="TCR102" s="952"/>
      <c r="TCS102" s="952"/>
      <c r="TCT102" s="952"/>
      <c r="TCU102" s="952"/>
      <c r="TCV102" s="952"/>
      <c r="TCW102" s="952"/>
      <c r="TCX102" s="952"/>
      <c r="TCY102" s="952"/>
      <c r="TCZ102" s="952"/>
      <c r="TDA102" s="952"/>
      <c r="TDB102" s="952"/>
      <c r="TDC102" s="952"/>
      <c r="TDD102" s="952"/>
      <c r="TDE102" s="952"/>
      <c r="TDF102" s="952"/>
      <c r="TDG102" s="952"/>
      <c r="TDH102" s="952"/>
      <c r="TDI102" s="952"/>
      <c r="TDJ102" s="952"/>
      <c r="TDK102" s="952"/>
      <c r="TDL102" s="952"/>
      <c r="TDM102" s="952"/>
      <c r="TDN102" s="952"/>
      <c r="TDO102" s="952"/>
      <c r="TDP102" s="952"/>
      <c r="TDQ102" s="952"/>
      <c r="TDR102" s="952"/>
      <c r="TDS102" s="952"/>
      <c r="TDT102" s="952"/>
      <c r="TDU102" s="952"/>
      <c r="TDV102" s="952"/>
      <c r="TDW102" s="952"/>
      <c r="TDX102" s="952"/>
      <c r="TDY102" s="952"/>
      <c r="TDZ102" s="952"/>
      <c r="TEA102" s="952"/>
      <c r="TEB102" s="952"/>
      <c r="TEC102" s="952"/>
      <c r="TED102" s="952"/>
      <c r="TEE102" s="952"/>
      <c r="TEF102" s="952"/>
      <c r="TEG102" s="952"/>
      <c r="TEH102" s="952"/>
      <c r="TEI102" s="952"/>
      <c r="TEJ102" s="952"/>
      <c r="TEK102" s="952"/>
      <c r="TEL102" s="952"/>
      <c r="TEM102" s="952"/>
      <c r="TEN102" s="952"/>
      <c r="TEO102" s="952"/>
      <c r="TEP102" s="952"/>
      <c r="TEQ102" s="952"/>
      <c r="TER102" s="952"/>
      <c r="TES102" s="952"/>
      <c r="TET102" s="952"/>
      <c r="TEU102" s="952"/>
      <c r="TEV102" s="952"/>
      <c r="TEW102" s="952"/>
      <c r="TEX102" s="952"/>
      <c r="TEY102" s="952"/>
      <c r="TEZ102" s="952"/>
      <c r="TFA102" s="952"/>
      <c r="TFB102" s="952"/>
      <c r="TFC102" s="952"/>
      <c r="TFD102" s="952"/>
      <c r="TFE102" s="952"/>
      <c r="TFF102" s="952"/>
      <c r="TFG102" s="952"/>
      <c r="TFH102" s="952"/>
      <c r="TFI102" s="952"/>
      <c r="TFJ102" s="952"/>
      <c r="TFK102" s="952"/>
      <c r="TFL102" s="952"/>
      <c r="TFM102" s="952"/>
      <c r="TFN102" s="952"/>
      <c r="TFO102" s="952"/>
      <c r="TFP102" s="952"/>
      <c r="TFQ102" s="952"/>
      <c r="TFR102" s="952"/>
      <c r="TFS102" s="952"/>
      <c r="TFT102" s="952"/>
      <c r="TFU102" s="952"/>
      <c r="TFV102" s="952"/>
      <c r="TFW102" s="952"/>
      <c r="TFX102" s="952"/>
      <c r="TFY102" s="952"/>
      <c r="TFZ102" s="952"/>
      <c r="TGA102" s="952"/>
      <c r="TGB102" s="952"/>
      <c r="TGC102" s="952"/>
      <c r="TGD102" s="952"/>
      <c r="TGE102" s="952"/>
      <c r="TGF102" s="952"/>
      <c r="TGG102" s="952"/>
      <c r="TGH102" s="952"/>
      <c r="TGI102" s="952"/>
      <c r="TGJ102" s="952"/>
      <c r="TGK102" s="952"/>
      <c r="TGL102" s="952"/>
      <c r="TGM102" s="952"/>
      <c r="TGN102" s="952"/>
      <c r="TGO102" s="952"/>
      <c r="TGP102" s="952"/>
      <c r="TGQ102" s="952"/>
      <c r="TGR102" s="952"/>
      <c r="TGS102" s="952"/>
      <c r="TGT102" s="952"/>
      <c r="TGU102" s="952"/>
      <c r="TGV102" s="952"/>
      <c r="TGW102" s="952"/>
      <c r="TGX102" s="952"/>
      <c r="TGY102" s="952"/>
      <c r="TGZ102" s="952"/>
      <c r="THA102" s="952"/>
      <c r="THB102" s="952"/>
      <c r="THC102" s="952"/>
      <c r="THD102" s="952"/>
      <c r="THE102" s="952"/>
      <c r="THF102" s="952"/>
      <c r="THG102" s="952"/>
      <c r="THH102" s="952"/>
      <c r="THI102" s="952"/>
      <c r="THJ102" s="952"/>
      <c r="THK102" s="952"/>
      <c r="THL102" s="952"/>
      <c r="THM102" s="952"/>
      <c r="THN102" s="952"/>
      <c r="THO102" s="952"/>
      <c r="THP102" s="952"/>
      <c r="THQ102" s="952"/>
      <c r="THR102" s="952"/>
      <c r="THS102" s="952"/>
      <c r="THT102" s="952"/>
      <c r="THU102" s="952"/>
      <c r="THV102" s="952"/>
      <c r="THW102" s="952"/>
      <c r="THX102" s="952"/>
      <c r="THY102" s="952"/>
      <c r="THZ102" s="952"/>
      <c r="TIA102" s="952"/>
      <c r="TIB102" s="952"/>
      <c r="TIC102" s="952"/>
      <c r="TID102" s="952"/>
      <c r="TIE102" s="952"/>
      <c r="TIF102" s="952"/>
      <c r="TIG102" s="952"/>
      <c r="TIH102" s="952"/>
      <c r="TII102" s="952"/>
      <c r="TIJ102" s="952"/>
      <c r="TIK102" s="952"/>
      <c r="TIL102" s="952"/>
      <c r="TIM102" s="952"/>
      <c r="TIN102" s="952"/>
      <c r="TIO102" s="952"/>
      <c r="TIP102" s="952"/>
      <c r="TIQ102" s="952"/>
      <c r="TIR102" s="952"/>
      <c r="TIS102" s="952"/>
      <c r="TIT102" s="952"/>
      <c r="TIU102" s="952"/>
      <c r="TIV102" s="952"/>
      <c r="TIW102" s="952"/>
      <c r="TIX102" s="952"/>
      <c r="TIY102" s="952"/>
      <c r="TIZ102" s="952"/>
      <c r="TJA102" s="952"/>
      <c r="TJB102" s="952"/>
      <c r="TJC102" s="952"/>
      <c r="TJD102" s="952"/>
      <c r="TJE102" s="952"/>
      <c r="TJF102" s="952"/>
      <c r="TJG102" s="952"/>
      <c r="TJH102" s="952"/>
      <c r="TJI102" s="952"/>
      <c r="TJJ102" s="952"/>
      <c r="TJK102" s="952"/>
      <c r="TJL102" s="952"/>
      <c r="TJM102" s="952"/>
      <c r="TJN102" s="952"/>
      <c r="TJO102" s="952"/>
      <c r="TJP102" s="952"/>
      <c r="TJQ102" s="952"/>
      <c r="TJR102" s="952"/>
      <c r="TJS102" s="952"/>
      <c r="TJT102" s="952"/>
      <c r="TJU102" s="952"/>
      <c r="TJV102" s="952"/>
      <c r="TJW102" s="952"/>
      <c r="TJX102" s="952"/>
      <c r="TJY102" s="952"/>
      <c r="TJZ102" s="952"/>
      <c r="TKA102" s="952"/>
      <c r="TKB102" s="952"/>
      <c r="TKC102" s="952"/>
      <c r="TKD102" s="952"/>
      <c r="TKE102" s="952"/>
      <c r="TKF102" s="952"/>
      <c r="TKG102" s="952"/>
      <c r="TKH102" s="952"/>
      <c r="TKI102" s="952"/>
      <c r="TKJ102" s="952"/>
      <c r="TKK102" s="952"/>
      <c r="TKL102" s="952"/>
      <c r="TKM102" s="952"/>
      <c r="TKN102" s="952"/>
      <c r="TKO102" s="952"/>
      <c r="TKP102" s="952"/>
      <c r="TKQ102" s="952"/>
      <c r="TKR102" s="952"/>
      <c r="TKS102" s="952"/>
      <c r="TKT102" s="952"/>
      <c r="TKU102" s="952"/>
      <c r="TKV102" s="952"/>
      <c r="TKW102" s="952"/>
      <c r="TKX102" s="952"/>
      <c r="TKY102" s="952"/>
      <c r="TKZ102" s="952"/>
      <c r="TLA102" s="952"/>
      <c r="TLB102" s="952"/>
      <c r="TLC102" s="952"/>
      <c r="TLD102" s="952"/>
      <c r="TLE102" s="952"/>
      <c r="TLF102" s="952"/>
      <c r="TLG102" s="952"/>
      <c r="TLH102" s="952"/>
      <c r="TLI102" s="952"/>
      <c r="TLJ102" s="952"/>
      <c r="TLK102" s="952"/>
      <c r="TLL102" s="952"/>
      <c r="TLM102" s="952"/>
      <c r="TLN102" s="952"/>
      <c r="TLO102" s="952"/>
      <c r="TLP102" s="952"/>
      <c r="TLQ102" s="952"/>
      <c r="TLR102" s="952"/>
      <c r="TLS102" s="952"/>
      <c r="TLT102" s="952"/>
      <c r="TLU102" s="952"/>
      <c r="TLV102" s="952"/>
      <c r="TLW102" s="952"/>
      <c r="TLX102" s="952"/>
      <c r="TLY102" s="952"/>
      <c r="TLZ102" s="952"/>
      <c r="TMA102" s="952"/>
      <c r="TMB102" s="952"/>
      <c r="TMC102" s="952"/>
      <c r="TMD102" s="952"/>
      <c r="TME102" s="952"/>
      <c r="TMF102" s="952"/>
      <c r="TMG102" s="952"/>
      <c r="TMH102" s="952"/>
      <c r="TMI102" s="952"/>
      <c r="TMJ102" s="952"/>
      <c r="TMK102" s="952"/>
      <c r="TML102" s="952"/>
      <c r="TMM102" s="952"/>
      <c r="TMN102" s="952"/>
      <c r="TMO102" s="952"/>
      <c r="TMP102" s="952"/>
      <c r="TMQ102" s="952"/>
      <c r="TMR102" s="952"/>
      <c r="TMS102" s="952"/>
      <c r="TMT102" s="952"/>
      <c r="TMU102" s="952"/>
      <c r="TMV102" s="952"/>
      <c r="TMW102" s="952"/>
      <c r="TMX102" s="952"/>
      <c r="TMY102" s="952"/>
      <c r="TMZ102" s="952"/>
      <c r="TNA102" s="952"/>
      <c r="TNB102" s="952"/>
      <c r="TNC102" s="952"/>
      <c r="TND102" s="952"/>
      <c r="TNE102" s="952"/>
      <c r="TNF102" s="952"/>
      <c r="TNG102" s="952"/>
      <c r="TNH102" s="952"/>
      <c r="TNI102" s="952"/>
      <c r="TNJ102" s="952"/>
      <c r="TNK102" s="952"/>
      <c r="TNL102" s="952"/>
      <c r="TNM102" s="952"/>
      <c r="TNN102" s="952"/>
      <c r="TNO102" s="952"/>
      <c r="TNP102" s="952"/>
      <c r="TNQ102" s="952"/>
      <c r="TNR102" s="952"/>
      <c r="TNS102" s="952"/>
      <c r="TNT102" s="952"/>
      <c r="TNU102" s="952"/>
      <c r="TNV102" s="952"/>
      <c r="TNW102" s="952"/>
      <c r="TNX102" s="952"/>
      <c r="TNY102" s="952"/>
      <c r="TNZ102" s="952"/>
      <c r="TOA102" s="952"/>
      <c r="TOB102" s="952"/>
      <c r="TOC102" s="952"/>
      <c r="TOD102" s="952"/>
      <c r="TOE102" s="952"/>
      <c r="TOF102" s="952"/>
      <c r="TOG102" s="952"/>
      <c r="TOH102" s="952"/>
      <c r="TOI102" s="952"/>
      <c r="TOJ102" s="952"/>
      <c r="TOK102" s="952"/>
      <c r="TOL102" s="952"/>
      <c r="TOM102" s="952"/>
      <c r="TON102" s="952"/>
      <c r="TOO102" s="952"/>
      <c r="TOP102" s="952"/>
      <c r="TOQ102" s="952"/>
      <c r="TOR102" s="952"/>
      <c r="TOS102" s="952"/>
      <c r="TOT102" s="952"/>
      <c r="TOU102" s="952"/>
      <c r="TOV102" s="952"/>
      <c r="TOW102" s="952"/>
      <c r="TOX102" s="952"/>
      <c r="TOY102" s="952"/>
      <c r="TOZ102" s="952"/>
      <c r="TPA102" s="952"/>
      <c r="TPB102" s="952"/>
      <c r="TPC102" s="952"/>
      <c r="TPD102" s="952"/>
      <c r="TPE102" s="952"/>
      <c r="TPF102" s="952"/>
      <c r="TPG102" s="952"/>
      <c r="TPH102" s="952"/>
      <c r="TPI102" s="952"/>
      <c r="TPJ102" s="952"/>
      <c r="TPK102" s="952"/>
      <c r="TPL102" s="952"/>
      <c r="TPM102" s="952"/>
      <c r="TPN102" s="952"/>
      <c r="TPO102" s="952"/>
      <c r="TPP102" s="952"/>
      <c r="TPQ102" s="952"/>
      <c r="TPR102" s="952"/>
      <c r="TPS102" s="952"/>
      <c r="TPT102" s="952"/>
      <c r="TPU102" s="952"/>
      <c r="TPV102" s="952"/>
      <c r="TPW102" s="952"/>
      <c r="TPX102" s="952"/>
      <c r="TPY102" s="952"/>
      <c r="TPZ102" s="952"/>
      <c r="TQA102" s="952"/>
      <c r="TQB102" s="952"/>
      <c r="TQC102" s="952"/>
      <c r="TQD102" s="952"/>
      <c r="TQE102" s="952"/>
      <c r="TQF102" s="952"/>
      <c r="TQG102" s="952"/>
      <c r="TQH102" s="952"/>
      <c r="TQI102" s="952"/>
      <c r="TQJ102" s="952"/>
      <c r="TQK102" s="952"/>
      <c r="TQL102" s="952"/>
      <c r="TQM102" s="952"/>
      <c r="TQN102" s="952"/>
      <c r="TQO102" s="952"/>
      <c r="TQP102" s="952"/>
      <c r="TQQ102" s="952"/>
      <c r="TQR102" s="952"/>
      <c r="TQS102" s="952"/>
      <c r="TQT102" s="952"/>
      <c r="TQU102" s="952"/>
      <c r="TQV102" s="952"/>
      <c r="TQW102" s="952"/>
      <c r="TQX102" s="952"/>
      <c r="TQY102" s="952"/>
      <c r="TQZ102" s="952"/>
      <c r="TRA102" s="952"/>
      <c r="TRB102" s="952"/>
      <c r="TRC102" s="952"/>
      <c r="TRD102" s="952"/>
      <c r="TRE102" s="952"/>
      <c r="TRF102" s="952"/>
      <c r="TRG102" s="952"/>
      <c r="TRH102" s="952"/>
      <c r="TRI102" s="952"/>
      <c r="TRJ102" s="952"/>
      <c r="TRK102" s="952"/>
      <c r="TRL102" s="952"/>
      <c r="TRM102" s="952"/>
      <c r="TRN102" s="952"/>
      <c r="TRO102" s="952"/>
      <c r="TRP102" s="952"/>
      <c r="TRQ102" s="952"/>
      <c r="TRR102" s="952"/>
      <c r="TRS102" s="952"/>
      <c r="TRT102" s="952"/>
      <c r="TRU102" s="952"/>
      <c r="TRV102" s="952"/>
      <c r="TRW102" s="952"/>
      <c r="TRX102" s="952"/>
      <c r="TRY102" s="952"/>
      <c r="TRZ102" s="952"/>
      <c r="TSA102" s="952"/>
      <c r="TSB102" s="952"/>
      <c r="TSC102" s="952"/>
      <c r="TSD102" s="952"/>
      <c r="TSE102" s="952"/>
      <c r="TSF102" s="952"/>
      <c r="TSG102" s="952"/>
      <c r="TSH102" s="952"/>
      <c r="TSI102" s="952"/>
      <c r="TSJ102" s="952"/>
      <c r="TSK102" s="952"/>
      <c r="TSL102" s="952"/>
      <c r="TSM102" s="952"/>
      <c r="TSN102" s="952"/>
      <c r="TSO102" s="952"/>
      <c r="TSP102" s="952"/>
      <c r="TSQ102" s="952"/>
      <c r="TSR102" s="952"/>
      <c r="TSS102" s="952"/>
      <c r="TST102" s="952"/>
      <c r="TSU102" s="952"/>
      <c r="TSV102" s="952"/>
      <c r="TSW102" s="952"/>
      <c r="TSX102" s="952"/>
      <c r="TSY102" s="952"/>
      <c r="TSZ102" s="952"/>
      <c r="TTA102" s="952"/>
      <c r="TTB102" s="952"/>
      <c r="TTC102" s="952"/>
      <c r="TTD102" s="952"/>
      <c r="TTE102" s="952"/>
      <c r="TTF102" s="952"/>
      <c r="TTG102" s="952"/>
      <c r="TTH102" s="952"/>
      <c r="TTI102" s="952"/>
      <c r="TTJ102" s="952"/>
      <c r="TTK102" s="952"/>
      <c r="TTL102" s="952"/>
      <c r="TTM102" s="952"/>
      <c r="TTN102" s="952"/>
      <c r="TTO102" s="952"/>
      <c r="TTP102" s="952"/>
      <c r="TTQ102" s="952"/>
      <c r="TTR102" s="952"/>
      <c r="TTS102" s="952"/>
      <c r="TTT102" s="952"/>
      <c r="TTU102" s="952"/>
      <c r="TTV102" s="952"/>
      <c r="TTW102" s="952"/>
      <c r="TTX102" s="952"/>
      <c r="TTY102" s="952"/>
      <c r="TTZ102" s="952"/>
      <c r="TUA102" s="952"/>
      <c r="TUB102" s="952"/>
      <c r="TUC102" s="952"/>
      <c r="TUD102" s="952"/>
      <c r="TUE102" s="952"/>
      <c r="TUF102" s="952"/>
      <c r="TUG102" s="952"/>
      <c r="TUH102" s="952"/>
      <c r="TUI102" s="952"/>
      <c r="TUJ102" s="952"/>
      <c r="TUK102" s="952"/>
      <c r="TUL102" s="952"/>
      <c r="TUM102" s="952"/>
      <c r="TUN102" s="952"/>
      <c r="TUO102" s="952"/>
      <c r="TUP102" s="952"/>
      <c r="TUQ102" s="952"/>
      <c r="TUR102" s="952"/>
      <c r="TUS102" s="952"/>
      <c r="TUT102" s="952"/>
      <c r="TUU102" s="952"/>
      <c r="TUV102" s="952"/>
      <c r="TUW102" s="952"/>
      <c r="TUX102" s="952"/>
      <c r="TUY102" s="952"/>
      <c r="TUZ102" s="952"/>
      <c r="TVA102" s="952"/>
      <c r="TVB102" s="952"/>
      <c r="TVC102" s="952"/>
      <c r="TVD102" s="952"/>
      <c r="TVE102" s="952"/>
      <c r="TVF102" s="952"/>
      <c r="TVG102" s="952"/>
      <c r="TVH102" s="952"/>
      <c r="TVI102" s="952"/>
      <c r="TVJ102" s="952"/>
      <c r="TVK102" s="952"/>
      <c r="TVL102" s="952"/>
      <c r="TVM102" s="952"/>
      <c r="TVN102" s="952"/>
      <c r="TVO102" s="952"/>
      <c r="TVP102" s="952"/>
      <c r="TVQ102" s="952"/>
      <c r="TVR102" s="952"/>
      <c r="TVS102" s="952"/>
      <c r="TVT102" s="952"/>
      <c r="TVU102" s="952"/>
      <c r="TVV102" s="952"/>
      <c r="TVW102" s="952"/>
      <c r="TVX102" s="952"/>
      <c r="TVY102" s="952"/>
      <c r="TVZ102" s="952"/>
      <c r="TWA102" s="952"/>
      <c r="TWB102" s="952"/>
      <c r="TWC102" s="952"/>
      <c r="TWD102" s="952"/>
      <c r="TWE102" s="952"/>
      <c r="TWF102" s="952"/>
      <c r="TWG102" s="952"/>
      <c r="TWH102" s="952"/>
      <c r="TWI102" s="952"/>
      <c r="TWJ102" s="952"/>
      <c r="TWK102" s="952"/>
      <c r="TWL102" s="952"/>
      <c r="TWM102" s="952"/>
      <c r="TWN102" s="952"/>
      <c r="TWO102" s="952"/>
      <c r="TWP102" s="952"/>
      <c r="TWQ102" s="952"/>
      <c r="TWR102" s="952"/>
      <c r="TWS102" s="952"/>
      <c r="TWT102" s="952"/>
      <c r="TWU102" s="952"/>
      <c r="TWV102" s="952"/>
      <c r="TWW102" s="952"/>
      <c r="TWX102" s="952"/>
      <c r="TWY102" s="952"/>
      <c r="TWZ102" s="952"/>
      <c r="TXA102" s="952"/>
      <c r="TXB102" s="952"/>
      <c r="TXC102" s="952"/>
      <c r="TXD102" s="952"/>
      <c r="TXE102" s="952"/>
      <c r="TXF102" s="952"/>
      <c r="TXG102" s="952"/>
      <c r="TXH102" s="952"/>
      <c r="TXI102" s="952"/>
      <c r="TXJ102" s="952"/>
      <c r="TXK102" s="952"/>
      <c r="TXL102" s="952"/>
      <c r="TXM102" s="952"/>
      <c r="TXN102" s="952"/>
      <c r="TXO102" s="952"/>
      <c r="TXP102" s="952"/>
      <c r="TXQ102" s="952"/>
      <c r="TXR102" s="952"/>
      <c r="TXS102" s="952"/>
      <c r="TXT102" s="952"/>
      <c r="TXU102" s="952"/>
      <c r="TXV102" s="952"/>
      <c r="TXW102" s="952"/>
      <c r="TXX102" s="952"/>
      <c r="TXY102" s="952"/>
      <c r="TXZ102" s="952"/>
      <c r="TYA102" s="952"/>
      <c r="TYB102" s="952"/>
      <c r="TYC102" s="952"/>
      <c r="TYD102" s="952"/>
      <c r="TYE102" s="952"/>
      <c r="TYF102" s="952"/>
      <c r="TYG102" s="952"/>
      <c r="TYH102" s="952"/>
      <c r="TYI102" s="952"/>
      <c r="TYJ102" s="952"/>
      <c r="TYK102" s="952"/>
      <c r="TYL102" s="952"/>
      <c r="TYM102" s="952"/>
      <c r="TYN102" s="952"/>
      <c r="TYO102" s="952"/>
      <c r="TYP102" s="952"/>
      <c r="TYQ102" s="952"/>
      <c r="TYR102" s="952"/>
      <c r="TYS102" s="952"/>
      <c r="TYT102" s="952"/>
      <c r="TYU102" s="952"/>
      <c r="TYV102" s="952"/>
      <c r="TYW102" s="952"/>
      <c r="TYX102" s="952"/>
      <c r="TYY102" s="952"/>
      <c r="TYZ102" s="952"/>
      <c r="TZA102" s="952"/>
      <c r="TZB102" s="952"/>
      <c r="TZC102" s="952"/>
      <c r="TZD102" s="952"/>
      <c r="TZE102" s="952"/>
      <c r="TZF102" s="952"/>
      <c r="TZG102" s="952"/>
      <c r="TZH102" s="952"/>
      <c r="TZI102" s="952"/>
      <c r="TZJ102" s="952"/>
      <c r="TZK102" s="952"/>
      <c r="TZL102" s="952"/>
      <c r="TZM102" s="952"/>
      <c r="TZN102" s="952"/>
      <c r="TZO102" s="952"/>
      <c r="TZP102" s="952"/>
      <c r="TZQ102" s="952"/>
      <c r="TZR102" s="952"/>
      <c r="TZS102" s="952"/>
      <c r="TZT102" s="952"/>
      <c r="TZU102" s="952"/>
      <c r="TZV102" s="952"/>
      <c r="TZW102" s="952"/>
      <c r="TZX102" s="952"/>
      <c r="TZY102" s="952"/>
      <c r="TZZ102" s="952"/>
      <c r="UAA102" s="952"/>
      <c r="UAB102" s="952"/>
      <c r="UAC102" s="952"/>
      <c r="UAD102" s="952"/>
      <c r="UAE102" s="952"/>
      <c r="UAF102" s="952"/>
      <c r="UAG102" s="952"/>
      <c r="UAH102" s="952"/>
      <c r="UAI102" s="952"/>
      <c r="UAJ102" s="952"/>
      <c r="UAK102" s="952"/>
      <c r="UAL102" s="952"/>
      <c r="UAM102" s="952"/>
      <c r="UAN102" s="952"/>
      <c r="UAO102" s="952"/>
      <c r="UAP102" s="952"/>
      <c r="UAQ102" s="952"/>
      <c r="UAR102" s="952"/>
      <c r="UAS102" s="952"/>
      <c r="UAT102" s="952"/>
      <c r="UAU102" s="952"/>
      <c r="UAV102" s="952"/>
      <c r="UAW102" s="952"/>
      <c r="UAX102" s="952"/>
      <c r="UAY102" s="952"/>
      <c r="UAZ102" s="952"/>
      <c r="UBA102" s="952"/>
      <c r="UBB102" s="952"/>
      <c r="UBC102" s="952"/>
      <c r="UBD102" s="952"/>
      <c r="UBE102" s="952"/>
      <c r="UBF102" s="952"/>
      <c r="UBG102" s="952"/>
      <c r="UBH102" s="952"/>
      <c r="UBI102" s="952"/>
      <c r="UBJ102" s="952"/>
      <c r="UBK102" s="952"/>
      <c r="UBL102" s="952"/>
      <c r="UBM102" s="952"/>
      <c r="UBN102" s="952"/>
      <c r="UBO102" s="952"/>
      <c r="UBP102" s="952"/>
      <c r="UBQ102" s="952"/>
      <c r="UBR102" s="952"/>
      <c r="UBS102" s="952"/>
      <c r="UBT102" s="952"/>
      <c r="UBU102" s="952"/>
      <c r="UBV102" s="952"/>
      <c r="UBW102" s="952"/>
      <c r="UBX102" s="952"/>
      <c r="UBY102" s="952"/>
      <c r="UBZ102" s="952"/>
      <c r="UCA102" s="952"/>
      <c r="UCB102" s="952"/>
      <c r="UCC102" s="952"/>
      <c r="UCD102" s="952"/>
      <c r="UCE102" s="952"/>
      <c r="UCF102" s="952"/>
      <c r="UCG102" s="952"/>
      <c r="UCH102" s="952"/>
      <c r="UCI102" s="952"/>
      <c r="UCJ102" s="952"/>
      <c r="UCK102" s="952"/>
      <c r="UCL102" s="952"/>
      <c r="UCM102" s="952"/>
      <c r="UCN102" s="952"/>
      <c r="UCO102" s="952"/>
      <c r="UCP102" s="952"/>
      <c r="UCQ102" s="952"/>
      <c r="UCR102" s="952"/>
      <c r="UCS102" s="952"/>
      <c r="UCT102" s="952"/>
      <c r="UCU102" s="952"/>
      <c r="UCV102" s="952"/>
      <c r="UCW102" s="952"/>
      <c r="UCX102" s="952"/>
      <c r="UCY102" s="952"/>
      <c r="UCZ102" s="952"/>
      <c r="UDA102" s="952"/>
      <c r="UDB102" s="952"/>
      <c r="UDC102" s="952"/>
      <c r="UDD102" s="952"/>
      <c r="UDE102" s="952"/>
      <c r="UDF102" s="952"/>
      <c r="UDG102" s="952"/>
      <c r="UDH102" s="952"/>
      <c r="UDI102" s="952"/>
      <c r="UDJ102" s="952"/>
      <c r="UDK102" s="952"/>
      <c r="UDL102" s="952"/>
      <c r="UDM102" s="952"/>
      <c r="UDN102" s="952"/>
      <c r="UDO102" s="952"/>
      <c r="UDP102" s="952"/>
      <c r="UDQ102" s="952"/>
      <c r="UDR102" s="952"/>
      <c r="UDS102" s="952"/>
      <c r="UDT102" s="952"/>
      <c r="UDU102" s="952"/>
      <c r="UDV102" s="952"/>
      <c r="UDW102" s="952"/>
      <c r="UDX102" s="952"/>
      <c r="UDY102" s="952"/>
      <c r="UDZ102" s="952"/>
      <c r="UEA102" s="952"/>
      <c r="UEB102" s="952"/>
      <c r="UEC102" s="952"/>
      <c r="UED102" s="952"/>
      <c r="UEE102" s="952"/>
      <c r="UEF102" s="952"/>
      <c r="UEG102" s="952"/>
      <c r="UEH102" s="952"/>
      <c r="UEI102" s="952"/>
      <c r="UEJ102" s="952"/>
      <c r="UEK102" s="952"/>
      <c r="UEL102" s="952"/>
      <c r="UEM102" s="952"/>
      <c r="UEN102" s="952"/>
      <c r="UEO102" s="952"/>
      <c r="UEP102" s="952"/>
      <c r="UEQ102" s="952"/>
      <c r="UER102" s="952"/>
      <c r="UES102" s="952"/>
      <c r="UET102" s="952"/>
      <c r="UEU102" s="952"/>
      <c r="UEV102" s="952"/>
      <c r="UEW102" s="952"/>
      <c r="UEX102" s="952"/>
      <c r="UEY102" s="952"/>
      <c r="UEZ102" s="952"/>
      <c r="UFA102" s="952"/>
      <c r="UFB102" s="952"/>
      <c r="UFC102" s="952"/>
      <c r="UFD102" s="952"/>
      <c r="UFE102" s="952"/>
      <c r="UFF102" s="952"/>
      <c r="UFG102" s="952"/>
      <c r="UFH102" s="952"/>
      <c r="UFI102" s="952"/>
      <c r="UFJ102" s="952"/>
      <c r="UFK102" s="952"/>
      <c r="UFL102" s="952"/>
      <c r="UFM102" s="952"/>
      <c r="UFN102" s="952"/>
      <c r="UFO102" s="952"/>
      <c r="UFP102" s="952"/>
      <c r="UFQ102" s="952"/>
      <c r="UFR102" s="952"/>
      <c r="UFS102" s="952"/>
      <c r="UFT102" s="952"/>
      <c r="UFU102" s="952"/>
      <c r="UFV102" s="952"/>
      <c r="UFW102" s="952"/>
      <c r="UFX102" s="952"/>
      <c r="UFY102" s="952"/>
      <c r="UFZ102" s="952"/>
      <c r="UGA102" s="952"/>
      <c r="UGB102" s="952"/>
      <c r="UGC102" s="952"/>
      <c r="UGD102" s="952"/>
      <c r="UGE102" s="952"/>
      <c r="UGF102" s="952"/>
      <c r="UGG102" s="952"/>
      <c r="UGH102" s="952"/>
      <c r="UGI102" s="952"/>
      <c r="UGJ102" s="952"/>
      <c r="UGK102" s="952"/>
      <c r="UGL102" s="952"/>
      <c r="UGM102" s="952"/>
      <c r="UGN102" s="952"/>
      <c r="UGO102" s="952"/>
      <c r="UGP102" s="952"/>
      <c r="UGQ102" s="952"/>
      <c r="UGR102" s="952"/>
      <c r="UGS102" s="952"/>
      <c r="UGT102" s="952"/>
      <c r="UGU102" s="952"/>
      <c r="UGV102" s="952"/>
      <c r="UGW102" s="952"/>
      <c r="UGX102" s="952"/>
      <c r="UGY102" s="952"/>
      <c r="UGZ102" s="952"/>
      <c r="UHA102" s="952"/>
      <c r="UHB102" s="952"/>
      <c r="UHC102" s="952"/>
      <c r="UHD102" s="952"/>
      <c r="UHE102" s="952"/>
      <c r="UHF102" s="952"/>
      <c r="UHG102" s="952"/>
      <c r="UHH102" s="952"/>
      <c r="UHI102" s="952"/>
      <c r="UHJ102" s="952"/>
      <c r="UHK102" s="952"/>
      <c r="UHL102" s="952"/>
      <c r="UHM102" s="952"/>
      <c r="UHN102" s="952"/>
      <c r="UHO102" s="952"/>
      <c r="UHP102" s="952"/>
      <c r="UHQ102" s="952"/>
      <c r="UHR102" s="952"/>
      <c r="UHS102" s="952"/>
      <c r="UHT102" s="952"/>
      <c r="UHU102" s="952"/>
      <c r="UHV102" s="952"/>
      <c r="UHW102" s="952"/>
      <c r="UHX102" s="952"/>
      <c r="UHY102" s="952"/>
      <c r="UHZ102" s="952"/>
      <c r="UIA102" s="952"/>
      <c r="UIB102" s="952"/>
      <c r="UIC102" s="952"/>
      <c r="UID102" s="952"/>
      <c r="UIE102" s="952"/>
      <c r="UIF102" s="952"/>
      <c r="UIG102" s="952"/>
      <c r="UIH102" s="952"/>
      <c r="UII102" s="952"/>
      <c r="UIJ102" s="952"/>
      <c r="UIK102" s="952"/>
      <c r="UIL102" s="952"/>
      <c r="UIM102" s="952"/>
      <c r="UIN102" s="952"/>
      <c r="UIO102" s="952"/>
      <c r="UIP102" s="952"/>
      <c r="UIQ102" s="952"/>
      <c r="UIR102" s="952"/>
      <c r="UIS102" s="952"/>
      <c r="UIT102" s="952"/>
      <c r="UIU102" s="952"/>
      <c r="UIV102" s="952"/>
      <c r="UIW102" s="952"/>
      <c r="UIX102" s="952"/>
      <c r="UIY102" s="952"/>
      <c r="UIZ102" s="952"/>
      <c r="UJA102" s="952"/>
      <c r="UJB102" s="952"/>
      <c r="UJC102" s="952"/>
      <c r="UJD102" s="952"/>
      <c r="UJE102" s="952"/>
      <c r="UJF102" s="952"/>
      <c r="UJG102" s="952"/>
      <c r="UJH102" s="952"/>
      <c r="UJI102" s="952"/>
      <c r="UJJ102" s="952"/>
      <c r="UJK102" s="952"/>
      <c r="UJL102" s="952"/>
      <c r="UJM102" s="952"/>
      <c r="UJN102" s="952"/>
      <c r="UJO102" s="952"/>
      <c r="UJP102" s="952"/>
      <c r="UJQ102" s="952"/>
      <c r="UJR102" s="952"/>
      <c r="UJS102" s="952"/>
      <c r="UJT102" s="952"/>
      <c r="UJU102" s="952"/>
      <c r="UJV102" s="952"/>
      <c r="UJW102" s="952"/>
      <c r="UJX102" s="952"/>
      <c r="UJY102" s="952"/>
      <c r="UJZ102" s="952"/>
      <c r="UKA102" s="952"/>
      <c r="UKB102" s="952"/>
      <c r="UKC102" s="952"/>
      <c r="UKD102" s="952"/>
      <c r="UKE102" s="952"/>
      <c r="UKF102" s="952"/>
      <c r="UKG102" s="952"/>
      <c r="UKH102" s="952"/>
      <c r="UKI102" s="952"/>
      <c r="UKJ102" s="952"/>
      <c r="UKK102" s="952"/>
      <c r="UKL102" s="952"/>
      <c r="UKM102" s="952"/>
      <c r="UKN102" s="952"/>
      <c r="UKO102" s="952"/>
      <c r="UKP102" s="952"/>
      <c r="UKQ102" s="952"/>
      <c r="UKR102" s="952"/>
      <c r="UKS102" s="952"/>
      <c r="UKT102" s="952"/>
      <c r="UKU102" s="952"/>
      <c r="UKV102" s="952"/>
      <c r="UKW102" s="952"/>
      <c r="UKX102" s="952"/>
      <c r="UKY102" s="952"/>
      <c r="UKZ102" s="952"/>
      <c r="ULA102" s="952"/>
      <c r="ULB102" s="952"/>
      <c r="ULC102" s="952"/>
      <c r="ULD102" s="952"/>
      <c r="ULE102" s="952"/>
      <c r="ULF102" s="952"/>
      <c r="ULG102" s="952"/>
      <c r="ULH102" s="952"/>
      <c r="ULI102" s="952"/>
      <c r="ULJ102" s="952"/>
      <c r="ULK102" s="952"/>
      <c r="ULL102" s="952"/>
      <c r="ULM102" s="952"/>
      <c r="ULN102" s="952"/>
      <c r="ULO102" s="952"/>
      <c r="ULP102" s="952"/>
      <c r="ULQ102" s="952"/>
      <c r="ULR102" s="952"/>
      <c r="ULS102" s="952"/>
      <c r="ULT102" s="952"/>
      <c r="ULU102" s="952"/>
      <c r="ULV102" s="952"/>
      <c r="ULW102" s="952"/>
      <c r="ULX102" s="952"/>
      <c r="ULY102" s="952"/>
      <c r="ULZ102" s="952"/>
      <c r="UMA102" s="952"/>
      <c r="UMB102" s="952"/>
      <c r="UMC102" s="952"/>
      <c r="UMD102" s="952"/>
      <c r="UME102" s="952"/>
      <c r="UMF102" s="952"/>
      <c r="UMG102" s="952"/>
      <c r="UMH102" s="952"/>
      <c r="UMI102" s="952"/>
      <c r="UMJ102" s="952"/>
      <c r="UMK102" s="952"/>
      <c r="UML102" s="952"/>
      <c r="UMM102" s="952"/>
      <c r="UMN102" s="952"/>
      <c r="UMO102" s="952"/>
      <c r="UMP102" s="952"/>
      <c r="UMQ102" s="952"/>
      <c r="UMR102" s="952"/>
      <c r="UMS102" s="952"/>
      <c r="UMT102" s="952"/>
      <c r="UMU102" s="952"/>
      <c r="UMV102" s="952"/>
      <c r="UMW102" s="952"/>
      <c r="UMX102" s="952"/>
      <c r="UMY102" s="952"/>
      <c r="UMZ102" s="952"/>
      <c r="UNA102" s="952"/>
      <c r="UNB102" s="952"/>
      <c r="UNC102" s="952"/>
      <c r="UND102" s="952"/>
      <c r="UNE102" s="952"/>
      <c r="UNF102" s="952"/>
      <c r="UNG102" s="952"/>
      <c r="UNH102" s="952"/>
      <c r="UNI102" s="952"/>
      <c r="UNJ102" s="952"/>
      <c r="UNK102" s="952"/>
      <c r="UNL102" s="952"/>
      <c r="UNM102" s="952"/>
      <c r="UNN102" s="952"/>
      <c r="UNO102" s="952"/>
      <c r="UNP102" s="952"/>
      <c r="UNQ102" s="952"/>
      <c r="UNR102" s="952"/>
      <c r="UNS102" s="952"/>
      <c r="UNT102" s="952"/>
      <c r="UNU102" s="952"/>
      <c r="UNV102" s="952"/>
      <c r="UNW102" s="952"/>
      <c r="UNX102" s="952"/>
      <c r="UNY102" s="952"/>
      <c r="UNZ102" s="952"/>
      <c r="UOA102" s="952"/>
      <c r="UOB102" s="952"/>
      <c r="UOC102" s="952"/>
      <c r="UOD102" s="952"/>
      <c r="UOE102" s="952"/>
      <c r="UOF102" s="952"/>
      <c r="UOG102" s="952"/>
      <c r="UOH102" s="952"/>
      <c r="UOI102" s="952"/>
      <c r="UOJ102" s="952"/>
      <c r="UOK102" s="952"/>
      <c r="UOL102" s="952"/>
      <c r="UOM102" s="952"/>
      <c r="UON102" s="952"/>
      <c r="UOO102" s="952"/>
      <c r="UOP102" s="952"/>
      <c r="UOQ102" s="952"/>
      <c r="UOR102" s="952"/>
      <c r="UOS102" s="952"/>
      <c r="UOT102" s="952"/>
      <c r="UOU102" s="952"/>
      <c r="UOV102" s="952"/>
      <c r="UOW102" s="952"/>
      <c r="UOX102" s="952"/>
      <c r="UOY102" s="952"/>
      <c r="UOZ102" s="952"/>
      <c r="UPA102" s="952"/>
      <c r="UPB102" s="952"/>
      <c r="UPC102" s="952"/>
      <c r="UPD102" s="952"/>
      <c r="UPE102" s="952"/>
      <c r="UPF102" s="952"/>
      <c r="UPG102" s="952"/>
      <c r="UPH102" s="952"/>
      <c r="UPI102" s="952"/>
      <c r="UPJ102" s="952"/>
      <c r="UPK102" s="952"/>
      <c r="UPL102" s="952"/>
      <c r="UPM102" s="952"/>
      <c r="UPN102" s="952"/>
      <c r="UPO102" s="952"/>
      <c r="UPP102" s="952"/>
      <c r="UPQ102" s="952"/>
      <c r="UPR102" s="952"/>
      <c r="UPS102" s="952"/>
      <c r="UPT102" s="952"/>
      <c r="UPU102" s="952"/>
      <c r="UPV102" s="952"/>
      <c r="UPW102" s="952"/>
      <c r="UPX102" s="952"/>
      <c r="UPY102" s="952"/>
      <c r="UPZ102" s="952"/>
      <c r="UQA102" s="952"/>
      <c r="UQB102" s="952"/>
      <c r="UQC102" s="952"/>
      <c r="UQD102" s="952"/>
      <c r="UQE102" s="952"/>
      <c r="UQF102" s="952"/>
      <c r="UQG102" s="952"/>
      <c r="UQH102" s="952"/>
      <c r="UQI102" s="952"/>
      <c r="UQJ102" s="952"/>
      <c r="UQK102" s="952"/>
      <c r="UQL102" s="952"/>
      <c r="UQM102" s="952"/>
      <c r="UQN102" s="952"/>
      <c r="UQO102" s="952"/>
      <c r="UQP102" s="952"/>
      <c r="UQQ102" s="952"/>
      <c r="UQR102" s="952"/>
      <c r="UQS102" s="952"/>
      <c r="UQT102" s="952"/>
      <c r="UQU102" s="952"/>
      <c r="UQV102" s="952"/>
      <c r="UQW102" s="952"/>
      <c r="UQX102" s="952"/>
      <c r="UQY102" s="952"/>
      <c r="UQZ102" s="952"/>
      <c r="URA102" s="952"/>
      <c r="URB102" s="952"/>
      <c r="URC102" s="952"/>
      <c r="URD102" s="952"/>
      <c r="URE102" s="952"/>
      <c r="URF102" s="952"/>
      <c r="URG102" s="952"/>
      <c r="URH102" s="952"/>
      <c r="URI102" s="952"/>
      <c r="URJ102" s="952"/>
      <c r="URK102" s="952"/>
      <c r="URL102" s="952"/>
      <c r="URM102" s="952"/>
      <c r="URN102" s="952"/>
      <c r="URO102" s="952"/>
      <c r="URP102" s="952"/>
      <c r="URQ102" s="952"/>
      <c r="URR102" s="952"/>
      <c r="URS102" s="952"/>
      <c r="URT102" s="952"/>
      <c r="URU102" s="952"/>
      <c r="URV102" s="952"/>
      <c r="URW102" s="952"/>
      <c r="URX102" s="952"/>
      <c r="URY102" s="952"/>
      <c r="URZ102" s="952"/>
      <c r="USA102" s="952"/>
      <c r="USB102" s="952"/>
      <c r="USC102" s="952"/>
      <c r="USD102" s="952"/>
      <c r="USE102" s="952"/>
      <c r="USF102" s="952"/>
      <c r="USG102" s="952"/>
      <c r="USH102" s="952"/>
      <c r="USI102" s="952"/>
      <c r="USJ102" s="952"/>
      <c r="USK102" s="952"/>
      <c r="USL102" s="952"/>
      <c r="USM102" s="952"/>
      <c r="USN102" s="952"/>
      <c r="USO102" s="952"/>
      <c r="USP102" s="952"/>
      <c r="USQ102" s="952"/>
      <c r="USR102" s="952"/>
      <c r="USS102" s="952"/>
      <c r="UST102" s="952"/>
      <c r="USU102" s="952"/>
      <c r="USV102" s="952"/>
      <c r="USW102" s="952"/>
      <c r="USX102" s="952"/>
      <c r="USY102" s="952"/>
      <c r="USZ102" s="952"/>
      <c r="UTA102" s="952"/>
      <c r="UTB102" s="952"/>
      <c r="UTC102" s="952"/>
      <c r="UTD102" s="952"/>
      <c r="UTE102" s="952"/>
      <c r="UTF102" s="952"/>
      <c r="UTG102" s="952"/>
      <c r="UTH102" s="952"/>
      <c r="UTI102" s="952"/>
      <c r="UTJ102" s="952"/>
      <c r="UTK102" s="952"/>
      <c r="UTL102" s="952"/>
      <c r="UTM102" s="952"/>
      <c r="UTN102" s="952"/>
      <c r="UTO102" s="952"/>
      <c r="UTP102" s="952"/>
      <c r="UTQ102" s="952"/>
      <c r="UTR102" s="952"/>
      <c r="UTS102" s="952"/>
      <c r="UTT102" s="952"/>
      <c r="UTU102" s="952"/>
      <c r="UTV102" s="952"/>
      <c r="UTW102" s="952"/>
      <c r="UTX102" s="952"/>
      <c r="UTY102" s="952"/>
      <c r="UTZ102" s="952"/>
      <c r="UUA102" s="952"/>
      <c r="UUB102" s="952"/>
      <c r="UUC102" s="952"/>
      <c r="UUD102" s="952"/>
      <c r="UUE102" s="952"/>
      <c r="UUF102" s="952"/>
      <c r="UUG102" s="952"/>
      <c r="UUH102" s="952"/>
      <c r="UUI102" s="952"/>
      <c r="UUJ102" s="952"/>
      <c r="UUK102" s="952"/>
      <c r="UUL102" s="952"/>
      <c r="UUM102" s="952"/>
      <c r="UUN102" s="952"/>
      <c r="UUO102" s="952"/>
      <c r="UUP102" s="952"/>
      <c r="UUQ102" s="952"/>
      <c r="UUR102" s="952"/>
      <c r="UUS102" s="952"/>
      <c r="UUT102" s="952"/>
      <c r="UUU102" s="952"/>
      <c r="UUV102" s="952"/>
      <c r="UUW102" s="952"/>
      <c r="UUX102" s="952"/>
      <c r="UUY102" s="952"/>
      <c r="UUZ102" s="952"/>
      <c r="UVA102" s="952"/>
      <c r="UVB102" s="952"/>
      <c r="UVC102" s="952"/>
      <c r="UVD102" s="952"/>
      <c r="UVE102" s="952"/>
      <c r="UVF102" s="952"/>
      <c r="UVG102" s="952"/>
      <c r="UVH102" s="952"/>
      <c r="UVI102" s="952"/>
      <c r="UVJ102" s="952"/>
      <c r="UVK102" s="952"/>
      <c r="UVL102" s="952"/>
      <c r="UVM102" s="952"/>
      <c r="UVN102" s="952"/>
      <c r="UVO102" s="952"/>
      <c r="UVP102" s="952"/>
      <c r="UVQ102" s="952"/>
      <c r="UVR102" s="952"/>
      <c r="UVS102" s="952"/>
      <c r="UVT102" s="952"/>
      <c r="UVU102" s="952"/>
      <c r="UVV102" s="952"/>
      <c r="UVW102" s="952"/>
      <c r="UVX102" s="952"/>
      <c r="UVY102" s="952"/>
      <c r="UVZ102" s="952"/>
      <c r="UWA102" s="952"/>
      <c r="UWB102" s="952"/>
      <c r="UWC102" s="952"/>
      <c r="UWD102" s="952"/>
      <c r="UWE102" s="952"/>
      <c r="UWF102" s="952"/>
      <c r="UWG102" s="952"/>
      <c r="UWH102" s="952"/>
      <c r="UWI102" s="952"/>
      <c r="UWJ102" s="952"/>
      <c r="UWK102" s="952"/>
      <c r="UWL102" s="952"/>
      <c r="UWM102" s="952"/>
      <c r="UWN102" s="952"/>
      <c r="UWO102" s="952"/>
      <c r="UWP102" s="952"/>
      <c r="UWQ102" s="952"/>
      <c r="UWR102" s="952"/>
      <c r="UWS102" s="952"/>
      <c r="UWT102" s="952"/>
      <c r="UWU102" s="952"/>
      <c r="UWV102" s="952"/>
      <c r="UWW102" s="952"/>
      <c r="UWX102" s="952"/>
      <c r="UWY102" s="952"/>
      <c r="UWZ102" s="952"/>
      <c r="UXA102" s="952"/>
      <c r="UXB102" s="952"/>
      <c r="UXC102" s="952"/>
      <c r="UXD102" s="952"/>
      <c r="UXE102" s="952"/>
      <c r="UXF102" s="952"/>
      <c r="UXG102" s="952"/>
      <c r="UXH102" s="952"/>
      <c r="UXI102" s="952"/>
      <c r="UXJ102" s="952"/>
      <c r="UXK102" s="952"/>
      <c r="UXL102" s="952"/>
      <c r="UXM102" s="952"/>
      <c r="UXN102" s="952"/>
      <c r="UXO102" s="952"/>
      <c r="UXP102" s="952"/>
      <c r="UXQ102" s="952"/>
      <c r="UXR102" s="952"/>
      <c r="UXS102" s="952"/>
      <c r="UXT102" s="952"/>
      <c r="UXU102" s="952"/>
      <c r="UXV102" s="952"/>
      <c r="UXW102" s="952"/>
      <c r="UXX102" s="952"/>
      <c r="UXY102" s="952"/>
      <c r="UXZ102" s="952"/>
      <c r="UYA102" s="952"/>
      <c r="UYB102" s="952"/>
      <c r="UYC102" s="952"/>
      <c r="UYD102" s="952"/>
      <c r="UYE102" s="952"/>
      <c r="UYF102" s="952"/>
      <c r="UYG102" s="952"/>
      <c r="UYH102" s="952"/>
      <c r="UYI102" s="952"/>
      <c r="UYJ102" s="952"/>
      <c r="UYK102" s="952"/>
      <c r="UYL102" s="952"/>
      <c r="UYM102" s="952"/>
      <c r="UYN102" s="952"/>
      <c r="UYO102" s="952"/>
      <c r="UYP102" s="952"/>
      <c r="UYQ102" s="952"/>
      <c r="UYR102" s="952"/>
      <c r="UYS102" s="952"/>
      <c r="UYT102" s="952"/>
      <c r="UYU102" s="952"/>
      <c r="UYV102" s="952"/>
      <c r="UYW102" s="952"/>
      <c r="UYX102" s="952"/>
      <c r="UYY102" s="952"/>
      <c r="UYZ102" s="952"/>
      <c r="UZA102" s="952"/>
      <c r="UZB102" s="952"/>
      <c r="UZC102" s="952"/>
      <c r="UZD102" s="952"/>
      <c r="UZE102" s="952"/>
      <c r="UZF102" s="952"/>
      <c r="UZG102" s="952"/>
      <c r="UZH102" s="952"/>
      <c r="UZI102" s="952"/>
      <c r="UZJ102" s="952"/>
      <c r="UZK102" s="952"/>
      <c r="UZL102" s="952"/>
      <c r="UZM102" s="952"/>
      <c r="UZN102" s="952"/>
      <c r="UZO102" s="952"/>
      <c r="UZP102" s="952"/>
      <c r="UZQ102" s="952"/>
      <c r="UZR102" s="952"/>
      <c r="UZS102" s="952"/>
      <c r="UZT102" s="952"/>
      <c r="UZU102" s="952"/>
      <c r="UZV102" s="952"/>
      <c r="UZW102" s="952"/>
      <c r="UZX102" s="952"/>
      <c r="UZY102" s="952"/>
      <c r="UZZ102" s="952"/>
      <c r="VAA102" s="952"/>
      <c r="VAB102" s="952"/>
      <c r="VAC102" s="952"/>
      <c r="VAD102" s="952"/>
      <c r="VAE102" s="952"/>
      <c r="VAF102" s="952"/>
      <c r="VAG102" s="952"/>
      <c r="VAH102" s="952"/>
      <c r="VAI102" s="952"/>
      <c r="VAJ102" s="952"/>
      <c r="VAK102" s="952"/>
      <c r="VAL102" s="952"/>
      <c r="VAM102" s="952"/>
      <c r="VAN102" s="952"/>
      <c r="VAO102" s="952"/>
      <c r="VAP102" s="952"/>
      <c r="VAQ102" s="952"/>
      <c r="VAR102" s="952"/>
      <c r="VAS102" s="952"/>
      <c r="VAT102" s="952"/>
      <c r="VAU102" s="952"/>
      <c r="VAV102" s="952"/>
      <c r="VAW102" s="952"/>
      <c r="VAX102" s="952"/>
      <c r="VAY102" s="952"/>
      <c r="VAZ102" s="952"/>
      <c r="VBA102" s="952"/>
      <c r="VBB102" s="952"/>
      <c r="VBC102" s="952"/>
      <c r="VBD102" s="952"/>
      <c r="VBE102" s="952"/>
      <c r="VBF102" s="952"/>
      <c r="VBG102" s="952"/>
      <c r="VBH102" s="952"/>
      <c r="VBI102" s="952"/>
      <c r="VBJ102" s="952"/>
      <c r="VBK102" s="952"/>
      <c r="VBL102" s="952"/>
      <c r="VBM102" s="952"/>
      <c r="VBN102" s="952"/>
      <c r="VBO102" s="952"/>
      <c r="VBP102" s="952"/>
      <c r="VBQ102" s="952"/>
      <c r="VBR102" s="952"/>
      <c r="VBS102" s="952"/>
      <c r="VBT102" s="952"/>
      <c r="VBU102" s="952"/>
      <c r="VBV102" s="952"/>
      <c r="VBW102" s="952"/>
      <c r="VBX102" s="952"/>
      <c r="VBY102" s="952"/>
      <c r="VBZ102" s="952"/>
      <c r="VCA102" s="952"/>
      <c r="VCB102" s="952"/>
      <c r="VCC102" s="952"/>
      <c r="VCD102" s="952"/>
      <c r="VCE102" s="952"/>
      <c r="VCF102" s="952"/>
      <c r="VCG102" s="952"/>
      <c r="VCH102" s="952"/>
      <c r="VCI102" s="952"/>
      <c r="VCJ102" s="952"/>
      <c r="VCK102" s="952"/>
      <c r="VCL102" s="952"/>
      <c r="VCM102" s="952"/>
      <c r="VCN102" s="952"/>
      <c r="VCO102" s="952"/>
      <c r="VCP102" s="952"/>
      <c r="VCQ102" s="952"/>
      <c r="VCR102" s="952"/>
      <c r="VCS102" s="952"/>
      <c r="VCT102" s="952"/>
      <c r="VCU102" s="952"/>
      <c r="VCV102" s="952"/>
      <c r="VCW102" s="952"/>
      <c r="VCX102" s="952"/>
      <c r="VCY102" s="952"/>
      <c r="VCZ102" s="952"/>
      <c r="VDA102" s="952"/>
      <c r="VDB102" s="952"/>
      <c r="VDC102" s="952"/>
      <c r="VDD102" s="952"/>
      <c r="VDE102" s="952"/>
      <c r="VDF102" s="952"/>
      <c r="VDG102" s="952"/>
      <c r="VDH102" s="952"/>
      <c r="VDI102" s="952"/>
      <c r="VDJ102" s="952"/>
      <c r="VDK102" s="952"/>
      <c r="VDL102" s="952"/>
      <c r="VDM102" s="952"/>
      <c r="VDN102" s="952"/>
      <c r="VDO102" s="952"/>
      <c r="VDP102" s="952"/>
      <c r="VDQ102" s="952"/>
      <c r="VDR102" s="952"/>
      <c r="VDS102" s="952"/>
      <c r="VDT102" s="952"/>
      <c r="VDU102" s="952"/>
      <c r="VDV102" s="952"/>
      <c r="VDW102" s="952"/>
      <c r="VDX102" s="952"/>
      <c r="VDY102" s="952"/>
      <c r="VDZ102" s="952"/>
      <c r="VEA102" s="952"/>
      <c r="VEB102" s="952"/>
      <c r="VEC102" s="952"/>
      <c r="VED102" s="952"/>
      <c r="VEE102" s="952"/>
      <c r="VEF102" s="952"/>
      <c r="VEG102" s="952"/>
      <c r="VEH102" s="952"/>
      <c r="VEI102" s="952"/>
      <c r="VEJ102" s="952"/>
      <c r="VEK102" s="952"/>
      <c r="VEL102" s="952"/>
      <c r="VEM102" s="952"/>
      <c r="VEN102" s="952"/>
      <c r="VEO102" s="952"/>
      <c r="VEP102" s="952"/>
      <c r="VEQ102" s="952"/>
      <c r="VER102" s="952"/>
      <c r="VES102" s="952"/>
      <c r="VET102" s="952"/>
      <c r="VEU102" s="952"/>
      <c r="VEV102" s="952"/>
      <c r="VEW102" s="952"/>
      <c r="VEX102" s="952"/>
      <c r="VEY102" s="952"/>
      <c r="VEZ102" s="952"/>
      <c r="VFA102" s="952"/>
      <c r="VFB102" s="952"/>
      <c r="VFC102" s="952"/>
      <c r="VFD102" s="952"/>
      <c r="VFE102" s="952"/>
      <c r="VFF102" s="952"/>
      <c r="VFG102" s="952"/>
      <c r="VFH102" s="952"/>
      <c r="VFI102" s="952"/>
      <c r="VFJ102" s="952"/>
      <c r="VFK102" s="952"/>
      <c r="VFL102" s="952"/>
      <c r="VFM102" s="952"/>
      <c r="VFN102" s="952"/>
      <c r="VFO102" s="952"/>
      <c r="VFP102" s="952"/>
      <c r="VFQ102" s="952"/>
      <c r="VFR102" s="952"/>
      <c r="VFS102" s="952"/>
      <c r="VFT102" s="952"/>
      <c r="VFU102" s="952"/>
      <c r="VFV102" s="952"/>
      <c r="VFW102" s="952"/>
      <c r="VFX102" s="952"/>
      <c r="VFY102" s="952"/>
      <c r="VFZ102" s="952"/>
      <c r="VGA102" s="952"/>
      <c r="VGB102" s="952"/>
      <c r="VGC102" s="952"/>
      <c r="VGD102" s="952"/>
      <c r="VGE102" s="952"/>
      <c r="VGF102" s="952"/>
      <c r="VGG102" s="952"/>
      <c r="VGH102" s="952"/>
      <c r="VGI102" s="952"/>
      <c r="VGJ102" s="952"/>
      <c r="VGK102" s="952"/>
      <c r="VGL102" s="952"/>
      <c r="VGM102" s="952"/>
      <c r="VGN102" s="952"/>
      <c r="VGO102" s="952"/>
      <c r="VGP102" s="952"/>
      <c r="VGQ102" s="952"/>
      <c r="VGR102" s="952"/>
      <c r="VGS102" s="952"/>
      <c r="VGT102" s="952"/>
      <c r="VGU102" s="952"/>
      <c r="VGV102" s="952"/>
      <c r="VGW102" s="952"/>
      <c r="VGX102" s="952"/>
      <c r="VGY102" s="952"/>
      <c r="VGZ102" s="952"/>
      <c r="VHA102" s="952"/>
      <c r="VHB102" s="952"/>
      <c r="VHC102" s="952"/>
      <c r="VHD102" s="952"/>
      <c r="VHE102" s="952"/>
      <c r="VHF102" s="952"/>
      <c r="VHG102" s="952"/>
      <c r="VHH102" s="952"/>
      <c r="VHI102" s="952"/>
      <c r="VHJ102" s="952"/>
      <c r="VHK102" s="952"/>
      <c r="VHL102" s="952"/>
      <c r="VHM102" s="952"/>
      <c r="VHN102" s="952"/>
      <c r="VHO102" s="952"/>
      <c r="VHP102" s="952"/>
      <c r="VHQ102" s="952"/>
      <c r="VHR102" s="952"/>
      <c r="VHS102" s="952"/>
      <c r="VHT102" s="952"/>
      <c r="VHU102" s="952"/>
      <c r="VHV102" s="952"/>
      <c r="VHW102" s="952"/>
      <c r="VHX102" s="952"/>
      <c r="VHY102" s="952"/>
      <c r="VHZ102" s="952"/>
      <c r="VIA102" s="952"/>
      <c r="VIB102" s="952"/>
      <c r="VIC102" s="952"/>
      <c r="VID102" s="952"/>
      <c r="VIE102" s="952"/>
      <c r="VIF102" s="952"/>
      <c r="VIG102" s="952"/>
      <c r="VIH102" s="952"/>
      <c r="VII102" s="952"/>
      <c r="VIJ102" s="952"/>
      <c r="VIK102" s="952"/>
      <c r="VIL102" s="952"/>
      <c r="VIM102" s="952"/>
      <c r="VIN102" s="952"/>
      <c r="VIO102" s="952"/>
      <c r="VIP102" s="952"/>
      <c r="VIQ102" s="952"/>
      <c r="VIR102" s="952"/>
      <c r="VIS102" s="952"/>
      <c r="VIT102" s="952"/>
      <c r="VIU102" s="952"/>
      <c r="VIV102" s="952"/>
      <c r="VIW102" s="952"/>
      <c r="VIX102" s="952"/>
      <c r="VIY102" s="952"/>
      <c r="VIZ102" s="952"/>
      <c r="VJA102" s="952"/>
      <c r="VJB102" s="952"/>
      <c r="VJC102" s="952"/>
      <c r="VJD102" s="952"/>
      <c r="VJE102" s="952"/>
      <c r="VJF102" s="952"/>
      <c r="VJG102" s="952"/>
      <c r="VJH102" s="952"/>
      <c r="VJI102" s="952"/>
      <c r="VJJ102" s="952"/>
      <c r="VJK102" s="952"/>
      <c r="VJL102" s="952"/>
      <c r="VJM102" s="952"/>
      <c r="VJN102" s="952"/>
      <c r="VJO102" s="952"/>
      <c r="VJP102" s="952"/>
      <c r="VJQ102" s="952"/>
      <c r="VJR102" s="952"/>
      <c r="VJS102" s="952"/>
      <c r="VJT102" s="952"/>
      <c r="VJU102" s="952"/>
      <c r="VJV102" s="952"/>
      <c r="VJW102" s="952"/>
      <c r="VJX102" s="952"/>
      <c r="VJY102" s="952"/>
      <c r="VJZ102" s="952"/>
      <c r="VKA102" s="952"/>
      <c r="VKB102" s="952"/>
      <c r="VKC102" s="952"/>
      <c r="VKD102" s="952"/>
      <c r="VKE102" s="952"/>
      <c r="VKF102" s="952"/>
      <c r="VKG102" s="952"/>
      <c r="VKH102" s="952"/>
      <c r="VKI102" s="952"/>
      <c r="VKJ102" s="952"/>
      <c r="VKK102" s="952"/>
      <c r="VKL102" s="952"/>
      <c r="VKM102" s="952"/>
      <c r="VKN102" s="952"/>
      <c r="VKO102" s="952"/>
      <c r="VKP102" s="952"/>
      <c r="VKQ102" s="952"/>
      <c r="VKR102" s="952"/>
      <c r="VKS102" s="952"/>
      <c r="VKT102" s="952"/>
      <c r="VKU102" s="952"/>
      <c r="VKV102" s="952"/>
      <c r="VKW102" s="952"/>
      <c r="VKX102" s="952"/>
      <c r="VKY102" s="952"/>
      <c r="VKZ102" s="952"/>
      <c r="VLA102" s="952"/>
      <c r="VLB102" s="952"/>
      <c r="VLC102" s="952"/>
      <c r="VLD102" s="952"/>
      <c r="VLE102" s="952"/>
      <c r="VLF102" s="952"/>
      <c r="VLG102" s="952"/>
      <c r="VLH102" s="952"/>
      <c r="VLI102" s="952"/>
      <c r="VLJ102" s="952"/>
      <c r="VLK102" s="952"/>
      <c r="VLL102" s="952"/>
      <c r="VLM102" s="952"/>
      <c r="VLN102" s="952"/>
      <c r="VLO102" s="952"/>
      <c r="VLP102" s="952"/>
      <c r="VLQ102" s="952"/>
      <c r="VLR102" s="952"/>
      <c r="VLS102" s="952"/>
      <c r="VLT102" s="952"/>
      <c r="VLU102" s="952"/>
      <c r="VLV102" s="952"/>
      <c r="VLW102" s="952"/>
      <c r="VLX102" s="952"/>
      <c r="VLY102" s="952"/>
      <c r="VLZ102" s="952"/>
      <c r="VMA102" s="952"/>
      <c r="VMB102" s="952"/>
      <c r="VMC102" s="952"/>
      <c r="VMD102" s="952"/>
      <c r="VME102" s="952"/>
      <c r="VMF102" s="952"/>
      <c r="VMG102" s="952"/>
      <c r="VMH102" s="952"/>
      <c r="VMI102" s="952"/>
      <c r="VMJ102" s="952"/>
      <c r="VMK102" s="952"/>
      <c r="VML102" s="952"/>
      <c r="VMM102" s="952"/>
      <c r="VMN102" s="952"/>
      <c r="VMO102" s="952"/>
      <c r="VMP102" s="952"/>
      <c r="VMQ102" s="952"/>
      <c r="VMR102" s="952"/>
      <c r="VMS102" s="952"/>
      <c r="VMT102" s="952"/>
      <c r="VMU102" s="952"/>
      <c r="VMV102" s="952"/>
      <c r="VMW102" s="952"/>
      <c r="VMX102" s="952"/>
      <c r="VMY102" s="952"/>
      <c r="VMZ102" s="952"/>
      <c r="VNA102" s="952"/>
      <c r="VNB102" s="952"/>
      <c r="VNC102" s="952"/>
      <c r="VND102" s="952"/>
      <c r="VNE102" s="952"/>
      <c r="VNF102" s="952"/>
      <c r="VNG102" s="952"/>
      <c r="VNH102" s="952"/>
      <c r="VNI102" s="952"/>
      <c r="VNJ102" s="952"/>
      <c r="VNK102" s="952"/>
      <c r="VNL102" s="952"/>
      <c r="VNM102" s="952"/>
      <c r="VNN102" s="952"/>
      <c r="VNO102" s="952"/>
      <c r="VNP102" s="952"/>
      <c r="VNQ102" s="952"/>
      <c r="VNR102" s="952"/>
      <c r="VNS102" s="952"/>
      <c r="VNT102" s="952"/>
      <c r="VNU102" s="952"/>
      <c r="VNV102" s="952"/>
      <c r="VNW102" s="952"/>
      <c r="VNX102" s="952"/>
      <c r="VNY102" s="952"/>
      <c r="VNZ102" s="952"/>
      <c r="VOA102" s="952"/>
      <c r="VOB102" s="952"/>
      <c r="VOC102" s="952"/>
      <c r="VOD102" s="952"/>
      <c r="VOE102" s="952"/>
      <c r="VOF102" s="952"/>
      <c r="VOG102" s="952"/>
      <c r="VOH102" s="952"/>
      <c r="VOI102" s="952"/>
      <c r="VOJ102" s="952"/>
      <c r="VOK102" s="952"/>
      <c r="VOL102" s="952"/>
      <c r="VOM102" s="952"/>
      <c r="VON102" s="952"/>
      <c r="VOO102" s="952"/>
      <c r="VOP102" s="952"/>
      <c r="VOQ102" s="952"/>
      <c r="VOR102" s="952"/>
      <c r="VOS102" s="952"/>
      <c r="VOT102" s="952"/>
      <c r="VOU102" s="952"/>
      <c r="VOV102" s="952"/>
      <c r="VOW102" s="952"/>
      <c r="VOX102" s="952"/>
      <c r="VOY102" s="952"/>
      <c r="VOZ102" s="952"/>
      <c r="VPA102" s="952"/>
      <c r="VPB102" s="952"/>
      <c r="VPC102" s="952"/>
      <c r="VPD102" s="952"/>
      <c r="VPE102" s="952"/>
      <c r="VPF102" s="952"/>
      <c r="VPG102" s="952"/>
      <c r="VPH102" s="952"/>
      <c r="VPI102" s="952"/>
      <c r="VPJ102" s="952"/>
      <c r="VPK102" s="952"/>
      <c r="VPL102" s="952"/>
      <c r="VPM102" s="952"/>
      <c r="VPN102" s="952"/>
      <c r="VPO102" s="952"/>
      <c r="VPP102" s="952"/>
      <c r="VPQ102" s="952"/>
      <c r="VPR102" s="952"/>
      <c r="VPS102" s="952"/>
      <c r="VPT102" s="952"/>
      <c r="VPU102" s="952"/>
      <c r="VPV102" s="952"/>
      <c r="VPW102" s="952"/>
      <c r="VPX102" s="952"/>
      <c r="VPY102" s="952"/>
      <c r="VPZ102" s="952"/>
      <c r="VQA102" s="952"/>
      <c r="VQB102" s="952"/>
      <c r="VQC102" s="952"/>
      <c r="VQD102" s="952"/>
      <c r="VQE102" s="952"/>
      <c r="VQF102" s="952"/>
      <c r="VQG102" s="952"/>
      <c r="VQH102" s="952"/>
      <c r="VQI102" s="952"/>
      <c r="VQJ102" s="952"/>
      <c r="VQK102" s="952"/>
      <c r="VQL102" s="952"/>
      <c r="VQM102" s="952"/>
      <c r="VQN102" s="952"/>
      <c r="VQO102" s="952"/>
      <c r="VQP102" s="952"/>
      <c r="VQQ102" s="952"/>
      <c r="VQR102" s="952"/>
      <c r="VQS102" s="952"/>
      <c r="VQT102" s="952"/>
      <c r="VQU102" s="952"/>
      <c r="VQV102" s="952"/>
      <c r="VQW102" s="952"/>
      <c r="VQX102" s="952"/>
      <c r="VQY102" s="952"/>
      <c r="VQZ102" s="952"/>
      <c r="VRA102" s="952"/>
      <c r="VRB102" s="952"/>
      <c r="VRC102" s="952"/>
      <c r="VRD102" s="952"/>
      <c r="VRE102" s="952"/>
      <c r="VRF102" s="952"/>
      <c r="VRG102" s="952"/>
      <c r="VRH102" s="952"/>
      <c r="VRI102" s="952"/>
      <c r="VRJ102" s="952"/>
      <c r="VRK102" s="952"/>
      <c r="VRL102" s="952"/>
      <c r="VRM102" s="952"/>
      <c r="VRN102" s="952"/>
      <c r="VRO102" s="952"/>
      <c r="VRP102" s="952"/>
      <c r="VRQ102" s="952"/>
      <c r="VRR102" s="952"/>
      <c r="VRS102" s="952"/>
      <c r="VRT102" s="952"/>
      <c r="VRU102" s="952"/>
      <c r="VRV102" s="952"/>
      <c r="VRW102" s="952"/>
      <c r="VRX102" s="952"/>
      <c r="VRY102" s="952"/>
      <c r="VRZ102" s="952"/>
      <c r="VSA102" s="952"/>
      <c r="VSB102" s="952"/>
      <c r="VSC102" s="952"/>
      <c r="VSD102" s="952"/>
      <c r="VSE102" s="952"/>
      <c r="VSF102" s="952"/>
      <c r="VSG102" s="952"/>
      <c r="VSH102" s="952"/>
      <c r="VSI102" s="952"/>
      <c r="VSJ102" s="952"/>
      <c r="VSK102" s="952"/>
      <c r="VSL102" s="952"/>
      <c r="VSM102" s="952"/>
      <c r="VSN102" s="952"/>
      <c r="VSO102" s="952"/>
      <c r="VSP102" s="952"/>
      <c r="VSQ102" s="952"/>
      <c r="VSR102" s="952"/>
      <c r="VSS102" s="952"/>
      <c r="VST102" s="952"/>
      <c r="VSU102" s="952"/>
      <c r="VSV102" s="952"/>
      <c r="VSW102" s="952"/>
      <c r="VSX102" s="952"/>
      <c r="VSY102" s="952"/>
      <c r="VSZ102" s="952"/>
      <c r="VTA102" s="952"/>
      <c r="VTB102" s="952"/>
      <c r="VTC102" s="952"/>
      <c r="VTD102" s="952"/>
      <c r="VTE102" s="952"/>
      <c r="VTF102" s="952"/>
      <c r="VTG102" s="952"/>
      <c r="VTH102" s="952"/>
      <c r="VTI102" s="952"/>
      <c r="VTJ102" s="952"/>
      <c r="VTK102" s="952"/>
      <c r="VTL102" s="952"/>
      <c r="VTM102" s="952"/>
      <c r="VTN102" s="952"/>
      <c r="VTO102" s="952"/>
      <c r="VTP102" s="952"/>
      <c r="VTQ102" s="952"/>
      <c r="VTR102" s="952"/>
      <c r="VTS102" s="952"/>
      <c r="VTT102" s="952"/>
      <c r="VTU102" s="952"/>
      <c r="VTV102" s="952"/>
      <c r="VTW102" s="952"/>
      <c r="VTX102" s="952"/>
      <c r="VTY102" s="952"/>
      <c r="VTZ102" s="952"/>
      <c r="VUA102" s="952"/>
      <c r="VUB102" s="952"/>
      <c r="VUC102" s="952"/>
      <c r="VUD102" s="952"/>
      <c r="VUE102" s="952"/>
      <c r="VUF102" s="952"/>
      <c r="VUG102" s="952"/>
      <c r="VUH102" s="952"/>
      <c r="VUI102" s="952"/>
      <c r="VUJ102" s="952"/>
      <c r="VUK102" s="952"/>
      <c r="VUL102" s="952"/>
      <c r="VUM102" s="952"/>
      <c r="VUN102" s="952"/>
      <c r="VUO102" s="952"/>
      <c r="VUP102" s="952"/>
      <c r="VUQ102" s="952"/>
      <c r="VUR102" s="952"/>
      <c r="VUS102" s="952"/>
      <c r="VUT102" s="952"/>
      <c r="VUU102" s="952"/>
      <c r="VUV102" s="952"/>
      <c r="VUW102" s="952"/>
      <c r="VUX102" s="952"/>
      <c r="VUY102" s="952"/>
      <c r="VUZ102" s="952"/>
      <c r="VVA102" s="952"/>
      <c r="VVB102" s="952"/>
      <c r="VVC102" s="952"/>
      <c r="VVD102" s="952"/>
      <c r="VVE102" s="952"/>
      <c r="VVF102" s="952"/>
      <c r="VVG102" s="952"/>
      <c r="VVH102" s="952"/>
      <c r="VVI102" s="952"/>
      <c r="VVJ102" s="952"/>
      <c r="VVK102" s="952"/>
      <c r="VVL102" s="952"/>
      <c r="VVM102" s="952"/>
      <c r="VVN102" s="952"/>
      <c r="VVO102" s="952"/>
      <c r="VVP102" s="952"/>
      <c r="VVQ102" s="952"/>
      <c r="VVR102" s="952"/>
      <c r="VVS102" s="952"/>
      <c r="VVT102" s="952"/>
      <c r="VVU102" s="952"/>
      <c r="VVV102" s="952"/>
      <c r="VVW102" s="952"/>
      <c r="VVX102" s="952"/>
      <c r="VVY102" s="952"/>
      <c r="VVZ102" s="952"/>
      <c r="VWA102" s="952"/>
      <c r="VWB102" s="952"/>
      <c r="VWC102" s="952"/>
      <c r="VWD102" s="952"/>
      <c r="VWE102" s="952"/>
      <c r="VWF102" s="952"/>
      <c r="VWG102" s="952"/>
      <c r="VWH102" s="952"/>
      <c r="VWI102" s="952"/>
      <c r="VWJ102" s="952"/>
      <c r="VWK102" s="952"/>
      <c r="VWL102" s="952"/>
      <c r="VWM102" s="952"/>
      <c r="VWN102" s="952"/>
      <c r="VWO102" s="952"/>
      <c r="VWP102" s="952"/>
      <c r="VWQ102" s="952"/>
      <c r="VWR102" s="952"/>
      <c r="VWS102" s="952"/>
      <c r="VWT102" s="952"/>
      <c r="VWU102" s="952"/>
      <c r="VWV102" s="952"/>
      <c r="VWW102" s="952"/>
      <c r="VWX102" s="952"/>
      <c r="VWY102" s="952"/>
      <c r="VWZ102" s="952"/>
      <c r="VXA102" s="952"/>
      <c r="VXB102" s="952"/>
      <c r="VXC102" s="952"/>
      <c r="VXD102" s="952"/>
      <c r="VXE102" s="952"/>
      <c r="VXF102" s="952"/>
      <c r="VXG102" s="952"/>
      <c r="VXH102" s="952"/>
      <c r="VXI102" s="952"/>
      <c r="VXJ102" s="952"/>
      <c r="VXK102" s="952"/>
      <c r="VXL102" s="952"/>
      <c r="VXM102" s="952"/>
      <c r="VXN102" s="952"/>
      <c r="VXO102" s="952"/>
      <c r="VXP102" s="952"/>
      <c r="VXQ102" s="952"/>
      <c r="VXR102" s="952"/>
      <c r="VXS102" s="952"/>
      <c r="VXT102" s="952"/>
      <c r="VXU102" s="952"/>
      <c r="VXV102" s="952"/>
      <c r="VXW102" s="952"/>
      <c r="VXX102" s="952"/>
      <c r="VXY102" s="952"/>
      <c r="VXZ102" s="952"/>
      <c r="VYA102" s="952"/>
      <c r="VYB102" s="952"/>
      <c r="VYC102" s="952"/>
      <c r="VYD102" s="952"/>
      <c r="VYE102" s="952"/>
      <c r="VYF102" s="952"/>
      <c r="VYG102" s="952"/>
      <c r="VYH102" s="952"/>
      <c r="VYI102" s="952"/>
      <c r="VYJ102" s="952"/>
      <c r="VYK102" s="952"/>
      <c r="VYL102" s="952"/>
      <c r="VYM102" s="952"/>
      <c r="VYN102" s="952"/>
      <c r="VYO102" s="952"/>
      <c r="VYP102" s="952"/>
      <c r="VYQ102" s="952"/>
      <c r="VYR102" s="952"/>
      <c r="VYS102" s="952"/>
      <c r="VYT102" s="952"/>
      <c r="VYU102" s="952"/>
      <c r="VYV102" s="952"/>
      <c r="VYW102" s="952"/>
      <c r="VYX102" s="952"/>
      <c r="VYY102" s="952"/>
      <c r="VYZ102" s="952"/>
      <c r="VZA102" s="952"/>
      <c r="VZB102" s="952"/>
      <c r="VZC102" s="952"/>
      <c r="VZD102" s="952"/>
      <c r="VZE102" s="952"/>
      <c r="VZF102" s="952"/>
      <c r="VZG102" s="952"/>
      <c r="VZH102" s="952"/>
      <c r="VZI102" s="952"/>
      <c r="VZJ102" s="952"/>
      <c r="VZK102" s="952"/>
      <c r="VZL102" s="952"/>
      <c r="VZM102" s="952"/>
      <c r="VZN102" s="952"/>
      <c r="VZO102" s="952"/>
      <c r="VZP102" s="952"/>
      <c r="VZQ102" s="952"/>
      <c r="VZR102" s="952"/>
      <c r="VZS102" s="952"/>
      <c r="VZT102" s="952"/>
      <c r="VZU102" s="952"/>
      <c r="VZV102" s="952"/>
      <c r="VZW102" s="952"/>
      <c r="VZX102" s="952"/>
      <c r="VZY102" s="952"/>
      <c r="VZZ102" s="952"/>
      <c r="WAA102" s="952"/>
      <c r="WAB102" s="952"/>
      <c r="WAC102" s="952"/>
      <c r="WAD102" s="952"/>
      <c r="WAE102" s="952"/>
      <c r="WAF102" s="952"/>
      <c r="WAG102" s="952"/>
      <c r="WAH102" s="952"/>
      <c r="WAI102" s="952"/>
      <c r="WAJ102" s="952"/>
      <c r="WAK102" s="952"/>
      <c r="WAL102" s="952"/>
      <c r="WAM102" s="952"/>
      <c r="WAN102" s="952"/>
      <c r="WAO102" s="952"/>
      <c r="WAP102" s="952"/>
      <c r="WAQ102" s="952"/>
      <c r="WAR102" s="952"/>
      <c r="WAS102" s="952"/>
      <c r="WAT102" s="952"/>
      <c r="WAU102" s="952"/>
      <c r="WAV102" s="952"/>
      <c r="WAW102" s="952"/>
      <c r="WAX102" s="952"/>
      <c r="WAY102" s="952"/>
      <c r="WAZ102" s="952"/>
      <c r="WBA102" s="952"/>
      <c r="WBB102" s="952"/>
      <c r="WBC102" s="952"/>
      <c r="WBD102" s="952"/>
      <c r="WBE102" s="952"/>
      <c r="WBF102" s="952"/>
      <c r="WBG102" s="952"/>
      <c r="WBH102" s="952"/>
      <c r="WBI102" s="952"/>
      <c r="WBJ102" s="952"/>
      <c r="WBK102" s="952"/>
      <c r="WBL102" s="952"/>
      <c r="WBM102" s="952"/>
      <c r="WBN102" s="952"/>
      <c r="WBO102" s="952"/>
      <c r="WBP102" s="952"/>
      <c r="WBQ102" s="952"/>
      <c r="WBR102" s="952"/>
      <c r="WBS102" s="952"/>
      <c r="WBT102" s="952"/>
      <c r="WBU102" s="952"/>
      <c r="WBV102" s="952"/>
      <c r="WBW102" s="952"/>
      <c r="WBX102" s="952"/>
      <c r="WBY102" s="952"/>
      <c r="WBZ102" s="952"/>
      <c r="WCA102" s="952"/>
      <c r="WCB102" s="952"/>
      <c r="WCC102" s="952"/>
      <c r="WCD102" s="952"/>
      <c r="WCE102" s="952"/>
      <c r="WCF102" s="952"/>
      <c r="WCG102" s="952"/>
      <c r="WCH102" s="952"/>
      <c r="WCI102" s="952"/>
      <c r="WCJ102" s="952"/>
      <c r="WCK102" s="952"/>
      <c r="WCL102" s="952"/>
      <c r="WCM102" s="952"/>
      <c r="WCN102" s="952"/>
      <c r="WCO102" s="952"/>
      <c r="WCP102" s="952"/>
      <c r="WCQ102" s="952"/>
      <c r="WCR102" s="952"/>
      <c r="WCS102" s="952"/>
      <c r="WCT102" s="952"/>
      <c r="WCU102" s="952"/>
      <c r="WCV102" s="952"/>
      <c r="WCW102" s="952"/>
      <c r="WCX102" s="952"/>
      <c r="WCY102" s="952"/>
      <c r="WCZ102" s="952"/>
      <c r="WDA102" s="952"/>
      <c r="WDB102" s="952"/>
      <c r="WDC102" s="952"/>
      <c r="WDD102" s="952"/>
      <c r="WDE102" s="952"/>
      <c r="WDF102" s="952"/>
      <c r="WDG102" s="952"/>
      <c r="WDH102" s="952"/>
      <c r="WDI102" s="952"/>
      <c r="WDJ102" s="952"/>
      <c r="WDK102" s="952"/>
      <c r="WDL102" s="952"/>
      <c r="WDM102" s="952"/>
      <c r="WDN102" s="952"/>
      <c r="WDO102" s="952"/>
      <c r="WDP102" s="952"/>
      <c r="WDQ102" s="952"/>
      <c r="WDR102" s="952"/>
      <c r="WDS102" s="952"/>
      <c r="WDT102" s="952"/>
      <c r="WDU102" s="952"/>
      <c r="WDV102" s="952"/>
      <c r="WDW102" s="952"/>
      <c r="WDX102" s="952"/>
      <c r="WDY102" s="952"/>
      <c r="WDZ102" s="952"/>
      <c r="WEA102" s="952"/>
      <c r="WEB102" s="952"/>
      <c r="WEC102" s="952"/>
      <c r="WED102" s="952"/>
      <c r="WEE102" s="952"/>
      <c r="WEF102" s="952"/>
      <c r="WEG102" s="952"/>
      <c r="WEH102" s="952"/>
      <c r="WEI102" s="952"/>
      <c r="WEJ102" s="952"/>
      <c r="WEK102" s="952"/>
      <c r="WEL102" s="952"/>
      <c r="WEM102" s="952"/>
      <c r="WEN102" s="952"/>
      <c r="WEO102" s="952"/>
      <c r="WEP102" s="952"/>
      <c r="WEQ102" s="952"/>
      <c r="WER102" s="952"/>
      <c r="WES102" s="952"/>
      <c r="WET102" s="952"/>
      <c r="WEU102" s="952"/>
      <c r="WEV102" s="952"/>
      <c r="WEW102" s="952"/>
      <c r="WEX102" s="952"/>
      <c r="WEY102" s="952"/>
      <c r="WEZ102" s="952"/>
      <c r="WFA102" s="952"/>
      <c r="WFB102" s="952"/>
      <c r="WFC102" s="952"/>
      <c r="WFD102" s="952"/>
      <c r="WFE102" s="952"/>
      <c r="WFF102" s="952"/>
      <c r="WFG102" s="952"/>
      <c r="WFH102" s="952"/>
      <c r="WFI102" s="952"/>
      <c r="WFJ102" s="952"/>
      <c r="WFK102" s="952"/>
      <c r="WFL102" s="952"/>
      <c r="WFM102" s="952"/>
      <c r="WFN102" s="952"/>
      <c r="WFO102" s="952"/>
      <c r="WFP102" s="952"/>
      <c r="WFQ102" s="952"/>
      <c r="WFR102" s="952"/>
      <c r="WFS102" s="952"/>
      <c r="WFT102" s="952"/>
      <c r="WFU102" s="952"/>
      <c r="WFV102" s="952"/>
      <c r="WFW102" s="952"/>
      <c r="WFX102" s="952"/>
      <c r="WFY102" s="952"/>
      <c r="WFZ102" s="952"/>
      <c r="WGA102" s="952"/>
      <c r="WGB102" s="952"/>
      <c r="WGC102" s="952"/>
      <c r="WGD102" s="952"/>
      <c r="WGE102" s="952"/>
      <c r="WGF102" s="952"/>
      <c r="WGG102" s="952"/>
      <c r="WGH102" s="952"/>
      <c r="WGI102" s="952"/>
      <c r="WGJ102" s="952"/>
      <c r="WGK102" s="952"/>
      <c r="WGL102" s="952"/>
      <c r="WGM102" s="952"/>
      <c r="WGN102" s="952"/>
      <c r="WGO102" s="952"/>
      <c r="WGP102" s="952"/>
      <c r="WGQ102" s="952"/>
      <c r="WGR102" s="952"/>
      <c r="WGS102" s="952"/>
      <c r="WGT102" s="952"/>
      <c r="WGU102" s="952"/>
      <c r="WGV102" s="952"/>
      <c r="WGW102" s="952"/>
      <c r="WGX102" s="952"/>
      <c r="WGY102" s="952"/>
      <c r="WGZ102" s="952"/>
      <c r="WHA102" s="952"/>
      <c r="WHB102" s="952"/>
      <c r="WHC102" s="952"/>
      <c r="WHD102" s="952"/>
      <c r="WHE102" s="952"/>
      <c r="WHF102" s="952"/>
      <c r="WHG102" s="952"/>
      <c r="WHH102" s="952"/>
      <c r="WHI102" s="952"/>
      <c r="WHJ102" s="952"/>
      <c r="WHK102" s="952"/>
      <c r="WHL102" s="952"/>
      <c r="WHM102" s="952"/>
      <c r="WHN102" s="952"/>
      <c r="WHO102" s="952"/>
      <c r="WHP102" s="952"/>
      <c r="WHQ102" s="952"/>
      <c r="WHR102" s="952"/>
      <c r="WHS102" s="952"/>
      <c r="WHT102" s="952"/>
      <c r="WHU102" s="952"/>
      <c r="WHV102" s="952"/>
      <c r="WHW102" s="952"/>
      <c r="WHX102" s="952"/>
      <c r="WHY102" s="952"/>
      <c r="WHZ102" s="952"/>
      <c r="WIA102" s="952"/>
      <c r="WIB102" s="952"/>
      <c r="WIC102" s="952"/>
      <c r="WID102" s="952"/>
      <c r="WIE102" s="952"/>
      <c r="WIF102" s="952"/>
      <c r="WIG102" s="952"/>
      <c r="WIH102" s="952"/>
      <c r="WII102" s="952"/>
      <c r="WIJ102" s="952"/>
      <c r="WIK102" s="952"/>
      <c r="WIL102" s="952"/>
      <c r="WIM102" s="952"/>
      <c r="WIN102" s="952"/>
      <c r="WIO102" s="952"/>
      <c r="WIP102" s="952"/>
      <c r="WIQ102" s="952"/>
      <c r="WIR102" s="952"/>
      <c r="WIS102" s="952"/>
      <c r="WIT102" s="952"/>
      <c r="WIU102" s="952"/>
      <c r="WIV102" s="952"/>
      <c r="WIW102" s="952"/>
      <c r="WIX102" s="952"/>
      <c r="WIY102" s="952"/>
      <c r="WIZ102" s="952"/>
      <c r="WJA102" s="952"/>
      <c r="WJB102" s="952"/>
      <c r="WJC102" s="952"/>
      <c r="WJD102" s="952"/>
      <c r="WJE102" s="952"/>
      <c r="WJF102" s="952"/>
      <c r="WJG102" s="952"/>
      <c r="WJH102" s="952"/>
      <c r="WJI102" s="952"/>
      <c r="WJJ102" s="952"/>
      <c r="WJK102" s="952"/>
      <c r="WJL102" s="952"/>
      <c r="WJM102" s="952"/>
      <c r="WJN102" s="952"/>
      <c r="WJO102" s="952"/>
      <c r="WJP102" s="952"/>
      <c r="WJQ102" s="952"/>
      <c r="WJR102" s="952"/>
      <c r="WJS102" s="952"/>
      <c r="WJT102" s="952"/>
      <c r="WJU102" s="952"/>
      <c r="WJV102" s="952"/>
      <c r="WJW102" s="952"/>
      <c r="WJX102" s="952"/>
      <c r="WJY102" s="952"/>
      <c r="WJZ102" s="952"/>
      <c r="WKA102" s="952"/>
      <c r="WKB102" s="952"/>
      <c r="WKC102" s="952"/>
      <c r="WKD102" s="952"/>
      <c r="WKE102" s="952"/>
      <c r="WKF102" s="952"/>
      <c r="WKG102" s="952"/>
      <c r="WKH102" s="952"/>
      <c r="WKI102" s="952"/>
      <c r="WKJ102" s="952"/>
      <c r="WKK102" s="952"/>
      <c r="WKL102" s="952"/>
      <c r="WKM102" s="952"/>
      <c r="WKN102" s="952"/>
      <c r="WKO102" s="952"/>
      <c r="WKP102" s="952"/>
      <c r="WKQ102" s="952"/>
      <c r="WKR102" s="952"/>
      <c r="WKS102" s="952"/>
      <c r="WKT102" s="952"/>
      <c r="WKU102" s="952"/>
      <c r="WKV102" s="952"/>
      <c r="WKW102" s="952"/>
      <c r="WKX102" s="952"/>
      <c r="WKY102" s="952"/>
      <c r="WKZ102" s="952"/>
      <c r="WLA102" s="952"/>
      <c r="WLB102" s="952"/>
      <c r="WLC102" s="952"/>
      <c r="WLD102" s="952"/>
      <c r="WLE102" s="952"/>
      <c r="WLF102" s="952"/>
      <c r="WLG102" s="952"/>
      <c r="WLH102" s="952"/>
      <c r="WLI102" s="952"/>
      <c r="WLJ102" s="952"/>
      <c r="WLK102" s="952"/>
      <c r="WLL102" s="952"/>
      <c r="WLM102" s="952"/>
      <c r="WLN102" s="952"/>
      <c r="WLO102" s="952"/>
      <c r="WLP102" s="952"/>
      <c r="WLQ102" s="952"/>
      <c r="WLR102" s="952"/>
      <c r="WLS102" s="952"/>
      <c r="WLT102" s="952"/>
      <c r="WLU102" s="952"/>
      <c r="WLV102" s="952"/>
      <c r="WLW102" s="952"/>
      <c r="WLX102" s="952"/>
      <c r="WLY102" s="952"/>
      <c r="WLZ102" s="952"/>
      <c r="WMA102" s="952"/>
      <c r="WMB102" s="952"/>
      <c r="WMC102" s="952"/>
      <c r="WMD102" s="952"/>
      <c r="WME102" s="952"/>
      <c r="WMF102" s="952"/>
      <c r="WMG102" s="952"/>
      <c r="WMH102" s="952"/>
      <c r="WMI102" s="952"/>
      <c r="WMJ102" s="952"/>
      <c r="WMK102" s="952"/>
      <c r="WML102" s="952"/>
      <c r="WMM102" s="952"/>
      <c r="WMN102" s="952"/>
      <c r="WMO102" s="952"/>
      <c r="WMP102" s="952"/>
      <c r="WMQ102" s="952"/>
      <c r="WMR102" s="952"/>
      <c r="WMS102" s="952"/>
      <c r="WMT102" s="952"/>
      <c r="WMU102" s="952"/>
      <c r="WMV102" s="952"/>
      <c r="WMW102" s="952"/>
      <c r="WMX102" s="952"/>
      <c r="WMY102" s="952"/>
      <c r="WMZ102" s="952"/>
      <c r="WNA102" s="952"/>
      <c r="WNB102" s="952"/>
      <c r="WNC102" s="952"/>
      <c r="WND102" s="952"/>
      <c r="WNE102" s="952"/>
      <c r="WNF102" s="952"/>
      <c r="WNG102" s="952"/>
      <c r="WNH102" s="952"/>
      <c r="WNI102" s="952"/>
      <c r="WNJ102" s="952"/>
      <c r="WNK102" s="952"/>
      <c r="WNL102" s="952"/>
      <c r="WNM102" s="952"/>
      <c r="WNN102" s="952"/>
      <c r="WNO102" s="952"/>
      <c r="WNP102" s="952"/>
      <c r="WNQ102" s="952"/>
      <c r="WNR102" s="952"/>
      <c r="WNS102" s="952"/>
      <c r="WNT102" s="952"/>
      <c r="WNU102" s="952"/>
      <c r="WNV102" s="952"/>
      <c r="WNW102" s="952"/>
      <c r="WNX102" s="952"/>
      <c r="WNY102" s="952"/>
      <c r="WNZ102" s="952"/>
      <c r="WOA102" s="952"/>
      <c r="WOB102" s="952"/>
      <c r="WOC102" s="952"/>
      <c r="WOD102" s="952"/>
      <c r="WOE102" s="952"/>
      <c r="WOF102" s="952"/>
      <c r="WOG102" s="952"/>
      <c r="WOH102" s="952"/>
      <c r="WOI102" s="952"/>
      <c r="WOJ102" s="952"/>
      <c r="WOK102" s="952"/>
      <c r="WOL102" s="952"/>
      <c r="WOM102" s="952"/>
      <c r="WON102" s="952"/>
      <c r="WOO102" s="952"/>
      <c r="WOP102" s="952"/>
      <c r="WOQ102" s="952"/>
      <c r="WOR102" s="952"/>
      <c r="WOS102" s="952"/>
      <c r="WOT102" s="952"/>
      <c r="WOU102" s="952"/>
      <c r="WOV102" s="952"/>
      <c r="WOW102" s="952"/>
      <c r="WOX102" s="952"/>
      <c r="WOY102" s="952"/>
      <c r="WOZ102" s="952"/>
      <c r="WPA102" s="952"/>
      <c r="WPB102" s="952"/>
      <c r="WPC102" s="952"/>
      <c r="WPD102" s="952"/>
      <c r="WPE102" s="952"/>
      <c r="WPF102" s="952"/>
      <c r="WPG102" s="952"/>
      <c r="WPH102" s="952"/>
      <c r="WPI102" s="952"/>
      <c r="WPJ102" s="952"/>
      <c r="WPK102" s="952"/>
      <c r="WPL102" s="952"/>
      <c r="WPM102" s="952"/>
      <c r="WPN102" s="952"/>
      <c r="WPO102" s="952"/>
      <c r="WPP102" s="952"/>
      <c r="WPQ102" s="952"/>
      <c r="WPR102" s="952"/>
      <c r="WPS102" s="952"/>
      <c r="WPT102" s="952"/>
      <c r="WPU102" s="952"/>
      <c r="WPV102" s="952"/>
      <c r="WPW102" s="952"/>
      <c r="WPX102" s="952"/>
      <c r="WPY102" s="952"/>
      <c r="WPZ102" s="952"/>
      <c r="WQA102" s="952"/>
      <c r="WQB102" s="952"/>
      <c r="WQC102" s="952"/>
      <c r="WQD102" s="952"/>
      <c r="WQE102" s="952"/>
      <c r="WQF102" s="952"/>
      <c r="WQG102" s="952"/>
      <c r="WQH102" s="952"/>
      <c r="WQI102" s="952"/>
      <c r="WQJ102" s="952"/>
      <c r="WQK102" s="952"/>
      <c r="WQL102" s="952"/>
      <c r="WQM102" s="952"/>
      <c r="WQN102" s="952"/>
      <c r="WQO102" s="952"/>
      <c r="WQP102" s="952"/>
      <c r="WQQ102" s="952"/>
      <c r="WQR102" s="952"/>
      <c r="WQS102" s="952"/>
      <c r="WQT102" s="952"/>
      <c r="WQU102" s="952"/>
      <c r="WQV102" s="952"/>
      <c r="WQW102" s="952"/>
      <c r="WQX102" s="952"/>
      <c r="WQY102" s="952"/>
      <c r="WQZ102" s="952"/>
      <c r="WRA102" s="952"/>
      <c r="WRB102" s="952"/>
      <c r="WRC102" s="952"/>
      <c r="WRD102" s="952"/>
      <c r="WRE102" s="952"/>
      <c r="WRF102" s="952"/>
      <c r="WRG102" s="952"/>
      <c r="WRH102" s="952"/>
      <c r="WRI102" s="952"/>
      <c r="WRJ102" s="952"/>
      <c r="WRK102" s="952"/>
      <c r="WRL102" s="952"/>
      <c r="WRM102" s="952"/>
      <c r="WRN102" s="952"/>
      <c r="WRO102" s="952"/>
      <c r="WRP102" s="952"/>
      <c r="WRQ102" s="952"/>
      <c r="WRR102" s="952"/>
      <c r="WRS102" s="952"/>
      <c r="WRT102" s="952"/>
      <c r="WRU102" s="952"/>
      <c r="WRV102" s="952"/>
      <c r="WRW102" s="952"/>
      <c r="WRX102" s="952"/>
      <c r="WRY102" s="952"/>
      <c r="WRZ102" s="952"/>
      <c r="WSA102" s="952"/>
      <c r="WSB102" s="952"/>
      <c r="WSC102" s="952"/>
      <c r="WSD102" s="952"/>
      <c r="WSE102" s="952"/>
      <c r="WSF102" s="952"/>
      <c r="WSG102" s="952"/>
      <c r="WSH102" s="952"/>
      <c r="WSI102" s="952"/>
      <c r="WSJ102" s="952"/>
      <c r="WSK102" s="952"/>
      <c r="WSL102" s="952"/>
      <c r="WSM102" s="952"/>
      <c r="WSN102" s="952"/>
      <c r="WSO102" s="952"/>
      <c r="WSP102" s="952"/>
      <c r="WSQ102" s="952"/>
      <c r="WSR102" s="952"/>
      <c r="WSS102" s="952"/>
      <c r="WST102" s="952"/>
      <c r="WSU102" s="952"/>
      <c r="WSV102" s="952"/>
      <c r="WSW102" s="952"/>
      <c r="WSX102" s="952"/>
      <c r="WSY102" s="952"/>
      <c r="WSZ102" s="952"/>
      <c r="WTA102" s="952"/>
      <c r="WTB102" s="952"/>
      <c r="WTC102" s="952"/>
      <c r="WTD102" s="952"/>
      <c r="WTE102" s="952"/>
      <c r="WTF102" s="952"/>
      <c r="WTG102" s="952"/>
      <c r="WTH102" s="952"/>
      <c r="WTI102" s="952"/>
      <c r="WTJ102" s="952"/>
      <c r="WTK102" s="952"/>
      <c r="WTL102" s="952"/>
      <c r="WTM102" s="952"/>
      <c r="WTN102" s="952"/>
      <c r="WTO102" s="952"/>
      <c r="WTP102" s="952"/>
      <c r="WTQ102" s="952"/>
      <c r="WTR102" s="952"/>
      <c r="WTS102" s="952"/>
      <c r="WTT102" s="952"/>
      <c r="WTU102" s="952"/>
      <c r="WTV102" s="952"/>
      <c r="WTW102" s="952"/>
      <c r="WTX102" s="952"/>
      <c r="WTY102" s="952"/>
      <c r="WTZ102" s="952"/>
      <c r="WUA102" s="952"/>
      <c r="WUB102" s="952"/>
      <c r="WUC102" s="952"/>
      <c r="WUD102" s="952"/>
      <c r="WUE102" s="952"/>
      <c r="WUF102" s="952"/>
      <c r="WUG102" s="952"/>
      <c r="WUH102" s="952"/>
      <c r="WUI102" s="952"/>
      <c r="WUJ102" s="952"/>
      <c r="WUK102" s="952"/>
      <c r="WUL102" s="952"/>
      <c r="WUM102" s="952"/>
      <c r="WUN102" s="952"/>
      <c r="WUO102" s="952"/>
      <c r="WUP102" s="952"/>
      <c r="WUQ102" s="952"/>
      <c r="WUR102" s="952"/>
      <c r="WUS102" s="952"/>
      <c r="WUT102" s="952"/>
      <c r="WUU102" s="952"/>
      <c r="WUV102" s="952"/>
      <c r="WUW102" s="952"/>
      <c r="WUX102" s="952"/>
      <c r="WUY102" s="952"/>
      <c r="WUZ102" s="952"/>
      <c r="WVA102" s="952"/>
      <c r="WVB102" s="952"/>
      <c r="WVC102" s="952"/>
      <c r="WVD102" s="952"/>
      <c r="WVE102" s="952"/>
      <c r="WVF102" s="952"/>
      <c r="WVG102" s="952"/>
      <c r="WVH102" s="952"/>
      <c r="WVI102" s="952"/>
      <c r="WVJ102" s="952"/>
      <c r="WVK102" s="952"/>
      <c r="WVL102" s="952"/>
      <c r="WVM102" s="952"/>
      <c r="WVN102" s="952"/>
      <c r="WVO102" s="952"/>
      <c r="WVP102" s="952"/>
      <c r="WVQ102" s="952"/>
      <c r="WVR102" s="952"/>
      <c r="WVS102" s="952"/>
      <c r="WVT102" s="952"/>
      <c r="WVU102" s="952"/>
      <c r="WVV102" s="952"/>
      <c r="WVW102" s="952"/>
      <c r="WVX102" s="952"/>
      <c r="WVY102" s="952"/>
      <c r="WVZ102" s="952"/>
      <c r="WWA102" s="952"/>
      <c r="WWB102" s="952"/>
      <c r="WWC102" s="952"/>
      <c r="WWD102" s="952"/>
      <c r="WWE102" s="952"/>
      <c r="WWF102" s="952"/>
      <c r="WWG102" s="952"/>
      <c r="WWH102" s="952"/>
      <c r="WWI102" s="952"/>
      <c r="WWJ102" s="952"/>
      <c r="WWK102" s="952"/>
      <c r="WWL102" s="952"/>
      <c r="WWM102" s="952"/>
      <c r="WWN102" s="952"/>
      <c r="WWO102" s="952"/>
      <c r="WWP102" s="952"/>
      <c r="WWQ102" s="952"/>
      <c r="WWR102" s="952"/>
      <c r="WWS102" s="952"/>
      <c r="WWT102" s="952"/>
      <c r="WWU102" s="952"/>
      <c r="WWV102" s="952"/>
      <c r="WWW102" s="952"/>
      <c r="WWX102" s="952"/>
      <c r="WWY102" s="952"/>
      <c r="WWZ102" s="952"/>
      <c r="WXA102" s="952"/>
      <c r="WXB102" s="952"/>
      <c r="WXC102" s="952"/>
      <c r="WXD102" s="952"/>
      <c r="WXE102" s="952"/>
      <c r="WXF102" s="952"/>
      <c r="WXG102" s="952"/>
      <c r="WXH102" s="952"/>
      <c r="WXI102" s="952"/>
      <c r="WXJ102" s="952"/>
      <c r="WXK102" s="952"/>
      <c r="WXL102" s="952"/>
      <c r="WXM102" s="952"/>
      <c r="WXN102" s="952"/>
      <c r="WXO102" s="952"/>
      <c r="WXP102" s="952"/>
      <c r="WXQ102" s="952"/>
      <c r="WXR102" s="952"/>
      <c r="WXS102" s="952"/>
      <c r="WXT102" s="952"/>
      <c r="WXU102" s="952"/>
      <c r="WXV102" s="952"/>
      <c r="WXW102" s="952"/>
      <c r="WXX102" s="952"/>
      <c r="WXY102" s="952"/>
      <c r="WXZ102" s="952"/>
      <c r="WYA102" s="952"/>
      <c r="WYB102" s="952"/>
      <c r="WYC102" s="952"/>
      <c r="WYD102" s="952"/>
      <c r="WYE102" s="952"/>
      <c r="WYF102" s="952"/>
      <c r="WYG102" s="952"/>
      <c r="WYH102" s="952"/>
      <c r="WYI102" s="952"/>
      <c r="WYJ102" s="952"/>
      <c r="WYK102" s="952"/>
      <c r="WYL102" s="952"/>
      <c r="WYM102" s="952"/>
      <c r="WYN102" s="952"/>
      <c r="WYO102" s="952"/>
      <c r="WYP102" s="952"/>
      <c r="WYQ102" s="952"/>
      <c r="WYR102" s="952"/>
      <c r="WYS102" s="952"/>
      <c r="WYT102" s="952"/>
      <c r="WYU102" s="952"/>
      <c r="WYV102" s="952"/>
      <c r="WYW102" s="952"/>
      <c r="WYX102" s="952"/>
      <c r="WYY102" s="952"/>
      <c r="WYZ102" s="952"/>
      <c r="WZA102" s="952"/>
      <c r="WZB102" s="952"/>
      <c r="WZC102" s="952"/>
      <c r="WZD102" s="952"/>
      <c r="WZE102" s="952"/>
      <c r="WZF102" s="952"/>
      <c r="WZG102" s="952"/>
      <c r="WZH102" s="952"/>
      <c r="WZI102" s="952"/>
      <c r="WZJ102" s="952"/>
      <c r="WZK102" s="952"/>
      <c r="WZL102" s="952"/>
      <c r="WZM102" s="952"/>
      <c r="WZN102" s="952"/>
      <c r="WZO102" s="952"/>
      <c r="WZP102" s="952"/>
      <c r="WZQ102" s="952"/>
      <c r="WZR102" s="952"/>
      <c r="WZS102" s="952"/>
      <c r="WZT102" s="952"/>
      <c r="WZU102" s="952"/>
      <c r="WZV102" s="952"/>
      <c r="WZW102" s="952"/>
      <c r="WZX102" s="952"/>
      <c r="WZY102" s="952"/>
      <c r="WZZ102" s="952"/>
      <c r="XAA102" s="952"/>
      <c r="XAB102" s="952"/>
      <c r="XAC102" s="952"/>
      <c r="XAD102" s="952"/>
      <c r="XAE102" s="952"/>
      <c r="XAF102" s="952"/>
      <c r="XAG102" s="952"/>
      <c r="XAH102" s="952"/>
      <c r="XAI102" s="952"/>
      <c r="XAJ102" s="952"/>
      <c r="XAK102" s="952"/>
      <c r="XAL102" s="952"/>
      <c r="XAM102" s="952"/>
      <c r="XAN102" s="952"/>
      <c r="XAO102" s="952"/>
      <c r="XAP102" s="952"/>
      <c r="XAQ102" s="952"/>
      <c r="XAR102" s="952"/>
      <c r="XAS102" s="952"/>
      <c r="XAT102" s="952"/>
      <c r="XAU102" s="952"/>
      <c r="XAV102" s="952"/>
      <c r="XAW102" s="952"/>
      <c r="XAX102" s="952"/>
      <c r="XAY102" s="952"/>
      <c r="XAZ102" s="952"/>
      <c r="XBA102" s="952"/>
      <c r="XBB102" s="952"/>
      <c r="XBC102" s="952"/>
      <c r="XBD102" s="952"/>
      <c r="XBE102" s="952"/>
      <c r="XBF102" s="952"/>
      <c r="XBG102" s="952"/>
      <c r="XBH102" s="952"/>
      <c r="XBI102" s="952"/>
      <c r="XBJ102" s="952"/>
      <c r="XBK102" s="952"/>
      <c r="XBL102" s="952"/>
      <c r="XBM102" s="952"/>
      <c r="XBN102" s="952"/>
      <c r="XBO102" s="952"/>
      <c r="XBP102" s="952"/>
      <c r="XBQ102" s="952"/>
      <c r="XBR102" s="952"/>
      <c r="XBS102" s="952"/>
      <c r="XBT102" s="952"/>
      <c r="XBU102" s="952"/>
      <c r="XBV102" s="952"/>
      <c r="XBW102" s="952"/>
      <c r="XBX102" s="952"/>
      <c r="XBY102" s="952"/>
      <c r="XBZ102" s="952"/>
      <c r="XCA102" s="952"/>
      <c r="XCB102" s="952"/>
      <c r="XCC102" s="952"/>
      <c r="XCD102" s="952"/>
      <c r="XCE102" s="952"/>
      <c r="XCF102" s="952"/>
      <c r="XCG102" s="952"/>
      <c r="XCH102" s="952"/>
      <c r="XCI102" s="952"/>
      <c r="XCJ102" s="952"/>
      <c r="XCK102" s="952"/>
      <c r="XCL102" s="952"/>
      <c r="XCM102" s="952"/>
      <c r="XCN102" s="952"/>
      <c r="XCO102" s="952"/>
      <c r="XCP102" s="952"/>
      <c r="XCQ102" s="952"/>
      <c r="XCR102" s="952"/>
      <c r="XCS102" s="952"/>
      <c r="XCT102" s="952"/>
      <c r="XCU102" s="952"/>
      <c r="XCV102" s="952"/>
      <c r="XCW102" s="952"/>
      <c r="XCX102" s="952"/>
      <c r="XCY102" s="952"/>
      <c r="XCZ102" s="952"/>
      <c r="XDA102" s="952"/>
      <c r="XDB102" s="952"/>
      <c r="XDC102" s="952"/>
      <c r="XDD102" s="952"/>
      <c r="XDE102" s="952"/>
      <c r="XDF102" s="952"/>
      <c r="XDG102" s="952"/>
      <c r="XDH102" s="952"/>
      <c r="XDI102" s="952"/>
      <c r="XDJ102" s="952"/>
      <c r="XDK102" s="952"/>
      <c r="XDL102" s="952"/>
      <c r="XDM102" s="952"/>
      <c r="XDN102" s="952"/>
      <c r="XDO102" s="952"/>
      <c r="XDP102" s="952"/>
      <c r="XDQ102" s="952"/>
      <c r="XDR102" s="952"/>
      <c r="XDS102" s="952"/>
      <c r="XDT102" s="952"/>
      <c r="XDU102" s="952"/>
      <c r="XDV102" s="952"/>
      <c r="XDW102" s="952"/>
      <c r="XDX102" s="952"/>
      <c r="XDY102" s="952"/>
      <c r="XDZ102" s="952"/>
      <c r="XEA102" s="952"/>
      <c r="XEB102" s="952"/>
      <c r="XEC102" s="952"/>
      <c r="XED102" s="952"/>
      <c r="XEE102" s="952"/>
      <c r="XEF102" s="952"/>
      <c r="XEG102" s="952"/>
      <c r="XEH102" s="952"/>
      <c r="XEI102" s="952"/>
      <c r="XEJ102" s="952"/>
      <c r="XEK102" s="952"/>
      <c r="XEL102" s="952"/>
      <c r="XEM102" s="952"/>
      <c r="XEN102" s="952"/>
      <c r="XEO102" s="952"/>
      <c r="XEP102" s="952"/>
      <c r="XEQ102" s="952"/>
      <c r="XER102" s="952"/>
      <c r="XES102" s="952"/>
      <c r="XET102" s="952"/>
      <c r="XEU102" s="952"/>
      <c r="XEV102" s="952"/>
      <c r="XEW102" s="952"/>
      <c r="XEX102" s="952"/>
      <c r="XEY102" s="952"/>
      <c r="XEZ102" s="952"/>
      <c r="XFA102" s="952"/>
      <c r="XFB102" s="952"/>
      <c r="XFC102" s="952"/>
      <c r="XFD102" s="952"/>
    </row>
    <row r="103" spans="1:16384" x14ac:dyDescent="0.25">
      <c r="E103" s="959" t="s">
        <v>709</v>
      </c>
      <c r="H103" s="962"/>
      <c r="I103" s="962"/>
      <c r="J103" s="962">
        <v>166667</v>
      </c>
      <c r="K103" s="962">
        <v>150000.34</v>
      </c>
      <c r="L103" s="962">
        <v>133333.68</v>
      </c>
      <c r="M103" s="962">
        <v>116667.02</v>
      </c>
      <c r="N103" s="962">
        <v>100000.36</v>
      </c>
      <c r="O103" s="962">
        <v>83333.7</v>
      </c>
      <c r="P103" s="962">
        <v>66667.039999999994</v>
      </c>
      <c r="Q103" s="962">
        <v>50000</v>
      </c>
      <c r="R103" s="962">
        <v>0</v>
      </c>
      <c r="S103" s="962">
        <v>0</v>
      </c>
      <c r="T103" s="962">
        <v>0</v>
      </c>
      <c r="U103" s="962">
        <v>0</v>
      </c>
      <c r="V103" s="962">
        <v>0</v>
      </c>
      <c r="W103" s="962">
        <v>0</v>
      </c>
      <c r="X103" s="962">
        <v>0</v>
      </c>
      <c r="Y103" s="962">
        <v>0</v>
      </c>
      <c r="Z103" s="962">
        <v>0</v>
      </c>
      <c r="AA103" s="962"/>
      <c r="AB103" s="962"/>
      <c r="AC103" s="962">
        <v>0</v>
      </c>
      <c r="AD103" s="962"/>
      <c r="AE103" s="962"/>
      <c r="AF103" s="962"/>
      <c r="AG103" s="962"/>
    </row>
    <row r="104" spans="1:16384" x14ac:dyDescent="0.25">
      <c r="B104" s="924"/>
      <c r="C104" s="924"/>
      <c r="D104" s="908" t="s">
        <v>158</v>
      </c>
      <c r="E104" s="908"/>
      <c r="F104" s="908"/>
      <c r="G104" s="908"/>
      <c r="H104" s="904"/>
      <c r="I104" s="904"/>
      <c r="J104" s="904"/>
      <c r="K104" s="904"/>
      <c r="L104" s="904"/>
      <c r="M104" s="904"/>
      <c r="N104" s="904"/>
      <c r="O104" s="904"/>
      <c r="P104" s="904"/>
      <c r="Q104" s="904"/>
      <c r="R104" s="904"/>
      <c r="S104" s="904"/>
      <c r="T104" s="904"/>
      <c r="U104" s="904"/>
      <c r="V104" s="904"/>
      <c r="W104" s="904"/>
      <c r="X104" s="904"/>
      <c r="Y104" s="904"/>
      <c r="Z104" s="904"/>
      <c r="AA104" s="904"/>
      <c r="AB104" s="904"/>
      <c r="AC104" s="904"/>
      <c r="AD104" s="904"/>
      <c r="AE104" s="904"/>
      <c r="AF104" s="904"/>
      <c r="AG104" s="904"/>
      <c r="AH104" s="904"/>
      <c r="AI104" s="904"/>
      <c r="AJ104" s="904"/>
      <c r="AK104" s="904"/>
      <c r="AL104" s="904"/>
      <c r="AM104" s="904"/>
      <c r="AN104" s="904"/>
      <c r="AO104" s="904"/>
      <c r="AP104" s="904"/>
      <c r="AQ104" s="904"/>
      <c r="AR104" s="904"/>
      <c r="AS104" s="904"/>
      <c r="AT104" s="904"/>
      <c r="AU104" s="904"/>
      <c r="AV104" s="904"/>
      <c r="AW104" s="904"/>
      <c r="AX104" s="904"/>
      <c r="AY104" s="904"/>
      <c r="AZ104" s="904"/>
      <c r="BA104" s="904"/>
      <c r="BB104" s="904"/>
      <c r="BC104" s="904"/>
      <c r="BD104" s="904"/>
      <c r="BE104" s="904"/>
      <c r="BF104" s="904"/>
      <c r="BG104" s="904"/>
      <c r="BH104" s="904"/>
      <c r="BI104" s="904"/>
      <c r="BJ104" s="904"/>
      <c r="BK104" s="904"/>
      <c r="BL104" s="904"/>
      <c r="BM104" s="904"/>
      <c r="BN104" s="904"/>
      <c r="BO104" s="904"/>
      <c r="BP104" s="904"/>
      <c r="BQ104" s="904"/>
      <c r="BR104" s="904"/>
      <c r="BS104" s="904"/>
      <c r="BT104" s="904"/>
      <c r="BU104" s="904"/>
      <c r="BV104" s="904"/>
      <c r="BW104" s="904"/>
      <c r="BX104" s="904"/>
      <c r="BY104" s="904"/>
      <c r="BZ104" s="904"/>
      <c r="CA104" s="904"/>
      <c r="CB104" s="904"/>
      <c r="CC104" s="904"/>
      <c r="CD104" s="957"/>
      <c r="CE104" s="957"/>
      <c r="CF104" s="957"/>
      <c r="CG104" s="957"/>
      <c r="CH104" s="957"/>
      <c r="CI104" s="957"/>
      <c r="CJ104" s="957"/>
      <c r="CK104" s="957"/>
      <c r="CL104" s="957"/>
      <c r="CM104" s="957"/>
      <c r="CN104" s="957"/>
      <c r="CO104" s="957"/>
      <c r="CP104" s="957"/>
      <c r="CQ104" s="957"/>
      <c r="CR104" s="957"/>
      <c r="CS104" s="957"/>
      <c r="CT104" s="957"/>
      <c r="CU104" s="957"/>
      <c r="CV104" s="957"/>
      <c r="CW104" s="957"/>
      <c r="CX104" s="957"/>
      <c r="CY104" s="957"/>
      <c r="CZ104" s="957"/>
      <c r="DA104" s="957"/>
      <c r="DB104" s="957"/>
      <c r="DC104" s="957"/>
      <c r="DD104" s="957"/>
      <c r="DE104" s="957"/>
      <c r="DF104" s="957"/>
      <c r="DG104" s="957"/>
      <c r="DH104" s="957"/>
      <c r="DI104" s="957"/>
      <c r="DJ104" s="957"/>
      <c r="DK104" s="957"/>
      <c r="DL104" s="957"/>
      <c r="DM104" s="957"/>
      <c r="DN104" s="957"/>
      <c r="DO104" s="957"/>
      <c r="DP104" s="957"/>
      <c r="DQ104" s="957"/>
      <c r="DR104" s="957"/>
      <c r="DS104" s="957"/>
      <c r="DT104" s="957"/>
      <c r="DU104" s="957"/>
      <c r="DV104" s="957"/>
      <c r="DW104" s="957"/>
      <c r="DX104" s="957"/>
      <c r="DY104" s="957"/>
      <c r="DZ104" s="957"/>
      <c r="EA104" s="957"/>
      <c r="EB104" s="957"/>
      <c r="EC104" s="957"/>
      <c r="ED104" s="957"/>
      <c r="EE104" s="957"/>
      <c r="EF104" s="957"/>
      <c r="EG104" s="957"/>
      <c r="EH104" s="957"/>
      <c r="EI104" s="957"/>
      <c r="EJ104" s="957"/>
      <c r="EK104" s="957"/>
      <c r="EL104" s="957"/>
      <c r="EM104" s="957"/>
      <c r="EN104" s="957"/>
      <c r="EO104" s="957"/>
      <c r="EP104" s="957"/>
      <c r="EQ104" s="957"/>
      <c r="ER104" s="957"/>
      <c r="ES104" s="957"/>
      <c r="ET104" s="957"/>
      <c r="EU104" s="957"/>
      <c r="EV104" s="957"/>
      <c r="EW104" s="957"/>
      <c r="EX104" s="957"/>
      <c r="EY104" s="957"/>
      <c r="EZ104" s="957"/>
      <c r="FA104" s="957"/>
      <c r="FB104" s="957"/>
      <c r="FC104" s="957"/>
      <c r="FD104" s="957"/>
      <c r="FE104" s="957"/>
      <c r="FF104" s="957"/>
      <c r="FG104" s="957"/>
      <c r="FH104" s="957"/>
      <c r="FI104" s="957"/>
      <c r="FJ104" s="957"/>
      <c r="FK104" s="957"/>
      <c r="FL104" s="957"/>
      <c r="FM104" s="957"/>
      <c r="FN104" s="957"/>
      <c r="FO104" s="957"/>
      <c r="FP104" s="957"/>
      <c r="FQ104" s="957"/>
      <c r="FR104" s="957"/>
      <c r="FS104" s="957"/>
      <c r="FT104" s="957"/>
      <c r="FU104" s="957"/>
      <c r="FV104" s="957"/>
      <c r="FW104" s="957"/>
      <c r="FX104" s="957"/>
      <c r="FY104" s="957"/>
      <c r="FZ104" s="957"/>
      <c r="GA104" s="957"/>
      <c r="GB104" s="957"/>
      <c r="GC104" s="957"/>
      <c r="GD104" s="957"/>
      <c r="GE104" s="957"/>
      <c r="GF104" s="957"/>
      <c r="GG104" s="957"/>
      <c r="GH104" s="957"/>
      <c r="GI104" s="957"/>
      <c r="GJ104" s="957"/>
      <c r="GK104" s="957"/>
      <c r="GL104" s="957"/>
      <c r="GM104" s="957"/>
      <c r="GN104" s="957"/>
      <c r="GO104" s="957"/>
      <c r="GP104" s="957"/>
      <c r="GQ104" s="957"/>
      <c r="GR104" s="957"/>
      <c r="GS104" s="957"/>
      <c r="GT104" s="957"/>
      <c r="GU104" s="957"/>
      <c r="GV104" s="957"/>
      <c r="GW104" s="957"/>
      <c r="GX104" s="957"/>
      <c r="GY104" s="957"/>
      <c r="GZ104" s="957"/>
      <c r="HA104" s="957"/>
      <c r="HB104" s="957"/>
      <c r="HC104" s="957"/>
      <c r="HD104" s="957"/>
      <c r="HE104" s="957"/>
      <c r="HF104" s="957"/>
      <c r="HG104" s="957"/>
      <c r="HH104" s="957"/>
      <c r="HI104" s="957"/>
      <c r="HJ104" s="957"/>
      <c r="HK104" s="957"/>
      <c r="HL104" s="957"/>
      <c r="HM104" s="957"/>
      <c r="HN104" s="957"/>
      <c r="HO104" s="957"/>
      <c r="HP104" s="957"/>
      <c r="HQ104" s="957"/>
      <c r="HR104" s="957"/>
      <c r="HS104" s="957"/>
      <c r="HT104" s="957"/>
      <c r="HU104" s="957"/>
      <c r="HV104" s="957"/>
      <c r="HW104" s="957"/>
      <c r="HX104" s="957"/>
      <c r="HY104" s="957"/>
      <c r="HZ104" s="957"/>
      <c r="IA104" s="957"/>
      <c r="IB104" s="957"/>
      <c r="IC104" s="957"/>
      <c r="ID104" s="957"/>
      <c r="IE104" s="957"/>
      <c r="IF104" s="957"/>
      <c r="IG104" s="957"/>
      <c r="IH104" s="957"/>
      <c r="II104" s="957"/>
      <c r="IJ104" s="957"/>
      <c r="IK104" s="957"/>
      <c r="IL104" s="957"/>
      <c r="IM104" s="957"/>
      <c r="IN104" s="957"/>
      <c r="IO104" s="957"/>
      <c r="IP104" s="957"/>
      <c r="IQ104" s="957"/>
      <c r="IR104" s="957"/>
      <c r="IS104" s="957"/>
      <c r="IT104" s="957"/>
      <c r="IU104" s="957"/>
      <c r="IV104" s="957"/>
      <c r="IW104" s="957"/>
      <c r="IX104" s="957"/>
      <c r="IY104" s="957"/>
      <c r="IZ104" s="957"/>
      <c r="JA104" s="957"/>
      <c r="JB104" s="957"/>
      <c r="JC104" s="957"/>
      <c r="JD104" s="957"/>
      <c r="JE104" s="957"/>
      <c r="JF104" s="957"/>
      <c r="JG104" s="957"/>
      <c r="JH104" s="957"/>
      <c r="JI104" s="957"/>
      <c r="JJ104" s="957"/>
      <c r="JK104" s="957"/>
      <c r="JL104" s="957"/>
      <c r="JM104" s="957"/>
      <c r="JN104" s="957"/>
      <c r="JO104" s="957"/>
      <c r="JP104" s="957"/>
      <c r="JQ104" s="957"/>
      <c r="JR104" s="957"/>
      <c r="JS104" s="957"/>
      <c r="JT104" s="957"/>
      <c r="JU104" s="957"/>
      <c r="JV104" s="957"/>
      <c r="JW104" s="957"/>
      <c r="JX104" s="957"/>
      <c r="JY104" s="957"/>
      <c r="JZ104" s="957"/>
      <c r="KA104" s="957"/>
      <c r="KB104" s="957"/>
      <c r="KC104" s="957"/>
      <c r="KD104" s="957"/>
      <c r="KE104" s="957"/>
      <c r="KF104" s="957"/>
      <c r="KG104" s="957"/>
      <c r="KH104" s="957"/>
      <c r="KI104" s="957"/>
      <c r="KJ104" s="957"/>
      <c r="KK104" s="957"/>
      <c r="KL104" s="957"/>
      <c r="KM104" s="957"/>
      <c r="KN104" s="957"/>
      <c r="KO104" s="957"/>
      <c r="KP104" s="957"/>
      <c r="KQ104" s="957"/>
      <c r="KR104" s="957"/>
      <c r="KS104" s="957"/>
      <c r="KT104" s="957"/>
      <c r="KU104" s="957"/>
      <c r="KV104" s="957"/>
      <c r="KW104" s="957"/>
      <c r="KX104" s="957"/>
      <c r="KY104" s="957"/>
      <c r="KZ104" s="957"/>
      <c r="LA104" s="957"/>
      <c r="LB104" s="957"/>
      <c r="LC104" s="957"/>
      <c r="LD104" s="957"/>
      <c r="LE104" s="957"/>
      <c r="LF104" s="957"/>
      <c r="LG104" s="957"/>
      <c r="LH104" s="957"/>
      <c r="LI104" s="957"/>
      <c r="LJ104" s="957"/>
      <c r="LK104" s="957"/>
      <c r="LL104" s="957"/>
      <c r="LM104" s="957"/>
      <c r="LN104" s="957"/>
      <c r="LO104" s="957"/>
      <c r="LP104" s="957"/>
      <c r="LQ104" s="957"/>
      <c r="LR104" s="957"/>
      <c r="LS104" s="957"/>
      <c r="LT104" s="957"/>
      <c r="LU104" s="957"/>
      <c r="LV104" s="957"/>
      <c r="LW104" s="957"/>
      <c r="LX104" s="957"/>
      <c r="LY104" s="957"/>
      <c r="LZ104" s="957"/>
      <c r="MA104" s="957"/>
      <c r="MB104" s="957"/>
      <c r="MC104" s="957"/>
      <c r="MD104" s="957"/>
      <c r="ME104" s="957"/>
      <c r="MF104" s="957"/>
      <c r="MG104" s="957"/>
      <c r="MH104" s="957"/>
      <c r="MI104" s="957"/>
      <c r="MJ104" s="957"/>
      <c r="MK104" s="957"/>
      <c r="ML104" s="957"/>
      <c r="MM104" s="957"/>
      <c r="MN104" s="957"/>
      <c r="MO104" s="957"/>
      <c r="MP104" s="957"/>
      <c r="MQ104" s="957"/>
      <c r="MR104" s="957"/>
      <c r="MS104" s="957"/>
      <c r="MT104" s="957"/>
      <c r="MU104" s="957"/>
      <c r="MV104" s="957"/>
      <c r="MW104" s="957"/>
      <c r="MX104" s="957"/>
      <c r="MY104" s="957"/>
      <c r="MZ104" s="957"/>
      <c r="NA104" s="957"/>
      <c r="NB104" s="957"/>
      <c r="NC104" s="957"/>
      <c r="ND104" s="957"/>
      <c r="NE104" s="957"/>
      <c r="NF104" s="957"/>
      <c r="NG104" s="957"/>
      <c r="NH104" s="957"/>
      <c r="NI104" s="957"/>
      <c r="NJ104" s="957"/>
      <c r="NK104" s="957"/>
      <c r="NL104" s="957"/>
      <c r="NM104" s="957"/>
      <c r="NN104" s="957"/>
      <c r="NO104" s="957"/>
      <c r="NP104" s="957"/>
      <c r="NQ104" s="957"/>
      <c r="NR104" s="957"/>
      <c r="NS104" s="957"/>
      <c r="NT104" s="957"/>
      <c r="NU104" s="957"/>
      <c r="NV104" s="957"/>
      <c r="NW104" s="957"/>
      <c r="NX104" s="957"/>
      <c r="NY104" s="957"/>
      <c r="NZ104" s="957"/>
      <c r="OA104" s="957"/>
      <c r="OB104" s="957"/>
      <c r="OC104" s="957"/>
      <c r="OD104" s="957"/>
      <c r="OE104" s="957"/>
      <c r="OF104" s="957"/>
      <c r="OG104" s="957"/>
      <c r="OH104" s="957"/>
      <c r="OI104" s="957"/>
      <c r="OJ104" s="957"/>
      <c r="OK104" s="957"/>
      <c r="OL104" s="957"/>
      <c r="OM104" s="957"/>
      <c r="ON104" s="957"/>
      <c r="OO104" s="957"/>
      <c r="OP104" s="957"/>
      <c r="OQ104" s="957"/>
      <c r="OR104" s="957"/>
      <c r="OS104" s="957"/>
      <c r="OT104" s="957"/>
      <c r="OU104" s="957"/>
      <c r="OV104" s="957"/>
      <c r="OW104" s="957"/>
      <c r="OX104" s="957"/>
      <c r="OY104" s="957"/>
      <c r="OZ104" s="957"/>
      <c r="PA104" s="957"/>
      <c r="PB104" s="957"/>
      <c r="PC104" s="957"/>
      <c r="PD104" s="957"/>
      <c r="PE104" s="957"/>
      <c r="PF104" s="957"/>
      <c r="PG104" s="957"/>
      <c r="PH104" s="957"/>
      <c r="PI104" s="957"/>
      <c r="PJ104" s="957"/>
      <c r="PK104" s="957"/>
      <c r="PL104" s="957"/>
      <c r="PM104" s="957"/>
      <c r="PN104" s="957"/>
      <c r="PO104" s="957"/>
      <c r="PP104" s="957"/>
      <c r="PQ104" s="957"/>
      <c r="PR104" s="957"/>
      <c r="PS104" s="957"/>
      <c r="PT104" s="957"/>
      <c r="PU104" s="957"/>
      <c r="PV104" s="957"/>
      <c r="PW104" s="957"/>
      <c r="PX104" s="957"/>
      <c r="PY104" s="957"/>
      <c r="PZ104" s="957"/>
      <c r="QA104" s="957"/>
      <c r="QB104" s="957"/>
      <c r="QC104" s="957"/>
      <c r="QD104" s="957"/>
      <c r="QE104" s="957"/>
      <c r="QF104" s="957"/>
      <c r="QG104" s="957"/>
      <c r="QH104" s="957"/>
      <c r="QI104" s="957"/>
      <c r="QJ104" s="957"/>
      <c r="QK104" s="957"/>
      <c r="QL104" s="957"/>
      <c r="QM104" s="957"/>
      <c r="QN104" s="957"/>
      <c r="QO104" s="957"/>
      <c r="QP104" s="957"/>
      <c r="QQ104" s="957"/>
      <c r="QR104" s="957"/>
      <c r="QS104" s="957"/>
      <c r="QT104" s="957"/>
      <c r="QU104" s="957"/>
      <c r="QV104" s="957"/>
      <c r="QW104" s="957"/>
      <c r="QX104" s="957"/>
      <c r="QY104" s="957"/>
      <c r="QZ104" s="957"/>
      <c r="RA104" s="957"/>
      <c r="RB104" s="957"/>
      <c r="RC104" s="957"/>
      <c r="RD104" s="957"/>
      <c r="RE104" s="957"/>
      <c r="RF104" s="957"/>
      <c r="RG104" s="957"/>
      <c r="RH104" s="957"/>
      <c r="RI104" s="957"/>
      <c r="RJ104" s="957"/>
      <c r="RK104" s="957"/>
      <c r="RL104" s="957"/>
      <c r="RM104" s="957"/>
      <c r="RN104" s="957"/>
      <c r="RO104" s="957"/>
      <c r="RP104" s="957"/>
      <c r="RQ104" s="957"/>
      <c r="RR104" s="957"/>
      <c r="RS104" s="957"/>
      <c r="RT104" s="957"/>
      <c r="RU104" s="957"/>
      <c r="RV104" s="957"/>
      <c r="RW104" s="957"/>
      <c r="RX104" s="957"/>
      <c r="RY104" s="957"/>
      <c r="RZ104" s="957"/>
      <c r="SA104" s="957"/>
      <c r="SB104" s="957"/>
      <c r="SC104" s="957"/>
      <c r="SD104" s="957"/>
      <c r="SE104" s="957"/>
      <c r="SF104" s="957"/>
      <c r="SG104" s="957"/>
      <c r="SH104" s="957"/>
      <c r="SI104" s="957"/>
      <c r="SJ104" s="957"/>
      <c r="SK104" s="957"/>
      <c r="SL104" s="957"/>
      <c r="SM104" s="957"/>
      <c r="SN104" s="957"/>
      <c r="SO104" s="957"/>
      <c r="SP104" s="957"/>
      <c r="SQ104" s="957"/>
      <c r="SR104" s="957"/>
      <c r="SS104" s="957"/>
      <c r="ST104" s="957"/>
      <c r="SU104" s="957"/>
      <c r="SV104" s="957"/>
      <c r="SW104" s="957"/>
      <c r="SX104" s="957"/>
      <c r="SY104" s="957"/>
      <c r="SZ104" s="957"/>
      <c r="TA104" s="957"/>
      <c r="TB104" s="957"/>
      <c r="TC104" s="957"/>
      <c r="TD104" s="957"/>
      <c r="TE104" s="957"/>
      <c r="TF104" s="957"/>
      <c r="TG104" s="957"/>
      <c r="TH104" s="957"/>
      <c r="TI104" s="957"/>
      <c r="TJ104" s="957"/>
      <c r="TK104" s="957"/>
      <c r="TL104" s="957"/>
      <c r="TM104" s="957"/>
      <c r="TN104" s="957"/>
      <c r="TO104" s="957"/>
      <c r="TP104" s="957"/>
      <c r="TQ104" s="957"/>
      <c r="TR104" s="957"/>
      <c r="TS104" s="957"/>
      <c r="TT104" s="957"/>
      <c r="TU104" s="957"/>
      <c r="TV104" s="957"/>
      <c r="TW104" s="957"/>
      <c r="TX104" s="957"/>
      <c r="TY104" s="957"/>
      <c r="TZ104" s="957"/>
      <c r="UA104" s="957"/>
      <c r="UB104" s="957"/>
      <c r="UC104" s="957"/>
      <c r="UD104" s="957"/>
      <c r="UE104" s="957"/>
      <c r="UF104" s="957"/>
      <c r="UG104" s="957"/>
      <c r="UH104" s="957"/>
      <c r="UI104" s="957"/>
      <c r="UJ104" s="957"/>
      <c r="UK104" s="957"/>
      <c r="UL104" s="957"/>
      <c r="UM104" s="957"/>
      <c r="UN104" s="957"/>
      <c r="UO104" s="957"/>
      <c r="UP104" s="957"/>
      <c r="UQ104" s="957"/>
      <c r="UR104" s="957"/>
      <c r="US104" s="957"/>
      <c r="UT104" s="957"/>
      <c r="UU104" s="957"/>
      <c r="UV104" s="957"/>
      <c r="UW104" s="957"/>
      <c r="UX104" s="957"/>
      <c r="UY104" s="957"/>
      <c r="UZ104" s="957"/>
      <c r="VA104" s="957"/>
      <c r="VB104" s="957"/>
      <c r="VC104" s="957"/>
      <c r="VD104" s="957"/>
      <c r="VE104" s="957"/>
      <c r="VF104" s="957"/>
      <c r="VG104" s="957"/>
      <c r="VH104" s="957"/>
      <c r="VI104" s="957"/>
      <c r="VJ104" s="957"/>
      <c r="VK104" s="957"/>
      <c r="VL104" s="957"/>
      <c r="VM104" s="957"/>
      <c r="VN104" s="957"/>
      <c r="VO104" s="957"/>
      <c r="VP104" s="957"/>
      <c r="VQ104" s="957"/>
      <c r="VR104" s="957"/>
      <c r="VS104" s="957"/>
      <c r="VT104" s="957"/>
      <c r="VU104" s="957"/>
      <c r="VV104" s="957"/>
      <c r="VW104" s="957"/>
      <c r="VX104" s="957"/>
      <c r="VY104" s="957"/>
      <c r="VZ104" s="957"/>
      <c r="WA104" s="957"/>
      <c r="WB104" s="957"/>
      <c r="WC104" s="957"/>
      <c r="WD104" s="957"/>
      <c r="WE104" s="957"/>
      <c r="WF104" s="957"/>
      <c r="WG104" s="957"/>
      <c r="WH104" s="957"/>
      <c r="WI104" s="957"/>
      <c r="WJ104" s="957"/>
      <c r="WK104" s="957"/>
      <c r="WL104" s="957"/>
      <c r="WM104" s="957"/>
      <c r="WN104" s="957"/>
      <c r="WO104" s="957"/>
      <c r="WP104" s="957"/>
      <c r="WQ104" s="957"/>
      <c r="WR104" s="957"/>
      <c r="WS104" s="957"/>
      <c r="WT104" s="957"/>
      <c r="WU104" s="957"/>
      <c r="WV104" s="957"/>
      <c r="WW104" s="957"/>
      <c r="WX104" s="957"/>
      <c r="WY104" s="957"/>
      <c r="WZ104" s="957"/>
      <c r="XA104" s="957"/>
      <c r="XB104" s="957"/>
      <c r="XC104" s="957"/>
      <c r="XD104" s="957"/>
      <c r="XE104" s="957"/>
      <c r="XF104" s="957"/>
      <c r="XG104" s="957"/>
      <c r="XH104" s="957"/>
      <c r="XI104" s="957"/>
      <c r="XJ104" s="957"/>
      <c r="XK104" s="957"/>
      <c r="XL104" s="957"/>
      <c r="XM104" s="957"/>
      <c r="XN104" s="957"/>
      <c r="XO104" s="957"/>
      <c r="XP104" s="957"/>
      <c r="XQ104" s="957"/>
      <c r="XR104" s="957"/>
      <c r="XS104" s="957"/>
      <c r="XT104" s="957"/>
      <c r="XU104" s="957"/>
      <c r="XV104" s="957"/>
      <c r="XW104" s="957"/>
      <c r="XX104" s="957"/>
      <c r="XY104" s="957"/>
      <c r="XZ104" s="957"/>
      <c r="YA104" s="957"/>
      <c r="YB104" s="957"/>
      <c r="YC104" s="957"/>
      <c r="YD104" s="957"/>
      <c r="YE104" s="957"/>
      <c r="YF104" s="957"/>
      <c r="YG104" s="957"/>
      <c r="YH104" s="957"/>
      <c r="YI104" s="957"/>
      <c r="YJ104" s="957"/>
      <c r="YK104" s="957"/>
      <c r="YL104" s="957"/>
      <c r="YM104" s="957"/>
      <c r="YN104" s="957"/>
      <c r="YO104" s="957"/>
      <c r="YP104" s="957"/>
      <c r="YQ104" s="957"/>
      <c r="YR104" s="957"/>
      <c r="YS104" s="957"/>
      <c r="YT104" s="957"/>
      <c r="YU104" s="957"/>
      <c r="YV104" s="957"/>
      <c r="YW104" s="957"/>
      <c r="YX104" s="957"/>
      <c r="YY104" s="957"/>
      <c r="YZ104" s="957"/>
      <c r="ZA104" s="957"/>
      <c r="ZB104" s="957"/>
      <c r="ZC104" s="957"/>
      <c r="ZD104" s="957"/>
      <c r="ZE104" s="957"/>
      <c r="ZF104" s="957"/>
      <c r="ZG104" s="957"/>
      <c r="ZH104" s="957"/>
      <c r="ZI104" s="957"/>
      <c r="ZJ104" s="957"/>
      <c r="ZK104" s="957"/>
      <c r="ZL104" s="957"/>
      <c r="ZM104" s="957"/>
      <c r="ZN104" s="957"/>
      <c r="ZO104" s="957"/>
      <c r="ZP104" s="957"/>
      <c r="ZQ104" s="957"/>
      <c r="ZR104" s="957"/>
      <c r="ZS104" s="957"/>
      <c r="ZT104" s="957"/>
      <c r="ZU104" s="957"/>
      <c r="ZV104" s="957"/>
      <c r="ZW104" s="957"/>
      <c r="ZX104" s="957"/>
      <c r="ZY104" s="957"/>
      <c r="ZZ104" s="957"/>
      <c r="AAA104" s="957"/>
      <c r="AAB104" s="957"/>
      <c r="AAC104" s="957"/>
      <c r="AAD104" s="957"/>
      <c r="AAE104" s="957"/>
      <c r="AAF104" s="957"/>
      <c r="AAG104" s="957"/>
      <c r="AAH104" s="957"/>
      <c r="AAI104" s="957"/>
      <c r="AAJ104" s="957"/>
      <c r="AAK104" s="957"/>
      <c r="AAL104" s="957"/>
      <c r="AAM104" s="957"/>
      <c r="AAN104" s="957"/>
      <c r="AAO104" s="957"/>
      <c r="AAP104" s="957"/>
      <c r="AAQ104" s="957"/>
      <c r="AAR104" s="957"/>
      <c r="AAS104" s="957"/>
      <c r="AAT104" s="957"/>
      <c r="AAU104" s="957"/>
      <c r="AAV104" s="957"/>
      <c r="AAW104" s="957"/>
      <c r="AAX104" s="957"/>
      <c r="AAY104" s="957"/>
      <c r="AAZ104" s="957"/>
      <c r="ABA104" s="957"/>
      <c r="ABB104" s="957"/>
      <c r="ABC104" s="957"/>
      <c r="ABD104" s="957"/>
      <c r="ABE104" s="957"/>
      <c r="ABF104" s="957"/>
      <c r="ABG104" s="957"/>
      <c r="ABH104" s="957"/>
      <c r="ABI104" s="957"/>
      <c r="ABJ104" s="957"/>
      <c r="ABK104" s="957"/>
      <c r="ABL104" s="957"/>
      <c r="ABM104" s="957"/>
      <c r="ABN104" s="957"/>
      <c r="ABO104" s="957"/>
      <c r="ABP104" s="957"/>
      <c r="ABQ104" s="957"/>
      <c r="ABR104" s="957"/>
      <c r="ABS104" s="957"/>
      <c r="ABT104" s="957"/>
      <c r="ABU104" s="957"/>
      <c r="ABV104" s="957"/>
      <c r="ABW104" s="957"/>
      <c r="ABX104" s="957"/>
      <c r="ABY104" s="957"/>
      <c r="ABZ104" s="957"/>
      <c r="ACA104" s="957"/>
      <c r="ACB104" s="957"/>
      <c r="ACC104" s="957"/>
      <c r="ACD104" s="957"/>
      <c r="ACE104" s="957"/>
      <c r="ACF104" s="957"/>
      <c r="ACG104" s="957"/>
      <c r="ACH104" s="957"/>
      <c r="ACI104" s="957"/>
      <c r="ACJ104" s="957"/>
      <c r="ACK104" s="957"/>
      <c r="ACL104" s="957"/>
      <c r="ACM104" s="957"/>
      <c r="ACN104" s="957"/>
      <c r="ACO104" s="957"/>
      <c r="ACP104" s="957"/>
      <c r="ACQ104" s="957"/>
      <c r="ACR104" s="957"/>
      <c r="ACS104" s="957"/>
      <c r="ACT104" s="957"/>
      <c r="ACU104" s="957"/>
      <c r="ACV104" s="957"/>
      <c r="ACW104" s="957"/>
      <c r="ACX104" s="957"/>
      <c r="ACY104" s="957"/>
      <c r="ACZ104" s="957"/>
      <c r="ADA104" s="957"/>
      <c r="ADB104" s="957"/>
      <c r="ADC104" s="957"/>
      <c r="ADD104" s="957"/>
      <c r="ADE104" s="957"/>
      <c r="ADF104" s="957"/>
      <c r="ADG104" s="957"/>
      <c r="ADH104" s="957"/>
      <c r="ADI104" s="957"/>
      <c r="ADJ104" s="957"/>
      <c r="ADK104" s="957"/>
      <c r="ADL104" s="957"/>
      <c r="ADM104" s="957"/>
      <c r="ADN104" s="957"/>
      <c r="ADO104" s="957"/>
      <c r="ADP104" s="957"/>
      <c r="ADQ104" s="957"/>
      <c r="ADR104" s="957"/>
      <c r="ADS104" s="957"/>
      <c r="ADT104" s="957"/>
      <c r="ADU104" s="957"/>
      <c r="ADV104" s="957"/>
      <c r="ADW104" s="957"/>
      <c r="ADX104" s="957"/>
      <c r="ADY104" s="957"/>
      <c r="ADZ104" s="957"/>
      <c r="AEA104" s="957"/>
      <c r="AEB104" s="957"/>
      <c r="AEC104" s="957"/>
      <c r="AED104" s="957"/>
      <c r="AEE104" s="957"/>
      <c r="AEF104" s="957"/>
      <c r="AEG104" s="957"/>
      <c r="AEH104" s="957"/>
      <c r="AEI104" s="957"/>
      <c r="AEJ104" s="957"/>
      <c r="AEK104" s="957"/>
      <c r="AEL104" s="957"/>
      <c r="AEM104" s="957"/>
      <c r="AEN104" s="957"/>
      <c r="AEO104" s="957"/>
      <c r="AEP104" s="957"/>
      <c r="AEQ104" s="957"/>
      <c r="AER104" s="957"/>
      <c r="AES104" s="957"/>
      <c r="AET104" s="957"/>
      <c r="AEU104" s="957"/>
      <c r="AEV104" s="957"/>
      <c r="AEW104" s="957"/>
      <c r="AEX104" s="957"/>
      <c r="AEY104" s="957"/>
      <c r="AEZ104" s="957"/>
      <c r="AFA104" s="957"/>
      <c r="AFB104" s="957"/>
      <c r="AFC104" s="957"/>
      <c r="AFD104" s="957"/>
      <c r="AFE104" s="957"/>
      <c r="AFF104" s="957"/>
      <c r="AFG104" s="957"/>
      <c r="AFH104" s="957"/>
      <c r="AFI104" s="957"/>
      <c r="AFJ104" s="957"/>
      <c r="AFK104" s="957"/>
      <c r="AFL104" s="957"/>
      <c r="AFM104" s="957"/>
      <c r="AFN104" s="957"/>
      <c r="AFO104" s="957"/>
      <c r="AFP104" s="957"/>
      <c r="AFQ104" s="957"/>
      <c r="AFR104" s="957"/>
      <c r="AFS104" s="957"/>
      <c r="AFT104" s="957"/>
      <c r="AFU104" s="957"/>
      <c r="AFV104" s="957"/>
      <c r="AFW104" s="957"/>
      <c r="AFX104" s="957"/>
      <c r="AFY104" s="957"/>
      <c r="AFZ104" s="957"/>
      <c r="AGA104" s="957"/>
      <c r="AGB104" s="957"/>
      <c r="AGC104" s="957"/>
      <c r="AGD104" s="957"/>
      <c r="AGE104" s="957"/>
      <c r="AGF104" s="957"/>
      <c r="AGG104" s="957"/>
      <c r="AGH104" s="957"/>
      <c r="AGI104" s="957"/>
      <c r="AGJ104" s="957"/>
      <c r="AGK104" s="957"/>
      <c r="AGL104" s="957"/>
      <c r="AGM104" s="957"/>
      <c r="AGN104" s="957"/>
      <c r="AGO104" s="957"/>
      <c r="AGP104" s="957"/>
      <c r="AGQ104" s="957"/>
      <c r="AGR104" s="957"/>
      <c r="AGS104" s="957"/>
      <c r="AGT104" s="957"/>
      <c r="AGU104" s="957"/>
      <c r="AGV104" s="957"/>
      <c r="AGW104" s="957"/>
      <c r="AGX104" s="957"/>
      <c r="AGY104" s="957"/>
      <c r="AGZ104" s="957"/>
      <c r="AHA104" s="957"/>
      <c r="AHB104" s="957"/>
      <c r="AHC104" s="957"/>
      <c r="AHD104" s="957"/>
      <c r="AHE104" s="957"/>
      <c r="AHF104" s="957"/>
      <c r="AHG104" s="957"/>
      <c r="AHH104" s="957"/>
      <c r="AHI104" s="957"/>
      <c r="AHJ104" s="957"/>
      <c r="AHK104" s="957"/>
      <c r="AHL104" s="957"/>
      <c r="AHM104" s="957"/>
      <c r="AHN104" s="957"/>
      <c r="AHO104" s="957"/>
      <c r="AHP104" s="957"/>
      <c r="AHQ104" s="957"/>
      <c r="AHR104" s="957"/>
      <c r="AHS104" s="957"/>
      <c r="AHT104" s="957"/>
      <c r="AHU104" s="957"/>
      <c r="AHV104" s="957"/>
      <c r="AHW104" s="957"/>
      <c r="AHX104" s="957"/>
      <c r="AHY104" s="957"/>
      <c r="AHZ104" s="957"/>
      <c r="AIA104" s="957"/>
      <c r="AIB104" s="957"/>
      <c r="AIC104" s="957"/>
      <c r="AID104" s="957"/>
      <c r="AIE104" s="957"/>
      <c r="AIF104" s="957"/>
      <c r="AIG104" s="957"/>
      <c r="AIH104" s="957"/>
      <c r="AII104" s="957"/>
      <c r="AIJ104" s="957"/>
      <c r="AIK104" s="957"/>
      <c r="AIL104" s="957"/>
      <c r="AIM104" s="957"/>
      <c r="AIN104" s="957"/>
      <c r="AIO104" s="957"/>
      <c r="AIP104" s="957"/>
      <c r="AIQ104" s="957"/>
      <c r="AIR104" s="957"/>
      <c r="AIS104" s="957"/>
      <c r="AIT104" s="957"/>
      <c r="AIU104" s="957"/>
      <c r="AIV104" s="957"/>
      <c r="AIW104" s="957"/>
      <c r="AIX104" s="957"/>
      <c r="AIY104" s="957"/>
      <c r="AIZ104" s="957"/>
      <c r="AJA104" s="957"/>
      <c r="AJB104" s="957"/>
      <c r="AJC104" s="957"/>
      <c r="AJD104" s="957"/>
      <c r="AJE104" s="957"/>
      <c r="AJF104" s="957"/>
      <c r="AJG104" s="957"/>
      <c r="AJH104" s="957"/>
      <c r="AJI104" s="957"/>
      <c r="AJJ104" s="957"/>
      <c r="AJK104" s="957"/>
      <c r="AJL104" s="957"/>
      <c r="AJM104" s="957"/>
      <c r="AJN104" s="957"/>
      <c r="AJO104" s="957"/>
      <c r="AJP104" s="957"/>
      <c r="AJQ104" s="957"/>
      <c r="AJR104" s="957"/>
      <c r="AJS104" s="957"/>
      <c r="AJT104" s="957"/>
      <c r="AJU104" s="957"/>
      <c r="AJV104" s="957"/>
      <c r="AJW104" s="957"/>
      <c r="AJX104" s="957"/>
      <c r="AJY104" s="957"/>
      <c r="AJZ104" s="957"/>
      <c r="AKA104" s="957"/>
      <c r="AKB104" s="957"/>
      <c r="AKC104" s="957"/>
      <c r="AKD104" s="957"/>
      <c r="AKE104" s="957"/>
      <c r="AKF104" s="957"/>
      <c r="AKG104" s="957"/>
      <c r="AKH104" s="957"/>
      <c r="AKI104" s="957"/>
      <c r="AKJ104" s="957"/>
      <c r="AKK104" s="957"/>
      <c r="AKL104" s="957"/>
      <c r="AKM104" s="957"/>
      <c r="AKN104" s="957"/>
      <c r="AKO104" s="957"/>
      <c r="AKP104" s="957"/>
      <c r="AKQ104" s="957"/>
      <c r="AKR104" s="957"/>
      <c r="AKS104" s="957"/>
      <c r="AKT104" s="957"/>
      <c r="AKU104" s="957"/>
      <c r="AKV104" s="957"/>
      <c r="AKW104" s="957"/>
      <c r="AKX104" s="957"/>
      <c r="AKY104" s="957"/>
      <c r="AKZ104" s="957"/>
      <c r="ALA104" s="957"/>
      <c r="ALB104" s="957"/>
      <c r="ALC104" s="957"/>
      <c r="ALD104" s="957"/>
      <c r="ALE104" s="957"/>
      <c r="ALF104" s="957"/>
      <c r="ALG104" s="957"/>
      <c r="ALH104" s="957"/>
      <c r="ALI104" s="957"/>
      <c r="ALJ104" s="957"/>
      <c r="ALK104" s="957"/>
      <c r="ALL104" s="957"/>
      <c r="ALM104" s="957"/>
      <c r="ALN104" s="957"/>
      <c r="ALO104" s="957"/>
      <c r="ALP104" s="957"/>
      <c r="ALQ104" s="957"/>
      <c r="ALR104" s="957"/>
      <c r="ALS104" s="957"/>
      <c r="ALT104" s="957"/>
      <c r="ALU104" s="957"/>
      <c r="ALV104" s="957"/>
      <c r="ALW104" s="957"/>
      <c r="ALX104" s="957"/>
      <c r="ALY104" s="957"/>
      <c r="ALZ104" s="957"/>
      <c r="AMA104" s="957"/>
      <c r="AMB104" s="957"/>
      <c r="AMC104" s="957"/>
      <c r="AMD104" s="957"/>
      <c r="AME104" s="957"/>
      <c r="AMF104" s="957"/>
      <c r="AMG104" s="957"/>
      <c r="AMH104" s="957"/>
      <c r="AMI104" s="957"/>
      <c r="AMJ104" s="957"/>
      <c r="AMK104" s="957"/>
      <c r="AML104" s="957"/>
      <c r="AMM104" s="957"/>
      <c r="AMN104" s="957"/>
      <c r="AMO104" s="957"/>
      <c r="AMP104" s="957"/>
      <c r="AMQ104" s="957"/>
      <c r="AMR104" s="957"/>
      <c r="AMS104" s="957"/>
      <c r="AMT104" s="957"/>
      <c r="AMU104" s="957"/>
      <c r="AMV104" s="957"/>
      <c r="AMW104" s="957"/>
      <c r="AMX104" s="957"/>
      <c r="AMY104" s="957"/>
      <c r="AMZ104" s="957"/>
      <c r="ANA104" s="957"/>
      <c r="ANB104" s="957"/>
      <c r="ANC104" s="957"/>
      <c r="AND104" s="957"/>
      <c r="ANE104" s="957"/>
      <c r="ANF104" s="957"/>
      <c r="ANG104" s="957"/>
      <c r="ANH104" s="957"/>
      <c r="ANI104" s="957"/>
      <c r="ANJ104" s="957"/>
      <c r="ANK104" s="957"/>
      <c r="ANL104" s="957"/>
      <c r="ANM104" s="957"/>
      <c r="ANN104" s="957"/>
      <c r="ANO104" s="957"/>
      <c r="ANP104" s="957"/>
      <c r="ANQ104" s="957"/>
      <c r="ANR104" s="957"/>
      <c r="ANS104" s="957"/>
      <c r="ANT104" s="957"/>
      <c r="ANU104" s="957"/>
      <c r="ANV104" s="957"/>
      <c r="ANW104" s="957"/>
      <c r="ANX104" s="957"/>
      <c r="ANY104" s="957"/>
      <c r="ANZ104" s="957"/>
      <c r="AOA104" s="957"/>
      <c r="AOB104" s="957"/>
      <c r="AOC104" s="957"/>
      <c r="AOD104" s="957"/>
      <c r="AOE104" s="957"/>
      <c r="AOF104" s="957"/>
      <c r="AOG104" s="957"/>
      <c r="AOH104" s="957"/>
      <c r="AOI104" s="957"/>
      <c r="AOJ104" s="957"/>
      <c r="AOK104" s="957"/>
      <c r="AOL104" s="957"/>
      <c r="AOM104" s="957"/>
      <c r="AON104" s="957"/>
      <c r="AOO104" s="957"/>
      <c r="AOP104" s="957"/>
      <c r="AOQ104" s="957"/>
      <c r="AOR104" s="957"/>
      <c r="AOS104" s="957"/>
      <c r="AOT104" s="957"/>
      <c r="AOU104" s="957"/>
      <c r="AOV104" s="957"/>
      <c r="AOW104" s="957"/>
      <c r="AOX104" s="957"/>
      <c r="AOY104" s="957"/>
      <c r="AOZ104" s="957"/>
      <c r="APA104" s="957"/>
      <c r="APB104" s="957"/>
      <c r="APC104" s="957"/>
      <c r="APD104" s="957"/>
      <c r="APE104" s="957"/>
      <c r="APF104" s="957"/>
      <c r="APG104" s="957"/>
      <c r="APH104" s="957"/>
      <c r="API104" s="957"/>
      <c r="APJ104" s="957"/>
      <c r="APK104" s="957"/>
      <c r="APL104" s="957"/>
      <c r="APM104" s="957"/>
      <c r="APN104" s="957"/>
      <c r="APO104" s="957"/>
      <c r="APP104" s="957"/>
      <c r="APQ104" s="957"/>
      <c r="APR104" s="957"/>
      <c r="APS104" s="957"/>
      <c r="APT104" s="957"/>
      <c r="APU104" s="957"/>
      <c r="APV104" s="957"/>
      <c r="APW104" s="957"/>
      <c r="APX104" s="957"/>
      <c r="APY104" s="957"/>
      <c r="APZ104" s="957"/>
      <c r="AQA104" s="957"/>
      <c r="AQB104" s="957"/>
      <c r="AQC104" s="957"/>
      <c r="AQD104" s="957"/>
      <c r="AQE104" s="957"/>
      <c r="AQF104" s="957"/>
      <c r="AQG104" s="957"/>
      <c r="AQH104" s="957"/>
      <c r="AQI104" s="957"/>
      <c r="AQJ104" s="957"/>
      <c r="AQK104" s="957"/>
      <c r="AQL104" s="957"/>
      <c r="AQM104" s="957"/>
      <c r="AQN104" s="957"/>
      <c r="AQO104" s="957"/>
      <c r="AQP104" s="957"/>
      <c r="AQQ104" s="957"/>
      <c r="AQR104" s="957"/>
      <c r="AQS104" s="957"/>
      <c r="AQT104" s="957"/>
      <c r="AQU104" s="957"/>
      <c r="AQV104" s="957"/>
      <c r="AQW104" s="957"/>
      <c r="AQX104" s="957"/>
      <c r="AQY104" s="957"/>
      <c r="AQZ104" s="957"/>
      <c r="ARA104" s="957"/>
      <c r="ARB104" s="957"/>
      <c r="ARC104" s="957"/>
      <c r="ARD104" s="957"/>
      <c r="ARE104" s="957"/>
      <c r="ARF104" s="957"/>
      <c r="ARG104" s="957"/>
      <c r="ARH104" s="957"/>
      <c r="ARI104" s="957"/>
      <c r="ARJ104" s="957"/>
      <c r="ARK104" s="957"/>
      <c r="ARL104" s="957"/>
      <c r="ARM104" s="957"/>
      <c r="ARN104" s="957"/>
      <c r="ARO104" s="957"/>
      <c r="ARP104" s="957"/>
      <c r="ARQ104" s="957"/>
      <c r="ARR104" s="957"/>
      <c r="ARS104" s="957"/>
      <c r="ART104" s="957"/>
      <c r="ARU104" s="957"/>
      <c r="ARV104" s="957"/>
      <c r="ARW104" s="957"/>
      <c r="ARX104" s="957"/>
      <c r="ARY104" s="957"/>
      <c r="ARZ104" s="957"/>
      <c r="ASA104" s="957"/>
      <c r="ASB104" s="957"/>
      <c r="ASC104" s="957"/>
      <c r="ASD104" s="957"/>
      <c r="ASE104" s="957"/>
      <c r="ASF104" s="957"/>
      <c r="ASG104" s="957"/>
      <c r="ASH104" s="957"/>
      <c r="ASI104" s="957"/>
      <c r="ASJ104" s="957"/>
      <c r="ASK104" s="957"/>
      <c r="ASL104" s="957"/>
      <c r="ASM104" s="957"/>
      <c r="ASN104" s="957"/>
      <c r="ASO104" s="957"/>
      <c r="ASP104" s="957"/>
      <c r="ASQ104" s="957"/>
      <c r="ASR104" s="957"/>
      <c r="ASS104" s="957"/>
      <c r="AST104" s="957"/>
      <c r="ASU104" s="957"/>
      <c r="ASV104" s="957"/>
      <c r="ASW104" s="957"/>
      <c r="ASX104" s="957"/>
      <c r="ASY104" s="957"/>
      <c r="ASZ104" s="957"/>
      <c r="ATA104" s="957"/>
      <c r="ATB104" s="957"/>
      <c r="ATC104" s="957"/>
      <c r="ATD104" s="957"/>
      <c r="ATE104" s="957"/>
      <c r="ATF104" s="957"/>
      <c r="ATG104" s="957"/>
      <c r="ATH104" s="957"/>
      <c r="ATI104" s="957"/>
      <c r="ATJ104" s="957"/>
      <c r="ATK104" s="957"/>
      <c r="ATL104" s="957"/>
      <c r="ATM104" s="957"/>
      <c r="ATN104" s="957"/>
      <c r="ATO104" s="957"/>
      <c r="ATP104" s="957"/>
      <c r="ATQ104" s="957"/>
      <c r="ATR104" s="957"/>
      <c r="ATS104" s="957"/>
      <c r="ATT104" s="957"/>
      <c r="ATU104" s="957"/>
      <c r="ATV104" s="957"/>
      <c r="ATW104" s="957"/>
      <c r="ATX104" s="957"/>
      <c r="ATY104" s="957"/>
      <c r="ATZ104" s="957"/>
      <c r="AUA104" s="957"/>
      <c r="AUB104" s="957"/>
      <c r="AUC104" s="957"/>
      <c r="AUD104" s="957"/>
      <c r="AUE104" s="957"/>
      <c r="AUF104" s="957"/>
      <c r="AUG104" s="957"/>
      <c r="AUH104" s="957"/>
      <c r="AUI104" s="957"/>
      <c r="AUJ104" s="957"/>
      <c r="AUK104" s="957"/>
      <c r="AUL104" s="957"/>
      <c r="AUM104" s="957"/>
      <c r="AUN104" s="957"/>
      <c r="AUO104" s="957"/>
      <c r="AUP104" s="957"/>
      <c r="AUQ104" s="957"/>
      <c r="AUR104" s="957"/>
      <c r="AUS104" s="957"/>
      <c r="AUT104" s="957"/>
      <c r="AUU104" s="957"/>
      <c r="AUV104" s="957"/>
      <c r="AUW104" s="957"/>
      <c r="AUX104" s="957"/>
      <c r="AUY104" s="957"/>
      <c r="AUZ104" s="957"/>
      <c r="AVA104" s="957"/>
      <c r="AVB104" s="957"/>
      <c r="AVC104" s="957"/>
      <c r="AVD104" s="957"/>
      <c r="AVE104" s="957"/>
      <c r="AVF104" s="957"/>
      <c r="AVG104" s="957"/>
      <c r="AVH104" s="957"/>
      <c r="AVI104" s="957"/>
      <c r="AVJ104" s="957"/>
      <c r="AVK104" s="957"/>
      <c r="AVL104" s="957"/>
      <c r="AVM104" s="957"/>
      <c r="AVN104" s="957"/>
      <c r="AVO104" s="957"/>
      <c r="AVP104" s="957"/>
      <c r="AVQ104" s="957"/>
      <c r="AVR104" s="957"/>
      <c r="AVS104" s="957"/>
      <c r="AVT104" s="957"/>
      <c r="AVU104" s="957"/>
      <c r="AVV104" s="957"/>
      <c r="AVW104" s="957"/>
      <c r="AVX104" s="957"/>
      <c r="AVY104" s="957"/>
      <c r="AVZ104" s="957"/>
      <c r="AWA104" s="957"/>
      <c r="AWB104" s="957"/>
      <c r="AWC104" s="957"/>
      <c r="AWD104" s="957"/>
      <c r="AWE104" s="957"/>
      <c r="AWF104" s="957"/>
      <c r="AWG104" s="957"/>
      <c r="AWH104" s="957"/>
      <c r="AWI104" s="957"/>
      <c r="AWJ104" s="957"/>
      <c r="AWK104" s="957"/>
      <c r="AWL104" s="957"/>
      <c r="AWM104" s="957"/>
      <c r="AWN104" s="957"/>
      <c r="AWO104" s="957"/>
      <c r="AWP104" s="957"/>
      <c r="AWQ104" s="957"/>
      <c r="AWR104" s="957"/>
      <c r="AWS104" s="957"/>
      <c r="AWT104" s="957"/>
      <c r="AWU104" s="957"/>
      <c r="AWV104" s="957"/>
      <c r="AWW104" s="957"/>
      <c r="AWX104" s="957"/>
      <c r="AWY104" s="957"/>
      <c r="AWZ104" s="957"/>
      <c r="AXA104" s="957"/>
      <c r="AXB104" s="957"/>
      <c r="AXC104" s="957"/>
      <c r="AXD104" s="957"/>
      <c r="AXE104" s="957"/>
      <c r="AXF104" s="957"/>
      <c r="AXG104" s="957"/>
      <c r="AXH104" s="957"/>
      <c r="AXI104" s="957"/>
      <c r="AXJ104" s="957"/>
      <c r="AXK104" s="957"/>
      <c r="AXL104" s="957"/>
      <c r="AXM104" s="957"/>
      <c r="AXN104" s="957"/>
      <c r="AXO104" s="957"/>
      <c r="AXP104" s="957"/>
      <c r="AXQ104" s="957"/>
      <c r="AXR104" s="957"/>
      <c r="AXS104" s="957"/>
      <c r="AXT104" s="957"/>
      <c r="AXU104" s="957"/>
      <c r="AXV104" s="957"/>
      <c r="AXW104" s="957"/>
      <c r="AXX104" s="957"/>
      <c r="AXY104" s="957"/>
      <c r="AXZ104" s="957"/>
      <c r="AYA104" s="957"/>
      <c r="AYB104" s="957"/>
      <c r="AYC104" s="957"/>
      <c r="AYD104" s="957"/>
      <c r="AYE104" s="957"/>
      <c r="AYF104" s="957"/>
      <c r="AYG104" s="957"/>
      <c r="AYH104" s="957"/>
      <c r="AYI104" s="957"/>
      <c r="AYJ104" s="957"/>
      <c r="AYK104" s="957"/>
      <c r="AYL104" s="957"/>
      <c r="AYM104" s="957"/>
      <c r="AYN104" s="957"/>
      <c r="AYO104" s="957"/>
      <c r="AYP104" s="957"/>
      <c r="AYQ104" s="957"/>
      <c r="AYR104" s="957"/>
      <c r="AYS104" s="957"/>
      <c r="AYT104" s="957"/>
      <c r="AYU104" s="957"/>
      <c r="AYV104" s="957"/>
      <c r="AYW104" s="957"/>
      <c r="AYX104" s="957"/>
      <c r="AYY104" s="957"/>
      <c r="AYZ104" s="957"/>
      <c r="AZA104" s="957"/>
      <c r="AZB104" s="957"/>
      <c r="AZC104" s="957"/>
      <c r="AZD104" s="957"/>
      <c r="AZE104" s="957"/>
      <c r="AZF104" s="957"/>
      <c r="AZG104" s="957"/>
      <c r="AZH104" s="957"/>
      <c r="AZI104" s="957"/>
      <c r="AZJ104" s="957"/>
      <c r="AZK104" s="957"/>
      <c r="AZL104" s="957"/>
      <c r="AZM104" s="957"/>
      <c r="AZN104" s="957"/>
      <c r="AZO104" s="957"/>
      <c r="AZP104" s="957"/>
      <c r="AZQ104" s="957"/>
      <c r="AZR104" s="957"/>
      <c r="AZS104" s="957"/>
      <c r="AZT104" s="957"/>
      <c r="AZU104" s="957"/>
      <c r="AZV104" s="957"/>
      <c r="AZW104" s="957"/>
      <c r="AZX104" s="957"/>
      <c r="AZY104" s="957"/>
      <c r="AZZ104" s="957"/>
      <c r="BAA104" s="957"/>
      <c r="BAB104" s="957"/>
      <c r="BAC104" s="957"/>
      <c r="BAD104" s="957"/>
      <c r="BAE104" s="957"/>
      <c r="BAF104" s="957"/>
      <c r="BAG104" s="957"/>
      <c r="BAH104" s="957"/>
      <c r="BAI104" s="957"/>
      <c r="BAJ104" s="957"/>
      <c r="BAK104" s="957"/>
      <c r="BAL104" s="957"/>
      <c r="BAM104" s="957"/>
      <c r="BAN104" s="957"/>
      <c r="BAO104" s="957"/>
      <c r="BAP104" s="957"/>
      <c r="BAQ104" s="957"/>
      <c r="BAR104" s="957"/>
      <c r="BAS104" s="957"/>
      <c r="BAT104" s="957"/>
      <c r="BAU104" s="957"/>
      <c r="BAV104" s="957"/>
      <c r="BAW104" s="957"/>
      <c r="BAX104" s="957"/>
      <c r="BAY104" s="957"/>
      <c r="BAZ104" s="957"/>
      <c r="BBA104" s="957"/>
      <c r="BBB104" s="957"/>
      <c r="BBC104" s="957"/>
      <c r="BBD104" s="957"/>
      <c r="BBE104" s="957"/>
      <c r="BBF104" s="957"/>
      <c r="BBG104" s="957"/>
      <c r="BBH104" s="957"/>
      <c r="BBI104" s="957"/>
      <c r="BBJ104" s="957"/>
      <c r="BBK104" s="957"/>
      <c r="BBL104" s="957"/>
      <c r="BBM104" s="957"/>
      <c r="BBN104" s="957"/>
      <c r="BBO104" s="957"/>
      <c r="BBP104" s="957"/>
      <c r="BBQ104" s="957"/>
      <c r="BBR104" s="957"/>
      <c r="BBS104" s="957"/>
      <c r="BBT104" s="957"/>
      <c r="BBU104" s="957"/>
      <c r="BBV104" s="957"/>
      <c r="BBW104" s="957"/>
      <c r="BBX104" s="957"/>
      <c r="BBY104" s="957"/>
      <c r="BBZ104" s="957"/>
      <c r="BCA104" s="957"/>
      <c r="BCB104" s="957"/>
      <c r="BCC104" s="957"/>
      <c r="BCD104" s="957"/>
      <c r="BCE104" s="957"/>
      <c r="BCF104" s="957"/>
      <c r="BCG104" s="957"/>
      <c r="BCH104" s="957"/>
      <c r="BCI104" s="957"/>
      <c r="BCJ104" s="957"/>
      <c r="BCK104" s="957"/>
      <c r="BCL104" s="957"/>
      <c r="BCM104" s="957"/>
      <c r="BCN104" s="957"/>
      <c r="BCO104" s="957"/>
      <c r="BCP104" s="957"/>
      <c r="BCQ104" s="957"/>
      <c r="BCR104" s="957"/>
      <c r="BCS104" s="957"/>
      <c r="BCT104" s="957"/>
      <c r="BCU104" s="957"/>
      <c r="BCV104" s="957"/>
      <c r="BCW104" s="957"/>
      <c r="BCX104" s="957"/>
      <c r="BCY104" s="957"/>
      <c r="BCZ104" s="957"/>
      <c r="BDA104" s="957"/>
      <c r="BDB104" s="957"/>
      <c r="BDC104" s="957"/>
      <c r="BDD104" s="957"/>
      <c r="BDE104" s="957"/>
      <c r="BDF104" s="957"/>
      <c r="BDG104" s="957"/>
      <c r="BDH104" s="957"/>
      <c r="BDI104" s="957"/>
      <c r="BDJ104" s="957"/>
      <c r="BDK104" s="957"/>
      <c r="BDL104" s="957"/>
      <c r="BDM104" s="957"/>
      <c r="BDN104" s="957"/>
      <c r="BDO104" s="957"/>
      <c r="BDP104" s="957"/>
      <c r="BDQ104" s="957"/>
      <c r="BDR104" s="957"/>
      <c r="BDS104" s="957"/>
      <c r="BDT104" s="957"/>
      <c r="BDU104" s="957"/>
      <c r="BDV104" s="957"/>
      <c r="BDW104" s="957"/>
      <c r="BDX104" s="957"/>
      <c r="BDY104" s="957"/>
      <c r="BDZ104" s="957"/>
      <c r="BEA104" s="957"/>
      <c r="BEB104" s="957"/>
      <c r="BEC104" s="957"/>
      <c r="BED104" s="957"/>
      <c r="BEE104" s="957"/>
      <c r="BEF104" s="957"/>
      <c r="BEG104" s="957"/>
      <c r="BEH104" s="957"/>
      <c r="BEI104" s="957"/>
      <c r="BEJ104" s="957"/>
      <c r="BEK104" s="957"/>
      <c r="BEL104" s="957"/>
      <c r="BEM104" s="957"/>
      <c r="BEN104" s="957"/>
      <c r="BEO104" s="957"/>
      <c r="BEP104" s="957"/>
      <c r="BEQ104" s="957"/>
      <c r="BER104" s="957"/>
      <c r="BES104" s="957"/>
      <c r="BET104" s="957"/>
      <c r="BEU104" s="957"/>
      <c r="BEV104" s="957"/>
      <c r="BEW104" s="957"/>
      <c r="BEX104" s="957"/>
      <c r="BEY104" s="957"/>
      <c r="BEZ104" s="957"/>
      <c r="BFA104" s="957"/>
      <c r="BFB104" s="957"/>
      <c r="BFC104" s="957"/>
      <c r="BFD104" s="957"/>
      <c r="BFE104" s="957"/>
      <c r="BFF104" s="957"/>
      <c r="BFG104" s="957"/>
      <c r="BFH104" s="957"/>
      <c r="BFI104" s="957"/>
      <c r="BFJ104" s="957"/>
      <c r="BFK104" s="957"/>
      <c r="BFL104" s="957"/>
      <c r="BFM104" s="957"/>
      <c r="BFN104" s="957"/>
      <c r="BFO104" s="957"/>
      <c r="BFP104" s="957"/>
      <c r="BFQ104" s="957"/>
      <c r="BFR104" s="957"/>
      <c r="BFS104" s="957"/>
      <c r="BFT104" s="957"/>
      <c r="BFU104" s="957"/>
      <c r="BFV104" s="957"/>
      <c r="BFW104" s="957"/>
      <c r="BFX104" s="957"/>
      <c r="BFY104" s="957"/>
      <c r="BFZ104" s="957"/>
      <c r="BGA104" s="957"/>
      <c r="BGB104" s="957"/>
      <c r="BGC104" s="957"/>
      <c r="BGD104" s="957"/>
      <c r="BGE104" s="957"/>
      <c r="BGF104" s="957"/>
      <c r="BGG104" s="957"/>
      <c r="BGH104" s="957"/>
      <c r="BGI104" s="957"/>
      <c r="BGJ104" s="957"/>
      <c r="BGK104" s="957"/>
      <c r="BGL104" s="957"/>
      <c r="BGM104" s="957"/>
      <c r="BGN104" s="957"/>
      <c r="BGO104" s="957"/>
      <c r="BGP104" s="957"/>
      <c r="BGQ104" s="957"/>
      <c r="BGR104" s="957"/>
      <c r="BGS104" s="957"/>
      <c r="BGT104" s="957"/>
      <c r="BGU104" s="957"/>
      <c r="BGV104" s="957"/>
      <c r="BGW104" s="957"/>
      <c r="BGX104" s="957"/>
      <c r="BGY104" s="957"/>
      <c r="BGZ104" s="957"/>
      <c r="BHA104" s="957"/>
      <c r="BHB104" s="957"/>
      <c r="BHC104" s="957"/>
      <c r="BHD104" s="957"/>
      <c r="BHE104" s="957"/>
      <c r="BHF104" s="957"/>
      <c r="BHG104" s="957"/>
      <c r="BHH104" s="957"/>
      <c r="BHI104" s="957"/>
      <c r="BHJ104" s="957"/>
      <c r="BHK104" s="957"/>
      <c r="BHL104" s="957"/>
      <c r="BHM104" s="957"/>
      <c r="BHN104" s="957"/>
      <c r="BHO104" s="957"/>
      <c r="BHP104" s="957"/>
      <c r="BHQ104" s="957"/>
      <c r="BHR104" s="957"/>
      <c r="BHS104" s="957"/>
      <c r="BHT104" s="957"/>
      <c r="BHU104" s="957"/>
      <c r="BHV104" s="957"/>
      <c r="BHW104" s="957"/>
      <c r="BHX104" s="957"/>
      <c r="BHY104" s="957"/>
      <c r="BHZ104" s="957"/>
      <c r="BIA104" s="957"/>
      <c r="BIB104" s="957"/>
      <c r="BIC104" s="957"/>
      <c r="BID104" s="957"/>
      <c r="BIE104" s="957"/>
      <c r="BIF104" s="957"/>
      <c r="BIG104" s="957"/>
      <c r="BIH104" s="957"/>
      <c r="BII104" s="957"/>
      <c r="BIJ104" s="957"/>
      <c r="BIK104" s="957"/>
      <c r="BIL104" s="957"/>
      <c r="BIM104" s="957"/>
      <c r="BIN104" s="957"/>
      <c r="BIO104" s="957"/>
      <c r="BIP104" s="957"/>
      <c r="BIQ104" s="957"/>
      <c r="BIR104" s="957"/>
      <c r="BIS104" s="957"/>
      <c r="BIT104" s="957"/>
      <c r="BIU104" s="957"/>
      <c r="BIV104" s="957"/>
      <c r="BIW104" s="957"/>
      <c r="BIX104" s="957"/>
      <c r="BIY104" s="957"/>
      <c r="BIZ104" s="957"/>
      <c r="BJA104" s="957"/>
      <c r="BJB104" s="957"/>
      <c r="BJC104" s="957"/>
      <c r="BJD104" s="957"/>
      <c r="BJE104" s="957"/>
      <c r="BJF104" s="957"/>
      <c r="BJG104" s="957"/>
      <c r="BJH104" s="957"/>
      <c r="BJI104" s="957"/>
      <c r="BJJ104" s="957"/>
      <c r="BJK104" s="957"/>
      <c r="BJL104" s="957"/>
      <c r="BJM104" s="957"/>
      <c r="BJN104" s="957"/>
      <c r="BJO104" s="957"/>
      <c r="BJP104" s="957"/>
      <c r="BJQ104" s="957"/>
      <c r="BJR104" s="957"/>
      <c r="BJS104" s="957"/>
      <c r="BJT104" s="957"/>
      <c r="BJU104" s="957"/>
      <c r="BJV104" s="957"/>
      <c r="BJW104" s="957"/>
      <c r="BJX104" s="957"/>
      <c r="BJY104" s="957"/>
      <c r="BJZ104" s="957"/>
      <c r="BKA104" s="957"/>
      <c r="BKB104" s="957"/>
      <c r="BKC104" s="957"/>
      <c r="BKD104" s="957"/>
      <c r="BKE104" s="957"/>
      <c r="BKF104" s="957"/>
      <c r="BKG104" s="957"/>
      <c r="BKH104" s="957"/>
      <c r="BKI104" s="957"/>
      <c r="BKJ104" s="957"/>
      <c r="BKK104" s="957"/>
      <c r="BKL104" s="957"/>
      <c r="BKM104" s="957"/>
      <c r="BKN104" s="957"/>
      <c r="BKO104" s="957"/>
      <c r="BKP104" s="957"/>
      <c r="BKQ104" s="957"/>
      <c r="BKR104" s="957"/>
      <c r="BKS104" s="957"/>
      <c r="BKT104" s="957"/>
      <c r="BKU104" s="957"/>
      <c r="BKV104" s="957"/>
      <c r="BKW104" s="957"/>
      <c r="BKX104" s="957"/>
      <c r="BKY104" s="957"/>
      <c r="BKZ104" s="957"/>
      <c r="BLA104" s="957"/>
      <c r="BLB104" s="957"/>
      <c r="BLC104" s="957"/>
      <c r="BLD104" s="957"/>
      <c r="BLE104" s="957"/>
      <c r="BLF104" s="957"/>
      <c r="BLG104" s="957"/>
      <c r="BLH104" s="957"/>
      <c r="BLI104" s="957"/>
      <c r="BLJ104" s="957"/>
      <c r="BLK104" s="957"/>
      <c r="BLL104" s="957"/>
      <c r="BLM104" s="957"/>
      <c r="BLN104" s="957"/>
      <c r="BLO104" s="957"/>
      <c r="BLP104" s="957"/>
      <c r="BLQ104" s="957"/>
      <c r="BLR104" s="957"/>
      <c r="BLS104" s="957"/>
      <c r="BLT104" s="957"/>
      <c r="BLU104" s="957"/>
      <c r="BLV104" s="957"/>
      <c r="BLW104" s="957"/>
      <c r="BLX104" s="957"/>
      <c r="BLY104" s="957"/>
      <c r="BLZ104" s="957"/>
      <c r="BMA104" s="957"/>
      <c r="BMB104" s="957"/>
      <c r="BMC104" s="957"/>
      <c r="BMD104" s="957"/>
      <c r="BME104" s="957"/>
      <c r="BMF104" s="957"/>
      <c r="BMG104" s="957"/>
      <c r="BMH104" s="957"/>
      <c r="BMI104" s="957"/>
      <c r="BMJ104" s="957"/>
      <c r="BMK104" s="957"/>
      <c r="BML104" s="957"/>
      <c r="BMM104" s="957"/>
      <c r="BMN104" s="957"/>
      <c r="BMO104" s="957"/>
      <c r="BMP104" s="957"/>
      <c r="BMQ104" s="957"/>
      <c r="BMR104" s="957"/>
      <c r="BMS104" s="957"/>
      <c r="BMT104" s="957"/>
      <c r="BMU104" s="957"/>
      <c r="BMV104" s="957"/>
      <c r="BMW104" s="957"/>
      <c r="BMX104" s="957"/>
      <c r="BMY104" s="957"/>
      <c r="BMZ104" s="957"/>
      <c r="BNA104" s="957"/>
      <c r="BNB104" s="957"/>
      <c r="BNC104" s="957"/>
      <c r="BND104" s="957"/>
      <c r="BNE104" s="957"/>
      <c r="BNF104" s="957"/>
      <c r="BNG104" s="957"/>
      <c r="BNH104" s="957"/>
      <c r="BNI104" s="957"/>
      <c r="BNJ104" s="957"/>
      <c r="BNK104" s="957"/>
      <c r="BNL104" s="957"/>
      <c r="BNM104" s="957"/>
      <c r="BNN104" s="957"/>
      <c r="BNO104" s="957"/>
      <c r="BNP104" s="957"/>
      <c r="BNQ104" s="957"/>
      <c r="BNR104" s="957"/>
      <c r="BNS104" s="957"/>
      <c r="BNT104" s="957"/>
      <c r="BNU104" s="957"/>
      <c r="BNV104" s="957"/>
      <c r="BNW104" s="957"/>
      <c r="BNX104" s="957"/>
      <c r="BNY104" s="957"/>
      <c r="BNZ104" s="957"/>
      <c r="BOA104" s="957"/>
      <c r="BOB104" s="957"/>
      <c r="BOC104" s="957"/>
      <c r="BOD104" s="957"/>
      <c r="BOE104" s="957"/>
      <c r="BOF104" s="957"/>
      <c r="BOG104" s="957"/>
      <c r="BOH104" s="957"/>
      <c r="BOI104" s="957"/>
      <c r="BOJ104" s="957"/>
      <c r="BOK104" s="957"/>
      <c r="BOL104" s="957"/>
      <c r="BOM104" s="957"/>
      <c r="BON104" s="957"/>
      <c r="BOO104" s="957"/>
      <c r="BOP104" s="957"/>
      <c r="BOQ104" s="957"/>
      <c r="BOR104" s="957"/>
      <c r="BOS104" s="957"/>
      <c r="BOT104" s="957"/>
      <c r="BOU104" s="957"/>
      <c r="BOV104" s="957"/>
      <c r="BOW104" s="957"/>
      <c r="BOX104" s="957"/>
      <c r="BOY104" s="957"/>
      <c r="BOZ104" s="957"/>
      <c r="BPA104" s="957"/>
      <c r="BPB104" s="957"/>
      <c r="BPC104" s="957"/>
      <c r="BPD104" s="957"/>
      <c r="BPE104" s="957"/>
      <c r="BPF104" s="957"/>
      <c r="BPG104" s="957"/>
      <c r="BPH104" s="957"/>
      <c r="BPI104" s="957"/>
      <c r="BPJ104" s="957"/>
      <c r="BPK104" s="957"/>
      <c r="BPL104" s="957"/>
      <c r="BPM104" s="957"/>
      <c r="BPN104" s="957"/>
      <c r="BPO104" s="957"/>
      <c r="BPP104" s="957"/>
      <c r="BPQ104" s="957"/>
      <c r="BPR104" s="957"/>
      <c r="BPS104" s="957"/>
      <c r="BPT104" s="957"/>
      <c r="BPU104" s="957"/>
      <c r="BPV104" s="957"/>
      <c r="BPW104" s="957"/>
      <c r="BPX104" s="957"/>
      <c r="BPY104" s="957"/>
      <c r="BPZ104" s="957"/>
      <c r="BQA104" s="957"/>
      <c r="BQB104" s="957"/>
      <c r="BQC104" s="957"/>
      <c r="BQD104" s="957"/>
      <c r="BQE104" s="957"/>
      <c r="BQF104" s="957"/>
      <c r="BQG104" s="957"/>
      <c r="BQH104" s="957"/>
      <c r="BQI104" s="957"/>
      <c r="BQJ104" s="957"/>
      <c r="BQK104" s="957"/>
      <c r="BQL104" s="957"/>
      <c r="BQM104" s="957"/>
      <c r="BQN104" s="957"/>
      <c r="BQO104" s="957"/>
      <c r="BQP104" s="957"/>
      <c r="BQQ104" s="957"/>
      <c r="BQR104" s="957"/>
      <c r="BQS104" s="957"/>
      <c r="BQT104" s="957"/>
      <c r="BQU104" s="957"/>
      <c r="BQV104" s="957"/>
      <c r="BQW104" s="957"/>
      <c r="BQX104" s="957"/>
      <c r="BQY104" s="957"/>
      <c r="BQZ104" s="957"/>
      <c r="BRA104" s="957"/>
      <c r="BRB104" s="957"/>
      <c r="BRC104" s="957"/>
      <c r="BRD104" s="957"/>
      <c r="BRE104" s="957"/>
      <c r="BRF104" s="957"/>
      <c r="BRG104" s="957"/>
      <c r="BRH104" s="957"/>
      <c r="BRI104" s="957"/>
      <c r="BRJ104" s="957"/>
      <c r="BRK104" s="957"/>
      <c r="BRL104" s="957"/>
      <c r="BRM104" s="957"/>
      <c r="BRN104" s="957"/>
      <c r="BRO104" s="957"/>
      <c r="BRP104" s="957"/>
      <c r="BRQ104" s="957"/>
      <c r="BRR104" s="957"/>
      <c r="BRS104" s="957"/>
      <c r="BRT104" s="957"/>
      <c r="BRU104" s="957"/>
      <c r="BRV104" s="957"/>
      <c r="BRW104" s="957"/>
      <c r="BRX104" s="957"/>
      <c r="BRY104" s="957"/>
      <c r="BRZ104" s="957"/>
      <c r="BSA104" s="957"/>
      <c r="BSB104" s="957"/>
      <c r="BSC104" s="957"/>
      <c r="BSD104" s="957"/>
      <c r="BSE104" s="957"/>
      <c r="BSF104" s="957"/>
      <c r="BSG104" s="957"/>
      <c r="BSH104" s="957"/>
      <c r="BSI104" s="957"/>
      <c r="BSJ104" s="957"/>
      <c r="BSK104" s="957"/>
      <c r="BSL104" s="957"/>
      <c r="BSM104" s="957"/>
      <c r="BSN104" s="957"/>
      <c r="BSO104" s="957"/>
      <c r="BSP104" s="957"/>
      <c r="BSQ104" s="957"/>
      <c r="BSR104" s="957"/>
      <c r="BSS104" s="957"/>
      <c r="BST104" s="957"/>
      <c r="BSU104" s="957"/>
      <c r="BSV104" s="957"/>
      <c r="BSW104" s="957"/>
      <c r="BSX104" s="957"/>
      <c r="BSY104" s="957"/>
      <c r="BSZ104" s="957"/>
      <c r="BTA104" s="957"/>
      <c r="BTB104" s="957"/>
      <c r="BTC104" s="957"/>
      <c r="BTD104" s="957"/>
      <c r="BTE104" s="957"/>
      <c r="BTF104" s="957"/>
      <c r="BTG104" s="957"/>
      <c r="BTH104" s="957"/>
      <c r="BTI104" s="957"/>
      <c r="BTJ104" s="957"/>
      <c r="BTK104" s="957"/>
      <c r="BTL104" s="957"/>
      <c r="BTM104" s="957"/>
      <c r="BTN104" s="957"/>
      <c r="BTO104" s="957"/>
      <c r="BTP104" s="957"/>
      <c r="BTQ104" s="957"/>
      <c r="BTR104" s="957"/>
      <c r="BTS104" s="957"/>
      <c r="BTT104" s="957"/>
      <c r="BTU104" s="957"/>
      <c r="BTV104" s="957"/>
      <c r="BTW104" s="957"/>
      <c r="BTX104" s="957"/>
      <c r="BTY104" s="957"/>
      <c r="BTZ104" s="957"/>
      <c r="BUA104" s="957"/>
      <c r="BUB104" s="957"/>
      <c r="BUC104" s="957"/>
      <c r="BUD104" s="957"/>
      <c r="BUE104" s="957"/>
      <c r="BUF104" s="957"/>
      <c r="BUG104" s="957"/>
      <c r="BUH104" s="957"/>
      <c r="BUI104" s="957"/>
      <c r="BUJ104" s="957"/>
      <c r="BUK104" s="957"/>
      <c r="BUL104" s="957"/>
      <c r="BUM104" s="957"/>
      <c r="BUN104" s="957"/>
      <c r="BUO104" s="957"/>
      <c r="BUP104" s="957"/>
      <c r="BUQ104" s="957"/>
      <c r="BUR104" s="957"/>
      <c r="BUS104" s="957"/>
      <c r="BUT104" s="957"/>
      <c r="BUU104" s="957"/>
      <c r="BUV104" s="957"/>
      <c r="BUW104" s="957"/>
      <c r="BUX104" s="957"/>
      <c r="BUY104" s="957"/>
      <c r="BUZ104" s="957"/>
      <c r="BVA104" s="957"/>
      <c r="BVB104" s="957"/>
      <c r="BVC104" s="957"/>
      <c r="BVD104" s="957"/>
      <c r="BVE104" s="957"/>
      <c r="BVF104" s="957"/>
      <c r="BVG104" s="957"/>
      <c r="BVH104" s="957"/>
      <c r="BVI104" s="957"/>
      <c r="BVJ104" s="957"/>
      <c r="BVK104" s="957"/>
      <c r="BVL104" s="957"/>
      <c r="BVM104" s="957"/>
      <c r="BVN104" s="957"/>
      <c r="BVO104" s="957"/>
      <c r="BVP104" s="957"/>
      <c r="BVQ104" s="957"/>
      <c r="BVR104" s="957"/>
      <c r="BVS104" s="957"/>
      <c r="BVT104" s="957"/>
      <c r="BVU104" s="957"/>
      <c r="BVV104" s="957"/>
      <c r="BVW104" s="957"/>
      <c r="BVX104" s="957"/>
      <c r="BVY104" s="957"/>
      <c r="BVZ104" s="957"/>
      <c r="BWA104" s="957"/>
      <c r="BWB104" s="957"/>
      <c r="BWC104" s="957"/>
      <c r="BWD104" s="957"/>
      <c r="BWE104" s="957"/>
      <c r="BWF104" s="957"/>
      <c r="BWG104" s="957"/>
      <c r="BWH104" s="957"/>
      <c r="BWI104" s="957"/>
      <c r="BWJ104" s="957"/>
      <c r="BWK104" s="957"/>
      <c r="BWL104" s="957"/>
      <c r="BWM104" s="957"/>
      <c r="BWN104" s="957"/>
      <c r="BWO104" s="957"/>
      <c r="BWP104" s="957"/>
      <c r="BWQ104" s="957"/>
      <c r="BWR104" s="957"/>
      <c r="BWS104" s="957"/>
      <c r="BWT104" s="957"/>
      <c r="BWU104" s="957"/>
      <c r="BWV104" s="957"/>
      <c r="BWW104" s="957"/>
      <c r="BWX104" s="957"/>
      <c r="BWY104" s="957"/>
      <c r="BWZ104" s="957"/>
      <c r="BXA104" s="957"/>
      <c r="BXB104" s="957"/>
      <c r="BXC104" s="957"/>
      <c r="BXD104" s="957"/>
      <c r="BXE104" s="957"/>
      <c r="BXF104" s="957"/>
      <c r="BXG104" s="957"/>
      <c r="BXH104" s="957"/>
      <c r="BXI104" s="957"/>
      <c r="BXJ104" s="957"/>
      <c r="BXK104" s="957"/>
      <c r="BXL104" s="957"/>
      <c r="BXM104" s="957"/>
      <c r="BXN104" s="957"/>
      <c r="BXO104" s="957"/>
      <c r="BXP104" s="957"/>
      <c r="BXQ104" s="957"/>
      <c r="BXR104" s="957"/>
      <c r="BXS104" s="957"/>
      <c r="BXT104" s="957"/>
      <c r="BXU104" s="957"/>
      <c r="BXV104" s="957"/>
      <c r="BXW104" s="957"/>
      <c r="BXX104" s="957"/>
      <c r="BXY104" s="957"/>
      <c r="BXZ104" s="957"/>
      <c r="BYA104" s="957"/>
      <c r="BYB104" s="957"/>
      <c r="BYC104" s="957"/>
      <c r="BYD104" s="957"/>
      <c r="BYE104" s="957"/>
      <c r="BYF104" s="957"/>
      <c r="BYG104" s="957"/>
      <c r="BYH104" s="957"/>
      <c r="BYI104" s="957"/>
      <c r="BYJ104" s="957"/>
      <c r="BYK104" s="957"/>
      <c r="BYL104" s="957"/>
      <c r="BYM104" s="957"/>
      <c r="BYN104" s="957"/>
      <c r="BYO104" s="957"/>
      <c r="BYP104" s="957"/>
      <c r="BYQ104" s="957"/>
      <c r="BYR104" s="957"/>
      <c r="BYS104" s="957"/>
      <c r="BYT104" s="957"/>
      <c r="BYU104" s="957"/>
      <c r="BYV104" s="957"/>
      <c r="BYW104" s="957"/>
      <c r="BYX104" s="957"/>
      <c r="BYY104" s="957"/>
      <c r="BYZ104" s="957"/>
      <c r="BZA104" s="957"/>
      <c r="BZB104" s="957"/>
      <c r="BZC104" s="957"/>
      <c r="BZD104" s="957"/>
      <c r="BZE104" s="957"/>
      <c r="BZF104" s="957"/>
      <c r="BZG104" s="957"/>
      <c r="BZH104" s="957"/>
      <c r="BZI104" s="957"/>
      <c r="BZJ104" s="957"/>
      <c r="BZK104" s="957"/>
      <c r="BZL104" s="957"/>
      <c r="BZM104" s="957"/>
      <c r="BZN104" s="957"/>
      <c r="BZO104" s="957"/>
      <c r="BZP104" s="957"/>
      <c r="BZQ104" s="957"/>
      <c r="BZR104" s="957"/>
      <c r="BZS104" s="957"/>
      <c r="BZT104" s="957"/>
      <c r="BZU104" s="957"/>
      <c r="BZV104" s="957"/>
      <c r="BZW104" s="957"/>
      <c r="BZX104" s="957"/>
      <c r="BZY104" s="957"/>
      <c r="BZZ104" s="957"/>
      <c r="CAA104" s="957"/>
      <c r="CAB104" s="957"/>
      <c r="CAC104" s="957"/>
      <c r="CAD104" s="957"/>
      <c r="CAE104" s="957"/>
      <c r="CAF104" s="957"/>
      <c r="CAG104" s="957"/>
      <c r="CAH104" s="957"/>
      <c r="CAI104" s="957"/>
      <c r="CAJ104" s="957"/>
      <c r="CAK104" s="957"/>
      <c r="CAL104" s="957"/>
      <c r="CAM104" s="957"/>
      <c r="CAN104" s="957"/>
      <c r="CAO104" s="957"/>
      <c r="CAP104" s="957"/>
      <c r="CAQ104" s="957"/>
      <c r="CAR104" s="957"/>
      <c r="CAS104" s="957"/>
      <c r="CAT104" s="957"/>
      <c r="CAU104" s="957"/>
      <c r="CAV104" s="957"/>
      <c r="CAW104" s="957"/>
      <c r="CAX104" s="957"/>
      <c r="CAY104" s="957"/>
      <c r="CAZ104" s="957"/>
      <c r="CBA104" s="957"/>
      <c r="CBB104" s="957"/>
      <c r="CBC104" s="957"/>
      <c r="CBD104" s="957"/>
      <c r="CBE104" s="957"/>
      <c r="CBF104" s="957"/>
      <c r="CBG104" s="957"/>
      <c r="CBH104" s="957"/>
      <c r="CBI104" s="957"/>
      <c r="CBJ104" s="957"/>
      <c r="CBK104" s="957"/>
      <c r="CBL104" s="957"/>
      <c r="CBM104" s="957"/>
      <c r="CBN104" s="957"/>
      <c r="CBO104" s="957"/>
      <c r="CBP104" s="957"/>
      <c r="CBQ104" s="957"/>
      <c r="CBR104" s="957"/>
      <c r="CBS104" s="957"/>
      <c r="CBT104" s="957"/>
      <c r="CBU104" s="957"/>
      <c r="CBV104" s="957"/>
      <c r="CBW104" s="957"/>
      <c r="CBX104" s="957"/>
      <c r="CBY104" s="957"/>
      <c r="CBZ104" s="957"/>
      <c r="CCA104" s="957"/>
      <c r="CCB104" s="957"/>
      <c r="CCC104" s="957"/>
      <c r="CCD104" s="957"/>
      <c r="CCE104" s="957"/>
      <c r="CCF104" s="957"/>
      <c r="CCG104" s="957"/>
      <c r="CCH104" s="957"/>
      <c r="CCI104" s="957"/>
      <c r="CCJ104" s="957"/>
      <c r="CCK104" s="957"/>
      <c r="CCL104" s="957"/>
      <c r="CCM104" s="957"/>
      <c r="CCN104" s="957"/>
      <c r="CCO104" s="957"/>
      <c r="CCP104" s="957"/>
      <c r="CCQ104" s="957"/>
      <c r="CCR104" s="957"/>
      <c r="CCS104" s="957"/>
      <c r="CCT104" s="957"/>
      <c r="CCU104" s="957"/>
      <c r="CCV104" s="957"/>
      <c r="CCW104" s="957"/>
      <c r="CCX104" s="957"/>
      <c r="CCY104" s="957"/>
      <c r="CCZ104" s="957"/>
      <c r="CDA104" s="957"/>
      <c r="CDB104" s="957"/>
      <c r="CDC104" s="957"/>
      <c r="CDD104" s="957"/>
      <c r="CDE104" s="957"/>
      <c r="CDF104" s="957"/>
      <c r="CDG104" s="957"/>
      <c r="CDH104" s="957"/>
      <c r="CDI104" s="957"/>
      <c r="CDJ104" s="957"/>
      <c r="CDK104" s="957"/>
      <c r="CDL104" s="957"/>
      <c r="CDM104" s="957"/>
      <c r="CDN104" s="957"/>
      <c r="CDO104" s="957"/>
      <c r="CDP104" s="957"/>
      <c r="CDQ104" s="957"/>
      <c r="CDR104" s="957"/>
      <c r="CDS104" s="957"/>
      <c r="CDT104" s="957"/>
      <c r="CDU104" s="957"/>
      <c r="CDV104" s="957"/>
      <c r="CDW104" s="957"/>
      <c r="CDX104" s="957"/>
      <c r="CDY104" s="957"/>
      <c r="CDZ104" s="957"/>
      <c r="CEA104" s="957"/>
      <c r="CEB104" s="957"/>
      <c r="CEC104" s="957"/>
      <c r="CED104" s="957"/>
      <c r="CEE104" s="957"/>
      <c r="CEF104" s="957"/>
      <c r="CEG104" s="957"/>
      <c r="CEH104" s="957"/>
      <c r="CEI104" s="957"/>
      <c r="CEJ104" s="957"/>
      <c r="CEK104" s="957"/>
      <c r="CEL104" s="957"/>
      <c r="CEM104" s="957"/>
      <c r="CEN104" s="957"/>
      <c r="CEO104" s="957"/>
      <c r="CEP104" s="957"/>
      <c r="CEQ104" s="957"/>
      <c r="CER104" s="957"/>
      <c r="CES104" s="957"/>
      <c r="CET104" s="957"/>
      <c r="CEU104" s="957"/>
      <c r="CEV104" s="957"/>
      <c r="CEW104" s="957"/>
      <c r="CEX104" s="957"/>
      <c r="CEY104" s="957"/>
      <c r="CEZ104" s="957"/>
      <c r="CFA104" s="957"/>
      <c r="CFB104" s="957"/>
      <c r="CFC104" s="957"/>
      <c r="CFD104" s="957"/>
      <c r="CFE104" s="957"/>
      <c r="CFF104" s="957"/>
      <c r="CFG104" s="957"/>
      <c r="CFH104" s="957"/>
      <c r="CFI104" s="957"/>
      <c r="CFJ104" s="957"/>
      <c r="CFK104" s="957"/>
      <c r="CFL104" s="957"/>
      <c r="CFM104" s="957"/>
      <c r="CFN104" s="957"/>
      <c r="CFO104" s="957"/>
      <c r="CFP104" s="957"/>
      <c r="CFQ104" s="957"/>
      <c r="CFR104" s="957"/>
      <c r="CFS104" s="957"/>
      <c r="CFT104" s="957"/>
      <c r="CFU104" s="957"/>
      <c r="CFV104" s="957"/>
      <c r="CFW104" s="957"/>
      <c r="CFX104" s="957"/>
      <c r="CFY104" s="957"/>
      <c r="CFZ104" s="957"/>
      <c r="CGA104" s="957"/>
      <c r="CGB104" s="957"/>
      <c r="CGC104" s="957"/>
      <c r="CGD104" s="957"/>
      <c r="CGE104" s="957"/>
      <c r="CGF104" s="957"/>
      <c r="CGG104" s="957"/>
      <c r="CGH104" s="957"/>
      <c r="CGI104" s="957"/>
      <c r="CGJ104" s="957"/>
      <c r="CGK104" s="957"/>
      <c r="CGL104" s="957"/>
      <c r="CGM104" s="957"/>
      <c r="CGN104" s="957"/>
      <c r="CGO104" s="957"/>
      <c r="CGP104" s="957"/>
      <c r="CGQ104" s="957"/>
      <c r="CGR104" s="957"/>
      <c r="CGS104" s="957"/>
      <c r="CGT104" s="957"/>
      <c r="CGU104" s="957"/>
      <c r="CGV104" s="957"/>
      <c r="CGW104" s="957"/>
      <c r="CGX104" s="957"/>
      <c r="CGY104" s="957"/>
      <c r="CGZ104" s="957"/>
      <c r="CHA104" s="957"/>
      <c r="CHB104" s="957"/>
      <c r="CHC104" s="957"/>
      <c r="CHD104" s="957"/>
      <c r="CHE104" s="957"/>
      <c r="CHF104" s="957"/>
      <c r="CHG104" s="957"/>
      <c r="CHH104" s="957"/>
      <c r="CHI104" s="957"/>
      <c r="CHJ104" s="957"/>
      <c r="CHK104" s="957"/>
      <c r="CHL104" s="957"/>
      <c r="CHM104" s="957"/>
      <c r="CHN104" s="957"/>
      <c r="CHO104" s="957"/>
      <c r="CHP104" s="957"/>
      <c r="CHQ104" s="957"/>
      <c r="CHR104" s="957"/>
      <c r="CHS104" s="957"/>
      <c r="CHT104" s="957"/>
      <c r="CHU104" s="957"/>
      <c r="CHV104" s="957"/>
      <c r="CHW104" s="957"/>
      <c r="CHX104" s="957"/>
      <c r="CHY104" s="957"/>
      <c r="CHZ104" s="957"/>
      <c r="CIA104" s="957"/>
      <c r="CIB104" s="957"/>
      <c r="CIC104" s="957"/>
      <c r="CID104" s="957"/>
      <c r="CIE104" s="957"/>
      <c r="CIF104" s="957"/>
      <c r="CIG104" s="957"/>
      <c r="CIH104" s="957"/>
      <c r="CII104" s="957"/>
      <c r="CIJ104" s="957"/>
      <c r="CIK104" s="957"/>
      <c r="CIL104" s="957"/>
      <c r="CIM104" s="957"/>
      <c r="CIN104" s="957"/>
      <c r="CIO104" s="957"/>
      <c r="CIP104" s="957"/>
      <c r="CIQ104" s="957"/>
      <c r="CIR104" s="957"/>
      <c r="CIS104" s="957"/>
      <c r="CIT104" s="957"/>
      <c r="CIU104" s="957"/>
      <c r="CIV104" s="957"/>
      <c r="CIW104" s="957"/>
      <c r="CIX104" s="957"/>
      <c r="CIY104" s="957"/>
      <c r="CIZ104" s="957"/>
      <c r="CJA104" s="957"/>
      <c r="CJB104" s="957"/>
      <c r="CJC104" s="957"/>
      <c r="CJD104" s="957"/>
      <c r="CJE104" s="957"/>
      <c r="CJF104" s="957"/>
      <c r="CJG104" s="957"/>
      <c r="CJH104" s="957"/>
      <c r="CJI104" s="957"/>
      <c r="CJJ104" s="957"/>
      <c r="CJK104" s="957"/>
      <c r="CJL104" s="957"/>
      <c r="CJM104" s="957"/>
      <c r="CJN104" s="957"/>
      <c r="CJO104" s="957"/>
      <c r="CJP104" s="957"/>
      <c r="CJQ104" s="957"/>
      <c r="CJR104" s="957"/>
      <c r="CJS104" s="957"/>
      <c r="CJT104" s="957"/>
      <c r="CJU104" s="957"/>
      <c r="CJV104" s="957"/>
      <c r="CJW104" s="957"/>
      <c r="CJX104" s="957"/>
      <c r="CJY104" s="957"/>
      <c r="CJZ104" s="957"/>
      <c r="CKA104" s="957"/>
      <c r="CKB104" s="957"/>
      <c r="CKC104" s="957"/>
      <c r="CKD104" s="957"/>
      <c r="CKE104" s="957"/>
      <c r="CKF104" s="957"/>
      <c r="CKG104" s="957"/>
      <c r="CKH104" s="957"/>
      <c r="CKI104" s="957"/>
      <c r="CKJ104" s="957"/>
      <c r="CKK104" s="957"/>
      <c r="CKL104" s="957"/>
      <c r="CKM104" s="957"/>
      <c r="CKN104" s="957"/>
      <c r="CKO104" s="957"/>
      <c r="CKP104" s="957"/>
      <c r="CKQ104" s="957"/>
      <c r="CKR104" s="957"/>
      <c r="CKS104" s="957"/>
      <c r="CKT104" s="957"/>
      <c r="CKU104" s="957"/>
      <c r="CKV104" s="957"/>
      <c r="CKW104" s="957"/>
      <c r="CKX104" s="957"/>
      <c r="CKY104" s="957"/>
      <c r="CKZ104" s="957"/>
      <c r="CLA104" s="957"/>
      <c r="CLB104" s="957"/>
      <c r="CLC104" s="957"/>
      <c r="CLD104" s="957"/>
      <c r="CLE104" s="957"/>
      <c r="CLF104" s="957"/>
      <c r="CLG104" s="957"/>
      <c r="CLH104" s="957"/>
      <c r="CLI104" s="957"/>
      <c r="CLJ104" s="957"/>
      <c r="CLK104" s="957"/>
      <c r="CLL104" s="957"/>
      <c r="CLM104" s="957"/>
      <c r="CLN104" s="957"/>
      <c r="CLO104" s="957"/>
      <c r="CLP104" s="957"/>
      <c r="CLQ104" s="957"/>
      <c r="CLR104" s="957"/>
      <c r="CLS104" s="957"/>
      <c r="CLT104" s="957"/>
      <c r="CLU104" s="957"/>
      <c r="CLV104" s="957"/>
      <c r="CLW104" s="957"/>
      <c r="CLX104" s="957"/>
      <c r="CLY104" s="957"/>
      <c r="CLZ104" s="957"/>
      <c r="CMA104" s="957"/>
      <c r="CMB104" s="957"/>
      <c r="CMC104" s="957"/>
      <c r="CMD104" s="957"/>
      <c r="CME104" s="957"/>
      <c r="CMF104" s="957"/>
      <c r="CMG104" s="957"/>
      <c r="CMH104" s="957"/>
      <c r="CMI104" s="957"/>
      <c r="CMJ104" s="957"/>
      <c r="CMK104" s="957"/>
      <c r="CML104" s="957"/>
      <c r="CMM104" s="957"/>
      <c r="CMN104" s="957"/>
      <c r="CMO104" s="957"/>
      <c r="CMP104" s="957"/>
      <c r="CMQ104" s="957"/>
      <c r="CMR104" s="957"/>
      <c r="CMS104" s="957"/>
      <c r="CMT104" s="957"/>
      <c r="CMU104" s="957"/>
      <c r="CMV104" s="957"/>
      <c r="CMW104" s="957"/>
      <c r="CMX104" s="957"/>
      <c r="CMY104" s="957"/>
      <c r="CMZ104" s="957"/>
      <c r="CNA104" s="957"/>
      <c r="CNB104" s="957"/>
      <c r="CNC104" s="957"/>
      <c r="CND104" s="957"/>
      <c r="CNE104" s="957"/>
      <c r="CNF104" s="957"/>
      <c r="CNG104" s="957"/>
      <c r="CNH104" s="957"/>
      <c r="CNI104" s="957"/>
      <c r="CNJ104" s="957"/>
      <c r="CNK104" s="957"/>
      <c r="CNL104" s="957"/>
      <c r="CNM104" s="957"/>
      <c r="CNN104" s="957"/>
      <c r="CNO104" s="957"/>
      <c r="CNP104" s="957"/>
      <c r="CNQ104" s="957"/>
      <c r="CNR104" s="957"/>
      <c r="CNS104" s="957"/>
      <c r="CNT104" s="957"/>
      <c r="CNU104" s="957"/>
      <c r="CNV104" s="957"/>
      <c r="CNW104" s="957"/>
      <c r="CNX104" s="957"/>
      <c r="CNY104" s="957"/>
      <c r="CNZ104" s="957"/>
      <c r="COA104" s="957"/>
      <c r="COB104" s="957"/>
      <c r="COC104" s="957"/>
      <c r="COD104" s="957"/>
      <c r="COE104" s="957"/>
      <c r="COF104" s="957"/>
      <c r="COG104" s="957"/>
      <c r="COH104" s="957"/>
      <c r="COI104" s="957"/>
      <c r="COJ104" s="957"/>
      <c r="COK104" s="957"/>
      <c r="COL104" s="957"/>
      <c r="COM104" s="957"/>
      <c r="CON104" s="957"/>
      <c r="COO104" s="957"/>
      <c r="COP104" s="957"/>
      <c r="COQ104" s="957"/>
      <c r="COR104" s="957"/>
      <c r="COS104" s="957"/>
      <c r="COT104" s="957"/>
      <c r="COU104" s="957"/>
      <c r="COV104" s="957"/>
      <c r="COW104" s="957"/>
      <c r="COX104" s="957"/>
      <c r="COY104" s="957"/>
      <c r="COZ104" s="957"/>
      <c r="CPA104" s="957"/>
      <c r="CPB104" s="957"/>
      <c r="CPC104" s="957"/>
      <c r="CPD104" s="957"/>
      <c r="CPE104" s="957"/>
      <c r="CPF104" s="957"/>
      <c r="CPG104" s="957"/>
      <c r="CPH104" s="957"/>
      <c r="CPI104" s="957"/>
      <c r="CPJ104" s="957"/>
      <c r="CPK104" s="957"/>
      <c r="CPL104" s="957"/>
      <c r="CPM104" s="957"/>
      <c r="CPN104" s="957"/>
      <c r="CPO104" s="957"/>
      <c r="CPP104" s="957"/>
      <c r="CPQ104" s="957"/>
      <c r="CPR104" s="957"/>
      <c r="CPS104" s="957"/>
      <c r="CPT104" s="957"/>
      <c r="CPU104" s="957"/>
      <c r="CPV104" s="957"/>
      <c r="CPW104" s="957"/>
      <c r="CPX104" s="957"/>
      <c r="CPY104" s="957"/>
      <c r="CPZ104" s="957"/>
      <c r="CQA104" s="957"/>
      <c r="CQB104" s="957"/>
      <c r="CQC104" s="957"/>
      <c r="CQD104" s="957"/>
      <c r="CQE104" s="957"/>
      <c r="CQF104" s="957"/>
      <c r="CQG104" s="957"/>
      <c r="CQH104" s="957"/>
      <c r="CQI104" s="957"/>
      <c r="CQJ104" s="957"/>
      <c r="CQK104" s="957"/>
      <c r="CQL104" s="957"/>
      <c r="CQM104" s="957"/>
      <c r="CQN104" s="957"/>
      <c r="CQO104" s="957"/>
      <c r="CQP104" s="957"/>
      <c r="CQQ104" s="957"/>
      <c r="CQR104" s="957"/>
      <c r="CQS104" s="957"/>
      <c r="CQT104" s="957"/>
      <c r="CQU104" s="957"/>
      <c r="CQV104" s="957"/>
      <c r="CQW104" s="957"/>
      <c r="CQX104" s="957"/>
      <c r="CQY104" s="957"/>
      <c r="CQZ104" s="957"/>
      <c r="CRA104" s="957"/>
      <c r="CRB104" s="957"/>
      <c r="CRC104" s="957"/>
      <c r="CRD104" s="957"/>
      <c r="CRE104" s="957"/>
      <c r="CRF104" s="957"/>
      <c r="CRG104" s="957"/>
      <c r="CRH104" s="957"/>
      <c r="CRI104" s="957"/>
      <c r="CRJ104" s="957"/>
      <c r="CRK104" s="957"/>
      <c r="CRL104" s="957"/>
      <c r="CRM104" s="957"/>
      <c r="CRN104" s="957"/>
      <c r="CRO104" s="957"/>
      <c r="CRP104" s="957"/>
      <c r="CRQ104" s="957"/>
      <c r="CRR104" s="957"/>
      <c r="CRS104" s="957"/>
      <c r="CRT104" s="957"/>
      <c r="CRU104" s="957"/>
      <c r="CRV104" s="957"/>
      <c r="CRW104" s="957"/>
      <c r="CRX104" s="957"/>
      <c r="CRY104" s="957"/>
      <c r="CRZ104" s="957"/>
      <c r="CSA104" s="957"/>
      <c r="CSB104" s="957"/>
      <c r="CSC104" s="957"/>
      <c r="CSD104" s="957"/>
      <c r="CSE104" s="957"/>
      <c r="CSF104" s="957"/>
      <c r="CSG104" s="957"/>
      <c r="CSH104" s="957"/>
      <c r="CSI104" s="957"/>
      <c r="CSJ104" s="957"/>
      <c r="CSK104" s="957"/>
      <c r="CSL104" s="957"/>
      <c r="CSM104" s="957"/>
      <c r="CSN104" s="957"/>
      <c r="CSO104" s="957"/>
      <c r="CSP104" s="957"/>
      <c r="CSQ104" s="957"/>
      <c r="CSR104" s="957"/>
      <c r="CSS104" s="957"/>
      <c r="CST104" s="957"/>
      <c r="CSU104" s="957"/>
      <c r="CSV104" s="957"/>
      <c r="CSW104" s="957"/>
      <c r="CSX104" s="957"/>
      <c r="CSY104" s="957"/>
      <c r="CSZ104" s="957"/>
      <c r="CTA104" s="957"/>
      <c r="CTB104" s="957"/>
      <c r="CTC104" s="957"/>
      <c r="CTD104" s="957"/>
      <c r="CTE104" s="957"/>
      <c r="CTF104" s="957"/>
      <c r="CTG104" s="957"/>
      <c r="CTH104" s="957"/>
      <c r="CTI104" s="957"/>
      <c r="CTJ104" s="957"/>
      <c r="CTK104" s="957"/>
      <c r="CTL104" s="957"/>
      <c r="CTM104" s="957"/>
      <c r="CTN104" s="957"/>
      <c r="CTO104" s="957"/>
      <c r="CTP104" s="957"/>
      <c r="CTQ104" s="957"/>
      <c r="CTR104" s="957"/>
      <c r="CTS104" s="957"/>
      <c r="CTT104" s="957"/>
      <c r="CTU104" s="957"/>
      <c r="CTV104" s="957"/>
      <c r="CTW104" s="957"/>
      <c r="CTX104" s="957"/>
      <c r="CTY104" s="957"/>
      <c r="CTZ104" s="957"/>
      <c r="CUA104" s="957"/>
      <c r="CUB104" s="957"/>
      <c r="CUC104" s="957"/>
      <c r="CUD104" s="957"/>
      <c r="CUE104" s="957"/>
      <c r="CUF104" s="957"/>
      <c r="CUG104" s="957"/>
      <c r="CUH104" s="957"/>
      <c r="CUI104" s="957"/>
      <c r="CUJ104" s="957"/>
      <c r="CUK104" s="957"/>
      <c r="CUL104" s="957"/>
      <c r="CUM104" s="957"/>
      <c r="CUN104" s="957"/>
      <c r="CUO104" s="957"/>
      <c r="CUP104" s="957"/>
      <c r="CUQ104" s="957"/>
      <c r="CUR104" s="957"/>
      <c r="CUS104" s="957"/>
      <c r="CUT104" s="957"/>
      <c r="CUU104" s="957"/>
      <c r="CUV104" s="957"/>
      <c r="CUW104" s="957"/>
      <c r="CUX104" s="957"/>
      <c r="CUY104" s="957"/>
      <c r="CUZ104" s="957"/>
      <c r="CVA104" s="957"/>
      <c r="CVB104" s="957"/>
      <c r="CVC104" s="957"/>
      <c r="CVD104" s="957"/>
      <c r="CVE104" s="957"/>
      <c r="CVF104" s="957"/>
      <c r="CVG104" s="957"/>
      <c r="CVH104" s="957"/>
      <c r="CVI104" s="957"/>
      <c r="CVJ104" s="957"/>
      <c r="CVK104" s="957"/>
      <c r="CVL104" s="957"/>
      <c r="CVM104" s="957"/>
      <c r="CVN104" s="957"/>
      <c r="CVO104" s="957"/>
      <c r="CVP104" s="957"/>
      <c r="CVQ104" s="957"/>
      <c r="CVR104" s="957"/>
      <c r="CVS104" s="957"/>
      <c r="CVT104" s="957"/>
      <c r="CVU104" s="957"/>
      <c r="CVV104" s="957"/>
      <c r="CVW104" s="957"/>
      <c r="CVX104" s="957"/>
      <c r="CVY104" s="957"/>
      <c r="CVZ104" s="957"/>
      <c r="CWA104" s="957"/>
      <c r="CWB104" s="957"/>
      <c r="CWC104" s="957"/>
      <c r="CWD104" s="957"/>
      <c r="CWE104" s="957"/>
      <c r="CWF104" s="957"/>
      <c r="CWG104" s="957"/>
      <c r="CWH104" s="957"/>
      <c r="CWI104" s="957"/>
      <c r="CWJ104" s="957"/>
      <c r="CWK104" s="957"/>
      <c r="CWL104" s="957"/>
      <c r="CWM104" s="957"/>
      <c r="CWN104" s="957"/>
      <c r="CWO104" s="957"/>
      <c r="CWP104" s="957"/>
      <c r="CWQ104" s="957"/>
      <c r="CWR104" s="957"/>
      <c r="CWS104" s="957"/>
      <c r="CWT104" s="957"/>
      <c r="CWU104" s="957"/>
      <c r="CWV104" s="957"/>
      <c r="CWW104" s="957"/>
      <c r="CWX104" s="957"/>
      <c r="CWY104" s="957"/>
      <c r="CWZ104" s="957"/>
      <c r="CXA104" s="957"/>
      <c r="CXB104" s="957"/>
      <c r="CXC104" s="957"/>
      <c r="CXD104" s="957"/>
      <c r="CXE104" s="957"/>
      <c r="CXF104" s="957"/>
      <c r="CXG104" s="957"/>
      <c r="CXH104" s="957"/>
      <c r="CXI104" s="957"/>
      <c r="CXJ104" s="957"/>
      <c r="CXK104" s="957"/>
      <c r="CXL104" s="957"/>
      <c r="CXM104" s="957"/>
      <c r="CXN104" s="957"/>
      <c r="CXO104" s="957"/>
      <c r="CXP104" s="957"/>
      <c r="CXQ104" s="957"/>
      <c r="CXR104" s="957"/>
      <c r="CXS104" s="957"/>
      <c r="CXT104" s="957"/>
      <c r="CXU104" s="957"/>
      <c r="CXV104" s="957"/>
      <c r="CXW104" s="957"/>
      <c r="CXX104" s="957"/>
      <c r="CXY104" s="957"/>
      <c r="CXZ104" s="957"/>
      <c r="CYA104" s="957"/>
      <c r="CYB104" s="957"/>
      <c r="CYC104" s="957"/>
      <c r="CYD104" s="957"/>
      <c r="CYE104" s="957"/>
      <c r="CYF104" s="957"/>
      <c r="CYG104" s="957"/>
      <c r="CYH104" s="957"/>
      <c r="CYI104" s="957"/>
      <c r="CYJ104" s="957"/>
      <c r="CYK104" s="957"/>
      <c r="CYL104" s="957"/>
      <c r="CYM104" s="957"/>
      <c r="CYN104" s="957"/>
      <c r="CYO104" s="957"/>
      <c r="CYP104" s="957"/>
      <c r="CYQ104" s="957"/>
      <c r="CYR104" s="957"/>
      <c r="CYS104" s="957"/>
      <c r="CYT104" s="957"/>
      <c r="CYU104" s="957"/>
      <c r="CYV104" s="957"/>
      <c r="CYW104" s="957"/>
      <c r="CYX104" s="957"/>
      <c r="CYY104" s="957"/>
      <c r="CYZ104" s="957"/>
      <c r="CZA104" s="957"/>
      <c r="CZB104" s="957"/>
      <c r="CZC104" s="957"/>
      <c r="CZD104" s="957"/>
      <c r="CZE104" s="957"/>
      <c r="CZF104" s="957"/>
      <c r="CZG104" s="957"/>
      <c r="CZH104" s="957"/>
      <c r="CZI104" s="957"/>
      <c r="CZJ104" s="957"/>
      <c r="CZK104" s="957"/>
      <c r="CZL104" s="957"/>
      <c r="CZM104" s="957"/>
      <c r="CZN104" s="957"/>
      <c r="CZO104" s="957"/>
      <c r="CZP104" s="957"/>
      <c r="CZQ104" s="957"/>
      <c r="CZR104" s="957"/>
      <c r="CZS104" s="957"/>
      <c r="CZT104" s="957"/>
      <c r="CZU104" s="957"/>
      <c r="CZV104" s="957"/>
      <c r="CZW104" s="957"/>
      <c r="CZX104" s="957"/>
      <c r="CZY104" s="957"/>
      <c r="CZZ104" s="957"/>
      <c r="DAA104" s="957"/>
      <c r="DAB104" s="957"/>
      <c r="DAC104" s="957"/>
      <c r="DAD104" s="957"/>
      <c r="DAE104" s="957"/>
      <c r="DAF104" s="957"/>
      <c r="DAG104" s="957"/>
      <c r="DAH104" s="957"/>
      <c r="DAI104" s="957"/>
      <c r="DAJ104" s="957"/>
      <c r="DAK104" s="957"/>
      <c r="DAL104" s="957"/>
      <c r="DAM104" s="957"/>
      <c r="DAN104" s="957"/>
      <c r="DAO104" s="957"/>
      <c r="DAP104" s="957"/>
      <c r="DAQ104" s="957"/>
      <c r="DAR104" s="957"/>
      <c r="DAS104" s="957"/>
      <c r="DAT104" s="957"/>
      <c r="DAU104" s="957"/>
      <c r="DAV104" s="957"/>
      <c r="DAW104" s="957"/>
      <c r="DAX104" s="957"/>
      <c r="DAY104" s="957"/>
      <c r="DAZ104" s="957"/>
      <c r="DBA104" s="957"/>
      <c r="DBB104" s="957"/>
      <c r="DBC104" s="957"/>
      <c r="DBD104" s="957"/>
      <c r="DBE104" s="957"/>
      <c r="DBF104" s="957"/>
      <c r="DBG104" s="957"/>
      <c r="DBH104" s="957"/>
      <c r="DBI104" s="957"/>
      <c r="DBJ104" s="957"/>
      <c r="DBK104" s="957"/>
      <c r="DBL104" s="957"/>
      <c r="DBM104" s="957"/>
      <c r="DBN104" s="957"/>
      <c r="DBO104" s="957"/>
      <c r="DBP104" s="957"/>
      <c r="DBQ104" s="957"/>
      <c r="DBR104" s="957"/>
      <c r="DBS104" s="957"/>
      <c r="DBT104" s="957"/>
      <c r="DBU104" s="957"/>
      <c r="DBV104" s="957"/>
      <c r="DBW104" s="957"/>
      <c r="DBX104" s="957"/>
      <c r="DBY104" s="957"/>
      <c r="DBZ104" s="957"/>
      <c r="DCA104" s="957"/>
      <c r="DCB104" s="957"/>
      <c r="DCC104" s="957"/>
      <c r="DCD104" s="957"/>
      <c r="DCE104" s="957"/>
      <c r="DCF104" s="957"/>
      <c r="DCG104" s="957"/>
      <c r="DCH104" s="957"/>
      <c r="DCI104" s="957"/>
      <c r="DCJ104" s="957"/>
      <c r="DCK104" s="957"/>
      <c r="DCL104" s="957"/>
      <c r="DCM104" s="957"/>
      <c r="DCN104" s="957"/>
      <c r="DCO104" s="957"/>
      <c r="DCP104" s="957"/>
      <c r="DCQ104" s="957"/>
      <c r="DCR104" s="957"/>
      <c r="DCS104" s="957"/>
      <c r="DCT104" s="957"/>
      <c r="DCU104" s="957"/>
      <c r="DCV104" s="957"/>
      <c r="DCW104" s="957"/>
      <c r="DCX104" s="957"/>
      <c r="DCY104" s="957"/>
      <c r="DCZ104" s="957"/>
      <c r="DDA104" s="957"/>
      <c r="DDB104" s="957"/>
      <c r="DDC104" s="957"/>
      <c r="DDD104" s="957"/>
      <c r="DDE104" s="957"/>
      <c r="DDF104" s="957"/>
      <c r="DDG104" s="957"/>
      <c r="DDH104" s="957"/>
      <c r="DDI104" s="957"/>
      <c r="DDJ104" s="957"/>
      <c r="DDK104" s="957"/>
      <c r="DDL104" s="957"/>
      <c r="DDM104" s="957"/>
      <c r="DDN104" s="957"/>
      <c r="DDO104" s="957"/>
      <c r="DDP104" s="957"/>
      <c r="DDQ104" s="957"/>
      <c r="DDR104" s="957"/>
      <c r="DDS104" s="957"/>
      <c r="DDT104" s="957"/>
      <c r="DDU104" s="957"/>
      <c r="DDV104" s="957"/>
      <c r="DDW104" s="957"/>
      <c r="DDX104" s="957"/>
      <c r="DDY104" s="957"/>
      <c r="DDZ104" s="957"/>
      <c r="DEA104" s="957"/>
      <c r="DEB104" s="957"/>
      <c r="DEC104" s="957"/>
      <c r="DED104" s="957"/>
      <c r="DEE104" s="957"/>
      <c r="DEF104" s="957"/>
      <c r="DEG104" s="957"/>
      <c r="DEH104" s="957"/>
      <c r="DEI104" s="957"/>
      <c r="DEJ104" s="957"/>
      <c r="DEK104" s="957"/>
      <c r="DEL104" s="957"/>
      <c r="DEM104" s="957"/>
      <c r="DEN104" s="957"/>
      <c r="DEO104" s="957"/>
      <c r="DEP104" s="957"/>
      <c r="DEQ104" s="957"/>
      <c r="DER104" s="957"/>
      <c r="DES104" s="957"/>
      <c r="DET104" s="957"/>
      <c r="DEU104" s="957"/>
      <c r="DEV104" s="957"/>
      <c r="DEW104" s="957"/>
      <c r="DEX104" s="957"/>
      <c r="DEY104" s="957"/>
      <c r="DEZ104" s="957"/>
      <c r="DFA104" s="957"/>
      <c r="DFB104" s="957"/>
      <c r="DFC104" s="957"/>
      <c r="DFD104" s="957"/>
      <c r="DFE104" s="957"/>
      <c r="DFF104" s="957"/>
      <c r="DFG104" s="957"/>
      <c r="DFH104" s="957"/>
      <c r="DFI104" s="957"/>
      <c r="DFJ104" s="957"/>
      <c r="DFK104" s="957"/>
      <c r="DFL104" s="957"/>
      <c r="DFM104" s="957"/>
      <c r="DFN104" s="957"/>
      <c r="DFO104" s="957"/>
      <c r="DFP104" s="957"/>
      <c r="DFQ104" s="957"/>
      <c r="DFR104" s="957"/>
      <c r="DFS104" s="957"/>
      <c r="DFT104" s="957"/>
      <c r="DFU104" s="957"/>
      <c r="DFV104" s="957"/>
      <c r="DFW104" s="957"/>
      <c r="DFX104" s="957"/>
      <c r="DFY104" s="957"/>
      <c r="DFZ104" s="957"/>
      <c r="DGA104" s="957"/>
      <c r="DGB104" s="957"/>
      <c r="DGC104" s="957"/>
      <c r="DGD104" s="957"/>
      <c r="DGE104" s="957"/>
      <c r="DGF104" s="957"/>
      <c r="DGG104" s="957"/>
      <c r="DGH104" s="957"/>
      <c r="DGI104" s="957"/>
      <c r="DGJ104" s="957"/>
      <c r="DGK104" s="957"/>
      <c r="DGL104" s="957"/>
      <c r="DGM104" s="957"/>
      <c r="DGN104" s="957"/>
      <c r="DGO104" s="957"/>
      <c r="DGP104" s="957"/>
      <c r="DGQ104" s="957"/>
      <c r="DGR104" s="957"/>
      <c r="DGS104" s="957"/>
      <c r="DGT104" s="957"/>
      <c r="DGU104" s="957"/>
      <c r="DGV104" s="957"/>
      <c r="DGW104" s="957"/>
      <c r="DGX104" s="957"/>
      <c r="DGY104" s="957"/>
      <c r="DGZ104" s="957"/>
      <c r="DHA104" s="957"/>
      <c r="DHB104" s="957"/>
      <c r="DHC104" s="957"/>
      <c r="DHD104" s="957"/>
      <c r="DHE104" s="957"/>
      <c r="DHF104" s="957"/>
      <c r="DHG104" s="957"/>
      <c r="DHH104" s="957"/>
      <c r="DHI104" s="957"/>
      <c r="DHJ104" s="957"/>
      <c r="DHK104" s="957"/>
      <c r="DHL104" s="957"/>
      <c r="DHM104" s="957"/>
      <c r="DHN104" s="957"/>
      <c r="DHO104" s="957"/>
      <c r="DHP104" s="957"/>
      <c r="DHQ104" s="957"/>
      <c r="DHR104" s="957"/>
      <c r="DHS104" s="957"/>
      <c r="DHT104" s="957"/>
      <c r="DHU104" s="957"/>
      <c r="DHV104" s="957"/>
      <c r="DHW104" s="957"/>
      <c r="DHX104" s="957"/>
      <c r="DHY104" s="957"/>
      <c r="DHZ104" s="957"/>
      <c r="DIA104" s="957"/>
      <c r="DIB104" s="957"/>
      <c r="DIC104" s="957"/>
      <c r="DID104" s="957"/>
      <c r="DIE104" s="957"/>
      <c r="DIF104" s="957"/>
      <c r="DIG104" s="957"/>
      <c r="DIH104" s="957"/>
      <c r="DII104" s="957"/>
      <c r="DIJ104" s="957"/>
      <c r="DIK104" s="957"/>
      <c r="DIL104" s="957"/>
      <c r="DIM104" s="957"/>
      <c r="DIN104" s="957"/>
      <c r="DIO104" s="957"/>
      <c r="DIP104" s="957"/>
      <c r="DIQ104" s="957"/>
      <c r="DIR104" s="957"/>
      <c r="DIS104" s="957"/>
      <c r="DIT104" s="957"/>
      <c r="DIU104" s="957"/>
      <c r="DIV104" s="957"/>
      <c r="DIW104" s="957"/>
      <c r="DIX104" s="957"/>
      <c r="DIY104" s="957"/>
      <c r="DIZ104" s="957"/>
      <c r="DJA104" s="957"/>
      <c r="DJB104" s="957"/>
      <c r="DJC104" s="957"/>
      <c r="DJD104" s="957"/>
      <c r="DJE104" s="957"/>
      <c r="DJF104" s="957"/>
      <c r="DJG104" s="957"/>
      <c r="DJH104" s="957"/>
      <c r="DJI104" s="957"/>
      <c r="DJJ104" s="957"/>
      <c r="DJK104" s="957"/>
      <c r="DJL104" s="957"/>
      <c r="DJM104" s="957"/>
      <c r="DJN104" s="957"/>
      <c r="DJO104" s="957"/>
      <c r="DJP104" s="957"/>
      <c r="DJQ104" s="957"/>
      <c r="DJR104" s="957"/>
      <c r="DJS104" s="957"/>
      <c r="DJT104" s="957"/>
      <c r="DJU104" s="957"/>
      <c r="DJV104" s="957"/>
      <c r="DJW104" s="957"/>
      <c r="DJX104" s="957"/>
      <c r="DJY104" s="957"/>
      <c r="DJZ104" s="957"/>
      <c r="DKA104" s="957"/>
      <c r="DKB104" s="957"/>
      <c r="DKC104" s="957"/>
      <c r="DKD104" s="957"/>
      <c r="DKE104" s="957"/>
      <c r="DKF104" s="957"/>
      <c r="DKG104" s="957"/>
      <c r="DKH104" s="957"/>
      <c r="DKI104" s="957"/>
      <c r="DKJ104" s="957"/>
      <c r="DKK104" s="957"/>
      <c r="DKL104" s="957"/>
      <c r="DKM104" s="957"/>
      <c r="DKN104" s="957"/>
      <c r="DKO104" s="957"/>
      <c r="DKP104" s="957"/>
      <c r="DKQ104" s="957"/>
      <c r="DKR104" s="957"/>
      <c r="DKS104" s="957"/>
      <c r="DKT104" s="957"/>
      <c r="DKU104" s="957"/>
      <c r="DKV104" s="957"/>
      <c r="DKW104" s="957"/>
      <c r="DKX104" s="957"/>
      <c r="DKY104" s="957"/>
      <c r="DKZ104" s="957"/>
      <c r="DLA104" s="957"/>
      <c r="DLB104" s="957"/>
      <c r="DLC104" s="957"/>
      <c r="DLD104" s="957"/>
      <c r="DLE104" s="957"/>
      <c r="DLF104" s="957"/>
      <c r="DLG104" s="957"/>
      <c r="DLH104" s="957"/>
      <c r="DLI104" s="957"/>
      <c r="DLJ104" s="957"/>
      <c r="DLK104" s="957"/>
      <c r="DLL104" s="957"/>
      <c r="DLM104" s="957"/>
      <c r="DLN104" s="957"/>
      <c r="DLO104" s="957"/>
      <c r="DLP104" s="957"/>
      <c r="DLQ104" s="957"/>
      <c r="DLR104" s="957"/>
      <c r="DLS104" s="957"/>
      <c r="DLT104" s="957"/>
      <c r="DLU104" s="957"/>
      <c r="DLV104" s="957"/>
      <c r="DLW104" s="957"/>
      <c r="DLX104" s="957"/>
      <c r="DLY104" s="957"/>
      <c r="DLZ104" s="957"/>
      <c r="DMA104" s="957"/>
      <c r="DMB104" s="957"/>
      <c r="DMC104" s="957"/>
      <c r="DMD104" s="957"/>
      <c r="DME104" s="957"/>
      <c r="DMF104" s="957"/>
      <c r="DMG104" s="957"/>
      <c r="DMH104" s="957"/>
      <c r="DMI104" s="957"/>
      <c r="DMJ104" s="957"/>
      <c r="DMK104" s="957"/>
      <c r="DML104" s="957"/>
      <c r="DMM104" s="957"/>
      <c r="DMN104" s="957"/>
      <c r="DMO104" s="957"/>
      <c r="DMP104" s="957"/>
      <c r="DMQ104" s="957"/>
      <c r="DMR104" s="957"/>
      <c r="DMS104" s="957"/>
      <c r="DMT104" s="957"/>
      <c r="DMU104" s="957"/>
      <c r="DMV104" s="957"/>
      <c r="DMW104" s="957"/>
      <c r="DMX104" s="957"/>
      <c r="DMY104" s="957"/>
      <c r="DMZ104" s="957"/>
      <c r="DNA104" s="957"/>
      <c r="DNB104" s="957"/>
      <c r="DNC104" s="957"/>
      <c r="DND104" s="957"/>
      <c r="DNE104" s="957"/>
      <c r="DNF104" s="957"/>
      <c r="DNG104" s="957"/>
      <c r="DNH104" s="957"/>
      <c r="DNI104" s="957"/>
      <c r="DNJ104" s="957"/>
      <c r="DNK104" s="957"/>
      <c r="DNL104" s="957"/>
      <c r="DNM104" s="957"/>
      <c r="DNN104" s="957"/>
      <c r="DNO104" s="957"/>
      <c r="DNP104" s="957"/>
      <c r="DNQ104" s="957"/>
      <c r="DNR104" s="957"/>
      <c r="DNS104" s="957"/>
      <c r="DNT104" s="957"/>
      <c r="DNU104" s="957"/>
      <c r="DNV104" s="957"/>
      <c r="DNW104" s="957"/>
      <c r="DNX104" s="957"/>
      <c r="DNY104" s="957"/>
      <c r="DNZ104" s="957"/>
      <c r="DOA104" s="957"/>
      <c r="DOB104" s="957"/>
      <c r="DOC104" s="957"/>
      <c r="DOD104" s="957"/>
      <c r="DOE104" s="957"/>
      <c r="DOF104" s="957"/>
      <c r="DOG104" s="957"/>
      <c r="DOH104" s="957"/>
      <c r="DOI104" s="957"/>
      <c r="DOJ104" s="957"/>
      <c r="DOK104" s="957"/>
      <c r="DOL104" s="957"/>
      <c r="DOM104" s="957"/>
      <c r="DON104" s="957"/>
      <c r="DOO104" s="957"/>
      <c r="DOP104" s="957"/>
      <c r="DOQ104" s="957"/>
      <c r="DOR104" s="957"/>
      <c r="DOS104" s="957"/>
      <c r="DOT104" s="957"/>
      <c r="DOU104" s="957"/>
      <c r="DOV104" s="957"/>
      <c r="DOW104" s="957"/>
      <c r="DOX104" s="957"/>
      <c r="DOY104" s="957"/>
      <c r="DOZ104" s="957"/>
      <c r="DPA104" s="957"/>
      <c r="DPB104" s="957"/>
      <c r="DPC104" s="957"/>
      <c r="DPD104" s="957"/>
      <c r="DPE104" s="957"/>
      <c r="DPF104" s="957"/>
      <c r="DPG104" s="957"/>
      <c r="DPH104" s="957"/>
      <c r="DPI104" s="957"/>
      <c r="DPJ104" s="957"/>
      <c r="DPK104" s="957"/>
      <c r="DPL104" s="957"/>
      <c r="DPM104" s="957"/>
      <c r="DPN104" s="957"/>
      <c r="DPO104" s="957"/>
      <c r="DPP104" s="957"/>
      <c r="DPQ104" s="957"/>
      <c r="DPR104" s="957"/>
      <c r="DPS104" s="957"/>
      <c r="DPT104" s="957"/>
      <c r="DPU104" s="957"/>
      <c r="DPV104" s="957"/>
      <c r="DPW104" s="957"/>
      <c r="DPX104" s="957"/>
      <c r="DPY104" s="957"/>
      <c r="DPZ104" s="957"/>
      <c r="DQA104" s="957"/>
      <c r="DQB104" s="957"/>
      <c r="DQC104" s="957"/>
      <c r="DQD104" s="957"/>
      <c r="DQE104" s="957"/>
      <c r="DQF104" s="957"/>
      <c r="DQG104" s="957"/>
      <c r="DQH104" s="957"/>
      <c r="DQI104" s="957"/>
      <c r="DQJ104" s="957"/>
      <c r="DQK104" s="957"/>
      <c r="DQL104" s="957"/>
      <c r="DQM104" s="957"/>
      <c r="DQN104" s="957"/>
      <c r="DQO104" s="957"/>
      <c r="DQP104" s="957"/>
      <c r="DQQ104" s="957"/>
      <c r="DQR104" s="957"/>
      <c r="DQS104" s="957"/>
      <c r="DQT104" s="957"/>
      <c r="DQU104" s="957"/>
      <c r="DQV104" s="957"/>
      <c r="DQW104" s="957"/>
      <c r="DQX104" s="957"/>
      <c r="DQY104" s="957"/>
      <c r="DQZ104" s="957"/>
      <c r="DRA104" s="957"/>
      <c r="DRB104" s="957"/>
      <c r="DRC104" s="957"/>
      <c r="DRD104" s="957"/>
      <c r="DRE104" s="957"/>
      <c r="DRF104" s="957"/>
      <c r="DRG104" s="957"/>
      <c r="DRH104" s="957"/>
      <c r="DRI104" s="957"/>
      <c r="DRJ104" s="957"/>
      <c r="DRK104" s="957"/>
      <c r="DRL104" s="957"/>
      <c r="DRM104" s="957"/>
      <c r="DRN104" s="957"/>
      <c r="DRO104" s="957"/>
      <c r="DRP104" s="957"/>
      <c r="DRQ104" s="957"/>
      <c r="DRR104" s="957"/>
      <c r="DRS104" s="957"/>
      <c r="DRT104" s="957"/>
      <c r="DRU104" s="957"/>
      <c r="DRV104" s="957"/>
      <c r="DRW104" s="957"/>
      <c r="DRX104" s="957"/>
      <c r="DRY104" s="957"/>
      <c r="DRZ104" s="957"/>
      <c r="DSA104" s="957"/>
      <c r="DSB104" s="957"/>
      <c r="DSC104" s="957"/>
      <c r="DSD104" s="957"/>
      <c r="DSE104" s="957"/>
      <c r="DSF104" s="957"/>
      <c r="DSG104" s="957"/>
      <c r="DSH104" s="957"/>
      <c r="DSI104" s="957"/>
      <c r="DSJ104" s="957"/>
      <c r="DSK104" s="957"/>
      <c r="DSL104" s="957"/>
      <c r="DSM104" s="957"/>
      <c r="DSN104" s="957"/>
      <c r="DSO104" s="957"/>
      <c r="DSP104" s="957"/>
      <c r="DSQ104" s="957"/>
      <c r="DSR104" s="957"/>
      <c r="DSS104" s="957"/>
      <c r="DST104" s="957"/>
      <c r="DSU104" s="957"/>
      <c r="DSV104" s="957"/>
      <c r="DSW104" s="957"/>
      <c r="DSX104" s="957"/>
      <c r="DSY104" s="957"/>
      <c r="DSZ104" s="957"/>
      <c r="DTA104" s="957"/>
      <c r="DTB104" s="957"/>
      <c r="DTC104" s="957"/>
      <c r="DTD104" s="957"/>
      <c r="DTE104" s="957"/>
      <c r="DTF104" s="957"/>
      <c r="DTG104" s="957"/>
      <c r="DTH104" s="957"/>
      <c r="DTI104" s="957"/>
      <c r="DTJ104" s="957"/>
      <c r="DTK104" s="957"/>
      <c r="DTL104" s="957"/>
      <c r="DTM104" s="957"/>
      <c r="DTN104" s="957"/>
      <c r="DTO104" s="957"/>
      <c r="DTP104" s="957"/>
      <c r="DTQ104" s="957"/>
      <c r="DTR104" s="957"/>
      <c r="DTS104" s="957"/>
      <c r="DTT104" s="957"/>
      <c r="DTU104" s="957"/>
      <c r="DTV104" s="957"/>
      <c r="DTW104" s="957"/>
      <c r="DTX104" s="957"/>
      <c r="DTY104" s="957"/>
      <c r="DTZ104" s="957"/>
      <c r="DUA104" s="957"/>
      <c r="DUB104" s="957"/>
      <c r="DUC104" s="957"/>
      <c r="DUD104" s="957"/>
      <c r="DUE104" s="957"/>
      <c r="DUF104" s="957"/>
      <c r="DUG104" s="957"/>
      <c r="DUH104" s="957"/>
      <c r="DUI104" s="957"/>
      <c r="DUJ104" s="957"/>
      <c r="DUK104" s="957"/>
      <c r="DUL104" s="957"/>
      <c r="DUM104" s="957"/>
      <c r="DUN104" s="957"/>
      <c r="DUO104" s="957"/>
      <c r="DUP104" s="957"/>
      <c r="DUQ104" s="957"/>
      <c r="DUR104" s="957"/>
      <c r="DUS104" s="957"/>
      <c r="DUT104" s="957"/>
      <c r="DUU104" s="957"/>
      <c r="DUV104" s="957"/>
      <c r="DUW104" s="957"/>
      <c r="DUX104" s="957"/>
      <c r="DUY104" s="957"/>
      <c r="DUZ104" s="957"/>
      <c r="DVA104" s="957"/>
      <c r="DVB104" s="957"/>
      <c r="DVC104" s="957"/>
      <c r="DVD104" s="957"/>
      <c r="DVE104" s="957"/>
      <c r="DVF104" s="957"/>
      <c r="DVG104" s="957"/>
      <c r="DVH104" s="957"/>
      <c r="DVI104" s="957"/>
      <c r="DVJ104" s="957"/>
      <c r="DVK104" s="957"/>
      <c r="DVL104" s="957"/>
      <c r="DVM104" s="957"/>
      <c r="DVN104" s="957"/>
      <c r="DVO104" s="957"/>
      <c r="DVP104" s="957"/>
      <c r="DVQ104" s="957"/>
      <c r="DVR104" s="957"/>
      <c r="DVS104" s="957"/>
      <c r="DVT104" s="957"/>
      <c r="DVU104" s="957"/>
      <c r="DVV104" s="957"/>
      <c r="DVW104" s="957"/>
      <c r="DVX104" s="957"/>
      <c r="DVY104" s="957"/>
      <c r="DVZ104" s="957"/>
      <c r="DWA104" s="957"/>
      <c r="DWB104" s="957"/>
      <c r="DWC104" s="957"/>
      <c r="DWD104" s="957"/>
      <c r="DWE104" s="957"/>
      <c r="DWF104" s="957"/>
      <c r="DWG104" s="957"/>
      <c r="DWH104" s="957"/>
      <c r="DWI104" s="957"/>
      <c r="DWJ104" s="957"/>
      <c r="DWK104" s="957"/>
      <c r="DWL104" s="957"/>
      <c r="DWM104" s="957"/>
      <c r="DWN104" s="957"/>
      <c r="DWO104" s="957"/>
      <c r="DWP104" s="957"/>
      <c r="DWQ104" s="957"/>
      <c r="DWR104" s="957"/>
      <c r="DWS104" s="957"/>
      <c r="DWT104" s="957"/>
      <c r="DWU104" s="957"/>
      <c r="DWV104" s="957"/>
      <c r="DWW104" s="957"/>
      <c r="DWX104" s="957"/>
      <c r="DWY104" s="957"/>
      <c r="DWZ104" s="957"/>
      <c r="DXA104" s="957"/>
      <c r="DXB104" s="957"/>
      <c r="DXC104" s="957"/>
      <c r="DXD104" s="957"/>
      <c r="DXE104" s="957"/>
      <c r="DXF104" s="957"/>
      <c r="DXG104" s="957"/>
      <c r="DXH104" s="957"/>
      <c r="DXI104" s="957"/>
      <c r="DXJ104" s="957"/>
      <c r="DXK104" s="957"/>
      <c r="DXL104" s="957"/>
      <c r="DXM104" s="957"/>
      <c r="DXN104" s="957"/>
      <c r="DXO104" s="957"/>
      <c r="DXP104" s="957"/>
      <c r="DXQ104" s="957"/>
      <c r="DXR104" s="957"/>
      <c r="DXS104" s="957"/>
      <c r="DXT104" s="957"/>
      <c r="DXU104" s="957"/>
      <c r="DXV104" s="957"/>
      <c r="DXW104" s="957"/>
      <c r="DXX104" s="957"/>
      <c r="DXY104" s="957"/>
      <c r="DXZ104" s="957"/>
      <c r="DYA104" s="957"/>
      <c r="DYB104" s="957"/>
      <c r="DYC104" s="957"/>
      <c r="DYD104" s="957"/>
      <c r="DYE104" s="957"/>
      <c r="DYF104" s="957"/>
      <c r="DYG104" s="957"/>
      <c r="DYH104" s="957"/>
      <c r="DYI104" s="957"/>
      <c r="DYJ104" s="957"/>
      <c r="DYK104" s="957"/>
      <c r="DYL104" s="957"/>
      <c r="DYM104" s="957"/>
      <c r="DYN104" s="957"/>
      <c r="DYO104" s="957"/>
      <c r="DYP104" s="957"/>
      <c r="DYQ104" s="957"/>
      <c r="DYR104" s="957"/>
      <c r="DYS104" s="957"/>
      <c r="DYT104" s="957"/>
      <c r="DYU104" s="957"/>
      <c r="DYV104" s="957"/>
      <c r="DYW104" s="957"/>
      <c r="DYX104" s="957"/>
      <c r="DYY104" s="957"/>
      <c r="DYZ104" s="957"/>
      <c r="DZA104" s="957"/>
      <c r="DZB104" s="957"/>
      <c r="DZC104" s="957"/>
      <c r="DZD104" s="957"/>
      <c r="DZE104" s="957"/>
      <c r="DZF104" s="957"/>
      <c r="DZG104" s="957"/>
      <c r="DZH104" s="957"/>
      <c r="DZI104" s="957"/>
      <c r="DZJ104" s="957"/>
      <c r="DZK104" s="957"/>
      <c r="DZL104" s="957"/>
      <c r="DZM104" s="957"/>
      <c r="DZN104" s="957"/>
      <c r="DZO104" s="957"/>
      <c r="DZP104" s="957"/>
      <c r="DZQ104" s="957"/>
      <c r="DZR104" s="957"/>
      <c r="DZS104" s="957"/>
      <c r="DZT104" s="957"/>
      <c r="DZU104" s="957"/>
      <c r="DZV104" s="957"/>
      <c r="DZW104" s="957"/>
      <c r="DZX104" s="957"/>
      <c r="DZY104" s="957"/>
      <c r="DZZ104" s="957"/>
      <c r="EAA104" s="957"/>
      <c r="EAB104" s="957"/>
      <c r="EAC104" s="957"/>
      <c r="EAD104" s="957"/>
      <c r="EAE104" s="957"/>
      <c r="EAF104" s="957"/>
      <c r="EAG104" s="957"/>
      <c r="EAH104" s="957"/>
      <c r="EAI104" s="957"/>
      <c r="EAJ104" s="957"/>
      <c r="EAK104" s="957"/>
      <c r="EAL104" s="957"/>
      <c r="EAM104" s="957"/>
      <c r="EAN104" s="957"/>
      <c r="EAO104" s="957"/>
      <c r="EAP104" s="957"/>
      <c r="EAQ104" s="957"/>
      <c r="EAR104" s="957"/>
      <c r="EAS104" s="957"/>
      <c r="EAT104" s="957"/>
      <c r="EAU104" s="957"/>
      <c r="EAV104" s="957"/>
      <c r="EAW104" s="957"/>
      <c r="EAX104" s="957"/>
      <c r="EAY104" s="957"/>
      <c r="EAZ104" s="957"/>
      <c r="EBA104" s="957"/>
      <c r="EBB104" s="957"/>
      <c r="EBC104" s="957"/>
      <c r="EBD104" s="957"/>
      <c r="EBE104" s="957"/>
      <c r="EBF104" s="957"/>
      <c r="EBG104" s="957"/>
      <c r="EBH104" s="957"/>
      <c r="EBI104" s="957"/>
      <c r="EBJ104" s="957"/>
      <c r="EBK104" s="957"/>
      <c r="EBL104" s="957"/>
      <c r="EBM104" s="957"/>
      <c r="EBN104" s="957"/>
      <c r="EBO104" s="957"/>
      <c r="EBP104" s="957"/>
      <c r="EBQ104" s="957"/>
      <c r="EBR104" s="957"/>
      <c r="EBS104" s="957"/>
      <c r="EBT104" s="957"/>
      <c r="EBU104" s="957"/>
      <c r="EBV104" s="957"/>
      <c r="EBW104" s="957"/>
      <c r="EBX104" s="957"/>
      <c r="EBY104" s="957"/>
      <c r="EBZ104" s="957"/>
      <c r="ECA104" s="957"/>
      <c r="ECB104" s="957"/>
      <c r="ECC104" s="957"/>
      <c r="ECD104" s="957"/>
      <c r="ECE104" s="957"/>
      <c r="ECF104" s="957"/>
      <c r="ECG104" s="957"/>
      <c r="ECH104" s="957"/>
      <c r="ECI104" s="957"/>
      <c r="ECJ104" s="957"/>
      <c r="ECK104" s="957"/>
      <c r="ECL104" s="957"/>
      <c r="ECM104" s="957"/>
      <c r="ECN104" s="957"/>
      <c r="ECO104" s="957"/>
      <c r="ECP104" s="957"/>
      <c r="ECQ104" s="957"/>
      <c r="ECR104" s="957"/>
      <c r="ECS104" s="957"/>
      <c r="ECT104" s="957"/>
      <c r="ECU104" s="957"/>
      <c r="ECV104" s="957"/>
      <c r="ECW104" s="957"/>
      <c r="ECX104" s="957"/>
      <c r="ECY104" s="957"/>
      <c r="ECZ104" s="957"/>
      <c r="EDA104" s="957"/>
      <c r="EDB104" s="957"/>
      <c r="EDC104" s="957"/>
      <c r="EDD104" s="957"/>
      <c r="EDE104" s="957"/>
      <c r="EDF104" s="957"/>
      <c r="EDG104" s="957"/>
      <c r="EDH104" s="957"/>
      <c r="EDI104" s="957"/>
      <c r="EDJ104" s="957"/>
      <c r="EDK104" s="957"/>
      <c r="EDL104" s="957"/>
      <c r="EDM104" s="957"/>
      <c r="EDN104" s="957"/>
      <c r="EDO104" s="957"/>
      <c r="EDP104" s="957"/>
      <c r="EDQ104" s="957"/>
      <c r="EDR104" s="957"/>
      <c r="EDS104" s="957"/>
      <c r="EDT104" s="957"/>
      <c r="EDU104" s="957"/>
      <c r="EDV104" s="957"/>
      <c r="EDW104" s="957"/>
      <c r="EDX104" s="957"/>
      <c r="EDY104" s="957"/>
      <c r="EDZ104" s="957"/>
      <c r="EEA104" s="957"/>
      <c r="EEB104" s="957"/>
      <c r="EEC104" s="957"/>
      <c r="EED104" s="957"/>
      <c r="EEE104" s="957"/>
      <c r="EEF104" s="957"/>
      <c r="EEG104" s="957"/>
      <c r="EEH104" s="957"/>
      <c r="EEI104" s="957"/>
      <c r="EEJ104" s="957"/>
      <c r="EEK104" s="957"/>
      <c r="EEL104" s="957"/>
      <c r="EEM104" s="957"/>
      <c r="EEN104" s="957"/>
      <c r="EEO104" s="957"/>
      <c r="EEP104" s="957"/>
      <c r="EEQ104" s="957"/>
      <c r="EER104" s="957"/>
      <c r="EES104" s="957"/>
      <c r="EET104" s="957"/>
      <c r="EEU104" s="957"/>
      <c r="EEV104" s="957"/>
      <c r="EEW104" s="957"/>
      <c r="EEX104" s="957"/>
      <c r="EEY104" s="957"/>
      <c r="EEZ104" s="957"/>
      <c r="EFA104" s="957"/>
      <c r="EFB104" s="957"/>
      <c r="EFC104" s="957"/>
      <c r="EFD104" s="957"/>
      <c r="EFE104" s="957"/>
      <c r="EFF104" s="957"/>
      <c r="EFG104" s="957"/>
      <c r="EFH104" s="957"/>
      <c r="EFI104" s="957"/>
      <c r="EFJ104" s="957"/>
      <c r="EFK104" s="957"/>
      <c r="EFL104" s="957"/>
      <c r="EFM104" s="957"/>
      <c r="EFN104" s="957"/>
      <c r="EFO104" s="957"/>
      <c r="EFP104" s="957"/>
      <c r="EFQ104" s="957"/>
      <c r="EFR104" s="957"/>
      <c r="EFS104" s="957"/>
      <c r="EFT104" s="957"/>
      <c r="EFU104" s="957"/>
      <c r="EFV104" s="957"/>
      <c r="EFW104" s="957"/>
      <c r="EFX104" s="957"/>
      <c r="EFY104" s="957"/>
      <c r="EFZ104" s="957"/>
      <c r="EGA104" s="957"/>
      <c r="EGB104" s="957"/>
      <c r="EGC104" s="957"/>
      <c r="EGD104" s="957"/>
      <c r="EGE104" s="957"/>
      <c r="EGF104" s="957"/>
      <c r="EGG104" s="957"/>
      <c r="EGH104" s="957"/>
      <c r="EGI104" s="957"/>
      <c r="EGJ104" s="957"/>
      <c r="EGK104" s="957"/>
      <c r="EGL104" s="957"/>
      <c r="EGM104" s="957"/>
      <c r="EGN104" s="957"/>
      <c r="EGO104" s="957"/>
      <c r="EGP104" s="957"/>
      <c r="EGQ104" s="957"/>
      <c r="EGR104" s="957"/>
      <c r="EGS104" s="957"/>
      <c r="EGT104" s="957"/>
      <c r="EGU104" s="957"/>
      <c r="EGV104" s="957"/>
      <c r="EGW104" s="957"/>
      <c r="EGX104" s="957"/>
      <c r="EGY104" s="957"/>
      <c r="EGZ104" s="957"/>
      <c r="EHA104" s="957"/>
      <c r="EHB104" s="957"/>
      <c r="EHC104" s="957"/>
      <c r="EHD104" s="957"/>
      <c r="EHE104" s="957"/>
      <c r="EHF104" s="957"/>
      <c r="EHG104" s="957"/>
      <c r="EHH104" s="957"/>
      <c r="EHI104" s="957"/>
      <c r="EHJ104" s="957"/>
      <c r="EHK104" s="957"/>
      <c r="EHL104" s="957"/>
      <c r="EHM104" s="957"/>
      <c r="EHN104" s="957"/>
      <c r="EHO104" s="957"/>
      <c r="EHP104" s="957"/>
      <c r="EHQ104" s="957"/>
      <c r="EHR104" s="957"/>
      <c r="EHS104" s="957"/>
      <c r="EHT104" s="957"/>
      <c r="EHU104" s="957"/>
      <c r="EHV104" s="957"/>
      <c r="EHW104" s="957"/>
      <c r="EHX104" s="957"/>
      <c r="EHY104" s="957"/>
      <c r="EHZ104" s="957"/>
      <c r="EIA104" s="957"/>
      <c r="EIB104" s="957"/>
      <c r="EIC104" s="957"/>
      <c r="EID104" s="957"/>
      <c r="EIE104" s="957"/>
      <c r="EIF104" s="957"/>
      <c r="EIG104" s="957"/>
      <c r="EIH104" s="957"/>
      <c r="EII104" s="957"/>
      <c r="EIJ104" s="957"/>
      <c r="EIK104" s="957"/>
      <c r="EIL104" s="957"/>
      <c r="EIM104" s="957"/>
      <c r="EIN104" s="957"/>
      <c r="EIO104" s="957"/>
      <c r="EIP104" s="957"/>
      <c r="EIQ104" s="957"/>
      <c r="EIR104" s="957"/>
      <c r="EIS104" s="957"/>
      <c r="EIT104" s="957"/>
      <c r="EIU104" s="957"/>
      <c r="EIV104" s="957"/>
      <c r="EIW104" s="957"/>
      <c r="EIX104" s="957"/>
      <c r="EIY104" s="957"/>
      <c r="EIZ104" s="957"/>
      <c r="EJA104" s="957"/>
      <c r="EJB104" s="957"/>
      <c r="EJC104" s="957"/>
      <c r="EJD104" s="957"/>
      <c r="EJE104" s="957"/>
      <c r="EJF104" s="957"/>
      <c r="EJG104" s="957"/>
      <c r="EJH104" s="957"/>
      <c r="EJI104" s="957"/>
      <c r="EJJ104" s="957"/>
      <c r="EJK104" s="957"/>
      <c r="EJL104" s="957"/>
      <c r="EJM104" s="957"/>
      <c r="EJN104" s="957"/>
      <c r="EJO104" s="957"/>
      <c r="EJP104" s="957"/>
      <c r="EJQ104" s="957"/>
      <c r="EJR104" s="957"/>
      <c r="EJS104" s="957"/>
      <c r="EJT104" s="957"/>
      <c r="EJU104" s="957"/>
      <c r="EJV104" s="957"/>
      <c r="EJW104" s="957"/>
      <c r="EJX104" s="957"/>
      <c r="EJY104" s="957"/>
      <c r="EJZ104" s="957"/>
      <c r="EKA104" s="957"/>
      <c r="EKB104" s="957"/>
      <c r="EKC104" s="957"/>
      <c r="EKD104" s="957"/>
      <c r="EKE104" s="957"/>
      <c r="EKF104" s="957"/>
      <c r="EKG104" s="957"/>
      <c r="EKH104" s="957"/>
      <c r="EKI104" s="957"/>
      <c r="EKJ104" s="957"/>
      <c r="EKK104" s="957"/>
      <c r="EKL104" s="957"/>
      <c r="EKM104" s="957"/>
      <c r="EKN104" s="957"/>
      <c r="EKO104" s="957"/>
      <c r="EKP104" s="957"/>
      <c r="EKQ104" s="957"/>
      <c r="EKR104" s="957"/>
      <c r="EKS104" s="957"/>
      <c r="EKT104" s="957"/>
      <c r="EKU104" s="957"/>
      <c r="EKV104" s="957"/>
      <c r="EKW104" s="957"/>
      <c r="EKX104" s="957"/>
      <c r="EKY104" s="957"/>
      <c r="EKZ104" s="957"/>
      <c r="ELA104" s="957"/>
      <c r="ELB104" s="957"/>
      <c r="ELC104" s="957"/>
      <c r="ELD104" s="957"/>
      <c r="ELE104" s="957"/>
      <c r="ELF104" s="957"/>
      <c r="ELG104" s="957"/>
      <c r="ELH104" s="957"/>
      <c r="ELI104" s="957"/>
      <c r="ELJ104" s="957"/>
      <c r="ELK104" s="957"/>
      <c r="ELL104" s="957"/>
      <c r="ELM104" s="957"/>
      <c r="ELN104" s="957"/>
      <c r="ELO104" s="957"/>
      <c r="ELP104" s="957"/>
      <c r="ELQ104" s="957"/>
      <c r="ELR104" s="957"/>
      <c r="ELS104" s="957"/>
      <c r="ELT104" s="957"/>
      <c r="ELU104" s="957"/>
      <c r="ELV104" s="957"/>
      <c r="ELW104" s="957"/>
      <c r="ELX104" s="957"/>
      <c r="ELY104" s="957"/>
      <c r="ELZ104" s="957"/>
      <c r="EMA104" s="957"/>
      <c r="EMB104" s="957"/>
      <c r="EMC104" s="957"/>
      <c r="EMD104" s="957"/>
      <c r="EME104" s="957"/>
      <c r="EMF104" s="957"/>
      <c r="EMG104" s="957"/>
      <c r="EMH104" s="957"/>
      <c r="EMI104" s="957"/>
      <c r="EMJ104" s="957"/>
      <c r="EMK104" s="957"/>
      <c r="EML104" s="957"/>
      <c r="EMM104" s="957"/>
      <c r="EMN104" s="957"/>
      <c r="EMO104" s="957"/>
      <c r="EMP104" s="957"/>
      <c r="EMQ104" s="957"/>
      <c r="EMR104" s="957"/>
      <c r="EMS104" s="957"/>
      <c r="EMT104" s="957"/>
      <c r="EMU104" s="957"/>
      <c r="EMV104" s="957"/>
      <c r="EMW104" s="957"/>
      <c r="EMX104" s="957"/>
      <c r="EMY104" s="957"/>
      <c r="EMZ104" s="957"/>
      <c r="ENA104" s="957"/>
      <c r="ENB104" s="957"/>
      <c r="ENC104" s="957"/>
      <c r="END104" s="957"/>
      <c r="ENE104" s="957"/>
      <c r="ENF104" s="957"/>
      <c r="ENG104" s="957"/>
      <c r="ENH104" s="957"/>
      <c r="ENI104" s="957"/>
      <c r="ENJ104" s="957"/>
      <c r="ENK104" s="957"/>
      <c r="ENL104" s="957"/>
      <c r="ENM104" s="957"/>
      <c r="ENN104" s="957"/>
      <c r="ENO104" s="957"/>
      <c r="ENP104" s="957"/>
      <c r="ENQ104" s="957"/>
      <c r="ENR104" s="957"/>
      <c r="ENS104" s="957"/>
      <c r="ENT104" s="957"/>
      <c r="ENU104" s="957"/>
      <c r="ENV104" s="957"/>
      <c r="ENW104" s="957"/>
      <c r="ENX104" s="957"/>
      <c r="ENY104" s="957"/>
      <c r="ENZ104" s="957"/>
      <c r="EOA104" s="957"/>
      <c r="EOB104" s="957"/>
      <c r="EOC104" s="957"/>
      <c r="EOD104" s="957"/>
      <c r="EOE104" s="957"/>
      <c r="EOF104" s="957"/>
      <c r="EOG104" s="957"/>
      <c r="EOH104" s="957"/>
      <c r="EOI104" s="957"/>
      <c r="EOJ104" s="957"/>
      <c r="EOK104" s="957"/>
      <c r="EOL104" s="957"/>
      <c r="EOM104" s="957"/>
      <c r="EON104" s="957"/>
      <c r="EOO104" s="957"/>
      <c r="EOP104" s="957"/>
      <c r="EOQ104" s="957"/>
      <c r="EOR104" s="957"/>
      <c r="EOS104" s="957"/>
      <c r="EOT104" s="957"/>
      <c r="EOU104" s="957"/>
      <c r="EOV104" s="957"/>
      <c r="EOW104" s="957"/>
      <c r="EOX104" s="957"/>
      <c r="EOY104" s="957"/>
      <c r="EOZ104" s="957"/>
      <c r="EPA104" s="957"/>
      <c r="EPB104" s="957"/>
      <c r="EPC104" s="957"/>
      <c r="EPD104" s="957"/>
      <c r="EPE104" s="957"/>
      <c r="EPF104" s="957"/>
      <c r="EPG104" s="957"/>
      <c r="EPH104" s="957"/>
      <c r="EPI104" s="957"/>
      <c r="EPJ104" s="957"/>
      <c r="EPK104" s="957"/>
      <c r="EPL104" s="957"/>
      <c r="EPM104" s="957"/>
      <c r="EPN104" s="957"/>
      <c r="EPO104" s="957"/>
      <c r="EPP104" s="957"/>
      <c r="EPQ104" s="957"/>
      <c r="EPR104" s="957"/>
      <c r="EPS104" s="957"/>
      <c r="EPT104" s="957"/>
      <c r="EPU104" s="957"/>
      <c r="EPV104" s="957"/>
      <c r="EPW104" s="957"/>
      <c r="EPX104" s="957"/>
      <c r="EPY104" s="957"/>
      <c r="EPZ104" s="957"/>
      <c r="EQA104" s="957"/>
      <c r="EQB104" s="957"/>
      <c r="EQC104" s="957"/>
      <c r="EQD104" s="957"/>
      <c r="EQE104" s="957"/>
      <c r="EQF104" s="957"/>
      <c r="EQG104" s="957"/>
      <c r="EQH104" s="957"/>
      <c r="EQI104" s="957"/>
      <c r="EQJ104" s="957"/>
      <c r="EQK104" s="957"/>
      <c r="EQL104" s="957"/>
      <c r="EQM104" s="957"/>
      <c r="EQN104" s="957"/>
      <c r="EQO104" s="957"/>
      <c r="EQP104" s="957"/>
      <c r="EQQ104" s="957"/>
      <c r="EQR104" s="957"/>
      <c r="EQS104" s="957"/>
      <c r="EQT104" s="957"/>
      <c r="EQU104" s="957"/>
      <c r="EQV104" s="957"/>
      <c r="EQW104" s="957"/>
      <c r="EQX104" s="957"/>
      <c r="EQY104" s="957"/>
      <c r="EQZ104" s="957"/>
      <c r="ERA104" s="957"/>
      <c r="ERB104" s="957"/>
      <c r="ERC104" s="957"/>
      <c r="ERD104" s="957"/>
      <c r="ERE104" s="957"/>
      <c r="ERF104" s="957"/>
      <c r="ERG104" s="957"/>
      <c r="ERH104" s="957"/>
      <c r="ERI104" s="957"/>
      <c r="ERJ104" s="957"/>
      <c r="ERK104" s="957"/>
      <c r="ERL104" s="957"/>
      <c r="ERM104" s="957"/>
      <c r="ERN104" s="957"/>
      <c r="ERO104" s="957"/>
      <c r="ERP104" s="957"/>
      <c r="ERQ104" s="957"/>
      <c r="ERR104" s="957"/>
      <c r="ERS104" s="957"/>
      <c r="ERT104" s="957"/>
      <c r="ERU104" s="957"/>
      <c r="ERV104" s="957"/>
      <c r="ERW104" s="957"/>
      <c r="ERX104" s="957"/>
      <c r="ERY104" s="957"/>
      <c r="ERZ104" s="957"/>
      <c r="ESA104" s="957"/>
      <c r="ESB104" s="957"/>
      <c r="ESC104" s="957"/>
      <c r="ESD104" s="957"/>
      <c r="ESE104" s="957"/>
      <c r="ESF104" s="957"/>
      <c r="ESG104" s="957"/>
      <c r="ESH104" s="957"/>
      <c r="ESI104" s="957"/>
      <c r="ESJ104" s="957"/>
      <c r="ESK104" s="957"/>
      <c r="ESL104" s="957"/>
      <c r="ESM104" s="957"/>
      <c r="ESN104" s="957"/>
      <c r="ESO104" s="957"/>
      <c r="ESP104" s="957"/>
      <c r="ESQ104" s="957"/>
      <c r="ESR104" s="957"/>
      <c r="ESS104" s="957"/>
      <c r="EST104" s="957"/>
      <c r="ESU104" s="957"/>
      <c r="ESV104" s="957"/>
      <c r="ESW104" s="957"/>
      <c r="ESX104" s="957"/>
      <c r="ESY104" s="957"/>
      <c r="ESZ104" s="957"/>
      <c r="ETA104" s="957"/>
      <c r="ETB104" s="957"/>
      <c r="ETC104" s="957"/>
      <c r="ETD104" s="957"/>
      <c r="ETE104" s="957"/>
      <c r="ETF104" s="957"/>
      <c r="ETG104" s="957"/>
      <c r="ETH104" s="957"/>
      <c r="ETI104" s="957"/>
      <c r="ETJ104" s="957"/>
      <c r="ETK104" s="957"/>
      <c r="ETL104" s="957"/>
      <c r="ETM104" s="957"/>
      <c r="ETN104" s="957"/>
      <c r="ETO104" s="957"/>
      <c r="ETP104" s="957"/>
      <c r="ETQ104" s="957"/>
      <c r="ETR104" s="957"/>
      <c r="ETS104" s="957"/>
      <c r="ETT104" s="957"/>
      <c r="ETU104" s="957"/>
      <c r="ETV104" s="957"/>
      <c r="ETW104" s="957"/>
      <c r="ETX104" s="957"/>
      <c r="ETY104" s="957"/>
      <c r="ETZ104" s="957"/>
      <c r="EUA104" s="957"/>
      <c r="EUB104" s="957"/>
      <c r="EUC104" s="957"/>
      <c r="EUD104" s="957"/>
      <c r="EUE104" s="957"/>
      <c r="EUF104" s="957"/>
      <c r="EUG104" s="957"/>
      <c r="EUH104" s="957"/>
      <c r="EUI104" s="957"/>
      <c r="EUJ104" s="957"/>
      <c r="EUK104" s="957"/>
      <c r="EUL104" s="957"/>
      <c r="EUM104" s="957"/>
      <c r="EUN104" s="957"/>
      <c r="EUO104" s="957"/>
      <c r="EUP104" s="957"/>
      <c r="EUQ104" s="957"/>
      <c r="EUR104" s="957"/>
      <c r="EUS104" s="957"/>
      <c r="EUT104" s="957"/>
      <c r="EUU104" s="957"/>
      <c r="EUV104" s="957"/>
      <c r="EUW104" s="957"/>
      <c r="EUX104" s="957"/>
      <c r="EUY104" s="957"/>
      <c r="EUZ104" s="957"/>
      <c r="EVA104" s="957"/>
      <c r="EVB104" s="957"/>
      <c r="EVC104" s="957"/>
      <c r="EVD104" s="957"/>
      <c r="EVE104" s="957"/>
      <c r="EVF104" s="957"/>
      <c r="EVG104" s="957"/>
      <c r="EVH104" s="957"/>
      <c r="EVI104" s="957"/>
      <c r="EVJ104" s="957"/>
      <c r="EVK104" s="957"/>
      <c r="EVL104" s="957"/>
      <c r="EVM104" s="957"/>
      <c r="EVN104" s="957"/>
      <c r="EVO104" s="957"/>
      <c r="EVP104" s="957"/>
      <c r="EVQ104" s="957"/>
      <c r="EVR104" s="957"/>
      <c r="EVS104" s="957"/>
      <c r="EVT104" s="957"/>
      <c r="EVU104" s="957"/>
      <c r="EVV104" s="957"/>
      <c r="EVW104" s="957"/>
      <c r="EVX104" s="957"/>
      <c r="EVY104" s="957"/>
      <c r="EVZ104" s="957"/>
      <c r="EWA104" s="957"/>
      <c r="EWB104" s="957"/>
      <c r="EWC104" s="957"/>
      <c r="EWD104" s="957"/>
      <c r="EWE104" s="957"/>
      <c r="EWF104" s="957"/>
      <c r="EWG104" s="957"/>
      <c r="EWH104" s="957"/>
      <c r="EWI104" s="957"/>
      <c r="EWJ104" s="957"/>
      <c r="EWK104" s="957"/>
      <c r="EWL104" s="957"/>
      <c r="EWM104" s="957"/>
      <c r="EWN104" s="957"/>
      <c r="EWO104" s="957"/>
      <c r="EWP104" s="957"/>
      <c r="EWQ104" s="957"/>
      <c r="EWR104" s="957"/>
      <c r="EWS104" s="957"/>
      <c r="EWT104" s="957"/>
      <c r="EWU104" s="957"/>
      <c r="EWV104" s="957"/>
      <c r="EWW104" s="957"/>
      <c r="EWX104" s="957"/>
      <c r="EWY104" s="957"/>
      <c r="EWZ104" s="957"/>
      <c r="EXA104" s="957"/>
      <c r="EXB104" s="957"/>
      <c r="EXC104" s="957"/>
      <c r="EXD104" s="957"/>
      <c r="EXE104" s="957"/>
      <c r="EXF104" s="957"/>
      <c r="EXG104" s="957"/>
      <c r="EXH104" s="957"/>
      <c r="EXI104" s="957"/>
      <c r="EXJ104" s="957"/>
      <c r="EXK104" s="957"/>
      <c r="EXL104" s="957"/>
      <c r="EXM104" s="957"/>
      <c r="EXN104" s="957"/>
      <c r="EXO104" s="957"/>
      <c r="EXP104" s="957"/>
      <c r="EXQ104" s="957"/>
      <c r="EXR104" s="957"/>
      <c r="EXS104" s="957"/>
      <c r="EXT104" s="957"/>
      <c r="EXU104" s="957"/>
      <c r="EXV104" s="957"/>
      <c r="EXW104" s="957"/>
      <c r="EXX104" s="957"/>
      <c r="EXY104" s="957"/>
      <c r="EXZ104" s="957"/>
      <c r="EYA104" s="957"/>
      <c r="EYB104" s="957"/>
      <c r="EYC104" s="957"/>
      <c r="EYD104" s="957"/>
      <c r="EYE104" s="957"/>
      <c r="EYF104" s="957"/>
      <c r="EYG104" s="957"/>
      <c r="EYH104" s="957"/>
      <c r="EYI104" s="957"/>
      <c r="EYJ104" s="957"/>
      <c r="EYK104" s="957"/>
      <c r="EYL104" s="957"/>
      <c r="EYM104" s="957"/>
      <c r="EYN104" s="957"/>
      <c r="EYO104" s="957"/>
      <c r="EYP104" s="957"/>
      <c r="EYQ104" s="957"/>
      <c r="EYR104" s="957"/>
      <c r="EYS104" s="957"/>
      <c r="EYT104" s="957"/>
      <c r="EYU104" s="957"/>
      <c r="EYV104" s="957"/>
      <c r="EYW104" s="957"/>
      <c r="EYX104" s="957"/>
      <c r="EYY104" s="957"/>
      <c r="EYZ104" s="957"/>
      <c r="EZA104" s="957"/>
      <c r="EZB104" s="957"/>
      <c r="EZC104" s="957"/>
      <c r="EZD104" s="957"/>
      <c r="EZE104" s="957"/>
      <c r="EZF104" s="957"/>
      <c r="EZG104" s="957"/>
      <c r="EZH104" s="957"/>
      <c r="EZI104" s="957"/>
      <c r="EZJ104" s="957"/>
      <c r="EZK104" s="957"/>
      <c r="EZL104" s="957"/>
      <c r="EZM104" s="957"/>
      <c r="EZN104" s="957"/>
      <c r="EZO104" s="957"/>
      <c r="EZP104" s="957"/>
      <c r="EZQ104" s="957"/>
      <c r="EZR104" s="957"/>
      <c r="EZS104" s="957"/>
      <c r="EZT104" s="957"/>
      <c r="EZU104" s="957"/>
      <c r="EZV104" s="957"/>
      <c r="EZW104" s="957"/>
      <c r="EZX104" s="957"/>
      <c r="EZY104" s="957"/>
      <c r="EZZ104" s="957"/>
      <c r="FAA104" s="957"/>
      <c r="FAB104" s="957"/>
      <c r="FAC104" s="957"/>
      <c r="FAD104" s="957"/>
      <c r="FAE104" s="957"/>
      <c r="FAF104" s="957"/>
      <c r="FAG104" s="957"/>
      <c r="FAH104" s="957"/>
      <c r="FAI104" s="957"/>
      <c r="FAJ104" s="957"/>
      <c r="FAK104" s="957"/>
      <c r="FAL104" s="957"/>
      <c r="FAM104" s="957"/>
      <c r="FAN104" s="957"/>
      <c r="FAO104" s="957"/>
      <c r="FAP104" s="957"/>
      <c r="FAQ104" s="957"/>
      <c r="FAR104" s="957"/>
      <c r="FAS104" s="957"/>
      <c r="FAT104" s="957"/>
      <c r="FAU104" s="957"/>
      <c r="FAV104" s="957"/>
      <c r="FAW104" s="957"/>
      <c r="FAX104" s="957"/>
      <c r="FAY104" s="957"/>
      <c r="FAZ104" s="957"/>
      <c r="FBA104" s="957"/>
      <c r="FBB104" s="957"/>
      <c r="FBC104" s="957"/>
      <c r="FBD104" s="957"/>
      <c r="FBE104" s="957"/>
      <c r="FBF104" s="957"/>
      <c r="FBG104" s="957"/>
      <c r="FBH104" s="957"/>
      <c r="FBI104" s="957"/>
      <c r="FBJ104" s="957"/>
      <c r="FBK104" s="957"/>
      <c r="FBL104" s="957"/>
      <c r="FBM104" s="957"/>
      <c r="FBN104" s="957"/>
      <c r="FBO104" s="957"/>
      <c r="FBP104" s="957"/>
      <c r="FBQ104" s="957"/>
      <c r="FBR104" s="957"/>
      <c r="FBS104" s="957"/>
      <c r="FBT104" s="957"/>
      <c r="FBU104" s="957"/>
      <c r="FBV104" s="957"/>
      <c r="FBW104" s="957"/>
      <c r="FBX104" s="957"/>
      <c r="FBY104" s="957"/>
      <c r="FBZ104" s="957"/>
      <c r="FCA104" s="957"/>
      <c r="FCB104" s="957"/>
      <c r="FCC104" s="957"/>
      <c r="FCD104" s="957"/>
      <c r="FCE104" s="957"/>
      <c r="FCF104" s="957"/>
      <c r="FCG104" s="957"/>
      <c r="FCH104" s="957"/>
      <c r="FCI104" s="957"/>
      <c r="FCJ104" s="957"/>
      <c r="FCK104" s="957"/>
      <c r="FCL104" s="957"/>
      <c r="FCM104" s="957"/>
      <c r="FCN104" s="957"/>
      <c r="FCO104" s="957"/>
      <c r="FCP104" s="957"/>
      <c r="FCQ104" s="957"/>
      <c r="FCR104" s="957"/>
      <c r="FCS104" s="957"/>
      <c r="FCT104" s="957"/>
      <c r="FCU104" s="957"/>
      <c r="FCV104" s="957"/>
      <c r="FCW104" s="957"/>
      <c r="FCX104" s="957"/>
      <c r="FCY104" s="957"/>
      <c r="FCZ104" s="957"/>
      <c r="FDA104" s="957"/>
      <c r="FDB104" s="957"/>
      <c r="FDC104" s="957"/>
      <c r="FDD104" s="957"/>
      <c r="FDE104" s="957"/>
      <c r="FDF104" s="957"/>
      <c r="FDG104" s="957"/>
      <c r="FDH104" s="957"/>
      <c r="FDI104" s="957"/>
      <c r="FDJ104" s="957"/>
      <c r="FDK104" s="957"/>
      <c r="FDL104" s="957"/>
      <c r="FDM104" s="957"/>
      <c r="FDN104" s="957"/>
      <c r="FDO104" s="957"/>
      <c r="FDP104" s="957"/>
      <c r="FDQ104" s="957"/>
      <c r="FDR104" s="957"/>
      <c r="FDS104" s="957"/>
      <c r="FDT104" s="957"/>
      <c r="FDU104" s="957"/>
      <c r="FDV104" s="957"/>
      <c r="FDW104" s="957"/>
      <c r="FDX104" s="957"/>
      <c r="FDY104" s="957"/>
      <c r="FDZ104" s="957"/>
      <c r="FEA104" s="957"/>
      <c r="FEB104" s="957"/>
      <c r="FEC104" s="957"/>
      <c r="FED104" s="957"/>
      <c r="FEE104" s="957"/>
      <c r="FEF104" s="957"/>
      <c r="FEG104" s="957"/>
      <c r="FEH104" s="957"/>
      <c r="FEI104" s="957"/>
      <c r="FEJ104" s="957"/>
      <c r="FEK104" s="957"/>
      <c r="FEL104" s="957"/>
      <c r="FEM104" s="957"/>
      <c r="FEN104" s="957"/>
      <c r="FEO104" s="957"/>
      <c r="FEP104" s="957"/>
      <c r="FEQ104" s="957"/>
      <c r="FER104" s="957"/>
      <c r="FES104" s="957"/>
      <c r="FET104" s="957"/>
      <c r="FEU104" s="957"/>
      <c r="FEV104" s="957"/>
      <c r="FEW104" s="957"/>
      <c r="FEX104" s="957"/>
      <c r="FEY104" s="957"/>
      <c r="FEZ104" s="957"/>
      <c r="FFA104" s="957"/>
      <c r="FFB104" s="957"/>
      <c r="FFC104" s="957"/>
      <c r="FFD104" s="957"/>
      <c r="FFE104" s="957"/>
      <c r="FFF104" s="957"/>
      <c r="FFG104" s="957"/>
      <c r="FFH104" s="957"/>
      <c r="FFI104" s="957"/>
      <c r="FFJ104" s="957"/>
      <c r="FFK104" s="957"/>
      <c r="FFL104" s="957"/>
      <c r="FFM104" s="957"/>
      <c r="FFN104" s="957"/>
      <c r="FFO104" s="957"/>
      <c r="FFP104" s="957"/>
      <c r="FFQ104" s="957"/>
      <c r="FFR104" s="957"/>
      <c r="FFS104" s="957"/>
      <c r="FFT104" s="957"/>
      <c r="FFU104" s="957"/>
      <c r="FFV104" s="957"/>
      <c r="FFW104" s="957"/>
      <c r="FFX104" s="957"/>
      <c r="FFY104" s="957"/>
      <c r="FFZ104" s="957"/>
      <c r="FGA104" s="957"/>
      <c r="FGB104" s="957"/>
      <c r="FGC104" s="957"/>
      <c r="FGD104" s="957"/>
      <c r="FGE104" s="957"/>
      <c r="FGF104" s="957"/>
      <c r="FGG104" s="957"/>
      <c r="FGH104" s="957"/>
      <c r="FGI104" s="957"/>
      <c r="FGJ104" s="957"/>
      <c r="FGK104" s="957"/>
      <c r="FGL104" s="957"/>
      <c r="FGM104" s="957"/>
      <c r="FGN104" s="957"/>
      <c r="FGO104" s="957"/>
      <c r="FGP104" s="957"/>
      <c r="FGQ104" s="957"/>
      <c r="FGR104" s="957"/>
      <c r="FGS104" s="957"/>
      <c r="FGT104" s="957"/>
      <c r="FGU104" s="957"/>
      <c r="FGV104" s="957"/>
      <c r="FGW104" s="957"/>
      <c r="FGX104" s="957"/>
      <c r="FGY104" s="957"/>
      <c r="FGZ104" s="957"/>
      <c r="FHA104" s="957"/>
      <c r="FHB104" s="957"/>
      <c r="FHC104" s="957"/>
      <c r="FHD104" s="957"/>
      <c r="FHE104" s="957"/>
      <c r="FHF104" s="957"/>
      <c r="FHG104" s="957"/>
      <c r="FHH104" s="957"/>
      <c r="FHI104" s="957"/>
      <c r="FHJ104" s="957"/>
      <c r="FHK104" s="957"/>
      <c r="FHL104" s="957"/>
      <c r="FHM104" s="957"/>
      <c r="FHN104" s="957"/>
      <c r="FHO104" s="957"/>
      <c r="FHP104" s="957"/>
      <c r="FHQ104" s="957"/>
      <c r="FHR104" s="957"/>
      <c r="FHS104" s="957"/>
      <c r="FHT104" s="957"/>
      <c r="FHU104" s="957"/>
      <c r="FHV104" s="957"/>
      <c r="FHW104" s="957"/>
      <c r="FHX104" s="957"/>
      <c r="FHY104" s="957"/>
      <c r="FHZ104" s="957"/>
      <c r="FIA104" s="957"/>
      <c r="FIB104" s="957"/>
      <c r="FIC104" s="957"/>
      <c r="FID104" s="957"/>
      <c r="FIE104" s="957"/>
      <c r="FIF104" s="957"/>
      <c r="FIG104" s="957"/>
      <c r="FIH104" s="957"/>
      <c r="FII104" s="957"/>
      <c r="FIJ104" s="957"/>
      <c r="FIK104" s="957"/>
      <c r="FIL104" s="957"/>
      <c r="FIM104" s="957"/>
      <c r="FIN104" s="957"/>
      <c r="FIO104" s="957"/>
      <c r="FIP104" s="957"/>
      <c r="FIQ104" s="957"/>
      <c r="FIR104" s="957"/>
      <c r="FIS104" s="957"/>
      <c r="FIT104" s="957"/>
      <c r="FIU104" s="957"/>
      <c r="FIV104" s="957"/>
      <c r="FIW104" s="957"/>
      <c r="FIX104" s="957"/>
      <c r="FIY104" s="957"/>
      <c r="FIZ104" s="957"/>
      <c r="FJA104" s="957"/>
      <c r="FJB104" s="957"/>
      <c r="FJC104" s="957"/>
      <c r="FJD104" s="957"/>
      <c r="FJE104" s="957"/>
      <c r="FJF104" s="957"/>
      <c r="FJG104" s="957"/>
      <c r="FJH104" s="957"/>
      <c r="FJI104" s="957"/>
      <c r="FJJ104" s="957"/>
      <c r="FJK104" s="957"/>
      <c r="FJL104" s="957"/>
      <c r="FJM104" s="957"/>
      <c r="FJN104" s="957"/>
      <c r="FJO104" s="957"/>
      <c r="FJP104" s="957"/>
      <c r="FJQ104" s="957"/>
      <c r="FJR104" s="957"/>
      <c r="FJS104" s="957"/>
      <c r="FJT104" s="957"/>
      <c r="FJU104" s="957"/>
      <c r="FJV104" s="957"/>
      <c r="FJW104" s="957"/>
      <c r="FJX104" s="957"/>
      <c r="FJY104" s="957"/>
      <c r="FJZ104" s="957"/>
      <c r="FKA104" s="957"/>
      <c r="FKB104" s="957"/>
      <c r="FKC104" s="957"/>
      <c r="FKD104" s="957"/>
      <c r="FKE104" s="957"/>
      <c r="FKF104" s="957"/>
      <c r="FKG104" s="957"/>
      <c r="FKH104" s="957"/>
      <c r="FKI104" s="957"/>
      <c r="FKJ104" s="957"/>
      <c r="FKK104" s="957"/>
      <c r="FKL104" s="957"/>
      <c r="FKM104" s="957"/>
      <c r="FKN104" s="957"/>
      <c r="FKO104" s="957"/>
      <c r="FKP104" s="957"/>
      <c r="FKQ104" s="957"/>
      <c r="FKR104" s="957"/>
      <c r="FKS104" s="957"/>
      <c r="FKT104" s="957"/>
      <c r="FKU104" s="957"/>
      <c r="FKV104" s="957"/>
      <c r="FKW104" s="957"/>
      <c r="FKX104" s="957"/>
      <c r="FKY104" s="957"/>
      <c r="FKZ104" s="957"/>
      <c r="FLA104" s="957"/>
      <c r="FLB104" s="957"/>
      <c r="FLC104" s="957"/>
      <c r="FLD104" s="957"/>
      <c r="FLE104" s="957"/>
      <c r="FLF104" s="957"/>
      <c r="FLG104" s="957"/>
      <c r="FLH104" s="957"/>
      <c r="FLI104" s="957"/>
      <c r="FLJ104" s="957"/>
      <c r="FLK104" s="957"/>
      <c r="FLL104" s="957"/>
      <c r="FLM104" s="957"/>
      <c r="FLN104" s="957"/>
      <c r="FLO104" s="957"/>
      <c r="FLP104" s="957"/>
      <c r="FLQ104" s="957"/>
      <c r="FLR104" s="957"/>
      <c r="FLS104" s="957"/>
      <c r="FLT104" s="957"/>
      <c r="FLU104" s="957"/>
      <c r="FLV104" s="957"/>
      <c r="FLW104" s="957"/>
      <c r="FLX104" s="957"/>
      <c r="FLY104" s="957"/>
      <c r="FLZ104" s="957"/>
      <c r="FMA104" s="957"/>
      <c r="FMB104" s="957"/>
      <c r="FMC104" s="957"/>
      <c r="FMD104" s="957"/>
      <c r="FME104" s="957"/>
      <c r="FMF104" s="957"/>
      <c r="FMG104" s="957"/>
      <c r="FMH104" s="957"/>
      <c r="FMI104" s="957"/>
      <c r="FMJ104" s="957"/>
      <c r="FMK104" s="957"/>
      <c r="FML104" s="957"/>
      <c r="FMM104" s="957"/>
      <c r="FMN104" s="957"/>
      <c r="FMO104" s="957"/>
      <c r="FMP104" s="957"/>
      <c r="FMQ104" s="957"/>
      <c r="FMR104" s="957"/>
      <c r="FMS104" s="957"/>
      <c r="FMT104" s="957"/>
      <c r="FMU104" s="957"/>
      <c r="FMV104" s="957"/>
      <c r="FMW104" s="957"/>
      <c r="FMX104" s="957"/>
      <c r="FMY104" s="957"/>
      <c r="FMZ104" s="957"/>
      <c r="FNA104" s="957"/>
      <c r="FNB104" s="957"/>
      <c r="FNC104" s="957"/>
      <c r="FND104" s="957"/>
      <c r="FNE104" s="957"/>
      <c r="FNF104" s="957"/>
      <c r="FNG104" s="957"/>
      <c r="FNH104" s="957"/>
      <c r="FNI104" s="957"/>
      <c r="FNJ104" s="957"/>
      <c r="FNK104" s="957"/>
      <c r="FNL104" s="957"/>
      <c r="FNM104" s="957"/>
      <c r="FNN104" s="957"/>
      <c r="FNO104" s="957"/>
      <c r="FNP104" s="957"/>
      <c r="FNQ104" s="957"/>
      <c r="FNR104" s="957"/>
      <c r="FNS104" s="957"/>
      <c r="FNT104" s="957"/>
      <c r="FNU104" s="957"/>
      <c r="FNV104" s="957"/>
      <c r="FNW104" s="957"/>
      <c r="FNX104" s="957"/>
      <c r="FNY104" s="957"/>
      <c r="FNZ104" s="957"/>
      <c r="FOA104" s="957"/>
      <c r="FOB104" s="957"/>
      <c r="FOC104" s="957"/>
      <c r="FOD104" s="957"/>
      <c r="FOE104" s="957"/>
      <c r="FOF104" s="957"/>
      <c r="FOG104" s="957"/>
      <c r="FOH104" s="957"/>
      <c r="FOI104" s="957"/>
      <c r="FOJ104" s="957"/>
      <c r="FOK104" s="957"/>
      <c r="FOL104" s="957"/>
      <c r="FOM104" s="957"/>
      <c r="FON104" s="957"/>
      <c r="FOO104" s="957"/>
      <c r="FOP104" s="957"/>
      <c r="FOQ104" s="957"/>
      <c r="FOR104" s="957"/>
      <c r="FOS104" s="957"/>
      <c r="FOT104" s="957"/>
      <c r="FOU104" s="957"/>
      <c r="FOV104" s="957"/>
      <c r="FOW104" s="957"/>
      <c r="FOX104" s="957"/>
      <c r="FOY104" s="957"/>
      <c r="FOZ104" s="957"/>
      <c r="FPA104" s="957"/>
      <c r="FPB104" s="957"/>
      <c r="FPC104" s="957"/>
      <c r="FPD104" s="957"/>
      <c r="FPE104" s="957"/>
      <c r="FPF104" s="957"/>
      <c r="FPG104" s="957"/>
      <c r="FPH104" s="957"/>
      <c r="FPI104" s="957"/>
      <c r="FPJ104" s="957"/>
      <c r="FPK104" s="957"/>
      <c r="FPL104" s="957"/>
      <c r="FPM104" s="957"/>
      <c r="FPN104" s="957"/>
      <c r="FPO104" s="957"/>
      <c r="FPP104" s="957"/>
      <c r="FPQ104" s="957"/>
      <c r="FPR104" s="957"/>
      <c r="FPS104" s="957"/>
      <c r="FPT104" s="957"/>
      <c r="FPU104" s="957"/>
      <c r="FPV104" s="957"/>
      <c r="FPW104" s="957"/>
      <c r="FPX104" s="957"/>
      <c r="FPY104" s="957"/>
      <c r="FPZ104" s="957"/>
      <c r="FQA104" s="957"/>
      <c r="FQB104" s="957"/>
      <c r="FQC104" s="957"/>
      <c r="FQD104" s="957"/>
      <c r="FQE104" s="957"/>
      <c r="FQF104" s="957"/>
      <c r="FQG104" s="957"/>
      <c r="FQH104" s="957"/>
      <c r="FQI104" s="957"/>
      <c r="FQJ104" s="957"/>
      <c r="FQK104" s="957"/>
      <c r="FQL104" s="957"/>
      <c r="FQM104" s="957"/>
      <c r="FQN104" s="957"/>
      <c r="FQO104" s="957"/>
      <c r="FQP104" s="957"/>
      <c r="FQQ104" s="957"/>
      <c r="FQR104" s="957"/>
      <c r="FQS104" s="957"/>
      <c r="FQT104" s="957"/>
      <c r="FQU104" s="957"/>
      <c r="FQV104" s="957"/>
      <c r="FQW104" s="957"/>
      <c r="FQX104" s="957"/>
      <c r="FQY104" s="957"/>
      <c r="FQZ104" s="957"/>
      <c r="FRA104" s="957"/>
      <c r="FRB104" s="957"/>
      <c r="FRC104" s="957"/>
      <c r="FRD104" s="957"/>
      <c r="FRE104" s="957"/>
      <c r="FRF104" s="957"/>
      <c r="FRG104" s="957"/>
      <c r="FRH104" s="957"/>
      <c r="FRI104" s="957"/>
      <c r="FRJ104" s="957"/>
      <c r="FRK104" s="957"/>
      <c r="FRL104" s="957"/>
      <c r="FRM104" s="957"/>
      <c r="FRN104" s="957"/>
      <c r="FRO104" s="957"/>
      <c r="FRP104" s="957"/>
      <c r="FRQ104" s="957"/>
      <c r="FRR104" s="957"/>
      <c r="FRS104" s="957"/>
      <c r="FRT104" s="957"/>
      <c r="FRU104" s="957"/>
      <c r="FRV104" s="957"/>
      <c r="FRW104" s="957"/>
      <c r="FRX104" s="957"/>
      <c r="FRY104" s="957"/>
      <c r="FRZ104" s="957"/>
      <c r="FSA104" s="957"/>
      <c r="FSB104" s="957"/>
      <c r="FSC104" s="957"/>
      <c r="FSD104" s="957"/>
      <c r="FSE104" s="957"/>
      <c r="FSF104" s="957"/>
      <c r="FSG104" s="957"/>
      <c r="FSH104" s="957"/>
      <c r="FSI104" s="957"/>
      <c r="FSJ104" s="957"/>
      <c r="FSK104" s="957"/>
      <c r="FSL104" s="957"/>
      <c r="FSM104" s="957"/>
      <c r="FSN104" s="957"/>
      <c r="FSO104" s="957"/>
      <c r="FSP104" s="957"/>
      <c r="FSQ104" s="957"/>
      <c r="FSR104" s="957"/>
      <c r="FSS104" s="957"/>
      <c r="FST104" s="957"/>
      <c r="FSU104" s="957"/>
      <c r="FSV104" s="957"/>
      <c r="FSW104" s="957"/>
      <c r="FSX104" s="957"/>
      <c r="FSY104" s="957"/>
      <c r="FSZ104" s="957"/>
      <c r="FTA104" s="957"/>
      <c r="FTB104" s="957"/>
      <c r="FTC104" s="957"/>
      <c r="FTD104" s="957"/>
      <c r="FTE104" s="957"/>
      <c r="FTF104" s="957"/>
      <c r="FTG104" s="957"/>
      <c r="FTH104" s="957"/>
      <c r="FTI104" s="957"/>
      <c r="FTJ104" s="957"/>
      <c r="FTK104" s="957"/>
      <c r="FTL104" s="957"/>
      <c r="FTM104" s="957"/>
      <c r="FTN104" s="957"/>
      <c r="FTO104" s="957"/>
      <c r="FTP104" s="957"/>
      <c r="FTQ104" s="957"/>
      <c r="FTR104" s="957"/>
      <c r="FTS104" s="957"/>
      <c r="FTT104" s="957"/>
      <c r="FTU104" s="957"/>
      <c r="FTV104" s="957"/>
      <c r="FTW104" s="957"/>
      <c r="FTX104" s="957"/>
      <c r="FTY104" s="957"/>
      <c r="FTZ104" s="957"/>
      <c r="FUA104" s="957"/>
      <c r="FUB104" s="957"/>
      <c r="FUC104" s="957"/>
      <c r="FUD104" s="957"/>
      <c r="FUE104" s="957"/>
      <c r="FUF104" s="957"/>
      <c r="FUG104" s="957"/>
      <c r="FUH104" s="957"/>
      <c r="FUI104" s="957"/>
      <c r="FUJ104" s="957"/>
      <c r="FUK104" s="957"/>
      <c r="FUL104" s="957"/>
      <c r="FUM104" s="957"/>
      <c r="FUN104" s="957"/>
      <c r="FUO104" s="957"/>
      <c r="FUP104" s="957"/>
      <c r="FUQ104" s="957"/>
      <c r="FUR104" s="957"/>
      <c r="FUS104" s="957"/>
      <c r="FUT104" s="957"/>
      <c r="FUU104" s="957"/>
      <c r="FUV104" s="957"/>
      <c r="FUW104" s="957"/>
      <c r="FUX104" s="957"/>
      <c r="FUY104" s="957"/>
      <c r="FUZ104" s="957"/>
      <c r="FVA104" s="957"/>
      <c r="FVB104" s="957"/>
      <c r="FVC104" s="957"/>
      <c r="FVD104" s="957"/>
      <c r="FVE104" s="957"/>
      <c r="FVF104" s="957"/>
      <c r="FVG104" s="957"/>
      <c r="FVH104" s="957"/>
      <c r="FVI104" s="957"/>
      <c r="FVJ104" s="957"/>
      <c r="FVK104" s="957"/>
      <c r="FVL104" s="957"/>
      <c r="FVM104" s="957"/>
      <c r="FVN104" s="957"/>
      <c r="FVO104" s="957"/>
      <c r="FVP104" s="957"/>
      <c r="FVQ104" s="957"/>
      <c r="FVR104" s="957"/>
      <c r="FVS104" s="957"/>
      <c r="FVT104" s="957"/>
      <c r="FVU104" s="957"/>
      <c r="FVV104" s="957"/>
      <c r="FVW104" s="957"/>
      <c r="FVX104" s="957"/>
      <c r="FVY104" s="957"/>
      <c r="FVZ104" s="957"/>
      <c r="FWA104" s="957"/>
      <c r="FWB104" s="957"/>
      <c r="FWC104" s="957"/>
      <c r="FWD104" s="957"/>
      <c r="FWE104" s="957"/>
      <c r="FWF104" s="957"/>
      <c r="FWG104" s="957"/>
      <c r="FWH104" s="957"/>
      <c r="FWI104" s="957"/>
      <c r="FWJ104" s="957"/>
      <c r="FWK104" s="957"/>
      <c r="FWL104" s="957"/>
      <c r="FWM104" s="957"/>
      <c r="FWN104" s="957"/>
      <c r="FWO104" s="957"/>
      <c r="FWP104" s="957"/>
      <c r="FWQ104" s="957"/>
      <c r="FWR104" s="957"/>
      <c r="FWS104" s="957"/>
      <c r="FWT104" s="957"/>
      <c r="FWU104" s="957"/>
      <c r="FWV104" s="957"/>
      <c r="FWW104" s="957"/>
      <c r="FWX104" s="957"/>
      <c r="FWY104" s="957"/>
      <c r="FWZ104" s="957"/>
      <c r="FXA104" s="957"/>
      <c r="FXB104" s="957"/>
      <c r="FXC104" s="957"/>
      <c r="FXD104" s="957"/>
      <c r="FXE104" s="957"/>
      <c r="FXF104" s="957"/>
      <c r="FXG104" s="957"/>
      <c r="FXH104" s="957"/>
      <c r="FXI104" s="957"/>
      <c r="FXJ104" s="957"/>
      <c r="FXK104" s="957"/>
      <c r="FXL104" s="957"/>
      <c r="FXM104" s="957"/>
      <c r="FXN104" s="957"/>
      <c r="FXO104" s="957"/>
      <c r="FXP104" s="957"/>
      <c r="FXQ104" s="957"/>
      <c r="FXR104" s="957"/>
      <c r="FXS104" s="957"/>
      <c r="FXT104" s="957"/>
      <c r="FXU104" s="957"/>
      <c r="FXV104" s="957"/>
      <c r="FXW104" s="957"/>
      <c r="FXX104" s="957"/>
      <c r="FXY104" s="957"/>
      <c r="FXZ104" s="957"/>
      <c r="FYA104" s="957"/>
      <c r="FYB104" s="957"/>
      <c r="FYC104" s="957"/>
      <c r="FYD104" s="957"/>
      <c r="FYE104" s="957"/>
      <c r="FYF104" s="957"/>
      <c r="FYG104" s="957"/>
      <c r="FYH104" s="957"/>
      <c r="FYI104" s="957"/>
      <c r="FYJ104" s="957"/>
      <c r="FYK104" s="957"/>
      <c r="FYL104" s="957"/>
      <c r="FYM104" s="957"/>
      <c r="FYN104" s="957"/>
      <c r="FYO104" s="957"/>
      <c r="FYP104" s="957"/>
      <c r="FYQ104" s="957"/>
      <c r="FYR104" s="957"/>
      <c r="FYS104" s="957"/>
      <c r="FYT104" s="957"/>
      <c r="FYU104" s="957"/>
      <c r="FYV104" s="957"/>
      <c r="FYW104" s="957"/>
      <c r="FYX104" s="957"/>
      <c r="FYY104" s="957"/>
      <c r="FYZ104" s="957"/>
      <c r="FZA104" s="957"/>
      <c r="FZB104" s="957"/>
      <c r="FZC104" s="957"/>
      <c r="FZD104" s="957"/>
      <c r="FZE104" s="957"/>
      <c r="FZF104" s="957"/>
      <c r="FZG104" s="957"/>
      <c r="FZH104" s="957"/>
      <c r="FZI104" s="957"/>
      <c r="FZJ104" s="957"/>
      <c r="FZK104" s="957"/>
      <c r="FZL104" s="957"/>
      <c r="FZM104" s="957"/>
      <c r="FZN104" s="957"/>
      <c r="FZO104" s="957"/>
      <c r="FZP104" s="957"/>
      <c r="FZQ104" s="957"/>
      <c r="FZR104" s="957"/>
      <c r="FZS104" s="957"/>
      <c r="FZT104" s="957"/>
      <c r="FZU104" s="957"/>
      <c r="FZV104" s="957"/>
      <c r="FZW104" s="957"/>
      <c r="FZX104" s="957"/>
      <c r="FZY104" s="957"/>
      <c r="FZZ104" s="957"/>
      <c r="GAA104" s="957"/>
      <c r="GAB104" s="957"/>
      <c r="GAC104" s="957"/>
      <c r="GAD104" s="957"/>
      <c r="GAE104" s="957"/>
      <c r="GAF104" s="957"/>
      <c r="GAG104" s="957"/>
      <c r="GAH104" s="957"/>
      <c r="GAI104" s="957"/>
      <c r="GAJ104" s="957"/>
      <c r="GAK104" s="957"/>
      <c r="GAL104" s="957"/>
      <c r="GAM104" s="957"/>
      <c r="GAN104" s="957"/>
      <c r="GAO104" s="957"/>
      <c r="GAP104" s="957"/>
      <c r="GAQ104" s="957"/>
      <c r="GAR104" s="957"/>
      <c r="GAS104" s="957"/>
      <c r="GAT104" s="957"/>
      <c r="GAU104" s="957"/>
      <c r="GAV104" s="957"/>
      <c r="GAW104" s="957"/>
      <c r="GAX104" s="957"/>
      <c r="GAY104" s="957"/>
      <c r="GAZ104" s="957"/>
      <c r="GBA104" s="957"/>
      <c r="GBB104" s="957"/>
      <c r="GBC104" s="957"/>
      <c r="GBD104" s="957"/>
      <c r="GBE104" s="957"/>
      <c r="GBF104" s="957"/>
      <c r="GBG104" s="957"/>
      <c r="GBH104" s="957"/>
      <c r="GBI104" s="957"/>
      <c r="GBJ104" s="957"/>
      <c r="GBK104" s="957"/>
      <c r="GBL104" s="957"/>
      <c r="GBM104" s="957"/>
      <c r="GBN104" s="957"/>
      <c r="GBO104" s="957"/>
      <c r="GBP104" s="957"/>
      <c r="GBQ104" s="957"/>
      <c r="GBR104" s="957"/>
      <c r="GBS104" s="957"/>
      <c r="GBT104" s="957"/>
      <c r="GBU104" s="957"/>
      <c r="GBV104" s="957"/>
      <c r="GBW104" s="957"/>
      <c r="GBX104" s="957"/>
      <c r="GBY104" s="957"/>
      <c r="GBZ104" s="957"/>
      <c r="GCA104" s="957"/>
      <c r="GCB104" s="957"/>
      <c r="GCC104" s="957"/>
      <c r="GCD104" s="957"/>
      <c r="GCE104" s="957"/>
      <c r="GCF104" s="957"/>
      <c r="GCG104" s="957"/>
      <c r="GCH104" s="957"/>
      <c r="GCI104" s="957"/>
      <c r="GCJ104" s="957"/>
      <c r="GCK104" s="957"/>
      <c r="GCL104" s="957"/>
      <c r="GCM104" s="957"/>
      <c r="GCN104" s="957"/>
      <c r="GCO104" s="957"/>
      <c r="GCP104" s="957"/>
      <c r="GCQ104" s="957"/>
      <c r="GCR104" s="957"/>
      <c r="GCS104" s="957"/>
      <c r="GCT104" s="957"/>
      <c r="GCU104" s="957"/>
      <c r="GCV104" s="957"/>
      <c r="GCW104" s="957"/>
      <c r="GCX104" s="957"/>
      <c r="GCY104" s="957"/>
      <c r="GCZ104" s="957"/>
      <c r="GDA104" s="957"/>
      <c r="GDB104" s="957"/>
      <c r="GDC104" s="957"/>
      <c r="GDD104" s="957"/>
      <c r="GDE104" s="957"/>
      <c r="GDF104" s="957"/>
      <c r="GDG104" s="957"/>
      <c r="GDH104" s="957"/>
      <c r="GDI104" s="957"/>
      <c r="GDJ104" s="957"/>
      <c r="GDK104" s="957"/>
      <c r="GDL104" s="957"/>
      <c r="GDM104" s="957"/>
      <c r="GDN104" s="957"/>
      <c r="GDO104" s="957"/>
      <c r="GDP104" s="957"/>
      <c r="GDQ104" s="957"/>
      <c r="GDR104" s="957"/>
      <c r="GDS104" s="957"/>
      <c r="GDT104" s="957"/>
      <c r="GDU104" s="957"/>
      <c r="GDV104" s="957"/>
      <c r="GDW104" s="957"/>
      <c r="GDX104" s="957"/>
      <c r="GDY104" s="957"/>
      <c r="GDZ104" s="957"/>
      <c r="GEA104" s="957"/>
      <c r="GEB104" s="957"/>
      <c r="GEC104" s="957"/>
      <c r="GED104" s="957"/>
      <c r="GEE104" s="957"/>
      <c r="GEF104" s="957"/>
      <c r="GEG104" s="957"/>
      <c r="GEH104" s="957"/>
      <c r="GEI104" s="957"/>
      <c r="GEJ104" s="957"/>
      <c r="GEK104" s="957"/>
      <c r="GEL104" s="957"/>
      <c r="GEM104" s="957"/>
      <c r="GEN104" s="957"/>
      <c r="GEO104" s="957"/>
      <c r="GEP104" s="957"/>
      <c r="GEQ104" s="957"/>
      <c r="GER104" s="957"/>
      <c r="GES104" s="957"/>
      <c r="GET104" s="957"/>
      <c r="GEU104" s="957"/>
      <c r="GEV104" s="957"/>
      <c r="GEW104" s="957"/>
      <c r="GEX104" s="957"/>
      <c r="GEY104" s="957"/>
      <c r="GEZ104" s="957"/>
      <c r="GFA104" s="957"/>
      <c r="GFB104" s="957"/>
      <c r="GFC104" s="957"/>
      <c r="GFD104" s="957"/>
      <c r="GFE104" s="957"/>
      <c r="GFF104" s="957"/>
      <c r="GFG104" s="957"/>
      <c r="GFH104" s="957"/>
      <c r="GFI104" s="957"/>
      <c r="GFJ104" s="957"/>
      <c r="GFK104" s="957"/>
      <c r="GFL104" s="957"/>
      <c r="GFM104" s="957"/>
      <c r="GFN104" s="957"/>
      <c r="GFO104" s="957"/>
      <c r="GFP104" s="957"/>
      <c r="GFQ104" s="957"/>
      <c r="GFR104" s="957"/>
      <c r="GFS104" s="957"/>
      <c r="GFT104" s="957"/>
      <c r="GFU104" s="957"/>
      <c r="GFV104" s="957"/>
      <c r="GFW104" s="957"/>
      <c r="GFX104" s="957"/>
      <c r="GFY104" s="957"/>
      <c r="GFZ104" s="957"/>
      <c r="GGA104" s="957"/>
      <c r="GGB104" s="957"/>
      <c r="GGC104" s="957"/>
      <c r="GGD104" s="957"/>
      <c r="GGE104" s="957"/>
      <c r="GGF104" s="957"/>
      <c r="GGG104" s="957"/>
      <c r="GGH104" s="957"/>
      <c r="GGI104" s="957"/>
      <c r="GGJ104" s="957"/>
      <c r="GGK104" s="957"/>
      <c r="GGL104" s="957"/>
      <c r="GGM104" s="957"/>
      <c r="GGN104" s="957"/>
      <c r="GGO104" s="957"/>
      <c r="GGP104" s="957"/>
      <c r="GGQ104" s="957"/>
      <c r="GGR104" s="957"/>
      <c r="GGS104" s="957"/>
      <c r="GGT104" s="957"/>
      <c r="GGU104" s="957"/>
      <c r="GGV104" s="957"/>
      <c r="GGW104" s="957"/>
      <c r="GGX104" s="957"/>
      <c r="GGY104" s="957"/>
      <c r="GGZ104" s="957"/>
      <c r="GHA104" s="957"/>
      <c r="GHB104" s="957"/>
      <c r="GHC104" s="957"/>
      <c r="GHD104" s="957"/>
      <c r="GHE104" s="957"/>
      <c r="GHF104" s="957"/>
      <c r="GHG104" s="957"/>
      <c r="GHH104" s="957"/>
      <c r="GHI104" s="957"/>
      <c r="GHJ104" s="957"/>
      <c r="GHK104" s="957"/>
      <c r="GHL104" s="957"/>
      <c r="GHM104" s="957"/>
      <c r="GHN104" s="957"/>
      <c r="GHO104" s="957"/>
      <c r="GHP104" s="957"/>
      <c r="GHQ104" s="957"/>
      <c r="GHR104" s="957"/>
      <c r="GHS104" s="957"/>
      <c r="GHT104" s="957"/>
      <c r="GHU104" s="957"/>
      <c r="GHV104" s="957"/>
      <c r="GHW104" s="957"/>
      <c r="GHX104" s="957"/>
      <c r="GHY104" s="957"/>
      <c r="GHZ104" s="957"/>
      <c r="GIA104" s="957"/>
      <c r="GIB104" s="957"/>
      <c r="GIC104" s="957"/>
      <c r="GID104" s="957"/>
      <c r="GIE104" s="957"/>
      <c r="GIF104" s="957"/>
      <c r="GIG104" s="957"/>
      <c r="GIH104" s="957"/>
      <c r="GII104" s="957"/>
      <c r="GIJ104" s="957"/>
      <c r="GIK104" s="957"/>
      <c r="GIL104" s="957"/>
      <c r="GIM104" s="957"/>
      <c r="GIN104" s="957"/>
      <c r="GIO104" s="957"/>
      <c r="GIP104" s="957"/>
      <c r="GIQ104" s="957"/>
      <c r="GIR104" s="957"/>
      <c r="GIS104" s="957"/>
      <c r="GIT104" s="957"/>
      <c r="GIU104" s="957"/>
      <c r="GIV104" s="957"/>
      <c r="GIW104" s="957"/>
      <c r="GIX104" s="957"/>
      <c r="GIY104" s="957"/>
      <c r="GIZ104" s="957"/>
      <c r="GJA104" s="957"/>
      <c r="GJB104" s="957"/>
      <c r="GJC104" s="957"/>
      <c r="GJD104" s="957"/>
      <c r="GJE104" s="957"/>
      <c r="GJF104" s="957"/>
      <c r="GJG104" s="957"/>
      <c r="GJH104" s="957"/>
      <c r="GJI104" s="957"/>
      <c r="GJJ104" s="957"/>
      <c r="GJK104" s="957"/>
      <c r="GJL104" s="957"/>
      <c r="GJM104" s="957"/>
      <c r="GJN104" s="957"/>
      <c r="GJO104" s="957"/>
      <c r="GJP104" s="957"/>
      <c r="GJQ104" s="957"/>
      <c r="GJR104" s="957"/>
      <c r="GJS104" s="957"/>
      <c r="GJT104" s="957"/>
      <c r="GJU104" s="957"/>
      <c r="GJV104" s="957"/>
      <c r="GJW104" s="957"/>
      <c r="GJX104" s="957"/>
      <c r="GJY104" s="957"/>
      <c r="GJZ104" s="957"/>
      <c r="GKA104" s="957"/>
      <c r="GKB104" s="957"/>
      <c r="GKC104" s="957"/>
      <c r="GKD104" s="957"/>
      <c r="GKE104" s="957"/>
      <c r="GKF104" s="957"/>
      <c r="GKG104" s="957"/>
      <c r="GKH104" s="957"/>
      <c r="GKI104" s="957"/>
      <c r="GKJ104" s="957"/>
      <c r="GKK104" s="957"/>
      <c r="GKL104" s="957"/>
      <c r="GKM104" s="957"/>
      <c r="GKN104" s="957"/>
      <c r="GKO104" s="957"/>
      <c r="GKP104" s="957"/>
      <c r="GKQ104" s="957"/>
      <c r="GKR104" s="957"/>
      <c r="GKS104" s="957"/>
      <c r="GKT104" s="957"/>
      <c r="GKU104" s="957"/>
      <c r="GKV104" s="957"/>
      <c r="GKW104" s="957"/>
      <c r="GKX104" s="957"/>
      <c r="GKY104" s="957"/>
      <c r="GKZ104" s="957"/>
      <c r="GLA104" s="957"/>
      <c r="GLB104" s="957"/>
      <c r="GLC104" s="957"/>
      <c r="GLD104" s="957"/>
      <c r="GLE104" s="957"/>
      <c r="GLF104" s="957"/>
      <c r="GLG104" s="957"/>
      <c r="GLH104" s="957"/>
      <c r="GLI104" s="957"/>
      <c r="GLJ104" s="957"/>
      <c r="GLK104" s="957"/>
      <c r="GLL104" s="957"/>
      <c r="GLM104" s="957"/>
      <c r="GLN104" s="957"/>
      <c r="GLO104" s="957"/>
      <c r="GLP104" s="957"/>
      <c r="GLQ104" s="957"/>
      <c r="GLR104" s="957"/>
      <c r="GLS104" s="957"/>
      <c r="GLT104" s="957"/>
      <c r="GLU104" s="957"/>
      <c r="GLV104" s="957"/>
      <c r="GLW104" s="957"/>
      <c r="GLX104" s="957"/>
      <c r="GLY104" s="957"/>
      <c r="GLZ104" s="957"/>
      <c r="GMA104" s="957"/>
      <c r="GMB104" s="957"/>
      <c r="GMC104" s="957"/>
      <c r="GMD104" s="957"/>
      <c r="GME104" s="957"/>
      <c r="GMF104" s="957"/>
      <c r="GMG104" s="957"/>
      <c r="GMH104" s="957"/>
      <c r="GMI104" s="957"/>
      <c r="GMJ104" s="957"/>
      <c r="GMK104" s="957"/>
      <c r="GML104" s="957"/>
      <c r="GMM104" s="957"/>
      <c r="GMN104" s="957"/>
      <c r="GMO104" s="957"/>
      <c r="GMP104" s="957"/>
      <c r="GMQ104" s="957"/>
      <c r="GMR104" s="957"/>
      <c r="GMS104" s="957"/>
      <c r="GMT104" s="957"/>
      <c r="GMU104" s="957"/>
      <c r="GMV104" s="957"/>
      <c r="GMW104" s="957"/>
      <c r="GMX104" s="957"/>
      <c r="GMY104" s="957"/>
      <c r="GMZ104" s="957"/>
      <c r="GNA104" s="957"/>
      <c r="GNB104" s="957"/>
      <c r="GNC104" s="957"/>
      <c r="GND104" s="957"/>
      <c r="GNE104" s="957"/>
      <c r="GNF104" s="957"/>
      <c r="GNG104" s="957"/>
      <c r="GNH104" s="957"/>
      <c r="GNI104" s="957"/>
      <c r="GNJ104" s="957"/>
      <c r="GNK104" s="957"/>
      <c r="GNL104" s="957"/>
      <c r="GNM104" s="957"/>
      <c r="GNN104" s="957"/>
      <c r="GNO104" s="957"/>
      <c r="GNP104" s="957"/>
      <c r="GNQ104" s="957"/>
      <c r="GNR104" s="957"/>
      <c r="GNS104" s="957"/>
      <c r="GNT104" s="957"/>
      <c r="GNU104" s="957"/>
      <c r="GNV104" s="957"/>
      <c r="GNW104" s="957"/>
      <c r="GNX104" s="957"/>
      <c r="GNY104" s="957"/>
      <c r="GNZ104" s="957"/>
      <c r="GOA104" s="957"/>
      <c r="GOB104" s="957"/>
      <c r="GOC104" s="957"/>
      <c r="GOD104" s="957"/>
      <c r="GOE104" s="957"/>
      <c r="GOF104" s="957"/>
      <c r="GOG104" s="957"/>
      <c r="GOH104" s="957"/>
      <c r="GOI104" s="957"/>
      <c r="GOJ104" s="957"/>
      <c r="GOK104" s="957"/>
      <c r="GOL104" s="957"/>
      <c r="GOM104" s="957"/>
      <c r="GON104" s="957"/>
      <c r="GOO104" s="957"/>
      <c r="GOP104" s="957"/>
      <c r="GOQ104" s="957"/>
      <c r="GOR104" s="957"/>
      <c r="GOS104" s="957"/>
      <c r="GOT104" s="957"/>
      <c r="GOU104" s="957"/>
      <c r="GOV104" s="957"/>
      <c r="GOW104" s="957"/>
      <c r="GOX104" s="957"/>
      <c r="GOY104" s="957"/>
      <c r="GOZ104" s="957"/>
      <c r="GPA104" s="957"/>
      <c r="GPB104" s="957"/>
      <c r="GPC104" s="957"/>
      <c r="GPD104" s="957"/>
      <c r="GPE104" s="957"/>
      <c r="GPF104" s="957"/>
      <c r="GPG104" s="957"/>
      <c r="GPH104" s="957"/>
      <c r="GPI104" s="957"/>
      <c r="GPJ104" s="957"/>
      <c r="GPK104" s="957"/>
      <c r="GPL104" s="957"/>
      <c r="GPM104" s="957"/>
      <c r="GPN104" s="957"/>
      <c r="GPO104" s="957"/>
      <c r="GPP104" s="957"/>
      <c r="GPQ104" s="957"/>
      <c r="GPR104" s="957"/>
      <c r="GPS104" s="957"/>
      <c r="GPT104" s="957"/>
      <c r="GPU104" s="957"/>
      <c r="GPV104" s="957"/>
      <c r="GPW104" s="957"/>
      <c r="GPX104" s="957"/>
      <c r="GPY104" s="957"/>
      <c r="GPZ104" s="957"/>
      <c r="GQA104" s="957"/>
      <c r="GQB104" s="957"/>
      <c r="GQC104" s="957"/>
      <c r="GQD104" s="957"/>
      <c r="GQE104" s="957"/>
      <c r="GQF104" s="957"/>
      <c r="GQG104" s="957"/>
      <c r="GQH104" s="957"/>
      <c r="GQI104" s="957"/>
      <c r="GQJ104" s="957"/>
      <c r="GQK104" s="957"/>
      <c r="GQL104" s="957"/>
      <c r="GQM104" s="957"/>
      <c r="GQN104" s="957"/>
      <c r="GQO104" s="957"/>
      <c r="GQP104" s="957"/>
      <c r="GQQ104" s="957"/>
      <c r="GQR104" s="957"/>
      <c r="GQS104" s="957"/>
      <c r="GQT104" s="957"/>
      <c r="GQU104" s="957"/>
      <c r="GQV104" s="957"/>
      <c r="GQW104" s="957"/>
      <c r="GQX104" s="957"/>
      <c r="GQY104" s="957"/>
      <c r="GQZ104" s="957"/>
      <c r="GRA104" s="957"/>
      <c r="GRB104" s="957"/>
      <c r="GRC104" s="957"/>
      <c r="GRD104" s="957"/>
      <c r="GRE104" s="957"/>
      <c r="GRF104" s="957"/>
      <c r="GRG104" s="957"/>
      <c r="GRH104" s="957"/>
      <c r="GRI104" s="957"/>
      <c r="GRJ104" s="957"/>
      <c r="GRK104" s="957"/>
      <c r="GRL104" s="957"/>
      <c r="GRM104" s="957"/>
      <c r="GRN104" s="957"/>
      <c r="GRO104" s="957"/>
      <c r="GRP104" s="957"/>
      <c r="GRQ104" s="957"/>
      <c r="GRR104" s="957"/>
      <c r="GRS104" s="957"/>
      <c r="GRT104" s="957"/>
      <c r="GRU104" s="957"/>
      <c r="GRV104" s="957"/>
      <c r="GRW104" s="957"/>
      <c r="GRX104" s="957"/>
      <c r="GRY104" s="957"/>
      <c r="GRZ104" s="957"/>
      <c r="GSA104" s="957"/>
      <c r="GSB104" s="957"/>
      <c r="GSC104" s="957"/>
      <c r="GSD104" s="957"/>
      <c r="GSE104" s="957"/>
      <c r="GSF104" s="957"/>
      <c r="GSG104" s="957"/>
      <c r="GSH104" s="957"/>
      <c r="GSI104" s="957"/>
      <c r="GSJ104" s="957"/>
      <c r="GSK104" s="957"/>
      <c r="GSL104" s="957"/>
      <c r="GSM104" s="957"/>
      <c r="GSN104" s="957"/>
      <c r="GSO104" s="957"/>
      <c r="GSP104" s="957"/>
      <c r="GSQ104" s="957"/>
      <c r="GSR104" s="957"/>
      <c r="GSS104" s="957"/>
      <c r="GST104" s="957"/>
      <c r="GSU104" s="957"/>
      <c r="GSV104" s="957"/>
      <c r="GSW104" s="957"/>
      <c r="GSX104" s="957"/>
      <c r="GSY104" s="957"/>
      <c r="GSZ104" s="957"/>
      <c r="GTA104" s="957"/>
      <c r="GTB104" s="957"/>
      <c r="GTC104" s="957"/>
      <c r="GTD104" s="957"/>
      <c r="GTE104" s="957"/>
      <c r="GTF104" s="957"/>
      <c r="GTG104" s="957"/>
      <c r="GTH104" s="957"/>
      <c r="GTI104" s="957"/>
      <c r="GTJ104" s="957"/>
      <c r="GTK104" s="957"/>
      <c r="GTL104" s="957"/>
      <c r="GTM104" s="957"/>
      <c r="GTN104" s="957"/>
      <c r="GTO104" s="957"/>
      <c r="GTP104" s="957"/>
      <c r="GTQ104" s="957"/>
      <c r="GTR104" s="957"/>
      <c r="GTS104" s="957"/>
      <c r="GTT104" s="957"/>
      <c r="GTU104" s="957"/>
      <c r="GTV104" s="957"/>
      <c r="GTW104" s="957"/>
      <c r="GTX104" s="957"/>
      <c r="GTY104" s="957"/>
      <c r="GTZ104" s="957"/>
      <c r="GUA104" s="957"/>
      <c r="GUB104" s="957"/>
      <c r="GUC104" s="957"/>
      <c r="GUD104" s="957"/>
      <c r="GUE104" s="957"/>
      <c r="GUF104" s="957"/>
      <c r="GUG104" s="957"/>
      <c r="GUH104" s="957"/>
      <c r="GUI104" s="957"/>
      <c r="GUJ104" s="957"/>
      <c r="GUK104" s="957"/>
      <c r="GUL104" s="957"/>
      <c r="GUM104" s="957"/>
      <c r="GUN104" s="957"/>
      <c r="GUO104" s="957"/>
      <c r="GUP104" s="957"/>
      <c r="GUQ104" s="957"/>
      <c r="GUR104" s="957"/>
      <c r="GUS104" s="957"/>
      <c r="GUT104" s="957"/>
      <c r="GUU104" s="957"/>
      <c r="GUV104" s="957"/>
      <c r="GUW104" s="957"/>
      <c r="GUX104" s="957"/>
      <c r="GUY104" s="957"/>
      <c r="GUZ104" s="957"/>
      <c r="GVA104" s="957"/>
      <c r="GVB104" s="957"/>
      <c r="GVC104" s="957"/>
      <c r="GVD104" s="957"/>
      <c r="GVE104" s="957"/>
      <c r="GVF104" s="957"/>
      <c r="GVG104" s="957"/>
      <c r="GVH104" s="957"/>
      <c r="GVI104" s="957"/>
      <c r="GVJ104" s="957"/>
      <c r="GVK104" s="957"/>
      <c r="GVL104" s="957"/>
      <c r="GVM104" s="957"/>
      <c r="GVN104" s="957"/>
      <c r="GVO104" s="957"/>
      <c r="GVP104" s="957"/>
      <c r="GVQ104" s="957"/>
      <c r="GVR104" s="957"/>
      <c r="GVS104" s="957"/>
      <c r="GVT104" s="957"/>
      <c r="GVU104" s="957"/>
      <c r="GVV104" s="957"/>
      <c r="GVW104" s="957"/>
      <c r="GVX104" s="957"/>
      <c r="GVY104" s="957"/>
      <c r="GVZ104" s="957"/>
      <c r="GWA104" s="957"/>
      <c r="GWB104" s="957"/>
      <c r="GWC104" s="957"/>
      <c r="GWD104" s="957"/>
      <c r="GWE104" s="957"/>
      <c r="GWF104" s="957"/>
      <c r="GWG104" s="957"/>
      <c r="GWH104" s="957"/>
      <c r="GWI104" s="957"/>
      <c r="GWJ104" s="957"/>
      <c r="GWK104" s="957"/>
      <c r="GWL104" s="957"/>
      <c r="GWM104" s="957"/>
      <c r="GWN104" s="957"/>
      <c r="GWO104" s="957"/>
      <c r="GWP104" s="957"/>
      <c r="GWQ104" s="957"/>
      <c r="GWR104" s="957"/>
      <c r="GWS104" s="957"/>
      <c r="GWT104" s="957"/>
      <c r="GWU104" s="957"/>
      <c r="GWV104" s="957"/>
      <c r="GWW104" s="957"/>
      <c r="GWX104" s="957"/>
      <c r="GWY104" s="957"/>
      <c r="GWZ104" s="957"/>
      <c r="GXA104" s="957"/>
      <c r="GXB104" s="957"/>
      <c r="GXC104" s="957"/>
      <c r="GXD104" s="957"/>
      <c r="GXE104" s="957"/>
      <c r="GXF104" s="957"/>
      <c r="GXG104" s="957"/>
      <c r="GXH104" s="957"/>
      <c r="GXI104" s="957"/>
      <c r="GXJ104" s="957"/>
      <c r="GXK104" s="957"/>
      <c r="GXL104" s="957"/>
      <c r="GXM104" s="957"/>
      <c r="GXN104" s="957"/>
      <c r="GXO104" s="957"/>
      <c r="GXP104" s="957"/>
      <c r="GXQ104" s="957"/>
      <c r="GXR104" s="957"/>
      <c r="GXS104" s="957"/>
      <c r="GXT104" s="957"/>
      <c r="GXU104" s="957"/>
      <c r="GXV104" s="957"/>
      <c r="GXW104" s="957"/>
      <c r="GXX104" s="957"/>
      <c r="GXY104" s="957"/>
      <c r="GXZ104" s="957"/>
      <c r="GYA104" s="957"/>
      <c r="GYB104" s="957"/>
      <c r="GYC104" s="957"/>
      <c r="GYD104" s="957"/>
      <c r="GYE104" s="957"/>
      <c r="GYF104" s="957"/>
      <c r="GYG104" s="957"/>
      <c r="GYH104" s="957"/>
      <c r="GYI104" s="957"/>
      <c r="GYJ104" s="957"/>
      <c r="GYK104" s="957"/>
      <c r="GYL104" s="957"/>
      <c r="GYM104" s="957"/>
      <c r="GYN104" s="957"/>
      <c r="GYO104" s="957"/>
      <c r="GYP104" s="957"/>
      <c r="GYQ104" s="957"/>
      <c r="GYR104" s="957"/>
      <c r="GYS104" s="957"/>
      <c r="GYT104" s="957"/>
      <c r="GYU104" s="957"/>
      <c r="GYV104" s="957"/>
      <c r="GYW104" s="957"/>
      <c r="GYX104" s="957"/>
      <c r="GYY104" s="957"/>
      <c r="GYZ104" s="957"/>
      <c r="GZA104" s="957"/>
      <c r="GZB104" s="957"/>
      <c r="GZC104" s="957"/>
      <c r="GZD104" s="957"/>
      <c r="GZE104" s="957"/>
      <c r="GZF104" s="957"/>
      <c r="GZG104" s="957"/>
      <c r="GZH104" s="957"/>
      <c r="GZI104" s="957"/>
      <c r="GZJ104" s="957"/>
      <c r="GZK104" s="957"/>
      <c r="GZL104" s="957"/>
      <c r="GZM104" s="957"/>
      <c r="GZN104" s="957"/>
      <c r="GZO104" s="957"/>
      <c r="GZP104" s="957"/>
      <c r="GZQ104" s="957"/>
      <c r="GZR104" s="957"/>
      <c r="GZS104" s="957"/>
      <c r="GZT104" s="957"/>
      <c r="GZU104" s="957"/>
      <c r="GZV104" s="957"/>
      <c r="GZW104" s="957"/>
      <c r="GZX104" s="957"/>
      <c r="GZY104" s="957"/>
      <c r="GZZ104" s="957"/>
      <c r="HAA104" s="957"/>
      <c r="HAB104" s="957"/>
      <c r="HAC104" s="957"/>
      <c r="HAD104" s="957"/>
      <c r="HAE104" s="957"/>
      <c r="HAF104" s="957"/>
      <c r="HAG104" s="957"/>
      <c r="HAH104" s="957"/>
      <c r="HAI104" s="957"/>
      <c r="HAJ104" s="957"/>
      <c r="HAK104" s="957"/>
      <c r="HAL104" s="957"/>
      <c r="HAM104" s="957"/>
      <c r="HAN104" s="957"/>
      <c r="HAO104" s="957"/>
      <c r="HAP104" s="957"/>
      <c r="HAQ104" s="957"/>
      <c r="HAR104" s="957"/>
      <c r="HAS104" s="957"/>
      <c r="HAT104" s="957"/>
      <c r="HAU104" s="957"/>
      <c r="HAV104" s="957"/>
      <c r="HAW104" s="957"/>
      <c r="HAX104" s="957"/>
      <c r="HAY104" s="957"/>
      <c r="HAZ104" s="957"/>
      <c r="HBA104" s="957"/>
      <c r="HBB104" s="957"/>
      <c r="HBC104" s="957"/>
      <c r="HBD104" s="957"/>
      <c r="HBE104" s="957"/>
      <c r="HBF104" s="957"/>
      <c r="HBG104" s="957"/>
      <c r="HBH104" s="957"/>
      <c r="HBI104" s="957"/>
      <c r="HBJ104" s="957"/>
      <c r="HBK104" s="957"/>
      <c r="HBL104" s="957"/>
      <c r="HBM104" s="957"/>
      <c r="HBN104" s="957"/>
      <c r="HBO104" s="957"/>
      <c r="HBP104" s="957"/>
      <c r="HBQ104" s="957"/>
      <c r="HBR104" s="957"/>
      <c r="HBS104" s="957"/>
      <c r="HBT104" s="957"/>
      <c r="HBU104" s="957"/>
      <c r="HBV104" s="957"/>
      <c r="HBW104" s="957"/>
      <c r="HBX104" s="957"/>
      <c r="HBY104" s="957"/>
      <c r="HBZ104" s="957"/>
      <c r="HCA104" s="957"/>
      <c r="HCB104" s="957"/>
      <c r="HCC104" s="957"/>
      <c r="HCD104" s="957"/>
      <c r="HCE104" s="957"/>
      <c r="HCF104" s="957"/>
      <c r="HCG104" s="957"/>
      <c r="HCH104" s="957"/>
      <c r="HCI104" s="957"/>
      <c r="HCJ104" s="957"/>
      <c r="HCK104" s="957"/>
      <c r="HCL104" s="957"/>
      <c r="HCM104" s="957"/>
      <c r="HCN104" s="957"/>
      <c r="HCO104" s="957"/>
      <c r="HCP104" s="957"/>
      <c r="HCQ104" s="957"/>
      <c r="HCR104" s="957"/>
      <c r="HCS104" s="957"/>
      <c r="HCT104" s="957"/>
      <c r="HCU104" s="957"/>
      <c r="HCV104" s="957"/>
      <c r="HCW104" s="957"/>
      <c r="HCX104" s="957"/>
      <c r="HCY104" s="957"/>
      <c r="HCZ104" s="957"/>
      <c r="HDA104" s="957"/>
      <c r="HDB104" s="957"/>
      <c r="HDC104" s="957"/>
      <c r="HDD104" s="957"/>
      <c r="HDE104" s="957"/>
      <c r="HDF104" s="957"/>
      <c r="HDG104" s="957"/>
      <c r="HDH104" s="957"/>
      <c r="HDI104" s="957"/>
      <c r="HDJ104" s="957"/>
      <c r="HDK104" s="957"/>
      <c r="HDL104" s="957"/>
      <c r="HDM104" s="957"/>
      <c r="HDN104" s="957"/>
      <c r="HDO104" s="957"/>
      <c r="HDP104" s="957"/>
      <c r="HDQ104" s="957"/>
      <c r="HDR104" s="957"/>
      <c r="HDS104" s="957"/>
      <c r="HDT104" s="957"/>
      <c r="HDU104" s="957"/>
      <c r="HDV104" s="957"/>
      <c r="HDW104" s="957"/>
      <c r="HDX104" s="957"/>
      <c r="HDY104" s="957"/>
      <c r="HDZ104" s="957"/>
      <c r="HEA104" s="957"/>
      <c r="HEB104" s="957"/>
      <c r="HEC104" s="957"/>
      <c r="HED104" s="957"/>
      <c r="HEE104" s="957"/>
      <c r="HEF104" s="957"/>
      <c r="HEG104" s="957"/>
      <c r="HEH104" s="957"/>
      <c r="HEI104" s="957"/>
      <c r="HEJ104" s="957"/>
      <c r="HEK104" s="957"/>
      <c r="HEL104" s="957"/>
      <c r="HEM104" s="957"/>
      <c r="HEN104" s="957"/>
      <c r="HEO104" s="957"/>
      <c r="HEP104" s="957"/>
      <c r="HEQ104" s="957"/>
      <c r="HER104" s="957"/>
      <c r="HES104" s="957"/>
      <c r="HET104" s="957"/>
      <c r="HEU104" s="957"/>
      <c r="HEV104" s="957"/>
      <c r="HEW104" s="957"/>
      <c r="HEX104" s="957"/>
      <c r="HEY104" s="957"/>
      <c r="HEZ104" s="957"/>
      <c r="HFA104" s="957"/>
      <c r="HFB104" s="957"/>
      <c r="HFC104" s="957"/>
      <c r="HFD104" s="957"/>
      <c r="HFE104" s="957"/>
      <c r="HFF104" s="957"/>
      <c r="HFG104" s="957"/>
      <c r="HFH104" s="957"/>
      <c r="HFI104" s="957"/>
      <c r="HFJ104" s="957"/>
      <c r="HFK104" s="957"/>
      <c r="HFL104" s="957"/>
      <c r="HFM104" s="957"/>
      <c r="HFN104" s="957"/>
      <c r="HFO104" s="957"/>
      <c r="HFP104" s="957"/>
      <c r="HFQ104" s="957"/>
      <c r="HFR104" s="957"/>
      <c r="HFS104" s="957"/>
      <c r="HFT104" s="957"/>
      <c r="HFU104" s="957"/>
      <c r="HFV104" s="957"/>
      <c r="HFW104" s="957"/>
      <c r="HFX104" s="957"/>
      <c r="HFY104" s="957"/>
      <c r="HFZ104" s="957"/>
      <c r="HGA104" s="957"/>
      <c r="HGB104" s="957"/>
      <c r="HGC104" s="957"/>
      <c r="HGD104" s="957"/>
      <c r="HGE104" s="957"/>
      <c r="HGF104" s="957"/>
      <c r="HGG104" s="957"/>
      <c r="HGH104" s="957"/>
      <c r="HGI104" s="957"/>
      <c r="HGJ104" s="957"/>
      <c r="HGK104" s="957"/>
      <c r="HGL104" s="957"/>
      <c r="HGM104" s="957"/>
      <c r="HGN104" s="957"/>
      <c r="HGO104" s="957"/>
      <c r="HGP104" s="957"/>
      <c r="HGQ104" s="957"/>
      <c r="HGR104" s="957"/>
      <c r="HGS104" s="957"/>
      <c r="HGT104" s="957"/>
      <c r="HGU104" s="957"/>
      <c r="HGV104" s="957"/>
      <c r="HGW104" s="957"/>
      <c r="HGX104" s="957"/>
      <c r="HGY104" s="957"/>
      <c r="HGZ104" s="957"/>
      <c r="HHA104" s="957"/>
      <c r="HHB104" s="957"/>
      <c r="HHC104" s="957"/>
      <c r="HHD104" s="957"/>
      <c r="HHE104" s="957"/>
      <c r="HHF104" s="957"/>
      <c r="HHG104" s="957"/>
      <c r="HHH104" s="957"/>
      <c r="HHI104" s="957"/>
      <c r="HHJ104" s="957"/>
      <c r="HHK104" s="957"/>
      <c r="HHL104" s="957"/>
      <c r="HHM104" s="957"/>
      <c r="HHN104" s="957"/>
      <c r="HHO104" s="957"/>
      <c r="HHP104" s="957"/>
      <c r="HHQ104" s="957"/>
      <c r="HHR104" s="957"/>
      <c r="HHS104" s="957"/>
      <c r="HHT104" s="957"/>
      <c r="HHU104" s="957"/>
      <c r="HHV104" s="957"/>
      <c r="HHW104" s="957"/>
      <c r="HHX104" s="957"/>
      <c r="HHY104" s="957"/>
      <c r="HHZ104" s="957"/>
      <c r="HIA104" s="957"/>
      <c r="HIB104" s="957"/>
      <c r="HIC104" s="957"/>
      <c r="HID104" s="957"/>
      <c r="HIE104" s="957"/>
      <c r="HIF104" s="957"/>
      <c r="HIG104" s="957"/>
      <c r="HIH104" s="957"/>
      <c r="HII104" s="957"/>
      <c r="HIJ104" s="957"/>
      <c r="HIK104" s="957"/>
      <c r="HIL104" s="957"/>
      <c r="HIM104" s="957"/>
      <c r="HIN104" s="957"/>
      <c r="HIO104" s="957"/>
      <c r="HIP104" s="957"/>
      <c r="HIQ104" s="957"/>
      <c r="HIR104" s="957"/>
      <c r="HIS104" s="957"/>
      <c r="HIT104" s="957"/>
      <c r="HIU104" s="957"/>
      <c r="HIV104" s="957"/>
      <c r="HIW104" s="957"/>
      <c r="HIX104" s="957"/>
      <c r="HIY104" s="957"/>
      <c r="HIZ104" s="957"/>
      <c r="HJA104" s="957"/>
      <c r="HJB104" s="957"/>
      <c r="HJC104" s="957"/>
      <c r="HJD104" s="957"/>
      <c r="HJE104" s="957"/>
      <c r="HJF104" s="957"/>
      <c r="HJG104" s="957"/>
      <c r="HJH104" s="957"/>
      <c r="HJI104" s="957"/>
      <c r="HJJ104" s="957"/>
      <c r="HJK104" s="957"/>
      <c r="HJL104" s="957"/>
      <c r="HJM104" s="957"/>
      <c r="HJN104" s="957"/>
      <c r="HJO104" s="957"/>
      <c r="HJP104" s="957"/>
      <c r="HJQ104" s="957"/>
      <c r="HJR104" s="957"/>
      <c r="HJS104" s="957"/>
      <c r="HJT104" s="957"/>
      <c r="HJU104" s="957"/>
      <c r="HJV104" s="957"/>
      <c r="HJW104" s="957"/>
      <c r="HJX104" s="957"/>
      <c r="HJY104" s="957"/>
      <c r="HJZ104" s="957"/>
      <c r="HKA104" s="957"/>
      <c r="HKB104" s="957"/>
      <c r="HKC104" s="957"/>
      <c r="HKD104" s="957"/>
      <c r="HKE104" s="957"/>
      <c r="HKF104" s="957"/>
      <c r="HKG104" s="957"/>
      <c r="HKH104" s="957"/>
      <c r="HKI104" s="957"/>
      <c r="HKJ104" s="957"/>
      <c r="HKK104" s="957"/>
      <c r="HKL104" s="957"/>
      <c r="HKM104" s="957"/>
      <c r="HKN104" s="957"/>
      <c r="HKO104" s="957"/>
      <c r="HKP104" s="957"/>
      <c r="HKQ104" s="957"/>
      <c r="HKR104" s="957"/>
      <c r="HKS104" s="957"/>
      <c r="HKT104" s="957"/>
      <c r="HKU104" s="957"/>
      <c r="HKV104" s="957"/>
      <c r="HKW104" s="957"/>
      <c r="HKX104" s="957"/>
      <c r="HKY104" s="957"/>
      <c r="HKZ104" s="957"/>
      <c r="HLA104" s="957"/>
      <c r="HLB104" s="957"/>
      <c r="HLC104" s="957"/>
      <c r="HLD104" s="957"/>
      <c r="HLE104" s="957"/>
      <c r="HLF104" s="957"/>
      <c r="HLG104" s="957"/>
      <c r="HLH104" s="957"/>
      <c r="HLI104" s="957"/>
      <c r="HLJ104" s="957"/>
      <c r="HLK104" s="957"/>
      <c r="HLL104" s="957"/>
      <c r="HLM104" s="957"/>
      <c r="HLN104" s="957"/>
      <c r="HLO104" s="957"/>
      <c r="HLP104" s="957"/>
      <c r="HLQ104" s="957"/>
      <c r="HLR104" s="957"/>
      <c r="HLS104" s="957"/>
      <c r="HLT104" s="957"/>
      <c r="HLU104" s="957"/>
      <c r="HLV104" s="957"/>
      <c r="HLW104" s="957"/>
      <c r="HLX104" s="957"/>
      <c r="HLY104" s="957"/>
      <c r="HLZ104" s="957"/>
      <c r="HMA104" s="957"/>
      <c r="HMB104" s="957"/>
      <c r="HMC104" s="957"/>
      <c r="HMD104" s="957"/>
      <c r="HME104" s="957"/>
      <c r="HMF104" s="957"/>
      <c r="HMG104" s="957"/>
      <c r="HMH104" s="957"/>
      <c r="HMI104" s="957"/>
      <c r="HMJ104" s="957"/>
      <c r="HMK104" s="957"/>
      <c r="HML104" s="957"/>
      <c r="HMM104" s="957"/>
      <c r="HMN104" s="957"/>
      <c r="HMO104" s="957"/>
      <c r="HMP104" s="957"/>
      <c r="HMQ104" s="957"/>
      <c r="HMR104" s="957"/>
      <c r="HMS104" s="957"/>
      <c r="HMT104" s="957"/>
      <c r="HMU104" s="957"/>
      <c r="HMV104" s="957"/>
      <c r="HMW104" s="957"/>
      <c r="HMX104" s="957"/>
      <c r="HMY104" s="957"/>
      <c r="HMZ104" s="957"/>
      <c r="HNA104" s="957"/>
      <c r="HNB104" s="957"/>
      <c r="HNC104" s="957"/>
      <c r="HND104" s="957"/>
      <c r="HNE104" s="957"/>
      <c r="HNF104" s="957"/>
      <c r="HNG104" s="957"/>
      <c r="HNH104" s="957"/>
      <c r="HNI104" s="957"/>
      <c r="HNJ104" s="957"/>
      <c r="HNK104" s="957"/>
      <c r="HNL104" s="957"/>
      <c r="HNM104" s="957"/>
      <c r="HNN104" s="957"/>
      <c r="HNO104" s="957"/>
      <c r="HNP104" s="957"/>
      <c r="HNQ104" s="957"/>
      <c r="HNR104" s="957"/>
      <c r="HNS104" s="957"/>
      <c r="HNT104" s="957"/>
      <c r="HNU104" s="957"/>
      <c r="HNV104" s="957"/>
      <c r="HNW104" s="957"/>
      <c r="HNX104" s="957"/>
      <c r="HNY104" s="957"/>
      <c r="HNZ104" s="957"/>
      <c r="HOA104" s="957"/>
      <c r="HOB104" s="957"/>
      <c r="HOC104" s="957"/>
      <c r="HOD104" s="957"/>
      <c r="HOE104" s="957"/>
      <c r="HOF104" s="957"/>
      <c r="HOG104" s="957"/>
      <c r="HOH104" s="957"/>
      <c r="HOI104" s="957"/>
      <c r="HOJ104" s="957"/>
      <c r="HOK104" s="957"/>
      <c r="HOL104" s="957"/>
      <c r="HOM104" s="957"/>
      <c r="HON104" s="957"/>
      <c r="HOO104" s="957"/>
      <c r="HOP104" s="957"/>
      <c r="HOQ104" s="957"/>
      <c r="HOR104" s="957"/>
      <c r="HOS104" s="957"/>
      <c r="HOT104" s="957"/>
      <c r="HOU104" s="957"/>
      <c r="HOV104" s="957"/>
      <c r="HOW104" s="957"/>
      <c r="HOX104" s="957"/>
      <c r="HOY104" s="957"/>
      <c r="HOZ104" s="957"/>
      <c r="HPA104" s="957"/>
      <c r="HPB104" s="957"/>
      <c r="HPC104" s="957"/>
      <c r="HPD104" s="957"/>
      <c r="HPE104" s="957"/>
      <c r="HPF104" s="957"/>
      <c r="HPG104" s="957"/>
      <c r="HPH104" s="957"/>
      <c r="HPI104" s="957"/>
      <c r="HPJ104" s="957"/>
      <c r="HPK104" s="957"/>
      <c r="HPL104" s="957"/>
      <c r="HPM104" s="957"/>
      <c r="HPN104" s="957"/>
      <c r="HPO104" s="957"/>
      <c r="HPP104" s="957"/>
      <c r="HPQ104" s="957"/>
      <c r="HPR104" s="957"/>
      <c r="HPS104" s="957"/>
      <c r="HPT104" s="957"/>
      <c r="HPU104" s="957"/>
      <c r="HPV104" s="957"/>
      <c r="HPW104" s="957"/>
      <c r="HPX104" s="957"/>
      <c r="HPY104" s="957"/>
      <c r="HPZ104" s="957"/>
      <c r="HQA104" s="957"/>
      <c r="HQB104" s="957"/>
      <c r="HQC104" s="957"/>
      <c r="HQD104" s="957"/>
      <c r="HQE104" s="957"/>
      <c r="HQF104" s="957"/>
      <c r="HQG104" s="957"/>
      <c r="HQH104" s="957"/>
      <c r="HQI104" s="957"/>
      <c r="HQJ104" s="957"/>
      <c r="HQK104" s="957"/>
      <c r="HQL104" s="957"/>
      <c r="HQM104" s="957"/>
      <c r="HQN104" s="957"/>
      <c r="HQO104" s="957"/>
      <c r="HQP104" s="957"/>
      <c r="HQQ104" s="957"/>
      <c r="HQR104" s="957"/>
      <c r="HQS104" s="957"/>
      <c r="HQT104" s="957"/>
      <c r="HQU104" s="957"/>
      <c r="HQV104" s="957"/>
      <c r="HQW104" s="957"/>
      <c r="HQX104" s="957"/>
      <c r="HQY104" s="957"/>
      <c r="HQZ104" s="957"/>
      <c r="HRA104" s="957"/>
      <c r="HRB104" s="957"/>
      <c r="HRC104" s="957"/>
      <c r="HRD104" s="957"/>
      <c r="HRE104" s="957"/>
      <c r="HRF104" s="957"/>
      <c r="HRG104" s="957"/>
      <c r="HRH104" s="957"/>
      <c r="HRI104" s="957"/>
      <c r="HRJ104" s="957"/>
      <c r="HRK104" s="957"/>
      <c r="HRL104" s="957"/>
      <c r="HRM104" s="957"/>
      <c r="HRN104" s="957"/>
      <c r="HRO104" s="957"/>
      <c r="HRP104" s="957"/>
      <c r="HRQ104" s="957"/>
      <c r="HRR104" s="957"/>
      <c r="HRS104" s="957"/>
      <c r="HRT104" s="957"/>
      <c r="HRU104" s="957"/>
      <c r="HRV104" s="957"/>
      <c r="HRW104" s="957"/>
      <c r="HRX104" s="957"/>
      <c r="HRY104" s="957"/>
      <c r="HRZ104" s="957"/>
      <c r="HSA104" s="957"/>
      <c r="HSB104" s="957"/>
      <c r="HSC104" s="957"/>
      <c r="HSD104" s="957"/>
      <c r="HSE104" s="957"/>
      <c r="HSF104" s="957"/>
      <c r="HSG104" s="957"/>
      <c r="HSH104" s="957"/>
      <c r="HSI104" s="957"/>
      <c r="HSJ104" s="957"/>
      <c r="HSK104" s="957"/>
      <c r="HSL104" s="957"/>
      <c r="HSM104" s="957"/>
      <c r="HSN104" s="957"/>
      <c r="HSO104" s="957"/>
      <c r="HSP104" s="957"/>
      <c r="HSQ104" s="957"/>
      <c r="HSR104" s="957"/>
      <c r="HSS104" s="957"/>
      <c r="HST104" s="957"/>
      <c r="HSU104" s="957"/>
      <c r="HSV104" s="957"/>
      <c r="HSW104" s="957"/>
      <c r="HSX104" s="957"/>
      <c r="HSY104" s="957"/>
      <c r="HSZ104" s="957"/>
      <c r="HTA104" s="957"/>
      <c r="HTB104" s="957"/>
      <c r="HTC104" s="957"/>
      <c r="HTD104" s="957"/>
      <c r="HTE104" s="957"/>
      <c r="HTF104" s="957"/>
      <c r="HTG104" s="957"/>
      <c r="HTH104" s="957"/>
      <c r="HTI104" s="957"/>
      <c r="HTJ104" s="957"/>
      <c r="HTK104" s="957"/>
      <c r="HTL104" s="957"/>
      <c r="HTM104" s="957"/>
      <c r="HTN104" s="957"/>
      <c r="HTO104" s="957"/>
      <c r="HTP104" s="957"/>
      <c r="HTQ104" s="957"/>
      <c r="HTR104" s="957"/>
      <c r="HTS104" s="957"/>
      <c r="HTT104" s="957"/>
      <c r="HTU104" s="957"/>
      <c r="HTV104" s="957"/>
      <c r="HTW104" s="957"/>
      <c r="HTX104" s="957"/>
      <c r="HTY104" s="957"/>
      <c r="HTZ104" s="957"/>
      <c r="HUA104" s="957"/>
      <c r="HUB104" s="957"/>
      <c r="HUC104" s="957"/>
      <c r="HUD104" s="957"/>
      <c r="HUE104" s="957"/>
      <c r="HUF104" s="957"/>
      <c r="HUG104" s="957"/>
      <c r="HUH104" s="957"/>
      <c r="HUI104" s="957"/>
      <c r="HUJ104" s="957"/>
      <c r="HUK104" s="957"/>
      <c r="HUL104" s="957"/>
      <c r="HUM104" s="957"/>
      <c r="HUN104" s="957"/>
      <c r="HUO104" s="957"/>
      <c r="HUP104" s="957"/>
      <c r="HUQ104" s="957"/>
      <c r="HUR104" s="957"/>
      <c r="HUS104" s="957"/>
      <c r="HUT104" s="957"/>
      <c r="HUU104" s="957"/>
      <c r="HUV104" s="957"/>
      <c r="HUW104" s="957"/>
      <c r="HUX104" s="957"/>
      <c r="HUY104" s="957"/>
      <c r="HUZ104" s="957"/>
      <c r="HVA104" s="957"/>
      <c r="HVB104" s="957"/>
      <c r="HVC104" s="957"/>
      <c r="HVD104" s="957"/>
      <c r="HVE104" s="957"/>
      <c r="HVF104" s="957"/>
      <c r="HVG104" s="957"/>
      <c r="HVH104" s="957"/>
      <c r="HVI104" s="957"/>
      <c r="HVJ104" s="957"/>
      <c r="HVK104" s="957"/>
      <c r="HVL104" s="957"/>
      <c r="HVM104" s="957"/>
      <c r="HVN104" s="957"/>
      <c r="HVO104" s="957"/>
      <c r="HVP104" s="957"/>
      <c r="HVQ104" s="957"/>
      <c r="HVR104" s="957"/>
      <c r="HVS104" s="957"/>
      <c r="HVT104" s="957"/>
      <c r="HVU104" s="957"/>
      <c r="HVV104" s="957"/>
      <c r="HVW104" s="957"/>
      <c r="HVX104" s="957"/>
      <c r="HVY104" s="957"/>
      <c r="HVZ104" s="957"/>
      <c r="HWA104" s="957"/>
      <c r="HWB104" s="957"/>
      <c r="HWC104" s="957"/>
      <c r="HWD104" s="957"/>
      <c r="HWE104" s="957"/>
      <c r="HWF104" s="957"/>
      <c r="HWG104" s="957"/>
      <c r="HWH104" s="957"/>
      <c r="HWI104" s="957"/>
      <c r="HWJ104" s="957"/>
      <c r="HWK104" s="957"/>
      <c r="HWL104" s="957"/>
      <c r="HWM104" s="957"/>
      <c r="HWN104" s="957"/>
      <c r="HWO104" s="957"/>
      <c r="HWP104" s="957"/>
      <c r="HWQ104" s="957"/>
      <c r="HWR104" s="957"/>
      <c r="HWS104" s="957"/>
      <c r="HWT104" s="957"/>
      <c r="HWU104" s="957"/>
      <c r="HWV104" s="957"/>
      <c r="HWW104" s="957"/>
      <c r="HWX104" s="957"/>
      <c r="HWY104" s="957"/>
      <c r="HWZ104" s="957"/>
      <c r="HXA104" s="957"/>
      <c r="HXB104" s="957"/>
      <c r="HXC104" s="957"/>
      <c r="HXD104" s="957"/>
      <c r="HXE104" s="957"/>
      <c r="HXF104" s="957"/>
      <c r="HXG104" s="957"/>
      <c r="HXH104" s="957"/>
      <c r="HXI104" s="957"/>
      <c r="HXJ104" s="957"/>
      <c r="HXK104" s="957"/>
      <c r="HXL104" s="957"/>
      <c r="HXM104" s="957"/>
      <c r="HXN104" s="957"/>
      <c r="HXO104" s="957"/>
      <c r="HXP104" s="957"/>
      <c r="HXQ104" s="957"/>
      <c r="HXR104" s="957"/>
      <c r="HXS104" s="957"/>
      <c r="HXT104" s="957"/>
      <c r="HXU104" s="957"/>
      <c r="HXV104" s="957"/>
      <c r="HXW104" s="957"/>
      <c r="HXX104" s="957"/>
      <c r="HXY104" s="957"/>
      <c r="HXZ104" s="957"/>
      <c r="HYA104" s="957"/>
      <c r="HYB104" s="957"/>
      <c r="HYC104" s="957"/>
      <c r="HYD104" s="957"/>
      <c r="HYE104" s="957"/>
      <c r="HYF104" s="957"/>
      <c r="HYG104" s="957"/>
      <c r="HYH104" s="957"/>
      <c r="HYI104" s="957"/>
      <c r="HYJ104" s="957"/>
      <c r="HYK104" s="957"/>
      <c r="HYL104" s="957"/>
      <c r="HYM104" s="957"/>
      <c r="HYN104" s="957"/>
      <c r="HYO104" s="957"/>
      <c r="HYP104" s="957"/>
      <c r="HYQ104" s="957"/>
      <c r="HYR104" s="957"/>
      <c r="HYS104" s="957"/>
      <c r="HYT104" s="957"/>
      <c r="HYU104" s="957"/>
      <c r="HYV104" s="957"/>
      <c r="HYW104" s="957"/>
      <c r="HYX104" s="957"/>
      <c r="HYY104" s="957"/>
      <c r="HYZ104" s="957"/>
      <c r="HZA104" s="957"/>
      <c r="HZB104" s="957"/>
      <c r="HZC104" s="957"/>
      <c r="HZD104" s="957"/>
      <c r="HZE104" s="957"/>
      <c r="HZF104" s="957"/>
      <c r="HZG104" s="957"/>
      <c r="HZH104" s="957"/>
      <c r="HZI104" s="957"/>
      <c r="HZJ104" s="957"/>
      <c r="HZK104" s="957"/>
      <c r="HZL104" s="957"/>
      <c r="HZM104" s="957"/>
      <c r="HZN104" s="957"/>
      <c r="HZO104" s="957"/>
      <c r="HZP104" s="957"/>
      <c r="HZQ104" s="957"/>
      <c r="HZR104" s="957"/>
      <c r="HZS104" s="957"/>
      <c r="HZT104" s="957"/>
      <c r="HZU104" s="957"/>
      <c r="HZV104" s="957"/>
      <c r="HZW104" s="957"/>
      <c r="HZX104" s="957"/>
      <c r="HZY104" s="957"/>
      <c r="HZZ104" s="957"/>
      <c r="IAA104" s="957"/>
      <c r="IAB104" s="957"/>
      <c r="IAC104" s="957"/>
      <c r="IAD104" s="957"/>
      <c r="IAE104" s="957"/>
      <c r="IAF104" s="957"/>
      <c r="IAG104" s="957"/>
      <c r="IAH104" s="957"/>
      <c r="IAI104" s="957"/>
      <c r="IAJ104" s="957"/>
      <c r="IAK104" s="957"/>
      <c r="IAL104" s="957"/>
      <c r="IAM104" s="957"/>
      <c r="IAN104" s="957"/>
      <c r="IAO104" s="957"/>
      <c r="IAP104" s="957"/>
      <c r="IAQ104" s="957"/>
      <c r="IAR104" s="957"/>
      <c r="IAS104" s="957"/>
      <c r="IAT104" s="957"/>
      <c r="IAU104" s="957"/>
      <c r="IAV104" s="957"/>
      <c r="IAW104" s="957"/>
      <c r="IAX104" s="957"/>
      <c r="IAY104" s="957"/>
      <c r="IAZ104" s="957"/>
      <c r="IBA104" s="957"/>
      <c r="IBB104" s="957"/>
      <c r="IBC104" s="957"/>
      <c r="IBD104" s="957"/>
      <c r="IBE104" s="957"/>
      <c r="IBF104" s="957"/>
      <c r="IBG104" s="957"/>
      <c r="IBH104" s="957"/>
      <c r="IBI104" s="957"/>
      <c r="IBJ104" s="957"/>
      <c r="IBK104" s="957"/>
      <c r="IBL104" s="957"/>
      <c r="IBM104" s="957"/>
      <c r="IBN104" s="957"/>
      <c r="IBO104" s="957"/>
      <c r="IBP104" s="957"/>
      <c r="IBQ104" s="957"/>
      <c r="IBR104" s="957"/>
      <c r="IBS104" s="957"/>
      <c r="IBT104" s="957"/>
      <c r="IBU104" s="957"/>
      <c r="IBV104" s="957"/>
      <c r="IBW104" s="957"/>
      <c r="IBX104" s="957"/>
      <c r="IBY104" s="957"/>
      <c r="IBZ104" s="957"/>
      <c r="ICA104" s="957"/>
      <c r="ICB104" s="957"/>
      <c r="ICC104" s="957"/>
      <c r="ICD104" s="957"/>
      <c r="ICE104" s="957"/>
      <c r="ICF104" s="957"/>
      <c r="ICG104" s="957"/>
      <c r="ICH104" s="957"/>
      <c r="ICI104" s="957"/>
      <c r="ICJ104" s="957"/>
      <c r="ICK104" s="957"/>
      <c r="ICL104" s="957"/>
      <c r="ICM104" s="957"/>
      <c r="ICN104" s="957"/>
      <c r="ICO104" s="957"/>
      <c r="ICP104" s="957"/>
      <c r="ICQ104" s="957"/>
      <c r="ICR104" s="957"/>
      <c r="ICS104" s="957"/>
      <c r="ICT104" s="957"/>
      <c r="ICU104" s="957"/>
      <c r="ICV104" s="957"/>
      <c r="ICW104" s="957"/>
      <c r="ICX104" s="957"/>
      <c r="ICY104" s="957"/>
      <c r="ICZ104" s="957"/>
      <c r="IDA104" s="957"/>
      <c r="IDB104" s="957"/>
      <c r="IDC104" s="957"/>
      <c r="IDD104" s="957"/>
      <c r="IDE104" s="957"/>
      <c r="IDF104" s="957"/>
      <c r="IDG104" s="957"/>
      <c r="IDH104" s="957"/>
      <c r="IDI104" s="957"/>
      <c r="IDJ104" s="957"/>
      <c r="IDK104" s="957"/>
      <c r="IDL104" s="957"/>
      <c r="IDM104" s="957"/>
      <c r="IDN104" s="957"/>
      <c r="IDO104" s="957"/>
      <c r="IDP104" s="957"/>
      <c r="IDQ104" s="957"/>
      <c r="IDR104" s="957"/>
      <c r="IDS104" s="957"/>
      <c r="IDT104" s="957"/>
      <c r="IDU104" s="957"/>
      <c r="IDV104" s="957"/>
      <c r="IDW104" s="957"/>
      <c r="IDX104" s="957"/>
      <c r="IDY104" s="957"/>
      <c r="IDZ104" s="957"/>
      <c r="IEA104" s="957"/>
      <c r="IEB104" s="957"/>
      <c r="IEC104" s="957"/>
      <c r="IED104" s="957"/>
      <c r="IEE104" s="957"/>
      <c r="IEF104" s="957"/>
      <c r="IEG104" s="957"/>
      <c r="IEH104" s="957"/>
      <c r="IEI104" s="957"/>
      <c r="IEJ104" s="957"/>
      <c r="IEK104" s="957"/>
      <c r="IEL104" s="957"/>
      <c r="IEM104" s="957"/>
      <c r="IEN104" s="957"/>
      <c r="IEO104" s="957"/>
      <c r="IEP104" s="957"/>
      <c r="IEQ104" s="957"/>
      <c r="IER104" s="957"/>
      <c r="IES104" s="957"/>
      <c r="IET104" s="957"/>
      <c r="IEU104" s="957"/>
      <c r="IEV104" s="957"/>
      <c r="IEW104" s="957"/>
      <c r="IEX104" s="957"/>
      <c r="IEY104" s="957"/>
      <c r="IEZ104" s="957"/>
      <c r="IFA104" s="957"/>
      <c r="IFB104" s="957"/>
      <c r="IFC104" s="957"/>
      <c r="IFD104" s="957"/>
      <c r="IFE104" s="957"/>
      <c r="IFF104" s="957"/>
      <c r="IFG104" s="957"/>
      <c r="IFH104" s="957"/>
      <c r="IFI104" s="957"/>
      <c r="IFJ104" s="957"/>
      <c r="IFK104" s="957"/>
      <c r="IFL104" s="957"/>
      <c r="IFM104" s="957"/>
      <c r="IFN104" s="957"/>
      <c r="IFO104" s="957"/>
      <c r="IFP104" s="957"/>
      <c r="IFQ104" s="957"/>
      <c r="IFR104" s="957"/>
      <c r="IFS104" s="957"/>
      <c r="IFT104" s="957"/>
      <c r="IFU104" s="957"/>
      <c r="IFV104" s="957"/>
      <c r="IFW104" s="957"/>
      <c r="IFX104" s="957"/>
      <c r="IFY104" s="957"/>
      <c r="IFZ104" s="957"/>
      <c r="IGA104" s="957"/>
      <c r="IGB104" s="957"/>
      <c r="IGC104" s="957"/>
      <c r="IGD104" s="957"/>
      <c r="IGE104" s="957"/>
      <c r="IGF104" s="957"/>
      <c r="IGG104" s="957"/>
      <c r="IGH104" s="957"/>
      <c r="IGI104" s="957"/>
      <c r="IGJ104" s="957"/>
      <c r="IGK104" s="957"/>
      <c r="IGL104" s="957"/>
      <c r="IGM104" s="957"/>
      <c r="IGN104" s="957"/>
      <c r="IGO104" s="957"/>
      <c r="IGP104" s="957"/>
      <c r="IGQ104" s="957"/>
      <c r="IGR104" s="957"/>
      <c r="IGS104" s="957"/>
      <c r="IGT104" s="957"/>
      <c r="IGU104" s="957"/>
      <c r="IGV104" s="957"/>
      <c r="IGW104" s="957"/>
      <c r="IGX104" s="957"/>
      <c r="IGY104" s="957"/>
      <c r="IGZ104" s="957"/>
      <c r="IHA104" s="957"/>
      <c r="IHB104" s="957"/>
      <c r="IHC104" s="957"/>
      <c r="IHD104" s="957"/>
      <c r="IHE104" s="957"/>
      <c r="IHF104" s="957"/>
      <c r="IHG104" s="957"/>
      <c r="IHH104" s="957"/>
      <c r="IHI104" s="957"/>
      <c r="IHJ104" s="957"/>
      <c r="IHK104" s="957"/>
      <c r="IHL104" s="957"/>
      <c r="IHM104" s="957"/>
      <c r="IHN104" s="957"/>
      <c r="IHO104" s="957"/>
      <c r="IHP104" s="957"/>
      <c r="IHQ104" s="957"/>
      <c r="IHR104" s="957"/>
      <c r="IHS104" s="957"/>
      <c r="IHT104" s="957"/>
      <c r="IHU104" s="957"/>
      <c r="IHV104" s="957"/>
      <c r="IHW104" s="957"/>
      <c r="IHX104" s="957"/>
      <c r="IHY104" s="957"/>
      <c r="IHZ104" s="957"/>
      <c r="IIA104" s="957"/>
      <c r="IIB104" s="957"/>
      <c r="IIC104" s="957"/>
      <c r="IID104" s="957"/>
      <c r="IIE104" s="957"/>
      <c r="IIF104" s="957"/>
      <c r="IIG104" s="957"/>
      <c r="IIH104" s="957"/>
      <c r="III104" s="957"/>
      <c r="IIJ104" s="957"/>
      <c r="IIK104" s="957"/>
      <c r="IIL104" s="957"/>
      <c r="IIM104" s="957"/>
      <c r="IIN104" s="957"/>
      <c r="IIO104" s="957"/>
      <c r="IIP104" s="957"/>
      <c r="IIQ104" s="957"/>
      <c r="IIR104" s="957"/>
      <c r="IIS104" s="957"/>
      <c r="IIT104" s="957"/>
      <c r="IIU104" s="957"/>
      <c r="IIV104" s="957"/>
      <c r="IIW104" s="957"/>
      <c r="IIX104" s="957"/>
      <c r="IIY104" s="957"/>
      <c r="IIZ104" s="957"/>
      <c r="IJA104" s="957"/>
      <c r="IJB104" s="957"/>
      <c r="IJC104" s="957"/>
      <c r="IJD104" s="957"/>
      <c r="IJE104" s="957"/>
      <c r="IJF104" s="957"/>
      <c r="IJG104" s="957"/>
      <c r="IJH104" s="957"/>
      <c r="IJI104" s="957"/>
      <c r="IJJ104" s="957"/>
      <c r="IJK104" s="957"/>
      <c r="IJL104" s="957"/>
      <c r="IJM104" s="957"/>
      <c r="IJN104" s="957"/>
      <c r="IJO104" s="957"/>
      <c r="IJP104" s="957"/>
      <c r="IJQ104" s="957"/>
      <c r="IJR104" s="957"/>
      <c r="IJS104" s="957"/>
      <c r="IJT104" s="957"/>
      <c r="IJU104" s="957"/>
      <c r="IJV104" s="957"/>
      <c r="IJW104" s="957"/>
      <c r="IJX104" s="957"/>
      <c r="IJY104" s="957"/>
      <c r="IJZ104" s="957"/>
      <c r="IKA104" s="957"/>
      <c r="IKB104" s="957"/>
      <c r="IKC104" s="957"/>
      <c r="IKD104" s="957"/>
      <c r="IKE104" s="957"/>
      <c r="IKF104" s="957"/>
      <c r="IKG104" s="957"/>
      <c r="IKH104" s="957"/>
      <c r="IKI104" s="957"/>
      <c r="IKJ104" s="957"/>
      <c r="IKK104" s="957"/>
      <c r="IKL104" s="957"/>
      <c r="IKM104" s="957"/>
      <c r="IKN104" s="957"/>
      <c r="IKO104" s="957"/>
      <c r="IKP104" s="957"/>
      <c r="IKQ104" s="957"/>
      <c r="IKR104" s="957"/>
      <c r="IKS104" s="957"/>
      <c r="IKT104" s="957"/>
      <c r="IKU104" s="957"/>
      <c r="IKV104" s="957"/>
      <c r="IKW104" s="957"/>
      <c r="IKX104" s="957"/>
      <c r="IKY104" s="957"/>
      <c r="IKZ104" s="957"/>
      <c r="ILA104" s="957"/>
      <c r="ILB104" s="957"/>
      <c r="ILC104" s="957"/>
      <c r="ILD104" s="957"/>
      <c r="ILE104" s="957"/>
      <c r="ILF104" s="957"/>
      <c r="ILG104" s="957"/>
      <c r="ILH104" s="957"/>
      <c r="ILI104" s="957"/>
      <c r="ILJ104" s="957"/>
      <c r="ILK104" s="957"/>
      <c r="ILL104" s="957"/>
      <c r="ILM104" s="957"/>
      <c r="ILN104" s="957"/>
      <c r="ILO104" s="957"/>
      <c r="ILP104" s="957"/>
      <c r="ILQ104" s="957"/>
      <c r="ILR104" s="957"/>
      <c r="ILS104" s="957"/>
      <c r="ILT104" s="957"/>
      <c r="ILU104" s="957"/>
      <c r="ILV104" s="957"/>
      <c r="ILW104" s="957"/>
      <c r="ILX104" s="957"/>
      <c r="ILY104" s="957"/>
      <c r="ILZ104" s="957"/>
      <c r="IMA104" s="957"/>
      <c r="IMB104" s="957"/>
      <c r="IMC104" s="957"/>
      <c r="IMD104" s="957"/>
      <c r="IME104" s="957"/>
      <c r="IMF104" s="957"/>
      <c r="IMG104" s="957"/>
      <c r="IMH104" s="957"/>
      <c r="IMI104" s="957"/>
      <c r="IMJ104" s="957"/>
      <c r="IMK104" s="957"/>
      <c r="IML104" s="957"/>
      <c r="IMM104" s="957"/>
      <c r="IMN104" s="957"/>
      <c r="IMO104" s="957"/>
      <c r="IMP104" s="957"/>
      <c r="IMQ104" s="957"/>
      <c r="IMR104" s="957"/>
      <c r="IMS104" s="957"/>
      <c r="IMT104" s="957"/>
      <c r="IMU104" s="957"/>
      <c r="IMV104" s="957"/>
      <c r="IMW104" s="957"/>
      <c r="IMX104" s="957"/>
      <c r="IMY104" s="957"/>
      <c r="IMZ104" s="957"/>
      <c r="INA104" s="957"/>
      <c r="INB104" s="957"/>
      <c r="INC104" s="957"/>
      <c r="IND104" s="957"/>
      <c r="INE104" s="957"/>
      <c r="INF104" s="957"/>
      <c r="ING104" s="957"/>
      <c r="INH104" s="957"/>
      <c r="INI104" s="957"/>
      <c r="INJ104" s="957"/>
      <c r="INK104" s="957"/>
      <c r="INL104" s="957"/>
      <c r="INM104" s="957"/>
      <c r="INN104" s="957"/>
      <c r="INO104" s="957"/>
      <c r="INP104" s="957"/>
      <c r="INQ104" s="957"/>
      <c r="INR104" s="957"/>
      <c r="INS104" s="957"/>
      <c r="INT104" s="957"/>
      <c r="INU104" s="957"/>
      <c r="INV104" s="957"/>
      <c r="INW104" s="957"/>
      <c r="INX104" s="957"/>
      <c r="INY104" s="957"/>
      <c r="INZ104" s="957"/>
      <c r="IOA104" s="957"/>
      <c r="IOB104" s="957"/>
      <c r="IOC104" s="957"/>
      <c r="IOD104" s="957"/>
      <c r="IOE104" s="957"/>
      <c r="IOF104" s="957"/>
      <c r="IOG104" s="957"/>
      <c r="IOH104" s="957"/>
      <c r="IOI104" s="957"/>
      <c r="IOJ104" s="957"/>
      <c r="IOK104" s="957"/>
      <c r="IOL104" s="957"/>
      <c r="IOM104" s="957"/>
      <c r="ION104" s="957"/>
      <c r="IOO104" s="957"/>
      <c r="IOP104" s="957"/>
      <c r="IOQ104" s="957"/>
      <c r="IOR104" s="957"/>
      <c r="IOS104" s="957"/>
      <c r="IOT104" s="957"/>
      <c r="IOU104" s="957"/>
      <c r="IOV104" s="957"/>
      <c r="IOW104" s="957"/>
      <c r="IOX104" s="957"/>
      <c r="IOY104" s="957"/>
      <c r="IOZ104" s="957"/>
      <c r="IPA104" s="957"/>
      <c r="IPB104" s="957"/>
      <c r="IPC104" s="957"/>
      <c r="IPD104" s="957"/>
      <c r="IPE104" s="957"/>
      <c r="IPF104" s="957"/>
      <c r="IPG104" s="957"/>
      <c r="IPH104" s="957"/>
      <c r="IPI104" s="957"/>
      <c r="IPJ104" s="957"/>
      <c r="IPK104" s="957"/>
      <c r="IPL104" s="957"/>
      <c r="IPM104" s="957"/>
      <c r="IPN104" s="957"/>
      <c r="IPO104" s="957"/>
      <c r="IPP104" s="957"/>
      <c r="IPQ104" s="957"/>
      <c r="IPR104" s="957"/>
      <c r="IPS104" s="957"/>
      <c r="IPT104" s="957"/>
      <c r="IPU104" s="957"/>
      <c r="IPV104" s="957"/>
      <c r="IPW104" s="957"/>
      <c r="IPX104" s="957"/>
      <c r="IPY104" s="957"/>
      <c r="IPZ104" s="957"/>
      <c r="IQA104" s="957"/>
      <c r="IQB104" s="957"/>
      <c r="IQC104" s="957"/>
      <c r="IQD104" s="957"/>
      <c r="IQE104" s="957"/>
      <c r="IQF104" s="957"/>
      <c r="IQG104" s="957"/>
      <c r="IQH104" s="957"/>
      <c r="IQI104" s="957"/>
      <c r="IQJ104" s="957"/>
      <c r="IQK104" s="957"/>
      <c r="IQL104" s="957"/>
      <c r="IQM104" s="957"/>
      <c r="IQN104" s="957"/>
      <c r="IQO104" s="957"/>
      <c r="IQP104" s="957"/>
      <c r="IQQ104" s="957"/>
      <c r="IQR104" s="957"/>
      <c r="IQS104" s="957"/>
      <c r="IQT104" s="957"/>
      <c r="IQU104" s="957"/>
      <c r="IQV104" s="957"/>
      <c r="IQW104" s="957"/>
      <c r="IQX104" s="957"/>
      <c r="IQY104" s="957"/>
      <c r="IQZ104" s="957"/>
      <c r="IRA104" s="957"/>
      <c r="IRB104" s="957"/>
      <c r="IRC104" s="957"/>
      <c r="IRD104" s="957"/>
      <c r="IRE104" s="957"/>
      <c r="IRF104" s="957"/>
      <c r="IRG104" s="957"/>
      <c r="IRH104" s="957"/>
      <c r="IRI104" s="957"/>
      <c r="IRJ104" s="957"/>
      <c r="IRK104" s="957"/>
      <c r="IRL104" s="957"/>
      <c r="IRM104" s="957"/>
      <c r="IRN104" s="957"/>
      <c r="IRO104" s="957"/>
      <c r="IRP104" s="957"/>
      <c r="IRQ104" s="957"/>
      <c r="IRR104" s="957"/>
      <c r="IRS104" s="957"/>
      <c r="IRT104" s="957"/>
      <c r="IRU104" s="957"/>
      <c r="IRV104" s="957"/>
      <c r="IRW104" s="957"/>
      <c r="IRX104" s="957"/>
      <c r="IRY104" s="957"/>
      <c r="IRZ104" s="957"/>
      <c r="ISA104" s="957"/>
      <c r="ISB104" s="957"/>
      <c r="ISC104" s="957"/>
      <c r="ISD104" s="957"/>
      <c r="ISE104" s="957"/>
      <c r="ISF104" s="957"/>
      <c r="ISG104" s="957"/>
      <c r="ISH104" s="957"/>
      <c r="ISI104" s="957"/>
      <c r="ISJ104" s="957"/>
      <c r="ISK104" s="957"/>
      <c r="ISL104" s="957"/>
      <c r="ISM104" s="957"/>
      <c r="ISN104" s="957"/>
      <c r="ISO104" s="957"/>
      <c r="ISP104" s="957"/>
      <c r="ISQ104" s="957"/>
      <c r="ISR104" s="957"/>
      <c r="ISS104" s="957"/>
      <c r="IST104" s="957"/>
      <c r="ISU104" s="957"/>
      <c r="ISV104" s="957"/>
      <c r="ISW104" s="957"/>
      <c r="ISX104" s="957"/>
      <c r="ISY104" s="957"/>
      <c r="ISZ104" s="957"/>
      <c r="ITA104" s="957"/>
      <c r="ITB104" s="957"/>
      <c r="ITC104" s="957"/>
      <c r="ITD104" s="957"/>
      <c r="ITE104" s="957"/>
      <c r="ITF104" s="957"/>
      <c r="ITG104" s="957"/>
      <c r="ITH104" s="957"/>
      <c r="ITI104" s="957"/>
      <c r="ITJ104" s="957"/>
      <c r="ITK104" s="957"/>
      <c r="ITL104" s="957"/>
      <c r="ITM104" s="957"/>
      <c r="ITN104" s="957"/>
      <c r="ITO104" s="957"/>
      <c r="ITP104" s="957"/>
      <c r="ITQ104" s="957"/>
      <c r="ITR104" s="957"/>
      <c r="ITS104" s="957"/>
      <c r="ITT104" s="957"/>
      <c r="ITU104" s="957"/>
      <c r="ITV104" s="957"/>
      <c r="ITW104" s="957"/>
      <c r="ITX104" s="957"/>
      <c r="ITY104" s="957"/>
      <c r="ITZ104" s="957"/>
      <c r="IUA104" s="957"/>
      <c r="IUB104" s="957"/>
      <c r="IUC104" s="957"/>
      <c r="IUD104" s="957"/>
      <c r="IUE104" s="957"/>
      <c r="IUF104" s="957"/>
      <c r="IUG104" s="957"/>
      <c r="IUH104" s="957"/>
      <c r="IUI104" s="957"/>
      <c r="IUJ104" s="957"/>
      <c r="IUK104" s="957"/>
      <c r="IUL104" s="957"/>
      <c r="IUM104" s="957"/>
      <c r="IUN104" s="957"/>
      <c r="IUO104" s="957"/>
      <c r="IUP104" s="957"/>
      <c r="IUQ104" s="957"/>
      <c r="IUR104" s="957"/>
      <c r="IUS104" s="957"/>
      <c r="IUT104" s="957"/>
      <c r="IUU104" s="957"/>
      <c r="IUV104" s="957"/>
      <c r="IUW104" s="957"/>
      <c r="IUX104" s="957"/>
      <c r="IUY104" s="957"/>
      <c r="IUZ104" s="957"/>
      <c r="IVA104" s="957"/>
      <c r="IVB104" s="957"/>
      <c r="IVC104" s="957"/>
      <c r="IVD104" s="957"/>
      <c r="IVE104" s="957"/>
      <c r="IVF104" s="957"/>
      <c r="IVG104" s="957"/>
      <c r="IVH104" s="957"/>
      <c r="IVI104" s="957"/>
      <c r="IVJ104" s="957"/>
      <c r="IVK104" s="957"/>
      <c r="IVL104" s="957"/>
      <c r="IVM104" s="957"/>
      <c r="IVN104" s="957"/>
      <c r="IVO104" s="957"/>
      <c r="IVP104" s="957"/>
      <c r="IVQ104" s="957"/>
      <c r="IVR104" s="957"/>
      <c r="IVS104" s="957"/>
      <c r="IVT104" s="957"/>
      <c r="IVU104" s="957"/>
      <c r="IVV104" s="957"/>
      <c r="IVW104" s="957"/>
      <c r="IVX104" s="957"/>
      <c r="IVY104" s="957"/>
      <c r="IVZ104" s="957"/>
      <c r="IWA104" s="957"/>
      <c r="IWB104" s="957"/>
      <c r="IWC104" s="957"/>
      <c r="IWD104" s="957"/>
      <c r="IWE104" s="957"/>
      <c r="IWF104" s="957"/>
      <c r="IWG104" s="957"/>
      <c r="IWH104" s="957"/>
      <c r="IWI104" s="957"/>
      <c r="IWJ104" s="957"/>
      <c r="IWK104" s="957"/>
      <c r="IWL104" s="957"/>
      <c r="IWM104" s="957"/>
      <c r="IWN104" s="957"/>
      <c r="IWO104" s="957"/>
      <c r="IWP104" s="957"/>
      <c r="IWQ104" s="957"/>
      <c r="IWR104" s="957"/>
      <c r="IWS104" s="957"/>
      <c r="IWT104" s="957"/>
      <c r="IWU104" s="957"/>
      <c r="IWV104" s="957"/>
      <c r="IWW104" s="957"/>
      <c r="IWX104" s="957"/>
      <c r="IWY104" s="957"/>
      <c r="IWZ104" s="957"/>
      <c r="IXA104" s="957"/>
      <c r="IXB104" s="957"/>
      <c r="IXC104" s="957"/>
      <c r="IXD104" s="957"/>
      <c r="IXE104" s="957"/>
      <c r="IXF104" s="957"/>
      <c r="IXG104" s="957"/>
      <c r="IXH104" s="957"/>
      <c r="IXI104" s="957"/>
      <c r="IXJ104" s="957"/>
      <c r="IXK104" s="957"/>
      <c r="IXL104" s="957"/>
      <c r="IXM104" s="957"/>
      <c r="IXN104" s="957"/>
      <c r="IXO104" s="957"/>
      <c r="IXP104" s="957"/>
      <c r="IXQ104" s="957"/>
      <c r="IXR104" s="957"/>
      <c r="IXS104" s="957"/>
      <c r="IXT104" s="957"/>
      <c r="IXU104" s="957"/>
      <c r="IXV104" s="957"/>
      <c r="IXW104" s="957"/>
      <c r="IXX104" s="957"/>
      <c r="IXY104" s="957"/>
      <c r="IXZ104" s="957"/>
      <c r="IYA104" s="957"/>
      <c r="IYB104" s="957"/>
      <c r="IYC104" s="957"/>
      <c r="IYD104" s="957"/>
      <c r="IYE104" s="957"/>
      <c r="IYF104" s="957"/>
      <c r="IYG104" s="957"/>
      <c r="IYH104" s="957"/>
      <c r="IYI104" s="957"/>
      <c r="IYJ104" s="957"/>
      <c r="IYK104" s="957"/>
      <c r="IYL104" s="957"/>
      <c r="IYM104" s="957"/>
      <c r="IYN104" s="957"/>
      <c r="IYO104" s="957"/>
      <c r="IYP104" s="957"/>
      <c r="IYQ104" s="957"/>
      <c r="IYR104" s="957"/>
      <c r="IYS104" s="957"/>
      <c r="IYT104" s="957"/>
      <c r="IYU104" s="957"/>
      <c r="IYV104" s="957"/>
      <c r="IYW104" s="957"/>
      <c r="IYX104" s="957"/>
      <c r="IYY104" s="957"/>
      <c r="IYZ104" s="957"/>
      <c r="IZA104" s="957"/>
      <c r="IZB104" s="957"/>
      <c r="IZC104" s="957"/>
      <c r="IZD104" s="957"/>
      <c r="IZE104" s="957"/>
      <c r="IZF104" s="957"/>
      <c r="IZG104" s="957"/>
      <c r="IZH104" s="957"/>
      <c r="IZI104" s="957"/>
      <c r="IZJ104" s="957"/>
      <c r="IZK104" s="957"/>
      <c r="IZL104" s="957"/>
      <c r="IZM104" s="957"/>
      <c r="IZN104" s="957"/>
      <c r="IZO104" s="957"/>
      <c r="IZP104" s="957"/>
      <c r="IZQ104" s="957"/>
      <c r="IZR104" s="957"/>
      <c r="IZS104" s="957"/>
      <c r="IZT104" s="957"/>
      <c r="IZU104" s="957"/>
      <c r="IZV104" s="957"/>
      <c r="IZW104" s="957"/>
      <c r="IZX104" s="957"/>
      <c r="IZY104" s="957"/>
      <c r="IZZ104" s="957"/>
      <c r="JAA104" s="957"/>
      <c r="JAB104" s="957"/>
      <c r="JAC104" s="957"/>
      <c r="JAD104" s="957"/>
      <c r="JAE104" s="957"/>
      <c r="JAF104" s="957"/>
      <c r="JAG104" s="957"/>
      <c r="JAH104" s="957"/>
      <c r="JAI104" s="957"/>
      <c r="JAJ104" s="957"/>
      <c r="JAK104" s="957"/>
      <c r="JAL104" s="957"/>
      <c r="JAM104" s="957"/>
      <c r="JAN104" s="957"/>
      <c r="JAO104" s="957"/>
      <c r="JAP104" s="957"/>
      <c r="JAQ104" s="957"/>
      <c r="JAR104" s="957"/>
      <c r="JAS104" s="957"/>
      <c r="JAT104" s="957"/>
      <c r="JAU104" s="957"/>
      <c r="JAV104" s="957"/>
      <c r="JAW104" s="957"/>
      <c r="JAX104" s="957"/>
      <c r="JAY104" s="957"/>
      <c r="JAZ104" s="957"/>
      <c r="JBA104" s="957"/>
      <c r="JBB104" s="957"/>
      <c r="JBC104" s="957"/>
      <c r="JBD104" s="957"/>
      <c r="JBE104" s="957"/>
      <c r="JBF104" s="957"/>
      <c r="JBG104" s="957"/>
      <c r="JBH104" s="957"/>
      <c r="JBI104" s="957"/>
      <c r="JBJ104" s="957"/>
      <c r="JBK104" s="957"/>
      <c r="JBL104" s="957"/>
      <c r="JBM104" s="957"/>
      <c r="JBN104" s="957"/>
      <c r="JBO104" s="957"/>
      <c r="JBP104" s="957"/>
      <c r="JBQ104" s="957"/>
      <c r="JBR104" s="957"/>
      <c r="JBS104" s="957"/>
      <c r="JBT104" s="957"/>
      <c r="JBU104" s="957"/>
      <c r="JBV104" s="957"/>
      <c r="JBW104" s="957"/>
      <c r="JBX104" s="957"/>
      <c r="JBY104" s="957"/>
      <c r="JBZ104" s="957"/>
      <c r="JCA104" s="957"/>
      <c r="JCB104" s="957"/>
      <c r="JCC104" s="957"/>
      <c r="JCD104" s="957"/>
      <c r="JCE104" s="957"/>
      <c r="JCF104" s="957"/>
      <c r="JCG104" s="957"/>
      <c r="JCH104" s="957"/>
      <c r="JCI104" s="957"/>
      <c r="JCJ104" s="957"/>
      <c r="JCK104" s="957"/>
      <c r="JCL104" s="957"/>
      <c r="JCM104" s="957"/>
      <c r="JCN104" s="957"/>
      <c r="JCO104" s="957"/>
      <c r="JCP104" s="957"/>
      <c r="JCQ104" s="957"/>
      <c r="JCR104" s="957"/>
      <c r="JCS104" s="957"/>
      <c r="JCT104" s="957"/>
      <c r="JCU104" s="957"/>
      <c r="JCV104" s="957"/>
      <c r="JCW104" s="957"/>
      <c r="JCX104" s="957"/>
      <c r="JCY104" s="957"/>
      <c r="JCZ104" s="957"/>
      <c r="JDA104" s="957"/>
      <c r="JDB104" s="957"/>
      <c r="JDC104" s="957"/>
      <c r="JDD104" s="957"/>
      <c r="JDE104" s="957"/>
      <c r="JDF104" s="957"/>
      <c r="JDG104" s="957"/>
      <c r="JDH104" s="957"/>
      <c r="JDI104" s="957"/>
      <c r="JDJ104" s="957"/>
      <c r="JDK104" s="957"/>
      <c r="JDL104" s="957"/>
      <c r="JDM104" s="957"/>
      <c r="JDN104" s="957"/>
      <c r="JDO104" s="957"/>
      <c r="JDP104" s="957"/>
      <c r="JDQ104" s="957"/>
      <c r="JDR104" s="957"/>
      <c r="JDS104" s="957"/>
      <c r="JDT104" s="957"/>
      <c r="JDU104" s="957"/>
      <c r="JDV104" s="957"/>
      <c r="JDW104" s="957"/>
      <c r="JDX104" s="957"/>
      <c r="JDY104" s="957"/>
      <c r="JDZ104" s="957"/>
      <c r="JEA104" s="957"/>
      <c r="JEB104" s="957"/>
      <c r="JEC104" s="957"/>
      <c r="JED104" s="957"/>
      <c r="JEE104" s="957"/>
      <c r="JEF104" s="957"/>
      <c r="JEG104" s="957"/>
      <c r="JEH104" s="957"/>
      <c r="JEI104" s="957"/>
      <c r="JEJ104" s="957"/>
      <c r="JEK104" s="957"/>
      <c r="JEL104" s="957"/>
      <c r="JEM104" s="957"/>
      <c r="JEN104" s="957"/>
      <c r="JEO104" s="957"/>
      <c r="JEP104" s="957"/>
      <c r="JEQ104" s="957"/>
      <c r="JER104" s="957"/>
      <c r="JES104" s="957"/>
      <c r="JET104" s="957"/>
      <c r="JEU104" s="957"/>
      <c r="JEV104" s="957"/>
      <c r="JEW104" s="957"/>
      <c r="JEX104" s="957"/>
      <c r="JEY104" s="957"/>
      <c r="JEZ104" s="957"/>
      <c r="JFA104" s="957"/>
      <c r="JFB104" s="957"/>
      <c r="JFC104" s="957"/>
      <c r="JFD104" s="957"/>
      <c r="JFE104" s="957"/>
      <c r="JFF104" s="957"/>
      <c r="JFG104" s="957"/>
      <c r="JFH104" s="957"/>
      <c r="JFI104" s="957"/>
      <c r="JFJ104" s="957"/>
      <c r="JFK104" s="957"/>
      <c r="JFL104" s="957"/>
      <c r="JFM104" s="957"/>
      <c r="JFN104" s="957"/>
      <c r="JFO104" s="957"/>
      <c r="JFP104" s="957"/>
      <c r="JFQ104" s="957"/>
      <c r="JFR104" s="957"/>
      <c r="JFS104" s="957"/>
      <c r="JFT104" s="957"/>
      <c r="JFU104" s="957"/>
      <c r="JFV104" s="957"/>
      <c r="JFW104" s="957"/>
      <c r="JFX104" s="957"/>
      <c r="JFY104" s="957"/>
      <c r="JFZ104" s="957"/>
      <c r="JGA104" s="957"/>
      <c r="JGB104" s="957"/>
      <c r="JGC104" s="957"/>
      <c r="JGD104" s="957"/>
      <c r="JGE104" s="957"/>
      <c r="JGF104" s="957"/>
      <c r="JGG104" s="957"/>
      <c r="JGH104" s="957"/>
      <c r="JGI104" s="957"/>
      <c r="JGJ104" s="957"/>
      <c r="JGK104" s="957"/>
      <c r="JGL104" s="957"/>
      <c r="JGM104" s="957"/>
      <c r="JGN104" s="957"/>
      <c r="JGO104" s="957"/>
      <c r="JGP104" s="957"/>
      <c r="JGQ104" s="957"/>
      <c r="JGR104" s="957"/>
      <c r="JGS104" s="957"/>
      <c r="JGT104" s="957"/>
      <c r="JGU104" s="957"/>
      <c r="JGV104" s="957"/>
      <c r="JGW104" s="957"/>
      <c r="JGX104" s="957"/>
      <c r="JGY104" s="957"/>
      <c r="JGZ104" s="957"/>
      <c r="JHA104" s="957"/>
      <c r="JHB104" s="957"/>
      <c r="JHC104" s="957"/>
      <c r="JHD104" s="957"/>
      <c r="JHE104" s="957"/>
      <c r="JHF104" s="957"/>
      <c r="JHG104" s="957"/>
      <c r="JHH104" s="957"/>
      <c r="JHI104" s="957"/>
      <c r="JHJ104" s="957"/>
      <c r="JHK104" s="957"/>
      <c r="JHL104" s="957"/>
      <c r="JHM104" s="957"/>
      <c r="JHN104" s="957"/>
      <c r="JHO104" s="957"/>
      <c r="JHP104" s="957"/>
      <c r="JHQ104" s="957"/>
      <c r="JHR104" s="957"/>
      <c r="JHS104" s="957"/>
      <c r="JHT104" s="957"/>
      <c r="JHU104" s="957"/>
      <c r="JHV104" s="957"/>
      <c r="JHW104" s="957"/>
      <c r="JHX104" s="957"/>
      <c r="JHY104" s="957"/>
      <c r="JHZ104" s="957"/>
      <c r="JIA104" s="957"/>
      <c r="JIB104" s="957"/>
      <c r="JIC104" s="957"/>
      <c r="JID104" s="957"/>
      <c r="JIE104" s="957"/>
      <c r="JIF104" s="957"/>
      <c r="JIG104" s="957"/>
      <c r="JIH104" s="957"/>
      <c r="JII104" s="957"/>
      <c r="JIJ104" s="957"/>
      <c r="JIK104" s="957"/>
      <c r="JIL104" s="957"/>
      <c r="JIM104" s="957"/>
      <c r="JIN104" s="957"/>
      <c r="JIO104" s="957"/>
      <c r="JIP104" s="957"/>
      <c r="JIQ104" s="957"/>
      <c r="JIR104" s="957"/>
      <c r="JIS104" s="957"/>
      <c r="JIT104" s="957"/>
      <c r="JIU104" s="957"/>
      <c r="JIV104" s="957"/>
      <c r="JIW104" s="957"/>
      <c r="JIX104" s="957"/>
      <c r="JIY104" s="957"/>
      <c r="JIZ104" s="957"/>
      <c r="JJA104" s="957"/>
      <c r="JJB104" s="957"/>
      <c r="JJC104" s="957"/>
      <c r="JJD104" s="957"/>
      <c r="JJE104" s="957"/>
      <c r="JJF104" s="957"/>
      <c r="JJG104" s="957"/>
      <c r="JJH104" s="957"/>
      <c r="JJI104" s="957"/>
      <c r="JJJ104" s="957"/>
      <c r="JJK104" s="957"/>
      <c r="JJL104" s="957"/>
      <c r="JJM104" s="957"/>
      <c r="JJN104" s="957"/>
      <c r="JJO104" s="957"/>
      <c r="JJP104" s="957"/>
      <c r="JJQ104" s="957"/>
      <c r="JJR104" s="957"/>
      <c r="JJS104" s="957"/>
      <c r="JJT104" s="957"/>
      <c r="JJU104" s="957"/>
      <c r="JJV104" s="957"/>
      <c r="JJW104" s="957"/>
      <c r="JJX104" s="957"/>
      <c r="JJY104" s="957"/>
      <c r="JJZ104" s="957"/>
      <c r="JKA104" s="957"/>
      <c r="JKB104" s="957"/>
      <c r="JKC104" s="957"/>
      <c r="JKD104" s="957"/>
      <c r="JKE104" s="957"/>
      <c r="JKF104" s="957"/>
      <c r="JKG104" s="957"/>
      <c r="JKH104" s="957"/>
      <c r="JKI104" s="957"/>
      <c r="JKJ104" s="957"/>
      <c r="JKK104" s="957"/>
      <c r="JKL104" s="957"/>
      <c r="JKM104" s="957"/>
      <c r="JKN104" s="957"/>
      <c r="JKO104" s="957"/>
      <c r="JKP104" s="957"/>
      <c r="JKQ104" s="957"/>
      <c r="JKR104" s="957"/>
      <c r="JKS104" s="957"/>
      <c r="JKT104" s="957"/>
      <c r="JKU104" s="957"/>
      <c r="JKV104" s="957"/>
      <c r="JKW104" s="957"/>
      <c r="JKX104" s="957"/>
      <c r="JKY104" s="957"/>
      <c r="JKZ104" s="957"/>
      <c r="JLA104" s="957"/>
      <c r="JLB104" s="957"/>
      <c r="JLC104" s="957"/>
      <c r="JLD104" s="957"/>
      <c r="JLE104" s="957"/>
      <c r="JLF104" s="957"/>
      <c r="JLG104" s="957"/>
      <c r="JLH104" s="957"/>
      <c r="JLI104" s="957"/>
      <c r="JLJ104" s="957"/>
      <c r="JLK104" s="957"/>
      <c r="JLL104" s="957"/>
      <c r="JLM104" s="957"/>
      <c r="JLN104" s="957"/>
      <c r="JLO104" s="957"/>
      <c r="JLP104" s="957"/>
      <c r="JLQ104" s="957"/>
      <c r="JLR104" s="957"/>
      <c r="JLS104" s="957"/>
      <c r="JLT104" s="957"/>
      <c r="JLU104" s="957"/>
      <c r="JLV104" s="957"/>
      <c r="JLW104" s="957"/>
      <c r="JLX104" s="957"/>
      <c r="JLY104" s="957"/>
      <c r="JLZ104" s="957"/>
      <c r="JMA104" s="957"/>
      <c r="JMB104" s="957"/>
      <c r="JMC104" s="957"/>
      <c r="JMD104" s="957"/>
      <c r="JME104" s="957"/>
      <c r="JMF104" s="957"/>
      <c r="JMG104" s="957"/>
      <c r="JMH104" s="957"/>
      <c r="JMI104" s="957"/>
      <c r="JMJ104" s="957"/>
      <c r="JMK104" s="957"/>
      <c r="JML104" s="957"/>
      <c r="JMM104" s="957"/>
      <c r="JMN104" s="957"/>
      <c r="JMO104" s="957"/>
      <c r="JMP104" s="957"/>
      <c r="JMQ104" s="957"/>
      <c r="JMR104" s="957"/>
      <c r="JMS104" s="957"/>
      <c r="JMT104" s="957"/>
      <c r="JMU104" s="957"/>
      <c r="JMV104" s="957"/>
      <c r="JMW104" s="957"/>
      <c r="JMX104" s="957"/>
      <c r="JMY104" s="957"/>
      <c r="JMZ104" s="957"/>
      <c r="JNA104" s="957"/>
      <c r="JNB104" s="957"/>
      <c r="JNC104" s="957"/>
      <c r="JND104" s="957"/>
      <c r="JNE104" s="957"/>
      <c r="JNF104" s="957"/>
      <c r="JNG104" s="957"/>
      <c r="JNH104" s="957"/>
      <c r="JNI104" s="957"/>
      <c r="JNJ104" s="957"/>
      <c r="JNK104" s="957"/>
      <c r="JNL104" s="957"/>
      <c r="JNM104" s="957"/>
      <c r="JNN104" s="957"/>
      <c r="JNO104" s="957"/>
      <c r="JNP104" s="957"/>
      <c r="JNQ104" s="957"/>
      <c r="JNR104" s="957"/>
      <c r="JNS104" s="957"/>
      <c r="JNT104" s="957"/>
      <c r="JNU104" s="957"/>
      <c r="JNV104" s="957"/>
      <c r="JNW104" s="957"/>
      <c r="JNX104" s="957"/>
      <c r="JNY104" s="957"/>
      <c r="JNZ104" s="957"/>
      <c r="JOA104" s="957"/>
      <c r="JOB104" s="957"/>
      <c r="JOC104" s="957"/>
      <c r="JOD104" s="957"/>
      <c r="JOE104" s="957"/>
      <c r="JOF104" s="957"/>
      <c r="JOG104" s="957"/>
      <c r="JOH104" s="957"/>
      <c r="JOI104" s="957"/>
      <c r="JOJ104" s="957"/>
      <c r="JOK104" s="957"/>
      <c r="JOL104" s="957"/>
      <c r="JOM104" s="957"/>
      <c r="JON104" s="957"/>
      <c r="JOO104" s="957"/>
      <c r="JOP104" s="957"/>
      <c r="JOQ104" s="957"/>
      <c r="JOR104" s="957"/>
      <c r="JOS104" s="957"/>
      <c r="JOT104" s="957"/>
      <c r="JOU104" s="957"/>
      <c r="JOV104" s="957"/>
      <c r="JOW104" s="957"/>
      <c r="JOX104" s="957"/>
      <c r="JOY104" s="957"/>
      <c r="JOZ104" s="957"/>
      <c r="JPA104" s="957"/>
      <c r="JPB104" s="957"/>
      <c r="JPC104" s="957"/>
      <c r="JPD104" s="957"/>
      <c r="JPE104" s="957"/>
      <c r="JPF104" s="957"/>
      <c r="JPG104" s="957"/>
      <c r="JPH104" s="957"/>
      <c r="JPI104" s="957"/>
      <c r="JPJ104" s="957"/>
      <c r="JPK104" s="957"/>
      <c r="JPL104" s="957"/>
      <c r="JPM104" s="957"/>
      <c r="JPN104" s="957"/>
      <c r="JPO104" s="957"/>
      <c r="JPP104" s="957"/>
      <c r="JPQ104" s="957"/>
      <c r="JPR104" s="957"/>
      <c r="JPS104" s="957"/>
      <c r="JPT104" s="957"/>
      <c r="JPU104" s="957"/>
      <c r="JPV104" s="957"/>
      <c r="JPW104" s="957"/>
      <c r="JPX104" s="957"/>
      <c r="JPY104" s="957"/>
      <c r="JPZ104" s="957"/>
      <c r="JQA104" s="957"/>
      <c r="JQB104" s="957"/>
      <c r="JQC104" s="957"/>
      <c r="JQD104" s="957"/>
      <c r="JQE104" s="957"/>
      <c r="JQF104" s="957"/>
      <c r="JQG104" s="957"/>
      <c r="JQH104" s="957"/>
      <c r="JQI104" s="957"/>
      <c r="JQJ104" s="957"/>
      <c r="JQK104" s="957"/>
      <c r="JQL104" s="957"/>
      <c r="JQM104" s="957"/>
      <c r="JQN104" s="957"/>
      <c r="JQO104" s="957"/>
      <c r="JQP104" s="957"/>
      <c r="JQQ104" s="957"/>
      <c r="JQR104" s="957"/>
      <c r="JQS104" s="957"/>
      <c r="JQT104" s="957"/>
      <c r="JQU104" s="957"/>
      <c r="JQV104" s="957"/>
      <c r="JQW104" s="957"/>
      <c r="JQX104" s="957"/>
      <c r="JQY104" s="957"/>
      <c r="JQZ104" s="957"/>
      <c r="JRA104" s="957"/>
      <c r="JRB104" s="957"/>
      <c r="JRC104" s="957"/>
      <c r="JRD104" s="957"/>
      <c r="JRE104" s="957"/>
      <c r="JRF104" s="957"/>
      <c r="JRG104" s="957"/>
      <c r="JRH104" s="957"/>
      <c r="JRI104" s="957"/>
      <c r="JRJ104" s="957"/>
      <c r="JRK104" s="957"/>
      <c r="JRL104" s="957"/>
      <c r="JRM104" s="957"/>
      <c r="JRN104" s="957"/>
      <c r="JRO104" s="957"/>
      <c r="JRP104" s="957"/>
      <c r="JRQ104" s="957"/>
      <c r="JRR104" s="957"/>
      <c r="JRS104" s="957"/>
      <c r="JRT104" s="957"/>
      <c r="JRU104" s="957"/>
      <c r="JRV104" s="957"/>
      <c r="JRW104" s="957"/>
      <c r="JRX104" s="957"/>
      <c r="JRY104" s="957"/>
      <c r="JRZ104" s="957"/>
      <c r="JSA104" s="957"/>
      <c r="JSB104" s="957"/>
      <c r="JSC104" s="957"/>
      <c r="JSD104" s="957"/>
      <c r="JSE104" s="957"/>
      <c r="JSF104" s="957"/>
      <c r="JSG104" s="957"/>
      <c r="JSH104" s="957"/>
      <c r="JSI104" s="957"/>
      <c r="JSJ104" s="957"/>
      <c r="JSK104" s="957"/>
      <c r="JSL104" s="957"/>
      <c r="JSM104" s="957"/>
      <c r="JSN104" s="957"/>
      <c r="JSO104" s="957"/>
      <c r="JSP104" s="957"/>
      <c r="JSQ104" s="957"/>
      <c r="JSR104" s="957"/>
      <c r="JSS104" s="957"/>
      <c r="JST104" s="957"/>
      <c r="JSU104" s="957"/>
      <c r="JSV104" s="957"/>
      <c r="JSW104" s="957"/>
      <c r="JSX104" s="957"/>
      <c r="JSY104" s="957"/>
      <c r="JSZ104" s="957"/>
      <c r="JTA104" s="957"/>
      <c r="JTB104" s="957"/>
      <c r="JTC104" s="957"/>
      <c r="JTD104" s="957"/>
      <c r="JTE104" s="957"/>
      <c r="JTF104" s="957"/>
      <c r="JTG104" s="957"/>
      <c r="JTH104" s="957"/>
      <c r="JTI104" s="957"/>
      <c r="JTJ104" s="957"/>
      <c r="JTK104" s="957"/>
      <c r="JTL104" s="957"/>
      <c r="JTM104" s="957"/>
      <c r="JTN104" s="957"/>
      <c r="JTO104" s="957"/>
      <c r="JTP104" s="957"/>
      <c r="JTQ104" s="957"/>
      <c r="JTR104" s="957"/>
      <c r="JTS104" s="957"/>
      <c r="JTT104" s="957"/>
      <c r="JTU104" s="957"/>
      <c r="JTV104" s="957"/>
      <c r="JTW104" s="957"/>
      <c r="JTX104" s="957"/>
      <c r="JTY104" s="957"/>
      <c r="JTZ104" s="957"/>
      <c r="JUA104" s="957"/>
      <c r="JUB104" s="957"/>
      <c r="JUC104" s="957"/>
      <c r="JUD104" s="957"/>
      <c r="JUE104" s="957"/>
      <c r="JUF104" s="957"/>
      <c r="JUG104" s="957"/>
      <c r="JUH104" s="957"/>
      <c r="JUI104" s="957"/>
      <c r="JUJ104" s="957"/>
      <c r="JUK104" s="957"/>
      <c r="JUL104" s="957"/>
      <c r="JUM104" s="957"/>
      <c r="JUN104" s="957"/>
      <c r="JUO104" s="957"/>
      <c r="JUP104" s="957"/>
      <c r="JUQ104" s="957"/>
      <c r="JUR104" s="957"/>
      <c r="JUS104" s="957"/>
      <c r="JUT104" s="957"/>
      <c r="JUU104" s="957"/>
      <c r="JUV104" s="957"/>
      <c r="JUW104" s="957"/>
      <c r="JUX104" s="957"/>
      <c r="JUY104" s="957"/>
      <c r="JUZ104" s="957"/>
      <c r="JVA104" s="957"/>
      <c r="JVB104" s="957"/>
      <c r="JVC104" s="957"/>
      <c r="JVD104" s="957"/>
      <c r="JVE104" s="957"/>
      <c r="JVF104" s="957"/>
      <c r="JVG104" s="957"/>
      <c r="JVH104" s="957"/>
      <c r="JVI104" s="957"/>
      <c r="JVJ104" s="957"/>
      <c r="JVK104" s="957"/>
      <c r="JVL104" s="957"/>
      <c r="JVM104" s="957"/>
      <c r="JVN104" s="957"/>
      <c r="JVO104" s="957"/>
      <c r="JVP104" s="957"/>
      <c r="JVQ104" s="957"/>
      <c r="JVR104" s="957"/>
      <c r="JVS104" s="957"/>
      <c r="JVT104" s="957"/>
      <c r="JVU104" s="957"/>
      <c r="JVV104" s="957"/>
      <c r="JVW104" s="957"/>
      <c r="JVX104" s="957"/>
      <c r="JVY104" s="957"/>
      <c r="JVZ104" s="957"/>
      <c r="JWA104" s="957"/>
      <c r="JWB104" s="957"/>
      <c r="JWC104" s="957"/>
      <c r="JWD104" s="957"/>
      <c r="JWE104" s="957"/>
      <c r="JWF104" s="957"/>
      <c r="JWG104" s="957"/>
      <c r="JWH104" s="957"/>
      <c r="JWI104" s="957"/>
      <c r="JWJ104" s="957"/>
      <c r="JWK104" s="957"/>
      <c r="JWL104" s="957"/>
      <c r="JWM104" s="957"/>
      <c r="JWN104" s="957"/>
      <c r="JWO104" s="957"/>
      <c r="JWP104" s="957"/>
      <c r="JWQ104" s="957"/>
      <c r="JWR104" s="957"/>
      <c r="JWS104" s="957"/>
      <c r="JWT104" s="957"/>
      <c r="JWU104" s="957"/>
      <c r="JWV104" s="957"/>
      <c r="JWW104" s="957"/>
      <c r="JWX104" s="957"/>
      <c r="JWY104" s="957"/>
      <c r="JWZ104" s="957"/>
      <c r="JXA104" s="957"/>
      <c r="JXB104" s="957"/>
      <c r="JXC104" s="957"/>
      <c r="JXD104" s="957"/>
      <c r="JXE104" s="957"/>
      <c r="JXF104" s="957"/>
      <c r="JXG104" s="957"/>
      <c r="JXH104" s="957"/>
      <c r="JXI104" s="957"/>
      <c r="JXJ104" s="957"/>
      <c r="JXK104" s="957"/>
      <c r="JXL104" s="957"/>
      <c r="JXM104" s="957"/>
      <c r="JXN104" s="957"/>
      <c r="JXO104" s="957"/>
      <c r="JXP104" s="957"/>
      <c r="JXQ104" s="957"/>
      <c r="JXR104" s="957"/>
      <c r="JXS104" s="957"/>
      <c r="JXT104" s="957"/>
      <c r="JXU104" s="957"/>
      <c r="JXV104" s="957"/>
      <c r="JXW104" s="957"/>
      <c r="JXX104" s="957"/>
      <c r="JXY104" s="957"/>
      <c r="JXZ104" s="957"/>
      <c r="JYA104" s="957"/>
      <c r="JYB104" s="957"/>
      <c r="JYC104" s="957"/>
      <c r="JYD104" s="957"/>
      <c r="JYE104" s="957"/>
      <c r="JYF104" s="957"/>
      <c r="JYG104" s="957"/>
      <c r="JYH104" s="957"/>
      <c r="JYI104" s="957"/>
      <c r="JYJ104" s="957"/>
      <c r="JYK104" s="957"/>
      <c r="JYL104" s="957"/>
      <c r="JYM104" s="957"/>
      <c r="JYN104" s="957"/>
      <c r="JYO104" s="957"/>
      <c r="JYP104" s="957"/>
      <c r="JYQ104" s="957"/>
      <c r="JYR104" s="957"/>
      <c r="JYS104" s="957"/>
      <c r="JYT104" s="957"/>
      <c r="JYU104" s="957"/>
      <c r="JYV104" s="957"/>
      <c r="JYW104" s="957"/>
      <c r="JYX104" s="957"/>
      <c r="JYY104" s="957"/>
      <c r="JYZ104" s="957"/>
      <c r="JZA104" s="957"/>
      <c r="JZB104" s="957"/>
      <c r="JZC104" s="957"/>
      <c r="JZD104" s="957"/>
      <c r="JZE104" s="957"/>
      <c r="JZF104" s="957"/>
      <c r="JZG104" s="957"/>
      <c r="JZH104" s="957"/>
      <c r="JZI104" s="957"/>
      <c r="JZJ104" s="957"/>
      <c r="JZK104" s="957"/>
      <c r="JZL104" s="957"/>
      <c r="JZM104" s="957"/>
      <c r="JZN104" s="957"/>
      <c r="JZO104" s="957"/>
      <c r="JZP104" s="957"/>
      <c r="JZQ104" s="957"/>
      <c r="JZR104" s="957"/>
      <c r="JZS104" s="957"/>
      <c r="JZT104" s="957"/>
      <c r="JZU104" s="957"/>
      <c r="JZV104" s="957"/>
      <c r="JZW104" s="957"/>
      <c r="JZX104" s="957"/>
      <c r="JZY104" s="957"/>
      <c r="JZZ104" s="957"/>
      <c r="KAA104" s="957"/>
      <c r="KAB104" s="957"/>
      <c r="KAC104" s="957"/>
      <c r="KAD104" s="957"/>
      <c r="KAE104" s="957"/>
      <c r="KAF104" s="957"/>
      <c r="KAG104" s="957"/>
      <c r="KAH104" s="957"/>
      <c r="KAI104" s="957"/>
      <c r="KAJ104" s="957"/>
      <c r="KAK104" s="957"/>
      <c r="KAL104" s="957"/>
      <c r="KAM104" s="957"/>
      <c r="KAN104" s="957"/>
      <c r="KAO104" s="957"/>
      <c r="KAP104" s="957"/>
      <c r="KAQ104" s="957"/>
      <c r="KAR104" s="957"/>
      <c r="KAS104" s="957"/>
      <c r="KAT104" s="957"/>
      <c r="KAU104" s="957"/>
      <c r="KAV104" s="957"/>
      <c r="KAW104" s="957"/>
      <c r="KAX104" s="957"/>
      <c r="KAY104" s="957"/>
      <c r="KAZ104" s="957"/>
      <c r="KBA104" s="957"/>
      <c r="KBB104" s="957"/>
      <c r="KBC104" s="957"/>
      <c r="KBD104" s="957"/>
      <c r="KBE104" s="957"/>
      <c r="KBF104" s="957"/>
      <c r="KBG104" s="957"/>
      <c r="KBH104" s="957"/>
      <c r="KBI104" s="957"/>
      <c r="KBJ104" s="957"/>
      <c r="KBK104" s="957"/>
      <c r="KBL104" s="957"/>
      <c r="KBM104" s="957"/>
      <c r="KBN104" s="957"/>
      <c r="KBO104" s="957"/>
      <c r="KBP104" s="957"/>
      <c r="KBQ104" s="957"/>
      <c r="KBR104" s="957"/>
      <c r="KBS104" s="957"/>
      <c r="KBT104" s="957"/>
      <c r="KBU104" s="957"/>
      <c r="KBV104" s="957"/>
      <c r="KBW104" s="957"/>
      <c r="KBX104" s="957"/>
      <c r="KBY104" s="957"/>
      <c r="KBZ104" s="957"/>
      <c r="KCA104" s="957"/>
      <c r="KCB104" s="957"/>
      <c r="KCC104" s="957"/>
      <c r="KCD104" s="957"/>
      <c r="KCE104" s="957"/>
      <c r="KCF104" s="957"/>
      <c r="KCG104" s="957"/>
      <c r="KCH104" s="957"/>
      <c r="KCI104" s="957"/>
      <c r="KCJ104" s="957"/>
      <c r="KCK104" s="957"/>
      <c r="KCL104" s="957"/>
      <c r="KCM104" s="957"/>
      <c r="KCN104" s="957"/>
      <c r="KCO104" s="957"/>
      <c r="KCP104" s="957"/>
      <c r="KCQ104" s="957"/>
      <c r="KCR104" s="957"/>
      <c r="KCS104" s="957"/>
      <c r="KCT104" s="957"/>
      <c r="KCU104" s="957"/>
      <c r="KCV104" s="957"/>
      <c r="KCW104" s="957"/>
      <c r="KCX104" s="957"/>
      <c r="KCY104" s="957"/>
      <c r="KCZ104" s="957"/>
      <c r="KDA104" s="957"/>
      <c r="KDB104" s="957"/>
      <c r="KDC104" s="957"/>
      <c r="KDD104" s="957"/>
      <c r="KDE104" s="957"/>
      <c r="KDF104" s="957"/>
      <c r="KDG104" s="957"/>
      <c r="KDH104" s="957"/>
      <c r="KDI104" s="957"/>
      <c r="KDJ104" s="957"/>
      <c r="KDK104" s="957"/>
      <c r="KDL104" s="957"/>
      <c r="KDM104" s="957"/>
      <c r="KDN104" s="957"/>
      <c r="KDO104" s="957"/>
      <c r="KDP104" s="957"/>
      <c r="KDQ104" s="957"/>
      <c r="KDR104" s="957"/>
      <c r="KDS104" s="957"/>
      <c r="KDT104" s="957"/>
      <c r="KDU104" s="957"/>
      <c r="KDV104" s="957"/>
      <c r="KDW104" s="957"/>
      <c r="KDX104" s="957"/>
      <c r="KDY104" s="957"/>
      <c r="KDZ104" s="957"/>
      <c r="KEA104" s="957"/>
      <c r="KEB104" s="957"/>
      <c r="KEC104" s="957"/>
      <c r="KED104" s="957"/>
      <c r="KEE104" s="957"/>
      <c r="KEF104" s="957"/>
      <c r="KEG104" s="957"/>
      <c r="KEH104" s="957"/>
      <c r="KEI104" s="957"/>
      <c r="KEJ104" s="957"/>
      <c r="KEK104" s="957"/>
      <c r="KEL104" s="957"/>
      <c r="KEM104" s="957"/>
      <c r="KEN104" s="957"/>
      <c r="KEO104" s="957"/>
      <c r="KEP104" s="957"/>
      <c r="KEQ104" s="957"/>
      <c r="KER104" s="957"/>
      <c r="KES104" s="957"/>
      <c r="KET104" s="957"/>
      <c r="KEU104" s="957"/>
      <c r="KEV104" s="957"/>
      <c r="KEW104" s="957"/>
      <c r="KEX104" s="957"/>
      <c r="KEY104" s="957"/>
      <c r="KEZ104" s="957"/>
      <c r="KFA104" s="957"/>
      <c r="KFB104" s="957"/>
      <c r="KFC104" s="957"/>
      <c r="KFD104" s="957"/>
      <c r="KFE104" s="957"/>
      <c r="KFF104" s="957"/>
      <c r="KFG104" s="957"/>
      <c r="KFH104" s="957"/>
      <c r="KFI104" s="957"/>
      <c r="KFJ104" s="957"/>
      <c r="KFK104" s="957"/>
      <c r="KFL104" s="957"/>
      <c r="KFM104" s="957"/>
      <c r="KFN104" s="957"/>
      <c r="KFO104" s="957"/>
      <c r="KFP104" s="957"/>
      <c r="KFQ104" s="957"/>
      <c r="KFR104" s="957"/>
      <c r="KFS104" s="957"/>
      <c r="KFT104" s="957"/>
      <c r="KFU104" s="957"/>
      <c r="KFV104" s="957"/>
      <c r="KFW104" s="957"/>
      <c r="KFX104" s="957"/>
      <c r="KFY104" s="957"/>
      <c r="KFZ104" s="957"/>
      <c r="KGA104" s="957"/>
      <c r="KGB104" s="957"/>
      <c r="KGC104" s="957"/>
      <c r="KGD104" s="957"/>
      <c r="KGE104" s="957"/>
      <c r="KGF104" s="957"/>
      <c r="KGG104" s="957"/>
      <c r="KGH104" s="957"/>
      <c r="KGI104" s="957"/>
      <c r="KGJ104" s="957"/>
      <c r="KGK104" s="957"/>
      <c r="KGL104" s="957"/>
      <c r="KGM104" s="957"/>
      <c r="KGN104" s="957"/>
      <c r="KGO104" s="957"/>
      <c r="KGP104" s="957"/>
      <c r="KGQ104" s="957"/>
      <c r="KGR104" s="957"/>
      <c r="KGS104" s="957"/>
      <c r="KGT104" s="957"/>
      <c r="KGU104" s="957"/>
      <c r="KGV104" s="957"/>
      <c r="KGW104" s="957"/>
      <c r="KGX104" s="957"/>
      <c r="KGY104" s="957"/>
      <c r="KGZ104" s="957"/>
      <c r="KHA104" s="957"/>
      <c r="KHB104" s="957"/>
      <c r="KHC104" s="957"/>
      <c r="KHD104" s="957"/>
      <c r="KHE104" s="957"/>
      <c r="KHF104" s="957"/>
      <c r="KHG104" s="957"/>
      <c r="KHH104" s="957"/>
      <c r="KHI104" s="957"/>
      <c r="KHJ104" s="957"/>
      <c r="KHK104" s="957"/>
      <c r="KHL104" s="957"/>
      <c r="KHM104" s="957"/>
      <c r="KHN104" s="957"/>
      <c r="KHO104" s="957"/>
      <c r="KHP104" s="957"/>
      <c r="KHQ104" s="957"/>
      <c r="KHR104" s="957"/>
      <c r="KHS104" s="957"/>
      <c r="KHT104" s="957"/>
      <c r="KHU104" s="957"/>
      <c r="KHV104" s="957"/>
      <c r="KHW104" s="957"/>
      <c r="KHX104" s="957"/>
      <c r="KHY104" s="957"/>
      <c r="KHZ104" s="957"/>
      <c r="KIA104" s="957"/>
      <c r="KIB104" s="957"/>
      <c r="KIC104" s="957"/>
      <c r="KID104" s="957"/>
      <c r="KIE104" s="957"/>
      <c r="KIF104" s="957"/>
      <c r="KIG104" s="957"/>
      <c r="KIH104" s="957"/>
      <c r="KII104" s="957"/>
      <c r="KIJ104" s="957"/>
      <c r="KIK104" s="957"/>
      <c r="KIL104" s="957"/>
      <c r="KIM104" s="957"/>
      <c r="KIN104" s="957"/>
      <c r="KIO104" s="957"/>
      <c r="KIP104" s="957"/>
      <c r="KIQ104" s="957"/>
      <c r="KIR104" s="957"/>
      <c r="KIS104" s="957"/>
      <c r="KIT104" s="957"/>
      <c r="KIU104" s="957"/>
      <c r="KIV104" s="957"/>
      <c r="KIW104" s="957"/>
      <c r="KIX104" s="957"/>
      <c r="KIY104" s="957"/>
      <c r="KIZ104" s="957"/>
      <c r="KJA104" s="957"/>
      <c r="KJB104" s="957"/>
      <c r="KJC104" s="957"/>
      <c r="KJD104" s="957"/>
      <c r="KJE104" s="957"/>
      <c r="KJF104" s="957"/>
      <c r="KJG104" s="957"/>
      <c r="KJH104" s="957"/>
      <c r="KJI104" s="957"/>
      <c r="KJJ104" s="957"/>
      <c r="KJK104" s="957"/>
      <c r="KJL104" s="957"/>
      <c r="KJM104" s="957"/>
      <c r="KJN104" s="957"/>
      <c r="KJO104" s="957"/>
      <c r="KJP104" s="957"/>
      <c r="KJQ104" s="957"/>
      <c r="KJR104" s="957"/>
      <c r="KJS104" s="957"/>
      <c r="KJT104" s="957"/>
      <c r="KJU104" s="957"/>
      <c r="KJV104" s="957"/>
      <c r="KJW104" s="957"/>
      <c r="KJX104" s="957"/>
      <c r="KJY104" s="957"/>
      <c r="KJZ104" s="957"/>
      <c r="KKA104" s="957"/>
      <c r="KKB104" s="957"/>
      <c r="KKC104" s="957"/>
      <c r="KKD104" s="957"/>
      <c r="KKE104" s="957"/>
      <c r="KKF104" s="957"/>
      <c r="KKG104" s="957"/>
      <c r="KKH104" s="957"/>
      <c r="KKI104" s="957"/>
      <c r="KKJ104" s="957"/>
      <c r="KKK104" s="957"/>
      <c r="KKL104" s="957"/>
      <c r="KKM104" s="957"/>
      <c r="KKN104" s="957"/>
      <c r="KKO104" s="957"/>
      <c r="KKP104" s="957"/>
      <c r="KKQ104" s="957"/>
      <c r="KKR104" s="957"/>
      <c r="KKS104" s="957"/>
      <c r="KKT104" s="957"/>
      <c r="KKU104" s="957"/>
      <c r="KKV104" s="957"/>
      <c r="KKW104" s="957"/>
      <c r="KKX104" s="957"/>
      <c r="KKY104" s="957"/>
      <c r="KKZ104" s="957"/>
      <c r="KLA104" s="957"/>
      <c r="KLB104" s="957"/>
      <c r="KLC104" s="957"/>
      <c r="KLD104" s="957"/>
      <c r="KLE104" s="957"/>
      <c r="KLF104" s="957"/>
      <c r="KLG104" s="957"/>
      <c r="KLH104" s="957"/>
      <c r="KLI104" s="957"/>
      <c r="KLJ104" s="957"/>
      <c r="KLK104" s="957"/>
      <c r="KLL104" s="957"/>
      <c r="KLM104" s="957"/>
      <c r="KLN104" s="957"/>
      <c r="KLO104" s="957"/>
      <c r="KLP104" s="957"/>
      <c r="KLQ104" s="957"/>
      <c r="KLR104" s="957"/>
      <c r="KLS104" s="957"/>
      <c r="KLT104" s="957"/>
      <c r="KLU104" s="957"/>
      <c r="KLV104" s="957"/>
      <c r="KLW104" s="957"/>
      <c r="KLX104" s="957"/>
      <c r="KLY104" s="957"/>
      <c r="KLZ104" s="957"/>
      <c r="KMA104" s="957"/>
      <c r="KMB104" s="957"/>
      <c r="KMC104" s="957"/>
      <c r="KMD104" s="957"/>
      <c r="KME104" s="957"/>
      <c r="KMF104" s="957"/>
      <c r="KMG104" s="957"/>
      <c r="KMH104" s="957"/>
      <c r="KMI104" s="957"/>
      <c r="KMJ104" s="957"/>
      <c r="KMK104" s="957"/>
      <c r="KML104" s="957"/>
      <c r="KMM104" s="957"/>
      <c r="KMN104" s="957"/>
      <c r="KMO104" s="957"/>
      <c r="KMP104" s="957"/>
      <c r="KMQ104" s="957"/>
      <c r="KMR104" s="957"/>
      <c r="KMS104" s="957"/>
      <c r="KMT104" s="957"/>
      <c r="KMU104" s="957"/>
      <c r="KMV104" s="957"/>
      <c r="KMW104" s="957"/>
      <c r="KMX104" s="957"/>
      <c r="KMY104" s="957"/>
      <c r="KMZ104" s="957"/>
      <c r="KNA104" s="957"/>
      <c r="KNB104" s="957"/>
      <c r="KNC104" s="957"/>
      <c r="KND104" s="957"/>
      <c r="KNE104" s="957"/>
      <c r="KNF104" s="957"/>
      <c r="KNG104" s="957"/>
      <c r="KNH104" s="957"/>
      <c r="KNI104" s="957"/>
      <c r="KNJ104" s="957"/>
      <c r="KNK104" s="957"/>
      <c r="KNL104" s="957"/>
      <c r="KNM104" s="957"/>
      <c r="KNN104" s="957"/>
      <c r="KNO104" s="957"/>
      <c r="KNP104" s="957"/>
      <c r="KNQ104" s="957"/>
      <c r="KNR104" s="957"/>
      <c r="KNS104" s="957"/>
      <c r="KNT104" s="957"/>
      <c r="KNU104" s="957"/>
      <c r="KNV104" s="957"/>
      <c r="KNW104" s="957"/>
      <c r="KNX104" s="957"/>
      <c r="KNY104" s="957"/>
      <c r="KNZ104" s="957"/>
      <c r="KOA104" s="957"/>
      <c r="KOB104" s="957"/>
      <c r="KOC104" s="957"/>
      <c r="KOD104" s="957"/>
      <c r="KOE104" s="957"/>
      <c r="KOF104" s="957"/>
      <c r="KOG104" s="957"/>
      <c r="KOH104" s="957"/>
      <c r="KOI104" s="957"/>
      <c r="KOJ104" s="957"/>
      <c r="KOK104" s="957"/>
      <c r="KOL104" s="957"/>
      <c r="KOM104" s="957"/>
      <c r="KON104" s="957"/>
      <c r="KOO104" s="957"/>
      <c r="KOP104" s="957"/>
      <c r="KOQ104" s="957"/>
      <c r="KOR104" s="957"/>
      <c r="KOS104" s="957"/>
      <c r="KOT104" s="957"/>
      <c r="KOU104" s="957"/>
      <c r="KOV104" s="957"/>
      <c r="KOW104" s="957"/>
      <c r="KOX104" s="957"/>
      <c r="KOY104" s="957"/>
      <c r="KOZ104" s="957"/>
      <c r="KPA104" s="957"/>
      <c r="KPB104" s="957"/>
      <c r="KPC104" s="957"/>
      <c r="KPD104" s="957"/>
      <c r="KPE104" s="957"/>
      <c r="KPF104" s="957"/>
      <c r="KPG104" s="957"/>
      <c r="KPH104" s="957"/>
      <c r="KPI104" s="957"/>
      <c r="KPJ104" s="957"/>
      <c r="KPK104" s="957"/>
      <c r="KPL104" s="957"/>
      <c r="KPM104" s="957"/>
      <c r="KPN104" s="957"/>
      <c r="KPO104" s="957"/>
      <c r="KPP104" s="957"/>
      <c r="KPQ104" s="957"/>
      <c r="KPR104" s="957"/>
      <c r="KPS104" s="957"/>
      <c r="KPT104" s="957"/>
      <c r="KPU104" s="957"/>
      <c r="KPV104" s="957"/>
      <c r="KPW104" s="957"/>
      <c r="KPX104" s="957"/>
      <c r="KPY104" s="957"/>
      <c r="KPZ104" s="957"/>
      <c r="KQA104" s="957"/>
      <c r="KQB104" s="957"/>
      <c r="KQC104" s="957"/>
      <c r="KQD104" s="957"/>
      <c r="KQE104" s="957"/>
      <c r="KQF104" s="957"/>
      <c r="KQG104" s="957"/>
      <c r="KQH104" s="957"/>
      <c r="KQI104" s="957"/>
      <c r="KQJ104" s="957"/>
      <c r="KQK104" s="957"/>
      <c r="KQL104" s="957"/>
      <c r="KQM104" s="957"/>
      <c r="KQN104" s="957"/>
      <c r="KQO104" s="957"/>
      <c r="KQP104" s="957"/>
      <c r="KQQ104" s="957"/>
      <c r="KQR104" s="957"/>
      <c r="KQS104" s="957"/>
      <c r="KQT104" s="957"/>
      <c r="KQU104" s="957"/>
      <c r="KQV104" s="957"/>
      <c r="KQW104" s="957"/>
      <c r="KQX104" s="957"/>
      <c r="KQY104" s="957"/>
      <c r="KQZ104" s="957"/>
      <c r="KRA104" s="957"/>
      <c r="KRB104" s="957"/>
      <c r="KRC104" s="957"/>
      <c r="KRD104" s="957"/>
      <c r="KRE104" s="957"/>
      <c r="KRF104" s="957"/>
      <c r="KRG104" s="957"/>
      <c r="KRH104" s="957"/>
      <c r="KRI104" s="957"/>
      <c r="KRJ104" s="957"/>
      <c r="KRK104" s="957"/>
      <c r="KRL104" s="957"/>
      <c r="KRM104" s="957"/>
      <c r="KRN104" s="957"/>
      <c r="KRO104" s="957"/>
      <c r="KRP104" s="957"/>
      <c r="KRQ104" s="957"/>
      <c r="KRR104" s="957"/>
      <c r="KRS104" s="957"/>
      <c r="KRT104" s="957"/>
      <c r="KRU104" s="957"/>
      <c r="KRV104" s="957"/>
      <c r="KRW104" s="957"/>
      <c r="KRX104" s="957"/>
      <c r="KRY104" s="957"/>
      <c r="KRZ104" s="957"/>
      <c r="KSA104" s="957"/>
      <c r="KSB104" s="957"/>
      <c r="KSC104" s="957"/>
      <c r="KSD104" s="957"/>
      <c r="KSE104" s="957"/>
      <c r="KSF104" s="957"/>
      <c r="KSG104" s="957"/>
      <c r="KSH104" s="957"/>
      <c r="KSI104" s="957"/>
      <c r="KSJ104" s="957"/>
      <c r="KSK104" s="957"/>
      <c r="KSL104" s="957"/>
      <c r="KSM104" s="957"/>
      <c r="KSN104" s="957"/>
      <c r="KSO104" s="957"/>
      <c r="KSP104" s="957"/>
      <c r="KSQ104" s="957"/>
      <c r="KSR104" s="957"/>
      <c r="KSS104" s="957"/>
      <c r="KST104" s="957"/>
      <c r="KSU104" s="957"/>
      <c r="KSV104" s="957"/>
      <c r="KSW104" s="957"/>
      <c r="KSX104" s="957"/>
      <c r="KSY104" s="957"/>
      <c r="KSZ104" s="957"/>
      <c r="KTA104" s="957"/>
      <c r="KTB104" s="957"/>
      <c r="KTC104" s="957"/>
      <c r="KTD104" s="957"/>
      <c r="KTE104" s="957"/>
      <c r="KTF104" s="957"/>
      <c r="KTG104" s="957"/>
      <c r="KTH104" s="957"/>
      <c r="KTI104" s="957"/>
      <c r="KTJ104" s="957"/>
      <c r="KTK104" s="957"/>
      <c r="KTL104" s="957"/>
      <c r="KTM104" s="957"/>
      <c r="KTN104" s="957"/>
      <c r="KTO104" s="957"/>
      <c r="KTP104" s="957"/>
      <c r="KTQ104" s="957"/>
      <c r="KTR104" s="957"/>
      <c r="KTS104" s="957"/>
      <c r="KTT104" s="957"/>
      <c r="KTU104" s="957"/>
      <c r="KTV104" s="957"/>
      <c r="KTW104" s="957"/>
      <c r="KTX104" s="957"/>
      <c r="KTY104" s="957"/>
      <c r="KTZ104" s="957"/>
      <c r="KUA104" s="957"/>
      <c r="KUB104" s="957"/>
      <c r="KUC104" s="957"/>
      <c r="KUD104" s="957"/>
      <c r="KUE104" s="957"/>
      <c r="KUF104" s="957"/>
      <c r="KUG104" s="957"/>
      <c r="KUH104" s="957"/>
      <c r="KUI104" s="957"/>
      <c r="KUJ104" s="957"/>
      <c r="KUK104" s="957"/>
      <c r="KUL104" s="957"/>
      <c r="KUM104" s="957"/>
      <c r="KUN104" s="957"/>
      <c r="KUO104" s="957"/>
      <c r="KUP104" s="957"/>
      <c r="KUQ104" s="957"/>
      <c r="KUR104" s="957"/>
      <c r="KUS104" s="957"/>
      <c r="KUT104" s="957"/>
      <c r="KUU104" s="957"/>
      <c r="KUV104" s="957"/>
      <c r="KUW104" s="957"/>
      <c r="KUX104" s="957"/>
      <c r="KUY104" s="957"/>
      <c r="KUZ104" s="957"/>
      <c r="KVA104" s="957"/>
      <c r="KVB104" s="957"/>
      <c r="KVC104" s="957"/>
      <c r="KVD104" s="957"/>
      <c r="KVE104" s="957"/>
      <c r="KVF104" s="957"/>
      <c r="KVG104" s="957"/>
      <c r="KVH104" s="957"/>
      <c r="KVI104" s="957"/>
      <c r="KVJ104" s="957"/>
      <c r="KVK104" s="957"/>
      <c r="KVL104" s="957"/>
      <c r="KVM104" s="957"/>
      <c r="KVN104" s="957"/>
      <c r="KVO104" s="957"/>
      <c r="KVP104" s="957"/>
      <c r="KVQ104" s="957"/>
      <c r="KVR104" s="957"/>
      <c r="KVS104" s="957"/>
      <c r="KVT104" s="957"/>
      <c r="KVU104" s="957"/>
      <c r="KVV104" s="957"/>
      <c r="KVW104" s="957"/>
      <c r="KVX104" s="957"/>
      <c r="KVY104" s="957"/>
      <c r="KVZ104" s="957"/>
      <c r="KWA104" s="957"/>
      <c r="KWB104" s="957"/>
      <c r="KWC104" s="957"/>
      <c r="KWD104" s="957"/>
      <c r="KWE104" s="957"/>
      <c r="KWF104" s="957"/>
      <c r="KWG104" s="957"/>
      <c r="KWH104" s="957"/>
      <c r="KWI104" s="957"/>
      <c r="KWJ104" s="957"/>
      <c r="KWK104" s="957"/>
      <c r="KWL104" s="957"/>
      <c r="KWM104" s="957"/>
      <c r="KWN104" s="957"/>
      <c r="KWO104" s="957"/>
      <c r="KWP104" s="957"/>
      <c r="KWQ104" s="957"/>
      <c r="KWR104" s="957"/>
      <c r="KWS104" s="957"/>
      <c r="KWT104" s="957"/>
      <c r="KWU104" s="957"/>
      <c r="KWV104" s="957"/>
      <c r="KWW104" s="957"/>
      <c r="KWX104" s="957"/>
      <c r="KWY104" s="957"/>
      <c r="KWZ104" s="957"/>
      <c r="KXA104" s="957"/>
      <c r="KXB104" s="957"/>
      <c r="KXC104" s="957"/>
      <c r="KXD104" s="957"/>
      <c r="KXE104" s="957"/>
      <c r="KXF104" s="957"/>
      <c r="KXG104" s="957"/>
      <c r="KXH104" s="957"/>
      <c r="KXI104" s="957"/>
      <c r="KXJ104" s="957"/>
      <c r="KXK104" s="957"/>
      <c r="KXL104" s="957"/>
      <c r="KXM104" s="957"/>
      <c r="KXN104" s="957"/>
      <c r="KXO104" s="957"/>
      <c r="KXP104" s="957"/>
      <c r="KXQ104" s="957"/>
      <c r="KXR104" s="957"/>
      <c r="KXS104" s="957"/>
      <c r="KXT104" s="957"/>
      <c r="KXU104" s="957"/>
      <c r="KXV104" s="957"/>
      <c r="KXW104" s="957"/>
      <c r="KXX104" s="957"/>
      <c r="KXY104" s="957"/>
      <c r="KXZ104" s="957"/>
      <c r="KYA104" s="957"/>
      <c r="KYB104" s="957"/>
      <c r="KYC104" s="957"/>
      <c r="KYD104" s="957"/>
      <c r="KYE104" s="957"/>
      <c r="KYF104" s="957"/>
      <c r="KYG104" s="957"/>
      <c r="KYH104" s="957"/>
      <c r="KYI104" s="957"/>
      <c r="KYJ104" s="957"/>
      <c r="KYK104" s="957"/>
      <c r="KYL104" s="957"/>
      <c r="KYM104" s="957"/>
      <c r="KYN104" s="957"/>
      <c r="KYO104" s="957"/>
      <c r="KYP104" s="957"/>
      <c r="KYQ104" s="957"/>
      <c r="KYR104" s="957"/>
      <c r="KYS104" s="957"/>
      <c r="KYT104" s="957"/>
      <c r="KYU104" s="957"/>
      <c r="KYV104" s="957"/>
      <c r="KYW104" s="957"/>
      <c r="KYX104" s="957"/>
      <c r="KYY104" s="957"/>
      <c r="KYZ104" s="957"/>
      <c r="KZA104" s="957"/>
      <c r="KZB104" s="957"/>
      <c r="KZC104" s="957"/>
      <c r="KZD104" s="957"/>
      <c r="KZE104" s="957"/>
      <c r="KZF104" s="957"/>
      <c r="KZG104" s="957"/>
      <c r="KZH104" s="957"/>
      <c r="KZI104" s="957"/>
      <c r="KZJ104" s="957"/>
      <c r="KZK104" s="957"/>
      <c r="KZL104" s="957"/>
      <c r="KZM104" s="957"/>
      <c r="KZN104" s="957"/>
      <c r="KZO104" s="957"/>
      <c r="KZP104" s="957"/>
      <c r="KZQ104" s="957"/>
      <c r="KZR104" s="957"/>
      <c r="KZS104" s="957"/>
      <c r="KZT104" s="957"/>
      <c r="KZU104" s="957"/>
      <c r="KZV104" s="957"/>
      <c r="KZW104" s="957"/>
      <c r="KZX104" s="957"/>
      <c r="KZY104" s="957"/>
      <c r="KZZ104" s="957"/>
      <c r="LAA104" s="957"/>
      <c r="LAB104" s="957"/>
      <c r="LAC104" s="957"/>
      <c r="LAD104" s="957"/>
      <c r="LAE104" s="957"/>
      <c r="LAF104" s="957"/>
      <c r="LAG104" s="957"/>
      <c r="LAH104" s="957"/>
      <c r="LAI104" s="957"/>
      <c r="LAJ104" s="957"/>
      <c r="LAK104" s="957"/>
      <c r="LAL104" s="957"/>
      <c r="LAM104" s="957"/>
      <c r="LAN104" s="957"/>
      <c r="LAO104" s="957"/>
      <c r="LAP104" s="957"/>
      <c r="LAQ104" s="957"/>
      <c r="LAR104" s="957"/>
      <c r="LAS104" s="957"/>
      <c r="LAT104" s="957"/>
      <c r="LAU104" s="957"/>
      <c r="LAV104" s="957"/>
      <c r="LAW104" s="957"/>
      <c r="LAX104" s="957"/>
      <c r="LAY104" s="957"/>
      <c r="LAZ104" s="957"/>
      <c r="LBA104" s="957"/>
      <c r="LBB104" s="957"/>
      <c r="LBC104" s="957"/>
      <c r="LBD104" s="957"/>
      <c r="LBE104" s="957"/>
      <c r="LBF104" s="957"/>
      <c r="LBG104" s="957"/>
      <c r="LBH104" s="957"/>
      <c r="LBI104" s="957"/>
      <c r="LBJ104" s="957"/>
      <c r="LBK104" s="957"/>
      <c r="LBL104" s="957"/>
      <c r="LBM104" s="957"/>
      <c r="LBN104" s="957"/>
      <c r="LBO104" s="957"/>
      <c r="LBP104" s="957"/>
      <c r="LBQ104" s="957"/>
      <c r="LBR104" s="957"/>
      <c r="LBS104" s="957"/>
      <c r="LBT104" s="957"/>
      <c r="LBU104" s="957"/>
      <c r="LBV104" s="957"/>
      <c r="LBW104" s="957"/>
      <c r="LBX104" s="957"/>
      <c r="LBY104" s="957"/>
      <c r="LBZ104" s="957"/>
      <c r="LCA104" s="957"/>
      <c r="LCB104" s="957"/>
      <c r="LCC104" s="957"/>
      <c r="LCD104" s="957"/>
      <c r="LCE104" s="957"/>
      <c r="LCF104" s="957"/>
      <c r="LCG104" s="957"/>
      <c r="LCH104" s="957"/>
      <c r="LCI104" s="957"/>
      <c r="LCJ104" s="957"/>
      <c r="LCK104" s="957"/>
      <c r="LCL104" s="957"/>
      <c r="LCM104" s="957"/>
      <c r="LCN104" s="957"/>
      <c r="LCO104" s="957"/>
      <c r="LCP104" s="957"/>
      <c r="LCQ104" s="957"/>
      <c r="LCR104" s="957"/>
      <c r="LCS104" s="957"/>
      <c r="LCT104" s="957"/>
      <c r="LCU104" s="957"/>
      <c r="LCV104" s="957"/>
      <c r="LCW104" s="957"/>
      <c r="LCX104" s="957"/>
      <c r="LCY104" s="957"/>
      <c r="LCZ104" s="957"/>
      <c r="LDA104" s="957"/>
      <c r="LDB104" s="957"/>
      <c r="LDC104" s="957"/>
      <c r="LDD104" s="957"/>
      <c r="LDE104" s="957"/>
      <c r="LDF104" s="957"/>
      <c r="LDG104" s="957"/>
      <c r="LDH104" s="957"/>
      <c r="LDI104" s="957"/>
      <c r="LDJ104" s="957"/>
      <c r="LDK104" s="957"/>
      <c r="LDL104" s="957"/>
      <c r="LDM104" s="957"/>
      <c r="LDN104" s="957"/>
      <c r="LDO104" s="957"/>
      <c r="LDP104" s="957"/>
      <c r="LDQ104" s="957"/>
      <c r="LDR104" s="957"/>
      <c r="LDS104" s="957"/>
      <c r="LDT104" s="957"/>
      <c r="LDU104" s="957"/>
      <c r="LDV104" s="957"/>
      <c r="LDW104" s="957"/>
      <c r="LDX104" s="957"/>
      <c r="LDY104" s="957"/>
      <c r="LDZ104" s="957"/>
      <c r="LEA104" s="957"/>
      <c r="LEB104" s="957"/>
      <c r="LEC104" s="957"/>
      <c r="LED104" s="957"/>
      <c r="LEE104" s="957"/>
      <c r="LEF104" s="957"/>
      <c r="LEG104" s="957"/>
      <c r="LEH104" s="957"/>
      <c r="LEI104" s="957"/>
      <c r="LEJ104" s="957"/>
      <c r="LEK104" s="957"/>
      <c r="LEL104" s="957"/>
      <c r="LEM104" s="957"/>
      <c r="LEN104" s="957"/>
      <c r="LEO104" s="957"/>
      <c r="LEP104" s="957"/>
      <c r="LEQ104" s="957"/>
      <c r="LER104" s="957"/>
      <c r="LES104" s="957"/>
      <c r="LET104" s="957"/>
      <c r="LEU104" s="957"/>
      <c r="LEV104" s="957"/>
      <c r="LEW104" s="957"/>
      <c r="LEX104" s="957"/>
      <c r="LEY104" s="957"/>
      <c r="LEZ104" s="957"/>
      <c r="LFA104" s="957"/>
      <c r="LFB104" s="957"/>
      <c r="LFC104" s="957"/>
      <c r="LFD104" s="957"/>
      <c r="LFE104" s="957"/>
      <c r="LFF104" s="957"/>
      <c r="LFG104" s="957"/>
      <c r="LFH104" s="957"/>
      <c r="LFI104" s="957"/>
      <c r="LFJ104" s="957"/>
      <c r="LFK104" s="957"/>
      <c r="LFL104" s="957"/>
      <c r="LFM104" s="957"/>
      <c r="LFN104" s="957"/>
      <c r="LFO104" s="957"/>
      <c r="LFP104" s="957"/>
      <c r="LFQ104" s="957"/>
      <c r="LFR104" s="957"/>
      <c r="LFS104" s="957"/>
      <c r="LFT104" s="957"/>
      <c r="LFU104" s="957"/>
      <c r="LFV104" s="957"/>
      <c r="LFW104" s="957"/>
      <c r="LFX104" s="957"/>
      <c r="LFY104" s="957"/>
      <c r="LFZ104" s="957"/>
      <c r="LGA104" s="957"/>
      <c r="LGB104" s="957"/>
      <c r="LGC104" s="957"/>
      <c r="LGD104" s="957"/>
      <c r="LGE104" s="957"/>
      <c r="LGF104" s="957"/>
      <c r="LGG104" s="957"/>
      <c r="LGH104" s="957"/>
      <c r="LGI104" s="957"/>
      <c r="LGJ104" s="957"/>
      <c r="LGK104" s="957"/>
      <c r="LGL104" s="957"/>
      <c r="LGM104" s="957"/>
      <c r="LGN104" s="957"/>
      <c r="LGO104" s="957"/>
      <c r="LGP104" s="957"/>
      <c r="LGQ104" s="957"/>
      <c r="LGR104" s="957"/>
      <c r="LGS104" s="957"/>
      <c r="LGT104" s="957"/>
      <c r="LGU104" s="957"/>
      <c r="LGV104" s="957"/>
      <c r="LGW104" s="957"/>
      <c r="LGX104" s="957"/>
      <c r="LGY104" s="957"/>
      <c r="LGZ104" s="957"/>
      <c r="LHA104" s="957"/>
      <c r="LHB104" s="957"/>
      <c r="LHC104" s="957"/>
      <c r="LHD104" s="957"/>
      <c r="LHE104" s="957"/>
      <c r="LHF104" s="957"/>
      <c r="LHG104" s="957"/>
      <c r="LHH104" s="957"/>
      <c r="LHI104" s="957"/>
      <c r="LHJ104" s="957"/>
      <c r="LHK104" s="957"/>
      <c r="LHL104" s="957"/>
      <c r="LHM104" s="957"/>
      <c r="LHN104" s="957"/>
      <c r="LHO104" s="957"/>
      <c r="LHP104" s="957"/>
      <c r="LHQ104" s="957"/>
      <c r="LHR104" s="957"/>
      <c r="LHS104" s="957"/>
      <c r="LHT104" s="957"/>
      <c r="LHU104" s="957"/>
      <c r="LHV104" s="957"/>
      <c r="LHW104" s="957"/>
      <c r="LHX104" s="957"/>
      <c r="LHY104" s="957"/>
      <c r="LHZ104" s="957"/>
      <c r="LIA104" s="957"/>
      <c r="LIB104" s="957"/>
      <c r="LIC104" s="957"/>
      <c r="LID104" s="957"/>
      <c r="LIE104" s="957"/>
      <c r="LIF104" s="957"/>
      <c r="LIG104" s="957"/>
      <c r="LIH104" s="957"/>
      <c r="LII104" s="957"/>
      <c r="LIJ104" s="957"/>
      <c r="LIK104" s="957"/>
      <c r="LIL104" s="957"/>
      <c r="LIM104" s="957"/>
      <c r="LIN104" s="957"/>
      <c r="LIO104" s="957"/>
      <c r="LIP104" s="957"/>
      <c r="LIQ104" s="957"/>
      <c r="LIR104" s="957"/>
      <c r="LIS104" s="957"/>
      <c r="LIT104" s="957"/>
      <c r="LIU104" s="957"/>
      <c r="LIV104" s="957"/>
      <c r="LIW104" s="957"/>
      <c r="LIX104" s="957"/>
      <c r="LIY104" s="957"/>
      <c r="LIZ104" s="957"/>
      <c r="LJA104" s="957"/>
      <c r="LJB104" s="957"/>
      <c r="LJC104" s="957"/>
      <c r="LJD104" s="957"/>
      <c r="LJE104" s="957"/>
      <c r="LJF104" s="957"/>
      <c r="LJG104" s="957"/>
      <c r="LJH104" s="957"/>
      <c r="LJI104" s="957"/>
      <c r="LJJ104" s="957"/>
      <c r="LJK104" s="957"/>
      <c r="LJL104" s="957"/>
      <c r="LJM104" s="957"/>
      <c r="LJN104" s="957"/>
      <c r="LJO104" s="957"/>
      <c r="LJP104" s="957"/>
      <c r="LJQ104" s="957"/>
      <c r="LJR104" s="957"/>
      <c r="LJS104" s="957"/>
      <c r="LJT104" s="957"/>
      <c r="LJU104" s="957"/>
      <c r="LJV104" s="957"/>
      <c r="LJW104" s="957"/>
      <c r="LJX104" s="957"/>
      <c r="LJY104" s="957"/>
      <c r="LJZ104" s="957"/>
      <c r="LKA104" s="957"/>
      <c r="LKB104" s="957"/>
      <c r="LKC104" s="957"/>
      <c r="LKD104" s="957"/>
      <c r="LKE104" s="957"/>
      <c r="LKF104" s="957"/>
      <c r="LKG104" s="957"/>
      <c r="LKH104" s="957"/>
      <c r="LKI104" s="957"/>
      <c r="LKJ104" s="957"/>
      <c r="LKK104" s="957"/>
      <c r="LKL104" s="957"/>
      <c r="LKM104" s="957"/>
      <c r="LKN104" s="957"/>
      <c r="LKO104" s="957"/>
      <c r="LKP104" s="957"/>
      <c r="LKQ104" s="957"/>
      <c r="LKR104" s="957"/>
      <c r="LKS104" s="957"/>
      <c r="LKT104" s="957"/>
      <c r="LKU104" s="957"/>
      <c r="LKV104" s="957"/>
      <c r="LKW104" s="957"/>
      <c r="LKX104" s="957"/>
      <c r="LKY104" s="957"/>
      <c r="LKZ104" s="957"/>
      <c r="LLA104" s="957"/>
      <c r="LLB104" s="957"/>
      <c r="LLC104" s="957"/>
      <c r="LLD104" s="957"/>
      <c r="LLE104" s="957"/>
      <c r="LLF104" s="957"/>
      <c r="LLG104" s="957"/>
      <c r="LLH104" s="957"/>
      <c r="LLI104" s="957"/>
      <c r="LLJ104" s="957"/>
      <c r="LLK104" s="957"/>
      <c r="LLL104" s="957"/>
      <c r="LLM104" s="957"/>
      <c r="LLN104" s="957"/>
      <c r="LLO104" s="957"/>
      <c r="LLP104" s="957"/>
      <c r="LLQ104" s="957"/>
      <c r="LLR104" s="957"/>
      <c r="LLS104" s="957"/>
      <c r="LLT104" s="957"/>
      <c r="LLU104" s="957"/>
      <c r="LLV104" s="957"/>
      <c r="LLW104" s="957"/>
      <c r="LLX104" s="957"/>
      <c r="LLY104" s="957"/>
      <c r="LLZ104" s="957"/>
      <c r="LMA104" s="957"/>
      <c r="LMB104" s="957"/>
      <c r="LMC104" s="957"/>
      <c r="LMD104" s="957"/>
      <c r="LME104" s="957"/>
      <c r="LMF104" s="957"/>
      <c r="LMG104" s="957"/>
      <c r="LMH104" s="957"/>
      <c r="LMI104" s="957"/>
      <c r="LMJ104" s="957"/>
      <c r="LMK104" s="957"/>
      <c r="LML104" s="957"/>
      <c r="LMM104" s="957"/>
      <c r="LMN104" s="957"/>
      <c r="LMO104" s="957"/>
      <c r="LMP104" s="957"/>
      <c r="LMQ104" s="957"/>
      <c r="LMR104" s="957"/>
      <c r="LMS104" s="957"/>
      <c r="LMT104" s="957"/>
      <c r="LMU104" s="957"/>
      <c r="LMV104" s="957"/>
      <c r="LMW104" s="957"/>
      <c r="LMX104" s="957"/>
      <c r="LMY104" s="957"/>
      <c r="LMZ104" s="957"/>
      <c r="LNA104" s="957"/>
      <c r="LNB104" s="957"/>
      <c r="LNC104" s="957"/>
      <c r="LND104" s="957"/>
      <c r="LNE104" s="957"/>
      <c r="LNF104" s="957"/>
      <c r="LNG104" s="957"/>
      <c r="LNH104" s="957"/>
      <c r="LNI104" s="957"/>
      <c r="LNJ104" s="957"/>
      <c r="LNK104" s="957"/>
      <c r="LNL104" s="957"/>
      <c r="LNM104" s="957"/>
      <c r="LNN104" s="957"/>
      <c r="LNO104" s="957"/>
      <c r="LNP104" s="957"/>
      <c r="LNQ104" s="957"/>
      <c r="LNR104" s="957"/>
      <c r="LNS104" s="957"/>
      <c r="LNT104" s="957"/>
      <c r="LNU104" s="957"/>
      <c r="LNV104" s="957"/>
      <c r="LNW104" s="957"/>
      <c r="LNX104" s="957"/>
      <c r="LNY104" s="957"/>
      <c r="LNZ104" s="957"/>
      <c r="LOA104" s="957"/>
      <c r="LOB104" s="957"/>
      <c r="LOC104" s="957"/>
      <c r="LOD104" s="957"/>
      <c r="LOE104" s="957"/>
      <c r="LOF104" s="957"/>
      <c r="LOG104" s="957"/>
      <c r="LOH104" s="957"/>
      <c r="LOI104" s="957"/>
      <c r="LOJ104" s="957"/>
      <c r="LOK104" s="957"/>
      <c r="LOL104" s="957"/>
      <c r="LOM104" s="957"/>
      <c r="LON104" s="957"/>
      <c r="LOO104" s="957"/>
      <c r="LOP104" s="957"/>
      <c r="LOQ104" s="957"/>
      <c r="LOR104" s="957"/>
      <c r="LOS104" s="957"/>
      <c r="LOT104" s="957"/>
      <c r="LOU104" s="957"/>
      <c r="LOV104" s="957"/>
      <c r="LOW104" s="957"/>
      <c r="LOX104" s="957"/>
      <c r="LOY104" s="957"/>
      <c r="LOZ104" s="957"/>
      <c r="LPA104" s="957"/>
      <c r="LPB104" s="957"/>
      <c r="LPC104" s="957"/>
      <c r="LPD104" s="957"/>
      <c r="LPE104" s="957"/>
      <c r="LPF104" s="957"/>
      <c r="LPG104" s="957"/>
      <c r="LPH104" s="957"/>
      <c r="LPI104" s="957"/>
      <c r="LPJ104" s="957"/>
      <c r="LPK104" s="957"/>
      <c r="LPL104" s="957"/>
      <c r="LPM104" s="957"/>
      <c r="LPN104" s="957"/>
      <c r="LPO104" s="957"/>
      <c r="LPP104" s="957"/>
      <c r="LPQ104" s="957"/>
      <c r="LPR104" s="957"/>
      <c r="LPS104" s="957"/>
      <c r="LPT104" s="957"/>
      <c r="LPU104" s="957"/>
      <c r="LPV104" s="957"/>
      <c r="LPW104" s="957"/>
      <c r="LPX104" s="957"/>
      <c r="LPY104" s="957"/>
      <c r="LPZ104" s="957"/>
      <c r="LQA104" s="957"/>
      <c r="LQB104" s="957"/>
      <c r="LQC104" s="957"/>
      <c r="LQD104" s="957"/>
      <c r="LQE104" s="957"/>
      <c r="LQF104" s="957"/>
      <c r="LQG104" s="957"/>
      <c r="LQH104" s="957"/>
      <c r="LQI104" s="957"/>
      <c r="LQJ104" s="957"/>
      <c r="LQK104" s="957"/>
      <c r="LQL104" s="957"/>
      <c r="LQM104" s="957"/>
      <c r="LQN104" s="957"/>
      <c r="LQO104" s="957"/>
      <c r="LQP104" s="957"/>
      <c r="LQQ104" s="957"/>
      <c r="LQR104" s="957"/>
      <c r="LQS104" s="957"/>
      <c r="LQT104" s="957"/>
      <c r="LQU104" s="957"/>
      <c r="LQV104" s="957"/>
      <c r="LQW104" s="957"/>
      <c r="LQX104" s="957"/>
      <c r="LQY104" s="957"/>
      <c r="LQZ104" s="957"/>
      <c r="LRA104" s="957"/>
      <c r="LRB104" s="957"/>
      <c r="LRC104" s="957"/>
      <c r="LRD104" s="957"/>
      <c r="LRE104" s="957"/>
      <c r="LRF104" s="957"/>
      <c r="LRG104" s="957"/>
      <c r="LRH104" s="957"/>
      <c r="LRI104" s="957"/>
      <c r="LRJ104" s="957"/>
      <c r="LRK104" s="957"/>
      <c r="LRL104" s="957"/>
      <c r="LRM104" s="957"/>
      <c r="LRN104" s="957"/>
      <c r="LRO104" s="957"/>
      <c r="LRP104" s="957"/>
      <c r="LRQ104" s="957"/>
      <c r="LRR104" s="957"/>
      <c r="LRS104" s="957"/>
      <c r="LRT104" s="957"/>
      <c r="LRU104" s="957"/>
      <c r="LRV104" s="957"/>
      <c r="LRW104" s="957"/>
      <c r="LRX104" s="957"/>
      <c r="LRY104" s="957"/>
      <c r="LRZ104" s="957"/>
      <c r="LSA104" s="957"/>
      <c r="LSB104" s="957"/>
      <c r="LSC104" s="957"/>
      <c r="LSD104" s="957"/>
      <c r="LSE104" s="957"/>
      <c r="LSF104" s="957"/>
      <c r="LSG104" s="957"/>
      <c r="LSH104" s="957"/>
      <c r="LSI104" s="957"/>
      <c r="LSJ104" s="957"/>
      <c r="LSK104" s="957"/>
      <c r="LSL104" s="957"/>
      <c r="LSM104" s="957"/>
      <c r="LSN104" s="957"/>
      <c r="LSO104" s="957"/>
      <c r="LSP104" s="957"/>
      <c r="LSQ104" s="957"/>
      <c r="LSR104" s="957"/>
      <c r="LSS104" s="957"/>
      <c r="LST104" s="957"/>
      <c r="LSU104" s="957"/>
      <c r="LSV104" s="957"/>
      <c r="LSW104" s="957"/>
      <c r="LSX104" s="957"/>
      <c r="LSY104" s="957"/>
      <c r="LSZ104" s="957"/>
      <c r="LTA104" s="957"/>
      <c r="LTB104" s="957"/>
      <c r="LTC104" s="957"/>
      <c r="LTD104" s="957"/>
      <c r="LTE104" s="957"/>
      <c r="LTF104" s="957"/>
      <c r="LTG104" s="957"/>
      <c r="LTH104" s="957"/>
      <c r="LTI104" s="957"/>
      <c r="LTJ104" s="957"/>
      <c r="LTK104" s="957"/>
      <c r="LTL104" s="957"/>
      <c r="LTM104" s="957"/>
      <c r="LTN104" s="957"/>
      <c r="LTO104" s="957"/>
      <c r="LTP104" s="957"/>
      <c r="LTQ104" s="957"/>
      <c r="LTR104" s="957"/>
      <c r="LTS104" s="957"/>
      <c r="LTT104" s="957"/>
      <c r="LTU104" s="957"/>
      <c r="LTV104" s="957"/>
      <c r="LTW104" s="957"/>
      <c r="LTX104" s="957"/>
      <c r="LTY104" s="957"/>
      <c r="LTZ104" s="957"/>
      <c r="LUA104" s="957"/>
      <c r="LUB104" s="957"/>
      <c r="LUC104" s="957"/>
      <c r="LUD104" s="957"/>
      <c r="LUE104" s="957"/>
      <c r="LUF104" s="957"/>
      <c r="LUG104" s="957"/>
      <c r="LUH104" s="957"/>
      <c r="LUI104" s="957"/>
      <c r="LUJ104" s="957"/>
      <c r="LUK104" s="957"/>
      <c r="LUL104" s="957"/>
      <c r="LUM104" s="957"/>
      <c r="LUN104" s="957"/>
      <c r="LUO104" s="957"/>
      <c r="LUP104" s="957"/>
      <c r="LUQ104" s="957"/>
      <c r="LUR104" s="957"/>
      <c r="LUS104" s="957"/>
      <c r="LUT104" s="957"/>
      <c r="LUU104" s="957"/>
      <c r="LUV104" s="957"/>
      <c r="LUW104" s="957"/>
      <c r="LUX104" s="957"/>
      <c r="LUY104" s="957"/>
      <c r="LUZ104" s="957"/>
      <c r="LVA104" s="957"/>
      <c r="LVB104" s="957"/>
      <c r="LVC104" s="957"/>
      <c r="LVD104" s="957"/>
      <c r="LVE104" s="957"/>
      <c r="LVF104" s="957"/>
      <c r="LVG104" s="957"/>
      <c r="LVH104" s="957"/>
      <c r="LVI104" s="957"/>
      <c r="LVJ104" s="957"/>
      <c r="LVK104" s="957"/>
      <c r="LVL104" s="957"/>
      <c r="LVM104" s="957"/>
      <c r="LVN104" s="957"/>
      <c r="LVO104" s="957"/>
      <c r="LVP104" s="957"/>
      <c r="LVQ104" s="957"/>
      <c r="LVR104" s="957"/>
      <c r="LVS104" s="957"/>
      <c r="LVT104" s="957"/>
      <c r="LVU104" s="957"/>
      <c r="LVV104" s="957"/>
      <c r="LVW104" s="957"/>
      <c r="LVX104" s="957"/>
      <c r="LVY104" s="957"/>
      <c r="LVZ104" s="957"/>
      <c r="LWA104" s="957"/>
      <c r="LWB104" s="957"/>
      <c r="LWC104" s="957"/>
      <c r="LWD104" s="957"/>
      <c r="LWE104" s="957"/>
      <c r="LWF104" s="957"/>
      <c r="LWG104" s="957"/>
      <c r="LWH104" s="957"/>
      <c r="LWI104" s="957"/>
      <c r="LWJ104" s="957"/>
      <c r="LWK104" s="957"/>
      <c r="LWL104" s="957"/>
      <c r="LWM104" s="957"/>
      <c r="LWN104" s="957"/>
      <c r="LWO104" s="957"/>
      <c r="LWP104" s="957"/>
      <c r="LWQ104" s="957"/>
      <c r="LWR104" s="957"/>
      <c r="LWS104" s="957"/>
      <c r="LWT104" s="957"/>
      <c r="LWU104" s="957"/>
      <c r="LWV104" s="957"/>
      <c r="LWW104" s="957"/>
      <c r="LWX104" s="957"/>
      <c r="LWY104" s="957"/>
      <c r="LWZ104" s="957"/>
      <c r="LXA104" s="957"/>
      <c r="LXB104" s="957"/>
      <c r="LXC104" s="957"/>
      <c r="LXD104" s="957"/>
      <c r="LXE104" s="957"/>
      <c r="LXF104" s="957"/>
      <c r="LXG104" s="957"/>
      <c r="LXH104" s="957"/>
      <c r="LXI104" s="957"/>
      <c r="LXJ104" s="957"/>
      <c r="LXK104" s="957"/>
      <c r="LXL104" s="957"/>
      <c r="LXM104" s="957"/>
      <c r="LXN104" s="957"/>
      <c r="LXO104" s="957"/>
      <c r="LXP104" s="957"/>
      <c r="LXQ104" s="957"/>
      <c r="LXR104" s="957"/>
      <c r="LXS104" s="957"/>
      <c r="LXT104" s="957"/>
      <c r="LXU104" s="957"/>
      <c r="LXV104" s="957"/>
      <c r="LXW104" s="957"/>
      <c r="LXX104" s="957"/>
      <c r="LXY104" s="957"/>
      <c r="LXZ104" s="957"/>
      <c r="LYA104" s="957"/>
      <c r="LYB104" s="957"/>
      <c r="LYC104" s="957"/>
      <c r="LYD104" s="957"/>
      <c r="LYE104" s="957"/>
      <c r="LYF104" s="957"/>
      <c r="LYG104" s="957"/>
      <c r="LYH104" s="957"/>
      <c r="LYI104" s="957"/>
      <c r="LYJ104" s="957"/>
      <c r="LYK104" s="957"/>
      <c r="LYL104" s="957"/>
      <c r="LYM104" s="957"/>
      <c r="LYN104" s="957"/>
      <c r="LYO104" s="957"/>
      <c r="LYP104" s="957"/>
      <c r="LYQ104" s="957"/>
      <c r="LYR104" s="957"/>
      <c r="LYS104" s="957"/>
      <c r="LYT104" s="957"/>
      <c r="LYU104" s="957"/>
      <c r="LYV104" s="957"/>
      <c r="LYW104" s="957"/>
      <c r="LYX104" s="957"/>
      <c r="LYY104" s="957"/>
      <c r="LYZ104" s="957"/>
      <c r="LZA104" s="957"/>
      <c r="LZB104" s="957"/>
      <c r="LZC104" s="957"/>
      <c r="LZD104" s="957"/>
      <c r="LZE104" s="957"/>
      <c r="LZF104" s="957"/>
      <c r="LZG104" s="957"/>
      <c r="LZH104" s="957"/>
      <c r="LZI104" s="957"/>
      <c r="LZJ104" s="957"/>
      <c r="LZK104" s="957"/>
      <c r="LZL104" s="957"/>
      <c r="LZM104" s="957"/>
      <c r="LZN104" s="957"/>
      <c r="LZO104" s="957"/>
      <c r="LZP104" s="957"/>
      <c r="LZQ104" s="957"/>
      <c r="LZR104" s="957"/>
      <c r="LZS104" s="957"/>
      <c r="LZT104" s="957"/>
      <c r="LZU104" s="957"/>
      <c r="LZV104" s="957"/>
      <c r="LZW104" s="957"/>
      <c r="LZX104" s="957"/>
      <c r="LZY104" s="957"/>
      <c r="LZZ104" s="957"/>
      <c r="MAA104" s="957"/>
      <c r="MAB104" s="957"/>
      <c r="MAC104" s="957"/>
      <c r="MAD104" s="957"/>
      <c r="MAE104" s="957"/>
      <c r="MAF104" s="957"/>
      <c r="MAG104" s="957"/>
      <c r="MAH104" s="957"/>
      <c r="MAI104" s="957"/>
      <c r="MAJ104" s="957"/>
      <c r="MAK104" s="957"/>
      <c r="MAL104" s="957"/>
      <c r="MAM104" s="957"/>
      <c r="MAN104" s="957"/>
      <c r="MAO104" s="957"/>
      <c r="MAP104" s="957"/>
      <c r="MAQ104" s="957"/>
      <c r="MAR104" s="957"/>
      <c r="MAS104" s="957"/>
      <c r="MAT104" s="957"/>
      <c r="MAU104" s="957"/>
      <c r="MAV104" s="957"/>
      <c r="MAW104" s="957"/>
      <c r="MAX104" s="957"/>
      <c r="MAY104" s="957"/>
      <c r="MAZ104" s="957"/>
      <c r="MBA104" s="957"/>
      <c r="MBB104" s="957"/>
      <c r="MBC104" s="957"/>
      <c r="MBD104" s="957"/>
      <c r="MBE104" s="957"/>
      <c r="MBF104" s="957"/>
      <c r="MBG104" s="957"/>
      <c r="MBH104" s="957"/>
      <c r="MBI104" s="957"/>
      <c r="MBJ104" s="957"/>
      <c r="MBK104" s="957"/>
      <c r="MBL104" s="957"/>
      <c r="MBM104" s="957"/>
      <c r="MBN104" s="957"/>
      <c r="MBO104" s="957"/>
      <c r="MBP104" s="957"/>
      <c r="MBQ104" s="957"/>
      <c r="MBR104" s="957"/>
      <c r="MBS104" s="957"/>
      <c r="MBT104" s="957"/>
      <c r="MBU104" s="957"/>
      <c r="MBV104" s="957"/>
      <c r="MBW104" s="957"/>
      <c r="MBX104" s="957"/>
      <c r="MBY104" s="957"/>
      <c r="MBZ104" s="957"/>
      <c r="MCA104" s="957"/>
      <c r="MCB104" s="957"/>
      <c r="MCC104" s="957"/>
      <c r="MCD104" s="957"/>
      <c r="MCE104" s="957"/>
      <c r="MCF104" s="957"/>
      <c r="MCG104" s="957"/>
      <c r="MCH104" s="957"/>
      <c r="MCI104" s="957"/>
      <c r="MCJ104" s="957"/>
      <c r="MCK104" s="957"/>
      <c r="MCL104" s="957"/>
      <c r="MCM104" s="957"/>
      <c r="MCN104" s="957"/>
      <c r="MCO104" s="957"/>
      <c r="MCP104" s="957"/>
      <c r="MCQ104" s="957"/>
      <c r="MCR104" s="957"/>
      <c r="MCS104" s="957"/>
      <c r="MCT104" s="957"/>
      <c r="MCU104" s="957"/>
      <c r="MCV104" s="957"/>
      <c r="MCW104" s="957"/>
      <c r="MCX104" s="957"/>
      <c r="MCY104" s="957"/>
      <c r="MCZ104" s="957"/>
      <c r="MDA104" s="957"/>
      <c r="MDB104" s="957"/>
      <c r="MDC104" s="957"/>
      <c r="MDD104" s="957"/>
      <c r="MDE104" s="957"/>
      <c r="MDF104" s="957"/>
      <c r="MDG104" s="957"/>
      <c r="MDH104" s="957"/>
      <c r="MDI104" s="957"/>
      <c r="MDJ104" s="957"/>
      <c r="MDK104" s="957"/>
      <c r="MDL104" s="957"/>
      <c r="MDM104" s="957"/>
      <c r="MDN104" s="957"/>
      <c r="MDO104" s="957"/>
      <c r="MDP104" s="957"/>
      <c r="MDQ104" s="957"/>
      <c r="MDR104" s="957"/>
      <c r="MDS104" s="957"/>
      <c r="MDT104" s="957"/>
      <c r="MDU104" s="957"/>
      <c r="MDV104" s="957"/>
      <c r="MDW104" s="957"/>
      <c r="MDX104" s="957"/>
      <c r="MDY104" s="957"/>
      <c r="MDZ104" s="957"/>
      <c r="MEA104" s="957"/>
      <c r="MEB104" s="957"/>
      <c r="MEC104" s="957"/>
      <c r="MED104" s="957"/>
      <c r="MEE104" s="957"/>
      <c r="MEF104" s="957"/>
      <c r="MEG104" s="957"/>
      <c r="MEH104" s="957"/>
      <c r="MEI104" s="957"/>
      <c r="MEJ104" s="957"/>
      <c r="MEK104" s="957"/>
      <c r="MEL104" s="957"/>
      <c r="MEM104" s="957"/>
      <c r="MEN104" s="957"/>
      <c r="MEO104" s="957"/>
      <c r="MEP104" s="957"/>
      <c r="MEQ104" s="957"/>
      <c r="MER104" s="957"/>
      <c r="MES104" s="957"/>
      <c r="MET104" s="957"/>
      <c r="MEU104" s="957"/>
      <c r="MEV104" s="957"/>
      <c r="MEW104" s="957"/>
      <c r="MEX104" s="957"/>
      <c r="MEY104" s="957"/>
      <c r="MEZ104" s="957"/>
      <c r="MFA104" s="957"/>
      <c r="MFB104" s="957"/>
      <c r="MFC104" s="957"/>
      <c r="MFD104" s="957"/>
      <c r="MFE104" s="957"/>
      <c r="MFF104" s="957"/>
      <c r="MFG104" s="957"/>
      <c r="MFH104" s="957"/>
      <c r="MFI104" s="957"/>
      <c r="MFJ104" s="957"/>
      <c r="MFK104" s="957"/>
      <c r="MFL104" s="957"/>
      <c r="MFM104" s="957"/>
      <c r="MFN104" s="957"/>
      <c r="MFO104" s="957"/>
      <c r="MFP104" s="957"/>
      <c r="MFQ104" s="957"/>
      <c r="MFR104" s="957"/>
      <c r="MFS104" s="957"/>
      <c r="MFT104" s="957"/>
      <c r="MFU104" s="957"/>
      <c r="MFV104" s="957"/>
      <c r="MFW104" s="957"/>
      <c r="MFX104" s="957"/>
      <c r="MFY104" s="957"/>
      <c r="MFZ104" s="957"/>
      <c r="MGA104" s="957"/>
      <c r="MGB104" s="957"/>
      <c r="MGC104" s="957"/>
      <c r="MGD104" s="957"/>
      <c r="MGE104" s="957"/>
      <c r="MGF104" s="957"/>
      <c r="MGG104" s="957"/>
      <c r="MGH104" s="957"/>
      <c r="MGI104" s="957"/>
      <c r="MGJ104" s="957"/>
      <c r="MGK104" s="957"/>
      <c r="MGL104" s="957"/>
      <c r="MGM104" s="957"/>
      <c r="MGN104" s="957"/>
      <c r="MGO104" s="957"/>
      <c r="MGP104" s="957"/>
      <c r="MGQ104" s="957"/>
      <c r="MGR104" s="957"/>
      <c r="MGS104" s="957"/>
      <c r="MGT104" s="957"/>
      <c r="MGU104" s="957"/>
      <c r="MGV104" s="957"/>
      <c r="MGW104" s="957"/>
      <c r="MGX104" s="957"/>
      <c r="MGY104" s="957"/>
      <c r="MGZ104" s="957"/>
      <c r="MHA104" s="957"/>
      <c r="MHB104" s="957"/>
      <c r="MHC104" s="957"/>
      <c r="MHD104" s="957"/>
      <c r="MHE104" s="957"/>
      <c r="MHF104" s="957"/>
      <c r="MHG104" s="957"/>
      <c r="MHH104" s="957"/>
      <c r="MHI104" s="957"/>
      <c r="MHJ104" s="957"/>
      <c r="MHK104" s="957"/>
      <c r="MHL104" s="957"/>
      <c r="MHM104" s="957"/>
      <c r="MHN104" s="957"/>
      <c r="MHO104" s="957"/>
      <c r="MHP104" s="957"/>
      <c r="MHQ104" s="957"/>
      <c r="MHR104" s="957"/>
      <c r="MHS104" s="957"/>
      <c r="MHT104" s="957"/>
      <c r="MHU104" s="957"/>
      <c r="MHV104" s="957"/>
      <c r="MHW104" s="957"/>
      <c r="MHX104" s="957"/>
      <c r="MHY104" s="957"/>
      <c r="MHZ104" s="957"/>
      <c r="MIA104" s="957"/>
      <c r="MIB104" s="957"/>
      <c r="MIC104" s="957"/>
      <c r="MID104" s="957"/>
      <c r="MIE104" s="957"/>
      <c r="MIF104" s="957"/>
      <c r="MIG104" s="957"/>
      <c r="MIH104" s="957"/>
      <c r="MII104" s="957"/>
      <c r="MIJ104" s="957"/>
      <c r="MIK104" s="957"/>
      <c r="MIL104" s="957"/>
      <c r="MIM104" s="957"/>
      <c r="MIN104" s="957"/>
      <c r="MIO104" s="957"/>
      <c r="MIP104" s="957"/>
      <c r="MIQ104" s="957"/>
      <c r="MIR104" s="957"/>
      <c r="MIS104" s="957"/>
      <c r="MIT104" s="957"/>
      <c r="MIU104" s="957"/>
      <c r="MIV104" s="957"/>
      <c r="MIW104" s="957"/>
      <c r="MIX104" s="957"/>
      <c r="MIY104" s="957"/>
      <c r="MIZ104" s="957"/>
      <c r="MJA104" s="957"/>
      <c r="MJB104" s="957"/>
      <c r="MJC104" s="957"/>
      <c r="MJD104" s="957"/>
      <c r="MJE104" s="957"/>
      <c r="MJF104" s="957"/>
      <c r="MJG104" s="957"/>
      <c r="MJH104" s="957"/>
      <c r="MJI104" s="957"/>
      <c r="MJJ104" s="957"/>
      <c r="MJK104" s="957"/>
      <c r="MJL104" s="957"/>
      <c r="MJM104" s="957"/>
      <c r="MJN104" s="957"/>
      <c r="MJO104" s="957"/>
      <c r="MJP104" s="957"/>
      <c r="MJQ104" s="957"/>
      <c r="MJR104" s="957"/>
      <c r="MJS104" s="957"/>
      <c r="MJT104" s="957"/>
      <c r="MJU104" s="957"/>
      <c r="MJV104" s="957"/>
      <c r="MJW104" s="957"/>
      <c r="MJX104" s="957"/>
      <c r="MJY104" s="957"/>
      <c r="MJZ104" s="957"/>
      <c r="MKA104" s="957"/>
      <c r="MKB104" s="957"/>
      <c r="MKC104" s="957"/>
      <c r="MKD104" s="957"/>
      <c r="MKE104" s="957"/>
      <c r="MKF104" s="957"/>
      <c r="MKG104" s="957"/>
      <c r="MKH104" s="957"/>
      <c r="MKI104" s="957"/>
      <c r="MKJ104" s="957"/>
      <c r="MKK104" s="957"/>
      <c r="MKL104" s="957"/>
      <c r="MKM104" s="957"/>
      <c r="MKN104" s="957"/>
      <c r="MKO104" s="957"/>
      <c r="MKP104" s="957"/>
      <c r="MKQ104" s="957"/>
      <c r="MKR104" s="957"/>
      <c r="MKS104" s="957"/>
      <c r="MKT104" s="957"/>
      <c r="MKU104" s="957"/>
      <c r="MKV104" s="957"/>
      <c r="MKW104" s="957"/>
      <c r="MKX104" s="957"/>
      <c r="MKY104" s="957"/>
      <c r="MKZ104" s="957"/>
      <c r="MLA104" s="957"/>
      <c r="MLB104" s="957"/>
      <c r="MLC104" s="957"/>
      <c r="MLD104" s="957"/>
      <c r="MLE104" s="957"/>
      <c r="MLF104" s="957"/>
      <c r="MLG104" s="957"/>
      <c r="MLH104" s="957"/>
      <c r="MLI104" s="957"/>
      <c r="MLJ104" s="957"/>
      <c r="MLK104" s="957"/>
      <c r="MLL104" s="957"/>
      <c r="MLM104" s="957"/>
      <c r="MLN104" s="957"/>
      <c r="MLO104" s="957"/>
      <c r="MLP104" s="957"/>
      <c r="MLQ104" s="957"/>
      <c r="MLR104" s="957"/>
      <c r="MLS104" s="957"/>
      <c r="MLT104" s="957"/>
      <c r="MLU104" s="957"/>
      <c r="MLV104" s="957"/>
      <c r="MLW104" s="957"/>
      <c r="MLX104" s="957"/>
      <c r="MLY104" s="957"/>
      <c r="MLZ104" s="957"/>
      <c r="MMA104" s="957"/>
      <c r="MMB104" s="957"/>
      <c r="MMC104" s="957"/>
      <c r="MMD104" s="957"/>
      <c r="MME104" s="957"/>
      <c r="MMF104" s="957"/>
      <c r="MMG104" s="957"/>
      <c r="MMH104" s="957"/>
      <c r="MMI104" s="957"/>
      <c r="MMJ104" s="957"/>
      <c r="MMK104" s="957"/>
      <c r="MML104" s="957"/>
      <c r="MMM104" s="957"/>
      <c r="MMN104" s="957"/>
      <c r="MMO104" s="957"/>
      <c r="MMP104" s="957"/>
      <c r="MMQ104" s="957"/>
      <c r="MMR104" s="957"/>
      <c r="MMS104" s="957"/>
      <c r="MMT104" s="957"/>
      <c r="MMU104" s="957"/>
      <c r="MMV104" s="957"/>
      <c r="MMW104" s="957"/>
      <c r="MMX104" s="957"/>
      <c r="MMY104" s="957"/>
      <c r="MMZ104" s="957"/>
      <c r="MNA104" s="957"/>
      <c r="MNB104" s="957"/>
      <c r="MNC104" s="957"/>
      <c r="MND104" s="957"/>
      <c r="MNE104" s="957"/>
      <c r="MNF104" s="957"/>
      <c r="MNG104" s="957"/>
      <c r="MNH104" s="957"/>
      <c r="MNI104" s="957"/>
      <c r="MNJ104" s="957"/>
      <c r="MNK104" s="957"/>
      <c r="MNL104" s="957"/>
      <c r="MNM104" s="957"/>
      <c r="MNN104" s="957"/>
      <c r="MNO104" s="957"/>
      <c r="MNP104" s="957"/>
      <c r="MNQ104" s="957"/>
      <c r="MNR104" s="957"/>
      <c r="MNS104" s="957"/>
      <c r="MNT104" s="957"/>
      <c r="MNU104" s="957"/>
      <c r="MNV104" s="957"/>
      <c r="MNW104" s="957"/>
      <c r="MNX104" s="957"/>
      <c r="MNY104" s="957"/>
      <c r="MNZ104" s="957"/>
      <c r="MOA104" s="957"/>
      <c r="MOB104" s="957"/>
      <c r="MOC104" s="957"/>
      <c r="MOD104" s="957"/>
      <c r="MOE104" s="957"/>
      <c r="MOF104" s="957"/>
      <c r="MOG104" s="957"/>
      <c r="MOH104" s="957"/>
      <c r="MOI104" s="957"/>
      <c r="MOJ104" s="957"/>
      <c r="MOK104" s="957"/>
      <c r="MOL104" s="957"/>
      <c r="MOM104" s="957"/>
      <c r="MON104" s="957"/>
      <c r="MOO104" s="957"/>
      <c r="MOP104" s="957"/>
      <c r="MOQ104" s="957"/>
      <c r="MOR104" s="957"/>
      <c r="MOS104" s="957"/>
      <c r="MOT104" s="957"/>
      <c r="MOU104" s="957"/>
      <c r="MOV104" s="957"/>
      <c r="MOW104" s="957"/>
      <c r="MOX104" s="957"/>
      <c r="MOY104" s="957"/>
      <c r="MOZ104" s="957"/>
      <c r="MPA104" s="957"/>
      <c r="MPB104" s="957"/>
      <c r="MPC104" s="957"/>
      <c r="MPD104" s="957"/>
      <c r="MPE104" s="957"/>
      <c r="MPF104" s="957"/>
      <c r="MPG104" s="957"/>
      <c r="MPH104" s="957"/>
      <c r="MPI104" s="957"/>
      <c r="MPJ104" s="957"/>
      <c r="MPK104" s="957"/>
      <c r="MPL104" s="957"/>
      <c r="MPM104" s="957"/>
      <c r="MPN104" s="957"/>
      <c r="MPO104" s="957"/>
      <c r="MPP104" s="957"/>
      <c r="MPQ104" s="957"/>
      <c r="MPR104" s="957"/>
      <c r="MPS104" s="957"/>
      <c r="MPT104" s="957"/>
      <c r="MPU104" s="957"/>
      <c r="MPV104" s="957"/>
      <c r="MPW104" s="957"/>
      <c r="MPX104" s="957"/>
      <c r="MPY104" s="957"/>
      <c r="MPZ104" s="957"/>
      <c r="MQA104" s="957"/>
      <c r="MQB104" s="957"/>
      <c r="MQC104" s="957"/>
      <c r="MQD104" s="957"/>
      <c r="MQE104" s="957"/>
      <c r="MQF104" s="957"/>
      <c r="MQG104" s="957"/>
      <c r="MQH104" s="957"/>
      <c r="MQI104" s="957"/>
      <c r="MQJ104" s="957"/>
      <c r="MQK104" s="957"/>
      <c r="MQL104" s="957"/>
      <c r="MQM104" s="957"/>
      <c r="MQN104" s="957"/>
      <c r="MQO104" s="957"/>
      <c r="MQP104" s="957"/>
      <c r="MQQ104" s="957"/>
      <c r="MQR104" s="957"/>
      <c r="MQS104" s="957"/>
      <c r="MQT104" s="957"/>
      <c r="MQU104" s="957"/>
      <c r="MQV104" s="957"/>
      <c r="MQW104" s="957"/>
      <c r="MQX104" s="957"/>
      <c r="MQY104" s="957"/>
      <c r="MQZ104" s="957"/>
      <c r="MRA104" s="957"/>
      <c r="MRB104" s="957"/>
      <c r="MRC104" s="957"/>
      <c r="MRD104" s="957"/>
      <c r="MRE104" s="957"/>
      <c r="MRF104" s="957"/>
      <c r="MRG104" s="957"/>
      <c r="MRH104" s="957"/>
      <c r="MRI104" s="957"/>
      <c r="MRJ104" s="957"/>
      <c r="MRK104" s="957"/>
      <c r="MRL104" s="957"/>
      <c r="MRM104" s="957"/>
      <c r="MRN104" s="957"/>
      <c r="MRO104" s="957"/>
      <c r="MRP104" s="957"/>
      <c r="MRQ104" s="957"/>
      <c r="MRR104" s="957"/>
      <c r="MRS104" s="957"/>
      <c r="MRT104" s="957"/>
      <c r="MRU104" s="957"/>
      <c r="MRV104" s="957"/>
      <c r="MRW104" s="957"/>
      <c r="MRX104" s="957"/>
      <c r="MRY104" s="957"/>
      <c r="MRZ104" s="957"/>
      <c r="MSA104" s="957"/>
      <c r="MSB104" s="957"/>
      <c r="MSC104" s="957"/>
      <c r="MSD104" s="957"/>
      <c r="MSE104" s="957"/>
      <c r="MSF104" s="957"/>
      <c r="MSG104" s="957"/>
      <c r="MSH104" s="957"/>
      <c r="MSI104" s="957"/>
      <c r="MSJ104" s="957"/>
      <c r="MSK104" s="957"/>
      <c r="MSL104" s="957"/>
      <c r="MSM104" s="957"/>
      <c r="MSN104" s="957"/>
      <c r="MSO104" s="957"/>
      <c r="MSP104" s="957"/>
      <c r="MSQ104" s="957"/>
      <c r="MSR104" s="957"/>
      <c r="MSS104" s="957"/>
      <c r="MST104" s="957"/>
      <c r="MSU104" s="957"/>
      <c r="MSV104" s="957"/>
      <c r="MSW104" s="957"/>
      <c r="MSX104" s="957"/>
      <c r="MSY104" s="957"/>
      <c r="MSZ104" s="957"/>
      <c r="MTA104" s="957"/>
      <c r="MTB104" s="957"/>
      <c r="MTC104" s="957"/>
      <c r="MTD104" s="957"/>
      <c r="MTE104" s="957"/>
      <c r="MTF104" s="957"/>
      <c r="MTG104" s="957"/>
      <c r="MTH104" s="957"/>
      <c r="MTI104" s="957"/>
      <c r="MTJ104" s="957"/>
      <c r="MTK104" s="957"/>
      <c r="MTL104" s="957"/>
      <c r="MTM104" s="957"/>
      <c r="MTN104" s="957"/>
      <c r="MTO104" s="957"/>
      <c r="MTP104" s="957"/>
      <c r="MTQ104" s="957"/>
      <c r="MTR104" s="957"/>
      <c r="MTS104" s="957"/>
      <c r="MTT104" s="957"/>
      <c r="MTU104" s="957"/>
      <c r="MTV104" s="957"/>
      <c r="MTW104" s="957"/>
      <c r="MTX104" s="957"/>
      <c r="MTY104" s="957"/>
      <c r="MTZ104" s="957"/>
      <c r="MUA104" s="957"/>
      <c r="MUB104" s="957"/>
      <c r="MUC104" s="957"/>
      <c r="MUD104" s="957"/>
      <c r="MUE104" s="957"/>
      <c r="MUF104" s="957"/>
      <c r="MUG104" s="957"/>
      <c r="MUH104" s="957"/>
      <c r="MUI104" s="957"/>
      <c r="MUJ104" s="957"/>
      <c r="MUK104" s="957"/>
      <c r="MUL104" s="957"/>
      <c r="MUM104" s="957"/>
      <c r="MUN104" s="957"/>
      <c r="MUO104" s="957"/>
      <c r="MUP104" s="957"/>
      <c r="MUQ104" s="957"/>
      <c r="MUR104" s="957"/>
      <c r="MUS104" s="957"/>
      <c r="MUT104" s="957"/>
      <c r="MUU104" s="957"/>
      <c r="MUV104" s="957"/>
      <c r="MUW104" s="957"/>
      <c r="MUX104" s="957"/>
      <c r="MUY104" s="957"/>
      <c r="MUZ104" s="957"/>
      <c r="MVA104" s="957"/>
      <c r="MVB104" s="957"/>
      <c r="MVC104" s="957"/>
      <c r="MVD104" s="957"/>
      <c r="MVE104" s="957"/>
      <c r="MVF104" s="957"/>
      <c r="MVG104" s="957"/>
      <c r="MVH104" s="957"/>
      <c r="MVI104" s="957"/>
      <c r="MVJ104" s="957"/>
      <c r="MVK104" s="957"/>
      <c r="MVL104" s="957"/>
      <c r="MVM104" s="957"/>
      <c r="MVN104" s="957"/>
      <c r="MVO104" s="957"/>
      <c r="MVP104" s="957"/>
      <c r="MVQ104" s="957"/>
      <c r="MVR104" s="957"/>
      <c r="MVS104" s="957"/>
      <c r="MVT104" s="957"/>
      <c r="MVU104" s="957"/>
      <c r="MVV104" s="957"/>
      <c r="MVW104" s="957"/>
      <c r="MVX104" s="957"/>
      <c r="MVY104" s="957"/>
      <c r="MVZ104" s="957"/>
      <c r="MWA104" s="957"/>
      <c r="MWB104" s="957"/>
      <c r="MWC104" s="957"/>
      <c r="MWD104" s="957"/>
      <c r="MWE104" s="957"/>
      <c r="MWF104" s="957"/>
      <c r="MWG104" s="957"/>
      <c r="MWH104" s="957"/>
      <c r="MWI104" s="957"/>
      <c r="MWJ104" s="957"/>
      <c r="MWK104" s="957"/>
      <c r="MWL104" s="957"/>
      <c r="MWM104" s="957"/>
      <c r="MWN104" s="957"/>
      <c r="MWO104" s="957"/>
      <c r="MWP104" s="957"/>
      <c r="MWQ104" s="957"/>
      <c r="MWR104" s="957"/>
      <c r="MWS104" s="957"/>
      <c r="MWT104" s="957"/>
      <c r="MWU104" s="957"/>
      <c r="MWV104" s="957"/>
      <c r="MWW104" s="957"/>
      <c r="MWX104" s="957"/>
      <c r="MWY104" s="957"/>
      <c r="MWZ104" s="957"/>
      <c r="MXA104" s="957"/>
      <c r="MXB104" s="957"/>
      <c r="MXC104" s="957"/>
      <c r="MXD104" s="957"/>
      <c r="MXE104" s="957"/>
      <c r="MXF104" s="957"/>
      <c r="MXG104" s="957"/>
      <c r="MXH104" s="957"/>
      <c r="MXI104" s="957"/>
      <c r="MXJ104" s="957"/>
      <c r="MXK104" s="957"/>
      <c r="MXL104" s="957"/>
      <c r="MXM104" s="957"/>
      <c r="MXN104" s="957"/>
      <c r="MXO104" s="957"/>
      <c r="MXP104" s="957"/>
      <c r="MXQ104" s="957"/>
      <c r="MXR104" s="957"/>
      <c r="MXS104" s="957"/>
      <c r="MXT104" s="957"/>
      <c r="MXU104" s="957"/>
      <c r="MXV104" s="957"/>
      <c r="MXW104" s="957"/>
      <c r="MXX104" s="957"/>
      <c r="MXY104" s="957"/>
      <c r="MXZ104" s="957"/>
      <c r="MYA104" s="957"/>
      <c r="MYB104" s="957"/>
      <c r="MYC104" s="957"/>
      <c r="MYD104" s="957"/>
      <c r="MYE104" s="957"/>
      <c r="MYF104" s="957"/>
      <c r="MYG104" s="957"/>
      <c r="MYH104" s="957"/>
      <c r="MYI104" s="957"/>
      <c r="MYJ104" s="957"/>
      <c r="MYK104" s="957"/>
      <c r="MYL104" s="957"/>
      <c r="MYM104" s="957"/>
      <c r="MYN104" s="957"/>
      <c r="MYO104" s="957"/>
      <c r="MYP104" s="957"/>
      <c r="MYQ104" s="957"/>
      <c r="MYR104" s="957"/>
      <c r="MYS104" s="957"/>
      <c r="MYT104" s="957"/>
      <c r="MYU104" s="957"/>
      <c r="MYV104" s="957"/>
      <c r="MYW104" s="957"/>
      <c r="MYX104" s="957"/>
      <c r="MYY104" s="957"/>
      <c r="MYZ104" s="957"/>
      <c r="MZA104" s="957"/>
      <c r="MZB104" s="957"/>
      <c r="MZC104" s="957"/>
      <c r="MZD104" s="957"/>
      <c r="MZE104" s="957"/>
      <c r="MZF104" s="957"/>
      <c r="MZG104" s="957"/>
      <c r="MZH104" s="957"/>
      <c r="MZI104" s="957"/>
      <c r="MZJ104" s="957"/>
      <c r="MZK104" s="957"/>
      <c r="MZL104" s="957"/>
      <c r="MZM104" s="957"/>
      <c r="MZN104" s="957"/>
      <c r="MZO104" s="957"/>
      <c r="MZP104" s="957"/>
      <c r="MZQ104" s="957"/>
      <c r="MZR104" s="957"/>
      <c r="MZS104" s="957"/>
      <c r="MZT104" s="957"/>
      <c r="MZU104" s="957"/>
      <c r="MZV104" s="957"/>
      <c r="MZW104" s="957"/>
      <c r="MZX104" s="957"/>
      <c r="MZY104" s="957"/>
      <c r="MZZ104" s="957"/>
      <c r="NAA104" s="957"/>
      <c r="NAB104" s="957"/>
      <c r="NAC104" s="957"/>
      <c r="NAD104" s="957"/>
      <c r="NAE104" s="957"/>
      <c r="NAF104" s="957"/>
      <c r="NAG104" s="957"/>
      <c r="NAH104" s="957"/>
      <c r="NAI104" s="957"/>
      <c r="NAJ104" s="957"/>
      <c r="NAK104" s="957"/>
      <c r="NAL104" s="957"/>
      <c r="NAM104" s="957"/>
      <c r="NAN104" s="957"/>
      <c r="NAO104" s="957"/>
      <c r="NAP104" s="957"/>
      <c r="NAQ104" s="957"/>
      <c r="NAR104" s="957"/>
      <c r="NAS104" s="957"/>
      <c r="NAT104" s="957"/>
      <c r="NAU104" s="957"/>
      <c r="NAV104" s="957"/>
      <c r="NAW104" s="957"/>
      <c r="NAX104" s="957"/>
      <c r="NAY104" s="957"/>
      <c r="NAZ104" s="957"/>
      <c r="NBA104" s="957"/>
      <c r="NBB104" s="957"/>
      <c r="NBC104" s="957"/>
      <c r="NBD104" s="957"/>
      <c r="NBE104" s="957"/>
      <c r="NBF104" s="957"/>
      <c r="NBG104" s="957"/>
      <c r="NBH104" s="957"/>
      <c r="NBI104" s="957"/>
      <c r="NBJ104" s="957"/>
      <c r="NBK104" s="957"/>
      <c r="NBL104" s="957"/>
      <c r="NBM104" s="957"/>
      <c r="NBN104" s="957"/>
      <c r="NBO104" s="957"/>
      <c r="NBP104" s="957"/>
      <c r="NBQ104" s="957"/>
      <c r="NBR104" s="957"/>
      <c r="NBS104" s="957"/>
      <c r="NBT104" s="957"/>
      <c r="NBU104" s="957"/>
      <c r="NBV104" s="957"/>
      <c r="NBW104" s="957"/>
      <c r="NBX104" s="957"/>
      <c r="NBY104" s="957"/>
      <c r="NBZ104" s="957"/>
      <c r="NCA104" s="957"/>
      <c r="NCB104" s="957"/>
      <c r="NCC104" s="957"/>
      <c r="NCD104" s="957"/>
      <c r="NCE104" s="957"/>
      <c r="NCF104" s="957"/>
      <c r="NCG104" s="957"/>
      <c r="NCH104" s="957"/>
      <c r="NCI104" s="957"/>
      <c r="NCJ104" s="957"/>
      <c r="NCK104" s="957"/>
      <c r="NCL104" s="957"/>
      <c r="NCM104" s="957"/>
      <c r="NCN104" s="957"/>
      <c r="NCO104" s="957"/>
      <c r="NCP104" s="957"/>
      <c r="NCQ104" s="957"/>
      <c r="NCR104" s="957"/>
      <c r="NCS104" s="957"/>
      <c r="NCT104" s="957"/>
      <c r="NCU104" s="957"/>
      <c r="NCV104" s="957"/>
      <c r="NCW104" s="957"/>
      <c r="NCX104" s="957"/>
      <c r="NCY104" s="957"/>
      <c r="NCZ104" s="957"/>
      <c r="NDA104" s="957"/>
      <c r="NDB104" s="957"/>
      <c r="NDC104" s="957"/>
      <c r="NDD104" s="957"/>
      <c r="NDE104" s="957"/>
      <c r="NDF104" s="957"/>
      <c r="NDG104" s="957"/>
      <c r="NDH104" s="957"/>
      <c r="NDI104" s="957"/>
      <c r="NDJ104" s="957"/>
      <c r="NDK104" s="957"/>
      <c r="NDL104" s="957"/>
      <c r="NDM104" s="957"/>
      <c r="NDN104" s="957"/>
      <c r="NDO104" s="957"/>
      <c r="NDP104" s="957"/>
      <c r="NDQ104" s="957"/>
      <c r="NDR104" s="957"/>
      <c r="NDS104" s="957"/>
      <c r="NDT104" s="957"/>
      <c r="NDU104" s="957"/>
      <c r="NDV104" s="957"/>
      <c r="NDW104" s="957"/>
      <c r="NDX104" s="957"/>
      <c r="NDY104" s="957"/>
      <c r="NDZ104" s="957"/>
      <c r="NEA104" s="957"/>
      <c r="NEB104" s="957"/>
      <c r="NEC104" s="957"/>
      <c r="NED104" s="957"/>
      <c r="NEE104" s="957"/>
      <c r="NEF104" s="957"/>
      <c r="NEG104" s="957"/>
      <c r="NEH104" s="957"/>
      <c r="NEI104" s="957"/>
      <c r="NEJ104" s="957"/>
      <c r="NEK104" s="957"/>
      <c r="NEL104" s="957"/>
      <c r="NEM104" s="957"/>
      <c r="NEN104" s="957"/>
      <c r="NEO104" s="957"/>
      <c r="NEP104" s="957"/>
      <c r="NEQ104" s="957"/>
      <c r="NER104" s="957"/>
      <c r="NES104" s="957"/>
      <c r="NET104" s="957"/>
      <c r="NEU104" s="957"/>
      <c r="NEV104" s="957"/>
      <c r="NEW104" s="957"/>
      <c r="NEX104" s="957"/>
      <c r="NEY104" s="957"/>
      <c r="NEZ104" s="957"/>
      <c r="NFA104" s="957"/>
      <c r="NFB104" s="957"/>
      <c r="NFC104" s="957"/>
      <c r="NFD104" s="957"/>
      <c r="NFE104" s="957"/>
      <c r="NFF104" s="957"/>
      <c r="NFG104" s="957"/>
      <c r="NFH104" s="957"/>
      <c r="NFI104" s="957"/>
      <c r="NFJ104" s="957"/>
      <c r="NFK104" s="957"/>
      <c r="NFL104" s="957"/>
      <c r="NFM104" s="957"/>
      <c r="NFN104" s="957"/>
      <c r="NFO104" s="957"/>
      <c r="NFP104" s="957"/>
      <c r="NFQ104" s="957"/>
      <c r="NFR104" s="957"/>
      <c r="NFS104" s="957"/>
      <c r="NFT104" s="957"/>
      <c r="NFU104" s="957"/>
      <c r="NFV104" s="957"/>
      <c r="NFW104" s="957"/>
      <c r="NFX104" s="957"/>
      <c r="NFY104" s="957"/>
      <c r="NFZ104" s="957"/>
      <c r="NGA104" s="957"/>
      <c r="NGB104" s="957"/>
      <c r="NGC104" s="957"/>
      <c r="NGD104" s="957"/>
      <c r="NGE104" s="957"/>
      <c r="NGF104" s="957"/>
      <c r="NGG104" s="957"/>
      <c r="NGH104" s="957"/>
      <c r="NGI104" s="957"/>
      <c r="NGJ104" s="957"/>
      <c r="NGK104" s="957"/>
      <c r="NGL104" s="957"/>
      <c r="NGM104" s="957"/>
      <c r="NGN104" s="957"/>
      <c r="NGO104" s="957"/>
      <c r="NGP104" s="957"/>
      <c r="NGQ104" s="957"/>
      <c r="NGR104" s="957"/>
      <c r="NGS104" s="957"/>
      <c r="NGT104" s="957"/>
      <c r="NGU104" s="957"/>
      <c r="NGV104" s="957"/>
      <c r="NGW104" s="957"/>
      <c r="NGX104" s="957"/>
      <c r="NGY104" s="957"/>
      <c r="NGZ104" s="957"/>
      <c r="NHA104" s="957"/>
      <c r="NHB104" s="957"/>
      <c r="NHC104" s="957"/>
      <c r="NHD104" s="957"/>
      <c r="NHE104" s="957"/>
      <c r="NHF104" s="957"/>
      <c r="NHG104" s="957"/>
      <c r="NHH104" s="957"/>
      <c r="NHI104" s="957"/>
      <c r="NHJ104" s="957"/>
      <c r="NHK104" s="957"/>
      <c r="NHL104" s="957"/>
      <c r="NHM104" s="957"/>
      <c r="NHN104" s="957"/>
      <c r="NHO104" s="957"/>
      <c r="NHP104" s="957"/>
      <c r="NHQ104" s="957"/>
      <c r="NHR104" s="957"/>
      <c r="NHS104" s="957"/>
      <c r="NHT104" s="957"/>
      <c r="NHU104" s="957"/>
      <c r="NHV104" s="957"/>
      <c r="NHW104" s="957"/>
      <c r="NHX104" s="957"/>
      <c r="NHY104" s="957"/>
      <c r="NHZ104" s="957"/>
      <c r="NIA104" s="957"/>
      <c r="NIB104" s="957"/>
      <c r="NIC104" s="957"/>
      <c r="NID104" s="957"/>
      <c r="NIE104" s="957"/>
      <c r="NIF104" s="957"/>
      <c r="NIG104" s="957"/>
      <c r="NIH104" s="957"/>
      <c r="NII104" s="957"/>
      <c r="NIJ104" s="957"/>
      <c r="NIK104" s="957"/>
      <c r="NIL104" s="957"/>
      <c r="NIM104" s="957"/>
      <c r="NIN104" s="957"/>
      <c r="NIO104" s="957"/>
      <c r="NIP104" s="957"/>
      <c r="NIQ104" s="957"/>
      <c r="NIR104" s="957"/>
      <c r="NIS104" s="957"/>
      <c r="NIT104" s="957"/>
      <c r="NIU104" s="957"/>
      <c r="NIV104" s="957"/>
      <c r="NIW104" s="957"/>
      <c r="NIX104" s="957"/>
      <c r="NIY104" s="957"/>
      <c r="NIZ104" s="957"/>
      <c r="NJA104" s="957"/>
      <c r="NJB104" s="957"/>
      <c r="NJC104" s="957"/>
      <c r="NJD104" s="957"/>
      <c r="NJE104" s="957"/>
      <c r="NJF104" s="957"/>
      <c r="NJG104" s="957"/>
      <c r="NJH104" s="957"/>
      <c r="NJI104" s="957"/>
      <c r="NJJ104" s="957"/>
      <c r="NJK104" s="957"/>
      <c r="NJL104" s="957"/>
      <c r="NJM104" s="957"/>
      <c r="NJN104" s="957"/>
      <c r="NJO104" s="957"/>
      <c r="NJP104" s="957"/>
      <c r="NJQ104" s="957"/>
      <c r="NJR104" s="957"/>
      <c r="NJS104" s="957"/>
      <c r="NJT104" s="957"/>
      <c r="NJU104" s="957"/>
      <c r="NJV104" s="957"/>
      <c r="NJW104" s="957"/>
      <c r="NJX104" s="957"/>
      <c r="NJY104" s="957"/>
      <c r="NJZ104" s="957"/>
      <c r="NKA104" s="957"/>
      <c r="NKB104" s="957"/>
      <c r="NKC104" s="957"/>
      <c r="NKD104" s="957"/>
      <c r="NKE104" s="957"/>
      <c r="NKF104" s="957"/>
      <c r="NKG104" s="957"/>
      <c r="NKH104" s="957"/>
      <c r="NKI104" s="957"/>
      <c r="NKJ104" s="957"/>
      <c r="NKK104" s="957"/>
      <c r="NKL104" s="957"/>
      <c r="NKM104" s="957"/>
      <c r="NKN104" s="957"/>
      <c r="NKO104" s="957"/>
      <c r="NKP104" s="957"/>
      <c r="NKQ104" s="957"/>
      <c r="NKR104" s="957"/>
      <c r="NKS104" s="957"/>
      <c r="NKT104" s="957"/>
      <c r="NKU104" s="957"/>
      <c r="NKV104" s="957"/>
      <c r="NKW104" s="957"/>
      <c r="NKX104" s="957"/>
      <c r="NKY104" s="957"/>
      <c r="NKZ104" s="957"/>
      <c r="NLA104" s="957"/>
      <c r="NLB104" s="957"/>
      <c r="NLC104" s="957"/>
      <c r="NLD104" s="957"/>
      <c r="NLE104" s="957"/>
      <c r="NLF104" s="957"/>
      <c r="NLG104" s="957"/>
      <c r="NLH104" s="957"/>
      <c r="NLI104" s="957"/>
      <c r="NLJ104" s="957"/>
      <c r="NLK104" s="957"/>
      <c r="NLL104" s="957"/>
      <c r="NLM104" s="957"/>
      <c r="NLN104" s="957"/>
      <c r="NLO104" s="957"/>
      <c r="NLP104" s="957"/>
      <c r="NLQ104" s="957"/>
      <c r="NLR104" s="957"/>
      <c r="NLS104" s="957"/>
      <c r="NLT104" s="957"/>
      <c r="NLU104" s="957"/>
      <c r="NLV104" s="957"/>
      <c r="NLW104" s="957"/>
      <c r="NLX104" s="957"/>
      <c r="NLY104" s="957"/>
      <c r="NLZ104" s="957"/>
      <c r="NMA104" s="957"/>
      <c r="NMB104" s="957"/>
      <c r="NMC104" s="957"/>
      <c r="NMD104" s="957"/>
      <c r="NME104" s="957"/>
      <c r="NMF104" s="957"/>
      <c r="NMG104" s="957"/>
      <c r="NMH104" s="957"/>
      <c r="NMI104" s="957"/>
      <c r="NMJ104" s="957"/>
      <c r="NMK104" s="957"/>
      <c r="NML104" s="957"/>
      <c r="NMM104" s="957"/>
      <c r="NMN104" s="957"/>
      <c r="NMO104" s="957"/>
      <c r="NMP104" s="957"/>
      <c r="NMQ104" s="957"/>
      <c r="NMR104" s="957"/>
      <c r="NMS104" s="957"/>
      <c r="NMT104" s="957"/>
      <c r="NMU104" s="957"/>
      <c r="NMV104" s="957"/>
      <c r="NMW104" s="957"/>
      <c r="NMX104" s="957"/>
      <c r="NMY104" s="957"/>
      <c r="NMZ104" s="957"/>
      <c r="NNA104" s="957"/>
      <c r="NNB104" s="957"/>
      <c r="NNC104" s="957"/>
      <c r="NND104" s="957"/>
      <c r="NNE104" s="957"/>
      <c r="NNF104" s="957"/>
      <c r="NNG104" s="957"/>
      <c r="NNH104" s="957"/>
      <c r="NNI104" s="957"/>
      <c r="NNJ104" s="957"/>
      <c r="NNK104" s="957"/>
      <c r="NNL104" s="957"/>
      <c r="NNM104" s="957"/>
      <c r="NNN104" s="957"/>
      <c r="NNO104" s="957"/>
      <c r="NNP104" s="957"/>
      <c r="NNQ104" s="957"/>
      <c r="NNR104" s="957"/>
      <c r="NNS104" s="957"/>
      <c r="NNT104" s="957"/>
      <c r="NNU104" s="957"/>
      <c r="NNV104" s="957"/>
      <c r="NNW104" s="957"/>
      <c r="NNX104" s="957"/>
      <c r="NNY104" s="957"/>
      <c r="NNZ104" s="957"/>
      <c r="NOA104" s="957"/>
      <c r="NOB104" s="957"/>
      <c r="NOC104" s="957"/>
      <c r="NOD104" s="957"/>
      <c r="NOE104" s="957"/>
      <c r="NOF104" s="957"/>
      <c r="NOG104" s="957"/>
      <c r="NOH104" s="957"/>
      <c r="NOI104" s="957"/>
      <c r="NOJ104" s="957"/>
      <c r="NOK104" s="957"/>
      <c r="NOL104" s="957"/>
      <c r="NOM104" s="957"/>
      <c r="NON104" s="957"/>
      <c r="NOO104" s="957"/>
      <c r="NOP104" s="957"/>
      <c r="NOQ104" s="957"/>
      <c r="NOR104" s="957"/>
      <c r="NOS104" s="957"/>
      <c r="NOT104" s="957"/>
      <c r="NOU104" s="957"/>
      <c r="NOV104" s="957"/>
      <c r="NOW104" s="957"/>
      <c r="NOX104" s="957"/>
      <c r="NOY104" s="957"/>
      <c r="NOZ104" s="957"/>
      <c r="NPA104" s="957"/>
      <c r="NPB104" s="957"/>
      <c r="NPC104" s="957"/>
      <c r="NPD104" s="957"/>
      <c r="NPE104" s="957"/>
      <c r="NPF104" s="957"/>
      <c r="NPG104" s="957"/>
      <c r="NPH104" s="957"/>
      <c r="NPI104" s="957"/>
      <c r="NPJ104" s="957"/>
      <c r="NPK104" s="957"/>
      <c r="NPL104" s="957"/>
      <c r="NPM104" s="957"/>
      <c r="NPN104" s="957"/>
      <c r="NPO104" s="957"/>
      <c r="NPP104" s="957"/>
      <c r="NPQ104" s="957"/>
      <c r="NPR104" s="957"/>
      <c r="NPS104" s="957"/>
      <c r="NPT104" s="957"/>
      <c r="NPU104" s="957"/>
      <c r="NPV104" s="957"/>
      <c r="NPW104" s="957"/>
      <c r="NPX104" s="957"/>
      <c r="NPY104" s="957"/>
      <c r="NPZ104" s="957"/>
      <c r="NQA104" s="957"/>
      <c r="NQB104" s="957"/>
      <c r="NQC104" s="957"/>
      <c r="NQD104" s="957"/>
      <c r="NQE104" s="957"/>
      <c r="NQF104" s="957"/>
      <c r="NQG104" s="957"/>
      <c r="NQH104" s="957"/>
      <c r="NQI104" s="957"/>
      <c r="NQJ104" s="957"/>
      <c r="NQK104" s="957"/>
      <c r="NQL104" s="957"/>
      <c r="NQM104" s="957"/>
      <c r="NQN104" s="957"/>
      <c r="NQO104" s="957"/>
      <c r="NQP104" s="957"/>
      <c r="NQQ104" s="957"/>
      <c r="NQR104" s="957"/>
      <c r="NQS104" s="957"/>
      <c r="NQT104" s="957"/>
      <c r="NQU104" s="957"/>
      <c r="NQV104" s="957"/>
      <c r="NQW104" s="957"/>
      <c r="NQX104" s="957"/>
      <c r="NQY104" s="957"/>
      <c r="NQZ104" s="957"/>
      <c r="NRA104" s="957"/>
      <c r="NRB104" s="957"/>
      <c r="NRC104" s="957"/>
      <c r="NRD104" s="957"/>
      <c r="NRE104" s="957"/>
      <c r="NRF104" s="957"/>
      <c r="NRG104" s="957"/>
      <c r="NRH104" s="957"/>
      <c r="NRI104" s="957"/>
      <c r="NRJ104" s="957"/>
      <c r="NRK104" s="957"/>
      <c r="NRL104" s="957"/>
      <c r="NRM104" s="957"/>
      <c r="NRN104" s="957"/>
      <c r="NRO104" s="957"/>
      <c r="NRP104" s="957"/>
      <c r="NRQ104" s="957"/>
      <c r="NRR104" s="957"/>
      <c r="NRS104" s="957"/>
      <c r="NRT104" s="957"/>
      <c r="NRU104" s="957"/>
      <c r="NRV104" s="957"/>
      <c r="NRW104" s="957"/>
      <c r="NRX104" s="957"/>
      <c r="NRY104" s="957"/>
      <c r="NRZ104" s="957"/>
      <c r="NSA104" s="957"/>
      <c r="NSB104" s="957"/>
      <c r="NSC104" s="957"/>
      <c r="NSD104" s="957"/>
      <c r="NSE104" s="957"/>
      <c r="NSF104" s="957"/>
      <c r="NSG104" s="957"/>
      <c r="NSH104" s="957"/>
      <c r="NSI104" s="957"/>
      <c r="NSJ104" s="957"/>
      <c r="NSK104" s="957"/>
      <c r="NSL104" s="957"/>
      <c r="NSM104" s="957"/>
      <c r="NSN104" s="957"/>
      <c r="NSO104" s="957"/>
      <c r="NSP104" s="957"/>
      <c r="NSQ104" s="957"/>
      <c r="NSR104" s="957"/>
      <c r="NSS104" s="957"/>
      <c r="NST104" s="957"/>
      <c r="NSU104" s="957"/>
      <c r="NSV104" s="957"/>
      <c r="NSW104" s="957"/>
      <c r="NSX104" s="957"/>
      <c r="NSY104" s="957"/>
      <c r="NSZ104" s="957"/>
      <c r="NTA104" s="957"/>
      <c r="NTB104" s="957"/>
      <c r="NTC104" s="957"/>
      <c r="NTD104" s="957"/>
      <c r="NTE104" s="957"/>
      <c r="NTF104" s="957"/>
      <c r="NTG104" s="957"/>
      <c r="NTH104" s="957"/>
      <c r="NTI104" s="957"/>
      <c r="NTJ104" s="957"/>
      <c r="NTK104" s="957"/>
      <c r="NTL104" s="957"/>
      <c r="NTM104" s="957"/>
      <c r="NTN104" s="957"/>
      <c r="NTO104" s="957"/>
      <c r="NTP104" s="957"/>
      <c r="NTQ104" s="957"/>
      <c r="NTR104" s="957"/>
      <c r="NTS104" s="957"/>
      <c r="NTT104" s="957"/>
      <c r="NTU104" s="957"/>
      <c r="NTV104" s="957"/>
      <c r="NTW104" s="957"/>
      <c r="NTX104" s="957"/>
      <c r="NTY104" s="957"/>
      <c r="NTZ104" s="957"/>
      <c r="NUA104" s="957"/>
      <c r="NUB104" s="957"/>
      <c r="NUC104" s="957"/>
      <c r="NUD104" s="957"/>
      <c r="NUE104" s="957"/>
      <c r="NUF104" s="957"/>
      <c r="NUG104" s="957"/>
      <c r="NUH104" s="957"/>
      <c r="NUI104" s="957"/>
      <c r="NUJ104" s="957"/>
      <c r="NUK104" s="957"/>
      <c r="NUL104" s="957"/>
      <c r="NUM104" s="957"/>
      <c r="NUN104" s="957"/>
      <c r="NUO104" s="957"/>
      <c r="NUP104" s="957"/>
      <c r="NUQ104" s="957"/>
      <c r="NUR104" s="957"/>
      <c r="NUS104" s="957"/>
      <c r="NUT104" s="957"/>
      <c r="NUU104" s="957"/>
      <c r="NUV104" s="957"/>
      <c r="NUW104" s="957"/>
      <c r="NUX104" s="957"/>
      <c r="NUY104" s="957"/>
      <c r="NUZ104" s="957"/>
      <c r="NVA104" s="957"/>
      <c r="NVB104" s="957"/>
      <c r="NVC104" s="957"/>
      <c r="NVD104" s="957"/>
      <c r="NVE104" s="957"/>
      <c r="NVF104" s="957"/>
      <c r="NVG104" s="957"/>
      <c r="NVH104" s="957"/>
      <c r="NVI104" s="957"/>
      <c r="NVJ104" s="957"/>
      <c r="NVK104" s="957"/>
      <c r="NVL104" s="957"/>
      <c r="NVM104" s="957"/>
      <c r="NVN104" s="957"/>
      <c r="NVO104" s="957"/>
      <c r="NVP104" s="957"/>
      <c r="NVQ104" s="957"/>
      <c r="NVR104" s="957"/>
      <c r="NVS104" s="957"/>
      <c r="NVT104" s="957"/>
      <c r="NVU104" s="957"/>
      <c r="NVV104" s="957"/>
      <c r="NVW104" s="957"/>
      <c r="NVX104" s="957"/>
      <c r="NVY104" s="957"/>
      <c r="NVZ104" s="957"/>
      <c r="NWA104" s="957"/>
      <c r="NWB104" s="957"/>
      <c r="NWC104" s="957"/>
      <c r="NWD104" s="957"/>
      <c r="NWE104" s="957"/>
      <c r="NWF104" s="957"/>
      <c r="NWG104" s="957"/>
      <c r="NWH104" s="957"/>
      <c r="NWI104" s="957"/>
      <c r="NWJ104" s="957"/>
      <c r="NWK104" s="957"/>
      <c r="NWL104" s="957"/>
      <c r="NWM104" s="957"/>
      <c r="NWN104" s="957"/>
      <c r="NWO104" s="957"/>
      <c r="NWP104" s="957"/>
      <c r="NWQ104" s="957"/>
      <c r="NWR104" s="957"/>
      <c r="NWS104" s="957"/>
      <c r="NWT104" s="957"/>
      <c r="NWU104" s="957"/>
      <c r="NWV104" s="957"/>
      <c r="NWW104" s="957"/>
      <c r="NWX104" s="957"/>
      <c r="NWY104" s="957"/>
      <c r="NWZ104" s="957"/>
      <c r="NXA104" s="957"/>
      <c r="NXB104" s="957"/>
      <c r="NXC104" s="957"/>
      <c r="NXD104" s="957"/>
      <c r="NXE104" s="957"/>
      <c r="NXF104" s="957"/>
      <c r="NXG104" s="957"/>
      <c r="NXH104" s="957"/>
      <c r="NXI104" s="957"/>
      <c r="NXJ104" s="957"/>
      <c r="NXK104" s="957"/>
      <c r="NXL104" s="957"/>
      <c r="NXM104" s="957"/>
      <c r="NXN104" s="957"/>
      <c r="NXO104" s="957"/>
      <c r="NXP104" s="957"/>
      <c r="NXQ104" s="957"/>
      <c r="NXR104" s="957"/>
      <c r="NXS104" s="957"/>
      <c r="NXT104" s="957"/>
      <c r="NXU104" s="957"/>
      <c r="NXV104" s="957"/>
      <c r="NXW104" s="957"/>
      <c r="NXX104" s="957"/>
      <c r="NXY104" s="957"/>
      <c r="NXZ104" s="957"/>
      <c r="NYA104" s="957"/>
      <c r="NYB104" s="957"/>
      <c r="NYC104" s="957"/>
      <c r="NYD104" s="957"/>
      <c r="NYE104" s="957"/>
      <c r="NYF104" s="957"/>
      <c r="NYG104" s="957"/>
      <c r="NYH104" s="957"/>
      <c r="NYI104" s="957"/>
      <c r="NYJ104" s="957"/>
      <c r="NYK104" s="957"/>
      <c r="NYL104" s="957"/>
      <c r="NYM104" s="957"/>
      <c r="NYN104" s="957"/>
      <c r="NYO104" s="957"/>
      <c r="NYP104" s="957"/>
      <c r="NYQ104" s="957"/>
      <c r="NYR104" s="957"/>
      <c r="NYS104" s="957"/>
      <c r="NYT104" s="957"/>
      <c r="NYU104" s="957"/>
      <c r="NYV104" s="957"/>
      <c r="NYW104" s="957"/>
      <c r="NYX104" s="957"/>
      <c r="NYY104" s="957"/>
      <c r="NYZ104" s="957"/>
      <c r="NZA104" s="957"/>
      <c r="NZB104" s="957"/>
      <c r="NZC104" s="957"/>
      <c r="NZD104" s="957"/>
      <c r="NZE104" s="957"/>
      <c r="NZF104" s="957"/>
      <c r="NZG104" s="957"/>
      <c r="NZH104" s="957"/>
      <c r="NZI104" s="957"/>
      <c r="NZJ104" s="957"/>
      <c r="NZK104" s="957"/>
      <c r="NZL104" s="957"/>
      <c r="NZM104" s="957"/>
      <c r="NZN104" s="957"/>
      <c r="NZO104" s="957"/>
      <c r="NZP104" s="957"/>
      <c r="NZQ104" s="957"/>
      <c r="NZR104" s="957"/>
      <c r="NZS104" s="957"/>
      <c r="NZT104" s="957"/>
      <c r="NZU104" s="957"/>
      <c r="NZV104" s="957"/>
      <c r="NZW104" s="957"/>
      <c r="NZX104" s="957"/>
      <c r="NZY104" s="957"/>
      <c r="NZZ104" s="957"/>
      <c r="OAA104" s="957"/>
      <c r="OAB104" s="957"/>
      <c r="OAC104" s="957"/>
      <c r="OAD104" s="957"/>
      <c r="OAE104" s="957"/>
      <c r="OAF104" s="957"/>
      <c r="OAG104" s="957"/>
      <c r="OAH104" s="957"/>
      <c r="OAI104" s="957"/>
      <c r="OAJ104" s="957"/>
      <c r="OAK104" s="957"/>
      <c r="OAL104" s="957"/>
      <c r="OAM104" s="957"/>
      <c r="OAN104" s="957"/>
      <c r="OAO104" s="957"/>
      <c r="OAP104" s="957"/>
      <c r="OAQ104" s="957"/>
      <c r="OAR104" s="957"/>
      <c r="OAS104" s="957"/>
      <c r="OAT104" s="957"/>
      <c r="OAU104" s="957"/>
      <c r="OAV104" s="957"/>
      <c r="OAW104" s="957"/>
      <c r="OAX104" s="957"/>
      <c r="OAY104" s="957"/>
      <c r="OAZ104" s="957"/>
      <c r="OBA104" s="957"/>
      <c r="OBB104" s="957"/>
      <c r="OBC104" s="957"/>
      <c r="OBD104" s="957"/>
      <c r="OBE104" s="957"/>
      <c r="OBF104" s="957"/>
      <c r="OBG104" s="957"/>
      <c r="OBH104" s="957"/>
      <c r="OBI104" s="957"/>
      <c r="OBJ104" s="957"/>
      <c r="OBK104" s="957"/>
      <c r="OBL104" s="957"/>
      <c r="OBM104" s="957"/>
      <c r="OBN104" s="957"/>
      <c r="OBO104" s="957"/>
      <c r="OBP104" s="957"/>
      <c r="OBQ104" s="957"/>
      <c r="OBR104" s="957"/>
      <c r="OBS104" s="957"/>
      <c r="OBT104" s="957"/>
      <c r="OBU104" s="957"/>
      <c r="OBV104" s="957"/>
      <c r="OBW104" s="957"/>
      <c r="OBX104" s="957"/>
      <c r="OBY104" s="957"/>
      <c r="OBZ104" s="957"/>
      <c r="OCA104" s="957"/>
      <c r="OCB104" s="957"/>
      <c r="OCC104" s="957"/>
      <c r="OCD104" s="957"/>
      <c r="OCE104" s="957"/>
      <c r="OCF104" s="957"/>
      <c r="OCG104" s="957"/>
      <c r="OCH104" s="957"/>
      <c r="OCI104" s="957"/>
      <c r="OCJ104" s="957"/>
      <c r="OCK104" s="957"/>
      <c r="OCL104" s="957"/>
      <c r="OCM104" s="957"/>
      <c r="OCN104" s="957"/>
      <c r="OCO104" s="957"/>
      <c r="OCP104" s="957"/>
      <c r="OCQ104" s="957"/>
      <c r="OCR104" s="957"/>
      <c r="OCS104" s="957"/>
      <c r="OCT104" s="957"/>
      <c r="OCU104" s="957"/>
      <c r="OCV104" s="957"/>
      <c r="OCW104" s="957"/>
      <c r="OCX104" s="957"/>
      <c r="OCY104" s="957"/>
      <c r="OCZ104" s="957"/>
      <c r="ODA104" s="957"/>
      <c r="ODB104" s="957"/>
      <c r="ODC104" s="957"/>
      <c r="ODD104" s="957"/>
      <c r="ODE104" s="957"/>
      <c r="ODF104" s="957"/>
      <c r="ODG104" s="957"/>
      <c r="ODH104" s="957"/>
      <c r="ODI104" s="957"/>
      <c r="ODJ104" s="957"/>
      <c r="ODK104" s="957"/>
      <c r="ODL104" s="957"/>
      <c r="ODM104" s="957"/>
      <c r="ODN104" s="957"/>
      <c r="ODO104" s="957"/>
      <c r="ODP104" s="957"/>
      <c r="ODQ104" s="957"/>
      <c r="ODR104" s="957"/>
      <c r="ODS104" s="957"/>
      <c r="ODT104" s="957"/>
      <c r="ODU104" s="957"/>
      <c r="ODV104" s="957"/>
      <c r="ODW104" s="957"/>
      <c r="ODX104" s="957"/>
      <c r="ODY104" s="957"/>
      <c r="ODZ104" s="957"/>
      <c r="OEA104" s="957"/>
      <c r="OEB104" s="957"/>
      <c r="OEC104" s="957"/>
      <c r="OED104" s="957"/>
      <c r="OEE104" s="957"/>
      <c r="OEF104" s="957"/>
      <c r="OEG104" s="957"/>
      <c r="OEH104" s="957"/>
      <c r="OEI104" s="957"/>
      <c r="OEJ104" s="957"/>
      <c r="OEK104" s="957"/>
      <c r="OEL104" s="957"/>
      <c r="OEM104" s="957"/>
      <c r="OEN104" s="957"/>
      <c r="OEO104" s="957"/>
      <c r="OEP104" s="957"/>
      <c r="OEQ104" s="957"/>
      <c r="OER104" s="957"/>
      <c r="OES104" s="957"/>
      <c r="OET104" s="957"/>
      <c r="OEU104" s="957"/>
      <c r="OEV104" s="957"/>
      <c r="OEW104" s="957"/>
      <c r="OEX104" s="957"/>
      <c r="OEY104" s="957"/>
      <c r="OEZ104" s="957"/>
      <c r="OFA104" s="957"/>
      <c r="OFB104" s="957"/>
      <c r="OFC104" s="957"/>
      <c r="OFD104" s="957"/>
      <c r="OFE104" s="957"/>
      <c r="OFF104" s="957"/>
      <c r="OFG104" s="957"/>
      <c r="OFH104" s="957"/>
      <c r="OFI104" s="957"/>
      <c r="OFJ104" s="957"/>
      <c r="OFK104" s="957"/>
      <c r="OFL104" s="957"/>
      <c r="OFM104" s="957"/>
      <c r="OFN104" s="957"/>
      <c r="OFO104" s="957"/>
      <c r="OFP104" s="957"/>
      <c r="OFQ104" s="957"/>
      <c r="OFR104" s="957"/>
      <c r="OFS104" s="957"/>
      <c r="OFT104" s="957"/>
      <c r="OFU104" s="957"/>
      <c r="OFV104" s="957"/>
      <c r="OFW104" s="957"/>
      <c r="OFX104" s="957"/>
      <c r="OFY104" s="957"/>
      <c r="OFZ104" s="957"/>
      <c r="OGA104" s="957"/>
      <c r="OGB104" s="957"/>
      <c r="OGC104" s="957"/>
      <c r="OGD104" s="957"/>
      <c r="OGE104" s="957"/>
      <c r="OGF104" s="957"/>
      <c r="OGG104" s="957"/>
      <c r="OGH104" s="957"/>
      <c r="OGI104" s="957"/>
      <c r="OGJ104" s="957"/>
      <c r="OGK104" s="957"/>
      <c r="OGL104" s="957"/>
      <c r="OGM104" s="957"/>
      <c r="OGN104" s="957"/>
      <c r="OGO104" s="957"/>
      <c r="OGP104" s="957"/>
      <c r="OGQ104" s="957"/>
      <c r="OGR104" s="957"/>
      <c r="OGS104" s="957"/>
      <c r="OGT104" s="957"/>
      <c r="OGU104" s="957"/>
      <c r="OGV104" s="957"/>
      <c r="OGW104" s="957"/>
      <c r="OGX104" s="957"/>
      <c r="OGY104" s="957"/>
      <c r="OGZ104" s="957"/>
      <c r="OHA104" s="957"/>
      <c r="OHB104" s="957"/>
      <c r="OHC104" s="957"/>
      <c r="OHD104" s="957"/>
      <c r="OHE104" s="957"/>
      <c r="OHF104" s="957"/>
      <c r="OHG104" s="957"/>
      <c r="OHH104" s="957"/>
      <c r="OHI104" s="957"/>
      <c r="OHJ104" s="957"/>
      <c r="OHK104" s="957"/>
      <c r="OHL104" s="957"/>
      <c r="OHM104" s="957"/>
      <c r="OHN104" s="957"/>
      <c r="OHO104" s="957"/>
      <c r="OHP104" s="957"/>
      <c r="OHQ104" s="957"/>
      <c r="OHR104" s="957"/>
      <c r="OHS104" s="957"/>
      <c r="OHT104" s="957"/>
      <c r="OHU104" s="957"/>
      <c r="OHV104" s="957"/>
      <c r="OHW104" s="957"/>
      <c r="OHX104" s="957"/>
      <c r="OHY104" s="957"/>
      <c r="OHZ104" s="957"/>
      <c r="OIA104" s="957"/>
      <c r="OIB104" s="957"/>
      <c r="OIC104" s="957"/>
      <c r="OID104" s="957"/>
      <c r="OIE104" s="957"/>
      <c r="OIF104" s="957"/>
      <c r="OIG104" s="957"/>
      <c r="OIH104" s="957"/>
      <c r="OII104" s="957"/>
      <c r="OIJ104" s="957"/>
      <c r="OIK104" s="957"/>
      <c r="OIL104" s="957"/>
      <c r="OIM104" s="957"/>
      <c r="OIN104" s="957"/>
      <c r="OIO104" s="957"/>
      <c r="OIP104" s="957"/>
      <c r="OIQ104" s="957"/>
      <c r="OIR104" s="957"/>
      <c r="OIS104" s="957"/>
      <c r="OIT104" s="957"/>
      <c r="OIU104" s="957"/>
      <c r="OIV104" s="957"/>
      <c r="OIW104" s="957"/>
      <c r="OIX104" s="957"/>
      <c r="OIY104" s="957"/>
      <c r="OIZ104" s="957"/>
      <c r="OJA104" s="957"/>
      <c r="OJB104" s="957"/>
      <c r="OJC104" s="957"/>
      <c r="OJD104" s="957"/>
      <c r="OJE104" s="957"/>
      <c r="OJF104" s="957"/>
      <c r="OJG104" s="957"/>
      <c r="OJH104" s="957"/>
      <c r="OJI104" s="957"/>
      <c r="OJJ104" s="957"/>
      <c r="OJK104" s="957"/>
      <c r="OJL104" s="957"/>
      <c r="OJM104" s="957"/>
      <c r="OJN104" s="957"/>
      <c r="OJO104" s="957"/>
      <c r="OJP104" s="957"/>
      <c r="OJQ104" s="957"/>
      <c r="OJR104" s="957"/>
      <c r="OJS104" s="957"/>
      <c r="OJT104" s="957"/>
      <c r="OJU104" s="957"/>
      <c r="OJV104" s="957"/>
      <c r="OJW104" s="957"/>
      <c r="OJX104" s="957"/>
      <c r="OJY104" s="957"/>
      <c r="OJZ104" s="957"/>
      <c r="OKA104" s="957"/>
      <c r="OKB104" s="957"/>
      <c r="OKC104" s="957"/>
      <c r="OKD104" s="957"/>
      <c r="OKE104" s="957"/>
      <c r="OKF104" s="957"/>
      <c r="OKG104" s="957"/>
      <c r="OKH104" s="957"/>
      <c r="OKI104" s="957"/>
      <c r="OKJ104" s="957"/>
      <c r="OKK104" s="957"/>
      <c r="OKL104" s="957"/>
      <c r="OKM104" s="957"/>
      <c r="OKN104" s="957"/>
      <c r="OKO104" s="957"/>
      <c r="OKP104" s="957"/>
      <c r="OKQ104" s="957"/>
      <c r="OKR104" s="957"/>
      <c r="OKS104" s="957"/>
      <c r="OKT104" s="957"/>
      <c r="OKU104" s="957"/>
      <c r="OKV104" s="957"/>
      <c r="OKW104" s="957"/>
      <c r="OKX104" s="957"/>
      <c r="OKY104" s="957"/>
      <c r="OKZ104" s="957"/>
      <c r="OLA104" s="957"/>
      <c r="OLB104" s="957"/>
      <c r="OLC104" s="957"/>
      <c r="OLD104" s="957"/>
      <c r="OLE104" s="957"/>
      <c r="OLF104" s="957"/>
      <c r="OLG104" s="957"/>
      <c r="OLH104" s="957"/>
      <c r="OLI104" s="957"/>
      <c r="OLJ104" s="957"/>
      <c r="OLK104" s="957"/>
      <c r="OLL104" s="957"/>
      <c r="OLM104" s="957"/>
      <c r="OLN104" s="957"/>
      <c r="OLO104" s="957"/>
      <c r="OLP104" s="957"/>
      <c r="OLQ104" s="957"/>
      <c r="OLR104" s="957"/>
      <c r="OLS104" s="957"/>
      <c r="OLT104" s="957"/>
      <c r="OLU104" s="957"/>
      <c r="OLV104" s="957"/>
      <c r="OLW104" s="957"/>
      <c r="OLX104" s="957"/>
      <c r="OLY104" s="957"/>
      <c r="OLZ104" s="957"/>
      <c r="OMA104" s="957"/>
      <c r="OMB104" s="957"/>
      <c r="OMC104" s="957"/>
      <c r="OMD104" s="957"/>
      <c r="OME104" s="957"/>
      <c r="OMF104" s="957"/>
      <c r="OMG104" s="957"/>
      <c r="OMH104" s="957"/>
      <c r="OMI104" s="957"/>
      <c r="OMJ104" s="957"/>
      <c r="OMK104" s="957"/>
      <c r="OML104" s="957"/>
      <c r="OMM104" s="957"/>
      <c r="OMN104" s="957"/>
      <c r="OMO104" s="957"/>
      <c r="OMP104" s="957"/>
      <c r="OMQ104" s="957"/>
      <c r="OMR104" s="957"/>
      <c r="OMS104" s="957"/>
      <c r="OMT104" s="957"/>
      <c r="OMU104" s="957"/>
      <c r="OMV104" s="957"/>
      <c r="OMW104" s="957"/>
      <c r="OMX104" s="957"/>
      <c r="OMY104" s="957"/>
      <c r="OMZ104" s="957"/>
      <c r="ONA104" s="957"/>
      <c r="ONB104" s="957"/>
      <c r="ONC104" s="957"/>
      <c r="OND104" s="957"/>
      <c r="ONE104" s="957"/>
      <c r="ONF104" s="957"/>
      <c r="ONG104" s="957"/>
      <c r="ONH104" s="957"/>
      <c r="ONI104" s="957"/>
      <c r="ONJ104" s="957"/>
      <c r="ONK104" s="957"/>
      <c r="ONL104" s="957"/>
      <c r="ONM104" s="957"/>
      <c r="ONN104" s="957"/>
      <c r="ONO104" s="957"/>
      <c r="ONP104" s="957"/>
      <c r="ONQ104" s="957"/>
      <c r="ONR104" s="957"/>
      <c r="ONS104" s="957"/>
      <c r="ONT104" s="957"/>
      <c r="ONU104" s="957"/>
      <c r="ONV104" s="957"/>
      <c r="ONW104" s="957"/>
      <c r="ONX104" s="957"/>
      <c r="ONY104" s="957"/>
      <c r="ONZ104" s="957"/>
      <c r="OOA104" s="957"/>
      <c r="OOB104" s="957"/>
      <c r="OOC104" s="957"/>
      <c r="OOD104" s="957"/>
      <c r="OOE104" s="957"/>
      <c r="OOF104" s="957"/>
      <c r="OOG104" s="957"/>
      <c r="OOH104" s="957"/>
      <c r="OOI104" s="957"/>
      <c r="OOJ104" s="957"/>
      <c r="OOK104" s="957"/>
      <c r="OOL104" s="957"/>
      <c r="OOM104" s="957"/>
      <c r="OON104" s="957"/>
      <c r="OOO104" s="957"/>
      <c r="OOP104" s="957"/>
      <c r="OOQ104" s="957"/>
      <c r="OOR104" s="957"/>
      <c r="OOS104" s="957"/>
      <c r="OOT104" s="957"/>
      <c r="OOU104" s="957"/>
      <c r="OOV104" s="957"/>
      <c r="OOW104" s="957"/>
      <c r="OOX104" s="957"/>
      <c r="OOY104" s="957"/>
      <c r="OOZ104" s="957"/>
      <c r="OPA104" s="957"/>
      <c r="OPB104" s="957"/>
      <c r="OPC104" s="957"/>
      <c r="OPD104" s="957"/>
      <c r="OPE104" s="957"/>
      <c r="OPF104" s="957"/>
      <c r="OPG104" s="957"/>
      <c r="OPH104" s="957"/>
      <c r="OPI104" s="957"/>
      <c r="OPJ104" s="957"/>
      <c r="OPK104" s="957"/>
      <c r="OPL104" s="957"/>
      <c r="OPM104" s="957"/>
      <c r="OPN104" s="957"/>
      <c r="OPO104" s="957"/>
      <c r="OPP104" s="957"/>
      <c r="OPQ104" s="957"/>
      <c r="OPR104" s="957"/>
      <c r="OPS104" s="957"/>
      <c r="OPT104" s="957"/>
      <c r="OPU104" s="957"/>
      <c r="OPV104" s="957"/>
      <c r="OPW104" s="957"/>
      <c r="OPX104" s="957"/>
      <c r="OPY104" s="957"/>
      <c r="OPZ104" s="957"/>
      <c r="OQA104" s="957"/>
      <c r="OQB104" s="957"/>
      <c r="OQC104" s="957"/>
      <c r="OQD104" s="957"/>
      <c r="OQE104" s="957"/>
      <c r="OQF104" s="957"/>
      <c r="OQG104" s="957"/>
      <c r="OQH104" s="957"/>
      <c r="OQI104" s="957"/>
      <c r="OQJ104" s="957"/>
      <c r="OQK104" s="957"/>
      <c r="OQL104" s="957"/>
      <c r="OQM104" s="957"/>
      <c r="OQN104" s="957"/>
      <c r="OQO104" s="957"/>
      <c r="OQP104" s="957"/>
      <c r="OQQ104" s="957"/>
      <c r="OQR104" s="957"/>
      <c r="OQS104" s="957"/>
      <c r="OQT104" s="957"/>
      <c r="OQU104" s="957"/>
      <c r="OQV104" s="957"/>
      <c r="OQW104" s="957"/>
      <c r="OQX104" s="957"/>
      <c r="OQY104" s="957"/>
      <c r="OQZ104" s="957"/>
      <c r="ORA104" s="957"/>
      <c r="ORB104" s="957"/>
      <c r="ORC104" s="957"/>
      <c r="ORD104" s="957"/>
      <c r="ORE104" s="957"/>
      <c r="ORF104" s="957"/>
      <c r="ORG104" s="957"/>
      <c r="ORH104" s="957"/>
      <c r="ORI104" s="957"/>
      <c r="ORJ104" s="957"/>
      <c r="ORK104" s="957"/>
      <c r="ORL104" s="957"/>
      <c r="ORM104" s="957"/>
      <c r="ORN104" s="957"/>
      <c r="ORO104" s="957"/>
      <c r="ORP104" s="957"/>
      <c r="ORQ104" s="957"/>
      <c r="ORR104" s="957"/>
      <c r="ORS104" s="957"/>
      <c r="ORT104" s="957"/>
      <c r="ORU104" s="957"/>
      <c r="ORV104" s="957"/>
      <c r="ORW104" s="957"/>
      <c r="ORX104" s="957"/>
      <c r="ORY104" s="957"/>
      <c r="ORZ104" s="957"/>
      <c r="OSA104" s="957"/>
      <c r="OSB104" s="957"/>
      <c r="OSC104" s="957"/>
      <c r="OSD104" s="957"/>
      <c r="OSE104" s="957"/>
      <c r="OSF104" s="957"/>
      <c r="OSG104" s="957"/>
      <c r="OSH104" s="957"/>
      <c r="OSI104" s="957"/>
      <c r="OSJ104" s="957"/>
      <c r="OSK104" s="957"/>
      <c r="OSL104" s="957"/>
      <c r="OSM104" s="957"/>
      <c r="OSN104" s="957"/>
      <c r="OSO104" s="957"/>
      <c r="OSP104" s="957"/>
      <c r="OSQ104" s="957"/>
      <c r="OSR104" s="957"/>
      <c r="OSS104" s="957"/>
      <c r="OST104" s="957"/>
      <c r="OSU104" s="957"/>
      <c r="OSV104" s="957"/>
      <c r="OSW104" s="957"/>
      <c r="OSX104" s="957"/>
      <c r="OSY104" s="957"/>
      <c r="OSZ104" s="957"/>
      <c r="OTA104" s="957"/>
      <c r="OTB104" s="957"/>
      <c r="OTC104" s="957"/>
      <c r="OTD104" s="957"/>
      <c r="OTE104" s="957"/>
      <c r="OTF104" s="957"/>
      <c r="OTG104" s="957"/>
      <c r="OTH104" s="957"/>
      <c r="OTI104" s="957"/>
      <c r="OTJ104" s="957"/>
      <c r="OTK104" s="957"/>
      <c r="OTL104" s="957"/>
      <c r="OTM104" s="957"/>
      <c r="OTN104" s="957"/>
      <c r="OTO104" s="957"/>
      <c r="OTP104" s="957"/>
      <c r="OTQ104" s="957"/>
      <c r="OTR104" s="957"/>
      <c r="OTS104" s="957"/>
      <c r="OTT104" s="957"/>
      <c r="OTU104" s="957"/>
      <c r="OTV104" s="957"/>
      <c r="OTW104" s="957"/>
      <c r="OTX104" s="957"/>
      <c r="OTY104" s="957"/>
      <c r="OTZ104" s="957"/>
      <c r="OUA104" s="957"/>
      <c r="OUB104" s="957"/>
      <c r="OUC104" s="957"/>
      <c r="OUD104" s="957"/>
      <c r="OUE104" s="957"/>
      <c r="OUF104" s="957"/>
      <c r="OUG104" s="957"/>
      <c r="OUH104" s="957"/>
      <c r="OUI104" s="957"/>
      <c r="OUJ104" s="957"/>
      <c r="OUK104" s="957"/>
      <c r="OUL104" s="957"/>
      <c r="OUM104" s="957"/>
      <c r="OUN104" s="957"/>
      <c r="OUO104" s="957"/>
      <c r="OUP104" s="957"/>
      <c r="OUQ104" s="957"/>
      <c r="OUR104" s="957"/>
      <c r="OUS104" s="957"/>
      <c r="OUT104" s="957"/>
      <c r="OUU104" s="957"/>
      <c r="OUV104" s="957"/>
      <c r="OUW104" s="957"/>
      <c r="OUX104" s="957"/>
      <c r="OUY104" s="957"/>
      <c r="OUZ104" s="957"/>
      <c r="OVA104" s="957"/>
      <c r="OVB104" s="957"/>
      <c r="OVC104" s="957"/>
      <c r="OVD104" s="957"/>
      <c r="OVE104" s="957"/>
      <c r="OVF104" s="957"/>
      <c r="OVG104" s="957"/>
      <c r="OVH104" s="957"/>
      <c r="OVI104" s="957"/>
      <c r="OVJ104" s="957"/>
      <c r="OVK104" s="957"/>
      <c r="OVL104" s="957"/>
      <c r="OVM104" s="957"/>
      <c r="OVN104" s="957"/>
      <c r="OVO104" s="957"/>
      <c r="OVP104" s="957"/>
      <c r="OVQ104" s="957"/>
      <c r="OVR104" s="957"/>
      <c r="OVS104" s="957"/>
      <c r="OVT104" s="957"/>
      <c r="OVU104" s="957"/>
      <c r="OVV104" s="957"/>
      <c r="OVW104" s="957"/>
      <c r="OVX104" s="957"/>
      <c r="OVY104" s="957"/>
      <c r="OVZ104" s="957"/>
      <c r="OWA104" s="957"/>
      <c r="OWB104" s="957"/>
      <c r="OWC104" s="957"/>
      <c r="OWD104" s="957"/>
      <c r="OWE104" s="957"/>
      <c r="OWF104" s="957"/>
      <c r="OWG104" s="957"/>
      <c r="OWH104" s="957"/>
      <c r="OWI104" s="957"/>
      <c r="OWJ104" s="957"/>
      <c r="OWK104" s="957"/>
      <c r="OWL104" s="957"/>
      <c r="OWM104" s="957"/>
      <c r="OWN104" s="957"/>
      <c r="OWO104" s="957"/>
      <c r="OWP104" s="957"/>
      <c r="OWQ104" s="957"/>
      <c r="OWR104" s="957"/>
      <c r="OWS104" s="957"/>
      <c r="OWT104" s="957"/>
      <c r="OWU104" s="957"/>
      <c r="OWV104" s="957"/>
      <c r="OWW104" s="957"/>
      <c r="OWX104" s="957"/>
      <c r="OWY104" s="957"/>
      <c r="OWZ104" s="957"/>
      <c r="OXA104" s="957"/>
      <c r="OXB104" s="957"/>
      <c r="OXC104" s="957"/>
      <c r="OXD104" s="957"/>
      <c r="OXE104" s="957"/>
      <c r="OXF104" s="957"/>
      <c r="OXG104" s="957"/>
      <c r="OXH104" s="957"/>
      <c r="OXI104" s="957"/>
      <c r="OXJ104" s="957"/>
      <c r="OXK104" s="957"/>
      <c r="OXL104" s="957"/>
      <c r="OXM104" s="957"/>
      <c r="OXN104" s="957"/>
      <c r="OXO104" s="957"/>
      <c r="OXP104" s="957"/>
      <c r="OXQ104" s="957"/>
      <c r="OXR104" s="957"/>
      <c r="OXS104" s="957"/>
      <c r="OXT104" s="957"/>
      <c r="OXU104" s="957"/>
      <c r="OXV104" s="957"/>
      <c r="OXW104" s="957"/>
      <c r="OXX104" s="957"/>
      <c r="OXY104" s="957"/>
      <c r="OXZ104" s="957"/>
      <c r="OYA104" s="957"/>
      <c r="OYB104" s="957"/>
      <c r="OYC104" s="957"/>
      <c r="OYD104" s="957"/>
      <c r="OYE104" s="957"/>
      <c r="OYF104" s="957"/>
      <c r="OYG104" s="957"/>
      <c r="OYH104" s="957"/>
      <c r="OYI104" s="957"/>
      <c r="OYJ104" s="957"/>
      <c r="OYK104" s="957"/>
      <c r="OYL104" s="957"/>
      <c r="OYM104" s="957"/>
      <c r="OYN104" s="957"/>
      <c r="OYO104" s="957"/>
      <c r="OYP104" s="957"/>
      <c r="OYQ104" s="957"/>
      <c r="OYR104" s="957"/>
      <c r="OYS104" s="957"/>
      <c r="OYT104" s="957"/>
      <c r="OYU104" s="957"/>
      <c r="OYV104" s="957"/>
      <c r="OYW104" s="957"/>
      <c r="OYX104" s="957"/>
      <c r="OYY104" s="957"/>
      <c r="OYZ104" s="957"/>
      <c r="OZA104" s="957"/>
      <c r="OZB104" s="957"/>
      <c r="OZC104" s="957"/>
      <c r="OZD104" s="957"/>
      <c r="OZE104" s="957"/>
      <c r="OZF104" s="957"/>
      <c r="OZG104" s="957"/>
      <c r="OZH104" s="957"/>
      <c r="OZI104" s="957"/>
      <c r="OZJ104" s="957"/>
      <c r="OZK104" s="957"/>
      <c r="OZL104" s="957"/>
      <c r="OZM104" s="957"/>
      <c r="OZN104" s="957"/>
      <c r="OZO104" s="957"/>
      <c r="OZP104" s="957"/>
      <c r="OZQ104" s="957"/>
      <c r="OZR104" s="957"/>
      <c r="OZS104" s="957"/>
      <c r="OZT104" s="957"/>
      <c r="OZU104" s="957"/>
      <c r="OZV104" s="957"/>
      <c r="OZW104" s="957"/>
      <c r="OZX104" s="957"/>
      <c r="OZY104" s="957"/>
      <c r="OZZ104" s="957"/>
      <c r="PAA104" s="957"/>
      <c r="PAB104" s="957"/>
      <c r="PAC104" s="957"/>
      <c r="PAD104" s="957"/>
      <c r="PAE104" s="957"/>
      <c r="PAF104" s="957"/>
      <c r="PAG104" s="957"/>
      <c r="PAH104" s="957"/>
      <c r="PAI104" s="957"/>
      <c r="PAJ104" s="957"/>
      <c r="PAK104" s="957"/>
      <c r="PAL104" s="957"/>
      <c r="PAM104" s="957"/>
      <c r="PAN104" s="957"/>
      <c r="PAO104" s="957"/>
      <c r="PAP104" s="957"/>
      <c r="PAQ104" s="957"/>
      <c r="PAR104" s="957"/>
      <c r="PAS104" s="957"/>
      <c r="PAT104" s="957"/>
      <c r="PAU104" s="957"/>
      <c r="PAV104" s="957"/>
      <c r="PAW104" s="957"/>
      <c r="PAX104" s="957"/>
      <c r="PAY104" s="957"/>
      <c r="PAZ104" s="957"/>
      <c r="PBA104" s="957"/>
      <c r="PBB104" s="957"/>
      <c r="PBC104" s="957"/>
      <c r="PBD104" s="957"/>
      <c r="PBE104" s="957"/>
      <c r="PBF104" s="957"/>
      <c r="PBG104" s="957"/>
      <c r="PBH104" s="957"/>
      <c r="PBI104" s="957"/>
      <c r="PBJ104" s="957"/>
      <c r="PBK104" s="957"/>
      <c r="PBL104" s="957"/>
      <c r="PBM104" s="957"/>
      <c r="PBN104" s="957"/>
      <c r="PBO104" s="957"/>
      <c r="PBP104" s="957"/>
      <c r="PBQ104" s="957"/>
      <c r="PBR104" s="957"/>
      <c r="PBS104" s="957"/>
      <c r="PBT104" s="957"/>
      <c r="PBU104" s="957"/>
      <c r="PBV104" s="957"/>
      <c r="PBW104" s="957"/>
      <c r="PBX104" s="957"/>
      <c r="PBY104" s="957"/>
      <c r="PBZ104" s="957"/>
      <c r="PCA104" s="957"/>
      <c r="PCB104" s="957"/>
      <c r="PCC104" s="957"/>
      <c r="PCD104" s="957"/>
      <c r="PCE104" s="957"/>
      <c r="PCF104" s="957"/>
      <c r="PCG104" s="957"/>
      <c r="PCH104" s="957"/>
      <c r="PCI104" s="957"/>
      <c r="PCJ104" s="957"/>
      <c r="PCK104" s="957"/>
      <c r="PCL104" s="957"/>
      <c r="PCM104" s="957"/>
      <c r="PCN104" s="957"/>
      <c r="PCO104" s="957"/>
      <c r="PCP104" s="957"/>
      <c r="PCQ104" s="957"/>
      <c r="PCR104" s="957"/>
      <c r="PCS104" s="957"/>
      <c r="PCT104" s="957"/>
      <c r="PCU104" s="957"/>
      <c r="PCV104" s="957"/>
      <c r="PCW104" s="957"/>
      <c r="PCX104" s="957"/>
      <c r="PCY104" s="957"/>
      <c r="PCZ104" s="957"/>
      <c r="PDA104" s="957"/>
      <c r="PDB104" s="957"/>
      <c r="PDC104" s="957"/>
      <c r="PDD104" s="957"/>
      <c r="PDE104" s="957"/>
      <c r="PDF104" s="957"/>
      <c r="PDG104" s="957"/>
      <c r="PDH104" s="957"/>
      <c r="PDI104" s="957"/>
      <c r="PDJ104" s="957"/>
      <c r="PDK104" s="957"/>
      <c r="PDL104" s="957"/>
      <c r="PDM104" s="957"/>
      <c r="PDN104" s="957"/>
      <c r="PDO104" s="957"/>
      <c r="PDP104" s="957"/>
      <c r="PDQ104" s="957"/>
      <c r="PDR104" s="957"/>
      <c r="PDS104" s="957"/>
      <c r="PDT104" s="957"/>
      <c r="PDU104" s="957"/>
      <c r="PDV104" s="957"/>
      <c r="PDW104" s="957"/>
      <c r="PDX104" s="957"/>
      <c r="PDY104" s="957"/>
      <c r="PDZ104" s="957"/>
      <c r="PEA104" s="957"/>
      <c r="PEB104" s="957"/>
      <c r="PEC104" s="957"/>
      <c r="PED104" s="957"/>
      <c r="PEE104" s="957"/>
      <c r="PEF104" s="957"/>
      <c r="PEG104" s="957"/>
      <c r="PEH104" s="957"/>
      <c r="PEI104" s="957"/>
      <c r="PEJ104" s="957"/>
      <c r="PEK104" s="957"/>
      <c r="PEL104" s="957"/>
      <c r="PEM104" s="957"/>
      <c r="PEN104" s="957"/>
      <c r="PEO104" s="957"/>
      <c r="PEP104" s="957"/>
      <c r="PEQ104" s="957"/>
      <c r="PER104" s="957"/>
      <c r="PES104" s="957"/>
      <c r="PET104" s="957"/>
      <c r="PEU104" s="957"/>
      <c r="PEV104" s="957"/>
      <c r="PEW104" s="957"/>
      <c r="PEX104" s="957"/>
      <c r="PEY104" s="957"/>
      <c r="PEZ104" s="957"/>
      <c r="PFA104" s="957"/>
      <c r="PFB104" s="957"/>
      <c r="PFC104" s="957"/>
      <c r="PFD104" s="957"/>
      <c r="PFE104" s="957"/>
      <c r="PFF104" s="957"/>
      <c r="PFG104" s="957"/>
      <c r="PFH104" s="957"/>
      <c r="PFI104" s="957"/>
      <c r="PFJ104" s="957"/>
      <c r="PFK104" s="957"/>
      <c r="PFL104" s="957"/>
      <c r="PFM104" s="957"/>
      <c r="PFN104" s="957"/>
      <c r="PFO104" s="957"/>
      <c r="PFP104" s="957"/>
      <c r="PFQ104" s="957"/>
      <c r="PFR104" s="957"/>
      <c r="PFS104" s="957"/>
      <c r="PFT104" s="957"/>
      <c r="PFU104" s="957"/>
      <c r="PFV104" s="957"/>
      <c r="PFW104" s="957"/>
      <c r="PFX104" s="957"/>
      <c r="PFY104" s="957"/>
      <c r="PFZ104" s="957"/>
      <c r="PGA104" s="957"/>
      <c r="PGB104" s="957"/>
      <c r="PGC104" s="957"/>
      <c r="PGD104" s="957"/>
      <c r="PGE104" s="957"/>
      <c r="PGF104" s="957"/>
      <c r="PGG104" s="957"/>
      <c r="PGH104" s="957"/>
      <c r="PGI104" s="957"/>
      <c r="PGJ104" s="957"/>
      <c r="PGK104" s="957"/>
      <c r="PGL104" s="957"/>
      <c r="PGM104" s="957"/>
      <c r="PGN104" s="957"/>
      <c r="PGO104" s="957"/>
      <c r="PGP104" s="957"/>
      <c r="PGQ104" s="957"/>
      <c r="PGR104" s="957"/>
      <c r="PGS104" s="957"/>
      <c r="PGT104" s="957"/>
      <c r="PGU104" s="957"/>
      <c r="PGV104" s="957"/>
      <c r="PGW104" s="957"/>
      <c r="PGX104" s="957"/>
      <c r="PGY104" s="957"/>
      <c r="PGZ104" s="957"/>
      <c r="PHA104" s="957"/>
      <c r="PHB104" s="957"/>
      <c r="PHC104" s="957"/>
      <c r="PHD104" s="957"/>
      <c r="PHE104" s="957"/>
      <c r="PHF104" s="957"/>
      <c r="PHG104" s="957"/>
      <c r="PHH104" s="957"/>
      <c r="PHI104" s="957"/>
      <c r="PHJ104" s="957"/>
      <c r="PHK104" s="957"/>
      <c r="PHL104" s="957"/>
      <c r="PHM104" s="957"/>
      <c r="PHN104" s="957"/>
      <c r="PHO104" s="957"/>
      <c r="PHP104" s="957"/>
      <c r="PHQ104" s="957"/>
      <c r="PHR104" s="957"/>
      <c r="PHS104" s="957"/>
      <c r="PHT104" s="957"/>
      <c r="PHU104" s="957"/>
      <c r="PHV104" s="957"/>
      <c r="PHW104" s="957"/>
      <c r="PHX104" s="957"/>
      <c r="PHY104" s="957"/>
      <c r="PHZ104" s="957"/>
      <c r="PIA104" s="957"/>
      <c r="PIB104" s="957"/>
      <c r="PIC104" s="957"/>
      <c r="PID104" s="957"/>
      <c r="PIE104" s="957"/>
      <c r="PIF104" s="957"/>
      <c r="PIG104" s="957"/>
      <c r="PIH104" s="957"/>
      <c r="PII104" s="957"/>
      <c r="PIJ104" s="957"/>
      <c r="PIK104" s="957"/>
      <c r="PIL104" s="957"/>
      <c r="PIM104" s="957"/>
      <c r="PIN104" s="957"/>
      <c r="PIO104" s="957"/>
      <c r="PIP104" s="957"/>
      <c r="PIQ104" s="957"/>
      <c r="PIR104" s="957"/>
      <c r="PIS104" s="957"/>
      <c r="PIT104" s="957"/>
      <c r="PIU104" s="957"/>
      <c r="PIV104" s="957"/>
      <c r="PIW104" s="957"/>
      <c r="PIX104" s="957"/>
      <c r="PIY104" s="957"/>
      <c r="PIZ104" s="957"/>
      <c r="PJA104" s="957"/>
      <c r="PJB104" s="957"/>
      <c r="PJC104" s="957"/>
      <c r="PJD104" s="957"/>
      <c r="PJE104" s="957"/>
      <c r="PJF104" s="957"/>
      <c r="PJG104" s="957"/>
      <c r="PJH104" s="957"/>
      <c r="PJI104" s="957"/>
      <c r="PJJ104" s="957"/>
      <c r="PJK104" s="957"/>
      <c r="PJL104" s="957"/>
      <c r="PJM104" s="957"/>
      <c r="PJN104" s="957"/>
      <c r="PJO104" s="957"/>
      <c r="PJP104" s="957"/>
      <c r="PJQ104" s="957"/>
      <c r="PJR104" s="957"/>
      <c r="PJS104" s="957"/>
      <c r="PJT104" s="957"/>
      <c r="PJU104" s="957"/>
      <c r="PJV104" s="957"/>
      <c r="PJW104" s="957"/>
      <c r="PJX104" s="957"/>
      <c r="PJY104" s="957"/>
      <c r="PJZ104" s="957"/>
      <c r="PKA104" s="957"/>
      <c r="PKB104" s="957"/>
      <c r="PKC104" s="957"/>
      <c r="PKD104" s="957"/>
      <c r="PKE104" s="957"/>
      <c r="PKF104" s="957"/>
      <c r="PKG104" s="957"/>
      <c r="PKH104" s="957"/>
      <c r="PKI104" s="957"/>
      <c r="PKJ104" s="957"/>
      <c r="PKK104" s="957"/>
      <c r="PKL104" s="957"/>
      <c r="PKM104" s="957"/>
      <c r="PKN104" s="957"/>
      <c r="PKO104" s="957"/>
      <c r="PKP104" s="957"/>
      <c r="PKQ104" s="957"/>
      <c r="PKR104" s="957"/>
      <c r="PKS104" s="957"/>
      <c r="PKT104" s="957"/>
      <c r="PKU104" s="957"/>
      <c r="PKV104" s="957"/>
      <c r="PKW104" s="957"/>
      <c r="PKX104" s="957"/>
      <c r="PKY104" s="957"/>
      <c r="PKZ104" s="957"/>
      <c r="PLA104" s="957"/>
      <c r="PLB104" s="957"/>
      <c r="PLC104" s="957"/>
      <c r="PLD104" s="957"/>
      <c r="PLE104" s="957"/>
      <c r="PLF104" s="957"/>
      <c r="PLG104" s="957"/>
      <c r="PLH104" s="957"/>
      <c r="PLI104" s="957"/>
      <c r="PLJ104" s="957"/>
      <c r="PLK104" s="957"/>
      <c r="PLL104" s="957"/>
      <c r="PLM104" s="957"/>
      <c r="PLN104" s="957"/>
      <c r="PLO104" s="957"/>
      <c r="PLP104" s="957"/>
      <c r="PLQ104" s="957"/>
      <c r="PLR104" s="957"/>
      <c r="PLS104" s="957"/>
      <c r="PLT104" s="957"/>
      <c r="PLU104" s="957"/>
      <c r="PLV104" s="957"/>
      <c r="PLW104" s="957"/>
      <c r="PLX104" s="957"/>
      <c r="PLY104" s="957"/>
      <c r="PLZ104" s="957"/>
      <c r="PMA104" s="957"/>
      <c r="PMB104" s="957"/>
      <c r="PMC104" s="957"/>
      <c r="PMD104" s="957"/>
      <c r="PME104" s="957"/>
      <c r="PMF104" s="957"/>
      <c r="PMG104" s="957"/>
      <c r="PMH104" s="957"/>
      <c r="PMI104" s="957"/>
      <c r="PMJ104" s="957"/>
      <c r="PMK104" s="957"/>
      <c r="PML104" s="957"/>
      <c r="PMM104" s="957"/>
      <c r="PMN104" s="957"/>
      <c r="PMO104" s="957"/>
      <c r="PMP104" s="957"/>
      <c r="PMQ104" s="957"/>
      <c r="PMR104" s="957"/>
      <c r="PMS104" s="957"/>
      <c r="PMT104" s="957"/>
      <c r="PMU104" s="957"/>
      <c r="PMV104" s="957"/>
      <c r="PMW104" s="957"/>
      <c r="PMX104" s="957"/>
      <c r="PMY104" s="957"/>
      <c r="PMZ104" s="957"/>
      <c r="PNA104" s="957"/>
      <c r="PNB104" s="957"/>
      <c r="PNC104" s="957"/>
      <c r="PND104" s="957"/>
      <c r="PNE104" s="957"/>
      <c r="PNF104" s="957"/>
      <c r="PNG104" s="957"/>
      <c r="PNH104" s="957"/>
      <c r="PNI104" s="957"/>
      <c r="PNJ104" s="957"/>
      <c r="PNK104" s="957"/>
      <c r="PNL104" s="957"/>
      <c r="PNM104" s="957"/>
      <c r="PNN104" s="957"/>
      <c r="PNO104" s="957"/>
      <c r="PNP104" s="957"/>
      <c r="PNQ104" s="957"/>
      <c r="PNR104" s="957"/>
      <c r="PNS104" s="957"/>
      <c r="PNT104" s="957"/>
      <c r="PNU104" s="957"/>
      <c r="PNV104" s="957"/>
      <c r="PNW104" s="957"/>
      <c r="PNX104" s="957"/>
      <c r="PNY104" s="957"/>
      <c r="PNZ104" s="957"/>
      <c r="POA104" s="957"/>
      <c r="POB104" s="957"/>
      <c r="POC104" s="957"/>
      <c r="POD104" s="957"/>
      <c r="POE104" s="957"/>
      <c r="POF104" s="957"/>
      <c r="POG104" s="957"/>
      <c r="POH104" s="957"/>
      <c r="POI104" s="957"/>
      <c r="POJ104" s="957"/>
      <c r="POK104" s="957"/>
      <c r="POL104" s="957"/>
      <c r="POM104" s="957"/>
      <c r="PON104" s="957"/>
      <c r="POO104" s="957"/>
      <c r="POP104" s="957"/>
      <c r="POQ104" s="957"/>
      <c r="POR104" s="957"/>
      <c r="POS104" s="957"/>
      <c r="POT104" s="957"/>
      <c r="POU104" s="957"/>
      <c r="POV104" s="957"/>
      <c r="POW104" s="957"/>
      <c r="POX104" s="957"/>
      <c r="POY104" s="957"/>
      <c r="POZ104" s="957"/>
      <c r="PPA104" s="957"/>
      <c r="PPB104" s="957"/>
      <c r="PPC104" s="957"/>
      <c r="PPD104" s="957"/>
      <c r="PPE104" s="957"/>
      <c r="PPF104" s="957"/>
      <c r="PPG104" s="957"/>
      <c r="PPH104" s="957"/>
      <c r="PPI104" s="957"/>
      <c r="PPJ104" s="957"/>
      <c r="PPK104" s="957"/>
      <c r="PPL104" s="957"/>
      <c r="PPM104" s="957"/>
      <c r="PPN104" s="957"/>
      <c r="PPO104" s="957"/>
      <c r="PPP104" s="957"/>
      <c r="PPQ104" s="957"/>
      <c r="PPR104" s="957"/>
      <c r="PPS104" s="957"/>
      <c r="PPT104" s="957"/>
      <c r="PPU104" s="957"/>
      <c r="PPV104" s="957"/>
      <c r="PPW104" s="957"/>
      <c r="PPX104" s="957"/>
      <c r="PPY104" s="957"/>
      <c r="PPZ104" s="957"/>
      <c r="PQA104" s="957"/>
      <c r="PQB104" s="957"/>
      <c r="PQC104" s="957"/>
      <c r="PQD104" s="957"/>
      <c r="PQE104" s="957"/>
      <c r="PQF104" s="957"/>
      <c r="PQG104" s="957"/>
      <c r="PQH104" s="957"/>
      <c r="PQI104" s="957"/>
      <c r="PQJ104" s="957"/>
      <c r="PQK104" s="957"/>
      <c r="PQL104" s="957"/>
      <c r="PQM104" s="957"/>
      <c r="PQN104" s="957"/>
      <c r="PQO104" s="957"/>
      <c r="PQP104" s="957"/>
      <c r="PQQ104" s="957"/>
      <c r="PQR104" s="957"/>
      <c r="PQS104" s="957"/>
      <c r="PQT104" s="957"/>
      <c r="PQU104" s="957"/>
      <c r="PQV104" s="957"/>
      <c r="PQW104" s="957"/>
      <c r="PQX104" s="957"/>
      <c r="PQY104" s="957"/>
      <c r="PQZ104" s="957"/>
      <c r="PRA104" s="957"/>
      <c r="PRB104" s="957"/>
      <c r="PRC104" s="957"/>
      <c r="PRD104" s="957"/>
      <c r="PRE104" s="957"/>
      <c r="PRF104" s="957"/>
      <c r="PRG104" s="957"/>
      <c r="PRH104" s="957"/>
      <c r="PRI104" s="957"/>
      <c r="PRJ104" s="957"/>
      <c r="PRK104" s="957"/>
      <c r="PRL104" s="957"/>
      <c r="PRM104" s="957"/>
      <c r="PRN104" s="957"/>
      <c r="PRO104" s="957"/>
      <c r="PRP104" s="957"/>
      <c r="PRQ104" s="957"/>
      <c r="PRR104" s="957"/>
      <c r="PRS104" s="957"/>
      <c r="PRT104" s="957"/>
      <c r="PRU104" s="957"/>
      <c r="PRV104" s="957"/>
      <c r="PRW104" s="957"/>
      <c r="PRX104" s="957"/>
      <c r="PRY104" s="957"/>
      <c r="PRZ104" s="957"/>
      <c r="PSA104" s="957"/>
      <c r="PSB104" s="957"/>
      <c r="PSC104" s="957"/>
      <c r="PSD104" s="957"/>
      <c r="PSE104" s="957"/>
      <c r="PSF104" s="957"/>
      <c r="PSG104" s="957"/>
      <c r="PSH104" s="957"/>
      <c r="PSI104" s="957"/>
      <c r="PSJ104" s="957"/>
      <c r="PSK104" s="957"/>
      <c r="PSL104" s="957"/>
      <c r="PSM104" s="957"/>
      <c r="PSN104" s="957"/>
      <c r="PSO104" s="957"/>
      <c r="PSP104" s="957"/>
      <c r="PSQ104" s="957"/>
      <c r="PSR104" s="957"/>
      <c r="PSS104" s="957"/>
      <c r="PST104" s="957"/>
      <c r="PSU104" s="957"/>
      <c r="PSV104" s="957"/>
      <c r="PSW104" s="957"/>
      <c r="PSX104" s="957"/>
      <c r="PSY104" s="957"/>
      <c r="PSZ104" s="957"/>
      <c r="PTA104" s="957"/>
      <c r="PTB104" s="957"/>
      <c r="PTC104" s="957"/>
      <c r="PTD104" s="957"/>
      <c r="PTE104" s="957"/>
      <c r="PTF104" s="957"/>
      <c r="PTG104" s="957"/>
      <c r="PTH104" s="957"/>
      <c r="PTI104" s="957"/>
      <c r="PTJ104" s="957"/>
      <c r="PTK104" s="957"/>
      <c r="PTL104" s="957"/>
      <c r="PTM104" s="957"/>
      <c r="PTN104" s="957"/>
      <c r="PTO104" s="957"/>
      <c r="PTP104" s="957"/>
      <c r="PTQ104" s="957"/>
      <c r="PTR104" s="957"/>
      <c r="PTS104" s="957"/>
      <c r="PTT104" s="957"/>
      <c r="PTU104" s="957"/>
      <c r="PTV104" s="957"/>
      <c r="PTW104" s="957"/>
      <c r="PTX104" s="957"/>
      <c r="PTY104" s="957"/>
      <c r="PTZ104" s="957"/>
      <c r="PUA104" s="957"/>
      <c r="PUB104" s="957"/>
      <c r="PUC104" s="957"/>
      <c r="PUD104" s="957"/>
      <c r="PUE104" s="957"/>
      <c r="PUF104" s="957"/>
      <c r="PUG104" s="957"/>
      <c r="PUH104" s="957"/>
      <c r="PUI104" s="957"/>
      <c r="PUJ104" s="957"/>
      <c r="PUK104" s="957"/>
      <c r="PUL104" s="957"/>
      <c r="PUM104" s="957"/>
      <c r="PUN104" s="957"/>
      <c r="PUO104" s="957"/>
      <c r="PUP104" s="957"/>
      <c r="PUQ104" s="957"/>
      <c r="PUR104" s="957"/>
      <c r="PUS104" s="957"/>
      <c r="PUT104" s="957"/>
      <c r="PUU104" s="957"/>
      <c r="PUV104" s="957"/>
      <c r="PUW104" s="957"/>
      <c r="PUX104" s="957"/>
      <c r="PUY104" s="957"/>
      <c r="PUZ104" s="957"/>
      <c r="PVA104" s="957"/>
      <c r="PVB104" s="957"/>
      <c r="PVC104" s="957"/>
      <c r="PVD104" s="957"/>
      <c r="PVE104" s="957"/>
      <c r="PVF104" s="957"/>
      <c r="PVG104" s="957"/>
      <c r="PVH104" s="957"/>
      <c r="PVI104" s="957"/>
      <c r="PVJ104" s="957"/>
      <c r="PVK104" s="957"/>
      <c r="PVL104" s="957"/>
      <c r="PVM104" s="957"/>
      <c r="PVN104" s="957"/>
      <c r="PVO104" s="957"/>
      <c r="PVP104" s="957"/>
      <c r="PVQ104" s="957"/>
      <c r="PVR104" s="957"/>
      <c r="PVS104" s="957"/>
      <c r="PVT104" s="957"/>
      <c r="PVU104" s="957"/>
      <c r="PVV104" s="957"/>
      <c r="PVW104" s="957"/>
      <c r="PVX104" s="957"/>
      <c r="PVY104" s="957"/>
      <c r="PVZ104" s="957"/>
      <c r="PWA104" s="957"/>
      <c r="PWB104" s="957"/>
      <c r="PWC104" s="957"/>
      <c r="PWD104" s="957"/>
      <c r="PWE104" s="957"/>
      <c r="PWF104" s="957"/>
      <c r="PWG104" s="957"/>
      <c r="PWH104" s="957"/>
      <c r="PWI104" s="957"/>
      <c r="PWJ104" s="957"/>
      <c r="PWK104" s="957"/>
      <c r="PWL104" s="957"/>
      <c r="PWM104" s="957"/>
      <c r="PWN104" s="957"/>
      <c r="PWO104" s="957"/>
      <c r="PWP104" s="957"/>
      <c r="PWQ104" s="957"/>
      <c r="PWR104" s="957"/>
      <c r="PWS104" s="957"/>
      <c r="PWT104" s="957"/>
      <c r="PWU104" s="957"/>
      <c r="PWV104" s="957"/>
      <c r="PWW104" s="957"/>
      <c r="PWX104" s="957"/>
      <c r="PWY104" s="957"/>
      <c r="PWZ104" s="957"/>
      <c r="PXA104" s="957"/>
      <c r="PXB104" s="957"/>
      <c r="PXC104" s="957"/>
      <c r="PXD104" s="957"/>
      <c r="PXE104" s="957"/>
      <c r="PXF104" s="957"/>
      <c r="PXG104" s="957"/>
      <c r="PXH104" s="957"/>
      <c r="PXI104" s="957"/>
      <c r="PXJ104" s="957"/>
      <c r="PXK104" s="957"/>
      <c r="PXL104" s="957"/>
      <c r="PXM104" s="957"/>
      <c r="PXN104" s="957"/>
      <c r="PXO104" s="957"/>
      <c r="PXP104" s="957"/>
      <c r="PXQ104" s="957"/>
      <c r="PXR104" s="957"/>
      <c r="PXS104" s="957"/>
      <c r="PXT104" s="957"/>
      <c r="PXU104" s="957"/>
      <c r="PXV104" s="957"/>
      <c r="PXW104" s="957"/>
      <c r="PXX104" s="957"/>
      <c r="PXY104" s="957"/>
      <c r="PXZ104" s="957"/>
      <c r="PYA104" s="957"/>
      <c r="PYB104" s="957"/>
      <c r="PYC104" s="957"/>
      <c r="PYD104" s="957"/>
      <c r="PYE104" s="957"/>
      <c r="PYF104" s="957"/>
      <c r="PYG104" s="957"/>
      <c r="PYH104" s="957"/>
      <c r="PYI104" s="957"/>
      <c r="PYJ104" s="957"/>
      <c r="PYK104" s="957"/>
      <c r="PYL104" s="957"/>
      <c r="PYM104" s="957"/>
      <c r="PYN104" s="957"/>
      <c r="PYO104" s="957"/>
      <c r="PYP104" s="957"/>
      <c r="PYQ104" s="957"/>
      <c r="PYR104" s="957"/>
      <c r="PYS104" s="957"/>
      <c r="PYT104" s="957"/>
      <c r="PYU104" s="957"/>
      <c r="PYV104" s="957"/>
      <c r="PYW104" s="957"/>
      <c r="PYX104" s="957"/>
      <c r="PYY104" s="957"/>
      <c r="PYZ104" s="957"/>
      <c r="PZA104" s="957"/>
      <c r="PZB104" s="957"/>
      <c r="PZC104" s="957"/>
      <c r="PZD104" s="957"/>
      <c r="PZE104" s="957"/>
      <c r="PZF104" s="957"/>
      <c r="PZG104" s="957"/>
      <c r="PZH104" s="957"/>
      <c r="PZI104" s="957"/>
      <c r="PZJ104" s="957"/>
      <c r="PZK104" s="957"/>
      <c r="PZL104" s="957"/>
      <c r="PZM104" s="957"/>
      <c r="PZN104" s="957"/>
      <c r="PZO104" s="957"/>
      <c r="PZP104" s="957"/>
      <c r="PZQ104" s="957"/>
      <c r="PZR104" s="957"/>
      <c r="PZS104" s="957"/>
      <c r="PZT104" s="957"/>
      <c r="PZU104" s="957"/>
      <c r="PZV104" s="957"/>
      <c r="PZW104" s="957"/>
      <c r="PZX104" s="957"/>
      <c r="PZY104" s="957"/>
      <c r="PZZ104" s="957"/>
      <c r="QAA104" s="957"/>
      <c r="QAB104" s="957"/>
      <c r="QAC104" s="957"/>
      <c r="QAD104" s="957"/>
      <c r="QAE104" s="957"/>
      <c r="QAF104" s="957"/>
      <c r="QAG104" s="957"/>
      <c r="QAH104" s="957"/>
      <c r="QAI104" s="957"/>
      <c r="QAJ104" s="957"/>
      <c r="QAK104" s="957"/>
      <c r="QAL104" s="957"/>
      <c r="QAM104" s="957"/>
      <c r="QAN104" s="957"/>
      <c r="QAO104" s="957"/>
      <c r="QAP104" s="957"/>
      <c r="QAQ104" s="957"/>
      <c r="QAR104" s="957"/>
      <c r="QAS104" s="957"/>
      <c r="QAT104" s="957"/>
      <c r="QAU104" s="957"/>
      <c r="QAV104" s="957"/>
      <c r="QAW104" s="957"/>
      <c r="QAX104" s="957"/>
      <c r="QAY104" s="957"/>
      <c r="QAZ104" s="957"/>
      <c r="QBA104" s="957"/>
      <c r="QBB104" s="957"/>
      <c r="QBC104" s="957"/>
      <c r="QBD104" s="957"/>
      <c r="QBE104" s="957"/>
      <c r="QBF104" s="957"/>
      <c r="QBG104" s="957"/>
      <c r="QBH104" s="957"/>
      <c r="QBI104" s="957"/>
      <c r="QBJ104" s="957"/>
      <c r="QBK104" s="957"/>
      <c r="QBL104" s="957"/>
      <c r="QBM104" s="957"/>
      <c r="QBN104" s="957"/>
      <c r="QBO104" s="957"/>
      <c r="QBP104" s="957"/>
      <c r="QBQ104" s="957"/>
      <c r="QBR104" s="957"/>
      <c r="QBS104" s="957"/>
      <c r="QBT104" s="957"/>
      <c r="QBU104" s="957"/>
      <c r="QBV104" s="957"/>
      <c r="QBW104" s="957"/>
      <c r="QBX104" s="957"/>
      <c r="QBY104" s="957"/>
      <c r="QBZ104" s="957"/>
      <c r="QCA104" s="957"/>
      <c r="QCB104" s="957"/>
      <c r="QCC104" s="957"/>
      <c r="QCD104" s="957"/>
      <c r="QCE104" s="957"/>
      <c r="QCF104" s="957"/>
      <c r="QCG104" s="957"/>
      <c r="QCH104" s="957"/>
      <c r="QCI104" s="957"/>
      <c r="QCJ104" s="957"/>
      <c r="QCK104" s="957"/>
      <c r="QCL104" s="957"/>
      <c r="QCM104" s="957"/>
      <c r="QCN104" s="957"/>
      <c r="QCO104" s="957"/>
      <c r="QCP104" s="957"/>
      <c r="QCQ104" s="957"/>
      <c r="QCR104" s="957"/>
      <c r="QCS104" s="957"/>
      <c r="QCT104" s="957"/>
      <c r="QCU104" s="957"/>
      <c r="QCV104" s="957"/>
      <c r="QCW104" s="957"/>
      <c r="QCX104" s="957"/>
      <c r="QCY104" s="957"/>
      <c r="QCZ104" s="957"/>
      <c r="QDA104" s="957"/>
      <c r="QDB104" s="957"/>
      <c r="QDC104" s="957"/>
      <c r="QDD104" s="957"/>
      <c r="QDE104" s="957"/>
      <c r="QDF104" s="957"/>
      <c r="QDG104" s="957"/>
      <c r="QDH104" s="957"/>
      <c r="QDI104" s="957"/>
      <c r="QDJ104" s="957"/>
      <c r="QDK104" s="957"/>
      <c r="QDL104" s="957"/>
      <c r="QDM104" s="957"/>
      <c r="QDN104" s="957"/>
      <c r="QDO104" s="957"/>
      <c r="QDP104" s="957"/>
      <c r="QDQ104" s="957"/>
      <c r="QDR104" s="957"/>
      <c r="QDS104" s="957"/>
      <c r="QDT104" s="957"/>
      <c r="QDU104" s="957"/>
      <c r="QDV104" s="957"/>
      <c r="QDW104" s="957"/>
      <c r="QDX104" s="957"/>
      <c r="QDY104" s="957"/>
      <c r="QDZ104" s="957"/>
      <c r="QEA104" s="957"/>
      <c r="QEB104" s="957"/>
      <c r="QEC104" s="957"/>
      <c r="QED104" s="957"/>
      <c r="QEE104" s="957"/>
      <c r="QEF104" s="957"/>
      <c r="QEG104" s="957"/>
      <c r="QEH104" s="957"/>
      <c r="QEI104" s="957"/>
      <c r="QEJ104" s="957"/>
      <c r="QEK104" s="957"/>
      <c r="QEL104" s="957"/>
      <c r="QEM104" s="957"/>
      <c r="QEN104" s="957"/>
      <c r="QEO104" s="957"/>
      <c r="QEP104" s="957"/>
      <c r="QEQ104" s="957"/>
      <c r="QER104" s="957"/>
      <c r="QES104" s="957"/>
      <c r="QET104" s="957"/>
      <c r="QEU104" s="957"/>
      <c r="QEV104" s="957"/>
      <c r="QEW104" s="957"/>
      <c r="QEX104" s="957"/>
      <c r="QEY104" s="957"/>
      <c r="QEZ104" s="957"/>
      <c r="QFA104" s="957"/>
      <c r="QFB104" s="957"/>
      <c r="QFC104" s="957"/>
      <c r="QFD104" s="957"/>
      <c r="QFE104" s="957"/>
      <c r="QFF104" s="957"/>
      <c r="QFG104" s="957"/>
      <c r="QFH104" s="957"/>
      <c r="QFI104" s="957"/>
      <c r="QFJ104" s="957"/>
      <c r="QFK104" s="957"/>
      <c r="QFL104" s="957"/>
      <c r="QFM104" s="957"/>
      <c r="QFN104" s="957"/>
      <c r="QFO104" s="957"/>
      <c r="QFP104" s="957"/>
      <c r="QFQ104" s="957"/>
      <c r="QFR104" s="957"/>
      <c r="QFS104" s="957"/>
      <c r="QFT104" s="957"/>
      <c r="QFU104" s="957"/>
      <c r="QFV104" s="957"/>
      <c r="QFW104" s="957"/>
      <c r="QFX104" s="957"/>
      <c r="QFY104" s="957"/>
      <c r="QFZ104" s="957"/>
      <c r="QGA104" s="957"/>
      <c r="QGB104" s="957"/>
      <c r="QGC104" s="957"/>
      <c r="QGD104" s="957"/>
      <c r="QGE104" s="957"/>
      <c r="QGF104" s="957"/>
      <c r="QGG104" s="957"/>
      <c r="QGH104" s="957"/>
      <c r="QGI104" s="957"/>
      <c r="QGJ104" s="957"/>
      <c r="QGK104" s="957"/>
      <c r="QGL104" s="957"/>
      <c r="QGM104" s="957"/>
      <c r="QGN104" s="957"/>
      <c r="QGO104" s="957"/>
      <c r="QGP104" s="957"/>
      <c r="QGQ104" s="957"/>
      <c r="QGR104" s="957"/>
      <c r="QGS104" s="957"/>
      <c r="QGT104" s="957"/>
      <c r="QGU104" s="957"/>
      <c r="QGV104" s="957"/>
      <c r="QGW104" s="957"/>
      <c r="QGX104" s="957"/>
      <c r="QGY104" s="957"/>
      <c r="QGZ104" s="957"/>
      <c r="QHA104" s="957"/>
      <c r="QHB104" s="957"/>
      <c r="QHC104" s="957"/>
      <c r="QHD104" s="957"/>
      <c r="QHE104" s="957"/>
      <c r="QHF104" s="957"/>
      <c r="QHG104" s="957"/>
      <c r="QHH104" s="957"/>
      <c r="QHI104" s="957"/>
      <c r="QHJ104" s="957"/>
      <c r="QHK104" s="957"/>
      <c r="QHL104" s="957"/>
      <c r="QHM104" s="957"/>
      <c r="QHN104" s="957"/>
      <c r="QHO104" s="957"/>
      <c r="QHP104" s="957"/>
      <c r="QHQ104" s="957"/>
      <c r="QHR104" s="957"/>
      <c r="QHS104" s="957"/>
      <c r="QHT104" s="957"/>
      <c r="QHU104" s="957"/>
      <c r="QHV104" s="957"/>
      <c r="QHW104" s="957"/>
      <c r="QHX104" s="957"/>
      <c r="QHY104" s="957"/>
      <c r="QHZ104" s="957"/>
      <c r="QIA104" s="957"/>
      <c r="QIB104" s="957"/>
      <c r="QIC104" s="957"/>
      <c r="QID104" s="957"/>
      <c r="QIE104" s="957"/>
      <c r="QIF104" s="957"/>
      <c r="QIG104" s="957"/>
      <c r="QIH104" s="957"/>
      <c r="QII104" s="957"/>
      <c r="QIJ104" s="957"/>
      <c r="QIK104" s="957"/>
      <c r="QIL104" s="957"/>
      <c r="QIM104" s="957"/>
      <c r="QIN104" s="957"/>
      <c r="QIO104" s="957"/>
      <c r="QIP104" s="957"/>
      <c r="QIQ104" s="957"/>
      <c r="QIR104" s="957"/>
      <c r="QIS104" s="957"/>
      <c r="QIT104" s="957"/>
      <c r="QIU104" s="957"/>
      <c r="QIV104" s="957"/>
      <c r="QIW104" s="957"/>
      <c r="QIX104" s="957"/>
      <c r="QIY104" s="957"/>
      <c r="QIZ104" s="957"/>
      <c r="QJA104" s="957"/>
      <c r="QJB104" s="957"/>
      <c r="QJC104" s="957"/>
      <c r="QJD104" s="957"/>
      <c r="QJE104" s="957"/>
      <c r="QJF104" s="957"/>
      <c r="QJG104" s="957"/>
      <c r="QJH104" s="957"/>
      <c r="QJI104" s="957"/>
      <c r="QJJ104" s="957"/>
      <c r="QJK104" s="957"/>
      <c r="QJL104" s="957"/>
      <c r="QJM104" s="957"/>
      <c r="QJN104" s="957"/>
      <c r="QJO104" s="957"/>
      <c r="QJP104" s="957"/>
      <c r="QJQ104" s="957"/>
      <c r="QJR104" s="957"/>
      <c r="QJS104" s="957"/>
      <c r="QJT104" s="957"/>
      <c r="QJU104" s="957"/>
      <c r="QJV104" s="957"/>
      <c r="QJW104" s="957"/>
      <c r="QJX104" s="957"/>
      <c r="QJY104" s="957"/>
      <c r="QJZ104" s="957"/>
      <c r="QKA104" s="957"/>
      <c r="QKB104" s="957"/>
      <c r="QKC104" s="957"/>
      <c r="QKD104" s="957"/>
      <c r="QKE104" s="957"/>
      <c r="QKF104" s="957"/>
      <c r="QKG104" s="957"/>
      <c r="QKH104" s="957"/>
      <c r="QKI104" s="957"/>
      <c r="QKJ104" s="957"/>
      <c r="QKK104" s="957"/>
      <c r="QKL104" s="957"/>
      <c r="QKM104" s="957"/>
      <c r="QKN104" s="957"/>
      <c r="QKO104" s="957"/>
      <c r="QKP104" s="957"/>
      <c r="QKQ104" s="957"/>
      <c r="QKR104" s="957"/>
      <c r="QKS104" s="957"/>
      <c r="QKT104" s="957"/>
      <c r="QKU104" s="957"/>
      <c r="QKV104" s="957"/>
      <c r="QKW104" s="957"/>
      <c r="QKX104" s="957"/>
      <c r="QKY104" s="957"/>
      <c r="QKZ104" s="957"/>
      <c r="QLA104" s="957"/>
      <c r="QLB104" s="957"/>
      <c r="QLC104" s="957"/>
      <c r="QLD104" s="957"/>
      <c r="QLE104" s="957"/>
      <c r="QLF104" s="957"/>
      <c r="QLG104" s="957"/>
      <c r="QLH104" s="957"/>
      <c r="QLI104" s="957"/>
      <c r="QLJ104" s="957"/>
      <c r="QLK104" s="957"/>
      <c r="QLL104" s="957"/>
      <c r="QLM104" s="957"/>
      <c r="QLN104" s="957"/>
      <c r="QLO104" s="957"/>
      <c r="QLP104" s="957"/>
      <c r="QLQ104" s="957"/>
      <c r="QLR104" s="957"/>
      <c r="QLS104" s="957"/>
      <c r="QLT104" s="957"/>
      <c r="QLU104" s="957"/>
      <c r="QLV104" s="957"/>
      <c r="QLW104" s="957"/>
      <c r="QLX104" s="957"/>
      <c r="QLY104" s="957"/>
      <c r="QLZ104" s="957"/>
      <c r="QMA104" s="957"/>
      <c r="QMB104" s="957"/>
      <c r="QMC104" s="957"/>
      <c r="QMD104" s="957"/>
      <c r="QME104" s="957"/>
      <c r="QMF104" s="957"/>
      <c r="QMG104" s="957"/>
      <c r="QMH104" s="957"/>
      <c r="QMI104" s="957"/>
      <c r="QMJ104" s="957"/>
      <c r="QMK104" s="957"/>
      <c r="QML104" s="957"/>
      <c r="QMM104" s="957"/>
      <c r="QMN104" s="957"/>
      <c r="QMO104" s="957"/>
      <c r="QMP104" s="957"/>
      <c r="QMQ104" s="957"/>
      <c r="QMR104" s="957"/>
      <c r="QMS104" s="957"/>
      <c r="QMT104" s="957"/>
      <c r="QMU104" s="957"/>
      <c r="QMV104" s="957"/>
      <c r="QMW104" s="957"/>
      <c r="QMX104" s="957"/>
      <c r="QMY104" s="957"/>
      <c r="QMZ104" s="957"/>
      <c r="QNA104" s="957"/>
      <c r="QNB104" s="957"/>
      <c r="QNC104" s="957"/>
      <c r="QND104" s="957"/>
      <c r="QNE104" s="957"/>
      <c r="QNF104" s="957"/>
      <c r="QNG104" s="957"/>
      <c r="QNH104" s="957"/>
      <c r="QNI104" s="957"/>
      <c r="QNJ104" s="957"/>
      <c r="QNK104" s="957"/>
      <c r="QNL104" s="957"/>
      <c r="QNM104" s="957"/>
      <c r="QNN104" s="957"/>
      <c r="QNO104" s="957"/>
      <c r="QNP104" s="957"/>
      <c r="QNQ104" s="957"/>
      <c r="QNR104" s="957"/>
      <c r="QNS104" s="957"/>
      <c r="QNT104" s="957"/>
      <c r="QNU104" s="957"/>
      <c r="QNV104" s="957"/>
      <c r="QNW104" s="957"/>
      <c r="QNX104" s="957"/>
      <c r="QNY104" s="957"/>
      <c r="QNZ104" s="957"/>
      <c r="QOA104" s="957"/>
      <c r="QOB104" s="957"/>
      <c r="QOC104" s="957"/>
      <c r="QOD104" s="957"/>
      <c r="QOE104" s="957"/>
      <c r="QOF104" s="957"/>
      <c r="QOG104" s="957"/>
      <c r="QOH104" s="957"/>
      <c r="QOI104" s="957"/>
      <c r="QOJ104" s="957"/>
      <c r="QOK104" s="957"/>
      <c r="QOL104" s="957"/>
      <c r="QOM104" s="957"/>
      <c r="QON104" s="957"/>
      <c r="QOO104" s="957"/>
      <c r="QOP104" s="957"/>
      <c r="QOQ104" s="957"/>
      <c r="QOR104" s="957"/>
      <c r="QOS104" s="957"/>
      <c r="QOT104" s="957"/>
      <c r="QOU104" s="957"/>
      <c r="QOV104" s="957"/>
      <c r="QOW104" s="957"/>
      <c r="QOX104" s="957"/>
      <c r="QOY104" s="957"/>
      <c r="QOZ104" s="957"/>
      <c r="QPA104" s="957"/>
      <c r="QPB104" s="957"/>
      <c r="QPC104" s="957"/>
      <c r="QPD104" s="957"/>
      <c r="QPE104" s="957"/>
      <c r="QPF104" s="957"/>
      <c r="QPG104" s="957"/>
      <c r="QPH104" s="957"/>
      <c r="QPI104" s="957"/>
      <c r="QPJ104" s="957"/>
      <c r="QPK104" s="957"/>
      <c r="QPL104" s="957"/>
      <c r="QPM104" s="957"/>
      <c r="QPN104" s="957"/>
      <c r="QPO104" s="957"/>
      <c r="QPP104" s="957"/>
      <c r="QPQ104" s="957"/>
      <c r="QPR104" s="957"/>
      <c r="QPS104" s="957"/>
      <c r="QPT104" s="957"/>
      <c r="QPU104" s="957"/>
      <c r="QPV104" s="957"/>
      <c r="QPW104" s="957"/>
      <c r="QPX104" s="957"/>
      <c r="QPY104" s="957"/>
      <c r="QPZ104" s="957"/>
      <c r="QQA104" s="957"/>
      <c r="QQB104" s="957"/>
      <c r="QQC104" s="957"/>
      <c r="QQD104" s="957"/>
      <c r="QQE104" s="957"/>
      <c r="QQF104" s="957"/>
      <c r="QQG104" s="957"/>
      <c r="QQH104" s="957"/>
      <c r="QQI104" s="957"/>
      <c r="QQJ104" s="957"/>
      <c r="QQK104" s="957"/>
      <c r="QQL104" s="957"/>
      <c r="QQM104" s="957"/>
      <c r="QQN104" s="957"/>
      <c r="QQO104" s="957"/>
      <c r="QQP104" s="957"/>
      <c r="QQQ104" s="957"/>
      <c r="QQR104" s="957"/>
      <c r="QQS104" s="957"/>
      <c r="QQT104" s="957"/>
      <c r="QQU104" s="957"/>
      <c r="QQV104" s="957"/>
      <c r="QQW104" s="957"/>
      <c r="QQX104" s="957"/>
      <c r="QQY104" s="957"/>
      <c r="QQZ104" s="957"/>
      <c r="QRA104" s="957"/>
      <c r="QRB104" s="957"/>
      <c r="QRC104" s="957"/>
      <c r="QRD104" s="957"/>
      <c r="QRE104" s="957"/>
      <c r="QRF104" s="957"/>
      <c r="QRG104" s="957"/>
      <c r="QRH104" s="957"/>
      <c r="QRI104" s="957"/>
      <c r="QRJ104" s="957"/>
      <c r="QRK104" s="957"/>
      <c r="QRL104" s="957"/>
      <c r="QRM104" s="957"/>
      <c r="QRN104" s="957"/>
      <c r="QRO104" s="957"/>
      <c r="QRP104" s="957"/>
      <c r="QRQ104" s="957"/>
      <c r="QRR104" s="957"/>
      <c r="QRS104" s="957"/>
      <c r="QRT104" s="957"/>
      <c r="QRU104" s="957"/>
      <c r="QRV104" s="957"/>
      <c r="QRW104" s="957"/>
      <c r="QRX104" s="957"/>
      <c r="QRY104" s="957"/>
      <c r="QRZ104" s="957"/>
      <c r="QSA104" s="957"/>
      <c r="QSB104" s="957"/>
      <c r="QSC104" s="957"/>
      <c r="QSD104" s="957"/>
      <c r="QSE104" s="957"/>
      <c r="QSF104" s="957"/>
      <c r="QSG104" s="957"/>
      <c r="QSH104" s="957"/>
      <c r="QSI104" s="957"/>
      <c r="QSJ104" s="957"/>
      <c r="QSK104" s="957"/>
      <c r="QSL104" s="957"/>
      <c r="QSM104" s="957"/>
      <c r="QSN104" s="957"/>
      <c r="QSO104" s="957"/>
      <c r="QSP104" s="957"/>
      <c r="QSQ104" s="957"/>
      <c r="QSR104" s="957"/>
      <c r="QSS104" s="957"/>
      <c r="QST104" s="957"/>
      <c r="QSU104" s="957"/>
      <c r="QSV104" s="957"/>
      <c r="QSW104" s="957"/>
      <c r="QSX104" s="957"/>
      <c r="QSY104" s="957"/>
      <c r="QSZ104" s="957"/>
      <c r="QTA104" s="957"/>
      <c r="QTB104" s="957"/>
      <c r="QTC104" s="957"/>
      <c r="QTD104" s="957"/>
      <c r="QTE104" s="957"/>
      <c r="QTF104" s="957"/>
      <c r="QTG104" s="957"/>
      <c r="QTH104" s="957"/>
      <c r="QTI104" s="957"/>
      <c r="QTJ104" s="957"/>
      <c r="QTK104" s="957"/>
      <c r="QTL104" s="957"/>
      <c r="QTM104" s="957"/>
      <c r="QTN104" s="957"/>
      <c r="QTO104" s="957"/>
      <c r="QTP104" s="957"/>
      <c r="QTQ104" s="957"/>
      <c r="QTR104" s="957"/>
      <c r="QTS104" s="957"/>
      <c r="QTT104" s="957"/>
      <c r="QTU104" s="957"/>
      <c r="QTV104" s="957"/>
      <c r="QTW104" s="957"/>
      <c r="QTX104" s="957"/>
      <c r="QTY104" s="957"/>
      <c r="QTZ104" s="957"/>
      <c r="QUA104" s="957"/>
      <c r="QUB104" s="957"/>
      <c r="QUC104" s="957"/>
      <c r="QUD104" s="957"/>
      <c r="QUE104" s="957"/>
      <c r="QUF104" s="957"/>
      <c r="QUG104" s="957"/>
      <c r="QUH104" s="957"/>
      <c r="QUI104" s="957"/>
      <c r="QUJ104" s="957"/>
      <c r="QUK104" s="957"/>
      <c r="QUL104" s="957"/>
      <c r="QUM104" s="957"/>
      <c r="QUN104" s="957"/>
      <c r="QUO104" s="957"/>
      <c r="QUP104" s="957"/>
      <c r="QUQ104" s="957"/>
      <c r="QUR104" s="957"/>
      <c r="QUS104" s="957"/>
      <c r="QUT104" s="957"/>
      <c r="QUU104" s="957"/>
      <c r="QUV104" s="957"/>
      <c r="QUW104" s="957"/>
      <c r="QUX104" s="957"/>
      <c r="QUY104" s="957"/>
      <c r="QUZ104" s="957"/>
      <c r="QVA104" s="957"/>
      <c r="QVB104" s="957"/>
      <c r="QVC104" s="957"/>
      <c r="QVD104" s="957"/>
      <c r="QVE104" s="957"/>
      <c r="QVF104" s="957"/>
      <c r="QVG104" s="957"/>
      <c r="QVH104" s="957"/>
      <c r="QVI104" s="957"/>
      <c r="QVJ104" s="957"/>
      <c r="QVK104" s="957"/>
      <c r="QVL104" s="957"/>
      <c r="QVM104" s="957"/>
      <c r="QVN104" s="957"/>
      <c r="QVO104" s="957"/>
      <c r="QVP104" s="957"/>
      <c r="QVQ104" s="957"/>
      <c r="QVR104" s="957"/>
      <c r="QVS104" s="957"/>
      <c r="QVT104" s="957"/>
      <c r="QVU104" s="957"/>
      <c r="QVV104" s="957"/>
      <c r="QVW104" s="957"/>
      <c r="QVX104" s="957"/>
      <c r="QVY104" s="957"/>
      <c r="QVZ104" s="957"/>
      <c r="QWA104" s="957"/>
      <c r="QWB104" s="957"/>
      <c r="QWC104" s="957"/>
      <c r="QWD104" s="957"/>
      <c r="QWE104" s="957"/>
      <c r="QWF104" s="957"/>
      <c r="QWG104" s="957"/>
      <c r="QWH104" s="957"/>
      <c r="QWI104" s="957"/>
      <c r="QWJ104" s="957"/>
      <c r="QWK104" s="957"/>
      <c r="QWL104" s="957"/>
      <c r="QWM104" s="957"/>
      <c r="QWN104" s="957"/>
      <c r="QWO104" s="957"/>
      <c r="QWP104" s="957"/>
      <c r="QWQ104" s="957"/>
      <c r="QWR104" s="957"/>
      <c r="QWS104" s="957"/>
      <c r="QWT104" s="957"/>
      <c r="QWU104" s="957"/>
      <c r="QWV104" s="957"/>
      <c r="QWW104" s="957"/>
      <c r="QWX104" s="957"/>
      <c r="QWY104" s="957"/>
      <c r="QWZ104" s="957"/>
      <c r="QXA104" s="957"/>
      <c r="QXB104" s="957"/>
      <c r="QXC104" s="957"/>
      <c r="QXD104" s="957"/>
      <c r="QXE104" s="957"/>
      <c r="QXF104" s="957"/>
      <c r="QXG104" s="957"/>
      <c r="QXH104" s="957"/>
      <c r="QXI104" s="957"/>
      <c r="QXJ104" s="957"/>
      <c r="QXK104" s="957"/>
      <c r="QXL104" s="957"/>
      <c r="QXM104" s="957"/>
      <c r="QXN104" s="957"/>
      <c r="QXO104" s="957"/>
      <c r="QXP104" s="957"/>
      <c r="QXQ104" s="957"/>
      <c r="QXR104" s="957"/>
      <c r="QXS104" s="957"/>
      <c r="QXT104" s="957"/>
      <c r="QXU104" s="957"/>
      <c r="QXV104" s="957"/>
      <c r="QXW104" s="957"/>
      <c r="QXX104" s="957"/>
      <c r="QXY104" s="957"/>
      <c r="QXZ104" s="957"/>
      <c r="QYA104" s="957"/>
      <c r="QYB104" s="957"/>
      <c r="QYC104" s="957"/>
      <c r="QYD104" s="957"/>
      <c r="QYE104" s="957"/>
      <c r="QYF104" s="957"/>
      <c r="QYG104" s="957"/>
      <c r="QYH104" s="957"/>
      <c r="QYI104" s="957"/>
      <c r="QYJ104" s="957"/>
      <c r="QYK104" s="957"/>
      <c r="QYL104" s="957"/>
      <c r="QYM104" s="957"/>
      <c r="QYN104" s="957"/>
      <c r="QYO104" s="957"/>
      <c r="QYP104" s="957"/>
      <c r="QYQ104" s="957"/>
      <c r="QYR104" s="957"/>
      <c r="QYS104" s="957"/>
      <c r="QYT104" s="957"/>
      <c r="QYU104" s="957"/>
      <c r="QYV104" s="957"/>
      <c r="QYW104" s="957"/>
      <c r="QYX104" s="957"/>
      <c r="QYY104" s="957"/>
      <c r="QYZ104" s="957"/>
      <c r="QZA104" s="957"/>
      <c r="QZB104" s="957"/>
      <c r="QZC104" s="957"/>
      <c r="QZD104" s="957"/>
      <c r="QZE104" s="957"/>
      <c r="QZF104" s="957"/>
      <c r="QZG104" s="957"/>
      <c r="QZH104" s="957"/>
      <c r="QZI104" s="957"/>
      <c r="QZJ104" s="957"/>
      <c r="QZK104" s="957"/>
      <c r="QZL104" s="957"/>
      <c r="QZM104" s="957"/>
      <c r="QZN104" s="957"/>
      <c r="QZO104" s="957"/>
      <c r="QZP104" s="957"/>
      <c r="QZQ104" s="957"/>
      <c r="QZR104" s="957"/>
      <c r="QZS104" s="957"/>
      <c r="QZT104" s="957"/>
      <c r="QZU104" s="957"/>
      <c r="QZV104" s="957"/>
      <c r="QZW104" s="957"/>
      <c r="QZX104" s="957"/>
      <c r="QZY104" s="957"/>
      <c r="QZZ104" s="957"/>
      <c r="RAA104" s="957"/>
      <c r="RAB104" s="957"/>
      <c r="RAC104" s="957"/>
      <c r="RAD104" s="957"/>
      <c r="RAE104" s="957"/>
      <c r="RAF104" s="957"/>
      <c r="RAG104" s="957"/>
      <c r="RAH104" s="957"/>
      <c r="RAI104" s="957"/>
      <c r="RAJ104" s="957"/>
      <c r="RAK104" s="957"/>
      <c r="RAL104" s="957"/>
      <c r="RAM104" s="957"/>
      <c r="RAN104" s="957"/>
      <c r="RAO104" s="957"/>
      <c r="RAP104" s="957"/>
      <c r="RAQ104" s="957"/>
      <c r="RAR104" s="957"/>
      <c r="RAS104" s="957"/>
      <c r="RAT104" s="957"/>
      <c r="RAU104" s="957"/>
      <c r="RAV104" s="957"/>
      <c r="RAW104" s="957"/>
      <c r="RAX104" s="957"/>
      <c r="RAY104" s="957"/>
      <c r="RAZ104" s="957"/>
      <c r="RBA104" s="957"/>
      <c r="RBB104" s="957"/>
      <c r="RBC104" s="957"/>
      <c r="RBD104" s="957"/>
      <c r="RBE104" s="957"/>
      <c r="RBF104" s="957"/>
      <c r="RBG104" s="957"/>
      <c r="RBH104" s="957"/>
      <c r="RBI104" s="957"/>
      <c r="RBJ104" s="957"/>
      <c r="RBK104" s="957"/>
      <c r="RBL104" s="957"/>
      <c r="RBM104" s="957"/>
      <c r="RBN104" s="957"/>
      <c r="RBO104" s="957"/>
      <c r="RBP104" s="957"/>
      <c r="RBQ104" s="957"/>
      <c r="RBR104" s="957"/>
      <c r="RBS104" s="957"/>
      <c r="RBT104" s="957"/>
      <c r="RBU104" s="957"/>
      <c r="RBV104" s="957"/>
      <c r="RBW104" s="957"/>
      <c r="RBX104" s="957"/>
      <c r="RBY104" s="957"/>
      <c r="RBZ104" s="957"/>
      <c r="RCA104" s="957"/>
      <c r="RCB104" s="957"/>
      <c r="RCC104" s="957"/>
      <c r="RCD104" s="957"/>
      <c r="RCE104" s="957"/>
      <c r="RCF104" s="957"/>
      <c r="RCG104" s="957"/>
      <c r="RCH104" s="957"/>
      <c r="RCI104" s="957"/>
      <c r="RCJ104" s="957"/>
      <c r="RCK104" s="957"/>
      <c r="RCL104" s="957"/>
      <c r="RCM104" s="957"/>
      <c r="RCN104" s="957"/>
      <c r="RCO104" s="957"/>
      <c r="RCP104" s="957"/>
      <c r="RCQ104" s="957"/>
      <c r="RCR104" s="957"/>
      <c r="RCS104" s="957"/>
      <c r="RCT104" s="957"/>
      <c r="RCU104" s="957"/>
      <c r="RCV104" s="957"/>
      <c r="RCW104" s="957"/>
      <c r="RCX104" s="957"/>
      <c r="RCY104" s="957"/>
      <c r="RCZ104" s="957"/>
      <c r="RDA104" s="957"/>
      <c r="RDB104" s="957"/>
      <c r="RDC104" s="957"/>
      <c r="RDD104" s="957"/>
      <c r="RDE104" s="957"/>
      <c r="RDF104" s="957"/>
      <c r="RDG104" s="957"/>
      <c r="RDH104" s="957"/>
      <c r="RDI104" s="957"/>
      <c r="RDJ104" s="957"/>
      <c r="RDK104" s="957"/>
      <c r="RDL104" s="957"/>
      <c r="RDM104" s="957"/>
      <c r="RDN104" s="957"/>
      <c r="RDO104" s="957"/>
      <c r="RDP104" s="957"/>
      <c r="RDQ104" s="957"/>
      <c r="RDR104" s="957"/>
      <c r="RDS104" s="957"/>
      <c r="RDT104" s="957"/>
      <c r="RDU104" s="957"/>
      <c r="RDV104" s="957"/>
      <c r="RDW104" s="957"/>
      <c r="RDX104" s="957"/>
      <c r="RDY104" s="957"/>
      <c r="RDZ104" s="957"/>
      <c r="REA104" s="957"/>
      <c r="REB104" s="957"/>
      <c r="REC104" s="957"/>
      <c r="RED104" s="957"/>
      <c r="REE104" s="957"/>
      <c r="REF104" s="957"/>
      <c r="REG104" s="957"/>
      <c r="REH104" s="957"/>
      <c r="REI104" s="957"/>
      <c r="REJ104" s="957"/>
      <c r="REK104" s="957"/>
      <c r="REL104" s="957"/>
      <c r="REM104" s="957"/>
      <c r="REN104" s="957"/>
      <c r="REO104" s="957"/>
      <c r="REP104" s="957"/>
      <c r="REQ104" s="957"/>
      <c r="RER104" s="957"/>
      <c r="RES104" s="957"/>
      <c r="RET104" s="957"/>
      <c r="REU104" s="957"/>
      <c r="REV104" s="957"/>
      <c r="REW104" s="957"/>
      <c r="REX104" s="957"/>
      <c r="REY104" s="957"/>
      <c r="REZ104" s="957"/>
      <c r="RFA104" s="957"/>
      <c r="RFB104" s="957"/>
      <c r="RFC104" s="957"/>
      <c r="RFD104" s="957"/>
      <c r="RFE104" s="957"/>
      <c r="RFF104" s="957"/>
      <c r="RFG104" s="957"/>
      <c r="RFH104" s="957"/>
      <c r="RFI104" s="957"/>
      <c r="RFJ104" s="957"/>
      <c r="RFK104" s="957"/>
      <c r="RFL104" s="957"/>
      <c r="RFM104" s="957"/>
      <c r="RFN104" s="957"/>
      <c r="RFO104" s="957"/>
      <c r="RFP104" s="957"/>
      <c r="RFQ104" s="957"/>
      <c r="RFR104" s="957"/>
      <c r="RFS104" s="957"/>
      <c r="RFT104" s="957"/>
      <c r="RFU104" s="957"/>
      <c r="RFV104" s="957"/>
      <c r="RFW104" s="957"/>
      <c r="RFX104" s="957"/>
      <c r="RFY104" s="957"/>
      <c r="RFZ104" s="957"/>
      <c r="RGA104" s="957"/>
      <c r="RGB104" s="957"/>
      <c r="RGC104" s="957"/>
      <c r="RGD104" s="957"/>
      <c r="RGE104" s="957"/>
      <c r="RGF104" s="957"/>
      <c r="RGG104" s="957"/>
      <c r="RGH104" s="957"/>
      <c r="RGI104" s="957"/>
      <c r="RGJ104" s="957"/>
      <c r="RGK104" s="957"/>
      <c r="RGL104" s="957"/>
      <c r="RGM104" s="957"/>
      <c r="RGN104" s="957"/>
      <c r="RGO104" s="957"/>
      <c r="RGP104" s="957"/>
      <c r="RGQ104" s="957"/>
      <c r="RGR104" s="957"/>
      <c r="RGS104" s="957"/>
      <c r="RGT104" s="957"/>
      <c r="RGU104" s="957"/>
      <c r="RGV104" s="957"/>
      <c r="RGW104" s="957"/>
      <c r="RGX104" s="957"/>
      <c r="RGY104" s="957"/>
      <c r="RGZ104" s="957"/>
      <c r="RHA104" s="957"/>
      <c r="RHB104" s="957"/>
      <c r="RHC104" s="957"/>
      <c r="RHD104" s="957"/>
      <c r="RHE104" s="957"/>
      <c r="RHF104" s="957"/>
      <c r="RHG104" s="957"/>
      <c r="RHH104" s="957"/>
      <c r="RHI104" s="957"/>
      <c r="RHJ104" s="957"/>
      <c r="RHK104" s="957"/>
      <c r="RHL104" s="957"/>
      <c r="RHM104" s="957"/>
      <c r="RHN104" s="957"/>
      <c r="RHO104" s="957"/>
      <c r="RHP104" s="957"/>
      <c r="RHQ104" s="957"/>
      <c r="RHR104" s="957"/>
      <c r="RHS104" s="957"/>
      <c r="RHT104" s="957"/>
      <c r="RHU104" s="957"/>
      <c r="RHV104" s="957"/>
      <c r="RHW104" s="957"/>
      <c r="RHX104" s="957"/>
      <c r="RHY104" s="957"/>
      <c r="RHZ104" s="957"/>
      <c r="RIA104" s="957"/>
      <c r="RIB104" s="957"/>
      <c r="RIC104" s="957"/>
      <c r="RID104" s="957"/>
      <c r="RIE104" s="957"/>
      <c r="RIF104" s="957"/>
      <c r="RIG104" s="957"/>
      <c r="RIH104" s="957"/>
      <c r="RII104" s="957"/>
      <c r="RIJ104" s="957"/>
      <c r="RIK104" s="957"/>
      <c r="RIL104" s="957"/>
      <c r="RIM104" s="957"/>
      <c r="RIN104" s="957"/>
      <c r="RIO104" s="957"/>
      <c r="RIP104" s="957"/>
      <c r="RIQ104" s="957"/>
      <c r="RIR104" s="957"/>
      <c r="RIS104" s="957"/>
      <c r="RIT104" s="957"/>
      <c r="RIU104" s="957"/>
      <c r="RIV104" s="957"/>
      <c r="RIW104" s="957"/>
      <c r="RIX104" s="957"/>
      <c r="RIY104" s="957"/>
      <c r="RIZ104" s="957"/>
      <c r="RJA104" s="957"/>
      <c r="RJB104" s="957"/>
      <c r="RJC104" s="957"/>
      <c r="RJD104" s="957"/>
      <c r="RJE104" s="957"/>
      <c r="RJF104" s="957"/>
      <c r="RJG104" s="957"/>
      <c r="RJH104" s="957"/>
      <c r="RJI104" s="957"/>
      <c r="RJJ104" s="957"/>
      <c r="RJK104" s="957"/>
      <c r="RJL104" s="957"/>
      <c r="RJM104" s="957"/>
      <c r="RJN104" s="957"/>
      <c r="RJO104" s="957"/>
      <c r="RJP104" s="957"/>
      <c r="RJQ104" s="957"/>
      <c r="RJR104" s="957"/>
      <c r="RJS104" s="957"/>
      <c r="RJT104" s="957"/>
      <c r="RJU104" s="957"/>
      <c r="RJV104" s="957"/>
      <c r="RJW104" s="957"/>
      <c r="RJX104" s="957"/>
      <c r="RJY104" s="957"/>
      <c r="RJZ104" s="957"/>
      <c r="RKA104" s="957"/>
      <c r="RKB104" s="957"/>
      <c r="RKC104" s="957"/>
      <c r="RKD104" s="957"/>
      <c r="RKE104" s="957"/>
      <c r="RKF104" s="957"/>
      <c r="RKG104" s="957"/>
      <c r="RKH104" s="957"/>
      <c r="RKI104" s="957"/>
      <c r="RKJ104" s="957"/>
      <c r="RKK104" s="957"/>
      <c r="RKL104" s="957"/>
      <c r="RKM104" s="957"/>
      <c r="RKN104" s="957"/>
      <c r="RKO104" s="957"/>
      <c r="RKP104" s="957"/>
      <c r="RKQ104" s="957"/>
      <c r="RKR104" s="957"/>
      <c r="RKS104" s="957"/>
      <c r="RKT104" s="957"/>
      <c r="RKU104" s="957"/>
      <c r="RKV104" s="957"/>
      <c r="RKW104" s="957"/>
      <c r="RKX104" s="957"/>
      <c r="RKY104" s="957"/>
      <c r="RKZ104" s="957"/>
      <c r="RLA104" s="957"/>
      <c r="RLB104" s="957"/>
      <c r="RLC104" s="957"/>
      <c r="RLD104" s="957"/>
      <c r="RLE104" s="957"/>
      <c r="RLF104" s="957"/>
      <c r="RLG104" s="957"/>
      <c r="RLH104" s="957"/>
      <c r="RLI104" s="957"/>
      <c r="RLJ104" s="957"/>
      <c r="RLK104" s="957"/>
      <c r="RLL104" s="957"/>
      <c r="RLM104" s="957"/>
      <c r="RLN104" s="957"/>
      <c r="RLO104" s="957"/>
      <c r="RLP104" s="957"/>
      <c r="RLQ104" s="957"/>
      <c r="RLR104" s="957"/>
      <c r="RLS104" s="957"/>
      <c r="RLT104" s="957"/>
      <c r="RLU104" s="957"/>
      <c r="RLV104" s="957"/>
      <c r="RLW104" s="957"/>
      <c r="RLX104" s="957"/>
      <c r="RLY104" s="957"/>
      <c r="RLZ104" s="957"/>
      <c r="RMA104" s="957"/>
      <c r="RMB104" s="957"/>
      <c r="RMC104" s="957"/>
      <c r="RMD104" s="957"/>
      <c r="RME104" s="957"/>
      <c r="RMF104" s="957"/>
      <c r="RMG104" s="957"/>
      <c r="RMH104" s="957"/>
      <c r="RMI104" s="957"/>
      <c r="RMJ104" s="957"/>
      <c r="RMK104" s="957"/>
      <c r="RML104" s="957"/>
      <c r="RMM104" s="957"/>
      <c r="RMN104" s="957"/>
      <c r="RMO104" s="957"/>
      <c r="RMP104" s="957"/>
      <c r="RMQ104" s="957"/>
      <c r="RMR104" s="957"/>
      <c r="RMS104" s="957"/>
      <c r="RMT104" s="957"/>
      <c r="RMU104" s="957"/>
      <c r="RMV104" s="957"/>
      <c r="RMW104" s="957"/>
      <c r="RMX104" s="957"/>
      <c r="RMY104" s="957"/>
      <c r="RMZ104" s="957"/>
      <c r="RNA104" s="957"/>
      <c r="RNB104" s="957"/>
      <c r="RNC104" s="957"/>
      <c r="RND104" s="957"/>
      <c r="RNE104" s="957"/>
      <c r="RNF104" s="957"/>
      <c r="RNG104" s="957"/>
      <c r="RNH104" s="957"/>
      <c r="RNI104" s="957"/>
      <c r="RNJ104" s="957"/>
      <c r="RNK104" s="957"/>
      <c r="RNL104" s="957"/>
      <c r="RNM104" s="957"/>
      <c r="RNN104" s="957"/>
      <c r="RNO104" s="957"/>
      <c r="RNP104" s="957"/>
      <c r="RNQ104" s="957"/>
      <c r="RNR104" s="957"/>
      <c r="RNS104" s="957"/>
      <c r="RNT104" s="957"/>
      <c r="RNU104" s="957"/>
      <c r="RNV104" s="957"/>
      <c r="RNW104" s="957"/>
      <c r="RNX104" s="957"/>
      <c r="RNY104" s="957"/>
      <c r="RNZ104" s="957"/>
      <c r="ROA104" s="957"/>
      <c r="ROB104" s="957"/>
      <c r="ROC104" s="957"/>
      <c r="ROD104" s="957"/>
      <c r="ROE104" s="957"/>
      <c r="ROF104" s="957"/>
      <c r="ROG104" s="957"/>
      <c r="ROH104" s="957"/>
      <c r="ROI104" s="957"/>
      <c r="ROJ104" s="957"/>
      <c r="ROK104" s="957"/>
      <c r="ROL104" s="957"/>
      <c r="ROM104" s="957"/>
      <c r="RON104" s="957"/>
      <c r="ROO104" s="957"/>
      <c r="ROP104" s="957"/>
      <c r="ROQ104" s="957"/>
      <c r="ROR104" s="957"/>
      <c r="ROS104" s="957"/>
      <c r="ROT104" s="957"/>
      <c r="ROU104" s="957"/>
      <c r="ROV104" s="957"/>
      <c r="ROW104" s="957"/>
      <c r="ROX104" s="957"/>
      <c r="ROY104" s="957"/>
      <c r="ROZ104" s="957"/>
      <c r="RPA104" s="957"/>
      <c r="RPB104" s="957"/>
      <c r="RPC104" s="957"/>
      <c r="RPD104" s="957"/>
      <c r="RPE104" s="957"/>
      <c r="RPF104" s="957"/>
      <c r="RPG104" s="957"/>
      <c r="RPH104" s="957"/>
      <c r="RPI104" s="957"/>
      <c r="RPJ104" s="957"/>
      <c r="RPK104" s="957"/>
      <c r="RPL104" s="957"/>
      <c r="RPM104" s="957"/>
      <c r="RPN104" s="957"/>
      <c r="RPO104" s="957"/>
      <c r="RPP104" s="957"/>
      <c r="RPQ104" s="957"/>
      <c r="RPR104" s="957"/>
      <c r="RPS104" s="957"/>
      <c r="RPT104" s="957"/>
      <c r="RPU104" s="957"/>
      <c r="RPV104" s="957"/>
      <c r="RPW104" s="957"/>
      <c r="RPX104" s="957"/>
      <c r="RPY104" s="957"/>
      <c r="RPZ104" s="957"/>
      <c r="RQA104" s="957"/>
      <c r="RQB104" s="957"/>
      <c r="RQC104" s="957"/>
      <c r="RQD104" s="957"/>
      <c r="RQE104" s="957"/>
      <c r="RQF104" s="957"/>
      <c r="RQG104" s="957"/>
      <c r="RQH104" s="957"/>
      <c r="RQI104" s="957"/>
      <c r="RQJ104" s="957"/>
      <c r="RQK104" s="957"/>
      <c r="RQL104" s="957"/>
      <c r="RQM104" s="957"/>
      <c r="RQN104" s="957"/>
      <c r="RQO104" s="957"/>
      <c r="RQP104" s="957"/>
      <c r="RQQ104" s="957"/>
      <c r="RQR104" s="957"/>
      <c r="RQS104" s="957"/>
      <c r="RQT104" s="957"/>
      <c r="RQU104" s="957"/>
      <c r="RQV104" s="957"/>
      <c r="RQW104" s="957"/>
      <c r="RQX104" s="957"/>
      <c r="RQY104" s="957"/>
      <c r="RQZ104" s="957"/>
      <c r="RRA104" s="957"/>
      <c r="RRB104" s="957"/>
      <c r="RRC104" s="957"/>
      <c r="RRD104" s="957"/>
      <c r="RRE104" s="957"/>
      <c r="RRF104" s="957"/>
      <c r="RRG104" s="957"/>
      <c r="RRH104" s="957"/>
      <c r="RRI104" s="957"/>
      <c r="RRJ104" s="957"/>
      <c r="RRK104" s="957"/>
      <c r="RRL104" s="957"/>
      <c r="RRM104" s="957"/>
      <c r="RRN104" s="957"/>
      <c r="RRO104" s="957"/>
      <c r="RRP104" s="957"/>
      <c r="RRQ104" s="957"/>
      <c r="RRR104" s="957"/>
      <c r="RRS104" s="957"/>
      <c r="RRT104" s="957"/>
      <c r="RRU104" s="957"/>
      <c r="RRV104" s="957"/>
      <c r="RRW104" s="957"/>
      <c r="RRX104" s="957"/>
      <c r="RRY104" s="957"/>
      <c r="RRZ104" s="957"/>
      <c r="RSA104" s="957"/>
      <c r="RSB104" s="957"/>
      <c r="RSC104" s="957"/>
      <c r="RSD104" s="957"/>
      <c r="RSE104" s="957"/>
      <c r="RSF104" s="957"/>
      <c r="RSG104" s="957"/>
      <c r="RSH104" s="957"/>
      <c r="RSI104" s="957"/>
      <c r="RSJ104" s="957"/>
      <c r="RSK104" s="957"/>
      <c r="RSL104" s="957"/>
      <c r="RSM104" s="957"/>
      <c r="RSN104" s="957"/>
      <c r="RSO104" s="957"/>
      <c r="RSP104" s="957"/>
      <c r="RSQ104" s="957"/>
      <c r="RSR104" s="957"/>
      <c r="RSS104" s="957"/>
      <c r="RST104" s="957"/>
      <c r="RSU104" s="957"/>
      <c r="RSV104" s="957"/>
      <c r="RSW104" s="957"/>
      <c r="RSX104" s="957"/>
      <c r="RSY104" s="957"/>
      <c r="RSZ104" s="957"/>
      <c r="RTA104" s="957"/>
      <c r="RTB104" s="957"/>
      <c r="RTC104" s="957"/>
      <c r="RTD104" s="957"/>
      <c r="RTE104" s="957"/>
      <c r="RTF104" s="957"/>
      <c r="RTG104" s="957"/>
      <c r="RTH104" s="957"/>
      <c r="RTI104" s="957"/>
      <c r="RTJ104" s="957"/>
      <c r="RTK104" s="957"/>
      <c r="RTL104" s="957"/>
      <c r="RTM104" s="957"/>
      <c r="RTN104" s="957"/>
      <c r="RTO104" s="957"/>
      <c r="RTP104" s="957"/>
      <c r="RTQ104" s="957"/>
      <c r="RTR104" s="957"/>
      <c r="RTS104" s="957"/>
      <c r="RTT104" s="957"/>
      <c r="RTU104" s="957"/>
      <c r="RTV104" s="957"/>
      <c r="RTW104" s="957"/>
      <c r="RTX104" s="957"/>
      <c r="RTY104" s="957"/>
      <c r="RTZ104" s="957"/>
      <c r="RUA104" s="957"/>
      <c r="RUB104" s="957"/>
      <c r="RUC104" s="957"/>
      <c r="RUD104" s="957"/>
      <c r="RUE104" s="957"/>
      <c r="RUF104" s="957"/>
      <c r="RUG104" s="957"/>
      <c r="RUH104" s="957"/>
      <c r="RUI104" s="957"/>
      <c r="RUJ104" s="957"/>
      <c r="RUK104" s="957"/>
      <c r="RUL104" s="957"/>
      <c r="RUM104" s="957"/>
      <c r="RUN104" s="957"/>
      <c r="RUO104" s="957"/>
      <c r="RUP104" s="957"/>
      <c r="RUQ104" s="957"/>
      <c r="RUR104" s="957"/>
      <c r="RUS104" s="957"/>
      <c r="RUT104" s="957"/>
      <c r="RUU104" s="957"/>
      <c r="RUV104" s="957"/>
      <c r="RUW104" s="957"/>
      <c r="RUX104" s="957"/>
      <c r="RUY104" s="957"/>
      <c r="RUZ104" s="957"/>
      <c r="RVA104" s="957"/>
      <c r="RVB104" s="957"/>
      <c r="RVC104" s="957"/>
      <c r="RVD104" s="957"/>
      <c r="RVE104" s="957"/>
      <c r="RVF104" s="957"/>
      <c r="RVG104" s="957"/>
      <c r="RVH104" s="957"/>
      <c r="RVI104" s="957"/>
      <c r="RVJ104" s="957"/>
      <c r="RVK104" s="957"/>
      <c r="RVL104" s="957"/>
      <c r="RVM104" s="957"/>
      <c r="RVN104" s="957"/>
      <c r="RVO104" s="957"/>
      <c r="RVP104" s="957"/>
      <c r="RVQ104" s="957"/>
      <c r="RVR104" s="957"/>
      <c r="RVS104" s="957"/>
      <c r="RVT104" s="957"/>
      <c r="RVU104" s="957"/>
      <c r="RVV104" s="957"/>
      <c r="RVW104" s="957"/>
      <c r="RVX104" s="957"/>
      <c r="RVY104" s="957"/>
      <c r="RVZ104" s="957"/>
      <c r="RWA104" s="957"/>
      <c r="RWB104" s="957"/>
      <c r="RWC104" s="957"/>
      <c r="RWD104" s="957"/>
      <c r="RWE104" s="957"/>
      <c r="RWF104" s="957"/>
      <c r="RWG104" s="957"/>
      <c r="RWH104" s="957"/>
      <c r="RWI104" s="957"/>
      <c r="RWJ104" s="957"/>
      <c r="RWK104" s="957"/>
      <c r="RWL104" s="957"/>
      <c r="RWM104" s="957"/>
      <c r="RWN104" s="957"/>
      <c r="RWO104" s="957"/>
      <c r="RWP104" s="957"/>
      <c r="RWQ104" s="957"/>
      <c r="RWR104" s="957"/>
      <c r="RWS104" s="957"/>
      <c r="RWT104" s="957"/>
      <c r="RWU104" s="957"/>
      <c r="RWV104" s="957"/>
      <c r="RWW104" s="957"/>
      <c r="RWX104" s="957"/>
      <c r="RWY104" s="957"/>
      <c r="RWZ104" s="957"/>
      <c r="RXA104" s="957"/>
      <c r="RXB104" s="957"/>
      <c r="RXC104" s="957"/>
      <c r="RXD104" s="957"/>
      <c r="RXE104" s="957"/>
      <c r="RXF104" s="957"/>
      <c r="RXG104" s="957"/>
      <c r="RXH104" s="957"/>
      <c r="RXI104" s="957"/>
      <c r="RXJ104" s="957"/>
      <c r="RXK104" s="957"/>
      <c r="RXL104" s="957"/>
      <c r="RXM104" s="957"/>
      <c r="RXN104" s="957"/>
      <c r="RXO104" s="957"/>
      <c r="RXP104" s="957"/>
      <c r="RXQ104" s="957"/>
      <c r="RXR104" s="957"/>
      <c r="RXS104" s="957"/>
      <c r="RXT104" s="957"/>
      <c r="RXU104" s="957"/>
      <c r="RXV104" s="957"/>
      <c r="RXW104" s="957"/>
      <c r="RXX104" s="957"/>
      <c r="RXY104" s="957"/>
      <c r="RXZ104" s="957"/>
      <c r="RYA104" s="957"/>
      <c r="RYB104" s="957"/>
      <c r="RYC104" s="957"/>
      <c r="RYD104" s="957"/>
      <c r="RYE104" s="957"/>
      <c r="RYF104" s="957"/>
      <c r="RYG104" s="957"/>
      <c r="RYH104" s="957"/>
      <c r="RYI104" s="957"/>
      <c r="RYJ104" s="957"/>
      <c r="RYK104" s="957"/>
      <c r="RYL104" s="957"/>
      <c r="RYM104" s="957"/>
      <c r="RYN104" s="957"/>
      <c r="RYO104" s="957"/>
      <c r="RYP104" s="957"/>
      <c r="RYQ104" s="957"/>
      <c r="RYR104" s="957"/>
      <c r="RYS104" s="957"/>
      <c r="RYT104" s="957"/>
      <c r="RYU104" s="957"/>
      <c r="RYV104" s="957"/>
      <c r="RYW104" s="957"/>
      <c r="RYX104" s="957"/>
      <c r="RYY104" s="957"/>
      <c r="RYZ104" s="957"/>
      <c r="RZA104" s="957"/>
      <c r="RZB104" s="957"/>
      <c r="RZC104" s="957"/>
      <c r="RZD104" s="957"/>
      <c r="RZE104" s="957"/>
      <c r="RZF104" s="957"/>
      <c r="RZG104" s="957"/>
      <c r="RZH104" s="957"/>
      <c r="RZI104" s="957"/>
      <c r="RZJ104" s="957"/>
      <c r="RZK104" s="957"/>
      <c r="RZL104" s="957"/>
      <c r="RZM104" s="957"/>
      <c r="RZN104" s="957"/>
      <c r="RZO104" s="957"/>
      <c r="RZP104" s="957"/>
      <c r="RZQ104" s="957"/>
      <c r="RZR104" s="957"/>
      <c r="RZS104" s="957"/>
      <c r="RZT104" s="957"/>
      <c r="RZU104" s="957"/>
      <c r="RZV104" s="957"/>
      <c r="RZW104" s="957"/>
      <c r="RZX104" s="957"/>
      <c r="RZY104" s="957"/>
      <c r="RZZ104" s="957"/>
      <c r="SAA104" s="957"/>
      <c r="SAB104" s="957"/>
      <c r="SAC104" s="957"/>
      <c r="SAD104" s="957"/>
      <c r="SAE104" s="957"/>
      <c r="SAF104" s="957"/>
      <c r="SAG104" s="957"/>
      <c r="SAH104" s="957"/>
      <c r="SAI104" s="957"/>
      <c r="SAJ104" s="957"/>
      <c r="SAK104" s="957"/>
      <c r="SAL104" s="957"/>
      <c r="SAM104" s="957"/>
      <c r="SAN104" s="957"/>
      <c r="SAO104" s="957"/>
      <c r="SAP104" s="957"/>
      <c r="SAQ104" s="957"/>
      <c r="SAR104" s="957"/>
      <c r="SAS104" s="957"/>
      <c r="SAT104" s="957"/>
      <c r="SAU104" s="957"/>
      <c r="SAV104" s="957"/>
      <c r="SAW104" s="957"/>
      <c r="SAX104" s="957"/>
      <c r="SAY104" s="957"/>
      <c r="SAZ104" s="957"/>
      <c r="SBA104" s="957"/>
      <c r="SBB104" s="957"/>
      <c r="SBC104" s="957"/>
      <c r="SBD104" s="957"/>
      <c r="SBE104" s="957"/>
      <c r="SBF104" s="957"/>
      <c r="SBG104" s="957"/>
      <c r="SBH104" s="957"/>
      <c r="SBI104" s="957"/>
      <c r="SBJ104" s="957"/>
      <c r="SBK104" s="957"/>
      <c r="SBL104" s="957"/>
      <c r="SBM104" s="957"/>
      <c r="SBN104" s="957"/>
      <c r="SBO104" s="957"/>
      <c r="SBP104" s="957"/>
      <c r="SBQ104" s="957"/>
      <c r="SBR104" s="957"/>
      <c r="SBS104" s="957"/>
      <c r="SBT104" s="957"/>
      <c r="SBU104" s="957"/>
      <c r="SBV104" s="957"/>
      <c r="SBW104" s="957"/>
      <c r="SBX104" s="957"/>
      <c r="SBY104" s="957"/>
      <c r="SBZ104" s="957"/>
      <c r="SCA104" s="957"/>
      <c r="SCB104" s="957"/>
      <c r="SCC104" s="957"/>
      <c r="SCD104" s="957"/>
      <c r="SCE104" s="957"/>
      <c r="SCF104" s="957"/>
      <c r="SCG104" s="957"/>
      <c r="SCH104" s="957"/>
      <c r="SCI104" s="957"/>
      <c r="SCJ104" s="957"/>
      <c r="SCK104" s="957"/>
      <c r="SCL104" s="957"/>
      <c r="SCM104" s="957"/>
      <c r="SCN104" s="957"/>
      <c r="SCO104" s="957"/>
      <c r="SCP104" s="957"/>
      <c r="SCQ104" s="957"/>
      <c r="SCR104" s="957"/>
      <c r="SCS104" s="957"/>
      <c r="SCT104" s="957"/>
      <c r="SCU104" s="957"/>
      <c r="SCV104" s="957"/>
      <c r="SCW104" s="957"/>
      <c r="SCX104" s="957"/>
      <c r="SCY104" s="957"/>
      <c r="SCZ104" s="957"/>
      <c r="SDA104" s="957"/>
      <c r="SDB104" s="957"/>
      <c r="SDC104" s="957"/>
      <c r="SDD104" s="957"/>
      <c r="SDE104" s="957"/>
      <c r="SDF104" s="957"/>
      <c r="SDG104" s="957"/>
      <c r="SDH104" s="957"/>
      <c r="SDI104" s="957"/>
      <c r="SDJ104" s="957"/>
      <c r="SDK104" s="957"/>
      <c r="SDL104" s="957"/>
      <c r="SDM104" s="957"/>
      <c r="SDN104" s="957"/>
      <c r="SDO104" s="957"/>
      <c r="SDP104" s="957"/>
      <c r="SDQ104" s="957"/>
      <c r="SDR104" s="957"/>
      <c r="SDS104" s="957"/>
      <c r="SDT104" s="957"/>
      <c r="SDU104" s="957"/>
      <c r="SDV104" s="957"/>
      <c r="SDW104" s="957"/>
      <c r="SDX104" s="957"/>
      <c r="SDY104" s="957"/>
      <c r="SDZ104" s="957"/>
      <c r="SEA104" s="957"/>
      <c r="SEB104" s="957"/>
      <c r="SEC104" s="957"/>
      <c r="SED104" s="957"/>
      <c r="SEE104" s="957"/>
      <c r="SEF104" s="957"/>
      <c r="SEG104" s="957"/>
      <c r="SEH104" s="957"/>
      <c r="SEI104" s="957"/>
      <c r="SEJ104" s="957"/>
      <c r="SEK104" s="957"/>
      <c r="SEL104" s="957"/>
      <c r="SEM104" s="957"/>
      <c r="SEN104" s="957"/>
      <c r="SEO104" s="957"/>
      <c r="SEP104" s="957"/>
      <c r="SEQ104" s="957"/>
      <c r="SER104" s="957"/>
      <c r="SES104" s="957"/>
      <c r="SET104" s="957"/>
      <c r="SEU104" s="957"/>
      <c r="SEV104" s="957"/>
      <c r="SEW104" s="957"/>
      <c r="SEX104" s="957"/>
      <c r="SEY104" s="957"/>
      <c r="SEZ104" s="957"/>
      <c r="SFA104" s="957"/>
      <c r="SFB104" s="957"/>
      <c r="SFC104" s="957"/>
      <c r="SFD104" s="957"/>
      <c r="SFE104" s="957"/>
      <c r="SFF104" s="957"/>
      <c r="SFG104" s="957"/>
      <c r="SFH104" s="957"/>
      <c r="SFI104" s="957"/>
      <c r="SFJ104" s="957"/>
      <c r="SFK104" s="957"/>
      <c r="SFL104" s="957"/>
      <c r="SFM104" s="957"/>
      <c r="SFN104" s="957"/>
      <c r="SFO104" s="957"/>
      <c r="SFP104" s="957"/>
      <c r="SFQ104" s="957"/>
      <c r="SFR104" s="957"/>
      <c r="SFS104" s="957"/>
      <c r="SFT104" s="957"/>
      <c r="SFU104" s="957"/>
      <c r="SFV104" s="957"/>
      <c r="SFW104" s="957"/>
      <c r="SFX104" s="957"/>
      <c r="SFY104" s="957"/>
      <c r="SFZ104" s="957"/>
      <c r="SGA104" s="957"/>
      <c r="SGB104" s="957"/>
      <c r="SGC104" s="957"/>
      <c r="SGD104" s="957"/>
      <c r="SGE104" s="957"/>
      <c r="SGF104" s="957"/>
      <c r="SGG104" s="957"/>
      <c r="SGH104" s="957"/>
      <c r="SGI104" s="957"/>
      <c r="SGJ104" s="957"/>
      <c r="SGK104" s="957"/>
      <c r="SGL104" s="957"/>
      <c r="SGM104" s="957"/>
      <c r="SGN104" s="957"/>
      <c r="SGO104" s="957"/>
      <c r="SGP104" s="957"/>
      <c r="SGQ104" s="957"/>
      <c r="SGR104" s="957"/>
      <c r="SGS104" s="957"/>
      <c r="SGT104" s="957"/>
      <c r="SGU104" s="957"/>
      <c r="SGV104" s="957"/>
      <c r="SGW104" s="957"/>
      <c r="SGX104" s="957"/>
      <c r="SGY104" s="957"/>
      <c r="SGZ104" s="957"/>
      <c r="SHA104" s="957"/>
      <c r="SHB104" s="957"/>
      <c r="SHC104" s="957"/>
      <c r="SHD104" s="957"/>
      <c r="SHE104" s="957"/>
      <c r="SHF104" s="957"/>
      <c r="SHG104" s="957"/>
      <c r="SHH104" s="957"/>
      <c r="SHI104" s="957"/>
      <c r="SHJ104" s="957"/>
      <c r="SHK104" s="957"/>
      <c r="SHL104" s="957"/>
      <c r="SHM104" s="957"/>
      <c r="SHN104" s="957"/>
      <c r="SHO104" s="957"/>
      <c r="SHP104" s="957"/>
      <c r="SHQ104" s="957"/>
      <c r="SHR104" s="957"/>
      <c r="SHS104" s="957"/>
      <c r="SHT104" s="957"/>
      <c r="SHU104" s="957"/>
      <c r="SHV104" s="957"/>
      <c r="SHW104" s="957"/>
      <c r="SHX104" s="957"/>
      <c r="SHY104" s="957"/>
      <c r="SHZ104" s="957"/>
      <c r="SIA104" s="957"/>
      <c r="SIB104" s="957"/>
      <c r="SIC104" s="957"/>
      <c r="SID104" s="957"/>
      <c r="SIE104" s="957"/>
      <c r="SIF104" s="957"/>
      <c r="SIG104" s="957"/>
      <c r="SIH104" s="957"/>
      <c r="SII104" s="957"/>
      <c r="SIJ104" s="957"/>
      <c r="SIK104" s="957"/>
      <c r="SIL104" s="957"/>
      <c r="SIM104" s="957"/>
      <c r="SIN104" s="957"/>
      <c r="SIO104" s="957"/>
      <c r="SIP104" s="957"/>
      <c r="SIQ104" s="957"/>
      <c r="SIR104" s="957"/>
      <c r="SIS104" s="957"/>
      <c r="SIT104" s="957"/>
      <c r="SIU104" s="957"/>
      <c r="SIV104" s="957"/>
      <c r="SIW104" s="957"/>
      <c r="SIX104" s="957"/>
      <c r="SIY104" s="957"/>
      <c r="SIZ104" s="957"/>
      <c r="SJA104" s="957"/>
      <c r="SJB104" s="957"/>
      <c r="SJC104" s="957"/>
      <c r="SJD104" s="957"/>
      <c r="SJE104" s="957"/>
      <c r="SJF104" s="957"/>
      <c r="SJG104" s="957"/>
      <c r="SJH104" s="957"/>
      <c r="SJI104" s="957"/>
      <c r="SJJ104" s="957"/>
      <c r="SJK104" s="957"/>
      <c r="SJL104" s="957"/>
      <c r="SJM104" s="957"/>
      <c r="SJN104" s="957"/>
      <c r="SJO104" s="957"/>
      <c r="SJP104" s="957"/>
      <c r="SJQ104" s="957"/>
      <c r="SJR104" s="957"/>
      <c r="SJS104" s="957"/>
      <c r="SJT104" s="957"/>
      <c r="SJU104" s="957"/>
      <c r="SJV104" s="957"/>
      <c r="SJW104" s="957"/>
      <c r="SJX104" s="957"/>
      <c r="SJY104" s="957"/>
      <c r="SJZ104" s="957"/>
      <c r="SKA104" s="957"/>
      <c r="SKB104" s="957"/>
      <c r="SKC104" s="957"/>
      <c r="SKD104" s="957"/>
      <c r="SKE104" s="957"/>
      <c r="SKF104" s="957"/>
      <c r="SKG104" s="957"/>
      <c r="SKH104" s="957"/>
      <c r="SKI104" s="957"/>
      <c r="SKJ104" s="957"/>
      <c r="SKK104" s="957"/>
      <c r="SKL104" s="957"/>
      <c r="SKM104" s="957"/>
      <c r="SKN104" s="957"/>
      <c r="SKO104" s="957"/>
      <c r="SKP104" s="957"/>
      <c r="SKQ104" s="957"/>
      <c r="SKR104" s="957"/>
      <c r="SKS104" s="957"/>
      <c r="SKT104" s="957"/>
      <c r="SKU104" s="957"/>
      <c r="SKV104" s="957"/>
      <c r="SKW104" s="957"/>
      <c r="SKX104" s="957"/>
      <c r="SKY104" s="957"/>
      <c r="SKZ104" s="957"/>
      <c r="SLA104" s="957"/>
      <c r="SLB104" s="957"/>
      <c r="SLC104" s="957"/>
      <c r="SLD104" s="957"/>
      <c r="SLE104" s="957"/>
      <c r="SLF104" s="957"/>
      <c r="SLG104" s="957"/>
      <c r="SLH104" s="957"/>
      <c r="SLI104" s="957"/>
      <c r="SLJ104" s="957"/>
      <c r="SLK104" s="957"/>
      <c r="SLL104" s="957"/>
      <c r="SLM104" s="957"/>
      <c r="SLN104" s="957"/>
      <c r="SLO104" s="957"/>
      <c r="SLP104" s="957"/>
      <c r="SLQ104" s="957"/>
      <c r="SLR104" s="957"/>
      <c r="SLS104" s="957"/>
      <c r="SLT104" s="957"/>
      <c r="SLU104" s="957"/>
      <c r="SLV104" s="957"/>
      <c r="SLW104" s="957"/>
      <c r="SLX104" s="957"/>
      <c r="SLY104" s="957"/>
      <c r="SLZ104" s="957"/>
      <c r="SMA104" s="957"/>
      <c r="SMB104" s="957"/>
      <c r="SMC104" s="957"/>
      <c r="SMD104" s="957"/>
      <c r="SME104" s="957"/>
      <c r="SMF104" s="957"/>
      <c r="SMG104" s="957"/>
      <c r="SMH104" s="957"/>
      <c r="SMI104" s="957"/>
      <c r="SMJ104" s="957"/>
      <c r="SMK104" s="957"/>
      <c r="SML104" s="957"/>
      <c r="SMM104" s="957"/>
      <c r="SMN104" s="957"/>
      <c r="SMO104" s="957"/>
      <c r="SMP104" s="957"/>
      <c r="SMQ104" s="957"/>
      <c r="SMR104" s="957"/>
      <c r="SMS104" s="957"/>
      <c r="SMT104" s="957"/>
      <c r="SMU104" s="957"/>
      <c r="SMV104" s="957"/>
      <c r="SMW104" s="957"/>
      <c r="SMX104" s="957"/>
      <c r="SMY104" s="957"/>
      <c r="SMZ104" s="957"/>
      <c r="SNA104" s="957"/>
      <c r="SNB104" s="957"/>
      <c r="SNC104" s="957"/>
      <c r="SND104" s="957"/>
      <c r="SNE104" s="957"/>
      <c r="SNF104" s="957"/>
      <c r="SNG104" s="957"/>
      <c r="SNH104" s="957"/>
      <c r="SNI104" s="957"/>
      <c r="SNJ104" s="957"/>
      <c r="SNK104" s="957"/>
      <c r="SNL104" s="957"/>
      <c r="SNM104" s="957"/>
      <c r="SNN104" s="957"/>
      <c r="SNO104" s="957"/>
      <c r="SNP104" s="957"/>
      <c r="SNQ104" s="957"/>
      <c r="SNR104" s="957"/>
      <c r="SNS104" s="957"/>
      <c r="SNT104" s="957"/>
      <c r="SNU104" s="957"/>
      <c r="SNV104" s="957"/>
      <c r="SNW104" s="957"/>
      <c r="SNX104" s="957"/>
      <c r="SNY104" s="957"/>
      <c r="SNZ104" s="957"/>
      <c r="SOA104" s="957"/>
      <c r="SOB104" s="957"/>
      <c r="SOC104" s="957"/>
      <c r="SOD104" s="957"/>
      <c r="SOE104" s="957"/>
      <c r="SOF104" s="957"/>
      <c r="SOG104" s="957"/>
      <c r="SOH104" s="957"/>
      <c r="SOI104" s="957"/>
      <c r="SOJ104" s="957"/>
      <c r="SOK104" s="957"/>
      <c r="SOL104" s="957"/>
      <c r="SOM104" s="957"/>
      <c r="SON104" s="957"/>
      <c r="SOO104" s="957"/>
      <c r="SOP104" s="957"/>
      <c r="SOQ104" s="957"/>
      <c r="SOR104" s="957"/>
      <c r="SOS104" s="957"/>
      <c r="SOT104" s="957"/>
      <c r="SOU104" s="957"/>
      <c r="SOV104" s="957"/>
      <c r="SOW104" s="957"/>
      <c r="SOX104" s="957"/>
      <c r="SOY104" s="957"/>
      <c r="SOZ104" s="957"/>
      <c r="SPA104" s="957"/>
      <c r="SPB104" s="957"/>
      <c r="SPC104" s="957"/>
      <c r="SPD104" s="957"/>
      <c r="SPE104" s="957"/>
      <c r="SPF104" s="957"/>
      <c r="SPG104" s="957"/>
      <c r="SPH104" s="957"/>
      <c r="SPI104" s="957"/>
      <c r="SPJ104" s="957"/>
      <c r="SPK104" s="957"/>
      <c r="SPL104" s="957"/>
      <c r="SPM104" s="957"/>
      <c r="SPN104" s="957"/>
      <c r="SPO104" s="957"/>
      <c r="SPP104" s="957"/>
      <c r="SPQ104" s="957"/>
      <c r="SPR104" s="957"/>
      <c r="SPS104" s="957"/>
      <c r="SPT104" s="957"/>
      <c r="SPU104" s="957"/>
      <c r="SPV104" s="957"/>
      <c r="SPW104" s="957"/>
      <c r="SPX104" s="957"/>
      <c r="SPY104" s="957"/>
      <c r="SPZ104" s="957"/>
      <c r="SQA104" s="957"/>
      <c r="SQB104" s="957"/>
      <c r="SQC104" s="957"/>
      <c r="SQD104" s="957"/>
      <c r="SQE104" s="957"/>
      <c r="SQF104" s="957"/>
      <c r="SQG104" s="957"/>
      <c r="SQH104" s="957"/>
      <c r="SQI104" s="957"/>
      <c r="SQJ104" s="957"/>
      <c r="SQK104" s="957"/>
      <c r="SQL104" s="957"/>
      <c r="SQM104" s="957"/>
      <c r="SQN104" s="957"/>
      <c r="SQO104" s="957"/>
      <c r="SQP104" s="957"/>
      <c r="SQQ104" s="957"/>
      <c r="SQR104" s="957"/>
      <c r="SQS104" s="957"/>
      <c r="SQT104" s="957"/>
      <c r="SQU104" s="957"/>
      <c r="SQV104" s="957"/>
      <c r="SQW104" s="957"/>
      <c r="SQX104" s="957"/>
      <c r="SQY104" s="957"/>
      <c r="SQZ104" s="957"/>
      <c r="SRA104" s="957"/>
      <c r="SRB104" s="957"/>
      <c r="SRC104" s="957"/>
      <c r="SRD104" s="957"/>
      <c r="SRE104" s="957"/>
      <c r="SRF104" s="957"/>
      <c r="SRG104" s="957"/>
      <c r="SRH104" s="957"/>
      <c r="SRI104" s="957"/>
      <c r="SRJ104" s="957"/>
      <c r="SRK104" s="957"/>
      <c r="SRL104" s="957"/>
      <c r="SRM104" s="957"/>
      <c r="SRN104" s="957"/>
      <c r="SRO104" s="957"/>
      <c r="SRP104" s="957"/>
      <c r="SRQ104" s="957"/>
      <c r="SRR104" s="957"/>
      <c r="SRS104" s="957"/>
      <c r="SRT104" s="957"/>
      <c r="SRU104" s="957"/>
      <c r="SRV104" s="957"/>
      <c r="SRW104" s="957"/>
      <c r="SRX104" s="957"/>
      <c r="SRY104" s="957"/>
      <c r="SRZ104" s="957"/>
      <c r="SSA104" s="957"/>
      <c r="SSB104" s="957"/>
      <c r="SSC104" s="957"/>
      <c r="SSD104" s="957"/>
      <c r="SSE104" s="957"/>
      <c r="SSF104" s="957"/>
      <c r="SSG104" s="957"/>
      <c r="SSH104" s="957"/>
      <c r="SSI104" s="957"/>
      <c r="SSJ104" s="957"/>
      <c r="SSK104" s="957"/>
      <c r="SSL104" s="957"/>
      <c r="SSM104" s="957"/>
      <c r="SSN104" s="957"/>
      <c r="SSO104" s="957"/>
      <c r="SSP104" s="957"/>
      <c r="SSQ104" s="957"/>
      <c r="SSR104" s="957"/>
      <c r="SSS104" s="957"/>
      <c r="SST104" s="957"/>
      <c r="SSU104" s="957"/>
      <c r="SSV104" s="957"/>
      <c r="SSW104" s="957"/>
      <c r="SSX104" s="957"/>
      <c r="SSY104" s="957"/>
      <c r="SSZ104" s="957"/>
      <c r="STA104" s="957"/>
      <c r="STB104" s="957"/>
      <c r="STC104" s="957"/>
      <c r="STD104" s="957"/>
      <c r="STE104" s="957"/>
      <c r="STF104" s="957"/>
      <c r="STG104" s="957"/>
      <c r="STH104" s="957"/>
      <c r="STI104" s="957"/>
      <c r="STJ104" s="957"/>
      <c r="STK104" s="957"/>
      <c r="STL104" s="957"/>
      <c r="STM104" s="957"/>
      <c r="STN104" s="957"/>
      <c r="STO104" s="957"/>
      <c r="STP104" s="957"/>
      <c r="STQ104" s="957"/>
      <c r="STR104" s="957"/>
      <c r="STS104" s="957"/>
      <c r="STT104" s="957"/>
      <c r="STU104" s="957"/>
      <c r="STV104" s="957"/>
      <c r="STW104" s="957"/>
      <c r="STX104" s="957"/>
      <c r="STY104" s="957"/>
      <c r="STZ104" s="957"/>
      <c r="SUA104" s="957"/>
      <c r="SUB104" s="957"/>
      <c r="SUC104" s="957"/>
      <c r="SUD104" s="957"/>
      <c r="SUE104" s="957"/>
      <c r="SUF104" s="957"/>
      <c r="SUG104" s="957"/>
      <c r="SUH104" s="957"/>
      <c r="SUI104" s="957"/>
      <c r="SUJ104" s="957"/>
      <c r="SUK104" s="957"/>
      <c r="SUL104" s="957"/>
      <c r="SUM104" s="957"/>
      <c r="SUN104" s="957"/>
      <c r="SUO104" s="957"/>
      <c r="SUP104" s="957"/>
      <c r="SUQ104" s="957"/>
      <c r="SUR104" s="957"/>
      <c r="SUS104" s="957"/>
      <c r="SUT104" s="957"/>
      <c r="SUU104" s="957"/>
      <c r="SUV104" s="957"/>
      <c r="SUW104" s="957"/>
      <c r="SUX104" s="957"/>
      <c r="SUY104" s="957"/>
      <c r="SUZ104" s="957"/>
      <c r="SVA104" s="957"/>
      <c r="SVB104" s="957"/>
      <c r="SVC104" s="957"/>
      <c r="SVD104" s="957"/>
      <c r="SVE104" s="957"/>
      <c r="SVF104" s="957"/>
      <c r="SVG104" s="957"/>
      <c r="SVH104" s="957"/>
      <c r="SVI104" s="957"/>
      <c r="SVJ104" s="957"/>
      <c r="SVK104" s="957"/>
      <c r="SVL104" s="957"/>
      <c r="SVM104" s="957"/>
      <c r="SVN104" s="957"/>
      <c r="SVO104" s="957"/>
      <c r="SVP104" s="957"/>
      <c r="SVQ104" s="957"/>
      <c r="SVR104" s="957"/>
      <c r="SVS104" s="957"/>
      <c r="SVT104" s="957"/>
      <c r="SVU104" s="957"/>
      <c r="SVV104" s="957"/>
      <c r="SVW104" s="957"/>
      <c r="SVX104" s="957"/>
      <c r="SVY104" s="957"/>
      <c r="SVZ104" s="957"/>
      <c r="SWA104" s="957"/>
      <c r="SWB104" s="957"/>
      <c r="SWC104" s="957"/>
      <c r="SWD104" s="957"/>
      <c r="SWE104" s="957"/>
      <c r="SWF104" s="957"/>
      <c r="SWG104" s="957"/>
      <c r="SWH104" s="957"/>
      <c r="SWI104" s="957"/>
      <c r="SWJ104" s="957"/>
      <c r="SWK104" s="957"/>
      <c r="SWL104" s="957"/>
      <c r="SWM104" s="957"/>
      <c r="SWN104" s="957"/>
      <c r="SWO104" s="957"/>
      <c r="SWP104" s="957"/>
      <c r="SWQ104" s="957"/>
      <c r="SWR104" s="957"/>
      <c r="SWS104" s="957"/>
      <c r="SWT104" s="957"/>
      <c r="SWU104" s="957"/>
      <c r="SWV104" s="957"/>
      <c r="SWW104" s="957"/>
      <c r="SWX104" s="957"/>
      <c r="SWY104" s="957"/>
      <c r="SWZ104" s="957"/>
      <c r="SXA104" s="957"/>
      <c r="SXB104" s="957"/>
      <c r="SXC104" s="957"/>
      <c r="SXD104" s="957"/>
      <c r="SXE104" s="957"/>
      <c r="SXF104" s="957"/>
      <c r="SXG104" s="957"/>
      <c r="SXH104" s="957"/>
      <c r="SXI104" s="957"/>
      <c r="SXJ104" s="957"/>
      <c r="SXK104" s="957"/>
      <c r="SXL104" s="957"/>
      <c r="SXM104" s="957"/>
      <c r="SXN104" s="957"/>
      <c r="SXO104" s="957"/>
      <c r="SXP104" s="957"/>
      <c r="SXQ104" s="957"/>
      <c r="SXR104" s="957"/>
      <c r="SXS104" s="957"/>
      <c r="SXT104" s="957"/>
      <c r="SXU104" s="957"/>
      <c r="SXV104" s="957"/>
      <c r="SXW104" s="957"/>
      <c r="SXX104" s="957"/>
      <c r="SXY104" s="957"/>
      <c r="SXZ104" s="957"/>
      <c r="SYA104" s="957"/>
      <c r="SYB104" s="957"/>
      <c r="SYC104" s="957"/>
      <c r="SYD104" s="957"/>
      <c r="SYE104" s="957"/>
      <c r="SYF104" s="957"/>
      <c r="SYG104" s="957"/>
      <c r="SYH104" s="957"/>
      <c r="SYI104" s="957"/>
      <c r="SYJ104" s="957"/>
      <c r="SYK104" s="957"/>
      <c r="SYL104" s="957"/>
      <c r="SYM104" s="957"/>
      <c r="SYN104" s="957"/>
      <c r="SYO104" s="957"/>
      <c r="SYP104" s="957"/>
      <c r="SYQ104" s="957"/>
      <c r="SYR104" s="957"/>
      <c r="SYS104" s="957"/>
      <c r="SYT104" s="957"/>
      <c r="SYU104" s="957"/>
      <c r="SYV104" s="957"/>
      <c r="SYW104" s="957"/>
      <c r="SYX104" s="957"/>
      <c r="SYY104" s="957"/>
      <c r="SYZ104" s="957"/>
      <c r="SZA104" s="957"/>
      <c r="SZB104" s="957"/>
      <c r="SZC104" s="957"/>
      <c r="SZD104" s="957"/>
      <c r="SZE104" s="957"/>
      <c r="SZF104" s="957"/>
      <c r="SZG104" s="957"/>
      <c r="SZH104" s="957"/>
      <c r="SZI104" s="957"/>
      <c r="SZJ104" s="957"/>
      <c r="SZK104" s="957"/>
      <c r="SZL104" s="957"/>
      <c r="SZM104" s="957"/>
      <c r="SZN104" s="957"/>
      <c r="SZO104" s="957"/>
      <c r="SZP104" s="957"/>
      <c r="SZQ104" s="957"/>
      <c r="SZR104" s="957"/>
      <c r="SZS104" s="957"/>
      <c r="SZT104" s="957"/>
      <c r="SZU104" s="957"/>
      <c r="SZV104" s="957"/>
      <c r="SZW104" s="957"/>
      <c r="SZX104" s="957"/>
      <c r="SZY104" s="957"/>
      <c r="SZZ104" s="957"/>
      <c r="TAA104" s="957"/>
      <c r="TAB104" s="957"/>
      <c r="TAC104" s="957"/>
      <c r="TAD104" s="957"/>
      <c r="TAE104" s="957"/>
      <c r="TAF104" s="957"/>
      <c r="TAG104" s="957"/>
      <c r="TAH104" s="957"/>
      <c r="TAI104" s="957"/>
      <c r="TAJ104" s="957"/>
      <c r="TAK104" s="957"/>
      <c r="TAL104" s="957"/>
      <c r="TAM104" s="957"/>
      <c r="TAN104" s="957"/>
      <c r="TAO104" s="957"/>
      <c r="TAP104" s="957"/>
      <c r="TAQ104" s="957"/>
      <c r="TAR104" s="957"/>
      <c r="TAS104" s="957"/>
      <c r="TAT104" s="957"/>
      <c r="TAU104" s="957"/>
      <c r="TAV104" s="957"/>
      <c r="TAW104" s="957"/>
      <c r="TAX104" s="957"/>
      <c r="TAY104" s="957"/>
      <c r="TAZ104" s="957"/>
      <c r="TBA104" s="957"/>
      <c r="TBB104" s="957"/>
      <c r="TBC104" s="957"/>
      <c r="TBD104" s="957"/>
      <c r="TBE104" s="957"/>
      <c r="TBF104" s="957"/>
      <c r="TBG104" s="957"/>
      <c r="TBH104" s="957"/>
      <c r="TBI104" s="957"/>
      <c r="TBJ104" s="957"/>
      <c r="TBK104" s="957"/>
      <c r="TBL104" s="957"/>
      <c r="TBM104" s="957"/>
      <c r="TBN104" s="957"/>
      <c r="TBO104" s="957"/>
      <c r="TBP104" s="957"/>
      <c r="TBQ104" s="957"/>
      <c r="TBR104" s="957"/>
      <c r="TBS104" s="957"/>
      <c r="TBT104" s="957"/>
      <c r="TBU104" s="957"/>
      <c r="TBV104" s="957"/>
      <c r="TBW104" s="957"/>
      <c r="TBX104" s="957"/>
      <c r="TBY104" s="957"/>
      <c r="TBZ104" s="957"/>
      <c r="TCA104" s="957"/>
      <c r="TCB104" s="957"/>
      <c r="TCC104" s="957"/>
      <c r="TCD104" s="957"/>
      <c r="TCE104" s="957"/>
      <c r="TCF104" s="957"/>
      <c r="TCG104" s="957"/>
      <c r="TCH104" s="957"/>
      <c r="TCI104" s="957"/>
      <c r="TCJ104" s="957"/>
      <c r="TCK104" s="957"/>
      <c r="TCL104" s="957"/>
      <c r="TCM104" s="957"/>
      <c r="TCN104" s="957"/>
      <c r="TCO104" s="957"/>
      <c r="TCP104" s="957"/>
      <c r="TCQ104" s="957"/>
      <c r="TCR104" s="957"/>
      <c r="TCS104" s="957"/>
      <c r="TCT104" s="957"/>
      <c r="TCU104" s="957"/>
      <c r="TCV104" s="957"/>
      <c r="TCW104" s="957"/>
      <c r="TCX104" s="957"/>
      <c r="TCY104" s="957"/>
      <c r="TCZ104" s="957"/>
      <c r="TDA104" s="957"/>
      <c r="TDB104" s="957"/>
      <c r="TDC104" s="957"/>
      <c r="TDD104" s="957"/>
      <c r="TDE104" s="957"/>
      <c r="TDF104" s="957"/>
      <c r="TDG104" s="957"/>
      <c r="TDH104" s="957"/>
      <c r="TDI104" s="957"/>
      <c r="TDJ104" s="957"/>
      <c r="TDK104" s="957"/>
      <c r="TDL104" s="957"/>
      <c r="TDM104" s="957"/>
      <c r="TDN104" s="957"/>
      <c r="TDO104" s="957"/>
      <c r="TDP104" s="957"/>
      <c r="TDQ104" s="957"/>
      <c r="TDR104" s="957"/>
      <c r="TDS104" s="957"/>
      <c r="TDT104" s="957"/>
      <c r="TDU104" s="957"/>
      <c r="TDV104" s="957"/>
      <c r="TDW104" s="957"/>
      <c r="TDX104" s="957"/>
      <c r="TDY104" s="957"/>
      <c r="TDZ104" s="957"/>
      <c r="TEA104" s="957"/>
      <c r="TEB104" s="957"/>
      <c r="TEC104" s="957"/>
      <c r="TED104" s="957"/>
      <c r="TEE104" s="957"/>
      <c r="TEF104" s="957"/>
      <c r="TEG104" s="957"/>
      <c r="TEH104" s="957"/>
      <c r="TEI104" s="957"/>
      <c r="TEJ104" s="957"/>
      <c r="TEK104" s="957"/>
      <c r="TEL104" s="957"/>
      <c r="TEM104" s="957"/>
      <c r="TEN104" s="957"/>
      <c r="TEO104" s="957"/>
      <c r="TEP104" s="957"/>
      <c r="TEQ104" s="957"/>
      <c r="TER104" s="957"/>
      <c r="TES104" s="957"/>
      <c r="TET104" s="957"/>
      <c r="TEU104" s="957"/>
      <c r="TEV104" s="957"/>
      <c r="TEW104" s="957"/>
      <c r="TEX104" s="957"/>
      <c r="TEY104" s="957"/>
      <c r="TEZ104" s="957"/>
      <c r="TFA104" s="957"/>
      <c r="TFB104" s="957"/>
      <c r="TFC104" s="957"/>
      <c r="TFD104" s="957"/>
      <c r="TFE104" s="957"/>
      <c r="TFF104" s="957"/>
      <c r="TFG104" s="957"/>
      <c r="TFH104" s="957"/>
      <c r="TFI104" s="957"/>
      <c r="TFJ104" s="957"/>
      <c r="TFK104" s="957"/>
      <c r="TFL104" s="957"/>
      <c r="TFM104" s="957"/>
      <c r="TFN104" s="957"/>
      <c r="TFO104" s="957"/>
      <c r="TFP104" s="957"/>
      <c r="TFQ104" s="957"/>
      <c r="TFR104" s="957"/>
      <c r="TFS104" s="957"/>
      <c r="TFT104" s="957"/>
      <c r="TFU104" s="957"/>
      <c r="TFV104" s="957"/>
      <c r="TFW104" s="957"/>
      <c r="TFX104" s="957"/>
      <c r="TFY104" s="957"/>
      <c r="TFZ104" s="957"/>
      <c r="TGA104" s="957"/>
      <c r="TGB104" s="957"/>
      <c r="TGC104" s="957"/>
      <c r="TGD104" s="957"/>
      <c r="TGE104" s="957"/>
      <c r="TGF104" s="957"/>
      <c r="TGG104" s="957"/>
      <c r="TGH104" s="957"/>
      <c r="TGI104" s="957"/>
      <c r="TGJ104" s="957"/>
      <c r="TGK104" s="957"/>
      <c r="TGL104" s="957"/>
      <c r="TGM104" s="957"/>
      <c r="TGN104" s="957"/>
      <c r="TGO104" s="957"/>
      <c r="TGP104" s="957"/>
      <c r="TGQ104" s="957"/>
      <c r="TGR104" s="957"/>
      <c r="TGS104" s="957"/>
      <c r="TGT104" s="957"/>
      <c r="TGU104" s="957"/>
      <c r="TGV104" s="957"/>
      <c r="TGW104" s="957"/>
      <c r="TGX104" s="957"/>
      <c r="TGY104" s="957"/>
      <c r="TGZ104" s="957"/>
      <c r="THA104" s="957"/>
      <c r="THB104" s="957"/>
      <c r="THC104" s="957"/>
      <c r="THD104" s="957"/>
      <c r="THE104" s="957"/>
      <c r="THF104" s="957"/>
      <c r="THG104" s="957"/>
      <c r="THH104" s="957"/>
      <c r="THI104" s="957"/>
      <c r="THJ104" s="957"/>
      <c r="THK104" s="957"/>
      <c r="THL104" s="957"/>
      <c r="THM104" s="957"/>
      <c r="THN104" s="957"/>
      <c r="THO104" s="957"/>
      <c r="THP104" s="957"/>
      <c r="THQ104" s="957"/>
      <c r="THR104" s="957"/>
      <c r="THS104" s="957"/>
      <c r="THT104" s="957"/>
      <c r="THU104" s="957"/>
      <c r="THV104" s="957"/>
      <c r="THW104" s="957"/>
      <c r="THX104" s="957"/>
      <c r="THY104" s="957"/>
      <c r="THZ104" s="957"/>
      <c r="TIA104" s="957"/>
      <c r="TIB104" s="957"/>
      <c r="TIC104" s="957"/>
      <c r="TID104" s="957"/>
      <c r="TIE104" s="957"/>
      <c r="TIF104" s="957"/>
      <c r="TIG104" s="957"/>
      <c r="TIH104" s="957"/>
      <c r="TII104" s="957"/>
      <c r="TIJ104" s="957"/>
      <c r="TIK104" s="957"/>
      <c r="TIL104" s="957"/>
      <c r="TIM104" s="957"/>
      <c r="TIN104" s="957"/>
      <c r="TIO104" s="957"/>
      <c r="TIP104" s="957"/>
      <c r="TIQ104" s="957"/>
      <c r="TIR104" s="957"/>
      <c r="TIS104" s="957"/>
      <c r="TIT104" s="957"/>
      <c r="TIU104" s="957"/>
      <c r="TIV104" s="957"/>
      <c r="TIW104" s="957"/>
      <c r="TIX104" s="957"/>
      <c r="TIY104" s="957"/>
      <c r="TIZ104" s="957"/>
      <c r="TJA104" s="957"/>
      <c r="TJB104" s="957"/>
      <c r="TJC104" s="957"/>
      <c r="TJD104" s="957"/>
      <c r="TJE104" s="957"/>
      <c r="TJF104" s="957"/>
      <c r="TJG104" s="957"/>
      <c r="TJH104" s="957"/>
      <c r="TJI104" s="957"/>
      <c r="TJJ104" s="957"/>
      <c r="TJK104" s="957"/>
      <c r="TJL104" s="957"/>
      <c r="TJM104" s="957"/>
      <c r="TJN104" s="957"/>
      <c r="TJO104" s="957"/>
      <c r="TJP104" s="957"/>
      <c r="TJQ104" s="957"/>
      <c r="TJR104" s="957"/>
      <c r="TJS104" s="957"/>
      <c r="TJT104" s="957"/>
      <c r="TJU104" s="957"/>
      <c r="TJV104" s="957"/>
      <c r="TJW104" s="957"/>
      <c r="TJX104" s="957"/>
      <c r="TJY104" s="957"/>
      <c r="TJZ104" s="957"/>
      <c r="TKA104" s="957"/>
      <c r="TKB104" s="957"/>
      <c r="TKC104" s="957"/>
      <c r="TKD104" s="957"/>
      <c r="TKE104" s="957"/>
      <c r="TKF104" s="957"/>
      <c r="TKG104" s="957"/>
      <c r="TKH104" s="957"/>
      <c r="TKI104" s="957"/>
      <c r="TKJ104" s="957"/>
      <c r="TKK104" s="957"/>
      <c r="TKL104" s="957"/>
      <c r="TKM104" s="957"/>
      <c r="TKN104" s="957"/>
      <c r="TKO104" s="957"/>
      <c r="TKP104" s="957"/>
      <c r="TKQ104" s="957"/>
      <c r="TKR104" s="957"/>
      <c r="TKS104" s="957"/>
      <c r="TKT104" s="957"/>
      <c r="TKU104" s="957"/>
      <c r="TKV104" s="957"/>
      <c r="TKW104" s="957"/>
      <c r="TKX104" s="957"/>
      <c r="TKY104" s="957"/>
      <c r="TKZ104" s="957"/>
      <c r="TLA104" s="957"/>
      <c r="TLB104" s="957"/>
      <c r="TLC104" s="957"/>
      <c r="TLD104" s="957"/>
      <c r="TLE104" s="957"/>
      <c r="TLF104" s="957"/>
      <c r="TLG104" s="957"/>
      <c r="TLH104" s="957"/>
      <c r="TLI104" s="957"/>
      <c r="TLJ104" s="957"/>
      <c r="TLK104" s="957"/>
      <c r="TLL104" s="957"/>
      <c r="TLM104" s="957"/>
      <c r="TLN104" s="957"/>
      <c r="TLO104" s="957"/>
      <c r="TLP104" s="957"/>
      <c r="TLQ104" s="957"/>
      <c r="TLR104" s="957"/>
      <c r="TLS104" s="957"/>
      <c r="TLT104" s="957"/>
      <c r="TLU104" s="957"/>
      <c r="TLV104" s="957"/>
      <c r="TLW104" s="957"/>
      <c r="TLX104" s="957"/>
      <c r="TLY104" s="957"/>
      <c r="TLZ104" s="957"/>
      <c r="TMA104" s="957"/>
      <c r="TMB104" s="957"/>
      <c r="TMC104" s="957"/>
      <c r="TMD104" s="957"/>
      <c r="TME104" s="957"/>
      <c r="TMF104" s="957"/>
      <c r="TMG104" s="957"/>
      <c r="TMH104" s="957"/>
      <c r="TMI104" s="957"/>
      <c r="TMJ104" s="957"/>
      <c r="TMK104" s="957"/>
      <c r="TML104" s="957"/>
      <c r="TMM104" s="957"/>
      <c r="TMN104" s="957"/>
      <c r="TMO104" s="957"/>
      <c r="TMP104" s="957"/>
      <c r="TMQ104" s="957"/>
      <c r="TMR104" s="957"/>
      <c r="TMS104" s="957"/>
      <c r="TMT104" s="957"/>
      <c r="TMU104" s="957"/>
      <c r="TMV104" s="957"/>
      <c r="TMW104" s="957"/>
      <c r="TMX104" s="957"/>
      <c r="TMY104" s="957"/>
      <c r="TMZ104" s="957"/>
      <c r="TNA104" s="957"/>
      <c r="TNB104" s="957"/>
      <c r="TNC104" s="957"/>
      <c r="TND104" s="957"/>
      <c r="TNE104" s="957"/>
      <c r="TNF104" s="957"/>
      <c r="TNG104" s="957"/>
      <c r="TNH104" s="957"/>
      <c r="TNI104" s="957"/>
      <c r="TNJ104" s="957"/>
      <c r="TNK104" s="957"/>
      <c r="TNL104" s="957"/>
      <c r="TNM104" s="957"/>
      <c r="TNN104" s="957"/>
      <c r="TNO104" s="957"/>
      <c r="TNP104" s="957"/>
      <c r="TNQ104" s="957"/>
      <c r="TNR104" s="957"/>
      <c r="TNS104" s="957"/>
      <c r="TNT104" s="957"/>
      <c r="TNU104" s="957"/>
      <c r="TNV104" s="957"/>
      <c r="TNW104" s="957"/>
      <c r="TNX104" s="957"/>
      <c r="TNY104" s="957"/>
      <c r="TNZ104" s="957"/>
      <c r="TOA104" s="957"/>
      <c r="TOB104" s="957"/>
      <c r="TOC104" s="957"/>
      <c r="TOD104" s="957"/>
      <c r="TOE104" s="957"/>
      <c r="TOF104" s="957"/>
      <c r="TOG104" s="957"/>
      <c r="TOH104" s="957"/>
      <c r="TOI104" s="957"/>
      <c r="TOJ104" s="957"/>
      <c r="TOK104" s="957"/>
      <c r="TOL104" s="957"/>
      <c r="TOM104" s="957"/>
      <c r="TON104" s="957"/>
      <c r="TOO104" s="957"/>
      <c r="TOP104" s="957"/>
      <c r="TOQ104" s="957"/>
      <c r="TOR104" s="957"/>
      <c r="TOS104" s="957"/>
      <c r="TOT104" s="957"/>
      <c r="TOU104" s="957"/>
      <c r="TOV104" s="957"/>
      <c r="TOW104" s="957"/>
      <c r="TOX104" s="957"/>
      <c r="TOY104" s="957"/>
      <c r="TOZ104" s="957"/>
      <c r="TPA104" s="957"/>
      <c r="TPB104" s="957"/>
      <c r="TPC104" s="957"/>
      <c r="TPD104" s="957"/>
      <c r="TPE104" s="957"/>
      <c r="TPF104" s="957"/>
      <c r="TPG104" s="957"/>
      <c r="TPH104" s="957"/>
      <c r="TPI104" s="957"/>
      <c r="TPJ104" s="957"/>
      <c r="TPK104" s="957"/>
      <c r="TPL104" s="957"/>
      <c r="TPM104" s="957"/>
      <c r="TPN104" s="957"/>
      <c r="TPO104" s="957"/>
      <c r="TPP104" s="957"/>
      <c r="TPQ104" s="957"/>
      <c r="TPR104" s="957"/>
      <c r="TPS104" s="957"/>
      <c r="TPT104" s="957"/>
      <c r="TPU104" s="957"/>
      <c r="TPV104" s="957"/>
      <c r="TPW104" s="957"/>
      <c r="TPX104" s="957"/>
      <c r="TPY104" s="957"/>
      <c r="TPZ104" s="957"/>
      <c r="TQA104" s="957"/>
      <c r="TQB104" s="957"/>
      <c r="TQC104" s="957"/>
      <c r="TQD104" s="957"/>
      <c r="TQE104" s="957"/>
      <c r="TQF104" s="957"/>
      <c r="TQG104" s="957"/>
      <c r="TQH104" s="957"/>
      <c r="TQI104" s="957"/>
      <c r="TQJ104" s="957"/>
      <c r="TQK104" s="957"/>
      <c r="TQL104" s="957"/>
      <c r="TQM104" s="957"/>
      <c r="TQN104" s="957"/>
      <c r="TQO104" s="957"/>
      <c r="TQP104" s="957"/>
      <c r="TQQ104" s="957"/>
      <c r="TQR104" s="957"/>
      <c r="TQS104" s="957"/>
      <c r="TQT104" s="957"/>
      <c r="TQU104" s="957"/>
      <c r="TQV104" s="957"/>
      <c r="TQW104" s="957"/>
      <c r="TQX104" s="957"/>
      <c r="TQY104" s="957"/>
      <c r="TQZ104" s="957"/>
      <c r="TRA104" s="957"/>
      <c r="TRB104" s="957"/>
      <c r="TRC104" s="957"/>
      <c r="TRD104" s="957"/>
      <c r="TRE104" s="957"/>
      <c r="TRF104" s="957"/>
      <c r="TRG104" s="957"/>
      <c r="TRH104" s="957"/>
      <c r="TRI104" s="957"/>
      <c r="TRJ104" s="957"/>
      <c r="TRK104" s="957"/>
      <c r="TRL104" s="957"/>
      <c r="TRM104" s="957"/>
      <c r="TRN104" s="957"/>
      <c r="TRO104" s="957"/>
      <c r="TRP104" s="957"/>
      <c r="TRQ104" s="957"/>
      <c r="TRR104" s="957"/>
      <c r="TRS104" s="957"/>
      <c r="TRT104" s="957"/>
      <c r="TRU104" s="957"/>
      <c r="TRV104" s="957"/>
      <c r="TRW104" s="957"/>
      <c r="TRX104" s="957"/>
      <c r="TRY104" s="957"/>
      <c r="TRZ104" s="957"/>
      <c r="TSA104" s="957"/>
      <c r="TSB104" s="957"/>
      <c r="TSC104" s="957"/>
      <c r="TSD104" s="957"/>
      <c r="TSE104" s="957"/>
      <c r="TSF104" s="957"/>
      <c r="TSG104" s="957"/>
      <c r="TSH104" s="957"/>
      <c r="TSI104" s="957"/>
      <c r="TSJ104" s="957"/>
      <c r="TSK104" s="957"/>
      <c r="TSL104" s="957"/>
      <c r="TSM104" s="957"/>
      <c r="TSN104" s="957"/>
      <c r="TSO104" s="957"/>
      <c r="TSP104" s="957"/>
      <c r="TSQ104" s="957"/>
      <c r="TSR104" s="957"/>
      <c r="TSS104" s="957"/>
      <c r="TST104" s="957"/>
      <c r="TSU104" s="957"/>
      <c r="TSV104" s="957"/>
      <c r="TSW104" s="957"/>
      <c r="TSX104" s="957"/>
      <c r="TSY104" s="957"/>
      <c r="TSZ104" s="957"/>
      <c r="TTA104" s="957"/>
      <c r="TTB104" s="957"/>
      <c r="TTC104" s="957"/>
      <c r="TTD104" s="957"/>
      <c r="TTE104" s="957"/>
      <c r="TTF104" s="957"/>
      <c r="TTG104" s="957"/>
      <c r="TTH104" s="957"/>
      <c r="TTI104" s="957"/>
      <c r="TTJ104" s="957"/>
      <c r="TTK104" s="957"/>
      <c r="TTL104" s="957"/>
      <c r="TTM104" s="957"/>
      <c r="TTN104" s="957"/>
      <c r="TTO104" s="957"/>
      <c r="TTP104" s="957"/>
      <c r="TTQ104" s="957"/>
      <c r="TTR104" s="957"/>
      <c r="TTS104" s="957"/>
      <c r="TTT104" s="957"/>
      <c r="TTU104" s="957"/>
      <c r="TTV104" s="957"/>
      <c r="TTW104" s="957"/>
      <c r="TTX104" s="957"/>
      <c r="TTY104" s="957"/>
      <c r="TTZ104" s="957"/>
      <c r="TUA104" s="957"/>
      <c r="TUB104" s="957"/>
      <c r="TUC104" s="957"/>
      <c r="TUD104" s="957"/>
      <c r="TUE104" s="957"/>
      <c r="TUF104" s="957"/>
      <c r="TUG104" s="957"/>
      <c r="TUH104" s="957"/>
      <c r="TUI104" s="957"/>
      <c r="TUJ104" s="957"/>
      <c r="TUK104" s="957"/>
      <c r="TUL104" s="957"/>
      <c r="TUM104" s="957"/>
      <c r="TUN104" s="957"/>
      <c r="TUO104" s="957"/>
      <c r="TUP104" s="957"/>
      <c r="TUQ104" s="957"/>
      <c r="TUR104" s="957"/>
      <c r="TUS104" s="957"/>
      <c r="TUT104" s="957"/>
      <c r="TUU104" s="957"/>
      <c r="TUV104" s="957"/>
      <c r="TUW104" s="957"/>
      <c r="TUX104" s="957"/>
      <c r="TUY104" s="957"/>
      <c r="TUZ104" s="957"/>
      <c r="TVA104" s="957"/>
      <c r="TVB104" s="957"/>
      <c r="TVC104" s="957"/>
      <c r="TVD104" s="957"/>
      <c r="TVE104" s="957"/>
      <c r="TVF104" s="957"/>
      <c r="TVG104" s="957"/>
      <c r="TVH104" s="957"/>
      <c r="TVI104" s="957"/>
      <c r="TVJ104" s="957"/>
      <c r="TVK104" s="957"/>
      <c r="TVL104" s="957"/>
      <c r="TVM104" s="957"/>
      <c r="TVN104" s="957"/>
      <c r="TVO104" s="957"/>
      <c r="TVP104" s="957"/>
      <c r="TVQ104" s="957"/>
      <c r="TVR104" s="957"/>
      <c r="TVS104" s="957"/>
      <c r="TVT104" s="957"/>
      <c r="TVU104" s="957"/>
      <c r="TVV104" s="957"/>
      <c r="TVW104" s="957"/>
      <c r="TVX104" s="957"/>
      <c r="TVY104" s="957"/>
      <c r="TVZ104" s="957"/>
      <c r="TWA104" s="957"/>
      <c r="TWB104" s="957"/>
      <c r="TWC104" s="957"/>
      <c r="TWD104" s="957"/>
      <c r="TWE104" s="957"/>
      <c r="TWF104" s="957"/>
      <c r="TWG104" s="957"/>
      <c r="TWH104" s="957"/>
      <c r="TWI104" s="957"/>
      <c r="TWJ104" s="957"/>
      <c r="TWK104" s="957"/>
      <c r="TWL104" s="957"/>
      <c r="TWM104" s="957"/>
      <c r="TWN104" s="957"/>
      <c r="TWO104" s="957"/>
      <c r="TWP104" s="957"/>
      <c r="TWQ104" s="957"/>
      <c r="TWR104" s="957"/>
      <c r="TWS104" s="957"/>
      <c r="TWT104" s="957"/>
      <c r="TWU104" s="957"/>
      <c r="TWV104" s="957"/>
      <c r="TWW104" s="957"/>
      <c r="TWX104" s="957"/>
      <c r="TWY104" s="957"/>
      <c r="TWZ104" s="957"/>
      <c r="TXA104" s="957"/>
      <c r="TXB104" s="957"/>
      <c r="TXC104" s="957"/>
      <c r="TXD104" s="957"/>
      <c r="TXE104" s="957"/>
      <c r="TXF104" s="957"/>
      <c r="TXG104" s="957"/>
      <c r="TXH104" s="957"/>
      <c r="TXI104" s="957"/>
      <c r="TXJ104" s="957"/>
      <c r="TXK104" s="957"/>
      <c r="TXL104" s="957"/>
      <c r="TXM104" s="957"/>
      <c r="TXN104" s="957"/>
      <c r="TXO104" s="957"/>
      <c r="TXP104" s="957"/>
      <c r="TXQ104" s="957"/>
      <c r="TXR104" s="957"/>
      <c r="TXS104" s="957"/>
      <c r="TXT104" s="957"/>
      <c r="TXU104" s="957"/>
      <c r="TXV104" s="957"/>
      <c r="TXW104" s="957"/>
      <c r="TXX104" s="957"/>
      <c r="TXY104" s="957"/>
      <c r="TXZ104" s="957"/>
      <c r="TYA104" s="957"/>
      <c r="TYB104" s="957"/>
      <c r="TYC104" s="957"/>
      <c r="TYD104" s="957"/>
      <c r="TYE104" s="957"/>
      <c r="TYF104" s="957"/>
      <c r="TYG104" s="957"/>
      <c r="TYH104" s="957"/>
      <c r="TYI104" s="957"/>
      <c r="TYJ104" s="957"/>
      <c r="TYK104" s="957"/>
      <c r="TYL104" s="957"/>
      <c r="TYM104" s="957"/>
      <c r="TYN104" s="957"/>
      <c r="TYO104" s="957"/>
      <c r="TYP104" s="957"/>
      <c r="TYQ104" s="957"/>
      <c r="TYR104" s="957"/>
      <c r="TYS104" s="957"/>
      <c r="TYT104" s="957"/>
      <c r="TYU104" s="957"/>
      <c r="TYV104" s="957"/>
      <c r="TYW104" s="957"/>
      <c r="TYX104" s="957"/>
      <c r="TYY104" s="957"/>
      <c r="TYZ104" s="957"/>
      <c r="TZA104" s="957"/>
      <c r="TZB104" s="957"/>
      <c r="TZC104" s="957"/>
      <c r="TZD104" s="957"/>
      <c r="TZE104" s="957"/>
      <c r="TZF104" s="957"/>
      <c r="TZG104" s="957"/>
      <c r="TZH104" s="957"/>
      <c r="TZI104" s="957"/>
      <c r="TZJ104" s="957"/>
      <c r="TZK104" s="957"/>
      <c r="TZL104" s="957"/>
      <c r="TZM104" s="957"/>
      <c r="TZN104" s="957"/>
      <c r="TZO104" s="957"/>
      <c r="TZP104" s="957"/>
      <c r="TZQ104" s="957"/>
      <c r="TZR104" s="957"/>
      <c r="TZS104" s="957"/>
      <c r="TZT104" s="957"/>
      <c r="TZU104" s="957"/>
      <c r="TZV104" s="957"/>
      <c r="TZW104" s="957"/>
      <c r="TZX104" s="957"/>
      <c r="TZY104" s="957"/>
      <c r="TZZ104" s="957"/>
      <c r="UAA104" s="957"/>
      <c r="UAB104" s="957"/>
      <c r="UAC104" s="957"/>
      <c r="UAD104" s="957"/>
      <c r="UAE104" s="957"/>
      <c r="UAF104" s="957"/>
      <c r="UAG104" s="957"/>
      <c r="UAH104" s="957"/>
      <c r="UAI104" s="957"/>
      <c r="UAJ104" s="957"/>
      <c r="UAK104" s="957"/>
      <c r="UAL104" s="957"/>
      <c r="UAM104" s="957"/>
      <c r="UAN104" s="957"/>
      <c r="UAO104" s="957"/>
      <c r="UAP104" s="957"/>
      <c r="UAQ104" s="957"/>
      <c r="UAR104" s="957"/>
      <c r="UAS104" s="957"/>
      <c r="UAT104" s="957"/>
      <c r="UAU104" s="957"/>
      <c r="UAV104" s="957"/>
      <c r="UAW104" s="957"/>
      <c r="UAX104" s="957"/>
      <c r="UAY104" s="957"/>
      <c r="UAZ104" s="957"/>
      <c r="UBA104" s="957"/>
      <c r="UBB104" s="957"/>
      <c r="UBC104" s="957"/>
      <c r="UBD104" s="957"/>
      <c r="UBE104" s="957"/>
      <c r="UBF104" s="957"/>
      <c r="UBG104" s="957"/>
      <c r="UBH104" s="957"/>
      <c r="UBI104" s="957"/>
      <c r="UBJ104" s="957"/>
      <c r="UBK104" s="957"/>
      <c r="UBL104" s="957"/>
      <c r="UBM104" s="957"/>
      <c r="UBN104" s="957"/>
      <c r="UBO104" s="957"/>
      <c r="UBP104" s="957"/>
      <c r="UBQ104" s="957"/>
      <c r="UBR104" s="957"/>
      <c r="UBS104" s="957"/>
      <c r="UBT104" s="957"/>
      <c r="UBU104" s="957"/>
      <c r="UBV104" s="957"/>
      <c r="UBW104" s="957"/>
      <c r="UBX104" s="957"/>
      <c r="UBY104" s="957"/>
      <c r="UBZ104" s="957"/>
      <c r="UCA104" s="957"/>
      <c r="UCB104" s="957"/>
      <c r="UCC104" s="957"/>
      <c r="UCD104" s="957"/>
      <c r="UCE104" s="957"/>
      <c r="UCF104" s="957"/>
      <c r="UCG104" s="957"/>
      <c r="UCH104" s="957"/>
      <c r="UCI104" s="957"/>
      <c r="UCJ104" s="957"/>
      <c r="UCK104" s="957"/>
      <c r="UCL104" s="957"/>
      <c r="UCM104" s="957"/>
      <c r="UCN104" s="957"/>
      <c r="UCO104" s="957"/>
      <c r="UCP104" s="957"/>
      <c r="UCQ104" s="957"/>
      <c r="UCR104" s="957"/>
      <c r="UCS104" s="957"/>
      <c r="UCT104" s="957"/>
      <c r="UCU104" s="957"/>
      <c r="UCV104" s="957"/>
      <c r="UCW104" s="957"/>
      <c r="UCX104" s="957"/>
      <c r="UCY104" s="957"/>
      <c r="UCZ104" s="957"/>
      <c r="UDA104" s="957"/>
      <c r="UDB104" s="957"/>
      <c r="UDC104" s="957"/>
      <c r="UDD104" s="957"/>
      <c r="UDE104" s="957"/>
      <c r="UDF104" s="957"/>
      <c r="UDG104" s="957"/>
      <c r="UDH104" s="957"/>
      <c r="UDI104" s="957"/>
      <c r="UDJ104" s="957"/>
      <c r="UDK104" s="957"/>
      <c r="UDL104" s="957"/>
      <c r="UDM104" s="957"/>
      <c r="UDN104" s="957"/>
      <c r="UDO104" s="957"/>
      <c r="UDP104" s="957"/>
      <c r="UDQ104" s="957"/>
      <c r="UDR104" s="957"/>
      <c r="UDS104" s="957"/>
      <c r="UDT104" s="957"/>
      <c r="UDU104" s="957"/>
      <c r="UDV104" s="957"/>
      <c r="UDW104" s="957"/>
      <c r="UDX104" s="957"/>
      <c r="UDY104" s="957"/>
      <c r="UDZ104" s="957"/>
      <c r="UEA104" s="957"/>
      <c r="UEB104" s="957"/>
      <c r="UEC104" s="957"/>
      <c r="UED104" s="957"/>
      <c r="UEE104" s="957"/>
      <c r="UEF104" s="957"/>
      <c r="UEG104" s="957"/>
      <c r="UEH104" s="957"/>
      <c r="UEI104" s="957"/>
      <c r="UEJ104" s="957"/>
      <c r="UEK104" s="957"/>
      <c r="UEL104" s="957"/>
      <c r="UEM104" s="957"/>
      <c r="UEN104" s="957"/>
      <c r="UEO104" s="957"/>
      <c r="UEP104" s="957"/>
      <c r="UEQ104" s="957"/>
      <c r="UER104" s="957"/>
      <c r="UES104" s="957"/>
      <c r="UET104" s="957"/>
      <c r="UEU104" s="957"/>
      <c r="UEV104" s="957"/>
      <c r="UEW104" s="957"/>
      <c r="UEX104" s="957"/>
      <c r="UEY104" s="957"/>
      <c r="UEZ104" s="957"/>
      <c r="UFA104" s="957"/>
      <c r="UFB104" s="957"/>
      <c r="UFC104" s="957"/>
      <c r="UFD104" s="957"/>
      <c r="UFE104" s="957"/>
      <c r="UFF104" s="957"/>
      <c r="UFG104" s="957"/>
      <c r="UFH104" s="957"/>
      <c r="UFI104" s="957"/>
      <c r="UFJ104" s="957"/>
      <c r="UFK104" s="957"/>
      <c r="UFL104" s="957"/>
      <c r="UFM104" s="957"/>
      <c r="UFN104" s="957"/>
      <c r="UFO104" s="957"/>
      <c r="UFP104" s="957"/>
      <c r="UFQ104" s="957"/>
      <c r="UFR104" s="957"/>
      <c r="UFS104" s="957"/>
      <c r="UFT104" s="957"/>
      <c r="UFU104" s="957"/>
      <c r="UFV104" s="957"/>
      <c r="UFW104" s="957"/>
      <c r="UFX104" s="957"/>
      <c r="UFY104" s="957"/>
      <c r="UFZ104" s="957"/>
      <c r="UGA104" s="957"/>
      <c r="UGB104" s="957"/>
      <c r="UGC104" s="957"/>
      <c r="UGD104" s="957"/>
      <c r="UGE104" s="957"/>
      <c r="UGF104" s="957"/>
      <c r="UGG104" s="957"/>
      <c r="UGH104" s="957"/>
      <c r="UGI104" s="957"/>
      <c r="UGJ104" s="957"/>
      <c r="UGK104" s="957"/>
      <c r="UGL104" s="957"/>
      <c r="UGM104" s="957"/>
      <c r="UGN104" s="957"/>
      <c r="UGO104" s="957"/>
      <c r="UGP104" s="957"/>
      <c r="UGQ104" s="957"/>
      <c r="UGR104" s="957"/>
      <c r="UGS104" s="957"/>
      <c r="UGT104" s="957"/>
      <c r="UGU104" s="957"/>
      <c r="UGV104" s="957"/>
      <c r="UGW104" s="957"/>
      <c r="UGX104" s="957"/>
      <c r="UGY104" s="957"/>
      <c r="UGZ104" s="957"/>
      <c r="UHA104" s="957"/>
      <c r="UHB104" s="957"/>
      <c r="UHC104" s="957"/>
      <c r="UHD104" s="957"/>
      <c r="UHE104" s="957"/>
      <c r="UHF104" s="957"/>
      <c r="UHG104" s="957"/>
      <c r="UHH104" s="957"/>
      <c r="UHI104" s="957"/>
      <c r="UHJ104" s="957"/>
      <c r="UHK104" s="957"/>
      <c r="UHL104" s="957"/>
      <c r="UHM104" s="957"/>
      <c r="UHN104" s="957"/>
      <c r="UHO104" s="957"/>
      <c r="UHP104" s="957"/>
      <c r="UHQ104" s="957"/>
      <c r="UHR104" s="957"/>
      <c r="UHS104" s="957"/>
      <c r="UHT104" s="957"/>
      <c r="UHU104" s="957"/>
      <c r="UHV104" s="957"/>
      <c r="UHW104" s="957"/>
      <c r="UHX104" s="957"/>
      <c r="UHY104" s="957"/>
      <c r="UHZ104" s="957"/>
      <c r="UIA104" s="957"/>
      <c r="UIB104" s="957"/>
      <c r="UIC104" s="957"/>
      <c r="UID104" s="957"/>
      <c r="UIE104" s="957"/>
      <c r="UIF104" s="957"/>
      <c r="UIG104" s="957"/>
      <c r="UIH104" s="957"/>
      <c r="UII104" s="957"/>
      <c r="UIJ104" s="957"/>
      <c r="UIK104" s="957"/>
      <c r="UIL104" s="957"/>
      <c r="UIM104" s="957"/>
      <c r="UIN104" s="957"/>
      <c r="UIO104" s="957"/>
      <c r="UIP104" s="957"/>
      <c r="UIQ104" s="957"/>
      <c r="UIR104" s="957"/>
      <c r="UIS104" s="957"/>
      <c r="UIT104" s="957"/>
      <c r="UIU104" s="957"/>
      <c r="UIV104" s="957"/>
      <c r="UIW104" s="957"/>
      <c r="UIX104" s="957"/>
      <c r="UIY104" s="957"/>
      <c r="UIZ104" s="957"/>
      <c r="UJA104" s="957"/>
      <c r="UJB104" s="957"/>
      <c r="UJC104" s="957"/>
      <c r="UJD104" s="957"/>
      <c r="UJE104" s="957"/>
      <c r="UJF104" s="957"/>
      <c r="UJG104" s="957"/>
      <c r="UJH104" s="957"/>
      <c r="UJI104" s="957"/>
      <c r="UJJ104" s="957"/>
      <c r="UJK104" s="957"/>
      <c r="UJL104" s="957"/>
      <c r="UJM104" s="957"/>
      <c r="UJN104" s="957"/>
      <c r="UJO104" s="957"/>
      <c r="UJP104" s="957"/>
      <c r="UJQ104" s="957"/>
      <c r="UJR104" s="957"/>
      <c r="UJS104" s="957"/>
      <c r="UJT104" s="957"/>
      <c r="UJU104" s="957"/>
      <c r="UJV104" s="957"/>
      <c r="UJW104" s="957"/>
      <c r="UJX104" s="957"/>
      <c r="UJY104" s="957"/>
      <c r="UJZ104" s="957"/>
      <c r="UKA104" s="957"/>
      <c r="UKB104" s="957"/>
      <c r="UKC104" s="957"/>
      <c r="UKD104" s="957"/>
      <c r="UKE104" s="957"/>
      <c r="UKF104" s="957"/>
      <c r="UKG104" s="957"/>
      <c r="UKH104" s="957"/>
      <c r="UKI104" s="957"/>
      <c r="UKJ104" s="957"/>
      <c r="UKK104" s="957"/>
      <c r="UKL104" s="957"/>
      <c r="UKM104" s="957"/>
      <c r="UKN104" s="957"/>
      <c r="UKO104" s="957"/>
      <c r="UKP104" s="957"/>
      <c r="UKQ104" s="957"/>
      <c r="UKR104" s="957"/>
      <c r="UKS104" s="957"/>
      <c r="UKT104" s="957"/>
      <c r="UKU104" s="957"/>
      <c r="UKV104" s="957"/>
      <c r="UKW104" s="957"/>
      <c r="UKX104" s="957"/>
      <c r="UKY104" s="957"/>
      <c r="UKZ104" s="957"/>
      <c r="ULA104" s="957"/>
      <c r="ULB104" s="957"/>
      <c r="ULC104" s="957"/>
      <c r="ULD104" s="957"/>
      <c r="ULE104" s="957"/>
      <c r="ULF104" s="957"/>
      <c r="ULG104" s="957"/>
      <c r="ULH104" s="957"/>
      <c r="ULI104" s="957"/>
      <c r="ULJ104" s="957"/>
      <c r="ULK104" s="957"/>
      <c r="ULL104" s="957"/>
      <c r="ULM104" s="957"/>
      <c r="ULN104" s="957"/>
      <c r="ULO104" s="957"/>
      <c r="ULP104" s="957"/>
      <c r="ULQ104" s="957"/>
      <c r="ULR104" s="957"/>
      <c r="ULS104" s="957"/>
      <c r="ULT104" s="957"/>
      <c r="ULU104" s="957"/>
      <c r="ULV104" s="957"/>
      <c r="ULW104" s="957"/>
      <c r="ULX104" s="957"/>
      <c r="ULY104" s="957"/>
      <c r="ULZ104" s="957"/>
      <c r="UMA104" s="957"/>
      <c r="UMB104" s="957"/>
      <c r="UMC104" s="957"/>
      <c r="UMD104" s="957"/>
      <c r="UME104" s="957"/>
      <c r="UMF104" s="957"/>
      <c r="UMG104" s="957"/>
      <c r="UMH104" s="957"/>
      <c r="UMI104" s="957"/>
      <c r="UMJ104" s="957"/>
      <c r="UMK104" s="957"/>
      <c r="UML104" s="957"/>
      <c r="UMM104" s="957"/>
      <c r="UMN104" s="957"/>
      <c r="UMO104" s="957"/>
      <c r="UMP104" s="957"/>
      <c r="UMQ104" s="957"/>
      <c r="UMR104" s="957"/>
      <c r="UMS104" s="957"/>
      <c r="UMT104" s="957"/>
      <c r="UMU104" s="957"/>
      <c r="UMV104" s="957"/>
      <c r="UMW104" s="957"/>
      <c r="UMX104" s="957"/>
      <c r="UMY104" s="957"/>
      <c r="UMZ104" s="957"/>
      <c r="UNA104" s="957"/>
      <c r="UNB104" s="957"/>
      <c r="UNC104" s="957"/>
      <c r="UND104" s="957"/>
      <c r="UNE104" s="957"/>
      <c r="UNF104" s="957"/>
      <c r="UNG104" s="957"/>
      <c r="UNH104" s="957"/>
      <c r="UNI104" s="957"/>
      <c r="UNJ104" s="957"/>
      <c r="UNK104" s="957"/>
      <c r="UNL104" s="957"/>
      <c r="UNM104" s="957"/>
      <c r="UNN104" s="957"/>
      <c r="UNO104" s="957"/>
      <c r="UNP104" s="957"/>
      <c r="UNQ104" s="957"/>
      <c r="UNR104" s="957"/>
      <c r="UNS104" s="957"/>
      <c r="UNT104" s="957"/>
      <c r="UNU104" s="957"/>
      <c r="UNV104" s="957"/>
      <c r="UNW104" s="957"/>
      <c r="UNX104" s="957"/>
      <c r="UNY104" s="957"/>
      <c r="UNZ104" s="957"/>
      <c r="UOA104" s="957"/>
      <c r="UOB104" s="957"/>
      <c r="UOC104" s="957"/>
      <c r="UOD104" s="957"/>
      <c r="UOE104" s="957"/>
      <c r="UOF104" s="957"/>
      <c r="UOG104" s="957"/>
      <c r="UOH104" s="957"/>
      <c r="UOI104" s="957"/>
      <c r="UOJ104" s="957"/>
      <c r="UOK104" s="957"/>
      <c r="UOL104" s="957"/>
      <c r="UOM104" s="957"/>
      <c r="UON104" s="957"/>
      <c r="UOO104" s="957"/>
      <c r="UOP104" s="957"/>
      <c r="UOQ104" s="957"/>
      <c r="UOR104" s="957"/>
      <c r="UOS104" s="957"/>
      <c r="UOT104" s="957"/>
      <c r="UOU104" s="957"/>
      <c r="UOV104" s="957"/>
      <c r="UOW104" s="957"/>
      <c r="UOX104" s="957"/>
      <c r="UOY104" s="957"/>
      <c r="UOZ104" s="957"/>
      <c r="UPA104" s="957"/>
      <c r="UPB104" s="957"/>
      <c r="UPC104" s="957"/>
      <c r="UPD104" s="957"/>
      <c r="UPE104" s="957"/>
      <c r="UPF104" s="957"/>
      <c r="UPG104" s="957"/>
      <c r="UPH104" s="957"/>
      <c r="UPI104" s="957"/>
      <c r="UPJ104" s="957"/>
      <c r="UPK104" s="957"/>
      <c r="UPL104" s="957"/>
      <c r="UPM104" s="957"/>
      <c r="UPN104" s="957"/>
      <c r="UPO104" s="957"/>
      <c r="UPP104" s="957"/>
      <c r="UPQ104" s="957"/>
      <c r="UPR104" s="957"/>
      <c r="UPS104" s="957"/>
      <c r="UPT104" s="957"/>
      <c r="UPU104" s="957"/>
      <c r="UPV104" s="957"/>
      <c r="UPW104" s="957"/>
      <c r="UPX104" s="957"/>
      <c r="UPY104" s="957"/>
      <c r="UPZ104" s="957"/>
      <c r="UQA104" s="957"/>
      <c r="UQB104" s="957"/>
      <c r="UQC104" s="957"/>
      <c r="UQD104" s="957"/>
      <c r="UQE104" s="957"/>
      <c r="UQF104" s="957"/>
      <c r="UQG104" s="957"/>
      <c r="UQH104" s="957"/>
      <c r="UQI104" s="957"/>
      <c r="UQJ104" s="957"/>
      <c r="UQK104" s="957"/>
      <c r="UQL104" s="957"/>
      <c r="UQM104" s="957"/>
      <c r="UQN104" s="957"/>
      <c r="UQO104" s="957"/>
      <c r="UQP104" s="957"/>
      <c r="UQQ104" s="957"/>
      <c r="UQR104" s="957"/>
      <c r="UQS104" s="957"/>
      <c r="UQT104" s="957"/>
      <c r="UQU104" s="957"/>
      <c r="UQV104" s="957"/>
      <c r="UQW104" s="957"/>
      <c r="UQX104" s="957"/>
      <c r="UQY104" s="957"/>
      <c r="UQZ104" s="957"/>
      <c r="URA104" s="957"/>
      <c r="URB104" s="957"/>
      <c r="URC104" s="957"/>
      <c r="URD104" s="957"/>
      <c r="URE104" s="957"/>
      <c r="URF104" s="957"/>
      <c r="URG104" s="957"/>
      <c r="URH104" s="957"/>
      <c r="URI104" s="957"/>
      <c r="URJ104" s="957"/>
      <c r="URK104" s="957"/>
      <c r="URL104" s="957"/>
      <c r="URM104" s="957"/>
      <c r="URN104" s="957"/>
      <c r="URO104" s="957"/>
      <c r="URP104" s="957"/>
      <c r="URQ104" s="957"/>
      <c r="URR104" s="957"/>
      <c r="URS104" s="957"/>
      <c r="URT104" s="957"/>
      <c r="URU104" s="957"/>
      <c r="URV104" s="957"/>
      <c r="URW104" s="957"/>
      <c r="URX104" s="957"/>
      <c r="URY104" s="957"/>
      <c r="URZ104" s="957"/>
      <c r="USA104" s="957"/>
      <c r="USB104" s="957"/>
      <c r="USC104" s="957"/>
      <c r="USD104" s="957"/>
      <c r="USE104" s="957"/>
      <c r="USF104" s="957"/>
      <c r="USG104" s="957"/>
      <c r="USH104" s="957"/>
      <c r="USI104" s="957"/>
      <c r="USJ104" s="957"/>
      <c r="USK104" s="957"/>
      <c r="USL104" s="957"/>
      <c r="USM104" s="957"/>
      <c r="USN104" s="957"/>
      <c r="USO104" s="957"/>
      <c r="USP104" s="957"/>
      <c r="USQ104" s="957"/>
      <c r="USR104" s="957"/>
      <c r="USS104" s="957"/>
      <c r="UST104" s="957"/>
      <c r="USU104" s="957"/>
      <c r="USV104" s="957"/>
      <c r="USW104" s="957"/>
      <c r="USX104" s="957"/>
      <c r="USY104" s="957"/>
      <c r="USZ104" s="957"/>
      <c r="UTA104" s="957"/>
      <c r="UTB104" s="957"/>
      <c r="UTC104" s="957"/>
      <c r="UTD104" s="957"/>
      <c r="UTE104" s="957"/>
      <c r="UTF104" s="957"/>
      <c r="UTG104" s="957"/>
      <c r="UTH104" s="957"/>
      <c r="UTI104" s="957"/>
      <c r="UTJ104" s="957"/>
      <c r="UTK104" s="957"/>
      <c r="UTL104" s="957"/>
      <c r="UTM104" s="957"/>
      <c r="UTN104" s="957"/>
      <c r="UTO104" s="957"/>
      <c r="UTP104" s="957"/>
      <c r="UTQ104" s="957"/>
      <c r="UTR104" s="957"/>
      <c r="UTS104" s="957"/>
      <c r="UTT104" s="957"/>
      <c r="UTU104" s="957"/>
      <c r="UTV104" s="957"/>
      <c r="UTW104" s="957"/>
      <c r="UTX104" s="957"/>
      <c r="UTY104" s="957"/>
      <c r="UTZ104" s="957"/>
      <c r="UUA104" s="957"/>
      <c r="UUB104" s="957"/>
      <c r="UUC104" s="957"/>
      <c r="UUD104" s="957"/>
      <c r="UUE104" s="957"/>
      <c r="UUF104" s="957"/>
      <c r="UUG104" s="957"/>
      <c r="UUH104" s="957"/>
      <c r="UUI104" s="957"/>
      <c r="UUJ104" s="957"/>
      <c r="UUK104" s="957"/>
      <c r="UUL104" s="957"/>
      <c r="UUM104" s="957"/>
      <c r="UUN104" s="957"/>
      <c r="UUO104" s="957"/>
      <c r="UUP104" s="957"/>
      <c r="UUQ104" s="957"/>
      <c r="UUR104" s="957"/>
      <c r="UUS104" s="957"/>
      <c r="UUT104" s="957"/>
      <c r="UUU104" s="957"/>
      <c r="UUV104" s="957"/>
      <c r="UUW104" s="957"/>
      <c r="UUX104" s="957"/>
      <c r="UUY104" s="957"/>
      <c r="UUZ104" s="957"/>
      <c r="UVA104" s="957"/>
      <c r="UVB104" s="957"/>
      <c r="UVC104" s="957"/>
      <c r="UVD104" s="957"/>
      <c r="UVE104" s="957"/>
      <c r="UVF104" s="957"/>
      <c r="UVG104" s="957"/>
      <c r="UVH104" s="957"/>
      <c r="UVI104" s="957"/>
      <c r="UVJ104" s="957"/>
      <c r="UVK104" s="957"/>
      <c r="UVL104" s="957"/>
      <c r="UVM104" s="957"/>
      <c r="UVN104" s="957"/>
      <c r="UVO104" s="957"/>
      <c r="UVP104" s="957"/>
      <c r="UVQ104" s="957"/>
      <c r="UVR104" s="957"/>
      <c r="UVS104" s="957"/>
      <c r="UVT104" s="957"/>
      <c r="UVU104" s="957"/>
      <c r="UVV104" s="957"/>
      <c r="UVW104" s="957"/>
      <c r="UVX104" s="957"/>
      <c r="UVY104" s="957"/>
      <c r="UVZ104" s="957"/>
      <c r="UWA104" s="957"/>
      <c r="UWB104" s="957"/>
      <c r="UWC104" s="957"/>
      <c r="UWD104" s="957"/>
      <c r="UWE104" s="957"/>
      <c r="UWF104" s="957"/>
      <c r="UWG104" s="957"/>
      <c r="UWH104" s="957"/>
      <c r="UWI104" s="957"/>
      <c r="UWJ104" s="957"/>
      <c r="UWK104" s="957"/>
      <c r="UWL104" s="957"/>
      <c r="UWM104" s="957"/>
      <c r="UWN104" s="957"/>
      <c r="UWO104" s="957"/>
      <c r="UWP104" s="957"/>
      <c r="UWQ104" s="957"/>
      <c r="UWR104" s="957"/>
      <c r="UWS104" s="957"/>
      <c r="UWT104" s="957"/>
      <c r="UWU104" s="957"/>
      <c r="UWV104" s="957"/>
      <c r="UWW104" s="957"/>
      <c r="UWX104" s="957"/>
      <c r="UWY104" s="957"/>
      <c r="UWZ104" s="957"/>
      <c r="UXA104" s="957"/>
      <c r="UXB104" s="957"/>
      <c r="UXC104" s="957"/>
      <c r="UXD104" s="957"/>
      <c r="UXE104" s="957"/>
      <c r="UXF104" s="957"/>
      <c r="UXG104" s="957"/>
      <c r="UXH104" s="957"/>
      <c r="UXI104" s="957"/>
      <c r="UXJ104" s="957"/>
      <c r="UXK104" s="957"/>
      <c r="UXL104" s="957"/>
      <c r="UXM104" s="957"/>
      <c r="UXN104" s="957"/>
      <c r="UXO104" s="957"/>
      <c r="UXP104" s="957"/>
      <c r="UXQ104" s="957"/>
      <c r="UXR104" s="957"/>
      <c r="UXS104" s="957"/>
      <c r="UXT104" s="957"/>
      <c r="UXU104" s="957"/>
      <c r="UXV104" s="957"/>
      <c r="UXW104" s="957"/>
      <c r="UXX104" s="957"/>
      <c r="UXY104" s="957"/>
      <c r="UXZ104" s="957"/>
      <c r="UYA104" s="957"/>
      <c r="UYB104" s="957"/>
      <c r="UYC104" s="957"/>
      <c r="UYD104" s="957"/>
      <c r="UYE104" s="957"/>
      <c r="UYF104" s="957"/>
      <c r="UYG104" s="957"/>
      <c r="UYH104" s="957"/>
      <c r="UYI104" s="957"/>
      <c r="UYJ104" s="957"/>
      <c r="UYK104" s="957"/>
      <c r="UYL104" s="957"/>
      <c r="UYM104" s="957"/>
      <c r="UYN104" s="957"/>
      <c r="UYO104" s="957"/>
      <c r="UYP104" s="957"/>
      <c r="UYQ104" s="957"/>
      <c r="UYR104" s="957"/>
      <c r="UYS104" s="957"/>
      <c r="UYT104" s="957"/>
      <c r="UYU104" s="957"/>
      <c r="UYV104" s="957"/>
      <c r="UYW104" s="957"/>
      <c r="UYX104" s="957"/>
      <c r="UYY104" s="957"/>
      <c r="UYZ104" s="957"/>
      <c r="UZA104" s="957"/>
      <c r="UZB104" s="957"/>
      <c r="UZC104" s="957"/>
      <c r="UZD104" s="957"/>
      <c r="UZE104" s="957"/>
      <c r="UZF104" s="957"/>
      <c r="UZG104" s="957"/>
      <c r="UZH104" s="957"/>
      <c r="UZI104" s="957"/>
      <c r="UZJ104" s="957"/>
      <c r="UZK104" s="957"/>
      <c r="UZL104" s="957"/>
      <c r="UZM104" s="957"/>
      <c r="UZN104" s="957"/>
      <c r="UZO104" s="957"/>
      <c r="UZP104" s="957"/>
      <c r="UZQ104" s="957"/>
      <c r="UZR104" s="957"/>
      <c r="UZS104" s="957"/>
      <c r="UZT104" s="957"/>
      <c r="UZU104" s="957"/>
      <c r="UZV104" s="957"/>
      <c r="UZW104" s="957"/>
      <c r="UZX104" s="957"/>
      <c r="UZY104" s="957"/>
      <c r="UZZ104" s="957"/>
      <c r="VAA104" s="957"/>
      <c r="VAB104" s="957"/>
      <c r="VAC104" s="957"/>
      <c r="VAD104" s="957"/>
      <c r="VAE104" s="957"/>
      <c r="VAF104" s="957"/>
      <c r="VAG104" s="957"/>
      <c r="VAH104" s="957"/>
      <c r="VAI104" s="957"/>
      <c r="VAJ104" s="957"/>
      <c r="VAK104" s="957"/>
      <c r="VAL104" s="957"/>
      <c r="VAM104" s="957"/>
      <c r="VAN104" s="957"/>
      <c r="VAO104" s="957"/>
      <c r="VAP104" s="957"/>
      <c r="VAQ104" s="957"/>
      <c r="VAR104" s="957"/>
      <c r="VAS104" s="957"/>
      <c r="VAT104" s="957"/>
      <c r="VAU104" s="957"/>
      <c r="VAV104" s="957"/>
      <c r="VAW104" s="957"/>
      <c r="VAX104" s="957"/>
      <c r="VAY104" s="957"/>
      <c r="VAZ104" s="957"/>
      <c r="VBA104" s="957"/>
      <c r="VBB104" s="957"/>
      <c r="VBC104" s="957"/>
      <c r="VBD104" s="957"/>
      <c r="VBE104" s="957"/>
      <c r="VBF104" s="957"/>
      <c r="VBG104" s="957"/>
      <c r="VBH104" s="957"/>
      <c r="VBI104" s="957"/>
      <c r="VBJ104" s="957"/>
      <c r="VBK104" s="957"/>
      <c r="VBL104" s="957"/>
      <c r="VBM104" s="957"/>
      <c r="VBN104" s="957"/>
      <c r="VBO104" s="957"/>
      <c r="VBP104" s="957"/>
      <c r="VBQ104" s="957"/>
      <c r="VBR104" s="957"/>
      <c r="VBS104" s="957"/>
      <c r="VBT104" s="957"/>
      <c r="VBU104" s="957"/>
      <c r="VBV104" s="957"/>
      <c r="VBW104" s="957"/>
      <c r="VBX104" s="957"/>
      <c r="VBY104" s="957"/>
      <c r="VBZ104" s="957"/>
      <c r="VCA104" s="957"/>
      <c r="VCB104" s="957"/>
      <c r="VCC104" s="957"/>
      <c r="VCD104" s="957"/>
      <c r="VCE104" s="957"/>
      <c r="VCF104" s="957"/>
      <c r="VCG104" s="957"/>
      <c r="VCH104" s="957"/>
      <c r="VCI104" s="957"/>
      <c r="VCJ104" s="957"/>
      <c r="VCK104" s="957"/>
      <c r="VCL104" s="957"/>
      <c r="VCM104" s="957"/>
      <c r="VCN104" s="957"/>
      <c r="VCO104" s="957"/>
      <c r="VCP104" s="957"/>
      <c r="VCQ104" s="957"/>
      <c r="VCR104" s="957"/>
      <c r="VCS104" s="957"/>
      <c r="VCT104" s="957"/>
      <c r="VCU104" s="957"/>
      <c r="VCV104" s="957"/>
      <c r="VCW104" s="957"/>
      <c r="VCX104" s="957"/>
      <c r="VCY104" s="957"/>
      <c r="VCZ104" s="957"/>
      <c r="VDA104" s="957"/>
      <c r="VDB104" s="957"/>
      <c r="VDC104" s="957"/>
      <c r="VDD104" s="957"/>
      <c r="VDE104" s="957"/>
      <c r="VDF104" s="957"/>
      <c r="VDG104" s="957"/>
      <c r="VDH104" s="957"/>
      <c r="VDI104" s="957"/>
      <c r="VDJ104" s="957"/>
      <c r="VDK104" s="957"/>
      <c r="VDL104" s="957"/>
      <c r="VDM104" s="957"/>
      <c r="VDN104" s="957"/>
      <c r="VDO104" s="957"/>
      <c r="VDP104" s="957"/>
      <c r="VDQ104" s="957"/>
      <c r="VDR104" s="957"/>
      <c r="VDS104" s="957"/>
      <c r="VDT104" s="957"/>
      <c r="VDU104" s="957"/>
      <c r="VDV104" s="957"/>
      <c r="VDW104" s="957"/>
      <c r="VDX104" s="957"/>
      <c r="VDY104" s="957"/>
      <c r="VDZ104" s="957"/>
      <c r="VEA104" s="957"/>
      <c r="VEB104" s="957"/>
      <c r="VEC104" s="957"/>
      <c r="VED104" s="957"/>
      <c r="VEE104" s="957"/>
      <c r="VEF104" s="957"/>
      <c r="VEG104" s="957"/>
      <c r="VEH104" s="957"/>
      <c r="VEI104" s="957"/>
      <c r="VEJ104" s="957"/>
      <c r="VEK104" s="957"/>
      <c r="VEL104" s="957"/>
      <c r="VEM104" s="957"/>
      <c r="VEN104" s="957"/>
      <c r="VEO104" s="957"/>
      <c r="VEP104" s="957"/>
      <c r="VEQ104" s="957"/>
      <c r="VER104" s="957"/>
      <c r="VES104" s="957"/>
      <c r="VET104" s="957"/>
      <c r="VEU104" s="957"/>
      <c r="VEV104" s="957"/>
      <c r="VEW104" s="957"/>
      <c r="VEX104" s="957"/>
      <c r="VEY104" s="957"/>
      <c r="VEZ104" s="957"/>
      <c r="VFA104" s="957"/>
      <c r="VFB104" s="957"/>
      <c r="VFC104" s="957"/>
      <c r="VFD104" s="957"/>
      <c r="VFE104" s="957"/>
      <c r="VFF104" s="957"/>
      <c r="VFG104" s="957"/>
      <c r="VFH104" s="957"/>
      <c r="VFI104" s="957"/>
      <c r="VFJ104" s="957"/>
      <c r="VFK104" s="957"/>
      <c r="VFL104" s="957"/>
      <c r="VFM104" s="957"/>
      <c r="VFN104" s="957"/>
      <c r="VFO104" s="957"/>
      <c r="VFP104" s="957"/>
      <c r="VFQ104" s="957"/>
      <c r="VFR104" s="957"/>
      <c r="VFS104" s="957"/>
      <c r="VFT104" s="957"/>
      <c r="VFU104" s="957"/>
      <c r="VFV104" s="957"/>
      <c r="VFW104" s="957"/>
      <c r="VFX104" s="957"/>
      <c r="VFY104" s="957"/>
      <c r="VFZ104" s="957"/>
      <c r="VGA104" s="957"/>
      <c r="VGB104" s="957"/>
      <c r="VGC104" s="957"/>
      <c r="VGD104" s="957"/>
      <c r="VGE104" s="957"/>
      <c r="VGF104" s="957"/>
      <c r="VGG104" s="957"/>
      <c r="VGH104" s="957"/>
      <c r="VGI104" s="957"/>
      <c r="VGJ104" s="957"/>
      <c r="VGK104" s="957"/>
      <c r="VGL104" s="957"/>
      <c r="VGM104" s="957"/>
      <c r="VGN104" s="957"/>
      <c r="VGO104" s="957"/>
      <c r="VGP104" s="957"/>
      <c r="VGQ104" s="957"/>
      <c r="VGR104" s="957"/>
      <c r="VGS104" s="957"/>
      <c r="VGT104" s="957"/>
      <c r="VGU104" s="957"/>
      <c r="VGV104" s="957"/>
      <c r="VGW104" s="957"/>
      <c r="VGX104" s="957"/>
      <c r="VGY104" s="957"/>
      <c r="VGZ104" s="957"/>
      <c r="VHA104" s="957"/>
      <c r="VHB104" s="957"/>
      <c r="VHC104" s="957"/>
      <c r="VHD104" s="957"/>
      <c r="VHE104" s="957"/>
      <c r="VHF104" s="957"/>
      <c r="VHG104" s="957"/>
      <c r="VHH104" s="957"/>
      <c r="VHI104" s="957"/>
      <c r="VHJ104" s="957"/>
      <c r="VHK104" s="957"/>
      <c r="VHL104" s="957"/>
      <c r="VHM104" s="957"/>
      <c r="VHN104" s="957"/>
      <c r="VHO104" s="957"/>
      <c r="VHP104" s="957"/>
      <c r="VHQ104" s="957"/>
      <c r="VHR104" s="957"/>
      <c r="VHS104" s="957"/>
      <c r="VHT104" s="957"/>
      <c r="VHU104" s="957"/>
      <c r="VHV104" s="957"/>
      <c r="VHW104" s="957"/>
      <c r="VHX104" s="957"/>
      <c r="VHY104" s="957"/>
      <c r="VHZ104" s="957"/>
      <c r="VIA104" s="957"/>
      <c r="VIB104" s="957"/>
      <c r="VIC104" s="957"/>
      <c r="VID104" s="957"/>
      <c r="VIE104" s="957"/>
      <c r="VIF104" s="957"/>
      <c r="VIG104" s="957"/>
      <c r="VIH104" s="957"/>
      <c r="VII104" s="957"/>
      <c r="VIJ104" s="957"/>
      <c r="VIK104" s="957"/>
      <c r="VIL104" s="957"/>
      <c r="VIM104" s="957"/>
      <c r="VIN104" s="957"/>
      <c r="VIO104" s="957"/>
      <c r="VIP104" s="957"/>
      <c r="VIQ104" s="957"/>
      <c r="VIR104" s="957"/>
      <c r="VIS104" s="957"/>
      <c r="VIT104" s="957"/>
      <c r="VIU104" s="957"/>
      <c r="VIV104" s="957"/>
      <c r="VIW104" s="957"/>
      <c r="VIX104" s="957"/>
      <c r="VIY104" s="957"/>
      <c r="VIZ104" s="957"/>
      <c r="VJA104" s="957"/>
      <c r="VJB104" s="957"/>
      <c r="VJC104" s="957"/>
      <c r="VJD104" s="957"/>
      <c r="VJE104" s="957"/>
      <c r="VJF104" s="957"/>
      <c r="VJG104" s="957"/>
      <c r="VJH104" s="957"/>
      <c r="VJI104" s="957"/>
      <c r="VJJ104" s="957"/>
      <c r="VJK104" s="957"/>
      <c r="VJL104" s="957"/>
      <c r="VJM104" s="957"/>
      <c r="VJN104" s="957"/>
      <c r="VJO104" s="957"/>
      <c r="VJP104" s="957"/>
      <c r="VJQ104" s="957"/>
      <c r="VJR104" s="957"/>
      <c r="VJS104" s="957"/>
      <c r="VJT104" s="957"/>
      <c r="VJU104" s="957"/>
      <c r="VJV104" s="957"/>
      <c r="VJW104" s="957"/>
      <c r="VJX104" s="957"/>
      <c r="VJY104" s="957"/>
      <c r="VJZ104" s="957"/>
      <c r="VKA104" s="957"/>
      <c r="VKB104" s="957"/>
      <c r="VKC104" s="957"/>
      <c r="VKD104" s="957"/>
      <c r="VKE104" s="957"/>
      <c r="VKF104" s="957"/>
      <c r="VKG104" s="957"/>
      <c r="VKH104" s="957"/>
      <c r="VKI104" s="957"/>
      <c r="VKJ104" s="957"/>
      <c r="VKK104" s="957"/>
      <c r="VKL104" s="957"/>
      <c r="VKM104" s="957"/>
      <c r="VKN104" s="957"/>
      <c r="VKO104" s="957"/>
      <c r="VKP104" s="957"/>
      <c r="VKQ104" s="957"/>
      <c r="VKR104" s="957"/>
      <c r="VKS104" s="957"/>
      <c r="VKT104" s="957"/>
      <c r="VKU104" s="957"/>
      <c r="VKV104" s="957"/>
      <c r="VKW104" s="957"/>
      <c r="VKX104" s="957"/>
      <c r="VKY104" s="957"/>
      <c r="VKZ104" s="957"/>
      <c r="VLA104" s="957"/>
      <c r="VLB104" s="957"/>
      <c r="VLC104" s="957"/>
      <c r="VLD104" s="957"/>
      <c r="VLE104" s="957"/>
      <c r="VLF104" s="957"/>
      <c r="VLG104" s="957"/>
      <c r="VLH104" s="957"/>
      <c r="VLI104" s="957"/>
      <c r="VLJ104" s="957"/>
      <c r="VLK104" s="957"/>
      <c r="VLL104" s="957"/>
      <c r="VLM104" s="957"/>
      <c r="VLN104" s="957"/>
      <c r="VLO104" s="957"/>
      <c r="VLP104" s="957"/>
      <c r="VLQ104" s="957"/>
      <c r="VLR104" s="957"/>
      <c r="VLS104" s="957"/>
      <c r="VLT104" s="957"/>
      <c r="VLU104" s="957"/>
      <c r="VLV104" s="957"/>
      <c r="VLW104" s="957"/>
      <c r="VLX104" s="957"/>
      <c r="VLY104" s="957"/>
      <c r="VLZ104" s="957"/>
      <c r="VMA104" s="957"/>
      <c r="VMB104" s="957"/>
      <c r="VMC104" s="957"/>
      <c r="VMD104" s="957"/>
      <c r="VME104" s="957"/>
      <c r="VMF104" s="957"/>
      <c r="VMG104" s="957"/>
      <c r="VMH104" s="957"/>
      <c r="VMI104" s="957"/>
      <c r="VMJ104" s="957"/>
      <c r="VMK104" s="957"/>
      <c r="VML104" s="957"/>
      <c r="VMM104" s="957"/>
      <c r="VMN104" s="957"/>
      <c r="VMO104" s="957"/>
      <c r="VMP104" s="957"/>
      <c r="VMQ104" s="957"/>
      <c r="VMR104" s="957"/>
      <c r="VMS104" s="957"/>
      <c r="VMT104" s="957"/>
      <c r="VMU104" s="957"/>
      <c r="VMV104" s="957"/>
      <c r="VMW104" s="957"/>
      <c r="VMX104" s="957"/>
      <c r="VMY104" s="957"/>
      <c r="VMZ104" s="957"/>
      <c r="VNA104" s="957"/>
      <c r="VNB104" s="957"/>
      <c r="VNC104" s="957"/>
      <c r="VND104" s="957"/>
      <c r="VNE104" s="957"/>
      <c r="VNF104" s="957"/>
      <c r="VNG104" s="957"/>
      <c r="VNH104" s="957"/>
      <c r="VNI104" s="957"/>
      <c r="VNJ104" s="957"/>
      <c r="VNK104" s="957"/>
      <c r="VNL104" s="957"/>
      <c r="VNM104" s="957"/>
      <c r="VNN104" s="957"/>
      <c r="VNO104" s="957"/>
      <c r="VNP104" s="957"/>
      <c r="VNQ104" s="957"/>
      <c r="VNR104" s="957"/>
      <c r="VNS104" s="957"/>
      <c r="VNT104" s="957"/>
      <c r="VNU104" s="957"/>
      <c r="VNV104" s="957"/>
      <c r="VNW104" s="957"/>
      <c r="VNX104" s="957"/>
      <c r="VNY104" s="957"/>
      <c r="VNZ104" s="957"/>
      <c r="VOA104" s="957"/>
      <c r="VOB104" s="957"/>
      <c r="VOC104" s="957"/>
      <c r="VOD104" s="957"/>
      <c r="VOE104" s="957"/>
      <c r="VOF104" s="957"/>
      <c r="VOG104" s="957"/>
      <c r="VOH104" s="957"/>
      <c r="VOI104" s="957"/>
      <c r="VOJ104" s="957"/>
      <c r="VOK104" s="957"/>
      <c r="VOL104" s="957"/>
      <c r="VOM104" s="957"/>
      <c r="VON104" s="957"/>
      <c r="VOO104" s="957"/>
      <c r="VOP104" s="957"/>
      <c r="VOQ104" s="957"/>
      <c r="VOR104" s="957"/>
      <c r="VOS104" s="957"/>
      <c r="VOT104" s="957"/>
      <c r="VOU104" s="957"/>
      <c r="VOV104" s="957"/>
      <c r="VOW104" s="957"/>
      <c r="VOX104" s="957"/>
      <c r="VOY104" s="957"/>
      <c r="VOZ104" s="957"/>
      <c r="VPA104" s="957"/>
      <c r="VPB104" s="957"/>
      <c r="VPC104" s="957"/>
      <c r="VPD104" s="957"/>
      <c r="VPE104" s="957"/>
      <c r="VPF104" s="957"/>
      <c r="VPG104" s="957"/>
      <c r="VPH104" s="957"/>
      <c r="VPI104" s="957"/>
      <c r="VPJ104" s="957"/>
      <c r="VPK104" s="957"/>
      <c r="VPL104" s="957"/>
      <c r="VPM104" s="957"/>
      <c r="VPN104" s="957"/>
      <c r="VPO104" s="957"/>
      <c r="VPP104" s="957"/>
      <c r="VPQ104" s="957"/>
      <c r="VPR104" s="957"/>
      <c r="VPS104" s="957"/>
      <c r="VPT104" s="957"/>
      <c r="VPU104" s="957"/>
      <c r="VPV104" s="957"/>
      <c r="VPW104" s="957"/>
      <c r="VPX104" s="957"/>
      <c r="VPY104" s="957"/>
      <c r="VPZ104" s="957"/>
      <c r="VQA104" s="957"/>
      <c r="VQB104" s="957"/>
      <c r="VQC104" s="957"/>
      <c r="VQD104" s="957"/>
      <c r="VQE104" s="957"/>
      <c r="VQF104" s="957"/>
      <c r="VQG104" s="957"/>
      <c r="VQH104" s="957"/>
      <c r="VQI104" s="957"/>
      <c r="VQJ104" s="957"/>
      <c r="VQK104" s="957"/>
      <c r="VQL104" s="957"/>
      <c r="VQM104" s="957"/>
      <c r="VQN104" s="957"/>
      <c r="VQO104" s="957"/>
      <c r="VQP104" s="957"/>
      <c r="VQQ104" s="957"/>
      <c r="VQR104" s="957"/>
      <c r="VQS104" s="957"/>
      <c r="VQT104" s="957"/>
      <c r="VQU104" s="957"/>
      <c r="VQV104" s="957"/>
      <c r="VQW104" s="957"/>
      <c r="VQX104" s="957"/>
      <c r="VQY104" s="957"/>
      <c r="VQZ104" s="957"/>
      <c r="VRA104" s="957"/>
      <c r="VRB104" s="957"/>
      <c r="VRC104" s="957"/>
      <c r="VRD104" s="957"/>
      <c r="VRE104" s="957"/>
      <c r="VRF104" s="957"/>
      <c r="VRG104" s="957"/>
      <c r="VRH104" s="957"/>
      <c r="VRI104" s="957"/>
      <c r="VRJ104" s="957"/>
      <c r="VRK104" s="957"/>
      <c r="VRL104" s="957"/>
      <c r="VRM104" s="957"/>
      <c r="VRN104" s="957"/>
      <c r="VRO104" s="957"/>
      <c r="VRP104" s="957"/>
      <c r="VRQ104" s="957"/>
      <c r="VRR104" s="957"/>
      <c r="VRS104" s="957"/>
      <c r="VRT104" s="957"/>
      <c r="VRU104" s="957"/>
      <c r="VRV104" s="957"/>
      <c r="VRW104" s="957"/>
      <c r="VRX104" s="957"/>
      <c r="VRY104" s="957"/>
      <c r="VRZ104" s="957"/>
      <c r="VSA104" s="957"/>
      <c r="VSB104" s="957"/>
      <c r="VSC104" s="957"/>
      <c r="VSD104" s="957"/>
      <c r="VSE104" s="957"/>
      <c r="VSF104" s="957"/>
      <c r="VSG104" s="957"/>
      <c r="VSH104" s="957"/>
      <c r="VSI104" s="957"/>
      <c r="VSJ104" s="957"/>
      <c r="VSK104" s="957"/>
      <c r="VSL104" s="957"/>
      <c r="VSM104" s="957"/>
      <c r="VSN104" s="957"/>
      <c r="VSO104" s="957"/>
      <c r="VSP104" s="957"/>
      <c r="VSQ104" s="957"/>
      <c r="VSR104" s="957"/>
      <c r="VSS104" s="957"/>
      <c r="VST104" s="957"/>
      <c r="VSU104" s="957"/>
      <c r="VSV104" s="957"/>
      <c r="VSW104" s="957"/>
      <c r="VSX104" s="957"/>
      <c r="VSY104" s="957"/>
      <c r="VSZ104" s="957"/>
      <c r="VTA104" s="957"/>
      <c r="VTB104" s="957"/>
      <c r="VTC104" s="957"/>
      <c r="VTD104" s="957"/>
      <c r="VTE104" s="957"/>
      <c r="VTF104" s="957"/>
      <c r="VTG104" s="957"/>
      <c r="VTH104" s="957"/>
      <c r="VTI104" s="957"/>
      <c r="VTJ104" s="957"/>
      <c r="VTK104" s="957"/>
      <c r="VTL104" s="957"/>
      <c r="VTM104" s="957"/>
      <c r="VTN104" s="957"/>
      <c r="VTO104" s="957"/>
      <c r="VTP104" s="957"/>
      <c r="VTQ104" s="957"/>
      <c r="VTR104" s="957"/>
      <c r="VTS104" s="957"/>
      <c r="VTT104" s="957"/>
      <c r="VTU104" s="957"/>
      <c r="VTV104" s="957"/>
      <c r="VTW104" s="957"/>
      <c r="VTX104" s="957"/>
      <c r="VTY104" s="957"/>
      <c r="VTZ104" s="957"/>
      <c r="VUA104" s="957"/>
      <c r="VUB104" s="957"/>
      <c r="VUC104" s="957"/>
      <c r="VUD104" s="957"/>
      <c r="VUE104" s="957"/>
      <c r="VUF104" s="957"/>
      <c r="VUG104" s="957"/>
      <c r="VUH104" s="957"/>
      <c r="VUI104" s="957"/>
      <c r="VUJ104" s="957"/>
      <c r="VUK104" s="957"/>
      <c r="VUL104" s="957"/>
      <c r="VUM104" s="957"/>
      <c r="VUN104" s="957"/>
      <c r="VUO104" s="957"/>
      <c r="VUP104" s="957"/>
      <c r="VUQ104" s="957"/>
      <c r="VUR104" s="957"/>
      <c r="VUS104" s="957"/>
      <c r="VUT104" s="957"/>
      <c r="VUU104" s="957"/>
      <c r="VUV104" s="957"/>
      <c r="VUW104" s="957"/>
      <c r="VUX104" s="957"/>
      <c r="VUY104" s="957"/>
      <c r="VUZ104" s="957"/>
      <c r="VVA104" s="957"/>
      <c r="VVB104" s="957"/>
      <c r="VVC104" s="957"/>
      <c r="VVD104" s="957"/>
      <c r="VVE104" s="957"/>
      <c r="VVF104" s="957"/>
      <c r="VVG104" s="957"/>
      <c r="VVH104" s="957"/>
      <c r="VVI104" s="957"/>
      <c r="VVJ104" s="957"/>
      <c r="VVK104" s="957"/>
      <c r="VVL104" s="957"/>
      <c r="VVM104" s="957"/>
      <c r="VVN104" s="957"/>
      <c r="VVO104" s="957"/>
      <c r="VVP104" s="957"/>
      <c r="VVQ104" s="957"/>
      <c r="VVR104" s="957"/>
      <c r="VVS104" s="957"/>
      <c r="VVT104" s="957"/>
      <c r="VVU104" s="957"/>
      <c r="VVV104" s="957"/>
      <c r="VVW104" s="957"/>
      <c r="VVX104" s="957"/>
      <c r="VVY104" s="957"/>
      <c r="VVZ104" s="957"/>
      <c r="VWA104" s="957"/>
      <c r="VWB104" s="957"/>
      <c r="VWC104" s="957"/>
      <c r="VWD104" s="957"/>
      <c r="VWE104" s="957"/>
      <c r="VWF104" s="957"/>
      <c r="VWG104" s="957"/>
      <c r="VWH104" s="957"/>
      <c r="VWI104" s="957"/>
      <c r="VWJ104" s="957"/>
      <c r="VWK104" s="957"/>
      <c r="VWL104" s="957"/>
      <c r="VWM104" s="957"/>
      <c r="VWN104" s="957"/>
      <c r="VWO104" s="957"/>
      <c r="VWP104" s="957"/>
      <c r="VWQ104" s="957"/>
      <c r="VWR104" s="957"/>
      <c r="VWS104" s="957"/>
      <c r="VWT104" s="957"/>
      <c r="VWU104" s="957"/>
      <c r="VWV104" s="957"/>
      <c r="VWW104" s="957"/>
      <c r="VWX104" s="957"/>
      <c r="VWY104" s="957"/>
      <c r="VWZ104" s="957"/>
      <c r="VXA104" s="957"/>
      <c r="VXB104" s="957"/>
      <c r="VXC104" s="957"/>
      <c r="VXD104" s="957"/>
      <c r="VXE104" s="957"/>
      <c r="VXF104" s="957"/>
      <c r="VXG104" s="957"/>
      <c r="VXH104" s="957"/>
      <c r="VXI104" s="957"/>
      <c r="VXJ104" s="957"/>
      <c r="VXK104" s="957"/>
      <c r="VXL104" s="957"/>
      <c r="VXM104" s="957"/>
      <c r="VXN104" s="957"/>
      <c r="VXO104" s="957"/>
      <c r="VXP104" s="957"/>
      <c r="VXQ104" s="957"/>
      <c r="VXR104" s="957"/>
      <c r="VXS104" s="957"/>
      <c r="VXT104" s="957"/>
      <c r="VXU104" s="957"/>
      <c r="VXV104" s="957"/>
      <c r="VXW104" s="957"/>
      <c r="VXX104" s="957"/>
      <c r="VXY104" s="957"/>
      <c r="VXZ104" s="957"/>
      <c r="VYA104" s="957"/>
      <c r="VYB104" s="957"/>
      <c r="VYC104" s="957"/>
      <c r="VYD104" s="957"/>
      <c r="VYE104" s="957"/>
      <c r="VYF104" s="957"/>
      <c r="VYG104" s="957"/>
      <c r="VYH104" s="957"/>
      <c r="VYI104" s="957"/>
      <c r="VYJ104" s="957"/>
      <c r="VYK104" s="957"/>
      <c r="VYL104" s="957"/>
      <c r="VYM104" s="957"/>
      <c r="VYN104" s="957"/>
      <c r="VYO104" s="957"/>
      <c r="VYP104" s="957"/>
      <c r="VYQ104" s="957"/>
      <c r="VYR104" s="957"/>
      <c r="VYS104" s="957"/>
      <c r="VYT104" s="957"/>
      <c r="VYU104" s="957"/>
      <c r="VYV104" s="957"/>
      <c r="VYW104" s="957"/>
      <c r="VYX104" s="957"/>
      <c r="VYY104" s="957"/>
      <c r="VYZ104" s="957"/>
      <c r="VZA104" s="957"/>
      <c r="VZB104" s="957"/>
      <c r="VZC104" s="957"/>
      <c r="VZD104" s="957"/>
      <c r="VZE104" s="957"/>
      <c r="VZF104" s="957"/>
      <c r="VZG104" s="957"/>
      <c r="VZH104" s="957"/>
      <c r="VZI104" s="957"/>
      <c r="VZJ104" s="957"/>
      <c r="VZK104" s="957"/>
      <c r="VZL104" s="957"/>
      <c r="VZM104" s="957"/>
      <c r="VZN104" s="957"/>
      <c r="VZO104" s="957"/>
      <c r="VZP104" s="957"/>
      <c r="VZQ104" s="957"/>
      <c r="VZR104" s="957"/>
      <c r="VZS104" s="957"/>
      <c r="VZT104" s="957"/>
      <c r="VZU104" s="957"/>
      <c r="VZV104" s="957"/>
      <c r="VZW104" s="957"/>
      <c r="VZX104" s="957"/>
      <c r="VZY104" s="957"/>
      <c r="VZZ104" s="957"/>
      <c r="WAA104" s="957"/>
      <c r="WAB104" s="957"/>
      <c r="WAC104" s="957"/>
      <c r="WAD104" s="957"/>
      <c r="WAE104" s="957"/>
      <c r="WAF104" s="957"/>
      <c r="WAG104" s="957"/>
      <c r="WAH104" s="957"/>
      <c r="WAI104" s="957"/>
      <c r="WAJ104" s="957"/>
      <c r="WAK104" s="957"/>
      <c r="WAL104" s="957"/>
      <c r="WAM104" s="957"/>
      <c r="WAN104" s="957"/>
      <c r="WAO104" s="957"/>
      <c r="WAP104" s="957"/>
      <c r="WAQ104" s="957"/>
      <c r="WAR104" s="957"/>
      <c r="WAS104" s="957"/>
      <c r="WAT104" s="957"/>
      <c r="WAU104" s="957"/>
      <c r="WAV104" s="957"/>
      <c r="WAW104" s="957"/>
      <c r="WAX104" s="957"/>
      <c r="WAY104" s="957"/>
      <c r="WAZ104" s="957"/>
      <c r="WBA104" s="957"/>
      <c r="WBB104" s="957"/>
      <c r="WBC104" s="957"/>
      <c r="WBD104" s="957"/>
      <c r="WBE104" s="957"/>
      <c r="WBF104" s="957"/>
      <c r="WBG104" s="957"/>
      <c r="WBH104" s="957"/>
      <c r="WBI104" s="957"/>
      <c r="WBJ104" s="957"/>
      <c r="WBK104" s="957"/>
      <c r="WBL104" s="957"/>
      <c r="WBM104" s="957"/>
      <c r="WBN104" s="957"/>
      <c r="WBO104" s="957"/>
      <c r="WBP104" s="957"/>
      <c r="WBQ104" s="957"/>
      <c r="WBR104" s="957"/>
      <c r="WBS104" s="957"/>
      <c r="WBT104" s="957"/>
      <c r="WBU104" s="957"/>
      <c r="WBV104" s="957"/>
      <c r="WBW104" s="957"/>
      <c r="WBX104" s="957"/>
      <c r="WBY104" s="957"/>
      <c r="WBZ104" s="957"/>
      <c r="WCA104" s="957"/>
      <c r="WCB104" s="957"/>
      <c r="WCC104" s="957"/>
      <c r="WCD104" s="957"/>
      <c r="WCE104" s="957"/>
      <c r="WCF104" s="957"/>
      <c r="WCG104" s="957"/>
      <c r="WCH104" s="957"/>
      <c r="WCI104" s="957"/>
      <c r="WCJ104" s="957"/>
      <c r="WCK104" s="957"/>
      <c r="WCL104" s="957"/>
      <c r="WCM104" s="957"/>
      <c r="WCN104" s="957"/>
      <c r="WCO104" s="957"/>
      <c r="WCP104" s="957"/>
      <c r="WCQ104" s="957"/>
      <c r="WCR104" s="957"/>
      <c r="WCS104" s="957"/>
      <c r="WCT104" s="957"/>
      <c r="WCU104" s="957"/>
      <c r="WCV104" s="957"/>
      <c r="WCW104" s="957"/>
      <c r="WCX104" s="957"/>
      <c r="WCY104" s="957"/>
      <c r="WCZ104" s="957"/>
      <c r="WDA104" s="957"/>
      <c r="WDB104" s="957"/>
      <c r="WDC104" s="957"/>
      <c r="WDD104" s="957"/>
      <c r="WDE104" s="957"/>
      <c r="WDF104" s="957"/>
      <c r="WDG104" s="957"/>
      <c r="WDH104" s="957"/>
      <c r="WDI104" s="957"/>
      <c r="WDJ104" s="957"/>
      <c r="WDK104" s="957"/>
      <c r="WDL104" s="957"/>
      <c r="WDM104" s="957"/>
      <c r="WDN104" s="957"/>
      <c r="WDO104" s="957"/>
      <c r="WDP104" s="957"/>
      <c r="WDQ104" s="957"/>
      <c r="WDR104" s="957"/>
      <c r="WDS104" s="957"/>
      <c r="WDT104" s="957"/>
      <c r="WDU104" s="957"/>
      <c r="WDV104" s="957"/>
      <c r="WDW104" s="957"/>
      <c r="WDX104" s="957"/>
      <c r="WDY104" s="957"/>
      <c r="WDZ104" s="957"/>
      <c r="WEA104" s="957"/>
      <c r="WEB104" s="957"/>
      <c r="WEC104" s="957"/>
      <c r="WED104" s="957"/>
      <c r="WEE104" s="957"/>
      <c r="WEF104" s="957"/>
      <c r="WEG104" s="957"/>
      <c r="WEH104" s="957"/>
      <c r="WEI104" s="957"/>
      <c r="WEJ104" s="957"/>
      <c r="WEK104" s="957"/>
      <c r="WEL104" s="957"/>
      <c r="WEM104" s="957"/>
      <c r="WEN104" s="957"/>
      <c r="WEO104" s="957"/>
      <c r="WEP104" s="957"/>
      <c r="WEQ104" s="957"/>
      <c r="WER104" s="957"/>
      <c r="WES104" s="957"/>
      <c r="WET104" s="957"/>
      <c r="WEU104" s="957"/>
      <c r="WEV104" s="957"/>
      <c r="WEW104" s="957"/>
      <c r="WEX104" s="957"/>
      <c r="WEY104" s="957"/>
      <c r="WEZ104" s="957"/>
      <c r="WFA104" s="957"/>
      <c r="WFB104" s="957"/>
      <c r="WFC104" s="957"/>
      <c r="WFD104" s="957"/>
      <c r="WFE104" s="957"/>
      <c r="WFF104" s="957"/>
      <c r="WFG104" s="957"/>
      <c r="WFH104" s="957"/>
      <c r="WFI104" s="957"/>
      <c r="WFJ104" s="957"/>
      <c r="WFK104" s="957"/>
      <c r="WFL104" s="957"/>
      <c r="WFM104" s="957"/>
      <c r="WFN104" s="957"/>
      <c r="WFO104" s="957"/>
      <c r="WFP104" s="957"/>
      <c r="WFQ104" s="957"/>
      <c r="WFR104" s="957"/>
      <c r="WFS104" s="957"/>
      <c r="WFT104" s="957"/>
      <c r="WFU104" s="957"/>
      <c r="WFV104" s="957"/>
      <c r="WFW104" s="957"/>
      <c r="WFX104" s="957"/>
      <c r="WFY104" s="957"/>
      <c r="WFZ104" s="957"/>
      <c r="WGA104" s="957"/>
      <c r="WGB104" s="957"/>
      <c r="WGC104" s="957"/>
      <c r="WGD104" s="957"/>
      <c r="WGE104" s="957"/>
      <c r="WGF104" s="957"/>
      <c r="WGG104" s="957"/>
      <c r="WGH104" s="957"/>
      <c r="WGI104" s="957"/>
      <c r="WGJ104" s="957"/>
      <c r="WGK104" s="957"/>
      <c r="WGL104" s="957"/>
      <c r="WGM104" s="957"/>
      <c r="WGN104" s="957"/>
      <c r="WGO104" s="957"/>
      <c r="WGP104" s="957"/>
      <c r="WGQ104" s="957"/>
      <c r="WGR104" s="957"/>
      <c r="WGS104" s="957"/>
      <c r="WGT104" s="957"/>
      <c r="WGU104" s="957"/>
      <c r="WGV104" s="957"/>
      <c r="WGW104" s="957"/>
      <c r="WGX104" s="957"/>
      <c r="WGY104" s="957"/>
      <c r="WGZ104" s="957"/>
      <c r="WHA104" s="957"/>
      <c r="WHB104" s="957"/>
      <c r="WHC104" s="957"/>
      <c r="WHD104" s="957"/>
      <c r="WHE104" s="957"/>
      <c r="WHF104" s="957"/>
      <c r="WHG104" s="957"/>
      <c r="WHH104" s="957"/>
      <c r="WHI104" s="957"/>
      <c r="WHJ104" s="957"/>
      <c r="WHK104" s="957"/>
      <c r="WHL104" s="957"/>
      <c r="WHM104" s="957"/>
      <c r="WHN104" s="957"/>
      <c r="WHO104" s="957"/>
      <c r="WHP104" s="957"/>
      <c r="WHQ104" s="957"/>
      <c r="WHR104" s="957"/>
      <c r="WHS104" s="957"/>
      <c r="WHT104" s="957"/>
      <c r="WHU104" s="957"/>
      <c r="WHV104" s="957"/>
      <c r="WHW104" s="957"/>
      <c r="WHX104" s="957"/>
      <c r="WHY104" s="957"/>
      <c r="WHZ104" s="957"/>
      <c r="WIA104" s="957"/>
      <c r="WIB104" s="957"/>
      <c r="WIC104" s="957"/>
      <c r="WID104" s="957"/>
      <c r="WIE104" s="957"/>
      <c r="WIF104" s="957"/>
      <c r="WIG104" s="957"/>
      <c r="WIH104" s="957"/>
      <c r="WII104" s="957"/>
      <c r="WIJ104" s="957"/>
      <c r="WIK104" s="957"/>
      <c r="WIL104" s="957"/>
      <c r="WIM104" s="957"/>
      <c r="WIN104" s="957"/>
      <c r="WIO104" s="957"/>
      <c r="WIP104" s="957"/>
      <c r="WIQ104" s="957"/>
      <c r="WIR104" s="957"/>
      <c r="WIS104" s="957"/>
      <c r="WIT104" s="957"/>
      <c r="WIU104" s="957"/>
      <c r="WIV104" s="957"/>
      <c r="WIW104" s="957"/>
      <c r="WIX104" s="957"/>
      <c r="WIY104" s="957"/>
      <c r="WIZ104" s="957"/>
      <c r="WJA104" s="957"/>
      <c r="WJB104" s="957"/>
      <c r="WJC104" s="957"/>
      <c r="WJD104" s="957"/>
      <c r="WJE104" s="957"/>
      <c r="WJF104" s="957"/>
      <c r="WJG104" s="957"/>
      <c r="WJH104" s="957"/>
      <c r="WJI104" s="957"/>
      <c r="WJJ104" s="957"/>
      <c r="WJK104" s="957"/>
      <c r="WJL104" s="957"/>
      <c r="WJM104" s="957"/>
      <c r="WJN104" s="957"/>
      <c r="WJO104" s="957"/>
      <c r="WJP104" s="957"/>
      <c r="WJQ104" s="957"/>
      <c r="WJR104" s="957"/>
      <c r="WJS104" s="957"/>
      <c r="WJT104" s="957"/>
      <c r="WJU104" s="957"/>
      <c r="WJV104" s="957"/>
      <c r="WJW104" s="957"/>
      <c r="WJX104" s="957"/>
      <c r="WJY104" s="957"/>
      <c r="WJZ104" s="957"/>
      <c r="WKA104" s="957"/>
      <c r="WKB104" s="957"/>
      <c r="WKC104" s="957"/>
      <c r="WKD104" s="957"/>
      <c r="WKE104" s="957"/>
      <c r="WKF104" s="957"/>
      <c r="WKG104" s="957"/>
      <c r="WKH104" s="957"/>
      <c r="WKI104" s="957"/>
      <c r="WKJ104" s="957"/>
      <c r="WKK104" s="957"/>
      <c r="WKL104" s="957"/>
      <c r="WKM104" s="957"/>
      <c r="WKN104" s="957"/>
      <c r="WKO104" s="957"/>
      <c r="WKP104" s="957"/>
      <c r="WKQ104" s="957"/>
      <c r="WKR104" s="957"/>
      <c r="WKS104" s="957"/>
      <c r="WKT104" s="957"/>
      <c r="WKU104" s="957"/>
      <c r="WKV104" s="957"/>
      <c r="WKW104" s="957"/>
      <c r="WKX104" s="957"/>
      <c r="WKY104" s="957"/>
      <c r="WKZ104" s="957"/>
      <c r="WLA104" s="957"/>
      <c r="WLB104" s="957"/>
      <c r="WLC104" s="957"/>
      <c r="WLD104" s="957"/>
      <c r="WLE104" s="957"/>
      <c r="WLF104" s="957"/>
      <c r="WLG104" s="957"/>
      <c r="WLH104" s="957"/>
      <c r="WLI104" s="957"/>
      <c r="WLJ104" s="957"/>
      <c r="WLK104" s="957"/>
      <c r="WLL104" s="957"/>
      <c r="WLM104" s="957"/>
      <c r="WLN104" s="957"/>
      <c r="WLO104" s="957"/>
      <c r="WLP104" s="957"/>
      <c r="WLQ104" s="957"/>
      <c r="WLR104" s="957"/>
      <c r="WLS104" s="957"/>
      <c r="WLT104" s="957"/>
      <c r="WLU104" s="957"/>
      <c r="WLV104" s="957"/>
      <c r="WLW104" s="957"/>
      <c r="WLX104" s="957"/>
      <c r="WLY104" s="957"/>
      <c r="WLZ104" s="957"/>
      <c r="WMA104" s="957"/>
      <c r="WMB104" s="957"/>
      <c r="WMC104" s="957"/>
      <c r="WMD104" s="957"/>
      <c r="WME104" s="957"/>
      <c r="WMF104" s="957"/>
      <c r="WMG104" s="957"/>
      <c r="WMH104" s="957"/>
      <c r="WMI104" s="957"/>
      <c r="WMJ104" s="957"/>
      <c r="WMK104" s="957"/>
      <c r="WML104" s="957"/>
      <c r="WMM104" s="957"/>
      <c r="WMN104" s="957"/>
      <c r="WMO104" s="957"/>
      <c r="WMP104" s="957"/>
      <c r="WMQ104" s="957"/>
      <c r="WMR104" s="957"/>
      <c r="WMS104" s="957"/>
      <c r="WMT104" s="957"/>
      <c r="WMU104" s="957"/>
      <c r="WMV104" s="957"/>
      <c r="WMW104" s="957"/>
      <c r="WMX104" s="957"/>
      <c r="WMY104" s="957"/>
      <c r="WMZ104" s="957"/>
      <c r="WNA104" s="957"/>
      <c r="WNB104" s="957"/>
      <c r="WNC104" s="957"/>
      <c r="WND104" s="957"/>
      <c r="WNE104" s="957"/>
      <c r="WNF104" s="957"/>
      <c r="WNG104" s="957"/>
      <c r="WNH104" s="957"/>
      <c r="WNI104" s="957"/>
      <c r="WNJ104" s="957"/>
      <c r="WNK104" s="957"/>
      <c r="WNL104" s="957"/>
      <c r="WNM104" s="957"/>
      <c r="WNN104" s="957"/>
      <c r="WNO104" s="957"/>
      <c r="WNP104" s="957"/>
      <c r="WNQ104" s="957"/>
      <c r="WNR104" s="957"/>
      <c r="WNS104" s="957"/>
      <c r="WNT104" s="957"/>
      <c r="WNU104" s="957"/>
      <c r="WNV104" s="957"/>
      <c r="WNW104" s="957"/>
      <c r="WNX104" s="957"/>
      <c r="WNY104" s="957"/>
      <c r="WNZ104" s="957"/>
      <c r="WOA104" s="957"/>
      <c r="WOB104" s="957"/>
      <c r="WOC104" s="957"/>
      <c r="WOD104" s="957"/>
      <c r="WOE104" s="957"/>
      <c r="WOF104" s="957"/>
      <c r="WOG104" s="957"/>
      <c r="WOH104" s="957"/>
      <c r="WOI104" s="957"/>
      <c r="WOJ104" s="957"/>
      <c r="WOK104" s="957"/>
      <c r="WOL104" s="957"/>
      <c r="WOM104" s="957"/>
      <c r="WON104" s="957"/>
      <c r="WOO104" s="957"/>
      <c r="WOP104" s="957"/>
      <c r="WOQ104" s="957"/>
      <c r="WOR104" s="957"/>
      <c r="WOS104" s="957"/>
      <c r="WOT104" s="957"/>
      <c r="WOU104" s="957"/>
      <c r="WOV104" s="957"/>
      <c r="WOW104" s="957"/>
      <c r="WOX104" s="957"/>
      <c r="WOY104" s="957"/>
      <c r="WOZ104" s="957"/>
      <c r="WPA104" s="957"/>
      <c r="WPB104" s="957"/>
      <c r="WPC104" s="957"/>
      <c r="WPD104" s="957"/>
      <c r="WPE104" s="957"/>
      <c r="WPF104" s="957"/>
      <c r="WPG104" s="957"/>
      <c r="WPH104" s="957"/>
      <c r="WPI104" s="957"/>
      <c r="WPJ104" s="957"/>
      <c r="WPK104" s="957"/>
      <c r="WPL104" s="957"/>
      <c r="WPM104" s="957"/>
      <c r="WPN104" s="957"/>
      <c r="WPO104" s="957"/>
      <c r="WPP104" s="957"/>
      <c r="WPQ104" s="957"/>
      <c r="WPR104" s="957"/>
      <c r="WPS104" s="957"/>
      <c r="WPT104" s="957"/>
      <c r="WPU104" s="957"/>
      <c r="WPV104" s="957"/>
      <c r="WPW104" s="957"/>
      <c r="WPX104" s="957"/>
      <c r="WPY104" s="957"/>
      <c r="WPZ104" s="957"/>
      <c r="WQA104" s="957"/>
      <c r="WQB104" s="957"/>
      <c r="WQC104" s="957"/>
      <c r="WQD104" s="957"/>
      <c r="WQE104" s="957"/>
      <c r="WQF104" s="957"/>
      <c r="WQG104" s="957"/>
      <c r="WQH104" s="957"/>
      <c r="WQI104" s="957"/>
      <c r="WQJ104" s="957"/>
      <c r="WQK104" s="957"/>
      <c r="WQL104" s="957"/>
      <c r="WQM104" s="957"/>
      <c r="WQN104" s="957"/>
      <c r="WQO104" s="957"/>
      <c r="WQP104" s="957"/>
      <c r="WQQ104" s="957"/>
      <c r="WQR104" s="957"/>
      <c r="WQS104" s="957"/>
      <c r="WQT104" s="957"/>
      <c r="WQU104" s="957"/>
      <c r="WQV104" s="957"/>
      <c r="WQW104" s="957"/>
      <c r="WQX104" s="957"/>
      <c r="WQY104" s="957"/>
      <c r="WQZ104" s="957"/>
      <c r="WRA104" s="957"/>
      <c r="WRB104" s="957"/>
      <c r="WRC104" s="957"/>
      <c r="WRD104" s="957"/>
      <c r="WRE104" s="957"/>
      <c r="WRF104" s="957"/>
      <c r="WRG104" s="957"/>
      <c r="WRH104" s="957"/>
      <c r="WRI104" s="957"/>
      <c r="WRJ104" s="957"/>
      <c r="WRK104" s="957"/>
      <c r="WRL104" s="957"/>
      <c r="WRM104" s="957"/>
      <c r="WRN104" s="957"/>
      <c r="WRO104" s="957"/>
      <c r="WRP104" s="957"/>
      <c r="WRQ104" s="957"/>
      <c r="WRR104" s="957"/>
      <c r="WRS104" s="957"/>
      <c r="WRT104" s="957"/>
      <c r="WRU104" s="957"/>
      <c r="WRV104" s="957"/>
      <c r="WRW104" s="957"/>
      <c r="WRX104" s="957"/>
      <c r="WRY104" s="957"/>
      <c r="WRZ104" s="957"/>
      <c r="WSA104" s="957"/>
      <c r="WSB104" s="957"/>
      <c r="WSC104" s="957"/>
      <c r="WSD104" s="957"/>
      <c r="WSE104" s="957"/>
      <c r="WSF104" s="957"/>
      <c r="WSG104" s="957"/>
      <c r="WSH104" s="957"/>
      <c r="WSI104" s="957"/>
      <c r="WSJ104" s="957"/>
      <c r="WSK104" s="957"/>
      <c r="WSL104" s="957"/>
      <c r="WSM104" s="957"/>
      <c r="WSN104" s="957"/>
      <c r="WSO104" s="957"/>
      <c r="WSP104" s="957"/>
      <c r="WSQ104" s="957"/>
      <c r="WSR104" s="957"/>
      <c r="WSS104" s="957"/>
      <c r="WST104" s="957"/>
      <c r="WSU104" s="957"/>
      <c r="WSV104" s="957"/>
      <c r="WSW104" s="957"/>
      <c r="WSX104" s="957"/>
      <c r="WSY104" s="957"/>
      <c r="WSZ104" s="957"/>
      <c r="WTA104" s="957"/>
      <c r="WTB104" s="957"/>
      <c r="WTC104" s="957"/>
      <c r="WTD104" s="957"/>
      <c r="WTE104" s="957"/>
      <c r="WTF104" s="957"/>
      <c r="WTG104" s="957"/>
      <c r="WTH104" s="957"/>
      <c r="WTI104" s="957"/>
      <c r="WTJ104" s="957"/>
      <c r="WTK104" s="957"/>
      <c r="WTL104" s="957"/>
      <c r="WTM104" s="957"/>
      <c r="WTN104" s="957"/>
      <c r="WTO104" s="957"/>
      <c r="WTP104" s="957"/>
      <c r="WTQ104" s="957"/>
      <c r="WTR104" s="957"/>
      <c r="WTS104" s="957"/>
      <c r="WTT104" s="957"/>
      <c r="WTU104" s="957"/>
      <c r="WTV104" s="957"/>
      <c r="WTW104" s="957"/>
      <c r="WTX104" s="957"/>
      <c r="WTY104" s="957"/>
      <c r="WTZ104" s="957"/>
      <c r="WUA104" s="957"/>
      <c r="WUB104" s="957"/>
      <c r="WUC104" s="957"/>
      <c r="WUD104" s="957"/>
      <c r="WUE104" s="957"/>
      <c r="WUF104" s="957"/>
      <c r="WUG104" s="957"/>
      <c r="WUH104" s="957"/>
      <c r="WUI104" s="957"/>
      <c r="WUJ104" s="957"/>
      <c r="WUK104" s="957"/>
      <c r="WUL104" s="957"/>
      <c r="WUM104" s="957"/>
      <c r="WUN104" s="957"/>
      <c r="WUO104" s="957"/>
      <c r="WUP104" s="957"/>
      <c r="WUQ104" s="957"/>
      <c r="WUR104" s="957"/>
      <c r="WUS104" s="957"/>
      <c r="WUT104" s="957"/>
      <c r="WUU104" s="957"/>
      <c r="WUV104" s="957"/>
      <c r="WUW104" s="957"/>
      <c r="WUX104" s="957"/>
      <c r="WUY104" s="957"/>
      <c r="WUZ104" s="957"/>
      <c r="WVA104" s="957"/>
      <c r="WVB104" s="957"/>
      <c r="WVC104" s="957"/>
      <c r="WVD104" s="957"/>
      <c r="WVE104" s="957"/>
      <c r="WVF104" s="957"/>
      <c r="WVG104" s="957"/>
      <c r="WVH104" s="957"/>
      <c r="WVI104" s="957"/>
      <c r="WVJ104" s="957"/>
      <c r="WVK104" s="957"/>
      <c r="WVL104" s="957"/>
      <c r="WVM104" s="957"/>
      <c r="WVN104" s="957"/>
      <c r="WVO104" s="957"/>
      <c r="WVP104" s="957"/>
      <c r="WVQ104" s="957"/>
      <c r="WVR104" s="957"/>
      <c r="WVS104" s="957"/>
      <c r="WVT104" s="957"/>
      <c r="WVU104" s="957"/>
      <c r="WVV104" s="957"/>
      <c r="WVW104" s="957"/>
      <c r="WVX104" s="957"/>
      <c r="WVY104" s="957"/>
      <c r="WVZ104" s="957"/>
      <c r="WWA104" s="957"/>
      <c r="WWB104" s="957"/>
      <c r="WWC104" s="957"/>
      <c r="WWD104" s="957"/>
      <c r="WWE104" s="957"/>
      <c r="WWF104" s="957"/>
      <c r="WWG104" s="957"/>
      <c r="WWH104" s="957"/>
      <c r="WWI104" s="957"/>
      <c r="WWJ104" s="957"/>
      <c r="WWK104" s="957"/>
      <c r="WWL104" s="957"/>
      <c r="WWM104" s="957"/>
      <c r="WWN104" s="957"/>
      <c r="WWO104" s="957"/>
      <c r="WWP104" s="957"/>
      <c r="WWQ104" s="957"/>
      <c r="WWR104" s="957"/>
      <c r="WWS104" s="957"/>
      <c r="WWT104" s="957"/>
      <c r="WWU104" s="957"/>
      <c r="WWV104" s="957"/>
      <c r="WWW104" s="957"/>
      <c r="WWX104" s="957"/>
      <c r="WWY104" s="957"/>
      <c r="WWZ104" s="957"/>
      <c r="WXA104" s="957"/>
      <c r="WXB104" s="957"/>
      <c r="WXC104" s="957"/>
      <c r="WXD104" s="957"/>
      <c r="WXE104" s="957"/>
      <c r="WXF104" s="957"/>
      <c r="WXG104" s="957"/>
      <c r="WXH104" s="957"/>
      <c r="WXI104" s="957"/>
      <c r="WXJ104" s="957"/>
      <c r="WXK104" s="957"/>
      <c r="WXL104" s="957"/>
      <c r="WXM104" s="957"/>
      <c r="WXN104" s="957"/>
      <c r="WXO104" s="957"/>
      <c r="WXP104" s="957"/>
      <c r="WXQ104" s="957"/>
      <c r="WXR104" s="957"/>
      <c r="WXS104" s="957"/>
      <c r="WXT104" s="957"/>
      <c r="WXU104" s="957"/>
      <c r="WXV104" s="957"/>
      <c r="WXW104" s="957"/>
      <c r="WXX104" s="957"/>
      <c r="WXY104" s="957"/>
      <c r="WXZ104" s="957"/>
      <c r="WYA104" s="957"/>
      <c r="WYB104" s="957"/>
      <c r="WYC104" s="957"/>
      <c r="WYD104" s="957"/>
      <c r="WYE104" s="957"/>
      <c r="WYF104" s="957"/>
      <c r="WYG104" s="957"/>
      <c r="WYH104" s="957"/>
      <c r="WYI104" s="957"/>
      <c r="WYJ104" s="957"/>
      <c r="WYK104" s="957"/>
      <c r="WYL104" s="957"/>
      <c r="WYM104" s="957"/>
      <c r="WYN104" s="957"/>
      <c r="WYO104" s="957"/>
      <c r="WYP104" s="957"/>
      <c r="WYQ104" s="957"/>
      <c r="WYR104" s="957"/>
      <c r="WYS104" s="957"/>
      <c r="WYT104" s="957"/>
      <c r="WYU104" s="957"/>
      <c r="WYV104" s="957"/>
      <c r="WYW104" s="957"/>
      <c r="WYX104" s="957"/>
      <c r="WYY104" s="957"/>
      <c r="WYZ104" s="957"/>
      <c r="WZA104" s="957"/>
      <c r="WZB104" s="957"/>
      <c r="WZC104" s="957"/>
      <c r="WZD104" s="957"/>
      <c r="WZE104" s="957"/>
      <c r="WZF104" s="957"/>
      <c r="WZG104" s="957"/>
      <c r="WZH104" s="957"/>
      <c r="WZI104" s="957"/>
      <c r="WZJ104" s="957"/>
      <c r="WZK104" s="957"/>
      <c r="WZL104" s="957"/>
      <c r="WZM104" s="957"/>
      <c r="WZN104" s="957"/>
      <c r="WZO104" s="957"/>
      <c r="WZP104" s="957"/>
      <c r="WZQ104" s="957"/>
      <c r="WZR104" s="957"/>
      <c r="WZS104" s="957"/>
      <c r="WZT104" s="957"/>
      <c r="WZU104" s="957"/>
      <c r="WZV104" s="957"/>
      <c r="WZW104" s="957"/>
      <c r="WZX104" s="957"/>
      <c r="WZY104" s="957"/>
      <c r="WZZ104" s="957"/>
      <c r="XAA104" s="957"/>
      <c r="XAB104" s="957"/>
      <c r="XAC104" s="957"/>
      <c r="XAD104" s="957"/>
      <c r="XAE104" s="957"/>
      <c r="XAF104" s="957"/>
      <c r="XAG104" s="957"/>
      <c r="XAH104" s="957"/>
      <c r="XAI104" s="957"/>
      <c r="XAJ104" s="957"/>
      <c r="XAK104" s="957"/>
      <c r="XAL104" s="957"/>
      <c r="XAM104" s="957"/>
      <c r="XAN104" s="957"/>
      <c r="XAO104" s="957"/>
      <c r="XAP104" s="957"/>
      <c r="XAQ104" s="957"/>
      <c r="XAR104" s="957"/>
      <c r="XAS104" s="957"/>
      <c r="XAT104" s="957"/>
      <c r="XAU104" s="957"/>
      <c r="XAV104" s="957"/>
      <c r="XAW104" s="957"/>
      <c r="XAX104" s="957"/>
      <c r="XAY104" s="957"/>
      <c r="XAZ104" s="957"/>
      <c r="XBA104" s="957"/>
      <c r="XBB104" s="957"/>
      <c r="XBC104" s="957"/>
      <c r="XBD104" s="957"/>
      <c r="XBE104" s="957"/>
      <c r="XBF104" s="957"/>
      <c r="XBG104" s="957"/>
      <c r="XBH104" s="957"/>
      <c r="XBI104" s="957"/>
      <c r="XBJ104" s="957"/>
      <c r="XBK104" s="957"/>
      <c r="XBL104" s="957"/>
      <c r="XBM104" s="957"/>
      <c r="XBN104" s="957"/>
      <c r="XBO104" s="957"/>
      <c r="XBP104" s="957"/>
      <c r="XBQ104" s="957"/>
      <c r="XBR104" s="957"/>
      <c r="XBS104" s="957"/>
      <c r="XBT104" s="957"/>
      <c r="XBU104" s="957"/>
      <c r="XBV104" s="957"/>
      <c r="XBW104" s="957"/>
      <c r="XBX104" s="957"/>
      <c r="XBY104" s="957"/>
      <c r="XBZ104" s="957"/>
      <c r="XCA104" s="957"/>
      <c r="XCB104" s="957"/>
      <c r="XCC104" s="957"/>
      <c r="XCD104" s="957"/>
      <c r="XCE104" s="957"/>
      <c r="XCF104" s="957"/>
      <c r="XCG104" s="957"/>
      <c r="XCH104" s="957"/>
      <c r="XCI104" s="957"/>
      <c r="XCJ104" s="957"/>
      <c r="XCK104" s="957"/>
      <c r="XCL104" s="957"/>
      <c r="XCM104" s="957"/>
      <c r="XCN104" s="957"/>
      <c r="XCO104" s="957"/>
      <c r="XCP104" s="957"/>
      <c r="XCQ104" s="957"/>
      <c r="XCR104" s="957"/>
      <c r="XCS104" s="957"/>
      <c r="XCT104" s="957"/>
      <c r="XCU104" s="957"/>
      <c r="XCV104" s="957"/>
      <c r="XCW104" s="957"/>
      <c r="XCX104" s="957"/>
      <c r="XCY104" s="957"/>
      <c r="XCZ104" s="957"/>
      <c r="XDA104" s="957"/>
      <c r="XDB104" s="957"/>
      <c r="XDC104" s="957"/>
      <c r="XDD104" s="957"/>
      <c r="XDE104" s="957"/>
      <c r="XDF104" s="957"/>
      <c r="XDG104" s="957"/>
      <c r="XDH104" s="957"/>
      <c r="XDI104" s="957"/>
      <c r="XDJ104" s="957"/>
      <c r="XDK104" s="957"/>
      <c r="XDL104" s="957"/>
      <c r="XDM104" s="957"/>
      <c r="XDN104" s="957"/>
      <c r="XDO104" s="957"/>
      <c r="XDP104" s="957"/>
      <c r="XDQ104" s="957"/>
      <c r="XDR104" s="957"/>
      <c r="XDS104" s="957"/>
      <c r="XDT104" s="957"/>
      <c r="XDU104" s="957"/>
      <c r="XDV104" s="957"/>
      <c r="XDW104" s="957"/>
      <c r="XDX104" s="957"/>
      <c r="XDY104" s="957"/>
      <c r="XDZ104" s="957"/>
      <c r="XEA104" s="957"/>
      <c r="XEB104" s="957"/>
      <c r="XEC104" s="957"/>
      <c r="XED104" s="957"/>
      <c r="XEE104" s="957"/>
      <c r="XEF104" s="957"/>
      <c r="XEG104" s="957"/>
      <c r="XEH104" s="957"/>
      <c r="XEI104" s="957"/>
      <c r="XEJ104" s="957"/>
      <c r="XEK104" s="957"/>
      <c r="XEL104" s="957"/>
      <c r="XEM104" s="957"/>
      <c r="XEN104" s="957"/>
      <c r="XEO104" s="957"/>
      <c r="XEP104" s="957"/>
      <c r="XEQ104" s="957"/>
      <c r="XER104" s="957"/>
      <c r="XES104" s="957"/>
      <c r="XET104" s="957"/>
      <c r="XEU104" s="957"/>
      <c r="XEV104" s="957"/>
      <c r="XEW104" s="957"/>
      <c r="XEX104" s="957"/>
      <c r="XEY104" s="957"/>
      <c r="XEZ104" s="957"/>
      <c r="XFA104" s="957"/>
      <c r="XFB104" s="957"/>
      <c r="XFC104" s="957"/>
      <c r="XFD104" s="957"/>
    </row>
    <row r="105" spans="1:16384" x14ac:dyDescent="0.25">
      <c r="E105" s="959" t="s">
        <v>508</v>
      </c>
      <c r="H105" s="962"/>
      <c r="I105" s="962"/>
      <c r="J105" s="962">
        <v>0</v>
      </c>
      <c r="K105" s="962">
        <v>0</v>
      </c>
      <c r="L105" s="962">
        <v>0</v>
      </c>
      <c r="M105" s="962">
        <v>0</v>
      </c>
      <c r="N105" s="962">
        <v>0</v>
      </c>
      <c r="O105" s="962">
        <v>0</v>
      </c>
      <c r="P105" s="962">
        <v>0</v>
      </c>
      <c r="Q105" s="962">
        <v>0</v>
      </c>
      <c r="R105" s="962">
        <v>0</v>
      </c>
      <c r="S105" s="962">
        <v>0</v>
      </c>
      <c r="T105" s="962">
        <v>0</v>
      </c>
      <c r="U105" s="962">
        <v>10250000</v>
      </c>
      <c r="V105" s="962">
        <v>10250000</v>
      </c>
      <c r="W105" s="962">
        <v>10250000</v>
      </c>
      <c r="X105" s="962">
        <v>10250000</v>
      </c>
      <c r="Y105" s="962">
        <v>10250000</v>
      </c>
      <c r="Z105" s="962">
        <v>10250000</v>
      </c>
      <c r="AA105" s="962">
        <v>10250000</v>
      </c>
      <c r="AB105" s="962">
        <v>10250000</v>
      </c>
      <c r="AC105" s="887">
        <v>10250000</v>
      </c>
      <c r="AD105" s="887">
        <v>10250000</v>
      </c>
      <c r="AE105" s="887">
        <v>10250000</v>
      </c>
      <c r="AF105" s="887">
        <v>10250000</v>
      </c>
      <c r="AG105" s="887">
        <v>10250000</v>
      </c>
      <c r="AH105" s="887">
        <v>10250000</v>
      </c>
      <c r="AI105" s="887">
        <v>10250000</v>
      </c>
      <c r="AJ105" s="887">
        <v>10250000</v>
      </c>
    </row>
    <row r="106" spans="1:16384" x14ac:dyDescent="0.25">
      <c r="E106" s="959" t="s">
        <v>509</v>
      </c>
      <c r="H106" s="962"/>
      <c r="I106" s="962"/>
      <c r="J106" s="962">
        <v>0</v>
      </c>
      <c r="K106" s="962">
        <v>0</v>
      </c>
      <c r="L106" s="962">
        <v>0</v>
      </c>
      <c r="M106" s="962">
        <v>0</v>
      </c>
      <c r="N106" s="962">
        <v>0</v>
      </c>
      <c r="O106" s="962">
        <v>0</v>
      </c>
      <c r="P106" s="962">
        <v>0</v>
      </c>
      <c r="Q106" s="962">
        <v>0</v>
      </c>
      <c r="R106" s="962">
        <v>0</v>
      </c>
      <c r="S106" s="962">
        <v>0</v>
      </c>
      <c r="T106" s="962">
        <v>0</v>
      </c>
      <c r="U106" s="962">
        <v>2480000</v>
      </c>
      <c r="V106" s="962">
        <v>2419550.0099999998</v>
      </c>
      <c r="W106" s="962">
        <v>2359283</v>
      </c>
      <c r="X106" s="962">
        <v>2299198.98</v>
      </c>
      <c r="Y106" s="962">
        <v>2221666.66</v>
      </c>
      <c r="Z106" s="962">
        <v>2118333.33</v>
      </c>
      <c r="AA106" s="962">
        <v>2015000</v>
      </c>
      <c r="AB106" s="962">
        <v>1911666.67</v>
      </c>
      <c r="AC106" s="887">
        <v>1808333.34</v>
      </c>
      <c r="AD106" s="887">
        <v>1705000.01</v>
      </c>
      <c r="AE106" s="962">
        <v>1601666.68</v>
      </c>
      <c r="AF106" s="1004">
        <v>1498333.35</v>
      </c>
      <c r="AG106" s="1004">
        <v>1395000.02</v>
      </c>
      <c r="AH106" s="887">
        <v>1291666.69</v>
      </c>
      <c r="AI106" s="887">
        <v>1188333.3600000001</v>
      </c>
      <c r="AJ106" s="887">
        <v>1085000.03</v>
      </c>
    </row>
    <row r="107" spans="1:16384" x14ac:dyDescent="0.25">
      <c r="D107" s="913" t="s">
        <v>159</v>
      </c>
      <c r="E107" s="913"/>
      <c r="F107" s="913"/>
      <c r="G107" s="913"/>
      <c r="H107" s="967">
        <v>380690.15</v>
      </c>
      <c r="I107" s="967">
        <v>183333.66</v>
      </c>
      <c r="J107" s="967">
        <f t="shared" ref="J107:Y107" si="24">SUM(J103:J106)</f>
        <v>166667</v>
      </c>
      <c r="K107" s="967">
        <f t="shared" si="24"/>
        <v>150000.34</v>
      </c>
      <c r="L107" s="967">
        <f t="shared" si="24"/>
        <v>133333.68</v>
      </c>
      <c r="M107" s="967">
        <f t="shared" si="24"/>
        <v>116667.02</v>
      </c>
      <c r="N107" s="967">
        <f t="shared" si="24"/>
        <v>100000.36</v>
      </c>
      <c r="O107" s="967">
        <f t="shared" si="24"/>
        <v>83333.7</v>
      </c>
      <c r="P107" s="967">
        <f t="shared" si="24"/>
        <v>66667.039999999994</v>
      </c>
      <c r="Q107" s="967">
        <f t="shared" si="24"/>
        <v>50000</v>
      </c>
      <c r="R107" s="967">
        <f t="shared" si="24"/>
        <v>0</v>
      </c>
      <c r="S107" s="944">
        <f t="shared" si="24"/>
        <v>0</v>
      </c>
      <c r="T107" s="944">
        <f t="shared" si="24"/>
        <v>0</v>
      </c>
      <c r="U107" s="944">
        <f t="shared" si="24"/>
        <v>12730000</v>
      </c>
      <c r="V107" s="944">
        <f t="shared" si="24"/>
        <v>12669550.01</v>
      </c>
      <c r="W107" s="944">
        <f t="shared" si="24"/>
        <v>12609283</v>
      </c>
      <c r="X107" s="944">
        <f t="shared" si="24"/>
        <v>12549198.98</v>
      </c>
      <c r="Y107" s="944">
        <f t="shared" si="24"/>
        <v>12471666.66</v>
      </c>
      <c r="Z107" s="944">
        <f t="shared" ref="Z107:AG107" si="25">SUM(Z105:Z106)</f>
        <v>12368333.33</v>
      </c>
      <c r="AA107" s="944">
        <f t="shared" si="25"/>
        <v>12265000</v>
      </c>
      <c r="AB107" s="944">
        <f t="shared" si="25"/>
        <v>12161666.67</v>
      </c>
      <c r="AC107" s="944">
        <f t="shared" si="25"/>
        <v>12058333.34</v>
      </c>
      <c r="AD107" s="944">
        <f t="shared" si="25"/>
        <v>11955000.01</v>
      </c>
      <c r="AE107" s="944">
        <f t="shared" si="25"/>
        <v>11851666.68</v>
      </c>
      <c r="AF107" s="944">
        <f t="shared" si="25"/>
        <v>11748333.35</v>
      </c>
      <c r="AG107" s="944">
        <f t="shared" si="25"/>
        <v>11645000.02</v>
      </c>
      <c r="AH107" s="944">
        <f t="shared" ref="AH107" si="26">SUM(AH105:AH106)</f>
        <v>11541666.689999999</v>
      </c>
      <c r="AI107" s="1240">
        <f t="shared" ref="AI107:AJ107" si="27">SUM(AI105:AI106)</f>
        <v>11438333.359999999</v>
      </c>
      <c r="AJ107" s="1240">
        <f t="shared" si="27"/>
        <v>11335000.029999999</v>
      </c>
      <c r="AK107" s="944"/>
      <c r="AL107" s="944"/>
      <c r="AM107" s="944"/>
      <c r="AN107" s="944"/>
      <c r="AO107" s="944"/>
      <c r="AP107" s="944"/>
      <c r="AQ107" s="944"/>
      <c r="AR107" s="944"/>
      <c r="AS107" s="944"/>
      <c r="AT107" s="944"/>
      <c r="AU107" s="944"/>
      <c r="AV107" s="944"/>
      <c r="AW107" s="944"/>
      <c r="AX107" s="944"/>
      <c r="AY107" s="944"/>
      <c r="AZ107" s="944"/>
      <c r="BA107" s="944"/>
      <c r="BB107" s="944"/>
      <c r="BC107" s="944"/>
      <c r="BD107" s="944"/>
      <c r="BE107" s="944"/>
      <c r="BF107" s="944"/>
      <c r="BG107" s="944"/>
      <c r="BH107" s="944"/>
      <c r="BI107" s="944"/>
      <c r="BJ107" s="944"/>
      <c r="BK107" s="944"/>
      <c r="BL107" s="944"/>
      <c r="BM107" s="944"/>
      <c r="BN107" s="944"/>
      <c r="BO107" s="944"/>
      <c r="BP107" s="944"/>
      <c r="BQ107" s="944"/>
      <c r="BR107" s="944"/>
      <c r="BS107" s="944"/>
      <c r="BT107" s="944"/>
      <c r="BU107" s="944"/>
      <c r="BV107" s="944"/>
      <c r="BW107" s="944"/>
      <c r="BX107" s="944"/>
      <c r="BY107" s="944"/>
      <c r="BZ107" s="944"/>
      <c r="CA107" s="944"/>
      <c r="CB107" s="944"/>
      <c r="CC107" s="944"/>
      <c r="CD107" s="952"/>
      <c r="CE107" s="952"/>
      <c r="CF107" s="952"/>
      <c r="CG107" s="952"/>
      <c r="CH107" s="952"/>
      <c r="CI107" s="952"/>
      <c r="CJ107" s="952"/>
      <c r="CK107" s="952"/>
      <c r="CL107" s="952"/>
      <c r="CM107" s="952"/>
      <c r="CN107" s="952"/>
      <c r="CO107" s="952"/>
      <c r="CP107" s="952"/>
      <c r="CQ107" s="952"/>
      <c r="CR107" s="952"/>
      <c r="CS107" s="952"/>
      <c r="CT107" s="952"/>
      <c r="CU107" s="952"/>
      <c r="CV107" s="952"/>
      <c r="CW107" s="952"/>
      <c r="CX107" s="952"/>
      <c r="CY107" s="952"/>
      <c r="CZ107" s="952"/>
      <c r="DA107" s="952"/>
      <c r="DB107" s="952"/>
      <c r="DC107" s="952"/>
      <c r="DD107" s="952"/>
      <c r="DE107" s="952"/>
      <c r="DF107" s="952"/>
      <c r="DG107" s="952"/>
      <c r="DH107" s="952"/>
      <c r="DI107" s="952"/>
      <c r="DJ107" s="952"/>
      <c r="DK107" s="952"/>
      <c r="DL107" s="952"/>
      <c r="DM107" s="952"/>
      <c r="DN107" s="952"/>
      <c r="DO107" s="952"/>
      <c r="DP107" s="952"/>
      <c r="DQ107" s="952"/>
      <c r="DR107" s="952"/>
      <c r="DS107" s="952"/>
      <c r="DT107" s="952"/>
      <c r="DU107" s="952"/>
      <c r="DV107" s="952"/>
      <c r="DW107" s="952"/>
      <c r="DX107" s="952"/>
      <c r="DY107" s="952"/>
      <c r="DZ107" s="952"/>
      <c r="EA107" s="952"/>
      <c r="EB107" s="952"/>
      <c r="EC107" s="952"/>
      <c r="ED107" s="952"/>
      <c r="EE107" s="952"/>
      <c r="EF107" s="952"/>
      <c r="EG107" s="952"/>
      <c r="EH107" s="952"/>
      <c r="EI107" s="952"/>
      <c r="EJ107" s="952"/>
      <c r="EK107" s="952"/>
      <c r="EL107" s="952"/>
      <c r="EM107" s="952"/>
      <c r="EN107" s="952"/>
      <c r="EO107" s="952"/>
      <c r="EP107" s="952"/>
      <c r="EQ107" s="952"/>
      <c r="ER107" s="952"/>
      <c r="ES107" s="952"/>
      <c r="ET107" s="952"/>
      <c r="EU107" s="952"/>
      <c r="EV107" s="952"/>
      <c r="EW107" s="952"/>
      <c r="EX107" s="952"/>
      <c r="EY107" s="952"/>
      <c r="EZ107" s="952"/>
      <c r="FA107" s="952"/>
      <c r="FB107" s="952"/>
      <c r="FC107" s="952"/>
      <c r="FD107" s="952"/>
      <c r="FE107" s="952"/>
      <c r="FF107" s="952"/>
      <c r="FG107" s="952"/>
      <c r="FH107" s="952"/>
      <c r="FI107" s="952"/>
      <c r="FJ107" s="952"/>
      <c r="FK107" s="952"/>
      <c r="FL107" s="952"/>
      <c r="FM107" s="952"/>
      <c r="FN107" s="952"/>
      <c r="FO107" s="952"/>
      <c r="FP107" s="952"/>
      <c r="FQ107" s="952"/>
      <c r="FR107" s="952"/>
      <c r="FS107" s="952"/>
      <c r="FT107" s="952"/>
      <c r="FU107" s="952"/>
      <c r="FV107" s="952"/>
      <c r="FW107" s="952"/>
      <c r="FX107" s="952"/>
      <c r="FY107" s="952"/>
      <c r="FZ107" s="952"/>
      <c r="GA107" s="952"/>
      <c r="GB107" s="952"/>
      <c r="GC107" s="952"/>
      <c r="GD107" s="952"/>
      <c r="GE107" s="952"/>
      <c r="GF107" s="952"/>
      <c r="GG107" s="952"/>
      <c r="GH107" s="952"/>
      <c r="GI107" s="952"/>
      <c r="GJ107" s="952"/>
      <c r="GK107" s="952"/>
      <c r="GL107" s="952"/>
      <c r="GM107" s="952"/>
      <c r="GN107" s="952"/>
      <c r="GO107" s="952"/>
      <c r="GP107" s="952"/>
      <c r="GQ107" s="952"/>
      <c r="GR107" s="952"/>
      <c r="GS107" s="952"/>
      <c r="GT107" s="952"/>
      <c r="GU107" s="952"/>
      <c r="GV107" s="952"/>
      <c r="GW107" s="952"/>
      <c r="GX107" s="952"/>
      <c r="GY107" s="952"/>
      <c r="GZ107" s="952"/>
      <c r="HA107" s="952"/>
      <c r="HB107" s="952"/>
      <c r="HC107" s="952"/>
      <c r="HD107" s="952"/>
      <c r="HE107" s="952"/>
      <c r="HF107" s="952"/>
      <c r="HG107" s="952"/>
      <c r="HH107" s="952"/>
      <c r="HI107" s="952"/>
      <c r="HJ107" s="952"/>
      <c r="HK107" s="952"/>
      <c r="HL107" s="952"/>
      <c r="HM107" s="952"/>
      <c r="HN107" s="952"/>
      <c r="HO107" s="952"/>
      <c r="HP107" s="952"/>
      <c r="HQ107" s="952"/>
      <c r="HR107" s="952"/>
      <c r="HS107" s="952"/>
      <c r="HT107" s="952"/>
      <c r="HU107" s="952"/>
      <c r="HV107" s="952"/>
      <c r="HW107" s="952"/>
      <c r="HX107" s="952"/>
      <c r="HY107" s="952"/>
      <c r="HZ107" s="952"/>
      <c r="IA107" s="952"/>
      <c r="IB107" s="952"/>
      <c r="IC107" s="952"/>
      <c r="ID107" s="952"/>
      <c r="IE107" s="952"/>
      <c r="IF107" s="952"/>
      <c r="IG107" s="952"/>
      <c r="IH107" s="952"/>
      <c r="II107" s="952"/>
      <c r="IJ107" s="952"/>
      <c r="IK107" s="952"/>
      <c r="IL107" s="952"/>
      <c r="IM107" s="952"/>
      <c r="IN107" s="952"/>
      <c r="IO107" s="952"/>
      <c r="IP107" s="952"/>
      <c r="IQ107" s="952"/>
      <c r="IR107" s="952"/>
      <c r="IS107" s="952"/>
      <c r="IT107" s="952"/>
      <c r="IU107" s="952"/>
      <c r="IV107" s="952"/>
      <c r="IW107" s="952"/>
      <c r="IX107" s="952"/>
      <c r="IY107" s="952"/>
      <c r="IZ107" s="952"/>
      <c r="JA107" s="952"/>
      <c r="JB107" s="952"/>
      <c r="JC107" s="952"/>
      <c r="JD107" s="952"/>
      <c r="JE107" s="952"/>
      <c r="JF107" s="952"/>
      <c r="JG107" s="952"/>
      <c r="JH107" s="952"/>
      <c r="JI107" s="952"/>
      <c r="JJ107" s="952"/>
      <c r="JK107" s="952"/>
      <c r="JL107" s="952"/>
      <c r="JM107" s="952"/>
      <c r="JN107" s="952"/>
      <c r="JO107" s="952"/>
      <c r="JP107" s="952"/>
      <c r="JQ107" s="952"/>
      <c r="JR107" s="952"/>
      <c r="JS107" s="952"/>
      <c r="JT107" s="952"/>
      <c r="JU107" s="952"/>
      <c r="JV107" s="952"/>
      <c r="JW107" s="952"/>
      <c r="JX107" s="952"/>
      <c r="JY107" s="952"/>
      <c r="JZ107" s="952"/>
      <c r="KA107" s="952"/>
      <c r="KB107" s="952"/>
      <c r="KC107" s="952"/>
      <c r="KD107" s="952"/>
      <c r="KE107" s="952"/>
      <c r="KF107" s="952"/>
      <c r="KG107" s="952"/>
      <c r="KH107" s="952"/>
      <c r="KI107" s="952"/>
      <c r="KJ107" s="952"/>
      <c r="KK107" s="952"/>
      <c r="KL107" s="952"/>
      <c r="KM107" s="952"/>
      <c r="KN107" s="952"/>
      <c r="KO107" s="952"/>
      <c r="KP107" s="952"/>
      <c r="KQ107" s="952"/>
      <c r="KR107" s="952"/>
      <c r="KS107" s="952"/>
      <c r="KT107" s="952"/>
      <c r="KU107" s="952"/>
      <c r="KV107" s="952"/>
      <c r="KW107" s="952"/>
      <c r="KX107" s="952"/>
      <c r="KY107" s="952"/>
      <c r="KZ107" s="952"/>
      <c r="LA107" s="952"/>
      <c r="LB107" s="952"/>
      <c r="LC107" s="952"/>
      <c r="LD107" s="952"/>
      <c r="LE107" s="952"/>
      <c r="LF107" s="952"/>
      <c r="LG107" s="952"/>
      <c r="LH107" s="952"/>
      <c r="LI107" s="952"/>
      <c r="LJ107" s="952"/>
      <c r="LK107" s="952"/>
      <c r="LL107" s="952"/>
      <c r="LM107" s="952"/>
      <c r="LN107" s="952"/>
      <c r="LO107" s="952"/>
      <c r="LP107" s="952"/>
      <c r="LQ107" s="952"/>
      <c r="LR107" s="952"/>
      <c r="LS107" s="952"/>
      <c r="LT107" s="952"/>
      <c r="LU107" s="952"/>
      <c r="LV107" s="952"/>
      <c r="LW107" s="952"/>
      <c r="LX107" s="952"/>
      <c r="LY107" s="952"/>
      <c r="LZ107" s="952"/>
      <c r="MA107" s="952"/>
      <c r="MB107" s="952"/>
      <c r="MC107" s="952"/>
      <c r="MD107" s="952"/>
      <c r="ME107" s="952"/>
      <c r="MF107" s="952"/>
      <c r="MG107" s="952"/>
      <c r="MH107" s="952"/>
      <c r="MI107" s="952"/>
      <c r="MJ107" s="952"/>
      <c r="MK107" s="952"/>
      <c r="ML107" s="952"/>
      <c r="MM107" s="952"/>
      <c r="MN107" s="952"/>
      <c r="MO107" s="952"/>
      <c r="MP107" s="952"/>
      <c r="MQ107" s="952"/>
      <c r="MR107" s="952"/>
      <c r="MS107" s="952"/>
      <c r="MT107" s="952"/>
      <c r="MU107" s="952"/>
      <c r="MV107" s="952"/>
      <c r="MW107" s="952"/>
      <c r="MX107" s="952"/>
      <c r="MY107" s="952"/>
      <c r="MZ107" s="952"/>
      <c r="NA107" s="952"/>
      <c r="NB107" s="952"/>
      <c r="NC107" s="952"/>
      <c r="ND107" s="952"/>
      <c r="NE107" s="952"/>
      <c r="NF107" s="952"/>
      <c r="NG107" s="952"/>
      <c r="NH107" s="952"/>
      <c r="NI107" s="952"/>
      <c r="NJ107" s="952"/>
      <c r="NK107" s="952"/>
      <c r="NL107" s="952"/>
      <c r="NM107" s="952"/>
      <c r="NN107" s="952"/>
      <c r="NO107" s="952"/>
      <c r="NP107" s="952"/>
      <c r="NQ107" s="952"/>
      <c r="NR107" s="952"/>
      <c r="NS107" s="952"/>
      <c r="NT107" s="952"/>
      <c r="NU107" s="952"/>
      <c r="NV107" s="952"/>
      <c r="NW107" s="952"/>
      <c r="NX107" s="952"/>
      <c r="NY107" s="952"/>
      <c r="NZ107" s="952"/>
      <c r="OA107" s="952"/>
      <c r="OB107" s="952"/>
      <c r="OC107" s="952"/>
      <c r="OD107" s="952"/>
      <c r="OE107" s="952"/>
      <c r="OF107" s="952"/>
      <c r="OG107" s="952"/>
      <c r="OH107" s="952"/>
      <c r="OI107" s="952"/>
      <c r="OJ107" s="952"/>
      <c r="OK107" s="952"/>
      <c r="OL107" s="952"/>
      <c r="OM107" s="952"/>
      <c r="ON107" s="952"/>
      <c r="OO107" s="952"/>
      <c r="OP107" s="952"/>
      <c r="OQ107" s="952"/>
      <c r="OR107" s="952"/>
      <c r="OS107" s="952"/>
      <c r="OT107" s="952"/>
      <c r="OU107" s="952"/>
      <c r="OV107" s="952"/>
      <c r="OW107" s="952"/>
      <c r="OX107" s="952"/>
      <c r="OY107" s="952"/>
      <c r="OZ107" s="952"/>
      <c r="PA107" s="952"/>
      <c r="PB107" s="952"/>
      <c r="PC107" s="952"/>
      <c r="PD107" s="952"/>
      <c r="PE107" s="952"/>
      <c r="PF107" s="952"/>
      <c r="PG107" s="952"/>
      <c r="PH107" s="952"/>
      <c r="PI107" s="952"/>
      <c r="PJ107" s="952"/>
      <c r="PK107" s="952"/>
      <c r="PL107" s="952"/>
      <c r="PM107" s="952"/>
      <c r="PN107" s="952"/>
      <c r="PO107" s="952"/>
      <c r="PP107" s="952"/>
      <c r="PQ107" s="952"/>
      <c r="PR107" s="952"/>
      <c r="PS107" s="952"/>
      <c r="PT107" s="952"/>
      <c r="PU107" s="952"/>
      <c r="PV107" s="952"/>
      <c r="PW107" s="952"/>
      <c r="PX107" s="952"/>
      <c r="PY107" s="952"/>
      <c r="PZ107" s="952"/>
      <c r="QA107" s="952"/>
      <c r="QB107" s="952"/>
      <c r="QC107" s="952"/>
      <c r="QD107" s="952"/>
      <c r="QE107" s="952"/>
      <c r="QF107" s="952"/>
      <c r="QG107" s="952"/>
      <c r="QH107" s="952"/>
      <c r="QI107" s="952"/>
      <c r="QJ107" s="952"/>
      <c r="QK107" s="952"/>
      <c r="QL107" s="952"/>
      <c r="QM107" s="952"/>
      <c r="QN107" s="952"/>
      <c r="QO107" s="952"/>
      <c r="QP107" s="952"/>
      <c r="QQ107" s="952"/>
      <c r="QR107" s="952"/>
      <c r="QS107" s="952"/>
      <c r="QT107" s="952"/>
      <c r="QU107" s="952"/>
      <c r="QV107" s="952"/>
      <c r="QW107" s="952"/>
      <c r="QX107" s="952"/>
      <c r="QY107" s="952"/>
      <c r="QZ107" s="952"/>
      <c r="RA107" s="952"/>
      <c r="RB107" s="952"/>
      <c r="RC107" s="952"/>
      <c r="RD107" s="952"/>
      <c r="RE107" s="952"/>
      <c r="RF107" s="952"/>
      <c r="RG107" s="952"/>
      <c r="RH107" s="952"/>
      <c r="RI107" s="952"/>
      <c r="RJ107" s="952"/>
      <c r="RK107" s="952"/>
      <c r="RL107" s="952"/>
      <c r="RM107" s="952"/>
      <c r="RN107" s="952"/>
      <c r="RO107" s="952"/>
      <c r="RP107" s="952"/>
      <c r="RQ107" s="952"/>
      <c r="RR107" s="952"/>
      <c r="RS107" s="952"/>
      <c r="RT107" s="952"/>
      <c r="RU107" s="952"/>
      <c r="RV107" s="952"/>
      <c r="RW107" s="952"/>
      <c r="RX107" s="952"/>
      <c r="RY107" s="952"/>
      <c r="RZ107" s="952"/>
      <c r="SA107" s="952"/>
      <c r="SB107" s="952"/>
      <c r="SC107" s="952"/>
      <c r="SD107" s="952"/>
      <c r="SE107" s="952"/>
      <c r="SF107" s="952"/>
      <c r="SG107" s="952"/>
      <c r="SH107" s="952"/>
      <c r="SI107" s="952"/>
      <c r="SJ107" s="952"/>
      <c r="SK107" s="952"/>
      <c r="SL107" s="952"/>
      <c r="SM107" s="952"/>
      <c r="SN107" s="952"/>
      <c r="SO107" s="952"/>
      <c r="SP107" s="952"/>
      <c r="SQ107" s="952"/>
      <c r="SR107" s="952"/>
      <c r="SS107" s="952"/>
      <c r="ST107" s="952"/>
      <c r="SU107" s="952"/>
      <c r="SV107" s="952"/>
      <c r="SW107" s="952"/>
      <c r="SX107" s="952"/>
      <c r="SY107" s="952"/>
      <c r="SZ107" s="952"/>
      <c r="TA107" s="952"/>
      <c r="TB107" s="952"/>
      <c r="TC107" s="952"/>
      <c r="TD107" s="952"/>
      <c r="TE107" s="952"/>
      <c r="TF107" s="952"/>
      <c r="TG107" s="952"/>
      <c r="TH107" s="952"/>
      <c r="TI107" s="952"/>
      <c r="TJ107" s="952"/>
      <c r="TK107" s="952"/>
      <c r="TL107" s="952"/>
      <c r="TM107" s="952"/>
      <c r="TN107" s="952"/>
      <c r="TO107" s="952"/>
      <c r="TP107" s="952"/>
      <c r="TQ107" s="952"/>
      <c r="TR107" s="952"/>
      <c r="TS107" s="952"/>
      <c r="TT107" s="952"/>
      <c r="TU107" s="952"/>
      <c r="TV107" s="952"/>
      <c r="TW107" s="952"/>
      <c r="TX107" s="952"/>
      <c r="TY107" s="952"/>
      <c r="TZ107" s="952"/>
      <c r="UA107" s="952"/>
      <c r="UB107" s="952"/>
      <c r="UC107" s="952"/>
      <c r="UD107" s="952"/>
      <c r="UE107" s="952"/>
      <c r="UF107" s="952"/>
      <c r="UG107" s="952"/>
      <c r="UH107" s="952"/>
      <c r="UI107" s="952"/>
      <c r="UJ107" s="952"/>
      <c r="UK107" s="952"/>
      <c r="UL107" s="952"/>
      <c r="UM107" s="952"/>
      <c r="UN107" s="952"/>
      <c r="UO107" s="952"/>
      <c r="UP107" s="952"/>
      <c r="UQ107" s="952"/>
      <c r="UR107" s="952"/>
      <c r="US107" s="952"/>
      <c r="UT107" s="952"/>
      <c r="UU107" s="952"/>
      <c r="UV107" s="952"/>
      <c r="UW107" s="952"/>
      <c r="UX107" s="952"/>
      <c r="UY107" s="952"/>
      <c r="UZ107" s="952"/>
      <c r="VA107" s="952"/>
      <c r="VB107" s="952"/>
      <c r="VC107" s="952"/>
      <c r="VD107" s="952"/>
      <c r="VE107" s="952"/>
      <c r="VF107" s="952"/>
      <c r="VG107" s="952"/>
      <c r="VH107" s="952"/>
      <c r="VI107" s="952"/>
      <c r="VJ107" s="952"/>
      <c r="VK107" s="952"/>
      <c r="VL107" s="952"/>
      <c r="VM107" s="952"/>
      <c r="VN107" s="952"/>
      <c r="VO107" s="952"/>
      <c r="VP107" s="952"/>
      <c r="VQ107" s="952"/>
      <c r="VR107" s="952"/>
      <c r="VS107" s="952"/>
      <c r="VT107" s="952"/>
      <c r="VU107" s="952"/>
      <c r="VV107" s="952"/>
      <c r="VW107" s="952"/>
      <c r="VX107" s="952"/>
      <c r="VY107" s="952"/>
      <c r="VZ107" s="952"/>
      <c r="WA107" s="952"/>
      <c r="WB107" s="952"/>
      <c r="WC107" s="952"/>
      <c r="WD107" s="952"/>
      <c r="WE107" s="952"/>
      <c r="WF107" s="952"/>
      <c r="WG107" s="952"/>
      <c r="WH107" s="952"/>
      <c r="WI107" s="952"/>
      <c r="WJ107" s="952"/>
      <c r="WK107" s="952"/>
      <c r="WL107" s="952"/>
      <c r="WM107" s="952"/>
      <c r="WN107" s="952"/>
      <c r="WO107" s="952"/>
      <c r="WP107" s="952"/>
      <c r="WQ107" s="952"/>
      <c r="WR107" s="952"/>
      <c r="WS107" s="952"/>
      <c r="WT107" s="952"/>
      <c r="WU107" s="952"/>
      <c r="WV107" s="952"/>
      <c r="WW107" s="952"/>
      <c r="WX107" s="952"/>
      <c r="WY107" s="952"/>
      <c r="WZ107" s="952"/>
      <c r="XA107" s="952"/>
      <c r="XB107" s="952"/>
      <c r="XC107" s="952"/>
      <c r="XD107" s="952"/>
      <c r="XE107" s="952"/>
      <c r="XF107" s="952"/>
      <c r="XG107" s="952"/>
      <c r="XH107" s="952"/>
      <c r="XI107" s="952"/>
      <c r="XJ107" s="952"/>
      <c r="XK107" s="952"/>
      <c r="XL107" s="952"/>
      <c r="XM107" s="952"/>
      <c r="XN107" s="952"/>
      <c r="XO107" s="952"/>
      <c r="XP107" s="952"/>
      <c r="XQ107" s="952"/>
      <c r="XR107" s="952"/>
      <c r="XS107" s="952"/>
      <c r="XT107" s="952"/>
      <c r="XU107" s="952"/>
      <c r="XV107" s="952"/>
      <c r="XW107" s="952"/>
      <c r="XX107" s="952"/>
      <c r="XY107" s="952"/>
      <c r="XZ107" s="952"/>
      <c r="YA107" s="952"/>
      <c r="YB107" s="952"/>
      <c r="YC107" s="952"/>
      <c r="YD107" s="952"/>
      <c r="YE107" s="952"/>
      <c r="YF107" s="952"/>
      <c r="YG107" s="952"/>
      <c r="YH107" s="952"/>
      <c r="YI107" s="952"/>
      <c r="YJ107" s="952"/>
      <c r="YK107" s="952"/>
      <c r="YL107" s="952"/>
      <c r="YM107" s="952"/>
      <c r="YN107" s="952"/>
      <c r="YO107" s="952"/>
      <c r="YP107" s="952"/>
      <c r="YQ107" s="952"/>
      <c r="YR107" s="952"/>
      <c r="YS107" s="952"/>
      <c r="YT107" s="952"/>
      <c r="YU107" s="952"/>
      <c r="YV107" s="952"/>
      <c r="YW107" s="952"/>
      <c r="YX107" s="952"/>
      <c r="YY107" s="952"/>
      <c r="YZ107" s="952"/>
      <c r="ZA107" s="952"/>
      <c r="ZB107" s="952"/>
      <c r="ZC107" s="952"/>
      <c r="ZD107" s="952"/>
      <c r="ZE107" s="952"/>
      <c r="ZF107" s="952"/>
      <c r="ZG107" s="952"/>
      <c r="ZH107" s="952"/>
      <c r="ZI107" s="952"/>
      <c r="ZJ107" s="952"/>
      <c r="ZK107" s="952"/>
      <c r="ZL107" s="952"/>
      <c r="ZM107" s="952"/>
      <c r="ZN107" s="952"/>
      <c r="ZO107" s="952"/>
      <c r="ZP107" s="952"/>
      <c r="ZQ107" s="952"/>
      <c r="ZR107" s="952"/>
      <c r="ZS107" s="952"/>
      <c r="ZT107" s="952"/>
      <c r="ZU107" s="952"/>
      <c r="ZV107" s="952"/>
      <c r="ZW107" s="952"/>
      <c r="ZX107" s="952"/>
      <c r="ZY107" s="952"/>
      <c r="ZZ107" s="952"/>
      <c r="AAA107" s="952"/>
      <c r="AAB107" s="952"/>
      <c r="AAC107" s="952"/>
      <c r="AAD107" s="952"/>
      <c r="AAE107" s="952"/>
      <c r="AAF107" s="952"/>
      <c r="AAG107" s="952"/>
      <c r="AAH107" s="952"/>
      <c r="AAI107" s="952"/>
      <c r="AAJ107" s="952"/>
      <c r="AAK107" s="952"/>
      <c r="AAL107" s="952"/>
      <c r="AAM107" s="952"/>
      <c r="AAN107" s="952"/>
      <c r="AAO107" s="952"/>
      <c r="AAP107" s="952"/>
      <c r="AAQ107" s="952"/>
      <c r="AAR107" s="952"/>
      <c r="AAS107" s="952"/>
      <c r="AAT107" s="952"/>
      <c r="AAU107" s="952"/>
      <c r="AAV107" s="952"/>
      <c r="AAW107" s="952"/>
      <c r="AAX107" s="952"/>
      <c r="AAY107" s="952"/>
      <c r="AAZ107" s="952"/>
      <c r="ABA107" s="952"/>
      <c r="ABB107" s="952"/>
      <c r="ABC107" s="952"/>
      <c r="ABD107" s="952"/>
      <c r="ABE107" s="952"/>
      <c r="ABF107" s="952"/>
      <c r="ABG107" s="952"/>
      <c r="ABH107" s="952"/>
      <c r="ABI107" s="952"/>
      <c r="ABJ107" s="952"/>
      <c r="ABK107" s="952"/>
      <c r="ABL107" s="952"/>
      <c r="ABM107" s="952"/>
      <c r="ABN107" s="952"/>
      <c r="ABO107" s="952"/>
      <c r="ABP107" s="952"/>
      <c r="ABQ107" s="952"/>
      <c r="ABR107" s="952"/>
      <c r="ABS107" s="952"/>
      <c r="ABT107" s="952"/>
      <c r="ABU107" s="952"/>
      <c r="ABV107" s="952"/>
      <c r="ABW107" s="952"/>
      <c r="ABX107" s="952"/>
      <c r="ABY107" s="952"/>
      <c r="ABZ107" s="952"/>
      <c r="ACA107" s="952"/>
      <c r="ACB107" s="952"/>
      <c r="ACC107" s="952"/>
      <c r="ACD107" s="952"/>
      <c r="ACE107" s="952"/>
      <c r="ACF107" s="952"/>
      <c r="ACG107" s="952"/>
      <c r="ACH107" s="952"/>
      <c r="ACI107" s="952"/>
      <c r="ACJ107" s="952"/>
      <c r="ACK107" s="952"/>
      <c r="ACL107" s="952"/>
      <c r="ACM107" s="952"/>
      <c r="ACN107" s="952"/>
      <c r="ACO107" s="952"/>
      <c r="ACP107" s="952"/>
      <c r="ACQ107" s="952"/>
      <c r="ACR107" s="952"/>
      <c r="ACS107" s="952"/>
      <c r="ACT107" s="952"/>
      <c r="ACU107" s="952"/>
      <c r="ACV107" s="952"/>
      <c r="ACW107" s="952"/>
      <c r="ACX107" s="952"/>
      <c r="ACY107" s="952"/>
      <c r="ACZ107" s="952"/>
      <c r="ADA107" s="952"/>
      <c r="ADB107" s="952"/>
      <c r="ADC107" s="952"/>
      <c r="ADD107" s="952"/>
      <c r="ADE107" s="952"/>
      <c r="ADF107" s="952"/>
      <c r="ADG107" s="952"/>
      <c r="ADH107" s="952"/>
      <c r="ADI107" s="952"/>
      <c r="ADJ107" s="952"/>
      <c r="ADK107" s="952"/>
      <c r="ADL107" s="952"/>
      <c r="ADM107" s="952"/>
      <c r="ADN107" s="952"/>
      <c r="ADO107" s="952"/>
      <c r="ADP107" s="952"/>
      <c r="ADQ107" s="952"/>
      <c r="ADR107" s="952"/>
      <c r="ADS107" s="952"/>
      <c r="ADT107" s="952"/>
      <c r="ADU107" s="952"/>
      <c r="ADV107" s="952"/>
      <c r="ADW107" s="952"/>
      <c r="ADX107" s="952"/>
      <c r="ADY107" s="952"/>
      <c r="ADZ107" s="952"/>
      <c r="AEA107" s="952"/>
      <c r="AEB107" s="952"/>
      <c r="AEC107" s="952"/>
      <c r="AED107" s="952"/>
      <c r="AEE107" s="952"/>
      <c r="AEF107" s="952"/>
      <c r="AEG107" s="952"/>
      <c r="AEH107" s="952"/>
      <c r="AEI107" s="952"/>
      <c r="AEJ107" s="952"/>
      <c r="AEK107" s="952"/>
      <c r="AEL107" s="952"/>
      <c r="AEM107" s="952"/>
      <c r="AEN107" s="952"/>
      <c r="AEO107" s="952"/>
      <c r="AEP107" s="952"/>
      <c r="AEQ107" s="952"/>
      <c r="AER107" s="952"/>
      <c r="AES107" s="952"/>
      <c r="AET107" s="952"/>
      <c r="AEU107" s="952"/>
      <c r="AEV107" s="952"/>
      <c r="AEW107" s="952"/>
      <c r="AEX107" s="952"/>
      <c r="AEY107" s="952"/>
      <c r="AEZ107" s="952"/>
      <c r="AFA107" s="952"/>
      <c r="AFB107" s="952"/>
      <c r="AFC107" s="952"/>
      <c r="AFD107" s="952"/>
      <c r="AFE107" s="952"/>
      <c r="AFF107" s="952"/>
      <c r="AFG107" s="952"/>
      <c r="AFH107" s="952"/>
      <c r="AFI107" s="952"/>
      <c r="AFJ107" s="952"/>
      <c r="AFK107" s="952"/>
      <c r="AFL107" s="952"/>
      <c r="AFM107" s="952"/>
      <c r="AFN107" s="952"/>
      <c r="AFO107" s="952"/>
      <c r="AFP107" s="952"/>
      <c r="AFQ107" s="952"/>
      <c r="AFR107" s="952"/>
      <c r="AFS107" s="952"/>
      <c r="AFT107" s="952"/>
      <c r="AFU107" s="952"/>
      <c r="AFV107" s="952"/>
      <c r="AFW107" s="952"/>
      <c r="AFX107" s="952"/>
      <c r="AFY107" s="952"/>
      <c r="AFZ107" s="952"/>
      <c r="AGA107" s="952"/>
      <c r="AGB107" s="952"/>
      <c r="AGC107" s="952"/>
      <c r="AGD107" s="952"/>
      <c r="AGE107" s="952"/>
      <c r="AGF107" s="952"/>
      <c r="AGG107" s="952"/>
      <c r="AGH107" s="952"/>
      <c r="AGI107" s="952"/>
      <c r="AGJ107" s="952"/>
      <c r="AGK107" s="952"/>
      <c r="AGL107" s="952"/>
      <c r="AGM107" s="952"/>
      <c r="AGN107" s="952"/>
      <c r="AGO107" s="952"/>
      <c r="AGP107" s="952"/>
      <c r="AGQ107" s="952"/>
      <c r="AGR107" s="952"/>
      <c r="AGS107" s="952"/>
      <c r="AGT107" s="952"/>
      <c r="AGU107" s="952"/>
      <c r="AGV107" s="952"/>
      <c r="AGW107" s="952"/>
      <c r="AGX107" s="952"/>
      <c r="AGY107" s="952"/>
      <c r="AGZ107" s="952"/>
      <c r="AHA107" s="952"/>
      <c r="AHB107" s="952"/>
      <c r="AHC107" s="952"/>
      <c r="AHD107" s="952"/>
      <c r="AHE107" s="952"/>
      <c r="AHF107" s="952"/>
      <c r="AHG107" s="952"/>
      <c r="AHH107" s="952"/>
      <c r="AHI107" s="952"/>
      <c r="AHJ107" s="952"/>
      <c r="AHK107" s="952"/>
      <c r="AHL107" s="952"/>
      <c r="AHM107" s="952"/>
      <c r="AHN107" s="952"/>
      <c r="AHO107" s="952"/>
      <c r="AHP107" s="952"/>
      <c r="AHQ107" s="952"/>
      <c r="AHR107" s="952"/>
      <c r="AHS107" s="952"/>
      <c r="AHT107" s="952"/>
      <c r="AHU107" s="952"/>
      <c r="AHV107" s="952"/>
      <c r="AHW107" s="952"/>
      <c r="AHX107" s="952"/>
      <c r="AHY107" s="952"/>
      <c r="AHZ107" s="952"/>
      <c r="AIA107" s="952"/>
      <c r="AIB107" s="952"/>
      <c r="AIC107" s="952"/>
      <c r="AID107" s="952"/>
      <c r="AIE107" s="952"/>
      <c r="AIF107" s="952"/>
      <c r="AIG107" s="952"/>
      <c r="AIH107" s="952"/>
      <c r="AII107" s="952"/>
      <c r="AIJ107" s="952"/>
      <c r="AIK107" s="952"/>
      <c r="AIL107" s="952"/>
      <c r="AIM107" s="952"/>
      <c r="AIN107" s="952"/>
      <c r="AIO107" s="952"/>
      <c r="AIP107" s="952"/>
      <c r="AIQ107" s="952"/>
      <c r="AIR107" s="952"/>
      <c r="AIS107" s="952"/>
      <c r="AIT107" s="952"/>
      <c r="AIU107" s="952"/>
      <c r="AIV107" s="952"/>
      <c r="AIW107" s="952"/>
      <c r="AIX107" s="952"/>
      <c r="AIY107" s="952"/>
      <c r="AIZ107" s="952"/>
      <c r="AJA107" s="952"/>
      <c r="AJB107" s="952"/>
      <c r="AJC107" s="952"/>
      <c r="AJD107" s="952"/>
      <c r="AJE107" s="952"/>
      <c r="AJF107" s="952"/>
      <c r="AJG107" s="952"/>
      <c r="AJH107" s="952"/>
      <c r="AJI107" s="952"/>
      <c r="AJJ107" s="952"/>
      <c r="AJK107" s="952"/>
      <c r="AJL107" s="952"/>
      <c r="AJM107" s="952"/>
      <c r="AJN107" s="952"/>
      <c r="AJO107" s="952"/>
      <c r="AJP107" s="952"/>
      <c r="AJQ107" s="952"/>
      <c r="AJR107" s="952"/>
      <c r="AJS107" s="952"/>
      <c r="AJT107" s="952"/>
      <c r="AJU107" s="952"/>
      <c r="AJV107" s="952"/>
      <c r="AJW107" s="952"/>
      <c r="AJX107" s="952"/>
      <c r="AJY107" s="952"/>
      <c r="AJZ107" s="952"/>
      <c r="AKA107" s="952"/>
      <c r="AKB107" s="952"/>
      <c r="AKC107" s="952"/>
      <c r="AKD107" s="952"/>
      <c r="AKE107" s="952"/>
      <c r="AKF107" s="952"/>
      <c r="AKG107" s="952"/>
      <c r="AKH107" s="952"/>
      <c r="AKI107" s="952"/>
      <c r="AKJ107" s="952"/>
      <c r="AKK107" s="952"/>
      <c r="AKL107" s="952"/>
      <c r="AKM107" s="952"/>
      <c r="AKN107" s="952"/>
      <c r="AKO107" s="952"/>
      <c r="AKP107" s="952"/>
      <c r="AKQ107" s="952"/>
      <c r="AKR107" s="952"/>
      <c r="AKS107" s="952"/>
      <c r="AKT107" s="952"/>
      <c r="AKU107" s="952"/>
      <c r="AKV107" s="952"/>
      <c r="AKW107" s="952"/>
      <c r="AKX107" s="952"/>
      <c r="AKY107" s="952"/>
      <c r="AKZ107" s="952"/>
      <c r="ALA107" s="952"/>
      <c r="ALB107" s="952"/>
      <c r="ALC107" s="952"/>
      <c r="ALD107" s="952"/>
      <c r="ALE107" s="952"/>
      <c r="ALF107" s="952"/>
      <c r="ALG107" s="952"/>
      <c r="ALH107" s="952"/>
      <c r="ALI107" s="952"/>
      <c r="ALJ107" s="952"/>
      <c r="ALK107" s="952"/>
      <c r="ALL107" s="952"/>
      <c r="ALM107" s="952"/>
      <c r="ALN107" s="952"/>
      <c r="ALO107" s="952"/>
      <c r="ALP107" s="952"/>
      <c r="ALQ107" s="952"/>
      <c r="ALR107" s="952"/>
      <c r="ALS107" s="952"/>
      <c r="ALT107" s="952"/>
      <c r="ALU107" s="952"/>
      <c r="ALV107" s="952"/>
      <c r="ALW107" s="952"/>
      <c r="ALX107" s="952"/>
      <c r="ALY107" s="952"/>
      <c r="ALZ107" s="952"/>
      <c r="AMA107" s="952"/>
      <c r="AMB107" s="952"/>
      <c r="AMC107" s="952"/>
      <c r="AMD107" s="952"/>
      <c r="AME107" s="952"/>
      <c r="AMF107" s="952"/>
      <c r="AMG107" s="952"/>
      <c r="AMH107" s="952"/>
      <c r="AMI107" s="952"/>
      <c r="AMJ107" s="952"/>
      <c r="AMK107" s="952"/>
      <c r="AML107" s="952"/>
      <c r="AMM107" s="952"/>
      <c r="AMN107" s="952"/>
      <c r="AMO107" s="952"/>
      <c r="AMP107" s="952"/>
      <c r="AMQ107" s="952"/>
      <c r="AMR107" s="952"/>
      <c r="AMS107" s="952"/>
      <c r="AMT107" s="952"/>
      <c r="AMU107" s="952"/>
      <c r="AMV107" s="952"/>
      <c r="AMW107" s="952"/>
      <c r="AMX107" s="952"/>
      <c r="AMY107" s="952"/>
      <c r="AMZ107" s="952"/>
      <c r="ANA107" s="952"/>
      <c r="ANB107" s="952"/>
      <c r="ANC107" s="952"/>
      <c r="AND107" s="952"/>
      <c r="ANE107" s="952"/>
      <c r="ANF107" s="952"/>
      <c r="ANG107" s="952"/>
      <c r="ANH107" s="952"/>
      <c r="ANI107" s="952"/>
      <c r="ANJ107" s="952"/>
      <c r="ANK107" s="952"/>
      <c r="ANL107" s="952"/>
      <c r="ANM107" s="952"/>
      <c r="ANN107" s="952"/>
      <c r="ANO107" s="952"/>
      <c r="ANP107" s="952"/>
      <c r="ANQ107" s="952"/>
      <c r="ANR107" s="952"/>
      <c r="ANS107" s="952"/>
      <c r="ANT107" s="952"/>
      <c r="ANU107" s="952"/>
      <c r="ANV107" s="952"/>
      <c r="ANW107" s="952"/>
      <c r="ANX107" s="952"/>
      <c r="ANY107" s="952"/>
      <c r="ANZ107" s="952"/>
      <c r="AOA107" s="952"/>
      <c r="AOB107" s="952"/>
      <c r="AOC107" s="952"/>
      <c r="AOD107" s="952"/>
      <c r="AOE107" s="952"/>
      <c r="AOF107" s="952"/>
      <c r="AOG107" s="952"/>
      <c r="AOH107" s="952"/>
      <c r="AOI107" s="952"/>
      <c r="AOJ107" s="952"/>
      <c r="AOK107" s="952"/>
      <c r="AOL107" s="952"/>
      <c r="AOM107" s="952"/>
      <c r="AON107" s="952"/>
      <c r="AOO107" s="952"/>
      <c r="AOP107" s="952"/>
      <c r="AOQ107" s="952"/>
      <c r="AOR107" s="952"/>
      <c r="AOS107" s="952"/>
      <c r="AOT107" s="952"/>
      <c r="AOU107" s="952"/>
      <c r="AOV107" s="952"/>
      <c r="AOW107" s="952"/>
      <c r="AOX107" s="952"/>
      <c r="AOY107" s="952"/>
      <c r="AOZ107" s="952"/>
      <c r="APA107" s="952"/>
      <c r="APB107" s="952"/>
      <c r="APC107" s="952"/>
      <c r="APD107" s="952"/>
      <c r="APE107" s="952"/>
      <c r="APF107" s="952"/>
      <c r="APG107" s="952"/>
      <c r="APH107" s="952"/>
      <c r="API107" s="952"/>
      <c r="APJ107" s="952"/>
      <c r="APK107" s="952"/>
      <c r="APL107" s="952"/>
      <c r="APM107" s="952"/>
      <c r="APN107" s="952"/>
      <c r="APO107" s="952"/>
      <c r="APP107" s="952"/>
      <c r="APQ107" s="952"/>
      <c r="APR107" s="952"/>
      <c r="APS107" s="952"/>
      <c r="APT107" s="952"/>
      <c r="APU107" s="952"/>
      <c r="APV107" s="952"/>
      <c r="APW107" s="952"/>
      <c r="APX107" s="952"/>
      <c r="APY107" s="952"/>
      <c r="APZ107" s="952"/>
      <c r="AQA107" s="952"/>
      <c r="AQB107" s="952"/>
      <c r="AQC107" s="952"/>
      <c r="AQD107" s="952"/>
      <c r="AQE107" s="952"/>
      <c r="AQF107" s="952"/>
      <c r="AQG107" s="952"/>
      <c r="AQH107" s="952"/>
      <c r="AQI107" s="952"/>
      <c r="AQJ107" s="952"/>
      <c r="AQK107" s="952"/>
      <c r="AQL107" s="952"/>
      <c r="AQM107" s="952"/>
      <c r="AQN107" s="952"/>
      <c r="AQO107" s="952"/>
      <c r="AQP107" s="952"/>
      <c r="AQQ107" s="952"/>
      <c r="AQR107" s="952"/>
      <c r="AQS107" s="952"/>
      <c r="AQT107" s="952"/>
      <c r="AQU107" s="952"/>
      <c r="AQV107" s="952"/>
      <c r="AQW107" s="952"/>
      <c r="AQX107" s="952"/>
      <c r="AQY107" s="952"/>
      <c r="AQZ107" s="952"/>
      <c r="ARA107" s="952"/>
      <c r="ARB107" s="952"/>
      <c r="ARC107" s="952"/>
      <c r="ARD107" s="952"/>
      <c r="ARE107" s="952"/>
      <c r="ARF107" s="952"/>
      <c r="ARG107" s="952"/>
      <c r="ARH107" s="952"/>
      <c r="ARI107" s="952"/>
      <c r="ARJ107" s="952"/>
      <c r="ARK107" s="952"/>
      <c r="ARL107" s="952"/>
      <c r="ARM107" s="952"/>
      <c r="ARN107" s="952"/>
      <c r="ARO107" s="952"/>
      <c r="ARP107" s="952"/>
      <c r="ARQ107" s="952"/>
      <c r="ARR107" s="952"/>
      <c r="ARS107" s="952"/>
      <c r="ART107" s="952"/>
      <c r="ARU107" s="952"/>
      <c r="ARV107" s="952"/>
      <c r="ARW107" s="952"/>
      <c r="ARX107" s="952"/>
      <c r="ARY107" s="952"/>
      <c r="ARZ107" s="952"/>
      <c r="ASA107" s="952"/>
      <c r="ASB107" s="952"/>
      <c r="ASC107" s="952"/>
      <c r="ASD107" s="952"/>
      <c r="ASE107" s="952"/>
      <c r="ASF107" s="952"/>
      <c r="ASG107" s="952"/>
      <c r="ASH107" s="952"/>
      <c r="ASI107" s="952"/>
      <c r="ASJ107" s="952"/>
      <c r="ASK107" s="952"/>
      <c r="ASL107" s="952"/>
      <c r="ASM107" s="952"/>
      <c r="ASN107" s="952"/>
      <c r="ASO107" s="952"/>
      <c r="ASP107" s="952"/>
      <c r="ASQ107" s="952"/>
      <c r="ASR107" s="952"/>
      <c r="ASS107" s="952"/>
      <c r="AST107" s="952"/>
      <c r="ASU107" s="952"/>
      <c r="ASV107" s="952"/>
      <c r="ASW107" s="952"/>
      <c r="ASX107" s="952"/>
      <c r="ASY107" s="952"/>
      <c r="ASZ107" s="952"/>
      <c r="ATA107" s="952"/>
      <c r="ATB107" s="952"/>
      <c r="ATC107" s="952"/>
      <c r="ATD107" s="952"/>
      <c r="ATE107" s="952"/>
      <c r="ATF107" s="952"/>
      <c r="ATG107" s="952"/>
      <c r="ATH107" s="952"/>
      <c r="ATI107" s="952"/>
      <c r="ATJ107" s="952"/>
      <c r="ATK107" s="952"/>
      <c r="ATL107" s="952"/>
      <c r="ATM107" s="952"/>
      <c r="ATN107" s="952"/>
      <c r="ATO107" s="952"/>
      <c r="ATP107" s="952"/>
      <c r="ATQ107" s="952"/>
      <c r="ATR107" s="952"/>
      <c r="ATS107" s="952"/>
      <c r="ATT107" s="952"/>
      <c r="ATU107" s="952"/>
      <c r="ATV107" s="952"/>
      <c r="ATW107" s="952"/>
      <c r="ATX107" s="952"/>
      <c r="ATY107" s="952"/>
      <c r="ATZ107" s="952"/>
      <c r="AUA107" s="952"/>
      <c r="AUB107" s="952"/>
      <c r="AUC107" s="952"/>
      <c r="AUD107" s="952"/>
      <c r="AUE107" s="952"/>
      <c r="AUF107" s="952"/>
      <c r="AUG107" s="952"/>
      <c r="AUH107" s="952"/>
      <c r="AUI107" s="952"/>
      <c r="AUJ107" s="952"/>
      <c r="AUK107" s="952"/>
      <c r="AUL107" s="952"/>
      <c r="AUM107" s="952"/>
      <c r="AUN107" s="952"/>
      <c r="AUO107" s="952"/>
      <c r="AUP107" s="952"/>
      <c r="AUQ107" s="952"/>
      <c r="AUR107" s="952"/>
      <c r="AUS107" s="952"/>
      <c r="AUT107" s="952"/>
      <c r="AUU107" s="952"/>
      <c r="AUV107" s="952"/>
      <c r="AUW107" s="952"/>
      <c r="AUX107" s="952"/>
      <c r="AUY107" s="952"/>
      <c r="AUZ107" s="952"/>
      <c r="AVA107" s="952"/>
      <c r="AVB107" s="952"/>
      <c r="AVC107" s="952"/>
      <c r="AVD107" s="952"/>
      <c r="AVE107" s="952"/>
      <c r="AVF107" s="952"/>
      <c r="AVG107" s="952"/>
      <c r="AVH107" s="952"/>
      <c r="AVI107" s="952"/>
      <c r="AVJ107" s="952"/>
      <c r="AVK107" s="952"/>
      <c r="AVL107" s="952"/>
      <c r="AVM107" s="952"/>
      <c r="AVN107" s="952"/>
      <c r="AVO107" s="952"/>
      <c r="AVP107" s="952"/>
      <c r="AVQ107" s="952"/>
      <c r="AVR107" s="952"/>
      <c r="AVS107" s="952"/>
      <c r="AVT107" s="952"/>
      <c r="AVU107" s="952"/>
      <c r="AVV107" s="952"/>
      <c r="AVW107" s="952"/>
      <c r="AVX107" s="952"/>
      <c r="AVY107" s="952"/>
      <c r="AVZ107" s="952"/>
      <c r="AWA107" s="952"/>
      <c r="AWB107" s="952"/>
      <c r="AWC107" s="952"/>
      <c r="AWD107" s="952"/>
      <c r="AWE107" s="952"/>
      <c r="AWF107" s="952"/>
      <c r="AWG107" s="952"/>
      <c r="AWH107" s="952"/>
      <c r="AWI107" s="952"/>
      <c r="AWJ107" s="952"/>
      <c r="AWK107" s="952"/>
      <c r="AWL107" s="952"/>
      <c r="AWM107" s="952"/>
      <c r="AWN107" s="952"/>
      <c r="AWO107" s="952"/>
      <c r="AWP107" s="952"/>
      <c r="AWQ107" s="952"/>
      <c r="AWR107" s="952"/>
      <c r="AWS107" s="952"/>
      <c r="AWT107" s="952"/>
      <c r="AWU107" s="952"/>
      <c r="AWV107" s="952"/>
      <c r="AWW107" s="952"/>
      <c r="AWX107" s="952"/>
      <c r="AWY107" s="952"/>
      <c r="AWZ107" s="952"/>
      <c r="AXA107" s="952"/>
      <c r="AXB107" s="952"/>
      <c r="AXC107" s="952"/>
      <c r="AXD107" s="952"/>
      <c r="AXE107" s="952"/>
      <c r="AXF107" s="952"/>
      <c r="AXG107" s="952"/>
      <c r="AXH107" s="952"/>
      <c r="AXI107" s="952"/>
      <c r="AXJ107" s="952"/>
      <c r="AXK107" s="952"/>
      <c r="AXL107" s="952"/>
      <c r="AXM107" s="952"/>
      <c r="AXN107" s="952"/>
      <c r="AXO107" s="952"/>
      <c r="AXP107" s="952"/>
      <c r="AXQ107" s="952"/>
      <c r="AXR107" s="952"/>
      <c r="AXS107" s="952"/>
      <c r="AXT107" s="952"/>
      <c r="AXU107" s="952"/>
      <c r="AXV107" s="952"/>
      <c r="AXW107" s="952"/>
      <c r="AXX107" s="952"/>
      <c r="AXY107" s="952"/>
      <c r="AXZ107" s="952"/>
      <c r="AYA107" s="952"/>
      <c r="AYB107" s="952"/>
      <c r="AYC107" s="952"/>
      <c r="AYD107" s="952"/>
      <c r="AYE107" s="952"/>
      <c r="AYF107" s="952"/>
      <c r="AYG107" s="952"/>
      <c r="AYH107" s="952"/>
      <c r="AYI107" s="952"/>
      <c r="AYJ107" s="952"/>
      <c r="AYK107" s="952"/>
      <c r="AYL107" s="952"/>
      <c r="AYM107" s="952"/>
      <c r="AYN107" s="952"/>
      <c r="AYO107" s="952"/>
      <c r="AYP107" s="952"/>
      <c r="AYQ107" s="952"/>
      <c r="AYR107" s="952"/>
      <c r="AYS107" s="952"/>
      <c r="AYT107" s="952"/>
      <c r="AYU107" s="952"/>
      <c r="AYV107" s="952"/>
      <c r="AYW107" s="952"/>
      <c r="AYX107" s="952"/>
      <c r="AYY107" s="952"/>
      <c r="AYZ107" s="952"/>
      <c r="AZA107" s="952"/>
      <c r="AZB107" s="952"/>
      <c r="AZC107" s="952"/>
      <c r="AZD107" s="952"/>
      <c r="AZE107" s="952"/>
      <c r="AZF107" s="952"/>
      <c r="AZG107" s="952"/>
      <c r="AZH107" s="952"/>
      <c r="AZI107" s="952"/>
      <c r="AZJ107" s="952"/>
      <c r="AZK107" s="952"/>
      <c r="AZL107" s="952"/>
      <c r="AZM107" s="952"/>
      <c r="AZN107" s="952"/>
      <c r="AZO107" s="952"/>
      <c r="AZP107" s="952"/>
      <c r="AZQ107" s="952"/>
      <c r="AZR107" s="952"/>
      <c r="AZS107" s="952"/>
      <c r="AZT107" s="952"/>
      <c r="AZU107" s="952"/>
      <c r="AZV107" s="952"/>
      <c r="AZW107" s="952"/>
      <c r="AZX107" s="952"/>
      <c r="AZY107" s="952"/>
      <c r="AZZ107" s="952"/>
      <c r="BAA107" s="952"/>
      <c r="BAB107" s="952"/>
      <c r="BAC107" s="952"/>
      <c r="BAD107" s="952"/>
      <c r="BAE107" s="952"/>
      <c r="BAF107" s="952"/>
      <c r="BAG107" s="952"/>
      <c r="BAH107" s="952"/>
      <c r="BAI107" s="952"/>
      <c r="BAJ107" s="952"/>
      <c r="BAK107" s="952"/>
      <c r="BAL107" s="952"/>
      <c r="BAM107" s="952"/>
      <c r="BAN107" s="952"/>
      <c r="BAO107" s="952"/>
      <c r="BAP107" s="952"/>
      <c r="BAQ107" s="952"/>
      <c r="BAR107" s="952"/>
      <c r="BAS107" s="952"/>
      <c r="BAT107" s="952"/>
      <c r="BAU107" s="952"/>
      <c r="BAV107" s="952"/>
      <c r="BAW107" s="952"/>
      <c r="BAX107" s="952"/>
      <c r="BAY107" s="952"/>
      <c r="BAZ107" s="952"/>
      <c r="BBA107" s="952"/>
      <c r="BBB107" s="952"/>
      <c r="BBC107" s="952"/>
      <c r="BBD107" s="952"/>
      <c r="BBE107" s="952"/>
      <c r="BBF107" s="952"/>
      <c r="BBG107" s="952"/>
      <c r="BBH107" s="952"/>
      <c r="BBI107" s="952"/>
      <c r="BBJ107" s="952"/>
      <c r="BBK107" s="952"/>
      <c r="BBL107" s="952"/>
      <c r="BBM107" s="952"/>
      <c r="BBN107" s="952"/>
      <c r="BBO107" s="952"/>
      <c r="BBP107" s="952"/>
      <c r="BBQ107" s="952"/>
      <c r="BBR107" s="952"/>
      <c r="BBS107" s="952"/>
      <c r="BBT107" s="952"/>
      <c r="BBU107" s="952"/>
      <c r="BBV107" s="952"/>
      <c r="BBW107" s="952"/>
      <c r="BBX107" s="952"/>
      <c r="BBY107" s="952"/>
      <c r="BBZ107" s="952"/>
      <c r="BCA107" s="952"/>
      <c r="BCB107" s="952"/>
      <c r="BCC107" s="952"/>
      <c r="BCD107" s="952"/>
      <c r="BCE107" s="952"/>
      <c r="BCF107" s="952"/>
      <c r="BCG107" s="952"/>
      <c r="BCH107" s="952"/>
      <c r="BCI107" s="952"/>
      <c r="BCJ107" s="952"/>
      <c r="BCK107" s="952"/>
      <c r="BCL107" s="952"/>
      <c r="BCM107" s="952"/>
      <c r="BCN107" s="952"/>
      <c r="BCO107" s="952"/>
      <c r="BCP107" s="952"/>
      <c r="BCQ107" s="952"/>
      <c r="BCR107" s="952"/>
      <c r="BCS107" s="952"/>
      <c r="BCT107" s="952"/>
      <c r="BCU107" s="952"/>
      <c r="BCV107" s="952"/>
      <c r="BCW107" s="952"/>
      <c r="BCX107" s="952"/>
      <c r="BCY107" s="952"/>
      <c r="BCZ107" s="952"/>
      <c r="BDA107" s="952"/>
      <c r="BDB107" s="952"/>
      <c r="BDC107" s="952"/>
      <c r="BDD107" s="952"/>
      <c r="BDE107" s="952"/>
      <c r="BDF107" s="952"/>
      <c r="BDG107" s="952"/>
      <c r="BDH107" s="952"/>
      <c r="BDI107" s="952"/>
      <c r="BDJ107" s="952"/>
      <c r="BDK107" s="952"/>
      <c r="BDL107" s="952"/>
      <c r="BDM107" s="952"/>
      <c r="BDN107" s="952"/>
      <c r="BDO107" s="952"/>
      <c r="BDP107" s="952"/>
      <c r="BDQ107" s="952"/>
      <c r="BDR107" s="952"/>
      <c r="BDS107" s="952"/>
      <c r="BDT107" s="952"/>
      <c r="BDU107" s="952"/>
      <c r="BDV107" s="952"/>
      <c r="BDW107" s="952"/>
      <c r="BDX107" s="952"/>
      <c r="BDY107" s="952"/>
      <c r="BDZ107" s="952"/>
      <c r="BEA107" s="952"/>
      <c r="BEB107" s="952"/>
      <c r="BEC107" s="952"/>
      <c r="BED107" s="952"/>
      <c r="BEE107" s="952"/>
      <c r="BEF107" s="952"/>
      <c r="BEG107" s="952"/>
      <c r="BEH107" s="952"/>
      <c r="BEI107" s="952"/>
      <c r="BEJ107" s="952"/>
      <c r="BEK107" s="952"/>
      <c r="BEL107" s="952"/>
      <c r="BEM107" s="952"/>
      <c r="BEN107" s="952"/>
      <c r="BEO107" s="952"/>
      <c r="BEP107" s="952"/>
      <c r="BEQ107" s="952"/>
      <c r="BER107" s="952"/>
      <c r="BES107" s="952"/>
      <c r="BET107" s="952"/>
      <c r="BEU107" s="952"/>
      <c r="BEV107" s="952"/>
      <c r="BEW107" s="952"/>
      <c r="BEX107" s="952"/>
      <c r="BEY107" s="952"/>
      <c r="BEZ107" s="952"/>
      <c r="BFA107" s="952"/>
      <c r="BFB107" s="952"/>
      <c r="BFC107" s="952"/>
      <c r="BFD107" s="952"/>
      <c r="BFE107" s="952"/>
      <c r="BFF107" s="952"/>
      <c r="BFG107" s="952"/>
      <c r="BFH107" s="952"/>
      <c r="BFI107" s="952"/>
      <c r="BFJ107" s="952"/>
      <c r="BFK107" s="952"/>
      <c r="BFL107" s="952"/>
      <c r="BFM107" s="952"/>
      <c r="BFN107" s="952"/>
      <c r="BFO107" s="952"/>
      <c r="BFP107" s="952"/>
      <c r="BFQ107" s="952"/>
      <c r="BFR107" s="952"/>
      <c r="BFS107" s="952"/>
      <c r="BFT107" s="952"/>
      <c r="BFU107" s="952"/>
      <c r="BFV107" s="952"/>
      <c r="BFW107" s="952"/>
      <c r="BFX107" s="952"/>
      <c r="BFY107" s="952"/>
      <c r="BFZ107" s="952"/>
      <c r="BGA107" s="952"/>
      <c r="BGB107" s="952"/>
      <c r="BGC107" s="952"/>
      <c r="BGD107" s="952"/>
      <c r="BGE107" s="952"/>
      <c r="BGF107" s="952"/>
      <c r="BGG107" s="952"/>
      <c r="BGH107" s="952"/>
      <c r="BGI107" s="952"/>
      <c r="BGJ107" s="952"/>
      <c r="BGK107" s="952"/>
      <c r="BGL107" s="952"/>
      <c r="BGM107" s="952"/>
      <c r="BGN107" s="952"/>
      <c r="BGO107" s="952"/>
      <c r="BGP107" s="952"/>
      <c r="BGQ107" s="952"/>
      <c r="BGR107" s="952"/>
      <c r="BGS107" s="952"/>
      <c r="BGT107" s="952"/>
      <c r="BGU107" s="952"/>
      <c r="BGV107" s="952"/>
      <c r="BGW107" s="952"/>
      <c r="BGX107" s="952"/>
      <c r="BGY107" s="952"/>
      <c r="BGZ107" s="952"/>
      <c r="BHA107" s="952"/>
      <c r="BHB107" s="952"/>
      <c r="BHC107" s="952"/>
      <c r="BHD107" s="952"/>
      <c r="BHE107" s="952"/>
      <c r="BHF107" s="952"/>
      <c r="BHG107" s="952"/>
      <c r="BHH107" s="952"/>
      <c r="BHI107" s="952"/>
      <c r="BHJ107" s="952"/>
      <c r="BHK107" s="952"/>
      <c r="BHL107" s="952"/>
      <c r="BHM107" s="952"/>
      <c r="BHN107" s="952"/>
      <c r="BHO107" s="952"/>
      <c r="BHP107" s="952"/>
      <c r="BHQ107" s="952"/>
      <c r="BHR107" s="952"/>
      <c r="BHS107" s="952"/>
      <c r="BHT107" s="952"/>
      <c r="BHU107" s="952"/>
      <c r="BHV107" s="952"/>
      <c r="BHW107" s="952"/>
      <c r="BHX107" s="952"/>
      <c r="BHY107" s="952"/>
      <c r="BHZ107" s="952"/>
      <c r="BIA107" s="952"/>
      <c r="BIB107" s="952"/>
      <c r="BIC107" s="952"/>
      <c r="BID107" s="952"/>
      <c r="BIE107" s="952"/>
      <c r="BIF107" s="952"/>
      <c r="BIG107" s="952"/>
      <c r="BIH107" s="952"/>
      <c r="BII107" s="952"/>
      <c r="BIJ107" s="952"/>
      <c r="BIK107" s="952"/>
      <c r="BIL107" s="952"/>
      <c r="BIM107" s="952"/>
      <c r="BIN107" s="952"/>
      <c r="BIO107" s="952"/>
      <c r="BIP107" s="952"/>
      <c r="BIQ107" s="952"/>
      <c r="BIR107" s="952"/>
      <c r="BIS107" s="952"/>
      <c r="BIT107" s="952"/>
      <c r="BIU107" s="952"/>
      <c r="BIV107" s="952"/>
      <c r="BIW107" s="952"/>
      <c r="BIX107" s="952"/>
      <c r="BIY107" s="952"/>
      <c r="BIZ107" s="952"/>
      <c r="BJA107" s="952"/>
      <c r="BJB107" s="952"/>
      <c r="BJC107" s="952"/>
      <c r="BJD107" s="952"/>
      <c r="BJE107" s="952"/>
      <c r="BJF107" s="952"/>
      <c r="BJG107" s="952"/>
      <c r="BJH107" s="952"/>
      <c r="BJI107" s="952"/>
      <c r="BJJ107" s="952"/>
      <c r="BJK107" s="952"/>
      <c r="BJL107" s="952"/>
      <c r="BJM107" s="952"/>
      <c r="BJN107" s="952"/>
      <c r="BJO107" s="952"/>
      <c r="BJP107" s="952"/>
      <c r="BJQ107" s="952"/>
      <c r="BJR107" s="952"/>
      <c r="BJS107" s="952"/>
      <c r="BJT107" s="952"/>
      <c r="BJU107" s="952"/>
      <c r="BJV107" s="952"/>
      <c r="BJW107" s="952"/>
      <c r="BJX107" s="952"/>
      <c r="BJY107" s="952"/>
      <c r="BJZ107" s="952"/>
      <c r="BKA107" s="952"/>
      <c r="BKB107" s="952"/>
      <c r="BKC107" s="952"/>
      <c r="BKD107" s="952"/>
      <c r="BKE107" s="952"/>
      <c r="BKF107" s="952"/>
      <c r="BKG107" s="952"/>
      <c r="BKH107" s="952"/>
      <c r="BKI107" s="952"/>
      <c r="BKJ107" s="952"/>
      <c r="BKK107" s="952"/>
      <c r="BKL107" s="952"/>
      <c r="BKM107" s="952"/>
      <c r="BKN107" s="952"/>
      <c r="BKO107" s="952"/>
      <c r="BKP107" s="952"/>
      <c r="BKQ107" s="952"/>
      <c r="BKR107" s="952"/>
      <c r="BKS107" s="952"/>
      <c r="BKT107" s="952"/>
      <c r="BKU107" s="952"/>
      <c r="BKV107" s="952"/>
      <c r="BKW107" s="952"/>
      <c r="BKX107" s="952"/>
      <c r="BKY107" s="952"/>
      <c r="BKZ107" s="952"/>
      <c r="BLA107" s="952"/>
      <c r="BLB107" s="952"/>
      <c r="BLC107" s="952"/>
      <c r="BLD107" s="952"/>
      <c r="BLE107" s="952"/>
      <c r="BLF107" s="952"/>
      <c r="BLG107" s="952"/>
      <c r="BLH107" s="952"/>
      <c r="BLI107" s="952"/>
      <c r="BLJ107" s="952"/>
      <c r="BLK107" s="952"/>
      <c r="BLL107" s="952"/>
      <c r="BLM107" s="952"/>
      <c r="BLN107" s="952"/>
      <c r="BLO107" s="952"/>
      <c r="BLP107" s="952"/>
      <c r="BLQ107" s="952"/>
      <c r="BLR107" s="952"/>
      <c r="BLS107" s="952"/>
      <c r="BLT107" s="952"/>
      <c r="BLU107" s="952"/>
      <c r="BLV107" s="952"/>
      <c r="BLW107" s="952"/>
      <c r="BLX107" s="952"/>
      <c r="BLY107" s="952"/>
      <c r="BLZ107" s="952"/>
      <c r="BMA107" s="952"/>
      <c r="BMB107" s="952"/>
      <c r="BMC107" s="952"/>
      <c r="BMD107" s="952"/>
      <c r="BME107" s="952"/>
      <c r="BMF107" s="952"/>
      <c r="BMG107" s="952"/>
      <c r="BMH107" s="952"/>
      <c r="BMI107" s="952"/>
      <c r="BMJ107" s="952"/>
      <c r="BMK107" s="952"/>
      <c r="BML107" s="952"/>
      <c r="BMM107" s="952"/>
      <c r="BMN107" s="952"/>
      <c r="BMO107" s="952"/>
      <c r="BMP107" s="952"/>
      <c r="BMQ107" s="952"/>
      <c r="BMR107" s="952"/>
      <c r="BMS107" s="952"/>
      <c r="BMT107" s="952"/>
      <c r="BMU107" s="952"/>
      <c r="BMV107" s="952"/>
      <c r="BMW107" s="952"/>
      <c r="BMX107" s="952"/>
      <c r="BMY107" s="952"/>
      <c r="BMZ107" s="952"/>
      <c r="BNA107" s="952"/>
      <c r="BNB107" s="952"/>
      <c r="BNC107" s="952"/>
      <c r="BND107" s="952"/>
      <c r="BNE107" s="952"/>
      <c r="BNF107" s="952"/>
      <c r="BNG107" s="952"/>
      <c r="BNH107" s="952"/>
      <c r="BNI107" s="952"/>
      <c r="BNJ107" s="952"/>
      <c r="BNK107" s="952"/>
      <c r="BNL107" s="952"/>
      <c r="BNM107" s="952"/>
      <c r="BNN107" s="952"/>
      <c r="BNO107" s="952"/>
      <c r="BNP107" s="952"/>
      <c r="BNQ107" s="952"/>
      <c r="BNR107" s="952"/>
      <c r="BNS107" s="952"/>
      <c r="BNT107" s="952"/>
      <c r="BNU107" s="952"/>
      <c r="BNV107" s="952"/>
      <c r="BNW107" s="952"/>
      <c r="BNX107" s="952"/>
      <c r="BNY107" s="952"/>
      <c r="BNZ107" s="952"/>
      <c r="BOA107" s="952"/>
      <c r="BOB107" s="952"/>
      <c r="BOC107" s="952"/>
      <c r="BOD107" s="952"/>
      <c r="BOE107" s="952"/>
      <c r="BOF107" s="952"/>
      <c r="BOG107" s="952"/>
      <c r="BOH107" s="952"/>
      <c r="BOI107" s="952"/>
      <c r="BOJ107" s="952"/>
      <c r="BOK107" s="952"/>
      <c r="BOL107" s="952"/>
      <c r="BOM107" s="952"/>
      <c r="BON107" s="952"/>
      <c r="BOO107" s="952"/>
      <c r="BOP107" s="952"/>
      <c r="BOQ107" s="952"/>
      <c r="BOR107" s="952"/>
      <c r="BOS107" s="952"/>
      <c r="BOT107" s="952"/>
      <c r="BOU107" s="952"/>
      <c r="BOV107" s="952"/>
      <c r="BOW107" s="952"/>
      <c r="BOX107" s="952"/>
      <c r="BOY107" s="952"/>
      <c r="BOZ107" s="952"/>
      <c r="BPA107" s="952"/>
      <c r="BPB107" s="952"/>
      <c r="BPC107" s="952"/>
      <c r="BPD107" s="952"/>
      <c r="BPE107" s="952"/>
      <c r="BPF107" s="952"/>
      <c r="BPG107" s="952"/>
      <c r="BPH107" s="952"/>
      <c r="BPI107" s="952"/>
      <c r="BPJ107" s="952"/>
      <c r="BPK107" s="952"/>
      <c r="BPL107" s="952"/>
      <c r="BPM107" s="952"/>
      <c r="BPN107" s="952"/>
      <c r="BPO107" s="952"/>
      <c r="BPP107" s="952"/>
      <c r="BPQ107" s="952"/>
      <c r="BPR107" s="952"/>
      <c r="BPS107" s="952"/>
      <c r="BPT107" s="952"/>
      <c r="BPU107" s="952"/>
      <c r="BPV107" s="952"/>
      <c r="BPW107" s="952"/>
      <c r="BPX107" s="952"/>
      <c r="BPY107" s="952"/>
      <c r="BPZ107" s="952"/>
      <c r="BQA107" s="952"/>
      <c r="BQB107" s="952"/>
      <c r="BQC107" s="952"/>
      <c r="BQD107" s="952"/>
      <c r="BQE107" s="952"/>
      <c r="BQF107" s="952"/>
      <c r="BQG107" s="952"/>
      <c r="BQH107" s="952"/>
      <c r="BQI107" s="952"/>
      <c r="BQJ107" s="952"/>
      <c r="BQK107" s="952"/>
      <c r="BQL107" s="952"/>
      <c r="BQM107" s="952"/>
      <c r="BQN107" s="952"/>
      <c r="BQO107" s="952"/>
      <c r="BQP107" s="952"/>
      <c r="BQQ107" s="952"/>
      <c r="BQR107" s="952"/>
      <c r="BQS107" s="952"/>
      <c r="BQT107" s="952"/>
      <c r="BQU107" s="952"/>
      <c r="BQV107" s="952"/>
      <c r="BQW107" s="952"/>
      <c r="BQX107" s="952"/>
      <c r="BQY107" s="952"/>
      <c r="BQZ107" s="952"/>
      <c r="BRA107" s="952"/>
      <c r="BRB107" s="952"/>
      <c r="BRC107" s="952"/>
      <c r="BRD107" s="952"/>
      <c r="BRE107" s="952"/>
      <c r="BRF107" s="952"/>
      <c r="BRG107" s="952"/>
      <c r="BRH107" s="952"/>
      <c r="BRI107" s="952"/>
      <c r="BRJ107" s="952"/>
      <c r="BRK107" s="952"/>
      <c r="BRL107" s="952"/>
      <c r="BRM107" s="952"/>
      <c r="BRN107" s="952"/>
      <c r="BRO107" s="952"/>
      <c r="BRP107" s="952"/>
      <c r="BRQ107" s="952"/>
      <c r="BRR107" s="952"/>
      <c r="BRS107" s="952"/>
      <c r="BRT107" s="952"/>
      <c r="BRU107" s="952"/>
      <c r="BRV107" s="952"/>
      <c r="BRW107" s="952"/>
      <c r="BRX107" s="952"/>
      <c r="BRY107" s="952"/>
      <c r="BRZ107" s="952"/>
      <c r="BSA107" s="952"/>
      <c r="BSB107" s="952"/>
      <c r="BSC107" s="952"/>
      <c r="BSD107" s="952"/>
      <c r="BSE107" s="952"/>
      <c r="BSF107" s="952"/>
      <c r="BSG107" s="952"/>
      <c r="BSH107" s="952"/>
      <c r="BSI107" s="952"/>
      <c r="BSJ107" s="952"/>
      <c r="BSK107" s="952"/>
      <c r="BSL107" s="952"/>
      <c r="BSM107" s="952"/>
      <c r="BSN107" s="952"/>
      <c r="BSO107" s="952"/>
      <c r="BSP107" s="952"/>
      <c r="BSQ107" s="952"/>
      <c r="BSR107" s="952"/>
      <c r="BSS107" s="952"/>
      <c r="BST107" s="952"/>
      <c r="BSU107" s="952"/>
      <c r="BSV107" s="952"/>
      <c r="BSW107" s="952"/>
      <c r="BSX107" s="952"/>
      <c r="BSY107" s="952"/>
      <c r="BSZ107" s="952"/>
      <c r="BTA107" s="952"/>
      <c r="BTB107" s="952"/>
      <c r="BTC107" s="952"/>
      <c r="BTD107" s="952"/>
      <c r="BTE107" s="952"/>
      <c r="BTF107" s="952"/>
      <c r="BTG107" s="952"/>
      <c r="BTH107" s="952"/>
      <c r="BTI107" s="952"/>
      <c r="BTJ107" s="952"/>
      <c r="BTK107" s="952"/>
      <c r="BTL107" s="952"/>
      <c r="BTM107" s="952"/>
      <c r="BTN107" s="952"/>
      <c r="BTO107" s="952"/>
      <c r="BTP107" s="952"/>
      <c r="BTQ107" s="952"/>
      <c r="BTR107" s="952"/>
      <c r="BTS107" s="952"/>
      <c r="BTT107" s="952"/>
      <c r="BTU107" s="952"/>
      <c r="BTV107" s="952"/>
      <c r="BTW107" s="952"/>
      <c r="BTX107" s="952"/>
      <c r="BTY107" s="952"/>
      <c r="BTZ107" s="952"/>
      <c r="BUA107" s="952"/>
      <c r="BUB107" s="952"/>
      <c r="BUC107" s="952"/>
      <c r="BUD107" s="952"/>
      <c r="BUE107" s="952"/>
      <c r="BUF107" s="952"/>
      <c r="BUG107" s="952"/>
      <c r="BUH107" s="952"/>
      <c r="BUI107" s="952"/>
      <c r="BUJ107" s="952"/>
      <c r="BUK107" s="952"/>
      <c r="BUL107" s="952"/>
      <c r="BUM107" s="952"/>
      <c r="BUN107" s="952"/>
      <c r="BUO107" s="952"/>
      <c r="BUP107" s="952"/>
      <c r="BUQ107" s="952"/>
      <c r="BUR107" s="952"/>
      <c r="BUS107" s="952"/>
      <c r="BUT107" s="952"/>
      <c r="BUU107" s="952"/>
      <c r="BUV107" s="952"/>
      <c r="BUW107" s="952"/>
      <c r="BUX107" s="952"/>
      <c r="BUY107" s="952"/>
      <c r="BUZ107" s="952"/>
      <c r="BVA107" s="952"/>
      <c r="BVB107" s="952"/>
      <c r="BVC107" s="952"/>
      <c r="BVD107" s="952"/>
      <c r="BVE107" s="952"/>
      <c r="BVF107" s="952"/>
      <c r="BVG107" s="952"/>
      <c r="BVH107" s="952"/>
      <c r="BVI107" s="952"/>
      <c r="BVJ107" s="952"/>
      <c r="BVK107" s="952"/>
      <c r="BVL107" s="952"/>
      <c r="BVM107" s="952"/>
      <c r="BVN107" s="952"/>
      <c r="BVO107" s="952"/>
      <c r="BVP107" s="952"/>
      <c r="BVQ107" s="952"/>
      <c r="BVR107" s="952"/>
      <c r="BVS107" s="952"/>
      <c r="BVT107" s="952"/>
      <c r="BVU107" s="952"/>
      <c r="BVV107" s="952"/>
      <c r="BVW107" s="952"/>
      <c r="BVX107" s="952"/>
      <c r="BVY107" s="952"/>
      <c r="BVZ107" s="952"/>
      <c r="BWA107" s="952"/>
      <c r="BWB107" s="952"/>
      <c r="BWC107" s="952"/>
      <c r="BWD107" s="952"/>
      <c r="BWE107" s="952"/>
      <c r="BWF107" s="952"/>
      <c r="BWG107" s="952"/>
      <c r="BWH107" s="952"/>
      <c r="BWI107" s="952"/>
      <c r="BWJ107" s="952"/>
      <c r="BWK107" s="952"/>
      <c r="BWL107" s="952"/>
      <c r="BWM107" s="952"/>
      <c r="BWN107" s="952"/>
      <c r="BWO107" s="952"/>
      <c r="BWP107" s="952"/>
      <c r="BWQ107" s="952"/>
      <c r="BWR107" s="952"/>
      <c r="BWS107" s="952"/>
      <c r="BWT107" s="952"/>
      <c r="BWU107" s="952"/>
      <c r="BWV107" s="952"/>
      <c r="BWW107" s="952"/>
      <c r="BWX107" s="952"/>
      <c r="BWY107" s="952"/>
      <c r="BWZ107" s="952"/>
      <c r="BXA107" s="952"/>
      <c r="BXB107" s="952"/>
      <c r="BXC107" s="952"/>
      <c r="BXD107" s="952"/>
      <c r="BXE107" s="952"/>
      <c r="BXF107" s="952"/>
      <c r="BXG107" s="952"/>
      <c r="BXH107" s="952"/>
      <c r="BXI107" s="952"/>
      <c r="BXJ107" s="952"/>
      <c r="BXK107" s="952"/>
      <c r="BXL107" s="952"/>
      <c r="BXM107" s="952"/>
      <c r="BXN107" s="952"/>
      <c r="BXO107" s="952"/>
      <c r="BXP107" s="952"/>
      <c r="BXQ107" s="952"/>
      <c r="BXR107" s="952"/>
      <c r="BXS107" s="952"/>
      <c r="BXT107" s="952"/>
      <c r="BXU107" s="952"/>
      <c r="BXV107" s="952"/>
      <c r="BXW107" s="952"/>
      <c r="BXX107" s="952"/>
      <c r="BXY107" s="952"/>
      <c r="BXZ107" s="952"/>
      <c r="BYA107" s="952"/>
      <c r="BYB107" s="952"/>
      <c r="BYC107" s="952"/>
      <c r="BYD107" s="952"/>
      <c r="BYE107" s="952"/>
      <c r="BYF107" s="952"/>
      <c r="BYG107" s="952"/>
      <c r="BYH107" s="952"/>
      <c r="BYI107" s="952"/>
      <c r="BYJ107" s="952"/>
      <c r="BYK107" s="952"/>
      <c r="BYL107" s="952"/>
      <c r="BYM107" s="952"/>
      <c r="BYN107" s="952"/>
      <c r="BYO107" s="952"/>
      <c r="BYP107" s="952"/>
      <c r="BYQ107" s="952"/>
      <c r="BYR107" s="952"/>
      <c r="BYS107" s="952"/>
      <c r="BYT107" s="952"/>
      <c r="BYU107" s="952"/>
      <c r="BYV107" s="952"/>
      <c r="BYW107" s="952"/>
      <c r="BYX107" s="952"/>
      <c r="BYY107" s="952"/>
      <c r="BYZ107" s="952"/>
      <c r="BZA107" s="952"/>
      <c r="BZB107" s="952"/>
      <c r="BZC107" s="952"/>
      <c r="BZD107" s="952"/>
      <c r="BZE107" s="952"/>
      <c r="BZF107" s="952"/>
      <c r="BZG107" s="952"/>
      <c r="BZH107" s="952"/>
      <c r="BZI107" s="952"/>
      <c r="BZJ107" s="952"/>
      <c r="BZK107" s="952"/>
      <c r="BZL107" s="952"/>
      <c r="BZM107" s="952"/>
      <c r="BZN107" s="952"/>
      <c r="BZO107" s="952"/>
      <c r="BZP107" s="952"/>
      <c r="BZQ107" s="952"/>
      <c r="BZR107" s="952"/>
      <c r="BZS107" s="952"/>
      <c r="BZT107" s="952"/>
      <c r="BZU107" s="952"/>
      <c r="BZV107" s="952"/>
      <c r="BZW107" s="952"/>
      <c r="BZX107" s="952"/>
      <c r="BZY107" s="952"/>
      <c r="BZZ107" s="952"/>
      <c r="CAA107" s="952"/>
      <c r="CAB107" s="952"/>
      <c r="CAC107" s="952"/>
      <c r="CAD107" s="952"/>
      <c r="CAE107" s="952"/>
      <c r="CAF107" s="952"/>
      <c r="CAG107" s="952"/>
      <c r="CAH107" s="952"/>
      <c r="CAI107" s="952"/>
      <c r="CAJ107" s="952"/>
      <c r="CAK107" s="952"/>
      <c r="CAL107" s="952"/>
      <c r="CAM107" s="952"/>
      <c r="CAN107" s="952"/>
      <c r="CAO107" s="952"/>
      <c r="CAP107" s="952"/>
      <c r="CAQ107" s="952"/>
      <c r="CAR107" s="952"/>
      <c r="CAS107" s="952"/>
      <c r="CAT107" s="952"/>
      <c r="CAU107" s="952"/>
      <c r="CAV107" s="952"/>
      <c r="CAW107" s="952"/>
      <c r="CAX107" s="952"/>
      <c r="CAY107" s="952"/>
      <c r="CAZ107" s="952"/>
      <c r="CBA107" s="952"/>
      <c r="CBB107" s="952"/>
      <c r="CBC107" s="952"/>
      <c r="CBD107" s="952"/>
      <c r="CBE107" s="952"/>
      <c r="CBF107" s="952"/>
      <c r="CBG107" s="952"/>
      <c r="CBH107" s="952"/>
      <c r="CBI107" s="952"/>
      <c r="CBJ107" s="952"/>
      <c r="CBK107" s="952"/>
      <c r="CBL107" s="952"/>
      <c r="CBM107" s="952"/>
      <c r="CBN107" s="952"/>
      <c r="CBO107" s="952"/>
      <c r="CBP107" s="952"/>
      <c r="CBQ107" s="952"/>
      <c r="CBR107" s="952"/>
      <c r="CBS107" s="952"/>
      <c r="CBT107" s="952"/>
      <c r="CBU107" s="952"/>
      <c r="CBV107" s="952"/>
      <c r="CBW107" s="952"/>
      <c r="CBX107" s="952"/>
      <c r="CBY107" s="952"/>
      <c r="CBZ107" s="952"/>
      <c r="CCA107" s="952"/>
      <c r="CCB107" s="952"/>
      <c r="CCC107" s="952"/>
      <c r="CCD107" s="952"/>
      <c r="CCE107" s="952"/>
      <c r="CCF107" s="952"/>
      <c r="CCG107" s="952"/>
      <c r="CCH107" s="952"/>
      <c r="CCI107" s="952"/>
      <c r="CCJ107" s="952"/>
      <c r="CCK107" s="952"/>
      <c r="CCL107" s="952"/>
      <c r="CCM107" s="952"/>
      <c r="CCN107" s="952"/>
      <c r="CCO107" s="952"/>
      <c r="CCP107" s="952"/>
      <c r="CCQ107" s="952"/>
      <c r="CCR107" s="952"/>
      <c r="CCS107" s="952"/>
      <c r="CCT107" s="952"/>
      <c r="CCU107" s="952"/>
      <c r="CCV107" s="952"/>
      <c r="CCW107" s="952"/>
      <c r="CCX107" s="952"/>
      <c r="CCY107" s="952"/>
      <c r="CCZ107" s="952"/>
      <c r="CDA107" s="952"/>
      <c r="CDB107" s="952"/>
      <c r="CDC107" s="952"/>
      <c r="CDD107" s="952"/>
      <c r="CDE107" s="952"/>
      <c r="CDF107" s="952"/>
      <c r="CDG107" s="952"/>
      <c r="CDH107" s="952"/>
      <c r="CDI107" s="952"/>
      <c r="CDJ107" s="952"/>
      <c r="CDK107" s="952"/>
      <c r="CDL107" s="952"/>
      <c r="CDM107" s="952"/>
      <c r="CDN107" s="952"/>
      <c r="CDO107" s="952"/>
      <c r="CDP107" s="952"/>
      <c r="CDQ107" s="952"/>
      <c r="CDR107" s="952"/>
      <c r="CDS107" s="952"/>
      <c r="CDT107" s="952"/>
      <c r="CDU107" s="952"/>
      <c r="CDV107" s="952"/>
      <c r="CDW107" s="952"/>
      <c r="CDX107" s="952"/>
      <c r="CDY107" s="952"/>
      <c r="CDZ107" s="952"/>
      <c r="CEA107" s="952"/>
      <c r="CEB107" s="952"/>
      <c r="CEC107" s="952"/>
      <c r="CED107" s="952"/>
      <c r="CEE107" s="952"/>
      <c r="CEF107" s="952"/>
      <c r="CEG107" s="952"/>
      <c r="CEH107" s="952"/>
      <c r="CEI107" s="952"/>
      <c r="CEJ107" s="952"/>
      <c r="CEK107" s="952"/>
      <c r="CEL107" s="952"/>
      <c r="CEM107" s="952"/>
      <c r="CEN107" s="952"/>
      <c r="CEO107" s="952"/>
      <c r="CEP107" s="952"/>
      <c r="CEQ107" s="952"/>
      <c r="CER107" s="952"/>
      <c r="CES107" s="952"/>
      <c r="CET107" s="952"/>
      <c r="CEU107" s="952"/>
      <c r="CEV107" s="952"/>
      <c r="CEW107" s="952"/>
      <c r="CEX107" s="952"/>
      <c r="CEY107" s="952"/>
      <c r="CEZ107" s="952"/>
      <c r="CFA107" s="952"/>
      <c r="CFB107" s="952"/>
      <c r="CFC107" s="952"/>
      <c r="CFD107" s="952"/>
      <c r="CFE107" s="952"/>
      <c r="CFF107" s="952"/>
      <c r="CFG107" s="952"/>
      <c r="CFH107" s="952"/>
      <c r="CFI107" s="952"/>
      <c r="CFJ107" s="952"/>
      <c r="CFK107" s="952"/>
      <c r="CFL107" s="952"/>
      <c r="CFM107" s="952"/>
      <c r="CFN107" s="952"/>
      <c r="CFO107" s="952"/>
      <c r="CFP107" s="952"/>
      <c r="CFQ107" s="952"/>
      <c r="CFR107" s="952"/>
      <c r="CFS107" s="952"/>
      <c r="CFT107" s="952"/>
      <c r="CFU107" s="952"/>
      <c r="CFV107" s="952"/>
      <c r="CFW107" s="952"/>
      <c r="CFX107" s="952"/>
      <c r="CFY107" s="952"/>
      <c r="CFZ107" s="952"/>
      <c r="CGA107" s="952"/>
      <c r="CGB107" s="952"/>
      <c r="CGC107" s="952"/>
      <c r="CGD107" s="952"/>
      <c r="CGE107" s="952"/>
      <c r="CGF107" s="952"/>
      <c r="CGG107" s="952"/>
      <c r="CGH107" s="952"/>
      <c r="CGI107" s="952"/>
      <c r="CGJ107" s="952"/>
      <c r="CGK107" s="952"/>
      <c r="CGL107" s="952"/>
      <c r="CGM107" s="952"/>
      <c r="CGN107" s="952"/>
      <c r="CGO107" s="952"/>
      <c r="CGP107" s="952"/>
      <c r="CGQ107" s="952"/>
      <c r="CGR107" s="952"/>
      <c r="CGS107" s="952"/>
      <c r="CGT107" s="952"/>
      <c r="CGU107" s="952"/>
      <c r="CGV107" s="952"/>
      <c r="CGW107" s="952"/>
      <c r="CGX107" s="952"/>
      <c r="CGY107" s="952"/>
      <c r="CGZ107" s="952"/>
      <c r="CHA107" s="952"/>
      <c r="CHB107" s="952"/>
      <c r="CHC107" s="952"/>
      <c r="CHD107" s="952"/>
      <c r="CHE107" s="952"/>
      <c r="CHF107" s="952"/>
      <c r="CHG107" s="952"/>
      <c r="CHH107" s="952"/>
      <c r="CHI107" s="952"/>
      <c r="CHJ107" s="952"/>
      <c r="CHK107" s="952"/>
      <c r="CHL107" s="952"/>
      <c r="CHM107" s="952"/>
      <c r="CHN107" s="952"/>
      <c r="CHO107" s="952"/>
      <c r="CHP107" s="952"/>
      <c r="CHQ107" s="952"/>
      <c r="CHR107" s="952"/>
      <c r="CHS107" s="952"/>
      <c r="CHT107" s="952"/>
      <c r="CHU107" s="952"/>
      <c r="CHV107" s="952"/>
      <c r="CHW107" s="952"/>
      <c r="CHX107" s="952"/>
      <c r="CHY107" s="952"/>
      <c r="CHZ107" s="952"/>
      <c r="CIA107" s="952"/>
      <c r="CIB107" s="952"/>
      <c r="CIC107" s="952"/>
      <c r="CID107" s="952"/>
      <c r="CIE107" s="952"/>
      <c r="CIF107" s="952"/>
      <c r="CIG107" s="952"/>
      <c r="CIH107" s="952"/>
      <c r="CII107" s="952"/>
      <c r="CIJ107" s="952"/>
      <c r="CIK107" s="952"/>
      <c r="CIL107" s="952"/>
      <c r="CIM107" s="952"/>
      <c r="CIN107" s="952"/>
      <c r="CIO107" s="952"/>
      <c r="CIP107" s="952"/>
      <c r="CIQ107" s="952"/>
      <c r="CIR107" s="952"/>
      <c r="CIS107" s="952"/>
      <c r="CIT107" s="952"/>
      <c r="CIU107" s="952"/>
      <c r="CIV107" s="952"/>
      <c r="CIW107" s="952"/>
      <c r="CIX107" s="952"/>
      <c r="CIY107" s="952"/>
      <c r="CIZ107" s="952"/>
      <c r="CJA107" s="952"/>
      <c r="CJB107" s="952"/>
      <c r="CJC107" s="952"/>
      <c r="CJD107" s="952"/>
      <c r="CJE107" s="952"/>
      <c r="CJF107" s="952"/>
      <c r="CJG107" s="952"/>
      <c r="CJH107" s="952"/>
      <c r="CJI107" s="952"/>
      <c r="CJJ107" s="952"/>
      <c r="CJK107" s="952"/>
      <c r="CJL107" s="952"/>
      <c r="CJM107" s="952"/>
      <c r="CJN107" s="952"/>
      <c r="CJO107" s="952"/>
      <c r="CJP107" s="952"/>
      <c r="CJQ107" s="952"/>
      <c r="CJR107" s="952"/>
      <c r="CJS107" s="952"/>
      <c r="CJT107" s="952"/>
      <c r="CJU107" s="952"/>
      <c r="CJV107" s="952"/>
      <c r="CJW107" s="952"/>
      <c r="CJX107" s="952"/>
      <c r="CJY107" s="952"/>
      <c r="CJZ107" s="952"/>
      <c r="CKA107" s="952"/>
      <c r="CKB107" s="952"/>
      <c r="CKC107" s="952"/>
      <c r="CKD107" s="952"/>
      <c r="CKE107" s="952"/>
      <c r="CKF107" s="952"/>
      <c r="CKG107" s="952"/>
      <c r="CKH107" s="952"/>
      <c r="CKI107" s="952"/>
      <c r="CKJ107" s="952"/>
      <c r="CKK107" s="952"/>
      <c r="CKL107" s="952"/>
      <c r="CKM107" s="952"/>
      <c r="CKN107" s="952"/>
      <c r="CKO107" s="952"/>
      <c r="CKP107" s="952"/>
      <c r="CKQ107" s="952"/>
      <c r="CKR107" s="952"/>
      <c r="CKS107" s="952"/>
      <c r="CKT107" s="952"/>
      <c r="CKU107" s="952"/>
      <c r="CKV107" s="952"/>
      <c r="CKW107" s="952"/>
      <c r="CKX107" s="952"/>
      <c r="CKY107" s="952"/>
      <c r="CKZ107" s="952"/>
      <c r="CLA107" s="952"/>
      <c r="CLB107" s="952"/>
      <c r="CLC107" s="952"/>
      <c r="CLD107" s="952"/>
      <c r="CLE107" s="952"/>
      <c r="CLF107" s="952"/>
      <c r="CLG107" s="952"/>
      <c r="CLH107" s="952"/>
      <c r="CLI107" s="952"/>
      <c r="CLJ107" s="952"/>
      <c r="CLK107" s="952"/>
      <c r="CLL107" s="952"/>
      <c r="CLM107" s="952"/>
      <c r="CLN107" s="952"/>
      <c r="CLO107" s="952"/>
      <c r="CLP107" s="952"/>
      <c r="CLQ107" s="952"/>
      <c r="CLR107" s="952"/>
      <c r="CLS107" s="952"/>
      <c r="CLT107" s="952"/>
      <c r="CLU107" s="952"/>
      <c r="CLV107" s="952"/>
      <c r="CLW107" s="952"/>
      <c r="CLX107" s="952"/>
      <c r="CLY107" s="952"/>
      <c r="CLZ107" s="952"/>
      <c r="CMA107" s="952"/>
      <c r="CMB107" s="952"/>
      <c r="CMC107" s="952"/>
      <c r="CMD107" s="952"/>
      <c r="CME107" s="952"/>
      <c r="CMF107" s="952"/>
      <c r="CMG107" s="952"/>
      <c r="CMH107" s="952"/>
      <c r="CMI107" s="952"/>
      <c r="CMJ107" s="952"/>
      <c r="CMK107" s="952"/>
      <c r="CML107" s="952"/>
      <c r="CMM107" s="952"/>
      <c r="CMN107" s="952"/>
      <c r="CMO107" s="952"/>
      <c r="CMP107" s="952"/>
      <c r="CMQ107" s="952"/>
      <c r="CMR107" s="952"/>
      <c r="CMS107" s="952"/>
      <c r="CMT107" s="952"/>
      <c r="CMU107" s="952"/>
      <c r="CMV107" s="952"/>
      <c r="CMW107" s="952"/>
      <c r="CMX107" s="952"/>
      <c r="CMY107" s="952"/>
      <c r="CMZ107" s="952"/>
      <c r="CNA107" s="952"/>
      <c r="CNB107" s="952"/>
      <c r="CNC107" s="952"/>
      <c r="CND107" s="952"/>
      <c r="CNE107" s="952"/>
      <c r="CNF107" s="952"/>
      <c r="CNG107" s="952"/>
      <c r="CNH107" s="952"/>
      <c r="CNI107" s="952"/>
      <c r="CNJ107" s="952"/>
      <c r="CNK107" s="952"/>
      <c r="CNL107" s="952"/>
      <c r="CNM107" s="952"/>
      <c r="CNN107" s="952"/>
      <c r="CNO107" s="952"/>
      <c r="CNP107" s="952"/>
      <c r="CNQ107" s="952"/>
      <c r="CNR107" s="952"/>
      <c r="CNS107" s="952"/>
      <c r="CNT107" s="952"/>
      <c r="CNU107" s="952"/>
      <c r="CNV107" s="952"/>
      <c r="CNW107" s="952"/>
      <c r="CNX107" s="952"/>
      <c r="CNY107" s="952"/>
      <c r="CNZ107" s="952"/>
      <c r="COA107" s="952"/>
      <c r="COB107" s="952"/>
      <c r="COC107" s="952"/>
      <c r="COD107" s="952"/>
      <c r="COE107" s="952"/>
      <c r="COF107" s="952"/>
      <c r="COG107" s="952"/>
      <c r="COH107" s="952"/>
      <c r="COI107" s="952"/>
      <c r="COJ107" s="952"/>
      <c r="COK107" s="952"/>
      <c r="COL107" s="952"/>
      <c r="COM107" s="952"/>
      <c r="CON107" s="952"/>
      <c r="COO107" s="952"/>
      <c r="COP107" s="952"/>
      <c r="COQ107" s="952"/>
      <c r="COR107" s="952"/>
      <c r="COS107" s="952"/>
      <c r="COT107" s="952"/>
      <c r="COU107" s="952"/>
      <c r="COV107" s="952"/>
      <c r="COW107" s="952"/>
      <c r="COX107" s="952"/>
      <c r="COY107" s="952"/>
      <c r="COZ107" s="952"/>
      <c r="CPA107" s="952"/>
      <c r="CPB107" s="952"/>
      <c r="CPC107" s="952"/>
      <c r="CPD107" s="952"/>
      <c r="CPE107" s="952"/>
      <c r="CPF107" s="952"/>
      <c r="CPG107" s="952"/>
      <c r="CPH107" s="952"/>
      <c r="CPI107" s="952"/>
      <c r="CPJ107" s="952"/>
      <c r="CPK107" s="952"/>
      <c r="CPL107" s="952"/>
      <c r="CPM107" s="952"/>
      <c r="CPN107" s="952"/>
      <c r="CPO107" s="952"/>
      <c r="CPP107" s="952"/>
      <c r="CPQ107" s="952"/>
      <c r="CPR107" s="952"/>
      <c r="CPS107" s="952"/>
      <c r="CPT107" s="952"/>
      <c r="CPU107" s="952"/>
      <c r="CPV107" s="952"/>
      <c r="CPW107" s="952"/>
      <c r="CPX107" s="952"/>
      <c r="CPY107" s="952"/>
      <c r="CPZ107" s="952"/>
      <c r="CQA107" s="952"/>
      <c r="CQB107" s="952"/>
      <c r="CQC107" s="952"/>
      <c r="CQD107" s="952"/>
      <c r="CQE107" s="952"/>
      <c r="CQF107" s="952"/>
      <c r="CQG107" s="952"/>
      <c r="CQH107" s="952"/>
      <c r="CQI107" s="952"/>
      <c r="CQJ107" s="952"/>
      <c r="CQK107" s="952"/>
      <c r="CQL107" s="952"/>
      <c r="CQM107" s="952"/>
      <c r="CQN107" s="952"/>
      <c r="CQO107" s="952"/>
      <c r="CQP107" s="952"/>
      <c r="CQQ107" s="952"/>
      <c r="CQR107" s="952"/>
      <c r="CQS107" s="952"/>
      <c r="CQT107" s="952"/>
      <c r="CQU107" s="952"/>
      <c r="CQV107" s="952"/>
      <c r="CQW107" s="952"/>
      <c r="CQX107" s="952"/>
      <c r="CQY107" s="952"/>
      <c r="CQZ107" s="952"/>
      <c r="CRA107" s="952"/>
      <c r="CRB107" s="952"/>
      <c r="CRC107" s="952"/>
      <c r="CRD107" s="952"/>
      <c r="CRE107" s="952"/>
      <c r="CRF107" s="952"/>
      <c r="CRG107" s="952"/>
      <c r="CRH107" s="952"/>
      <c r="CRI107" s="952"/>
      <c r="CRJ107" s="952"/>
      <c r="CRK107" s="952"/>
      <c r="CRL107" s="952"/>
      <c r="CRM107" s="952"/>
      <c r="CRN107" s="952"/>
      <c r="CRO107" s="952"/>
      <c r="CRP107" s="952"/>
      <c r="CRQ107" s="952"/>
      <c r="CRR107" s="952"/>
      <c r="CRS107" s="952"/>
      <c r="CRT107" s="952"/>
      <c r="CRU107" s="952"/>
      <c r="CRV107" s="952"/>
      <c r="CRW107" s="952"/>
      <c r="CRX107" s="952"/>
      <c r="CRY107" s="952"/>
      <c r="CRZ107" s="952"/>
      <c r="CSA107" s="952"/>
      <c r="CSB107" s="952"/>
      <c r="CSC107" s="952"/>
      <c r="CSD107" s="952"/>
      <c r="CSE107" s="952"/>
      <c r="CSF107" s="952"/>
      <c r="CSG107" s="952"/>
      <c r="CSH107" s="952"/>
      <c r="CSI107" s="952"/>
      <c r="CSJ107" s="952"/>
      <c r="CSK107" s="952"/>
      <c r="CSL107" s="952"/>
      <c r="CSM107" s="952"/>
      <c r="CSN107" s="952"/>
      <c r="CSO107" s="952"/>
      <c r="CSP107" s="952"/>
      <c r="CSQ107" s="952"/>
      <c r="CSR107" s="952"/>
      <c r="CSS107" s="952"/>
      <c r="CST107" s="952"/>
      <c r="CSU107" s="952"/>
      <c r="CSV107" s="952"/>
      <c r="CSW107" s="952"/>
      <c r="CSX107" s="952"/>
      <c r="CSY107" s="952"/>
      <c r="CSZ107" s="952"/>
      <c r="CTA107" s="952"/>
      <c r="CTB107" s="952"/>
      <c r="CTC107" s="952"/>
      <c r="CTD107" s="952"/>
      <c r="CTE107" s="952"/>
      <c r="CTF107" s="952"/>
      <c r="CTG107" s="952"/>
      <c r="CTH107" s="952"/>
      <c r="CTI107" s="952"/>
      <c r="CTJ107" s="952"/>
      <c r="CTK107" s="952"/>
      <c r="CTL107" s="952"/>
      <c r="CTM107" s="952"/>
      <c r="CTN107" s="952"/>
      <c r="CTO107" s="952"/>
      <c r="CTP107" s="952"/>
      <c r="CTQ107" s="952"/>
      <c r="CTR107" s="952"/>
      <c r="CTS107" s="952"/>
      <c r="CTT107" s="952"/>
      <c r="CTU107" s="952"/>
      <c r="CTV107" s="952"/>
      <c r="CTW107" s="952"/>
      <c r="CTX107" s="952"/>
      <c r="CTY107" s="952"/>
      <c r="CTZ107" s="952"/>
      <c r="CUA107" s="952"/>
      <c r="CUB107" s="952"/>
      <c r="CUC107" s="952"/>
      <c r="CUD107" s="952"/>
      <c r="CUE107" s="952"/>
      <c r="CUF107" s="952"/>
      <c r="CUG107" s="952"/>
      <c r="CUH107" s="952"/>
      <c r="CUI107" s="952"/>
      <c r="CUJ107" s="952"/>
      <c r="CUK107" s="952"/>
      <c r="CUL107" s="952"/>
      <c r="CUM107" s="952"/>
      <c r="CUN107" s="952"/>
      <c r="CUO107" s="952"/>
      <c r="CUP107" s="952"/>
      <c r="CUQ107" s="952"/>
      <c r="CUR107" s="952"/>
      <c r="CUS107" s="952"/>
      <c r="CUT107" s="952"/>
      <c r="CUU107" s="952"/>
      <c r="CUV107" s="952"/>
      <c r="CUW107" s="952"/>
      <c r="CUX107" s="952"/>
      <c r="CUY107" s="952"/>
      <c r="CUZ107" s="952"/>
      <c r="CVA107" s="952"/>
      <c r="CVB107" s="952"/>
      <c r="CVC107" s="952"/>
      <c r="CVD107" s="952"/>
      <c r="CVE107" s="952"/>
      <c r="CVF107" s="952"/>
      <c r="CVG107" s="952"/>
      <c r="CVH107" s="952"/>
      <c r="CVI107" s="952"/>
      <c r="CVJ107" s="952"/>
      <c r="CVK107" s="952"/>
      <c r="CVL107" s="952"/>
      <c r="CVM107" s="952"/>
      <c r="CVN107" s="952"/>
      <c r="CVO107" s="952"/>
      <c r="CVP107" s="952"/>
      <c r="CVQ107" s="952"/>
      <c r="CVR107" s="952"/>
      <c r="CVS107" s="952"/>
      <c r="CVT107" s="952"/>
      <c r="CVU107" s="952"/>
      <c r="CVV107" s="952"/>
      <c r="CVW107" s="952"/>
      <c r="CVX107" s="952"/>
      <c r="CVY107" s="952"/>
      <c r="CVZ107" s="952"/>
      <c r="CWA107" s="952"/>
      <c r="CWB107" s="952"/>
      <c r="CWC107" s="952"/>
      <c r="CWD107" s="952"/>
      <c r="CWE107" s="952"/>
      <c r="CWF107" s="952"/>
      <c r="CWG107" s="952"/>
      <c r="CWH107" s="952"/>
      <c r="CWI107" s="952"/>
      <c r="CWJ107" s="952"/>
      <c r="CWK107" s="952"/>
      <c r="CWL107" s="952"/>
      <c r="CWM107" s="952"/>
      <c r="CWN107" s="952"/>
      <c r="CWO107" s="952"/>
      <c r="CWP107" s="952"/>
      <c r="CWQ107" s="952"/>
      <c r="CWR107" s="952"/>
      <c r="CWS107" s="952"/>
      <c r="CWT107" s="952"/>
      <c r="CWU107" s="952"/>
      <c r="CWV107" s="952"/>
      <c r="CWW107" s="952"/>
      <c r="CWX107" s="952"/>
      <c r="CWY107" s="952"/>
      <c r="CWZ107" s="952"/>
      <c r="CXA107" s="952"/>
      <c r="CXB107" s="952"/>
      <c r="CXC107" s="952"/>
      <c r="CXD107" s="952"/>
      <c r="CXE107" s="952"/>
      <c r="CXF107" s="952"/>
      <c r="CXG107" s="952"/>
      <c r="CXH107" s="952"/>
      <c r="CXI107" s="952"/>
      <c r="CXJ107" s="952"/>
      <c r="CXK107" s="952"/>
      <c r="CXL107" s="952"/>
      <c r="CXM107" s="952"/>
      <c r="CXN107" s="952"/>
      <c r="CXO107" s="952"/>
      <c r="CXP107" s="952"/>
      <c r="CXQ107" s="952"/>
      <c r="CXR107" s="952"/>
      <c r="CXS107" s="952"/>
      <c r="CXT107" s="952"/>
      <c r="CXU107" s="952"/>
      <c r="CXV107" s="952"/>
      <c r="CXW107" s="952"/>
      <c r="CXX107" s="952"/>
      <c r="CXY107" s="952"/>
      <c r="CXZ107" s="952"/>
      <c r="CYA107" s="952"/>
      <c r="CYB107" s="952"/>
      <c r="CYC107" s="952"/>
      <c r="CYD107" s="952"/>
      <c r="CYE107" s="952"/>
      <c r="CYF107" s="952"/>
      <c r="CYG107" s="952"/>
      <c r="CYH107" s="952"/>
      <c r="CYI107" s="952"/>
      <c r="CYJ107" s="952"/>
      <c r="CYK107" s="952"/>
      <c r="CYL107" s="952"/>
      <c r="CYM107" s="952"/>
      <c r="CYN107" s="952"/>
      <c r="CYO107" s="952"/>
      <c r="CYP107" s="952"/>
      <c r="CYQ107" s="952"/>
      <c r="CYR107" s="952"/>
      <c r="CYS107" s="952"/>
      <c r="CYT107" s="952"/>
      <c r="CYU107" s="952"/>
      <c r="CYV107" s="952"/>
      <c r="CYW107" s="952"/>
      <c r="CYX107" s="952"/>
      <c r="CYY107" s="952"/>
      <c r="CYZ107" s="952"/>
      <c r="CZA107" s="952"/>
      <c r="CZB107" s="952"/>
      <c r="CZC107" s="952"/>
      <c r="CZD107" s="952"/>
      <c r="CZE107" s="952"/>
      <c r="CZF107" s="952"/>
      <c r="CZG107" s="952"/>
      <c r="CZH107" s="952"/>
      <c r="CZI107" s="952"/>
      <c r="CZJ107" s="952"/>
      <c r="CZK107" s="952"/>
      <c r="CZL107" s="952"/>
      <c r="CZM107" s="952"/>
      <c r="CZN107" s="952"/>
      <c r="CZO107" s="952"/>
      <c r="CZP107" s="952"/>
      <c r="CZQ107" s="952"/>
      <c r="CZR107" s="952"/>
      <c r="CZS107" s="952"/>
      <c r="CZT107" s="952"/>
      <c r="CZU107" s="952"/>
      <c r="CZV107" s="952"/>
      <c r="CZW107" s="952"/>
      <c r="CZX107" s="952"/>
      <c r="CZY107" s="952"/>
      <c r="CZZ107" s="952"/>
      <c r="DAA107" s="952"/>
      <c r="DAB107" s="952"/>
      <c r="DAC107" s="952"/>
      <c r="DAD107" s="952"/>
      <c r="DAE107" s="952"/>
      <c r="DAF107" s="952"/>
      <c r="DAG107" s="952"/>
      <c r="DAH107" s="952"/>
      <c r="DAI107" s="952"/>
      <c r="DAJ107" s="952"/>
      <c r="DAK107" s="952"/>
      <c r="DAL107" s="952"/>
      <c r="DAM107" s="952"/>
      <c r="DAN107" s="952"/>
      <c r="DAO107" s="952"/>
      <c r="DAP107" s="952"/>
      <c r="DAQ107" s="952"/>
      <c r="DAR107" s="952"/>
      <c r="DAS107" s="952"/>
      <c r="DAT107" s="952"/>
      <c r="DAU107" s="952"/>
      <c r="DAV107" s="952"/>
      <c r="DAW107" s="952"/>
      <c r="DAX107" s="952"/>
      <c r="DAY107" s="952"/>
      <c r="DAZ107" s="952"/>
      <c r="DBA107" s="952"/>
      <c r="DBB107" s="952"/>
      <c r="DBC107" s="952"/>
      <c r="DBD107" s="952"/>
      <c r="DBE107" s="952"/>
      <c r="DBF107" s="952"/>
      <c r="DBG107" s="952"/>
      <c r="DBH107" s="952"/>
      <c r="DBI107" s="952"/>
      <c r="DBJ107" s="952"/>
      <c r="DBK107" s="952"/>
      <c r="DBL107" s="952"/>
      <c r="DBM107" s="952"/>
      <c r="DBN107" s="952"/>
      <c r="DBO107" s="952"/>
      <c r="DBP107" s="952"/>
      <c r="DBQ107" s="952"/>
      <c r="DBR107" s="952"/>
      <c r="DBS107" s="952"/>
      <c r="DBT107" s="952"/>
      <c r="DBU107" s="952"/>
      <c r="DBV107" s="952"/>
      <c r="DBW107" s="952"/>
      <c r="DBX107" s="952"/>
      <c r="DBY107" s="952"/>
      <c r="DBZ107" s="952"/>
      <c r="DCA107" s="952"/>
      <c r="DCB107" s="952"/>
      <c r="DCC107" s="952"/>
      <c r="DCD107" s="952"/>
      <c r="DCE107" s="952"/>
      <c r="DCF107" s="952"/>
      <c r="DCG107" s="952"/>
      <c r="DCH107" s="952"/>
      <c r="DCI107" s="952"/>
      <c r="DCJ107" s="952"/>
      <c r="DCK107" s="952"/>
      <c r="DCL107" s="952"/>
      <c r="DCM107" s="952"/>
      <c r="DCN107" s="952"/>
      <c r="DCO107" s="952"/>
      <c r="DCP107" s="952"/>
      <c r="DCQ107" s="952"/>
      <c r="DCR107" s="952"/>
      <c r="DCS107" s="952"/>
      <c r="DCT107" s="952"/>
      <c r="DCU107" s="952"/>
      <c r="DCV107" s="952"/>
      <c r="DCW107" s="952"/>
      <c r="DCX107" s="952"/>
      <c r="DCY107" s="952"/>
      <c r="DCZ107" s="952"/>
      <c r="DDA107" s="952"/>
      <c r="DDB107" s="952"/>
      <c r="DDC107" s="952"/>
      <c r="DDD107" s="952"/>
      <c r="DDE107" s="952"/>
      <c r="DDF107" s="952"/>
      <c r="DDG107" s="952"/>
      <c r="DDH107" s="952"/>
      <c r="DDI107" s="952"/>
      <c r="DDJ107" s="952"/>
      <c r="DDK107" s="952"/>
      <c r="DDL107" s="952"/>
      <c r="DDM107" s="952"/>
      <c r="DDN107" s="952"/>
      <c r="DDO107" s="952"/>
      <c r="DDP107" s="952"/>
      <c r="DDQ107" s="952"/>
      <c r="DDR107" s="952"/>
      <c r="DDS107" s="952"/>
      <c r="DDT107" s="952"/>
      <c r="DDU107" s="952"/>
      <c r="DDV107" s="952"/>
      <c r="DDW107" s="952"/>
      <c r="DDX107" s="952"/>
      <c r="DDY107" s="952"/>
      <c r="DDZ107" s="952"/>
      <c r="DEA107" s="952"/>
      <c r="DEB107" s="952"/>
      <c r="DEC107" s="952"/>
      <c r="DED107" s="952"/>
      <c r="DEE107" s="952"/>
      <c r="DEF107" s="952"/>
      <c r="DEG107" s="952"/>
      <c r="DEH107" s="952"/>
      <c r="DEI107" s="952"/>
      <c r="DEJ107" s="952"/>
      <c r="DEK107" s="952"/>
      <c r="DEL107" s="952"/>
      <c r="DEM107" s="952"/>
      <c r="DEN107" s="952"/>
      <c r="DEO107" s="952"/>
      <c r="DEP107" s="952"/>
      <c r="DEQ107" s="952"/>
      <c r="DER107" s="952"/>
      <c r="DES107" s="952"/>
      <c r="DET107" s="952"/>
      <c r="DEU107" s="952"/>
      <c r="DEV107" s="952"/>
      <c r="DEW107" s="952"/>
      <c r="DEX107" s="952"/>
      <c r="DEY107" s="952"/>
      <c r="DEZ107" s="952"/>
      <c r="DFA107" s="952"/>
      <c r="DFB107" s="952"/>
      <c r="DFC107" s="952"/>
      <c r="DFD107" s="952"/>
      <c r="DFE107" s="952"/>
      <c r="DFF107" s="952"/>
      <c r="DFG107" s="952"/>
      <c r="DFH107" s="952"/>
      <c r="DFI107" s="952"/>
      <c r="DFJ107" s="952"/>
      <c r="DFK107" s="952"/>
      <c r="DFL107" s="952"/>
      <c r="DFM107" s="952"/>
      <c r="DFN107" s="952"/>
      <c r="DFO107" s="952"/>
      <c r="DFP107" s="952"/>
      <c r="DFQ107" s="952"/>
      <c r="DFR107" s="952"/>
      <c r="DFS107" s="952"/>
      <c r="DFT107" s="952"/>
      <c r="DFU107" s="952"/>
      <c r="DFV107" s="952"/>
      <c r="DFW107" s="952"/>
      <c r="DFX107" s="952"/>
      <c r="DFY107" s="952"/>
      <c r="DFZ107" s="952"/>
      <c r="DGA107" s="952"/>
      <c r="DGB107" s="952"/>
      <c r="DGC107" s="952"/>
      <c r="DGD107" s="952"/>
      <c r="DGE107" s="952"/>
      <c r="DGF107" s="952"/>
      <c r="DGG107" s="952"/>
      <c r="DGH107" s="952"/>
      <c r="DGI107" s="952"/>
      <c r="DGJ107" s="952"/>
      <c r="DGK107" s="952"/>
      <c r="DGL107" s="952"/>
      <c r="DGM107" s="952"/>
      <c r="DGN107" s="952"/>
      <c r="DGO107" s="952"/>
      <c r="DGP107" s="952"/>
      <c r="DGQ107" s="952"/>
      <c r="DGR107" s="952"/>
      <c r="DGS107" s="952"/>
      <c r="DGT107" s="952"/>
      <c r="DGU107" s="952"/>
      <c r="DGV107" s="952"/>
      <c r="DGW107" s="952"/>
      <c r="DGX107" s="952"/>
      <c r="DGY107" s="952"/>
      <c r="DGZ107" s="952"/>
      <c r="DHA107" s="952"/>
      <c r="DHB107" s="952"/>
      <c r="DHC107" s="952"/>
      <c r="DHD107" s="952"/>
      <c r="DHE107" s="952"/>
      <c r="DHF107" s="952"/>
      <c r="DHG107" s="952"/>
      <c r="DHH107" s="952"/>
      <c r="DHI107" s="952"/>
      <c r="DHJ107" s="952"/>
      <c r="DHK107" s="952"/>
      <c r="DHL107" s="952"/>
      <c r="DHM107" s="952"/>
      <c r="DHN107" s="952"/>
      <c r="DHO107" s="952"/>
      <c r="DHP107" s="952"/>
      <c r="DHQ107" s="952"/>
      <c r="DHR107" s="952"/>
      <c r="DHS107" s="952"/>
      <c r="DHT107" s="952"/>
      <c r="DHU107" s="952"/>
      <c r="DHV107" s="952"/>
      <c r="DHW107" s="952"/>
      <c r="DHX107" s="952"/>
      <c r="DHY107" s="952"/>
      <c r="DHZ107" s="952"/>
      <c r="DIA107" s="952"/>
      <c r="DIB107" s="952"/>
      <c r="DIC107" s="952"/>
      <c r="DID107" s="952"/>
      <c r="DIE107" s="952"/>
      <c r="DIF107" s="952"/>
      <c r="DIG107" s="952"/>
      <c r="DIH107" s="952"/>
      <c r="DII107" s="952"/>
      <c r="DIJ107" s="952"/>
      <c r="DIK107" s="952"/>
      <c r="DIL107" s="952"/>
      <c r="DIM107" s="952"/>
      <c r="DIN107" s="952"/>
      <c r="DIO107" s="952"/>
      <c r="DIP107" s="952"/>
      <c r="DIQ107" s="952"/>
      <c r="DIR107" s="952"/>
      <c r="DIS107" s="952"/>
      <c r="DIT107" s="952"/>
      <c r="DIU107" s="952"/>
      <c r="DIV107" s="952"/>
      <c r="DIW107" s="952"/>
      <c r="DIX107" s="952"/>
      <c r="DIY107" s="952"/>
      <c r="DIZ107" s="952"/>
      <c r="DJA107" s="952"/>
      <c r="DJB107" s="952"/>
      <c r="DJC107" s="952"/>
      <c r="DJD107" s="952"/>
      <c r="DJE107" s="952"/>
      <c r="DJF107" s="952"/>
      <c r="DJG107" s="952"/>
      <c r="DJH107" s="952"/>
      <c r="DJI107" s="952"/>
      <c r="DJJ107" s="952"/>
      <c r="DJK107" s="952"/>
      <c r="DJL107" s="952"/>
      <c r="DJM107" s="952"/>
      <c r="DJN107" s="952"/>
      <c r="DJO107" s="952"/>
      <c r="DJP107" s="952"/>
      <c r="DJQ107" s="952"/>
      <c r="DJR107" s="952"/>
      <c r="DJS107" s="952"/>
      <c r="DJT107" s="952"/>
      <c r="DJU107" s="952"/>
      <c r="DJV107" s="952"/>
      <c r="DJW107" s="952"/>
      <c r="DJX107" s="952"/>
      <c r="DJY107" s="952"/>
      <c r="DJZ107" s="952"/>
      <c r="DKA107" s="952"/>
      <c r="DKB107" s="952"/>
      <c r="DKC107" s="952"/>
      <c r="DKD107" s="952"/>
      <c r="DKE107" s="952"/>
      <c r="DKF107" s="952"/>
      <c r="DKG107" s="952"/>
      <c r="DKH107" s="952"/>
      <c r="DKI107" s="952"/>
      <c r="DKJ107" s="952"/>
      <c r="DKK107" s="952"/>
      <c r="DKL107" s="952"/>
      <c r="DKM107" s="952"/>
      <c r="DKN107" s="952"/>
      <c r="DKO107" s="952"/>
      <c r="DKP107" s="952"/>
      <c r="DKQ107" s="952"/>
      <c r="DKR107" s="952"/>
      <c r="DKS107" s="952"/>
      <c r="DKT107" s="952"/>
      <c r="DKU107" s="952"/>
      <c r="DKV107" s="952"/>
      <c r="DKW107" s="952"/>
      <c r="DKX107" s="952"/>
      <c r="DKY107" s="952"/>
      <c r="DKZ107" s="952"/>
      <c r="DLA107" s="952"/>
      <c r="DLB107" s="952"/>
      <c r="DLC107" s="952"/>
      <c r="DLD107" s="952"/>
      <c r="DLE107" s="952"/>
      <c r="DLF107" s="952"/>
      <c r="DLG107" s="952"/>
      <c r="DLH107" s="952"/>
      <c r="DLI107" s="952"/>
      <c r="DLJ107" s="952"/>
      <c r="DLK107" s="952"/>
      <c r="DLL107" s="952"/>
      <c r="DLM107" s="952"/>
      <c r="DLN107" s="952"/>
      <c r="DLO107" s="952"/>
      <c r="DLP107" s="952"/>
      <c r="DLQ107" s="952"/>
      <c r="DLR107" s="952"/>
      <c r="DLS107" s="952"/>
      <c r="DLT107" s="952"/>
      <c r="DLU107" s="952"/>
      <c r="DLV107" s="952"/>
      <c r="DLW107" s="952"/>
      <c r="DLX107" s="952"/>
      <c r="DLY107" s="952"/>
      <c r="DLZ107" s="952"/>
      <c r="DMA107" s="952"/>
      <c r="DMB107" s="952"/>
      <c r="DMC107" s="952"/>
      <c r="DMD107" s="952"/>
      <c r="DME107" s="952"/>
      <c r="DMF107" s="952"/>
      <c r="DMG107" s="952"/>
      <c r="DMH107" s="952"/>
      <c r="DMI107" s="952"/>
      <c r="DMJ107" s="952"/>
      <c r="DMK107" s="952"/>
      <c r="DML107" s="952"/>
      <c r="DMM107" s="952"/>
      <c r="DMN107" s="952"/>
      <c r="DMO107" s="952"/>
      <c r="DMP107" s="952"/>
      <c r="DMQ107" s="952"/>
      <c r="DMR107" s="952"/>
      <c r="DMS107" s="952"/>
      <c r="DMT107" s="952"/>
      <c r="DMU107" s="952"/>
      <c r="DMV107" s="952"/>
      <c r="DMW107" s="952"/>
      <c r="DMX107" s="952"/>
      <c r="DMY107" s="952"/>
      <c r="DMZ107" s="952"/>
      <c r="DNA107" s="952"/>
      <c r="DNB107" s="952"/>
      <c r="DNC107" s="952"/>
      <c r="DND107" s="952"/>
      <c r="DNE107" s="952"/>
      <c r="DNF107" s="952"/>
      <c r="DNG107" s="952"/>
      <c r="DNH107" s="952"/>
      <c r="DNI107" s="952"/>
      <c r="DNJ107" s="952"/>
      <c r="DNK107" s="952"/>
      <c r="DNL107" s="952"/>
      <c r="DNM107" s="952"/>
      <c r="DNN107" s="952"/>
      <c r="DNO107" s="952"/>
      <c r="DNP107" s="952"/>
      <c r="DNQ107" s="952"/>
      <c r="DNR107" s="952"/>
      <c r="DNS107" s="952"/>
      <c r="DNT107" s="952"/>
      <c r="DNU107" s="952"/>
      <c r="DNV107" s="952"/>
      <c r="DNW107" s="952"/>
      <c r="DNX107" s="952"/>
      <c r="DNY107" s="952"/>
      <c r="DNZ107" s="952"/>
      <c r="DOA107" s="952"/>
      <c r="DOB107" s="952"/>
      <c r="DOC107" s="952"/>
      <c r="DOD107" s="952"/>
      <c r="DOE107" s="952"/>
      <c r="DOF107" s="952"/>
      <c r="DOG107" s="952"/>
      <c r="DOH107" s="952"/>
      <c r="DOI107" s="952"/>
      <c r="DOJ107" s="952"/>
      <c r="DOK107" s="952"/>
      <c r="DOL107" s="952"/>
      <c r="DOM107" s="952"/>
      <c r="DON107" s="952"/>
      <c r="DOO107" s="952"/>
      <c r="DOP107" s="952"/>
      <c r="DOQ107" s="952"/>
      <c r="DOR107" s="952"/>
      <c r="DOS107" s="952"/>
      <c r="DOT107" s="952"/>
      <c r="DOU107" s="952"/>
      <c r="DOV107" s="952"/>
      <c r="DOW107" s="952"/>
      <c r="DOX107" s="952"/>
      <c r="DOY107" s="952"/>
      <c r="DOZ107" s="952"/>
      <c r="DPA107" s="952"/>
      <c r="DPB107" s="952"/>
      <c r="DPC107" s="952"/>
      <c r="DPD107" s="952"/>
      <c r="DPE107" s="952"/>
      <c r="DPF107" s="952"/>
      <c r="DPG107" s="952"/>
      <c r="DPH107" s="952"/>
      <c r="DPI107" s="952"/>
      <c r="DPJ107" s="952"/>
      <c r="DPK107" s="952"/>
      <c r="DPL107" s="952"/>
      <c r="DPM107" s="952"/>
      <c r="DPN107" s="952"/>
      <c r="DPO107" s="952"/>
      <c r="DPP107" s="952"/>
      <c r="DPQ107" s="952"/>
      <c r="DPR107" s="952"/>
      <c r="DPS107" s="952"/>
      <c r="DPT107" s="952"/>
      <c r="DPU107" s="952"/>
      <c r="DPV107" s="952"/>
      <c r="DPW107" s="952"/>
      <c r="DPX107" s="952"/>
      <c r="DPY107" s="952"/>
      <c r="DPZ107" s="952"/>
      <c r="DQA107" s="952"/>
      <c r="DQB107" s="952"/>
      <c r="DQC107" s="952"/>
      <c r="DQD107" s="952"/>
      <c r="DQE107" s="952"/>
      <c r="DQF107" s="952"/>
      <c r="DQG107" s="952"/>
      <c r="DQH107" s="952"/>
      <c r="DQI107" s="952"/>
      <c r="DQJ107" s="952"/>
      <c r="DQK107" s="952"/>
      <c r="DQL107" s="952"/>
      <c r="DQM107" s="952"/>
      <c r="DQN107" s="952"/>
      <c r="DQO107" s="952"/>
      <c r="DQP107" s="952"/>
      <c r="DQQ107" s="952"/>
      <c r="DQR107" s="952"/>
      <c r="DQS107" s="952"/>
      <c r="DQT107" s="952"/>
      <c r="DQU107" s="952"/>
      <c r="DQV107" s="952"/>
      <c r="DQW107" s="952"/>
      <c r="DQX107" s="952"/>
      <c r="DQY107" s="952"/>
      <c r="DQZ107" s="952"/>
      <c r="DRA107" s="952"/>
      <c r="DRB107" s="952"/>
      <c r="DRC107" s="952"/>
      <c r="DRD107" s="952"/>
      <c r="DRE107" s="952"/>
      <c r="DRF107" s="952"/>
      <c r="DRG107" s="952"/>
      <c r="DRH107" s="952"/>
      <c r="DRI107" s="952"/>
      <c r="DRJ107" s="952"/>
      <c r="DRK107" s="952"/>
      <c r="DRL107" s="952"/>
      <c r="DRM107" s="952"/>
      <c r="DRN107" s="952"/>
      <c r="DRO107" s="952"/>
      <c r="DRP107" s="952"/>
      <c r="DRQ107" s="952"/>
      <c r="DRR107" s="952"/>
      <c r="DRS107" s="952"/>
      <c r="DRT107" s="952"/>
      <c r="DRU107" s="952"/>
      <c r="DRV107" s="952"/>
      <c r="DRW107" s="952"/>
      <c r="DRX107" s="952"/>
      <c r="DRY107" s="952"/>
      <c r="DRZ107" s="952"/>
      <c r="DSA107" s="952"/>
      <c r="DSB107" s="952"/>
      <c r="DSC107" s="952"/>
      <c r="DSD107" s="952"/>
      <c r="DSE107" s="952"/>
      <c r="DSF107" s="952"/>
      <c r="DSG107" s="952"/>
      <c r="DSH107" s="952"/>
      <c r="DSI107" s="952"/>
      <c r="DSJ107" s="952"/>
      <c r="DSK107" s="952"/>
      <c r="DSL107" s="952"/>
      <c r="DSM107" s="952"/>
      <c r="DSN107" s="952"/>
      <c r="DSO107" s="952"/>
      <c r="DSP107" s="952"/>
      <c r="DSQ107" s="952"/>
      <c r="DSR107" s="952"/>
      <c r="DSS107" s="952"/>
      <c r="DST107" s="952"/>
      <c r="DSU107" s="952"/>
      <c r="DSV107" s="952"/>
      <c r="DSW107" s="952"/>
      <c r="DSX107" s="952"/>
      <c r="DSY107" s="952"/>
      <c r="DSZ107" s="952"/>
      <c r="DTA107" s="952"/>
      <c r="DTB107" s="952"/>
      <c r="DTC107" s="952"/>
      <c r="DTD107" s="952"/>
      <c r="DTE107" s="952"/>
      <c r="DTF107" s="952"/>
      <c r="DTG107" s="952"/>
      <c r="DTH107" s="952"/>
      <c r="DTI107" s="952"/>
      <c r="DTJ107" s="952"/>
      <c r="DTK107" s="952"/>
      <c r="DTL107" s="952"/>
      <c r="DTM107" s="952"/>
      <c r="DTN107" s="952"/>
      <c r="DTO107" s="952"/>
      <c r="DTP107" s="952"/>
      <c r="DTQ107" s="952"/>
      <c r="DTR107" s="952"/>
      <c r="DTS107" s="952"/>
      <c r="DTT107" s="952"/>
      <c r="DTU107" s="952"/>
      <c r="DTV107" s="952"/>
      <c r="DTW107" s="952"/>
      <c r="DTX107" s="952"/>
      <c r="DTY107" s="952"/>
      <c r="DTZ107" s="952"/>
      <c r="DUA107" s="952"/>
      <c r="DUB107" s="952"/>
      <c r="DUC107" s="952"/>
      <c r="DUD107" s="952"/>
      <c r="DUE107" s="952"/>
      <c r="DUF107" s="952"/>
      <c r="DUG107" s="952"/>
      <c r="DUH107" s="952"/>
      <c r="DUI107" s="952"/>
      <c r="DUJ107" s="952"/>
      <c r="DUK107" s="952"/>
      <c r="DUL107" s="952"/>
      <c r="DUM107" s="952"/>
      <c r="DUN107" s="952"/>
      <c r="DUO107" s="952"/>
      <c r="DUP107" s="952"/>
      <c r="DUQ107" s="952"/>
      <c r="DUR107" s="952"/>
      <c r="DUS107" s="952"/>
      <c r="DUT107" s="952"/>
      <c r="DUU107" s="952"/>
      <c r="DUV107" s="952"/>
      <c r="DUW107" s="952"/>
      <c r="DUX107" s="952"/>
      <c r="DUY107" s="952"/>
      <c r="DUZ107" s="952"/>
      <c r="DVA107" s="952"/>
      <c r="DVB107" s="952"/>
      <c r="DVC107" s="952"/>
      <c r="DVD107" s="952"/>
      <c r="DVE107" s="952"/>
      <c r="DVF107" s="952"/>
      <c r="DVG107" s="952"/>
      <c r="DVH107" s="952"/>
      <c r="DVI107" s="952"/>
      <c r="DVJ107" s="952"/>
      <c r="DVK107" s="952"/>
      <c r="DVL107" s="952"/>
      <c r="DVM107" s="952"/>
      <c r="DVN107" s="952"/>
      <c r="DVO107" s="952"/>
      <c r="DVP107" s="952"/>
      <c r="DVQ107" s="952"/>
      <c r="DVR107" s="952"/>
      <c r="DVS107" s="952"/>
      <c r="DVT107" s="952"/>
      <c r="DVU107" s="952"/>
      <c r="DVV107" s="952"/>
      <c r="DVW107" s="952"/>
      <c r="DVX107" s="952"/>
      <c r="DVY107" s="952"/>
      <c r="DVZ107" s="952"/>
      <c r="DWA107" s="952"/>
      <c r="DWB107" s="952"/>
      <c r="DWC107" s="952"/>
      <c r="DWD107" s="952"/>
      <c r="DWE107" s="952"/>
      <c r="DWF107" s="952"/>
      <c r="DWG107" s="952"/>
      <c r="DWH107" s="952"/>
      <c r="DWI107" s="952"/>
      <c r="DWJ107" s="952"/>
      <c r="DWK107" s="952"/>
      <c r="DWL107" s="952"/>
      <c r="DWM107" s="952"/>
      <c r="DWN107" s="952"/>
      <c r="DWO107" s="952"/>
      <c r="DWP107" s="952"/>
      <c r="DWQ107" s="952"/>
      <c r="DWR107" s="952"/>
      <c r="DWS107" s="952"/>
      <c r="DWT107" s="952"/>
      <c r="DWU107" s="952"/>
      <c r="DWV107" s="952"/>
      <c r="DWW107" s="952"/>
      <c r="DWX107" s="952"/>
      <c r="DWY107" s="952"/>
      <c r="DWZ107" s="952"/>
      <c r="DXA107" s="952"/>
      <c r="DXB107" s="952"/>
      <c r="DXC107" s="952"/>
      <c r="DXD107" s="952"/>
      <c r="DXE107" s="952"/>
      <c r="DXF107" s="952"/>
      <c r="DXG107" s="952"/>
      <c r="DXH107" s="952"/>
      <c r="DXI107" s="952"/>
      <c r="DXJ107" s="952"/>
      <c r="DXK107" s="952"/>
      <c r="DXL107" s="952"/>
      <c r="DXM107" s="952"/>
      <c r="DXN107" s="952"/>
      <c r="DXO107" s="952"/>
      <c r="DXP107" s="952"/>
      <c r="DXQ107" s="952"/>
      <c r="DXR107" s="952"/>
      <c r="DXS107" s="952"/>
      <c r="DXT107" s="952"/>
      <c r="DXU107" s="952"/>
      <c r="DXV107" s="952"/>
      <c r="DXW107" s="952"/>
      <c r="DXX107" s="952"/>
      <c r="DXY107" s="952"/>
      <c r="DXZ107" s="952"/>
      <c r="DYA107" s="952"/>
      <c r="DYB107" s="952"/>
      <c r="DYC107" s="952"/>
      <c r="DYD107" s="952"/>
      <c r="DYE107" s="952"/>
      <c r="DYF107" s="952"/>
      <c r="DYG107" s="952"/>
      <c r="DYH107" s="952"/>
      <c r="DYI107" s="952"/>
      <c r="DYJ107" s="952"/>
      <c r="DYK107" s="952"/>
      <c r="DYL107" s="952"/>
      <c r="DYM107" s="952"/>
      <c r="DYN107" s="952"/>
      <c r="DYO107" s="952"/>
      <c r="DYP107" s="952"/>
      <c r="DYQ107" s="952"/>
      <c r="DYR107" s="952"/>
      <c r="DYS107" s="952"/>
      <c r="DYT107" s="952"/>
      <c r="DYU107" s="952"/>
      <c r="DYV107" s="952"/>
      <c r="DYW107" s="952"/>
      <c r="DYX107" s="952"/>
      <c r="DYY107" s="952"/>
      <c r="DYZ107" s="952"/>
      <c r="DZA107" s="952"/>
      <c r="DZB107" s="952"/>
      <c r="DZC107" s="952"/>
      <c r="DZD107" s="952"/>
      <c r="DZE107" s="952"/>
      <c r="DZF107" s="952"/>
      <c r="DZG107" s="952"/>
      <c r="DZH107" s="952"/>
      <c r="DZI107" s="952"/>
      <c r="DZJ107" s="952"/>
      <c r="DZK107" s="952"/>
      <c r="DZL107" s="952"/>
      <c r="DZM107" s="952"/>
      <c r="DZN107" s="952"/>
      <c r="DZO107" s="952"/>
      <c r="DZP107" s="952"/>
      <c r="DZQ107" s="952"/>
      <c r="DZR107" s="952"/>
      <c r="DZS107" s="952"/>
      <c r="DZT107" s="952"/>
      <c r="DZU107" s="952"/>
      <c r="DZV107" s="952"/>
      <c r="DZW107" s="952"/>
      <c r="DZX107" s="952"/>
      <c r="DZY107" s="952"/>
      <c r="DZZ107" s="952"/>
      <c r="EAA107" s="952"/>
      <c r="EAB107" s="952"/>
      <c r="EAC107" s="952"/>
      <c r="EAD107" s="952"/>
      <c r="EAE107" s="952"/>
      <c r="EAF107" s="952"/>
      <c r="EAG107" s="952"/>
      <c r="EAH107" s="952"/>
      <c r="EAI107" s="952"/>
      <c r="EAJ107" s="952"/>
      <c r="EAK107" s="952"/>
      <c r="EAL107" s="952"/>
      <c r="EAM107" s="952"/>
      <c r="EAN107" s="952"/>
      <c r="EAO107" s="952"/>
      <c r="EAP107" s="952"/>
      <c r="EAQ107" s="952"/>
      <c r="EAR107" s="952"/>
      <c r="EAS107" s="952"/>
      <c r="EAT107" s="952"/>
      <c r="EAU107" s="952"/>
      <c r="EAV107" s="952"/>
      <c r="EAW107" s="952"/>
      <c r="EAX107" s="952"/>
      <c r="EAY107" s="952"/>
      <c r="EAZ107" s="952"/>
      <c r="EBA107" s="952"/>
      <c r="EBB107" s="952"/>
      <c r="EBC107" s="952"/>
      <c r="EBD107" s="952"/>
      <c r="EBE107" s="952"/>
      <c r="EBF107" s="952"/>
      <c r="EBG107" s="952"/>
      <c r="EBH107" s="952"/>
      <c r="EBI107" s="952"/>
      <c r="EBJ107" s="952"/>
      <c r="EBK107" s="952"/>
      <c r="EBL107" s="952"/>
      <c r="EBM107" s="952"/>
      <c r="EBN107" s="952"/>
      <c r="EBO107" s="952"/>
      <c r="EBP107" s="952"/>
      <c r="EBQ107" s="952"/>
      <c r="EBR107" s="952"/>
      <c r="EBS107" s="952"/>
      <c r="EBT107" s="952"/>
      <c r="EBU107" s="952"/>
      <c r="EBV107" s="952"/>
      <c r="EBW107" s="952"/>
      <c r="EBX107" s="952"/>
      <c r="EBY107" s="952"/>
      <c r="EBZ107" s="952"/>
      <c r="ECA107" s="952"/>
      <c r="ECB107" s="952"/>
      <c r="ECC107" s="952"/>
      <c r="ECD107" s="952"/>
      <c r="ECE107" s="952"/>
      <c r="ECF107" s="952"/>
      <c r="ECG107" s="952"/>
      <c r="ECH107" s="952"/>
      <c r="ECI107" s="952"/>
      <c r="ECJ107" s="952"/>
      <c r="ECK107" s="952"/>
      <c r="ECL107" s="952"/>
      <c r="ECM107" s="952"/>
      <c r="ECN107" s="952"/>
      <c r="ECO107" s="952"/>
      <c r="ECP107" s="952"/>
      <c r="ECQ107" s="952"/>
      <c r="ECR107" s="952"/>
      <c r="ECS107" s="952"/>
      <c r="ECT107" s="952"/>
      <c r="ECU107" s="952"/>
      <c r="ECV107" s="952"/>
      <c r="ECW107" s="952"/>
      <c r="ECX107" s="952"/>
      <c r="ECY107" s="952"/>
      <c r="ECZ107" s="952"/>
      <c r="EDA107" s="952"/>
      <c r="EDB107" s="952"/>
      <c r="EDC107" s="952"/>
      <c r="EDD107" s="952"/>
      <c r="EDE107" s="952"/>
      <c r="EDF107" s="952"/>
      <c r="EDG107" s="952"/>
      <c r="EDH107" s="952"/>
      <c r="EDI107" s="952"/>
      <c r="EDJ107" s="952"/>
      <c r="EDK107" s="952"/>
      <c r="EDL107" s="952"/>
      <c r="EDM107" s="952"/>
      <c r="EDN107" s="952"/>
      <c r="EDO107" s="952"/>
      <c r="EDP107" s="952"/>
      <c r="EDQ107" s="952"/>
      <c r="EDR107" s="952"/>
      <c r="EDS107" s="952"/>
      <c r="EDT107" s="952"/>
      <c r="EDU107" s="952"/>
      <c r="EDV107" s="952"/>
      <c r="EDW107" s="952"/>
      <c r="EDX107" s="952"/>
      <c r="EDY107" s="952"/>
      <c r="EDZ107" s="952"/>
      <c r="EEA107" s="952"/>
      <c r="EEB107" s="952"/>
      <c r="EEC107" s="952"/>
      <c r="EED107" s="952"/>
      <c r="EEE107" s="952"/>
      <c r="EEF107" s="952"/>
      <c r="EEG107" s="952"/>
      <c r="EEH107" s="952"/>
      <c r="EEI107" s="952"/>
      <c r="EEJ107" s="952"/>
      <c r="EEK107" s="952"/>
      <c r="EEL107" s="952"/>
      <c r="EEM107" s="952"/>
      <c r="EEN107" s="952"/>
      <c r="EEO107" s="952"/>
      <c r="EEP107" s="952"/>
      <c r="EEQ107" s="952"/>
      <c r="EER107" s="952"/>
      <c r="EES107" s="952"/>
      <c r="EET107" s="952"/>
      <c r="EEU107" s="952"/>
      <c r="EEV107" s="952"/>
      <c r="EEW107" s="952"/>
      <c r="EEX107" s="952"/>
      <c r="EEY107" s="952"/>
      <c r="EEZ107" s="952"/>
      <c r="EFA107" s="952"/>
      <c r="EFB107" s="952"/>
      <c r="EFC107" s="952"/>
      <c r="EFD107" s="952"/>
      <c r="EFE107" s="952"/>
      <c r="EFF107" s="952"/>
      <c r="EFG107" s="952"/>
      <c r="EFH107" s="952"/>
      <c r="EFI107" s="952"/>
      <c r="EFJ107" s="952"/>
      <c r="EFK107" s="952"/>
      <c r="EFL107" s="952"/>
      <c r="EFM107" s="952"/>
      <c r="EFN107" s="952"/>
      <c r="EFO107" s="952"/>
      <c r="EFP107" s="952"/>
      <c r="EFQ107" s="952"/>
      <c r="EFR107" s="952"/>
      <c r="EFS107" s="952"/>
      <c r="EFT107" s="952"/>
      <c r="EFU107" s="952"/>
      <c r="EFV107" s="952"/>
      <c r="EFW107" s="952"/>
      <c r="EFX107" s="952"/>
      <c r="EFY107" s="952"/>
      <c r="EFZ107" s="952"/>
      <c r="EGA107" s="952"/>
      <c r="EGB107" s="952"/>
      <c r="EGC107" s="952"/>
      <c r="EGD107" s="952"/>
      <c r="EGE107" s="952"/>
      <c r="EGF107" s="952"/>
      <c r="EGG107" s="952"/>
      <c r="EGH107" s="952"/>
      <c r="EGI107" s="952"/>
      <c r="EGJ107" s="952"/>
      <c r="EGK107" s="952"/>
      <c r="EGL107" s="952"/>
      <c r="EGM107" s="952"/>
      <c r="EGN107" s="952"/>
      <c r="EGO107" s="952"/>
      <c r="EGP107" s="952"/>
      <c r="EGQ107" s="952"/>
      <c r="EGR107" s="952"/>
      <c r="EGS107" s="952"/>
      <c r="EGT107" s="952"/>
      <c r="EGU107" s="952"/>
      <c r="EGV107" s="952"/>
      <c r="EGW107" s="952"/>
      <c r="EGX107" s="952"/>
      <c r="EGY107" s="952"/>
      <c r="EGZ107" s="952"/>
      <c r="EHA107" s="952"/>
      <c r="EHB107" s="952"/>
      <c r="EHC107" s="952"/>
      <c r="EHD107" s="952"/>
      <c r="EHE107" s="952"/>
      <c r="EHF107" s="952"/>
      <c r="EHG107" s="952"/>
      <c r="EHH107" s="952"/>
      <c r="EHI107" s="952"/>
      <c r="EHJ107" s="952"/>
      <c r="EHK107" s="952"/>
      <c r="EHL107" s="952"/>
      <c r="EHM107" s="952"/>
      <c r="EHN107" s="952"/>
      <c r="EHO107" s="952"/>
      <c r="EHP107" s="952"/>
      <c r="EHQ107" s="952"/>
      <c r="EHR107" s="952"/>
      <c r="EHS107" s="952"/>
      <c r="EHT107" s="952"/>
      <c r="EHU107" s="952"/>
      <c r="EHV107" s="952"/>
      <c r="EHW107" s="952"/>
      <c r="EHX107" s="952"/>
      <c r="EHY107" s="952"/>
      <c r="EHZ107" s="952"/>
      <c r="EIA107" s="952"/>
      <c r="EIB107" s="952"/>
      <c r="EIC107" s="952"/>
      <c r="EID107" s="952"/>
      <c r="EIE107" s="952"/>
      <c r="EIF107" s="952"/>
      <c r="EIG107" s="952"/>
      <c r="EIH107" s="952"/>
      <c r="EII107" s="952"/>
      <c r="EIJ107" s="952"/>
      <c r="EIK107" s="952"/>
      <c r="EIL107" s="952"/>
      <c r="EIM107" s="952"/>
      <c r="EIN107" s="952"/>
      <c r="EIO107" s="952"/>
      <c r="EIP107" s="952"/>
      <c r="EIQ107" s="952"/>
      <c r="EIR107" s="952"/>
      <c r="EIS107" s="952"/>
      <c r="EIT107" s="952"/>
      <c r="EIU107" s="952"/>
      <c r="EIV107" s="952"/>
      <c r="EIW107" s="952"/>
      <c r="EIX107" s="952"/>
      <c r="EIY107" s="952"/>
      <c r="EIZ107" s="952"/>
      <c r="EJA107" s="952"/>
      <c r="EJB107" s="952"/>
      <c r="EJC107" s="952"/>
      <c r="EJD107" s="952"/>
      <c r="EJE107" s="952"/>
      <c r="EJF107" s="952"/>
      <c r="EJG107" s="952"/>
      <c r="EJH107" s="952"/>
      <c r="EJI107" s="952"/>
      <c r="EJJ107" s="952"/>
      <c r="EJK107" s="952"/>
      <c r="EJL107" s="952"/>
      <c r="EJM107" s="952"/>
      <c r="EJN107" s="952"/>
      <c r="EJO107" s="952"/>
      <c r="EJP107" s="952"/>
      <c r="EJQ107" s="952"/>
      <c r="EJR107" s="952"/>
      <c r="EJS107" s="952"/>
      <c r="EJT107" s="952"/>
      <c r="EJU107" s="952"/>
      <c r="EJV107" s="952"/>
      <c r="EJW107" s="952"/>
      <c r="EJX107" s="952"/>
      <c r="EJY107" s="952"/>
      <c r="EJZ107" s="952"/>
      <c r="EKA107" s="952"/>
      <c r="EKB107" s="952"/>
      <c r="EKC107" s="952"/>
      <c r="EKD107" s="952"/>
      <c r="EKE107" s="952"/>
      <c r="EKF107" s="952"/>
      <c r="EKG107" s="952"/>
      <c r="EKH107" s="952"/>
      <c r="EKI107" s="952"/>
      <c r="EKJ107" s="952"/>
      <c r="EKK107" s="952"/>
      <c r="EKL107" s="952"/>
      <c r="EKM107" s="952"/>
      <c r="EKN107" s="952"/>
      <c r="EKO107" s="952"/>
      <c r="EKP107" s="952"/>
      <c r="EKQ107" s="952"/>
      <c r="EKR107" s="952"/>
      <c r="EKS107" s="952"/>
      <c r="EKT107" s="952"/>
      <c r="EKU107" s="952"/>
      <c r="EKV107" s="952"/>
      <c r="EKW107" s="952"/>
      <c r="EKX107" s="952"/>
      <c r="EKY107" s="952"/>
      <c r="EKZ107" s="952"/>
      <c r="ELA107" s="952"/>
      <c r="ELB107" s="952"/>
      <c r="ELC107" s="952"/>
      <c r="ELD107" s="952"/>
      <c r="ELE107" s="952"/>
      <c r="ELF107" s="952"/>
      <c r="ELG107" s="952"/>
      <c r="ELH107" s="952"/>
      <c r="ELI107" s="952"/>
      <c r="ELJ107" s="952"/>
      <c r="ELK107" s="952"/>
      <c r="ELL107" s="952"/>
      <c r="ELM107" s="952"/>
      <c r="ELN107" s="952"/>
      <c r="ELO107" s="952"/>
      <c r="ELP107" s="952"/>
      <c r="ELQ107" s="952"/>
      <c r="ELR107" s="952"/>
      <c r="ELS107" s="952"/>
      <c r="ELT107" s="952"/>
      <c r="ELU107" s="952"/>
      <c r="ELV107" s="952"/>
      <c r="ELW107" s="952"/>
      <c r="ELX107" s="952"/>
      <c r="ELY107" s="952"/>
      <c r="ELZ107" s="952"/>
      <c r="EMA107" s="952"/>
      <c r="EMB107" s="952"/>
      <c r="EMC107" s="952"/>
      <c r="EMD107" s="952"/>
      <c r="EME107" s="952"/>
      <c r="EMF107" s="952"/>
      <c r="EMG107" s="952"/>
      <c r="EMH107" s="952"/>
      <c r="EMI107" s="952"/>
      <c r="EMJ107" s="952"/>
      <c r="EMK107" s="952"/>
      <c r="EML107" s="952"/>
      <c r="EMM107" s="952"/>
      <c r="EMN107" s="952"/>
      <c r="EMO107" s="952"/>
      <c r="EMP107" s="952"/>
      <c r="EMQ107" s="952"/>
      <c r="EMR107" s="952"/>
      <c r="EMS107" s="952"/>
      <c r="EMT107" s="952"/>
      <c r="EMU107" s="952"/>
      <c r="EMV107" s="952"/>
      <c r="EMW107" s="952"/>
      <c r="EMX107" s="952"/>
      <c r="EMY107" s="952"/>
      <c r="EMZ107" s="952"/>
      <c r="ENA107" s="952"/>
      <c r="ENB107" s="952"/>
      <c r="ENC107" s="952"/>
      <c r="END107" s="952"/>
      <c r="ENE107" s="952"/>
      <c r="ENF107" s="952"/>
      <c r="ENG107" s="952"/>
      <c r="ENH107" s="952"/>
      <c r="ENI107" s="952"/>
      <c r="ENJ107" s="952"/>
      <c r="ENK107" s="952"/>
      <c r="ENL107" s="952"/>
      <c r="ENM107" s="952"/>
      <c r="ENN107" s="952"/>
      <c r="ENO107" s="952"/>
      <c r="ENP107" s="952"/>
      <c r="ENQ107" s="952"/>
      <c r="ENR107" s="952"/>
      <c r="ENS107" s="952"/>
      <c r="ENT107" s="952"/>
      <c r="ENU107" s="952"/>
      <c r="ENV107" s="952"/>
      <c r="ENW107" s="952"/>
      <c r="ENX107" s="952"/>
      <c r="ENY107" s="952"/>
      <c r="ENZ107" s="952"/>
      <c r="EOA107" s="952"/>
      <c r="EOB107" s="952"/>
      <c r="EOC107" s="952"/>
      <c r="EOD107" s="952"/>
      <c r="EOE107" s="952"/>
      <c r="EOF107" s="952"/>
      <c r="EOG107" s="952"/>
      <c r="EOH107" s="952"/>
      <c r="EOI107" s="952"/>
      <c r="EOJ107" s="952"/>
      <c r="EOK107" s="952"/>
      <c r="EOL107" s="952"/>
      <c r="EOM107" s="952"/>
      <c r="EON107" s="952"/>
      <c r="EOO107" s="952"/>
      <c r="EOP107" s="952"/>
      <c r="EOQ107" s="952"/>
      <c r="EOR107" s="952"/>
      <c r="EOS107" s="952"/>
      <c r="EOT107" s="952"/>
      <c r="EOU107" s="952"/>
      <c r="EOV107" s="952"/>
      <c r="EOW107" s="952"/>
      <c r="EOX107" s="952"/>
      <c r="EOY107" s="952"/>
      <c r="EOZ107" s="952"/>
      <c r="EPA107" s="952"/>
      <c r="EPB107" s="952"/>
      <c r="EPC107" s="952"/>
      <c r="EPD107" s="952"/>
      <c r="EPE107" s="952"/>
      <c r="EPF107" s="952"/>
      <c r="EPG107" s="952"/>
      <c r="EPH107" s="952"/>
      <c r="EPI107" s="952"/>
      <c r="EPJ107" s="952"/>
      <c r="EPK107" s="952"/>
      <c r="EPL107" s="952"/>
      <c r="EPM107" s="952"/>
      <c r="EPN107" s="952"/>
      <c r="EPO107" s="952"/>
      <c r="EPP107" s="952"/>
      <c r="EPQ107" s="952"/>
      <c r="EPR107" s="952"/>
      <c r="EPS107" s="952"/>
      <c r="EPT107" s="952"/>
      <c r="EPU107" s="952"/>
      <c r="EPV107" s="952"/>
      <c r="EPW107" s="952"/>
      <c r="EPX107" s="952"/>
      <c r="EPY107" s="952"/>
      <c r="EPZ107" s="952"/>
      <c r="EQA107" s="952"/>
      <c r="EQB107" s="952"/>
      <c r="EQC107" s="952"/>
      <c r="EQD107" s="952"/>
      <c r="EQE107" s="952"/>
      <c r="EQF107" s="952"/>
      <c r="EQG107" s="952"/>
      <c r="EQH107" s="952"/>
      <c r="EQI107" s="952"/>
      <c r="EQJ107" s="952"/>
      <c r="EQK107" s="952"/>
      <c r="EQL107" s="952"/>
      <c r="EQM107" s="952"/>
      <c r="EQN107" s="952"/>
      <c r="EQO107" s="952"/>
      <c r="EQP107" s="952"/>
      <c r="EQQ107" s="952"/>
      <c r="EQR107" s="952"/>
      <c r="EQS107" s="952"/>
      <c r="EQT107" s="952"/>
      <c r="EQU107" s="952"/>
      <c r="EQV107" s="952"/>
      <c r="EQW107" s="952"/>
      <c r="EQX107" s="952"/>
      <c r="EQY107" s="952"/>
      <c r="EQZ107" s="952"/>
      <c r="ERA107" s="952"/>
      <c r="ERB107" s="952"/>
      <c r="ERC107" s="952"/>
      <c r="ERD107" s="952"/>
      <c r="ERE107" s="952"/>
      <c r="ERF107" s="952"/>
      <c r="ERG107" s="952"/>
      <c r="ERH107" s="952"/>
      <c r="ERI107" s="952"/>
      <c r="ERJ107" s="952"/>
      <c r="ERK107" s="952"/>
      <c r="ERL107" s="952"/>
      <c r="ERM107" s="952"/>
      <c r="ERN107" s="952"/>
      <c r="ERO107" s="952"/>
      <c r="ERP107" s="952"/>
      <c r="ERQ107" s="952"/>
      <c r="ERR107" s="952"/>
      <c r="ERS107" s="952"/>
      <c r="ERT107" s="952"/>
      <c r="ERU107" s="952"/>
      <c r="ERV107" s="952"/>
      <c r="ERW107" s="952"/>
      <c r="ERX107" s="952"/>
      <c r="ERY107" s="952"/>
      <c r="ERZ107" s="952"/>
      <c r="ESA107" s="952"/>
      <c r="ESB107" s="952"/>
      <c r="ESC107" s="952"/>
      <c r="ESD107" s="952"/>
      <c r="ESE107" s="952"/>
      <c r="ESF107" s="952"/>
      <c r="ESG107" s="952"/>
      <c r="ESH107" s="952"/>
      <c r="ESI107" s="952"/>
      <c r="ESJ107" s="952"/>
      <c r="ESK107" s="952"/>
      <c r="ESL107" s="952"/>
      <c r="ESM107" s="952"/>
      <c r="ESN107" s="952"/>
      <c r="ESO107" s="952"/>
      <c r="ESP107" s="952"/>
      <c r="ESQ107" s="952"/>
      <c r="ESR107" s="952"/>
      <c r="ESS107" s="952"/>
      <c r="EST107" s="952"/>
      <c r="ESU107" s="952"/>
      <c r="ESV107" s="952"/>
      <c r="ESW107" s="952"/>
      <c r="ESX107" s="952"/>
      <c r="ESY107" s="952"/>
      <c r="ESZ107" s="952"/>
      <c r="ETA107" s="952"/>
      <c r="ETB107" s="952"/>
      <c r="ETC107" s="952"/>
      <c r="ETD107" s="952"/>
      <c r="ETE107" s="952"/>
      <c r="ETF107" s="952"/>
      <c r="ETG107" s="952"/>
      <c r="ETH107" s="952"/>
      <c r="ETI107" s="952"/>
      <c r="ETJ107" s="952"/>
      <c r="ETK107" s="952"/>
      <c r="ETL107" s="952"/>
      <c r="ETM107" s="952"/>
      <c r="ETN107" s="952"/>
      <c r="ETO107" s="952"/>
      <c r="ETP107" s="952"/>
      <c r="ETQ107" s="952"/>
      <c r="ETR107" s="952"/>
      <c r="ETS107" s="952"/>
      <c r="ETT107" s="952"/>
      <c r="ETU107" s="952"/>
      <c r="ETV107" s="952"/>
      <c r="ETW107" s="952"/>
      <c r="ETX107" s="952"/>
      <c r="ETY107" s="952"/>
      <c r="ETZ107" s="952"/>
      <c r="EUA107" s="952"/>
      <c r="EUB107" s="952"/>
      <c r="EUC107" s="952"/>
      <c r="EUD107" s="952"/>
      <c r="EUE107" s="952"/>
      <c r="EUF107" s="952"/>
      <c r="EUG107" s="952"/>
      <c r="EUH107" s="952"/>
      <c r="EUI107" s="952"/>
      <c r="EUJ107" s="952"/>
      <c r="EUK107" s="952"/>
      <c r="EUL107" s="952"/>
      <c r="EUM107" s="952"/>
      <c r="EUN107" s="952"/>
      <c r="EUO107" s="952"/>
      <c r="EUP107" s="952"/>
      <c r="EUQ107" s="952"/>
      <c r="EUR107" s="952"/>
      <c r="EUS107" s="952"/>
      <c r="EUT107" s="952"/>
      <c r="EUU107" s="952"/>
      <c r="EUV107" s="952"/>
      <c r="EUW107" s="952"/>
      <c r="EUX107" s="952"/>
      <c r="EUY107" s="952"/>
      <c r="EUZ107" s="952"/>
      <c r="EVA107" s="952"/>
      <c r="EVB107" s="952"/>
      <c r="EVC107" s="952"/>
      <c r="EVD107" s="952"/>
      <c r="EVE107" s="952"/>
      <c r="EVF107" s="952"/>
      <c r="EVG107" s="952"/>
      <c r="EVH107" s="952"/>
      <c r="EVI107" s="952"/>
      <c r="EVJ107" s="952"/>
      <c r="EVK107" s="952"/>
      <c r="EVL107" s="952"/>
      <c r="EVM107" s="952"/>
      <c r="EVN107" s="952"/>
      <c r="EVO107" s="952"/>
      <c r="EVP107" s="952"/>
      <c r="EVQ107" s="952"/>
      <c r="EVR107" s="952"/>
      <c r="EVS107" s="952"/>
      <c r="EVT107" s="952"/>
      <c r="EVU107" s="952"/>
      <c r="EVV107" s="952"/>
      <c r="EVW107" s="952"/>
      <c r="EVX107" s="952"/>
      <c r="EVY107" s="952"/>
      <c r="EVZ107" s="952"/>
      <c r="EWA107" s="952"/>
      <c r="EWB107" s="952"/>
      <c r="EWC107" s="952"/>
      <c r="EWD107" s="952"/>
      <c r="EWE107" s="952"/>
      <c r="EWF107" s="952"/>
      <c r="EWG107" s="952"/>
      <c r="EWH107" s="952"/>
      <c r="EWI107" s="952"/>
      <c r="EWJ107" s="952"/>
      <c r="EWK107" s="952"/>
      <c r="EWL107" s="952"/>
      <c r="EWM107" s="952"/>
      <c r="EWN107" s="952"/>
      <c r="EWO107" s="952"/>
      <c r="EWP107" s="952"/>
      <c r="EWQ107" s="952"/>
      <c r="EWR107" s="952"/>
      <c r="EWS107" s="952"/>
      <c r="EWT107" s="952"/>
      <c r="EWU107" s="952"/>
      <c r="EWV107" s="952"/>
      <c r="EWW107" s="952"/>
      <c r="EWX107" s="952"/>
      <c r="EWY107" s="952"/>
      <c r="EWZ107" s="952"/>
      <c r="EXA107" s="952"/>
      <c r="EXB107" s="952"/>
      <c r="EXC107" s="952"/>
      <c r="EXD107" s="952"/>
      <c r="EXE107" s="952"/>
      <c r="EXF107" s="952"/>
      <c r="EXG107" s="952"/>
      <c r="EXH107" s="952"/>
      <c r="EXI107" s="952"/>
      <c r="EXJ107" s="952"/>
      <c r="EXK107" s="952"/>
      <c r="EXL107" s="952"/>
      <c r="EXM107" s="952"/>
      <c r="EXN107" s="952"/>
      <c r="EXO107" s="952"/>
      <c r="EXP107" s="952"/>
      <c r="EXQ107" s="952"/>
      <c r="EXR107" s="952"/>
      <c r="EXS107" s="952"/>
      <c r="EXT107" s="952"/>
      <c r="EXU107" s="952"/>
      <c r="EXV107" s="952"/>
      <c r="EXW107" s="952"/>
      <c r="EXX107" s="952"/>
      <c r="EXY107" s="952"/>
      <c r="EXZ107" s="952"/>
      <c r="EYA107" s="952"/>
      <c r="EYB107" s="952"/>
      <c r="EYC107" s="952"/>
      <c r="EYD107" s="952"/>
      <c r="EYE107" s="952"/>
      <c r="EYF107" s="952"/>
      <c r="EYG107" s="952"/>
      <c r="EYH107" s="952"/>
      <c r="EYI107" s="952"/>
      <c r="EYJ107" s="952"/>
      <c r="EYK107" s="952"/>
      <c r="EYL107" s="952"/>
      <c r="EYM107" s="952"/>
      <c r="EYN107" s="952"/>
      <c r="EYO107" s="952"/>
      <c r="EYP107" s="952"/>
      <c r="EYQ107" s="952"/>
      <c r="EYR107" s="952"/>
      <c r="EYS107" s="952"/>
      <c r="EYT107" s="952"/>
      <c r="EYU107" s="952"/>
      <c r="EYV107" s="952"/>
      <c r="EYW107" s="952"/>
      <c r="EYX107" s="952"/>
      <c r="EYY107" s="952"/>
      <c r="EYZ107" s="952"/>
      <c r="EZA107" s="952"/>
      <c r="EZB107" s="952"/>
      <c r="EZC107" s="952"/>
      <c r="EZD107" s="952"/>
      <c r="EZE107" s="952"/>
      <c r="EZF107" s="952"/>
      <c r="EZG107" s="952"/>
      <c r="EZH107" s="952"/>
      <c r="EZI107" s="952"/>
      <c r="EZJ107" s="952"/>
      <c r="EZK107" s="952"/>
      <c r="EZL107" s="952"/>
      <c r="EZM107" s="952"/>
      <c r="EZN107" s="952"/>
      <c r="EZO107" s="952"/>
      <c r="EZP107" s="952"/>
      <c r="EZQ107" s="952"/>
      <c r="EZR107" s="952"/>
      <c r="EZS107" s="952"/>
      <c r="EZT107" s="952"/>
      <c r="EZU107" s="952"/>
      <c r="EZV107" s="952"/>
      <c r="EZW107" s="952"/>
      <c r="EZX107" s="952"/>
      <c r="EZY107" s="952"/>
      <c r="EZZ107" s="952"/>
      <c r="FAA107" s="952"/>
      <c r="FAB107" s="952"/>
      <c r="FAC107" s="952"/>
      <c r="FAD107" s="952"/>
      <c r="FAE107" s="952"/>
      <c r="FAF107" s="952"/>
      <c r="FAG107" s="952"/>
      <c r="FAH107" s="952"/>
      <c r="FAI107" s="952"/>
      <c r="FAJ107" s="952"/>
      <c r="FAK107" s="952"/>
      <c r="FAL107" s="952"/>
      <c r="FAM107" s="952"/>
      <c r="FAN107" s="952"/>
      <c r="FAO107" s="952"/>
      <c r="FAP107" s="952"/>
      <c r="FAQ107" s="952"/>
      <c r="FAR107" s="952"/>
      <c r="FAS107" s="952"/>
      <c r="FAT107" s="952"/>
      <c r="FAU107" s="952"/>
      <c r="FAV107" s="952"/>
      <c r="FAW107" s="952"/>
      <c r="FAX107" s="952"/>
      <c r="FAY107" s="952"/>
      <c r="FAZ107" s="952"/>
      <c r="FBA107" s="952"/>
      <c r="FBB107" s="952"/>
      <c r="FBC107" s="952"/>
      <c r="FBD107" s="952"/>
      <c r="FBE107" s="952"/>
      <c r="FBF107" s="952"/>
      <c r="FBG107" s="952"/>
      <c r="FBH107" s="952"/>
      <c r="FBI107" s="952"/>
      <c r="FBJ107" s="952"/>
      <c r="FBK107" s="952"/>
      <c r="FBL107" s="952"/>
      <c r="FBM107" s="952"/>
      <c r="FBN107" s="952"/>
      <c r="FBO107" s="952"/>
      <c r="FBP107" s="952"/>
      <c r="FBQ107" s="952"/>
      <c r="FBR107" s="952"/>
      <c r="FBS107" s="952"/>
      <c r="FBT107" s="952"/>
      <c r="FBU107" s="952"/>
      <c r="FBV107" s="952"/>
      <c r="FBW107" s="952"/>
      <c r="FBX107" s="952"/>
      <c r="FBY107" s="952"/>
      <c r="FBZ107" s="952"/>
      <c r="FCA107" s="952"/>
      <c r="FCB107" s="952"/>
      <c r="FCC107" s="952"/>
      <c r="FCD107" s="952"/>
      <c r="FCE107" s="952"/>
      <c r="FCF107" s="952"/>
      <c r="FCG107" s="952"/>
      <c r="FCH107" s="952"/>
      <c r="FCI107" s="952"/>
      <c r="FCJ107" s="952"/>
      <c r="FCK107" s="952"/>
      <c r="FCL107" s="952"/>
      <c r="FCM107" s="952"/>
      <c r="FCN107" s="952"/>
      <c r="FCO107" s="952"/>
      <c r="FCP107" s="952"/>
      <c r="FCQ107" s="952"/>
      <c r="FCR107" s="952"/>
      <c r="FCS107" s="952"/>
      <c r="FCT107" s="952"/>
      <c r="FCU107" s="952"/>
      <c r="FCV107" s="952"/>
      <c r="FCW107" s="952"/>
      <c r="FCX107" s="952"/>
      <c r="FCY107" s="952"/>
      <c r="FCZ107" s="952"/>
      <c r="FDA107" s="952"/>
      <c r="FDB107" s="952"/>
      <c r="FDC107" s="952"/>
      <c r="FDD107" s="952"/>
      <c r="FDE107" s="952"/>
      <c r="FDF107" s="952"/>
      <c r="FDG107" s="952"/>
      <c r="FDH107" s="952"/>
      <c r="FDI107" s="952"/>
      <c r="FDJ107" s="952"/>
      <c r="FDK107" s="952"/>
      <c r="FDL107" s="952"/>
      <c r="FDM107" s="952"/>
      <c r="FDN107" s="952"/>
      <c r="FDO107" s="952"/>
      <c r="FDP107" s="952"/>
      <c r="FDQ107" s="952"/>
      <c r="FDR107" s="952"/>
      <c r="FDS107" s="952"/>
      <c r="FDT107" s="952"/>
      <c r="FDU107" s="952"/>
      <c r="FDV107" s="952"/>
      <c r="FDW107" s="952"/>
      <c r="FDX107" s="952"/>
      <c r="FDY107" s="952"/>
      <c r="FDZ107" s="952"/>
      <c r="FEA107" s="952"/>
      <c r="FEB107" s="952"/>
      <c r="FEC107" s="952"/>
      <c r="FED107" s="952"/>
      <c r="FEE107" s="952"/>
      <c r="FEF107" s="952"/>
      <c r="FEG107" s="952"/>
      <c r="FEH107" s="952"/>
      <c r="FEI107" s="952"/>
      <c r="FEJ107" s="952"/>
      <c r="FEK107" s="952"/>
      <c r="FEL107" s="952"/>
      <c r="FEM107" s="952"/>
      <c r="FEN107" s="952"/>
      <c r="FEO107" s="952"/>
      <c r="FEP107" s="952"/>
      <c r="FEQ107" s="952"/>
      <c r="FER107" s="952"/>
      <c r="FES107" s="952"/>
      <c r="FET107" s="952"/>
      <c r="FEU107" s="952"/>
      <c r="FEV107" s="952"/>
      <c r="FEW107" s="952"/>
      <c r="FEX107" s="952"/>
      <c r="FEY107" s="952"/>
      <c r="FEZ107" s="952"/>
      <c r="FFA107" s="952"/>
      <c r="FFB107" s="952"/>
      <c r="FFC107" s="952"/>
      <c r="FFD107" s="952"/>
      <c r="FFE107" s="952"/>
      <c r="FFF107" s="952"/>
      <c r="FFG107" s="952"/>
      <c r="FFH107" s="952"/>
      <c r="FFI107" s="952"/>
      <c r="FFJ107" s="952"/>
      <c r="FFK107" s="952"/>
      <c r="FFL107" s="952"/>
      <c r="FFM107" s="952"/>
      <c r="FFN107" s="952"/>
      <c r="FFO107" s="952"/>
      <c r="FFP107" s="952"/>
      <c r="FFQ107" s="952"/>
      <c r="FFR107" s="952"/>
      <c r="FFS107" s="952"/>
      <c r="FFT107" s="952"/>
      <c r="FFU107" s="952"/>
      <c r="FFV107" s="952"/>
      <c r="FFW107" s="952"/>
      <c r="FFX107" s="952"/>
      <c r="FFY107" s="952"/>
      <c r="FFZ107" s="952"/>
      <c r="FGA107" s="952"/>
      <c r="FGB107" s="952"/>
      <c r="FGC107" s="952"/>
      <c r="FGD107" s="952"/>
      <c r="FGE107" s="952"/>
      <c r="FGF107" s="952"/>
      <c r="FGG107" s="952"/>
      <c r="FGH107" s="952"/>
      <c r="FGI107" s="952"/>
      <c r="FGJ107" s="952"/>
      <c r="FGK107" s="952"/>
      <c r="FGL107" s="952"/>
      <c r="FGM107" s="952"/>
      <c r="FGN107" s="952"/>
      <c r="FGO107" s="952"/>
      <c r="FGP107" s="952"/>
      <c r="FGQ107" s="952"/>
      <c r="FGR107" s="952"/>
      <c r="FGS107" s="952"/>
      <c r="FGT107" s="952"/>
      <c r="FGU107" s="952"/>
      <c r="FGV107" s="952"/>
      <c r="FGW107" s="952"/>
      <c r="FGX107" s="952"/>
      <c r="FGY107" s="952"/>
      <c r="FGZ107" s="952"/>
      <c r="FHA107" s="952"/>
      <c r="FHB107" s="952"/>
      <c r="FHC107" s="952"/>
      <c r="FHD107" s="952"/>
      <c r="FHE107" s="952"/>
      <c r="FHF107" s="952"/>
      <c r="FHG107" s="952"/>
      <c r="FHH107" s="952"/>
      <c r="FHI107" s="952"/>
      <c r="FHJ107" s="952"/>
      <c r="FHK107" s="952"/>
      <c r="FHL107" s="952"/>
      <c r="FHM107" s="952"/>
      <c r="FHN107" s="952"/>
      <c r="FHO107" s="952"/>
      <c r="FHP107" s="952"/>
      <c r="FHQ107" s="952"/>
      <c r="FHR107" s="952"/>
      <c r="FHS107" s="952"/>
      <c r="FHT107" s="952"/>
      <c r="FHU107" s="952"/>
      <c r="FHV107" s="952"/>
      <c r="FHW107" s="952"/>
      <c r="FHX107" s="952"/>
      <c r="FHY107" s="952"/>
      <c r="FHZ107" s="952"/>
      <c r="FIA107" s="952"/>
      <c r="FIB107" s="952"/>
      <c r="FIC107" s="952"/>
      <c r="FID107" s="952"/>
      <c r="FIE107" s="952"/>
      <c r="FIF107" s="952"/>
      <c r="FIG107" s="952"/>
      <c r="FIH107" s="952"/>
      <c r="FII107" s="952"/>
      <c r="FIJ107" s="952"/>
      <c r="FIK107" s="952"/>
      <c r="FIL107" s="952"/>
      <c r="FIM107" s="952"/>
      <c r="FIN107" s="952"/>
      <c r="FIO107" s="952"/>
      <c r="FIP107" s="952"/>
      <c r="FIQ107" s="952"/>
      <c r="FIR107" s="952"/>
      <c r="FIS107" s="952"/>
      <c r="FIT107" s="952"/>
      <c r="FIU107" s="952"/>
      <c r="FIV107" s="952"/>
      <c r="FIW107" s="952"/>
      <c r="FIX107" s="952"/>
      <c r="FIY107" s="952"/>
      <c r="FIZ107" s="952"/>
      <c r="FJA107" s="952"/>
      <c r="FJB107" s="952"/>
      <c r="FJC107" s="952"/>
      <c r="FJD107" s="952"/>
      <c r="FJE107" s="952"/>
      <c r="FJF107" s="952"/>
      <c r="FJG107" s="952"/>
      <c r="FJH107" s="952"/>
      <c r="FJI107" s="952"/>
      <c r="FJJ107" s="952"/>
      <c r="FJK107" s="952"/>
      <c r="FJL107" s="952"/>
      <c r="FJM107" s="952"/>
      <c r="FJN107" s="952"/>
      <c r="FJO107" s="952"/>
      <c r="FJP107" s="952"/>
      <c r="FJQ107" s="952"/>
      <c r="FJR107" s="952"/>
      <c r="FJS107" s="952"/>
      <c r="FJT107" s="952"/>
      <c r="FJU107" s="952"/>
      <c r="FJV107" s="952"/>
      <c r="FJW107" s="952"/>
      <c r="FJX107" s="952"/>
      <c r="FJY107" s="952"/>
      <c r="FJZ107" s="952"/>
      <c r="FKA107" s="952"/>
      <c r="FKB107" s="952"/>
      <c r="FKC107" s="952"/>
      <c r="FKD107" s="952"/>
      <c r="FKE107" s="952"/>
      <c r="FKF107" s="952"/>
      <c r="FKG107" s="952"/>
      <c r="FKH107" s="952"/>
      <c r="FKI107" s="952"/>
      <c r="FKJ107" s="952"/>
      <c r="FKK107" s="952"/>
      <c r="FKL107" s="952"/>
      <c r="FKM107" s="952"/>
      <c r="FKN107" s="952"/>
      <c r="FKO107" s="952"/>
      <c r="FKP107" s="952"/>
      <c r="FKQ107" s="952"/>
      <c r="FKR107" s="952"/>
      <c r="FKS107" s="952"/>
      <c r="FKT107" s="952"/>
      <c r="FKU107" s="952"/>
      <c r="FKV107" s="952"/>
      <c r="FKW107" s="952"/>
      <c r="FKX107" s="952"/>
      <c r="FKY107" s="952"/>
      <c r="FKZ107" s="952"/>
      <c r="FLA107" s="952"/>
      <c r="FLB107" s="952"/>
      <c r="FLC107" s="952"/>
      <c r="FLD107" s="952"/>
      <c r="FLE107" s="952"/>
      <c r="FLF107" s="952"/>
      <c r="FLG107" s="952"/>
      <c r="FLH107" s="952"/>
      <c r="FLI107" s="952"/>
      <c r="FLJ107" s="952"/>
      <c r="FLK107" s="952"/>
      <c r="FLL107" s="952"/>
      <c r="FLM107" s="952"/>
      <c r="FLN107" s="952"/>
      <c r="FLO107" s="952"/>
      <c r="FLP107" s="952"/>
      <c r="FLQ107" s="952"/>
      <c r="FLR107" s="952"/>
      <c r="FLS107" s="952"/>
      <c r="FLT107" s="952"/>
      <c r="FLU107" s="952"/>
      <c r="FLV107" s="952"/>
      <c r="FLW107" s="952"/>
      <c r="FLX107" s="952"/>
      <c r="FLY107" s="952"/>
      <c r="FLZ107" s="952"/>
      <c r="FMA107" s="952"/>
      <c r="FMB107" s="952"/>
      <c r="FMC107" s="952"/>
      <c r="FMD107" s="952"/>
      <c r="FME107" s="952"/>
      <c r="FMF107" s="952"/>
      <c r="FMG107" s="952"/>
      <c r="FMH107" s="952"/>
      <c r="FMI107" s="952"/>
      <c r="FMJ107" s="952"/>
      <c r="FMK107" s="952"/>
      <c r="FML107" s="952"/>
      <c r="FMM107" s="952"/>
      <c r="FMN107" s="952"/>
      <c r="FMO107" s="952"/>
      <c r="FMP107" s="952"/>
      <c r="FMQ107" s="952"/>
      <c r="FMR107" s="952"/>
      <c r="FMS107" s="952"/>
      <c r="FMT107" s="952"/>
      <c r="FMU107" s="952"/>
      <c r="FMV107" s="952"/>
      <c r="FMW107" s="952"/>
      <c r="FMX107" s="952"/>
      <c r="FMY107" s="952"/>
      <c r="FMZ107" s="952"/>
      <c r="FNA107" s="952"/>
      <c r="FNB107" s="952"/>
      <c r="FNC107" s="952"/>
      <c r="FND107" s="952"/>
      <c r="FNE107" s="952"/>
      <c r="FNF107" s="952"/>
      <c r="FNG107" s="952"/>
      <c r="FNH107" s="952"/>
      <c r="FNI107" s="952"/>
      <c r="FNJ107" s="952"/>
      <c r="FNK107" s="952"/>
      <c r="FNL107" s="952"/>
      <c r="FNM107" s="952"/>
      <c r="FNN107" s="952"/>
      <c r="FNO107" s="952"/>
      <c r="FNP107" s="952"/>
      <c r="FNQ107" s="952"/>
      <c r="FNR107" s="952"/>
      <c r="FNS107" s="952"/>
      <c r="FNT107" s="952"/>
      <c r="FNU107" s="952"/>
      <c r="FNV107" s="952"/>
      <c r="FNW107" s="952"/>
      <c r="FNX107" s="952"/>
      <c r="FNY107" s="952"/>
      <c r="FNZ107" s="952"/>
      <c r="FOA107" s="952"/>
      <c r="FOB107" s="952"/>
      <c r="FOC107" s="952"/>
      <c r="FOD107" s="952"/>
      <c r="FOE107" s="952"/>
      <c r="FOF107" s="952"/>
      <c r="FOG107" s="952"/>
      <c r="FOH107" s="952"/>
      <c r="FOI107" s="952"/>
      <c r="FOJ107" s="952"/>
      <c r="FOK107" s="952"/>
      <c r="FOL107" s="952"/>
      <c r="FOM107" s="952"/>
      <c r="FON107" s="952"/>
      <c r="FOO107" s="952"/>
      <c r="FOP107" s="952"/>
      <c r="FOQ107" s="952"/>
      <c r="FOR107" s="952"/>
      <c r="FOS107" s="952"/>
      <c r="FOT107" s="952"/>
      <c r="FOU107" s="952"/>
      <c r="FOV107" s="952"/>
      <c r="FOW107" s="952"/>
      <c r="FOX107" s="952"/>
      <c r="FOY107" s="952"/>
      <c r="FOZ107" s="952"/>
      <c r="FPA107" s="952"/>
      <c r="FPB107" s="952"/>
      <c r="FPC107" s="952"/>
      <c r="FPD107" s="952"/>
      <c r="FPE107" s="952"/>
      <c r="FPF107" s="952"/>
      <c r="FPG107" s="952"/>
      <c r="FPH107" s="952"/>
      <c r="FPI107" s="952"/>
      <c r="FPJ107" s="952"/>
      <c r="FPK107" s="952"/>
      <c r="FPL107" s="952"/>
      <c r="FPM107" s="952"/>
      <c r="FPN107" s="952"/>
      <c r="FPO107" s="952"/>
      <c r="FPP107" s="952"/>
      <c r="FPQ107" s="952"/>
      <c r="FPR107" s="952"/>
      <c r="FPS107" s="952"/>
      <c r="FPT107" s="952"/>
      <c r="FPU107" s="952"/>
      <c r="FPV107" s="952"/>
      <c r="FPW107" s="952"/>
      <c r="FPX107" s="952"/>
      <c r="FPY107" s="952"/>
      <c r="FPZ107" s="952"/>
      <c r="FQA107" s="952"/>
      <c r="FQB107" s="952"/>
      <c r="FQC107" s="952"/>
      <c r="FQD107" s="952"/>
      <c r="FQE107" s="952"/>
      <c r="FQF107" s="952"/>
      <c r="FQG107" s="952"/>
      <c r="FQH107" s="952"/>
      <c r="FQI107" s="952"/>
      <c r="FQJ107" s="952"/>
      <c r="FQK107" s="952"/>
      <c r="FQL107" s="952"/>
      <c r="FQM107" s="952"/>
      <c r="FQN107" s="952"/>
      <c r="FQO107" s="952"/>
      <c r="FQP107" s="952"/>
      <c r="FQQ107" s="952"/>
      <c r="FQR107" s="952"/>
      <c r="FQS107" s="952"/>
      <c r="FQT107" s="952"/>
      <c r="FQU107" s="952"/>
      <c r="FQV107" s="952"/>
      <c r="FQW107" s="952"/>
      <c r="FQX107" s="952"/>
      <c r="FQY107" s="952"/>
      <c r="FQZ107" s="952"/>
      <c r="FRA107" s="952"/>
      <c r="FRB107" s="952"/>
      <c r="FRC107" s="952"/>
      <c r="FRD107" s="952"/>
      <c r="FRE107" s="952"/>
      <c r="FRF107" s="952"/>
      <c r="FRG107" s="952"/>
      <c r="FRH107" s="952"/>
      <c r="FRI107" s="952"/>
      <c r="FRJ107" s="952"/>
      <c r="FRK107" s="952"/>
      <c r="FRL107" s="952"/>
      <c r="FRM107" s="952"/>
      <c r="FRN107" s="952"/>
      <c r="FRO107" s="952"/>
      <c r="FRP107" s="952"/>
      <c r="FRQ107" s="952"/>
      <c r="FRR107" s="952"/>
      <c r="FRS107" s="952"/>
      <c r="FRT107" s="952"/>
      <c r="FRU107" s="952"/>
      <c r="FRV107" s="952"/>
      <c r="FRW107" s="952"/>
      <c r="FRX107" s="952"/>
      <c r="FRY107" s="952"/>
      <c r="FRZ107" s="952"/>
      <c r="FSA107" s="952"/>
      <c r="FSB107" s="952"/>
      <c r="FSC107" s="952"/>
      <c r="FSD107" s="952"/>
      <c r="FSE107" s="952"/>
      <c r="FSF107" s="952"/>
      <c r="FSG107" s="952"/>
      <c r="FSH107" s="952"/>
      <c r="FSI107" s="952"/>
      <c r="FSJ107" s="952"/>
      <c r="FSK107" s="952"/>
      <c r="FSL107" s="952"/>
      <c r="FSM107" s="952"/>
      <c r="FSN107" s="952"/>
      <c r="FSO107" s="952"/>
      <c r="FSP107" s="952"/>
      <c r="FSQ107" s="952"/>
      <c r="FSR107" s="952"/>
      <c r="FSS107" s="952"/>
      <c r="FST107" s="952"/>
      <c r="FSU107" s="952"/>
      <c r="FSV107" s="952"/>
      <c r="FSW107" s="952"/>
      <c r="FSX107" s="952"/>
      <c r="FSY107" s="952"/>
      <c r="FSZ107" s="952"/>
      <c r="FTA107" s="952"/>
      <c r="FTB107" s="952"/>
      <c r="FTC107" s="952"/>
      <c r="FTD107" s="952"/>
      <c r="FTE107" s="952"/>
      <c r="FTF107" s="952"/>
      <c r="FTG107" s="952"/>
      <c r="FTH107" s="952"/>
      <c r="FTI107" s="952"/>
      <c r="FTJ107" s="952"/>
      <c r="FTK107" s="952"/>
      <c r="FTL107" s="952"/>
      <c r="FTM107" s="952"/>
      <c r="FTN107" s="952"/>
      <c r="FTO107" s="952"/>
      <c r="FTP107" s="952"/>
      <c r="FTQ107" s="952"/>
      <c r="FTR107" s="952"/>
      <c r="FTS107" s="952"/>
      <c r="FTT107" s="952"/>
      <c r="FTU107" s="952"/>
      <c r="FTV107" s="952"/>
      <c r="FTW107" s="952"/>
      <c r="FTX107" s="952"/>
      <c r="FTY107" s="952"/>
      <c r="FTZ107" s="952"/>
      <c r="FUA107" s="952"/>
      <c r="FUB107" s="952"/>
      <c r="FUC107" s="952"/>
      <c r="FUD107" s="952"/>
      <c r="FUE107" s="952"/>
      <c r="FUF107" s="952"/>
      <c r="FUG107" s="952"/>
      <c r="FUH107" s="952"/>
      <c r="FUI107" s="952"/>
      <c r="FUJ107" s="952"/>
      <c r="FUK107" s="952"/>
      <c r="FUL107" s="952"/>
      <c r="FUM107" s="952"/>
      <c r="FUN107" s="952"/>
      <c r="FUO107" s="952"/>
      <c r="FUP107" s="952"/>
      <c r="FUQ107" s="952"/>
      <c r="FUR107" s="952"/>
      <c r="FUS107" s="952"/>
      <c r="FUT107" s="952"/>
      <c r="FUU107" s="952"/>
      <c r="FUV107" s="952"/>
      <c r="FUW107" s="952"/>
      <c r="FUX107" s="952"/>
      <c r="FUY107" s="952"/>
      <c r="FUZ107" s="952"/>
      <c r="FVA107" s="952"/>
      <c r="FVB107" s="952"/>
      <c r="FVC107" s="952"/>
      <c r="FVD107" s="952"/>
      <c r="FVE107" s="952"/>
      <c r="FVF107" s="952"/>
      <c r="FVG107" s="952"/>
      <c r="FVH107" s="952"/>
      <c r="FVI107" s="952"/>
      <c r="FVJ107" s="952"/>
      <c r="FVK107" s="952"/>
      <c r="FVL107" s="952"/>
      <c r="FVM107" s="952"/>
      <c r="FVN107" s="952"/>
      <c r="FVO107" s="952"/>
      <c r="FVP107" s="952"/>
      <c r="FVQ107" s="952"/>
      <c r="FVR107" s="952"/>
      <c r="FVS107" s="952"/>
      <c r="FVT107" s="952"/>
      <c r="FVU107" s="952"/>
      <c r="FVV107" s="952"/>
      <c r="FVW107" s="952"/>
      <c r="FVX107" s="952"/>
      <c r="FVY107" s="952"/>
      <c r="FVZ107" s="952"/>
      <c r="FWA107" s="952"/>
      <c r="FWB107" s="952"/>
      <c r="FWC107" s="952"/>
      <c r="FWD107" s="952"/>
      <c r="FWE107" s="952"/>
      <c r="FWF107" s="952"/>
      <c r="FWG107" s="952"/>
      <c r="FWH107" s="952"/>
      <c r="FWI107" s="952"/>
      <c r="FWJ107" s="952"/>
      <c r="FWK107" s="952"/>
      <c r="FWL107" s="952"/>
      <c r="FWM107" s="952"/>
      <c r="FWN107" s="952"/>
      <c r="FWO107" s="952"/>
      <c r="FWP107" s="952"/>
      <c r="FWQ107" s="952"/>
      <c r="FWR107" s="952"/>
      <c r="FWS107" s="952"/>
      <c r="FWT107" s="952"/>
      <c r="FWU107" s="952"/>
      <c r="FWV107" s="952"/>
      <c r="FWW107" s="952"/>
      <c r="FWX107" s="952"/>
      <c r="FWY107" s="952"/>
      <c r="FWZ107" s="952"/>
      <c r="FXA107" s="952"/>
      <c r="FXB107" s="952"/>
      <c r="FXC107" s="952"/>
      <c r="FXD107" s="952"/>
      <c r="FXE107" s="952"/>
      <c r="FXF107" s="952"/>
      <c r="FXG107" s="952"/>
      <c r="FXH107" s="952"/>
      <c r="FXI107" s="952"/>
      <c r="FXJ107" s="952"/>
      <c r="FXK107" s="952"/>
      <c r="FXL107" s="952"/>
      <c r="FXM107" s="952"/>
      <c r="FXN107" s="952"/>
      <c r="FXO107" s="952"/>
      <c r="FXP107" s="952"/>
      <c r="FXQ107" s="952"/>
      <c r="FXR107" s="952"/>
      <c r="FXS107" s="952"/>
      <c r="FXT107" s="952"/>
      <c r="FXU107" s="952"/>
      <c r="FXV107" s="952"/>
      <c r="FXW107" s="952"/>
      <c r="FXX107" s="952"/>
      <c r="FXY107" s="952"/>
      <c r="FXZ107" s="952"/>
      <c r="FYA107" s="952"/>
      <c r="FYB107" s="952"/>
      <c r="FYC107" s="952"/>
      <c r="FYD107" s="952"/>
      <c r="FYE107" s="952"/>
      <c r="FYF107" s="952"/>
      <c r="FYG107" s="952"/>
      <c r="FYH107" s="952"/>
      <c r="FYI107" s="952"/>
      <c r="FYJ107" s="952"/>
      <c r="FYK107" s="952"/>
      <c r="FYL107" s="952"/>
      <c r="FYM107" s="952"/>
      <c r="FYN107" s="952"/>
      <c r="FYO107" s="952"/>
      <c r="FYP107" s="952"/>
      <c r="FYQ107" s="952"/>
      <c r="FYR107" s="952"/>
      <c r="FYS107" s="952"/>
      <c r="FYT107" s="952"/>
      <c r="FYU107" s="952"/>
      <c r="FYV107" s="952"/>
      <c r="FYW107" s="952"/>
      <c r="FYX107" s="952"/>
      <c r="FYY107" s="952"/>
      <c r="FYZ107" s="952"/>
      <c r="FZA107" s="952"/>
      <c r="FZB107" s="952"/>
      <c r="FZC107" s="952"/>
      <c r="FZD107" s="952"/>
      <c r="FZE107" s="952"/>
      <c r="FZF107" s="952"/>
      <c r="FZG107" s="952"/>
      <c r="FZH107" s="952"/>
      <c r="FZI107" s="952"/>
      <c r="FZJ107" s="952"/>
      <c r="FZK107" s="952"/>
      <c r="FZL107" s="952"/>
      <c r="FZM107" s="952"/>
      <c r="FZN107" s="952"/>
      <c r="FZO107" s="952"/>
      <c r="FZP107" s="952"/>
      <c r="FZQ107" s="952"/>
      <c r="FZR107" s="952"/>
      <c r="FZS107" s="952"/>
      <c r="FZT107" s="952"/>
      <c r="FZU107" s="952"/>
      <c r="FZV107" s="952"/>
      <c r="FZW107" s="952"/>
      <c r="FZX107" s="952"/>
      <c r="FZY107" s="952"/>
      <c r="FZZ107" s="952"/>
      <c r="GAA107" s="952"/>
      <c r="GAB107" s="952"/>
      <c r="GAC107" s="952"/>
      <c r="GAD107" s="952"/>
      <c r="GAE107" s="952"/>
      <c r="GAF107" s="952"/>
      <c r="GAG107" s="952"/>
      <c r="GAH107" s="952"/>
      <c r="GAI107" s="952"/>
      <c r="GAJ107" s="952"/>
      <c r="GAK107" s="952"/>
      <c r="GAL107" s="952"/>
      <c r="GAM107" s="952"/>
      <c r="GAN107" s="952"/>
      <c r="GAO107" s="952"/>
      <c r="GAP107" s="952"/>
      <c r="GAQ107" s="952"/>
      <c r="GAR107" s="952"/>
      <c r="GAS107" s="952"/>
      <c r="GAT107" s="952"/>
      <c r="GAU107" s="952"/>
      <c r="GAV107" s="952"/>
      <c r="GAW107" s="952"/>
      <c r="GAX107" s="952"/>
      <c r="GAY107" s="952"/>
      <c r="GAZ107" s="952"/>
      <c r="GBA107" s="952"/>
      <c r="GBB107" s="952"/>
      <c r="GBC107" s="952"/>
      <c r="GBD107" s="952"/>
      <c r="GBE107" s="952"/>
      <c r="GBF107" s="952"/>
      <c r="GBG107" s="952"/>
      <c r="GBH107" s="952"/>
      <c r="GBI107" s="952"/>
      <c r="GBJ107" s="952"/>
      <c r="GBK107" s="952"/>
      <c r="GBL107" s="952"/>
      <c r="GBM107" s="952"/>
      <c r="GBN107" s="952"/>
      <c r="GBO107" s="952"/>
      <c r="GBP107" s="952"/>
      <c r="GBQ107" s="952"/>
      <c r="GBR107" s="952"/>
      <c r="GBS107" s="952"/>
      <c r="GBT107" s="952"/>
      <c r="GBU107" s="952"/>
      <c r="GBV107" s="952"/>
      <c r="GBW107" s="952"/>
      <c r="GBX107" s="952"/>
      <c r="GBY107" s="952"/>
      <c r="GBZ107" s="952"/>
      <c r="GCA107" s="952"/>
      <c r="GCB107" s="952"/>
      <c r="GCC107" s="952"/>
      <c r="GCD107" s="952"/>
      <c r="GCE107" s="952"/>
      <c r="GCF107" s="952"/>
      <c r="GCG107" s="952"/>
      <c r="GCH107" s="952"/>
      <c r="GCI107" s="952"/>
      <c r="GCJ107" s="952"/>
      <c r="GCK107" s="952"/>
      <c r="GCL107" s="952"/>
      <c r="GCM107" s="952"/>
      <c r="GCN107" s="952"/>
      <c r="GCO107" s="952"/>
      <c r="GCP107" s="952"/>
      <c r="GCQ107" s="952"/>
      <c r="GCR107" s="952"/>
      <c r="GCS107" s="952"/>
      <c r="GCT107" s="952"/>
      <c r="GCU107" s="952"/>
      <c r="GCV107" s="952"/>
      <c r="GCW107" s="952"/>
      <c r="GCX107" s="952"/>
      <c r="GCY107" s="952"/>
      <c r="GCZ107" s="952"/>
      <c r="GDA107" s="952"/>
      <c r="GDB107" s="952"/>
      <c r="GDC107" s="952"/>
      <c r="GDD107" s="952"/>
      <c r="GDE107" s="952"/>
      <c r="GDF107" s="952"/>
      <c r="GDG107" s="952"/>
      <c r="GDH107" s="952"/>
      <c r="GDI107" s="952"/>
      <c r="GDJ107" s="952"/>
      <c r="GDK107" s="952"/>
      <c r="GDL107" s="952"/>
      <c r="GDM107" s="952"/>
      <c r="GDN107" s="952"/>
      <c r="GDO107" s="952"/>
      <c r="GDP107" s="952"/>
      <c r="GDQ107" s="952"/>
      <c r="GDR107" s="952"/>
      <c r="GDS107" s="952"/>
      <c r="GDT107" s="952"/>
      <c r="GDU107" s="952"/>
      <c r="GDV107" s="952"/>
      <c r="GDW107" s="952"/>
      <c r="GDX107" s="952"/>
      <c r="GDY107" s="952"/>
      <c r="GDZ107" s="952"/>
      <c r="GEA107" s="952"/>
      <c r="GEB107" s="952"/>
      <c r="GEC107" s="952"/>
      <c r="GED107" s="952"/>
      <c r="GEE107" s="952"/>
      <c r="GEF107" s="952"/>
      <c r="GEG107" s="952"/>
      <c r="GEH107" s="952"/>
      <c r="GEI107" s="952"/>
      <c r="GEJ107" s="952"/>
      <c r="GEK107" s="952"/>
      <c r="GEL107" s="952"/>
      <c r="GEM107" s="952"/>
      <c r="GEN107" s="952"/>
      <c r="GEO107" s="952"/>
      <c r="GEP107" s="952"/>
      <c r="GEQ107" s="952"/>
      <c r="GER107" s="952"/>
      <c r="GES107" s="952"/>
      <c r="GET107" s="952"/>
      <c r="GEU107" s="952"/>
      <c r="GEV107" s="952"/>
      <c r="GEW107" s="952"/>
      <c r="GEX107" s="952"/>
      <c r="GEY107" s="952"/>
      <c r="GEZ107" s="952"/>
      <c r="GFA107" s="952"/>
      <c r="GFB107" s="952"/>
      <c r="GFC107" s="952"/>
      <c r="GFD107" s="952"/>
      <c r="GFE107" s="952"/>
      <c r="GFF107" s="952"/>
      <c r="GFG107" s="952"/>
      <c r="GFH107" s="952"/>
      <c r="GFI107" s="952"/>
      <c r="GFJ107" s="952"/>
      <c r="GFK107" s="952"/>
      <c r="GFL107" s="952"/>
      <c r="GFM107" s="952"/>
      <c r="GFN107" s="952"/>
      <c r="GFO107" s="952"/>
      <c r="GFP107" s="952"/>
      <c r="GFQ107" s="952"/>
      <c r="GFR107" s="952"/>
      <c r="GFS107" s="952"/>
      <c r="GFT107" s="952"/>
      <c r="GFU107" s="952"/>
      <c r="GFV107" s="952"/>
      <c r="GFW107" s="952"/>
      <c r="GFX107" s="952"/>
      <c r="GFY107" s="952"/>
      <c r="GFZ107" s="952"/>
      <c r="GGA107" s="952"/>
      <c r="GGB107" s="952"/>
      <c r="GGC107" s="952"/>
      <c r="GGD107" s="952"/>
      <c r="GGE107" s="952"/>
      <c r="GGF107" s="952"/>
      <c r="GGG107" s="952"/>
      <c r="GGH107" s="952"/>
      <c r="GGI107" s="952"/>
      <c r="GGJ107" s="952"/>
      <c r="GGK107" s="952"/>
      <c r="GGL107" s="952"/>
      <c r="GGM107" s="952"/>
      <c r="GGN107" s="952"/>
      <c r="GGO107" s="952"/>
      <c r="GGP107" s="952"/>
      <c r="GGQ107" s="952"/>
      <c r="GGR107" s="952"/>
      <c r="GGS107" s="952"/>
      <c r="GGT107" s="952"/>
      <c r="GGU107" s="952"/>
      <c r="GGV107" s="952"/>
      <c r="GGW107" s="952"/>
      <c r="GGX107" s="952"/>
      <c r="GGY107" s="952"/>
      <c r="GGZ107" s="952"/>
      <c r="GHA107" s="952"/>
      <c r="GHB107" s="952"/>
      <c r="GHC107" s="952"/>
      <c r="GHD107" s="952"/>
      <c r="GHE107" s="952"/>
      <c r="GHF107" s="952"/>
      <c r="GHG107" s="952"/>
      <c r="GHH107" s="952"/>
      <c r="GHI107" s="952"/>
      <c r="GHJ107" s="952"/>
      <c r="GHK107" s="952"/>
      <c r="GHL107" s="952"/>
      <c r="GHM107" s="952"/>
      <c r="GHN107" s="952"/>
      <c r="GHO107" s="952"/>
      <c r="GHP107" s="952"/>
      <c r="GHQ107" s="952"/>
      <c r="GHR107" s="952"/>
      <c r="GHS107" s="952"/>
      <c r="GHT107" s="952"/>
      <c r="GHU107" s="952"/>
      <c r="GHV107" s="952"/>
      <c r="GHW107" s="952"/>
      <c r="GHX107" s="952"/>
      <c r="GHY107" s="952"/>
      <c r="GHZ107" s="952"/>
      <c r="GIA107" s="952"/>
      <c r="GIB107" s="952"/>
      <c r="GIC107" s="952"/>
      <c r="GID107" s="952"/>
      <c r="GIE107" s="952"/>
      <c r="GIF107" s="952"/>
      <c r="GIG107" s="952"/>
      <c r="GIH107" s="952"/>
      <c r="GII107" s="952"/>
      <c r="GIJ107" s="952"/>
      <c r="GIK107" s="952"/>
      <c r="GIL107" s="952"/>
      <c r="GIM107" s="952"/>
      <c r="GIN107" s="952"/>
      <c r="GIO107" s="952"/>
      <c r="GIP107" s="952"/>
      <c r="GIQ107" s="952"/>
      <c r="GIR107" s="952"/>
      <c r="GIS107" s="952"/>
      <c r="GIT107" s="952"/>
      <c r="GIU107" s="952"/>
      <c r="GIV107" s="952"/>
      <c r="GIW107" s="952"/>
      <c r="GIX107" s="952"/>
      <c r="GIY107" s="952"/>
      <c r="GIZ107" s="952"/>
      <c r="GJA107" s="952"/>
      <c r="GJB107" s="952"/>
      <c r="GJC107" s="952"/>
      <c r="GJD107" s="952"/>
      <c r="GJE107" s="952"/>
      <c r="GJF107" s="952"/>
      <c r="GJG107" s="952"/>
      <c r="GJH107" s="952"/>
      <c r="GJI107" s="952"/>
      <c r="GJJ107" s="952"/>
      <c r="GJK107" s="952"/>
      <c r="GJL107" s="952"/>
      <c r="GJM107" s="952"/>
      <c r="GJN107" s="952"/>
      <c r="GJO107" s="952"/>
      <c r="GJP107" s="952"/>
      <c r="GJQ107" s="952"/>
      <c r="GJR107" s="952"/>
      <c r="GJS107" s="952"/>
      <c r="GJT107" s="952"/>
      <c r="GJU107" s="952"/>
      <c r="GJV107" s="952"/>
      <c r="GJW107" s="952"/>
      <c r="GJX107" s="952"/>
      <c r="GJY107" s="952"/>
      <c r="GJZ107" s="952"/>
      <c r="GKA107" s="952"/>
      <c r="GKB107" s="952"/>
      <c r="GKC107" s="952"/>
      <c r="GKD107" s="952"/>
      <c r="GKE107" s="952"/>
      <c r="GKF107" s="952"/>
      <c r="GKG107" s="952"/>
      <c r="GKH107" s="952"/>
      <c r="GKI107" s="952"/>
      <c r="GKJ107" s="952"/>
      <c r="GKK107" s="952"/>
      <c r="GKL107" s="952"/>
      <c r="GKM107" s="952"/>
      <c r="GKN107" s="952"/>
      <c r="GKO107" s="952"/>
      <c r="GKP107" s="952"/>
      <c r="GKQ107" s="952"/>
      <c r="GKR107" s="952"/>
      <c r="GKS107" s="952"/>
      <c r="GKT107" s="952"/>
      <c r="GKU107" s="952"/>
      <c r="GKV107" s="952"/>
      <c r="GKW107" s="952"/>
      <c r="GKX107" s="952"/>
      <c r="GKY107" s="952"/>
      <c r="GKZ107" s="952"/>
      <c r="GLA107" s="952"/>
      <c r="GLB107" s="952"/>
      <c r="GLC107" s="952"/>
      <c r="GLD107" s="952"/>
      <c r="GLE107" s="952"/>
      <c r="GLF107" s="952"/>
      <c r="GLG107" s="952"/>
      <c r="GLH107" s="952"/>
      <c r="GLI107" s="952"/>
      <c r="GLJ107" s="952"/>
      <c r="GLK107" s="952"/>
      <c r="GLL107" s="952"/>
      <c r="GLM107" s="952"/>
      <c r="GLN107" s="952"/>
      <c r="GLO107" s="952"/>
      <c r="GLP107" s="952"/>
      <c r="GLQ107" s="952"/>
      <c r="GLR107" s="952"/>
      <c r="GLS107" s="952"/>
      <c r="GLT107" s="952"/>
      <c r="GLU107" s="952"/>
      <c r="GLV107" s="952"/>
      <c r="GLW107" s="952"/>
      <c r="GLX107" s="952"/>
      <c r="GLY107" s="952"/>
      <c r="GLZ107" s="952"/>
      <c r="GMA107" s="952"/>
      <c r="GMB107" s="952"/>
      <c r="GMC107" s="952"/>
      <c r="GMD107" s="952"/>
      <c r="GME107" s="952"/>
      <c r="GMF107" s="952"/>
      <c r="GMG107" s="952"/>
      <c r="GMH107" s="952"/>
      <c r="GMI107" s="952"/>
      <c r="GMJ107" s="952"/>
      <c r="GMK107" s="952"/>
      <c r="GML107" s="952"/>
      <c r="GMM107" s="952"/>
      <c r="GMN107" s="952"/>
      <c r="GMO107" s="952"/>
      <c r="GMP107" s="952"/>
      <c r="GMQ107" s="952"/>
      <c r="GMR107" s="952"/>
      <c r="GMS107" s="952"/>
      <c r="GMT107" s="952"/>
      <c r="GMU107" s="952"/>
      <c r="GMV107" s="952"/>
      <c r="GMW107" s="952"/>
      <c r="GMX107" s="952"/>
      <c r="GMY107" s="952"/>
      <c r="GMZ107" s="952"/>
      <c r="GNA107" s="952"/>
      <c r="GNB107" s="952"/>
      <c r="GNC107" s="952"/>
      <c r="GND107" s="952"/>
      <c r="GNE107" s="952"/>
      <c r="GNF107" s="952"/>
      <c r="GNG107" s="952"/>
      <c r="GNH107" s="952"/>
      <c r="GNI107" s="952"/>
      <c r="GNJ107" s="952"/>
      <c r="GNK107" s="952"/>
      <c r="GNL107" s="952"/>
      <c r="GNM107" s="952"/>
      <c r="GNN107" s="952"/>
      <c r="GNO107" s="952"/>
      <c r="GNP107" s="952"/>
      <c r="GNQ107" s="952"/>
      <c r="GNR107" s="952"/>
      <c r="GNS107" s="952"/>
      <c r="GNT107" s="952"/>
      <c r="GNU107" s="952"/>
      <c r="GNV107" s="952"/>
      <c r="GNW107" s="952"/>
      <c r="GNX107" s="952"/>
      <c r="GNY107" s="952"/>
      <c r="GNZ107" s="952"/>
      <c r="GOA107" s="952"/>
      <c r="GOB107" s="952"/>
      <c r="GOC107" s="952"/>
      <c r="GOD107" s="952"/>
      <c r="GOE107" s="952"/>
      <c r="GOF107" s="952"/>
      <c r="GOG107" s="952"/>
      <c r="GOH107" s="952"/>
      <c r="GOI107" s="952"/>
      <c r="GOJ107" s="952"/>
      <c r="GOK107" s="952"/>
      <c r="GOL107" s="952"/>
      <c r="GOM107" s="952"/>
      <c r="GON107" s="952"/>
      <c r="GOO107" s="952"/>
      <c r="GOP107" s="952"/>
      <c r="GOQ107" s="952"/>
      <c r="GOR107" s="952"/>
      <c r="GOS107" s="952"/>
      <c r="GOT107" s="952"/>
      <c r="GOU107" s="952"/>
      <c r="GOV107" s="952"/>
      <c r="GOW107" s="952"/>
      <c r="GOX107" s="952"/>
      <c r="GOY107" s="952"/>
      <c r="GOZ107" s="952"/>
      <c r="GPA107" s="952"/>
      <c r="GPB107" s="952"/>
      <c r="GPC107" s="952"/>
      <c r="GPD107" s="952"/>
      <c r="GPE107" s="952"/>
      <c r="GPF107" s="952"/>
      <c r="GPG107" s="952"/>
      <c r="GPH107" s="952"/>
      <c r="GPI107" s="952"/>
      <c r="GPJ107" s="952"/>
      <c r="GPK107" s="952"/>
      <c r="GPL107" s="952"/>
      <c r="GPM107" s="952"/>
      <c r="GPN107" s="952"/>
      <c r="GPO107" s="952"/>
      <c r="GPP107" s="952"/>
      <c r="GPQ107" s="952"/>
      <c r="GPR107" s="952"/>
      <c r="GPS107" s="952"/>
      <c r="GPT107" s="952"/>
      <c r="GPU107" s="952"/>
      <c r="GPV107" s="952"/>
      <c r="GPW107" s="952"/>
      <c r="GPX107" s="952"/>
      <c r="GPY107" s="952"/>
      <c r="GPZ107" s="952"/>
      <c r="GQA107" s="952"/>
      <c r="GQB107" s="952"/>
      <c r="GQC107" s="952"/>
      <c r="GQD107" s="952"/>
      <c r="GQE107" s="952"/>
      <c r="GQF107" s="952"/>
      <c r="GQG107" s="952"/>
      <c r="GQH107" s="952"/>
      <c r="GQI107" s="952"/>
      <c r="GQJ107" s="952"/>
      <c r="GQK107" s="952"/>
      <c r="GQL107" s="952"/>
      <c r="GQM107" s="952"/>
      <c r="GQN107" s="952"/>
      <c r="GQO107" s="952"/>
      <c r="GQP107" s="952"/>
      <c r="GQQ107" s="952"/>
      <c r="GQR107" s="952"/>
      <c r="GQS107" s="952"/>
      <c r="GQT107" s="952"/>
      <c r="GQU107" s="952"/>
      <c r="GQV107" s="952"/>
      <c r="GQW107" s="952"/>
      <c r="GQX107" s="952"/>
      <c r="GQY107" s="952"/>
      <c r="GQZ107" s="952"/>
      <c r="GRA107" s="952"/>
      <c r="GRB107" s="952"/>
      <c r="GRC107" s="952"/>
      <c r="GRD107" s="952"/>
      <c r="GRE107" s="952"/>
      <c r="GRF107" s="952"/>
      <c r="GRG107" s="952"/>
      <c r="GRH107" s="952"/>
      <c r="GRI107" s="952"/>
      <c r="GRJ107" s="952"/>
      <c r="GRK107" s="952"/>
      <c r="GRL107" s="952"/>
      <c r="GRM107" s="952"/>
      <c r="GRN107" s="952"/>
      <c r="GRO107" s="952"/>
      <c r="GRP107" s="952"/>
      <c r="GRQ107" s="952"/>
      <c r="GRR107" s="952"/>
      <c r="GRS107" s="952"/>
      <c r="GRT107" s="952"/>
      <c r="GRU107" s="952"/>
      <c r="GRV107" s="952"/>
      <c r="GRW107" s="952"/>
      <c r="GRX107" s="952"/>
      <c r="GRY107" s="952"/>
      <c r="GRZ107" s="952"/>
      <c r="GSA107" s="952"/>
      <c r="GSB107" s="952"/>
      <c r="GSC107" s="952"/>
      <c r="GSD107" s="952"/>
      <c r="GSE107" s="952"/>
      <c r="GSF107" s="952"/>
      <c r="GSG107" s="952"/>
      <c r="GSH107" s="952"/>
      <c r="GSI107" s="952"/>
      <c r="GSJ107" s="952"/>
      <c r="GSK107" s="952"/>
      <c r="GSL107" s="952"/>
      <c r="GSM107" s="952"/>
      <c r="GSN107" s="952"/>
      <c r="GSO107" s="952"/>
      <c r="GSP107" s="952"/>
      <c r="GSQ107" s="952"/>
      <c r="GSR107" s="952"/>
      <c r="GSS107" s="952"/>
      <c r="GST107" s="952"/>
      <c r="GSU107" s="952"/>
      <c r="GSV107" s="952"/>
      <c r="GSW107" s="952"/>
      <c r="GSX107" s="952"/>
      <c r="GSY107" s="952"/>
      <c r="GSZ107" s="952"/>
      <c r="GTA107" s="952"/>
      <c r="GTB107" s="952"/>
      <c r="GTC107" s="952"/>
      <c r="GTD107" s="952"/>
      <c r="GTE107" s="952"/>
      <c r="GTF107" s="952"/>
      <c r="GTG107" s="952"/>
      <c r="GTH107" s="952"/>
      <c r="GTI107" s="952"/>
      <c r="GTJ107" s="952"/>
      <c r="GTK107" s="952"/>
      <c r="GTL107" s="952"/>
      <c r="GTM107" s="952"/>
      <c r="GTN107" s="952"/>
      <c r="GTO107" s="952"/>
      <c r="GTP107" s="952"/>
      <c r="GTQ107" s="952"/>
      <c r="GTR107" s="952"/>
      <c r="GTS107" s="952"/>
      <c r="GTT107" s="952"/>
      <c r="GTU107" s="952"/>
      <c r="GTV107" s="952"/>
      <c r="GTW107" s="952"/>
      <c r="GTX107" s="952"/>
      <c r="GTY107" s="952"/>
      <c r="GTZ107" s="952"/>
      <c r="GUA107" s="952"/>
      <c r="GUB107" s="952"/>
      <c r="GUC107" s="952"/>
      <c r="GUD107" s="952"/>
      <c r="GUE107" s="952"/>
      <c r="GUF107" s="952"/>
      <c r="GUG107" s="952"/>
      <c r="GUH107" s="952"/>
      <c r="GUI107" s="952"/>
      <c r="GUJ107" s="952"/>
      <c r="GUK107" s="952"/>
      <c r="GUL107" s="952"/>
      <c r="GUM107" s="952"/>
      <c r="GUN107" s="952"/>
      <c r="GUO107" s="952"/>
      <c r="GUP107" s="952"/>
      <c r="GUQ107" s="952"/>
      <c r="GUR107" s="952"/>
      <c r="GUS107" s="952"/>
      <c r="GUT107" s="952"/>
      <c r="GUU107" s="952"/>
      <c r="GUV107" s="952"/>
      <c r="GUW107" s="952"/>
      <c r="GUX107" s="952"/>
      <c r="GUY107" s="952"/>
      <c r="GUZ107" s="952"/>
      <c r="GVA107" s="952"/>
      <c r="GVB107" s="952"/>
      <c r="GVC107" s="952"/>
      <c r="GVD107" s="952"/>
      <c r="GVE107" s="952"/>
      <c r="GVF107" s="952"/>
      <c r="GVG107" s="952"/>
      <c r="GVH107" s="952"/>
      <c r="GVI107" s="952"/>
      <c r="GVJ107" s="952"/>
      <c r="GVK107" s="952"/>
      <c r="GVL107" s="952"/>
      <c r="GVM107" s="952"/>
      <c r="GVN107" s="952"/>
      <c r="GVO107" s="952"/>
      <c r="GVP107" s="952"/>
      <c r="GVQ107" s="952"/>
      <c r="GVR107" s="952"/>
      <c r="GVS107" s="952"/>
      <c r="GVT107" s="952"/>
      <c r="GVU107" s="952"/>
      <c r="GVV107" s="952"/>
      <c r="GVW107" s="952"/>
      <c r="GVX107" s="952"/>
      <c r="GVY107" s="952"/>
      <c r="GVZ107" s="952"/>
      <c r="GWA107" s="952"/>
      <c r="GWB107" s="952"/>
      <c r="GWC107" s="952"/>
      <c r="GWD107" s="952"/>
      <c r="GWE107" s="952"/>
      <c r="GWF107" s="952"/>
      <c r="GWG107" s="952"/>
      <c r="GWH107" s="952"/>
      <c r="GWI107" s="952"/>
      <c r="GWJ107" s="952"/>
      <c r="GWK107" s="952"/>
      <c r="GWL107" s="952"/>
      <c r="GWM107" s="952"/>
      <c r="GWN107" s="952"/>
      <c r="GWO107" s="952"/>
      <c r="GWP107" s="952"/>
      <c r="GWQ107" s="952"/>
      <c r="GWR107" s="952"/>
      <c r="GWS107" s="952"/>
      <c r="GWT107" s="952"/>
      <c r="GWU107" s="952"/>
      <c r="GWV107" s="952"/>
      <c r="GWW107" s="952"/>
      <c r="GWX107" s="952"/>
      <c r="GWY107" s="952"/>
      <c r="GWZ107" s="952"/>
      <c r="GXA107" s="952"/>
      <c r="GXB107" s="952"/>
      <c r="GXC107" s="952"/>
      <c r="GXD107" s="952"/>
      <c r="GXE107" s="952"/>
      <c r="GXF107" s="952"/>
      <c r="GXG107" s="952"/>
      <c r="GXH107" s="952"/>
      <c r="GXI107" s="952"/>
      <c r="GXJ107" s="952"/>
      <c r="GXK107" s="952"/>
      <c r="GXL107" s="952"/>
      <c r="GXM107" s="952"/>
      <c r="GXN107" s="952"/>
      <c r="GXO107" s="952"/>
      <c r="GXP107" s="952"/>
      <c r="GXQ107" s="952"/>
      <c r="GXR107" s="952"/>
      <c r="GXS107" s="952"/>
      <c r="GXT107" s="952"/>
      <c r="GXU107" s="952"/>
      <c r="GXV107" s="952"/>
      <c r="GXW107" s="952"/>
      <c r="GXX107" s="952"/>
      <c r="GXY107" s="952"/>
      <c r="GXZ107" s="952"/>
      <c r="GYA107" s="952"/>
      <c r="GYB107" s="952"/>
      <c r="GYC107" s="952"/>
      <c r="GYD107" s="952"/>
      <c r="GYE107" s="952"/>
      <c r="GYF107" s="952"/>
      <c r="GYG107" s="952"/>
      <c r="GYH107" s="952"/>
      <c r="GYI107" s="952"/>
      <c r="GYJ107" s="952"/>
      <c r="GYK107" s="952"/>
      <c r="GYL107" s="952"/>
      <c r="GYM107" s="952"/>
      <c r="GYN107" s="952"/>
      <c r="GYO107" s="952"/>
      <c r="GYP107" s="952"/>
      <c r="GYQ107" s="952"/>
      <c r="GYR107" s="952"/>
      <c r="GYS107" s="952"/>
      <c r="GYT107" s="952"/>
      <c r="GYU107" s="952"/>
      <c r="GYV107" s="952"/>
      <c r="GYW107" s="952"/>
      <c r="GYX107" s="952"/>
      <c r="GYY107" s="952"/>
      <c r="GYZ107" s="952"/>
      <c r="GZA107" s="952"/>
      <c r="GZB107" s="952"/>
      <c r="GZC107" s="952"/>
      <c r="GZD107" s="952"/>
      <c r="GZE107" s="952"/>
      <c r="GZF107" s="952"/>
      <c r="GZG107" s="952"/>
      <c r="GZH107" s="952"/>
      <c r="GZI107" s="952"/>
      <c r="GZJ107" s="952"/>
      <c r="GZK107" s="952"/>
      <c r="GZL107" s="952"/>
      <c r="GZM107" s="952"/>
      <c r="GZN107" s="952"/>
      <c r="GZO107" s="952"/>
      <c r="GZP107" s="952"/>
      <c r="GZQ107" s="952"/>
      <c r="GZR107" s="952"/>
      <c r="GZS107" s="952"/>
      <c r="GZT107" s="952"/>
      <c r="GZU107" s="952"/>
      <c r="GZV107" s="952"/>
      <c r="GZW107" s="952"/>
      <c r="GZX107" s="952"/>
      <c r="GZY107" s="952"/>
      <c r="GZZ107" s="952"/>
      <c r="HAA107" s="952"/>
      <c r="HAB107" s="952"/>
      <c r="HAC107" s="952"/>
      <c r="HAD107" s="952"/>
      <c r="HAE107" s="952"/>
      <c r="HAF107" s="952"/>
      <c r="HAG107" s="952"/>
      <c r="HAH107" s="952"/>
      <c r="HAI107" s="952"/>
      <c r="HAJ107" s="952"/>
      <c r="HAK107" s="952"/>
      <c r="HAL107" s="952"/>
      <c r="HAM107" s="952"/>
      <c r="HAN107" s="952"/>
      <c r="HAO107" s="952"/>
      <c r="HAP107" s="952"/>
      <c r="HAQ107" s="952"/>
      <c r="HAR107" s="952"/>
      <c r="HAS107" s="952"/>
      <c r="HAT107" s="952"/>
      <c r="HAU107" s="952"/>
      <c r="HAV107" s="952"/>
      <c r="HAW107" s="952"/>
      <c r="HAX107" s="952"/>
      <c r="HAY107" s="952"/>
      <c r="HAZ107" s="952"/>
      <c r="HBA107" s="952"/>
      <c r="HBB107" s="952"/>
      <c r="HBC107" s="952"/>
      <c r="HBD107" s="952"/>
      <c r="HBE107" s="952"/>
      <c r="HBF107" s="952"/>
      <c r="HBG107" s="952"/>
      <c r="HBH107" s="952"/>
      <c r="HBI107" s="952"/>
      <c r="HBJ107" s="952"/>
      <c r="HBK107" s="952"/>
      <c r="HBL107" s="952"/>
      <c r="HBM107" s="952"/>
      <c r="HBN107" s="952"/>
      <c r="HBO107" s="952"/>
      <c r="HBP107" s="952"/>
      <c r="HBQ107" s="952"/>
      <c r="HBR107" s="952"/>
      <c r="HBS107" s="952"/>
      <c r="HBT107" s="952"/>
      <c r="HBU107" s="952"/>
      <c r="HBV107" s="952"/>
      <c r="HBW107" s="952"/>
      <c r="HBX107" s="952"/>
      <c r="HBY107" s="952"/>
      <c r="HBZ107" s="952"/>
      <c r="HCA107" s="952"/>
      <c r="HCB107" s="952"/>
      <c r="HCC107" s="952"/>
      <c r="HCD107" s="952"/>
      <c r="HCE107" s="952"/>
      <c r="HCF107" s="952"/>
      <c r="HCG107" s="952"/>
      <c r="HCH107" s="952"/>
      <c r="HCI107" s="952"/>
      <c r="HCJ107" s="952"/>
      <c r="HCK107" s="952"/>
      <c r="HCL107" s="952"/>
      <c r="HCM107" s="952"/>
      <c r="HCN107" s="952"/>
      <c r="HCO107" s="952"/>
      <c r="HCP107" s="952"/>
      <c r="HCQ107" s="952"/>
      <c r="HCR107" s="952"/>
      <c r="HCS107" s="952"/>
      <c r="HCT107" s="952"/>
      <c r="HCU107" s="952"/>
      <c r="HCV107" s="952"/>
      <c r="HCW107" s="952"/>
      <c r="HCX107" s="952"/>
      <c r="HCY107" s="952"/>
      <c r="HCZ107" s="952"/>
      <c r="HDA107" s="952"/>
      <c r="HDB107" s="952"/>
      <c r="HDC107" s="952"/>
      <c r="HDD107" s="952"/>
      <c r="HDE107" s="952"/>
      <c r="HDF107" s="952"/>
      <c r="HDG107" s="952"/>
      <c r="HDH107" s="952"/>
      <c r="HDI107" s="952"/>
      <c r="HDJ107" s="952"/>
      <c r="HDK107" s="952"/>
      <c r="HDL107" s="952"/>
      <c r="HDM107" s="952"/>
      <c r="HDN107" s="952"/>
      <c r="HDO107" s="952"/>
      <c r="HDP107" s="952"/>
      <c r="HDQ107" s="952"/>
      <c r="HDR107" s="952"/>
      <c r="HDS107" s="952"/>
      <c r="HDT107" s="952"/>
      <c r="HDU107" s="952"/>
      <c r="HDV107" s="952"/>
      <c r="HDW107" s="952"/>
      <c r="HDX107" s="952"/>
      <c r="HDY107" s="952"/>
      <c r="HDZ107" s="952"/>
      <c r="HEA107" s="952"/>
      <c r="HEB107" s="952"/>
      <c r="HEC107" s="952"/>
      <c r="HED107" s="952"/>
      <c r="HEE107" s="952"/>
      <c r="HEF107" s="952"/>
      <c r="HEG107" s="952"/>
      <c r="HEH107" s="952"/>
      <c r="HEI107" s="952"/>
      <c r="HEJ107" s="952"/>
      <c r="HEK107" s="952"/>
      <c r="HEL107" s="952"/>
      <c r="HEM107" s="952"/>
      <c r="HEN107" s="952"/>
      <c r="HEO107" s="952"/>
      <c r="HEP107" s="952"/>
      <c r="HEQ107" s="952"/>
      <c r="HER107" s="952"/>
      <c r="HES107" s="952"/>
      <c r="HET107" s="952"/>
      <c r="HEU107" s="952"/>
      <c r="HEV107" s="952"/>
      <c r="HEW107" s="952"/>
      <c r="HEX107" s="952"/>
      <c r="HEY107" s="952"/>
      <c r="HEZ107" s="952"/>
      <c r="HFA107" s="952"/>
      <c r="HFB107" s="952"/>
      <c r="HFC107" s="952"/>
      <c r="HFD107" s="952"/>
      <c r="HFE107" s="952"/>
      <c r="HFF107" s="952"/>
      <c r="HFG107" s="952"/>
      <c r="HFH107" s="952"/>
      <c r="HFI107" s="952"/>
      <c r="HFJ107" s="952"/>
      <c r="HFK107" s="952"/>
      <c r="HFL107" s="952"/>
      <c r="HFM107" s="952"/>
      <c r="HFN107" s="952"/>
      <c r="HFO107" s="952"/>
      <c r="HFP107" s="952"/>
      <c r="HFQ107" s="952"/>
      <c r="HFR107" s="952"/>
      <c r="HFS107" s="952"/>
      <c r="HFT107" s="952"/>
      <c r="HFU107" s="952"/>
      <c r="HFV107" s="952"/>
      <c r="HFW107" s="952"/>
      <c r="HFX107" s="952"/>
      <c r="HFY107" s="952"/>
      <c r="HFZ107" s="952"/>
      <c r="HGA107" s="952"/>
      <c r="HGB107" s="952"/>
      <c r="HGC107" s="952"/>
      <c r="HGD107" s="952"/>
      <c r="HGE107" s="952"/>
      <c r="HGF107" s="952"/>
      <c r="HGG107" s="952"/>
      <c r="HGH107" s="952"/>
      <c r="HGI107" s="952"/>
      <c r="HGJ107" s="952"/>
      <c r="HGK107" s="952"/>
      <c r="HGL107" s="952"/>
      <c r="HGM107" s="952"/>
      <c r="HGN107" s="952"/>
      <c r="HGO107" s="952"/>
      <c r="HGP107" s="952"/>
      <c r="HGQ107" s="952"/>
      <c r="HGR107" s="952"/>
      <c r="HGS107" s="952"/>
      <c r="HGT107" s="952"/>
      <c r="HGU107" s="952"/>
      <c r="HGV107" s="952"/>
      <c r="HGW107" s="952"/>
      <c r="HGX107" s="952"/>
      <c r="HGY107" s="952"/>
      <c r="HGZ107" s="952"/>
      <c r="HHA107" s="952"/>
      <c r="HHB107" s="952"/>
      <c r="HHC107" s="952"/>
      <c r="HHD107" s="952"/>
      <c r="HHE107" s="952"/>
      <c r="HHF107" s="952"/>
      <c r="HHG107" s="952"/>
      <c r="HHH107" s="952"/>
      <c r="HHI107" s="952"/>
      <c r="HHJ107" s="952"/>
      <c r="HHK107" s="952"/>
      <c r="HHL107" s="952"/>
      <c r="HHM107" s="952"/>
      <c r="HHN107" s="952"/>
      <c r="HHO107" s="952"/>
      <c r="HHP107" s="952"/>
      <c r="HHQ107" s="952"/>
      <c r="HHR107" s="952"/>
      <c r="HHS107" s="952"/>
      <c r="HHT107" s="952"/>
      <c r="HHU107" s="952"/>
      <c r="HHV107" s="952"/>
      <c r="HHW107" s="952"/>
      <c r="HHX107" s="952"/>
      <c r="HHY107" s="952"/>
      <c r="HHZ107" s="952"/>
      <c r="HIA107" s="952"/>
      <c r="HIB107" s="952"/>
      <c r="HIC107" s="952"/>
      <c r="HID107" s="952"/>
      <c r="HIE107" s="952"/>
      <c r="HIF107" s="952"/>
      <c r="HIG107" s="952"/>
      <c r="HIH107" s="952"/>
      <c r="HII107" s="952"/>
      <c r="HIJ107" s="952"/>
      <c r="HIK107" s="952"/>
      <c r="HIL107" s="952"/>
      <c r="HIM107" s="952"/>
      <c r="HIN107" s="952"/>
      <c r="HIO107" s="952"/>
      <c r="HIP107" s="952"/>
      <c r="HIQ107" s="952"/>
      <c r="HIR107" s="952"/>
      <c r="HIS107" s="952"/>
      <c r="HIT107" s="952"/>
      <c r="HIU107" s="952"/>
      <c r="HIV107" s="952"/>
      <c r="HIW107" s="952"/>
      <c r="HIX107" s="952"/>
      <c r="HIY107" s="952"/>
      <c r="HIZ107" s="952"/>
      <c r="HJA107" s="952"/>
      <c r="HJB107" s="952"/>
      <c r="HJC107" s="952"/>
      <c r="HJD107" s="952"/>
      <c r="HJE107" s="952"/>
      <c r="HJF107" s="952"/>
      <c r="HJG107" s="952"/>
      <c r="HJH107" s="952"/>
      <c r="HJI107" s="952"/>
      <c r="HJJ107" s="952"/>
      <c r="HJK107" s="952"/>
      <c r="HJL107" s="952"/>
      <c r="HJM107" s="952"/>
      <c r="HJN107" s="952"/>
      <c r="HJO107" s="952"/>
      <c r="HJP107" s="952"/>
      <c r="HJQ107" s="952"/>
      <c r="HJR107" s="952"/>
      <c r="HJS107" s="952"/>
      <c r="HJT107" s="952"/>
      <c r="HJU107" s="952"/>
      <c r="HJV107" s="952"/>
      <c r="HJW107" s="952"/>
      <c r="HJX107" s="952"/>
      <c r="HJY107" s="952"/>
      <c r="HJZ107" s="952"/>
      <c r="HKA107" s="952"/>
      <c r="HKB107" s="952"/>
      <c r="HKC107" s="952"/>
      <c r="HKD107" s="952"/>
      <c r="HKE107" s="952"/>
      <c r="HKF107" s="952"/>
      <c r="HKG107" s="952"/>
      <c r="HKH107" s="952"/>
      <c r="HKI107" s="952"/>
      <c r="HKJ107" s="952"/>
      <c r="HKK107" s="952"/>
      <c r="HKL107" s="952"/>
      <c r="HKM107" s="952"/>
      <c r="HKN107" s="952"/>
      <c r="HKO107" s="952"/>
      <c r="HKP107" s="952"/>
      <c r="HKQ107" s="952"/>
      <c r="HKR107" s="952"/>
      <c r="HKS107" s="952"/>
      <c r="HKT107" s="952"/>
      <c r="HKU107" s="952"/>
      <c r="HKV107" s="952"/>
      <c r="HKW107" s="952"/>
      <c r="HKX107" s="952"/>
      <c r="HKY107" s="952"/>
      <c r="HKZ107" s="952"/>
      <c r="HLA107" s="952"/>
      <c r="HLB107" s="952"/>
      <c r="HLC107" s="952"/>
      <c r="HLD107" s="952"/>
      <c r="HLE107" s="952"/>
      <c r="HLF107" s="952"/>
      <c r="HLG107" s="952"/>
      <c r="HLH107" s="952"/>
      <c r="HLI107" s="952"/>
      <c r="HLJ107" s="952"/>
      <c r="HLK107" s="952"/>
      <c r="HLL107" s="952"/>
      <c r="HLM107" s="952"/>
      <c r="HLN107" s="952"/>
      <c r="HLO107" s="952"/>
      <c r="HLP107" s="952"/>
      <c r="HLQ107" s="952"/>
      <c r="HLR107" s="952"/>
      <c r="HLS107" s="952"/>
      <c r="HLT107" s="952"/>
      <c r="HLU107" s="952"/>
      <c r="HLV107" s="952"/>
      <c r="HLW107" s="952"/>
      <c r="HLX107" s="952"/>
      <c r="HLY107" s="952"/>
      <c r="HLZ107" s="952"/>
      <c r="HMA107" s="952"/>
      <c r="HMB107" s="952"/>
      <c r="HMC107" s="952"/>
      <c r="HMD107" s="952"/>
      <c r="HME107" s="952"/>
      <c r="HMF107" s="952"/>
      <c r="HMG107" s="952"/>
      <c r="HMH107" s="952"/>
      <c r="HMI107" s="952"/>
      <c r="HMJ107" s="952"/>
      <c r="HMK107" s="952"/>
      <c r="HML107" s="952"/>
      <c r="HMM107" s="952"/>
      <c r="HMN107" s="952"/>
      <c r="HMO107" s="952"/>
      <c r="HMP107" s="952"/>
      <c r="HMQ107" s="952"/>
      <c r="HMR107" s="952"/>
      <c r="HMS107" s="952"/>
      <c r="HMT107" s="952"/>
      <c r="HMU107" s="952"/>
      <c r="HMV107" s="952"/>
      <c r="HMW107" s="952"/>
      <c r="HMX107" s="952"/>
      <c r="HMY107" s="952"/>
      <c r="HMZ107" s="952"/>
      <c r="HNA107" s="952"/>
      <c r="HNB107" s="952"/>
      <c r="HNC107" s="952"/>
      <c r="HND107" s="952"/>
      <c r="HNE107" s="952"/>
      <c r="HNF107" s="952"/>
      <c r="HNG107" s="952"/>
      <c r="HNH107" s="952"/>
      <c r="HNI107" s="952"/>
      <c r="HNJ107" s="952"/>
      <c r="HNK107" s="952"/>
      <c r="HNL107" s="952"/>
      <c r="HNM107" s="952"/>
      <c r="HNN107" s="952"/>
      <c r="HNO107" s="952"/>
      <c r="HNP107" s="952"/>
      <c r="HNQ107" s="952"/>
      <c r="HNR107" s="952"/>
      <c r="HNS107" s="952"/>
      <c r="HNT107" s="952"/>
      <c r="HNU107" s="952"/>
      <c r="HNV107" s="952"/>
      <c r="HNW107" s="952"/>
      <c r="HNX107" s="952"/>
      <c r="HNY107" s="952"/>
      <c r="HNZ107" s="952"/>
      <c r="HOA107" s="952"/>
      <c r="HOB107" s="952"/>
      <c r="HOC107" s="952"/>
      <c r="HOD107" s="952"/>
      <c r="HOE107" s="952"/>
      <c r="HOF107" s="952"/>
      <c r="HOG107" s="952"/>
      <c r="HOH107" s="952"/>
      <c r="HOI107" s="952"/>
      <c r="HOJ107" s="952"/>
      <c r="HOK107" s="952"/>
      <c r="HOL107" s="952"/>
      <c r="HOM107" s="952"/>
      <c r="HON107" s="952"/>
      <c r="HOO107" s="952"/>
      <c r="HOP107" s="952"/>
      <c r="HOQ107" s="952"/>
      <c r="HOR107" s="952"/>
      <c r="HOS107" s="952"/>
      <c r="HOT107" s="952"/>
      <c r="HOU107" s="952"/>
      <c r="HOV107" s="952"/>
      <c r="HOW107" s="952"/>
      <c r="HOX107" s="952"/>
      <c r="HOY107" s="952"/>
      <c r="HOZ107" s="952"/>
      <c r="HPA107" s="952"/>
      <c r="HPB107" s="952"/>
      <c r="HPC107" s="952"/>
      <c r="HPD107" s="952"/>
      <c r="HPE107" s="952"/>
      <c r="HPF107" s="952"/>
      <c r="HPG107" s="952"/>
      <c r="HPH107" s="952"/>
      <c r="HPI107" s="952"/>
      <c r="HPJ107" s="952"/>
      <c r="HPK107" s="952"/>
      <c r="HPL107" s="952"/>
      <c r="HPM107" s="952"/>
      <c r="HPN107" s="952"/>
      <c r="HPO107" s="952"/>
      <c r="HPP107" s="952"/>
      <c r="HPQ107" s="952"/>
      <c r="HPR107" s="952"/>
      <c r="HPS107" s="952"/>
      <c r="HPT107" s="952"/>
      <c r="HPU107" s="952"/>
      <c r="HPV107" s="952"/>
      <c r="HPW107" s="952"/>
      <c r="HPX107" s="952"/>
      <c r="HPY107" s="952"/>
      <c r="HPZ107" s="952"/>
      <c r="HQA107" s="952"/>
      <c r="HQB107" s="952"/>
      <c r="HQC107" s="952"/>
      <c r="HQD107" s="952"/>
      <c r="HQE107" s="952"/>
      <c r="HQF107" s="952"/>
      <c r="HQG107" s="952"/>
      <c r="HQH107" s="952"/>
      <c r="HQI107" s="952"/>
      <c r="HQJ107" s="952"/>
      <c r="HQK107" s="952"/>
      <c r="HQL107" s="952"/>
      <c r="HQM107" s="952"/>
      <c r="HQN107" s="952"/>
      <c r="HQO107" s="952"/>
      <c r="HQP107" s="952"/>
      <c r="HQQ107" s="952"/>
      <c r="HQR107" s="952"/>
      <c r="HQS107" s="952"/>
      <c r="HQT107" s="952"/>
      <c r="HQU107" s="952"/>
      <c r="HQV107" s="952"/>
      <c r="HQW107" s="952"/>
      <c r="HQX107" s="952"/>
      <c r="HQY107" s="952"/>
      <c r="HQZ107" s="952"/>
      <c r="HRA107" s="952"/>
      <c r="HRB107" s="952"/>
      <c r="HRC107" s="952"/>
      <c r="HRD107" s="952"/>
      <c r="HRE107" s="952"/>
      <c r="HRF107" s="952"/>
      <c r="HRG107" s="952"/>
      <c r="HRH107" s="952"/>
      <c r="HRI107" s="952"/>
      <c r="HRJ107" s="952"/>
      <c r="HRK107" s="952"/>
      <c r="HRL107" s="952"/>
      <c r="HRM107" s="952"/>
      <c r="HRN107" s="952"/>
      <c r="HRO107" s="952"/>
      <c r="HRP107" s="952"/>
      <c r="HRQ107" s="952"/>
      <c r="HRR107" s="952"/>
      <c r="HRS107" s="952"/>
      <c r="HRT107" s="952"/>
      <c r="HRU107" s="952"/>
      <c r="HRV107" s="952"/>
      <c r="HRW107" s="952"/>
      <c r="HRX107" s="952"/>
      <c r="HRY107" s="952"/>
      <c r="HRZ107" s="952"/>
      <c r="HSA107" s="952"/>
      <c r="HSB107" s="952"/>
      <c r="HSC107" s="952"/>
      <c r="HSD107" s="952"/>
      <c r="HSE107" s="952"/>
      <c r="HSF107" s="952"/>
      <c r="HSG107" s="952"/>
      <c r="HSH107" s="952"/>
      <c r="HSI107" s="952"/>
      <c r="HSJ107" s="952"/>
      <c r="HSK107" s="952"/>
      <c r="HSL107" s="952"/>
      <c r="HSM107" s="952"/>
      <c r="HSN107" s="952"/>
      <c r="HSO107" s="952"/>
      <c r="HSP107" s="952"/>
      <c r="HSQ107" s="952"/>
      <c r="HSR107" s="952"/>
      <c r="HSS107" s="952"/>
      <c r="HST107" s="952"/>
      <c r="HSU107" s="952"/>
      <c r="HSV107" s="952"/>
      <c r="HSW107" s="952"/>
      <c r="HSX107" s="952"/>
      <c r="HSY107" s="952"/>
      <c r="HSZ107" s="952"/>
      <c r="HTA107" s="952"/>
      <c r="HTB107" s="952"/>
      <c r="HTC107" s="952"/>
      <c r="HTD107" s="952"/>
      <c r="HTE107" s="952"/>
      <c r="HTF107" s="952"/>
      <c r="HTG107" s="952"/>
      <c r="HTH107" s="952"/>
      <c r="HTI107" s="952"/>
      <c r="HTJ107" s="952"/>
      <c r="HTK107" s="952"/>
      <c r="HTL107" s="952"/>
      <c r="HTM107" s="952"/>
      <c r="HTN107" s="952"/>
      <c r="HTO107" s="952"/>
      <c r="HTP107" s="952"/>
      <c r="HTQ107" s="952"/>
      <c r="HTR107" s="952"/>
      <c r="HTS107" s="952"/>
      <c r="HTT107" s="952"/>
      <c r="HTU107" s="952"/>
      <c r="HTV107" s="952"/>
      <c r="HTW107" s="952"/>
      <c r="HTX107" s="952"/>
      <c r="HTY107" s="952"/>
      <c r="HTZ107" s="952"/>
      <c r="HUA107" s="952"/>
      <c r="HUB107" s="952"/>
      <c r="HUC107" s="952"/>
      <c r="HUD107" s="952"/>
      <c r="HUE107" s="952"/>
      <c r="HUF107" s="952"/>
      <c r="HUG107" s="952"/>
      <c r="HUH107" s="952"/>
      <c r="HUI107" s="952"/>
      <c r="HUJ107" s="952"/>
      <c r="HUK107" s="952"/>
      <c r="HUL107" s="952"/>
      <c r="HUM107" s="952"/>
      <c r="HUN107" s="952"/>
      <c r="HUO107" s="952"/>
      <c r="HUP107" s="952"/>
      <c r="HUQ107" s="952"/>
      <c r="HUR107" s="952"/>
      <c r="HUS107" s="952"/>
      <c r="HUT107" s="952"/>
      <c r="HUU107" s="952"/>
      <c r="HUV107" s="952"/>
      <c r="HUW107" s="952"/>
      <c r="HUX107" s="952"/>
      <c r="HUY107" s="952"/>
      <c r="HUZ107" s="952"/>
      <c r="HVA107" s="952"/>
      <c r="HVB107" s="952"/>
      <c r="HVC107" s="952"/>
      <c r="HVD107" s="952"/>
      <c r="HVE107" s="952"/>
      <c r="HVF107" s="952"/>
      <c r="HVG107" s="952"/>
      <c r="HVH107" s="952"/>
      <c r="HVI107" s="952"/>
      <c r="HVJ107" s="952"/>
      <c r="HVK107" s="952"/>
      <c r="HVL107" s="952"/>
      <c r="HVM107" s="952"/>
      <c r="HVN107" s="952"/>
      <c r="HVO107" s="952"/>
      <c r="HVP107" s="952"/>
      <c r="HVQ107" s="952"/>
      <c r="HVR107" s="952"/>
      <c r="HVS107" s="952"/>
      <c r="HVT107" s="952"/>
      <c r="HVU107" s="952"/>
      <c r="HVV107" s="952"/>
      <c r="HVW107" s="952"/>
      <c r="HVX107" s="952"/>
      <c r="HVY107" s="952"/>
      <c r="HVZ107" s="952"/>
      <c r="HWA107" s="952"/>
      <c r="HWB107" s="952"/>
      <c r="HWC107" s="952"/>
      <c r="HWD107" s="952"/>
      <c r="HWE107" s="952"/>
      <c r="HWF107" s="952"/>
      <c r="HWG107" s="952"/>
      <c r="HWH107" s="952"/>
      <c r="HWI107" s="952"/>
      <c r="HWJ107" s="952"/>
      <c r="HWK107" s="952"/>
      <c r="HWL107" s="952"/>
      <c r="HWM107" s="952"/>
      <c r="HWN107" s="952"/>
      <c r="HWO107" s="952"/>
      <c r="HWP107" s="952"/>
      <c r="HWQ107" s="952"/>
      <c r="HWR107" s="952"/>
      <c r="HWS107" s="952"/>
      <c r="HWT107" s="952"/>
      <c r="HWU107" s="952"/>
      <c r="HWV107" s="952"/>
      <c r="HWW107" s="952"/>
      <c r="HWX107" s="952"/>
      <c r="HWY107" s="952"/>
      <c r="HWZ107" s="952"/>
      <c r="HXA107" s="952"/>
      <c r="HXB107" s="952"/>
      <c r="HXC107" s="952"/>
      <c r="HXD107" s="952"/>
      <c r="HXE107" s="952"/>
      <c r="HXF107" s="952"/>
      <c r="HXG107" s="952"/>
      <c r="HXH107" s="952"/>
      <c r="HXI107" s="952"/>
      <c r="HXJ107" s="952"/>
      <c r="HXK107" s="952"/>
      <c r="HXL107" s="952"/>
      <c r="HXM107" s="952"/>
      <c r="HXN107" s="952"/>
      <c r="HXO107" s="952"/>
      <c r="HXP107" s="952"/>
      <c r="HXQ107" s="952"/>
      <c r="HXR107" s="952"/>
      <c r="HXS107" s="952"/>
      <c r="HXT107" s="952"/>
      <c r="HXU107" s="952"/>
      <c r="HXV107" s="952"/>
      <c r="HXW107" s="952"/>
      <c r="HXX107" s="952"/>
      <c r="HXY107" s="952"/>
      <c r="HXZ107" s="952"/>
      <c r="HYA107" s="952"/>
      <c r="HYB107" s="952"/>
      <c r="HYC107" s="952"/>
      <c r="HYD107" s="952"/>
      <c r="HYE107" s="952"/>
      <c r="HYF107" s="952"/>
      <c r="HYG107" s="952"/>
      <c r="HYH107" s="952"/>
      <c r="HYI107" s="952"/>
      <c r="HYJ107" s="952"/>
      <c r="HYK107" s="952"/>
      <c r="HYL107" s="952"/>
      <c r="HYM107" s="952"/>
      <c r="HYN107" s="952"/>
      <c r="HYO107" s="952"/>
      <c r="HYP107" s="952"/>
      <c r="HYQ107" s="952"/>
      <c r="HYR107" s="952"/>
      <c r="HYS107" s="952"/>
      <c r="HYT107" s="952"/>
      <c r="HYU107" s="952"/>
      <c r="HYV107" s="952"/>
      <c r="HYW107" s="952"/>
      <c r="HYX107" s="952"/>
      <c r="HYY107" s="952"/>
      <c r="HYZ107" s="952"/>
      <c r="HZA107" s="952"/>
      <c r="HZB107" s="952"/>
      <c r="HZC107" s="952"/>
      <c r="HZD107" s="952"/>
      <c r="HZE107" s="952"/>
      <c r="HZF107" s="952"/>
      <c r="HZG107" s="952"/>
      <c r="HZH107" s="952"/>
      <c r="HZI107" s="952"/>
      <c r="HZJ107" s="952"/>
      <c r="HZK107" s="952"/>
      <c r="HZL107" s="952"/>
      <c r="HZM107" s="952"/>
      <c r="HZN107" s="952"/>
      <c r="HZO107" s="952"/>
      <c r="HZP107" s="952"/>
      <c r="HZQ107" s="952"/>
      <c r="HZR107" s="952"/>
      <c r="HZS107" s="952"/>
      <c r="HZT107" s="952"/>
      <c r="HZU107" s="952"/>
      <c r="HZV107" s="952"/>
      <c r="HZW107" s="952"/>
      <c r="HZX107" s="952"/>
      <c r="HZY107" s="952"/>
      <c r="HZZ107" s="952"/>
      <c r="IAA107" s="952"/>
      <c r="IAB107" s="952"/>
      <c r="IAC107" s="952"/>
      <c r="IAD107" s="952"/>
      <c r="IAE107" s="952"/>
      <c r="IAF107" s="952"/>
      <c r="IAG107" s="952"/>
      <c r="IAH107" s="952"/>
      <c r="IAI107" s="952"/>
      <c r="IAJ107" s="952"/>
      <c r="IAK107" s="952"/>
      <c r="IAL107" s="952"/>
      <c r="IAM107" s="952"/>
      <c r="IAN107" s="952"/>
      <c r="IAO107" s="952"/>
      <c r="IAP107" s="952"/>
      <c r="IAQ107" s="952"/>
      <c r="IAR107" s="952"/>
      <c r="IAS107" s="952"/>
      <c r="IAT107" s="952"/>
      <c r="IAU107" s="952"/>
      <c r="IAV107" s="952"/>
      <c r="IAW107" s="952"/>
      <c r="IAX107" s="952"/>
      <c r="IAY107" s="952"/>
      <c r="IAZ107" s="952"/>
      <c r="IBA107" s="952"/>
      <c r="IBB107" s="952"/>
      <c r="IBC107" s="952"/>
      <c r="IBD107" s="952"/>
      <c r="IBE107" s="952"/>
      <c r="IBF107" s="952"/>
      <c r="IBG107" s="952"/>
      <c r="IBH107" s="952"/>
      <c r="IBI107" s="952"/>
      <c r="IBJ107" s="952"/>
      <c r="IBK107" s="952"/>
      <c r="IBL107" s="952"/>
      <c r="IBM107" s="952"/>
      <c r="IBN107" s="952"/>
      <c r="IBO107" s="952"/>
      <c r="IBP107" s="952"/>
      <c r="IBQ107" s="952"/>
      <c r="IBR107" s="952"/>
      <c r="IBS107" s="952"/>
      <c r="IBT107" s="952"/>
      <c r="IBU107" s="952"/>
      <c r="IBV107" s="952"/>
      <c r="IBW107" s="952"/>
      <c r="IBX107" s="952"/>
      <c r="IBY107" s="952"/>
      <c r="IBZ107" s="952"/>
      <c r="ICA107" s="952"/>
      <c r="ICB107" s="952"/>
      <c r="ICC107" s="952"/>
      <c r="ICD107" s="952"/>
      <c r="ICE107" s="952"/>
      <c r="ICF107" s="952"/>
      <c r="ICG107" s="952"/>
      <c r="ICH107" s="952"/>
      <c r="ICI107" s="952"/>
      <c r="ICJ107" s="952"/>
      <c r="ICK107" s="952"/>
      <c r="ICL107" s="952"/>
      <c r="ICM107" s="952"/>
      <c r="ICN107" s="952"/>
      <c r="ICO107" s="952"/>
      <c r="ICP107" s="952"/>
      <c r="ICQ107" s="952"/>
      <c r="ICR107" s="952"/>
      <c r="ICS107" s="952"/>
      <c r="ICT107" s="952"/>
      <c r="ICU107" s="952"/>
      <c r="ICV107" s="952"/>
      <c r="ICW107" s="952"/>
      <c r="ICX107" s="952"/>
      <c r="ICY107" s="952"/>
      <c r="ICZ107" s="952"/>
      <c r="IDA107" s="952"/>
      <c r="IDB107" s="952"/>
      <c r="IDC107" s="952"/>
      <c r="IDD107" s="952"/>
      <c r="IDE107" s="952"/>
      <c r="IDF107" s="952"/>
      <c r="IDG107" s="952"/>
      <c r="IDH107" s="952"/>
      <c r="IDI107" s="952"/>
      <c r="IDJ107" s="952"/>
      <c r="IDK107" s="952"/>
      <c r="IDL107" s="952"/>
      <c r="IDM107" s="952"/>
      <c r="IDN107" s="952"/>
      <c r="IDO107" s="952"/>
      <c r="IDP107" s="952"/>
      <c r="IDQ107" s="952"/>
      <c r="IDR107" s="952"/>
      <c r="IDS107" s="952"/>
      <c r="IDT107" s="952"/>
      <c r="IDU107" s="952"/>
      <c r="IDV107" s="952"/>
      <c r="IDW107" s="952"/>
      <c r="IDX107" s="952"/>
      <c r="IDY107" s="952"/>
      <c r="IDZ107" s="952"/>
      <c r="IEA107" s="952"/>
      <c r="IEB107" s="952"/>
      <c r="IEC107" s="952"/>
      <c r="IED107" s="952"/>
      <c r="IEE107" s="952"/>
      <c r="IEF107" s="952"/>
      <c r="IEG107" s="952"/>
      <c r="IEH107" s="952"/>
      <c r="IEI107" s="952"/>
      <c r="IEJ107" s="952"/>
      <c r="IEK107" s="952"/>
      <c r="IEL107" s="952"/>
      <c r="IEM107" s="952"/>
      <c r="IEN107" s="952"/>
      <c r="IEO107" s="952"/>
      <c r="IEP107" s="952"/>
      <c r="IEQ107" s="952"/>
      <c r="IER107" s="952"/>
      <c r="IES107" s="952"/>
      <c r="IET107" s="952"/>
      <c r="IEU107" s="952"/>
      <c r="IEV107" s="952"/>
      <c r="IEW107" s="952"/>
      <c r="IEX107" s="952"/>
      <c r="IEY107" s="952"/>
      <c r="IEZ107" s="952"/>
      <c r="IFA107" s="952"/>
      <c r="IFB107" s="952"/>
      <c r="IFC107" s="952"/>
      <c r="IFD107" s="952"/>
      <c r="IFE107" s="952"/>
      <c r="IFF107" s="952"/>
      <c r="IFG107" s="952"/>
      <c r="IFH107" s="952"/>
      <c r="IFI107" s="952"/>
      <c r="IFJ107" s="952"/>
      <c r="IFK107" s="952"/>
      <c r="IFL107" s="952"/>
      <c r="IFM107" s="952"/>
      <c r="IFN107" s="952"/>
      <c r="IFO107" s="952"/>
      <c r="IFP107" s="952"/>
      <c r="IFQ107" s="952"/>
      <c r="IFR107" s="952"/>
      <c r="IFS107" s="952"/>
      <c r="IFT107" s="952"/>
      <c r="IFU107" s="952"/>
      <c r="IFV107" s="952"/>
      <c r="IFW107" s="952"/>
      <c r="IFX107" s="952"/>
      <c r="IFY107" s="952"/>
      <c r="IFZ107" s="952"/>
      <c r="IGA107" s="952"/>
      <c r="IGB107" s="952"/>
      <c r="IGC107" s="952"/>
      <c r="IGD107" s="952"/>
      <c r="IGE107" s="952"/>
      <c r="IGF107" s="952"/>
      <c r="IGG107" s="952"/>
      <c r="IGH107" s="952"/>
      <c r="IGI107" s="952"/>
      <c r="IGJ107" s="952"/>
      <c r="IGK107" s="952"/>
      <c r="IGL107" s="952"/>
      <c r="IGM107" s="952"/>
      <c r="IGN107" s="952"/>
      <c r="IGO107" s="952"/>
      <c r="IGP107" s="952"/>
      <c r="IGQ107" s="952"/>
      <c r="IGR107" s="952"/>
      <c r="IGS107" s="952"/>
      <c r="IGT107" s="952"/>
      <c r="IGU107" s="952"/>
      <c r="IGV107" s="952"/>
      <c r="IGW107" s="952"/>
      <c r="IGX107" s="952"/>
      <c r="IGY107" s="952"/>
      <c r="IGZ107" s="952"/>
      <c r="IHA107" s="952"/>
      <c r="IHB107" s="952"/>
      <c r="IHC107" s="952"/>
      <c r="IHD107" s="952"/>
      <c r="IHE107" s="952"/>
      <c r="IHF107" s="952"/>
      <c r="IHG107" s="952"/>
      <c r="IHH107" s="952"/>
      <c r="IHI107" s="952"/>
      <c r="IHJ107" s="952"/>
      <c r="IHK107" s="952"/>
      <c r="IHL107" s="952"/>
      <c r="IHM107" s="952"/>
      <c r="IHN107" s="952"/>
      <c r="IHO107" s="952"/>
      <c r="IHP107" s="952"/>
      <c r="IHQ107" s="952"/>
      <c r="IHR107" s="952"/>
      <c r="IHS107" s="952"/>
      <c r="IHT107" s="952"/>
      <c r="IHU107" s="952"/>
      <c r="IHV107" s="952"/>
      <c r="IHW107" s="952"/>
      <c r="IHX107" s="952"/>
      <c r="IHY107" s="952"/>
      <c r="IHZ107" s="952"/>
      <c r="IIA107" s="952"/>
      <c r="IIB107" s="952"/>
      <c r="IIC107" s="952"/>
      <c r="IID107" s="952"/>
      <c r="IIE107" s="952"/>
      <c r="IIF107" s="952"/>
      <c r="IIG107" s="952"/>
      <c r="IIH107" s="952"/>
      <c r="III107" s="952"/>
      <c r="IIJ107" s="952"/>
      <c r="IIK107" s="952"/>
      <c r="IIL107" s="952"/>
      <c r="IIM107" s="952"/>
      <c r="IIN107" s="952"/>
      <c r="IIO107" s="952"/>
      <c r="IIP107" s="952"/>
      <c r="IIQ107" s="952"/>
      <c r="IIR107" s="952"/>
      <c r="IIS107" s="952"/>
      <c r="IIT107" s="952"/>
      <c r="IIU107" s="952"/>
      <c r="IIV107" s="952"/>
      <c r="IIW107" s="952"/>
      <c r="IIX107" s="952"/>
      <c r="IIY107" s="952"/>
      <c r="IIZ107" s="952"/>
      <c r="IJA107" s="952"/>
      <c r="IJB107" s="952"/>
      <c r="IJC107" s="952"/>
      <c r="IJD107" s="952"/>
      <c r="IJE107" s="952"/>
      <c r="IJF107" s="952"/>
      <c r="IJG107" s="952"/>
      <c r="IJH107" s="952"/>
      <c r="IJI107" s="952"/>
      <c r="IJJ107" s="952"/>
      <c r="IJK107" s="952"/>
      <c r="IJL107" s="952"/>
      <c r="IJM107" s="952"/>
      <c r="IJN107" s="952"/>
      <c r="IJO107" s="952"/>
      <c r="IJP107" s="952"/>
      <c r="IJQ107" s="952"/>
      <c r="IJR107" s="952"/>
      <c r="IJS107" s="952"/>
      <c r="IJT107" s="952"/>
      <c r="IJU107" s="952"/>
      <c r="IJV107" s="952"/>
      <c r="IJW107" s="952"/>
      <c r="IJX107" s="952"/>
      <c r="IJY107" s="952"/>
      <c r="IJZ107" s="952"/>
      <c r="IKA107" s="952"/>
      <c r="IKB107" s="952"/>
      <c r="IKC107" s="952"/>
      <c r="IKD107" s="952"/>
      <c r="IKE107" s="952"/>
      <c r="IKF107" s="952"/>
      <c r="IKG107" s="952"/>
      <c r="IKH107" s="952"/>
      <c r="IKI107" s="952"/>
      <c r="IKJ107" s="952"/>
      <c r="IKK107" s="952"/>
      <c r="IKL107" s="952"/>
      <c r="IKM107" s="952"/>
      <c r="IKN107" s="952"/>
      <c r="IKO107" s="952"/>
      <c r="IKP107" s="952"/>
      <c r="IKQ107" s="952"/>
      <c r="IKR107" s="952"/>
      <c r="IKS107" s="952"/>
      <c r="IKT107" s="952"/>
      <c r="IKU107" s="952"/>
      <c r="IKV107" s="952"/>
      <c r="IKW107" s="952"/>
      <c r="IKX107" s="952"/>
      <c r="IKY107" s="952"/>
      <c r="IKZ107" s="952"/>
      <c r="ILA107" s="952"/>
      <c r="ILB107" s="952"/>
      <c r="ILC107" s="952"/>
      <c r="ILD107" s="952"/>
      <c r="ILE107" s="952"/>
      <c r="ILF107" s="952"/>
      <c r="ILG107" s="952"/>
      <c r="ILH107" s="952"/>
      <c r="ILI107" s="952"/>
      <c r="ILJ107" s="952"/>
      <c r="ILK107" s="952"/>
      <c r="ILL107" s="952"/>
      <c r="ILM107" s="952"/>
      <c r="ILN107" s="952"/>
      <c r="ILO107" s="952"/>
      <c r="ILP107" s="952"/>
      <c r="ILQ107" s="952"/>
      <c r="ILR107" s="952"/>
      <c r="ILS107" s="952"/>
      <c r="ILT107" s="952"/>
      <c r="ILU107" s="952"/>
      <c r="ILV107" s="952"/>
      <c r="ILW107" s="952"/>
      <c r="ILX107" s="952"/>
      <c r="ILY107" s="952"/>
      <c r="ILZ107" s="952"/>
      <c r="IMA107" s="952"/>
      <c r="IMB107" s="952"/>
      <c r="IMC107" s="952"/>
      <c r="IMD107" s="952"/>
      <c r="IME107" s="952"/>
      <c r="IMF107" s="952"/>
      <c r="IMG107" s="952"/>
      <c r="IMH107" s="952"/>
      <c r="IMI107" s="952"/>
      <c r="IMJ107" s="952"/>
      <c r="IMK107" s="952"/>
      <c r="IML107" s="952"/>
      <c r="IMM107" s="952"/>
      <c r="IMN107" s="952"/>
      <c r="IMO107" s="952"/>
      <c r="IMP107" s="952"/>
      <c r="IMQ107" s="952"/>
      <c r="IMR107" s="952"/>
      <c r="IMS107" s="952"/>
      <c r="IMT107" s="952"/>
      <c r="IMU107" s="952"/>
      <c r="IMV107" s="952"/>
      <c r="IMW107" s="952"/>
      <c r="IMX107" s="952"/>
      <c r="IMY107" s="952"/>
      <c r="IMZ107" s="952"/>
      <c r="INA107" s="952"/>
      <c r="INB107" s="952"/>
      <c r="INC107" s="952"/>
      <c r="IND107" s="952"/>
      <c r="INE107" s="952"/>
      <c r="INF107" s="952"/>
      <c r="ING107" s="952"/>
      <c r="INH107" s="952"/>
      <c r="INI107" s="952"/>
      <c r="INJ107" s="952"/>
      <c r="INK107" s="952"/>
      <c r="INL107" s="952"/>
      <c r="INM107" s="952"/>
      <c r="INN107" s="952"/>
      <c r="INO107" s="952"/>
      <c r="INP107" s="952"/>
      <c r="INQ107" s="952"/>
      <c r="INR107" s="952"/>
      <c r="INS107" s="952"/>
      <c r="INT107" s="952"/>
      <c r="INU107" s="952"/>
      <c r="INV107" s="952"/>
      <c r="INW107" s="952"/>
      <c r="INX107" s="952"/>
      <c r="INY107" s="952"/>
      <c r="INZ107" s="952"/>
      <c r="IOA107" s="952"/>
      <c r="IOB107" s="952"/>
      <c r="IOC107" s="952"/>
      <c r="IOD107" s="952"/>
      <c r="IOE107" s="952"/>
      <c r="IOF107" s="952"/>
      <c r="IOG107" s="952"/>
      <c r="IOH107" s="952"/>
      <c r="IOI107" s="952"/>
      <c r="IOJ107" s="952"/>
      <c r="IOK107" s="952"/>
      <c r="IOL107" s="952"/>
      <c r="IOM107" s="952"/>
      <c r="ION107" s="952"/>
      <c r="IOO107" s="952"/>
      <c r="IOP107" s="952"/>
      <c r="IOQ107" s="952"/>
      <c r="IOR107" s="952"/>
      <c r="IOS107" s="952"/>
      <c r="IOT107" s="952"/>
      <c r="IOU107" s="952"/>
      <c r="IOV107" s="952"/>
      <c r="IOW107" s="952"/>
      <c r="IOX107" s="952"/>
      <c r="IOY107" s="952"/>
      <c r="IOZ107" s="952"/>
      <c r="IPA107" s="952"/>
      <c r="IPB107" s="952"/>
      <c r="IPC107" s="952"/>
      <c r="IPD107" s="952"/>
      <c r="IPE107" s="952"/>
      <c r="IPF107" s="952"/>
      <c r="IPG107" s="952"/>
      <c r="IPH107" s="952"/>
      <c r="IPI107" s="952"/>
      <c r="IPJ107" s="952"/>
      <c r="IPK107" s="952"/>
      <c r="IPL107" s="952"/>
      <c r="IPM107" s="952"/>
      <c r="IPN107" s="952"/>
      <c r="IPO107" s="952"/>
      <c r="IPP107" s="952"/>
      <c r="IPQ107" s="952"/>
      <c r="IPR107" s="952"/>
      <c r="IPS107" s="952"/>
      <c r="IPT107" s="952"/>
      <c r="IPU107" s="952"/>
      <c r="IPV107" s="952"/>
      <c r="IPW107" s="952"/>
      <c r="IPX107" s="952"/>
      <c r="IPY107" s="952"/>
      <c r="IPZ107" s="952"/>
      <c r="IQA107" s="952"/>
      <c r="IQB107" s="952"/>
      <c r="IQC107" s="952"/>
      <c r="IQD107" s="952"/>
      <c r="IQE107" s="952"/>
      <c r="IQF107" s="952"/>
      <c r="IQG107" s="952"/>
      <c r="IQH107" s="952"/>
      <c r="IQI107" s="952"/>
      <c r="IQJ107" s="952"/>
      <c r="IQK107" s="952"/>
      <c r="IQL107" s="952"/>
      <c r="IQM107" s="952"/>
      <c r="IQN107" s="952"/>
      <c r="IQO107" s="952"/>
      <c r="IQP107" s="952"/>
      <c r="IQQ107" s="952"/>
      <c r="IQR107" s="952"/>
      <c r="IQS107" s="952"/>
      <c r="IQT107" s="952"/>
      <c r="IQU107" s="952"/>
      <c r="IQV107" s="952"/>
      <c r="IQW107" s="952"/>
      <c r="IQX107" s="952"/>
      <c r="IQY107" s="952"/>
      <c r="IQZ107" s="952"/>
      <c r="IRA107" s="952"/>
      <c r="IRB107" s="952"/>
      <c r="IRC107" s="952"/>
      <c r="IRD107" s="952"/>
      <c r="IRE107" s="952"/>
      <c r="IRF107" s="952"/>
      <c r="IRG107" s="952"/>
      <c r="IRH107" s="952"/>
      <c r="IRI107" s="952"/>
      <c r="IRJ107" s="952"/>
      <c r="IRK107" s="952"/>
      <c r="IRL107" s="952"/>
      <c r="IRM107" s="952"/>
      <c r="IRN107" s="952"/>
      <c r="IRO107" s="952"/>
      <c r="IRP107" s="952"/>
      <c r="IRQ107" s="952"/>
      <c r="IRR107" s="952"/>
      <c r="IRS107" s="952"/>
      <c r="IRT107" s="952"/>
      <c r="IRU107" s="952"/>
      <c r="IRV107" s="952"/>
      <c r="IRW107" s="952"/>
      <c r="IRX107" s="952"/>
      <c r="IRY107" s="952"/>
      <c r="IRZ107" s="952"/>
      <c r="ISA107" s="952"/>
      <c r="ISB107" s="952"/>
      <c r="ISC107" s="952"/>
      <c r="ISD107" s="952"/>
      <c r="ISE107" s="952"/>
      <c r="ISF107" s="952"/>
      <c r="ISG107" s="952"/>
      <c r="ISH107" s="952"/>
      <c r="ISI107" s="952"/>
      <c r="ISJ107" s="952"/>
      <c r="ISK107" s="952"/>
      <c r="ISL107" s="952"/>
      <c r="ISM107" s="952"/>
      <c r="ISN107" s="952"/>
      <c r="ISO107" s="952"/>
      <c r="ISP107" s="952"/>
      <c r="ISQ107" s="952"/>
      <c r="ISR107" s="952"/>
      <c r="ISS107" s="952"/>
      <c r="IST107" s="952"/>
      <c r="ISU107" s="952"/>
      <c r="ISV107" s="952"/>
      <c r="ISW107" s="952"/>
      <c r="ISX107" s="952"/>
      <c r="ISY107" s="952"/>
      <c r="ISZ107" s="952"/>
      <c r="ITA107" s="952"/>
      <c r="ITB107" s="952"/>
      <c r="ITC107" s="952"/>
      <c r="ITD107" s="952"/>
      <c r="ITE107" s="952"/>
      <c r="ITF107" s="952"/>
      <c r="ITG107" s="952"/>
      <c r="ITH107" s="952"/>
      <c r="ITI107" s="952"/>
      <c r="ITJ107" s="952"/>
      <c r="ITK107" s="952"/>
      <c r="ITL107" s="952"/>
      <c r="ITM107" s="952"/>
      <c r="ITN107" s="952"/>
      <c r="ITO107" s="952"/>
      <c r="ITP107" s="952"/>
      <c r="ITQ107" s="952"/>
      <c r="ITR107" s="952"/>
      <c r="ITS107" s="952"/>
      <c r="ITT107" s="952"/>
      <c r="ITU107" s="952"/>
      <c r="ITV107" s="952"/>
      <c r="ITW107" s="952"/>
      <c r="ITX107" s="952"/>
      <c r="ITY107" s="952"/>
      <c r="ITZ107" s="952"/>
      <c r="IUA107" s="952"/>
      <c r="IUB107" s="952"/>
      <c r="IUC107" s="952"/>
      <c r="IUD107" s="952"/>
      <c r="IUE107" s="952"/>
      <c r="IUF107" s="952"/>
      <c r="IUG107" s="952"/>
      <c r="IUH107" s="952"/>
      <c r="IUI107" s="952"/>
      <c r="IUJ107" s="952"/>
      <c r="IUK107" s="952"/>
      <c r="IUL107" s="952"/>
      <c r="IUM107" s="952"/>
      <c r="IUN107" s="952"/>
      <c r="IUO107" s="952"/>
      <c r="IUP107" s="952"/>
      <c r="IUQ107" s="952"/>
      <c r="IUR107" s="952"/>
      <c r="IUS107" s="952"/>
      <c r="IUT107" s="952"/>
      <c r="IUU107" s="952"/>
      <c r="IUV107" s="952"/>
      <c r="IUW107" s="952"/>
      <c r="IUX107" s="952"/>
      <c r="IUY107" s="952"/>
      <c r="IUZ107" s="952"/>
      <c r="IVA107" s="952"/>
      <c r="IVB107" s="952"/>
      <c r="IVC107" s="952"/>
      <c r="IVD107" s="952"/>
      <c r="IVE107" s="952"/>
      <c r="IVF107" s="952"/>
      <c r="IVG107" s="952"/>
      <c r="IVH107" s="952"/>
      <c r="IVI107" s="952"/>
      <c r="IVJ107" s="952"/>
      <c r="IVK107" s="952"/>
      <c r="IVL107" s="952"/>
      <c r="IVM107" s="952"/>
      <c r="IVN107" s="952"/>
      <c r="IVO107" s="952"/>
      <c r="IVP107" s="952"/>
      <c r="IVQ107" s="952"/>
      <c r="IVR107" s="952"/>
      <c r="IVS107" s="952"/>
      <c r="IVT107" s="952"/>
      <c r="IVU107" s="952"/>
      <c r="IVV107" s="952"/>
      <c r="IVW107" s="952"/>
      <c r="IVX107" s="952"/>
      <c r="IVY107" s="952"/>
      <c r="IVZ107" s="952"/>
      <c r="IWA107" s="952"/>
      <c r="IWB107" s="952"/>
      <c r="IWC107" s="952"/>
      <c r="IWD107" s="952"/>
      <c r="IWE107" s="952"/>
      <c r="IWF107" s="952"/>
      <c r="IWG107" s="952"/>
      <c r="IWH107" s="952"/>
      <c r="IWI107" s="952"/>
      <c r="IWJ107" s="952"/>
      <c r="IWK107" s="952"/>
      <c r="IWL107" s="952"/>
      <c r="IWM107" s="952"/>
      <c r="IWN107" s="952"/>
      <c r="IWO107" s="952"/>
      <c r="IWP107" s="952"/>
      <c r="IWQ107" s="952"/>
      <c r="IWR107" s="952"/>
      <c r="IWS107" s="952"/>
      <c r="IWT107" s="952"/>
      <c r="IWU107" s="952"/>
      <c r="IWV107" s="952"/>
      <c r="IWW107" s="952"/>
      <c r="IWX107" s="952"/>
      <c r="IWY107" s="952"/>
      <c r="IWZ107" s="952"/>
      <c r="IXA107" s="952"/>
      <c r="IXB107" s="952"/>
      <c r="IXC107" s="952"/>
      <c r="IXD107" s="952"/>
      <c r="IXE107" s="952"/>
      <c r="IXF107" s="952"/>
      <c r="IXG107" s="952"/>
      <c r="IXH107" s="952"/>
      <c r="IXI107" s="952"/>
      <c r="IXJ107" s="952"/>
      <c r="IXK107" s="952"/>
      <c r="IXL107" s="952"/>
      <c r="IXM107" s="952"/>
      <c r="IXN107" s="952"/>
      <c r="IXO107" s="952"/>
      <c r="IXP107" s="952"/>
      <c r="IXQ107" s="952"/>
      <c r="IXR107" s="952"/>
      <c r="IXS107" s="952"/>
      <c r="IXT107" s="952"/>
      <c r="IXU107" s="952"/>
      <c r="IXV107" s="952"/>
      <c r="IXW107" s="952"/>
      <c r="IXX107" s="952"/>
      <c r="IXY107" s="952"/>
      <c r="IXZ107" s="952"/>
      <c r="IYA107" s="952"/>
      <c r="IYB107" s="952"/>
      <c r="IYC107" s="952"/>
      <c r="IYD107" s="952"/>
      <c r="IYE107" s="952"/>
      <c r="IYF107" s="952"/>
      <c r="IYG107" s="952"/>
      <c r="IYH107" s="952"/>
      <c r="IYI107" s="952"/>
      <c r="IYJ107" s="952"/>
      <c r="IYK107" s="952"/>
      <c r="IYL107" s="952"/>
      <c r="IYM107" s="952"/>
      <c r="IYN107" s="952"/>
      <c r="IYO107" s="952"/>
      <c r="IYP107" s="952"/>
      <c r="IYQ107" s="952"/>
      <c r="IYR107" s="952"/>
      <c r="IYS107" s="952"/>
      <c r="IYT107" s="952"/>
      <c r="IYU107" s="952"/>
      <c r="IYV107" s="952"/>
      <c r="IYW107" s="952"/>
      <c r="IYX107" s="952"/>
      <c r="IYY107" s="952"/>
      <c r="IYZ107" s="952"/>
      <c r="IZA107" s="952"/>
      <c r="IZB107" s="952"/>
      <c r="IZC107" s="952"/>
      <c r="IZD107" s="952"/>
      <c r="IZE107" s="952"/>
      <c r="IZF107" s="952"/>
      <c r="IZG107" s="952"/>
      <c r="IZH107" s="952"/>
      <c r="IZI107" s="952"/>
      <c r="IZJ107" s="952"/>
      <c r="IZK107" s="952"/>
      <c r="IZL107" s="952"/>
      <c r="IZM107" s="952"/>
      <c r="IZN107" s="952"/>
      <c r="IZO107" s="952"/>
      <c r="IZP107" s="952"/>
      <c r="IZQ107" s="952"/>
      <c r="IZR107" s="952"/>
      <c r="IZS107" s="952"/>
      <c r="IZT107" s="952"/>
      <c r="IZU107" s="952"/>
      <c r="IZV107" s="952"/>
      <c r="IZW107" s="952"/>
      <c r="IZX107" s="952"/>
      <c r="IZY107" s="952"/>
      <c r="IZZ107" s="952"/>
      <c r="JAA107" s="952"/>
      <c r="JAB107" s="952"/>
      <c r="JAC107" s="952"/>
      <c r="JAD107" s="952"/>
      <c r="JAE107" s="952"/>
      <c r="JAF107" s="952"/>
      <c r="JAG107" s="952"/>
      <c r="JAH107" s="952"/>
      <c r="JAI107" s="952"/>
      <c r="JAJ107" s="952"/>
      <c r="JAK107" s="952"/>
      <c r="JAL107" s="952"/>
      <c r="JAM107" s="952"/>
      <c r="JAN107" s="952"/>
      <c r="JAO107" s="952"/>
      <c r="JAP107" s="952"/>
      <c r="JAQ107" s="952"/>
      <c r="JAR107" s="952"/>
      <c r="JAS107" s="952"/>
      <c r="JAT107" s="952"/>
      <c r="JAU107" s="952"/>
      <c r="JAV107" s="952"/>
      <c r="JAW107" s="952"/>
      <c r="JAX107" s="952"/>
      <c r="JAY107" s="952"/>
      <c r="JAZ107" s="952"/>
      <c r="JBA107" s="952"/>
      <c r="JBB107" s="952"/>
      <c r="JBC107" s="952"/>
      <c r="JBD107" s="952"/>
      <c r="JBE107" s="952"/>
      <c r="JBF107" s="952"/>
      <c r="JBG107" s="952"/>
      <c r="JBH107" s="952"/>
      <c r="JBI107" s="952"/>
      <c r="JBJ107" s="952"/>
      <c r="JBK107" s="952"/>
      <c r="JBL107" s="952"/>
      <c r="JBM107" s="952"/>
      <c r="JBN107" s="952"/>
      <c r="JBO107" s="952"/>
      <c r="JBP107" s="952"/>
      <c r="JBQ107" s="952"/>
      <c r="JBR107" s="952"/>
      <c r="JBS107" s="952"/>
      <c r="JBT107" s="952"/>
      <c r="JBU107" s="952"/>
      <c r="JBV107" s="952"/>
      <c r="JBW107" s="952"/>
      <c r="JBX107" s="952"/>
      <c r="JBY107" s="952"/>
      <c r="JBZ107" s="952"/>
      <c r="JCA107" s="952"/>
      <c r="JCB107" s="952"/>
      <c r="JCC107" s="952"/>
      <c r="JCD107" s="952"/>
      <c r="JCE107" s="952"/>
      <c r="JCF107" s="952"/>
      <c r="JCG107" s="952"/>
      <c r="JCH107" s="952"/>
      <c r="JCI107" s="952"/>
      <c r="JCJ107" s="952"/>
      <c r="JCK107" s="952"/>
      <c r="JCL107" s="952"/>
      <c r="JCM107" s="952"/>
      <c r="JCN107" s="952"/>
      <c r="JCO107" s="952"/>
      <c r="JCP107" s="952"/>
      <c r="JCQ107" s="952"/>
      <c r="JCR107" s="952"/>
      <c r="JCS107" s="952"/>
      <c r="JCT107" s="952"/>
      <c r="JCU107" s="952"/>
      <c r="JCV107" s="952"/>
      <c r="JCW107" s="952"/>
      <c r="JCX107" s="952"/>
      <c r="JCY107" s="952"/>
      <c r="JCZ107" s="952"/>
      <c r="JDA107" s="952"/>
      <c r="JDB107" s="952"/>
      <c r="JDC107" s="952"/>
      <c r="JDD107" s="952"/>
      <c r="JDE107" s="952"/>
      <c r="JDF107" s="952"/>
      <c r="JDG107" s="952"/>
      <c r="JDH107" s="952"/>
      <c r="JDI107" s="952"/>
      <c r="JDJ107" s="952"/>
      <c r="JDK107" s="952"/>
      <c r="JDL107" s="952"/>
      <c r="JDM107" s="952"/>
      <c r="JDN107" s="952"/>
      <c r="JDO107" s="952"/>
      <c r="JDP107" s="952"/>
      <c r="JDQ107" s="952"/>
      <c r="JDR107" s="952"/>
      <c r="JDS107" s="952"/>
      <c r="JDT107" s="952"/>
      <c r="JDU107" s="952"/>
      <c r="JDV107" s="952"/>
      <c r="JDW107" s="952"/>
      <c r="JDX107" s="952"/>
      <c r="JDY107" s="952"/>
      <c r="JDZ107" s="952"/>
      <c r="JEA107" s="952"/>
      <c r="JEB107" s="952"/>
      <c r="JEC107" s="952"/>
      <c r="JED107" s="952"/>
      <c r="JEE107" s="952"/>
      <c r="JEF107" s="952"/>
      <c r="JEG107" s="952"/>
      <c r="JEH107" s="952"/>
      <c r="JEI107" s="952"/>
      <c r="JEJ107" s="952"/>
      <c r="JEK107" s="952"/>
      <c r="JEL107" s="952"/>
      <c r="JEM107" s="952"/>
      <c r="JEN107" s="952"/>
      <c r="JEO107" s="952"/>
      <c r="JEP107" s="952"/>
      <c r="JEQ107" s="952"/>
      <c r="JER107" s="952"/>
      <c r="JES107" s="952"/>
      <c r="JET107" s="952"/>
      <c r="JEU107" s="952"/>
      <c r="JEV107" s="952"/>
      <c r="JEW107" s="952"/>
      <c r="JEX107" s="952"/>
      <c r="JEY107" s="952"/>
      <c r="JEZ107" s="952"/>
      <c r="JFA107" s="952"/>
      <c r="JFB107" s="952"/>
      <c r="JFC107" s="952"/>
      <c r="JFD107" s="952"/>
      <c r="JFE107" s="952"/>
      <c r="JFF107" s="952"/>
      <c r="JFG107" s="952"/>
      <c r="JFH107" s="952"/>
      <c r="JFI107" s="952"/>
      <c r="JFJ107" s="952"/>
      <c r="JFK107" s="952"/>
      <c r="JFL107" s="952"/>
      <c r="JFM107" s="952"/>
      <c r="JFN107" s="952"/>
      <c r="JFO107" s="952"/>
      <c r="JFP107" s="952"/>
      <c r="JFQ107" s="952"/>
      <c r="JFR107" s="952"/>
      <c r="JFS107" s="952"/>
      <c r="JFT107" s="952"/>
      <c r="JFU107" s="952"/>
      <c r="JFV107" s="952"/>
      <c r="JFW107" s="952"/>
      <c r="JFX107" s="952"/>
      <c r="JFY107" s="952"/>
      <c r="JFZ107" s="952"/>
      <c r="JGA107" s="952"/>
      <c r="JGB107" s="952"/>
      <c r="JGC107" s="952"/>
      <c r="JGD107" s="952"/>
      <c r="JGE107" s="952"/>
      <c r="JGF107" s="952"/>
      <c r="JGG107" s="952"/>
      <c r="JGH107" s="952"/>
      <c r="JGI107" s="952"/>
      <c r="JGJ107" s="952"/>
      <c r="JGK107" s="952"/>
      <c r="JGL107" s="952"/>
      <c r="JGM107" s="952"/>
      <c r="JGN107" s="952"/>
      <c r="JGO107" s="952"/>
      <c r="JGP107" s="952"/>
      <c r="JGQ107" s="952"/>
      <c r="JGR107" s="952"/>
      <c r="JGS107" s="952"/>
      <c r="JGT107" s="952"/>
      <c r="JGU107" s="952"/>
      <c r="JGV107" s="952"/>
      <c r="JGW107" s="952"/>
      <c r="JGX107" s="952"/>
      <c r="JGY107" s="952"/>
      <c r="JGZ107" s="952"/>
      <c r="JHA107" s="952"/>
      <c r="JHB107" s="952"/>
      <c r="JHC107" s="952"/>
      <c r="JHD107" s="952"/>
      <c r="JHE107" s="952"/>
      <c r="JHF107" s="952"/>
      <c r="JHG107" s="952"/>
      <c r="JHH107" s="952"/>
      <c r="JHI107" s="952"/>
      <c r="JHJ107" s="952"/>
      <c r="JHK107" s="952"/>
      <c r="JHL107" s="952"/>
      <c r="JHM107" s="952"/>
      <c r="JHN107" s="952"/>
      <c r="JHO107" s="952"/>
      <c r="JHP107" s="952"/>
      <c r="JHQ107" s="952"/>
      <c r="JHR107" s="952"/>
      <c r="JHS107" s="952"/>
      <c r="JHT107" s="952"/>
      <c r="JHU107" s="952"/>
      <c r="JHV107" s="952"/>
      <c r="JHW107" s="952"/>
      <c r="JHX107" s="952"/>
      <c r="JHY107" s="952"/>
      <c r="JHZ107" s="952"/>
      <c r="JIA107" s="952"/>
      <c r="JIB107" s="952"/>
      <c r="JIC107" s="952"/>
      <c r="JID107" s="952"/>
      <c r="JIE107" s="952"/>
      <c r="JIF107" s="952"/>
      <c r="JIG107" s="952"/>
      <c r="JIH107" s="952"/>
      <c r="JII107" s="952"/>
      <c r="JIJ107" s="952"/>
      <c r="JIK107" s="952"/>
      <c r="JIL107" s="952"/>
      <c r="JIM107" s="952"/>
      <c r="JIN107" s="952"/>
      <c r="JIO107" s="952"/>
      <c r="JIP107" s="952"/>
      <c r="JIQ107" s="952"/>
      <c r="JIR107" s="952"/>
      <c r="JIS107" s="952"/>
      <c r="JIT107" s="952"/>
      <c r="JIU107" s="952"/>
      <c r="JIV107" s="952"/>
      <c r="JIW107" s="952"/>
      <c r="JIX107" s="952"/>
      <c r="JIY107" s="952"/>
      <c r="JIZ107" s="952"/>
      <c r="JJA107" s="952"/>
      <c r="JJB107" s="952"/>
      <c r="JJC107" s="952"/>
      <c r="JJD107" s="952"/>
      <c r="JJE107" s="952"/>
      <c r="JJF107" s="952"/>
      <c r="JJG107" s="952"/>
      <c r="JJH107" s="952"/>
      <c r="JJI107" s="952"/>
      <c r="JJJ107" s="952"/>
      <c r="JJK107" s="952"/>
      <c r="JJL107" s="952"/>
      <c r="JJM107" s="952"/>
      <c r="JJN107" s="952"/>
      <c r="JJO107" s="952"/>
      <c r="JJP107" s="952"/>
      <c r="JJQ107" s="952"/>
      <c r="JJR107" s="952"/>
      <c r="JJS107" s="952"/>
      <c r="JJT107" s="952"/>
      <c r="JJU107" s="952"/>
      <c r="JJV107" s="952"/>
      <c r="JJW107" s="952"/>
      <c r="JJX107" s="952"/>
      <c r="JJY107" s="952"/>
      <c r="JJZ107" s="952"/>
      <c r="JKA107" s="952"/>
      <c r="JKB107" s="952"/>
      <c r="JKC107" s="952"/>
      <c r="JKD107" s="952"/>
      <c r="JKE107" s="952"/>
      <c r="JKF107" s="952"/>
      <c r="JKG107" s="952"/>
      <c r="JKH107" s="952"/>
      <c r="JKI107" s="952"/>
      <c r="JKJ107" s="952"/>
      <c r="JKK107" s="952"/>
      <c r="JKL107" s="952"/>
      <c r="JKM107" s="952"/>
      <c r="JKN107" s="952"/>
      <c r="JKO107" s="952"/>
      <c r="JKP107" s="952"/>
      <c r="JKQ107" s="952"/>
      <c r="JKR107" s="952"/>
      <c r="JKS107" s="952"/>
      <c r="JKT107" s="952"/>
      <c r="JKU107" s="952"/>
      <c r="JKV107" s="952"/>
      <c r="JKW107" s="952"/>
      <c r="JKX107" s="952"/>
      <c r="JKY107" s="952"/>
      <c r="JKZ107" s="952"/>
      <c r="JLA107" s="952"/>
      <c r="JLB107" s="952"/>
      <c r="JLC107" s="952"/>
      <c r="JLD107" s="952"/>
      <c r="JLE107" s="952"/>
      <c r="JLF107" s="952"/>
      <c r="JLG107" s="952"/>
      <c r="JLH107" s="952"/>
      <c r="JLI107" s="952"/>
      <c r="JLJ107" s="952"/>
      <c r="JLK107" s="952"/>
      <c r="JLL107" s="952"/>
      <c r="JLM107" s="952"/>
      <c r="JLN107" s="952"/>
      <c r="JLO107" s="952"/>
      <c r="JLP107" s="952"/>
      <c r="JLQ107" s="952"/>
      <c r="JLR107" s="952"/>
      <c r="JLS107" s="952"/>
      <c r="JLT107" s="952"/>
      <c r="JLU107" s="952"/>
      <c r="JLV107" s="952"/>
      <c r="JLW107" s="952"/>
      <c r="JLX107" s="952"/>
      <c r="JLY107" s="952"/>
      <c r="JLZ107" s="952"/>
      <c r="JMA107" s="952"/>
      <c r="JMB107" s="952"/>
      <c r="JMC107" s="952"/>
      <c r="JMD107" s="952"/>
      <c r="JME107" s="952"/>
      <c r="JMF107" s="952"/>
      <c r="JMG107" s="952"/>
      <c r="JMH107" s="952"/>
      <c r="JMI107" s="952"/>
      <c r="JMJ107" s="952"/>
      <c r="JMK107" s="952"/>
      <c r="JML107" s="952"/>
      <c r="JMM107" s="952"/>
      <c r="JMN107" s="952"/>
      <c r="JMO107" s="952"/>
      <c r="JMP107" s="952"/>
      <c r="JMQ107" s="952"/>
      <c r="JMR107" s="952"/>
      <c r="JMS107" s="952"/>
      <c r="JMT107" s="952"/>
      <c r="JMU107" s="952"/>
      <c r="JMV107" s="952"/>
      <c r="JMW107" s="952"/>
      <c r="JMX107" s="952"/>
      <c r="JMY107" s="952"/>
      <c r="JMZ107" s="952"/>
      <c r="JNA107" s="952"/>
      <c r="JNB107" s="952"/>
      <c r="JNC107" s="952"/>
      <c r="JND107" s="952"/>
      <c r="JNE107" s="952"/>
      <c r="JNF107" s="952"/>
      <c r="JNG107" s="952"/>
      <c r="JNH107" s="952"/>
      <c r="JNI107" s="952"/>
      <c r="JNJ107" s="952"/>
      <c r="JNK107" s="952"/>
      <c r="JNL107" s="952"/>
      <c r="JNM107" s="952"/>
      <c r="JNN107" s="952"/>
      <c r="JNO107" s="952"/>
      <c r="JNP107" s="952"/>
      <c r="JNQ107" s="952"/>
      <c r="JNR107" s="952"/>
      <c r="JNS107" s="952"/>
      <c r="JNT107" s="952"/>
      <c r="JNU107" s="952"/>
      <c r="JNV107" s="952"/>
      <c r="JNW107" s="952"/>
      <c r="JNX107" s="952"/>
      <c r="JNY107" s="952"/>
      <c r="JNZ107" s="952"/>
      <c r="JOA107" s="952"/>
      <c r="JOB107" s="952"/>
      <c r="JOC107" s="952"/>
      <c r="JOD107" s="952"/>
      <c r="JOE107" s="952"/>
      <c r="JOF107" s="952"/>
      <c r="JOG107" s="952"/>
      <c r="JOH107" s="952"/>
      <c r="JOI107" s="952"/>
      <c r="JOJ107" s="952"/>
      <c r="JOK107" s="952"/>
      <c r="JOL107" s="952"/>
      <c r="JOM107" s="952"/>
      <c r="JON107" s="952"/>
      <c r="JOO107" s="952"/>
      <c r="JOP107" s="952"/>
      <c r="JOQ107" s="952"/>
      <c r="JOR107" s="952"/>
      <c r="JOS107" s="952"/>
      <c r="JOT107" s="952"/>
      <c r="JOU107" s="952"/>
      <c r="JOV107" s="952"/>
      <c r="JOW107" s="952"/>
      <c r="JOX107" s="952"/>
      <c r="JOY107" s="952"/>
      <c r="JOZ107" s="952"/>
      <c r="JPA107" s="952"/>
      <c r="JPB107" s="952"/>
      <c r="JPC107" s="952"/>
      <c r="JPD107" s="952"/>
      <c r="JPE107" s="952"/>
      <c r="JPF107" s="952"/>
      <c r="JPG107" s="952"/>
      <c r="JPH107" s="952"/>
      <c r="JPI107" s="952"/>
      <c r="JPJ107" s="952"/>
      <c r="JPK107" s="952"/>
      <c r="JPL107" s="952"/>
      <c r="JPM107" s="952"/>
      <c r="JPN107" s="952"/>
      <c r="JPO107" s="952"/>
      <c r="JPP107" s="952"/>
      <c r="JPQ107" s="952"/>
      <c r="JPR107" s="952"/>
      <c r="JPS107" s="952"/>
      <c r="JPT107" s="952"/>
      <c r="JPU107" s="952"/>
      <c r="JPV107" s="952"/>
      <c r="JPW107" s="952"/>
      <c r="JPX107" s="952"/>
      <c r="JPY107" s="952"/>
      <c r="JPZ107" s="952"/>
      <c r="JQA107" s="952"/>
      <c r="JQB107" s="952"/>
      <c r="JQC107" s="952"/>
      <c r="JQD107" s="952"/>
      <c r="JQE107" s="952"/>
      <c r="JQF107" s="952"/>
      <c r="JQG107" s="952"/>
      <c r="JQH107" s="952"/>
      <c r="JQI107" s="952"/>
      <c r="JQJ107" s="952"/>
      <c r="JQK107" s="952"/>
      <c r="JQL107" s="952"/>
      <c r="JQM107" s="952"/>
      <c r="JQN107" s="952"/>
      <c r="JQO107" s="952"/>
      <c r="JQP107" s="952"/>
      <c r="JQQ107" s="952"/>
      <c r="JQR107" s="952"/>
      <c r="JQS107" s="952"/>
      <c r="JQT107" s="952"/>
      <c r="JQU107" s="952"/>
      <c r="JQV107" s="952"/>
      <c r="JQW107" s="952"/>
      <c r="JQX107" s="952"/>
      <c r="JQY107" s="952"/>
      <c r="JQZ107" s="952"/>
      <c r="JRA107" s="952"/>
      <c r="JRB107" s="952"/>
      <c r="JRC107" s="952"/>
      <c r="JRD107" s="952"/>
      <c r="JRE107" s="952"/>
      <c r="JRF107" s="952"/>
      <c r="JRG107" s="952"/>
      <c r="JRH107" s="952"/>
      <c r="JRI107" s="952"/>
      <c r="JRJ107" s="952"/>
      <c r="JRK107" s="952"/>
      <c r="JRL107" s="952"/>
      <c r="JRM107" s="952"/>
      <c r="JRN107" s="952"/>
      <c r="JRO107" s="952"/>
      <c r="JRP107" s="952"/>
      <c r="JRQ107" s="952"/>
      <c r="JRR107" s="952"/>
      <c r="JRS107" s="952"/>
      <c r="JRT107" s="952"/>
      <c r="JRU107" s="952"/>
      <c r="JRV107" s="952"/>
      <c r="JRW107" s="952"/>
      <c r="JRX107" s="952"/>
      <c r="JRY107" s="952"/>
      <c r="JRZ107" s="952"/>
      <c r="JSA107" s="952"/>
      <c r="JSB107" s="952"/>
      <c r="JSC107" s="952"/>
      <c r="JSD107" s="952"/>
      <c r="JSE107" s="952"/>
      <c r="JSF107" s="952"/>
      <c r="JSG107" s="952"/>
      <c r="JSH107" s="952"/>
      <c r="JSI107" s="952"/>
      <c r="JSJ107" s="952"/>
      <c r="JSK107" s="952"/>
      <c r="JSL107" s="952"/>
      <c r="JSM107" s="952"/>
      <c r="JSN107" s="952"/>
      <c r="JSO107" s="952"/>
      <c r="JSP107" s="952"/>
      <c r="JSQ107" s="952"/>
      <c r="JSR107" s="952"/>
      <c r="JSS107" s="952"/>
      <c r="JST107" s="952"/>
      <c r="JSU107" s="952"/>
      <c r="JSV107" s="952"/>
      <c r="JSW107" s="952"/>
      <c r="JSX107" s="952"/>
      <c r="JSY107" s="952"/>
      <c r="JSZ107" s="952"/>
      <c r="JTA107" s="952"/>
      <c r="JTB107" s="952"/>
      <c r="JTC107" s="952"/>
      <c r="JTD107" s="952"/>
      <c r="JTE107" s="952"/>
      <c r="JTF107" s="952"/>
      <c r="JTG107" s="952"/>
      <c r="JTH107" s="952"/>
      <c r="JTI107" s="952"/>
      <c r="JTJ107" s="952"/>
      <c r="JTK107" s="952"/>
      <c r="JTL107" s="952"/>
      <c r="JTM107" s="952"/>
      <c r="JTN107" s="952"/>
      <c r="JTO107" s="952"/>
      <c r="JTP107" s="952"/>
      <c r="JTQ107" s="952"/>
      <c r="JTR107" s="952"/>
      <c r="JTS107" s="952"/>
      <c r="JTT107" s="952"/>
      <c r="JTU107" s="952"/>
      <c r="JTV107" s="952"/>
      <c r="JTW107" s="952"/>
      <c r="JTX107" s="952"/>
      <c r="JTY107" s="952"/>
      <c r="JTZ107" s="952"/>
      <c r="JUA107" s="952"/>
      <c r="JUB107" s="952"/>
      <c r="JUC107" s="952"/>
      <c r="JUD107" s="952"/>
      <c r="JUE107" s="952"/>
      <c r="JUF107" s="952"/>
      <c r="JUG107" s="952"/>
      <c r="JUH107" s="952"/>
      <c r="JUI107" s="952"/>
      <c r="JUJ107" s="952"/>
      <c r="JUK107" s="952"/>
      <c r="JUL107" s="952"/>
      <c r="JUM107" s="952"/>
      <c r="JUN107" s="952"/>
      <c r="JUO107" s="952"/>
      <c r="JUP107" s="952"/>
      <c r="JUQ107" s="952"/>
      <c r="JUR107" s="952"/>
      <c r="JUS107" s="952"/>
      <c r="JUT107" s="952"/>
      <c r="JUU107" s="952"/>
      <c r="JUV107" s="952"/>
      <c r="JUW107" s="952"/>
      <c r="JUX107" s="952"/>
      <c r="JUY107" s="952"/>
      <c r="JUZ107" s="952"/>
      <c r="JVA107" s="952"/>
      <c r="JVB107" s="952"/>
      <c r="JVC107" s="952"/>
      <c r="JVD107" s="952"/>
      <c r="JVE107" s="952"/>
      <c r="JVF107" s="952"/>
      <c r="JVG107" s="952"/>
      <c r="JVH107" s="952"/>
      <c r="JVI107" s="952"/>
      <c r="JVJ107" s="952"/>
      <c r="JVK107" s="952"/>
      <c r="JVL107" s="952"/>
      <c r="JVM107" s="952"/>
      <c r="JVN107" s="952"/>
      <c r="JVO107" s="952"/>
      <c r="JVP107" s="952"/>
      <c r="JVQ107" s="952"/>
      <c r="JVR107" s="952"/>
      <c r="JVS107" s="952"/>
      <c r="JVT107" s="952"/>
      <c r="JVU107" s="952"/>
      <c r="JVV107" s="952"/>
      <c r="JVW107" s="952"/>
      <c r="JVX107" s="952"/>
      <c r="JVY107" s="952"/>
      <c r="JVZ107" s="952"/>
      <c r="JWA107" s="952"/>
      <c r="JWB107" s="952"/>
      <c r="JWC107" s="952"/>
      <c r="JWD107" s="952"/>
      <c r="JWE107" s="952"/>
      <c r="JWF107" s="952"/>
      <c r="JWG107" s="952"/>
      <c r="JWH107" s="952"/>
      <c r="JWI107" s="952"/>
      <c r="JWJ107" s="952"/>
      <c r="JWK107" s="952"/>
      <c r="JWL107" s="952"/>
      <c r="JWM107" s="952"/>
      <c r="JWN107" s="952"/>
      <c r="JWO107" s="952"/>
      <c r="JWP107" s="952"/>
      <c r="JWQ107" s="952"/>
      <c r="JWR107" s="952"/>
      <c r="JWS107" s="952"/>
      <c r="JWT107" s="952"/>
      <c r="JWU107" s="952"/>
      <c r="JWV107" s="952"/>
      <c r="JWW107" s="952"/>
      <c r="JWX107" s="952"/>
      <c r="JWY107" s="952"/>
      <c r="JWZ107" s="952"/>
      <c r="JXA107" s="952"/>
      <c r="JXB107" s="952"/>
      <c r="JXC107" s="952"/>
      <c r="JXD107" s="952"/>
      <c r="JXE107" s="952"/>
      <c r="JXF107" s="952"/>
      <c r="JXG107" s="952"/>
      <c r="JXH107" s="952"/>
      <c r="JXI107" s="952"/>
      <c r="JXJ107" s="952"/>
      <c r="JXK107" s="952"/>
      <c r="JXL107" s="952"/>
      <c r="JXM107" s="952"/>
      <c r="JXN107" s="952"/>
      <c r="JXO107" s="952"/>
      <c r="JXP107" s="952"/>
      <c r="JXQ107" s="952"/>
      <c r="JXR107" s="952"/>
      <c r="JXS107" s="952"/>
      <c r="JXT107" s="952"/>
      <c r="JXU107" s="952"/>
      <c r="JXV107" s="952"/>
      <c r="JXW107" s="952"/>
      <c r="JXX107" s="952"/>
      <c r="JXY107" s="952"/>
      <c r="JXZ107" s="952"/>
      <c r="JYA107" s="952"/>
      <c r="JYB107" s="952"/>
      <c r="JYC107" s="952"/>
      <c r="JYD107" s="952"/>
      <c r="JYE107" s="952"/>
      <c r="JYF107" s="952"/>
      <c r="JYG107" s="952"/>
      <c r="JYH107" s="952"/>
      <c r="JYI107" s="952"/>
      <c r="JYJ107" s="952"/>
      <c r="JYK107" s="952"/>
      <c r="JYL107" s="952"/>
      <c r="JYM107" s="952"/>
      <c r="JYN107" s="952"/>
      <c r="JYO107" s="952"/>
      <c r="JYP107" s="952"/>
      <c r="JYQ107" s="952"/>
      <c r="JYR107" s="952"/>
      <c r="JYS107" s="952"/>
      <c r="JYT107" s="952"/>
      <c r="JYU107" s="952"/>
      <c r="JYV107" s="952"/>
      <c r="JYW107" s="952"/>
      <c r="JYX107" s="952"/>
      <c r="JYY107" s="952"/>
      <c r="JYZ107" s="952"/>
      <c r="JZA107" s="952"/>
      <c r="JZB107" s="952"/>
      <c r="JZC107" s="952"/>
      <c r="JZD107" s="952"/>
      <c r="JZE107" s="952"/>
      <c r="JZF107" s="952"/>
      <c r="JZG107" s="952"/>
      <c r="JZH107" s="952"/>
      <c r="JZI107" s="952"/>
      <c r="JZJ107" s="952"/>
      <c r="JZK107" s="952"/>
      <c r="JZL107" s="952"/>
      <c r="JZM107" s="952"/>
      <c r="JZN107" s="952"/>
      <c r="JZO107" s="952"/>
      <c r="JZP107" s="952"/>
      <c r="JZQ107" s="952"/>
      <c r="JZR107" s="952"/>
      <c r="JZS107" s="952"/>
      <c r="JZT107" s="952"/>
      <c r="JZU107" s="952"/>
      <c r="JZV107" s="952"/>
      <c r="JZW107" s="952"/>
      <c r="JZX107" s="952"/>
      <c r="JZY107" s="952"/>
      <c r="JZZ107" s="952"/>
      <c r="KAA107" s="952"/>
      <c r="KAB107" s="952"/>
      <c r="KAC107" s="952"/>
      <c r="KAD107" s="952"/>
      <c r="KAE107" s="952"/>
      <c r="KAF107" s="952"/>
      <c r="KAG107" s="952"/>
      <c r="KAH107" s="952"/>
      <c r="KAI107" s="952"/>
      <c r="KAJ107" s="952"/>
      <c r="KAK107" s="952"/>
      <c r="KAL107" s="952"/>
      <c r="KAM107" s="952"/>
      <c r="KAN107" s="952"/>
      <c r="KAO107" s="952"/>
      <c r="KAP107" s="952"/>
      <c r="KAQ107" s="952"/>
      <c r="KAR107" s="952"/>
      <c r="KAS107" s="952"/>
      <c r="KAT107" s="952"/>
      <c r="KAU107" s="952"/>
      <c r="KAV107" s="952"/>
      <c r="KAW107" s="952"/>
      <c r="KAX107" s="952"/>
      <c r="KAY107" s="952"/>
      <c r="KAZ107" s="952"/>
      <c r="KBA107" s="952"/>
      <c r="KBB107" s="952"/>
      <c r="KBC107" s="952"/>
      <c r="KBD107" s="952"/>
      <c r="KBE107" s="952"/>
      <c r="KBF107" s="952"/>
      <c r="KBG107" s="952"/>
      <c r="KBH107" s="952"/>
      <c r="KBI107" s="952"/>
      <c r="KBJ107" s="952"/>
      <c r="KBK107" s="952"/>
      <c r="KBL107" s="952"/>
      <c r="KBM107" s="952"/>
      <c r="KBN107" s="952"/>
      <c r="KBO107" s="952"/>
      <c r="KBP107" s="952"/>
      <c r="KBQ107" s="952"/>
      <c r="KBR107" s="952"/>
      <c r="KBS107" s="952"/>
      <c r="KBT107" s="952"/>
      <c r="KBU107" s="952"/>
      <c r="KBV107" s="952"/>
      <c r="KBW107" s="952"/>
      <c r="KBX107" s="952"/>
      <c r="KBY107" s="952"/>
      <c r="KBZ107" s="952"/>
      <c r="KCA107" s="952"/>
      <c r="KCB107" s="952"/>
      <c r="KCC107" s="952"/>
      <c r="KCD107" s="952"/>
      <c r="KCE107" s="952"/>
      <c r="KCF107" s="952"/>
      <c r="KCG107" s="952"/>
      <c r="KCH107" s="952"/>
      <c r="KCI107" s="952"/>
      <c r="KCJ107" s="952"/>
      <c r="KCK107" s="952"/>
      <c r="KCL107" s="952"/>
      <c r="KCM107" s="952"/>
      <c r="KCN107" s="952"/>
      <c r="KCO107" s="952"/>
      <c r="KCP107" s="952"/>
      <c r="KCQ107" s="952"/>
      <c r="KCR107" s="952"/>
      <c r="KCS107" s="952"/>
      <c r="KCT107" s="952"/>
      <c r="KCU107" s="952"/>
      <c r="KCV107" s="952"/>
      <c r="KCW107" s="952"/>
      <c r="KCX107" s="952"/>
      <c r="KCY107" s="952"/>
      <c r="KCZ107" s="952"/>
      <c r="KDA107" s="952"/>
      <c r="KDB107" s="952"/>
      <c r="KDC107" s="952"/>
      <c r="KDD107" s="952"/>
      <c r="KDE107" s="952"/>
      <c r="KDF107" s="952"/>
      <c r="KDG107" s="952"/>
      <c r="KDH107" s="952"/>
      <c r="KDI107" s="952"/>
      <c r="KDJ107" s="952"/>
      <c r="KDK107" s="952"/>
      <c r="KDL107" s="952"/>
      <c r="KDM107" s="952"/>
      <c r="KDN107" s="952"/>
      <c r="KDO107" s="952"/>
      <c r="KDP107" s="952"/>
      <c r="KDQ107" s="952"/>
      <c r="KDR107" s="952"/>
      <c r="KDS107" s="952"/>
      <c r="KDT107" s="952"/>
      <c r="KDU107" s="952"/>
      <c r="KDV107" s="952"/>
      <c r="KDW107" s="952"/>
      <c r="KDX107" s="952"/>
      <c r="KDY107" s="952"/>
      <c r="KDZ107" s="952"/>
      <c r="KEA107" s="952"/>
      <c r="KEB107" s="952"/>
      <c r="KEC107" s="952"/>
      <c r="KED107" s="952"/>
      <c r="KEE107" s="952"/>
      <c r="KEF107" s="952"/>
      <c r="KEG107" s="952"/>
      <c r="KEH107" s="952"/>
      <c r="KEI107" s="952"/>
      <c r="KEJ107" s="952"/>
      <c r="KEK107" s="952"/>
      <c r="KEL107" s="952"/>
      <c r="KEM107" s="952"/>
      <c r="KEN107" s="952"/>
      <c r="KEO107" s="952"/>
      <c r="KEP107" s="952"/>
      <c r="KEQ107" s="952"/>
      <c r="KER107" s="952"/>
      <c r="KES107" s="952"/>
      <c r="KET107" s="952"/>
      <c r="KEU107" s="952"/>
      <c r="KEV107" s="952"/>
      <c r="KEW107" s="952"/>
      <c r="KEX107" s="952"/>
      <c r="KEY107" s="952"/>
      <c r="KEZ107" s="952"/>
      <c r="KFA107" s="952"/>
      <c r="KFB107" s="952"/>
      <c r="KFC107" s="952"/>
      <c r="KFD107" s="952"/>
      <c r="KFE107" s="952"/>
      <c r="KFF107" s="952"/>
      <c r="KFG107" s="952"/>
      <c r="KFH107" s="952"/>
      <c r="KFI107" s="952"/>
      <c r="KFJ107" s="952"/>
      <c r="KFK107" s="952"/>
      <c r="KFL107" s="952"/>
      <c r="KFM107" s="952"/>
      <c r="KFN107" s="952"/>
      <c r="KFO107" s="952"/>
      <c r="KFP107" s="952"/>
      <c r="KFQ107" s="952"/>
      <c r="KFR107" s="952"/>
      <c r="KFS107" s="952"/>
      <c r="KFT107" s="952"/>
      <c r="KFU107" s="952"/>
      <c r="KFV107" s="952"/>
      <c r="KFW107" s="952"/>
      <c r="KFX107" s="952"/>
      <c r="KFY107" s="952"/>
      <c r="KFZ107" s="952"/>
      <c r="KGA107" s="952"/>
      <c r="KGB107" s="952"/>
      <c r="KGC107" s="952"/>
      <c r="KGD107" s="952"/>
      <c r="KGE107" s="952"/>
      <c r="KGF107" s="952"/>
      <c r="KGG107" s="952"/>
      <c r="KGH107" s="952"/>
      <c r="KGI107" s="952"/>
      <c r="KGJ107" s="952"/>
      <c r="KGK107" s="952"/>
      <c r="KGL107" s="952"/>
      <c r="KGM107" s="952"/>
      <c r="KGN107" s="952"/>
      <c r="KGO107" s="952"/>
      <c r="KGP107" s="952"/>
      <c r="KGQ107" s="952"/>
      <c r="KGR107" s="952"/>
      <c r="KGS107" s="952"/>
      <c r="KGT107" s="952"/>
      <c r="KGU107" s="952"/>
      <c r="KGV107" s="952"/>
      <c r="KGW107" s="952"/>
      <c r="KGX107" s="952"/>
      <c r="KGY107" s="952"/>
      <c r="KGZ107" s="952"/>
      <c r="KHA107" s="952"/>
      <c r="KHB107" s="952"/>
      <c r="KHC107" s="952"/>
      <c r="KHD107" s="952"/>
      <c r="KHE107" s="952"/>
      <c r="KHF107" s="952"/>
      <c r="KHG107" s="952"/>
      <c r="KHH107" s="952"/>
      <c r="KHI107" s="952"/>
      <c r="KHJ107" s="952"/>
      <c r="KHK107" s="952"/>
      <c r="KHL107" s="952"/>
      <c r="KHM107" s="952"/>
      <c r="KHN107" s="952"/>
      <c r="KHO107" s="952"/>
      <c r="KHP107" s="952"/>
      <c r="KHQ107" s="952"/>
      <c r="KHR107" s="952"/>
      <c r="KHS107" s="952"/>
      <c r="KHT107" s="952"/>
      <c r="KHU107" s="952"/>
      <c r="KHV107" s="952"/>
      <c r="KHW107" s="952"/>
      <c r="KHX107" s="952"/>
      <c r="KHY107" s="952"/>
      <c r="KHZ107" s="952"/>
      <c r="KIA107" s="952"/>
      <c r="KIB107" s="952"/>
      <c r="KIC107" s="952"/>
      <c r="KID107" s="952"/>
      <c r="KIE107" s="952"/>
      <c r="KIF107" s="952"/>
      <c r="KIG107" s="952"/>
      <c r="KIH107" s="952"/>
      <c r="KII107" s="952"/>
      <c r="KIJ107" s="952"/>
      <c r="KIK107" s="952"/>
      <c r="KIL107" s="952"/>
      <c r="KIM107" s="952"/>
      <c r="KIN107" s="952"/>
      <c r="KIO107" s="952"/>
      <c r="KIP107" s="952"/>
      <c r="KIQ107" s="952"/>
      <c r="KIR107" s="952"/>
      <c r="KIS107" s="952"/>
      <c r="KIT107" s="952"/>
      <c r="KIU107" s="952"/>
      <c r="KIV107" s="952"/>
      <c r="KIW107" s="952"/>
      <c r="KIX107" s="952"/>
      <c r="KIY107" s="952"/>
      <c r="KIZ107" s="952"/>
      <c r="KJA107" s="952"/>
      <c r="KJB107" s="952"/>
      <c r="KJC107" s="952"/>
      <c r="KJD107" s="952"/>
      <c r="KJE107" s="952"/>
      <c r="KJF107" s="952"/>
      <c r="KJG107" s="952"/>
      <c r="KJH107" s="952"/>
      <c r="KJI107" s="952"/>
      <c r="KJJ107" s="952"/>
      <c r="KJK107" s="952"/>
      <c r="KJL107" s="952"/>
      <c r="KJM107" s="952"/>
      <c r="KJN107" s="952"/>
      <c r="KJO107" s="952"/>
      <c r="KJP107" s="952"/>
      <c r="KJQ107" s="952"/>
      <c r="KJR107" s="952"/>
      <c r="KJS107" s="952"/>
      <c r="KJT107" s="952"/>
      <c r="KJU107" s="952"/>
      <c r="KJV107" s="952"/>
      <c r="KJW107" s="952"/>
      <c r="KJX107" s="952"/>
      <c r="KJY107" s="952"/>
      <c r="KJZ107" s="952"/>
      <c r="KKA107" s="952"/>
      <c r="KKB107" s="952"/>
      <c r="KKC107" s="952"/>
      <c r="KKD107" s="952"/>
      <c r="KKE107" s="952"/>
      <c r="KKF107" s="952"/>
      <c r="KKG107" s="952"/>
      <c r="KKH107" s="952"/>
      <c r="KKI107" s="952"/>
      <c r="KKJ107" s="952"/>
      <c r="KKK107" s="952"/>
      <c r="KKL107" s="952"/>
      <c r="KKM107" s="952"/>
      <c r="KKN107" s="952"/>
      <c r="KKO107" s="952"/>
      <c r="KKP107" s="952"/>
      <c r="KKQ107" s="952"/>
      <c r="KKR107" s="952"/>
      <c r="KKS107" s="952"/>
      <c r="KKT107" s="952"/>
      <c r="KKU107" s="952"/>
      <c r="KKV107" s="952"/>
      <c r="KKW107" s="952"/>
      <c r="KKX107" s="952"/>
      <c r="KKY107" s="952"/>
      <c r="KKZ107" s="952"/>
      <c r="KLA107" s="952"/>
      <c r="KLB107" s="952"/>
      <c r="KLC107" s="952"/>
      <c r="KLD107" s="952"/>
      <c r="KLE107" s="952"/>
      <c r="KLF107" s="952"/>
      <c r="KLG107" s="952"/>
      <c r="KLH107" s="952"/>
      <c r="KLI107" s="952"/>
      <c r="KLJ107" s="952"/>
      <c r="KLK107" s="952"/>
      <c r="KLL107" s="952"/>
      <c r="KLM107" s="952"/>
      <c r="KLN107" s="952"/>
      <c r="KLO107" s="952"/>
      <c r="KLP107" s="952"/>
      <c r="KLQ107" s="952"/>
      <c r="KLR107" s="952"/>
      <c r="KLS107" s="952"/>
      <c r="KLT107" s="952"/>
      <c r="KLU107" s="952"/>
      <c r="KLV107" s="952"/>
      <c r="KLW107" s="952"/>
      <c r="KLX107" s="952"/>
      <c r="KLY107" s="952"/>
      <c r="KLZ107" s="952"/>
      <c r="KMA107" s="952"/>
      <c r="KMB107" s="952"/>
      <c r="KMC107" s="952"/>
      <c r="KMD107" s="952"/>
      <c r="KME107" s="952"/>
      <c r="KMF107" s="952"/>
      <c r="KMG107" s="952"/>
      <c r="KMH107" s="952"/>
      <c r="KMI107" s="952"/>
      <c r="KMJ107" s="952"/>
      <c r="KMK107" s="952"/>
      <c r="KML107" s="952"/>
      <c r="KMM107" s="952"/>
      <c r="KMN107" s="952"/>
      <c r="KMO107" s="952"/>
      <c r="KMP107" s="952"/>
      <c r="KMQ107" s="952"/>
      <c r="KMR107" s="952"/>
      <c r="KMS107" s="952"/>
      <c r="KMT107" s="952"/>
      <c r="KMU107" s="952"/>
      <c r="KMV107" s="952"/>
      <c r="KMW107" s="952"/>
      <c r="KMX107" s="952"/>
      <c r="KMY107" s="952"/>
      <c r="KMZ107" s="952"/>
      <c r="KNA107" s="952"/>
      <c r="KNB107" s="952"/>
      <c r="KNC107" s="952"/>
      <c r="KND107" s="952"/>
      <c r="KNE107" s="952"/>
      <c r="KNF107" s="952"/>
      <c r="KNG107" s="952"/>
      <c r="KNH107" s="952"/>
      <c r="KNI107" s="952"/>
      <c r="KNJ107" s="952"/>
      <c r="KNK107" s="952"/>
      <c r="KNL107" s="952"/>
      <c r="KNM107" s="952"/>
      <c r="KNN107" s="952"/>
      <c r="KNO107" s="952"/>
      <c r="KNP107" s="952"/>
      <c r="KNQ107" s="952"/>
      <c r="KNR107" s="952"/>
      <c r="KNS107" s="952"/>
      <c r="KNT107" s="952"/>
      <c r="KNU107" s="952"/>
      <c r="KNV107" s="952"/>
      <c r="KNW107" s="952"/>
      <c r="KNX107" s="952"/>
      <c r="KNY107" s="952"/>
      <c r="KNZ107" s="952"/>
      <c r="KOA107" s="952"/>
      <c r="KOB107" s="952"/>
      <c r="KOC107" s="952"/>
      <c r="KOD107" s="952"/>
      <c r="KOE107" s="952"/>
      <c r="KOF107" s="952"/>
      <c r="KOG107" s="952"/>
      <c r="KOH107" s="952"/>
      <c r="KOI107" s="952"/>
      <c r="KOJ107" s="952"/>
      <c r="KOK107" s="952"/>
      <c r="KOL107" s="952"/>
      <c r="KOM107" s="952"/>
      <c r="KON107" s="952"/>
      <c r="KOO107" s="952"/>
      <c r="KOP107" s="952"/>
      <c r="KOQ107" s="952"/>
      <c r="KOR107" s="952"/>
      <c r="KOS107" s="952"/>
      <c r="KOT107" s="952"/>
      <c r="KOU107" s="952"/>
      <c r="KOV107" s="952"/>
      <c r="KOW107" s="952"/>
      <c r="KOX107" s="952"/>
      <c r="KOY107" s="952"/>
      <c r="KOZ107" s="952"/>
      <c r="KPA107" s="952"/>
      <c r="KPB107" s="952"/>
      <c r="KPC107" s="952"/>
      <c r="KPD107" s="952"/>
      <c r="KPE107" s="952"/>
      <c r="KPF107" s="952"/>
      <c r="KPG107" s="952"/>
      <c r="KPH107" s="952"/>
      <c r="KPI107" s="952"/>
      <c r="KPJ107" s="952"/>
      <c r="KPK107" s="952"/>
      <c r="KPL107" s="952"/>
      <c r="KPM107" s="952"/>
      <c r="KPN107" s="952"/>
      <c r="KPO107" s="952"/>
      <c r="KPP107" s="952"/>
      <c r="KPQ107" s="952"/>
      <c r="KPR107" s="952"/>
      <c r="KPS107" s="952"/>
      <c r="KPT107" s="952"/>
      <c r="KPU107" s="952"/>
      <c r="KPV107" s="952"/>
      <c r="KPW107" s="952"/>
      <c r="KPX107" s="952"/>
      <c r="KPY107" s="952"/>
      <c r="KPZ107" s="952"/>
      <c r="KQA107" s="952"/>
      <c r="KQB107" s="952"/>
      <c r="KQC107" s="952"/>
      <c r="KQD107" s="952"/>
      <c r="KQE107" s="952"/>
      <c r="KQF107" s="952"/>
      <c r="KQG107" s="952"/>
      <c r="KQH107" s="952"/>
      <c r="KQI107" s="952"/>
      <c r="KQJ107" s="952"/>
      <c r="KQK107" s="952"/>
      <c r="KQL107" s="952"/>
      <c r="KQM107" s="952"/>
      <c r="KQN107" s="952"/>
      <c r="KQO107" s="952"/>
      <c r="KQP107" s="952"/>
      <c r="KQQ107" s="952"/>
      <c r="KQR107" s="952"/>
      <c r="KQS107" s="952"/>
      <c r="KQT107" s="952"/>
      <c r="KQU107" s="952"/>
      <c r="KQV107" s="952"/>
      <c r="KQW107" s="952"/>
      <c r="KQX107" s="952"/>
      <c r="KQY107" s="952"/>
      <c r="KQZ107" s="952"/>
      <c r="KRA107" s="952"/>
      <c r="KRB107" s="952"/>
      <c r="KRC107" s="952"/>
      <c r="KRD107" s="952"/>
      <c r="KRE107" s="952"/>
      <c r="KRF107" s="952"/>
      <c r="KRG107" s="952"/>
      <c r="KRH107" s="952"/>
      <c r="KRI107" s="952"/>
      <c r="KRJ107" s="952"/>
      <c r="KRK107" s="952"/>
      <c r="KRL107" s="952"/>
      <c r="KRM107" s="952"/>
      <c r="KRN107" s="952"/>
      <c r="KRO107" s="952"/>
      <c r="KRP107" s="952"/>
      <c r="KRQ107" s="952"/>
      <c r="KRR107" s="952"/>
      <c r="KRS107" s="952"/>
      <c r="KRT107" s="952"/>
      <c r="KRU107" s="952"/>
      <c r="KRV107" s="952"/>
      <c r="KRW107" s="952"/>
      <c r="KRX107" s="952"/>
      <c r="KRY107" s="952"/>
      <c r="KRZ107" s="952"/>
      <c r="KSA107" s="952"/>
      <c r="KSB107" s="952"/>
      <c r="KSC107" s="952"/>
      <c r="KSD107" s="952"/>
      <c r="KSE107" s="952"/>
      <c r="KSF107" s="952"/>
      <c r="KSG107" s="952"/>
      <c r="KSH107" s="952"/>
      <c r="KSI107" s="952"/>
      <c r="KSJ107" s="952"/>
      <c r="KSK107" s="952"/>
      <c r="KSL107" s="952"/>
      <c r="KSM107" s="952"/>
      <c r="KSN107" s="952"/>
      <c r="KSO107" s="952"/>
      <c r="KSP107" s="952"/>
      <c r="KSQ107" s="952"/>
      <c r="KSR107" s="952"/>
      <c r="KSS107" s="952"/>
      <c r="KST107" s="952"/>
      <c r="KSU107" s="952"/>
      <c r="KSV107" s="952"/>
      <c r="KSW107" s="952"/>
      <c r="KSX107" s="952"/>
      <c r="KSY107" s="952"/>
      <c r="KSZ107" s="952"/>
      <c r="KTA107" s="952"/>
      <c r="KTB107" s="952"/>
      <c r="KTC107" s="952"/>
      <c r="KTD107" s="952"/>
      <c r="KTE107" s="952"/>
      <c r="KTF107" s="952"/>
      <c r="KTG107" s="952"/>
      <c r="KTH107" s="952"/>
      <c r="KTI107" s="952"/>
      <c r="KTJ107" s="952"/>
      <c r="KTK107" s="952"/>
      <c r="KTL107" s="952"/>
      <c r="KTM107" s="952"/>
      <c r="KTN107" s="952"/>
      <c r="KTO107" s="952"/>
      <c r="KTP107" s="952"/>
      <c r="KTQ107" s="952"/>
      <c r="KTR107" s="952"/>
      <c r="KTS107" s="952"/>
      <c r="KTT107" s="952"/>
      <c r="KTU107" s="952"/>
      <c r="KTV107" s="952"/>
      <c r="KTW107" s="952"/>
      <c r="KTX107" s="952"/>
      <c r="KTY107" s="952"/>
      <c r="KTZ107" s="952"/>
      <c r="KUA107" s="952"/>
      <c r="KUB107" s="952"/>
      <c r="KUC107" s="952"/>
      <c r="KUD107" s="952"/>
      <c r="KUE107" s="952"/>
      <c r="KUF107" s="952"/>
      <c r="KUG107" s="952"/>
      <c r="KUH107" s="952"/>
      <c r="KUI107" s="952"/>
      <c r="KUJ107" s="952"/>
      <c r="KUK107" s="952"/>
      <c r="KUL107" s="952"/>
      <c r="KUM107" s="952"/>
      <c r="KUN107" s="952"/>
      <c r="KUO107" s="952"/>
      <c r="KUP107" s="952"/>
      <c r="KUQ107" s="952"/>
      <c r="KUR107" s="952"/>
      <c r="KUS107" s="952"/>
      <c r="KUT107" s="952"/>
      <c r="KUU107" s="952"/>
      <c r="KUV107" s="952"/>
      <c r="KUW107" s="952"/>
      <c r="KUX107" s="952"/>
      <c r="KUY107" s="952"/>
      <c r="KUZ107" s="952"/>
      <c r="KVA107" s="952"/>
      <c r="KVB107" s="952"/>
      <c r="KVC107" s="952"/>
      <c r="KVD107" s="952"/>
      <c r="KVE107" s="952"/>
      <c r="KVF107" s="952"/>
      <c r="KVG107" s="952"/>
      <c r="KVH107" s="952"/>
      <c r="KVI107" s="952"/>
      <c r="KVJ107" s="952"/>
      <c r="KVK107" s="952"/>
      <c r="KVL107" s="952"/>
      <c r="KVM107" s="952"/>
      <c r="KVN107" s="952"/>
      <c r="KVO107" s="952"/>
      <c r="KVP107" s="952"/>
      <c r="KVQ107" s="952"/>
      <c r="KVR107" s="952"/>
      <c r="KVS107" s="952"/>
      <c r="KVT107" s="952"/>
      <c r="KVU107" s="952"/>
      <c r="KVV107" s="952"/>
      <c r="KVW107" s="952"/>
      <c r="KVX107" s="952"/>
      <c r="KVY107" s="952"/>
      <c r="KVZ107" s="952"/>
      <c r="KWA107" s="952"/>
      <c r="KWB107" s="952"/>
      <c r="KWC107" s="952"/>
      <c r="KWD107" s="952"/>
      <c r="KWE107" s="952"/>
      <c r="KWF107" s="952"/>
      <c r="KWG107" s="952"/>
      <c r="KWH107" s="952"/>
      <c r="KWI107" s="952"/>
      <c r="KWJ107" s="952"/>
      <c r="KWK107" s="952"/>
      <c r="KWL107" s="952"/>
      <c r="KWM107" s="952"/>
      <c r="KWN107" s="952"/>
      <c r="KWO107" s="952"/>
      <c r="KWP107" s="952"/>
      <c r="KWQ107" s="952"/>
      <c r="KWR107" s="952"/>
      <c r="KWS107" s="952"/>
      <c r="KWT107" s="952"/>
      <c r="KWU107" s="952"/>
      <c r="KWV107" s="952"/>
      <c r="KWW107" s="952"/>
      <c r="KWX107" s="952"/>
      <c r="KWY107" s="952"/>
      <c r="KWZ107" s="952"/>
      <c r="KXA107" s="952"/>
      <c r="KXB107" s="952"/>
      <c r="KXC107" s="952"/>
      <c r="KXD107" s="952"/>
      <c r="KXE107" s="952"/>
      <c r="KXF107" s="952"/>
      <c r="KXG107" s="952"/>
      <c r="KXH107" s="952"/>
      <c r="KXI107" s="952"/>
      <c r="KXJ107" s="952"/>
      <c r="KXK107" s="952"/>
      <c r="KXL107" s="952"/>
      <c r="KXM107" s="952"/>
      <c r="KXN107" s="952"/>
      <c r="KXO107" s="952"/>
      <c r="KXP107" s="952"/>
      <c r="KXQ107" s="952"/>
      <c r="KXR107" s="952"/>
      <c r="KXS107" s="952"/>
      <c r="KXT107" s="952"/>
      <c r="KXU107" s="952"/>
      <c r="KXV107" s="952"/>
      <c r="KXW107" s="952"/>
      <c r="KXX107" s="952"/>
      <c r="KXY107" s="952"/>
      <c r="KXZ107" s="952"/>
      <c r="KYA107" s="952"/>
      <c r="KYB107" s="952"/>
      <c r="KYC107" s="952"/>
      <c r="KYD107" s="952"/>
      <c r="KYE107" s="952"/>
      <c r="KYF107" s="952"/>
      <c r="KYG107" s="952"/>
      <c r="KYH107" s="952"/>
      <c r="KYI107" s="952"/>
      <c r="KYJ107" s="952"/>
      <c r="KYK107" s="952"/>
      <c r="KYL107" s="952"/>
      <c r="KYM107" s="952"/>
      <c r="KYN107" s="952"/>
      <c r="KYO107" s="952"/>
      <c r="KYP107" s="952"/>
      <c r="KYQ107" s="952"/>
      <c r="KYR107" s="952"/>
      <c r="KYS107" s="952"/>
      <c r="KYT107" s="952"/>
      <c r="KYU107" s="952"/>
      <c r="KYV107" s="952"/>
      <c r="KYW107" s="952"/>
      <c r="KYX107" s="952"/>
      <c r="KYY107" s="952"/>
      <c r="KYZ107" s="952"/>
      <c r="KZA107" s="952"/>
      <c r="KZB107" s="952"/>
      <c r="KZC107" s="952"/>
      <c r="KZD107" s="952"/>
      <c r="KZE107" s="952"/>
      <c r="KZF107" s="952"/>
      <c r="KZG107" s="952"/>
      <c r="KZH107" s="952"/>
      <c r="KZI107" s="952"/>
      <c r="KZJ107" s="952"/>
      <c r="KZK107" s="952"/>
      <c r="KZL107" s="952"/>
      <c r="KZM107" s="952"/>
      <c r="KZN107" s="952"/>
      <c r="KZO107" s="952"/>
      <c r="KZP107" s="952"/>
      <c r="KZQ107" s="952"/>
      <c r="KZR107" s="952"/>
      <c r="KZS107" s="952"/>
      <c r="KZT107" s="952"/>
      <c r="KZU107" s="952"/>
      <c r="KZV107" s="952"/>
      <c r="KZW107" s="952"/>
      <c r="KZX107" s="952"/>
      <c r="KZY107" s="952"/>
      <c r="KZZ107" s="952"/>
      <c r="LAA107" s="952"/>
      <c r="LAB107" s="952"/>
      <c r="LAC107" s="952"/>
      <c r="LAD107" s="952"/>
      <c r="LAE107" s="952"/>
      <c r="LAF107" s="952"/>
      <c r="LAG107" s="952"/>
      <c r="LAH107" s="952"/>
      <c r="LAI107" s="952"/>
      <c r="LAJ107" s="952"/>
      <c r="LAK107" s="952"/>
      <c r="LAL107" s="952"/>
      <c r="LAM107" s="952"/>
      <c r="LAN107" s="952"/>
      <c r="LAO107" s="952"/>
      <c r="LAP107" s="952"/>
      <c r="LAQ107" s="952"/>
      <c r="LAR107" s="952"/>
      <c r="LAS107" s="952"/>
      <c r="LAT107" s="952"/>
      <c r="LAU107" s="952"/>
      <c r="LAV107" s="952"/>
      <c r="LAW107" s="952"/>
      <c r="LAX107" s="952"/>
      <c r="LAY107" s="952"/>
      <c r="LAZ107" s="952"/>
      <c r="LBA107" s="952"/>
      <c r="LBB107" s="952"/>
      <c r="LBC107" s="952"/>
      <c r="LBD107" s="952"/>
      <c r="LBE107" s="952"/>
      <c r="LBF107" s="952"/>
      <c r="LBG107" s="952"/>
      <c r="LBH107" s="952"/>
      <c r="LBI107" s="952"/>
      <c r="LBJ107" s="952"/>
      <c r="LBK107" s="952"/>
      <c r="LBL107" s="952"/>
      <c r="LBM107" s="952"/>
      <c r="LBN107" s="952"/>
      <c r="LBO107" s="952"/>
      <c r="LBP107" s="952"/>
      <c r="LBQ107" s="952"/>
      <c r="LBR107" s="952"/>
      <c r="LBS107" s="952"/>
      <c r="LBT107" s="952"/>
      <c r="LBU107" s="952"/>
      <c r="LBV107" s="952"/>
      <c r="LBW107" s="952"/>
      <c r="LBX107" s="952"/>
      <c r="LBY107" s="952"/>
      <c r="LBZ107" s="952"/>
      <c r="LCA107" s="952"/>
      <c r="LCB107" s="952"/>
      <c r="LCC107" s="952"/>
      <c r="LCD107" s="952"/>
      <c r="LCE107" s="952"/>
      <c r="LCF107" s="952"/>
      <c r="LCG107" s="952"/>
      <c r="LCH107" s="952"/>
      <c r="LCI107" s="952"/>
      <c r="LCJ107" s="952"/>
      <c r="LCK107" s="952"/>
      <c r="LCL107" s="952"/>
      <c r="LCM107" s="952"/>
      <c r="LCN107" s="952"/>
      <c r="LCO107" s="952"/>
      <c r="LCP107" s="952"/>
      <c r="LCQ107" s="952"/>
      <c r="LCR107" s="952"/>
      <c r="LCS107" s="952"/>
      <c r="LCT107" s="952"/>
      <c r="LCU107" s="952"/>
      <c r="LCV107" s="952"/>
      <c r="LCW107" s="952"/>
      <c r="LCX107" s="952"/>
      <c r="LCY107" s="952"/>
      <c r="LCZ107" s="952"/>
      <c r="LDA107" s="952"/>
      <c r="LDB107" s="952"/>
      <c r="LDC107" s="952"/>
      <c r="LDD107" s="952"/>
      <c r="LDE107" s="952"/>
      <c r="LDF107" s="952"/>
      <c r="LDG107" s="952"/>
      <c r="LDH107" s="952"/>
      <c r="LDI107" s="952"/>
      <c r="LDJ107" s="952"/>
      <c r="LDK107" s="952"/>
      <c r="LDL107" s="952"/>
      <c r="LDM107" s="952"/>
      <c r="LDN107" s="952"/>
      <c r="LDO107" s="952"/>
      <c r="LDP107" s="952"/>
      <c r="LDQ107" s="952"/>
      <c r="LDR107" s="952"/>
      <c r="LDS107" s="952"/>
      <c r="LDT107" s="952"/>
      <c r="LDU107" s="952"/>
      <c r="LDV107" s="952"/>
      <c r="LDW107" s="952"/>
      <c r="LDX107" s="952"/>
      <c r="LDY107" s="952"/>
      <c r="LDZ107" s="952"/>
      <c r="LEA107" s="952"/>
      <c r="LEB107" s="952"/>
      <c r="LEC107" s="952"/>
      <c r="LED107" s="952"/>
      <c r="LEE107" s="952"/>
      <c r="LEF107" s="952"/>
      <c r="LEG107" s="952"/>
      <c r="LEH107" s="952"/>
      <c r="LEI107" s="952"/>
      <c r="LEJ107" s="952"/>
      <c r="LEK107" s="952"/>
      <c r="LEL107" s="952"/>
      <c r="LEM107" s="952"/>
      <c r="LEN107" s="952"/>
      <c r="LEO107" s="952"/>
      <c r="LEP107" s="952"/>
      <c r="LEQ107" s="952"/>
      <c r="LER107" s="952"/>
      <c r="LES107" s="952"/>
      <c r="LET107" s="952"/>
      <c r="LEU107" s="952"/>
      <c r="LEV107" s="952"/>
      <c r="LEW107" s="952"/>
      <c r="LEX107" s="952"/>
      <c r="LEY107" s="952"/>
      <c r="LEZ107" s="952"/>
      <c r="LFA107" s="952"/>
      <c r="LFB107" s="952"/>
      <c r="LFC107" s="952"/>
      <c r="LFD107" s="952"/>
      <c r="LFE107" s="952"/>
      <c r="LFF107" s="952"/>
      <c r="LFG107" s="952"/>
      <c r="LFH107" s="952"/>
      <c r="LFI107" s="952"/>
      <c r="LFJ107" s="952"/>
      <c r="LFK107" s="952"/>
      <c r="LFL107" s="952"/>
      <c r="LFM107" s="952"/>
      <c r="LFN107" s="952"/>
      <c r="LFO107" s="952"/>
      <c r="LFP107" s="952"/>
      <c r="LFQ107" s="952"/>
      <c r="LFR107" s="952"/>
      <c r="LFS107" s="952"/>
      <c r="LFT107" s="952"/>
      <c r="LFU107" s="952"/>
      <c r="LFV107" s="952"/>
      <c r="LFW107" s="952"/>
      <c r="LFX107" s="952"/>
      <c r="LFY107" s="952"/>
      <c r="LFZ107" s="952"/>
      <c r="LGA107" s="952"/>
      <c r="LGB107" s="952"/>
      <c r="LGC107" s="952"/>
      <c r="LGD107" s="952"/>
      <c r="LGE107" s="952"/>
      <c r="LGF107" s="952"/>
      <c r="LGG107" s="952"/>
      <c r="LGH107" s="952"/>
      <c r="LGI107" s="952"/>
      <c r="LGJ107" s="952"/>
      <c r="LGK107" s="952"/>
      <c r="LGL107" s="952"/>
      <c r="LGM107" s="952"/>
      <c r="LGN107" s="952"/>
      <c r="LGO107" s="952"/>
      <c r="LGP107" s="952"/>
      <c r="LGQ107" s="952"/>
      <c r="LGR107" s="952"/>
      <c r="LGS107" s="952"/>
      <c r="LGT107" s="952"/>
      <c r="LGU107" s="952"/>
      <c r="LGV107" s="952"/>
      <c r="LGW107" s="952"/>
      <c r="LGX107" s="952"/>
      <c r="LGY107" s="952"/>
      <c r="LGZ107" s="952"/>
      <c r="LHA107" s="952"/>
      <c r="LHB107" s="952"/>
      <c r="LHC107" s="952"/>
      <c r="LHD107" s="952"/>
      <c r="LHE107" s="952"/>
      <c r="LHF107" s="952"/>
      <c r="LHG107" s="952"/>
      <c r="LHH107" s="952"/>
      <c r="LHI107" s="952"/>
      <c r="LHJ107" s="952"/>
      <c r="LHK107" s="952"/>
      <c r="LHL107" s="952"/>
      <c r="LHM107" s="952"/>
      <c r="LHN107" s="952"/>
      <c r="LHO107" s="952"/>
      <c r="LHP107" s="952"/>
      <c r="LHQ107" s="952"/>
      <c r="LHR107" s="952"/>
      <c r="LHS107" s="952"/>
      <c r="LHT107" s="952"/>
      <c r="LHU107" s="952"/>
      <c r="LHV107" s="952"/>
      <c r="LHW107" s="952"/>
      <c r="LHX107" s="952"/>
      <c r="LHY107" s="952"/>
      <c r="LHZ107" s="952"/>
      <c r="LIA107" s="952"/>
      <c r="LIB107" s="952"/>
      <c r="LIC107" s="952"/>
      <c r="LID107" s="952"/>
      <c r="LIE107" s="952"/>
      <c r="LIF107" s="952"/>
      <c r="LIG107" s="952"/>
      <c r="LIH107" s="952"/>
      <c r="LII107" s="952"/>
      <c r="LIJ107" s="952"/>
      <c r="LIK107" s="952"/>
      <c r="LIL107" s="952"/>
      <c r="LIM107" s="952"/>
      <c r="LIN107" s="952"/>
      <c r="LIO107" s="952"/>
      <c r="LIP107" s="952"/>
      <c r="LIQ107" s="952"/>
      <c r="LIR107" s="952"/>
      <c r="LIS107" s="952"/>
      <c r="LIT107" s="952"/>
      <c r="LIU107" s="952"/>
      <c r="LIV107" s="952"/>
      <c r="LIW107" s="952"/>
      <c r="LIX107" s="952"/>
      <c r="LIY107" s="952"/>
      <c r="LIZ107" s="952"/>
      <c r="LJA107" s="952"/>
      <c r="LJB107" s="952"/>
      <c r="LJC107" s="952"/>
      <c r="LJD107" s="952"/>
      <c r="LJE107" s="952"/>
      <c r="LJF107" s="952"/>
      <c r="LJG107" s="952"/>
      <c r="LJH107" s="952"/>
      <c r="LJI107" s="952"/>
      <c r="LJJ107" s="952"/>
      <c r="LJK107" s="952"/>
      <c r="LJL107" s="952"/>
      <c r="LJM107" s="952"/>
      <c r="LJN107" s="952"/>
      <c r="LJO107" s="952"/>
      <c r="LJP107" s="952"/>
      <c r="LJQ107" s="952"/>
      <c r="LJR107" s="952"/>
      <c r="LJS107" s="952"/>
      <c r="LJT107" s="952"/>
      <c r="LJU107" s="952"/>
      <c r="LJV107" s="952"/>
      <c r="LJW107" s="952"/>
      <c r="LJX107" s="952"/>
      <c r="LJY107" s="952"/>
      <c r="LJZ107" s="952"/>
      <c r="LKA107" s="952"/>
      <c r="LKB107" s="952"/>
      <c r="LKC107" s="952"/>
      <c r="LKD107" s="952"/>
      <c r="LKE107" s="952"/>
      <c r="LKF107" s="952"/>
      <c r="LKG107" s="952"/>
      <c r="LKH107" s="952"/>
      <c r="LKI107" s="952"/>
      <c r="LKJ107" s="952"/>
      <c r="LKK107" s="952"/>
      <c r="LKL107" s="952"/>
      <c r="LKM107" s="952"/>
      <c r="LKN107" s="952"/>
      <c r="LKO107" s="952"/>
      <c r="LKP107" s="952"/>
      <c r="LKQ107" s="952"/>
      <c r="LKR107" s="952"/>
      <c r="LKS107" s="952"/>
      <c r="LKT107" s="952"/>
      <c r="LKU107" s="952"/>
      <c r="LKV107" s="952"/>
      <c r="LKW107" s="952"/>
      <c r="LKX107" s="952"/>
      <c r="LKY107" s="952"/>
      <c r="LKZ107" s="952"/>
      <c r="LLA107" s="952"/>
      <c r="LLB107" s="952"/>
      <c r="LLC107" s="952"/>
      <c r="LLD107" s="952"/>
      <c r="LLE107" s="952"/>
      <c r="LLF107" s="952"/>
      <c r="LLG107" s="952"/>
      <c r="LLH107" s="952"/>
      <c r="LLI107" s="952"/>
      <c r="LLJ107" s="952"/>
      <c r="LLK107" s="952"/>
      <c r="LLL107" s="952"/>
      <c r="LLM107" s="952"/>
      <c r="LLN107" s="952"/>
      <c r="LLO107" s="952"/>
      <c r="LLP107" s="952"/>
      <c r="LLQ107" s="952"/>
      <c r="LLR107" s="952"/>
      <c r="LLS107" s="952"/>
      <c r="LLT107" s="952"/>
      <c r="LLU107" s="952"/>
      <c r="LLV107" s="952"/>
      <c r="LLW107" s="952"/>
      <c r="LLX107" s="952"/>
      <c r="LLY107" s="952"/>
      <c r="LLZ107" s="952"/>
      <c r="LMA107" s="952"/>
      <c r="LMB107" s="952"/>
      <c r="LMC107" s="952"/>
      <c r="LMD107" s="952"/>
      <c r="LME107" s="952"/>
      <c r="LMF107" s="952"/>
      <c r="LMG107" s="952"/>
      <c r="LMH107" s="952"/>
      <c r="LMI107" s="952"/>
      <c r="LMJ107" s="952"/>
      <c r="LMK107" s="952"/>
      <c r="LML107" s="952"/>
      <c r="LMM107" s="952"/>
      <c r="LMN107" s="952"/>
      <c r="LMO107" s="952"/>
      <c r="LMP107" s="952"/>
      <c r="LMQ107" s="952"/>
      <c r="LMR107" s="952"/>
      <c r="LMS107" s="952"/>
      <c r="LMT107" s="952"/>
      <c r="LMU107" s="952"/>
      <c r="LMV107" s="952"/>
      <c r="LMW107" s="952"/>
      <c r="LMX107" s="952"/>
      <c r="LMY107" s="952"/>
      <c r="LMZ107" s="952"/>
      <c r="LNA107" s="952"/>
      <c r="LNB107" s="952"/>
      <c r="LNC107" s="952"/>
      <c r="LND107" s="952"/>
      <c r="LNE107" s="952"/>
      <c r="LNF107" s="952"/>
      <c r="LNG107" s="952"/>
      <c r="LNH107" s="952"/>
      <c r="LNI107" s="952"/>
      <c r="LNJ107" s="952"/>
      <c r="LNK107" s="952"/>
      <c r="LNL107" s="952"/>
      <c r="LNM107" s="952"/>
      <c r="LNN107" s="952"/>
      <c r="LNO107" s="952"/>
      <c r="LNP107" s="952"/>
      <c r="LNQ107" s="952"/>
      <c r="LNR107" s="952"/>
      <c r="LNS107" s="952"/>
      <c r="LNT107" s="952"/>
      <c r="LNU107" s="952"/>
      <c r="LNV107" s="952"/>
      <c r="LNW107" s="952"/>
      <c r="LNX107" s="952"/>
      <c r="LNY107" s="952"/>
      <c r="LNZ107" s="952"/>
      <c r="LOA107" s="952"/>
      <c r="LOB107" s="952"/>
      <c r="LOC107" s="952"/>
      <c r="LOD107" s="952"/>
      <c r="LOE107" s="952"/>
      <c r="LOF107" s="952"/>
      <c r="LOG107" s="952"/>
      <c r="LOH107" s="952"/>
      <c r="LOI107" s="952"/>
      <c r="LOJ107" s="952"/>
      <c r="LOK107" s="952"/>
      <c r="LOL107" s="952"/>
      <c r="LOM107" s="952"/>
      <c r="LON107" s="952"/>
      <c r="LOO107" s="952"/>
      <c r="LOP107" s="952"/>
      <c r="LOQ107" s="952"/>
      <c r="LOR107" s="952"/>
      <c r="LOS107" s="952"/>
      <c r="LOT107" s="952"/>
      <c r="LOU107" s="952"/>
      <c r="LOV107" s="952"/>
      <c r="LOW107" s="952"/>
      <c r="LOX107" s="952"/>
      <c r="LOY107" s="952"/>
      <c r="LOZ107" s="952"/>
      <c r="LPA107" s="952"/>
      <c r="LPB107" s="952"/>
      <c r="LPC107" s="952"/>
      <c r="LPD107" s="952"/>
      <c r="LPE107" s="952"/>
      <c r="LPF107" s="952"/>
      <c r="LPG107" s="952"/>
      <c r="LPH107" s="952"/>
      <c r="LPI107" s="952"/>
      <c r="LPJ107" s="952"/>
      <c r="LPK107" s="952"/>
      <c r="LPL107" s="952"/>
      <c r="LPM107" s="952"/>
      <c r="LPN107" s="952"/>
      <c r="LPO107" s="952"/>
      <c r="LPP107" s="952"/>
      <c r="LPQ107" s="952"/>
      <c r="LPR107" s="952"/>
      <c r="LPS107" s="952"/>
      <c r="LPT107" s="952"/>
      <c r="LPU107" s="952"/>
      <c r="LPV107" s="952"/>
      <c r="LPW107" s="952"/>
      <c r="LPX107" s="952"/>
      <c r="LPY107" s="952"/>
      <c r="LPZ107" s="952"/>
      <c r="LQA107" s="952"/>
      <c r="LQB107" s="952"/>
      <c r="LQC107" s="952"/>
      <c r="LQD107" s="952"/>
      <c r="LQE107" s="952"/>
      <c r="LQF107" s="952"/>
      <c r="LQG107" s="952"/>
      <c r="LQH107" s="952"/>
      <c r="LQI107" s="952"/>
      <c r="LQJ107" s="952"/>
      <c r="LQK107" s="952"/>
      <c r="LQL107" s="952"/>
      <c r="LQM107" s="952"/>
      <c r="LQN107" s="952"/>
      <c r="LQO107" s="952"/>
      <c r="LQP107" s="952"/>
      <c r="LQQ107" s="952"/>
      <c r="LQR107" s="952"/>
      <c r="LQS107" s="952"/>
      <c r="LQT107" s="952"/>
      <c r="LQU107" s="952"/>
      <c r="LQV107" s="952"/>
      <c r="LQW107" s="952"/>
      <c r="LQX107" s="952"/>
      <c r="LQY107" s="952"/>
      <c r="LQZ107" s="952"/>
      <c r="LRA107" s="952"/>
      <c r="LRB107" s="952"/>
      <c r="LRC107" s="952"/>
      <c r="LRD107" s="952"/>
      <c r="LRE107" s="952"/>
      <c r="LRF107" s="952"/>
      <c r="LRG107" s="952"/>
      <c r="LRH107" s="952"/>
      <c r="LRI107" s="952"/>
      <c r="LRJ107" s="952"/>
      <c r="LRK107" s="952"/>
      <c r="LRL107" s="952"/>
      <c r="LRM107" s="952"/>
      <c r="LRN107" s="952"/>
      <c r="LRO107" s="952"/>
      <c r="LRP107" s="952"/>
      <c r="LRQ107" s="952"/>
      <c r="LRR107" s="952"/>
      <c r="LRS107" s="952"/>
      <c r="LRT107" s="952"/>
      <c r="LRU107" s="952"/>
      <c r="LRV107" s="952"/>
      <c r="LRW107" s="952"/>
      <c r="LRX107" s="952"/>
      <c r="LRY107" s="952"/>
      <c r="LRZ107" s="952"/>
      <c r="LSA107" s="952"/>
      <c r="LSB107" s="952"/>
      <c r="LSC107" s="952"/>
      <c r="LSD107" s="952"/>
      <c r="LSE107" s="952"/>
      <c r="LSF107" s="952"/>
      <c r="LSG107" s="952"/>
      <c r="LSH107" s="952"/>
      <c r="LSI107" s="952"/>
      <c r="LSJ107" s="952"/>
      <c r="LSK107" s="952"/>
      <c r="LSL107" s="952"/>
      <c r="LSM107" s="952"/>
      <c r="LSN107" s="952"/>
      <c r="LSO107" s="952"/>
      <c r="LSP107" s="952"/>
      <c r="LSQ107" s="952"/>
      <c r="LSR107" s="952"/>
      <c r="LSS107" s="952"/>
      <c r="LST107" s="952"/>
      <c r="LSU107" s="952"/>
      <c r="LSV107" s="952"/>
      <c r="LSW107" s="952"/>
      <c r="LSX107" s="952"/>
      <c r="LSY107" s="952"/>
      <c r="LSZ107" s="952"/>
      <c r="LTA107" s="952"/>
      <c r="LTB107" s="952"/>
      <c r="LTC107" s="952"/>
      <c r="LTD107" s="952"/>
      <c r="LTE107" s="952"/>
      <c r="LTF107" s="952"/>
      <c r="LTG107" s="952"/>
      <c r="LTH107" s="952"/>
      <c r="LTI107" s="952"/>
      <c r="LTJ107" s="952"/>
      <c r="LTK107" s="952"/>
      <c r="LTL107" s="952"/>
      <c r="LTM107" s="952"/>
      <c r="LTN107" s="952"/>
      <c r="LTO107" s="952"/>
      <c r="LTP107" s="952"/>
      <c r="LTQ107" s="952"/>
      <c r="LTR107" s="952"/>
      <c r="LTS107" s="952"/>
      <c r="LTT107" s="952"/>
      <c r="LTU107" s="952"/>
      <c r="LTV107" s="952"/>
      <c r="LTW107" s="952"/>
      <c r="LTX107" s="952"/>
      <c r="LTY107" s="952"/>
      <c r="LTZ107" s="952"/>
      <c r="LUA107" s="952"/>
      <c r="LUB107" s="952"/>
      <c r="LUC107" s="952"/>
      <c r="LUD107" s="952"/>
      <c r="LUE107" s="952"/>
      <c r="LUF107" s="952"/>
      <c r="LUG107" s="952"/>
      <c r="LUH107" s="952"/>
      <c r="LUI107" s="952"/>
      <c r="LUJ107" s="952"/>
      <c r="LUK107" s="952"/>
      <c r="LUL107" s="952"/>
      <c r="LUM107" s="952"/>
      <c r="LUN107" s="952"/>
      <c r="LUO107" s="952"/>
      <c r="LUP107" s="952"/>
      <c r="LUQ107" s="952"/>
      <c r="LUR107" s="952"/>
      <c r="LUS107" s="952"/>
      <c r="LUT107" s="952"/>
      <c r="LUU107" s="952"/>
      <c r="LUV107" s="952"/>
      <c r="LUW107" s="952"/>
      <c r="LUX107" s="952"/>
      <c r="LUY107" s="952"/>
      <c r="LUZ107" s="952"/>
      <c r="LVA107" s="952"/>
      <c r="LVB107" s="952"/>
      <c r="LVC107" s="952"/>
      <c r="LVD107" s="952"/>
      <c r="LVE107" s="952"/>
      <c r="LVF107" s="952"/>
      <c r="LVG107" s="952"/>
      <c r="LVH107" s="952"/>
      <c r="LVI107" s="952"/>
      <c r="LVJ107" s="952"/>
      <c r="LVK107" s="952"/>
      <c r="LVL107" s="952"/>
      <c r="LVM107" s="952"/>
      <c r="LVN107" s="952"/>
      <c r="LVO107" s="952"/>
      <c r="LVP107" s="952"/>
      <c r="LVQ107" s="952"/>
      <c r="LVR107" s="952"/>
      <c r="LVS107" s="952"/>
      <c r="LVT107" s="952"/>
      <c r="LVU107" s="952"/>
      <c r="LVV107" s="952"/>
      <c r="LVW107" s="952"/>
      <c r="LVX107" s="952"/>
      <c r="LVY107" s="952"/>
      <c r="LVZ107" s="952"/>
      <c r="LWA107" s="952"/>
      <c r="LWB107" s="952"/>
      <c r="LWC107" s="952"/>
      <c r="LWD107" s="952"/>
      <c r="LWE107" s="952"/>
      <c r="LWF107" s="952"/>
      <c r="LWG107" s="952"/>
      <c r="LWH107" s="952"/>
      <c r="LWI107" s="952"/>
      <c r="LWJ107" s="952"/>
      <c r="LWK107" s="952"/>
      <c r="LWL107" s="952"/>
      <c r="LWM107" s="952"/>
      <c r="LWN107" s="952"/>
      <c r="LWO107" s="952"/>
      <c r="LWP107" s="952"/>
      <c r="LWQ107" s="952"/>
      <c r="LWR107" s="952"/>
      <c r="LWS107" s="952"/>
      <c r="LWT107" s="952"/>
      <c r="LWU107" s="952"/>
      <c r="LWV107" s="952"/>
      <c r="LWW107" s="952"/>
      <c r="LWX107" s="952"/>
      <c r="LWY107" s="952"/>
      <c r="LWZ107" s="952"/>
      <c r="LXA107" s="952"/>
      <c r="LXB107" s="952"/>
      <c r="LXC107" s="952"/>
      <c r="LXD107" s="952"/>
      <c r="LXE107" s="952"/>
      <c r="LXF107" s="952"/>
      <c r="LXG107" s="952"/>
      <c r="LXH107" s="952"/>
      <c r="LXI107" s="952"/>
      <c r="LXJ107" s="952"/>
      <c r="LXK107" s="952"/>
      <c r="LXL107" s="952"/>
      <c r="LXM107" s="952"/>
      <c r="LXN107" s="952"/>
      <c r="LXO107" s="952"/>
      <c r="LXP107" s="952"/>
      <c r="LXQ107" s="952"/>
      <c r="LXR107" s="952"/>
      <c r="LXS107" s="952"/>
      <c r="LXT107" s="952"/>
      <c r="LXU107" s="952"/>
      <c r="LXV107" s="952"/>
      <c r="LXW107" s="952"/>
      <c r="LXX107" s="952"/>
      <c r="LXY107" s="952"/>
      <c r="LXZ107" s="952"/>
      <c r="LYA107" s="952"/>
      <c r="LYB107" s="952"/>
      <c r="LYC107" s="952"/>
      <c r="LYD107" s="952"/>
      <c r="LYE107" s="952"/>
      <c r="LYF107" s="952"/>
      <c r="LYG107" s="952"/>
      <c r="LYH107" s="952"/>
      <c r="LYI107" s="952"/>
      <c r="LYJ107" s="952"/>
      <c r="LYK107" s="952"/>
      <c r="LYL107" s="952"/>
      <c r="LYM107" s="952"/>
      <c r="LYN107" s="952"/>
      <c r="LYO107" s="952"/>
      <c r="LYP107" s="952"/>
      <c r="LYQ107" s="952"/>
      <c r="LYR107" s="952"/>
      <c r="LYS107" s="952"/>
      <c r="LYT107" s="952"/>
      <c r="LYU107" s="952"/>
      <c r="LYV107" s="952"/>
      <c r="LYW107" s="952"/>
      <c r="LYX107" s="952"/>
      <c r="LYY107" s="952"/>
      <c r="LYZ107" s="952"/>
      <c r="LZA107" s="952"/>
      <c r="LZB107" s="952"/>
      <c r="LZC107" s="952"/>
      <c r="LZD107" s="952"/>
      <c r="LZE107" s="952"/>
      <c r="LZF107" s="952"/>
      <c r="LZG107" s="952"/>
      <c r="LZH107" s="952"/>
      <c r="LZI107" s="952"/>
      <c r="LZJ107" s="952"/>
      <c r="LZK107" s="952"/>
      <c r="LZL107" s="952"/>
      <c r="LZM107" s="952"/>
      <c r="LZN107" s="952"/>
      <c r="LZO107" s="952"/>
      <c r="LZP107" s="952"/>
      <c r="LZQ107" s="952"/>
      <c r="LZR107" s="952"/>
      <c r="LZS107" s="952"/>
      <c r="LZT107" s="952"/>
      <c r="LZU107" s="952"/>
      <c r="LZV107" s="952"/>
      <c r="LZW107" s="952"/>
      <c r="LZX107" s="952"/>
      <c r="LZY107" s="952"/>
      <c r="LZZ107" s="952"/>
      <c r="MAA107" s="952"/>
      <c r="MAB107" s="952"/>
      <c r="MAC107" s="952"/>
      <c r="MAD107" s="952"/>
      <c r="MAE107" s="952"/>
      <c r="MAF107" s="952"/>
      <c r="MAG107" s="952"/>
      <c r="MAH107" s="952"/>
      <c r="MAI107" s="952"/>
      <c r="MAJ107" s="952"/>
      <c r="MAK107" s="952"/>
      <c r="MAL107" s="952"/>
      <c r="MAM107" s="952"/>
      <c r="MAN107" s="952"/>
      <c r="MAO107" s="952"/>
      <c r="MAP107" s="952"/>
      <c r="MAQ107" s="952"/>
      <c r="MAR107" s="952"/>
      <c r="MAS107" s="952"/>
      <c r="MAT107" s="952"/>
      <c r="MAU107" s="952"/>
      <c r="MAV107" s="952"/>
      <c r="MAW107" s="952"/>
      <c r="MAX107" s="952"/>
      <c r="MAY107" s="952"/>
      <c r="MAZ107" s="952"/>
      <c r="MBA107" s="952"/>
      <c r="MBB107" s="952"/>
      <c r="MBC107" s="952"/>
      <c r="MBD107" s="952"/>
      <c r="MBE107" s="952"/>
      <c r="MBF107" s="952"/>
      <c r="MBG107" s="952"/>
      <c r="MBH107" s="952"/>
      <c r="MBI107" s="952"/>
      <c r="MBJ107" s="952"/>
      <c r="MBK107" s="952"/>
      <c r="MBL107" s="952"/>
      <c r="MBM107" s="952"/>
      <c r="MBN107" s="952"/>
      <c r="MBO107" s="952"/>
      <c r="MBP107" s="952"/>
      <c r="MBQ107" s="952"/>
      <c r="MBR107" s="952"/>
      <c r="MBS107" s="952"/>
      <c r="MBT107" s="952"/>
      <c r="MBU107" s="952"/>
      <c r="MBV107" s="952"/>
      <c r="MBW107" s="952"/>
      <c r="MBX107" s="952"/>
      <c r="MBY107" s="952"/>
      <c r="MBZ107" s="952"/>
      <c r="MCA107" s="952"/>
      <c r="MCB107" s="952"/>
      <c r="MCC107" s="952"/>
      <c r="MCD107" s="952"/>
      <c r="MCE107" s="952"/>
      <c r="MCF107" s="952"/>
      <c r="MCG107" s="952"/>
      <c r="MCH107" s="952"/>
      <c r="MCI107" s="952"/>
      <c r="MCJ107" s="952"/>
      <c r="MCK107" s="952"/>
      <c r="MCL107" s="952"/>
      <c r="MCM107" s="952"/>
      <c r="MCN107" s="952"/>
      <c r="MCO107" s="952"/>
      <c r="MCP107" s="952"/>
      <c r="MCQ107" s="952"/>
      <c r="MCR107" s="952"/>
      <c r="MCS107" s="952"/>
      <c r="MCT107" s="952"/>
      <c r="MCU107" s="952"/>
      <c r="MCV107" s="952"/>
      <c r="MCW107" s="952"/>
      <c r="MCX107" s="952"/>
      <c r="MCY107" s="952"/>
      <c r="MCZ107" s="952"/>
      <c r="MDA107" s="952"/>
      <c r="MDB107" s="952"/>
      <c r="MDC107" s="952"/>
      <c r="MDD107" s="952"/>
      <c r="MDE107" s="952"/>
      <c r="MDF107" s="952"/>
      <c r="MDG107" s="952"/>
      <c r="MDH107" s="952"/>
      <c r="MDI107" s="952"/>
      <c r="MDJ107" s="952"/>
      <c r="MDK107" s="952"/>
      <c r="MDL107" s="952"/>
      <c r="MDM107" s="952"/>
      <c r="MDN107" s="952"/>
      <c r="MDO107" s="952"/>
      <c r="MDP107" s="952"/>
      <c r="MDQ107" s="952"/>
      <c r="MDR107" s="952"/>
      <c r="MDS107" s="952"/>
      <c r="MDT107" s="952"/>
      <c r="MDU107" s="952"/>
      <c r="MDV107" s="952"/>
      <c r="MDW107" s="952"/>
      <c r="MDX107" s="952"/>
      <c r="MDY107" s="952"/>
      <c r="MDZ107" s="952"/>
      <c r="MEA107" s="952"/>
      <c r="MEB107" s="952"/>
      <c r="MEC107" s="952"/>
      <c r="MED107" s="952"/>
      <c r="MEE107" s="952"/>
      <c r="MEF107" s="952"/>
      <c r="MEG107" s="952"/>
      <c r="MEH107" s="952"/>
      <c r="MEI107" s="952"/>
      <c r="MEJ107" s="952"/>
      <c r="MEK107" s="952"/>
      <c r="MEL107" s="952"/>
      <c r="MEM107" s="952"/>
      <c r="MEN107" s="952"/>
      <c r="MEO107" s="952"/>
      <c r="MEP107" s="952"/>
      <c r="MEQ107" s="952"/>
      <c r="MER107" s="952"/>
      <c r="MES107" s="952"/>
      <c r="MET107" s="952"/>
      <c r="MEU107" s="952"/>
      <c r="MEV107" s="952"/>
      <c r="MEW107" s="952"/>
      <c r="MEX107" s="952"/>
      <c r="MEY107" s="952"/>
      <c r="MEZ107" s="952"/>
      <c r="MFA107" s="952"/>
      <c r="MFB107" s="952"/>
      <c r="MFC107" s="952"/>
      <c r="MFD107" s="952"/>
      <c r="MFE107" s="952"/>
      <c r="MFF107" s="952"/>
      <c r="MFG107" s="952"/>
      <c r="MFH107" s="952"/>
      <c r="MFI107" s="952"/>
      <c r="MFJ107" s="952"/>
      <c r="MFK107" s="952"/>
      <c r="MFL107" s="952"/>
      <c r="MFM107" s="952"/>
      <c r="MFN107" s="952"/>
      <c r="MFO107" s="952"/>
      <c r="MFP107" s="952"/>
      <c r="MFQ107" s="952"/>
      <c r="MFR107" s="952"/>
      <c r="MFS107" s="952"/>
      <c r="MFT107" s="952"/>
      <c r="MFU107" s="952"/>
      <c r="MFV107" s="952"/>
      <c r="MFW107" s="952"/>
      <c r="MFX107" s="952"/>
      <c r="MFY107" s="952"/>
      <c r="MFZ107" s="952"/>
      <c r="MGA107" s="952"/>
      <c r="MGB107" s="952"/>
      <c r="MGC107" s="952"/>
      <c r="MGD107" s="952"/>
      <c r="MGE107" s="952"/>
      <c r="MGF107" s="952"/>
      <c r="MGG107" s="952"/>
      <c r="MGH107" s="952"/>
      <c r="MGI107" s="952"/>
      <c r="MGJ107" s="952"/>
      <c r="MGK107" s="952"/>
      <c r="MGL107" s="952"/>
      <c r="MGM107" s="952"/>
      <c r="MGN107" s="952"/>
      <c r="MGO107" s="952"/>
      <c r="MGP107" s="952"/>
      <c r="MGQ107" s="952"/>
      <c r="MGR107" s="952"/>
      <c r="MGS107" s="952"/>
      <c r="MGT107" s="952"/>
      <c r="MGU107" s="952"/>
      <c r="MGV107" s="952"/>
      <c r="MGW107" s="952"/>
      <c r="MGX107" s="952"/>
      <c r="MGY107" s="952"/>
      <c r="MGZ107" s="952"/>
      <c r="MHA107" s="952"/>
      <c r="MHB107" s="952"/>
      <c r="MHC107" s="952"/>
      <c r="MHD107" s="952"/>
      <c r="MHE107" s="952"/>
      <c r="MHF107" s="952"/>
      <c r="MHG107" s="952"/>
      <c r="MHH107" s="952"/>
      <c r="MHI107" s="952"/>
      <c r="MHJ107" s="952"/>
      <c r="MHK107" s="952"/>
      <c r="MHL107" s="952"/>
      <c r="MHM107" s="952"/>
      <c r="MHN107" s="952"/>
      <c r="MHO107" s="952"/>
      <c r="MHP107" s="952"/>
      <c r="MHQ107" s="952"/>
      <c r="MHR107" s="952"/>
      <c r="MHS107" s="952"/>
      <c r="MHT107" s="952"/>
      <c r="MHU107" s="952"/>
      <c r="MHV107" s="952"/>
      <c r="MHW107" s="952"/>
      <c r="MHX107" s="952"/>
      <c r="MHY107" s="952"/>
      <c r="MHZ107" s="952"/>
      <c r="MIA107" s="952"/>
      <c r="MIB107" s="952"/>
      <c r="MIC107" s="952"/>
      <c r="MID107" s="952"/>
      <c r="MIE107" s="952"/>
      <c r="MIF107" s="952"/>
      <c r="MIG107" s="952"/>
      <c r="MIH107" s="952"/>
      <c r="MII107" s="952"/>
      <c r="MIJ107" s="952"/>
      <c r="MIK107" s="952"/>
      <c r="MIL107" s="952"/>
      <c r="MIM107" s="952"/>
      <c r="MIN107" s="952"/>
      <c r="MIO107" s="952"/>
      <c r="MIP107" s="952"/>
      <c r="MIQ107" s="952"/>
      <c r="MIR107" s="952"/>
      <c r="MIS107" s="952"/>
      <c r="MIT107" s="952"/>
      <c r="MIU107" s="952"/>
      <c r="MIV107" s="952"/>
      <c r="MIW107" s="952"/>
      <c r="MIX107" s="952"/>
      <c r="MIY107" s="952"/>
      <c r="MIZ107" s="952"/>
      <c r="MJA107" s="952"/>
      <c r="MJB107" s="952"/>
      <c r="MJC107" s="952"/>
      <c r="MJD107" s="952"/>
      <c r="MJE107" s="952"/>
      <c r="MJF107" s="952"/>
      <c r="MJG107" s="952"/>
      <c r="MJH107" s="952"/>
      <c r="MJI107" s="952"/>
      <c r="MJJ107" s="952"/>
      <c r="MJK107" s="952"/>
      <c r="MJL107" s="952"/>
      <c r="MJM107" s="952"/>
      <c r="MJN107" s="952"/>
      <c r="MJO107" s="952"/>
      <c r="MJP107" s="952"/>
      <c r="MJQ107" s="952"/>
      <c r="MJR107" s="952"/>
      <c r="MJS107" s="952"/>
      <c r="MJT107" s="952"/>
      <c r="MJU107" s="952"/>
      <c r="MJV107" s="952"/>
      <c r="MJW107" s="952"/>
      <c r="MJX107" s="952"/>
      <c r="MJY107" s="952"/>
      <c r="MJZ107" s="952"/>
      <c r="MKA107" s="952"/>
      <c r="MKB107" s="952"/>
      <c r="MKC107" s="952"/>
      <c r="MKD107" s="952"/>
      <c r="MKE107" s="952"/>
      <c r="MKF107" s="952"/>
      <c r="MKG107" s="952"/>
      <c r="MKH107" s="952"/>
      <c r="MKI107" s="952"/>
      <c r="MKJ107" s="952"/>
      <c r="MKK107" s="952"/>
      <c r="MKL107" s="952"/>
      <c r="MKM107" s="952"/>
      <c r="MKN107" s="952"/>
      <c r="MKO107" s="952"/>
      <c r="MKP107" s="952"/>
      <c r="MKQ107" s="952"/>
      <c r="MKR107" s="952"/>
      <c r="MKS107" s="952"/>
      <c r="MKT107" s="952"/>
      <c r="MKU107" s="952"/>
      <c r="MKV107" s="952"/>
      <c r="MKW107" s="952"/>
      <c r="MKX107" s="952"/>
      <c r="MKY107" s="952"/>
      <c r="MKZ107" s="952"/>
      <c r="MLA107" s="952"/>
      <c r="MLB107" s="952"/>
      <c r="MLC107" s="952"/>
      <c r="MLD107" s="952"/>
      <c r="MLE107" s="952"/>
      <c r="MLF107" s="952"/>
      <c r="MLG107" s="952"/>
      <c r="MLH107" s="952"/>
      <c r="MLI107" s="952"/>
      <c r="MLJ107" s="952"/>
      <c r="MLK107" s="952"/>
      <c r="MLL107" s="952"/>
      <c r="MLM107" s="952"/>
      <c r="MLN107" s="952"/>
      <c r="MLO107" s="952"/>
      <c r="MLP107" s="952"/>
      <c r="MLQ107" s="952"/>
      <c r="MLR107" s="952"/>
      <c r="MLS107" s="952"/>
      <c r="MLT107" s="952"/>
      <c r="MLU107" s="952"/>
      <c r="MLV107" s="952"/>
      <c r="MLW107" s="952"/>
      <c r="MLX107" s="952"/>
      <c r="MLY107" s="952"/>
      <c r="MLZ107" s="952"/>
      <c r="MMA107" s="952"/>
      <c r="MMB107" s="952"/>
      <c r="MMC107" s="952"/>
      <c r="MMD107" s="952"/>
      <c r="MME107" s="952"/>
      <c r="MMF107" s="952"/>
      <c r="MMG107" s="952"/>
      <c r="MMH107" s="952"/>
      <c r="MMI107" s="952"/>
      <c r="MMJ107" s="952"/>
      <c r="MMK107" s="952"/>
      <c r="MML107" s="952"/>
      <c r="MMM107" s="952"/>
      <c r="MMN107" s="952"/>
      <c r="MMO107" s="952"/>
      <c r="MMP107" s="952"/>
      <c r="MMQ107" s="952"/>
      <c r="MMR107" s="952"/>
      <c r="MMS107" s="952"/>
      <c r="MMT107" s="952"/>
      <c r="MMU107" s="952"/>
      <c r="MMV107" s="952"/>
      <c r="MMW107" s="952"/>
      <c r="MMX107" s="952"/>
      <c r="MMY107" s="952"/>
      <c r="MMZ107" s="952"/>
      <c r="MNA107" s="952"/>
      <c r="MNB107" s="952"/>
      <c r="MNC107" s="952"/>
      <c r="MND107" s="952"/>
      <c r="MNE107" s="952"/>
      <c r="MNF107" s="952"/>
      <c r="MNG107" s="952"/>
      <c r="MNH107" s="952"/>
      <c r="MNI107" s="952"/>
      <c r="MNJ107" s="952"/>
      <c r="MNK107" s="952"/>
      <c r="MNL107" s="952"/>
      <c r="MNM107" s="952"/>
      <c r="MNN107" s="952"/>
      <c r="MNO107" s="952"/>
      <c r="MNP107" s="952"/>
      <c r="MNQ107" s="952"/>
      <c r="MNR107" s="952"/>
      <c r="MNS107" s="952"/>
      <c r="MNT107" s="952"/>
      <c r="MNU107" s="952"/>
      <c r="MNV107" s="952"/>
      <c r="MNW107" s="952"/>
      <c r="MNX107" s="952"/>
      <c r="MNY107" s="952"/>
      <c r="MNZ107" s="952"/>
      <c r="MOA107" s="952"/>
      <c r="MOB107" s="952"/>
      <c r="MOC107" s="952"/>
      <c r="MOD107" s="952"/>
      <c r="MOE107" s="952"/>
      <c r="MOF107" s="952"/>
      <c r="MOG107" s="952"/>
      <c r="MOH107" s="952"/>
      <c r="MOI107" s="952"/>
      <c r="MOJ107" s="952"/>
      <c r="MOK107" s="952"/>
      <c r="MOL107" s="952"/>
      <c r="MOM107" s="952"/>
      <c r="MON107" s="952"/>
      <c r="MOO107" s="952"/>
      <c r="MOP107" s="952"/>
      <c r="MOQ107" s="952"/>
      <c r="MOR107" s="952"/>
      <c r="MOS107" s="952"/>
      <c r="MOT107" s="952"/>
      <c r="MOU107" s="952"/>
      <c r="MOV107" s="952"/>
      <c r="MOW107" s="952"/>
      <c r="MOX107" s="952"/>
      <c r="MOY107" s="952"/>
      <c r="MOZ107" s="952"/>
      <c r="MPA107" s="952"/>
      <c r="MPB107" s="952"/>
      <c r="MPC107" s="952"/>
      <c r="MPD107" s="952"/>
      <c r="MPE107" s="952"/>
      <c r="MPF107" s="952"/>
      <c r="MPG107" s="952"/>
      <c r="MPH107" s="952"/>
      <c r="MPI107" s="952"/>
      <c r="MPJ107" s="952"/>
      <c r="MPK107" s="952"/>
      <c r="MPL107" s="952"/>
      <c r="MPM107" s="952"/>
      <c r="MPN107" s="952"/>
      <c r="MPO107" s="952"/>
      <c r="MPP107" s="952"/>
      <c r="MPQ107" s="952"/>
      <c r="MPR107" s="952"/>
      <c r="MPS107" s="952"/>
      <c r="MPT107" s="952"/>
      <c r="MPU107" s="952"/>
      <c r="MPV107" s="952"/>
      <c r="MPW107" s="952"/>
      <c r="MPX107" s="952"/>
      <c r="MPY107" s="952"/>
      <c r="MPZ107" s="952"/>
      <c r="MQA107" s="952"/>
      <c r="MQB107" s="952"/>
      <c r="MQC107" s="952"/>
      <c r="MQD107" s="952"/>
      <c r="MQE107" s="952"/>
      <c r="MQF107" s="952"/>
      <c r="MQG107" s="952"/>
      <c r="MQH107" s="952"/>
      <c r="MQI107" s="952"/>
      <c r="MQJ107" s="952"/>
      <c r="MQK107" s="952"/>
      <c r="MQL107" s="952"/>
      <c r="MQM107" s="952"/>
      <c r="MQN107" s="952"/>
      <c r="MQO107" s="952"/>
      <c r="MQP107" s="952"/>
      <c r="MQQ107" s="952"/>
      <c r="MQR107" s="952"/>
      <c r="MQS107" s="952"/>
      <c r="MQT107" s="952"/>
      <c r="MQU107" s="952"/>
      <c r="MQV107" s="952"/>
      <c r="MQW107" s="952"/>
      <c r="MQX107" s="952"/>
      <c r="MQY107" s="952"/>
      <c r="MQZ107" s="952"/>
      <c r="MRA107" s="952"/>
      <c r="MRB107" s="952"/>
      <c r="MRC107" s="952"/>
      <c r="MRD107" s="952"/>
      <c r="MRE107" s="952"/>
      <c r="MRF107" s="952"/>
      <c r="MRG107" s="952"/>
      <c r="MRH107" s="952"/>
      <c r="MRI107" s="952"/>
      <c r="MRJ107" s="952"/>
      <c r="MRK107" s="952"/>
      <c r="MRL107" s="952"/>
      <c r="MRM107" s="952"/>
      <c r="MRN107" s="952"/>
      <c r="MRO107" s="952"/>
      <c r="MRP107" s="952"/>
      <c r="MRQ107" s="952"/>
      <c r="MRR107" s="952"/>
      <c r="MRS107" s="952"/>
      <c r="MRT107" s="952"/>
      <c r="MRU107" s="952"/>
      <c r="MRV107" s="952"/>
      <c r="MRW107" s="952"/>
      <c r="MRX107" s="952"/>
      <c r="MRY107" s="952"/>
      <c r="MRZ107" s="952"/>
      <c r="MSA107" s="952"/>
      <c r="MSB107" s="952"/>
      <c r="MSC107" s="952"/>
      <c r="MSD107" s="952"/>
      <c r="MSE107" s="952"/>
      <c r="MSF107" s="952"/>
      <c r="MSG107" s="952"/>
      <c r="MSH107" s="952"/>
      <c r="MSI107" s="952"/>
      <c r="MSJ107" s="952"/>
      <c r="MSK107" s="952"/>
      <c r="MSL107" s="952"/>
      <c r="MSM107" s="952"/>
      <c r="MSN107" s="952"/>
      <c r="MSO107" s="952"/>
      <c r="MSP107" s="952"/>
      <c r="MSQ107" s="952"/>
      <c r="MSR107" s="952"/>
      <c r="MSS107" s="952"/>
      <c r="MST107" s="952"/>
      <c r="MSU107" s="952"/>
      <c r="MSV107" s="952"/>
      <c r="MSW107" s="952"/>
      <c r="MSX107" s="952"/>
      <c r="MSY107" s="952"/>
      <c r="MSZ107" s="952"/>
      <c r="MTA107" s="952"/>
      <c r="MTB107" s="952"/>
      <c r="MTC107" s="952"/>
      <c r="MTD107" s="952"/>
      <c r="MTE107" s="952"/>
      <c r="MTF107" s="952"/>
      <c r="MTG107" s="952"/>
      <c r="MTH107" s="952"/>
      <c r="MTI107" s="952"/>
      <c r="MTJ107" s="952"/>
      <c r="MTK107" s="952"/>
      <c r="MTL107" s="952"/>
      <c r="MTM107" s="952"/>
      <c r="MTN107" s="952"/>
      <c r="MTO107" s="952"/>
      <c r="MTP107" s="952"/>
      <c r="MTQ107" s="952"/>
      <c r="MTR107" s="952"/>
      <c r="MTS107" s="952"/>
      <c r="MTT107" s="952"/>
      <c r="MTU107" s="952"/>
      <c r="MTV107" s="952"/>
      <c r="MTW107" s="952"/>
      <c r="MTX107" s="952"/>
      <c r="MTY107" s="952"/>
      <c r="MTZ107" s="952"/>
      <c r="MUA107" s="952"/>
      <c r="MUB107" s="952"/>
      <c r="MUC107" s="952"/>
      <c r="MUD107" s="952"/>
      <c r="MUE107" s="952"/>
      <c r="MUF107" s="952"/>
      <c r="MUG107" s="952"/>
      <c r="MUH107" s="952"/>
      <c r="MUI107" s="952"/>
      <c r="MUJ107" s="952"/>
      <c r="MUK107" s="952"/>
      <c r="MUL107" s="952"/>
      <c r="MUM107" s="952"/>
      <c r="MUN107" s="952"/>
      <c r="MUO107" s="952"/>
      <c r="MUP107" s="952"/>
      <c r="MUQ107" s="952"/>
      <c r="MUR107" s="952"/>
      <c r="MUS107" s="952"/>
      <c r="MUT107" s="952"/>
      <c r="MUU107" s="952"/>
      <c r="MUV107" s="952"/>
      <c r="MUW107" s="952"/>
      <c r="MUX107" s="952"/>
      <c r="MUY107" s="952"/>
      <c r="MUZ107" s="952"/>
      <c r="MVA107" s="952"/>
      <c r="MVB107" s="952"/>
      <c r="MVC107" s="952"/>
      <c r="MVD107" s="952"/>
      <c r="MVE107" s="952"/>
      <c r="MVF107" s="952"/>
      <c r="MVG107" s="952"/>
      <c r="MVH107" s="952"/>
      <c r="MVI107" s="952"/>
      <c r="MVJ107" s="952"/>
      <c r="MVK107" s="952"/>
      <c r="MVL107" s="952"/>
      <c r="MVM107" s="952"/>
      <c r="MVN107" s="952"/>
      <c r="MVO107" s="952"/>
      <c r="MVP107" s="952"/>
      <c r="MVQ107" s="952"/>
      <c r="MVR107" s="952"/>
      <c r="MVS107" s="952"/>
      <c r="MVT107" s="952"/>
      <c r="MVU107" s="952"/>
      <c r="MVV107" s="952"/>
      <c r="MVW107" s="952"/>
      <c r="MVX107" s="952"/>
      <c r="MVY107" s="952"/>
      <c r="MVZ107" s="952"/>
      <c r="MWA107" s="952"/>
      <c r="MWB107" s="952"/>
      <c r="MWC107" s="952"/>
      <c r="MWD107" s="952"/>
      <c r="MWE107" s="952"/>
      <c r="MWF107" s="952"/>
      <c r="MWG107" s="952"/>
      <c r="MWH107" s="952"/>
      <c r="MWI107" s="952"/>
      <c r="MWJ107" s="952"/>
      <c r="MWK107" s="952"/>
      <c r="MWL107" s="952"/>
      <c r="MWM107" s="952"/>
      <c r="MWN107" s="952"/>
      <c r="MWO107" s="952"/>
      <c r="MWP107" s="952"/>
      <c r="MWQ107" s="952"/>
      <c r="MWR107" s="952"/>
      <c r="MWS107" s="952"/>
      <c r="MWT107" s="952"/>
      <c r="MWU107" s="952"/>
      <c r="MWV107" s="952"/>
      <c r="MWW107" s="952"/>
      <c r="MWX107" s="952"/>
      <c r="MWY107" s="952"/>
      <c r="MWZ107" s="952"/>
      <c r="MXA107" s="952"/>
      <c r="MXB107" s="952"/>
      <c r="MXC107" s="952"/>
      <c r="MXD107" s="952"/>
      <c r="MXE107" s="952"/>
      <c r="MXF107" s="952"/>
      <c r="MXG107" s="952"/>
      <c r="MXH107" s="952"/>
      <c r="MXI107" s="952"/>
      <c r="MXJ107" s="952"/>
      <c r="MXK107" s="952"/>
      <c r="MXL107" s="952"/>
      <c r="MXM107" s="952"/>
      <c r="MXN107" s="952"/>
      <c r="MXO107" s="952"/>
      <c r="MXP107" s="952"/>
      <c r="MXQ107" s="952"/>
      <c r="MXR107" s="952"/>
      <c r="MXS107" s="952"/>
      <c r="MXT107" s="952"/>
      <c r="MXU107" s="952"/>
      <c r="MXV107" s="952"/>
      <c r="MXW107" s="952"/>
      <c r="MXX107" s="952"/>
      <c r="MXY107" s="952"/>
      <c r="MXZ107" s="952"/>
      <c r="MYA107" s="952"/>
      <c r="MYB107" s="952"/>
      <c r="MYC107" s="952"/>
      <c r="MYD107" s="952"/>
      <c r="MYE107" s="952"/>
      <c r="MYF107" s="952"/>
      <c r="MYG107" s="952"/>
      <c r="MYH107" s="952"/>
      <c r="MYI107" s="952"/>
      <c r="MYJ107" s="952"/>
      <c r="MYK107" s="952"/>
      <c r="MYL107" s="952"/>
      <c r="MYM107" s="952"/>
      <c r="MYN107" s="952"/>
      <c r="MYO107" s="952"/>
      <c r="MYP107" s="952"/>
      <c r="MYQ107" s="952"/>
      <c r="MYR107" s="952"/>
      <c r="MYS107" s="952"/>
      <c r="MYT107" s="952"/>
      <c r="MYU107" s="952"/>
      <c r="MYV107" s="952"/>
      <c r="MYW107" s="952"/>
      <c r="MYX107" s="952"/>
      <c r="MYY107" s="952"/>
      <c r="MYZ107" s="952"/>
      <c r="MZA107" s="952"/>
      <c r="MZB107" s="952"/>
      <c r="MZC107" s="952"/>
      <c r="MZD107" s="952"/>
      <c r="MZE107" s="952"/>
      <c r="MZF107" s="952"/>
      <c r="MZG107" s="952"/>
      <c r="MZH107" s="952"/>
      <c r="MZI107" s="952"/>
      <c r="MZJ107" s="952"/>
      <c r="MZK107" s="952"/>
      <c r="MZL107" s="952"/>
      <c r="MZM107" s="952"/>
      <c r="MZN107" s="952"/>
      <c r="MZO107" s="952"/>
      <c r="MZP107" s="952"/>
      <c r="MZQ107" s="952"/>
      <c r="MZR107" s="952"/>
      <c r="MZS107" s="952"/>
      <c r="MZT107" s="952"/>
      <c r="MZU107" s="952"/>
      <c r="MZV107" s="952"/>
      <c r="MZW107" s="952"/>
      <c r="MZX107" s="952"/>
      <c r="MZY107" s="952"/>
      <c r="MZZ107" s="952"/>
      <c r="NAA107" s="952"/>
      <c r="NAB107" s="952"/>
      <c r="NAC107" s="952"/>
      <c r="NAD107" s="952"/>
      <c r="NAE107" s="952"/>
      <c r="NAF107" s="952"/>
      <c r="NAG107" s="952"/>
      <c r="NAH107" s="952"/>
      <c r="NAI107" s="952"/>
      <c r="NAJ107" s="952"/>
      <c r="NAK107" s="952"/>
      <c r="NAL107" s="952"/>
      <c r="NAM107" s="952"/>
      <c r="NAN107" s="952"/>
      <c r="NAO107" s="952"/>
      <c r="NAP107" s="952"/>
      <c r="NAQ107" s="952"/>
      <c r="NAR107" s="952"/>
      <c r="NAS107" s="952"/>
      <c r="NAT107" s="952"/>
      <c r="NAU107" s="952"/>
      <c r="NAV107" s="952"/>
      <c r="NAW107" s="952"/>
      <c r="NAX107" s="952"/>
      <c r="NAY107" s="952"/>
      <c r="NAZ107" s="952"/>
      <c r="NBA107" s="952"/>
      <c r="NBB107" s="952"/>
      <c r="NBC107" s="952"/>
      <c r="NBD107" s="952"/>
      <c r="NBE107" s="952"/>
      <c r="NBF107" s="952"/>
      <c r="NBG107" s="952"/>
      <c r="NBH107" s="952"/>
      <c r="NBI107" s="952"/>
      <c r="NBJ107" s="952"/>
      <c r="NBK107" s="952"/>
      <c r="NBL107" s="952"/>
      <c r="NBM107" s="952"/>
      <c r="NBN107" s="952"/>
      <c r="NBO107" s="952"/>
      <c r="NBP107" s="952"/>
      <c r="NBQ107" s="952"/>
      <c r="NBR107" s="952"/>
      <c r="NBS107" s="952"/>
      <c r="NBT107" s="952"/>
      <c r="NBU107" s="952"/>
      <c r="NBV107" s="952"/>
      <c r="NBW107" s="952"/>
      <c r="NBX107" s="952"/>
      <c r="NBY107" s="952"/>
      <c r="NBZ107" s="952"/>
      <c r="NCA107" s="952"/>
      <c r="NCB107" s="952"/>
      <c r="NCC107" s="952"/>
      <c r="NCD107" s="952"/>
      <c r="NCE107" s="952"/>
      <c r="NCF107" s="952"/>
      <c r="NCG107" s="952"/>
      <c r="NCH107" s="952"/>
      <c r="NCI107" s="952"/>
      <c r="NCJ107" s="952"/>
      <c r="NCK107" s="952"/>
      <c r="NCL107" s="952"/>
      <c r="NCM107" s="952"/>
      <c r="NCN107" s="952"/>
      <c r="NCO107" s="952"/>
      <c r="NCP107" s="952"/>
      <c r="NCQ107" s="952"/>
      <c r="NCR107" s="952"/>
      <c r="NCS107" s="952"/>
      <c r="NCT107" s="952"/>
      <c r="NCU107" s="952"/>
      <c r="NCV107" s="952"/>
      <c r="NCW107" s="952"/>
      <c r="NCX107" s="952"/>
      <c r="NCY107" s="952"/>
      <c r="NCZ107" s="952"/>
      <c r="NDA107" s="952"/>
      <c r="NDB107" s="952"/>
      <c r="NDC107" s="952"/>
      <c r="NDD107" s="952"/>
      <c r="NDE107" s="952"/>
      <c r="NDF107" s="952"/>
      <c r="NDG107" s="952"/>
      <c r="NDH107" s="952"/>
      <c r="NDI107" s="952"/>
      <c r="NDJ107" s="952"/>
      <c r="NDK107" s="952"/>
      <c r="NDL107" s="952"/>
      <c r="NDM107" s="952"/>
      <c r="NDN107" s="952"/>
      <c r="NDO107" s="952"/>
      <c r="NDP107" s="952"/>
      <c r="NDQ107" s="952"/>
      <c r="NDR107" s="952"/>
      <c r="NDS107" s="952"/>
      <c r="NDT107" s="952"/>
      <c r="NDU107" s="952"/>
      <c r="NDV107" s="952"/>
      <c r="NDW107" s="952"/>
      <c r="NDX107" s="952"/>
      <c r="NDY107" s="952"/>
      <c r="NDZ107" s="952"/>
      <c r="NEA107" s="952"/>
      <c r="NEB107" s="952"/>
      <c r="NEC107" s="952"/>
      <c r="NED107" s="952"/>
      <c r="NEE107" s="952"/>
      <c r="NEF107" s="952"/>
      <c r="NEG107" s="952"/>
      <c r="NEH107" s="952"/>
      <c r="NEI107" s="952"/>
      <c r="NEJ107" s="952"/>
      <c r="NEK107" s="952"/>
      <c r="NEL107" s="952"/>
      <c r="NEM107" s="952"/>
      <c r="NEN107" s="952"/>
      <c r="NEO107" s="952"/>
      <c r="NEP107" s="952"/>
      <c r="NEQ107" s="952"/>
      <c r="NER107" s="952"/>
      <c r="NES107" s="952"/>
      <c r="NET107" s="952"/>
      <c r="NEU107" s="952"/>
      <c r="NEV107" s="952"/>
      <c r="NEW107" s="952"/>
      <c r="NEX107" s="952"/>
      <c r="NEY107" s="952"/>
      <c r="NEZ107" s="952"/>
      <c r="NFA107" s="952"/>
      <c r="NFB107" s="952"/>
      <c r="NFC107" s="952"/>
      <c r="NFD107" s="952"/>
      <c r="NFE107" s="952"/>
      <c r="NFF107" s="952"/>
      <c r="NFG107" s="952"/>
      <c r="NFH107" s="952"/>
      <c r="NFI107" s="952"/>
      <c r="NFJ107" s="952"/>
      <c r="NFK107" s="952"/>
      <c r="NFL107" s="952"/>
      <c r="NFM107" s="952"/>
      <c r="NFN107" s="952"/>
      <c r="NFO107" s="952"/>
      <c r="NFP107" s="952"/>
      <c r="NFQ107" s="952"/>
      <c r="NFR107" s="952"/>
      <c r="NFS107" s="952"/>
      <c r="NFT107" s="952"/>
      <c r="NFU107" s="952"/>
      <c r="NFV107" s="952"/>
      <c r="NFW107" s="952"/>
      <c r="NFX107" s="952"/>
      <c r="NFY107" s="952"/>
      <c r="NFZ107" s="952"/>
      <c r="NGA107" s="952"/>
      <c r="NGB107" s="952"/>
      <c r="NGC107" s="952"/>
      <c r="NGD107" s="952"/>
      <c r="NGE107" s="952"/>
      <c r="NGF107" s="952"/>
      <c r="NGG107" s="952"/>
      <c r="NGH107" s="952"/>
      <c r="NGI107" s="952"/>
      <c r="NGJ107" s="952"/>
      <c r="NGK107" s="952"/>
      <c r="NGL107" s="952"/>
      <c r="NGM107" s="952"/>
      <c r="NGN107" s="952"/>
      <c r="NGO107" s="952"/>
      <c r="NGP107" s="952"/>
      <c r="NGQ107" s="952"/>
      <c r="NGR107" s="952"/>
      <c r="NGS107" s="952"/>
      <c r="NGT107" s="952"/>
      <c r="NGU107" s="952"/>
      <c r="NGV107" s="952"/>
      <c r="NGW107" s="952"/>
      <c r="NGX107" s="952"/>
      <c r="NGY107" s="952"/>
      <c r="NGZ107" s="952"/>
      <c r="NHA107" s="952"/>
      <c r="NHB107" s="952"/>
      <c r="NHC107" s="952"/>
      <c r="NHD107" s="952"/>
      <c r="NHE107" s="952"/>
      <c r="NHF107" s="952"/>
      <c r="NHG107" s="952"/>
      <c r="NHH107" s="952"/>
      <c r="NHI107" s="952"/>
      <c r="NHJ107" s="952"/>
      <c r="NHK107" s="952"/>
      <c r="NHL107" s="952"/>
      <c r="NHM107" s="952"/>
      <c r="NHN107" s="952"/>
      <c r="NHO107" s="952"/>
      <c r="NHP107" s="952"/>
      <c r="NHQ107" s="952"/>
      <c r="NHR107" s="952"/>
      <c r="NHS107" s="952"/>
      <c r="NHT107" s="952"/>
      <c r="NHU107" s="952"/>
      <c r="NHV107" s="952"/>
      <c r="NHW107" s="952"/>
      <c r="NHX107" s="952"/>
      <c r="NHY107" s="952"/>
      <c r="NHZ107" s="952"/>
      <c r="NIA107" s="952"/>
      <c r="NIB107" s="952"/>
      <c r="NIC107" s="952"/>
      <c r="NID107" s="952"/>
      <c r="NIE107" s="952"/>
      <c r="NIF107" s="952"/>
      <c r="NIG107" s="952"/>
      <c r="NIH107" s="952"/>
      <c r="NII107" s="952"/>
      <c r="NIJ107" s="952"/>
      <c r="NIK107" s="952"/>
      <c r="NIL107" s="952"/>
      <c r="NIM107" s="952"/>
      <c r="NIN107" s="952"/>
      <c r="NIO107" s="952"/>
      <c r="NIP107" s="952"/>
      <c r="NIQ107" s="952"/>
      <c r="NIR107" s="952"/>
      <c r="NIS107" s="952"/>
      <c r="NIT107" s="952"/>
      <c r="NIU107" s="952"/>
      <c r="NIV107" s="952"/>
      <c r="NIW107" s="952"/>
      <c r="NIX107" s="952"/>
      <c r="NIY107" s="952"/>
      <c r="NIZ107" s="952"/>
      <c r="NJA107" s="952"/>
      <c r="NJB107" s="952"/>
      <c r="NJC107" s="952"/>
      <c r="NJD107" s="952"/>
      <c r="NJE107" s="952"/>
      <c r="NJF107" s="952"/>
      <c r="NJG107" s="952"/>
      <c r="NJH107" s="952"/>
      <c r="NJI107" s="952"/>
      <c r="NJJ107" s="952"/>
      <c r="NJK107" s="952"/>
      <c r="NJL107" s="952"/>
      <c r="NJM107" s="952"/>
      <c r="NJN107" s="952"/>
      <c r="NJO107" s="952"/>
      <c r="NJP107" s="952"/>
      <c r="NJQ107" s="952"/>
      <c r="NJR107" s="952"/>
      <c r="NJS107" s="952"/>
      <c r="NJT107" s="952"/>
      <c r="NJU107" s="952"/>
      <c r="NJV107" s="952"/>
      <c r="NJW107" s="952"/>
      <c r="NJX107" s="952"/>
      <c r="NJY107" s="952"/>
      <c r="NJZ107" s="952"/>
      <c r="NKA107" s="952"/>
      <c r="NKB107" s="952"/>
      <c r="NKC107" s="952"/>
      <c r="NKD107" s="952"/>
      <c r="NKE107" s="952"/>
      <c r="NKF107" s="952"/>
      <c r="NKG107" s="952"/>
      <c r="NKH107" s="952"/>
      <c r="NKI107" s="952"/>
      <c r="NKJ107" s="952"/>
      <c r="NKK107" s="952"/>
      <c r="NKL107" s="952"/>
      <c r="NKM107" s="952"/>
      <c r="NKN107" s="952"/>
      <c r="NKO107" s="952"/>
      <c r="NKP107" s="952"/>
      <c r="NKQ107" s="952"/>
      <c r="NKR107" s="952"/>
      <c r="NKS107" s="952"/>
      <c r="NKT107" s="952"/>
      <c r="NKU107" s="952"/>
      <c r="NKV107" s="952"/>
      <c r="NKW107" s="952"/>
      <c r="NKX107" s="952"/>
      <c r="NKY107" s="952"/>
      <c r="NKZ107" s="952"/>
      <c r="NLA107" s="952"/>
      <c r="NLB107" s="952"/>
      <c r="NLC107" s="952"/>
      <c r="NLD107" s="952"/>
      <c r="NLE107" s="952"/>
      <c r="NLF107" s="952"/>
      <c r="NLG107" s="952"/>
      <c r="NLH107" s="952"/>
      <c r="NLI107" s="952"/>
      <c r="NLJ107" s="952"/>
      <c r="NLK107" s="952"/>
      <c r="NLL107" s="952"/>
      <c r="NLM107" s="952"/>
      <c r="NLN107" s="952"/>
      <c r="NLO107" s="952"/>
      <c r="NLP107" s="952"/>
      <c r="NLQ107" s="952"/>
      <c r="NLR107" s="952"/>
      <c r="NLS107" s="952"/>
      <c r="NLT107" s="952"/>
      <c r="NLU107" s="952"/>
      <c r="NLV107" s="952"/>
      <c r="NLW107" s="952"/>
      <c r="NLX107" s="952"/>
      <c r="NLY107" s="952"/>
      <c r="NLZ107" s="952"/>
      <c r="NMA107" s="952"/>
      <c r="NMB107" s="952"/>
      <c r="NMC107" s="952"/>
      <c r="NMD107" s="952"/>
      <c r="NME107" s="952"/>
      <c r="NMF107" s="952"/>
      <c r="NMG107" s="952"/>
      <c r="NMH107" s="952"/>
      <c r="NMI107" s="952"/>
      <c r="NMJ107" s="952"/>
      <c r="NMK107" s="952"/>
      <c r="NML107" s="952"/>
      <c r="NMM107" s="952"/>
      <c r="NMN107" s="952"/>
      <c r="NMO107" s="952"/>
      <c r="NMP107" s="952"/>
      <c r="NMQ107" s="952"/>
      <c r="NMR107" s="952"/>
      <c r="NMS107" s="952"/>
      <c r="NMT107" s="952"/>
      <c r="NMU107" s="952"/>
      <c r="NMV107" s="952"/>
      <c r="NMW107" s="952"/>
      <c r="NMX107" s="952"/>
      <c r="NMY107" s="952"/>
      <c r="NMZ107" s="952"/>
      <c r="NNA107" s="952"/>
      <c r="NNB107" s="952"/>
      <c r="NNC107" s="952"/>
      <c r="NND107" s="952"/>
      <c r="NNE107" s="952"/>
      <c r="NNF107" s="952"/>
      <c r="NNG107" s="952"/>
      <c r="NNH107" s="952"/>
      <c r="NNI107" s="952"/>
      <c r="NNJ107" s="952"/>
      <c r="NNK107" s="952"/>
      <c r="NNL107" s="952"/>
      <c r="NNM107" s="952"/>
      <c r="NNN107" s="952"/>
      <c r="NNO107" s="952"/>
      <c r="NNP107" s="952"/>
      <c r="NNQ107" s="952"/>
      <c r="NNR107" s="952"/>
      <c r="NNS107" s="952"/>
      <c r="NNT107" s="952"/>
      <c r="NNU107" s="952"/>
      <c r="NNV107" s="952"/>
      <c r="NNW107" s="952"/>
      <c r="NNX107" s="952"/>
      <c r="NNY107" s="952"/>
      <c r="NNZ107" s="952"/>
      <c r="NOA107" s="952"/>
      <c r="NOB107" s="952"/>
      <c r="NOC107" s="952"/>
      <c r="NOD107" s="952"/>
      <c r="NOE107" s="952"/>
      <c r="NOF107" s="952"/>
      <c r="NOG107" s="952"/>
      <c r="NOH107" s="952"/>
      <c r="NOI107" s="952"/>
      <c r="NOJ107" s="952"/>
      <c r="NOK107" s="952"/>
      <c r="NOL107" s="952"/>
      <c r="NOM107" s="952"/>
      <c r="NON107" s="952"/>
      <c r="NOO107" s="952"/>
      <c r="NOP107" s="952"/>
      <c r="NOQ107" s="952"/>
      <c r="NOR107" s="952"/>
      <c r="NOS107" s="952"/>
      <c r="NOT107" s="952"/>
      <c r="NOU107" s="952"/>
      <c r="NOV107" s="952"/>
      <c r="NOW107" s="952"/>
      <c r="NOX107" s="952"/>
      <c r="NOY107" s="952"/>
      <c r="NOZ107" s="952"/>
      <c r="NPA107" s="952"/>
      <c r="NPB107" s="952"/>
      <c r="NPC107" s="952"/>
      <c r="NPD107" s="952"/>
      <c r="NPE107" s="952"/>
      <c r="NPF107" s="952"/>
      <c r="NPG107" s="952"/>
      <c r="NPH107" s="952"/>
      <c r="NPI107" s="952"/>
      <c r="NPJ107" s="952"/>
      <c r="NPK107" s="952"/>
      <c r="NPL107" s="952"/>
      <c r="NPM107" s="952"/>
      <c r="NPN107" s="952"/>
      <c r="NPO107" s="952"/>
      <c r="NPP107" s="952"/>
      <c r="NPQ107" s="952"/>
      <c r="NPR107" s="952"/>
      <c r="NPS107" s="952"/>
      <c r="NPT107" s="952"/>
      <c r="NPU107" s="952"/>
      <c r="NPV107" s="952"/>
      <c r="NPW107" s="952"/>
      <c r="NPX107" s="952"/>
      <c r="NPY107" s="952"/>
      <c r="NPZ107" s="952"/>
      <c r="NQA107" s="952"/>
      <c r="NQB107" s="952"/>
      <c r="NQC107" s="952"/>
      <c r="NQD107" s="952"/>
      <c r="NQE107" s="952"/>
      <c r="NQF107" s="952"/>
      <c r="NQG107" s="952"/>
      <c r="NQH107" s="952"/>
      <c r="NQI107" s="952"/>
      <c r="NQJ107" s="952"/>
      <c r="NQK107" s="952"/>
      <c r="NQL107" s="952"/>
      <c r="NQM107" s="952"/>
      <c r="NQN107" s="952"/>
      <c r="NQO107" s="952"/>
      <c r="NQP107" s="952"/>
      <c r="NQQ107" s="952"/>
      <c r="NQR107" s="952"/>
      <c r="NQS107" s="952"/>
      <c r="NQT107" s="952"/>
      <c r="NQU107" s="952"/>
      <c r="NQV107" s="952"/>
      <c r="NQW107" s="952"/>
      <c r="NQX107" s="952"/>
      <c r="NQY107" s="952"/>
      <c r="NQZ107" s="952"/>
      <c r="NRA107" s="952"/>
      <c r="NRB107" s="952"/>
      <c r="NRC107" s="952"/>
      <c r="NRD107" s="952"/>
      <c r="NRE107" s="952"/>
      <c r="NRF107" s="952"/>
      <c r="NRG107" s="952"/>
      <c r="NRH107" s="952"/>
      <c r="NRI107" s="952"/>
      <c r="NRJ107" s="952"/>
      <c r="NRK107" s="952"/>
      <c r="NRL107" s="952"/>
      <c r="NRM107" s="952"/>
      <c r="NRN107" s="952"/>
      <c r="NRO107" s="952"/>
      <c r="NRP107" s="952"/>
      <c r="NRQ107" s="952"/>
      <c r="NRR107" s="952"/>
      <c r="NRS107" s="952"/>
      <c r="NRT107" s="952"/>
      <c r="NRU107" s="952"/>
      <c r="NRV107" s="952"/>
      <c r="NRW107" s="952"/>
      <c r="NRX107" s="952"/>
      <c r="NRY107" s="952"/>
      <c r="NRZ107" s="952"/>
      <c r="NSA107" s="952"/>
      <c r="NSB107" s="952"/>
      <c r="NSC107" s="952"/>
      <c r="NSD107" s="952"/>
      <c r="NSE107" s="952"/>
      <c r="NSF107" s="952"/>
      <c r="NSG107" s="952"/>
      <c r="NSH107" s="952"/>
      <c r="NSI107" s="952"/>
      <c r="NSJ107" s="952"/>
      <c r="NSK107" s="952"/>
      <c r="NSL107" s="952"/>
      <c r="NSM107" s="952"/>
      <c r="NSN107" s="952"/>
      <c r="NSO107" s="952"/>
      <c r="NSP107" s="952"/>
      <c r="NSQ107" s="952"/>
      <c r="NSR107" s="952"/>
      <c r="NSS107" s="952"/>
      <c r="NST107" s="952"/>
      <c r="NSU107" s="952"/>
      <c r="NSV107" s="952"/>
      <c r="NSW107" s="952"/>
      <c r="NSX107" s="952"/>
      <c r="NSY107" s="952"/>
      <c r="NSZ107" s="952"/>
      <c r="NTA107" s="952"/>
      <c r="NTB107" s="952"/>
      <c r="NTC107" s="952"/>
      <c r="NTD107" s="952"/>
      <c r="NTE107" s="952"/>
      <c r="NTF107" s="952"/>
      <c r="NTG107" s="952"/>
      <c r="NTH107" s="952"/>
      <c r="NTI107" s="952"/>
      <c r="NTJ107" s="952"/>
      <c r="NTK107" s="952"/>
      <c r="NTL107" s="952"/>
      <c r="NTM107" s="952"/>
      <c r="NTN107" s="952"/>
      <c r="NTO107" s="952"/>
      <c r="NTP107" s="952"/>
      <c r="NTQ107" s="952"/>
      <c r="NTR107" s="952"/>
      <c r="NTS107" s="952"/>
      <c r="NTT107" s="952"/>
      <c r="NTU107" s="952"/>
      <c r="NTV107" s="952"/>
      <c r="NTW107" s="952"/>
      <c r="NTX107" s="952"/>
      <c r="NTY107" s="952"/>
      <c r="NTZ107" s="952"/>
      <c r="NUA107" s="952"/>
      <c r="NUB107" s="952"/>
      <c r="NUC107" s="952"/>
      <c r="NUD107" s="952"/>
      <c r="NUE107" s="952"/>
      <c r="NUF107" s="952"/>
      <c r="NUG107" s="952"/>
      <c r="NUH107" s="952"/>
      <c r="NUI107" s="952"/>
      <c r="NUJ107" s="952"/>
      <c r="NUK107" s="952"/>
      <c r="NUL107" s="952"/>
      <c r="NUM107" s="952"/>
      <c r="NUN107" s="952"/>
      <c r="NUO107" s="952"/>
      <c r="NUP107" s="952"/>
      <c r="NUQ107" s="952"/>
      <c r="NUR107" s="952"/>
      <c r="NUS107" s="952"/>
      <c r="NUT107" s="952"/>
      <c r="NUU107" s="952"/>
      <c r="NUV107" s="952"/>
      <c r="NUW107" s="952"/>
      <c r="NUX107" s="952"/>
      <c r="NUY107" s="952"/>
      <c r="NUZ107" s="952"/>
      <c r="NVA107" s="952"/>
      <c r="NVB107" s="952"/>
      <c r="NVC107" s="952"/>
      <c r="NVD107" s="952"/>
      <c r="NVE107" s="952"/>
      <c r="NVF107" s="952"/>
      <c r="NVG107" s="952"/>
      <c r="NVH107" s="952"/>
      <c r="NVI107" s="952"/>
      <c r="NVJ107" s="952"/>
      <c r="NVK107" s="952"/>
      <c r="NVL107" s="952"/>
      <c r="NVM107" s="952"/>
      <c r="NVN107" s="952"/>
      <c r="NVO107" s="952"/>
      <c r="NVP107" s="952"/>
      <c r="NVQ107" s="952"/>
      <c r="NVR107" s="952"/>
      <c r="NVS107" s="952"/>
      <c r="NVT107" s="952"/>
      <c r="NVU107" s="952"/>
      <c r="NVV107" s="952"/>
      <c r="NVW107" s="952"/>
      <c r="NVX107" s="952"/>
      <c r="NVY107" s="952"/>
      <c r="NVZ107" s="952"/>
      <c r="NWA107" s="952"/>
      <c r="NWB107" s="952"/>
      <c r="NWC107" s="952"/>
      <c r="NWD107" s="952"/>
      <c r="NWE107" s="952"/>
      <c r="NWF107" s="952"/>
      <c r="NWG107" s="952"/>
      <c r="NWH107" s="952"/>
      <c r="NWI107" s="952"/>
      <c r="NWJ107" s="952"/>
      <c r="NWK107" s="952"/>
      <c r="NWL107" s="952"/>
      <c r="NWM107" s="952"/>
      <c r="NWN107" s="952"/>
      <c r="NWO107" s="952"/>
      <c r="NWP107" s="952"/>
      <c r="NWQ107" s="952"/>
      <c r="NWR107" s="952"/>
      <c r="NWS107" s="952"/>
      <c r="NWT107" s="952"/>
      <c r="NWU107" s="952"/>
      <c r="NWV107" s="952"/>
      <c r="NWW107" s="952"/>
      <c r="NWX107" s="952"/>
      <c r="NWY107" s="952"/>
      <c r="NWZ107" s="952"/>
      <c r="NXA107" s="952"/>
      <c r="NXB107" s="952"/>
      <c r="NXC107" s="952"/>
      <c r="NXD107" s="952"/>
      <c r="NXE107" s="952"/>
      <c r="NXF107" s="952"/>
      <c r="NXG107" s="952"/>
      <c r="NXH107" s="952"/>
      <c r="NXI107" s="952"/>
      <c r="NXJ107" s="952"/>
      <c r="NXK107" s="952"/>
      <c r="NXL107" s="952"/>
      <c r="NXM107" s="952"/>
      <c r="NXN107" s="952"/>
      <c r="NXO107" s="952"/>
      <c r="NXP107" s="952"/>
      <c r="NXQ107" s="952"/>
      <c r="NXR107" s="952"/>
      <c r="NXS107" s="952"/>
      <c r="NXT107" s="952"/>
      <c r="NXU107" s="952"/>
      <c r="NXV107" s="952"/>
      <c r="NXW107" s="952"/>
      <c r="NXX107" s="952"/>
      <c r="NXY107" s="952"/>
      <c r="NXZ107" s="952"/>
      <c r="NYA107" s="952"/>
      <c r="NYB107" s="952"/>
      <c r="NYC107" s="952"/>
      <c r="NYD107" s="952"/>
      <c r="NYE107" s="952"/>
      <c r="NYF107" s="952"/>
      <c r="NYG107" s="952"/>
      <c r="NYH107" s="952"/>
      <c r="NYI107" s="952"/>
      <c r="NYJ107" s="952"/>
      <c r="NYK107" s="952"/>
      <c r="NYL107" s="952"/>
      <c r="NYM107" s="952"/>
      <c r="NYN107" s="952"/>
      <c r="NYO107" s="952"/>
      <c r="NYP107" s="952"/>
      <c r="NYQ107" s="952"/>
      <c r="NYR107" s="952"/>
      <c r="NYS107" s="952"/>
      <c r="NYT107" s="952"/>
      <c r="NYU107" s="952"/>
      <c r="NYV107" s="952"/>
      <c r="NYW107" s="952"/>
      <c r="NYX107" s="952"/>
      <c r="NYY107" s="952"/>
      <c r="NYZ107" s="952"/>
      <c r="NZA107" s="952"/>
      <c r="NZB107" s="952"/>
      <c r="NZC107" s="952"/>
      <c r="NZD107" s="952"/>
      <c r="NZE107" s="952"/>
      <c r="NZF107" s="952"/>
      <c r="NZG107" s="952"/>
      <c r="NZH107" s="952"/>
      <c r="NZI107" s="952"/>
      <c r="NZJ107" s="952"/>
      <c r="NZK107" s="952"/>
      <c r="NZL107" s="952"/>
      <c r="NZM107" s="952"/>
      <c r="NZN107" s="952"/>
      <c r="NZO107" s="952"/>
      <c r="NZP107" s="952"/>
      <c r="NZQ107" s="952"/>
      <c r="NZR107" s="952"/>
      <c r="NZS107" s="952"/>
      <c r="NZT107" s="952"/>
      <c r="NZU107" s="952"/>
      <c r="NZV107" s="952"/>
      <c r="NZW107" s="952"/>
      <c r="NZX107" s="952"/>
      <c r="NZY107" s="952"/>
      <c r="NZZ107" s="952"/>
      <c r="OAA107" s="952"/>
      <c r="OAB107" s="952"/>
      <c r="OAC107" s="952"/>
      <c r="OAD107" s="952"/>
      <c r="OAE107" s="952"/>
      <c r="OAF107" s="952"/>
      <c r="OAG107" s="952"/>
      <c r="OAH107" s="952"/>
      <c r="OAI107" s="952"/>
      <c r="OAJ107" s="952"/>
      <c r="OAK107" s="952"/>
      <c r="OAL107" s="952"/>
      <c r="OAM107" s="952"/>
      <c r="OAN107" s="952"/>
      <c r="OAO107" s="952"/>
      <c r="OAP107" s="952"/>
      <c r="OAQ107" s="952"/>
      <c r="OAR107" s="952"/>
      <c r="OAS107" s="952"/>
      <c r="OAT107" s="952"/>
      <c r="OAU107" s="952"/>
      <c r="OAV107" s="952"/>
      <c r="OAW107" s="952"/>
      <c r="OAX107" s="952"/>
      <c r="OAY107" s="952"/>
      <c r="OAZ107" s="952"/>
      <c r="OBA107" s="952"/>
      <c r="OBB107" s="952"/>
      <c r="OBC107" s="952"/>
      <c r="OBD107" s="952"/>
      <c r="OBE107" s="952"/>
      <c r="OBF107" s="952"/>
      <c r="OBG107" s="952"/>
      <c r="OBH107" s="952"/>
      <c r="OBI107" s="952"/>
      <c r="OBJ107" s="952"/>
      <c r="OBK107" s="952"/>
      <c r="OBL107" s="952"/>
      <c r="OBM107" s="952"/>
      <c r="OBN107" s="952"/>
      <c r="OBO107" s="952"/>
      <c r="OBP107" s="952"/>
      <c r="OBQ107" s="952"/>
      <c r="OBR107" s="952"/>
      <c r="OBS107" s="952"/>
      <c r="OBT107" s="952"/>
      <c r="OBU107" s="952"/>
      <c r="OBV107" s="952"/>
      <c r="OBW107" s="952"/>
      <c r="OBX107" s="952"/>
      <c r="OBY107" s="952"/>
      <c r="OBZ107" s="952"/>
      <c r="OCA107" s="952"/>
      <c r="OCB107" s="952"/>
      <c r="OCC107" s="952"/>
      <c r="OCD107" s="952"/>
      <c r="OCE107" s="952"/>
      <c r="OCF107" s="952"/>
      <c r="OCG107" s="952"/>
      <c r="OCH107" s="952"/>
      <c r="OCI107" s="952"/>
      <c r="OCJ107" s="952"/>
      <c r="OCK107" s="952"/>
      <c r="OCL107" s="952"/>
      <c r="OCM107" s="952"/>
      <c r="OCN107" s="952"/>
      <c r="OCO107" s="952"/>
      <c r="OCP107" s="952"/>
      <c r="OCQ107" s="952"/>
      <c r="OCR107" s="952"/>
      <c r="OCS107" s="952"/>
      <c r="OCT107" s="952"/>
      <c r="OCU107" s="952"/>
      <c r="OCV107" s="952"/>
      <c r="OCW107" s="952"/>
      <c r="OCX107" s="952"/>
      <c r="OCY107" s="952"/>
      <c r="OCZ107" s="952"/>
      <c r="ODA107" s="952"/>
      <c r="ODB107" s="952"/>
      <c r="ODC107" s="952"/>
      <c r="ODD107" s="952"/>
      <c r="ODE107" s="952"/>
      <c r="ODF107" s="952"/>
      <c r="ODG107" s="952"/>
      <c r="ODH107" s="952"/>
      <c r="ODI107" s="952"/>
      <c r="ODJ107" s="952"/>
      <c r="ODK107" s="952"/>
      <c r="ODL107" s="952"/>
      <c r="ODM107" s="952"/>
      <c r="ODN107" s="952"/>
      <c r="ODO107" s="952"/>
      <c r="ODP107" s="952"/>
      <c r="ODQ107" s="952"/>
      <c r="ODR107" s="952"/>
      <c r="ODS107" s="952"/>
      <c r="ODT107" s="952"/>
      <c r="ODU107" s="952"/>
      <c r="ODV107" s="952"/>
      <c r="ODW107" s="952"/>
      <c r="ODX107" s="952"/>
      <c r="ODY107" s="952"/>
      <c r="ODZ107" s="952"/>
      <c r="OEA107" s="952"/>
      <c r="OEB107" s="952"/>
      <c r="OEC107" s="952"/>
      <c r="OED107" s="952"/>
      <c r="OEE107" s="952"/>
      <c r="OEF107" s="952"/>
      <c r="OEG107" s="952"/>
      <c r="OEH107" s="952"/>
      <c r="OEI107" s="952"/>
      <c r="OEJ107" s="952"/>
      <c r="OEK107" s="952"/>
      <c r="OEL107" s="952"/>
      <c r="OEM107" s="952"/>
      <c r="OEN107" s="952"/>
      <c r="OEO107" s="952"/>
      <c r="OEP107" s="952"/>
      <c r="OEQ107" s="952"/>
      <c r="OER107" s="952"/>
      <c r="OES107" s="952"/>
      <c r="OET107" s="952"/>
      <c r="OEU107" s="952"/>
      <c r="OEV107" s="952"/>
      <c r="OEW107" s="952"/>
      <c r="OEX107" s="952"/>
      <c r="OEY107" s="952"/>
      <c r="OEZ107" s="952"/>
      <c r="OFA107" s="952"/>
      <c r="OFB107" s="952"/>
      <c r="OFC107" s="952"/>
      <c r="OFD107" s="952"/>
      <c r="OFE107" s="952"/>
      <c r="OFF107" s="952"/>
      <c r="OFG107" s="952"/>
      <c r="OFH107" s="952"/>
      <c r="OFI107" s="952"/>
      <c r="OFJ107" s="952"/>
      <c r="OFK107" s="952"/>
      <c r="OFL107" s="952"/>
      <c r="OFM107" s="952"/>
      <c r="OFN107" s="952"/>
      <c r="OFO107" s="952"/>
      <c r="OFP107" s="952"/>
      <c r="OFQ107" s="952"/>
      <c r="OFR107" s="952"/>
      <c r="OFS107" s="952"/>
      <c r="OFT107" s="952"/>
      <c r="OFU107" s="952"/>
      <c r="OFV107" s="952"/>
      <c r="OFW107" s="952"/>
      <c r="OFX107" s="952"/>
      <c r="OFY107" s="952"/>
      <c r="OFZ107" s="952"/>
      <c r="OGA107" s="952"/>
      <c r="OGB107" s="952"/>
      <c r="OGC107" s="952"/>
      <c r="OGD107" s="952"/>
      <c r="OGE107" s="952"/>
      <c r="OGF107" s="952"/>
      <c r="OGG107" s="952"/>
      <c r="OGH107" s="952"/>
      <c r="OGI107" s="952"/>
      <c r="OGJ107" s="952"/>
      <c r="OGK107" s="952"/>
      <c r="OGL107" s="952"/>
      <c r="OGM107" s="952"/>
      <c r="OGN107" s="952"/>
      <c r="OGO107" s="952"/>
      <c r="OGP107" s="952"/>
      <c r="OGQ107" s="952"/>
      <c r="OGR107" s="952"/>
      <c r="OGS107" s="952"/>
      <c r="OGT107" s="952"/>
      <c r="OGU107" s="952"/>
      <c r="OGV107" s="952"/>
      <c r="OGW107" s="952"/>
      <c r="OGX107" s="952"/>
      <c r="OGY107" s="952"/>
      <c r="OGZ107" s="952"/>
      <c r="OHA107" s="952"/>
      <c r="OHB107" s="952"/>
      <c r="OHC107" s="952"/>
      <c r="OHD107" s="952"/>
      <c r="OHE107" s="952"/>
      <c r="OHF107" s="952"/>
      <c r="OHG107" s="952"/>
      <c r="OHH107" s="952"/>
      <c r="OHI107" s="952"/>
      <c r="OHJ107" s="952"/>
      <c r="OHK107" s="952"/>
      <c r="OHL107" s="952"/>
      <c r="OHM107" s="952"/>
      <c r="OHN107" s="952"/>
      <c r="OHO107" s="952"/>
      <c r="OHP107" s="952"/>
      <c r="OHQ107" s="952"/>
      <c r="OHR107" s="952"/>
      <c r="OHS107" s="952"/>
      <c r="OHT107" s="952"/>
      <c r="OHU107" s="952"/>
      <c r="OHV107" s="952"/>
      <c r="OHW107" s="952"/>
      <c r="OHX107" s="952"/>
      <c r="OHY107" s="952"/>
      <c r="OHZ107" s="952"/>
      <c r="OIA107" s="952"/>
      <c r="OIB107" s="952"/>
      <c r="OIC107" s="952"/>
      <c r="OID107" s="952"/>
      <c r="OIE107" s="952"/>
      <c r="OIF107" s="952"/>
      <c r="OIG107" s="952"/>
      <c r="OIH107" s="952"/>
      <c r="OII107" s="952"/>
      <c r="OIJ107" s="952"/>
      <c r="OIK107" s="952"/>
      <c r="OIL107" s="952"/>
      <c r="OIM107" s="952"/>
      <c r="OIN107" s="952"/>
      <c r="OIO107" s="952"/>
      <c r="OIP107" s="952"/>
      <c r="OIQ107" s="952"/>
      <c r="OIR107" s="952"/>
      <c r="OIS107" s="952"/>
      <c r="OIT107" s="952"/>
      <c r="OIU107" s="952"/>
      <c r="OIV107" s="952"/>
      <c r="OIW107" s="952"/>
      <c r="OIX107" s="952"/>
      <c r="OIY107" s="952"/>
      <c r="OIZ107" s="952"/>
      <c r="OJA107" s="952"/>
      <c r="OJB107" s="952"/>
      <c r="OJC107" s="952"/>
      <c r="OJD107" s="952"/>
      <c r="OJE107" s="952"/>
      <c r="OJF107" s="952"/>
      <c r="OJG107" s="952"/>
      <c r="OJH107" s="952"/>
      <c r="OJI107" s="952"/>
      <c r="OJJ107" s="952"/>
      <c r="OJK107" s="952"/>
      <c r="OJL107" s="952"/>
      <c r="OJM107" s="952"/>
      <c r="OJN107" s="952"/>
      <c r="OJO107" s="952"/>
      <c r="OJP107" s="952"/>
      <c r="OJQ107" s="952"/>
      <c r="OJR107" s="952"/>
      <c r="OJS107" s="952"/>
      <c r="OJT107" s="952"/>
      <c r="OJU107" s="952"/>
      <c r="OJV107" s="952"/>
      <c r="OJW107" s="952"/>
      <c r="OJX107" s="952"/>
      <c r="OJY107" s="952"/>
      <c r="OJZ107" s="952"/>
      <c r="OKA107" s="952"/>
      <c r="OKB107" s="952"/>
      <c r="OKC107" s="952"/>
      <c r="OKD107" s="952"/>
      <c r="OKE107" s="952"/>
      <c r="OKF107" s="952"/>
      <c r="OKG107" s="952"/>
      <c r="OKH107" s="952"/>
      <c r="OKI107" s="952"/>
      <c r="OKJ107" s="952"/>
      <c r="OKK107" s="952"/>
      <c r="OKL107" s="952"/>
      <c r="OKM107" s="952"/>
      <c r="OKN107" s="952"/>
      <c r="OKO107" s="952"/>
      <c r="OKP107" s="952"/>
      <c r="OKQ107" s="952"/>
      <c r="OKR107" s="952"/>
      <c r="OKS107" s="952"/>
      <c r="OKT107" s="952"/>
      <c r="OKU107" s="952"/>
      <c r="OKV107" s="952"/>
      <c r="OKW107" s="952"/>
      <c r="OKX107" s="952"/>
      <c r="OKY107" s="952"/>
      <c r="OKZ107" s="952"/>
      <c r="OLA107" s="952"/>
      <c r="OLB107" s="952"/>
      <c r="OLC107" s="952"/>
      <c r="OLD107" s="952"/>
      <c r="OLE107" s="952"/>
      <c r="OLF107" s="952"/>
      <c r="OLG107" s="952"/>
      <c r="OLH107" s="952"/>
      <c r="OLI107" s="952"/>
      <c r="OLJ107" s="952"/>
      <c r="OLK107" s="952"/>
      <c r="OLL107" s="952"/>
      <c r="OLM107" s="952"/>
      <c r="OLN107" s="952"/>
      <c r="OLO107" s="952"/>
      <c r="OLP107" s="952"/>
      <c r="OLQ107" s="952"/>
      <c r="OLR107" s="952"/>
      <c r="OLS107" s="952"/>
      <c r="OLT107" s="952"/>
      <c r="OLU107" s="952"/>
      <c r="OLV107" s="952"/>
      <c r="OLW107" s="952"/>
      <c r="OLX107" s="952"/>
      <c r="OLY107" s="952"/>
      <c r="OLZ107" s="952"/>
      <c r="OMA107" s="952"/>
      <c r="OMB107" s="952"/>
      <c r="OMC107" s="952"/>
      <c r="OMD107" s="952"/>
      <c r="OME107" s="952"/>
      <c r="OMF107" s="952"/>
      <c r="OMG107" s="952"/>
      <c r="OMH107" s="952"/>
      <c r="OMI107" s="952"/>
      <c r="OMJ107" s="952"/>
      <c r="OMK107" s="952"/>
      <c r="OML107" s="952"/>
      <c r="OMM107" s="952"/>
      <c r="OMN107" s="952"/>
      <c r="OMO107" s="952"/>
      <c r="OMP107" s="952"/>
      <c r="OMQ107" s="952"/>
      <c r="OMR107" s="952"/>
      <c r="OMS107" s="952"/>
      <c r="OMT107" s="952"/>
      <c r="OMU107" s="952"/>
      <c r="OMV107" s="952"/>
      <c r="OMW107" s="952"/>
      <c r="OMX107" s="952"/>
      <c r="OMY107" s="952"/>
      <c r="OMZ107" s="952"/>
      <c r="ONA107" s="952"/>
      <c r="ONB107" s="952"/>
      <c r="ONC107" s="952"/>
      <c r="OND107" s="952"/>
      <c r="ONE107" s="952"/>
      <c r="ONF107" s="952"/>
      <c r="ONG107" s="952"/>
      <c r="ONH107" s="952"/>
      <c r="ONI107" s="952"/>
      <c r="ONJ107" s="952"/>
      <c r="ONK107" s="952"/>
      <c r="ONL107" s="952"/>
      <c r="ONM107" s="952"/>
      <c r="ONN107" s="952"/>
      <c r="ONO107" s="952"/>
      <c r="ONP107" s="952"/>
      <c r="ONQ107" s="952"/>
      <c r="ONR107" s="952"/>
      <c r="ONS107" s="952"/>
      <c r="ONT107" s="952"/>
      <c r="ONU107" s="952"/>
      <c r="ONV107" s="952"/>
      <c r="ONW107" s="952"/>
      <c r="ONX107" s="952"/>
      <c r="ONY107" s="952"/>
      <c r="ONZ107" s="952"/>
      <c r="OOA107" s="952"/>
      <c r="OOB107" s="952"/>
      <c r="OOC107" s="952"/>
      <c r="OOD107" s="952"/>
      <c r="OOE107" s="952"/>
      <c r="OOF107" s="952"/>
      <c r="OOG107" s="952"/>
      <c r="OOH107" s="952"/>
      <c r="OOI107" s="952"/>
      <c r="OOJ107" s="952"/>
      <c r="OOK107" s="952"/>
      <c r="OOL107" s="952"/>
      <c r="OOM107" s="952"/>
      <c r="OON107" s="952"/>
      <c r="OOO107" s="952"/>
      <c r="OOP107" s="952"/>
      <c r="OOQ107" s="952"/>
      <c r="OOR107" s="952"/>
      <c r="OOS107" s="952"/>
      <c r="OOT107" s="952"/>
      <c r="OOU107" s="952"/>
      <c r="OOV107" s="952"/>
      <c r="OOW107" s="952"/>
      <c r="OOX107" s="952"/>
      <c r="OOY107" s="952"/>
      <c r="OOZ107" s="952"/>
      <c r="OPA107" s="952"/>
      <c r="OPB107" s="952"/>
      <c r="OPC107" s="952"/>
      <c r="OPD107" s="952"/>
      <c r="OPE107" s="952"/>
      <c r="OPF107" s="952"/>
      <c r="OPG107" s="952"/>
      <c r="OPH107" s="952"/>
      <c r="OPI107" s="952"/>
      <c r="OPJ107" s="952"/>
      <c r="OPK107" s="952"/>
      <c r="OPL107" s="952"/>
      <c r="OPM107" s="952"/>
      <c r="OPN107" s="952"/>
      <c r="OPO107" s="952"/>
      <c r="OPP107" s="952"/>
      <c r="OPQ107" s="952"/>
      <c r="OPR107" s="952"/>
      <c r="OPS107" s="952"/>
      <c r="OPT107" s="952"/>
      <c r="OPU107" s="952"/>
      <c r="OPV107" s="952"/>
      <c r="OPW107" s="952"/>
      <c r="OPX107" s="952"/>
      <c r="OPY107" s="952"/>
      <c r="OPZ107" s="952"/>
      <c r="OQA107" s="952"/>
      <c r="OQB107" s="952"/>
      <c r="OQC107" s="952"/>
      <c r="OQD107" s="952"/>
      <c r="OQE107" s="952"/>
      <c r="OQF107" s="952"/>
      <c r="OQG107" s="952"/>
      <c r="OQH107" s="952"/>
      <c r="OQI107" s="952"/>
      <c r="OQJ107" s="952"/>
      <c r="OQK107" s="952"/>
      <c r="OQL107" s="952"/>
      <c r="OQM107" s="952"/>
      <c r="OQN107" s="952"/>
      <c r="OQO107" s="952"/>
      <c r="OQP107" s="952"/>
      <c r="OQQ107" s="952"/>
      <c r="OQR107" s="952"/>
      <c r="OQS107" s="952"/>
      <c r="OQT107" s="952"/>
      <c r="OQU107" s="952"/>
      <c r="OQV107" s="952"/>
      <c r="OQW107" s="952"/>
      <c r="OQX107" s="952"/>
      <c r="OQY107" s="952"/>
      <c r="OQZ107" s="952"/>
      <c r="ORA107" s="952"/>
      <c r="ORB107" s="952"/>
      <c r="ORC107" s="952"/>
      <c r="ORD107" s="952"/>
      <c r="ORE107" s="952"/>
      <c r="ORF107" s="952"/>
      <c r="ORG107" s="952"/>
      <c r="ORH107" s="952"/>
      <c r="ORI107" s="952"/>
      <c r="ORJ107" s="952"/>
      <c r="ORK107" s="952"/>
      <c r="ORL107" s="952"/>
      <c r="ORM107" s="952"/>
      <c r="ORN107" s="952"/>
      <c r="ORO107" s="952"/>
      <c r="ORP107" s="952"/>
      <c r="ORQ107" s="952"/>
      <c r="ORR107" s="952"/>
      <c r="ORS107" s="952"/>
      <c r="ORT107" s="952"/>
      <c r="ORU107" s="952"/>
      <c r="ORV107" s="952"/>
      <c r="ORW107" s="952"/>
      <c r="ORX107" s="952"/>
      <c r="ORY107" s="952"/>
      <c r="ORZ107" s="952"/>
      <c r="OSA107" s="952"/>
      <c r="OSB107" s="952"/>
      <c r="OSC107" s="952"/>
      <c r="OSD107" s="952"/>
      <c r="OSE107" s="952"/>
      <c r="OSF107" s="952"/>
      <c r="OSG107" s="952"/>
      <c r="OSH107" s="952"/>
      <c r="OSI107" s="952"/>
      <c r="OSJ107" s="952"/>
      <c r="OSK107" s="952"/>
      <c r="OSL107" s="952"/>
      <c r="OSM107" s="952"/>
      <c r="OSN107" s="952"/>
      <c r="OSO107" s="952"/>
      <c r="OSP107" s="952"/>
      <c r="OSQ107" s="952"/>
      <c r="OSR107" s="952"/>
      <c r="OSS107" s="952"/>
      <c r="OST107" s="952"/>
      <c r="OSU107" s="952"/>
      <c r="OSV107" s="952"/>
      <c r="OSW107" s="952"/>
      <c r="OSX107" s="952"/>
      <c r="OSY107" s="952"/>
      <c r="OSZ107" s="952"/>
      <c r="OTA107" s="952"/>
      <c r="OTB107" s="952"/>
      <c r="OTC107" s="952"/>
      <c r="OTD107" s="952"/>
      <c r="OTE107" s="952"/>
      <c r="OTF107" s="952"/>
      <c r="OTG107" s="952"/>
      <c r="OTH107" s="952"/>
      <c r="OTI107" s="952"/>
      <c r="OTJ107" s="952"/>
      <c r="OTK107" s="952"/>
      <c r="OTL107" s="952"/>
      <c r="OTM107" s="952"/>
      <c r="OTN107" s="952"/>
      <c r="OTO107" s="952"/>
      <c r="OTP107" s="952"/>
      <c r="OTQ107" s="952"/>
      <c r="OTR107" s="952"/>
      <c r="OTS107" s="952"/>
      <c r="OTT107" s="952"/>
      <c r="OTU107" s="952"/>
      <c r="OTV107" s="952"/>
      <c r="OTW107" s="952"/>
      <c r="OTX107" s="952"/>
      <c r="OTY107" s="952"/>
      <c r="OTZ107" s="952"/>
      <c r="OUA107" s="952"/>
      <c r="OUB107" s="952"/>
      <c r="OUC107" s="952"/>
      <c r="OUD107" s="952"/>
      <c r="OUE107" s="952"/>
      <c r="OUF107" s="952"/>
      <c r="OUG107" s="952"/>
      <c r="OUH107" s="952"/>
      <c r="OUI107" s="952"/>
      <c r="OUJ107" s="952"/>
      <c r="OUK107" s="952"/>
      <c r="OUL107" s="952"/>
      <c r="OUM107" s="952"/>
      <c r="OUN107" s="952"/>
      <c r="OUO107" s="952"/>
      <c r="OUP107" s="952"/>
      <c r="OUQ107" s="952"/>
      <c r="OUR107" s="952"/>
      <c r="OUS107" s="952"/>
      <c r="OUT107" s="952"/>
      <c r="OUU107" s="952"/>
      <c r="OUV107" s="952"/>
      <c r="OUW107" s="952"/>
      <c r="OUX107" s="952"/>
      <c r="OUY107" s="952"/>
      <c r="OUZ107" s="952"/>
      <c r="OVA107" s="952"/>
      <c r="OVB107" s="952"/>
      <c r="OVC107" s="952"/>
      <c r="OVD107" s="952"/>
      <c r="OVE107" s="952"/>
      <c r="OVF107" s="952"/>
      <c r="OVG107" s="952"/>
      <c r="OVH107" s="952"/>
      <c r="OVI107" s="952"/>
      <c r="OVJ107" s="952"/>
      <c r="OVK107" s="952"/>
      <c r="OVL107" s="952"/>
      <c r="OVM107" s="952"/>
      <c r="OVN107" s="952"/>
      <c r="OVO107" s="952"/>
      <c r="OVP107" s="952"/>
      <c r="OVQ107" s="952"/>
      <c r="OVR107" s="952"/>
      <c r="OVS107" s="952"/>
      <c r="OVT107" s="952"/>
      <c r="OVU107" s="952"/>
      <c r="OVV107" s="952"/>
      <c r="OVW107" s="952"/>
      <c r="OVX107" s="952"/>
      <c r="OVY107" s="952"/>
      <c r="OVZ107" s="952"/>
      <c r="OWA107" s="952"/>
      <c r="OWB107" s="952"/>
      <c r="OWC107" s="952"/>
      <c r="OWD107" s="952"/>
      <c r="OWE107" s="952"/>
      <c r="OWF107" s="952"/>
      <c r="OWG107" s="952"/>
      <c r="OWH107" s="952"/>
      <c r="OWI107" s="952"/>
      <c r="OWJ107" s="952"/>
      <c r="OWK107" s="952"/>
      <c r="OWL107" s="952"/>
      <c r="OWM107" s="952"/>
      <c r="OWN107" s="952"/>
      <c r="OWO107" s="952"/>
      <c r="OWP107" s="952"/>
      <c r="OWQ107" s="952"/>
      <c r="OWR107" s="952"/>
      <c r="OWS107" s="952"/>
      <c r="OWT107" s="952"/>
      <c r="OWU107" s="952"/>
      <c r="OWV107" s="952"/>
      <c r="OWW107" s="952"/>
      <c r="OWX107" s="952"/>
      <c r="OWY107" s="952"/>
      <c r="OWZ107" s="952"/>
      <c r="OXA107" s="952"/>
      <c r="OXB107" s="952"/>
      <c r="OXC107" s="952"/>
      <c r="OXD107" s="952"/>
      <c r="OXE107" s="952"/>
      <c r="OXF107" s="952"/>
      <c r="OXG107" s="952"/>
      <c r="OXH107" s="952"/>
      <c r="OXI107" s="952"/>
      <c r="OXJ107" s="952"/>
      <c r="OXK107" s="952"/>
      <c r="OXL107" s="952"/>
      <c r="OXM107" s="952"/>
      <c r="OXN107" s="952"/>
      <c r="OXO107" s="952"/>
      <c r="OXP107" s="952"/>
      <c r="OXQ107" s="952"/>
      <c r="OXR107" s="952"/>
      <c r="OXS107" s="952"/>
      <c r="OXT107" s="952"/>
      <c r="OXU107" s="952"/>
      <c r="OXV107" s="952"/>
      <c r="OXW107" s="952"/>
      <c r="OXX107" s="952"/>
      <c r="OXY107" s="952"/>
      <c r="OXZ107" s="952"/>
      <c r="OYA107" s="952"/>
      <c r="OYB107" s="952"/>
      <c r="OYC107" s="952"/>
      <c r="OYD107" s="952"/>
      <c r="OYE107" s="952"/>
      <c r="OYF107" s="952"/>
      <c r="OYG107" s="952"/>
      <c r="OYH107" s="952"/>
      <c r="OYI107" s="952"/>
      <c r="OYJ107" s="952"/>
      <c r="OYK107" s="952"/>
      <c r="OYL107" s="952"/>
      <c r="OYM107" s="952"/>
      <c r="OYN107" s="952"/>
      <c r="OYO107" s="952"/>
      <c r="OYP107" s="952"/>
      <c r="OYQ107" s="952"/>
      <c r="OYR107" s="952"/>
      <c r="OYS107" s="952"/>
      <c r="OYT107" s="952"/>
      <c r="OYU107" s="952"/>
      <c r="OYV107" s="952"/>
      <c r="OYW107" s="952"/>
      <c r="OYX107" s="952"/>
      <c r="OYY107" s="952"/>
      <c r="OYZ107" s="952"/>
      <c r="OZA107" s="952"/>
      <c r="OZB107" s="952"/>
      <c r="OZC107" s="952"/>
      <c r="OZD107" s="952"/>
      <c r="OZE107" s="952"/>
      <c r="OZF107" s="952"/>
      <c r="OZG107" s="952"/>
      <c r="OZH107" s="952"/>
      <c r="OZI107" s="952"/>
      <c r="OZJ107" s="952"/>
      <c r="OZK107" s="952"/>
      <c r="OZL107" s="952"/>
      <c r="OZM107" s="952"/>
      <c r="OZN107" s="952"/>
      <c r="OZO107" s="952"/>
      <c r="OZP107" s="952"/>
      <c r="OZQ107" s="952"/>
      <c r="OZR107" s="952"/>
      <c r="OZS107" s="952"/>
      <c r="OZT107" s="952"/>
      <c r="OZU107" s="952"/>
      <c r="OZV107" s="952"/>
      <c r="OZW107" s="952"/>
      <c r="OZX107" s="952"/>
      <c r="OZY107" s="952"/>
      <c r="OZZ107" s="952"/>
      <c r="PAA107" s="952"/>
      <c r="PAB107" s="952"/>
      <c r="PAC107" s="952"/>
      <c r="PAD107" s="952"/>
      <c r="PAE107" s="952"/>
      <c r="PAF107" s="952"/>
      <c r="PAG107" s="952"/>
      <c r="PAH107" s="952"/>
      <c r="PAI107" s="952"/>
      <c r="PAJ107" s="952"/>
      <c r="PAK107" s="952"/>
      <c r="PAL107" s="952"/>
      <c r="PAM107" s="952"/>
      <c r="PAN107" s="952"/>
      <c r="PAO107" s="952"/>
      <c r="PAP107" s="952"/>
      <c r="PAQ107" s="952"/>
      <c r="PAR107" s="952"/>
      <c r="PAS107" s="952"/>
      <c r="PAT107" s="952"/>
      <c r="PAU107" s="952"/>
      <c r="PAV107" s="952"/>
      <c r="PAW107" s="952"/>
      <c r="PAX107" s="952"/>
      <c r="PAY107" s="952"/>
      <c r="PAZ107" s="952"/>
      <c r="PBA107" s="952"/>
      <c r="PBB107" s="952"/>
      <c r="PBC107" s="952"/>
      <c r="PBD107" s="952"/>
      <c r="PBE107" s="952"/>
      <c r="PBF107" s="952"/>
      <c r="PBG107" s="952"/>
      <c r="PBH107" s="952"/>
      <c r="PBI107" s="952"/>
      <c r="PBJ107" s="952"/>
      <c r="PBK107" s="952"/>
      <c r="PBL107" s="952"/>
      <c r="PBM107" s="952"/>
      <c r="PBN107" s="952"/>
      <c r="PBO107" s="952"/>
      <c r="PBP107" s="952"/>
      <c r="PBQ107" s="952"/>
      <c r="PBR107" s="952"/>
      <c r="PBS107" s="952"/>
      <c r="PBT107" s="952"/>
      <c r="PBU107" s="952"/>
      <c r="PBV107" s="952"/>
      <c r="PBW107" s="952"/>
      <c r="PBX107" s="952"/>
      <c r="PBY107" s="952"/>
      <c r="PBZ107" s="952"/>
      <c r="PCA107" s="952"/>
      <c r="PCB107" s="952"/>
      <c r="PCC107" s="952"/>
      <c r="PCD107" s="952"/>
      <c r="PCE107" s="952"/>
      <c r="PCF107" s="952"/>
      <c r="PCG107" s="952"/>
      <c r="PCH107" s="952"/>
      <c r="PCI107" s="952"/>
      <c r="PCJ107" s="952"/>
      <c r="PCK107" s="952"/>
      <c r="PCL107" s="952"/>
      <c r="PCM107" s="952"/>
      <c r="PCN107" s="952"/>
      <c r="PCO107" s="952"/>
      <c r="PCP107" s="952"/>
      <c r="PCQ107" s="952"/>
      <c r="PCR107" s="952"/>
      <c r="PCS107" s="952"/>
      <c r="PCT107" s="952"/>
      <c r="PCU107" s="952"/>
      <c r="PCV107" s="952"/>
      <c r="PCW107" s="952"/>
      <c r="PCX107" s="952"/>
      <c r="PCY107" s="952"/>
      <c r="PCZ107" s="952"/>
      <c r="PDA107" s="952"/>
      <c r="PDB107" s="952"/>
      <c r="PDC107" s="952"/>
      <c r="PDD107" s="952"/>
      <c r="PDE107" s="952"/>
      <c r="PDF107" s="952"/>
      <c r="PDG107" s="952"/>
      <c r="PDH107" s="952"/>
      <c r="PDI107" s="952"/>
      <c r="PDJ107" s="952"/>
      <c r="PDK107" s="952"/>
      <c r="PDL107" s="952"/>
      <c r="PDM107" s="952"/>
      <c r="PDN107" s="952"/>
      <c r="PDO107" s="952"/>
      <c r="PDP107" s="952"/>
      <c r="PDQ107" s="952"/>
      <c r="PDR107" s="952"/>
      <c r="PDS107" s="952"/>
      <c r="PDT107" s="952"/>
      <c r="PDU107" s="952"/>
      <c r="PDV107" s="952"/>
      <c r="PDW107" s="952"/>
      <c r="PDX107" s="952"/>
      <c r="PDY107" s="952"/>
      <c r="PDZ107" s="952"/>
      <c r="PEA107" s="952"/>
      <c r="PEB107" s="952"/>
      <c r="PEC107" s="952"/>
      <c r="PED107" s="952"/>
      <c r="PEE107" s="952"/>
      <c r="PEF107" s="952"/>
      <c r="PEG107" s="952"/>
      <c r="PEH107" s="952"/>
      <c r="PEI107" s="952"/>
      <c r="PEJ107" s="952"/>
      <c r="PEK107" s="952"/>
      <c r="PEL107" s="952"/>
      <c r="PEM107" s="952"/>
      <c r="PEN107" s="952"/>
      <c r="PEO107" s="952"/>
      <c r="PEP107" s="952"/>
      <c r="PEQ107" s="952"/>
      <c r="PER107" s="952"/>
      <c r="PES107" s="952"/>
      <c r="PET107" s="952"/>
      <c r="PEU107" s="952"/>
      <c r="PEV107" s="952"/>
      <c r="PEW107" s="952"/>
      <c r="PEX107" s="952"/>
      <c r="PEY107" s="952"/>
      <c r="PEZ107" s="952"/>
      <c r="PFA107" s="952"/>
      <c r="PFB107" s="952"/>
      <c r="PFC107" s="952"/>
      <c r="PFD107" s="952"/>
      <c r="PFE107" s="952"/>
      <c r="PFF107" s="952"/>
      <c r="PFG107" s="952"/>
      <c r="PFH107" s="952"/>
      <c r="PFI107" s="952"/>
      <c r="PFJ107" s="952"/>
      <c r="PFK107" s="952"/>
      <c r="PFL107" s="952"/>
      <c r="PFM107" s="952"/>
      <c r="PFN107" s="952"/>
      <c r="PFO107" s="952"/>
      <c r="PFP107" s="952"/>
      <c r="PFQ107" s="952"/>
      <c r="PFR107" s="952"/>
      <c r="PFS107" s="952"/>
      <c r="PFT107" s="952"/>
      <c r="PFU107" s="952"/>
      <c r="PFV107" s="952"/>
      <c r="PFW107" s="952"/>
      <c r="PFX107" s="952"/>
      <c r="PFY107" s="952"/>
      <c r="PFZ107" s="952"/>
      <c r="PGA107" s="952"/>
      <c r="PGB107" s="952"/>
      <c r="PGC107" s="952"/>
      <c r="PGD107" s="952"/>
      <c r="PGE107" s="952"/>
      <c r="PGF107" s="952"/>
      <c r="PGG107" s="952"/>
      <c r="PGH107" s="952"/>
      <c r="PGI107" s="952"/>
      <c r="PGJ107" s="952"/>
      <c r="PGK107" s="952"/>
      <c r="PGL107" s="952"/>
      <c r="PGM107" s="952"/>
      <c r="PGN107" s="952"/>
      <c r="PGO107" s="952"/>
      <c r="PGP107" s="952"/>
      <c r="PGQ107" s="952"/>
      <c r="PGR107" s="952"/>
      <c r="PGS107" s="952"/>
      <c r="PGT107" s="952"/>
      <c r="PGU107" s="952"/>
      <c r="PGV107" s="952"/>
      <c r="PGW107" s="952"/>
      <c r="PGX107" s="952"/>
      <c r="PGY107" s="952"/>
      <c r="PGZ107" s="952"/>
      <c r="PHA107" s="952"/>
      <c r="PHB107" s="952"/>
      <c r="PHC107" s="952"/>
      <c r="PHD107" s="952"/>
      <c r="PHE107" s="952"/>
      <c r="PHF107" s="952"/>
      <c r="PHG107" s="952"/>
      <c r="PHH107" s="952"/>
      <c r="PHI107" s="952"/>
      <c r="PHJ107" s="952"/>
      <c r="PHK107" s="952"/>
      <c r="PHL107" s="952"/>
      <c r="PHM107" s="952"/>
      <c r="PHN107" s="952"/>
      <c r="PHO107" s="952"/>
      <c r="PHP107" s="952"/>
      <c r="PHQ107" s="952"/>
      <c r="PHR107" s="952"/>
      <c r="PHS107" s="952"/>
      <c r="PHT107" s="952"/>
      <c r="PHU107" s="952"/>
      <c r="PHV107" s="952"/>
      <c r="PHW107" s="952"/>
      <c r="PHX107" s="952"/>
      <c r="PHY107" s="952"/>
      <c r="PHZ107" s="952"/>
      <c r="PIA107" s="952"/>
      <c r="PIB107" s="952"/>
      <c r="PIC107" s="952"/>
      <c r="PID107" s="952"/>
      <c r="PIE107" s="952"/>
      <c r="PIF107" s="952"/>
      <c r="PIG107" s="952"/>
      <c r="PIH107" s="952"/>
      <c r="PII107" s="952"/>
      <c r="PIJ107" s="952"/>
      <c r="PIK107" s="952"/>
      <c r="PIL107" s="952"/>
      <c r="PIM107" s="952"/>
      <c r="PIN107" s="952"/>
      <c r="PIO107" s="952"/>
      <c r="PIP107" s="952"/>
      <c r="PIQ107" s="952"/>
      <c r="PIR107" s="952"/>
      <c r="PIS107" s="952"/>
      <c r="PIT107" s="952"/>
      <c r="PIU107" s="952"/>
      <c r="PIV107" s="952"/>
      <c r="PIW107" s="952"/>
      <c r="PIX107" s="952"/>
      <c r="PIY107" s="952"/>
      <c r="PIZ107" s="952"/>
      <c r="PJA107" s="952"/>
      <c r="PJB107" s="952"/>
      <c r="PJC107" s="952"/>
      <c r="PJD107" s="952"/>
      <c r="PJE107" s="952"/>
      <c r="PJF107" s="952"/>
      <c r="PJG107" s="952"/>
      <c r="PJH107" s="952"/>
      <c r="PJI107" s="952"/>
      <c r="PJJ107" s="952"/>
      <c r="PJK107" s="952"/>
      <c r="PJL107" s="952"/>
      <c r="PJM107" s="952"/>
      <c r="PJN107" s="952"/>
      <c r="PJO107" s="952"/>
      <c r="PJP107" s="952"/>
      <c r="PJQ107" s="952"/>
      <c r="PJR107" s="952"/>
      <c r="PJS107" s="952"/>
      <c r="PJT107" s="952"/>
      <c r="PJU107" s="952"/>
      <c r="PJV107" s="952"/>
      <c r="PJW107" s="952"/>
      <c r="PJX107" s="952"/>
      <c r="PJY107" s="952"/>
      <c r="PJZ107" s="952"/>
      <c r="PKA107" s="952"/>
      <c r="PKB107" s="952"/>
      <c r="PKC107" s="952"/>
      <c r="PKD107" s="952"/>
      <c r="PKE107" s="952"/>
      <c r="PKF107" s="952"/>
      <c r="PKG107" s="952"/>
      <c r="PKH107" s="952"/>
      <c r="PKI107" s="952"/>
      <c r="PKJ107" s="952"/>
      <c r="PKK107" s="952"/>
      <c r="PKL107" s="952"/>
      <c r="PKM107" s="952"/>
      <c r="PKN107" s="952"/>
      <c r="PKO107" s="952"/>
      <c r="PKP107" s="952"/>
      <c r="PKQ107" s="952"/>
      <c r="PKR107" s="952"/>
      <c r="PKS107" s="952"/>
      <c r="PKT107" s="952"/>
      <c r="PKU107" s="952"/>
      <c r="PKV107" s="952"/>
      <c r="PKW107" s="952"/>
      <c r="PKX107" s="952"/>
      <c r="PKY107" s="952"/>
      <c r="PKZ107" s="952"/>
      <c r="PLA107" s="952"/>
      <c r="PLB107" s="952"/>
      <c r="PLC107" s="952"/>
      <c r="PLD107" s="952"/>
      <c r="PLE107" s="952"/>
      <c r="PLF107" s="952"/>
      <c r="PLG107" s="952"/>
      <c r="PLH107" s="952"/>
      <c r="PLI107" s="952"/>
      <c r="PLJ107" s="952"/>
      <c r="PLK107" s="952"/>
      <c r="PLL107" s="952"/>
      <c r="PLM107" s="952"/>
      <c r="PLN107" s="952"/>
      <c r="PLO107" s="952"/>
      <c r="PLP107" s="952"/>
      <c r="PLQ107" s="952"/>
      <c r="PLR107" s="952"/>
      <c r="PLS107" s="952"/>
      <c r="PLT107" s="952"/>
      <c r="PLU107" s="952"/>
      <c r="PLV107" s="952"/>
      <c r="PLW107" s="952"/>
      <c r="PLX107" s="952"/>
      <c r="PLY107" s="952"/>
      <c r="PLZ107" s="952"/>
      <c r="PMA107" s="952"/>
      <c r="PMB107" s="952"/>
      <c r="PMC107" s="952"/>
      <c r="PMD107" s="952"/>
      <c r="PME107" s="952"/>
      <c r="PMF107" s="952"/>
      <c r="PMG107" s="952"/>
      <c r="PMH107" s="952"/>
      <c r="PMI107" s="952"/>
      <c r="PMJ107" s="952"/>
      <c r="PMK107" s="952"/>
      <c r="PML107" s="952"/>
      <c r="PMM107" s="952"/>
      <c r="PMN107" s="952"/>
      <c r="PMO107" s="952"/>
      <c r="PMP107" s="952"/>
      <c r="PMQ107" s="952"/>
      <c r="PMR107" s="952"/>
      <c r="PMS107" s="952"/>
      <c r="PMT107" s="952"/>
      <c r="PMU107" s="952"/>
      <c r="PMV107" s="952"/>
      <c r="PMW107" s="952"/>
      <c r="PMX107" s="952"/>
      <c r="PMY107" s="952"/>
      <c r="PMZ107" s="952"/>
      <c r="PNA107" s="952"/>
      <c r="PNB107" s="952"/>
      <c r="PNC107" s="952"/>
      <c r="PND107" s="952"/>
      <c r="PNE107" s="952"/>
      <c r="PNF107" s="952"/>
      <c r="PNG107" s="952"/>
      <c r="PNH107" s="952"/>
      <c r="PNI107" s="952"/>
      <c r="PNJ107" s="952"/>
      <c r="PNK107" s="952"/>
      <c r="PNL107" s="952"/>
      <c r="PNM107" s="952"/>
      <c r="PNN107" s="952"/>
      <c r="PNO107" s="952"/>
      <c r="PNP107" s="952"/>
      <c r="PNQ107" s="952"/>
      <c r="PNR107" s="952"/>
      <c r="PNS107" s="952"/>
      <c r="PNT107" s="952"/>
      <c r="PNU107" s="952"/>
      <c r="PNV107" s="952"/>
      <c r="PNW107" s="952"/>
      <c r="PNX107" s="952"/>
      <c r="PNY107" s="952"/>
      <c r="PNZ107" s="952"/>
      <c r="POA107" s="952"/>
      <c r="POB107" s="952"/>
      <c r="POC107" s="952"/>
      <c r="POD107" s="952"/>
      <c r="POE107" s="952"/>
      <c r="POF107" s="952"/>
      <c r="POG107" s="952"/>
      <c r="POH107" s="952"/>
      <c r="POI107" s="952"/>
      <c r="POJ107" s="952"/>
      <c r="POK107" s="952"/>
      <c r="POL107" s="952"/>
      <c r="POM107" s="952"/>
      <c r="PON107" s="952"/>
      <c r="POO107" s="952"/>
      <c r="POP107" s="952"/>
      <c r="POQ107" s="952"/>
      <c r="POR107" s="952"/>
      <c r="POS107" s="952"/>
      <c r="POT107" s="952"/>
      <c r="POU107" s="952"/>
      <c r="POV107" s="952"/>
      <c r="POW107" s="952"/>
      <c r="POX107" s="952"/>
      <c r="POY107" s="952"/>
      <c r="POZ107" s="952"/>
      <c r="PPA107" s="952"/>
      <c r="PPB107" s="952"/>
      <c r="PPC107" s="952"/>
      <c r="PPD107" s="952"/>
      <c r="PPE107" s="952"/>
      <c r="PPF107" s="952"/>
      <c r="PPG107" s="952"/>
      <c r="PPH107" s="952"/>
      <c r="PPI107" s="952"/>
      <c r="PPJ107" s="952"/>
      <c r="PPK107" s="952"/>
      <c r="PPL107" s="952"/>
      <c r="PPM107" s="952"/>
      <c r="PPN107" s="952"/>
      <c r="PPO107" s="952"/>
      <c r="PPP107" s="952"/>
      <c r="PPQ107" s="952"/>
      <c r="PPR107" s="952"/>
      <c r="PPS107" s="952"/>
      <c r="PPT107" s="952"/>
      <c r="PPU107" s="952"/>
      <c r="PPV107" s="952"/>
      <c r="PPW107" s="952"/>
      <c r="PPX107" s="952"/>
      <c r="PPY107" s="952"/>
      <c r="PPZ107" s="952"/>
      <c r="PQA107" s="952"/>
      <c r="PQB107" s="952"/>
      <c r="PQC107" s="952"/>
      <c r="PQD107" s="952"/>
      <c r="PQE107" s="952"/>
      <c r="PQF107" s="952"/>
      <c r="PQG107" s="952"/>
      <c r="PQH107" s="952"/>
      <c r="PQI107" s="952"/>
      <c r="PQJ107" s="952"/>
      <c r="PQK107" s="952"/>
      <c r="PQL107" s="952"/>
      <c r="PQM107" s="952"/>
      <c r="PQN107" s="952"/>
      <c r="PQO107" s="952"/>
      <c r="PQP107" s="952"/>
      <c r="PQQ107" s="952"/>
      <c r="PQR107" s="952"/>
      <c r="PQS107" s="952"/>
      <c r="PQT107" s="952"/>
      <c r="PQU107" s="952"/>
      <c r="PQV107" s="952"/>
      <c r="PQW107" s="952"/>
      <c r="PQX107" s="952"/>
      <c r="PQY107" s="952"/>
      <c r="PQZ107" s="952"/>
      <c r="PRA107" s="952"/>
      <c r="PRB107" s="952"/>
      <c r="PRC107" s="952"/>
      <c r="PRD107" s="952"/>
      <c r="PRE107" s="952"/>
      <c r="PRF107" s="952"/>
      <c r="PRG107" s="952"/>
      <c r="PRH107" s="952"/>
      <c r="PRI107" s="952"/>
      <c r="PRJ107" s="952"/>
      <c r="PRK107" s="952"/>
      <c r="PRL107" s="952"/>
      <c r="PRM107" s="952"/>
      <c r="PRN107" s="952"/>
      <c r="PRO107" s="952"/>
      <c r="PRP107" s="952"/>
      <c r="PRQ107" s="952"/>
      <c r="PRR107" s="952"/>
      <c r="PRS107" s="952"/>
      <c r="PRT107" s="952"/>
      <c r="PRU107" s="952"/>
      <c r="PRV107" s="952"/>
      <c r="PRW107" s="952"/>
      <c r="PRX107" s="952"/>
      <c r="PRY107" s="952"/>
      <c r="PRZ107" s="952"/>
      <c r="PSA107" s="952"/>
      <c r="PSB107" s="952"/>
      <c r="PSC107" s="952"/>
      <c r="PSD107" s="952"/>
      <c r="PSE107" s="952"/>
      <c r="PSF107" s="952"/>
      <c r="PSG107" s="952"/>
      <c r="PSH107" s="952"/>
      <c r="PSI107" s="952"/>
      <c r="PSJ107" s="952"/>
      <c r="PSK107" s="952"/>
      <c r="PSL107" s="952"/>
      <c r="PSM107" s="952"/>
      <c r="PSN107" s="952"/>
      <c r="PSO107" s="952"/>
      <c r="PSP107" s="952"/>
      <c r="PSQ107" s="952"/>
      <c r="PSR107" s="952"/>
      <c r="PSS107" s="952"/>
      <c r="PST107" s="952"/>
      <c r="PSU107" s="952"/>
      <c r="PSV107" s="952"/>
      <c r="PSW107" s="952"/>
      <c r="PSX107" s="952"/>
      <c r="PSY107" s="952"/>
      <c r="PSZ107" s="952"/>
      <c r="PTA107" s="952"/>
      <c r="PTB107" s="952"/>
      <c r="PTC107" s="952"/>
      <c r="PTD107" s="952"/>
      <c r="PTE107" s="952"/>
      <c r="PTF107" s="952"/>
      <c r="PTG107" s="952"/>
      <c r="PTH107" s="952"/>
      <c r="PTI107" s="952"/>
      <c r="PTJ107" s="952"/>
      <c r="PTK107" s="952"/>
      <c r="PTL107" s="952"/>
      <c r="PTM107" s="952"/>
      <c r="PTN107" s="952"/>
      <c r="PTO107" s="952"/>
      <c r="PTP107" s="952"/>
      <c r="PTQ107" s="952"/>
      <c r="PTR107" s="952"/>
      <c r="PTS107" s="952"/>
      <c r="PTT107" s="952"/>
      <c r="PTU107" s="952"/>
      <c r="PTV107" s="952"/>
      <c r="PTW107" s="952"/>
      <c r="PTX107" s="952"/>
      <c r="PTY107" s="952"/>
      <c r="PTZ107" s="952"/>
      <c r="PUA107" s="952"/>
      <c r="PUB107" s="952"/>
      <c r="PUC107" s="952"/>
      <c r="PUD107" s="952"/>
      <c r="PUE107" s="952"/>
      <c r="PUF107" s="952"/>
      <c r="PUG107" s="952"/>
      <c r="PUH107" s="952"/>
      <c r="PUI107" s="952"/>
      <c r="PUJ107" s="952"/>
      <c r="PUK107" s="952"/>
      <c r="PUL107" s="952"/>
      <c r="PUM107" s="952"/>
      <c r="PUN107" s="952"/>
      <c r="PUO107" s="952"/>
      <c r="PUP107" s="952"/>
      <c r="PUQ107" s="952"/>
      <c r="PUR107" s="952"/>
      <c r="PUS107" s="952"/>
      <c r="PUT107" s="952"/>
      <c r="PUU107" s="952"/>
      <c r="PUV107" s="952"/>
      <c r="PUW107" s="952"/>
      <c r="PUX107" s="952"/>
      <c r="PUY107" s="952"/>
      <c r="PUZ107" s="952"/>
      <c r="PVA107" s="952"/>
      <c r="PVB107" s="952"/>
      <c r="PVC107" s="952"/>
      <c r="PVD107" s="952"/>
      <c r="PVE107" s="952"/>
      <c r="PVF107" s="952"/>
      <c r="PVG107" s="952"/>
      <c r="PVH107" s="952"/>
      <c r="PVI107" s="952"/>
      <c r="PVJ107" s="952"/>
      <c r="PVK107" s="952"/>
      <c r="PVL107" s="952"/>
      <c r="PVM107" s="952"/>
      <c r="PVN107" s="952"/>
      <c r="PVO107" s="952"/>
      <c r="PVP107" s="952"/>
      <c r="PVQ107" s="952"/>
      <c r="PVR107" s="952"/>
      <c r="PVS107" s="952"/>
      <c r="PVT107" s="952"/>
      <c r="PVU107" s="952"/>
      <c r="PVV107" s="952"/>
      <c r="PVW107" s="952"/>
      <c r="PVX107" s="952"/>
      <c r="PVY107" s="952"/>
      <c r="PVZ107" s="952"/>
      <c r="PWA107" s="952"/>
      <c r="PWB107" s="952"/>
      <c r="PWC107" s="952"/>
      <c r="PWD107" s="952"/>
      <c r="PWE107" s="952"/>
      <c r="PWF107" s="952"/>
      <c r="PWG107" s="952"/>
      <c r="PWH107" s="952"/>
      <c r="PWI107" s="952"/>
      <c r="PWJ107" s="952"/>
      <c r="PWK107" s="952"/>
      <c r="PWL107" s="952"/>
      <c r="PWM107" s="952"/>
      <c r="PWN107" s="952"/>
      <c r="PWO107" s="952"/>
      <c r="PWP107" s="952"/>
      <c r="PWQ107" s="952"/>
      <c r="PWR107" s="952"/>
      <c r="PWS107" s="952"/>
      <c r="PWT107" s="952"/>
      <c r="PWU107" s="952"/>
      <c r="PWV107" s="952"/>
      <c r="PWW107" s="952"/>
      <c r="PWX107" s="952"/>
      <c r="PWY107" s="952"/>
      <c r="PWZ107" s="952"/>
      <c r="PXA107" s="952"/>
      <c r="PXB107" s="952"/>
      <c r="PXC107" s="952"/>
      <c r="PXD107" s="952"/>
      <c r="PXE107" s="952"/>
      <c r="PXF107" s="952"/>
      <c r="PXG107" s="952"/>
      <c r="PXH107" s="952"/>
      <c r="PXI107" s="952"/>
      <c r="PXJ107" s="952"/>
      <c r="PXK107" s="952"/>
      <c r="PXL107" s="952"/>
      <c r="PXM107" s="952"/>
      <c r="PXN107" s="952"/>
      <c r="PXO107" s="952"/>
      <c r="PXP107" s="952"/>
      <c r="PXQ107" s="952"/>
      <c r="PXR107" s="952"/>
      <c r="PXS107" s="952"/>
      <c r="PXT107" s="952"/>
      <c r="PXU107" s="952"/>
      <c r="PXV107" s="952"/>
      <c r="PXW107" s="952"/>
      <c r="PXX107" s="952"/>
      <c r="PXY107" s="952"/>
      <c r="PXZ107" s="952"/>
      <c r="PYA107" s="952"/>
      <c r="PYB107" s="952"/>
      <c r="PYC107" s="952"/>
      <c r="PYD107" s="952"/>
      <c r="PYE107" s="952"/>
      <c r="PYF107" s="952"/>
      <c r="PYG107" s="952"/>
      <c r="PYH107" s="952"/>
      <c r="PYI107" s="952"/>
      <c r="PYJ107" s="952"/>
      <c r="PYK107" s="952"/>
      <c r="PYL107" s="952"/>
      <c r="PYM107" s="952"/>
      <c r="PYN107" s="952"/>
      <c r="PYO107" s="952"/>
      <c r="PYP107" s="952"/>
      <c r="PYQ107" s="952"/>
      <c r="PYR107" s="952"/>
      <c r="PYS107" s="952"/>
      <c r="PYT107" s="952"/>
      <c r="PYU107" s="952"/>
      <c r="PYV107" s="952"/>
      <c r="PYW107" s="952"/>
      <c r="PYX107" s="952"/>
      <c r="PYY107" s="952"/>
      <c r="PYZ107" s="952"/>
      <c r="PZA107" s="952"/>
      <c r="PZB107" s="952"/>
      <c r="PZC107" s="952"/>
      <c r="PZD107" s="952"/>
      <c r="PZE107" s="952"/>
      <c r="PZF107" s="952"/>
      <c r="PZG107" s="952"/>
      <c r="PZH107" s="952"/>
      <c r="PZI107" s="952"/>
      <c r="PZJ107" s="952"/>
      <c r="PZK107" s="952"/>
      <c r="PZL107" s="952"/>
      <c r="PZM107" s="952"/>
      <c r="PZN107" s="952"/>
      <c r="PZO107" s="952"/>
      <c r="PZP107" s="952"/>
      <c r="PZQ107" s="952"/>
      <c r="PZR107" s="952"/>
      <c r="PZS107" s="952"/>
      <c r="PZT107" s="952"/>
      <c r="PZU107" s="952"/>
      <c r="PZV107" s="952"/>
      <c r="PZW107" s="952"/>
      <c r="PZX107" s="952"/>
      <c r="PZY107" s="952"/>
      <c r="PZZ107" s="952"/>
      <c r="QAA107" s="952"/>
      <c r="QAB107" s="952"/>
      <c r="QAC107" s="952"/>
      <c r="QAD107" s="952"/>
      <c r="QAE107" s="952"/>
      <c r="QAF107" s="952"/>
      <c r="QAG107" s="952"/>
      <c r="QAH107" s="952"/>
      <c r="QAI107" s="952"/>
      <c r="QAJ107" s="952"/>
      <c r="QAK107" s="952"/>
      <c r="QAL107" s="952"/>
      <c r="QAM107" s="952"/>
      <c r="QAN107" s="952"/>
      <c r="QAO107" s="952"/>
      <c r="QAP107" s="952"/>
      <c r="QAQ107" s="952"/>
      <c r="QAR107" s="952"/>
      <c r="QAS107" s="952"/>
      <c r="QAT107" s="952"/>
      <c r="QAU107" s="952"/>
      <c r="QAV107" s="952"/>
      <c r="QAW107" s="952"/>
      <c r="QAX107" s="952"/>
      <c r="QAY107" s="952"/>
      <c r="QAZ107" s="952"/>
      <c r="QBA107" s="952"/>
      <c r="QBB107" s="952"/>
      <c r="QBC107" s="952"/>
      <c r="QBD107" s="952"/>
      <c r="QBE107" s="952"/>
      <c r="QBF107" s="952"/>
      <c r="QBG107" s="952"/>
      <c r="QBH107" s="952"/>
      <c r="QBI107" s="952"/>
      <c r="QBJ107" s="952"/>
      <c r="QBK107" s="952"/>
      <c r="QBL107" s="952"/>
      <c r="QBM107" s="952"/>
      <c r="QBN107" s="952"/>
      <c r="QBO107" s="952"/>
      <c r="QBP107" s="952"/>
      <c r="QBQ107" s="952"/>
      <c r="QBR107" s="952"/>
      <c r="QBS107" s="952"/>
      <c r="QBT107" s="952"/>
      <c r="QBU107" s="952"/>
      <c r="QBV107" s="952"/>
      <c r="QBW107" s="952"/>
      <c r="QBX107" s="952"/>
      <c r="QBY107" s="952"/>
      <c r="QBZ107" s="952"/>
      <c r="QCA107" s="952"/>
      <c r="QCB107" s="952"/>
      <c r="QCC107" s="952"/>
      <c r="QCD107" s="952"/>
      <c r="QCE107" s="952"/>
      <c r="QCF107" s="952"/>
      <c r="QCG107" s="952"/>
      <c r="QCH107" s="952"/>
      <c r="QCI107" s="952"/>
      <c r="QCJ107" s="952"/>
      <c r="QCK107" s="952"/>
      <c r="QCL107" s="952"/>
      <c r="QCM107" s="952"/>
      <c r="QCN107" s="952"/>
      <c r="QCO107" s="952"/>
      <c r="QCP107" s="952"/>
      <c r="QCQ107" s="952"/>
      <c r="QCR107" s="952"/>
      <c r="QCS107" s="952"/>
      <c r="QCT107" s="952"/>
      <c r="QCU107" s="952"/>
      <c r="QCV107" s="952"/>
      <c r="QCW107" s="952"/>
      <c r="QCX107" s="952"/>
      <c r="QCY107" s="952"/>
      <c r="QCZ107" s="952"/>
      <c r="QDA107" s="952"/>
      <c r="QDB107" s="952"/>
      <c r="QDC107" s="952"/>
      <c r="QDD107" s="952"/>
      <c r="QDE107" s="952"/>
      <c r="QDF107" s="952"/>
      <c r="QDG107" s="952"/>
      <c r="QDH107" s="952"/>
      <c r="QDI107" s="952"/>
      <c r="QDJ107" s="952"/>
      <c r="QDK107" s="952"/>
      <c r="QDL107" s="952"/>
      <c r="QDM107" s="952"/>
      <c r="QDN107" s="952"/>
      <c r="QDO107" s="952"/>
      <c r="QDP107" s="952"/>
      <c r="QDQ107" s="952"/>
      <c r="QDR107" s="952"/>
      <c r="QDS107" s="952"/>
      <c r="QDT107" s="952"/>
      <c r="QDU107" s="952"/>
      <c r="QDV107" s="952"/>
      <c r="QDW107" s="952"/>
      <c r="QDX107" s="952"/>
      <c r="QDY107" s="952"/>
      <c r="QDZ107" s="952"/>
      <c r="QEA107" s="952"/>
      <c r="QEB107" s="952"/>
      <c r="QEC107" s="952"/>
      <c r="QED107" s="952"/>
      <c r="QEE107" s="952"/>
      <c r="QEF107" s="952"/>
      <c r="QEG107" s="952"/>
      <c r="QEH107" s="952"/>
      <c r="QEI107" s="952"/>
      <c r="QEJ107" s="952"/>
      <c r="QEK107" s="952"/>
      <c r="QEL107" s="952"/>
      <c r="QEM107" s="952"/>
      <c r="QEN107" s="952"/>
      <c r="QEO107" s="952"/>
      <c r="QEP107" s="952"/>
      <c r="QEQ107" s="952"/>
      <c r="QER107" s="952"/>
      <c r="QES107" s="952"/>
      <c r="QET107" s="952"/>
      <c r="QEU107" s="952"/>
      <c r="QEV107" s="952"/>
      <c r="QEW107" s="952"/>
      <c r="QEX107" s="952"/>
      <c r="QEY107" s="952"/>
      <c r="QEZ107" s="952"/>
      <c r="QFA107" s="952"/>
      <c r="QFB107" s="952"/>
      <c r="QFC107" s="952"/>
      <c r="QFD107" s="952"/>
      <c r="QFE107" s="952"/>
      <c r="QFF107" s="952"/>
      <c r="QFG107" s="952"/>
      <c r="QFH107" s="952"/>
      <c r="QFI107" s="952"/>
      <c r="QFJ107" s="952"/>
      <c r="QFK107" s="952"/>
      <c r="QFL107" s="952"/>
      <c r="QFM107" s="952"/>
      <c r="QFN107" s="952"/>
      <c r="QFO107" s="952"/>
      <c r="QFP107" s="952"/>
      <c r="QFQ107" s="952"/>
      <c r="QFR107" s="952"/>
      <c r="QFS107" s="952"/>
      <c r="QFT107" s="952"/>
      <c r="QFU107" s="952"/>
      <c r="QFV107" s="952"/>
      <c r="QFW107" s="952"/>
      <c r="QFX107" s="952"/>
      <c r="QFY107" s="952"/>
      <c r="QFZ107" s="952"/>
      <c r="QGA107" s="952"/>
      <c r="QGB107" s="952"/>
      <c r="QGC107" s="952"/>
      <c r="QGD107" s="952"/>
      <c r="QGE107" s="952"/>
      <c r="QGF107" s="952"/>
      <c r="QGG107" s="952"/>
      <c r="QGH107" s="952"/>
      <c r="QGI107" s="952"/>
      <c r="QGJ107" s="952"/>
      <c r="QGK107" s="952"/>
      <c r="QGL107" s="952"/>
      <c r="QGM107" s="952"/>
      <c r="QGN107" s="952"/>
      <c r="QGO107" s="952"/>
      <c r="QGP107" s="952"/>
      <c r="QGQ107" s="952"/>
      <c r="QGR107" s="952"/>
      <c r="QGS107" s="952"/>
      <c r="QGT107" s="952"/>
      <c r="QGU107" s="952"/>
      <c r="QGV107" s="952"/>
      <c r="QGW107" s="952"/>
      <c r="QGX107" s="952"/>
      <c r="QGY107" s="952"/>
      <c r="QGZ107" s="952"/>
      <c r="QHA107" s="952"/>
      <c r="QHB107" s="952"/>
      <c r="QHC107" s="952"/>
      <c r="QHD107" s="952"/>
      <c r="QHE107" s="952"/>
      <c r="QHF107" s="952"/>
      <c r="QHG107" s="952"/>
      <c r="QHH107" s="952"/>
      <c r="QHI107" s="952"/>
      <c r="QHJ107" s="952"/>
      <c r="QHK107" s="952"/>
      <c r="QHL107" s="952"/>
      <c r="QHM107" s="952"/>
      <c r="QHN107" s="952"/>
      <c r="QHO107" s="952"/>
      <c r="QHP107" s="952"/>
      <c r="QHQ107" s="952"/>
      <c r="QHR107" s="952"/>
      <c r="QHS107" s="952"/>
      <c r="QHT107" s="952"/>
      <c r="QHU107" s="952"/>
      <c r="QHV107" s="952"/>
      <c r="QHW107" s="952"/>
      <c r="QHX107" s="952"/>
      <c r="QHY107" s="952"/>
      <c r="QHZ107" s="952"/>
      <c r="QIA107" s="952"/>
      <c r="QIB107" s="952"/>
      <c r="QIC107" s="952"/>
      <c r="QID107" s="952"/>
      <c r="QIE107" s="952"/>
      <c r="QIF107" s="952"/>
      <c r="QIG107" s="952"/>
      <c r="QIH107" s="952"/>
      <c r="QII107" s="952"/>
      <c r="QIJ107" s="952"/>
      <c r="QIK107" s="952"/>
      <c r="QIL107" s="952"/>
      <c r="QIM107" s="952"/>
      <c r="QIN107" s="952"/>
      <c r="QIO107" s="952"/>
      <c r="QIP107" s="952"/>
      <c r="QIQ107" s="952"/>
      <c r="QIR107" s="952"/>
      <c r="QIS107" s="952"/>
      <c r="QIT107" s="952"/>
      <c r="QIU107" s="952"/>
      <c r="QIV107" s="952"/>
      <c r="QIW107" s="952"/>
      <c r="QIX107" s="952"/>
      <c r="QIY107" s="952"/>
      <c r="QIZ107" s="952"/>
      <c r="QJA107" s="952"/>
      <c r="QJB107" s="952"/>
      <c r="QJC107" s="952"/>
      <c r="QJD107" s="952"/>
      <c r="QJE107" s="952"/>
      <c r="QJF107" s="952"/>
      <c r="QJG107" s="952"/>
      <c r="QJH107" s="952"/>
      <c r="QJI107" s="952"/>
      <c r="QJJ107" s="952"/>
      <c r="QJK107" s="952"/>
      <c r="QJL107" s="952"/>
      <c r="QJM107" s="952"/>
      <c r="QJN107" s="952"/>
      <c r="QJO107" s="952"/>
      <c r="QJP107" s="952"/>
      <c r="QJQ107" s="952"/>
      <c r="QJR107" s="952"/>
      <c r="QJS107" s="952"/>
      <c r="QJT107" s="952"/>
      <c r="QJU107" s="952"/>
      <c r="QJV107" s="952"/>
      <c r="QJW107" s="952"/>
      <c r="QJX107" s="952"/>
      <c r="QJY107" s="952"/>
      <c r="QJZ107" s="952"/>
      <c r="QKA107" s="952"/>
      <c r="QKB107" s="952"/>
      <c r="QKC107" s="952"/>
      <c r="QKD107" s="952"/>
      <c r="QKE107" s="952"/>
      <c r="QKF107" s="952"/>
      <c r="QKG107" s="952"/>
      <c r="QKH107" s="952"/>
      <c r="QKI107" s="952"/>
      <c r="QKJ107" s="952"/>
      <c r="QKK107" s="952"/>
      <c r="QKL107" s="952"/>
      <c r="QKM107" s="952"/>
      <c r="QKN107" s="952"/>
      <c r="QKO107" s="952"/>
      <c r="QKP107" s="952"/>
      <c r="QKQ107" s="952"/>
      <c r="QKR107" s="952"/>
      <c r="QKS107" s="952"/>
      <c r="QKT107" s="952"/>
      <c r="QKU107" s="952"/>
      <c r="QKV107" s="952"/>
      <c r="QKW107" s="952"/>
      <c r="QKX107" s="952"/>
      <c r="QKY107" s="952"/>
      <c r="QKZ107" s="952"/>
      <c r="QLA107" s="952"/>
      <c r="QLB107" s="952"/>
      <c r="QLC107" s="952"/>
      <c r="QLD107" s="952"/>
      <c r="QLE107" s="952"/>
      <c r="QLF107" s="952"/>
      <c r="QLG107" s="952"/>
      <c r="QLH107" s="952"/>
      <c r="QLI107" s="952"/>
      <c r="QLJ107" s="952"/>
      <c r="QLK107" s="952"/>
      <c r="QLL107" s="952"/>
      <c r="QLM107" s="952"/>
      <c r="QLN107" s="952"/>
      <c r="QLO107" s="952"/>
      <c r="QLP107" s="952"/>
      <c r="QLQ107" s="952"/>
      <c r="QLR107" s="952"/>
      <c r="QLS107" s="952"/>
      <c r="QLT107" s="952"/>
      <c r="QLU107" s="952"/>
      <c r="QLV107" s="952"/>
      <c r="QLW107" s="952"/>
      <c r="QLX107" s="952"/>
      <c r="QLY107" s="952"/>
      <c r="QLZ107" s="952"/>
      <c r="QMA107" s="952"/>
      <c r="QMB107" s="952"/>
      <c r="QMC107" s="952"/>
      <c r="QMD107" s="952"/>
      <c r="QME107" s="952"/>
      <c r="QMF107" s="952"/>
      <c r="QMG107" s="952"/>
      <c r="QMH107" s="952"/>
      <c r="QMI107" s="952"/>
      <c r="QMJ107" s="952"/>
      <c r="QMK107" s="952"/>
      <c r="QML107" s="952"/>
      <c r="QMM107" s="952"/>
      <c r="QMN107" s="952"/>
      <c r="QMO107" s="952"/>
      <c r="QMP107" s="952"/>
      <c r="QMQ107" s="952"/>
      <c r="QMR107" s="952"/>
      <c r="QMS107" s="952"/>
      <c r="QMT107" s="952"/>
      <c r="QMU107" s="952"/>
      <c r="QMV107" s="952"/>
      <c r="QMW107" s="952"/>
      <c r="QMX107" s="952"/>
      <c r="QMY107" s="952"/>
      <c r="QMZ107" s="952"/>
      <c r="QNA107" s="952"/>
      <c r="QNB107" s="952"/>
      <c r="QNC107" s="952"/>
      <c r="QND107" s="952"/>
      <c r="QNE107" s="952"/>
      <c r="QNF107" s="952"/>
      <c r="QNG107" s="952"/>
      <c r="QNH107" s="952"/>
      <c r="QNI107" s="952"/>
      <c r="QNJ107" s="952"/>
      <c r="QNK107" s="952"/>
      <c r="QNL107" s="952"/>
      <c r="QNM107" s="952"/>
      <c r="QNN107" s="952"/>
      <c r="QNO107" s="952"/>
      <c r="QNP107" s="952"/>
      <c r="QNQ107" s="952"/>
      <c r="QNR107" s="952"/>
      <c r="QNS107" s="952"/>
      <c r="QNT107" s="952"/>
      <c r="QNU107" s="952"/>
      <c r="QNV107" s="952"/>
      <c r="QNW107" s="952"/>
      <c r="QNX107" s="952"/>
      <c r="QNY107" s="952"/>
      <c r="QNZ107" s="952"/>
      <c r="QOA107" s="952"/>
      <c r="QOB107" s="952"/>
      <c r="QOC107" s="952"/>
      <c r="QOD107" s="952"/>
      <c r="QOE107" s="952"/>
      <c r="QOF107" s="952"/>
      <c r="QOG107" s="952"/>
      <c r="QOH107" s="952"/>
      <c r="QOI107" s="952"/>
      <c r="QOJ107" s="952"/>
      <c r="QOK107" s="952"/>
      <c r="QOL107" s="952"/>
      <c r="QOM107" s="952"/>
      <c r="QON107" s="952"/>
      <c r="QOO107" s="952"/>
      <c r="QOP107" s="952"/>
      <c r="QOQ107" s="952"/>
      <c r="QOR107" s="952"/>
      <c r="QOS107" s="952"/>
      <c r="QOT107" s="952"/>
      <c r="QOU107" s="952"/>
      <c r="QOV107" s="952"/>
      <c r="QOW107" s="952"/>
      <c r="QOX107" s="952"/>
      <c r="QOY107" s="952"/>
      <c r="QOZ107" s="952"/>
      <c r="QPA107" s="952"/>
      <c r="QPB107" s="952"/>
      <c r="QPC107" s="952"/>
      <c r="QPD107" s="952"/>
      <c r="QPE107" s="952"/>
      <c r="QPF107" s="952"/>
      <c r="QPG107" s="952"/>
      <c r="QPH107" s="952"/>
      <c r="QPI107" s="952"/>
      <c r="QPJ107" s="952"/>
      <c r="QPK107" s="952"/>
      <c r="QPL107" s="952"/>
      <c r="QPM107" s="952"/>
      <c r="QPN107" s="952"/>
      <c r="QPO107" s="952"/>
      <c r="QPP107" s="952"/>
      <c r="QPQ107" s="952"/>
      <c r="QPR107" s="952"/>
      <c r="QPS107" s="952"/>
      <c r="QPT107" s="952"/>
      <c r="QPU107" s="952"/>
      <c r="QPV107" s="952"/>
      <c r="QPW107" s="952"/>
      <c r="QPX107" s="952"/>
      <c r="QPY107" s="952"/>
      <c r="QPZ107" s="952"/>
      <c r="QQA107" s="952"/>
      <c r="QQB107" s="952"/>
      <c r="QQC107" s="952"/>
      <c r="QQD107" s="952"/>
      <c r="QQE107" s="952"/>
      <c r="QQF107" s="952"/>
      <c r="QQG107" s="952"/>
      <c r="QQH107" s="952"/>
      <c r="QQI107" s="952"/>
      <c r="QQJ107" s="952"/>
      <c r="QQK107" s="952"/>
      <c r="QQL107" s="952"/>
      <c r="QQM107" s="952"/>
      <c r="QQN107" s="952"/>
      <c r="QQO107" s="952"/>
      <c r="QQP107" s="952"/>
      <c r="QQQ107" s="952"/>
      <c r="QQR107" s="952"/>
      <c r="QQS107" s="952"/>
      <c r="QQT107" s="952"/>
      <c r="QQU107" s="952"/>
      <c r="QQV107" s="952"/>
      <c r="QQW107" s="952"/>
      <c r="QQX107" s="952"/>
      <c r="QQY107" s="952"/>
      <c r="QQZ107" s="952"/>
      <c r="QRA107" s="952"/>
      <c r="QRB107" s="952"/>
      <c r="QRC107" s="952"/>
      <c r="QRD107" s="952"/>
      <c r="QRE107" s="952"/>
      <c r="QRF107" s="952"/>
      <c r="QRG107" s="952"/>
      <c r="QRH107" s="952"/>
      <c r="QRI107" s="952"/>
      <c r="QRJ107" s="952"/>
      <c r="QRK107" s="952"/>
      <c r="QRL107" s="952"/>
      <c r="QRM107" s="952"/>
      <c r="QRN107" s="952"/>
      <c r="QRO107" s="952"/>
      <c r="QRP107" s="952"/>
      <c r="QRQ107" s="952"/>
      <c r="QRR107" s="952"/>
      <c r="QRS107" s="952"/>
      <c r="QRT107" s="952"/>
      <c r="QRU107" s="952"/>
      <c r="QRV107" s="952"/>
      <c r="QRW107" s="952"/>
      <c r="QRX107" s="952"/>
      <c r="QRY107" s="952"/>
      <c r="QRZ107" s="952"/>
      <c r="QSA107" s="952"/>
      <c r="QSB107" s="952"/>
      <c r="QSC107" s="952"/>
      <c r="QSD107" s="952"/>
      <c r="QSE107" s="952"/>
      <c r="QSF107" s="952"/>
      <c r="QSG107" s="952"/>
      <c r="QSH107" s="952"/>
      <c r="QSI107" s="952"/>
      <c r="QSJ107" s="952"/>
      <c r="QSK107" s="952"/>
      <c r="QSL107" s="952"/>
      <c r="QSM107" s="952"/>
      <c r="QSN107" s="952"/>
      <c r="QSO107" s="952"/>
      <c r="QSP107" s="952"/>
      <c r="QSQ107" s="952"/>
      <c r="QSR107" s="952"/>
      <c r="QSS107" s="952"/>
      <c r="QST107" s="952"/>
      <c r="QSU107" s="952"/>
      <c r="QSV107" s="952"/>
      <c r="QSW107" s="952"/>
      <c r="QSX107" s="952"/>
      <c r="QSY107" s="952"/>
      <c r="QSZ107" s="952"/>
      <c r="QTA107" s="952"/>
      <c r="QTB107" s="952"/>
      <c r="QTC107" s="952"/>
      <c r="QTD107" s="952"/>
      <c r="QTE107" s="952"/>
      <c r="QTF107" s="952"/>
      <c r="QTG107" s="952"/>
      <c r="QTH107" s="952"/>
      <c r="QTI107" s="952"/>
      <c r="QTJ107" s="952"/>
      <c r="QTK107" s="952"/>
      <c r="QTL107" s="952"/>
      <c r="QTM107" s="952"/>
      <c r="QTN107" s="952"/>
      <c r="QTO107" s="952"/>
      <c r="QTP107" s="952"/>
      <c r="QTQ107" s="952"/>
      <c r="QTR107" s="952"/>
      <c r="QTS107" s="952"/>
      <c r="QTT107" s="952"/>
      <c r="QTU107" s="952"/>
      <c r="QTV107" s="952"/>
      <c r="QTW107" s="952"/>
      <c r="QTX107" s="952"/>
      <c r="QTY107" s="952"/>
      <c r="QTZ107" s="952"/>
      <c r="QUA107" s="952"/>
      <c r="QUB107" s="952"/>
      <c r="QUC107" s="952"/>
      <c r="QUD107" s="952"/>
      <c r="QUE107" s="952"/>
      <c r="QUF107" s="952"/>
      <c r="QUG107" s="952"/>
      <c r="QUH107" s="952"/>
      <c r="QUI107" s="952"/>
      <c r="QUJ107" s="952"/>
      <c r="QUK107" s="952"/>
      <c r="QUL107" s="952"/>
      <c r="QUM107" s="952"/>
      <c r="QUN107" s="952"/>
      <c r="QUO107" s="952"/>
      <c r="QUP107" s="952"/>
      <c r="QUQ107" s="952"/>
      <c r="QUR107" s="952"/>
      <c r="QUS107" s="952"/>
      <c r="QUT107" s="952"/>
      <c r="QUU107" s="952"/>
      <c r="QUV107" s="952"/>
      <c r="QUW107" s="952"/>
      <c r="QUX107" s="952"/>
      <c r="QUY107" s="952"/>
      <c r="QUZ107" s="952"/>
      <c r="QVA107" s="952"/>
      <c r="QVB107" s="952"/>
      <c r="QVC107" s="952"/>
      <c r="QVD107" s="952"/>
      <c r="QVE107" s="952"/>
      <c r="QVF107" s="952"/>
      <c r="QVG107" s="952"/>
      <c r="QVH107" s="952"/>
      <c r="QVI107" s="952"/>
      <c r="QVJ107" s="952"/>
      <c r="QVK107" s="952"/>
      <c r="QVL107" s="952"/>
      <c r="QVM107" s="952"/>
      <c r="QVN107" s="952"/>
      <c r="QVO107" s="952"/>
      <c r="QVP107" s="952"/>
      <c r="QVQ107" s="952"/>
      <c r="QVR107" s="952"/>
      <c r="QVS107" s="952"/>
      <c r="QVT107" s="952"/>
      <c r="QVU107" s="952"/>
      <c r="QVV107" s="952"/>
      <c r="QVW107" s="952"/>
      <c r="QVX107" s="952"/>
      <c r="QVY107" s="952"/>
      <c r="QVZ107" s="952"/>
      <c r="QWA107" s="952"/>
      <c r="QWB107" s="952"/>
      <c r="QWC107" s="952"/>
      <c r="QWD107" s="952"/>
      <c r="QWE107" s="952"/>
      <c r="QWF107" s="952"/>
      <c r="QWG107" s="952"/>
      <c r="QWH107" s="952"/>
      <c r="QWI107" s="952"/>
      <c r="QWJ107" s="952"/>
      <c r="QWK107" s="952"/>
      <c r="QWL107" s="952"/>
      <c r="QWM107" s="952"/>
      <c r="QWN107" s="952"/>
      <c r="QWO107" s="952"/>
      <c r="QWP107" s="952"/>
      <c r="QWQ107" s="952"/>
      <c r="QWR107" s="952"/>
      <c r="QWS107" s="952"/>
      <c r="QWT107" s="952"/>
      <c r="QWU107" s="952"/>
      <c r="QWV107" s="952"/>
      <c r="QWW107" s="952"/>
      <c r="QWX107" s="952"/>
      <c r="QWY107" s="952"/>
      <c r="QWZ107" s="952"/>
      <c r="QXA107" s="952"/>
      <c r="QXB107" s="952"/>
      <c r="QXC107" s="952"/>
      <c r="QXD107" s="952"/>
      <c r="QXE107" s="952"/>
      <c r="QXF107" s="952"/>
      <c r="QXG107" s="952"/>
      <c r="QXH107" s="952"/>
      <c r="QXI107" s="952"/>
      <c r="QXJ107" s="952"/>
      <c r="QXK107" s="952"/>
      <c r="QXL107" s="952"/>
      <c r="QXM107" s="952"/>
      <c r="QXN107" s="952"/>
      <c r="QXO107" s="952"/>
      <c r="QXP107" s="952"/>
      <c r="QXQ107" s="952"/>
      <c r="QXR107" s="952"/>
      <c r="QXS107" s="952"/>
      <c r="QXT107" s="952"/>
      <c r="QXU107" s="952"/>
      <c r="QXV107" s="952"/>
      <c r="QXW107" s="952"/>
      <c r="QXX107" s="952"/>
      <c r="QXY107" s="952"/>
      <c r="QXZ107" s="952"/>
      <c r="QYA107" s="952"/>
      <c r="QYB107" s="952"/>
      <c r="QYC107" s="952"/>
      <c r="QYD107" s="952"/>
      <c r="QYE107" s="952"/>
      <c r="QYF107" s="952"/>
      <c r="QYG107" s="952"/>
      <c r="QYH107" s="952"/>
      <c r="QYI107" s="952"/>
      <c r="QYJ107" s="952"/>
      <c r="QYK107" s="952"/>
      <c r="QYL107" s="952"/>
      <c r="QYM107" s="952"/>
      <c r="QYN107" s="952"/>
      <c r="QYO107" s="952"/>
      <c r="QYP107" s="952"/>
      <c r="QYQ107" s="952"/>
      <c r="QYR107" s="952"/>
      <c r="QYS107" s="952"/>
      <c r="QYT107" s="952"/>
      <c r="QYU107" s="952"/>
      <c r="QYV107" s="952"/>
      <c r="QYW107" s="952"/>
      <c r="QYX107" s="952"/>
      <c r="QYY107" s="952"/>
      <c r="QYZ107" s="952"/>
      <c r="QZA107" s="952"/>
      <c r="QZB107" s="952"/>
      <c r="QZC107" s="952"/>
      <c r="QZD107" s="952"/>
      <c r="QZE107" s="952"/>
      <c r="QZF107" s="952"/>
      <c r="QZG107" s="952"/>
      <c r="QZH107" s="952"/>
      <c r="QZI107" s="952"/>
      <c r="QZJ107" s="952"/>
      <c r="QZK107" s="952"/>
      <c r="QZL107" s="952"/>
      <c r="QZM107" s="952"/>
      <c r="QZN107" s="952"/>
      <c r="QZO107" s="952"/>
      <c r="QZP107" s="952"/>
      <c r="QZQ107" s="952"/>
      <c r="QZR107" s="952"/>
      <c r="QZS107" s="952"/>
      <c r="QZT107" s="952"/>
      <c r="QZU107" s="952"/>
      <c r="QZV107" s="952"/>
      <c r="QZW107" s="952"/>
      <c r="QZX107" s="952"/>
      <c r="QZY107" s="952"/>
      <c r="QZZ107" s="952"/>
      <c r="RAA107" s="952"/>
      <c r="RAB107" s="952"/>
      <c r="RAC107" s="952"/>
      <c r="RAD107" s="952"/>
      <c r="RAE107" s="952"/>
      <c r="RAF107" s="952"/>
      <c r="RAG107" s="952"/>
      <c r="RAH107" s="952"/>
      <c r="RAI107" s="952"/>
      <c r="RAJ107" s="952"/>
      <c r="RAK107" s="952"/>
      <c r="RAL107" s="952"/>
      <c r="RAM107" s="952"/>
      <c r="RAN107" s="952"/>
      <c r="RAO107" s="952"/>
      <c r="RAP107" s="952"/>
      <c r="RAQ107" s="952"/>
      <c r="RAR107" s="952"/>
      <c r="RAS107" s="952"/>
      <c r="RAT107" s="952"/>
      <c r="RAU107" s="952"/>
      <c r="RAV107" s="952"/>
      <c r="RAW107" s="952"/>
      <c r="RAX107" s="952"/>
      <c r="RAY107" s="952"/>
      <c r="RAZ107" s="952"/>
      <c r="RBA107" s="952"/>
      <c r="RBB107" s="952"/>
      <c r="RBC107" s="952"/>
      <c r="RBD107" s="952"/>
      <c r="RBE107" s="952"/>
      <c r="RBF107" s="952"/>
      <c r="RBG107" s="952"/>
      <c r="RBH107" s="952"/>
      <c r="RBI107" s="952"/>
      <c r="RBJ107" s="952"/>
      <c r="RBK107" s="952"/>
      <c r="RBL107" s="952"/>
      <c r="RBM107" s="952"/>
      <c r="RBN107" s="952"/>
      <c r="RBO107" s="952"/>
      <c r="RBP107" s="952"/>
      <c r="RBQ107" s="952"/>
      <c r="RBR107" s="952"/>
      <c r="RBS107" s="952"/>
      <c r="RBT107" s="952"/>
      <c r="RBU107" s="952"/>
      <c r="RBV107" s="952"/>
      <c r="RBW107" s="952"/>
      <c r="RBX107" s="952"/>
      <c r="RBY107" s="952"/>
      <c r="RBZ107" s="952"/>
      <c r="RCA107" s="952"/>
      <c r="RCB107" s="952"/>
      <c r="RCC107" s="952"/>
      <c r="RCD107" s="952"/>
      <c r="RCE107" s="952"/>
      <c r="RCF107" s="952"/>
      <c r="RCG107" s="952"/>
      <c r="RCH107" s="952"/>
      <c r="RCI107" s="952"/>
      <c r="RCJ107" s="952"/>
      <c r="RCK107" s="952"/>
      <c r="RCL107" s="952"/>
      <c r="RCM107" s="952"/>
      <c r="RCN107" s="952"/>
      <c r="RCO107" s="952"/>
      <c r="RCP107" s="952"/>
      <c r="RCQ107" s="952"/>
      <c r="RCR107" s="952"/>
      <c r="RCS107" s="952"/>
      <c r="RCT107" s="952"/>
      <c r="RCU107" s="952"/>
      <c r="RCV107" s="952"/>
      <c r="RCW107" s="952"/>
      <c r="RCX107" s="952"/>
      <c r="RCY107" s="952"/>
      <c r="RCZ107" s="952"/>
      <c r="RDA107" s="952"/>
      <c r="RDB107" s="952"/>
      <c r="RDC107" s="952"/>
      <c r="RDD107" s="952"/>
      <c r="RDE107" s="952"/>
      <c r="RDF107" s="952"/>
      <c r="RDG107" s="952"/>
      <c r="RDH107" s="952"/>
      <c r="RDI107" s="952"/>
      <c r="RDJ107" s="952"/>
      <c r="RDK107" s="952"/>
      <c r="RDL107" s="952"/>
      <c r="RDM107" s="952"/>
      <c r="RDN107" s="952"/>
      <c r="RDO107" s="952"/>
      <c r="RDP107" s="952"/>
      <c r="RDQ107" s="952"/>
      <c r="RDR107" s="952"/>
      <c r="RDS107" s="952"/>
      <c r="RDT107" s="952"/>
      <c r="RDU107" s="952"/>
      <c r="RDV107" s="952"/>
      <c r="RDW107" s="952"/>
      <c r="RDX107" s="952"/>
      <c r="RDY107" s="952"/>
      <c r="RDZ107" s="952"/>
      <c r="REA107" s="952"/>
      <c r="REB107" s="952"/>
      <c r="REC107" s="952"/>
      <c r="RED107" s="952"/>
      <c r="REE107" s="952"/>
      <c r="REF107" s="952"/>
      <c r="REG107" s="952"/>
      <c r="REH107" s="952"/>
      <c r="REI107" s="952"/>
      <c r="REJ107" s="952"/>
      <c r="REK107" s="952"/>
      <c r="REL107" s="952"/>
      <c r="REM107" s="952"/>
      <c r="REN107" s="952"/>
      <c r="REO107" s="952"/>
      <c r="REP107" s="952"/>
      <c r="REQ107" s="952"/>
      <c r="RER107" s="952"/>
      <c r="RES107" s="952"/>
      <c r="RET107" s="952"/>
      <c r="REU107" s="952"/>
      <c r="REV107" s="952"/>
      <c r="REW107" s="952"/>
      <c r="REX107" s="952"/>
      <c r="REY107" s="952"/>
      <c r="REZ107" s="952"/>
      <c r="RFA107" s="952"/>
      <c r="RFB107" s="952"/>
      <c r="RFC107" s="952"/>
      <c r="RFD107" s="952"/>
      <c r="RFE107" s="952"/>
      <c r="RFF107" s="952"/>
      <c r="RFG107" s="952"/>
      <c r="RFH107" s="952"/>
      <c r="RFI107" s="952"/>
      <c r="RFJ107" s="952"/>
      <c r="RFK107" s="952"/>
      <c r="RFL107" s="952"/>
      <c r="RFM107" s="952"/>
      <c r="RFN107" s="952"/>
      <c r="RFO107" s="952"/>
      <c r="RFP107" s="952"/>
      <c r="RFQ107" s="952"/>
      <c r="RFR107" s="952"/>
      <c r="RFS107" s="952"/>
      <c r="RFT107" s="952"/>
      <c r="RFU107" s="952"/>
      <c r="RFV107" s="952"/>
      <c r="RFW107" s="952"/>
      <c r="RFX107" s="952"/>
      <c r="RFY107" s="952"/>
      <c r="RFZ107" s="952"/>
      <c r="RGA107" s="952"/>
      <c r="RGB107" s="952"/>
      <c r="RGC107" s="952"/>
      <c r="RGD107" s="952"/>
      <c r="RGE107" s="952"/>
      <c r="RGF107" s="952"/>
      <c r="RGG107" s="952"/>
      <c r="RGH107" s="952"/>
      <c r="RGI107" s="952"/>
      <c r="RGJ107" s="952"/>
      <c r="RGK107" s="952"/>
      <c r="RGL107" s="952"/>
      <c r="RGM107" s="952"/>
      <c r="RGN107" s="952"/>
      <c r="RGO107" s="952"/>
      <c r="RGP107" s="952"/>
      <c r="RGQ107" s="952"/>
      <c r="RGR107" s="952"/>
      <c r="RGS107" s="952"/>
      <c r="RGT107" s="952"/>
      <c r="RGU107" s="952"/>
      <c r="RGV107" s="952"/>
      <c r="RGW107" s="952"/>
      <c r="RGX107" s="952"/>
      <c r="RGY107" s="952"/>
      <c r="RGZ107" s="952"/>
      <c r="RHA107" s="952"/>
      <c r="RHB107" s="952"/>
      <c r="RHC107" s="952"/>
      <c r="RHD107" s="952"/>
      <c r="RHE107" s="952"/>
      <c r="RHF107" s="952"/>
      <c r="RHG107" s="952"/>
      <c r="RHH107" s="952"/>
      <c r="RHI107" s="952"/>
      <c r="RHJ107" s="952"/>
      <c r="RHK107" s="952"/>
      <c r="RHL107" s="952"/>
      <c r="RHM107" s="952"/>
      <c r="RHN107" s="952"/>
      <c r="RHO107" s="952"/>
      <c r="RHP107" s="952"/>
      <c r="RHQ107" s="952"/>
      <c r="RHR107" s="952"/>
      <c r="RHS107" s="952"/>
      <c r="RHT107" s="952"/>
      <c r="RHU107" s="952"/>
      <c r="RHV107" s="952"/>
      <c r="RHW107" s="952"/>
      <c r="RHX107" s="952"/>
      <c r="RHY107" s="952"/>
      <c r="RHZ107" s="952"/>
      <c r="RIA107" s="952"/>
      <c r="RIB107" s="952"/>
      <c r="RIC107" s="952"/>
      <c r="RID107" s="952"/>
      <c r="RIE107" s="952"/>
      <c r="RIF107" s="952"/>
      <c r="RIG107" s="952"/>
      <c r="RIH107" s="952"/>
      <c r="RII107" s="952"/>
      <c r="RIJ107" s="952"/>
      <c r="RIK107" s="952"/>
      <c r="RIL107" s="952"/>
      <c r="RIM107" s="952"/>
      <c r="RIN107" s="952"/>
      <c r="RIO107" s="952"/>
      <c r="RIP107" s="952"/>
      <c r="RIQ107" s="952"/>
      <c r="RIR107" s="952"/>
      <c r="RIS107" s="952"/>
      <c r="RIT107" s="952"/>
      <c r="RIU107" s="952"/>
      <c r="RIV107" s="952"/>
      <c r="RIW107" s="952"/>
      <c r="RIX107" s="952"/>
      <c r="RIY107" s="952"/>
      <c r="RIZ107" s="952"/>
      <c r="RJA107" s="952"/>
      <c r="RJB107" s="952"/>
      <c r="RJC107" s="952"/>
      <c r="RJD107" s="952"/>
      <c r="RJE107" s="952"/>
      <c r="RJF107" s="952"/>
      <c r="RJG107" s="952"/>
      <c r="RJH107" s="952"/>
      <c r="RJI107" s="952"/>
      <c r="RJJ107" s="952"/>
      <c r="RJK107" s="952"/>
      <c r="RJL107" s="952"/>
      <c r="RJM107" s="952"/>
      <c r="RJN107" s="952"/>
      <c r="RJO107" s="952"/>
      <c r="RJP107" s="952"/>
      <c r="RJQ107" s="952"/>
      <c r="RJR107" s="952"/>
      <c r="RJS107" s="952"/>
      <c r="RJT107" s="952"/>
      <c r="RJU107" s="952"/>
      <c r="RJV107" s="952"/>
      <c r="RJW107" s="952"/>
      <c r="RJX107" s="952"/>
      <c r="RJY107" s="952"/>
      <c r="RJZ107" s="952"/>
      <c r="RKA107" s="952"/>
      <c r="RKB107" s="952"/>
      <c r="RKC107" s="952"/>
      <c r="RKD107" s="952"/>
      <c r="RKE107" s="952"/>
      <c r="RKF107" s="952"/>
      <c r="RKG107" s="952"/>
      <c r="RKH107" s="952"/>
      <c r="RKI107" s="952"/>
      <c r="RKJ107" s="952"/>
      <c r="RKK107" s="952"/>
      <c r="RKL107" s="952"/>
      <c r="RKM107" s="952"/>
      <c r="RKN107" s="952"/>
      <c r="RKO107" s="952"/>
      <c r="RKP107" s="952"/>
      <c r="RKQ107" s="952"/>
      <c r="RKR107" s="952"/>
      <c r="RKS107" s="952"/>
      <c r="RKT107" s="952"/>
      <c r="RKU107" s="952"/>
      <c r="RKV107" s="952"/>
      <c r="RKW107" s="952"/>
      <c r="RKX107" s="952"/>
      <c r="RKY107" s="952"/>
      <c r="RKZ107" s="952"/>
      <c r="RLA107" s="952"/>
      <c r="RLB107" s="952"/>
      <c r="RLC107" s="952"/>
      <c r="RLD107" s="952"/>
      <c r="RLE107" s="952"/>
      <c r="RLF107" s="952"/>
      <c r="RLG107" s="952"/>
      <c r="RLH107" s="952"/>
      <c r="RLI107" s="952"/>
      <c r="RLJ107" s="952"/>
      <c r="RLK107" s="952"/>
      <c r="RLL107" s="952"/>
      <c r="RLM107" s="952"/>
      <c r="RLN107" s="952"/>
      <c r="RLO107" s="952"/>
      <c r="RLP107" s="952"/>
      <c r="RLQ107" s="952"/>
      <c r="RLR107" s="952"/>
      <c r="RLS107" s="952"/>
      <c r="RLT107" s="952"/>
      <c r="RLU107" s="952"/>
      <c r="RLV107" s="952"/>
      <c r="RLW107" s="952"/>
      <c r="RLX107" s="952"/>
      <c r="RLY107" s="952"/>
      <c r="RLZ107" s="952"/>
      <c r="RMA107" s="952"/>
      <c r="RMB107" s="952"/>
      <c r="RMC107" s="952"/>
      <c r="RMD107" s="952"/>
      <c r="RME107" s="952"/>
      <c r="RMF107" s="952"/>
      <c r="RMG107" s="952"/>
      <c r="RMH107" s="952"/>
      <c r="RMI107" s="952"/>
      <c r="RMJ107" s="952"/>
      <c r="RMK107" s="952"/>
      <c r="RML107" s="952"/>
      <c r="RMM107" s="952"/>
      <c r="RMN107" s="952"/>
      <c r="RMO107" s="952"/>
      <c r="RMP107" s="952"/>
      <c r="RMQ107" s="952"/>
      <c r="RMR107" s="952"/>
      <c r="RMS107" s="952"/>
      <c r="RMT107" s="952"/>
      <c r="RMU107" s="952"/>
      <c r="RMV107" s="952"/>
      <c r="RMW107" s="952"/>
      <c r="RMX107" s="952"/>
      <c r="RMY107" s="952"/>
      <c r="RMZ107" s="952"/>
      <c r="RNA107" s="952"/>
      <c r="RNB107" s="952"/>
      <c r="RNC107" s="952"/>
      <c r="RND107" s="952"/>
      <c r="RNE107" s="952"/>
      <c r="RNF107" s="952"/>
      <c r="RNG107" s="952"/>
      <c r="RNH107" s="952"/>
      <c r="RNI107" s="952"/>
      <c r="RNJ107" s="952"/>
      <c r="RNK107" s="952"/>
      <c r="RNL107" s="952"/>
      <c r="RNM107" s="952"/>
      <c r="RNN107" s="952"/>
      <c r="RNO107" s="952"/>
      <c r="RNP107" s="952"/>
      <c r="RNQ107" s="952"/>
      <c r="RNR107" s="952"/>
      <c r="RNS107" s="952"/>
      <c r="RNT107" s="952"/>
      <c r="RNU107" s="952"/>
      <c r="RNV107" s="952"/>
      <c r="RNW107" s="952"/>
      <c r="RNX107" s="952"/>
      <c r="RNY107" s="952"/>
      <c r="RNZ107" s="952"/>
      <c r="ROA107" s="952"/>
      <c r="ROB107" s="952"/>
      <c r="ROC107" s="952"/>
      <c r="ROD107" s="952"/>
      <c r="ROE107" s="952"/>
      <c r="ROF107" s="952"/>
      <c r="ROG107" s="952"/>
      <c r="ROH107" s="952"/>
      <c r="ROI107" s="952"/>
      <c r="ROJ107" s="952"/>
      <c r="ROK107" s="952"/>
      <c r="ROL107" s="952"/>
      <c r="ROM107" s="952"/>
      <c r="RON107" s="952"/>
      <c r="ROO107" s="952"/>
      <c r="ROP107" s="952"/>
      <c r="ROQ107" s="952"/>
      <c r="ROR107" s="952"/>
      <c r="ROS107" s="952"/>
      <c r="ROT107" s="952"/>
      <c r="ROU107" s="952"/>
      <c r="ROV107" s="952"/>
      <c r="ROW107" s="952"/>
      <c r="ROX107" s="952"/>
      <c r="ROY107" s="952"/>
      <c r="ROZ107" s="952"/>
      <c r="RPA107" s="952"/>
      <c r="RPB107" s="952"/>
      <c r="RPC107" s="952"/>
      <c r="RPD107" s="952"/>
      <c r="RPE107" s="952"/>
      <c r="RPF107" s="952"/>
      <c r="RPG107" s="952"/>
      <c r="RPH107" s="952"/>
      <c r="RPI107" s="952"/>
      <c r="RPJ107" s="952"/>
      <c r="RPK107" s="952"/>
      <c r="RPL107" s="952"/>
      <c r="RPM107" s="952"/>
      <c r="RPN107" s="952"/>
      <c r="RPO107" s="952"/>
      <c r="RPP107" s="952"/>
      <c r="RPQ107" s="952"/>
      <c r="RPR107" s="952"/>
      <c r="RPS107" s="952"/>
      <c r="RPT107" s="952"/>
      <c r="RPU107" s="952"/>
      <c r="RPV107" s="952"/>
      <c r="RPW107" s="952"/>
      <c r="RPX107" s="952"/>
      <c r="RPY107" s="952"/>
      <c r="RPZ107" s="952"/>
      <c r="RQA107" s="952"/>
      <c r="RQB107" s="952"/>
      <c r="RQC107" s="952"/>
      <c r="RQD107" s="952"/>
      <c r="RQE107" s="952"/>
      <c r="RQF107" s="952"/>
      <c r="RQG107" s="952"/>
      <c r="RQH107" s="952"/>
      <c r="RQI107" s="952"/>
      <c r="RQJ107" s="952"/>
      <c r="RQK107" s="952"/>
      <c r="RQL107" s="952"/>
      <c r="RQM107" s="952"/>
      <c r="RQN107" s="952"/>
      <c r="RQO107" s="952"/>
      <c r="RQP107" s="952"/>
      <c r="RQQ107" s="952"/>
      <c r="RQR107" s="952"/>
      <c r="RQS107" s="952"/>
      <c r="RQT107" s="952"/>
      <c r="RQU107" s="952"/>
      <c r="RQV107" s="952"/>
      <c r="RQW107" s="952"/>
      <c r="RQX107" s="952"/>
      <c r="RQY107" s="952"/>
      <c r="RQZ107" s="952"/>
      <c r="RRA107" s="952"/>
      <c r="RRB107" s="952"/>
      <c r="RRC107" s="952"/>
      <c r="RRD107" s="952"/>
      <c r="RRE107" s="952"/>
      <c r="RRF107" s="952"/>
      <c r="RRG107" s="952"/>
      <c r="RRH107" s="952"/>
      <c r="RRI107" s="952"/>
      <c r="RRJ107" s="952"/>
      <c r="RRK107" s="952"/>
      <c r="RRL107" s="952"/>
      <c r="RRM107" s="952"/>
      <c r="RRN107" s="952"/>
      <c r="RRO107" s="952"/>
      <c r="RRP107" s="952"/>
      <c r="RRQ107" s="952"/>
      <c r="RRR107" s="952"/>
      <c r="RRS107" s="952"/>
      <c r="RRT107" s="952"/>
      <c r="RRU107" s="952"/>
      <c r="RRV107" s="952"/>
      <c r="RRW107" s="952"/>
      <c r="RRX107" s="952"/>
      <c r="RRY107" s="952"/>
      <c r="RRZ107" s="952"/>
      <c r="RSA107" s="952"/>
      <c r="RSB107" s="952"/>
      <c r="RSC107" s="952"/>
      <c r="RSD107" s="952"/>
      <c r="RSE107" s="952"/>
      <c r="RSF107" s="952"/>
      <c r="RSG107" s="952"/>
      <c r="RSH107" s="952"/>
      <c r="RSI107" s="952"/>
      <c r="RSJ107" s="952"/>
      <c r="RSK107" s="952"/>
      <c r="RSL107" s="952"/>
      <c r="RSM107" s="952"/>
      <c r="RSN107" s="952"/>
      <c r="RSO107" s="952"/>
      <c r="RSP107" s="952"/>
      <c r="RSQ107" s="952"/>
      <c r="RSR107" s="952"/>
      <c r="RSS107" s="952"/>
      <c r="RST107" s="952"/>
      <c r="RSU107" s="952"/>
      <c r="RSV107" s="952"/>
      <c r="RSW107" s="952"/>
      <c r="RSX107" s="952"/>
      <c r="RSY107" s="952"/>
      <c r="RSZ107" s="952"/>
      <c r="RTA107" s="952"/>
      <c r="RTB107" s="952"/>
      <c r="RTC107" s="952"/>
      <c r="RTD107" s="952"/>
      <c r="RTE107" s="952"/>
      <c r="RTF107" s="952"/>
      <c r="RTG107" s="952"/>
      <c r="RTH107" s="952"/>
      <c r="RTI107" s="952"/>
      <c r="RTJ107" s="952"/>
      <c r="RTK107" s="952"/>
      <c r="RTL107" s="952"/>
      <c r="RTM107" s="952"/>
      <c r="RTN107" s="952"/>
      <c r="RTO107" s="952"/>
      <c r="RTP107" s="952"/>
      <c r="RTQ107" s="952"/>
      <c r="RTR107" s="952"/>
      <c r="RTS107" s="952"/>
      <c r="RTT107" s="952"/>
      <c r="RTU107" s="952"/>
      <c r="RTV107" s="952"/>
      <c r="RTW107" s="952"/>
      <c r="RTX107" s="952"/>
      <c r="RTY107" s="952"/>
      <c r="RTZ107" s="952"/>
      <c r="RUA107" s="952"/>
      <c r="RUB107" s="952"/>
      <c r="RUC107" s="952"/>
      <c r="RUD107" s="952"/>
      <c r="RUE107" s="952"/>
      <c r="RUF107" s="952"/>
      <c r="RUG107" s="952"/>
      <c r="RUH107" s="952"/>
      <c r="RUI107" s="952"/>
      <c r="RUJ107" s="952"/>
      <c r="RUK107" s="952"/>
      <c r="RUL107" s="952"/>
      <c r="RUM107" s="952"/>
      <c r="RUN107" s="952"/>
      <c r="RUO107" s="952"/>
      <c r="RUP107" s="952"/>
      <c r="RUQ107" s="952"/>
      <c r="RUR107" s="952"/>
      <c r="RUS107" s="952"/>
      <c r="RUT107" s="952"/>
      <c r="RUU107" s="952"/>
      <c r="RUV107" s="952"/>
      <c r="RUW107" s="952"/>
      <c r="RUX107" s="952"/>
      <c r="RUY107" s="952"/>
      <c r="RUZ107" s="952"/>
      <c r="RVA107" s="952"/>
      <c r="RVB107" s="952"/>
      <c r="RVC107" s="952"/>
      <c r="RVD107" s="952"/>
      <c r="RVE107" s="952"/>
      <c r="RVF107" s="952"/>
      <c r="RVG107" s="952"/>
      <c r="RVH107" s="952"/>
      <c r="RVI107" s="952"/>
      <c r="RVJ107" s="952"/>
      <c r="RVK107" s="952"/>
      <c r="RVL107" s="952"/>
      <c r="RVM107" s="952"/>
      <c r="RVN107" s="952"/>
      <c r="RVO107" s="952"/>
      <c r="RVP107" s="952"/>
      <c r="RVQ107" s="952"/>
      <c r="RVR107" s="952"/>
      <c r="RVS107" s="952"/>
      <c r="RVT107" s="952"/>
      <c r="RVU107" s="952"/>
      <c r="RVV107" s="952"/>
      <c r="RVW107" s="952"/>
      <c r="RVX107" s="952"/>
      <c r="RVY107" s="952"/>
      <c r="RVZ107" s="952"/>
      <c r="RWA107" s="952"/>
      <c r="RWB107" s="952"/>
      <c r="RWC107" s="952"/>
      <c r="RWD107" s="952"/>
      <c r="RWE107" s="952"/>
      <c r="RWF107" s="952"/>
      <c r="RWG107" s="952"/>
      <c r="RWH107" s="952"/>
      <c r="RWI107" s="952"/>
      <c r="RWJ107" s="952"/>
      <c r="RWK107" s="952"/>
      <c r="RWL107" s="952"/>
      <c r="RWM107" s="952"/>
      <c r="RWN107" s="952"/>
      <c r="RWO107" s="952"/>
      <c r="RWP107" s="952"/>
      <c r="RWQ107" s="952"/>
      <c r="RWR107" s="952"/>
      <c r="RWS107" s="952"/>
      <c r="RWT107" s="952"/>
      <c r="RWU107" s="952"/>
      <c r="RWV107" s="952"/>
      <c r="RWW107" s="952"/>
      <c r="RWX107" s="952"/>
      <c r="RWY107" s="952"/>
      <c r="RWZ107" s="952"/>
      <c r="RXA107" s="952"/>
      <c r="RXB107" s="952"/>
      <c r="RXC107" s="952"/>
      <c r="RXD107" s="952"/>
      <c r="RXE107" s="952"/>
      <c r="RXF107" s="952"/>
      <c r="RXG107" s="952"/>
      <c r="RXH107" s="952"/>
      <c r="RXI107" s="952"/>
      <c r="RXJ107" s="952"/>
      <c r="RXK107" s="952"/>
      <c r="RXL107" s="952"/>
      <c r="RXM107" s="952"/>
      <c r="RXN107" s="952"/>
      <c r="RXO107" s="952"/>
      <c r="RXP107" s="952"/>
      <c r="RXQ107" s="952"/>
      <c r="RXR107" s="952"/>
      <c r="RXS107" s="952"/>
      <c r="RXT107" s="952"/>
      <c r="RXU107" s="952"/>
      <c r="RXV107" s="952"/>
      <c r="RXW107" s="952"/>
      <c r="RXX107" s="952"/>
      <c r="RXY107" s="952"/>
      <c r="RXZ107" s="952"/>
      <c r="RYA107" s="952"/>
      <c r="RYB107" s="952"/>
      <c r="RYC107" s="952"/>
      <c r="RYD107" s="952"/>
      <c r="RYE107" s="952"/>
      <c r="RYF107" s="952"/>
      <c r="RYG107" s="952"/>
      <c r="RYH107" s="952"/>
      <c r="RYI107" s="952"/>
      <c r="RYJ107" s="952"/>
      <c r="RYK107" s="952"/>
      <c r="RYL107" s="952"/>
      <c r="RYM107" s="952"/>
      <c r="RYN107" s="952"/>
      <c r="RYO107" s="952"/>
      <c r="RYP107" s="952"/>
      <c r="RYQ107" s="952"/>
      <c r="RYR107" s="952"/>
      <c r="RYS107" s="952"/>
      <c r="RYT107" s="952"/>
      <c r="RYU107" s="952"/>
      <c r="RYV107" s="952"/>
      <c r="RYW107" s="952"/>
      <c r="RYX107" s="952"/>
      <c r="RYY107" s="952"/>
      <c r="RYZ107" s="952"/>
      <c r="RZA107" s="952"/>
      <c r="RZB107" s="952"/>
      <c r="RZC107" s="952"/>
      <c r="RZD107" s="952"/>
      <c r="RZE107" s="952"/>
      <c r="RZF107" s="952"/>
      <c r="RZG107" s="952"/>
      <c r="RZH107" s="952"/>
      <c r="RZI107" s="952"/>
      <c r="RZJ107" s="952"/>
      <c r="RZK107" s="952"/>
      <c r="RZL107" s="952"/>
      <c r="RZM107" s="952"/>
      <c r="RZN107" s="952"/>
      <c r="RZO107" s="952"/>
      <c r="RZP107" s="952"/>
      <c r="RZQ107" s="952"/>
      <c r="RZR107" s="952"/>
      <c r="RZS107" s="952"/>
      <c r="RZT107" s="952"/>
      <c r="RZU107" s="952"/>
      <c r="RZV107" s="952"/>
      <c r="RZW107" s="952"/>
      <c r="RZX107" s="952"/>
      <c r="RZY107" s="952"/>
      <c r="RZZ107" s="952"/>
      <c r="SAA107" s="952"/>
      <c r="SAB107" s="952"/>
      <c r="SAC107" s="952"/>
      <c r="SAD107" s="952"/>
      <c r="SAE107" s="952"/>
      <c r="SAF107" s="952"/>
      <c r="SAG107" s="952"/>
      <c r="SAH107" s="952"/>
      <c r="SAI107" s="952"/>
      <c r="SAJ107" s="952"/>
      <c r="SAK107" s="952"/>
      <c r="SAL107" s="952"/>
      <c r="SAM107" s="952"/>
      <c r="SAN107" s="952"/>
      <c r="SAO107" s="952"/>
      <c r="SAP107" s="952"/>
      <c r="SAQ107" s="952"/>
      <c r="SAR107" s="952"/>
      <c r="SAS107" s="952"/>
      <c r="SAT107" s="952"/>
      <c r="SAU107" s="952"/>
      <c r="SAV107" s="952"/>
      <c r="SAW107" s="952"/>
      <c r="SAX107" s="952"/>
      <c r="SAY107" s="952"/>
      <c r="SAZ107" s="952"/>
      <c r="SBA107" s="952"/>
      <c r="SBB107" s="952"/>
      <c r="SBC107" s="952"/>
      <c r="SBD107" s="952"/>
      <c r="SBE107" s="952"/>
      <c r="SBF107" s="952"/>
      <c r="SBG107" s="952"/>
      <c r="SBH107" s="952"/>
      <c r="SBI107" s="952"/>
      <c r="SBJ107" s="952"/>
      <c r="SBK107" s="952"/>
      <c r="SBL107" s="952"/>
      <c r="SBM107" s="952"/>
      <c r="SBN107" s="952"/>
      <c r="SBO107" s="952"/>
      <c r="SBP107" s="952"/>
      <c r="SBQ107" s="952"/>
      <c r="SBR107" s="952"/>
      <c r="SBS107" s="952"/>
      <c r="SBT107" s="952"/>
      <c r="SBU107" s="952"/>
      <c r="SBV107" s="952"/>
      <c r="SBW107" s="952"/>
      <c r="SBX107" s="952"/>
      <c r="SBY107" s="952"/>
      <c r="SBZ107" s="952"/>
      <c r="SCA107" s="952"/>
      <c r="SCB107" s="952"/>
      <c r="SCC107" s="952"/>
      <c r="SCD107" s="952"/>
      <c r="SCE107" s="952"/>
      <c r="SCF107" s="952"/>
      <c r="SCG107" s="952"/>
      <c r="SCH107" s="952"/>
      <c r="SCI107" s="952"/>
      <c r="SCJ107" s="952"/>
      <c r="SCK107" s="952"/>
      <c r="SCL107" s="952"/>
      <c r="SCM107" s="952"/>
      <c r="SCN107" s="952"/>
      <c r="SCO107" s="952"/>
      <c r="SCP107" s="952"/>
      <c r="SCQ107" s="952"/>
      <c r="SCR107" s="952"/>
      <c r="SCS107" s="952"/>
      <c r="SCT107" s="952"/>
      <c r="SCU107" s="952"/>
      <c r="SCV107" s="952"/>
      <c r="SCW107" s="952"/>
      <c r="SCX107" s="952"/>
      <c r="SCY107" s="952"/>
      <c r="SCZ107" s="952"/>
      <c r="SDA107" s="952"/>
      <c r="SDB107" s="952"/>
      <c r="SDC107" s="952"/>
      <c r="SDD107" s="952"/>
      <c r="SDE107" s="952"/>
      <c r="SDF107" s="952"/>
      <c r="SDG107" s="952"/>
      <c r="SDH107" s="952"/>
      <c r="SDI107" s="952"/>
      <c r="SDJ107" s="952"/>
      <c r="SDK107" s="952"/>
      <c r="SDL107" s="952"/>
      <c r="SDM107" s="952"/>
      <c r="SDN107" s="952"/>
      <c r="SDO107" s="952"/>
      <c r="SDP107" s="952"/>
      <c r="SDQ107" s="952"/>
      <c r="SDR107" s="952"/>
      <c r="SDS107" s="952"/>
      <c r="SDT107" s="952"/>
      <c r="SDU107" s="952"/>
      <c r="SDV107" s="952"/>
      <c r="SDW107" s="952"/>
      <c r="SDX107" s="952"/>
      <c r="SDY107" s="952"/>
      <c r="SDZ107" s="952"/>
      <c r="SEA107" s="952"/>
      <c r="SEB107" s="952"/>
      <c r="SEC107" s="952"/>
      <c r="SED107" s="952"/>
      <c r="SEE107" s="952"/>
      <c r="SEF107" s="952"/>
      <c r="SEG107" s="952"/>
      <c r="SEH107" s="952"/>
      <c r="SEI107" s="952"/>
      <c r="SEJ107" s="952"/>
      <c r="SEK107" s="952"/>
      <c r="SEL107" s="952"/>
      <c r="SEM107" s="952"/>
      <c r="SEN107" s="952"/>
      <c r="SEO107" s="952"/>
      <c r="SEP107" s="952"/>
      <c r="SEQ107" s="952"/>
      <c r="SER107" s="952"/>
      <c r="SES107" s="952"/>
      <c r="SET107" s="952"/>
      <c r="SEU107" s="952"/>
      <c r="SEV107" s="952"/>
      <c r="SEW107" s="952"/>
      <c r="SEX107" s="952"/>
      <c r="SEY107" s="952"/>
      <c r="SEZ107" s="952"/>
      <c r="SFA107" s="952"/>
      <c r="SFB107" s="952"/>
      <c r="SFC107" s="952"/>
      <c r="SFD107" s="952"/>
      <c r="SFE107" s="952"/>
      <c r="SFF107" s="952"/>
      <c r="SFG107" s="952"/>
      <c r="SFH107" s="952"/>
      <c r="SFI107" s="952"/>
      <c r="SFJ107" s="952"/>
      <c r="SFK107" s="952"/>
      <c r="SFL107" s="952"/>
      <c r="SFM107" s="952"/>
      <c r="SFN107" s="952"/>
      <c r="SFO107" s="952"/>
      <c r="SFP107" s="952"/>
      <c r="SFQ107" s="952"/>
      <c r="SFR107" s="952"/>
      <c r="SFS107" s="952"/>
      <c r="SFT107" s="952"/>
      <c r="SFU107" s="952"/>
      <c r="SFV107" s="952"/>
      <c r="SFW107" s="952"/>
      <c r="SFX107" s="952"/>
      <c r="SFY107" s="952"/>
      <c r="SFZ107" s="952"/>
      <c r="SGA107" s="952"/>
      <c r="SGB107" s="952"/>
      <c r="SGC107" s="952"/>
      <c r="SGD107" s="952"/>
      <c r="SGE107" s="952"/>
      <c r="SGF107" s="952"/>
      <c r="SGG107" s="952"/>
      <c r="SGH107" s="952"/>
      <c r="SGI107" s="952"/>
      <c r="SGJ107" s="952"/>
      <c r="SGK107" s="952"/>
      <c r="SGL107" s="952"/>
      <c r="SGM107" s="952"/>
      <c r="SGN107" s="952"/>
      <c r="SGO107" s="952"/>
      <c r="SGP107" s="952"/>
      <c r="SGQ107" s="952"/>
      <c r="SGR107" s="952"/>
      <c r="SGS107" s="952"/>
      <c r="SGT107" s="952"/>
      <c r="SGU107" s="952"/>
      <c r="SGV107" s="952"/>
      <c r="SGW107" s="952"/>
      <c r="SGX107" s="952"/>
      <c r="SGY107" s="952"/>
      <c r="SGZ107" s="952"/>
      <c r="SHA107" s="952"/>
      <c r="SHB107" s="952"/>
      <c r="SHC107" s="952"/>
      <c r="SHD107" s="952"/>
      <c r="SHE107" s="952"/>
      <c r="SHF107" s="952"/>
      <c r="SHG107" s="952"/>
      <c r="SHH107" s="952"/>
      <c r="SHI107" s="952"/>
      <c r="SHJ107" s="952"/>
      <c r="SHK107" s="952"/>
      <c r="SHL107" s="952"/>
      <c r="SHM107" s="952"/>
      <c r="SHN107" s="952"/>
      <c r="SHO107" s="952"/>
      <c r="SHP107" s="952"/>
      <c r="SHQ107" s="952"/>
      <c r="SHR107" s="952"/>
      <c r="SHS107" s="952"/>
      <c r="SHT107" s="952"/>
      <c r="SHU107" s="952"/>
      <c r="SHV107" s="952"/>
      <c r="SHW107" s="952"/>
      <c r="SHX107" s="952"/>
      <c r="SHY107" s="952"/>
      <c r="SHZ107" s="952"/>
      <c r="SIA107" s="952"/>
      <c r="SIB107" s="952"/>
      <c r="SIC107" s="952"/>
      <c r="SID107" s="952"/>
      <c r="SIE107" s="952"/>
      <c r="SIF107" s="952"/>
      <c r="SIG107" s="952"/>
      <c r="SIH107" s="952"/>
      <c r="SII107" s="952"/>
      <c r="SIJ107" s="952"/>
      <c r="SIK107" s="952"/>
      <c r="SIL107" s="952"/>
      <c r="SIM107" s="952"/>
      <c r="SIN107" s="952"/>
      <c r="SIO107" s="952"/>
      <c r="SIP107" s="952"/>
      <c r="SIQ107" s="952"/>
      <c r="SIR107" s="952"/>
      <c r="SIS107" s="952"/>
      <c r="SIT107" s="952"/>
      <c r="SIU107" s="952"/>
      <c r="SIV107" s="952"/>
      <c r="SIW107" s="952"/>
      <c r="SIX107" s="952"/>
      <c r="SIY107" s="952"/>
      <c r="SIZ107" s="952"/>
      <c r="SJA107" s="952"/>
      <c r="SJB107" s="952"/>
      <c r="SJC107" s="952"/>
      <c r="SJD107" s="952"/>
      <c r="SJE107" s="952"/>
      <c r="SJF107" s="952"/>
      <c r="SJG107" s="952"/>
      <c r="SJH107" s="952"/>
      <c r="SJI107" s="952"/>
      <c r="SJJ107" s="952"/>
      <c r="SJK107" s="952"/>
      <c r="SJL107" s="952"/>
      <c r="SJM107" s="952"/>
      <c r="SJN107" s="952"/>
      <c r="SJO107" s="952"/>
      <c r="SJP107" s="952"/>
      <c r="SJQ107" s="952"/>
      <c r="SJR107" s="952"/>
      <c r="SJS107" s="952"/>
      <c r="SJT107" s="952"/>
      <c r="SJU107" s="952"/>
      <c r="SJV107" s="952"/>
      <c r="SJW107" s="952"/>
      <c r="SJX107" s="952"/>
      <c r="SJY107" s="952"/>
      <c r="SJZ107" s="952"/>
      <c r="SKA107" s="952"/>
      <c r="SKB107" s="952"/>
      <c r="SKC107" s="952"/>
      <c r="SKD107" s="952"/>
      <c r="SKE107" s="952"/>
      <c r="SKF107" s="952"/>
      <c r="SKG107" s="952"/>
      <c r="SKH107" s="952"/>
      <c r="SKI107" s="952"/>
      <c r="SKJ107" s="952"/>
      <c r="SKK107" s="952"/>
      <c r="SKL107" s="952"/>
      <c r="SKM107" s="952"/>
      <c r="SKN107" s="952"/>
      <c r="SKO107" s="952"/>
      <c r="SKP107" s="952"/>
      <c r="SKQ107" s="952"/>
      <c r="SKR107" s="952"/>
      <c r="SKS107" s="952"/>
      <c r="SKT107" s="952"/>
      <c r="SKU107" s="952"/>
      <c r="SKV107" s="952"/>
      <c r="SKW107" s="952"/>
      <c r="SKX107" s="952"/>
      <c r="SKY107" s="952"/>
      <c r="SKZ107" s="952"/>
      <c r="SLA107" s="952"/>
      <c r="SLB107" s="952"/>
      <c r="SLC107" s="952"/>
      <c r="SLD107" s="952"/>
      <c r="SLE107" s="952"/>
      <c r="SLF107" s="952"/>
      <c r="SLG107" s="952"/>
      <c r="SLH107" s="952"/>
      <c r="SLI107" s="952"/>
      <c r="SLJ107" s="952"/>
      <c r="SLK107" s="952"/>
      <c r="SLL107" s="952"/>
      <c r="SLM107" s="952"/>
      <c r="SLN107" s="952"/>
      <c r="SLO107" s="952"/>
      <c r="SLP107" s="952"/>
      <c r="SLQ107" s="952"/>
      <c r="SLR107" s="952"/>
      <c r="SLS107" s="952"/>
      <c r="SLT107" s="952"/>
      <c r="SLU107" s="952"/>
      <c r="SLV107" s="952"/>
      <c r="SLW107" s="952"/>
      <c r="SLX107" s="952"/>
      <c r="SLY107" s="952"/>
      <c r="SLZ107" s="952"/>
      <c r="SMA107" s="952"/>
      <c r="SMB107" s="952"/>
      <c r="SMC107" s="952"/>
      <c r="SMD107" s="952"/>
      <c r="SME107" s="952"/>
      <c r="SMF107" s="952"/>
      <c r="SMG107" s="952"/>
      <c r="SMH107" s="952"/>
      <c r="SMI107" s="952"/>
      <c r="SMJ107" s="952"/>
      <c r="SMK107" s="952"/>
      <c r="SML107" s="952"/>
      <c r="SMM107" s="952"/>
      <c r="SMN107" s="952"/>
      <c r="SMO107" s="952"/>
      <c r="SMP107" s="952"/>
      <c r="SMQ107" s="952"/>
      <c r="SMR107" s="952"/>
      <c r="SMS107" s="952"/>
      <c r="SMT107" s="952"/>
      <c r="SMU107" s="952"/>
      <c r="SMV107" s="952"/>
      <c r="SMW107" s="952"/>
      <c r="SMX107" s="952"/>
      <c r="SMY107" s="952"/>
      <c r="SMZ107" s="952"/>
      <c r="SNA107" s="952"/>
      <c r="SNB107" s="952"/>
      <c r="SNC107" s="952"/>
      <c r="SND107" s="952"/>
      <c r="SNE107" s="952"/>
      <c r="SNF107" s="952"/>
      <c r="SNG107" s="952"/>
      <c r="SNH107" s="952"/>
      <c r="SNI107" s="952"/>
      <c r="SNJ107" s="952"/>
      <c r="SNK107" s="952"/>
      <c r="SNL107" s="952"/>
      <c r="SNM107" s="952"/>
      <c r="SNN107" s="952"/>
      <c r="SNO107" s="952"/>
      <c r="SNP107" s="952"/>
      <c r="SNQ107" s="952"/>
      <c r="SNR107" s="952"/>
      <c r="SNS107" s="952"/>
      <c r="SNT107" s="952"/>
      <c r="SNU107" s="952"/>
      <c r="SNV107" s="952"/>
      <c r="SNW107" s="952"/>
      <c r="SNX107" s="952"/>
      <c r="SNY107" s="952"/>
      <c r="SNZ107" s="952"/>
      <c r="SOA107" s="952"/>
      <c r="SOB107" s="952"/>
      <c r="SOC107" s="952"/>
      <c r="SOD107" s="952"/>
      <c r="SOE107" s="952"/>
      <c r="SOF107" s="952"/>
      <c r="SOG107" s="952"/>
      <c r="SOH107" s="952"/>
      <c r="SOI107" s="952"/>
      <c r="SOJ107" s="952"/>
      <c r="SOK107" s="952"/>
      <c r="SOL107" s="952"/>
      <c r="SOM107" s="952"/>
      <c r="SON107" s="952"/>
      <c r="SOO107" s="952"/>
      <c r="SOP107" s="952"/>
      <c r="SOQ107" s="952"/>
      <c r="SOR107" s="952"/>
      <c r="SOS107" s="952"/>
      <c r="SOT107" s="952"/>
      <c r="SOU107" s="952"/>
      <c r="SOV107" s="952"/>
      <c r="SOW107" s="952"/>
      <c r="SOX107" s="952"/>
      <c r="SOY107" s="952"/>
      <c r="SOZ107" s="952"/>
      <c r="SPA107" s="952"/>
      <c r="SPB107" s="952"/>
      <c r="SPC107" s="952"/>
      <c r="SPD107" s="952"/>
      <c r="SPE107" s="952"/>
      <c r="SPF107" s="952"/>
      <c r="SPG107" s="952"/>
      <c r="SPH107" s="952"/>
      <c r="SPI107" s="952"/>
      <c r="SPJ107" s="952"/>
      <c r="SPK107" s="952"/>
      <c r="SPL107" s="952"/>
      <c r="SPM107" s="952"/>
      <c r="SPN107" s="952"/>
      <c r="SPO107" s="952"/>
      <c r="SPP107" s="952"/>
      <c r="SPQ107" s="952"/>
      <c r="SPR107" s="952"/>
      <c r="SPS107" s="952"/>
      <c r="SPT107" s="952"/>
      <c r="SPU107" s="952"/>
      <c r="SPV107" s="952"/>
      <c r="SPW107" s="952"/>
      <c r="SPX107" s="952"/>
      <c r="SPY107" s="952"/>
      <c r="SPZ107" s="952"/>
      <c r="SQA107" s="952"/>
      <c r="SQB107" s="952"/>
      <c r="SQC107" s="952"/>
      <c r="SQD107" s="952"/>
      <c r="SQE107" s="952"/>
      <c r="SQF107" s="952"/>
      <c r="SQG107" s="952"/>
      <c r="SQH107" s="952"/>
      <c r="SQI107" s="952"/>
      <c r="SQJ107" s="952"/>
      <c r="SQK107" s="952"/>
      <c r="SQL107" s="952"/>
      <c r="SQM107" s="952"/>
      <c r="SQN107" s="952"/>
      <c r="SQO107" s="952"/>
      <c r="SQP107" s="952"/>
      <c r="SQQ107" s="952"/>
      <c r="SQR107" s="952"/>
      <c r="SQS107" s="952"/>
      <c r="SQT107" s="952"/>
      <c r="SQU107" s="952"/>
      <c r="SQV107" s="952"/>
      <c r="SQW107" s="952"/>
      <c r="SQX107" s="952"/>
      <c r="SQY107" s="952"/>
      <c r="SQZ107" s="952"/>
      <c r="SRA107" s="952"/>
      <c r="SRB107" s="952"/>
      <c r="SRC107" s="952"/>
      <c r="SRD107" s="952"/>
      <c r="SRE107" s="952"/>
      <c r="SRF107" s="952"/>
      <c r="SRG107" s="952"/>
      <c r="SRH107" s="952"/>
      <c r="SRI107" s="952"/>
      <c r="SRJ107" s="952"/>
      <c r="SRK107" s="952"/>
      <c r="SRL107" s="952"/>
      <c r="SRM107" s="952"/>
      <c r="SRN107" s="952"/>
      <c r="SRO107" s="952"/>
      <c r="SRP107" s="952"/>
      <c r="SRQ107" s="952"/>
      <c r="SRR107" s="952"/>
      <c r="SRS107" s="952"/>
      <c r="SRT107" s="952"/>
      <c r="SRU107" s="952"/>
      <c r="SRV107" s="952"/>
      <c r="SRW107" s="952"/>
      <c r="SRX107" s="952"/>
      <c r="SRY107" s="952"/>
      <c r="SRZ107" s="952"/>
      <c r="SSA107" s="952"/>
      <c r="SSB107" s="952"/>
      <c r="SSC107" s="952"/>
      <c r="SSD107" s="952"/>
      <c r="SSE107" s="952"/>
      <c r="SSF107" s="952"/>
      <c r="SSG107" s="952"/>
      <c r="SSH107" s="952"/>
      <c r="SSI107" s="952"/>
      <c r="SSJ107" s="952"/>
      <c r="SSK107" s="952"/>
      <c r="SSL107" s="952"/>
      <c r="SSM107" s="952"/>
      <c r="SSN107" s="952"/>
      <c r="SSO107" s="952"/>
      <c r="SSP107" s="952"/>
      <c r="SSQ107" s="952"/>
      <c r="SSR107" s="952"/>
      <c r="SSS107" s="952"/>
      <c r="SST107" s="952"/>
      <c r="SSU107" s="952"/>
      <c r="SSV107" s="952"/>
      <c r="SSW107" s="952"/>
      <c r="SSX107" s="952"/>
      <c r="SSY107" s="952"/>
      <c r="SSZ107" s="952"/>
      <c r="STA107" s="952"/>
      <c r="STB107" s="952"/>
      <c r="STC107" s="952"/>
      <c r="STD107" s="952"/>
      <c r="STE107" s="952"/>
      <c r="STF107" s="952"/>
      <c r="STG107" s="952"/>
      <c r="STH107" s="952"/>
      <c r="STI107" s="952"/>
      <c r="STJ107" s="952"/>
      <c r="STK107" s="952"/>
      <c r="STL107" s="952"/>
      <c r="STM107" s="952"/>
      <c r="STN107" s="952"/>
      <c r="STO107" s="952"/>
      <c r="STP107" s="952"/>
      <c r="STQ107" s="952"/>
      <c r="STR107" s="952"/>
      <c r="STS107" s="952"/>
      <c r="STT107" s="952"/>
      <c r="STU107" s="952"/>
      <c r="STV107" s="952"/>
      <c r="STW107" s="952"/>
      <c r="STX107" s="952"/>
      <c r="STY107" s="952"/>
      <c r="STZ107" s="952"/>
      <c r="SUA107" s="952"/>
      <c r="SUB107" s="952"/>
      <c r="SUC107" s="952"/>
      <c r="SUD107" s="952"/>
      <c r="SUE107" s="952"/>
      <c r="SUF107" s="952"/>
      <c r="SUG107" s="952"/>
      <c r="SUH107" s="952"/>
      <c r="SUI107" s="952"/>
      <c r="SUJ107" s="952"/>
      <c r="SUK107" s="952"/>
      <c r="SUL107" s="952"/>
      <c r="SUM107" s="952"/>
      <c r="SUN107" s="952"/>
      <c r="SUO107" s="952"/>
      <c r="SUP107" s="952"/>
      <c r="SUQ107" s="952"/>
      <c r="SUR107" s="952"/>
      <c r="SUS107" s="952"/>
      <c r="SUT107" s="952"/>
      <c r="SUU107" s="952"/>
      <c r="SUV107" s="952"/>
      <c r="SUW107" s="952"/>
      <c r="SUX107" s="952"/>
      <c r="SUY107" s="952"/>
      <c r="SUZ107" s="952"/>
      <c r="SVA107" s="952"/>
      <c r="SVB107" s="952"/>
      <c r="SVC107" s="952"/>
      <c r="SVD107" s="952"/>
      <c r="SVE107" s="952"/>
      <c r="SVF107" s="952"/>
      <c r="SVG107" s="952"/>
      <c r="SVH107" s="952"/>
      <c r="SVI107" s="952"/>
      <c r="SVJ107" s="952"/>
      <c r="SVK107" s="952"/>
      <c r="SVL107" s="952"/>
      <c r="SVM107" s="952"/>
      <c r="SVN107" s="952"/>
      <c r="SVO107" s="952"/>
      <c r="SVP107" s="952"/>
      <c r="SVQ107" s="952"/>
      <c r="SVR107" s="952"/>
      <c r="SVS107" s="952"/>
      <c r="SVT107" s="952"/>
      <c r="SVU107" s="952"/>
      <c r="SVV107" s="952"/>
      <c r="SVW107" s="952"/>
      <c r="SVX107" s="952"/>
      <c r="SVY107" s="952"/>
      <c r="SVZ107" s="952"/>
      <c r="SWA107" s="952"/>
      <c r="SWB107" s="952"/>
      <c r="SWC107" s="952"/>
      <c r="SWD107" s="952"/>
      <c r="SWE107" s="952"/>
      <c r="SWF107" s="952"/>
      <c r="SWG107" s="952"/>
      <c r="SWH107" s="952"/>
      <c r="SWI107" s="952"/>
      <c r="SWJ107" s="952"/>
      <c r="SWK107" s="952"/>
      <c r="SWL107" s="952"/>
      <c r="SWM107" s="952"/>
      <c r="SWN107" s="952"/>
      <c r="SWO107" s="952"/>
      <c r="SWP107" s="952"/>
      <c r="SWQ107" s="952"/>
      <c r="SWR107" s="952"/>
      <c r="SWS107" s="952"/>
      <c r="SWT107" s="952"/>
      <c r="SWU107" s="952"/>
      <c r="SWV107" s="952"/>
      <c r="SWW107" s="952"/>
      <c r="SWX107" s="952"/>
      <c r="SWY107" s="952"/>
      <c r="SWZ107" s="952"/>
      <c r="SXA107" s="952"/>
      <c r="SXB107" s="952"/>
      <c r="SXC107" s="952"/>
      <c r="SXD107" s="952"/>
      <c r="SXE107" s="952"/>
      <c r="SXF107" s="952"/>
      <c r="SXG107" s="952"/>
      <c r="SXH107" s="952"/>
      <c r="SXI107" s="952"/>
      <c r="SXJ107" s="952"/>
      <c r="SXK107" s="952"/>
      <c r="SXL107" s="952"/>
      <c r="SXM107" s="952"/>
      <c r="SXN107" s="952"/>
      <c r="SXO107" s="952"/>
      <c r="SXP107" s="952"/>
      <c r="SXQ107" s="952"/>
      <c r="SXR107" s="952"/>
      <c r="SXS107" s="952"/>
      <c r="SXT107" s="952"/>
      <c r="SXU107" s="952"/>
      <c r="SXV107" s="952"/>
      <c r="SXW107" s="952"/>
      <c r="SXX107" s="952"/>
      <c r="SXY107" s="952"/>
      <c r="SXZ107" s="952"/>
      <c r="SYA107" s="952"/>
      <c r="SYB107" s="952"/>
      <c r="SYC107" s="952"/>
      <c r="SYD107" s="952"/>
      <c r="SYE107" s="952"/>
      <c r="SYF107" s="952"/>
      <c r="SYG107" s="952"/>
      <c r="SYH107" s="952"/>
      <c r="SYI107" s="952"/>
      <c r="SYJ107" s="952"/>
      <c r="SYK107" s="952"/>
      <c r="SYL107" s="952"/>
      <c r="SYM107" s="952"/>
      <c r="SYN107" s="952"/>
      <c r="SYO107" s="952"/>
      <c r="SYP107" s="952"/>
      <c r="SYQ107" s="952"/>
      <c r="SYR107" s="952"/>
      <c r="SYS107" s="952"/>
      <c r="SYT107" s="952"/>
      <c r="SYU107" s="952"/>
      <c r="SYV107" s="952"/>
      <c r="SYW107" s="952"/>
      <c r="SYX107" s="952"/>
      <c r="SYY107" s="952"/>
      <c r="SYZ107" s="952"/>
      <c r="SZA107" s="952"/>
      <c r="SZB107" s="952"/>
      <c r="SZC107" s="952"/>
      <c r="SZD107" s="952"/>
      <c r="SZE107" s="952"/>
      <c r="SZF107" s="952"/>
      <c r="SZG107" s="952"/>
      <c r="SZH107" s="952"/>
      <c r="SZI107" s="952"/>
      <c r="SZJ107" s="952"/>
      <c r="SZK107" s="952"/>
      <c r="SZL107" s="952"/>
      <c r="SZM107" s="952"/>
      <c r="SZN107" s="952"/>
      <c r="SZO107" s="952"/>
      <c r="SZP107" s="952"/>
      <c r="SZQ107" s="952"/>
      <c r="SZR107" s="952"/>
      <c r="SZS107" s="952"/>
      <c r="SZT107" s="952"/>
      <c r="SZU107" s="952"/>
      <c r="SZV107" s="952"/>
      <c r="SZW107" s="952"/>
      <c r="SZX107" s="952"/>
      <c r="SZY107" s="952"/>
      <c r="SZZ107" s="952"/>
      <c r="TAA107" s="952"/>
      <c r="TAB107" s="952"/>
      <c r="TAC107" s="952"/>
      <c r="TAD107" s="952"/>
      <c r="TAE107" s="952"/>
      <c r="TAF107" s="952"/>
      <c r="TAG107" s="952"/>
      <c r="TAH107" s="952"/>
      <c r="TAI107" s="952"/>
      <c r="TAJ107" s="952"/>
      <c r="TAK107" s="952"/>
      <c r="TAL107" s="952"/>
      <c r="TAM107" s="952"/>
      <c r="TAN107" s="952"/>
      <c r="TAO107" s="952"/>
      <c r="TAP107" s="952"/>
      <c r="TAQ107" s="952"/>
      <c r="TAR107" s="952"/>
      <c r="TAS107" s="952"/>
      <c r="TAT107" s="952"/>
      <c r="TAU107" s="952"/>
      <c r="TAV107" s="952"/>
      <c r="TAW107" s="952"/>
      <c r="TAX107" s="952"/>
      <c r="TAY107" s="952"/>
      <c r="TAZ107" s="952"/>
      <c r="TBA107" s="952"/>
      <c r="TBB107" s="952"/>
      <c r="TBC107" s="952"/>
      <c r="TBD107" s="952"/>
      <c r="TBE107" s="952"/>
      <c r="TBF107" s="952"/>
      <c r="TBG107" s="952"/>
      <c r="TBH107" s="952"/>
      <c r="TBI107" s="952"/>
      <c r="TBJ107" s="952"/>
      <c r="TBK107" s="952"/>
      <c r="TBL107" s="952"/>
      <c r="TBM107" s="952"/>
      <c r="TBN107" s="952"/>
      <c r="TBO107" s="952"/>
      <c r="TBP107" s="952"/>
      <c r="TBQ107" s="952"/>
      <c r="TBR107" s="952"/>
      <c r="TBS107" s="952"/>
      <c r="TBT107" s="952"/>
      <c r="TBU107" s="952"/>
      <c r="TBV107" s="952"/>
      <c r="TBW107" s="952"/>
      <c r="TBX107" s="952"/>
      <c r="TBY107" s="952"/>
      <c r="TBZ107" s="952"/>
      <c r="TCA107" s="952"/>
      <c r="TCB107" s="952"/>
      <c r="TCC107" s="952"/>
      <c r="TCD107" s="952"/>
      <c r="TCE107" s="952"/>
      <c r="TCF107" s="952"/>
      <c r="TCG107" s="952"/>
      <c r="TCH107" s="952"/>
      <c r="TCI107" s="952"/>
      <c r="TCJ107" s="952"/>
      <c r="TCK107" s="952"/>
      <c r="TCL107" s="952"/>
      <c r="TCM107" s="952"/>
      <c r="TCN107" s="952"/>
      <c r="TCO107" s="952"/>
      <c r="TCP107" s="952"/>
      <c r="TCQ107" s="952"/>
      <c r="TCR107" s="952"/>
      <c r="TCS107" s="952"/>
      <c r="TCT107" s="952"/>
      <c r="TCU107" s="952"/>
      <c r="TCV107" s="952"/>
      <c r="TCW107" s="952"/>
      <c r="TCX107" s="952"/>
      <c r="TCY107" s="952"/>
      <c r="TCZ107" s="952"/>
      <c r="TDA107" s="952"/>
      <c r="TDB107" s="952"/>
      <c r="TDC107" s="952"/>
      <c r="TDD107" s="952"/>
      <c r="TDE107" s="952"/>
      <c r="TDF107" s="952"/>
      <c r="TDG107" s="952"/>
      <c r="TDH107" s="952"/>
      <c r="TDI107" s="952"/>
      <c r="TDJ107" s="952"/>
      <c r="TDK107" s="952"/>
      <c r="TDL107" s="952"/>
      <c r="TDM107" s="952"/>
      <c r="TDN107" s="952"/>
      <c r="TDO107" s="952"/>
      <c r="TDP107" s="952"/>
      <c r="TDQ107" s="952"/>
      <c r="TDR107" s="952"/>
      <c r="TDS107" s="952"/>
      <c r="TDT107" s="952"/>
      <c r="TDU107" s="952"/>
      <c r="TDV107" s="952"/>
      <c r="TDW107" s="952"/>
      <c r="TDX107" s="952"/>
      <c r="TDY107" s="952"/>
      <c r="TDZ107" s="952"/>
      <c r="TEA107" s="952"/>
      <c r="TEB107" s="952"/>
      <c r="TEC107" s="952"/>
      <c r="TED107" s="952"/>
      <c r="TEE107" s="952"/>
      <c r="TEF107" s="952"/>
      <c r="TEG107" s="952"/>
      <c r="TEH107" s="952"/>
      <c r="TEI107" s="952"/>
      <c r="TEJ107" s="952"/>
      <c r="TEK107" s="952"/>
      <c r="TEL107" s="952"/>
      <c r="TEM107" s="952"/>
      <c r="TEN107" s="952"/>
      <c r="TEO107" s="952"/>
      <c r="TEP107" s="952"/>
      <c r="TEQ107" s="952"/>
      <c r="TER107" s="952"/>
      <c r="TES107" s="952"/>
      <c r="TET107" s="952"/>
      <c r="TEU107" s="952"/>
      <c r="TEV107" s="952"/>
      <c r="TEW107" s="952"/>
      <c r="TEX107" s="952"/>
      <c r="TEY107" s="952"/>
      <c r="TEZ107" s="952"/>
      <c r="TFA107" s="952"/>
      <c r="TFB107" s="952"/>
      <c r="TFC107" s="952"/>
      <c r="TFD107" s="952"/>
      <c r="TFE107" s="952"/>
      <c r="TFF107" s="952"/>
      <c r="TFG107" s="952"/>
      <c r="TFH107" s="952"/>
      <c r="TFI107" s="952"/>
      <c r="TFJ107" s="952"/>
      <c r="TFK107" s="952"/>
      <c r="TFL107" s="952"/>
      <c r="TFM107" s="952"/>
      <c r="TFN107" s="952"/>
      <c r="TFO107" s="952"/>
      <c r="TFP107" s="952"/>
      <c r="TFQ107" s="952"/>
      <c r="TFR107" s="952"/>
      <c r="TFS107" s="952"/>
      <c r="TFT107" s="952"/>
      <c r="TFU107" s="952"/>
      <c r="TFV107" s="952"/>
      <c r="TFW107" s="952"/>
      <c r="TFX107" s="952"/>
      <c r="TFY107" s="952"/>
      <c r="TFZ107" s="952"/>
      <c r="TGA107" s="952"/>
      <c r="TGB107" s="952"/>
      <c r="TGC107" s="952"/>
      <c r="TGD107" s="952"/>
      <c r="TGE107" s="952"/>
      <c r="TGF107" s="952"/>
      <c r="TGG107" s="952"/>
      <c r="TGH107" s="952"/>
      <c r="TGI107" s="952"/>
      <c r="TGJ107" s="952"/>
      <c r="TGK107" s="952"/>
      <c r="TGL107" s="952"/>
      <c r="TGM107" s="952"/>
      <c r="TGN107" s="952"/>
      <c r="TGO107" s="952"/>
      <c r="TGP107" s="952"/>
      <c r="TGQ107" s="952"/>
      <c r="TGR107" s="952"/>
      <c r="TGS107" s="952"/>
      <c r="TGT107" s="952"/>
      <c r="TGU107" s="952"/>
      <c r="TGV107" s="952"/>
      <c r="TGW107" s="952"/>
      <c r="TGX107" s="952"/>
      <c r="TGY107" s="952"/>
      <c r="TGZ107" s="952"/>
      <c r="THA107" s="952"/>
      <c r="THB107" s="952"/>
      <c r="THC107" s="952"/>
      <c r="THD107" s="952"/>
      <c r="THE107" s="952"/>
      <c r="THF107" s="952"/>
      <c r="THG107" s="952"/>
      <c r="THH107" s="952"/>
      <c r="THI107" s="952"/>
      <c r="THJ107" s="952"/>
      <c r="THK107" s="952"/>
      <c r="THL107" s="952"/>
      <c r="THM107" s="952"/>
      <c r="THN107" s="952"/>
      <c r="THO107" s="952"/>
      <c r="THP107" s="952"/>
      <c r="THQ107" s="952"/>
      <c r="THR107" s="952"/>
      <c r="THS107" s="952"/>
      <c r="THT107" s="952"/>
      <c r="THU107" s="952"/>
      <c r="THV107" s="952"/>
      <c r="THW107" s="952"/>
      <c r="THX107" s="952"/>
      <c r="THY107" s="952"/>
      <c r="THZ107" s="952"/>
      <c r="TIA107" s="952"/>
      <c r="TIB107" s="952"/>
      <c r="TIC107" s="952"/>
      <c r="TID107" s="952"/>
      <c r="TIE107" s="952"/>
      <c r="TIF107" s="952"/>
      <c r="TIG107" s="952"/>
      <c r="TIH107" s="952"/>
      <c r="TII107" s="952"/>
      <c r="TIJ107" s="952"/>
      <c r="TIK107" s="952"/>
      <c r="TIL107" s="952"/>
      <c r="TIM107" s="952"/>
      <c r="TIN107" s="952"/>
      <c r="TIO107" s="952"/>
      <c r="TIP107" s="952"/>
      <c r="TIQ107" s="952"/>
      <c r="TIR107" s="952"/>
      <c r="TIS107" s="952"/>
      <c r="TIT107" s="952"/>
      <c r="TIU107" s="952"/>
      <c r="TIV107" s="952"/>
      <c r="TIW107" s="952"/>
      <c r="TIX107" s="952"/>
      <c r="TIY107" s="952"/>
      <c r="TIZ107" s="952"/>
      <c r="TJA107" s="952"/>
      <c r="TJB107" s="952"/>
      <c r="TJC107" s="952"/>
      <c r="TJD107" s="952"/>
      <c r="TJE107" s="952"/>
      <c r="TJF107" s="952"/>
      <c r="TJG107" s="952"/>
      <c r="TJH107" s="952"/>
      <c r="TJI107" s="952"/>
      <c r="TJJ107" s="952"/>
      <c r="TJK107" s="952"/>
      <c r="TJL107" s="952"/>
      <c r="TJM107" s="952"/>
      <c r="TJN107" s="952"/>
      <c r="TJO107" s="952"/>
      <c r="TJP107" s="952"/>
      <c r="TJQ107" s="952"/>
      <c r="TJR107" s="952"/>
      <c r="TJS107" s="952"/>
      <c r="TJT107" s="952"/>
      <c r="TJU107" s="952"/>
      <c r="TJV107" s="952"/>
      <c r="TJW107" s="952"/>
      <c r="TJX107" s="952"/>
      <c r="TJY107" s="952"/>
      <c r="TJZ107" s="952"/>
      <c r="TKA107" s="952"/>
      <c r="TKB107" s="952"/>
      <c r="TKC107" s="952"/>
      <c r="TKD107" s="952"/>
      <c r="TKE107" s="952"/>
      <c r="TKF107" s="952"/>
      <c r="TKG107" s="952"/>
      <c r="TKH107" s="952"/>
      <c r="TKI107" s="952"/>
      <c r="TKJ107" s="952"/>
      <c r="TKK107" s="952"/>
      <c r="TKL107" s="952"/>
      <c r="TKM107" s="952"/>
      <c r="TKN107" s="952"/>
      <c r="TKO107" s="952"/>
      <c r="TKP107" s="952"/>
      <c r="TKQ107" s="952"/>
      <c r="TKR107" s="952"/>
      <c r="TKS107" s="952"/>
      <c r="TKT107" s="952"/>
      <c r="TKU107" s="952"/>
      <c r="TKV107" s="952"/>
      <c r="TKW107" s="952"/>
      <c r="TKX107" s="952"/>
      <c r="TKY107" s="952"/>
      <c r="TKZ107" s="952"/>
      <c r="TLA107" s="952"/>
      <c r="TLB107" s="952"/>
      <c r="TLC107" s="952"/>
      <c r="TLD107" s="952"/>
      <c r="TLE107" s="952"/>
      <c r="TLF107" s="952"/>
      <c r="TLG107" s="952"/>
      <c r="TLH107" s="952"/>
      <c r="TLI107" s="952"/>
      <c r="TLJ107" s="952"/>
      <c r="TLK107" s="952"/>
      <c r="TLL107" s="952"/>
      <c r="TLM107" s="952"/>
      <c r="TLN107" s="952"/>
      <c r="TLO107" s="952"/>
      <c r="TLP107" s="952"/>
      <c r="TLQ107" s="952"/>
      <c r="TLR107" s="952"/>
      <c r="TLS107" s="952"/>
      <c r="TLT107" s="952"/>
      <c r="TLU107" s="952"/>
      <c r="TLV107" s="952"/>
      <c r="TLW107" s="952"/>
      <c r="TLX107" s="952"/>
      <c r="TLY107" s="952"/>
      <c r="TLZ107" s="952"/>
      <c r="TMA107" s="952"/>
      <c r="TMB107" s="952"/>
      <c r="TMC107" s="952"/>
      <c r="TMD107" s="952"/>
      <c r="TME107" s="952"/>
      <c r="TMF107" s="952"/>
      <c r="TMG107" s="952"/>
      <c r="TMH107" s="952"/>
      <c r="TMI107" s="952"/>
      <c r="TMJ107" s="952"/>
      <c r="TMK107" s="952"/>
      <c r="TML107" s="952"/>
      <c r="TMM107" s="952"/>
      <c r="TMN107" s="952"/>
      <c r="TMO107" s="952"/>
      <c r="TMP107" s="952"/>
      <c r="TMQ107" s="952"/>
      <c r="TMR107" s="952"/>
      <c r="TMS107" s="952"/>
      <c r="TMT107" s="952"/>
      <c r="TMU107" s="952"/>
      <c r="TMV107" s="952"/>
      <c r="TMW107" s="952"/>
      <c r="TMX107" s="952"/>
      <c r="TMY107" s="952"/>
      <c r="TMZ107" s="952"/>
      <c r="TNA107" s="952"/>
      <c r="TNB107" s="952"/>
      <c r="TNC107" s="952"/>
      <c r="TND107" s="952"/>
      <c r="TNE107" s="952"/>
      <c r="TNF107" s="952"/>
      <c r="TNG107" s="952"/>
      <c r="TNH107" s="952"/>
      <c r="TNI107" s="952"/>
      <c r="TNJ107" s="952"/>
      <c r="TNK107" s="952"/>
      <c r="TNL107" s="952"/>
      <c r="TNM107" s="952"/>
      <c r="TNN107" s="952"/>
      <c r="TNO107" s="952"/>
      <c r="TNP107" s="952"/>
      <c r="TNQ107" s="952"/>
      <c r="TNR107" s="952"/>
      <c r="TNS107" s="952"/>
      <c r="TNT107" s="952"/>
      <c r="TNU107" s="952"/>
      <c r="TNV107" s="952"/>
      <c r="TNW107" s="952"/>
      <c r="TNX107" s="952"/>
      <c r="TNY107" s="952"/>
      <c r="TNZ107" s="952"/>
      <c r="TOA107" s="952"/>
      <c r="TOB107" s="952"/>
      <c r="TOC107" s="952"/>
      <c r="TOD107" s="952"/>
      <c r="TOE107" s="952"/>
      <c r="TOF107" s="952"/>
      <c r="TOG107" s="952"/>
      <c r="TOH107" s="952"/>
      <c r="TOI107" s="952"/>
      <c r="TOJ107" s="952"/>
      <c r="TOK107" s="952"/>
      <c r="TOL107" s="952"/>
      <c r="TOM107" s="952"/>
      <c r="TON107" s="952"/>
      <c r="TOO107" s="952"/>
      <c r="TOP107" s="952"/>
      <c r="TOQ107" s="952"/>
      <c r="TOR107" s="952"/>
      <c r="TOS107" s="952"/>
      <c r="TOT107" s="952"/>
      <c r="TOU107" s="952"/>
      <c r="TOV107" s="952"/>
      <c r="TOW107" s="952"/>
      <c r="TOX107" s="952"/>
      <c r="TOY107" s="952"/>
      <c r="TOZ107" s="952"/>
      <c r="TPA107" s="952"/>
      <c r="TPB107" s="952"/>
      <c r="TPC107" s="952"/>
      <c r="TPD107" s="952"/>
      <c r="TPE107" s="952"/>
      <c r="TPF107" s="952"/>
      <c r="TPG107" s="952"/>
      <c r="TPH107" s="952"/>
      <c r="TPI107" s="952"/>
      <c r="TPJ107" s="952"/>
      <c r="TPK107" s="952"/>
      <c r="TPL107" s="952"/>
      <c r="TPM107" s="952"/>
      <c r="TPN107" s="952"/>
      <c r="TPO107" s="952"/>
      <c r="TPP107" s="952"/>
      <c r="TPQ107" s="952"/>
      <c r="TPR107" s="952"/>
      <c r="TPS107" s="952"/>
      <c r="TPT107" s="952"/>
      <c r="TPU107" s="952"/>
      <c r="TPV107" s="952"/>
      <c r="TPW107" s="952"/>
      <c r="TPX107" s="952"/>
      <c r="TPY107" s="952"/>
      <c r="TPZ107" s="952"/>
      <c r="TQA107" s="952"/>
      <c r="TQB107" s="952"/>
      <c r="TQC107" s="952"/>
      <c r="TQD107" s="952"/>
      <c r="TQE107" s="952"/>
      <c r="TQF107" s="952"/>
      <c r="TQG107" s="952"/>
      <c r="TQH107" s="952"/>
      <c r="TQI107" s="952"/>
      <c r="TQJ107" s="952"/>
      <c r="TQK107" s="952"/>
      <c r="TQL107" s="952"/>
      <c r="TQM107" s="952"/>
      <c r="TQN107" s="952"/>
      <c r="TQO107" s="952"/>
      <c r="TQP107" s="952"/>
      <c r="TQQ107" s="952"/>
      <c r="TQR107" s="952"/>
      <c r="TQS107" s="952"/>
      <c r="TQT107" s="952"/>
      <c r="TQU107" s="952"/>
      <c r="TQV107" s="952"/>
      <c r="TQW107" s="952"/>
      <c r="TQX107" s="952"/>
      <c r="TQY107" s="952"/>
      <c r="TQZ107" s="952"/>
      <c r="TRA107" s="952"/>
      <c r="TRB107" s="952"/>
      <c r="TRC107" s="952"/>
      <c r="TRD107" s="952"/>
      <c r="TRE107" s="952"/>
      <c r="TRF107" s="952"/>
      <c r="TRG107" s="952"/>
      <c r="TRH107" s="952"/>
      <c r="TRI107" s="952"/>
      <c r="TRJ107" s="952"/>
      <c r="TRK107" s="952"/>
      <c r="TRL107" s="952"/>
      <c r="TRM107" s="952"/>
      <c r="TRN107" s="952"/>
      <c r="TRO107" s="952"/>
      <c r="TRP107" s="952"/>
      <c r="TRQ107" s="952"/>
      <c r="TRR107" s="952"/>
      <c r="TRS107" s="952"/>
      <c r="TRT107" s="952"/>
      <c r="TRU107" s="952"/>
      <c r="TRV107" s="952"/>
      <c r="TRW107" s="952"/>
      <c r="TRX107" s="952"/>
      <c r="TRY107" s="952"/>
      <c r="TRZ107" s="952"/>
      <c r="TSA107" s="952"/>
      <c r="TSB107" s="952"/>
      <c r="TSC107" s="952"/>
      <c r="TSD107" s="952"/>
      <c r="TSE107" s="952"/>
      <c r="TSF107" s="952"/>
      <c r="TSG107" s="952"/>
      <c r="TSH107" s="952"/>
      <c r="TSI107" s="952"/>
      <c r="TSJ107" s="952"/>
      <c r="TSK107" s="952"/>
      <c r="TSL107" s="952"/>
      <c r="TSM107" s="952"/>
      <c r="TSN107" s="952"/>
      <c r="TSO107" s="952"/>
      <c r="TSP107" s="952"/>
      <c r="TSQ107" s="952"/>
      <c r="TSR107" s="952"/>
      <c r="TSS107" s="952"/>
      <c r="TST107" s="952"/>
      <c r="TSU107" s="952"/>
      <c r="TSV107" s="952"/>
      <c r="TSW107" s="952"/>
      <c r="TSX107" s="952"/>
      <c r="TSY107" s="952"/>
      <c r="TSZ107" s="952"/>
      <c r="TTA107" s="952"/>
      <c r="TTB107" s="952"/>
      <c r="TTC107" s="952"/>
      <c r="TTD107" s="952"/>
      <c r="TTE107" s="952"/>
      <c r="TTF107" s="952"/>
      <c r="TTG107" s="952"/>
      <c r="TTH107" s="952"/>
      <c r="TTI107" s="952"/>
      <c r="TTJ107" s="952"/>
      <c r="TTK107" s="952"/>
      <c r="TTL107" s="952"/>
      <c r="TTM107" s="952"/>
      <c r="TTN107" s="952"/>
      <c r="TTO107" s="952"/>
      <c r="TTP107" s="952"/>
      <c r="TTQ107" s="952"/>
      <c r="TTR107" s="952"/>
      <c r="TTS107" s="952"/>
      <c r="TTT107" s="952"/>
      <c r="TTU107" s="952"/>
      <c r="TTV107" s="952"/>
      <c r="TTW107" s="952"/>
      <c r="TTX107" s="952"/>
      <c r="TTY107" s="952"/>
      <c r="TTZ107" s="952"/>
      <c r="TUA107" s="952"/>
      <c r="TUB107" s="952"/>
      <c r="TUC107" s="952"/>
      <c r="TUD107" s="952"/>
      <c r="TUE107" s="952"/>
      <c r="TUF107" s="952"/>
      <c r="TUG107" s="952"/>
      <c r="TUH107" s="952"/>
      <c r="TUI107" s="952"/>
      <c r="TUJ107" s="952"/>
      <c r="TUK107" s="952"/>
      <c r="TUL107" s="952"/>
      <c r="TUM107" s="952"/>
      <c r="TUN107" s="952"/>
      <c r="TUO107" s="952"/>
      <c r="TUP107" s="952"/>
      <c r="TUQ107" s="952"/>
      <c r="TUR107" s="952"/>
      <c r="TUS107" s="952"/>
      <c r="TUT107" s="952"/>
      <c r="TUU107" s="952"/>
      <c r="TUV107" s="952"/>
      <c r="TUW107" s="952"/>
      <c r="TUX107" s="952"/>
      <c r="TUY107" s="952"/>
      <c r="TUZ107" s="952"/>
      <c r="TVA107" s="952"/>
      <c r="TVB107" s="952"/>
      <c r="TVC107" s="952"/>
      <c r="TVD107" s="952"/>
      <c r="TVE107" s="952"/>
      <c r="TVF107" s="952"/>
      <c r="TVG107" s="952"/>
      <c r="TVH107" s="952"/>
      <c r="TVI107" s="952"/>
      <c r="TVJ107" s="952"/>
      <c r="TVK107" s="952"/>
      <c r="TVL107" s="952"/>
      <c r="TVM107" s="952"/>
      <c r="TVN107" s="952"/>
      <c r="TVO107" s="952"/>
      <c r="TVP107" s="952"/>
      <c r="TVQ107" s="952"/>
      <c r="TVR107" s="952"/>
      <c r="TVS107" s="952"/>
      <c r="TVT107" s="952"/>
      <c r="TVU107" s="952"/>
      <c r="TVV107" s="952"/>
      <c r="TVW107" s="952"/>
      <c r="TVX107" s="952"/>
      <c r="TVY107" s="952"/>
      <c r="TVZ107" s="952"/>
      <c r="TWA107" s="952"/>
      <c r="TWB107" s="952"/>
      <c r="TWC107" s="952"/>
      <c r="TWD107" s="952"/>
      <c r="TWE107" s="952"/>
      <c r="TWF107" s="952"/>
      <c r="TWG107" s="952"/>
      <c r="TWH107" s="952"/>
      <c r="TWI107" s="952"/>
      <c r="TWJ107" s="952"/>
      <c r="TWK107" s="952"/>
      <c r="TWL107" s="952"/>
      <c r="TWM107" s="952"/>
      <c r="TWN107" s="952"/>
      <c r="TWO107" s="952"/>
      <c r="TWP107" s="952"/>
      <c r="TWQ107" s="952"/>
      <c r="TWR107" s="952"/>
      <c r="TWS107" s="952"/>
      <c r="TWT107" s="952"/>
      <c r="TWU107" s="952"/>
      <c r="TWV107" s="952"/>
      <c r="TWW107" s="952"/>
      <c r="TWX107" s="952"/>
      <c r="TWY107" s="952"/>
      <c r="TWZ107" s="952"/>
      <c r="TXA107" s="952"/>
      <c r="TXB107" s="952"/>
      <c r="TXC107" s="952"/>
      <c r="TXD107" s="952"/>
      <c r="TXE107" s="952"/>
      <c r="TXF107" s="952"/>
      <c r="TXG107" s="952"/>
      <c r="TXH107" s="952"/>
      <c r="TXI107" s="952"/>
      <c r="TXJ107" s="952"/>
      <c r="TXK107" s="952"/>
      <c r="TXL107" s="952"/>
      <c r="TXM107" s="952"/>
      <c r="TXN107" s="952"/>
      <c r="TXO107" s="952"/>
      <c r="TXP107" s="952"/>
      <c r="TXQ107" s="952"/>
      <c r="TXR107" s="952"/>
      <c r="TXS107" s="952"/>
      <c r="TXT107" s="952"/>
      <c r="TXU107" s="952"/>
      <c r="TXV107" s="952"/>
      <c r="TXW107" s="952"/>
      <c r="TXX107" s="952"/>
      <c r="TXY107" s="952"/>
      <c r="TXZ107" s="952"/>
      <c r="TYA107" s="952"/>
      <c r="TYB107" s="952"/>
      <c r="TYC107" s="952"/>
      <c r="TYD107" s="952"/>
      <c r="TYE107" s="952"/>
      <c r="TYF107" s="952"/>
      <c r="TYG107" s="952"/>
      <c r="TYH107" s="952"/>
      <c r="TYI107" s="952"/>
      <c r="TYJ107" s="952"/>
      <c r="TYK107" s="952"/>
      <c r="TYL107" s="952"/>
      <c r="TYM107" s="952"/>
      <c r="TYN107" s="952"/>
      <c r="TYO107" s="952"/>
      <c r="TYP107" s="952"/>
      <c r="TYQ107" s="952"/>
      <c r="TYR107" s="952"/>
      <c r="TYS107" s="952"/>
      <c r="TYT107" s="952"/>
      <c r="TYU107" s="952"/>
      <c r="TYV107" s="952"/>
      <c r="TYW107" s="952"/>
      <c r="TYX107" s="952"/>
      <c r="TYY107" s="952"/>
      <c r="TYZ107" s="952"/>
      <c r="TZA107" s="952"/>
      <c r="TZB107" s="952"/>
      <c r="TZC107" s="952"/>
      <c r="TZD107" s="952"/>
      <c r="TZE107" s="952"/>
      <c r="TZF107" s="952"/>
      <c r="TZG107" s="952"/>
      <c r="TZH107" s="952"/>
      <c r="TZI107" s="952"/>
      <c r="TZJ107" s="952"/>
      <c r="TZK107" s="952"/>
      <c r="TZL107" s="952"/>
      <c r="TZM107" s="952"/>
      <c r="TZN107" s="952"/>
      <c r="TZO107" s="952"/>
      <c r="TZP107" s="952"/>
      <c r="TZQ107" s="952"/>
      <c r="TZR107" s="952"/>
      <c r="TZS107" s="952"/>
      <c r="TZT107" s="952"/>
      <c r="TZU107" s="952"/>
      <c r="TZV107" s="952"/>
      <c r="TZW107" s="952"/>
      <c r="TZX107" s="952"/>
      <c r="TZY107" s="952"/>
      <c r="TZZ107" s="952"/>
      <c r="UAA107" s="952"/>
      <c r="UAB107" s="952"/>
      <c r="UAC107" s="952"/>
      <c r="UAD107" s="952"/>
      <c r="UAE107" s="952"/>
      <c r="UAF107" s="952"/>
      <c r="UAG107" s="952"/>
      <c r="UAH107" s="952"/>
      <c r="UAI107" s="952"/>
      <c r="UAJ107" s="952"/>
      <c r="UAK107" s="952"/>
      <c r="UAL107" s="952"/>
      <c r="UAM107" s="952"/>
      <c r="UAN107" s="952"/>
      <c r="UAO107" s="952"/>
      <c r="UAP107" s="952"/>
      <c r="UAQ107" s="952"/>
      <c r="UAR107" s="952"/>
      <c r="UAS107" s="952"/>
      <c r="UAT107" s="952"/>
      <c r="UAU107" s="952"/>
      <c r="UAV107" s="952"/>
      <c r="UAW107" s="952"/>
      <c r="UAX107" s="952"/>
      <c r="UAY107" s="952"/>
      <c r="UAZ107" s="952"/>
      <c r="UBA107" s="952"/>
      <c r="UBB107" s="952"/>
      <c r="UBC107" s="952"/>
      <c r="UBD107" s="952"/>
      <c r="UBE107" s="952"/>
      <c r="UBF107" s="952"/>
      <c r="UBG107" s="952"/>
      <c r="UBH107" s="952"/>
      <c r="UBI107" s="952"/>
      <c r="UBJ107" s="952"/>
      <c r="UBK107" s="952"/>
      <c r="UBL107" s="952"/>
      <c r="UBM107" s="952"/>
      <c r="UBN107" s="952"/>
      <c r="UBO107" s="952"/>
      <c r="UBP107" s="952"/>
      <c r="UBQ107" s="952"/>
      <c r="UBR107" s="952"/>
      <c r="UBS107" s="952"/>
      <c r="UBT107" s="952"/>
      <c r="UBU107" s="952"/>
      <c r="UBV107" s="952"/>
      <c r="UBW107" s="952"/>
      <c r="UBX107" s="952"/>
      <c r="UBY107" s="952"/>
      <c r="UBZ107" s="952"/>
      <c r="UCA107" s="952"/>
      <c r="UCB107" s="952"/>
      <c r="UCC107" s="952"/>
      <c r="UCD107" s="952"/>
      <c r="UCE107" s="952"/>
      <c r="UCF107" s="952"/>
      <c r="UCG107" s="952"/>
      <c r="UCH107" s="952"/>
      <c r="UCI107" s="952"/>
      <c r="UCJ107" s="952"/>
      <c r="UCK107" s="952"/>
      <c r="UCL107" s="952"/>
      <c r="UCM107" s="952"/>
      <c r="UCN107" s="952"/>
      <c r="UCO107" s="952"/>
      <c r="UCP107" s="952"/>
      <c r="UCQ107" s="952"/>
      <c r="UCR107" s="952"/>
      <c r="UCS107" s="952"/>
      <c r="UCT107" s="952"/>
      <c r="UCU107" s="952"/>
      <c r="UCV107" s="952"/>
      <c r="UCW107" s="952"/>
      <c r="UCX107" s="952"/>
      <c r="UCY107" s="952"/>
      <c r="UCZ107" s="952"/>
      <c r="UDA107" s="952"/>
      <c r="UDB107" s="952"/>
      <c r="UDC107" s="952"/>
      <c r="UDD107" s="952"/>
      <c r="UDE107" s="952"/>
      <c r="UDF107" s="952"/>
      <c r="UDG107" s="952"/>
      <c r="UDH107" s="952"/>
      <c r="UDI107" s="952"/>
      <c r="UDJ107" s="952"/>
      <c r="UDK107" s="952"/>
      <c r="UDL107" s="952"/>
      <c r="UDM107" s="952"/>
      <c r="UDN107" s="952"/>
      <c r="UDO107" s="952"/>
      <c r="UDP107" s="952"/>
      <c r="UDQ107" s="952"/>
      <c r="UDR107" s="952"/>
      <c r="UDS107" s="952"/>
      <c r="UDT107" s="952"/>
      <c r="UDU107" s="952"/>
      <c r="UDV107" s="952"/>
      <c r="UDW107" s="952"/>
      <c r="UDX107" s="952"/>
      <c r="UDY107" s="952"/>
      <c r="UDZ107" s="952"/>
      <c r="UEA107" s="952"/>
      <c r="UEB107" s="952"/>
      <c r="UEC107" s="952"/>
      <c r="UED107" s="952"/>
      <c r="UEE107" s="952"/>
      <c r="UEF107" s="952"/>
      <c r="UEG107" s="952"/>
      <c r="UEH107" s="952"/>
      <c r="UEI107" s="952"/>
      <c r="UEJ107" s="952"/>
      <c r="UEK107" s="952"/>
      <c r="UEL107" s="952"/>
      <c r="UEM107" s="952"/>
      <c r="UEN107" s="952"/>
      <c r="UEO107" s="952"/>
      <c r="UEP107" s="952"/>
      <c r="UEQ107" s="952"/>
      <c r="UER107" s="952"/>
      <c r="UES107" s="952"/>
      <c r="UET107" s="952"/>
      <c r="UEU107" s="952"/>
      <c r="UEV107" s="952"/>
      <c r="UEW107" s="952"/>
      <c r="UEX107" s="952"/>
      <c r="UEY107" s="952"/>
      <c r="UEZ107" s="952"/>
      <c r="UFA107" s="952"/>
      <c r="UFB107" s="952"/>
      <c r="UFC107" s="952"/>
      <c r="UFD107" s="952"/>
      <c r="UFE107" s="952"/>
      <c r="UFF107" s="952"/>
      <c r="UFG107" s="952"/>
      <c r="UFH107" s="952"/>
      <c r="UFI107" s="952"/>
      <c r="UFJ107" s="952"/>
      <c r="UFK107" s="952"/>
      <c r="UFL107" s="952"/>
      <c r="UFM107" s="952"/>
      <c r="UFN107" s="952"/>
      <c r="UFO107" s="952"/>
      <c r="UFP107" s="952"/>
      <c r="UFQ107" s="952"/>
      <c r="UFR107" s="952"/>
      <c r="UFS107" s="952"/>
      <c r="UFT107" s="952"/>
      <c r="UFU107" s="952"/>
      <c r="UFV107" s="952"/>
      <c r="UFW107" s="952"/>
      <c r="UFX107" s="952"/>
      <c r="UFY107" s="952"/>
      <c r="UFZ107" s="952"/>
      <c r="UGA107" s="952"/>
      <c r="UGB107" s="952"/>
      <c r="UGC107" s="952"/>
      <c r="UGD107" s="952"/>
      <c r="UGE107" s="952"/>
      <c r="UGF107" s="952"/>
      <c r="UGG107" s="952"/>
      <c r="UGH107" s="952"/>
      <c r="UGI107" s="952"/>
      <c r="UGJ107" s="952"/>
      <c r="UGK107" s="952"/>
      <c r="UGL107" s="952"/>
      <c r="UGM107" s="952"/>
      <c r="UGN107" s="952"/>
      <c r="UGO107" s="952"/>
      <c r="UGP107" s="952"/>
      <c r="UGQ107" s="952"/>
      <c r="UGR107" s="952"/>
      <c r="UGS107" s="952"/>
      <c r="UGT107" s="952"/>
      <c r="UGU107" s="952"/>
      <c r="UGV107" s="952"/>
      <c r="UGW107" s="952"/>
      <c r="UGX107" s="952"/>
      <c r="UGY107" s="952"/>
      <c r="UGZ107" s="952"/>
      <c r="UHA107" s="952"/>
      <c r="UHB107" s="952"/>
      <c r="UHC107" s="952"/>
      <c r="UHD107" s="952"/>
      <c r="UHE107" s="952"/>
      <c r="UHF107" s="952"/>
      <c r="UHG107" s="952"/>
      <c r="UHH107" s="952"/>
      <c r="UHI107" s="952"/>
      <c r="UHJ107" s="952"/>
      <c r="UHK107" s="952"/>
      <c r="UHL107" s="952"/>
      <c r="UHM107" s="952"/>
      <c r="UHN107" s="952"/>
      <c r="UHO107" s="952"/>
      <c r="UHP107" s="952"/>
      <c r="UHQ107" s="952"/>
      <c r="UHR107" s="952"/>
      <c r="UHS107" s="952"/>
      <c r="UHT107" s="952"/>
      <c r="UHU107" s="952"/>
      <c r="UHV107" s="952"/>
      <c r="UHW107" s="952"/>
      <c r="UHX107" s="952"/>
      <c r="UHY107" s="952"/>
      <c r="UHZ107" s="952"/>
      <c r="UIA107" s="952"/>
      <c r="UIB107" s="952"/>
      <c r="UIC107" s="952"/>
      <c r="UID107" s="952"/>
      <c r="UIE107" s="952"/>
      <c r="UIF107" s="952"/>
      <c r="UIG107" s="952"/>
      <c r="UIH107" s="952"/>
      <c r="UII107" s="952"/>
      <c r="UIJ107" s="952"/>
      <c r="UIK107" s="952"/>
      <c r="UIL107" s="952"/>
      <c r="UIM107" s="952"/>
      <c r="UIN107" s="952"/>
      <c r="UIO107" s="952"/>
      <c r="UIP107" s="952"/>
      <c r="UIQ107" s="952"/>
      <c r="UIR107" s="952"/>
      <c r="UIS107" s="952"/>
      <c r="UIT107" s="952"/>
      <c r="UIU107" s="952"/>
      <c r="UIV107" s="952"/>
      <c r="UIW107" s="952"/>
      <c r="UIX107" s="952"/>
      <c r="UIY107" s="952"/>
      <c r="UIZ107" s="952"/>
      <c r="UJA107" s="952"/>
      <c r="UJB107" s="952"/>
      <c r="UJC107" s="952"/>
      <c r="UJD107" s="952"/>
      <c r="UJE107" s="952"/>
      <c r="UJF107" s="952"/>
      <c r="UJG107" s="952"/>
      <c r="UJH107" s="952"/>
      <c r="UJI107" s="952"/>
      <c r="UJJ107" s="952"/>
      <c r="UJK107" s="952"/>
      <c r="UJL107" s="952"/>
      <c r="UJM107" s="952"/>
      <c r="UJN107" s="952"/>
      <c r="UJO107" s="952"/>
      <c r="UJP107" s="952"/>
      <c r="UJQ107" s="952"/>
      <c r="UJR107" s="952"/>
      <c r="UJS107" s="952"/>
      <c r="UJT107" s="952"/>
      <c r="UJU107" s="952"/>
      <c r="UJV107" s="952"/>
      <c r="UJW107" s="952"/>
      <c r="UJX107" s="952"/>
      <c r="UJY107" s="952"/>
      <c r="UJZ107" s="952"/>
      <c r="UKA107" s="952"/>
      <c r="UKB107" s="952"/>
      <c r="UKC107" s="952"/>
      <c r="UKD107" s="952"/>
      <c r="UKE107" s="952"/>
      <c r="UKF107" s="952"/>
      <c r="UKG107" s="952"/>
      <c r="UKH107" s="952"/>
      <c r="UKI107" s="952"/>
      <c r="UKJ107" s="952"/>
      <c r="UKK107" s="952"/>
      <c r="UKL107" s="952"/>
      <c r="UKM107" s="952"/>
      <c r="UKN107" s="952"/>
      <c r="UKO107" s="952"/>
      <c r="UKP107" s="952"/>
      <c r="UKQ107" s="952"/>
      <c r="UKR107" s="952"/>
      <c r="UKS107" s="952"/>
      <c r="UKT107" s="952"/>
      <c r="UKU107" s="952"/>
      <c r="UKV107" s="952"/>
      <c r="UKW107" s="952"/>
      <c r="UKX107" s="952"/>
      <c r="UKY107" s="952"/>
      <c r="UKZ107" s="952"/>
      <c r="ULA107" s="952"/>
      <c r="ULB107" s="952"/>
      <c r="ULC107" s="952"/>
      <c r="ULD107" s="952"/>
      <c r="ULE107" s="952"/>
      <c r="ULF107" s="952"/>
      <c r="ULG107" s="952"/>
      <c r="ULH107" s="952"/>
      <c r="ULI107" s="952"/>
      <c r="ULJ107" s="952"/>
      <c r="ULK107" s="952"/>
      <c r="ULL107" s="952"/>
      <c r="ULM107" s="952"/>
      <c r="ULN107" s="952"/>
      <c r="ULO107" s="952"/>
      <c r="ULP107" s="952"/>
      <c r="ULQ107" s="952"/>
      <c r="ULR107" s="952"/>
      <c r="ULS107" s="952"/>
      <c r="ULT107" s="952"/>
      <c r="ULU107" s="952"/>
      <c r="ULV107" s="952"/>
      <c r="ULW107" s="952"/>
      <c r="ULX107" s="952"/>
      <c r="ULY107" s="952"/>
      <c r="ULZ107" s="952"/>
      <c r="UMA107" s="952"/>
      <c r="UMB107" s="952"/>
      <c r="UMC107" s="952"/>
      <c r="UMD107" s="952"/>
      <c r="UME107" s="952"/>
      <c r="UMF107" s="952"/>
      <c r="UMG107" s="952"/>
      <c r="UMH107" s="952"/>
      <c r="UMI107" s="952"/>
      <c r="UMJ107" s="952"/>
      <c r="UMK107" s="952"/>
      <c r="UML107" s="952"/>
      <c r="UMM107" s="952"/>
      <c r="UMN107" s="952"/>
      <c r="UMO107" s="952"/>
      <c r="UMP107" s="952"/>
      <c r="UMQ107" s="952"/>
      <c r="UMR107" s="952"/>
      <c r="UMS107" s="952"/>
      <c r="UMT107" s="952"/>
      <c r="UMU107" s="952"/>
      <c r="UMV107" s="952"/>
      <c r="UMW107" s="952"/>
      <c r="UMX107" s="952"/>
      <c r="UMY107" s="952"/>
      <c r="UMZ107" s="952"/>
      <c r="UNA107" s="952"/>
      <c r="UNB107" s="952"/>
      <c r="UNC107" s="952"/>
      <c r="UND107" s="952"/>
      <c r="UNE107" s="952"/>
      <c r="UNF107" s="952"/>
      <c r="UNG107" s="952"/>
      <c r="UNH107" s="952"/>
      <c r="UNI107" s="952"/>
      <c r="UNJ107" s="952"/>
      <c r="UNK107" s="952"/>
      <c r="UNL107" s="952"/>
      <c r="UNM107" s="952"/>
      <c r="UNN107" s="952"/>
      <c r="UNO107" s="952"/>
      <c r="UNP107" s="952"/>
      <c r="UNQ107" s="952"/>
      <c r="UNR107" s="952"/>
      <c r="UNS107" s="952"/>
      <c r="UNT107" s="952"/>
      <c r="UNU107" s="952"/>
      <c r="UNV107" s="952"/>
      <c r="UNW107" s="952"/>
      <c r="UNX107" s="952"/>
      <c r="UNY107" s="952"/>
      <c r="UNZ107" s="952"/>
      <c r="UOA107" s="952"/>
      <c r="UOB107" s="952"/>
      <c r="UOC107" s="952"/>
      <c r="UOD107" s="952"/>
      <c r="UOE107" s="952"/>
      <c r="UOF107" s="952"/>
      <c r="UOG107" s="952"/>
      <c r="UOH107" s="952"/>
      <c r="UOI107" s="952"/>
      <c r="UOJ107" s="952"/>
      <c r="UOK107" s="952"/>
      <c r="UOL107" s="952"/>
      <c r="UOM107" s="952"/>
      <c r="UON107" s="952"/>
      <c r="UOO107" s="952"/>
      <c r="UOP107" s="952"/>
      <c r="UOQ107" s="952"/>
      <c r="UOR107" s="952"/>
      <c r="UOS107" s="952"/>
      <c r="UOT107" s="952"/>
      <c r="UOU107" s="952"/>
      <c r="UOV107" s="952"/>
      <c r="UOW107" s="952"/>
      <c r="UOX107" s="952"/>
      <c r="UOY107" s="952"/>
      <c r="UOZ107" s="952"/>
      <c r="UPA107" s="952"/>
      <c r="UPB107" s="952"/>
      <c r="UPC107" s="952"/>
      <c r="UPD107" s="952"/>
      <c r="UPE107" s="952"/>
      <c r="UPF107" s="952"/>
      <c r="UPG107" s="952"/>
      <c r="UPH107" s="952"/>
      <c r="UPI107" s="952"/>
      <c r="UPJ107" s="952"/>
      <c r="UPK107" s="952"/>
      <c r="UPL107" s="952"/>
      <c r="UPM107" s="952"/>
      <c r="UPN107" s="952"/>
      <c r="UPO107" s="952"/>
      <c r="UPP107" s="952"/>
      <c r="UPQ107" s="952"/>
      <c r="UPR107" s="952"/>
      <c r="UPS107" s="952"/>
      <c r="UPT107" s="952"/>
      <c r="UPU107" s="952"/>
      <c r="UPV107" s="952"/>
      <c r="UPW107" s="952"/>
      <c r="UPX107" s="952"/>
      <c r="UPY107" s="952"/>
      <c r="UPZ107" s="952"/>
      <c r="UQA107" s="952"/>
      <c r="UQB107" s="952"/>
      <c r="UQC107" s="952"/>
      <c r="UQD107" s="952"/>
      <c r="UQE107" s="952"/>
      <c r="UQF107" s="952"/>
      <c r="UQG107" s="952"/>
      <c r="UQH107" s="952"/>
      <c r="UQI107" s="952"/>
      <c r="UQJ107" s="952"/>
      <c r="UQK107" s="952"/>
      <c r="UQL107" s="952"/>
      <c r="UQM107" s="952"/>
      <c r="UQN107" s="952"/>
      <c r="UQO107" s="952"/>
      <c r="UQP107" s="952"/>
      <c r="UQQ107" s="952"/>
      <c r="UQR107" s="952"/>
      <c r="UQS107" s="952"/>
      <c r="UQT107" s="952"/>
      <c r="UQU107" s="952"/>
      <c r="UQV107" s="952"/>
      <c r="UQW107" s="952"/>
      <c r="UQX107" s="952"/>
      <c r="UQY107" s="952"/>
      <c r="UQZ107" s="952"/>
      <c r="URA107" s="952"/>
      <c r="URB107" s="952"/>
      <c r="URC107" s="952"/>
      <c r="URD107" s="952"/>
      <c r="URE107" s="952"/>
      <c r="URF107" s="952"/>
      <c r="URG107" s="952"/>
      <c r="URH107" s="952"/>
      <c r="URI107" s="952"/>
      <c r="URJ107" s="952"/>
      <c r="URK107" s="952"/>
      <c r="URL107" s="952"/>
      <c r="URM107" s="952"/>
      <c r="URN107" s="952"/>
      <c r="URO107" s="952"/>
      <c r="URP107" s="952"/>
      <c r="URQ107" s="952"/>
      <c r="URR107" s="952"/>
      <c r="URS107" s="952"/>
      <c r="URT107" s="952"/>
      <c r="URU107" s="952"/>
      <c r="URV107" s="952"/>
      <c r="URW107" s="952"/>
      <c r="URX107" s="952"/>
      <c r="URY107" s="952"/>
      <c r="URZ107" s="952"/>
      <c r="USA107" s="952"/>
      <c r="USB107" s="952"/>
      <c r="USC107" s="952"/>
      <c r="USD107" s="952"/>
      <c r="USE107" s="952"/>
      <c r="USF107" s="952"/>
      <c r="USG107" s="952"/>
      <c r="USH107" s="952"/>
      <c r="USI107" s="952"/>
      <c r="USJ107" s="952"/>
      <c r="USK107" s="952"/>
      <c r="USL107" s="952"/>
      <c r="USM107" s="952"/>
      <c r="USN107" s="952"/>
      <c r="USO107" s="952"/>
      <c r="USP107" s="952"/>
      <c r="USQ107" s="952"/>
      <c r="USR107" s="952"/>
      <c r="USS107" s="952"/>
      <c r="UST107" s="952"/>
      <c r="USU107" s="952"/>
      <c r="USV107" s="952"/>
      <c r="USW107" s="952"/>
      <c r="USX107" s="952"/>
      <c r="USY107" s="952"/>
      <c r="USZ107" s="952"/>
      <c r="UTA107" s="952"/>
      <c r="UTB107" s="952"/>
      <c r="UTC107" s="952"/>
      <c r="UTD107" s="952"/>
      <c r="UTE107" s="952"/>
      <c r="UTF107" s="952"/>
      <c r="UTG107" s="952"/>
      <c r="UTH107" s="952"/>
      <c r="UTI107" s="952"/>
      <c r="UTJ107" s="952"/>
      <c r="UTK107" s="952"/>
      <c r="UTL107" s="952"/>
      <c r="UTM107" s="952"/>
      <c r="UTN107" s="952"/>
      <c r="UTO107" s="952"/>
      <c r="UTP107" s="952"/>
      <c r="UTQ107" s="952"/>
      <c r="UTR107" s="952"/>
      <c r="UTS107" s="952"/>
      <c r="UTT107" s="952"/>
      <c r="UTU107" s="952"/>
      <c r="UTV107" s="952"/>
      <c r="UTW107" s="952"/>
      <c r="UTX107" s="952"/>
      <c r="UTY107" s="952"/>
      <c r="UTZ107" s="952"/>
      <c r="UUA107" s="952"/>
      <c r="UUB107" s="952"/>
      <c r="UUC107" s="952"/>
      <c r="UUD107" s="952"/>
      <c r="UUE107" s="952"/>
      <c r="UUF107" s="952"/>
      <c r="UUG107" s="952"/>
      <c r="UUH107" s="952"/>
      <c r="UUI107" s="952"/>
      <c r="UUJ107" s="952"/>
      <c r="UUK107" s="952"/>
      <c r="UUL107" s="952"/>
      <c r="UUM107" s="952"/>
      <c r="UUN107" s="952"/>
      <c r="UUO107" s="952"/>
      <c r="UUP107" s="952"/>
      <c r="UUQ107" s="952"/>
      <c r="UUR107" s="952"/>
      <c r="UUS107" s="952"/>
      <c r="UUT107" s="952"/>
      <c r="UUU107" s="952"/>
      <c r="UUV107" s="952"/>
      <c r="UUW107" s="952"/>
      <c r="UUX107" s="952"/>
      <c r="UUY107" s="952"/>
      <c r="UUZ107" s="952"/>
      <c r="UVA107" s="952"/>
      <c r="UVB107" s="952"/>
      <c r="UVC107" s="952"/>
      <c r="UVD107" s="952"/>
      <c r="UVE107" s="952"/>
      <c r="UVF107" s="952"/>
      <c r="UVG107" s="952"/>
      <c r="UVH107" s="952"/>
      <c r="UVI107" s="952"/>
      <c r="UVJ107" s="952"/>
      <c r="UVK107" s="952"/>
      <c r="UVL107" s="952"/>
      <c r="UVM107" s="952"/>
      <c r="UVN107" s="952"/>
      <c r="UVO107" s="952"/>
      <c r="UVP107" s="952"/>
      <c r="UVQ107" s="952"/>
      <c r="UVR107" s="952"/>
      <c r="UVS107" s="952"/>
      <c r="UVT107" s="952"/>
      <c r="UVU107" s="952"/>
      <c r="UVV107" s="952"/>
      <c r="UVW107" s="952"/>
      <c r="UVX107" s="952"/>
      <c r="UVY107" s="952"/>
      <c r="UVZ107" s="952"/>
      <c r="UWA107" s="952"/>
      <c r="UWB107" s="952"/>
      <c r="UWC107" s="952"/>
      <c r="UWD107" s="952"/>
      <c r="UWE107" s="952"/>
      <c r="UWF107" s="952"/>
      <c r="UWG107" s="952"/>
      <c r="UWH107" s="952"/>
      <c r="UWI107" s="952"/>
      <c r="UWJ107" s="952"/>
      <c r="UWK107" s="952"/>
      <c r="UWL107" s="952"/>
      <c r="UWM107" s="952"/>
      <c r="UWN107" s="952"/>
      <c r="UWO107" s="952"/>
      <c r="UWP107" s="952"/>
      <c r="UWQ107" s="952"/>
      <c r="UWR107" s="952"/>
      <c r="UWS107" s="952"/>
      <c r="UWT107" s="952"/>
      <c r="UWU107" s="952"/>
      <c r="UWV107" s="952"/>
      <c r="UWW107" s="952"/>
      <c r="UWX107" s="952"/>
      <c r="UWY107" s="952"/>
      <c r="UWZ107" s="952"/>
      <c r="UXA107" s="952"/>
      <c r="UXB107" s="952"/>
      <c r="UXC107" s="952"/>
      <c r="UXD107" s="952"/>
      <c r="UXE107" s="952"/>
      <c r="UXF107" s="952"/>
      <c r="UXG107" s="952"/>
      <c r="UXH107" s="952"/>
      <c r="UXI107" s="952"/>
      <c r="UXJ107" s="952"/>
      <c r="UXK107" s="952"/>
      <c r="UXL107" s="952"/>
      <c r="UXM107" s="952"/>
      <c r="UXN107" s="952"/>
      <c r="UXO107" s="952"/>
      <c r="UXP107" s="952"/>
      <c r="UXQ107" s="952"/>
      <c r="UXR107" s="952"/>
      <c r="UXS107" s="952"/>
      <c r="UXT107" s="952"/>
      <c r="UXU107" s="952"/>
      <c r="UXV107" s="952"/>
      <c r="UXW107" s="952"/>
      <c r="UXX107" s="952"/>
      <c r="UXY107" s="952"/>
      <c r="UXZ107" s="952"/>
      <c r="UYA107" s="952"/>
      <c r="UYB107" s="952"/>
      <c r="UYC107" s="952"/>
      <c r="UYD107" s="952"/>
      <c r="UYE107" s="952"/>
      <c r="UYF107" s="952"/>
      <c r="UYG107" s="952"/>
      <c r="UYH107" s="952"/>
      <c r="UYI107" s="952"/>
      <c r="UYJ107" s="952"/>
      <c r="UYK107" s="952"/>
      <c r="UYL107" s="952"/>
      <c r="UYM107" s="952"/>
      <c r="UYN107" s="952"/>
      <c r="UYO107" s="952"/>
      <c r="UYP107" s="952"/>
      <c r="UYQ107" s="952"/>
      <c r="UYR107" s="952"/>
      <c r="UYS107" s="952"/>
      <c r="UYT107" s="952"/>
      <c r="UYU107" s="952"/>
      <c r="UYV107" s="952"/>
      <c r="UYW107" s="952"/>
      <c r="UYX107" s="952"/>
      <c r="UYY107" s="952"/>
      <c r="UYZ107" s="952"/>
      <c r="UZA107" s="952"/>
      <c r="UZB107" s="952"/>
      <c r="UZC107" s="952"/>
      <c r="UZD107" s="952"/>
      <c r="UZE107" s="952"/>
      <c r="UZF107" s="952"/>
      <c r="UZG107" s="952"/>
      <c r="UZH107" s="952"/>
      <c r="UZI107" s="952"/>
      <c r="UZJ107" s="952"/>
      <c r="UZK107" s="952"/>
      <c r="UZL107" s="952"/>
      <c r="UZM107" s="952"/>
      <c r="UZN107" s="952"/>
      <c r="UZO107" s="952"/>
      <c r="UZP107" s="952"/>
      <c r="UZQ107" s="952"/>
      <c r="UZR107" s="952"/>
      <c r="UZS107" s="952"/>
      <c r="UZT107" s="952"/>
      <c r="UZU107" s="952"/>
      <c r="UZV107" s="952"/>
      <c r="UZW107" s="952"/>
      <c r="UZX107" s="952"/>
      <c r="UZY107" s="952"/>
      <c r="UZZ107" s="952"/>
      <c r="VAA107" s="952"/>
      <c r="VAB107" s="952"/>
      <c r="VAC107" s="952"/>
      <c r="VAD107" s="952"/>
      <c r="VAE107" s="952"/>
      <c r="VAF107" s="952"/>
      <c r="VAG107" s="952"/>
      <c r="VAH107" s="952"/>
      <c r="VAI107" s="952"/>
      <c r="VAJ107" s="952"/>
      <c r="VAK107" s="952"/>
      <c r="VAL107" s="952"/>
      <c r="VAM107" s="952"/>
      <c r="VAN107" s="952"/>
      <c r="VAO107" s="952"/>
      <c r="VAP107" s="952"/>
      <c r="VAQ107" s="952"/>
      <c r="VAR107" s="952"/>
      <c r="VAS107" s="952"/>
      <c r="VAT107" s="952"/>
      <c r="VAU107" s="952"/>
      <c r="VAV107" s="952"/>
      <c r="VAW107" s="952"/>
      <c r="VAX107" s="952"/>
      <c r="VAY107" s="952"/>
      <c r="VAZ107" s="952"/>
      <c r="VBA107" s="952"/>
      <c r="VBB107" s="952"/>
      <c r="VBC107" s="952"/>
      <c r="VBD107" s="952"/>
      <c r="VBE107" s="952"/>
      <c r="VBF107" s="952"/>
      <c r="VBG107" s="952"/>
      <c r="VBH107" s="952"/>
      <c r="VBI107" s="952"/>
      <c r="VBJ107" s="952"/>
      <c r="VBK107" s="952"/>
      <c r="VBL107" s="952"/>
      <c r="VBM107" s="952"/>
      <c r="VBN107" s="952"/>
      <c r="VBO107" s="952"/>
      <c r="VBP107" s="952"/>
      <c r="VBQ107" s="952"/>
      <c r="VBR107" s="952"/>
      <c r="VBS107" s="952"/>
      <c r="VBT107" s="952"/>
      <c r="VBU107" s="952"/>
      <c r="VBV107" s="952"/>
      <c r="VBW107" s="952"/>
      <c r="VBX107" s="952"/>
      <c r="VBY107" s="952"/>
      <c r="VBZ107" s="952"/>
      <c r="VCA107" s="952"/>
      <c r="VCB107" s="952"/>
      <c r="VCC107" s="952"/>
      <c r="VCD107" s="952"/>
      <c r="VCE107" s="952"/>
      <c r="VCF107" s="952"/>
      <c r="VCG107" s="952"/>
      <c r="VCH107" s="952"/>
      <c r="VCI107" s="952"/>
      <c r="VCJ107" s="952"/>
      <c r="VCK107" s="952"/>
      <c r="VCL107" s="952"/>
      <c r="VCM107" s="952"/>
      <c r="VCN107" s="952"/>
      <c r="VCO107" s="952"/>
      <c r="VCP107" s="952"/>
      <c r="VCQ107" s="952"/>
      <c r="VCR107" s="952"/>
      <c r="VCS107" s="952"/>
      <c r="VCT107" s="952"/>
      <c r="VCU107" s="952"/>
      <c r="VCV107" s="952"/>
      <c r="VCW107" s="952"/>
      <c r="VCX107" s="952"/>
      <c r="VCY107" s="952"/>
      <c r="VCZ107" s="952"/>
      <c r="VDA107" s="952"/>
      <c r="VDB107" s="952"/>
      <c r="VDC107" s="952"/>
      <c r="VDD107" s="952"/>
      <c r="VDE107" s="952"/>
      <c r="VDF107" s="952"/>
      <c r="VDG107" s="952"/>
      <c r="VDH107" s="952"/>
      <c r="VDI107" s="952"/>
      <c r="VDJ107" s="952"/>
      <c r="VDK107" s="952"/>
      <c r="VDL107" s="952"/>
      <c r="VDM107" s="952"/>
      <c r="VDN107" s="952"/>
      <c r="VDO107" s="952"/>
      <c r="VDP107" s="952"/>
      <c r="VDQ107" s="952"/>
      <c r="VDR107" s="952"/>
      <c r="VDS107" s="952"/>
      <c r="VDT107" s="952"/>
      <c r="VDU107" s="952"/>
      <c r="VDV107" s="952"/>
      <c r="VDW107" s="952"/>
      <c r="VDX107" s="952"/>
      <c r="VDY107" s="952"/>
      <c r="VDZ107" s="952"/>
      <c r="VEA107" s="952"/>
      <c r="VEB107" s="952"/>
      <c r="VEC107" s="952"/>
      <c r="VED107" s="952"/>
      <c r="VEE107" s="952"/>
      <c r="VEF107" s="952"/>
      <c r="VEG107" s="952"/>
      <c r="VEH107" s="952"/>
      <c r="VEI107" s="952"/>
      <c r="VEJ107" s="952"/>
      <c r="VEK107" s="952"/>
      <c r="VEL107" s="952"/>
      <c r="VEM107" s="952"/>
      <c r="VEN107" s="952"/>
      <c r="VEO107" s="952"/>
      <c r="VEP107" s="952"/>
      <c r="VEQ107" s="952"/>
      <c r="VER107" s="952"/>
      <c r="VES107" s="952"/>
      <c r="VET107" s="952"/>
      <c r="VEU107" s="952"/>
      <c r="VEV107" s="952"/>
      <c r="VEW107" s="952"/>
      <c r="VEX107" s="952"/>
      <c r="VEY107" s="952"/>
      <c r="VEZ107" s="952"/>
      <c r="VFA107" s="952"/>
      <c r="VFB107" s="952"/>
      <c r="VFC107" s="952"/>
      <c r="VFD107" s="952"/>
      <c r="VFE107" s="952"/>
      <c r="VFF107" s="952"/>
      <c r="VFG107" s="952"/>
      <c r="VFH107" s="952"/>
      <c r="VFI107" s="952"/>
      <c r="VFJ107" s="952"/>
      <c r="VFK107" s="952"/>
      <c r="VFL107" s="952"/>
      <c r="VFM107" s="952"/>
      <c r="VFN107" s="952"/>
      <c r="VFO107" s="952"/>
      <c r="VFP107" s="952"/>
      <c r="VFQ107" s="952"/>
      <c r="VFR107" s="952"/>
      <c r="VFS107" s="952"/>
      <c r="VFT107" s="952"/>
      <c r="VFU107" s="952"/>
      <c r="VFV107" s="952"/>
      <c r="VFW107" s="952"/>
      <c r="VFX107" s="952"/>
      <c r="VFY107" s="952"/>
      <c r="VFZ107" s="952"/>
      <c r="VGA107" s="952"/>
      <c r="VGB107" s="952"/>
      <c r="VGC107" s="952"/>
      <c r="VGD107" s="952"/>
      <c r="VGE107" s="952"/>
      <c r="VGF107" s="952"/>
      <c r="VGG107" s="952"/>
      <c r="VGH107" s="952"/>
      <c r="VGI107" s="952"/>
      <c r="VGJ107" s="952"/>
      <c r="VGK107" s="952"/>
      <c r="VGL107" s="952"/>
      <c r="VGM107" s="952"/>
      <c r="VGN107" s="952"/>
      <c r="VGO107" s="952"/>
      <c r="VGP107" s="952"/>
      <c r="VGQ107" s="952"/>
      <c r="VGR107" s="952"/>
      <c r="VGS107" s="952"/>
      <c r="VGT107" s="952"/>
      <c r="VGU107" s="952"/>
      <c r="VGV107" s="952"/>
      <c r="VGW107" s="952"/>
      <c r="VGX107" s="952"/>
      <c r="VGY107" s="952"/>
      <c r="VGZ107" s="952"/>
      <c r="VHA107" s="952"/>
      <c r="VHB107" s="952"/>
      <c r="VHC107" s="952"/>
      <c r="VHD107" s="952"/>
      <c r="VHE107" s="952"/>
      <c r="VHF107" s="952"/>
      <c r="VHG107" s="952"/>
      <c r="VHH107" s="952"/>
      <c r="VHI107" s="952"/>
      <c r="VHJ107" s="952"/>
      <c r="VHK107" s="952"/>
      <c r="VHL107" s="952"/>
      <c r="VHM107" s="952"/>
      <c r="VHN107" s="952"/>
      <c r="VHO107" s="952"/>
      <c r="VHP107" s="952"/>
      <c r="VHQ107" s="952"/>
      <c r="VHR107" s="952"/>
      <c r="VHS107" s="952"/>
      <c r="VHT107" s="952"/>
      <c r="VHU107" s="952"/>
      <c r="VHV107" s="952"/>
      <c r="VHW107" s="952"/>
      <c r="VHX107" s="952"/>
      <c r="VHY107" s="952"/>
      <c r="VHZ107" s="952"/>
      <c r="VIA107" s="952"/>
      <c r="VIB107" s="952"/>
      <c r="VIC107" s="952"/>
      <c r="VID107" s="952"/>
      <c r="VIE107" s="952"/>
      <c r="VIF107" s="952"/>
      <c r="VIG107" s="952"/>
      <c r="VIH107" s="952"/>
      <c r="VII107" s="952"/>
      <c r="VIJ107" s="952"/>
      <c r="VIK107" s="952"/>
      <c r="VIL107" s="952"/>
      <c r="VIM107" s="952"/>
      <c r="VIN107" s="952"/>
      <c r="VIO107" s="952"/>
      <c r="VIP107" s="952"/>
      <c r="VIQ107" s="952"/>
      <c r="VIR107" s="952"/>
      <c r="VIS107" s="952"/>
      <c r="VIT107" s="952"/>
      <c r="VIU107" s="952"/>
      <c r="VIV107" s="952"/>
      <c r="VIW107" s="952"/>
      <c r="VIX107" s="952"/>
      <c r="VIY107" s="952"/>
      <c r="VIZ107" s="952"/>
      <c r="VJA107" s="952"/>
      <c r="VJB107" s="952"/>
      <c r="VJC107" s="952"/>
      <c r="VJD107" s="952"/>
      <c r="VJE107" s="952"/>
      <c r="VJF107" s="952"/>
      <c r="VJG107" s="952"/>
      <c r="VJH107" s="952"/>
      <c r="VJI107" s="952"/>
      <c r="VJJ107" s="952"/>
      <c r="VJK107" s="952"/>
      <c r="VJL107" s="952"/>
      <c r="VJM107" s="952"/>
      <c r="VJN107" s="952"/>
      <c r="VJO107" s="952"/>
      <c r="VJP107" s="952"/>
      <c r="VJQ107" s="952"/>
      <c r="VJR107" s="952"/>
      <c r="VJS107" s="952"/>
      <c r="VJT107" s="952"/>
      <c r="VJU107" s="952"/>
      <c r="VJV107" s="952"/>
      <c r="VJW107" s="952"/>
      <c r="VJX107" s="952"/>
      <c r="VJY107" s="952"/>
      <c r="VJZ107" s="952"/>
      <c r="VKA107" s="952"/>
      <c r="VKB107" s="952"/>
      <c r="VKC107" s="952"/>
      <c r="VKD107" s="952"/>
      <c r="VKE107" s="952"/>
      <c r="VKF107" s="952"/>
      <c r="VKG107" s="952"/>
      <c r="VKH107" s="952"/>
      <c r="VKI107" s="952"/>
      <c r="VKJ107" s="952"/>
      <c r="VKK107" s="952"/>
      <c r="VKL107" s="952"/>
      <c r="VKM107" s="952"/>
      <c r="VKN107" s="952"/>
      <c r="VKO107" s="952"/>
      <c r="VKP107" s="952"/>
      <c r="VKQ107" s="952"/>
      <c r="VKR107" s="952"/>
      <c r="VKS107" s="952"/>
      <c r="VKT107" s="952"/>
      <c r="VKU107" s="952"/>
      <c r="VKV107" s="952"/>
      <c r="VKW107" s="952"/>
      <c r="VKX107" s="952"/>
      <c r="VKY107" s="952"/>
      <c r="VKZ107" s="952"/>
      <c r="VLA107" s="952"/>
      <c r="VLB107" s="952"/>
      <c r="VLC107" s="952"/>
      <c r="VLD107" s="952"/>
      <c r="VLE107" s="952"/>
      <c r="VLF107" s="952"/>
      <c r="VLG107" s="952"/>
      <c r="VLH107" s="952"/>
      <c r="VLI107" s="952"/>
      <c r="VLJ107" s="952"/>
      <c r="VLK107" s="952"/>
      <c r="VLL107" s="952"/>
      <c r="VLM107" s="952"/>
      <c r="VLN107" s="952"/>
      <c r="VLO107" s="952"/>
      <c r="VLP107" s="952"/>
      <c r="VLQ107" s="952"/>
      <c r="VLR107" s="952"/>
      <c r="VLS107" s="952"/>
      <c r="VLT107" s="952"/>
      <c r="VLU107" s="952"/>
      <c r="VLV107" s="952"/>
      <c r="VLW107" s="952"/>
      <c r="VLX107" s="952"/>
      <c r="VLY107" s="952"/>
      <c r="VLZ107" s="952"/>
      <c r="VMA107" s="952"/>
      <c r="VMB107" s="952"/>
      <c r="VMC107" s="952"/>
      <c r="VMD107" s="952"/>
      <c r="VME107" s="952"/>
      <c r="VMF107" s="952"/>
      <c r="VMG107" s="952"/>
      <c r="VMH107" s="952"/>
      <c r="VMI107" s="952"/>
      <c r="VMJ107" s="952"/>
      <c r="VMK107" s="952"/>
      <c r="VML107" s="952"/>
      <c r="VMM107" s="952"/>
      <c r="VMN107" s="952"/>
      <c r="VMO107" s="952"/>
      <c r="VMP107" s="952"/>
      <c r="VMQ107" s="952"/>
      <c r="VMR107" s="952"/>
      <c r="VMS107" s="952"/>
      <c r="VMT107" s="952"/>
      <c r="VMU107" s="952"/>
      <c r="VMV107" s="952"/>
      <c r="VMW107" s="952"/>
      <c r="VMX107" s="952"/>
      <c r="VMY107" s="952"/>
      <c r="VMZ107" s="952"/>
      <c r="VNA107" s="952"/>
      <c r="VNB107" s="952"/>
      <c r="VNC107" s="952"/>
      <c r="VND107" s="952"/>
      <c r="VNE107" s="952"/>
      <c r="VNF107" s="952"/>
      <c r="VNG107" s="952"/>
      <c r="VNH107" s="952"/>
      <c r="VNI107" s="952"/>
      <c r="VNJ107" s="952"/>
      <c r="VNK107" s="952"/>
      <c r="VNL107" s="952"/>
      <c r="VNM107" s="952"/>
      <c r="VNN107" s="952"/>
      <c r="VNO107" s="952"/>
      <c r="VNP107" s="952"/>
      <c r="VNQ107" s="952"/>
      <c r="VNR107" s="952"/>
      <c r="VNS107" s="952"/>
      <c r="VNT107" s="952"/>
      <c r="VNU107" s="952"/>
      <c r="VNV107" s="952"/>
      <c r="VNW107" s="952"/>
      <c r="VNX107" s="952"/>
      <c r="VNY107" s="952"/>
      <c r="VNZ107" s="952"/>
      <c r="VOA107" s="952"/>
      <c r="VOB107" s="952"/>
      <c r="VOC107" s="952"/>
      <c r="VOD107" s="952"/>
      <c r="VOE107" s="952"/>
      <c r="VOF107" s="952"/>
      <c r="VOG107" s="952"/>
      <c r="VOH107" s="952"/>
      <c r="VOI107" s="952"/>
      <c r="VOJ107" s="952"/>
      <c r="VOK107" s="952"/>
      <c r="VOL107" s="952"/>
      <c r="VOM107" s="952"/>
      <c r="VON107" s="952"/>
      <c r="VOO107" s="952"/>
      <c r="VOP107" s="952"/>
      <c r="VOQ107" s="952"/>
      <c r="VOR107" s="952"/>
      <c r="VOS107" s="952"/>
      <c r="VOT107" s="952"/>
      <c r="VOU107" s="952"/>
      <c r="VOV107" s="952"/>
      <c r="VOW107" s="952"/>
      <c r="VOX107" s="952"/>
      <c r="VOY107" s="952"/>
      <c r="VOZ107" s="952"/>
      <c r="VPA107" s="952"/>
      <c r="VPB107" s="952"/>
      <c r="VPC107" s="952"/>
      <c r="VPD107" s="952"/>
      <c r="VPE107" s="952"/>
      <c r="VPF107" s="952"/>
      <c r="VPG107" s="952"/>
      <c r="VPH107" s="952"/>
      <c r="VPI107" s="952"/>
      <c r="VPJ107" s="952"/>
      <c r="VPK107" s="952"/>
      <c r="VPL107" s="952"/>
      <c r="VPM107" s="952"/>
      <c r="VPN107" s="952"/>
      <c r="VPO107" s="952"/>
      <c r="VPP107" s="952"/>
      <c r="VPQ107" s="952"/>
      <c r="VPR107" s="952"/>
      <c r="VPS107" s="952"/>
      <c r="VPT107" s="952"/>
      <c r="VPU107" s="952"/>
      <c r="VPV107" s="952"/>
      <c r="VPW107" s="952"/>
      <c r="VPX107" s="952"/>
      <c r="VPY107" s="952"/>
      <c r="VPZ107" s="952"/>
      <c r="VQA107" s="952"/>
      <c r="VQB107" s="952"/>
      <c r="VQC107" s="952"/>
      <c r="VQD107" s="952"/>
      <c r="VQE107" s="952"/>
      <c r="VQF107" s="952"/>
      <c r="VQG107" s="952"/>
      <c r="VQH107" s="952"/>
      <c r="VQI107" s="952"/>
      <c r="VQJ107" s="952"/>
      <c r="VQK107" s="952"/>
      <c r="VQL107" s="952"/>
      <c r="VQM107" s="952"/>
      <c r="VQN107" s="952"/>
      <c r="VQO107" s="952"/>
      <c r="VQP107" s="952"/>
      <c r="VQQ107" s="952"/>
      <c r="VQR107" s="952"/>
      <c r="VQS107" s="952"/>
      <c r="VQT107" s="952"/>
      <c r="VQU107" s="952"/>
      <c r="VQV107" s="952"/>
      <c r="VQW107" s="952"/>
      <c r="VQX107" s="952"/>
      <c r="VQY107" s="952"/>
      <c r="VQZ107" s="952"/>
      <c r="VRA107" s="952"/>
      <c r="VRB107" s="952"/>
      <c r="VRC107" s="952"/>
      <c r="VRD107" s="952"/>
      <c r="VRE107" s="952"/>
      <c r="VRF107" s="952"/>
      <c r="VRG107" s="952"/>
      <c r="VRH107" s="952"/>
      <c r="VRI107" s="952"/>
      <c r="VRJ107" s="952"/>
      <c r="VRK107" s="952"/>
      <c r="VRL107" s="952"/>
      <c r="VRM107" s="952"/>
      <c r="VRN107" s="952"/>
      <c r="VRO107" s="952"/>
      <c r="VRP107" s="952"/>
      <c r="VRQ107" s="952"/>
      <c r="VRR107" s="952"/>
      <c r="VRS107" s="952"/>
      <c r="VRT107" s="952"/>
      <c r="VRU107" s="952"/>
      <c r="VRV107" s="952"/>
      <c r="VRW107" s="952"/>
      <c r="VRX107" s="952"/>
      <c r="VRY107" s="952"/>
      <c r="VRZ107" s="952"/>
      <c r="VSA107" s="952"/>
      <c r="VSB107" s="952"/>
      <c r="VSC107" s="952"/>
      <c r="VSD107" s="952"/>
      <c r="VSE107" s="952"/>
      <c r="VSF107" s="952"/>
      <c r="VSG107" s="952"/>
      <c r="VSH107" s="952"/>
      <c r="VSI107" s="952"/>
      <c r="VSJ107" s="952"/>
      <c r="VSK107" s="952"/>
      <c r="VSL107" s="952"/>
      <c r="VSM107" s="952"/>
      <c r="VSN107" s="952"/>
      <c r="VSO107" s="952"/>
      <c r="VSP107" s="952"/>
      <c r="VSQ107" s="952"/>
      <c r="VSR107" s="952"/>
      <c r="VSS107" s="952"/>
      <c r="VST107" s="952"/>
      <c r="VSU107" s="952"/>
      <c r="VSV107" s="952"/>
      <c r="VSW107" s="952"/>
      <c r="VSX107" s="952"/>
      <c r="VSY107" s="952"/>
      <c r="VSZ107" s="952"/>
      <c r="VTA107" s="952"/>
      <c r="VTB107" s="952"/>
      <c r="VTC107" s="952"/>
      <c r="VTD107" s="952"/>
      <c r="VTE107" s="952"/>
      <c r="VTF107" s="952"/>
      <c r="VTG107" s="952"/>
      <c r="VTH107" s="952"/>
      <c r="VTI107" s="952"/>
      <c r="VTJ107" s="952"/>
      <c r="VTK107" s="952"/>
      <c r="VTL107" s="952"/>
      <c r="VTM107" s="952"/>
      <c r="VTN107" s="952"/>
      <c r="VTO107" s="952"/>
      <c r="VTP107" s="952"/>
      <c r="VTQ107" s="952"/>
      <c r="VTR107" s="952"/>
      <c r="VTS107" s="952"/>
      <c r="VTT107" s="952"/>
      <c r="VTU107" s="952"/>
      <c r="VTV107" s="952"/>
      <c r="VTW107" s="952"/>
      <c r="VTX107" s="952"/>
      <c r="VTY107" s="952"/>
      <c r="VTZ107" s="952"/>
      <c r="VUA107" s="952"/>
      <c r="VUB107" s="952"/>
      <c r="VUC107" s="952"/>
      <c r="VUD107" s="952"/>
      <c r="VUE107" s="952"/>
      <c r="VUF107" s="952"/>
      <c r="VUG107" s="952"/>
      <c r="VUH107" s="952"/>
      <c r="VUI107" s="952"/>
      <c r="VUJ107" s="952"/>
      <c r="VUK107" s="952"/>
      <c r="VUL107" s="952"/>
      <c r="VUM107" s="952"/>
      <c r="VUN107" s="952"/>
      <c r="VUO107" s="952"/>
      <c r="VUP107" s="952"/>
      <c r="VUQ107" s="952"/>
      <c r="VUR107" s="952"/>
      <c r="VUS107" s="952"/>
      <c r="VUT107" s="952"/>
      <c r="VUU107" s="952"/>
      <c r="VUV107" s="952"/>
      <c r="VUW107" s="952"/>
      <c r="VUX107" s="952"/>
      <c r="VUY107" s="952"/>
      <c r="VUZ107" s="952"/>
      <c r="VVA107" s="952"/>
      <c r="VVB107" s="952"/>
      <c r="VVC107" s="952"/>
      <c r="VVD107" s="952"/>
      <c r="VVE107" s="952"/>
      <c r="VVF107" s="952"/>
      <c r="VVG107" s="952"/>
      <c r="VVH107" s="952"/>
      <c r="VVI107" s="952"/>
      <c r="VVJ107" s="952"/>
      <c r="VVK107" s="952"/>
      <c r="VVL107" s="952"/>
      <c r="VVM107" s="952"/>
      <c r="VVN107" s="952"/>
      <c r="VVO107" s="952"/>
      <c r="VVP107" s="952"/>
      <c r="VVQ107" s="952"/>
      <c r="VVR107" s="952"/>
      <c r="VVS107" s="952"/>
      <c r="VVT107" s="952"/>
      <c r="VVU107" s="952"/>
      <c r="VVV107" s="952"/>
      <c r="VVW107" s="952"/>
      <c r="VVX107" s="952"/>
      <c r="VVY107" s="952"/>
      <c r="VVZ107" s="952"/>
      <c r="VWA107" s="952"/>
      <c r="VWB107" s="952"/>
      <c r="VWC107" s="952"/>
      <c r="VWD107" s="952"/>
      <c r="VWE107" s="952"/>
      <c r="VWF107" s="952"/>
      <c r="VWG107" s="952"/>
      <c r="VWH107" s="952"/>
      <c r="VWI107" s="952"/>
      <c r="VWJ107" s="952"/>
      <c r="VWK107" s="952"/>
      <c r="VWL107" s="952"/>
      <c r="VWM107" s="952"/>
      <c r="VWN107" s="952"/>
      <c r="VWO107" s="952"/>
      <c r="VWP107" s="952"/>
      <c r="VWQ107" s="952"/>
      <c r="VWR107" s="952"/>
      <c r="VWS107" s="952"/>
      <c r="VWT107" s="952"/>
      <c r="VWU107" s="952"/>
      <c r="VWV107" s="952"/>
      <c r="VWW107" s="952"/>
      <c r="VWX107" s="952"/>
      <c r="VWY107" s="952"/>
      <c r="VWZ107" s="952"/>
      <c r="VXA107" s="952"/>
      <c r="VXB107" s="952"/>
      <c r="VXC107" s="952"/>
      <c r="VXD107" s="952"/>
      <c r="VXE107" s="952"/>
      <c r="VXF107" s="952"/>
      <c r="VXG107" s="952"/>
      <c r="VXH107" s="952"/>
      <c r="VXI107" s="952"/>
      <c r="VXJ107" s="952"/>
      <c r="VXK107" s="952"/>
      <c r="VXL107" s="952"/>
      <c r="VXM107" s="952"/>
      <c r="VXN107" s="952"/>
      <c r="VXO107" s="952"/>
      <c r="VXP107" s="952"/>
      <c r="VXQ107" s="952"/>
      <c r="VXR107" s="952"/>
      <c r="VXS107" s="952"/>
      <c r="VXT107" s="952"/>
      <c r="VXU107" s="952"/>
      <c r="VXV107" s="952"/>
      <c r="VXW107" s="952"/>
      <c r="VXX107" s="952"/>
      <c r="VXY107" s="952"/>
      <c r="VXZ107" s="952"/>
      <c r="VYA107" s="952"/>
      <c r="VYB107" s="952"/>
      <c r="VYC107" s="952"/>
      <c r="VYD107" s="952"/>
      <c r="VYE107" s="952"/>
      <c r="VYF107" s="952"/>
      <c r="VYG107" s="952"/>
      <c r="VYH107" s="952"/>
      <c r="VYI107" s="952"/>
      <c r="VYJ107" s="952"/>
      <c r="VYK107" s="952"/>
      <c r="VYL107" s="952"/>
      <c r="VYM107" s="952"/>
      <c r="VYN107" s="952"/>
      <c r="VYO107" s="952"/>
      <c r="VYP107" s="952"/>
      <c r="VYQ107" s="952"/>
      <c r="VYR107" s="952"/>
      <c r="VYS107" s="952"/>
      <c r="VYT107" s="952"/>
      <c r="VYU107" s="952"/>
      <c r="VYV107" s="952"/>
      <c r="VYW107" s="952"/>
      <c r="VYX107" s="952"/>
      <c r="VYY107" s="952"/>
      <c r="VYZ107" s="952"/>
      <c r="VZA107" s="952"/>
      <c r="VZB107" s="952"/>
      <c r="VZC107" s="952"/>
      <c r="VZD107" s="952"/>
      <c r="VZE107" s="952"/>
      <c r="VZF107" s="952"/>
      <c r="VZG107" s="952"/>
      <c r="VZH107" s="952"/>
      <c r="VZI107" s="952"/>
      <c r="VZJ107" s="952"/>
      <c r="VZK107" s="952"/>
      <c r="VZL107" s="952"/>
      <c r="VZM107" s="952"/>
      <c r="VZN107" s="952"/>
      <c r="VZO107" s="952"/>
      <c r="VZP107" s="952"/>
      <c r="VZQ107" s="952"/>
      <c r="VZR107" s="952"/>
      <c r="VZS107" s="952"/>
      <c r="VZT107" s="952"/>
      <c r="VZU107" s="952"/>
      <c r="VZV107" s="952"/>
      <c r="VZW107" s="952"/>
      <c r="VZX107" s="952"/>
      <c r="VZY107" s="952"/>
      <c r="VZZ107" s="952"/>
      <c r="WAA107" s="952"/>
      <c r="WAB107" s="952"/>
      <c r="WAC107" s="952"/>
      <c r="WAD107" s="952"/>
      <c r="WAE107" s="952"/>
      <c r="WAF107" s="952"/>
      <c r="WAG107" s="952"/>
      <c r="WAH107" s="952"/>
      <c r="WAI107" s="952"/>
      <c r="WAJ107" s="952"/>
      <c r="WAK107" s="952"/>
      <c r="WAL107" s="952"/>
      <c r="WAM107" s="952"/>
      <c r="WAN107" s="952"/>
      <c r="WAO107" s="952"/>
      <c r="WAP107" s="952"/>
      <c r="WAQ107" s="952"/>
      <c r="WAR107" s="952"/>
      <c r="WAS107" s="952"/>
      <c r="WAT107" s="952"/>
      <c r="WAU107" s="952"/>
      <c r="WAV107" s="952"/>
      <c r="WAW107" s="952"/>
      <c r="WAX107" s="952"/>
      <c r="WAY107" s="952"/>
      <c r="WAZ107" s="952"/>
      <c r="WBA107" s="952"/>
      <c r="WBB107" s="952"/>
      <c r="WBC107" s="952"/>
      <c r="WBD107" s="952"/>
      <c r="WBE107" s="952"/>
      <c r="WBF107" s="952"/>
      <c r="WBG107" s="952"/>
      <c r="WBH107" s="952"/>
      <c r="WBI107" s="952"/>
      <c r="WBJ107" s="952"/>
      <c r="WBK107" s="952"/>
      <c r="WBL107" s="952"/>
      <c r="WBM107" s="952"/>
      <c r="WBN107" s="952"/>
      <c r="WBO107" s="952"/>
      <c r="WBP107" s="952"/>
      <c r="WBQ107" s="952"/>
      <c r="WBR107" s="952"/>
      <c r="WBS107" s="952"/>
      <c r="WBT107" s="952"/>
      <c r="WBU107" s="952"/>
      <c r="WBV107" s="952"/>
      <c r="WBW107" s="952"/>
      <c r="WBX107" s="952"/>
      <c r="WBY107" s="952"/>
      <c r="WBZ107" s="952"/>
      <c r="WCA107" s="952"/>
      <c r="WCB107" s="952"/>
      <c r="WCC107" s="952"/>
      <c r="WCD107" s="952"/>
      <c r="WCE107" s="952"/>
      <c r="WCF107" s="952"/>
      <c r="WCG107" s="952"/>
      <c r="WCH107" s="952"/>
      <c r="WCI107" s="952"/>
      <c r="WCJ107" s="952"/>
      <c r="WCK107" s="952"/>
      <c r="WCL107" s="952"/>
      <c r="WCM107" s="952"/>
      <c r="WCN107" s="952"/>
      <c r="WCO107" s="952"/>
      <c r="WCP107" s="952"/>
      <c r="WCQ107" s="952"/>
      <c r="WCR107" s="952"/>
      <c r="WCS107" s="952"/>
      <c r="WCT107" s="952"/>
      <c r="WCU107" s="952"/>
      <c r="WCV107" s="952"/>
      <c r="WCW107" s="952"/>
      <c r="WCX107" s="952"/>
      <c r="WCY107" s="952"/>
      <c r="WCZ107" s="952"/>
      <c r="WDA107" s="952"/>
      <c r="WDB107" s="952"/>
      <c r="WDC107" s="952"/>
      <c r="WDD107" s="952"/>
      <c r="WDE107" s="952"/>
      <c r="WDF107" s="952"/>
      <c r="WDG107" s="952"/>
      <c r="WDH107" s="952"/>
      <c r="WDI107" s="952"/>
      <c r="WDJ107" s="952"/>
      <c r="WDK107" s="952"/>
      <c r="WDL107" s="952"/>
      <c r="WDM107" s="952"/>
      <c r="WDN107" s="952"/>
      <c r="WDO107" s="952"/>
      <c r="WDP107" s="952"/>
      <c r="WDQ107" s="952"/>
      <c r="WDR107" s="952"/>
      <c r="WDS107" s="952"/>
      <c r="WDT107" s="952"/>
      <c r="WDU107" s="952"/>
      <c r="WDV107" s="952"/>
      <c r="WDW107" s="952"/>
      <c r="WDX107" s="952"/>
      <c r="WDY107" s="952"/>
      <c r="WDZ107" s="952"/>
      <c r="WEA107" s="952"/>
      <c r="WEB107" s="952"/>
      <c r="WEC107" s="952"/>
      <c r="WED107" s="952"/>
      <c r="WEE107" s="952"/>
      <c r="WEF107" s="952"/>
      <c r="WEG107" s="952"/>
      <c r="WEH107" s="952"/>
      <c r="WEI107" s="952"/>
      <c r="WEJ107" s="952"/>
      <c r="WEK107" s="952"/>
      <c r="WEL107" s="952"/>
      <c r="WEM107" s="952"/>
      <c r="WEN107" s="952"/>
      <c r="WEO107" s="952"/>
      <c r="WEP107" s="952"/>
      <c r="WEQ107" s="952"/>
      <c r="WER107" s="952"/>
      <c r="WES107" s="952"/>
      <c r="WET107" s="952"/>
      <c r="WEU107" s="952"/>
      <c r="WEV107" s="952"/>
      <c r="WEW107" s="952"/>
      <c r="WEX107" s="952"/>
      <c r="WEY107" s="952"/>
      <c r="WEZ107" s="952"/>
      <c r="WFA107" s="952"/>
      <c r="WFB107" s="952"/>
      <c r="WFC107" s="952"/>
      <c r="WFD107" s="952"/>
      <c r="WFE107" s="952"/>
      <c r="WFF107" s="952"/>
      <c r="WFG107" s="952"/>
      <c r="WFH107" s="952"/>
      <c r="WFI107" s="952"/>
      <c r="WFJ107" s="952"/>
      <c r="WFK107" s="952"/>
      <c r="WFL107" s="952"/>
      <c r="WFM107" s="952"/>
      <c r="WFN107" s="952"/>
      <c r="WFO107" s="952"/>
      <c r="WFP107" s="952"/>
      <c r="WFQ107" s="952"/>
      <c r="WFR107" s="952"/>
      <c r="WFS107" s="952"/>
      <c r="WFT107" s="952"/>
      <c r="WFU107" s="952"/>
      <c r="WFV107" s="952"/>
      <c r="WFW107" s="952"/>
      <c r="WFX107" s="952"/>
      <c r="WFY107" s="952"/>
      <c r="WFZ107" s="952"/>
      <c r="WGA107" s="952"/>
      <c r="WGB107" s="952"/>
      <c r="WGC107" s="952"/>
      <c r="WGD107" s="952"/>
      <c r="WGE107" s="952"/>
      <c r="WGF107" s="952"/>
      <c r="WGG107" s="952"/>
      <c r="WGH107" s="952"/>
      <c r="WGI107" s="952"/>
      <c r="WGJ107" s="952"/>
      <c r="WGK107" s="952"/>
      <c r="WGL107" s="952"/>
      <c r="WGM107" s="952"/>
      <c r="WGN107" s="952"/>
      <c r="WGO107" s="952"/>
      <c r="WGP107" s="952"/>
      <c r="WGQ107" s="952"/>
      <c r="WGR107" s="952"/>
      <c r="WGS107" s="952"/>
      <c r="WGT107" s="952"/>
      <c r="WGU107" s="952"/>
      <c r="WGV107" s="952"/>
      <c r="WGW107" s="952"/>
      <c r="WGX107" s="952"/>
      <c r="WGY107" s="952"/>
      <c r="WGZ107" s="952"/>
      <c r="WHA107" s="952"/>
      <c r="WHB107" s="952"/>
      <c r="WHC107" s="952"/>
      <c r="WHD107" s="952"/>
      <c r="WHE107" s="952"/>
      <c r="WHF107" s="952"/>
      <c r="WHG107" s="952"/>
      <c r="WHH107" s="952"/>
      <c r="WHI107" s="952"/>
      <c r="WHJ107" s="952"/>
      <c r="WHK107" s="952"/>
      <c r="WHL107" s="952"/>
      <c r="WHM107" s="952"/>
      <c r="WHN107" s="952"/>
      <c r="WHO107" s="952"/>
      <c r="WHP107" s="952"/>
      <c r="WHQ107" s="952"/>
      <c r="WHR107" s="952"/>
      <c r="WHS107" s="952"/>
      <c r="WHT107" s="952"/>
      <c r="WHU107" s="952"/>
      <c r="WHV107" s="952"/>
      <c r="WHW107" s="952"/>
      <c r="WHX107" s="952"/>
      <c r="WHY107" s="952"/>
      <c r="WHZ107" s="952"/>
      <c r="WIA107" s="952"/>
      <c r="WIB107" s="952"/>
      <c r="WIC107" s="952"/>
      <c r="WID107" s="952"/>
      <c r="WIE107" s="952"/>
      <c r="WIF107" s="952"/>
      <c r="WIG107" s="952"/>
      <c r="WIH107" s="952"/>
      <c r="WII107" s="952"/>
      <c r="WIJ107" s="952"/>
      <c r="WIK107" s="952"/>
      <c r="WIL107" s="952"/>
      <c r="WIM107" s="952"/>
      <c r="WIN107" s="952"/>
      <c r="WIO107" s="952"/>
      <c r="WIP107" s="952"/>
      <c r="WIQ107" s="952"/>
      <c r="WIR107" s="952"/>
      <c r="WIS107" s="952"/>
      <c r="WIT107" s="952"/>
      <c r="WIU107" s="952"/>
      <c r="WIV107" s="952"/>
      <c r="WIW107" s="952"/>
      <c r="WIX107" s="952"/>
      <c r="WIY107" s="952"/>
      <c r="WIZ107" s="952"/>
      <c r="WJA107" s="952"/>
      <c r="WJB107" s="952"/>
      <c r="WJC107" s="952"/>
      <c r="WJD107" s="952"/>
      <c r="WJE107" s="952"/>
      <c r="WJF107" s="952"/>
      <c r="WJG107" s="952"/>
      <c r="WJH107" s="952"/>
      <c r="WJI107" s="952"/>
      <c r="WJJ107" s="952"/>
      <c r="WJK107" s="952"/>
      <c r="WJL107" s="952"/>
      <c r="WJM107" s="952"/>
      <c r="WJN107" s="952"/>
      <c r="WJO107" s="952"/>
      <c r="WJP107" s="952"/>
      <c r="WJQ107" s="952"/>
      <c r="WJR107" s="952"/>
      <c r="WJS107" s="952"/>
      <c r="WJT107" s="952"/>
      <c r="WJU107" s="952"/>
      <c r="WJV107" s="952"/>
      <c r="WJW107" s="952"/>
      <c r="WJX107" s="952"/>
      <c r="WJY107" s="952"/>
      <c r="WJZ107" s="952"/>
      <c r="WKA107" s="952"/>
      <c r="WKB107" s="952"/>
      <c r="WKC107" s="952"/>
      <c r="WKD107" s="952"/>
      <c r="WKE107" s="952"/>
      <c r="WKF107" s="952"/>
      <c r="WKG107" s="952"/>
      <c r="WKH107" s="952"/>
      <c r="WKI107" s="952"/>
      <c r="WKJ107" s="952"/>
      <c r="WKK107" s="952"/>
      <c r="WKL107" s="952"/>
      <c r="WKM107" s="952"/>
      <c r="WKN107" s="952"/>
      <c r="WKO107" s="952"/>
      <c r="WKP107" s="952"/>
      <c r="WKQ107" s="952"/>
      <c r="WKR107" s="952"/>
      <c r="WKS107" s="952"/>
      <c r="WKT107" s="952"/>
      <c r="WKU107" s="952"/>
      <c r="WKV107" s="952"/>
      <c r="WKW107" s="952"/>
      <c r="WKX107" s="952"/>
      <c r="WKY107" s="952"/>
      <c r="WKZ107" s="952"/>
      <c r="WLA107" s="952"/>
      <c r="WLB107" s="952"/>
      <c r="WLC107" s="952"/>
      <c r="WLD107" s="952"/>
      <c r="WLE107" s="952"/>
      <c r="WLF107" s="952"/>
      <c r="WLG107" s="952"/>
      <c r="WLH107" s="952"/>
      <c r="WLI107" s="952"/>
      <c r="WLJ107" s="952"/>
      <c r="WLK107" s="952"/>
      <c r="WLL107" s="952"/>
      <c r="WLM107" s="952"/>
      <c r="WLN107" s="952"/>
      <c r="WLO107" s="952"/>
      <c r="WLP107" s="952"/>
      <c r="WLQ107" s="952"/>
      <c r="WLR107" s="952"/>
      <c r="WLS107" s="952"/>
      <c r="WLT107" s="952"/>
      <c r="WLU107" s="952"/>
      <c r="WLV107" s="952"/>
      <c r="WLW107" s="952"/>
      <c r="WLX107" s="952"/>
      <c r="WLY107" s="952"/>
      <c r="WLZ107" s="952"/>
      <c r="WMA107" s="952"/>
      <c r="WMB107" s="952"/>
      <c r="WMC107" s="952"/>
      <c r="WMD107" s="952"/>
      <c r="WME107" s="952"/>
      <c r="WMF107" s="952"/>
      <c r="WMG107" s="952"/>
      <c r="WMH107" s="952"/>
      <c r="WMI107" s="952"/>
      <c r="WMJ107" s="952"/>
      <c r="WMK107" s="952"/>
      <c r="WML107" s="952"/>
      <c r="WMM107" s="952"/>
      <c r="WMN107" s="952"/>
      <c r="WMO107" s="952"/>
      <c r="WMP107" s="952"/>
      <c r="WMQ107" s="952"/>
      <c r="WMR107" s="952"/>
      <c r="WMS107" s="952"/>
      <c r="WMT107" s="952"/>
      <c r="WMU107" s="952"/>
      <c r="WMV107" s="952"/>
      <c r="WMW107" s="952"/>
      <c r="WMX107" s="952"/>
      <c r="WMY107" s="952"/>
      <c r="WMZ107" s="952"/>
      <c r="WNA107" s="952"/>
      <c r="WNB107" s="952"/>
      <c r="WNC107" s="952"/>
      <c r="WND107" s="952"/>
      <c r="WNE107" s="952"/>
      <c r="WNF107" s="952"/>
      <c r="WNG107" s="952"/>
      <c r="WNH107" s="952"/>
      <c r="WNI107" s="952"/>
      <c r="WNJ107" s="952"/>
      <c r="WNK107" s="952"/>
      <c r="WNL107" s="952"/>
      <c r="WNM107" s="952"/>
      <c r="WNN107" s="952"/>
      <c r="WNO107" s="952"/>
      <c r="WNP107" s="952"/>
      <c r="WNQ107" s="952"/>
      <c r="WNR107" s="952"/>
      <c r="WNS107" s="952"/>
      <c r="WNT107" s="952"/>
      <c r="WNU107" s="952"/>
      <c r="WNV107" s="952"/>
      <c r="WNW107" s="952"/>
      <c r="WNX107" s="952"/>
      <c r="WNY107" s="952"/>
      <c r="WNZ107" s="952"/>
      <c r="WOA107" s="952"/>
      <c r="WOB107" s="952"/>
      <c r="WOC107" s="952"/>
      <c r="WOD107" s="952"/>
      <c r="WOE107" s="952"/>
      <c r="WOF107" s="952"/>
      <c r="WOG107" s="952"/>
      <c r="WOH107" s="952"/>
      <c r="WOI107" s="952"/>
      <c r="WOJ107" s="952"/>
      <c r="WOK107" s="952"/>
      <c r="WOL107" s="952"/>
      <c r="WOM107" s="952"/>
      <c r="WON107" s="952"/>
      <c r="WOO107" s="952"/>
      <c r="WOP107" s="952"/>
      <c r="WOQ107" s="952"/>
      <c r="WOR107" s="952"/>
      <c r="WOS107" s="952"/>
      <c r="WOT107" s="952"/>
      <c r="WOU107" s="952"/>
      <c r="WOV107" s="952"/>
      <c r="WOW107" s="952"/>
      <c r="WOX107" s="952"/>
      <c r="WOY107" s="952"/>
      <c r="WOZ107" s="952"/>
      <c r="WPA107" s="952"/>
      <c r="WPB107" s="952"/>
      <c r="WPC107" s="952"/>
      <c r="WPD107" s="952"/>
      <c r="WPE107" s="952"/>
      <c r="WPF107" s="952"/>
      <c r="WPG107" s="952"/>
      <c r="WPH107" s="952"/>
      <c r="WPI107" s="952"/>
      <c r="WPJ107" s="952"/>
      <c r="WPK107" s="952"/>
      <c r="WPL107" s="952"/>
      <c r="WPM107" s="952"/>
      <c r="WPN107" s="952"/>
      <c r="WPO107" s="952"/>
      <c r="WPP107" s="952"/>
      <c r="WPQ107" s="952"/>
      <c r="WPR107" s="952"/>
      <c r="WPS107" s="952"/>
      <c r="WPT107" s="952"/>
      <c r="WPU107" s="952"/>
      <c r="WPV107" s="952"/>
      <c r="WPW107" s="952"/>
      <c r="WPX107" s="952"/>
      <c r="WPY107" s="952"/>
      <c r="WPZ107" s="952"/>
      <c r="WQA107" s="952"/>
      <c r="WQB107" s="952"/>
      <c r="WQC107" s="952"/>
      <c r="WQD107" s="952"/>
      <c r="WQE107" s="952"/>
      <c r="WQF107" s="952"/>
      <c r="WQG107" s="952"/>
      <c r="WQH107" s="952"/>
      <c r="WQI107" s="952"/>
      <c r="WQJ107" s="952"/>
      <c r="WQK107" s="952"/>
      <c r="WQL107" s="952"/>
      <c r="WQM107" s="952"/>
      <c r="WQN107" s="952"/>
      <c r="WQO107" s="952"/>
      <c r="WQP107" s="952"/>
      <c r="WQQ107" s="952"/>
      <c r="WQR107" s="952"/>
      <c r="WQS107" s="952"/>
      <c r="WQT107" s="952"/>
      <c r="WQU107" s="952"/>
      <c r="WQV107" s="952"/>
      <c r="WQW107" s="952"/>
      <c r="WQX107" s="952"/>
      <c r="WQY107" s="952"/>
      <c r="WQZ107" s="952"/>
      <c r="WRA107" s="952"/>
      <c r="WRB107" s="952"/>
      <c r="WRC107" s="952"/>
      <c r="WRD107" s="952"/>
      <c r="WRE107" s="952"/>
      <c r="WRF107" s="952"/>
      <c r="WRG107" s="952"/>
      <c r="WRH107" s="952"/>
      <c r="WRI107" s="952"/>
      <c r="WRJ107" s="952"/>
      <c r="WRK107" s="952"/>
      <c r="WRL107" s="952"/>
      <c r="WRM107" s="952"/>
      <c r="WRN107" s="952"/>
      <c r="WRO107" s="952"/>
      <c r="WRP107" s="952"/>
      <c r="WRQ107" s="952"/>
      <c r="WRR107" s="952"/>
      <c r="WRS107" s="952"/>
      <c r="WRT107" s="952"/>
      <c r="WRU107" s="952"/>
      <c r="WRV107" s="952"/>
      <c r="WRW107" s="952"/>
      <c r="WRX107" s="952"/>
      <c r="WRY107" s="952"/>
      <c r="WRZ107" s="952"/>
      <c r="WSA107" s="952"/>
      <c r="WSB107" s="952"/>
      <c r="WSC107" s="952"/>
      <c r="WSD107" s="952"/>
      <c r="WSE107" s="952"/>
      <c r="WSF107" s="952"/>
      <c r="WSG107" s="952"/>
      <c r="WSH107" s="952"/>
      <c r="WSI107" s="952"/>
      <c r="WSJ107" s="952"/>
      <c r="WSK107" s="952"/>
      <c r="WSL107" s="952"/>
      <c r="WSM107" s="952"/>
      <c r="WSN107" s="952"/>
      <c r="WSO107" s="952"/>
      <c r="WSP107" s="952"/>
      <c r="WSQ107" s="952"/>
      <c r="WSR107" s="952"/>
      <c r="WSS107" s="952"/>
      <c r="WST107" s="952"/>
      <c r="WSU107" s="952"/>
      <c r="WSV107" s="952"/>
      <c r="WSW107" s="952"/>
      <c r="WSX107" s="952"/>
      <c r="WSY107" s="952"/>
      <c r="WSZ107" s="952"/>
      <c r="WTA107" s="952"/>
      <c r="WTB107" s="952"/>
      <c r="WTC107" s="952"/>
      <c r="WTD107" s="952"/>
      <c r="WTE107" s="952"/>
      <c r="WTF107" s="952"/>
      <c r="WTG107" s="952"/>
      <c r="WTH107" s="952"/>
      <c r="WTI107" s="952"/>
      <c r="WTJ107" s="952"/>
      <c r="WTK107" s="952"/>
      <c r="WTL107" s="952"/>
      <c r="WTM107" s="952"/>
      <c r="WTN107" s="952"/>
      <c r="WTO107" s="952"/>
      <c r="WTP107" s="952"/>
      <c r="WTQ107" s="952"/>
      <c r="WTR107" s="952"/>
      <c r="WTS107" s="952"/>
      <c r="WTT107" s="952"/>
      <c r="WTU107" s="952"/>
      <c r="WTV107" s="952"/>
      <c r="WTW107" s="952"/>
      <c r="WTX107" s="952"/>
      <c r="WTY107" s="952"/>
      <c r="WTZ107" s="952"/>
      <c r="WUA107" s="952"/>
      <c r="WUB107" s="952"/>
      <c r="WUC107" s="952"/>
      <c r="WUD107" s="952"/>
      <c r="WUE107" s="952"/>
      <c r="WUF107" s="952"/>
      <c r="WUG107" s="952"/>
      <c r="WUH107" s="952"/>
      <c r="WUI107" s="952"/>
      <c r="WUJ107" s="952"/>
      <c r="WUK107" s="952"/>
      <c r="WUL107" s="952"/>
      <c r="WUM107" s="952"/>
      <c r="WUN107" s="952"/>
      <c r="WUO107" s="952"/>
      <c r="WUP107" s="952"/>
      <c r="WUQ107" s="952"/>
      <c r="WUR107" s="952"/>
      <c r="WUS107" s="952"/>
      <c r="WUT107" s="952"/>
      <c r="WUU107" s="952"/>
      <c r="WUV107" s="952"/>
      <c r="WUW107" s="952"/>
      <c r="WUX107" s="952"/>
      <c r="WUY107" s="952"/>
      <c r="WUZ107" s="952"/>
      <c r="WVA107" s="952"/>
      <c r="WVB107" s="952"/>
      <c r="WVC107" s="952"/>
      <c r="WVD107" s="952"/>
      <c r="WVE107" s="952"/>
      <c r="WVF107" s="952"/>
      <c r="WVG107" s="952"/>
      <c r="WVH107" s="952"/>
      <c r="WVI107" s="952"/>
      <c r="WVJ107" s="952"/>
      <c r="WVK107" s="952"/>
      <c r="WVL107" s="952"/>
      <c r="WVM107" s="952"/>
      <c r="WVN107" s="952"/>
      <c r="WVO107" s="952"/>
      <c r="WVP107" s="952"/>
      <c r="WVQ107" s="952"/>
      <c r="WVR107" s="952"/>
      <c r="WVS107" s="952"/>
      <c r="WVT107" s="952"/>
      <c r="WVU107" s="952"/>
      <c r="WVV107" s="952"/>
      <c r="WVW107" s="952"/>
      <c r="WVX107" s="952"/>
      <c r="WVY107" s="952"/>
      <c r="WVZ107" s="952"/>
      <c r="WWA107" s="952"/>
      <c r="WWB107" s="952"/>
      <c r="WWC107" s="952"/>
      <c r="WWD107" s="952"/>
      <c r="WWE107" s="952"/>
      <c r="WWF107" s="952"/>
      <c r="WWG107" s="952"/>
      <c r="WWH107" s="952"/>
      <c r="WWI107" s="952"/>
      <c r="WWJ107" s="952"/>
      <c r="WWK107" s="952"/>
      <c r="WWL107" s="952"/>
      <c r="WWM107" s="952"/>
      <c r="WWN107" s="952"/>
      <c r="WWO107" s="952"/>
      <c r="WWP107" s="952"/>
      <c r="WWQ107" s="952"/>
      <c r="WWR107" s="952"/>
      <c r="WWS107" s="952"/>
      <c r="WWT107" s="952"/>
      <c r="WWU107" s="952"/>
      <c r="WWV107" s="952"/>
      <c r="WWW107" s="952"/>
      <c r="WWX107" s="952"/>
      <c r="WWY107" s="952"/>
      <c r="WWZ107" s="952"/>
      <c r="WXA107" s="952"/>
      <c r="WXB107" s="952"/>
      <c r="WXC107" s="952"/>
      <c r="WXD107" s="952"/>
      <c r="WXE107" s="952"/>
      <c r="WXF107" s="952"/>
      <c r="WXG107" s="952"/>
      <c r="WXH107" s="952"/>
      <c r="WXI107" s="952"/>
      <c r="WXJ107" s="952"/>
      <c r="WXK107" s="952"/>
      <c r="WXL107" s="952"/>
      <c r="WXM107" s="952"/>
      <c r="WXN107" s="952"/>
      <c r="WXO107" s="952"/>
      <c r="WXP107" s="952"/>
      <c r="WXQ107" s="952"/>
      <c r="WXR107" s="952"/>
      <c r="WXS107" s="952"/>
      <c r="WXT107" s="952"/>
      <c r="WXU107" s="952"/>
      <c r="WXV107" s="952"/>
      <c r="WXW107" s="952"/>
      <c r="WXX107" s="952"/>
      <c r="WXY107" s="952"/>
      <c r="WXZ107" s="952"/>
      <c r="WYA107" s="952"/>
      <c r="WYB107" s="952"/>
      <c r="WYC107" s="952"/>
      <c r="WYD107" s="952"/>
      <c r="WYE107" s="952"/>
      <c r="WYF107" s="952"/>
      <c r="WYG107" s="952"/>
      <c r="WYH107" s="952"/>
      <c r="WYI107" s="952"/>
      <c r="WYJ107" s="952"/>
      <c r="WYK107" s="952"/>
      <c r="WYL107" s="952"/>
      <c r="WYM107" s="952"/>
      <c r="WYN107" s="952"/>
      <c r="WYO107" s="952"/>
      <c r="WYP107" s="952"/>
      <c r="WYQ107" s="952"/>
      <c r="WYR107" s="952"/>
      <c r="WYS107" s="952"/>
      <c r="WYT107" s="952"/>
      <c r="WYU107" s="952"/>
      <c r="WYV107" s="952"/>
      <c r="WYW107" s="952"/>
      <c r="WYX107" s="952"/>
      <c r="WYY107" s="952"/>
      <c r="WYZ107" s="952"/>
      <c r="WZA107" s="952"/>
      <c r="WZB107" s="952"/>
      <c r="WZC107" s="952"/>
      <c r="WZD107" s="952"/>
      <c r="WZE107" s="952"/>
      <c r="WZF107" s="952"/>
      <c r="WZG107" s="952"/>
      <c r="WZH107" s="952"/>
      <c r="WZI107" s="952"/>
      <c r="WZJ107" s="952"/>
      <c r="WZK107" s="952"/>
      <c r="WZL107" s="952"/>
      <c r="WZM107" s="952"/>
      <c r="WZN107" s="952"/>
      <c r="WZO107" s="952"/>
      <c r="WZP107" s="952"/>
      <c r="WZQ107" s="952"/>
      <c r="WZR107" s="952"/>
      <c r="WZS107" s="952"/>
      <c r="WZT107" s="952"/>
      <c r="WZU107" s="952"/>
      <c r="WZV107" s="952"/>
      <c r="WZW107" s="952"/>
      <c r="WZX107" s="952"/>
      <c r="WZY107" s="952"/>
      <c r="WZZ107" s="952"/>
      <c r="XAA107" s="952"/>
      <c r="XAB107" s="952"/>
      <c r="XAC107" s="952"/>
      <c r="XAD107" s="952"/>
      <c r="XAE107" s="952"/>
      <c r="XAF107" s="952"/>
      <c r="XAG107" s="952"/>
      <c r="XAH107" s="952"/>
      <c r="XAI107" s="952"/>
      <c r="XAJ107" s="952"/>
      <c r="XAK107" s="952"/>
      <c r="XAL107" s="952"/>
      <c r="XAM107" s="952"/>
      <c r="XAN107" s="952"/>
      <c r="XAO107" s="952"/>
      <c r="XAP107" s="952"/>
      <c r="XAQ107" s="952"/>
      <c r="XAR107" s="952"/>
      <c r="XAS107" s="952"/>
      <c r="XAT107" s="952"/>
      <c r="XAU107" s="952"/>
      <c r="XAV107" s="952"/>
      <c r="XAW107" s="952"/>
      <c r="XAX107" s="952"/>
      <c r="XAY107" s="952"/>
      <c r="XAZ107" s="952"/>
      <c r="XBA107" s="952"/>
      <c r="XBB107" s="952"/>
      <c r="XBC107" s="952"/>
      <c r="XBD107" s="952"/>
      <c r="XBE107" s="952"/>
      <c r="XBF107" s="952"/>
      <c r="XBG107" s="952"/>
      <c r="XBH107" s="952"/>
      <c r="XBI107" s="952"/>
      <c r="XBJ107" s="952"/>
      <c r="XBK107" s="952"/>
      <c r="XBL107" s="952"/>
      <c r="XBM107" s="952"/>
      <c r="XBN107" s="952"/>
      <c r="XBO107" s="952"/>
      <c r="XBP107" s="952"/>
      <c r="XBQ107" s="952"/>
      <c r="XBR107" s="952"/>
      <c r="XBS107" s="952"/>
      <c r="XBT107" s="952"/>
      <c r="XBU107" s="952"/>
      <c r="XBV107" s="952"/>
      <c r="XBW107" s="952"/>
      <c r="XBX107" s="952"/>
      <c r="XBY107" s="952"/>
      <c r="XBZ107" s="952"/>
      <c r="XCA107" s="952"/>
      <c r="XCB107" s="952"/>
      <c r="XCC107" s="952"/>
      <c r="XCD107" s="952"/>
      <c r="XCE107" s="952"/>
      <c r="XCF107" s="952"/>
      <c r="XCG107" s="952"/>
      <c r="XCH107" s="952"/>
      <c r="XCI107" s="952"/>
      <c r="XCJ107" s="952"/>
      <c r="XCK107" s="952"/>
      <c r="XCL107" s="952"/>
      <c r="XCM107" s="952"/>
      <c r="XCN107" s="952"/>
      <c r="XCO107" s="952"/>
      <c r="XCP107" s="952"/>
      <c r="XCQ107" s="952"/>
      <c r="XCR107" s="952"/>
      <c r="XCS107" s="952"/>
      <c r="XCT107" s="952"/>
      <c r="XCU107" s="952"/>
      <c r="XCV107" s="952"/>
      <c r="XCW107" s="952"/>
      <c r="XCX107" s="952"/>
      <c r="XCY107" s="952"/>
      <c r="XCZ107" s="952"/>
      <c r="XDA107" s="952"/>
      <c r="XDB107" s="952"/>
      <c r="XDC107" s="952"/>
      <c r="XDD107" s="952"/>
      <c r="XDE107" s="952"/>
      <c r="XDF107" s="952"/>
      <c r="XDG107" s="952"/>
      <c r="XDH107" s="952"/>
      <c r="XDI107" s="952"/>
      <c r="XDJ107" s="952"/>
      <c r="XDK107" s="952"/>
      <c r="XDL107" s="952"/>
      <c r="XDM107" s="952"/>
      <c r="XDN107" s="952"/>
      <c r="XDO107" s="952"/>
      <c r="XDP107" s="952"/>
      <c r="XDQ107" s="952"/>
      <c r="XDR107" s="952"/>
      <c r="XDS107" s="952"/>
      <c r="XDT107" s="952"/>
      <c r="XDU107" s="952"/>
      <c r="XDV107" s="952"/>
      <c r="XDW107" s="952"/>
      <c r="XDX107" s="952"/>
      <c r="XDY107" s="952"/>
      <c r="XDZ107" s="952"/>
      <c r="XEA107" s="952"/>
      <c r="XEB107" s="952"/>
      <c r="XEC107" s="952"/>
      <c r="XED107" s="952"/>
      <c r="XEE107" s="952"/>
      <c r="XEF107" s="952"/>
      <c r="XEG107" s="952"/>
      <c r="XEH107" s="952"/>
      <c r="XEI107" s="952"/>
      <c r="XEJ107" s="952"/>
      <c r="XEK107" s="952"/>
      <c r="XEL107" s="952"/>
      <c r="XEM107" s="952"/>
      <c r="XEN107" s="952"/>
      <c r="XEO107" s="952"/>
      <c r="XEP107" s="952"/>
      <c r="XEQ107" s="952"/>
      <c r="XER107" s="952"/>
      <c r="XES107" s="952"/>
      <c r="XET107" s="952"/>
      <c r="XEU107" s="952"/>
      <c r="XEV107" s="952"/>
      <c r="XEW107" s="952"/>
      <c r="XEX107" s="952"/>
      <c r="XEY107" s="952"/>
      <c r="XEZ107" s="952"/>
      <c r="XFA107" s="952"/>
      <c r="XFB107" s="952"/>
      <c r="XFC107" s="952"/>
      <c r="XFD107" s="952"/>
    </row>
    <row r="108" spans="1:16384" x14ac:dyDescent="0.25">
      <c r="C108" s="896" t="s">
        <v>108</v>
      </c>
      <c r="D108" s="896"/>
      <c r="E108" s="896"/>
      <c r="F108" s="896"/>
      <c r="G108" s="896"/>
      <c r="H108" s="896">
        <f>SUM(H105:H107)</f>
        <v>380690.15</v>
      </c>
      <c r="I108" s="896">
        <f>SUM(I105:I107)</f>
        <v>183333.66</v>
      </c>
      <c r="J108" s="896">
        <f t="shared" ref="J108:AG108" si="28">J107+J102</f>
        <v>2773690.5811143843</v>
      </c>
      <c r="K108" s="896">
        <f t="shared" si="28"/>
        <v>2766142.2649593884</v>
      </c>
      <c r="L108" s="896">
        <f t="shared" si="28"/>
        <v>2741980.761555736</v>
      </c>
      <c r="M108" s="896">
        <f t="shared" si="28"/>
        <v>3808694.4964396944</v>
      </c>
      <c r="N108" s="896">
        <f t="shared" si="28"/>
        <v>3974430.7643792513</v>
      </c>
      <c r="O108" s="896">
        <f t="shared" si="28"/>
        <v>3821701.2320452947</v>
      </c>
      <c r="P108" s="897">
        <f t="shared" si="28"/>
        <v>3813526.2604646897</v>
      </c>
      <c r="Q108" s="897">
        <f t="shared" si="28"/>
        <v>3661475.5125441495</v>
      </c>
      <c r="R108" s="897">
        <f t="shared" si="28"/>
        <v>3686568.5959384372</v>
      </c>
      <c r="S108" s="897">
        <f t="shared" si="28"/>
        <v>3777724.1605331381</v>
      </c>
      <c r="T108" s="897">
        <f t="shared" si="28"/>
        <v>3634138.6391822021</v>
      </c>
      <c r="U108" s="897">
        <f t="shared" si="28"/>
        <v>15588258.539999999</v>
      </c>
      <c r="V108" s="897">
        <f t="shared" si="28"/>
        <v>16547680.91</v>
      </c>
      <c r="W108" s="897">
        <f t="shared" si="28"/>
        <v>16301232.65</v>
      </c>
      <c r="X108" s="897">
        <f t="shared" si="28"/>
        <v>16349906.440000001</v>
      </c>
      <c r="Y108" s="897">
        <f t="shared" si="28"/>
        <v>16272421.540000001</v>
      </c>
      <c r="Z108" s="897">
        <f t="shared" si="28"/>
        <v>16009592.800000001</v>
      </c>
      <c r="AA108" s="897">
        <f t="shared" si="28"/>
        <v>16174999.51</v>
      </c>
      <c r="AB108" s="897">
        <f t="shared" si="28"/>
        <v>16223345.369999999</v>
      </c>
      <c r="AC108" s="897">
        <f t="shared" si="28"/>
        <v>15848722.380000001</v>
      </c>
      <c r="AD108" s="897">
        <f t="shared" si="28"/>
        <v>16345515.989999998</v>
      </c>
      <c r="AE108" s="897">
        <f t="shared" si="28"/>
        <v>15980525.32</v>
      </c>
      <c r="AF108" s="897">
        <f t="shared" si="28"/>
        <v>15805556.76</v>
      </c>
      <c r="AG108" s="897">
        <f t="shared" si="28"/>
        <v>15010789.01</v>
      </c>
      <c r="AH108" s="897">
        <f t="shared" ref="AH108:AJ108" si="29">AH107+AH102</f>
        <v>15350119.489999998</v>
      </c>
      <c r="AI108" s="1238">
        <f t="shared" si="29"/>
        <v>15345059.84</v>
      </c>
      <c r="AJ108" s="1238">
        <f t="shared" si="29"/>
        <v>15465685.41</v>
      </c>
      <c r="AK108" s="898"/>
      <c r="AL108" s="898"/>
      <c r="AM108" s="898"/>
      <c r="AN108" s="898"/>
      <c r="AO108" s="898"/>
      <c r="AP108" s="898"/>
      <c r="AQ108" s="898"/>
      <c r="AR108" s="898"/>
      <c r="AS108" s="898"/>
      <c r="AT108" s="898"/>
      <c r="AU108" s="898"/>
      <c r="AV108" s="898"/>
      <c r="AW108" s="898"/>
      <c r="AX108" s="898"/>
      <c r="AY108" s="898"/>
      <c r="AZ108" s="898"/>
      <c r="BA108" s="898"/>
      <c r="BB108" s="898"/>
      <c r="BC108" s="898"/>
      <c r="BD108" s="898"/>
      <c r="BE108" s="898"/>
      <c r="BF108" s="898"/>
      <c r="BG108" s="898"/>
      <c r="BH108" s="898"/>
      <c r="BI108" s="898"/>
      <c r="BJ108" s="898"/>
      <c r="BK108" s="898"/>
      <c r="BL108" s="898"/>
      <c r="BM108" s="898"/>
      <c r="BN108" s="898"/>
      <c r="BO108" s="898"/>
      <c r="BP108" s="898"/>
      <c r="BQ108" s="898"/>
      <c r="BR108" s="898"/>
      <c r="BS108" s="898"/>
      <c r="BT108" s="898"/>
      <c r="BU108" s="898"/>
      <c r="BV108" s="898"/>
      <c r="BW108" s="898"/>
      <c r="BX108" s="898"/>
      <c r="BY108" s="898"/>
      <c r="BZ108" s="898"/>
      <c r="CA108" s="898"/>
      <c r="CB108" s="898"/>
      <c r="CC108" s="948"/>
      <c r="CD108" s="953"/>
      <c r="CE108" s="953"/>
      <c r="CF108" s="953"/>
      <c r="CG108" s="953"/>
      <c r="CH108" s="953"/>
      <c r="CI108" s="953"/>
      <c r="CJ108" s="953"/>
      <c r="CK108" s="953"/>
      <c r="CL108" s="953"/>
      <c r="CM108" s="953"/>
      <c r="CN108" s="953"/>
      <c r="CO108" s="953"/>
      <c r="CP108" s="953"/>
      <c r="CQ108" s="953"/>
      <c r="CR108" s="953"/>
      <c r="CS108" s="953"/>
      <c r="CT108" s="953"/>
      <c r="CU108" s="953"/>
      <c r="CV108" s="953"/>
      <c r="CW108" s="953"/>
      <c r="CX108" s="953"/>
      <c r="CY108" s="953"/>
      <c r="CZ108" s="953"/>
      <c r="DA108" s="953"/>
      <c r="DB108" s="953"/>
      <c r="DC108" s="953"/>
      <c r="DD108" s="953"/>
      <c r="DE108" s="953"/>
      <c r="DF108" s="953"/>
      <c r="DG108" s="953"/>
      <c r="DH108" s="953"/>
      <c r="DI108" s="953"/>
      <c r="DJ108" s="953"/>
      <c r="DK108" s="953"/>
      <c r="DL108" s="953"/>
      <c r="DM108" s="953"/>
      <c r="DN108" s="953"/>
      <c r="DO108" s="953"/>
      <c r="DP108" s="953"/>
      <c r="DQ108" s="953"/>
      <c r="DR108" s="953"/>
      <c r="DS108" s="953"/>
      <c r="DT108" s="953"/>
      <c r="DU108" s="953"/>
      <c r="DV108" s="953"/>
      <c r="DW108" s="953"/>
      <c r="DX108" s="953"/>
      <c r="DY108" s="953"/>
      <c r="DZ108" s="953"/>
      <c r="EA108" s="953"/>
      <c r="EB108" s="953"/>
      <c r="EC108" s="953"/>
      <c r="ED108" s="953"/>
      <c r="EE108" s="953"/>
      <c r="EF108" s="953"/>
      <c r="EG108" s="953"/>
      <c r="EH108" s="953"/>
      <c r="EI108" s="953"/>
      <c r="EJ108" s="953"/>
      <c r="EK108" s="953"/>
      <c r="EL108" s="953"/>
      <c r="EM108" s="953"/>
      <c r="EN108" s="953"/>
      <c r="EO108" s="953"/>
      <c r="EP108" s="953"/>
      <c r="EQ108" s="953"/>
      <c r="ER108" s="953"/>
      <c r="ES108" s="953"/>
      <c r="ET108" s="953"/>
      <c r="EU108" s="953"/>
      <c r="EV108" s="953"/>
      <c r="EW108" s="953"/>
      <c r="EX108" s="953"/>
      <c r="EY108" s="953"/>
      <c r="EZ108" s="953"/>
      <c r="FA108" s="953"/>
      <c r="FB108" s="953"/>
      <c r="FC108" s="953"/>
      <c r="FD108" s="953"/>
      <c r="FE108" s="953"/>
      <c r="FF108" s="953"/>
      <c r="FG108" s="953"/>
      <c r="FH108" s="953"/>
      <c r="FI108" s="953"/>
      <c r="FJ108" s="953"/>
      <c r="FK108" s="953"/>
      <c r="FL108" s="953"/>
      <c r="FM108" s="953"/>
      <c r="FN108" s="953"/>
      <c r="FO108" s="953"/>
      <c r="FP108" s="953"/>
      <c r="FQ108" s="953"/>
      <c r="FR108" s="953"/>
      <c r="FS108" s="953"/>
      <c r="FT108" s="953"/>
      <c r="FU108" s="953"/>
      <c r="FV108" s="953"/>
      <c r="FW108" s="953"/>
      <c r="FX108" s="953"/>
      <c r="FY108" s="953"/>
      <c r="FZ108" s="953"/>
      <c r="GA108" s="953"/>
      <c r="GB108" s="953"/>
      <c r="GC108" s="953"/>
      <c r="GD108" s="953"/>
      <c r="GE108" s="953"/>
      <c r="GF108" s="953"/>
      <c r="GG108" s="953"/>
      <c r="GH108" s="953"/>
      <c r="GI108" s="953"/>
      <c r="GJ108" s="953"/>
      <c r="GK108" s="953"/>
      <c r="GL108" s="953"/>
      <c r="GM108" s="953"/>
      <c r="GN108" s="953"/>
      <c r="GO108" s="953"/>
      <c r="GP108" s="953"/>
      <c r="GQ108" s="953"/>
      <c r="GR108" s="953"/>
      <c r="GS108" s="953"/>
      <c r="GT108" s="953"/>
      <c r="GU108" s="953"/>
      <c r="GV108" s="953"/>
      <c r="GW108" s="953"/>
      <c r="GX108" s="953"/>
      <c r="GY108" s="953"/>
      <c r="GZ108" s="953"/>
      <c r="HA108" s="953"/>
      <c r="HB108" s="953"/>
      <c r="HC108" s="953"/>
      <c r="HD108" s="953"/>
      <c r="HE108" s="953"/>
      <c r="HF108" s="953"/>
      <c r="HG108" s="953"/>
      <c r="HH108" s="953"/>
      <c r="HI108" s="953"/>
      <c r="HJ108" s="953"/>
      <c r="HK108" s="953"/>
      <c r="HL108" s="953"/>
      <c r="HM108" s="953"/>
      <c r="HN108" s="953"/>
      <c r="HO108" s="953"/>
      <c r="HP108" s="953"/>
      <c r="HQ108" s="953"/>
      <c r="HR108" s="953"/>
      <c r="HS108" s="953"/>
      <c r="HT108" s="953"/>
      <c r="HU108" s="953"/>
      <c r="HV108" s="953"/>
      <c r="HW108" s="953"/>
      <c r="HX108" s="953"/>
      <c r="HY108" s="953"/>
      <c r="HZ108" s="953"/>
      <c r="IA108" s="953"/>
      <c r="IB108" s="953"/>
      <c r="IC108" s="953"/>
      <c r="ID108" s="953"/>
      <c r="IE108" s="953"/>
      <c r="IF108" s="953"/>
      <c r="IG108" s="953"/>
      <c r="IH108" s="953"/>
      <c r="II108" s="953"/>
      <c r="IJ108" s="953"/>
      <c r="IK108" s="953"/>
      <c r="IL108" s="953"/>
      <c r="IM108" s="953"/>
      <c r="IN108" s="953"/>
      <c r="IO108" s="953"/>
      <c r="IP108" s="953"/>
      <c r="IQ108" s="953"/>
      <c r="IR108" s="953"/>
      <c r="IS108" s="953"/>
      <c r="IT108" s="953"/>
      <c r="IU108" s="953"/>
      <c r="IV108" s="953"/>
      <c r="IW108" s="953"/>
      <c r="IX108" s="953"/>
      <c r="IY108" s="953"/>
      <c r="IZ108" s="953"/>
      <c r="JA108" s="953"/>
      <c r="JB108" s="953"/>
      <c r="JC108" s="953"/>
      <c r="JD108" s="953"/>
      <c r="JE108" s="953"/>
      <c r="JF108" s="953"/>
      <c r="JG108" s="953"/>
      <c r="JH108" s="953"/>
      <c r="JI108" s="953"/>
      <c r="JJ108" s="953"/>
      <c r="JK108" s="953"/>
      <c r="JL108" s="953"/>
      <c r="JM108" s="953"/>
      <c r="JN108" s="953"/>
      <c r="JO108" s="953"/>
      <c r="JP108" s="953"/>
      <c r="JQ108" s="953"/>
      <c r="JR108" s="953"/>
      <c r="JS108" s="953"/>
      <c r="JT108" s="953"/>
      <c r="JU108" s="953"/>
      <c r="JV108" s="953"/>
      <c r="JW108" s="953"/>
      <c r="JX108" s="953"/>
      <c r="JY108" s="953"/>
      <c r="JZ108" s="953"/>
      <c r="KA108" s="953"/>
      <c r="KB108" s="953"/>
      <c r="KC108" s="953"/>
      <c r="KD108" s="953"/>
      <c r="KE108" s="953"/>
      <c r="KF108" s="953"/>
      <c r="KG108" s="953"/>
      <c r="KH108" s="953"/>
      <c r="KI108" s="953"/>
      <c r="KJ108" s="953"/>
      <c r="KK108" s="953"/>
      <c r="KL108" s="953"/>
      <c r="KM108" s="953"/>
      <c r="KN108" s="953"/>
      <c r="KO108" s="953"/>
      <c r="KP108" s="953"/>
      <c r="KQ108" s="953"/>
      <c r="KR108" s="953"/>
      <c r="KS108" s="953"/>
      <c r="KT108" s="953"/>
      <c r="KU108" s="953"/>
      <c r="KV108" s="953"/>
      <c r="KW108" s="953"/>
      <c r="KX108" s="953"/>
      <c r="KY108" s="953"/>
      <c r="KZ108" s="953"/>
      <c r="LA108" s="953"/>
      <c r="LB108" s="953"/>
      <c r="LC108" s="953"/>
      <c r="LD108" s="953"/>
      <c r="LE108" s="953"/>
      <c r="LF108" s="953"/>
      <c r="LG108" s="953"/>
      <c r="LH108" s="953"/>
      <c r="LI108" s="953"/>
      <c r="LJ108" s="953"/>
      <c r="LK108" s="953"/>
      <c r="LL108" s="953"/>
      <c r="LM108" s="953"/>
      <c r="LN108" s="953"/>
      <c r="LO108" s="953"/>
      <c r="LP108" s="953"/>
      <c r="LQ108" s="953"/>
      <c r="LR108" s="953"/>
      <c r="LS108" s="953"/>
      <c r="LT108" s="953"/>
      <c r="LU108" s="953"/>
      <c r="LV108" s="953"/>
      <c r="LW108" s="953"/>
      <c r="LX108" s="953"/>
      <c r="LY108" s="953"/>
      <c r="LZ108" s="953"/>
      <c r="MA108" s="953"/>
      <c r="MB108" s="953"/>
      <c r="MC108" s="953"/>
      <c r="MD108" s="953"/>
      <c r="ME108" s="953"/>
      <c r="MF108" s="953"/>
      <c r="MG108" s="953"/>
      <c r="MH108" s="953"/>
      <c r="MI108" s="953"/>
      <c r="MJ108" s="953"/>
      <c r="MK108" s="953"/>
      <c r="ML108" s="953"/>
      <c r="MM108" s="953"/>
      <c r="MN108" s="953"/>
      <c r="MO108" s="953"/>
      <c r="MP108" s="953"/>
      <c r="MQ108" s="953"/>
      <c r="MR108" s="953"/>
      <c r="MS108" s="953"/>
      <c r="MT108" s="953"/>
      <c r="MU108" s="953"/>
      <c r="MV108" s="953"/>
      <c r="MW108" s="953"/>
      <c r="MX108" s="953"/>
      <c r="MY108" s="953"/>
      <c r="MZ108" s="953"/>
      <c r="NA108" s="953"/>
      <c r="NB108" s="953"/>
      <c r="NC108" s="953"/>
      <c r="ND108" s="953"/>
      <c r="NE108" s="953"/>
      <c r="NF108" s="953"/>
      <c r="NG108" s="953"/>
      <c r="NH108" s="953"/>
      <c r="NI108" s="953"/>
      <c r="NJ108" s="953"/>
      <c r="NK108" s="953"/>
      <c r="NL108" s="953"/>
      <c r="NM108" s="953"/>
      <c r="NN108" s="953"/>
      <c r="NO108" s="953"/>
      <c r="NP108" s="953"/>
      <c r="NQ108" s="953"/>
      <c r="NR108" s="953"/>
      <c r="NS108" s="953"/>
      <c r="NT108" s="953"/>
      <c r="NU108" s="953"/>
      <c r="NV108" s="953"/>
      <c r="NW108" s="953"/>
      <c r="NX108" s="953"/>
      <c r="NY108" s="953"/>
      <c r="NZ108" s="953"/>
      <c r="OA108" s="953"/>
      <c r="OB108" s="953"/>
      <c r="OC108" s="953"/>
      <c r="OD108" s="953"/>
      <c r="OE108" s="953"/>
      <c r="OF108" s="953"/>
      <c r="OG108" s="953"/>
      <c r="OH108" s="953"/>
      <c r="OI108" s="953"/>
      <c r="OJ108" s="953"/>
      <c r="OK108" s="953"/>
      <c r="OL108" s="953"/>
      <c r="OM108" s="953"/>
      <c r="ON108" s="953"/>
      <c r="OO108" s="953"/>
      <c r="OP108" s="953"/>
      <c r="OQ108" s="953"/>
      <c r="OR108" s="953"/>
      <c r="OS108" s="953"/>
      <c r="OT108" s="953"/>
      <c r="OU108" s="953"/>
      <c r="OV108" s="953"/>
      <c r="OW108" s="953"/>
      <c r="OX108" s="953"/>
      <c r="OY108" s="953"/>
      <c r="OZ108" s="953"/>
      <c r="PA108" s="953"/>
      <c r="PB108" s="953"/>
      <c r="PC108" s="953"/>
      <c r="PD108" s="953"/>
      <c r="PE108" s="953"/>
      <c r="PF108" s="953"/>
      <c r="PG108" s="953"/>
      <c r="PH108" s="953"/>
      <c r="PI108" s="953"/>
      <c r="PJ108" s="953"/>
      <c r="PK108" s="953"/>
      <c r="PL108" s="953"/>
      <c r="PM108" s="953"/>
      <c r="PN108" s="953"/>
      <c r="PO108" s="953"/>
      <c r="PP108" s="953"/>
      <c r="PQ108" s="953"/>
      <c r="PR108" s="953"/>
      <c r="PS108" s="953"/>
      <c r="PT108" s="953"/>
      <c r="PU108" s="953"/>
      <c r="PV108" s="953"/>
      <c r="PW108" s="953"/>
      <c r="PX108" s="953"/>
      <c r="PY108" s="953"/>
      <c r="PZ108" s="953"/>
      <c r="QA108" s="953"/>
      <c r="QB108" s="953"/>
      <c r="QC108" s="953"/>
      <c r="QD108" s="953"/>
      <c r="QE108" s="953"/>
      <c r="QF108" s="953"/>
      <c r="QG108" s="953"/>
      <c r="QH108" s="953"/>
      <c r="QI108" s="953"/>
      <c r="QJ108" s="953"/>
      <c r="QK108" s="953"/>
      <c r="QL108" s="953"/>
      <c r="QM108" s="953"/>
      <c r="QN108" s="953"/>
      <c r="QO108" s="953"/>
      <c r="QP108" s="953"/>
      <c r="QQ108" s="953"/>
      <c r="QR108" s="953"/>
      <c r="QS108" s="953"/>
      <c r="QT108" s="953"/>
      <c r="QU108" s="953"/>
      <c r="QV108" s="953"/>
      <c r="QW108" s="953"/>
      <c r="QX108" s="953"/>
      <c r="QY108" s="953"/>
      <c r="QZ108" s="953"/>
      <c r="RA108" s="953"/>
      <c r="RB108" s="953"/>
      <c r="RC108" s="953"/>
      <c r="RD108" s="953"/>
      <c r="RE108" s="953"/>
      <c r="RF108" s="953"/>
      <c r="RG108" s="953"/>
      <c r="RH108" s="953"/>
      <c r="RI108" s="953"/>
      <c r="RJ108" s="953"/>
      <c r="RK108" s="953"/>
      <c r="RL108" s="953"/>
      <c r="RM108" s="953"/>
      <c r="RN108" s="953"/>
      <c r="RO108" s="953"/>
      <c r="RP108" s="953"/>
      <c r="RQ108" s="953"/>
      <c r="RR108" s="953"/>
      <c r="RS108" s="953"/>
      <c r="RT108" s="953"/>
      <c r="RU108" s="953"/>
      <c r="RV108" s="953"/>
      <c r="RW108" s="953"/>
      <c r="RX108" s="953"/>
      <c r="RY108" s="953"/>
      <c r="RZ108" s="953"/>
      <c r="SA108" s="953"/>
      <c r="SB108" s="953"/>
      <c r="SC108" s="953"/>
      <c r="SD108" s="953"/>
      <c r="SE108" s="953"/>
      <c r="SF108" s="953"/>
      <c r="SG108" s="953"/>
      <c r="SH108" s="953"/>
      <c r="SI108" s="953"/>
      <c r="SJ108" s="953"/>
      <c r="SK108" s="953"/>
      <c r="SL108" s="953"/>
      <c r="SM108" s="953"/>
      <c r="SN108" s="953"/>
      <c r="SO108" s="953"/>
      <c r="SP108" s="953"/>
      <c r="SQ108" s="953"/>
      <c r="SR108" s="953"/>
      <c r="SS108" s="953"/>
      <c r="ST108" s="953"/>
      <c r="SU108" s="953"/>
      <c r="SV108" s="953"/>
      <c r="SW108" s="953"/>
      <c r="SX108" s="953"/>
      <c r="SY108" s="953"/>
      <c r="SZ108" s="953"/>
      <c r="TA108" s="953"/>
      <c r="TB108" s="953"/>
      <c r="TC108" s="953"/>
      <c r="TD108" s="953"/>
      <c r="TE108" s="953"/>
      <c r="TF108" s="953"/>
      <c r="TG108" s="953"/>
      <c r="TH108" s="953"/>
      <c r="TI108" s="953"/>
      <c r="TJ108" s="953"/>
      <c r="TK108" s="953"/>
      <c r="TL108" s="953"/>
      <c r="TM108" s="953"/>
      <c r="TN108" s="953"/>
      <c r="TO108" s="953"/>
      <c r="TP108" s="953"/>
      <c r="TQ108" s="953"/>
      <c r="TR108" s="953"/>
      <c r="TS108" s="953"/>
      <c r="TT108" s="953"/>
      <c r="TU108" s="953"/>
      <c r="TV108" s="953"/>
      <c r="TW108" s="953"/>
      <c r="TX108" s="953"/>
      <c r="TY108" s="953"/>
      <c r="TZ108" s="953"/>
      <c r="UA108" s="953"/>
      <c r="UB108" s="953"/>
      <c r="UC108" s="953"/>
      <c r="UD108" s="953"/>
      <c r="UE108" s="953"/>
      <c r="UF108" s="953"/>
      <c r="UG108" s="953"/>
      <c r="UH108" s="953"/>
      <c r="UI108" s="953"/>
      <c r="UJ108" s="953"/>
      <c r="UK108" s="953"/>
      <c r="UL108" s="953"/>
      <c r="UM108" s="953"/>
      <c r="UN108" s="953"/>
      <c r="UO108" s="953"/>
      <c r="UP108" s="953"/>
      <c r="UQ108" s="953"/>
      <c r="UR108" s="953"/>
      <c r="US108" s="953"/>
      <c r="UT108" s="953"/>
      <c r="UU108" s="953"/>
      <c r="UV108" s="953"/>
      <c r="UW108" s="953"/>
      <c r="UX108" s="953"/>
      <c r="UY108" s="953"/>
      <c r="UZ108" s="953"/>
      <c r="VA108" s="953"/>
      <c r="VB108" s="953"/>
      <c r="VC108" s="953"/>
      <c r="VD108" s="953"/>
      <c r="VE108" s="953"/>
      <c r="VF108" s="953"/>
      <c r="VG108" s="953"/>
      <c r="VH108" s="953"/>
      <c r="VI108" s="953"/>
      <c r="VJ108" s="953"/>
      <c r="VK108" s="953"/>
      <c r="VL108" s="953"/>
      <c r="VM108" s="953"/>
      <c r="VN108" s="953"/>
      <c r="VO108" s="953"/>
      <c r="VP108" s="953"/>
      <c r="VQ108" s="953"/>
      <c r="VR108" s="953"/>
      <c r="VS108" s="953"/>
      <c r="VT108" s="953"/>
      <c r="VU108" s="953"/>
      <c r="VV108" s="953"/>
      <c r="VW108" s="953"/>
      <c r="VX108" s="953"/>
      <c r="VY108" s="953"/>
      <c r="VZ108" s="953"/>
      <c r="WA108" s="953"/>
      <c r="WB108" s="953"/>
      <c r="WC108" s="953"/>
      <c r="WD108" s="953"/>
      <c r="WE108" s="953"/>
      <c r="WF108" s="953"/>
      <c r="WG108" s="953"/>
      <c r="WH108" s="953"/>
      <c r="WI108" s="953"/>
      <c r="WJ108" s="953"/>
      <c r="WK108" s="953"/>
      <c r="WL108" s="953"/>
      <c r="WM108" s="953"/>
      <c r="WN108" s="953"/>
      <c r="WO108" s="953"/>
      <c r="WP108" s="953"/>
      <c r="WQ108" s="953"/>
      <c r="WR108" s="953"/>
      <c r="WS108" s="953"/>
      <c r="WT108" s="953"/>
      <c r="WU108" s="953"/>
      <c r="WV108" s="953"/>
      <c r="WW108" s="953"/>
      <c r="WX108" s="953"/>
      <c r="WY108" s="953"/>
      <c r="WZ108" s="953"/>
      <c r="XA108" s="953"/>
      <c r="XB108" s="953"/>
      <c r="XC108" s="953"/>
      <c r="XD108" s="953"/>
      <c r="XE108" s="953"/>
      <c r="XF108" s="953"/>
      <c r="XG108" s="953"/>
      <c r="XH108" s="953"/>
      <c r="XI108" s="953"/>
      <c r="XJ108" s="953"/>
      <c r="XK108" s="953"/>
      <c r="XL108" s="953"/>
      <c r="XM108" s="953"/>
      <c r="XN108" s="953"/>
      <c r="XO108" s="953"/>
      <c r="XP108" s="953"/>
      <c r="XQ108" s="953"/>
      <c r="XR108" s="953"/>
      <c r="XS108" s="953"/>
      <c r="XT108" s="953"/>
      <c r="XU108" s="953"/>
      <c r="XV108" s="953"/>
      <c r="XW108" s="953"/>
      <c r="XX108" s="953"/>
      <c r="XY108" s="953"/>
      <c r="XZ108" s="953"/>
      <c r="YA108" s="953"/>
      <c r="YB108" s="953"/>
      <c r="YC108" s="953"/>
      <c r="YD108" s="953"/>
      <c r="YE108" s="953"/>
      <c r="YF108" s="953"/>
      <c r="YG108" s="953"/>
      <c r="YH108" s="953"/>
      <c r="YI108" s="953"/>
      <c r="YJ108" s="953"/>
      <c r="YK108" s="953"/>
      <c r="YL108" s="953"/>
      <c r="YM108" s="953"/>
      <c r="YN108" s="953"/>
      <c r="YO108" s="953"/>
      <c r="YP108" s="953"/>
      <c r="YQ108" s="953"/>
      <c r="YR108" s="953"/>
      <c r="YS108" s="953"/>
      <c r="YT108" s="953"/>
      <c r="YU108" s="953"/>
      <c r="YV108" s="953"/>
      <c r="YW108" s="953"/>
      <c r="YX108" s="953"/>
      <c r="YY108" s="953"/>
      <c r="YZ108" s="953"/>
      <c r="ZA108" s="953"/>
      <c r="ZB108" s="953"/>
      <c r="ZC108" s="953"/>
      <c r="ZD108" s="953"/>
      <c r="ZE108" s="953"/>
      <c r="ZF108" s="953"/>
      <c r="ZG108" s="953"/>
      <c r="ZH108" s="953"/>
      <c r="ZI108" s="953"/>
      <c r="ZJ108" s="953"/>
      <c r="ZK108" s="953"/>
      <c r="ZL108" s="953"/>
      <c r="ZM108" s="953"/>
      <c r="ZN108" s="953"/>
      <c r="ZO108" s="953"/>
      <c r="ZP108" s="953"/>
      <c r="ZQ108" s="953"/>
      <c r="ZR108" s="953"/>
      <c r="ZS108" s="953"/>
      <c r="ZT108" s="953"/>
      <c r="ZU108" s="953"/>
      <c r="ZV108" s="953"/>
      <c r="ZW108" s="953"/>
      <c r="ZX108" s="953"/>
      <c r="ZY108" s="953"/>
      <c r="ZZ108" s="953"/>
      <c r="AAA108" s="953"/>
      <c r="AAB108" s="953"/>
      <c r="AAC108" s="953"/>
      <c r="AAD108" s="953"/>
      <c r="AAE108" s="953"/>
      <c r="AAF108" s="953"/>
      <c r="AAG108" s="953"/>
      <c r="AAH108" s="953"/>
      <c r="AAI108" s="953"/>
      <c r="AAJ108" s="953"/>
      <c r="AAK108" s="953"/>
      <c r="AAL108" s="953"/>
      <c r="AAM108" s="953"/>
      <c r="AAN108" s="953"/>
      <c r="AAO108" s="953"/>
      <c r="AAP108" s="953"/>
      <c r="AAQ108" s="953"/>
      <c r="AAR108" s="953"/>
      <c r="AAS108" s="953"/>
      <c r="AAT108" s="953"/>
      <c r="AAU108" s="953"/>
      <c r="AAV108" s="953"/>
      <c r="AAW108" s="953"/>
      <c r="AAX108" s="953"/>
      <c r="AAY108" s="953"/>
      <c r="AAZ108" s="953"/>
      <c r="ABA108" s="953"/>
      <c r="ABB108" s="953"/>
      <c r="ABC108" s="953"/>
      <c r="ABD108" s="953"/>
      <c r="ABE108" s="953"/>
      <c r="ABF108" s="953"/>
      <c r="ABG108" s="953"/>
      <c r="ABH108" s="953"/>
      <c r="ABI108" s="953"/>
      <c r="ABJ108" s="953"/>
      <c r="ABK108" s="953"/>
      <c r="ABL108" s="953"/>
      <c r="ABM108" s="953"/>
      <c r="ABN108" s="953"/>
      <c r="ABO108" s="953"/>
      <c r="ABP108" s="953"/>
      <c r="ABQ108" s="953"/>
      <c r="ABR108" s="953"/>
      <c r="ABS108" s="953"/>
      <c r="ABT108" s="953"/>
      <c r="ABU108" s="953"/>
      <c r="ABV108" s="953"/>
      <c r="ABW108" s="953"/>
      <c r="ABX108" s="953"/>
      <c r="ABY108" s="953"/>
      <c r="ABZ108" s="953"/>
      <c r="ACA108" s="953"/>
      <c r="ACB108" s="953"/>
      <c r="ACC108" s="953"/>
      <c r="ACD108" s="953"/>
      <c r="ACE108" s="953"/>
      <c r="ACF108" s="953"/>
      <c r="ACG108" s="953"/>
      <c r="ACH108" s="953"/>
      <c r="ACI108" s="953"/>
      <c r="ACJ108" s="953"/>
      <c r="ACK108" s="953"/>
      <c r="ACL108" s="953"/>
      <c r="ACM108" s="953"/>
      <c r="ACN108" s="953"/>
      <c r="ACO108" s="953"/>
      <c r="ACP108" s="953"/>
      <c r="ACQ108" s="953"/>
      <c r="ACR108" s="953"/>
      <c r="ACS108" s="953"/>
      <c r="ACT108" s="953"/>
      <c r="ACU108" s="953"/>
      <c r="ACV108" s="953"/>
      <c r="ACW108" s="953"/>
      <c r="ACX108" s="953"/>
      <c r="ACY108" s="953"/>
      <c r="ACZ108" s="953"/>
      <c r="ADA108" s="953"/>
      <c r="ADB108" s="953"/>
      <c r="ADC108" s="953"/>
      <c r="ADD108" s="953"/>
      <c r="ADE108" s="953"/>
      <c r="ADF108" s="953"/>
      <c r="ADG108" s="953"/>
      <c r="ADH108" s="953"/>
      <c r="ADI108" s="953"/>
      <c r="ADJ108" s="953"/>
      <c r="ADK108" s="953"/>
      <c r="ADL108" s="953"/>
      <c r="ADM108" s="953"/>
      <c r="ADN108" s="953"/>
      <c r="ADO108" s="953"/>
      <c r="ADP108" s="953"/>
      <c r="ADQ108" s="953"/>
      <c r="ADR108" s="953"/>
      <c r="ADS108" s="953"/>
      <c r="ADT108" s="953"/>
      <c r="ADU108" s="953"/>
      <c r="ADV108" s="953"/>
      <c r="ADW108" s="953"/>
      <c r="ADX108" s="953"/>
      <c r="ADY108" s="953"/>
      <c r="ADZ108" s="953"/>
      <c r="AEA108" s="953"/>
      <c r="AEB108" s="953"/>
      <c r="AEC108" s="953"/>
      <c r="AED108" s="953"/>
      <c r="AEE108" s="953"/>
      <c r="AEF108" s="953"/>
      <c r="AEG108" s="953"/>
      <c r="AEH108" s="953"/>
      <c r="AEI108" s="953"/>
      <c r="AEJ108" s="953"/>
      <c r="AEK108" s="953"/>
      <c r="AEL108" s="953"/>
      <c r="AEM108" s="953"/>
      <c r="AEN108" s="953"/>
      <c r="AEO108" s="953"/>
      <c r="AEP108" s="953"/>
      <c r="AEQ108" s="953"/>
      <c r="AER108" s="953"/>
      <c r="AES108" s="953"/>
      <c r="AET108" s="953"/>
      <c r="AEU108" s="953"/>
      <c r="AEV108" s="953"/>
      <c r="AEW108" s="953"/>
      <c r="AEX108" s="953"/>
      <c r="AEY108" s="953"/>
      <c r="AEZ108" s="953"/>
      <c r="AFA108" s="953"/>
      <c r="AFB108" s="953"/>
      <c r="AFC108" s="953"/>
      <c r="AFD108" s="953"/>
      <c r="AFE108" s="953"/>
      <c r="AFF108" s="953"/>
      <c r="AFG108" s="953"/>
      <c r="AFH108" s="953"/>
      <c r="AFI108" s="953"/>
      <c r="AFJ108" s="953"/>
      <c r="AFK108" s="953"/>
      <c r="AFL108" s="953"/>
      <c r="AFM108" s="953"/>
      <c r="AFN108" s="953"/>
      <c r="AFO108" s="953"/>
      <c r="AFP108" s="953"/>
      <c r="AFQ108" s="953"/>
      <c r="AFR108" s="953"/>
      <c r="AFS108" s="953"/>
      <c r="AFT108" s="953"/>
      <c r="AFU108" s="953"/>
      <c r="AFV108" s="953"/>
      <c r="AFW108" s="953"/>
      <c r="AFX108" s="953"/>
      <c r="AFY108" s="953"/>
      <c r="AFZ108" s="953"/>
      <c r="AGA108" s="953"/>
      <c r="AGB108" s="953"/>
      <c r="AGC108" s="953"/>
      <c r="AGD108" s="953"/>
      <c r="AGE108" s="953"/>
      <c r="AGF108" s="953"/>
      <c r="AGG108" s="953"/>
      <c r="AGH108" s="953"/>
      <c r="AGI108" s="953"/>
      <c r="AGJ108" s="953"/>
      <c r="AGK108" s="953"/>
      <c r="AGL108" s="953"/>
      <c r="AGM108" s="953"/>
      <c r="AGN108" s="953"/>
      <c r="AGO108" s="953"/>
      <c r="AGP108" s="953"/>
      <c r="AGQ108" s="953"/>
      <c r="AGR108" s="953"/>
      <c r="AGS108" s="953"/>
      <c r="AGT108" s="953"/>
      <c r="AGU108" s="953"/>
      <c r="AGV108" s="953"/>
      <c r="AGW108" s="953"/>
      <c r="AGX108" s="953"/>
      <c r="AGY108" s="953"/>
      <c r="AGZ108" s="953"/>
      <c r="AHA108" s="953"/>
      <c r="AHB108" s="953"/>
      <c r="AHC108" s="953"/>
      <c r="AHD108" s="953"/>
      <c r="AHE108" s="953"/>
      <c r="AHF108" s="953"/>
      <c r="AHG108" s="953"/>
      <c r="AHH108" s="953"/>
      <c r="AHI108" s="953"/>
      <c r="AHJ108" s="953"/>
      <c r="AHK108" s="953"/>
      <c r="AHL108" s="953"/>
      <c r="AHM108" s="953"/>
      <c r="AHN108" s="953"/>
      <c r="AHO108" s="953"/>
      <c r="AHP108" s="953"/>
      <c r="AHQ108" s="953"/>
      <c r="AHR108" s="953"/>
      <c r="AHS108" s="953"/>
      <c r="AHT108" s="953"/>
      <c r="AHU108" s="953"/>
      <c r="AHV108" s="953"/>
      <c r="AHW108" s="953"/>
      <c r="AHX108" s="953"/>
      <c r="AHY108" s="953"/>
      <c r="AHZ108" s="953"/>
      <c r="AIA108" s="953"/>
      <c r="AIB108" s="953"/>
      <c r="AIC108" s="953"/>
      <c r="AID108" s="953"/>
      <c r="AIE108" s="953"/>
      <c r="AIF108" s="953"/>
      <c r="AIG108" s="953"/>
      <c r="AIH108" s="953"/>
      <c r="AII108" s="953"/>
      <c r="AIJ108" s="953"/>
      <c r="AIK108" s="953"/>
      <c r="AIL108" s="953"/>
      <c r="AIM108" s="953"/>
      <c r="AIN108" s="953"/>
      <c r="AIO108" s="953"/>
      <c r="AIP108" s="953"/>
      <c r="AIQ108" s="953"/>
      <c r="AIR108" s="953"/>
      <c r="AIS108" s="953"/>
      <c r="AIT108" s="953"/>
      <c r="AIU108" s="953"/>
      <c r="AIV108" s="953"/>
      <c r="AIW108" s="953"/>
      <c r="AIX108" s="953"/>
      <c r="AIY108" s="953"/>
      <c r="AIZ108" s="953"/>
      <c r="AJA108" s="953"/>
      <c r="AJB108" s="953"/>
      <c r="AJC108" s="953"/>
      <c r="AJD108" s="953"/>
      <c r="AJE108" s="953"/>
      <c r="AJF108" s="953"/>
      <c r="AJG108" s="953"/>
      <c r="AJH108" s="953"/>
      <c r="AJI108" s="953"/>
      <c r="AJJ108" s="953"/>
      <c r="AJK108" s="953"/>
      <c r="AJL108" s="953"/>
      <c r="AJM108" s="953"/>
      <c r="AJN108" s="953"/>
      <c r="AJO108" s="953"/>
      <c r="AJP108" s="953"/>
      <c r="AJQ108" s="953"/>
      <c r="AJR108" s="953"/>
      <c r="AJS108" s="953"/>
      <c r="AJT108" s="953"/>
      <c r="AJU108" s="953"/>
      <c r="AJV108" s="953"/>
      <c r="AJW108" s="953"/>
      <c r="AJX108" s="953"/>
      <c r="AJY108" s="953"/>
      <c r="AJZ108" s="953"/>
      <c r="AKA108" s="953"/>
      <c r="AKB108" s="953"/>
      <c r="AKC108" s="953"/>
      <c r="AKD108" s="953"/>
      <c r="AKE108" s="953"/>
      <c r="AKF108" s="953"/>
      <c r="AKG108" s="953"/>
      <c r="AKH108" s="953"/>
      <c r="AKI108" s="953"/>
      <c r="AKJ108" s="953"/>
      <c r="AKK108" s="953"/>
      <c r="AKL108" s="953"/>
      <c r="AKM108" s="953"/>
      <c r="AKN108" s="953"/>
      <c r="AKO108" s="953"/>
      <c r="AKP108" s="953"/>
      <c r="AKQ108" s="953"/>
      <c r="AKR108" s="953"/>
      <c r="AKS108" s="953"/>
      <c r="AKT108" s="953"/>
      <c r="AKU108" s="953"/>
      <c r="AKV108" s="953"/>
      <c r="AKW108" s="953"/>
      <c r="AKX108" s="953"/>
      <c r="AKY108" s="953"/>
      <c r="AKZ108" s="953"/>
      <c r="ALA108" s="953"/>
      <c r="ALB108" s="953"/>
      <c r="ALC108" s="953"/>
      <c r="ALD108" s="953"/>
      <c r="ALE108" s="953"/>
      <c r="ALF108" s="953"/>
      <c r="ALG108" s="953"/>
      <c r="ALH108" s="953"/>
      <c r="ALI108" s="953"/>
      <c r="ALJ108" s="953"/>
      <c r="ALK108" s="953"/>
      <c r="ALL108" s="953"/>
      <c r="ALM108" s="953"/>
      <c r="ALN108" s="953"/>
      <c r="ALO108" s="953"/>
      <c r="ALP108" s="953"/>
      <c r="ALQ108" s="953"/>
      <c r="ALR108" s="953"/>
      <c r="ALS108" s="953"/>
      <c r="ALT108" s="953"/>
      <c r="ALU108" s="953"/>
      <c r="ALV108" s="953"/>
      <c r="ALW108" s="953"/>
      <c r="ALX108" s="953"/>
      <c r="ALY108" s="953"/>
      <c r="ALZ108" s="953"/>
      <c r="AMA108" s="953"/>
      <c r="AMB108" s="953"/>
      <c r="AMC108" s="953"/>
      <c r="AMD108" s="953"/>
      <c r="AME108" s="953"/>
      <c r="AMF108" s="953"/>
      <c r="AMG108" s="953"/>
      <c r="AMH108" s="953"/>
      <c r="AMI108" s="953"/>
      <c r="AMJ108" s="953"/>
      <c r="AMK108" s="953"/>
      <c r="AML108" s="953"/>
      <c r="AMM108" s="953"/>
      <c r="AMN108" s="953"/>
      <c r="AMO108" s="953"/>
      <c r="AMP108" s="953"/>
      <c r="AMQ108" s="953"/>
      <c r="AMR108" s="953"/>
      <c r="AMS108" s="953"/>
      <c r="AMT108" s="953"/>
      <c r="AMU108" s="953"/>
      <c r="AMV108" s="953"/>
      <c r="AMW108" s="953"/>
      <c r="AMX108" s="953"/>
      <c r="AMY108" s="953"/>
      <c r="AMZ108" s="953"/>
      <c r="ANA108" s="953"/>
      <c r="ANB108" s="953"/>
      <c r="ANC108" s="953"/>
      <c r="AND108" s="953"/>
      <c r="ANE108" s="953"/>
      <c r="ANF108" s="953"/>
      <c r="ANG108" s="953"/>
      <c r="ANH108" s="953"/>
      <c r="ANI108" s="953"/>
      <c r="ANJ108" s="953"/>
      <c r="ANK108" s="953"/>
      <c r="ANL108" s="953"/>
      <c r="ANM108" s="953"/>
      <c r="ANN108" s="953"/>
      <c r="ANO108" s="953"/>
      <c r="ANP108" s="953"/>
      <c r="ANQ108" s="953"/>
      <c r="ANR108" s="953"/>
      <c r="ANS108" s="953"/>
      <c r="ANT108" s="953"/>
      <c r="ANU108" s="953"/>
      <c r="ANV108" s="953"/>
      <c r="ANW108" s="953"/>
      <c r="ANX108" s="953"/>
      <c r="ANY108" s="953"/>
      <c r="ANZ108" s="953"/>
      <c r="AOA108" s="953"/>
      <c r="AOB108" s="953"/>
      <c r="AOC108" s="953"/>
      <c r="AOD108" s="953"/>
      <c r="AOE108" s="953"/>
      <c r="AOF108" s="953"/>
      <c r="AOG108" s="953"/>
      <c r="AOH108" s="953"/>
      <c r="AOI108" s="953"/>
      <c r="AOJ108" s="953"/>
      <c r="AOK108" s="953"/>
      <c r="AOL108" s="953"/>
      <c r="AOM108" s="953"/>
      <c r="AON108" s="953"/>
      <c r="AOO108" s="953"/>
      <c r="AOP108" s="953"/>
      <c r="AOQ108" s="953"/>
      <c r="AOR108" s="953"/>
      <c r="AOS108" s="953"/>
      <c r="AOT108" s="953"/>
      <c r="AOU108" s="953"/>
      <c r="AOV108" s="953"/>
      <c r="AOW108" s="953"/>
      <c r="AOX108" s="953"/>
      <c r="AOY108" s="953"/>
      <c r="AOZ108" s="953"/>
      <c r="APA108" s="953"/>
      <c r="APB108" s="953"/>
      <c r="APC108" s="953"/>
      <c r="APD108" s="953"/>
      <c r="APE108" s="953"/>
      <c r="APF108" s="953"/>
      <c r="APG108" s="953"/>
      <c r="APH108" s="953"/>
      <c r="API108" s="953"/>
      <c r="APJ108" s="953"/>
      <c r="APK108" s="953"/>
      <c r="APL108" s="953"/>
      <c r="APM108" s="953"/>
      <c r="APN108" s="953"/>
      <c r="APO108" s="953"/>
      <c r="APP108" s="953"/>
      <c r="APQ108" s="953"/>
      <c r="APR108" s="953"/>
      <c r="APS108" s="953"/>
      <c r="APT108" s="953"/>
      <c r="APU108" s="953"/>
      <c r="APV108" s="953"/>
      <c r="APW108" s="953"/>
      <c r="APX108" s="953"/>
      <c r="APY108" s="953"/>
      <c r="APZ108" s="953"/>
      <c r="AQA108" s="953"/>
      <c r="AQB108" s="953"/>
      <c r="AQC108" s="953"/>
      <c r="AQD108" s="953"/>
      <c r="AQE108" s="953"/>
      <c r="AQF108" s="953"/>
      <c r="AQG108" s="953"/>
      <c r="AQH108" s="953"/>
      <c r="AQI108" s="953"/>
      <c r="AQJ108" s="953"/>
      <c r="AQK108" s="953"/>
      <c r="AQL108" s="953"/>
      <c r="AQM108" s="953"/>
      <c r="AQN108" s="953"/>
      <c r="AQO108" s="953"/>
      <c r="AQP108" s="953"/>
      <c r="AQQ108" s="953"/>
      <c r="AQR108" s="953"/>
      <c r="AQS108" s="953"/>
      <c r="AQT108" s="953"/>
      <c r="AQU108" s="953"/>
      <c r="AQV108" s="953"/>
      <c r="AQW108" s="953"/>
      <c r="AQX108" s="953"/>
      <c r="AQY108" s="953"/>
      <c r="AQZ108" s="953"/>
      <c r="ARA108" s="953"/>
      <c r="ARB108" s="953"/>
      <c r="ARC108" s="953"/>
      <c r="ARD108" s="953"/>
      <c r="ARE108" s="953"/>
      <c r="ARF108" s="953"/>
      <c r="ARG108" s="953"/>
      <c r="ARH108" s="953"/>
      <c r="ARI108" s="953"/>
      <c r="ARJ108" s="953"/>
      <c r="ARK108" s="953"/>
      <c r="ARL108" s="953"/>
      <c r="ARM108" s="953"/>
      <c r="ARN108" s="953"/>
      <c r="ARO108" s="953"/>
      <c r="ARP108" s="953"/>
      <c r="ARQ108" s="953"/>
      <c r="ARR108" s="953"/>
      <c r="ARS108" s="953"/>
      <c r="ART108" s="953"/>
      <c r="ARU108" s="953"/>
      <c r="ARV108" s="953"/>
      <c r="ARW108" s="953"/>
      <c r="ARX108" s="953"/>
      <c r="ARY108" s="953"/>
      <c r="ARZ108" s="953"/>
      <c r="ASA108" s="953"/>
      <c r="ASB108" s="953"/>
      <c r="ASC108" s="953"/>
      <c r="ASD108" s="953"/>
      <c r="ASE108" s="953"/>
      <c r="ASF108" s="953"/>
      <c r="ASG108" s="953"/>
      <c r="ASH108" s="953"/>
      <c r="ASI108" s="953"/>
      <c r="ASJ108" s="953"/>
      <c r="ASK108" s="953"/>
      <c r="ASL108" s="953"/>
      <c r="ASM108" s="953"/>
      <c r="ASN108" s="953"/>
      <c r="ASO108" s="953"/>
      <c r="ASP108" s="953"/>
      <c r="ASQ108" s="953"/>
      <c r="ASR108" s="953"/>
      <c r="ASS108" s="953"/>
      <c r="AST108" s="953"/>
      <c r="ASU108" s="953"/>
      <c r="ASV108" s="953"/>
      <c r="ASW108" s="953"/>
      <c r="ASX108" s="953"/>
      <c r="ASY108" s="953"/>
      <c r="ASZ108" s="953"/>
      <c r="ATA108" s="953"/>
      <c r="ATB108" s="953"/>
      <c r="ATC108" s="953"/>
      <c r="ATD108" s="953"/>
      <c r="ATE108" s="953"/>
      <c r="ATF108" s="953"/>
      <c r="ATG108" s="953"/>
      <c r="ATH108" s="953"/>
      <c r="ATI108" s="953"/>
      <c r="ATJ108" s="953"/>
      <c r="ATK108" s="953"/>
      <c r="ATL108" s="953"/>
      <c r="ATM108" s="953"/>
      <c r="ATN108" s="953"/>
      <c r="ATO108" s="953"/>
      <c r="ATP108" s="953"/>
      <c r="ATQ108" s="953"/>
      <c r="ATR108" s="953"/>
      <c r="ATS108" s="953"/>
      <c r="ATT108" s="953"/>
      <c r="ATU108" s="953"/>
      <c r="ATV108" s="953"/>
      <c r="ATW108" s="953"/>
      <c r="ATX108" s="953"/>
      <c r="ATY108" s="953"/>
      <c r="ATZ108" s="953"/>
      <c r="AUA108" s="953"/>
      <c r="AUB108" s="953"/>
      <c r="AUC108" s="953"/>
      <c r="AUD108" s="953"/>
      <c r="AUE108" s="953"/>
      <c r="AUF108" s="953"/>
      <c r="AUG108" s="953"/>
      <c r="AUH108" s="953"/>
      <c r="AUI108" s="953"/>
      <c r="AUJ108" s="953"/>
      <c r="AUK108" s="953"/>
      <c r="AUL108" s="953"/>
      <c r="AUM108" s="953"/>
      <c r="AUN108" s="953"/>
      <c r="AUO108" s="953"/>
      <c r="AUP108" s="953"/>
      <c r="AUQ108" s="953"/>
      <c r="AUR108" s="953"/>
      <c r="AUS108" s="953"/>
      <c r="AUT108" s="953"/>
      <c r="AUU108" s="953"/>
      <c r="AUV108" s="953"/>
      <c r="AUW108" s="953"/>
      <c r="AUX108" s="953"/>
      <c r="AUY108" s="953"/>
      <c r="AUZ108" s="953"/>
      <c r="AVA108" s="953"/>
      <c r="AVB108" s="953"/>
      <c r="AVC108" s="953"/>
      <c r="AVD108" s="953"/>
      <c r="AVE108" s="953"/>
      <c r="AVF108" s="953"/>
      <c r="AVG108" s="953"/>
      <c r="AVH108" s="953"/>
      <c r="AVI108" s="953"/>
      <c r="AVJ108" s="953"/>
      <c r="AVK108" s="953"/>
      <c r="AVL108" s="953"/>
      <c r="AVM108" s="953"/>
      <c r="AVN108" s="953"/>
      <c r="AVO108" s="953"/>
      <c r="AVP108" s="953"/>
      <c r="AVQ108" s="953"/>
      <c r="AVR108" s="953"/>
      <c r="AVS108" s="953"/>
      <c r="AVT108" s="953"/>
      <c r="AVU108" s="953"/>
      <c r="AVV108" s="953"/>
      <c r="AVW108" s="953"/>
      <c r="AVX108" s="953"/>
      <c r="AVY108" s="953"/>
      <c r="AVZ108" s="953"/>
      <c r="AWA108" s="953"/>
      <c r="AWB108" s="953"/>
      <c r="AWC108" s="953"/>
      <c r="AWD108" s="953"/>
      <c r="AWE108" s="953"/>
      <c r="AWF108" s="953"/>
      <c r="AWG108" s="953"/>
      <c r="AWH108" s="953"/>
      <c r="AWI108" s="953"/>
      <c r="AWJ108" s="953"/>
      <c r="AWK108" s="953"/>
      <c r="AWL108" s="953"/>
      <c r="AWM108" s="953"/>
      <c r="AWN108" s="953"/>
      <c r="AWO108" s="953"/>
      <c r="AWP108" s="953"/>
      <c r="AWQ108" s="953"/>
      <c r="AWR108" s="953"/>
      <c r="AWS108" s="953"/>
      <c r="AWT108" s="953"/>
      <c r="AWU108" s="953"/>
      <c r="AWV108" s="953"/>
      <c r="AWW108" s="953"/>
      <c r="AWX108" s="953"/>
      <c r="AWY108" s="953"/>
      <c r="AWZ108" s="953"/>
      <c r="AXA108" s="953"/>
      <c r="AXB108" s="953"/>
      <c r="AXC108" s="953"/>
      <c r="AXD108" s="953"/>
      <c r="AXE108" s="953"/>
      <c r="AXF108" s="953"/>
      <c r="AXG108" s="953"/>
      <c r="AXH108" s="953"/>
      <c r="AXI108" s="953"/>
      <c r="AXJ108" s="953"/>
      <c r="AXK108" s="953"/>
      <c r="AXL108" s="953"/>
      <c r="AXM108" s="953"/>
      <c r="AXN108" s="953"/>
      <c r="AXO108" s="953"/>
      <c r="AXP108" s="953"/>
      <c r="AXQ108" s="953"/>
      <c r="AXR108" s="953"/>
      <c r="AXS108" s="953"/>
      <c r="AXT108" s="953"/>
      <c r="AXU108" s="953"/>
      <c r="AXV108" s="953"/>
      <c r="AXW108" s="953"/>
      <c r="AXX108" s="953"/>
      <c r="AXY108" s="953"/>
      <c r="AXZ108" s="953"/>
      <c r="AYA108" s="953"/>
      <c r="AYB108" s="953"/>
      <c r="AYC108" s="953"/>
      <c r="AYD108" s="953"/>
      <c r="AYE108" s="953"/>
      <c r="AYF108" s="953"/>
      <c r="AYG108" s="953"/>
      <c r="AYH108" s="953"/>
      <c r="AYI108" s="953"/>
      <c r="AYJ108" s="953"/>
      <c r="AYK108" s="953"/>
      <c r="AYL108" s="953"/>
      <c r="AYM108" s="953"/>
      <c r="AYN108" s="953"/>
      <c r="AYO108" s="953"/>
      <c r="AYP108" s="953"/>
      <c r="AYQ108" s="953"/>
      <c r="AYR108" s="953"/>
      <c r="AYS108" s="953"/>
      <c r="AYT108" s="953"/>
      <c r="AYU108" s="953"/>
      <c r="AYV108" s="953"/>
      <c r="AYW108" s="953"/>
      <c r="AYX108" s="953"/>
      <c r="AYY108" s="953"/>
      <c r="AYZ108" s="953"/>
      <c r="AZA108" s="953"/>
      <c r="AZB108" s="953"/>
      <c r="AZC108" s="953"/>
      <c r="AZD108" s="953"/>
      <c r="AZE108" s="953"/>
      <c r="AZF108" s="953"/>
      <c r="AZG108" s="953"/>
      <c r="AZH108" s="953"/>
      <c r="AZI108" s="953"/>
      <c r="AZJ108" s="953"/>
      <c r="AZK108" s="953"/>
      <c r="AZL108" s="953"/>
      <c r="AZM108" s="953"/>
      <c r="AZN108" s="953"/>
      <c r="AZO108" s="953"/>
      <c r="AZP108" s="953"/>
      <c r="AZQ108" s="953"/>
      <c r="AZR108" s="953"/>
      <c r="AZS108" s="953"/>
      <c r="AZT108" s="953"/>
      <c r="AZU108" s="953"/>
      <c r="AZV108" s="953"/>
      <c r="AZW108" s="953"/>
      <c r="AZX108" s="953"/>
      <c r="AZY108" s="953"/>
      <c r="AZZ108" s="953"/>
      <c r="BAA108" s="953"/>
      <c r="BAB108" s="953"/>
      <c r="BAC108" s="953"/>
      <c r="BAD108" s="953"/>
      <c r="BAE108" s="953"/>
      <c r="BAF108" s="953"/>
      <c r="BAG108" s="953"/>
      <c r="BAH108" s="953"/>
      <c r="BAI108" s="953"/>
      <c r="BAJ108" s="953"/>
      <c r="BAK108" s="953"/>
      <c r="BAL108" s="953"/>
      <c r="BAM108" s="953"/>
      <c r="BAN108" s="953"/>
      <c r="BAO108" s="953"/>
      <c r="BAP108" s="953"/>
      <c r="BAQ108" s="953"/>
      <c r="BAR108" s="953"/>
      <c r="BAS108" s="953"/>
      <c r="BAT108" s="953"/>
      <c r="BAU108" s="953"/>
      <c r="BAV108" s="953"/>
      <c r="BAW108" s="953"/>
      <c r="BAX108" s="953"/>
      <c r="BAY108" s="953"/>
      <c r="BAZ108" s="953"/>
      <c r="BBA108" s="953"/>
      <c r="BBB108" s="953"/>
      <c r="BBC108" s="953"/>
      <c r="BBD108" s="953"/>
      <c r="BBE108" s="953"/>
      <c r="BBF108" s="953"/>
      <c r="BBG108" s="953"/>
      <c r="BBH108" s="953"/>
      <c r="BBI108" s="953"/>
      <c r="BBJ108" s="953"/>
      <c r="BBK108" s="953"/>
      <c r="BBL108" s="953"/>
      <c r="BBM108" s="953"/>
      <c r="BBN108" s="953"/>
      <c r="BBO108" s="953"/>
      <c r="BBP108" s="953"/>
      <c r="BBQ108" s="953"/>
      <c r="BBR108" s="953"/>
      <c r="BBS108" s="953"/>
      <c r="BBT108" s="953"/>
      <c r="BBU108" s="953"/>
      <c r="BBV108" s="953"/>
      <c r="BBW108" s="953"/>
      <c r="BBX108" s="953"/>
      <c r="BBY108" s="953"/>
      <c r="BBZ108" s="953"/>
      <c r="BCA108" s="953"/>
      <c r="BCB108" s="953"/>
      <c r="BCC108" s="953"/>
      <c r="BCD108" s="953"/>
      <c r="BCE108" s="953"/>
      <c r="BCF108" s="953"/>
      <c r="BCG108" s="953"/>
      <c r="BCH108" s="953"/>
      <c r="BCI108" s="953"/>
      <c r="BCJ108" s="953"/>
      <c r="BCK108" s="953"/>
      <c r="BCL108" s="953"/>
      <c r="BCM108" s="953"/>
      <c r="BCN108" s="953"/>
      <c r="BCO108" s="953"/>
      <c r="BCP108" s="953"/>
      <c r="BCQ108" s="953"/>
      <c r="BCR108" s="953"/>
      <c r="BCS108" s="953"/>
      <c r="BCT108" s="953"/>
      <c r="BCU108" s="953"/>
      <c r="BCV108" s="953"/>
      <c r="BCW108" s="953"/>
      <c r="BCX108" s="953"/>
      <c r="BCY108" s="953"/>
      <c r="BCZ108" s="953"/>
      <c r="BDA108" s="953"/>
      <c r="BDB108" s="953"/>
      <c r="BDC108" s="953"/>
      <c r="BDD108" s="953"/>
      <c r="BDE108" s="953"/>
      <c r="BDF108" s="953"/>
      <c r="BDG108" s="953"/>
      <c r="BDH108" s="953"/>
      <c r="BDI108" s="953"/>
      <c r="BDJ108" s="953"/>
      <c r="BDK108" s="953"/>
      <c r="BDL108" s="953"/>
      <c r="BDM108" s="953"/>
      <c r="BDN108" s="953"/>
      <c r="BDO108" s="953"/>
      <c r="BDP108" s="953"/>
      <c r="BDQ108" s="953"/>
      <c r="BDR108" s="953"/>
      <c r="BDS108" s="953"/>
      <c r="BDT108" s="953"/>
      <c r="BDU108" s="953"/>
      <c r="BDV108" s="953"/>
      <c r="BDW108" s="953"/>
      <c r="BDX108" s="953"/>
      <c r="BDY108" s="953"/>
      <c r="BDZ108" s="953"/>
      <c r="BEA108" s="953"/>
      <c r="BEB108" s="953"/>
      <c r="BEC108" s="953"/>
      <c r="BED108" s="953"/>
      <c r="BEE108" s="953"/>
      <c r="BEF108" s="953"/>
      <c r="BEG108" s="953"/>
      <c r="BEH108" s="953"/>
      <c r="BEI108" s="953"/>
      <c r="BEJ108" s="953"/>
      <c r="BEK108" s="953"/>
      <c r="BEL108" s="953"/>
      <c r="BEM108" s="953"/>
      <c r="BEN108" s="953"/>
      <c r="BEO108" s="953"/>
      <c r="BEP108" s="953"/>
      <c r="BEQ108" s="953"/>
      <c r="BER108" s="953"/>
      <c r="BES108" s="953"/>
      <c r="BET108" s="953"/>
      <c r="BEU108" s="953"/>
      <c r="BEV108" s="953"/>
      <c r="BEW108" s="953"/>
      <c r="BEX108" s="953"/>
      <c r="BEY108" s="953"/>
      <c r="BEZ108" s="953"/>
      <c r="BFA108" s="953"/>
      <c r="BFB108" s="953"/>
      <c r="BFC108" s="953"/>
      <c r="BFD108" s="953"/>
      <c r="BFE108" s="953"/>
      <c r="BFF108" s="953"/>
      <c r="BFG108" s="953"/>
      <c r="BFH108" s="953"/>
      <c r="BFI108" s="953"/>
      <c r="BFJ108" s="953"/>
      <c r="BFK108" s="953"/>
      <c r="BFL108" s="953"/>
      <c r="BFM108" s="953"/>
      <c r="BFN108" s="953"/>
      <c r="BFO108" s="953"/>
      <c r="BFP108" s="953"/>
      <c r="BFQ108" s="953"/>
      <c r="BFR108" s="953"/>
      <c r="BFS108" s="953"/>
      <c r="BFT108" s="953"/>
      <c r="BFU108" s="953"/>
      <c r="BFV108" s="953"/>
      <c r="BFW108" s="953"/>
      <c r="BFX108" s="953"/>
      <c r="BFY108" s="953"/>
      <c r="BFZ108" s="953"/>
      <c r="BGA108" s="953"/>
      <c r="BGB108" s="953"/>
      <c r="BGC108" s="953"/>
      <c r="BGD108" s="953"/>
      <c r="BGE108" s="953"/>
      <c r="BGF108" s="953"/>
      <c r="BGG108" s="953"/>
      <c r="BGH108" s="953"/>
      <c r="BGI108" s="953"/>
      <c r="BGJ108" s="953"/>
      <c r="BGK108" s="953"/>
      <c r="BGL108" s="953"/>
      <c r="BGM108" s="953"/>
      <c r="BGN108" s="953"/>
      <c r="BGO108" s="953"/>
      <c r="BGP108" s="953"/>
      <c r="BGQ108" s="953"/>
      <c r="BGR108" s="953"/>
      <c r="BGS108" s="953"/>
      <c r="BGT108" s="953"/>
      <c r="BGU108" s="953"/>
      <c r="BGV108" s="953"/>
      <c r="BGW108" s="953"/>
      <c r="BGX108" s="953"/>
      <c r="BGY108" s="953"/>
      <c r="BGZ108" s="953"/>
      <c r="BHA108" s="953"/>
      <c r="BHB108" s="953"/>
      <c r="BHC108" s="953"/>
      <c r="BHD108" s="953"/>
      <c r="BHE108" s="953"/>
      <c r="BHF108" s="953"/>
      <c r="BHG108" s="953"/>
      <c r="BHH108" s="953"/>
      <c r="BHI108" s="953"/>
      <c r="BHJ108" s="953"/>
      <c r="BHK108" s="953"/>
      <c r="BHL108" s="953"/>
      <c r="BHM108" s="953"/>
      <c r="BHN108" s="953"/>
      <c r="BHO108" s="953"/>
      <c r="BHP108" s="953"/>
      <c r="BHQ108" s="953"/>
      <c r="BHR108" s="953"/>
      <c r="BHS108" s="953"/>
      <c r="BHT108" s="953"/>
      <c r="BHU108" s="953"/>
      <c r="BHV108" s="953"/>
      <c r="BHW108" s="953"/>
      <c r="BHX108" s="953"/>
      <c r="BHY108" s="953"/>
      <c r="BHZ108" s="953"/>
      <c r="BIA108" s="953"/>
      <c r="BIB108" s="953"/>
      <c r="BIC108" s="953"/>
      <c r="BID108" s="953"/>
      <c r="BIE108" s="953"/>
      <c r="BIF108" s="953"/>
      <c r="BIG108" s="953"/>
      <c r="BIH108" s="953"/>
      <c r="BII108" s="953"/>
      <c r="BIJ108" s="953"/>
      <c r="BIK108" s="953"/>
      <c r="BIL108" s="953"/>
      <c r="BIM108" s="953"/>
      <c r="BIN108" s="953"/>
      <c r="BIO108" s="953"/>
      <c r="BIP108" s="953"/>
      <c r="BIQ108" s="953"/>
      <c r="BIR108" s="953"/>
      <c r="BIS108" s="953"/>
      <c r="BIT108" s="953"/>
      <c r="BIU108" s="953"/>
      <c r="BIV108" s="953"/>
      <c r="BIW108" s="953"/>
      <c r="BIX108" s="953"/>
      <c r="BIY108" s="953"/>
      <c r="BIZ108" s="953"/>
      <c r="BJA108" s="953"/>
      <c r="BJB108" s="953"/>
      <c r="BJC108" s="953"/>
      <c r="BJD108" s="953"/>
      <c r="BJE108" s="953"/>
      <c r="BJF108" s="953"/>
      <c r="BJG108" s="953"/>
      <c r="BJH108" s="953"/>
      <c r="BJI108" s="953"/>
      <c r="BJJ108" s="953"/>
      <c r="BJK108" s="953"/>
      <c r="BJL108" s="953"/>
      <c r="BJM108" s="953"/>
      <c r="BJN108" s="953"/>
      <c r="BJO108" s="953"/>
      <c r="BJP108" s="953"/>
      <c r="BJQ108" s="953"/>
      <c r="BJR108" s="953"/>
      <c r="BJS108" s="953"/>
      <c r="BJT108" s="953"/>
      <c r="BJU108" s="953"/>
      <c r="BJV108" s="953"/>
      <c r="BJW108" s="953"/>
      <c r="BJX108" s="953"/>
      <c r="BJY108" s="953"/>
      <c r="BJZ108" s="953"/>
      <c r="BKA108" s="953"/>
      <c r="BKB108" s="953"/>
      <c r="BKC108" s="953"/>
      <c r="BKD108" s="953"/>
      <c r="BKE108" s="953"/>
      <c r="BKF108" s="953"/>
      <c r="BKG108" s="953"/>
      <c r="BKH108" s="953"/>
      <c r="BKI108" s="953"/>
      <c r="BKJ108" s="953"/>
      <c r="BKK108" s="953"/>
      <c r="BKL108" s="953"/>
      <c r="BKM108" s="953"/>
      <c r="BKN108" s="953"/>
      <c r="BKO108" s="953"/>
      <c r="BKP108" s="953"/>
      <c r="BKQ108" s="953"/>
      <c r="BKR108" s="953"/>
      <c r="BKS108" s="953"/>
      <c r="BKT108" s="953"/>
      <c r="BKU108" s="953"/>
      <c r="BKV108" s="953"/>
      <c r="BKW108" s="953"/>
      <c r="BKX108" s="953"/>
      <c r="BKY108" s="953"/>
      <c r="BKZ108" s="953"/>
      <c r="BLA108" s="953"/>
      <c r="BLB108" s="953"/>
      <c r="BLC108" s="953"/>
      <c r="BLD108" s="953"/>
      <c r="BLE108" s="953"/>
      <c r="BLF108" s="953"/>
      <c r="BLG108" s="953"/>
      <c r="BLH108" s="953"/>
      <c r="BLI108" s="953"/>
      <c r="BLJ108" s="953"/>
      <c r="BLK108" s="953"/>
      <c r="BLL108" s="953"/>
      <c r="BLM108" s="953"/>
      <c r="BLN108" s="953"/>
      <c r="BLO108" s="953"/>
      <c r="BLP108" s="953"/>
      <c r="BLQ108" s="953"/>
      <c r="BLR108" s="953"/>
      <c r="BLS108" s="953"/>
      <c r="BLT108" s="953"/>
      <c r="BLU108" s="953"/>
      <c r="BLV108" s="953"/>
      <c r="BLW108" s="953"/>
      <c r="BLX108" s="953"/>
      <c r="BLY108" s="953"/>
      <c r="BLZ108" s="953"/>
      <c r="BMA108" s="953"/>
      <c r="BMB108" s="953"/>
      <c r="BMC108" s="953"/>
      <c r="BMD108" s="953"/>
      <c r="BME108" s="953"/>
      <c r="BMF108" s="953"/>
      <c r="BMG108" s="953"/>
      <c r="BMH108" s="953"/>
      <c r="BMI108" s="953"/>
      <c r="BMJ108" s="953"/>
      <c r="BMK108" s="953"/>
      <c r="BML108" s="953"/>
      <c r="BMM108" s="953"/>
      <c r="BMN108" s="953"/>
      <c r="BMO108" s="953"/>
      <c r="BMP108" s="953"/>
      <c r="BMQ108" s="953"/>
      <c r="BMR108" s="953"/>
      <c r="BMS108" s="953"/>
      <c r="BMT108" s="953"/>
      <c r="BMU108" s="953"/>
      <c r="BMV108" s="953"/>
      <c r="BMW108" s="953"/>
      <c r="BMX108" s="953"/>
      <c r="BMY108" s="953"/>
      <c r="BMZ108" s="953"/>
      <c r="BNA108" s="953"/>
      <c r="BNB108" s="953"/>
      <c r="BNC108" s="953"/>
      <c r="BND108" s="953"/>
      <c r="BNE108" s="953"/>
      <c r="BNF108" s="953"/>
      <c r="BNG108" s="953"/>
      <c r="BNH108" s="953"/>
      <c r="BNI108" s="953"/>
      <c r="BNJ108" s="953"/>
      <c r="BNK108" s="953"/>
      <c r="BNL108" s="953"/>
      <c r="BNM108" s="953"/>
      <c r="BNN108" s="953"/>
      <c r="BNO108" s="953"/>
      <c r="BNP108" s="953"/>
      <c r="BNQ108" s="953"/>
      <c r="BNR108" s="953"/>
      <c r="BNS108" s="953"/>
      <c r="BNT108" s="953"/>
      <c r="BNU108" s="953"/>
      <c r="BNV108" s="953"/>
      <c r="BNW108" s="953"/>
      <c r="BNX108" s="953"/>
      <c r="BNY108" s="953"/>
      <c r="BNZ108" s="953"/>
      <c r="BOA108" s="953"/>
      <c r="BOB108" s="953"/>
      <c r="BOC108" s="953"/>
      <c r="BOD108" s="953"/>
      <c r="BOE108" s="953"/>
      <c r="BOF108" s="953"/>
      <c r="BOG108" s="953"/>
      <c r="BOH108" s="953"/>
      <c r="BOI108" s="953"/>
      <c r="BOJ108" s="953"/>
      <c r="BOK108" s="953"/>
      <c r="BOL108" s="953"/>
      <c r="BOM108" s="953"/>
      <c r="BON108" s="953"/>
      <c r="BOO108" s="953"/>
      <c r="BOP108" s="953"/>
      <c r="BOQ108" s="953"/>
      <c r="BOR108" s="953"/>
      <c r="BOS108" s="953"/>
      <c r="BOT108" s="953"/>
      <c r="BOU108" s="953"/>
      <c r="BOV108" s="953"/>
      <c r="BOW108" s="953"/>
      <c r="BOX108" s="953"/>
      <c r="BOY108" s="953"/>
      <c r="BOZ108" s="953"/>
      <c r="BPA108" s="953"/>
      <c r="BPB108" s="953"/>
      <c r="BPC108" s="953"/>
      <c r="BPD108" s="953"/>
      <c r="BPE108" s="953"/>
      <c r="BPF108" s="953"/>
      <c r="BPG108" s="953"/>
      <c r="BPH108" s="953"/>
      <c r="BPI108" s="953"/>
      <c r="BPJ108" s="953"/>
      <c r="BPK108" s="953"/>
      <c r="BPL108" s="953"/>
      <c r="BPM108" s="953"/>
      <c r="BPN108" s="953"/>
      <c r="BPO108" s="953"/>
      <c r="BPP108" s="953"/>
      <c r="BPQ108" s="953"/>
      <c r="BPR108" s="953"/>
      <c r="BPS108" s="953"/>
      <c r="BPT108" s="953"/>
      <c r="BPU108" s="953"/>
      <c r="BPV108" s="953"/>
      <c r="BPW108" s="953"/>
      <c r="BPX108" s="953"/>
      <c r="BPY108" s="953"/>
      <c r="BPZ108" s="953"/>
      <c r="BQA108" s="953"/>
      <c r="BQB108" s="953"/>
      <c r="BQC108" s="953"/>
      <c r="BQD108" s="953"/>
      <c r="BQE108" s="953"/>
      <c r="BQF108" s="953"/>
      <c r="BQG108" s="953"/>
      <c r="BQH108" s="953"/>
      <c r="BQI108" s="953"/>
      <c r="BQJ108" s="953"/>
      <c r="BQK108" s="953"/>
      <c r="BQL108" s="953"/>
      <c r="BQM108" s="953"/>
      <c r="BQN108" s="953"/>
      <c r="BQO108" s="953"/>
      <c r="BQP108" s="953"/>
      <c r="BQQ108" s="953"/>
      <c r="BQR108" s="953"/>
      <c r="BQS108" s="953"/>
      <c r="BQT108" s="953"/>
      <c r="BQU108" s="953"/>
      <c r="BQV108" s="953"/>
      <c r="BQW108" s="953"/>
      <c r="BQX108" s="953"/>
      <c r="BQY108" s="953"/>
      <c r="BQZ108" s="953"/>
      <c r="BRA108" s="953"/>
      <c r="BRB108" s="953"/>
      <c r="BRC108" s="953"/>
      <c r="BRD108" s="953"/>
      <c r="BRE108" s="953"/>
      <c r="BRF108" s="953"/>
      <c r="BRG108" s="953"/>
      <c r="BRH108" s="953"/>
      <c r="BRI108" s="953"/>
      <c r="BRJ108" s="953"/>
      <c r="BRK108" s="953"/>
      <c r="BRL108" s="953"/>
      <c r="BRM108" s="953"/>
      <c r="BRN108" s="953"/>
      <c r="BRO108" s="953"/>
      <c r="BRP108" s="953"/>
      <c r="BRQ108" s="953"/>
      <c r="BRR108" s="953"/>
      <c r="BRS108" s="953"/>
      <c r="BRT108" s="953"/>
      <c r="BRU108" s="953"/>
      <c r="BRV108" s="953"/>
      <c r="BRW108" s="953"/>
      <c r="BRX108" s="953"/>
      <c r="BRY108" s="953"/>
      <c r="BRZ108" s="953"/>
      <c r="BSA108" s="953"/>
      <c r="BSB108" s="953"/>
      <c r="BSC108" s="953"/>
      <c r="BSD108" s="953"/>
      <c r="BSE108" s="953"/>
      <c r="BSF108" s="953"/>
      <c r="BSG108" s="953"/>
      <c r="BSH108" s="953"/>
      <c r="BSI108" s="953"/>
      <c r="BSJ108" s="953"/>
      <c r="BSK108" s="953"/>
      <c r="BSL108" s="953"/>
      <c r="BSM108" s="953"/>
      <c r="BSN108" s="953"/>
      <c r="BSO108" s="953"/>
      <c r="BSP108" s="953"/>
      <c r="BSQ108" s="953"/>
      <c r="BSR108" s="953"/>
      <c r="BSS108" s="953"/>
      <c r="BST108" s="953"/>
      <c r="BSU108" s="953"/>
      <c r="BSV108" s="953"/>
      <c r="BSW108" s="953"/>
      <c r="BSX108" s="953"/>
      <c r="BSY108" s="953"/>
      <c r="BSZ108" s="953"/>
      <c r="BTA108" s="953"/>
      <c r="BTB108" s="953"/>
      <c r="BTC108" s="953"/>
      <c r="BTD108" s="953"/>
      <c r="BTE108" s="953"/>
      <c r="BTF108" s="953"/>
      <c r="BTG108" s="953"/>
      <c r="BTH108" s="953"/>
      <c r="BTI108" s="953"/>
      <c r="BTJ108" s="953"/>
      <c r="BTK108" s="953"/>
      <c r="BTL108" s="953"/>
      <c r="BTM108" s="953"/>
      <c r="BTN108" s="953"/>
      <c r="BTO108" s="953"/>
      <c r="BTP108" s="953"/>
      <c r="BTQ108" s="953"/>
      <c r="BTR108" s="953"/>
      <c r="BTS108" s="953"/>
      <c r="BTT108" s="953"/>
      <c r="BTU108" s="953"/>
      <c r="BTV108" s="953"/>
      <c r="BTW108" s="953"/>
      <c r="BTX108" s="953"/>
      <c r="BTY108" s="953"/>
      <c r="BTZ108" s="953"/>
      <c r="BUA108" s="953"/>
      <c r="BUB108" s="953"/>
      <c r="BUC108" s="953"/>
      <c r="BUD108" s="953"/>
      <c r="BUE108" s="953"/>
      <c r="BUF108" s="953"/>
      <c r="BUG108" s="953"/>
      <c r="BUH108" s="953"/>
      <c r="BUI108" s="953"/>
      <c r="BUJ108" s="953"/>
      <c r="BUK108" s="953"/>
      <c r="BUL108" s="953"/>
      <c r="BUM108" s="953"/>
      <c r="BUN108" s="953"/>
      <c r="BUO108" s="953"/>
      <c r="BUP108" s="953"/>
      <c r="BUQ108" s="953"/>
      <c r="BUR108" s="953"/>
      <c r="BUS108" s="953"/>
      <c r="BUT108" s="953"/>
      <c r="BUU108" s="953"/>
      <c r="BUV108" s="953"/>
      <c r="BUW108" s="953"/>
      <c r="BUX108" s="953"/>
      <c r="BUY108" s="953"/>
      <c r="BUZ108" s="953"/>
      <c r="BVA108" s="953"/>
      <c r="BVB108" s="953"/>
      <c r="BVC108" s="953"/>
      <c r="BVD108" s="953"/>
      <c r="BVE108" s="953"/>
      <c r="BVF108" s="953"/>
      <c r="BVG108" s="953"/>
      <c r="BVH108" s="953"/>
      <c r="BVI108" s="953"/>
      <c r="BVJ108" s="953"/>
      <c r="BVK108" s="953"/>
      <c r="BVL108" s="953"/>
      <c r="BVM108" s="953"/>
      <c r="BVN108" s="953"/>
      <c r="BVO108" s="953"/>
      <c r="BVP108" s="953"/>
      <c r="BVQ108" s="953"/>
      <c r="BVR108" s="953"/>
      <c r="BVS108" s="953"/>
      <c r="BVT108" s="953"/>
      <c r="BVU108" s="953"/>
      <c r="BVV108" s="953"/>
      <c r="BVW108" s="953"/>
      <c r="BVX108" s="953"/>
      <c r="BVY108" s="953"/>
      <c r="BVZ108" s="953"/>
      <c r="BWA108" s="953"/>
      <c r="BWB108" s="953"/>
      <c r="BWC108" s="953"/>
      <c r="BWD108" s="953"/>
      <c r="BWE108" s="953"/>
      <c r="BWF108" s="953"/>
      <c r="BWG108" s="953"/>
      <c r="BWH108" s="953"/>
      <c r="BWI108" s="953"/>
      <c r="BWJ108" s="953"/>
      <c r="BWK108" s="953"/>
      <c r="BWL108" s="953"/>
      <c r="BWM108" s="953"/>
      <c r="BWN108" s="953"/>
      <c r="BWO108" s="953"/>
      <c r="BWP108" s="953"/>
      <c r="BWQ108" s="953"/>
      <c r="BWR108" s="953"/>
      <c r="BWS108" s="953"/>
      <c r="BWT108" s="953"/>
      <c r="BWU108" s="953"/>
      <c r="BWV108" s="953"/>
      <c r="BWW108" s="953"/>
      <c r="BWX108" s="953"/>
      <c r="BWY108" s="953"/>
      <c r="BWZ108" s="953"/>
      <c r="BXA108" s="953"/>
      <c r="BXB108" s="953"/>
      <c r="BXC108" s="953"/>
      <c r="BXD108" s="953"/>
      <c r="BXE108" s="953"/>
      <c r="BXF108" s="953"/>
      <c r="BXG108" s="953"/>
      <c r="BXH108" s="953"/>
      <c r="BXI108" s="953"/>
      <c r="BXJ108" s="953"/>
      <c r="BXK108" s="953"/>
      <c r="BXL108" s="953"/>
      <c r="BXM108" s="953"/>
      <c r="BXN108" s="953"/>
      <c r="BXO108" s="953"/>
      <c r="BXP108" s="953"/>
      <c r="BXQ108" s="953"/>
      <c r="BXR108" s="953"/>
      <c r="BXS108" s="953"/>
      <c r="BXT108" s="953"/>
      <c r="BXU108" s="953"/>
      <c r="BXV108" s="953"/>
      <c r="BXW108" s="953"/>
      <c r="BXX108" s="953"/>
      <c r="BXY108" s="953"/>
      <c r="BXZ108" s="953"/>
      <c r="BYA108" s="953"/>
      <c r="BYB108" s="953"/>
      <c r="BYC108" s="953"/>
      <c r="BYD108" s="953"/>
      <c r="BYE108" s="953"/>
      <c r="BYF108" s="953"/>
      <c r="BYG108" s="953"/>
      <c r="BYH108" s="953"/>
      <c r="BYI108" s="953"/>
      <c r="BYJ108" s="953"/>
      <c r="BYK108" s="953"/>
      <c r="BYL108" s="953"/>
      <c r="BYM108" s="953"/>
      <c r="BYN108" s="953"/>
      <c r="BYO108" s="953"/>
      <c r="BYP108" s="953"/>
      <c r="BYQ108" s="953"/>
      <c r="BYR108" s="953"/>
      <c r="BYS108" s="953"/>
      <c r="BYT108" s="953"/>
      <c r="BYU108" s="953"/>
      <c r="BYV108" s="953"/>
      <c r="BYW108" s="953"/>
      <c r="BYX108" s="953"/>
      <c r="BYY108" s="953"/>
      <c r="BYZ108" s="953"/>
      <c r="BZA108" s="953"/>
      <c r="BZB108" s="953"/>
      <c r="BZC108" s="953"/>
      <c r="BZD108" s="953"/>
      <c r="BZE108" s="953"/>
      <c r="BZF108" s="953"/>
      <c r="BZG108" s="953"/>
      <c r="BZH108" s="953"/>
      <c r="BZI108" s="953"/>
      <c r="BZJ108" s="953"/>
      <c r="BZK108" s="953"/>
      <c r="BZL108" s="953"/>
      <c r="BZM108" s="953"/>
      <c r="BZN108" s="953"/>
      <c r="BZO108" s="953"/>
      <c r="BZP108" s="953"/>
      <c r="BZQ108" s="953"/>
      <c r="BZR108" s="953"/>
      <c r="BZS108" s="953"/>
      <c r="BZT108" s="953"/>
      <c r="BZU108" s="953"/>
      <c r="BZV108" s="953"/>
      <c r="BZW108" s="953"/>
      <c r="BZX108" s="953"/>
      <c r="BZY108" s="953"/>
      <c r="BZZ108" s="953"/>
      <c r="CAA108" s="953"/>
      <c r="CAB108" s="953"/>
      <c r="CAC108" s="953"/>
      <c r="CAD108" s="953"/>
      <c r="CAE108" s="953"/>
      <c r="CAF108" s="953"/>
      <c r="CAG108" s="953"/>
      <c r="CAH108" s="953"/>
      <c r="CAI108" s="953"/>
      <c r="CAJ108" s="953"/>
      <c r="CAK108" s="953"/>
      <c r="CAL108" s="953"/>
      <c r="CAM108" s="953"/>
      <c r="CAN108" s="953"/>
      <c r="CAO108" s="953"/>
      <c r="CAP108" s="953"/>
      <c r="CAQ108" s="953"/>
      <c r="CAR108" s="953"/>
      <c r="CAS108" s="953"/>
      <c r="CAT108" s="953"/>
      <c r="CAU108" s="953"/>
      <c r="CAV108" s="953"/>
      <c r="CAW108" s="953"/>
      <c r="CAX108" s="953"/>
      <c r="CAY108" s="953"/>
      <c r="CAZ108" s="953"/>
      <c r="CBA108" s="953"/>
      <c r="CBB108" s="953"/>
      <c r="CBC108" s="953"/>
      <c r="CBD108" s="953"/>
      <c r="CBE108" s="953"/>
      <c r="CBF108" s="953"/>
      <c r="CBG108" s="953"/>
      <c r="CBH108" s="953"/>
      <c r="CBI108" s="953"/>
      <c r="CBJ108" s="953"/>
      <c r="CBK108" s="953"/>
      <c r="CBL108" s="953"/>
      <c r="CBM108" s="953"/>
      <c r="CBN108" s="953"/>
      <c r="CBO108" s="953"/>
      <c r="CBP108" s="953"/>
      <c r="CBQ108" s="953"/>
      <c r="CBR108" s="953"/>
      <c r="CBS108" s="953"/>
      <c r="CBT108" s="953"/>
      <c r="CBU108" s="953"/>
      <c r="CBV108" s="953"/>
      <c r="CBW108" s="953"/>
      <c r="CBX108" s="953"/>
      <c r="CBY108" s="953"/>
      <c r="CBZ108" s="953"/>
      <c r="CCA108" s="953"/>
      <c r="CCB108" s="953"/>
      <c r="CCC108" s="953"/>
      <c r="CCD108" s="953"/>
      <c r="CCE108" s="953"/>
      <c r="CCF108" s="953"/>
      <c r="CCG108" s="953"/>
      <c r="CCH108" s="953"/>
      <c r="CCI108" s="953"/>
      <c r="CCJ108" s="953"/>
      <c r="CCK108" s="953"/>
      <c r="CCL108" s="953"/>
      <c r="CCM108" s="953"/>
      <c r="CCN108" s="953"/>
      <c r="CCO108" s="953"/>
      <c r="CCP108" s="953"/>
      <c r="CCQ108" s="953"/>
      <c r="CCR108" s="953"/>
      <c r="CCS108" s="953"/>
      <c r="CCT108" s="953"/>
      <c r="CCU108" s="953"/>
      <c r="CCV108" s="953"/>
      <c r="CCW108" s="953"/>
      <c r="CCX108" s="953"/>
      <c r="CCY108" s="953"/>
      <c r="CCZ108" s="953"/>
      <c r="CDA108" s="953"/>
      <c r="CDB108" s="953"/>
      <c r="CDC108" s="953"/>
      <c r="CDD108" s="953"/>
      <c r="CDE108" s="953"/>
      <c r="CDF108" s="953"/>
      <c r="CDG108" s="953"/>
      <c r="CDH108" s="953"/>
      <c r="CDI108" s="953"/>
      <c r="CDJ108" s="953"/>
      <c r="CDK108" s="953"/>
      <c r="CDL108" s="953"/>
      <c r="CDM108" s="953"/>
      <c r="CDN108" s="953"/>
      <c r="CDO108" s="953"/>
      <c r="CDP108" s="953"/>
      <c r="CDQ108" s="953"/>
      <c r="CDR108" s="953"/>
      <c r="CDS108" s="953"/>
      <c r="CDT108" s="953"/>
      <c r="CDU108" s="953"/>
      <c r="CDV108" s="953"/>
      <c r="CDW108" s="953"/>
      <c r="CDX108" s="953"/>
      <c r="CDY108" s="953"/>
      <c r="CDZ108" s="953"/>
      <c r="CEA108" s="953"/>
      <c r="CEB108" s="953"/>
      <c r="CEC108" s="953"/>
      <c r="CED108" s="953"/>
      <c r="CEE108" s="953"/>
      <c r="CEF108" s="953"/>
      <c r="CEG108" s="953"/>
      <c r="CEH108" s="953"/>
      <c r="CEI108" s="953"/>
      <c r="CEJ108" s="953"/>
      <c r="CEK108" s="953"/>
      <c r="CEL108" s="953"/>
      <c r="CEM108" s="953"/>
      <c r="CEN108" s="953"/>
      <c r="CEO108" s="953"/>
      <c r="CEP108" s="953"/>
      <c r="CEQ108" s="953"/>
      <c r="CER108" s="953"/>
      <c r="CES108" s="953"/>
      <c r="CET108" s="953"/>
      <c r="CEU108" s="953"/>
      <c r="CEV108" s="953"/>
      <c r="CEW108" s="953"/>
      <c r="CEX108" s="953"/>
      <c r="CEY108" s="953"/>
      <c r="CEZ108" s="953"/>
      <c r="CFA108" s="953"/>
      <c r="CFB108" s="953"/>
      <c r="CFC108" s="953"/>
      <c r="CFD108" s="953"/>
      <c r="CFE108" s="953"/>
      <c r="CFF108" s="953"/>
      <c r="CFG108" s="953"/>
      <c r="CFH108" s="953"/>
      <c r="CFI108" s="953"/>
      <c r="CFJ108" s="953"/>
      <c r="CFK108" s="953"/>
      <c r="CFL108" s="953"/>
      <c r="CFM108" s="953"/>
      <c r="CFN108" s="953"/>
      <c r="CFO108" s="953"/>
      <c r="CFP108" s="953"/>
      <c r="CFQ108" s="953"/>
      <c r="CFR108" s="953"/>
      <c r="CFS108" s="953"/>
      <c r="CFT108" s="953"/>
      <c r="CFU108" s="953"/>
      <c r="CFV108" s="953"/>
      <c r="CFW108" s="953"/>
      <c r="CFX108" s="953"/>
      <c r="CFY108" s="953"/>
      <c r="CFZ108" s="953"/>
      <c r="CGA108" s="953"/>
      <c r="CGB108" s="953"/>
      <c r="CGC108" s="953"/>
      <c r="CGD108" s="953"/>
      <c r="CGE108" s="953"/>
      <c r="CGF108" s="953"/>
      <c r="CGG108" s="953"/>
      <c r="CGH108" s="953"/>
      <c r="CGI108" s="953"/>
      <c r="CGJ108" s="953"/>
      <c r="CGK108" s="953"/>
      <c r="CGL108" s="953"/>
      <c r="CGM108" s="953"/>
      <c r="CGN108" s="953"/>
      <c r="CGO108" s="953"/>
      <c r="CGP108" s="953"/>
      <c r="CGQ108" s="953"/>
      <c r="CGR108" s="953"/>
      <c r="CGS108" s="953"/>
      <c r="CGT108" s="953"/>
      <c r="CGU108" s="953"/>
      <c r="CGV108" s="953"/>
      <c r="CGW108" s="953"/>
      <c r="CGX108" s="953"/>
      <c r="CGY108" s="953"/>
      <c r="CGZ108" s="953"/>
      <c r="CHA108" s="953"/>
      <c r="CHB108" s="953"/>
      <c r="CHC108" s="953"/>
      <c r="CHD108" s="953"/>
      <c r="CHE108" s="953"/>
      <c r="CHF108" s="953"/>
      <c r="CHG108" s="953"/>
      <c r="CHH108" s="953"/>
      <c r="CHI108" s="953"/>
      <c r="CHJ108" s="953"/>
      <c r="CHK108" s="953"/>
      <c r="CHL108" s="953"/>
      <c r="CHM108" s="953"/>
      <c r="CHN108" s="953"/>
      <c r="CHO108" s="953"/>
      <c r="CHP108" s="953"/>
      <c r="CHQ108" s="953"/>
      <c r="CHR108" s="953"/>
      <c r="CHS108" s="953"/>
      <c r="CHT108" s="953"/>
      <c r="CHU108" s="953"/>
      <c r="CHV108" s="953"/>
      <c r="CHW108" s="953"/>
      <c r="CHX108" s="953"/>
      <c r="CHY108" s="953"/>
      <c r="CHZ108" s="953"/>
      <c r="CIA108" s="953"/>
      <c r="CIB108" s="953"/>
      <c r="CIC108" s="953"/>
      <c r="CID108" s="953"/>
      <c r="CIE108" s="953"/>
      <c r="CIF108" s="953"/>
      <c r="CIG108" s="953"/>
      <c r="CIH108" s="953"/>
      <c r="CII108" s="953"/>
      <c r="CIJ108" s="953"/>
      <c r="CIK108" s="953"/>
      <c r="CIL108" s="953"/>
      <c r="CIM108" s="953"/>
      <c r="CIN108" s="953"/>
      <c r="CIO108" s="953"/>
      <c r="CIP108" s="953"/>
      <c r="CIQ108" s="953"/>
      <c r="CIR108" s="953"/>
      <c r="CIS108" s="953"/>
      <c r="CIT108" s="953"/>
      <c r="CIU108" s="953"/>
      <c r="CIV108" s="953"/>
      <c r="CIW108" s="953"/>
      <c r="CIX108" s="953"/>
      <c r="CIY108" s="953"/>
      <c r="CIZ108" s="953"/>
      <c r="CJA108" s="953"/>
      <c r="CJB108" s="953"/>
      <c r="CJC108" s="953"/>
      <c r="CJD108" s="953"/>
      <c r="CJE108" s="953"/>
      <c r="CJF108" s="953"/>
      <c r="CJG108" s="953"/>
      <c r="CJH108" s="953"/>
      <c r="CJI108" s="953"/>
      <c r="CJJ108" s="953"/>
      <c r="CJK108" s="953"/>
      <c r="CJL108" s="953"/>
      <c r="CJM108" s="953"/>
      <c r="CJN108" s="953"/>
      <c r="CJO108" s="953"/>
      <c r="CJP108" s="953"/>
      <c r="CJQ108" s="953"/>
      <c r="CJR108" s="953"/>
      <c r="CJS108" s="953"/>
      <c r="CJT108" s="953"/>
      <c r="CJU108" s="953"/>
      <c r="CJV108" s="953"/>
      <c r="CJW108" s="953"/>
      <c r="CJX108" s="953"/>
      <c r="CJY108" s="953"/>
      <c r="CJZ108" s="953"/>
      <c r="CKA108" s="953"/>
      <c r="CKB108" s="953"/>
      <c r="CKC108" s="953"/>
      <c r="CKD108" s="953"/>
      <c r="CKE108" s="953"/>
      <c r="CKF108" s="953"/>
      <c r="CKG108" s="953"/>
      <c r="CKH108" s="953"/>
      <c r="CKI108" s="953"/>
      <c r="CKJ108" s="953"/>
      <c r="CKK108" s="953"/>
      <c r="CKL108" s="953"/>
      <c r="CKM108" s="953"/>
      <c r="CKN108" s="953"/>
      <c r="CKO108" s="953"/>
      <c r="CKP108" s="953"/>
      <c r="CKQ108" s="953"/>
      <c r="CKR108" s="953"/>
      <c r="CKS108" s="953"/>
      <c r="CKT108" s="953"/>
      <c r="CKU108" s="953"/>
      <c r="CKV108" s="953"/>
      <c r="CKW108" s="953"/>
      <c r="CKX108" s="953"/>
      <c r="CKY108" s="953"/>
      <c r="CKZ108" s="953"/>
      <c r="CLA108" s="953"/>
      <c r="CLB108" s="953"/>
      <c r="CLC108" s="953"/>
      <c r="CLD108" s="953"/>
      <c r="CLE108" s="953"/>
      <c r="CLF108" s="953"/>
      <c r="CLG108" s="953"/>
      <c r="CLH108" s="953"/>
      <c r="CLI108" s="953"/>
      <c r="CLJ108" s="953"/>
      <c r="CLK108" s="953"/>
      <c r="CLL108" s="953"/>
      <c r="CLM108" s="953"/>
      <c r="CLN108" s="953"/>
      <c r="CLO108" s="953"/>
      <c r="CLP108" s="953"/>
      <c r="CLQ108" s="953"/>
      <c r="CLR108" s="953"/>
      <c r="CLS108" s="953"/>
      <c r="CLT108" s="953"/>
      <c r="CLU108" s="953"/>
      <c r="CLV108" s="953"/>
      <c r="CLW108" s="953"/>
      <c r="CLX108" s="953"/>
      <c r="CLY108" s="953"/>
      <c r="CLZ108" s="953"/>
      <c r="CMA108" s="953"/>
      <c r="CMB108" s="953"/>
      <c r="CMC108" s="953"/>
      <c r="CMD108" s="953"/>
      <c r="CME108" s="953"/>
      <c r="CMF108" s="953"/>
      <c r="CMG108" s="953"/>
      <c r="CMH108" s="953"/>
      <c r="CMI108" s="953"/>
      <c r="CMJ108" s="953"/>
      <c r="CMK108" s="953"/>
      <c r="CML108" s="953"/>
      <c r="CMM108" s="953"/>
      <c r="CMN108" s="953"/>
      <c r="CMO108" s="953"/>
      <c r="CMP108" s="953"/>
      <c r="CMQ108" s="953"/>
      <c r="CMR108" s="953"/>
      <c r="CMS108" s="953"/>
      <c r="CMT108" s="953"/>
      <c r="CMU108" s="953"/>
      <c r="CMV108" s="953"/>
      <c r="CMW108" s="953"/>
      <c r="CMX108" s="953"/>
      <c r="CMY108" s="953"/>
      <c r="CMZ108" s="953"/>
      <c r="CNA108" s="953"/>
      <c r="CNB108" s="953"/>
      <c r="CNC108" s="953"/>
      <c r="CND108" s="953"/>
      <c r="CNE108" s="953"/>
      <c r="CNF108" s="953"/>
      <c r="CNG108" s="953"/>
      <c r="CNH108" s="953"/>
      <c r="CNI108" s="953"/>
      <c r="CNJ108" s="953"/>
      <c r="CNK108" s="953"/>
      <c r="CNL108" s="953"/>
      <c r="CNM108" s="953"/>
      <c r="CNN108" s="953"/>
      <c r="CNO108" s="953"/>
      <c r="CNP108" s="953"/>
      <c r="CNQ108" s="953"/>
      <c r="CNR108" s="953"/>
      <c r="CNS108" s="953"/>
      <c r="CNT108" s="953"/>
      <c r="CNU108" s="953"/>
      <c r="CNV108" s="953"/>
      <c r="CNW108" s="953"/>
      <c r="CNX108" s="953"/>
      <c r="CNY108" s="953"/>
      <c r="CNZ108" s="953"/>
      <c r="COA108" s="953"/>
      <c r="COB108" s="953"/>
      <c r="COC108" s="953"/>
      <c r="COD108" s="953"/>
      <c r="COE108" s="953"/>
      <c r="COF108" s="953"/>
      <c r="COG108" s="953"/>
      <c r="COH108" s="953"/>
      <c r="COI108" s="953"/>
      <c r="COJ108" s="953"/>
      <c r="COK108" s="953"/>
      <c r="COL108" s="953"/>
      <c r="COM108" s="953"/>
      <c r="CON108" s="953"/>
      <c r="COO108" s="953"/>
      <c r="COP108" s="953"/>
      <c r="COQ108" s="953"/>
      <c r="COR108" s="953"/>
      <c r="COS108" s="953"/>
      <c r="COT108" s="953"/>
      <c r="COU108" s="953"/>
      <c r="COV108" s="953"/>
      <c r="COW108" s="953"/>
      <c r="COX108" s="953"/>
      <c r="COY108" s="953"/>
      <c r="COZ108" s="953"/>
      <c r="CPA108" s="953"/>
      <c r="CPB108" s="953"/>
      <c r="CPC108" s="953"/>
      <c r="CPD108" s="953"/>
      <c r="CPE108" s="953"/>
      <c r="CPF108" s="953"/>
      <c r="CPG108" s="953"/>
      <c r="CPH108" s="953"/>
      <c r="CPI108" s="953"/>
      <c r="CPJ108" s="953"/>
      <c r="CPK108" s="953"/>
      <c r="CPL108" s="953"/>
      <c r="CPM108" s="953"/>
      <c r="CPN108" s="953"/>
      <c r="CPO108" s="953"/>
      <c r="CPP108" s="953"/>
      <c r="CPQ108" s="953"/>
      <c r="CPR108" s="953"/>
      <c r="CPS108" s="953"/>
      <c r="CPT108" s="953"/>
      <c r="CPU108" s="953"/>
      <c r="CPV108" s="953"/>
      <c r="CPW108" s="953"/>
      <c r="CPX108" s="953"/>
      <c r="CPY108" s="953"/>
      <c r="CPZ108" s="953"/>
      <c r="CQA108" s="953"/>
      <c r="CQB108" s="953"/>
      <c r="CQC108" s="953"/>
      <c r="CQD108" s="953"/>
      <c r="CQE108" s="953"/>
      <c r="CQF108" s="953"/>
      <c r="CQG108" s="953"/>
      <c r="CQH108" s="953"/>
      <c r="CQI108" s="953"/>
      <c r="CQJ108" s="953"/>
      <c r="CQK108" s="953"/>
      <c r="CQL108" s="953"/>
      <c r="CQM108" s="953"/>
      <c r="CQN108" s="953"/>
      <c r="CQO108" s="953"/>
      <c r="CQP108" s="953"/>
      <c r="CQQ108" s="953"/>
      <c r="CQR108" s="953"/>
      <c r="CQS108" s="953"/>
      <c r="CQT108" s="953"/>
      <c r="CQU108" s="953"/>
      <c r="CQV108" s="953"/>
      <c r="CQW108" s="953"/>
      <c r="CQX108" s="953"/>
      <c r="CQY108" s="953"/>
      <c r="CQZ108" s="953"/>
      <c r="CRA108" s="953"/>
      <c r="CRB108" s="953"/>
      <c r="CRC108" s="953"/>
      <c r="CRD108" s="953"/>
      <c r="CRE108" s="953"/>
      <c r="CRF108" s="953"/>
      <c r="CRG108" s="953"/>
      <c r="CRH108" s="953"/>
      <c r="CRI108" s="953"/>
      <c r="CRJ108" s="953"/>
      <c r="CRK108" s="953"/>
      <c r="CRL108" s="953"/>
      <c r="CRM108" s="953"/>
      <c r="CRN108" s="953"/>
      <c r="CRO108" s="953"/>
      <c r="CRP108" s="953"/>
      <c r="CRQ108" s="953"/>
      <c r="CRR108" s="953"/>
      <c r="CRS108" s="953"/>
      <c r="CRT108" s="953"/>
      <c r="CRU108" s="953"/>
      <c r="CRV108" s="953"/>
      <c r="CRW108" s="953"/>
      <c r="CRX108" s="953"/>
      <c r="CRY108" s="953"/>
      <c r="CRZ108" s="953"/>
      <c r="CSA108" s="953"/>
      <c r="CSB108" s="953"/>
      <c r="CSC108" s="953"/>
      <c r="CSD108" s="953"/>
      <c r="CSE108" s="953"/>
      <c r="CSF108" s="953"/>
      <c r="CSG108" s="953"/>
      <c r="CSH108" s="953"/>
      <c r="CSI108" s="953"/>
      <c r="CSJ108" s="953"/>
      <c r="CSK108" s="953"/>
      <c r="CSL108" s="953"/>
      <c r="CSM108" s="953"/>
      <c r="CSN108" s="953"/>
      <c r="CSO108" s="953"/>
      <c r="CSP108" s="953"/>
      <c r="CSQ108" s="953"/>
      <c r="CSR108" s="953"/>
      <c r="CSS108" s="953"/>
      <c r="CST108" s="953"/>
      <c r="CSU108" s="953"/>
      <c r="CSV108" s="953"/>
      <c r="CSW108" s="953"/>
      <c r="CSX108" s="953"/>
      <c r="CSY108" s="953"/>
      <c r="CSZ108" s="953"/>
      <c r="CTA108" s="953"/>
      <c r="CTB108" s="953"/>
      <c r="CTC108" s="953"/>
      <c r="CTD108" s="953"/>
      <c r="CTE108" s="953"/>
      <c r="CTF108" s="953"/>
      <c r="CTG108" s="953"/>
      <c r="CTH108" s="953"/>
      <c r="CTI108" s="953"/>
      <c r="CTJ108" s="953"/>
      <c r="CTK108" s="953"/>
      <c r="CTL108" s="953"/>
      <c r="CTM108" s="953"/>
      <c r="CTN108" s="953"/>
      <c r="CTO108" s="953"/>
      <c r="CTP108" s="953"/>
      <c r="CTQ108" s="953"/>
      <c r="CTR108" s="953"/>
      <c r="CTS108" s="953"/>
      <c r="CTT108" s="953"/>
      <c r="CTU108" s="953"/>
      <c r="CTV108" s="953"/>
      <c r="CTW108" s="953"/>
      <c r="CTX108" s="953"/>
      <c r="CTY108" s="953"/>
      <c r="CTZ108" s="953"/>
      <c r="CUA108" s="953"/>
      <c r="CUB108" s="953"/>
      <c r="CUC108" s="953"/>
      <c r="CUD108" s="953"/>
      <c r="CUE108" s="953"/>
      <c r="CUF108" s="953"/>
      <c r="CUG108" s="953"/>
      <c r="CUH108" s="953"/>
      <c r="CUI108" s="953"/>
      <c r="CUJ108" s="953"/>
      <c r="CUK108" s="953"/>
      <c r="CUL108" s="953"/>
      <c r="CUM108" s="953"/>
      <c r="CUN108" s="953"/>
      <c r="CUO108" s="953"/>
      <c r="CUP108" s="953"/>
      <c r="CUQ108" s="953"/>
      <c r="CUR108" s="953"/>
      <c r="CUS108" s="953"/>
      <c r="CUT108" s="953"/>
      <c r="CUU108" s="953"/>
      <c r="CUV108" s="953"/>
      <c r="CUW108" s="953"/>
      <c r="CUX108" s="953"/>
      <c r="CUY108" s="953"/>
      <c r="CUZ108" s="953"/>
      <c r="CVA108" s="953"/>
      <c r="CVB108" s="953"/>
      <c r="CVC108" s="953"/>
      <c r="CVD108" s="953"/>
      <c r="CVE108" s="953"/>
      <c r="CVF108" s="953"/>
      <c r="CVG108" s="953"/>
      <c r="CVH108" s="953"/>
      <c r="CVI108" s="953"/>
      <c r="CVJ108" s="953"/>
      <c r="CVK108" s="953"/>
      <c r="CVL108" s="953"/>
      <c r="CVM108" s="953"/>
      <c r="CVN108" s="953"/>
      <c r="CVO108" s="953"/>
      <c r="CVP108" s="953"/>
      <c r="CVQ108" s="953"/>
      <c r="CVR108" s="953"/>
      <c r="CVS108" s="953"/>
      <c r="CVT108" s="953"/>
      <c r="CVU108" s="953"/>
      <c r="CVV108" s="953"/>
      <c r="CVW108" s="953"/>
      <c r="CVX108" s="953"/>
      <c r="CVY108" s="953"/>
      <c r="CVZ108" s="953"/>
      <c r="CWA108" s="953"/>
      <c r="CWB108" s="953"/>
      <c r="CWC108" s="953"/>
      <c r="CWD108" s="953"/>
      <c r="CWE108" s="953"/>
      <c r="CWF108" s="953"/>
      <c r="CWG108" s="953"/>
      <c r="CWH108" s="953"/>
      <c r="CWI108" s="953"/>
      <c r="CWJ108" s="953"/>
      <c r="CWK108" s="953"/>
      <c r="CWL108" s="953"/>
      <c r="CWM108" s="953"/>
      <c r="CWN108" s="953"/>
      <c r="CWO108" s="953"/>
      <c r="CWP108" s="953"/>
      <c r="CWQ108" s="953"/>
      <c r="CWR108" s="953"/>
      <c r="CWS108" s="953"/>
      <c r="CWT108" s="953"/>
      <c r="CWU108" s="953"/>
      <c r="CWV108" s="953"/>
      <c r="CWW108" s="953"/>
      <c r="CWX108" s="953"/>
      <c r="CWY108" s="953"/>
      <c r="CWZ108" s="953"/>
      <c r="CXA108" s="953"/>
      <c r="CXB108" s="953"/>
      <c r="CXC108" s="953"/>
      <c r="CXD108" s="953"/>
      <c r="CXE108" s="953"/>
      <c r="CXF108" s="953"/>
      <c r="CXG108" s="953"/>
      <c r="CXH108" s="953"/>
      <c r="CXI108" s="953"/>
      <c r="CXJ108" s="953"/>
      <c r="CXK108" s="953"/>
      <c r="CXL108" s="953"/>
      <c r="CXM108" s="953"/>
      <c r="CXN108" s="953"/>
      <c r="CXO108" s="953"/>
      <c r="CXP108" s="953"/>
      <c r="CXQ108" s="953"/>
      <c r="CXR108" s="953"/>
      <c r="CXS108" s="953"/>
      <c r="CXT108" s="953"/>
      <c r="CXU108" s="953"/>
      <c r="CXV108" s="953"/>
      <c r="CXW108" s="953"/>
      <c r="CXX108" s="953"/>
      <c r="CXY108" s="953"/>
      <c r="CXZ108" s="953"/>
      <c r="CYA108" s="953"/>
      <c r="CYB108" s="953"/>
      <c r="CYC108" s="953"/>
      <c r="CYD108" s="953"/>
      <c r="CYE108" s="953"/>
      <c r="CYF108" s="953"/>
      <c r="CYG108" s="953"/>
      <c r="CYH108" s="953"/>
      <c r="CYI108" s="953"/>
      <c r="CYJ108" s="953"/>
      <c r="CYK108" s="953"/>
      <c r="CYL108" s="953"/>
      <c r="CYM108" s="953"/>
      <c r="CYN108" s="953"/>
      <c r="CYO108" s="953"/>
      <c r="CYP108" s="953"/>
      <c r="CYQ108" s="953"/>
      <c r="CYR108" s="953"/>
      <c r="CYS108" s="953"/>
      <c r="CYT108" s="953"/>
      <c r="CYU108" s="953"/>
      <c r="CYV108" s="953"/>
      <c r="CYW108" s="953"/>
      <c r="CYX108" s="953"/>
      <c r="CYY108" s="953"/>
      <c r="CYZ108" s="953"/>
      <c r="CZA108" s="953"/>
      <c r="CZB108" s="953"/>
      <c r="CZC108" s="953"/>
      <c r="CZD108" s="953"/>
      <c r="CZE108" s="953"/>
      <c r="CZF108" s="953"/>
      <c r="CZG108" s="953"/>
      <c r="CZH108" s="953"/>
      <c r="CZI108" s="953"/>
      <c r="CZJ108" s="953"/>
      <c r="CZK108" s="953"/>
      <c r="CZL108" s="953"/>
      <c r="CZM108" s="953"/>
      <c r="CZN108" s="953"/>
      <c r="CZO108" s="953"/>
      <c r="CZP108" s="953"/>
      <c r="CZQ108" s="953"/>
      <c r="CZR108" s="953"/>
      <c r="CZS108" s="953"/>
      <c r="CZT108" s="953"/>
      <c r="CZU108" s="953"/>
      <c r="CZV108" s="953"/>
      <c r="CZW108" s="953"/>
      <c r="CZX108" s="953"/>
      <c r="CZY108" s="953"/>
      <c r="CZZ108" s="953"/>
      <c r="DAA108" s="953"/>
      <c r="DAB108" s="953"/>
      <c r="DAC108" s="953"/>
      <c r="DAD108" s="953"/>
      <c r="DAE108" s="953"/>
      <c r="DAF108" s="953"/>
      <c r="DAG108" s="953"/>
      <c r="DAH108" s="953"/>
      <c r="DAI108" s="953"/>
      <c r="DAJ108" s="953"/>
      <c r="DAK108" s="953"/>
      <c r="DAL108" s="953"/>
      <c r="DAM108" s="953"/>
      <c r="DAN108" s="953"/>
      <c r="DAO108" s="953"/>
      <c r="DAP108" s="953"/>
      <c r="DAQ108" s="953"/>
      <c r="DAR108" s="953"/>
      <c r="DAS108" s="953"/>
      <c r="DAT108" s="953"/>
      <c r="DAU108" s="953"/>
      <c r="DAV108" s="953"/>
      <c r="DAW108" s="953"/>
      <c r="DAX108" s="953"/>
      <c r="DAY108" s="953"/>
      <c r="DAZ108" s="953"/>
      <c r="DBA108" s="953"/>
      <c r="DBB108" s="953"/>
      <c r="DBC108" s="953"/>
      <c r="DBD108" s="953"/>
      <c r="DBE108" s="953"/>
      <c r="DBF108" s="953"/>
      <c r="DBG108" s="953"/>
      <c r="DBH108" s="953"/>
      <c r="DBI108" s="953"/>
      <c r="DBJ108" s="953"/>
      <c r="DBK108" s="953"/>
      <c r="DBL108" s="953"/>
      <c r="DBM108" s="953"/>
      <c r="DBN108" s="953"/>
      <c r="DBO108" s="953"/>
      <c r="DBP108" s="953"/>
      <c r="DBQ108" s="953"/>
      <c r="DBR108" s="953"/>
      <c r="DBS108" s="953"/>
      <c r="DBT108" s="953"/>
      <c r="DBU108" s="953"/>
      <c r="DBV108" s="953"/>
      <c r="DBW108" s="953"/>
      <c r="DBX108" s="953"/>
      <c r="DBY108" s="953"/>
      <c r="DBZ108" s="953"/>
      <c r="DCA108" s="953"/>
      <c r="DCB108" s="953"/>
      <c r="DCC108" s="953"/>
      <c r="DCD108" s="953"/>
      <c r="DCE108" s="953"/>
      <c r="DCF108" s="953"/>
      <c r="DCG108" s="953"/>
      <c r="DCH108" s="953"/>
      <c r="DCI108" s="953"/>
      <c r="DCJ108" s="953"/>
      <c r="DCK108" s="953"/>
      <c r="DCL108" s="953"/>
      <c r="DCM108" s="953"/>
      <c r="DCN108" s="953"/>
      <c r="DCO108" s="953"/>
      <c r="DCP108" s="953"/>
      <c r="DCQ108" s="953"/>
      <c r="DCR108" s="953"/>
      <c r="DCS108" s="953"/>
      <c r="DCT108" s="953"/>
      <c r="DCU108" s="953"/>
      <c r="DCV108" s="953"/>
      <c r="DCW108" s="953"/>
      <c r="DCX108" s="953"/>
      <c r="DCY108" s="953"/>
      <c r="DCZ108" s="953"/>
      <c r="DDA108" s="953"/>
      <c r="DDB108" s="953"/>
      <c r="DDC108" s="953"/>
      <c r="DDD108" s="953"/>
      <c r="DDE108" s="953"/>
      <c r="DDF108" s="953"/>
      <c r="DDG108" s="953"/>
      <c r="DDH108" s="953"/>
      <c r="DDI108" s="953"/>
      <c r="DDJ108" s="953"/>
      <c r="DDK108" s="953"/>
      <c r="DDL108" s="953"/>
      <c r="DDM108" s="953"/>
      <c r="DDN108" s="953"/>
      <c r="DDO108" s="953"/>
      <c r="DDP108" s="953"/>
      <c r="DDQ108" s="953"/>
      <c r="DDR108" s="953"/>
      <c r="DDS108" s="953"/>
      <c r="DDT108" s="953"/>
      <c r="DDU108" s="953"/>
      <c r="DDV108" s="953"/>
      <c r="DDW108" s="953"/>
      <c r="DDX108" s="953"/>
      <c r="DDY108" s="953"/>
      <c r="DDZ108" s="953"/>
      <c r="DEA108" s="953"/>
      <c r="DEB108" s="953"/>
      <c r="DEC108" s="953"/>
      <c r="DED108" s="953"/>
      <c r="DEE108" s="953"/>
      <c r="DEF108" s="953"/>
      <c r="DEG108" s="953"/>
      <c r="DEH108" s="953"/>
      <c r="DEI108" s="953"/>
      <c r="DEJ108" s="953"/>
      <c r="DEK108" s="953"/>
      <c r="DEL108" s="953"/>
      <c r="DEM108" s="953"/>
      <c r="DEN108" s="953"/>
      <c r="DEO108" s="953"/>
      <c r="DEP108" s="953"/>
      <c r="DEQ108" s="953"/>
      <c r="DER108" s="953"/>
      <c r="DES108" s="953"/>
      <c r="DET108" s="953"/>
      <c r="DEU108" s="953"/>
      <c r="DEV108" s="953"/>
      <c r="DEW108" s="953"/>
      <c r="DEX108" s="953"/>
      <c r="DEY108" s="953"/>
      <c r="DEZ108" s="953"/>
      <c r="DFA108" s="953"/>
      <c r="DFB108" s="953"/>
      <c r="DFC108" s="953"/>
      <c r="DFD108" s="953"/>
      <c r="DFE108" s="953"/>
      <c r="DFF108" s="953"/>
      <c r="DFG108" s="953"/>
      <c r="DFH108" s="953"/>
      <c r="DFI108" s="953"/>
      <c r="DFJ108" s="953"/>
      <c r="DFK108" s="953"/>
      <c r="DFL108" s="953"/>
      <c r="DFM108" s="953"/>
      <c r="DFN108" s="953"/>
      <c r="DFO108" s="953"/>
      <c r="DFP108" s="953"/>
      <c r="DFQ108" s="953"/>
      <c r="DFR108" s="953"/>
      <c r="DFS108" s="953"/>
      <c r="DFT108" s="953"/>
      <c r="DFU108" s="953"/>
      <c r="DFV108" s="953"/>
      <c r="DFW108" s="953"/>
      <c r="DFX108" s="953"/>
      <c r="DFY108" s="953"/>
      <c r="DFZ108" s="953"/>
      <c r="DGA108" s="953"/>
      <c r="DGB108" s="953"/>
      <c r="DGC108" s="953"/>
      <c r="DGD108" s="953"/>
      <c r="DGE108" s="953"/>
      <c r="DGF108" s="953"/>
      <c r="DGG108" s="953"/>
      <c r="DGH108" s="953"/>
      <c r="DGI108" s="953"/>
      <c r="DGJ108" s="953"/>
      <c r="DGK108" s="953"/>
      <c r="DGL108" s="953"/>
      <c r="DGM108" s="953"/>
      <c r="DGN108" s="953"/>
      <c r="DGO108" s="953"/>
      <c r="DGP108" s="953"/>
      <c r="DGQ108" s="953"/>
      <c r="DGR108" s="953"/>
      <c r="DGS108" s="953"/>
      <c r="DGT108" s="953"/>
      <c r="DGU108" s="953"/>
      <c r="DGV108" s="953"/>
      <c r="DGW108" s="953"/>
      <c r="DGX108" s="953"/>
      <c r="DGY108" s="953"/>
      <c r="DGZ108" s="953"/>
      <c r="DHA108" s="953"/>
      <c r="DHB108" s="953"/>
      <c r="DHC108" s="953"/>
      <c r="DHD108" s="953"/>
      <c r="DHE108" s="953"/>
      <c r="DHF108" s="953"/>
      <c r="DHG108" s="953"/>
      <c r="DHH108" s="953"/>
      <c r="DHI108" s="953"/>
      <c r="DHJ108" s="953"/>
      <c r="DHK108" s="953"/>
      <c r="DHL108" s="953"/>
      <c r="DHM108" s="953"/>
      <c r="DHN108" s="953"/>
      <c r="DHO108" s="953"/>
      <c r="DHP108" s="953"/>
      <c r="DHQ108" s="953"/>
      <c r="DHR108" s="953"/>
      <c r="DHS108" s="953"/>
      <c r="DHT108" s="953"/>
      <c r="DHU108" s="953"/>
      <c r="DHV108" s="953"/>
      <c r="DHW108" s="953"/>
      <c r="DHX108" s="953"/>
      <c r="DHY108" s="953"/>
      <c r="DHZ108" s="953"/>
      <c r="DIA108" s="953"/>
      <c r="DIB108" s="953"/>
      <c r="DIC108" s="953"/>
      <c r="DID108" s="953"/>
      <c r="DIE108" s="953"/>
      <c r="DIF108" s="953"/>
      <c r="DIG108" s="953"/>
      <c r="DIH108" s="953"/>
      <c r="DII108" s="953"/>
      <c r="DIJ108" s="953"/>
      <c r="DIK108" s="953"/>
      <c r="DIL108" s="953"/>
      <c r="DIM108" s="953"/>
      <c r="DIN108" s="953"/>
      <c r="DIO108" s="953"/>
      <c r="DIP108" s="953"/>
      <c r="DIQ108" s="953"/>
      <c r="DIR108" s="953"/>
      <c r="DIS108" s="953"/>
      <c r="DIT108" s="953"/>
      <c r="DIU108" s="953"/>
      <c r="DIV108" s="953"/>
      <c r="DIW108" s="953"/>
      <c r="DIX108" s="953"/>
      <c r="DIY108" s="953"/>
      <c r="DIZ108" s="953"/>
      <c r="DJA108" s="953"/>
      <c r="DJB108" s="953"/>
      <c r="DJC108" s="953"/>
      <c r="DJD108" s="953"/>
      <c r="DJE108" s="953"/>
      <c r="DJF108" s="953"/>
      <c r="DJG108" s="953"/>
      <c r="DJH108" s="953"/>
      <c r="DJI108" s="953"/>
      <c r="DJJ108" s="953"/>
      <c r="DJK108" s="953"/>
      <c r="DJL108" s="953"/>
      <c r="DJM108" s="953"/>
      <c r="DJN108" s="953"/>
      <c r="DJO108" s="953"/>
      <c r="DJP108" s="953"/>
      <c r="DJQ108" s="953"/>
      <c r="DJR108" s="953"/>
      <c r="DJS108" s="953"/>
      <c r="DJT108" s="953"/>
      <c r="DJU108" s="953"/>
      <c r="DJV108" s="953"/>
      <c r="DJW108" s="953"/>
      <c r="DJX108" s="953"/>
      <c r="DJY108" s="953"/>
      <c r="DJZ108" s="953"/>
      <c r="DKA108" s="953"/>
      <c r="DKB108" s="953"/>
      <c r="DKC108" s="953"/>
      <c r="DKD108" s="953"/>
      <c r="DKE108" s="953"/>
      <c r="DKF108" s="953"/>
      <c r="DKG108" s="953"/>
      <c r="DKH108" s="953"/>
      <c r="DKI108" s="953"/>
      <c r="DKJ108" s="953"/>
      <c r="DKK108" s="953"/>
      <c r="DKL108" s="953"/>
      <c r="DKM108" s="953"/>
      <c r="DKN108" s="953"/>
      <c r="DKO108" s="953"/>
      <c r="DKP108" s="953"/>
      <c r="DKQ108" s="953"/>
      <c r="DKR108" s="953"/>
      <c r="DKS108" s="953"/>
      <c r="DKT108" s="953"/>
      <c r="DKU108" s="953"/>
      <c r="DKV108" s="953"/>
      <c r="DKW108" s="953"/>
      <c r="DKX108" s="953"/>
      <c r="DKY108" s="953"/>
      <c r="DKZ108" s="953"/>
      <c r="DLA108" s="953"/>
      <c r="DLB108" s="953"/>
      <c r="DLC108" s="953"/>
      <c r="DLD108" s="953"/>
      <c r="DLE108" s="953"/>
      <c r="DLF108" s="953"/>
      <c r="DLG108" s="953"/>
      <c r="DLH108" s="953"/>
      <c r="DLI108" s="953"/>
      <c r="DLJ108" s="953"/>
      <c r="DLK108" s="953"/>
      <c r="DLL108" s="953"/>
      <c r="DLM108" s="953"/>
      <c r="DLN108" s="953"/>
      <c r="DLO108" s="953"/>
      <c r="DLP108" s="953"/>
      <c r="DLQ108" s="953"/>
      <c r="DLR108" s="953"/>
      <c r="DLS108" s="953"/>
      <c r="DLT108" s="953"/>
      <c r="DLU108" s="953"/>
      <c r="DLV108" s="953"/>
      <c r="DLW108" s="953"/>
      <c r="DLX108" s="953"/>
      <c r="DLY108" s="953"/>
      <c r="DLZ108" s="953"/>
      <c r="DMA108" s="953"/>
      <c r="DMB108" s="953"/>
      <c r="DMC108" s="953"/>
      <c r="DMD108" s="953"/>
      <c r="DME108" s="953"/>
      <c r="DMF108" s="953"/>
      <c r="DMG108" s="953"/>
      <c r="DMH108" s="953"/>
      <c r="DMI108" s="953"/>
      <c r="DMJ108" s="953"/>
      <c r="DMK108" s="953"/>
      <c r="DML108" s="953"/>
      <c r="DMM108" s="953"/>
      <c r="DMN108" s="953"/>
      <c r="DMO108" s="953"/>
      <c r="DMP108" s="953"/>
      <c r="DMQ108" s="953"/>
      <c r="DMR108" s="953"/>
      <c r="DMS108" s="953"/>
      <c r="DMT108" s="953"/>
      <c r="DMU108" s="953"/>
      <c r="DMV108" s="953"/>
      <c r="DMW108" s="953"/>
      <c r="DMX108" s="953"/>
      <c r="DMY108" s="953"/>
      <c r="DMZ108" s="953"/>
      <c r="DNA108" s="953"/>
      <c r="DNB108" s="953"/>
      <c r="DNC108" s="953"/>
      <c r="DND108" s="953"/>
      <c r="DNE108" s="953"/>
      <c r="DNF108" s="953"/>
      <c r="DNG108" s="953"/>
      <c r="DNH108" s="953"/>
      <c r="DNI108" s="953"/>
      <c r="DNJ108" s="953"/>
      <c r="DNK108" s="953"/>
      <c r="DNL108" s="953"/>
      <c r="DNM108" s="953"/>
      <c r="DNN108" s="953"/>
      <c r="DNO108" s="953"/>
      <c r="DNP108" s="953"/>
      <c r="DNQ108" s="953"/>
      <c r="DNR108" s="953"/>
      <c r="DNS108" s="953"/>
      <c r="DNT108" s="953"/>
      <c r="DNU108" s="953"/>
      <c r="DNV108" s="953"/>
      <c r="DNW108" s="953"/>
      <c r="DNX108" s="953"/>
      <c r="DNY108" s="953"/>
      <c r="DNZ108" s="953"/>
      <c r="DOA108" s="953"/>
      <c r="DOB108" s="953"/>
      <c r="DOC108" s="953"/>
      <c r="DOD108" s="953"/>
      <c r="DOE108" s="953"/>
      <c r="DOF108" s="953"/>
      <c r="DOG108" s="953"/>
      <c r="DOH108" s="953"/>
      <c r="DOI108" s="953"/>
      <c r="DOJ108" s="953"/>
      <c r="DOK108" s="953"/>
      <c r="DOL108" s="953"/>
      <c r="DOM108" s="953"/>
      <c r="DON108" s="953"/>
      <c r="DOO108" s="953"/>
      <c r="DOP108" s="953"/>
      <c r="DOQ108" s="953"/>
      <c r="DOR108" s="953"/>
      <c r="DOS108" s="953"/>
      <c r="DOT108" s="953"/>
      <c r="DOU108" s="953"/>
      <c r="DOV108" s="953"/>
      <c r="DOW108" s="953"/>
      <c r="DOX108" s="953"/>
      <c r="DOY108" s="953"/>
      <c r="DOZ108" s="953"/>
      <c r="DPA108" s="953"/>
      <c r="DPB108" s="953"/>
      <c r="DPC108" s="953"/>
      <c r="DPD108" s="953"/>
      <c r="DPE108" s="953"/>
      <c r="DPF108" s="953"/>
      <c r="DPG108" s="953"/>
      <c r="DPH108" s="953"/>
      <c r="DPI108" s="953"/>
      <c r="DPJ108" s="953"/>
      <c r="DPK108" s="953"/>
      <c r="DPL108" s="953"/>
      <c r="DPM108" s="953"/>
      <c r="DPN108" s="953"/>
      <c r="DPO108" s="953"/>
      <c r="DPP108" s="953"/>
      <c r="DPQ108" s="953"/>
      <c r="DPR108" s="953"/>
      <c r="DPS108" s="953"/>
      <c r="DPT108" s="953"/>
      <c r="DPU108" s="953"/>
      <c r="DPV108" s="953"/>
      <c r="DPW108" s="953"/>
      <c r="DPX108" s="953"/>
      <c r="DPY108" s="953"/>
      <c r="DPZ108" s="953"/>
      <c r="DQA108" s="953"/>
      <c r="DQB108" s="953"/>
      <c r="DQC108" s="953"/>
      <c r="DQD108" s="953"/>
      <c r="DQE108" s="953"/>
      <c r="DQF108" s="953"/>
      <c r="DQG108" s="953"/>
      <c r="DQH108" s="953"/>
      <c r="DQI108" s="953"/>
      <c r="DQJ108" s="953"/>
      <c r="DQK108" s="953"/>
      <c r="DQL108" s="953"/>
      <c r="DQM108" s="953"/>
      <c r="DQN108" s="953"/>
      <c r="DQO108" s="953"/>
      <c r="DQP108" s="953"/>
      <c r="DQQ108" s="953"/>
      <c r="DQR108" s="953"/>
      <c r="DQS108" s="953"/>
      <c r="DQT108" s="953"/>
      <c r="DQU108" s="953"/>
      <c r="DQV108" s="953"/>
      <c r="DQW108" s="953"/>
      <c r="DQX108" s="953"/>
      <c r="DQY108" s="953"/>
      <c r="DQZ108" s="953"/>
      <c r="DRA108" s="953"/>
      <c r="DRB108" s="953"/>
      <c r="DRC108" s="953"/>
      <c r="DRD108" s="953"/>
      <c r="DRE108" s="953"/>
      <c r="DRF108" s="953"/>
      <c r="DRG108" s="953"/>
      <c r="DRH108" s="953"/>
      <c r="DRI108" s="953"/>
      <c r="DRJ108" s="953"/>
      <c r="DRK108" s="953"/>
      <c r="DRL108" s="953"/>
      <c r="DRM108" s="953"/>
      <c r="DRN108" s="953"/>
      <c r="DRO108" s="953"/>
      <c r="DRP108" s="953"/>
      <c r="DRQ108" s="953"/>
      <c r="DRR108" s="953"/>
      <c r="DRS108" s="953"/>
      <c r="DRT108" s="953"/>
      <c r="DRU108" s="953"/>
      <c r="DRV108" s="953"/>
      <c r="DRW108" s="953"/>
      <c r="DRX108" s="953"/>
      <c r="DRY108" s="953"/>
      <c r="DRZ108" s="953"/>
      <c r="DSA108" s="953"/>
      <c r="DSB108" s="953"/>
      <c r="DSC108" s="953"/>
      <c r="DSD108" s="953"/>
      <c r="DSE108" s="953"/>
      <c r="DSF108" s="953"/>
      <c r="DSG108" s="953"/>
      <c r="DSH108" s="953"/>
      <c r="DSI108" s="953"/>
      <c r="DSJ108" s="953"/>
      <c r="DSK108" s="953"/>
      <c r="DSL108" s="953"/>
      <c r="DSM108" s="953"/>
      <c r="DSN108" s="953"/>
      <c r="DSO108" s="953"/>
      <c r="DSP108" s="953"/>
      <c r="DSQ108" s="953"/>
      <c r="DSR108" s="953"/>
      <c r="DSS108" s="953"/>
      <c r="DST108" s="953"/>
      <c r="DSU108" s="953"/>
      <c r="DSV108" s="953"/>
      <c r="DSW108" s="953"/>
      <c r="DSX108" s="953"/>
      <c r="DSY108" s="953"/>
      <c r="DSZ108" s="953"/>
      <c r="DTA108" s="953"/>
      <c r="DTB108" s="953"/>
      <c r="DTC108" s="953"/>
      <c r="DTD108" s="953"/>
      <c r="DTE108" s="953"/>
      <c r="DTF108" s="953"/>
      <c r="DTG108" s="953"/>
      <c r="DTH108" s="953"/>
      <c r="DTI108" s="953"/>
      <c r="DTJ108" s="953"/>
      <c r="DTK108" s="953"/>
      <c r="DTL108" s="953"/>
      <c r="DTM108" s="953"/>
      <c r="DTN108" s="953"/>
      <c r="DTO108" s="953"/>
      <c r="DTP108" s="953"/>
      <c r="DTQ108" s="953"/>
      <c r="DTR108" s="953"/>
      <c r="DTS108" s="953"/>
      <c r="DTT108" s="953"/>
      <c r="DTU108" s="953"/>
      <c r="DTV108" s="953"/>
      <c r="DTW108" s="953"/>
      <c r="DTX108" s="953"/>
      <c r="DTY108" s="953"/>
      <c r="DTZ108" s="953"/>
      <c r="DUA108" s="953"/>
      <c r="DUB108" s="953"/>
      <c r="DUC108" s="953"/>
      <c r="DUD108" s="953"/>
      <c r="DUE108" s="953"/>
      <c r="DUF108" s="953"/>
      <c r="DUG108" s="953"/>
      <c r="DUH108" s="953"/>
      <c r="DUI108" s="953"/>
      <c r="DUJ108" s="953"/>
      <c r="DUK108" s="953"/>
      <c r="DUL108" s="953"/>
      <c r="DUM108" s="953"/>
      <c r="DUN108" s="953"/>
      <c r="DUO108" s="953"/>
      <c r="DUP108" s="953"/>
      <c r="DUQ108" s="953"/>
      <c r="DUR108" s="953"/>
      <c r="DUS108" s="953"/>
      <c r="DUT108" s="953"/>
      <c r="DUU108" s="953"/>
      <c r="DUV108" s="953"/>
      <c r="DUW108" s="953"/>
      <c r="DUX108" s="953"/>
      <c r="DUY108" s="953"/>
      <c r="DUZ108" s="953"/>
      <c r="DVA108" s="953"/>
      <c r="DVB108" s="953"/>
      <c r="DVC108" s="953"/>
      <c r="DVD108" s="953"/>
      <c r="DVE108" s="953"/>
      <c r="DVF108" s="953"/>
      <c r="DVG108" s="953"/>
      <c r="DVH108" s="953"/>
      <c r="DVI108" s="953"/>
      <c r="DVJ108" s="953"/>
      <c r="DVK108" s="953"/>
      <c r="DVL108" s="953"/>
      <c r="DVM108" s="953"/>
      <c r="DVN108" s="953"/>
      <c r="DVO108" s="953"/>
      <c r="DVP108" s="953"/>
      <c r="DVQ108" s="953"/>
      <c r="DVR108" s="953"/>
      <c r="DVS108" s="953"/>
      <c r="DVT108" s="953"/>
      <c r="DVU108" s="953"/>
      <c r="DVV108" s="953"/>
      <c r="DVW108" s="953"/>
      <c r="DVX108" s="953"/>
      <c r="DVY108" s="953"/>
      <c r="DVZ108" s="953"/>
      <c r="DWA108" s="953"/>
      <c r="DWB108" s="953"/>
      <c r="DWC108" s="953"/>
      <c r="DWD108" s="953"/>
      <c r="DWE108" s="953"/>
      <c r="DWF108" s="953"/>
      <c r="DWG108" s="953"/>
      <c r="DWH108" s="953"/>
      <c r="DWI108" s="953"/>
      <c r="DWJ108" s="953"/>
      <c r="DWK108" s="953"/>
      <c r="DWL108" s="953"/>
      <c r="DWM108" s="953"/>
      <c r="DWN108" s="953"/>
      <c r="DWO108" s="953"/>
      <c r="DWP108" s="953"/>
      <c r="DWQ108" s="953"/>
      <c r="DWR108" s="953"/>
      <c r="DWS108" s="953"/>
      <c r="DWT108" s="953"/>
      <c r="DWU108" s="953"/>
      <c r="DWV108" s="953"/>
      <c r="DWW108" s="953"/>
      <c r="DWX108" s="953"/>
      <c r="DWY108" s="953"/>
      <c r="DWZ108" s="953"/>
      <c r="DXA108" s="953"/>
      <c r="DXB108" s="953"/>
      <c r="DXC108" s="953"/>
      <c r="DXD108" s="953"/>
      <c r="DXE108" s="953"/>
      <c r="DXF108" s="953"/>
      <c r="DXG108" s="953"/>
      <c r="DXH108" s="953"/>
      <c r="DXI108" s="953"/>
      <c r="DXJ108" s="953"/>
      <c r="DXK108" s="953"/>
      <c r="DXL108" s="953"/>
      <c r="DXM108" s="953"/>
      <c r="DXN108" s="953"/>
      <c r="DXO108" s="953"/>
      <c r="DXP108" s="953"/>
      <c r="DXQ108" s="953"/>
      <c r="DXR108" s="953"/>
      <c r="DXS108" s="953"/>
      <c r="DXT108" s="953"/>
      <c r="DXU108" s="953"/>
      <c r="DXV108" s="953"/>
      <c r="DXW108" s="953"/>
      <c r="DXX108" s="953"/>
      <c r="DXY108" s="953"/>
      <c r="DXZ108" s="953"/>
      <c r="DYA108" s="953"/>
      <c r="DYB108" s="953"/>
      <c r="DYC108" s="953"/>
      <c r="DYD108" s="953"/>
      <c r="DYE108" s="953"/>
      <c r="DYF108" s="953"/>
      <c r="DYG108" s="953"/>
      <c r="DYH108" s="953"/>
      <c r="DYI108" s="953"/>
      <c r="DYJ108" s="953"/>
      <c r="DYK108" s="953"/>
      <c r="DYL108" s="953"/>
      <c r="DYM108" s="953"/>
      <c r="DYN108" s="953"/>
      <c r="DYO108" s="953"/>
      <c r="DYP108" s="953"/>
      <c r="DYQ108" s="953"/>
      <c r="DYR108" s="953"/>
      <c r="DYS108" s="953"/>
      <c r="DYT108" s="953"/>
      <c r="DYU108" s="953"/>
      <c r="DYV108" s="953"/>
      <c r="DYW108" s="953"/>
      <c r="DYX108" s="953"/>
      <c r="DYY108" s="953"/>
      <c r="DYZ108" s="953"/>
      <c r="DZA108" s="953"/>
      <c r="DZB108" s="953"/>
      <c r="DZC108" s="953"/>
      <c r="DZD108" s="953"/>
      <c r="DZE108" s="953"/>
      <c r="DZF108" s="953"/>
      <c r="DZG108" s="953"/>
      <c r="DZH108" s="953"/>
      <c r="DZI108" s="953"/>
      <c r="DZJ108" s="953"/>
      <c r="DZK108" s="953"/>
      <c r="DZL108" s="953"/>
      <c r="DZM108" s="953"/>
      <c r="DZN108" s="953"/>
      <c r="DZO108" s="953"/>
      <c r="DZP108" s="953"/>
      <c r="DZQ108" s="953"/>
      <c r="DZR108" s="953"/>
      <c r="DZS108" s="953"/>
      <c r="DZT108" s="953"/>
      <c r="DZU108" s="953"/>
      <c r="DZV108" s="953"/>
      <c r="DZW108" s="953"/>
      <c r="DZX108" s="953"/>
      <c r="DZY108" s="953"/>
      <c r="DZZ108" s="953"/>
      <c r="EAA108" s="953"/>
      <c r="EAB108" s="953"/>
      <c r="EAC108" s="953"/>
      <c r="EAD108" s="953"/>
      <c r="EAE108" s="953"/>
      <c r="EAF108" s="953"/>
      <c r="EAG108" s="953"/>
      <c r="EAH108" s="953"/>
      <c r="EAI108" s="953"/>
      <c r="EAJ108" s="953"/>
      <c r="EAK108" s="953"/>
      <c r="EAL108" s="953"/>
      <c r="EAM108" s="953"/>
      <c r="EAN108" s="953"/>
      <c r="EAO108" s="953"/>
      <c r="EAP108" s="953"/>
      <c r="EAQ108" s="953"/>
      <c r="EAR108" s="953"/>
      <c r="EAS108" s="953"/>
      <c r="EAT108" s="953"/>
      <c r="EAU108" s="953"/>
      <c r="EAV108" s="953"/>
      <c r="EAW108" s="953"/>
      <c r="EAX108" s="953"/>
      <c r="EAY108" s="953"/>
      <c r="EAZ108" s="953"/>
      <c r="EBA108" s="953"/>
      <c r="EBB108" s="953"/>
      <c r="EBC108" s="953"/>
      <c r="EBD108" s="953"/>
      <c r="EBE108" s="953"/>
      <c r="EBF108" s="953"/>
      <c r="EBG108" s="953"/>
      <c r="EBH108" s="953"/>
      <c r="EBI108" s="953"/>
      <c r="EBJ108" s="953"/>
      <c r="EBK108" s="953"/>
      <c r="EBL108" s="953"/>
      <c r="EBM108" s="953"/>
      <c r="EBN108" s="953"/>
      <c r="EBO108" s="953"/>
      <c r="EBP108" s="953"/>
      <c r="EBQ108" s="953"/>
      <c r="EBR108" s="953"/>
      <c r="EBS108" s="953"/>
      <c r="EBT108" s="953"/>
      <c r="EBU108" s="953"/>
      <c r="EBV108" s="953"/>
      <c r="EBW108" s="953"/>
      <c r="EBX108" s="953"/>
      <c r="EBY108" s="953"/>
      <c r="EBZ108" s="953"/>
      <c r="ECA108" s="953"/>
      <c r="ECB108" s="953"/>
      <c r="ECC108" s="953"/>
      <c r="ECD108" s="953"/>
      <c r="ECE108" s="953"/>
      <c r="ECF108" s="953"/>
      <c r="ECG108" s="953"/>
      <c r="ECH108" s="953"/>
      <c r="ECI108" s="953"/>
      <c r="ECJ108" s="953"/>
      <c r="ECK108" s="953"/>
      <c r="ECL108" s="953"/>
      <c r="ECM108" s="953"/>
      <c r="ECN108" s="953"/>
      <c r="ECO108" s="953"/>
      <c r="ECP108" s="953"/>
      <c r="ECQ108" s="953"/>
      <c r="ECR108" s="953"/>
      <c r="ECS108" s="953"/>
      <c r="ECT108" s="953"/>
      <c r="ECU108" s="953"/>
      <c r="ECV108" s="953"/>
      <c r="ECW108" s="953"/>
      <c r="ECX108" s="953"/>
      <c r="ECY108" s="953"/>
      <c r="ECZ108" s="953"/>
      <c r="EDA108" s="953"/>
      <c r="EDB108" s="953"/>
      <c r="EDC108" s="953"/>
      <c r="EDD108" s="953"/>
      <c r="EDE108" s="953"/>
      <c r="EDF108" s="953"/>
      <c r="EDG108" s="953"/>
      <c r="EDH108" s="953"/>
      <c r="EDI108" s="953"/>
      <c r="EDJ108" s="953"/>
      <c r="EDK108" s="953"/>
      <c r="EDL108" s="953"/>
      <c r="EDM108" s="953"/>
      <c r="EDN108" s="953"/>
      <c r="EDO108" s="953"/>
      <c r="EDP108" s="953"/>
      <c r="EDQ108" s="953"/>
      <c r="EDR108" s="953"/>
      <c r="EDS108" s="953"/>
      <c r="EDT108" s="953"/>
      <c r="EDU108" s="953"/>
      <c r="EDV108" s="953"/>
      <c r="EDW108" s="953"/>
      <c r="EDX108" s="953"/>
      <c r="EDY108" s="953"/>
      <c r="EDZ108" s="953"/>
      <c r="EEA108" s="953"/>
      <c r="EEB108" s="953"/>
      <c r="EEC108" s="953"/>
      <c r="EED108" s="953"/>
      <c r="EEE108" s="953"/>
      <c r="EEF108" s="953"/>
      <c r="EEG108" s="953"/>
      <c r="EEH108" s="953"/>
      <c r="EEI108" s="953"/>
      <c r="EEJ108" s="953"/>
      <c r="EEK108" s="953"/>
      <c r="EEL108" s="953"/>
      <c r="EEM108" s="953"/>
      <c r="EEN108" s="953"/>
      <c r="EEO108" s="953"/>
      <c r="EEP108" s="953"/>
      <c r="EEQ108" s="953"/>
      <c r="EER108" s="953"/>
      <c r="EES108" s="953"/>
      <c r="EET108" s="953"/>
      <c r="EEU108" s="953"/>
      <c r="EEV108" s="953"/>
      <c r="EEW108" s="953"/>
      <c r="EEX108" s="953"/>
      <c r="EEY108" s="953"/>
      <c r="EEZ108" s="953"/>
      <c r="EFA108" s="953"/>
      <c r="EFB108" s="953"/>
      <c r="EFC108" s="953"/>
      <c r="EFD108" s="953"/>
      <c r="EFE108" s="953"/>
      <c r="EFF108" s="953"/>
      <c r="EFG108" s="953"/>
      <c r="EFH108" s="953"/>
      <c r="EFI108" s="953"/>
      <c r="EFJ108" s="953"/>
      <c r="EFK108" s="953"/>
      <c r="EFL108" s="953"/>
      <c r="EFM108" s="953"/>
      <c r="EFN108" s="953"/>
      <c r="EFO108" s="953"/>
      <c r="EFP108" s="953"/>
      <c r="EFQ108" s="953"/>
      <c r="EFR108" s="953"/>
      <c r="EFS108" s="953"/>
      <c r="EFT108" s="953"/>
      <c r="EFU108" s="953"/>
      <c r="EFV108" s="953"/>
      <c r="EFW108" s="953"/>
      <c r="EFX108" s="953"/>
      <c r="EFY108" s="953"/>
      <c r="EFZ108" s="953"/>
      <c r="EGA108" s="953"/>
      <c r="EGB108" s="953"/>
      <c r="EGC108" s="953"/>
      <c r="EGD108" s="953"/>
      <c r="EGE108" s="953"/>
      <c r="EGF108" s="953"/>
      <c r="EGG108" s="953"/>
      <c r="EGH108" s="953"/>
      <c r="EGI108" s="953"/>
      <c r="EGJ108" s="953"/>
      <c r="EGK108" s="953"/>
      <c r="EGL108" s="953"/>
      <c r="EGM108" s="953"/>
      <c r="EGN108" s="953"/>
      <c r="EGO108" s="953"/>
      <c r="EGP108" s="953"/>
      <c r="EGQ108" s="953"/>
      <c r="EGR108" s="953"/>
      <c r="EGS108" s="953"/>
      <c r="EGT108" s="953"/>
      <c r="EGU108" s="953"/>
      <c r="EGV108" s="953"/>
      <c r="EGW108" s="953"/>
      <c r="EGX108" s="953"/>
      <c r="EGY108" s="953"/>
      <c r="EGZ108" s="953"/>
      <c r="EHA108" s="953"/>
      <c r="EHB108" s="953"/>
      <c r="EHC108" s="953"/>
      <c r="EHD108" s="953"/>
      <c r="EHE108" s="953"/>
      <c r="EHF108" s="953"/>
      <c r="EHG108" s="953"/>
      <c r="EHH108" s="953"/>
      <c r="EHI108" s="953"/>
      <c r="EHJ108" s="953"/>
      <c r="EHK108" s="953"/>
      <c r="EHL108" s="953"/>
      <c r="EHM108" s="953"/>
      <c r="EHN108" s="953"/>
      <c r="EHO108" s="953"/>
      <c r="EHP108" s="953"/>
      <c r="EHQ108" s="953"/>
      <c r="EHR108" s="953"/>
      <c r="EHS108" s="953"/>
      <c r="EHT108" s="953"/>
      <c r="EHU108" s="953"/>
      <c r="EHV108" s="953"/>
      <c r="EHW108" s="953"/>
      <c r="EHX108" s="953"/>
      <c r="EHY108" s="953"/>
      <c r="EHZ108" s="953"/>
      <c r="EIA108" s="953"/>
      <c r="EIB108" s="953"/>
      <c r="EIC108" s="953"/>
      <c r="EID108" s="953"/>
      <c r="EIE108" s="953"/>
      <c r="EIF108" s="953"/>
      <c r="EIG108" s="953"/>
      <c r="EIH108" s="953"/>
      <c r="EII108" s="953"/>
      <c r="EIJ108" s="953"/>
      <c r="EIK108" s="953"/>
      <c r="EIL108" s="953"/>
      <c r="EIM108" s="953"/>
      <c r="EIN108" s="953"/>
      <c r="EIO108" s="953"/>
      <c r="EIP108" s="953"/>
      <c r="EIQ108" s="953"/>
      <c r="EIR108" s="953"/>
      <c r="EIS108" s="953"/>
      <c r="EIT108" s="953"/>
      <c r="EIU108" s="953"/>
      <c r="EIV108" s="953"/>
      <c r="EIW108" s="953"/>
      <c r="EIX108" s="953"/>
      <c r="EIY108" s="953"/>
      <c r="EIZ108" s="953"/>
      <c r="EJA108" s="953"/>
      <c r="EJB108" s="953"/>
      <c r="EJC108" s="953"/>
      <c r="EJD108" s="953"/>
      <c r="EJE108" s="953"/>
      <c r="EJF108" s="953"/>
      <c r="EJG108" s="953"/>
      <c r="EJH108" s="953"/>
      <c r="EJI108" s="953"/>
      <c r="EJJ108" s="953"/>
      <c r="EJK108" s="953"/>
      <c r="EJL108" s="953"/>
      <c r="EJM108" s="953"/>
      <c r="EJN108" s="953"/>
      <c r="EJO108" s="953"/>
      <c r="EJP108" s="953"/>
      <c r="EJQ108" s="953"/>
      <c r="EJR108" s="953"/>
      <c r="EJS108" s="953"/>
      <c r="EJT108" s="953"/>
      <c r="EJU108" s="953"/>
      <c r="EJV108" s="953"/>
      <c r="EJW108" s="953"/>
      <c r="EJX108" s="953"/>
      <c r="EJY108" s="953"/>
      <c r="EJZ108" s="953"/>
      <c r="EKA108" s="953"/>
      <c r="EKB108" s="953"/>
      <c r="EKC108" s="953"/>
      <c r="EKD108" s="953"/>
      <c r="EKE108" s="953"/>
      <c r="EKF108" s="953"/>
      <c r="EKG108" s="953"/>
      <c r="EKH108" s="953"/>
      <c r="EKI108" s="953"/>
      <c r="EKJ108" s="953"/>
      <c r="EKK108" s="953"/>
      <c r="EKL108" s="953"/>
      <c r="EKM108" s="953"/>
      <c r="EKN108" s="953"/>
      <c r="EKO108" s="953"/>
      <c r="EKP108" s="953"/>
      <c r="EKQ108" s="953"/>
      <c r="EKR108" s="953"/>
      <c r="EKS108" s="953"/>
      <c r="EKT108" s="953"/>
      <c r="EKU108" s="953"/>
      <c r="EKV108" s="953"/>
      <c r="EKW108" s="953"/>
      <c r="EKX108" s="953"/>
      <c r="EKY108" s="953"/>
      <c r="EKZ108" s="953"/>
      <c r="ELA108" s="953"/>
      <c r="ELB108" s="953"/>
      <c r="ELC108" s="953"/>
      <c r="ELD108" s="953"/>
      <c r="ELE108" s="953"/>
      <c r="ELF108" s="953"/>
      <c r="ELG108" s="953"/>
      <c r="ELH108" s="953"/>
      <c r="ELI108" s="953"/>
      <c r="ELJ108" s="953"/>
      <c r="ELK108" s="953"/>
      <c r="ELL108" s="953"/>
      <c r="ELM108" s="953"/>
      <c r="ELN108" s="953"/>
      <c r="ELO108" s="953"/>
      <c r="ELP108" s="953"/>
      <c r="ELQ108" s="953"/>
      <c r="ELR108" s="953"/>
      <c r="ELS108" s="953"/>
      <c r="ELT108" s="953"/>
      <c r="ELU108" s="953"/>
      <c r="ELV108" s="953"/>
      <c r="ELW108" s="953"/>
      <c r="ELX108" s="953"/>
      <c r="ELY108" s="953"/>
      <c r="ELZ108" s="953"/>
      <c r="EMA108" s="953"/>
      <c r="EMB108" s="953"/>
      <c r="EMC108" s="953"/>
      <c r="EMD108" s="953"/>
      <c r="EME108" s="953"/>
      <c r="EMF108" s="953"/>
      <c r="EMG108" s="953"/>
      <c r="EMH108" s="953"/>
      <c r="EMI108" s="953"/>
      <c r="EMJ108" s="953"/>
      <c r="EMK108" s="953"/>
      <c r="EML108" s="953"/>
      <c r="EMM108" s="953"/>
      <c r="EMN108" s="953"/>
      <c r="EMO108" s="953"/>
      <c r="EMP108" s="953"/>
      <c r="EMQ108" s="953"/>
      <c r="EMR108" s="953"/>
      <c r="EMS108" s="953"/>
      <c r="EMT108" s="953"/>
      <c r="EMU108" s="953"/>
      <c r="EMV108" s="953"/>
      <c r="EMW108" s="953"/>
      <c r="EMX108" s="953"/>
      <c r="EMY108" s="953"/>
      <c r="EMZ108" s="953"/>
      <c r="ENA108" s="953"/>
      <c r="ENB108" s="953"/>
      <c r="ENC108" s="953"/>
      <c r="END108" s="953"/>
      <c r="ENE108" s="953"/>
      <c r="ENF108" s="953"/>
      <c r="ENG108" s="953"/>
      <c r="ENH108" s="953"/>
      <c r="ENI108" s="953"/>
      <c r="ENJ108" s="953"/>
      <c r="ENK108" s="953"/>
      <c r="ENL108" s="953"/>
      <c r="ENM108" s="953"/>
      <c r="ENN108" s="953"/>
      <c r="ENO108" s="953"/>
      <c r="ENP108" s="953"/>
      <c r="ENQ108" s="953"/>
      <c r="ENR108" s="953"/>
      <c r="ENS108" s="953"/>
      <c r="ENT108" s="953"/>
      <c r="ENU108" s="953"/>
      <c r="ENV108" s="953"/>
      <c r="ENW108" s="953"/>
      <c r="ENX108" s="953"/>
      <c r="ENY108" s="953"/>
      <c r="ENZ108" s="953"/>
      <c r="EOA108" s="953"/>
      <c r="EOB108" s="953"/>
      <c r="EOC108" s="953"/>
      <c r="EOD108" s="953"/>
      <c r="EOE108" s="953"/>
      <c r="EOF108" s="953"/>
      <c r="EOG108" s="953"/>
      <c r="EOH108" s="953"/>
      <c r="EOI108" s="953"/>
      <c r="EOJ108" s="953"/>
      <c r="EOK108" s="953"/>
      <c r="EOL108" s="953"/>
      <c r="EOM108" s="953"/>
      <c r="EON108" s="953"/>
      <c r="EOO108" s="953"/>
      <c r="EOP108" s="953"/>
      <c r="EOQ108" s="953"/>
      <c r="EOR108" s="953"/>
      <c r="EOS108" s="953"/>
      <c r="EOT108" s="953"/>
      <c r="EOU108" s="953"/>
      <c r="EOV108" s="953"/>
      <c r="EOW108" s="953"/>
      <c r="EOX108" s="953"/>
      <c r="EOY108" s="953"/>
      <c r="EOZ108" s="953"/>
      <c r="EPA108" s="953"/>
      <c r="EPB108" s="953"/>
      <c r="EPC108" s="953"/>
      <c r="EPD108" s="953"/>
      <c r="EPE108" s="953"/>
      <c r="EPF108" s="953"/>
      <c r="EPG108" s="953"/>
      <c r="EPH108" s="953"/>
      <c r="EPI108" s="953"/>
      <c r="EPJ108" s="953"/>
      <c r="EPK108" s="953"/>
      <c r="EPL108" s="953"/>
      <c r="EPM108" s="953"/>
      <c r="EPN108" s="953"/>
      <c r="EPO108" s="953"/>
      <c r="EPP108" s="953"/>
      <c r="EPQ108" s="953"/>
      <c r="EPR108" s="953"/>
      <c r="EPS108" s="953"/>
      <c r="EPT108" s="953"/>
      <c r="EPU108" s="953"/>
      <c r="EPV108" s="953"/>
      <c r="EPW108" s="953"/>
      <c r="EPX108" s="953"/>
      <c r="EPY108" s="953"/>
      <c r="EPZ108" s="953"/>
      <c r="EQA108" s="953"/>
      <c r="EQB108" s="953"/>
      <c r="EQC108" s="953"/>
      <c r="EQD108" s="953"/>
      <c r="EQE108" s="953"/>
      <c r="EQF108" s="953"/>
      <c r="EQG108" s="953"/>
      <c r="EQH108" s="953"/>
      <c r="EQI108" s="953"/>
      <c r="EQJ108" s="953"/>
      <c r="EQK108" s="953"/>
      <c r="EQL108" s="953"/>
      <c r="EQM108" s="953"/>
      <c r="EQN108" s="953"/>
      <c r="EQO108" s="953"/>
      <c r="EQP108" s="953"/>
      <c r="EQQ108" s="953"/>
      <c r="EQR108" s="953"/>
      <c r="EQS108" s="953"/>
      <c r="EQT108" s="953"/>
      <c r="EQU108" s="953"/>
      <c r="EQV108" s="953"/>
      <c r="EQW108" s="953"/>
      <c r="EQX108" s="953"/>
      <c r="EQY108" s="953"/>
      <c r="EQZ108" s="953"/>
      <c r="ERA108" s="953"/>
      <c r="ERB108" s="953"/>
      <c r="ERC108" s="953"/>
      <c r="ERD108" s="953"/>
      <c r="ERE108" s="953"/>
      <c r="ERF108" s="953"/>
      <c r="ERG108" s="953"/>
      <c r="ERH108" s="953"/>
      <c r="ERI108" s="953"/>
      <c r="ERJ108" s="953"/>
      <c r="ERK108" s="953"/>
      <c r="ERL108" s="953"/>
      <c r="ERM108" s="953"/>
      <c r="ERN108" s="953"/>
      <c r="ERO108" s="953"/>
      <c r="ERP108" s="953"/>
      <c r="ERQ108" s="953"/>
      <c r="ERR108" s="953"/>
      <c r="ERS108" s="953"/>
      <c r="ERT108" s="953"/>
      <c r="ERU108" s="953"/>
      <c r="ERV108" s="953"/>
      <c r="ERW108" s="953"/>
      <c r="ERX108" s="953"/>
      <c r="ERY108" s="953"/>
      <c r="ERZ108" s="953"/>
      <c r="ESA108" s="953"/>
      <c r="ESB108" s="953"/>
      <c r="ESC108" s="953"/>
      <c r="ESD108" s="953"/>
      <c r="ESE108" s="953"/>
      <c r="ESF108" s="953"/>
      <c r="ESG108" s="953"/>
      <c r="ESH108" s="953"/>
      <c r="ESI108" s="953"/>
      <c r="ESJ108" s="953"/>
      <c r="ESK108" s="953"/>
      <c r="ESL108" s="953"/>
      <c r="ESM108" s="953"/>
      <c r="ESN108" s="953"/>
      <c r="ESO108" s="953"/>
      <c r="ESP108" s="953"/>
      <c r="ESQ108" s="953"/>
      <c r="ESR108" s="953"/>
      <c r="ESS108" s="953"/>
      <c r="EST108" s="953"/>
      <c r="ESU108" s="953"/>
      <c r="ESV108" s="953"/>
      <c r="ESW108" s="953"/>
      <c r="ESX108" s="953"/>
      <c r="ESY108" s="953"/>
      <c r="ESZ108" s="953"/>
      <c r="ETA108" s="953"/>
      <c r="ETB108" s="953"/>
      <c r="ETC108" s="953"/>
      <c r="ETD108" s="953"/>
      <c r="ETE108" s="953"/>
      <c r="ETF108" s="953"/>
      <c r="ETG108" s="953"/>
      <c r="ETH108" s="953"/>
      <c r="ETI108" s="953"/>
      <c r="ETJ108" s="953"/>
      <c r="ETK108" s="953"/>
      <c r="ETL108" s="953"/>
      <c r="ETM108" s="953"/>
      <c r="ETN108" s="953"/>
      <c r="ETO108" s="953"/>
      <c r="ETP108" s="953"/>
      <c r="ETQ108" s="953"/>
      <c r="ETR108" s="953"/>
      <c r="ETS108" s="953"/>
      <c r="ETT108" s="953"/>
      <c r="ETU108" s="953"/>
      <c r="ETV108" s="953"/>
      <c r="ETW108" s="953"/>
      <c r="ETX108" s="953"/>
      <c r="ETY108" s="953"/>
      <c r="ETZ108" s="953"/>
      <c r="EUA108" s="953"/>
      <c r="EUB108" s="953"/>
      <c r="EUC108" s="953"/>
      <c r="EUD108" s="953"/>
      <c r="EUE108" s="953"/>
      <c r="EUF108" s="953"/>
      <c r="EUG108" s="953"/>
      <c r="EUH108" s="953"/>
      <c r="EUI108" s="953"/>
      <c r="EUJ108" s="953"/>
      <c r="EUK108" s="953"/>
      <c r="EUL108" s="953"/>
      <c r="EUM108" s="953"/>
      <c r="EUN108" s="953"/>
      <c r="EUO108" s="953"/>
      <c r="EUP108" s="953"/>
      <c r="EUQ108" s="953"/>
      <c r="EUR108" s="953"/>
      <c r="EUS108" s="953"/>
      <c r="EUT108" s="953"/>
      <c r="EUU108" s="953"/>
      <c r="EUV108" s="953"/>
      <c r="EUW108" s="953"/>
      <c r="EUX108" s="953"/>
      <c r="EUY108" s="953"/>
      <c r="EUZ108" s="953"/>
      <c r="EVA108" s="953"/>
      <c r="EVB108" s="953"/>
      <c r="EVC108" s="953"/>
      <c r="EVD108" s="953"/>
      <c r="EVE108" s="953"/>
      <c r="EVF108" s="953"/>
      <c r="EVG108" s="953"/>
      <c r="EVH108" s="953"/>
      <c r="EVI108" s="953"/>
      <c r="EVJ108" s="953"/>
      <c r="EVK108" s="953"/>
      <c r="EVL108" s="953"/>
      <c r="EVM108" s="953"/>
      <c r="EVN108" s="953"/>
      <c r="EVO108" s="953"/>
      <c r="EVP108" s="953"/>
      <c r="EVQ108" s="953"/>
      <c r="EVR108" s="953"/>
      <c r="EVS108" s="953"/>
      <c r="EVT108" s="953"/>
      <c r="EVU108" s="953"/>
      <c r="EVV108" s="953"/>
      <c r="EVW108" s="953"/>
      <c r="EVX108" s="953"/>
      <c r="EVY108" s="953"/>
      <c r="EVZ108" s="953"/>
      <c r="EWA108" s="953"/>
      <c r="EWB108" s="953"/>
      <c r="EWC108" s="953"/>
      <c r="EWD108" s="953"/>
      <c r="EWE108" s="953"/>
      <c r="EWF108" s="953"/>
      <c r="EWG108" s="953"/>
      <c r="EWH108" s="953"/>
      <c r="EWI108" s="953"/>
      <c r="EWJ108" s="953"/>
      <c r="EWK108" s="953"/>
      <c r="EWL108" s="953"/>
      <c r="EWM108" s="953"/>
      <c r="EWN108" s="953"/>
      <c r="EWO108" s="953"/>
      <c r="EWP108" s="953"/>
      <c r="EWQ108" s="953"/>
      <c r="EWR108" s="953"/>
      <c r="EWS108" s="953"/>
      <c r="EWT108" s="953"/>
      <c r="EWU108" s="953"/>
      <c r="EWV108" s="953"/>
      <c r="EWW108" s="953"/>
      <c r="EWX108" s="953"/>
      <c r="EWY108" s="953"/>
      <c r="EWZ108" s="953"/>
      <c r="EXA108" s="953"/>
      <c r="EXB108" s="953"/>
      <c r="EXC108" s="953"/>
      <c r="EXD108" s="953"/>
      <c r="EXE108" s="953"/>
      <c r="EXF108" s="953"/>
      <c r="EXG108" s="953"/>
      <c r="EXH108" s="953"/>
      <c r="EXI108" s="953"/>
      <c r="EXJ108" s="953"/>
      <c r="EXK108" s="953"/>
      <c r="EXL108" s="953"/>
      <c r="EXM108" s="953"/>
      <c r="EXN108" s="953"/>
      <c r="EXO108" s="953"/>
      <c r="EXP108" s="953"/>
      <c r="EXQ108" s="953"/>
      <c r="EXR108" s="953"/>
      <c r="EXS108" s="953"/>
      <c r="EXT108" s="953"/>
      <c r="EXU108" s="953"/>
      <c r="EXV108" s="953"/>
      <c r="EXW108" s="953"/>
      <c r="EXX108" s="953"/>
      <c r="EXY108" s="953"/>
      <c r="EXZ108" s="953"/>
      <c r="EYA108" s="953"/>
      <c r="EYB108" s="953"/>
      <c r="EYC108" s="953"/>
      <c r="EYD108" s="953"/>
      <c r="EYE108" s="953"/>
      <c r="EYF108" s="953"/>
      <c r="EYG108" s="953"/>
      <c r="EYH108" s="953"/>
      <c r="EYI108" s="953"/>
      <c r="EYJ108" s="953"/>
      <c r="EYK108" s="953"/>
      <c r="EYL108" s="953"/>
      <c r="EYM108" s="953"/>
      <c r="EYN108" s="953"/>
      <c r="EYO108" s="953"/>
      <c r="EYP108" s="953"/>
      <c r="EYQ108" s="953"/>
      <c r="EYR108" s="953"/>
      <c r="EYS108" s="953"/>
      <c r="EYT108" s="953"/>
      <c r="EYU108" s="953"/>
      <c r="EYV108" s="953"/>
      <c r="EYW108" s="953"/>
      <c r="EYX108" s="953"/>
      <c r="EYY108" s="953"/>
      <c r="EYZ108" s="953"/>
      <c r="EZA108" s="953"/>
      <c r="EZB108" s="953"/>
      <c r="EZC108" s="953"/>
      <c r="EZD108" s="953"/>
      <c r="EZE108" s="953"/>
      <c r="EZF108" s="953"/>
      <c r="EZG108" s="953"/>
      <c r="EZH108" s="953"/>
      <c r="EZI108" s="953"/>
      <c r="EZJ108" s="953"/>
      <c r="EZK108" s="953"/>
      <c r="EZL108" s="953"/>
      <c r="EZM108" s="953"/>
      <c r="EZN108" s="953"/>
      <c r="EZO108" s="953"/>
      <c r="EZP108" s="953"/>
      <c r="EZQ108" s="953"/>
      <c r="EZR108" s="953"/>
      <c r="EZS108" s="953"/>
      <c r="EZT108" s="953"/>
      <c r="EZU108" s="953"/>
      <c r="EZV108" s="953"/>
      <c r="EZW108" s="953"/>
      <c r="EZX108" s="953"/>
      <c r="EZY108" s="953"/>
      <c r="EZZ108" s="953"/>
      <c r="FAA108" s="953"/>
      <c r="FAB108" s="953"/>
      <c r="FAC108" s="953"/>
      <c r="FAD108" s="953"/>
      <c r="FAE108" s="953"/>
      <c r="FAF108" s="953"/>
      <c r="FAG108" s="953"/>
      <c r="FAH108" s="953"/>
      <c r="FAI108" s="953"/>
      <c r="FAJ108" s="953"/>
      <c r="FAK108" s="953"/>
      <c r="FAL108" s="953"/>
      <c r="FAM108" s="953"/>
      <c r="FAN108" s="953"/>
      <c r="FAO108" s="953"/>
      <c r="FAP108" s="953"/>
      <c r="FAQ108" s="953"/>
      <c r="FAR108" s="953"/>
      <c r="FAS108" s="953"/>
      <c r="FAT108" s="953"/>
      <c r="FAU108" s="953"/>
      <c r="FAV108" s="953"/>
      <c r="FAW108" s="953"/>
      <c r="FAX108" s="953"/>
      <c r="FAY108" s="953"/>
      <c r="FAZ108" s="953"/>
      <c r="FBA108" s="953"/>
      <c r="FBB108" s="953"/>
      <c r="FBC108" s="953"/>
      <c r="FBD108" s="953"/>
      <c r="FBE108" s="953"/>
      <c r="FBF108" s="953"/>
      <c r="FBG108" s="953"/>
      <c r="FBH108" s="953"/>
      <c r="FBI108" s="953"/>
      <c r="FBJ108" s="953"/>
      <c r="FBK108" s="953"/>
      <c r="FBL108" s="953"/>
      <c r="FBM108" s="953"/>
      <c r="FBN108" s="953"/>
      <c r="FBO108" s="953"/>
      <c r="FBP108" s="953"/>
      <c r="FBQ108" s="953"/>
      <c r="FBR108" s="953"/>
      <c r="FBS108" s="953"/>
      <c r="FBT108" s="953"/>
      <c r="FBU108" s="953"/>
      <c r="FBV108" s="953"/>
      <c r="FBW108" s="953"/>
      <c r="FBX108" s="953"/>
      <c r="FBY108" s="953"/>
      <c r="FBZ108" s="953"/>
      <c r="FCA108" s="953"/>
      <c r="FCB108" s="953"/>
      <c r="FCC108" s="953"/>
      <c r="FCD108" s="953"/>
      <c r="FCE108" s="953"/>
      <c r="FCF108" s="953"/>
      <c r="FCG108" s="953"/>
      <c r="FCH108" s="953"/>
      <c r="FCI108" s="953"/>
      <c r="FCJ108" s="953"/>
      <c r="FCK108" s="953"/>
      <c r="FCL108" s="953"/>
      <c r="FCM108" s="953"/>
      <c r="FCN108" s="953"/>
      <c r="FCO108" s="953"/>
      <c r="FCP108" s="953"/>
      <c r="FCQ108" s="953"/>
      <c r="FCR108" s="953"/>
      <c r="FCS108" s="953"/>
      <c r="FCT108" s="953"/>
      <c r="FCU108" s="953"/>
      <c r="FCV108" s="953"/>
      <c r="FCW108" s="953"/>
      <c r="FCX108" s="953"/>
      <c r="FCY108" s="953"/>
      <c r="FCZ108" s="953"/>
      <c r="FDA108" s="953"/>
      <c r="FDB108" s="953"/>
      <c r="FDC108" s="953"/>
      <c r="FDD108" s="953"/>
      <c r="FDE108" s="953"/>
      <c r="FDF108" s="953"/>
      <c r="FDG108" s="953"/>
      <c r="FDH108" s="953"/>
      <c r="FDI108" s="953"/>
      <c r="FDJ108" s="953"/>
      <c r="FDK108" s="953"/>
      <c r="FDL108" s="953"/>
      <c r="FDM108" s="953"/>
      <c r="FDN108" s="953"/>
      <c r="FDO108" s="953"/>
      <c r="FDP108" s="953"/>
      <c r="FDQ108" s="953"/>
      <c r="FDR108" s="953"/>
      <c r="FDS108" s="953"/>
      <c r="FDT108" s="953"/>
      <c r="FDU108" s="953"/>
      <c r="FDV108" s="953"/>
      <c r="FDW108" s="953"/>
      <c r="FDX108" s="953"/>
      <c r="FDY108" s="953"/>
      <c r="FDZ108" s="953"/>
      <c r="FEA108" s="953"/>
      <c r="FEB108" s="953"/>
      <c r="FEC108" s="953"/>
      <c r="FED108" s="953"/>
      <c r="FEE108" s="953"/>
      <c r="FEF108" s="953"/>
      <c r="FEG108" s="953"/>
      <c r="FEH108" s="953"/>
      <c r="FEI108" s="953"/>
      <c r="FEJ108" s="953"/>
      <c r="FEK108" s="953"/>
      <c r="FEL108" s="953"/>
      <c r="FEM108" s="953"/>
      <c r="FEN108" s="953"/>
      <c r="FEO108" s="953"/>
      <c r="FEP108" s="953"/>
      <c r="FEQ108" s="953"/>
      <c r="FER108" s="953"/>
      <c r="FES108" s="953"/>
      <c r="FET108" s="953"/>
      <c r="FEU108" s="953"/>
      <c r="FEV108" s="953"/>
      <c r="FEW108" s="953"/>
      <c r="FEX108" s="953"/>
      <c r="FEY108" s="953"/>
      <c r="FEZ108" s="953"/>
      <c r="FFA108" s="953"/>
      <c r="FFB108" s="953"/>
      <c r="FFC108" s="953"/>
      <c r="FFD108" s="953"/>
      <c r="FFE108" s="953"/>
      <c r="FFF108" s="953"/>
      <c r="FFG108" s="953"/>
      <c r="FFH108" s="953"/>
      <c r="FFI108" s="953"/>
      <c r="FFJ108" s="953"/>
      <c r="FFK108" s="953"/>
      <c r="FFL108" s="953"/>
      <c r="FFM108" s="953"/>
      <c r="FFN108" s="953"/>
      <c r="FFO108" s="953"/>
      <c r="FFP108" s="953"/>
      <c r="FFQ108" s="953"/>
      <c r="FFR108" s="953"/>
      <c r="FFS108" s="953"/>
      <c r="FFT108" s="953"/>
      <c r="FFU108" s="953"/>
      <c r="FFV108" s="953"/>
      <c r="FFW108" s="953"/>
      <c r="FFX108" s="953"/>
      <c r="FFY108" s="953"/>
      <c r="FFZ108" s="953"/>
      <c r="FGA108" s="953"/>
      <c r="FGB108" s="953"/>
      <c r="FGC108" s="953"/>
      <c r="FGD108" s="953"/>
      <c r="FGE108" s="953"/>
      <c r="FGF108" s="953"/>
      <c r="FGG108" s="953"/>
      <c r="FGH108" s="953"/>
      <c r="FGI108" s="953"/>
      <c r="FGJ108" s="953"/>
      <c r="FGK108" s="953"/>
      <c r="FGL108" s="953"/>
      <c r="FGM108" s="953"/>
      <c r="FGN108" s="953"/>
      <c r="FGO108" s="953"/>
      <c r="FGP108" s="953"/>
      <c r="FGQ108" s="953"/>
      <c r="FGR108" s="953"/>
      <c r="FGS108" s="953"/>
      <c r="FGT108" s="953"/>
      <c r="FGU108" s="953"/>
      <c r="FGV108" s="953"/>
      <c r="FGW108" s="953"/>
      <c r="FGX108" s="953"/>
      <c r="FGY108" s="953"/>
      <c r="FGZ108" s="953"/>
      <c r="FHA108" s="953"/>
      <c r="FHB108" s="953"/>
      <c r="FHC108" s="953"/>
      <c r="FHD108" s="953"/>
      <c r="FHE108" s="953"/>
      <c r="FHF108" s="953"/>
      <c r="FHG108" s="953"/>
      <c r="FHH108" s="953"/>
      <c r="FHI108" s="953"/>
      <c r="FHJ108" s="953"/>
      <c r="FHK108" s="953"/>
      <c r="FHL108" s="953"/>
      <c r="FHM108" s="953"/>
      <c r="FHN108" s="953"/>
      <c r="FHO108" s="953"/>
      <c r="FHP108" s="953"/>
      <c r="FHQ108" s="953"/>
      <c r="FHR108" s="953"/>
      <c r="FHS108" s="953"/>
      <c r="FHT108" s="953"/>
      <c r="FHU108" s="953"/>
      <c r="FHV108" s="953"/>
      <c r="FHW108" s="953"/>
      <c r="FHX108" s="953"/>
      <c r="FHY108" s="953"/>
      <c r="FHZ108" s="953"/>
      <c r="FIA108" s="953"/>
      <c r="FIB108" s="953"/>
      <c r="FIC108" s="953"/>
      <c r="FID108" s="953"/>
      <c r="FIE108" s="953"/>
      <c r="FIF108" s="953"/>
      <c r="FIG108" s="953"/>
      <c r="FIH108" s="953"/>
      <c r="FII108" s="953"/>
      <c r="FIJ108" s="953"/>
      <c r="FIK108" s="953"/>
      <c r="FIL108" s="953"/>
      <c r="FIM108" s="953"/>
      <c r="FIN108" s="953"/>
      <c r="FIO108" s="953"/>
      <c r="FIP108" s="953"/>
      <c r="FIQ108" s="953"/>
      <c r="FIR108" s="953"/>
      <c r="FIS108" s="953"/>
      <c r="FIT108" s="953"/>
      <c r="FIU108" s="953"/>
      <c r="FIV108" s="953"/>
      <c r="FIW108" s="953"/>
      <c r="FIX108" s="953"/>
      <c r="FIY108" s="953"/>
      <c r="FIZ108" s="953"/>
      <c r="FJA108" s="953"/>
      <c r="FJB108" s="953"/>
      <c r="FJC108" s="953"/>
      <c r="FJD108" s="953"/>
      <c r="FJE108" s="953"/>
      <c r="FJF108" s="953"/>
      <c r="FJG108" s="953"/>
      <c r="FJH108" s="953"/>
      <c r="FJI108" s="953"/>
      <c r="FJJ108" s="953"/>
      <c r="FJK108" s="953"/>
      <c r="FJL108" s="953"/>
      <c r="FJM108" s="953"/>
      <c r="FJN108" s="953"/>
      <c r="FJO108" s="953"/>
      <c r="FJP108" s="953"/>
      <c r="FJQ108" s="953"/>
      <c r="FJR108" s="953"/>
      <c r="FJS108" s="953"/>
      <c r="FJT108" s="953"/>
      <c r="FJU108" s="953"/>
      <c r="FJV108" s="953"/>
      <c r="FJW108" s="953"/>
      <c r="FJX108" s="953"/>
      <c r="FJY108" s="953"/>
      <c r="FJZ108" s="953"/>
      <c r="FKA108" s="953"/>
      <c r="FKB108" s="953"/>
      <c r="FKC108" s="953"/>
      <c r="FKD108" s="953"/>
      <c r="FKE108" s="953"/>
      <c r="FKF108" s="953"/>
      <c r="FKG108" s="953"/>
      <c r="FKH108" s="953"/>
      <c r="FKI108" s="953"/>
      <c r="FKJ108" s="953"/>
      <c r="FKK108" s="953"/>
      <c r="FKL108" s="953"/>
      <c r="FKM108" s="953"/>
      <c r="FKN108" s="953"/>
      <c r="FKO108" s="953"/>
      <c r="FKP108" s="953"/>
      <c r="FKQ108" s="953"/>
      <c r="FKR108" s="953"/>
      <c r="FKS108" s="953"/>
      <c r="FKT108" s="953"/>
      <c r="FKU108" s="953"/>
      <c r="FKV108" s="953"/>
      <c r="FKW108" s="953"/>
      <c r="FKX108" s="953"/>
      <c r="FKY108" s="953"/>
      <c r="FKZ108" s="953"/>
      <c r="FLA108" s="953"/>
      <c r="FLB108" s="953"/>
      <c r="FLC108" s="953"/>
      <c r="FLD108" s="953"/>
      <c r="FLE108" s="953"/>
      <c r="FLF108" s="953"/>
      <c r="FLG108" s="953"/>
      <c r="FLH108" s="953"/>
      <c r="FLI108" s="953"/>
      <c r="FLJ108" s="953"/>
      <c r="FLK108" s="953"/>
      <c r="FLL108" s="953"/>
      <c r="FLM108" s="953"/>
      <c r="FLN108" s="953"/>
      <c r="FLO108" s="953"/>
      <c r="FLP108" s="953"/>
      <c r="FLQ108" s="953"/>
      <c r="FLR108" s="953"/>
      <c r="FLS108" s="953"/>
      <c r="FLT108" s="953"/>
      <c r="FLU108" s="953"/>
      <c r="FLV108" s="953"/>
      <c r="FLW108" s="953"/>
      <c r="FLX108" s="953"/>
      <c r="FLY108" s="953"/>
      <c r="FLZ108" s="953"/>
      <c r="FMA108" s="953"/>
      <c r="FMB108" s="953"/>
      <c r="FMC108" s="953"/>
      <c r="FMD108" s="953"/>
      <c r="FME108" s="953"/>
      <c r="FMF108" s="953"/>
      <c r="FMG108" s="953"/>
      <c r="FMH108" s="953"/>
      <c r="FMI108" s="953"/>
      <c r="FMJ108" s="953"/>
      <c r="FMK108" s="953"/>
      <c r="FML108" s="953"/>
      <c r="FMM108" s="953"/>
      <c r="FMN108" s="953"/>
      <c r="FMO108" s="953"/>
      <c r="FMP108" s="953"/>
      <c r="FMQ108" s="953"/>
      <c r="FMR108" s="953"/>
      <c r="FMS108" s="953"/>
      <c r="FMT108" s="953"/>
      <c r="FMU108" s="953"/>
      <c r="FMV108" s="953"/>
      <c r="FMW108" s="953"/>
      <c r="FMX108" s="953"/>
      <c r="FMY108" s="953"/>
      <c r="FMZ108" s="953"/>
      <c r="FNA108" s="953"/>
      <c r="FNB108" s="953"/>
      <c r="FNC108" s="953"/>
      <c r="FND108" s="953"/>
      <c r="FNE108" s="953"/>
      <c r="FNF108" s="953"/>
      <c r="FNG108" s="953"/>
      <c r="FNH108" s="953"/>
      <c r="FNI108" s="953"/>
      <c r="FNJ108" s="953"/>
      <c r="FNK108" s="953"/>
      <c r="FNL108" s="953"/>
      <c r="FNM108" s="953"/>
      <c r="FNN108" s="953"/>
      <c r="FNO108" s="953"/>
      <c r="FNP108" s="953"/>
      <c r="FNQ108" s="953"/>
      <c r="FNR108" s="953"/>
      <c r="FNS108" s="953"/>
      <c r="FNT108" s="953"/>
      <c r="FNU108" s="953"/>
      <c r="FNV108" s="953"/>
      <c r="FNW108" s="953"/>
      <c r="FNX108" s="953"/>
      <c r="FNY108" s="953"/>
      <c r="FNZ108" s="953"/>
      <c r="FOA108" s="953"/>
      <c r="FOB108" s="953"/>
      <c r="FOC108" s="953"/>
      <c r="FOD108" s="953"/>
      <c r="FOE108" s="953"/>
      <c r="FOF108" s="953"/>
      <c r="FOG108" s="953"/>
      <c r="FOH108" s="953"/>
      <c r="FOI108" s="953"/>
      <c r="FOJ108" s="953"/>
      <c r="FOK108" s="953"/>
      <c r="FOL108" s="953"/>
      <c r="FOM108" s="953"/>
      <c r="FON108" s="953"/>
      <c r="FOO108" s="953"/>
      <c r="FOP108" s="953"/>
      <c r="FOQ108" s="953"/>
      <c r="FOR108" s="953"/>
      <c r="FOS108" s="953"/>
      <c r="FOT108" s="953"/>
      <c r="FOU108" s="953"/>
      <c r="FOV108" s="953"/>
      <c r="FOW108" s="953"/>
      <c r="FOX108" s="953"/>
      <c r="FOY108" s="953"/>
      <c r="FOZ108" s="953"/>
      <c r="FPA108" s="953"/>
      <c r="FPB108" s="953"/>
      <c r="FPC108" s="953"/>
      <c r="FPD108" s="953"/>
      <c r="FPE108" s="953"/>
      <c r="FPF108" s="953"/>
      <c r="FPG108" s="953"/>
      <c r="FPH108" s="953"/>
      <c r="FPI108" s="953"/>
      <c r="FPJ108" s="953"/>
      <c r="FPK108" s="953"/>
      <c r="FPL108" s="953"/>
      <c r="FPM108" s="953"/>
      <c r="FPN108" s="953"/>
      <c r="FPO108" s="953"/>
      <c r="FPP108" s="953"/>
      <c r="FPQ108" s="953"/>
      <c r="FPR108" s="953"/>
      <c r="FPS108" s="953"/>
      <c r="FPT108" s="953"/>
      <c r="FPU108" s="953"/>
      <c r="FPV108" s="953"/>
      <c r="FPW108" s="953"/>
      <c r="FPX108" s="953"/>
      <c r="FPY108" s="953"/>
      <c r="FPZ108" s="953"/>
      <c r="FQA108" s="953"/>
      <c r="FQB108" s="953"/>
      <c r="FQC108" s="953"/>
      <c r="FQD108" s="953"/>
      <c r="FQE108" s="953"/>
      <c r="FQF108" s="953"/>
      <c r="FQG108" s="953"/>
      <c r="FQH108" s="953"/>
      <c r="FQI108" s="953"/>
      <c r="FQJ108" s="953"/>
      <c r="FQK108" s="953"/>
      <c r="FQL108" s="953"/>
      <c r="FQM108" s="953"/>
      <c r="FQN108" s="953"/>
      <c r="FQO108" s="953"/>
      <c r="FQP108" s="953"/>
      <c r="FQQ108" s="953"/>
      <c r="FQR108" s="953"/>
      <c r="FQS108" s="953"/>
      <c r="FQT108" s="953"/>
      <c r="FQU108" s="953"/>
      <c r="FQV108" s="953"/>
      <c r="FQW108" s="953"/>
      <c r="FQX108" s="953"/>
      <c r="FQY108" s="953"/>
      <c r="FQZ108" s="953"/>
      <c r="FRA108" s="953"/>
      <c r="FRB108" s="953"/>
      <c r="FRC108" s="953"/>
      <c r="FRD108" s="953"/>
      <c r="FRE108" s="953"/>
      <c r="FRF108" s="953"/>
      <c r="FRG108" s="953"/>
      <c r="FRH108" s="953"/>
      <c r="FRI108" s="953"/>
      <c r="FRJ108" s="953"/>
      <c r="FRK108" s="953"/>
      <c r="FRL108" s="953"/>
      <c r="FRM108" s="953"/>
      <c r="FRN108" s="953"/>
      <c r="FRO108" s="953"/>
      <c r="FRP108" s="953"/>
      <c r="FRQ108" s="953"/>
      <c r="FRR108" s="953"/>
      <c r="FRS108" s="953"/>
      <c r="FRT108" s="953"/>
      <c r="FRU108" s="953"/>
      <c r="FRV108" s="953"/>
      <c r="FRW108" s="953"/>
      <c r="FRX108" s="953"/>
      <c r="FRY108" s="953"/>
      <c r="FRZ108" s="953"/>
      <c r="FSA108" s="953"/>
      <c r="FSB108" s="953"/>
      <c r="FSC108" s="953"/>
      <c r="FSD108" s="953"/>
      <c r="FSE108" s="953"/>
      <c r="FSF108" s="953"/>
      <c r="FSG108" s="953"/>
      <c r="FSH108" s="953"/>
      <c r="FSI108" s="953"/>
      <c r="FSJ108" s="953"/>
      <c r="FSK108" s="953"/>
      <c r="FSL108" s="953"/>
      <c r="FSM108" s="953"/>
      <c r="FSN108" s="953"/>
      <c r="FSO108" s="953"/>
      <c r="FSP108" s="953"/>
      <c r="FSQ108" s="953"/>
      <c r="FSR108" s="953"/>
      <c r="FSS108" s="953"/>
      <c r="FST108" s="953"/>
      <c r="FSU108" s="953"/>
      <c r="FSV108" s="953"/>
      <c r="FSW108" s="953"/>
      <c r="FSX108" s="953"/>
      <c r="FSY108" s="953"/>
      <c r="FSZ108" s="953"/>
      <c r="FTA108" s="953"/>
      <c r="FTB108" s="953"/>
      <c r="FTC108" s="953"/>
      <c r="FTD108" s="953"/>
      <c r="FTE108" s="953"/>
      <c r="FTF108" s="953"/>
      <c r="FTG108" s="953"/>
      <c r="FTH108" s="953"/>
      <c r="FTI108" s="953"/>
      <c r="FTJ108" s="953"/>
      <c r="FTK108" s="953"/>
      <c r="FTL108" s="953"/>
      <c r="FTM108" s="953"/>
      <c r="FTN108" s="953"/>
      <c r="FTO108" s="953"/>
      <c r="FTP108" s="953"/>
      <c r="FTQ108" s="953"/>
      <c r="FTR108" s="953"/>
      <c r="FTS108" s="953"/>
      <c r="FTT108" s="953"/>
      <c r="FTU108" s="953"/>
      <c r="FTV108" s="953"/>
      <c r="FTW108" s="953"/>
      <c r="FTX108" s="953"/>
      <c r="FTY108" s="953"/>
      <c r="FTZ108" s="953"/>
      <c r="FUA108" s="953"/>
      <c r="FUB108" s="953"/>
      <c r="FUC108" s="953"/>
      <c r="FUD108" s="953"/>
      <c r="FUE108" s="953"/>
      <c r="FUF108" s="953"/>
      <c r="FUG108" s="953"/>
      <c r="FUH108" s="953"/>
      <c r="FUI108" s="953"/>
      <c r="FUJ108" s="953"/>
      <c r="FUK108" s="953"/>
      <c r="FUL108" s="953"/>
      <c r="FUM108" s="953"/>
      <c r="FUN108" s="953"/>
      <c r="FUO108" s="953"/>
      <c r="FUP108" s="953"/>
      <c r="FUQ108" s="953"/>
      <c r="FUR108" s="953"/>
      <c r="FUS108" s="953"/>
      <c r="FUT108" s="953"/>
      <c r="FUU108" s="953"/>
      <c r="FUV108" s="953"/>
      <c r="FUW108" s="953"/>
      <c r="FUX108" s="953"/>
      <c r="FUY108" s="953"/>
      <c r="FUZ108" s="953"/>
      <c r="FVA108" s="953"/>
      <c r="FVB108" s="953"/>
      <c r="FVC108" s="953"/>
      <c r="FVD108" s="953"/>
      <c r="FVE108" s="953"/>
      <c r="FVF108" s="953"/>
      <c r="FVG108" s="953"/>
      <c r="FVH108" s="953"/>
      <c r="FVI108" s="953"/>
      <c r="FVJ108" s="953"/>
      <c r="FVK108" s="953"/>
      <c r="FVL108" s="953"/>
      <c r="FVM108" s="953"/>
      <c r="FVN108" s="953"/>
      <c r="FVO108" s="953"/>
      <c r="FVP108" s="953"/>
      <c r="FVQ108" s="953"/>
      <c r="FVR108" s="953"/>
      <c r="FVS108" s="953"/>
      <c r="FVT108" s="953"/>
      <c r="FVU108" s="953"/>
      <c r="FVV108" s="953"/>
      <c r="FVW108" s="953"/>
      <c r="FVX108" s="953"/>
      <c r="FVY108" s="953"/>
      <c r="FVZ108" s="953"/>
      <c r="FWA108" s="953"/>
      <c r="FWB108" s="953"/>
      <c r="FWC108" s="953"/>
      <c r="FWD108" s="953"/>
      <c r="FWE108" s="953"/>
      <c r="FWF108" s="953"/>
      <c r="FWG108" s="953"/>
      <c r="FWH108" s="953"/>
      <c r="FWI108" s="953"/>
      <c r="FWJ108" s="953"/>
      <c r="FWK108" s="953"/>
      <c r="FWL108" s="953"/>
      <c r="FWM108" s="953"/>
      <c r="FWN108" s="953"/>
      <c r="FWO108" s="953"/>
      <c r="FWP108" s="953"/>
      <c r="FWQ108" s="953"/>
      <c r="FWR108" s="953"/>
      <c r="FWS108" s="953"/>
      <c r="FWT108" s="953"/>
      <c r="FWU108" s="953"/>
      <c r="FWV108" s="953"/>
      <c r="FWW108" s="953"/>
      <c r="FWX108" s="953"/>
      <c r="FWY108" s="953"/>
      <c r="FWZ108" s="953"/>
      <c r="FXA108" s="953"/>
      <c r="FXB108" s="953"/>
      <c r="FXC108" s="953"/>
      <c r="FXD108" s="953"/>
      <c r="FXE108" s="953"/>
      <c r="FXF108" s="953"/>
      <c r="FXG108" s="953"/>
      <c r="FXH108" s="953"/>
      <c r="FXI108" s="953"/>
      <c r="FXJ108" s="953"/>
      <c r="FXK108" s="953"/>
      <c r="FXL108" s="953"/>
      <c r="FXM108" s="953"/>
      <c r="FXN108" s="953"/>
      <c r="FXO108" s="953"/>
      <c r="FXP108" s="953"/>
      <c r="FXQ108" s="953"/>
      <c r="FXR108" s="953"/>
      <c r="FXS108" s="953"/>
      <c r="FXT108" s="953"/>
      <c r="FXU108" s="953"/>
      <c r="FXV108" s="953"/>
      <c r="FXW108" s="953"/>
      <c r="FXX108" s="953"/>
      <c r="FXY108" s="953"/>
      <c r="FXZ108" s="953"/>
      <c r="FYA108" s="953"/>
      <c r="FYB108" s="953"/>
      <c r="FYC108" s="953"/>
      <c r="FYD108" s="953"/>
      <c r="FYE108" s="953"/>
      <c r="FYF108" s="953"/>
      <c r="FYG108" s="953"/>
      <c r="FYH108" s="953"/>
      <c r="FYI108" s="953"/>
      <c r="FYJ108" s="953"/>
      <c r="FYK108" s="953"/>
      <c r="FYL108" s="953"/>
      <c r="FYM108" s="953"/>
      <c r="FYN108" s="953"/>
      <c r="FYO108" s="953"/>
      <c r="FYP108" s="953"/>
      <c r="FYQ108" s="953"/>
      <c r="FYR108" s="953"/>
      <c r="FYS108" s="953"/>
      <c r="FYT108" s="953"/>
      <c r="FYU108" s="953"/>
      <c r="FYV108" s="953"/>
      <c r="FYW108" s="953"/>
      <c r="FYX108" s="953"/>
      <c r="FYY108" s="953"/>
      <c r="FYZ108" s="953"/>
      <c r="FZA108" s="953"/>
      <c r="FZB108" s="953"/>
      <c r="FZC108" s="953"/>
      <c r="FZD108" s="953"/>
      <c r="FZE108" s="953"/>
      <c r="FZF108" s="953"/>
      <c r="FZG108" s="953"/>
      <c r="FZH108" s="953"/>
      <c r="FZI108" s="953"/>
      <c r="FZJ108" s="953"/>
      <c r="FZK108" s="953"/>
      <c r="FZL108" s="953"/>
      <c r="FZM108" s="953"/>
      <c r="FZN108" s="953"/>
      <c r="FZO108" s="953"/>
      <c r="FZP108" s="953"/>
      <c r="FZQ108" s="953"/>
      <c r="FZR108" s="953"/>
      <c r="FZS108" s="953"/>
      <c r="FZT108" s="953"/>
      <c r="FZU108" s="953"/>
      <c r="FZV108" s="953"/>
      <c r="FZW108" s="953"/>
      <c r="FZX108" s="953"/>
      <c r="FZY108" s="953"/>
      <c r="FZZ108" s="953"/>
      <c r="GAA108" s="953"/>
      <c r="GAB108" s="953"/>
      <c r="GAC108" s="953"/>
      <c r="GAD108" s="953"/>
      <c r="GAE108" s="953"/>
      <c r="GAF108" s="953"/>
      <c r="GAG108" s="953"/>
      <c r="GAH108" s="953"/>
      <c r="GAI108" s="953"/>
      <c r="GAJ108" s="953"/>
      <c r="GAK108" s="953"/>
      <c r="GAL108" s="953"/>
      <c r="GAM108" s="953"/>
      <c r="GAN108" s="953"/>
      <c r="GAO108" s="953"/>
      <c r="GAP108" s="953"/>
      <c r="GAQ108" s="953"/>
      <c r="GAR108" s="953"/>
      <c r="GAS108" s="953"/>
      <c r="GAT108" s="953"/>
      <c r="GAU108" s="953"/>
      <c r="GAV108" s="953"/>
      <c r="GAW108" s="953"/>
      <c r="GAX108" s="953"/>
      <c r="GAY108" s="953"/>
      <c r="GAZ108" s="953"/>
      <c r="GBA108" s="953"/>
      <c r="GBB108" s="953"/>
      <c r="GBC108" s="953"/>
      <c r="GBD108" s="953"/>
      <c r="GBE108" s="953"/>
      <c r="GBF108" s="953"/>
      <c r="GBG108" s="953"/>
      <c r="GBH108" s="953"/>
      <c r="GBI108" s="953"/>
      <c r="GBJ108" s="953"/>
      <c r="GBK108" s="953"/>
      <c r="GBL108" s="953"/>
      <c r="GBM108" s="953"/>
      <c r="GBN108" s="953"/>
      <c r="GBO108" s="953"/>
      <c r="GBP108" s="953"/>
      <c r="GBQ108" s="953"/>
      <c r="GBR108" s="953"/>
      <c r="GBS108" s="953"/>
      <c r="GBT108" s="953"/>
      <c r="GBU108" s="953"/>
      <c r="GBV108" s="953"/>
      <c r="GBW108" s="953"/>
      <c r="GBX108" s="953"/>
      <c r="GBY108" s="953"/>
      <c r="GBZ108" s="953"/>
      <c r="GCA108" s="953"/>
      <c r="GCB108" s="953"/>
      <c r="GCC108" s="953"/>
      <c r="GCD108" s="953"/>
      <c r="GCE108" s="953"/>
      <c r="GCF108" s="953"/>
      <c r="GCG108" s="953"/>
      <c r="GCH108" s="953"/>
      <c r="GCI108" s="953"/>
      <c r="GCJ108" s="953"/>
      <c r="GCK108" s="953"/>
      <c r="GCL108" s="953"/>
      <c r="GCM108" s="953"/>
      <c r="GCN108" s="953"/>
      <c r="GCO108" s="953"/>
      <c r="GCP108" s="953"/>
      <c r="GCQ108" s="953"/>
      <c r="GCR108" s="953"/>
      <c r="GCS108" s="953"/>
      <c r="GCT108" s="953"/>
      <c r="GCU108" s="953"/>
      <c r="GCV108" s="953"/>
      <c r="GCW108" s="953"/>
      <c r="GCX108" s="953"/>
      <c r="GCY108" s="953"/>
      <c r="GCZ108" s="953"/>
      <c r="GDA108" s="953"/>
      <c r="GDB108" s="953"/>
      <c r="GDC108" s="953"/>
      <c r="GDD108" s="953"/>
      <c r="GDE108" s="953"/>
      <c r="GDF108" s="953"/>
      <c r="GDG108" s="953"/>
      <c r="GDH108" s="953"/>
      <c r="GDI108" s="953"/>
      <c r="GDJ108" s="953"/>
      <c r="GDK108" s="953"/>
      <c r="GDL108" s="953"/>
      <c r="GDM108" s="953"/>
      <c r="GDN108" s="953"/>
      <c r="GDO108" s="953"/>
      <c r="GDP108" s="953"/>
      <c r="GDQ108" s="953"/>
      <c r="GDR108" s="953"/>
      <c r="GDS108" s="953"/>
      <c r="GDT108" s="953"/>
      <c r="GDU108" s="953"/>
      <c r="GDV108" s="953"/>
      <c r="GDW108" s="953"/>
      <c r="GDX108" s="953"/>
      <c r="GDY108" s="953"/>
      <c r="GDZ108" s="953"/>
      <c r="GEA108" s="953"/>
      <c r="GEB108" s="953"/>
      <c r="GEC108" s="953"/>
      <c r="GED108" s="953"/>
      <c r="GEE108" s="953"/>
      <c r="GEF108" s="953"/>
      <c r="GEG108" s="953"/>
      <c r="GEH108" s="953"/>
      <c r="GEI108" s="953"/>
      <c r="GEJ108" s="953"/>
      <c r="GEK108" s="953"/>
      <c r="GEL108" s="953"/>
      <c r="GEM108" s="953"/>
      <c r="GEN108" s="953"/>
      <c r="GEO108" s="953"/>
      <c r="GEP108" s="953"/>
      <c r="GEQ108" s="953"/>
      <c r="GER108" s="953"/>
      <c r="GES108" s="953"/>
      <c r="GET108" s="953"/>
      <c r="GEU108" s="953"/>
      <c r="GEV108" s="953"/>
      <c r="GEW108" s="953"/>
      <c r="GEX108" s="953"/>
      <c r="GEY108" s="953"/>
      <c r="GEZ108" s="953"/>
      <c r="GFA108" s="953"/>
      <c r="GFB108" s="953"/>
      <c r="GFC108" s="953"/>
      <c r="GFD108" s="953"/>
      <c r="GFE108" s="953"/>
      <c r="GFF108" s="953"/>
      <c r="GFG108" s="953"/>
      <c r="GFH108" s="953"/>
      <c r="GFI108" s="953"/>
      <c r="GFJ108" s="953"/>
      <c r="GFK108" s="953"/>
      <c r="GFL108" s="953"/>
      <c r="GFM108" s="953"/>
      <c r="GFN108" s="953"/>
      <c r="GFO108" s="953"/>
      <c r="GFP108" s="953"/>
      <c r="GFQ108" s="953"/>
      <c r="GFR108" s="953"/>
      <c r="GFS108" s="953"/>
      <c r="GFT108" s="953"/>
      <c r="GFU108" s="953"/>
      <c r="GFV108" s="953"/>
      <c r="GFW108" s="953"/>
      <c r="GFX108" s="953"/>
      <c r="GFY108" s="953"/>
      <c r="GFZ108" s="953"/>
      <c r="GGA108" s="953"/>
      <c r="GGB108" s="953"/>
      <c r="GGC108" s="953"/>
      <c r="GGD108" s="953"/>
      <c r="GGE108" s="953"/>
      <c r="GGF108" s="953"/>
      <c r="GGG108" s="953"/>
      <c r="GGH108" s="953"/>
      <c r="GGI108" s="953"/>
      <c r="GGJ108" s="953"/>
      <c r="GGK108" s="953"/>
      <c r="GGL108" s="953"/>
      <c r="GGM108" s="953"/>
      <c r="GGN108" s="953"/>
      <c r="GGO108" s="953"/>
      <c r="GGP108" s="953"/>
      <c r="GGQ108" s="953"/>
      <c r="GGR108" s="953"/>
      <c r="GGS108" s="953"/>
      <c r="GGT108" s="953"/>
      <c r="GGU108" s="953"/>
      <c r="GGV108" s="953"/>
      <c r="GGW108" s="953"/>
      <c r="GGX108" s="953"/>
      <c r="GGY108" s="953"/>
      <c r="GGZ108" s="953"/>
      <c r="GHA108" s="953"/>
      <c r="GHB108" s="953"/>
      <c r="GHC108" s="953"/>
      <c r="GHD108" s="953"/>
      <c r="GHE108" s="953"/>
      <c r="GHF108" s="953"/>
      <c r="GHG108" s="953"/>
      <c r="GHH108" s="953"/>
      <c r="GHI108" s="953"/>
      <c r="GHJ108" s="953"/>
      <c r="GHK108" s="953"/>
      <c r="GHL108" s="953"/>
      <c r="GHM108" s="953"/>
      <c r="GHN108" s="953"/>
      <c r="GHO108" s="953"/>
      <c r="GHP108" s="953"/>
      <c r="GHQ108" s="953"/>
      <c r="GHR108" s="953"/>
      <c r="GHS108" s="953"/>
      <c r="GHT108" s="953"/>
      <c r="GHU108" s="953"/>
      <c r="GHV108" s="953"/>
      <c r="GHW108" s="953"/>
      <c r="GHX108" s="953"/>
      <c r="GHY108" s="953"/>
      <c r="GHZ108" s="953"/>
      <c r="GIA108" s="953"/>
      <c r="GIB108" s="953"/>
      <c r="GIC108" s="953"/>
      <c r="GID108" s="953"/>
      <c r="GIE108" s="953"/>
      <c r="GIF108" s="953"/>
      <c r="GIG108" s="953"/>
      <c r="GIH108" s="953"/>
      <c r="GII108" s="953"/>
      <c r="GIJ108" s="953"/>
      <c r="GIK108" s="953"/>
      <c r="GIL108" s="953"/>
      <c r="GIM108" s="953"/>
      <c r="GIN108" s="953"/>
      <c r="GIO108" s="953"/>
      <c r="GIP108" s="953"/>
      <c r="GIQ108" s="953"/>
      <c r="GIR108" s="953"/>
      <c r="GIS108" s="953"/>
      <c r="GIT108" s="953"/>
      <c r="GIU108" s="953"/>
      <c r="GIV108" s="953"/>
      <c r="GIW108" s="953"/>
      <c r="GIX108" s="953"/>
      <c r="GIY108" s="953"/>
      <c r="GIZ108" s="953"/>
      <c r="GJA108" s="953"/>
      <c r="GJB108" s="953"/>
      <c r="GJC108" s="953"/>
      <c r="GJD108" s="953"/>
      <c r="GJE108" s="953"/>
      <c r="GJF108" s="953"/>
      <c r="GJG108" s="953"/>
      <c r="GJH108" s="953"/>
      <c r="GJI108" s="953"/>
      <c r="GJJ108" s="953"/>
      <c r="GJK108" s="953"/>
      <c r="GJL108" s="953"/>
      <c r="GJM108" s="953"/>
      <c r="GJN108" s="953"/>
      <c r="GJO108" s="953"/>
      <c r="GJP108" s="953"/>
      <c r="GJQ108" s="953"/>
      <c r="GJR108" s="953"/>
      <c r="GJS108" s="953"/>
      <c r="GJT108" s="953"/>
      <c r="GJU108" s="953"/>
      <c r="GJV108" s="953"/>
      <c r="GJW108" s="953"/>
      <c r="GJX108" s="953"/>
      <c r="GJY108" s="953"/>
      <c r="GJZ108" s="953"/>
      <c r="GKA108" s="953"/>
      <c r="GKB108" s="953"/>
      <c r="GKC108" s="953"/>
      <c r="GKD108" s="953"/>
      <c r="GKE108" s="953"/>
      <c r="GKF108" s="953"/>
      <c r="GKG108" s="953"/>
      <c r="GKH108" s="953"/>
      <c r="GKI108" s="953"/>
      <c r="GKJ108" s="953"/>
      <c r="GKK108" s="953"/>
      <c r="GKL108" s="953"/>
      <c r="GKM108" s="953"/>
      <c r="GKN108" s="953"/>
      <c r="GKO108" s="953"/>
      <c r="GKP108" s="953"/>
      <c r="GKQ108" s="953"/>
      <c r="GKR108" s="953"/>
      <c r="GKS108" s="953"/>
      <c r="GKT108" s="953"/>
      <c r="GKU108" s="953"/>
      <c r="GKV108" s="953"/>
      <c r="GKW108" s="953"/>
      <c r="GKX108" s="953"/>
      <c r="GKY108" s="953"/>
      <c r="GKZ108" s="953"/>
      <c r="GLA108" s="953"/>
      <c r="GLB108" s="953"/>
      <c r="GLC108" s="953"/>
      <c r="GLD108" s="953"/>
      <c r="GLE108" s="953"/>
      <c r="GLF108" s="953"/>
      <c r="GLG108" s="953"/>
      <c r="GLH108" s="953"/>
      <c r="GLI108" s="953"/>
      <c r="GLJ108" s="953"/>
      <c r="GLK108" s="953"/>
      <c r="GLL108" s="953"/>
      <c r="GLM108" s="953"/>
      <c r="GLN108" s="953"/>
      <c r="GLO108" s="953"/>
      <c r="GLP108" s="953"/>
      <c r="GLQ108" s="953"/>
      <c r="GLR108" s="953"/>
      <c r="GLS108" s="953"/>
      <c r="GLT108" s="953"/>
      <c r="GLU108" s="953"/>
      <c r="GLV108" s="953"/>
      <c r="GLW108" s="953"/>
      <c r="GLX108" s="953"/>
      <c r="GLY108" s="953"/>
      <c r="GLZ108" s="953"/>
      <c r="GMA108" s="953"/>
      <c r="GMB108" s="953"/>
      <c r="GMC108" s="953"/>
      <c r="GMD108" s="953"/>
      <c r="GME108" s="953"/>
      <c r="GMF108" s="953"/>
      <c r="GMG108" s="953"/>
      <c r="GMH108" s="953"/>
      <c r="GMI108" s="953"/>
      <c r="GMJ108" s="953"/>
      <c r="GMK108" s="953"/>
      <c r="GML108" s="953"/>
      <c r="GMM108" s="953"/>
      <c r="GMN108" s="953"/>
      <c r="GMO108" s="953"/>
      <c r="GMP108" s="953"/>
      <c r="GMQ108" s="953"/>
      <c r="GMR108" s="953"/>
      <c r="GMS108" s="953"/>
      <c r="GMT108" s="953"/>
      <c r="GMU108" s="953"/>
      <c r="GMV108" s="953"/>
      <c r="GMW108" s="953"/>
      <c r="GMX108" s="953"/>
      <c r="GMY108" s="953"/>
      <c r="GMZ108" s="953"/>
      <c r="GNA108" s="953"/>
      <c r="GNB108" s="953"/>
      <c r="GNC108" s="953"/>
      <c r="GND108" s="953"/>
      <c r="GNE108" s="953"/>
      <c r="GNF108" s="953"/>
      <c r="GNG108" s="953"/>
      <c r="GNH108" s="953"/>
      <c r="GNI108" s="953"/>
      <c r="GNJ108" s="953"/>
      <c r="GNK108" s="953"/>
      <c r="GNL108" s="953"/>
      <c r="GNM108" s="953"/>
      <c r="GNN108" s="953"/>
      <c r="GNO108" s="953"/>
      <c r="GNP108" s="953"/>
      <c r="GNQ108" s="953"/>
      <c r="GNR108" s="953"/>
      <c r="GNS108" s="953"/>
      <c r="GNT108" s="953"/>
      <c r="GNU108" s="953"/>
      <c r="GNV108" s="953"/>
      <c r="GNW108" s="953"/>
      <c r="GNX108" s="953"/>
      <c r="GNY108" s="953"/>
      <c r="GNZ108" s="953"/>
      <c r="GOA108" s="953"/>
      <c r="GOB108" s="953"/>
      <c r="GOC108" s="953"/>
      <c r="GOD108" s="953"/>
      <c r="GOE108" s="953"/>
      <c r="GOF108" s="953"/>
      <c r="GOG108" s="953"/>
      <c r="GOH108" s="953"/>
      <c r="GOI108" s="953"/>
      <c r="GOJ108" s="953"/>
      <c r="GOK108" s="953"/>
      <c r="GOL108" s="953"/>
      <c r="GOM108" s="953"/>
      <c r="GON108" s="953"/>
      <c r="GOO108" s="953"/>
      <c r="GOP108" s="953"/>
      <c r="GOQ108" s="953"/>
      <c r="GOR108" s="953"/>
      <c r="GOS108" s="953"/>
      <c r="GOT108" s="953"/>
      <c r="GOU108" s="953"/>
      <c r="GOV108" s="953"/>
      <c r="GOW108" s="953"/>
      <c r="GOX108" s="953"/>
      <c r="GOY108" s="953"/>
      <c r="GOZ108" s="953"/>
      <c r="GPA108" s="953"/>
      <c r="GPB108" s="953"/>
      <c r="GPC108" s="953"/>
      <c r="GPD108" s="953"/>
      <c r="GPE108" s="953"/>
      <c r="GPF108" s="953"/>
      <c r="GPG108" s="953"/>
      <c r="GPH108" s="953"/>
      <c r="GPI108" s="953"/>
      <c r="GPJ108" s="953"/>
      <c r="GPK108" s="953"/>
      <c r="GPL108" s="953"/>
      <c r="GPM108" s="953"/>
      <c r="GPN108" s="953"/>
      <c r="GPO108" s="953"/>
      <c r="GPP108" s="953"/>
      <c r="GPQ108" s="953"/>
      <c r="GPR108" s="953"/>
      <c r="GPS108" s="953"/>
      <c r="GPT108" s="953"/>
      <c r="GPU108" s="953"/>
      <c r="GPV108" s="953"/>
      <c r="GPW108" s="953"/>
      <c r="GPX108" s="953"/>
      <c r="GPY108" s="953"/>
      <c r="GPZ108" s="953"/>
      <c r="GQA108" s="953"/>
      <c r="GQB108" s="953"/>
      <c r="GQC108" s="953"/>
      <c r="GQD108" s="953"/>
      <c r="GQE108" s="953"/>
      <c r="GQF108" s="953"/>
      <c r="GQG108" s="953"/>
      <c r="GQH108" s="953"/>
      <c r="GQI108" s="953"/>
      <c r="GQJ108" s="953"/>
      <c r="GQK108" s="953"/>
      <c r="GQL108" s="953"/>
      <c r="GQM108" s="953"/>
      <c r="GQN108" s="953"/>
      <c r="GQO108" s="953"/>
      <c r="GQP108" s="953"/>
      <c r="GQQ108" s="953"/>
      <c r="GQR108" s="953"/>
      <c r="GQS108" s="953"/>
      <c r="GQT108" s="953"/>
      <c r="GQU108" s="953"/>
      <c r="GQV108" s="953"/>
      <c r="GQW108" s="953"/>
      <c r="GQX108" s="953"/>
      <c r="GQY108" s="953"/>
      <c r="GQZ108" s="953"/>
      <c r="GRA108" s="953"/>
      <c r="GRB108" s="953"/>
      <c r="GRC108" s="953"/>
      <c r="GRD108" s="953"/>
      <c r="GRE108" s="953"/>
      <c r="GRF108" s="953"/>
      <c r="GRG108" s="953"/>
      <c r="GRH108" s="953"/>
      <c r="GRI108" s="953"/>
      <c r="GRJ108" s="953"/>
      <c r="GRK108" s="953"/>
      <c r="GRL108" s="953"/>
      <c r="GRM108" s="953"/>
      <c r="GRN108" s="953"/>
      <c r="GRO108" s="953"/>
      <c r="GRP108" s="953"/>
      <c r="GRQ108" s="953"/>
      <c r="GRR108" s="953"/>
      <c r="GRS108" s="953"/>
      <c r="GRT108" s="953"/>
      <c r="GRU108" s="953"/>
      <c r="GRV108" s="953"/>
      <c r="GRW108" s="953"/>
      <c r="GRX108" s="953"/>
      <c r="GRY108" s="953"/>
      <c r="GRZ108" s="953"/>
      <c r="GSA108" s="953"/>
      <c r="GSB108" s="953"/>
      <c r="GSC108" s="953"/>
      <c r="GSD108" s="953"/>
      <c r="GSE108" s="953"/>
      <c r="GSF108" s="953"/>
      <c r="GSG108" s="953"/>
      <c r="GSH108" s="953"/>
      <c r="GSI108" s="953"/>
      <c r="GSJ108" s="953"/>
      <c r="GSK108" s="953"/>
      <c r="GSL108" s="953"/>
      <c r="GSM108" s="953"/>
      <c r="GSN108" s="953"/>
      <c r="GSO108" s="953"/>
      <c r="GSP108" s="953"/>
      <c r="GSQ108" s="953"/>
      <c r="GSR108" s="953"/>
      <c r="GSS108" s="953"/>
      <c r="GST108" s="953"/>
      <c r="GSU108" s="953"/>
      <c r="GSV108" s="953"/>
      <c r="GSW108" s="953"/>
      <c r="GSX108" s="953"/>
      <c r="GSY108" s="953"/>
      <c r="GSZ108" s="953"/>
      <c r="GTA108" s="953"/>
      <c r="GTB108" s="953"/>
      <c r="GTC108" s="953"/>
      <c r="GTD108" s="953"/>
      <c r="GTE108" s="953"/>
      <c r="GTF108" s="953"/>
      <c r="GTG108" s="953"/>
      <c r="GTH108" s="953"/>
      <c r="GTI108" s="953"/>
      <c r="GTJ108" s="953"/>
      <c r="GTK108" s="953"/>
      <c r="GTL108" s="953"/>
      <c r="GTM108" s="953"/>
      <c r="GTN108" s="953"/>
      <c r="GTO108" s="953"/>
      <c r="GTP108" s="953"/>
      <c r="GTQ108" s="953"/>
      <c r="GTR108" s="953"/>
      <c r="GTS108" s="953"/>
      <c r="GTT108" s="953"/>
      <c r="GTU108" s="953"/>
      <c r="GTV108" s="953"/>
      <c r="GTW108" s="953"/>
      <c r="GTX108" s="953"/>
      <c r="GTY108" s="953"/>
      <c r="GTZ108" s="953"/>
      <c r="GUA108" s="953"/>
      <c r="GUB108" s="953"/>
      <c r="GUC108" s="953"/>
      <c r="GUD108" s="953"/>
      <c r="GUE108" s="953"/>
      <c r="GUF108" s="953"/>
      <c r="GUG108" s="953"/>
      <c r="GUH108" s="953"/>
      <c r="GUI108" s="953"/>
      <c r="GUJ108" s="953"/>
      <c r="GUK108" s="953"/>
      <c r="GUL108" s="953"/>
      <c r="GUM108" s="953"/>
      <c r="GUN108" s="953"/>
      <c r="GUO108" s="953"/>
      <c r="GUP108" s="953"/>
      <c r="GUQ108" s="953"/>
      <c r="GUR108" s="953"/>
      <c r="GUS108" s="953"/>
      <c r="GUT108" s="953"/>
      <c r="GUU108" s="953"/>
      <c r="GUV108" s="953"/>
      <c r="GUW108" s="953"/>
      <c r="GUX108" s="953"/>
      <c r="GUY108" s="953"/>
      <c r="GUZ108" s="953"/>
      <c r="GVA108" s="953"/>
      <c r="GVB108" s="953"/>
      <c r="GVC108" s="953"/>
      <c r="GVD108" s="953"/>
      <c r="GVE108" s="953"/>
      <c r="GVF108" s="953"/>
      <c r="GVG108" s="953"/>
      <c r="GVH108" s="953"/>
      <c r="GVI108" s="953"/>
      <c r="GVJ108" s="953"/>
      <c r="GVK108" s="953"/>
      <c r="GVL108" s="953"/>
      <c r="GVM108" s="953"/>
      <c r="GVN108" s="953"/>
      <c r="GVO108" s="953"/>
      <c r="GVP108" s="953"/>
      <c r="GVQ108" s="953"/>
      <c r="GVR108" s="953"/>
      <c r="GVS108" s="953"/>
      <c r="GVT108" s="953"/>
      <c r="GVU108" s="953"/>
      <c r="GVV108" s="953"/>
      <c r="GVW108" s="953"/>
      <c r="GVX108" s="953"/>
      <c r="GVY108" s="953"/>
      <c r="GVZ108" s="953"/>
      <c r="GWA108" s="953"/>
      <c r="GWB108" s="953"/>
      <c r="GWC108" s="953"/>
      <c r="GWD108" s="953"/>
      <c r="GWE108" s="953"/>
      <c r="GWF108" s="953"/>
      <c r="GWG108" s="953"/>
      <c r="GWH108" s="953"/>
      <c r="GWI108" s="953"/>
      <c r="GWJ108" s="953"/>
      <c r="GWK108" s="953"/>
      <c r="GWL108" s="953"/>
      <c r="GWM108" s="953"/>
      <c r="GWN108" s="953"/>
      <c r="GWO108" s="953"/>
      <c r="GWP108" s="953"/>
      <c r="GWQ108" s="953"/>
      <c r="GWR108" s="953"/>
      <c r="GWS108" s="953"/>
      <c r="GWT108" s="953"/>
      <c r="GWU108" s="953"/>
      <c r="GWV108" s="953"/>
      <c r="GWW108" s="953"/>
      <c r="GWX108" s="953"/>
      <c r="GWY108" s="953"/>
      <c r="GWZ108" s="953"/>
      <c r="GXA108" s="953"/>
      <c r="GXB108" s="953"/>
      <c r="GXC108" s="953"/>
      <c r="GXD108" s="953"/>
      <c r="GXE108" s="953"/>
      <c r="GXF108" s="953"/>
      <c r="GXG108" s="953"/>
      <c r="GXH108" s="953"/>
      <c r="GXI108" s="953"/>
      <c r="GXJ108" s="953"/>
      <c r="GXK108" s="953"/>
      <c r="GXL108" s="953"/>
      <c r="GXM108" s="953"/>
      <c r="GXN108" s="953"/>
      <c r="GXO108" s="953"/>
      <c r="GXP108" s="953"/>
      <c r="GXQ108" s="953"/>
      <c r="GXR108" s="953"/>
      <c r="GXS108" s="953"/>
      <c r="GXT108" s="953"/>
      <c r="GXU108" s="953"/>
      <c r="GXV108" s="953"/>
      <c r="GXW108" s="953"/>
      <c r="GXX108" s="953"/>
      <c r="GXY108" s="953"/>
      <c r="GXZ108" s="953"/>
      <c r="GYA108" s="953"/>
      <c r="GYB108" s="953"/>
      <c r="GYC108" s="953"/>
      <c r="GYD108" s="953"/>
      <c r="GYE108" s="953"/>
      <c r="GYF108" s="953"/>
      <c r="GYG108" s="953"/>
      <c r="GYH108" s="953"/>
      <c r="GYI108" s="953"/>
      <c r="GYJ108" s="953"/>
      <c r="GYK108" s="953"/>
      <c r="GYL108" s="953"/>
      <c r="GYM108" s="953"/>
      <c r="GYN108" s="953"/>
      <c r="GYO108" s="953"/>
      <c r="GYP108" s="953"/>
      <c r="GYQ108" s="953"/>
      <c r="GYR108" s="953"/>
      <c r="GYS108" s="953"/>
      <c r="GYT108" s="953"/>
      <c r="GYU108" s="953"/>
      <c r="GYV108" s="953"/>
      <c r="GYW108" s="953"/>
      <c r="GYX108" s="953"/>
      <c r="GYY108" s="953"/>
      <c r="GYZ108" s="953"/>
      <c r="GZA108" s="953"/>
      <c r="GZB108" s="953"/>
      <c r="GZC108" s="953"/>
      <c r="GZD108" s="953"/>
      <c r="GZE108" s="953"/>
      <c r="GZF108" s="953"/>
      <c r="GZG108" s="953"/>
      <c r="GZH108" s="953"/>
      <c r="GZI108" s="953"/>
      <c r="GZJ108" s="953"/>
      <c r="GZK108" s="953"/>
      <c r="GZL108" s="953"/>
      <c r="GZM108" s="953"/>
      <c r="GZN108" s="953"/>
      <c r="GZO108" s="953"/>
      <c r="GZP108" s="953"/>
      <c r="GZQ108" s="953"/>
      <c r="GZR108" s="953"/>
      <c r="GZS108" s="953"/>
      <c r="GZT108" s="953"/>
      <c r="GZU108" s="953"/>
      <c r="GZV108" s="953"/>
      <c r="GZW108" s="953"/>
      <c r="GZX108" s="953"/>
      <c r="GZY108" s="953"/>
      <c r="GZZ108" s="953"/>
      <c r="HAA108" s="953"/>
      <c r="HAB108" s="953"/>
      <c r="HAC108" s="953"/>
      <c r="HAD108" s="953"/>
      <c r="HAE108" s="953"/>
      <c r="HAF108" s="953"/>
      <c r="HAG108" s="953"/>
      <c r="HAH108" s="953"/>
      <c r="HAI108" s="953"/>
      <c r="HAJ108" s="953"/>
      <c r="HAK108" s="953"/>
      <c r="HAL108" s="953"/>
      <c r="HAM108" s="953"/>
      <c r="HAN108" s="953"/>
      <c r="HAO108" s="953"/>
      <c r="HAP108" s="953"/>
      <c r="HAQ108" s="953"/>
      <c r="HAR108" s="953"/>
      <c r="HAS108" s="953"/>
      <c r="HAT108" s="953"/>
      <c r="HAU108" s="953"/>
      <c r="HAV108" s="953"/>
      <c r="HAW108" s="953"/>
      <c r="HAX108" s="953"/>
      <c r="HAY108" s="953"/>
      <c r="HAZ108" s="953"/>
      <c r="HBA108" s="953"/>
      <c r="HBB108" s="953"/>
      <c r="HBC108" s="953"/>
      <c r="HBD108" s="953"/>
      <c r="HBE108" s="953"/>
      <c r="HBF108" s="953"/>
      <c r="HBG108" s="953"/>
      <c r="HBH108" s="953"/>
      <c r="HBI108" s="953"/>
      <c r="HBJ108" s="953"/>
      <c r="HBK108" s="953"/>
      <c r="HBL108" s="953"/>
      <c r="HBM108" s="953"/>
      <c r="HBN108" s="953"/>
      <c r="HBO108" s="953"/>
      <c r="HBP108" s="953"/>
      <c r="HBQ108" s="953"/>
      <c r="HBR108" s="953"/>
      <c r="HBS108" s="953"/>
      <c r="HBT108" s="953"/>
      <c r="HBU108" s="953"/>
      <c r="HBV108" s="953"/>
      <c r="HBW108" s="953"/>
      <c r="HBX108" s="953"/>
      <c r="HBY108" s="953"/>
      <c r="HBZ108" s="953"/>
      <c r="HCA108" s="953"/>
      <c r="HCB108" s="953"/>
      <c r="HCC108" s="953"/>
      <c r="HCD108" s="953"/>
      <c r="HCE108" s="953"/>
      <c r="HCF108" s="953"/>
      <c r="HCG108" s="953"/>
      <c r="HCH108" s="953"/>
      <c r="HCI108" s="953"/>
      <c r="HCJ108" s="953"/>
      <c r="HCK108" s="953"/>
      <c r="HCL108" s="953"/>
      <c r="HCM108" s="953"/>
      <c r="HCN108" s="953"/>
      <c r="HCO108" s="953"/>
      <c r="HCP108" s="953"/>
      <c r="HCQ108" s="953"/>
      <c r="HCR108" s="953"/>
      <c r="HCS108" s="953"/>
      <c r="HCT108" s="953"/>
      <c r="HCU108" s="953"/>
      <c r="HCV108" s="953"/>
      <c r="HCW108" s="953"/>
      <c r="HCX108" s="953"/>
      <c r="HCY108" s="953"/>
      <c r="HCZ108" s="953"/>
      <c r="HDA108" s="953"/>
      <c r="HDB108" s="953"/>
      <c r="HDC108" s="953"/>
      <c r="HDD108" s="953"/>
      <c r="HDE108" s="953"/>
      <c r="HDF108" s="953"/>
      <c r="HDG108" s="953"/>
      <c r="HDH108" s="953"/>
      <c r="HDI108" s="953"/>
      <c r="HDJ108" s="953"/>
      <c r="HDK108" s="953"/>
      <c r="HDL108" s="953"/>
      <c r="HDM108" s="953"/>
      <c r="HDN108" s="953"/>
      <c r="HDO108" s="953"/>
      <c r="HDP108" s="953"/>
      <c r="HDQ108" s="953"/>
      <c r="HDR108" s="953"/>
      <c r="HDS108" s="953"/>
      <c r="HDT108" s="953"/>
      <c r="HDU108" s="953"/>
      <c r="HDV108" s="953"/>
      <c r="HDW108" s="953"/>
      <c r="HDX108" s="953"/>
      <c r="HDY108" s="953"/>
      <c r="HDZ108" s="953"/>
      <c r="HEA108" s="953"/>
      <c r="HEB108" s="953"/>
      <c r="HEC108" s="953"/>
      <c r="HED108" s="953"/>
      <c r="HEE108" s="953"/>
      <c r="HEF108" s="953"/>
      <c r="HEG108" s="953"/>
      <c r="HEH108" s="953"/>
      <c r="HEI108" s="953"/>
      <c r="HEJ108" s="953"/>
      <c r="HEK108" s="953"/>
      <c r="HEL108" s="953"/>
      <c r="HEM108" s="953"/>
      <c r="HEN108" s="953"/>
      <c r="HEO108" s="953"/>
      <c r="HEP108" s="953"/>
      <c r="HEQ108" s="953"/>
      <c r="HER108" s="953"/>
      <c r="HES108" s="953"/>
      <c r="HET108" s="953"/>
      <c r="HEU108" s="953"/>
      <c r="HEV108" s="953"/>
      <c r="HEW108" s="953"/>
      <c r="HEX108" s="953"/>
      <c r="HEY108" s="953"/>
      <c r="HEZ108" s="953"/>
      <c r="HFA108" s="953"/>
      <c r="HFB108" s="953"/>
      <c r="HFC108" s="953"/>
      <c r="HFD108" s="953"/>
      <c r="HFE108" s="953"/>
      <c r="HFF108" s="953"/>
      <c r="HFG108" s="953"/>
      <c r="HFH108" s="953"/>
      <c r="HFI108" s="953"/>
      <c r="HFJ108" s="953"/>
      <c r="HFK108" s="953"/>
      <c r="HFL108" s="953"/>
      <c r="HFM108" s="953"/>
      <c r="HFN108" s="953"/>
      <c r="HFO108" s="953"/>
      <c r="HFP108" s="953"/>
      <c r="HFQ108" s="953"/>
      <c r="HFR108" s="953"/>
      <c r="HFS108" s="953"/>
      <c r="HFT108" s="953"/>
      <c r="HFU108" s="953"/>
      <c r="HFV108" s="953"/>
      <c r="HFW108" s="953"/>
      <c r="HFX108" s="953"/>
      <c r="HFY108" s="953"/>
      <c r="HFZ108" s="953"/>
      <c r="HGA108" s="953"/>
      <c r="HGB108" s="953"/>
      <c r="HGC108" s="953"/>
      <c r="HGD108" s="953"/>
      <c r="HGE108" s="953"/>
      <c r="HGF108" s="953"/>
      <c r="HGG108" s="953"/>
      <c r="HGH108" s="953"/>
      <c r="HGI108" s="953"/>
      <c r="HGJ108" s="953"/>
      <c r="HGK108" s="953"/>
      <c r="HGL108" s="953"/>
      <c r="HGM108" s="953"/>
      <c r="HGN108" s="953"/>
      <c r="HGO108" s="953"/>
      <c r="HGP108" s="953"/>
      <c r="HGQ108" s="953"/>
      <c r="HGR108" s="953"/>
      <c r="HGS108" s="953"/>
      <c r="HGT108" s="953"/>
      <c r="HGU108" s="953"/>
      <c r="HGV108" s="953"/>
      <c r="HGW108" s="953"/>
      <c r="HGX108" s="953"/>
      <c r="HGY108" s="953"/>
      <c r="HGZ108" s="953"/>
      <c r="HHA108" s="953"/>
      <c r="HHB108" s="953"/>
      <c r="HHC108" s="953"/>
      <c r="HHD108" s="953"/>
      <c r="HHE108" s="953"/>
      <c r="HHF108" s="953"/>
      <c r="HHG108" s="953"/>
      <c r="HHH108" s="953"/>
      <c r="HHI108" s="953"/>
      <c r="HHJ108" s="953"/>
      <c r="HHK108" s="953"/>
      <c r="HHL108" s="953"/>
      <c r="HHM108" s="953"/>
      <c r="HHN108" s="953"/>
      <c r="HHO108" s="953"/>
      <c r="HHP108" s="953"/>
      <c r="HHQ108" s="953"/>
      <c r="HHR108" s="953"/>
      <c r="HHS108" s="953"/>
      <c r="HHT108" s="953"/>
      <c r="HHU108" s="953"/>
      <c r="HHV108" s="953"/>
      <c r="HHW108" s="953"/>
      <c r="HHX108" s="953"/>
      <c r="HHY108" s="953"/>
      <c r="HHZ108" s="953"/>
      <c r="HIA108" s="953"/>
      <c r="HIB108" s="953"/>
      <c r="HIC108" s="953"/>
      <c r="HID108" s="953"/>
      <c r="HIE108" s="953"/>
      <c r="HIF108" s="953"/>
      <c r="HIG108" s="953"/>
      <c r="HIH108" s="953"/>
      <c r="HII108" s="953"/>
      <c r="HIJ108" s="953"/>
      <c r="HIK108" s="953"/>
      <c r="HIL108" s="953"/>
      <c r="HIM108" s="953"/>
      <c r="HIN108" s="953"/>
      <c r="HIO108" s="953"/>
      <c r="HIP108" s="953"/>
      <c r="HIQ108" s="953"/>
      <c r="HIR108" s="953"/>
      <c r="HIS108" s="953"/>
      <c r="HIT108" s="953"/>
      <c r="HIU108" s="953"/>
      <c r="HIV108" s="953"/>
      <c r="HIW108" s="953"/>
      <c r="HIX108" s="953"/>
      <c r="HIY108" s="953"/>
      <c r="HIZ108" s="953"/>
      <c r="HJA108" s="953"/>
      <c r="HJB108" s="953"/>
      <c r="HJC108" s="953"/>
      <c r="HJD108" s="953"/>
      <c r="HJE108" s="953"/>
      <c r="HJF108" s="953"/>
      <c r="HJG108" s="953"/>
      <c r="HJH108" s="953"/>
      <c r="HJI108" s="953"/>
      <c r="HJJ108" s="953"/>
      <c r="HJK108" s="953"/>
      <c r="HJL108" s="953"/>
      <c r="HJM108" s="953"/>
      <c r="HJN108" s="953"/>
      <c r="HJO108" s="953"/>
      <c r="HJP108" s="953"/>
      <c r="HJQ108" s="953"/>
      <c r="HJR108" s="953"/>
      <c r="HJS108" s="953"/>
      <c r="HJT108" s="953"/>
      <c r="HJU108" s="953"/>
      <c r="HJV108" s="953"/>
      <c r="HJW108" s="953"/>
      <c r="HJX108" s="953"/>
      <c r="HJY108" s="953"/>
      <c r="HJZ108" s="953"/>
      <c r="HKA108" s="953"/>
      <c r="HKB108" s="953"/>
      <c r="HKC108" s="953"/>
      <c r="HKD108" s="953"/>
      <c r="HKE108" s="953"/>
      <c r="HKF108" s="953"/>
      <c r="HKG108" s="953"/>
      <c r="HKH108" s="953"/>
      <c r="HKI108" s="953"/>
      <c r="HKJ108" s="953"/>
      <c r="HKK108" s="953"/>
      <c r="HKL108" s="953"/>
      <c r="HKM108" s="953"/>
      <c r="HKN108" s="953"/>
      <c r="HKO108" s="953"/>
      <c r="HKP108" s="953"/>
      <c r="HKQ108" s="953"/>
      <c r="HKR108" s="953"/>
      <c r="HKS108" s="953"/>
      <c r="HKT108" s="953"/>
      <c r="HKU108" s="953"/>
      <c r="HKV108" s="953"/>
      <c r="HKW108" s="953"/>
      <c r="HKX108" s="953"/>
      <c r="HKY108" s="953"/>
      <c r="HKZ108" s="953"/>
      <c r="HLA108" s="953"/>
      <c r="HLB108" s="953"/>
      <c r="HLC108" s="953"/>
      <c r="HLD108" s="953"/>
      <c r="HLE108" s="953"/>
      <c r="HLF108" s="953"/>
      <c r="HLG108" s="953"/>
      <c r="HLH108" s="953"/>
      <c r="HLI108" s="953"/>
      <c r="HLJ108" s="953"/>
      <c r="HLK108" s="953"/>
      <c r="HLL108" s="953"/>
      <c r="HLM108" s="953"/>
      <c r="HLN108" s="953"/>
      <c r="HLO108" s="953"/>
      <c r="HLP108" s="953"/>
      <c r="HLQ108" s="953"/>
      <c r="HLR108" s="953"/>
      <c r="HLS108" s="953"/>
      <c r="HLT108" s="953"/>
      <c r="HLU108" s="953"/>
      <c r="HLV108" s="953"/>
      <c r="HLW108" s="953"/>
      <c r="HLX108" s="953"/>
      <c r="HLY108" s="953"/>
      <c r="HLZ108" s="953"/>
      <c r="HMA108" s="953"/>
      <c r="HMB108" s="953"/>
      <c r="HMC108" s="953"/>
      <c r="HMD108" s="953"/>
      <c r="HME108" s="953"/>
      <c r="HMF108" s="953"/>
      <c r="HMG108" s="953"/>
      <c r="HMH108" s="953"/>
      <c r="HMI108" s="953"/>
      <c r="HMJ108" s="953"/>
      <c r="HMK108" s="953"/>
      <c r="HML108" s="953"/>
      <c r="HMM108" s="953"/>
      <c r="HMN108" s="953"/>
      <c r="HMO108" s="953"/>
      <c r="HMP108" s="953"/>
      <c r="HMQ108" s="953"/>
      <c r="HMR108" s="953"/>
      <c r="HMS108" s="953"/>
      <c r="HMT108" s="953"/>
      <c r="HMU108" s="953"/>
      <c r="HMV108" s="953"/>
      <c r="HMW108" s="953"/>
      <c r="HMX108" s="953"/>
      <c r="HMY108" s="953"/>
      <c r="HMZ108" s="953"/>
      <c r="HNA108" s="953"/>
      <c r="HNB108" s="953"/>
      <c r="HNC108" s="953"/>
      <c r="HND108" s="953"/>
      <c r="HNE108" s="953"/>
      <c r="HNF108" s="953"/>
      <c r="HNG108" s="953"/>
      <c r="HNH108" s="953"/>
      <c r="HNI108" s="953"/>
      <c r="HNJ108" s="953"/>
      <c r="HNK108" s="953"/>
      <c r="HNL108" s="953"/>
      <c r="HNM108" s="953"/>
      <c r="HNN108" s="953"/>
      <c r="HNO108" s="953"/>
      <c r="HNP108" s="953"/>
      <c r="HNQ108" s="953"/>
      <c r="HNR108" s="953"/>
      <c r="HNS108" s="953"/>
      <c r="HNT108" s="953"/>
      <c r="HNU108" s="953"/>
      <c r="HNV108" s="953"/>
      <c r="HNW108" s="953"/>
      <c r="HNX108" s="953"/>
      <c r="HNY108" s="953"/>
      <c r="HNZ108" s="953"/>
      <c r="HOA108" s="953"/>
      <c r="HOB108" s="953"/>
      <c r="HOC108" s="953"/>
      <c r="HOD108" s="953"/>
      <c r="HOE108" s="953"/>
      <c r="HOF108" s="953"/>
      <c r="HOG108" s="953"/>
      <c r="HOH108" s="953"/>
      <c r="HOI108" s="953"/>
      <c r="HOJ108" s="953"/>
      <c r="HOK108" s="953"/>
      <c r="HOL108" s="953"/>
      <c r="HOM108" s="953"/>
      <c r="HON108" s="953"/>
      <c r="HOO108" s="953"/>
      <c r="HOP108" s="953"/>
      <c r="HOQ108" s="953"/>
      <c r="HOR108" s="953"/>
      <c r="HOS108" s="953"/>
      <c r="HOT108" s="953"/>
      <c r="HOU108" s="953"/>
      <c r="HOV108" s="953"/>
      <c r="HOW108" s="953"/>
      <c r="HOX108" s="953"/>
      <c r="HOY108" s="953"/>
      <c r="HOZ108" s="953"/>
      <c r="HPA108" s="953"/>
      <c r="HPB108" s="953"/>
      <c r="HPC108" s="953"/>
      <c r="HPD108" s="953"/>
      <c r="HPE108" s="953"/>
      <c r="HPF108" s="953"/>
      <c r="HPG108" s="953"/>
      <c r="HPH108" s="953"/>
      <c r="HPI108" s="953"/>
      <c r="HPJ108" s="953"/>
      <c r="HPK108" s="953"/>
      <c r="HPL108" s="953"/>
      <c r="HPM108" s="953"/>
      <c r="HPN108" s="953"/>
      <c r="HPO108" s="953"/>
      <c r="HPP108" s="953"/>
      <c r="HPQ108" s="953"/>
      <c r="HPR108" s="953"/>
      <c r="HPS108" s="953"/>
      <c r="HPT108" s="953"/>
      <c r="HPU108" s="953"/>
      <c r="HPV108" s="953"/>
      <c r="HPW108" s="953"/>
      <c r="HPX108" s="953"/>
      <c r="HPY108" s="953"/>
      <c r="HPZ108" s="953"/>
      <c r="HQA108" s="953"/>
      <c r="HQB108" s="953"/>
      <c r="HQC108" s="953"/>
      <c r="HQD108" s="953"/>
      <c r="HQE108" s="953"/>
      <c r="HQF108" s="953"/>
      <c r="HQG108" s="953"/>
      <c r="HQH108" s="953"/>
      <c r="HQI108" s="953"/>
      <c r="HQJ108" s="953"/>
      <c r="HQK108" s="953"/>
      <c r="HQL108" s="953"/>
      <c r="HQM108" s="953"/>
      <c r="HQN108" s="953"/>
      <c r="HQO108" s="953"/>
      <c r="HQP108" s="953"/>
      <c r="HQQ108" s="953"/>
      <c r="HQR108" s="953"/>
      <c r="HQS108" s="953"/>
      <c r="HQT108" s="953"/>
      <c r="HQU108" s="953"/>
      <c r="HQV108" s="953"/>
      <c r="HQW108" s="953"/>
      <c r="HQX108" s="953"/>
      <c r="HQY108" s="953"/>
      <c r="HQZ108" s="953"/>
      <c r="HRA108" s="953"/>
      <c r="HRB108" s="953"/>
      <c r="HRC108" s="953"/>
      <c r="HRD108" s="953"/>
      <c r="HRE108" s="953"/>
      <c r="HRF108" s="953"/>
      <c r="HRG108" s="953"/>
      <c r="HRH108" s="953"/>
      <c r="HRI108" s="953"/>
      <c r="HRJ108" s="953"/>
      <c r="HRK108" s="953"/>
      <c r="HRL108" s="953"/>
      <c r="HRM108" s="953"/>
      <c r="HRN108" s="953"/>
      <c r="HRO108" s="953"/>
      <c r="HRP108" s="953"/>
      <c r="HRQ108" s="953"/>
      <c r="HRR108" s="953"/>
      <c r="HRS108" s="953"/>
      <c r="HRT108" s="953"/>
      <c r="HRU108" s="953"/>
      <c r="HRV108" s="953"/>
      <c r="HRW108" s="953"/>
      <c r="HRX108" s="953"/>
      <c r="HRY108" s="953"/>
      <c r="HRZ108" s="953"/>
      <c r="HSA108" s="953"/>
      <c r="HSB108" s="953"/>
      <c r="HSC108" s="953"/>
      <c r="HSD108" s="953"/>
      <c r="HSE108" s="953"/>
      <c r="HSF108" s="953"/>
      <c r="HSG108" s="953"/>
      <c r="HSH108" s="953"/>
      <c r="HSI108" s="953"/>
      <c r="HSJ108" s="953"/>
      <c r="HSK108" s="953"/>
      <c r="HSL108" s="953"/>
      <c r="HSM108" s="953"/>
      <c r="HSN108" s="953"/>
      <c r="HSO108" s="953"/>
      <c r="HSP108" s="953"/>
      <c r="HSQ108" s="953"/>
      <c r="HSR108" s="953"/>
      <c r="HSS108" s="953"/>
      <c r="HST108" s="953"/>
      <c r="HSU108" s="953"/>
      <c r="HSV108" s="953"/>
      <c r="HSW108" s="953"/>
      <c r="HSX108" s="953"/>
      <c r="HSY108" s="953"/>
      <c r="HSZ108" s="953"/>
      <c r="HTA108" s="953"/>
      <c r="HTB108" s="953"/>
      <c r="HTC108" s="953"/>
      <c r="HTD108" s="953"/>
      <c r="HTE108" s="953"/>
      <c r="HTF108" s="953"/>
      <c r="HTG108" s="953"/>
      <c r="HTH108" s="953"/>
      <c r="HTI108" s="953"/>
      <c r="HTJ108" s="953"/>
      <c r="HTK108" s="953"/>
      <c r="HTL108" s="953"/>
      <c r="HTM108" s="953"/>
      <c r="HTN108" s="953"/>
      <c r="HTO108" s="953"/>
      <c r="HTP108" s="953"/>
      <c r="HTQ108" s="953"/>
      <c r="HTR108" s="953"/>
      <c r="HTS108" s="953"/>
      <c r="HTT108" s="953"/>
      <c r="HTU108" s="953"/>
      <c r="HTV108" s="953"/>
      <c r="HTW108" s="953"/>
      <c r="HTX108" s="953"/>
      <c r="HTY108" s="953"/>
      <c r="HTZ108" s="953"/>
      <c r="HUA108" s="953"/>
      <c r="HUB108" s="953"/>
      <c r="HUC108" s="953"/>
      <c r="HUD108" s="953"/>
      <c r="HUE108" s="953"/>
      <c r="HUF108" s="953"/>
      <c r="HUG108" s="953"/>
      <c r="HUH108" s="953"/>
      <c r="HUI108" s="953"/>
      <c r="HUJ108" s="953"/>
      <c r="HUK108" s="953"/>
      <c r="HUL108" s="953"/>
      <c r="HUM108" s="953"/>
      <c r="HUN108" s="953"/>
      <c r="HUO108" s="953"/>
      <c r="HUP108" s="953"/>
      <c r="HUQ108" s="953"/>
      <c r="HUR108" s="953"/>
      <c r="HUS108" s="953"/>
      <c r="HUT108" s="953"/>
      <c r="HUU108" s="953"/>
      <c r="HUV108" s="953"/>
      <c r="HUW108" s="953"/>
      <c r="HUX108" s="953"/>
      <c r="HUY108" s="953"/>
      <c r="HUZ108" s="953"/>
      <c r="HVA108" s="953"/>
      <c r="HVB108" s="953"/>
      <c r="HVC108" s="953"/>
      <c r="HVD108" s="953"/>
      <c r="HVE108" s="953"/>
      <c r="HVF108" s="953"/>
      <c r="HVG108" s="953"/>
      <c r="HVH108" s="953"/>
      <c r="HVI108" s="953"/>
      <c r="HVJ108" s="953"/>
      <c r="HVK108" s="953"/>
      <c r="HVL108" s="953"/>
      <c r="HVM108" s="953"/>
      <c r="HVN108" s="953"/>
      <c r="HVO108" s="953"/>
      <c r="HVP108" s="953"/>
      <c r="HVQ108" s="953"/>
      <c r="HVR108" s="953"/>
      <c r="HVS108" s="953"/>
      <c r="HVT108" s="953"/>
      <c r="HVU108" s="953"/>
      <c r="HVV108" s="953"/>
      <c r="HVW108" s="953"/>
      <c r="HVX108" s="953"/>
      <c r="HVY108" s="953"/>
      <c r="HVZ108" s="953"/>
      <c r="HWA108" s="953"/>
      <c r="HWB108" s="953"/>
      <c r="HWC108" s="953"/>
      <c r="HWD108" s="953"/>
      <c r="HWE108" s="953"/>
      <c r="HWF108" s="953"/>
      <c r="HWG108" s="953"/>
      <c r="HWH108" s="953"/>
      <c r="HWI108" s="953"/>
      <c r="HWJ108" s="953"/>
      <c r="HWK108" s="953"/>
      <c r="HWL108" s="953"/>
      <c r="HWM108" s="953"/>
      <c r="HWN108" s="953"/>
      <c r="HWO108" s="953"/>
      <c r="HWP108" s="953"/>
      <c r="HWQ108" s="953"/>
      <c r="HWR108" s="953"/>
      <c r="HWS108" s="953"/>
      <c r="HWT108" s="953"/>
      <c r="HWU108" s="953"/>
      <c r="HWV108" s="953"/>
      <c r="HWW108" s="953"/>
      <c r="HWX108" s="953"/>
      <c r="HWY108" s="953"/>
      <c r="HWZ108" s="953"/>
      <c r="HXA108" s="953"/>
      <c r="HXB108" s="953"/>
      <c r="HXC108" s="953"/>
      <c r="HXD108" s="953"/>
      <c r="HXE108" s="953"/>
      <c r="HXF108" s="953"/>
      <c r="HXG108" s="953"/>
      <c r="HXH108" s="953"/>
      <c r="HXI108" s="953"/>
      <c r="HXJ108" s="953"/>
      <c r="HXK108" s="953"/>
      <c r="HXL108" s="953"/>
      <c r="HXM108" s="953"/>
      <c r="HXN108" s="953"/>
      <c r="HXO108" s="953"/>
      <c r="HXP108" s="953"/>
      <c r="HXQ108" s="953"/>
      <c r="HXR108" s="953"/>
      <c r="HXS108" s="953"/>
      <c r="HXT108" s="953"/>
      <c r="HXU108" s="953"/>
      <c r="HXV108" s="953"/>
      <c r="HXW108" s="953"/>
      <c r="HXX108" s="953"/>
      <c r="HXY108" s="953"/>
      <c r="HXZ108" s="953"/>
      <c r="HYA108" s="953"/>
      <c r="HYB108" s="953"/>
      <c r="HYC108" s="953"/>
      <c r="HYD108" s="953"/>
      <c r="HYE108" s="953"/>
      <c r="HYF108" s="953"/>
      <c r="HYG108" s="953"/>
      <c r="HYH108" s="953"/>
      <c r="HYI108" s="953"/>
      <c r="HYJ108" s="953"/>
      <c r="HYK108" s="953"/>
      <c r="HYL108" s="953"/>
      <c r="HYM108" s="953"/>
      <c r="HYN108" s="953"/>
      <c r="HYO108" s="953"/>
      <c r="HYP108" s="953"/>
      <c r="HYQ108" s="953"/>
      <c r="HYR108" s="953"/>
      <c r="HYS108" s="953"/>
      <c r="HYT108" s="953"/>
      <c r="HYU108" s="953"/>
      <c r="HYV108" s="953"/>
      <c r="HYW108" s="953"/>
      <c r="HYX108" s="953"/>
      <c r="HYY108" s="953"/>
      <c r="HYZ108" s="953"/>
      <c r="HZA108" s="953"/>
      <c r="HZB108" s="953"/>
      <c r="HZC108" s="953"/>
      <c r="HZD108" s="953"/>
      <c r="HZE108" s="953"/>
      <c r="HZF108" s="953"/>
      <c r="HZG108" s="953"/>
      <c r="HZH108" s="953"/>
      <c r="HZI108" s="953"/>
      <c r="HZJ108" s="953"/>
      <c r="HZK108" s="953"/>
      <c r="HZL108" s="953"/>
      <c r="HZM108" s="953"/>
      <c r="HZN108" s="953"/>
      <c r="HZO108" s="953"/>
      <c r="HZP108" s="953"/>
      <c r="HZQ108" s="953"/>
      <c r="HZR108" s="953"/>
      <c r="HZS108" s="953"/>
      <c r="HZT108" s="953"/>
      <c r="HZU108" s="953"/>
      <c r="HZV108" s="953"/>
      <c r="HZW108" s="953"/>
      <c r="HZX108" s="953"/>
      <c r="HZY108" s="953"/>
      <c r="HZZ108" s="953"/>
      <c r="IAA108" s="953"/>
      <c r="IAB108" s="953"/>
      <c r="IAC108" s="953"/>
      <c r="IAD108" s="953"/>
      <c r="IAE108" s="953"/>
      <c r="IAF108" s="953"/>
      <c r="IAG108" s="953"/>
      <c r="IAH108" s="953"/>
      <c r="IAI108" s="953"/>
      <c r="IAJ108" s="953"/>
      <c r="IAK108" s="953"/>
      <c r="IAL108" s="953"/>
      <c r="IAM108" s="953"/>
      <c r="IAN108" s="953"/>
      <c r="IAO108" s="953"/>
      <c r="IAP108" s="953"/>
      <c r="IAQ108" s="953"/>
      <c r="IAR108" s="953"/>
      <c r="IAS108" s="953"/>
      <c r="IAT108" s="953"/>
      <c r="IAU108" s="953"/>
      <c r="IAV108" s="953"/>
      <c r="IAW108" s="953"/>
      <c r="IAX108" s="953"/>
      <c r="IAY108" s="953"/>
      <c r="IAZ108" s="953"/>
      <c r="IBA108" s="953"/>
      <c r="IBB108" s="953"/>
      <c r="IBC108" s="953"/>
      <c r="IBD108" s="953"/>
      <c r="IBE108" s="953"/>
      <c r="IBF108" s="953"/>
      <c r="IBG108" s="953"/>
      <c r="IBH108" s="953"/>
      <c r="IBI108" s="953"/>
      <c r="IBJ108" s="953"/>
      <c r="IBK108" s="953"/>
      <c r="IBL108" s="953"/>
      <c r="IBM108" s="953"/>
      <c r="IBN108" s="953"/>
      <c r="IBO108" s="953"/>
      <c r="IBP108" s="953"/>
      <c r="IBQ108" s="953"/>
      <c r="IBR108" s="953"/>
      <c r="IBS108" s="953"/>
      <c r="IBT108" s="953"/>
      <c r="IBU108" s="953"/>
      <c r="IBV108" s="953"/>
      <c r="IBW108" s="953"/>
      <c r="IBX108" s="953"/>
      <c r="IBY108" s="953"/>
      <c r="IBZ108" s="953"/>
      <c r="ICA108" s="953"/>
      <c r="ICB108" s="953"/>
      <c r="ICC108" s="953"/>
      <c r="ICD108" s="953"/>
      <c r="ICE108" s="953"/>
      <c r="ICF108" s="953"/>
      <c r="ICG108" s="953"/>
      <c r="ICH108" s="953"/>
      <c r="ICI108" s="953"/>
      <c r="ICJ108" s="953"/>
      <c r="ICK108" s="953"/>
      <c r="ICL108" s="953"/>
      <c r="ICM108" s="953"/>
      <c r="ICN108" s="953"/>
      <c r="ICO108" s="953"/>
      <c r="ICP108" s="953"/>
      <c r="ICQ108" s="953"/>
      <c r="ICR108" s="953"/>
      <c r="ICS108" s="953"/>
      <c r="ICT108" s="953"/>
      <c r="ICU108" s="953"/>
      <c r="ICV108" s="953"/>
      <c r="ICW108" s="953"/>
      <c r="ICX108" s="953"/>
      <c r="ICY108" s="953"/>
      <c r="ICZ108" s="953"/>
      <c r="IDA108" s="953"/>
      <c r="IDB108" s="953"/>
      <c r="IDC108" s="953"/>
      <c r="IDD108" s="953"/>
      <c r="IDE108" s="953"/>
      <c r="IDF108" s="953"/>
      <c r="IDG108" s="953"/>
      <c r="IDH108" s="953"/>
      <c r="IDI108" s="953"/>
      <c r="IDJ108" s="953"/>
      <c r="IDK108" s="953"/>
      <c r="IDL108" s="953"/>
      <c r="IDM108" s="953"/>
      <c r="IDN108" s="953"/>
      <c r="IDO108" s="953"/>
      <c r="IDP108" s="953"/>
      <c r="IDQ108" s="953"/>
      <c r="IDR108" s="953"/>
      <c r="IDS108" s="953"/>
      <c r="IDT108" s="953"/>
      <c r="IDU108" s="953"/>
      <c r="IDV108" s="953"/>
      <c r="IDW108" s="953"/>
      <c r="IDX108" s="953"/>
      <c r="IDY108" s="953"/>
      <c r="IDZ108" s="953"/>
      <c r="IEA108" s="953"/>
      <c r="IEB108" s="953"/>
      <c r="IEC108" s="953"/>
      <c r="IED108" s="953"/>
      <c r="IEE108" s="953"/>
      <c r="IEF108" s="953"/>
      <c r="IEG108" s="953"/>
      <c r="IEH108" s="953"/>
      <c r="IEI108" s="953"/>
      <c r="IEJ108" s="953"/>
      <c r="IEK108" s="953"/>
      <c r="IEL108" s="953"/>
      <c r="IEM108" s="953"/>
      <c r="IEN108" s="953"/>
      <c r="IEO108" s="953"/>
      <c r="IEP108" s="953"/>
      <c r="IEQ108" s="953"/>
      <c r="IER108" s="953"/>
      <c r="IES108" s="953"/>
      <c r="IET108" s="953"/>
      <c r="IEU108" s="953"/>
      <c r="IEV108" s="953"/>
      <c r="IEW108" s="953"/>
      <c r="IEX108" s="953"/>
      <c r="IEY108" s="953"/>
      <c r="IEZ108" s="953"/>
      <c r="IFA108" s="953"/>
      <c r="IFB108" s="953"/>
      <c r="IFC108" s="953"/>
      <c r="IFD108" s="953"/>
      <c r="IFE108" s="953"/>
      <c r="IFF108" s="953"/>
      <c r="IFG108" s="953"/>
      <c r="IFH108" s="953"/>
      <c r="IFI108" s="953"/>
      <c r="IFJ108" s="953"/>
      <c r="IFK108" s="953"/>
      <c r="IFL108" s="953"/>
      <c r="IFM108" s="953"/>
      <c r="IFN108" s="953"/>
      <c r="IFO108" s="953"/>
      <c r="IFP108" s="953"/>
      <c r="IFQ108" s="953"/>
      <c r="IFR108" s="953"/>
      <c r="IFS108" s="953"/>
      <c r="IFT108" s="953"/>
      <c r="IFU108" s="953"/>
      <c r="IFV108" s="953"/>
      <c r="IFW108" s="953"/>
      <c r="IFX108" s="953"/>
      <c r="IFY108" s="953"/>
      <c r="IFZ108" s="953"/>
      <c r="IGA108" s="953"/>
      <c r="IGB108" s="953"/>
      <c r="IGC108" s="953"/>
      <c r="IGD108" s="953"/>
      <c r="IGE108" s="953"/>
      <c r="IGF108" s="953"/>
      <c r="IGG108" s="953"/>
      <c r="IGH108" s="953"/>
      <c r="IGI108" s="953"/>
      <c r="IGJ108" s="953"/>
      <c r="IGK108" s="953"/>
      <c r="IGL108" s="953"/>
      <c r="IGM108" s="953"/>
      <c r="IGN108" s="953"/>
      <c r="IGO108" s="953"/>
      <c r="IGP108" s="953"/>
      <c r="IGQ108" s="953"/>
      <c r="IGR108" s="953"/>
      <c r="IGS108" s="953"/>
      <c r="IGT108" s="953"/>
      <c r="IGU108" s="953"/>
      <c r="IGV108" s="953"/>
      <c r="IGW108" s="953"/>
      <c r="IGX108" s="953"/>
      <c r="IGY108" s="953"/>
      <c r="IGZ108" s="953"/>
      <c r="IHA108" s="953"/>
      <c r="IHB108" s="953"/>
      <c r="IHC108" s="953"/>
      <c r="IHD108" s="953"/>
      <c r="IHE108" s="953"/>
      <c r="IHF108" s="953"/>
      <c r="IHG108" s="953"/>
      <c r="IHH108" s="953"/>
      <c r="IHI108" s="953"/>
      <c r="IHJ108" s="953"/>
      <c r="IHK108" s="953"/>
      <c r="IHL108" s="953"/>
      <c r="IHM108" s="953"/>
      <c r="IHN108" s="953"/>
      <c r="IHO108" s="953"/>
      <c r="IHP108" s="953"/>
      <c r="IHQ108" s="953"/>
      <c r="IHR108" s="953"/>
      <c r="IHS108" s="953"/>
      <c r="IHT108" s="953"/>
      <c r="IHU108" s="953"/>
      <c r="IHV108" s="953"/>
      <c r="IHW108" s="953"/>
      <c r="IHX108" s="953"/>
      <c r="IHY108" s="953"/>
      <c r="IHZ108" s="953"/>
      <c r="IIA108" s="953"/>
      <c r="IIB108" s="953"/>
      <c r="IIC108" s="953"/>
      <c r="IID108" s="953"/>
      <c r="IIE108" s="953"/>
      <c r="IIF108" s="953"/>
      <c r="IIG108" s="953"/>
      <c r="IIH108" s="953"/>
      <c r="III108" s="953"/>
      <c r="IIJ108" s="953"/>
      <c r="IIK108" s="953"/>
      <c r="IIL108" s="953"/>
      <c r="IIM108" s="953"/>
      <c r="IIN108" s="953"/>
      <c r="IIO108" s="953"/>
      <c r="IIP108" s="953"/>
      <c r="IIQ108" s="953"/>
      <c r="IIR108" s="953"/>
      <c r="IIS108" s="953"/>
      <c r="IIT108" s="953"/>
      <c r="IIU108" s="953"/>
      <c r="IIV108" s="953"/>
      <c r="IIW108" s="953"/>
      <c r="IIX108" s="953"/>
      <c r="IIY108" s="953"/>
      <c r="IIZ108" s="953"/>
      <c r="IJA108" s="953"/>
      <c r="IJB108" s="953"/>
      <c r="IJC108" s="953"/>
      <c r="IJD108" s="953"/>
      <c r="IJE108" s="953"/>
      <c r="IJF108" s="953"/>
      <c r="IJG108" s="953"/>
      <c r="IJH108" s="953"/>
      <c r="IJI108" s="953"/>
      <c r="IJJ108" s="953"/>
      <c r="IJK108" s="953"/>
      <c r="IJL108" s="953"/>
      <c r="IJM108" s="953"/>
      <c r="IJN108" s="953"/>
      <c r="IJO108" s="953"/>
      <c r="IJP108" s="953"/>
      <c r="IJQ108" s="953"/>
      <c r="IJR108" s="953"/>
      <c r="IJS108" s="953"/>
      <c r="IJT108" s="953"/>
      <c r="IJU108" s="953"/>
      <c r="IJV108" s="953"/>
      <c r="IJW108" s="953"/>
      <c r="IJX108" s="953"/>
      <c r="IJY108" s="953"/>
      <c r="IJZ108" s="953"/>
      <c r="IKA108" s="953"/>
      <c r="IKB108" s="953"/>
      <c r="IKC108" s="953"/>
      <c r="IKD108" s="953"/>
      <c r="IKE108" s="953"/>
      <c r="IKF108" s="953"/>
      <c r="IKG108" s="953"/>
      <c r="IKH108" s="953"/>
      <c r="IKI108" s="953"/>
      <c r="IKJ108" s="953"/>
      <c r="IKK108" s="953"/>
      <c r="IKL108" s="953"/>
      <c r="IKM108" s="953"/>
      <c r="IKN108" s="953"/>
      <c r="IKO108" s="953"/>
      <c r="IKP108" s="953"/>
      <c r="IKQ108" s="953"/>
      <c r="IKR108" s="953"/>
      <c r="IKS108" s="953"/>
      <c r="IKT108" s="953"/>
      <c r="IKU108" s="953"/>
      <c r="IKV108" s="953"/>
      <c r="IKW108" s="953"/>
      <c r="IKX108" s="953"/>
      <c r="IKY108" s="953"/>
      <c r="IKZ108" s="953"/>
      <c r="ILA108" s="953"/>
      <c r="ILB108" s="953"/>
      <c r="ILC108" s="953"/>
      <c r="ILD108" s="953"/>
      <c r="ILE108" s="953"/>
      <c r="ILF108" s="953"/>
      <c r="ILG108" s="953"/>
      <c r="ILH108" s="953"/>
      <c r="ILI108" s="953"/>
      <c r="ILJ108" s="953"/>
      <c r="ILK108" s="953"/>
      <c r="ILL108" s="953"/>
      <c r="ILM108" s="953"/>
      <c r="ILN108" s="953"/>
      <c r="ILO108" s="953"/>
      <c r="ILP108" s="953"/>
      <c r="ILQ108" s="953"/>
      <c r="ILR108" s="953"/>
      <c r="ILS108" s="953"/>
      <c r="ILT108" s="953"/>
      <c r="ILU108" s="953"/>
      <c r="ILV108" s="953"/>
      <c r="ILW108" s="953"/>
      <c r="ILX108" s="953"/>
      <c r="ILY108" s="953"/>
      <c r="ILZ108" s="953"/>
      <c r="IMA108" s="953"/>
      <c r="IMB108" s="953"/>
      <c r="IMC108" s="953"/>
      <c r="IMD108" s="953"/>
      <c r="IME108" s="953"/>
      <c r="IMF108" s="953"/>
      <c r="IMG108" s="953"/>
      <c r="IMH108" s="953"/>
      <c r="IMI108" s="953"/>
      <c r="IMJ108" s="953"/>
      <c r="IMK108" s="953"/>
      <c r="IML108" s="953"/>
      <c r="IMM108" s="953"/>
      <c r="IMN108" s="953"/>
      <c r="IMO108" s="953"/>
      <c r="IMP108" s="953"/>
      <c r="IMQ108" s="953"/>
      <c r="IMR108" s="953"/>
      <c r="IMS108" s="953"/>
      <c r="IMT108" s="953"/>
      <c r="IMU108" s="953"/>
      <c r="IMV108" s="953"/>
      <c r="IMW108" s="953"/>
      <c r="IMX108" s="953"/>
      <c r="IMY108" s="953"/>
      <c r="IMZ108" s="953"/>
      <c r="INA108" s="953"/>
      <c r="INB108" s="953"/>
      <c r="INC108" s="953"/>
      <c r="IND108" s="953"/>
      <c r="INE108" s="953"/>
      <c r="INF108" s="953"/>
      <c r="ING108" s="953"/>
      <c r="INH108" s="953"/>
      <c r="INI108" s="953"/>
      <c r="INJ108" s="953"/>
      <c r="INK108" s="953"/>
      <c r="INL108" s="953"/>
      <c r="INM108" s="953"/>
      <c r="INN108" s="953"/>
      <c r="INO108" s="953"/>
      <c r="INP108" s="953"/>
      <c r="INQ108" s="953"/>
      <c r="INR108" s="953"/>
      <c r="INS108" s="953"/>
      <c r="INT108" s="953"/>
      <c r="INU108" s="953"/>
      <c r="INV108" s="953"/>
      <c r="INW108" s="953"/>
      <c r="INX108" s="953"/>
      <c r="INY108" s="953"/>
      <c r="INZ108" s="953"/>
      <c r="IOA108" s="953"/>
      <c r="IOB108" s="953"/>
      <c r="IOC108" s="953"/>
      <c r="IOD108" s="953"/>
      <c r="IOE108" s="953"/>
      <c r="IOF108" s="953"/>
      <c r="IOG108" s="953"/>
      <c r="IOH108" s="953"/>
      <c r="IOI108" s="953"/>
      <c r="IOJ108" s="953"/>
      <c r="IOK108" s="953"/>
      <c r="IOL108" s="953"/>
      <c r="IOM108" s="953"/>
      <c r="ION108" s="953"/>
      <c r="IOO108" s="953"/>
      <c r="IOP108" s="953"/>
      <c r="IOQ108" s="953"/>
      <c r="IOR108" s="953"/>
      <c r="IOS108" s="953"/>
      <c r="IOT108" s="953"/>
      <c r="IOU108" s="953"/>
      <c r="IOV108" s="953"/>
      <c r="IOW108" s="953"/>
      <c r="IOX108" s="953"/>
      <c r="IOY108" s="953"/>
      <c r="IOZ108" s="953"/>
      <c r="IPA108" s="953"/>
      <c r="IPB108" s="953"/>
      <c r="IPC108" s="953"/>
      <c r="IPD108" s="953"/>
      <c r="IPE108" s="953"/>
      <c r="IPF108" s="953"/>
      <c r="IPG108" s="953"/>
      <c r="IPH108" s="953"/>
      <c r="IPI108" s="953"/>
      <c r="IPJ108" s="953"/>
      <c r="IPK108" s="953"/>
      <c r="IPL108" s="953"/>
      <c r="IPM108" s="953"/>
      <c r="IPN108" s="953"/>
      <c r="IPO108" s="953"/>
      <c r="IPP108" s="953"/>
      <c r="IPQ108" s="953"/>
      <c r="IPR108" s="953"/>
      <c r="IPS108" s="953"/>
      <c r="IPT108" s="953"/>
      <c r="IPU108" s="953"/>
      <c r="IPV108" s="953"/>
      <c r="IPW108" s="953"/>
      <c r="IPX108" s="953"/>
      <c r="IPY108" s="953"/>
      <c r="IPZ108" s="953"/>
      <c r="IQA108" s="953"/>
      <c r="IQB108" s="953"/>
      <c r="IQC108" s="953"/>
      <c r="IQD108" s="953"/>
      <c r="IQE108" s="953"/>
      <c r="IQF108" s="953"/>
      <c r="IQG108" s="953"/>
      <c r="IQH108" s="953"/>
      <c r="IQI108" s="953"/>
      <c r="IQJ108" s="953"/>
      <c r="IQK108" s="953"/>
      <c r="IQL108" s="953"/>
      <c r="IQM108" s="953"/>
      <c r="IQN108" s="953"/>
      <c r="IQO108" s="953"/>
      <c r="IQP108" s="953"/>
      <c r="IQQ108" s="953"/>
      <c r="IQR108" s="953"/>
      <c r="IQS108" s="953"/>
      <c r="IQT108" s="953"/>
      <c r="IQU108" s="953"/>
      <c r="IQV108" s="953"/>
      <c r="IQW108" s="953"/>
      <c r="IQX108" s="953"/>
      <c r="IQY108" s="953"/>
      <c r="IQZ108" s="953"/>
      <c r="IRA108" s="953"/>
      <c r="IRB108" s="953"/>
      <c r="IRC108" s="953"/>
      <c r="IRD108" s="953"/>
      <c r="IRE108" s="953"/>
      <c r="IRF108" s="953"/>
      <c r="IRG108" s="953"/>
      <c r="IRH108" s="953"/>
      <c r="IRI108" s="953"/>
      <c r="IRJ108" s="953"/>
      <c r="IRK108" s="953"/>
      <c r="IRL108" s="953"/>
      <c r="IRM108" s="953"/>
      <c r="IRN108" s="953"/>
      <c r="IRO108" s="953"/>
      <c r="IRP108" s="953"/>
      <c r="IRQ108" s="953"/>
      <c r="IRR108" s="953"/>
      <c r="IRS108" s="953"/>
      <c r="IRT108" s="953"/>
      <c r="IRU108" s="953"/>
      <c r="IRV108" s="953"/>
      <c r="IRW108" s="953"/>
      <c r="IRX108" s="953"/>
      <c r="IRY108" s="953"/>
      <c r="IRZ108" s="953"/>
      <c r="ISA108" s="953"/>
      <c r="ISB108" s="953"/>
      <c r="ISC108" s="953"/>
      <c r="ISD108" s="953"/>
      <c r="ISE108" s="953"/>
      <c r="ISF108" s="953"/>
      <c r="ISG108" s="953"/>
      <c r="ISH108" s="953"/>
      <c r="ISI108" s="953"/>
      <c r="ISJ108" s="953"/>
      <c r="ISK108" s="953"/>
      <c r="ISL108" s="953"/>
      <c r="ISM108" s="953"/>
      <c r="ISN108" s="953"/>
      <c r="ISO108" s="953"/>
      <c r="ISP108" s="953"/>
      <c r="ISQ108" s="953"/>
      <c r="ISR108" s="953"/>
      <c r="ISS108" s="953"/>
      <c r="IST108" s="953"/>
      <c r="ISU108" s="953"/>
      <c r="ISV108" s="953"/>
      <c r="ISW108" s="953"/>
      <c r="ISX108" s="953"/>
      <c r="ISY108" s="953"/>
      <c r="ISZ108" s="953"/>
      <c r="ITA108" s="953"/>
      <c r="ITB108" s="953"/>
      <c r="ITC108" s="953"/>
      <c r="ITD108" s="953"/>
      <c r="ITE108" s="953"/>
      <c r="ITF108" s="953"/>
      <c r="ITG108" s="953"/>
      <c r="ITH108" s="953"/>
      <c r="ITI108" s="953"/>
      <c r="ITJ108" s="953"/>
      <c r="ITK108" s="953"/>
      <c r="ITL108" s="953"/>
      <c r="ITM108" s="953"/>
      <c r="ITN108" s="953"/>
      <c r="ITO108" s="953"/>
      <c r="ITP108" s="953"/>
      <c r="ITQ108" s="953"/>
      <c r="ITR108" s="953"/>
      <c r="ITS108" s="953"/>
      <c r="ITT108" s="953"/>
      <c r="ITU108" s="953"/>
      <c r="ITV108" s="953"/>
      <c r="ITW108" s="953"/>
      <c r="ITX108" s="953"/>
      <c r="ITY108" s="953"/>
      <c r="ITZ108" s="953"/>
      <c r="IUA108" s="953"/>
      <c r="IUB108" s="953"/>
      <c r="IUC108" s="953"/>
      <c r="IUD108" s="953"/>
      <c r="IUE108" s="953"/>
      <c r="IUF108" s="953"/>
      <c r="IUG108" s="953"/>
      <c r="IUH108" s="953"/>
      <c r="IUI108" s="953"/>
      <c r="IUJ108" s="953"/>
      <c r="IUK108" s="953"/>
      <c r="IUL108" s="953"/>
      <c r="IUM108" s="953"/>
      <c r="IUN108" s="953"/>
      <c r="IUO108" s="953"/>
      <c r="IUP108" s="953"/>
      <c r="IUQ108" s="953"/>
      <c r="IUR108" s="953"/>
      <c r="IUS108" s="953"/>
      <c r="IUT108" s="953"/>
      <c r="IUU108" s="953"/>
      <c r="IUV108" s="953"/>
      <c r="IUW108" s="953"/>
      <c r="IUX108" s="953"/>
      <c r="IUY108" s="953"/>
      <c r="IUZ108" s="953"/>
      <c r="IVA108" s="953"/>
      <c r="IVB108" s="953"/>
      <c r="IVC108" s="953"/>
      <c r="IVD108" s="953"/>
      <c r="IVE108" s="953"/>
      <c r="IVF108" s="953"/>
      <c r="IVG108" s="953"/>
      <c r="IVH108" s="953"/>
      <c r="IVI108" s="953"/>
      <c r="IVJ108" s="953"/>
      <c r="IVK108" s="953"/>
      <c r="IVL108" s="953"/>
      <c r="IVM108" s="953"/>
      <c r="IVN108" s="953"/>
      <c r="IVO108" s="953"/>
      <c r="IVP108" s="953"/>
      <c r="IVQ108" s="953"/>
      <c r="IVR108" s="953"/>
      <c r="IVS108" s="953"/>
      <c r="IVT108" s="953"/>
      <c r="IVU108" s="953"/>
      <c r="IVV108" s="953"/>
      <c r="IVW108" s="953"/>
      <c r="IVX108" s="953"/>
      <c r="IVY108" s="953"/>
      <c r="IVZ108" s="953"/>
      <c r="IWA108" s="953"/>
      <c r="IWB108" s="953"/>
      <c r="IWC108" s="953"/>
      <c r="IWD108" s="953"/>
      <c r="IWE108" s="953"/>
      <c r="IWF108" s="953"/>
      <c r="IWG108" s="953"/>
      <c r="IWH108" s="953"/>
      <c r="IWI108" s="953"/>
      <c r="IWJ108" s="953"/>
      <c r="IWK108" s="953"/>
      <c r="IWL108" s="953"/>
      <c r="IWM108" s="953"/>
      <c r="IWN108" s="953"/>
      <c r="IWO108" s="953"/>
      <c r="IWP108" s="953"/>
      <c r="IWQ108" s="953"/>
      <c r="IWR108" s="953"/>
      <c r="IWS108" s="953"/>
      <c r="IWT108" s="953"/>
      <c r="IWU108" s="953"/>
      <c r="IWV108" s="953"/>
      <c r="IWW108" s="953"/>
      <c r="IWX108" s="953"/>
      <c r="IWY108" s="953"/>
      <c r="IWZ108" s="953"/>
      <c r="IXA108" s="953"/>
      <c r="IXB108" s="953"/>
      <c r="IXC108" s="953"/>
      <c r="IXD108" s="953"/>
      <c r="IXE108" s="953"/>
      <c r="IXF108" s="953"/>
      <c r="IXG108" s="953"/>
      <c r="IXH108" s="953"/>
      <c r="IXI108" s="953"/>
      <c r="IXJ108" s="953"/>
      <c r="IXK108" s="953"/>
      <c r="IXL108" s="953"/>
      <c r="IXM108" s="953"/>
      <c r="IXN108" s="953"/>
      <c r="IXO108" s="953"/>
      <c r="IXP108" s="953"/>
      <c r="IXQ108" s="953"/>
      <c r="IXR108" s="953"/>
      <c r="IXS108" s="953"/>
      <c r="IXT108" s="953"/>
      <c r="IXU108" s="953"/>
      <c r="IXV108" s="953"/>
      <c r="IXW108" s="953"/>
      <c r="IXX108" s="953"/>
      <c r="IXY108" s="953"/>
      <c r="IXZ108" s="953"/>
      <c r="IYA108" s="953"/>
      <c r="IYB108" s="953"/>
      <c r="IYC108" s="953"/>
      <c r="IYD108" s="953"/>
      <c r="IYE108" s="953"/>
      <c r="IYF108" s="953"/>
      <c r="IYG108" s="953"/>
      <c r="IYH108" s="953"/>
      <c r="IYI108" s="953"/>
      <c r="IYJ108" s="953"/>
      <c r="IYK108" s="953"/>
      <c r="IYL108" s="953"/>
      <c r="IYM108" s="953"/>
      <c r="IYN108" s="953"/>
      <c r="IYO108" s="953"/>
      <c r="IYP108" s="953"/>
      <c r="IYQ108" s="953"/>
      <c r="IYR108" s="953"/>
      <c r="IYS108" s="953"/>
      <c r="IYT108" s="953"/>
      <c r="IYU108" s="953"/>
      <c r="IYV108" s="953"/>
      <c r="IYW108" s="953"/>
      <c r="IYX108" s="953"/>
      <c r="IYY108" s="953"/>
      <c r="IYZ108" s="953"/>
      <c r="IZA108" s="953"/>
      <c r="IZB108" s="953"/>
      <c r="IZC108" s="953"/>
      <c r="IZD108" s="953"/>
      <c r="IZE108" s="953"/>
      <c r="IZF108" s="953"/>
      <c r="IZG108" s="953"/>
      <c r="IZH108" s="953"/>
      <c r="IZI108" s="953"/>
      <c r="IZJ108" s="953"/>
      <c r="IZK108" s="953"/>
      <c r="IZL108" s="953"/>
      <c r="IZM108" s="953"/>
      <c r="IZN108" s="953"/>
      <c r="IZO108" s="953"/>
      <c r="IZP108" s="953"/>
      <c r="IZQ108" s="953"/>
      <c r="IZR108" s="953"/>
      <c r="IZS108" s="953"/>
      <c r="IZT108" s="953"/>
      <c r="IZU108" s="953"/>
      <c r="IZV108" s="953"/>
      <c r="IZW108" s="953"/>
      <c r="IZX108" s="953"/>
      <c r="IZY108" s="953"/>
      <c r="IZZ108" s="953"/>
      <c r="JAA108" s="953"/>
      <c r="JAB108" s="953"/>
      <c r="JAC108" s="953"/>
      <c r="JAD108" s="953"/>
      <c r="JAE108" s="953"/>
      <c r="JAF108" s="953"/>
      <c r="JAG108" s="953"/>
      <c r="JAH108" s="953"/>
      <c r="JAI108" s="953"/>
      <c r="JAJ108" s="953"/>
      <c r="JAK108" s="953"/>
      <c r="JAL108" s="953"/>
      <c r="JAM108" s="953"/>
      <c r="JAN108" s="953"/>
      <c r="JAO108" s="953"/>
      <c r="JAP108" s="953"/>
      <c r="JAQ108" s="953"/>
      <c r="JAR108" s="953"/>
      <c r="JAS108" s="953"/>
      <c r="JAT108" s="953"/>
      <c r="JAU108" s="953"/>
      <c r="JAV108" s="953"/>
      <c r="JAW108" s="953"/>
      <c r="JAX108" s="953"/>
      <c r="JAY108" s="953"/>
      <c r="JAZ108" s="953"/>
      <c r="JBA108" s="953"/>
      <c r="JBB108" s="953"/>
      <c r="JBC108" s="953"/>
      <c r="JBD108" s="953"/>
      <c r="JBE108" s="953"/>
      <c r="JBF108" s="953"/>
      <c r="JBG108" s="953"/>
      <c r="JBH108" s="953"/>
      <c r="JBI108" s="953"/>
      <c r="JBJ108" s="953"/>
      <c r="JBK108" s="953"/>
      <c r="JBL108" s="953"/>
      <c r="JBM108" s="953"/>
      <c r="JBN108" s="953"/>
      <c r="JBO108" s="953"/>
      <c r="JBP108" s="953"/>
      <c r="JBQ108" s="953"/>
      <c r="JBR108" s="953"/>
      <c r="JBS108" s="953"/>
      <c r="JBT108" s="953"/>
      <c r="JBU108" s="953"/>
      <c r="JBV108" s="953"/>
      <c r="JBW108" s="953"/>
      <c r="JBX108" s="953"/>
      <c r="JBY108" s="953"/>
      <c r="JBZ108" s="953"/>
      <c r="JCA108" s="953"/>
      <c r="JCB108" s="953"/>
      <c r="JCC108" s="953"/>
      <c r="JCD108" s="953"/>
      <c r="JCE108" s="953"/>
      <c r="JCF108" s="953"/>
      <c r="JCG108" s="953"/>
      <c r="JCH108" s="953"/>
      <c r="JCI108" s="953"/>
      <c r="JCJ108" s="953"/>
      <c r="JCK108" s="953"/>
      <c r="JCL108" s="953"/>
      <c r="JCM108" s="953"/>
      <c r="JCN108" s="953"/>
      <c r="JCO108" s="953"/>
      <c r="JCP108" s="953"/>
      <c r="JCQ108" s="953"/>
      <c r="JCR108" s="953"/>
      <c r="JCS108" s="953"/>
      <c r="JCT108" s="953"/>
      <c r="JCU108" s="953"/>
      <c r="JCV108" s="953"/>
      <c r="JCW108" s="953"/>
      <c r="JCX108" s="953"/>
      <c r="JCY108" s="953"/>
      <c r="JCZ108" s="953"/>
      <c r="JDA108" s="953"/>
      <c r="JDB108" s="953"/>
      <c r="JDC108" s="953"/>
      <c r="JDD108" s="953"/>
      <c r="JDE108" s="953"/>
      <c r="JDF108" s="953"/>
      <c r="JDG108" s="953"/>
      <c r="JDH108" s="953"/>
      <c r="JDI108" s="953"/>
      <c r="JDJ108" s="953"/>
      <c r="JDK108" s="953"/>
      <c r="JDL108" s="953"/>
      <c r="JDM108" s="953"/>
      <c r="JDN108" s="953"/>
      <c r="JDO108" s="953"/>
      <c r="JDP108" s="953"/>
      <c r="JDQ108" s="953"/>
      <c r="JDR108" s="953"/>
      <c r="JDS108" s="953"/>
      <c r="JDT108" s="953"/>
      <c r="JDU108" s="953"/>
      <c r="JDV108" s="953"/>
      <c r="JDW108" s="953"/>
      <c r="JDX108" s="953"/>
      <c r="JDY108" s="953"/>
      <c r="JDZ108" s="953"/>
      <c r="JEA108" s="953"/>
      <c r="JEB108" s="953"/>
      <c r="JEC108" s="953"/>
      <c r="JED108" s="953"/>
      <c r="JEE108" s="953"/>
      <c r="JEF108" s="953"/>
      <c r="JEG108" s="953"/>
      <c r="JEH108" s="953"/>
      <c r="JEI108" s="953"/>
      <c r="JEJ108" s="953"/>
      <c r="JEK108" s="953"/>
      <c r="JEL108" s="953"/>
      <c r="JEM108" s="953"/>
      <c r="JEN108" s="953"/>
      <c r="JEO108" s="953"/>
      <c r="JEP108" s="953"/>
      <c r="JEQ108" s="953"/>
      <c r="JER108" s="953"/>
      <c r="JES108" s="953"/>
      <c r="JET108" s="953"/>
      <c r="JEU108" s="953"/>
      <c r="JEV108" s="953"/>
      <c r="JEW108" s="953"/>
      <c r="JEX108" s="953"/>
      <c r="JEY108" s="953"/>
      <c r="JEZ108" s="953"/>
      <c r="JFA108" s="953"/>
      <c r="JFB108" s="953"/>
      <c r="JFC108" s="953"/>
      <c r="JFD108" s="953"/>
      <c r="JFE108" s="953"/>
      <c r="JFF108" s="953"/>
      <c r="JFG108" s="953"/>
      <c r="JFH108" s="953"/>
      <c r="JFI108" s="953"/>
      <c r="JFJ108" s="953"/>
      <c r="JFK108" s="953"/>
      <c r="JFL108" s="953"/>
      <c r="JFM108" s="953"/>
      <c r="JFN108" s="953"/>
      <c r="JFO108" s="953"/>
      <c r="JFP108" s="953"/>
      <c r="JFQ108" s="953"/>
      <c r="JFR108" s="953"/>
      <c r="JFS108" s="953"/>
      <c r="JFT108" s="953"/>
      <c r="JFU108" s="953"/>
      <c r="JFV108" s="953"/>
      <c r="JFW108" s="953"/>
      <c r="JFX108" s="953"/>
      <c r="JFY108" s="953"/>
      <c r="JFZ108" s="953"/>
      <c r="JGA108" s="953"/>
      <c r="JGB108" s="953"/>
      <c r="JGC108" s="953"/>
      <c r="JGD108" s="953"/>
      <c r="JGE108" s="953"/>
      <c r="JGF108" s="953"/>
      <c r="JGG108" s="953"/>
      <c r="JGH108" s="953"/>
      <c r="JGI108" s="953"/>
      <c r="JGJ108" s="953"/>
      <c r="JGK108" s="953"/>
      <c r="JGL108" s="953"/>
      <c r="JGM108" s="953"/>
      <c r="JGN108" s="953"/>
      <c r="JGO108" s="953"/>
      <c r="JGP108" s="953"/>
      <c r="JGQ108" s="953"/>
      <c r="JGR108" s="953"/>
      <c r="JGS108" s="953"/>
      <c r="JGT108" s="953"/>
      <c r="JGU108" s="953"/>
      <c r="JGV108" s="953"/>
      <c r="JGW108" s="953"/>
      <c r="JGX108" s="953"/>
      <c r="JGY108" s="953"/>
      <c r="JGZ108" s="953"/>
      <c r="JHA108" s="953"/>
      <c r="JHB108" s="953"/>
      <c r="JHC108" s="953"/>
      <c r="JHD108" s="953"/>
      <c r="JHE108" s="953"/>
      <c r="JHF108" s="953"/>
      <c r="JHG108" s="953"/>
      <c r="JHH108" s="953"/>
      <c r="JHI108" s="953"/>
      <c r="JHJ108" s="953"/>
      <c r="JHK108" s="953"/>
      <c r="JHL108" s="953"/>
      <c r="JHM108" s="953"/>
      <c r="JHN108" s="953"/>
      <c r="JHO108" s="953"/>
      <c r="JHP108" s="953"/>
      <c r="JHQ108" s="953"/>
      <c r="JHR108" s="953"/>
      <c r="JHS108" s="953"/>
      <c r="JHT108" s="953"/>
      <c r="JHU108" s="953"/>
      <c r="JHV108" s="953"/>
      <c r="JHW108" s="953"/>
      <c r="JHX108" s="953"/>
      <c r="JHY108" s="953"/>
      <c r="JHZ108" s="953"/>
      <c r="JIA108" s="953"/>
      <c r="JIB108" s="953"/>
      <c r="JIC108" s="953"/>
      <c r="JID108" s="953"/>
      <c r="JIE108" s="953"/>
      <c r="JIF108" s="953"/>
      <c r="JIG108" s="953"/>
      <c r="JIH108" s="953"/>
      <c r="JII108" s="953"/>
      <c r="JIJ108" s="953"/>
      <c r="JIK108" s="953"/>
      <c r="JIL108" s="953"/>
      <c r="JIM108" s="953"/>
      <c r="JIN108" s="953"/>
      <c r="JIO108" s="953"/>
      <c r="JIP108" s="953"/>
      <c r="JIQ108" s="953"/>
      <c r="JIR108" s="953"/>
      <c r="JIS108" s="953"/>
      <c r="JIT108" s="953"/>
      <c r="JIU108" s="953"/>
      <c r="JIV108" s="953"/>
      <c r="JIW108" s="953"/>
      <c r="JIX108" s="953"/>
      <c r="JIY108" s="953"/>
      <c r="JIZ108" s="953"/>
      <c r="JJA108" s="953"/>
      <c r="JJB108" s="953"/>
      <c r="JJC108" s="953"/>
      <c r="JJD108" s="953"/>
      <c r="JJE108" s="953"/>
      <c r="JJF108" s="953"/>
      <c r="JJG108" s="953"/>
      <c r="JJH108" s="953"/>
      <c r="JJI108" s="953"/>
      <c r="JJJ108" s="953"/>
      <c r="JJK108" s="953"/>
      <c r="JJL108" s="953"/>
      <c r="JJM108" s="953"/>
      <c r="JJN108" s="953"/>
      <c r="JJO108" s="953"/>
      <c r="JJP108" s="953"/>
      <c r="JJQ108" s="953"/>
      <c r="JJR108" s="953"/>
      <c r="JJS108" s="953"/>
      <c r="JJT108" s="953"/>
      <c r="JJU108" s="953"/>
      <c r="JJV108" s="953"/>
      <c r="JJW108" s="953"/>
      <c r="JJX108" s="953"/>
      <c r="JJY108" s="953"/>
      <c r="JJZ108" s="953"/>
      <c r="JKA108" s="953"/>
      <c r="JKB108" s="953"/>
      <c r="JKC108" s="953"/>
      <c r="JKD108" s="953"/>
      <c r="JKE108" s="953"/>
      <c r="JKF108" s="953"/>
      <c r="JKG108" s="953"/>
      <c r="JKH108" s="953"/>
      <c r="JKI108" s="953"/>
      <c r="JKJ108" s="953"/>
      <c r="JKK108" s="953"/>
      <c r="JKL108" s="953"/>
      <c r="JKM108" s="953"/>
      <c r="JKN108" s="953"/>
      <c r="JKO108" s="953"/>
      <c r="JKP108" s="953"/>
      <c r="JKQ108" s="953"/>
      <c r="JKR108" s="953"/>
      <c r="JKS108" s="953"/>
      <c r="JKT108" s="953"/>
      <c r="JKU108" s="953"/>
      <c r="JKV108" s="953"/>
      <c r="JKW108" s="953"/>
      <c r="JKX108" s="953"/>
      <c r="JKY108" s="953"/>
      <c r="JKZ108" s="953"/>
      <c r="JLA108" s="953"/>
      <c r="JLB108" s="953"/>
      <c r="JLC108" s="953"/>
      <c r="JLD108" s="953"/>
      <c r="JLE108" s="953"/>
      <c r="JLF108" s="953"/>
      <c r="JLG108" s="953"/>
      <c r="JLH108" s="953"/>
      <c r="JLI108" s="953"/>
      <c r="JLJ108" s="953"/>
      <c r="JLK108" s="953"/>
      <c r="JLL108" s="953"/>
      <c r="JLM108" s="953"/>
      <c r="JLN108" s="953"/>
      <c r="JLO108" s="953"/>
      <c r="JLP108" s="953"/>
      <c r="JLQ108" s="953"/>
      <c r="JLR108" s="953"/>
      <c r="JLS108" s="953"/>
      <c r="JLT108" s="953"/>
      <c r="JLU108" s="953"/>
      <c r="JLV108" s="953"/>
      <c r="JLW108" s="953"/>
      <c r="JLX108" s="953"/>
      <c r="JLY108" s="953"/>
      <c r="JLZ108" s="953"/>
      <c r="JMA108" s="953"/>
      <c r="JMB108" s="953"/>
      <c r="JMC108" s="953"/>
      <c r="JMD108" s="953"/>
      <c r="JME108" s="953"/>
      <c r="JMF108" s="953"/>
      <c r="JMG108" s="953"/>
      <c r="JMH108" s="953"/>
      <c r="JMI108" s="953"/>
      <c r="JMJ108" s="953"/>
      <c r="JMK108" s="953"/>
      <c r="JML108" s="953"/>
      <c r="JMM108" s="953"/>
      <c r="JMN108" s="953"/>
      <c r="JMO108" s="953"/>
      <c r="JMP108" s="953"/>
      <c r="JMQ108" s="953"/>
      <c r="JMR108" s="953"/>
      <c r="JMS108" s="953"/>
      <c r="JMT108" s="953"/>
      <c r="JMU108" s="953"/>
      <c r="JMV108" s="953"/>
      <c r="JMW108" s="953"/>
      <c r="JMX108" s="953"/>
      <c r="JMY108" s="953"/>
      <c r="JMZ108" s="953"/>
      <c r="JNA108" s="953"/>
      <c r="JNB108" s="953"/>
      <c r="JNC108" s="953"/>
      <c r="JND108" s="953"/>
      <c r="JNE108" s="953"/>
      <c r="JNF108" s="953"/>
      <c r="JNG108" s="953"/>
      <c r="JNH108" s="953"/>
      <c r="JNI108" s="953"/>
      <c r="JNJ108" s="953"/>
      <c r="JNK108" s="953"/>
      <c r="JNL108" s="953"/>
      <c r="JNM108" s="953"/>
      <c r="JNN108" s="953"/>
      <c r="JNO108" s="953"/>
      <c r="JNP108" s="953"/>
      <c r="JNQ108" s="953"/>
      <c r="JNR108" s="953"/>
      <c r="JNS108" s="953"/>
      <c r="JNT108" s="953"/>
      <c r="JNU108" s="953"/>
      <c r="JNV108" s="953"/>
      <c r="JNW108" s="953"/>
      <c r="JNX108" s="953"/>
      <c r="JNY108" s="953"/>
      <c r="JNZ108" s="953"/>
      <c r="JOA108" s="953"/>
      <c r="JOB108" s="953"/>
      <c r="JOC108" s="953"/>
      <c r="JOD108" s="953"/>
      <c r="JOE108" s="953"/>
      <c r="JOF108" s="953"/>
      <c r="JOG108" s="953"/>
      <c r="JOH108" s="953"/>
      <c r="JOI108" s="953"/>
      <c r="JOJ108" s="953"/>
      <c r="JOK108" s="953"/>
      <c r="JOL108" s="953"/>
      <c r="JOM108" s="953"/>
      <c r="JON108" s="953"/>
      <c r="JOO108" s="953"/>
      <c r="JOP108" s="953"/>
      <c r="JOQ108" s="953"/>
      <c r="JOR108" s="953"/>
      <c r="JOS108" s="953"/>
      <c r="JOT108" s="953"/>
      <c r="JOU108" s="953"/>
      <c r="JOV108" s="953"/>
      <c r="JOW108" s="953"/>
      <c r="JOX108" s="953"/>
      <c r="JOY108" s="953"/>
      <c r="JOZ108" s="953"/>
      <c r="JPA108" s="953"/>
      <c r="JPB108" s="953"/>
      <c r="JPC108" s="953"/>
      <c r="JPD108" s="953"/>
      <c r="JPE108" s="953"/>
      <c r="JPF108" s="953"/>
      <c r="JPG108" s="953"/>
      <c r="JPH108" s="953"/>
      <c r="JPI108" s="953"/>
      <c r="JPJ108" s="953"/>
      <c r="JPK108" s="953"/>
      <c r="JPL108" s="953"/>
      <c r="JPM108" s="953"/>
      <c r="JPN108" s="953"/>
      <c r="JPO108" s="953"/>
      <c r="JPP108" s="953"/>
      <c r="JPQ108" s="953"/>
      <c r="JPR108" s="953"/>
      <c r="JPS108" s="953"/>
      <c r="JPT108" s="953"/>
      <c r="JPU108" s="953"/>
      <c r="JPV108" s="953"/>
      <c r="JPW108" s="953"/>
      <c r="JPX108" s="953"/>
      <c r="JPY108" s="953"/>
      <c r="JPZ108" s="953"/>
      <c r="JQA108" s="953"/>
      <c r="JQB108" s="953"/>
      <c r="JQC108" s="953"/>
      <c r="JQD108" s="953"/>
      <c r="JQE108" s="953"/>
      <c r="JQF108" s="953"/>
      <c r="JQG108" s="953"/>
      <c r="JQH108" s="953"/>
      <c r="JQI108" s="953"/>
      <c r="JQJ108" s="953"/>
      <c r="JQK108" s="953"/>
      <c r="JQL108" s="953"/>
      <c r="JQM108" s="953"/>
      <c r="JQN108" s="953"/>
      <c r="JQO108" s="953"/>
      <c r="JQP108" s="953"/>
      <c r="JQQ108" s="953"/>
      <c r="JQR108" s="953"/>
      <c r="JQS108" s="953"/>
      <c r="JQT108" s="953"/>
      <c r="JQU108" s="953"/>
      <c r="JQV108" s="953"/>
      <c r="JQW108" s="953"/>
      <c r="JQX108" s="953"/>
      <c r="JQY108" s="953"/>
      <c r="JQZ108" s="953"/>
      <c r="JRA108" s="953"/>
      <c r="JRB108" s="953"/>
      <c r="JRC108" s="953"/>
      <c r="JRD108" s="953"/>
      <c r="JRE108" s="953"/>
      <c r="JRF108" s="953"/>
      <c r="JRG108" s="953"/>
      <c r="JRH108" s="953"/>
      <c r="JRI108" s="953"/>
      <c r="JRJ108" s="953"/>
      <c r="JRK108" s="953"/>
      <c r="JRL108" s="953"/>
      <c r="JRM108" s="953"/>
      <c r="JRN108" s="953"/>
      <c r="JRO108" s="953"/>
      <c r="JRP108" s="953"/>
      <c r="JRQ108" s="953"/>
      <c r="JRR108" s="953"/>
      <c r="JRS108" s="953"/>
      <c r="JRT108" s="953"/>
      <c r="JRU108" s="953"/>
      <c r="JRV108" s="953"/>
      <c r="JRW108" s="953"/>
      <c r="JRX108" s="953"/>
      <c r="JRY108" s="953"/>
      <c r="JRZ108" s="953"/>
      <c r="JSA108" s="953"/>
      <c r="JSB108" s="953"/>
      <c r="JSC108" s="953"/>
      <c r="JSD108" s="953"/>
      <c r="JSE108" s="953"/>
      <c r="JSF108" s="953"/>
      <c r="JSG108" s="953"/>
      <c r="JSH108" s="953"/>
      <c r="JSI108" s="953"/>
      <c r="JSJ108" s="953"/>
      <c r="JSK108" s="953"/>
      <c r="JSL108" s="953"/>
      <c r="JSM108" s="953"/>
      <c r="JSN108" s="953"/>
      <c r="JSO108" s="953"/>
      <c r="JSP108" s="953"/>
      <c r="JSQ108" s="953"/>
      <c r="JSR108" s="953"/>
      <c r="JSS108" s="953"/>
      <c r="JST108" s="953"/>
      <c r="JSU108" s="953"/>
      <c r="JSV108" s="953"/>
      <c r="JSW108" s="953"/>
      <c r="JSX108" s="953"/>
      <c r="JSY108" s="953"/>
      <c r="JSZ108" s="953"/>
      <c r="JTA108" s="953"/>
      <c r="JTB108" s="953"/>
      <c r="JTC108" s="953"/>
      <c r="JTD108" s="953"/>
      <c r="JTE108" s="953"/>
      <c r="JTF108" s="953"/>
      <c r="JTG108" s="953"/>
      <c r="JTH108" s="953"/>
      <c r="JTI108" s="953"/>
      <c r="JTJ108" s="953"/>
      <c r="JTK108" s="953"/>
      <c r="JTL108" s="953"/>
      <c r="JTM108" s="953"/>
      <c r="JTN108" s="953"/>
      <c r="JTO108" s="953"/>
      <c r="JTP108" s="953"/>
      <c r="JTQ108" s="953"/>
      <c r="JTR108" s="953"/>
      <c r="JTS108" s="953"/>
      <c r="JTT108" s="953"/>
      <c r="JTU108" s="953"/>
      <c r="JTV108" s="953"/>
      <c r="JTW108" s="953"/>
      <c r="JTX108" s="953"/>
      <c r="JTY108" s="953"/>
      <c r="JTZ108" s="953"/>
      <c r="JUA108" s="953"/>
      <c r="JUB108" s="953"/>
      <c r="JUC108" s="953"/>
      <c r="JUD108" s="953"/>
      <c r="JUE108" s="953"/>
      <c r="JUF108" s="953"/>
      <c r="JUG108" s="953"/>
      <c r="JUH108" s="953"/>
      <c r="JUI108" s="953"/>
      <c r="JUJ108" s="953"/>
      <c r="JUK108" s="953"/>
      <c r="JUL108" s="953"/>
      <c r="JUM108" s="953"/>
      <c r="JUN108" s="953"/>
      <c r="JUO108" s="953"/>
      <c r="JUP108" s="953"/>
      <c r="JUQ108" s="953"/>
      <c r="JUR108" s="953"/>
      <c r="JUS108" s="953"/>
      <c r="JUT108" s="953"/>
      <c r="JUU108" s="953"/>
      <c r="JUV108" s="953"/>
      <c r="JUW108" s="953"/>
      <c r="JUX108" s="953"/>
      <c r="JUY108" s="953"/>
      <c r="JUZ108" s="953"/>
      <c r="JVA108" s="953"/>
      <c r="JVB108" s="953"/>
      <c r="JVC108" s="953"/>
      <c r="JVD108" s="953"/>
      <c r="JVE108" s="953"/>
      <c r="JVF108" s="953"/>
      <c r="JVG108" s="953"/>
      <c r="JVH108" s="953"/>
      <c r="JVI108" s="953"/>
      <c r="JVJ108" s="953"/>
      <c r="JVK108" s="953"/>
      <c r="JVL108" s="953"/>
      <c r="JVM108" s="953"/>
      <c r="JVN108" s="953"/>
      <c r="JVO108" s="953"/>
      <c r="JVP108" s="953"/>
      <c r="JVQ108" s="953"/>
      <c r="JVR108" s="953"/>
      <c r="JVS108" s="953"/>
      <c r="JVT108" s="953"/>
      <c r="JVU108" s="953"/>
      <c r="JVV108" s="953"/>
      <c r="JVW108" s="953"/>
      <c r="JVX108" s="953"/>
      <c r="JVY108" s="953"/>
      <c r="JVZ108" s="953"/>
      <c r="JWA108" s="953"/>
      <c r="JWB108" s="953"/>
      <c r="JWC108" s="953"/>
      <c r="JWD108" s="953"/>
      <c r="JWE108" s="953"/>
      <c r="JWF108" s="953"/>
      <c r="JWG108" s="953"/>
      <c r="JWH108" s="953"/>
      <c r="JWI108" s="953"/>
      <c r="JWJ108" s="953"/>
      <c r="JWK108" s="953"/>
      <c r="JWL108" s="953"/>
      <c r="JWM108" s="953"/>
      <c r="JWN108" s="953"/>
      <c r="JWO108" s="953"/>
      <c r="JWP108" s="953"/>
      <c r="JWQ108" s="953"/>
      <c r="JWR108" s="953"/>
      <c r="JWS108" s="953"/>
      <c r="JWT108" s="953"/>
      <c r="JWU108" s="953"/>
      <c r="JWV108" s="953"/>
      <c r="JWW108" s="953"/>
      <c r="JWX108" s="953"/>
      <c r="JWY108" s="953"/>
      <c r="JWZ108" s="953"/>
      <c r="JXA108" s="953"/>
      <c r="JXB108" s="953"/>
      <c r="JXC108" s="953"/>
      <c r="JXD108" s="953"/>
      <c r="JXE108" s="953"/>
      <c r="JXF108" s="953"/>
      <c r="JXG108" s="953"/>
      <c r="JXH108" s="953"/>
      <c r="JXI108" s="953"/>
      <c r="JXJ108" s="953"/>
      <c r="JXK108" s="953"/>
      <c r="JXL108" s="953"/>
      <c r="JXM108" s="953"/>
      <c r="JXN108" s="953"/>
      <c r="JXO108" s="953"/>
      <c r="JXP108" s="953"/>
      <c r="JXQ108" s="953"/>
      <c r="JXR108" s="953"/>
      <c r="JXS108" s="953"/>
      <c r="JXT108" s="953"/>
      <c r="JXU108" s="953"/>
      <c r="JXV108" s="953"/>
      <c r="JXW108" s="953"/>
      <c r="JXX108" s="953"/>
      <c r="JXY108" s="953"/>
      <c r="JXZ108" s="953"/>
      <c r="JYA108" s="953"/>
      <c r="JYB108" s="953"/>
      <c r="JYC108" s="953"/>
      <c r="JYD108" s="953"/>
      <c r="JYE108" s="953"/>
      <c r="JYF108" s="953"/>
      <c r="JYG108" s="953"/>
      <c r="JYH108" s="953"/>
      <c r="JYI108" s="953"/>
      <c r="JYJ108" s="953"/>
      <c r="JYK108" s="953"/>
      <c r="JYL108" s="953"/>
      <c r="JYM108" s="953"/>
      <c r="JYN108" s="953"/>
      <c r="JYO108" s="953"/>
      <c r="JYP108" s="953"/>
      <c r="JYQ108" s="953"/>
      <c r="JYR108" s="953"/>
      <c r="JYS108" s="953"/>
      <c r="JYT108" s="953"/>
      <c r="JYU108" s="953"/>
      <c r="JYV108" s="953"/>
      <c r="JYW108" s="953"/>
      <c r="JYX108" s="953"/>
      <c r="JYY108" s="953"/>
      <c r="JYZ108" s="953"/>
      <c r="JZA108" s="953"/>
      <c r="JZB108" s="953"/>
      <c r="JZC108" s="953"/>
      <c r="JZD108" s="953"/>
      <c r="JZE108" s="953"/>
      <c r="JZF108" s="953"/>
      <c r="JZG108" s="953"/>
      <c r="JZH108" s="953"/>
      <c r="JZI108" s="953"/>
      <c r="JZJ108" s="953"/>
      <c r="JZK108" s="953"/>
      <c r="JZL108" s="953"/>
      <c r="JZM108" s="953"/>
      <c r="JZN108" s="953"/>
      <c r="JZO108" s="953"/>
      <c r="JZP108" s="953"/>
      <c r="JZQ108" s="953"/>
      <c r="JZR108" s="953"/>
      <c r="JZS108" s="953"/>
      <c r="JZT108" s="953"/>
      <c r="JZU108" s="953"/>
      <c r="JZV108" s="953"/>
      <c r="JZW108" s="953"/>
      <c r="JZX108" s="953"/>
      <c r="JZY108" s="953"/>
      <c r="JZZ108" s="953"/>
      <c r="KAA108" s="953"/>
      <c r="KAB108" s="953"/>
      <c r="KAC108" s="953"/>
      <c r="KAD108" s="953"/>
      <c r="KAE108" s="953"/>
      <c r="KAF108" s="953"/>
      <c r="KAG108" s="953"/>
      <c r="KAH108" s="953"/>
      <c r="KAI108" s="953"/>
      <c r="KAJ108" s="953"/>
      <c r="KAK108" s="953"/>
      <c r="KAL108" s="953"/>
      <c r="KAM108" s="953"/>
      <c r="KAN108" s="953"/>
      <c r="KAO108" s="953"/>
      <c r="KAP108" s="953"/>
      <c r="KAQ108" s="953"/>
      <c r="KAR108" s="953"/>
      <c r="KAS108" s="953"/>
      <c r="KAT108" s="953"/>
      <c r="KAU108" s="953"/>
      <c r="KAV108" s="953"/>
      <c r="KAW108" s="953"/>
      <c r="KAX108" s="953"/>
      <c r="KAY108" s="953"/>
      <c r="KAZ108" s="953"/>
      <c r="KBA108" s="953"/>
      <c r="KBB108" s="953"/>
      <c r="KBC108" s="953"/>
      <c r="KBD108" s="953"/>
      <c r="KBE108" s="953"/>
      <c r="KBF108" s="953"/>
      <c r="KBG108" s="953"/>
      <c r="KBH108" s="953"/>
      <c r="KBI108" s="953"/>
      <c r="KBJ108" s="953"/>
      <c r="KBK108" s="953"/>
      <c r="KBL108" s="953"/>
      <c r="KBM108" s="953"/>
      <c r="KBN108" s="953"/>
      <c r="KBO108" s="953"/>
      <c r="KBP108" s="953"/>
      <c r="KBQ108" s="953"/>
      <c r="KBR108" s="953"/>
      <c r="KBS108" s="953"/>
      <c r="KBT108" s="953"/>
      <c r="KBU108" s="953"/>
      <c r="KBV108" s="953"/>
      <c r="KBW108" s="953"/>
      <c r="KBX108" s="953"/>
      <c r="KBY108" s="953"/>
      <c r="KBZ108" s="953"/>
      <c r="KCA108" s="953"/>
      <c r="KCB108" s="953"/>
      <c r="KCC108" s="953"/>
      <c r="KCD108" s="953"/>
      <c r="KCE108" s="953"/>
      <c r="KCF108" s="953"/>
      <c r="KCG108" s="953"/>
      <c r="KCH108" s="953"/>
      <c r="KCI108" s="953"/>
      <c r="KCJ108" s="953"/>
      <c r="KCK108" s="953"/>
      <c r="KCL108" s="953"/>
      <c r="KCM108" s="953"/>
      <c r="KCN108" s="953"/>
      <c r="KCO108" s="953"/>
      <c r="KCP108" s="953"/>
      <c r="KCQ108" s="953"/>
      <c r="KCR108" s="953"/>
      <c r="KCS108" s="953"/>
      <c r="KCT108" s="953"/>
      <c r="KCU108" s="953"/>
      <c r="KCV108" s="953"/>
      <c r="KCW108" s="953"/>
      <c r="KCX108" s="953"/>
      <c r="KCY108" s="953"/>
      <c r="KCZ108" s="953"/>
      <c r="KDA108" s="953"/>
      <c r="KDB108" s="953"/>
      <c r="KDC108" s="953"/>
      <c r="KDD108" s="953"/>
      <c r="KDE108" s="953"/>
      <c r="KDF108" s="953"/>
      <c r="KDG108" s="953"/>
      <c r="KDH108" s="953"/>
      <c r="KDI108" s="953"/>
      <c r="KDJ108" s="953"/>
      <c r="KDK108" s="953"/>
      <c r="KDL108" s="953"/>
      <c r="KDM108" s="953"/>
      <c r="KDN108" s="953"/>
      <c r="KDO108" s="953"/>
      <c r="KDP108" s="953"/>
      <c r="KDQ108" s="953"/>
      <c r="KDR108" s="953"/>
      <c r="KDS108" s="953"/>
      <c r="KDT108" s="953"/>
      <c r="KDU108" s="953"/>
      <c r="KDV108" s="953"/>
      <c r="KDW108" s="953"/>
      <c r="KDX108" s="953"/>
      <c r="KDY108" s="953"/>
      <c r="KDZ108" s="953"/>
      <c r="KEA108" s="953"/>
      <c r="KEB108" s="953"/>
      <c r="KEC108" s="953"/>
      <c r="KED108" s="953"/>
      <c r="KEE108" s="953"/>
      <c r="KEF108" s="953"/>
      <c r="KEG108" s="953"/>
      <c r="KEH108" s="953"/>
      <c r="KEI108" s="953"/>
      <c r="KEJ108" s="953"/>
      <c r="KEK108" s="953"/>
      <c r="KEL108" s="953"/>
      <c r="KEM108" s="953"/>
      <c r="KEN108" s="953"/>
      <c r="KEO108" s="953"/>
      <c r="KEP108" s="953"/>
      <c r="KEQ108" s="953"/>
      <c r="KER108" s="953"/>
      <c r="KES108" s="953"/>
      <c r="KET108" s="953"/>
      <c r="KEU108" s="953"/>
      <c r="KEV108" s="953"/>
      <c r="KEW108" s="953"/>
      <c r="KEX108" s="953"/>
      <c r="KEY108" s="953"/>
      <c r="KEZ108" s="953"/>
      <c r="KFA108" s="953"/>
      <c r="KFB108" s="953"/>
      <c r="KFC108" s="953"/>
      <c r="KFD108" s="953"/>
      <c r="KFE108" s="953"/>
      <c r="KFF108" s="953"/>
      <c r="KFG108" s="953"/>
      <c r="KFH108" s="953"/>
      <c r="KFI108" s="953"/>
      <c r="KFJ108" s="953"/>
      <c r="KFK108" s="953"/>
      <c r="KFL108" s="953"/>
      <c r="KFM108" s="953"/>
      <c r="KFN108" s="953"/>
      <c r="KFO108" s="953"/>
      <c r="KFP108" s="953"/>
      <c r="KFQ108" s="953"/>
      <c r="KFR108" s="953"/>
      <c r="KFS108" s="953"/>
      <c r="KFT108" s="953"/>
      <c r="KFU108" s="953"/>
      <c r="KFV108" s="953"/>
      <c r="KFW108" s="953"/>
      <c r="KFX108" s="953"/>
      <c r="KFY108" s="953"/>
      <c r="KFZ108" s="953"/>
      <c r="KGA108" s="953"/>
      <c r="KGB108" s="953"/>
      <c r="KGC108" s="953"/>
      <c r="KGD108" s="953"/>
      <c r="KGE108" s="953"/>
      <c r="KGF108" s="953"/>
      <c r="KGG108" s="953"/>
      <c r="KGH108" s="953"/>
      <c r="KGI108" s="953"/>
      <c r="KGJ108" s="953"/>
      <c r="KGK108" s="953"/>
      <c r="KGL108" s="953"/>
      <c r="KGM108" s="953"/>
      <c r="KGN108" s="953"/>
      <c r="KGO108" s="953"/>
      <c r="KGP108" s="953"/>
      <c r="KGQ108" s="953"/>
      <c r="KGR108" s="953"/>
      <c r="KGS108" s="953"/>
      <c r="KGT108" s="953"/>
      <c r="KGU108" s="953"/>
      <c r="KGV108" s="953"/>
      <c r="KGW108" s="953"/>
      <c r="KGX108" s="953"/>
      <c r="KGY108" s="953"/>
      <c r="KGZ108" s="953"/>
      <c r="KHA108" s="953"/>
      <c r="KHB108" s="953"/>
      <c r="KHC108" s="953"/>
      <c r="KHD108" s="953"/>
      <c r="KHE108" s="953"/>
      <c r="KHF108" s="953"/>
      <c r="KHG108" s="953"/>
      <c r="KHH108" s="953"/>
      <c r="KHI108" s="953"/>
      <c r="KHJ108" s="953"/>
      <c r="KHK108" s="953"/>
      <c r="KHL108" s="953"/>
      <c r="KHM108" s="953"/>
      <c r="KHN108" s="953"/>
      <c r="KHO108" s="953"/>
      <c r="KHP108" s="953"/>
      <c r="KHQ108" s="953"/>
      <c r="KHR108" s="953"/>
      <c r="KHS108" s="953"/>
      <c r="KHT108" s="953"/>
      <c r="KHU108" s="953"/>
      <c r="KHV108" s="953"/>
      <c r="KHW108" s="953"/>
      <c r="KHX108" s="953"/>
      <c r="KHY108" s="953"/>
      <c r="KHZ108" s="953"/>
      <c r="KIA108" s="953"/>
      <c r="KIB108" s="953"/>
      <c r="KIC108" s="953"/>
      <c r="KID108" s="953"/>
      <c r="KIE108" s="953"/>
      <c r="KIF108" s="953"/>
      <c r="KIG108" s="953"/>
      <c r="KIH108" s="953"/>
      <c r="KII108" s="953"/>
      <c r="KIJ108" s="953"/>
      <c r="KIK108" s="953"/>
      <c r="KIL108" s="953"/>
      <c r="KIM108" s="953"/>
      <c r="KIN108" s="953"/>
      <c r="KIO108" s="953"/>
      <c r="KIP108" s="953"/>
      <c r="KIQ108" s="953"/>
      <c r="KIR108" s="953"/>
      <c r="KIS108" s="953"/>
      <c r="KIT108" s="953"/>
      <c r="KIU108" s="953"/>
      <c r="KIV108" s="953"/>
      <c r="KIW108" s="953"/>
      <c r="KIX108" s="953"/>
      <c r="KIY108" s="953"/>
      <c r="KIZ108" s="953"/>
      <c r="KJA108" s="953"/>
      <c r="KJB108" s="953"/>
      <c r="KJC108" s="953"/>
      <c r="KJD108" s="953"/>
      <c r="KJE108" s="953"/>
      <c r="KJF108" s="953"/>
      <c r="KJG108" s="953"/>
      <c r="KJH108" s="953"/>
      <c r="KJI108" s="953"/>
      <c r="KJJ108" s="953"/>
      <c r="KJK108" s="953"/>
      <c r="KJL108" s="953"/>
      <c r="KJM108" s="953"/>
      <c r="KJN108" s="953"/>
      <c r="KJO108" s="953"/>
      <c r="KJP108" s="953"/>
      <c r="KJQ108" s="953"/>
      <c r="KJR108" s="953"/>
      <c r="KJS108" s="953"/>
      <c r="KJT108" s="953"/>
      <c r="KJU108" s="953"/>
      <c r="KJV108" s="953"/>
      <c r="KJW108" s="953"/>
      <c r="KJX108" s="953"/>
      <c r="KJY108" s="953"/>
      <c r="KJZ108" s="953"/>
      <c r="KKA108" s="953"/>
      <c r="KKB108" s="953"/>
      <c r="KKC108" s="953"/>
      <c r="KKD108" s="953"/>
      <c r="KKE108" s="953"/>
      <c r="KKF108" s="953"/>
      <c r="KKG108" s="953"/>
      <c r="KKH108" s="953"/>
      <c r="KKI108" s="953"/>
      <c r="KKJ108" s="953"/>
      <c r="KKK108" s="953"/>
      <c r="KKL108" s="953"/>
      <c r="KKM108" s="953"/>
      <c r="KKN108" s="953"/>
      <c r="KKO108" s="953"/>
      <c r="KKP108" s="953"/>
      <c r="KKQ108" s="953"/>
      <c r="KKR108" s="953"/>
      <c r="KKS108" s="953"/>
      <c r="KKT108" s="953"/>
      <c r="KKU108" s="953"/>
      <c r="KKV108" s="953"/>
      <c r="KKW108" s="953"/>
      <c r="KKX108" s="953"/>
      <c r="KKY108" s="953"/>
      <c r="KKZ108" s="953"/>
      <c r="KLA108" s="953"/>
      <c r="KLB108" s="953"/>
      <c r="KLC108" s="953"/>
      <c r="KLD108" s="953"/>
      <c r="KLE108" s="953"/>
      <c r="KLF108" s="953"/>
      <c r="KLG108" s="953"/>
      <c r="KLH108" s="953"/>
      <c r="KLI108" s="953"/>
      <c r="KLJ108" s="953"/>
      <c r="KLK108" s="953"/>
      <c r="KLL108" s="953"/>
      <c r="KLM108" s="953"/>
      <c r="KLN108" s="953"/>
      <c r="KLO108" s="953"/>
      <c r="KLP108" s="953"/>
      <c r="KLQ108" s="953"/>
      <c r="KLR108" s="953"/>
      <c r="KLS108" s="953"/>
      <c r="KLT108" s="953"/>
      <c r="KLU108" s="953"/>
      <c r="KLV108" s="953"/>
      <c r="KLW108" s="953"/>
      <c r="KLX108" s="953"/>
      <c r="KLY108" s="953"/>
      <c r="KLZ108" s="953"/>
      <c r="KMA108" s="953"/>
      <c r="KMB108" s="953"/>
      <c r="KMC108" s="953"/>
      <c r="KMD108" s="953"/>
      <c r="KME108" s="953"/>
      <c r="KMF108" s="953"/>
      <c r="KMG108" s="953"/>
      <c r="KMH108" s="953"/>
      <c r="KMI108" s="953"/>
      <c r="KMJ108" s="953"/>
      <c r="KMK108" s="953"/>
      <c r="KML108" s="953"/>
      <c r="KMM108" s="953"/>
      <c r="KMN108" s="953"/>
      <c r="KMO108" s="953"/>
      <c r="KMP108" s="953"/>
      <c r="KMQ108" s="953"/>
      <c r="KMR108" s="953"/>
      <c r="KMS108" s="953"/>
      <c r="KMT108" s="953"/>
      <c r="KMU108" s="953"/>
      <c r="KMV108" s="953"/>
      <c r="KMW108" s="953"/>
      <c r="KMX108" s="953"/>
      <c r="KMY108" s="953"/>
      <c r="KMZ108" s="953"/>
      <c r="KNA108" s="953"/>
      <c r="KNB108" s="953"/>
      <c r="KNC108" s="953"/>
      <c r="KND108" s="953"/>
      <c r="KNE108" s="953"/>
      <c r="KNF108" s="953"/>
      <c r="KNG108" s="953"/>
      <c r="KNH108" s="953"/>
      <c r="KNI108" s="953"/>
      <c r="KNJ108" s="953"/>
      <c r="KNK108" s="953"/>
      <c r="KNL108" s="953"/>
      <c r="KNM108" s="953"/>
      <c r="KNN108" s="953"/>
      <c r="KNO108" s="953"/>
      <c r="KNP108" s="953"/>
      <c r="KNQ108" s="953"/>
      <c r="KNR108" s="953"/>
      <c r="KNS108" s="953"/>
      <c r="KNT108" s="953"/>
      <c r="KNU108" s="953"/>
      <c r="KNV108" s="953"/>
      <c r="KNW108" s="953"/>
      <c r="KNX108" s="953"/>
      <c r="KNY108" s="953"/>
      <c r="KNZ108" s="953"/>
      <c r="KOA108" s="953"/>
      <c r="KOB108" s="953"/>
      <c r="KOC108" s="953"/>
      <c r="KOD108" s="953"/>
      <c r="KOE108" s="953"/>
      <c r="KOF108" s="953"/>
      <c r="KOG108" s="953"/>
      <c r="KOH108" s="953"/>
      <c r="KOI108" s="953"/>
      <c r="KOJ108" s="953"/>
      <c r="KOK108" s="953"/>
      <c r="KOL108" s="953"/>
      <c r="KOM108" s="953"/>
      <c r="KON108" s="953"/>
      <c r="KOO108" s="953"/>
      <c r="KOP108" s="953"/>
      <c r="KOQ108" s="953"/>
      <c r="KOR108" s="953"/>
      <c r="KOS108" s="953"/>
      <c r="KOT108" s="953"/>
      <c r="KOU108" s="953"/>
      <c r="KOV108" s="953"/>
      <c r="KOW108" s="953"/>
      <c r="KOX108" s="953"/>
      <c r="KOY108" s="953"/>
      <c r="KOZ108" s="953"/>
      <c r="KPA108" s="953"/>
      <c r="KPB108" s="953"/>
      <c r="KPC108" s="953"/>
      <c r="KPD108" s="953"/>
      <c r="KPE108" s="953"/>
      <c r="KPF108" s="953"/>
      <c r="KPG108" s="953"/>
      <c r="KPH108" s="953"/>
      <c r="KPI108" s="953"/>
      <c r="KPJ108" s="953"/>
      <c r="KPK108" s="953"/>
      <c r="KPL108" s="953"/>
      <c r="KPM108" s="953"/>
      <c r="KPN108" s="953"/>
      <c r="KPO108" s="953"/>
      <c r="KPP108" s="953"/>
      <c r="KPQ108" s="953"/>
      <c r="KPR108" s="953"/>
      <c r="KPS108" s="953"/>
      <c r="KPT108" s="953"/>
      <c r="KPU108" s="953"/>
      <c r="KPV108" s="953"/>
      <c r="KPW108" s="953"/>
      <c r="KPX108" s="953"/>
      <c r="KPY108" s="953"/>
      <c r="KPZ108" s="953"/>
      <c r="KQA108" s="953"/>
      <c r="KQB108" s="953"/>
      <c r="KQC108" s="953"/>
      <c r="KQD108" s="953"/>
      <c r="KQE108" s="953"/>
      <c r="KQF108" s="953"/>
      <c r="KQG108" s="953"/>
      <c r="KQH108" s="953"/>
      <c r="KQI108" s="953"/>
      <c r="KQJ108" s="953"/>
      <c r="KQK108" s="953"/>
      <c r="KQL108" s="953"/>
      <c r="KQM108" s="953"/>
      <c r="KQN108" s="953"/>
      <c r="KQO108" s="953"/>
      <c r="KQP108" s="953"/>
      <c r="KQQ108" s="953"/>
      <c r="KQR108" s="953"/>
      <c r="KQS108" s="953"/>
      <c r="KQT108" s="953"/>
      <c r="KQU108" s="953"/>
      <c r="KQV108" s="953"/>
      <c r="KQW108" s="953"/>
      <c r="KQX108" s="953"/>
      <c r="KQY108" s="953"/>
      <c r="KQZ108" s="953"/>
      <c r="KRA108" s="953"/>
      <c r="KRB108" s="953"/>
      <c r="KRC108" s="953"/>
      <c r="KRD108" s="953"/>
      <c r="KRE108" s="953"/>
      <c r="KRF108" s="953"/>
      <c r="KRG108" s="953"/>
      <c r="KRH108" s="953"/>
      <c r="KRI108" s="953"/>
      <c r="KRJ108" s="953"/>
      <c r="KRK108" s="953"/>
      <c r="KRL108" s="953"/>
      <c r="KRM108" s="953"/>
      <c r="KRN108" s="953"/>
      <c r="KRO108" s="953"/>
      <c r="KRP108" s="953"/>
      <c r="KRQ108" s="953"/>
      <c r="KRR108" s="953"/>
      <c r="KRS108" s="953"/>
      <c r="KRT108" s="953"/>
      <c r="KRU108" s="953"/>
      <c r="KRV108" s="953"/>
      <c r="KRW108" s="953"/>
      <c r="KRX108" s="953"/>
      <c r="KRY108" s="953"/>
      <c r="KRZ108" s="953"/>
      <c r="KSA108" s="953"/>
      <c r="KSB108" s="953"/>
      <c r="KSC108" s="953"/>
      <c r="KSD108" s="953"/>
      <c r="KSE108" s="953"/>
      <c r="KSF108" s="953"/>
      <c r="KSG108" s="953"/>
      <c r="KSH108" s="953"/>
      <c r="KSI108" s="953"/>
      <c r="KSJ108" s="953"/>
      <c r="KSK108" s="953"/>
      <c r="KSL108" s="953"/>
      <c r="KSM108" s="953"/>
      <c r="KSN108" s="953"/>
      <c r="KSO108" s="953"/>
      <c r="KSP108" s="953"/>
      <c r="KSQ108" s="953"/>
      <c r="KSR108" s="953"/>
      <c r="KSS108" s="953"/>
      <c r="KST108" s="953"/>
      <c r="KSU108" s="953"/>
      <c r="KSV108" s="953"/>
      <c r="KSW108" s="953"/>
      <c r="KSX108" s="953"/>
      <c r="KSY108" s="953"/>
      <c r="KSZ108" s="953"/>
      <c r="KTA108" s="953"/>
      <c r="KTB108" s="953"/>
      <c r="KTC108" s="953"/>
      <c r="KTD108" s="953"/>
      <c r="KTE108" s="953"/>
      <c r="KTF108" s="953"/>
      <c r="KTG108" s="953"/>
      <c r="KTH108" s="953"/>
      <c r="KTI108" s="953"/>
      <c r="KTJ108" s="953"/>
      <c r="KTK108" s="953"/>
      <c r="KTL108" s="953"/>
      <c r="KTM108" s="953"/>
      <c r="KTN108" s="953"/>
      <c r="KTO108" s="953"/>
      <c r="KTP108" s="953"/>
      <c r="KTQ108" s="953"/>
      <c r="KTR108" s="953"/>
      <c r="KTS108" s="953"/>
      <c r="KTT108" s="953"/>
      <c r="KTU108" s="953"/>
      <c r="KTV108" s="953"/>
      <c r="KTW108" s="953"/>
      <c r="KTX108" s="953"/>
      <c r="KTY108" s="953"/>
      <c r="KTZ108" s="953"/>
      <c r="KUA108" s="953"/>
      <c r="KUB108" s="953"/>
      <c r="KUC108" s="953"/>
      <c r="KUD108" s="953"/>
      <c r="KUE108" s="953"/>
      <c r="KUF108" s="953"/>
      <c r="KUG108" s="953"/>
      <c r="KUH108" s="953"/>
      <c r="KUI108" s="953"/>
      <c r="KUJ108" s="953"/>
      <c r="KUK108" s="953"/>
      <c r="KUL108" s="953"/>
      <c r="KUM108" s="953"/>
      <c r="KUN108" s="953"/>
      <c r="KUO108" s="953"/>
      <c r="KUP108" s="953"/>
      <c r="KUQ108" s="953"/>
      <c r="KUR108" s="953"/>
      <c r="KUS108" s="953"/>
      <c r="KUT108" s="953"/>
      <c r="KUU108" s="953"/>
      <c r="KUV108" s="953"/>
      <c r="KUW108" s="953"/>
      <c r="KUX108" s="953"/>
      <c r="KUY108" s="953"/>
      <c r="KUZ108" s="953"/>
      <c r="KVA108" s="953"/>
      <c r="KVB108" s="953"/>
      <c r="KVC108" s="953"/>
      <c r="KVD108" s="953"/>
      <c r="KVE108" s="953"/>
      <c r="KVF108" s="953"/>
      <c r="KVG108" s="953"/>
      <c r="KVH108" s="953"/>
      <c r="KVI108" s="953"/>
      <c r="KVJ108" s="953"/>
      <c r="KVK108" s="953"/>
      <c r="KVL108" s="953"/>
      <c r="KVM108" s="953"/>
      <c r="KVN108" s="953"/>
      <c r="KVO108" s="953"/>
      <c r="KVP108" s="953"/>
      <c r="KVQ108" s="953"/>
      <c r="KVR108" s="953"/>
      <c r="KVS108" s="953"/>
      <c r="KVT108" s="953"/>
      <c r="KVU108" s="953"/>
      <c r="KVV108" s="953"/>
      <c r="KVW108" s="953"/>
      <c r="KVX108" s="953"/>
      <c r="KVY108" s="953"/>
      <c r="KVZ108" s="953"/>
      <c r="KWA108" s="953"/>
      <c r="KWB108" s="953"/>
      <c r="KWC108" s="953"/>
      <c r="KWD108" s="953"/>
      <c r="KWE108" s="953"/>
      <c r="KWF108" s="953"/>
      <c r="KWG108" s="953"/>
      <c r="KWH108" s="953"/>
      <c r="KWI108" s="953"/>
      <c r="KWJ108" s="953"/>
      <c r="KWK108" s="953"/>
      <c r="KWL108" s="953"/>
      <c r="KWM108" s="953"/>
      <c r="KWN108" s="953"/>
      <c r="KWO108" s="953"/>
      <c r="KWP108" s="953"/>
      <c r="KWQ108" s="953"/>
      <c r="KWR108" s="953"/>
      <c r="KWS108" s="953"/>
      <c r="KWT108" s="953"/>
      <c r="KWU108" s="953"/>
      <c r="KWV108" s="953"/>
      <c r="KWW108" s="953"/>
      <c r="KWX108" s="953"/>
      <c r="KWY108" s="953"/>
      <c r="KWZ108" s="953"/>
      <c r="KXA108" s="953"/>
      <c r="KXB108" s="953"/>
      <c r="KXC108" s="953"/>
      <c r="KXD108" s="953"/>
      <c r="KXE108" s="953"/>
      <c r="KXF108" s="953"/>
      <c r="KXG108" s="953"/>
      <c r="KXH108" s="953"/>
      <c r="KXI108" s="953"/>
      <c r="KXJ108" s="953"/>
      <c r="KXK108" s="953"/>
      <c r="KXL108" s="953"/>
      <c r="KXM108" s="953"/>
      <c r="KXN108" s="953"/>
      <c r="KXO108" s="953"/>
      <c r="KXP108" s="953"/>
      <c r="KXQ108" s="953"/>
      <c r="KXR108" s="953"/>
      <c r="KXS108" s="953"/>
      <c r="KXT108" s="953"/>
      <c r="KXU108" s="953"/>
      <c r="KXV108" s="953"/>
      <c r="KXW108" s="953"/>
      <c r="KXX108" s="953"/>
      <c r="KXY108" s="953"/>
      <c r="KXZ108" s="953"/>
      <c r="KYA108" s="953"/>
      <c r="KYB108" s="953"/>
      <c r="KYC108" s="953"/>
      <c r="KYD108" s="953"/>
      <c r="KYE108" s="953"/>
      <c r="KYF108" s="953"/>
      <c r="KYG108" s="953"/>
      <c r="KYH108" s="953"/>
      <c r="KYI108" s="953"/>
      <c r="KYJ108" s="953"/>
      <c r="KYK108" s="953"/>
      <c r="KYL108" s="953"/>
      <c r="KYM108" s="953"/>
      <c r="KYN108" s="953"/>
      <c r="KYO108" s="953"/>
      <c r="KYP108" s="953"/>
      <c r="KYQ108" s="953"/>
      <c r="KYR108" s="953"/>
      <c r="KYS108" s="953"/>
      <c r="KYT108" s="953"/>
      <c r="KYU108" s="953"/>
      <c r="KYV108" s="953"/>
      <c r="KYW108" s="953"/>
      <c r="KYX108" s="953"/>
      <c r="KYY108" s="953"/>
      <c r="KYZ108" s="953"/>
      <c r="KZA108" s="953"/>
      <c r="KZB108" s="953"/>
      <c r="KZC108" s="953"/>
      <c r="KZD108" s="953"/>
      <c r="KZE108" s="953"/>
      <c r="KZF108" s="953"/>
      <c r="KZG108" s="953"/>
      <c r="KZH108" s="953"/>
      <c r="KZI108" s="953"/>
      <c r="KZJ108" s="953"/>
      <c r="KZK108" s="953"/>
      <c r="KZL108" s="953"/>
      <c r="KZM108" s="953"/>
      <c r="KZN108" s="953"/>
      <c r="KZO108" s="953"/>
      <c r="KZP108" s="953"/>
      <c r="KZQ108" s="953"/>
      <c r="KZR108" s="953"/>
      <c r="KZS108" s="953"/>
      <c r="KZT108" s="953"/>
      <c r="KZU108" s="953"/>
      <c r="KZV108" s="953"/>
      <c r="KZW108" s="953"/>
      <c r="KZX108" s="953"/>
      <c r="KZY108" s="953"/>
      <c r="KZZ108" s="953"/>
      <c r="LAA108" s="953"/>
      <c r="LAB108" s="953"/>
      <c r="LAC108" s="953"/>
      <c r="LAD108" s="953"/>
      <c r="LAE108" s="953"/>
      <c r="LAF108" s="953"/>
      <c r="LAG108" s="953"/>
      <c r="LAH108" s="953"/>
      <c r="LAI108" s="953"/>
      <c r="LAJ108" s="953"/>
      <c r="LAK108" s="953"/>
      <c r="LAL108" s="953"/>
      <c r="LAM108" s="953"/>
      <c r="LAN108" s="953"/>
      <c r="LAO108" s="953"/>
      <c r="LAP108" s="953"/>
      <c r="LAQ108" s="953"/>
      <c r="LAR108" s="953"/>
      <c r="LAS108" s="953"/>
      <c r="LAT108" s="953"/>
      <c r="LAU108" s="953"/>
      <c r="LAV108" s="953"/>
      <c r="LAW108" s="953"/>
      <c r="LAX108" s="953"/>
      <c r="LAY108" s="953"/>
      <c r="LAZ108" s="953"/>
      <c r="LBA108" s="953"/>
      <c r="LBB108" s="953"/>
      <c r="LBC108" s="953"/>
      <c r="LBD108" s="953"/>
      <c r="LBE108" s="953"/>
      <c r="LBF108" s="953"/>
      <c r="LBG108" s="953"/>
      <c r="LBH108" s="953"/>
      <c r="LBI108" s="953"/>
      <c r="LBJ108" s="953"/>
      <c r="LBK108" s="953"/>
      <c r="LBL108" s="953"/>
      <c r="LBM108" s="953"/>
      <c r="LBN108" s="953"/>
      <c r="LBO108" s="953"/>
      <c r="LBP108" s="953"/>
      <c r="LBQ108" s="953"/>
      <c r="LBR108" s="953"/>
      <c r="LBS108" s="953"/>
      <c r="LBT108" s="953"/>
      <c r="LBU108" s="953"/>
      <c r="LBV108" s="953"/>
      <c r="LBW108" s="953"/>
      <c r="LBX108" s="953"/>
      <c r="LBY108" s="953"/>
      <c r="LBZ108" s="953"/>
      <c r="LCA108" s="953"/>
      <c r="LCB108" s="953"/>
      <c r="LCC108" s="953"/>
      <c r="LCD108" s="953"/>
      <c r="LCE108" s="953"/>
      <c r="LCF108" s="953"/>
      <c r="LCG108" s="953"/>
      <c r="LCH108" s="953"/>
      <c r="LCI108" s="953"/>
      <c r="LCJ108" s="953"/>
      <c r="LCK108" s="953"/>
      <c r="LCL108" s="953"/>
      <c r="LCM108" s="953"/>
      <c r="LCN108" s="953"/>
      <c r="LCO108" s="953"/>
      <c r="LCP108" s="953"/>
      <c r="LCQ108" s="953"/>
      <c r="LCR108" s="953"/>
      <c r="LCS108" s="953"/>
      <c r="LCT108" s="953"/>
      <c r="LCU108" s="953"/>
      <c r="LCV108" s="953"/>
      <c r="LCW108" s="953"/>
      <c r="LCX108" s="953"/>
      <c r="LCY108" s="953"/>
      <c r="LCZ108" s="953"/>
      <c r="LDA108" s="953"/>
      <c r="LDB108" s="953"/>
      <c r="LDC108" s="953"/>
      <c r="LDD108" s="953"/>
      <c r="LDE108" s="953"/>
      <c r="LDF108" s="953"/>
      <c r="LDG108" s="953"/>
      <c r="LDH108" s="953"/>
      <c r="LDI108" s="953"/>
      <c r="LDJ108" s="953"/>
      <c r="LDK108" s="953"/>
      <c r="LDL108" s="953"/>
      <c r="LDM108" s="953"/>
      <c r="LDN108" s="953"/>
      <c r="LDO108" s="953"/>
      <c r="LDP108" s="953"/>
      <c r="LDQ108" s="953"/>
      <c r="LDR108" s="953"/>
      <c r="LDS108" s="953"/>
      <c r="LDT108" s="953"/>
      <c r="LDU108" s="953"/>
      <c r="LDV108" s="953"/>
      <c r="LDW108" s="953"/>
      <c r="LDX108" s="953"/>
      <c r="LDY108" s="953"/>
      <c r="LDZ108" s="953"/>
      <c r="LEA108" s="953"/>
      <c r="LEB108" s="953"/>
      <c r="LEC108" s="953"/>
      <c r="LED108" s="953"/>
      <c r="LEE108" s="953"/>
      <c r="LEF108" s="953"/>
      <c r="LEG108" s="953"/>
      <c r="LEH108" s="953"/>
      <c r="LEI108" s="953"/>
      <c r="LEJ108" s="953"/>
      <c r="LEK108" s="953"/>
      <c r="LEL108" s="953"/>
      <c r="LEM108" s="953"/>
      <c r="LEN108" s="953"/>
      <c r="LEO108" s="953"/>
      <c r="LEP108" s="953"/>
      <c r="LEQ108" s="953"/>
      <c r="LER108" s="953"/>
      <c r="LES108" s="953"/>
      <c r="LET108" s="953"/>
      <c r="LEU108" s="953"/>
      <c r="LEV108" s="953"/>
      <c r="LEW108" s="953"/>
      <c r="LEX108" s="953"/>
      <c r="LEY108" s="953"/>
      <c r="LEZ108" s="953"/>
      <c r="LFA108" s="953"/>
      <c r="LFB108" s="953"/>
      <c r="LFC108" s="953"/>
      <c r="LFD108" s="953"/>
      <c r="LFE108" s="953"/>
      <c r="LFF108" s="953"/>
      <c r="LFG108" s="953"/>
      <c r="LFH108" s="953"/>
      <c r="LFI108" s="953"/>
      <c r="LFJ108" s="953"/>
      <c r="LFK108" s="953"/>
      <c r="LFL108" s="953"/>
      <c r="LFM108" s="953"/>
      <c r="LFN108" s="953"/>
      <c r="LFO108" s="953"/>
      <c r="LFP108" s="953"/>
      <c r="LFQ108" s="953"/>
      <c r="LFR108" s="953"/>
      <c r="LFS108" s="953"/>
      <c r="LFT108" s="953"/>
      <c r="LFU108" s="953"/>
      <c r="LFV108" s="953"/>
      <c r="LFW108" s="953"/>
      <c r="LFX108" s="953"/>
      <c r="LFY108" s="953"/>
      <c r="LFZ108" s="953"/>
      <c r="LGA108" s="953"/>
      <c r="LGB108" s="953"/>
      <c r="LGC108" s="953"/>
      <c r="LGD108" s="953"/>
      <c r="LGE108" s="953"/>
      <c r="LGF108" s="953"/>
      <c r="LGG108" s="953"/>
      <c r="LGH108" s="953"/>
      <c r="LGI108" s="953"/>
      <c r="LGJ108" s="953"/>
      <c r="LGK108" s="953"/>
      <c r="LGL108" s="953"/>
      <c r="LGM108" s="953"/>
      <c r="LGN108" s="953"/>
      <c r="LGO108" s="953"/>
      <c r="LGP108" s="953"/>
      <c r="LGQ108" s="953"/>
      <c r="LGR108" s="953"/>
      <c r="LGS108" s="953"/>
      <c r="LGT108" s="953"/>
      <c r="LGU108" s="953"/>
      <c r="LGV108" s="953"/>
      <c r="LGW108" s="953"/>
      <c r="LGX108" s="953"/>
      <c r="LGY108" s="953"/>
      <c r="LGZ108" s="953"/>
      <c r="LHA108" s="953"/>
      <c r="LHB108" s="953"/>
      <c r="LHC108" s="953"/>
      <c r="LHD108" s="953"/>
      <c r="LHE108" s="953"/>
      <c r="LHF108" s="953"/>
      <c r="LHG108" s="953"/>
      <c r="LHH108" s="953"/>
      <c r="LHI108" s="953"/>
      <c r="LHJ108" s="953"/>
      <c r="LHK108" s="953"/>
      <c r="LHL108" s="953"/>
      <c r="LHM108" s="953"/>
      <c r="LHN108" s="953"/>
      <c r="LHO108" s="953"/>
      <c r="LHP108" s="953"/>
      <c r="LHQ108" s="953"/>
      <c r="LHR108" s="953"/>
      <c r="LHS108" s="953"/>
      <c r="LHT108" s="953"/>
      <c r="LHU108" s="953"/>
      <c r="LHV108" s="953"/>
      <c r="LHW108" s="953"/>
      <c r="LHX108" s="953"/>
      <c r="LHY108" s="953"/>
      <c r="LHZ108" s="953"/>
      <c r="LIA108" s="953"/>
      <c r="LIB108" s="953"/>
      <c r="LIC108" s="953"/>
      <c r="LID108" s="953"/>
      <c r="LIE108" s="953"/>
      <c r="LIF108" s="953"/>
      <c r="LIG108" s="953"/>
      <c r="LIH108" s="953"/>
      <c r="LII108" s="953"/>
      <c r="LIJ108" s="953"/>
      <c r="LIK108" s="953"/>
      <c r="LIL108" s="953"/>
      <c r="LIM108" s="953"/>
      <c r="LIN108" s="953"/>
      <c r="LIO108" s="953"/>
      <c r="LIP108" s="953"/>
      <c r="LIQ108" s="953"/>
      <c r="LIR108" s="953"/>
      <c r="LIS108" s="953"/>
      <c r="LIT108" s="953"/>
      <c r="LIU108" s="953"/>
      <c r="LIV108" s="953"/>
      <c r="LIW108" s="953"/>
      <c r="LIX108" s="953"/>
      <c r="LIY108" s="953"/>
      <c r="LIZ108" s="953"/>
      <c r="LJA108" s="953"/>
      <c r="LJB108" s="953"/>
      <c r="LJC108" s="953"/>
      <c r="LJD108" s="953"/>
      <c r="LJE108" s="953"/>
      <c r="LJF108" s="953"/>
      <c r="LJG108" s="953"/>
      <c r="LJH108" s="953"/>
      <c r="LJI108" s="953"/>
      <c r="LJJ108" s="953"/>
      <c r="LJK108" s="953"/>
      <c r="LJL108" s="953"/>
      <c r="LJM108" s="953"/>
      <c r="LJN108" s="953"/>
      <c r="LJO108" s="953"/>
      <c r="LJP108" s="953"/>
      <c r="LJQ108" s="953"/>
      <c r="LJR108" s="953"/>
      <c r="LJS108" s="953"/>
      <c r="LJT108" s="953"/>
      <c r="LJU108" s="953"/>
      <c r="LJV108" s="953"/>
      <c r="LJW108" s="953"/>
      <c r="LJX108" s="953"/>
      <c r="LJY108" s="953"/>
      <c r="LJZ108" s="953"/>
      <c r="LKA108" s="953"/>
      <c r="LKB108" s="953"/>
      <c r="LKC108" s="953"/>
      <c r="LKD108" s="953"/>
      <c r="LKE108" s="953"/>
      <c r="LKF108" s="953"/>
      <c r="LKG108" s="953"/>
      <c r="LKH108" s="953"/>
      <c r="LKI108" s="953"/>
      <c r="LKJ108" s="953"/>
      <c r="LKK108" s="953"/>
      <c r="LKL108" s="953"/>
      <c r="LKM108" s="953"/>
      <c r="LKN108" s="953"/>
      <c r="LKO108" s="953"/>
      <c r="LKP108" s="953"/>
      <c r="LKQ108" s="953"/>
      <c r="LKR108" s="953"/>
      <c r="LKS108" s="953"/>
      <c r="LKT108" s="953"/>
      <c r="LKU108" s="953"/>
      <c r="LKV108" s="953"/>
      <c r="LKW108" s="953"/>
      <c r="LKX108" s="953"/>
      <c r="LKY108" s="953"/>
      <c r="LKZ108" s="953"/>
      <c r="LLA108" s="953"/>
      <c r="LLB108" s="953"/>
      <c r="LLC108" s="953"/>
      <c r="LLD108" s="953"/>
      <c r="LLE108" s="953"/>
      <c r="LLF108" s="953"/>
      <c r="LLG108" s="953"/>
      <c r="LLH108" s="953"/>
      <c r="LLI108" s="953"/>
      <c r="LLJ108" s="953"/>
      <c r="LLK108" s="953"/>
      <c r="LLL108" s="953"/>
      <c r="LLM108" s="953"/>
      <c r="LLN108" s="953"/>
      <c r="LLO108" s="953"/>
      <c r="LLP108" s="953"/>
      <c r="LLQ108" s="953"/>
      <c r="LLR108" s="953"/>
      <c r="LLS108" s="953"/>
      <c r="LLT108" s="953"/>
      <c r="LLU108" s="953"/>
      <c r="LLV108" s="953"/>
      <c r="LLW108" s="953"/>
      <c r="LLX108" s="953"/>
      <c r="LLY108" s="953"/>
      <c r="LLZ108" s="953"/>
      <c r="LMA108" s="953"/>
      <c r="LMB108" s="953"/>
      <c r="LMC108" s="953"/>
      <c r="LMD108" s="953"/>
      <c r="LME108" s="953"/>
      <c r="LMF108" s="953"/>
      <c r="LMG108" s="953"/>
      <c r="LMH108" s="953"/>
      <c r="LMI108" s="953"/>
      <c r="LMJ108" s="953"/>
      <c r="LMK108" s="953"/>
      <c r="LML108" s="953"/>
      <c r="LMM108" s="953"/>
      <c r="LMN108" s="953"/>
      <c r="LMO108" s="953"/>
      <c r="LMP108" s="953"/>
      <c r="LMQ108" s="953"/>
      <c r="LMR108" s="953"/>
      <c r="LMS108" s="953"/>
      <c r="LMT108" s="953"/>
      <c r="LMU108" s="953"/>
      <c r="LMV108" s="953"/>
      <c r="LMW108" s="953"/>
      <c r="LMX108" s="953"/>
      <c r="LMY108" s="953"/>
      <c r="LMZ108" s="953"/>
      <c r="LNA108" s="953"/>
      <c r="LNB108" s="953"/>
      <c r="LNC108" s="953"/>
      <c r="LND108" s="953"/>
      <c r="LNE108" s="953"/>
      <c r="LNF108" s="953"/>
      <c r="LNG108" s="953"/>
      <c r="LNH108" s="953"/>
      <c r="LNI108" s="953"/>
      <c r="LNJ108" s="953"/>
      <c r="LNK108" s="953"/>
      <c r="LNL108" s="953"/>
      <c r="LNM108" s="953"/>
      <c r="LNN108" s="953"/>
      <c r="LNO108" s="953"/>
      <c r="LNP108" s="953"/>
      <c r="LNQ108" s="953"/>
      <c r="LNR108" s="953"/>
      <c r="LNS108" s="953"/>
      <c r="LNT108" s="953"/>
      <c r="LNU108" s="953"/>
      <c r="LNV108" s="953"/>
      <c r="LNW108" s="953"/>
      <c r="LNX108" s="953"/>
      <c r="LNY108" s="953"/>
      <c r="LNZ108" s="953"/>
      <c r="LOA108" s="953"/>
      <c r="LOB108" s="953"/>
      <c r="LOC108" s="953"/>
      <c r="LOD108" s="953"/>
      <c r="LOE108" s="953"/>
      <c r="LOF108" s="953"/>
      <c r="LOG108" s="953"/>
      <c r="LOH108" s="953"/>
      <c r="LOI108" s="953"/>
      <c r="LOJ108" s="953"/>
      <c r="LOK108" s="953"/>
      <c r="LOL108" s="953"/>
      <c r="LOM108" s="953"/>
      <c r="LON108" s="953"/>
      <c r="LOO108" s="953"/>
      <c r="LOP108" s="953"/>
      <c r="LOQ108" s="953"/>
      <c r="LOR108" s="953"/>
      <c r="LOS108" s="953"/>
      <c r="LOT108" s="953"/>
      <c r="LOU108" s="953"/>
      <c r="LOV108" s="953"/>
      <c r="LOW108" s="953"/>
      <c r="LOX108" s="953"/>
      <c r="LOY108" s="953"/>
      <c r="LOZ108" s="953"/>
      <c r="LPA108" s="953"/>
      <c r="LPB108" s="953"/>
      <c r="LPC108" s="953"/>
      <c r="LPD108" s="953"/>
      <c r="LPE108" s="953"/>
      <c r="LPF108" s="953"/>
      <c r="LPG108" s="953"/>
      <c r="LPH108" s="953"/>
      <c r="LPI108" s="953"/>
      <c r="LPJ108" s="953"/>
      <c r="LPK108" s="953"/>
      <c r="LPL108" s="953"/>
      <c r="LPM108" s="953"/>
      <c r="LPN108" s="953"/>
      <c r="LPO108" s="953"/>
      <c r="LPP108" s="953"/>
      <c r="LPQ108" s="953"/>
      <c r="LPR108" s="953"/>
      <c r="LPS108" s="953"/>
      <c r="LPT108" s="953"/>
      <c r="LPU108" s="953"/>
      <c r="LPV108" s="953"/>
      <c r="LPW108" s="953"/>
      <c r="LPX108" s="953"/>
      <c r="LPY108" s="953"/>
      <c r="LPZ108" s="953"/>
      <c r="LQA108" s="953"/>
      <c r="LQB108" s="953"/>
      <c r="LQC108" s="953"/>
      <c r="LQD108" s="953"/>
      <c r="LQE108" s="953"/>
      <c r="LQF108" s="953"/>
      <c r="LQG108" s="953"/>
      <c r="LQH108" s="953"/>
      <c r="LQI108" s="953"/>
      <c r="LQJ108" s="953"/>
      <c r="LQK108" s="953"/>
      <c r="LQL108" s="953"/>
      <c r="LQM108" s="953"/>
      <c r="LQN108" s="953"/>
      <c r="LQO108" s="953"/>
      <c r="LQP108" s="953"/>
      <c r="LQQ108" s="953"/>
      <c r="LQR108" s="953"/>
      <c r="LQS108" s="953"/>
      <c r="LQT108" s="953"/>
      <c r="LQU108" s="953"/>
      <c r="LQV108" s="953"/>
      <c r="LQW108" s="953"/>
      <c r="LQX108" s="953"/>
      <c r="LQY108" s="953"/>
      <c r="LQZ108" s="953"/>
      <c r="LRA108" s="953"/>
      <c r="LRB108" s="953"/>
      <c r="LRC108" s="953"/>
      <c r="LRD108" s="953"/>
      <c r="LRE108" s="953"/>
      <c r="LRF108" s="953"/>
      <c r="LRG108" s="953"/>
      <c r="LRH108" s="953"/>
      <c r="LRI108" s="953"/>
      <c r="LRJ108" s="953"/>
      <c r="LRK108" s="953"/>
      <c r="LRL108" s="953"/>
      <c r="LRM108" s="953"/>
      <c r="LRN108" s="953"/>
      <c r="LRO108" s="953"/>
      <c r="LRP108" s="953"/>
      <c r="LRQ108" s="953"/>
      <c r="LRR108" s="953"/>
      <c r="LRS108" s="953"/>
      <c r="LRT108" s="953"/>
      <c r="LRU108" s="953"/>
      <c r="LRV108" s="953"/>
      <c r="LRW108" s="953"/>
      <c r="LRX108" s="953"/>
      <c r="LRY108" s="953"/>
      <c r="LRZ108" s="953"/>
      <c r="LSA108" s="953"/>
      <c r="LSB108" s="953"/>
      <c r="LSC108" s="953"/>
      <c r="LSD108" s="953"/>
      <c r="LSE108" s="953"/>
      <c r="LSF108" s="953"/>
      <c r="LSG108" s="953"/>
      <c r="LSH108" s="953"/>
      <c r="LSI108" s="953"/>
      <c r="LSJ108" s="953"/>
      <c r="LSK108" s="953"/>
      <c r="LSL108" s="953"/>
      <c r="LSM108" s="953"/>
      <c r="LSN108" s="953"/>
      <c r="LSO108" s="953"/>
      <c r="LSP108" s="953"/>
      <c r="LSQ108" s="953"/>
      <c r="LSR108" s="953"/>
      <c r="LSS108" s="953"/>
      <c r="LST108" s="953"/>
      <c r="LSU108" s="953"/>
      <c r="LSV108" s="953"/>
      <c r="LSW108" s="953"/>
      <c r="LSX108" s="953"/>
      <c r="LSY108" s="953"/>
      <c r="LSZ108" s="953"/>
      <c r="LTA108" s="953"/>
      <c r="LTB108" s="953"/>
      <c r="LTC108" s="953"/>
      <c r="LTD108" s="953"/>
      <c r="LTE108" s="953"/>
      <c r="LTF108" s="953"/>
      <c r="LTG108" s="953"/>
      <c r="LTH108" s="953"/>
      <c r="LTI108" s="953"/>
      <c r="LTJ108" s="953"/>
      <c r="LTK108" s="953"/>
      <c r="LTL108" s="953"/>
      <c r="LTM108" s="953"/>
      <c r="LTN108" s="953"/>
      <c r="LTO108" s="953"/>
      <c r="LTP108" s="953"/>
      <c r="LTQ108" s="953"/>
      <c r="LTR108" s="953"/>
      <c r="LTS108" s="953"/>
      <c r="LTT108" s="953"/>
      <c r="LTU108" s="953"/>
      <c r="LTV108" s="953"/>
      <c r="LTW108" s="953"/>
      <c r="LTX108" s="953"/>
      <c r="LTY108" s="953"/>
      <c r="LTZ108" s="953"/>
      <c r="LUA108" s="953"/>
      <c r="LUB108" s="953"/>
      <c r="LUC108" s="953"/>
      <c r="LUD108" s="953"/>
      <c r="LUE108" s="953"/>
      <c r="LUF108" s="953"/>
      <c r="LUG108" s="953"/>
      <c r="LUH108" s="953"/>
      <c r="LUI108" s="953"/>
      <c r="LUJ108" s="953"/>
      <c r="LUK108" s="953"/>
      <c r="LUL108" s="953"/>
      <c r="LUM108" s="953"/>
      <c r="LUN108" s="953"/>
      <c r="LUO108" s="953"/>
      <c r="LUP108" s="953"/>
      <c r="LUQ108" s="953"/>
      <c r="LUR108" s="953"/>
      <c r="LUS108" s="953"/>
      <c r="LUT108" s="953"/>
      <c r="LUU108" s="953"/>
      <c r="LUV108" s="953"/>
      <c r="LUW108" s="953"/>
      <c r="LUX108" s="953"/>
      <c r="LUY108" s="953"/>
      <c r="LUZ108" s="953"/>
      <c r="LVA108" s="953"/>
      <c r="LVB108" s="953"/>
      <c r="LVC108" s="953"/>
      <c r="LVD108" s="953"/>
      <c r="LVE108" s="953"/>
      <c r="LVF108" s="953"/>
      <c r="LVG108" s="953"/>
      <c r="LVH108" s="953"/>
      <c r="LVI108" s="953"/>
      <c r="LVJ108" s="953"/>
      <c r="LVK108" s="953"/>
      <c r="LVL108" s="953"/>
      <c r="LVM108" s="953"/>
      <c r="LVN108" s="953"/>
      <c r="LVO108" s="953"/>
      <c r="LVP108" s="953"/>
      <c r="LVQ108" s="953"/>
      <c r="LVR108" s="953"/>
      <c r="LVS108" s="953"/>
      <c r="LVT108" s="953"/>
      <c r="LVU108" s="953"/>
      <c r="LVV108" s="953"/>
      <c r="LVW108" s="953"/>
      <c r="LVX108" s="953"/>
      <c r="LVY108" s="953"/>
      <c r="LVZ108" s="953"/>
      <c r="LWA108" s="953"/>
      <c r="LWB108" s="953"/>
      <c r="LWC108" s="953"/>
      <c r="LWD108" s="953"/>
      <c r="LWE108" s="953"/>
      <c r="LWF108" s="953"/>
      <c r="LWG108" s="953"/>
      <c r="LWH108" s="953"/>
      <c r="LWI108" s="953"/>
      <c r="LWJ108" s="953"/>
      <c r="LWK108" s="953"/>
      <c r="LWL108" s="953"/>
      <c r="LWM108" s="953"/>
      <c r="LWN108" s="953"/>
      <c r="LWO108" s="953"/>
      <c r="LWP108" s="953"/>
      <c r="LWQ108" s="953"/>
      <c r="LWR108" s="953"/>
      <c r="LWS108" s="953"/>
      <c r="LWT108" s="953"/>
      <c r="LWU108" s="953"/>
      <c r="LWV108" s="953"/>
      <c r="LWW108" s="953"/>
      <c r="LWX108" s="953"/>
      <c r="LWY108" s="953"/>
      <c r="LWZ108" s="953"/>
      <c r="LXA108" s="953"/>
      <c r="LXB108" s="953"/>
      <c r="LXC108" s="953"/>
      <c r="LXD108" s="953"/>
      <c r="LXE108" s="953"/>
      <c r="LXF108" s="953"/>
      <c r="LXG108" s="953"/>
      <c r="LXH108" s="953"/>
      <c r="LXI108" s="953"/>
      <c r="LXJ108" s="953"/>
      <c r="LXK108" s="953"/>
      <c r="LXL108" s="953"/>
      <c r="LXM108" s="953"/>
      <c r="LXN108" s="953"/>
      <c r="LXO108" s="953"/>
      <c r="LXP108" s="953"/>
      <c r="LXQ108" s="953"/>
      <c r="LXR108" s="953"/>
      <c r="LXS108" s="953"/>
      <c r="LXT108" s="953"/>
      <c r="LXU108" s="953"/>
      <c r="LXV108" s="953"/>
      <c r="LXW108" s="953"/>
      <c r="LXX108" s="953"/>
      <c r="LXY108" s="953"/>
      <c r="LXZ108" s="953"/>
      <c r="LYA108" s="953"/>
      <c r="LYB108" s="953"/>
      <c r="LYC108" s="953"/>
      <c r="LYD108" s="953"/>
      <c r="LYE108" s="953"/>
      <c r="LYF108" s="953"/>
      <c r="LYG108" s="953"/>
      <c r="LYH108" s="953"/>
      <c r="LYI108" s="953"/>
      <c r="LYJ108" s="953"/>
      <c r="LYK108" s="953"/>
      <c r="LYL108" s="953"/>
      <c r="LYM108" s="953"/>
      <c r="LYN108" s="953"/>
      <c r="LYO108" s="953"/>
      <c r="LYP108" s="953"/>
      <c r="LYQ108" s="953"/>
      <c r="LYR108" s="953"/>
      <c r="LYS108" s="953"/>
      <c r="LYT108" s="953"/>
      <c r="LYU108" s="953"/>
      <c r="LYV108" s="953"/>
      <c r="LYW108" s="953"/>
      <c r="LYX108" s="953"/>
      <c r="LYY108" s="953"/>
      <c r="LYZ108" s="953"/>
      <c r="LZA108" s="953"/>
      <c r="LZB108" s="953"/>
      <c r="LZC108" s="953"/>
      <c r="LZD108" s="953"/>
      <c r="LZE108" s="953"/>
      <c r="LZF108" s="953"/>
      <c r="LZG108" s="953"/>
      <c r="LZH108" s="953"/>
      <c r="LZI108" s="953"/>
      <c r="LZJ108" s="953"/>
      <c r="LZK108" s="953"/>
      <c r="LZL108" s="953"/>
      <c r="LZM108" s="953"/>
      <c r="LZN108" s="953"/>
      <c r="LZO108" s="953"/>
      <c r="LZP108" s="953"/>
      <c r="LZQ108" s="953"/>
      <c r="LZR108" s="953"/>
      <c r="LZS108" s="953"/>
      <c r="LZT108" s="953"/>
      <c r="LZU108" s="953"/>
      <c r="LZV108" s="953"/>
      <c r="LZW108" s="953"/>
      <c r="LZX108" s="953"/>
      <c r="LZY108" s="953"/>
      <c r="LZZ108" s="953"/>
      <c r="MAA108" s="953"/>
      <c r="MAB108" s="953"/>
      <c r="MAC108" s="953"/>
      <c r="MAD108" s="953"/>
      <c r="MAE108" s="953"/>
      <c r="MAF108" s="953"/>
      <c r="MAG108" s="953"/>
      <c r="MAH108" s="953"/>
      <c r="MAI108" s="953"/>
      <c r="MAJ108" s="953"/>
      <c r="MAK108" s="953"/>
      <c r="MAL108" s="953"/>
      <c r="MAM108" s="953"/>
      <c r="MAN108" s="953"/>
      <c r="MAO108" s="953"/>
      <c r="MAP108" s="953"/>
      <c r="MAQ108" s="953"/>
      <c r="MAR108" s="953"/>
      <c r="MAS108" s="953"/>
      <c r="MAT108" s="953"/>
      <c r="MAU108" s="953"/>
      <c r="MAV108" s="953"/>
      <c r="MAW108" s="953"/>
      <c r="MAX108" s="953"/>
      <c r="MAY108" s="953"/>
      <c r="MAZ108" s="953"/>
      <c r="MBA108" s="953"/>
      <c r="MBB108" s="953"/>
      <c r="MBC108" s="953"/>
      <c r="MBD108" s="953"/>
      <c r="MBE108" s="953"/>
      <c r="MBF108" s="953"/>
      <c r="MBG108" s="953"/>
      <c r="MBH108" s="953"/>
      <c r="MBI108" s="953"/>
      <c r="MBJ108" s="953"/>
      <c r="MBK108" s="953"/>
      <c r="MBL108" s="953"/>
      <c r="MBM108" s="953"/>
      <c r="MBN108" s="953"/>
      <c r="MBO108" s="953"/>
      <c r="MBP108" s="953"/>
      <c r="MBQ108" s="953"/>
      <c r="MBR108" s="953"/>
      <c r="MBS108" s="953"/>
      <c r="MBT108" s="953"/>
      <c r="MBU108" s="953"/>
      <c r="MBV108" s="953"/>
      <c r="MBW108" s="953"/>
      <c r="MBX108" s="953"/>
      <c r="MBY108" s="953"/>
      <c r="MBZ108" s="953"/>
      <c r="MCA108" s="953"/>
      <c r="MCB108" s="953"/>
      <c r="MCC108" s="953"/>
      <c r="MCD108" s="953"/>
      <c r="MCE108" s="953"/>
      <c r="MCF108" s="953"/>
      <c r="MCG108" s="953"/>
      <c r="MCH108" s="953"/>
      <c r="MCI108" s="953"/>
      <c r="MCJ108" s="953"/>
      <c r="MCK108" s="953"/>
      <c r="MCL108" s="953"/>
      <c r="MCM108" s="953"/>
      <c r="MCN108" s="953"/>
      <c r="MCO108" s="953"/>
      <c r="MCP108" s="953"/>
      <c r="MCQ108" s="953"/>
      <c r="MCR108" s="953"/>
      <c r="MCS108" s="953"/>
      <c r="MCT108" s="953"/>
      <c r="MCU108" s="953"/>
      <c r="MCV108" s="953"/>
      <c r="MCW108" s="953"/>
      <c r="MCX108" s="953"/>
      <c r="MCY108" s="953"/>
      <c r="MCZ108" s="953"/>
      <c r="MDA108" s="953"/>
      <c r="MDB108" s="953"/>
      <c r="MDC108" s="953"/>
      <c r="MDD108" s="953"/>
      <c r="MDE108" s="953"/>
      <c r="MDF108" s="953"/>
      <c r="MDG108" s="953"/>
      <c r="MDH108" s="953"/>
      <c r="MDI108" s="953"/>
      <c r="MDJ108" s="953"/>
      <c r="MDK108" s="953"/>
      <c r="MDL108" s="953"/>
      <c r="MDM108" s="953"/>
      <c r="MDN108" s="953"/>
      <c r="MDO108" s="953"/>
      <c r="MDP108" s="953"/>
      <c r="MDQ108" s="953"/>
      <c r="MDR108" s="953"/>
      <c r="MDS108" s="953"/>
      <c r="MDT108" s="953"/>
      <c r="MDU108" s="953"/>
      <c r="MDV108" s="953"/>
      <c r="MDW108" s="953"/>
      <c r="MDX108" s="953"/>
      <c r="MDY108" s="953"/>
      <c r="MDZ108" s="953"/>
      <c r="MEA108" s="953"/>
      <c r="MEB108" s="953"/>
      <c r="MEC108" s="953"/>
      <c r="MED108" s="953"/>
      <c r="MEE108" s="953"/>
      <c r="MEF108" s="953"/>
      <c r="MEG108" s="953"/>
      <c r="MEH108" s="953"/>
      <c r="MEI108" s="953"/>
      <c r="MEJ108" s="953"/>
      <c r="MEK108" s="953"/>
      <c r="MEL108" s="953"/>
      <c r="MEM108" s="953"/>
      <c r="MEN108" s="953"/>
      <c r="MEO108" s="953"/>
      <c r="MEP108" s="953"/>
      <c r="MEQ108" s="953"/>
      <c r="MER108" s="953"/>
      <c r="MES108" s="953"/>
      <c r="MET108" s="953"/>
      <c r="MEU108" s="953"/>
      <c r="MEV108" s="953"/>
      <c r="MEW108" s="953"/>
      <c r="MEX108" s="953"/>
      <c r="MEY108" s="953"/>
      <c r="MEZ108" s="953"/>
      <c r="MFA108" s="953"/>
      <c r="MFB108" s="953"/>
      <c r="MFC108" s="953"/>
      <c r="MFD108" s="953"/>
      <c r="MFE108" s="953"/>
      <c r="MFF108" s="953"/>
      <c r="MFG108" s="953"/>
      <c r="MFH108" s="953"/>
      <c r="MFI108" s="953"/>
      <c r="MFJ108" s="953"/>
      <c r="MFK108" s="953"/>
      <c r="MFL108" s="953"/>
      <c r="MFM108" s="953"/>
      <c r="MFN108" s="953"/>
      <c r="MFO108" s="953"/>
      <c r="MFP108" s="953"/>
      <c r="MFQ108" s="953"/>
      <c r="MFR108" s="953"/>
      <c r="MFS108" s="953"/>
      <c r="MFT108" s="953"/>
      <c r="MFU108" s="953"/>
      <c r="MFV108" s="953"/>
      <c r="MFW108" s="953"/>
      <c r="MFX108" s="953"/>
      <c r="MFY108" s="953"/>
      <c r="MFZ108" s="953"/>
      <c r="MGA108" s="953"/>
      <c r="MGB108" s="953"/>
      <c r="MGC108" s="953"/>
      <c r="MGD108" s="953"/>
      <c r="MGE108" s="953"/>
      <c r="MGF108" s="953"/>
      <c r="MGG108" s="953"/>
      <c r="MGH108" s="953"/>
      <c r="MGI108" s="953"/>
      <c r="MGJ108" s="953"/>
      <c r="MGK108" s="953"/>
      <c r="MGL108" s="953"/>
      <c r="MGM108" s="953"/>
      <c r="MGN108" s="953"/>
      <c r="MGO108" s="953"/>
      <c r="MGP108" s="953"/>
      <c r="MGQ108" s="953"/>
      <c r="MGR108" s="953"/>
      <c r="MGS108" s="953"/>
      <c r="MGT108" s="953"/>
      <c r="MGU108" s="953"/>
      <c r="MGV108" s="953"/>
      <c r="MGW108" s="953"/>
      <c r="MGX108" s="953"/>
      <c r="MGY108" s="953"/>
      <c r="MGZ108" s="953"/>
      <c r="MHA108" s="953"/>
      <c r="MHB108" s="953"/>
      <c r="MHC108" s="953"/>
      <c r="MHD108" s="953"/>
      <c r="MHE108" s="953"/>
      <c r="MHF108" s="953"/>
      <c r="MHG108" s="953"/>
      <c r="MHH108" s="953"/>
      <c r="MHI108" s="953"/>
      <c r="MHJ108" s="953"/>
      <c r="MHK108" s="953"/>
      <c r="MHL108" s="953"/>
      <c r="MHM108" s="953"/>
      <c r="MHN108" s="953"/>
      <c r="MHO108" s="953"/>
      <c r="MHP108" s="953"/>
      <c r="MHQ108" s="953"/>
      <c r="MHR108" s="953"/>
      <c r="MHS108" s="953"/>
      <c r="MHT108" s="953"/>
      <c r="MHU108" s="953"/>
      <c r="MHV108" s="953"/>
      <c r="MHW108" s="953"/>
      <c r="MHX108" s="953"/>
      <c r="MHY108" s="953"/>
      <c r="MHZ108" s="953"/>
      <c r="MIA108" s="953"/>
      <c r="MIB108" s="953"/>
      <c r="MIC108" s="953"/>
      <c r="MID108" s="953"/>
      <c r="MIE108" s="953"/>
      <c r="MIF108" s="953"/>
      <c r="MIG108" s="953"/>
      <c r="MIH108" s="953"/>
      <c r="MII108" s="953"/>
      <c r="MIJ108" s="953"/>
      <c r="MIK108" s="953"/>
      <c r="MIL108" s="953"/>
      <c r="MIM108" s="953"/>
      <c r="MIN108" s="953"/>
      <c r="MIO108" s="953"/>
      <c r="MIP108" s="953"/>
      <c r="MIQ108" s="953"/>
      <c r="MIR108" s="953"/>
      <c r="MIS108" s="953"/>
      <c r="MIT108" s="953"/>
      <c r="MIU108" s="953"/>
      <c r="MIV108" s="953"/>
      <c r="MIW108" s="953"/>
      <c r="MIX108" s="953"/>
      <c r="MIY108" s="953"/>
      <c r="MIZ108" s="953"/>
      <c r="MJA108" s="953"/>
      <c r="MJB108" s="953"/>
      <c r="MJC108" s="953"/>
      <c r="MJD108" s="953"/>
      <c r="MJE108" s="953"/>
      <c r="MJF108" s="953"/>
      <c r="MJG108" s="953"/>
      <c r="MJH108" s="953"/>
      <c r="MJI108" s="953"/>
      <c r="MJJ108" s="953"/>
      <c r="MJK108" s="953"/>
      <c r="MJL108" s="953"/>
      <c r="MJM108" s="953"/>
      <c r="MJN108" s="953"/>
      <c r="MJO108" s="953"/>
      <c r="MJP108" s="953"/>
      <c r="MJQ108" s="953"/>
      <c r="MJR108" s="953"/>
      <c r="MJS108" s="953"/>
      <c r="MJT108" s="953"/>
      <c r="MJU108" s="953"/>
      <c r="MJV108" s="953"/>
      <c r="MJW108" s="953"/>
      <c r="MJX108" s="953"/>
      <c r="MJY108" s="953"/>
      <c r="MJZ108" s="953"/>
      <c r="MKA108" s="953"/>
      <c r="MKB108" s="953"/>
      <c r="MKC108" s="953"/>
      <c r="MKD108" s="953"/>
      <c r="MKE108" s="953"/>
      <c r="MKF108" s="953"/>
      <c r="MKG108" s="953"/>
      <c r="MKH108" s="953"/>
      <c r="MKI108" s="953"/>
      <c r="MKJ108" s="953"/>
      <c r="MKK108" s="953"/>
      <c r="MKL108" s="953"/>
      <c r="MKM108" s="953"/>
      <c r="MKN108" s="953"/>
      <c r="MKO108" s="953"/>
      <c r="MKP108" s="953"/>
      <c r="MKQ108" s="953"/>
      <c r="MKR108" s="953"/>
      <c r="MKS108" s="953"/>
      <c r="MKT108" s="953"/>
      <c r="MKU108" s="953"/>
      <c r="MKV108" s="953"/>
      <c r="MKW108" s="953"/>
      <c r="MKX108" s="953"/>
      <c r="MKY108" s="953"/>
      <c r="MKZ108" s="953"/>
      <c r="MLA108" s="953"/>
      <c r="MLB108" s="953"/>
      <c r="MLC108" s="953"/>
      <c r="MLD108" s="953"/>
      <c r="MLE108" s="953"/>
      <c r="MLF108" s="953"/>
      <c r="MLG108" s="953"/>
      <c r="MLH108" s="953"/>
      <c r="MLI108" s="953"/>
      <c r="MLJ108" s="953"/>
      <c r="MLK108" s="953"/>
      <c r="MLL108" s="953"/>
      <c r="MLM108" s="953"/>
      <c r="MLN108" s="953"/>
      <c r="MLO108" s="953"/>
      <c r="MLP108" s="953"/>
      <c r="MLQ108" s="953"/>
      <c r="MLR108" s="953"/>
      <c r="MLS108" s="953"/>
      <c r="MLT108" s="953"/>
      <c r="MLU108" s="953"/>
      <c r="MLV108" s="953"/>
      <c r="MLW108" s="953"/>
      <c r="MLX108" s="953"/>
      <c r="MLY108" s="953"/>
      <c r="MLZ108" s="953"/>
      <c r="MMA108" s="953"/>
      <c r="MMB108" s="953"/>
      <c r="MMC108" s="953"/>
      <c r="MMD108" s="953"/>
      <c r="MME108" s="953"/>
      <c r="MMF108" s="953"/>
      <c r="MMG108" s="953"/>
      <c r="MMH108" s="953"/>
      <c r="MMI108" s="953"/>
      <c r="MMJ108" s="953"/>
      <c r="MMK108" s="953"/>
      <c r="MML108" s="953"/>
      <c r="MMM108" s="953"/>
      <c r="MMN108" s="953"/>
      <c r="MMO108" s="953"/>
      <c r="MMP108" s="953"/>
      <c r="MMQ108" s="953"/>
      <c r="MMR108" s="953"/>
      <c r="MMS108" s="953"/>
      <c r="MMT108" s="953"/>
      <c r="MMU108" s="953"/>
      <c r="MMV108" s="953"/>
      <c r="MMW108" s="953"/>
      <c r="MMX108" s="953"/>
      <c r="MMY108" s="953"/>
      <c r="MMZ108" s="953"/>
      <c r="MNA108" s="953"/>
      <c r="MNB108" s="953"/>
      <c r="MNC108" s="953"/>
      <c r="MND108" s="953"/>
      <c r="MNE108" s="953"/>
      <c r="MNF108" s="953"/>
      <c r="MNG108" s="953"/>
      <c r="MNH108" s="953"/>
      <c r="MNI108" s="953"/>
      <c r="MNJ108" s="953"/>
      <c r="MNK108" s="953"/>
      <c r="MNL108" s="953"/>
      <c r="MNM108" s="953"/>
      <c r="MNN108" s="953"/>
      <c r="MNO108" s="953"/>
      <c r="MNP108" s="953"/>
      <c r="MNQ108" s="953"/>
      <c r="MNR108" s="953"/>
      <c r="MNS108" s="953"/>
      <c r="MNT108" s="953"/>
      <c r="MNU108" s="953"/>
      <c r="MNV108" s="953"/>
      <c r="MNW108" s="953"/>
      <c r="MNX108" s="953"/>
      <c r="MNY108" s="953"/>
      <c r="MNZ108" s="953"/>
      <c r="MOA108" s="953"/>
      <c r="MOB108" s="953"/>
      <c r="MOC108" s="953"/>
      <c r="MOD108" s="953"/>
      <c r="MOE108" s="953"/>
      <c r="MOF108" s="953"/>
      <c r="MOG108" s="953"/>
      <c r="MOH108" s="953"/>
      <c r="MOI108" s="953"/>
      <c r="MOJ108" s="953"/>
      <c r="MOK108" s="953"/>
      <c r="MOL108" s="953"/>
      <c r="MOM108" s="953"/>
      <c r="MON108" s="953"/>
      <c r="MOO108" s="953"/>
      <c r="MOP108" s="953"/>
      <c r="MOQ108" s="953"/>
      <c r="MOR108" s="953"/>
      <c r="MOS108" s="953"/>
      <c r="MOT108" s="953"/>
      <c r="MOU108" s="953"/>
      <c r="MOV108" s="953"/>
      <c r="MOW108" s="953"/>
      <c r="MOX108" s="953"/>
      <c r="MOY108" s="953"/>
      <c r="MOZ108" s="953"/>
      <c r="MPA108" s="953"/>
      <c r="MPB108" s="953"/>
      <c r="MPC108" s="953"/>
      <c r="MPD108" s="953"/>
      <c r="MPE108" s="953"/>
      <c r="MPF108" s="953"/>
      <c r="MPG108" s="953"/>
      <c r="MPH108" s="953"/>
      <c r="MPI108" s="953"/>
      <c r="MPJ108" s="953"/>
      <c r="MPK108" s="953"/>
      <c r="MPL108" s="953"/>
      <c r="MPM108" s="953"/>
      <c r="MPN108" s="953"/>
      <c r="MPO108" s="953"/>
      <c r="MPP108" s="953"/>
      <c r="MPQ108" s="953"/>
      <c r="MPR108" s="953"/>
      <c r="MPS108" s="953"/>
      <c r="MPT108" s="953"/>
      <c r="MPU108" s="953"/>
      <c r="MPV108" s="953"/>
      <c r="MPW108" s="953"/>
      <c r="MPX108" s="953"/>
      <c r="MPY108" s="953"/>
      <c r="MPZ108" s="953"/>
      <c r="MQA108" s="953"/>
      <c r="MQB108" s="953"/>
      <c r="MQC108" s="953"/>
      <c r="MQD108" s="953"/>
      <c r="MQE108" s="953"/>
      <c r="MQF108" s="953"/>
      <c r="MQG108" s="953"/>
      <c r="MQH108" s="953"/>
      <c r="MQI108" s="953"/>
      <c r="MQJ108" s="953"/>
      <c r="MQK108" s="953"/>
      <c r="MQL108" s="953"/>
      <c r="MQM108" s="953"/>
      <c r="MQN108" s="953"/>
      <c r="MQO108" s="953"/>
      <c r="MQP108" s="953"/>
      <c r="MQQ108" s="953"/>
      <c r="MQR108" s="953"/>
      <c r="MQS108" s="953"/>
      <c r="MQT108" s="953"/>
      <c r="MQU108" s="953"/>
      <c r="MQV108" s="953"/>
      <c r="MQW108" s="953"/>
      <c r="MQX108" s="953"/>
      <c r="MQY108" s="953"/>
      <c r="MQZ108" s="953"/>
      <c r="MRA108" s="953"/>
      <c r="MRB108" s="953"/>
      <c r="MRC108" s="953"/>
      <c r="MRD108" s="953"/>
      <c r="MRE108" s="953"/>
      <c r="MRF108" s="953"/>
      <c r="MRG108" s="953"/>
      <c r="MRH108" s="953"/>
      <c r="MRI108" s="953"/>
      <c r="MRJ108" s="953"/>
      <c r="MRK108" s="953"/>
      <c r="MRL108" s="953"/>
      <c r="MRM108" s="953"/>
      <c r="MRN108" s="953"/>
      <c r="MRO108" s="953"/>
      <c r="MRP108" s="953"/>
      <c r="MRQ108" s="953"/>
      <c r="MRR108" s="953"/>
      <c r="MRS108" s="953"/>
      <c r="MRT108" s="953"/>
      <c r="MRU108" s="953"/>
      <c r="MRV108" s="953"/>
      <c r="MRW108" s="953"/>
      <c r="MRX108" s="953"/>
      <c r="MRY108" s="953"/>
      <c r="MRZ108" s="953"/>
      <c r="MSA108" s="953"/>
      <c r="MSB108" s="953"/>
      <c r="MSC108" s="953"/>
      <c r="MSD108" s="953"/>
      <c r="MSE108" s="953"/>
      <c r="MSF108" s="953"/>
      <c r="MSG108" s="953"/>
      <c r="MSH108" s="953"/>
      <c r="MSI108" s="953"/>
      <c r="MSJ108" s="953"/>
      <c r="MSK108" s="953"/>
      <c r="MSL108" s="953"/>
      <c r="MSM108" s="953"/>
      <c r="MSN108" s="953"/>
      <c r="MSO108" s="953"/>
      <c r="MSP108" s="953"/>
      <c r="MSQ108" s="953"/>
      <c r="MSR108" s="953"/>
      <c r="MSS108" s="953"/>
      <c r="MST108" s="953"/>
      <c r="MSU108" s="953"/>
      <c r="MSV108" s="953"/>
      <c r="MSW108" s="953"/>
      <c r="MSX108" s="953"/>
      <c r="MSY108" s="953"/>
      <c r="MSZ108" s="953"/>
      <c r="MTA108" s="953"/>
      <c r="MTB108" s="953"/>
      <c r="MTC108" s="953"/>
      <c r="MTD108" s="953"/>
      <c r="MTE108" s="953"/>
      <c r="MTF108" s="953"/>
      <c r="MTG108" s="953"/>
      <c r="MTH108" s="953"/>
      <c r="MTI108" s="953"/>
      <c r="MTJ108" s="953"/>
      <c r="MTK108" s="953"/>
      <c r="MTL108" s="953"/>
      <c r="MTM108" s="953"/>
      <c r="MTN108" s="953"/>
      <c r="MTO108" s="953"/>
      <c r="MTP108" s="953"/>
      <c r="MTQ108" s="953"/>
      <c r="MTR108" s="953"/>
      <c r="MTS108" s="953"/>
      <c r="MTT108" s="953"/>
      <c r="MTU108" s="953"/>
      <c r="MTV108" s="953"/>
      <c r="MTW108" s="953"/>
      <c r="MTX108" s="953"/>
      <c r="MTY108" s="953"/>
      <c r="MTZ108" s="953"/>
      <c r="MUA108" s="953"/>
      <c r="MUB108" s="953"/>
      <c r="MUC108" s="953"/>
      <c r="MUD108" s="953"/>
      <c r="MUE108" s="953"/>
      <c r="MUF108" s="953"/>
      <c r="MUG108" s="953"/>
      <c r="MUH108" s="953"/>
      <c r="MUI108" s="953"/>
      <c r="MUJ108" s="953"/>
      <c r="MUK108" s="953"/>
      <c r="MUL108" s="953"/>
      <c r="MUM108" s="953"/>
      <c r="MUN108" s="953"/>
      <c r="MUO108" s="953"/>
      <c r="MUP108" s="953"/>
      <c r="MUQ108" s="953"/>
      <c r="MUR108" s="953"/>
      <c r="MUS108" s="953"/>
      <c r="MUT108" s="953"/>
      <c r="MUU108" s="953"/>
      <c r="MUV108" s="953"/>
      <c r="MUW108" s="953"/>
      <c r="MUX108" s="953"/>
      <c r="MUY108" s="953"/>
      <c r="MUZ108" s="953"/>
      <c r="MVA108" s="953"/>
      <c r="MVB108" s="953"/>
      <c r="MVC108" s="953"/>
      <c r="MVD108" s="953"/>
      <c r="MVE108" s="953"/>
      <c r="MVF108" s="953"/>
      <c r="MVG108" s="953"/>
      <c r="MVH108" s="953"/>
      <c r="MVI108" s="953"/>
      <c r="MVJ108" s="953"/>
      <c r="MVK108" s="953"/>
      <c r="MVL108" s="953"/>
      <c r="MVM108" s="953"/>
      <c r="MVN108" s="953"/>
      <c r="MVO108" s="953"/>
      <c r="MVP108" s="953"/>
      <c r="MVQ108" s="953"/>
      <c r="MVR108" s="953"/>
      <c r="MVS108" s="953"/>
      <c r="MVT108" s="953"/>
      <c r="MVU108" s="953"/>
      <c r="MVV108" s="953"/>
      <c r="MVW108" s="953"/>
      <c r="MVX108" s="953"/>
      <c r="MVY108" s="953"/>
      <c r="MVZ108" s="953"/>
      <c r="MWA108" s="953"/>
      <c r="MWB108" s="953"/>
      <c r="MWC108" s="953"/>
      <c r="MWD108" s="953"/>
      <c r="MWE108" s="953"/>
      <c r="MWF108" s="953"/>
      <c r="MWG108" s="953"/>
      <c r="MWH108" s="953"/>
      <c r="MWI108" s="953"/>
      <c r="MWJ108" s="953"/>
      <c r="MWK108" s="953"/>
      <c r="MWL108" s="953"/>
      <c r="MWM108" s="953"/>
      <c r="MWN108" s="953"/>
      <c r="MWO108" s="953"/>
      <c r="MWP108" s="953"/>
      <c r="MWQ108" s="953"/>
      <c r="MWR108" s="953"/>
      <c r="MWS108" s="953"/>
      <c r="MWT108" s="953"/>
      <c r="MWU108" s="953"/>
      <c r="MWV108" s="953"/>
      <c r="MWW108" s="953"/>
      <c r="MWX108" s="953"/>
      <c r="MWY108" s="953"/>
      <c r="MWZ108" s="953"/>
      <c r="MXA108" s="953"/>
      <c r="MXB108" s="953"/>
      <c r="MXC108" s="953"/>
      <c r="MXD108" s="953"/>
      <c r="MXE108" s="953"/>
      <c r="MXF108" s="953"/>
      <c r="MXG108" s="953"/>
      <c r="MXH108" s="953"/>
      <c r="MXI108" s="953"/>
      <c r="MXJ108" s="953"/>
      <c r="MXK108" s="953"/>
      <c r="MXL108" s="953"/>
      <c r="MXM108" s="953"/>
      <c r="MXN108" s="953"/>
      <c r="MXO108" s="953"/>
      <c r="MXP108" s="953"/>
      <c r="MXQ108" s="953"/>
      <c r="MXR108" s="953"/>
      <c r="MXS108" s="953"/>
      <c r="MXT108" s="953"/>
      <c r="MXU108" s="953"/>
      <c r="MXV108" s="953"/>
      <c r="MXW108" s="953"/>
      <c r="MXX108" s="953"/>
      <c r="MXY108" s="953"/>
      <c r="MXZ108" s="953"/>
      <c r="MYA108" s="953"/>
      <c r="MYB108" s="953"/>
      <c r="MYC108" s="953"/>
      <c r="MYD108" s="953"/>
      <c r="MYE108" s="953"/>
      <c r="MYF108" s="953"/>
      <c r="MYG108" s="953"/>
      <c r="MYH108" s="953"/>
      <c r="MYI108" s="953"/>
      <c r="MYJ108" s="953"/>
      <c r="MYK108" s="953"/>
      <c r="MYL108" s="953"/>
      <c r="MYM108" s="953"/>
      <c r="MYN108" s="953"/>
      <c r="MYO108" s="953"/>
      <c r="MYP108" s="953"/>
      <c r="MYQ108" s="953"/>
      <c r="MYR108" s="953"/>
      <c r="MYS108" s="953"/>
      <c r="MYT108" s="953"/>
      <c r="MYU108" s="953"/>
      <c r="MYV108" s="953"/>
      <c r="MYW108" s="953"/>
      <c r="MYX108" s="953"/>
      <c r="MYY108" s="953"/>
      <c r="MYZ108" s="953"/>
      <c r="MZA108" s="953"/>
      <c r="MZB108" s="953"/>
      <c r="MZC108" s="953"/>
      <c r="MZD108" s="953"/>
      <c r="MZE108" s="953"/>
      <c r="MZF108" s="953"/>
      <c r="MZG108" s="953"/>
      <c r="MZH108" s="953"/>
      <c r="MZI108" s="953"/>
      <c r="MZJ108" s="953"/>
      <c r="MZK108" s="953"/>
      <c r="MZL108" s="953"/>
      <c r="MZM108" s="953"/>
      <c r="MZN108" s="953"/>
      <c r="MZO108" s="953"/>
      <c r="MZP108" s="953"/>
      <c r="MZQ108" s="953"/>
      <c r="MZR108" s="953"/>
      <c r="MZS108" s="953"/>
      <c r="MZT108" s="953"/>
      <c r="MZU108" s="953"/>
      <c r="MZV108" s="953"/>
      <c r="MZW108" s="953"/>
      <c r="MZX108" s="953"/>
      <c r="MZY108" s="953"/>
      <c r="MZZ108" s="953"/>
      <c r="NAA108" s="953"/>
      <c r="NAB108" s="953"/>
      <c r="NAC108" s="953"/>
      <c r="NAD108" s="953"/>
      <c r="NAE108" s="953"/>
      <c r="NAF108" s="953"/>
      <c r="NAG108" s="953"/>
      <c r="NAH108" s="953"/>
      <c r="NAI108" s="953"/>
      <c r="NAJ108" s="953"/>
      <c r="NAK108" s="953"/>
      <c r="NAL108" s="953"/>
      <c r="NAM108" s="953"/>
      <c r="NAN108" s="953"/>
      <c r="NAO108" s="953"/>
      <c r="NAP108" s="953"/>
      <c r="NAQ108" s="953"/>
      <c r="NAR108" s="953"/>
      <c r="NAS108" s="953"/>
      <c r="NAT108" s="953"/>
      <c r="NAU108" s="953"/>
      <c r="NAV108" s="953"/>
      <c r="NAW108" s="953"/>
      <c r="NAX108" s="953"/>
      <c r="NAY108" s="953"/>
      <c r="NAZ108" s="953"/>
      <c r="NBA108" s="953"/>
      <c r="NBB108" s="953"/>
      <c r="NBC108" s="953"/>
      <c r="NBD108" s="953"/>
      <c r="NBE108" s="953"/>
      <c r="NBF108" s="953"/>
      <c r="NBG108" s="953"/>
      <c r="NBH108" s="953"/>
      <c r="NBI108" s="953"/>
      <c r="NBJ108" s="953"/>
      <c r="NBK108" s="953"/>
      <c r="NBL108" s="953"/>
      <c r="NBM108" s="953"/>
      <c r="NBN108" s="953"/>
      <c r="NBO108" s="953"/>
      <c r="NBP108" s="953"/>
      <c r="NBQ108" s="953"/>
      <c r="NBR108" s="953"/>
      <c r="NBS108" s="953"/>
      <c r="NBT108" s="953"/>
      <c r="NBU108" s="953"/>
      <c r="NBV108" s="953"/>
      <c r="NBW108" s="953"/>
      <c r="NBX108" s="953"/>
      <c r="NBY108" s="953"/>
      <c r="NBZ108" s="953"/>
      <c r="NCA108" s="953"/>
      <c r="NCB108" s="953"/>
      <c r="NCC108" s="953"/>
      <c r="NCD108" s="953"/>
      <c r="NCE108" s="953"/>
      <c r="NCF108" s="953"/>
      <c r="NCG108" s="953"/>
      <c r="NCH108" s="953"/>
      <c r="NCI108" s="953"/>
      <c r="NCJ108" s="953"/>
      <c r="NCK108" s="953"/>
      <c r="NCL108" s="953"/>
      <c r="NCM108" s="953"/>
      <c r="NCN108" s="953"/>
      <c r="NCO108" s="953"/>
      <c r="NCP108" s="953"/>
      <c r="NCQ108" s="953"/>
      <c r="NCR108" s="953"/>
      <c r="NCS108" s="953"/>
      <c r="NCT108" s="953"/>
      <c r="NCU108" s="953"/>
      <c r="NCV108" s="953"/>
      <c r="NCW108" s="953"/>
      <c r="NCX108" s="953"/>
      <c r="NCY108" s="953"/>
      <c r="NCZ108" s="953"/>
      <c r="NDA108" s="953"/>
      <c r="NDB108" s="953"/>
      <c r="NDC108" s="953"/>
      <c r="NDD108" s="953"/>
      <c r="NDE108" s="953"/>
      <c r="NDF108" s="953"/>
      <c r="NDG108" s="953"/>
      <c r="NDH108" s="953"/>
      <c r="NDI108" s="953"/>
      <c r="NDJ108" s="953"/>
      <c r="NDK108" s="953"/>
      <c r="NDL108" s="953"/>
      <c r="NDM108" s="953"/>
      <c r="NDN108" s="953"/>
      <c r="NDO108" s="953"/>
      <c r="NDP108" s="953"/>
      <c r="NDQ108" s="953"/>
      <c r="NDR108" s="953"/>
      <c r="NDS108" s="953"/>
      <c r="NDT108" s="953"/>
      <c r="NDU108" s="953"/>
      <c r="NDV108" s="953"/>
      <c r="NDW108" s="953"/>
      <c r="NDX108" s="953"/>
      <c r="NDY108" s="953"/>
      <c r="NDZ108" s="953"/>
      <c r="NEA108" s="953"/>
      <c r="NEB108" s="953"/>
      <c r="NEC108" s="953"/>
      <c r="NED108" s="953"/>
      <c r="NEE108" s="953"/>
      <c r="NEF108" s="953"/>
      <c r="NEG108" s="953"/>
      <c r="NEH108" s="953"/>
      <c r="NEI108" s="953"/>
      <c r="NEJ108" s="953"/>
      <c r="NEK108" s="953"/>
      <c r="NEL108" s="953"/>
      <c r="NEM108" s="953"/>
      <c r="NEN108" s="953"/>
      <c r="NEO108" s="953"/>
      <c r="NEP108" s="953"/>
      <c r="NEQ108" s="953"/>
      <c r="NER108" s="953"/>
      <c r="NES108" s="953"/>
      <c r="NET108" s="953"/>
      <c r="NEU108" s="953"/>
      <c r="NEV108" s="953"/>
      <c r="NEW108" s="953"/>
      <c r="NEX108" s="953"/>
      <c r="NEY108" s="953"/>
      <c r="NEZ108" s="953"/>
      <c r="NFA108" s="953"/>
      <c r="NFB108" s="953"/>
      <c r="NFC108" s="953"/>
      <c r="NFD108" s="953"/>
      <c r="NFE108" s="953"/>
      <c r="NFF108" s="953"/>
      <c r="NFG108" s="953"/>
      <c r="NFH108" s="953"/>
      <c r="NFI108" s="953"/>
      <c r="NFJ108" s="953"/>
      <c r="NFK108" s="953"/>
      <c r="NFL108" s="953"/>
      <c r="NFM108" s="953"/>
      <c r="NFN108" s="953"/>
      <c r="NFO108" s="953"/>
      <c r="NFP108" s="953"/>
      <c r="NFQ108" s="953"/>
      <c r="NFR108" s="953"/>
      <c r="NFS108" s="953"/>
      <c r="NFT108" s="953"/>
      <c r="NFU108" s="953"/>
      <c r="NFV108" s="953"/>
      <c r="NFW108" s="953"/>
      <c r="NFX108" s="953"/>
      <c r="NFY108" s="953"/>
      <c r="NFZ108" s="953"/>
      <c r="NGA108" s="953"/>
      <c r="NGB108" s="953"/>
      <c r="NGC108" s="953"/>
      <c r="NGD108" s="953"/>
      <c r="NGE108" s="953"/>
      <c r="NGF108" s="953"/>
      <c r="NGG108" s="953"/>
      <c r="NGH108" s="953"/>
      <c r="NGI108" s="953"/>
      <c r="NGJ108" s="953"/>
      <c r="NGK108" s="953"/>
      <c r="NGL108" s="953"/>
      <c r="NGM108" s="953"/>
      <c r="NGN108" s="953"/>
      <c r="NGO108" s="953"/>
      <c r="NGP108" s="953"/>
      <c r="NGQ108" s="953"/>
      <c r="NGR108" s="953"/>
      <c r="NGS108" s="953"/>
      <c r="NGT108" s="953"/>
      <c r="NGU108" s="953"/>
      <c r="NGV108" s="953"/>
      <c r="NGW108" s="953"/>
      <c r="NGX108" s="953"/>
      <c r="NGY108" s="953"/>
      <c r="NGZ108" s="953"/>
      <c r="NHA108" s="953"/>
      <c r="NHB108" s="953"/>
      <c r="NHC108" s="953"/>
      <c r="NHD108" s="953"/>
      <c r="NHE108" s="953"/>
      <c r="NHF108" s="953"/>
      <c r="NHG108" s="953"/>
      <c r="NHH108" s="953"/>
      <c r="NHI108" s="953"/>
      <c r="NHJ108" s="953"/>
      <c r="NHK108" s="953"/>
      <c r="NHL108" s="953"/>
      <c r="NHM108" s="953"/>
      <c r="NHN108" s="953"/>
      <c r="NHO108" s="953"/>
      <c r="NHP108" s="953"/>
      <c r="NHQ108" s="953"/>
      <c r="NHR108" s="953"/>
      <c r="NHS108" s="953"/>
      <c r="NHT108" s="953"/>
      <c r="NHU108" s="953"/>
      <c r="NHV108" s="953"/>
      <c r="NHW108" s="953"/>
      <c r="NHX108" s="953"/>
      <c r="NHY108" s="953"/>
      <c r="NHZ108" s="953"/>
      <c r="NIA108" s="953"/>
      <c r="NIB108" s="953"/>
      <c r="NIC108" s="953"/>
      <c r="NID108" s="953"/>
      <c r="NIE108" s="953"/>
      <c r="NIF108" s="953"/>
      <c r="NIG108" s="953"/>
      <c r="NIH108" s="953"/>
      <c r="NII108" s="953"/>
      <c r="NIJ108" s="953"/>
      <c r="NIK108" s="953"/>
      <c r="NIL108" s="953"/>
      <c r="NIM108" s="953"/>
      <c r="NIN108" s="953"/>
      <c r="NIO108" s="953"/>
      <c r="NIP108" s="953"/>
      <c r="NIQ108" s="953"/>
      <c r="NIR108" s="953"/>
      <c r="NIS108" s="953"/>
      <c r="NIT108" s="953"/>
      <c r="NIU108" s="953"/>
      <c r="NIV108" s="953"/>
      <c r="NIW108" s="953"/>
      <c r="NIX108" s="953"/>
      <c r="NIY108" s="953"/>
      <c r="NIZ108" s="953"/>
      <c r="NJA108" s="953"/>
      <c r="NJB108" s="953"/>
      <c r="NJC108" s="953"/>
      <c r="NJD108" s="953"/>
      <c r="NJE108" s="953"/>
      <c r="NJF108" s="953"/>
      <c r="NJG108" s="953"/>
      <c r="NJH108" s="953"/>
      <c r="NJI108" s="953"/>
      <c r="NJJ108" s="953"/>
      <c r="NJK108" s="953"/>
      <c r="NJL108" s="953"/>
      <c r="NJM108" s="953"/>
      <c r="NJN108" s="953"/>
      <c r="NJO108" s="953"/>
      <c r="NJP108" s="953"/>
      <c r="NJQ108" s="953"/>
      <c r="NJR108" s="953"/>
      <c r="NJS108" s="953"/>
      <c r="NJT108" s="953"/>
      <c r="NJU108" s="953"/>
      <c r="NJV108" s="953"/>
      <c r="NJW108" s="953"/>
      <c r="NJX108" s="953"/>
      <c r="NJY108" s="953"/>
      <c r="NJZ108" s="953"/>
      <c r="NKA108" s="953"/>
      <c r="NKB108" s="953"/>
      <c r="NKC108" s="953"/>
      <c r="NKD108" s="953"/>
      <c r="NKE108" s="953"/>
      <c r="NKF108" s="953"/>
      <c r="NKG108" s="953"/>
      <c r="NKH108" s="953"/>
      <c r="NKI108" s="953"/>
      <c r="NKJ108" s="953"/>
      <c r="NKK108" s="953"/>
      <c r="NKL108" s="953"/>
      <c r="NKM108" s="953"/>
      <c r="NKN108" s="953"/>
      <c r="NKO108" s="953"/>
      <c r="NKP108" s="953"/>
      <c r="NKQ108" s="953"/>
      <c r="NKR108" s="953"/>
      <c r="NKS108" s="953"/>
      <c r="NKT108" s="953"/>
      <c r="NKU108" s="953"/>
      <c r="NKV108" s="953"/>
      <c r="NKW108" s="953"/>
      <c r="NKX108" s="953"/>
      <c r="NKY108" s="953"/>
      <c r="NKZ108" s="953"/>
      <c r="NLA108" s="953"/>
      <c r="NLB108" s="953"/>
      <c r="NLC108" s="953"/>
      <c r="NLD108" s="953"/>
      <c r="NLE108" s="953"/>
      <c r="NLF108" s="953"/>
      <c r="NLG108" s="953"/>
      <c r="NLH108" s="953"/>
      <c r="NLI108" s="953"/>
      <c r="NLJ108" s="953"/>
      <c r="NLK108" s="953"/>
      <c r="NLL108" s="953"/>
      <c r="NLM108" s="953"/>
      <c r="NLN108" s="953"/>
      <c r="NLO108" s="953"/>
      <c r="NLP108" s="953"/>
      <c r="NLQ108" s="953"/>
      <c r="NLR108" s="953"/>
      <c r="NLS108" s="953"/>
      <c r="NLT108" s="953"/>
      <c r="NLU108" s="953"/>
      <c r="NLV108" s="953"/>
      <c r="NLW108" s="953"/>
      <c r="NLX108" s="953"/>
      <c r="NLY108" s="953"/>
      <c r="NLZ108" s="953"/>
      <c r="NMA108" s="953"/>
      <c r="NMB108" s="953"/>
      <c r="NMC108" s="953"/>
      <c r="NMD108" s="953"/>
      <c r="NME108" s="953"/>
      <c r="NMF108" s="953"/>
      <c r="NMG108" s="953"/>
      <c r="NMH108" s="953"/>
      <c r="NMI108" s="953"/>
      <c r="NMJ108" s="953"/>
      <c r="NMK108" s="953"/>
      <c r="NML108" s="953"/>
      <c r="NMM108" s="953"/>
      <c r="NMN108" s="953"/>
      <c r="NMO108" s="953"/>
      <c r="NMP108" s="953"/>
      <c r="NMQ108" s="953"/>
      <c r="NMR108" s="953"/>
      <c r="NMS108" s="953"/>
      <c r="NMT108" s="953"/>
      <c r="NMU108" s="953"/>
      <c r="NMV108" s="953"/>
      <c r="NMW108" s="953"/>
      <c r="NMX108" s="953"/>
      <c r="NMY108" s="953"/>
      <c r="NMZ108" s="953"/>
      <c r="NNA108" s="953"/>
      <c r="NNB108" s="953"/>
      <c r="NNC108" s="953"/>
      <c r="NND108" s="953"/>
      <c r="NNE108" s="953"/>
      <c r="NNF108" s="953"/>
      <c r="NNG108" s="953"/>
      <c r="NNH108" s="953"/>
      <c r="NNI108" s="953"/>
      <c r="NNJ108" s="953"/>
      <c r="NNK108" s="953"/>
      <c r="NNL108" s="953"/>
      <c r="NNM108" s="953"/>
      <c r="NNN108" s="953"/>
      <c r="NNO108" s="953"/>
      <c r="NNP108" s="953"/>
      <c r="NNQ108" s="953"/>
      <c r="NNR108" s="953"/>
      <c r="NNS108" s="953"/>
      <c r="NNT108" s="953"/>
      <c r="NNU108" s="953"/>
      <c r="NNV108" s="953"/>
      <c r="NNW108" s="953"/>
      <c r="NNX108" s="953"/>
      <c r="NNY108" s="953"/>
      <c r="NNZ108" s="953"/>
      <c r="NOA108" s="953"/>
      <c r="NOB108" s="953"/>
      <c r="NOC108" s="953"/>
      <c r="NOD108" s="953"/>
      <c r="NOE108" s="953"/>
      <c r="NOF108" s="953"/>
      <c r="NOG108" s="953"/>
      <c r="NOH108" s="953"/>
      <c r="NOI108" s="953"/>
      <c r="NOJ108" s="953"/>
      <c r="NOK108" s="953"/>
      <c r="NOL108" s="953"/>
      <c r="NOM108" s="953"/>
      <c r="NON108" s="953"/>
      <c r="NOO108" s="953"/>
      <c r="NOP108" s="953"/>
      <c r="NOQ108" s="953"/>
      <c r="NOR108" s="953"/>
      <c r="NOS108" s="953"/>
      <c r="NOT108" s="953"/>
      <c r="NOU108" s="953"/>
      <c r="NOV108" s="953"/>
      <c r="NOW108" s="953"/>
      <c r="NOX108" s="953"/>
      <c r="NOY108" s="953"/>
      <c r="NOZ108" s="953"/>
      <c r="NPA108" s="953"/>
      <c r="NPB108" s="953"/>
      <c r="NPC108" s="953"/>
      <c r="NPD108" s="953"/>
      <c r="NPE108" s="953"/>
      <c r="NPF108" s="953"/>
      <c r="NPG108" s="953"/>
      <c r="NPH108" s="953"/>
      <c r="NPI108" s="953"/>
      <c r="NPJ108" s="953"/>
      <c r="NPK108" s="953"/>
      <c r="NPL108" s="953"/>
      <c r="NPM108" s="953"/>
      <c r="NPN108" s="953"/>
      <c r="NPO108" s="953"/>
      <c r="NPP108" s="953"/>
      <c r="NPQ108" s="953"/>
      <c r="NPR108" s="953"/>
      <c r="NPS108" s="953"/>
      <c r="NPT108" s="953"/>
      <c r="NPU108" s="953"/>
      <c r="NPV108" s="953"/>
      <c r="NPW108" s="953"/>
      <c r="NPX108" s="953"/>
      <c r="NPY108" s="953"/>
      <c r="NPZ108" s="953"/>
      <c r="NQA108" s="953"/>
      <c r="NQB108" s="953"/>
      <c r="NQC108" s="953"/>
      <c r="NQD108" s="953"/>
      <c r="NQE108" s="953"/>
      <c r="NQF108" s="953"/>
      <c r="NQG108" s="953"/>
      <c r="NQH108" s="953"/>
      <c r="NQI108" s="953"/>
      <c r="NQJ108" s="953"/>
      <c r="NQK108" s="953"/>
      <c r="NQL108" s="953"/>
      <c r="NQM108" s="953"/>
      <c r="NQN108" s="953"/>
      <c r="NQO108" s="953"/>
      <c r="NQP108" s="953"/>
      <c r="NQQ108" s="953"/>
      <c r="NQR108" s="953"/>
      <c r="NQS108" s="953"/>
      <c r="NQT108" s="953"/>
      <c r="NQU108" s="953"/>
      <c r="NQV108" s="953"/>
      <c r="NQW108" s="953"/>
      <c r="NQX108" s="953"/>
      <c r="NQY108" s="953"/>
      <c r="NQZ108" s="953"/>
      <c r="NRA108" s="953"/>
      <c r="NRB108" s="953"/>
      <c r="NRC108" s="953"/>
      <c r="NRD108" s="953"/>
      <c r="NRE108" s="953"/>
      <c r="NRF108" s="953"/>
      <c r="NRG108" s="953"/>
      <c r="NRH108" s="953"/>
      <c r="NRI108" s="953"/>
      <c r="NRJ108" s="953"/>
      <c r="NRK108" s="953"/>
      <c r="NRL108" s="953"/>
      <c r="NRM108" s="953"/>
      <c r="NRN108" s="953"/>
      <c r="NRO108" s="953"/>
      <c r="NRP108" s="953"/>
      <c r="NRQ108" s="953"/>
      <c r="NRR108" s="953"/>
      <c r="NRS108" s="953"/>
      <c r="NRT108" s="953"/>
      <c r="NRU108" s="953"/>
      <c r="NRV108" s="953"/>
      <c r="NRW108" s="953"/>
      <c r="NRX108" s="953"/>
      <c r="NRY108" s="953"/>
      <c r="NRZ108" s="953"/>
      <c r="NSA108" s="953"/>
      <c r="NSB108" s="953"/>
      <c r="NSC108" s="953"/>
      <c r="NSD108" s="953"/>
      <c r="NSE108" s="953"/>
      <c r="NSF108" s="953"/>
      <c r="NSG108" s="953"/>
      <c r="NSH108" s="953"/>
      <c r="NSI108" s="953"/>
      <c r="NSJ108" s="953"/>
      <c r="NSK108" s="953"/>
      <c r="NSL108" s="953"/>
      <c r="NSM108" s="953"/>
      <c r="NSN108" s="953"/>
      <c r="NSO108" s="953"/>
      <c r="NSP108" s="953"/>
      <c r="NSQ108" s="953"/>
      <c r="NSR108" s="953"/>
      <c r="NSS108" s="953"/>
      <c r="NST108" s="953"/>
      <c r="NSU108" s="953"/>
      <c r="NSV108" s="953"/>
      <c r="NSW108" s="953"/>
      <c r="NSX108" s="953"/>
      <c r="NSY108" s="953"/>
      <c r="NSZ108" s="953"/>
      <c r="NTA108" s="953"/>
      <c r="NTB108" s="953"/>
      <c r="NTC108" s="953"/>
      <c r="NTD108" s="953"/>
      <c r="NTE108" s="953"/>
      <c r="NTF108" s="953"/>
      <c r="NTG108" s="953"/>
      <c r="NTH108" s="953"/>
      <c r="NTI108" s="953"/>
      <c r="NTJ108" s="953"/>
      <c r="NTK108" s="953"/>
      <c r="NTL108" s="953"/>
      <c r="NTM108" s="953"/>
      <c r="NTN108" s="953"/>
      <c r="NTO108" s="953"/>
      <c r="NTP108" s="953"/>
      <c r="NTQ108" s="953"/>
      <c r="NTR108" s="953"/>
      <c r="NTS108" s="953"/>
      <c r="NTT108" s="953"/>
      <c r="NTU108" s="953"/>
      <c r="NTV108" s="953"/>
      <c r="NTW108" s="953"/>
      <c r="NTX108" s="953"/>
      <c r="NTY108" s="953"/>
      <c r="NTZ108" s="953"/>
      <c r="NUA108" s="953"/>
      <c r="NUB108" s="953"/>
      <c r="NUC108" s="953"/>
      <c r="NUD108" s="953"/>
      <c r="NUE108" s="953"/>
      <c r="NUF108" s="953"/>
      <c r="NUG108" s="953"/>
      <c r="NUH108" s="953"/>
      <c r="NUI108" s="953"/>
      <c r="NUJ108" s="953"/>
      <c r="NUK108" s="953"/>
      <c r="NUL108" s="953"/>
      <c r="NUM108" s="953"/>
      <c r="NUN108" s="953"/>
      <c r="NUO108" s="953"/>
      <c r="NUP108" s="953"/>
      <c r="NUQ108" s="953"/>
      <c r="NUR108" s="953"/>
      <c r="NUS108" s="953"/>
      <c r="NUT108" s="953"/>
      <c r="NUU108" s="953"/>
      <c r="NUV108" s="953"/>
      <c r="NUW108" s="953"/>
      <c r="NUX108" s="953"/>
      <c r="NUY108" s="953"/>
      <c r="NUZ108" s="953"/>
      <c r="NVA108" s="953"/>
      <c r="NVB108" s="953"/>
      <c r="NVC108" s="953"/>
      <c r="NVD108" s="953"/>
      <c r="NVE108" s="953"/>
      <c r="NVF108" s="953"/>
      <c r="NVG108" s="953"/>
      <c r="NVH108" s="953"/>
      <c r="NVI108" s="953"/>
      <c r="NVJ108" s="953"/>
      <c r="NVK108" s="953"/>
      <c r="NVL108" s="953"/>
      <c r="NVM108" s="953"/>
      <c r="NVN108" s="953"/>
      <c r="NVO108" s="953"/>
      <c r="NVP108" s="953"/>
      <c r="NVQ108" s="953"/>
      <c r="NVR108" s="953"/>
      <c r="NVS108" s="953"/>
      <c r="NVT108" s="953"/>
      <c r="NVU108" s="953"/>
      <c r="NVV108" s="953"/>
      <c r="NVW108" s="953"/>
      <c r="NVX108" s="953"/>
      <c r="NVY108" s="953"/>
      <c r="NVZ108" s="953"/>
      <c r="NWA108" s="953"/>
      <c r="NWB108" s="953"/>
      <c r="NWC108" s="953"/>
      <c r="NWD108" s="953"/>
      <c r="NWE108" s="953"/>
      <c r="NWF108" s="953"/>
      <c r="NWG108" s="953"/>
      <c r="NWH108" s="953"/>
      <c r="NWI108" s="953"/>
      <c r="NWJ108" s="953"/>
      <c r="NWK108" s="953"/>
      <c r="NWL108" s="953"/>
      <c r="NWM108" s="953"/>
      <c r="NWN108" s="953"/>
      <c r="NWO108" s="953"/>
      <c r="NWP108" s="953"/>
      <c r="NWQ108" s="953"/>
      <c r="NWR108" s="953"/>
      <c r="NWS108" s="953"/>
      <c r="NWT108" s="953"/>
      <c r="NWU108" s="953"/>
      <c r="NWV108" s="953"/>
      <c r="NWW108" s="953"/>
      <c r="NWX108" s="953"/>
      <c r="NWY108" s="953"/>
      <c r="NWZ108" s="953"/>
      <c r="NXA108" s="953"/>
      <c r="NXB108" s="953"/>
      <c r="NXC108" s="953"/>
      <c r="NXD108" s="953"/>
      <c r="NXE108" s="953"/>
      <c r="NXF108" s="953"/>
      <c r="NXG108" s="953"/>
      <c r="NXH108" s="953"/>
      <c r="NXI108" s="953"/>
      <c r="NXJ108" s="953"/>
      <c r="NXK108" s="953"/>
      <c r="NXL108" s="953"/>
      <c r="NXM108" s="953"/>
      <c r="NXN108" s="953"/>
      <c r="NXO108" s="953"/>
      <c r="NXP108" s="953"/>
      <c r="NXQ108" s="953"/>
      <c r="NXR108" s="953"/>
      <c r="NXS108" s="953"/>
      <c r="NXT108" s="953"/>
      <c r="NXU108" s="953"/>
      <c r="NXV108" s="953"/>
      <c r="NXW108" s="953"/>
      <c r="NXX108" s="953"/>
      <c r="NXY108" s="953"/>
      <c r="NXZ108" s="953"/>
      <c r="NYA108" s="953"/>
      <c r="NYB108" s="953"/>
      <c r="NYC108" s="953"/>
      <c r="NYD108" s="953"/>
      <c r="NYE108" s="953"/>
      <c r="NYF108" s="953"/>
      <c r="NYG108" s="953"/>
      <c r="NYH108" s="953"/>
      <c r="NYI108" s="953"/>
      <c r="NYJ108" s="953"/>
      <c r="NYK108" s="953"/>
      <c r="NYL108" s="953"/>
      <c r="NYM108" s="953"/>
      <c r="NYN108" s="953"/>
      <c r="NYO108" s="953"/>
      <c r="NYP108" s="953"/>
      <c r="NYQ108" s="953"/>
      <c r="NYR108" s="953"/>
      <c r="NYS108" s="953"/>
      <c r="NYT108" s="953"/>
      <c r="NYU108" s="953"/>
      <c r="NYV108" s="953"/>
      <c r="NYW108" s="953"/>
      <c r="NYX108" s="953"/>
      <c r="NYY108" s="953"/>
      <c r="NYZ108" s="953"/>
      <c r="NZA108" s="953"/>
      <c r="NZB108" s="953"/>
      <c r="NZC108" s="953"/>
      <c r="NZD108" s="953"/>
      <c r="NZE108" s="953"/>
      <c r="NZF108" s="953"/>
      <c r="NZG108" s="953"/>
      <c r="NZH108" s="953"/>
      <c r="NZI108" s="953"/>
      <c r="NZJ108" s="953"/>
      <c r="NZK108" s="953"/>
      <c r="NZL108" s="953"/>
      <c r="NZM108" s="953"/>
      <c r="NZN108" s="953"/>
      <c r="NZO108" s="953"/>
      <c r="NZP108" s="953"/>
      <c r="NZQ108" s="953"/>
      <c r="NZR108" s="953"/>
      <c r="NZS108" s="953"/>
      <c r="NZT108" s="953"/>
      <c r="NZU108" s="953"/>
      <c r="NZV108" s="953"/>
      <c r="NZW108" s="953"/>
      <c r="NZX108" s="953"/>
      <c r="NZY108" s="953"/>
      <c r="NZZ108" s="953"/>
      <c r="OAA108" s="953"/>
      <c r="OAB108" s="953"/>
      <c r="OAC108" s="953"/>
      <c r="OAD108" s="953"/>
      <c r="OAE108" s="953"/>
      <c r="OAF108" s="953"/>
      <c r="OAG108" s="953"/>
      <c r="OAH108" s="953"/>
      <c r="OAI108" s="953"/>
      <c r="OAJ108" s="953"/>
      <c r="OAK108" s="953"/>
      <c r="OAL108" s="953"/>
      <c r="OAM108" s="953"/>
      <c r="OAN108" s="953"/>
      <c r="OAO108" s="953"/>
      <c r="OAP108" s="953"/>
      <c r="OAQ108" s="953"/>
      <c r="OAR108" s="953"/>
      <c r="OAS108" s="953"/>
      <c r="OAT108" s="953"/>
      <c r="OAU108" s="953"/>
      <c r="OAV108" s="953"/>
      <c r="OAW108" s="953"/>
      <c r="OAX108" s="953"/>
      <c r="OAY108" s="953"/>
      <c r="OAZ108" s="953"/>
      <c r="OBA108" s="953"/>
      <c r="OBB108" s="953"/>
      <c r="OBC108" s="953"/>
      <c r="OBD108" s="953"/>
      <c r="OBE108" s="953"/>
      <c r="OBF108" s="953"/>
      <c r="OBG108" s="953"/>
      <c r="OBH108" s="953"/>
      <c r="OBI108" s="953"/>
      <c r="OBJ108" s="953"/>
      <c r="OBK108" s="953"/>
      <c r="OBL108" s="953"/>
      <c r="OBM108" s="953"/>
      <c r="OBN108" s="953"/>
      <c r="OBO108" s="953"/>
      <c r="OBP108" s="953"/>
      <c r="OBQ108" s="953"/>
      <c r="OBR108" s="953"/>
      <c r="OBS108" s="953"/>
      <c r="OBT108" s="953"/>
      <c r="OBU108" s="953"/>
      <c r="OBV108" s="953"/>
      <c r="OBW108" s="953"/>
      <c r="OBX108" s="953"/>
      <c r="OBY108" s="953"/>
      <c r="OBZ108" s="953"/>
      <c r="OCA108" s="953"/>
      <c r="OCB108" s="953"/>
      <c r="OCC108" s="953"/>
      <c r="OCD108" s="953"/>
      <c r="OCE108" s="953"/>
      <c r="OCF108" s="953"/>
      <c r="OCG108" s="953"/>
      <c r="OCH108" s="953"/>
      <c r="OCI108" s="953"/>
      <c r="OCJ108" s="953"/>
      <c r="OCK108" s="953"/>
      <c r="OCL108" s="953"/>
      <c r="OCM108" s="953"/>
      <c r="OCN108" s="953"/>
      <c r="OCO108" s="953"/>
      <c r="OCP108" s="953"/>
      <c r="OCQ108" s="953"/>
      <c r="OCR108" s="953"/>
      <c r="OCS108" s="953"/>
      <c r="OCT108" s="953"/>
      <c r="OCU108" s="953"/>
      <c r="OCV108" s="953"/>
      <c r="OCW108" s="953"/>
      <c r="OCX108" s="953"/>
      <c r="OCY108" s="953"/>
      <c r="OCZ108" s="953"/>
      <c r="ODA108" s="953"/>
      <c r="ODB108" s="953"/>
      <c r="ODC108" s="953"/>
      <c r="ODD108" s="953"/>
      <c r="ODE108" s="953"/>
      <c r="ODF108" s="953"/>
      <c r="ODG108" s="953"/>
      <c r="ODH108" s="953"/>
      <c r="ODI108" s="953"/>
      <c r="ODJ108" s="953"/>
      <c r="ODK108" s="953"/>
      <c r="ODL108" s="953"/>
      <c r="ODM108" s="953"/>
      <c r="ODN108" s="953"/>
      <c r="ODO108" s="953"/>
      <c r="ODP108" s="953"/>
      <c r="ODQ108" s="953"/>
      <c r="ODR108" s="953"/>
      <c r="ODS108" s="953"/>
      <c r="ODT108" s="953"/>
      <c r="ODU108" s="953"/>
      <c r="ODV108" s="953"/>
      <c r="ODW108" s="953"/>
      <c r="ODX108" s="953"/>
      <c r="ODY108" s="953"/>
      <c r="ODZ108" s="953"/>
      <c r="OEA108" s="953"/>
      <c r="OEB108" s="953"/>
      <c r="OEC108" s="953"/>
      <c r="OED108" s="953"/>
      <c r="OEE108" s="953"/>
      <c r="OEF108" s="953"/>
      <c r="OEG108" s="953"/>
      <c r="OEH108" s="953"/>
      <c r="OEI108" s="953"/>
      <c r="OEJ108" s="953"/>
      <c r="OEK108" s="953"/>
      <c r="OEL108" s="953"/>
      <c r="OEM108" s="953"/>
      <c r="OEN108" s="953"/>
      <c r="OEO108" s="953"/>
      <c r="OEP108" s="953"/>
      <c r="OEQ108" s="953"/>
      <c r="OER108" s="953"/>
      <c r="OES108" s="953"/>
      <c r="OET108" s="953"/>
      <c r="OEU108" s="953"/>
      <c r="OEV108" s="953"/>
      <c r="OEW108" s="953"/>
      <c r="OEX108" s="953"/>
      <c r="OEY108" s="953"/>
      <c r="OEZ108" s="953"/>
      <c r="OFA108" s="953"/>
      <c r="OFB108" s="953"/>
      <c r="OFC108" s="953"/>
      <c r="OFD108" s="953"/>
      <c r="OFE108" s="953"/>
      <c r="OFF108" s="953"/>
      <c r="OFG108" s="953"/>
      <c r="OFH108" s="953"/>
      <c r="OFI108" s="953"/>
      <c r="OFJ108" s="953"/>
      <c r="OFK108" s="953"/>
      <c r="OFL108" s="953"/>
      <c r="OFM108" s="953"/>
      <c r="OFN108" s="953"/>
      <c r="OFO108" s="953"/>
      <c r="OFP108" s="953"/>
      <c r="OFQ108" s="953"/>
      <c r="OFR108" s="953"/>
      <c r="OFS108" s="953"/>
      <c r="OFT108" s="953"/>
      <c r="OFU108" s="953"/>
      <c r="OFV108" s="953"/>
      <c r="OFW108" s="953"/>
      <c r="OFX108" s="953"/>
      <c r="OFY108" s="953"/>
      <c r="OFZ108" s="953"/>
      <c r="OGA108" s="953"/>
      <c r="OGB108" s="953"/>
      <c r="OGC108" s="953"/>
      <c r="OGD108" s="953"/>
      <c r="OGE108" s="953"/>
      <c r="OGF108" s="953"/>
      <c r="OGG108" s="953"/>
      <c r="OGH108" s="953"/>
      <c r="OGI108" s="953"/>
      <c r="OGJ108" s="953"/>
      <c r="OGK108" s="953"/>
      <c r="OGL108" s="953"/>
      <c r="OGM108" s="953"/>
      <c r="OGN108" s="953"/>
      <c r="OGO108" s="953"/>
      <c r="OGP108" s="953"/>
      <c r="OGQ108" s="953"/>
      <c r="OGR108" s="953"/>
      <c r="OGS108" s="953"/>
      <c r="OGT108" s="953"/>
      <c r="OGU108" s="953"/>
      <c r="OGV108" s="953"/>
      <c r="OGW108" s="953"/>
      <c r="OGX108" s="953"/>
      <c r="OGY108" s="953"/>
      <c r="OGZ108" s="953"/>
      <c r="OHA108" s="953"/>
      <c r="OHB108" s="953"/>
      <c r="OHC108" s="953"/>
      <c r="OHD108" s="953"/>
      <c r="OHE108" s="953"/>
      <c r="OHF108" s="953"/>
      <c r="OHG108" s="953"/>
      <c r="OHH108" s="953"/>
      <c r="OHI108" s="953"/>
      <c r="OHJ108" s="953"/>
      <c r="OHK108" s="953"/>
      <c r="OHL108" s="953"/>
      <c r="OHM108" s="953"/>
      <c r="OHN108" s="953"/>
      <c r="OHO108" s="953"/>
      <c r="OHP108" s="953"/>
      <c r="OHQ108" s="953"/>
      <c r="OHR108" s="953"/>
      <c r="OHS108" s="953"/>
      <c r="OHT108" s="953"/>
      <c r="OHU108" s="953"/>
      <c r="OHV108" s="953"/>
      <c r="OHW108" s="953"/>
      <c r="OHX108" s="953"/>
      <c r="OHY108" s="953"/>
      <c r="OHZ108" s="953"/>
      <c r="OIA108" s="953"/>
      <c r="OIB108" s="953"/>
      <c r="OIC108" s="953"/>
      <c r="OID108" s="953"/>
      <c r="OIE108" s="953"/>
      <c r="OIF108" s="953"/>
      <c r="OIG108" s="953"/>
      <c r="OIH108" s="953"/>
      <c r="OII108" s="953"/>
      <c r="OIJ108" s="953"/>
      <c r="OIK108" s="953"/>
      <c r="OIL108" s="953"/>
      <c r="OIM108" s="953"/>
      <c r="OIN108" s="953"/>
      <c r="OIO108" s="953"/>
      <c r="OIP108" s="953"/>
      <c r="OIQ108" s="953"/>
      <c r="OIR108" s="953"/>
      <c r="OIS108" s="953"/>
      <c r="OIT108" s="953"/>
      <c r="OIU108" s="953"/>
      <c r="OIV108" s="953"/>
      <c r="OIW108" s="953"/>
      <c r="OIX108" s="953"/>
      <c r="OIY108" s="953"/>
      <c r="OIZ108" s="953"/>
      <c r="OJA108" s="953"/>
      <c r="OJB108" s="953"/>
      <c r="OJC108" s="953"/>
      <c r="OJD108" s="953"/>
      <c r="OJE108" s="953"/>
      <c r="OJF108" s="953"/>
      <c r="OJG108" s="953"/>
      <c r="OJH108" s="953"/>
      <c r="OJI108" s="953"/>
      <c r="OJJ108" s="953"/>
      <c r="OJK108" s="953"/>
      <c r="OJL108" s="953"/>
      <c r="OJM108" s="953"/>
      <c r="OJN108" s="953"/>
      <c r="OJO108" s="953"/>
      <c r="OJP108" s="953"/>
      <c r="OJQ108" s="953"/>
      <c r="OJR108" s="953"/>
      <c r="OJS108" s="953"/>
      <c r="OJT108" s="953"/>
      <c r="OJU108" s="953"/>
      <c r="OJV108" s="953"/>
      <c r="OJW108" s="953"/>
      <c r="OJX108" s="953"/>
      <c r="OJY108" s="953"/>
      <c r="OJZ108" s="953"/>
      <c r="OKA108" s="953"/>
      <c r="OKB108" s="953"/>
      <c r="OKC108" s="953"/>
      <c r="OKD108" s="953"/>
      <c r="OKE108" s="953"/>
      <c r="OKF108" s="953"/>
      <c r="OKG108" s="953"/>
      <c r="OKH108" s="953"/>
      <c r="OKI108" s="953"/>
      <c r="OKJ108" s="953"/>
      <c r="OKK108" s="953"/>
      <c r="OKL108" s="953"/>
      <c r="OKM108" s="953"/>
      <c r="OKN108" s="953"/>
      <c r="OKO108" s="953"/>
      <c r="OKP108" s="953"/>
      <c r="OKQ108" s="953"/>
      <c r="OKR108" s="953"/>
      <c r="OKS108" s="953"/>
      <c r="OKT108" s="953"/>
      <c r="OKU108" s="953"/>
      <c r="OKV108" s="953"/>
      <c r="OKW108" s="953"/>
      <c r="OKX108" s="953"/>
      <c r="OKY108" s="953"/>
      <c r="OKZ108" s="953"/>
      <c r="OLA108" s="953"/>
      <c r="OLB108" s="953"/>
      <c r="OLC108" s="953"/>
      <c r="OLD108" s="953"/>
      <c r="OLE108" s="953"/>
      <c r="OLF108" s="953"/>
      <c r="OLG108" s="953"/>
      <c r="OLH108" s="953"/>
      <c r="OLI108" s="953"/>
      <c r="OLJ108" s="953"/>
      <c r="OLK108" s="953"/>
      <c r="OLL108" s="953"/>
      <c r="OLM108" s="953"/>
      <c r="OLN108" s="953"/>
      <c r="OLO108" s="953"/>
      <c r="OLP108" s="953"/>
      <c r="OLQ108" s="953"/>
      <c r="OLR108" s="953"/>
      <c r="OLS108" s="953"/>
      <c r="OLT108" s="953"/>
      <c r="OLU108" s="953"/>
      <c r="OLV108" s="953"/>
      <c r="OLW108" s="953"/>
      <c r="OLX108" s="953"/>
      <c r="OLY108" s="953"/>
      <c r="OLZ108" s="953"/>
      <c r="OMA108" s="953"/>
      <c r="OMB108" s="953"/>
      <c r="OMC108" s="953"/>
      <c r="OMD108" s="953"/>
      <c r="OME108" s="953"/>
      <c r="OMF108" s="953"/>
      <c r="OMG108" s="953"/>
      <c r="OMH108" s="953"/>
      <c r="OMI108" s="953"/>
      <c r="OMJ108" s="953"/>
      <c r="OMK108" s="953"/>
      <c r="OML108" s="953"/>
      <c r="OMM108" s="953"/>
      <c r="OMN108" s="953"/>
      <c r="OMO108" s="953"/>
      <c r="OMP108" s="953"/>
      <c r="OMQ108" s="953"/>
      <c r="OMR108" s="953"/>
      <c r="OMS108" s="953"/>
      <c r="OMT108" s="953"/>
      <c r="OMU108" s="953"/>
      <c r="OMV108" s="953"/>
      <c r="OMW108" s="953"/>
      <c r="OMX108" s="953"/>
      <c r="OMY108" s="953"/>
      <c r="OMZ108" s="953"/>
      <c r="ONA108" s="953"/>
      <c r="ONB108" s="953"/>
      <c r="ONC108" s="953"/>
      <c r="OND108" s="953"/>
      <c r="ONE108" s="953"/>
      <c r="ONF108" s="953"/>
      <c r="ONG108" s="953"/>
      <c r="ONH108" s="953"/>
      <c r="ONI108" s="953"/>
      <c r="ONJ108" s="953"/>
      <c r="ONK108" s="953"/>
      <c r="ONL108" s="953"/>
      <c r="ONM108" s="953"/>
      <c r="ONN108" s="953"/>
      <c r="ONO108" s="953"/>
      <c r="ONP108" s="953"/>
      <c r="ONQ108" s="953"/>
      <c r="ONR108" s="953"/>
      <c r="ONS108" s="953"/>
      <c r="ONT108" s="953"/>
      <c r="ONU108" s="953"/>
      <c r="ONV108" s="953"/>
      <c r="ONW108" s="953"/>
      <c r="ONX108" s="953"/>
      <c r="ONY108" s="953"/>
      <c r="ONZ108" s="953"/>
      <c r="OOA108" s="953"/>
      <c r="OOB108" s="953"/>
      <c r="OOC108" s="953"/>
      <c r="OOD108" s="953"/>
      <c r="OOE108" s="953"/>
      <c r="OOF108" s="953"/>
      <c r="OOG108" s="953"/>
      <c r="OOH108" s="953"/>
      <c r="OOI108" s="953"/>
      <c r="OOJ108" s="953"/>
      <c r="OOK108" s="953"/>
      <c r="OOL108" s="953"/>
      <c r="OOM108" s="953"/>
      <c r="OON108" s="953"/>
      <c r="OOO108" s="953"/>
      <c r="OOP108" s="953"/>
      <c r="OOQ108" s="953"/>
      <c r="OOR108" s="953"/>
      <c r="OOS108" s="953"/>
      <c r="OOT108" s="953"/>
      <c r="OOU108" s="953"/>
      <c r="OOV108" s="953"/>
      <c r="OOW108" s="953"/>
      <c r="OOX108" s="953"/>
      <c r="OOY108" s="953"/>
      <c r="OOZ108" s="953"/>
      <c r="OPA108" s="953"/>
      <c r="OPB108" s="953"/>
      <c r="OPC108" s="953"/>
      <c r="OPD108" s="953"/>
      <c r="OPE108" s="953"/>
      <c r="OPF108" s="953"/>
      <c r="OPG108" s="953"/>
      <c r="OPH108" s="953"/>
      <c r="OPI108" s="953"/>
      <c r="OPJ108" s="953"/>
      <c r="OPK108" s="953"/>
      <c r="OPL108" s="953"/>
      <c r="OPM108" s="953"/>
      <c r="OPN108" s="953"/>
      <c r="OPO108" s="953"/>
      <c r="OPP108" s="953"/>
      <c r="OPQ108" s="953"/>
      <c r="OPR108" s="953"/>
      <c r="OPS108" s="953"/>
      <c r="OPT108" s="953"/>
      <c r="OPU108" s="953"/>
      <c r="OPV108" s="953"/>
      <c r="OPW108" s="953"/>
      <c r="OPX108" s="953"/>
      <c r="OPY108" s="953"/>
      <c r="OPZ108" s="953"/>
      <c r="OQA108" s="953"/>
      <c r="OQB108" s="953"/>
      <c r="OQC108" s="953"/>
      <c r="OQD108" s="953"/>
      <c r="OQE108" s="953"/>
      <c r="OQF108" s="953"/>
      <c r="OQG108" s="953"/>
      <c r="OQH108" s="953"/>
      <c r="OQI108" s="953"/>
      <c r="OQJ108" s="953"/>
      <c r="OQK108" s="953"/>
      <c r="OQL108" s="953"/>
      <c r="OQM108" s="953"/>
      <c r="OQN108" s="953"/>
      <c r="OQO108" s="953"/>
      <c r="OQP108" s="953"/>
      <c r="OQQ108" s="953"/>
      <c r="OQR108" s="953"/>
      <c r="OQS108" s="953"/>
      <c r="OQT108" s="953"/>
      <c r="OQU108" s="953"/>
      <c r="OQV108" s="953"/>
      <c r="OQW108" s="953"/>
      <c r="OQX108" s="953"/>
      <c r="OQY108" s="953"/>
      <c r="OQZ108" s="953"/>
      <c r="ORA108" s="953"/>
      <c r="ORB108" s="953"/>
      <c r="ORC108" s="953"/>
      <c r="ORD108" s="953"/>
      <c r="ORE108" s="953"/>
      <c r="ORF108" s="953"/>
      <c r="ORG108" s="953"/>
      <c r="ORH108" s="953"/>
      <c r="ORI108" s="953"/>
      <c r="ORJ108" s="953"/>
      <c r="ORK108" s="953"/>
      <c r="ORL108" s="953"/>
      <c r="ORM108" s="953"/>
      <c r="ORN108" s="953"/>
      <c r="ORO108" s="953"/>
      <c r="ORP108" s="953"/>
      <c r="ORQ108" s="953"/>
      <c r="ORR108" s="953"/>
      <c r="ORS108" s="953"/>
      <c r="ORT108" s="953"/>
      <c r="ORU108" s="953"/>
      <c r="ORV108" s="953"/>
      <c r="ORW108" s="953"/>
      <c r="ORX108" s="953"/>
      <c r="ORY108" s="953"/>
      <c r="ORZ108" s="953"/>
      <c r="OSA108" s="953"/>
      <c r="OSB108" s="953"/>
      <c r="OSC108" s="953"/>
      <c r="OSD108" s="953"/>
      <c r="OSE108" s="953"/>
      <c r="OSF108" s="953"/>
      <c r="OSG108" s="953"/>
      <c r="OSH108" s="953"/>
      <c r="OSI108" s="953"/>
      <c r="OSJ108" s="953"/>
      <c r="OSK108" s="953"/>
      <c r="OSL108" s="953"/>
      <c r="OSM108" s="953"/>
      <c r="OSN108" s="953"/>
      <c r="OSO108" s="953"/>
      <c r="OSP108" s="953"/>
      <c r="OSQ108" s="953"/>
      <c r="OSR108" s="953"/>
      <c r="OSS108" s="953"/>
      <c r="OST108" s="953"/>
      <c r="OSU108" s="953"/>
      <c r="OSV108" s="953"/>
      <c r="OSW108" s="953"/>
      <c r="OSX108" s="953"/>
      <c r="OSY108" s="953"/>
      <c r="OSZ108" s="953"/>
      <c r="OTA108" s="953"/>
      <c r="OTB108" s="953"/>
      <c r="OTC108" s="953"/>
      <c r="OTD108" s="953"/>
      <c r="OTE108" s="953"/>
      <c r="OTF108" s="953"/>
      <c r="OTG108" s="953"/>
      <c r="OTH108" s="953"/>
      <c r="OTI108" s="953"/>
      <c r="OTJ108" s="953"/>
      <c r="OTK108" s="953"/>
      <c r="OTL108" s="953"/>
      <c r="OTM108" s="953"/>
      <c r="OTN108" s="953"/>
      <c r="OTO108" s="953"/>
      <c r="OTP108" s="953"/>
      <c r="OTQ108" s="953"/>
      <c r="OTR108" s="953"/>
      <c r="OTS108" s="953"/>
      <c r="OTT108" s="953"/>
      <c r="OTU108" s="953"/>
      <c r="OTV108" s="953"/>
      <c r="OTW108" s="953"/>
      <c r="OTX108" s="953"/>
      <c r="OTY108" s="953"/>
      <c r="OTZ108" s="953"/>
      <c r="OUA108" s="953"/>
      <c r="OUB108" s="953"/>
      <c r="OUC108" s="953"/>
      <c r="OUD108" s="953"/>
      <c r="OUE108" s="953"/>
      <c r="OUF108" s="953"/>
      <c r="OUG108" s="953"/>
      <c r="OUH108" s="953"/>
      <c r="OUI108" s="953"/>
      <c r="OUJ108" s="953"/>
      <c r="OUK108" s="953"/>
      <c r="OUL108" s="953"/>
      <c r="OUM108" s="953"/>
      <c r="OUN108" s="953"/>
      <c r="OUO108" s="953"/>
      <c r="OUP108" s="953"/>
      <c r="OUQ108" s="953"/>
      <c r="OUR108" s="953"/>
      <c r="OUS108" s="953"/>
      <c r="OUT108" s="953"/>
      <c r="OUU108" s="953"/>
      <c r="OUV108" s="953"/>
      <c r="OUW108" s="953"/>
      <c r="OUX108" s="953"/>
      <c r="OUY108" s="953"/>
      <c r="OUZ108" s="953"/>
      <c r="OVA108" s="953"/>
      <c r="OVB108" s="953"/>
      <c r="OVC108" s="953"/>
      <c r="OVD108" s="953"/>
      <c r="OVE108" s="953"/>
      <c r="OVF108" s="953"/>
      <c r="OVG108" s="953"/>
      <c r="OVH108" s="953"/>
      <c r="OVI108" s="953"/>
      <c r="OVJ108" s="953"/>
      <c r="OVK108" s="953"/>
      <c r="OVL108" s="953"/>
      <c r="OVM108" s="953"/>
      <c r="OVN108" s="953"/>
      <c r="OVO108" s="953"/>
      <c r="OVP108" s="953"/>
      <c r="OVQ108" s="953"/>
      <c r="OVR108" s="953"/>
      <c r="OVS108" s="953"/>
      <c r="OVT108" s="953"/>
      <c r="OVU108" s="953"/>
      <c r="OVV108" s="953"/>
      <c r="OVW108" s="953"/>
      <c r="OVX108" s="953"/>
      <c r="OVY108" s="953"/>
      <c r="OVZ108" s="953"/>
      <c r="OWA108" s="953"/>
      <c r="OWB108" s="953"/>
      <c r="OWC108" s="953"/>
      <c r="OWD108" s="953"/>
      <c r="OWE108" s="953"/>
      <c r="OWF108" s="953"/>
      <c r="OWG108" s="953"/>
      <c r="OWH108" s="953"/>
      <c r="OWI108" s="953"/>
      <c r="OWJ108" s="953"/>
      <c r="OWK108" s="953"/>
      <c r="OWL108" s="953"/>
      <c r="OWM108" s="953"/>
      <c r="OWN108" s="953"/>
      <c r="OWO108" s="953"/>
      <c r="OWP108" s="953"/>
      <c r="OWQ108" s="953"/>
      <c r="OWR108" s="953"/>
      <c r="OWS108" s="953"/>
      <c r="OWT108" s="953"/>
      <c r="OWU108" s="953"/>
      <c r="OWV108" s="953"/>
      <c r="OWW108" s="953"/>
      <c r="OWX108" s="953"/>
      <c r="OWY108" s="953"/>
      <c r="OWZ108" s="953"/>
      <c r="OXA108" s="953"/>
      <c r="OXB108" s="953"/>
      <c r="OXC108" s="953"/>
      <c r="OXD108" s="953"/>
      <c r="OXE108" s="953"/>
      <c r="OXF108" s="953"/>
      <c r="OXG108" s="953"/>
      <c r="OXH108" s="953"/>
      <c r="OXI108" s="953"/>
      <c r="OXJ108" s="953"/>
      <c r="OXK108" s="953"/>
      <c r="OXL108" s="953"/>
      <c r="OXM108" s="953"/>
      <c r="OXN108" s="953"/>
      <c r="OXO108" s="953"/>
      <c r="OXP108" s="953"/>
      <c r="OXQ108" s="953"/>
      <c r="OXR108" s="953"/>
      <c r="OXS108" s="953"/>
      <c r="OXT108" s="953"/>
      <c r="OXU108" s="953"/>
      <c r="OXV108" s="953"/>
      <c r="OXW108" s="953"/>
      <c r="OXX108" s="953"/>
      <c r="OXY108" s="953"/>
      <c r="OXZ108" s="953"/>
      <c r="OYA108" s="953"/>
      <c r="OYB108" s="953"/>
      <c r="OYC108" s="953"/>
      <c r="OYD108" s="953"/>
      <c r="OYE108" s="953"/>
      <c r="OYF108" s="953"/>
      <c r="OYG108" s="953"/>
      <c r="OYH108" s="953"/>
      <c r="OYI108" s="953"/>
      <c r="OYJ108" s="953"/>
      <c r="OYK108" s="953"/>
      <c r="OYL108" s="953"/>
      <c r="OYM108" s="953"/>
      <c r="OYN108" s="953"/>
      <c r="OYO108" s="953"/>
      <c r="OYP108" s="953"/>
      <c r="OYQ108" s="953"/>
      <c r="OYR108" s="953"/>
      <c r="OYS108" s="953"/>
      <c r="OYT108" s="953"/>
      <c r="OYU108" s="953"/>
      <c r="OYV108" s="953"/>
      <c r="OYW108" s="953"/>
      <c r="OYX108" s="953"/>
      <c r="OYY108" s="953"/>
      <c r="OYZ108" s="953"/>
      <c r="OZA108" s="953"/>
      <c r="OZB108" s="953"/>
      <c r="OZC108" s="953"/>
      <c r="OZD108" s="953"/>
      <c r="OZE108" s="953"/>
      <c r="OZF108" s="953"/>
      <c r="OZG108" s="953"/>
      <c r="OZH108" s="953"/>
      <c r="OZI108" s="953"/>
      <c r="OZJ108" s="953"/>
      <c r="OZK108" s="953"/>
      <c r="OZL108" s="953"/>
      <c r="OZM108" s="953"/>
      <c r="OZN108" s="953"/>
      <c r="OZO108" s="953"/>
      <c r="OZP108" s="953"/>
      <c r="OZQ108" s="953"/>
      <c r="OZR108" s="953"/>
      <c r="OZS108" s="953"/>
      <c r="OZT108" s="953"/>
      <c r="OZU108" s="953"/>
      <c r="OZV108" s="953"/>
      <c r="OZW108" s="953"/>
      <c r="OZX108" s="953"/>
      <c r="OZY108" s="953"/>
      <c r="OZZ108" s="953"/>
      <c r="PAA108" s="953"/>
      <c r="PAB108" s="953"/>
      <c r="PAC108" s="953"/>
      <c r="PAD108" s="953"/>
      <c r="PAE108" s="953"/>
      <c r="PAF108" s="953"/>
      <c r="PAG108" s="953"/>
      <c r="PAH108" s="953"/>
      <c r="PAI108" s="953"/>
      <c r="PAJ108" s="953"/>
      <c r="PAK108" s="953"/>
      <c r="PAL108" s="953"/>
      <c r="PAM108" s="953"/>
      <c r="PAN108" s="953"/>
      <c r="PAO108" s="953"/>
      <c r="PAP108" s="953"/>
      <c r="PAQ108" s="953"/>
      <c r="PAR108" s="953"/>
      <c r="PAS108" s="953"/>
      <c r="PAT108" s="953"/>
      <c r="PAU108" s="953"/>
      <c r="PAV108" s="953"/>
      <c r="PAW108" s="953"/>
      <c r="PAX108" s="953"/>
      <c r="PAY108" s="953"/>
      <c r="PAZ108" s="953"/>
      <c r="PBA108" s="953"/>
      <c r="PBB108" s="953"/>
      <c r="PBC108" s="953"/>
      <c r="PBD108" s="953"/>
      <c r="PBE108" s="953"/>
      <c r="PBF108" s="953"/>
      <c r="PBG108" s="953"/>
      <c r="PBH108" s="953"/>
      <c r="PBI108" s="953"/>
      <c r="PBJ108" s="953"/>
      <c r="PBK108" s="953"/>
      <c r="PBL108" s="953"/>
      <c r="PBM108" s="953"/>
      <c r="PBN108" s="953"/>
      <c r="PBO108" s="953"/>
      <c r="PBP108" s="953"/>
      <c r="PBQ108" s="953"/>
      <c r="PBR108" s="953"/>
      <c r="PBS108" s="953"/>
      <c r="PBT108" s="953"/>
      <c r="PBU108" s="953"/>
      <c r="PBV108" s="953"/>
      <c r="PBW108" s="953"/>
      <c r="PBX108" s="953"/>
      <c r="PBY108" s="953"/>
      <c r="PBZ108" s="953"/>
      <c r="PCA108" s="953"/>
      <c r="PCB108" s="953"/>
      <c r="PCC108" s="953"/>
      <c r="PCD108" s="953"/>
      <c r="PCE108" s="953"/>
      <c r="PCF108" s="953"/>
      <c r="PCG108" s="953"/>
      <c r="PCH108" s="953"/>
      <c r="PCI108" s="953"/>
      <c r="PCJ108" s="953"/>
      <c r="PCK108" s="953"/>
      <c r="PCL108" s="953"/>
      <c r="PCM108" s="953"/>
      <c r="PCN108" s="953"/>
      <c r="PCO108" s="953"/>
      <c r="PCP108" s="953"/>
      <c r="PCQ108" s="953"/>
      <c r="PCR108" s="953"/>
      <c r="PCS108" s="953"/>
      <c r="PCT108" s="953"/>
      <c r="PCU108" s="953"/>
      <c r="PCV108" s="953"/>
      <c r="PCW108" s="953"/>
      <c r="PCX108" s="953"/>
      <c r="PCY108" s="953"/>
      <c r="PCZ108" s="953"/>
      <c r="PDA108" s="953"/>
      <c r="PDB108" s="953"/>
      <c r="PDC108" s="953"/>
      <c r="PDD108" s="953"/>
      <c r="PDE108" s="953"/>
      <c r="PDF108" s="953"/>
      <c r="PDG108" s="953"/>
      <c r="PDH108" s="953"/>
      <c r="PDI108" s="953"/>
      <c r="PDJ108" s="953"/>
      <c r="PDK108" s="953"/>
      <c r="PDL108" s="953"/>
      <c r="PDM108" s="953"/>
      <c r="PDN108" s="953"/>
      <c r="PDO108" s="953"/>
      <c r="PDP108" s="953"/>
      <c r="PDQ108" s="953"/>
      <c r="PDR108" s="953"/>
      <c r="PDS108" s="953"/>
      <c r="PDT108" s="953"/>
      <c r="PDU108" s="953"/>
      <c r="PDV108" s="953"/>
      <c r="PDW108" s="953"/>
      <c r="PDX108" s="953"/>
      <c r="PDY108" s="953"/>
      <c r="PDZ108" s="953"/>
      <c r="PEA108" s="953"/>
      <c r="PEB108" s="953"/>
      <c r="PEC108" s="953"/>
      <c r="PED108" s="953"/>
      <c r="PEE108" s="953"/>
      <c r="PEF108" s="953"/>
      <c r="PEG108" s="953"/>
      <c r="PEH108" s="953"/>
      <c r="PEI108" s="953"/>
      <c r="PEJ108" s="953"/>
      <c r="PEK108" s="953"/>
      <c r="PEL108" s="953"/>
      <c r="PEM108" s="953"/>
      <c r="PEN108" s="953"/>
      <c r="PEO108" s="953"/>
      <c r="PEP108" s="953"/>
      <c r="PEQ108" s="953"/>
      <c r="PER108" s="953"/>
      <c r="PES108" s="953"/>
      <c r="PET108" s="953"/>
      <c r="PEU108" s="953"/>
      <c r="PEV108" s="953"/>
      <c r="PEW108" s="953"/>
      <c r="PEX108" s="953"/>
      <c r="PEY108" s="953"/>
      <c r="PEZ108" s="953"/>
      <c r="PFA108" s="953"/>
      <c r="PFB108" s="953"/>
      <c r="PFC108" s="953"/>
      <c r="PFD108" s="953"/>
      <c r="PFE108" s="953"/>
      <c r="PFF108" s="953"/>
      <c r="PFG108" s="953"/>
      <c r="PFH108" s="953"/>
      <c r="PFI108" s="953"/>
      <c r="PFJ108" s="953"/>
      <c r="PFK108" s="953"/>
      <c r="PFL108" s="953"/>
      <c r="PFM108" s="953"/>
      <c r="PFN108" s="953"/>
      <c r="PFO108" s="953"/>
      <c r="PFP108" s="953"/>
      <c r="PFQ108" s="953"/>
      <c r="PFR108" s="953"/>
      <c r="PFS108" s="953"/>
      <c r="PFT108" s="953"/>
      <c r="PFU108" s="953"/>
      <c r="PFV108" s="953"/>
      <c r="PFW108" s="953"/>
      <c r="PFX108" s="953"/>
      <c r="PFY108" s="953"/>
      <c r="PFZ108" s="953"/>
      <c r="PGA108" s="953"/>
      <c r="PGB108" s="953"/>
      <c r="PGC108" s="953"/>
      <c r="PGD108" s="953"/>
      <c r="PGE108" s="953"/>
      <c r="PGF108" s="953"/>
      <c r="PGG108" s="953"/>
      <c r="PGH108" s="953"/>
      <c r="PGI108" s="953"/>
      <c r="PGJ108" s="953"/>
      <c r="PGK108" s="953"/>
      <c r="PGL108" s="953"/>
      <c r="PGM108" s="953"/>
      <c r="PGN108" s="953"/>
      <c r="PGO108" s="953"/>
      <c r="PGP108" s="953"/>
      <c r="PGQ108" s="953"/>
      <c r="PGR108" s="953"/>
      <c r="PGS108" s="953"/>
      <c r="PGT108" s="953"/>
      <c r="PGU108" s="953"/>
      <c r="PGV108" s="953"/>
      <c r="PGW108" s="953"/>
      <c r="PGX108" s="953"/>
      <c r="PGY108" s="953"/>
      <c r="PGZ108" s="953"/>
      <c r="PHA108" s="953"/>
      <c r="PHB108" s="953"/>
      <c r="PHC108" s="953"/>
      <c r="PHD108" s="953"/>
      <c r="PHE108" s="953"/>
      <c r="PHF108" s="953"/>
      <c r="PHG108" s="953"/>
      <c r="PHH108" s="953"/>
      <c r="PHI108" s="953"/>
      <c r="PHJ108" s="953"/>
      <c r="PHK108" s="953"/>
      <c r="PHL108" s="953"/>
      <c r="PHM108" s="953"/>
      <c r="PHN108" s="953"/>
      <c r="PHO108" s="953"/>
      <c r="PHP108" s="953"/>
      <c r="PHQ108" s="953"/>
      <c r="PHR108" s="953"/>
      <c r="PHS108" s="953"/>
      <c r="PHT108" s="953"/>
      <c r="PHU108" s="953"/>
      <c r="PHV108" s="953"/>
      <c r="PHW108" s="953"/>
      <c r="PHX108" s="953"/>
      <c r="PHY108" s="953"/>
      <c r="PHZ108" s="953"/>
      <c r="PIA108" s="953"/>
      <c r="PIB108" s="953"/>
      <c r="PIC108" s="953"/>
      <c r="PID108" s="953"/>
      <c r="PIE108" s="953"/>
      <c r="PIF108" s="953"/>
      <c r="PIG108" s="953"/>
      <c r="PIH108" s="953"/>
      <c r="PII108" s="953"/>
      <c r="PIJ108" s="953"/>
      <c r="PIK108" s="953"/>
      <c r="PIL108" s="953"/>
      <c r="PIM108" s="953"/>
      <c r="PIN108" s="953"/>
      <c r="PIO108" s="953"/>
      <c r="PIP108" s="953"/>
      <c r="PIQ108" s="953"/>
      <c r="PIR108" s="953"/>
      <c r="PIS108" s="953"/>
      <c r="PIT108" s="953"/>
      <c r="PIU108" s="953"/>
      <c r="PIV108" s="953"/>
      <c r="PIW108" s="953"/>
      <c r="PIX108" s="953"/>
      <c r="PIY108" s="953"/>
      <c r="PIZ108" s="953"/>
      <c r="PJA108" s="953"/>
      <c r="PJB108" s="953"/>
      <c r="PJC108" s="953"/>
      <c r="PJD108" s="953"/>
      <c r="PJE108" s="953"/>
      <c r="PJF108" s="953"/>
      <c r="PJG108" s="953"/>
      <c r="PJH108" s="953"/>
      <c r="PJI108" s="953"/>
      <c r="PJJ108" s="953"/>
      <c r="PJK108" s="953"/>
      <c r="PJL108" s="953"/>
      <c r="PJM108" s="953"/>
      <c r="PJN108" s="953"/>
      <c r="PJO108" s="953"/>
      <c r="PJP108" s="953"/>
      <c r="PJQ108" s="953"/>
      <c r="PJR108" s="953"/>
      <c r="PJS108" s="953"/>
      <c r="PJT108" s="953"/>
      <c r="PJU108" s="953"/>
      <c r="PJV108" s="953"/>
      <c r="PJW108" s="953"/>
      <c r="PJX108" s="953"/>
      <c r="PJY108" s="953"/>
      <c r="PJZ108" s="953"/>
      <c r="PKA108" s="953"/>
      <c r="PKB108" s="953"/>
      <c r="PKC108" s="953"/>
      <c r="PKD108" s="953"/>
      <c r="PKE108" s="953"/>
      <c r="PKF108" s="953"/>
      <c r="PKG108" s="953"/>
      <c r="PKH108" s="953"/>
      <c r="PKI108" s="953"/>
      <c r="PKJ108" s="953"/>
      <c r="PKK108" s="953"/>
      <c r="PKL108" s="953"/>
      <c r="PKM108" s="953"/>
      <c r="PKN108" s="953"/>
      <c r="PKO108" s="953"/>
      <c r="PKP108" s="953"/>
      <c r="PKQ108" s="953"/>
      <c r="PKR108" s="953"/>
      <c r="PKS108" s="953"/>
      <c r="PKT108" s="953"/>
      <c r="PKU108" s="953"/>
      <c r="PKV108" s="953"/>
      <c r="PKW108" s="953"/>
      <c r="PKX108" s="953"/>
      <c r="PKY108" s="953"/>
      <c r="PKZ108" s="953"/>
      <c r="PLA108" s="953"/>
      <c r="PLB108" s="953"/>
      <c r="PLC108" s="953"/>
      <c r="PLD108" s="953"/>
      <c r="PLE108" s="953"/>
      <c r="PLF108" s="953"/>
      <c r="PLG108" s="953"/>
      <c r="PLH108" s="953"/>
      <c r="PLI108" s="953"/>
      <c r="PLJ108" s="953"/>
      <c r="PLK108" s="953"/>
      <c r="PLL108" s="953"/>
      <c r="PLM108" s="953"/>
      <c r="PLN108" s="953"/>
      <c r="PLO108" s="953"/>
      <c r="PLP108" s="953"/>
      <c r="PLQ108" s="953"/>
      <c r="PLR108" s="953"/>
      <c r="PLS108" s="953"/>
      <c r="PLT108" s="953"/>
      <c r="PLU108" s="953"/>
      <c r="PLV108" s="953"/>
      <c r="PLW108" s="953"/>
      <c r="PLX108" s="953"/>
      <c r="PLY108" s="953"/>
      <c r="PLZ108" s="953"/>
      <c r="PMA108" s="953"/>
      <c r="PMB108" s="953"/>
      <c r="PMC108" s="953"/>
      <c r="PMD108" s="953"/>
      <c r="PME108" s="953"/>
      <c r="PMF108" s="953"/>
      <c r="PMG108" s="953"/>
      <c r="PMH108" s="953"/>
      <c r="PMI108" s="953"/>
      <c r="PMJ108" s="953"/>
      <c r="PMK108" s="953"/>
      <c r="PML108" s="953"/>
      <c r="PMM108" s="953"/>
      <c r="PMN108" s="953"/>
      <c r="PMO108" s="953"/>
      <c r="PMP108" s="953"/>
      <c r="PMQ108" s="953"/>
      <c r="PMR108" s="953"/>
      <c r="PMS108" s="953"/>
      <c r="PMT108" s="953"/>
      <c r="PMU108" s="953"/>
      <c r="PMV108" s="953"/>
      <c r="PMW108" s="953"/>
      <c r="PMX108" s="953"/>
      <c r="PMY108" s="953"/>
      <c r="PMZ108" s="953"/>
      <c r="PNA108" s="953"/>
      <c r="PNB108" s="953"/>
      <c r="PNC108" s="953"/>
      <c r="PND108" s="953"/>
      <c r="PNE108" s="953"/>
      <c r="PNF108" s="953"/>
      <c r="PNG108" s="953"/>
      <c r="PNH108" s="953"/>
      <c r="PNI108" s="953"/>
      <c r="PNJ108" s="953"/>
      <c r="PNK108" s="953"/>
      <c r="PNL108" s="953"/>
      <c r="PNM108" s="953"/>
      <c r="PNN108" s="953"/>
      <c r="PNO108" s="953"/>
      <c r="PNP108" s="953"/>
      <c r="PNQ108" s="953"/>
      <c r="PNR108" s="953"/>
      <c r="PNS108" s="953"/>
      <c r="PNT108" s="953"/>
      <c r="PNU108" s="953"/>
      <c r="PNV108" s="953"/>
      <c r="PNW108" s="953"/>
      <c r="PNX108" s="953"/>
      <c r="PNY108" s="953"/>
      <c r="PNZ108" s="953"/>
      <c r="POA108" s="953"/>
      <c r="POB108" s="953"/>
      <c r="POC108" s="953"/>
      <c r="POD108" s="953"/>
      <c r="POE108" s="953"/>
      <c r="POF108" s="953"/>
      <c r="POG108" s="953"/>
      <c r="POH108" s="953"/>
      <c r="POI108" s="953"/>
      <c r="POJ108" s="953"/>
      <c r="POK108" s="953"/>
      <c r="POL108" s="953"/>
      <c r="POM108" s="953"/>
      <c r="PON108" s="953"/>
      <c r="POO108" s="953"/>
      <c r="POP108" s="953"/>
      <c r="POQ108" s="953"/>
      <c r="POR108" s="953"/>
      <c r="POS108" s="953"/>
      <c r="POT108" s="953"/>
      <c r="POU108" s="953"/>
      <c r="POV108" s="953"/>
      <c r="POW108" s="953"/>
      <c r="POX108" s="953"/>
      <c r="POY108" s="953"/>
      <c r="POZ108" s="953"/>
      <c r="PPA108" s="953"/>
      <c r="PPB108" s="953"/>
      <c r="PPC108" s="953"/>
      <c r="PPD108" s="953"/>
      <c r="PPE108" s="953"/>
      <c r="PPF108" s="953"/>
      <c r="PPG108" s="953"/>
      <c r="PPH108" s="953"/>
      <c r="PPI108" s="953"/>
      <c r="PPJ108" s="953"/>
      <c r="PPK108" s="953"/>
      <c r="PPL108" s="953"/>
      <c r="PPM108" s="953"/>
      <c r="PPN108" s="953"/>
      <c r="PPO108" s="953"/>
      <c r="PPP108" s="953"/>
      <c r="PPQ108" s="953"/>
      <c r="PPR108" s="953"/>
      <c r="PPS108" s="953"/>
      <c r="PPT108" s="953"/>
      <c r="PPU108" s="953"/>
      <c r="PPV108" s="953"/>
      <c r="PPW108" s="953"/>
      <c r="PPX108" s="953"/>
      <c r="PPY108" s="953"/>
      <c r="PPZ108" s="953"/>
      <c r="PQA108" s="953"/>
      <c r="PQB108" s="953"/>
      <c r="PQC108" s="953"/>
      <c r="PQD108" s="953"/>
      <c r="PQE108" s="953"/>
      <c r="PQF108" s="953"/>
      <c r="PQG108" s="953"/>
      <c r="PQH108" s="953"/>
      <c r="PQI108" s="953"/>
      <c r="PQJ108" s="953"/>
      <c r="PQK108" s="953"/>
      <c r="PQL108" s="953"/>
      <c r="PQM108" s="953"/>
      <c r="PQN108" s="953"/>
      <c r="PQO108" s="953"/>
      <c r="PQP108" s="953"/>
      <c r="PQQ108" s="953"/>
      <c r="PQR108" s="953"/>
      <c r="PQS108" s="953"/>
      <c r="PQT108" s="953"/>
      <c r="PQU108" s="953"/>
      <c r="PQV108" s="953"/>
      <c r="PQW108" s="953"/>
      <c r="PQX108" s="953"/>
      <c r="PQY108" s="953"/>
      <c r="PQZ108" s="953"/>
      <c r="PRA108" s="953"/>
      <c r="PRB108" s="953"/>
      <c r="PRC108" s="953"/>
      <c r="PRD108" s="953"/>
      <c r="PRE108" s="953"/>
      <c r="PRF108" s="953"/>
      <c r="PRG108" s="953"/>
      <c r="PRH108" s="953"/>
      <c r="PRI108" s="953"/>
      <c r="PRJ108" s="953"/>
      <c r="PRK108" s="953"/>
      <c r="PRL108" s="953"/>
      <c r="PRM108" s="953"/>
      <c r="PRN108" s="953"/>
      <c r="PRO108" s="953"/>
      <c r="PRP108" s="953"/>
      <c r="PRQ108" s="953"/>
      <c r="PRR108" s="953"/>
      <c r="PRS108" s="953"/>
      <c r="PRT108" s="953"/>
      <c r="PRU108" s="953"/>
      <c r="PRV108" s="953"/>
      <c r="PRW108" s="953"/>
      <c r="PRX108" s="953"/>
      <c r="PRY108" s="953"/>
      <c r="PRZ108" s="953"/>
      <c r="PSA108" s="953"/>
      <c r="PSB108" s="953"/>
      <c r="PSC108" s="953"/>
      <c r="PSD108" s="953"/>
      <c r="PSE108" s="953"/>
      <c r="PSF108" s="953"/>
      <c r="PSG108" s="953"/>
      <c r="PSH108" s="953"/>
      <c r="PSI108" s="953"/>
      <c r="PSJ108" s="953"/>
      <c r="PSK108" s="953"/>
      <c r="PSL108" s="953"/>
      <c r="PSM108" s="953"/>
      <c r="PSN108" s="953"/>
      <c r="PSO108" s="953"/>
      <c r="PSP108" s="953"/>
      <c r="PSQ108" s="953"/>
      <c r="PSR108" s="953"/>
      <c r="PSS108" s="953"/>
      <c r="PST108" s="953"/>
      <c r="PSU108" s="953"/>
      <c r="PSV108" s="953"/>
      <c r="PSW108" s="953"/>
      <c r="PSX108" s="953"/>
      <c r="PSY108" s="953"/>
      <c r="PSZ108" s="953"/>
      <c r="PTA108" s="953"/>
      <c r="PTB108" s="953"/>
      <c r="PTC108" s="953"/>
      <c r="PTD108" s="953"/>
      <c r="PTE108" s="953"/>
      <c r="PTF108" s="953"/>
      <c r="PTG108" s="953"/>
      <c r="PTH108" s="953"/>
      <c r="PTI108" s="953"/>
      <c r="PTJ108" s="953"/>
      <c r="PTK108" s="953"/>
      <c r="PTL108" s="953"/>
      <c r="PTM108" s="953"/>
      <c r="PTN108" s="953"/>
      <c r="PTO108" s="953"/>
      <c r="PTP108" s="953"/>
      <c r="PTQ108" s="953"/>
      <c r="PTR108" s="953"/>
      <c r="PTS108" s="953"/>
      <c r="PTT108" s="953"/>
      <c r="PTU108" s="953"/>
      <c r="PTV108" s="953"/>
      <c r="PTW108" s="953"/>
      <c r="PTX108" s="953"/>
      <c r="PTY108" s="953"/>
      <c r="PTZ108" s="953"/>
      <c r="PUA108" s="953"/>
      <c r="PUB108" s="953"/>
      <c r="PUC108" s="953"/>
      <c r="PUD108" s="953"/>
      <c r="PUE108" s="953"/>
      <c r="PUF108" s="953"/>
      <c r="PUG108" s="953"/>
      <c r="PUH108" s="953"/>
      <c r="PUI108" s="953"/>
      <c r="PUJ108" s="953"/>
      <c r="PUK108" s="953"/>
      <c r="PUL108" s="953"/>
      <c r="PUM108" s="953"/>
      <c r="PUN108" s="953"/>
      <c r="PUO108" s="953"/>
      <c r="PUP108" s="953"/>
      <c r="PUQ108" s="953"/>
      <c r="PUR108" s="953"/>
      <c r="PUS108" s="953"/>
      <c r="PUT108" s="953"/>
      <c r="PUU108" s="953"/>
      <c r="PUV108" s="953"/>
      <c r="PUW108" s="953"/>
      <c r="PUX108" s="953"/>
      <c r="PUY108" s="953"/>
      <c r="PUZ108" s="953"/>
      <c r="PVA108" s="953"/>
      <c r="PVB108" s="953"/>
      <c r="PVC108" s="953"/>
      <c r="PVD108" s="953"/>
      <c r="PVE108" s="953"/>
      <c r="PVF108" s="953"/>
      <c r="PVG108" s="953"/>
      <c r="PVH108" s="953"/>
      <c r="PVI108" s="953"/>
      <c r="PVJ108" s="953"/>
      <c r="PVK108" s="953"/>
      <c r="PVL108" s="953"/>
      <c r="PVM108" s="953"/>
      <c r="PVN108" s="953"/>
      <c r="PVO108" s="953"/>
      <c r="PVP108" s="953"/>
      <c r="PVQ108" s="953"/>
      <c r="PVR108" s="953"/>
      <c r="PVS108" s="953"/>
      <c r="PVT108" s="953"/>
      <c r="PVU108" s="953"/>
      <c r="PVV108" s="953"/>
      <c r="PVW108" s="953"/>
      <c r="PVX108" s="953"/>
      <c r="PVY108" s="953"/>
      <c r="PVZ108" s="953"/>
      <c r="PWA108" s="953"/>
      <c r="PWB108" s="953"/>
      <c r="PWC108" s="953"/>
      <c r="PWD108" s="953"/>
      <c r="PWE108" s="953"/>
      <c r="PWF108" s="953"/>
      <c r="PWG108" s="953"/>
      <c r="PWH108" s="953"/>
      <c r="PWI108" s="953"/>
      <c r="PWJ108" s="953"/>
      <c r="PWK108" s="953"/>
      <c r="PWL108" s="953"/>
      <c r="PWM108" s="953"/>
      <c r="PWN108" s="953"/>
      <c r="PWO108" s="953"/>
      <c r="PWP108" s="953"/>
      <c r="PWQ108" s="953"/>
      <c r="PWR108" s="953"/>
      <c r="PWS108" s="953"/>
      <c r="PWT108" s="953"/>
      <c r="PWU108" s="953"/>
      <c r="PWV108" s="953"/>
      <c r="PWW108" s="953"/>
      <c r="PWX108" s="953"/>
      <c r="PWY108" s="953"/>
      <c r="PWZ108" s="953"/>
      <c r="PXA108" s="953"/>
      <c r="PXB108" s="953"/>
      <c r="PXC108" s="953"/>
      <c r="PXD108" s="953"/>
      <c r="PXE108" s="953"/>
      <c r="PXF108" s="953"/>
      <c r="PXG108" s="953"/>
      <c r="PXH108" s="953"/>
      <c r="PXI108" s="953"/>
      <c r="PXJ108" s="953"/>
      <c r="PXK108" s="953"/>
      <c r="PXL108" s="953"/>
      <c r="PXM108" s="953"/>
      <c r="PXN108" s="953"/>
      <c r="PXO108" s="953"/>
      <c r="PXP108" s="953"/>
      <c r="PXQ108" s="953"/>
      <c r="PXR108" s="953"/>
      <c r="PXS108" s="953"/>
      <c r="PXT108" s="953"/>
      <c r="PXU108" s="953"/>
      <c r="PXV108" s="953"/>
      <c r="PXW108" s="953"/>
      <c r="PXX108" s="953"/>
      <c r="PXY108" s="953"/>
      <c r="PXZ108" s="953"/>
      <c r="PYA108" s="953"/>
      <c r="PYB108" s="953"/>
      <c r="PYC108" s="953"/>
      <c r="PYD108" s="953"/>
      <c r="PYE108" s="953"/>
      <c r="PYF108" s="953"/>
      <c r="PYG108" s="953"/>
      <c r="PYH108" s="953"/>
      <c r="PYI108" s="953"/>
      <c r="PYJ108" s="953"/>
      <c r="PYK108" s="953"/>
      <c r="PYL108" s="953"/>
      <c r="PYM108" s="953"/>
      <c r="PYN108" s="953"/>
      <c r="PYO108" s="953"/>
      <c r="PYP108" s="953"/>
      <c r="PYQ108" s="953"/>
      <c r="PYR108" s="953"/>
      <c r="PYS108" s="953"/>
      <c r="PYT108" s="953"/>
      <c r="PYU108" s="953"/>
      <c r="PYV108" s="953"/>
      <c r="PYW108" s="953"/>
      <c r="PYX108" s="953"/>
      <c r="PYY108" s="953"/>
      <c r="PYZ108" s="953"/>
      <c r="PZA108" s="953"/>
      <c r="PZB108" s="953"/>
      <c r="PZC108" s="953"/>
      <c r="PZD108" s="953"/>
      <c r="PZE108" s="953"/>
      <c r="PZF108" s="953"/>
      <c r="PZG108" s="953"/>
      <c r="PZH108" s="953"/>
      <c r="PZI108" s="953"/>
      <c r="PZJ108" s="953"/>
      <c r="PZK108" s="953"/>
      <c r="PZL108" s="953"/>
      <c r="PZM108" s="953"/>
      <c r="PZN108" s="953"/>
      <c r="PZO108" s="953"/>
      <c r="PZP108" s="953"/>
      <c r="PZQ108" s="953"/>
      <c r="PZR108" s="953"/>
      <c r="PZS108" s="953"/>
      <c r="PZT108" s="953"/>
      <c r="PZU108" s="953"/>
      <c r="PZV108" s="953"/>
      <c r="PZW108" s="953"/>
      <c r="PZX108" s="953"/>
      <c r="PZY108" s="953"/>
      <c r="PZZ108" s="953"/>
      <c r="QAA108" s="953"/>
      <c r="QAB108" s="953"/>
      <c r="QAC108" s="953"/>
      <c r="QAD108" s="953"/>
      <c r="QAE108" s="953"/>
      <c r="QAF108" s="953"/>
      <c r="QAG108" s="953"/>
      <c r="QAH108" s="953"/>
      <c r="QAI108" s="953"/>
      <c r="QAJ108" s="953"/>
      <c r="QAK108" s="953"/>
      <c r="QAL108" s="953"/>
      <c r="QAM108" s="953"/>
      <c r="QAN108" s="953"/>
      <c r="QAO108" s="953"/>
      <c r="QAP108" s="953"/>
      <c r="QAQ108" s="953"/>
      <c r="QAR108" s="953"/>
      <c r="QAS108" s="953"/>
      <c r="QAT108" s="953"/>
      <c r="QAU108" s="953"/>
      <c r="QAV108" s="953"/>
      <c r="QAW108" s="953"/>
      <c r="QAX108" s="953"/>
      <c r="QAY108" s="953"/>
      <c r="QAZ108" s="953"/>
      <c r="QBA108" s="953"/>
      <c r="QBB108" s="953"/>
      <c r="QBC108" s="953"/>
      <c r="QBD108" s="953"/>
      <c r="QBE108" s="953"/>
      <c r="QBF108" s="953"/>
      <c r="QBG108" s="953"/>
      <c r="QBH108" s="953"/>
      <c r="QBI108" s="953"/>
      <c r="QBJ108" s="953"/>
      <c r="QBK108" s="953"/>
      <c r="QBL108" s="953"/>
      <c r="QBM108" s="953"/>
      <c r="QBN108" s="953"/>
      <c r="QBO108" s="953"/>
      <c r="QBP108" s="953"/>
      <c r="QBQ108" s="953"/>
      <c r="QBR108" s="953"/>
      <c r="QBS108" s="953"/>
      <c r="QBT108" s="953"/>
      <c r="QBU108" s="953"/>
      <c r="QBV108" s="953"/>
      <c r="QBW108" s="953"/>
      <c r="QBX108" s="953"/>
      <c r="QBY108" s="953"/>
      <c r="QBZ108" s="953"/>
      <c r="QCA108" s="953"/>
      <c r="QCB108" s="953"/>
      <c r="QCC108" s="953"/>
      <c r="QCD108" s="953"/>
      <c r="QCE108" s="953"/>
      <c r="QCF108" s="953"/>
      <c r="QCG108" s="953"/>
      <c r="QCH108" s="953"/>
      <c r="QCI108" s="953"/>
      <c r="QCJ108" s="953"/>
      <c r="QCK108" s="953"/>
      <c r="QCL108" s="953"/>
      <c r="QCM108" s="953"/>
      <c r="QCN108" s="953"/>
      <c r="QCO108" s="953"/>
      <c r="QCP108" s="953"/>
      <c r="QCQ108" s="953"/>
      <c r="QCR108" s="953"/>
      <c r="QCS108" s="953"/>
      <c r="QCT108" s="953"/>
      <c r="QCU108" s="953"/>
      <c r="QCV108" s="953"/>
      <c r="QCW108" s="953"/>
      <c r="QCX108" s="953"/>
      <c r="QCY108" s="953"/>
      <c r="QCZ108" s="953"/>
      <c r="QDA108" s="953"/>
      <c r="QDB108" s="953"/>
      <c r="QDC108" s="953"/>
      <c r="QDD108" s="953"/>
      <c r="QDE108" s="953"/>
      <c r="QDF108" s="953"/>
      <c r="QDG108" s="953"/>
      <c r="QDH108" s="953"/>
      <c r="QDI108" s="953"/>
      <c r="QDJ108" s="953"/>
      <c r="QDK108" s="953"/>
      <c r="QDL108" s="953"/>
      <c r="QDM108" s="953"/>
      <c r="QDN108" s="953"/>
      <c r="QDO108" s="953"/>
      <c r="QDP108" s="953"/>
      <c r="QDQ108" s="953"/>
      <c r="QDR108" s="953"/>
      <c r="QDS108" s="953"/>
      <c r="QDT108" s="953"/>
      <c r="QDU108" s="953"/>
      <c r="QDV108" s="953"/>
      <c r="QDW108" s="953"/>
      <c r="QDX108" s="953"/>
      <c r="QDY108" s="953"/>
      <c r="QDZ108" s="953"/>
      <c r="QEA108" s="953"/>
      <c r="QEB108" s="953"/>
      <c r="QEC108" s="953"/>
      <c r="QED108" s="953"/>
      <c r="QEE108" s="953"/>
      <c r="QEF108" s="953"/>
      <c r="QEG108" s="953"/>
      <c r="QEH108" s="953"/>
      <c r="QEI108" s="953"/>
      <c r="QEJ108" s="953"/>
      <c r="QEK108" s="953"/>
      <c r="QEL108" s="953"/>
      <c r="QEM108" s="953"/>
      <c r="QEN108" s="953"/>
      <c r="QEO108" s="953"/>
      <c r="QEP108" s="953"/>
      <c r="QEQ108" s="953"/>
      <c r="QER108" s="953"/>
      <c r="QES108" s="953"/>
      <c r="QET108" s="953"/>
      <c r="QEU108" s="953"/>
      <c r="QEV108" s="953"/>
      <c r="QEW108" s="953"/>
      <c r="QEX108" s="953"/>
      <c r="QEY108" s="953"/>
      <c r="QEZ108" s="953"/>
      <c r="QFA108" s="953"/>
      <c r="QFB108" s="953"/>
      <c r="QFC108" s="953"/>
      <c r="QFD108" s="953"/>
      <c r="QFE108" s="953"/>
      <c r="QFF108" s="953"/>
      <c r="QFG108" s="953"/>
      <c r="QFH108" s="953"/>
      <c r="QFI108" s="953"/>
      <c r="QFJ108" s="953"/>
      <c r="QFK108" s="953"/>
      <c r="QFL108" s="953"/>
      <c r="QFM108" s="953"/>
      <c r="QFN108" s="953"/>
      <c r="QFO108" s="953"/>
      <c r="QFP108" s="953"/>
      <c r="QFQ108" s="953"/>
      <c r="QFR108" s="953"/>
      <c r="QFS108" s="953"/>
      <c r="QFT108" s="953"/>
      <c r="QFU108" s="953"/>
      <c r="QFV108" s="953"/>
      <c r="QFW108" s="953"/>
      <c r="QFX108" s="953"/>
      <c r="QFY108" s="953"/>
      <c r="QFZ108" s="953"/>
      <c r="QGA108" s="953"/>
      <c r="QGB108" s="953"/>
      <c r="QGC108" s="953"/>
      <c r="QGD108" s="953"/>
      <c r="QGE108" s="953"/>
      <c r="QGF108" s="953"/>
      <c r="QGG108" s="953"/>
      <c r="QGH108" s="953"/>
      <c r="QGI108" s="953"/>
      <c r="QGJ108" s="953"/>
      <c r="QGK108" s="953"/>
      <c r="QGL108" s="953"/>
      <c r="QGM108" s="953"/>
      <c r="QGN108" s="953"/>
      <c r="QGO108" s="953"/>
      <c r="QGP108" s="953"/>
      <c r="QGQ108" s="953"/>
      <c r="QGR108" s="953"/>
      <c r="QGS108" s="953"/>
      <c r="QGT108" s="953"/>
      <c r="QGU108" s="953"/>
      <c r="QGV108" s="953"/>
      <c r="QGW108" s="953"/>
      <c r="QGX108" s="953"/>
      <c r="QGY108" s="953"/>
      <c r="QGZ108" s="953"/>
      <c r="QHA108" s="953"/>
      <c r="QHB108" s="953"/>
      <c r="QHC108" s="953"/>
      <c r="QHD108" s="953"/>
      <c r="QHE108" s="953"/>
      <c r="QHF108" s="953"/>
      <c r="QHG108" s="953"/>
      <c r="QHH108" s="953"/>
      <c r="QHI108" s="953"/>
      <c r="QHJ108" s="953"/>
      <c r="QHK108" s="953"/>
      <c r="QHL108" s="953"/>
      <c r="QHM108" s="953"/>
      <c r="QHN108" s="953"/>
      <c r="QHO108" s="953"/>
      <c r="QHP108" s="953"/>
      <c r="QHQ108" s="953"/>
      <c r="QHR108" s="953"/>
      <c r="QHS108" s="953"/>
      <c r="QHT108" s="953"/>
      <c r="QHU108" s="953"/>
      <c r="QHV108" s="953"/>
      <c r="QHW108" s="953"/>
      <c r="QHX108" s="953"/>
      <c r="QHY108" s="953"/>
      <c r="QHZ108" s="953"/>
      <c r="QIA108" s="953"/>
      <c r="QIB108" s="953"/>
      <c r="QIC108" s="953"/>
      <c r="QID108" s="953"/>
      <c r="QIE108" s="953"/>
      <c r="QIF108" s="953"/>
      <c r="QIG108" s="953"/>
      <c r="QIH108" s="953"/>
      <c r="QII108" s="953"/>
      <c r="QIJ108" s="953"/>
      <c r="QIK108" s="953"/>
      <c r="QIL108" s="953"/>
      <c r="QIM108" s="953"/>
      <c r="QIN108" s="953"/>
      <c r="QIO108" s="953"/>
      <c r="QIP108" s="953"/>
      <c r="QIQ108" s="953"/>
      <c r="QIR108" s="953"/>
      <c r="QIS108" s="953"/>
      <c r="QIT108" s="953"/>
      <c r="QIU108" s="953"/>
      <c r="QIV108" s="953"/>
      <c r="QIW108" s="953"/>
      <c r="QIX108" s="953"/>
      <c r="QIY108" s="953"/>
      <c r="QIZ108" s="953"/>
      <c r="QJA108" s="953"/>
      <c r="QJB108" s="953"/>
      <c r="QJC108" s="953"/>
      <c r="QJD108" s="953"/>
      <c r="QJE108" s="953"/>
      <c r="QJF108" s="953"/>
      <c r="QJG108" s="953"/>
      <c r="QJH108" s="953"/>
      <c r="QJI108" s="953"/>
      <c r="QJJ108" s="953"/>
      <c r="QJK108" s="953"/>
      <c r="QJL108" s="953"/>
      <c r="QJM108" s="953"/>
      <c r="QJN108" s="953"/>
      <c r="QJO108" s="953"/>
      <c r="QJP108" s="953"/>
      <c r="QJQ108" s="953"/>
      <c r="QJR108" s="953"/>
      <c r="QJS108" s="953"/>
      <c r="QJT108" s="953"/>
      <c r="QJU108" s="953"/>
      <c r="QJV108" s="953"/>
      <c r="QJW108" s="953"/>
      <c r="QJX108" s="953"/>
      <c r="QJY108" s="953"/>
      <c r="QJZ108" s="953"/>
      <c r="QKA108" s="953"/>
      <c r="QKB108" s="953"/>
      <c r="QKC108" s="953"/>
      <c r="QKD108" s="953"/>
      <c r="QKE108" s="953"/>
      <c r="QKF108" s="953"/>
      <c r="QKG108" s="953"/>
      <c r="QKH108" s="953"/>
      <c r="QKI108" s="953"/>
      <c r="QKJ108" s="953"/>
      <c r="QKK108" s="953"/>
      <c r="QKL108" s="953"/>
      <c r="QKM108" s="953"/>
      <c r="QKN108" s="953"/>
      <c r="QKO108" s="953"/>
      <c r="QKP108" s="953"/>
      <c r="QKQ108" s="953"/>
      <c r="QKR108" s="953"/>
      <c r="QKS108" s="953"/>
      <c r="QKT108" s="953"/>
      <c r="QKU108" s="953"/>
      <c r="QKV108" s="953"/>
      <c r="QKW108" s="953"/>
      <c r="QKX108" s="953"/>
      <c r="QKY108" s="953"/>
      <c r="QKZ108" s="953"/>
      <c r="QLA108" s="953"/>
      <c r="QLB108" s="953"/>
      <c r="QLC108" s="953"/>
      <c r="QLD108" s="953"/>
      <c r="QLE108" s="953"/>
      <c r="QLF108" s="953"/>
      <c r="QLG108" s="953"/>
      <c r="QLH108" s="953"/>
      <c r="QLI108" s="953"/>
      <c r="QLJ108" s="953"/>
      <c r="QLK108" s="953"/>
      <c r="QLL108" s="953"/>
      <c r="QLM108" s="953"/>
      <c r="QLN108" s="953"/>
      <c r="QLO108" s="953"/>
      <c r="QLP108" s="953"/>
      <c r="QLQ108" s="953"/>
      <c r="QLR108" s="953"/>
      <c r="QLS108" s="953"/>
      <c r="QLT108" s="953"/>
      <c r="QLU108" s="953"/>
      <c r="QLV108" s="953"/>
      <c r="QLW108" s="953"/>
      <c r="QLX108" s="953"/>
      <c r="QLY108" s="953"/>
      <c r="QLZ108" s="953"/>
      <c r="QMA108" s="953"/>
      <c r="QMB108" s="953"/>
      <c r="QMC108" s="953"/>
      <c r="QMD108" s="953"/>
      <c r="QME108" s="953"/>
      <c r="QMF108" s="953"/>
      <c r="QMG108" s="953"/>
      <c r="QMH108" s="953"/>
      <c r="QMI108" s="953"/>
      <c r="QMJ108" s="953"/>
      <c r="QMK108" s="953"/>
      <c r="QML108" s="953"/>
      <c r="QMM108" s="953"/>
      <c r="QMN108" s="953"/>
      <c r="QMO108" s="953"/>
      <c r="QMP108" s="953"/>
      <c r="QMQ108" s="953"/>
      <c r="QMR108" s="953"/>
      <c r="QMS108" s="953"/>
      <c r="QMT108" s="953"/>
      <c r="QMU108" s="953"/>
      <c r="QMV108" s="953"/>
      <c r="QMW108" s="953"/>
      <c r="QMX108" s="953"/>
      <c r="QMY108" s="953"/>
      <c r="QMZ108" s="953"/>
      <c r="QNA108" s="953"/>
      <c r="QNB108" s="953"/>
      <c r="QNC108" s="953"/>
      <c r="QND108" s="953"/>
      <c r="QNE108" s="953"/>
      <c r="QNF108" s="953"/>
      <c r="QNG108" s="953"/>
      <c r="QNH108" s="953"/>
      <c r="QNI108" s="953"/>
      <c r="QNJ108" s="953"/>
      <c r="QNK108" s="953"/>
      <c r="QNL108" s="953"/>
      <c r="QNM108" s="953"/>
      <c r="QNN108" s="953"/>
      <c r="QNO108" s="953"/>
      <c r="QNP108" s="953"/>
      <c r="QNQ108" s="953"/>
      <c r="QNR108" s="953"/>
      <c r="QNS108" s="953"/>
      <c r="QNT108" s="953"/>
      <c r="QNU108" s="953"/>
      <c r="QNV108" s="953"/>
      <c r="QNW108" s="953"/>
      <c r="QNX108" s="953"/>
      <c r="QNY108" s="953"/>
      <c r="QNZ108" s="953"/>
      <c r="QOA108" s="953"/>
      <c r="QOB108" s="953"/>
      <c r="QOC108" s="953"/>
      <c r="QOD108" s="953"/>
      <c r="QOE108" s="953"/>
      <c r="QOF108" s="953"/>
      <c r="QOG108" s="953"/>
      <c r="QOH108" s="953"/>
      <c r="QOI108" s="953"/>
      <c r="QOJ108" s="953"/>
      <c r="QOK108" s="953"/>
      <c r="QOL108" s="953"/>
      <c r="QOM108" s="953"/>
      <c r="QON108" s="953"/>
      <c r="QOO108" s="953"/>
      <c r="QOP108" s="953"/>
      <c r="QOQ108" s="953"/>
      <c r="QOR108" s="953"/>
      <c r="QOS108" s="953"/>
      <c r="QOT108" s="953"/>
      <c r="QOU108" s="953"/>
      <c r="QOV108" s="953"/>
      <c r="QOW108" s="953"/>
      <c r="QOX108" s="953"/>
      <c r="QOY108" s="953"/>
      <c r="QOZ108" s="953"/>
      <c r="QPA108" s="953"/>
      <c r="QPB108" s="953"/>
      <c r="QPC108" s="953"/>
      <c r="QPD108" s="953"/>
      <c r="QPE108" s="953"/>
      <c r="QPF108" s="953"/>
      <c r="QPG108" s="953"/>
      <c r="QPH108" s="953"/>
      <c r="QPI108" s="953"/>
      <c r="QPJ108" s="953"/>
      <c r="QPK108" s="953"/>
      <c r="QPL108" s="953"/>
      <c r="QPM108" s="953"/>
      <c r="QPN108" s="953"/>
      <c r="QPO108" s="953"/>
      <c r="QPP108" s="953"/>
      <c r="QPQ108" s="953"/>
      <c r="QPR108" s="953"/>
      <c r="QPS108" s="953"/>
      <c r="QPT108" s="953"/>
      <c r="QPU108" s="953"/>
      <c r="QPV108" s="953"/>
      <c r="QPW108" s="953"/>
      <c r="QPX108" s="953"/>
      <c r="QPY108" s="953"/>
      <c r="QPZ108" s="953"/>
      <c r="QQA108" s="953"/>
      <c r="QQB108" s="953"/>
      <c r="QQC108" s="953"/>
      <c r="QQD108" s="953"/>
      <c r="QQE108" s="953"/>
      <c r="QQF108" s="953"/>
      <c r="QQG108" s="953"/>
      <c r="QQH108" s="953"/>
      <c r="QQI108" s="953"/>
      <c r="QQJ108" s="953"/>
      <c r="QQK108" s="953"/>
      <c r="QQL108" s="953"/>
      <c r="QQM108" s="953"/>
      <c r="QQN108" s="953"/>
      <c r="QQO108" s="953"/>
      <c r="QQP108" s="953"/>
      <c r="QQQ108" s="953"/>
      <c r="QQR108" s="953"/>
      <c r="QQS108" s="953"/>
      <c r="QQT108" s="953"/>
      <c r="QQU108" s="953"/>
      <c r="QQV108" s="953"/>
      <c r="QQW108" s="953"/>
      <c r="QQX108" s="953"/>
      <c r="QQY108" s="953"/>
      <c r="QQZ108" s="953"/>
      <c r="QRA108" s="953"/>
      <c r="QRB108" s="953"/>
      <c r="QRC108" s="953"/>
      <c r="QRD108" s="953"/>
      <c r="QRE108" s="953"/>
      <c r="QRF108" s="953"/>
      <c r="QRG108" s="953"/>
      <c r="QRH108" s="953"/>
      <c r="QRI108" s="953"/>
      <c r="QRJ108" s="953"/>
      <c r="QRK108" s="953"/>
      <c r="QRL108" s="953"/>
      <c r="QRM108" s="953"/>
      <c r="QRN108" s="953"/>
      <c r="QRO108" s="953"/>
      <c r="QRP108" s="953"/>
      <c r="QRQ108" s="953"/>
      <c r="QRR108" s="953"/>
      <c r="QRS108" s="953"/>
      <c r="QRT108" s="953"/>
      <c r="QRU108" s="953"/>
      <c r="QRV108" s="953"/>
      <c r="QRW108" s="953"/>
      <c r="QRX108" s="953"/>
      <c r="QRY108" s="953"/>
      <c r="QRZ108" s="953"/>
      <c r="QSA108" s="953"/>
      <c r="QSB108" s="953"/>
      <c r="QSC108" s="953"/>
      <c r="QSD108" s="953"/>
      <c r="QSE108" s="953"/>
      <c r="QSF108" s="953"/>
      <c r="QSG108" s="953"/>
      <c r="QSH108" s="953"/>
      <c r="QSI108" s="953"/>
      <c r="QSJ108" s="953"/>
      <c r="QSK108" s="953"/>
      <c r="QSL108" s="953"/>
      <c r="QSM108" s="953"/>
      <c r="QSN108" s="953"/>
      <c r="QSO108" s="953"/>
      <c r="QSP108" s="953"/>
      <c r="QSQ108" s="953"/>
      <c r="QSR108" s="953"/>
      <c r="QSS108" s="953"/>
      <c r="QST108" s="953"/>
      <c r="QSU108" s="953"/>
      <c r="QSV108" s="953"/>
      <c r="QSW108" s="953"/>
      <c r="QSX108" s="953"/>
      <c r="QSY108" s="953"/>
      <c r="QSZ108" s="953"/>
      <c r="QTA108" s="953"/>
      <c r="QTB108" s="953"/>
      <c r="QTC108" s="953"/>
      <c r="QTD108" s="953"/>
      <c r="QTE108" s="953"/>
      <c r="QTF108" s="953"/>
      <c r="QTG108" s="953"/>
      <c r="QTH108" s="953"/>
      <c r="QTI108" s="953"/>
      <c r="QTJ108" s="953"/>
      <c r="QTK108" s="953"/>
      <c r="QTL108" s="953"/>
      <c r="QTM108" s="953"/>
      <c r="QTN108" s="953"/>
      <c r="QTO108" s="953"/>
      <c r="QTP108" s="953"/>
      <c r="QTQ108" s="953"/>
      <c r="QTR108" s="953"/>
      <c r="QTS108" s="953"/>
      <c r="QTT108" s="953"/>
      <c r="QTU108" s="953"/>
      <c r="QTV108" s="953"/>
      <c r="QTW108" s="953"/>
      <c r="QTX108" s="953"/>
      <c r="QTY108" s="953"/>
      <c r="QTZ108" s="953"/>
      <c r="QUA108" s="953"/>
      <c r="QUB108" s="953"/>
      <c r="QUC108" s="953"/>
      <c r="QUD108" s="953"/>
      <c r="QUE108" s="953"/>
      <c r="QUF108" s="953"/>
      <c r="QUG108" s="953"/>
      <c r="QUH108" s="953"/>
      <c r="QUI108" s="953"/>
      <c r="QUJ108" s="953"/>
      <c r="QUK108" s="953"/>
      <c r="QUL108" s="953"/>
      <c r="QUM108" s="953"/>
      <c r="QUN108" s="953"/>
      <c r="QUO108" s="953"/>
      <c r="QUP108" s="953"/>
      <c r="QUQ108" s="953"/>
      <c r="QUR108" s="953"/>
      <c r="QUS108" s="953"/>
      <c r="QUT108" s="953"/>
      <c r="QUU108" s="953"/>
      <c r="QUV108" s="953"/>
      <c r="QUW108" s="953"/>
      <c r="QUX108" s="953"/>
      <c r="QUY108" s="953"/>
      <c r="QUZ108" s="953"/>
      <c r="QVA108" s="953"/>
      <c r="QVB108" s="953"/>
      <c r="QVC108" s="953"/>
      <c r="QVD108" s="953"/>
      <c r="QVE108" s="953"/>
      <c r="QVF108" s="953"/>
      <c r="QVG108" s="953"/>
      <c r="QVH108" s="953"/>
      <c r="QVI108" s="953"/>
      <c r="QVJ108" s="953"/>
      <c r="QVK108" s="953"/>
      <c r="QVL108" s="953"/>
      <c r="QVM108" s="953"/>
      <c r="QVN108" s="953"/>
      <c r="QVO108" s="953"/>
      <c r="QVP108" s="953"/>
      <c r="QVQ108" s="953"/>
      <c r="QVR108" s="953"/>
      <c r="QVS108" s="953"/>
      <c r="QVT108" s="953"/>
      <c r="QVU108" s="953"/>
      <c r="QVV108" s="953"/>
      <c r="QVW108" s="953"/>
      <c r="QVX108" s="953"/>
      <c r="QVY108" s="953"/>
      <c r="QVZ108" s="953"/>
      <c r="QWA108" s="953"/>
      <c r="QWB108" s="953"/>
      <c r="QWC108" s="953"/>
      <c r="QWD108" s="953"/>
      <c r="QWE108" s="953"/>
      <c r="QWF108" s="953"/>
      <c r="QWG108" s="953"/>
      <c r="QWH108" s="953"/>
      <c r="QWI108" s="953"/>
      <c r="QWJ108" s="953"/>
      <c r="QWK108" s="953"/>
      <c r="QWL108" s="953"/>
      <c r="QWM108" s="953"/>
      <c r="QWN108" s="953"/>
      <c r="QWO108" s="953"/>
      <c r="QWP108" s="953"/>
      <c r="QWQ108" s="953"/>
      <c r="QWR108" s="953"/>
      <c r="QWS108" s="953"/>
      <c r="QWT108" s="953"/>
      <c r="QWU108" s="953"/>
      <c r="QWV108" s="953"/>
      <c r="QWW108" s="953"/>
      <c r="QWX108" s="953"/>
      <c r="QWY108" s="953"/>
      <c r="QWZ108" s="953"/>
      <c r="QXA108" s="953"/>
      <c r="QXB108" s="953"/>
      <c r="QXC108" s="953"/>
      <c r="QXD108" s="953"/>
      <c r="QXE108" s="953"/>
      <c r="QXF108" s="953"/>
      <c r="QXG108" s="953"/>
      <c r="QXH108" s="953"/>
      <c r="QXI108" s="953"/>
      <c r="QXJ108" s="953"/>
      <c r="QXK108" s="953"/>
      <c r="QXL108" s="953"/>
      <c r="QXM108" s="953"/>
      <c r="QXN108" s="953"/>
      <c r="QXO108" s="953"/>
      <c r="QXP108" s="953"/>
      <c r="QXQ108" s="953"/>
      <c r="QXR108" s="953"/>
      <c r="QXS108" s="953"/>
      <c r="QXT108" s="953"/>
      <c r="QXU108" s="953"/>
      <c r="QXV108" s="953"/>
      <c r="QXW108" s="953"/>
      <c r="QXX108" s="953"/>
      <c r="QXY108" s="953"/>
      <c r="QXZ108" s="953"/>
      <c r="QYA108" s="953"/>
      <c r="QYB108" s="953"/>
      <c r="QYC108" s="953"/>
      <c r="QYD108" s="953"/>
      <c r="QYE108" s="953"/>
      <c r="QYF108" s="953"/>
      <c r="QYG108" s="953"/>
      <c r="QYH108" s="953"/>
      <c r="QYI108" s="953"/>
      <c r="QYJ108" s="953"/>
      <c r="QYK108" s="953"/>
      <c r="QYL108" s="953"/>
      <c r="QYM108" s="953"/>
      <c r="QYN108" s="953"/>
      <c r="QYO108" s="953"/>
      <c r="QYP108" s="953"/>
      <c r="QYQ108" s="953"/>
      <c r="QYR108" s="953"/>
      <c r="QYS108" s="953"/>
      <c r="QYT108" s="953"/>
      <c r="QYU108" s="953"/>
      <c r="QYV108" s="953"/>
      <c r="QYW108" s="953"/>
      <c r="QYX108" s="953"/>
      <c r="QYY108" s="953"/>
      <c r="QYZ108" s="953"/>
      <c r="QZA108" s="953"/>
      <c r="QZB108" s="953"/>
      <c r="QZC108" s="953"/>
      <c r="QZD108" s="953"/>
      <c r="QZE108" s="953"/>
      <c r="QZF108" s="953"/>
      <c r="QZG108" s="953"/>
      <c r="QZH108" s="953"/>
      <c r="QZI108" s="953"/>
      <c r="QZJ108" s="953"/>
      <c r="QZK108" s="953"/>
      <c r="QZL108" s="953"/>
      <c r="QZM108" s="953"/>
      <c r="QZN108" s="953"/>
      <c r="QZO108" s="953"/>
      <c r="QZP108" s="953"/>
      <c r="QZQ108" s="953"/>
      <c r="QZR108" s="953"/>
      <c r="QZS108" s="953"/>
      <c r="QZT108" s="953"/>
      <c r="QZU108" s="953"/>
      <c r="QZV108" s="953"/>
      <c r="QZW108" s="953"/>
      <c r="QZX108" s="953"/>
      <c r="QZY108" s="953"/>
      <c r="QZZ108" s="953"/>
      <c r="RAA108" s="953"/>
      <c r="RAB108" s="953"/>
      <c r="RAC108" s="953"/>
      <c r="RAD108" s="953"/>
      <c r="RAE108" s="953"/>
      <c r="RAF108" s="953"/>
      <c r="RAG108" s="953"/>
      <c r="RAH108" s="953"/>
      <c r="RAI108" s="953"/>
      <c r="RAJ108" s="953"/>
      <c r="RAK108" s="953"/>
      <c r="RAL108" s="953"/>
      <c r="RAM108" s="953"/>
      <c r="RAN108" s="953"/>
      <c r="RAO108" s="953"/>
      <c r="RAP108" s="953"/>
      <c r="RAQ108" s="953"/>
      <c r="RAR108" s="953"/>
      <c r="RAS108" s="953"/>
      <c r="RAT108" s="953"/>
      <c r="RAU108" s="953"/>
      <c r="RAV108" s="953"/>
      <c r="RAW108" s="953"/>
      <c r="RAX108" s="953"/>
      <c r="RAY108" s="953"/>
      <c r="RAZ108" s="953"/>
      <c r="RBA108" s="953"/>
      <c r="RBB108" s="953"/>
      <c r="RBC108" s="953"/>
      <c r="RBD108" s="953"/>
      <c r="RBE108" s="953"/>
      <c r="RBF108" s="953"/>
      <c r="RBG108" s="953"/>
      <c r="RBH108" s="953"/>
      <c r="RBI108" s="953"/>
      <c r="RBJ108" s="953"/>
      <c r="RBK108" s="953"/>
      <c r="RBL108" s="953"/>
      <c r="RBM108" s="953"/>
      <c r="RBN108" s="953"/>
      <c r="RBO108" s="953"/>
      <c r="RBP108" s="953"/>
      <c r="RBQ108" s="953"/>
      <c r="RBR108" s="953"/>
      <c r="RBS108" s="953"/>
      <c r="RBT108" s="953"/>
      <c r="RBU108" s="953"/>
      <c r="RBV108" s="953"/>
      <c r="RBW108" s="953"/>
      <c r="RBX108" s="953"/>
      <c r="RBY108" s="953"/>
      <c r="RBZ108" s="953"/>
      <c r="RCA108" s="953"/>
      <c r="RCB108" s="953"/>
      <c r="RCC108" s="953"/>
      <c r="RCD108" s="953"/>
      <c r="RCE108" s="953"/>
      <c r="RCF108" s="953"/>
      <c r="RCG108" s="953"/>
      <c r="RCH108" s="953"/>
      <c r="RCI108" s="953"/>
      <c r="RCJ108" s="953"/>
      <c r="RCK108" s="953"/>
      <c r="RCL108" s="953"/>
      <c r="RCM108" s="953"/>
      <c r="RCN108" s="953"/>
      <c r="RCO108" s="953"/>
      <c r="RCP108" s="953"/>
      <c r="RCQ108" s="953"/>
      <c r="RCR108" s="953"/>
      <c r="RCS108" s="953"/>
      <c r="RCT108" s="953"/>
      <c r="RCU108" s="953"/>
      <c r="RCV108" s="953"/>
      <c r="RCW108" s="953"/>
      <c r="RCX108" s="953"/>
      <c r="RCY108" s="953"/>
      <c r="RCZ108" s="953"/>
      <c r="RDA108" s="953"/>
      <c r="RDB108" s="953"/>
      <c r="RDC108" s="953"/>
      <c r="RDD108" s="953"/>
      <c r="RDE108" s="953"/>
      <c r="RDF108" s="953"/>
      <c r="RDG108" s="953"/>
      <c r="RDH108" s="953"/>
      <c r="RDI108" s="953"/>
      <c r="RDJ108" s="953"/>
      <c r="RDK108" s="953"/>
      <c r="RDL108" s="953"/>
      <c r="RDM108" s="953"/>
      <c r="RDN108" s="953"/>
      <c r="RDO108" s="953"/>
      <c r="RDP108" s="953"/>
      <c r="RDQ108" s="953"/>
      <c r="RDR108" s="953"/>
      <c r="RDS108" s="953"/>
      <c r="RDT108" s="953"/>
      <c r="RDU108" s="953"/>
      <c r="RDV108" s="953"/>
      <c r="RDW108" s="953"/>
      <c r="RDX108" s="953"/>
      <c r="RDY108" s="953"/>
      <c r="RDZ108" s="953"/>
      <c r="REA108" s="953"/>
      <c r="REB108" s="953"/>
      <c r="REC108" s="953"/>
      <c r="RED108" s="953"/>
      <c r="REE108" s="953"/>
      <c r="REF108" s="953"/>
      <c r="REG108" s="953"/>
      <c r="REH108" s="953"/>
      <c r="REI108" s="953"/>
      <c r="REJ108" s="953"/>
      <c r="REK108" s="953"/>
      <c r="REL108" s="953"/>
      <c r="REM108" s="953"/>
      <c r="REN108" s="953"/>
      <c r="REO108" s="953"/>
      <c r="REP108" s="953"/>
      <c r="REQ108" s="953"/>
      <c r="RER108" s="953"/>
      <c r="RES108" s="953"/>
      <c r="RET108" s="953"/>
      <c r="REU108" s="953"/>
      <c r="REV108" s="953"/>
      <c r="REW108" s="953"/>
      <c r="REX108" s="953"/>
      <c r="REY108" s="953"/>
      <c r="REZ108" s="953"/>
      <c r="RFA108" s="953"/>
      <c r="RFB108" s="953"/>
      <c r="RFC108" s="953"/>
      <c r="RFD108" s="953"/>
      <c r="RFE108" s="953"/>
      <c r="RFF108" s="953"/>
      <c r="RFG108" s="953"/>
      <c r="RFH108" s="953"/>
      <c r="RFI108" s="953"/>
      <c r="RFJ108" s="953"/>
      <c r="RFK108" s="953"/>
      <c r="RFL108" s="953"/>
      <c r="RFM108" s="953"/>
      <c r="RFN108" s="953"/>
      <c r="RFO108" s="953"/>
      <c r="RFP108" s="953"/>
      <c r="RFQ108" s="953"/>
      <c r="RFR108" s="953"/>
      <c r="RFS108" s="953"/>
      <c r="RFT108" s="953"/>
      <c r="RFU108" s="953"/>
      <c r="RFV108" s="953"/>
      <c r="RFW108" s="953"/>
      <c r="RFX108" s="953"/>
      <c r="RFY108" s="953"/>
      <c r="RFZ108" s="953"/>
      <c r="RGA108" s="953"/>
      <c r="RGB108" s="953"/>
      <c r="RGC108" s="953"/>
      <c r="RGD108" s="953"/>
      <c r="RGE108" s="953"/>
      <c r="RGF108" s="953"/>
      <c r="RGG108" s="953"/>
      <c r="RGH108" s="953"/>
      <c r="RGI108" s="953"/>
      <c r="RGJ108" s="953"/>
      <c r="RGK108" s="953"/>
      <c r="RGL108" s="953"/>
      <c r="RGM108" s="953"/>
      <c r="RGN108" s="953"/>
      <c r="RGO108" s="953"/>
      <c r="RGP108" s="953"/>
      <c r="RGQ108" s="953"/>
      <c r="RGR108" s="953"/>
      <c r="RGS108" s="953"/>
      <c r="RGT108" s="953"/>
      <c r="RGU108" s="953"/>
      <c r="RGV108" s="953"/>
      <c r="RGW108" s="953"/>
      <c r="RGX108" s="953"/>
      <c r="RGY108" s="953"/>
      <c r="RGZ108" s="953"/>
      <c r="RHA108" s="953"/>
      <c r="RHB108" s="953"/>
      <c r="RHC108" s="953"/>
      <c r="RHD108" s="953"/>
      <c r="RHE108" s="953"/>
      <c r="RHF108" s="953"/>
      <c r="RHG108" s="953"/>
      <c r="RHH108" s="953"/>
      <c r="RHI108" s="953"/>
      <c r="RHJ108" s="953"/>
      <c r="RHK108" s="953"/>
      <c r="RHL108" s="953"/>
      <c r="RHM108" s="953"/>
      <c r="RHN108" s="953"/>
      <c r="RHO108" s="953"/>
      <c r="RHP108" s="953"/>
      <c r="RHQ108" s="953"/>
      <c r="RHR108" s="953"/>
      <c r="RHS108" s="953"/>
      <c r="RHT108" s="953"/>
      <c r="RHU108" s="953"/>
      <c r="RHV108" s="953"/>
      <c r="RHW108" s="953"/>
      <c r="RHX108" s="953"/>
      <c r="RHY108" s="953"/>
      <c r="RHZ108" s="953"/>
      <c r="RIA108" s="953"/>
      <c r="RIB108" s="953"/>
      <c r="RIC108" s="953"/>
      <c r="RID108" s="953"/>
      <c r="RIE108" s="953"/>
      <c r="RIF108" s="953"/>
      <c r="RIG108" s="953"/>
      <c r="RIH108" s="953"/>
      <c r="RII108" s="953"/>
      <c r="RIJ108" s="953"/>
      <c r="RIK108" s="953"/>
      <c r="RIL108" s="953"/>
      <c r="RIM108" s="953"/>
      <c r="RIN108" s="953"/>
      <c r="RIO108" s="953"/>
      <c r="RIP108" s="953"/>
      <c r="RIQ108" s="953"/>
      <c r="RIR108" s="953"/>
      <c r="RIS108" s="953"/>
      <c r="RIT108" s="953"/>
      <c r="RIU108" s="953"/>
      <c r="RIV108" s="953"/>
      <c r="RIW108" s="953"/>
      <c r="RIX108" s="953"/>
      <c r="RIY108" s="953"/>
      <c r="RIZ108" s="953"/>
      <c r="RJA108" s="953"/>
      <c r="RJB108" s="953"/>
      <c r="RJC108" s="953"/>
      <c r="RJD108" s="953"/>
      <c r="RJE108" s="953"/>
      <c r="RJF108" s="953"/>
      <c r="RJG108" s="953"/>
      <c r="RJH108" s="953"/>
      <c r="RJI108" s="953"/>
      <c r="RJJ108" s="953"/>
      <c r="RJK108" s="953"/>
      <c r="RJL108" s="953"/>
      <c r="RJM108" s="953"/>
      <c r="RJN108" s="953"/>
      <c r="RJO108" s="953"/>
      <c r="RJP108" s="953"/>
      <c r="RJQ108" s="953"/>
      <c r="RJR108" s="953"/>
      <c r="RJS108" s="953"/>
      <c r="RJT108" s="953"/>
      <c r="RJU108" s="953"/>
      <c r="RJV108" s="953"/>
      <c r="RJW108" s="953"/>
      <c r="RJX108" s="953"/>
      <c r="RJY108" s="953"/>
      <c r="RJZ108" s="953"/>
      <c r="RKA108" s="953"/>
      <c r="RKB108" s="953"/>
      <c r="RKC108" s="953"/>
      <c r="RKD108" s="953"/>
      <c r="RKE108" s="953"/>
      <c r="RKF108" s="953"/>
      <c r="RKG108" s="953"/>
      <c r="RKH108" s="953"/>
      <c r="RKI108" s="953"/>
      <c r="RKJ108" s="953"/>
      <c r="RKK108" s="953"/>
      <c r="RKL108" s="953"/>
      <c r="RKM108" s="953"/>
      <c r="RKN108" s="953"/>
      <c r="RKO108" s="953"/>
      <c r="RKP108" s="953"/>
      <c r="RKQ108" s="953"/>
      <c r="RKR108" s="953"/>
      <c r="RKS108" s="953"/>
      <c r="RKT108" s="953"/>
      <c r="RKU108" s="953"/>
      <c r="RKV108" s="953"/>
      <c r="RKW108" s="953"/>
      <c r="RKX108" s="953"/>
      <c r="RKY108" s="953"/>
      <c r="RKZ108" s="953"/>
      <c r="RLA108" s="953"/>
      <c r="RLB108" s="953"/>
      <c r="RLC108" s="953"/>
      <c r="RLD108" s="953"/>
      <c r="RLE108" s="953"/>
      <c r="RLF108" s="953"/>
      <c r="RLG108" s="953"/>
      <c r="RLH108" s="953"/>
      <c r="RLI108" s="953"/>
      <c r="RLJ108" s="953"/>
      <c r="RLK108" s="953"/>
      <c r="RLL108" s="953"/>
      <c r="RLM108" s="953"/>
      <c r="RLN108" s="953"/>
      <c r="RLO108" s="953"/>
      <c r="RLP108" s="953"/>
      <c r="RLQ108" s="953"/>
      <c r="RLR108" s="953"/>
      <c r="RLS108" s="953"/>
      <c r="RLT108" s="953"/>
      <c r="RLU108" s="953"/>
      <c r="RLV108" s="953"/>
      <c r="RLW108" s="953"/>
      <c r="RLX108" s="953"/>
      <c r="RLY108" s="953"/>
      <c r="RLZ108" s="953"/>
      <c r="RMA108" s="953"/>
      <c r="RMB108" s="953"/>
      <c r="RMC108" s="953"/>
      <c r="RMD108" s="953"/>
      <c r="RME108" s="953"/>
      <c r="RMF108" s="953"/>
      <c r="RMG108" s="953"/>
      <c r="RMH108" s="953"/>
      <c r="RMI108" s="953"/>
      <c r="RMJ108" s="953"/>
      <c r="RMK108" s="953"/>
      <c r="RML108" s="953"/>
      <c r="RMM108" s="953"/>
      <c r="RMN108" s="953"/>
      <c r="RMO108" s="953"/>
      <c r="RMP108" s="953"/>
      <c r="RMQ108" s="953"/>
      <c r="RMR108" s="953"/>
      <c r="RMS108" s="953"/>
      <c r="RMT108" s="953"/>
      <c r="RMU108" s="953"/>
      <c r="RMV108" s="953"/>
      <c r="RMW108" s="953"/>
      <c r="RMX108" s="953"/>
      <c r="RMY108" s="953"/>
      <c r="RMZ108" s="953"/>
      <c r="RNA108" s="953"/>
      <c r="RNB108" s="953"/>
      <c r="RNC108" s="953"/>
      <c r="RND108" s="953"/>
      <c r="RNE108" s="953"/>
      <c r="RNF108" s="953"/>
      <c r="RNG108" s="953"/>
      <c r="RNH108" s="953"/>
      <c r="RNI108" s="953"/>
      <c r="RNJ108" s="953"/>
      <c r="RNK108" s="953"/>
      <c r="RNL108" s="953"/>
      <c r="RNM108" s="953"/>
      <c r="RNN108" s="953"/>
      <c r="RNO108" s="953"/>
      <c r="RNP108" s="953"/>
      <c r="RNQ108" s="953"/>
      <c r="RNR108" s="953"/>
      <c r="RNS108" s="953"/>
      <c r="RNT108" s="953"/>
      <c r="RNU108" s="953"/>
      <c r="RNV108" s="953"/>
      <c r="RNW108" s="953"/>
      <c r="RNX108" s="953"/>
      <c r="RNY108" s="953"/>
      <c r="RNZ108" s="953"/>
      <c r="ROA108" s="953"/>
      <c r="ROB108" s="953"/>
      <c r="ROC108" s="953"/>
      <c r="ROD108" s="953"/>
      <c r="ROE108" s="953"/>
      <c r="ROF108" s="953"/>
      <c r="ROG108" s="953"/>
      <c r="ROH108" s="953"/>
      <c r="ROI108" s="953"/>
      <c r="ROJ108" s="953"/>
      <c r="ROK108" s="953"/>
      <c r="ROL108" s="953"/>
      <c r="ROM108" s="953"/>
      <c r="RON108" s="953"/>
      <c r="ROO108" s="953"/>
      <c r="ROP108" s="953"/>
      <c r="ROQ108" s="953"/>
      <c r="ROR108" s="953"/>
      <c r="ROS108" s="953"/>
      <c r="ROT108" s="953"/>
      <c r="ROU108" s="953"/>
      <c r="ROV108" s="953"/>
      <c r="ROW108" s="953"/>
      <c r="ROX108" s="953"/>
      <c r="ROY108" s="953"/>
      <c r="ROZ108" s="953"/>
      <c r="RPA108" s="953"/>
      <c r="RPB108" s="953"/>
      <c r="RPC108" s="953"/>
      <c r="RPD108" s="953"/>
      <c r="RPE108" s="953"/>
      <c r="RPF108" s="953"/>
      <c r="RPG108" s="953"/>
      <c r="RPH108" s="953"/>
      <c r="RPI108" s="953"/>
      <c r="RPJ108" s="953"/>
      <c r="RPK108" s="953"/>
      <c r="RPL108" s="953"/>
      <c r="RPM108" s="953"/>
      <c r="RPN108" s="953"/>
      <c r="RPO108" s="953"/>
      <c r="RPP108" s="953"/>
      <c r="RPQ108" s="953"/>
      <c r="RPR108" s="953"/>
      <c r="RPS108" s="953"/>
      <c r="RPT108" s="953"/>
      <c r="RPU108" s="953"/>
      <c r="RPV108" s="953"/>
      <c r="RPW108" s="953"/>
      <c r="RPX108" s="953"/>
      <c r="RPY108" s="953"/>
      <c r="RPZ108" s="953"/>
      <c r="RQA108" s="953"/>
      <c r="RQB108" s="953"/>
      <c r="RQC108" s="953"/>
      <c r="RQD108" s="953"/>
      <c r="RQE108" s="953"/>
      <c r="RQF108" s="953"/>
      <c r="RQG108" s="953"/>
      <c r="RQH108" s="953"/>
      <c r="RQI108" s="953"/>
      <c r="RQJ108" s="953"/>
      <c r="RQK108" s="953"/>
      <c r="RQL108" s="953"/>
      <c r="RQM108" s="953"/>
      <c r="RQN108" s="953"/>
      <c r="RQO108" s="953"/>
      <c r="RQP108" s="953"/>
      <c r="RQQ108" s="953"/>
      <c r="RQR108" s="953"/>
      <c r="RQS108" s="953"/>
      <c r="RQT108" s="953"/>
      <c r="RQU108" s="953"/>
      <c r="RQV108" s="953"/>
      <c r="RQW108" s="953"/>
      <c r="RQX108" s="953"/>
      <c r="RQY108" s="953"/>
      <c r="RQZ108" s="953"/>
      <c r="RRA108" s="953"/>
      <c r="RRB108" s="953"/>
      <c r="RRC108" s="953"/>
      <c r="RRD108" s="953"/>
      <c r="RRE108" s="953"/>
      <c r="RRF108" s="953"/>
      <c r="RRG108" s="953"/>
      <c r="RRH108" s="953"/>
      <c r="RRI108" s="953"/>
      <c r="RRJ108" s="953"/>
      <c r="RRK108" s="953"/>
      <c r="RRL108" s="953"/>
      <c r="RRM108" s="953"/>
      <c r="RRN108" s="953"/>
      <c r="RRO108" s="953"/>
      <c r="RRP108" s="953"/>
      <c r="RRQ108" s="953"/>
      <c r="RRR108" s="953"/>
      <c r="RRS108" s="953"/>
      <c r="RRT108" s="953"/>
      <c r="RRU108" s="953"/>
      <c r="RRV108" s="953"/>
      <c r="RRW108" s="953"/>
      <c r="RRX108" s="953"/>
      <c r="RRY108" s="953"/>
      <c r="RRZ108" s="953"/>
      <c r="RSA108" s="953"/>
      <c r="RSB108" s="953"/>
      <c r="RSC108" s="953"/>
      <c r="RSD108" s="953"/>
      <c r="RSE108" s="953"/>
      <c r="RSF108" s="953"/>
      <c r="RSG108" s="953"/>
      <c r="RSH108" s="953"/>
      <c r="RSI108" s="953"/>
      <c r="RSJ108" s="953"/>
      <c r="RSK108" s="953"/>
      <c r="RSL108" s="953"/>
      <c r="RSM108" s="953"/>
      <c r="RSN108" s="953"/>
      <c r="RSO108" s="953"/>
      <c r="RSP108" s="953"/>
      <c r="RSQ108" s="953"/>
      <c r="RSR108" s="953"/>
      <c r="RSS108" s="953"/>
      <c r="RST108" s="953"/>
      <c r="RSU108" s="953"/>
      <c r="RSV108" s="953"/>
      <c r="RSW108" s="953"/>
      <c r="RSX108" s="953"/>
      <c r="RSY108" s="953"/>
      <c r="RSZ108" s="953"/>
      <c r="RTA108" s="953"/>
      <c r="RTB108" s="953"/>
      <c r="RTC108" s="953"/>
      <c r="RTD108" s="953"/>
      <c r="RTE108" s="953"/>
      <c r="RTF108" s="953"/>
      <c r="RTG108" s="953"/>
      <c r="RTH108" s="953"/>
      <c r="RTI108" s="953"/>
      <c r="RTJ108" s="953"/>
      <c r="RTK108" s="953"/>
      <c r="RTL108" s="953"/>
      <c r="RTM108" s="953"/>
      <c r="RTN108" s="953"/>
      <c r="RTO108" s="953"/>
      <c r="RTP108" s="953"/>
      <c r="RTQ108" s="953"/>
      <c r="RTR108" s="953"/>
      <c r="RTS108" s="953"/>
      <c r="RTT108" s="953"/>
      <c r="RTU108" s="953"/>
      <c r="RTV108" s="953"/>
      <c r="RTW108" s="953"/>
      <c r="RTX108" s="953"/>
      <c r="RTY108" s="953"/>
      <c r="RTZ108" s="953"/>
      <c r="RUA108" s="953"/>
      <c r="RUB108" s="953"/>
      <c r="RUC108" s="953"/>
      <c r="RUD108" s="953"/>
      <c r="RUE108" s="953"/>
      <c r="RUF108" s="953"/>
      <c r="RUG108" s="953"/>
      <c r="RUH108" s="953"/>
      <c r="RUI108" s="953"/>
      <c r="RUJ108" s="953"/>
      <c r="RUK108" s="953"/>
      <c r="RUL108" s="953"/>
      <c r="RUM108" s="953"/>
      <c r="RUN108" s="953"/>
      <c r="RUO108" s="953"/>
      <c r="RUP108" s="953"/>
      <c r="RUQ108" s="953"/>
      <c r="RUR108" s="953"/>
      <c r="RUS108" s="953"/>
      <c r="RUT108" s="953"/>
      <c r="RUU108" s="953"/>
      <c r="RUV108" s="953"/>
      <c r="RUW108" s="953"/>
      <c r="RUX108" s="953"/>
      <c r="RUY108" s="953"/>
      <c r="RUZ108" s="953"/>
      <c r="RVA108" s="953"/>
      <c r="RVB108" s="953"/>
      <c r="RVC108" s="953"/>
      <c r="RVD108" s="953"/>
      <c r="RVE108" s="953"/>
      <c r="RVF108" s="953"/>
      <c r="RVG108" s="953"/>
      <c r="RVH108" s="953"/>
      <c r="RVI108" s="953"/>
      <c r="RVJ108" s="953"/>
      <c r="RVK108" s="953"/>
      <c r="RVL108" s="953"/>
      <c r="RVM108" s="953"/>
      <c r="RVN108" s="953"/>
      <c r="RVO108" s="953"/>
      <c r="RVP108" s="953"/>
      <c r="RVQ108" s="953"/>
      <c r="RVR108" s="953"/>
      <c r="RVS108" s="953"/>
      <c r="RVT108" s="953"/>
      <c r="RVU108" s="953"/>
      <c r="RVV108" s="953"/>
      <c r="RVW108" s="953"/>
      <c r="RVX108" s="953"/>
      <c r="RVY108" s="953"/>
      <c r="RVZ108" s="953"/>
      <c r="RWA108" s="953"/>
      <c r="RWB108" s="953"/>
      <c r="RWC108" s="953"/>
      <c r="RWD108" s="953"/>
      <c r="RWE108" s="953"/>
      <c r="RWF108" s="953"/>
      <c r="RWG108" s="953"/>
      <c r="RWH108" s="953"/>
      <c r="RWI108" s="953"/>
      <c r="RWJ108" s="953"/>
      <c r="RWK108" s="953"/>
      <c r="RWL108" s="953"/>
      <c r="RWM108" s="953"/>
      <c r="RWN108" s="953"/>
      <c r="RWO108" s="953"/>
      <c r="RWP108" s="953"/>
      <c r="RWQ108" s="953"/>
      <c r="RWR108" s="953"/>
      <c r="RWS108" s="953"/>
      <c r="RWT108" s="953"/>
      <c r="RWU108" s="953"/>
      <c r="RWV108" s="953"/>
      <c r="RWW108" s="953"/>
      <c r="RWX108" s="953"/>
      <c r="RWY108" s="953"/>
      <c r="RWZ108" s="953"/>
      <c r="RXA108" s="953"/>
      <c r="RXB108" s="953"/>
      <c r="RXC108" s="953"/>
      <c r="RXD108" s="953"/>
      <c r="RXE108" s="953"/>
      <c r="RXF108" s="953"/>
      <c r="RXG108" s="953"/>
      <c r="RXH108" s="953"/>
      <c r="RXI108" s="953"/>
      <c r="RXJ108" s="953"/>
      <c r="RXK108" s="953"/>
      <c r="RXL108" s="953"/>
      <c r="RXM108" s="953"/>
      <c r="RXN108" s="953"/>
      <c r="RXO108" s="953"/>
      <c r="RXP108" s="953"/>
      <c r="RXQ108" s="953"/>
      <c r="RXR108" s="953"/>
      <c r="RXS108" s="953"/>
      <c r="RXT108" s="953"/>
      <c r="RXU108" s="953"/>
      <c r="RXV108" s="953"/>
      <c r="RXW108" s="953"/>
      <c r="RXX108" s="953"/>
      <c r="RXY108" s="953"/>
      <c r="RXZ108" s="953"/>
      <c r="RYA108" s="953"/>
      <c r="RYB108" s="953"/>
      <c r="RYC108" s="953"/>
      <c r="RYD108" s="953"/>
      <c r="RYE108" s="953"/>
      <c r="RYF108" s="953"/>
      <c r="RYG108" s="953"/>
      <c r="RYH108" s="953"/>
      <c r="RYI108" s="953"/>
      <c r="RYJ108" s="953"/>
      <c r="RYK108" s="953"/>
      <c r="RYL108" s="953"/>
      <c r="RYM108" s="953"/>
      <c r="RYN108" s="953"/>
      <c r="RYO108" s="953"/>
      <c r="RYP108" s="953"/>
      <c r="RYQ108" s="953"/>
      <c r="RYR108" s="953"/>
      <c r="RYS108" s="953"/>
      <c r="RYT108" s="953"/>
      <c r="RYU108" s="953"/>
      <c r="RYV108" s="953"/>
      <c r="RYW108" s="953"/>
      <c r="RYX108" s="953"/>
      <c r="RYY108" s="953"/>
      <c r="RYZ108" s="953"/>
      <c r="RZA108" s="953"/>
      <c r="RZB108" s="953"/>
      <c r="RZC108" s="953"/>
      <c r="RZD108" s="953"/>
      <c r="RZE108" s="953"/>
      <c r="RZF108" s="953"/>
      <c r="RZG108" s="953"/>
      <c r="RZH108" s="953"/>
      <c r="RZI108" s="953"/>
      <c r="RZJ108" s="953"/>
      <c r="RZK108" s="953"/>
      <c r="RZL108" s="953"/>
      <c r="RZM108" s="953"/>
      <c r="RZN108" s="953"/>
      <c r="RZO108" s="953"/>
      <c r="RZP108" s="953"/>
      <c r="RZQ108" s="953"/>
      <c r="RZR108" s="953"/>
      <c r="RZS108" s="953"/>
      <c r="RZT108" s="953"/>
      <c r="RZU108" s="953"/>
      <c r="RZV108" s="953"/>
      <c r="RZW108" s="953"/>
      <c r="RZX108" s="953"/>
      <c r="RZY108" s="953"/>
      <c r="RZZ108" s="953"/>
      <c r="SAA108" s="953"/>
      <c r="SAB108" s="953"/>
      <c r="SAC108" s="953"/>
      <c r="SAD108" s="953"/>
      <c r="SAE108" s="953"/>
      <c r="SAF108" s="953"/>
      <c r="SAG108" s="953"/>
      <c r="SAH108" s="953"/>
      <c r="SAI108" s="953"/>
      <c r="SAJ108" s="953"/>
      <c r="SAK108" s="953"/>
      <c r="SAL108" s="953"/>
      <c r="SAM108" s="953"/>
      <c r="SAN108" s="953"/>
      <c r="SAO108" s="953"/>
      <c r="SAP108" s="953"/>
      <c r="SAQ108" s="953"/>
      <c r="SAR108" s="953"/>
      <c r="SAS108" s="953"/>
      <c r="SAT108" s="953"/>
      <c r="SAU108" s="953"/>
      <c r="SAV108" s="953"/>
      <c r="SAW108" s="953"/>
      <c r="SAX108" s="953"/>
      <c r="SAY108" s="953"/>
      <c r="SAZ108" s="953"/>
      <c r="SBA108" s="953"/>
      <c r="SBB108" s="953"/>
      <c r="SBC108" s="953"/>
      <c r="SBD108" s="953"/>
      <c r="SBE108" s="953"/>
      <c r="SBF108" s="953"/>
      <c r="SBG108" s="953"/>
      <c r="SBH108" s="953"/>
      <c r="SBI108" s="953"/>
      <c r="SBJ108" s="953"/>
      <c r="SBK108" s="953"/>
      <c r="SBL108" s="953"/>
      <c r="SBM108" s="953"/>
      <c r="SBN108" s="953"/>
      <c r="SBO108" s="953"/>
      <c r="SBP108" s="953"/>
      <c r="SBQ108" s="953"/>
      <c r="SBR108" s="953"/>
      <c r="SBS108" s="953"/>
      <c r="SBT108" s="953"/>
      <c r="SBU108" s="953"/>
      <c r="SBV108" s="953"/>
      <c r="SBW108" s="953"/>
      <c r="SBX108" s="953"/>
      <c r="SBY108" s="953"/>
      <c r="SBZ108" s="953"/>
      <c r="SCA108" s="953"/>
      <c r="SCB108" s="953"/>
      <c r="SCC108" s="953"/>
      <c r="SCD108" s="953"/>
      <c r="SCE108" s="953"/>
      <c r="SCF108" s="953"/>
      <c r="SCG108" s="953"/>
      <c r="SCH108" s="953"/>
      <c r="SCI108" s="953"/>
      <c r="SCJ108" s="953"/>
      <c r="SCK108" s="953"/>
      <c r="SCL108" s="953"/>
      <c r="SCM108" s="953"/>
      <c r="SCN108" s="953"/>
      <c r="SCO108" s="953"/>
      <c r="SCP108" s="953"/>
      <c r="SCQ108" s="953"/>
      <c r="SCR108" s="953"/>
      <c r="SCS108" s="953"/>
      <c r="SCT108" s="953"/>
      <c r="SCU108" s="953"/>
      <c r="SCV108" s="953"/>
      <c r="SCW108" s="953"/>
      <c r="SCX108" s="953"/>
      <c r="SCY108" s="953"/>
      <c r="SCZ108" s="953"/>
      <c r="SDA108" s="953"/>
      <c r="SDB108" s="953"/>
      <c r="SDC108" s="953"/>
      <c r="SDD108" s="953"/>
      <c r="SDE108" s="953"/>
      <c r="SDF108" s="953"/>
      <c r="SDG108" s="953"/>
      <c r="SDH108" s="953"/>
      <c r="SDI108" s="953"/>
      <c r="SDJ108" s="953"/>
      <c r="SDK108" s="953"/>
      <c r="SDL108" s="953"/>
      <c r="SDM108" s="953"/>
      <c r="SDN108" s="953"/>
      <c r="SDO108" s="953"/>
      <c r="SDP108" s="953"/>
      <c r="SDQ108" s="953"/>
      <c r="SDR108" s="953"/>
      <c r="SDS108" s="953"/>
      <c r="SDT108" s="953"/>
      <c r="SDU108" s="953"/>
      <c r="SDV108" s="953"/>
      <c r="SDW108" s="953"/>
      <c r="SDX108" s="953"/>
      <c r="SDY108" s="953"/>
      <c r="SDZ108" s="953"/>
      <c r="SEA108" s="953"/>
      <c r="SEB108" s="953"/>
      <c r="SEC108" s="953"/>
      <c r="SED108" s="953"/>
      <c r="SEE108" s="953"/>
      <c r="SEF108" s="953"/>
      <c r="SEG108" s="953"/>
      <c r="SEH108" s="953"/>
      <c r="SEI108" s="953"/>
      <c r="SEJ108" s="953"/>
      <c r="SEK108" s="953"/>
      <c r="SEL108" s="953"/>
      <c r="SEM108" s="953"/>
      <c r="SEN108" s="953"/>
      <c r="SEO108" s="953"/>
      <c r="SEP108" s="953"/>
      <c r="SEQ108" s="953"/>
      <c r="SER108" s="953"/>
      <c r="SES108" s="953"/>
      <c r="SET108" s="953"/>
      <c r="SEU108" s="953"/>
      <c r="SEV108" s="953"/>
      <c r="SEW108" s="953"/>
      <c r="SEX108" s="953"/>
      <c r="SEY108" s="953"/>
      <c r="SEZ108" s="953"/>
      <c r="SFA108" s="953"/>
      <c r="SFB108" s="953"/>
      <c r="SFC108" s="953"/>
      <c r="SFD108" s="953"/>
      <c r="SFE108" s="953"/>
      <c r="SFF108" s="953"/>
      <c r="SFG108" s="953"/>
      <c r="SFH108" s="953"/>
      <c r="SFI108" s="953"/>
      <c r="SFJ108" s="953"/>
      <c r="SFK108" s="953"/>
      <c r="SFL108" s="953"/>
      <c r="SFM108" s="953"/>
      <c r="SFN108" s="953"/>
      <c r="SFO108" s="953"/>
      <c r="SFP108" s="953"/>
      <c r="SFQ108" s="953"/>
      <c r="SFR108" s="953"/>
      <c r="SFS108" s="953"/>
      <c r="SFT108" s="953"/>
      <c r="SFU108" s="953"/>
      <c r="SFV108" s="953"/>
      <c r="SFW108" s="953"/>
      <c r="SFX108" s="953"/>
      <c r="SFY108" s="953"/>
      <c r="SFZ108" s="953"/>
      <c r="SGA108" s="953"/>
      <c r="SGB108" s="953"/>
      <c r="SGC108" s="953"/>
      <c r="SGD108" s="953"/>
      <c r="SGE108" s="953"/>
      <c r="SGF108" s="953"/>
      <c r="SGG108" s="953"/>
      <c r="SGH108" s="953"/>
      <c r="SGI108" s="953"/>
      <c r="SGJ108" s="953"/>
      <c r="SGK108" s="953"/>
      <c r="SGL108" s="953"/>
      <c r="SGM108" s="953"/>
      <c r="SGN108" s="953"/>
      <c r="SGO108" s="953"/>
      <c r="SGP108" s="953"/>
      <c r="SGQ108" s="953"/>
      <c r="SGR108" s="953"/>
      <c r="SGS108" s="953"/>
      <c r="SGT108" s="953"/>
      <c r="SGU108" s="953"/>
      <c r="SGV108" s="953"/>
      <c r="SGW108" s="953"/>
      <c r="SGX108" s="953"/>
      <c r="SGY108" s="953"/>
      <c r="SGZ108" s="953"/>
      <c r="SHA108" s="953"/>
      <c r="SHB108" s="953"/>
      <c r="SHC108" s="953"/>
      <c r="SHD108" s="953"/>
      <c r="SHE108" s="953"/>
      <c r="SHF108" s="953"/>
      <c r="SHG108" s="953"/>
      <c r="SHH108" s="953"/>
      <c r="SHI108" s="953"/>
      <c r="SHJ108" s="953"/>
      <c r="SHK108" s="953"/>
      <c r="SHL108" s="953"/>
      <c r="SHM108" s="953"/>
      <c r="SHN108" s="953"/>
      <c r="SHO108" s="953"/>
      <c r="SHP108" s="953"/>
      <c r="SHQ108" s="953"/>
      <c r="SHR108" s="953"/>
      <c r="SHS108" s="953"/>
      <c r="SHT108" s="953"/>
      <c r="SHU108" s="953"/>
      <c r="SHV108" s="953"/>
      <c r="SHW108" s="953"/>
      <c r="SHX108" s="953"/>
      <c r="SHY108" s="953"/>
      <c r="SHZ108" s="953"/>
      <c r="SIA108" s="953"/>
      <c r="SIB108" s="953"/>
      <c r="SIC108" s="953"/>
      <c r="SID108" s="953"/>
      <c r="SIE108" s="953"/>
      <c r="SIF108" s="953"/>
      <c r="SIG108" s="953"/>
      <c r="SIH108" s="953"/>
      <c r="SII108" s="953"/>
      <c r="SIJ108" s="953"/>
      <c r="SIK108" s="953"/>
      <c r="SIL108" s="953"/>
      <c r="SIM108" s="953"/>
      <c r="SIN108" s="953"/>
      <c r="SIO108" s="953"/>
      <c r="SIP108" s="953"/>
      <c r="SIQ108" s="953"/>
      <c r="SIR108" s="953"/>
      <c r="SIS108" s="953"/>
      <c r="SIT108" s="953"/>
      <c r="SIU108" s="953"/>
      <c r="SIV108" s="953"/>
      <c r="SIW108" s="953"/>
      <c r="SIX108" s="953"/>
      <c r="SIY108" s="953"/>
      <c r="SIZ108" s="953"/>
      <c r="SJA108" s="953"/>
      <c r="SJB108" s="953"/>
      <c r="SJC108" s="953"/>
      <c r="SJD108" s="953"/>
      <c r="SJE108" s="953"/>
      <c r="SJF108" s="953"/>
      <c r="SJG108" s="953"/>
      <c r="SJH108" s="953"/>
      <c r="SJI108" s="953"/>
      <c r="SJJ108" s="953"/>
      <c r="SJK108" s="953"/>
      <c r="SJL108" s="953"/>
      <c r="SJM108" s="953"/>
      <c r="SJN108" s="953"/>
      <c r="SJO108" s="953"/>
      <c r="SJP108" s="953"/>
      <c r="SJQ108" s="953"/>
      <c r="SJR108" s="953"/>
      <c r="SJS108" s="953"/>
      <c r="SJT108" s="953"/>
      <c r="SJU108" s="953"/>
      <c r="SJV108" s="953"/>
      <c r="SJW108" s="953"/>
      <c r="SJX108" s="953"/>
      <c r="SJY108" s="953"/>
      <c r="SJZ108" s="953"/>
      <c r="SKA108" s="953"/>
      <c r="SKB108" s="953"/>
      <c r="SKC108" s="953"/>
      <c r="SKD108" s="953"/>
      <c r="SKE108" s="953"/>
      <c r="SKF108" s="953"/>
      <c r="SKG108" s="953"/>
      <c r="SKH108" s="953"/>
      <c r="SKI108" s="953"/>
      <c r="SKJ108" s="953"/>
      <c r="SKK108" s="953"/>
      <c r="SKL108" s="953"/>
      <c r="SKM108" s="953"/>
      <c r="SKN108" s="953"/>
      <c r="SKO108" s="953"/>
      <c r="SKP108" s="953"/>
      <c r="SKQ108" s="953"/>
      <c r="SKR108" s="953"/>
      <c r="SKS108" s="953"/>
      <c r="SKT108" s="953"/>
      <c r="SKU108" s="953"/>
      <c r="SKV108" s="953"/>
      <c r="SKW108" s="953"/>
      <c r="SKX108" s="953"/>
      <c r="SKY108" s="953"/>
      <c r="SKZ108" s="953"/>
      <c r="SLA108" s="953"/>
      <c r="SLB108" s="953"/>
      <c r="SLC108" s="953"/>
      <c r="SLD108" s="953"/>
      <c r="SLE108" s="953"/>
      <c r="SLF108" s="953"/>
      <c r="SLG108" s="953"/>
      <c r="SLH108" s="953"/>
      <c r="SLI108" s="953"/>
      <c r="SLJ108" s="953"/>
      <c r="SLK108" s="953"/>
      <c r="SLL108" s="953"/>
      <c r="SLM108" s="953"/>
      <c r="SLN108" s="953"/>
      <c r="SLO108" s="953"/>
      <c r="SLP108" s="953"/>
      <c r="SLQ108" s="953"/>
      <c r="SLR108" s="953"/>
      <c r="SLS108" s="953"/>
      <c r="SLT108" s="953"/>
      <c r="SLU108" s="953"/>
      <c r="SLV108" s="953"/>
      <c r="SLW108" s="953"/>
      <c r="SLX108" s="953"/>
      <c r="SLY108" s="953"/>
      <c r="SLZ108" s="953"/>
      <c r="SMA108" s="953"/>
      <c r="SMB108" s="953"/>
      <c r="SMC108" s="953"/>
      <c r="SMD108" s="953"/>
      <c r="SME108" s="953"/>
      <c r="SMF108" s="953"/>
      <c r="SMG108" s="953"/>
      <c r="SMH108" s="953"/>
      <c r="SMI108" s="953"/>
      <c r="SMJ108" s="953"/>
      <c r="SMK108" s="953"/>
      <c r="SML108" s="953"/>
      <c r="SMM108" s="953"/>
      <c r="SMN108" s="953"/>
      <c r="SMO108" s="953"/>
      <c r="SMP108" s="953"/>
      <c r="SMQ108" s="953"/>
      <c r="SMR108" s="953"/>
      <c r="SMS108" s="953"/>
      <c r="SMT108" s="953"/>
      <c r="SMU108" s="953"/>
      <c r="SMV108" s="953"/>
      <c r="SMW108" s="953"/>
      <c r="SMX108" s="953"/>
      <c r="SMY108" s="953"/>
      <c r="SMZ108" s="953"/>
      <c r="SNA108" s="953"/>
      <c r="SNB108" s="953"/>
      <c r="SNC108" s="953"/>
      <c r="SND108" s="953"/>
      <c r="SNE108" s="953"/>
      <c r="SNF108" s="953"/>
      <c r="SNG108" s="953"/>
      <c r="SNH108" s="953"/>
      <c r="SNI108" s="953"/>
      <c r="SNJ108" s="953"/>
      <c r="SNK108" s="953"/>
      <c r="SNL108" s="953"/>
      <c r="SNM108" s="953"/>
      <c r="SNN108" s="953"/>
      <c r="SNO108" s="953"/>
      <c r="SNP108" s="953"/>
      <c r="SNQ108" s="953"/>
      <c r="SNR108" s="953"/>
      <c r="SNS108" s="953"/>
      <c r="SNT108" s="953"/>
      <c r="SNU108" s="953"/>
      <c r="SNV108" s="953"/>
      <c r="SNW108" s="953"/>
      <c r="SNX108" s="953"/>
      <c r="SNY108" s="953"/>
      <c r="SNZ108" s="953"/>
      <c r="SOA108" s="953"/>
      <c r="SOB108" s="953"/>
      <c r="SOC108" s="953"/>
      <c r="SOD108" s="953"/>
      <c r="SOE108" s="953"/>
      <c r="SOF108" s="953"/>
      <c r="SOG108" s="953"/>
      <c r="SOH108" s="953"/>
      <c r="SOI108" s="953"/>
      <c r="SOJ108" s="953"/>
      <c r="SOK108" s="953"/>
      <c r="SOL108" s="953"/>
      <c r="SOM108" s="953"/>
      <c r="SON108" s="953"/>
      <c r="SOO108" s="953"/>
      <c r="SOP108" s="953"/>
      <c r="SOQ108" s="953"/>
      <c r="SOR108" s="953"/>
      <c r="SOS108" s="953"/>
      <c r="SOT108" s="953"/>
      <c r="SOU108" s="953"/>
      <c r="SOV108" s="953"/>
      <c r="SOW108" s="953"/>
      <c r="SOX108" s="953"/>
      <c r="SOY108" s="953"/>
      <c r="SOZ108" s="953"/>
      <c r="SPA108" s="953"/>
      <c r="SPB108" s="953"/>
      <c r="SPC108" s="953"/>
      <c r="SPD108" s="953"/>
      <c r="SPE108" s="953"/>
      <c r="SPF108" s="953"/>
      <c r="SPG108" s="953"/>
      <c r="SPH108" s="953"/>
      <c r="SPI108" s="953"/>
      <c r="SPJ108" s="953"/>
      <c r="SPK108" s="953"/>
      <c r="SPL108" s="953"/>
      <c r="SPM108" s="953"/>
      <c r="SPN108" s="953"/>
      <c r="SPO108" s="953"/>
      <c r="SPP108" s="953"/>
      <c r="SPQ108" s="953"/>
      <c r="SPR108" s="953"/>
      <c r="SPS108" s="953"/>
      <c r="SPT108" s="953"/>
      <c r="SPU108" s="953"/>
      <c r="SPV108" s="953"/>
      <c r="SPW108" s="953"/>
      <c r="SPX108" s="953"/>
      <c r="SPY108" s="953"/>
      <c r="SPZ108" s="953"/>
      <c r="SQA108" s="953"/>
      <c r="SQB108" s="953"/>
      <c r="SQC108" s="953"/>
      <c r="SQD108" s="953"/>
      <c r="SQE108" s="953"/>
      <c r="SQF108" s="953"/>
      <c r="SQG108" s="953"/>
      <c r="SQH108" s="953"/>
      <c r="SQI108" s="953"/>
      <c r="SQJ108" s="953"/>
      <c r="SQK108" s="953"/>
      <c r="SQL108" s="953"/>
      <c r="SQM108" s="953"/>
      <c r="SQN108" s="953"/>
      <c r="SQO108" s="953"/>
      <c r="SQP108" s="953"/>
      <c r="SQQ108" s="953"/>
      <c r="SQR108" s="953"/>
      <c r="SQS108" s="953"/>
      <c r="SQT108" s="953"/>
      <c r="SQU108" s="953"/>
      <c r="SQV108" s="953"/>
      <c r="SQW108" s="953"/>
      <c r="SQX108" s="953"/>
      <c r="SQY108" s="953"/>
      <c r="SQZ108" s="953"/>
      <c r="SRA108" s="953"/>
      <c r="SRB108" s="953"/>
      <c r="SRC108" s="953"/>
      <c r="SRD108" s="953"/>
      <c r="SRE108" s="953"/>
      <c r="SRF108" s="953"/>
      <c r="SRG108" s="953"/>
      <c r="SRH108" s="953"/>
      <c r="SRI108" s="953"/>
      <c r="SRJ108" s="953"/>
      <c r="SRK108" s="953"/>
      <c r="SRL108" s="953"/>
      <c r="SRM108" s="953"/>
      <c r="SRN108" s="953"/>
      <c r="SRO108" s="953"/>
      <c r="SRP108" s="953"/>
      <c r="SRQ108" s="953"/>
      <c r="SRR108" s="953"/>
      <c r="SRS108" s="953"/>
      <c r="SRT108" s="953"/>
      <c r="SRU108" s="953"/>
      <c r="SRV108" s="953"/>
      <c r="SRW108" s="953"/>
      <c r="SRX108" s="953"/>
      <c r="SRY108" s="953"/>
      <c r="SRZ108" s="953"/>
      <c r="SSA108" s="953"/>
      <c r="SSB108" s="953"/>
      <c r="SSC108" s="953"/>
      <c r="SSD108" s="953"/>
      <c r="SSE108" s="953"/>
      <c r="SSF108" s="953"/>
      <c r="SSG108" s="953"/>
      <c r="SSH108" s="953"/>
      <c r="SSI108" s="953"/>
      <c r="SSJ108" s="953"/>
      <c r="SSK108" s="953"/>
      <c r="SSL108" s="953"/>
      <c r="SSM108" s="953"/>
      <c r="SSN108" s="953"/>
      <c r="SSO108" s="953"/>
      <c r="SSP108" s="953"/>
      <c r="SSQ108" s="953"/>
      <c r="SSR108" s="953"/>
      <c r="SSS108" s="953"/>
      <c r="SST108" s="953"/>
      <c r="SSU108" s="953"/>
      <c r="SSV108" s="953"/>
      <c r="SSW108" s="953"/>
      <c r="SSX108" s="953"/>
      <c r="SSY108" s="953"/>
      <c r="SSZ108" s="953"/>
      <c r="STA108" s="953"/>
      <c r="STB108" s="953"/>
      <c r="STC108" s="953"/>
      <c r="STD108" s="953"/>
      <c r="STE108" s="953"/>
      <c r="STF108" s="953"/>
      <c r="STG108" s="953"/>
      <c r="STH108" s="953"/>
      <c r="STI108" s="953"/>
      <c r="STJ108" s="953"/>
      <c r="STK108" s="953"/>
      <c r="STL108" s="953"/>
      <c r="STM108" s="953"/>
      <c r="STN108" s="953"/>
      <c r="STO108" s="953"/>
      <c r="STP108" s="953"/>
      <c r="STQ108" s="953"/>
      <c r="STR108" s="953"/>
      <c r="STS108" s="953"/>
      <c r="STT108" s="953"/>
      <c r="STU108" s="953"/>
      <c r="STV108" s="953"/>
      <c r="STW108" s="953"/>
      <c r="STX108" s="953"/>
      <c r="STY108" s="953"/>
      <c r="STZ108" s="953"/>
      <c r="SUA108" s="953"/>
      <c r="SUB108" s="953"/>
      <c r="SUC108" s="953"/>
      <c r="SUD108" s="953"/>
      <c r="SUE108" s="953"/>
      <c r="SUF108" s="953"/>
      <c r="SUG108" s="953"/>
      <c r="SUH108" s="953"/>
      <c r="SUI108" s="953"/>
      <c r="SUJ108" s="953"/>
      <c r="SUK108" s="953"/>
      <c r="SUL108" s="953"/>
      <c r="SUM108" s="953"/>
      <c r="SUN108" s="953"/>
      <c r="SUO108" s="953"/>
      <c r="SUP108" s="953"/>
      <c r="SUQ108" s="953"/>
      <c r="SUR108" s="953"/>
      <c r="SUS108" s="953"/>
      <c r="SUT108" s="953"/>
      <c r="SUU108" s="953"/>
      <c r="SUV108" s="953"/>
      <c r="SUW108" s="953"/>
      <c r="SUX108" s="953"/>
      <c r="SUY108" s="953"/>
      <c r="SUZ108" s="953"/>
      <c r="SVA108" s="953"/>
      <c r="SVB108" s="953"/>
      <c r="SVC108" s="953"/>
      <c r="SVD108" s="953"/>
      <c r="SVE108" s="953"/>
      <c r="SVF108" s="953"/>
      <c r="SVG108" s="953"/>
      <c r="SVH108" s="953"/>
      <c r="SVI108" s="953"/>
      <c r="SVJ108" s="953"/>
      <c r="SVK108" s="953"/>
      <c r="SVL108" s="953"/>
      <c r="SVM108" s="953"/>
      <c r="SVN108" s="953"/>
      <c r="SVO108" s="953"/>
      <c r="SVP108" s="953"/>
      <c r="SVQ108" s="953"/>
      <c r="SVR108" s="953"/>
      <c r="SVS108" s="953"/>
      <c r="SVT108" s="953"/>
      <c r="SVU108" s="953"/>
      <c r="SVV108" s="953"/>
      <c r="SVW108" s="953"/>
      <c r="SVX108" s="953"/>
      <c r="SVY108" s="953"/>
      <c r="SVZ108" s="953"/>
      <c r="SWA108" s="953"/>
      <c r="SWB108" s="953"/>
      <c r="SWC108" s="953"/>
      <c r="SWD108" s="953"/>
      <c r="SWE108" s="953"/>
      <c r="SWF108" s="953"/>
      <c r="SWG108" s="953"/>
      <c r="SWH108" s="953"/>
      <c r="SWI108" s="953"/>
      <c r="SWJ108" s="953"/>
      <c r="SWK108" s="953"/>
      <c r="SWL108" s="953"/>
      <c r="SWM108" s="953"/>
      <c r="SWN108" s="953"/>
      <c r="SWO108" s="953"/>
      <c r="SWP108" s="953"/>
      <c r="SWQ108" s="953"/>
      <c r="SWR108" s="953"/>
      <c r="SWS108" s="953"/>
      <c r="SWT108" s="953"/>
      <c r="SWU108" s="953"/>
      <c r="SWV108" s="953"/>
      <c r="SWW108" s="953"/>
      <c r="SWX108" s="953"/>
      <c r="SWY108" s="953"/>
      <c r="SWZ108" s="953"/>
      <c r="SXA108" s="953"/>
      <c r="SXB108" s="953"/>
      <c r="SXC108" s="953"/>
      <c r="SXD108" s="953"/>
      <c r="SXE108" s="953"/>
      <c r="SXF108" s="953"/>
      <c r="SXG108" s="953"/>
      <c r="SXH108" s="953"/>
      <c r="SXI108" s="953"/>
      <c r="SXJ108" s="953"/>
      <c r="SXK108" s="953"/>
      <c r="SXL108" s="953"/>
      <c r="SXM108" s="953"/>
      <c r="SXN108" s="953"/>
      <c r="SXO108" s="953"/>
      <c r="SXP108" s="953"/>
      <c r="SXQ108" s="953"/>
      <c r="SXR108" s="953"/>
      <c r="SXS108" s="953"/>
      <c r="SXT108" s="953"/>
      <c r="SXU108" s="953"/>
      <c r="SXV108" s="953"/>
      <c r="SXW108" s="953"/>
      <c r="SXX108" s="953"/>
      <c r="SXY108" s="953"/>
      <c r="SXZ108" s="953"/>
      <c r="SYA108" s="953"/>
      <c r="SYB108" s="953"/>
      <c r="SYC108" s="953"/>
      <c r="SYD108" s="953"/>
      <c r="SYE108" s="953"/>
      <c r="SYF108" s="953"/>
      <c r="SYG108" s="953"/>
      <c r="SYH108" s="953"/>
      <c r="SYI108" s="953"/>
      <c r="SYJ108" s="953"/>
      <c r="SYK108" s="953"/>
      <c r="SYL108" s="953"/>
      <c r="SYM108" s="953"/>
      <c r="SYN108" s="953"/>
      <c r="SYO108" s="953"/>
      <c r="SYP108" s="953"/>
      <c r="SYQ108" s="953"/>
      <c r="SYR108" s="953"/>
      <c r="SYS108" s="953"/>
      <c r="SYT108" s="953"/>
      <c r="SYU108" s="953"/>
      <c r="SYV108" s="953"/>
      <c r="SYW108" s="953"/>
      <c r="SYX108" s="953"/>
      <c r="SYY108" s="953"/>
      <c r="SYZ108" s="953"/>
      <c r="SZA108" s="953"/>
      <c r="SZB108" s="953"/>
      <c r="SZC108" s="953"/>
      <c r="SZD108" s="953"/>
      <c r="SZE108" s="953"/>
      <c r="SZF108" s="953"/>
      <c r="SZG108" s="953"/>
      <c r="SZH108" s="953"/>
      <c r="SZI108" s="953"/>
      <c r="SZJ108" s="953"/>
      <c r="SZK108" s="953"/>
      <c r="SZL108" s="953"/>
      <c r="SZM108" s="953"/>
      <c r="SZN108" s="953"/>
      <c r="SZO108" s="953"/>
      <c r="SZP108" s="953"/>
      <c r="SZQ108" s="953"/>
      <c r="SZR108" s="953"/>
      <c r="SZS108" s="953"/>
      <c r="SZT108" s="953"/>
      <c r="SZU108" s="953"/>
      <c r="SZV108" s="953"/>
      <c r="SZW108" s="953"/>
      <c r="SZX108" s="953"/>
      <c r="SZY108" s="953"/>
      <c r="SZZ108" s="953"/>
      <c r="TAA108" s="953"/>
      <c r="TAB108" s="953"/>
      <c r="TAC108" s="953"/>
      <c r="TAD108" s="953"/>
      <c r="TAE108" s="953"/>
      <c r="TAF108" s="953"/>
      <c r="TAG108" s="953"/>
      <c r="TAH108" s="953"/>
      <c r="TAI108" s="953"/>
      <c r="TAJ108" s="953"/>
      <c r="TAK108" s="953"/>
      <c r="TAL108" s="953"/>
      <c r="TAM108" s="953"/>
      <c r="TAN108" s="953"/>
      <c r="TAO108" s="953"/>
      <c r="TAP108" s="953"/>
      <c r="TAQ108" s="953"/>
      <c r="TAR108" s="953"/>
      <c r="TAS108" s="953"/>
      <c r="TAT108" s="953"/>
      <c r="TAU108" s="953"/>
      <c r="TAV108" s="953"/>
      <c r="TAW108" s="953"/>
      <c r="TAX108" s="953"/>
      <c r="TAY108" s="953"/>
      <c r="TAZ108" s="953"/>
      <c r="TBA108" s="953"/>
      <c r="TBB108" s="953"/>
      <c r="TBC108" s="953"/>
      <c r="TBD108" s="953"/>
      <c r="TBE108" s="953"/>
      <c r="TBF108" s="953"/>
      <c r="TBG108" s="953"/>
      <c r="TBH108" s="953"/>
      <c r="TBI108" s="953"/>
      <c r="TBJ108" s="953"/>
      <c r="TBK108" s="953"/>
      <c r="TBL108" s="953"/>
      <c r="TBM108" s="953"/>
      <c r="TBN108" s="953"/>
      <c r="TBO108" s="953"/>
      <c r="TBP108" s="953"/>
      <c r="TBQ108" s="953"/>
      <c r="TBR108" s="953"/>
      <c r="TBS108" s="953"/>
      <c r="TBT108" s="953"/>
      <c r="TBU108" s="953"/>
      <c r="TBV108" s="953"/>
      <c r="TBW108" s="953"/>
      <c r="TBX108" s="953"/>
      <c r="TBY108" s="953"/>
      <c r="TBZ108" s="953"/>
      <c r="TCA108" s="953"/>
      <c r="TCB108" s="953"/>
      <c r="TCC108" s="953"/>
      <c r="TCD108" s="953"/>
      <c r="TCE108" s="953"/>
      <c r="TCF108" s="953"/>
      <c r="TCG108" s="953"/>
      <c r="TCH108" s="953"/>
      <c r="TCI108" s="953"/>
      <c r="TCJ108" s="953"/>
      <c r="TCK108" s="953"/>
      <c r="TCL108" s="953"/>
      <c r="TCM108" s="953"/>
      <c r="TCN108" s="953"/>
      <c r="TCO108" s="953"/>
      <c r="TCP108" s="953"/>
      <c r="TCQ108" s="953"/>
      <c r="TCR108" s="953"/>
      <c r="TCS108" s="953"/>
      <c r="TCT108" s="953"/>
      <c r="TCU108" s="953"/>
      <c r="TCV108" s="953"/>
      <c r="TCW108" s="953"/>
      <c r="TCX108" s="953"/>
      <c r="TCY108" s="953"/>
      <c r="TCZ108" s="953"/>
      <c r="TDA108" s="953"/>
      <c r="TDB108" s="953"/>
      <c r="TDC108" s="953"/>
      <c r="TDD108" s="953"/>
      <c r="TDE108" s="953"/>
      <c r="TDF108" s="953"/>
      <c r="TDG108" s="953"/>
      <c r="TDH108" s="953"/>
      <c r="TDI108" s="953"/>
      <c r="TDJ108" s="953"/>
      <c r="TDK108" s="953"/>
      <c r="TDL108" s="953"/>
      <c r="TDM108" s="953"/>
      <c r="TDN108" s="953"/>
      <c r="TDO108" s="953"/>
      <c r="TDP108" s="953"/>
      <c r="TDQ108" s="953"/>
      <c r="TDR108" s="953"/>
      <c r="TDS108" s="953"/>
      <c r="TDT108" s="953"/>
      <c r="TDU108" s="953"/>
      <c r="TDV108" s="953"/>
      <c r="TDW108" s="953"/>
      <c r="TDX108" s="953"/>
      <c r="TDY108" s="953"/>
      <c r="TDZ108" s="953"/>
      <c r="TEA108" s="953"/>
      <c r="TEB108" s="953"/>
      <c r="TEC108" s="953"/>
      <c r="TED108" s="953"/>
      <c r="TEE108" s="953"/>
      <c r="TEF108" s="953"/>
      <c r="TEG108" s="953"/>
      <c r="TEH108" s="953"/>
      <c r="TEI108" s="953"/>
      <c r="TEJ108" s="953"/>
      <c r="TEK108" s="953"/>
      <c r="TEL108" s="953"/>
      <c r="TEM108" s="953"/>
      <c r="TEN108" s="953"/>
      <c r="TEO108" s="953"/>
      <c r="TEP108" s="953"/>
      <c r="TEQ108" s="953"/>
      <c r="TER108" s="953"/>
      <c r="TES108" s="953"/>
      <c r="TET108" s="953"/>
      <c r="TEU108" s="953"/>
      <c r="TEV108" s="953"/>
      <c r="TEW108" s="953"/>
      <c r="TEX108" s="953"/>
      <c r="TEY108" s="953"/>
      <c r="TEZ108" s="953"/>
      <c r="TFA108" s="953"/>
      <c r="TFB108" s="953"/>
      <c r="TFC108" s="953"/>
      <c r="TFD108" s="953"/>
      <c r="TFE108" s="953"/>
      <c r="TFF108" s="953"/>
      <c r="TFG108" s="953"/>
      <c r="TFH108" s="953"/>
      <c r="TFI108" s="953"/>
      <c r="TFJ108" s="953"/>
      <c r="TFK108" s="953"/>
      <c r="TFL108" s="953"/>
      <c r="TFM108" s="953"/>
      <c r="TFN108" s="953"/>
      <c r="TFO108" s="953"/>
      <c r="TFP108" s="953"/>
      <c r="TFQ108" s="953"/>
      <c r="TFR108" s="953"/>
      <c r="TFS108" s="953"/>
      <c r="TFT108" s="953"/>
      <c r="TFU108" s="953"/>
      <c r="TFV108" s="953"/>
      <c r="TFW108" s="953"/>
      <c r="TFX108" s="953"/>
      <c r="TFY108" s="953"/>
      <c r="TFZ108" s="953"/>
      <c r="TGA108" s="953"/>
      <c r="TGB108" s="953"/>
      <c r="TGC108" s="953"/>
      <c r="TGD108" s="953"/>
      <c r="TGE108" s="953"/>
      <c r="TGF108" s="953"/>
      <c r="TGG108" s="953"/>
      <c r="TGH108" s="953"/>
      <c r="TGI108" s="953"/>
      <c r="TGJ108" s="953"/>
      <c r="TGK108" s="953"/>
      <c r="TGL108" s="953"/>
      <c r="TGM108" s="953"/>
      <c r="TGN108" s="953"/>
      <c r="TGO108" s="953"/>
      <c r="TGP108" s="953"/>
      <c r="TGQ108" s="953"/>
      <c r="TGR108" s="953"/>
      <c r="TGS108" s="953"/>
      <c r="TGT108" s="953"/>
      <c r="TGU108" s="953"/>
      <c r="TGV108" s="953"/>
      <c r="TGW108" s="953"/>
      <c r="TGX108" s="953"/>
      <c r="TGY108" s="953"/>
      <c r="TGZ108" s="953"/>
      <c r="THA108" s="953"/>
      <c r="THB108" s="953"/>
      <c r="THC108" s="953"/>
      <c r="THD108" s="953"/>
      <c r="THE108" s="953"/>
      <c r="THF108" s="953"/>
      <c r="THG108" s="953"/>
      <c r="THH108" s="953"/>
      <c r="THI108" s="953"/>
      <c r="THJ108" s="953"/>
      <c r="THK108" s="953"/>
      <c r="THL108" s="953"/>
      <c r="THM108" s="953"/>
      <c r="THN108" s="953"/>
      <c r="THO108" s="953"/>
      <c r="THP108" s="953"/>
      <c r="THQ108" s="953"/>
      <c r="THR108" s="953"/>
      <c r="THS108" s="953"/>
      <c r="THT108" s="953"/>
      <c r="THU108" s="953"/>
      <c r="THV108" s="953"/>
      <c r="THW108" s="953"/>
      <c r="THX108" s="953"/>
      <c r="THY108" s="953"/>
      <c r="THZ108" s="953"/>
      <c r="TIA108" s="953"/>
      <c r="TIB108" s="953"/>
      <c r="TIC108" s="953"/>
      <c r="TID108" s="953"/>
      <c r="TIE108" s="953"/>
      <c r="TIF108" s="953"/>
      <c r="TIG108" s="953"/>
      <c r="TIH108" s="953"/>
      <c r="TII108" s="953"/>
      <c r="TIJ108" s="953"/>
      <c r="TIK108" s="953"/>
      <c r="TIL108" s="953"/>
      <c r="TIM108" s="953"/>
      <c r="TIN108" s="953"/>
      <c r="TIO108" s="953"/>
      <c r="TIP108" s="953"/>
      <c r="TIQ108" s="953"/>
      <c r="TIR108" s="953"/>
      <c r="TIS108" s="953"/>
      <c r="TIT108" s="953"/>
      <c r="TIU108" s="953"/>
      <c r="TIV108" s="953"/>
      <c r="TIW108" s="953"/>
      <c r="TIX108" s="953"/>
      <c r="TIY108" s="953"/>
      <c r="TIZ108" s="953"/>
      <c r="TJA108" s="953"/>
      <c r="TJB108" s="953"/>
      <c r="TJC108" s="953"/>
      <c r="TJD108" s="953"/>
      <c r="TJE108" s="953"/>
      <c r="TJF108" s="953"/>
      <c r="TJG108" s="953"/>
      <c r="TJH108" s="953"/>
      <c r="TJI108" s="953"/>
      <c r="TJJ108" s="953"/>
      <c r="TJK108" s="953"/>
      <c r="TJL108" s="953"/>
      <c r="TJM108" s="953"/>
      <c r="TJN108" s="953"/>
      <c r="TJO108" s="953"/>
      <c r="TJP108" s="953"/>
      <c r="TJQ108" s="953"/>
      <c r="TJR108" s="953"/>
      <c r="TJS108" s="953"/>
      <c r="TJT108" s="953"/>
      <c r="TJU108" s="953"/>
      <c r="TJV108" s="953"/>
      <c r="TJW108" s="953"/>
      <c r="TJX108" s="953"/>
      <c r="TJY108" s="953"/>
      <c r="TJZ108" s="953"/>
      <c r="TKA108" s="953"/>
      <c r="TKB108" s="953"/>
      <c r="TKC108" s="953"/>
      <c r="TKD108" s="953"/>
      <c r="TKE108" s="953"/>
      <c r="TKF108" s="953"/>
      <c r="TKG108" s="953"/>
      <c r="TKH108" s="953"/>
      <c r="TKI108" s="953"/>
      <c r="TKJ108" s="953"/>
      <c r="TKK108" s="953"/>
      <c r="TKL108" s="953"/>
      <c r="TKM108" s="953"/>
      <c r="TKN108" s="953"/>
      <c r="TKO108" s="953"/>
      <c r="TKP108" s="953"/>
      <c r="TKQ108" s="953"/>
      <c r="TKR108" s="953"/>
      <c r="TKS108" s="953"/>
      <c r="TKT108" s="953"/>
      <c r="TKU108" s="953"/>
      <c r="TKV108" s="953"/>
      <c r="TKW108" s="953"/>
      <c r="TKX108" s="953"/>
      <c r="TKY108" s="953"/>
      <c r="TKZ108" s="953"/>
      <c r="TLA108" s="953"/>
      <c r="TLB108" s="953"/>
      <c r="TLC108" s="953"/>
      <c r="TLD108" s="953"/>
      <c r="TLE108" s="953"/>
      <c r="TLF108" s="953"/>
      <c r="TLG108" s="953"/>
      <c r="TLH108" s="953"/>
      <c r="TLI108" s="953"/>
      <c r="TLJ108" s="953"/>
      <c r="TLK108" s="953"/>
      <c r="TLL108" s="953"/>
      <c r="TLM108" s="953"/>
      <c r="TLN108" s="953"/>
      <c r="TLO108" s="953"/>
      <c r="TLP108" s="953"/>
      <c r="TLQ108" s="953"/>
      <c r="TLR108" s="953"/>
      <c r="TLS108" s="953"/>
      <c r="TLT108" s="953"/>
      <c r="TLU108" s="953"/>
      <c r="TLV108" s="953"/>
      <c r="TLW108" s="953"/>
      <c r="TLX108" s="953"/>
      <c r="TLY108" s="953"/>
      <c r="TLZ108" s="953"/>
      <c r="TMA108" s="953"/>
      <c r="TMB108" s="953"/>
      <c r="TMC108" s="953"/>
      <c r="TMD108" s="953"/>
      <c r="TME108" s="953"/>
      <c r="TMF108" s="953"/>
      <c r="TMG108" s="953"/>
      <c r="TMH108" s="953"/>
      <c r="TMI108" s="953"/>
      <c r="TMJ108" s="953"/>
      <c r="TMK108" s="953"/>
      <c r="TML108" s="953"/>
      <c r="TMM108" s="953"/>
      <c r="TMN108" s="953"/>
      <c r="TMO108" s="953"/>
      <c r="TMP108" s="953"/>
      <c r="TMQ108" s="953"/>
      <c r="TMR108" s="953"/>
      <c r="TMS108" s="953"/>
      <c r="TMT108" s="953"/>
      <c r="TMU108" s="953"/>
      <c r="TMV108" s="953"/>
      <c r="TMW108" s="953"/>
      <c r="TMX108" s="953"/>
      <c r="TMY108" s="953"/>
      <c r="TMZ108" s="953"/>
      <c r="TNA108" s="953"/>
      <c r="TNB108" s="953"/>
      <c r="TNC108" s="953"/>
      <c r="TND108" s="953"/>
      <c r="TNE108" s="953"/>
      <c r="TNF108" s="953"/>
      <c r="TNG108" s="953"/>
      <c r="TNH108" s="953"/>
      <c r="TNI108" s="953"/>
      <c r="TNJ108" s="953"/>
      <c r="TNK108" s="953"/>
      <c r="TNL108" s="953"/>
      <c r="TNM108" s="953"/>
      <c r="TNN108" s="953"/>
      <c r="TNO108" s="953"/>
      <c r="TNP108" s="953"/>
      <c r="TNQ108" s="953"/>
      <c r="TNR108" s="953"/>
      <c r="TNS108" s="953"/>
      <c r="TNT108" s="953"/>
      <c r="TNU108" s="953"/>
      <c r="TNV108" s="953"/>
      <c r="TNW108" s="953"/>
      <c r="TNX108" s="953"/>
      <c r="TNY108" s="953"/>
      <c r="TNZ108" s="953"/>
      <c r="TOA108" s="953"/>
      <c r="TOB108" s="953"/>
      <c r="TOC108" s="953"/>
      <c r="TOD108" s="953"/>
      <c r="TOE108" s="953"/>
      <c r="TOF108" s="953"/>
      <c r="TOG108" s="953"/>
      <c r="TOH108" s="953"/>
      <c r="TOI108" s="953"/>
      <c r="TOJ108" s="953"/>
      <c r="TOK108" s="953"/>
      <c r="TOL108" s="953"/>
      <c r="TOM108" s="953"/>
      <c r="TON108" s="953"/>
      <c r="TOO108" s="953"/>
      <c r="TOP108" s="953"/>
      <c r="TOQ108" s="953"/>
      <c r="TOR108" s="953"/>
      <c r="TOS108" s="953"/>
      <c r="TOT108" s="953"/>
      <c r="TOU108" s="953"/>
      <c r="TOV108" s="953"/>
      <c r="TOW108" s="953"/>
      <c r="TOX108" s="953"/>
      <c r="TOY108" s="953"/>
      <c r="TOZ108" s="953"/>
      <c r="TPA108" s="953"/>
      <c r="TPB108" s="953"/>
      <c r="TPC108" s="953"/>
      <c r="TPD108" s="953"/>
      <c r="TPE108" s="953"/>
      <c r="TPF108" s="953"/>
      <c r="TPG108" s="953"/>
      <c r="TPH108" s="953"/>
      <c r="TPI108" s="953"/>
      <c r="TPJ108" s="953"/>
      <c r="TPK108" s="953"/>
      <c r="TPL108" s="953"/>
      <c r="TPM108" s="953"/>
      <c r="TPN108" s="953"/>
      <c r="TPO108" s="953"/>
      <c r="TPP108" s="953"/>
      <c r="TPQ108" s="953"/>
      <c r="TPR108" s="953"/>
      <c r="TPS108" s="953"/>
      <c r="TPT108" s="953"/>
      <c r="TPU108" s="953"/>
      <c r="TPV108" s="953"/>
      <c r="TPW108" s="953"/>
      <c r="TPX108" s="953"/>
      <c r="TPY108" s="953"/>
      <c r="TPZ108" s="953"/>
      <c r="TQA108" s="953"/>
      <c r="TQB108" s="953"/>
      <c r="TQC108" s="953"/>
      <c r="TQD108" s="953"/>
      <c r="TQE108" s="953"/>
      <c r="TQF108" s="953"/>
      <c r="TQG108" s="953"/>
      <c r="TQH108" s="953"/>
      <c r="TQI108" s="953"/>
      <c r="TQJ108" s="953"/>
      <c r="TQK108" s="953"/>
      <c r="TQL108" s="953"/>
      <c r="TQM108" s="953"/>
      <c r="TQN108" s="953"/>
      <c r="TQO108" s="953"/>
      <c r="TQP108" s="953"/>
      <c r="TQQ108" s="953"/>
      <c r="TQR108" s="953"/>
      <c r="TQS108" s="953"/>
      <c r="TQT108" s="953"/>
      <c r="TQU108" s="953"/>
      <c r="TQV108" s="953"/>
      <c r="TQW108" s="953"/>
      <c r="TQX108" s="953"/>
      <c r="TQY108" s="953"/>
      <c r="TQZ108" s="953"/>
      <c r="TRA108" s="953"/>
      <c r="TRB108" s="953"/>
      <c r="TRC108" s="953"/>
      <c r="TRD108" s="953"/>
      <c r="TRE108" s="953"/>
      <c r="TRF108" s="953"/>
      <c r="TRG108" s="953"/>
      <c r="TRH108" s="953"/>
      <c r="TRI108" s="953"/>
      <c r="TRJ108" s="953"/>
      <c r="TRK108" s="953"/>
      <c r="TRL108" s="953"/>
      <c r="TRM108" s="953"/>
      <c r="TRN108" s="953"/>
      <c r="TRO108" s="953"/>
      <c r="TRP108" s="953"/>
      <c r="TRQ108" s="953"/>
      <c r="TRR108" s="953"/>
      <c r="TRS108" s="953"/>
      <c r="TRT108" s="953"/>
      <c r="TRU108" s="953"/>
      <c r="TRV108" s="953"/>
      <c r="TRW108" s="953"/>
      <c r="TRX108" s="953"/>
      <c r="TRY108" s="953"/>
      <c r="TRZ108" s="953"/>
      <c r="TSA108" s="953"/>
      <c r="TSB108" s="953"/>
      <c r="TSC108" s="953"/>
      <c r="TSD108" s="953"/>
      <c r="TSE108" s="953"/>
      <c r="TSF108" s="953"/>
      <c r="TSG108" s="953"/>
      <c r="TSH108" s="953"/>
      <c r="TSI108" s="953"/>
      <c r="TSJ108" s="953"/>
      <c r="TSK108" s="953"/>
      <c r="TSL108" s="953"/>
      <c r="TSM108" s="953"/>
      <c r="TSN108" s="953"/>
      <c r="TSO108" s="953"/>
      <c r="TSP108" s="953"/>
      <c r="TSQ108" s="953"/>
      <c r="TSR108" s="953"/>
      <c r="TSS108" s="953"/>
      <c r="TST108" s="953"/>
      <c r="TSU108" s="953"/>
      <c r="TSV108" s="953"/>
      <c r="TSW108" s="953"/>
      <c r="TSX108" s="953"/>
      <c r="TSY108" s="953"/>
      <c r="TSZ108" s="953"/>
      <c r="TTA108" s="953"/>
      <c r="TTB108" s="953"/>
      <c r="TTC108" s="953"/>
      <c r="TTD108" s="953"/>
      <c r="TTE108" s="953"/>
      <c r="TTF108" s="953"/>
      <c r="TTG108" s="953"/>
      <c r="TTH108" s="953"/>
      <c r="TTI108" s="953"/>
      <c r="TTJ108" s="953"/>
      <c r="TTK108" s="953"/>
      <c r="TTL108" s="953"/>
      <c r="TTM108" s="953"/>
      <c r="TTN108" s="953"/>
      <c r="TTO108" s="953"/>
      <c r="TTP108" s="953"/>
      <c r="TTQ108" s="953"/>
      <c r="TTR108" s="953"/>
      <c r="TTS108" s="953"/>
      <c r="TTT108" s="953"/>
      <c r="TTU108" s="953"/>
      <c r="TTV108" s="953"/>
      <c r="TTW108" s="953"/>
      <c r="TTX108" s="953"/>
      <c r="TTY108" s="953"/>
      <c r="TTZ108" s="953"/>
      <c r="TUA108" s="953"/>
      <c r="TUB108" s="953"/>
      <c r="TUC108" s="953"/>
      <c r="TUD108" s="953"/>
      <c r="TUE108" s="953"/>
      <c r="TUF108" s="953"/>
      <c r="TUG108" s="953"/>
      <c r="TUH108" s="953"/>
      <c r="TUI108" s="953"/>
      <c r="TUJ108" s="953"/>
      <c r="TUK108" s="953"/>
      <c r="TUL108" s="953"/>
      <c r="TUM108" s="953"/>
      <c r="TUN108" s="953"/>
      <c r="TUO108" s="953"/>
      <c r="TUP108" s="953"/>
      <c r="TUQ108" s="953"/>
      <c r="TUR108" s="953"/>
      <c r="TUS108" s="953"/>
      <c r="TUT108" s="953"/>
      <c r="TUU108" s="953"/>
      <c r="TUV108" s="953"/>
      <c r="TUW108" s="953"/>
      <c r="TUX108" s="953"/>
      <c r="TUY108" s="953"/>
      <c r="TUZ108" s="953"/>
      <c r="TVA108" s="953"/>
      <c r="TVB108" s="953"/>
      <c r="TVC108" s="953"/>
      <c r="TVD108" s="953"/>
      <c r="TVE108" s="953"/>
      <c r="TVF108" s="953"/>
      <c r="TVG108" s="953"/>
      <c r="TVH108" s="953"/>
      <c r="TVI108" s="953"/>
      <c r="TVJ108" s="953"/>
      <c r="TVK108" s="953"/>
      <c r="TVL108" s="953"/>
      <c r="TVM108" s="953"/>
      <c r="TVN108" s="953"/>
      <c r="TVO108" s="953"/>
      <c r="TVP108" s="953"/>
      <c r="TVQ108" s="953"/>
      <c r="TVR108" s="953"/>
      <c r="TVS108" s="953"/>
      <c r="TVT108" s="953"/>
      <c r="TVU108" s="953"/>
      <c r="TVV108" s="953"/>
      <c r="TVW108" s="953"/>
      <c r="TVX108" s="953"/>
      <c r="TVY108" s="953"/>
      <c r="TVZ108" s="953"/>
      <c r="TWA108" s="953"/>
      <c r="TWB108" s="953"/>
      <c r="TWC108" s="953"/>
      <c r="TWD108" s="953"/>
      <c r="TWE108" s="953"/>
      <c r="TWF108" s="953"/>
      <c r="TWG108" s="953"/>
      <c r="TWH108" s="953"/>
      <c r="TWI108" s="953"/>
      <c r="TWJ108" s="953"/>
      <c r="TWK108" s="953"/>
      <c r="TWL108" s="953"/>
      <c r="TWM108" s="953"/>
      <c r="TWN108" s="953"/>
      <c r="TWO108" s="953"/>
      <c r="TWP108" s="953"/>
      <c r="TWQ108" s="953"/>
      <c r="TWR108" s="953"/>
      <c r="TWS108" s="953"/>
      <c r="TWT108" s="953"/>
      <c r="TWU108" s="953"/>
      <c r="TWV108" s="953"/>
      <c r="TWW108" s="953"/>
      <c r="TWX108" s="953"/>
      <c r="TWY108" s="953"/>
      <c r="TWZ108" s="953"/>
      <c r="TXA108" s="953"/>
      <c r="TXB108" s="953"/>
      <c r="TXC108" s="953"/>
      <c r="TXD108" s="953"/>
      <c r="TXE108" s="953"/>
      <c r="TXF108" s="953"/>
      <c r="TXG108" s="953"/>
      <c r="TXH108" s="953"/>
      <c r="TXI108" s="953"/>
      <c r="TXJ108" s="953"/>
      <c r="TXK108" s="953"/>
      <c r="TXL108" s="953"/>
      <c r="TXM108" s="953"/>
      <c r="TXN108" s="953"/>
      <c r="TXO108" s="953"/>
      <c r="TXP108" s="953"/>
      <c r="TXQ108" s="953"/>
      <c r="TXR108" s="953"/>
      <c r="TXS108" s="953"/>
      <c r="TXT108" s="953"/>
      <c r="TXU108" s="953"/>
      <c r="TXV108" s="953"/>
      <c r="TXW108" s="953"/>
      <c r="TXX108" s="953"/>
      <c r="TXY108" s="953"/>
      <c r="TXZ108" s="953"/>
      <c r="TYA108" s="953"/>
      <c r="TYB108" s="953"/>
      <c r="TYC108" s="953"/>
      <c r="TYD108" s="953"/>
      <c r="TYE108" s="953"/>
      <c r="TYF108" s="953"/>
      <c r="TYG108" s="953"/>
      <c r="TYH108" s="953"/>
      <c r="TYI108" s="953"/>
      <c r="TYJ108" s="953"/>
      <c r="TYK108" s="953"/>
      <c r="TYL108" s="953"/>
      <c r="TYM108" s="953"/>
      <c r="TYN108" s="953"/>
      <c r="TYO108" s="953"/>
      <c r="TYP108" s="953"/>
      <c r="TYQ108" s="953"/>
      <c r="TYR108" s="953"/>
      <c r="TYS108" s="953"/>
      <c r="TYT108" s="953"/>
      <c r="TYU108" s="953"/>
      <c r="TYV108" s="953"/>
      <c r="TYW108" s="953"/>
      <c r="TYX108" s="953"/>
      <c r="TYY108" s="953"/>
      <c r="TYZ108" s="953"/>
      <c r="TZA108" s="953"/>
      <c r="TZB108" s="953"/>
      <c r="TZC108" s="953"/>
      <c r="TZD108" s="953"/>
      <c r="TZE108" s="953"/>
      <c r="TZF108" s="953"/>
      <c r="TZG108" s="953"/>
      <c r="TZH108" s="953"/>
      <c r="TZI108" s="953"/>
      <c r="TZJ108" s="953"/>
      <c r="TZK108" s="953"/>
      <c r="TZL108" s="953"/>
      <c r="TZM108" s="953"/>
      <c r="TZN108" s="953"/>
      <c r="TZO108" s="953"/>
      <c r="TZP108" s="953"/>
      <c r="TZQ108" s="953"/>
      <c r="TZR108" s="953"/>
      <c r="TZS108" s="953"/>
      <c r="TZT108" s="953"/>
      <c r="TZU108" s="953"/>
      <c r="TZV108" s="953"/>
      <c r="TZW108" s="953"/>
      <c r="TZX108" s="953"/>
      <c r="TZY108" s="953"/>
      <c r="TZZ108" s="953"/>
      <c r="UAA108" s="953"/>
      <c r="UAB108" s="953"/>
      <c r="UAC108" s="953"/>
      <c r="UAD108" s="953"/>
      <c r="UAE108" s="953"/>
      <c r="UAF108" s="953"/>
      <c r="UAG108" s="953"/>
      <c r="UAH108" s="953"/>
      <c r="UAI108" s="953"/>
      <c r="UAJ108" s="953"/>
      <c r="UAK108" s="953"/>
      <c r="UAL108" s="953"/>
      <c r="UAM108" s="953"/>
      <c r="UAN108" s="953"/>
      <c r="UAO108" s="953"/>
      <c r="UAP108" s="953"/>
      <c r="UAQ108" s="953"/>
      <c r="UAR108" s="953"/>
      <c r="UAS108" s="953"/>
      <c r="UAT108" s="953"/>
      <c r="UAU108" s="953"/>
      <c r="UAV108" s="953"/>
      <c r="UAW108" s="953"/>
      <c r="UAX108" s="953"/>
      <c r="UAY108" s="953"/>
      <c r="UAZ108" s="953"/>
      <c r="UBA108" s="953"/>
      <c r="UBB108" s="953"/>
      <c r="UBC108" s="953"/>
      <c r="UBD108" s="953"/>
      <c r="UBE108" s="953"/>
      <c r="UBF108" s="953"/>
      <c r="UBG108" s="953"/>
      <c r="UBH108" s="953"/>
      <c r="UBI108" s="953"/>
      <c r="UBJ108" s="953"/>
      <c r="UBK108" s="953"/>
      <c r="UBL108" s="953"/>
      <c r="UBM108" s="953"/>
      <c r="UBN108" s="953"/>
      <c r="UBO108" s="953"/>
      <c r="UBP108" s="953"/>
      <c r="UBQ108" s="953"/>
      <c r="UBR108" s="953"/>
      <c r="UBS108" s="953"/>
      <c r="UBT108" s="953"/>
      <c r="UBU108" s="953"/>
      <c r="UBV108" s="953"/>
      <c r="UBW108" s="953"/>
      <c r="UBX108" s="953"/>
      <c r="UBY108" s="953"/>
      <c r="UBZ108" s="953"/>
      <c r="UCA108" s="953"/>
      <c r="UCB108" s="953"/>
      <c r="UCC108" s="953"/>
      <c r="UCD108" s="953"/>
      <c r="UCE108" s="953"/>
      <c r="UCF108" s="953"/>
      <c r="UCG108" s="953"/>
      <c r="UCH108" s="953"/>
      <c r="UCI108" s="953"/>
      <c r="UCJ108" s="953"/>
      <c r="UCK108" s="953"/>
      <c r="UCL108" s="953"/>
      <c r="UCM108" s="953"/>
      <c r="UCN108" s="953"/>
      <c r="UCO108" s="953"/>
      <c r="UCP108" s="953"/>
      <c r="UCQ108" s="953"/>
      <c r="UCR108" s="953"/>
      <c r="UCS108" s="953"/>
      <c r="UCT108" s="953"/>
      <c r="UCU108" s="953"/>
      <c r="UCV108" s="953"/>
      <c r="UCW108" s="953"/>
      <c r="UCX108" s="953"/>
      <c r="UCY108" s="953"/>
      <c r="UCZ108" s="953"/>
      <c r="UDA108" s="953"/>
      <c r="UDB108" s="953"/>
      <c r="UDC108" s="953"/>
      <c r="UDD108" s="953"/>
      <c r="UDE108" s="953"/>
      <c r="UDF108" s="953"/>
      <c r="UDG108" s="953"/>
      <c r="UDH108" s="953"/>
      <c r="UDI108" s="953"/>
      <c r="UDJ108" s="953"/>
      <c r="UDK108" s="953"/>
      <c r="UDL108" s="953"/>
      <c r="UDM108" s="953"/>
      <c r="UDN108" s="953"/>
      <c r="UDO108" s="953"/>
      <c r="UDP108" s="953"/>
      <c r="UDQ108" s="953"/>
      <c r="UDR108" s="953"/>
      <c r="UDS108" s="953"/>
      <c r="UDT108" s="953"/>
      <c r="UDU108" s="953"/>
      <c r="UDV108" s="953"/>
      <c r="UDW108" s="953"/>
      <c r="UDX108" s="953"/>
      <c r="UDY108" s="953"/>
      <c r="UDZ108" s="953"/>
      <c r="UEA108" s="953"/>
      <c r="UEB108" s="953"/>
      <c r="UEC108" s="953"/>
      <c r="UED108" s="953"/>
      <c r="UEE108" s="953"/>
      <c r="UEF108" s="953"/>
      <c r="UEG108" s="953"/>
      <c r="UEH108" s="953"/>
      <c r="UEI108" s="953"/>
      <c r="UEJ108" s="953"/>
      <c r="UEK108" s="953"/>
      <c r="UEL108" s="953"/>
      <c r="UEM108" s="953"/>
      <c r="UEN108" s="953"/>
      <c r="UEO108" s="953"/>
      <c r="UEP108" s="953"/>
      <c r="UEQ108" s="953"/>
      <c r="UER108" s="953"/>
      <c r="UES108" s="953"/>
      <c r="UET108" s="953"/>
      <c r="UEU108" s="953"/>
      <c r="UEV108" s="953"/>
      <c r="UEW108" s="953"/>
      <c r="UEX108" s="953"/>
      <c r="UEY108" s="953"/>
      <c r="UEZ108" s="953"/>
      <c r="UFA108" s="953"/>
      <c r="UFB108" s="953"/>
      <c r="UFC108" s="953"/>
      <c r="UFD108" s="953"/>
      <c r="UFE108" s="953"/>
      <c r="UFF108" s="953"/>
      <c r="UFG108" s="953"/>
      <c r="UFH108" s="953"/>
      <c r="UFI108" s="953"/>
      <c r="UFJ108" s="953"/>
      <c r="UFK108" s="953"/>
      <c r="UFL108" s="953"/>
      <c r="UFM108" s="953"/>
      <c r="UFN108" s="953"/>
      <c r="UFO108" s="953"/>
      <c r="UFP108" s="953"/>
      <c r="UFQ108" s="953"/>
      <c r="UFR108" s="953"/>
      <c r="UFS108" s="953"/>
      <c r="UFT108" s="953"/>
      <c r="UFU108" s="953"/>
      <c r="UFV108" s="953"/>
      <c r="UFW108" s="953"/>
      <c r="UFX108" s="953"/>
      <c r="UFY108" s="953"/>
      <c r="UFZ108" s="953"/>
      <c r="UGA108" s="953"/>
      <c r="UGB108" s="953"/>
      <c r="UGC108" s="953"/>
      <c r="UGD108" s="953"/>
      <c r="UGE108" s="953"/>
      <c r="UGF108" s="953"/>
      <c r="UGG108" s="953"/>
      <c r="UGH108" s="953"/>
      <c r="UGI108" s="953"/>
      <c r="UGJ108" s="953"/>
      <c r="UGK108" s="953"/>
      <c r="UGL108" s="953"/>
      <c r="UGM108" s="953"/>
      <c r="UGN108" s="953"/>
      <c r="UGO108" s="953"/>
      <c r="UGP108" s="953"/>
      <c r="UGQ108" s="953"/>
      <c r="UGR108" s="953"/>
      <c r="UGS108" s="953"/>
      <c r="UGT108" s="953"/>
      <c r="UGU108" s="953"/>
      <c r="UGV108" s="953"/>
      <c r="UGW108" s="953"/>
      <c r="UGX108" s="953"/>
      <c r="UGY108" s="953"/>
      <c r="UGZ108" s="953"/>
      <c r="UHA108" s="953"/>
      <c r="UHB108" s="953"/>
      <c r="UHC108" s="953"/>
      <c r="UHD108" s="953"/>
      <c r="UHE108" s="953"/>
      <c r="UHF108" s="953"/>
      <c r="UHG108" s="953"/>
      <c r="UHH108" s="953"/>
      <c r="UHI108" s="953"/>
      <c r="UHJ108" s="953"/>
      <c r="UHK108" s="953"/>
      <c r="UHL108" s="953"/>
      <c r="UHM108" s="953"/>
      <c r="UHN108" s="953"/>
      <c r="UHO108" s="953"/>
      <c r="UHP108" s="953"/>
      <c r="UHQ108" s="953"/>
      <c r="UHR108" s="953"/>
      <c r="UHS108" s="953"/>
      <c r="UHT108" s="953"/>
      <c r="UHU108" s="953"/>
      <c r="UHV108" s="953"/>
      <c r="UHW108" s="953"/>
      <c r="UHX108" s="953"/>
      <c r="UHY108" s="953"/>
      <c r="UHZ108" s="953"/>
      <c r="UIA108" s="953"/>
      <c r="UIB108" s="953"/>
      <c r="UIC108" s="953"/>
      <c r="UID108" s="953"/>
      <c r="UIE108" s="953"/>
      <c r="UIF108" s="953"/>
      <c r="UIG108" s="953"/>
      <c r="UIH108" s="953"/>
      <c r="UII108" s="953"/>
      <c r="UIJ108" s="953"/>
      <c r="UIK108" s="953"/>
      <c r="UIL108" s="953"/>
      <c r="UIM108" s="953"/>
      <c r="UIN108" s="953"/>
      <c r="UIO108" s="953"/>
      <c r="UIP108" s="953"/>
      <c r="UIQ108" s="953"/>
      <c r="UIR108" s="953"/>
      <c r="UIS108" s="953"/>
      <c r="UIT108" s="953"/>
      <c r="UIU108" s="953"/>
      <c r="UIV108" s="953"/>
      <c r="UIW108" s="953"/>
      <c r="UIX108" s="953"/>
      <c r="UIY108" s="953"/>
      <c r="UIZ108" s="953"/>
      <c r="UJA108" s="953"/>
      <c r="UJB108" s="953"/>
      <c r="UJC108" s="953"/>
      <c r="UJD108" s="953"/>
      <c r="UJE108" s="953"/>
      <c r="UJF108" s="953"/>
      <c r="UJG108" s="953"/>
      <c r="UJH108" s="953"/>
      <c r="UJI108" s="953"/>
      <c r="UJJ108" s="953"/>
      <c r="UJK108" s="953"/>
      <c r="UJL108" s="953"/>
      <c r="UJM108" s="953"/>
      <c r="UJN108" s="953"/>
      <c r="UJO108" s="953"/>
      <c r="UJP108" s="953"/>
      <c r="UJQ108" s="953"/>
      <c r="UJR108" s="953"/>
      <c r="UJS108" s="953"/>
      <c r="UJT108" s="953"/>
      <c r="UJU108" s="953"/>
      <c r="UJV108" s="953"/>
      <c r="UJW108" s="953"/>
      <c r="UJX108" s="953"/>
      <c r="UJY108" s="953"/>
      <c r="UJZ108" s="953"/>
      <c r="UKA108" s="953"/>
      <c r="UKB108" s="953"/>
      <c r="UKC108" s="953"/>
      <c r="UKD108" s="953"/>
      <c r="UKE108" s="953"/>
      <c r="UKF108" s="953"/>
      <c r="UKG108" s="953"/>
      <c r="UKH108" s="953"/>
      <c r="UKI108" s="953"/>
      <c r="UKJ108" s="953"/>
      <c r="UKK108" s="953"/>
      <c r="UKL108" s="953"/>
      <c r="UKM108" s="953"/>
      <c r="UKN108" s="953"/>
      <c r="UKO108" s="953"/>
      <c r="UKP108" s="953"/>
      <c r="UKQ108" s="953"/>
      <c r="UKR108" s="953"/>
      <c r="UKS108" s="953"/>
      <c r="UKT108" s="953"/>
      <c r="UKU108" s="953"/>
      <c r="UKV108" s="953"/>
      <c r="UKW108" s="953"/>
      <c r="UKX108" s="953"/>
      <c r="UKY108" s="953"/>
      <c r="UKZ108" s="953"/>
      <c r="ULA108" s="953"/>
      <c r="ULB108" s="953"/>
      <c r="ULC108" s="953"/>
      <c r="ULD108" s="953"/>
      <c r="ULE108" s="953"/>
      <c r="ULF108" s="953"/>
      <c r="ULG108" s="953"/>
      <c r="ULH108" s="953"/>
      <c r="ULI108" s="953"/>
      <c r="ULJ108" s="953"/>
      <c r="ULK108" s="953"/>
      <c r="ULL108" s="953"/>
      <c r="ULM108" s="953"/>
      <c r="ULN108" s="953"/>
      <c r="ULO108" s="953"/>
      <c r="ULP108" s="953"/>
      <c r="ULQ108" s="953"/>
      <c r="ULR108" s="953"/>
      <c r="ULS108" s="953"/>
      <c r="ULT108" s="953"/>
      <c r="ULU108" s="953"/>
      <c r="ULV108" s="953"/>
      <c r="ULW108" s="953"/>
      <c r="ULX108" s="953"/>
      <c r="ULY108" s="953"/>
      <c r="ULZ108" s="953"/>
      <c r="UMA108" s="953"/>
      <c r="UMB108" s="953"/>
      <c r="UMC108" s="953"/>
      <c r="UMD108" s="953"/>
      <c r="UME108" s="953"/>
      <c r="UMF108" s="953"/>
      <c r="UMG108" s="953"/>
      <c r="UMH108" s="953"/>
      <c r="UMI108" s="953"/>
      <c r="UMJ108" s="953"/>
      <c r="UMK108" s="953"/>
      <c r="UML108" s="953"/>
      <c r="UMM108" s="953"/>
      <c r="UMN108" s="953"/>
      <c r="UMO108" s="953"/>
      <c r="UMP108" s="953"/>
      <c r="UMQ108" s="953"/>
      <c r="UMR108" s="953"/>
      <c r="UMS108" s="953"/>
      <c r="UMT108" s="953"/>
      <c r="UMU108" s="953"/>
      <c r="UMV108" s="953"/>
      <c r="UMW108" s="953"/>
      <c r="UMX108" s="953"/>
      <c r="UMY108" s="953"/>
      <c r="UMZ108" s="953"/>
      <c r="UNA108" s="953"/>
      <c r="UNB108" s="953"/>
      <c r="UNC108" s="953"/>
      <c r="UND108" s="953"/>
      <c r="UNE108" s="953"/>
      <c r="UNF108" s="953"/>
      <c r="UNG108" s="953"/>
      <c r="UNH108" s="953"/>
      <c r="UNI108" s="953"/>
      <c r="UNJ108" s="953"/>
      <c r="UNK108" s="953"/>
      <c r="UNL108" s="953"/>
      <c r="UNM108" s="953"/>
      <c r="UNN108" s="953"/>
      <c r="UNO108" s="953"/>
      <c r="UNP108" s="953"/>
      <c r="UNQ108" s="953"/>
      <c r="UNR108" s="953"/>
      <c r="UNS108" s="953"/>
      <c r="UNT108" s="953"/>
      <c r="UNU108" s="953"/>
      <c r="UNV108" s="953"/>
      <c r="UNW108" s="953"/>
      <c r="UNX108" s="953"/>
      <c r="UNY108" s="953"/>
      <c r="UNZ108" s="953"/>
      <c r="UOA108" s="953"/>
      <c r="UOB108" s="953"/>
      <c r="UOC108" s="953"/>
      <c r="UOD108" s="953"/>
      <c r="UOE108" s="953"/>
      <c r="UOF108" s="953"/>
      <c r="UOG108" s="953"/>
      <c r="UOH108" s="953"/>
      <c r="UOI108" s="953"/>
      <c r="UOJ108" s="953"/>
      <c r="UOK108" s="953"/>
      <c r="UOL108" s="953"/>
      <c r="UOM108" s="953"/>
      <c r="UON108" s="953"/>
      <c r="UOO108" s="953"/>
      <c r="UOP108" s="953"/>
      <c r="UOQ108" s="953"/>
      <c r="UOR108" s="953"/>
      <c r="UOS108" s="953"/>
      <c r="UOT108" s="953"/>
      <c r="UOU108" s="953"/>
      <c r="UOV108" s="953"/>
      <c r="UOW108" s="953"/>
      <c r="UOX108" s="953"/>
      <c r="UOY108" s="953"/>
      <c r="UOZ108" s="953"/>
      <c r="UPA108" s="953"/>
      <c r="UPB108" s="953"/>
      <c r="UPC108" s="953"/>
      <c r="UPD108" s="953"/>
      <c r="UPE108" s="953"/>
      <c r="UPF108" s="953"/>
      <c r="UPG108" s="953"/>
      <c r="UPH108" s="953"/>
      <c r="UPI108" s="953"/>
      <c r="UPJ108" s="953"/>
      <c r="UPK108" s="953"/>
      <c r="UPL108" s="953"/>
      <c r="UPM108" s="953"/>
      <c r="UPN108" s="953"/>
      <c r="UPO108" s="953"/>
      <c r="UPP108" s="953"/>
      <c r="UPQ108" s="953"/>
      <c r="UPR108" s="953"/>
      <c r="UPS108" s="953"/>
      <c r="UPT108" s="953"/>
      <c r="UPU108" s="953"/>
      <c r="UPV108" s="953"/>
      <c r="UPW108" s="953"/>
      <c r="UPX108" s="953"/>
      <c r="UPY108" s="953"/>
      <c r="UPZ108" s="953"/>
      <c r="UQA108" s="953"/>
      <c r="UQB108" s="953"/>
      <c r="UQC108" s="953"/>
      <c r="UQD108" s="953"/>
      <c r="UQE108" s="953"/>
      <c r="UQF108" s="953"/>
      <c r="UQG108" s="953"/>
      <c r="UQH108" s="953"/>
      <c r="UQI108" s="953"/>
      <c r="UQJ108" s="953"/>
      <c r="UQK108" s="953"/>
      <c r="UQL108" s="953"/>
      <c r="UQM108" s="953"/>
      <c r="UQN108" s="953"/>
      <c r="UQO108" s="953"/>
      <c r="UQP108" s="953"/>
      <c r="UQQ108" s="953"/>
      <c r="UQR108" s="953"/>
      <c r="UQS108" s="953"/>
      <c r="UQT108" s="953"/>
      <c r="UQU108" s="953"/>
      <c r="UQV108" s="953"/>
      <c r="UQW108" s="953"/>
      <c r="UQX108" s="953"/>
      <c r="UQY108" s="953"/>
      <c r="UQZ108" s="953"/>
      <c r="URA108" s="953"/>
      <c r="URB108" s="953"/>
      <c r="URC108" s="953"/>
      <c r="URD108" s="953"/>
      <c r="URE108" s="953"/>
      <c r="URF108" s="953"/>
      <c r="URG108" s="953"/>
      <c r="URH108" s="953"/>
      <c r="URI108" s="953"/>
      <c r="URJ108" s="953"/>
      <c r="URK108" s="953"/>
      <c r="URL108" s="953"/>
      <c r="URM108" s="953"/>
      <c r="URN108" s="953"/>
      <c r="URO108" s="953"/>
      <c r="URP108" s="953"/>
      <c r="URQ108" s="953"/>
      <c r="URR108" s="953"/>
      <c r="URS108" s="953"/>
      <c r="URT108" s="953"/>
      <c r="URU108" s="953"/>
      <c r="URV108" s="953"/>
      <c r="URW108" s="953"/>
      <c r="URX108" s="953"/>
      <c r="URY108" s="953"/>
      <c r="URZ108" s="953"/>
      <c r="USA108" s="953"/>
      <c r="USB108" s="953"/>
      <c r="USC108" s="953"/>
      <c r="USD108" s="953"/>
      <c r="USE108" s="953"/>
      <c r="USF108" s="953"/>
      <c r="USG108" s="953"/>
      <c r="USH108" s="953"/>
      <c r="USI108" s="953"/>
      <c r="USJ108" s="953"/>
      <c r="USK108" s="953"/>
      <c r="USL108" s="953"/>
      <c r="USM108" s="953"/>
      <c r="USN108" s="953"/>
      <c r="USO108" s="953"/>
      <c r="USP108" s="953"/>
      <c r="USQ108" s="953"/>
      <c r="USR108" s="953"/>
      <c r="USS108" s="953"/>
      <c r="UST108" s="953"/>
      <c r="USU108" s="953"/>
      <c r="USV108" s="953"/>
      <c r="USW108" s="953"/>
      <c r="USX108" s="953"/>
      <c r="USY108" s="953"/>
      <c r="USZ108" s="953"/>
      <c r="UTA108" s="953"/>
      <c r="UTB108" s="953"/>
      <c r="UTC108" s="953"/>
      <c r="UTD108" s="953"/>
      <c r="UTE108" s="953"/>
      <c r="UTF108" s="953"/>
      <c r="UTG108" s="953"/>
      <c r="UTH108" s="953"/>
      <c r="UTI108" s="953"/>
      <c r="UTJ108" s="953"/>
      <c r="UTK108" s="953"/>
      <c r="UTL108" s="953"/>
      <c r="UTM108" s="953"/>
      <c r="UTN108" s="953"/>
      <c r="UTO108" s="953"/>
      <c r="UTP108" s="953"/>
      <c r="UTQ108" s="953"/>
      <c r="UTR108" s="953"/>
      <c r="UTS108" s="953"/>
      <c r="UTT108" s="953"/>
      <c r="UTU108" s="953"/>
      <c r="UTV108" s="953"/>
      <c r="UTW108" s="953"/>
      <c r="UTX108" s="953"/>
      <c r="UTY108" s="953"/>
      <c r="UTZ108" s="953"/>
      <c r="UUA108" s="953"/>
      <c r="UUB108" s="953"/>
      <c r="UUC108" s="953"/>
      <c r="UUD108" s="953"/>
      <c r="UUE108" s="953"/>
      <c r="UUF108" s="953"/>
      <c r="UUG108" s="953"/>
      <c r="UUH108" s="953"/>
      <c r="UUI108" s="953"/>
      <c r="UUJ108" s="953"/>
      <c r="UUK108" s="953"/>
      <c r="UUL108" s="953"/>
      <c r="UUM108" s="953"/>
      <c r="UUN108" s="953"/>
      <c r="UUO108" s="953"/>
      <c r="UUP108" s="953"/>
      <c r="UUQ108" s="953"/>
      <c r="UUR108" s="953"/>
      <c r="UUS108" s="953"/>
      <c r="UUT108" s="953"/>
      <c r="UUU108" s="953"/>
      <c r="UUV108" s="953"/>
      <c r="UUW108" s="953"/>
      <c r="UUX108" s="953"/>
      <c r="UUY108" s="953"/>
      <c r="UUZ108" s="953"/>
      <c r="UVA108" s="953"/>
      <c r="UVB108" s="953"/>
      <c r="UVC108" s="953"/>
      <c r="UVD108" s="953"/>
      <c r="UVE108" s="953"/>
      <c r="UVF108" s="953"/>
      <c r="UVG108" s="953"/>
      <c r="UVH108" s="953"/>
      <c r="UVI108" s="953"/>
      <c r="UVJ108" s="953"/>
      <c r="UVK108" s="953"/>
      <c r="UVL108" s="953"/>
      <c r="UVM108" s="953"/>
      <c r="UVN108" s="953"/>
      <c r="UVO108" s="953"/>
      <c r="UVP108" s="953"/>
      <c r="UVQ108" s="953"/>
      <c r="UVR108" s="953"/>
      <c r="UVS108" s="953"/>
      <c r="UVT108" s="953"/>
      <c r="UVU108" s="953"/>
      <c r="UVV108" s="953"/>
      <c r="UVW108" s="953"/>
      <c r="UVX108" s="953"/>
      <c r="UVY108" s="953"/>
      <c r="UVZ108" s="953"/>
      <c r="UWA108" s="953"/>
      <c r="UWB108" s="953"/>
      <c r="UWC108" s="953"/>
      <c r="UWD108" s="953"/>
      <c r="UWE108" s="953"/>
      <c r="UWF108" s="953"/>
      <c r="UWG108" s="953"/>
      <c r="UWH108" s="953"/>
      <c r="UWI108" s="953"/>
      <c r="UWJ108" s="953"/>
      <c r="UWK108" s="953"/>
      <c r="UWL108" s="953"/>
      <c r="UWM108" s="953"/>
      <c r="UWN108" s="953"/>
      <c r="UWO108" s="953"/>
      <c r="UWP108" s="953"/>
      <c r="UWQ108" s="953"/>
      <c r="UWR108" s="953"/>
      <c r="UWS108" s="953"/>
      <c r="UWT108" s="953"/>
      <c r="UWU108" s="953"/>
      <c r="UWV108" s="953"/>
      <c r="UWW108" s="953"/>
      <c r="UWX108" s="953"/>
      <c r="UWY108" s="953"/>
      <c r="UWZ108" s="953"/>
      <c r="UXA108" s="953"/>
      <c r="UXB108" s="953"/>
      <c r="UXC108" s="953"/>
      <c r="UXD108" s="953"/>
      <c r="UXE108" s="953"/>
      <c r="UXF108" s="953"/>
      <c r="UXG108" s="953"/>
      <c r="UXH108" s="953"/>
      <c r="UXI108" s="953"/>
      <c r="UXJ108" s="953"/>
      <c r="UXK108" s="953"/>
      <c r="UXL108" s="953"/>
      <c r="UXM108" s="953"/>
      <c r="UXN108" s="953"/>
      <c r="UXO108" s="953"/>
      <c r="UXP108" s="953"/>
      <c r="UXQ108" s="953"/>
      <c r="UXR108" s="953"/>
      <c r="UXS108" s="953"/>
      <c r="UXT108" s="953"/>
      <c r="UXU108" s="953"/>
      <c r="UXV108" s="953"/>
      <c r="UXW108" s="953"/>
      <c r="UXX108" s="953"/>
      <c r="UXY108" s="953"/>
      <c r="UXZ108" s="953"/>
      <c r="UYA108" s="953"/>
      <c r="UYB108" s="953"/>
      <c r="UYC108" s="953"/>
      <c r="UYD108" s="953"/>
      <c r="UYE108" s="953"/>
      <c r="UYF108" s="953"/>
      <c r="UYG108" s="953"/>
      <c r="UYH108" s="953"/>
      <c r="UYI108" s="953"/>
      <c r="UYJ108" s="953"/>
      <c r="UYK108" s="953"/>
      <c r="UYL108" s="953"/>
      <c r="UYM108" s="953"/>
      <c r="UYN108" s="953"/>
      <c r="UYO108" s="953"/>
      <c r="UYP108" s="953"/>
      <c r="UYQ108" s="953"/>
      <c r="UYR108" s="953"/>
      <c r="UYS108" s="953"/>
      <c r="UYT108" s="953"/>
      <c r="UYU108" s="953"/>
      <c r="UYV108" s="953"/>
      <c r="UYW108" s="953"/>
      <c r="UYX108" s="953"/>
      <c r="UYY108" s="953"/>
      <c r="UYZ108" s="953"/>
      <c r="UZA108" s="953"/>
      <c r="UZB108" s="953"/>
      <c r="UZC108" s="953"/>
      <c r="UZD108" s="953"/>
      <c r="UZE108" s="953"/>
      <c r="UZF108" s="953"/>
      <c r="UZG108" s="953"/>
      <c r="UZH108" s="953"/>
      <c r="UZI108" s="953"/>
      <c r="UZJ108" s="953"/>
      <c r="UZK108" s="953"/>
      <c r="UZL108" s="953"/>
      <c r="UZM108" s="953"/>
      <c r="UZN108" s="953"/>
      <c r="UZO108" s="953"/>
      <c r="UZP108" s="953"/>
      <c r="UZQ108" s="953"/>
      <c r="UZR108" s="953"/>
      <c r="UZS108" s="953"/>
      <c r="UZT108" s="953"/>
      <c r="UZU108" s="953"/>
      <c r="UZV108" s="953"/>
      <c r="UZW108" s="953"/>
      <c r="UZX108" s="953"/>
      <c r="UZY108" s="953"/>
      <c r="UZZ108" s="953"/>
      <c r="VAA108" s="953"/>
      <c r="VAB108" s="953"/>
      <c r="VAC108" s="953"/>
      <c r="VAD108" s="953"/>
      <c r="VAE108" s="953"/>
      <c r="VAF108" s="953"/>
      <c r="VAG108" s="953"/>
      <c r="VAH108" s="953"/>
      <c r="VAI108" s="953"/>
      <c r="VAJ108" s="953"/>
      <c r="VAK108" s="953"/>
      <c r="VAL108" s="953"/>
      <c r="VAM108" s="953"/>
      <c r="VAN108" s="953"/>
      <c r="VAO108" s="953"/>
      <c r="VAP108" s="953"/>
      <c r="VAQ108" s="953"/>
      <c r="VAR108" s="953"/>
      <c r="VAS108" s="953"/>
      <c r="VAT108" s="953"/>
      <c r="VAU108" s="953"/>
      <c r="VAV108" s="953"/>
      <c r="VAW108" s="953"/>
      <c r="VAX108" s="953"/>
      <c r="VAY108" s="953"/>
      <c r="VAZ108" s="953"/>
      <c r="VBA108" s="953"/>
      <c r="VBB108" s="953"/>
      <c r="VBC108" s="953"/>
      <c r="VBD108" s="953"/>
      <c r="VBE108" s="953"/>
      <c r="VBF108" s="953"/>
      <c r="VBG108" s="953"/>
      <c r="VBH108" s="953"/>
      <c r="VBI108" s="953"/>
      <c r="VBJ108" s="953"/>
      <c r="VBK108" s="953"/>
      <c r="VBL108" s="953"/>
      <c r="VBM108" s="953"/>
      <c r="VBN108" s="953"/>
      <c r="VBO108" s="953"/>
      <c r="VBP108" s="953"/>
      <c r="VBQ108" s="953"/>
      <c r="VBR108" s="953"/>
      <c r="VBS108" s="953"/>
      <c r="VBT108" s="953"/>
      <c r="VBU108" s="953"/>
      <c r="VBV108" s="953"/>
      <c r="VBW108" s="953"/>
      <c r="VBX108" s="953"/>
      <c r="VBY108" s="953"/>
      <c r="VBZ108" s="953"/>
      <c r="VCA108" s="953"/>
      <c r="VCB108" s="953"/>
      <c r="VCC108" s="953"/>
      <c r="VCD108" s="953"/>
      <c r="VCE108" s="953"/>
      <c r="VCF108" s="953"/>
      <c r="VCG108" s="953"/>
      <c r="VCH108" s="953"/>
      <c r="VCI108" s="953"/>
      <c r="VCJ108" s="953"/>
      <c r="VCK108" s="953"/>
      <c r="VCL108" s="953"/>
      <c r="VCM108" s="953"/>
      <c r="VCN108" s="953"/>
      <c r="VCO108" s="953"/>
      <c r="VCP108" s="953"/>
      <c r="VCQ108" s="953"/>
      <c r="VCR108" s="953"/>
      <c r="VCS108" s="953"/>
      <c r="VCT108" s="953"/>
      <c r="VCU108" s="953"/>
      <c r="VCV108" s="953"/>
      <c r="VCW108" s="953"/>
      <c r="VCX108" s="953"/>
      <c r="VCY108" s="953"/>
      <c r="VCZ108" s="953"/>
      <c r="VDA108" s="953"/>
      <c r="VDB108" s="953"/>
      <c r="VDC108" s="953"/>
      <c r="VDD108" s="953"/>
      <c r="VDE108" s="953"/>
      <c r="VDF108" s="953"/>
      <c r="VDG108" s="953"/>
      <c r="VDH108" s="953"/>
      <c r="VDI108" s="953"/>
      <c r="VDJ108" s="953"/>
      <c r="VDK108" s="953"/>
      <c r="VDL108" s="953"/>
      <c r="VDM108" s="953"/>
      <c r="VDN108" s="953"/>
      <c r="VDO108" s="953"/>
      <c r="VDP108" s="953"/>
      <c r="VDQ108" s="953"/>
      <c r="VDR108" s="953"/>
      <c r="VDS108" s="953"/>
      <c r="VDT108" s="953"/>
      <c r="VDU108" s="953"/>
      <c r="VDV108" s="953"/>
      <c r="VDW108" s="953"/>
      <c r="VDX108" s="953"/>
      <c r="VDY108" s="953"/>
      <c r="VDZ108" s="953"/>
      <c r="VEA108" s="953"/>
      <c r="VEB108" s="953"/>
      <c r="VEC108" s="953"/>
      <c r="VED108" s="953"/>
      <c r="VEE108" s="953"/>
      <c r="VEF108" s="953"/>
      <c r="VEG108" s="953"/>
      <c r="VEH108" s="953"/>
      <c r="VEI108" s="953"/>
      <c r="VEJ108" s="953"/>
      <c r="VEK108" s="953"/>
      <c r="VEL108" s="953"/>
      <c r="VEM108" s="953"/>
      <c r="VEN108" s="953"/>
      <c r="VEO108" s="953"/>
      <c r="VEP108" s="953"/>
      <c r="VEQ108" s="953"/>
      <c r="VER108" s="953"/>
      <c r="VES108" s="953"/>
      <c r="VET108" s="953"/>
      <c r="VEU108" s="953"/>
      <c r="VEV108" s="953"/>
      <c r="VEW108" s="953"/>
      <c r="VEX108" s="953"/>
      <c r="VEY108" s="953"/>
      <c r="VEZ108" s="953"/>
      <c r="VFA108" s="953"/>
      <c r="VFB108" s="953"/>
      <c r="VFC108" s="953"/>
      <c r="VFD108" s="953"/>
      <c r="VFE108" s="953"/>
      <c r="VFF108" s="953"/>
      <c r="VFG108" s="953"/>
      <c r="VFH108" s="953"/>
      <c r="VFI108" s="953"/>
      <c r="VFJ108" s="953"/>
      <c r="VFK108" s="953"/>
      <c r="VFL108" s="953"/>
      <c r="VFM108" s="953"/>
      <c r="VFN108" s="953"/>
      <c r="VFO108" s="953"/>
      <c r="VFP108" s="953"/>
      <c r="VFQ108" s="953"/>
      <c r="VFR108" s="953"/>
      <c r="VFS108" s="953"/>
      <c r="VFT108" s="953"/>
      <c r="VFU108" s="953"/>
      <c r="VFV108" s="953"/>
      <c r="VFW108" s="953"/>
      <c r="VFX108" s="953"/>
      <c r="VFY108" s="953"/>
      <c r="VFZ108" s="953"/>
      <c r="VGA108" s="953"/>
      <c r="VGB108" s="953"/>
      <c r="VGC108" s="953"/>
      <c r="VGD108" s="953"/>
      <c r="VGE108" s="953"/>
      <c r="VGF108" s="953"/>
      <c r="VGG108" s="953"/>
      <c r="VGH108" s="953"/>
      <c r="VGI108" s="953"/>
      <c r="VGJ108" s="953"/>
      <c r="VGK108" s="953"/>
      <c r="VGL108" s="953"/>
      <c r="VGM108" s="953"/>
      <c r="VGN108" s="953"/>
      <c r="VGO108" s="953"/>
      <c r="VGP108" s="953"/>
      <c r="VGQ108" s="953"/>
      <c r="VGR108" s="953"/>
      <c r="VGS108" s="953"/>
      <c r="VGT108" s="953"/>
      <c r="VGU108" s="953"/>
      <c r="VGV108" s="953"/>
      <c r="VGW108" s="953"/>
      <c r="VGX108" s="953"/>
      <c r="VGY108" s="953"/>
      <c r="VGZ108" s="953"/>
      <c r="VHA108" s="953"/>
      <c r="VHB108" s="953"/>
      <c r="VHC108" s="953"/>
      <c r="VHD108" s="953"/>
      <c r="VHE108" s="953"/>
      <c r="VHF108" s="953"/>
      <c r="VHG108" s="953"/>
      <c r="VHH108" s="953"/>
      <c r="VHI108" s="953"/>
      <c r="VHJ108" s="953"/>
      <c r="VHK108" s="953"/>
      <c r="VHL108" s="953"/>
      <c r="VHM108" s="953"/>
      <c r="VHN108" s="953"/>
      <c r="VHO108" s="953"/>
      <c r="VHP108" s="953"/>
      <c r="VHQ108" s="953"/>
      <c r="VHR108" s="953"/>
      <c r="VHS108" s="953"/>
      <c r="VHT108" s="953"/>
      <c r="VHU108" s="953"/>
      <c r="VHV108" s="953"/>
      <c r="VHW108" s="953"/>
      <c r="VHX108" s="953"/>
      <c r="VHY108" s="953"/>
      <c r="VHZ108" s="953"/>
      <c r="VIA108" s="953"/>
      <c r="VIB108" s="953"/>
      <c r="VIC108" s="953"/>
      <c r="VID108" s="953"/>
      <c r="VIE108" s="953"/>
      <c r="VIF108" s="953"/>
      <c r="VIG108" s="953"/>
      <c r="VIH108" s="953"/>
      <c r="VII108" s="953"/>
      <c r="VIJ108" s="953"/>
      <c r="VIK108" s="953"/>
      <c r="VIL108" s="953"/>
      <c r="VIM108" s="953"/>
      <c r="VIN108" s="953"/>
      <c r="VIO108" s="953"/>
      <c r="VIP108" s="953"/>
      <c r="VIQ108" s="953"/>
      <c r="VIR108" s="953"/>
      <c r="VIS108" s="953"/>
      <c r="VIT108" s="953"/>
      <c r="VIU108" s="953"/>
      <c r="VIV108" s="953"/>
      <c r="VIW108" s="953"/>
      <c r="VIX108" s="953"/>
      <c r="VIY108" s="953"/>
      <c r="VIZ108" s="953"/>
      <c r="VJA108" s="953"/>
      <c r="VJB108" s="953"/>
      <c r="VJC108" s="953"/>
      <c r="VJD108" s="953"/>
      <c r="VJE108" s="953"/>
      <c r="VJF108" s="953"/>
      <c r="VJG108" s="953"/>
      <c r="VJH108" s="953"/>
      <c r="VJI108" s="953"/>
      <c r="VJJ108" s="953"/>
      <c r="VJK108" s="953"/>
      <c r="VJL108" s="953"/>
      <c r="VJM108" s="953"/>
      <c r="VJN108" s="953"/>
      <c r="VJO108" s="953"/>
      <c r="VJP108" s="953"/>
      <c r="VJQ108" s="953"/>
      <c r="VJR108" s="953"/>
      <c r="VJS108" s="953"/>
      <c r="VJT108" s="953"/>
      <c r="VJU108" s="953"/>
      <c r="VJV108" s="953"/>
      <c r="VJW108" s="953"/>
      <c r="VJX108" s="953"/>
      <c r="VJY108" s="953"/>
      <c r="VJZ108" s="953"/>
      <c r="VKA108" s="953"/>
      <c r="VKB108" s="953"/>
      <c r="VKC108" s="953"/>
      <c r="VKD108" s="953"/>
      <c r="VKE108" s="953"/>
      <c r="VKF108" s="953"/>
      <c r="VKG108" s="953"/>
      <c r="VKH108" s="953"/>
      <c r="VKI108" s="953"/>
      <c r="VKJ108" s="953"/>
      <c r="VKK108" s="953"/>
      <c r="VKL108" s="953"/>
      <c r="VKM108" s="953"/>
      <c r="VKN108" s="953"/>
      <c r="VKO108" s="953"/>
      <c r="VKP108" s="953"/>
      <c r="VKQ108" s="953"/>
      <c r="VKR108" s="953"/>
      <c r="VKS108" s="953"/>
      <c r="VKT108" s="953"/>
      <c r="VKU108" s="953"/>
      <c r="VKV108" s="953"/>
      <c r="VKW108" s="953"/>
      <c r="VKX108" s="953"/>
      <c r="VKY108" s="953"/>
      <c r="VKZ108" s="953"/>
      <c r="VLA108" s="953"/>
      <c r="VLB108" s="953"/>
      <c r="VLC108" s="953"/>
      <c r="VLD108" s="953"/>
      <c r="VLE108" s="953"/>
      <c r="VLF108" s="953"/>
      <c r="VLG108" s="953"/>
      <c r="VLH108" s="953"/>
      <c r="VLI108" s="953"/>
      <c r="VLJ108" s="953"/>
      <c r="VLK108" s="953"/>
      <c r="VLL108" s="953"/>
      <c r="VLM108" s="953"/>
      <c r="VLN108" s="953"/>
      <c r="VLO108" s="953"/>
      <c r="VLP108" s="953"/>
      <c r="VLQ108" s="953"/>
      <c r="VLR108" s="953"/>
      <c r="VLS108" s="953"/>
      <c r="VLT108" s="953"/>
      <c r="VLU108" s="953"/>
      <c r="VLV108" s="953"/>
      <c r="VLW108" s="953"/>
      <c r="VLX108" s="953"/>
      <c r="VLY108" s="953"/>
      <c r="VLZ108" s="953"/>
      <c r="VMA108" s="953"/>
      <c r="VMB108" s="953"/>
      <c r="VMC108" s="953"/>
      <c r="VMD108" s="953"/>
      <c r="VME108" s="953"/>
      <c r="VMF108" s="953"/>
      <c r="VMG108" s="953"/>
      <c r="VMH108" s="953"/>
      <c r="VMI108" s="953"/>
      <c r="VMJ108" s="953"/>
      <c r="VMK108" s="953"/>
      <c r="VML108" s="953"/>
      <c r="VMM108" s="953"/>
      <c r="VMN108" s="953"/>
      <c r="VMO108" s="953"/>
      <c r="VMP108" s="953"/>
      <c r="VMQ108" s="953"/>
      <c r="VMR108" s="953"/>
      <c r="VMS108" s="953"/>
      <c r="VMT108" s="953"/>
      <c r="VMU108" s="953"/>
      <c r="VMV108" s="953"/>
      <c r="VMW108" s="953"/>
      <c r="VMX108" s="953"/>
      <c r="VMY108" s="953"/>
      <c r="VMZ108" s="953"/>
      <c r="VNA108" s="953"/>
      <c r="VNB108" s="953"/>
      <c r="VNC108" s="953"/>
      <c r="VND108" s="953"/>
      <c r="VNE108" s="953"/>
      <c r="VNF108" s="953"/>
      <c r="VNG108" s="953"/>
      <c r="VNH108" s="953"/>
      <c r="VNI108" s="953"/>
      <c r="VNJ108" s="953"/>
      <c r="VNK108" s="953"/>
      <c r="VNL108" s="953"/>
      <c r="VNM108" s="953"/>
      <c r="VNN108" s="953"/>
      <c r="VNO108" s="953"/>
      <c r="VNP108" s="953"/>
      <c r="VNQ108" s="953"/>
      <c r="VNR108" s="953"/>
      <c r="VNS108" s="953"/>
      <c r="VNT108" s="953"/>
      <c r="VNU108" s="953"/>
      <c r="VNV108" s="953"/>
      <c r="VNW108" s="953"/>
      <c r="VNX108" s="953"/>
      <c r="VNY108" s="953"/>
      <c r="VNZ108" s="953"/>
      <c r="VOA108" s="953"/>
      <c r="VOB108" s="953"/>
      <c r="VOC108" s="953"/>
      <c r="VOD108" s="953"/>
      <c r="VOE108" s="953"/>
      <c r="VOF108" s="953"/>
      <c r="VOG108" s="953"/>
      <c r="VOH108" s="953"/>
      <c r="VOI108" s="953"/>
      <c r="VOJ108" s="953"/>
      <c r="VOK108" s="953"/>
      <c r="VOL108" s="953"/>
      <c r="VOM108" s="953"/>
      <c r="VON108" s="953"/>
      <c r="VOO108" s="953"/>
      <c r="VOP108" s="953"/>
      <c r="VOQ108" s="953"/>
      <c r="VOR108" s="953"/>
      <c r="VOS108" s="953"/>
      <c r="VOT108" s="953"/>
      <c r="VOU108" s="953"/>
      <c r="VOV108" s="953"/>
      <c r="VOW108" s="953"/>
      <c r="VOX108" s="953"/>
      <c r="VOY108" s="953"/>
      <c r="VOZ108" s="953"/>
      <c r="VPA108" s="953"/>
      <c r="VPB108" s="953"/>
      <c r="VPC108" s="953"/>
      <c r="VPD108" s="953"/>
      <c r="VPE108" s="953"/>
      <c r="VPF108" s="953"/>
      <c r="VPG108" s="953"/>
      <c r="VPH108" s="953"/>
      <c r="VPI108" s="953"/>
      <c r="VPJ108" s="953"/>
      <c r="VPK108" s="953"/>
      <c r="VPL108" s="953"/>
      <c r="VPM108" s="953"/>
      <c r="VPN108" s="953"/>
      <c r="VPO108" s="953"/>
      <c r="VPP108" s="953"/>
      <c r="VPQ108" s="953"/>
      <c r="VPR108" s="953"/>
      <c r="VPS108" s="953"/>
      <c r="VPT108" s="953"/>
      <c r="VPU108" s="953"/>
      <c r="VPV108" s="953"/>
      <c r="VPW108" s="953"/>
      <c r="VPX108" s="953"/>
      <c r="VPY108" s="953"/>
      <c r="VPZ108" s="953"/>
      <c r="VQA108" s="953"/>
      <c r="VQB108" s="953"/>
      <c r="VQC108" s="953"/>
      <c r="VQD108" s="953"/>
      <c r="VQE108" s="953"/>
      <c r="VQF108" s="953"/>
      <c r="VQG108" s="953"/>
      <c r="VQH108" s="953"/>
      <c r="VQI108" s="953"/>
      <c r="VQJ108" s="953"/>
      <c r="VQK108" s="953"/>
      <c r="VQL108" s="953"/>
      <c r="VQM108" s="953"/>
      <c r="VQN108" s="953"/>
      <c r="VQO108" s="953"/>
      <c r="VQP108" s="953"/>
      <c r="VQQ108" s="953"/>
      <c r="VQR108" s="953"/>
      <c r="VQS108" s="953"/>
      <c r="VQT108" s="953"/>
      <c r="VQU108" s="953"/>
      <c r="VQV108" s="953"/>
      <c r="VQW108" s="953"/>
      <c r="VQX108" s="953"/>
      <c r="VQY108" s="953"/>
      <c r="VQZ108" s="953"/>
      <c r="VRA108" s="953"/>
      <c r="VRB108" s="953"/>
      <c r="VRC108" s="953"/>
      <c r="VRD108" s="953"/>
      <c r="VRE108" s="953"/>
      <c r="VRF108" s="953"/>
      <c r="VRG108" s="953"/>
      <c r="VRH108" s="953"/>
      <c r="VRI108" s="953"/>
      <c r="VRJ108" s="953"/>
      <c r="VRK108" s="953"/>
      <c r="VRL108" s="953"/>
      <c r="VRM108" s="953"/>
      <c r="VRN108" s="953"/>
      <c r="VRO108" s="953"/>
      <c r="VRP108" s="953"/>
      <c r="VRQ108" s="953"/>
      <c r="VRR108" s="953"/>
      <c r="VRS108" s="953"/>
      <c r="VRT108" s="953"/>
      <c r="VRU108" s="953"/>
      <c r="VRV108" s="953"/>
      <c r="VRW108" s="953"/>
      <c r="VRX108" s="953"/>
      <c r="VRY108" s="953"/>
      <c r="VRZ108" s="953"/>
      <c r="VSA108" s="953"/>
      <c r="VSB108" s="953"/>
      <c r="VSC108" s="953"/>
      <c r="VSD108" s="953"/>
      <c r="VSE108" s="953"/>
      <c r="VSF108" s="953"/>
      <c r="VSG108" s="953"/>
      <c r="VSH108" s="953"/>
      <c r="VSI108" s="953"/>
      <c r="VSJ108" s="953"/>
      <c r="VSK108" s="953"/>
      <c r="VSL108" s="953"/>
      <c r="VSM108" s="953"/>
      <c r="VSN108" s="953"/>
      <c r="VSO108" s="953"/>
      <c r="VSP108" s="953"/>
      <c r="VSQ108" s="953"/>
      <c r="VSR108" s="953"/>
      <c r="VSS108" s="953"/>
      <c r="VST108" s="953"/>
      <c r="VSU108" s="953"/>
      <c r="VSV108" s="953"/>
      <c r="VSW108" s="953"/>
      <c r="VSX108" s="953"/>
      <c r="VSY108" s="953"/>
      <c r="VSZ108" s="953"/>
      <c r="VTA108" s="953"/>
      <c r="VTB108" s="953"/>
      <c r="VTC108" s="953"/>
      <c r="VTD108" s="953"/>
      <c r="VTE108" s="953"/>
      <c r="VTF108" s="953"/>
      <c r="VTG108" s="953"/>
      <c r="VTH108" s="953"/>
      <c r="VTI108" s="953"/>
      <c r="VTJ108" s="953"/>
      <c r="VTK108" s="953"/>
      <c r="VTL108" s="953"/>
      <c r="VTM108" s="953"/>
      <c r="VTN108" s="953"/>
      <c r="VTO108" s="953"/>
      <c r="VTP108" s="953"/>
      <c r="VTQ108" s="953"/>
      <c r="VTR108" s="953"/>
      <c r="VTS108" s="953"/>
      <c r="VTT108" s="953"/>
      <c r="VTU108" s="953"/>
      <c r="VTV108" s="953"/>
      <c r="VTW108" s="953"/>
      <c r="VTX108" s="953"/>
      <c r="VTY108" s="953"/>
      <c r="VTZ108" s="953"/>
      <c r="VUA108" s="953"/>
      <c r="VUB108" s="953"/>
      <c r="VUC108" s="953"/>
      <c r="VUD108" s="953"/>
      <c r="VUE108" s="953"/>
      <c r="VUF108" s="953"/>
      <c r="VUG108" s="953"/>
      <c r="VUH108" s="953"/>
      <c r="VUI108" s="953"/>
      <c r="VUJ108" s="953"/>
      <c r="VUK108" s="953"/>
      <c r="VUL108" s="953"/>
      <c r="VUM108" s="953"/>
      <c r="VUN108" s="953"/>
      <c r="VUO108" s="953"/>
      <c r="VUP108" s="953"/>
      <c r="VUQ108" s="953"/>
      <c r="VUR108" s="953"/>
      <c r="VUS108" s="953"/>
      <c r="VUT108" s="953"/>
      <c r="VUU108" s="953"/>
      <c r="VUV108" s="953"/>
      <c r="VUW108" s="953"/>
      <c r="VUX108" s="953"/>
      <c r="VUY108" s="953"/>
      <c r="VUZ108" s="953"/>
      <c r="VVA108" s="953"/>
      <c r="VVB108" s="953"/>
      <c r="VVC108" s="953"/>
      <c r="VVD108" s="953"/>
      <c r="VVE108" s="953"/>
      <c r="VVF108" s="953"/>
      <c r="VVG108" s="953"/>
      <c r="VVH108" s="953"/>
      <c r="VVI108" s="953"/>
      <c r="VVJ108" s="953"/>
      <c r="VVK108" s="953"/>
      <c r="VVL108" s="953"/>
      <c r="VVM108" s="953"/>
      <c r="VVN108" s="953"/>
      <c r="VVO108" s="953"/>
      <c r="VVP108" s="953"/>
      <c r="VVQ108" s="953"/>
      <c r="VVR108" s="953"/>
      <c r="VVS108" s="953"/>
      <c r="VVT108" s="953"/>
      <c r="VVU108" s="953"/>
      <c r="VVV108" s="953"/>
      <c r="VVW108" s="953"/>
      <c r="VVX108" s="953"/>
      <c r="VVY108" s="953"/>
      <c r="VVZ108" s="953"/>
      <c r="VWA108" s="953"/>
      <c r="VWB108" s="953"/>
      <c r="VWC108" s="953"/>
      <c r="VWD108" s="953"/>
      <c r="VWE108" s="953"/>
      <c r="VWF108" s="953"/>
      <c r="VWG108" s="953"/>
      <c r="VWH108" s="953"/>
      <c r="VWI108" s="953"/>
      <c r="VWJ108" s="953"/>
      <c r="VWK108" s="953"/>
      <c r="VWL108" s="953"/>
      <c r="VWM108" s="953"/>
      <c r="VWN108" s="953"/>
      <c r="VWO108" s="953"/>
      <c r="VWP108" s="953"/>
      <c r="VWQ108" s="953"/>
      <c r="VWR108" s="953"/>
      <c r="VWS108" s="953"/>
      <c r="VWT108" s="953"/>
      <c r="VWU108" s="953"/>
      <c r="VWV108" s="953"/>
      <c r="VWW108" s="953"/>
      <c r="VWX108" s="953"/>
      <c r="VWY108" s="953"/>
      <c r="VWZ108" s="953"/>
      <c r="VXA108" s="953"/>
      <c r="VXB108" s="953"/>
      <c r="VXC108" s="953"/>
      <c r="VXD108" s="953"/>
      <c r="VXE108" s="953"/>
      <c r="VXF108" s="953"/>
      <c r="VXG108" s="953"/>
      <c r="VXH108" s="953"/>
      <c r="VXI108" s="953"/>
      <c r="VXJ108" s="953"/>
      <c r="VXK108" s="953"/>
      <c r="VXL108" s="953"/>
      <c r="VXM108" s="953"/>
      <c r="VXN108" s="953"/>
      <c r="VXO108" s="953"/>
      <c r="VXP108" s="953"/>
      <c r="VXQ108" s="953"/>
      <c r="VXR108" s="953"/>
      <c r="VXS108" s="953"/>
      <c r="VXT108" s="953"/>
      <c r="VXU108" s="953"/>
      <c r="VXV108" s="953"/>
      <c r="VXW108" s="953"/>
      <c r="VXX108" s="953"/>
      <c r="VXY108" s="953"/>
      <c r="VXZ108" s="953"/>
      <c r="VYA108" s="953"/>
      <c r="VYB108" s="953"/>
      <c r="VYC108" s="953"/>
      <c r="VYD108" s="953"/>
      <c r="VYE108" s="953"/>
      <c r="VYF108" s="953"/>
      <c r="VYG108" s="953"/>
      <c r="VYH108" s="953"/>
      <c r="VYI108" s="953"/>
      <c r="VYJ108" s="953"/>
      <c r="VYK108" s="953"/>
      <c r="VYL108" s="953"/>
      <c r="VYM108" s="953"/>
      <c r="VYN108" s="953"/>
      <c r="VYO108" s="953"/>
      <c r="VYP108" s="953"/>
      <c r="VYQ108" s="953"/>
      <c r="VYR108" s="953"/>
      <c r="VYS108" s="953"/>
      <c r="VYT108" s="953"/>
      <c r="VYU108" s="953"/>
      <c r="VYV108" s="953"/>
      <c r="VYW108" s="953"/>
      <c r="VYX108" s="953"/>
      <c r="VYY108" s="953"/>
      <c r="VYZ108" s="953"/>
      <c r="VZA108" s="953"/>
      <c r="VZB108" s="953"/>
      <c r="VZC108" s="953"/>
      <c r="VZD108" s="953"/>
      <c r="VZE108" s="953"/>
      <c r="VZF108" s="953"/>
      <c r="VZG108" s="953"/>
      <c r="VZH108" s="953"/>
      <c r="VZI108" s="953"/>
      <c r="VZJ108" s="953"/>
      <c r="VZK108" s="953"/>
      <c r="VZL108" s="953"/>
      <c r="VZM108" s="953"/>
      <c r="VZN108" s="953"/>
      <c r="VZO108" s="953"/>
      <c r="VZP108" s="953"/>
      <c r="VZQ108" s="953"/>
      <c r="VZR108" s="953"/>
      <c r="VZS108" s="953"/>
      <c r="VZT108" s="953"/>
      <c r="VZU108" s="953"/>
      <c r="VZV108" s="953"/>
      <c r="VZW108" s="953"/>
      <c r="VZX108" s="953"/>
      <c r="VZY108" s="953"/>
      <c r="VZZ108" s="953"/>
      <c r="WAA108" s="953"/>
      <c r="WAB108" s="953"/>
      <c r="WAC108" s="953"/>
      <c r="WAD108" s="953"/>
      <c r="WAE108" s="953"/>
      <c r="WAF108" s="953"/>
      <c r="WAG108" s="953"/>
      <c r="WAH108" s="953"/>
      <c r="WAI108" s="953"/>
      <c r="WAJ108" s="953"/>
      <c r="WAK108" s="953"/>
      <c r="WAL108" s="953"/>
      <c r="WAM108" s="953"/>
      <c r="WAN108" s="953"/>
      <c r="WAO108" s="953"/>
      <c r="WAP108" s="953"/>
      <c r="WAQ108" s="953"/>
      <c r="WAR108" s="953"/>
      <c r="WAS108" s="953"/>
      <c r="WAT108" s="953"/>
      <c r="WAU108" s="953"/>
      <c r="WAV108" s="953"/>
      <c r="WAW108" s="953"/>
      <c r="WAX108" s="953"/>
      <c r="WAY108" s="953"/>
      <c r="WAZ108" s="953"/>
      <c r="WBA108" s="953"/>
      <c r="WBB108" s="953"/>
      <c r="WBC108" s="953"/>
      <c r="WBD108" s="953"/>
      <c r="WBE108" s="953"/>
      <c r="WBF108" s="953"/>
      <c r="WBG108" s="953"/>
      <c r="WBH108" s="953"/>
      <c r="WBI108" s="953"/>
      <c r="WBJ108" s="953"/>
      <c r="WBK108" s="953"/>
      <c r="WBL108" s="953"/>
      <c r="WBM108" s="953"/>
      <c r="WBN108" s="953"/>
      <c r="WBO108" s="953"/>
      <c r="WBP108" s="953"/>
      <c r="WBQ108" s="953"/>
      <c r="WBR108" s="953"/>
      <c r="WBS108" s="953"/>
      <c r="WBT108" s="953"/>
      <c r="WBU108" s="953"/>
      <c r="WBV108" s="953"/>
      <c r="WBW108" s="953"/>
      <c r="WBX108" s="953"/>
      <c r="WBY108" s="953"/>
      <c r="WBZ108" s="953"/>
      <c r="WCA108" s="953"/>
      <c r="WCB108" s="953"/>
      <c r="WCC108" s="953"/>
      <c r="WCD108" s="953"/>
      <c r="WCE108" s="953"/>
      <c r="WCF108" s="953"/>
      <c r="WCG108" s="953"/>
      <c r="WCH108" s="953"/>
      <c r="WCI108" s="953"/>
      <c r="WCJ108" s="953"/>
      <c r="WCK108" s="953"/>
      <c r="WCL108" s="953"/>
      <c r="WCM108" s="953"/>
      <c r="WCN108" s="953"/>
      <c r="WCO108" s="953"/>
      <c r="WCP108" s="953"/>
      <c r="WCQ108" s="953"/>
      <c r="WCR108" s="953"/>
      <c r="WCS108" s="953"/>
      <c r="WCT108" s="953"/>
      <c r="WCU108" s="953"/>
      <c r="WCV108" s="953"/>
      <c r="WCW108" s="953"/>
      <c r="WCX108" s="953"/>
      <c r="WCY108" s="953"/>
      <c r="WCZ108" s="953"/>
      <c r="WDA108" s="953"/>
      <c r="WDB108" s="953"/>
      <c r="WDC108" s="953"/>
      <c r="WDD108" s="953"/>
      <c r="WDE108" s="953"/>
      <c r="WDF108" s="953"/>
      <c r="WDG108" s="953"/>
      <c r="WDH108" s="953"/>
      <c r="WDI108" s="953"/>
      <c r="WDJ108" s="953"/>
      <c r="WDK108" s="953"/>
      <c r="WDL108" s="953"/>
      <c r="WDM108" s="953"/>
      <c r="WDN108" s="953"/>
      <c r="WDO108" s="953"/>
      <c r="WDP108" s="953"/>
      <c r="WDQ108" s="953"/>
      <c r="WDR108" s="953"/>
      <c r="WDS108" s="953"/>
      <c r="WDT108" s="953"/>
      <c r="WDU108" s="953"/>
      <c r="WDV108" s="953"/>
      <c r="WDW108" s="953"/>
      <c r="WDX108" s="953"/>
      <c r="WDY108" s="953"/>
      <c r="WDZ108" s="953"/>
      <c r="WEA108" s="953"/>
      <c r="WEB108" s="953"/>
      <c r="WEC108" s="953"/>
      <c r="WED108" s="953"/>
      <c r="WEE108" s="953"/>
      <c r="WEF108" s="953"/>
      <c r="WEG108" s="953"/>
      <c r="WEH108" s="953"/>
      <c r="WEI108" s="953"/>
      <c r="WEJ108" s="953"/>
      <c r="WEK108" s="953"/>
      <c r="WEL108" s="953"/>
      <c r="WEM108" s="953"/>
      <c r="WEN108" s="953"/>
      <c r="WEO108" s="953"/>
      <c r="WEP108" s="953"/>
      <c r="WEQ108" s="953"/>
      <c r="WER108" s="953"/>
      <c r="WES108" s="953"/>
      <c r="WET108" s="953"/>
      <c r="WEU108" s="953"/>
      <c r="WEV108" s="953"/>
      <c r="WEW108" s="953"/>
      <c r="WEX108" s="953"/>
      <c r="WEY108" s="953"/>
      <c r="WEZ108" s="953"/>
      <c r="WFA108" s="953"/>
      <c r="WFB108" s="953"/>
      <c r="WFC108" s="953"/>
      <c r="WFD108" s="953"/>
      <c r="WFE108" s="953"/>
      <c r="WFF108" s="953"/>
      <c r="WFG108" s="953"/>
      <c r="WFH108" s="953"/>
      <c r="WFI108" s="953"/>
      <c r="WFJ108" s="953"/>
      <c r="WFK108" s="953"/>
      <c r="WFL108" s="953"/>
      <c r="WFM108" s="953"/>
      <c r="WFN108" s="953"/>
      <c r="WFO108" s="953"/>
      <c r="WFP108" s="953"/>
      <c r="WFQ108" s="953"/>
      <c r="WFR108" s="953"/>
      <c r="WFS108" s="953"/>
      <c r="WFT108" s="953"/>
      <c r="WFU108" s="953"/>
      <c r="WFV108" s="953"/>
      <c r="WFW108" s="953"/>
      <c r="WFX108" s="953"/>
      <c r="WFY108" s="953"/>
      <c r="WFZ108" s="953"/>
      <c r="WGA108" s="953"/>
      <c r="WGB108" s="953"/>
      <c r="WGC108" s="953"/>
      <c r="WGD108" s="953"/>
      <c r="WGE108" s="953"/>
      <c r="WGF108" s="953"/>
      <c r="WGG108" s="953"/>
      <c r="WGH108" s="953"/>
      <c r="WGI108" s="953"/>
      <c r="WGJ108" s="953"/>
      <c r="WGK108" s="953"/>
      <c r="WGL108" s="953"/>
      <c r="WGM108" s="953"/>
      <c r="WGN108" s="953"/>
      <c r="WGO108" s="953"/>
      <c r="WGP108" s="953"/>
      <c r="WGQ108" s="953"/>
      <c r="WGR108" s="953"/>
      <c r="WGS108" s="953"/>
      <c r="WGT108" s="953"/>
      <c r="WGU108" s="953"/>
      <c r="WGV108" s="953"/>
      <c r="WGW108" s="953"/>
      <c r="WGX108" s="953"/>
      <c r="WGY108" s="953"/>
      <c r="WGZ108" s="953"/>
      <c r="WHA108" s="953"/>
      <c r="WHB108" s="953"/>
      <c r="WHC108" s="953"/>
      <c r="WHD108" s="953"/>
      <c r="WHE108" s="953"/>
      <c r="WHF108" s="953"/>
      <c r="WHG108" s="953"/>
      <c r="WHH108" s="953"/>
      <c r="WHI108" s="953"/>
      <c r="WHJ108" s="953"/>
      <c r="WHK108" s="953"/>
      <c r="WHL108" s="953"/>
      <c r="WHM108" s="953"/>
      <c r="WHN108" s="953"/>
      <c r="WHO108" s="953"/>
      <c r="WHP108" s="953"/>
      <c r="WHQ108" s="953"/>
      <c r="WHR108" s="953"/>
      <c r="WHS108" s="953"/>
      <c r="WHT108" s="953"/>
      <c r="WHU108" s="953"/>
      <c r="WHV108" s="953"/>
      <c r="WHW108" s="953"/>
      <c r="WHX108" s="953"/>
      <c r="WHY108" s="953"/>
      <c r="WHZ108" s="953"/>
      <c r="WIA108" s="953"/>
      <c r="WIB108" s="953"/>
      <c r="WIC108" s="953"/>
      <c r="WID108" s="953"/>
      <c r="WIE108" s="953"/>
      <c r="WIF108" s="953"/>
      <c r="WIG108" s="953"/>
      <c r="WIH108" s="953"/>
      <c r="WII108" s="953"/>
      <c r="WIJ108" s="953"/>
      <c r="WIK108" s="953"/>
      <c r="WIL108" s="953"/>
      <c r="WIM108" s="953"/>
      <c r="WIN108" s="953"/>
      <c r="WIO108" s="953"/>
      <c r="WIP108" s="953"/>
      <c r="WIQ108" s="953"/>
      <c r="WIR108" s="953"/>
      <c r="WIS108" s="953"/>
      <c r="WIT108" s="953"/>
      <c r="WIU108" s="953"/>
      <c r="WIV108" s="953"/>
      <c r="WIW108" s="953"/>
      <c r="WIX108" s="953"/>
      <c r="WIY108" s="953"/>
      <c r="WIZ108" s="953"/>
      <c r="WJA108" s="953"/>
      <c r="WJB108" s="953"/>
      <c r="WJC108" s="953"/>
      <c r="WJD108" s="953"/>
      <c r="WJE108" s="953"/>
      <c r="WJF108" s="953"/>
      <c r="WJG108" s="953"/>
      <c r="WJH108" s="953"/>
      <c r="WJI108" s="953"/>
      <c r="WJJ108" s="953"/>
      <c r="WJK108" s="953"/>
      <c r="WJL108" s="953"/>
      <c r="WJM108" s="953"/>
      <c r="WJN108" s="953"/>
      <c r="WJO108" s="953"/>
      <c r="WJP108" s="953"/>
      <c r="WJQ108" s="953"/>
      <c r="WJR108" s="953"/>
      <c r="WJS108" s="953"/>
      <c r="WJT108" s="953"/>
      <c r="WJU108" s="953"/>
      <c r="WJV108" s="953"/>
      <c r="WJW108" s="953"/>
      <c r="WJX108" s="953"/>
      <c r="WJY108" s="953"/>
      <c r="WJZ108" s="953"/>
      <c r="WKA108" s="953"/>
      <c r="WKB108" s="953"/>
      <c r="WKC108" s="953"/>
      <c r="WKD108" s="953"/>
      <c r="WKE108" s="953"/>
      <c r="WKF108" s="953"/>
      <c r="WKG108" s="953"/>
      <c r="WKH108" s="953"/>
      <c r="WKI108" s="953"/>
      <c r="WKJ108" s="953"/>
      <c r="WKK108" s="953"/>
      <c r="WKL108" s="953"/>
      <c r="WKM108" s="953"/>
      <c r="WKN108" s="953"/>
      <c r="WKO108" s="953"/>
      <c r="WKP108" s="953"/>
      <c r="WKQ108" s="953"/>
      <c r="WKR108" s="953"/>
      <c r="WKS108" s="953"/>
      <c r="WKT108" s="953"/>
      <c r="WKU108" s="953"/>
      <c r="WKV108" s="953"/>
      <c r="WKW108" s="953"/>
      <c r="WKX108" s="953"/>
      <c r="WKY108" s="953"/>
      <c r="WKZ108" s="953"/>
      <c r="WLA108" s="953"/>
      <c r="WLB108" s="953"/>
      <c r="WLC108" s="953"/>
      <c r="WLD108" s="953"/>
      <c r="WLE108" s="953"/>
      <c r="WLF108" s="953"/>
      <c r="WLG108" s="953"/>
      <c r="WLH108" s="953"/>
      <c r="WLI108" s="953"/>
      <c r="WLJ108" s="953"/>
      <c r="WLK108" s="953"/>
      <c r="WLL108" s="953"/>
      <c r="WLM108" s="953"/>
      <c r="WLN108" s="953"/>
      <c r="WLO108" s="953"/>
      <c r="WLP108" s="953"/>
      <c r="WLQ108" s="953"/>
      <c r="WLR108" s="953"/>
      <c r="WLS108" s="953"/>
      <c r="WLT108" s="953"/>
      <c r="WLU108" s="953"/>
      <c r="WLV108" s="953"/>
      <c r="WLW108" s="953"/>
      <c r="WLX108" s="953"/>
      <c r="WLY108" s="953"/>
      <c r="WLZ108" s="953"/>
      <c r="WMA108" s="953"/>
      <c r="WMB108" s="953"/>
      <c r="WMC108" s="953"/>
      <c r="WMD108" s="953"/>
      <c r="WME108" s="953"/>
      <c r="WMF108" s="953"/>
      <c r="WMG108" s="953"/>
      <c r="WMH108" s="953"/>
      <c r="WMI108" s="953"/>
      <c r="WMJ108" s="953"/>
      <c r="WMK108" s="953"/>
      <c r="WML108" s="953"/>
      <c r="WMM108" s="953"/>
      <c r="WMN108" s="953"/>
      <c r="WMO108" s="953"/>
      <c r="WMP108" s="953"/>
      <c r="WMQ108" s="953"/>
      <c r="WMR108" s="953"/>
      <c r="WMS108" s="953"/>
      <c r="WMT108" s="953"/>
      <c r="WMU108" s="953"/>
      <c r="WMV108" s="953"/>
      <c r="WMW108" s="953"/>
      <c r="WMX108" s="953"/>
      <c r="WMY108" s="953"/>
      <c r="WMZ108" s="953"/>
      <c r="WNA108" s="953"/>
      <c r="WNB108" s="953"/>
      <c r="WNC108" s="953"/>
      <c r="WND108" s="953"/>
      <c r="WNE108" s="953"/>
      <c r="WNF108" s="953"/>
      <c r="WNG108" s="953"/>
      <c r="WNH108" s="953"/>
      <c r="WNI108" s="953"/>
      <c r="WNJ108" s="953"/>
      <c r="WNK108" s="953"/>
      <c r="WNL108" s="953"/>
      <c r="WNM108" s="953"/>
      <c r="WNN108" s="953"/>
      <c r="WNO108" s="953"/>
      <c r="WNP108" s="953"/>
      <c r="WNQ108" s="953"/>
      <c r="WNR108" s="953"/>
      <c r="WNS108" s="953"/>
      <c r="WNT108" s="953"/>
      <c r="WNU108" s="953"/>
      <c r="WNV108" s="953"/>
      <c r="WNW108" s="953"/>
      <c r="WNX108" s="953"/>
      <c r="WNY108" s="953"/>
      <c r="WNZ108" s="953"/>
      <c r="WOA108" s="953"/>
      <c r="WOB108" s="953"/>
      <c r="WOC108" s="953"/>
      <c r="WOD108" s="953"/>
      <c r="WOE108" s="953"/>
      <c r="WOF108" s="953"/>
      <c r="WOG108" s="953"/>
      <c r="WOH108" s="953"/>
      <c r="WOI108" s="953"/>
      <c r="WOJ108" s="953"/>
      <c r="WOK108" s="953"/>
      <c r="WOL108" s="953"/>
      <c r="WOM108" s="953"/>
      <c r="WON108" s="953"/>
      <c r="WOO108" s="953"/>
      <c r="WOP108" s="953"/>
      <c r="WOQ108" s="953"/>
      <c r="WOR108" s="953"/>
      <c r="WOS108" s="953"/>
      <c r="WOT108" s="953"/>
      <c r="WOU108" s="953"/>
      <c r="WOV108" s="953"/>
      <c r="WOW108" s="953"/>
      <c r="WOX108" s="953"/>
      <c r="WOY108" s="953"/>
      <c r="WOZ108" s="953"/>
      <c r="WPA108" s="953"/>
      <c r="WPB108" s="953"/>
      <c r="WPC108" s="953"/>
      <c r="WPD108" s="953"/>
      <c r="WPE108" s="953"/>
      <c r="WPF108" s="953"/>
      <c r="WPG108" s="953"/>
      <c r="WPH108" s="953"/>
      <c r="WPI108" s="953"/>
      <c r="WPJ108" s="953"/>
      <c r="WPK108" s="953"/>
      <c r="WPL108" s="953"/>
      <c r="WPM108" s="953"/>
      <c r="WPN108" s="953"/>
      <c r="WPO108" s="953"/>
      <c r="WPP108" s="953"/>
      <c r="WPQ108" s="953"/>
      <c r="WPR108" s="953"/>
      <c r="WPS108" s="953"/>
      <c r="WPT108" s="953"/>
      <c r="WPU108" s="953"/>
      <c r="WPV108" s="953"/>
      <c r="WPW108" s="953"/>
      <c r="WPX108" s="953"/>
      <c r="WPY108" s="953"/>
      <c r="WPZ108" s="953"/>
      <c r="WQA108" s="953"/>
      <c r="WQB108" s="953"/>
      <c r="WQC108" s="953"/>
      <c r="WQD108" s="953"/>
      <c r="WQE108" s="953"/>
      <c r="WQF108" s="953"/>
      <c r="WQG108" s="953"/>
      <c r="WQH108" s="953"/>
      <c r="WQI108" s="953"/>
      <c r="WQJ108" s="953"/>
      <c r="WQK108" s="953"/>
      <c r="WQL108" s="953"/>
      <c r="WQM108" s="953"/>
      <c r="WQN108" s="953"/>
      <c r="WQO108" s="953"/>
      <c r="WQP108" s="953"/>
      <c r="WQQ108" s="953"/>
      <c r="WQR108" s="953"/>
      <c r="WQS108" s="953"/>
      <c r="WQT108" s="953"/>
      <c r="WQU108" s="953"/>
      <c r="WQV108" s="953"/>
      <c r="WQW108" s="953"/>
      <c r="WQX108" s="953"/>
      <c r="WQY108" s="953"/>
      <c r="WQZ108" s="953"/>
      <c r="WRA108" s="953"/>
      <c r="WRB108" s="953"/>
      <c r="WRC108" s="953"/>
      <c r="WRD108" s="953"/>
      <c r="WRE108" s="953"/>
      <c r="WRF108" s="953"/>
      <c r="WRG108" s="953"/>
      <c r="WRH108" s="953"/>
      <c r="WRI108" s="953"/>
      <c r="WRJ108" s="953"/>
      <c r="WRK108" s="953"/>
      <c r="WRL108" s="953"/>
      <c r="WRM108" s="953"/>
      <c r="WRN108" s="953"/>
      <c r="WRO108" s="953"/>
      <c r="WRP108" s="953"/>
      <c r="WRQ108" s="953"/>
      <c r="WRR108" s="953"/>
      <c r="WRS108" s="953"/>
      <c r="WRT108" s="953"/>
      <c r="WRU108" s="953"/>
      <c r="WRV108" s="953"/>
      <c r="WRW108" s="953"/>
      <c r="WRX108" s="953"/>
      <c r="WRY108" s="953"/>
      <c r="WRZ108" s="953"/>
      <c r="WSA108" s="953"/>
      <c r="WSB108" s="953"/>
      <c r="WSC108" s="953"/>
      <c r="WSD108" s="953"/>
      <c r="WSE108" s="953"/>
      <c r="WSF108" s="953"/>
      <c r="WSG108" s="953"/>
      <c r="WSH108" s="953"/>
      <c r="WSI108" s="953"/>
      <c r="WSJ108" s="953"/>
      <c r="WSK108" s="953"/>
      <c r="WSL108" s="953"/>
      <c r="WSM108" s="953"/>
      <c r="WSN108" s="953"/>
      <c r="WSO108" s="953"/>
      <c r="WSP108" s="953"/>
      <c r="WSQ108" s="953"/>
      <c r="WSR108" s="953"/>
      <c r="WSS108" s="953"/>
      <c r="WST108" s="953"/>
      <c r="WSU108" s="953"/>
      <c r="WSV108" s="953"/>
      <c r="WSW108" s="953"/>
      <c r="WSX108" s="953"/>
      <c r="WSY108" s="953"/>
      <c r="WSZ108" s="953"/>
      <c r="WTA108" s="953"/>
      <c r="WTB108" s="953"/>
      <c r="WTC108" s="953"/>
      <c r="WTD108" s="953"/>
      <c r="WTE108" s="953"/>
      <c r="WTF108" s="953"/>
      <c r="WTG108" s="953"/>
      <c r="WTH108" s="953"/>
      <c r="WTI108" s="953"/>
      <c r="WTJ108" s="953"/>
      <c r="WTK108" s="953"/>
      <c r="WTL108" s="953"/>
      <c r="WTM108" s="953"/>
      <c r="WTN108" s="953"/>
      <c r="WTO108" s="953"/>
      <c r="WTP108" s="953"/>
      <c r="WTQ108" s="953"/>
      <c r="WTR108" s="953"/>
      <c r="WTS108" s="953"/>
      <c r="WTT108" s="953"/>
      <c r="WTU108" s="953"/>
      <c r="WTV108" s="953"/>
      <c r="WTW108" s="953"/>
      <c r="WTX108" s="953"/>
      <c r="WTY108" s="953"/>
      <c r="WTZ108" s="953"/>
      <c r="WUA108" s="953"/>
      <c r="WUB108" s="953"/>
      <c r="WUC108" s="953"/>
      <c r="WUD108" s="953"/>
      <c r="WUE108" s="953"/>
      <c r="WUF108" s="953"/>
      <c r="WUG108" s="953"/>
      <c r="WUH108" s="953"/>
      <c r="WUI108" s="953"/>
      <c r="WUJ108" s="953"/>
      <c r="WUK108" s="953"/>
      <c r="WUL108" s="953"/>
      <c r="WUM108" s="953"/>
      <c r="WUN108" s="953"/>
      <c r="WUO108" s="953"/>
      <c r="WUP108" s="953"/>
      <c r="WUQ108" s="953"/>
      <c r="WUR108" s="953"/>
      <c r="WUS108" s="953"/>
      <c r="WUT108" s="953"/>
      <c r="WUU108" s="953"/>
      <c r="WUV108" s="953"/>
      <c r="WUW108" s="953"/>
      <c r="WUX108" s="953"/>
      <c r="WUY108" s="953"/>
      <c r="WUZ108" s="953"/>
      <c r="WVA108" s="953"/>
      <c r="WVB108" s="953"/>
      <c r="WVC108" s="953"/>
      <c r="WVD108" s="953"/>
      <c r="WVE108" s="953"/>
      <c r="WVF108" s="953"/>
      <c r="WVG108" s="953"/>
      <c r="WVH108" s="953"/>
      <c r="WVI108" s="953"/>
      <c r="WVJ108" s="953"/>
      <c r="WVK108" s="953"/>
      <c r="WVL108" s="953"/>
      <c r="WVM108" s="953"/>
      <c r="WVN108" s="953"/>
      <c r="WVO108" s="953"/>
      <c r="WVP108" s="953"/>
      <c r="WVQ108" s="953"/>
      <c r="WVR108" s="953"/>
      <c r="WVS108" s="953"/>
      <c r="WVT108" s="953"/>
      <c r="WVU108" s="953"/>
      <c r="WVV108" s="953"/>
      <c r="WVW108" s="953"/>
      <c r="WVX108" s="953"/>
      <c r="WVY108" s="953"/>
      <c r="WVZ108" s="953"/>
      <c r="WWA108" s="953"/>
      <c r="WWB108" s="953"/>
      <c r="WWC108" s="953"/>
      <c r="WWD108" s="953"/>
      <c r="WWE108" s="953"/>
      <c r="WWF108" s="953"/>
      <c r="WWG108" s="953"/>
      <c r="WWH108" s="953"/>
      <c r="WWI108" s="953"/>
      <c r="WWJ108" s="953"/>
      <c r="WWK108" s="953"/>
      <c r="WWL108" s="953"/>
      <c r="WWM108" s="953"/>
      <c r="WWN108" s="953"/>
      <c r="WWO108" s="953"/>
      <c r="WWP108" s="953"/>
      <c r="WWQ108" s="953"/>
      <c r="WWR108" s="953"/>
      <c r="WWS108" s="953"/>
      <c r="WWT108" s="953"/>
      <c r="WWU108" s="953"/>
      <c r="WWV108" s="953"/>
      <c r="WWW108" s="953"/>
      <c r="WWX108" s="953"/>
      <c r="WWY108" s="953"/>
      <c r="WWZ108" s="953"/>
      <c r="WXA108" s="953"/>
      <c r="WXB108" s="953"/>
      <c r="WXC108" s="953"/>
      <c r="WXD108" s="953"/>
      <c r="WXE108" s="953"/>
      <c r="WXF108" s="953"/>
      <c r="WXG108" s="953"/>
      <c r="WXH108" s="953"/>
      <c r="WXI108" s="953"/>
      <c r="WXJ108" s="953"/>
      <c r="WXK108" s="953"/>
      <c r="WXL108" s="953"/>
      <c r="WXM108" s="953"/>
      <c r="WXN108" s="953"/>
      <c r="WXO108" s="953"/>
      <c r="WXP108" s="953"/>
      <c r="WXQ108" s="953"/>
      <c r="WXR108" s="953"/>
      <c r="WXS108" s="953"/>
      <c r="WXT108" s="953"/>
      <c r="WXU108" s="953"/>
      <c r="WXV108" s="953"/>
      <c r="WXW108" s="953"/>
      <c r="WXX108" s="953"/>
      <c r="WXY108" s="953"/>
      <c r="WXZ108" s="953"/>
      <c r="WYA108" s="953"/>
      <c r="WYB108" s="953"/>
      <c r="WYC108" s="953"/>
      <c r="WYD108" s="953"/>
      <c r="WYE108" s="953"/>
      <c r="WYF108" s="953"/>
      <c r="WYG108" s="953"/>
      <c r="WYH108" s="953"/>
      <c r="WYI108" s="953"/>
      <c r="WYJ108" s="953"/>
      <c r="WYK108" s="953"/>
      <c r="WYL108" s="953"/>
      <c r="WYM108" s="953"/>
      <c r="WYN108" s="953"/>
      <c r="WYO108" s="953"/>
      <c r="WYP108" s="953"/>
      <c r="WYQ108" s="953"/>
      <c r="WYR108" s="953"/>
      <c r="WYS108" s="953"/>
      <c r="WYT108" s="953"/>
      <c r="WYU108" s="953"/>
      <c r="WYV108" s="953"/>
      <c r="WYW108" s="953"/>
      <c r="WYX108" s="953"/>
      <c r="WYY108" s="953"/>
      <c r="WYZ108" s="953"/>
      <c r="WZA108" s="953"/>
      <c r="WZB108" s="953"/>
      <c r="WZC108" s="953"/>
      <c r="WZD108" s="953"/>
      <c r="WZE108" s="953"/>
      <c r="WZF108" s="953"/>
      <c r="WZG108" s="953"/>
      <c r="WZH108" s="953"/>
      <c r="WZI108" s="953"/>
      <c r="WZJ108" s="953"/>
      <c r="WZK108" s="953"/>
      <c r="WZL108" s="953"/>
      <c r="WZM108" s="953"/>
      <c r="WZN108" s="953"/>
      <c r="WZO108" s="953"/>
      <c r="WZP108" s="953"/>
      <c r="WZQ108" s="953"/>
      <c r="WZR108" s="953"/>
      <c r="WZS108" s="953"/>
      <c r="WZT108" s="953"/>
      <c r="WZU108" s="953"/>
      <c r="WZV108" s="953"/>
      <c r="WZW108" s="953"/>
      <c r="WZX108" s="953"/>
      <c r="WZY108" s="953"/>
      <c r="WZZ108" s="953"/>
      <c r="XAA108" s="953"/>
      <c r="XAB108" s="953"/>
      <c r="XAC108" s="953"/>
      <c r="XAD108" s="953"/>
      <c r="XAE108" s="953"/>
      <c r="XAF108" s="953"/>
      <c r="XAG108" s="953"/>
      <c r="XAH108" s="953"/>
      <c r="XAI108" s="953"/>
      <c r="XAJ108" s="953"/>
      <c r="XAK108" s="953"/>
      <c r="XAL108" s="953"/>
      <c r="XAM108" s="953"/>
      <c r="XAN108" s="953"/>
      <c r="XAO108" s="953"/>
      <c r="XAP108" s="953"/>
      <c r="XAQ108" s="953"/>
      <c r="XAR108" s="953"/>
      <c r="XAS108" s="953"/>
      <c r="XAT108" s="953"/>
      <c r="XAU108" s="953"/>
      <c r="XAV108" s="953"/>
      <c r="XAW108" s="953"/>
      <c r="XAX108" s="953"/>
      <c r="XAY108" s="953"/>
      <c r="XAZ108" s="953"/>
      <c r="XBA108" s="953"/>
      <c r="XBB108" s="953"/>
      <c r="XBC108" s="953"/>
      <c r="XBD108" s="953"/>
      <c r="XBE108" s="953"/>
      <c r="XBF108" s="953"/>
      <c r="XBG108" s="953"/>
      <c r="XBH108" s="953"/>
      <c r="XBI108" s="953"/>
      <c r="XBJ108" s="953"/>
      <c r="XBK108" s="953"/>
      <c r="XBL108" s="953"/>
      <c r="XBM108" s="953"/>
      <c r="XBN108" s="953"/>
      <c r="XBO108" s="953"/>
      <c r="XBP108" s="953"/>
      <c r="XBQ108" s="953"/>
      <c r="XBR108" s="953"/>
      <c r="XBS108" s="953"/>
      <c r="XBT108" s="953"/>
      <c r="XBU108" s="953"/>
      <c r="XBV108" s="953"/>
      <c r="XBW108" s="953"/>
      <c r="XBX108" s="953"/>
      <c r="XBY108" s="953"/>
      <c r="XBZ108" s="953"/>
      <c r="XCA108" s="953"/>
      <c r="XCB108" s="953"/>
      <c r="XCC108" s="953"/>
      <c r="XCD108" s="953"/>
      <c r="XCE108" s="953"/>
      <c r="XCF108" s="953"/>
      <c r="XCG108" s="953"/>
      <c r="XCH108" s="953"/>
      <c r="XCI108" s="953"/>
      <c r="XCJ108" s="953"/>
      <c r="XCK108" s="953"/>
      <c r="XCL108" s="953"/>
      <c r="XCM108" s="953"/>
      <c r="XCN108" s="953"/>
      <c r="XCO108" s="953"/>
      <c r="XCP108" s="953"/>
      <c r="XCQ108" s="953"/>
      <c r="XCR108" s="953"/>
      <c r="XCS108" s="953"/>
      <c r="XCT108" s="953"/>
      <c r="XCU108" s="953"/>
      <c r="XCV108" s="953"/>
      <c r="XCW108" s="953"/>
      <c r="XCX108" s="953"/>
      <c r="XCY108" s="953"/>
      <c r="XCZ108" s="953"/>
      <c r="XDA108" s="953"/>
      <c r="XDB108" s="953"/>
      <c r="XDC108" s="953"/>
      <c r="XDD108" s="953"/>
      <c r="XDE108" s="953"/>
      <c r="XDF108" s="953"/>
      <c r="XDG108" s="953"/>
      <c r="XDH108" s="953"/>
      <c r="XDI108" s="953"/>
      <c r="XDJ108" s="953"/>
      <c r="XDK108" s="953"/>
      <c r="XDL108" s="953"/>
      <c r="XDM108" s="953"/>
      <c r="XDN108" s="953"/>
      <c r="XDO108" s="953"/>
      <c r="XDP108" s="953"/>
      <c r="XDQ108" s="953"/>
      <c r="XDR108" s="953"/>
      <c r="XDS108" s="953"/>
      <c r="XDT108" s="953"/>
      <c r="XDU108" s="953"/>
      <c r="XDV108" s="953"/>
      <c r="XDW108" s="953"/>
      <c r="XDX108" s="953"/>
      <c r="XDY108" s="953"/>
      <c r="XDZ108" s="953"/>
      <c r="XEA108" s="953"/>
      <c r="XEB108" s="953"/>
      <c r="XEC108" s="953"/>
      <c r="XED108" s="953"/>
      <c r="XEE108" s="953"/>
      <c r="XEF108" s="953"/>
      <c r="XEG108" s="953"/>
      <c r="XEH108" s="953"/>
      <c r="XEI108" s="953"/>
      <c r="XEJ108" s="953"/>
      <c r="XEK108" s="953"/>
      <c r="XEL108" s="953"/>
      <c r="XEM108" s="953"/>
      <c r="XEN108" s="953"/>
      <c r="XEO108" s="953"/>
      <c r="XEP108" s="953"/>
      <c r="XEQ108" s="953"/>
      <c r="XER108" s="953"/>
      <c r="XES108" s="953"/>
      <c r="XET108" s="953"/>
      <c r="XEU108" s="953"/>
      <c r="XEV108" s="953"/>
      <c r="XEW108" s="953"/>
      <c r="XEX108" s="953"/>
      <c r="XEY108" s="953"/>
      <c r="XEZ108" s="953"/>
      <c r="XFA108" s="953"/>
      <c r="XFB108" s="953"/>
      <c r="XFC108" s="953"/>
      <c r="XFD108" s="953"/>
    </row>
    <row r="109" spans="1:16384" x14ac:dyDescent="0.25">
      <c r="H109" s="963"/>
      <c r="I109" s="963"/>
      <c r="J109" s="963"/>
      <c r="K109" s="963"/>
      <c r="L109" s="963"/>
      <c r="M109" s="963"/>
      <c r="N109" s="963"/>
      <c r="O109" s="963"/>
      <c r="P109" s="963"/>
      <c r="Q109" s="963"/>
      <c r="R109" s="963"/>
      <c r="S109" s="963"/>
      <c r="T109" s="963"/>
      <c r="U109" s="963"/>
      <c r="V109" s="963"/>
      <c r="W109" s="963"/>
      <c r="X109" s="963"/>
      <c r="Y109" s="963"/>
      <c r="Z109" s="963"/>
      <c r="AA109" s="963"/>
      <c r="AB109" s="963"/>
      <c r="AC109" s="963"/>
      <c r="AD109" s="963"/>
      <c r="AE109" s="963"/>
      <c r="AF109" s="963"/>
      <c r="AG109" s="963"/>
    </row>
    <row r="110" spans="1:16384" x14ac:dyDescent="0.25">
      <c r="B110" s="924"/>
      <c r="C110" s="907" t="s">
        <v>160</v>
      </c>
      <c r="D110" s="907"/>
      <c r="E110" s="907"/>
      <c r="F110" s="907"/>
      <c r="G110" s="907"/>
      <c r="H110" s="903"/>
      <c r="I110" s="903"/>
      <c r="J110" s="903"/>
      <c r="K110" s="903"/>
      <c r="L110" s="903"/>
      <c r="M110" s="903"/>
      <c r="N110" s="903"/>
      <c r="O110" s="903"/>
      <c r="P110" s="903"/>
      <c r="Q110" s="903"/>
      <c r="R110" s="903"/>
      <c r="S110" s="903"/>
      <c r="T110" s="903"/>
      <c r="U110" s="903"/>
      <c r="V110" s="903"/>
      <c r="W110" s="903"/>
      <c r="X110" s="903"/>
      <c r="Y110" s="903"/>
      <c r="Z110" s="903"/>
      <c r="AA110" s="903"/>
      <c r="AB110" s="903"/>
      <c r="AC110" s="903"/>
      <c r="AD110" s="903"/>
      <c r="AE110" s="903"/>
      <c r="AF110" s="903"/>
      <c r="AG110" s="903"/>
      <c r="AH110" s="903"/>
      <c r="AI110" s="903"/>
      <c r="AJ110" s="903"/>
      <c r="AK110" s="903"/>
      <c r="AL110" s="903"/>
      <c r="AM110" s="903"/>
      <c r="AN110" s="903"/>
      <c r="AO110" s="903"/>
      <c r="AP110" s="903"/>
      <c r="AQ110" s="903"/>
      <c r="AR110" s="903"/>
      <c r="AS110" s="903"/>
      <c r="AT110" s="903"/>
      <c r="AU110" s="903"/>
      <c r="AV110" s="903"/>
      <c r="AW110" s="903"/>
      <c r="AX110" s="903"/>
      <c r="AY110" s="903"/>
      <c r="AZ110" s="903"/>
      <c r="BA110" s="903"/>
      <c r="BB110" s="903"/>
      <c r="BC110" s="903"/>
      <c r="BD110" s="903"/>
      <c r="BE110" s="903"/>
      <c r="BF110" s="903"/>
      <c r="BG110" s="903"/>
      <c r="BH110" s="903"/>
      <c r="BI110" s="903"/>
      <c r="BJ110" s="903"/>
      <c r="BK110" s="903"/>
      <c r="BL110" s="903"/>
      <c r="BM110" s="903"/>
      <c r="BN110" s="903"/>
      <c r="BO110" s="903"/>
      <c r="BP110" s="903"/>
      <c r="BQ110" s="903"/>
      <c r="BR110" s="903"/>
      <c r="BS110" s="903"/>
      <c r="BT110" s="903"/>
      <c r="BU110" s="903"/>
      <c r="BV110" s="903"/>
      <c r="BW110" s="903"/>
      <c r="BX110" s="903"/>
      <c r="BY110" s="903"/>
      <c r="BZ110" s="903"/>
      <c r="CA110" s="903"/>
      <c r="CB110" s="903"/>
      <c r="CC110" s="903"/>
      <c r="CD110" s="957"/>
      <c r="CE110" s="957"/>
      <c r="CF110" s="957"/>
      <c r="CG110" s="957"/>
      <c r="CH110" s="957"/>
      <c r="CI110" s="957"/>
      <c r="CJ110" s="957"/>
      <c r="CK110" s="957"/>
      <c r="CL110" s="957"/>
      <c r="CM110" s="957"/>
      <c r="CN110" s="957"/>
      <c r="CO110" s="957"/>
      <c r="CP110" s="957"/>
      <c r="CQ110" s="957"/>
      <c r="CR110" s="957"/>
      <c r="CS110" s="957"/>
      <c r="CT110" s="957"/>
      <c r="CU110" s="957"/>
      <c r="CV110" s="957"/>
      <c r="CW110" s="957"/>
      <c r="CX110" s="957"/>
      <c r="CY110" s="957"/>
      <c r="CZ110" s="957"/>
      <c r="DA110" s="957"/>
      <c r="DB110" s="957"/>
      <c r="DC110" s="957"/>
      <c r="DD110" s="957"/>
      <c r="DE110" s="957"/>
      <c r="DF110" s="957"/>
      <c r="DG110" s="957"/>
      <c r="DH110" s="957"/>
      <c r="DI110" s="957"/>
      <c r="DJ110" s="957"/>
      <c r="DK110" s="957"/>
      <c r="DL110" s="957"/>
      <c r="DM110" s="957"/>
      <c r="DN110" s="957"/>
      <c r="DO110" s="957"/>
      <c r="DP110" s="957"/>
      <c r="DQ110" s="957"/>
      <c r="DR110" s="957"/>
      <c r="DS110" s="957"/>
      <c r="DT110" s="957"/>
      <c r="DU110" s="957"/>
      <c r="DV110" s="957"/>
      <c r="DW110" s="957"/>
      <c r="DX110" s="957"/>
      <c r="DY110" s="957"/>
      <c r="DZ110" s="957"/>
      <c r="EA110" s="957"/>
      <c r="EB110" s="957"/>
      <c r="EC110" s="957"/>
      <c r="ED110" s="957"/>
      <c r="EE110" s="957"/>
      <c r="EF110" s="957"/>
      <c r="EG110" s="957"/>
      <c r="EH110" s="957"/>
      <c r="EI110" s="957"/>
      <c r="EJ110" s="957"/>
      <c r="EK110" s="957"/>
      <c r="EL110" s="957"/>
      <c r="EM110" s="957"/>
      <c r="EN110" s="957"/>
      <c r="EO110" s="957"/>
      <c r="EP110" s="957"/>
      <c r="EQ110" s="957"/>
      <c r="ER110" s="957"/>
      <c r="ES110" s="957"/>
      <c r="ET110" s="957"/>
      <c r="EU110" s="957"/>
      <c r="EV110" s="957"/>
      <c r="EW110" s="957"/>
      <c r="EX110" s="957"/>
      <c r="EY110" s="957"/>
      <c r="EZ110" s="957"/>
      <c r="FA110" s="957"/>
      <c r="FB110" s="957"/>
      <c r="FC110" s="957"/>
      <c r="FD110" s="957"/>
      <c r="FE110" s="957"/>
      <c r="FF110" s="957"/>
      <c r="FG110" s="957"/>
      <c r="FH110" s="957"/>
      <c r="FI110" s="957"/>
      <c r="FJ110" s="957"/>
      <c r="FK110" s="957"/>
      <c r="FL110" s="957"/>
      <c r="FM110" s="957"/>
      <c r="FN110" s="957"/>
      <c r="FO110" s="957"/>
      <c r="FP110" s="957"/>
      <c r="FQ110" s="957"/>
      <c r="FR110" s="957"/>
      <c r="FS110" s="957"/>
      <c r="FT110" s="957"/>
      <c r="FU110" s="957"/>
      <c r="FV110" s="957"/>
      <c r="FW110" s="957"/>
      <c r="FX110" s="957"/>
      <c r="FY110" s="957"/>
      <c r="FZ110" s="957"/>
      <c r="GA110" s="957"/>
      <c r="GB110" s="957"/>
      <c r="GC110" s="957"/>
      <c r="GD110" s="957"/>
      <c r="GE110" s="957"/>
      <c r="GF110" s="957"/>
      <c r="GG110" s="957"/>
      <c r="GH110" s="957"/>
      <c r="GI110" s="957"/>
      <c r="GJ110" s="957"/>
      <c r="GK110" s="957"/>
      <c r="GL110" s="957"/>
      <c r="GM110" s="957"/>
      <c r="GN110" s="957"/>
      <c r="GO110" s="957"/>
      <c r="GP110" s="957"/>
      <c r="GQ110" s="957"/>
      <c r="GR110" s="957"/>
      <c r="GS110" s="957"/>
      <c r="GT110" s="957"/>
      <c r="GU110" s="957"/>
      <c r="GV110" s="957"/>
      <c r="GW110" s="957"/>
      <c r="GX110" s="957"/>
      <c r="GY110" s="957"/>
      <c r="GZ110" s="957"/>
      <c r="HA110" s="957"/>
      <c r="HB110" s="957"/>
      <c r="HC110" s="957"/>
      <c r="HD110" s="957"/>
      <c r="HE110" s="957"/>
      <c r="HF110" s="957"/>
      <c r="HG110" s="957"/>
      <c r="HH110" s="957"/>
      <c r="HI110" s="957"/>
      <c r="HJ110" s="957"/>
      <c r="HK110" s="957"/>
      <c r="HL110" s="957"/>
      <c r="HM110" s="957"/>
      <c r="HN110" s="957"/>
      <c r="HO110" s="957"/>
      <c r="HP110" s="957"/>
      <c r="HQ110" s="957"/>
      <c r="HR110" s="957"/>
      <c r="HS110" s="957"/>
      <c r="HT110" s="957"/>
      <c r="HU110" s="957"/>
      <c r="HV110" s="957"/>
      <c r="HW110" s="957"/>
      <c r="HX110" s="957"/>
      <c r="HY110" s="957"/>
      <c r="HZ110" s="957"/>
      <c r="IA110" s="957"/>
      <c r="IB110" s="957"/>
      <c r="IC110" s="957"/>
      <c r="ID110" s="957"/>
      <c r="IE110" s="957"/>
      <c r="IF110" s="957"/>
      <c r="IG110" s="957"/>
      <c r="IH110" s="957"/>
      <c r="II110" s="957"/>
      <c r="IJ110" s="957"/>
      <c r="IK110" s="957"/>
      <c r="IL110" s="957"/>
      <c r="IM110" s="957"/>
      <c r="IN110" s="957"/>
      <c r="IO110" s="957"/>
      <c r="IP110" s="957"/>
      <c r="IQ110" s="957"/>
      <c r="IR110" s="957"/>
      <c r="IS110" s="957"/>
      <c r="IT110" s="957"/>
      <c r="IU110" s="957"/>
      <c r="IV110" s="957"/>
      <c r="IW110" s="957"/>
      <c r="IX110" s="957"/>
      <c r="IY110" s="957"/>
      <c r="IZ110" s="957"/>
      <c r="JA110" s="957"/>
      <c r="JB110" s="957"/>
      <c r="JC110" s="957"/>
      <c r="JD110" s="957"/>
      <c r="JE110" s="957"/>
      <c r="JF110" s="957"/>
      <c r="JG110" s="957"/>
      <c r="JH110" s="957"/>
      <c r="JI110" s="957"/>
      <c r="JJ110" s="957"/>
      <c r="JK110" s="957"/>
      <c r="JL110" s="957"/>
      <c r="JM110" s="957"/>
      <c r="JN110" s="957"/>
      <c r="JO110" s="957"/>
      <c r="JP110" s="957"/>
      <c r="JQ110" s="957"/>
      <c r="JR110" s="957"/>
      <c r="JS110" s="957"/>
      <c r="JT110" s="957"/>
      <c r="JU110" s="957"/>
      <c r="JV110" s="957"/>
      <c r="JW110" s="957"/>
      <c r="JX110" s="957"/>
      <c r="JY110" s="957"/>
      <c r="JZ110" s="957"/>
      <c r="KA110" s="957"/>
      <c r="KB110" s="957"/>
      <c r="KC110" s="957"/>
      <c r="KD110" s="957"/>
      <c r="KE110" s="957"/>
      <c r="KF110" s="957"/>
      <c r="KG110" s="957"/>
      <c r="KH110" s="957"/>
      <c r="KI110" s="957"/>
      <c r="KJ110" s="957"/>
      <c r="KK110" s="957"/>
      <c r="KL110" s="957"/>
      <c r="KM110" s="957"/>
      <c r="KN110" s="957"/>
      <c r="KO110" s="957"/>
      <c r="KP110" s="957"/>
      <c r="KQ110" s="957"/>
      <c r="KR110" s="957"/>
      <c r="KS110" s="957"/>
      <c r="KT110" s="957"/>
      <c r="KU110" s="957"/>
      <c r="KV110" s="957"/>
      <c r="KW110" s="957"/>
      <c r="KX110" s="957"/>
      <c r="KY110" s="957"/>
      <c r="KZ110" s="957"/>
      <c r="LA110" s="957"/>
      <c r="LB110" s="957"/>
      <c r="LC110" s="957"/>
      <c r="LD110" s="957"/>
      <c r="LE110" s="957"/>
      <c r="LF110" s="957"/>
      <c r="LG110" s="957"/>
      <c r="LH110" s="957"/>
      <c r="LI110" s="957"/>
      <c r="LJ110" s="957"/>
      <c r="LK110" s="957"/>
      <c r="LL110" s="957"/>
      <c r="LM110" s="957"/>
      <c r="LN110" s="957"/>
      <c r="LO110" s="957"/>
      <c r="LP110" s="957"/>
      <c r="LQ110" s="957"/>
      <c r="LR110" s="957"/>
      <c r="LS110" s="957"/>
      <c r="LT110" s="957"/>
      <c r="LU110" s="957"/>
      <c r="LV110" s="957"/>
      <c r="LW110" s="957"/>
      <c r="LX110" s="957"/>
      <c r="LY110" s="957"/>
      <c r="LZ110" s="957"/>
      <c r="MA110" s="957"/>
      <c r="MB110" s="957"/>
      <c r="MC110" s="957"/>
      <c r="MD110" s="957"/>
      <c r="ME110" s="957"/>
      <c r="MF110" s="957"/>
      <c r="MG110" s="957"/>
      <c r="MH110" s="957"/>
      <c r="MI110" s="957"/>
      <c r="MJ110" s="957"/>
      <c r="MK110" s="957"/>
      <c r="ML110" s="957"/>
      <c r="MM110" s="957"/>
      <c r="MN110" s="957"/>
      <c r="MO110" s="957"/>
      <c r="MP110" s="957"/>
      <c r="MQ110" s="957"/>
      <c r="MR110" s="957"/>
      <c r="MS110" s="957"/>
      <c r="MT110" s="957"/>
      <c r="MU110" s="957"/>
      <c r="MV110" s="957"/>
      <c r="MW110" s="957"/>
      <c r="MX110" s="957"/>
      <c r="MY110" s="957"/>
      <c r="MZ110" s="957"/>
      <c r="NA110" s="957"/>
      <c r="NB110" s="957"/>
      <c r="NC110" s="957"/>
      <c r="ND110" s="957"/>
      <c r="NE110" s="957"/>
      <c r="NF110" s="957"/>
      <c r="NG110" s="957"/>
      <c r="NH110" s="957"/>
      <c r="NI110" s="957"/>
      <c r="NJ110" s="957"/>
      <c r="NK110" s="957"/>
      <c r="NL110" s="957"/>
      <c r="NM110" s="957"/>
      <c r="NN110" s="957"/>
      <c r="NO110" s="957"/>
      <c r="NP110" s="957"/>
      <c r="NQ110" s="957"/>
      <c r="NR110" s="957"/>
      <c r="NS110" s="957"/>
      <c r="NT110" s="957"/>
      <c r="NU110" s="957"/>
      <c r="NV110" s="957"/>
      <c r="NW110" s="957"/>
      <c r="NX110" s="957"/>
      <c r="NY110" s="957"/>
      <c r="NZ110" s="957"/>
      <c r="OA110" s="957"/>
      <c r="OB110" s="957"/>
      <c r="OC110" s="957"/>
      <c r="OD110" s="957"/>
      <c r="OE110" s="957"/>
      <c r="OF110" s="957"/>
      <c r="OG110" s="957"/>
      <c r="OH110" s="957"/>
      <c r="OI110" s="957"/>
      <c r="OJ110" s="957"/>
      <c r="OK110" s="957"/>
      <c r="OL110" s="957"/>
      <c r="OM110" s="957"/>
      <c r="ON110" s="957"/>
      <c r="OO110" s="957"/>
      <c r="OP110" s="957"/>
      <c r="OQ110" s="957"/>
      <c r="OR110" s="957"/>
      <c r="OS110" s="957"/>
      <c r="OT110" s="957"/>
      <c r="OU110" s="957"/>
      <c r="OV110" s="957"/>
      <c r="OW110" s="957"/>
      <c r="OX110" s="957"/>
      <c r="OY110" s="957"/>
      <c r="OZ110" s="957"/>
      <c r="PA110" s="957"/>
      <c r="PB110" s="957"/>
      <c r="PC110" s="957"/>
      <c r="PD110" s="957"/>
      <c r="PE110" s="957"/>
      <c r="PF110" s="957"/>
      <c r="PG110" s="957"/>
      <c r="PH110" s="957"/>
      <c r="PI110" s="957"/>
      <c r="PJ110" s="957"/>
      <c r="PK110" s="957"/>
      <c r="PL110" s="957"/>
      <c r="PM110" s="957"/>
      <c r="PN110" s="957"/>
      <c r="PO110" s="957"/>
      <c r="PP110" s="957"/>
      <c r="PQ110" s="957"/>
      <c r="PR110" s="957"/>
      <c r="PS110" s="957"/>
      <c r="PT110" s="957"/>
      <c r="PU110" s="957"/>
      <c r="PV110" s="957"/>
      <c r="PW110" s="957"/>
      <c r="PX110" s="957"/>
      <c r="PY110" s="957"/>
      <c r="PZ110" s="957"/>
      <c r="QA110" s="957"/>
      <c r="QB110" s="957"/>
      <c r="QC110" s="957"/>
      <c r="QD110" s="957"/>
      <c r="QE110" s="957"/>
      <c r="QF110" s="957"/>
      <c r="QG110" s="957"/>
      <c r="QH110" s="957"/>
      <c r="QI110" s="957"/>
      <c r="QJ110" s="957"/>
      <c r="QK110" s="957"/>
      <c r="QL110" s="957"/>
      <c r="QM110" s="957"/>
      <c r="QN110" s="957"/>
      <c r="QO110" s="957"/>
      <c r="QP110" s="957"/>
      <c r="QQ110" s="957"/>
      <c r="QR110" s="957"/>
      <c r="QS110" s="957"/>
      <c r="QT110" s="957"/>
      <c r="QU110" s="957"/>
      <c r="QV110" s="957"/>
      <c r="QW110" s="957"/>
      <c r="QX110" s="957"/>
      <c r="QY110" s="957"/>
      <c r="QZ110" s="957"/>
      <c r="RA110" s="957"/>
      <c r="RB110" s="957"/>
      <c r="RC110" s="957"/>
      <c r="RD110" s="957"/>
      <c r="RE110" s="957"/>
      <c r="RF110" s="957"/>
      <c r="RG110" s="957"/>
      <c r="RH110" s="957"/>
      <c r="RI110" s="957"/>
      <c r="RJ110" s="957"/>
      <c r="RK110" s="957"/>
      <c r="RL110" s="957"/>
      <c r="RM110" s="957"/>
      <c r="RN110" s="957"/>
      <c r="RO110" s="957"/>
      <c r="RP110" s="957"/>
      <c r="RQ110" s="957"/>
      <c r="RR110" s="957"/>
      <c r="RS110" s="957"/>
      <c r="RT110" s="957"/>
      <c r="RU110" s="957"/>
      <c r="RV110" s="957"/>
      <c r="RW110" s="957"/>
      <c r="RX110" s="957"/>
      <c r="RY110" s="957"/>
      <c r="RZ110" s="957"/>
      <c r="SA110" s="957"/>
      <c r="SB110" s="957"/>
      <c r="SC110" s="957"/>
      <c r="SD110" s="957"/>
      <c r="SE110" s="957"/>
      <c r="SF110" s="957"/>
      <c r="SG110" s="957"/>
      <c r="SH110" s="957"/>
      <c r="SI110" s="957"/>
      <c r="SJ110" s="957"/>
      <c r="SK110" s="957"/>
      <c r="SL110" s="957"/>
      <c r="SM110" s="957"/>
      <c r="SN110" s="957"/>
      <c r="SO110" s="957"/>
      <c r="SP110" s="957"/>
      <c r="SQ110" s="957"/>
      <c r="SR110" s="957"/>
      <c r="SS110" s="957"/>
      <c r="ST110" s="957"/>
      <c r="SU110" s="957"/>
      <c r="SV110" s="957"/>
      <c r="SW110" s="957"/>
      <c r="SX110" s="957"/>
      <c r="SY110" s="957"/>
      <c r="SZ110" s="957"/>
      <c r="TA110" s="957"/>
      <c r="TB110" s="957"/>
      <c r="TC110" s="957"/>
      <c r="TD110" s="957"/>
      <c r="TE110" s="957"/>
      <c r="TF110" s="957"/>
      <c r="TG110" s="957"/>
      <c r="TH110" s="957"/>
      <c r="TI110" s="957"/>
      <c r="TJ110" s="957"/>
      <c r="TK110" s="957"/>
      <c r="TL110" s="957"/>
      <c r="TM110" s="957"/>
      <c r="TN110" s="957"/>
      <c r="TO110" s="957"/>
      <c r="TP110" s="957"/>
      <c r="TQ110" s="957"/>
      <c r="TR110" s="957"/>
      <c r="TS110" s="957"/>
      <c r="TT110" s="957"/>
      <c r="TU110" s="957"/>
      <c r="TV110" s="957"/>
      <c r="TW110" s="957"/>
      <c r="TX110" s="957"/>
      <c r="TY110" s="957"/>
      <c r="TZ110" s="957"/>
      <c r="UA110" s="957"/>
      <c r="UB110" s="957"/>
      <c r="UC110" s="957"/>
      <c r="UD110" s="957"/>
      <c r="UE110" s="957"/>
      <c r="UF110" s="957"/>
      <c r="UG110" s="957"/>
      <c r="UH110" s="957"/>
      <c r="UI110" s="957"/>
      <c r="UJ110" s="957"/>
      <c r="UK110" s="957"/>
      <c r="UL110" s="957"/>
      <c r="UM110" s="957"/>
      <c r="UN110" s="957"/>
      <c r="UO110" s="957"/>
      <c r="UP110" s="957"/>
      <c r="UQ110" s="957"/>
      <c r="UR110" s="957"/>
      <c r="US110" s="957"/>
      <c r="UT110" s="957"/>
      <c r="UU110" s="957"/>
      <c r="UV110" s="957"/>
      <c r="UW110" s="957"/>
      <c r="UX110" s="957"/>
      <c r="UY110" s="957"/>
      <c r="UZ110" s="957"/>
      <c r="VA110" s="957"/>
      <c r="VB110" s="957"/>
      <c r="VC110" s="957"/>
      <c r="VD110" s="957"/>
      <c r="VE110" s="957"/>
      <c r="VF110" s="957"/>
      <c r="VG110" s="957"/>
      <c r="VH110" s="957"/>
      <c r="VI110" s="957"/>
      <c r="VJ110" s="957"/>
      <c r="VK110" s="957"/>
      <c r="VL110" s="957"/>
      <c r="VM110" s="957"/>
      <c r="VN110" s="957"/>
      <c r="VO110" s="957"/>
      <c r="VP110" s="957"/>
      <c r="VQ110" s="957"/>
      <c r="VR110" s="957"/>
      <c r="VS110" s="957"/>
      <c r="VT110" s="957"/>
      <c r="VU110" s="957"/>
      <c r="VV110" s="957"/>
      <c r="VW110" s="957"/>
      <c r="VX110" s="957"/>
      <c r="VY110" s="957"/>
      <c r="VZ110" s="957"/>
      <c r="WA110" s="957"/>
      <c r="WB110" s="957"/>
      <c r="WC110" s="957"/>
      <c r="WD110" s="957"/>
      <c r="WE110" s="957"/>
      <c r="WF110" s="957"/>
      <c r="WG110" s="957"/>
      <c r="WH110" s="957"/>
      <c r="WI110" s="957"/>
      <c r="WJ110" s="957"/>
      <c r="WK110" s="957"/>
      <c r="WL110" s="957"/>
      <c r="WM110" s="957"/>
      <c r="WN110" s="957"/>
      <c r="WO110" s="957"/>
      <c r="WP110" s="957"/>
      <c r="WQ110" s="957"/>
      <c r="WR110" s="957"/>
      <c r="WS110" s="957"/>
      <c r="WT110" s="957"/>
      <c r="WU110" s="957"/>
      <c r="WV110" s="957"/>
      <c r="WW110" s="957"/>
      <c r="WX110" s="957"/>
      <c r="WY110" s="957"/>
      <c r="WZ110" s="957"/>
      <c r="XA110" s="957"/>
      <c r="XB110" s="957"/>
      <c r="XC110" s="957"/>
      <c r="XD110" s="957"/>
      <c r="XE110" s="957"/>
      <c r="XF110" s="957"/>
      <c r="XG110" s="957"/>
      <c r="XH110" s="957"/>
      <c r="XI110" s="957"/>
      <c r="XJ110" s="957"/>
      <c r="XK110" s="957"/>
      <c r="XL110" s="957"/>
      <c r="XM110" s="957"/>
      <c r="XN110" s="957"/>
      <c r="XO110" s="957"/>
      <c r="XP110" s="957"/>
      <c r="XQ110" s="957"/>
      <c r="XR110" s="957"/>
      <c r="XS110" s="957"/>
      <c r="XT110" s="957"/>
      <c r="XU110" s="957"/>
      <c r="XV110" s="957"/>
      <c r="XW110" s="957"/>
      <c r="XX110" s="957"/>
      <c r="XY110" s="957"/>
      <c r="XZ110" s="957"/>
      <c r="YA110" s="957"/>
      <c r="YB110" s="957"/>
      <c r="YC110" s="957"/>
      <c r="YD110" s="957"/>
      <c r="YE110" s="957"/>
      <c r="YF110" s="957"/>
      <c r="YG110" s="957"/>
      <c r="YH110" s="957"/>
      <c r="YI110" s="957"/>
      <c r="YJ110" s="957"/>
      <c r="YK110" s="957"/>
      <c r="YL110" s="957"/>
      <c r="YM110" s="957"/>
      <c r="YN110" s="957"/>
      <c r="YO110" s="957"/>
      <c r="YP110" s="957"/>
      <c r="YQ110" s="957"/>
      <c r="YR110" s="957"/>
      <c r="YS110" s="957"/>
      <c r="YT110" s="957"/>
      <c r="YU110" s="957"/>
      <c r="YV110" s="957"/>
      <c r="YW110" s="957"/>
      <c r="YX110" s="957"/>
      <c r="YY110" s="957"/>
      <c r="YZ110" s="957"/>
      <c r="ZA110" s="957"/>
      <c r="ZB110" s="957"/>
      <c r="ZC110" s="957"/>
      <c r="ZD110" s="957"/>
      <c r="ZE110" s="957"/>
      <c r="ZF110" s="957"/>
      <c r="ZG110" s="957"/>
      <c r="ZH110" s="957"/>
      <c r="ZI110" s="957"/>
      <c r="ZJ110" s="957"/>
      <c r="ZK110" s="957"/>
      <c r="ZL110" s="957"/>
      <c r="ZM110" s="957"/>
      <c r="ZN110" s="957"/>
      <c r="ZO110" s="957"/>
      <c r="ZP110" s="957"/>
      <c r="ZQ110" s="957"/>
      <c r="ZR110" s="957"/>
      <c r="ZS110" s="957"/>
      <c r="ZT110" s="957"/>
      <c r="ZU110" s="957"/>
      <c r="ZV110" s="957"/>
      <c r="ZW110" s="957"/>
      <c r="ZX110" s="957"/>
      <c r="ZY110" s="957"/>
      <c r="ZZ110" s="957"/>
      <c r="AAA110" s="957"/>
      <c r="AAB110" s="957"/>
      <c r="AAC110" s="957"/>
      <c r="AAD110" s="957"/>
      <c r="AAE110" s="957"/>
      <c r="AAF110" s="957"/>
      <c r="AAG110" s="957"/>
      <c r="AAH110" s="957"/>
      <c r="AAI110" s="957"/>
      <c r="AAJ110" s="957"/>
      <c r="AAK110" s="957"/>
      <c r="AAL110" s="957"/>
      <c r="AAM110" s="957"/>
      <c r="AAN110" s="957"/>
      <c r="AAO110" s="957"/>
      <c r="AAP110" s="957"/>
      <c r="AAQ110" s="957"/>
      <c r="AAR110" s="957"/>
      <c r="AAS110" s="957"/>
      <c r="AAT110" s="957"/>
      <c r="AAU110" s="957"/>
      <c r="AAV110" s="957"/>
      <c r="AAW110" s="957"/>
      <c r="AAX110" s="957"/>
      <c r="AAY110" s="957"/>
      <c r="AAZ110" s="957"/>
      <c r="ABA110" s="957"/>
      <c r="ABB110" s="957"/>
      <c r="ABC110" s="957"/>
      <c r="ABD110" s="957"/>
      <c r="ABE110" s="957"/>
      <c r="ABF110" s="957"/>
      <c r="ABG110" s="957"/>
      <c r="ABH110" s="957"/>
      <c r="ABI110" s="957"/>
      <c r="ABJ110" s="957"/>
      <c r="ABK110" s="957"/>
      <c r="ABL110" s="957"/>
      <c r="ABM110" s="957"/>
      <c r="ABN110" s="957"/>
      <c r="ABO110" s="957"/>
      <c r="ABP110" s="957"/>
      <c r="ABQ110" s="957"/>
      <c r="ABR110" s="957"/>
      <c r="ABS110" s="957"/>
      <c r="ABT110" s="957"/>
      <c r="ABU110" s="957"/>
      <c r="ABV110" s="957"/>
      <c r="ABW110" s="957"/>
      <c r="ABX110" s="957"/>
      <c r="ABY110" s="957"/>
      <c r="ABZ110" s="957"/>
      <c r="ACA110" s="957"/>
      <c r="ACB110" s="957"/>
      <c r="ACC110" s="957"/>
      <c r="ACD110" s="957"/>
      <c r="ACE110" s="957"/>
      <c r="ACF110" s="957"/>
      <c r="ACG110" s="957"/>
      <c r="ACH110" s="957"/>
      <c r="ACI110" s="957"/>
      <c r="ACJ110" s="957"/>
      <c r="ACK110" s="957"/>
      <c r="ACL110" s="957"/>
      <c r="ACM110" s="957"/>
      <c r="ACN110" s="957"/>
      <c r="ACO110" s="957"/>
      <c r="ACP110" s="957"/>
      <c r="ACQ110" s="957"/>
      <c r="ACR110" s="957"/>
      <c r="ACS110" s="957"/>
      <c r="ACT110" s="957"/>
      <c r="ACU110" s="957"/>
      <c r="ACV110" s="957"/>
      <c r="ACW110" s="957"/>
      <c r="ACX110" s="957"/>
      <c r="ACY110" s="957"/>
      <c r="ACZ110" s="957"/>
      <c r="ADA110" s="957"/>
      <c r="ADB110" s="957"/>
      <c r="ADC110" s="957"/>
      <c r="ADD110" s="957"/>
      <c r="ADE110" s="957"/>
      <c r="ADF110" s="957"/>
      <c r="ADG110" s="957"/>
      <c r="ADH110" s="957"/>
      <c r="ADI110" s="957"/>
      <c r="ADJ110" s="957"/>
      <c r="ADK110" s="957"/>
      <c r="ADL110" s="957"/>
      <c r="ADM110" s="957"/>
      <c r="ADN110" s="957"/>
      <c r="ADO110" s="957"/>
      <c r="ADP110" s="957"/>
      <c r="ADQ110" s="957"/>
      <c r="ADR110" s="957"/>
      <c r="ADS110" s="957"/>
      <c r="ADT110" s="957"/>
      <c r="ADU110" s="957"/>
      <c r="ADV110" s="957"/>
      <c r="ADW110" s="957"/>
      <c r="ADX110" s="957"/>
      <c r="ADY110" s="957"/>
      <c r="ADZ110" s="957"/>
      <c r="AEA110" s="957"/>
      <c r="AEB110" s="957"/>
      <c r="AEC110" s="957"/>
      <c r="AED110" s="957"/>
      <c r="AEE110" s="957"/>
      <c r="AEF110" s="957"/>
      <c r="AEG110" s="957"/>
      <c r="AEH110" s="957"/>
      <c r="AEI110" s="957"/>
      <c r="AEJ110" s="957"/>
      <c r="AEK110" s="957"/>
      <c r="AEL110" s="957"/>
      <c r="AEM110" s="957"/>
      <c r="AEN110" s="957"/>
      <c r="AEO110" s="957"/>
      <c r="AEP110" s="957"/>
      <c r="AEQ110" s="957"/>
      <c r="AER110" s="957"/>
      <c r="AES110" s="957"/>
      <c r="AET110" s="957"/>
      <c r="AEU110" s="957"/>
      <c r="AEV110" s="957"/>
      <c r="AEW110" s="957"/>
      <c r="AEX110" s="957"/>
      <c r="AEY110" s="957"/>
      <c r="AEZ110" s="957"/>
      <c r="AFA110" s="957"/>
      <c r="AFB110" s="957"/>
      <c r="AFC110" s="957"/>
      <c r="AFD110" s="957"/>
      <c r="AFE110" s="957"/>
      <c r="AFF110" s="957"/>
      <c r="AFG110" s="957"/>
      <c r="AFH110" s="957"/>
      <c r="AFI110" s="957"/>
      <c r="AFJ110" s="957"/>
      <c r="AFK110" s="957"/>
      <c r="AFL110" s="957"/>
      <c r="AFM110" s="957"/>
      <c r="AFN110" s="957"/>
      <c r="AFO110" s="957"/>
      <c r="AFP110" s="957"/>
      <c r="AFQ110" s="957"/>
      <c r="AFR110" s="957"/>
      <c r="AFS110" s="957"/>
      <c r="AFT110" s="957"/>
      <c r="AFU110" s="957"/>
      <c r="AFV110" s="957"/>
      <c r="AFW110" s="957"/>
      <c r="AFX110" s="957"/>
      <c r="AFY110" s="957"/>
      <c r="AFZ110" s="957"/>
      <c r="AGA110" s="957"/>
      <c r="AGB110" s="957"/>
      <c r="AGC110" s="957"/>
      <c r="AGD110" s="957"/>
      <c r="AGE110" s="957"/>
      <c r="AGF110" s="957"/>
      <c r="AGG110" s="957"/>
      <c r="AGH110" s="957"/>
      <c r="AGI110" s="957"/>
      <c r="AGJ110" s="957"/>
      <c r="AGK110" s="957"/>
      <c r="AGL110" s="957"/>
      <c r="AGM110" s="957"/>
      <c r="AGN110" s="957"/>
      <c r="AGO110" s="957"/>
      <c r="AGP110" s="957"/>
      <c r="AGQ110" s="957"/>
      <c r="AGR110" s="957"/>
      <c r="AGS110" s="957"/>
      <c r="AGT110" s="957"/>
      <c r="AGU110" s="957"/>
      <c r="AGV110" s="957"/>
      <c r="AGW110" s="957"/>
      <c r="AGX110" s="957"/>
      <c r="AGY110" s="957"/>
      <c r="AGZ110" s="957"/>
      <c r="AHA110" s="957"/>
      <c r="AHB110" s="957"/>
      <c r="AHC110" s="957"/>
      <c r="AHD110" s="957"/>
      <c r="AHE110" s="957"/>
      <c r="AHF110" s="957"/>
      <c r="AHG110" s="957"/>
      <c r="AHH110" s="957"/>
      <c r="AHI110" s="957"/>
      <c r="AHJ110" s="957"/>
      <c r="AHK110" s="957"/>
      <c r="AHL110" s="957"/>
      <c r="AHM110" s="957"/>
      <c r="AHN110" s="957"/>
      <c r="AHO110" s="957"/>
      <c r="AHP110" s="957"/>
      <c r="AHQ110" s="957"/>
      <c r="AHR110" s="957"/>
      <c r="AHS110" s="957"/>
      <c r="AHT110" s="957"/>
      <c r="AHU110" s="957"/>
      <c r="AHV110" s="957"/>
      <c r="AHW110" s="957"/>
      <c r="AHX110" s="957"/>
      <c r="AHY110" s="957"/>
      <c r="AHZ110" s="957"/>
      <c r="AIA110" s="957"/>
      <c r="AIB110" s="957"/>
      <c r="AIC110" s="957"/>
      <c r="AID110" s="957"/>
      <c r="AIE110" s="957"/>
      <c r="AIF110" s="957"/>
      <c r="AIG110" s="957"/>
      <c r="AIH110" s="957"/>
      <c r="AII110" s="957"/>
      <c r="AIJ110" s="957"/>
      <c r="AIK110" s="957"/>
      <c r="AIL110" s="957"/>
      <c r="AIM110" s="957"/>
      <c r="AIN110" s="957"/>
      <c r="AIO110" s="957"/>
      <c r="AIP110" s="957"/>
      <c r="AIQ110" s="957"/>
      <c r="AIR110" s="957"/>
      <c r="AIS110" s="957"/>
      <c r="AIT110" s="957"/>
      <c r="AIU110" s="957"/>
      <c r="AIV110" s="957"/>
      <c r="AIW110" s="957"/>
      <c r="AIX110" s="957"/>
      <c r="AIY110" s="957"/>
      <c r="AIZ110" s="957"/>
      <c r="AJA110" s="957"/>
      <c r="AJB110" s="957"/>
      <c r="AJC110" s="957"/>
      <c r="AJD110" s="957"/>
      <c r="AJE110" s="957"/>
      <c r="AJF110" s="957"/>
      <c r="AJG110" s="957"/>
      <c r="AJH110" s="957"/>
      <c r="AJI110" s="957"/>
      <c r="AJJ110" s="957"/>
      <c r="AJK110" s="957"/>
      <c r="AJL110" s="957"/>
      <c r="AJM110" s="957"/>
      <c r="AJN110" s="957"/>
      <c r="AJO110" s="957"/>
      <c r="AJP110" s="957"/>
      <c r="AJQ110" s="957"/>
      <c r="AJR110" s="957"/>
      <c r="AJS110" s="957"/>
      <c r="AJT110" s="957"/>
      <c r="AJU110" s="957"/>
      <c r="AJV110" s="957"/>
      <c r="AJW110" s="957"/>
      <c r="AJX110" s="957"/>
      <c r="AJY110" s="957"/>
      <c r="AJZ110" s="957"/>
      <c r="AKA110" s="957"/>
      <c r="AKB110" s="957"/>
      <c r="AKC110" s="957"/>
      <c r="AKD110" s="957"/>
      <c r="AKE110" s="957"/>
      <c r="AKF110" s="957"/>
      <c r="AKG110" s="957"/>
      <c r="AKH110" s="957"/>
      <c r="AKI110" s="957"/>
      <c r="AKJ110" s="957"/>
      <c r="AKK110" s="957"/>
      <c r="AKL110" s="957"/>
      <c r="AKM110" s="957"/>
      <c r="AKN110" s="957"/>
      <c r="AKO110" s="957"/>
      <c r="AKP110" s="957"/>
      <c r="AKQ110" s="957"/>
      <c r="AKR110" s="957"/>
      <c r="AKS110" s="957"/>
      <c r="AKT110" s="957"/>
      <c r="AKU110" s="957"/>
      <c r="AKV110" s="957"/>
      <c r="AKW110" s="957"/>
      <c r="AKX110" s="957"/>
      <c r="AKY110" s="957"/>
      <c r="AKZ110" s="957"/>
      <c r="ALA110" s="957"/>
      <c r="ALB110" s="957"/>
      <c r="ALC110" s="957"/>
      <c r="ALD110" s="957"/>
      <c r="ALE110" s="957"/>
      <c r="ALF110" s="957"/>
      <c r="ALG110" s="957"/>
      <c r="ALH110" s="957"/>
      <c r="ALI110" s="957"/>
      <c r="ALJ110" s="957"/>
      <c r="ALK110" s="957"/>
      <c r="ALL110" s="957"/>
      <c r="ALM110" s="957"/>
      <c r="ALN110" s="957"/>
      <c r="ALO110" s="957"/>
      <c r="ALP110" s="957"/>
      <c r="ALQ110" s="957"/>
      <c r="ALR110" s="957"/>
      <c r="ALS110" s="957"/>
      <c r="ALT110" s="957"/>
      <c r="ALU110" s="957"/>
      <c r="ALV110" s="957"/>
      <c r="ALW110" s="957"/>
      <c r="ALX110" s="957"/>
      <c r="ALY110" s="957"/>
      <c r="ALZ110" s="957"/>
      <c r="AMA110" s="957"/>
      <c r="AMB110" s="957"/>
      <c r="AMC110" s="957"/>
      <c r="AMD110" s="957"/>
      <c r="AME110" s="957"/>
      <c r="AMF110" s="957"/>
      <c r="AMG110" s="957"/>
      <c r="AMH110" s="957"/>
      <c r="AMI110" s="957"/>
      <c r="AMJ110" s="957"/>
      <c r="AMK110" s="957"/>
      <c r="AML110" s="957"/>
      <c r="AMM110" s="957"/>
      <c r="AMN110" s="957"/>
      <c r="AMO110" s="957"/>
      <c r="AMP110" s="957"/>
      <c r="AMQ110" s="957"/>
      <c r="AMR110" s="957"/>
      <c r="AMS110" s="957"/>
      <c r="AMT110" s="957"/>
      <c r="AMU110" s="957"/>
      <c r="AMV110" s="957"/>
      <c r="AMW110" s="957"/>
      <c r="AMX110" s="957"/>
      <c r="AMY110" s="957"/>
      <c r="AMZ110" s="957"/>
      <c r="ANA110" s="957"/>
      <c r="ANB110" s="957"/>
      <c r="ANC110" s="957"/>
      <c r="AND110" s="957"/>
      <c r="ANE110" s="957"/>
      <c r="ANF110" s="957"/>
      <c r="ANG110" s="957"/>
      <c r="ANH110" s="957"/>
      <c r="ANI110" s="957"/>
      <c r="ANJ110" s="957"/>
      <c r="ANK110" s="957"/>
      <c r="ANL110" s="957"/>
      <c r="ANM110" s="957"/>
      <c r="ANN110" s="957"/>
      <c r="ANO110" s="957"/>
      <c r="ANP110" s="957"/>
      <c r="ANQ110" s="957"/>
      <c r="ANR110" s="957"/>
      <c r="ANS110" s="957"/>
      <c r="ANT110" s="957"/>
      <c r="ANU110" s="957"/>
      <c r="ANV110" s="957"/>
      <c r="ANW110" s="957"/>
      <c r="ANX110" s="957"/>
      <c r="ANY110" s="957"/>
      <c r="ANZ110" s="957"/>
      <c r="AOA110" s="957"/>
      <c r="AOB110" s="957"/>
      <c r="AOC110" s="957"/>
      <c r="AOD110" s="957"/>
      <c r="AOE110" s="957"/>
      <c r="AOF110" s="957"/>
      <c r="AOG110" s="957"/>
      <c r="AOH110" s="957"/>
      <c r="AOI110" s="957"/>
      <c r="AOJ110" s="957"/>
      <c r="AOK110" s="957"/>
      <c r="AOL110" s="957"/>
      <c r="AOM110" s="957"/>
      <c r="AON110" s="957"/>
      <c r="AOO110" s="957"/>
      <c r="AOP110" s="957"/>
      <c r="AOQ110" s="957"/>
      <c r="AOR110" s="957"/>
      <c r="AOS110" s="957"/>
      <c r="AOT110" s="957"/>
      <c r="AOU110" s="957"/>
      <c r="AOV110" s="957"/>
      <c r="AOW110" s="957"/>
      <c r="AOX110" s="957"/>
      <c r="AOY110" s="957"/>
      <c r="AOZ110" s="957"/>
      <c r="APA110" s="957"/>
      <c r="APB110" s="957"/>
      <c r="APC110" s="957"/>
      <c r="APD110" s="957"/>
      <c r="APE110" s="957"/>
      <c r="APF110" s="957"/>
      <c r="APG110" s="957"/>
      <c r="APH110" s="957"/>
      <c r="API110" s="957"/>
      <c r="APJ110" s="957"/>
      <c r="APK110" s="957"/>
      <c r="APL110" s="957"/>
      <c r="APM110" s="957"/>
      <c r="APN110" s="957"/>
      <c r="APO110" s="957"/>
      <c r="APP110" s="957"/>
      <c r="APQ110" s="957"/>
      <c r="APR110" s="957"/>
      <c r="APS110" s="957"/>
      <c r="APT110" s="957"/>
      <c r="APU110" s="957"/>
      <c r="APV110" s="957"/>
      <c r="APW110" s="957"/>
      <c r="APX110" s="957"/>
      <c r="APY110" s="957"/>
      <c r="APZ110" s="957"/>
      <c r="AQA110" s="957"/>
      <c r="AQB110" s="957"/>
      <c r="AQC110" s="957"/>
      <c r="AQD110" s="957"/>
      <c r="AQE110" s="957"/>
      <c r="AQF110" s="957"/>
      <c r="AQG110" s="957"/>
      <c r="AQH110" s="957"/>
      <c r="AQI110" s="957"/>
      <c r="AQJ110" s="957"/>
      <c r="AQK110" s="957"/>
      <c r="AQL110" s="957"/>
      <c r="AQM110" s="957"/>
      <c r="AQN110" s="957"/>
      <c r="AQO110" s="957"/>
      <c r="AQP110" s="957"/>
      <c r="AQQ110" s="957"/>
      <c r="AQR110" s="957"/>
      <c r="AQS110" s="957"/>
      <c r="AQT110" s="957"/>
      <c r="AQU110" s="957"/>
      <c r="AQV110" s="957"/>
      <c r="AQW110" s="957"/>
      <c r="AQX110" s="957"/>
      <c r="AQY110" s="957"/>
      <c r="AQZ110" s="957"/>
      <c r="ARA110" s="957"/>
      <c r="ARB110" s="957"/>
      <c r="ARC110" s="957"/>
      <c r="ARD110" s="957"/>
      <c r="ARE110" s="957"/>
      <c r="ARF110" s="957"/>
      <c r="ARG110" s="957"/>
      <c r="ARH110" s="957"/>
      <c r="ARI110" s="957"/>
      <c r="ARJ110" s="957"/>
      <c r="ARK110" s="957"/>
      <c r="ARL110" s="957"/>
      <c r="ARM110" s="957"/>
      <c r="ARN110" s="957"/>
      <c r="ARO110" s="957"/>
      <c r="ARP110" s="957"/>
      <c r="ARQ110" s="957"/>
      <c r="ARR110" s="957"/>
      <c r="ARS110" s="957"/>
      <c r="ART110" s="957"/>
      <c r="ARU110" s="957"/>
      <c r="ARV110" s="957"/>
      <c r="ARW110" s="957"/>
      <c r="ARX110" s="957"/>
      <c r="ARY110" s="957"/>
      <c r="ARZ110" s="957"/>
      <c r="ASA110" s="957"/>
      <c r="ASB110" s="957"/>
      <c r="ASC110" s="957"/>
      <c r="ASD110" s="957"/>
      <c r="ASE110" s="957"/>
      <c r="ASF110" s="957"/>
      <c r="ASG110" s="957"/>
      <c r="ASH110" s="957"/>
      <c r="ASI110" s="957"/>
      <c r="ASJ110" s="957"/>
      <c r="ASK110" s="957"/>
      <c r="ASL110" s="957"/>
      <c r="ASM110" s="957"/>
      <c r="ASN110" s="957"/>
      <c r="ASO110" s="957"/>
      <c r="ASP110" s="957"/>
      <c r="ASQ110" s="957"/>
      <c r="ASR110" s="957"/>
      <c r="ASS110" s="957"/>
      <c r="AST110" s="957"/>
      <c r="ASU110" s="957"/>
      <c r="ASV110" s="957"/>
      <c r="ASW110" s="957"/>
      <c r="ASX110" s="957"/>
      <c r="ASY110" s="957"/>
      <c r="ASZ110" s="957"/>
      <c r="ATA110" s="957"/>
      <c r="ATB110" s="957"/>
      <c r="ATC110" s="957"/>
      <c r="ATD110" s="957"/>
      <c r="ATE110" s="957"/>
      <c r="ATF110" s="957"/>
      <c r="ATG110" s="957"/>
      <c r="ATH110" s="957"/>
      <c r="ATI110" s="957"/>
      <c r="ATJ110" s="957"/>
      <c r="ATK110" s="957"/>
      <c r="ATL110" s="957"/>
      <c r="ATM110" s="957"/>
      <c r="ATN110" s="957"/>
      <c r="ATO110" s="957"/>
      <c r="ATP110" s="957"/>
      <c r="ATQ110" s="957"/>
      <c r="ATR110" s="957"/>
      <c r="ATS110" s="957"/>
      <c r="ATT110" s="957"/>
      <c r="ATU110" s="957"/>
      <c r="ATV110" s="957"/>
      <c r="ATW110" s="957"/>
      <c r="ATX110" s="957"/>
      <c r="ATY110" s="957"/>
      <c r="ATZ110" s="957"/>
      <c r="AUA110" s="957"/>
      <c r="AUB110" s="957"/>
      <c r="AUC110" s="957"/>
      <c r="AUD110" s="957"/>
      <c r="AUE110" s="957"/>
      <c r="AUF110" s="957"/>
      <c r="AUG110" s="957"/>
      <c r="AUH110" s="957"/>
      <c r="AUI110" s="957"/>
      <c r="AUJ110" s="957"/>
      <c r="AUK110" s="957"/>
      <c r="AUL110" s="957"/>
      <c r="AUM110" s="957"/>
      <c r="AUN110" s="957"/>
      <c r="AUO110" s="957"/>
      <c r="AUP110" s="957"/>
      <c r="AUQ110" s="957"/>
      <c r="AUR110" s="957"/>
      <c r="AUS110" s="957"/>
      <c r="AUT110" s="957"/>
      <c r="AUU110" s="957"/>
      <c r="AUV110" s="957"/>
      <c r="AUW110" s="957"/>
      <c r="AUX110" s="957"/>
      <c r="AUY110" s="957"/>
      <c r="AUZ110" s="957"/>
      <c r="AVA110" s="957"/>
      <c r="AVB110" s="957"/>
      <c r="AVC110" s="957"/>
      <c r="AVD110" s="957"/>
      <c r="AVE110" s="957"/>
      <c r="AVF110" s="957"/>
      <c r="AVG110" s="957"/>
      <c r="AVH110" s="957"/>
      <c r="AVI110" s="957"/>
      <c r="AVJ110" s="957"/>
      <c r="AVK110" s="957"/>
      <c r="AVL110" s="957"/>
      <c r="AVM110" s="957"/>
      <c r="AVN110" s="957"/>
      <c r="AVO110" s="957"/>
      <c r="AVP110" s="957"/>
      <c r="AVQ110" s="957"/>
      <c r="AVR110" s="957"/>
      <c r="AVS110" s="957"/>
      <c r="AVT110" s="957"/>
      <c r="AVU110" s="957"/>
      <c r="AVV110" s="957"/>
      <c r="AVW110" s="957"/>
      <c r="AVX110" s="957"/>
      <c r="AVY110" s="957"/>
      <c r="AVZ110" s="957"/>
      <c r="AWA110" s="957"/>
      <c r="AWB110" s="957"/>
      <c r="AWC110" s="957"/>
      <c r="AWD110" s="957"/>
      <c r="AWE110" s="957"/>
      <c r="AWF110" s="957"/>
      <c r="AWG110" s="957"/>
      <c r="AWH110" s="957"/>
      <c r="AWI110" s="957"/>
      <c r="AWJ110" s="957"/>
      <c r="AWK110" s="957"/>
      <c r="AWL110" s="957"/>
      <c r="AWM110" s="957"/>
      <c r="AWN110" s="957"/>
      <c r="AWO110" s="957"/>
      <c r="AWP110" s="957"/>
      <c r="AWQ110" s="957"/>
      <c r="AWR110" s="957"/>
      <c r="AWS110" s="957"/>
      <c r="AWT110" s="957"/>
      <c r="AWU110" s="957"/>
      <c r="AWV110" s="957"/>
      <c r="AWW110" s="957"/>
      <c r="AWX110" s="957"/>
      <c r="AWY110" s="957"/>
      <c r="AWZ110" s="957"/>
      <c r="AXA110" s="957"/>
      <c r="AXB110" s="957"/>
      <c r="AXC110" s="957"/>
      <c r="AXD110" s="957"/>
      <c r="AXE110" s="957"/>
      <c r="AXF110" s="957"/>
      <c r="AXG110" s="957"/>
      <c r="AXH110" s="957"/>
      <c r="AXI110" s="957"/>
      <c r="AXJ110" s="957"/>
      <c r="AXK110" s="957"/>
      <c r="AXL110" s="957"/>
      <c r="AXM110" s="957"/>
      <c r="AXN110" s="957"/>
      <c r="AXO110" s="957"/>
      <c r="AXP110" s="957"/>
      <c r="AXQ110" s="957"/>
      <c r="AXR110" s="957"/>
      <c r="AXS110" s="957"/>
      <c r="AXT110" s="957"/>
      <c r="AXU110" s="957"/>
      <c r="AXV110" s="957"/>
      <c r="AXW110" s="957"/>
      <c r="AXX110" s="957"/>
      <c r="AXY110" s="957"/>
      <c r="AXZ110" s="957"/>
      <c r="AYA110" s="957"/>
      <c r="AYB110" s="957"/>
      <c r="AYC110" s="957"/>
      <c r="AYD110" s="957"/>
      <c r="AYE110" s="957"/>
      <c r="AYF110" s="957"/>
      <c r="AYG110" s="957"/>
      <c r="AYH110" s="957"/>
      <c r="AYI110" s="957"/>
      <c r="AYJ110" s="957"/>
      <c r="AYK110" s="957"/>
      <c r="AYL110" s="957"/>
      <c r="AYM110" s="957"/>
      <c r="AYN110" s="957"/>
      <c r="AYO110" s="957"/>
      <c r="AYP110" s="957"/>
      <c r="AYQ110" s="957"/>
      <c r="AYR110" s="957"/>
      <c r="AYS110" s="957"/>
      <c r="AYT110" s="957"/>
      <c r="AYU110" s="957"/>
      <c r="AYV110" s="957"/>
      <c r="AYW110" s="957"/>
      <c r="AYX110" s="957"/>
      <c r="AYY110" s="957"/>
      <c r="AYZ110" s="957"/>
      <c r="AZA110" s="957"/>
      <c r="AZB110" s="957"/>
      <c r="AZC110" s="957"/>
      <c r="AZD110" s="957"/>
      <c r="AZE110" s="957"/>
      <c r="AZF110" s="957"/>
      <c r="AZG110" s="957"/>
      <c r="AZH110" s="957"/>
      <c r="AZI110" s="957"/>
      <c r="AZJ110" s="957"/>
      <c r="AZK110" s="957"/>
      <c r="AZL110" s="957"/>
      <c r="AZM110" s="957"/>
      <c r="AZN110" s="957"/>
      <c r="AZO110" s="957"/>
      <c r="AZP110" s="957"/>
      <c r="AZQ110" s="957"/>
      <c r="AZR110" s="957"/>
      <c r="AZS110" s="957"/>
      <c r="AZT110" s="957"/>
      <c r="AZU110" s="957"/>
      <c r="AZV110" s="957"/>
      <c r="AZW110" s="957"/>
      <c r="AZX110" s="957"/>
      <c r="AZY110" s="957"/>
      <c r="AZZ110" s="957"/>
      <c r="BAA110" s="957"/>
      <c r="BAB110" s="957"/>
      <c r="BAC110" s="957"/>
      <c r="BAD110" s="957"/>
      <c r="BAE110" s="957"/>
      <c r="BAF110" s="957"/>
      <c r="BAG110" s="957"/>
      <c r="BAH110" s="957"/>
      <c r="BAI110" s="957"/>
      <c r="BAJ110" s="957"/>
      <c r="BAK110" s="957"/>
      <c r="BAL110" s="957"/>
      <c r="BAM110" s="957"/>
      <c r="BAN110" s="957"/>
      <c r="BAO110" s="957"/>
      <c r="BAP110" s="957"/>
      <c r="BAQ110" s="957"/>
      <c r="BAR110" s="957"/>
      <c r="BAS110" s="957"/>
      <c r="BAT110" s="957"/>
      <c r="BAU110" s="957"/>
      <c r="BAV110" s="957"/>
      <c r="BAW110" s="957"/>
      <c r="BAX110" s="957"/>
      <c r="BAY110" s="957"/>
      <c r="BAZ110" s="957"/>
      <c r="BBA110" s="957"/>
      <c r="BBB110" s="957"/>
      <c r="BBC110" s="957"/>
      <c r="BBD110" s="957"/>
      <c r="BBE110" s="957"/>
      <c r="BBF110" s="957"/>
      <c r="BBG110" s="957"/>
      <c r="BBH110" s="957"/>
      <c r="BBI110" s="957"/>
      <c r="BBJ110" s="957"/>
      <c r="BBK110" s="957"/>
      <c r="BBL110" s="957"/>
      <c r="BBM110" s="957"/>
      <c r="BBN110" s="957"/>
      <c r="BBO110" s="957"/>
      <c r="BBP110" s="957"/>
      <c r="BBQ110" s="957"/>
      <c r="BBR110" s="957"/>
      <c r="BBS110" s="957"/>
      <c r="BBT110" s="957"/>
      <c r="BBU110" s="957"/>
      <c r="BBV110" s="957"/>
      <c r="BBW110" s="957"/>
      <c r="BBX110" s="957"/>
      <c r="BBY110" s="957"/>
      <c r="BBZ110" s="957"/>
      <c r="BCA110" s="957"/>
      <c r="BCB110" s="957"/>
      <c r="BCC110" s="957"/>
      <c r="BCD110" s="957"/>
      <c r="BCE110" s="957"/>
      <c r="BCF110" s="957"/>
      <c r="BCG110" s="957"/>
      <c r="BCH110" s="957"/>
      <c r="BCI110" s="957"/>
      <c r="BCJ110" s="957"/>
      <c r="BCK110" s="957"/>
      <c r="BCL110" s="957"/>
      <c r="BCM110" s="957"/>
      <c r="BCN110" s="957"/>
      <c r="BCO110" s="957"/>
      <c r="BCP110" s="957"/>
      <c r="BCQ110" s="957"/>
      <c r="BCR110" s="957"/>
      <c r="BCS110" s="957"/>
      <c r="BCT110" s="957"/>
      <c r="BCU110" s="957"/>
      <c r="BCV110" s="957"/>
      <c r="BCW110" s="957"/>
      <c r="BCX110" s="957"/>
      <c r="BCY110" s="957"/>
      <c r="BCZ110" s="957"/>
      <c r="BDA110" s="957"/>
      <c r="BDB110" s="957"/>
      <c r="BDC110" s="957"/>
      <c r="BDD110" s="957"/>
      <c r="BDE110" s="957"/>
      <c r="BDF110" s="957"/>
      <c r="BDG110" s="957"/>
      <c r="BDH110" s="957"/>
      <c r="BDI110" s="957"/>
      <c r="BDJ110" s="957"/>
      <c r="BDK110" s="957"/>
      <c r="BDL110" s="957"/>
      <c r="BDM110" s="957"/>
      <c r="BDN110" s="957"/>
      <c r="BDO110" s="957"/>
      <c r="BDP110" s="957"/>
      <c r="BDQ110" s="957"/>
      <c r="BDR110" s="957"/>
      <c r="BDS110" s="957"/>
      <c r="BDT110" s="957"/>
      <c r="BDU110" s="957"/>
      <c r="BDV110" s="957"/>
      <c r="BDW110" s="957"/>
      <c r="BDX110" s="957"/>
      <c r="BDY110" s="957"/>
      <c r="BDZ110" s="957"/>
      <c r="BEA110" s="957"/>
      <c r="BEB110" s="957"/>
      <c r="BEC110" s="957"/>
      <c r="BED110" s="957"/>
      <c r="BEE110" s="957"/>
      <c r="BEF110" s="957"/>
      <c r="BEG110" s="957"/>
      <c r="BEH110" s="957"/>
      <c r="BEI110" s="957"/>
      <c r="BEJ110" s="957"/>
      <c r="BEK110" s="957"/>
      <c r="BEL110" s="957"/>
      <c r="BEM110" s="957"/>
      <c r="BEN110" s="957"/>
      <c r="BEO110" s="957"/>
      <c r="BEP110" s="957"/>
      <c r="BEQ110" s="957"/>
      <c r="BER110" s="957"/>
      <c r="BES110" s="957"/>
      <c r="BET110" s="957"/>
      <c r="BEU110" s="957"/>
      <c r="BEV110" s="957"/>
      <c r="BEW110" s="957"/>
      <c r="BEX110" s="957"/>
      <c r="BEY110" s="957"/>
      <c r="BEZ110" s="957"/>
      <c r="BFA110" s="957"/>
      <c r="BFB110" s="957"/>
      <c r="BFC110" s="957"/>
      <c r="BFD110" s="957"/>
      <c r="BFE110" s="957"/>
      <c r="BFF110" s="957"/>
      <c r="BFG110" s="957"/>
      <c r="BFH110" s="957"/>
      <c r="BFI110" s="957"/>
      <c r="BFJ110" s="957"/>
      <c r="BFK110" s="957"/>
      <c r="BFL110" s="957"/>
      <c r="BFM110" s="957"/>
      <c r="BFN110" s="957"/>
      <c r="BFO110" s="957"/>
      <c r="BFP110" s="957"/>
      <c r="BFQ110" s="957"/>
      <c r="BFR110" s="957"/>
      <c r="BFS110" s="957"/>
      <c r="BFT110" s="957"/>
      <c r="BFU110" s="957"/>
      <c r="BFV110" s="957"/>
      <c r="BFW110" s="957"/>
      <c r="BFX110" s="957"/>
      <c r="BFY110" s="957"/>
      <c r="BFZ110" s="957"/>
      <c r="BGA110" s="957"/>
      <c r="BGB110" s="957"/>
      <c r="BGC110" s="957"/>
      <c r="BGD110" s="957"/>
      <c r="BGE110" s="957"/>
      <c r="BGF110" s="957"/>
      <c r="BGG110" s="957"/>
      <c r="BGH110" s="957"/>
      <c r="BGI110" s="957"/>
      <c r="BGJ110" s="957"/>
      <c r="BGK110" s="957"/>
      <c r="BGL110" s="957"/>
      <c r="BGM110" s="957"/>
      <c r="BGN110" s="957"/>
      <c r="BGO110" s="957"/>
      <c r="BGP110" s="957"/>
      <c r="BGQ110" s="957"/>
      <c r="BGR110" s="957"/>
      <c r="BGS110" s="957"/>
      <c r="BGT110" s="957"/>
      <c r="BGU110" s="957"/>
      <c r="BGV110" s="957"/>
      <c r="BGW110" s="957"/>
      <c r="BGX110" s="957"/>
      <c r="BGY110" s="957"/>
      <c r="BGZ110" s="957"/>
      <c r="BHA110" s="957"/>
      <c r="BHB110" s="957"/>
      <c r="BHC110" s="957"/>
      <c r="BHD110" s="957"/>
      <c r="BHE110" s="957"/>
      <c r="BHF110" s="957"/>
      <c r="BHG110" s="957"/>
      <c r="BHH110" s="957"/>
      <c r="BHI110" s="957"/>
      <c r="BHJ110" s="957"/>
      <c r="BHK110" s="957"/>
      <c r="BHL110" s="957"/>
      <c r="BHM110" s="957"/>
      <c r="BHN110" s="957"/>
      <c r="BHO110" s="957"/>
      <c r="BHP110" s="957"/>
      <c r="BHQ110" s="957"/>
      <c r="BHR110" s="957"/>
      <c r="BHS110" s="957"/>
      <c r="BHT110" s="957"/>
      <c r="BHU110" s="957"/>
      <c r="BHV110" s="957"/>
      <c r="BHW110" s="957"/>
      <c r="BHX110" s="957"/>
      <c r="BHY110" s="957"/>
      <c r="BHZ110" s="957"/>
      <c r="BIA110" s="957"/>
      <c r="BIB110" s="957"/>
      <c r="BIC110" s="957"/>
      <c r="BID110" s="957"/>
      <c r="BIE110" s="957"/>
      <c r="BIF110" s="957"/>
      <c r="BIG110" s="957"/>
      <c r="BIH110" s="957"/>
      <c r="BII110" s="957"/>
      <c r="BIJ110" s="957"/>
      <c r="BIK110" s="957"/>
      <c r="BIL110" s="957"/>
      <c r="BIM110" s="957"/>
      <c r="BIN110" s="957"/>
      <c r="BIO110" s="957"/>
      <c r="BIP110" s="957"/>
      <c r="BIQ110" s="957"/>
      <c r="BIR110" s="957"/>
      <c r="BIS110" s="957"/>
      <c r="BIT110" s="957"/>
      <c r="BIU110" s="957"/>
      <c r="BIV110" s="957"/>
      <c r="BIW110" s="957"/>
      <c r="BIX110" s="957"/>
      <c r="BIY110" s="957"/>
      <c r="BIZ110" s="957"/>
      <c r="BJA110" s="957"/>
      <c r="BJB110" s="957"/>
      <c r="BJC110" s="957"/>
      <c r="BJD110" s="957"/>
      <c r="BJE110" s="957"/>
      <c r="BJF110" s="957"/>
      <c r="BJG110" s="957"/>
      <c r="BJH110" s="957"/>
      <c r="BJI110" s="957"/>
      <c r="BJJ110" s="957"/>
      <c r="BJK110" s="957"/>
      <c r="BJL110" s="957"/>
      <c r="BJM110" s="957"/>
      <c r="BJN110" s="957"/>
      <c r="BJO110" s="957"/>
      <c r="BJP110" s="957"/>
      <c r="BJQ110" s="957"/>
      <c r="BJR110" s="957"/>
      <c r="BJS110" s="957"/>
      <c r="BJT110" s="957"/>
      <c r="BJU110" s="957"/>
      <c r="BJV110" s="957"/>
      <c r="BJW110" s="957"/>
      <c r="BJX110" s="957"/>
      <c r="BJY110" s="957"/>
      <c r="BJZ110" s="957"/>
      <c r="BKA110" s="957"/>
      <c r="BKB110" s="957"/>
      <c r="BKC110" s="957"/>
      <c r="BKD110" s="957"/>
      <c r="BKE110" s="957"/>
      <c r="BKF110" s="957"/>
      <c r="BKG110" s="957"/>
      <c r="BKH110" s="957"/>
      <c r="BKI110" s="957"/>
      <c r="BKJ110" s="957"/>
      <c r="BKK110" s="957"/>
      <c r="BKL110" s="957"/>
      <c r="BKM110" s="957"/>
      <c r="BKN110" s="957"/>
      <c r="BKO110" s="957"/>
      <c r="BKP110" s="957"/>
      <c r="BKQ110" s="957"/>
      <c r="BKR110" s="957"/>
      <c r="BKS110" s="957"/>
      <c r="BKT110" s="957"/>
      <c r="BKU110" s="957"/>
      <c r="BKV110" s="957"/>
      <c r="BKW110" s="957"/>
      <c r="BKX110" s="957"/>
      <c r="BKY110" s="957"/>
      <c r="BKZ110" s="957"/>
      <c r="BLA110" s="957"/>
      <c r="BLB110" s="957"/>
      <c r="BLC110" s="957"/>
      <c r="BLD110" s="957"/>
      <c r="BLE110" s="957"/>
      <c r="BLF110" s="957"/>
      <c r="BLG110" s="957"/>
      <c r="BLH110" s="957"/>
      <c r="BLI110" s="957"/>
      <c r="BLJ110" s="957"/>
      <c r="BLK110" s="957"/>
      <c r="BLL110" s="957"/>
      <c r="BLM110" s="957"/>
      <c r="BLN110" s="957"/>
      <c r="BLO110" s="957"/>
      <c r="BLP110" s="957"/>
      <c r="BLQ110" s="957"/>
      <c r="BLR110" s="957"/>
      <c r="BLS110" s="957"/>
      <c r="BLT110" s="957"/>
      <c r="BLU110" s="957"/>
      <c r="BLV110" s="957"/>
      <c r="BLW110" s="957"/>
      <c r="BLX110" s="957"/>
      <c r="BLY110" s="957"/>
      <c r="BLZ110" s="957"/>
      <c r="BMA110" s="957"/>
      <c r="BMB110" s="957"/>
      <c r="BMC110" s="957"/>
      <c r="BMD110" s="957"/>
      <c r="BME110" s="957"/>
      <c r="BMF110" s="957"/>
      <c r="BMG110" s="957"/>
      <c r="BMH110" s="957"/>
      <c r="BMI110" s="957"/>
      <c r="BMJ110" s="957"/>
      <c r="BMK110" s="957"/>
      <c r="BML110" s="957"/>
      <c r="BMM110" s="957"/>
      <c r="BMN110" s="957"/>
      <c r="BMO110" s="957"/>
      <c r="BMP110" s="957"/>
      <c r="BMQ110" s="957"/>
      <c r="BMR110" s="957"/>
      <c r="BMS110" s="957"/>
      <c r="BMT110" s="957"/>
      <c r="BMU110" s="957"/>
      <c r="BMV110" s="957"/>
      <c r="BMW110" s="957"/>
      <c r="BMX110" s="957"/>
      <c r="BMY110" s="957"/>
      <c r="BMZ110" s="957"/>
      <c r="BNA110" s="957"/>
      <c r="BNB110" s="957"/>
      <c r="BNC110" s="957"/>
      <c r="BND110" s="957"/>
      <c r="BNE110" s="957"/>
      <c r="BNF110" s="957"/>
      <c r="BNG110" s="957"/>
      <c r="BNH110" s="957"/>
      <c r="BNI110" s="957"/>
      <c r="BNJ110" s="957"/>
      <c r="BNK110" s="957"/>
      <c r="BNL110" s="957"/>
      <c r="BNM110" s="957"/>
      <c r="BNN110" s="957"/>
      <c r="BNO110" s="957"/>
      <c r="BNP110" s="957"/>
      <c r="BNQ110" s="957"/>
      <c r="BNR110" s="957"/>
      <c r="BNS110" s="957"/>
      <c r="BNT110" s="957"/>
      <c r="BNU110" s="957"/>
      <c r="BNV110" s="957"/>
      <c r="BNW110" s="957"/>
      <c r="BNX110" s="957"/>
      <c r="BNY110" s="957"/>
      <c r="BNZ110" s="957"/>
      <c r="BOA110" s="957"/>
      <c r="BOB110" s="957"/>
      <c r="BOC110" s="957"/>
      <c r="BOD110" s="957"/>
      <c r="BOE110" s="957"/>
      <c r="BOF110" s="957"/>
      <c r="BOG110" s="957"/>
      <c r="BOH110" s="957"/>
      <c r="BOI110" s="957"/>
      <c r="BOJ110" s="957"/>
      <c r="BOK110" s="957"/>
      <c r="BOL110" s="957"/>
      <c r="BOM110" s="957"/>
      <c r="BON110" s="957"/>
      <c r="BOO110" s="957"/>
      <c r="BOP110" s="957"/>
      <c r="BOQ110" s="957"/>
      <c r="BOR110" s="957"/>
      <c r="BOS110" s="957"/>
      <c r="BOT110" s="957"/>
      <c r="BOU110" s="957"/>
      <c r="BOV110" s="957"/>
      <c r="BOW110" s="957"/>
      <c r="BOX110" s="957"/>
      <c r="BOY110" s="957"/>
      <c r="BOZ110" s="957"/>
      <c r="BPA110" s="957"/>
      <c r="BPB110" s="957"/>
      <c r="BPC110" s="957"/>
      <c r="BPD110" s="957"/>
      <c r="BPE110" s="957"/>
      <c r="BPF110" s="957"/>
      <c r="BPG110" s="957"/>
      <c r="BPH110" s="957"/>
      <c r="BPI110" s="957"/>
      <c r="BPJ110" s="957"/>
      <c r="BPK110" s="957"/>
      <c r="BPL110" s="957"/>
      <c r="BPM110" s="957"/>
      <c r="BPN110" s="957"/>
      <c r="BPO110" s="957"/>
      <c r="BPP110" s="957"/>
      <c r="BPQ110" s="957"/>
      <c r="BPR110" s="957"/>
      <c r="BPS110" s="957"/>
      <c r="BPT110" s="957"/>
      <c r="BPU110" s="957"/>
      <c r="BPV110" s="957"/>
      <c r="BPW110" s="957"/>
      <c r="BPX110" s="957"/>
      <c r="BPY110" s="957"/>
      <c r="BPZ110" s="957"/>
      <c r="BQA110" s="957"/>
      <c r="BQB110" s="957"/>
      <c r="BQC110" s="957"/>
      <c r="BQD110" s="957"/>
      <c r="BQE110" s="957"/>
      <c r="BQF110" s="957"/>
      <c r="BQG110" s="957"/>
      <c r="BQH110" s="957"/>
      <c r="BQI110" s="957"/>
      <c r="BQJ110" s="957"/>
      <c r="BQK110" s="957"/>
      <c r="BQL110" s="957"/>
      <c r="BQM110" s="957"/>
      <c r="BQN110" s="957"/>
      <c r="BQO110" s="957"/>
      <c r="BQP110" s="957"/>
      <c r="BQQ110" s="957"/>
      <c r="BQR110" s="957"/>
      <c r="BQS110" s="957"/>
      <c r="BQT110" s="957"/>
      <c r="BQU110" s="957"/>
      <c r="BQV110" s="957"/>
      <c r="BQW110" s="957"/>
      <c r="BQX110" s="957"/>
      <c r="BQY110" s="957"/>
      <c r="BQZ110" s="957"/>
      <c r="BRA110" s="957"/>
      <c r="BRB110" s="957"/>
      <c r="BRC110" s="957"/>
      <c r="BRD110" s="957"/>
      <c r="BRE110" s="957"/>
      <c r="BRF110" s="957"/>
      <c r="BRG110" s="957"/>
      <c r="BRH110" s="957"/>
      <c r="BRI110" s="957"/>
      <c r="BRJ110" s="957"/>
      <c r="BRK110" s="957"/>
      <c r="BRL110" s="957"/>
      <c r="BRM110" s="957"/>
      <c r="BRN110" s="957"/>
      <c r="BRO110" s="957"/>
      <c r="BRP110" s="957"/>
      <c r="BRQ110" s="957"/>
      <c r="BRR110" s="957"/>
      <c r="BRS110" s="957"/>
      <c r="BRT110" s="957"/>
      <c r="BRU110" s="957"/>
      <c r="BRV110" s="957"/>
      <c r="BRW110" s="957"/>
      <c r="BRX110" s="957"/>
      <c r="BRY110" s="957"/>
      <c r="BRZ110" s="957"/>
      <c r="BSA110" s="957"/>
      <c r="BSB110" s="957"/>
      <c r="BSC110" s="957"/>
      <c r="BSD110" s="957"/>
      <c r="BSE110" s="957"/>
      <c r="BSF110" s="957"/>
      <c r="BSG110" s="957"/>
      <c r="BSH110" s="957"/>
      <c r="BSI110" s="957"/>
      <c r="BSJ110" s="957"/>
      <c r="BSK110" s="957"/>
      <c r="BSL110" s="957"/>
      <c r="BSM110" s="957"/>
      <c r="BSN110" s="957"/>
      <c r="BSO110" s="957"/>
      <c r="BSP110" s="957"/>
      <c r="BSQ110" s="957"/>
      <c r="BSR110" s="957"/>
      <c r="BSS110" s="957"/>
      <c r="BST110" s="957"/>
      <c r="BSU110" s="957"/>
      <c r="BSV110" s="957"/>
      <c r="BSW110" s="957"/>
      <c r="BSX110" s="957"/>
      <c r="BSY110" s="957"/>
      <c r="BSZ110" s="957"/>
      <c r="BTA110" s="957"/>
      <c r="BTB110" s="957"/>
      <c r="BTC110" s="957"/>
      <c r="BTD110" s="957"/>
      <c r="BTE110" s="957"/>
      <c r="BTF110" s="957"/>
      <c r="BTG110" s="957"/>
      <c r="BTH110" s="957"/>
      <c r="BTI110" s="957"/>
      <c r="BTJ110" s="957"/>
      <c r="BTK110" s="957"/>
      <c r="BTL110" s="957"/>
      <c r="BTM110" s="957"/>
      <c r="BTN110" s="957"/>
      <c r="BTO110" s="957"/>
      <c r="BTP110" s="957"/>
      <c r="BTQ110" s="957"/>
      <c r="BTR110" s="957"/>
      <c r="BTS110" s="957"/>
      <c r="BTT110" s="957"/>
      <c r="BTU110" s="957"/>
      <c r="BTV110" s="957"/>
      <c r="BTW110" s="957"/>
      <c r="BTX110" s="957"/>
      <c r="BTY110" s="957"/>
      <c r="BTZ110" s="957"/>
      <c r="BUA110" s="957"/>
      <c r="BUB110" s="957"/>
      <c r="BUC110" s="957"/>
      <c r="BUD110" s="957"/>
      <c r="BUE110" s="957"/>
      <c r="BUF110" s="957"/>
      <c r="BUG110" s="957"/>
      <c r="BUH110" s="957"/>
      <c r="BUI110" s="957"/>
      <c r="BUJ110" s="957"/>
      <c r="BUK110" s="957"/>
      <c r="BUL110" s="957"/>
      <c r="BUM110" s="957"/>
      <c r="BUN110" s="957"/>
      <c r="BUO110" s="957"/>
      <c r="BUP110" s="957"/>
      <c r="BUQ110" s="957"/>
      <c r="BUR110" s="957"/>
      <c r="BUS110" s="957"/>
      <c r="BUT110" s="957"/>
      <c r="BUU110" s="957"/>
      <c r="BUV110" s="957"/>
      <c r="BUW110" s="957"/>
      <c r="BUX110" s="957"/>
      <c r="BUY110" s="957"/>
      <c r="BUZ110" s="957"/>
      <c r="BVA110" s="957"/>
      <c r="BVB110" s="957"/>
      <c r="BVC110" s="957"/>
      <c r="BVD110" s="957"/>
      <c r="BVE110" s="957"/>
      <c r="BVF110" s="957"/>
      <c r="BVG110" s="957"/>
      <c r="BVH110" s="957"/>
      <c r="BVI110" s="957"/>
      <c r="BVJ110" s="957"/>
      <c r="BVK110" s="957"/>
      <c r="BVL110" s="957"/>
      <c r="BVM110" s="957"/>
      <c r="BVN110" s="957"/>
      <c r="BVO110" s="957"/>
      <c r="BVP110" s="957"/>
      <c r="BVQ110" s="957"/>
      <c r="BVR110" s="957"/>
      <c r="BVS110" s="957"/>
      <c r="BVT110" s="957"/>
      <c r="BVU110" s="957"/>
      <c r="BVV110" s="957"/>
      <c r="BVW110" s="957"/>
      <c r="BVX110" s="957"/>
      <c r="BVY110" s="957"/>
      <c r="BVZ110" s="957"/>
      <c r="BWA110" s="957"/>
      <c r="BWB110" s="957"/>
      <c r="BWC110" s="957"/>
      <c r="BWD110" s="957"/>
      <c r="BWE110" s="957"/>
      <c r="BWF110" s="957"/>
      <c r="BWG110" s="957"/>
      <c r="BWH110" s="957"/>
      <c r="BWI110" s="957"/>
      <c r="BWJ110" s="957"/>
      <c r="BWK110" s="957"/>
      <c r="BWL110" s="957"/>
      <c r="BWM110" s="957"/>
      <c r="BWN110" s="957"/>
      <c r="BWO110" s="957"/>
      <c r="BWP110" s="957"/>
      <c r="BWQ110" s="957"/>
      <c r="BWR110" s="957"/>
      <c r="BWS110" s="957"/>
      <c r="BWT110" s="957"/>
      <c r="BWU110" s="957"/>
      <c r="BWV110" s="957"/>
      <c r="BWW110" s="957"/>
      <c r="BWX110" s="957"/>
      <c r="BWY110" s="957"/>
      <c r="BWZ110" s="957"/>
      <c r="BXA110" s="957"/>
      <c r="BXB110" s="957"/>
      <c r="BXC110" s="957"/>
      <c r="BXD110" s="957"/>
      <c r="BXE110" s="957"/>
      <c r="BXF110" s="957"/>
      <c r="BXG110" s="957"/>
      <c r="BXH110" s="957"/>
      <c r="BXI110" s="957"/>
      <c r="BXJ110" s="957"/>
      <c r="BXK110" s="957"/>
      <c r="BXL110" s="957"/>
      <c r="BXM110" s="957"/>
      <c r="BXN110" s="957"/>
      <c r="BXO110" s="957"/>
      <c r="BXP110" s="957"/>
      <c r="BXQ110" s="957"/>
      <c r="BXR110" s="957"/>
      <c r="BXS110" s="957"/>
      <c r="BXT110" s="957"/>
      <c r="BXU110" s="957"/>
      <c r="BXV110" s="957"/>
      <c r="BXW110" s="957"/>
      <c r="BXX110" s="957"/>
      <c r="BXY110" s="957"/>
      <c r="BXZ110" s="957"/>
      <c r="BYA110" s="957"/>
      <c r="BYB110" s="957"/>
      <c r="BYC110" s="957"/>
      <c r="BYD110" s="957"/>
      <c r="BYE110" s="957"/>
      <c r="BYF110" s="957"/>
      <c r="BYG110" s="957"/>
      <c r="BYH110" s="957"/>
      <c r="BYI110" s="957"/>
      <c r="BYJ110" s="957"/>
      <c r="BYK110" s="957"/>
      <c r="BYL110" s="957"/>
      <c r="BYM110" s="957"/>
      <c r="BYN110" s="957"/>
      <c r="BYO110" s="957"/>
      <c r="BYP110" s="957"/>
      <c r="BYQ110" s="957"/>
      <c r="BYR110" s="957"/>
      <c r="BYS110" s="957"/>
      <c r="BYT110" s="957"/>
      <c r="BYU110" s="957"/>
      <c r="BYV110" s="957"/>
      <c r="BYW110" s="957"/>
      <c r="BYX110" s="957"/>
      <c r="BYY110" s="957"/>
      <c r="BYZ110" s="957"/>
      <c r="BZA110" s="957"/>
      <c r="BZB110" s="957"/>
      <c r="BZC110" s="957"/>
      <c r="BZD110" s="957"/>
      <c r="BZE110" s="957"/>
      <c r="BZF110" s="957"/>
      <c r="BZG110" s="957"/>
      <c r="BZH110" s="957"/>
      <c r="BZI110" s="957"/>
      <c r="BZJ110" s="957"/>
      <c r="BZK110" s="957"/>
      <c r="BZL110" s="957"/>
      <c r="BZM110" s="957"/>
      <c r="BZN110" s="957"/>
      <c r="BZO110" s="957"/>
      <c r="BZP110" s="957"/>
      <c r="BZQ110" s="957"/>
      <c r="BZR110" s="957"/>
      <c r="BZS110" s="957"/>
      <c r="BZT110" s="957"/>
      <c r="BZU110" s="957"/>
      <c r="BZV110" s="957"/>
      <c r="BZW110" s="957"/>
      <c r="BZX110" s="957"/>
      <c r="BZY110" s="957"/>
      <c r="BZZ110" s="957"/>
      <c r="CAA110" s="957"/>
      <c r="CAB110" s="957"/>
      <c r="CAC110" s="957"/>
      <c r="CAD110" s="957"/>
      <c r="CAE110" s="957"/>
      <c r="CAF110" s="957"/>
      <c r="CAG110" s="957"/>
      <c r="CAH110" s="957"/>
      <c r="CAI110" s="957"/>
      <c r="CAJ110" s="957"/>
      <c r="CAK110" s="957"/>
      <c r="CAL110" s="957"/>
      <c r="CAM110" s="957"/>
      <c r="CAN110" s="957"/>
      <c r="CAO110" s="957"/>
      <c r="CAP110" s="957"/>
      <c r="CAQ110" s="957"/>
      <c r="CAR110" s="957"/>
      <c r="CAS110" s="957"/>
      <c r="CAT110" s="957"/>
      <c r="CAU110" s="957"/>
      <c r="CAV110" s="957"/>
      <c r="CAW110" s="957"/>
      <c r="CAX110" s="957"/>
      <c r="CAY110" s="957"/>
      <c r="CAZ110" s="957"/>
      <c r="CBA110" s="957"/>
      <c r="CBB110" s="957"/>
      <c r="CBC110" s="957"/>
      <c r="CBD110" s="957"/>
      <c r="CBE110" s="957"/>
      <c r="CBF110" s="957"/>
      <c r="CBG110" s="957"/>
      <c r="CBH110" s="957"/>
      <c r="CBI110" s="957"/>
      <c r="CBJ110" s="957"/>
      <c r="CBK110" s="957"/>
      <c r="CBL110" s="957"/>
      <c r="CBM110" s="957"/>
      <c r="CBN110" s="957"/>
      <c r="CBO110" s="957"/>
      <c r="CBP110" s="957"/>
      <c r="CBQ110" s="957"/>
      <c r="CBR110" s="957"/>
      <c r="CBS110" s="957"/>
      <c r="CBT110" s="957"/>
      <c r="CBU110" s="957"/>
      <c r="CBV110" s="957"/>
      <c r="CBW110" s="957"/>
      <c r="CBX110" s="957"/>
      <c r="CBY110" s="957"/>
      <c r="CBZ110" s="957"/>
      <c r="CCA110" s="957"/>
      <c r="CCB110" s="957"/>
      <c r="CCC110" s="957"/>
      <c r="CCD110" s="957"/>
      <c r="CCE110" s="957"/>
      <c r="CCF110" s="957"/>
      <c r="CCG110" s="957"/>
      <c r="CCH110" s="957"/>
      <c r="CCI110" s="957"/>
      <c r="CCJ110" s="957"/>
      <c r="CCK110" s="957"/>
      <c r="CCL110" s="957"/>
      <c r="CCM110" s="957"/>
      <c r="CCN110" s="957"/>
      <c r="CCO110" s="957"/>
      <c r="CCP110" s="957"/>
      <c r="CCQ110" s="957"/>
      <c r="CCR110" s="957"/>
      <c r="CCS110" s="957"/>
      <c r="CCT110" s="957"/>
      <c r="CCU110" s="957"/>
      <c r="CCV110" s="957"/>
      <c r="CCW110" s="957"/>
      <c r="CCX110" s="957"/>
      <c r="CCY110" s="957"/>
      <c r="CCZ110" s="957"/>
      <c r="CDA110" s="957"/>
      <c r="CDB110" s="957"/>
      <c r="CDC110" s="957"/>
      <c r="CDD110" s="957"/>
      <c r="CDE110" s="957"/>
      <c r="CDF110" s="957"/>
      <c r="CDG110" s="957"/>
      <c r="CDH110" s="957"/>
      <c r="CDI110" s="957"/>
      <c r="CDJ110" s="957"/>
      <c r="CDK110" s="957"/>
      <c r="CDL110" s="957"/>
      <c r="CDM110" s="957"/>
      <c r="CDN110" s="957"/>
      <c r="CDO110" s="957"/>
      <c r="CDP110" s="957"/>
      <c r="CDQ110" s="957"/>
      <c r="CDR110" s="957"/>
      <c r="CDS110" s="957"/>
      <c r="CDT110" s="957"/>
      <c r="CDU110" s="957"/>
      <c r="CDV110" s="957"/>
      <c r="CDW110" s="957"/>
      <c r="CDX110" s="957"/>
      <c r="CDY110" s="957"/>
      <c r="CDZ110" s="957"/>
      <c r="CEA110" s="957"/>
      <c r="CEB110" s="957"/>
      <c r="CEC110" s="957"/>
      <c r="CED110" s="957"/>
      <c r="CEE110" s="957"/>
      <c r="CEF110" s="957"/>
      <c r="CEG110" s="957"/>
      <c r="CEH110" s="957"/>
      <c r="CEI110" s="957"/>
      <c r="CEJ110" s="957"/>
      <c r="CEK110" s="957"/>
      <c r="CEL110" s="957"/>
      <c r="CEM110" s="957"/>
      <c r="CEN110" s="957"/>
      <c r="CEO110" s="957"/>
      <c r="CEP110" s="957"/>
      <c r="CEQ110" s="957"/>
      <c r="CER110" s="957"/>
      <c r="CES110" s="957"/>
      <c r="CET110" s="957"/>
      <c r="CEU110" s="957"/>
      <c r="CEV110" s="957"/>
      <c r="CEW110" s="957"/>
      <c r="CEX110" s="957"/>
      <c r="CEY110" s="957"/>
      <c r="CEZ110" s="957"/>
      <c r="CFA110" s="957"/>
      <c r="CFB110" s="957"/>
      <c r="CFC110" s="957"/>
      <c r="CFD110" s="957"/>
      <c r="CFE110" s="957"/>
      <c r="CFF110" s="957"/>
      <c r="CFG110" s="957"/>
      <c r="CFH110" s="957"/>
      <c r="CFI110" s="957"/>
      <c r="CFJ110" s="957"/>
      <c r="CFK110" s="957"/>
      <c r="CFL110" s="957"/>
      <c r="CFM110" s="957"/>
      <c r="CFN110" s="957"/>
      <c r="CFO110" s="957"/>
      <c r="CFP110" s="957"/>
      <c r="CFQ110" s="957"/>
      <c r="CFR110" s="957"/>
      <c r="CFS110" s="957"/>
      <c r="CFT110" s="957"/>
      <c r="CFU110" s="957"/>
      <c r="CFV110" s="957"/>
      <c r="CFW110" s="957"/>
      <c r="CFX110" s="957"/>
      <c r="CFY110" s="957"/>
      <c r="CFZ110" s="957"/>
      <c r="CGA110" s="957"/>
      <c r="CGB110" s="957"/>
      <c r="CGC110" s="957"/>
      <c r="CGD110" s="957"/>
      <c r="CGE110" s="957"/>
      <c r="CGF110" s="957"/>
      <c r="CGG110" s="957"/>
      <c r="CGH110" s="957"/>
      <c r="CGI110" s="957"/>
      <c r="CGJ110" s="957"/>
      <c r="CGK110" s="957"/>
      <c r="CGL110" s="957"/>
      <c r="CGM110" s="957"/>
      <c r="CGN110" s="957"/>
      <c r="CGO110" s="957"/>
      <c r="CGP110" s="957"/>
      <c r="CGQ110" s="957"/>
      <c r="CGR110" s="957"/>
      <c r="CGS110" s="957"/>
      <c r="CGT110" s="957"/>
      <c r="CGU110" s="957"/>
      <c r="CGV110" s="957"/>
      <c r="CGW110" s="957"/>
      <c r="CGX110" s="957"/>
      <c r="CGY110" s="957"/>
      <c r="CGZ110" s="957"/>
      <c r="CHA110" s="957"/>
      <c r="CHB110" s="957"/>
      <c r="CHC110" s="957"/>
      <c r="CHD110" s="957"/>
      <c r="CHE110" s="957"/>
      <c r="CHF110" s="957"/>
      <c r="CHG110" s="957"/>
      <c r="CHH110" s="957"/>
      <c r="CHI110" s="957"/>
      <c r="CHJ110" s="957"/>
      <c r="CHK110" s="957"/>
      <c r="CHL110" s="957"/>
      <c r="CHM110" s="957"/>
      <c r="CHN110" s="957"/>
      <c r="CHO110" s="957"/>
      <c r="CHP110" s="957"/>
      <c r="CHQ110" s="957"/>
      <c r="CHR110" s="957"/>
      <c r="CHS110" s="957"/>
      <c r="CHT110" s="957"/>
      <c r="CHU110" s="957"/>
      <c r="CHV110" s="957"/>
      <c r="CHW110" s="957"/>
      <c r="CHX110" s="957"/>
      <c r="CHY110" s="957"/>
      <c r="CHZ110" s="957"/>
      <c r="CIA110" s="957"/>
      <c r="CIB110" s="957"/>
      <c r="CIC110" s="957"/>
      <c r="CID110" s="957"/>
      <c r="CIE110" s="957"/>
      <c r="CIF110" s="957"/>
      <c r="CIG110" s="957"/>
      <c r="CIH110" s="957"/>
      <c r="CII110" s="957"/>
      <c r="CIJ110" s="957"/>
      <c r="CIK110" s="957"/>
      <c r="CIL110" s="957"/>
      <c r="CIM110" s="957"/>
      <c r="CIN110" s="957"/>
      <c r="CIO110" s="957"/>
      <c r="CIP110" s="957"/>
      <c r="CIQ110" s="957"/>
      <c r="CIR110" s="957"/>
      <c r="CIS110" s="957"/>
      <c r="CIT110" s="957"/>
      <c r="CIU110" s="957"/>
      <c r="CIV110" s="957"/>
      <c r="CIW110" s="957"/>
      <c r="CIX110" s="957"/>
      <c r="CIY110" s="957"/>
      <c r="CIZ110" s="957"/>
      <c r="CJA110" s="957"/>
      <c r="CJB110" s="957"/>
      <c r="CJC110" s="957"/>
      <c r="CJD110" s="957"/>
      <c r="CJE110" s="957"/>
      <c r="CJF110" s="957"/>
      <c r="CJG110" s="957"/>
      <c r="CJH110" s="957"/>
      <c r="CJI110" s="957"/>
      <c r="CJJ110" s="957"/>
      <c r="CJK110" s="957"/>
      <c r="CJL110" s="957"/>
      <c r="CJM110" s="957"/>
      <c r="CJN110" s="957"/>
      <c r="CJO110" s="957"/>
      <c r="CJP110" s="957"/>
      <c r="CJQ110" s="957"/>
      <c r="CJR110" s="957"/>
      <c r="CJS110" s="957"/>
      <c r="CJT110" s="957"/>
      <c r="CJU110" s="957"/>
      <c r="CJV110" s="957"/>
      <c r="CJW110" s="957"/>
      <c r="CJX110" s="957"/>
      <c r="CJY110" s="957"/>
      <c r="CJZ110" s="957"/>
      <c r="CKA110" s="957"/>
      <c r="CKB110" s="957"/>
      <c r="CKC110" s="957"/>
      <c r="CKD110" s="957"/>
      <c r="CKE110" s="957"/>
      <c r="CKF110" s="957"/>
      <c r="CKG110" s="957"/>
      <c r="CKH110" s="957"/>
      <c r="CKI110" s="957"/>
      <c r="CKJ110" s="957"/>
      <c r="CKK110" s="957"/>
      <c r="CKL110" s="957"/>
      <c r="CKM110" s="957"/>
      <c r="CKN110" s="957"/>
      <c r="CKO110" s="957"/>
      <c r="CKP110" s="957"/>
      <c r="CKQ110" s="957"/>
      <c r="CKR110" s="957"/>
      <c r="CKS110" s="957"/>
      <c r="CKT110" s="957"/>
      <c r="CKU110" s="957"/>
      <c r="CKV110" s="957"/>
      <c r="CKW110" s="957"/>
      <c r="CKX110" s="957"/>
      <c r="CKY110" s="957"/>
      <c r="CKZ110" s="957"/>
      <c r="CLA110" s="957"/>
      <c r="CLB110" s="957"/>
      <c r="CLC110" s="957"/>
      <c r="CLD110" s="957"/>
      <c r="CLE110" s="957"/>
      <c r="CLF110" s="957"/>
      <c r="CLG110" s="957"/>
      <c r="CLH110" s="957"/>
      <c r="CLI110" s="957"/>
      <c r="CLJ110" s="957"/>
      <c r="CLK110" s="957"/>
      <c r="CLL110" s="957"/>
      <c r="CLM110" s="957"/>
      <c r="CLN110" s="957"/>
      <c r="CLO110" s="957"/>
      <c r="CLP110" s="957"/>
      <c r="CLQ110" s="957"/>
      <c r="CLR110" s="957"/>
      <c r="CLS110" s="957"/>
      <c r="CLT110" s="957"/>
      <c r="CLU110" s="957"/>
      <c r="CLV110" s="957"/>
      <c r="CLW110" s="957"/>
      <c r="CLX110" s="957"/>
      <c r="CLY110" s="957"/>
      <c r="CLZ110" s="957"/>
      <c r="CMA110" s="957"/>
      <c r="CMB110" s="957"/>
      <c r="CMC110" s="957"/>
      <c r="CMD110" s="957"/>
      <c r="CME110" s="957"/>
      <c r="CMF110" s="957"/>
      <c r="CMG110" s="957"/>
      <c r="CMH110" s="957"/>
      <c r="CMI110" s="957"/>
      <c r="CMJ110" s="957"/>
      <c r="CMK110" s="957"/>
      <c r="CML110" s="957"/>
      <c r="CMM110" s="957"/>
      <c r="CMN110" s="957"/>
      <c r="CMO110" s="957"/>
      <c r="CMP110" s="957"/>
      <c r="CMQ110" s="957"/>
      <c r="CMR110" s="957"/>
      <c r="CMS110" s="957"/>
      <c r="CMT110" s="957"/>
      <c r="CMU110" s="957"/>
      <c r="CMV110" s="957"/>
      <c r="CMW110" s="957"/>
      <c r="CMX110" s="957"/>
      <c r="CMY110" s="957"/>
      <c r="CMZ110" s="957"/>
      <c r="CNA110" s="957"/>
      <c r="CNB110" s="957"/>
      <c r="CNC110" s="957"/>
      <c r="CND110" s="957"/>
      <c r="CNE110" s="957"/>
      <c r="CNF110" s="957"/>
      <c r="CNG110" s="957"/>
      <c r="CNH110" s="957"/>
      <c r="CNI110" s="957"/>
      <c r="CNJ110" s="957"/>
      <c r="CNK110" s="957"/>
      <c r="CNL110" s="957"/>
      <c r="CNM110" s="957"/>
      <c r="CNN110" s="957"/>
      <c r="CNO110" s="957"/>
      <c r="CNP110" s="957"/>
      <c r="CNQ110" s="957"/>
      <c r="CNR110" s="957"/>
      <c r="CNS110" s="957"/>
      <c r="CNT110" s="957"/>
      <c r="CNU110" s="957"/>
      <c r="CNV110" s="957"/>
      <c r="CNW110" s="957"/>
      <c r="CNX110" s="957"/>
      <c r="CNY110" s="957"/>
      <c r="CNZ110" s="957"/>
      <c r="COA110" s="957"/>
      <c r="COB110" s="957"/>
      <c r="COC110" s="957"/>
      <c r="COD110" s="957"/>
      <c r="COE110" s="957"/>
      <c r="COF110" s="957"/>
      <c r="COG110" s="957"/>
      <c r="COH110" s="957"/>
      <c r="COI110" s="957"/>
      <c r="COJ110" s="957"/>
      <c r="COK110" s="957"/>
      <c r="COL110" s="957"/>
      <c r="COM110" s="957"/>
      <c r="CON110" s="957"/>
      <c r="COO110" s="957"/>
      <c r="COP110" s="957"/>
      <c r="COQ110" s="957"/>
      <c r="COR110" s="957"/>
      <c r="COS110" s="957"/>
      <c r="COT110" s="957"/>
      <c r="COU110" s="957"/>
      <c r="COV110" s="957"/>
      <c r="COW110" s="957"/>
      <c r="COX110" s="957"/>
      <c r="COY110" s="957"/>
      <c r="COZ110" s="957"/>
      <c r="CPA110" s="957"/>
      <c r="CPB110" s="957"/>
      <c r="CPC110" s="957"/>
      <c r="CPD110" s="957"/>
      <c r="CPE110" s="957"/>
      <c r="CPF110" s="957"/>
      <c r="CPG110" s="957"/>
      <c r="CPH110" s="957"/>
      <c r="CPI110" s="957"/>
      <c r="CPJ110" s="957"/>
      <c r="CPK110" s="957"/>
      <c r="CPL110" s="957"/>
      <c r="CPM110" s="957"/>
      <c r="CPN110" s="957"/>
      <c r="CPO110" s="957"/>
      <c r="CPP110" s="957"/>
      <c r="CPQ110" s="957"/>
      <c r="CPR110" s="957"/>
      <c r="CPS110" s="957"/>
      <c r="CPT110" s="957"/>
      <c r="CPU110" s="957"/>
      <c r="CPV110" s="957"/>
      <c r="CPW110" s="957"/>
      <c r="CPX110" s="957"/>
      <c r="CPY110" s="957"/>
      <c r="CPZ110" s="957"/>
      <c r="CQA110" s="957"/>
      <c r="CQB110" s="957"/>
      <c r="CQC110" s="957"/>
      <c r="CQD110" s="957"/>
      <c r="CQE110" s="957"/>
      <c r="CQF110" s="957"/>
      <c r="CQG110" s="957"/>
      <c r="CQH110" s="957"/>
      <c r="CQI110" s="957"/>
      <c r="CQJ110" s="957"/>
      <c r="CQK110" s="957"/>
      <c r="CQL110" s="957"/>
      <c r="CQM110" s="957"/>
      <c r="CQN110" s="957"/>
      <c r="CQO110" s="957"/>
      <c r="CQP110" s="957"/>
      <c r="CQQ110" s="957"/>
      <c r="CQR110" s="957"/>
      <c r="CQS110" s="957"/>
      <c r="CQT110" s="957"/>
      <c r="CQU110" s="957"/>
      <c r="CQV110" s="957"/>
      <c r="CQW110" s="957"/>
      <c r="CQX110" s="957"/>
      <c r="CQY110" s="957"/>
      <c r="CQZ110" s="957"/>
      <c r="CRA110" s="957"/>
      <c r="CRB110" s="957"/>
      <c r="CRC110" s="957"/>
      <c r="CRD110" s="957"/>
      <c r="CRE110" s="957"/>
      <c r="CRF110" s="957"/>
      <c r="CRG110" s="957"/>
      <c r="CRH110" s="957"/>
      <c r="CRI110" s="957"/>
      <c r="CRJ110" s="957"/>
      <c r="CRK110" s="957"/>
      <c r="CRL110" s="957"/>
      <c r="CRM110" s="957"/>
      <c r="CRN110" s="957"/>
      <c r="CRO110" s="957"/>
      <c r="CRP110" s="957"/>
      <c r="CRQ110" s="957"/>
      <c r="CRR110" s="957"/>
      <c r="CRS110" s="957"/>
      <c r="CRT110" s="957"/>
      <c r="CRU110" s="957"/>
      <c r="CRV110" s="957"/>
      <c r="CRW110" s="957"/>
      <c r="CRX110" s="957"/>
      <c r="CRY110" s="957"/>
      <c r="CRZ110" s="957"/>
      <c r="CSA110" s="957"/>
      <c r="CSB110" s="957"/>
      <c r="CSC110" s="957"/>
      <c r="CSD110" s="957"/>
      <c r="CSE110" s="957"/>
      <c r="CSF110" s="957"/>
      <c r="CSG110" s="957"/>
      <c r="CSH110" s="957"/>
      <c r="CSI110" s="957"/>
      <c r="CSJ110" s="957"/>
      <c r="CSK110" s="957"/>
      <c r="CSL110" s="957"/>
      <c r="CSM110" s="957"/>
      <c r="CSN110" s="957"/>
      <c r="CSO110" s="957"/>
      <c r="CSP110" s="957"/>
      <c r="CSQ110" s="957"/>
      <c r="CSR110" s="957"/>
      <c r="CSS110" s="957"/>
      <c r="CST110" s="957"/>
      <c r="CSU110" s="957"/>
      <c r="CSV110" s="957"/>
      <c r="CSW110" s="957"/>
      <c r="CSX110" s="957"/>
      <c r="CSY110" s="957"/>
      <c r="CSZ110" s="957"/>
      <c r="CTA110" s="957"/>
      <c r="CTB110" s="957"/>
      <c r="CTC110" s="957"/>
      <c r="CTD110" s="957"/>
      <c r="CTE110" s="957"/>
      <c r="CTF110" s="957"/>
      <c r="CTG110" s="957"/>
      <c r="CTH110" s="957"/>
      <c r="CTI110" s="957"/>
      <c r="CTJ110" s="957"/>
      <c r="CTK110" s="957"/>
      <c r="CTL110" s="957"/>
      <c r="CTM110" s="957"/>
      <c r="CTN110" s="957"/>
      <c r="CTO110" s="957"/>
      <c r="CTP110" s="957"/>
      <c r="CTQ110" s="957"/>
      <c r="CTR110" s="957"/>
      <c r="CTS110" s="957"/>
      <c r="CTT110" s="957"/>
      <c r="CTU110" s="957"/>
      <c r="CTV110" s="957"/>
      <c r="CTW110" s="957"/>
      <c r="CTX110" s="957"/>
      <c r="CTY110" s="957"/>
      <c r="CTZ110" s="957"/>
      <c r="CUA110" s="957"/>
      <c r="CUB110" s="957"/>
      <c r="CUC110" s="957"/>
      <c r="CUD110" s="957"/>
      <c r="CUE110" s="957"/>
      <c r="CUF110" s="957"/>
      <c r="CUG110" s="957"/>
      <c r="CUH110" s="957"/>
      <c r="CUI110" s="957"/>
      <c r="CUJ110" s="957"/>
      <c r="CUK110" s="957"/>
      <c r="CUL110" s="957"/>
      <c r="CUM110" s="957"/>
      <c r="CUN110" s="957"/>
      <c r="CUO110" s="957"/>
      <c r="CUP110" s="957"/>
      <c r="CUQ110" s="957"/>
      <c r="CUR110" s="957"/>
      <c r="CUS110" s="957"/>
      <c r="CUT110" s="957"/>
      <c r="CUU110" s="957"/>
      <c r="CUV110" s="957"/>
      <c r="CUW110" s="957"/>
      <c r="CUX110" s="957"/>
      <c r="CUY110" s="957"/>
      <c r="CUZ110" s="957"/>
      <c r="CVA110" s="957"/>
      <c r="CVB110" s="957"/>
      <c r="CVC110" s="957"/>
      <c r="CVD110" s="957"/>
      <c r="CVE110" s="957"/>
      <c r="CVF110" s="957"/>
      <c r="CVG110" s="957"/>
      <c r="CVH110" s="957"/>
      <c r="CVI110" s="957"/>
      <c r="CVJ110" s="957"/>
      <c r="CVK110" s="957"/>
      <c r="CVL110" s="957"/>
      <c r="CVM110" s="957"/>
      <c r="CVN110" s="957"/>
      <c r="CVO110" s="957"/>
      <c r="CVP110" s="957"/>
      <c r="CVQ110" s="957"/>
      <c r="CVR110" s="957"/>
      <c r="CVS110" s="957"/>
      <c r="CVT110" s="957"/>
      <c r="CVU110" s="957"/>
      <c r="CVV110" s="957"/>
      <c r="CVW110" s="957"/>
      <c r="CVX110" s="957"/>
      <c r="CVY110" s="957"/>
      <c r="CVZ110" s="957"/>
      <c r="CWA110" s="957"/>
      <c r="CWB110" s="957"/>
      <c r="CWC110" s="957"/>
      <c r="CWD110" s="957"/>
      <c r="CWE110" s="957"/>
      <c r="CWF110" s="957"/>
      <c r="CWG110" s="957"/>
      <c r="CWH110" s="957"/>
      <c r="CWI110" s="957"/>
      <c r="CWJ110" s="957"/>
      <c r="CWK110" s="957"/>
      <c r="CWL110" s="957"/>
      <c r="CWM110" s="957"/>
      <c r="CWN110" s="957"/>
      <c r="CWO110" s="957"/>
      <c r="CWP110" s="957"/>
      <c r="CWQ110" s="957"/>
      <c r="CWR110" s="957"/>
      <c r="CWS110" s="957"/>
      <c r="CWT110" s="957"/>
      <c r="CWU110" s="957"/>
      <c r="CWV110" s="957"/>
      <c r="CWW110" s="957"/>
      <c r="CWX110" s="957"/>
      <c r="CWY110" s="957"/>
      <c r="CWZ110" s="957"/>
      <c r="CXA110" s="957"/>
      <c r="CXB110" s="957"/>
      <c r="CXC110" s="957"/>
      <c r="CXD110" s="957"/>
      <c r="CXE110" s="957"/>
      <c r="CXF110" s="957"/>
      <c r="CXG110" s="957"/>
      <c r="CXH110" s="957"/>
      <c r="CXI110" s="957"/>
      <c r="CXJ110" s="957"/>
      <c r="CXK110" s="957"/>
      <c r="CXL110" s="957"/>
      <c r="CXM110" s="957"/>
      <c r="CXN110" s="957"/>
      <c r="CXO110" s="957"/>
      <c r="CXP110" s="957"/>
      <c r="CXQ110" s="957"/>
      <c r="CXR110" s="957"/>
      <c r="CXS110" s="957"/>
      <c r="CXT110" s="957"/>
      <c r="CXU110" s="957"/>
      <c r="CXV110" s="957"/>
      <c r="CXW110" s="957"/>
      <c r="CXX110" s="957"/>
      <c r="CXY110" s="957"/>
      <c r="CXZ110" s="957"/>
      <c r="CYA110" s="957"/>
      <c r="CYB110" s="957"/>
      <c r="CYC110" s="957"/>
      <c r="CYD110" s="957"/>
      <c r="CYE110" s="957"/>
      <c r="CYF110" s="957"/>
      <c r="CYG110" s="957"/>
      <c r="CYH110" s="957"/>
      <c r="CYI110" s="957"/>
      <c r="CYJ110" s="957"/>
      <c r="CYK110" s="957"/>
      <c r="CYL110" s="957"/>
      <c r="CYM110" s="957"/>
      <c r="CYN110" s="957"/>
      <c r="CYO110" s="957"/>
      <c r="CYP110" s="957"/>
      <c r="CYQ110" s="957"/>
      <c r="CYR110" s="957"/>
      <c r="CYS110" s="957"/>
      <c r="CYT110" s="957"/>
      <c r="CYU110" s="957"/>
      <c r="CYV110" s="957"/>
      <c r="CYW110" s="957"/>
      <c r="CYX110" s="957"/>
      <c r="CYY110" s="957"/>
      <c r="CYZ110" s="957"/>
      <c r="CZA110" s="957"/>
      <c r="CZB110" s="957"/>
      <c r="CZC110" s="957"/>
      <c r="CZD110" s="957"/>
      <c r="CZE110" s="957"/>
      <c r="CZF110" s="957"/>
      <c r="CZG110" s="957"/>
      <c r="CZH110" s="957"/>
      <c r="CZI110" s="957"/>
      <c r="CZJ110" s="957"/>
      <c r="CZK110" s="957"/>
      <c r="CZL110" s="957"/>
      <c r="CZM110" s="957"/>
      <c r="CZN110" s="957"/>
      <c r="CZO110" s="957"/>
      <c r="CZP110" s="957"/>
      <c r="CZQ110" s="957"/>
      <c r="CZR110" s="957"/>
      <c r="CZS110" s="957"/>
      <c r="CZT110" s="957"/>
      <c r="CZU110" s="957"/>
      <c r="CZV110" s="957"/>
      <c r="CZW110" s="957"/>
      <c r="CZX110" s="957"/>
      <c r="CZY110" s="957"/>
      <c r="CZZ110" s="957"/>
      <c r="DAA110" s="957"/>
      <c r="DAB110" s="957"/>
      <c r="DAC110" s="957"/>
      <c r="DAD110" s="957"/>
      <c r="DAE110" s="957"/>
      <c r="DAF110" s="957"/>
      <c r="DAG110" s="957"/>
      <c r="DAH110" s="957"/>
      <c r="DAI110" s="957"/>
      <c r="DAJ110" s="957"/>
      <c r="DAK110" s="957"/>
      <c r="DAL110" s="957"/>
      <c r="DAM110" s="957"/>
      <c r="DAN110" s="957"/>
      <c r="DAO110" s="957"/>
      <c r="DAP110" s="957"/>
      <c r="DAQ110" s="957"/>
      <c r="DAR110" s="957"/>
      <c r="DAS110" s="957"/>
      <c r="DAT110" s="957"/>
      <c r="DAU110" s="957"/>
      <c r="DAV110" s="957"/>
      <c r="DAW110" s="957"/>
      <c r="DAX110" s="957"/>
      <c r="DAY110" s="957"/>
      <c r="DAZ110" s="957"/>
      <c r="DBA110" s="957"/>
      <c r="DBB110" s="957"/>
      <c r="DBC110" s="957"/>
      <c r="DBD110" s="957"/>
      <c r="DBE110" s="957"/>
      <c r="DBF110" s="957"/>
      <c r="DBG110" s="957"/>
      <c r="DBH110" s="957"/>
      <c r="DBI110" s="957"/>
      <c r="DBJ110" s="957"/>
      <c r="DBK110" s="957"/>
      <c r="DBL110" s="957"/>
      <c r="DBM110" s="957"/>
      <c r="DBN110" s="957"/>
      <c r="DBO110" s="957"/>
      <c r="DBP110" s="957"/>
      <c r="DBQ110" s="957"/>
      <c r="DBR110" s="957"/>
      <c r="DBS110" s="957"/>
      <c r="DBT110" s="957"/>
      <c r="DBU110" s="957"/>
      <c r="DBV110" s="957"/>
      <c r="DBW110" s="957"/>
      <c r="DBX110" s="957"/>
      <c r="DBY110" s="957"/>
      <c r="DBZ110" s="957"/>
      <c r="DCA110" s="957"/>
      <c r="DCB110" s="957"/>
      <c r="DCC110" s="957"/>
      <c r="DCD110" s="957"/>
      <c r="DCE110" s="957"/>
      <c r="DCF110" s="957"/>
      <c r="DCG110" s="957"/>
      <c r="DCH110" s="957"/>
      <c r="DCI110" s="957"/>
      <c r="DCJ110" s="957"/>
      <c r="DCK110" s="957"/>
      <c r="DCL110" s="957"/>
      <c r="DCM110" s="957"/>
      <c r="DCN110" s="957"/>
      <c r="DCO110" s="957"/>
      <c r="DCP110" s="957"/>
      <c r="DCQ110" s="957"/>
      <c r="DCR110" s="957"/>
      <c r="DCS110" s="957"/>
      <c r="DCT110" s="957"/>
      <c r="DCU110" s="957"/>
      <c r="DCV110" s="957"/>
      <c r="DCW110" s="957"/>
      <c r="DCX110" s="957"/>
      <c r="DCY110" s="957"/>
      <c r="DCZ110" s="957"/>
      <c r="DDA110" s="957"/>
      <c r="DDB110" s="957"/>
      <c r="DDC110" s="957"/>
      <c r="DDD110" s="957"/>
      <c r="DDE110" s="957"/>
      <c r="DDF110" s="957"/>
      <c r="DDG110" s="957"/>
      <c r="DDH110" s="957"/>
      <c r="DDI110" s="957"/>
      <c r="DDJ110" s="957"/>
      <c r="DDK110" s="957"/>
      <c r="DDL110" s="957"/>
      <c r="DDM110" s="957"/>
      <c r="DDN110" s="957"/>
      <c r="DDO110" s="957"/>
      <c r="DDP110" s="957"/>
      <c r="DDQ110" s="957"/>
      <c r="DDR110" s="957"/>
      <c r="DDS110" s="957"/>
      <c r="DDT110" s="957"/>
      <c r="DDU110" s="957"/>
      <c r="DDV110" s="957"/>
      <c r="DDW110" s="957"/>
      <c r="DDX110" s="957"/>
      <c r="DDY110" s="957"/>
      <c r="DDZ110" s="957"/>
      <c r="DEA110" s="957"/>
      <c r="DEB110" s="957"/>
      <c r="DEC110" s="957"/>
      <c r="DED110" s="957"/>
      <c r="DEE110" s="957"/>
      <c r="DEF110" s="957"/>
      <c r="DEG110" s="957"/>
      <c r="DEH110" s="957"/>
      <c r="DEI110" s="957"/>
      <c r="DEJ110" s="957"/>
      <c r="DEK110" s="957"/>
      <c r="DEL110" s="957"/>
      <c r="DEM110" s="957"/>
      <c r="DEN110" s="957"/>
      <c r="DEO110" s="957"/>
      <c r="DEP110" s="957"/>
      <c r="DEQ110" s="957"/>
      <c r="DER110" s="957"/>
      <c r="DES110" s="957"/>
      <c r="DET110" s="957"/>
      <c r="DEU110" s="957"/>
      <c r="DEV110" s="957"/>
      <c r="DEW110" s="957"/>
      <c r="DEX110" s="957"/>
      <c r="DEY110" s="957"/>
      <c r="DEZ110" s="957"/>
      <c r="DFA110" s="957"/>
      <c r="DFB110" s="957"/>
      <c r="DFC110" s="957"/>
      <c r="DFD110" s="957"/>
      <c r="DFE110" s="957"/>
      <c r="DFF110" s="957"/>
      <c r="DFG110" s="957"/>
      <c r="DFH110" s="957"/>
      <c r="DFI110" s="957"/>
      <c r="DFJ110" s="957"/>
      <c r="DFK110" s="957"/>
      <c r="DFL110" s="957"/>
      <c r="DFM110" s="957"/>
      <c r="DFN110" s="957"/>
      <c r="DFO110" s="957"/>
      <c r="DFP110" s="957"/>
      <c r="DFQ110" s="957"/>
      <c r="DFR110" s="957"/>
      <c r="DFS110" s="957"/>
      <c r="DFT110" s="957"/>
      <c r="DFU110" s="957"/>
      <c r="DFV110" s="957"/>
      <c r="DFW110" s="957"/>
      <c r="DFX110" s="957"/>
      <c r="DFY110" s="957"/>
      <c r="DFZ110" s="957"/>
      <c r="DGA110" s="957"/>
      <c r="DGB110" s="957"/>
      <c r="DGC110" s="957"/>
      <c r="DGD110" s="957"/>
      <c r="DGE110" s="957"/>
      <c r="DGF110" s="957"/>
      <c r="DGG110" s="957"/>
      <c r="DGH110" s="957"/>
      <c r="DGI110" s="957"/>
      <c r="DGJ110" s="957"/>
      <c r="DGK110" s="957"/>
      <c r="DGL110" s="957"/>
      <c r="DGM110" s="957"/>
      <c r="DGN110" s="957"/>
      <c r="DGO110" s="957"/>
      <c r="DGP110" s="957"/>
      <c r="DGQ110" s="957"/>
      <c r="DGR110" s="957"/>
      <c r="DGS110" s="957"/>
      <c r="DGT110" s="957"/>
      <c r="DGU110" s="957"/>
      <c r="DGV110" s="957"/>
      <c r="DGW110" s="957"/>
      <c r="DGX110" s="957"/>
      <c r="DGY110" s="957"/>
      <c r="DGZ110" s="957"/>
      <c r="DHA110" s="957"/>
      <c r="DHB110" s="957"/>
      <c r="DHC110" s="957"/>
      <c r="DHD110" s="957"/>
      <c r="DHE110" s="957"/>
      <c r="DHF110" s="957"/>
      <c r="DHG110" s="957"/>
      <c r="DHH110" s="957"/>
      <c r="DHI110" s="957"/>
      <c r="DHJ110" s="957"/>
      <c r="DHK110" s="957"/>
      <c r="DHL110" s="957"/>
      <c r="DHM110" s="957"/>
      <c r="DHN110" s="957"/>
      <c r="DHO110" s="957"/>
      <c r="DHP110" s="957"/>
      <c r="DHQ110" s="957"/>
      <c r="DHR110" s="957"/>
      <c r="DHS110" s="957"/>
      <c r="DHT110" s="957"/>
      <c r="DHU110" s="957"/>
      <c r="DHV110" s="957"/>
      <c r="DHW110" s="957"/>
      <c r="DHX110" s="957"/>
      <c r="DHY110" s="957"/>
      <c r="DHZ110" s="957"/>
      <c r="DIA110" s="957"/>
      <c r="DIB110" s="957"/>
      <c r="DIC110" s="957"/>
      <c r="DID110" s="957"/>
      <c r="DIE110" s="957"/>
      <c r="DIF110" s="957"/>
      <c r="DIG110" s="957"/>
      <c r="DIH110" s="957"/>
      <c r="DII110" s="957"/>
      <c r="DIJ110" s="957"/>
      <c r="DIK110" s="957"/>
      <c r="DIL110" s="957"/>
      <c r="DIM110" s="957"/>
      <c r="DIN110" s="957"/>
      <c r="DIO110" s="957"/>
      <c r="DIP110" s="957"/>
      <c r="DIQ110" s="957"/>
      <c r="DIR110" s="957"/>
      <c r="DIS110" s="957"/>
      <c r="DIT110" s="957"/>
      <c r="DIU110" s="957"/>
      <c r="DIV110" s="957"/>
      <c r="DIW110" s="957"/>
      <c r="DIX110" s="957"/>
      <c r="DIY110" s="957"/>
      <c r="DIZ110" s="957"/>
      <c r="DJA110" s="957"/>
      <c r="DJB110" s="957"/>
      <c r="DJC110" s="957"/>
      <c r="DJD110" s="957"/>
      <c r="DJE110" s="957"/>
      <c r="DJF110" s="957"/>
      <c r="DJG110" s="957"/>
      <c r="DJH110" s="957"/>
      <c r="DJI110" s="957"/>
      <c r="DJJ110" s="957"/>
      <c r="DJK110" s="957"/>
      <c r="DJL110" s="957"/>
      <c r="DJM110" s="957"/>
      <c r="DJN110" s="957"/>
      <c r="DJO110" s="957"/>
      <c r="DJP110" s="957"/>
      <c r="DJQ110" s="957"/>
      <c r="DJR110" s="957"/>
      <c r="DJS110" s="957"/>
      <c r="DJT110" s="957"/>
      <c r="DJU110" s="957"/>
      <c r="DJV110" s="957"/>
      <c r="DJW110" s="957"/>
      <c r="DJX110" s="957"/>
      <c r="DJY110" s="957"/>
      <c r="DJZ110" s="957"/>
      <c r="DKA110" s="957"/>
      <c r="DKB110" s="957"/>
      <c r="DKC110" s="957"/>
      <c r="DKD110" s="957"/>
      <c r="DKE110" s="957"/>
      <c r="DKF110" s="957"/>
      <c r="DKG110" s="957"/>
      <c r="DKH110" s="957"/>
      <c r="DKI110" s="957"/>
      <c r="DKJ110" s="957"/>
      <c r="DKK110" s="957"/>
      <c r="DKL110" s="957"/>
      <c r="DKM110" s="957"/>
      <c r="DKN110" s="957"/>
      <c r="DKO110" s="957"/>
      <c r="DKP110" s="957"/>
      <c r="DKQ110" s="957"/>
      <c r="DKR110" s="957"/>
      <c r="DKS110" s="957"/>
      <c r="DKT110" s="957"/>
      <c r="DKU110" s="957"/>
      <c r="DKV110" s="957"/>
      <c r="DKW110" s="957"/>
      <c r="DKX110" s="957"/>
      <c r="DKY110" s="957"/>
      <c r="DKZ110" s="957"/>
      <c r="DLA110" s="957"/>
      <c r="DLB110" s="957"/>
      <c r="DLC110" s="957"/>
      <c r="DLD110" s="957"/>
      <c r="DLE110" s="957"/>
      <c r="DLF110" s="957"/>
      <c r="DLG110" s="957"/>
      <c r="DLH110" s="957"/>
      <c r="DLI110" s="957"/>
      <c r="DLJ110" s="957"/>
      <c r="DLK110" s="957"/>
      <c r="DLL110" s="957"/>
      <c r="DLM110" s="957"/>
      <c r="DLN110" s="957"/>
      <c r="DLO110" s="957"/>
      <c r="DLP110" s="957"/>
      <c r="DLQ110" s="957"/>
      <c r="DLR110" s="957"/>
      <c r="DLS110" s="957"/>
      <c r="DLT110" s="957"/>
      <c r="DLU110" s="957"/>
      <c r="DLV110" s="957"/>
      <c r="DLW110" s="957"/>
      <c r="DLX110" s="957"/>
      <c r="DLY110" s="957"/>
      <c r="DLZ110" s="957"/>
      <c r="DMA110" s="957"/>
      <c r="DMB110" s="957"/>
      <c r="DMC110" s="957"/>
      <c r="DMD110" s="957"/>
      <c r="DME110" s="957"/>
      <c r="DMF110" s="957"/>
      <c r="DMG110" s="957"/>
      <c r="DMH110" s="957"/>
      <c r="DMI110" s="957"/>
      <c r="DMJ110" s="957"/>
      <c r="DMK110" s="957"/>
      <c r="DML110" s="957"/>
      <c r="DMM110" s="957"/>
      <c r="DMN110" s="957"/>
      <c r="DMO110" s="957"/>
      <c r="DMP110" s="957"/>
      <c r="DMQ110" s="957"/>
      <c r="DMR110" s="957"/>
      <c r="DMS110" s="957"/>
      <c r="DMT110" s="957"/>
      <c r="DMU110" s="957"/>
      <c r="DMV110" s="957"/>
      <c r="DMW110" s="957"/>
      <c r="DMX110" s="957"/>
      <c r="DMY110" s="957"/>
      <c r="DMZ110" s="957"/>
      <c r="DNA110" s="957"/>
      <c r="DNB110" s="957"/>
      <c r="DNC110" s="957"/>
      <c r="DND110" s="957"/>
      <c r="DNE110" s="957"/>
      <c r="DNF110" s="957"/>
      <c r="DNG110" s="957"/>
      <c r="DNH110" s="957"/>
      <c r="DNI110" s="957"/>
      <c r="DNJ110" s="957"/>
      <c r="DNK110" s="957"/>
      <c r="DNL110" s="957"/>
      <c r="DNM110" s="957"/>
      <c r="DNN110" s="957"/>
      <c r="DNO110" s="957"/>
      <c r="DNP110" s="957"/>
      <c r="DNQ110" s="957"/>
      <c r="DNR110" s="957"/>
      <c r="DNS110" s="957"/>
      <c r="DNT110" s="957"/>
      <c r="DNU110" s="957"/>
      <c r="DNV110" s="957"/>
      <c r="DNW110" s="957"/>
      <c r="DNX110" s="957"/>
      <c r="DNY110" s="957"/>
      <c r="DNZ110" s="957"/>
      <c r="DOA110" s="957"/>
      <c r="DOB110" s="957"/>
      <c r="DOC110" s="957"/>
      <c r="DOD110" s="957"/>
      <c r="DOE110" s="957"/>
      <c r="DOF110" s="957"/>
      <c r="DOG110" s="957"/>
      <c r="DOH110" s="957"/>
      <c r="DOI110" s="957"/>
      <c r="DOJ110" s="957"/>
      <c r="DOK110" s="957"/>
      <c r="DOL110" s="957"/>
      <c r="DOM110" s="957"/>
      <c r="DON110" s="957"/>
      <c r="DOO110" s="957"/>
      <c r="DOP110" s="957"/>
      <c r="DOQ110" s="957"/>
      <c r="DOR110" s="957"/>
      <c r="DOS110" s="957"/>
      <c r="DOT110" s="957"/>
      <c r="DOU110" s="957"/>
      <c r="DOV110" s="957"/>
      <c r="DOW110" s="957"/>
      <c r="DOX110" s="957"/>
      <c r="DOY110" s="957"/>
      <c r="DOZ110" s="957"/>
      <c r="DPA110" s="957"/>
      <c r="DPB110" s="957"/>
      <c r="DPC110" s="957"/>
      <c r="DPD110" s="957"/>
      <c r="DPE110" s="957"/>
      <c r="DPF110" s="957"/>
      <c r="DPG110" s="957"/>
      <c r="DPH110" s="957"/>
      <c r="DPI110" s="957"/>
      <c r="DPJ110" s="957"/>
      <c r="DPK110" s="957"/>
      <c r="DPL110" s="957"/>
      <c r="DPM110" s="957"/>
      <c r="DPN110" s="957"/>
      <c r="DPO110" s="957"/>
      <c r="DPP110" s="957"/>
      <c r="DPQ110" s="957"/>
      <c r="DPR110" s="957"/>
      <c r="DPS110" s="957"/>
      <c r="DPT110" s="957"/>
      <c r="DPU110" s="957"/>
      <c r="DPV110" s="957"/>
      <c r="DPW110" s="957"/>
      <c r="DPX110" s="957"/>
      <c r="DPY110" s="957"/>
      <c r="DPZ110" s="957"/>
      <c r="DQA110" s="957"/>
      <c r="DQB110" s="957"/>
      <c r="DQC110" s="957"/>
      <c r="DQD110" s="957"/>
      <c r="DQE110" s="957"/>
      <c r="DQF110" s="957"/>
      <c r="DQG110" s="957"/>
      <c r="DQH110" s="957"/>
      <c r="DQI110" s="957"/>
      <c r="DQJ110" s="957"/>
      <c r="DQK110" s="957"/>
      <c r="DQL110" s="957"/>
      <c r="DQM110" s="957"/>
      <c r="DQN110" s="957"/>
      <c r="DQO110" s="957"/>
      <c r="DQP110" s="957"/>
      <c r="DQQ110" s="957"/>
      <c r="DQR110" s="957"/>
      <c r="DQS110" s="957"/>
      <c r="DQT110" s="957"/>
      <c r="DQU110" s="957"/>
      <c r="DQV110" s="957"/>
      <c r="DQW110" s="957"/>
      <c r="DQX110" s="957"/>
      <c r="DQY110" s="957"/>
      <c r="DQZ110" s="957"/>
      <c r="DRA110" s="957"/>
      <c r="DRB110" s="957"/>
      <c r="DRC110" s="957"/>
      <c r="DRD110" s="957"/>
      <c r="DRE110" s="957"/>
      <c r="DRF110" s="957"/>
      <c r="DRG110" s="957"/>
      <c r="DRH110" s="957"/>
      <c r="DRI110" s="957"/>
      <c r="DRJ110" s="957"/>
      <c r="DRK110" s="957"/>
      <c r="DRL110" s="957"/>
      <c r="DRM110" s="957"/>
      <c r="DRN110" s="957"/>
      <c r="DRO110" s="957"/>
      <c r="DRP110" s="957"/>
      <c r="DRQ110" s="957"/>
      <c r="DRR110" s="957"/>
      <c r="DRS110" s="957"/>
      <c r="DRT110" s="957"/>
      <c r="DRU110" s="957"/>
      <c r="DRV110" s="957"/>
      <c r="DRW110" s="957"/>
      <c r="DRX110" s="957"/>
      <c r="DRY110" s="957"/>
      <c r="DRZ110" s="957"/>
      <c r="DSA110" s="957"/>
      <c r="DSB110" s="957"/>
      <c r="DSC110" s="957"/>
      <c r="DSD110" s="957"/>
      <c r="DSE110" s="957"/>
      <c r="DSF110" s="957"/>
      <c r="DSG110" s="957"/>
      <c r="DSH110" s="957"/>
      <c r="DSI110" s="957"/>
      <c r="DSJ110" s="957"/>
      <c r="DSK110" s="957"/>
      <c r="DSL110" s="957"/>
      <c r="DSM110" s="957"/>
      <c r="DSN110" s="957"/>
      <c r="DSO110" s="957"/>
      <c r="DSP110" s="957"/>
      <c r="DSQ110" s="957"/>
      <c r="DSR110" s="957"/>
      <c r="DSS110" s="957"/>
      <c r="DST110" s="957"/>
      <c r="DSU110" s="957"/>
      <c r="DSV110" s="957"/>
      <c r="DSW110" s="957"/>
      <c r="DSX110" s="957"/>
      <c r="DSY110" s="957"/>
      <c r="DSZ110" s="957"/>
      <c r="DTA110" s="957"/>
      <c r="DTB110" s="957"/>
      <c r="DTC110" s="957"/>
      <c r="DTD110" s="957"/>
      <c r="DTE110" s="957"/>
      <c r="DTF110" s="957"/>
      <c r="DTG110" s="957"/>
      <c r="DTH110" s="957"/>
      <c r="DTI110" s="957"/>
      <c r="DTJ110" s="957"/>
      <c r="DTK110" s="957"/>
      <c r="DTL110" s="957"/>
      <c r="DTM110" s="957"/>
      <c r="DTN110" s="957"/>
      <c r="DTO110" s="957"/>
      <c r="DTP110" s="957"/>
      <c r="DTQ110" s="957"/>
      <c r="DTR110" s="957"/>
      <c r="DTS110" s="957"/>
      <c r="DTT110" s="957"/>
      <c r="DTU110" s="957"/>
      <c r="DTV110" s="957"/>
      <c r="DTW110" s="957"/>
      <c r="DTX110" s="957"/>
      <c r="DTY110" s="957"/>
      <c r="DTZ110" s="957"/>
      <c r="DUA110" s="957"/>
      <c r="DUB110" s="957"/>
      <c r="DUC110" s="957"/>
      <c r="DUD110" s="957"/>
      <c r="DUE110" s="957"/>
      <c r="DUF110" s="957"/>
      <c r="DUG110" s="957"/>
      <c r="DUH110" s="957"/>
      <c r="DUI110" s="957"/>
      <c r="DUJ110" s="957"/>
      <c r="DUK110" s="957"/>
      <c r="DUL110" s="957"/>
      <c r="DUM110" s="957"/>
      <c r="DUN110" s="957"/>
      <c r="DUO110" s="957"/>
      <c r="DUP110" s="957"/>
      <c r="DUQ110" s="957"/>
      <c r="DUR110" s="957"/>
      <c r="DUS110" s="957"/>
      <c r="DUT110" s="957"/>
      <c r="DUU110" s="957"/>
      <c r="DUV110" s="957"/>
      <c r="DUW110" s="957"/>
      <c r="DUX110" s="957"/>
      <c r="DUY110" s="957"/>
      <c r="DUZ110" s="957"/>
      <c r="DVA110" s="957"/>
      <c r="DVB110" s="957"/>
      <c r="DVC110" s="957"/>
      <c r="DVD110" s="957"/>
      <c r="DVE110" s="957"/>
      <c r="DVF110" s="957"/>
      <c r="DVG110" s="957"/>
      <c r="DVH110" s="957"/>
      <c r="DVI110" s="957"/>
      <c r="DVJ110" s="957"/>
      <c r="DVK110" s="957"/>
      <c r="DVL110" s="957"/>
      <c r="DVM110" s="957"/>
      <c r="DVN110" s="957"/>
      <c r="DVO110" s="957"/>
      <c r="DVP110" s="957"/>
      <c r="DVQ110" s="957"/>
      <c r="DVR110" s="957"/>
      <c r="DVS110" s="957"/>
      <c r="DVT110" s="957"/>
      <c r="DVU110" s="957"/>
      <c r="DVV110" s="957"/>
      <c r="DVW110" s="957"/>
      <c r="DVX110" s="957"/>
      <c r="DVY110" s="957"/>
      <c r="DVZ110" s="957"/>
      <c r="DWA110" s="957"/>
      <c r="DWB110" s="957"/>
      <c r="DWC110" s="957"/>
      <c r="DWD110" s="957"/>
      <c r="DWE110" s="957"/>
      <c r="DWF110" s="957"/>
      <c r="DWG110" s="957"/>
      <c r="DWH110" s="957"/>
      <c r="DWI110" s="957"/>
      <c r="DWJ110" s="957"/>
      <c r="DWK110" s="957"/>
      <c r="DWL110" s="957"/>
      <c r="DWM110" s="957"/>
      <c r="DWN110" s="957"/>
      <c r="DWO110" s="957"/>
      <c r="DWP110" s="957"/>
      <c r="DWQ110" s="957"/>
      <c r="DWR110" s="957"/>
      <c r="DWS110" s="957"/>
      <c r="DWT110" s="957"/>
      <c r="DWU110" s="957"/>
      <c r="DWV110" s="957"/>
      <c r="DWW110" s="957"/>
      <c r="DWX110" s="957"/>
      <c r="DWY110" s="957"/>
      <c r="DWZ110" s="957"/>
      <c r="DXA110" s="957"/>
      <c r="DXB110" s="957"/>
      <c r="DXC110" s="957"/>
      <c r="DXD110" s="957"/>
      <c r="DXE110" s="957"/>
      <c r="DXF110" s="957"/>
      <c r="DXG110" s="957"/>
      <c r="DXH110" s="957"/>
      <c r="DXI110" s="957"/>
      <c r="DXJ110" s="957"/>
      <c r="DXK110" s="957"/>
      <c r="DXL110" s="957"/>
      <c r="DXM110" s="957"/>
      <c r="DXN110" s="957"/>
      <c r="DXO110" s="957"/>
      <c r="DXP110" s="957"/>
      <c r="DXQ110" s="957"/>
      <c r="DXR110" s="957"/>
      <c r="DXS110" s="957"/>
      <c r="DXT110" s="957"/>
      <c r="DXU110" s="957"/>
      <c r="DXV110" s="957"/>
      <c r="DXW110" s="957"/>
      <c r="DXX110" s="957"/>
      <c r="DXY110" s="957"/>
      <c r="DXZ110" s="957"/>
      <c r="DYA110" s="957"/>
      <c r="DYB110" s="957"/>
      <c r="DYC110" s="957"/>
      <c r="DYD110" s="957"/>
      <c r="DYE110" s="957"/>
      <c r="DYF110" s="957"/>
      <c r="DYG110" s="957"/>
      <c r="DYH110" s="957"/>
      <c r="DYI110" s="957"/>
      <c r="DYJ110" s="957"/>
      <c r="DYK110" s="957"/>
      <c r="DYL110" s="957"/>
      <c r="DYM110" s="957"/>
      <c r="DYN110" s="957"/>
      <c r="DYO110" s="957"/>
      <c r="DYP110" s="957"/>
      <c r="DYQ110" s="957"/>
      <c r="DYR110" s="957"/>
      <c r="DYS110" s="957"/>
      <c r="DYT110" s="957"/>
      <c r="DYU110" s="957"/>
      <c r="DYV110" s="957"/>
      <c r="DYW110" s="957"/>
      <c r="DYX110" s="957"/>
      <c r="DYY110" s="957"/>
      <c r="DYZ110" s="957"/>
      <c r="DZA110" s="957"/>
      <c r="DZB110" s="957"/>
      <c r="DZC110" s="957"/>
      <c r="DZD110" s="957"/>
      <c r="DZE110" s="957"/>
      <c r="DZF110" s="957"/>
      <c r="DZG110" s="957"/>
      <c r="DZH110" s="957"/>
      <c r="DZI110" s="957"/>
      <c r="DZJ110" s="957"/>
      <c r="DZK110" s="957"/>
      <c r="DZL110" s="957"/>
      <c r="DZM110" s="957"/>
      <c r="DZN110" s="957"/>
      <c r="DZO110" s="957"/>
      <c r="DZP110" s="957"/>
      <c r="DZQ110" s="957"/>
      <c r="DZR110" s="957"/>
      <c r="DZS110" s="957"/>
      <c r="DZT110" s="957"/>
      <c r="DZU110" s="957"/>
      <c r="DZV110" s="957"/>
      <c r="DZW110" s="957"/>
      <c r="DZX110" s="957"/>
      <c r="DZY110" s="957"/>
      <c r="DZZ110" s="957"/>
      <c r="EAA110" s="957"/>
      <c r="EAB110" s="957"/>
      <c r="EAC110" s="957"/>
      <c r="EAD110" s="957"/>
      <c r="EAE110" s="957"/>
      <c r="EAF110" s="957"/>
      <c r="EAG110" s="957"/>
      <c r="EAH110" s="957"/>
      <c r="EAI110" s="957"/>
      <c r="EAJ110" s="957"/>
      <c r="EAK110" s="957"/>
      <c r="EAL110" s="957"/>
      <c r="EAM110" s="957"/>
      <c r="EAN110" s="957"/>
      <c r="EAO110" s="957"/>
      <c r="EAP110" s="957"/>
      <c r="EAQ110" s="957"/>
      <c r="EAR110" s="957"/>
      <c r="EAS110" s="957"/>
      <c r="EAT110" s="957"/>
      <c r="EAU110" s="957"/>
      <c r="EAV110" s="957"/>
      <c r="EAW110" s="957"/>
      <c r="EAX110" s="957"/>
      <c r="EAY110" s="957"/>
      <c r="EAZ110" s="957"/>
      <c r="EBA110" s="957"/>
      <c r="EBB110" s="957"/>
      <c r="EBC110" s="957"/>
      <c r="EBD110" s="957"/>
      <c r="EBE110" s="957"/>
      <c r="EBF110" s="957"/>
      <c r="EBG110" s="957"/>
      <c r="EBH110" s="957"/>
      <c r="EBI110" s="957"/>
      <c r="EBJ110" s="957"/>
      <c r="EBK110" s="957"/>
      <c r="EBL110" s="957"/>
      <c r="EBM110" s="957"/>
      <c r="EBN110" s="957"/>
      <c r="EBO110" s="957"/>
      <c r="EBP110" s="957"/>
      <c r="EBQ110" s="957"/>
      <c r="EBR110" s="957"/>
      <c r="EBS110" s="957"/>
      <c r="EBT110" s="957"/>
      <c r="EBU110" s="957"/>
      <c r="EBV110" s="957"/>
      <c r="EBW110" s="957"/>
      <c r="EBX110" s="957"/>
      <c r="EBY110" s="957"/>
      <c r="EBZ110" s="957"/>
      <c r="ECA110" s="957"/>
      <c r="ECB110" s="957"/>
      <c r="ECC110" s="957"/>
      <c r="ECD110" s="957"/>
      <c r="ECE110" s="957"/>
      <c r="ECF110" s="957"/>
      <c r="ECG110" s="957"/>
      <c r="ECH110" s="957"/>
      <c r="ECI110" s="957"/>
      <c r="ECJ110" s="957"/>
      <c r="ECK110" s="957"/>
      <c r="ECL110" s="957"/>
      <c r="ECM110" s="957"/>
      <c r="ECN110" s="957"/>
      <c r="ECO110" s="957"/>
      <c r="ECP110" s="957"/>
      <c r="ECQ110" s="957"/>
      <c r="ECR110" s="957"/>
      <c r="ECS110" s="957"/>
      <c r="ECT110" s="957"/>
      <c r="ECU110" s="957"/>
      <c r="ECV110" s="957"/>
      <c r="ECW110" s="957"/>
      <c r="ECX110" s="957"/>
      <c r="ECY110" s="957"/>
      <c r="ECZ110" s="957"/>
      <c r="EDA110" s="957"/>
      <c r="EDB110" s="957"/>
      <c r="EDC110" s="957"/>
      <c r="EDD110" s="957"/>
      <c r="EDE110" s="957"/>
      <c r="EDF110" s="957"/>
      <c r="EDG110" s="957"/>
      <c r="EDH110" s="957"/>
      <c r="EDI110" s="957"/>
      <c r="EDJ110" s="957"/>
      <c r="EDK110" s="957"/>
      <c r="EDL110" s="957"/>
      <c r="EDM110" s="957"/>
      <c r="EDN110" s="957"/>
      <c r="EDO110" s="957"/>
      <c r="EDP110" s="957"/>
      <c r="EDQ110" s="957"/>
      <c r="EDR110" s="957"/>
      <c r="EDS110" s="957"/>
      <c r="EDT110" s="957"/>
      <c r="EDU110" s="957"/>
      <c r="EDV110" s="957"/>
      <c r="EDW110" s="957"/>
      <c r="EDX110" s="957"/>
      <c r="EDY110" s="957"/>
      <c r="EDZ110" s="957"/>
      <c r="EEA110" s="957"/>
      <c r="EEB110" s="957"/>
      <c r="EEC110" s="957"/>
      <c r="EED110" s="957"/>
      <c r="EEE110" s="957"/>
      <c r="EEF110" s="957"/>
      <c r="EEG110" s="957"/>
      <c r="EEH110" s="957"/>
      <c r="EEI110" s="957"/>
      <c r="EEJ110" s="957"/>
      <c r="EEK110" s="957"/>
      <c r="EEL110" s="957"/>
      <c r="EEM110" s="957"/>
      <c r="EEN110" s="957"/>
      <c r="EEO110" s="957"/>
      <c r="EEP110" s="957"/>
      <c r="EEQ110" s="957"/>
      <c r="EER110" s="957"/>
      <c r="EES110" s="957"/>
      <c r="EET110" s="957"/>
      <c r="EEU110" s="957"/>
      <c r="EEV110" s="957"/>
      <c r="EEW110" s="957"/>
      <c r="EEX110" s="957"/>
      <c r="EEY110" s="957"/>
      <c r="EEZ110" s="957"/>
      <c r="EFA110" s="957"/>
      <c r="EFB110" s="957"/>
      <c r="EFC110" s="957"/>
      <c r="EFD110" s="957"/>
      <c r="EFE110" s="957"/>
      <c r="EFF110" s="957"/>
      <c r="EFG110" s="957"/>
      <c r="EFH110" s="957"/>
      <c r="EFI110" s="957"/>
      <c r="EFJ110" s="957"/>
      <c r="EFK110" s="957"/>
      <c r="EFL110" s="957"/>
      <c r="EFM110" s="957"/>
      <c r="EFN110" s="957"/>
      <c r="EFO110" s="957"/>
      <c r="EFP110" s="957"/>
      <c r="EFQ110" s="957"/>
      <c r="EFR110" s="957"/>
      <c r="EFS110" s="957"/>
      <c r="EFT110" s="957"/>
      <c r="EFU110" s="957"/>
      <c r="EFV110" s="957"/>
      <c r="EFW110" s="957"/>
      <c r="EFX110" s="957"/>
      <c r="EFY110" s="957"/>
      <c r="EFZ110" s="957"/>
      <c r="EGA110" s="957"/>
      <c r="EGB110" s="957"/>
      <c r="EGC110" s="957"/>
      <c r="EGD110" s="957"/>
      <c r="EGE110" s="957"/>
      <c r="EGF110" s="957"/>
      <c r="EGG110" s="957"/>
      <c r="EGH110" s="957"/>
      <c r="EGI110" s="957"/>
      <c r="EGJ110" s="957"/>
      <c r="EGK110" s="957"/>
      <c r="EGL110" s="957"/>
      <c r="EGM110" s="957"/>
      <c r="EGN110" s="957"/>
      <c r="EGO110" s="957"/>
      <c r="EGP110" s="957"/>
      <c r="EGQ110" s="957"/>
      <c r="EGR110" s="957"/>
      <c r="EGS110" s="957"/>
      <c r="EGT110" s="957"/>
      <c r="EGU110" s="957"/>
      <c r="EGV110" s="957"/>
      <c r="EGW110" s="957"/>
      <c r="EGX110" s="957"/>
      <c r="EGY110" s="957"/>
      <c r="EGZ110" s="957"/>
      <c r="EHA110" s="957"/>
      <c r="EHB110" s="957"/>
      <c r="EHC110" s="957"/>
      <c r="EHD110" s="957"/>
      <c r="EHE110" s="957"/>
      <c r="EHF110" s="957"/>
      <c r="EHG110" s="957"/>
      <c r="EHH110" s="957"/>
      <c r="EHI110" s="957"/>
      <c r="EHJ110" s="957"/>
      <c r="EHK110" s="957"/>
      <c r="EHL110" s="957"/>
      <c r="EHM110" s="957"/>
      <c r="EHN110" s="957"/>
      <c r="EHO110" s="957"/>
      <c r="EHP110" s="957"/>
      <c r="EHQ110" s="957"/>
      <c r="EHR110" s="957"/>
      <c r="EHS110" s="957"/>
      <c r="EHT110" s="957"/>
      <c r="EHU110" s="957"/>
      <c r="EHV110" s="957"/>
      <c r="EHW110" s="957"/>
      <c r="EHX110" s="957"/>
      <c r="EHY110" s="957"/>
      <c r="EHZ110" s="957"/>
      <c r="EIA110" s="957"/>
      <c r="EIB110" s="957"/>
      <c r="EIC110" s="957"/>
      <c r="EID110" s="957"/>
      <c r="EIE110" s="957"/>
      <c r="EIF110" s="957"/>
      <c r="EIG110" s="957"/>
      <c r="EIH110" s="957"/>
      <c r="EII110" s="957"/>
      <c r="EIJ110" s="957"/>
      <c r="EIK110" s="957"/>
      <c r="EIL110" s="957"/>
      <c r="EIM110" s="957"/>
      <c r="EIN110" s="957"/>
      <c r="EIO110" s="957"/>
      <c r="EIP110" s="957"/>
      <c r="EIQ110" s="957"/>
      <c r="EIR110" s="957"/>
      <c r="EIS110" s="957"/>
      <c r="EIT110" s="957"/>
      <c r="EIU110" s="957"/>
      <c r="EIV110" s="957"/>
      <c r="EIW110" s="957"/>
      <c r="EIX110" s="957"/>
      <c r="EIY110" s="957"/>
      <c r="EIZ110" s="957"/>
      <c r="EJA110" s="957"/>
      <c r="EJB110" s="957"/>
      <c r="EJC110" s="957"/>
      <c r="EJD110" s="957"/>
      <c r="EJE110" s="957"/>
      <c r="EJF110" s="957"/>
      <c r="EJG110" s="957"/>
      <c r="EJH110" s="957"/>
      <c r="EJI110" s="957"/>
      <c r="EJJ110" s="957"/>
      <c r="EJK110" s="957"/>
      <c r="EJL110" s="957"/>
      <c r="EJM110" s="957"/>
      <c r="EJN110" s="957"/>
      <c r="EJO110" s="957"/>
      <c r="EJP110" s="957"/>
      <c r="EJQ110" s="957"/>
      <c r="EJR110" s="957"/>
      <c r="EJS110" s="957"/>
      <c r="EJT110" s="957"/>
      <c r="EJU110" s="957"/>
      <c r="EJV110" s="957"/>
      <c r="EJW110" s="957"/>
      <c r="EJX110" s="957"/>
      <c r="EJY110" s="957"/>
      <c r="EJZ110" s="957"/>
      <c r="EKA110" s="957"/>
      <c r="EKB110" s="957"/>
      <c r="EKC110" s="957"/>
      <c r="EKD110" s="957"/>
      <c r="EKE110" s="957"/>
      <c r="EKF110" s="957"/>
      <c r="EKG110" s="957"/>
      <c r="EKH110" s="957"/>
      <c r="EKI110" s="957"/>
      <c r="EKJ110" s="957"/>
      <c r="EKK110" s="957"/>
      <c r="EKL110" s="957"/>
      <c r="EKM110" s="957"/>
      <c r="EKN110" s="957"/>
      <c r="EKO110" s="957"/>
      <c r="EKP110" s="957"/>
      <c r="EKQ110" s="957"/>
      <c r="EKR110" s="957"/>
      <c r="EKS110" s="957"/>
      <c r="EKT110" s="957"/>
      <c r="EKU110" s="957"/>
      <c r="EKV110" s="957"/>
      <c r="EKW110" s="957"/>
      <c r="EKX110" s="957"/>
      <c r="EKY110" s="957"/>
      <c r="EKZ110" s="957"/>
      <c r="ELA110" s="957"/>
      <c r="ELB110" s="957"/>
      <c r="ELC110" s="957"/>
      <c r="ELD110" s="957"/>
      <c r="ELE110" s="957"/>
      <c r="ELF110" s="957"/>
      <c r="ELG110" s="957"/>
      <c r="ELH110" s="957"/>
      <c r="ELI110" s="957"/>
      <c r="ELJ110" s="957"/>
      <c r="ELK110" s="957"/>
      <c r="ELL110" s="957"/>
      <c r="ELM110" s="957"/>
      <c r="ELN110" s="957"/>
      <c r="ELO110" s="957"/>
      <c r="ELP110" s="957"/>
      <c r="ELQ110" s="957"/>
      <c r="ELR110" s="957"/>
      <c r="ELS110" s="957"/>
      <c r="ELT110" s="957"/>
      <c r="ELU110" s="957"/>
      <c r="ELV110" s="957"/>
      <c r="ELW110" s="957"/>
      <c r="ELX110" s="957"/>
      <c r="ELY110" s="957"/>
      <c r="ELZ110" s="957"/>
      <c r="EMA110" s="957"/>
      <c r="EMB110" s="957"/>
      <c r="EMC110" s="957"/>
      <c r="EMD110" s="957"/>
      <c r="EME110" s="957"/>
      <c r="EMF110" s="957"/>
      <c r="EMG110" s="957"/>
      <c r="EMH110" s="957"/>
      <c r="EMI110" s="957"/>
      <c r="EMJ110" s="957"/>
      <c r="EMK110" s="957"/>
      <c r="EML110" s="957"/>
      <c r="EMM110" s="957"/>
      <c r="EMN110" s="957"/>
      <c r="EMO110" s="957"/>
      <c r="EMP110" s="957"/>
      <c r="EMQ110" s="957"/>
      <c r="EMR110" s="957"/>
      <c r="EMS110" s="957"/>
      <c r="EMT110" s="957"/>
      <c r="EMU110" s="957"/>
      <c r="EMV110" s="957"/>
      <c r="EMW110" s="957"/>
      <c r="EMX110" s="957"/>
      <c r="EMY110" s="957"/>
      <c r="EMZ110" s="957"/>
      <c r="ENA110" s="957"/>
      <c r="ENB110" s="957"/>
      <c r="ENC110" s="957"/>
      <c r="END110" s="957"/>
      <c r="ENE110" s="957"/>
      <c r="ENF110" s="957"/>
      <c r="ENG110" s="957"/>
      <c r="ENH110" s="957"/>
      <c r="ENI110" s="957"/>
      <c r="ENJ110" s="957"/>
      <c r="ENK110" s="957"/>
      <c r="ENL110" s="957"/>
      <c r="ENM110" s="957"/>
      <c r="ENN110" s="957"/>
      <c r="ENO110" s="957"/>
      <c r="ENP110" s="957"/>
      <c r="ENQ110" s="957"/>
      <c r="ENR110" s="957"/>
      <c r="ENS110" s="957"/>
      <c r="ENT110" s="957"/>
      <c r="ENU110" s="957"/>
      <c r="ENV110" s="957"/>
      <c r="ENW110" s="957"/>
      <c r="ENX110" s="957"/>
      <c r="ENY110" s="957"/>
      <c r="ENZ110" s="957"/>
      <c r="EOA110" s="957"/>
      <c r="EOB110" s="957"/>
      <c r="EOC110" s="957"/>
      <c r="EOD110" s="957"/>
      <c r="EOE110" s="957"/>
      <c r="EOF110" s="957"/>
      <c r="EOG110" s="957"/>
      <c r="EOH110" s="957"/>
      <c r="EOI110" s="957"/>
      <c r="EOJ110" s="957"/>
      <c r="EOK110" s="957"/>
      <c r="EOL110" s="957"/>
      <c r="EOM110" s="957"/>
      <c r="EON110" s="957"/>
      <c r="EOO110" s="957"/>
      <c r="EOP110" s="957"/>
      <c r="EOQ110" s="957"/>
      <c r="EOR110" s="957"/>
      <c r="EOS110" s="957"/>
      <c r="EOT110" s="957"/>
      <c r="EOU110" s="957"/>
      <c r="EOV110" s="957"/>
      <c r="EOW110" s="957"/>
      <c r="EOX110" s="957"/>
      <c r="EOY110" s="957"/>
      <c r="EOZ110" s="957"/>
      <c r="EPA110" s="957"/>
      <c r="EPB110" s="957"/>
      <c r="EPC110" s="957"/>
      <c r="EPD110" s="957"/>
      <c r="EPE110" s="957"/>
      <c r="EPF110" s="957"/>
      <c r="EPG110" s="957"/>
      <c r="EPH110" s="957"/>
      <c r="EPI110" s="957"/>
      <c r="EPJ110" s="957"/>
      <c r="EPK110" s="957"/>
      <c r="EPL110" s="957"/>
      <c r="EPM110" s="957"/>
      <c r="EPN110" s="957"/>
      <c r="EPO110" s="957"/>
      <c r="EPP110" s="957"/>
      <c r="EPQ110" s="957"/>
      <c r="EPR110" s="957"/>
      <c r="EPS110" s="957"/>
      <c r="EPT110" s="957"/>
      <c r="EPU110" s="957"/>
      <c r="EPV110" s="957"/>
      <c r="EPW110" s="957"/>
      <c r="EPX110" s="957"/>
      <c r="EPY110" s="957"/>
      <c r="EPZ110" s="957"/>
      <c r="EQA110" s="957"/>
      <c r="EQB110" s="957"/>
      <c r="EQC110" s="957"/>
      <c r="EQD110" s="957"/>
      <c r="EQE110" s="957"/>
      <c r="EQF110" s="957"/>
      <c r="EQG110" s="957"/>
      <c r="EQH110" s="957"/>
      <c r="EQI110" s="957"/>
      <c r="EQJ110" s="957"/>
      <c r="EQK110" s="957"/>
      <c r="EQL110" s="957"/>
      <c r="EQM110" s="957"/>
      <c r="EQN110" s="957"/>
      <c r="EQO110" s="957"/>
      <c r="EQP110" s="957"/>
      <c r="EQQ110" s="957"/>
      <c r="EQR110" s="957"/>
      <c r="EQS110" s="957"/>
      <c r="EQT110" s="957"/>
      <c r="EQU110" s="957"/>
      <c r="EQV110" s="957"/>
      <c r="EQW110" s="957"/>
      <c r="EQX110" s="957"/>
      <c r="EQY110" s="957"/>
      <c r="EQZ110" s="957"/>
      <c r="ERA110" s="957"/>
      <c r="ERB110" s="957"/>
      <c r="ERC110" s="957"/>
      <c r="ERD110" s="957"/>
      <c r="ERE110" s="957"/>
      <c r="ERF110" s="957"/>
      <c r="ERG110" s="957"/>
      <c r="ERH110" s="957"/>
      <c r="ERI110" s="957"/>
      <c r="ERJ110" s="957"/>
      <c r="ERK110" s="957"/>
      <c r="ERL110" s="957"/>
      <c r="ERM110" s="957"/>
      <c r="ERN110" s="957"/>
      <c r="ERO110" s="957"/>
      <c r="ERP110" s="957"/>
      <c r="ERQ110" s="957"/>
      <c r="ERR110" s="957"/>
      <c r="ERS110" s="957"/>
      <c r="ERT110" s="957"/>
      <c r="ERU110" s="957"/>
      <c r="ERV110" s="957"/>
      <c r="ERW110" s="957"/>
      <c r="ERX110" s="957"/>
      <c r="ERY110" s="957"/>
      <c r="ERZ110" s="957"/>
      <c r="ESA110" s="957"/>
      <c r="ESB110" s="957"/>
      <c r="ESC110" s="957"/>
      <c r="ESD110" s="957"/>
      <c r="ESE110" s="957"/>
      <c r="ESF110" s="957"/>
      <c r="ESG110" s="957"/>
      <c r="ESH110" s="957"/>
      <c r="ESI110" s="957"/>
      <c r="ESJ110" s="957"/>
      <c r="ESK110" s="957"/>
      <c r="ESL110" s="957"/>
      <c r="ESM110" s="957"/>
      <c r="ESN110" s="957"/>
      <c r="ESO110" s="957"/>
      <c r="ESP110" s="957"/>
      <c r="ESQ110" s="957"/>
      <c r="ESR110" s="957"/>
      <c r="ESS110" s="957"/>
      <c r="EST110" s="957"/>
      <c r="ESU110" s="957"/>
      <c r="ESV110" s="957"/>
      <c r="ESW110" s="957"/>
      <c r="ESX110" s="957"/>
      <c r="ESY110" s="957"/>
      <c r="ESZ110" s="957"/>
      <c r="ETA110" s="957"/>
      <c r="ETB110" s="957"/>
      <c r="ETC110" s="957"/>
      <c r="ETD110" s="957"/>
      <c r="ETE110" s="957"/>
      <c r="ETF110" s="957"/>
      <c r="ETG110" s="957"/>
      <c r="ETH110" s="957"/>
      <c r="ETI110" s="957"/>
      <c r="ETJ110" s="957"/>
      <c r="ETK110" s="957"/>
      <c r="ETL110" s="957"/>
      <c r="ETM110" s="957"/>
      <c r="ETN110" s="957"/>
      <c r="ETO110" s="957"/>
      <c r="ETP110" s="957"/>
      <c r="ETQ110" s="957"/>
      <c r="ETR110" s="957"/>
      <c r="ETS110" s="957"/>
      <c r="ETT110" s="957"/>
      <c r="ETU110" s="957"/>
      <c r="ETV110" s="957"/>
      <c r="ETW110" s="957"/>
      <c r="ETX110" s="957"/>
      <c r="ETY110" s="957"/>
      <c r="ETZ110" s="957"/>
      <c r="EUA110" s="957"/>
      <c r="EUB110" s="957"/>
      <c r="EUC110" s="957"/>
      <c r="EUD110" s="957"/>
      <c r="EUE110" s="957"/>
      <c r="EUF110" s="957"/>
      <c r="EUG110" s="957"/>
      <c r="EUH110" s="957"/>
      <c r="EUI110" s="957"/>
      <c r="EUJ110" s="957"/>
      <c r="EUK110" s="957"/>
      <c r="EUL110" s="957"/>
      <c r="EUM110" s="957"/>
      <c r="EUN110" s="957"/>
      <c r="EUO110" s="957"/>
      <c r="EUP110" s="957"/>
      <c r="EUQ110" s="957"/>
      <c r="EUR110" s="957"/>
      <c r="EUS110" s="957"/>
      <c r="EUT110" s="957"/>
      <c r="EUU110" s="957"/>
      <c r="EUV110" s="957"/>
      <c r="EUW110" s="957"/>
      <c r="EUX110" s="957"/>
      <c r="EUY110" s="957"/>
      <c r="EUZ110" s="957"/>
      <c r="EVA110" s="957"/>
      <c r="EVB110" s="957"/>
      <c r="EVC110" s="957"/>
      <c r="EVD110" s="957"/>
      <c r="EVE110" s="957"/>
      <c r="EVF110" s="957"/>
      <c r="EVG110" s="957"/>
      <c r="EVH110" s="957"/>
      <c r="EVI110" s="957"/>
      <c r="EVJ110" s="957"/>
      <c r="EVK110" s="957"/>
      <c r="EVL110" s="957"/>
      <c r="EVM110" s="957"/>
      <c r="EVN110" s="957"/>
      <c r="EVO110" s="957"/>
      <c r="EVP110" s="957"/>
      <c r="EVQ110" s="957"/>
      <c r="EVR110" s="957"/>
      <c r="EVS110" s="957"/>
      <c r="EVT110" s="957"/>
      <c r="EVU110" s="957"/>
      <c r="EVV110" s="957"/>
      <c r="EVW110" s="957"/>
      <c r="EVX110" s="957"/>
      <c r="EVY110" s="957"/>
      <c r="EVZ110" s="957"/>
      <c r="EWA110" s="957"/>
      <c r="EWB110" s="957"/>
      <c r="EWC110" s="957"/>
      <c r="EWD110" s="957"/>
      <c r="EWE110" s="957"/>
      <c r="EWF110" s="957"/>
      <c r="EWG110" s="957"/>
      <c r="EWH110" s="957"/>
      <c r="EWI110" s="957"/>
      <c r="EWJ110" s="957"/>
      <c r="EWK110" s="957"/>
      <c r="EWL110" s="957"/>
      <c r="EWM110" s="957"/>
      <c r="EWN110" s="957"/>
      <c r="EWO110" s="957"/>
      <c r="EWP110" s="957"/>
      <c r="EWQ110" s="957"/>
      <c r="EWR110" s="957"/>
      <c r="EWS110" s="957"/>
      <c r="EWT110" s="957"/>
      <c r="EWU110" s="957"/>
      <c r="EWV110" s="957"/>
      <c r="EWW110" s="957"/>
      <c r="EWX110" s="957"/>
      <c r="EWY110" s="957"/>
      <c r="EWZ110" s="957"/>
      <c r="EXA110" s="957"/>
      <c r="EXB110" s="957"/>
      <c r="EXC110" s="957"/>
      <c r="EXD110" s="957"/>
      <c r="EXE110" s="957"/>
      <c r="EXF110" s="957"/>
      <c r="EXG110" s="957"/>
      <c r="EXH110" s="957"/>
      <c r="EXI110" s="957"/>
      <c r="EXJ110" s="957"/>
      <c r="EXK110" s="957"/>
      <c r="EXL110" s="957"/>
      <c r="EXM110" s="957"/>
      <c r="EXN110" s="957"/>
      <c r="EXO110" s="957"/>
      <c r="EXP110" s="957"/>
      <c r="EXQ110" s="957"/>
      <c r="EXR110" s="957"/>
      <c r="EXS110" s="957"/>
      <c r="EXT110" s="957"/>
      <c r="EXU110" s="957"/>
      <c r="EXV110" s="957"/>
      <c r="EXW110" s="957"/>
      <c r="EXX110" s="957"/>
      <c r="EXY110" s="957"/>
      <c r="EXZ110" s="957"/>
      <c r="EYA110" s="957"/>
      <c r="EYB110" s="957"/>
      <c r="EYC110" s="957"/>
      <c r="EYD110" s="957"/>
      <c r="EYE110" s="957"/>
      <c r="EYF110" s="957"/>
      <c r="EYG110" s="957"/>
      <c r="EYH110" s="957"/>
      <c r="EYI110" s="957"/>
      <c r="EYJ110" s="957"/>
      <c r="EYK110" s="957"/>
      <c r="EYL110" s="957"/>
      <c r="EYM110" s="957"/>
      <c r="EYN110" s="957"/>
      <c r="EYO110" s="957"/>
      <c r="EYP110" s="957"/>
      <c r="EYQ110" s="957"/>
      <c r="EYR110" s="957"/>
      <c r="EYS110" s="957"/>
      <c r="EYT110" s="957"/>
      <c r="EYU110" s="957"/>
      <c r="EYV110" s="957"/>
      <c r="EYW110" s="957"/>
      <c r="EYX110" s="957"/>
      <c r="EYY110" s="957"/>
      <c r="EYZ110" s="957"/>
      <c r="EZA110" s="957"/>
      <c r="EZB110" s="957"/>
      <c r="EZC110" s="957"/>
      <c r="EZD110" s="957"/>
      <c r="EZE110" s="957"/>
      <c r="EZF110" s="957"/>
      <c r="EZG110" s="957"/>
      <c r="EZH110" s="957"/>
      <c r="EZI110" s="957"/>
      <c r="EZJ110" s="957"/>
      <c r="EZK110" s="957"/>
      <c r="EZL110" s="957"/>
      <c r="EZM110" s="957"/>
      <c r="EZN110" s="957"/>
      <c r="EZO110" s="957"/>
      <c r="EZP110" s="957"/>
      <c r="EZQ110" s="957"/>
      <c r="EZR110" s="957"/>
      <c r="EZS110" s="957"/>
      <c r="EZT110" s="957"/>
      <c r="EZU110" s="957"/>
      <c r="EZV110" s="957"/>
      <c r="EZW110" s="957"/>
      <c r="EZX110" s="957"/>
      <c r="EZY110" s="957"/>
      <c r="EZZ110" s="957"/>
      <c r="FAA110" s="957"/>
      <c r="FAB110" s="957"/>
      <c r="FAC110" s="957"/>
      <c r="FAD110" s="957"/>
      <c r="FAE110" s="957"/>
      <c r="FAF110" s="957"/>
      <c r="FAG110" s="957"/>
      <c r="FAH110" s="957"/>
      <c r="FAI110" s="957"/>
      <c r="FAJ110" s="957"/>
      <c r="FAK110" s="957"/>
      <c r="FAL110" s="957"/>
      <c r="FAM110" s="957"/>
      <c r="FAN110" s="957"/>
      <c r="FAO110" s="957"/>
      <c r="FAP110" s="957"/>
      <c r="FAQ110" s="957"/>
      <c r="FAR110" s="957"/>
      <c r="FAS110" s="957"/>
      <c r="FAT110" s="957"/>
      <c r="FAU110" s="957"/>
      <c r="FAV110" s="957"/>
      <c r="FAW110" s="957"/>
      <c r="FAX110" s="957"/>
      <c r="FAY110" s="957"/>
      <c r="FAZ110" s="957"/>
      <c r="FBA110" s="957"/>
      <c r="FBB110" s="957"/>
      <c r="FBC110" s="957"/>
      <c r="FBD110" s="957"/>
      <c r="FBE110" s="957"/>
      <c r="FBF110" s="957"/>
      <c r="FBG110" s="957"/>
      <c r="FBH110" s="957"/>
      <c r="FBI110" s="957"/>
      <c r="FBJ110" s="957"/>
      <c r="FBK110" s="957"/>
      <c r="FBL110" s="957"/>
      <c r="FBM110" s="957"/>
      <c r="FBN110" s="957"/>
      <c r="FBO110" s="957"/>
      <c r="FBP110" s="957"/>
      <c r="FBQ110" s="957"/>
      <c r="FBR110" s="957"/>
      <c r="FBS110" s="957"/>
      <c r="FBT110" s="957"/>
      <c r="FBU110" s="957"/>
      <c r="FBV110" s="957"/>
      <c r="FBW110" s="957"/>
      <c r="FBX110" s="957"/>
      <c r="FBY110" s="957"/>
      <c r="FBZ110" s="957"/>
      <c r="FCA110" s="957"/>
      <c r="FCB110" s="957"/>
      <c r="FCC110" s="957"/>
      <c r="FCD110" s="957"/>
      <c r="FCE110" s="957"/>
      <c r="FCF110" s="957"/>
      <c r="FCG110" s="957"/>
      <c r="FCH110" s="957"/>
      <c r="FCI110" s="957"/>
      <c r="FCJ110" s="957"/>
      <c r="FCK110" s="957"/>
      <c r="FCL110" s="957"/>
      <c r="FCM110" s="957"/>
      <c r="FCN110" s="957"/>
      <c r="FCO110" s="957"/>
      <c r="FCP110" s="957"/>
      <c r="FCQ110" s="957"/>
      <c r="FCR110" s="957"/>
      <c r="FCS110" s="957"/>
      <c r="FCT110" s="957"/>
      <c r="FCU110" s="957"/>
      <c r="FCV110" s="957"/>
      <c r="FCW110" s="957"/>
      <c r="FCX110" s="957"/>
      <c r="FCY110" s="957"/>
      <c r="FCZ110" s="957"/>
      <c r="FDA110" s="957"/>
      <c r="FDB110" s="957"/>
      <c r="FDC110" s="957"/>
      <c r="FDD110" s="957"/>
      <c r="FDE110" s="957"/>
      <c r="FDF110" s="957"/>
      <c r="FDG110" s="957"/>
      <c r="FDH110" s="957"/>
      <c r="FDI110" s="957"/>
      <c r="FDJ110" s="957"/>
      <c r="FDK110" s="957"/>
      <c r="FDL110" s="957"/>
      <c r="FDM110" s="957"/>
      <c r="FDN110" s="957"/>
      <c r="FDO110" s="957"/>
      <c r="FDP110" s="957"/>
      <c r="FDQ110" s="957"/>
      <c r="FDR110" s="957"/>
      <c r="FDS110" s="957"/>
      <c r="FDT110" s="957"/>
      <c r="FDU110" s="957"/>
      <c r="FDV110" s="957"/>
      <c r="FDW110" s="957"/>
      <c r="FDX110" s="957"/>
      <c r="FDY110" s="957"/>
      <c r="FDZ110" s="957"/>
      <c r="FEA110" s="957"/>
      <c r="FEB110" s="957"/>
      <c r="FEC110" s="957"/>
      <c r="FED110" s="957"/>
      <c r="FEE110" s="957"/>
      <c r="FEF110" s="957"/>
      <c r="FEG110" s="957"/>
      <c r="FEH110" s="957"/>
      <c r="FEI110" s="957"/>
      <c r="FEJ110" s="957"/>
      <c r="FEK110" s="957"/>
      <c r="FEL110" s="957"/>
      <c r="FEM110" s="957"/>
      <c r="FEN110" s="957"/>
      <c r="FEO110" s="957"/>
      <c r="FEP110" s="957"/>
      <c r="FEQ110" s="957"/>
      <c r="FER110" s="957"/>
      <c r="FES110" s="957"/>
      <c r="FET110" s="957"/>
      <c r="FEU110" s="957"/>
      <c r="FEV110" s="957"/>
      <c r="FEW110" s="957"/>
      <c r="FEX110" s="957"/>
      <c r="FEY110" s="957"/>
      <c r="FEZ110" s="957"/>
      <c r="FFA110" s="957"/>
      <c r="FFB110" s="957"/>
      <c r="FFC110" s="957"/>
      <c r="FFD110" s="957"/>
      <c r="FFE110" s="957"/>
      <c r="FFF110" s="957"/>
      <c r="FFG110" s="957"/>
      <c r="FFH110" s="957"/>
      <c r="FFI110" s="957"/>
      <c r="FFJ110" s="957"/>
      <c r="FFK110" s="957"/>
      <c r="FFL110" s="957"/>
      <c r="FFM110" s="957"/>
      <c r="FFN110" s="957"/>
      <c r="FFO110" s="957"/>
      <c r="FFP110" s="957"/>
      <c r="FFQ110" s="957"/>
      <c r="FFR110" s="957"/>
      <c r="FFS110" s="957"/>
      <c r="FFT110" s="957"/>
      <c r="FFU110" s="957"/>
      <c r="FFV110" s="957"/>
      <c r="FFW110" s="957"/>
      <c r="FFX110" s="957"/>
      <c r="FFY110" s="957"/>
      <c r="FFZ110" s="957"/>
      <c r="FGA110" s="957"/>
      <c r="FGB110" s="957"/>
      <c r="FGC110" s="957"/>
      <c r="FGD110" s="957"/>
      <c r="FGE110" s="957"/>
      <c r="FGF110" s="957"/>
      <c r="FGG110" s="957"/>
      <c r="FGH110" s="957"/>
      <c r="FGI110" s="957"/>
      <c r="FGJ110" s="957"/>
      <c r="FGK110" s="957"/>
      <c r="FGL110" s="957"/>
      <c r="FGM110" s="957"/>
      <c r="FGN110" s="957"/>
      <c r="FGO110" s="957"/>
      <c r="FGP110" s="957"/>
      <c r="FGQ110" s="957"/>
      <c r="FGR110" s="957"/>
      <c r="FGS110" s="957"/>
      <c r="FGT110" s="957"/>
      <c r="FGU110" s="957"/>
      <c r="FGV110" s="957"/>
      <c r="FGW110" s="957"/>
      <c r="FGX110" s="957"/>
      <c r="FGY110" s="957"/>
      <c r="FGZ110" s="957"/>
      <c r="FHA110" s="957"/>
      <c r="FHB110" s="957"/>
      <c r="FHC110" s="957"/>
      <c r="FHD110" s="957"/>
      <c r="FHE110" s="957"/>
      <c r="FHF110" s="957"/>
      <c r="FHG110" s="957"/>
      <c r="FHH110" s="957"/>
      <c r="FHI110" s="957"/>
      <c r="FHJ110" s="957"/>
      <c r="FHK110" s="957"/>
      <c r="FHL110" s="957"/>
      <c r="FHM110" s="957"/>
      <c r="FHN110" s="957"/>
      <c r="FHO110" s="957"/>
      <c r="FHP110" s="957"/>
      <c r="FHQ110" s="957"/>
      <c r="FHR110" s="957"/>
      <c r="FHS110" s="957"/>
      <c r="FHT110" s="957"/>
      <c r="FHU110" s="957"/>
      <c r="FHV110" s="957"/>
      <c r="FHW110" s="957"/>
      <c r="FHX110" s="957"/>
      <c r="FHY110" s="957"/>
      <c r="FHZ110" s="957"/>
      <c r="FIA110" s="957"/>
      <c r="FIB110" s="957"/>
      <c r="FIC110" s="957"/>
      <c r="FID110" s="957"/>
      <c r="FIE110" s="957"/>
      <c r="FIF110" s="957"/>
      <c r="FIG110" s="957"/>
      <c r="FIH110" s="957"/>
      <c r="FII110" s="957"/>
      <c r="FIJ110" s="957"/>
      <c r="FIK110" s="957"/>
      <c r="FIL110" s="957"/>
      <c r="FIM110" s="957"/>
      <c r="FIN110" s="957"/>
      <c r="FIO110" s="957"/>
      <c r="FIP110" s="957"/>
      <c r="FIQ110" s="957"/>
      <c r="FIR110" s="957"/>
      <c r="FIS110" s="957"/>
      <c r="FIT110" s="957"/>
      <c r="FIU110" s="957"/>
      <c r="FIV110" s="957"/>
      <c r="FIW110" s="957"/>
      <c r="FIX110" s="957"/>
      <c r="FIY110" s="957"/>
      <c r="FIZ110" s="957"/>
      <c r="FJA110" s="957"/>
      <c r="FJB110" s="957"/>
      <c r="FJC110" s="957"/>
      <c r="FJD110" s="957"/>
      <c r="FJE110" s="957"/>
      <c r="FJF110" s="957"/>
      <c r="FJG110" s="957"/>
      <c r="FJH110" s="957"/>
      <c r="FJI110" s="957"/>
      <c r="FJJ110" s="957"/>
      <c r="FJK110" s="957"/>
      <c r="FJL110" s="957"/>
      <c r="FJM110" s="957"/>
      <c r="FJN110" s="957"/>
      <c r="FJO110" s="957"/>
      <c r="FJP110" s="957"/>
      <c r="FJQ110" s="957"/>
      <c r="FJR110" s="957"/>
      <c r="FJS110" s="957"/>
      <c r="FJT110" s="957"/>
      <c r="FJU110" s="957"/>
      <c r="FJV110" s="957"/>
      <c r="FJW110" s="957"/>
      <c r="FJX110" s="957"/>
      <c r="FJY110" s="957"/>
      <c r="FJZ110" s="957"/>
      <c r="FKA110" s="957"/>
      <c r="FKB110" s="957"/>
      <c r="FKC110" s="957"/>
      <c r="FKD110" s="957"/>
      <c r="FKE110" s="957"/>
      <c r="FKF110" s="957"/>
      <c r="FKG110" s="957"/>
      <c r="FKH110" s="957"/>
      <c r="FKI110" s="957"/>
      <c r="FKJ110" s="957"/>
      <c r="FKK110" s="957"/>
      <c r="FKL110" s="957"/>
      <c r="FKM110" s="957"/>
      <c r="FKN110" s="957"/>
      <c r="FKO110" s="957"/>
      <c r="FKP110" s="957"/>
      <c r="FKQ110" s="957"/>
      <c r="FKR110" s="957"/>
      <c r="FKS110" s="957"/>
      <c r="FKT110" s="957"/>
      <c r="FKU110" s="957"/>
      <c r="FKV110" s="957"/>
      <c r="FKW110" s="957"/>
      <c r="FKX110" s="957"/>
      <c r="FKY110" s="957"/>
      <c r="FKZ110" s="957"/>
      <c r="FLA110" s="957"/>
      <c r="FLB110" s="957"/>
      <c r="FLC110" s="957"/>
      <c r="FLD110" s="957"/>
      <c r="FLE110" s="957"/>
      <c r="FLF110" s="957"/>
      <c r="FLG110" s="957"/>
      <c r="FLH110" s="957"/>
      <c r="FLI110" s="957"/>
      <c r="FLJ110" s="957"/>
      <c r="FLK110" s="957"/>
      <c r="FLL110" s="957"/>
      <c r="FLM110" s="957"/>
      <c r="FLN110" s="957"/>
      <c r="FLO110" s="957"/>
      <c r="FLP110" s="957"/>
      <c r="FLQ110" s="957"/>
      <c r="FLR110" s="957"/>
      <c r="FLS110" s="957"/>
      <c r="FLT110" s="957"/>
      <c r="FLU110" s="957"/>
      <c r="FLV110" s="957"/>
      <c r="FLW110" s="957"/>
      <c r="FLX110" s="957"/>
      <c r="FLY110" s="957"/>
      <c r="FLZ110" s="957"/>
      <c r="FMA110" s="957"/>
      <c r="FMB110" s="957"/>
      <c r="FMC110" s="957"/>
      <c r="FMD110" s="957"/>
      <c r="FME110" s="957"/>
      <c r="FMF110" s="957"/>
      <c r="FMG110" s="957"/>
      <c r="FMH110" s="957"/>
      <c r="FMI110" s="957"/>
      <c r="FMJ110" s="957"/>
      <c r="FMK110" s="957"/>
      <c r="FML110" s="957"/>
      <c r="FMM110" s="957"/>
      <c r="FMN110" s="957"/>
      <c r="FMO110" s="957"/>
      <c r="FMP110" s="957"/>
      <c r="FMQ110" s="957"/>
      <c r="FMR110" s="957"/>
      <c r="FMS110" s="957"/>
      <c r="FMT110" s="957"/>
      <c r="FMU110" s="957"/>
      <c r="FMV110" s="957"/>
      <c r="FMW110" s="957"/>
      <c r="FMX110" s="957"/>
      <c r="FMY110" s="957"/>
      <c r="FMZ110" s="957"/>
      <c r="FNA110" s="957"/>
      <c r="FNB110" s="957"/>
      <c r="FNC110" s="957"/>
      <c r="FND110" s="957"/>
      <c r="FNE110" s="957"/>
      <c r="FNF110" s="957"/>
      <c r="FNG110" s="957"/>
      <c r="FNH110" s="957"/>
      <c r="FNI110" s="957"/>
      <c r="FNJ110" s="957"/>
      <c r="FNK110" s="957"/>
      <c r="FNL110" s="957"/>
      <c r="FNM110" s="957"/>
      <c r="FNN110" s="957"/>
      <c r="FNO110" s="957"/>
      <c r="FNP110" s="957"/>
      <c r="FNQ110" s="957"/>
      <c r="FNR110" s="957"/>
      <c r="FNS110" s="957"/>
      <c r="FNT110" s="957"/>
      <c r="FNU110" s="957"/>
      <c r="FNV110" s="957"/>
      <c r="FNW110" s="957"/>
      <c r="FNX110" s="957"/>
      <c r="FNY110" s="957"/>
      <c r="FNZ110" s="957"/>
      <c r="FOA110" s="957"/>
      <c r="FOB110" s="957"/>
      <c r="FOC110" s="957"/>
      <c r="FOD110" s="957"/>
      <c r="FOE110" s="957"/>
      <c r="FOF110" s="957"/>
      <c r="FOG110" s="957"/>
      <c r="FOH110" s="957"/>
      <c r="FOI110" s="957"/>
      <c r="FOJ110" s="957"/>
      <c r="FOK110" s="957"/>
      <c r="FOL110" s="957"/>
      <c r="FOM110" s="957"/>
      <c r="FON110" s="957"/>
      <c r="FOO110" s="957"/>
      <c r="FOP110" s="957"/>
      <c r="FOQ110" s="957"/>
      <c r="FOR110" s="957"/>
      <c r="FOS110" s="957"/>
      <c r="FOT110" s="957"/>
      <c r="FOU110" s="957"/>
      <c r="FOV110" s="957"/>
      <c r="FOW110" s="957"/>
      <c r="FOX110" s="957"/>
      <c r="FOY110" s="957"/>
      <c r="FOZ110" s="957"/>
      <c r="FPA110" s="957"/>
      <c r="FPB110" s="957"/>
      <c r="FPC110" s="957"/>
      <c r="FPD110" s="957"/>
      <c r="FPE110" s="957"/>
      <c r="FPF110" s="957"/>
      <c r="FPG110" s="957"/>
      <c r="FPH110" s="957"/>
      <c r="FPI110" s="957"/>
      <c r="FPJ110" s="957"/>
      <c r="FPK110" s="957"/>
      <c r="FPL110" s="957"/>
      <c r="FPM110" s="957"/>
      <c r="FPN110" s="957"/>
      <c r="FPO110" s="957"/>
      <c r="FPP110" s="957"/>
      <c r="FPQ110" s="957"/>
      <c r="FPR110" s="957"/>
      <c r="FPS110" s="957"/>
      <c r="FPT110" s="957"/>
      <c r="FPU110" s="957"/>
      <c r="FPV110" s="957"/>
      <c r="FPW110" s="957"/>
      <c r="FPX110" s="957"/>
      <c r="FPY110" s="957"/>
      <c r="FPZ110" s="957"/>
      <c r="FQA110" s="957"/>
      <c r="FQB110" s="957"/>
      <c r="FQC110" s="957"/>
      <c r="FQD110" s="957"/>
      <c r="FQE110" s="957"/>
      <c r="FQF110" s="957"/>
      <c r="FQG110" s="957"/>
      <c r="FQH110" s="957"/>
      <c r="FQI110" s="957"/>
      <c r="FQJ110" s="957"/>
      <c r="FQK110" s="957"/>
      <c r="FQL110" s="957"/>
      <c r="FQM110" s="957"/>
      <c r="FQN110" s="957"/>
      <c r="FQO110" s="957"/>
      <c r="FQP110" s="957"/>
      <c r="FQQ110" s="957"/>
      <c r="FQR110" s="957"/>
      <c r="FQS110" s="957"/>
      <c r="FQT110" s="957"/>
      <c r="FQU110" s="957"/>
      <c r="FQV110" s="957"/>
      <c r="FQW110" s="957"/>
      <c r="FQX110" s="957"/>
      <c r="FQY110" s="957"/>
      <c r="FQZ110" s="957"/>
      <c r="FRA110" s="957"/>
      <c r="FRB110" s="957"/>
      <c r="FRC110" s="957"/>
      <c r="FRD110" s="957"/>
      <c r="FRE110" s="957"/>
      <c r="FRF110" s="957"/>
      <c r="FRG110" s="957"/>
      <c r="FRH110" s="957"/>
      <c r="FRI110" s="957"/>
      <c r="FRJ110" s="957"/>
      <c r="FRK110" s="957"/>
      <c r="FRL110" s="957"/>
      <c r="FRM110" s="957"/>
      <c r="FRN110" s="957"/>
      <c r="FRO110" s="957"/>
      <c r="FRP110" s="957"/>
      <c r="FRQ110" s="957"/>
      <c r="FRR110" s="957"/>
      <c r="FRS110" s="957"/>
      <c r="FRT110" s="957"/>
      <c r="FRU110" s="957"/>
      <c r="FRV110" s="957"/>
      <c r="FRW110" s="957"/>
      <c r="FRX110" s="957"/>
      <c r="FRY110" s="957"/>
      <c r="FRZ110" s="957"/>
      <c r="FSA110" s="957"/>
      <c r="FSB110" s="957"/>
      <c r="FSC110" s="957"/>
      <c r="FSD110" s="957"/>
      <c r="FSE110" s="957"/>
      <c r="FSF110" s="957"/>
      <c r="FSG110" s="957"/>
      <c r="FSH110" s="957"/>
      <c r="FSI110" s="957"/>
      <c r="FSJ110" s="957"/>
      <c r="FSK110" s="957"/>
      <c r="FSL110" s="957"/>
      <c r="FSM110" s="957"/>
      <c r="FSN110" s="957"/>
      <c r="FSO110" s="957"/>
      <c r="FSP110" s="957"/>
      <c r="FSQ110" s="957"/>
      <c r="FSR110" s="957"/>
      <c r="FSS110" s="957"/>
      <c r="FST110" s="957"/>
      <c r="FSU110" s="957"/>
      <c r="FSV110" s="957"/>
      <c r="FSW110" s="957"/>
      <c r="FSX110" s="957"/>
      <c r="FSY110" s="957"/>
      <c r="FSZ110" s="957"/>
      <c r="FTA110" s="957"/>
      <c r="FTB110" s="957"/>
      <c r="FTC110" s="957"/>
      <c r="FTD110" s="957"/>
      <c r="FTE110" s="957"/>
      <c r="FTF110" s="957"/>
      <c r="FTG110" s="957"/>
      <c r="FTH110" s="957"/>
      <c r="FTI110" s="957"/>
      <c r="FTJ110" s="957"/>
      <c r="FTK110" s="957"/>
      <c r="FTL110" s="957"/>
      <c r="FTM110" s="957"/>
      <c r="FTN110" s="957"/>
      <c r="FTO110" s="957"/>
      <c r="FTP110" s="957"/>
      <c r="FTQ110" s="957"/>
      <c r="FTR110" s="957"/>
      <c r="FTS110" s="957"/>
      <c r="FTT110" s="957"/>
      <c r="FTU110" s="957"/>
      <c r="FTV110" s="957"/>
      <c r="FTW110" s="957"/>
      <c r="FTX110" s="957"/>
      <c r="FTY110" s="957"/>
      <c r="FTZ110" s="957"/>
      <c r="FUA110" s="957"/>
      <c r="FUB110" s="957"/>
      <c r="FUC110" s="957"/>
      <c r="FUD110" s="957"/>
      <c r="FUE110" s="957"/>
      <c r="FUF110" s="957"/>
      <c r="FUG110" s="957"/>
      <c r="FUH110" s="957"/>
      <c r="FUI110" s="957"/>
      <c r="FUJ110" s="957"/>
      <c r="FUK110" s="957"/>
      <c r="FUL110" s="957"/>
      <c r="FUM110" s="957"/>
      <c r="FUN110" s="957"/>
      <c r="FUO110" s="957"/>
      <c r="FUP110" s="957"/>
      <c r="FUQ110" s="957"/>
      <c r="FUR110" s="957"/>
      <c r="FUS110" s="957"/>
      <c r="FUT110" s="957"/>
      <c r="FUU110" s="957"/>
      <c r="FUV110" s="957"/>
      <c r="FUW110" s="957"/>
      <c r="FUX110" s="957"/>
      <c r="FUY110" s="957"/>
      <c r="FUZ110" s="957"/>
      <c r="FVA110" s="957"/>
      <c r="FVB110" s="957"/>
      <c r="FVC110" s="957"/>
      <c r="FVD110" s="957"/>
      <c r="FVE110" s="957"/>
      <c r="FVF110" s="957"/>
      <c r="FVG110" s="957"/>
      <c r="FVH110" s="957"/>
      <c r="FVI110" s="957"/>
      <c r="FVJ110" s="957"/>
      <c r="FVK110" s="957"/>
      <c r="FVL110" s="957"/>
      <c r="FVM110" s="957"/>
      <c r="FVN110" s="957"/>
      <c r="FVO110" s="957"/>
      <c r="FVP110" s="957"/>
      <c r="FVQ110" s="957"/>
      <c r="FVR110" s="957"/>
      <c r="FVS110" s="957"/>
      <c r="FVT110" s="957"/>
      <c r="FVU110" s="957"/>
      <c r="FVV110" s="957"/>
      <c r="FVW110" s="957"/>
      <c r="FVX110" s="957"/>
      <c r="FVY110" s="957"/>
      <c r="FVZ110" s="957"/>
      <c r="FWA110" s="957"/>
      <c r="FWB110" s="957"/>
      <c r="FWC110" s="957"/>
      <c r="FWD110" s="957"/>
      <c r="FWE110" s="957"/>
      <c r="FWF110" s="957"/>
      <c r="FWG110" s="957"/>
      <c r="FWH110" s="957"/>
      <c r="FWI110" s="957"/>
      <c r="FWJ110" s="957"/>
      <c r="FWK110" s="957"/>
      <c r="FWL110" s="957"/>
      <c r="FWM110" s="957"/>
      <c r="FWN110" s="957"/>
      <c r="FWO110" s="957"/>
      <c r="FWP110" s="957"/>
      <c r="FWQ110" s="957"/>
      <c r="FWR110" s="957"/>
      <c r="FWS110" s="957"/>
      <c r="FWT110" s="957"/>
      <c r="FWU110" s="957"/>
      <c r="FWV110" s="957"/>
      <c r="FWW110" s="957"/>
      <c r="FWX110" s="957"/>
      <c r="FWY110" s="957"/>
      <c r="FWZ110" s="957"/>
      <c r="FXA110" s="957"/>
      <c r="FXB110" s="957"/>
      <c r="FXC110" s="957"/>
      <c r="FXD110" s="957"/>
      <c r="FXE110" s="957"/>
      <c r="FXF110" s="957"/>
      <c r="FXG110" s="957"/>
      <c r="FXH110" s="957"/>
      <c r="FXI110" s="957"/>
      <c r="FXJ110" s="957"/>
      <c r="FXK110" s="957"/>
      <c r="FXL110" s="957"/>
      <c r="FXM110" s="957"/>
      <c r="FXN110" s="957"/>
      <c r="FXO110" s="957"/>
      <c r="FXP110" s="957"/>
      <c r="FXQ110" s="957"/>
      <c r="FXR110" s="957"/>
      <c r="FXS110" s="957"/>
      <c r="FXT110" s="957"/>
      <c r="FXU110" s="957"/>
      <c r="FXV110" s="957"/>
      <c r="FXW110" s="957"/>
      <c r="FXX110" s="957"/>
      <c r="FXY110" s="957"/>
      <c r="FXZ110" s="957"/>
      <c r="FYA110" s="957"/>
      <c r="FYB110" s="957"/>
      <c r="FYC110" s="957"/>
      <c r="FYD110" s="957"/>
      <c r="FYE110" s="957"/>
      <c r="FYF110" s="957"/>
      <c r="FYG110" s="957"/>
      <c r="FYH110" s="957"/>
      <c r="FYI110" s="957"/>
      <c r="FYJ110" s="957"/>
      <c r="FYK110" s="957"/>
      <c r="FYL110" s="957"/>
      <c r="FYM110" s="957"/>
      <c r="FYN110" s="957"/>
      <c r="FYO110" s="957"/>
      <c r="FYP110" s="957"/>
      <c r="FYQ110" s="957"/>
      <c r="FYR110" s="957"/>
      <c r="FYS110" s="957"/>
      <c r="FYT110" s="957"/>
      <c r="FYU110" s="957"/>
      <c r="FYV110" s="957"/>
      <c r="FYW110" s="957"/>
      <c r="FYX110" s="957"/>
      <c r="FYY110" s="957"/>
      <c r="FYZ110" s="957"/>
      <c r="FZA110" s="957"/>
      <c r="FZB110" s="957"/>
      <c r="FZC110" s="957"/>
      <c r="FZD110" s="957"/>
      <c r="FZE110" s="957"/>
      <c r="FZF110" s="957"/>
      <c r="FZG110" s="957"/>
      <c r="FZH110" s="957"/>
      <c r="FZI110" s="957"/>
      <c r="FZJ110" s="957"/>
      <c r="FZK110" s="957"/>
      <c r="FZL110" s="957"/>
      <c r="FZM110" s="957"/>
      <c r="FZN110" s="957"/>
      <c r="FZO110" s="957"/>
      <c r="FZP110" s="957"/>
      <c r="FZQ110" s="957"/>
      <c r="FZR110" s="957"/>
      <c r="FZS110" s="957"/>
      <c r="FZT110" s="957"/>
      <c r="FZU110" s="957"/>
      <c r="FZV110" s="957"/>
      <c r="FZW110" s="957"/>
      <c r="FZX110" s="957"/>
      <c r="FZY110" s="957"/>
      <c r="FZZ110" s="957"/>
      <c r="GAA110" s="957"/>
      <c r="GAB110" s="957"/>
      <c r="GAC110" s="957"/>
      <c r="GAD110" s="957"/>
      <c r="GAE110" s="957"/>
      <c r="GAF110" s="957"/>
      <c r="GAG110" s="957"/>
      <c r="GAH110" s="957"/>
      <c r="GAI110" s="957"/>
      <c r="GAJ110" s="957"/>
      <c r="GAK110" s="957"/>
      <c r="GAL110" s="957"/>
      <c r="GAM110" s="957"/>
      <c r="GAN110" s="957"/>
      <c r="GAO110" s="957"/>
      <c r="GAP110" s="957"/>
      <c r="GAQ110" s="957"/>
      <c r="GAR110" s="957"/>
      <c r="GAS110" s="957"/>
      <c r="GAT110" s="957"/>
      <c r="GAU110" s="957"/>
      <c r="GAV110" s="957"/>
      <c r="GAW110" s="957"/>
      <c r="GAX110" s="957"/>
      <c r="GAY110" s="957"/>
      <c r="GAZ110" s="957"/>
      <c r="GBA110" s="957"/>
      <c r="GBB110" s="957"/>
      <c r="GBC110" s="957"/>
      <c r="GBD110" s="957"/>
      <c r="GBE110" s="957"/>
      <c r="GBF110" s="957"/>
      <c r="GBG110" s="957"/>
      <c r="GBH110" s="957"/>
      <c r="GBI110" s="957"/>
      <c r="GBJ110" s="957"/>
      <c r="GBK110" s="957"/>
      <c r="GBL110" s="957"/>
      <c r="GBM110" s="957"/>
      <c r="GBN110" s="957"/>
      <c r="GBO110" s="957"/>
      <c r="GBP110" s="957"/>
      <c r="GBQ110" s="957"/>
      <c r="GBR110" s="957"/>
      <c r="GBS110" s="957"/>
      <c r="GBT110" s="957"/>
      <c r="GBU110" s="957"/>
      <c r="GBV110" s="957"/>
      <c r="GBW110" s="957"/>
      <c r="GBX110" s="957"/>
      <c r="GBY110" s="957"/>
      <c r="GBZ110" s="957"/>
      <c r="GCA110" s="957"/>
      <c r="GCB110" s="957"/>
      <c r="GCC110" s="957"/>
      <c r="GCD110" s="957"/>
      <c r="GCE110" s="957"/>
      <c r="GCF110" s="957"/>
      <c r="GCG110" s="957"/>
      <c r="GCH110" s="957"/>
      <c r="GCI110" s="957"/>
      <c r="GCJ110" s="957"/>
      <c r="GCK110" s="957"/>
      <c r="GCL110" s="957"/>
      <c r="GCM110" s="957"/>
      <c r="GCN110" s="957"/>
      <c r="GCO110" s="957"/>
      <c r="GCP110" s="957"/>
      <c r="GCQ110" s="957"/>
      <c r="GCR110" s="957"/>
      <c r="GCS110" s="957"/>
      <c r="GCT110" s="957"/>
      <c r="GCU110" s="957"/>
      <c r="GCV110" s="957"/>
      <c r="GCW110" s="957"/>
      <c r="GCX110" s="957"/>
      <c r="GCY110" s="957"/>
      <c r="GCZ110" s="957"/>
      <c r="GDA110" s="957"/>
      <c r="GDB110" s="957"/>
      <c r="GDC110" s="957"/>
      <c r="GDD110" s="957"/>
      <c r="GDE110" s="957"/>
      <c r="GDF110" s="957"/>
      <c r="GDG110" s="957"/>
      <c r="GDH110" s="957"/>
      <c r="GDI110" s="957"/>
      <c r="GDJ110" s="957"/>
      <c r="GDK110" s="957"/>
      <c r="GDL110" s="957"/>
      <c r="GDM110" s="957"/>
      <c r="GDN110" s="957"/>
      <c r="GDO110" s="957"/>
      <c r="GDP110" s="957"/>
      <c r="GDQ110" s="957"/>
      <c r="GDR110" s="957"/>
      <c r="GDS110" s="957"/>
      <c r="GDT110" s="957"/>
      <c r="GDU110" s="957"/>
      <c r="GDV110" s="957"/>
      <c r="GDW110" s="957"/>
      <c r="GDX110" s="957"/>
      <c r="GDY110" s="957"/>
      <c r="GDZ110" s="957"/>
      <c r="GEA110" s="957"/>
      <c r="GEB110" s="957"/>
      <c r="GEC110" s="957"/>
      <c r="GED110" s="957"/>
      <c r="GEE110" s="957"/>
      <c r="GEF110" s="957"/>
      <c r="GEG110" s="957"/>
      <c r="GEH110" s="957"/>
      <c r="GEI110" s="957"/>
      <c r="GEJ110" s="957"/>
      <c r="GEK110" s="957"/>
      <c r="GEL110" s="957"/>
      <c r="GEM110" s="957"/>
      <c r="GEN110" s="957"/>
      <c r="GEO110" s="957"/>
      <c r="GEP110" s="957"/>
      <c r="GEQ110" s="957"/>
      <c r="GER110" s="957"/>
      <c r="GES110" s="957"/>
      <c r="GET110" s="957"/>
      <c r="GEU110" s="957"/>
      <c r="GEV110" s="957"/>
      <c r="GEW110" s="957"/>
      <c r="GEX110" s="957"/>
      <c r="GEY110" s="957"/>
      <c r="GEZ110" s="957"/>
      <c r="GFA110" s="957"/>
      <c r="GFB110" s="957"/>
      <c r="GFC110" s="957"/>
      <c r="GFD110" s="957"/>
      <c r="GFE110" s="957"/>
      <c r="GFF110" s="957"/>
      <c r="GFG110" s="957"/>
      <c r="GFH110" s="957"/>
      <c r="GFI110" s="957"/>
      <c r="GFJ110" s="957"/>
      <c r="GFK110" s="957"/>
      <c r="GFL110" s="957"/>
      <c r="GFM110" s="957"/>
      <c r="GFN110" s="957"/>
      <c r="GFO110" s="957"/>
      <c r="GFP110" s="957"/>
      <c r="GFQ110" s="957"/>
      <c r="GFR110" s="957"/>
      <c r="GFS110" s="957"/>
      <c r="GFT110" s="957"/>
      <c r="GFU110" s="957"/>
      <c r="GFV110" s="957"/>
      <c r="GFW110" s="957"/>
      <c r="GFX110" s="957"/>
      <c r="GFY110" s="957"/>
      <c r="GFZ110" s="957"/>
      <c r="GGA110" s="957"/>
      <c r="GGB110" s="957"/>
      <c r="GGC110" s="957"/>
      <c r="GGD110" s="957"/>
      <c r="GGE110" s="957"/>
      <c r="GGF110" s="957"/>
      <c r="GGG110" s="957"/>
      <c r="GGH110" s="957"/>
      <c r="GGI110" s="957"/>
      <c r="GGJ110" s="957"/>
      <c r="GGK110" s="957"/>
      <c r="GGL110" s="957"/>
      <c r="GGM110" s="957"/>
      <c r="GGN110" s="957"/>
      <c r="GGO110" s="957"/>
      <c r="GGP110" s="957"/>
      <c r="GGQ110" s="957"/>
      <c r="GGR110" s="957"/>
      <c r="GGS110" s="957"/>
      <c r="GGT110" s="957"/>
      <c r="GGU110" s="957"/>
      <c r="GGV110" s="957"/>
      <c r="GGW110" s="957"/>
      <c r="GGX110" s="957"/>
      <c r="GGY110" s="957"/>
      <c r="GGZ110" s="957"/>
      <c r="GHA110" s="957"/>
      <c r="GHB110" s="957"/>
      <c r="GHC110" s="957"/>
      <c r="GHD110" s="957"/>
      <c r="GHE110" s="957"/>
      <c r="GHF110" s="957"/>
      <c r="GHG110" s="957"/>
      <c r="GHH110" s="957"/>
      <c r="GHI110" s="957"/>
      <c r="GHJ110" s="957"/>
      <c r="GHK110" s="957"/>
      <c r="GHL110" s="957"/>
      <c r="GHM110" s="957"/>
      <c r="GHN110" s="957"/>
      <c r="GHO110" s="957"/>
      <c r="GHP110" s="957"/>
      <c r="GHQ110" s="957"/>
      <c r="GHR110" s="957"/>
      <c r="GHS110" s="957"/>
      <c r="GHT110" s="957"/>
      <c r="GHU110" s="957"/>
      <c r="GHV110" s="957"/>
      <c r="GHW110" s="957"/>
      <c r="GHX110" s="957"/>
      <c r="GHY110" s="957"/>
      <c r="GHZ110" s="957"/>
      <c r="GIA110" s="957"/>
      <c r="GIB110" s="957"/>
      <c r="GIC110" s="957"/>
      <c r="GID110" s="957"/>
      <c r="GIE110" s="957"/>
      <c r="GIF110" s="957"/>
      <c r="GIG110" s="957"/>
      <c r="GIH110" s="957"/>
      <c r="GII110" s="957"/>
      <c r="GIJ110" s="957"/>
      <c r="GIK110" s="957"/>
      <c r="GIL110" s="957"/>
      <c r="GIM110" s="957"/>
      <c r="GIN110" s="957"/>
      <c r="GIO110" s="957"/>
      <c r="GIP110" s="957"/>
      <c r="GIQ110" s="957"/>
      <c r="GIR110" s="957"/>
      <c r="GIS110" s="957"/>
      <c r="GIT110" s="957"/>
      <c r="GIU110" s="957"/>
      <c r="GIV110" s="957"/>
      <c r="GIW110" s="957"/>
      <c r="GIX110" s="957"/>
      <c r="GIY110" s="957"/>
      <c r="GIZ110" s="957"/>
      <c r="GJA110" s="957"/>
      <c r="GJB110" s="957"/>
      <c r="GJC110" s="957"/>
      <c r="GJD110" s="957"/>
      <c r="GJE110" s="957"/>
      <c r="GJF110" s="957"/>
      <c r="GJG110" s="957"/>
      <c r="GJH110" s="957"/>
      <c r="GJI110" s="957"/>
      <c r="GJJ110" s="957"/>
      <c r="GJK110" s="957"/>
      <c r="GJL110" s="957"/>
      <c r="GJM110" s="957"/>
      <c r="GJN110" s="957"/>
      <c r="GJO110" s="957"/>
      <c r="GJP110" s="957"/>
      <c r="GJQ110" s="957"/>
      <c r="GJR110" s="957"/>
      <c r="GJS110" s="957"/>
      <c r="GJT110" s="957"/>
      <c r="GJU110" s="957"/>
      <c r="GJV110" s="957"/>
      <c r="GJW110" s="957"/>
      <c r="GJX110" s="957"/>
      <c r="GJY110" s="957"/>
      <c r="GJZ110" s="957"/>
      <c r="GKA110" s="957"/>
      <c r="GKB110" s="957"/>
      <c r="GKC110" s="957"/>
      <c r="GKD110" s="957"/>
      <c r="GKE110" s="957"/>
      <c r="GKF110" s="957"/>
      <c r="GKG110" s="957"/>
      <c r="GKH110" s="957"/>
      <c r="GKI110" s="957"/>
      <c r="GKJ110" s="957"/>
      <c r="GKK110" s="957"/>
      <c r="GKL110" s="957"/>
      <c r="GKM110" s="957"/>
      <c r="GKN110" s="957"/>
      <c r="GKO110" s="957"/>
      <c r="GKP110" s="957"/>
      <c r="GKQ110" s="957"/>
      <c r="GKR110" s="957"/>
      <c r="GKS110" s="957"/>
      <c r="GKT110" s="957"/>
      <c r="GKU110" s="957"/>
      <c r="GKV110" s="957"/>
      <c r="GKW110" s="957"/>
      <c r="GKX110" s="957"/>
      <c r="GKY110" s="957"/>
      <c r="GKZ110" s="957"/>
      <c r="GLA110" s="957"/>
      <c r="GLB110" s="957"/>
      <c r="GLC110" s="957"/>
      <c r="GLD110" s="957"/>
      <c r="GLE110" s="957"/>
      <c r="GLF110" s="957"/>
      <c r="GLG110" s="957"/>
      <c r="GLH110" s="957"/>
      <c r="GLI110" s="957"/>
      <c r="GLJ110" s="957"/>
      <c r="GLK110" s="957"/>
      <c r="GLL110" s="957"/>
      <c r="GLM110" s="957"/>
      <c r="GLN110" s="957"/>
      <c r="GLO110" s="957"/>
      <c r="GLP110" s="957"/>
      <c r="GLQ110" s="957"/>
      <c r="GLR110" s="957"/>
      <c r="GLS110" s="957"/>
      <c r="GLT110" s="957"/>
      <c r="GLU110" s="957"/>
      <c r="GLV110" s="957"/>
      <c r="GLW110" s="957"/>
      <c r="GLX110" s="957"/>
      <c r="GLY110" s="957"/>
      <c r="GLZ110" s="957"/>
      <c r="GMA110" s="957"/>
      <c r="GMB110" s="957"/>
      <c r="GMC110" s="957"/>
      <c r="GMD110" s="957"/>
      <c r="GME110" s="957"/>
      <c r="GMF110" s="957"/>
      <c r="GMG110" s="957"/>
      <c r="GMH110" s="957"/>
      <c r="GMI110" s="957"/>
      <c r="GMJ110" s="957"/>
      <c r="GMK110" s="957"/>
      <c r="GML110" s="957"/>
      <c r="GMM110" s="957"/>
      <c r="GMN110" s="957"/>
      <c r="GMO110" s="957"/>
      <c r="GMP110" s="957"/>
      <c r="GMQ110" s="957"/>
      <c r="GMR110" s="957"/>
      <c r="GMS110" s="957"/>
      <c r="GMT110" s="957"/>
      <c r="GMU110" s="957"/>
      <c r="GMV110" s="957"/>
      <c r="GMW110" s="957"/>
      <c r="GMX110" s="957"/>
      <c r="GMY110" s="957"/>
      <c r="GMZ110" s="957"/>
      <c r="GNA110" s="957"/>
      <c r="GNB110" s="957"/>
      <c r="GNC110" s="957"/>
      <c r="GND110" s="957"/>
      <c r="GNE110" s="957"/>
      <c r="GNF110" s="957"/>
      <c r="GNG110" s="957"/>
      <c r="GNH110" s="957"/>
      <c r="GNI110" s="957"/>
      <c r="GNJ110" s="957"/>
      <c r="GNK110" s="957"/>
      <c r="GNL110" s="957"/>
      <c r="GNM110" s="957"/>
      <c r="GNN110" s="957"/>
      <c r="GNO110" s="957"/>
      <c r="GNP110" s="957"/>
      <c r="GNQ110" s="957"/>
      <c r="GNR110" s="957"/>
      <c r="GNS110" s="957"/>
      <c r="GNT110" s="957"/>
      <c r="GNU110" s="957"/>
      <c r="GNV110" s="957"/>
      <c r="GNW110" s="957"/>
      <c r="GNX110" s="957"/>
      <c r="GNY110" s="957"/>
      <c r="GNZ110" s="957"/>
      <c r="GOA110" s="957"/>
      <c r="GOB110" s="957"/>
      <c r="GOC110" s="957"/>
      <c r="GOD110" s="957"/>
      <c r="GOE110" s="957"/>
      <c r="GOF110" s="957"/>
      <c r="GOG110" s="957"/>
      <c r="GOH110" s="957"/>
      <c r="GOI110" s="957"/>
      <c r="GOJ110" s="957"/>
      <c r="GOK110" s="957"/>
      <c r="GOL110" s="957"/>
      <c r="GOM110" s="957"/>
      <c r="GON110" s="957"/>
      <c r="GOO110" s="957"/>
      <c r="GOP110" s="957"/>
      <c r="GOQ110" s="957"/>
      <c r="GOR110" s="957"/>
      <c r="GOS110" s="957"/>
      <c r="GOT110" s="957"/>
      <c r="GOU110" s="957"/>
      <c r="GOV110" s="957"/>
      <c r="GOW110" s="957"/>
      <c r="GOX110" s="957"/>
      <c r="GOY110" s="957"/>
      <c r="GOZ110" s="957"/>
      <c r="GPA110" s="957"/>
      <c r="GPB110" s="957"/>
      <c r="GPC110" s="957"/>
      <c r="GPD110" s="957"/>
      <c r="GPE110" s="957"/>
      <c r="GPF110" s="957"/>
      <c r="GPG110" s="957"/>
      <c r="GPH110" s="957"/>
      <c r="GPI110" s="957"/>
      <c r="GPJ110" s="957"/>
      <c r="GPK110" s="957"/>
      <c r="GPL110" s="957"/>
      <c r="GPM110" s="957"/>
      <c r="GPN110" s="957"/>
      <c r="GPO110" s="957"/>
      <c r="GPP110" s="957"/>
      <c r="GPQ110" s="957"/>
      <c r="GPR110" s="957"/>
      <c r="GPS110" s="957"/>
      <c r="GPT110" s="957"/>
      <c r="GPU110" s="957"/>
      <c r="GPV110" s="957"/>
      <c r="GPW110" s="957"/>
      <c r="GPX110" s="957"/>
      <c r="GPY110" s="957"/>
      <c r="GPZ110" s="957"/>
      <c r="GQA110" s="957"/>
      <c r="GQB110" s="957"/>
      <c r="GQC110" s="957"/>
      <c r="GQD110" s="957"/>
      <c r="GQE110" s="957"/>
      <c r="GQF110" s="957"/>
      <c r="GQG110" s="957"/>
      <c r="GQH110" s="957"/>
      <c r="GQI110" s="957"/>
      <c r="GQJ110" s="957"/>
      <c r="GQK110" s="957"/>
      <c r="GQL110" s="957"/>
      <c r="GQM110" s="957"/>
      <c r="GQN110" s="957"/>
      <c r="GQO110" s="957"/>
      <c r="GQP110" s="957"/>
      <c r="GQQ110" s="957"/>
      <c r="GQR110" s="957"/>
      <c r="GQS110" s="957"/>
      <c r="GQT110" s="957"/>
      <c r="GQU110" s="957"/>
      <c r="GQV110" s="957"/>
      <c r="GQW110" s="957"/>
      <c r="GQX110" s="957"/>
      <c r="GQY110" s="957"/>
      <c r="GQZ110" s="957"/>
      <c r="GRA110" s="957"/>
      <c r="GRB110" s="957"/>
      <c r="GRC110" s="957"/>
      <c r="GRD110" s="957"/>
      <c r="GRE110" s="957"/>
      <c r="GRF110" s="957"/>
      <c r="GRG110" s="957"/>
      <c r="GRH110" s="957"/>
      <c r="GRI110" s="957"/>
      <c r="GRJ110" s="957"/>
      <c r="GRK110" s="957"/>
      <c r="GRL110" s="957"/>
      <c r="GRM110" s="957"/>
      <c r="GRN110" s="957"/>
      <c r="GRO110" s="957"/>
      <c r="GRP110" s="957"/>
      <c r="GRQ110" s="957"/>
      <c r="GRR110" s="957"/>
      <c r="GRS110" s="957"/>
      <c r="GRT110" s="957"/>
      <c r="GRU110" s="957"/>
      <c r="GRV110" s="957"/>
      <c r="GRW110" s="957"/>
      <c r="GRX110" s="957"/>
      <c r="GRY110" s="957"/>
      <c r="GRZ110" s="957"/>
      <c r="GSA110" s="957"/>
      <c r="GSB110" s="957"/>
      <c r="GSC110" s="957"/>
      <c r="GSD110" s="957"/>
      <c r="GSE110" s="957"/>
      <c r="GSF110" s="957"/>
      <c r="GSG110" s="957"/>
      <c r="GSH110" s="957"/>
      <c r="GSI110" s="957"/>
      <c r="GSJ110" s="957"/>
      <c r="GSK110" s="957"/>
      <c r="GSL110" s="957"/>
      <c r="GSM110" s="957"/>
      <c r="GSN110" s="957"/>
      <c r="GSO110" s="957"/>
      <c r="GSP110" s="957"/>
      <c r="GSQ110" s="957"/>
      <c r="GSR110" s="957"/>
      <c r="GSS110" s="957"/>
      <c r="GST110" s="957"/>
      <c r="GSU110" s="957"/>
      <c r="GSV110" s="957"/>
      <c r="GSW110" s="957"/>
      <c r="GSX110" s="957"/>
      <c r="GSY110" s="957"/>
      <c r="GSZ110" s="957"/>
      <c r="GTA110" s="957"/>
      <c r="GTB110" s="957"/>
      <c r="GTC110" s="957"/>
      <c r="GTD110" s="957"/>
      <c r="GTE110" s="957"/>
      <c r="GTF110" s="957"/>
      <c r="GTG110" s="957"/>
      <c r="GTH110" s="957"/>
      <c r="GTI110" s="957"/>
      <c r="GTJ110" s="957"/>
      <c r="GTK110" s="957"/>
      <c r="GTL110" s="957"/>
      <c r="GTM110" s="957"/>
      <c r="GTN110" s="957"/>
      <c r="GTO110" s="957"/>
      <c r="GTP110" s="957"/>
      <c r="GTQ110" s="957"/>
      <c r="GTR110" s="957"/>
      <c r="GTS110" s="957"/>
      <c r="GTT110" s="957"/>
      <c r="GTU110" s="957"/>
      <c r="GTV110" s="957"/>
      <c r="GTW110" s="957"/>
      <c r="GTX110" s="957"/>
      <c r="GTY110" s="957"/>
      <c r="GTZ110" s="957"/>
      <c r="GUA110" s="957"/>
      <c r="GUB110" s="957"/>
      <c r="GUC110" s="957"/>
      <c r="GUD110" s="957"/>
      <c r="GUE110" s="957"/>
      <c r="GUF110" s="957"/>
      <c r="GUG110" s="957"/>
      <c r="GUH110" s="957"/>
      <c r="GUI110" s="957"/>
      <c r="GUJ110" s="957"/>
      <c r="GUK110" s="957"/>
      <c r="GUL110" s="957"/>
      <c r="GUM110" s="957"/>
      <c r="GUN110" s="957"/>
      <c r="GUO110" s="957"/>
      <c r="GUP110" s="957"/>
      <c r="GUQ110" s="957"/>
      <c r="GUR110" s="957"/>
      <c r="GUS110" s="957"/>
      <c r="GUT110" s="957"/>
      <c r="GUU110" s="957"/>
      <c r="GUV110" s="957"/>
      <c r="GUW110" s="957"/>
      <c r="GUX110" s="957"/>
      <c r="GUY110" s="957"/>
      <c r="GUZ110" s="957"/>
      <c r="GVA110" s="957"/>
      <c r="GVB110" s="957"/>
      <c r="GVC110" s="957"/>
      <c r="GVD110" s="957"/>
      <c r="GVE110" s="957"/>
      <c r="GVF110" s="957"/>
      <c r="GVG110" s="957"/>
      <c r="GVH110" s="957"/>
      <c r="GVI110" s="957"/>
      <c r="GVJ110" s="957"/>
      <c r="GVK110" s="957"/>
      <c r="GVL110" s="957"/>
      <c r="GVM110" s="957"/>
      <c r="GVN110" s="957"/>
      <c r="GVO110" s="957"/>
      <c r="GVP110" s="957"/>
      <c r="GVQ110" s="957"/>
      <c r="GVR110" s="957"/>
      <c r="GVS110" s="957"/>
      <c r="GVT110" s="957"/>
      <c r="GVU110" s="957"/>
      <c r="GVV110" s="957"/>
      <c r="GVW110" s="957"/>
      <c r="GVX110" s="957"/>
      <c r="GVY110" s="957"/>
      <c r="GVZ110" s="957"/>
      <c r="GWA110" s="957"/>
      <c r="GWB110" s="957"/>
      <c r="GWC110" s="957"/>
      <c r="GWD110" s="957"/>
      <c r="GWE110" s="957"/>
      <c r="GWF110" s="957"/>
      <c r="GWG110" s="957"/>
      <c r="GWH110" s="957"/>
      <c r="GWI110" s="957"/>
      <c r="GWJ110" s="957"/>
      <c r="GWK110" s="957"/>
      <c r="GWL110" s="957"/>
      <c r="GWM110" s="957"/>
      <c r="GWN110" s="957"/>
      <c r="GWO110" s="957"/>
      <c r="GWP110" s="957"/>
      <c r="GWQ110" s="957"/>
      <c r="GWR110" s="957"/>
      <c r="GWS110" s="957"/>
      <c r="GWT110" s="957"/>
      <c r="GWU110" s="957"/>
      <c r="GWV110" s="957"/>
      <c r="GWW110" s="957"/>
      <c r="GWX110" s="957"/>
      <c r="GWY110" s="957"/>
      <c r="GWZ110" s="957"/>
      <c r="GXA110" s="957"/>
      <c r="GXB110" s="957"/>
      <c r="GXC110" s="957"/>
      <c r="GXD110" s="957"/>
      <c r="GXE110" s="957"/>
      <c r="GXF110" s="957"/>
      <c r="GXG110" s="957"/>
      <c r="GXH110" s="957"/>
      <c r="GXI110" s="957"/>
      <c r="GXJ110" s="957"/>
      <c r="GXK110" s="957"/>
      <c r="GXL110" s="957"/>
      <c r="GXM110" s="957"/>
      <c r="GXN110" s="957"/>
      <c r="GXO110" s="957"/>
      <c r="GXP110" s="957"/>
      <c r="GXQ110" s="957"/>
      <c r="GXR110" s="957"/>
      <c r="GXS110" s="957"/>
      <c r="GXT110" s="957"/>
      <c r="GXU110" s="957"/>
      <c r="GXV110" s="957"/>
      <c r="GXW110" s="957"/>
      <c r="GXX110" s="957"/>
      <c r="GXY110" s="957"/>
      <c r="GXZ110" s="957"/>
      <c r="GYA110" s="957"/>
      <c r="GYB110" s="957"/>
      <c r="GYC110" s="957"/>
      <c r="GYD110" s="957"/>
      <c r="GYE110" s="957"/>
      <c r="GYF110" s="957"/>
      <c r="GYG110" s="957"/>
      <c r="GYH110" s="957"/>
      <c r="GYI110" s="957"/>
      <c r="GYJ110" s="957"/>
      <c r="GYK110" s="957"/>
      <c r="GYL110" s="957"/>
      <c r="GYM110" s="957"/>
      <c r="GYN110" s="957"/>
      <c r="GYO110" s="957"/>
      <c r="GYP110" s="957"/>
      <c r="GYQ110" s="957"/>
      <c r="GYR110" s="957"/>
      <c r="GYS110" s="957"/>
      <c r="GYT110" s="957"/>
      <c r="GYU110" s="957"/>
      <c r="GYV110" s="957"/>
      <c r="GYW110" s="957"/>
      <c r="GYX110" s="957"/>
      <c r="GYY110" s="957"/>
      <c r="GYZ110" s="957"/>
      <c r="GZA110" s="957"/>
      <c r="GZB110" s="957"/>
      <c r="GZC110" s="957"/>
      <c r="GZD110" s="957"/>
      <c r="GZE110" s="957"/>
      <c r="GZF110" s="957"/>
      <c r="GZG110" s="957"/>
      <c r="GZH110" s="957"/>
      <c r="GZI110" s="957"/>
      <c r="GZJ110" s="957"/>
      <c r="GZK110" s="957"/>
      <c r="GZL110" s="957"/>
      <c r="GZM110" s="957"/>
      <c r="GZN110" s="957"/>
      <c r="GZO110" s="957"/>
      <c r="GZP110" s="957"/>
      <c r="GZQ110" s="957"/>
      <c r="GZR110" s="957"/>
      <c r="GZS110" s="957"/>
      <c r="GZT110" s="957"/>
      <c r="GZU110" s="957"/>
      <c r="GZV110" s="957"/>
      <c r="GZW110" s="957"/>
      <c r="GZX110" s="957"/>
      <c r="GZY110" s="957"/>
      <c r="GZZ110" s="957"/>
      <c r="HAA110" s="957"/>
      <c r="HAB110" s="957"/>
      <c r="HAC110" s="957"/>
      <c r="HAD110" s="957"/>
      <c r="HAE110" s="957"/>
      <c r="HAF110" s="957"/>
      <c r="HAG110" s="957"/>
      <c r="HAH110" s="957"/>
      <c r="HAI110" s="957"/>
      <c r="HAJ110" s="957"/>
      <c r="HAK110" s="957"/>
      <c r="HAL110" s="957"/>
      <c r="HAM110" s="957"/>
      <c r="HAN110" s="957"/>
      <c r="HAO110" s="957"/>
      <c r="HAP110" s="957"/>
      <c r="HAQ110" s="957"/>
      <c r="HAR110" s="957"/>
      <c r="HAS110" s="957"/>
      <c r="HAT110" s="957"/>
      <c r="HAU110" s="957"/>
      <c r="HAV110" s="957"/>
      <c r="HAW110" s="957"/>
      <c r="HAX110" s="957"/>
      <c r="HAY110" s="957"/>
      <c r="HAZ110" s="957"/>
      <c r="HBA110" s="957"/>
      <c r="HBB110" s="957"/>
      <c r="HBC110" s="957"/>
      <c r="HBD110" s="957"/>
      <c r="HBE110" s="957"/>
      <c r="HBF110" s="957"/>
      <c r="HBG110" s="957"/>
      <c r="HBH110" s="957"/>
      <c r="HBI110" s="957"/>
      <c r="HBJ110" s="957"/>
      <c r="HBK110" s="957"/>
      <c r="HBL110" s="957"/>
      <c r="HBM110" s="957"/>
      <c r="HBN110" s="957"/>
      <c r="HBO110" s="957"/>
      <c r="HBP110" s="957"/>
      <c r="HBQ110" s="957"/>
      <c r="HBR110" s="957"/>
      <c r="HBS110" s="957"/>
      <c r="HBT110" s="957"/>
      <c r="HBU110" s="957"/>
      <c r="HBV110" s="957"/>
      <c r="HBW110" s="957"/>
      <c r="HBX110" s="957"/>
      <c r="HBY110" s="957"/>
      <c r="HBZ110" s="957"/>
      <c r="HCA110" s="957"/>
      <c r="HCB110" s="957"/>
      <c r="HCC110" s="957"/>
      <c r="HCD110" s="957"/>
      <c r="HCE110" s="957"/>
      <c r="HCF110" s="957"/>
      <c r="HCG110" s="957"/>
      <c r="HCH110" s="957"/>
      <c r="HCI110" s="957"/>
      <c r="HCJ110" s="957"/>
      <c r="HCK110" s="957"/>
      <c r="HCL110" s="957"/>
      <c r="HCM110" s="957"/>
      <c r="HCN110" s="957"/>
      <c r="HCO110" s="957"/>
      <c r="HCP110" s="957"/>
      <c r="HCQ110" s="957"/>
      <c r="HCR110" s="957"/>
      <c r="HCS110" s="957"/>
      <c r="HCT110" s="957"/>
      <c r="HCU110" s="957"/>
      <c r="HCV110" s="957"/>
      <c r="HCW110" s="957"/>
      <c r="HCX110" s="957"/>
      <c r="HCY110" s="957"/>
      <c r="HCZ110" s="957"/>
      <c r="HDA110" s="957"/>
      <c r="HDB110" s="957"/>
      <c r="HDC110" s="957"/>
      <c r="HDD110" s="957"/>
      <c r="HDE110" s="957"/>
      <c r="HDF110" s="957"/>
      <c r="HDG110" s="957"/>
      <c r="HDH110" s="957"/>
      <c r="HDI110" s="957"/>
      <c r="HDJ110" s="957"/>
      <c r="HDK110" s="957"/>
      <c r="HDL110" s="957"/>
      <c r="HDM110" s="957"/>
      <c r="HDN110" s="957"/>
      <c r="HDO110" s="957"/>
      <c r="HDP110" s="957"/>
      <c r="HDQ110" s="957"/>
      <c r="HDR110" s="957"/>
      <c r="HDS110" s="957"/>
      <c r="HDT110" s="957"/>
      <c r="HDU110" s="957"/>
      <c r="HDV110" s="957"/>
      <c r="HDW110" s="957"/>
      <c r="HDX110" s="957"/>
      <c r="HDY110" s="957"/>
      <c r="HDZ110" s="957"/>
      <c r="HEA110" s="957"/>
      <c r="HEB110" s="957"/>
      <c r="HEC110" s="957"/>
      <c r="HED110" s="957"/>
      <c r="HEE110" s="957"/>
      <c r="HEF110" s="957"/>
      <c r="HEG110" s="957"/>
      <c r="HEH110" s="957"/>
      <c r="HEI110" s="957"/>
      <c r="HEJ110" s="957"/>
      <c r="HEK110" s="957"/>
      <c r="HEL110" s="957"/>
      <c r="HEM110" s="957"/>
      <c r="HEN110" s="957"/>
      <c r="HEO110" s="957"/>
      <c r="HEP110" s="957"/>
      <c r="HEQ110" s="957"/>
      <c r="HER110" s="957"/>
      <c r="HES110" s="957"/>
      <c r="HET110" s="957"/>
      <c r="HEU110" s="957"/>
      <c r="HEV110" s="957"/>
      <c r="HEW110" s="957"/>
      <c r="HEX110" s="957"/>
      <c r="HEY110" s="957"/>
      <c r="HEZ110" s="957"/>
      <c r="HFA110" s="957"/>
      <c r="HFB110" s="957"/>
      <c r="HFC110" s="957"/>
      <c r="HFD110" s="957"/>
      <c r="HFE110" s="957"/>
      <c r="HFF110" s="957"/>
      <c r="HFG110" s="957"/>
      <c r="HFH110" s="957"/>
      <c r="HFI110" s="957"/>
      <c r="HFJ110" s="957"/>
      <c r="HFK110" s="957"/>
      <c r="HFL110" s="957"/>
      <c r="HFM110" s="957"/>
      <c r="HFN110" s="957"/>
      <c r="HFO110" s="957"/>
      <c r="HFP110" s="957"/>
      <c r="HFQ110" s="957"/>
      <c r="HFR110" s="957"/>
      <c r="HFS110" s="957"/>
      <c r="HFT110" s="957"/>
      <c r="HFU110" s="957"/>
      <c r="HFV110" s="957"/>
      <c r="HFW110" s="957"/>
      <c r="HFX110" s="957"/>
      <c r="HFY110" s="957"/>
      <c r="HFZ110" s="957"/>
      <c r="HGA110" s="957"/>
      <c r="HGB110" s="957"/>
      <c r="HGC110" s="957"/>
      <c r="HGD110" s="957"/>
      <c r="HGE110" s="957"/>
      <c r="HGF110" s="957"/>
      <c r="HGG110" s="957"/>
      <c r="HGH110" s="957"/>
      <c r="HGI110" s="957"/>
      <c r="HGJ110" s="957"/>
      <c r="HGK110" s="957"/>
      <c r="HGL110" s="957"/>
      <c r="HGM110" s="957"/>
      <c r="HGN110" s="957"/>
      <c r="HGO110" s="957"/>
      <c r="HGP110" s="957"/>
      <c r="HGQ110" s="957"/>
      <c r="HGR110" s="957"/>
      <c r="HGS110" s="957"/>
      <c r="HGT110" s="957"/>
      <c r="HGU110" s="957"/>
      <c r="HGV110" s="957"/>
      <c r="HGW110" s="957"/>
      <c r="HGX110" s="957"/>
      <c r="HGY110" s="957"/>
      <c r="HGZ110" s="957"/>
      <c r="HHA110" s="957"/>
      <c r="HHB110" s="957"/>
      <c r="HHC110" s="957"/>
      <c r="HHD110" s="957"/>
      <c r="HHE110" s="957"/>
      <c r="HHF110" s="957"/>
      <c r="HHG110" s="957"/>
      <c r="HHH110" s="957"/>
      <c r="HHI110" s="957"/>
      <c r="HHJ110" s="957"/>
      <c r="HHK110" s="957"/>
      <c r="HHL110" s="957"/>
      <c r="HHM110" s="957"/>
      <c r="HHN110" s="957"/>
      <c r="HHO110" s="957"/>
      <c r="HHP110" s="957"/>
      <c r="HHQ110" s="957"/>
      <c r="HHR110" s="957"/>
      <c r="HHS110" s="957"/>
      <c r="HHT110" s="957"/>
      <c r="HHU110" s="957"/>
      <c r="HHV110" s="957"/>
      <c r="HHW110" s="957"/>
      <c r="HHX110" s="957"/>
      <c r="HHY110" s="957"/>
      <c r="HHZ110" s="957"/>
      <c r="HIA110" s="957"/>
      <c r="HIB110" s="957"/>
      <c r="HIC110" s="957"/>
      <c r="HID110" s="957"/>
      <c r="HIE110" s="957"/>
      <c r="HIF110" s="957"/>
      <c r="HIG110" s="957"/>
      <c r="HIH110" s="957"/>
      <c r="HII110" s="957"/>
      <c r="HIJ110" s="957"/>
      <c r="HIK110" s="957"/>
      <c r="HIL110" s="957"/>
      <c r="HIM110" s="957"/>
      <c r="HIN110" s="957"/>
      <c r="HIO110" s="957"/>
      <c r="HIP110" s="957"/>
      <c r="HIQ110" s="957"/>
      <c r="HIR110" s="957"/>
      <c r="HIS110" s="957"/>
      <c r="HIT110" s="957"/>
      <c r="HIU110" s="957"/>
      <c r="HIV110" s="957"/>
      <c r="HIW110" s="957"/>
      <c r="HIX110" s="957"/>
      <c r="HIY110" s="957"/>
      <c r="HIZ110" s="957"/>
      <c r="HJA110" s="957"/>
      <c r="HJB110" s="957"/>
      <c r="HJC110" s="957"/>
      <c r="HJD110" s="957"/>
      <c r="HJE110" s="957"/>
      <c r="HJF110" s="957"/>
      <c r="HJG110" s="957"/>
      <c r="HJH110" s="957"/>
      <c r="HJI110" s="957"/>
      <c r="HJJ110" s="957"/>
      <c r="HJK110" s="957"/>
      <c r="HJL110" s="957"/>
      <c r="HJM110" s="957"/>
      <c r="HJN110" s="957"/>
      <c r="HJO110" s="957"/>
      <c r="HJP110" s="957"/>
      <c r="HJQ110" s="957"/>
      <c r="HJR110" s="957"/>
      <c r="HJS110" s="957"/>
      <c r="HJT110" s="957"/>
      <c r="HJU110" s="957"/>
      <c r="HJV110" s="957"/>
      <c r="HJW110" s="957"/>
      <c r="HJX110" s="957"/>
      <c r="HJY110" s="957"/>
      <c r="HJZ110" s="957"/>
      <c r="HKA110" s="957"/>
      <c r="HKB110" s="957"/>
      <c r="HKC110" s="957"/>
      <c r="HKD110" s="957"/>
      <c r="HKE110" s="957"/>
      <c r="HKF110" s="957"/>
      <c r="HKG110" s="957"/>
      <c r="HKH110" s="957"/>
      <c r="HKI110" s="957"/>
      <c r="HKJ110" s="957"/>
      <c r="HKK110" s="957"/>
      <c r="HKL110" s="957"/>
      <c r="HKM110" s="957"/>
      <c r="HKN110" s="957"/>
      <c r="HKO110" s="957"/>
      <c r="HKP110" s="957"/>
      <c r="HKQ110" s="957"/>
      <c r="HKR110" s="957"/>
      <c r="HKS110" s="957"/>
      <c r="HKT110" s="957"/>
      <c r="HKU110" s="957"/>
      <c r="HKV110" s="957"/>
      <c r="HKW110" s="957"/>
      <c r="HKX110" s="957"/>
      <c r="HKY110" s="957"/>
      <c r="HKZ110" s="957"/>
      <c r="HLA110" s="957"/>
      <c r="HLB110" s="957"/>
      <c r="HLC110" s="957"/>
      <c r="HLD110" s="957"/>
      <c r="HLE110" s="957"/>
      <c r="HLF110" s="957"/>
      <c r="HLG110" s="957"/>
      <c r="HLH110" s="957"/>
      <c r="HLI110" s="957"/>
      <c r="HLJ110" s="957"/>
      <c r="HLK110" s="957"/>
      <c r="HLL110" s="957"/>
      <c r="HLM110" s="957"/>
      <c r="HLN110" s="957"/>
      <c r="HLO110" s="957"/>
      <c r="HLP110" s="957"/>
      <c r="HLQ110" s="957"/>
      <c r="HLR110" s="957"/>
      <c r="HLS110" s="957"/>
      <c r="HLT110" s="957"/>
      <c r="HLU110" s="957"/>
      <c r="HLV110" s="957"/>
      <c r="HLW110" s="957"/>
      <c r="HLX110" s="957"/>
      <c r="HLY110" s="957"/>
      <c r="HLZ110" s="957"/>
      <c r="HMA110" s="957"/>
      <c r="HMB110" s="957"/>
      <c r="HMC110" s="957"/>
      <c r="HMD110" s="957"/>
      <c r="HME110" s="957"/>
      <c r="HMF110" s="957"/>
      <c r="HMG110" s="957"/>
      <c r="HMH110" s="957"/>
      <c r="HMI110" s="957"/>
      <c r="HMJ110" s="957"/>
      <c r="HMK110" s="957"/>
      <c r="HML110" s="957"/>
      <c r="HMM110" s="957"/>
      <c r="HMN110" s="957"/>
      <c r="HMO110" s="957"/>
      <c r="HMP110" s="957"/>
      <c r="HMQ110" s="957"/>
      <c r="HMR110" s="957"/>
      <c r="HMS110" s="957"/>
      <c r="HMT110" s="957"/>
      <c r="HMU110" s="957"/>
      <c r="HMV110" s="957"/>
      <c r="HMW110" s="957"/>
      <c r="HMX110" s="957"/>
      <c r="HMY110" s="957"/>
      <c r="HMZ110" s="957"/>
      <c r="HNA110" s="957"/>
      <c r="HNB110" s="957"/>
      <c r="HNC110" s="957"/>
      <c r="HND110" s="957"/>
      <c r="HNE110" s="957"/>
      <c r="HNF110" s="957"/>
      <c r="HNG110" s="957"/>
      <c r="HNH110" s="957"/>
      <c r="HNI110" s="957"/>
      <c r="HNJ110" s="957"/>
      <c r="HNK110" s="957"/>
      <c r="HNL110" s="957"/>
      <c r="HNM110" s="957"/>
      <c r="HNN110" s="957"/>
      <c r="HNO110" s="957"/>
      <c r="HNP110" s="957"/>
      <c r="HNQ110" s="957"/>
      <c r="HNR110" s="957"/>
      <c r="HNS110" s="957"/>
      <c r="HNT110" s="957"/>
      <c r="HNU110" s="957"/>
      <c r="HNV110" s="957"/>
      <c r="HNW110" s="957"/>
      <c r="HNX110" s="957"/>
      <c r="HNY110" s="957"/>
      <c r="HNZ110" s="957"/>
      <c r="HOA110" s="957"/>
      <c r="HOB110" s="957"/>
      <c r="HOC110" s="957"/>
      <c r="HOD110" s="957"/>
      <c r="HOE110" s="957"/>
      <c r="HOF110" s="957"/>
      <c r="HOG110" s="957"/>
      <c r="HOH110" s="957"/>
      <c r="HOI110" s="957"/>
      <c r="HOJ110" s="957"/>
      <c r="HOK110" s="957"/>
      <c r="HOL110" s="957"/>
      <c r="HOM110" s="957"/>
      <c r="HON110" s="957"/>
      <c r="HOO110" s="957"/>
      <c r="HOP110" s="957"/>
      <c r="HOQ110" s="957"/>
      <c r="HOR110" s="957"/>
      <c r="HOS110" s="957"/>
      <c r="HOT110" s="957"/>
      <c r="HOU110" s="957"/>
      <c r="HOV110" s="957"/>
      <c r="HOW110" s="957"/>
      <c r="HOX110" s="957"/>
      <c r="HOY110" s="957"/>
      <c r="HOZ110" s="957"/>
      <c r="HPA110" s="957"/>
      <c r="HPB110" s="957"/>
      <c r="HPC110" s="957"/>
      <c r="HPD110" s="957"/>
      <c r="HPE110" s="957"/>
      <c r="HPF110" s="957"/>
      <c r="HPG110" s="957"/>
      <c r="HPH110" s="957"/>
      <c r="HPI110" s="957"/>
      <c r="HPJ110" s="957"/>
      <c r="HPK110" s="957"/>
      <c r="HPL110" s="957"/>
      <c r="HPM110" s="957"/>
      <c r="HPN110" s="957"/>
      <c r="HPO110" s="957"/>
      <c r="HPP110" s="957"/>
      <c r="HPQ110" s="957"/>
      <c r="HPR110" s="957"/>
      <c r="HPS110" s="957"/>
      <c r="HPT110" s="957"/>
      <c r="HPU110" s="957"/>
      <c r="HPV110" s="957"/>
      <c r="HPW110" s="957"/>
      <c r="HPX110" s="957"/>
      <c r="HPY110" s="957"/>
      <c r="HPZ110" s="957"/>
      <c r="HQA110" s="957"/>
      <c r="HQB110" s="957"/>
      <c r="HQC110" s="957"/>
      <c r="HQD110" s="957"/>
      <c r="HQE110" s="957"/>
      <c r="HQF110" s="957"/>
      <c r="HQG110" s="957"/>
      <c r="HQH110" s="957"/>
      <c r="HQI110" s="957"/>
      <c r="HQJ110" s="957"/>
      <c r="HQK110" s="957"/>
      <c r="HQL110" s="957"/>
      <c r="HQM110" s="957"/>
      <c r="HQN110" s="957"/>
      <c r="HQO110" s="957"/>
      <c r="HQP110" s="957"/>
      <c r="HQQ110" s="957"/>
      <c r="HQR110" s="957"/>
      <c r="HQS110" s="957"/>
      <c r="HQT110" s="957"/>
      <c r="HQU110" s="957"/>
      <c r="HQV110" s="957"/>
      <c r="HQW110" s="957"/>
      <c r="HQX110" s="957"/>
      <c r="HQY110" s="957"/>
      <c r="HQZ110" s="957"/>
      <c r="HRA110" s="957"/>
      <c r="HRB110" s="957"/>
      <c r="HRC110" s="957"/>
      <c r="HRD110" s="957"/>
      <c r="HRE110" s="957"/>
      <c r="HRF110" s="957"/>
      <c r="HRG110" s="957"/>
      <c r="HRH110" s="957"/>
      <c r="HRI110" s="957"/>
      <c r="HRJ110" s="957"/>
      <c r="HRK110" s="957"/>
      <c r="HRL110" s="957"/>
      <c r="HRM110" s="957"/>
      <c r="HRN110" s="957"/>
      <c r="HRO110" s="957"/>
      <c r="HRP110" s="957"/>
      <c r="HRQ110" s="957"/>
      <c r="HRR110" s="957"/>
      <c r="HRS110" s="957"/>
      <c r="HRT110" s="957"/>
      <c r="HRU110" s="957"/>
      <c r="HRV110" s="957"/>
      <c r="HRW110" s="957"/>
      <c r="HRX110" s="957"/>
      <c r="HRY110" s="957"/>
      <c r="HRZ110" s="957"/>
      <c r="HSA110" s="957"/>
      <c r="HSB110" s="957"/>
      <c r="HSC110" s="957"/>
      <c r="HSD110" s="957"/>
      <c r="HSE110" s="957"/>
      <c r="HSF110" s="957"/>
      <c r="HSG110" s="957"/>
      <c r="HSH110" s="957"/>
      <c r="HSI110" s="957"/>
      <c r="HSJ110" s="957"/>
      <c r="HSK110" s="957"/>
      <c r="HSL110" s="957"/>
      <c r="HSM110" s="957"/>
      <c r="HSN110" s="957"/>
      <c r="HSO110" s="957"/>
      <c r="HSP110" s="957"/>
      <c r="HSQ110" s="957"/>
      <c r="HSR110" s="957"/>
      <c r="HSS110" s="957"/>
      <c r="HST110" s="957"/>
      <c r="HSU110" s="957"/>
      <c r="HSV110" s="957"/>
      <c r="HSW110" s="957"/>
      <c r="HSX110" s="957"/>
      <c r="HSY110" s="957"/>
      <c r="HSZ110" s="957"/>
      <c r="HTA110" s="957"/>
      <c r="HTB110" s="957"/>
      <c r="HTC110" s="957"/>
      <c r="HTD110" s="957"/>
      <c r="HTE110" s="957"/>
      <c r="HTF110" s="957"/>
      <c r="HTG110" s="957"/>
      <c r="HTH110" s="957"/>
      <c r="HTI110" s="957"/>
      <c r="HTJ110" s="957"/>
      <c r="HTK110" s="957"/>
      <c r="HTL110" s="957"/>
      <c r="HTM110" s="957"/>
      <c r="HTN110" s="957"/>
      <c r="HTO110" s="957"/>
      <c r="HTP110" s="957"/>
      <c r="HTQ110" s="957"/>
      <c r="HTR110" s="957"/>
      <c r="HTS110" s="957"/>
      <c r="HTT110" s="957"/>
      <c r="HTU110" s="957"/>
      <c r="HTV110" s="957"/>
      <c r="HTW110" s="957"/>
      <c r="HTX110" s="957"/>
      <c r="HTY110" s="957"/>
      <c r="HTZ110" s="957"/>
      <c r="HUA110" s="957"/>
      <c r="HUB110" s="957"/>
      <c r="HUC110" s="957"/>
      <c r="HUD110" s="957"/>
      <c r="HUE110" s="957"/>
      <c r="HUF110" s="957"/>
      <c r="HUG110" s="957"/>
      <c r="HUH110" s="957"/>
      <c r="HUI110" s="957"/>
      <c r="HUJ110" s="957"/>
      <c r="HUK110" s="957"/>
      <c r="HUL110" s="957"/>
      <c r="HUM110" s="957"/>
      <c r="HUN110" s="957"/>
      <c r="HUO110" s="957"/>
      <c r="HUP110" s="957"/>
      <c r="HUQ110" s="957"/>
      <c r="HUR110" s="957"/>
      <c r="HUS110" s="957"/>
      <c r="HUT110" s="957"/>
      <c r="HUU110" s="957"/>
      <c r="HUV110" s="957"/>
      <c r="HUW110" s="957"/>
      <c r="HUX110" s="957"/>
      <c r="HUY110" s="957"/>
      <c r="HUZ110" s="957"/>
      <c r="HVA110" s="957"/>
      <c r="HVB110" s="957"/>
      <c r="HVC110" s="957"/>
      <c r="HVD110" s="957"/>
      <c r="HVE110" s="957"/>
      <c r="HVF110" s="957"/>
      <c r="HVG110" s="957"/>
      <c r="HVH110" s="957"/>
      <c r="HVI110" s="957"/>
      <c r="HVJ110" s="957"/>
      <c r="HVK110" s="957"/>
      <c r="HVL110" s="957"/>
      <c r="HVM110" s="957"/>
      <c r="HVN110" s="957"/>
      <c r="HVO110" s="957"/>
      <c r="HVP110" s="957"/>
      <c r="HVQ110" s="957"/>
      <c r="HVR110" s="957"/>
      <c r="HVS110" s="957"/>
      <c r="HVT110" s="957"/>
      <c r="HVU110" s="957"/>
      <c r="HVV110" s="957"/>
      <c r="HVW110" s="957"/>
      <c r="HVX110" s="957"/>
      <c r="HVY110" s="957"/>
      <c r="HVZ110" s="957"/>
      <c r="HWA110" s="957"/>
      <c r="HWB110" s="957"/>
      <c r="HWC110" s="957"/>
      <c r="HWD110" s="957"/>
      <c r="HWE110" s="957"/>
      <c r="HWF110" s="957"/>
      <c r="HWG110" s="957"/>
      <c r="HWH110" s="957"/>
      <c r="HWI110" s="957"/>
      <c r="HWJ110" s="957"/>
      <c r="HWK110" s="957"/>
      <c r="HWL110" s="957"/>
      <c r="HWM110" s="957"/>
      <c r="HWN110" s="957"/>
      <c r="HWO110" s="957"/>
      <c r="HWP110" s="957"/>
      <c r="HWQ110" s="957"/>
      <c r="HWR110" s="957"/>
      <c r="HWS110" s="957"/>
      <c r="HWT110" s="957"/>
      <c r="HWU110" s="957"/>
      <c r="HWV110" s="957"/>
      <c r="HWW110" s="957"/>
      <c r="HWX110" s="957"/>
      <c r="HWY110" s="957"/>
      <c r="HWZ110" s="957"/>
      <c r="HXA110" s="957"/>
      <c r="HXB110" s="957"/>
      <c r="HXC110" s="957"/>
      <c r="HXD110" s="957"/>
      <c r="HXE110" s="957"/>
      <c r="HXF110" s="957"/>
      <c r="HXG110" s="957"/>
      <c r="HXH110" s="957"/>
      <c r="HXI110" s="957"/>
      <c r="HXJ110" s="957"/>
      <c r="HXK110" s="957"/>
      <c r="HXL110" s="957"/>
      <c r="HXM110" s="957"/>
      <c r="HXN110" s="957"/>
      <c r="HXO110" s="957"/>
      <c r="HXP110" s="957"/>
      <c r="HXQ110" s="957"/>
      <c r="HXR110" s="957"/>
      <c r="HXS110" s="957"/>
      <c r="HXT110" s="957"/>
      <c r="HXU110" s="957"/>
      <c r="HXV110" s="957"/>
      <c r="HXW110" s="957"/>
      <c r="HXX110" s="957"/>
      <c r="HXY110" s="957"/>
      <c r="HXZ110" s="957"/>
      <c r="HYA110" s="957"/>
      <c r="HYB110" s="957"/>
      <c r="HYC110" s="957"/>
      <c r="HYD110" s="957"/>
      <c r="HYE110" s="957"/>
      <c r="HYF110" s="957"/>
      <c r="HYG110" s="957"/>
      <c r="HYH110" s="957"/>
      <c r="HYI110" s="957"/>
      <c r="HYJ110" s="957"/>
      <c r="HYK110" s="957"/>
      <c r="HYL110" s="957"/>
      <c r="HYM110" s="957"/>
      <c r="HYN110" s="957"/>
      <c r="HYO110" s="957"/>
      <c r="HYP110" s="957"/>
      <c r="HYQ110" s="957"/>
      <c r="HYR110" s="957"/>
      <c r="HYS110" s="957"/>
      <c r="HYT110" s="957"/>
      <c r="HYU110" s="957"/>
      <c r="HYV110" s="957"/>
      <c r="HYW110" s="957"/>
      <c r="HYX110" s="957"/>
      <c r="HYY110" s="957"/>
      <c r="HYZ110" s="957"/>
      <c r="HZA110" s="957"/>
      <c r="HZB110" s="957"/>
      <c r="HZC110" s="957"/>
      <c r="HZD110" s="957"/>
      <c r="HZE110" s="957"/>
      <c r="HZF110" s="957"/>
      <c r="HZG110" s="957"/>
      <c r="HZH110" s="957"/>
      <c r="HZI110" s="957"/>
      <c r="HZJ110" s="957"/>
      <c r="HZK110" s="957"/>
      <c r="HZL110" s="957"/>
      <c r="HZM110" s="957"/>
      <c r="HZN110" s="957"/>
      <c r="HZO110" s="957"/>
      <c r="HZP110" s="957"/>
      <c r="HZQ110" s="957"/>
      <c r="HZR110" s="957"/>
      <c r="HZS110" s="957"/>
      <c r="HZT110" s="957"/>
      <c r="HZU110" s="957"/>
      <c r="HZV110" s="957"/>
      <c r="HZW110" s="957"/>
      <c r="HZX110" s="957"/>
      <c r="HZY110" s="957"/>
      <c r="HZZ110" s="957"/>
      <c r="IAA110" s="957"/>
      <c r="IAB110" s="957"/>
      <c r="IAC110" s="957"/>
      <c r="IAD110" s="957"/>
      <c r="IAE110" s="957"/>
      <c r="IAF110" s="957"/>
      <c r="IAG110" s="957"/>
      <c r="IAH110" s="957"/>
      <c r="IAI110" s="957"/>
      <c r="IAJ110" s="957"/>
      <c r="IAK110" s="957"/>
      <c r="IAL110" s="957"/>
      <c r="IAM110" s="957"/>
      <c r="IAN110" s="957"/>
      <c r="IAO110" s="957"/>
      <c r="IAP110" s="957"/>
      <c r="IAQ110" s="957"/>
      <c r="IAR110" s="957"/>
      <c r="IAS110" s="957"/>
      <c r="IAT110" s="957"/>
      <c r="IAU110" s="957"/>
      <c r="IAV110" s="957"/>
      <c r="IAW110" s="957"/>
      <c r="IAX110" s="957"/>
      <c r="IAY110" s="957"/>
      <c r="IAZ110" s="957"/>
      <c r="IBA110" s="957"/>
      <c r="IBB110" s="957"/>
      <c r="IBC110" s="957"/>
      <c r="IBD110" s="957"/>
      <c r="IBE110" s="957"/>
      <c r="IBF110" s="957"/>
      <c r="IBG110" s="957"/>
      <c r="IBH110" s="957"/>
      <c r="IBI110" s="957"/>
      <c r="IBJ110" s="957"/>
      <c r="IBK110" s="957"/>
      <c r="IBL110" s="957"/>
      <c r="IBM110" s="957"/>
      <c r="IBN110" s="957"/>
      <c r="IBO110" s="957"/>
      <c r="IBP110" s="957"/>
      <c r="IBQ110" s="957"/>
      <c r="IBR110" s="957"/>
      <c r="IBS110" s="957"/>
      <c r="IBT110" s="957"/>
      <c r="IBU110" s="957"/>
      <c r="IBV110" s="957"/>
      <c r="IBW110" s="957"/>
      <c r="IBX110" s="957"/>
      <c r="IBY110" s="957"/>
      <c r="IBZ110" s="957"/>
      <c r="ICA110" s="957"/>
      <c r="ICB110" s="957"/>
      <c r="ICC110" s="957"/>
      <c r="ICD110" s="957"/>
      <c r="ICE110" s="957"/>
      <c r="ICF110" s="957"/>
      <c r="ICG110" s="957"/>
      <c r="ICH110" s="957"/>
      <c r="ICI110" s="957"/>
      <c r="ICJ110" s="957"/>
      <c r="ICK110" s="957"/>
      <c r="ICL110" s="957"/>
      <c r="ICM110" s="957"/>
      <c r="ICN110" s="957"/>
      <c r="ICO110" s="957"/>
      <c r="ICP110" s="957"/>
      <c r="ICQ110" s="957"/>
      <c r="ICR110" s="957"/>
      <c r="ICS110" s="957"/>
      <c r="ICT110" s="957"/>
      <c r="ICU110" s="957"/>
      <c r="ICV110" s="957"/>
      <c r="ICW110" s="957"/>
      <c r="ICX110" s="957"/>
      <c r="ICY110" s="957"/>
      <c r="ICZ110" s="957"/>
      <c r="IDA110" s="957"/>
      <c r="IDB110" s="957"/>
      <c r="IDC110" s="957"/>
      <c r="IDD110" s="957"/>
      <c r="IDE110" s="957"/>
      <c r="IDF110" s="957"/>
      <c r="IDG110" s="957"/>
      <c r="IDH110" s="957"/>
      <c r="IDI110" s="957"/>
      <c r="IDJ110" s="957"/>
      <c r="IDK110" s="957"/>
      <c r="IDL110" s="957"/>
      <c r="IDM110" s="957"/>
      <c r="IDN110" s="957"/>
      <c r="IDO110" s="957"/>
      <c r="IDP110" s="957"/>
      <c r="IDQ110" s="957"/>
      <c r="IDR110" s="957"/>
      <c r="IDS110" s="957"/>
      <c r="IDT110" s="957"/>
      <c r="IDU110" s="957"/>
      <c r="IDV110" s="957"/>
      <c r="IDW110" s="957"/>
      <c r="IDX110" s="957"/>
      <c r="IDY110" s="957"/>
      <c r="IDZ110" s="957"/>
      <c r="IEA110" s="957"/>
      <c r="IEB110" s="957"/>
      <c r="IEC110" s="957"/>
      <c r="IED110" s="957"/>
      <c r="IEE110" s="957"/>
      <c r="IEF110" s="957"/>
      <c r="IEG110" s="957"/>
      <c r="IEH110" s="957"/>
      <c r="IEI110" s="957"/>
      <c r="IEJ110" s="957"/>
      <c r="IEK110" s="957"/>
      <c r="IEL110" s="957"/>
      <c r="IEM110" s="957"/>
      <c r="IEN110" s="957"/>
      <c r="IEO110" s="957"/>
      <c r="IEP110" s="957"/>
      <c r="IEQ110" s="957"/>
      <c r="IER110" s="957"/>
      <c r="IES110" s="957"/>
      <c r="IET110" s="957"/>
      <c r="IEU110" s="957"/>
      <c r="IEV110" s="957"/>
      <c r="IEW110" s="957"/>
      <c r="IEX110" s="957"/>
      <c r="IEY110" s="957"/>
      <c r="IEZ110" s="957"/>
      <c r="IFA110" s="957"/>
      <c r="IFB110" s="957"/>
      <c r="IFC110" s="957"/>
      <c r="IFD110" s="957"/>
      <c r="IFE110" s="957"/>
      <c r="IFF110" s="957"/>
      <c r="IFG110" s="957"/>
      <c r="IFH110" s="957"/>
      <c r="IFI110" s="957"/>
      <c r="IFJ110" s="957"/>
      <c r="IFK110" s="957"/>
      <c r="IFL110" s="957"/>
      <c r="IFM110" s="957"/>
      <c r="IFN110" s="957"/>
      <c r="IFO110" s="957"/>
      <c r="IFP110" s="957"/>
      <c r="IFQ110" s="957"/>
      <c r="IFR110" s="957"/>
      <c r="IFS110" s="957"/>
      <c r="IFT110" s="957"/>
      <c r="IFU110" s="957"/>
      <c r="IFV110" s="957"/>
      <c r="IFW110" s="957"/>
      <c r="IFX110" s="957"/>
      <c r="IFY110" s="957"/>
      <c r="IFZ110" s="957"/>
      <c r="IGA110" s="957"/>
      <c r="IGB110" s="957"/>
      <c r="IGC110" s="957"/>
      <c r="IGD110" s="957"/>
      <c r="IGE110" s="957"/>
      <c r="IGF110" s="957"/>
      <c r="IGG110" s="957"/>
      <c r="IGH110" s="957"/>
      <c r="IGI110" s="957"/>
      <c r="IGJ110" s="957"/>
      <c r="IGK110" s="957"/>
      <c r="IGL110" s="957"/>
      <c r="IGM110" s="957"/>
      <c r="IGN110" s="957"/>
      <c r="IGO110" s="957"/>
      <c r="IGP110" s="957"/>
      <c r="IGQ110" s="957"/>
      <c r="IGR110" s="957"/>
      <c r="IGS110" s="957"/>
      <c r="IGT110" s="957"/>
      <c r="IGU110" s="957"/>
      <c r="IGV110" s="957"/>
      <c r="IGW110" s="957"/>
      <c r="IGX110" s="957"/>
      <c r="IGY110" s="957"/>
      <c r="IGZ110" s="957"/>
      <c r="IHA110" s="957"/>
      <c r="IHB110" s="957"/>
      <c r="IHC110" s="957"/>
      <c r="IHD110" s="957"/>
      <c r="IHE110" s="957"/>
      <c r="IHF110" s="957"/>
      <c r="IHG110" s="957"/>
      <c r="IHH110" s="957"/>
      <c r="IHI110" s="957"/>
      <c r="IHJ110" s="957"/>
      <c r="IHK110" s="957"/>
      <c r="IHL110" s="957"/>
      <c r="IHM110" s="957"/>
      <c r="IHN110" s="957"/>
      <c r="IHO110" s="957"/>
      <c r="IHP110" s="957"/>
      <c r="IHQ110" s="957"/>
      <c r="IHR110" s="957"/>
      <c r="IHS110" s="957"/>
      <c r="IHT110" s="957"/>
      <c r="IHU110" s="957"/>
      <c r="IHV110" s="957"/>
      <c r="IHW110" s="957"/>
      <c r="IHX110" s="957"/>
      <c r="IHY110" s="957"/>
      <c r="IHZ110" s="957"/>
      <c r="IIA110" s="957"/>
      <c r="IIB110" s="957"/>
      <c r="IIC110" s="957"/>
      <c r="IID110" s="957"/>
      <c r="IIE110" s="957"/>
      <c r="IIF110" s="957"/>
      <c r="IIG110" s="957"/>
      <c r="IIH110" s="957"/>
      <c r="III110" s="957"/>
      <c r="IIJ110" s="957"/>
      <c r="IIK110" s="957"/>
      <c r="IIL110" s="957"/>
      <c r="IIM110" s="957"/>
      <c r="IIN110" s="957"/>
      <c r="IIO110" s="957"/>
      <c r="IIP110" s="957"/>
      <c r="IIQ110" s="957"/>
      <c r="IIR110" s="957"/>
      <c r="IIS110" s="957"/>
      <c r="IIT110" s="957"/>
      <c r="IIU110" s="957"/>
      <c r="IIV110" s="957"/>
      <c r="IIW110" s="957"/>
      <c r="IIX110" s="957"/>
      <c r="IIY110" s="957"/>
      <c r="IIZ110" s="957"/>
      <c r="IJA110" s="957"/>
      <c r="IJB110" s="957"/>
      <c r="IJC110" s="957"/>
      <c r="IJD110" s="957"/>
      <c r="IJE110" s="957"/>
      <c r="IJF110" s="957"/>
      <c r="IJG110" s="957"/>
      <c r="IJH110" s="957"/>
      <c r="IJI110" s="957"/>
      <c r="IJJ110" s="957"/>
      <c r="IJK110" s="957"/>
      <c r="IJL110" s="957"/>
      <c r="IJM110" s="957"/>
      <c r="IJN110" s="957"/>
      <c r="IJO110" s="957"/>
      <c r="IJP110" s="957"/>
      <c r="IJQ110" s="957"/>
      <c r="IJR110" s="957"/>
      <c r="IJS110" s="957"/>
      <c r="IJT110" s="957"/>
      <c r="IJU110" s="957"/>
      <c r="IJV110" s="957"/>
      <c r="IJW110" s="957"/>
      <c r="IJX110" s="957"/>
      <c r="IJY110" s="957"/>
      <c r="IJZ110" s="957"/>
      <c r="IKA110" s="957"/>
      <c r="IKB110" s="957"/>
      <c r="IKC110" s="957"/>
      <c r="IKD110" s="957"/>
      <c r="IKE110" s="957"/>
      <c r="IKF110" s="957"/>
      <c r="IKG110" s="957"/>
      <c r="IKH110" s="957"/>
      <c r="IKI110" s="957"/>
      <c r="IKJ110" s="957"/>
      <c r="IKK110" s="957"/>
      <c r="IKL110" s="957"/>
      <c r="IKM110" s="957"/>
      <c r="IKN110" s="957"/>
      <c r="IKO110" s="957"/>
      <c r="IKP110" s="957"/>
      <c r="IKQ110" s="957"/>
      <c r="IKR110" s="957"/>
      <c r="IKS110" s="957"/>
      <c r="IKT110" s="957"/>
      <c r="IKU110" s="957"/>
      <c r="IKV110" s="957"/>
      <c r="IKW110" s="957"/>
      <c r="IKX110" s="957"/>
      <c r="IKY110" s="957"/>
      <c r="IKZ110" s="957"/>
      <c r="ILA110" s="957"/>
      <c r="ILB110" s="957"/>
      <c r="ILC110" s="957"/>
      <c r="ILD110" s="957"/>
      <c r="ILE110" s="957"/>
      <c r="ILF110" s="957"/>
      <c r="ILG110" s="957"/>
      <c r="ILH110" s="957"/>
      <c r="ILI110" s="957"/>
      <c r="ILJ110" s="957"/>
      <c r="ILK110" s="957"/>
      <c r="ILL110" s="957"/>
      <c r="ILM110" s="957"/>
      <c r="ILN110" s="957"/>
      <c r="ILO110" s="957"/>
      <c r="ILP110" s="957"/>
      <c r="ILQ110" s="957"/>
      <c r="ILR110" s="957"/>
      <c r="ILS110" s="957"/>
      <c r="ILT110" s="957"/>
      <c r="ILU110" s="957"/>
      <c r="ILV110" s="957"/>
      <c r="ILW110" s="957"/>
      <c r="ILX110" s="957"/>
      <c r="ILY110" s="957"/>
      <c r="ILZ110" s="957"/>
      <c r="IMA110" s="957"/>
      <c r="IMB110" s="957"/>
      <c r="IMC110" s="957"/>
      <c r="IMD110" s="957"/>
      <c r="IME110" s="957"/>
      <c r="IMF110" s="957"/>
      <c r="IMG110" s="957"/>
      <c r="IMH110" s="957"/>
      <c r="IMI110" s="957"/>
      <c r="IMJ110" s="957"/>
      <c r="IMK110" s="957"/>
      <c r="IML110" s="957"/>
      <c r="IMM110" s="957"/>
      <c r="IMN110" s="957"/>
      <c r="IMO110" s="957"/>
      <c r="IMP110" s="957"/>
      <c r="IMQ110" s="957"/>
      <c r="IMR110" s="957"/>
      <c r="IMS110" s="957"/>
      <c r="IMT110" s="957"/>
      <c r="IMU110" s="957"/>
      <c r="IMV110" s="957"/>
      <c r="IMW110" s="957"/>
      <c r="IMX110" s="957"/>
      <c r="IMY110" s="957"/>
      <c r="IMZ110" s="957"/>
      <c r="INA110" s="957"/>
      <c r="INB110" s="957"/>
      <c r="INC110" s="957"/>
      <c r="IND110" s="957"/>
      <c r="INE110" s="957"/>
      <c r="INF110" s="957"/>
      <c r="ING110" s="957"/>
      <c r="INH110" s="957"/>
      <c r="INI110" s="957"/>
      <c r="INJ110" s="957"/>
      <c r="INK110" s="957"/>
      <c r="INL110" s="957"/>
      <c r="INM110" s="957"/>
      <c r="INN110" s="957"/>
      <c r="INO110" s="957"/>
      <c r="INP110" s="957"/>
      <c r="INQ110" s="957"/>
      <c r="INR110" s="957"/>
      <c r="INS110" s="957"/>
      <c r="INT110" s="957"/>
      <c r="INU110" s="957"/>
      <c r="INV110" s="957"/>
      <c r="INW110" s="957"/>
      <c r="INX110" s="957"/>
      <c r="INY110" s="957"/>
      <c r="INZ110" s="957"/>
      <c r="IOA110" s="957"/>
      <c r="IOB110" s="957"/>
      <c r="IOC110" s="957"/>
      <c r="IOD110" s="957"/>
      <c r="IOE110" s="957"/>
      <c r="IOF110" s="957"/>
      <c r="IOG110" s="957"/>
      <c r="IOH110" s="957"/>
      <c r="IOI110" s="957"/>
      <c r="IOJ110" s="957"/>
      <c r="IOK110" s="957"/>
      <c r="IOL110" s="957"/>
      <c r="IOM110" s="957"/>
      <c r="ION110" s="957"/>
      <c r="IOO110" s="957"/>
      <c r="IOP110" s="957"/>
      <c r="IOQ110" s="957"/>
      <c r="IOR110" s="957"/>
      <c r="IOS110" s="957"/>
      <c r="IOT110" s="957"/>
      <c r="IOU110" s="957"/>
      <c r="IOV110" s="957"/>
      <c r="IOW110" s="957"/>
      <c r="IOX110" s="957"/>
      <c r="IOY110" s="957"/>
      <c r="IOZ110" s="957"/>
      <c r="IPA110" s="957"/>
      <c r="IPB110" s="957"/>
      <c r="IPC110" s="957"/>
      <c r="IPD110" s="957"/>
      <c r="IPE110" s="957"/>
      <c r="IPF110" s="957"/>
      <c r="IPG110" s="957"/>
      <c r="IPH110" s="957"/>
      <c r="IPI110" s="957"/>
      <c r="IPJ110" s="957"/>
      <c r="IPK110" s="957"/>
      <c r="IPL110" s="957"/>
      <c r="IPM110" s="957"/>
      <c r="IPN110" s="957"/>
      <c r="IPO110" s="957"/>
      <c r="IPP110" s="957"/>
      <c r="IPQ110" s="957"/>
      <c r="IPR110" s="957"/>
      <c r="IPS110" s="957"/>
      <c r="IPT110" s="957"/>
      <c r="IPU110" s="957"/>
      <c r="IPV110" s="957"/>
      <c r="IPW110" s="957"/>
      <c r="IPX110" s="957"/>
      <c r="IPY110" s="957"/>
      <c r="IPZ110" s="957"/>
      <c r="IQA110" s="957"/>
      <c r="IQB110" s="957"/>
      <c r="IQC110" s="957"/>
      <c r="IQD110" s="957"/>
      <c r="IQE110" s="957"/>
      <c r="IQF110" s="957"/>
      <c r="IQG110" s="957"/>
      <c r="IQH110" s="957"/>
      <c r="IQI110" s="957"/>
      <c r="IQJ110" s="957"/>
      <c r="IQK110" s="957"/>
      <c r="IQL110" s="957"/>
      <c r="IQM110" s="957"/>
      <c r="IQN110" s="957"/>
      <c r="IQO110" s="957"/>
      <c r="IQP110" s="957"/>
      <c r="IQQ110" s="957"/>
      <c r="IQR110" s="957"/>
      <c r="IQS110" s="957"/>
      <c r="IQT110" s="957"/>
      <c r="IQU110" s="957"/>
      <c r="IQV110" s="957"/>
      <c r="IQW110" s="957"/>
      <c r="IQX110" s="957"/>
      <c r="IQY110" s="957"/>
      <c r="IQZ110" s="957"/>
      <c r="IRA110" s="957"/>
      <c r="IRB110" s="957"/>
      <c r="IRC110" s="957"/>
      <c r="IRD110" s="957"/>
      <c r="IRE110" s="957"/>
      <c r="IRF110" s="957"/>
      <c r="IRG110" s="957"/>
      <c r="IRH110" s="957"/>
      <c r="IRI110" s="957"/>
      <c r="IRJ110" s="957"/>
      <c r="IRK110" s="957"/>
      <c r="IRL110" s="957"/>
      <c r="IRM110" s="957"/>
      <c r="IRN110" s="957"/>
      <c r="IRO110" s="957"/>
      <c r="IRP110" s="957"/>
      <c r="IRQ110" s="957"/>
      <c r="IRR110" s="957"/>
      <c r="IRS110" s="957"/>
      <c r="IRT110" s="957"/>
      <c r="IRU110" s="957"/>
      <c r="IRV110" s="957"/>
      <c r="IRW110" s="957"/>
      <c r="IRX110" s="957"/>
      <c r="IRY110" s="957"/>
      <c r="IRZ110" s="957"/>
      <c r="ISA110" s="957"/>
      <c r="ISB110" s="957"/>
      <c r="ISC110" s="957"/>
      <c r="ISD110" s="957"/>
      <c r="ISE110" s="957"/>
      <c r="ISF110" s="957"/>
      <c r="ISG110" s="957"/>
      <c r="ISH110" s="957"/>
      <c r="ISI110" s="957"/>
      <c r="ISJ110" s="957"/>
      <c r="ISK110" s="957"/>
      <c r="ISL110" s="957"/>
      <c r="ISM110" s="957"/>
      <c r="ISN110" s="957"/>
      <c r="ISO110" s="957"/>
      <c r="ISP110" s="957"/>
      <c r="ISQ110" s="957"/>
      <c r="ISR110" s="957"/>
      <c r="ISS110" s="957"/>
      <c r="IST110" s="957"/>
      <c r="ISU110" s="957"/>
      <c r="ISV110" s="957"/>
      <c r="ISW110" s="957"/>
      <c r="ISX110" s="957"/>
      <c r="ISY110" s="957"/>
      <c r="ISZ110" s="957"/>
      <c r="ITA110" s="957"/>
      <c r="ITB110" s="957"/>
      <c r="ITC110" s="957"/>
      <c r="ITD110" s="957"/>
      <c r="ITE110" s="957"/>
      <c r="ITF110" s="957"/>
      <c r="ITG110" s="957"/>
      <c r="ITH110" s="957"/>
      <c r="ITI110" s="957"/>
      <c r="ITJ110" s="957"/>
      <c r="ITK110" s="957"/>
      <c r="ITL110" s="957"/>
      <c r="ITM110" s="957"/>
      <c r="ITN110" s="957"/>
      <c r="ITO110" s="957"/>
      <c r="ITP110" s="957"/>
      <c r="ITQ110" s="957"/>
      <c r="ITR110" s="957"/>
      <c r="ITS110" s="957"/>
      <c r="ITT110" s="957"/>
      <c r="ITU110" s="957"/>
      <c r="ITV110" s="957"/>
      <c r="ITW110" s="957"/>
      <c r="ITX110" s="957"/>
      <c r="ITY110" s="957"/>
      <c r="ITZ110" s="957"/>
      <c r="IUA110" s="957"/>
      <c r="IUB110" s="957"/>
      <c r="IUC110" s="957"/>
      <c r="IUD110" s="957"/>
      <c r="IUE110" s="957"/>
      <c r="IUF110" s="957"/>
      <c r="IUG110" s="957"/>
      <c r="IUH110" s="957"/>
      <c r="IUI110" s="957"/>
      <c r="IUJ110" s="957"/>
      <c r="IUK110" s="957"/>
      <c r="IUL110" s="957"/>
      <c r="IUM110" s="957"/>
      <c r="IUN110" s="957"/>
      <c r="IUO110" s="957"/>
      <c r="IUP110" s="957"/>
      <c r="IUQ110" s="957"/>
      <c r="IUR110" s="957"/>
      <c r="IUS110" s="957"/>
      <c r="IUT110" s="957"/>
      <c r="IUU110" s="957"/>
      <c r="IUV110" s="957"/>
      <c r="IUW110" s="957"/>
      <c r="IUX110" s="957"/>
      <c r="IUY110" s="957"/>
      <c r="IUZ110" s="957"/>
      <c r="IVA110" s="957"/>
      <c r="IVB110" s="957"/>
      <c r="IVC110" s="957"/>
      <c r="IVD110" s="957"/>
      <c r="IVE110" s="957"/>
      <c r="IVF110" s="957"/>
      <c r="IVG110" s="957"/>
      <c r="IVH110" s="957"/>
      <c r="IVI110" s="957"/>
      <c r="IVJ110" s="957"/>
      <c r="IVK110" s="957"/>
      <c r="IVL110" s="957"/>
      <c r="IVM110" s="957"/>
      <c r="IVN110" s="957"/>
      <c r="IVO110" s="957"/>
      <c r="IVP110" s="957"/>
      <c r="IVQ110" s="957"/>
      <c r="IVR110" s="957"/>
      <c r="IVS110" s="957"/>
      <c r="IVT110" s="957"/>
      <c r="IVU110" s="957"/>
      <c r="IVV110" s="957"/>
      <c r="IVW110" s="957"/>
      <c r="IVX110" s="957"/>
      <c r="IVY110" s="957"/>
      <c r="IVZ110" s="957"/>
      <c r="IWA110" s="957"/>
      <c r="IWB110" s="957"/>
      <c r="IWC110" s="957"/>
      <c r="IWD110" s="957"/>
      <c r="IWE110" s="957"/>
      <c r="IWF110" s="957"/>
      <c r="IWG110" s="957"/>
      <c r="IWH110" s="957"/>
      <c r="IWI110" s="957"/>
      <c r="IWJ110" s="957"/>
      <c r="IWK110" s="957"/>
      <c r="IWL110" s="957"/>
      <c r="IWM110" s="957"/>
      <c r="IWN110" s="957"/>
      <c r="IWO110" s="957"/>
      <c r="IWP110" s="957"/>
      <c r="IWQ110" s="957"/>
      <c r="IWR110" s="957"/>
      <c r="IWS110" s="957"/>
      <c r="IWT110" s="957"/>
      <c r="IWU110" s="957"/>
      <c r="IWV110" s="957"/>
      <c r="IWW110" s="957"/>
      <c r="IWX110" s="957"/>
      <c r="IWY110" s="957"/>
      <c r="IWZ110" s="957"/>
      <c r="IXA110" s="957"/>
      <c r="IXB110" s="957"/>
      <c r="IXC110" s="957"/>
      <c r="IXD110" s="957"/>
      <c r="IXE110" s="957"/>
      <c r="IXF110" s="957"/>
      <c r="IXG110" s="957"/>
      <c r="IXH110" s="957"/>
      <c r="IXI110" s="957"/>
      <c r="IXJ110" s="957"/>
      <c r="IXK110" s="957"/>
      <c r="IXL110" s="957"/>
      <c r="IXM110" s="957"/>
      <c r="IXN110" s="957"/>
      <c r="IXO110" s="957"/>
      <c r="IXP110" s="957"/>
      <c r="IXQ110" s="957"/>
      <c r="IXR110" s="957"/>
      <c r="IXS110" s="957"/>
      <c r="IXT110" s="957"/>
      <c r="IXU110" s="957"/>
      <c r="IXV110" s="957"/>
      <c r="IXW110" s="957"/>
      <c r="IXX110" s="957"/>
      <c r="IXY110" s="957"/>
      <c r="IXZ110" s="957"/>
      <c r="IYA110" s="957"/>
      <c r="IYB110" s="957"/>
      <c r="IYC110" s="957"/>
      <c r="IYD110" s="957"/>
      <c r="IYE110" s="957"/>
      <c r="IYF110" s="957"/>
      <c r="IYG110" s="957"/>
      <c r="IYH110" s="957"/>
      <c r="IYI110" s="957"/>
      <c r="IYJ110" s="957"/>
      <c r="IYK110" s="957"/>
      <c r="IYL110" s="957"/>
      <c r="IYM110" s="957"/>
      <c r="IYN110" s="957"/>
      <c r="IYO110" s="957"/>
      <c r="IYP110" s="957"/>
      <c r="IYQ110" s="957"/>
      <c r="IYR110" s="957"/>
      <c r="IYS110" s="957"/>
      <c r="IYT110" s="957"/>
      <c r="IYU110" s="957"/>
      <c r="IYV110" s="957"/>
      <c r="IYW110" s="957"/>
      <c r="IYX110" s="957"/>
      <c r="IYY110" s="957"/>
      <c r="IYZ110" s="957"/>
      <c r="IZA110" s="957"/>
      <c r="IZB110" s="957"/>
      <c r="IZC110" s="957"/>
      <c r="IZD110" s="957"/>
      <c r="IZE110" s="957"/>
      <c r="IZF110" s="957"/>
      <c r="IZG110" s="957"/>
      <c r="IZH110" s="957"/>
      <c r="IZI110" s="957"/>
      <c r="IZJ110" s="957"/>
      <c r="IZK110" s="957"/>
      <c r="IZL110" s="957"/>
      <c r="IZM110" s="957"/>
      <c r="IZN110" s="957"/>
      <c r="IZO110" s="957"/>
      <c r="IZP110" s="957"/>
      <c r="IZQ110" s="957"/>
      <c r="IZR110" s="957"/>
      <c r="IZS110" s="957"/>
      <c r="IZT110" s="957"/>
      <c r="IZU110" s="957"/>
      <c r="IZV110" s="957"/>
      <c r="IZW110" s="957"/>
      <c r="IZX110" s="957"/>
      <c r="IZY110" s="957"/>
      <c r="IZZ110" s="957"/>
      <c r="JAA110" s="957"/>
      <c r="JAB110" s="957"/>
      <c r="JAC110" s="957"/>
      <c r="JAD110" s="957"/>
      <c r="JAE110" s="957"/>
      <c r="JAF110" s="957"/>
      <c r="JAG110" s="957"/>
      <c r="JAH110" s="957"/>
      <c r="JAI110" s="957"/>
      <c r="JAJ110" s="957"/>
      <c r="JAK110" s="957"/>
      <c r="JAL110" s="957"/>
      <c r="JAM110" s="957"/>
      <c r="JAN110" s="957"/>
      <c r="JAO110" s="957"/>
      <c r="JAP110" s="957"/>
      <c r="JAQ110" s="957"/>
      <c r="JAR110" s="957"/>
      <c r="JAS110" s="957"/>
      <c r="JAT110" s="957"/>
      <c r="JAU110" s="957"/>
      <c r="JAV110" s="957"/>
      <c r="JAW110" s="957"/>
      <c r="JAX110" s="957"/>
      <c r="JAY110" s="957"/>
      <c r="JAZ110" s="957"/>
      <c r="JBA110" s="957"/>
      <c r="JBB110" s="957"/>
      <c r="JBC110" s="957"/>
      <c r="JBD110" s="957"/>
      <c r="JBE110" s="957"/>
      <c r="JBF110" s="957"/>
      <c r="JBG110" s="957"/>
      <c r="JBH110" s="957"/>
      <c r="JBI110" s="957"/>
      <c r="JBJ110" s="957"/>
      <c r="JBK110" s="957"/>
      <c r="JBL110" s="957"/>
      <c r="JBM110" s="957"/>
      <c r="JBN110" s="957"/>
      <c r="JBO110" s="957"/>
      <c r="JBP110" s="957"/>
      <c r="JBQ110" s="957"/>
      <c r="JBR110" s="957"/>
      <c r="JBS110" s="957"/>
      <c r="JBT110" s="957"/>
      <c r="JBU110" s="957"/>
      <c r="JBV110" s="957"/>
      <c r="JBW110" s="957"/>
      <c r="JBX110" s="957"/>
      <c r="JBY110" s="957"/>
      <c r="JBZ110" s="957"/>
      <c r="JCA110" s="957"/>
      <c r="JCB110" s="957"/>
      <c r="JCC110" s="957"/>
      <c r="JCD110" s="957"/>
      <c r="JCE110" s="957"/>
      <c r="JCF110" s="957"/>
      <c r="JCG110" s="957"/>
      <c r="JCH110" s="957"/>
      <c r="JCI110" s="957"/>
      <c r="JCJ110" s="957"/>
      <c r="JCK110" s="957"/>
      <c r="JCL110" s="957"/>
      <c r="JCM110" s="957"/>
      <c r="JCN110" s="957"/>
      <c r="JCO110" s="957"/>
      <c r="JCP110" s="957"/>
      <c r="JCQ110" s="957"/>
      <c r="JCR110" s="957"/>
      <c r="JCS110" s="957"/>
      <c r="JCT110" s="957"/>
      <c r="JCU110" s="957"/>
      <c r="JCV110" s="957"/>
      <c r="JCW110" s="957"/>
      <c r="JCX110" s="957"/>
      <c r="JCY110" s="957"/>
      <c r="JCZ110" s="957"/>
      <c r="JDA110" s="957"/>
      <c r="JDB110" s="957"/>
      <c r="JDC110" s="957"/>
      <c r="JDD110" s="957"/>
      <c r="JDE110" s="957"/>
      <c r="JDF110" s="957"/>
      <c r="JDG110" s="957"/>
      <c r="JDH110" s="957"/>
      <c r="JDI110" s="957"/>
      <c r="JDJ110" s="957"/>
      <c r="JDK110" s="957"/>
      <c r="JDL110" s="957"/>
      <c r="JDM110" s="957"/>
      <c r="JDN110" s="957"/>
      <c r="JDO110" s="957"/>
      <c r="JDP110" s="957"/>
      <c r="JDQ110" s="957"/>
      <c r="JDR110" s="957"/>
      <c r="JDS110" s="957"/>
      <c r="JDT110" s="957"/>
      <c r="JDU110" s="957"/>
      <c r="JDV110" s="957"/>
      <c r="JDW110" s="957"/>
      <c r="JDX110" s="957"/>
      <c r="JDY110" s="957"/>
      <c r="JDZ110" s="957"/>
      <c r="JEA110" s="957"/>
      <c r="JEB110" s="957"/>
      <c r="JEC110" s="957"/>
      <c r="JED110" s="957"/>
      <c r="JEE110" s="957"/>
      <c r="JEF110" s="957"/>
      <c r="JEG110" s="957"/>
      <c r="JEH110" s="957"/>
      <c r="JEI110" s="957"/>
      <c r="JEJ110" s="957"/>
      <c r="JEK110" s="957"/>
      <c r="JEL110" s="957"/>
      <c r="JEM110" s="957"/>
      <c r="JEN110" s="957"/>
      <c r="JEO110" s="957"/>
      <c r="JEP110" s="957"/>
      <c r="JEQ110" s="957"/>
      <c r="JER110" s="957"/>
      <c r="JES110" s="957"/>
      <c r="JET110" s="957"/>
      <c r="JEU110" s="957"/>
      <c r="JEV110" s="957"/>
      <c r="JEW110" s="957"/>
      <c r="JEX110" s="957"/>
      <c r="JEY110" s="957"/>
      <c r="JEZ110" s="957"/>
      <c r="JFA110" s="957"/>
      <c r="JFB110" s="957"/>
      <c r="JFC110" s="957"/>
      <c r="JFD110" s="957"/>
      <c r="JFE110" s="957"/>
      <c r="JFF110" s="957"/>
      <c r="JFG110" s="957"/>
      <c r="JFH110" s="957"/>
      <c r="JFI110" s="957"/>
      <c r="JFJ110" s="957"/>
      <c r="JFK110" s="957"/>
      <c r="JFL110" s="957"/>
      <c r="JFM110" s="957"/>
      <c r="JFN110" s="957"/>
      <c r="JFO110" s="957"/>
      <c r="JFP110" s="957"/>
      <c r="JFQ110" s="957"/>
      <c r="JFR110" s="957"/>
      <c r="JFS110" s="957"/>
      <c r="JFT110" s="957"/>
      <c r="JFU110" s="957"/>
      <c r="JFV110" s="957"/>
      <c r="JFW110" s="957"/>
      <c r="JFX110" s="957"/>
      <c r="JFY110" s="957"/>
      <c r="JFZ110" s="957"/>
      <c r="JGA110" s="957"/>
      <c r="JGB110" s="957"/>
      <c r="JGC110" s="957"/>
      <c r="JGD110" s="957"/>
      <c r="JGE110" s="957"/>
      <c r="JGF110" s="957"/>
      <c r="JGG110" s="957"/>
      <c r="JGH110" s="957"/>
      <c r="JGI110" s="957"/>
      <c r="JGJ110" s="957"/>
      <c r="JGK110" s="957"/>
      <c r="JGL110" s="957"/>
      <c r="JGM110" s="957"/>
      <c r="JGN110" s="957"/>
      <c r="JGO110" s="957"/>
      <c r="JGP110" s="957"/>
      <c r="JGQ110" s="957"/>
      <c r="JGR110" s="957"/>
      <c r="JGS110" s="957"/>
      <c r="JGT110" s="957"/>
      <c r="JGU110" s="957"/>
      <c r="JGV110" s="957"/>
      <c r="JGW110" s="957"/>
      <c r="JGX110" s="957"/>
      <c r="JGY110" s="957"/>
      <c r="JGZ110" s="957"/>
      <c r="JHA110" s="957"/>
      <c r="JHB110" s="957"/>
      <c r="JHC110" s="957"/>
      <c r="JHD110" s="957"/>
      <c r="JHE110" s="957"/>
      <c r="JHF110" s="957"/>
      <c r="JHG110" s="957"/>
      <c r="JHH110" s="957"/>
      <c r="JHI110" s="957"/>
      <c r="JHJ110" s="957"/>
      <c r="JHK110" s="957"/>
      <c r="JHL110" s="957"/>
      <c r="JHM110" s="957"/>
      <c r="JHN110" s="957"/>
      <c r="JHO110" s="957"/>
      <c r="JHP110" s="957"/>
      <c r="JHQ110" s="957"/>
      <c r="JHR110" s="957"/>
      <c r="JHS110" s="957"/>
      <c r="JHT110" s="957"/>
      <c r="JHU110" s="957"/>
      <c r="JHV110" s="957"/>
      <c r="JHW110" s="957"/>
      <c r="JHX110" s="957"/>
      <c r="JHY110" s="957"/>
      <c r="JHZ110" s="957"/>
      <c r="JIA110" s="957"/>
      <c r="JIB110" s="957"/>
      <c r="JIC110" s="957"/>
      <c r="JID110" s="957"/>
      <c r="JIE110" s="957"/>
      <c r="JIF110" s="957"/>
      <c r="JIG110" s="957"/>
      <c r="JIH110" s="957"/>
      <c r="JII110" s="957"/>
      <c r="JIJ110" s="957"/>
      <c r="JIK110" s="957"/>
      <c r="JIL110" s="957"/>
      <c r="JIM110" s="957"/>
      <c r="JIN110" s="957"/>
      <c r="JIO110" s="957"/>
      <c r="JIP110" s="957"/>
      <c r="JIQ110" s="957"/>
      <c r="JIR110" s="957"/>
      <c r="JIS110" s="957"/>
      <c r="JIT110" s="957"/>
      <c r="JIU110" s="957"/>
      <c r="JIV110" s="957"/>
      <c r="JIW110" s="957"/>
      <c r="JIX110" s="957"/>
      <c r="JIY110" s="957"/>
      <c r="JIZ110" s="957"/>
      <c r="JJA110" s="957"/>
      <c r="JJB110" s="957"/>
      <c r="JJC110" s="957"/>
      <c r="JJD110" s="957"/>
      <c r="JJE110" s="957"/>
      <c r="JJF110" s="957"/>
      <c r="JJG110" s="957"/>
      <c r="JJH110" s="957"/>
      <c r="JJI110" s="957"/>
      <c r="JJJ110" s="957"/>
      <c r="JJK110" s="957"/>
      <c r="JJL110" s="957"/>
      <c r="JJM110" s="957"/>
      <c r="JJN110" s="957"/>
      <c r="JJO110" s="957"/>
      <c r="JJP110" s="957"/>
      <c r="JJQ110" s="957"/>
      <c r="JJR110" s="957"/>
      <c r="JJS110" s="957"/>
      <c r="JJT110" s="957"/>
      <c r="JJU110" s="957"/>
      <c r="JJV110" s="957"/>
      <c r="JJW110" s="957"/>
      <c r="JJX110" s="957"/>
      <c r="JJY110" s="957"/>
      <c r="JJZ110" s="957"/>
      <c r="JKA110" s="957"/>
      <c r="JKB110" s="957"/>
      <c r="JKC110" s="957"/>
      <c r="JKD110" s="957"/>
      <c r="JKE110" s="957"/>
      <c r="JKF110" s="957"/>
      <c r="JKG110" s="957"/>
      <c r="JKH110" s="957"/>
      <c r="JKI110" s="957"/>
      <c r="JKJ110" s="957"/>
      <c r="JKK110" s="957"/>
      <c r="JKL110" s="957"/>
      <c r="JKM110" s="957"/>
      <c r="JKN110" s="957"/>
      <c r="JKO110" s="957"/>
      <c r="JKP110" s="957"/>
      <c r="JKQ110" s="957"/>
      <c r="JKR110" s="957"/>
      <c r="JKS110" s="957"/>
      <c r="JKT110" s="957"/>
      <c r="JKU110" s="957"/>
      <c r="JKV110" s="957"/>
      <c r="JKW110" s="957"/>
      <c r="JKX110" s="957"/>
      <c r="JKY110" s="957"/>
      <c r="JKZ110" s="957"/>
      <c r="JLA110" s="957"/>
      <c r="JLB110" s="957"/>
      <c r="JLC110" s="957"/>
      <c r="JLD110" s="957"/>
      <c r="JLE110" s="957"/>
      <c r="JLF110" s="957"/>
      <c r="JLG110" s="957"/>
      <c r="JLH110" s="957"/>
      <c r="JLI110" s="957"/>
      <c r="JLJ110" s="957"/>
      <c r="JLK110" s="957"/>
      <c r="JLL110" s="957"/>
      <c r="JLM110" s="957"/>
      <c r="JLN110" s="957"/>
      <c r="JLO110" s="957"/>
      <c r="JLP110" s="957"/>
      <c r="JLQ110" s="957"/>
      <c r="JLR110" s="957"/>
      <c r="JLS110" s="957"/>
      <c r="JLT110" s="957"/>
      <c r="JLU110" s="957"/>
      <c r="JLV110" s="957"/>
      <c r="JLW110" s="957"/>
      <c r="JLX110" s="957"/>
      <c r="JLY110" s="957"/>
      <c r="JLZ110" s="957"/>
      <c r="JMA110" s="957"/>
      <c r="JMB110" s="957"/>
      <c r="JMC110" s="957"/>
      <c r="JMD110" s="957"/>
      <c r="JME110" s="957"/>
      <c r="JMF110" s="957"/>
      <c r="JMG110" s="957"/>
      <c r="JMH110" s="957"/>
      <c r="JMI110" s="957"/>
      <c r="JMJ110" s="957"/>
      <c r="JMK110" s="957"/>
      <c r="JML110" s="957"/>
      <c r="JMM110" s="957"/>
      <c r="JMN110" s="957"/>
      <c r="JMO110" s="957"/>
      <c r="JMP110" s="957"/>
      <c r="JMQ110" s="957"/>
      <c r="JMR110" s="957"/>
      <c r="JMS110" s="957"/>
      <c r="JMT110" s="957"/>
      <c r="JMU110" s="957"/>
      <c r="JMV110" s="957"/>
      <c r="JMW110" s="957"/>
      <c r="JMX110" s="957"/>
      <c r="JMY110" s="957"/>
      <c r="JMZ110" s="957"/>
      <c r="JNA110" s="957"/>
      <c r="JNB110" s="957"/>
      <c r="JNC110" s="957"/>
      <c r="JND110" s="957"/>
      <c r="JNE110" s="957"/>
      <c r="JNF110" s="957"/>
      <c r="JNG110" s="957"/>
      <c r="JNH110" s="957"/>
      <c r="JNI110" s="957"/>
      <c r="JNJ110" s="957"/>
      <c r="JNK110" s="957"/>
      <c r="JNL110" s="957"/>
      <c r="JNM110" s="957"/>
      <c r="JNN110" s="957"/>
      <c r="JNO110" s="957"/>
      <c r="JNP110" s="957"/>
      <c r="JNQ110" s="957"/>
      <c r="JNR110" s="957"/>
      <c r="JNS110" s="957"/>
      <c r="JNT110" s="957"/>
      <c r="JNU110" s="957"/>
      <c r="JNV110" s="957"/>
      <c r="JNW110" s="957"/>
      <c r="JNX110" s="957"/>
      <c r="JNY110" s="957"/>
      <c r="JNZ110" s="957"/>
      <c r="JOA110" s="957"/>
      <c r="JOB110" s="957"/>
      <c r="JOC110" s="957"/>
      <c r="JOD110" s="957"/>
      <c r="JOE110" s="957"/>
      <c r="JOF110" s="957"/>
      <c r="JOG110" s="957"/>
      <c r="JOH110" s="957"/>
      <c r="JOI110" s="957"/>
      <c r="JOJ110" s="957"/>
      <c r="JOK110" s="957"/>
      <c r="JOL110" s="957"/>
      <c r="JOM110" s="957"/>
      <c r="JON110" s="957"/>
      <c r="JOO110" s="957"/>
      <c r="JOP110" s="957"/>
      <c r="JOQ110" s="957"/>
      <c r="JOR110" s="957"/>
      <c r="JOS110" s="957"/>
      <c r="JOT110" s="957"/>
      <c r="JOU110" s="957"/>
      <c r="JOV110" s="957"/>
      <c r="JOW110" s="957"/>
      <c r="JOX110" s="957"/>
      <c r="JOY110" s="957"/>
      <c r="JOZ110" s="957"/>
      <c r="JPA110" s="957"/>
      <c r="JPB110" s="957"/>
      <c r="JPC110" s="957"/>
      <c r="JPD110" s="957"/>
      <c r="JPE110" s="957"/>
      <c r="JPF110" s="957"/>
      <c r="JPG110" s="957"/>
      <c r="JPH110" s="957"/>
      <c r="JPI110" s="957"/>
      <c r="JPJ110" s="957"/>
      <c r="JPK110" s="957"/>
      <c r="JPL110" s="957"/>
      <c r="JPM110" s="957"/>
      <c r="JPN110" s="957"/>
      <c r="JPO110" s="957"/>
      <c r="JPP110" s="957"/>
      <c r="JPQ110" s="957"/>
      <c r="JPR110" s="957"/>
      <c r="JPS110" s="957"/>
      <c r="JPT110" s="957"/>
      <c r="JPU110" s="957"/>
      <c r="JPV110" s="957"/>
      <c r="JPW110" s="957"/>
      <c r="JPX110" s="957"/>
      <c r="JPY110" s="957"/>
      <c r="JPZ110" s="957"/>
      <c r="JQA110" s="957"/>
      <c r="JQB110" s="957"/>
      <c r="JQC110" s="957"/>
      <c r="JQD110" s="957"/>
      <c r="JQE110" s="957"/>
      <c r="JQF110" s="957"/>
      <c r="JQG110" s="957"/>
      <c r="JQH110" s="957"/>
      <c r="JQI110" s="957"/>
      <c r="JQJ110" s="957"/>
      <c r="JQK110" s="957"/>
      <c r="JQL110" s="957"/>
      <c r="JQM110" s="957"/>
      <c r="JQN110" s="957"/>
      <c r="JQO110" s="957"/>
      <c r="JQP110" s="957"/>
      <c r="JQQ110" s="957"/>
      <c r="JQR110" s="957"/>
      <c r="JQS110" s="957"/>
      <c r="JQT110" s="957"/>
      <c r="JQU110" s="957"/>
      <c r="JQV110" s="957"/>
      <c r="JQW110" s="957"/>
      <c r="JQX110" s="957"/>
      <c r="JQY110" s="957"/>
      <c r="JQZ110" s="957"/>
      <c r="JRA110" s="957"/>
      <c r="JRB110" s="957"/>
      <c r="JRC110" s="957"/>
      <c r="JRD110" s="957"/>
      <c r="JRE110" s="957"/>
      <c r="JRF110" s="957"/>
      <c r="JRG110" s="957"/>
      <c r="JRH110" s="957"/>
      <c r="JRI110" s="957"/>
      <c r="JRJ110" s="957"/>
      <c r="JRK110" s="957"/>
      <c r="JRL110" s="957"/>
      <c r="JRM110" s="957"/>
      <c r="JRN110" s="957"/>
      <c r="JRO110" s="957"/>
      <c r="JRP110" s="957"/>
      <c r="JRQ110" s="957"/>
      <c r="JRR110" s="957"/>
      <c r="JRS110" s="957"/>
      <c r="JRT110" s="957"/>
      <c r="JRU110" s="957"/>
      <c r="JRV110" s="957"/>
      <c r="JRW110" s="957"/>
      <c r="JRX110" s="957"/>
      <c r="JRY110" s="957"/>
      <c r="JRZ110" s="957"/>
      <c r="JSA110" s="957"/>
      <c r="JSB110" s="957"/>
      <c r="JSC110" s="957"/>
      <c r="JSD110" s="957"/>
      <c r="JSE110" s="957"/>
      <c r="JSF110" s="957"/>
      <c r="JSG110" s="957"/>
      <c r="JSH110" s="957"/>
      <c r="JSI110" s="957"/>
      <c r="JSJ110" s="957"/>
      <c r="JSK110" s="957"/>
      <c r="JSL110" s="957"/>
      <c r="JSM110" s="957"/>
      <c r="JSN110" s="957"/>
      <c r="JSO110" s="957"/>
      <c r="JSP110" s="957"/>
      <c r="JSQ110" s="957"/>
      <c r="JSR110" s="957"/>
      <c r="JSS110" s="957"/>
      <c r="JST110" s="957"/>
      <c r="JSU110" s="957"/>
      <c r="JSV110" s="957"/>
      <c r="JSW110" s="957"/>
      <c r="JSX110" s="957"/>
      <c r="JSY110" s="957"/>
      <c r="JSZ110" s="957"/>
      <c r="JTA110" s="957"/>
      <c r="JTB110" s="957"/>
      <c r="JTC110" s="957"/>
      <c r="JTD110" s="957"/>
      <c r="JTE110" s="957"/>
      <c r="JTF110" s="957"/>
      <c r="JTG110" s="957"/>
      <c r="JTH110" s="957"/>
      <c r="JTI110" s="957"/>
      <c r="JTJ110" s="957"/>
      <c r="JTK110" s="957"/>
      <c r="JTL110" s="957"/>
      <c r="JTM110" s="957"/>
      <c r="JTN110" s="957"/>
      <c r="JTO110" s="957"/>
      <c r="JTP110" s="957"/>
      <c r="JTQ110" s="957"/>
      <c r="JTR110" s="957"/>
      <c r="JTS110" s="957"/>
      <c r="JTT110" s="957"/>
      <c r="JTU110" s="957"/>
      <c r="JTV110" s="957"/>
      <c r="JTW110" s="957"/>
      <c r="JTX110" s="957"/>
      <c r="JTY110" s="957"/>
      <c r="JTZ110" s="957"/>
      <c r="JUA110" s="957"/>
      <c r="JUB110" s="957"/>
      <c r="JUC110" s="957"/>
      <c r="JUD110" s="957"/>
      <c r="JUE110" s="957"/>
      <c r="JUF110" s="957"/>
      <c r="JUG110" s="957"/>
      <c r="JUH110" s="957"/>
      <c r="JUI110" s="957"/>
      <c r="JUJ110" s="957"/>
      <c r="JUK110" s="957"/>
      <c r="JUL110" s="957"/>
      <c r="JUM110" s="957"/>
      <c r="JUN110" s="957"/>
      <c r="JUO110" s="957"/>
      <c r="JUP110" s="957"/>
      <c r="JUQ110" s="957"/>
      <c r="JUR110" s="957"/>
      <c r="JUS110" s="957"/>
      <c r="JUT110" s="957"/>
      <c r="JUU110" s="957"/>
      <c r="JUV110" s="957"/>
      <c r="JUW110" s="957"/>
      <c r="JUX110" s="957"/>
      <c r="JUY110" s="957"/>
      <c r="JUZ110" s="957"/>
      <c r="JVA110" s="957"/>
      <c r="JVB110" s="957"/>
      <c r="JVC110" s="957"/>
      <c r="JVD110" s="957"/>
      <c r="JVE110" s="957"/>
      <c r="JVF110" s="957"/>
      <c r="JVG110" s="957"/>
      <c r="JVH110" s="957"/>
      <c r="JVI110" s="957"/>
      <c r="JVJ110" s="957"/>
      <c r="JVK110" s="957"/>
      <c r="JVL110" s="957"/>
      <c r="JVM110" s="957"/>
      <c r="JVN110" s="957"/>
      <c r="JVO110" s="957"/>
      <c r="JVP110" s="957"/>
      <c r="JVQ110" s="957"/>
      <c r="JVR110" s="957"/>
      <c r="JVS110" s="957"/>
      <c r="JVT110" s="957"/>
      <c r="JVU110" s="957"/>
      <c r="JVV110" s="957"/>
      <c r="JVW110" s="957"/>
      <c r="JVX110" s="957"/>
      <c r="JVY110" s="957"/>
      <c r="JVZ110" s="957"/>
      <c r="JWA110" s="957"/>
      <c r="JWB110" s="957"/>
      <c r="JWC110" s="957"/>
      <c r="JWD110" s="957"/>
      <c r="JWE110" s="957"/>
      <c r="JWF110" s="957"/>
      <c r="JWG110" s="957"/>
      <c r="JWH110" s="957"/>
      <c r="JWI110" s="957"/>
      <c r="JWJ110" s="957"/>
      <c r="JWK110" s="957"/>
      <c r="JWL110" s="957"/>
      <c r="JWM110" s="957"/>
      <c r="JWN110" s="957"/>
      <c r="JWO110" s="957"/>
      <c r="JWP110" s="957"/>
      <c r="JWQ110" s="957"/>
      <c r="JWR110" s="957"/>
      <c r="JWS110" s="957"/>
      <c r="JWT110" s="957"/>
      <c r="JWU110" s="957"/>
      <c r="JWV110" s="957"/>
      <c r="JWW110" s="957"/>
      <c r="JWX110" s="957"/>
      <c r="JWY110" s="957"/>
      <c r="JWZ110" s="957"/>
      <c r="JXA110" s="957"/>
      <c r="JXB110" s="957"/>
      <c r="JXC110" s="957"/>
      <c r="JXD110" s="957"/>
      <c r="JXE110" s="957"/>
      <c r="JXF110" s="957"/>
      <c r="JXG110" s="957"/>
      <c r="JXH110" s="957"/>
      <c r="JXI110" s="957"/>
      <c r="JXJ110" s="957"/>
      <c r="JXK110" s="957"/>
      <c r="JXL110" s="957"/>
      <c r="JXM110" s="957"/>
      <c r="JXN110" s="957"/>
      <c r="JXO110" s="957"/>
      <c r="JXP110" s="957"/>
      <c r="JXQ110" s="957"/>
      <c r="JXR110" s="957"/>
      <c r="JXS110" s="957"/>
      <c r="JXT110" s="957"/>
      <c r="JXU110" s="957"/>
      <c r="JXV110" s="957"/>
      <c r="JXW110" s="957"/>
      <c r="JXX110" s="957"/>
      <c r="JXY110" s="957"/>
      <c r="JXZ110" s="957"/>
      <c r="JYA110" s="957"/>
      <c r="JYB110" s="957"/>
      <c r="JYC110" s="957"/>
      <c r="JYD110" s="957"/>
      <c r="JYE110" s="957"/>
      <c r="JYF110" s="957"/>
      <c r="JYG110" s="957"/>
      <c r="JYH110" s="957"/>
      <c r="JYI110" s="957"/>
      <c r="JYJ110" s="957"/>
      <c r="JYK110" s="957"/>
      <c r="JYL110" s="957"/>
      <c r="JYM110" s="957"/>
      <c r="JYN110" s="957"/>
      <c r="JYO110" s="957"/>
      <c r="JYP110" s="957"/>
      <c r="JYQ110" s="957"/>
      <c r="JYR110" s="957"/>
      <c r="JYS110" s="957"/>
      <c r="JYT110" s="957"/>
      <c r="JYU110" s="957"/>
      <c r="JYV110" s="957"/>
      <c r="JYW110" s="957"/>
      <c r="JYX110" s="957"/>
      <c r="JYY110" s="957"/>
      <c r="JYZ110" s="957"/>
      <c r="JZA110" s="957"/>
      <c r="JZB110" s="957"/>
      <c r="JZC110" s="957"/>
      <c r="JZD110" s="957"/>
      <c r="JZE110" s="957"/>
      <c r="JZF110" s="957"/>
      <c r="JZG110" s="957"/>
      <c r="JZH110" s="957"/>
      <c r="JZI110" s="957"/>
      <c r="JZJ110" s="957"/>
      <c r="JZK110" s="957"/>
      <c r="JZL110" s="957"/>
      <c r="JZM110" s="957"/>
      <c r="JZN110" s="957"/>
      <c r="JZO110" s="957"/>
      <c r="JZP110" s="957"/>
      <c r="JZQ110" s="957"/>
      <c r="JZR110" s="957"/>
      <c r="JZS110" s="957"/>
      <c r="JZT110" s="957"/>
      <c r="JZU110" s="957"/>
      <c r="JZV110" s="957"/>
      <c r="JZW110" s="957"/>
      <c r="JZX110" s="957"/>
      <c r="JZY110" s="957"/>
      <c r="JZZ110" s="957"/>
      <c r="KAA110" s="957"/>
      <c r="KAB110" s="957"/>
      <c r="KAC110" s="957"/>
      <c r="KAD110" s="957"/>
      <c r="KAE110" s="957"/>
      <c r="KAF110" s="957"/>
      <c r="KAG110" s="957"/>
      <c r="KAH110" s="957"/>
      <c r="KAI110" s="957"/>
      <c r="KAJ110" s="957"/>
      <c r="KAK110" s="957"/>
      <c r="KAL110" s="957"/>
      <c r="KAM110" s="957"/>
      <c r="KAN110" s="957"/>
      <c r="KAO110" s="957"/>
      <c r="KAP110" s="957"/>
      <c r="KAQ110" s="957"/>
      <c r="KAR110" s="957"/>
      <c r="KAS110" s="957"/>
      <c r="KAT110" s="957"/>
      <c r="KAU110" s="957"/>
      <c r="KAV110" s="957"/>
      <c r="KAW110" s="957"/>
      <c r="KAX110" s="957"/>
      <c r="KAY110" s="957"/>
      <c r="KAZ110" s="957"/>
      <c r="KBA110" s="957"/>
      <c r="KBB110" s="957"/>
      <c r="KBC110" s="957"/>
      <c r="KBD110" s="957"/>
      <c r="KBE110" s="957"/>
      <c r="KBF110" s="957"/>
      <c r="KBG110" s="957"/>
      <c r="KBH110" s="957"/>
      <c r="KBI110" s="957"/>
      <c r="KBJ110" s="957"/>
      <c r="KBK110" s="957"/>
      <c r="KBL110" s="957"/>
      <c r="KBM110" s="957"/>
      <c r="KBN110" s="957"/>
      <c r="KBO110" s="957"/>
      <c r="KBP110" s="957"/>
      <c r="KBQ110" s="957"/>
      <c r="KBR110" s="957"/>
      <c r="KBS110" s="957"/>
      <c r="KBT110" s="957"/>
      <c r="KBU110" s="957"/>
      <c r="KBV110" s="957"/>
      <c r="KBW110" s="957"/>
      <c r="KBX110" s="957"/>
      <c r="KBY110" s="957"/>
      <c r="KBZ110" s="957"/>
      <c r="KCA110" s="957"/>
      <c r="KCB110" s="957"/>
      <c r="KCC110" s="957"/>
      <c r="KCD110" s="957"/>
      <c r="KCE110" s="957"/>
      <c r="KCF110" s="957"/>
      <c r="KCG110" s="957"/>
      <c r="KCH110" s="957"/>
      <c r="KCI110" s="957"/>
      <c r="KCJ110" s="957"/>
      <c r="KCK110" s="957"/>
      <c r="KCL110" s="957"/>
      <c r="KCM110" s="957"/>
      <c r="KCN110" s="957"/>
      <c r="KCO110" s="957"/>
      <c r="KCP110" s="957"/>
      <c r="KCQ110" s="957"/>
      <c r="KCR110" s="957"/>
      <c r="KCS110" s="957"/>
      <c r="KCT110" s="957"/>
      <c r="KCU110" s="957"/>
      <c r="KCV110" s="957"/>
      <c r="KCW110" s="957"/>
      <c r="KCX110" s="957"/>
      <c r="KCY110" s="957"/>
      <c r="KCZ110" s="957"/>
      <c r="KDA110" s="957"/>
      <c r="KDB110" s="957"/>
      <c r="KDC110" s="957"/>
      <c r="KDD110" s="957"/>
      <c r="KDE110" s="957"/>
      <c r="KDF110" s="957"/>
      <c r="KDG110" s="957"/>
      <c r="KDH110" s="957"/>
      <c r="KDI110" s="957"/>
      <c r="KDJ110" s="957"/>
      <c r="KDK110" s="957"/>
      <c r="KDL110" s="957"/>
      <c r="KDM110" s="957"/>
      <c r="KDN110" s="957"/>
      <c r="KDO110" s="957"/>
      <c r="KDP110" s="957"/>
      <c r="KDQ110" s="957"/>
      <c r="KDR110" s="957"/>
      <c r="KDS110" s="957"/>
      <c r="KDT110" s="957"/>
      <c r="KDU110" s="957"/>
      <c r="KDV110" s="957"/>
      <c r="KDW110" s="957"/>
      <c r="KDX110" s="957"/>
      <c r="KDY110" s="957"/>
      <c r="KDZ110" s="957"/>
      <c r="KEA110" s="957"/>
      <c r="KEB110" s="957"/>
      <c r="KEC110" s="957"/>
      <c r="KED110" s="957"/>
      <c r="KEE110" s="957"/>
      <c r="KEF110" s="957"/>
      <c r="KEG110" s="957"/>
      <c r="KEH110" s="957"/>
      <c r="KEI110" s="957"/>
      <c r="KEJ110" s="957"/>
      <c r="KEK110" s="957"/>
      <c r="KEL110" s="957"/>
      <c r="KEM110" s="957"/>
      <c r="KEN110" s="957"/>
      <c r="KEO110" s="957"/>
      <c r="KEP110" s="957"/>
      <c r="KEQ110" s="957"/>
      <c r="KER110" s="957"/>
      <c r="KES110" s="957"/>
      <c r="KET110" s="957"/>
      <c r="KEU110" s="957"/>
      <c r="KEV110" s="957"/>
      <c r="KEW110" s="957"/>
      <c r="KEX110" s="957"/>
      <c r="KEY110" s="957"/>
      <c r="KEZ110" s="957"/>
      <c r="KFA110" s="957"/>
      <c r="KFB110" s="957"/>
      <c r="KFC110" s="957"/>
      <c r="KFD110" s="957"/>
      <c r="KFE110" s="957"/>
      <c r="KFF110" s="957"/>
      <c r="KFG110" s="957"/>
      <c r="KFH110" s="957"/>
      <c r="KFI110" s="957"/>
      <c r="KFJ110" s="957"/>
      <c r="KFK110" s="957"/>
      <c r="KFL110" s="957"/>
      <c r="KFM110" s="957"/>
      <c r="KFN110" s="957"/>
      <c r="KFO110" s="957"/>
      <c r="KFP110" s="957"/>
      <c r="KFQ110" s="957"/>
      <c r="KFR110" s="957"/>
      <c r="KFS110" s="957"/>
      <c r="KFT110" s="957"/>
      <c r="KFU110" s="957"/>
      <c r="KFV110" s="957"/>
      <c r="KFW110" s="957"/>
      <c r="KFX110" s="957"/>
      <c r="KFY110" s="957"/>
      <c r="KFZ110" s="957"/>
      <c r="KGA110" s="957"/>
      <c r="KGB110" s="957"/>
      <c r="KGC110" s="957"/>
      <c r="KGD110" s="957"/>
      <c r="KGE110" s="957"/>
      <c r="KGF110" s="957"/>
      <c r="KGG110" s="957"/>
      <c r="KGH110" s="957"/>
      <c r="KGI110" s="957"/>
      <c r="KGJ110" s="957"/>
      <c r="KGK110" s="957"/>
      <c r="KGL110" s="957"/>
      <c r="KGM110" s="957"/>
      <c r="KGN110" s="957"/>
      <c r="KGO110" s="957"/>
      <c r="KGP110" s="957"/>
      <c r="KGQ110" s="957"/>
      <c r="KGR110" s="957"/>
      <c r="KGS110" s="957"/>
      <c r="KGT110" s="957"/>
      <c r="KGU110" s="957"/>
      <c r="KGV110" s="957"/>
      <c r="KGW110" s="957"/>
      <c r="KGX110" s="957"/>
      <c r="KGY110" s="957"/>
      <c r="KGZ110" s="957"/>
      <c r="KHA110" s="957"/>
      <c r="KHB110" s="957"/>
      <c r="KHC110" s="957"/>
      <c r="KHD110" s="957"/>
      <c r="KHE110" s="957"/>
      <c r="KHF110" s="957"/>
      <c r="KHG110" s="957"/>
      <c r="KHH110" s="957"/>
      <c r="KHI110" s="957"/>
      <c r="KHJ110" s="957"/>
      <c r="KHK110" s="957"/>
      <c r="KHL110" s="957"/>
      <c r="KHM110" s="957"/>
      <c r="KHN110" s="957"/>
      <c r="KHO110" s="957"/>
      <c r="KHP110" s="957"/>
      <c r="KHQ110" s="957"/>
      <c r="KHR110" s="957"/>
      <c r="KHS110" s="957"/>
      <c r="KHT110" s="957"/>
      <c r="KHU110" s="957"/>
      <c r="KHV110" s="957"/>
      <c r="KHW110" s="957"/>
      <c r="KHX110" s="957"/>
      <c r="KHY110" s="957"/>
      <c r="KHZ110" s="957"/>
      <c r="KIA110" s="957"/>
      <c r="KIB110" s="957"/>
      <c r="KIC110" s="957"/>
      <c r="KID110" s="957"/>
      <c r="KIE110" s="957"/>
      <c r="KIF110" s="957"/>
      <c r="KIG110" s="957"/>
      <c r="KIH110" s="957"/>
      <c r="KII110" s="957"/>
      <c r="KIJ110" s="957"/>
      <c r="KIK110" s="957"/>
      <c r="KIL110" s="957"/>
      <c r="KIM110" s="957"/>
      <c r="KIN110" s="957"/>
      <c r="KIO110" s="957"/>
      <c r="KIP110" s="957"/>
      <c r="KIQ110" s="957"/>
      <c r="KIR110" s="957"/>
      <c r="KIS110" s="957"/>
      <c r="KIT110" s="957"/>
      <c r="KIU110" s="957"/>
      <c r="KIV110" s="957"/>
      <c r="KIW110" s="957"/>
      <c r="KIX110" s="957"/>
      <c r="KIY110" s="957"/>
      <c r="KIZ110" s="957"/>
      <c r="KJA110" s="957"/>
      <c r="KJB110" s="957"/>
      <c r="KJC110" s="957"/>
      <c r="KJD110" s="957"/>
      <c r="KJE110" s="957"/>
      <c r="KJF110" s="957"/>
      <c r="KJG110" s="957"/>
      <c r="KJH110" s="957"/>
      <c r="KJI110" s="957"/>
      <c r="KJJ110" s="957"/>
      <c r="KJK110" s="957"/>
      <c r="KJL110" s="957"/>
      <c r="KJM110" s="957"/>
      <c r="KJN110" s="957"/>
      <c r="KJO110" s="957"/>
      <c r="KJP110" s="957"/>
      <c r="KJQ110" s="957"/>
      <c r="KJR110" s="957"/>
      <c r="KJS110" s="957"/>
      <c r="KJT110" s="957"/>
      <c r="KJU110" s="957"/>
      <c r="KJV110" s="957"/>
      <c r="KJW110" s="957"/>
      <c r="KJX110" s="957"/>
      <c r="KJY110" s="957"/>
      <c r="KJZ110" s="957"/>
      <c r="KKA110" s="957"/>
      <c r="KKB110" s="957"/>
      <c r="KKC110" s="957"/>
      <c r="KKD110" s="957"/>
      <c r="KKE110" s="957"/>
      <c r="KKF110" s="957"/>
      <c r="KKG110" s="957"/>
      <c r="KKH110" s="957"/>
      <c r="KKI110" s="957"/>
      <c r="KKJ110" s="957"/>
      <c r="KKK110" s="957"/>
      <c r="KKL110" s="957"/>
      <c r="KKM110" s="957"/>
      <c r="KKN110" s="957"/>
      <c r="KKO110" s="957"/>
      <c r="KKP110" s="957"/>
      <c r="KKQ110" s="957"/>
      <c r="KKR110" s="957"/>
      <c r="KKS110" s="957"/>
      <c r="KKT110" s="957"/>
      <c r="KKU110" s="957"/>
      <c r="KKV110" s="957"/>
      <c r="KKW110" s="957"/>
      <c r="KKX110" s="957"/>
      <c r="KKY110" s="957"/>
      <c r="KKZ110" s="957"/>
      <c r="KLA110" s="957"/>
      <c r="KLB110" s="957"/>
      <c r="KLC110" s="957"/>
      <c r="KLD110" s="957"/>
      <c r="KLE110" s="957"/>
      <c r="KLF110" s="957"/>
      <c r="KLG110" s="957"/>
      <c r="KLH110" s="957"/>
      <c r="KLI110" s="957"/>
      <c r="KLJ110" s="957"/>
      <c r="KLK110" s="957"/>
      <c r="KLL110" s="957"/>
      <c r="KLM110" s="957"/>
      <c r="KLN110" s="957"/>
      <c r="KLO110" s="957"/>
      <c r="KLP110" s="957"/>
      <c r="KLQ110" s="957"/>
      <c r="KLR110" s="957"/>
      <c r="KLS110" s="957"/>
      <c r="KLT110" s="957"/>
      <c r="KLU110" s="957"/>
      <c r="KLV110" s="957"/>
      <c r="KLW110" s="957"/>
      <c r="KLX110" s="957"/>
      <c r="KLY110" s="957"/>
      <c r="KLZ110" s="957"/>
      <c r="KMA110" s="957"/>
      <c r="KMB110" s="957"/>
      <c r="KMC110" s="957"/>
      <c r="KMD110" s="957"/>
      <c r="KME110" s="957"/>
      <c r="KMF110" s="957"/>
      <c r="KMG110" s="957"/>
      <c r="KMH110" s="957"/>
      <c r="KMI110" s="957"/>
      <c r="KMJ110" s="957"/>
      <c r="KMK110" s="957"/>
      <c r="KML110" s="957"/>
      <c r="KMM110" s="957"/>
      <c r="KMN110" s="957"/>
      <c r="KMO110" s="957"/>
      <c r="KMP110" s="957"/>
      <c r="KMQ110" s="957"/>
      <c r="KMR110" s="957"/>
      <c r="KMS110" s="957"/>
      <c r="KMT110" s="957"/>
      <c r="KMU110" s="957"/>
      <c r="KMV110" s="957"/>
      <c r="KMW110" s="957"/>
      <c r="KMX110" s="957"/>
      <c r="KMY110" s="957"/>
      <c r="KMZ110" s="957"/>
      <c r="KNA110" s="957"/>
      <c r="KNB110" s="957"/>
      <c r="KNC110" s="957"/>
      <c r="KND110" s="957"/>
      <c r="KNE110" s="957"/>
      <c r="KNF110" s="957"/>
      <c r="KNG110" s="957"/>
      <c r="KNH110" s="957"/>
      <c r="KNI110" s="957"/>
      <c r="KNJ110" s="957"/>
      <c r="KNK110" s="957"/>
      <c r="KNL110" s="957"/>
      <c r="KNM110" s="957"/>
      <c r="KNN110" s="957"/>
      <c r="KNO110" s="957"/>
      <c r="KNP110" s="957"/>
      <c r="KNQ110" s="957"/>
      <c r="KNR110" s="957"/>
      <c r="KNS110" s="957"/>
      <c r="KNT110" s="957"/>
      <c r="KNU110" s="957"/>
      <c r="KNV110" s="957"/>
      <c r="KNW110" s="957"/>
      <c r="KNX110" s="957"/>
      <c r="KNY110" s="957"/>
      <c r="KNZ110" s="957"/>
      <c r="KOA110" s="957"/>
      <c r="KOB110" s="957"/>
      <c r="KOC110" s="957"/>
      <c r="KOD110" s="957"/>
      <c r="KOE110" s="957"/>
      <c r="KOF110" s="957"/>
      <c r="KOG110" s="957"/>
      <c r="KOH110" s="957"/>
      <c r="KOI110" s="957"/>
      <c r="KOJ110" s="957"/>
      <c r="KOK110" s="957"/>
      <c r="KOL110" s="957"/>
      <c r="KOM110" s="957"/>
      <c r="KON110" s="957"/>
      <c r="KOO110" s="957"/>
      <c r="KOP110" s="957"/>
      <c r="KOQ110" s="957"/>
      <c r="KOR110" s="957"/>
      <c r="KOS110" s="957"/>
      <c r="KOT110" s="957"/>
      <c r="KOU110" s="957"/>
      <c r="KOV110" s="957"/>
      <c r="KOW110" s="957"/>
      <c r="KOX110" s="957"/>
      <c r="KOY110" s="957"/>
      <c r="KOZ110" s="957"/>
      <c r="KPA110" s="957"/>
      <c r="KPB110" s="957"/>
      <c r="KPC110" s="957"/>
      <c r="KPD110" s="957"/>
      <c r="KPE110" s="957"/>
      <c r="KPF110" s="957"/>
      <c r="KPG110" s="957"/>
      <c r="KPH110" s="957"/>
      <c r="KPI110" s="957"/>
      <c r="KPJ110" s="957"/>
      <c r="KPK110" s="957"/>
      <c r="KPL110" s="957"/>
      <c r="KPM110" s="957"/>
      <c r="KPN110" s="957"/>
      <c r="KPO110" s="957"/>
      <c r="KPP110" s="957"/>
      <c r="KPQ110" s="957"/>
      <c r="KPR110" s="957"/>
      <c r="KPS110" s="957"/>
      <c r="KPT110" s="957"/>
      <c r="KPU110" s="957"/>
      <c r="KPV110" s="957"/>
      <c r="KPW110" s="957"/>
      <c r="KPX110" s="957"/>
      <c r="KPY110" s="957"/>
      <c r="KPZ110" s="957"/>
      <c r="KQA110" s="957"/>
      <c r="KQB110" s="957"/>
      <c r="KQC110" s="957"/>
      <c r="KQD110" s="957"/>
      <c r="KQE110" s="957"/>
      <c r="KQF110" s="957"/>
      <c r="KQG110" s="957"/>
      <c r="KQH110" s="957"/>
      <c r="KQI110" s="957"/>
      <c r="KQJ110" s="957"/>
      <c r="KQK110" s="957"/>
      <c r="KQL110" s="957"/>
      <c r="KQM110" s="957"/>
      <c r="KQN110" s="957"/>
      <c r="KQO110" s="957"/>
      <c r="KQP110" s="957"/>
      <c r="KQQ110" s="957"/>
      <c r="KQR110" s="957"/>
      <c r="KQS110" s="957"/>
      <c r="KQT110" s="957"/>
      <c r="KQU110" s="957"/>
      <c r="KQV110" s="957"/>
      <c r="KQW110" s="957"/>
      <c r="KQX110" s="957"/>
      <c r="KQY110" s="957"/>
      <c r="KQZ110" s="957"/>
      <c r="KRA110" s="957"/>
      <c r="KRB110" s="957"/>
      <c r="KRC110" s="957"/>
      <c r="KRD110" s="957"/>
      <c r="KRE110" s="957"/>
      <c r="KRF110" s="957"/>
      <c r="KRG110" s="957"/>
      <c r="KRH110" s="957"/>
      <c r="KRI110" s="957"/>
      <c r="KRJ110" s="957"/>
      <c r="KRK110" s="957"/>
      <c r="KRL110" s="957"/>
      <c r="KRM110" s="957"/>
      <c r="KRN110" s="957"/>
      <c r="KRO110" s="957"/>
      <c r="KRP110" s="957"/>
      <c r="KRQ110" s="957"/>
      <c r="KRR110" s="957"/>
      <c r="KRS110" s="957"/>
      <c r="KRT110" s="957"/>
      <c r="KRU110" s="957"/>
      <c r="KRV110" s="957"/>
      <c r="KRW110" s="957"/>
      <c r="KRX110" s="957"/>
      <c r="KRY110" s="957"/>
      <c r="KRZ110" s="957"/>
      <c r="KSA110" s="957"/>
      <c r="KSB110" s="957"/>
      <c r="KSC110" s="957"/>
      <c r="KSD110" s="957"/>
      <c r="KSE110" s="957"/>
      <c r="KSF110" s="957"/>
      <c r="KSG110" s="957"/>
      <c r="KSH110" s="957"/>
      <c r="KSI110" s="957"/>
      <c r="KSJ110" s="957"/>
      <c r="KSK110" s="957"/>
      <c r="KSL110" s="957"/>
      <c r="KSM110" s="957"/>
      <c r="KSN110" s="957"/>
      <c r="KSO110" s="957"/>
      <c r="KSP110" s="957"/>
      <c r="KSQ110" s="957"/>
      <c r="KSR110" s="957"/>
      <c r="KSS110" s="957"/>
      <c r="KST110" s="957"/>
      <c r="KSU110" s="957"/>
      <c r="KSV110" s="957"/>
      <c r="KSW110" s="957"/>
      <c r="KSX110" s="957"/>
      <c r="KSY110" s="957"/>
      <c r="KSZ110" s="957"/>
      <c r="KTA110" s="957"/>
      <c r="KTB110" s="957"/>
      <c r="KTC110" s="957"/>
      <c r="KTD110" s="957"/>
      <c r="KTE110" s="957"/>
      <c r="KTF110" s="957"/>
      <c r="KTG110" s="957"/>
      <c r="KTH110" s="957"/>
      <c r="KTI110" s="957"/>
      <c r="KTJ110" s="957"/>
      <c r="KTK110" s="957"/>
      <c r="KTL110" s="957"/>
      <c r="KTM110" s="957"/>
      <c r="KTN110" s="957"/>
      <c r="KTO110" s="957"/>
      <c r="KTP110" s="957"/>
      <c r="KTQ110" s="957"/>
      <c r="KTR110" s="957"/>
      <c r="KTS110" s="957"/>
      <c r="KTT110" s="957"/>
      <c r="KTU110" s="957"/>
      <c r="KTV110" s="957"/>
      <c r="KTW110" s="957"/>
      <c r="KTX110" s="957"/>
      <c r="KTY110" s="957"/>
      <c r="KTZ110" s="957"/>
      <c r="KUA110" s="957"/>
      <c r="KUB110" s="957"/>
      <c r="KUC110" s="957"/>
      <c r="KUD110" s="957"/>
      <c r="KUE110" s="957"/>
      <c r="KUF110" s="957"/>
      <c r="KUG110" s="957"/>
      <c r="KUH110" s="957"/>
      <c r="KUI110" s="957"/>
      <c r="KUJ110" s="957"/>
      <c r="KUK110" s="957"/>
      <c r="KUL110" s="957"/>
      <c r="KUM110" s="957"/>
      <c r="KUN110" s="957"/>
      <c r="KUO110" s="957"/>
      <c r="KUP110" s="957"/>
      <c r="KUQ110" s="957"/>
      <c r="KUR110" s="957"/>
      <c r="KUS110" s="957"/>
      <c r="KUT110" s="957"/>
      <c r="KUU110" s="957"/>
      <c r="KUV110" s="957"/>
      <c r="KUW110" s="957"/>
      <c r="KUX110" s="957"/>
      <c r="KUY110" s="957"/>
      <c r="KUZ110" s="957"/>
      <c r="KVA110" s="957"/>
      <c r="KVB110" s="957"/>
      <c r="KVC110" s="957"/>
      <c r="KVD110" s="957"/>
      <c r="KVE110" s="957"/>
      <c r="KVF110" s="957"/>
      <c r="KVG110" s="957"/>
      <c r="KVH110" s="957"/>
      <c r="KVI110" s="957"/>
      <c r="KVJ110" s="957"/>
      <c r="KVK110" s="957"/>
      <c r="KVL110" s="957"/>
      <c r="KVM110" s="957"/>
      <c r="KVN110" s="957"/>
      <c r="KVO110" s="957"/>
      <c r="KVP110" s="957"/>
      <c r="KVQ110" s="957"/>
      <c r="KVR110" s="957"/>
      <c r="KVS110" s="957"/>
      <c r="KVT110" s="957"/>
      <c r="KVU110" s="957"/>
      <c r="KVV110" s="957"/>
      <c r="KVW110" s="957"/>
      <c r="KVX110" s="957"/>
      <c r="KVY110" s="957"/>
      <c r="KVZ110" s="957"/>
      <c r="KWA110" s="957"/>
      <c r="KWB110" s="957"/>
      <c r="KWC110" s="957"/>
      <c r="KWD110" s="957"/>
      <c r="KWE110" s="957"/>
      <c r="KWF110" s="957"/>
      <c r="KWG110" s="957"/>
      <c r="KWH110" s="957"/>
      <c r="KWI110" s="957"/>
      <c r="KWJ110" s="957"/>
      <c r="KWK110" s="957"/>
      <c r="KWL110" s="957"/>
      <c r="KWM110" s="957"/>
      <c r="KWN110" s="957"/>
      <c r="KWO110" s="957"/>
      <c r="KWP110" s="957"/>
      <c r="KWQ110" s="957"/>
      <c r="KWR110" s="957"/>
      <c r="KWS110" s="957"/>
      <c r="KWT110" s="957"/>
      <c r="KWU110" s="957"/>
      <c r="KWV110" s="957"/>
      <c r="KWW110" s="957"/>
      <c r="KWX110" s="957"/>
      <c r="KWY110" s="957"/>
      <c r="KWZ110" s="957"/>
      <c r="KXA110" s="957"/>
      <c r="KXB110" s="957"/>
      <c r="KXC110" s="957"/>
      <c r="KXD110" s="957"/>
      <c r="KXE110" s="957"/>
      <c r="KXF110" s="957"/>
      <c r="KXG110" s="957"/>
      <c r="KXH110" s="957"/>
      <c r="KXI110" s="957"/>
      <c r="KXJ110" s="957"/>
      <c r="KXK110" s="957"/>
      <c r="KXL110" s="957"/>
      <c r="KXM110" s="957"/>
      <c r="KXN110" s="957"/>
      <c r="KXO110" s="957"/>
      <c r="KXP110" s="957"/>
      <c r="KXQ110" s="957"/>
      <c r="KXR110" s="957"/>
      <c r="KXS110" s="957"/>
      <c r="KXT110" s="957"/>
      <c r="KXU110" s="957"/>
      <c r="KXV110" s="957"/>
      <c r="KXW110" s="957"/>
      <c r="KXX110" s="957"/>
      <c r="KXY110" s="957"/>
      <c r="KXZ110" s="957"/>
      <c r="KYA110" s="957"/>
      <c r="KYB110" s="957"/>
      <c r="KYC110" s="957"/>
      <c r="KYD110" s="957"/>
      <c r="KYE110" s="957"/>
      <c r="KYF110" s="957"/>
      <c r="KYG110" s="957"/>
      <c r="KYH110" s="957"/>
      <c r="KYI110" s="957"/>
      <c r="KYJ110" s="957"/>
      <c r="KYK110" s="957"/>
      <c r="KYL110" s="957"/>
      <c r="KYM110" s="957"/>
      <c r="KYN110" s="957"/>
      <c r="KYO110" s="957"/>
      <c r="KYP110" s="957"/>
      <c r="KYQ110" s="957"/>
      <c r="KYR110" s="957"/>
      <c r="KYS110" s="957"/>
      <c r="KYT110" s="957"/>
      <c r="KYU110" s="957"/>
      <c r="KYV110" s="957"/>
      <c r="KYW110" s="957"/>
      <c r="KYX110" s="957"/>
      <c r="KYY110" s="957"/>
      <c r="KYZ110" s="957"/>
      <c r="KZA110" s="957"/>
      <c r="KZB110" s="957"/>
      <c r="KZC110" s="957"/>
      <c r="KZD110" s="957"/>
      <c r="KZE110" s="957"/>
      <c r="KZF110" s="957"/>
      <c r="KZG110" s="957"/>
      <c r="KZH110" s="957"/>
      <c r="KZI110" s="957"/>
      <c r="KZJ110" s="957"/>
      <c r="KZK110" s="957"/>
      <c r="KZL110" s="957"/>
      <c r="KZM110" s="957"/>
      <c r="KZN110" s="957"/>
      <c r="KZO110" s="957"/>
      <c r="KZP110" s="957"/>
      <c r="KZQ110" s="957"/>
      <c r="KZR110" s="957"/>
      <c r="KZS110" s="957"/>
      <c r="KZT110" s="957"/>
      <c r="KZU110" s="957"/>
      <c r="KZV110" s="957"/>
      <c r="KZW110" s="957"/>
      <c r="KZX110" s="957"/>
      <c r="KZY110" s="957"/>
      <c r="KZZ110" s="957"/>
      <c r="LAA110" s="957"/>
      <c r="LAB110" s="957"/>
      <c r="LAC110" s="957"/>
      <c r="LAD110" s="957"/>
      <c r="LAE110" s="957"/>
      <c r="LAF110" s="957"/>
      <c r="LAG110" s="957"/>
      <c r="LAH110" s="957"/>
      <c r="LAI110" s="957"/>
      <c r="LAJ110" s="957"/>
      <c r="LAK110" s="957"/>
      <c r="LAL110" s="957"/>
      <c r="LAM110" s="957"/>
      <c r="LAN110" s="957"/>
      <c r="LAO110" s="957"/>
      <c r="LAP110" s="957"/>
      <c r="LAQ110" s="957"/>
      <c r="LAR110" s="957"/>
      <c r="LAS110" s="957"/>
      <c r="LAT110" s="957"/>
      <c r="LAU110" s="957"/>
      <c r="LAV110" s="957"/>
      <c r="LAW110" s="957"/>
      <c r="LAX110" s="957"/>
      <c r="LAY110" s="957"/>
      <c r="LAZ110" s="957"/>
      <c r="LBA110" s="957"/>
      <c r="LBB110" s="957"/>
      <c r="LBC110" s="957"/>
      <c r="LBD110" s="957"/>
      <c r="LBE110" s="957"/>
      <c r="LBF110" s="957"/>
      <c r="LBG110" s="957"/>
      <c r="LBH110" s="957"/>
      <c r="LBI110" s="957"/>
      <c r="LBJ110" s="957"/>
      <c r="LBK110" s="957"/>
      <c r="LBL110" s="957"/>
      <c r="LBM110" s="957"/>
      <c r="LBN110" s="957"/>
      <c r="LBO110" s="957"/>
      <c r="LBP110" s="957"/>
      <c r="LBQ110" s="957"/>
      <c r="LBR110" s="957"/>
      <c r="LBS110" s="957"/>
      <c r="LBT110" s="957"/>
      <c r="LBU110" s="957"/>
      <c r="LBV110" s="957"/>
      <c r="LBW110" s="957"/>
      <c r="LBX110" s="957"/>
      <c r="LBY110" s="957"/>
      <c r="LBZ110" s="957"/>
      <c r="LCA110" s="957"/>
      <c r="LCB110" s="957"/>
      <c r="LCC110" s="957"/>
      <c r="LCD110" s="957"/>
      <c r="LCE110" s="957"/>
      <c r="LCF110" s="957"/>
      <c r="LCG110" s="957"/>
      <c r="LCH110" s="957"/>
      <c r="LCI110" s="957"/>
      <c r="LCJ110" s="957"/>
      <c r="LCK110" s="957"/>
      <c r="LCL110" s="957"/>
      <c r="LCM110" s="957"/>
      <c r="LCN110" s="957"/>
      <c r="LCO110" s="957"/>
      <c r="LCP110" s="957"/>
      <c r="LCQ110" s="957"/>
      <c r="LCR110" s="957"/>
      <c r="LCS110" s="957"/>
      <c r="LCT110" s="957"/>
      <c r="LCU110" s="957"/>
      <c r="LCV110" s="957"/>
      <c r="LCW110" s="957"/>
      <c r="LCX110" s="957"/>
      <c r="LCY110" s="957"/>
      <c r="LCZ110" s="957"/>
      <c r="LDA110" s="957"/>
      <c r="LDB110" s="957"/>
      <c r="LDC110" s="957"/>
      <c r="LDD110" s="957"/>
      <c r="LDE110" s="957"/>
      <c r="LDF110" s="957"/>
      <c r="LDG110" s="957"/>
      <c r="LDH110" s="957"/>
      <c r="LDI110" s="957"/>
      <c r="LDJ110" s="957"/>
      <c r="LDK110" s="957"/>
      <c r="LDL110" s="957"/>
      <c r="LDM110" s="957"/>
      <c r="LDN110" s="957"/>
      <c r="LDO110" s="957"/>
      <c r="LDP110" s="957"/>
      <c r="LDQ110" s="957"/>
      <c r="LDR110" s="957"/>
      <c r="LDS110" s="957"/>
      <c r="LDT110" s="957"/>
      <c r="LDU110" s="957"/>
      <c r="LDV110" s="957"/>
      <c r="LDW110" s="957"/>
      <c r="LDX110" s="957"/>
      <c r="LDY110" s="957"/>
      <c r="LDZ110" s="957"/>
      <c r="LEA110" s="957"/>
      <c r="LEB110" s="957"/>
      <c r="LEC110" s="957"/>
      <c r="LED110" s="957"/>
      <c r="LEE110" s="957"/>
      <c r="LEF110" s="957"/>
      <c r="LEG110" s="957"/>
      <c r="LEH110" s="957"/>
      <c r="LEI110" s="957"/>
      <c r="LEJ110" s="957"/>
      <c r="LEK110" s="957"/>
      <c r="LEL110" s="957"/>
      <c r="LEM110" s="957"/>
      <c r="LEN110" s="957"/>
      <c r="LEO110" s="957"/>
      <c r="LEP110" s="957"/>
      <c r="LEQ110" s="957"/>
      <c r="LER110" s="957"/>
      <c r="LES110" s="957"/>
      <c r="LET110" s="957"/>
      <c r="LEU110" s="957"/>
      <c r="LEV110" s="957"/>
      <c r="LEW110" s="957"/>
      <c r="LEX110" s="957"/>
      <c r="LEY110" s="957"/>
      <c r="LEZ110" s="957"/>
      <c r="LFA110" s="957"/>
      <c r="LFB110" s="957"/>
      <c r="LFC110" s="957"/>
      <c r="LFD110" s="957"/>
      <c r="LFE110" s="957"/>
      <c r="LFF110" s="957"/>
      <c r="LFG110" s="957"/>
      <c r="LFH110" s="957"/>
      <c r="LFI110" s="957"/>
      <c r="LFJ110" s="957"/>
      <c r="LFK110" s="957"/>
      <c r="LFL110" s="957"/>
      <c r="LFM110" s="957"/>
      <c r="LFN110" s="957"/>
      <c r="LFO110" s="957"/>
      <c r="LFP110" s="957"/>
      <c r="LFQ110" s="957"/>
      <c r="LFR110" s="957"/>
      <c r="LFS110" s="957"/>
      <c r="LFT110" s="957"/>
      <c r="LFU110" s="957"/>
      <c r="LFV110" s="957"/>
      <c r="LFW110" s="957"/>
      <c r="LFX110" s="957"/>
      <c r="LFY110" s="957"/>
      <c r="LFZ110" s="957"/>
      <c r="LGA110" s="957"/>
      <c r="LGB110" s="957"/>
      <c r="LGC110" s="957"/>
      <c r="LGD110" s="957"/>
      <c r="LGE110" s="957"/>
      <c r="LGF110" s="957"/>
      <c r="LGG110" s="957"/>
      <c r="LGH110" s="957"/>
      <c r="LGI110" s="957"/>
      <c r="LGJ110" s="957"/>
      <c r="LGK110" s="957"/>
      <c r="LGL110" s="957"/>
      <c r="LGM110" s="957"/>
      <c r="LGN110" s="957"/>
      <c r="LGO110" s="957"/>
      <c r="LGP110" s="957"/>
      <c r="LGQ110" s="957"/>
      <c r="LGR110" s="957"/>
      <c r="LGS110" s="957"/>
      <c r="LGT110" s="957"/>
      <c r="LGU110" s="957"/>
      <c r="LGV110" s="957"/>
      <c r="LGW110" s="957"/>
      <c r="LGX110" s="957"/>
      <c r="LGY110" s="957"/>
      <c r="LGZ110" s="957"/>
      <c r="LHA110" s="957"/>
      <c r="LHB110" s="957"/>
      <c r="LHC110" s="957"/>
      <c r="LHD110" s="957"/>
      <c r="LHE110" s="957"/>
      <c r="LHF110" s="957"/>
      <c r="LHG110" s="957"/>
      <c r="LHH110" s="957"/>
      <c r="LHI110" s="957"/>
      <c r="LHJ110" s="957"/>
      <c r="LHK110" s="957"/>
      <c r="LHL110" s="957"/>
      <c r="LHM110" s="957"/>
      <c r="LHN110" s="957"/>
      <c r="LHO110" s="957"/>
      <c r="LHP110" s="957"/>
      <c r="LHQ110" s="957"/>
      <c r="LHR110" s="957"/>
      <c r="LHS110" s="957"/>
      <c r="LHT110" s="957"/>
      <c r="LHU110" s="957"/>
      <c r="LHV110" s="957"/>
      <c r="LHW110" s="957"/>
      <c r="LHX110" s="957"/>
      <c r="LHY110" s="957"/>
      <c r="LHZ110" s="957"/>
      <c r="LIA110" s="957"/>
      <c r="LIB110" s="957"/>
      <c r="LIC110" s="957"/>
      <c r="LID110" s="957"/>
      <c r="LIE110" s="957"/>
      <c r="LIF110" s="957"/>
      <c r="LIG110" s="957"/>
      <c r="LIH110" s="957"/>
      <c r="LII110" s="957"/>
      <c r="LIJ110" s="957"/>
      <c r="LIK110" s="957"/>
      <c r="LIL110" s="957"/>
      <c r="LIM110" s="957"/>
      <c r="LIN110" s="957"/>
      <c r="LIO110" s="957"/>
      <c r="LIP110" s="957"/>
      <c r="LIQ110" s="957"/>
      <c r="LIR110" s="957"/>
      <c r="LIS110" s="957"/>
      <c r="LIT110" s="957"/>
      <c r="LIU110" s="957"/>
      <c r="LIV110" s="957"/>
      <c r="LIW110" s="957"/>
      <c r="LIX110" s="957"/>
      <c r="LIY110" s="957"/>
      <c r="LIZ110" s="957"/>
      <c r="LJA110" s="957"/>
      <c r="LJB110" s="957"/>
      <c r="LJC110" s="957"/>
      <c r="LJD110" s="957"/>
      <c r="LJE110" s="957"/>
      <c r="LJF110" s="957"/>
      <c r="LJG110" s="957"/>
      <c r="LJH110" s="957"/>
      <c r="LJI110" s="957"/>
      <c r="LJJ110" s="957"/>
      <c r="LJK110" s="957"/>
      <c r="LJL110" s="957"/>
      <c r="LJM110" s="957"/>
      <c r="LJN110" s="957"/>
      <c r="LJO110" s="957"/>
      <c r="LJP110" s="957"/>
      <c r="LJQ110" s="957"/>
      <c r="LJR110" s="957"/>
      <c r="LJS110" s="957"/>
      <c r="LJT110" s="957"/>
      <c r="LJU110" s="957"/>
      <c r="LJV110" s="957"/>
      <c r="LJW110" s="957"/>
      <c r="LJX110" s="957"/>
      <c r="LJY110" s="957"/>
      <c r="LJZ110" s="957"/>
      <c r="LKA110" s="957"/>
      <c r="LKB110" s="957"/>
      <c r="LKC110" s="957"/>
      <c r="LKD110" s="957"/>
      <c r="LKE110" s="957"/>
      <c r="LKF110" s="957"/>
      <c r="LKG110" s="957"/>
      <c r="LKH110" s="957"/>
      <c r="LKI110" s="957"/>
      <c r="LKJ110" s="957"/>
      <c r="LKK110" s="957"/>
      <c r="LKL110" s="957"/>
      <c r="LKM110" s="957"/>
      <c r="LKN110" s="957"/>
      <c r="LKO110" s="957"/>
      <c r="LKP110" s="957"/>
      <c r="LKQ110" s="957"/>
      <c r="LKR110" s="957"/>
      <c r="LKS110" s="957"/>
      <c r="LKT110" s="957"/>
      <c r="LKU110" s="957"/>
      <c r="LKV110" s="957"/>
      <c r="LKW110" s="957"/>
      <c r="LKX110" s="957"/>
      <c r="LKY110" s="957"/>
      <c r="LKZ110" s="957"/>
      <c r="LLA110" s="957"/>
      <c r="LLB110" s="957"/>
      <c r="LLC110" s="957"/>
      <c r="LLD110" s="957"/>
      <c r="LLE110" s="957"/>
      <c r="LLF110" s="957"/>
      <c r="LLG110" s="957"/>
      <c r="LLH110" s="957"/>
      <c r="LLI110" s="957"/>
      <c r="LLJ110" s="957"/>
      <c r="LLK110" s="957"/>
      <c r="LLL110" s="957"/>
      <c r="LLM110" s="957"/>
      <c r="LLN110" s="957"/>
      <c r="LLO110" s="957"/>
      <c r="LLP110" s="957"/>
      <c r="LLQ110" s="957"/>
      <c r="LLR110" s="957"/>
      <c r="LLS110" s="957"/>
      <c r="LLT110" s="957"/>
      <c r="LLU110" s="957"/>
      <c r="LLV110" s="957"/>
      <c r="LLW110" s="957"/>
      <c r="LLX110" s="957"/>
      <c r="LLY110" s="957"/>
      <c r="LLZ110" s="957"/>
      <c r="LMA110" s="957"/>
      <c r="LMB110" s="957"/>
      <c r="LMC110" s="957"/>
      <c r="LMD110" s="957"/>
      <c r="LME110" s="957"/>
      <c r="LMF110" s="957"/>
      <c r="LMG110" s="957"/>
      <c r="LMH110" s="957"/>
      <c r="LMI110" s="957"/>
      <c r="LMJ110" s="957"/>
      <c r="LMK110" s="957"/>
      <c r="LML110" s="957"/>
      <c r="LMM110" s="957"/>
      <c r="LMN110" s="957"/>
      <c r="LMO110" s="957"/>
      <c r="LMP110" s="957"/>
      <c r="LMQ110" s="957"/>
      <c r="LMR110" s="957"/>
      <c r="LMS110" s="957"/>
      <c r="LMT110" s="957"/>
      <c r="LMU110" s="957"/>
      <c r="LMV110" s="957"/>
      <c r="LMW110" s="957"/>
      <c r="LMX110" s="957"/>
      <c r="LMY110" s="957"/>
      <c r="LMZ110" s="957"/>
      <c r="LNA110" s="957"/>
      <c r="LNB110" s="957"/>
      <c r="LNC110" s="957"/>
      <c r="LND110" s="957"/>
      <c r="LNE110" s="957"/>
      <c r="LNF110" s="957"/>
      <c r="LNG110" s="957"/>
      <c r="LNH110" s="957"/>
      <c r="LNI110" s="957"/>
      <c r="LNJ110" s="957"/>
      <c r="LNK110" s="957"/>
      <c r="LNL110" s="957"/>
      <c r="LNM110" s="957"/>
      <c r="LNN110" s="957"/>
      <c r="LNO110" s="957"/>
      <c r="LNP110" s="957"/>
      <c r="LNQ110" s="957"/>
      <c r="LNR110" s="957"/>
      <c r="LNS110" s="957"/>
      <c r="LNT110" s="957"/>
      <c r="LNU110" s="957"/>
      <c r="LNV110" s="957"/>
      <c r="LNW110" s="957"/>
      <c r="LNX110" s="957"/>
      <c r="LNY110" s="957"/>
      <c r="LNZ110" s="957"/>
      <c r="LOA110" s="957"/>
      <c r="LOB110" s="957"/>
      <c r="LOC110" s="957"/>
      <c r="LOD110" s="957"/>
      <c r="LOE110" s="957"/>
      <c r="LOF110" s="957"/>
      <c r="LOG110" s="957"/>
      <c r="LOH110" s="957"/>
      <c r="LOI110" s="957"/>
      <c r="LOJ110" s="957"/>
      <c r="LOK110" s="957"/>
      <c r="LOL110" s="957"/>
      <c r="LOM110" s="957"/>
      <c r="LON110" s="957"/>
      <c r="LOO110" s="957"/>
      <c r="LOP110" s="957"/>
      <c r="LOQ110" s="957"/>
      <c r="LOR110" s="957"/>
      <c r="LOS110" s="957"/>
      <c r="LOT110" s="957"/>
      <c r="LOU110" s="957"/>
      <c r="LOV110" s="957"/>
      <c r="LOW110" s="957"/>
      <c r="LOX110" s="957"/>
      <c r="LOY110" s="957"/>
      <c r="LOZ110" s="957"/>
      <c r="LPA110" s="957"/>
      <c r="LPB110" s="957"/>
      <c r="LPC110" s="957"/>
      <c r="LPD110" s="957"/>
      <c r="LPE110" s="957"/>
      <c r="LPF110" s="957"/>
      <c r="LPG110" s="957"/>
      <c r="LPH110" s="957"/>
      <c r="LPI110" s="957"/>
      <c r="LPJ110" s="957"/>
      <c r="LPK110" s="957"/>
      <c r="LPL110" s="957"/>
      <c r="LPM110" s="957"/>
      <c r="LPN110" s="957"/>
      <c r="LPO110" s="957"/>
      <c r="LPP110" s="957"/>
      <c r="LPQ110" s="957"/>
      <c r="LPR110" s="957"/>
      <c r="LPS110" s="957"/>
      <c r="LPT110" s="957"/>
      <c r="LPU110" s="957"/>
      <c r="LPV110" s="957"/>
      <c r="LPW110" s="957"/>
      <c r="LPX110" s="957"/>
      <c r="LPY110" s="957"/>
      <c r="LPZ110" s="957"/>
      <c r="LQA110" s="957"/>
      <c r="LQB110" s="957"/>
      <c r="LQC110" s="957"/>
      <c r="LQD110" s="957"/>
      <c r="LQE110" s="957"/>
      <c r="LQF110" s="957"/>
      <c r="LQG110" s="957"/>
      <c r="LQH110" s="957"/>
      <c r="LQI110" s="957"/>
      <c r="LQJ110" s="957"/>
      <c r="LQK110" s="957"/>
      <c r="LQL110" s="957"/>
      <c r="LQM110" s="957"/>
      <c r="LQN110" s="957"/>
      <c r="LQO110" s="957"/>
      <c r="LQP110" s="957"/>
      <c r="LQQ110" s="957"/>
      <c r="LQR110" s="957"/>
      <c r="LQS110" s="957"/>
      <c r="LQT110" s="957"/>
      <c r="LQU110" s="957"/>
      <c r="LQV110" s="957"/>
      <c r="LQW110" s="957"/>
      <c r="LQX110" s="957"/>
      <c r="LQY110" s="957"/>
      <c r="LQZ110" s="957"/>
      <c r="LRA110" s="957"/>
      <c r="LRB110" s="957"/>
      <c r="LRC110" s="957"/>
      <c r="LRD110" s="957"/>
      <c r="LRE110" s="957"/>
      <c r="LRF110" s="957"/>
      <c r="LRG110" s="957"/>
      <c r="LRH110" s="957"/>
      <c r="LRI110" s="957"/>
      <c r="LRJ110" s="957"/>
      <c r="LRK110" s="957"/>
      <c r="LRL110" s="957"/>
      <c r="LRM110" s="957"/>
      <c r="LRN110" s="957"/>
      <c r="LRO110" s="957"/>
      <c r="LRP110" s="957"/>
      <c r="LRQ110" s="957"/>
      <c r="LRR110" s="957"/>
      <c r="LRS110" s="957"/>
      <c r="LRT110" s="957"/>
      <c r="LRU110" s="957"/>
      <c r="LRV110" s="957"/>
      <c r="LRW110" s="957"/>
      <c r="LRX110" s="957"/>
      <c r="LRY110" s="957"/>
      <c r="LRZ110" s="957"/>
      <c r="LSA110" s="957"/>
      <c r="LSB110" s="957"/>
      <c r="LSC110" s="957"/>
      <c r="LSD110" s="957"/>
      <c r="LSE110" s="957"/>
      <c r="LSF110" s="957"/>
      <c r="LSG110" s="957"/>
      <c r="LSH110" s="957"/>
      <c r="LSI110" s="957"/>
      <c r="LSJ110" s="957"/>
      <c r="LSK110" s="957"/>
      <c r="LSL110" s="957"/>
      <c r="LSM110" s="957"/>
      <c r="LSN110" s="957"/>
      <c r="LSO110" s="957"/>
      <c r="LSP110" s="957"/>
      <c r="LSQ110" s="957"/>
      <c r="LSR110" s="957"/>
      <c r="LSS110" s="957"/>
      <c r="LST110" s="957"/>
      <c r="LSU110" s="957"/>
      <c r="LSV110" s="957"/>
      <c r="LSW110" s="957"/>
      <c r="LSX110" s="957"/>
      <c r="LSY110" s="957"/>
      <c r="LSZ110" s="957"/>
      <c r="LTA110" s="957"/>
      <c r="LTB110" s="957"/>
      <c r="LTC110" s="957"/>
      <c r="LTD110" s="957"/>
      <c r="LTE110" s="957"/>
      <c r="LTF110" s="957"/>
      <c r="LTG110" s="957"/>
      <c r="LTH110" s="957"/>
      <c r="LTI110" s="957"/>
      <c r="LTJ110" s="957"/>
      <c r="LTK110" s="957"/>
      <c r="LTL110" s="957"/>
      <c r="LTM110" s="957"/>
      <c r="LTN110" s="957"/>
      <c r="LTO110" s="957"/>
      <c r="LTP110" s="957"/>
      <c r="LTQ110" s="957"/>
      <c r="LTR110" s="957"/>
      <c r="LTS110" s="957"/>
      <c r="LTT110" s="957"/>
      <c r="LTU110" s="957"/>
      <c r="LTV110" s="957"/>
      <c r="LTW110" s="957"/>
      <c r="LTX110" s="957"/>
      <c r="LTY110" s="957"/>
      <c r="LTZ110" s="957"/>
      <c r="LUA110" s="957"/>
      <c r="LUB110" s="957"/>
      <c r="LUC110" s="957"/>
      <c r="LUD110" s="957"/>
      <c r="LUE110" s="957"/>
      <c r="LUF110" s="957"/>
      <c r="LUG110" s="957"/>
      <c r="LUH110" s="957"/>
      <c r="LUI110" s="957"/>
      <c r="LUJ110" s="957"/>
      <c r="LUK110" s="957"/>
      <c r="LUL110" s="957"/>
      <c r="LUM110" s="957"/>
      <c r="LUN110" s="957"/>
      <c r="LUO110" s="957"/>
      <c r="LUP110" s="957"/>
      <c r="LUQ110" s="957"/>
      <c r="LUR110" s="957"/>
      <c r="LUS110" s="957"/>
      <c r="LUT110" s="957"/>
      <c r="LUU110" s="957"/>
      <c r="LUV110" s="957"/>
      <c r="LUW110" s="957"/>
      <c r="LUX110" s="957"/>
      <c r="LUY110" s="957"/>
      <c r="LUZ110" s="957"/>
      <c r="LVA110" s="957"/>
      <c r="LVB110" s="957"/>
      <c r="LVC110" s="957"/>
      <c r="LVD110" s="957"/>
      <c r="LVE110" s="957"/>
      <c r="LVF110" s="957"/>
      <c r="LVG110" s="957"/>
      <c r="LVH110" s="957"/>
      <c r="LVI110" s="957"/>
      <c r="LVJ110" s="957"/>
      <c r="LVK110" s="957"/>
      <c r="LVL110" s="957"/>
      <c r="LVM110" s="957"/>
      <c r="LVN110" s="957"/>
      <c r="LVO110" s="957"/>
      <c r="LVP110" s="957"/>
      <c r="LVQ110" s="957"/>
      <c r="LVR110" s="957"/>
      <c r="LVS110" s="957"/>
      <c r="LVT110" s="957"/>
      <c r="LVU110" s="957"/>
      <c r="LVV110" s="957"/>
      <c r="LVW110" s="957"/>
      <c r="LVX110" s="957"/>
      <c r="LVY110" s="957"/>
      <c r="LVZ110" s="957"/>
      <c r="LWA110" s="957"/>
      <c r="LWB110" s="957"/>
      <c r="LWC110" s="957"/>
      <c r="LWD110" s="957"/>
      <c r="LWE110" s="957"/>
      <c r="LWF110" s="957"/>
      <c r="LWG110" s="957"/>
      <c r="LWH110" s="957"/>
      <c r="LWI110" s="957"/>
      <c r="LWJ110" s="957"/>
      <c r="LWK110" s="957"/>
      <c r="LWL110" s="957"/>
      <c r="LWM110" s="957"/>
      <c r="LWN110" s="957"/>
      <c r="LWO110" s="957"/>
      <c r="LWP110" s="957"/>
      <c r="LWQ110" s="957"/>
      <c r="LWR110" s="957"/>
      <c r="LWS110" s="957"/>
      <c r="LWT110" s="957"/>
      <c r="LWU110" s="957"/>
      <c r="LWV110" s="957"/>
      <c r="LWW110" s="957"/>
      <c r="LWX110" s="957"/>
      <c r="LWY110" s="957"/>
      <c r="LWZ110" s="957"/>
      <c r="LXA110" s="957"/>
      <c r="LXB110" s="957"/>
      <c r="LXC110" s="957"/>
      <c r="LXD110" s="957"/>
      <c r="LXE110" s="957"/>
      <c r="LXF110" s="957"/>
      <c r="LXG110" s="957"/>
      <c r="LXH110" s="957"/>
      <c r="LXI110" s="957"/>
      <c r="LXJ110" s="957"/>
      <c r="LXK110" s="957"/>
      <c r="LXL110" s="957"/>
      <c r="LXM110" s="957"/>
      <c r="LXN110" s="957"/>
      <c r="LXO110" s="957"/>
      <c r="LXP110" s="957"/>
      <c r="LXQ110" s="957"/>
      <c r="LXR110" s="957"/>
      <c r="LXS110" s="957"/>
      <c r="LXT110" s="957"/>
      <c r="LXU110" s="957"/>
      <c r="LXV110" s="957"/>
      <c r="LXW110" s="957"/>
      <c r="LXX110" s="957"/>
      <c r="LXY110" s="957"/>
      <c r="LXZ110" s="957"/>
      <c r="LYA110" s="957"/>
      <c r="LYB110" s="957"/>
      <c r="LYC110" s="957"/>
      <c r="LYD110" s="957"/>
      <c r="LYE110" s="957"/>
      <c r="LYF110" s="957"/>
      <c r="LYG110" s="957"/>
      <c r="LYH110" s="957"/>
      <c r="LYI110" s="957"/>
      <c r="LYJ110" s="957"/>
      <c r="LYK110" s="957"/>
      <c r="LYL110" s="957"/>
      <c r="LYM110" s="957"/>
      <c r="LYN110" s="957"/>
      <c r="LYO110" s="957"/>
      <c r="LYP110" s="957"/>
      <c r="LYQ110" s="957"/>
      <c r="LYR110" s="957"/>
      <c r="LYS110" s="957"/>
      <c r="LYT110" s="957"/>
      <c r="LYU110" s="957"/>
      <c r="LYV110" s="957"/>
      <c r="LYW110" s="957"/>
      <c r="LYX110" s="957"/>
      <c r="LYY110" s="957"/>
      <c r="LYZ110" s="957"/>
      <c r="LZA110" s="957"/>
      <c r="LZB110" s="957"/>
      <c r="LZC110" s="957"/>
      <c r="LZD110" s="957"/>
      <c r="LZE110" s="957"/>
      <c r="LZF110" s="957"/>
      <c r="LZG110" s="957"/>
      <c r="LZH110" s="957"/>
      <c r="LZI110" s="957"/>
      <c r="LZJ110" s="957"/>
      <c r="LZK110" s="957"/>
      <c r="LZL110" s="957"/>
      <c r="LZM110" s="957"/>
      <c r="LZN110" s="957"/>
      <c r="LZO110" s="957"/>
      <c r="LZP110" s="957"/>
      <c r="LZQ110" s="957"/>
      <c r="LZR110" s="957"/>
      <c r="LZS110" s="957"/>
      <c r="LZT110" s="957"/>
      <c r="LZU110" s="957"/>
      <c r="LZV110" s="957"/>
      <c r="LZW110" s="957"/>
      <c r="LZX110" s="957"/>
      <c r="LZY110" s="957"/>
      <c r="LZZ110" s="957"/>
      <c r="MAA110" s="957"/>
      <c r="MAB110" s="957"/>
      <c r="MAC110" s="957"/>
      <c r="MAD110" s="957"/>
      <c r="MAE110" s="957"/>
      <c r="MAF110" s="957"/>
      <c r="MAG110" s="957"/>
      <c r="MAH110" s="957"/>
      <c r="MAI110" s="957"/>
      <c r="MAJ110" s="957"/>
      <c r="MAK110" s="957"/>
      <c r="MAL110" s="957"/>
      <c r="MAM110" s="957"/>
      <c r="MAN110" s="957"/>
      <c r="MAO110" s="957"/>
      <c r="MAP110" s="957"/>
      <c r="MAQ110" s="957"/>
      <c r="MAR110" s="957"/>
      <c r="MAS110" s="957"/>
      <c r="MAT110" s="957"/>
      <c r="MAU110" s="957"/>
      <c r="MAV110" s="957"/>
      <c r="MAW110" s="957"/>
      <c r="MAX110" s="957"/>
      <c r="MAY110" s="957"/>
      <c r="MAZ110" s="957"/>
      <c r="MBA110" s="957"/>
      <c r="MBB110" s="957"/>
      <c r="MBC110" s="957"/>
      <c r="MBD110" s="957"/>
      <c r="MBE110" s="957"/>
      <c r="MBF110" s="957"/>
      <c r="MBG110" s="957"/>
      <c r="MBH110" s="957"/>
      <c r="MBI110" s="957"/>
      <c r="MBJ110" s="957"/>
      <c r="MBK110" s="957"/>
      <c r="MBL110" s="957"/>
      <c r="MBM110" s="957"/>
      <c r="MBN110" s="957"/>
      <c r="MBO110" s="957"/>
      <c r="MBP110" s="957"/>
      <c r="MBQ110" s="957"/>
      <c r="MBR110" s="957"/>
      <c r="MBS110" s="957"/>
      <c r="MBT110" s="957"/>
      <c r="MBU110" s="957"/>
      <c r="MBV110" s="957"/>
      <c r="MBW110" s="957"/>
      <c r="MBX110" s="957"/>
      <c r="MBY110" s="957"/>
      <c r="MBZ110" s="957"/>
      <c r="MCA110" s="957"/>
      <c r="MCB110" s="957"/>
      <c r="MCC110" s="957"/>
      <c r="MCD110" s="957"/>
      <c r="MCE110" s="957"/>
      <c r="MCF110" s="957"/>
      <c r="MCG110" s="957"/>
      <c r="MCH110" s="957"/>
      <c r="MCI110" s="957"/>
      <c r="MCJ110" s="957"/>
      <c r="MCK110" s="957"/>
      <c r="MCL110" s="957"/>
      <c r="MCM110" s="957"/>
      <c r="MCN110" s="957"/>
      <c r="MCO110" s="957"/>
      <c r="MCP110" s="957"/>
      <c r="MCQ110" s="957"/>
      <c r="MCR110" s="957"/>
      <c r="MCS110" s="957"/>
      <c r="MCT110" s="957"/>
      <c r="MCU110" s="957"/>
      <c r="MCV110" s="957"/>
      <c r="MCW110" s="957"/>
      <c r="MCX110" s="957"/>
      <c r="MCY110" s="957"/>
      <c r="MCZ110" s="957"/>
      <c r="MDA110" s="957"/>
      <c r="MDB110" s="957"/>
      <c r="MDC110" s="957"/>
      <c r="MDD110" s="957"/>
      <c r="MDE110" s="957"/>
      <c r="MDF110" s="957"/>
      <c r="MDG110" s="957"/>
      <c r="MDH110" s="957"/>
      <c r="MDI110" s="957"/>
      <c r="MDJ110" s="957"/>
      <c r="MDK110" s="957"/>
      <c r="MDL110" s="957"/>
      <c r="MDM110" s="957"/>
      <c r="MDN110" s="957"/>
      <c r="MDO110" s="957"/>
      <c r="MDP110" s="957"/>
      <c r="MDQ110" s="957"/>
      <c r="MDR110" s="957"/>
      <c r="MDS110" s="957"/>
      <c r="MDT110" s="957"/>
      <c r="MDU110" s="957"/>
      <c r="MDV110" s="957"/>
      <c r="MDW110" s="957"/>
      <c r="MDX110" s="957"/>
      <c r="MDY110" s="957"/>
      <c r="MDZ110" s="957"/>
      <c r="MEA110" s="957"/>
      <c r="MEB110" s="957"/>
      <c r="MEC110" s="957"/>
      <c r="MED110" s="957"/>
      <c r="MEE110" s="957"/>
      <c r="MEF110" s="957"/>
      <c r="MEG110" s="957"/>
      <c r="MEH110" s="957"/>
      <c r="MEI110" s="957"/>
      <c r="MEJ110" s="957"/>
      <c r="MEK110" s="957"/>
      <c r="MEL110" s="957"/>
      <c r="MEM110" s="957"/>
      <c r="MEN110" s="957"/>
      <c r="MEO110" s="957"/>
      <c r="MEP110" s="957"/>
      <c r="MEQ110" s="957"/>
      <c r="MER110" s="957"/>
      <c r="MES110" s="957"/>
      <c r="MET110" s="957"/>
      <c r="MEU110" s="957"/>
      <c r="MEV110" s="957"/>
      <c r="MEW110" s="957"/>
      <c r="MEX110" s="957"/>
      <c r="MEY110" s="957"/>
      <c r="MEZ110" s="957"/>
      <c r="MFA110" s="957"/>
      <c r="MFB110" s="957"/>
      <c r="MFC110" s="957"/>
      <c r="MFD110" s="957"/>
      <c r="MFE110" s="957"/>
      <c r="MFF110" s="957"/>
      <c r="MFG110" s="957"/>
      <c r="MFH110" s="957"/>
      <c r="MFI110" s="957"/>
      <c r="MFJ110" s="957"/>
      <c r="MFK110" s="957"/>
      <c r="MFL110" s="957"/>
      <c r="MFM110" s="957"/>
      <c r="MFN110" s="957"/>
      <c r="MFO110" s="957"/>
      <c r="MFP110" s="957"/>
      <c r="MFQ110" s="957"/>
      <c r="MFR110" s="957"/>
      <c r="MFS110" s="957"/>
      <c r="MFT110" s="957"/>
      <c r="MFU110" s="957"/>
      <c r="MFV110" s="957"/>
      <c r="MFW110" s="957"/>
      <c r="MFX110" s="957"/>
      <c r="MFY110" s="957"/>
      <c r="MFZ110" s="957"/>
      <c r="MGA110" s="957"/>
      <c r="MGB110" s="957"/>
      <c r="MGC110" s="957"/>
      <c r="MGD110" s="957"/>
      <c r="MGE110" s="957"/>
      <c r="MGF110" s="957"/>
      <c r="MGG110" s="957"/>
      <c r="MGH110" s="957"/>
      <c r="MGI110" s="957"/>
      <c r="MGJ110" s="957"/>
      <c r="MGK110" s="957"/>
      <c r="MGL110" s="957"/>
      <c r="MGM110" s="957"/>
      <c r="MGN110" s="957"/>
      <c r="MGO110" s="957"/>
      <c r="MGP110" s="957"/>
      <c r="MGQ110" s="957"/>
      <c r="MGR110" s="957"/>
      <c r="MGS110" s="957"/>
      <c r="MGT110" s="957"/>
      <c r="MGU110" s="957"/>
      <c r="MGV110" s="957"/>
      <c r="MGW110" s="957"/>
      <c r="MGX110" s="957"/>
      <c r="MGY110" s="957"/>
      <c r="MGZ110" s="957"/>
      <c r="MHA110" s="957"/>
      <c r="MHB110" s="957"/>
      <c r="MHC110" s="957"/>
      <c r="MHD110" s="957"/>
      <c r="MHE110" s="957"/>
      <c r="MHF110" s="957"/>
      <c r="MHG110" s="957"/>
      <c r="MHH110" s="957"/>
      <c r="MHI110" s="957"/>
      <c r="MHJ110" s="957"/>
      <c r="MHK110" s="957"/>
      <c r="MHL110" s="957"/>
      <c r="MHM110" s="957"/>
      <c r="MHN110" s="957"/>
      <c r="MHO110" s="957"/>
      <c r="MHP110" s="957"/>
      <c r="MHQ110" s="957"/>
      <c r="MHR110" s="957"/>
      <c r="MHS110" s="957"/>
      <c r="MHT110" s="957"/>
      <c r="MHU110" s="957"/>
      <c r="MHV110" s="957"/>
      <c r="MHW110" s="957"/>
      <c r="MHX110" s="957"/>
      <c r="MHY110" s="957"/>
      <c r="MHZ110" s="957"/>
      <c r="MIA110" s="957"/>
      <c r="MIB110" s="957"/>
      <c r="MIC110" s="957"/>
      <c r="MID110" s="957"/>
      <c r="MIE110" s="957"/>
      <c r="MIF110" s="957"/>
      <c r="MIG110" s="957"/>
      <c r="MIH110" s="957"/>
      <c r="MII110" s="957"/>
      <c r="MIJ110" s="957"/>
      <c r="MIK110" s="957"/>
      <c r="MIL110" s="957"/>
      <c r="MIM110" s="957"/>
      <c r="MIN110" s="957"/>
      <c r="MIO110" s="957"/>
      <c r="MIP110" s="957"/>
      <c r="MIQ110" s="957"/>
      <c r="MIR110" s="957"/>
      <c r="MIS110" s="957"/>
      <c r="MIT110" s="957"/>
      <c r="MIU110" s="957"/>
      <c r="MIV110" s="957"/>
      <c r="MIW110" s="957"/>
      <c r="MIX110" s="957"/>
      <c r="MIY110" s="957"/>
      <c r="MIZ110" s="957"/>
      <c r="MJA110" s="957"/>
      <c r="MJB110" s="957"/>
      <c r="MJC110" s="957"/>
      <c r="MJD110" s="957"/>
      <c r="MJE110" s="957"/>
      <c r="MJF110" s="957"/>
      <c r="MJG110" s="957"/>
      <c r="MJH110" s="957"/>
      <c r="MJI110" s="957"/>
      <c r="MJJ110" s="957"/>
      <c r="MJK110" s="957"/>
      <c r="MJL110" s="957"/>
      <c r="MJM110" s="957"/>
      <c r="MJN110" s="957"/>
      <c r="MJO110" s="957"/>
      <c r="MJP110" s="957"/>
      <c r="MJQ110" s="957"/>
      <c r="MJR110" s="957"/>
      <c r="MJS110" s="957"/>
      <c r="MJT110" s="957"/>
      <c r="MJU110" s="957"/>
      <c r="MJV110" s="957"/>
      <c r="MJW110" s="957"/>
      <c r="MJX110" s="957"/>
      <c r="MJY110" s="957"/>
      <c r="MJZ110" s="957"/>
      <c r="MKA110" s="957"/>
      <c r="MKB110" s="957"/>
      <c r="MKC110" s="957"/>
      <c r="MKD110" s="957"/>
      <c r="MKE110" s="957"/>
      <c r="MKF110" s="957"/>
      <c r="MKG110" s="957"/>
      <c r="MKH110" s="957"/>
      <c r="MKI110" s="957"/>
      <c r="MKJ110" s="957"/>
      <c r="MKK110" s="957"/>
      <c r="MKL110" s="957"/>
      <c r="MKM110" s="957"/>
      <c r="MKN110" s="957"/>
      <c r="MKO110" s="957"/>
      <c r="MKP110" s="957"/>
      <c r="MKQ110" s="957"/>
      <c r="MKR110" s="957"/>
      <c r="MKS110" s="957"/>
      <c r="MKT110" s="957"/>
      <c r="MKU110" s="957"/>
      <c r="MKV110" s="957"/>
      <c r="MKW110" s="957"/>
      <c r="MKX110" s="957"/>
      <c r="MKY110" s="957"/>
      <c r="MKZ110" s="957"/>
      <c r="MLA110" s="957"/>
      <c r="MLB110" s="957"/>
      <c r="MLC110" s="957"/>
      <c r="MLD110" s="957"/>
      <c r="MLE110" s="957"/>
      <c r="MLF110" s="957"/>
      <c r="MLG110" s="957"/>
      <c r="MLH110" s="957"/>
      <c r="MLI110" s="957"/>
      <c r="MLJ110" s="957"/>
      <c r="MLK110" s="957"/>
      <c r="MLL110" s="957"/>
      <c r="MLM110" s="957"/>
      <c r="MLN110" s="957"/>
      <c r="MLO110" s="957"/>
      <c r="MLP110" s="957"/>
      <c r="MLQ110" s="957"/>
      <c r="MLR110" s="957"/>
      <c r="MLS110" s="957"/>
      <c r="MLT110" s="957"/>
      <c r="MLU110" s="957"/>
      <c r="MLV110" s="957"/>
      <c r="MLW110" s="957"/>
      <c r="MLX110" s="957"/>
      <c r="MLY110" s="957"/>
      <c r="MLZ110" s="957"/>
      <c r="MMA110" s="957"/>
      <c r="MMB110" s="957"/>
      <c r="MMC110" s="957"/>
      <c r="MMD110" s="957"/>
      <c r="MME110" s="957"/>
      <c r="MMF110" s="957"/>
      <c r="MMG110" s="957"/>
      <c r="MMH110" s="957"/>
      <c r="MMI110" s="957"/>
      <c r="MMJ110" s="957"/>
      <c r="MMK110" s="957"/>
      <c r="MML110" s="957"/>
      <c r="MMM110" s="957"/>
      <c r="MMN110" s="957"/>
      <c r="MMO110" s="957"/>
      <c r="MMP110" s="957"/>
      <c r="MMQ110" s="957"/>
      <c r="MMR110" s="957"/>
      <c r="MMS110" s="957"/>
      <c r="MMT110" s="957"/>
      <c r="MMU110" s="957"/>
      <c r="MMV110" s="957"/>
      <c r="MMW110" s="957"/>
      <c r="MMX110" s="957"/>
      <c r="MMY110" s="957"/>
      <c r="MMZ110" s="957"/>
      <c r="MNA110" s="957"/>
      <c r="MNB110" s="957"/>
      <c r="MNC110" s="957"/>
      <c r="MND110" s="957"/>
      <c r="MNE110" s="957"/>
      <c r="MNF110" s="957"/>
      <c r="MNG110" s="957"/>
      <c r="MNH110" s="957"/>
      <c r="MNI110" s="957"/>
      <c r="MNJ110" s="957"/>
      <c r="MNK110" s="957"/>
      <c r="MNL110" s="957"/>
      <c r="MNM110" s="957"/>
      <c r="MNN110" s="957"/>
      <c r="MNO110" s="957"/>
      <c r="MNP110" s="957"/>
      <c r="MNQ110" s="957"/>
      <c r="MNR110" s="957"/>
      <c r="MNS110" s="957"/>
      <c r="MNT110" s="957"/>
      <c r="MNU110" s="957"/>
      <c r="MNV110" s="957"/>
      <c r="MNW110" s="957"/>
      <c r="MNX110" s="957"/>
      <c r="MNY110" s="957"/>
      <c r="MNZ110" s="957"/>
      <c r="MOA110" s="957"/>
      <c r="MOB110" s="957"/>
      <c r="MOC110" s="957"/>
      <c r="MOD110" s="957"/>
      <c r="MOE110" s="957"/>
      <c r="MOF110" s="957"/>
      <c r="MOG110" s="957"/>
      <c r="MOH110" s="957"/>
      <c r="MOI110" s="957"/>
      <c r="MOJ110" s="957"/>
      <c r="MOK110" s="957"/>
      <c r="MOL110" s="957"/>
      <c r="MOM110" s="957"/>
      <c r="MON110" s="957"/>
      <c r="MOO110" s="957"/>
      <c r="MOP110" s="957"/>
      <c r="MOQ110" s="957"/>
      <c r="MOR110" s="957"/>
      <c r="MOS110" s="957"/>
      <c r="MOT110" s="957"/>
      <c r="MOU110" s="957"/>
      <c r="MOV110" s="957"/>
      <c r="MOW110" s="957"/>
      <c r="MOX110" s="957"/>
      <c r="MOY110" s="957"/>
      <c r="MOZ110" s="957"/>
      <c r="MPA110" s="957"/>
      <c r="MPB110" s="957"/>
      <c r="MPC110" s="957"/>
      <c r="MPD110" s="957"/>
      <c r="MPE110" s="957"/>
      <c r="MPF110" s="957"/>
      <c r="MPG110" s="957"/>
      <c r="MPH110" s="957"/>
      <c r="MPI110" s="957"/>
      <c r="MPJ110" s="957"/>
      <c r="MPK110" s="957"/>
      <c r="MPL110" s="957"/>
      <c r="MPM110" s="957"/>
      <c r="MPN110" s="957"/>
      <c r="MPO110" s="957"/>
      <c r="MPP110" s="957"/>
      <c r="MPQ110" s="957"/>
      <c r="MPR110" s="957"/>
      <c r="MPS110" s="957"/>
      <c r="MPT110" s="957"/>
      <c r="MPU110" s="957"/>
      <c r="MPV110" s="957"/>
      <c r="MPW110" s="957"/>
      <c r="MPX110" s="957"/>
      <c r="MPY110" s="957"/>
      <c r="MPZ110" s="957"/>
      <c r="MQA110" s="957"/>
      <c r="MQB110" s="957"/>
      <c r="MQC110" s="957"/>
      <c r="MQD110" s="957"/>
      <c r="MQE110" s="957"/>
      <c r="MQF110" s="957"/>
      <c r="MQG110" s="957"/>
      <c r="MQH110" s="957"/>
      <c r="MQI110" s="957"/>
      <c r="MQJ110" s="957"/>
      <c r="MQK110" s="957"/>
      <c r="MQL110" s="957"/>
      <c r="MQM110" s="957"/>
      <c r="MQN110" s="957"/>
      <c r="MQO110" s="957"/>
      <c r="MQP110" s="957"/>
      <c r="MQQ110" s="957"/>
      <c r="MQR110" s="957"/>
      <c r="MQS110" s="957"/>
      <c r="MQT110" s="957"/>
      <c r="MQU110" s="957"/>
      <c r="MQV110" s="957"/>
      <c r="MQW110" s="957"/>
      <c r="MQX110" s="957"/>
      <c r="MQY110" s="957"/>
      <c r="MQZ110" s="957"/>
      <c r="MRA110" s="957"/>
      <c r="MRB110" s="957"/>
      <c r="MRC110" s="957"/>
      <c r="MRD110" s="957"/>
      <c r="MRE110" s="957"/>
      <c r="MRF110" s="957"/>
      <c r="MRG110" s="957"/>
      <c r="MRH110" s="957"/>
      <c r="MRI110" s="957"/>
      <c r="MRJ110" s="957"/>
      <c r="MRK110" s="957"/>
      <c r="MRL110" s="957"/>
      <c r="MRM110" s="957"/>
      <c r="MRN110" s="957"/>
      <c r="MRO110" s="957"/>
      <c r="MRP110" s="957"/>
      <c r="MRQ110" s="957"/>
      <c r="MRR110" s="957"/>
      <c r="MRS110" s="957"/>
      <c r="MRT110" s="957"/>
      <c r="MRU110" s="957"/>
      <c r="MRV110" s="957"/>
      <c r="MRW110" s="957"/>
      <c r="MRX110" s="957"/>
      <c r="MRY110" s="957"/>
      <c r="MRZ110" s="957"/>
      <c r="MSA110" s="957"/>
      <c r="MSB110" s="957"/>
      <c r="MSC110" s="957"/>
      <c r="MSD110" s="957"/>
      <c r="MSE110" s="957"/>
      <c r="MSF110" s="957"/>
      <c r="MSG110" s="957"/>
      <c r="MSH110" s="957"/>
      <c r="MSI110" s="957"/>
      <c r="MSJ110" s="957"/>
      <c r="MSK110" s="957"/>
      <c r="MSL110" s="957"/>
      <c r="MSM110" s="957"/>
      <c r="MSN110" s="957"/>
      <c r="MSO110" s="957"/>
      <c r="MSP110" s="957"/>
      <c r="MSQ110" s="957"/>
      <c r="MSR110" s="957"/>
      <c r="MSS110" s="957"/>
      <c r="MST110" s="957"/>
      <c r="MSU110" s="957"/>
      <c r="MSV110" s="957"/>
      <c r="MSW110" s="957"/>
      <c r="MSX110" s="957"/>
      <c r="MSY110" s="957"/>
      <c r="MSZ110" s="957"/>
      <c r="MTA110" s="957"/>
      <c r="MTB110" s="957"/>
      <c r="MTC110" s="957"/>
      <c r="MTD110" s="957"/>
      <c r="MTE110" s="957"/>
      <c r="MTF110" s="957"/>
      <c r="MTG110" s="957"/>
      <c r="MTH110" s="957"/>
      <c r="MTI110" s="957"/>
      <c r="MTJ110" s="957"/>
      <c r="MTK110" s="957"/>
      <c r="MTL110" s="957"/>
      <c r="MTM110" s="957"/>
      <c r="MTN110" s="957"/>
      <c r="MTO110" s="957"/>
      <c r="MTP110" s="957"/>
      <c r="MTQ110" s="957"/>
      <c r="MTR110" s="957"/>
      <c r="MTS110" s="957"/>
      <c r="MTT110" s="957"/>
      <c r="MTU110" s="957"/>
      <c r="MTV110" s="957"/>
      <c r="MTW110" s="957"/>
      <c r="MTX110" s="957"/>
      <c r="MTY110" s="957"/>
      <c r="MTZ110" s="957"/>
      <c r="MUA110" s="957"/>
      <c r="MUB110" s="957"/>
      <c r="MUC110" s="957"/>
      <c r="MUD110" s="957"/>
      <c r="MUE110" s="957"/>
      <c r="MUF110" s="957"/>
      <c r="MUG110" s="957"/>
      <c r="MUH110" s="957"/>
      <c r="MUI110" s="957"/>
      <c r="MUJ110" s="957"/>
      <c r="MUK110" s="957"/>
      <c r="MUL110" s="957"/>
      <c r="MUM110" s="957"/>
      <c r="MUN110" s="957"/>
      <c r="MUO110" s="957"/>
      <c r="MUP110" s="957"/>
      <c r="MUQ110" s="957"/>
      <c r="MUR110" s="957"/>
      <c r="MUS110" s="957"/>
      <c r="MUT110" s="957"/>
      <c r="MUU110" s="957"/>
      <c r="MUV110" s="957"/>
      <c r="MUW110" s="957"/>
      <c r="MUX110" s="957"/>
      <c r="MUY110" s="957"/>
      <c r="MUZ110" s="957"/>
      <c r="MVA110" s="957"/>
      <c r="MVB110" s="957"/>
      <c r="MVC110" s="957"/>
      <c r="MVD110" s="957"/>
      <c r="MVE110" s="957"/>
      <c r="MVF110" s="957"/>
      <c r="MVG110" s="957"/>
      <c r="MVH110" s="957"/>
      <c r="MVI110" s="957"/>
      <c r="MVJ110" s="957"/>
      <c r="MVK110" s="957"/>
      <c r="MVL110" s="957"/>
      <c r="MVM110" s="957"/>
      <c r="MVN110" s="957"/>
      <c r="MVO110" s="957"/>
      <c r="MVP110" s="957"/>
      <c r="MVQ110" s="957"/>
      <c r="MVR110" s="957"/>
      <c r="MVS110" s="957"/>
      <c r="MVT110" s="957"/>
      <c r="MVU110" s="957"/>
      <c r="MVV110" s="957"/>
      <c r="MVW110" s="957"/>
      <c r="MVX110" s="957"/>
      <c r="MVY110" s="957"/>
      <c r="MVZ110" s="957"/>
      <c r="MWA110" s="957"/>
      <c r="MWB110" s="957"/>
      <c r="MWC110" s="957"/>
      <c r="MWD110" s="957"/>
      <c r="MWE110" s="957"/>
      <c r="MWF110" s="957"/>
      <c r="MWG110" s="957"/>
      <c r="MWH110" s="957"/>
      <c r="MWI110" s="957"/>
      <c r="MWJ110" s="957"/>
      <c r="MWK110" s="957"/>
      <c r="MWL110" s="957"/>
      <c r="MWM110" s="957"/>
      <c r="MWN110" s="957"/>
      <c r="MWO110" s="957"/>
      <c r="MWP110" s="957"/>
      <c r="MWQ110" s="957"/>
      <c r="MWR110" s="957"/>
      <c r="MWS110" s="957"/>
      <c r="MWT110" s="957"/>
      <c r="MWU110" s="957"/>
      <c r="MWV110" s="957"/>
      <c r="MWW110" s="957"/>
      <c r="MWX110" s="957"/>
      <c r="MWY110" s="957"/>
      <c r="MWZ110" s="957"/>
      <c r="MXA110" s="957"/>
      <c r="MXB110" s="957"/>
      <c r="MXC110" s="957"/>
      <c r="MXD110" s="957"/>
      <c r="MXE110" s="957"/>
      <c r="MXF110" s="957"/>
      <c r="MXG110" s="957"/>
      <c r="MXH110" s="957"/>
      <c r="MXI110" s="957"/>
      <c r="MXJ110" s="957"/>
      <c r="MXK110" s="957"/>
      <c r="MXL110" s="957"/>
      <c r="MXM110" s="957"/>
      <c r="MXN110" s="957"/>
      <c r="MXO110" s="957"/>
      <c r="MXP110" s="957"/>
      <c r="MXQ110" s="957"/>
      <c r="MXR110" s="957"/>
      <c r="MXS110" s="957"/>
      <c r="MXT110" s="957"/>
      <c r="MXU110" s="957"/>
      <c r="MXV110" s="957"/>
      <c r="MXW110" s="957"/>
      <c r="MXX110" s="957"/>
      <c r="MXY110" s="957"/>
      <c r="MXZ110" s="957"/>
      <c r="MYA110" s="957"/>
      <c r="MYB110" s="957"/>
      <c r="MYC110" s="957"/>
      <c r="MYD110" s="957"/>
      <c r="MYE110" s="957"/>
      <c r="MYF110" s="957"/>
      <c r="MYG110" s="957"/>
      <c r="MYH110" s="957"/>
      <c r="MYI110" s="957"/>
      <c r="MYJ110" s="957"/>
      <c r="MYK110" s="957"/>
      <c r="MYL110" s="957"/>
      <c r="MYM110" s="957"/>
      <c r="MYN110" s="957"/>
      <c r="MYO110" s="957"/>
      <c r="MYP110" s="957"/>
      <c r="MYQ110" s="957"/>
      <c r="MYR110" s="957"/>
      <c r="MYS110" s="957"/>
      <c r="MYT110" s="957"/>
      <c r="MYU110" s="957"/>
      <c r="MYV110" s="957"/>
      <c r="MYW110" s="957"/>
      <c r="MYX110" s="957"/>
      <c r="MYY110" s="957"/>
      <c r="MYZ110" s="957"/>
      <c r="MZA110" s="957"/>
      <c r="MZB110" s="957"/>
      <c r="MZC110" s="957"/>
      <c r="MZD110" s="957"/>
      <c r="MZE110" s="957"/>
      <c r="MZF110" s="957"/>
      <c r="MZG110" s="957"/>
      <c r="MZH110" s="957"/>
      <c r="MZI110" s="957"/>
      <c r="MZJ110" s="957"/>
      <c r="MZK110" s="957"/>
      <c r="MZL110" s="957"/>
      <c r="MZM110" s="957"/>
      <c r="MZN110" s="957"/>
      <c r="MZO110" s="957"/>
      <c r="MZP110" s="957"/>
      <c r="MZQ110" s="957"/>
      <c r="MZR110" s="957"/>
      <c r="MZS110" s="957"/>
      <c r="MZT110" s="957"/>
      <c r="MZU110" s="957"/>
      <c r="MZV110" s="957"/>
      <c r="MZW110" s="957"/>
      <c r="MZX110" s="957"/>
      <c r="MZY110" s="957"/>
      <c r="MZZ110" s="957"/>
      <c r="NAA110" s="957"/>
      <c r="NAB110" s="957"/>
      <c r="NAC110" s="957"/>
      <c r="NAD110" s="957"/>
      <c r="NAE110" s="957"/>
      <c r="NAF110" s="957"/>
      <c r="NAG110" s="957"/>
      <c r="NAH110" s="957"/>
      <c r="NAI110" s="957"/>
      <c r="NAJ110" s="957"/>
      <c r="NAK110" s="957"/>
      <c r="NAL110" s="957"/>
      <c r="NAM110" s="957"/>
      <c r="NAN110" s="957"/>
      <c r="NAO110" s="957"/>
      <c r="NAP110" s="957"/>
      <c r="NAQ110" s="957"/>
      <c r="NAR110" s="957"/>
      <c r="NAS110" s="957"/>
      <c r="NAT110" s="957"/>
      <c r="NAU110" s="957"/>
      <c r="NAV110" s="957"/>
      <c r="NAW110" s="957"/>
      <c r="NAX110" s="957"/>
      <c r="NAY110" s="957"/>
      <c r="NAZ110" s="957"/>
      <c r="NBA110" s="957"/>
      <c r="NBB110" s="957"/>
      <c r="NBC110" s="957"/>
      <c r="NBD110" s="957"/>
      <c r="NBE110" s="957"/>
      <c r="NBF110" s="957"/>
      <c r="NBG110" s="957"/>
      <c r="NBH110" s="957"/>
      <c r="NBI110" s="957"/>
      <c r="NBJ110" s="957"/>
      <c r="NBK110" s="957"/>
      <c r="NBL110" s="957"/>
      <c r="NBM110" s="957"/>
      <c r="NBN110" s="957"/>
      <c r="NBO110" s="957"/>
      <c r="NBP110" s="957"/>
      <c r="NBQ110" s="957"/>
      <c r="NBR110" s="957"/>
      <c r="NBS110" s="957"/>
      <c r="NBT110" s="957"/>
      <c r="NBU110" s="957"/>
      <c r="NBV110" s="957"/>
      <c r="NBW110" s="957"/>
      <c r="NBX110" s="957"/>
      <c r="NBY110" s="957"/>
      <c r="NBZ110" s="957"/>
      <c r="NCA110" s="957"/>
      <c r="NCB110" s="957"/>
      <c r="NCC110" s="957"/>
      <c r="NCD110" s="957"/>
      <c r="NCE110" s="957"/>
      <c r="NCF110" s="957"/>
      <c r="NCG110" s="957"/>
      <c r="NCH110" s="957"/>
      <c r="NCI110" s="957"/>
      <c r="NCJ110" s="957"/>
      <c r="NCK110" s="957"/>
      <c r="NCL110" s="957"/>
      <c r="NCM110" s="957"/>
      <c r="NCN110" s="957"/>
      <c r="NCO110" s="957"/>
      <c r="NCP110" s="957"/>
      <c r="NCQ110" s="957"/>
      <c r="NCR110" s="957"/>
      <c r="NCS110" s="957"/>
      <c r="NCT110" s="957"/>
      <c r="NCU110" s="957"/>
      <c r="NCV110" s="957"/>
      <c r="NCW110" s="957"/>
      <c r="NCX110" s="957"/>
      <c r="NCY110" s="957"/>
      <c r="NCZ110" s="957"/>
      <c r="NDA110" s="957"/>
      <c r="NDB110" s="957"/>
      <c r="NDC110" s="957"/>
      <c r="NDD110" s="957"/>
      <c r="NDE110" s="957"/>
      <c r="NDF110" s="957"/>
      <c r="NDG110" s="957"/>
      <c r="NDH110" s="957"/>
      <c r="NDI110" s="957"/>
      <c r="NDJ110" s="957"/>
      <c r="NDK110" s="957"/>
      <c r="NDL110" s="957"/>
      <c r="NDM110" s="957"/>
      <c r="NDN110" s="957"/>
      <c r="NDO110" s="957"/>
      <c r="NDP110" s="957"/>
      <c r="NDQ110" s="957"/>
      <c r="NDR110" s="957"/>
      <c r="NDS110" s="957"/>
      <c r="NDT110" s="957"/>
      <c r="NDU110" s="957"/>
      <c r="NDV110" s="957"/>
      <c r="NDW110" s="957"/>
      <c r="NDX110" s="957"/>
      <c r="NDY110" s="957"/>
      <c r="NDZ110" s="957"/>
      <c r="NEA110" s="957"/>
      <c r="NEB110" s="957"/>
      <c r="NEC110" s="957"/>
      <c r="NED110" s="957"/>
      <c r="NEE110" s="957"/>
      <c r="NEF110" s="957"/>
      <c r="NEG110" s="957"/>
      <c r="NEH110" s="957"/>
      <c r="NEI110" s="957"/>
      <c r="NEJ110" s="957"/>
      <c r="NEK110" s="957"/>
      <c r="NEL110" s="957"/>
      <c r="NEM110" s="957"/>
      <c r="NEN110" s="957"/>
      <c r="NEO110" s="957"/>
      <c r="NEP110" s="957"/>
      <c r="NEQ110" s="957"/>
      <c r="NER110" s="957"/>
      <c r="NES110" s="957"/>
      <c r="NET110" s="957"/>
      <c r="NEU110" s="957"/>
      <c r="NEV110" s="957"/>
      <c r="NEW110" s="957"/>
      <c r="NEX110" s="957"/>
      <c r="NEY110" s="957"/>
      <c r="NEZ110" s="957"/>
      <c r="NFA110" s="957"/>
      <c r="NFB110" s="957"/>
      <c r="NFC110" s="957"/>
      <c r="NFD110" s="957"/>
      <c r="NFE110" s="957"/>
      <c r="NFF110" s="957"/>
      <c r="NFG110" s="957"/>
      <c r="NFH110" s="957"/>
      <c r="NFI110" s="957"/>
      <c r="NFJ110" s="957"/>
      <c r="NFK110" s="957"/>
      <c r="NFL110" s="957"/>
      <c r="NFM110" s="957"/>
      <c r="NFN110" s="957"/>
      <c r="NFO110" s="957"/>
      <c r="NFP110" s="957"/>
      <c r="NFQ110" s="957"/>
      <c r="NFR110" s="957"/>
      <c r="NFS110" s="957"/>
      <c r="NFT110" s="957"/>
      <c r="NFU110" s="957"/>
      <c r="NFV110" s="957"/>
      <c r="NFW110" s="957"/>
      <c r="NFX110" s="957"/>
      <c r="NFY110" s="957"/>
      <c r="NFZ110" s="957"/>
      <c r="NGA110" s="957"/>
      <c r="NGB110" s="957"/>
      <c r="NGC110" s="957"/>
      <c r="NGD110" s="957"/>
      <c r="NGE110" s="957"/>
      <c r="NGF110" s="957"/>
      <c r="NGG110" s="957"/>
      <c r="NGH110" s="957"/>
      <c r="NGI110" s="957"/>
      <c r="NGJ110" s="957"/>
      <c r="NGK110" s="957"/>
      <c r="NGL110" s="957"/>
      <c r="NGM110" s="957"/>
      <c r="NGN110" s="957"/>
      <c r="NGO110" s="957"/>
      <c r="NGP110" s="957"/>
      <c r="NGQ110" s="957"/>
      <c r="NGR110" s="957"/>
      <c r="NGS110" s="957"/>
      <c r="NGT110" s="957"/>
      <c r="NGU110" s="957"/>
      <c r="NGV110" s="957"/>
      <c r="NGW110" s="957"/>
      <c r="NGX110" s="957"/>
      <c r="NGY110" s="957"/>
      <c r="NGZ110" s="957"/>
      <c r="NHA110" s="957"/>
      <c r="NHB110" s="957"/>
      <c r="NHC110" s="957"/>
      <c r="NHD110" s="957"/>
      <c r="NHE110" s="957"/>
      <c r="NHF110" s="957"/>
      <c r="NHG110" s="957"/>
      <c r="NHH110" s="957"/>
      <c r="NHI110" s="957"/>
      <c r="NHJ110" s="957"/>
      <c r="NHK110" s="957"/>
      <c r="NHL110" s="957"/>
      <c r="NHM110" s="957"/>
      <c r="NHN110" s="957"/>
      <c r="NHO110" s="957"/>
      <c r="NHP110" s="957"/>
      <c r="NHQ110" s="957"/>
      <c r="NHR110" s="957"/>
      <c r="NHS110" s="957"/>
      <c r="NHT110" s="957"/>
      <c r="NHU110" s="957"/>
      <c r="NHV110" s="957"/>
      <c r="NHW110" s="957"/>
      <c r="NHX110" s="957"/>
      <c r="NHY110" s="957"/>
      <c r="NHZ110" s="957"/>
      <c r="NIA110" s="957"/>
      <c r="NIB110" s="957"/>
      <c r="NIC110" s="957"/>
      <c r="NID110" s="957"/>
      <c r="NIE110" s="957"/>
      <c r="NIF110" s="957"/>
      <c r="NIG110" s="957"/>
      <c r="NIH110" s="957"/>
      <c r="NII110" s="957"/>
      <c r="NIJ110" s="957"/>
      <c r="NIK110" s="957"/>
      <c r="NIL110" s="957"/>
      <c r="NIM110" s="957"/>
      <c r="NIN110" s="957"/>
      <c r="NIO110" s="957"/>
      <c r="NIP110" s="957"/>
      <c r="NIQ110" s="957"/>
      <c r="NIR110" s="957"/>
      <c r="NIS110" s="957"/>
      <c r="NIT110" s="957"/>
      <c r="NIU110" s="957"/>
      <c r="NIV110" s="957"/>
      <c r="NIW110" s="957"/>
      <c r="NIX110" s="957"/>
      <c r="NIY110" s="957"/>
      <c r="NIZ110" s="957"/>
      <c r="NJA110" s="957"/>
      <c r="NJB110" s="957"/>
      <c r="NJC110" s="957"/>
      <c r="NJD110" s="957"/>
      <c r="NJE110" s="957"/>
      <c r="NJF110" s="957"/>
      <c r="NJG110" s="957"/>
      <c r="NJH110" s="957"/>
      <c r="NJI110" s="957"/>
      <c r="NJJ110" s="957"/>
      <c r="NJK110" s="957"/>
      <c r="NJL110" s="957"/>
      <c r="NJM110" s="957"/>
      <c r="NJN110" s="957"/>
      <c r="NJO110" s="957"/>
      <c r="NJP110" s="957"/>
      <c r="NJQ110" s="957"/>
      <c r="NJR110" s="957"/>
      <c r="NJS110" s="957"/>
      <c r="NJT110" s="957"/>
      <c r="NJU110" s="957"/>
      <c r="NJV110" s="957"/>
      <c r="NJW110" s="957"/>
      <c r="NJX110" s="957"/>
      <c r="NJY110" s="957"/>
      <c r="NJZ110" s="957"/>
      <c r="NKA110" s="957"/>
      <c r="NKB110" s="957"/>
      <c r="NKC110" s="957"/>
      <c r="NKD110" s="957"/>
      <c r="NKE110" s="957"/>
      <c r="NKF110" s="957"/>
      <c r="NKG110" s="957"/>
      <c r="NKH110" s="957"/>
      <c r="NKI110" s="957"/>
      <c r="NKJ110" s="957"/>
      <c r="NKK110" s="957"/>
      <c r="NKL110" s="957"/>
      <c r="NKM110" s="957"/>
      <c r="NKN110" s="957"/>
      <c r="NKO110" s="957"/>
      <c r="NKP110" s="957"/>
      <c r="NKQ110" s="957"/>
      <c r="NKR110" s="957"/>
      <c r="NKS110" s="957"/>
      <c r="NKT110" s="957"/>
      <c r="NKU110" s="957"/>
      <c r="NKV110" s="957"/>
      <c r="NKW110" s="957"/>
      <c r="NKX110" s="957"/>
      <c r="NKY110" s="957"/>
      <c r="NKZ110" s="957"/>
      <c r="NLA110" s="957"/>
      <c r="NLB110" s="957"/>
      <c r="NLC110" s="957"/>
      <c r="NLD110" s="957"/>
      <c r="NLE110" s="957"/>
      <c r="NLF110" s="957"/>
      <c r="NLG110" s="957"/>
      <c r="NLH110" s="957"/>
      <c r="NLI110" s="957"/>
      <c r="NLJ110" s="957"/>
      <c r="NLK110" s="957"/>
      <c r="NLL110" s="957"/>
      <c r="NLM110" s="957"/>
      <c r="NLN110" s="957"/>
      <c r="NLO110" s="957"/>
      <c r="NLP110" s="957"/>
      <c r="NLQ110" s="957"/>
      <c r="NLR110" s="957"/>
      <c r="NLS110" s="957"/>
      <c r="NLT110" s="957"/>
      <c r="NLU110" s="957"/>
      <c r="NLV110" s="957"/>
      <c r="NLW110" s="957"/>
      <c r="NLX110" s="957"/>
      <c r="NLY110" s="957"/>
      <c r="NLZ110" s="957"/>
      <c r="NMA110" s="957"/>
      <c r="NMB110" s="957"/>
      <c r="NMC110" s="957"/>
      <c r="NMD110" s="957"/>
      <c r="NME110" s="957"/>
      <c r="NMF110" s="957"/>
      <c r="NMG110" s="957"/>
      <c r="NMH110" s="957"/>
      <c r="NMI110" s="957"/>
      <c r="NMJ110" s="957"/>
      <c r="NMK110" s="957"/>
      <c r="NML110" s="957"/>
      <c r="NMM110" s="957"/>
      <c r="NMN110" s="957"/>
      <c r="NMO110" s="957"/>
      <c r="NMP110" s="957"/>
      <c r="NMQ110" s="957"/>
      <c r="NMR110" s="957"/>
      <c r="NMS110" s="957"/>
      <c r="NMT110" s="957"/>
      <c r="NMU110" s="957"/>
      <c r="NMV110" s="957"/>
      <c r="NMW110" s="957"/>
      <c r="NMX110" s="957"/>
      <c r="NMY110" s="957"/>
      <c r="NMZ110" s="957"/>
      <c r="NNA110" s="957"/>
      <c r="NNB110" s="957"/>
      <c r="NNC110" s="957"/>
      <c r="NND110" s="957"/>
      <c r="NNE110" s="957"/>
      <c r="NNF110" s="957"/>
      <c r="NNG110" s="957"/>
      <c r="NNH110" s="957"/>
      <c r="NNI110" s="957"/>
      <c r="NNJ110" s="957"/>
      <c r="NNK110" s="957"/>
      <c r="NNL110" s="957"/>
      <c r="NNM110" s="957"/>
      <c r="NNN110" s="957"/>
      <c r="NNO110" s="957"/>
      <c r="NNP110" s="957"/>
      <c r="NNQ110" s="957"/>
      <c r="NNR110" s="957"/>
      <c r="NNS110" s="957"/>
      <c r="NNT110" s="957"/>
      <c r="NNU110" s="957"/>
      <c r="NNV110" s="957"/>
      <c r="NNW110" s="957"/>
      <c r="NNX110" s="957"/>
      <c r="NNY110" s="957"/>
      <c r="NNZ110" s="957"/>
      <c r="NOA110" s="957"/>
      <c r="NOB110" s="957"/>
      <c r="NOC110" s="957"/>
      <c r="NOD110" s="957"/>
      <c r="NOE110" s="957"/>
      <c r="NOF110" s="957"/>
      <c r="NOG110" s="957"/>
      <c r="NOH110" s="957"/>
      <c r="NOI110" s="957"/>
      <c r="NOJ110" s="957"/>
      <c r="NOK110" s="957"/>
      <c r="NOL110" s="957"/>
      <c r="NOM110" s="957"/>
      <c r="NON110" s="957"/>
      <c r="NOO110" s="957"/>
      <c r="NOP110" s="957"/>
      <c r="NOQ110" s="957"/>
      <c r="NOR110" s="957"/>
      <c r="NOS110" s="957"/>
      <c r="NOT110" s="957"/>
      <c r="NOU110" s="957"/>
      <c r="NOV110" s="957"/>
      <c r="NOW110" s="957"/>
      <c r="NOX110" s="957"/>
      <c r="NOY110" s="957"/>
      <c r="NOZ110" s="957"/>
      <c r="NPA110" s="957"/>
      <c r="NPB110" s="957"/>
      <c r="NPC110" s="957"/>
      <c r="NPD110" s="957"/>
      <c r="NPE110" s="957"/>
      <c r="NPF110" s="957"/>
      <c r="NPG110" s="957"/>
      <c r="NPH110" s="957"/>
      <c r="NPI110" s="957"/>
      <c r="NPJ110" s="957"/>
      <c r="NPK110" s="957"/>
      <c r="NPL110" s="957"/>
      <c r="NPM110" s="957"/>
      <c r="NPN110" s="957"/>
      <c r="NPO110" s="957"/>
      <c r="NPP110" s="957"/>
      <c r="NPQ110" s="957"/>
      <c r="NPR110" s="957"/>
      <c r="NPS110" s="957"/>
      <c r="NPT110" s="957"/>
      <c r="NPU110" s="957"/>
      <c r="NPV110" s="957"/>
      <c r="NPW110" s="957"/>
      <c r="NPX110" s="957"/>
      <c r="NPY110" s="957"/>
      <c r="NPZ110" s="957"/>
      <c r="NQA110" s="957"/>
      <c r="NQB110" s="957"/>
      <c r="NQC110" s="957"/>
      <c r="NQD110" s="957"/>
      <c r="NQE110" s="957"/>
      <c r="NQF110" s="957"/>
      <c r="NQG110" s="957"/>
      <c r="NQH110" s="957"/>
      <c r="NQI110" s="957"/>
      <c r="NQJ110" s="957"/>
      <c r="NQK110" s="957"/>
      <c r="NQL110" s="957"/>
      <c r="NQM110" s="957"/>
      <c r="NQN110" s="957"/>
      <c r="NQO110" s="957"/>
      <c r="NQP110" s="957"/>
      <c r="NQQ110" s="957"/>
      <c r="NQR110" s="957"/>
      <c r="NQS110" s="957"/>
      <c r="NQT110" s="957"/>
      <c r="NQU110" s="957"/>
      <c r="NQV110" s="957"/>
      <c r="NQW110" s="957"/>
      <c r="NQX110" s="957"/>
      <c r="NQY110" s="957"/>
      <c r="NQZ110" s="957"/>
      <c r="NRA110" s="957"/>
      <c r="NRB110" s="957"/>
      <c r="NRC110" s="957"/>
      <c r="NRD110" s="957"/>
      <c r="NRE110" s="957"/>
      <c r="NRF110" s="957"/>
      <c r="NRG110" s="957"/>
      <c r="NRH110" s="957"/>
      <c r="NRI110" s="957"/>
      <c r="NRJ110" s="957"/>
      <c r="NRK110" s="957"/>
      <c r="NRL110" s="957"/>
      <c r="NRM110" s="957"/>
      <c r="NRN110" s="957"/>
      <c r="NRO110" s="957"/>
      <c r="NRP110" s="957"/>
      <c r="NRQ110" s="957"/>
      <c r="NRR110" s="957"/>
      <c r="NRS110" s="957"/>
      <c r="NRT110" s="957"/>
      <c r="NRU110" s="957"/>
      <c r="NRV110" s="957"/>
      <c r="NRW110" s="957"/>
      <c r="NRX110" s="957"/>
      <c r="NRY110" s="957"/>
      <c r="NRZ110" s="957"/>
      <c r="NSA110" s="957"/>
      <c r="NSB110" s="957"/>
      <c r="NSC110" s="957"/>
      <c r="NSD110" s="957"/>
      <c r="NSE110" s="957"/>
      <c r="NSF110" s="957"/>
      <c r="NSG110" s="957"/>
      <c r="NSH110" s="957"/>
      <c r="NSI110" s="957"/>
      <c r="NSJ110" s="957"/>
      <c r="NSK110" s="957"/>
      <c r="NSL110" s="957"/>
      <c r="NSM110" s="957"/>
      <c r="NSN110" s="957"/>
      <c r="NSO110" s="957"/>
      <c r="NSP110" s="957"/>
      <c r="NSQ110" s="957"/>
      <c r="NSR110" s="957"/>
      <c r="NSS110" s="957"/>
      <c r="NST110" s="957"/>
      <c r="NSU110" s="957"/>
      <c r="NSV110" s="957"/>
      <c r="NSW110" s="957"/>
      <c r="NSX110" s="957"/>
      <c r="NSY110" s="957"/>
      <c r="NSZ110" s="957"/>
      <c r="NTA110" s="957"/>
      <c r="NTB110" s="957"/>
      <c r="NTC110" s="957"/>
      <c r="NTD110" s="957"/>
      <c r="NTE110" s="957"/>
      <c r="NTF110" s="957"/>
      <c r="NTG110" s="957"/>
      <c r="NTH110" s="957"/>
      <c r="NTI110" s="957"/>
      <c r="NTJ110" s="957"/>
      <c r="NTK110" s="957"/>
      <c r="NTL110" s="957"/>
      <c r="NTM110" s="957"/>
      <c r="NTN110" s="957"/>
      <c r="NTO110" s="957"/>
      <c r="NTP110" s="957"/>
      <c r="NTQ110" s="957"/>
      <c r="NTR110" s="957"/>
      <c r="NTS110" s="957"/>
      <c r="NTT110" s="957"/>
      <c r="NTU110" s="957"/>
      <c r="NTV110" s="957"/>
      <c r="NTW110" s="957"/>
      <c r="NTX110" s="957"/>
      <c r="NTY110" s="957"/>
      <c r="NTZ110" s="957"/>
      <c r="NUA110" s="957"/>
      <c r="NUB110" s="957"/>
      <c r="NUC110" s="957"/>
      <c r="NUD110" s="957"/>
      <c r="NUE110" s="957"/>
      <c r="NUF110" s="957"/>
      <c r="NUG110" s="957"/>
      <c r="NUH110" s="957"/>
      <c r="NUI110" s="957"/>
      <c r="NUJ110" s="957"/>
      <c r="NUK110" s="957"/>
      <c r="NUL110" s="957"/>
      <c r="NUM110" s="957"/>
      <c r="NUN110" s="957"/>
      <c r="NUO110" s="957"/>
      <c r="NUP110" s="957"/>
      <c r="NUQ110" s="957"/>
      <c r="NUR110" s="957"/>
      <c r="NUS110" s="957"/>
      <c r="NUT110" s="957"/>
      <c r="NUU110" s="957"/>
      <c r="NUV110" s="957"/>
      <c r="NUW110" s="957"/>
      <c r="NUX110" s="957"/>
      <c r="NUY110" s="957"/>
      <c r="NUZ110" s="957"/>
      <c r="NVA110" s="957"/>
      <c r="NVB110" s="957"/>
      <c r="NVC110" s="957"/>
      <c r="NVD110" s="957"/>
      <c r="NVE110" s="957"/>
      <c r="NVF110" s="957"/>
      <c r="NVG110" s="957"/>
      <c r="NVH110" s="957"/>
      <c r="NVI110" s="957"/>
      <c r="NVJ110" s="957"/>
      <c r="NVK110" s="957"/>
      <c r="NVL110" s="957"/>
      <c r="NVM110" s="957"/>
      <c r="NVN110" s="957"/>
      <c r="NVO110" s="957"/>
      <c r="NVP110" s="957"/>
      <c r="NVQ110" s="957"/>
      <c r="NVR110" s="957"/>
      <c r="NVS110" s="957"/>
      <c r="NVT110" s="957"/>
      <c r="NVU110" s="957"/>
      <c r="NVV110" s="957"/>
      <c r="NVW110" s="957"/>
      <c r="NVX110" s="957"/>
      <c r="NVY110" s="957"/>
      <c r="NVZ110" s="957"/>
      <c r="NWA110" s="957"/>
      <c r="NWB110" s="957"/>
      <c r="NWC110" s="957"/>
      <c r="NWD110" s="957"/>
      <c r="NWE110" s="957"/>
      <c r="NWF110" s="957"/>
      <c r="NWG110" s="957"/>
      <c r="NWH110" s="957"/>
      <c r="NWI110" s="957"/>
      <c r="NWJ110" s="957"/>
      <c r="NWK110" s="957"/>
      <c r="NWL110" s="957"/>
      <c r="NWM110" s="957"/>
      <c r="NWN110" s="957"/>
      <c r="NWO110" s="957"/>
      <c r="NWP110" s="957"/>
      <c r="NWQ110" s="957"/>
      <c r="NWR110" s="957"/>
      <c r="NWS110" s="957"/>
      <c r="NWT110" s="957"/>
      <c r="NWU110" s="957"/>
      <c r="NWV110" s="957"/>
      <c r="NWW110" s="957"/>
      <c r="NWX110" s="957"/>
      <c r="NWY110" s="957"/>
      <c r="NWZ110" s="957"/>
      <c r="NXA110" s="957"/>
      <c r="NXB110" s="957"/>
      <c r="NXC110" s="957"/>
      <c r="NXD110" s="957"/>
      <c r="NXE110" s="957"/>
      <c r="NXF110" s="957"/>
      <c r="NXG110" s="957"/>
      <c r="NXH110" s="957"/>
      <c r="NXI110" s="957"/>
      <c r="NXJ110" s="957"/>
      <c r="NXK110" s="957"/>
      <c r="NXL110" s="957"/>
      <c r="NXM110" s="957"/>
      <c r="NXN110" s="957"/>
      <c r="NXO110" s="957"/>
      <c r="NXP110" s="957"/>
      <c r="NXQ110" s="957"/>
      <c r="NXR110" s="957"/>
      <c r="NXS110" s="957"/>
      <c r="NXT110" s="957"/>
      <c r="NXU110" s="957"/>
      <c r="NXV110" s="957"/>
      <c r="NXW110" s="957"/>
      <c r="NXX110" s="957"/>
      <c r="NXY110" s="957"/>
      <c r="NXZ110" s="957"/>
      <c r="NYA110" s="957"/>
      <c r="NYB110" s="957"/>
      <c r="NYC110" s="957"/>
      <c r="NYD110" s="957"/>
      <c r="NYE110" s="957"/>
      <c r="NYF110" s="957"/>
      <c r="NYG110" s="957"/>
      <c r="NYH110" s="957"/>
      <c r="NYI110" s="957"/>
      <c r="NYJ110" s="957"/>
      <c r="NYK110" s="957"/>
      <c r="NYL110" s="957"/>
      <c r="NYM110" s="957"/>
      <c r="NYN110" s="957"/>
      <c r="NYO110" s="957"/>
      <c r="NYP110" s="957"/>
      <c r="NYQ110" s="957"/>
      <c r="NYR110" s="957"/>
      <c r="NYS110" s="957"/>
      <c r="NYT110" s="957"/>
      <c r="NYU110" s="957"/>
      <c r="NYV110" s="957"/>
      <c r="NYW110" s="957"/>
      <c r="NYX110" s="957"/>
      <c r="NYY110" s="957"/>
      <c r="NYZ110" s="957"/>
      <c r="NZA110" s="957"/>
      <c r="NZB110" s="957"/>
      <c r="NZC110" s="957"/>
      <c r="NZD110" s="957"/>
      <c r="NZE110" s="957"/>
      <c r="NZF110" s="957"/>
      <c r="NZG110" s="957"/>
      <c r="NZH110" s="957"/>
      <c r="NZI110" s="957"/>
      <c r="NZJ110" s="957"/>
      <c r="NZK110" s="957"/>
      <c r="NZL110" s="957"/>
      <c r="NZM110" s="957"/>
      <c r="NZN110" s="957"/>
      <c r="NZO110" s="957"/>
      <c r="NZP110" s="957"/>
      <c r="NZQ110" s="957"/>
      <c r="NZR110" s="957"/>
      <c r="NZS110" s="957"/>
      <c r="NZT110" s="957"/>
      <c r="NZU110" s="957"/>
      <c r="NZV110" s="957"/>
      <c r="NZW110" s="957"/>
      <c r="NZX110" s="957"/>
      <c r="NZY110" s="957"/>
      <c r="NZZ110" s="957"/>
      <c r="OAA110" s="957"/>
      <c r="OAB110" s="957"/>
      <c r="OAC110" s="957"/>
      <c r="OAD110" s="957"/>
      <c r="OAE110" s="957"/>
      <c r="OAF110" s="957"/>
      <c r="OAG110" s="957"/>
      <c r="OAH110" s="957"/>
      <c r="OAI110" s="957"/>
      <c r="OAJ110" s="957"/>
      <c r="OAK110" s="957"/>
      <c r="OAL110" s="957"/>
      <c r="OAM110" s="957"/>
      <c r="OAN110" s="957"/>
      <c r="OAO110" s="957"/>
      <c r="OAP110" s="957"/>
      <c r="OAQ110" s="957"/>
      <c r="OAR110" s="957"/>
      <c r="OAS110" s="957"/>
      <c r="OAT110" s="957"/>
      <c r="OAU110" s="957"/>
      <c r="OAV110" s="957"/>
      <c r="OAW110" s="957"/>
      <c r="OAX110" s="957"/>
      <c r="OAY110" s="957"/>
      <c r="OAZ110" s="957"/>
      <c r="OBA110" s="957"/>
      <c r="OBB110" s="957"/>
      <c r="OBC110" s="957"/>
      <c r="OBD110" s="957"/>
      <c r="OBE110" s="957"/>
      <c r="OBF110" s="957"/>
      <c r="OBG110" s="957"/>
      <c r="OBH110" s="957"/>
      <c r="OBI110" s="957"/>
      <c r="OBJ110" s="957"/>
      <c r="OBK110" s="957"/>
      <c r="OBL110" s="957"/>
      <c r="OBM110" s="957"/>
      <c r="OBN110" s="957"/>
      <c r="OBO110" s="957"/>
      <c r="OBP110" s="957"/>
      <c r="OBQ110" s="957"/>
      <c r="OBR110" s="957"/>
      <c r="OBS110" s="957"/>
      <c r="OBT110" s="957"/>
      <c r="OBU110" s="957"/>
      <c r="OBV110" s="957"/>
      <c r="OBW110" s="957"/>
      <c r="OBX110" s="957"/>
      <c r="OBY110" s="957"/>
      <c r="OBZ110" s="957"/>
      <c r="OCA110" s="957"/>
      <c r="OCB110" s="957"/>
      <c r="OCC110" s="957"/>
      <c r="OCD110" s="957"/>
      <c r="OCE110" s="957"/>
      <c r="OCF110" s="957"/>
      <c r="OCG110" s="957"/>
      <c r="OCH110" s="957"/>
      <c r="OCI110" s="957"/>
      <c r="OCJ110" s="957"/>
      <c r="OCK110" s="957"/>
      <c r="OCL110" s="957"/>
      <c r="OCM110" s="957"/>
      <c r="OCN110" s="957"/>
      <c r="OCO110" s="957"/>
      <c r="OCP110" s="957"/>
      <c r="OCQ110" s="957"/>
      <c r="OCR110" s="957"/>
      <c r="OCS110" s="957"/>
      <c r="OCT110" s="957"/>
      <c r="OCU110" s="957"/>
      <c r="OCV110" s="957"/>
      <c r="OCW110" s="957"/>
      <c r="OCX110" s="957"/>
      <c r="OCY110" s="957"/>
      <c r="OCZ110" s="957"/>
      <c r="ODA110" s="957"/>
      <c r="ODB110" s="957"/>
      <c r="ODC110" s="957"/>
      <c r="ODD110" s="957"/>
      <c r="ODE110" s="957"/>
      <c r="ODF110" s="957"/>
      <c r="ODG110" s="957"/>
      <c r="ODH110" s="957"/>
      <c r="ODI110" s="957"/>
      <c r="ODJ110" s="957"/>
      <c r="ODK110" s="957"/>
      <c r="ODL110" s="957"/>
      <c r="ODM110" s="957"/>
      <c r="ODN110" s="957"/>
      <c r="ODO110" s="957"/>
      <c r="ODP110" s="957"/>
      <c r="ODQ110" s="957"/>
      <c r="ODR110" s="957"/>
      <c r="ODS110" s="957"/>
      <c r="ODT110" s="957"/>
      <c r="ODU110" s="957"/>
      <c r="ODV110" s="957"/>
      <c r="ODW110" s="957"/>
      <c r="ODX110" s="957"/>
      <c r="ODY110" s="957"/>
      <c r="ODZ110" s="957"/>
      <c r="OEA110" s="957"/>
      <c r="OEB110" s="957"/>
      <c r="OEC110" s="957"/>
      <c r="OED110" s="957"/>
      <c r="OEE110" s="957"/>
      <c r="OEF110" s="957"/>
      <c r="OEG110" s="957"/>
      <c r="OEH110" s="957"/>
      <c r="OEI110" s="957"/>
      <c r="OEJ110" s="957"/>
      <c r="OEK110" s="957"/>
      <c r="OEL110" s="957"/>
      <c r="OEM110" s="957"/>
      <c r="OEN110" s="957"/>
      <c r="OEO110" s="957"/>
      <c r="OEP110" s="957"/>
      <c r="OEQ110" s="957"/>
      <c r="OER110" s="957"/>
      <c r="OES110" s="957"/>
      <c r="OET110" s="957"/>
      <c r="OEU110" s="957"/>
      <c r="OEV110" s="957"/>
      <c r="OEW110" s="957"/>
      <c r="OEX110" s="957"/>
      <c r="OEY110" s="957"/>
      <c r="OEZ110" s="957"/>
      <c r="OFA110" s="957"/>
      <c r="OFB110" s="957"/>
      <c r="OFC110" s="957"/>
      <c r="OFD110" s="957"/>
      <c r="OFE110" s="957"/>
      <c r="OFF110" s="957"/>
      <c r="OFG110" s="957"/>
      <c r="OFH110" s="957"/>
      <c r="OFI110" s="957"/>
      <c r="OFJ110" s="957"/>
      <c r="OFK110" s="957"/>
      <c r="OFL110" s="957"/>
      <c r="OFM110" s="957"/>
      <c r="OFN110" s="957"/>
      <c r="OFO110" s="957"/>
      <c r="OFP110" s="957"/>
      <c r="OFQ110" s="957"/>
      <c r="OFR110" s="957"/>
      <c r="OFS110" s="957"/>
      <c r="OFT110" s="957"/>
      <c r="OFU110" s="957"/>
      <c r="OFV110" s="957"/>
      <c r="OFW110" s="957"/>
      <c r="OFX110" s="957"/>
      <c r="OFY110" s="957"/>
      <c r="OFZ110" s="957"/>
      <c r="OGA110" s="957"/>
      <c r="OGB110" s="957"/>
      <c r="OGC110" s="957"/>
      <c r="OGD110" s="957"/>
      <c r="OGE110" s="957"/>
      <c r="OGF110" s="957"/>
      <c r="OGG110" s="957"/>
      <c r="OGH110" s="957"/>
      <c r="OGI110" s="957"/>
      <c r="OGJ110" s="957"/>
      <c r="OGK110" s="957"/>
      <c r="OGL110" s="957"/>
      <c r="OGM110" s="957"/>
      <c r="OGN110" s="957"/>
      <c r="OGO110" s="957"/>
      <c r="OGP110" s="957"/>
      <c r="OGQ110" s="957"/>
      <c r="OGR110" s="957"/>
      <c r="OGS110" s="957"/>
      <c r="OGT110" s="957"/>
      <c r="OGU110" s="957"/>
      <c r="OGV110" s="957"/>
      <c r="OGW110" s="957"/>
      <c r="OGX110" s="957"/>
      <c r="OGY110" s="957"/>
      <c r="OGZ110" s="957"/>
      <c r="OHA110" s="957"/>
      <c r="OHB110" s="957"/>
      <c r="OHC110" s="957"/>
      <c r="OHD110" s="957"/>
      <c r="OHE110" s="957"/>
      <c r="OHF110" s="957"/>
      <c r="OHG110" s="957"/>
      <c r="OHH110" s="957"/>
      <c r="OHI110" s="957"/>
      <c r="OHJ110" s="957"/>
      <c r="OHK110" s="957"/>
      <c r="OHL110" s="957"/>
      <c r="OHM110" s="957"/>
      <c r="OHN110" s="957"/>
      <c r="OHO110" s="957"/>
      <c r="OHP110" s="957"/>
      <c r="OHQ110" s="957"/>
      <c r="OHR110" s="957"/>
      <c r="OHS110" s="957"/>
      <c r="OHT110" s="957"/>
      <c r="OHU110" s="957"/>
      <c r="OHV110" s="957"/>
      <c r="OHW110" s="957"/>
      <c r="OHX110" s="957"/>
      <c r="OHY110" s="957"/>
      <c r="OHZ110" s="957"/>
      <c r="OIA110" s="957"/>
      <c r="OIB110" s="957"/>
      <c r="OIC110" s="957"/>
      <c r="OID110" s="957"/>
      <c r="OIE110" s="957"/>
      <c r="OIF110" s="957"/>
      <c r="OIG110" s="957"/>
      <c r="OIH110" s="957"/>
      <c r="OII110" s="957"/>
      <c r="OIJ110" s="957"/>
      <c r="OIK110" s="957"/>
      <c r="OIL110" s="957"/>
      <c r="OIM110" s="957"/>
      <c r="OIN110" s="957"/>
      <c r="OIO110" s="957"/>
      <c r="OIP110" s="957"/>
      <c r="OIQ110" s="957"/>
      <c r="OIR110" s="957"/>
      <c r="OIS110" s="957"/>
      <c r="OIT110" s="957"/>
      <c r="OIU110" s="957"/>
      <c r="OIV110" s="957"/>
      <c r="OIW110" s="957"/>
      <c r="OIX110" s="957"/>
      <c r="OIY110" s="957"/>
      <c r="OIZ110" s="957"/>
      <c r="OJA110" s="957"/>
      <c r="OJB110" s="957"/>
      <c r="OJC110" s="957"/>
      <c r="OJD110" s="957"/>
      <c r="OJE110" s="957"/>
      <c r="OJF110" s="957"/>
      <c r="OJG110" s="957"/>
      <c r="OJH110" s="957"/>
      <c r="OJI110" s="957"/>
      <c r="OJJ110" s="957"/>
      <c r="OJK110" s="957"/>
      <c r="OJL110" s="957"/>
      <c r="OJM110" s="957"/>
      <c r="OJN110" s="957"/>
      <c r="OJO110" s="957"/>
      <c r="OJP110" s="957"/>
      <c r="OJQ110" s="957"/>
      <c r="OJR110" s="957"/>
      <c r="OJS110" s="957"/>
      <c r="OJT110" s="957"/>
      <c r="OJU110" s="957"/>
      <c r="OJV110" s="957"/>
      <c r="OJW110" s="957"/>
      <c r="OJX110" s="957"/>
      <c r="OJY110" s="957"/>
      <c r="OJZ110" s="957"/>
      <c r="OKA110" s="957"/>
      <c r="OKB110" s="957"/>
      <c r="OKC110" s="957"/>
      <c r="OKD110" s="957"/>
      <c r="OKE110" s="957"/>
      <c r="OKF110" s="957"/>
      <c r="OKG110" s="957"/>
      <c r="OKH110" s="957"/>
      <c r="OKI110" s="957"/>
      <c r="OKJ110" s="957"/>
      <c r="OKK110" s="957"/>
      <c r="OKL110" s="957"/>
      <c r="OKM110" s="957"/>
      <c r="OKN110" s="957"/>
      <c r="OKO110" s="957"/>
      <c r="OKP110" s="957"/>
      <c r="OKQ110" s="957"/>
      <c r="OKR110" s="957"/>
      <c r="OKS110" s="957"/>
      <c r="OKT110" s="957"/>
      <c r="OKU110" s="957"/>
      <c r="OKV110" s="957"/>
      <c r="OKW110" s="957"/>
      <c r="OKX110" s="957"/>
      <c r="OKY110" s="957"/>
      <c r="OKZ110" s="957"/>
      <c r="OLA110" s="957"/>
      <c r="OLB110" s="957"/>
      <c r="OLC110" s="957"/>
      <c r="OLD110" s="957"/>
      <c r="OLE110" s="957"/>
      <c r="OLF110" s="957"/>
      <c r="OLG110" s="957"/>
      <c r="OLH110" s="957"/>
      <c r="OLI110" s="957"/>
      <c r="OLJ110" s="957"/>
      <c r="OLK110" s="957"/>
      <c r="OLL110" s="957"/>
      <c r="OLM110" s="957"/>
      <c r="OLN110" s="957"/>
      <c r="OLO110" s="957"/>
      <c r="OLP110" s="957"/>
      <c r="OLQ110" s="957"/>
      <c r="OLR110" s="957"/>
      <c r="OLS110" s="957"/>
      <c r="OLT110" s="957"/>
      <c r="OLU110" s="957"/>
      <c r="OLV110" s="957"/>
      <c r="OLW110" s="957"/>
      <c r="OLX110" s="957"/>
      <c r="OLY110" s="957"/>
      <c r="OLZ110" s="957"/>
      <c r="OMA110" s="957"/>
      <c r="OMB110" s="957"/>
      <c r="OMC110" s="957"/>
      <c r="OMD110" s="957"/>
      <c r="OME110" s="957"/>
      <c r="OMF110" s="957"/>
      <c r="OMG110" s="957"/>
      <c r="OMH110" s="957"/>
      <c r="OMI110" s="957"/>
      <c r="OMJ110" s="957"/>
      <c r="OMK110" s="957"/>
      <c r="OML110" s="957"/>
      <c r="OMM110" s="957"/>
      <c r="OMN110" s="957"/>
      <c r="OMO110" s="957"/>
      <c r="OMP110" s="957"/>
      <c r="OMQ110" s="957"/>
      <c r="OMR110" s="957"/>
      <c r="OMS110" s="957"/>
      <c r="OMT110" s="957"/>
      <c r="OMU110" s="957"/>
      <c r="OMV110" s="957"/>
      <c r="OMW110" s="957"/>
      <c r="OMX110" s="957"/>
      <c r="OMY110" s="957"/>
      <c r="OMZ110" s="957"/>
      <c r="ONA110" s="957"/>
      <c r="ONB110" s="957"/>
      <c r="ONC110" s="957"/>
      <c r="OND110" s="957"/>
      <c r="ONE110" s="957"/>
      <c r="ONF110" s="957"/>
      <c r="ONG110" s="957"/>
      <c r="ONH110" s="957"/>
      <c r="ONI110" s="957"/>
      <c r="ONJ110" s="957"/>
      <c r="ONK110" s="957"/>
      <c r="ONL110" s="957"/>
      <c r="ONM110" s="957"/>
      <c r="ONN110" s="957"/>
      <c r="ONO110" s="957"/>
      <c r="ONP110" s="957"/>
      <c r="ONQ110" s="957"/>
      <c r="ONR110" s="957"/>
      <c r="ONS110" s="957"/>
      <c r="ONT110" s="957"/>
      <c r="ONU110" s="957"/>
      <c r="ONV110" s="957"/>
      <c r="ONW110" s="957"/>
      <c r="ONX110" s="957"/>
      <c r="ONY110" s="957"/>
      <c r="ONZ110" s="957"/>
      <c r="OOA110" s="957"/>
      <c r="OOB110" s="957"/>
      <c r="OOC110" s="957"/>
      <c r="OOD110" s="957"/>
      <c r="OOE110" s="957"/>
      <c r="OOF110" s="957"/>
      <c r="OOG110" s="957"/>
      <c r="OOH110" s="957"/>
      <c r="OOI110" s="957"/>
      <c r="OOJ110" s="957"/>
      <c r="OOK110" s="957"/>
      <c r="OOL110" s="957"/>
      <c r="OOM110" s="957"/>
      <c r="OON110" s="957"/>
      <c r="OOO110" s="957"/>
      <c r="OOP110" s="957"/>
      <c r="OOQ110" s="957"/>
      <c r="OOR110" s="957"/>
      <c r="OOS110" s="957"/>
      <c r="OOT110" s="957"/>
      <c r="OOU110" s="957"/>
      <c r="OOV110" s="957"/>
      <c r="OOW110" s="957"/>
      <c r="OOX110" s="957"/>
      <c r="OOY110" s="957"/>
      <c r="OOZ110" s="957"/>
      <c r="OPA110" s="957"/>
      <c r="OPB110" s="957"/>
      <c r="OPC110" s="957"/>
      <c r="OPD110" s="957"/>
      <c r="OPE110" s="957"/>
      <c r="OPF110" s="957"/>
      <c r="OPG110" s="957"/>
      <c r="OPH110" s="957"/>
      <c r="OPI110" s="957"/>
      <c r="OPJ110" s="957"/>
      <c r="OPK110" s="957"/>
      <c r="OPL110" s="957"/>
      <c r="OPM110" s="957"/>
      <c r="OPN110" s="957"/>
      <c r="OPO110" s="957"/>
      <c r="OPP110" s="957"/>
      <c r="OPQ110" s="957"/>
      <c r="OPR110" s="957"/>
      <c r="OPS110" s="957"/>
      <c r="OPT110" s="957"/>
      <c r="OPU110" s="957"/>
      <c r="OPV110" s="957"/>
      <c r="OPW110" s="957"/>
      <c r="OPX110" s="957"/>
      <c r="OPY110" s="957"/>
      <c r="OPZ110" s="957"/>
      <c r="OQA110" s="957"/>
      <c r="OQB110" s="957"/>
      <c r="OQC110" s="957"/>
      <c r="OQD110" s="957"/>
      <c r="OQE110" s="957"/>
      <c r="OQF110" s="957"/>
      <c r="OQG110" s="957"/>
      <c r="OQH110" s="957"/>
      <c r="OQI110" s="957"/>
      <c r="OQJ110" s="957"/>
      <c r="OQK110" s="957"/>
      <c r="OQL110" s="957"/>
      <c r="OQM110" s="957"/>
      <c r="OQN110" s="957"/>
      <c r="OQO110" s="957"/>
      <c r="OQP110" s="957"/>
      <c r="OQQ110" s="957"/>
      <c r="OQR110" s="957"/>
      <c r="OQS110" s="957"/>
      <c r="OQT110" s="957"/>
      <c r="OQU110" s="957"/>
      <c r="OQV110" s="957"/>
      <c r="OQW110" s="957"/>
      <c r="OQX110" s="957"/>
      <c r="OQY110" s="957"/>
      <c r="OQZ110" s="957"/>
      <c r="ORA110" s="957"/>
      <c r="ORB110" s="957"/>
      <c r="ORC110" s="957"/>
      <c r="ORD110" s="957"/>
      <c r="ORE110" s="957"/>
      <c r="ORF110" s="957"/>
      <c r="ORG110" s="957"/>
      <c r="ORH110" s="957"/>
      <c r="ORI110" s="957"/>
      <c r="ORJ110" s="957"/>
      <c r="ORK110" s="957"/>
      <c r="ORL110" s="957"/>
      <c r="ORM110" s="957"/>
      <c r="ORN110" s="957"/>
      <c r="ORO110" s="957"/>
      <c r="ORP110" s="957"/>
      <c r="ORQ110" s="957"/>
      <c r="ORR110" s="957"/>
      <c r="ORS110" s="957"/>
      <c r="ORT110" s="957"/>
      <c r="ORU110" s="957"/>
      <c r="ORV110" s="957"/>
      <c r="ORW110" s="957"/>
      <c r="ORX110" s="957"/>
      <c r="ORY110" s="957"/>
      <c r="ORZ110" s="957"/>
      <c r="OSA110" s="957"/>
      <c r="OSB110" s="957"/>
      <c r="OSC110" s="957"/>
      <c r="OSD110" s="957"/>
      <c r="OSE110" s="957"/>
      <c r="OSF110" s="957"/>
      <c r="OSG110" s="957"/>
      <c r="OSH110" s="957"/>
      <c r="OSI110" s="957"/>
      <c r="OSJ110" s="957"/>
      <c r="OSK110" s="957"/>
      <c r="OSL110" s="957"/>
      <c r="OSM110" s="957"/>
      <c r="OSN110" s="957"/>
      <c r="OSO110" s="957"/>
      <c r="OSP110" s="957"/>
      <c r="OSQ110" s="957"/>
      <c r="OSR110" s="957"/>
      <c r="OSS110" s="957"/>
      <c r="OST110" s="957"/>
      <c r="OSU110" s="957"/>
      <c r="OSV110" s="957"/>
      <c r="OSW110" s="957"/>
      <c r="OSX110" s="957"/>
      <c r="OSY110" s="957"/>
      <c r="OSZ110" s="957"/>
      <c r="OTA110" s="957"/>
      <c r="OTB110" s="957"/>
      <c r="OTC110" s="957"/>
      <c r="OTD110" s="957"/>
      <c r="OTE110" s="957"/>
      <c r="OTF110" s="957"/>
      <c r="OTG110" s="957"/>
      <c r="OTH110" s="957"/>
      <c r="OTI110" s="957"/>
      <c r="OTJ110" s="957"/>
      <c r="OTK110" s="957"/>
      <c r="OTL110" s="957"/>
      <c r="OTM110" s="957"/>
      <c r="OTN110" s="957"/>
      <c r="OTO110" s="957"/>
      <c r="OTP110" s="957"/>
      <c r="OTQ110" s="957"/>
      <c r="OTR110" s="957"/>
      <c r="OTS110" s="957"/>
      <c r="OTT110" s="957"/>
      <c r="OTU110" s="957"/>
      <c r="OTV110" s="957"/>
      <c r="OTW110" s="957"/>
      <c r="OTX110" s="957"/>
      <c r="OTY110" s="957"/>
      <c r="OTZ110" s="957"/>
      <c r="OUA110" s="957"/>
      <c r="OUB110" s="957"/>
      <c r="OUC110" s="957"/>
      <c r="OUD110" s="957"/>
      <c r="OUE110" s="957"/>
      <c r="OUF110" s="957"/>
      <c r="OUG110" s="957"/>
      <c r="OUH110" s="957"/>
      <c r="OUI110" s="957"/>
      <c r="OUJ110" s="957"/>
      <c r="OUK110" s="957"/>
      <c r="OUL110" s="957"/>
      <c r="OUM110" s="957"/>
      <c r="OUN110" s="957"/>
      <c r="OUO110" s="957"/>
      <c r="OUP110" s="957"/>
      <c r="OUQ110" s="957"/>
      <c r="OUR110" s="957"/>
      <c r="OUS110" s="957"/>
      <c r="OUT110" s="957"/>
      <c r="OUU110" s="957"/>
      <c r="OUV110" s="957"/>
      <c r="OUW110" s="957"/>
      <c r="OUX110" s="957"/>
      <c r="OUY110" s="957"/>
      <c r="OUZ110" s="957"/>
      <c r="OVA110" s="957"/>
      <c r="OVB110" s="957"/>
      <c r="OVC110" s="957"/>
      <c r="OVD110" s="957"/>
      <c r="OVE110" s="957"/>
      <c r="OVF110" s="957"/>
      <c r="OVG110" s="957"/>
      <c r="OVH110" s="957"/>
      <c r="OVI110" s="957"/>
      <c r="OVJ110" s="957"/>
      <c r="OVK110" s="957"/>
      <c r="OVL110" s="957"/>
      <c r="OVM110" s="957"/>
      <c r="OVN110" s="957"/>
      <c r="OVO110" s="957"/>
      <c r="OVP110" s="957"/>
      <c r="OVQ110" s="957"/>
      <c r="OVR110" s="957"/>
      <c r="OVS110" s="957"/>
      <c r="OVT110" s="957"/>
      <c r="OVU110" s="957"/>
      <c r="OVV110" s="957"/>
      <c r="OVW110" s="957"/>
      <c r="OVX110" s="957"/>
      <c r="OVY110" s="957"/>
      <c r="OVZ110" s="957"/>
      <c r="OWA110" s="957"/>
      <c r="OWB110" s="957"/>
      <c r="OWC110" s="957"/>
      <c r="OWD110" s="957"/>
      <c r="OWE110" s="957"/>
      <c r="OWF110" s="957"/>
      <c r="OWG110" s="957"/>
      <c r="OWH110" s="957"/>
      <c r="OWI110" s="957"/>
      <c r="OWJ110" s="957"/>
      <c r="OWK110" s="957"/>
      <c r="OWL110" s="957"/>
      <c r="OWM110" s="957"/>
      <c r="OWN110" s="957"/>
      <c r="OWO110" s="957"/>
      <c r="OWP110" s="957"/>
      <c r="OWQ110" s="957"/>
      <c r="OWR110" s="957"/>
      <c r="OWS110" s="957"/>
      <c r="OWT110" s="957"/>
      <c r="OWU110" s="957"/>
      <c r="OWV110" s="957"/>
      <c r="OWW110" s="957"/>
      <c r="OWX110" s="957"/>
      <c r="OWY110" s="957"/>
      <c r="OWZ110" s="957"/>
      <c r="OXA110" s="957"/>
      <c r="OXB110" s="957"/>
      <c r="OXC110" s="957"/>
      <c r="OXD110" s="957"/>
      <c r="OXE110" s="957"/>
      <c r="OXF110" s="957"/>
      <c r="OXG110" s="957"/>
      <c r="OXH110" s="957"/>
      <c r="OXI110" s="957"/>
      <c r="OXJ110" s="957"/>
      <c r="OXK110" s="957"/>
      <c r="OXL110" s="957"/>
      <c r="OXM110" s="957"/>
      <c r="OXN110" s="957"/>
      <c r="OXO110" s="957"/>
      <c r="OXP110" s="957"/>
      <c r="OXQ110" s="957"/>
      <c r="OXR110" s="957"/>
      <c r="OXS110" s="957"/>
      <c r="OXT110" s="957"/>
      <c r="OXU110" s="957"/>
      <c r="OXV110" s="957"/>
      <c r="OXW110" s="957"/>
      <c r="OXX110" s="957"/>
      <c r="OXY110" s="957"/>
      <c r="OXZ110" s="957"/>
      <c r="OYA110" s="957"/>
      <c r="OYB110" s="957"/>
      <c r="OYC110" s="957"/>
      <c r="OYD110" s="957"/>
      <c r="OYE110" s="957"/>
      <c r="OYF110" s="957"/>
      <c r="OYG110" s="957"/>
      <c r="OYH110" s="957"/>
      <c r="OYI110" s="957"/>
      <c r="OYJ110" s="957"/>
      <c r="OYK110" s="957"/>
      <c r="OYL110" s="957"/>
      <c r="OYM110" s="957"/>
      <c r="OYN110" s="957"/>
      <c r="OYO110" s="957"/>
      <c r="OYP110" s="957"/>
      <c r="OYQ110" s="957"/>
      <c r="OYR110" s="957"/>
      <c r="OYS110" s="957"/>
      <c r="OYT110" s="957"/>
      <c r="OYU110" s="957"/>
      <c r="OYV110" s="957"/>
      <c r="OYW110" s="957"/>
      <c r="OYX110" s="957"/>
      <c r="OYY110" s="957"/>
      <c r="OYZ110" s="957"/>
      <c r="OZA110" s="957"/>
      <c r="OZB110" s="957"/>
      <c r="OZC110" s="957"/>
      <c r="OZD110" s="957"/>
      <c r="OZE110" s="957"/>
      <c r="OZF110" s="957"/>
      <c r="OZG110" s="957"/>
      <c r="OZH110" s="957"/>
      <c r="OZI110" s="957"/>
      <c r="OZJ110" s="957"/>
      <c r="OZK110" s="957"/>
      <c r="OZL110" s="957"/>
      <c r="OZM110" s="957"/>
      <c r="OZN110" s="957"/>
      <c r="OZO110" s="957"/>
      <c r="OZP110" s="957"/>
      <c r="OZQ110" s="957"/>
      <c r="OZR110" s="957"/>
      <c r="OZS110" s="957"/>
      <c r="OZT110" s="957"/>
      <c r="OZU110" s="957"/>
      <c r="OZV110" s="957"/>
      <c r="OZW110" s="957"/>
      <c r="OZX110" s="957"/>
      <c r="OZY110" s="957"/>
      <c r="OZZ110" s="957"/>
      <c r="PAA110" s="957"/>
      <c r="PAB110" s="957"/>
      <c r="PAC110" s="957"/>
      <c r="PAD110" s="957"/>
      <c r="PAE110" s="957"/>
      <c r="PAF110" s="957"/>
      <c r="PAG110" s="957"/>
      <c r="PAH110" s="957"/>
      <c r="PAI110" s="957"/>
      <c r="PAJ110" s="957"/>
      <c r="PAK110" s="957"/>
      <c r="PAL110" s="957"/>
      <c r="PAM110" s="957"/>
      <c r="PAN110" s="957"/>
      <c r="PAO110" s="957"/>
      <c r="PAP110" s="957"/>
      <c r="PAQ110" s="957"/>
      <c r="PAR110" s="957"/>
      <c r="PAS110" s="957"/>
      <c r="PAT110" s="957"/>
      <c r="PAU110" s="957"/>
      <c r="PAV110" s="957"/>
      <c r="PAW110" s="957"/>
      <c r="PAX110" s="957"/>
      <c r="PAY110" s="957"/>
      <c r="PAZ110" s="957"/>
      <c r="PBA110" s="957"/>
      <c r="PBB110" s="957"/>
      <c r="PBC110" s="957"/>
      <c r="PBD110" s="957"/>
      <c r="PBE110" s="957"/>
      <c r="PBF110" s="957"/>
      <c r="PBG110" s="957"/>
      <c r="PBH110" s="957"/>
      <c r="PBI110" s="957"/>
      <c r="PBJ110" s="957"/>
      <c r="PBK110" s="957"/>
      <c r="PBL110" s="957"/>
      <c r="PBM110" s="957"/>
      <c r="PBN110" s="957"/>
      <c r="PBO110" s="957"/>
      <c r="PBP110" s="957"/>
      <c r="PBQ110" s="957"/>
      <c r="PBR110" s="957"/>
      <c r="PBS110" s="957"/>
      <c r="PBT110" s="957"/>
      <c r="PBU110" s="957"/>
      <c r="PBV110" s="957"/>
      <c r="PBW110" s="957"/>
      <c r="PBX110" s="957"/>
      <c r="PBY110" s="957"/>
      <c r="PBZ110" s="957"/>
      <c r="PCA110" s="957"/>
      <c r="PCB110" s="957"/>
      <c r="PCC110" s="957"/>
      <c r="PCD110" s="957"/>
      <c r="PCE110" s="957"/>
      <c r="PCF110" s="957"/>
      <c r="PCG110" s="957"/>
      <c r="PCH110" s="957"/>
      <c r="PCI110" s="957"/>
      <c r="PCJ110" s="957"/>
      <c r="PCK110" s="957"/>
      <c r="PCL110" s="957"/>
      <c r="PCM110" s="957"/>
      <c r="PCN110" s="957"/>
      <c r="PCO110" s="957"/>
      <c r="PCP110" s="957"/>
      <c r="PCQ110" s="957"/>
      <c r="PCR110" s="957"/>
      <c r="PCS110" s="957"/>
      <c r="PCT110" s="957"/>
      <c r="PCU110" s="957"/>
      <c r="PCV110" s="957"/>
      <c r="PCW110" s="957"/>
      <c r="PCX110" s="957"/>
      <c r="PCY110" s="957"/>
      <c r="PCZ110" s="957"/>
      <c r="PDA110" s="957"/>
      <c r="PDB110" s="957"/>
      <c r="PDC110" s="957"/>
      <c r="PDD110" s="957"/>
      <c r="PDE110" s="957"/>
      <c r="PDF110" s="957"/>
      <c r="PDG110" s="957"/>
      <c r="PDH110" s="957"/>
      <c r="PDI110" s="957"/>
      <c r="PDJ110" s="957"/>
      <c r="PDK110" s="957"/>
      <c r="PDL110" s="957"/>
      <c r="PDM110" s="957"/>
      <c r="PDN110" s="957"/>
      <c r="PDO110" s="957"/>
      <c r="PDP110" s="957"/>
      <c r="PDQ110" s="957"/>
      <c r="PDR110" s="957"/>
      <c r="PDS110" s="957"/>
      <c r="PDT110" s="957"/>
      <c r="PDU110" s="957"/>
      <c r="PDV110" s="957"/>
      <c r="PDW110" s="957"/>
      <c r="PDX110" s="957"/>
      <c r="PDY110" s="957"/>
      <c r="PDZ110" s="957"/>
      <c r="PEA110" s="957"/>
      <c r="PEB110" s="957"/>
      <c r="PEC110" s="957"/>
      <c r="PED110" s="957"/>
      <c r="PEE110" s="957"/>
      <c r="PEF110" s="957"/>
      <c r="PEG110" s="957"/>
      <c r="PEH110" s="957"/>
      <c r="PEI110" s="957"/>
      <c r="PEJ110" s="957"/>
      <c r="PEK110" s="957"/>
      <c r="PEL110" s="957"/>
      <c r="PEM110" s="957"/>
      <c r="PEN110" s="957"/>
      <c r="PEO110" s="957"/>
      <c r="PEP110" s="957"/>
      <c r="PEQ110" s="957"/>
      <c r="PER110" s="957"/>
      <c r="PES110" s="957"/>
      <c r="PET110" s="957"/>
      <c r="PEU110" s="957"/>
      <c r="PEV110" s="957"/>
      <c r="PEW110" s="957"/>
      <c r="PEX110" s="957"/>
      <c r="PEY110" s="957"/>
      <c r="PEZ110" s="957"/>
      <c r="PFA110" s="957"/>
      <c r="PFB110" s="957"/>
      <c r="PFC110" s="957"/>
      <c r="PFD110" s="957"/>
      <c r="PFE110" s="957"/>
      <c r="PFF110" s="957"/>
      <c r="PFG110" s="957"/>
      <c r="PFH110" s="957"/>
      <c r="PFI110" s="957"/>
      <c r="PFJ110" s="957"/>
      <c r="PFK110" s="957"/>
      <c r="PFL110" s="957"/>
      <c r="PFM110" s="957"/>
      <c r="PFN110" s="957"/>
      <c r="PFO110" s="957"/>
      <c r="PFP110" s="957"/>
      <c r="PFQ110" s="957"/>
      <c r="PFR110" s="957"/>
      <c r="PFS110" s="957"/>
      <c r="PFT110" s="957"/>
      <c r="PFU110" s="957"/>
      <c r="PFV110" s="957"/>
      <c r="PFW110" s="957"/>
      <c r="PFX110" s="957"/>
      <c r="PFY110" s="957"/>
      <c r="PFZ110" s="957"/>
      <c r="PGA110" s="957"/>
      <c r="PGB110" s="957"/>
      <c r="PGC110" s="957"/>
      <c r="PGD110" s="957"/>
      <c r="PGE110" s="957"/>
      <c r="PGF110" s="957"/>
      <c r="PGG110" s="957"/>
      <c r="PGH110" s="957"/>
      <c r="PGI110" s="957"/>
      <c r="PGJ110" s="957"/>
      <c r="PGK110" s="957"/>
      <c r="PGL110" s="957"/>
      <c r="PGM110" s="957"/>
      <c r="PGN110" s="957"/>
      <c r="PGO110" s="957"/>
      <c r="PGP110" s="957"/>
      <c r="PGQ110" s="957"/>
      <c r="PGR110" s="957"/>
      <c r="PGS110" s="957"/>
      <c r="PGT110" s="957"/>
      <c r="PGU110" s="957"/>
      <c r="PGV110" s="957"/>
      <c r="PGW110" s="957"/>
      <c r="PGX110" s="957"/>
      <c r="PGY110" s="957"/>
      <c r="PGZ110" s="957"/>
      <c r="PHA110" s="957"/>
      <c r="PHB110" s="957"/>
      <c r="PHC110" s="957"/>
      <c r="PHD110" s="957"/>
      <c r="PHE110" s="957"/>
      <c r="PHF110" s="957"/>
      <c r="PHG110" s="957"/>
      <c r="PHH110" s="957"/>
      <c r="PHI110" s="957"/>
      <c r="PHJ110" s="957"/>
      <c r="PHK110" s="957"/>
      <c r="PHL110" s="957"/>
      <c r="PHM110" s="957"/>
      <c r="PHN110" s="957"/>
      <c r="PHO110" s="957"/>
      <c r="PHP110" s="957"/>
      <c r="PHQ110" s="957"/>
      <c r="PHR110" s="957"/>
      <c r="PHS110" s="957"/>
      <c r="PHT110" s="957"/>
      <c r="PHU110" s="957"/>
      <c r="PHV110" s="957"/>
      <c r="PHW110" s="957"/>
      <c r="PHX110" s="957"/>
      <c r="PHY110" s="957"/>
      <c r="PHZ110" s="957"/>
      <c r="PIA110" s="957"/>
      <c r="PIB110" s="957"/>
      <c r="PIC110" s="957"/>
      <c r="PID110" s="957"/>
      <c r="PIE110" s="957"/>
      <c r="PIF110" s="957"/>
      <c r="PIG110" s="957"/>
      <c r="PIH110" s="957"/>
      <c r="PII110" s="957"/>
      <c r="PIJ110" s="957"/>
      <c r="PIK110" s="957"/>
      <c r="PIL110" s="957"/>
      <c r="PIM110" s="957"/>
      <c r="PIN110" s="957"/>
      <c r="PIO110" s="957"/>
      <c r="PIP110" s="957"/>
      <c r="PIQ110" s="957"/>
      <c r="PIR110" s="957"/>
      <c r="PIS110" s="957"/>
      <c r="PIT110" s="957"/>
      <c r="PIU110" s="957"/>
      <c r="PIV110" s="957"/>
      <c r="PIW110" s="957"/>
      <c r="PIX110" s="957"/>
      <c r="PIY110" s="957"/>
      <c r="PIZ110" s="957"/>
      <c r="PJA110" s="957"/>
      <c r="PJB110" s="957"/>
      <c r="PJC110" s="957"/>
      <c r="PJD110" s="957"/>
      <c r="PJE110" s="957"/>
      <c r="PJF110" s="957"/>
      <c r="PJG110" s="957"/>
      <c r="PJH110" s="957"/>
      <c r="PJI110" s="957"/>
      <c r="PJJ110" s="957"/>
      <c r="PJK110" s="957"/>
      <c r="PJL110" s="957"/>
      <c r="PJM110" s="957"/>
      <c r="PJN110" s="957"/>
      <c r="PJO110" s="957"/>
      <c r="PJP110" s="957"/>
      <c r="PJQ110" s="957"/>
      <c r="PJR110" s="957"/>
      <c r="PJS110" s="957"/>
      <c r="PJT110" s="957"/>
      <c r="PJU110" s="957"/>
      <c r="PJV110" s="957"/>
      <c r="PJW110" s="957"/>
      <c r="PJX110" s="957"/>
      <c r="PJY110" s="957"/>
      <c r="PJZ110" s="957"/>
      <c r="PKA110" s="957"/>
      <c r="PKB110" s="957"/>
      <c r="PKC110" s="957"/>
      <c r="PKD110" s="957"/>
      <c r="PKE110" s="957"/>
      <c r="PKF110" s="957"/>
      <c r="PKG110" s="957"/>
      <c r="PKH110" s="957"/>
      <c r="PKI110" s="957"/>
      <c r="PKJ110" s="957"/>
      <c r="PKK110" s="957"/>
      <c r="PKL110" s="957"/>
      <c r="PKM110" s="957"/>
      <c r="PKN110" s="957"/>
      <c r="PKO110" s="957"/>
      <c r="PKP110" s="957"/>
      <c r="PKQ110" s="957"/>
      <c r="PKR110" s="957"/>
      <c r="PKS110" s="957"/>
      <c r="PKT110" s="957"/>
      <c r="PKU110" s="957"/>
      <c r="PKV110" s="957"/>
      <c r="PKW110" s="957"/>
      <c r="PKX110" s="957"/>
      <c r="PKY110" s="957"/>
      <c r="PKZ110" s="957"/>
      <c r="PLA110" s="957"/>
      <c r="PLB110" s="957"/>
      <c r="PLC110" s="957"/>
      <c r="PLD110" s="957"/>
      <c r="PLE110" s="957"/>
      <c r="PLF110" s="957"/>
      <c r="PLG110" s="957"/>
      <c r="PLH110" s="957"/>
      <c r="PLI110" s="957"/>
      <c r="PLJ110" s="957"/>
      <c r="PLK110" s="957"/>
      <c r="PLL110" s="957"/>
      <c r="PLM110" s="957"/>
      <c r="PLN110" s="957"/>
      <c r="PLO110" s="957"/>
      <c r="PLP110" s="957"/>
      <c r="PLQ110" s="957"/>
      <c r="PLR110" s="957"/>
      <c r="PLS110" s="957"/>
      <c r="PLT110" s="957"/>
      <c r="PLU110" s="957"/>
      <c r="PLV110" s="957"/>
      <c r="PLW110" s="957"/>
      <c r="PLX110" s="957"/>
      <c r="PLY110" s="957"/>
      <c r="PLZ110" s="957"/>
      <c r="PMA110" s="957"/>
      <c r="PMB110" s="957"/>
      <c r="PMC110" s="957"/>
      <c r="PMD110" s="957"/>
      <c r="PME110" s="957"/>
      <c r="PMF110" s="957"/>
      <c r="PMG110" s="957"/>
      <c r="PMH110" s="957"/>
      <c r="PMI110" s="957"/>
      <c r="PMJ110" s="957"/>
      <c r="PMK110" s="957"/>
      <c r="PML110" s="957"/>
      <c r="PMM110" s="957"/>
      <c r="PMN110" s="957"/>
      <c r="PMO110" s="957"/>
      <c r="PMP110" s="957"/>
      <c r="PMQ110" s="957"/>
      <c r="PMR110" s="957"/>
      <c r="PMS110" s="957"/>
      <c r="PMT110" s="957"/>
      <c r="PMU110" s="957"/>
      <c r="PMV110" s="957"/>
      <c r="PMW110" s="957"/>
      <c r="PMX110" s="957"/>
      <c r="PMY110" s="957"/>
      <c r="PMZ110" s="957"/>
      <c r="PNA110" s="957"/>
      <c r="PNB110" s="957"/>
      <c r="PNC110" s="957"/>
      <c r="PND110" s="957"/>
      <c r="PNE110" s="957"/>
      <c r="PNF110" s="957"/>
      <c r="PNG110" s="957"/>
      <c r="PNH110" s="957"/>
      <c r="PNI110" s="957"/>
      <c r="PNJ110" s="957"/>
      <c r="PNK110" s="957"/>
      <c r="PNL110" s="957"/>
      <c r="PNM110" s="957"/>
      <c r="PNN110" s="957"/>
      <c r="PNO110" s="957"/>
      <c r="PNP110" s="957"/>
      <c r="PNQ110" s="957"/>
      <c r="PNR110" s="957"/>
      <c r="PNS110" s="957"/>
      <c r="PNT110" s="957"/>
      <c r="PNU110" s="957"/>
      <c r="PNV110" s="957"/>
      <c r="PNW110" s="957"/>
      <c r="PNX110" s="957"/>
      <c r="PNY110" s="957"/>
      <c r="PNZ110" s="957"/>
      <c r="POA110" s="957"/>
      <c r="POB110" s="957"/>
      <c r="POC110" s="957"/>
      <c r="POD110" s="957"/>
      <c r="POE110" s="957"/>
      <c r="POF110" s="957"/>
      <c r="POG110" s="957"/>
      <c r="POH110" s="957"/>
      <c r="POI110" s="957"/>
      <c r="POJ110" s="957"/>
      <c r="POK110" s="957"/>
      <c r="POL110" s="957"/>
      <c r="POM110" s="957"/>
      <c r="PON110" s="957"/>
      <c r="POO110" s="957"/>
      <c r="POP110" s="957"/>
      <c r="POQ110" s="957"/>
      <c r="POR110" s="957"/>
      <c r="POS110" s="957"/>
      <c r="POT110" s="957"/>
      <c r="POU110" s="957"/>
      <c r="POV110" s="957"/>
      <c r="POW110" s="957"/>
      <c r="POX110" s="957"/>
      <c r="POY110" s="957"/>
      <c r="POZ110" s="957"/>
      <c r="PPA110" s="957"/>
      <c r="PPB110" s="957"/>
      <c r="PPC110" s="957"/>
      <c r="PPD110" s="957"/>
      <c r="PPE110" s="957"/>
      <c r="PPF110" s="957"/>
      <c r="PPG110" s="957"/>
      <c r="PPH110" s="957"/>
      <c r="PPI110" s="957"/>
      <c r="PPJ110" s="957"/>
      <c r="PPK110" s="957"/>
      <c r="PPL110" s="957"/>
      <c r="PPM110" s="957"/>
      <c r="PPN110" s="957"/>
      <c r="PPO110" s="957"/>
      <c r="PPP110" s="957"/>
      <c r="PPQ110" s="957"/>
      <c r="PPR110" s="957"/>
      <c r="PPS110" s="957"/>
      <c r="PPT110" s="957"/>
      <c r="PPU110" s="957"/>
      <c r="PPV110" s="957"/>
      <c r="PPW110" s="957"/>
      <c r="PPX110" s="957"/>
      <c r="PPY110" s="957"/>
      <c r="PPZ110" s="957"/>
      <c r="PQA110" s="957"/>
      <c r="PQB110" s="957"/>
      <c r="PQC110" s="957"/>
      <c r="PQD110" s="957"/>
      <c r="PQE110" s="957"/>
      <c r="PQF110" s="957"/>
      <c r="PQG110" s="957"/>
      <c r="PQH110" s="957"/>
      <c r="PQI110" s="957"/>
      <c r="PQJ110" s="957"/>
      <c r="PQK110" s="957"/>
      <c r="PQL110" s="957"/>
      <c r="PQM110" s="957"/>
      <c r="PQN110" s="957"/>
      <c r="PQO110" s="957"/>
      <c r="PQP110" s="957"/>
      <c r="PQQ110" s="957"/>
      <c r="PQR110" s="957"/>
      <c r="PQS110" s="957"/>
      <c r="PQT110" s="957"/>
      <c r="PQU110" s="957"/>
      <c r="PQV110" s="957"/>
      <c r="PQW110" s="957"/>
      <c r="PQX110" s="957"/>
      <c r="PQY110" s="957"/>
      <c r="PQZ110" s="957"/>
      <c r="PRA110" s="957"/>
      <c r="PRB110" s="957"/>
      <c r="PRC110" s="957"/>
      <c r="PRD110" s="957"/>
      <c r="PRE110" s="957"/>
      <c r="PRF110" s="957"/>
      <c r="PRG110" s="957"/>
      <c r="PRH110" s="957"/>
      <c r="PRI110" s="957"/>
      <c r="PRJ110" s="957"/>
      <c r="PRK110" s="957"/>
      <c r="PRL110" s="957"/>
      <c r="PRM110" s="957"/>
      <c r="PRN110" s="957"/>
      <c r="PRO110" s="957"/>
      <c r="PRP110" s="957"/>
      <c r="PRQ110" s="957"/>
      <c r="PRR110" s="957"/>
      <c r="PRS110" s="957"/>
      <c r="PRT110" s="957"/>
      <c r="PRU110" s="957"/>
      <c r="PRV110" s="957"/>
      <c r="PRW110" s="957"/>
      <c r="PRX110" s="957"/>
      <c r="PRY110" s="957"/>
      <c r="PRZ110" s="957"/>
      <c r="PSA110" s="957"/>
      <c r="PSB110" s="957"/>
      <c r="PSC110" s="957"/>
      <c r="PSD110" s="957"/>
      <c r="PSE110" s="957"/>
      <c r="PSF110" s="957"/>
      <c r="PSG110" s="957"/>
      <c r="PSH110" s="957"/>
      <c r="PSI110" s="957"/>
      <c r="PSJ110" s="957"/>
      <c r="PSK110" s="957"/>
      <c r="PSL110" s="957"/>
      <c r="PSM110" s="957"/>
      <c r="PSN110" s="957"/>
      <c r="PSO110" s="957"/>
      <c r="PSP110" s="957"/>
      <c r="PSQ110" s="957"/>
      <c r="PSR110" s="957"/>
      <c r="PSS110" s="957"/>
      <c r="PST110" s="957"/>
      <c r="PSU110" s="957"/>
      <c r="PSV110" s="957"/>
      <c r="PSW110" s="957"/>
      <c r="PSX110" s="957"/>
      <c r="PSY110" s="957"/>
      <c r="PSZ110" s="957"/>
      <c r="PTA110" s="957"/>
      <c r="PTB110" s="957"/>
      <c r="PTC110" s="957"/>
      <c r="PTD110" s="957"/>
      <c r="PTE110" s="957"/>
      <c r="PTF110" s="957"/>
      <c r="PTG110" s="957"/>
      <c r="PTH110" s="957"/>
      <c r="PTI110" s="957"/>
      <c r="PTJ110" s="957"/>
      <c r="PTK110" s="957"/>
      <c r="PTL110" s="957"/>
      <c r="PTM110" s="957"/>
      <c r="PTN110" s="957"/>
      <c r="PTO110" s="957"/>
      <c r="PTP110" s="957"/>
      <c r="PTQ110" s="957"/>
      <c r="PTR110" s="957"/>
      <c r="PTS110" s="957"/>
      <c r="PTT110" s="957"/>
      <c r="PTU110" s="957"/>
      <c r="PTV110" s="957"/>
      <c r="PTW110" s="957"/>
      <c r="PTX110" s="957"/>
      <c r="PTY110" s="957"/>
      <c r="PTZ110" s="957"/>
      <c r="PUA110" s="957"/>
      <c r="PUB110" s="957"/>
      <c r="PUC110" s="957"/>
      <c r="PUD110" s="957"/>
      <c r="PUE110" s="957"/>
      <c r="PUF110" s="957"/>
      <c r="PUG110" s="957"/>
      <c r="PUH110" s="957"/>
      <c r="PUI110" s="957"/>
      <c r="PUJ110" s="957"/>
      <c r="PUK110" s="957"/>
      <c r="PUL110" s="957"/>
      <c r="PUM110" s="957"/>
      <c r="PUN110" s="957"/>
      <c r="PUO110" s="957"/>
      <c r="PUP110" s="957"/>
      <c r="PUQ110" s="957"/>
      <c r="PUR110" s="957"/>
      <c r="PUS110" s="957"/>
      <c r="PUT110" s="957"/>
      <c r="PUU110" s="957"/>
      <c r="PUV110" s="957"/>
      <c r="PUW110" s="957"/>
      <c r="PUX110" s="957"/>
      <c r="PUY110" s="957"/>
      <c r="PUZ110" s="957"/>
      <c r="PVA110" s="957"/>
      <c r="PVB110" s="957"/>
      <c r="PVC110" s="957"/>
      <c r="PVD110" s="957"/>
      <c r="PVE110" s="957"/>
      <c r="PVF110" s="957"/>
      <c r="PVG110" s="957"/>
      <c r="PVH110" s="957"/>
      <c r="PVI110" s="957"/>
      <c r="PVJ110" s="957"/>
      <c r="PVK110" s="957"/>
      <c r="PVL110" s="957"/>
      <c r="PVM110" s="957"/>
      <c r="PVN110" s="957"/>
      <c r="PVO110" s="957"/>
      <c r="PVP110" s="957"/>
      <c r="PVQ110" s="957"/>
      <c r="PVR110" s="957"/>
      <c r="PVS110" s="957"/>
      <c r="PVT110" s="957"/>
      <c r="PVU110" s="957"/>
      <c r="PVV110" s="957"/>
      <c r="PVW110" s="957"/>
      <c r="PVX110" s="957"/>
      <c r="PVY110" s="957"/>
      <c r="PVZ110" s="957"/>
      <c r="PWA110" s="957"/>
      <c r="PWB110" s="957"/>
      <c r="PWC110" s="957"/>
      <c r="PWD110" s="957"/>
      <c r="PWE110" s="957"/>
      <c r="PWF110" s="957"/>
      <c r="PWG110" s="957"/>
      <c r="PWH110" s="957"/>
      <c r="PWI110" s="957"/>
      <c r="PWJ110" s="957"/>
      <c r="PWK110" s="957"/>
      <c r="PWL110" s="957"/>
      <c r="PWM110" s="957"/>
      <c r="PWN110" s="957"/>
      <c r="PWO110" s="957"/>
      <c r="PWP110" s="957"/>
      <c r="PWQ110" s="957"/>
      <c r="PWR110" s="957"/>
      <c r="PWS110" s="957"/>
      <c r="PWT110" s="957"/>
      <c r="PWU110" s="957"/>
      <c r="PWV110" s="957"/>
      <c r="PWW110" s="957"/>
      <c r="PWX110" s="957"/>
      <c r="PWY110" s="957"/>
      <c r="PWZ110" s="957"/>
      <c r="PXA110" s="957"/>
      <c r="PXB110" s="957"/>
      <c r="PXC110" s="957"/>
      <c r="PXD110" s="957"/>
      <c r="PXE110" s="957"/>
      <c r="PXF110" s="957"/>
      <c r="PXG110" s="957"/>
      <c r="PXH110" s="957"/>
      <c r="PXI110" s="957"/>
      <c r="PXJ110" s="957"/>
      <c r="PXK110" s="957"/>
      <c r="PXL110" s="957"/>
      <c r="PXM110" s="957"/>
      <c r="PXN110" s="957"/>
      <c r="PXO110" s="957"/>
      <c r="PXP110" s="957"/>
      <c r="PXQ110" s="957"/>
      <c r="PXR110" s="957"/>
      <c r="PXS110" s="957"/>
      <c r="PXT110" s="957"/>
      <c r="PXU110" s="957"/>
      <c r="PXV110" s="957"/>
      <c r="PXW110" s="957"/>
      <c r="PXX110" s="957"/>
      <c r="PXY110" s="957"/>
      <c r="PXZ110" s="957"/>
      <c r="PYA110" s="957"/>
      <c r="PYB110" s="957"/>
      <c r="PYC110" s="957"/>
      <c r="PYD110" s="957"/>
      <c r="PYE110" s="957"/>
      <c r="PYF110" s="957"/>
      <c r="PYG110" s="957"/>
      <c r="PYH110" s="957"/>
      <c r="PYI110" s="957"/>
      <c r="PYJ110" s="957"/>
      <c r="PYK110" s="957"/>
      <c r="PYL110" s="957"/>
      <c r="PYM110" s="957"/>
      <c r="PYN110" s="957"/>
      <c r="PYO110" s="957"/>
      <c r="PYP110" s="957"/>
      <c r="PYQ110" s="957"/>
      <c r="PYR110" s="957"/>
      <c r="PYS110" s="957"/>
      <c r="PYT110" s="957"/>
      <c r="PYU110" s="957"/>
      <c r="PYV110" s="957"/>
      <c r="PYW110" s="957"/>
      <c r="PYX110" s="957"/>
      <c r="PYY110" s="957"/>
      <c r="PYZ110" s="957"/>
      <c r="PZA110" s="957"/>
      <c r="PZB110" s="957"/>
      <c r="PZC110" s="957"/>
      <c r="PZD110" s="957"/>
      <c r="PZE110" s="957"/>
      <c r="PZF110" s="957"/>
      <c r="PZG110" s="957"/>
      <c r="PZH110" s="957"/>
      <c r="PZI110" s="957"/>
      <c r="PZJ110" s="957"/>
      <c r="PZK110" s="957"/>
      <c r="PZL110" s="957"/>
      <c r="PZM110" s="957"/>
      <c r="PZN110" s="957"/>
      <c r="PZO110" s="957"/>
      <c r="PZP110" s="957"/>
      <c r="PZQ110" s="957"/>
      <c r="PZR110" s="957"/>
      <c r="PZS110" s="957"/>
      <c r="PZT110" s="957"/>
      <c r="PZU110" s="957"/>
      <c r="PZV110" s="957"/>
      <c r="PZW110" s="957"/>
      <c r="PZX110" s="957"/>
      <c r="PZY110" s="957"/>
      <c r="PZZ110" s="957"/>
      <c r="QAA110" s="957"/>
      <c r="QAB110" s="957"/>
      <c r="QAC110" s="957"/>
      <c r="QAD110" s="957"/>
      <c r="QAE110" s="957"/>
      <c r="QAF110" s="957"/>
      <c r="QAG110" s="957"/>
      <c r="QAH110" s="957"/>
      <c r="QAI110" s="957"/>
      <c r="QAJ110" s="957"/>
      <c r="QAK110" s="957"/>
      <c r="QAL110" s="957"/>
      <c r="QAM110" s="957"/>
      <c r="QAN110" s="957"/>
      <c r="QAO110" s="957"/>
      <c r="QAP110" s="957"/>
      <c r="QAQ110" s="957"/>
      <c r="QAR110" s="957"/>
      <c r="QAS110" s="957"/>
      <c r="QAT110" s="957"/>
      <c r="QAU110" s="957"/>
      <c r="QAV110" s="957"/>
      <c r="QAW110" s="957"/>
      <c r="QAX110" s="957"/>
      <c r="QAY110" s="957"/>
      <c r="QAZ110" s="957"/>
      <c r="QBA110" s="957"/>
      <c r="QBB110" s="957"/>
      <c r="QBC110" s="957"/>
      <c r="QBD110" s="957"/>
      <c r="QBE110" s="957"/>
      <c r="QBF110" s="957"/>
      <c r="QBG110" s="957"/>
      <c r="QBH110" s="957"/>
      <c r="QBI110" s="957"/>
      <c r="QBJ110" s="957"/>
      <c r="QBK110" s="957"/>
      <c r="QBL110" s="957"/>
      <c r="QBM110" s="957"/>
      <c r="QBN110" s="957"/>
      <c r="QBO110" s="957"/>
      <c r="QBP110" s="957"/>
      <c r="QBQ110" s="957"/>
      <c r="QBR110" s="957"/>
      <c r="QBS110" s="957"/>
      <c r="QBT110" s="957"/>
      <c r="QBU110" s="957"/>
      <c r="QBV110" s="957"/>
      <c r="QBW110" s="957"/>
      <c r="QBX110" s="957"/>
      <c r="QBY110" s="957"/>
      <c r="QBZ110" s="957"/>
      <c r="QCA110" s="957"/>
      <c r="QCB110" s="957"/>
      <c r="QCC110" s="957"/>
      <c r="QCD110" s="957"/>
      <c r="QCE110" s="957"/>
      <c r="QCF110" s="957"/>
      <c r="QCG110" s="957"/>
      <c r="QCH110" s="957"/>
      <c r="QCI110" s="957"/>
      <c r="QCJ110" s="957"/>
      <c r="QCK110" s="957"/>
      <c r="QCL110" s="957"/>
      <c r="QCM110" s="957"/>
      <c r="QCN110" s="957"/>
      <c r="QCO110" s="957"/>
      <c r="QCP110" s="957"/>
      <c r="QCQ110" s="957"/>
      <c r="QCR110" s="957"/>
      <c r="QCS110" s="957"/>
      <c r="QCT110" s="957"/>
      <c r="QCU110" s="957"/>
      <c r="QCV110" s="957"/>
      <c r="QCW110" s="957"/>
      <c r="QCX110" s="957"/>
      <c r="QCY110" s="957"/>
      <c r="QCZ110" s="957"/>
      <c r="QDA110" s="957"/>
      <c r="QDB110" s="957"/>
      <c r="QDC110" s="957"/>
      <c r="QDD110" s="957"/>
      <c r="QDE110" s="957"/>
      <c r="QDF110" s="957"/>
      <c r="QDG110" s="957"/>
      <c r="QDH110" s="957"/>
      <c r="QDI110" s="957"/>
      <c r="QDJ110" s="957"/>
      <c r="QDK110" s="957"/>
      <c r="QDL110" s="957"/>
      <c r="QDM110" s="957"/>
      <c r="QDN110" s="957"/>
      <c r="QDO110" s="957"/>
      <c r="QDP110" s="957"/>
      <c r="QDQ110" s="957"/>
      <c r="QDR110" s="957"/>
      <c r="QDS110" s="957"/>
      <c r="QDT110" s="957"/>
      <c r="QDU110" s="957"/>
      <c r="QDV110" s="957"/>
      <c r="QDW110" s="957"/>
      <c r="QDX110" s="957"/>
      <c r="QDY110" s="957"/>
      <c r="QDZ110" s="957"/>
      <c r="QEA110" s="957"/>
      <c r="QEB110" s="957"/>
      <c r="QEC110" s="957"/>
      <c r="QED110" s="957"/>
      <c r="QEE110" s="957"/>
      <c r="QEF110" s="957"/>
      <c r="QEG110" s="957"/>
      <c r="QEH110" s="957"/>
      <c r="QEI110" s="957"/>
      <c r="QEJ110" s="957"/>
      <c r="QEK110" s="957"/>
      <c r="QEL110" s="957"/>
      <c r="QEM110" s="957"/>
      <c r="QEN110" s="957"/>
      <c r="QEO110" s="957"/>
      <c r="QEP110" s="957"/>
      <c r="QEQ110" s="957"/>
      <c r="QER110" s="957"/>
      <c r="QES110" s="957"/>
      <c r="QET110" s="957"/>
      <c r="QEU110" s="957"/>
      <c r="QEV110" s="957"/>
      <c r="QEW110" s="957"/>
      <c r="QEX110" s="957"/>
      <c r="QEY110" s="957"/>
      <c r="QEZ110" s="957"/>
      <c r="QFA110" s="957"/>
      <c r="QFB110" s="957"/>
      <c r="QFC110" s="957"/>
      <c r="QFD110" s="957"/>
      <c r="QFE110" s="957"/>
      <c r="QFF110" s="957"/>
      <c r="QFG110" s="957"/>
      <c r="QFH110" s="957"/>
      <c r="QFI110" s="957"/>
      <c r="QFJ110" s="957"/>
      <c r="QFK110" s="957"/>
      <c r="QFL110" s="957"/>
      <c r="QFM110" s="957"/>
      <c r="QFN110" s="957"/>
      <c r="QFO110" s="957"/>
      <c r="QFP110" s="957"/>
      <c r="QFQ110" s="957"/>
      <c r="QFR110" s="957"/>
      <c r="QFS110" s="957"/>
      <c r="QFT110" s="957"/>
      <c r="QFU110" s="957"/>
      <c r="QFV110" s="957"/>
      <c r="QFW110" s="957"/>
      <c r="QFX110" s="957"/>
      <c r="QFY110" s="957"/>
      <c r="QFZ110" s="957"/>
      <c r="QGA110" s="957"/>
      <c r="QGB110" s="957"/>
      <c r="QGC110" s="957"/>
      <c r="QGD110" s="957"/>
      <c r="QGE110" s="957"/>
      <c r="QGF110" s="957"/>
      <c r="QGG110" s="957"/>
      <c r="QGH110" s="957"/>
      <c r="QGI110" s="957"/>
      <c r="QGJ110" s="957"/>
      <c r="QGK110" s="957"/>
      <c r="QGL110" s="957"/>
      <c r="QGM110" s="957"/>
      <c r="QGN110" s="957"/>
      <c r="QGO110" s="957"/>
      <c r="QGP110" s="957"/>
      <c r="QGQ110" s="957"/>
      <c r="QGR110" s="957"/>
      <c r="QGS110" s="957"/>
      <c r="QGT110" s="957"/>
      <c r="QGU110" s="957"/>
      <c r="QGV110" s="957"/>
      <c r="QGW110" s="957"/>
      <c r="QGX110" s="957"/>
      <c r="QGY110" s="957"/>
      <c r="QGZ110" s="957"/>
      <c r="QHA110" s="957"/>
      <c r="QHB110" s="957"/>
      <c r="QHC110" s="957"/>
      <c r="QHD110" s="957"/>
      <c r="QHE110" s="957"/>
      <c r="QHF110" s="957"/>
      <c r="QHG110" s="957"/>
      <c r="QHH110" s="957"/>
      <c r="QHI110" s="957"/>
      <c r="QHJ110" s="957"/>
      <c r="QHK110" s="957"/>
      <c r="QHL110" s="957"/>
      <c r="QHM110" s="957"/>
      <c r="QHN110" s="957"/>
      <c r="QHO110" s="957"/>
      <c r="QHP110" s="957"/>
      <c r="QHQ110" s="957"/>
      <c r="QHR110" s="957"/>
      <c r="QHS110" s="957"/>
      <c r="QHT110" s="957"/>
      <c r="QHU110" s="957"/>
      <c r="QHV110" s="957"/>
      <c r="QHW110" s="957"/>
      <c r="QHX110" s="957"/>
      <c r="QHY110" s="957"/>
      <c r="QHZ110" s="957"/>
      <c r="QIA110" s="957"/>
      <c r="QIB110" s="957"/>
      <c r="QIC110" s="957"/>
      <c r="QID110" s="957"/>
      <c r="QIE110" s="957"/>
      <c r="QIF110" s="957"/>
      <c r="QIG110" s="957"/>
      <c r="QIH110" s="957"/>
      <c r="QII110" s="957"/>
      <c r="QIJ110" s="957"/>
      <c r="QIK110" s="957"/>
      <c r="QIL110" s="957"/>
      <c r="QIM110" s="957"/>
      <c r="QIN110" s="957"/>
      <c r="QIO110" s="957"/>
      <c r="QIP110" s="957"/>
      <c r="QIQ110" s="957"/>
      <c r="QIR110" s="957"/>
      <c r="QIS110" s="957"/>
      <c r="QIT110" s="957"/>
      <c r="QIU110" s="957"/>
      <c r="QIV110" s="957"/>
      <c r="QIW110" s="957"/>
      <c r="QIX110" s="957"/>
      <c r="QIY110" s="957"/>
      <c r="QIZ110" s="957"/>
      <c r="QJA110" s="957"/>
      <c r="QJB110" s="957"/>
      <c r="QJC110" s="957"/>
      <c r="QJD110" s="957"/>
      <c r="QJE110" s="957"/>
      <c r="QJF110" s="957"/>
      <c r="QJG110" s="957"/>
      <c r="QJH110" s="957"/>
      <c r="QJI110" s="957"/>
      <c r="QJJ110" s="957"/>
      <c r="QJK110" s="957"/>
      <c r="QJL110" s="957"/>
      <c r="QJM110" s="957"/>
      <c r="QJN110" s="957"/>
      <c r="QJO110" s="957"/>
      <c r="QJP110" s="957"/>
      <c r="QJQ110" s="957"/>
      <c r="QJR110" s="957"/>
      <c r="QJS110" s="957"/>
      <c r="QJT110" s="957"/>
      <c r="QJU110" s="957"/>
      <c r="QJV110" s="957"/>
      <c r="QJW110" s="957"/>
      <c r="QJX110" s="957"/>
      <c r="QJY110" s="957"/>
      <c r="QJZ110" s="957"/>
      <c r="QKA110" s="957"/>
      <c r="QKB110" s="957"/>
      <c r="QKC110" s="957"/>
      <c r="QKD110" s="957"/>
      <c r="QKE110" s="957"/>
      <c r="QKF110" s="957"/>
      <c r="QKG110" s="957"/>
      <c r="QKH110" s="957"/>
      <c r="QKI110" s="957"/>
      <c r="QKJ110" s="957"/>
      <c r="QKK110" s="957"/>
      <c r="QKL110" s="957"/>
      <c r="QKM110" s="957"/>
      <c r="QKN110" s="957"/>
      <c r="QKO110" s="957"/>
      <c r="QKP110" s="957"/>
      <c r="QKQ110" s="957"/>
      <c r="QKR110" s="957"/>
      <c r="QKS110" s="957"/>
      <c r="QKT110" s="957"/>
      <c r="QKU110" s="957"/>
      <c r="QKV110" s="957"/>
      <c r="QKW110" s="957"/>
      <c r="QKX110" s="957"/>
      <c r="QKY110" s="957"/>
      <c r="QKZ110" s="957"/>
      <c r="QLA110" s="957"/>
      <c r="QLB110" s="957"/>
      <c r="QLC110" s="957"/>
      <c r="QLD110" s="957"/>
      <c r="QLE110" s="957"/>
      <c r="QLF110" s="957"/>
      <c r="QLG110" s="957"/>
      <c r="QLH110" s="957"/>
      <c r="QLI110" s="957"/>
      <c r="QLJ110" s="957"/>
      <c r="QLK110" s="957"/>
      <c r="QLL110" s="957"/>
      <c r="QLM110" s="957"/>
      <c r="QLN110" s="957"/>
      <c r="QLO110" s="957"/>
      <c r="QLP110" s="957"/>
      <c r="QLQ110" s="957"/>
      <c r="QLR110" s="957"/>
      <c r="QLS110" s="957"/>
      <c r="QLT110" s="957"/>
      <c r="QLU110" s="957"/>
      <c r="QLV110" s="957"/>
      <c r="QLW110" s="957"/>
      <c r="QLX110" s="957"/>
      <c r="QLY110" s="957"/>
      <c r="QLZ110" s="957"/>
      <c r="QMA110" s="957"/>
      <c r="QMB110" s="957"/>
      <c r="QMC110" s="957"/>
      <c r="QMD110" s="957"/>
      <c r="QME110" s="957"/>
      <c r="QMF110" s="957"/>
      <c r="QMG110" s="957"/>
      <c r="QMH110" s="957"/>
      <c r="QMI110" s="957"/>
      <c r="QMJ110" s="957"/>
      <c r="QMK110" s="957"/>
      <c r="QML110" s="957"/>
      <c r="QMM110" s="957"/>
      <c r="QMN110" s="957"/>
      <c r="QMO110" s="957"/>
      <c r="QMP110" s="957"/>
      <c r="QMQ110" s="957"/>
      <c r="QMR110" s="957"/>
      <c r="QMS110" s="957"/>
      <c r="QMT110" s="957"/>
      <c r="QMU110" s="957"/>
      <c r="QMV110" s="957"/>
      <c r="QMW110" s="957"/>
      <c r="QMX110" s="957"/>
      <c r="QMY110" s="957"/>
      <c r="QMZ110" s="957"/>
      <c r="QNA110" s="957"/>
      <c r="QNB110" s="957"/>
      <c r="QNC110" s="957"/>
      <c r="QND110" s="957"/>
      <c r="QNE110" s="957"/>
      <c r="QNF110" s="957"/>
      <c r="QNG110" s="957"/>
      <c r="QNH110" s="957"/>
      <c r="QNI110" s="957"/>
      <c r="QNJ110" s="957"/>
      <c r="QNK110" s="957"/>
      <c r="QNL110" s="957"/>
      <c r="QNM110" s="957"/>
      <c r="QNN110" s="957"/>
      <c r="QNO110" s="957"/>
      <c r="QNP110" s="957"/>
      <c r="QNQ110" s="957"/>
      <c r="QNR110" s="957"/>
      <c r="QNS110" s="957"/>
      <c r="QNT110" s="957"/>
      <c r="QNU110" s="957"/>
      <c r="QNV110" s="957"/>
      <c r="QNW110" s="957"/>
      <c r="QNX110" s="957"/>
      <c r="QNY110" s="957"/>
      <c r="QNZ110" s="957"/>
      <c r="QOA110" s="957"/>
      <c r="QOB110" s="957"/>
      <c r="QOC110" s="957"/>
      <c r="QOD110" s="957"/>
      <c r="QOE110" s="957"/>
      <c r="QOF110" s="957"/>
      <c r="QOG110" s="957"/>
      <c r="QOH110" s="957"/>
      <c r="QOI110" s="957"/>
      <c r="QOJ110" s="957"/>
      <c r="QOK110" s="957"/>
      <c r="QOL110" s="957"/>
      <c r="QOM110" s="957"/>
      <c r="QON110" s="957"/>
      <c r="QOO110" s="957"/>
      <c r="QOP110" s="957"/>
      <c r="QOQ110" s="957"/>
      <c r="QOR110" s="957"/>
      <c r="QOS110" s="957"/>
      <c r="QOT110" s="957"/>
      <c r="QOU110" s="957"/>
      <c r="QOV110" s="957"/>
      <c r="QOW110" s="957"/>
      <c r="QOX110" s="957"/>
      <c r="QOY110" s="957"/>
      <c r="QOZ110" s="957"/>
      <c r="QPA110" s="957"/>
      <c r="QPB110" s="957"/>
      <c r="QPC110" s="957"/>
      <c r="QPD110" s="957"/>
      <c r="QPE110" s="957"/>
      <c r="QPF110" s="957"/>
      <c r="QPG110" s="957"/>
      <c r="QPH110" s="957"/>
      <c r="QPI110" s="957"/>
      <c r="QPJ110" s="957"/>
      <c r="QPK110" s="957"/>
      <c r="QPL110" s="957"/>
      <c r="QPM110" s="957"/>
      <c r="QPN110" s="957"/>
      <c r="QPO110" s="957"/>
      <c r="QPP110" s="957"/>
      <c r="QPQ110" s="957"/>
      <c r="QPR110" s="957"/>
      <c r="QPS110" s="957"/>
      <c r="QPT110" s="957"/>
      <c r="QPU110" s="957"/>
      <c r="QPV110" s="957"/>
      <c r="QPW110" s="957"/>
      <c r="QPX110" s="957"/>
      <c r="QPY110" s="957"/>
      <c r="QPZ110" s="957"/>
      <c r="QQA110" s="957"/>
      <c r="QQB110" s="957"/>
      <c r="QQC110" s="957"/>
      <c r="QQD110" s="957"/>
      <c r="QQE110" s="957"/>
      <c r="QQF110" s="957"/>
      <c r="QQG110" s="957"/>
      <c r="QQH110" s="957"/>
      <c r="QQI110" s="957"/>
      <c r="QQJ110" s="957"/>
      <c r="QQK110" s="957"/>
      <c r="QQL110" s="957"/>
      <c r="QQM110" s="957"/>
      <c r="QQN110" s="957"/>
      <c r="QQO110" s="957"/>
      <c r="QQP110" s="957"/>
      <c r="QQQ110" s="957"/>
      <c r="QQR110" s="957"/>
      <c r="QQS110" s="957"/>
      <c r="QQT110" s="957"/>
      <c r="QQU110" s="957"/>
      <c r="QQV110" s="957"/>
      <c r="QQW110" s="957"/>
      <c r="QQX110" s="957"/>
      <c r="QQY110" s="957"/>
      <c r="QQZ110" s="957"/>
      <c r="QRA110" s="957"/>
      <c r="QRB110" s="957"/>
      <c r="QRC110" s="957"/>
      <c r="QRD110" s="957"/>
      <c r="QRE110" s="957"/>
      <c r="QRF110" s="957"/>
      <c r="QRG110" s="957"/>
      <c r="QRH110" s="957"/>
      <c r="QRI110" s="957"/>
      <c r="QRJ110" s="957"/>
      <c r="QRK110" s="957"/>
      <c r="QRL110" s="957"/>
      <c r="QRM110" s="957"/>
      <c r="QRN110" s="957"/>
      <c r="QRO110" s="957"/>
      <c r="QRP110" s="957"/>
      <c r="QRQ110" s="957"/>
      <c r="QRR110" s="957"/>
      <c r="QRS110" s="957"/>
      <c r="QRT110" s="957"/>
      <c r="QRU110" s="957"/>
      <c r="QRV110" s="957"/>
      <c r="QRW110" s="957"/>
      <c r="QRX110" s="957"/>
      <c r="QRY110" s="957"/>
      <c r="QRZ110" s="957"/>
      <c r="QSA110" s="957"/>
      <c r="QSB110" s="957"/>
      <c r="QSC110" s="957"/>
      <c r="QSD110" s="957"/>
      <c r="QSE110" s="957"/>
      <c r="QSF110" s="957"/>
      <c r="QSG110" s="957"/>
      <c r="QSH110" s="957"/>
      <c r="QSI110" s="957"/>
      <c r="QSJ110" s="957"/>
      <c r="QSK110" s="957"/>
      <c r="QSL110" s="957"/>
      <c r="QSM110" s="957"/>
      <c r="QSN110" s="957"/>
      <c r="QSO110" s="957"/>
      <c r="QSP110" s="957"/>
      <c r="QSQ110" s="957"/>
      <c r="QSR110" s="957"/>
      <c r="QSS110" s="957"/>
      <c r="QST110" s="957"/>
      <c r="QSU110" s="957"/>
      <c r="QSV110" s="957"/>
      <c r="QSW110" s="957"/>
      <c r="QSX110" s="957"/>
      <c r="QSY110" s="957"/>
      <c r="QSZ110" s="957"/>
      <c r="QTA110" s="957"/>
      <c r="QTB110" s="957"/>
      <c r="QTC110" s="957"/>
      <c r="QTD110" s="957"/>
      <c r="QTE110" s="957"/>
      <c r="QTF110" s="957"/>
      <c r="QTG110" s="957"/>
      <c r="QTH110" s="957"/>
      <c r="QTI110" s="957"/>
      <c r="QTJ110" s="957"/>
      <c r="QTK110" s="957"/>
      <c r="QTL110" s="957"/>
      <c r="QTM110" s="957"/>
      <c r="QTN110" s="957"/>
      <c r="QTO110" s="957"/>
      <c r="QTP110" s="957"/>
      <c r="QTQ110" s="957"/>
      <c r="QTR110" s="957"/>
      <c r="QTS110" s="957"/>
      <c r="QTT110" s="957"/>
      <c r="QTU110" s="957"/>
      <c r="QTV110" s="957"/>
      <c r="QTW110" s="957"/>
      <c r="QTX110" s="957"/>
      <c r="QTY110" s="957"/>
      <c r="QTZ110" s="957"/>
      <c r="QUA110" s="957"/>
      <c r="QUB110" s="957"/>
      <c r="QUC110" s="957"/>
      <c r="QUD110" s="957"/>
      <c r="QUE110" s="957"/>
      <c r="QUF110" s="957"/>
      <c r="QUG110" s="957"/>
      <c r="QUH110" s="957"/>
      <c r="QUI110" s="957"/>
      <c r="QUJ110" s="957"/>
      <c r="QUK110" s="957"/>
      <c r="QUL110" s="957"/>
      <c r="QUM110" s="957"/>
      <c r="QUN110" s="957"/>
      <c r="QUO110" s="957"/>
      <c r="QUP110" s="957"/>
      <c r="QUQ110" s="957"/>
      <c r="QUR110" s="957"/>
      <c r="QUS110" s="957"/>
      <c r="QUT110" s="957"/>
      <c r="QUU110" s="957"/>
      <c r="QUV110" s="957"/>
      <c r="QUW110" s="957"/>
      <c r="QUX110" s="957"/>
      <c r="QUY110" s="957"/>
      <c r="QUZ110" s="957"/>
      <c r="QVA110" s="957"/>
      <c r="QVB110" s="957"/>
      <c r="QVC110" s="957"/>
      <c r="QVD110" s="957"/>
      <c r="QVE110" s="957"/>
      <c r="QVF110" s="957"/>
      <c r="QVG110" s="957"/>
      <c r="QVH110" s="957"/>
      <c r="QVI110" s="957"/>
      <c r="QVJ110" s="957"/>
      <c r="QVK110" s="957"/>
      <c r="QVL110" s="957"/>
      <c r="QVM110" s="957"/>
      <c r="QVN110" s="957"/>
      <c r="QVO110" s="957"/>
      <c r="QVP110" s="957"/>
      <c r="QVQ110" s="957"/>
      <c r="QVR110" s="957"/>
      <c r="QVS110" s="957"/>
      <c r="QVT110" s="957"/>
      <c r="QVU110" s="957"/>
      <c r="QVV110" s="957"/>
      <c r="QVW110" s="957"/>
      <c r="QVX110" s="957"/>
      <c r="QVY110" s="957"/>
      <c r="QVZ110" s="957"/>
      <c r="QWA110" s="957"/>
      <c r="QWB110" s="957"/>
      <c r="QWC110" s="957"/>
      <c r="QWD110" s="957"/>
      <c r="QWE110" s="957"/>
      <c r="QWF110" s="957"/>
      <c r="QWG110" s="957"/>
      <c r="QWH110" s="957"/>
      <c r="QWI110" s="957"/>
      <c r="QWJ110" s="957"/>
      <c r="QWK110" s="957"/>
      <c r="QWL110" s="957"/>
      <c r="QWM110" s="957"/>
      <c r="QWN110" s="957"/>
      <c r="QWO110" s="957"/>
      <c r="QWP110" s="957"/>
      <c r="QWQ110" s="957"/>
      <c r="QWR110" s="957"/>
      <c r="QWS110" s="957"/>
      <c r="QWT110" s="957"/>
      <c r="QWU110" s="957"/>
      <c r="QWV110" s="957"/>
      <c r="QWW110" s="957"/>
      <c r="QWX110" s="957"/>
      <c r="QWY110" s="957"/>
      <c r="QWZ110" s="957"/>
      <c r="QXA110" s="957"/>
      <c r="QXB110" s="957"/>
      <c r="QXC110" s="957"/>
      <c r="QXD110" s="957"/>
      <c r="QXE110" s="957"/>
      <c r="QXF110" s="957"/>
      <c r="QXG110" s="957"/>
      <c r="QXH110" s="957"/>
      <c r="QXI110" s="957"/>
      <c r="QXJ110" s="957"/>
      <c r="QXK110" s="957"/>
      <c r="QXL110" s="957"/>
      <c r="QXM110" s="957"/>
      <c r="QXN110" s="957"/>
      <c r="QXO110" s="957"/>
      <c r="QXP110" s="957"/>
      <c r="QXQ110" s="957"/>
      <c r="QXR110" s="957"/>
      <c r="QXS110" s="957"/>
      <c r="QXT110" s="957"/>
      <c r="QXU110" s="957"/>
      <c r="QXV110" s="957"/>
      <c r="QXW110" s="957"/>
      <c r="QXX110" s="957"/>
      <c r="QXY110" s="957"/>
      <c r="QXZ110" s="957"/>
      <c r="QYA110" s="957"/>
      <c r="QYB110" s="957"/>
      <c r="QYC110" s="957"/>
      <c r="QYD110" s="957"/>
      <c r="QYE110" s="957"/>
      <c r="QYF110" s="957"/>
      <c r="QYG110" s="957"/>
      <c r="QYH110" s="957"/>
      <c r="QYI110" s="957"/>
      <c r="QYJ110" s="957"/>
      <c r="QYK110" s="957"/>
      <c r="QYL110" s="957"/>
      <c r="QYM110" s="957"/>
      <c r="QYN110" s="957"/>
      <c r="QYO110" s="957"/>
      <c r="QYP110" s="957"/>
      <c r="QYQ110" s="957"/>
      <c r="QYR110" s="957"/>
      <c r="QYS110" s="957"/>
      <c r="QYT110" s="957"/>
      <c r="QYU110" s="957"/>
      <c r="QYV110" s="957"/>
      <c r="QYW110" s="957"/>
      <c r="QYX110" s="957"/>
      <c r="QYY110" s="957"/>
      <c r="QYZ110" s="957"/>
      <c r="QZA110" s="957"/>
      <c r="QZB110" s="957"/>
      <c r="QZC110" s="957"/>
      <c r="QZD110" s="957"/>
      <c r="QZE110" s="957"/>
      <c r="QZF110" s="957"/>
      <c r="QZG110" s="957"/>
      <c r="QZH110" s="957"/>
      <c r="QZI110" s="957"/>
      <c r="QZJ110" s="957"/>
      <c r="QZK110" s="957"/>
      <c r="QZL110" s="957"/>
      <c r="QZM110" s="957"/>
      <c r="QZN110" s="957"/>
      <c r="QZO110" s="957"/>
      <c r="QZP110" s="957"/>
      <c r="QZQ110" s="957"/>
      <c r="QZR110" s="957"/>
      <c r="QZS110" s="957"/>
      <c r="QZT110" s="957"/>
      <c r="QZU110" s="957"/>
      <c r="QZV110" s="957"/>
      <c r="QZW110" s="957"/>
      <c r="QZX110" s="957"/>
      <c r="QZY110" s="957"/>
      <c r="QZZ110" s="957"/>
      <c r="RAA110" s="957"/>
      <c r="RAB110" s="957"/>
      <c r="RAC110" s="957"/>
      <c r="RAD110" s="957"/>
      <c r="RAE110" s="957"/>
      <c r="RAF110" s="957"/>
      <c r="RAG110" s="957"/>
      <c r="RAH110" s="957"/>
      <c r="RAI110" s="957"/>
      <c r="RAJ110" s="957"/>
      <c r="RAK110" s="957"/>
      <c r="RAL110" s="957"/>
      <c r="RAM110" s="957"/>
      <c r="RAN110" s="957"/>
      <c r="RAO110" s="957"/>
      <c r="RAP110" s="957"/>
      <c r="RAQ110" s="957"/>
      <c r="RAR110" s="957"/>
      <c r="RAS110" s="957"/>
      <c r="RAT110" s="957"/>
      <c r="RAU110" s="957"/>
      <c r="RAV110" s="957"/>
      <c r="RAW110" s="957"/>
      <c r="RAX110" s="957"/>
      <c r="RAY110" s="957"/>
      <c r="RAZ110" s="957"/>
      <c r="RBA110" s="957"/>
      <c r="RBB110" s="957"/>
      <c r="RBC110" s="957"/>
      <c r="RBD110" s="957"/>
      <c r="RBE110" s="957"/>
      <c r="RBF110" s="957"/>
      <c r="RBG110" s="957"/>
      <c r="RBH110" s="957"/>
      <c r="RBI110" s="957"/>
      <c r="RBJ110" s="957"/>
      <c r="RBK110" s="957"/>
      <c r="RBL110" s="957"/>
      <c r="RBM110" s="957"/>
      <c r="RBN110" s="957"/>
      <c r="RBO110" s="957"/>
      <c r="RBP110" s="957"/>
      <c r="RBQ110" s="957"/>
      <c r="RBR110" s="957"/>
      <c r="RBS110" s="957"/>
      <c r="RBT110" s="957"/>
      <c r="RBU110" s="957"/>
      <c r="RBV110" s="957"/>
      <c r="RBW110" s="957"/>
      <c r="RBX110" s="957"/>
      <c r="RBY110" s="957"/>
      <c r="RBZ110" s="957"/>
      <c r="RCA110" s="957"/>
      <c r="RCB110" s="957"/>
      <c r="RCC110" s="957"/>
      <c r="RCD110" s="957"/>
      <c r="RCE110" s="957"/>
      <c r="RCF110" s="957"/>
      <c r="RCG110" s="957"/>
      <c r="RCH110" s="957"/>
      <c r="RCI110" s="957"/>
      <c r="RCJ110" s="957"/>
      <c r="RCK110" s="957"/>
      <c r="RCL110" s="957"/>
      <c r="RCM110" s="957"/>
      <c r="RCN110" s="957"/>
      <c r="RCO110" s="957"/>
      <c r="RCP110" s="957"/>
      <c r="RCQ110" s="957"/>
      <c r="RCR110" s="957"/>
      <c r="RCS110" s="957"/>
      <c r="RCT110" s="957"/>
      <c r="RCU110" s="957"/>
      <c r="RCV110" s="957"/>
      <c r="RCW110" s="957"/>
      <c r="RCX110" s="957"/>
      <c r="RCY110" s="957"/>
      <c r="RCZ110" s="957"/>
      <c r="RDA110" s="957"/>
      <c r="RDB110" s="957"/>
      <c r="RDC110" s="957"/>
      <c r="RDD110" s="957"/>
      <c r="RDE110" s="957"/>
      <c r="RDF110" s="957"/>
      <c r="RDG110" s="957"/>
      <c r="RDH110" s="957"/>
      <c r="RDI110" s="957"/>
      <c r="RDJ110" s="957"/>
      <c r="RDK110" s="957"/>
      <c r="RDL110" s="957"/>
      <c r="RDM110" s="957"/>
      <c r="RDN110" s="957"/>
      <c r="RDO110" s="957"/>
      <c r="RDP110" s="957"/>
      <c r="RDQ110" s="957"/>
      <c r="RDR110" s="957"/>
      <c r="RDS110" s="957"/>
      <c r="RDT110" s="957"/>
      <c r="RDU110" s="957"/>
      <c r="RDV110" s="957"/>
      <c r="RDW110" s="957"/>
      <c r="RDX110" s="957"/>
      <c r="RDY110" s="957"/>
      <c r="RDZ110" s="957"/>
      <c r="REA110" s="957"/>
      <c r="REB110" s="957"/>
      <c r="REC110" s="957"/>
      <c r="RED110" s="957"/>
      <c r="REE110" s="957"/>
      <c r="REF110" s="957"/>
      <c r="REG110" s="957"/>
      <c r="REH110" s="957"/>
      <c r="REI110" s="957"/>
      <c r="REJ110" s="957"/>
      <c r="REK110" s="957"/>
      <c r="REL110" s="957"/>
      <c r="REM110" s="957"/>
      <c r="REN110" s="957"/>
      <c r="REO110" s="957"/>
      <c r="REP110" s="957"/>
      <c r="REQ110" s="957"/>
      <c r="RER110" s="957"/>
      <c r="RES110" s="957"/>
      <c r="RET110" s="957"/>
      <c r="REU110" s="957"/>
      <c r="REV110" s="957"/>
      <c r="REW110" s="957"/>
      <c r="REX110" s="957"/>
      <c r="REY110" s="957"/>
      <c r="REZ110" s="957"/>
      <c r="RFA110" s="957"/>
      <c r="RFB110" s="957"/>
      <c r="RFC110" s="957"/>
      <c r="RFD110" s="957"/>
      <c r="RFE110" s="957"/>
      <c r="RFF110" s="957"/>
      <c r="RFG110" s="957"/>
      <c r="RFH110" s="957"/>
      <c r="RFI110" s="957"/>
      <c r="RFJ110" s="957"/>
      <c r="RFK110" s="957"/>
      <c r="RFL110" s="957"/>
      <c r="RFM110" s="957"/>
      <c r="RFN110" s="957"/>
      <c r="RFO110" s="957"/>
      <c r="RFP110" s="957"/>
      <c r="RFQ110" s="957"/>
      <c r="RFR110" s="957"/>
      <c r="RFS110" s="957"/>
      <c r="RFT110" s="957"/>
      <c r="RFU110" s="957"/>
      <c r="RFV110" s="957"/>
      <c r="RFW110" s="957"/>
      <c r="RFX110" s="957"/>
      <c r="RFY110" s="957"/>
      <c r="RFZ110" s="957"/>
      <c r="RGA110" s="957"/>
      <c r="RGB110" s="957"/>
      <c r="RGC110" s="957"/>
      <c r="RGD110" s="957"/>
      <c r="RGE110" s="957"/>
      <c r="RGF110" s="957"/>
      <c r="RGG110" s="957"/>
      <c r="RGH110" s="957"/>
      <c r="RGI110" s="957"/>
      <c r="RGJ110" s="957"/>
      <c r="RGK110" s="957"/>
      <c r="RGL110" s="957"/>
      <c r="RGM110" s="957"/>
      <c r="RGN110" s="957"/>
      <c r="RGO110" s="957"/>
      <c r="RGP110" s="957"/>
      <c r="RGQ110" s="957"/>
      <c r="RGR110" s="957"/>
      <c r="RGS110" s="957"/>
      <c r="RGT110" s="957"/>
      <c r="RGU110" s="957"/>
      <c r="RGV110" s="957"/>
      <c r="RGW110" s="957"/>
      <c r="RGX110" s="957"/>
      <c r="RGY110" s="957"/>
      <c r="RGZ110" s="957"/>
      <c r="RHA110" s="957"/>
      <c r="RHB110" s="957"/>
      <c r="RHC110" s="957"/>
      <c r="RHD110" s="957"/>
      <c r="RHE110" s="957"/>
      <c r="RHF110" s="957"/>
      <c r="RHG110" s="957"/>
      <c r="RHH110" s="957"/>
      <c r="RHI110" s="957"/>
      <c r="RHJ110" s="957"/>
      <c r="RHK110" s="957"/>
      <c r="RHL110" s="957"/>
      <c r="RHM110" s="957"/>
      <c r="RHN110" s="957"/>
      <c r="RHO110" s="957"/>
      <c r="RHP110" s="957"/>
      <c r="RHQ110" s="957"/>
      <c r="RHR110" s="957"/>
      <c r="RHS110" s="957"/>
      <c r="RHT110" s="957"/>
      <c r="RHU110" s="957"/>
      <c r="RHV110" s="957"/>
      <c r="RHW110" s="957"/>
      <c r="RHX110" s="957"/>
      <c r="RHY110" s="957"/>
      <c r="RHZ110" s="957"/>
      <c r="RIA110" s="957"/>
      <c r="RIB110" s="957"/>
      <c r="RIC110" s="957"/>
      <c r="RID110" s="957"/>
      <c r="RIE110" s="957"/>
      <c r="RIF110" s="957"/>
      <c r="RIG110" s="957"/>
      <c r="RIH110" s="957"/>
      <c r="RII110" s="957"/>
      <c r="RIJ110" s="957"/>
      <c r="RIK110" s="957"/>
      <c r="RIL110" s="957"/>
      <c r="RIM110" s="957"/>
      <c r="RIN110" s="957"/>
      <c r="RIO110" s="957"/>
      <c r="RIP110" s="957"/>
      <c r="RIQ110" s="957"/>
      <c r="RIR110" s="957"/>
      <c r="RIS110" s="957"/>
      <c r="RIT110" s="957"/>
      <c r="RIU110" s="957"/>
      <c r="RIV110" s="957"/>
      <c r="RIW110" s="957"/>
      <c r="RIX110" s="957"/>
      <c r="RIY110" s="957"/>
      <c r="RIZ110" s="957"/>
      <c r="RJA110" s="957"/>
      <c r="RJB110" s="957"/>
      <c r="RJC110" s="957"/>
      <c r="RJD110" s="957"/>
      <c r="RJE110" s="957"/>
      <c r="RJF110" s="957"/>
      <c r="RJG110" s="957"/>
      <c r="RJH110" s="957"/>
      <c r="RJI110" s="957"/>
      <c r="RJJ110" s="957"/>
      <c r="RJK110" s="957"/>
      <c r="RJL110" s="957"/>
      <c r="RJM110" s="957"/>
      <c r="RJN110" s="957"/>
      <c r="RJO110" s="957"/>
      <c r="RJP110" s="957"/>
      <c r="RJQ110" s="957"/>
      <c r="RJR110" s="957"/>
      <c r="RJS110" s="957"/>
      <c r="RJT110" s="957"/>
      <c r="RJU110" s="957"/>
      <c r="RJV110" s="957"/>
      <c r="RJW110" s="957"/>
      <c r="RJX110" s="957"/>
      <c r="RJY110" s="957"/>
      <c r="RJZ110" s="957"/>
      <c r="RKA110" s="957"/>
      <c r="RKB110" s="957"/>
      <c r="RKC110" s="957"/>
      <c r="RKD110" s="957"/>
      <c r="RKE110" s="957"/>
      <c r="RKF110" s="957"/>
      <c r="RKG110" s="957"/>
      <c r="RKH110" s="957"/>
      <c r="RKI110" s="957"/>
      <c r="RKJ110" s="957"/>
      <c r="RKK110" s="957"/>
      <c r="RKL110" s="957"/>
      <c r="RKM110" s="957"/>
      <c r="RKN110" s="957"/>
      <c r="RKO110" s="957"/>
      <c r="RKP110" s="957"/>
      <c r="RKQ110" s="957"/>
      <c r="RKR110" s="957"/>
      <c r="RKS110" s="957"/>
      <c r="RKT110" s="957"/>
      <c r="RKU110" s="957"/>
      <c r="RKV110" s="957"/>
      <c r="RKW110" s="957"/>
      <c r="RKX110" s="957"/>
      <c r="RKY110" s="957"/>
      <c r="RKZ110" s="957"/>
      <c r="RLA110" s="957"/>
      <c r="RLB110" s="957"/>
      <c r="RLC110" s="957"/>
      <c r="RLD110" s="957"/>
      <c r="RLE110" s="957"/>
      <c r="RLF110" s="957"/>
      <c r="RLG110" s="957"/>
      <c r="RLH110" s="957"/>
      <c r="RLI110" s="957"/>
      <c r="RLJ110" s="957"/>
      <c r="RLK110" s="957"/>
      <c r="RLL110" s="957"/>
      <c r="RLM110" s="957"/>
      <c r="RLN110" s="957"/>
      <c r="RLO110" s="957"/>
      <c r="RLP110" s="957"/>
      <c r="RLQ110" s="957"/>
      <c r="RLR110" s="957"/>
      <c r="RLS110" s="957"/>
      <c r="RLT110" s="957"/>
      <c r="RLU110" s="957"/>
      <c r="RLV110" s="957"/>
      <c r="RLW110" s="957"/>
      <c r="RLX110" s="957"/>
      <c r="RLY110" s="957"/>
      <c r="RLZ110" s="957"/>
      <c r="RMA110" s="957"/>
      <c r="RMB110" s="957"/>
      <c r="RMC110" s="957"/>
      <c r="RMD110" s="957"/>
      <c r="RME110" s="957"/>
      <c r="RMF110" s="957"/>
      <c r="RMG110" s="957"/>
      <c r="RMH110" s="957"/>
      <c r="RMI110" s="957"/>
      <c r="RMJ110" s="957"/>
      <c r="RMK110" s="957"/>
      <c r="RML110" s="957"/>
      <c r="RMM110" s="957"/>
      <c r="RMN110" s="957"/>
      <c r="RMO110" s="957"/>
      <c r="RMP110" s="957"/>
      <c r="RMQ110" s="957"/>
      <c r="RMR110" s="957"/>
      <c r="RMS110" s="957"/>
      <c r="RMT110" s="957"/>
      <c r="RMU110" s="957"/>
      <c r="RMV110" s="957"/>
      <c r="RMW110" s="957"/>
      <c r="RMX110" s="957"/>
      <c r="RMY110" s="957"/>
      <c r="RMZ110" s="957"/>
      <c r="RNA110" s="957"/>
      <c r="RNB110" s="957"/>
      <c r="RNC110" s="957"/>
      <c r="RND110" s="957"/>
      <c r="RNE110" s="957"/>
      <c r="RNF110" s="957"/>
      <c r="RNG110" s="957"/>
      <c r="RNH110" s="957"/>
      <c r="RNI110" s="957"/>
      <c r="RNJ110" s="957"/>
      <c r="RNK110" s="957"/>
      <c r="RNL110" s="957"/>
      <c r="RNM110" s="957"/>
      <c r="RNN110" s="957"/>
      <c r="RNO110" s="957"/>
      <c r="RNP110" s="957"/>
      <c r="RNQ110" s="957"/>
      <c r="RNR110" s="957"/>
      <c r="RNS110" s="957"/>
      <c r="RNT110" s="957"/>
      <c r="RNU110" s="957"/>
      <c r="RNV110" s="957"/>
      <c r="RNW110" s="957"/>
      <c r="RNX110" s="957"/>
      <c r="RNY110" s="957"/>
      <c r="RNZ110" s="957"/>
      <c r="ROA110" s="957"/>
      <c r="ROB110" s="957"/>
      <c r="ROC110" s="957"/>
      <c r="ROD110" s="957"/>
      <c r="ROE110" s="957"/>
      <c r="ROF110" s="957"/>
      <c r="ROG110" s="957"/>
      <c r="ROH110" s="957"/>
      <c r="ROI110" s="957"/>
      <c r="ROJ110" s="957"/>
      <c r="ROK110" s="957"/>
      <c r="ROL110" s="957"/>
      <c r="ROM110" s="957"/>
      <c r="RON110" s="957"/>
      <c r="ROO110" s="957"/>
      <c r="ROP110" s="957"/>
      <c r="ROQ110" s="957"/>
      <c r="ROR110" s="957"/>
      <c r="ROS110" s="957"/>
      <c r="ROT110" s="957"/>
      <c r="ROU110" s="957"/>
      <c r="ROV110" s="957"/>
      <c r="ROW110" s="957"/>
      <c r="ROX110" s="957"/>
      <c r="ROY110" s="957"/>
      <c r="ROZ110" s="957"/>
      <c r="RPA110" s="957"/>
      <c r="RPB110" s="957"/>
      <c r="RPC110" s="957"/>
      <c r="RPD110" s="957"/>
      <c r="RPE110" s="957"/>
      <c r="RPF110" s="957"/>
      <c r="RPG110" s="957"/>
      <c r="RPH110" s="957"/>
      <c r="RPI110" s="957"/>
      <c r="RPJ110" s="957"/>
      <c r="RPK110" s="957"/>
      <c r="RPL110" s="957"/>
      <c r="RPM110" s="957"/>
      <c r="RPN110" s="957"/>
      <c r="RPO110" s="957"/>
      <c r="RPP110" s="957"/>
      <c r="RPQ110" s="957"/>
      <c r="RPR110" s="957"/>
      <c r="RPS110" s="957"/>
      <c r="RPT110" s="957"/>
      <c r="RPU110" s="957"/>
      <c r="RPV110" s="957"/>
      <c r="RPW110" s="957"/>
      <c r="RPX110" s="957"/>
      <c r="RPY110" s="957"/>
      <c r="RPZ110" s="957"/>
      <c r="RQA110" s="957"/>
      <c r="RQB110" s="957"/>
      <c r="RQC110" s="957"/>
      <c r="RQD110" s="957"/>
      <c r="RQE110" s="957"/>
      <c r="RQF110" s="957"/>
      <c r="RQG110" s="957"/>
      <c r="RQH110" s="957"/>
      <c r="RQI110" s="957"/>
      <c r="RQJ110" s="957"/>
      <c r="RQK110" s="957"/>
      <c r="RQL110" s="957"/>
      <c r="RQM110" s="957"/>
      <c r="RQN110" s="957"/>
      <c r="RQO110" s="957"/>
      <c r="RQP110" s="957"/>
      <c r="RQQ110" s="957"/>
      <c r="RQR110" s="957"/>
      <c r="RQS110" s="957"/>
      <c r="RQT110" s="957"/>
      <c r="RQU110" s="957"/>
      <c r="RQV110" s="957"/>
      <c r="RQW110" s="957"/>
      <c r="RQX110" s="957"/>
      <c r="RQY110" s="957"/>
      <c r="RQZ110" s="957"/>
      <c r="RRA110" s="957"/>
      <c r="RRB110" s="957"/>
      <c r="RRC110" s="957"/>
      <c r="RRD110" s="957"/>
      <c r="RRE110" s="957"/>
      <c r="RRF110" s="957"/>
      <c r="RRG110" s="957"/>
      <c r="RRH110" s="957"/>
      <c r="RRI110" s="957"/>
      <c r="RRJ110" s="957"/>
      <c r="RRK110" s="957"/>
      <c r="RRL110" s="957"/>
      <c r="RRM110" s="957"/>
      <c r="RRN110" s="957"/>
      <c r="RRO110" s="957"/>
      <c r="RRP110" s="957"/>
      <c r="RRQ110" s="957"/>
      <c r="RRR110" s="957"/>
      <c r="RRS110" s="957"/>
      <c r="RRT110" s="957"/>
      <c r="RRU110" s="957"/>
      <c r="RRV110" s="957"/>
      <c r="RRW110" s="957"/>
      <c r="RRX110" s="957"/>
      <c r="RRY110" s="957"/>
      <c r="RRZ110" s="957"/>
      <c r="RSA110" s="957"/>
      <c r="RSB110" s="957"/>
      <c r="RSC110" s="957"/>
      <c r="RSD110" s="957"/>
      <c r="RSE110" s="957"/>
      <c r="RSF110" s="957"/>
      <c r="RSG110" s="957"/>
      <c r="RSH110" s="957"/>
      <c r="RSI110" s="957"/>
      <c r="RSJ110" s="957"/>
      <c r="RSK110" s="957"/>
      <c r="RSL110" s="957"/>
      <c r="RSM110" s="957"/>
      <c r="RSN110" s="957"/>
      <c r="RSO110" s="957"/>
      <c r="RSP110" s="957"/>
      <c r="RSQ110" s="957"/>
      <c r="RSR110" s="957"/>
      <c r="RSS110" s="957"/>
      <c r="RST110" s="957"/>
      <c r="RSU110" s="957"/>
      <c r="RSV110" s="957"/>
      <c r="RSW110" s="957"/>
      <c r="RSX110" s="957"/>
      <c r="RSY110" s="957"/>
      <c r="RSZ110" s="957"/>
      <c r="RTA110" s="957"/>
      <c r="RTB110" s="957"/>
      <c r="RTC110" s="957"/>
      <c r="RTD110" s="957"/>
      <c r="RTE110" s="957"/>
      <c r="RTF110" s="957"/>
      <c r="RTG110" s="957"/>
      <c r="RTH110" s="957"/>
      <c r="RTI110" s="957"/>
      <c r="RTJ110" s="957"/>
      <c r="RTK110" s="957"/>
      <c r="RTL110" s="957"/>
      <c r="RTM110" s="957"/>
      <c r="RTN110" s="957"/>
      <c r="RTO110" s="957"/>
      <c r="RTP110" s="957"/>
      <c r="RTQ110" s="957"/>
      <c r="RTR110" s="957"/>
      <c r="RTS110" s="957"/>
      <c r="RTT110" s="957"/>
      <c r="RTU110" s="957"/>
      <c r="RTV110" s="957"/>
      <c r="RTW110" s="957"/>
      <c r="RTX110" s="957"/>
      <c r="RTY110" s="957"/>
      <c r="RTZ110" s="957"/>
      <c r="RUA110" s="957"/>
      <c r="RUB110" s="957"/>
      <c r="RUC110" s="957"/>
      <c r="RUD110" s="957"/>
      <c r="RUE110" s="957"/>
      <c r="RUF110" s="957"/>
      <c r="RUG110" s="957"/>
      <c r="RUH110" s="957"/>
      <c r="RUI110" s="957"/>
      <c r="RUJ110" s="957"/>
      <c r="RUK110" s="957"/>
      <c r="RUL110" s="957"/>
      <c r="RUM110" s="957"/>
      <c r="RUN110" s="957"/>
      <c r="RUO110" s="957"/>
      <c r="RUP110" s="957"/>
      <c r="RUQ110" s="957"/>
      <c r="RUR110" s="957"/>
      <c r="RUS110" s="957"/>
      <c r="RUT110" s="957"/>
      <c r="RUU110" s="957"/>
      <c r="RUV110" s="957"/>
      <c r="RUW110" s="957"/>
      <c r="RUX110" s="957"/>
      <c r="RUY110" s="957"/>
      <c r="RUZ110" s="957"/>
      <c r="RVA110" s="957"/>
      <c r="RVB110" s="957"/>
      <c r="RVC110" s="957"/>
      <c r="RVD110" s="957"/>
      <c r="RVE110" s="957"/>
      <c r="RVF110" s="957"/>
      <c r="RVG110" s="957"/>
      <c r="RVH110" s="957"/>
      <c r="RVI110" s="957"/>
      <c r="RVJ110" s="957"/>
      <c r="RVK110" s="957"/>
      <c r="RVL110" s="957"/>
      <c r="RVM110" s="957"/>
      <c r="RVN110" s="957"/>
      <c r="RVO110" s="957"/>
      <c r="RVP110" s="957"/>
      <c r="RVQ110" s="957"/>
      <c r="RVR110" s="957"/>
      <c r="RVS110" s="957"/>
      <c r="RVT110" s="957"/>
      <c r="RVU110" s="957"/>
      <c r="RVV110" s="957"/>
      <c r="RVW110" s="957"/>
      <c r="RVX110" s="957"/>
      <c r="RVY110" s="957"/>
      <c r="RVZ110" s="957"/>
      <c r="RWA110" s="957"/>
      <c r="RWB110" s="957"/>
      <c r="RWC110" s="957"/>
      <c r="RWD110" s="957"/>
      <c r="RWE110" s="957"/>
      <c r="RWF110" s="957"/>
      <c r="RWG110" s="957"/>
      <c r="RWH110" s="957"/>
      <c r="RWI110" s="957"/>
      <c r="RWJ110" s="957"/>
      <c r="RWK110" s="957"/>
      <c r="RWL110" s="957"/>
      <c r="RWM110" s="957"/>
      <c r="RWN110" s="957"/>
      <c r="RWO110" s="957"/>
      <c r="RWP110" s="957"/>
      <c r="RWQ110" s="957"/>
      <c r="RWR110" s="957"/>
      <c r="RWS110" s="957"/>
      <c r="RWT110" s="957"/>
      <c r="RWU110" s="957"/>
      <c r="RWV110" s="957"/>
      <c r="RWW110" s="957"/>
      <c r="RWX110" s="957"/>
      <c r="RWY110" s="957"/>
      <c r="RWZ110" s="957"/>
      <c r="RXA110" s="957"/>
      <c r="RXB110" s="957"/>
      <c r="RXC110" s="957"/>
      <c r="RXD110" s="957"/>
      <c r="RXE110" s="957"/>
      <c r="RXF110" s="957"/>
      <c r="RXG110" s="957"/>
      <c r="RXH110" s="957"/>
      <c r="RXI110" s="957"/>
      <c r="RXJ110" s="957"/>
      <c r="RXK110" s="957"/>
      <c r="RXL110" s="957"/>
      <c r="RXM110" s="957"/>
      <c r="RXN110" s="957"/>
      <c r="RXO110" s="957"/>
      <c r="RXP110" s="957"/>
      <c r="RXQ110" s="957"/>
      <c r="RXR110" s="957"/>
      <c r="RXS110" s="957"/>
      <c r="RXT110" s="957"/>
      <c r="RXU110" s="957"/>
      <c r="RXV110" s="957"/>
      <c r="RXW110" s="957"/>
      <c r="RXX110" s="957"/>
      <c r="RXY110" s="957"/>
      <c r="RXZ110" s="957"/>
      <c r="RYA110" s="957"/>
      <c r="RYB110" s="957"/>
      <c r="RYC110" s="957"/>
      <c r="RYD110" s="957"/>
      <c r="RYE110" s="957"/>
      <c r="RYF110" s="957"/>
      <c r="RYG110" s="957"/>
      <c r="RYH110" s="957"/>
      <c r="RYI110" s="957"/>
      <c r="RYJ110" s="957"/>
      <c r="RYK110" s="957"/>
      <c r="RYL110" s="957"/>
      <c r="RYM110" s="957"/>
      <c r="RYN110" s="957"/>
      <c r="RYO110" s="957"/>
      <c r="RYP110" s="957"/>
      <c r="RYQ110" s="957"/>
      <c r="RYR110" s="957"/>
      <c r="RYS110" s="957"/>
      <c r="RYT110" s="957"/>
      <c r="RYU110" s="957"/>
      <c r="RYV110" s="957"/>
      <c r="RYW110" s="957"/>
      <c r="RYX110" s="957"/>
      <c r="RYY110" s="957"/>
      <c r="RYZ110" s="957"/>
      <c r="RZA110" s="957"/>
      <c r="RZB110" s="957"/>
      <c r="RZC110" s="957"/>
      <c r="RZD110" s="957"/>
      <c r="RZE110" s="957"/>
      <c r="RZF110" s="957"/>
      <c r="RZG110" s="957"/>
      <c r="RZH110" s="957"/>
      <c r="RZI110" s="957"/>
      <c r="RZJ110" s="957"/>
      <c r="RZK110" s="957"/>
      <c r="RZL110" s="957"/>
      <c r="RZM110" s="957"/>
      <c r="RZN110" s="957"/>
      <c r="RZO110" s="957"/>
      <c r="RZP110" s="957"/>
      <c r="RZQ110" s="957"/>
      <c r="RZR110" s="957"/>
      <c r="RZS110" s="957"/>
      <c r="RZT110" s="957"/>
      <c r="RZU110" s="957"/>
      <c r="RZV110" s="957"/>
      <c r="RZW110" s="957"/>
      <c r="RZX110" s="957"/>
      <c r="RZY110" s="957"/>
      <c r="RZZ110" s="957"/>
      <c r="SAA110" s="957"/>
      <c r="SAB110" s="957"/>
      <c r="SAC110" s="957"/>
      <c r="SAD110" s="957"/>
      <c r="SAE110" s="957"/>
      <c r="SAF110" s="957"/>
      <c r="SAG110" s="957"/>
      <c r="SAH110" s="957"/>
      <c r="SAI110" s="957"/>
      <c r="SAJ110" s="957"/>
      <c r="SAK110" s="957"/>
      <c r="SAL110" s="957"/>
      <c r="SAM110" s="957"/>
      <c r="SAN110" s="957"/>
      <c r="SAO110" s="957"/>
      <c r="SAP110" s="957"/>
      <c r="SAQ110" s="957"/>
      <c r="SAR110" s="957"/>
      <c r="SAS110" s="957"/>
      <c r="SAT110" s="957"/>
      <c r="SAU110" s="957"/>
      <c r="SAV110" s="957"/>
      <c r="SAW110" s="957"/>
      <c r="SAX110" s="957"/>
      <c r="SAY110" s="957"/>
      <c r="SAZ110" s="957"/>
      <c r="SBA110" s="957"/>
      <c r="SBB110" s="957"/>
      <c r="SBC110" s="957"/>
      <c r="SBD110" s="957"/>
      <c r="SBE110" s="957"/>
      <c r="SBF110" s="957"/>
      <c r="SBG110" s="957"/>
      <c r="SBH110" s="957"/>
      <c r="SBI110" s="957"/>
      <c r="SBJ110" s="957"/>
      <c r="SBK110" s="957"/>
      <c r="SBL110" s="957"/>
      <c r="SBM110" s="957"/>
      <c r="SBN110" s="957"/>
      <c r="SBO110" s="957"/>
      <c r="SBP110" s="957"/>
      <c r="SBQ110" s="957"/>
      <c r="SBR110" s="957"/>
      <c r="SBS110" s="957"/>
      <c r="SBT110" s="957"/>
      <c r="SBU110" s="957"/>
      <c r="SBV110" s="957"/>
      <c r="SBW110" s="957"/>
      <c r="SBX110" s="957"/>
      <c r="SBY110" s="957"/>
      <c r="SBZ110" s="957"/>
      <c r="SCA110" s="957"/>
      <c r="SCB110" s="957"/>
      <c r="SCC110" s="957"/>
      <c r="SCD110" s="957"/>
      <c r="SCE110" s="957"/>
      <c r="SCF110" s="957"/>
      <c r="SCG110" s="957"/>
      <c r="SCH110" s="957"/>
      <c r="SCI110" s="957"/>
      <c r="SCJ110" s="957"/>
      <c r="SCK110" s="957"/>
      <c r="SCL110" s="957"/>
      <c r="SCM110" s="957"/>
      <c r="SCN110" s="957"/>
      <c r="SCO110" s="957"/>
      <c r="SCP110" s="957"/>
      <c r="SCQ110" s="957"/>
      <c r="SCR110" s="957"/>
      <c r="SCS110" s="957"/>
      <c r="SCT110" s="957"/>
      <c r="SCU110" s="957"/>
      <c r="SCV110" s="957"/>
      <c r="SCW110" s="957"/>
      <c r="SCX110" s="957"/>
      <c r="SCY110" s="957"/>
      <c r="SCZ110" s="957"/>
      <c r="SDA110" s="957"/>
      <c r="SDB110" s="957"/>
      <c r="SDC110" s="957"/>
      <c r="SDD110" s="957"/>
      <c r="SDE110" s="957"/>
      <c r="SDF110" s="957"/>
      <c r="SDG110" s="957"/>
      <c r="SDH110" s="957"/>
      <c r="SDI110" s="957"/>
      <c r="SDJ110" s="957"/>
      <c r="SDK110" s="957"/>
      <c r="SDL110" s="957"/>
      <c r="SDM110" s="957"/>
      <c r="SDN110" s="957"/>
      <c r="SDO110" s="957"/>
      <c r="SDP110" s="957"/>
      <c r="SDQ110" s="957"/>
      <c r="SDR110" s="957"/>
      <c r="SDS110" s="957"/>
      <c r="SDT110" s="957"/>
      <c r="SDU110" s="957"/>
      <c r="SDV110" s="957"/>
      <c r="SDW110" s="957"/>
      <c r="SDX110" s="957"/>
      <c r="SDY110" s="957"/>
      <c r="SDZ110" s="957"/>
      <c r="SEA110" s="957"/>
      <c r="SEB110" s="957"/>
      <c r="SEC110" s="957"/>
      <c r="SED110" s="957"/>
      <c r="SEE110" s="957"/>
      <c r="SEF110" s="957"/>
      <c r="SEG110" s="957"/>
      <c r="SEH110" s="957"/>
      <c r="SEI110" s="957"/>
      <c r="SEJ110" s="957"/>
      <c r="SEK110" s="957"/>
      <c r="SEL110" s="957"/>
      <c r="SEM110" s="957"/>
      <c r="SEN110" s="957"/>
      <c r="SEO110" s="957"/>
      <c r="SEP110" s="957"/>
      <c r="SEQ110" s="957"/>
      <c r="SER110" s="957"/>
      <c r="SES110" s="957"/>
      <c r="SET110" s="957"/>
      <c r="SEU110" s="957"/>
      <c r="SEV110" s="957"/>
      <c r="SEW110" s="957"/>
      <c r="SEX110" s="957"/>
      <c r="SEY110" s="957"/>
      <c r="SEZ110" s="957"/>
      <c r="SFA110" s="957"/>
      <c r="SFB110" s="957"/>
      <c r="SFC110" s="957"/>
      <c r="SFD110" s="957"/>
      <c r="SFE110" s="957"/>
      <c r="SFF110" s="957"/>
      <c r="SFG110" s="957"/>
      <c r="SFH110" s="957"/>
      <c r="SFI110" s="957"/>
      <c r="SFJ110" s="957"/>
      <c r="SFK110" s="957"/>
      <c r="SFL110" s="957"/>
      <c r="SFM110" s="957"/>
      <c r="SFN110" s="957"/>
      <c r="SFO110" s="957"/>
      <c r="SFP110" s="957"/>
      <c r="SFQ110" s="957"/>
      <c r="SFR110" s="957"/>
      <c r="SFS110" s="957"/>
      <c r="SFT110" s="957"/>
      <c r="SFU110" s="957"/>
      <c r="SFV110" s="957"/>
      <c r="SFW110" s="957"/>
      <c r="SFX110" s="957"/>
      <c r="SFY110" s="957"/>
      <c r="SFZ110" s="957"/>
      <c r="SGA110" s="957"/>
      <c r="SGB110" s="957"/>
      <c r="SGC110" s="957"/>
      <c r="SGD110" s="957"/>
      <c r="SGE110" s="957"/>
      <c r="SGF110" s="957"/>
      <c r="SGG110" s="957"/>
      <c r="SGH110" s="957"/>
      <c r="SGI110" s="957"/>
      <c r="SGJ110" s="957"/>
      <c r="SGK110" s="957"/>
      <c r="SGL110" s="957"/>
      <c r="SGM110" s="957"/>
      <c r="SGN110" s="957"/>
      <c r="SGO110" s="957"/>
      <c r="SGP110" s="957"/>
      <c r="SGQ110" s="957"/>
      <c r="SGR110" s="957"/>
      <c r="SGS110" s="957"/>
      <c r="SGT110" s="957"/>
      <c r="SGU110" s="957"/>
      <c r="SGV110" s="957"/>
      <c r="SGW110" s="957"/>
      <c r="SGX110" s="957"/>
      <c r="SGY110" s="957"/>
      <c r="SGZ110" s="957"/>
      <c r="SHA110" s="957"/>
      <c r="SHB110" s="957"/>
      <c r="SHC110" s="957"/>
      <c r="SHD110" s="957"/>
      <c r="SHE110" s="957"/>
      <c r="SHF110" s="957"/>
      <c r="SHG110" s="957"/>
      <c r="SHH110" s="957"/>
      <c r="SHI110" s="957"/>
      <c r="SHJ110" s="957"/>
      <c r="SHK110" s="957"/>
      <c r="SHL110" s="957"/>
      <c r="SHM110" s="957"/>
      <c r="SHN110" s="957"/>
      <c r="SHO110" s="957"/>
      <c r="SHP110" s="957"/>
      <c r="SHQ110" s="957"/>
      <c r="SHR110" s="957"/>
      <c r="SHS110" s="957"/>
      <c r="SHT110" s="957"/>
      <c r="SHU110" s="957"/>
      <c r="SHV110" s="957"/>
      <c r="SHW110" s="957"/>
      <c r="SHX110" s="957"/>
      <c r="SHY110" s="957"/>
      <c r="SHZ110" s="957"/>
      <c r="SIA110" s="957"/>
      <c r="SIB110" s="957"/>
      <c r="SIC110" s="957"/>
      <c r="SID110" s="957"/>
      <c r="SIE110" s="957"/>
      <c r="SIF110" s="957"/>
      <c r="SIG110" s="957"/>
      <c r="SIH110" s="957"/>
      <c r="SII110" s="957"/>
      <c r="SIJ110" s="957"/>
      <c r="SIK110" s="957"/>
      <c r="SIL110" s="957"/>
      <c r="SIM110" s="957"/>
      <c r="SIN110" s="957"/>
      <c r="SIO110" s="957"/>
      <c r="SIP110" s="957"/>
      <c r="SIQ110" s="957"/>
      <c r="SIR110" s="957"/>
      <c r="SIS110" s="957"/>
      <c r="SIT110" s="957"/>
      <c r="SIU110" s="957"/>
      <c r="SIV110" s="957"/>
      <c r="SIW110" s="957"/>
      <c r="SIX110" s="957"/>
      <c r="SIY110" s="957"/>
      <c r="SIZ110" s="957"/>
      <c r="SJA110" s="957"/>
      <c r="SJB110" s="957"/>
      <c r="SJC110" s="957"/>
      <c r="SJD110" s="957"/>
      <c r="SJE110" s="957"/>
      <c r="SJF110" s="957"/>
      <c r="SJG110" s="957"/>
      <c r="SJH110" s="957"/>
      <c r="SJI110" s="957"/>
      <c r="SJJ110" s="957"/>
      <c r="SJK110" s="957"/>
      <c r="SJL110" s="957"/>
      <c r="SJM110" s="957"/>
      <c r="SJN110" s="957"/>
      <c r="SJO110" s="957"/>
      <c r="SJP110" s="957"/>
      <c r="SJQ110" s="957"/>
      <c r="SJR110" s="957"/>
      <c r="SJS110" s="957"/>
      <c r="SJT110" s="957"/>
      <c r="SJU110" s="957"/>
      <c r="SJV110" s="957"/>
      <c r="SJW110" s="957"/>
      <c r="SJX110" s="957"/>
      <c r="SJY110" s="957"/>
      <c r="SJZ110" s="957"/>
      <c r="SKA110" s="957"/>
      <c r="SKB110" s="957"/>
      <c r="SKC110" s="957"/>
      <c r="SKD110" s="957"/>
      <c r="SKE110" s="957"/>
      <c r="SKF110" s="957"/>
      <c r="SKG110" s="957"/>
      <c r="SKH110" s="957"/>
      <c r="SKI110" s="957"/>
      <c r="SKJ110" s="957"/>
      <c r="SKK110" s="957"/>
      <c r="SKL110" s="957"/>
      <c r="SKM110" s="957"/>
      <c r="SKN110" s="957"/>
      <c r="SKO110" s="957"/>
      <c r="SKP110" s="957"/>
      <c r="SKQ110" s="957"/>
      <c r="SKR110" s="957"/>
      <c r="SKS110" s="957"/>
      <c r="SKT110" s="957"/>
      <c r="SKU110" s="957"/>
      <c r="SKV110" s="957"/>
      <c r="SKW110" s="957"/>
      <c r="SKX110" s="957"/>
      <c r="SKY110" s="957"/>
      <c r="SKZ110" s="957"/>
      <c r="SLA110" s="957"/>
      <c r="SLB110" s="957"/>
      <c r="SLC110" s="957"/>
      <c r="SLD110" s="957"/>
      <c r="SLE110" s="957"/>
      <c r="SLF110" s="957"/>
      <c r="SLG110" s="957"/>
      <c r="SLH110" s="957"/>
      <c r="SLI110" s="957"/>
      <c r="SLJ110" s="957"/>
      <c r="SLK110" s="957"/>
      <c r="SLL110" s="957"/>
      <c r="SLM110" s="957"/>
      <c r="SLN110" s="957"/>
      <c r="SLO110" s="957"/>
      <c r="SLP110" s="957"/>
      <c r="SLQ110" s="957"/>
      <c r="SLR110" s="957"/>
      <c r="SLS110" s="957"/>
      <c r="SLT110" s="957"/>
      <c r="SLU110" s="957"/>
      <c r="SLV110" s="957"/>
      <c r="SLW110" s="957"/>
      <c r="SLX110" s="957"/>
      <c r="SLY110" s="957"/>
      <c r="SLZ110" s="957"/>
      <c r="SMA110" s="957"/>
      <c r="SMB110" s="957"/>
      <c r="SMC110" s="957"/>
      <c r="SMD110" s="957"/>
      <c r="SME110" s="957"/>
      <c r="SMF110" s="957"/>
      <c r="SMG110" s="957"/>
      <c r="SMH110" s="957"/>
      <c r="SMI110" s="957"/>
      <c r="SMJ110" s="957"/>
      <c r="SMK110" s="957"/>
      <c r="SML110" s="957"/>
      <c r="SMM110" s="957"/>
      <c r="SMN110" s="957"/>
      <c r="SMO110" s="957"/>
      <c r="SMP110" s="957"/>
      <c r="SMQ110" s="957"/>
      <c r="SMR110" s="957"/>
      <c r="SMS110" s="957"/>
      <c r="SMT110" s="957"/>
      <c r="SMU110" s="957"/>
      <c r="SMV110" s="957"/>
      <c r="SMW110" s="957"/>
      <c r="SMX110" s="957"/>
      <c r="SMY110" s="957"/>
      <c r="SMZ110" s="957"/>
      <c r="SNA110" s="957"/>
      <c r="SNB110" s="957"/>
      <c r="SNC110" s="957"/>
      <c r="SND110" s="957"/>
      <c r="SNE110" s="957"/>
      <c r="SNF110" s="957"/>
      <c r="SNG110" s="957"/>
      <c r="SNH110" s="957"/>
      <c r="SNI110" s="957"/>
      <c r="SNJ110" s="957"/>
      <c r="SNK110" s="957"/>
      <c r="SNL110" s="957"/>
      <c r="SNM110" s="957"/>
      <c r="SNN110" s="957"/>
      <c r="SNO110" s="957"/>
      <c r="SNP110" s="957"/>
      <c r="SNQ110" s="957"/>
      <c r="SNR110" s="957"/>
      <c r="SNS110" s="957"/>
      <c r="SNT110" s="957"/>
      <c r="SNU110" s="957"/>
      <c r="SNV110" s="957"/>
      <c r="SNW110" s="957"/>
      <c r="SNX110" s="957"/>
      <c r="SNY110" s="957"/>
      <c r="SNZ110" s="957"/>
      <c r="SOA110" s="957"/>
      <c r="SOB110" s="957"/>
      <c r="SOC110" s="957"/>
      <c r="SOD110" s="957"/>
      <c r="SOE110" s="957"/>
      <c r="SOF110" s="957"/>
      <c r="SOG110" s="957"/>
      <c r="SOH110" s="957"/>
      <c r="SOI110" s="957"/>
      <c r="SOJ110" s="957"/>
      <c r="SOK110" s="957"/>
      <c r="SOL110" s="957"/>
      <c r="SOM110" s="957"/>
      <c r="SON110" s="957"/>
      <c r="SOO110" s="957"/>
      <c r="SOP110" s="957"/>
      <c r="SOQ110" s="957"/>
      <c r="SOR110" s="957"/>
      <c r="SOS110" s="957"/>
      <c r="SOT110" s="957"/>
      <c r="SOU110" s="957"/>
      <c r="SOV110" s="957"/>
      <c r="SOW110" s="957"/>
      <c r="SOX110" s="957"/>
      <c r="SOY110" s="957"/>
      <c r="SOZ110" s="957"/>
      <c r="SPA110" s="957"/>
      <c r="SPB110" s="957"/>
      <c r="SPC110" s="957"/>
      <c r="SPD110" s="957"/>
      <c r="SPE110" s="957"/>
      <c r="SPF110" s="957"/>
      <c r="SPG110" s="957"/>
      <c r="SPH110" s="957"/>
      <c r="SPI110" s="957"/>
      <c r="SPJ110" s="957"/>
      <c r="SPK110" s="957"/>
      <c r="SPL110" s="957"/>
      <c r="SPM110" s="957"/>
      <c r="SPN110" s="957"/>
      <c r="SPO110" s="957"/>
      <c r="SPP110" s="957"/>
      <c r="SPQ110" s="957"/>
      <c r="SPR110" s="957"/>
      <c r="SPS110" s="957"/>
      <c r="SPT110" s="957"/>
      <c r="SPU110" s="957"/>
      <c r="SPV110" s="957"/>
      <c r="SPW110" s="957"/>
      <c r="SPX110" s="957"/>
      <c r="SPY110" s="957"/>
      <c r="SPZ110" s="957"/>
      <c r="SQA110" s="957"/>
      <c r="SQB110" s="957"/>
      <c r="SQC110" s="957"/>
      <c r="SQD110" s="957"/>
      <c r="SQE110" s="957"/>
      <c r="SQF110" s="957"/>
      <c r="SQG110" s="957"/>
      <c r="SQH110" s="957"/>
      <c r="SQI110" s="957"/>
      <c r="SQJ110" s="957"/>
      <c r="SQK110" s="957"/>
      <c r="SQL110" s="957"/>
      <c r="SQM110" s="957"/>
      <c r="SQN110" s="957"/>
      <c r="SQO110" s="957"/>
      <c r="SQP110" s="957"/>
      <c r="SQQ110" s="957"/>
      <c r="SQR110" s="957"/>
      <c r="SQS110" s="957"/>
      <c r="SQT110" s="957"/>
      <c r="SQU110" s="957"/>
      <c r="SQV110" s="957"/>
      <c r="SQW110" s="957"/>
      <c r="SQX110" s="957"/>
      <c r="SQY110" s="957"/>
      <c r="SQZ110" s="957"/>
      <c r="SRA110" s="957"/>
      <c r="SRB110" s="957"/>
      <c r="SRC110" s="957"/>
      <c r="SRD110" s="957"/>
      <c r="SRE110" s="957"/>
      <c r="SRF110" s="957"/>
      <c r="SRG110" s="957"/>
      <c r="SRH110" s="957"/>
      <c r="SRI110" s="957"/>
      <c r="SRJ110" s="957"/>
      <c r="SRK110" s="957"/>
      <c r="SRL110" s="957"/>
      <c r="SRM110" s="957"/>
      <c r="SRN110" s="957"/>
      <c r="SRO110" s="957"/>
      <c r="SRP110" s="957"/>
      <c r="SRQ110" s="957"/>
      <c r="SRR110" s="957"/>
      <c r="SRS110" s="957"/>
      <c r="SRT110" s="957"/>
      <c r="SRU110" s="957"/>
      <c r="SRV110" s="957"/>
      <c r="SRW110" s="957"/>
      <c r="SRX110" s="957"/>
      <c r="SRY110" s="957"/>
      <c r="SRZ110" s="957"/>
      <c r="SSA110" s="957"/>
      <c r="SSB110" s="957"/>
      <c r="SSC110" s="957"/>
      <c r="SSD110" s="957"/>
      <c r="SSE110" s="957"/>
      <c r="SSF110" s="957"/>
      <c r="SSG110" s="957"/>
      <c r="SSH110" s="957"/>
      <c r="SSI110" s="957"/>
      <c r="SSJ110" s="957"/>
      <c r="SSK110" s="957"/>
      <c r="SSL110" s="957"/>
      <c r="SSM110" s="957"/>
      <c r="SSN110" s="957"/>
      <c r="SSO110" s="957"/>
      <c r="SSP110" s="957"/>
      <c r="SSQ110" s="957"/>
      <c r="SSR110" s="957"/>
      <c r="SSS110" s="957"/>
      <c r="SST110" s="957"/>
      <c r="SSU110" s="957"/>
      <c r="SSV110" s="957"/>
      <c r="SSW110" s="957"/>
      <c r="SSX110" s="957"/>
      <c r="SSY110" s="957"/>
      <c r="SSZ110" s="957"/>
      <c r="STA110" s="957"/>
      <c r="STB110" s="957"/>
      <c r="STC110" s="957"/>
      <c r="STD110" s="957"/>
      <c r="STE110" s="957"/>
      <c r="STF110" s="957"/>
      <c r="STG110" s="957"/>
      <c r="STH110" s="957"/>
      <c r="STI110" s="957"/>
      <c r="STJ110" s="957"/>
      <c r="STK110" s="957"/>
      <c r="STL110" s="957"/>
      <c r="STM110" s="957"/>
      <c r="STN110" s="957"/>
      <c r="STO110" s="957"/>
      <c r="STP110" s="957"/>
      <c r="STQ110" s="957"/>
      <c r="STR110" s="957"/>
      <c r="STS110" s="957"/>
      <c r="STT110" s="957"/>
      <c r="STU110" s="957"/>
      <c r="STV110" s="957"/>
      <c r="STW110" s="957"/>
      <c r="STX110" s="957"/>
      <c r="STY110" s="957"/>
      <c r="STZ110" s="957"/>
      <c r="SUA110" s="957"/>
      <c r="SUB110" s="957"/>
      <c r="SUC110" s="957"/>
      <c r="SUD110" s="957"/>
      <c r="SUE110" s="957"/>
      <c r="SUF110" s="957"/>
      <c r="SUG110" s="957"/>
      <c r="SUH110" s="957"/>
      <c r="SUI110" s="957"/>
      <c r="SUJ110" s="957"/>
      <c r="SUK110" s="957"/>
      <c r="SUL110" s="957"/>
      <c r="SUM110" s="957"/>
      <c r="SUN110" s="957"/>
      <c r="SUO110" s="957"/>
      <c r="SUP110" s="957"/>
      <c r="SUQ110" s="957"/>
      <c r="SUR110" s="957"/>
      <c r="SUS110" s="957"/>
      <c r="SUT110" s="957"/>
      <c r="SUU110" s="957"/>
      <c r="SUV110" s="957"/>
      <c r="SUW110" s="957"/>
      <c r="SUX110" s="957"/>
      <c r="SUY110" s="957"/>
      <c r="SUZ110" s="957"/>
      <c r="SVA110" s="957"/>
      <c r="SVB110" s="957"/>
      <c r="SVC110" s="957"/>
      <c r="SVD110" s="957"/>
      <c r="SVE110" s="957"/>
      <c r="SVF110" s="957"/>
      <c r="SVG110" s="957"/>
      <c r="SVH110" s="957"/>
      <c r="SVI110" s="957"/>
      <c r="SVJ110" s="957"/>
      <c r="SVK110" s="957"/>
      <c r="SVL110" s="957"/>
      <c r="SVM110" s="957"/>
      <c r="SVN110" s="957"/>
      <c r="SVO110" s="957"/>
      <c r="SVP110" s="957"/>
      <c r="SVQ110" s="957"/>
      <c r="SVR110" s="957"/>
      <c r="SVS110" s="957"/>
      <c r="SVT110" s="957"/>
      <c r="SVU110" s="957"/>
      <c r="SVV110" s="957"/>
      <c r="SVW110" s="957"/>
      <c r="SVX110" s="957"/>
      <c r="SVY110" s="957"/>
      <c r="SVZ110" s="957"/>
      <c r="SWA110" s="957"/>
      <c r="SWB110" s="957"/>
      <c r="SWC110" s="957"/>
      <c r="SWD110" s="957"/>
      <c r="SWE110" s="957"/>
      <c r="SWF110" s="957"/>
      <c r="SWG110" s="957"/>
      <c r="SWH110" s="957"/>
      <c r="SWI110" s="957"/>
      <c r="SWJ110" s="957"/>
      <c r="SWK110" s="957"/>
      <c r="SWL110" s="957"/>
      <c r="SWM110" s="957"/>
      <c r="SWN110" s="957"/>
      <c r="SWO110" s="957"/>
      <c r="SWP110" s="957"/>
      <c r="SWQ110" s="957"/>
      <c r="SWR110" s="957"/>
      <c r="SWS110" s="957"/>
      <c r="SWT110" s="957"/>
      <c r="SWU110" s="957"/>
      <c r="SWV110" s="957"/>
      <c r="SWW110" s="957"/>
      <c r="SWX110" s="957"/>
      <c r="SWY110" s="957"/>
      <c r="SWZ110" s="957"/>
      <c r="SXA110" s="957"/>
      <c r="SXB110" s="957"/>
      <c r="SXC110" s="957"/>
      <c r="SXD110" s="957"/>
      <c r="SXE110" s="957"/>
      <c r="SXF110" s="957"/>
      <c r="SXG110" s="957"/>
      <c r="SXH110" s="957"/>
      <c r="SXI110" s="957"/>
      <c r="SXJ110" s="957"/>
      <c r="SXK110" s="957"/>
      <c r="SXL110" s="957"/>
      <c r="SXM110" s="957"/>
      <c r="SXN110" s="957"/>
      <c r="SXO110" s="957"/>
      <c r="SXP110" s="957"/>
      <c r="SXQ110" s="957"/>
      <c r="SXR110" s="957"/>
      <c r="SXS110" s="957"/>
      <c r="SXT110" s="957"/>
      <c r="SXU110" s="957"/>
      <c r="SXV110" s="957"/>
      <c r="SXW110" s="957"/>
      <c r="SXX110" s="957"/>
      <c r="SXY110" s="957"/>
      <c r="SXZ110" s="957"/>
      <c r="SYA110" s="957"/>
      <c r="SYB110" s="957"/>
      <c r="SYC110" s="957"/>
      <c r="SYD110" s="957"/>
      <c r="SYE110" s="957"/>
      <c r="SYF110" s="957"/>
      <c r="SYG110" s="957"/>
      <c r="SYH110" s="957"/>
      <c r="SYI110" s="957"/>
      <c r="SYJ110" s="957"/>
      <c r="SYK110" s="957"/>
      <c r="SYL110" s="957"/>
      <c r="SYM110" s="957"/>
      <c r="SYN110" s="957"/>
      <c r="SYO110" s="957"/>
      <c r="SYP110" s="957"/>
      <c r="SYQ110" s="957"/>
      <c r="SYR110" s="957"/>
      <c r="SYS110" s="957"/>
      <c r="SYT110" s="957"/>
      <c r="SYU110" s="957"/>
      <c r="SYV110" s="957"/>
      <c r="SYW110" s="957"/>
      <c r="SYX110" s="957"/>
      <c r="SYY110" s="957"/>
      <c r="SYZ110" s="957"/>
      <c r="SZA110" s="957"/>
      <c r="SZB110" s="957"/>
      <c r="SZC110" s="957"/>
      <c r="SZD110" s="957"/>
      <c r="SZE110" s="957"/>
      <c r="SZF110" s="957"/>
      <c r="SZG110" s="957"/>
      <c r="SZH110" s="957"/>
      <c r="SZI110" s="957"/>
      <c r="SZJ110" s="957"/>
      <c r="SZK110" s="957"/>
      <c r="SZL110" s="957"/>
      <c r="SZM110" s="957"/>
      <c r="SZN110" s="957"/>
      <c r="SZO110" s="957"/>
      <c r="SZP110" s="957"/>
      <c r="SZQ110" s="957"/>
      <c r="SZR110" s="957"/>
      <c r="SZS110" s="957"/>
      <c r="SZT110" s="957"/>
      <c r="SZU110" s="957"/>
      <c r="SZV110" s="957"/>
      <c r="SZW110" s="957"/>
      <c r="SZX110" s="957"/>
      <c r="SZY110" s="957"/>
      <c r="SZZ110" s="957"/>
      <c r="TAA110" s="957"/>
      <c r="TAB110" s="957"/>
      <c r="TAC110" s="957"/>
      <c r="TAD110" s="957"/>
      <c r="TAE110" s="957"/>
      <c r="TAF110" s="957"/>
      <c r="TAG110" s="957"/>
      <c r="TAH110" s="957"/>
      <c r="TAI110" s="957"/>
      <c r="TAJ110" s="957"/>
      <c r="TAK110" s="957"/>
      <c r="TAL110" s="957"/>
      <c r="TAM110" s="957"/>
      <c r="TAN110" s="957"/>
      <c r="TAO110" s="957"/>
      <c r="TAP110" s="957"/>
      <c r="TAQ110" s="957"/>
      <c r="TAR110" s="957"/>
      <c r="TAS110" s="957"/>
      <c r="TAT110" s="957"/>
      <c r="TAU110" s="957"/>
      <c r="TAV110" s="957"/>
      <c r="TAW110" s="957"/>
      <c r="TAX110" s="957"/>
      <c r="TAY110" s="957"/>
      <c r="TAZ110" s="957"/>
      <c r="TBA110" s="957"/>
      <c r="TBB110" s="957"/>
      <c r="TBC110" s="957"/>
      <c r="TBD110" s="957"/>
      <c r="TBE110" s="957"/>
      <c r="TBF110" s="957"/>
      <c r="TBG110" s="957"/>
      <c r="TBH110" s="957"/>
      <c r="TBI110" s="957"/>
      <c r="TBJ110" s="957"/>
      <c r="TBK110" s="957"/>
      <c r="TBL110" s="957"/>
      <c r="TBM110" s="957"/>
      <c r="TBN110" s="957"/>
      <c r="TBO110" s="957"/>
      <c r="TBP110" s="957"/>
      <c r="TBQ110" s="957"/>
      <c r="TBR110" s="957"/>
      <c r="TBS110" s="957"/>
      <c r="TBT110" s="957"/>
      <c r="TBU110" s="957"/>
      <c r="TBV110" s="957"/>
      <c r="TBW110" s="957"/>
      <c r="TBX110" s="957"/>
      <c r="TBY110" s="957"/>
      <c r="TBZ110" s="957"/>
      <c r="TCA110" s="957"/>
      <c r="TCB110" s="957"/>
      <c r="TCC110" s="957"/>
      <c r="TCD110" s="957"/>
      <c r="TCE110" s="957"/>
      <c r="TCF110" s="957"/>
      <c r="TCG110" s="957"/>
      <c r="TCH110" s="957"/>
      <c r="TCI110" s="957"/>
      <c r="TCJ110" s="957"/>
      <c r="TCK110" s="957"/>
      <c r="TCL110" s="957"/>
      <c r="TCM110" s="957"/>
      <c r="TCN110" s="957"/>
      <c r="TCO110" s="957"/>
      <c r="TCP110" s="957"/>
      <c r="TCQ110" s="957"/>
      <c r="TCR110" s="957"/>
      <c r="TCS110" s="957"/>
      <c r="TCT110" s="957"/>
      <c r="TCU110" s="957"/>
      <c r="TCV110" s="957"/>
      <c r="TCW110" s="957"/>
      <c r="TCX110" s="957"/>
      <c r="TCY110" s="957"/>
      <c r="TCZ110" s="957"/>
      <c r="TDA110" s="957"/>
      <c r="TDB110" s="957"/>
      <c r="TDC110" s="957"/>
      <c r="TDD110" s="957"/>
      <c r="TDE110" s="957"/>
      <c r="TDF110" s="957"/>
      <c r="TDG110" s="957"/>
      <c r="TDH110" s="957"/>
      <c r="TDI110" s="957"/>
      <c r="TDJ110" s="957"/>
      <c r="TDK110" s="957"/>
      <c r="TDL110" s="957"/>
      <c r="TDM110" s="957"/>
      <c r="TDN110" s="957"/>
      <c r="TDO110" s="957"/>
      <c r="TDP110" s="957"/>
      <c r="TDQ110" s="957"/>
      <c r="TDR110" s="957"/>
      <c r="TDS110" s="957"/>
      <c r="TDT110" s="957"/>
      <c r="TDU110" s="957"/>
      <c r="TDV110" s="957"/>
      <c r="TDW110" s="957"/>
      <c r="TDX110" s="957"/>
      <c r="TDY110" s="957"/>
      <c r="TDZ110" s="957"/>
      <c r="TEA110" s="957"/>
      <c r="TEB110" s="957"/>
      <c r="TEC110" s="957"/>
      <c r="TED110" s="957"/>
      <c r="TEE110" s="957"/>
      <c r="TEF110" s="957"/>
      <c r="TEG110" s="957"/>
      <c r="TEH110" s="957"/>
      <c r="TEI110" s="957"/>
      <c r="TEJ110" s="957"/>
      <c r="TEK110" s="957"/>
      <c r="TEL110" s="957"/>
      <c r="TEM110" s="957"/>
      <c r="TEN110" s="957"/>
      <c r="TEO110" s="957"/>
      <c r="TEP110" s="957"/>
      <c r="TEQ110" s="957"/>
      <c r="TER110" s="957"/>
      <c r="TES110" s="957"/>
      <c r="TET110" s="957"/>
      <c r="TEU110" s="957"/>
      <c r="TEV110" s="957"/>
      <c r="TEW110" s="957"/>
      <c r="TEX110" s="957"/>
      <c r="TEY110" s="957"/>
      <c r="TEZ110" s="957"/>
      <c r="TFA110" s="957"/>
      <c r="TFB110" s="957"/>
      <c r="TFC110" s="957"/>
      <c r="TFD110" s="957"/>
      <c r="TFE110" s="957"/>
      <c r="TFF110" s="957"/>
      <c r="TFG110" s="957"/>
      <c r="TFH110" s="957"/>
      <c r="TFI110" s="957"/>
      <c r="TFJ110" s="957"/>
      <c r="TFK110" s="957"/>
      <c r="TFL110" s="957"/>
      <c r="TFM110" s="957"/>
      <c r="TFN110" s="957"/>
      <c r="TFO110" s="957"/>
      <c r="TFP110" s="957"/>
      <c r="TFQ110" s="957"/>
      <c r="TFR110" s="957"/>
      <c r="TFS110" s="957"/>
      <c r="TFT110" s="957"/>
      <c r="TFU110" s="957"/>
      <c r="TFV110" s="957"/>
      <c r="TFW110" s="957"/>
      <c r="TFX110" s="957"/>
      <c r="TFY110" s="957"/>
      <c r="TFZ110" s="957"/>
      <c r="TGA110" s="957"/>
      <c r="TGB110" s="957"/>
      <c r="TGC110" s="957"/>
      <c r="TGD110" s="957"/>
      <c r="TGE110" s="957"/>
      <c r="TGF110" s="957"/>
      <c r="TGG110" s="957"/>
      <c r="TGH110" s="957"/>
      <c r="TGI110" s="957"/>
      <c r="TGJ110" s="957"/>
      <c r="TGK110" s="957"/>
      <c r="TGL110" s="957"/>
      <c r="TGM110" s="957"/>
      <c r="TGN110" s="957"/>
      <c r="TGO110" s="957"/>
      <c r="TGP110" s="957"/>
      <c r="TGQ110" s="957"/>
      <c r="TGR110" s="957"/>
      <c r="TGS110" s="957"/>
      <c r="TGT110" s="957"/>
      <c r="TGU110" s="957"/>
      <c r="TGV110" s="957"/>
      <c r="TGW110" s="957"/>
      <c r="TGX110" s="957"/>
      <c r="TGY110" s="957"/>
      <c r="TGZ110" s="957"/>
      <c r="THA110" s="957"/>
      <c r="THB110" s="957"/>
      <c r="THC110" s="957"/>
      <c r="THD110" s="957"/>
      <c r="THE110" s="957"/>
      <c r="THF110" s="957"/>
      <c r="THG110" s="957"/>
      <c r="THH110" s="957"/>
      <c r="THI110" s="957"/>
      <c r="THJ110" s="957"/>
      <c r="THK110" s="957"/>
      <c r="THL110" s="957"/>
      <c r="THM110" s="957"/>
      <c r="THN110" s="957"/>
      <c r="THO110" s="957"/>
      <c r="THP110" s="957"/>
      <c r="THQ110" s="957"/>
      <c r="THR110" s="957"/>
      <c r="THS110" s="957"/>
      <c r="THT110" s="957"/>
      <c r="THU110" s="957"/>
      <c r="THV110" s="957"/>
      <c r="THW110" s="957"/>
      <c r="THX110" s="957"/>
      <c r="THY110" s="957"/>
      <c r="THZ110" s="957"/>
      <c r="TIA110" s="957"/>
      <c r="TIB110" s="957"/>
      <c r="TIC110" s="957"/>
      <c r="TID110" s="957"/>
      <c r="TIE110" s="957"/>
      <c r="TIF110" s="957"/>
      <c r="TIG110" s="957"/>
      <c r="TIH110" s="957"/>
      <c r="TII110" s="957"/>
      <c r="TIJ110" s="957"/>
      <c r="TIK110" s="957"/>
      <c r="TIL110" s="957"/>
      <c r="TIM110" s="957"/>
      <c r="TIN110" s="957"/>
      <c r="TIO110" s="957"/>
      <c r="TIP110" s="957"/>
      <c r="TIQ110" s="957"/>
      <c r="TIR110" s="957"/>
      <c r="TIS110" s="957"/>
      <c r="TIT110" s="957"/>
      <c r="TIU110" s="957"/>
      <c r="TIV110" s="957"/>
      <c r="TIW110" s="957"/>
      <c r="TIX110" s="957"/>
      <c r="TIY110" s="957"/>
      <c r="TIZ110" s="957"/>
      <c r="TJA110" s="957"/>
      <c r="TJB110" s="957"/>
      <c r="TJC110" s="957"/>
      <c r="TJD110" s="957"/>
      <c r="TJE110" s="957"/>
      <c r="TJF110" s="957"/>
      <c r="TJG110" s="957"/>
      <c r="TJH110" s="957"/>
      <c r="TJI110" s="957"/>
      <c r="TJJ110" s="957"/>
      <c r="TJK110" s="957"/>
      <c r="TJL110" s="957"/>
      <c r="TJM110" s="957"/>
      <c r="TJN110" s="957"/>
      <c r="TJO110" s="957"/>
      <c r="TJP110" s="957"/>
      <c r="TJQ110" s="957"/>
      <c r="TJR110" s="957"/>
      <c r="TJS110" s="957"/>
      <c r="TJT110" s="957"/>
      <c r="TJU110" s="957"/>
      <c r="TJV110" s="957"/>
      <c r="TJW110" s="957"/>
      <c r="TJX110" s="957"/>
      <c r="TJY110" s="957"/>
      <c r="TJZ110" s="957"/>
      <c r="TKA110" s="957"/>
      <c r="TKB110" s="957"/>
      <c r="TKC110" s="957"/>
      <c r="TKD110" s="957"/>
      <c r="TKE110" s="957"/>
      <c r="TKF110" s="957"/>
      <c r="TKG110" s="957"/>
      <c r="TKH110" s="957"/>
      <c r="TKI110" s="957"/>
      <c r="TKJ110" s="957"/>
      <c r="TKK110" s="957"/>
      <c r="TKL110" s="957"/>
      <c r="TKM110" s="957"/>
      <c r="TKN110" s="957"/>
      <c r="TKO110" s="957"/>
      <c r="TKP110" s="957"/>
      <c r="TKQ110" s="957"/>
      <c r="TKR110" s="957"/>
      <c r="TKS110" s="957"/>
      <c r="TKT110" s="957"/>
      <c r="TKU110" s="957"/>
      <c r="TKV110" s="957"/>
      <c r="TKW110" s="957"/>
      <c r="TKX110" s="957"/>
      <c r="TKY110" s="957"/>
      <c r="TKZ110" s="957"/>
      <c r="TLA110" s="957"/>
      <c r="TLB110" s="957"/>
      <c r="TLC110" s="957"/>
      <c r="TLD110" s="957"/>
      <c r="TLE110" s="957"/>
      <c r="TLF110" s="957"/>
      <c r="TLG110" s="957"/>
      <c r="TLH110" s="957"/>
      <c r="TLI110" s="957"/>
      <c r="TLJ110" s="957"/>
      <c r="TLK110" s="957"/>
      <c r="TLL110" s="957"/>
      <c r="TLM110" s="957"/>
      <c r="TLN110" s="957"/>
      <c r="TLO110" s="957"/>
      <c r="TLP110" s="957"/>
      <c r="TLQ110" s="957"/>
      <c r="TLR110" s="957"/>
      <c r="TLS110" s="957"/>
      <c r="TLT110" s="957"/>
      <c r="TLU110" s="957"/>
      <c r="TLV110" s="957"/>
      <c r="TLW110" s="957"/>
      <c r="TLX110" s="957"/>
      <c r="TLY110" s="957"/>
      <c r="TLZ110" s="957"/>
      <c r="TMA110" s="957"/>
      <c r="TMB110" s="957"/>
      <c r="TMC110" s="957"/>
      <c r="TMD110" s="957"/>
      <c r="TME110" s="957"/>
      <c r="TMF110" s="957"/>
      <c r="TMG110" s="957"/>
      <c r="TMH110" s="957"/>
      <c r="TMI110" s="957"/>
      <c r="TMJ110" s="957"/>
      <c r="TMK110" s="957"/>
      <c r="TML110" s="957"/>
      <c r="TMM110" s="957"/>
      <c r="TMN110" s="957"/>
      <c r="TMO110" s="957"/>
      <c r="TMP110" s="957"/>
      <c r="TMQ110" s="957"/>
      <c r="TMR110" s="957"/>
      <c r="TMS110" s="957"/>
      <c r="TMT110" s="957"/>
      <c r="TMU110" s="957"/>
      <c r="TMV110" s="957"/>
      <c r="TMW110" s="957"/>
      <c r="TMX110" s="957"/>
      <c r="TMY110" s="957"/>
      <c r="TMZ110" s="957"/>
      <c r="TNA110" s="957"/>
      <c r="TNB110" s="957"/>
      <c r="TNC110" s="957"/>
      <c r="TND110" s="957"/>
      <c r="TNE110" s="957"/>
      <c r="TNF110" s="957"/>
      <c r="TNG110" s="957"/>
      <c r="TNH110" s="957"/>
      <c r="TNI110" s="957"/>
      <c r="TNJ110" s="957"/>
      <c r="TNK110" s="957"/>
      <c r="TNL110" s="957"/>
      <c r="TNM110" s="957"/>
      <c r="TNN110" s="957"/>
      <c r="TNO110" s="957"/>
      <c r="TNP110" s="957"/>
      <c r="TNQ110" s="957"/>
      <c r="TNR110" s="957"/>
      <c r="TNS110" s="957"/>
      <c r="TNT110" s="957"/>
      <c r="TNU110" s="957"/>
      <c r="TNV110" s="957"/>
      <c r="TNW110" s="957"/>
      <c r="TNX110" s="957"/>
      <c r="TNY110" s="957"/>
      <c r="TNZ110" s="957"/>
      <c r="TOA110" s="957"/>
      <c r="TOB110" s="957"/>
      <c r="TOC110" s="957"/>
      <c r="TOD110" s="957"/>
      <c r="TOE110" s="957"/>
      <c r="TOF110" s="957"/>
      <c r="TOG110" s="957"/>
      <c r="TOH110" s="957"/>
      <c r="TOI110" s="957"/>
      <c r="TOJ110" s="957"/>
      <c r="TOK110" s="957"/>
      <c r="TOL110" s="957"/>
      <c r="TOM110" s="957"/>
      <c r="TON110" s="957"/>
      <c r="TOO110" s="957"/>
      <c r="TOP110" s="957"/>
      <c r="TOQ110" s="957"/>
      <c r="TOR110" s="957"/>
      <c r="TOS110" s="957"/>
      <c r="TOT110" s="957"/>
      <c r="TOU110" s="957"/>
      <c r="TOV110" s="957"/>
      <c r="TOW110" s="957"/>
      <c r="TOX110" s="957"/>
      <c r="TOY110" s="957"/>
      <c r="TOZ110" s="957"/>
      <c r="TPA110" s="957"/>
      <c r="TPB110" s="957"/>
      <c r="TPC110" s="957"/>
      <c r="TPD110" s="957"/>
      <c r="TPE110" s="957"/>
      <c r="TPF110" s="957"/>
      <c r="TPG110" s="957"/>
      <c r="TPH110" s="957"/>
      <c r="TPI110" s="957"/>
      <c r="TPJ110" s="957"/>
      <c r="TPK110" s="957"/>
      <c r="TPL110" s="957"/>
      <c r="TPM110" s="957"/>
      <c r="TPN110" s="957"/>
      <c r="TPO110" s="957"/>
      <c r="TPP110" s="957"/>
      <c r="TPQ110" s="957"/>
      <c r="TPR110" s="957"/>
      <c r="TPS110" s="957"/>
      <c r="TPT110" s="957"/>
      <c r="TPU110" s="957"/>
      <c r="TPV110" s="957"/>
      <c r="TPW110" s="957"/>
      <c r="TPX110" s="957"/>
      <c r="TPY110" s="957"/>
      <c r="TPZ110" s="957"/>
      <c r="TQA110" s="957"/>
      <c r="TQB110" s="957"/>
      <c r="TQC110" s="957"/>
      <c r="TQD110" s="957"/>
      <c r="TQE110" s="957"/>
      <c r="TQF110" s="957"/>
      <c r="TQG110" s="957"/>
      <c r="TQH110" s="957"/>
      <c r="TQI110" s="957"/>
      <c r="TQJ110" s="957"/>
      <c r="TQK110" s="957"/>
      <c r="TQL110" s="957"/>
      <c r="TQM110" s="957"/>
      <c r="TQN110" s="957"/>
      <c r="TQO110" s="957"/>
      <c r="TQP110" s="957"/>
      <c r="TQQ110" s="957"/>
      <c r="TQR110" s="957"/>
      <c r="TQS110" s="957"/>
      <c r="TQT110" s="957"/>
      <c r="TQU110" s="957"/>
      <c r="TQV110" s="957"/>
      <c r="TQW110" s="957"/>
      <c r="TQX110" s="957"/>
      <c r="TQY110" s="957"/>
      <c r="TQZ110" s="957"/>
      <c r="TRA110" s="957"/>
      <c r="TRB110" s="957"/>
      <c r="TRC110" s="957"/>
      <c r="TRD110" s="957"/>
      <c r="TRE110" s="957"/>
      <c r="TRF110" s="957"/>
      <c r="TRG110" s="957"/>
      <c r="TRH110" s="957"/>
      <c r="TRI110" s="957"/>
      <c r="TRJ110" s="957"/>
      <c r="TRK110" s="957"/>
      <c r="TRL110" s="957"/>
      <c r="TRM110" s="957"/>
      <c r="TRN110" s="957"/>
      <c r="TRO110" s="957"/>
      <c r="TRP110" s="957"/>
      <c r="TRQ110" s="957"/>
      <c r="TRR110" s="957"/>
      <c r="TRS110" s="957"/>
      <c r="TRT110" s="957"/>
      <c r="TRU110" s="957"/>
      <c r="TRV110" s="957"/>
      <c r="TRW110" s="957"/>
      <c r="TRX110" s="957"/>
      <c r="TRY110" s="957"/>
      <c r="TRZ110" s="957"/>
      <c r="TSA110" s="957"/>
      <c r="TSB110" s="957"/>
      <c r="TSC110" s="957"/>
      <c r="TSD110" s="957"/>
      <c r="TSE110" s="957"/>
      <c r="TSF110" s="957"/>
      <c r="TSG110" s="957"/>
      <c r="TSH110" s="957"/>
      <c r="TSI110" s="957"/>
      <c r="TSJ110" s="957"/>
      <c r="TSK110" s="957"/>
      <c r="TSL110" s="957"/>
      <c r="TSM110" s="957"/>
      <c r="TSN110" s="957"/>
      <c r="TSO110" s="957"/>
      <c r="TSP110" s="957"/>
      <c r="TSQ110" s="957"/>
      <c r="TSR110" s="957"/>
      <c r="TSS110" s="957"/>
      <c r="TST110" s="957"/>
      <c r="TSU110" s="957"/>
      <c r="TSV110" s="957"/>
      <c r="TSW110" s="957"/>
      <c r="TSX110" s="957"/>
      <c r="TSY110" s="957"/>
      <c r="TSZ110" s="957"/>
      <c r="TTA110" s="957"/>
      <c r="TTB110" s="957"/>
      <c r="TTC110" s="957"/>
      <c r="TTD110" s="957"/>
      <c r="TTE110" s="957"/>
      <c r="TTF110" s="957"/>
      <c r="TTG110" s="957"/>
      <c r="TTH110" s="957"/>
      <c r="TTI110" s="957"/>
      <c r="TTJ110" s="957"/>
      <c r="TTK110" s="957"/>
      <c r="TTL110" s="957"/>
      <c r="TTM110" s="957"/>
      <c r="TTN110" s="957"/>
      <c r="TTO110" s="957"/>
      <c r="TTP110" s="957"/>
      <c r="TTQ110" s="957"/>
      <c r="TTR110" s="957"/>
      <c r="TTS110" s="957"/>
      <c r="TTT110" s="957"/>
      <c r="TTU110" s="957"/>
      <c r="TTV110" s="957"/>
      <c r="TTW110" s="957"/>
      <c r="TTX110" s="957"/>
      <c r="TTY110" s="957"/>
      <c r="TTZ110" s="957"/>
      <c r="TUA110" s="957"/>
      <c r="TUB110" s="957"/>
      <c r="TUC110" s="957"/>
      <c r="TUD110" s="957"/>
      <c r="TUE110" s="957"/>
      <c r="TUF110" s="957"/>
      <c r="TUG110" s="957"/>
      <c r="TUH110" s="957"/>
      <c r="TUI110" s="957"/>
      <c r="TUJ110" s="957"/>
      <c r="TUK110" s="957"/>
      <c r="TUL110" s="957"/>
      <c r="TUM110" s="957"/>
      <c r="TUN110" s="957"/>
      <c r="TUO110" s="957"/>
      <c r="TUP110" s="957"/>
      <c r="TUQ110" s="957"/>
      <c r="TUR110" s="957"/>
      <c r="TUS110" s="957"/>
      <c r="TUT110" s="957"/>
      <c r="TUU110" s="957"/>
      <c r="TUV110" s="957"/>
      <c r="TUW110" s="957"/>
      <c r="TUX110" s="957"/>
      <c r="TUY110" s="957"/>
      <c r="TUZ110" s="957"/>
      <c r="TVA110" s="957"/>
      <c r="TVB110" s="957"/>
      <c r="TVC110" s="957"/>
      <c r="TVD110" s="957"/>
      <c r="TVE110" s="957"/>
      <c r="TVF110" s="957"/>
      <c r="TVG110" s="957"/>
      <c r="TVH110" s="957"/>
      <c r="TVI110" s="957"/>
      <c r="TVJ110" s="957"/>
      <c r="TVK110" s="957"/>
      <c r="TVL110" s="957"/>
      <c r="TVM110" s="957"/>
      <c r="TVN110" s="957"/>
      <c r="TVO110" s="957"/>
      <c r="TVP110" s="957"/>
      <c r="TVQ110" s="957"/>
      <c r="TVR110" s="957"/>
      <c r="TVS110" s="957"/>
      <c r="TVT110" s="957"/>
      <c r="TVU110" s="957"/>
      <c r="TVV110" s="957"/>
      <c r="TVW110" s="957"/>
      <c r="TVX110" s="957"/>
      <c r="TVY110" s="957"/>
      <c r="TVZ110" s="957"/>
      <c r="TWA110" s="957"/>
      <c r="TWB110" s="957"/>
      <c r="TWC110" s="957"/>
      <c r="TWD110" s="957"/>
      <c r="TWE110" s="957"/>
      <c r="TWF110" s="957"/>
      <c r="TWG110" s="957"/>
      <c r="TWH110" s="957"/>
      <c r="TWI110" s="957"/>
      <c r="TWJ110" s="957"/>
      <c r="TWK110" s="957"/>
      <c r="TWL110" s="957"/>
      <c r="TWM110" s="957"/>
      <c r="TWN110" s="957"/>
      <c r="TWO110" s="957"/>
      <c r="TWP110" s="957"/>
      <c r="TWQ110" s="957"/>
      <c r="TWR110" s="957"/>
      <c r="TWS110" s="957"/>
      <c r="TWT110" s="957"/>
      <c r="TWU110" s="957"/>
      <c r="TWV110" s="957"/>
      <c r="TWW110" s="957"/>
      <c r="TWX110" s="957"/>
      <c r="TWY110" s="957"/>
      <c r="TWZ110" s="957"/>
      <c r="TXA110" s="957"/>
      <c r="TXB110" s="957"/>
      <c r="TXC110" s="957"/>
      <c r="TXD110" s="957"/>
      <c r="TXE110" s="957"/>
      <c r="TXF110" s="957"/>
      <c r="TXG110" s="957"/>
      <c r="TXH110" s="957"/>
      <c r="TXI110" s="957"/>
      <c r="TXJ110" s="957"/>
      <c r="TXK110" s="957"/>
      <c r="TXL110" s="957"/>
      <c r="TXM110" s="957"/>
      <c r="TXN110" s="957"/>
      <c r="TXO110" s="957"/>
      <c r="TXP110" s="957"/>
      <c r="TXQ110" s="957"/>
      <c r="TXR110" s="957"/>
      <c r="TXS110" s="957"/>
      <c r="TXT110" s="957"/>
      <c r="TXU110" s="957"/>
      <c r="TXV110" s="957"/>
      <c r="TXW110" s="957"/>
      <c r="TXX110" s="957"/>
      <c r="TXY110" s="957"/>
      <c r="TXZ110" s="957"/>
      <c r="TYA110" s="957"/>
      <c r="TYB110" s="957"/>
      <c r="TYC110" s="957"/>
      <c r="TYD110" s="957"/>
      <c r="TYE110" s="957"/>
      <c r="TYF110" s="957"/>
      <c r="TYG110" s="957"/>
      <c r="TYH110" s="957"/>
      <c r="TYI110" s="957"/>
      <c r="TYJ110" s="957"/>
      <c r="TYK110" s="957"/>
      <c r="TYL110" s="957"/>
      <c r="TYM110" s="957"/>
      <c r="TYN110" s="957"/>
      <c r="TYO110" s="957"/>
      <c r="TYP110" s="957"/>
      <c r="TYQ110" s="957"/>
      <c r="TYR110" s="957"/>
      <c r="TYS110" s="957"/>
      <c r="TYT110" s="957"/>
      <c r="TYU110" s="957"/>
      <c r="TYV110" s="957"/>
      <c r="TYW110" s="957"/>
      <c r="TYX110" s="957"/>
      <c r="TYY110" s="957"/>
      <c r="TYZ110" s="957"/>
      <c r="TZA110" s="957"/>
      <c r="TZB110" s="957"/>
      <c r="TZC110" s="957"/>
      <c r="TZD110" s="957"/>
      <c r="TZE110" s="957"/>
      <c r="TZF110" s="957"/>
      <c r="TZG110" s="957"/>
      <c r="TZH110" s="957"/>
      <c r="TZI110" s="957"/>
      <c r="TZJ110" s="957"/>
      <c r="TZK110" s="957"/>
      <c r="TZL110" s="957"/>
      <c r="TZM110" s="957"/>
      <c r="TZN110" s="957"/>
      <c r="TZO110" s="957"/>
      <c r="TZP110" s="957"/>
      <c r="TZQ110" s="957"/>
      <c r="TZR110" s="957"/>
      <c r="TZS110" s="957"/>
      <c r="TZT110" s="957"/>
      <c r="TZU110" s="957"/>
      <c r="TZV110" s="957"/>
      <c r="TZW110" s="957"/>
      <c r="TZX110" s="957"/>
      <c r="TZY110" s="957"/>
      <c r="TZZ110" s="957"/>
      <c r="UAA110" s="957"/>
      <c r="UAB110" s="957"/>
      <c r="UAC110" s="957"/>
      <c r="UAD110" s="957"/>
      <c r="UAE110" s="957"/>
      <c r="UAF110" s="957"/>
      <c r="UAG110" s="957"/>
      <c r="UAH110" s="957"/>
      <c r="UAI110" s="957"/>
      <c r="UAJ110" s="957"/>
      <c r="UAK110" s="957"/>
      <c r="UAL110" s="957"/>
      <c r="UAM110" s="957"/>
      <c r="UAN110" s="957"/>
      <c r="UAO110" s="957"/>
      <c r="UAP110" s="957"/>
      <c r="UAQ110" s="957"/>
      <c r="UAR110" s="957"/>
      <c r="UAS110" s="957"/>
      <c r="UAT110" s="957"/>
      <c r="UAU110" s="957"/>
      <c r="UAV110" s="957"/>
      <c r="UAW110" s="957"/>
      <c r="UAX110" s="957"/>
      <c r="UAY110" s="957"/>
      <c r="UAZ110" s="957"/>
      <c r="UBA110" s="957"/>
      <c r="UBB110" s="957"/>
      <c r="UBC110" s="957"/>
      <c r="UBD110" s="957"/>
      <c r="UBE110" s="957"/>
      <c r="UBF110" s="957"/>
      <c r="UBG110" s="957"/>
      <c r="UBH110" s="957"/>
      <c r="UBI110" s="957"/>
      <c r="UBJ110" s="957"/>
      <c r="UBK110" s="957"/>
      <c r="UBL110" s="957"/>
      <c r="UBM110" s="957"/>
      <c r="UBN110" s="957"/>
      <c r="UBO110" s="957"/>
      <c r="UBP110" s="957"/>
      <c r="UBQ110" s="957"/>
      <c r="UBR110" s="957"/>
      <c r="UBS110" s="957"/>
      <c r="UBT110" s="957"/>
      <c r="UBU110" s="957"/>
      <c r="UBV110" s="957"/>
      <c r="UBW110" s="957"/>
      <c r="UBX110" s="957"/>
      <c r="UBY110" s="957"/>
      <c r="UBZ110" s="957"/>
      <c r="UCA110" s="957"/>
      <c r="UCB110" s="957"/>
      <c r="UCC110" s="957"/>
      <c r="UCD110" s="957"/>
      <c r="UCE110" s="957"/>
      <c r="UCF110" s="957"/>
      <c r="UCG110" s="957"/>
      <c r="UCH110" s="957"/>
      <c r="UCI110" s="957"/>
      <c r="UCJ110" s="957"/>
      <c r="UCK110" s="957"/>
      <c r="UCL110" s="957"/>
      <c r="UCM110" s="957"/>
      <c r="UCN110" s="957"/>
      <c r="UCO110" s="957"/>
      <c r="UCP110" s="957"/>
      <c r="UCQ110" s="957"/>
      <c r="UCR110" s="957"/>
      <c r="UCS110" s="957"/>
      <c r="UCT110" s="957"/>
      <c r="UCU110" s="957"/>
      <c r="UCV110" s="957"/>
      <c r="UCW110" s="957"/>
      <c r="UCX110" s="957"/>
      <c r="UCY110" s="957"/>
      <c r="UCZ110" s="957"/>
      <c r="UDA110" s="957"/>
      <c r="UDB110" s="957"/>
      <c r="UDC110" s="957"/>
      <c r="UDD110" s="957"/>
      <c r="UDE110" s="957"/>
      <c r="UDF110" s="957"/>
      <c r="UDG110" s="957"/>
      <c r="UDH110" s="957"/>
      <c r="UDI110" s="957"/>
      <c r="UDJ110" s="957"/>
      <c r="UDK110" s="957"/>
      <c r="UDL110" s="957"/>
      <c r="UDM110" s="957"/>
      <c r="UDN110" s="957"/>
      <c r="UDO110" s="957"/>
      <c r="UDP110" s="957"/>
      <c r="UDQ110" s="957"/>
      <c r="UDR110" s="957"/>
      <c r="UDS110" s="957"/>
      <c r="UDT110" s="957"/>
      <c r="UDU110" s="957"/>
      <c r="UDV110" s="957"/>
      <c r="UDW110" s="957"/>
      <c r="UDX110" s="957"/>
      <c r="UDY110" s="957"/>
      <c r="UDZ110" s="957"/>
      <c r="UEA110" s="957"/>
      <c r="UEB110" s="957"/>
      <c r="UEC110" s="957"/>
      <c r="UED110" s="957"/>
      <c r="UEE110" s="957"/>
      <c r="UEF110" s="957"/>
      <c r="UEG110" s="957"/>
      <c r="UEH110" s="957"/>
      <c r="UEI110" s="957"/>
      <c r="UEJ110" s="957"/>
      <c r="UEK110" s="957"/>
      <c r="UEL110" s="957"/>
      <c r="UEM110" s="957"/>
      <c r="UEN110" s="957"/>
      <c r="UEO110" s="957"/>
      <c r="UEP110" s="957"/>
      <c r="UEQ110" s="957"/>
      <c r="UER110" s="957"/>
      <c r="UES110" s="957"/>
      <c r="UET110" s="957"/>
      <c r="UEU110" s="957"/>
      <c r="UEV110" s="957"/>
      <c r="UEW110" s="957"/>
      <c r="UEX110" s="957"/>
      <c r="UEY110" s="957"/>
      <c r="UEZ110" s="957"/>
      <c r="UFA110" s="957"/>
      <c r="UFB110" s="957"/>
      <c r="UFC110" s="957"/>
      <c r="UFD110" s="957"/>
      <c r="UFE110" s="957"/>
      <c r="UFF110" s="957"/>
      <c r="UFG110" s="957"/>
      <c r="UFH110" s="957"/>
      <c r="UFI110" s="957"/>
      <c r="UFJ110" s="957"/>
      <c r="UFK110" s="957"/>
      <c r="UFL110" s="957"/>
      <c r="UFM110" s="957"/>
      <c r="UFN110" s="957"/>
      <c r="UFO110" s="957"/>
      <c r="UFP110" s="957"/>
      <c r="UFQ110" s="957"/>
      <c r="UFR110" s="957"/>
      <c r="UFS110" s="957"/>
      <c r="UFT110" s="957"/>
      <c r="UFU110" s="957"/>
      <c r="UFV110" s="957"/>
      <c r="UFW110" s="957"/>
      <c r="UFX110" s="957"/>
      <c r="UFY110" s="957"/>
      <c r="UFZ110" s="957"/>
      <c r="UGA110" s="957"/>
      <c r="UGB110" s="957"/>
      <c r="UGC110" s="957"/>
      <c r="UGD110" s="957"/>
      <c r="UGE110" s="957"/>
      <c r="UGF110" s="957"/>
      <c r="UGG110" s="957"/>
      <c r="UGH110" s="957"/>
      <c r="UGI110" s="957"/>
      <c r="UGJ110" s="957"/>
      <c r="UGK110" s="957"/>
      <c r="UGL110" s="957"/>
      <c r="UGM110" s="957"/>
      <c r="UGN110" s="957"/>
      <c r="UGO110" s="957"/>
      <c r="UGP110" s="957"/>
      <c r="UGQ110" s="957"/>
      <c r="UGR110" s="957"/>
      <c r="UGS110" s="957"/>
      <c r="UGT110" s="957"/>
      <c r="UGU110" s="957"/>
      <c r="UGV110" s="957"/>
      <c r="UGW110" s="957"/>
      <c r="UGX110" s="957"/>
      <c r="UGY110" s="957"/>
      <c r="UGZ110" s="957"/>
      <c r="UHA110" s="957"/>
      <c r="UHB110" s="957"/>
      <c r="UHC110" s="957"/>
      <c r="UHD110" s="957"/>
      <c r="UHE110" s="957"/>
      <c r="UHF110" s="957"/>
      <c r="UHG110" s="957"/>
      <c r="UHH110" s="957"/>
      <c r="UHI110" s="957"/>
      <c r="UHJ110" s="957"/>
      <c r="UHK110" s="957"/>
      <c r="UHL110" s="957"/>
      <c r="UHM110" s="957"/>
      <c r="UHN110" s="957"/>
      <c r="UHO110" s="957"/>
      <c r="UHP110" s="957"/>
      <c r="UHQ110" s="957"/>
      <c r="UHR110" s="957"/>
      <c r="UHS110" s="957"/>
      <c r="UHT110" s="957"/>
      <c r="UHU110" s="957"/>
      <c r="UHV110" s="957"/>
      <c r="UHW110" s="957"/>
      <c r="UHX110" s="957"/>
      <c r="UHY110" s="957"/>
      <c r="UHZ110" s="957"/>
      <c r="UIA110" s="957"/>
      <c r="UIB110" s="957"/>
      <c r="UIC110" s="957"/>
      <c r="UID110" s="957"/>
      <c r="UIE110" s="957"/>
      <c r="UIF110" s="957"/>
      <c r="UIG110" s="957"/>
      <c r="UIH110" s="957"/>
      <c r="UII110" s="957"/>
      <c r="UIJ110" s="957"/>
      <c r="UIK110" s="957"/>
      <c r="UIL110" s="957"/>
      <c r="UIM110" s="957"/>
      <c r="UIN110" s="957"/>
      <c r="UIO110" s="957"/>
      <c r="UIP110" s="957"/>
      <c r="UIQ110" s="957"/>
      <c r="UIR110" s="957"/>
      <c r="UIS110" s="957"/>
      <c r="UIT110" s="957"/>
      <c r="UIU110" s="957"/>
      <c r="UIV110" s="957"/>
      <c r="UIW110" s="957"/>
      <c r="UIX110" s="957"/>
      <c r="UIY110" s="957"/>
      <c r="UIZ110" s="957"/>
      <c r="UJA110" s="957"/>
      <c r="UJB110" s="957"/>
      <c r="UJC110" s="957"/>
      <c r="UJD110" s="957"/>
      <c r="UJE110" s="957"/>
      <c r="UJF110" s="957"/>
      <c r="UJG110" s="957"/>
      <c r="UJH110" s="957"/>
      <c r="UJI110" s="957"/>
      <c r="UJJ110" s="957"/>
      <c r="UJK110" s="957"/>
      <c r="UJL110" s="957"/>
      <c r="UJM110" s="957"/>
      <c r="UJN110" s="957"/>
      <c r="UJO110" s="957"/>
      <c r="UJP110" s="957"/>
      <c r="UJQ110" s="957"/>
      <c r="UJR110" s="957"/>
      <c r="UJS110" s="957"/>
      <c r="UJT110" s="957"/>
      <c r="UJU110" s="957"/>
      <c r="UJV110" s="957"/>
      <c r="UJW110" s="957"/>
      <c r="UJX110" s="957"/>
      <c r="UJY110" s="957"/>
      <c r="UJZ110" s="957"/>
      <c r="UKA110" s="957"/>
      <c r="UKB110" s="957"/>
      <c r="UKC110" s="957"/>
      <c r="UKD110" s="957"/>
      <c r="UKE110" s="957"/>
      <c r="UKF110" s="957"/>
      <c r="UKG110" s="957"/>
      <c r="UKH110" s="957"/>
      <c r="UKI110" s="957"/>
      <c r="UKJ110" s="957"/>
      <c r="UKK110" s="957"/>
      <c r="UKL110" s="957"/>
      <c r="UKM110" s="957"/>
      <c r="UKN110" s="957"/>
      <c r="UKO110" s="957"/>
      <c r="UKP110" s="957"/>
      <c r="UKQ110" s="957"/>
      <c r="UKR110" s="957"/>
      <c r="UKS110" s="957"/>
      <c r="UKT110" s="957"/>
      <c r="UKU110" s="957"/>
      <c r="UKV110" s="957"/>
      <c r="UKW110" s="957"/>
      <c r="UKX110" s="957"/>
      <c r="UKY110" s="957"/>
      <c r="UKZ110" s="957"/>
      <c r="ULA110" s="957"/>
      <c r="ULB110" s="957"/>
      <c r="ULC110" s="957"/>
      <c r="ULD110" s="957"/>
      <c r="ULE110" s="957"/>
      <c r="ULF110" s="957"/>
      <c r="ULG110" s="957"/>
      <c r="ULH110" s="957"/>
      <c r="ULI110" s="957"/>
      <c r="ULJ110" s="957"/>
      <c r="ULK110" s="957"/>
      <c r="ULL110" s="957"/>
      <c r="ULM110" s="957"/>
      <c r="ULN110" s="957"/>
      <c r="ULO110" s="957"/>
      <c r="ULP110" s="957"/>
      <c r="ULQ110" s="957"/>
      <c r="ULR110" s="957"/>
      <c r="ULS110" s="957"/>
      <c r="ULT110" s="957"/>
      <c r="ULU110" s="957"/>
      <c r="ULV110" s="957"/>
      <c r="ULW110" s="957"/>
      <c r="ULX110" s="957"/>
      <c r="ULY110" s="957"/>
      <c r="ULZ110" s="957"/>
      <c r="UMA110" s="957"/>
      <c r="UMB110" s="957"/>
      <c r="UMC110" s="957"/>
      <c r="UMD110" s="957"/>
      <c r="UME110" s="957"/>
      <c r="UMF110" s="957"/>
      <c r="UMG110" s="957"/>
      <c r="UMH110" s="957"/>
      <c r="UMI110" s="957"/>
      <c r="UMJ110" s="957"/>
      <c r="UMK110" s="957"/>
      <c r="UML110" s="957"/>
      <c r="UMM110" s="957"/>
      <c r="UMN110" s="957"/>
      <c r="UMO110" s="957"/>
      <c r="UMP110" s="957"/>
      <c r="UMQ110" s="957"/>
      <c r="UMR110" s="957"/>
      <c r="UMS110" s="957"/>
      <c r="UMT110" s="957"/>
      <c r="UMU110" s="957"/>
      <c r="UMV110" s="957"/>
      <c r="UMW110" s="957"/>
      <c r="UMX110" s="957"/>
      <c r="UMY110" s="957"/>
      <c r="UMZ110" s="957"/>
      <c r="UNA110" s="957"/>
      <c r="UNB110" s="957"/>
      <c r="UNC110" s="957"/>
      <c r="UND110" s="957"/>
      <c r="UNE110" s="957"/>
      <c r="UNF110" s="957"/>
      <c r="UNG110" s="957"/>
      <c r="UNH110" s="957"/>
      <c r="UNI110" s="957"/>
      <c r="UNJ110" s="957"/>
      <c r="UNK110" s="957"/>
      <c r="UNL110" s="957"/>
      <c r="UNM110" s="957"/>
      <c r="UNN110" s="957"/>
      <c r="UNO110" s="957"/>
      <c r="UNP110" s="957"/>
      <c r="UNQ110" s="957"/>
      <c r="UNR110" s="957"/>
      <c r="UNS110" s="957"/>
      <c r="UNT110" s="957"/>
      <c r="UNU110" s="957"/>
      <c r="UNV110" s="957"/>
      <c r="UNW110" s="957"/>
      <c r="UNX110" s="957"/>
      <c r="UNY110" s="957"/>
      <c r="UNZ110" s="957"/>
      <c r="UOA110" s="957"/>
      <c r="UOB110" s="957"/>
      <c r="UOC110" s="957"/>
      <c r="UOD110" s="957"/>
      <c r="UOE110" s="957"/>
      <c r="UOF110" s="957"/>
      <c r="UOG110" s="957"/>
      <c r="UOH110" s="957"/>
      <c r="UOI110" s="957"/>
      <c r="UOJ110" s="957"/>
      <c r="UOK110" s="957"/>
      <c r="UOL110" s="957"/>
      <c r="UOM110" s="957"/>
      <c r="UON110" s="957"/>
      <c r="UOO110" s="957"/>
      <c r="UOP110" s="957"/>
      <c r="UOQ110" s="957"/>
      <c r="UOR110" s="957"/>
      <c r="UOS110" s="957"/>
      <c r="UOT110" s="957"/>
      <c r="UOU110" s="957"/>
      <c r="UOV110" s="957"/>
      <c r="UOW110" s="957"/>
      <c r="UOX110" s="957"/>
      <c r="UOY110" s="957"/>
      <c r="UOZ110" s="957"/>
      <c r="UPA110" s="957"/>
      <c r="UPB110" s="957"/>
      <c r="UPC110" s="957"/>
      <c r="UPD110" s="957"/>
      <c r="UPE110" s="957"/>
      <c r="UPF110" s="957"/>
      <c r="UPG110" s="957"/>
      <c r="UPH110" s="957"/>
      <c r="UPI110" s="957"/>
      <c r="UPJ110" s="957"/>
      <c r="UPK110" s="957"/>
      <c r="UPL110" s="957"/>
      <c r="UPM110" s="957"/>
      <c r="UPN110" s="957"/>
      <c r="UPO110" s="957"/>
      <c r="UPP110" s="957"/>
      <c r="UPQ110" s="957"/>
      <c r="UPR110" s="957"/>
      <c r="UPS110" s="957"/>
      <c r="UPT110" s="957"/>
      <c r="UPU110" s="957"/>
      <c r="UPV110" s="957"/>
      <c r="UPW110" s="957"/>
      <c r="UPX110" s="957"/>
      <c r="UPY110" s="957"/>
      <c r="UPZ110" s="957"/>
      <c r="UQA110" s="957"/>
      <c r="UQB110" s="957"/>
      <c r="UQC110" s="957"/>
      <c r="UQD110" s="957"/>
      <c r="UQE110" s="957"/>
      <c r="UQF110" s="957"/>
      <c r="UQG110" s="957"/>
      <c r="UQH110" s="957"/>
      <c r="UQI110" s="957"/>
      <c r="UQJ110" s="957"/>
      <c r="UQK110" s="957"/>
      <c r="UQL110" s="957"/>
      <c r="UQM110" s="957"/>
      <c r="UQN110" s="957"/>
      <c r="UQO110" s="957"/>
      <c r="UQP110" s="957"/>
      <c r="UQQ110" s="957"/>
      <c r="UQR110" s="957"/>
      <c r="UQS110" s="957"/>
      <c r="UQT110" s="957"/>
      <c r="UQU110" s="957"/>
      <c r="UQV110" s="957"/>
      <c r="UQW110" s="957"/>
      <c r="UQX110" s="957"/>
      <c r="UQY110" s="957"/>
      <c r="UQZ110" s="957"/>
      <c r="URA110" s="957"/>
      <c r="URB110" s="957"/>
      <c r="URC110" s="957"/>
      <c r="URD110" s="957"/>
      <c r="URE110" s="957"/>
      <c r="URF110" s="957"/>
      <c r="URG110" s="957"/>
      <c r="URH110" s="957"/>
      <c r="URI110" s="957"/>
      <c r="URJ110" s="957"/>
      <c r="URK110" s="957"/>
      <c r="URL110" s="957"/>
      <c r="URM110" s="957"/>
      <c r="URN110" s="957"/>
      <c r="URO110" s="957"/>
      <c r="URP110" s="957"/>
      <c r="URQ110" s="957"/>
      <c r="URR110" s="957"/>
      <c r="URS110" s="957"/>
      <c r="URT110" s="957"/>
      <c r="URU110" s="957"/>
      <c r="URV110" s="957"/>
      <c r="URW110" s="957"/>
      <c r="URX110" s="957"/>
      <c r="URY110" s="957"/>
      <c r="URZ110" s="957"/>
      <c r="USA110" s="957"/>
      <c r="USB110" s="957"/>
      <c r="USC110" s="957"/>
      <c r="USD110" s="957"/>
      <c r="USE110" s="957"/>
      <c r="USF110" s="957"/>
      <c r="USG110" s="957"/>
      <c r="USH110" s="957"/>
      <c r="USI110" s="957"/>
      <c r="USJ110" s="957"/>
      <c r="USK110" s="957"/>
      <c r="USL110" s="957"/>
      <c r="USM110" s="957"/>
      <c r="USN110" s="957"/>
      <c r="USO110" s="957"/>
      <c r="USP110" s="957"/>
      <c r="USQ110" s="957"/>
      <c r="USR110" s="957"/>
      <c r="USS110" s="957"/>
      <c r="UST110" s="957"/>
      <c r="USU110" s="957"/>
      <c r="USV110" s="957"/>
      <c r="USW110" s="957"/>
      <c r="USX110" s="957"/>
      <c r="USY110" s="957"/>
      <c r="USZ110" s="957"/>
      <c r="UTA110" s="957"/>
      <c r="UTB110" s="957"/>
      <c r="UTC110" s="957"/>
      <c r="UTD110" s="957"/>
      <c r="UTE110" s="957"/>
      <c r="UTF110" s="957"/>
      <c r="UTG110" s="957"/>
      <c r="UTH110" s="957"/>
      <c r="UTI110" s="957"/>
      <c r="UTJ110" s="957"/>
      <c r="UTK110" s="957"/>
      <c r="UTL110" s="957"/>
      <c r="UTM110" s="957"/>
      <c r="UTN110" s="957"/>
      <c r="UTO110" s="957"/>
      <c r="UTP110" s="957"/>
      <c r="UTQ110" s="957"/>
      <c r="UTR110" s="957"/>
      <c r="UTS110" s="957"/>
      <c r="UTT110" s="957"/>
      <c r="UTU110" s="957"/>
      <c r="UTV110" s="957"/>
      <c r="UTW110" s="957"/>
      <c r="UTX110" s="957"/>
      <c r="UTY110" s="957"/>
      <c r="UTZ110" s="957"/>
      <c r="UUA110" s="957"/>
      <c r="UUB110" s="957"/>
      <c r="UUC110" s="957"/>
      <c r="UUD110" s="957"/>
      <c r="UUE110" s="957"/>
      <c r="UUF110" s="957"/>
      <c r="UUG110" s="957"/>
      <c r="UUH110" s="957"/>
      <c r="UUI110" s="957"/>
      <c r="UUJ110" s="957"/>
      <c r="UUK110" s="957"/>
      <c r="UUL110" s="957"/>
      <c r="UUM110" s="957"/>
      <c r="UUN110" s="957"/>
      <c r="UUO110" s="957"/>
      <c r="UUP110" s="957"/>
      <c r="UUQ110" s="957"/>
      <c r="UUR110" s="957"/>
      <c r="UUS110" s="957"/>
      <c r="UUT110" s="957"/>
      <c r="UUU110" s="957"/>
      <c r="UUV110" s="957"/>
      <c r="UUW110" s="957"/>
      <c r="UUX110" s="957"/>
      <c r="UUY110" s="957"/>
      <c r="UUZ110" s="957"/>
      <c r="UVA110" s="957"/>
      <c r="UVB110" s="957"/>
      <c r="UVC110" s="957"/>
      <c r="UVD110" s="957"/>
      <c r="UVE110" s="957"/>
      <c r="UVF110" s="957"/>
      <c r="UVG110" s="957"/>
      <c r="UVH110" s="957"/>
      <c r="UVI110" s="957"/>
      <c r="UVJ110" s="957"/>
      <c r="UVK110" s="957"/>
      <c r="UVL110" s="957"/>
      <c r="UVM110" s="957"/>
      <c r="UVN110" s="957"/>
      <c r="UVO110" s="957"/>
      <c r="UVP110" s="957"/>
      <c r="UVQ110" s="957"/>
      <c r="UVR110" s="957"/>
      <c r="UVS110" s="957"/>
      <c r="UVT110" s="957"/>
      <c r="UVU110" s="957"/>
      <c r="UVV110" s="957"/>
      <c r="UVW110" s="957"/>
      <c r="UVX110" s="957"/>
      <c r="UVY110" s="957"/>
      <c r="UVZ110" s="957"/>
      <c r="UWA110" s="957"/>
      <c r="UWB110" s="957"/>
      <c r="UWC110" s="957"/>
      <c r="UWD110" s="957"/>
      <c r="UWE110" s="957"/>
      <c r="UWF110" s="957"/>
      <c r="UWG110" s="957"/>
      <c r="UWH110" s="957"/>
      <c r="UWI110" s="957"/>
      <c r="UWJ110" s="957"/>
      <c r="UWK110" s="957"/>
      <c r="UWL110" s="957"/>
      <c r="UWM110" s="957"/>
      <c r="UWN110" s="957"/>
      <c r="UWO110" s="957"/>
      <c r="UWP110" s="957"/>
      <c r="UWQ110" s="957"/>
      <c r="UWR110" s="957"/>
      <c r="UWS110" s="957"/>
      <c r="UWT110" s="957"/>
      <c r="UWU110" s="957"/>
      <c r="UWV110" s="957"/>
      <c r="UWW110" s="957"/>
      <c r="UWX110" s="957"/>
      <c r="UWY110" s="957"/>
      <c r="UWZ110" s="957"/>
      <c r="UXA110" s="957"/>
      <c r="UXB110" s="957"/>
      <c r="UXC110" s="957"/>
      <c r="UXD110" s="957"/>
      <c r="UXE110" s="957"/>
      <c r="UXF110" s="957"/>
      <c r="UXG110" s="957"/>
      <c r="UXH110" s="957"/>
      <c r="UXI110" s="957"/>
      <c r="UXJ110" s="957"/>
      <c r="UXK110" s="957"/>
      <c r="UXL110" s="957"/>
      <c r="UXM110" s="957"/>
      <c r="UXN110" s="957"/>
      <c r="UXO110" s="957"/>
      <c r="UXP110" s="957"/>
      <c r="UXQ110" s="957"/>
      <c r="UXR110" s="957"/>
      <c r="UXS110" s="957"/>
      <c r="UXT110" s="957"/>
      <c r="UXU110" s="957"/>
      <c r="UXV110" s="957"/>
      <c r="UXW110" s="957"/>
      <c r="UXX110" s="957"/>
      <c r="UXY110" s="957"/>
      <c r="UXZ110" s="957"/>
      <c r="UYA110" s="957"/>
      <c r="UYB110" s="957"/>
      <c r="UYC110" s="957"/>
      <c r="UYD110" s="957"/>
      <c r="UYE110" s="957"/>
      <c r="UYF110" s="957"/>
      <c r="UYG110" s="957"/>
      <c r="UYH110" s="957"/>
      <c r="UYI110" s="957"/>
      <c r="UYJ110" s="957"/>
      <c r="UYK110" s="957"/>
      <c r="UYL110" s="957"/>
      <c r="UYM110" s="957"/>
      <c r="UYN110" s="957"/>
      <c r="UYO110" s="957"/>
      <c r="UYP110" s="957"/>
      <c r="UYQ110" s="957"/>
      <c r="UYR110" s="957"/>
      <c r="UYS110" s="957"/>
      <c r="UYT110" s="957"/>
      <c r="UYU110" s="957"/>
      <c r="UYV110" s="957"/>
      <c r="UYW110" s="957"/>
      <c r="UYX110" s="957"/>
      <c r="UYY110" s="957"/>
      <c r="UYZ110" s="957"/>
      <c r="UZA110" s="957"/>
      <c r="UZB110" s="957"/>
      <c r="UZC110" s="957"/>
      <c r="UZD110" s="957"/>
      <c r="UZE110" s="957"/>
      <c r="UZF110" s="957"/>
      <c r="UZG110" s="957"/>
      <c r="UZH110" s="957"/>
      <c r="UZI110" s="957"/>
      <c r="UZJ110" s="957"/>
      <c r="UZK110" s="957"/>
      <c r="UZL110" s="957"/>
      <c r="UZM110" s="957"/>
      <c r="UZN110" s="957"/>
      <c r="UZO110" s="957"/>
      <c r="UZP110" s="957"/>
      <c r="UZQ110" s="957"/>
      <c r="UZR110" s="957"/>
      <c r="UZS110" s="957"/>
      <c r="UZT110" s="957"/>
      <c r="UZU110" s="957"/>
      <c r="UZV110" s="957"/>
      <c r="UZW110" s="957"/>
      <c r="UZX110" s="957"/>
      <c r="UZY110" s="957"/>
      <c r="UZZ110" s="957"/>
      <c r="VAA110" s="957"/>
      <c r="VAB110" s="957"/>
      <c r="VAC110" s="957"/>
      <c r="VAD110" s="957"/>
      <c r="VAE110" s="957"/>
      <c r="VAF110" s="957"/>
      <c r="VAG110" s="957"/>
      <c r="VAH110" s="957"/>
      <c r="VAI110" s="957"/>
      <c r="VAJ110" s="957"/>
      <c r="VAK110" s="957"/>
      <c r="VAL110" s="957"/>
      <c r="VAM110" s="957"/>
      <c r="VAN110" s="957"/>
      <c r="VAO110" s="957"/>
      <c r="VAP110" s="957"/>
      <c r="VAQ110" s="957"/>
      <c r="VAR110" s="957"/>
      <c r="VAS110" s="957"/>
      <c r="VAT110" s="957"/>
      <c r="VAU110" s="957"/>
      <c r="VAV110" s="957"/>
      <c r="VAW110" s="957"/>
      <c r="VAX110" s="957"/>
      <c r="VAY110" s="957"/>
      <c r="VAZ110" s="957"/>
      <c r="VBA110" s="957"/>
      <c r="VBB110" s="957"/>
      <c r="VBC110" s="957"/>
      <c r="VBD110" s="957"/>
      <c r="VBE110" s="957"/>
      <c r="VBF110" s="957"/>
      <c r="VBG110" s="957"/>
      <c r="VBH110" s="957"/>
      <c r="VBI110" s="957"/>
      <c r="VBJ110" s="957"/>
      <c r="VBK110" s="957"/>
      <c r="VBL110" s="957"/>
      <c r="VBM110" s="957"/>
      <c r="VBN110" s="957"/>
      <c r="VBO110" s="957"/>
      <c r="VBP110" s="957"/>
      <c r="VBQ110" s="957"/>
      <c r="VBR110" s="957"/>
      <c r="VBS110" s="957"/>
      <c r="VBT110" s="957"/>
      <c r="VBU110" s="957"/>
      <c r="VBV110" s="957"/>
      <c r="VBW110" s="957"/>
      <c r="VBX110" s="957"/>
      <c r="VBY110" s="957"/>
      <c r="VBZ110" s="957"/>
      <c r="VCA110" s="957"/>
      <c r="VCB110" s="957"/>
      <c r="VCC110" s="957"/>
      <c r="VCD110" s="957"/>
      <c r="VCE110" s="957"/>
      <c r="VCF110" s="957"/>
      <c r="VCG110" s="957"/>
      <c r="VCH110" s="957"/>
      <c r="VCI110" s="957"/>
      <c r="VCJ110" s="957"/>
      <c r="VCK110" s="957"/>
      <c r="VCL110" s="957"/>
      <c r="VCM110" s="957"/>
      <c r="VCN110" s="957"/>
      <c r="VCO110" s="957"/>
      <c r="VCP110" s="957"/>
      <c r="VCQ110" s="957"/>
      <c r="VCR110" s="957"/>
      <c r="VCS110" s="957"/>
      <c r="VCT110" s="957"/>
      <c r="VCU110" s="957"/>
      <c r="VCV110" s="957"/>
      <c r="VCW110" s="957"/>
      <c r="VCX110" s="957"/>
      <c r="VCY110" s="957"/>
      <c r="VCZ110" s="957"/>
      <c r="VDA110" s="957"/>
      <c r="VDB110" s="957"/>
      <c r="VDC110" s="957"/>
      <c r="VDD110" s="957"/>
      <c r="VDE110" s="957"/>
      <c r="VDF110" s="957"/>
      <c r="VDG110" s="957"/>
      <c r="VDH110" s="957"/>
      <c r="VDI110" s="957"/>
      <c r="VDJ110" s="957"/>
      <c r="VDK110" s="957"/>
      <c r="VDL110" s="957"/>
      <c r="VDM110" s="957"/>
      <c r="VDN110" s="957"/>
      <c r="VDO110" s="957"/>
      <c r="VDP110" s="957"/>
      <c r="VDQ110" s="957"/>
      <c r="VDR110" s="957"/>
      <c r="VDS110" s="957"/>
      <c r="VDT110" s="957"/>
      <c r="VDU110" s="957"/>
      <c r="VDV110" s="957"/>
      <c r="VDW110" s="957"/>
      <c r="VDX110" s="957"/>
      <c r="VDY110" s="957"/>
      <c r="VDZ110" s="957"/>
      <c r="VEA110" s="957"/>
      <c r="VEB110" s="957"/>
      <c r="VEC110" s="957"/>
      <c r="VED110" s="957"/>
      <c r="VEE110" s="957"/>
      <c r="VEF110" s="957"/>
      <c r="VEG110" s="957"/>
      <c r="VEH110" s="957"/>
      <c r="VEI110" s="957"/>
      <c r="VEJ110" s="957"/>
      <c r="VEK110" s="957"/>
      <c r="VEL110" s="957"/>
      <c r="VEM110" s="957"/>
      <c r="VEN110" s="957"/>
      <c r="VEO110" s="957"/>
      <c r="VEP110" s="957"/>
      <c r="VEQ110" s="957"/>
      <c r="VER110" s="957"/>
      <c r="VES110" s="957"/>
      <c r="VET110" s="957"/>
      <c r="VEU110" s="957"/>
      <c r="VEV110" s="957"/>
      <c r="VEW110" s="957"/>
      <c r="VEX110" s="957"/>
      <c r="VEY110" s="957"/>
      <c r="VEZ110" s="957"/>
      <c r="VFA110" s="957"/>
      <c r="VFB110" s="957"/>
      <c r="VFC110" s="957"/>
      <c r="VFD110" s="957"/>
      <c r="VFE110" s="957"/>
      <c r="VFF110" s="957"/>
      <c r="VFG110" s="957"/>
      <c r="VFH110" s="957"/>
      <c r="VFI110" s="957"/>
      <c r="VFJ110" s="957"/>
      <c r="VFK110" s="957"/>
      <c r="VFL110" s="957"/>
      <c r="VFM110" s="957"/>
      <c r="VFN110" s="957"/>
      <c r="VFO110" s="957"/>
      <c r="VFP110" s="957"/>
      <c r="VFQ110" s="957"/>
      <c r="VFR110" s="957"/>
      <c r="VFS110" s="957"/>
      <c r="VFT110" s="957"/>
      <c r="VFU110" s="957"/>
      <c r="VFV110" s="957"/>
      <c r="VFW110" s="957"/>
      <c r="VFX110" s="957"/>
      <c r="VFY110" s="957"/>
      <c r="VFZ110" s="957"/>
      <c r="VGA110" s="957"/>
      <c r="VGB110" s="957"/>
      <c r="VGC110" s="957"/>
      <c r="VGD110" s="957"/>
      <c r="VGE110" s="957"/>
      <c r="VGF110" s="957"/>
      <c r="VGG110" s="957"/>
      <c r="VGH110" s="957"/>
      <c r="VGI110" s="957"/>
      <c r="VGJ110" s="957"/>
      <c r="VGK110" s="957"/>
      <c r="VGL110" s="957"/>
      <c r="VGM110" s="957"/>
      <c r="VGN110" s="957"/>
      <c r="VGO110" s="957"/>
      <c r="VGP110" s="957"/>
      <c r="VGQ110" s="957"/>
      <c r="VGR110" s="957"/>
      <c r="VGS110" s="957"/>
      <c r="VGT110" s="957"/>
      <c r="VGU110" s="957"/>
      <c r="VGV110" s="957"/>
      <c r="VGW110" s="957"/>
      <c r="VGX110" s="957"/>
      <c r="VGY110" s="957"/>
      <c r="VGZ110" s="957"/>
      <c r="VHA110" s="957"/>
      <c r="VHB110" s="957"/>
      <c r="VHC110" s="957"/>
      <c r="VHD110" s="957"/>
      <c r="VHE110" s="957"/>
      <c r="VHF110" s="957"/>
      <c r="VHG110" s="957"/>
      <c r="VHH110" s="957"/>
      <c r="VHI110" s="957"/>
      <c r="VHJ110" s="957"/>
      <c r="VHK110" s="957"/>
      <c r="VHL110" s="957"/>
      <c r="VHM110" s="957"/>
      <c r="VHN110" s="957"/>
      <c r="VHO110" s="957"/>
      <c r="VHP110" s="957"/>
      <c r="VHQ110" s="957"/>
      <c r="VHR110" s="957"/>
      <c r="VHS110" s="957"/>
      <c r="VHT110" s="957"/>
      <c r="VHU110" s="957"/>
      <c r="VHV110" s="957"/>
      <c r="VHW110" s="957"/>
      <c r="VHX110" s="957"/>
      <c r="VHY110" s="957"/>
      <c r="VHZ110" s="957"/>
      <c r="VIA110" s="957"/>
      <c r="VIB110" s="957"/>
      <c r="VIC110" s="957"/>
      <c r="VID110" s="957"/>
      <c r="VIE110" s="957"/>
      <c r="VIF110" s="957"/>
      <c r="VIG110" s="957"/>
      <c r="VIH110" s="957"/>
      <c r="VII110" s="957"/>
      <c r="VIJ110" s="957"/>
      <c r="VIK110" s="957"/>
      <c r="VIL110" s="957"/>
      <c r="VIM110" s="957"/>
      <c r="VIN110" s="957"/>
      <c r="VIO110" s="957"/>
      <c r="VIP110" s="957"/>
      <c r="VIQ110" s="957"/>
      <c r="VIR110" s="957"/>
      <c r="VIS110" s="957"/>
      <c r="VIT110" s="957"/>
      <c r="VIU110" s="957"/>
      <c r="VIV110" s="957"/>
      <c r="VIW110" s="957"/>
      <c r="VIX110" s="957"/>
      <c r="VIY110" s="957"/>
      <c r="VIZ110" s="957"/>
      <c r="VJA110" s="957"/>
      <c r="VJB110" s="957"/>
      <c r="VJC110" s="957"/>
      <c r="VJD110" s="957"/>
      <c r="VJE110" s="957"/>
      <c r="VJF110" s="957"/>
      <c r="VJG110" s="957"/>
      <c r="VJH110" s="957"/>
      <c r="VJI110" s="957"/>
      <c r="VJJ110" s="957"/>
      <c r="VJK110" s="957"/>
      <c r="VJL110" s="957"/>
      <c r="VJM110" s="957"/>
      <c r="VJN110" s="957"/>
      <c r="VJO110" s="957"/>
      <c r="VJP110" s="957"/>
      <c r="VJQ110" s="957"/>
      <c r="VJR110" s="957"/>
      <c r="VJS110" s="957"/>
      <c r="VJT110" s="957"/>
      <c r="VJU110" s="957"/>
      <c r="VJV110" s="957"/>
      <c r="VJW110" s="957"/>
      <c r="VJX110" s="957"/>
      <c r="VJY110" s="957"/>
      <c r="VJZ110" s="957"/>
      <c r="VKA110" s="957"/>
      <c r="VKB110" s="957"/>
      <c r="VKC110" s="957"/>
      <c r="VKD110" s="957"/>
      <c r="VKE110" s="957"/>
      <c r="VKF110" s="957"/>
      <c r="VKG110" s="957"/>
      <c r="VKH110" s="957"/>
      <c r="VKI110" s="957"/>
      <c r="VKJ110" s="957"/>
      <c r="VKK110" s="957"/>
      <c r="VKL110" s="957"/>
      <c r="VKM110" s="957"/>
      <c r="VKN110" s="957"/>
      <c r="VKO110" s="957"/>
      <c r="VKP110" s="957"/>
      <c r="VKQ110" s="957"/>
      <c r="VKR110" s="957"/>
      <c r="VKS110" s="957"/>
      <c r="VKT110" s="957"/>
      <c r="VKU110" s="957"/>
      <c r="VKV110" s="957"/>
      <c r="VKW110" s="957"/>
      <c r="VKX110" s="957"/>
      <c r="VKY110" s="957"/>
      <c r="VKZ110" s="957"/>
      <c r="VLA110" s="957"/>
      <c r="VLB110" s="957"/>
      <c r="VLC110" s="957"/>
      <c r="VLD110" s="957"/>
      <c r="VLE110" s="957"/>
      <c r="VLF110" s="957"/>
      <c r="VLG110" s="957"/>
      <c r="VLH110" s="957"/>
      <c r="VLI110" s="957"/>
      <c r="VLJ110" s="957"/>
      <c r="VLK110" s="957"/>
      <c r="VLL110" s="957"/>
      <c r="VLM110" s="957"/>
      <c r="VLN110" s="957"/>
      <c r="VLO110" s="957"/>
      <c r="VLP110" s="957"/>
      <c r="VLQ110" s="957"/>
      <c r="VLR110" s="957"/>
      <c r="VLS110" s="957"/>
      <c r="VLT110" s="957"/>
      <c r="VLU110" s="957"/>
      <c r="VLV110" s="957"/>
      <c r="VLW110" s="957"/>
      <c r="VLX110" s="957"/>
      <c r="VLY110" s="957"/>
      <c r="VLZ110" s="957"/>
      <c r="VMA110" s="957"/>
      <c r="VMB110" s="957"/>
      <c r="VMC110" s="957"/>
      <c r="VMD110" s="957"/>
      <c r="VME110" s="957"/>
      <c r="VMF110" s="957"/>
      <c r="VMG110" s="957"/>
      <c r="VMH110" s="957"/>
      <c r="VMI110" s="957"/>
      <c r="VMJ110" s="957"/>
      <c r="VMK110" s="957"/>
      <c r="VML110" s="957"/>
      <c r="VMM110" s="957"/>
      <c r="VMN110" s="957"/>
      <c r="VMO110" s="957"/>
      <c r="VMP110" s="957"/>
      <c r="VMQ110" s="957"/>
      <c r="VMR110" s="957"/>
      <c r="VMS110" s="957"/>
      <c r="VMT110" s="957"/>
      <c r="VMU110" s="957"/>
      <c r="VMV110" s="957"/>
      <c r="VMW110" s="957"/>
      <c r="VMX110" s="957"/>
      <c r="VMY110" s="957"/>
      <c r="VMZ110" s="957"/>
      <c r="VNA110" s="957"/>
      <c r="VNB110" s="957"/>
      <c r="VNC110" s="957"/>
      <c r="VND110" s="957"/>
      <c r="VNE110" s="957"/>
      <c r="VNF110" s="957"/>
      <c r="VNG110" s="957"/>
      <c r="VNH110" s="957"/>
      <c r="VNI110" s="957"/>
      <c r="VNJ110" s="957"/>
      <c r="VNK110" s="957"/>
      <c r="VNL110" s="957"/>
      <c r="VNM110" s="957"/>
      <c r="VNN110" s="957"/>
      <c r="VNO110" s="957"/>
      <c r="VNP110" s="957"/>
      <c r="VNQ110" s="957"/>
      <c r="VNR110" s="957"/>
      <c r="VNS110" s="957"/>
      <c r="VNT110" s="957"/>
      <c r="VNU110" s="957"/>
      <c r="VNV110" s="957"/>
      <c r="VNW110" s="957"/>
      <c r="VNX110" s="957"/>
      <c r="VNY110" s="957"/>
      <c r="VNZ110" s="957"/>
      <c r="VOA110" s="957"/>
      <c r="VOB110" s="957"/>
      <c r="VOC110" s="957"/>
      <c r="VOD110" s="957"/>
      <c r="VOE110" s="957"/>
      <c r="VOF110" s="957"/>
      <c r="VOG110" s="957"/>
      <c r="VOH110" s="957"/>
      <c r="VOI110" s="957"/>
      <c r="VOJ110" s="957"/>
      <c r="VOK110" s="957"/>
      <c r="VOL110" s="957"/>
      <c r="VOM110" s="957"/>
      <c r="VON110" s="957"/>
      <c r="VOO110" s="957"/>
      <c r="VOP110" s="957"/>
      <c r="VOQ110" s="957"/>
      <c r="VOR110" s="957"/>
      <c r="VOS110" s="957"/>
      <c r="VOT110" s="957"/>
      <c r="VOU110" s="957"/>
      <c r="VOV110" s="957"/>
      <c r="VOW110" s="957"/>
      <c r="VOX110" s="957"/>
      <c r="VOY110" s="957"/>
      <c r="VOZ110" s="957"/>
      <c r="VPA110" s="957"/>
      <c r="VPB110" s="957"/>
      <c r="VPC110" s="957"/>
      <c r="VPD110" s="957"/>
      <c r="VPE110" s="957"/>
      <c r="VPF110" s="957"/>
      <c r="VPG110" s="957"/>
      <c r="VPH110" s="957"/>
      <c r="VPI110" s="957"/>
      <c r="VPJ110" s="957"/>
      <c r="VPK110" s="957"/>
      <c r="VPL110" s="957"/>
      <c r="VPM110" s="957"/>
      <c r="VPN110" s="957"/>
      <c r="VPO110" s="957"/>
      <c r="VPP110" s="957"/>
      <c r="VPQ110" s="957"/>
      <c r="VPR110" s="957"/>
      <c r="VPS110" s="957"/>
      <c r="VPT110" s="957"/>
      <c r="VPU110" s="957"/>
      <c r="VPV110" s="957"/>
      <c r="VPW110" s="957"/>
      <c r="VPX110" s="957"/>
      <c r="VPY110" s="957"/>
      <c r="VPZ110" s="957"/>
      <c r="VQA110" s="957"/>
      <c r="VQB110" s="957"/>
      <c r="VQC110" s="957"/>
      <c r="VQD110" s="957"/>
      <c r="VQE110" s="957"/>
      <c r="VQF110" s="957"/>
      <c r="VQG110" s="957"/>
      <c r="VQH110" s="957"/>
      <c r="VQI110" s="957"/>
      <c r="VQJ110" s="957"/>
      <c r="VQK110" s="957"/>
      <c r="VQL110" s="957"/>
      <c r="VQM110" s="957"/>
      <c r="VQN110" s="957"/>
      <c r="VQO110" s="957"/>
      <c r="VQP110" s="957"/>
      <c r="VQQ110" s="957"/>
      <c r="VQR110" s="957"/>
      <c r="VQS110" s="957"/>
      <c r="VQT110" s="957"/>
      <c r="VQU110" s="957"/>
      <c r="VQV110" s="957"/>
      <c r="VQW110" s="957"/>
      <c r="VQX110" s="957"/>
      <c r="VQY110" s="957"/>
      <c r="VQZ110" s="957"/>
      <c r="VRA110" s="957"/>
      <c r="VRB110" s="957"/>
      <c r="VRC110" s="957"/>
      <c r="VRD110" s="957"/>
      <c r="VRE110" s="957"/>
      <c r="VRF110" s="957"/>
      <c r="VRG110" s="957"/>
      <c r="VRH110" s="957"/>
      <c r="VRI110" s="957"/>
      <c r="VRJ110" s="957"/>
      <c r="VRK110" s="957"/>
      <c r="VRL110" s="957"/>
      <c r="VRM110" s="957"/>
      <c r="VRN110" s="957"/>
      <c r="VRO110" s="957"/>
      <c r="VRP110" s="957"/>
      <c r="VRQ110" s="957"/>
      <c r="VRR110" s="957"/>
      <c r="VRS110" s="957"/>
      <c r="VRT110" s="957"/>
      <c r="VRU110" s="957"/>
      <c r="VRV110" s="957"/>
      <c r="VRW110" s="957"/>
      <c r="VRX110" s="957"/>
      <c r="VRY110" s="957"/>
      <c r="VRZ110" s="957"/>
      <c r="VSA110" s="957"/>
      <c r="VSB110" s="957"/>
      <c r="VSC110" s="957"/>
      <c r="VSD110" s="957"/>
      <c r="VSE110" s="957"/>
      <c r="VSF110" s="957"/>
      <c r="VSG110" s="957"/>
      <c r="VSH110" s="957"/>
      <c r="VSI110" s="957"/>
      <c r="VSJ110" s="957"/>
      <c r="VSK110" s="957"/>
      <c r="VSL110" s="957"/>
      <c r="VSM110" s="957"/>
      <c r="VSN110" s="957"/>
      <c r="VSO110" s="957"/>
      <c r="VSP110" s="957"/>
      <c r="VSQ110" s="957"/>
      <c r="VSR110" s="957"/>
      <c r="VSS110" s="957"/>
      <c r="VST110" s="957"/>
      <c r="VSU110" s="957"/>
      <c r="VSV110" s="957"/>
      <c r="VSW110" s="957"/>
      <c r="VSX110" s="957"/>
      <c r="VSY110" s="957"/>
      <c r="VSZ110" s="957"/>
      <c r="VTA110" s="957"/>
      <c r="VTB110" s="957"/>
      <c r="VTC110" s="957"/>
      <c r="VTD110" s="957"/>
      <c r="VTE110" s="957"/>
      <c r="VTF110" s="957"/>
      <c r="VTG110" s="957"/>
      <c r="VTH110" s="957"/>
      <c r="VTI110" s="957"/>
      <c r="VTJ110" s="957"/>
      <c r="VTK110" s="957"/>
      <c r="VTL110" s="957"/>
      <c r="VTM110" s="957"/>
      <c r="VTN110" s="957"/>
      <c r="VTO110" s="957"/>
      <c r="VTP110" s="957"/>
      <c r="VTQ110" s="957"/>
      <c r="VTR110" s="957"/>
      <c r="VTS110" s="957"/>
      <c r="VTT110" s="957"/>
      <c r="VTU110" s="957"/>
      <c r="VTV110" s="957"/>
      <c r="VTW110" s="957"/>
      <c r="VTX110" s="957"/>
      <c r="VTY110" s="957"/>
      <c r="VTZ110" s="957"/>
      <c r="VUA110" s="957"/>
      <c r="VUB110" s="957"/>
      <c r="VUC110" s="957"/>
      <c r="VUD110" s="957"/>
      <c r="VUE110" s="957"/>
      <c r="VUF110" s="957"/>
      <c r="VUG110" s="957"/>
      <c r="VUH110" s="957"/>
      <c r="VUI110" s="957"/>
      <c r="VUJ110" s="957"/>
      <c r="VUK110" s="957"/>
      <c r="VUL110" s="957"/>
      <c r="VUM110" s="957"/>
      <c r="VUN110" s="957"/>
      <c r="VUO110" s="957"/>
      <c r="VUP110" s="957"/>
      <c r="VUQ110" s="957"/>
      <c r="VUR110" s="957"/>
      <c r="VUS110" s="957"/>
      <c r="VUT110" s="957"/>
      <c r="VUU110" s="957"/>
      <c r="VUV110" s="957"/>
      <c r="VUW110" s="957"/>
      <c r="VUX110" s="957"/>
      <c r="VUY110" s="957"/>
      <c r="VUZ110" s="957"/>
      <c r="VVA110" s="957"/>
      <c r="VVB110" s="957"/>
      <c r="VVC110" s="957"/>
      <c r="VVD110" s="957"/>
      <c r="VVE110" s="957"/>
      <c r="VVF110" s="957"/>
      <c r="VVG110" s="957"/>
      <c r="VVH110" s="957"/>
      <c r="VVI110" s="957"/>
      <c r="VVJ110" s="957"/>
      <c r="VVK110" s="957"/>
      <c r="VVL110" s="957"/>
      <c r="VVM110" s="957"/>
      <c r="VVN110" s="957"/>
      <c r="VVO110" s="957"/>
      <c r="VVP110" s="957"/>
      <c r="VVQ110" s="957"/>
      <c r="VVR110" s="957"/>
      <c r="VVS110" s="957"/>
      <c r="VVT110" s="957"/>
      <c r="VVU110" s="957"/>
      <c r="VVV110" s="957"/>
      <c r="VVW110" s="957"/>
      <c r="VVX110" s="957"/>
      <c r="VVY110" s="957"/>
      <c r="VVZ110" s="957"/>
      <c r="VWA110" s="957"/>
      <c r="VWB110" s="957"/>
      <c r="VWC110" s="957"/>
      <c r="VWD110" s="957"/>
      <c r="VWE110" s="957"/>
      <c r="VWF110" s="957"/>
      <c r="VWG110" s="957"/>
      <c r="VWH110" s="957"/>
      <c r="VWI110" s="957"/>
      <c r="VWJ110" s="957"/>
      <c r="VWK110" s="957"/>
      <c r="VWL110" s="957"/>
      <c r="VWM110" s="957"/>
      <c r="VWN110" s="957"/>
      <c r="VWO110" s="957"/>
      <c r="VWP110" s="957"/>
      <c r="VWQ110" s="957"/>
      <c r="VWR110" s="957"/>
      <c r="VWS110" s="957"/>
      <c r="VWT110" s="957"/>
      <c r="VWU110" s="957"/>
      <c r="VWV110" s="957"/>
      <c r="VWW110" s="957"/>
      <c r="VWX110" s="957"/>
      <c r="VWY110" s="957"/>
      <c r="VWZ110" s="957"/>
      <c r="VXA110" s="957"/>
      <c r="VXB110" s="957"/>
      <c r="VXC110" s="957"/>
      <c r="VXD110" s="957"/>
      <c r="VXE110" s="957"/>
      <c r="VXF110" s="957"/>
      <c r="VXG110" s="957"/>
      <c r="VXH110" s="957"/>
      <c r="VXI110" s="957"/>
      <c r="VXJ110" s="957"/>
      <c r="VXK110" s="957"/>
      <c r="VXL110" s="957"/>
      <c r="VXM110" s="957"/>
      <c r="VXN110" s="957"/>
      <c r="VXO110" s="957"/>
      <c r="VXP110" s="957"/>
      <c r="VXQ110" s="957"/>
      <c r="VXR110" s="957"/>
      <c r="VXS110" s="957"/>
      <c r="VXT110" s="957"/>
      <c r="VXU110" s="957"/>
      <c r="VXV110" s="957"/>
      <c r="VXW110" s="957"/>
      <c r="VXX110" s="957"/>
      <c r="VXY110" s="957"/>
      <c r="VXZ110" s="957"/>
      <c r="VYA110" s="957"/>
      <c r="VYB110" s="957"/>
      <c r="VYC110" s="957"/>
      <c r="VYD110" s="957"/>
      <c r="VYE110" s="957"/>
      <c r="VYF110" s="957"/>
      <c r="VYG110" s="957"/>
      <c r="VYH110" s="957"/>
      <c r="VYI110" s="957"/>
      <c r="VYJ110" s="957"/>
      <c r="VYK110" s="957"/>
      <c r="VYL110" s="957"/>
      <c r="VYM110" s="957"/>
      <c r="VYN110" s="957"/>
      <c r="VYO110" s="957"/>
      <c r="VYP110" s="957"/>
      <c r="VYQ110" s="957"/>
      <c r="VYR110" s="957"/>
      <c r="VYS110" s="957"/>
      <c r="VYT110" s="957"/>
      <c r="VYU110" s="957"/>
      <c r="VYV110" s="957"/>
      <c r="VYW110" s="957"/>
      <c r="VYX110" s="957"/>
      <c r="VYY110" s="957"/>
      <c r="VYZ110" s="957"/>
      <c r="VZA110" s="957"/>
      <c r="VZB110" s="957"/>
      <c r="VZC110" s="957"/>
      <c r="VZD110" s="957"/>
      <c r="VZE110" s="957"/>
      <c r="VZF110" s="957"/>
      <c r="VZG110" s="957"/>
      <c r="VZH110" s="957"/>
      <c r="VZI110" s="957"/>
      <c r="VZJ110" s="957"/>
      <c r="VZK110" s="957"/>
      <c r="VZL110" s="957"/>
      <c r="VZM110" s="957"/>
      <c r="VZN110" s="957"/>
      <c r="VZO110" s="957"/>
      <c r="VZP110" s="957"/>
      <c r="VZQ110" s="957"/>
      <c r="VZR110" s="957"/>
      <c r="VZS110" s="957"/>
      <c r="VZT110" s="957"/>
      <c r="VZU110" s="957"/>
      <c r="VZV110" s="957"/>
      <c r="VZW110" s="957"/>
      <c r="VZX110" s="957"/>
      <c r="VZY110" s="957"/>
      <c r="VZZ110" s="957"/>
      <c r="WAA110" s="957"/>
      <c r="WAB110" s="957"/>
      <c r="WAC110" s="957"/>
      <c r="WAD110" s="957"/>
      <c r="WAE110" s="957"/>
      <c r="WAF110" s="957"/>
      <c r="WAG110" s="957"/>
      <c r="WAH110" s="957"/>
      <c r="WAI110" s="957"/>
      <c r="WAJ110" s="957"/>
      <c r="WAK110" s="957"/>
      <c r="WAL110" s="957"/>
      <c r="WAM110" s="957"/>
      <c r="WAN110" s="957"/>
      <c r="WAO110" s="957"/>
      <c r="WAP110" s="957"/>
      <c r="WAQ110" s="957"/>
      <c r="WAR110" s="957"/>
      <c r="WAS110" s="957"/>
      <c r="WAT110" s="957"/>
      <c r="WAU110" s="957"/>
      <c r="WAV110" s="957"/>
      <c r="WAW110" s="957"/>
      <c r="WAX110" s="957"/>
      <c r="WAY110" s="957"/>
      <c r="WAZ110" s="957"/>
      <c r="WBA110" s="957"/>
      <c r="WBB110" s="957"/>
      <c r="WBC110" s="957"/>
      <c r="WBD110" s="957"/>
      <c r="WBE110" s="957"/>
      <c r="WBF110" s="957"/>
      <c r="WBG110" s="957"/>
      <c r="WBH110" s="957"/>
      <c r="WBI110" s="957"/>
      <c r="WBJ110" s="957"/>
      <c r="WBK110" s="957"/>
      <c r="WBL110" s="957"/>
      <c r="WBM110" s="957"/>
      <c r="WBN110" s="957"/>
      <c r="WBO110" s="957"/>
      <c r="WBP110" s="957"/>
      <c r="WBQ110" s="957"/>
      <c r="WBR110" s="957"/>
      <c r="WBS110" s="957"/>
      <c r="WBT110" s="957"/>
      <c r="WBU110" s="957"/>
      <c r="WBV110" s="957"/>
      <c r="WBW110" s="957"/>
      <c r="WBX110" s="957"/>
      <c r="WBY110" s="957"/>
      <c r="WBZ110" s="957"/>
      <c r="WCA110" s="957"/>
      <c r="WCB110" s="957"/>
      <c r="WCC110" s="957"/>
      <c r="WCD110" s="957"/>
      <c r="WCE110" s="957"/>
      <c r="WCF110" s="957"/>
      <c r="WCG110" s="957"/>
      <c r="WCH110" s="957"/>
      <c r="WCI110" s="957"/>
      <c r="WCJ110" s="957"/>
      <c r="WCK110" s="957"/>
      <c r="WCL110" s="957"/>
      <c r="WCM110" s="957"/>
      <c r="WCN110" s="957"/>
      <c r="WCO110" s="957"/>
      <c r="WCP110" s="957"/>
      <c r="WCQ110" s="957"/>
      <c r="WCR110" s="957"/>
      <c r="WCS110" s="957"/>
      <c r="WCT110" s="957"/>
      <c r="WCU110" s="957"/>
      <c r="WCV110" s="957"/>
      <c r="WCW110" s="957"/>
      <c r="WCX110" s="957"/>
      <c r="WCY110" s="957"/>
      <c r="WCZ110" s="957"/>
      <c r="WDA110" s="957"/>
      <c r="WDB110" s="957"/>
      <c r="WDC110" s="957"/>
      <c r="WDD110" s="957"/>
      <c r="WDE110" s="957"/>
      <c r="WDF110" s="957"/>
      <c r="WDG110" s="957"/>
      <c r="WDH110" s="957"/>
      <c r="WDI110" s="957"/>
      <c r="WDJ110" s="957"/>
      <c r="WDK110" s="957"/>
      <c r="WDL110" s="957"/>
      <c r="WDM110" s="957"/>
      <c r="WDN110" s="957"/>
      <c r="WDO110" s="957"/>
      <c r="WDP110" s="957"/>
      <c r="WDQ110" s="957"/>
      <c r="WDR110" s="957"/>
      <c r="WDS110" s="957"/>
      <c r="WDT110" s="957"/>
      <c r="WDU110" s="957"/>
      <c r="WDV110" s="957"/>
      <c r="WDW110" s="957"/>
      <c r="WDX110" s="957"/>
      <c r="WDY110" s="957"/>
      <c r="WDZ110" s="957"/>
      <c r="WEA110" s="957"/>
      <c r="WEB110" s="957"/>
      <c r="WEC110" s="957"/>
      <c r="WED110" s="957"/>
      <c r="WEE110" s="957"/>
      <c r="WEF110" s="957"/>
      <c r="WEG110" s="957"/>
      <c r="WEH110" s="957"/>
      <c r="WEI110" s="957"/>
      <c r="WEJ110" s="957"/>
      <c r="WEK110" s="957"/>
      <c r="WEL110" s="957"/>
      <c r="WEM110" s="957"/>
      <c r="WEN110" s="957"/>
      <c r="WEO110" s="957"/>
      <c r="WEP110" s="957"/>
      <c r="WEQ110" s="957"/>
      <c r="WER110" s="957"/>
      <c r="WES110" s="957"/>
      <c r="WET110" s="957"/>
      <c r="WEU110" s="957"/>
      <c r="WEV110" s="957"/>
      <c r="WEW110" s="957"/>
      <c r="WEX110" s="957"/>
      <c r="WEY110" s="957"/>
      <c r="WEZ110" s="957"/>
      <c r="WFA110" s="957"/>
      <c r="WFB110" s="957"/>
      <c r="WFC110" s="957"/>
      <c r="WFD110" s="957"/>
      <c r="WFE110" s="957"/>
      <c r="WFF110" s="957"/>
      <c r="WFG110" s="957"/>
      <c r="WFH110" s="957"/>
      <c r="WFI110" s="957"/>
      <c r="WFJ110" s="957"/>
      <c r="WFK110" s="957"/>
      <c r="WFL110" s="957"/>
      <c r="WFM110" s="957"/>
      <c r="WFN110" s="957"/>
      <c r="WFO110" s="957"/>
      <c r="WFP110" s="957"/>
      <c r="WFQ110" s="957"/>
      <c r="WFR110" s="957"/>
      <c r="WFS110" s="957"/>
      <c r="WFT110" s="957"/>
      <c r="WFU110" s="957"/>
      <c r="WFV110" s="957"/>
      <c r="WFW110" s="957"/>
      <c r="WFX110" s="957"/>
      <c r="WFY110" s="957"/>
      <c r="WFZ110" s="957"/>
      <c r="WGA110" s="957"/>
      <c r="WGB110" s="957"/>
      <c r="WGC110" s="957"/>
      <c r="WGD110" s="957"/>
      <c r="WGE110" s="957"/>
      <c r="WGF110" s="957"/>
      <c r="WGG110" s="957"/>
      <c r="WGH110" s="957"/>
      <c r="WGI110" s="957"/>
      <c r="WGJ110" s="957"/>
      <c r="WGK110" s="957"/>
      <c r="WGL110" s="957"/>
      <c r="WGM110" s="957"/>
      <c r="WGN110" s="957"/>
      <c r="WGO110" s="957"/>
      <c r="WGP110" s="957"/>
      <c r="WGQ110" s="957"/>
      <c r="WGR110" s="957"/>
      <c r="WGS110" s="957"/>
      <c r="WGT110" s="957"/>
      <c r="WGU110" s="957"/>
      <c r="WGV110" s="957"/>
      <c r="WGW110" s="957"/>
      <c r="WGX110" s="957"/>
      <c r="WGY110" s="957"/>
      <c r="WGZ110" s="957"/>
      <c r="WHA110" s="957"/>
      <c r="WHB110" s="957"/>
      <c r="WHC110" s="957"/>
      <c r="WHD110" s="957"/>
      <c r="WHE110" s="957"/>
      <c r="WHF110" s="957"/>
      <c r="WHG110" s="957"/>
      <c r="WHH110" s="957"/>
      <c r="WHI110" s="957"/>
      <c r="WHJ110" s="957"/>
      <c r="WHK110" s="957"/>
      <c r="WHL110" s="957"/>
      <c r="WHM110" s="957"/>
      <c r="WHN110" s="957"/>
      <c r="WHO110" s="957"/>
      <c r="WHP110" s="957"/>
      <c r="WHQ110" s="957"/>
      <c r="WHR110" s="957"/>
      <c r="WHS110" s="957"/>
      <c r="WHT110" s="957"/>
      <c r="WHU110" s="957"/>
      <c r="WHV110" s="957"/>
      <c r="WHW110" s="957"/>
      <c r="WHX110" s="957"/>
      <c r="WHY110" s="957"/>
      <c r="WHZ110" s="957"/>
      <c r="WIA110" s="957"/>
      <c r="WIB110" s="957"/>
      <c r="WIC110" s="957"/>
      <c r="WID110" s="957"/>
      <c r="WIE110" s="957"/>
      <c r="WIF110" s="957"/>
      <c r="WIG110" s="957"/>
      <c r="WIH110" s="957"/>
      <c r="WII110" s="957"/>
      <c r="WIJ110" s="957"/>
      <c r="WIK110" s="957"/>
      <c r="WIL110" s="957"/>
      <c r="WIM110" s="957"/>
      <c r="WIN110" s="957"/>
      <c r="WIO110" s="957"/>
      <c r="WIP110" s="957"/>
      <c r="WIQ110" s="957"/>
      <c r="WIR110" s="957"/>
      <c r="WIS110" s="957"/>
      <c r="WIT110" s="957"/>
      <c r="WIU110" s="957"/>
      <c r="WIV110" s="957"/>
      <c r="WIW110" s="957"/>
      <c r="WIX110" s="957"/>
      <c r="WIY110" s="957"/>
      <c r="WIZ110" s="957"/>
      <c r="WJA110" s="957"/>
      <c r="WJB110" s="957"/>
      <c r="WJC110" s="957"/>
      <c r="WJD110" s="957"/>
      <c r="WJE110" s="957"/>
      <c r="WJF110" s="957"/>
      <c r="WJG110" s="957"/>
      <c r="WJH110" s="957"/>
      <c r="WJI110" s="957"/>
      <c r="WJJ110" s="957"/>
      <c r="WJK110" s="957"/>
      <c r="WJL110" s="957"/>
      <c r="WJM110" s="957"/>
      <c r="WJN110" s="957"/>
      <c r="WJO110" s="957"/>
      <c r="WJP110" s="957"/>
      <c r="WJQ110" s="957"/>
      <c r="WJR110" s="957"/>
      <c r="WJS110" s="957"/>
      <c r="WJT110" s="957"/>
      <c r="WJU110" s="957"/>
      <c r="WJV110" s="957"/>
      <c r="WJW110" s="957"/>
      <c r="WJX110" s="957"/>
      <c r="WJY110" s="957"/>
      <c r="WJZ110" s="957"/>
      <c r="WKA110" s="957"/>
      <c r="WKB110" s="957"/>
      <c r="WKC110" s="957"/>
      <c r="WKD110" s="957"/>
      <c r="WKE110" s="957"/>
      <c r="WKF110" s="957"/>
      <c r="WKG110" s="957"/>
      <c r="WKH110" s="957"/>
      <c r="WKI110" s="957"/>
      <c r="WKJ110" s="957"/>
      <c r="WKK110" s="957"/>
      <c r="WKL110" s="957"/>
      <c r="WKM110" s="957"/>
      <c r="WKN110" s="957"/>
      <c r="WKO110" s="957"/>
      <c r="WKP110" s="957"/>
      <c r="WKQ110" s="957"/>
      <c r="WKR110" s="957"/>
      <c r="WKS110" s="957"/>
      <c r="WKT110" s="957"/>
      <c r="WKU110" s="957"/>
      <c r="WKV110" s="957"/>
      <c r="WKW110" s="957"/>
      <c r="WKX110" s="957"/>
      <c r="WKY110" s="957"/>
      <c r="WKZ110" s="957"/>
      <c r="WLA110" s="957"/>
      <c r="WLB110" s="957"/>
      <c r="WLC110" s="957"/>
      <c r="WLD110" s="957"/>
      <c r="WLE110" s="957"/>
      <c r="WLF110" s="957"/>
      <c r="WLG110" s="957"/>
      <c r="WLH110" s="957"/>
      <c r="WLI110" s="957"/>
      <c r="WLJ110" s="957"/>
      <c r="WLK110" s="957"/>
      <c r="WLL110" s="957"/>
      <c r="WLM110" s="957"/>
      <c r="WLN110" s="957"/>
      <c r="WLO110" s="957"/>
      <c r="WLP110" s="957"/>
      <c r="WLQ110" s="957"/>
      <c r="WLR110" s="957"/>
      <c r="WLS110" s="957"/>
      <c r="WLT110" s="957"/>
      <c r="WLU110" s="957"/>
      <c r="WLV110" s="957"/>
      <c r="WLW110" s="957"/>
      <c r="WLX110" s="957"/>
      <c r="WLY110" s="957"/>
      <c r="WLZ110" s="957"/>
      <c r="WMA110" s="957"/>
      <c r="WMB110" s="957"/>
      <c r="WMC110" s="957"/>
      <c r="WMD110" s="957"/>
      <c r="WME110" s="957"/>
      <c r="WMF110" s="957"/>
      <c r="WMG110" s="957"/>
      <c r="WMH110" s="957"/>
      <c r="WMI110" s="957"/>
      <c r="WMJ110" s="957"/>
      <c r="WMK110" s="957"/>
      <c r="WML110" s="957"/>
      <c r="WMM110" s="957"/>
      <c r="WMN110" s="957"/>
      <c r="WMO110" s="957"/>
      <c r="WMP110" s="957"/>
      <c r="WMQ110" s="957"/>
      <c r="WMR110" s="957"/>
      <c r="WMS110" s="957"/>
      <c r="WMT110" s="957"/>
      <c r="WMU110" s="957"/>
      <c r="WMV110" s="957"/>
      <c r="WMW110" s="957"/>
      <c r="WMX110" s="957"/>
      <c r="WMY110" s="957"/>
      <c r="WMZ110" s="957"/>
      <c r="WNA110" s="957"/>
      <c r="WNB110" s="957"/>
      <c r="WNC110" s="957"/>
      <c r="WND110" s="957"/>
      <c r="WNE110" s="957"/>
      <c r="WNF110" s="957"/>
      <c r="WNG110" s="957"/>
      <c r="WNH110" s="957"/>
      <c r="WNI110" s="957"/>
      <c r="WNJ110" s="957"/>
      <c r="WNK110" s="957"/>
      <c r="WNL110" s="957"/>
      <c r="WNM110" s="957"/>
      <c r="WNN110" s="957"/>
      <c r="WNO110" s="957"/>
      <c r="WNP110" s="957"/>
      <c r="WNQ110" s="957"/>
      <c r="WNR110" s="957"/>
      <c r="WNS110" s="957"/>
      <c r="WNT110" s="957"/>
      <c r="WNU110" s="957"/>
      <c r="WNV110" s="957"/>
      <c r="WNW110" s="957"/>
      <c r="WNX110" s="957"/>
      <c r="WNY110" s="957"/>
      <c r="WNZ110" s="957"/>
      <c r="WOA110" s="957"/>
      <c r="WOB110" s="957"/>
      <c r="WOC110" s="957"/>
      <c r="WOD110" s="957"/>
      <c r="WOE110" s="957"/>
      <c r="WOF110" s="957"/>
      <c r="WOG110" s="957"/>
      <c r="WOH110" s="957"/>
      <c r="WOI110" s="957"/>
      <c r="WOJ110" s="957"/>
      <c r="WOK110" s="957"/>
      <c r="WOL110" s="957"/>
      <c r="WOM110" s="957"/>
      <c r="WON110" s="957"/>
      <c r="WOO110" s="957"/>
      <c r="WOP110" s="957"/>
      <c r="WOQ110" s="957"/>
      <c r="WOR110" s="957"/>
      <c r="WOS110" s="957"/>
      <c r="WOT110" s="957"/>
      <c r="WOU110" s="957"/>
      <c r="WOV110" s="957"/>
      <c r="WOW110" s="957"/>
      <c r="WOX110" s="957"/>
      <c r="WOY110" s="957"/>
      <c r="WOZ110" s="957"/>
      <c r="WPA110" s="957"/>
      <c r="WPB110" s="957"/>
      <c r="WPC110" s="957"/>
      <c r="WPD110" s="957"/>
      <c r="WPE110" s="957"/>
      <c r="WPF110" s="957"/>
      <c r="WPG110" s="957"/>
      <c r="WPH110" s="957"/>
      <c r="WPI110" s="957"/>
      <c r="WPJ110" s="957"/>
      <c r="WPK110" s="957"/>
      <c r="WPL110" s="957"/>
      <c r="WPM110" s="957"/>
      <c r="WPN110" s="957"/>
      <c r="WPO110" s="957"/>
      <c r="WPP110" s="957"/>
      <c r="WPQ110" s="957"/>
      <c r="WPR110" s="957"/>
      <c r="WPS110" s="957"/>
      <c r="WPT110" s="957"/>
      <c r="WPU110" s="957"/>
      <c r="WPV110" s="957"/>
      <c r="WPW110" s="957"/>
      <c r="WPX110" s="957"/>
      <c r="WPY110" s="957"/>
      <c r="WPZ110" s="957"/>
      <c r="WQA110" s="957"/>
      <c r="WQB110" s="957"/>
      <c r="WQC110" s="957"/>
      <c r="WQD110" s="957"/>
      <c r="WQE110" s="957"/>
      <c r="WQF110" s="957"/>
      <c r="WQG110" s="957"/>
      <c r="WQH110" s="957"/>
      <c r="WQI110" s="957"/>
      <c r="WQJ110" s="957"/>
      <c r="WQK110" s="957"/>
      <c r="WQL110" s="957"/>
      <c r="WQM110" s="957"/>
      <c r="WQN110" s="957"/>
      <c r="WQO110" s="957"/>
      <c r="WQP110" s="957"/>
      <c r="WQQ110" s="957"/>
      <c r="WQR110" s="957"/>
      <c r="WQS110" s="957"/>
      <c r="WQT110" s="957"/>
      <c r="WQU110" s="957"/>
      <c r="WQV110" s="957"/>
      <c r="WQW110" s="957"/>
      <c r="WQX110" s="957"/>
      <c r="WQY110" s="957"/>
      <c r="WQZ110" s="957"/>
      <c r="WRA110" s="957"/>
      <c r="WRB110" s="957"/>
      <c r="WRC110" s="957"/>
      <c r="WRD110" s="957"/>
      <c r="WRE110" s="957"/>
      <c r="WRF110" s="957"/>
      <c r="WRG110" s="957"/>
      <c r="WRH110" s="957"/>
      <c r="WRI110" s="957"/>
      <c r="WRJ110" s="957"/>
      <c r="WRK110" s="957"/>
      <c r="WRL110" s="957"/>
      <c r="WRM110" s="957"/>
      <c r="WRN110" s="957"/>
      <c r="WRO110" s="957"/>
      <c r="WRP110" s="957"/>
      <c r="WRQ110" s="957"/>
      <c r="WRR110" s="957"/>
      <c r="WRS110" s="957"/>
      <c r="WRT110" s="957"/>
      <c r="WRU110" s="957"/>
      <c r="WRV110" s="957"/>
      <c r="WRW110" s="957"/>
      <c r="WRX110" s="957"/>
      <c r="WRY110" s="957"/>
      <c r="WRZ110" s="957"/>
      <c r="WSA110" s="957"/>
      <c r="WSB110" s="957"/>
      <c r="WSC110" s="957"/>
      <c r="WSD110" s="957"/>
      <c r="WSE110" s="957"/>
      <c r="WSF110" s="957"/>
      <c r="WSG110" s="957"/>
      <c r="WSH110" s="957"/>
      <c r="WSI110" s="957"/>
      <c r="WSJ110" s="957"/>
      <c r="WSK110" s="957"/>
      <c r="WSL110" s="957"/>
      <c r="WSM110" s="957"/>
      <c r="WSN110" s="957"/>
      <c r="WSO110" s="957"/>
      <c r="WSP110" s="957"/>
      <c r="WSQ110" s="957"/>
      <c r="WSR110" s="957"/>
      <c r="WSS110" s="957"/>
      <c r="WST110" s="957"/>
      <c r="WSU110" s="957"/>
      <c r="WSV110" s="957"/>
      <c r="WSW110" s="957"/>
      <c r="WSX110" s="957"/>
      <c r="WSY110" s="957"/>
      <c r="WSZ110" s="957"/>
      <c r="WTA110" s="957"/>
      <c r="WTB110" s="957"/>
      <c r="WTC110" s="957"/>
      <c r="WTD110" s="957"/>
      <c r="WTE110" s="957"/>
      <c r="WTF110" s="957"/>
      <c r="WTG110" s="957"/>
      <c r="WTH110" s="957"/>
      <c r="WTI110" s="957"/>
      <c r="WTJ110" s="957"/>
      <c r="WTK110" s="957"/>
      <c r="WTL110" s="957"/>
      <c r="WTM110" s="957"/>
      <c r="WTN110" s="957"/>
      <c r="WTO110" s="957"/>
      <c r="WTP110" s="957"/>
      <c r="WTQ110" s="957"/>
      <c r="WTR110" s="957"/>
      <c r="WTS110" s="957"/>
      <c r="WTT110" s="957"/>
      <c r="WTU110" s="957"/>
      <c r="WTV110" s="957"/>
      <c r="WTW110" s="957"/>
      <c r="WTX110" s="957"/>
      <c r="WTY110" s="957"/>
      <c r="WTZ110" s="957"/>
      <c r="WUA110" s="957"/>
      <c r="WUB110" s="957"/>
      <c r="WUC110" s="957"/>
      <c r="WUD110" s="957"/>
      <c r="WUE110" s="957"/>
      <c r="WUF110" s="957"/>
      <c r="WUG110" s="957"/>
      <c r="WUH110" s="957"/>
      <c r="WUI110" s="957"/>
      <c r="WUJ110" s="957"/>
      <c r="WUK110" s="957"/>
      <c r="WUL110" s="957"/>
      <c r="WUM110" s="957"/>
      <c r="WUN110" s="957"/>
      <c r="WUO110" s="957"/>
      <c r="WUP110" s="957"/>
      <c r="WUQ110" s="957"/>
      <c r="WUR110" s="957"/>
      <c r="WUS110" s="957"/>
      <c r="WUT110" s="957"/>
      <c r="WUU110" s="957"/>
      <c r="WUV110" s="957"/>
      <c r="WUW110" s="957"/>
      <c r="WUX110" s="957"/>
      <c r="WUY110" s="957"/>
      <c r="WUZ110" s="957"/>
      <c r="WVA110" s="957"/>
      <c r="WVB110" s="957"/>
      <c r="WVC110" s="957"/>
      <c r="WVD110" s="957"/>
      <c r="WVE110" s="957"/>
      <c r="WVF110" s="957"/>
      <c r="WVG110" s="957"/>
      <c r="WVH110" s="957"/>
      <c r="WVI110" s="957"/>
      <c r="WVJ110" s="957"/>
      <c r="WVK110" s="957"/>
      <c r="WVL110" s="957"/>
      <c r="WVM110" s="957"/>
      <c r="WVN110" s="957"/>
      <c r="WVO110" s="957"/>
      <c r="WVP110" s="957"/>
      <c r="WVQ110" s="957"/>
      <c r="WVR110" s="957"/>
      <c r="WVS110" s="957"/>
      <c r="WVT110" s="957"/>
      <c r="WVU110" s="957"/>
      <c r="WVV110" s="957"/>
      <c r="WVW110" s="957"/>
      <c r="WVX110" s="957"/>
      <c r="WVY110" s="957"/>
      <c r="WVZ110" s="957"/>
      <c r="WWA110" s="957"/>
      <c r="WWB110" s="957"/>
      <c r="WWC110" s="957"/>
      <c r="WWD110" s="957"/>
      <c r="WWE110" s="957"/>
      <c r="WWF110" s="957"/>
      <c r="WWG110" s="957"/>
      <c r="WWH110" s="957"/>
      <c r="WWI110" s="957"/>
      <c r="WWJ110" s="957"/>
      <c r="WWK110" s="957"/>
      <c r="WWL110" s="957"/>
      <c r="WWM110" s="957"/>
      <c r="WWN110" s="957"/>
      <c r="WWO110" s="957"/>
      <c r="WWP110" s="957"/>
      <c r="WWQ110" s="957"/>
      <c r="WWR110" s="957"/>
      <c r="WWS110" s="957"/>
      <c r="WWT110" s="957"/>
      <c r="WWU110" s="957"/>
      <c r="WWV110" s="957"/>
      <c r="WWW110" s="957"/>
      <c r="WWX110" s="957"/>
      <c r="WWY110" s="957"/>
      <c r="WWZ110" s="957"/>
      <c r="WXA110" s="957"/>
      <c r="WXB110" s="957"/>
      <c r="WXC110" s="957"/>
      <c r="WXD110" s="957"/>
      <c r="WXE110" s="957"/>
      <c r="WXF110" s="957"/>
      <c r="WXG110" s="957"/>
      <c r="WXH110" s="957"/>
      <c r="WXI110" s="957"/>
      <c r="WXJ110" s="957"/>
      <c r="WXK110" s="957"/>
      <c r="WXL110" s="957"/>
      <c r="WXM110" s="957"/>
      <c r="WXN110" s="957"/>
      <c r="WXO110" s="957"/>
      <c r="WXP110" s="957"/>
      <c r="WXQ110" s="957"/>
      <c r="WXR110" s="957"/>
      <c r="WXS110" s="957"/>
      <c r="WXT110" s="957"/>
      <c r="WXU110" s="957"/>
      <c r="WXV110" s="957"/>
      <c r="WXW110" s="957"/>
      <c r="WXX110" s="957"/>
      <c r="WXY110" s="957"/>
      <c r="WXZ110" s="957"/>
      <c r="WYA110" s="957"/>
      <c r="WYB110" s="957"/>
      <c r="WYC110" s="957"/>
      <c r="WYD110" s="957"/>
      <c r="WYE110" s="957"/>
      <c r="WYF110" s="957"/>
      <c r="WYG110" s="957"/>
      <c r="WYH110" s="957"/>
      <c r="WYI110" s="957"/>
      <c r="WYJ110" s="957"/>
      <c r="WYK110" s="957"/>
      <c r="WYL110" s="957"/>
      <c r="WYM110" s="957"/>
      <c r="WYN110" s="957"/>
      <c r="WYO110" s="957"/>
      <c r="WYP110" s="957"/>
      <c r="WYQ110" s="957"/>
      <c r="WYR110" s="957"/>
      <c r="WYS110" s="957"/>
      <c r="WYT110" s="957"/>
      <c r="WYU110" s="957"/>
      <c r="WYV110" s="957"/>
      <c r="WYW110" s="957"/>
      <c r="WYX110" s="957"/>
      <c r="WYY110" s="957"/>
      <c r="WYZ110" s="957"/>
      <c r="WZA110" s="957"/>
      <c r="WZB110" s="957"/>
      <c r="WZC110" s="957"/>
      <c r="WZD110" s="957"/>
      <c r="WZE110" s="957"/>
      <c r="WZF110" s="957"/>
      <c r="WZG110" s="957"/>
      <c r="WZH110" s="957"/>
      <c r="WZI110" s="957"/>
      <c r="WZJ110" s="957"/>
      <c r="WZK110" s="957"/>
      <c r="WZL110" s="957"/>
      <c r="WZM110" s="957"/>
      <c r="WZN110" s="957"/>
      <c r="WZO110" s="957"/>
      <c r="WZP110" s="957"/>
      <c r="WZQ110" s="957"/>
      <c r="WZR110" s="957"/>
      <c r="WZS110" s="957"/>
      <c r="WZT110" s="957"/>
      <c r="WZU110" s="957"/>
      <c r="WZV110" s="957"/>
      <c r="WZW110" s="957"/>
      <c r="WZX110" s="957"/>
      <c r="WZY110" s="957"/>
      <c r="WZZ110" s="957"/>
      <c r="XAA110" s="957"/>
      <c r="XAB110" s="957"/>
      <c r="XAC110" s="957"/>
      <c r="XAD110" s="957"/>
      <c r="XAE110" s="957"/>
      <c r="XAF110" s="957"/>
      <c r="XAG110" s="957"/>
      <c r="XAH110" s="957"/>
      <c r="XAI110" s="957"/>
      <c r="XAJ110" s="957"/>
      <c r="XAK110" s="957"/>
      <c r="XAL110" s="957"/>
      <c r="XAM110" s="957"/>
      <c r="XAN110" s="957"/>
      <c r="XAO110" s="957"/>
      <c r="XAP110" s="957"/>
      <c r="XAQ110" s="957"/>
      <c r="XAR110" s="957"/>
      <c r="XAS110" s="957"/>
      <c r="XAT110" s="957"/>
      <c r="XAU110" s="957"/>
      <c r="XAV110" s="957"/>
      <c r="XAW110" s="957"/>
      <c r="XAX110" s="957"/>
      <c r="XAY110" s="957"/>
      <c r="XAZ110" s="957"/>
      <c r="XBA110" s="957"/>
      <c r="XBB110" s="957"/>
      <c r="XBC110" s="957"/>
      <c r="XBD110" s="957"/>
      <c r="XBE110" s="957"/>
      <c r="XBF110" s="957"/>
      <c r="XBG110" s="957"/>
      <c r="XBH110" s="957"/>
      <c r="XBI110" s="957"/>
      <c r="XBJ110" s="957"/>
      <c r="XBK110" s="957"/>
      <c r="XBL110" s="957"/>
      <c r="XBM110" s="957"/>
      <c r="XBN110" s="957"/>
      <c r="XBO110" s="957"/>
      <c r="XBP110" s="957"/>
      <c r="XBQ110" s="957"/>
      <c r="XBR110" s="957"/>
      <c r="XBS110" s="957"/>
      <c r="XBT110" s="957"/>
      <c r="XBU110" s="957"/>
      <c r="XBV110" s="957"/>
      <c r="XBW110" s="957"/>
      <c r="XBX110" s="957"/>
      <c r="XBY110" s="957"/>
      <c r="XBZ110" s="957"/>
      <c r="XCA110" s="957"/>
      <c r="XCB110" s="957"/>
      <c r="XCC110" s="957"/>
      <c r="XCD110" s="957"/>
      <c r="XCE110" s="957"/>
      <c r="XCF110" s="957"/>
      <c r="XCG110" s="957"/>
      <c r="XCH110" s="957"/>
      <c r="XCI110" s="957"/>
      <c r="XCJ110" s="957"/>
      <c r="XCK110" s="957"/>
      <c r="XCL110" s="957"/>
      <c r="XCM110" s="957"/>
      <c r="XCN110" s="957"/>
      <c r="XCO110" s="957"/>
      <c r="XCP110" s="957"/>
      <c r="XCQ110" s="957"/>
      <c r="XCR110" s="957"/>
      <c r="XCS110" s="957"/>
      <c r="XCT110" s="957"/>
      <c r="XCU110" s="957"/>
      <c r="XCV110" s="957"/>
      <c r="XCW110" s="957"/>
      <c r="XCX110" s="957"/>
      <c r="XCY110" s="957"/>
      <c r="XCZ110" s="957"/>
      <c r="XDA110" s="957"/>
      <c r="XDB110" s="957"/>
      <c r="XDC110" s="957"/>
      <c r="XDD110" s="957"/>
      <c r="XDE110" s="957"/>
      <c r="XDF110" s="957"/>
      <c r="XDG110" s="957"/>
      <c r="XDH110" s="957"/>
      <c r="XDI110" s="957"/>
      <c r="XDJ110" s="957"/>
      <c r="XDK110" s="957"/>
      <c r="XDL110" s="957"/>
      <c r="XDM110" s="957"/>
      <c r="XDN110" s="957"/>
      <c r="XDO110" s="957"/>
      <c r="XDP110" s="957"/>
      <c r="XDQ110" s="957"/>
      <c r="XDR110" s="957"/>
      <c r="XDS110" s="957"/>
      <c r="XDT110" s="957"/>
      <c r="XDU110" s="957"/>
      <c r="XDV110" s="957"/>
      <c r="XDW110" s="957"/>
      <c r="XDX110" s="957"/>
      <c r="XDY110" s="957"/>
      <c r="XDZ110" s="957"/>
      <c r="XEA110" s="957"/>
      <c r="XEB110" s="957"/>
      <c r="XEC110" s="957"/>
      <c r="XED110" s="957"/>
      <c r="XEE110" s="957"/>
      <c r="XEF110" s="957"/>
      <c r="XEG110" s="957"/>
      <c r="XEH110" s="957"/>
      <c r="XEI110" s="957"/>
      <c r="XEJ110" s="957"/>
      <c r="XEK110" s="957"/>
      <c r="XEL110" s="957"/>
      <c r="XEM110" s="957"/>
      <c r="XEN110" s="957"/>
      <c r="XEO110" s="957"/>
      <c r="XEP110" s="957"/>
      <c r="XEQ110" s="957"/>
      <c r="XER110" s="957"/>
      <c r="XES110" s="957"/>
      <c r="XET110" s="957"/>
      <c r="XEU110" s="957"/>
      <c r="XEV110" s="957"/>
      <c r="XEW110" s="957"/>
      <c r="XEX110" s="957"/>
      <c r="XEY110" s="957"/>
      <c r="XEZ110" s="957"/>
      <c r="XFA110" s="957"/>
      <c r="XFB110" s="957"/>
      <c r="XFC110" s="957"/>
      <c r="XFD110" s="957"/>
    </row>
    <row r="111" spans="1:16384" x14ac:dyDescent="0.25">
      <c r="D111" s="922" t="s">
        <v>513</v>
      </c>
      <c r="H111" s="961"/>
      <c r="I111" s="961"/>
      <c r="J111" s="961"/>
      <c r="K111" s="961"/>
      <c r="L111" s="961"/>
      <c r="M111" s="961"/>
      <c r="N111" s="961"/>
      <c r="O111" s="961"/>
      <c r="P111" s="961"/>
      <c r="Q111" s="961"/>
      <c r="R111" s="961"/>
      <c r="S111" s="961"/>
      <c r="T111" s="961"/>
      <c r="U111" s="961"/>
      <c r="V111" s="961"/>
      <c r="W111" s="961"/>
      <c r="X111" s="961"/>
      <c r="Y111" s="961"/>
    </row>
    <row r="112" spans="1:16384" x14ac:dyDescent="0.25">
      <c r="D112" s="922" t="s">
        <v>512</v>
      </c>
      <c r="H112" s="961"/>
      <c r="I112" s="961"/>
      <c r="J112" s="961"/>
      <c r="K112" s="961"/>
      <c r="L112" s="961"/>
      <c r="M112" s="961"/>
      <c r="N112" s="961"/>
      <c r="O112" s="961"/>
      <c r="P112" s="961"/>
      <c r="Q112" s="961"/>
      <c r="R112" s="961"/>
      <c r="S112" s="961"/>
      <c r="T112" s="961"/>
      <c r="U112" s="961">
        <v>-535803.63</v>
      </c>
      <c r="V112" s="961">
        <v>-535803.63</v>
      </c>
      <c r="W112" s="961">
        <v>-535803.63</v>
      </c>
      <c r="X112" s="961">
        <v>-535803.63</v>
      </c>
      <c r="Y112" s="961">
        <v>-535803.63</v>
      </c>
      <c r="Z112" s="887">
        <v>-535803.63</v>
      </c>
      <c r="AA112" s="887">
        <v>-535803.63</v>
      </c>
      <c r="AB112" s="887">
        <v>-535803.63</v>
      </c>
      <c r="AC112" s="887">
        <v>-535803.63</v>
      </c>
      <c r="AD112" s="887">
        <v>-535803.63</v>
      </c>
      <c r="AE112" s="887">
        <v>-535803.63</v>
      </c>
      <c r="AF112" s="887">
        <v>-535803.63</v>
      </c>
      <c r="AG112" s="887">
        <v>-535803.63</v>
      </c>
      <c r="AH112" s="1004">
        <v>-535803.63</v>
      </c>
      <c r="AI112" s="1004">
        <v>-535803.63</v>
      </c>
      <c r="AJ112" s="1004">
        <v>-535803.63</v>
      </c>
    </row>
    <row r="113" spans="1:16384" x14ac:dyDescent="0.25">
      <c r="D113" s="922" t="s">
        <v>513</v>
      </c>
      <c r="H113" s="961"/>
      <c r="I113" s="961"/>
      <c r="J113" s="961"/>
      <c r="K113" s="961"/>
      <c r="L113" s="961"/>
      <c r="M113" s="961"/>
      <c r="N113" s="961"/>
      <c r="O113" s="961"/>
      <c r="P113" s="961"/>
      <c r="Q113" s="961"/>
      <c r="R113" s="961"/>
      <c r="S113" s="961"/>
      <c r="T113" s="961"/>
      <c r="U113" s="961">
        <v>-2084409.93</v>
      </c>
      <c r="V113" s="961">
        <v>-2084409.93</v>
      </c>
      <c r="W113" s="961">
        <v>-2084409.93</v>
      </c>
      <c r="X113" s="961">
        <v>-2084409.93</v>
      </c>
      <c r="Y113" s="961">
        <v>-2084409.93</v>
      </c>
      <c r="Z113" s="887">
        <v>-2084409.93</v>
      </c>
      <c r="AA113" s="887">
        <v>-2084409.93</v>
      </c>
      <c r="AB113" s="887">
        <v>-2084409.93</v>
      </c>
      <c r="AC113" s="887">
        <v>-2084409.93</v>
      </c>
      <c r="AD113" s="887">
        <v>-2084409.93</v>
      </c>
      <c r="AE113" s="887">
        <v>-2084409.93</v>
      </c>
      <c r="AF113" s="887">
        <v>-2084409.93</v>
      </c>
      <c r="AG113" s="887">
        <v>-2084409.93</v>
      </c>
      <c r="AH113" s="1004">
        <v>-2084409.93</v>
      </c>
      <c r="AI113" s="1004">
        <v>-2084409.93</v>
      </c>
      <c r="AJ113" s="1004">
        <v>-2084409.93</v>
      </c>
    </row>
    <row r="114" spans="1:16384" x14ac:dyDescent="0.25">
      <c r="D114" s="922" t="s">
        <v>750</v>
      </c>
      <c r="H114" s="961"/>
      <c r="I114" s="961"/>
      <c r="J114" s="961"/>
      <c r="K114" s="961"/>
      <c r="L114" s="961"/>
      <c r="M114" s="961"/>
      <c r="N114" s="961"/>
      <c r="O114" s="961"/>
      <c r="P114" s="961"/>
      <c r="Q114" s="961"/>
      <c r="R114" s="961"/>
      <c r="S114" s="961"/>
      <c r="T114" s="961"/>
      <c r="U114" s="961"/>
      <c r="V114" s="961"/>
      <c r="W114" s="961"/>
      <c r="X114" s="961"/>
      <c r="Y114" s="961"/>
      <c r="AC114" s="958"/>
    </row>
    <row r="115" spans="1:16384" x14ac:dyDescent="0.25">
      <c r="D115" s="922" t="s">
        <v>111</v>
      </c>
      <c r="H115" s="961">
        <v>719994.74</v>
      </c>
      <c r="I115" s="961">
        <v>417956.25</v>
      </c>
      <c r="J115" s="961">
        <v>-168292.07999999984</v>
      </c>
      <c r="K115" s="961">
        <v>-168292.07999999984</v>
      </c>
      <c r="L115" s="961">
        <v>-168292.07999999984</v>
      </c>
      <c r="M115" s="961">
        <v>-168292.07999999984</v>
      </c>
      <c r="N115" s="961">
        <v>-168292.07999999984</v>
      </c>
      <c r="O115" s="961">
        <v>-168292.07999999984</v>
      </c>
      <c r="P115" s="961">
        <v>-168292.07999999984</v>
      </c>
      <c r="Q115" s="961">
        <v>-168292.07999999984</v>
      </c>
      <c r="R115" s="961">
        <v>-168292.07999999984</v>
      </c>
      <c r="S115" s="959">
        <v>-168292.07999999984</v>
      </c>
      <c r="T115" s="959">
        <v>-168292.07999999984</v>
      </c>
      <c r="U115" s="959">
        <v>-168292.08</v>
      </c>
      <c r="V115" s="887">
        <v>1152875.6000000001</v>
      </c>
      <c r="W115" s="887">
        <v>1152875.6000000001</v>
      </c>
      <c r="X115" s="887">
        <v>1152875.6000000001</v>
      </c>
      <c r="Y115" s="887">
        <v>1152875.6000000001</v>
      </c>
      <c r="Z115" s="887">
        <v>1152875.6000000001</v>
      </c>
      <c r="AA115" s="887">
        <v>1152875.6000000001</v>
      </c>
      <c r="AB115" s="887">
        <v>1152875.6000000001</v>
      </c>
      <c r="AC115" s="887">
        <v>1152875.6000000001</v>
      </c>
      <c r="AD115" s="887">
        <v>1152875.6000000001</v>
      </c>
      <c r="AE115" s="959">
        <v>1152875.6000000001</v>
      </c>
      <c r="AF115" s="959">
        <v>1152875.6000000001</v>
      </c>
      <c r="AG115" s="959">
        <v>1152875.6000000001</v>
      </c>
      <c r="AH115" s="438">
        <v>-2546998.09</v>
      </c>
      <c r="AI115" s="438">
        <v>-2546998.09</v>
      </c>
      <c r="AJ115" s="438">
        <v>-2546998.09</v>
      </c>
    </row>
    <row r="116" spans="1:16384" x14ac:dyDescent="0.25">
      <c r="D116" s="922" t="s">
        <v>357</v>
      </c>
      <c r="H116" s="959"/>
      <c r="I116" s="959"/>
      <c r="J116" s="959"/>
      <c r="K116" s="961"/>
      <c r="L116" s="961"/>
      <c r="M116" s="961"/>
      <c r="N116" s="961"/>
      <c r="O116" s="961"/>
      <c r="P116" s="961"/>
      <c r="Q116" s="961"/>
      <c r="R116" s="961"/>
      <c r="S116" s="959"/>
      <c r="T116" s="959"/>
      <c r="U116" s="959">
        <v>1930197.24</v>
      </c>
      <c r="V116" s="887">
        <v>1930197.24</v>
      </c>
      <c r="W116" s="887">
        <v>1930197.24</v>
      </c>
      <c r="X116" s="887">
        <v>1930197.24</v>
      </c>
      <c r="Y116" s="887">
        <v>1930197.24</v>
      </c>
      <c r="Z116" s="887">
        <v>1930197.24</v>
      </c>
      <c r="AA116" s="887">
        <v>1930197.24</v>
      </c>
      <c r="AB116" s="887">
        <v>1930197.24</v>
      </c>
      <c r="AC116" s="887">
        <v>1930197.24</v>
      </c>
      <c r="AD116" s="887">
        <v>1930197.24</v>
      </c>
      <c r="AE116" s="959">
        <v>1930197.24</v>
      </c>
      <c r="AF116" s="959">
        <v>1930197.24</v>
      </c>
      <c r="AG116" s="959">
        <v>1930197.24</v>
      </c>
      <c r="AH116" s="438">
        <v>1930197.24</v>
      </c>
      <c r="AI116" s="438">
        <v>1930197.24</v>
      </c>
      <c r="AJ116" s="438">
        <v>1930197.24</v>
      </c>
    </row>
    <row r="117" spans="1:16384" x14ac:dyDescent="0.25">
      <c r="D117" s="922" t="s">
        <v>510</v>
      </c>
      <c r="J117" s="887">
        <v>0</v>
      </c>
      <c r="K117" s="961">
        <v>0</v>
      </c>
      <c r="L117" s="961">
        <v>0</v>
      </c>
      <c r="M117" s="961">
        <v>0</v>
      </c>
      <c r="N117" s="961">
        <v>0</v>
      </c>
      <c r="O117" s="961">
        <v>0</v>
      </c>
      <c r="P117" s="961">
        <v>0</v>
      </c>
      <c r="Q117" s="961">
        <v>0</v>
      </c>
      <c r="R117" s="961">
        <v>0</v>
      </c>
      <c r="S117" s="887">
        <v>0</v>
      </c>
      <c r="T117" s="887">
        <v>0</v>
      </c>
      <c r="U117" s="887">
        <v>15569796.68</v>
      </c>
      <c r="V117" s="887">
        <v>15569796.68</v>
      </c>
      <c r="W117" s="887">
        <v>15569796.68</v>
      </c>
      <c r="X117" s="887">
        <v>15569796.68</v>
      </c>
      <c r="Y117" s="887">
        <v>15569796.68</v>
      </c>
      <c r="Z117" s="887">
        <v>15569796.68</v>
      </c>
      <c r="AA117" s="887">
        <v>15569796.68</v>
      </c>
      <c r="AB117" s="887">
        <v>15569796.68</v>
      </c>
      <c r="AC117" s="887">
        <v>15569796.68</v>
      </c>
      <c r="AD117" s="887">
        <v>15569796.68</v>
      </c>
      <c r="AE117" s="887">
        <v>15569796.68</v>
      </c>
      <c r="AF117" s="887">
        <v>15569796.68</v>
      </c>
      <c r="AG117" s="887">
        <v>15569796.68</v>
      </c>
      <c r="AH117" s="438">
        <v>15569796.68</v>
      </c>
      <c r="AI117" s="438">
        <v>15569796.68</v>
      </c>
      <c r="AJ117" s="438">
        <v>15569796.68</v>
      </c>
    </row>
    <row r="118" spans="1:16384" x14ac:dyDescent="0.25">
      <c r="D118" s="922" t="s">
        <v>514</v>
      </c>
      <c r="H118" s="959"/>
      <c r="I118" s="959"/>
      <c r="J118" s="959"/>
      <c r="K118" s="961"/>
      <c r="L118" s="961"/>
      <c r="M118" s="961"/>
      <c r="N118" s="961"/>
      <c r="O118" s="961"/>
      <c r="P118" s="961"/>
      <c r="Q118" s="961"/>
      <c r="R118" s="961"/>
      <c r="S118" s="959"/>
      <c r="T118" s="959"/>
      <c r="U118" s="959">
        <v>-379174.74</v>
      </c>
      <c r="V118" s="887">
        <v>-379174.74</v>
      </c>
      <c r="W118" s="887">
        <v>-379174.74</v>
      </c>
      <c r="X118" s="887">
        <v>-379174.74</v>
      </c>
      <c r="Y118" s="887">
        <v>-379174.74</v>
      </c>
      <c r="Z118" s="887">
        <v>-379174.74</v>
      </c>
      <c r="AA118" s="887">
        <v>-379174.74</v>
      </c>
      <c r="AB118" s="887">
        <v>-379174.74</v>
      </c>
      <c r="AC118" s="887">
        <v>-379174.74</v>
      </c>
      <c r="AD118" s="887">
        <v>-379174.74</v>
      </c>
      <c r="AE118" s="959">
        <v>-379174.74</v>
      </c>
      <c r="AF118" s="959">
        <v>-379174.74</v>
      </c>
      <c r="AG118" s="959">
        <v>-378120.84</v>
      </c>
      <c r="AH118" s="438">
        <v>-378120.84</v>
      </c>
      <c r="AI118" s="438">
        <v>-378120.84</v>
      </c>
      <c r="AJ118" s="438">
        <v>-393120.84</v>
      </c>
    </row>
    <row r="119" spans="1:16384" x14ac:dyDescent="0.25">
      <c r="D119" s="922" t="s">
        <v>110</v>
      </c>
      <c r="H119" s="961">
        <v>1083231.1100000001</v>
      </c>
      <c r="I119" s="961">
        <v>2153113.71</v>
      </c>
      <c r="J119" s="961">
        <v>2931772.2299999995</v>
      </c>
      <c r="K119" s="961">
        <v>2931772.23</v>
      </c>
      <c r="L119" s="961">
        <v>2931772.23</v>
      </c>
      <c r="M119" s="961">
        <v>2931772.2299999995</v>
      </c>
      <c r="N119" s="961">
        <v>2931772.2299999995</v>
      </c>
      <c r="O119" s="961">
        <v>2931772.2299999995</v>
      </c>
      <c r="P119" s="961">
        <v>2931772.2299999995</v>
      </c>
      <c r="Q119" s="961">
        <v>2931772.2299999995</v>
      </c>
      <c r="R119" s="961">
        <v>2931772.2299999995</v>
      </c>
      <c r="S119" s="959">
        <v>2931772.2299999995</v>
      </c>
      <c r="T119" s="959">
        <v>2931772.2299999995</v>
      </c>
      <c r="U119" s="959">
        <v>0</v>
      </c>
      <c r="V119" s="887">
        <v>-28.98</v>
      </c>
      <c r="W119" s="887">
        <v>-28.98</v>
      </c>
      <c r="X119" s="887">
        <v>-28.98</v>
      </c>
      <c r="Y119" s="887">
        <v>-28.98</v>
      </c>
      <c r="Z119" s="887">
        <v>-28.98</v>
      </c>
      <c r="AA119" s="887">
        <v>-28.98</v>
      </c>
      <c r="AB119" s="887">
        <v>-28.98</v>
      </c>
      <c r="AC119" s="887">
        <v>-28.98</v>
      </c>
      <c r="AD119" s="887">
        <v>-28.98</v>
      </c>
      <c r="AE119" s="959">
        <v>-28.98</v>
      </c>
      <c r="AF119" s="959">
        <v>-28.98</v>
      </c>
      <c r="AG119" s="959">
        <v>-28.98</v>
      </c>
      <c r="AH119" s="438">
        <v>-28.98</v>
      </c>
      <c r="AI119" s="438">
        <v>-28.98</v>
      </c>
      <c r="AJ119" s="438">
        <v>-28.98</v>
      </c>
    </row>
    <row r="120" spans="1:16384" x14ac:dyDescent="0.25">
      <c r="D120" s="922" t="s">
        <v>511</v>
      </c>
      <c r="H120" s="961">
        <v>9999.99</v>
      </c>
      <c r="I120" s="961">
        <v>18754.62</v>
      </c>
      <c r="J120" s="961">
        <v>18754.62</v>
      </c>
      <c r="K120" s="961">
        <v>18754.62</v>
      </c>
      <c r="L120" s="961">
        <v>18754.62</v>
      </c>
      <c r="M120" s="961">
        <v>18754.62</v>
      </c>
      <c r="N120" s="961">
        <v>18754.62</v>
      </c>
      <c r="O120" s="961">
        <v>18754.62</v>
      </c>
      <c r="P120" s="961">
        <v>18754.62</v>
      </c>
      <c r="Q120" s="961">
        <v>18754.62</v>
      </c>
      <c r="R120" s="961">
        <v>18754.62</v>
      </c>
      <c r="S120" s="959">
        <v>18754.62</v>
      </c>
      <c r="T120" s="959">
        <v>18754.62</v>
      </c>
      <c r="U120" s="959">
        <v>-1099999.8599999999</v>
      </c>
      <c r="V120" s="887">
        <v>-1099970.8799999999</v>
      </c>
      <c r="W120" s="887">
        <v>-1099970.8799999999</v>
      </c>
      <c r="X120" s="887">
        <v>-1099970.8799999999</v>
      </c>
      <c r="Y120" s="887">
        <v>-1099970.8799999999</v>
      </c>
      <c r="Z120" s="887">
        <v>-1099970.8799999999</v>
      </c>
      <c r="AA120" s="887">
        <v>-1099970.8799999999</v>
      </c>
      <c r="AB120" s="887">
        <v>-1099970.8799999999</v>
      </c>
      <c r="AC120" s="887">
        <v>-1099970.8799999999</v>
      </c>
      <c r="AD120" s="887">
        <v>-1099970.8799999999</v>
      </c>
      <c r="AE120" s="959">
        <v>-1099970.8799999999</v>
      </c>
      <c r="AF120" s="959">
        <v>-1099970.8799999999</v>
      </c>
      <c r="AG120" s="959">
        <v>-1099970.8799999999</v>
      </c>
      <c r="AH120" s="438">
        <v>-1099970.8799999999</v>
      </c>
      <c r="AI120" s="438">
        <v>-1099970.8799999999</v>
      </c>
      <c r="AJ120" s="438">
        <v>-1099970.8799999999</v>
      </c>
    </row>
    <row r="121" spans="1:16384" x14ac:dyDescent="0.25">
      <c r="D121" s="922" t="s">
        <v>112</v>
      </c>
      <c r="H121" s="961">
        <v>2033196.46</v>
      </c>
      <c r="I121" s="961">
        <v>2750829.39</v>
      </c>
      <c r="J121" s="961">
        <v>544376.25148978445</v>
      </c>
      <c r="K121" s="961">
        <v>904336.95782144764</v>
      </c>
      <c r="L121" s="961">
        <v>1376362.9814017664</v>
      </c>
      <c r="M121" s="961">
        <v>1840045.7466944754</v>
      </c>
      <c r="N121" s="961">
        <v>2144527.9989315844</v>
      </c>
      <c r="O121" s="961">
        <v>2508621.9014422083</v>
      </c>
      <c r="P121" s="961">
        <v>2648615.0431994796</v>
      </c>
      <c r="Q121" s="961">
        <v>2858457.6912966869</v>
      </c>
      <c r="R121" s="961">
        <v>3307091.1880790656</v>
      </c>
      <c r="S121" s="961">
        <v>3625821.1036610324</v>
      </c>
      <c r="T121" s="962">
        <v>4261091.7951886356</v>
      </c>
      <c r="U121" s="962">
        <v>3844516.82</v>
      </c>
      <c r="V121" s="888">
        <v>-364100.71</v>
      </c>
      <c r="W121" s="888">
        <v>-352068.86</v>
      </c>
      <c r="X121" s="888">
        <v>-351999.11</v>
      </c>
      <c r="Y121" s="888">
        <v>-421168.09</v>
      </c>
      <c r="Z121" s="888">
        <v>-604903.43000000005</v>
      </c>
      <c r="AA121" s="888">
        <v>-1024623.74</v>
      </c>
      <c r="AB121" s="888">
        <v>-1839782.95</v>
      </c>
      <c r="AC121" s="888">
        <v>-2512462.5299999998</v>
      </c>
      <c r="AD121" s="888">
        <v>-2852034.09</v>
      </c>
      <c r="AE121" s="962">
        <v>-3136232.4</v>
      </c>
      <c r="AF121" s="962">
        <v>-3575398.2300000037</v>
      </c>
      <c r="AG121" s="962">
        <v>-3699873.69</v>
      </c>
      <c r="AH121" s="1004">
        <v>-499222.28</v>
      </c>
      <c r="AI121" s="1004">
        <v>-809036.02</v>
      </c>
      <c r="AJ121" s="1004">
        <v>-1339575.8700000001</v>
      </c>
    </row>
    <row r="122" spans="1:16384" x14ac:dyDescent="0.25">
      <c r="H122" s="961"/>
      <c r="I122" s="961"/>
      <c r="J122" s="961"/>
      <c r="K122" s="961"/>
      <c r="L122" s="961"/>
      <c r="M122" s="961"/>
      <c r="N122" s="961"/>
      <c r="O122" s="961"/>
      <c r="P122" s="961"/>
      <c r="Q122" s="961"/>
      <c r="R122" s="961"/>
      <c r="S122" s="961"/>
      <c r="T122" s="961"/>
      <c r="U122" s="961"/>
      <c r="V122" s="961"/>
      <c r="W122" s="961"/>
      <c r="X122" s="961"/>
      <c r="Y122" s="961"/>
    </row>
    <row r="123" spans="1:16384" x14ac:dyDescent="0.25">
      <c r="D123" s="922" t="s">
        <v>377</v>
      </c>
      <c r="H123" s="961"/>
      <c r="I123" s="961">
        <v>-1225000</v>
      </c>
      <c r="J123" s="961">
        <v>-2335798.7999999998</v>
      </c>
      <c r="K123" s="961">
        <v>-2873432.8</v>
      </c>
      <c r="L123" s="961">
        <v>-3123432.8</v>
      </c>
      <c r="M123" s="961">
        <v>-3661066.8</v>
      </c>
      <c r="N123" s="961">
        <v>-3861066.8000000003</v>
      </c>
      <c r="O123" s="961">
        <v>-4161066.8000000003</v>
      </c>
      <c r="P123" s="961">
        <v>-4361066.8000000007</v>
      </c>
      <c r="Q123" s="961">
        <v>-4361066.8000000007</v>
      </c>
      <c r="R123" s="961">
        <v>-5161066.8</v>
      </c>
      <c r="S123" s="961">
        <v>-5761066.7999999998</v>
      </c>
      <c r="T123" s="961">
        <v>-6836336.8000000007</v>
      </c>
      <c r="U123" s="961">
        <v>0</v>
      </c>
      <c r="V123" s="961">
        <v>0</v>
      </c>
      <c r="W123" s="961">
        <v>0</v>
      </c>
      <c r="X123" s="961">
        <v>0</v>
      </c>
      <c r="Y123" s="961">
        <v>0</v>
      </c>
      <c r="Z123" s="887">
        <v>0</v>
      </c>
    </row>
    <row r="124" spans="1:16384" x14ac:dyDescent="0.25">
      <c r="D124" s="926" t="s">
        <v>751</v>
      </c>
      <c r="Q124" s="962"/>
      <c r="R124" s="962"/>
      <c r="S124" s="962"/>
      <c r="T124" s="962"/>
      <c r="U124" s="962">
        <v>-2523349.13</v>
      </c>
      <c r="V124" s="968"/>
      <c r="W124" s="968"/>
      <c r="X124" s="968"/>
      <c r="Y124" s="968"/>
      <c r="Z124" s="968"/>
      <c r="AA124" s="962"/>
      <c r="AB124" s="962"/>
      <c r="AC124" s="962"/>
      <c r="AD124" s="962"/>
      <c r="AE124" s="962"/>
      <c r="AF124" s="962"/>
      <c r="AG124" s="962"/>
    </row>
    <row r="125" spans="1:16384" x14ac:dyDescent="0.25">
      <c r="C125" s="896" t="s">
        <v>113</v>
      </c>
      <c r="D125" s="896"/>
      <c r="E125" s="896"/>
      <c r="F125" s="896"/>
      <c r="G125" s="896"/>
      <c r="H125" s="896">
        <f>SUM(H115:H124)</f>
        <v>3846422.3</v>
      </c>
      <c r="I125" s="896">
        <f>SUM(I115:I124)</f>
        <v>4115653.9700000007</v>
      </c>
      <c r="J125" s="896">
        <f>SUM(J115:J123)</f>
        <v>990812.22148978431</v>
      </c>
      <c r="K125" s="896">
        <f t="shared" ref="K125:T125" si="30">SUM(K115:K123)</f>
        <v>813138.92782144807</v>
      </c>
      <c r="L125" s="896">
        <f t="shared" si="30"/>
        <v>1035164.9514017673</v>
      </c>
      <c r="M125" s="896">
        <f t="shared" si="30"/>
        <v>961213.71669447515</v>
      </c>
      <c r="N125" s="896">
        <f t="shared" si="30"/>
        <v>1065695.9689315842</v>
      </c>
      <c r="O125" s="896">
        <f t="shared" si="30"/>
        <v>1129789.8714422076</v>
      </c>
      <c r="P125" s="897">
        <f t="shared" si="30"/>
        <v>1069783.0131994784</v>
      </c>
      <c r="Q125" s="897">
        <f t="shared" si="30"/>
        <v>1279625.6612966862</v>
      </c>
      <c r="R125" s="897">
        <f t="shared" si="30"/>
        <v>928259.15807906538</v>
      </c>
      <c r="S125" s="897">
        <f t="shared" si="30"/>
        <v>646989.07366103213</v>
      </c>
      <c r="T125" s="897">
        <f t="shared" si="30"/>
        <v>206989.7651886344</v>
      </c>
      <c r="U125" s="897">
        <f>SUM(U112:U124)</f>
        <v>14553481.370000001</v>
      </c>
      <c r="V125" s="897">
        <f t="shared" ref="V125:X125" si="31">SUM(V112:V124)</f>
        <v>14189380.649999999</v>
      </c>
      <c r="W125" s="897">
        <f t="shared" si="31"/>
        <v>14201412.5</v>
      </c>
      <c r="X125" s="897">
        <f t="shared" si="31"/>
        <v>14201482.25</v>
      </c>
      <c r="Y125" s="897">
        <f t="shared" ref="Y125:AH125" si="32">SUM(Y112:Y124)</f>
        <v>14132313.27</v>
      </c>
      <c r="Z125" s="897">
        <f t="shared" si="32"/>
        <v>13948577.93</v>
      </c>
      <c r="AA125" s="897">
        <f t="shared" si="32"/>
        <v>13528857.619999999</v>
      </c>
      <c r="AB125" s="897">
        <f t="shared" si="32"/>
        <v>12713698.41</v>
      </c>
      <c r="AC125" s="897">
        <f t="shared" si="32"/>
        <v>12041018.83</v>
      </c>
      <c r="AD125" s="897">
        <f t="shared" si="32"/>
        <v>11701447.27</v>
      </c>
      <c r="AE125" s="897">
        <f t="shared" si="32"/>
        <v>11417248.959999999</v>
      </c>
      <c r="AF125" s="897">
        <f t="shared" si="32"/>
        <v>10978083.129999995</v>
      </c>
      <c r="AG125" s="897">
        <f t="shared" si="32"/>
        <v>10854661.569999998</v>
      </c>
      <c r="AH125" s="897">
        <f t="shared" si="32"/>
        <v>10355439.290000001</v>
      </c>
      <c r="AI125" s="1238">
        <f t="shared" ref="AI125:AJ125" si="33">SUM(AI112:AI124)</f>
        <v>10045625.550000001</v>
      </c>
      <c r="AJ125" s="1238">
        <f t="shared" si="33"/>
        <v>9500085.6999999993</v>
      </c>
      <c r="AK125" s="898"/>
      <c r="AL125" s="898"/>
      <c r="AM125" s="898"/>
      <c r="AN125" s="898"/>
      <c r="AO125" s="898"/>
      <c r="AP125" s="898"/>
      <c r="AQ125" s="898"/>
      <c r="AR125" s="898"/>
      <c r="AS125" s="898"/>
      <c r="AT125" s="898"/>
      <c r="AU125" s="898"/>
      <c r="AV125" s="898"/>
      <c r="AW125" s="898"/>
      <c r="AX125" s="898"/>
      <c r="AY125" s="898"/>
      <c r="AZ125" s="898"/>
      <c r="BA125" s="898"/>
      <c r="BB125" s="898"/>
      <c r="BC125" s="898"/>
      <c r="BD125" s="898"/>
      <c r="BE125" s="898"/>
      <c r="BF125" s="898"/>
      <c r="BG125" s="898"/>
      <c r="BH125" s="898"/>
      <c r="BI125" s="898"/>
      <c r="BJ125" s="898"/>
      <c r="BK125" s="898"/>
      <c r="BL125" s="898"/>
      <c r="BM125" s="898"/>
      <c r="BN125" s="898"/>
      <c r="BO125" s="898"/>
      <c r="BP125" s="898"/>
      <c r="BQ125" s="898"/>
      <c r="BR125" s="898"/>
      <c r="BS125" s="898"/>
      <c r="BT125" s="898"/>
      <c r="BU125" s="898"/>
      <c r="BV125" s="898"/>
      <c r="BW125" s="898"/>
      <c r="BX125" s="898"/>
      <c r="BY125" s="898"/>
      <c r="BZ125" s="898"/>
      <c r="CA125" s="898"/>
      <c r="CB125" s="898"/>
      <c r="CC125" s="948"/>
      <c r="CD125" s="953"/>
      <c r="CE125" s="953"/>
      <c r="CF125" s="953"/>
      <c r="CG125" s="953"/>
      <c r="CH125" s="953"/>
      <c r="CI125" s="953"/>
      <c r="CJ125" s="953"/>
      <c r="CK125" s="953"/>
      <c r="CL125" s="953"/>
      <c r="CM125" s="953"/>
      <c r="CN125" s="953"/>
      <c r="CO125" s="953"/>
      <c r="CP125" s="953"/>
      <c r="CQ125" s="953"/>
      <c r="CR125" s="953"/>
      <c r="CS125" s="953"/>
      <c r="CT125" s="953"/>
      <c r="CU125" s="953"/>
      <c r="CV125" s="953"/>
      <c r="CW125" s="953"/>
      <c r="CX125" s="953"/>
      <c r="CY125" s="953"/>
      <c r="CZ125" s="953"/>
      <c r="DA125" s="953"/>
      <c r="DB125" s="953"/>
      <c r="DC125" s="953"/>
      <c r="DD125" s="953"/>
      <c r="DE125" s="953"/>
      <c r="DF125" s="953"/>
      <c r="DG125" s="953"/>
      <c r="DH125" s="953"/>
      <c r="DI125" s="953"/>
      <c r="DJ125" s="953"/>
      <c r="DK125" s="953"/>
      <c r="DL125" s="953"/>
      <c r="DM125" s="953"/>
      <c r="DN125" s="953"/>
      <c r="DO125" s="953"/>
      <c r="DP125" s="953"/>
      <c r="DQ125" s="953"/>
      <c r="DR125" s="953"/>
      <c r="DS125" s="953"/>
      <c r="DT125" s="953"/>
      <c r="DU125" s="953"/>
      <c r="DV125" s="953"/>
      <c r="DW125" s="953"/>
      <c r="DX125" s="953"/>
      <c r="DY125" s="953"/>
      <c r="DZ125" s="953"/>
      <c r="EA125" s="953"/>
      <c r="EB125" s="953"/>
      <c r="EC125" s="953"/>
      <c r="ED125" s="953"/>
      <c r="EE125" s="953"/>
      <c r="EF125" s="953"/>
      <c r="EG125" s="953"/>
      <c r="EH125" s="953"/>
      <c r="EI125" s="953"/>
      <c r="EJ125" s="953"/>
      <c r="EK125" s="953"/>
      <c r="EL125" s="953"/>
      <c r="EM125" s="953"/>
      <c r="EN125" s="953"/>
      <c r="EO125" s="953"/>
      <c r="EP125" s="953"/>
      <c r="EQ125" s="953"/>
      <c r="ER125" s="953"/>
      <c r="ES125" s="953"/>
      <c r="ET125" s="953"/>
      <c r="EU125" s="953"/>
      <c r="EV125" s="953"/>
      <c r="EW125" s="953"/>
      <c r="EX125" s="953"/>
      <c r="EY125" s="953"/>
      <c r="EZ125" s="953"/>
      <c r="FA125" s="953"/>
      <c r="FB125" s="953"/>
      <c r="FC125" s="953"/>
      <c r="FD125" s="953"/>
      <c r="FE125" s="953"/>
      <c r="FF125" s="953"/>
      <c r="FG125" s="953"/>
      <c r="FH125" s="953"/>
      <c r="FI125" s="953"/>
      <c r="FJ125" s="953"/>
      <c r="FK125" s="953"/>
      <c r="FL125" s="953"/>
      <c r="FM125" s="953"/>
      <c r="FN125" s="953"/>
      <c r="FO125" s="953"/>
      <c r="FP125" s="953"/>
      <c r="FQ125" s="953"/>
      <c r="FR125" s="953"/>
      <c r="FS125" s="953"/>
      <c r="FT125" s="953"/>
      <c r="FU125" s="953"/>
      <c r="FV125" s="953"/>
      <c r="FW125" s="953"/>
      <c r="FX125" s="953"/>
      <c r="FY125" s="953"/>
      <c r="FZ125" s="953"/>
      <c r="GA125" s="953"/>
      <c r="GB125" s="953"/>
      <c r="GC125" s="953"/>
      <c r="GD125" s="953"/>
      <c r="GE125" s="953"/>
      <c r="GF125" s="953"/>
      <c r="GG125" s="953"/>
      <c r="GH125" s="953"/>
      <c r="GI125" s="953"/>
      <c r="GJ125" s="953"/>
      <c r="GK125" s="953"/>
      <c r="GL125" s="953"/>
      <c r="GM125" s="953"/>
      <c r="GN125" s="953"/>
      <c r="GO125" s="953"/>
      <c r="GP125" s="953"/>
      <c r="GQ125" s="953"/>
      <c r="GR125" s="953"/>
      <c r="GS125" s="953"/>
      <c r="GT125" s="953"/>
      <c r="GU125" s="953"/>
      <c r="GV125" s="953"/>
      <c r="GW125" s="953"/>
      <c r="GX125" s="953"/>
      <c r="GY125" s="953"/>
      <c r="GZ125" s="953"/>
      <c r="HA125" s="953"/>
      <c r="HB125" s="953"/>
      <c r="HC125" s="953"/>
      <c r="HD125" s="953"/>
      <c r="HE125" s="953"/>
      <c r="HF125" s="953"/>
      <c r="HG125" s="953"/>
      <c r="HH125" s="953"/>
      <c r="HI125" s="953"/>
      <c r="HJ125" s="953"/>
      <c r="HK125" s="953"/>
      <c r="HL125" s="953"/>
      <c r="HM125" s="953"/>
      <c r="HN125" s="953"/>
      <c r="HO125" s="953"/>
      <c r="HP125" s="953"/>
      <c r="HQ125" s="953"/>
      <c r="HR125" s="953"/>
      <c r="HS125" s="953"/>
      <c r="HT125" s="953"/>
      <c r="HU125" s="953"/>
      <c r="HV125" s="953"/>
      <c r="HW125" s="953"/>
      <c r="HX125" s="953"/>
      <c r="HY125" s="953"/>
      <c r="HZ125" s="953"/>
      <c r="IA125" s="953"/>
      <c r="IB125" s="953"/>
      <c r="IC125" s="953"/>
      <c r="ID125" s="953"/>
      <c r="IE125" s="953"/>
      <c r="IF125" s="953"/>
      <c r="IG125" s="953"/>
      <c r="IH125" s="953"/>
      <c r="II125" s="953"/>
      <c r="IJ125" s="953"/>
      <c r="IK125" s="953"/>
      <c r="IL125" s="953"/>
      <c r="IM125" s="953"/>
      <c r="IN125" s="953"/>
      <c r="IO125" s="953"/>
      <c r="IP125" s="953"/>
      <c r="IQ125" s="953"/>
      <c r="IR125" s="953"/>
      <c r="IS125" s="953"/>
      <c r="IT125" s="953"/>
      <c r="IU125" s="953"/>
      <c r="IV125" s="953"/>
      <c r="IW125" s="953"/>
      <c r="IX125" s="953"/>
      <c r="IY125" s="953"/>
      <c r="IZ125" s="953"/>
      <c r="JA125" s="953"/>
      <c r="JB125" s="953"/>
      <c r="JC125" s="953"/>
      <c r="JD125" s="953"/>
      <c r="JE125" s="953"/>
      <c r="JF125" s="953"/>
      <c r="JG125" s="953"/>
      <c r="JH125" s="953"/>
      <c r="JI125" s="953"/>
      <c r="JJ125" s="953"/>
      <c r="JK125" s="953"/>
      <c r="JL125" s="953"/>
      <c r="JM125" s="953"/>
      <c r="JN125" s="953"/>
      <c r="JO125" s="953"/>
      <c r="JP125" s="953"/>
      <c r="JQ125" s="953"/>
      <c r="JR125" s="953"/>
      <c r="JS125" s="953"/>
      <c r="JT125" s="953"/>
      <c r="JU125" s="953"/>
      <c r="JV125" s="953"/>
      <c r="JW125" s="953"/>
      <c r="JX125" s="953"/>
      <c r="JY125" s="953"/>
      <c r="JZ125" s="953"/>
      <c r="KA125" s="953"/>
      <c r="KB125" s="953"/>
      <c r="KC125" s="953"/>
      <c r="KD125" s="953"/>
      <c r="KE125" s="953"/>
      <c r="KF125" s="953"/>
      <c r="KG125" s="953"/>
      <c r="KH125" s="953"/>
      <c r="KI125" s="953"/>
      <c r="KJ125" s="953"/>
      <c r="KK125" s="953"/>
      <c r="KL125" s="953"/>
      <c r="KM125" s="953"/>
      <c r="KN125" s="953"/>
      <c r="KO125" s="953"/>
      <c r="KP125" s="953"/>
      <c r="KQ125" s="953"/>
      <c r="KR125" s="953"/>
      <c r="KS125" s="953"/>
      <c r="KT125" s="953"/>
      <c r="KU125" s="953"/>
      <c r="KV125" s="953"/>
      <c r="KW125" s="953"/>
      <c r="KX125" s="953"/>
      <c r="KY125" s="953"/>
      <c r="KZ125" s="953"/>
      <c r="LA125" s="953"/>
      <c r="LB125" s="953"/>
      <c r="LC125" s="953"/>
      <c r="LD125" s="953"/>
      <c r="LE125" s="953"/>
      <c r="LF125" s="953"/>
      <c r="LG125" s="953"/>
      <c r="LH125" s="953"/>
      <c r="LI125" s="953"/>
      <c r="LJ125" s="953"/>
      <c r="LK125" s="953"/>
      <c r="LL125" s="953"/>
      <c r="LM125" s="953"/>
      <c r="LN125" s="953"/>
      <c r="LO125" s="953"/>
      <c r="LP125" s="953"/>
      <c r="LQ125" s="953"/>
      <c r="LR125" s="953"/>
      <c r="LS125" s="953"/>
      <c r="LT125" s="953"/>
      <c r="LU125" s="953"/>
      <c r="LV125" s="953"/>
      <c r="LW125" s="953"/>
      <c r="LX125" s="953"/>
      <c r="LY125" s="953"/>
      <c r="LZ125" s="953"/>
      <c r="MA125" s="953"/>
      <c r="MB125" s="953"/>
      <c r="MC125" s="953"/>
      <c r="MD125" s="953"/>
      <c r="ME125" s="953"/>
      <c r="MF125" s="953"/>
      <c r="MG125" s="953"/>
      <c r="MH125" s="953"/>
      <c r="MI125" s="953"/>
      <c r="MJ125" s="953"/>
      <c r="MK125" s="953"/>
      <c r="ML125" s="953"/>
      <c r="MM125" s="953"/>
      <c r="MN125" s="953"/>
      <c r="MO125" s="953"/>
      <c r="MP125" s="953"/>
      <c r="MQ125" s="953"/>
      <c r="MR125" s="953"/>
      <c r="MS125" s="953"/>
      <c r="MT125" s="953"/>
      <c r="MU125" s="953"/>
      <c r="MV125" s="953"/>
      <c r="MW125" s="953"/>
      <c r="MX125" s="953"/>
      <c r="MY125" s="953"/>
      <c r="MZ125" s="953"/>
      <c r="NA125" s="953"/>
      <c r="NB125" s="953"/>
      <c r="NC125" s="953"/>
      <c r="ND125" s="953"/>
      <c r="NE125" s="953"/>
      <c r="NF125" s="953"/>
      <c r="NG125" s="953"/>
      <c r="NH125" s="953"/>
      <c r="NI125" s="953"/>
      <c r="NJ125" s="953"/>
      <c r="NK125" s="953"/>
      <c r="NL125" s="953"/>
      <c r="NM125" s="953"/>
      <c r="NN125" s="953"/>
      <c r="NO125" s="953"/>
      <c r="NP125" s="953"/>
      <c r="NQ125" s="953"/>
      <c r="NR125" s="953"/>
      <c r="NS125" s="953"/>
      <c r="NT125" s="953"/>
      <c r="NU125" s="953"/>
      <c r="NV125" s="953"/>
      <c r="NW125" s="953"/>
      <c r="NX125" s="953"/>
      <c r="NY125" s="953"/>
      <c r="NZ125" s="953"/>
      <c r="OA125" s="953"/>
      <c r="OB125" s="953"/>
      <c r="OC125" s="953"/>
      <c r="OD125" s="953"/>
      <c r="OE125" s="953"/>
      <c r="OF125" s="953"/>
      <c r="OG125" s="953"/>
      <c r="OH125" s="953"/>
      <c r="OI125" s="953"/>
      <c r="OJ125" s="953"/>
      <c r="OK125" s="953"/>
      <c r="OL125" s="953"/>
      <c r="OM125" s="953"/>
      <c r="ON125" s="953"/>
      <c r="OO125" s="953"/>
      <c r="OP125" s="953"/>
      <c r="OQ125" s="953"/>
      <c r="OR125" s="953"/>
      <c r="OS125" s="953"/>
      <c r="OT125" s="953"/>
      <c r="OU125" s="953"/>
      <c r="OV125" s="953"/>
      <c r="OW125" s="953"/>
      <c r="OX125" s="953"/>
      <c r="OY125" s="953"/>
      <c r="OZ125" s="953"/>
      <c r="PA125" s="953"/>
      <c r="PB125" s="953"/>
      <c r="PC125" s="953"/>
      <c r="PD125" s="953"/>
      <c r="PE125" s="953"/>
      <c r="PF125" s="953"/>
      <c r="PG125" s="953"/>
      <c r="PH125" s="953"/>
      <c r="PI125" s="953"/>
      <c r="PJ125" s="953"/>
      <c r="PK125" s="953"/>
      <c r="PL125" s="953"/>
      <c r="PM125" s="953"/>
      <c r="PN125" s="953"/>
      <c r="PO125" s="953"/>
      <c r="PP125" s="953"/>
      <c r="PQ125" s="953"/>
      <c r="PR125" s="953"/>
      <c r="PS125" s="953"/>
      <c r="PT125" s="953"/>
      <c r="PU125" s="953"/>
      <c r="PV125" s="953"/>
      <c r="PW125" s="953"/>
      <c r="PX125" s="953"/>
      <c r="PY125" s="953"/>
      <c r="PZ125" s="953"/>
      <c r="QA125" s="953"/>
      <c r="QB125" s="953"/>
      <c r="QC125" s="953"/>
      <c r="QD125" s="953"/>
      <c r="QE125" s="953"/>
      <c r="QF125" s="953"/>
      <c r="QG125" s="953"/>
      <c r="QH125" s="953"/>
      <c r="QI125" s="953"/>
      <c r="QJ125" s="953"/>
      <c r="QK125" s="953"/>
      <c r="QL125" s="953"/>
      <c r="QM125" s="953"/>
      <c r="QN125" s="953"/>
      <c r="QO125" s="953"/>
      <c r="QP125" s="953"/>
      <c r="QQ125" s="953"/>
      <c r="QR125" s="953"/>
      <c r="QS125" s="953"/>
      <c r="QT125" s="953"/>
      <c r="QU125" s="953"/>
      <c r="QV125" s="953"/>
      <c r="QW125" s="953"/>
      <c r="QX125" s="953"/>
      <c r="QY125" s="953"/>
      <c r="QZ125" s="953"/>
      <c r="RA125" s="953"/>
      <c r="RB125" s="953"/>
      <c r="RC125" s="953"/>
      <c r="RD125" s="953"/>
      <c r="RE125" s="953"/>
      <c r="RF125" s="953"/>
      <c r="RG125" s="953"/>
      <c r="RH125" s="953"/>
      <c r="RI125" s="953"/>
      <c r="RJ125" s="953"/>
      <c r="RK125" s="953"/>
      <c r="RL125" s="953"/>
      <c r="RM125" s="953"/>
      <c r="RN125" s="953"/>
      <c r="RO125" s="953"/>
      <c r="RP125" s="953"/>
      <c r="RQ125" s="953"/>
      <c r="RR125" s="953"/>
      <c r="RS125" s="953"/>
      <c r="RT125" s="953"/>
      <c r="RU125" s="953"/>
      <c r="RV125" s="953"/>
      <c r="RW125" s="953"/>
      <c r="RX125" s="953"/>
      <c r="RY125" s="953"/>
      <c r="RZ125" s="953"/>
      <c r="SA125" s="953"/>
      <c r="SB125" s="953"/>
      <c r="SC125" s="953"/>
      <c r="SD125" s="953"/>
      <c r="SE125" s="953"/>
      <c r="SF125" s="953"/>
      <c r="SG125" s="953"/>
      <c r="SH125" s="953"/>
      <c r="SI125" s="953"/>
      <c r="SJ125" s="953"/>
      <c r="SK125" s="953"/>
      <c r="SL125" s="953"/>
      <c r="SM125" s="953"/>
      <c r="SN125" s="953"/>
      <c r="SO125" s="953"/>
      <c r="SP125" s="953"/>
      <c r="SQ125" s="953"/>
      <c r="SR125" s="953"/>
      <c r="SS125" s="953"/>
      <c r="ST125" s="953"/>
      <c r="SU125" s="953"/>
      <c r="SV125" s="953"/>
      <c r="SW125" s="953"/>
      <c r="SX125" s="953"/>
      <c r="SY125" s="953"/>
      <c r="SZ125" s="953"/>
      <c r="TA125" s="953"/>
      <c r="TB125" s="953"/>
      <c r="TC125" s="953"/>
      <c r="TD125" s="953"/>
      <c r="TE125" s="953"/>
      <c r="TF125" s="953"/>
      <c r="TG125" s="953"/>
      <c r="TH125" s="953"/>
      <c r="TI125" s="953"/>
      <c r="TJ125" s="953"/>
      <c r="TK125" s="953"/>
      <c r="TL125" s="953"/>
      <c r="TM125" s="953"/>
      <c r="TN125" s="953"/>
      <c r="TO125" s="953"/>
      <c r="TP125" s="953"/>
      <c r="TQ125" s="953"/>
      <c r="TR125" s="953"/>
      <c r="TS125" s="953"/>
      <c r="TT125" s="953"/>
      <c r="TU125" s="953"/>
      <c r="TV125" s="953"/>
      <c r="TW125" s="953"/>
      <c r="TX125" s="953"/>
      <c r="TY125" s="953"/>
      <c r="TZ125" s="953"/>
      <c r="UA125" s="953"/>
      <c r="UB125" s="953"/>
      <c r="UC125" s="953"/>
      <c r="UD125" s="953"/>
      <c r="UE125" s="953"/>
      <c r="UF125" s="953"/>
      <c r="UG125" s="953"/>
      <c r="UH125" s="953"/>
      <c r="UI125" s="953"/>
      <c r="UJ125" s="953"/>
      <c r="UK125" s="953"/>
      <c r="UL125" s="953"/>
      <c r="UM125" s="953"/>
      <c r="UN125" s="953"/>
      <c r="UO125" s="953"/>
      <c r="UP125" s="953"/>
      <c r="UQ125" s="953"/>
      <c r="UR125" s="953"/>
      <c r="US125" s="953"/>
      <c r="UT125" s="953"/>
      <c r="UU125" s="953"/>
      <c r="UV125" s="953"/>
      <c r="UW125" s="953"/>
      <c r="UX125" s="953"/>
      <c r="UY125" s="953"/>
      <c r="UZ125" s="953"/>
      <c r="VA125" s="953"/>
      <c r="VB125" s="953"/>
      <c r="VC125" s="953"/>
      <c r="VD125" s="953"/>
      <c r="VE125" s="953"/>
      <c r="VF125" s="953"/>
      <c r="VG125" s="953"/>
      <c r="VH125" s="953"/>
      <c r="VI125" s="953"/>
      <c r="VJ125" s="953"/>
      <c r="VK125" s="953"/>
      <c r="VL125" s="953"/>
      <c r="VM125" s="953"/>
      <c r="VN125" s="953"/>
      <c r="VO125" s="953"/>
      <c r="VP125" s="953"/>
      <c r="VQ125" s="953"/>
      <c r="VR125" s="953"/>
      <c r="VS125" s="953"/>
      <c r="VT125" s="953"/>
      <c r="VU125" s="953"/>
      <c r="VV125" s="953"/>
      <c r="VW125" s="953"/>
      <c r="VX125" s="953"/>
      <c r="VY125" s="953"/>
      <c r="VZ125" s="953"/>
      <c r="WA125" s="953"/>
      <c r="WB125" s="953"/>
      <c r="WC125" s="953"/>
      <c r="WD125" s="953"/>
      <c r="WE125" s="953"/>
      <c r="WF125" s="953"/>
      <c r="WG125" s="953"/>
      <c r="WH125" s="953"/>
      <c r="WI125" s="953"/>
      <c r="WJ125" s="953"/>
      <c r="WK125" s="953"/>
      <c r="WL125" s="953"/>
      <c r="WM125" s="953"/>
      <c r="WN125" s="953"/>
      <c r="WO125" s="953"/>
      <c r="WP125" s="953"/>
      <c r="WQ125" s="953"/>
      <c r="WR125" s="953"/>
      <c r="WS125" s="953"/>
      <c r="WT125" s="953"/>
      <c r="WU125" s="953"/>
      <c r="WV125" s="953"/>
      <c r="WW125" s="953"/>
      <c r="WX125" s="953"/>
      <c r="WY125" s="953"/>
      <c r="WZ125" s="953"/>
      <c r="XA125" s="953"/>
      <c r="XB125" s="953"/>
      <c r="XC125" s="953"/>
      <c r="XD125" s="953"/>
      <c r="XE125" s="953"/>
      <c r="XF125" s="953"/>
      <c r="XG125" s="953"/>
      <c r="XH125" s="953"/>
      <c r="XI125" s="953"/>
      <c r="XJ125" s="953"/>
      <c r="XK125" s="953"/>
      <c r="XL125" s="953"/>
      <c r="XM125" s="953"/>
      <c r="XN125" s="953"/>
      <c r="XO125" s="953"/>
      <c r="XP125" s="953"/>
      <c r="XQ125" s="953"/>
      <c r="XR125" s="953"/>
      <c r="XS125" s="953"/>
      <c r="XT125" s="953"/>
      <c r="XU125" s="953"/>
      <c r="XV125" s="953"/>
      <c r="XW125" s="953"/>
      <c r="XX125" s="953"/>
      <c r="XY125" s="953"/>
      <c r="XZ125" s="953"/>
      <c r="YA125" s="953"/>
      <c r="YB125" s="953"/>
      <c r="YC125" s="953"/>
      <c r="YD125" s="953"/>
      <c r="YE125" s="953"/>
      <c r="YF125" s="953"/>
      <c r="YG125" s="953"/>
      <c r="YH125" s="953"/>
      <c r="YI125" s="953"/>
      <c r="YJ125" s="953"/>
      <c r="YK125" s="953"/>
      <c r="YL125" s="953"/>
      <c r="YM125" s="953"/>
      <c r="YN125" s="953"/>
      <c r="YO125" s="953"/>
      <c r="YP125" s="953"/>
      <c r="YQ125" s="953"/>
      <c r="YR125" s="953"/>
      <c r="YS125" s="953"/>
      <c r="YT125" s="953"/>
      <c r="YU125" s="953"/>
      <c r="YV125" s="953"/>
      <c r="YW125" s="953"/>
      <c r="YX125" s="953"/>
      <c r="YY125" s="953"/>
      <c r="YZ125" s="953"/>
      <c r="ZA125" s="953"/>
      <c r="ZB125" s="953"/>
      <c r="ZC125" s="953"/>
      <c r="ZD125" s="953"/>
      <c r="ZE125" s="953"/>
      <c r="ZF125" s="953"/>
      <c r="ZG125" s="953"/>
      <c r="ZH125" s="953"/>
      <c r="ZI125" s="953"/>
      <c r="ZJ125" s="953"/>
      <c r="ZK125" s="953"/>
      <c r="ZL125" s="953"/>
      <c r="ZM125" s="953"/>
      <c r="ZN125" s="953"/>
      <c r="ZO125" s="953"/>
      <c r="ZP125" s="953"/>
      <c r="ZQ125" s="953"/>
      <c r="ZR125" s="953"/>
      <c r="ZS125" s="953"/>
      <c r="ZT125" s="953"/>
      <c r="ZU125" s="953"/>
      <c r="ZV125" s="953"/>
      <c r="ZW125" s="953"/>
      <c r="ZX125" s="953"/>
      <c r="ZY125" s="953"/>
      <c r="ZZ125" s="953"/>
      <c r="AAA125" s="953"/>
      <c r="AAB125" s="953"/>
      <c r="AAC125" s="953"/>
      <c r="AAD125" s="953"/>
      <c r="AAE125" s="953"/>
      <c r="AAF125" s="953"/>
      <c r="AAG125" s="953"/>
      <c r="AAH125" s="953"/>
      <c r="AAI125" s="953"/>
      <c r="AAJ125" s="953"/>
      <c r="AAK125" s="953"/>
      <c r="AAL125" s="953"/>
      <c r="AAM125" s="953"/>
      <c r="AAN125" s="953"/>
      <c r="AAO125" s="953"/>
      <c r="AAP125" s="953"/>
      <c r="AAQ125" s="953"/>
      <c r="AAR125" s="953"/>
      <c r="AAS125" s="953"/>
      <c r="AAT125" s="953"/>
      <c r="AAU125" s="953"/>
      <c r="AAV125" s="953"/>
      <c r="AAW125" s="953"/>
      <c r="AAX125" s="953"/>
      <c r="AAY125" s="953"/>
      <c r="AAZ125" s="953"/>
      <c r="ABA125" s="953"/>
      <c r="ABB125" s="953"/>
      <c r="ABC125" s="953"/>
      <c r="ABD125" s="953"/>
      <c r="ABE125" s="953"/>
      <c r="ABF125" s="953"/>
      <c r="ABG125" s="953"/>
      <c r="ABH125" s="953"/>
      <c r="ABI125" s="953"/>
      <c r="ABJ125" s="953"/>
      <c r="ABK125" s="953"/>
      <c r="ABL125" s="953"/>
      <c r="ABM125" s="953"/>
      <c r="ABN125" s="953"/>
      <c r="ABO125" s="953"/>
      <c r="ABP125" s="953"/>
      <c r="ABQ125" s="953"/>
      <c r="ABR125" s="953"/>
      <c r="ABS125" s="953"/>
      <c r="ABT125" s="953"/>
      <c r="ABU125" s="953"/>
      <c r="ABV125" s="953"/>
      <c r="ABW125" s="953"/>
      <c r="ABX125" s="953"/>
      <c r="ABY125" s="953"/>
      <c r="ABZ125" s="953"/>
      <c r="ACA125" s="953"/>
      <c r="ACB125" s="953"/>
      <c r="ACC125" s="953"/>
      <c r="ACD125" s="953"/>
      <c r="ACE125" s="953"/>
      <c r="ACF125" s="953"/>
      <c r="ACG125" s="953"/>
      <c r="ACH125" s="953"/>
      <c r="ACI125" s="953"/>
      <c r="ACJ125" s="953"/>
      <c r="ACK125" s="953"/>
      <c r="ACL125" s="953"/>
      <c r="ACM125" s="953"/>
      <c r="ACN125" s="953"/>
      <c r="ACO125" s="953"/>
      <c r="ACP125" s="953"/>
      <c r="ACQ125" s="953"/>
      <c r="ACR125" s="953"/>
      <c r="ACS125" s="953"/>
      <c r="ACT125" s="953"/>
      <c r="ACU125" s="953"/>
      <c r="ACV125" s="953"/>
      <c r="ACW125" s="953"/>
      <c r="ACX125" s="953"/>
      <c r="ACY125" s="953"/>
      <c r="ACZ125" s="953"/>
      <c r="ADA125" s="953"/>
      <c r="ADB125" s="953"/>
      <c r="ADC125" s="953"/>
      <c r="ADD125" s="953"/>
      <c r="ADE125" s="953"/>
      <c r="ADF125" s="953"/>
      <c r="ADG125" s="953"/>
      <c r="ADH125" s="953"/>
      <c r="ADI125" s="953"/>
      <c r="ADJ125" s="953"/>
      <c r="ADK125" s="953"/>
      <c r="ADL125" s="953"/>
      <c r="ADM125" s="953"/>
      <c r="ADN125" s="953"/>
      <c r="ADO125" s="953"/>
      <c r="ADP125" s="953"/>
      <c r="ADQ125" s="953"/>
      <c r="ADR125" s="953"/>
      <c r="ADS125" s="953"/>
      <c r="ADT125" s="953"/>
      <c r="ADU125" s="953"/>
      <c r="ADV125" s="953"/>
      <c r="ADW125" s="953"/>
      <c r="ADX125" s="953"/>
      <c r="ADY125" s="953"/>
      <c r="ADZ125" s="953"/>
      <c r="AEA125" s="953"/>
      <c r="AEB125" s="953"/>
      <c r="AEC125" s="953"/>
      <c r="AED125" s="953"/>
      <c r="AEE125" s="953"/>
      <c r="AEF125" s="953"/>
      <c r="AEG125" s="953"/>
      <c r="AEH125" s="953"/>
      <c r="AEI125" s="953"/>
      <c r="AEJ125" s="953"/>
      <c r="AEK125" s="953"/>
      <c r="AEL125" s="953"/>
      <c r="AEM125" s="953"/>
      <c r="AEN125" s="953"/>
      <c r="AEO125" s="953"/>
      <c r="AEP125" s="953"/>
      <c r="AEQ125" s="953"/>
      <c r="AER125" s="953"/>
      <c r="AES125" s="953"/>
      <c r="AET125" s="953"/>
      <c r="AEU125" s="953"/>
      <c r="AEV125" s="953"/>
      <c r="AEW125" s="953"/>
      <c r="AEX125" s="953"/>
      <c r="AEY125" s="953"/>
      <c r="AEZ125" s="953"/>
      <c r="AFA125" s="953"/>
      <c r="AFB125" s="953"/>
      <c r="AFC125" s="953"/>
      <c r="AFD125" s="953"/>
      <c r="AFE125" s="953"/>
      <c r="AFF125" s="953"/>
      <c r="AFG125" s="953"/>
      <c r="AFH125" s="953"/>
      <c r="AFI125" s="953"/>
      <c r="AFJ125" s="953"/>
      <c r="AFK125" s="953"/>
      <c r="AFL125" s="953"/>
      <c r="AFM125" s="953"/>
      <c r="AFN125" s="953"/>
      <c r="AFO125" s="953"/>
      <c r="AFP125" s="953"/>
      <c r="AFQ125" s="953"/>
      <c r="AFR125" s="953"/>
      <c r="AFS125" s="953"/>
      <c r="AFT125" s="953"/>
      <c r="AFU125" s="953"/>
      <c r="AFV125" s="953"/>
      <c r="AFW125" s="953"/>
      <c r="AFX125" s="953"/>
      <c r="AFY125" s="953"/>
      <c r="AFZ125" s="953"/>
      <c r="AGA125" s="953"/>
      <c r="AGB125" s="953"/>
      <c r="AGC125" s="953"/>
      <c r="AGD125" s="953"/>
      <c r="AGE125" s="953"/>
      <c r="AGF125" s="953"/>
      <c r="AGG125" s="953"/>
      <c r="AGH125" s="953"/>
      <c r="AGI125" s="953"/>
      <c r="AGJ125" s="953"/>
      <c r="AGK125" s="953"/>
      <c r="AGL125" s="953"/>
      <c r="AGM125" s="953"/>
      <c r="AGN125" s="953"/>
      <c r="AGO125" s="953"/>
      <c r="AGP125" s="953"/>
      <c r="AGQ125" s="953"/>
      <c r="AGR125" s="953"/>
      <c r="AGS125" s="953"/>
      <c r="AGT125" s="953"/>
      <c r="AGU125" s="953"/>
      <c r="AGV125" s="953"/>
      <c r="AGW125" s="953"/>
      <c r="AGX125" s="953"/>
      <c r="AGY125" s="953"/>
      <c r="AGZ125" s="953"/>
      <c r="AHA125" s="953"/>
      <c r="AHB125" s="953"/>
      <c r="AHC125" s="953"/>
      <c r="AHD125" s="953"/>
      <c r="AHE125" s="953"/>
      <c r="AHF125" s="953"/>
      <c r="AHG125" s="953"/>
      <c r="AHH125" s="953"/>
      <c r="AHI125" s="953"/>
      <c r="AHJ125" s="953"/>
      <c r="AHK125" s="953"/>
      <c r="AHL125" s="953"/>
      <c r="AHM125" s="953"/>
      <c r="AHN125" s="953"/>
      <c r="AHO125" s="953"/>
      <c r="AHP125" s="953"/>
      <c r="AHQ125" s="953"/>
      <c r="AHR125" s="953"/>
      <c r="AHS125" s="953"/>
      <c r="AHT125" s="953"/>
      <c r="AHU125" s="953"/>
      <c r="AHV125" s="953"/>
      <c r="AHW125" s="953"/>
      <c r="AHX125" s="953"/>
      <c r="AHY125" s="953"/>
      <c r="AHZ125" s="953"/>
      <c r="AIA125" s="953"/>
      <c r="AIB125" s="953"/>
      <c r="AIC125" s="953"/>
      <c r="AID125" s="953"/>
      <c r="AIE125" s="953"/>
      <c r="AIF125" s="953"/>
      <c r="AIG125" s="953"/>
      <c r="AIH125" s="953"/>
      <c r="AII125" s="953"/>
      <c r="AIJ125" s="953"/>
      <c r="AIK125" s="953"/>
      <c r="AIL125" s="953"/>
      <c r="AIM125" s="953"/>
      <c r="AIN125" s="953"/>
      <c r="AIO125" s="953"/>
      <c r="AIP125" s="953"/>
      <c r="AIQ125" s="953"/>
      <c r="AIR125" s="953"/>
      <c r="AIS125" s="953"/>
      <c r="AIT125" s="953"/>
      <c r="AIU125" s="953"/>
      <c r="AIV125" s="953"/>
      <c r="AIW125" s="953"/>
      <c r="AIX125" s="953"/>
      <c r="AIY125" s="953"/>
      <c r="AIZ125" s="953"/>
      <c r="AJA125" s="953"/>
      <c r="AJB125" s="953"/>
      <c r="AJC125" s="953"/>
      <c r="AJD125" s="953"/>
      <c r="AJE125" s="953"/>
      <c r="AJF125" s="953"/>
      <c r="AJG125" s="953"/>
      <c r="AJH125" s="953"/>
      <c r="AJI125" s="953"/>
      <c r="AJJ125" s="953"/>
      <c r="AJK125" s="953"/>
      <c r="AJL125" s="953"/>
      <c r="AJM125" s="953"/>
      <c r="AJN125" s="953"/>
      <c r="AJO125" s="953"/>
      <c r="AJP125" s="953"/>
      <c r="AJQ125" s="953"/>
      <c r="AJR125" s="953"/>
      <c r="AJS125" s="953"/>
      <c r="AJT125" s="953"/>
      <c r="AJU125" s="953"/>
      <c r="AJV125" s="953"/>
      <c r="AJW125" s="953"/>
      <c r="AJX125" s="953"/>
      <c r="AJY125" s="953"/>
      <c r="AJZ125" s="953"/>
      <c r="AKA125" s="953"/>
      <c r="AKB125" s="953"/>
      <c r="AKC125" s="953"/>
      <c r="AKD125" s="953"/>
      <c r="AKE125" s="953"/>
      <c r="AKF125" s="953"/>
      <c r="AKG125" s="953"/>
      <c r="AKH125" s="953"/>
      <c r="AKI125" s="953"/>
      <c r="AKJ125" s="953"/>
      <c r="AKK125" s="953"/>
      <c r="AKL125" s="953"/>
      <c r="AKM125" s="953"/>
      <c r="AKN125" s="953"/>
      <c r="AKO125" s="953"/>
      <c r="AKP125" s="953"/>
      <c r="AKQ125" s="953"/>
      <c r="AKR125" s="953"/>
      <c r="AKS125" s="953"/>
      <c r="AKT125" s="953"/>
      <c r="AKU125" s="953"/>
      <c r="AKV125" s="953"/>
      <c r="AKW125" s="953"/>
      <c r="AKX125" s="953"/>
      <c r="AKY125" s="953"/>
      <c r="AKZ125" s="953"/>
      <c r="ALA125" s="953"/>
      <c r="ALB125" s="953"/>
      <c r="ALC125" s="953"/>
      <c r="ALD125" s="953"/>
      <c r="ALE125" s="953"/>
      <c r="ALF125" s="953"/>
      <c r="ALG125" s="953"/>
      <c r="ALH125" s="953"/>
      <c r="ALI125" s="953"/>
      <c r="ALJ125" s="953"/>
      <c r="ALK125" s="953"/>
      <c r="ALL125" s="953"/>
      <c r="ALM125" s="953"/>
      <c r="ALN125" s="953"/>
      <c r="ALO125" s="953"/>
      <c r="ALP125" s="953"/>
      <c r="ALQ125" s="953"/>
      <c r="ALR125" s="953"/>
      <c r="ALS125" s="953"/>
      <c r="ALT125" s="953"/>
      <c r="ALU125" s="953"/>
      <c r="ALV125" s="953"/>
      <c r="ALW125" s="953"/>
      <c r="ALX125" s="953"/>
      <c r="ALY125" s="953"/>
      <c r="ALZ125" s="953"/>
      <c r="AMA125" s="953"/>
      <c r="AMB125" s="953"/>
      <c r="AMC125" s="953"/>
      <c r="AMD125" s="953"/>
      <c r="AME125" s="953"/>
      <c r="AMF125" s="953"/>
      <c r="AMG125" s="953"/>
      <c r="AMH125" s="953"/>
      <c r="AMI125" s="953"/>
      <c r="AMJ125" s="953"/>
      <c r="AMK125" s="953"/>
      <c r="AML125" s="953"/>
      <c r="AMM125" s="953"/>
      <c r="AMN125" s="953"/>
      <c r="AMO125" s="953"/>
      <c r="AMP125" s="953"/>
      <c r="AMQ125" s="953"/>
      <c r="AMR125" s="953"/>
      <c r="AMS125" s="953"/>
      <c r="AMT125" s="953"/>
      <c r="AMU125" s="953"/>
      <c r="AMV125" s="953"/>
      <c r="AMW125" s="953"/>
      <c r="AMX125" s="953"/>
      <c r="AMY125" s="953"/>
      <c r="AMZ125" s="953"/>
      <c r="ANA125" s="953"/>
      <c r="ANB125" s="953"/>
      <c r="ANC125" s="953"/>
      <c r="AND125" s="953"/>
      <c r="ANE125" s="953"/>
      <c r="ANF125" s="953"/>
      <c r="ANG125" s="953"/>
      <c r="ANH125" s="953"/>
      <c r="ANI125" s="953"/>
      <c r="ANJ125" s="953"/>
      <c r="ANK125" s="953"/>
      <c r="ANL125" s="953"/>
      <c r="ANM125" s="953"/>
      <c r="ANN125" s="953"/>
      <c r="ANO125" s="953"/>
      <c r="ANP125" s="953"/>
      <c r="ANQ125" s="953"/>
      <c r="ANR125" s="953"/>
      <c r="ANS125" s="953"/>
      <c r="ANT125" s="953"/>
      <c r="ANU125" s="953"/>
      <c r="ANV125" s="953"/>
      <c r="ANW125" s="953"/>
      <c r="ANX125" s="953"/>
      <c r="ANY125" s="953"/>
      <c r="ANZ125" s="953"/>
      <c r="AOA125" s="953"/>
      <c r="AOB125" s="953"/>
      <c r="AOC125" s="953"/>
      <c r="AOD125" s="953"/>
      <c r="AOE125" s="953"/>
      <c r="AOF125" s="953"/>
      <c r="AOG125" s="953"/>
      <c r="AOH125" s="953"/>
      <c r="AOI125" s="953"/>
      <c r="AOJ125" s="953"/>
      <c r="AOK125" s="953"/>
      <c r="AOL125" s="953"/>
      <c r="AOM125" s="953"/>
      <c r="AON125" s="953"/>
      <c r="AOO125" s="953"/>
      <c r="AOP125" s="953"/>
      <c r="AOQ125" s="953"/>
      <c r="AOR125" s="953"/>
      <c r="AOS125" s="953"/>
      <c r="AOT125" s="953"/>
      <c r="AOU125" s="953"/>
      <c r="AOV125" s="953"/>
      <c r="AOW125" s="953"/>
      <c r="AOX125" s="953"/>
      <c r="AOY125" s="953"/>
      <c r="AOZ125" s="953"/>
      <c r="APA125" s="953"/>
      <c r="APB125" s="953"/>
      <c r="APC125" s="953"/>
      <c r="APD125" s="953"/>
      <c r="APE125" s="953"/>
      <c r="APF125" s="953"/>
      <c r="APG125" s="953"/>
      <c r="APH125" s="953"/>
      <c r="API125" s="953"/>
      <c r="APJ125" s="953"/>
      <c r="APK125" s="953"/>
      <c r="APL125" s="953"/>
      <c r="APM125" s="953"/>
      <c r="APN125" s="953"/>
      <c r="APO125" s="953"/>
      <c r="APP125" s="953"/>
      <c r="APQ125" s="953"/>
      <c r="APR125" s="953"/>
      <c r="APS125" s="953"/>
      <c r="APT125" s="953"/>
      <c r="APU125" s="953"/>
      <c r="APV125" s="953"/>
      <c r="APW125" s="953"/>
      <c r="APX125" s="953"/>
      <c r="APY125" s="953"/>
      <c r="APZ125" s="953"/>
      <c r="AQA125" s="953"/>
      <c r="AQB125" s="953"/>
      <c r="AQC125" s="953"/>
      <c r="AQD125" s="953"/>
      <c r="AQE125" s="953"/>
      <c r="AQF125" s="953"/>
      <c r="AQG125" s="953"/>
      <c r="AQH125" s="953"/>
      <c r="AQI125" s="953"/>
      <c r="AQJ125" s="953"/>
      <c r="AQK125" s="953"/>
      <c r="AQL125" s="953"/>
      <c r="AQM125" s="953"/>
      <c r="AQN125" s="953"/>
      <c r="AQO125" s="953"/>
      <c r="AQP125" s="953"/>
      <c r="AQQ125" s="953"/>
      <c r="AQR125" s="953"/>
      <c r="AQS125" s="953"/>
      <c r="AQT125" s="953"/>
      <c r="AQU125" s="953"/>
      <c r="AQV125" s="953"/>
      <c r="AQW125" s="953"/>
      <c r="AQX125" s="953"/>
      <c r="AQY125" s="953"/>
      <c r="AQZ125" s="953"/>
      <c r="ARA125" s="953"/>
      <c r="ARB125" s="953"/>
      <c r="ARC125" s="953"/>
      <c r="ARD125" s="953"/>
      <c r="ARE125" s="953"/>
      <c r="ARF125" s="953"/>
      <c r="ARG125" s="953"/>
      <c r="ARH125" s="953"/>
      <c r="ARI125" s="953"/>
      <c r="ARJ125" s="953"/>
      <c r="ARK125" s="953"/>
      <c r="ARL125" s="953"/>
      <c r="ARM125" s="953"/>
      <c r="ARN125" s="953"/>
      <c r="ARO125" s="953"/>
      <c r="ARP125" s="953"/>
      <c r="ARQ125" s="953"/>
      <c r="ARR125" s="953"/>
      <c r="ARS125" s="953"/>
      <c r="ART125" s="953"/>
      <c r="ARU125" s="953"/>
      <c r="ARV125" s="953"/>
      <c r="ARW125" s="953"/>
      <c r="ARX125" s="953"/>
      <c r="ARY125" s="953"/>
      <c r="ARZ125" s="953"/>
      <c r="ASA125" s="953"/>
      <c r="ASB125" s="953"/>
      <c r="ASC125" s="953"/>
      <c r="ASD125" s="953"/>
      <c r="ASE125" s="953"/>
      <c r="ASF125" s="953"/>
      <c r="ASG125" s="953"/>
      <c r="ASH125" s="953"/>
      <c r="ASI125" s="953"/>
      <c r="ASJ125" s="953"/>
      <c r="ASK125" s="953"/>
      <c r="ASL125" s="953"/>
      <c r="ASM125" s="953"/>
      <c r="ASN125" s="953"/>
      <c r="ASO125" s="953"/>
      <c r="ASP125" s="953"/>
      <c r="ASQ125" s="953"/>
      <c r="ASR125" s="953"/>
      <c r="ASS125" s="953"/>
      <c r="AST125" s="953"/>
      <c r="ASU125" s="953"/>
      <c r="ASV125" s="953"/>
      <c r="ASW125" s="953"/>
      <c r="ASX125" s="953"/>
      <c r="ASY125" s="953"/>
      <c r="ASZ125" s="953"/>
      <c r="ATA125" s="953"/>
      <c r="ATB125" s="953"/>
      <c r="ATC125" s="953"/>
      <c r="ATD125" s="953"/>
      <c r="ATE125" s="953"/>
      <c r="ATF125" s="953"/>
      <c r="ATG125" s="953"/>
      <c r="ATH125" s="953"/>
      <c r="ATI125" s="953"/>
      <c r="ATJ125" s="953"/>
      <c r="ATK125" s="953"/>
      <c r="ATL125" s="953"/>
      <c r="ATM125" s="953"/>
      <c r="ATN125" s="953"/>
      <c r="ATO125" s="953"/>
      <c r="ATP125" s="953"/>
      <c r="ATQ125" s="953"/>
      <c r="ATR125" s="953"/>
      <c r="ATS125" s="953"/>
      <c r="ATT125" s="953"/>
      <c r="ATU125" s="953"/>
      <c r="ATV125" s="953"/>
      <c r="ATW125" s="953"/>
      <c r="ATX125" s="953"/>
      <c r="ATY125" s="953"/>
      <c r="ATZ125" s="953"/>
      <c r="AUA125" s="953"/>
      <c r="AUB125" s="953"/>
      <c r="AUC125" s="953"/>
      <c r="AUD125" s="953"/>
      <c r="AUE125" s="953"/>
      <c r="AUF125" s="953"/>
      <c r="AUG125" s="953"/>
      <c r="AUH125" s="953"/>
      <c r="AUI125" s="953"/>
      <c r="AUJ125" s="953"/>
      <c r="AUK125" s="953"/>
      <c r="AUL125" s="953"/>
      <c r="AUM125" s="953"/>
      <c r="AUN125" s="953"/>
      <c r="AUO125" s="953"/>
      <c r="AUP125" s="953"/>
      <c r="AUQ125" s="953"/>
      <c r="AUR125" s="953"/>
      <c r="AUS125" s="953"/>
      <c r="AUT125" s="953"/>
      <c r="AUU125" s="953"/>
      <c r="AUV125" s="953"/>
      <c r="AUW125" s="953"/>
      <c r="AUX125" s="953"/>
      <c r="AUY125" s="953"/>
      <c r="AUZ125" s="953"/>
      <c r="AVA125" s="953"/>
      <c r="AVB125" s="953"/>
      <c r="AVC125" s="953"/>
      <c r="AVD125" s="953"/>
      <c r="AVE125" s="953"/>
      <c r="AVF125" s="953"/>
      <c r="AVG125" s="953"/>
      <c r="AVH125" s="953"/>
      <c r="AVI125" s="953"/>
      <c r="AVJ125" s="953"/>
      <c r="AVK125" s="953"/>
      <c r="AVL125" s="953"/>
      <c r="AVM125" s="953"/>
      <c r="AVN125" s="953"/>
      <c r="AVO125" s="953"/>
      <c r="AVP125" s="953"/>
      <c r="AVQ125" s="953"/>
      <c r="AVR125" s="953"/>
      <c r="AVS125" s="953"/>
      <c r="AVT125" s="953"/>
      <c r="AVU125" s="953"/>
      <c r="AVV125" s="953"/>
      <c r="AVW125" s="953"/>
      <c r="AVX125" s="953"/>
      <c r="AVY125" s="953"/>
      <c r="AVZ125" s="953"/>
      <c r="AWA125" s="953"/>
      <c r="AWB125" s="953"/>
      <c r="AWC125" s="953"/>
      <c r="AWD125" s="953"/>
      <c r="AWE125" s="953"/>
      <c r="AWF125" s="953"/>
      <c r="AWG125" s="953"/>
      <c r="AWH125" s="953"/>
      <c r="AWI125" s="953"/>
      <c r="AWJ125" s="953"/>
      <c r="AWK125" s="953"/>
      <c r="AWL125" s="953"/>
      <c r="AWM125" s="953"/>
      <c r="AWN125" s="953"/>
      <c r="AWO125" s="953"/>
      <c r="AWP125" s="953"/>
      <c r="AWQ125" s="953"/>
      <c r="AWR125" s="953"/>
      <c r="AWS125" s="953"/>
      <c r="AWT125" s="953"/>
      <c r="AWU125" s="953"/>
      <c r="AWV125" s="953"/>
      <c r="AWW125" s="953"/>
      <c r="AWX125" s="953"/>
      <c r="AWY125" s="953"/>
      <c r="AWZ125" s="953"/>
      <c r="AXA125" s="953"/>
      <c r="AXB125" s="953"/>
      <c r="AXC125" s="953"/>
      <c r="AXD125" s="953"/>
      <c r="AXE125" s="953"/>
      <c r="AXF125" s="953"/>
      <c r="AXG125" s="953"/>
      <c r="AXH125" s="953"/>
      <c r="AXI125" s="953"/>
      <c r="AXJ125" s="953"/>
      <c r="AXK125" s="953"/>
      <c r="AXL125" s="953"/>
      <c r="AXM125" s="953"/>
      <c r="AXN125" s="953"/>
      <c r="AXO125" s="953"/>
      <c r="AXP125" s="953"/>
      <c r="AXQ125" s="953"/>
      <c r="AXR125" s="953"/>
      <c r="AXS125" s="953"/>
      <c r="AXT125" s="953"/>
      <c r="AXU125" s="953"/>
      <c r="AXV125" s="953"/>
      <c r="AXW125" s="953"/>
      <c r="AXX125" s="953"/>
      <c r="AXY125" s="953"/>
      <c r="AXZ125" s="953"/>
      <c r="AYA125" s="953"/>
      <c r="AYB125" s="953"/>
      <c r="AYC125" s="953"/>
      <c r="AYD125" s="953"/>
      <c r="AYE125" s="953"/>
      <c r="AYF125" s="953"/>
      <c r="AYG125" s="953"/>
      <c r="AYH125" s="953"/>
      <c r="AYI125" s="953"/>
      <c r="AYJ125" s="953"/>
      <c r="AYK125" s="953"/>
      <c r="AYL125" s="953"/>
      <c r="AYM125" s="953"/>
      <c r="AYN125" s="953"/>
      <c r="AYO125" s="953"/>
      <c r="AYP125" s="953"/>
      <c r="AYQ125" s="953"/>
      <c r="AYR125" s="953"/>
      <c r="AYS125" s="953"/>
      <c r="AYT125" s="953"/>
      <c r="AYU125" s="953"/>
      <c r="AYV125" s="953"/>
      <c r="AYW125" s="953"/>
      <c r="AYX125" s="953"/>
      <c r="AYY125" s="953"/>
      <c r="AYZ125" s="953"/>
      <c r="AZA125" s="953"/>
      <c r="AZB125" s="953"/>
      <c r="AZC125" s="953"/>
      <c r="AZD125" s="953"/>
      <c r="AZE125" s="953"/>
      <c r="AZF125" s="953"/>
      <c r="AZG125" s="953"/>
      <c r="AZH125" s="953"/>
      <c r="AZI125" s="953"/>
      <c r="AZJ125" s="953"/>
      <c r="AZK125" s="953"/>
      <c r="AZL125" s="953"/>
      <c r="AZM125" s="953"/>
      <c r="AZN125" s="953"/>
      <c r="AZO125" s="953"/>
      <c r="AZP125" s="953"/>
      <c r="AZQ125" s="953"/>
      <c r="AZR125" s="953"/>
      <c r="AZS125" s="953"/>
      <c r="AZT125" s="953"/>
      <c r="AZU125" s="953"/>
      <c r="AZV125" s="953"/>
      <c r="AZW125" s="953"/>
      <c r="AZX125" s="953"/>
      <c r="AZY125" s="953"/>
      <c r="AZZ125" s="953"/>
      <c r="BAA125" s="953"/>
      <c r="BAB125" s="953"/>
      <c r="BAC125" s="953"/>
      <c r="BAD125" s="953"/>
      <c r="BAE125" s="953"/>
      <c r="BAF125" s="953"/>
      <c r="BAG125" s="953"/>
      <c r="BAH125" s="953"/>
      <c r="BAI125" s="953"/>
      <c r="BAJ125" s="953"/>
      <c r="BAK125" s="953"/>
      <c r="BAL125" s="953"/>
      <c r="BAM125" s="953"/>
      <c r="BAN125" s="953"/>
      <c r="BAO125" s="953"/>
      <c r="BAP125" s="953"/>
      <c r="BAQ125" s="953"/>
      <c r="BAR125" s="953"/>
      <c r="BAS125" s="953"/>
      <c r="BAT125" s="953"/>
      <c r="BAU125" s="953"/>
      <c r="BAV125" s="953"/>
      <c r="BAW125" s="953"/>
      <c r="BAX125" s="953"/>
      <c r="BAY125" s="953"/>
      <c r="BAZ125" s="953"/>
      <c r="BBA125" s="953"/>
      <c r="BBB125" s="953"/>
      <c r="BBC125" s="953"/>
      <c r="BBD125" s="953"/>
      <c r="BBE125" s="953"/>
      <c r="BBF125" s="953"/>
      <c r="BBG125" s="953"/>
      <c r="BBH125" s="953"/>
      <c r="BBI125" s="953"/>
      <c r="BBJ125" s="953"/>
      <c r="BBK125" s="953"/>
      <c r="BBL125" s="953"/>
      <c r="BBM125" s="953"/>
      <c r="BBN125" s="953"/>
      <c r="BBO125" s="953"/>
      <c r="BBP125" s="953"/>
      <c r="BBQ125" s="953"/>
      <c r="BBR125" s="953"/>
      <c r="BBS125" s="953"/>
      <c r="BBT125" s="953"/>
      <c r="BBU125" s="953"/>
      <c r="BBV125" s="953"/>
      <c r="BBW125" s="953"/>
      <c r="BBX125" s="953"/>
      <c r="BBY125" s="953"/>
      <c r="BBZ125" s="953"/>
      <c r="BCA125" s="953"/>
      <c r="BCB125" s="953"/>
      <c r="BCC125" s="953"/>
      <c r="BCD125" s="953"/>
      <c r="BCE125" s="953"/>
      <c r="BCF125" s="953"/>
      <c r="BCG125" s="953"/>
      <c r="BCH125" s="953"/>
      <c r="BCI125" s="953"/>
      <c r="BCJ125" s="953"/>
      <c r="BCK125" s="953"/>
      <c r="BCL125" s="953"/>
      <c r="BCM125" s="953"/>
      <c r="BCN125" s="953"/>
      <c r="BCO125" s="953"/>
      <c r="BCP125" s="953"/>
      <c r="BCQ125" s="953"/>
      <c r="BCR125" s="953"/>
      <c r="BCS125" s="953"/>
      <c r="BCT125" s="953"/>
      <c r="BCU125" s="953"/>
      <c r="BCV125" s="953"/>
      <c r="BCW125" s="953"/>
      <c r="BCX125" s="953"/>
      <c r="BCY125" s="953"/>
      <c r="BCZ125" s="953"/>
      <c r="BDA125" s="953"/>
      <c r="BDB125" s="953"/>
      <c r="BDC125" s="953"/>
      <c r="BDD125" s="953"/>
      <c r="BDE125" s="953"/>
      <c r="BDF125" s="953"/>
      <c r="BDG125" s="953"/>
      <c r="BDH125" s="953"/>
      <c r="BDI125" s="953"/>
      <c r="BDJ125" s="953"/>
      <c r="BDK125" s="953"/>
      <c r="BDL125" s="953"/>
      <c r="BDM125" s="953"/>
      <c r="BDN125" s="953"/>
      <c r="BDO125" s="953"/>
      <c r="BDP125" s="953"/>
      <c r="BDQ125" s="953"/>
      <c r="BDR125" s="953"/>
      <c r="BDS125" s="953"/>
      <c r="BDT125" s="953"/>
      <c r="BDU125" s="953"/>
      <c r="BDV125" s="953"/>
      <c r="BDW125" s="953"/>
      <c r="BDX125" s="953"/>
      <c r="BDY125" s="953"/>
      <c r="BDZ125" s="953"/>
      <c r="BEA125" s="953"/>
      <c r="BEB125" s="953"/>
      <c r="BEC125" s="953"/>
      <c r="BED125" s="953"/>
      <c r="BEE125" s="953"/>
      <c r="BEF125" s="953"/>
      <c r="BEG125" s="953"/>
      <c r="BEH125" s="953"/>
      <c r="BEI125" s="953"/>
      <c r="BEJ125" s="953"/>
      <c r="BEK125" s="953"/>
      <c r="BEL125" s="953"/>
      <c r="BEM125" s="953"/>
      <c r="BEN125" s="953"/>
      <c r="BEO125" s="953"/>
      <c r="BEP125" s="953"/>
      <c r="BEQ125" s="953"/>
      <c r="BER125" s="953"/>
      <c r="BES125" s="953"/>
      <c r="BET125" s="953"/>
      <c r="BEU125" s="953"/>
      <c r="BEV125" s="953"/>
      <c r="BEW125" s="953"/>
      <c r="BEX125" s="953"/>
      <c r="BEY125" s="953"/>
      <c r="BEZ125" s="953"/>
      <c r="BFA125" s="953"/>
      <c r="BFB125" s="953"/>
      <c r="BFC125" s="953"/>
      <c r="BFD125" s="953"/>
      <c r="BFE125" s="953"/>
      <c r="BFF125" s="953"/>
      <c r="BFG125" s="953"/>
      <c r="BFH125" s="953"/>
      <c r="BFI125" s="953"/>
      <c r="BFJ125" s="953"/>
      <c r="BFK125" s="953"/>
      <c r="BFL125" s="953"/>
      <c r="BFM125" s="953"/>
      <c r="BFN125" s="953"/>
      <c r="BFO125" s="953"/>
      <c r="BFP125" s="953"/>
      <c r="BFQ125" s="953"/>
      <c r="BFR125" s="953"/>
      <c r="BFS125" s="953"/>
      <c r="BFT125" s="953"/>
      <c r="BFU125" s="953"/>
      <c r="BFV125" s="953"/>
      <c r="BFW125" s="953"/>
      <c r="BFX125" s="953"/>
      <c r="BFY125" s="953"/>
      <c r="BFZ125" s="953"/>
      <c r="BGA125" s="953"/>
      <c r="BGB125" s="953"/>
      <c r="BGC125" s="953"/>
      <c r="BGD125" s="953"/>
      <c r="BGE125" s="953"/>
      <c r="BGF125" s="953"/>
      <c r="BGG125" s="953"/>
      <c r="BGH125" s="953"/>
      <c r="BGI125" s="953"/>
      <c r="BGJ125" s="953"/>
      <c r="BGK125" s="953"/>
      <c r="BGL125" s="953"/>
      <c r="BGM125" s="953"/>
      <c r="BGN125" s="953"/>
      <c r="BGO125" s="953"/>
      <c r="BGP125" s="953"/>
      <c r="BGQ125" s="953"/>
      <c r="BGR125" s="953"/>
      <c r="BGS125" s="953"/>
      <c r="BGT125" s="953"/>
      <c r="BGU125" s="953"/>
      <c r="BGV125" s="953"/>
      <c r="BGW125" s="953"/>
      <c r="BGX125" s="953"/>
      <c r="BGY125" s="953"/>
      <c r="BGZ125" s="953"/>
      <c r="BHA125" s="953"/>
      <c r="BHB125" s="953"/>
      <c r="BHC125" s="953"/>
      <c r="BHD125" s="953"/>
      <c r="BHE125" s="953"/>
      <c r="BHF125" s="953"/>
      <c r="BHG125" s="953"/>
      <c r="BHH125" s="953"/>
      <c r="BHI125" s="953"/>
      <c r="BHJ125" s="953"/>
      <c r="BHK125" s="953"/>
      <c r="BHL125" s="953"/>
      <c r="BHM125" s="953"/>
      <c r="BHN125" s="953"/>
      <c r="BHO125" s="953"/>
      <c r="BHP125" s="953"/>
      <c r="BHQ125" s="953"/>
      <c r="BHR125" s="953"/>
      <c r="BHS125" s="953"/>
      <c r="BHT125" s="953"/>
      <c r="BHU125" s="953"/>
      <c r="BHV125" s="953"/>
      <c r="BHW125" s="953"/>
      <c r="BHX125" s="953"/>
      <c r="BHY125" s="953"/>
      <c r="BHZ125" s="953"/>
      <c r="BIA125" s="953"/>
      <c r="BIB125" s="953"/>
      <c r="BIC125" s="953"/>
      <c r="BID125" s="953"/>
      <c r="BIE125" s="953"/>
      <c r="BIF125" s="953"/>
      <c r="BIG125" s="953"/>
      <c r="BIH125" s="953"/>
      <c r="BII125" s="953"/>
      <c r="BIJ125" s="953"/>
      <c r="BIK125" s="953"/>
      <c r="BIL125" s="953"/>
      <c r="BIM125" s="953"/>
      <c r="BIN125" s="953"/>
      <c r="BIO125" s="953"/>
      <c r="BIP125" s="953"/>
      <c r="BIQ125" s="953"/>
      <c r="BIR125" s="953"/>
      <c r="BIS125" s="953"/>
      <c r="BIT125" s="953"/>
      <c r="BIU125" s="953"/>
      <c r="BIV125" s="953"/>
      <c r="BIW125" s="953"/>
      <c r="BIX125" s="953"/>
      <c r="BIY125" s="953"/>
      <c r="BIZ125" s="953"/>
      <c r="BJA125" s="953"/>
      <c r="BJB125" s="953"/>
      <c r="BJC125" s="953"/>
      <c r="BJD125" s="953"/>
      <c r="BJE125" s="953"/>
      <c r="BJF125" s="953"/>
      <c r="BJG125" s="953"/>
      <c r="BJH125" s="953"/>
      <c r="BJI125" s="953"/>
      <c r="BJJ125" s="953"/>
      <c r="BJK125" s="953"/>
      <c r="BJL125" s="953"/>
      <c r="BJM125" s="953"/>
      <c r="BJN125" s="953"/>
      <c r="BJO125" s="953"/>
      <c r="BJP125" s="953"/>
      <c r="BJQ125" s="953"/>
      <c r="BJR125" s="953"/>
      <c r="BJS125" s="953"/>
      <c r="BJT125" s="953"/>
      <c r="BJU125" s="953"/>
      <c r="BJV125" s="953"/>
      <c r="BJW125" s="953"/>
      <c r="BJX125" s="953"/>
      <c r="BJY125" s="953"/>
      <c r="BJZ125" s="953"/>
      <c r="BKA125" s="953"/>
      <c r="BKB125" s="953"/>
      <c r="BKC125" s="953"/>
      <c r="BKD125" s="953"/>
      <c r="BKE125" s="953"/>
      <c r="BKF125" s="953"/>
      <c r="BKG125" s="953"/>
      <c r="BKH125" s="953"/>
      <c r="BKI125" s="953"/>
      <c r="BKJ125" s="953"/>
      <c r="BKK125" s="953"/>
      <c r="BKL125" s="953"/>
      <c r="BKM125" s="953"/>
      <c r="BKN125" s="953"/>
      <c r="BKO125" s="953"/>
      <c r="BKP125" s="953"/>
      <c r="BKQ125" s="953"/>
      <c r="BKR125" s="953"/>
      <c r="BKS125" s="953"/>
      <c r="BKT125" s="953"/>
      <c r="BKU125" s="953"/>
      <c r="BKV125" s="953"/>
      <c r="BKW125" s="953"/>
      <c r="BKX125" s="953"/>
      <c r="BKY125" s="953"/>
      <c r="BKZ125" s="953"/>
      <c r="BLA125" s="953"/>
      <c r="BLB125" s="953"/>
      <c r="BLC125" s="953"/>
      <c r="BLD125" s="953"/>
      <c r="BLE125" s="953"/>
      <c r="BLF125" s="953"/>
      <c r="BLG125" s="953"/>
      <c r="BLH125" s="953"/>
      <c r="BLI125" s="953"/>
      <c r="BLJ125" s="953"/>
      <c r="BLK125" s="953"/>
      <c r="BLL125" s="953"/>
      <c r="BLM125" s="953"/>
      <c r="BLN125" s="953"/>
      <c r="BLO125" s="953"/>
      <c r="BLP125" s="953"/>
      <c r="BLQ125" s="953"/>
      <c r="BLR125" s="953"/>
      <c r="BLS125" s="953"/>
      <c r="BLT125" s="953"/>
      <c r="BLU125" s="953"/>
      <c r="BLV125" s="953"/>
      <c r="BLW125" s="953"/>
      <c r="BLX125" s="953"/>
      <c r="BLY125" s="953"/>
      <c r="BLZ125" s="953"/>
      <c r="BMA125" s="953"/>
      <c r="BMB125" s="953"/>
      <c r="BMC125" s="953"/>
      <c r="BMD125" s="953"/>
      <c r="BME125" s="953"/>
      <c r="BMF125" s="953"/>
      <c r="BMG125" s="953"/>
      <c r="BMH125" s="953"/>
      <c r="BMI125" s="953"/>
      <c r="BMJ125" s="953"/>
      <c r="BMK125" s="953"/>
      <c r="BML125" s="953"/>
      <c r="BMM125" s="953"/>
      <c r="BMN125" s="953"/>
      <c r="BMO125" s="953"/>
      <c r="BMP125" s="953"/>
      <c r="BMQ125" s="953"/>
      <c r="BMR125" s="953"/>
      <c r="BMS125" s="953"/>
      <c r="BMT125" s="953"/>
      <c r="BMU125" s="953"/>
      <c r="BMV125" s="953"/>
      <c r="BMW125" s="953"/>
      <c r="BMX125" s="953"/>
      <c r="BMY125" s="953"/>
      <c r="BMZ125" s="953"/>
      <c r="BNA125" s="953"/>
      <c r="BNB125" s="953"/>
      <c r="BNC125" s="953"/>
      <c r="BND125" s="953"/>
      <c r="BNE125" s="953"/>
      <c r="BNF125" s="953"/>
      <c r="BNG125" s="953"/>
      <c r="BNH125" s="953"/>
      <c r="BNI125" s="953"/>
      <c r="BNJ125" s="953"/>
      <c r="BNK125" s="953"/>
      <c r="BNL125" s="953"/>
      <c r="BNM125" s="953"/>
      <c r="BNN125" s="953"/>
      <c r="BNO125" s="953"/>
      <c r="BNP125" s="953"/>
      <c r="BNQ125" s="953"/>
      <c r="BNR125" s="953"/>
      <c r="BNS125" s="953"/>
      <c r="BNT125" s="953"/>
      <c r="BNU125" s="953"/>
      <c r="BNV125" s="953"/>
      <c r="BNW125" s="953"/>
      <c r="BNX125" s="953"/>
      <c r="BNY125" s="953"/>
      <c r="BNZ125" s="953"/>
      <c r="BOA125" s="953"/>
      <c r="BOB125" s="953"/>
      <c r="BOC125" s="953"/>
      <c r="BOD125" s="953"/>
      <c r="BOE125" s="953"/>
      <c r="BOF125" s="953"/>
      <c r="BOG125" s="953"/>
      <c r="BOH125" s="953"/>
      <c r="BOI125" s="953"/>
      <c r="BOJ125" s="953"/>
      <c r="BOK125" s="953"/>
      <c r="BOL125" s="953"/>
      <c r="BOM125" s="953"/>
      <c r="BON125" s="953"/>
      <c r="BOO125" s="953"/>
      <c r="BOP125" s="953"/>
      <c r="BOQ125" s="953"/>
      <c r="BOR125" s="953"/>
      <c r="BOS125" s="953"/>
      <c r="BOT125" s="953"/>
      <c r="BOU125" s="953"/>
      <c r="BOV125" s="953"/>
      <c r="BOW125" s="953"/>
      <c r="BOX125" s="953"/>
      <c r="BOY125" s="953"/>
      <c r="BOZ125" s="953"/>
      <c r="BPA125" s="953"/>
      <c r="BPB125" s="953"/>
      <c r="BPC125" s="953"/>
      <c r="BPD125" s="953"/>
      <c r="BPE125" s="953"/>
      <c r="BPF125" s="953"/>
      <c r="BPG125" s="953"/>
      <c r="BPH125" s="953"/>
      <c r="BPI125" s="953"/>
      <c r="BPJ125" s="953"/>
      <c r="BPK125" s="953"/>
      <c r="BPL125" s="953"/>
      <c r="BPM125" s="953"/>
      <c r="BPN125" s="953"/>
      <c r="BPO125" s="953"/>
      <c r="BPP125" s="953"/>
      <c r="BPQ125" s="953"/>
      <c r="BPR125" s="953"/>
      <c r="BPS125" s="953"/>
      <c r="BPT125" s="953"/>
      <c r="BPU125" s="953"/>
      <c r="BPV125" s="953"/>
      <c r="BPW125" s="953"/>
      <c r="BPX125" s="953"/>
      <c r="BPY125" s="953"/>
      <c r="BPZ125" s="953"/>
      <c r="BQA125" s="953"/>
      <c r="BQB125" s="953"/>
      <c r="BQC125" s="953"/>
      <c r="BQD125" s="953"/>
      <c r="BQE125" s="953"/>
      <c r="BQF125" s="953"/>
      <c r="BQG125" s="953"/>
      <c r="BQH125" s="953"/>
      <c r="BQI125" s="953"/>
      <c r="BQJ125" s="953"/>
      <c r="BQK125" s="953"/>
      <c r="BQL125" s="953"/>
      <c r="BQM125" s="953"/>
      <c r="BQN125" s="953"/>
      <c r="BQO125" s="953"/>
      <c r="BQP125" s="953"/>
      <c r="BQQ125" s="953"/>
      <c r="BQR125" s="953"/>
      <c r="BQS125" s="953"/>
      <c r="BQT125" s="953"/>
      <c r="BQU125" s="953"/>
      <c r="BQV125" s="953"/>
      <c r="BQW125" s="953"/>
      <c r="BQX125" s="953"/>
      <c r="BQY125" s="953"/>
      <c r="BQZ125" s="953"/>
      <c r="BRA125" s="953"/>
      <c r="BRB125" s="953"/>
      <c r="BRC125" s="953"/>
      <c r="BRD125" s="953"/>
      <c r="BRE125" s="953"/>
      <c r="BRF125" s="953"/>
      <c r="BRG125" s="953"/>
      <c r="BRH125" s="953"/>
      <c r="BRI125" s="953"/>
      <c r="BRJ125" s="953"/>
      <c r="BRK125" s="953"/>
      <c r="BRL125" s="953"/>
      <c r="BRM125" s="953"/>
      <c r="BRN125" s="953"/>
      <c r="BRO125" s="953"/>
      <c r="BRP125" s="953"/>
      <c r="BRQ125" s="953"/>
      <c r="BRR125" s="953"/>
      <c r="BRS125" s="953"/>
      <c r="BRT125" s="953"/>
      <c r="BRU125" s="953"/>
      <c r="BRV125" s="953"/>
      <c r="BRW125" s="953"/>
      <c r="BRX125" s="953"/>
      <c r="BRY125" s="953"/>
      <c r="BRZ125" s="953"/>
      <c r="BSA125" s="953"/>
      <c r="BSB125" s="953"/>
      <c r="BSC125" s="953"/>
      <c r="BSD125" s="953"/>
      <c r="BSE125" s="953"/>
      <c r="BSF125" s="953"/>
      <c r="BSG125" s="953"/>
      <c r="BSH125" s="953"/>
      <c r="BSI125" s="953"/>
      <c r="BSJ125" s="953"/>
      <c r="BSK125" s="953"/>
      <c r="BSL125" s="953"/>
      <c r="BSM125" s="953"/>
      <c r="BSN125" s="953"/>
      <c r="BSO125" s="953"/>
      <c r="BSP125" s="953"/>
      <c r="BSQ125" s="953"/>
      <c r="BSR125" s="953"/>
      <c r="BSS125" s="953"/>
      <c r="BST125" s="953"/>
      <c r="BSU125" s="953"/>
      <c r="BSV125" s="953"/>
      <c r="BSW125" s="953"/>
      <c r="BSX125" s="953"/>
      <c r="BSY125" s="953"/>
      <c r="BSZ125" s="953"/>
      <c r="BTA125" s="953"/>
      <c r="BTB125" s="953"/>
      <c r="BTC125" s="953"/>
      <c r="BTD125" s="953"/>
      <c r="BTE125" s="953"/>
      <c r="BTF125" s="953"/>
      <c r="BTG125" s="953"/>
      <c r="BTH125" s="953"/>
      <c r="BTI125" s="953"/>
      <c r="BTJ125" s="953"/>
      <c r="BTK125" s="953"/>
      <c r="BTL125" s="953"/>
      <c r="BTM125" s="953"/>
      <c r="BTN125" s="953"/>
      <c r="BTO125" s="953"/>
      <c r="BTP125" s="953"/>
      <c r="BTQ125" s="953"/>
      <c r="BTR125" s="953"/>
      <c r="BTS125" s="953"/>
      <c r="BTT125" s="953"/>
      <c r="BTU125" s="953"/>
      <c r="BTV125" s="953"/>
      <c r="BTW125" s="953"/>
      <c r="BTX125" s="953"/>
      <c r="BTY125" s="953"/>
      <c r="BTZ125" s="953"/>
      <c r="BUA125" s="953"/>
      <c r="BUB125" s="953"/>
      <c r="BUC125" s="953"/>
      <c r="BUD125" s="953"/>
      <c r="BUE125" s="953"/>
      <c r="BUF125" s="953"/>
      <c r="BUG125" s="953"/>
      <c r="BUH125" s="953"/>
      <c r="BUI125" s="953"/>
      <c r="BUJ125" s="953"/>
      <c r="BUK125" s="953"/>
      <c r="BUL125" s="953"/>
      <c r="BUM125" s="953"/>
      <c r="BUN125" s="953"/>
      <c r="BUO125" s="953"/>
      <c r="BUP125" s="953"/>
      <c r="BUQ125" s="953"/>
      <c r="BUR125" s="953"/>
      <c r="BUS125" s="953"/>
      <c r="BUT125" s="953"/>
      <c r="BUU125" s="953"/>
      <c r="BUV125" s="953"/>
      <c r="BUW125" s="953"/>
      <c r="BUX125" s="953"/>
      <c r="BUY125" s="953"/>
      <c r="BUZ125" s="953"/>
      <c r="BVA125" s="953"/>
      <c r="BVB125" s="953"/>
      <c r="BVC125" s="953"/>
      <c r="BVD125" s="953"/>
      <c r="BVE125" s="953"/>
      <c r="BVF125" s="953"/>
      <c r="BVG125" s="953"/>
      <c r="BVH125" s="953"/>
      <c r="BVI125" s="953"/>
      <c r="BVJ125" s="953"/>
      <c r="BVK125" s="953"/>
      <c r="BVL125" s="953"/>
      <c r="BVM125" s="953"/>
      <c r="BVN125" s="953"/>
      <c r="BVO125" s="953"/>
      <c r="BVP125" s="953"/>
      <c r="BVQ125" s="953"/>
      <c r="BVR125" s="953"/>
      <c r="BVS125" s="953"/>
      <c r="BVT125" s="953"/>
      <c r="BVU125" s="953"/>
      <c r="BVV125" s="953"/>
      <c r="BVW125" s="953"/>
      <c r="BVX125" s="953"/>
      <c r="BVY125" s="953"/>
      <c r="BVZ125" s="953"/>
      <c r="BWA125" s="953"/>
      <c r="BWB125" s="953"/>
      <c r="BWC125" s="953"/>
      <c r="BWD125" s="953"/>
      <c r="BWE125" s="953"/>
      <c r="BWF125" s="953"/>
      <c r="BWG125" s="953"/>
      <c r="BWH125" s="953"/>
      <c r="BWI125" s="953"/>
      <c r="BWJ125" s="953"/>
      <c r="BWK125" s="953"/>
      <c r="BWL125" s="953"/>
      <c r="BWM125" s="953"/>
      <c r="BWN125" s="953"/>
      <c r="BWO125" s="953"/>
      <c r="BWP125" s="953"/>
      <c r="BWQ125" s="953"/>
      <c r="BWR125" s="953"/>
      <c r="BWS125" s="953"/>
      <c r="BWT125" s="953"/>
      <c r="BWU125" s="953"/>
      <c r="BWV125" s="953"/>
      <c r="BWW125" s="953"/>
      <c r="BWX125" s="953"/>
      <c r="BWY125" s="953"/>
      <c r="BWZ125" s="953"/>
      <c r="BXA125" s="953"/>
      <c r="BXB125" s="953"/>
      <c r="BXC125" s="953"/>
      <c r="BXD125" s="953"/>
      <c r="BXE125" s="953"/>
      <c r="BXF125" s="953"/>
      <c r="BXG125" s="953"/>
      <c r="BXH125" s="953"/>
      <c r="BXI125" s="953"/>
      <c r="BXJ125" s="953"/>
      <c r="BXK125" s="953"/>
      <c r="BXL125" s="953"/>
      <c r="BXM125" s="953"/>
      <c r="BXN125" s="953"/>
      <c r="BXO125" s="953"/>
      <c r="BXP125" s="953"/>
      <c r="BXQ125" s="953"/>
      <c r="BXR125" s="953"/>
      <c r="BXS125" s="953"/>
      <c r="BXT125" s="953"/>
      <c r="BXU125" s="953"/>
      <c r="BXV125" s="953"/>
      <c r="BXW125" s="953"/>
      <c r="BXX125" s="953"/>
      <c r="BXY125" s="953"/>
      <c r="BXZ125" s="953"/>
      <c r="BYA125" s="953"/>
      <c r="BYB125" s="953"/>
      <c r="BYC125" s="953"/>
      <c r="BYD125" s="953"/>
      <c r="BYE125" s="953"/>
      <c r="BYF125" s="953"/>
      <c r="BYG125" s="953"/>
      <c r="BYH125" s="953"/>
      <c r="BYI125" s="953"/>
      <c r="BYJ125" s="953"/>
      <c r="BYK125" s="953"/>
      <c r="BYL125" s="953"/>
      <c r="BYM125" s="953"/>
      <c r="BYN125" s="953"/>
      <c r="BYO125" s="953"/>
      <c r="BYP125" s="953"/>
      <c r="BYQ125" s="953"/>
      <c r="BYR125" s="953"/>
      <c r="BYS125" s="953"/>
      <c r="BYT125" s="953"/>
      <c r="BYU125" s="953"/>
      <c r="BYV125" s="953"/>
      <c r="BYW125" s="953"/>
      <c r="BYX125" s="953"/>
      <c r="BYY125" s="953"/>
      <c r="BYZ125" s="953"/>
      <c r="BZA125" s="953"/>
      <c r="BZB125" s="953"/>
      <c r="BZC125" s="953"/>
      <c r="BZD125" s="953"/>
      <c r="BZE125" s="953"/>
      <c r="BZF125" s="953"/>
      <c r="BZG125" s="953"/>
      <c r="BZH125" s="953"/>
      <c r="BZI125" s="953"/>
      <c r="BZJ125" s="953"/>
      <c r="BZK125" s="953"/>
      <c r="BZL125" s="953"/>
      <c r="BZM125" s="953"/>
      <c r="BZN125" s="953"/>
      <c r="BZO125" s="953"/>
      <c r="BZP125" s="953"/>
      <c r="BZQ125" s="953"/>
      <c r="BZR125" s="953"/>
      <c r="BZS125" s="953"/>
      <c r="BZT125" s="953"/>
      <c r="BZU125" s="953"/>
      <c r="BZV125" s="953"/>
      <c r="BZW125" s="953"/>
      <c r="BZX125" s="953"/>
      <c r="BZY125" s="953"/>
      <c r="BZZ125" s="953"/>
      <c r="CAA125" s="953"/>
      <c r="CAB125" s="953"/>
      <c r="CAC125" s="953"/>
      <c r="CAD125" s="953"/>
      <c r="CAE125" s="953"/>
      <c r="CAF125" s="953"/>
      <c r="CAG125" s="953"/>
      <c r="CAH125" s="953"/>
      <c r="CAI125" s="953"/>
      <c r="CAJ125" s="953"/>
      <c r="CAK125" s="953"/>
      <c r="CAL125" s="953"/>
      <c r="CAM125" s="953"/>
      <c r="CAN125" s="953"/>
      <c r="CAO125" s="953"/>
      <c r="CAP125" s="953"/>
      <c r="CAQ125" s="953"/>
      <c r="CAR125" s="953"/>
      <c r="CAS125" s="953"/>
      <c r="CAT125" s="953"/>
      <c r="CAU125" s="953"/>
      <c r="CAV125" s="953"/>
      <c r="CAW125" s="953"/>
      <c r="CAX125" s="953"/>
      <c r="CAY125" s="953"/>
      <c r="CAZ125" s="953"/>
      <c r="CBA125" s="953"/>
      <c r="CBB125" s="953"/>
      <c r="CBC125" s="953"/>
      <c r="CBD125" s="953"/>
      <c r="CBE125" s="953"/>
      <c r="CBF125" s="953"/>
      <c r="CBG125" s="953"/>
      <c r="CBH125" s="953"/>
      <c r="CBI125" s="953"/>
      <c r="CBJ125" s="953"/>
      <c r="CBK125" s="953"/>
      <c r="CBL125" s="953"/>
      <c r="CBM125" s="953"/>
      <c r="CBN125" s="953"/>
      <c r="CBO125" s="953"/>
      <c r="CBP125" s="953"/>
      <c r="CBQ125" s="953"/>
      <c r="CBR125" s="953"/>
      <c r="CBS125" s="953"/>
      <c r="CBT125" s="953"/>
      <c r="CBU125" s="953"/>
      <c r="CBV125" s="953"/>
      <c r="CBW125" s="953"/>
      <c r="CBX125" s="953"/>
      <c r="CBY125" s="953"/>
      <c r="CBZ125" s="953"/>
      <c r="CCA125" s="953"/>
      <c r="CCB125" s="953"/>
      <c r="CCC125" s="953"/>
      <c r="CCD125" s="953"/>
      <c r="CCE125" s="953"/>
      <c r="CCF125" s="953"/>
      <c r="CCG125" s="953"/>
      <c r="CCH125" s="953"/>
      <c r="CCI125" s="953"/>
      <c r="CCJ125" s="953"/>
      <c r="CCK125" s="953"/>
      <c r="CCL125" s="953"/>
      <c r="CCM125" s="953"/>
      <c r="CCN125" s="953"/>
      <c r="CCO125" s="953"/>
      <c r="CCP125" s="953"/>
      <c r="CCQ125" s="953"/>
      <c r="CCR125" s="953"/>
      <c r="CCS125" s="953"/>
      <c r="CCT125" s="953"/>
      <c r="CCU125" s="953"/>
      <c r="CCV125" s="953"/>
      <c r="CCW125" s="953"/>
      <c r="CCX125" s="953"/>
      <c r="CCY125" s="953"/>
      <c r="CCZ125" s="953"/>
      <c r="CDA125" s="953"/>
      <c r="CDB125" s="953"/>
      <c r="CDC125" s="953"/>
      <c r="CDD125" s="953"/>
      <c r="CDE125" s="953"/>
      <c r="CDF125" s="953"/>
      <c r="CDG125" s="953"/>
      <c r="CDH125" s="953"/>
      <c r="CDI125" s="953"/>
      <c r="CDJ125" s="953"/>
      <c r="CDK125" s="953"/>
      <c r="CDL125" s="953"/>
      <c r="CDM125" s="953"/>
      <c r="CDN125" s="953"/>
      <c r="CDO125" s="953"/>
      <c r="CDP125" s="953"/>
      <c r="CDQ125" s="953"/>
      <c r="CDR125" s="953"/>
      <c r="CDS125" s="953"/>
      <c r="CDT125" s="953"/>
      <c r="CDU125" s="953"/>
      <c r="CDV125" s="953"/>
      <c r="CDW125" s="953"/>
      <c r="CDX125" s="953"/>
      <c r="CDY125" s="953"/>
      <c r="CDZ125" s="953"/>
      <c r="CEA125" s="953"/>
      <c r="CEB125" s="953"/>
      <c r="CEC125" s="953"/>
      <c r="CED125" s="953"/>
      <c r="CEE125" s="953"/>
      <c r="CEF125" s="953"/>
      <c r="CEG125" s="953"/>
      <c r="CEH125" s="953"/>
      <c r="CEI125" s="953"/>
      <c r="CEJ125" s="953"/>
      <c r="CEK125" s="953"/>
      <c r="CEL125" s="953"/>
      <c r="CEM125" s="953"/>
      <c r="CEN125" s="953"/>
      <c r="CEO125" s="953"/>
      <c r="CEP125" s="953"/>
      <c r="CEQ125" s="953"/>
      <c r="CER125" s="953"/>
      <c r="CES125" s="953"/>
      <c r="CET125" s="953"/>
      <c r="CEU125" s="953"/>
      <c r="CEV125" s="953"/>
      <c r="CEW125" s="953"/>
      <c r="CEX125" s="953"/>
      <c r="CEY125" s="953"/>
      <c r="CEZ125" s="953"/>
      <c r="CFA125" s="953"/>
      <c r="CFB125" s="953"/>
      <c r="CFC125" s="953"/>
      <c r="CFD125" s="953"/>
      <c r="CFE125" s="953"/>
      <c r="CFF125" s="953"/>
      <c r="CFG125" s="953"/>
      <c r="CFH125" s="953"/>
      <c r="CFI125" s="953"/>
      <c r="CFJ125" s="953"/>
      <c r="CFK125" s="953"/>
      <c r="CFL125" s="953"/>
      <c r="CFM125" s="953"/>
      <c r="CFN125" s="953"/>
      <c r="CFO125" s="953"/>
      <c r="CFP125" s="953"/>
      <c r="CFQ125" s="953"/>
      <c r="CFR125" s="953"/>
      <c r="CFS125" s="953"/>
      <c r="CFT125" s="953"/>
      <c r="CFU125" s="953"/>
      <c r="CFV125" s="953"/>
      <c r="CFW125" s="953"/>
      <c r="CFX125" s="953"/>
      <c r="CFY125" s="953"/>
      <c r="CFZ125" s="953"/>
      <c r="CGA125" s="953"/>
      <c r="CGB125" s="953"/>
      <c r="CGC125" s="953"/>
      <c r="CGD125" s="953"/>
      <c r="CGE125" s="953"/>
      <c r="CGF125" s="953"/>
      <c r="CGG125" s="953"/>
      <c r="CGH125" s="953"/>
      <c r="CGI125" s="953"/>
      <c r="CGJ125" s="953"/>
      <c r="CGK125" s="953"/>
      <c r="CGL125" s="953"/>
      <c r="CGM125" s="953"/>
      <c r="CGN125" s="953"/>
      <c r="CGO125" s="953"/>
      <c r="CGP125" s="953"/>
      <c r="CGQ125" s="953"/>
      <c r="CGR125" s="953"/>
      <c r="CGS125" s="953"/>
      <c r="CGT125" s="953"/>
      <c r="CGU125" s="953"/>
      <c r="CGV125" s="953"/>
      <c r="CGW125" s="953"/>
      <c r="CGX125" s="953"/>
      <c r="CGY125" s="953"/>
      <c r="CGZ125" s="953"/>
      <c r="CHA125" s="953"/>
      <c r="CHB125" s="953"/>
      <c r="CHC125" s="953"/>
      <c r="CHD125" s="953"/>
      <c r="CHE125" s="953"/>
      <c r="CHF125" s="953"/>
      <c r="CHG125" s="953"/>
      <c r="CHH125" s="953"/>
      <c r="CHI125" s="953"/>
      <c r="CHJ125" s="953"/>
      <c r="CHK125" s="953"/>
      <c r="CHL125" s="953"/>
      <c r="CHM125" s="953"/>
      <c r="CHN125" s="953"/>
      <c r="CHO125" s="953"/>
      <c r="CHP125" s="953"/>
      <c r="CHQ125" s="953"/>
      <c r="CHR125" s="953"/>
      <c r="CHS125" s="953"/>
      <c r="CHT125" s="953"/>
      <c r="CHU125" s="953"/>
      <c r="CHV125" s="953"/>
      <c r="CHW125" s="953"/>
      <c r="CHX125" s="953"/>
      <c r="CHY125" s="953"/>
      <c r="CHZ125" s="953"/>
      <c r="CIA125" s="953"/>
      <c r="CIB125" s="953"/>
      <c r="CIC125" s="953"/>
      <c r="CID125" s="953"/>
      <c r="CIE125" s="953"/>
      <c r="CIF125" s="953"/>
      <c r="CIG125" s="953"/>
      <c r="CIH125" s="953"/>
      <c r="CII125" s="953"/>
      <c r="CIJ125" s="953"/>
      <c r="CIK125" s="953"/>
      <c r="CIL125" s="953"/>
      <c r="CIM125" s="953"/>
      <c r="CIN125" s="953"/>
      <c r="CIO125" s="953"/>
      <c r="CIP125" s="953"/>
      <c r="CIQ125" s="953"/>
      <c r="CIR125" s="953"/>
      <c r="CIS125" s="953"/>
      <c r="CIT125" s="953"/>
      <c r="CIU125" s="953"/>
      <c r="CIV125" s="953"/>
      <c r="CIW125" s="953"/>
      <c r="CIX125" s="953"/>
      <c r="CIY125" s="953"/>
      <c r="CIZ125" s="953"/>
      <c r="CJA125" s="953"/>
      <c r="CJB125" s="953"/>
      <c r="CJC125" s="953"/>
      <c r="CJD125" s="953"/>
      <c r="CJE125" s="953"/>
      <c r="CJF125" s="953"/>
      <c r="CJG125" s="953"/>
      <c r="CJH125" s="953"/>
      <c r="CJI125" s="953"/>
      <c r="CJJ125" s="953"/>
      <c r="CJK125" s="953"/>
      <c r="CJL125" s="953"/>
      <c r="CJM125" s="953"/>
      <c r="CJN125" s="953"/>
      <c r="CJO125" s="953"/>
      <c r="CJP125" s="953"/>
      <c r="CJQ125" s="953"/>
      <c r="CJR125" s="953"/>
      <c r="CJS125" s="953"/>
      <c r="CJT125" s="953"/>
      <c r="CJU125" s="953"/>
      <c r="CJV125" s="953"/>
      <c r="CJW125" s="953"/>
      <c r="CJX125" s="953"/>
      <c r="CJY125" s="953"/>
      <c r="CJZ125" s="953"/>
      <c r="CKA125" s="953"/>
      <c r="CKB125" s="953"/>
      <c r="CKC125" s="953"/>
      <c r="CKD125" s="953"/>
      <c r="CKE125" s="953"/>
      <c r="CKF125" s="953"/>
      <c r="CKG125" s="953"/>
      <c r="CKH125" s="953"/>
      <c r="CKI125" s="953"/>
      <c r="CKJ125" s="953"/>
      <c r="CKK125" s="953"/>
      <c r="CKL125" s="953"/>
      <c r="CKM125" s="953"/>
      <c r="CKN125" s="953"/>
      <c r="CKO125" s="953"/>
      <c r="CKP125" s="953"/>
      <c r="CKQ125" s="953"/>
      <c r="CKR125" s="953"/>
      <c r="CKS125" s="953"/>
      <c r="CKT125" s="953"/>
      <c r="CKU125" s="953"/>
      <c r="CKV125" s="953"/>
      <c r="CKW125" s="953"/>
      <c r="CKX125" s="953"/>
      <c r="CKY125" s="953"/>
      <c r="CKZ125" s="953"/>
      <c r="CLA125" s="953"/>
      <c r="CLB125" s="953"/>
      <c r="CLC125" s="953"/>
      <c r="CLD125" s="953"/>
      <c r="CLE125" s="953"/>
      <c r="CLF125" s="953"/>
      <c r="CLG125" s="953"/>
      <c r="CLH125" s="953"/>
      <c r="CLI125" s="953"/>
      <c r="CLJ125" s="953"/>
      <c r="CLK125" s="953"/>
      <c r="CLL125" s="953"/>
      <c r="CLM125" s="953"/>
      <c r="CLN125" s="953"/>
      <c r="CLO125" s="953"/>
      <c r="CLP125" s="953"/>
      <c r="CLQ125" s="953"/>
      <c r="CLR125" s="953"/>
      <c r="CLS125" s="953"/>
      <c r="CLT125" s="953"/>
      <c r="CLU125" s="953"/>
      <c r="CLV125" s="953"/>
      <c r="CLW125" s="953"/>
      <c r="CLX125" s="953"/>
      <c r="CLY125" s="953"/>
      <c r="CLZ125" s="953"/>
      <c r="CMA125" s="953"/>
      <c r="CMB125" s="953"/>
      <c r="CMC125" s="953"/>
      <c r="CMD125" s="953"/>
      <c r="CME125" s="953"/>
      <c r="CMF125" s="953"/>
      <c r="CMG125" s="953"/>
      <c r="CMH125" s="953"/>
      <c r="CMI125" s="953"/>
      <c r="CMJ125" s="953"/>
      <c r="CMK125" s="953"/>
      <c r="CML125" s="953"/>
      <c r="CMM125" s="953"/>
      <c r="CMN125" s="953"/>
      <c r="CMO125" s="953"/>
      <c r="CMP125" s="953"/>
      <c r="CMQ125" s="953"/>
      <c r="CMR125" s="953"/>
      <c r="CMS125" s="953"/>
      <c r="CMT125" s="953"/>
      <c r="CMU125" s="953"/>
      <c r="CMV125" s="953"/>
      <c r="CMW125" s="953"/>
      <c r="CMX125" s="953"/>
      <c r="CMY125" s="953"/>
      <c r="CMZ125" s="953"/>
      <c r="CNA125" s="953"/>
      <c r="CNB125" s="953"/>
      <c r="CNC125" s="953"/>
      <c r="CND125" s="953"/>
      <c r="CNE125" s="953"/>
      <c r="CNF125" s="953"/>
      <c r="CNG125" s="953"/>
      <c r="CNH125" s="953"/>
      <c r="CNI125" s="953"/>
      <c r="CNJ125" s="953"/>
      <c r="CNK125" s="953"/>
      <c r="CNL125" s="953"/>
      <c r="CNM125" s="953"/>
      <c r="CNN125" s="953"/>
      <c r="CNO125" s="953"/>
      <c r="CNP125" s="953"/>
      <c r="CNQ125" s="953"/>
      <c r="CNR125" s="953"/>
      <c r="CNS125" s="953"/>
      <c r="CNT125" s="953"/>
      <c r="CNU125" s="953"/>
      <c r="CNV125" s="953"/>
      <c r="CNW125" s="953"/>
      <c r="CNX125" s="953"/>
      <c r="CNY125" s="953"/>
      <c r="CNZ125" s="953"/>
      <c r="COA125" s="953"/>
      <c r="COB125" s="953"/>
      <c r="COC125" s="953"/>
      <c r="COD125" s="953"/>
      <c r="COE125" s="953"/>
      <c r="COF125" s="953"/>
      <c r="COG125" s="953"/>
      <c r="COH125" s="953"/>
      <c r="COI125" s="953"/>
      <c r="COJ125" s="953"/>
      <c r="COK125" s="953"/>
      <c r="COL125" s="953"/>
      <c r="COM125" s="953"/>
      <c r="CON125" s="953"/>
      <c r="COO125" s="953"/>
      <c r="COP125" s="953"/>
      <c r="COQ125" s="953"/>
      <c r="COR125" s="953"/>
      <c r="COS125" s="953"/>
      <c r="COT125" s="953"/>
      <c r="COU125" s="953"/>
      <c r="COV125" s="953"/>
      <c r="COW125" s="953"/>
      <c r="COX125" s="953"/>
      <c r="COY125" s="953"/>
      <c r="COZ125" s="953"/>
      <c r="CPA125" s="953"/>
      <c r="CPB125" s="953"/>
      <c r="CPC125" s="953"/>
      <c r="CPD125" s="953"/>
      <c r="CPE125" s="953"/>
      <c r="CPF125" s="953"/>
      <c r="CPG125" s="953"/>
      <c r="CPH125" s="953"/>
      <c r="CPI125" s="953"/>
      <c r="CPJ125" s="953"/>
      <c r="CPK125" s="953"/>
      <c r="CPL125" s="953"/>
      <c r="CPM125" s="953"/>
      <c r="CPN125" s="953"/>
      <c r="CPO125" s="953"/>
      <c r="CPP125" s="953"/>
      <c r="CPQ125" s="953"/>
      <c r="CPR125" s="953"/>
      <c r="CPS125" s="953"/>
      <c r="CPT125" s="953"/>
      <c r="CPU125" s="953"/>
      <c r="CPV125" s="953"/>
      <c r="CPW125" s="953"/>
      <c r="CPX125" s="953"/>
      <c r="CPY125" s="953"/>
      <c r="CPZ125" s="953"/>
      <c r="CQA125" s="953"/>
      <c r="CQB125" s="953"/>
      <c r="CQC125" s="953"/>
      <c r="CQD125" s="953"/>
      <c r="CQE125" s="953"/>
      <c r="CQF125" s="953"/>
      <c r="CQG125" s="953"/>
      <c r="CQH125" s="953"/>
      <c r="CQI125" s="953"/>
      <c r="CQJ125" s="953"/>
      <c r="CQK125" s="953"/>
      <c r="CQL125" s="953"/>
      <c r="CQM125" s="953"/>
      <c r="CQN125" s="953"/>
      <c r="CQO125" s="953"/>
      <c r="CQP125" s="953"/>
      <c r="CQQ125" s="953"/>
      <c r="CQR125" s="953"/>
      <c r="CQS125" s="953"/>
      <c r="CQT125" s="953"/>
      <c r="CQU125" s="953"/>
      <c r="CQV125" s="953"/>
      <c r="CQW125" s="953"/>
      <c r="CQX125" s="953"/>
      <c r="CQY125" s="953"/>
      <c r="CQZ125" s="953"/>
      <c r="CRA125" s="953"/>
      <c r="CRB125" s="953"/>
      <c r="CRC125" s="953"/>
      <c r="CRD125" s="953"/>
      <c r="CRE125" s="953"/>
      <c r="CRF125" s="953"/>
      <c r="CRG125" s="953"/>
      <c r="CRH125" s="953"/>
      <c r="CRI125" s="953"/>
      <c r="CRJ125" s="953"/>
      <c r="CRK125" s="953"/>
      <c r="CRL125" s="953"/>
      <c r="CRM125" s="953"/>
      <c r="CRN125" s="953"/>
      <c r="CRO125" s="953"/>
      <c r="CRP125" s="953"/>
      <c r="CRQ125" s="953"/>
      <c r="CRR125" s="953"/>
      <c r="CRS125" s="953"/>
      <c r="CRT125" s="953"/>
      <c r="CRU125" s="953"/>
      <c r="CRV125" s="953"/>
      <c r="CRW125" s="953"/>
      <c r="CRX125" s="953"/>
      <c r="CRY125" s="953"/>
      <c r="CRZ125" s="953"/>
      <c r="CSA125" s="953"/>
      <c r="CSB125" s="953"/>
      <c r="CSC125" s="953"/>
      <c r="CSD125" s="953"/>
      <c r="CSE125" s="953"/>
      <c r="CSF125" s="953"/>
      <c r="CSG125" s="953"/>
      <c r="CSH125" s="953"/>
      <c r="CSI125" s="953"/>
      <c r="CSJ125" s="953"/>
      <c r="CSK125" s="953"/>
      <c r="CSL125" s="953"/>
      <c r="CSM125" s="953"/>
      <c r="CSN125" s="953"/>
      <c r="CSO125" s="953"/>
      <c r="CSP125" s="953"/>
      <c r="CSQ125" s="953"/>
      <c r="CSR125" s="953"/>
      <c r="CSS125" s="953"/>
      <c r="CST125" s="953"/>
      <c r="CSU125" s="953"/>
      <c r="CSV125" s="953"/>
      <c r="CSW125" s="953"/>
      <c r="CSX125" s="953"/>
      <c r="CSY125" s="953"/>
      <c r="CSZ125" s="953"/>
      <c r="CTA125" s="953"/>
      <c r="CTB125" s="953"/>
      <c r="CTC125" s="953"/>
      <c r="CTD125" s="953"/>
      <c r="CTE125" s="953"/>
      <c r="CTF125" s="953"/>
      <c r="CTG125" s="953"/>
      <c r="CTH125" s="953"/>
      <c r="CTI125" s="953"/>
      <c r="CTJ125" s="953"/>
      <c r="CTK125" s="953"/>
      <c r="CTL125" s="953"/>
      <c r="CTM125" s="953"/>
      <c r="CTN125" s="953"/>
      <c r="CTO125" s="953"/>
      <c r="CTP125" s="953"/>
      <c r="CTQ125" s="953"/>
      <c r="CTR125" s="953"/>
      <c r="CTS125" s="953"/>
      <c r="CTT125" s="953"/>
      <c r="CTU125" s="953"/>
      <c r="CTV125" s="953"/>
      <c r="CTW125" s="953"/>
      <c r="CTX125" s="953"/>
      <c r="CTY125" s="953"/>
      <c r="CTZ125" s="953"/>
      <c r="CUA125" s="953"/>
      <c r="CUB125" s="953"/>
      <c r="CUC125" s="953"/>
      <c r="CUD125" s="953"/>
      <c r="CUE125" s="953"/>
      <c r="CUF125" s="953"/>
      <c r="CUG125" s="953"/>
      <c r="CUH125" s="953"/>
      <c r="CUI125" s="953"/>
      <c r="CUJ125" s="953"/>
      <c r="CUK125" s="953"/>
      <c r="CUL125" s="953"/>
      <c r="CUM125" s="953"/>
      <c r="CUN125" s="953"/>
      <c r="CUO125" s="953"/>
      <c r="CUP125" s="953"/>
      <c r="CUQ125" s="953"/>
      <c r="CUR125" s="953"/>
      <c r="CUS125" s="953"/>
      <c r="CUT125" s="953"/>
      <c r="CUU125" s="953"/>
      <c r="CUV125" s="953"/>
      <c r="CUW125" s="953"/>
      <c r="CUX125" s="953"/>
      <c r="CUY125" s="953"/>
      <c r="CUZ125" s="953"/>
      <c r="CVA125" s="953"/>
      <c r="CVB125" s="953"/>
      <c r="CVC125" s="953"/>
      <c r="CVD125" s="953"/>
      <c r="CVE125" s="953"/>
      <c r="CVF125" s="953"/>
      <c r="CVG125" s="953"/>
      <c r="CVH125" s="953"/>
      <c r="CVI125" s="953"/>
      <c r="CVJ125" s="953"/>
      <c r="CVK125" s="953"/>
      <c r="CVL125" s="953"/>
      <c r="CVM125" s="953"/>
      <c r="CVN125" s="953"/>
      <c r="CVO125" s="953"/>
      <c r="CVP125" s="953"/>
      <c r="CVQ125" s="953"/>
      <c r="CVR125" s="953"/>
      <c r="CVS125" s="953"/>
      <c r="CVT125" s="953"/>
      <c r="CVU125" s="953"/>
      <c r="CVV125" s="953"/>
      <c r="CVW125" s="953"/>
      <c r="CVX125" s="953"/>
      <c r="CVY125" s="953"/>
      <c r="CVZ125" s="953"/>
      <c r="CWA125" s="953"/>
      <c r="CWB125" s="953"/>
      <c r="CWC125" s="953"/>
      <c r="CWD125" s="953"/>
      <c r="CWE125" s="953"/>
      <c r="CWF125" s="953"/>
      <c r="CWG125" s="953"/>
      <c r="CWH125" s="953"/>
      <c r="CWI125" s="953"/>
      <c r="CWJ125" s="953"/>
      <c r="CWK125" s="953"/>
      <c r="CWL125" s="953"/>
      <c r="CWM125" s="953"/>
      <c r="CWN125" s="953"/>
      <c r="CWO125" s="953"/>
      <c r="CWP125" s="953"/>
      <c r="CWQ125" s="953"/>
      <c r="CWR125" s="953"/>
      <c r="CWS125" s="953"/>
      <c r="CWT125" s="953"/>
      <c r="CWU125" s="953"/>
      <c r="CWV125" s="953"/>
      <c r="CWW125" s="953"/>
      <c r="CWX125" s="953"/>
      <c r="CWY125" s="953"/>
      <c r="CWZ125" s="953"/>
      <c r="CXA125" s="953"/>
      <c r="CXB125" s="953"/>
      <c r="CXC125" s="953"/>
      <c r="CXD125" s="953"/>
      <c r="CXE125" s="953"/>
      <c r="CXF125" s="953"/>
      <c r="CXG125" s="953"/>
      <c r="CXH125" s="953"/>
      <c r="CXI125" s="953"/>
      <c r="CXJ125" s="953"/>
      <c r="CXK125" s="953"/>
      <c r="CXL125" s="953"/>
      <c r="CXM125" s="953"/>
      <c r="CXN125" s="953"/>
      <c r="CXO125" s="953"/>
      <c r="CXP125" s="953"/>
      <c r="CXQ125" s="953"/>
      <c r="CXR125" s="953"/>
      <c r="CXS125" s="953"/>
      <c r="CXT125" s="953"/>
      <c r="CXU125" s="953"/>
      <c r="CXV125" s="953"/>
      <c r="CXW125" s="953"/>
      <c r="CXX125" s="953"/>
      <c r="CXY125" s="953"/>
      <c r="CXZ125" s="953"/>
      <c r="CYA125" s="953"/>
      <c r="CYB125" s="953"/>
      <c r="CYC125" s="953"/>
      <c r="CYD125" s="953"/>
      <c r="CYE125" s="953"/>
      <c r="CYF125" s="953"/>
      <c r="CYG125" s="953"/>
      <c r="CYH125" s="953"/>
      <c r="CYI125" s="953"/>
      <c r="CYJ125" s="953"/>
      <c r="CYK125" s="953"/>
      <c r="CYL125" s="953"/>
      <c r="CYM125" s="953"/>
      <c r="CYN125" s="953"/>
      <c r="CYO125" s="953"/>
      <c r="CYP125" s="953"/>
      <c r="CYQ125" s="953"/>
      <c r="CYR125" s="953"/>
      <c r="CYS125" s="953"/>
      <c r="CYT125" s="953"/>
      <c r="CYU125" s="953"/>
      <c r="CYV125" s="953"/>
      <c r="CYW125" s="953"/>
      <c r="CYX125" s="953"/>
      <c r="CYY125" s="953"/>
      <c r="CYZ125" s="953"/>
      <c r="CZA125" s="953"/>
      <c r="CZB125" s="953"/>
      <c r="CZC125" s="953"/>
      <c r="CZD125" s="953"/>
      <c r="CZE125" s="953"/>
      <c r="CZF125" s="953"/>
      <c r="CZG125" s="953"/>
      <c r="CZH125" s="953"/>
      <c r="CZI125" s="953"/>
      <c r="CZJ125" s="953"/>
      <c r="CZK125" s="953"/>
      <c r="CZL125" s="953"/>
      <c r="CZM125" s="953"/>
      <c r="CZN125" s="953"/>
      <c r="CZO125" s="953"/>
      <c r="CZP125" s="953"/>
      <c r="CZQ125" s="953"/>
      <c r="CZR125" s="953"/>
      <c r="CZS125" s="953"/>
      <c r="CZT125" s="953"/>
      <c r="CZU125" s="953"/>
      <c r="CZV125" s="953"/>
      <c r="CZW125" s="953"/>
      <c r="CZX125" s="953"/>
      <c r="CZY125" s="953"/>
      <c r="CZZ125" s="953"/>
      <c r="DAA125" s="953"/>
      <c r="DAB125" s="953"/>
      <c r="DAC125" s="953"/>
      <c r="DAD125" s="953"/>
      <c r="DAE125" s="953"/>
      <c r="DAF125" s="953"/>
      <c r="DAG125" s="953"/>
      <c r="DAH125" s="953"/>
      <c r="DAI125" s="953"/>
      <c r="DAJ125" s="953"/>
      <c r="DAK125" s="953"/>
      <c r="DAL125" s="953"/>
      <c r="DAM125" s="953"/>
      <c r="DAN125" s="953"/>
      <c r="DAO125" s="953"/>
      <c r="DAP125" s="953"/>
      <c r="DAQ125" s="953"/>
      <c r="DAR125" s="953"/>
      <c r="DAS125" s="953"/>
      <c r="DAT125" s="953"/>
      <c r="DAU125" s="953"/>
      <c r="DAV125" s="953"/>
      <c r="DAW125" s="953"/>
      <c r="DAX125" s="953"/>
      <c r="DAY125" s="953"/>
      <c r="DAZ125" s="953"/>
      <c r="DBA125" s="953"/>
      <c r="DBB125" s="953"/>
      <c r="DBC125" s="953"/>
      <c r="DBD125" s="953"/>
      <c r="DBE125" s="953"/>
      <c r="DBF125" s="953"/>
      <c r="DBG125" s="953"/>
      <c r="DBH125" s="953"/>
      <c r="DBI125" s="953"/>
      <c r="DBJ125" s="953"/>
      <c r="DBK125" s="953"/>
      <c r="DBL125" s="953"/>
      <c r="DBM125" s="953"/>
      <c r="DBN125" s="953"/>
      <c r="DBO125" s="953"/>
      <c r="DBP125" s="953"/>
      <c r="DBQ125" s="953"/>
      <c r="DBR125" s="953"/>
      <c r="DBS125" s="953"/>
      <c r="DBT125" s="953"/>
      <c r="DBU125" s="953"/>
      <c r="DBV125" s="953"/>
      <c r="DBW125" s="953"/>
      <c r="DBX125" s="953"/>
      <c r="DBY125" s="953"/>
      <c r="DBZ125" s="953"/>
      <c r="DCA125" s="953"/>
      <c r="DCB125" s="953"/>
      <c r="DCC125" s="953"/>
      <c r="DCD125" s="953"/>
      <c r="DCE125" s="953"/>
      <c r="DCF125" s="953"/>
      <c r="DCG125" s="953"/>
      <c r="DCH125" s="953"/>
      <c r="DCI125" s="953"/>
      <c r="DCJ125" s="953"/>
      <c r="DCK125" s="953"/>
      <c r="DCL125" s="953"/>
      <c r="DCM125" s="953"/>
      <c r="DCN125" s="953"/>
      <c r="DCO125" s="953"/>
      <c r="DCP125" s="953"/>
      <c r="DCQ125" s="953"/>
      <c r="DCR125" s="953"/>
      <c r="DCS125" s="953"/>
      <c r="DCT125" s="953"/>
      <c r="DCU125" s="953"/>
      <c r="DCV125" s="953"/>
      <c r="DCW125" s="953"/>
      <c r="DCX125" s="953"/>
      <c r="DCY125" s="953"/>
      <c r="DCZ125" s="953"/>
      <c r="DDA125" s="953"/>
      <c r="DDB125" s="953"/>
      <c r="DDC125" s="953"/>
      <c r="DDD125" s="953"/>
      <c r="DDE125" s="953"/>
      <c r="DDF125" s="953"/>
      <c r="DDG125" s="953"/>
      <c r="DDH125" s="953"/>
      <c r="DDI125" s="953"/>
      <c r="DDJ125" s="953"/>
      <c r="DDK125" s="953"/>
      <c r="DDL125" s="953"/>
      <c r="DDM125" s="953"/>
      <c r="DDN125" s="953"/>
      <c r="DDO125" s="953"/>
      <c r="DDP125" s="953"/>
      <c r="DDQ125" s="953"/>
      <c r="DDR125" s="953"/>
      <c r="DDS125" s="953"/>
      <c r="DDT125" s="953"/>
      <c r="DDU125" s="953"/>
      <c r="DDV125" s="953"/>
      <c r="DDW125" s="953"/>
      <c r="DDX125" s="953"/>
      <c r="DDY125" s="953"/>
      <c r="DDZ125" s="953"/>
      <c r="DEA125" s="953"/>
      <c r="DEB125" s="953"/>
      <c r="DEC125" s="953"/>
      <c r="DED125" s="953"/>
      <c r="DEE125" s="953"/>
      <c r="DEF125" s="953"/>
      <c r="DEG125" s="953"/>
      <c r="DEH125" s="953"/>
      <c r="DEI125" s="953"/>
      <c r="DEJ125" s="953"/>
      <c r="DEK125" s="953"/>
      <c r="DEL125" s="953"/>
      <c r="DEM125" s="953"/>
      <c r="DEN125" s="953"/>
      <c r="DEO125" s="953"/>
      <c r="DEP125" s="953"/>
      <c r="DEQ125" s="953"/>
      <c r="DER125" s="953"/>
      <c r="DES125" s="953"/>
      <c r="DET125" s="953"/>
      <c r="DEU125" s="953"/>
      <c r="DEV125" s="953"/>
      <c r="DEW125" s="953"/>
      <c r="DEX125" s="953"/>
      <c r="DEY125" s="953"/>
      <c r="DEZ125" s="953"/>
      <c r="DFA125" s="953"/>
      <c r="DFB125" s="953"/>
      <c r="DFC125" s="953"/>
      <c r="DFD125" s="953"/>
      <c r="DFE125" s="953"/>
      <c r="DFF125" s="953"/>
      <c r="DFG125" s="953"/>
      <c r="DFH125" s="953"/>
      <c r="DFI125" s="953"/>
      <c r="DFJ125" s="953"/>
      <c r="DFK125" s="953"/>
      <c r="DFL125" s="953"/>
      <c r="DFM125" s="953"/>
      <c r="DFN125" s="953"/>
      <c r="DFO125" s="953"/>
      <c r="DFP125" s="953"/>
      <c r="DFQ125" s="953"/>
      <c r="DFR125" s="953"/>
      <c r="DFS125" s="953"/>
      <c r="DFT125" s="953"/>
      <c r="DFU125" s="953"/>
      <c r="DFV125" s="953"/>
      <c r="DFW125" s="953"/>
      <c r="DFX125" s="953"/>
      <c r="DFY125" s="953"/>
      <c r="DFZ125" s="953"/>
      <c r="DGA125" s="953"/>
      <c r="DGB125" s="953"/>
      <c r="DGC125" s="953"/>
      <c r="DGD125" s="953"/>
      <c r="DGE125" s="953"/>
      <c r="DGF125" s="953"/>
      <c r="DGG125" s="953"/>
      <c r="DGH125" s="953"/>
      <c r="DGI125" s="953"/>
      <c r="DGJ125" s="953"/>
      <c r="DGK125" s="953"/>
      <c r="DGL125" s="953"/>
      <c r="DGM125" s="953"/>
      <c r="DGN125" s="953"/>
      <c r="DGO125" s="953"/>
      <c r="DGP125" s="953"/>
      <c r="DGQ125" s="953"/>
      <c r="DGR125" s="953"/>
      <c r="DGS125" s="953"/>
      <c r="DGT125" s="953"/>
      <c r="DGU125" s="953"/>
      <c r="DGV125" s="953"/>
      <c r="DGW125" s="953"/>
      <c r="DGX125" s="953"/>
      <c r="DGY125" s="953"/>
      <c r="DGZ125" s="953"/>
      <c r="DHA125" s="953"/>
      <c r="DHB125" s="953"/>
      <c r="DHC125" s="953"/>
      <c r="DHD125" s="953"/>
      <c r="DHE125" s="953"/>
      <c r="DHF125" s="953"/>
      <c r="DHG125" s="953"/>
      <c r="DHH125" s="953"/>
      <c r="DHI125" s="953"/>
      <c r="DHJ125" s="953"/>
      <c r="DHK125" s="953"/>
      <c r="DHL125" s="953"/>
      <c r="DHM125" s="953"/>
      <c r="DHN125" s="953"/>
      <c r="DHO125" s="953"/>
      <c r="DHP125" s="953"/>
      <c r="DHQ125" s="953"/>
      <c r="DHR125" s="953"/>
      <c r="DHS125" s="953"/>
      <c r="DHT125" s="953"/>
      <c r="DHU125" s="953"/>
      <c r="DHV125" s="953"/>
      <c r="DHW125" s="953"/>
      <c r="DHX125" s="953"/>
      <c r="DHY125" s="953"/>
      <c r="DHZ125" s="953"/>
      <c r="DIA125" s="953"/>
      <c r="DIB125" s="953"/>
      <c r="DIC125" s="953"/>
      <c r="DID125" s="953"/>
      <c r="DIE125" s="953"/>
      <c r="DIF125" s="953"/>
      <c r="DIG125" s="953"/>
      <c r="DIH125" s="953"/>
      <c r="DII125" s="953"/>
      <c r="DIJ125" s="953"/>
      <c r="DIK125" s="953"/>
      <c r="DIL125" s="953"/>
      <c r="DIM125" s="953"/>
      <c r="DIN125" s="953"/>
      <c r="DIO125" s="953"/>
      <c r="DIP125" s="953"/>
      <c r="DIQ125" s="953"/>
      <c r="DIR125" s="953"/>
      <c r="DIS125" s="953"/>
      <c r="DIT125" s="953"/>
      <c r="DIU125" s="953"/>
      <c r="DIV125" s="953"/>
      <c r="DIW125" s="953"/>
      <c r="DIX125" s="953"/>
      <c r="DIY125" s="953"/>
      <c r="DIZ125" s="953"/>
      <c r="DJA125" s="953"/>
      <c r="DJB125" s="953"/>
      <c r="DJC125" s="953"/>
      <c r="DJD125" s="953"/>
      <c r="DJE125" s="953"/>
      <c r="DJF125" s="953"/>
      <c r="DJG125" s="953"/>
      <c r="DJH125" s="953"/>
      <c r="DJI125" s="953"/>
      <c r="DJJ125" s="953"/>
      <c r="DJK125" s="953"/>
      <c r="DJL125" s="953"/>
      <c r="DJM125" s="953"/>
      <c r="DJN125" s="953"/>
      <c r="DJO125" s="953"/>
      <c r="DJP125" s="953"/>
      <c r="DJQ125" s="953"/>
      <c r="DJR125" s="953"/>
      <c r="DJS125" s="953"/>
      <c r="DJT125" s="953"/>
      <c r="DJU125" s="953"/>
      <c r="DJV125" s="953"/>
      <c r="DJW125" s="953"/>
      <c r="DJX125" s="953"/>
      <c r="DJY125" s="953"/>
      <c r="DJZ125" s="953"/>
      <c r="DKA125" s="953"/>
      <c r="DKB125" s="953"/>
      <c r="DKC125" s="953"/>
      <c r="DKD125" s="953"/>
      <c r="DKE125" s="953"/>
      <c r="DKF125" s="953"/>
      <c r="DKG125" s="953"/>
      <c r="DKH125" s="953"/>
      <c r="DKI125" s="953"/>
      <c r="DKJ125" s="953"/>
      <c r="DKK125" s="953"/>
      <c r="DKL125" s="953"/>
      <c r="DKM125" s="953"/>
      <c r="DKN125" s="953"/>
      <c r="DKO125" s="953"/>
      <c r="DKP125" s="953"/>
      <c r="DKQ125" s="953"/>
      <c r="DKR125" s="953"/>
      <c r="DKS125" s="953"/>
      <c r="DKT125" s="953"/>
      <c r="DKU125" s="953"/>
      <c r="DKV125" s="953"/>
      <c r="DKW125" s="953"/>
      <c r="DKX125" s="953"/>
      <c r="DKY125" s="953"/>
      <c r="DKZ125" s="953"/>
      <c r="DLA125" s="953"/>
      <c r="DLB125" s="953"/>
      <c r="DLC125" s="953"/>
      <c r="DLD125" s="953"/>
      <c r="DLE125" s="953"/>
      <c r="DLF125" s="953"/>
      <c r="DLG125" s="953"/>
      <c r="DLH125" s="953"/>
      <c r="DLI125" s="953"/>
      <c r="DLJ125" s="953"/>
      <c r="DLK125" s="953"/>
      <c r="DLL125" s="953"/>
      <c r="DLM125" s="953"/>
      <c r="DLN125" s="953"/>
      <c r="DLO125" s="953"/>
      <c r="DLP125" s="953"/>
      <c r="DLQ125" s="953"/>
      <c r="DLR125" s="953"/>
      <c r="DLS125" s="953"/>
      <c r="DLT125" s="953"/>
      <c r="DLU125" s="953"/>
      <c r="DLV125" s="953"/>
      <c r="DLW125" s="953"/>
      <c r="DLX125" s="953"/>
      <c r="DLY125" s="953"/>
      <c r="DLZ125" s="953"/>
      <c r="DMA125" s="953"/>
      <c r="DMB125" s="953"/>
      <c r="DMC125" s="953"/>
      <c r="DMD125" s="953"/>
      <c r="DME125" s="953"/>
      <c r="DMF125" s="953"/>
      <c r="DMG125" s="953"/>
      <c r="DMH125" s="953"/>
      <c r="DMI125" s="953"/>
      <c r="DMJ125" s="953"/>
      <c r="DMK125" s="953"/>
      <c r="DML125" s="953"/>
      <c r="DMM125" s="953"/>
      <c r="DMN125" s="953"/>
      <c r="DMO125" s="953"/>
      <c r="DMP125" s="953"/>
      <c r="DMQ125" s="953"/>
      <c r="DMR125" s="953"/>
      <c r="DMS125" s="953"/>
      <c r="DMT125" s="953"/>
      <c r="DMU125" s="953"/>
      <c r="DMV125" s="953"/>
      <c r="DMW125" s="953"/>
      <c r="DMX125" s="953"/>
      <c r="DMY125" s="953"/>
      <c r="DMZ125" s="953"/>
      <c r="DNA125" s="953"/>
      <c r="DNB125" s="953"/>
      <c r="DNC125" s="953"/>
      <c r="DND125" s="953"/>
      <c r="DNE125" s="953"/>
      <c r="DNF125" s="953"/>
      <c r="DNG125" s="953"/>
      <c r="DNH125" s="953"/>
      <c r="DNI125" s="953"/>
      <c r="DNJ125" s="953"/>
      <c r="DNK125" s="953"/>
      <c r="DNL125" s="953"/>
      <c r="DNM125" s="953"/>
      <c r="DNN125" s="953"/>
      <c r="DNO125" s="953"/>
      <c r="DNP125" s="953"/>
      <c r="DNQ125" s="953"/>
      <c r="DNR125" s="953"/>
      <c r="DNS125" s="953"/>
      <c r="DNT125" s="953"/>
      <c r="DNU125" s="953"/>
      <c r="DNV125" s="953"/>
      <c r="DNW125" s="953"/>
      <c r="DNX125" s="953"/>
      <c r="DNY125" s="953"/>
      <c r="DNZ125" s="953"/>
      <c r="DOA125" s="953"/>
      <c r="DOB125" s="953"/>
      <c r="DOC125" s="953"/>
      <c r="DOD125" s="953"/>
      <c r="DOE125" s="953"/>
      <c r="DOF125" s="953"/>
      <c r="DOG125" s="953"/>
      <c r="DOH125" s="953"/>
      <c r="DOI125" s="953"/>
      <c r="DOJ125" s="953"/>
      <c r="DOK125" s="953"/>
      <c r="DOL125" s="953"/>
      <c r="DOM125" s="953"/>
      <c r="DON125" s="953"/>
      <c r="DOO125" s="953"/>
      <c r="DOP125" s="953"/>
      <c r="DOQ125" s="953"/>
      <c r="DOR125" s="953"/>
      <c r="DOS125" s="953"/>
      <c r="DOT125" s="953"/>
      <c r="DOU125" s="953"/>
      <c r="DOV125" s="953"/>
      <c r="DOW125" s="953"/>
      <c r="DOX125" s="953"/>
      <c r="DOY125" s="953"/>
      <c r="DOZ125" s="953"/>
      <c r="DPA125" s="953"/>
      <c r="DPB125" s="953"/>
      <c r="DPC125" s="953"/>
      <c r="DPD125" s="953"/>
      <c r="DPE125" s="953"/>
      <c r="DPF125" s="953"/>
      <c r="DPG125" s="953"/>
      <c r="DPH125" s="953"/>
      <c r="DPI125" s="953"/>
      <c r="DPJ125" s="953"/>
      <c r="DPK125" s="953"/>
      <c r="DPL125" s="953"/>
      <c r="DPM125" s="953"/>
      <c r="DPN125" s="953"/>
      <c r="DPO125" s="953"/>
      <c r="DPP125" s="953"/>
      <c r="DPQ125" s="953"/>
      <c r="DPR125" s="953"/>
      <c r="DPS125" s="953"/>
      <c r="DPT125" s="953"/>
      <c r="DPU125" s="953"/>
      <c r="DPV125" s="953"/>
      <c r="DPW125" s="953"/>
      <c r="DPX125" s="953"/>
      <c r="DPY125" s="953"/>
      <c r="DPZ125" s="953"/>
      <c r="DQA125" s="953"/>
      <c r="DQB125" s="953"/>
      <c r="DQC125" s="953"/>
      <c r="DQD125" s="953"/>
      <c r="DQE125" s="953"/>
      <c r="DQF125" s="953"/>
      <c r="DQG125" s="953"/>
      <c r="DQH125" s="953"/>
      <c r="DQI125" s="953"/>
      <c r="DQJ125" s="953"/>
      <c r="DQK125" s="953"/>
      <c r="DQL125" s="953"/>
      <c r="DQM125" s="953"/>
      <c r="DQN125" s="953"/>
      <c r="DQO125" s="953"/>
      <c r="DQP125" s="953"/>
      <c r="DQQ125" s="953"/>
      <c r="DQR125" s="953"/>
      <c r="DQS125" s="953"/>
      <c r="DQT125" s="953"/>
      <c r="DQU125" s="953"/>
      <c r="DQV125" s="953"/>
      <c r="DQW125" s="953"/>
      <c r="DQX125" s="953"/>
      <c r="DQY125" s="953"/>
      <c r="DQZ125" s="953"/>
      <c r="DRA125" s="953"/>
      <c r="DRB125" s="953"/>
      <c r="DRC125" s="953"/>
      <c r="DRD125" s="953"/>
      <c r="DRE125" s="953"/>
      <c r="DRF125" s="953"/>
      <c r="DRG125" s="953"/>
      <c r="DRH125" s="953"/>
      <c r="DRI125" s="953"/>
      <c r="DRJ125" s="953"/>
      <c r="DRK125" s="953"/>
      <c r="DRL125" s="953"/>
      <c r="DRM125" s="953"/>
      <c r="DRN125" s="953"/>
      <c r="DRO125" s="953"/>
      <c r="DRP125" s="953"/>
      <c r="DRQ125" s="953"/>
      <c r="DRR125" s="953"/>
      <c r="DRS125" s="953"/>
      <c r="DRT125" s="953"/>
      <c r="DRU125" s="953"/>
      <c r="DRV125" s="953"/>
      <c r="DRW125" s="953"/>
      <c r="DRX125" s="953"/>
      <c r="DRY125" s="953"/>
      <c r="DRZ125" s="953"/>
      <c r="DSA125" s="953"/>
      <c r="DSB125" s="953"/>
      <c r="DSC125" s="953"/>
      <c r="DSD125" s="953"/>
      <c r="DSE125" s="953"/>
      <c r="DSF125" s="953"/>
      <c r="DSG125" s="953"/>
      <c r="DSH125" s="953"/>
      <c r="DSI125" s="953"/>
      <c r="DSJ125" s="953"/>
      <c r="DSK125" s="953"/>
      <c r="DSL125" s="953"/>
      <c r="DSM125" s="953"/>
      <c r="DSN125" s="953"/>
      <c r="DSO125" s="953"/>
      <c r="DSP125" s="953"/>
      <c r="DSQ125" s="953"/>
      <c r="DSR125" s="953"/>
      <c r="DSS125" s="953"/>
      <c r="DST125" s="953"/>
      <c r="DSU125" s="953"/>
      <c r="DSV125" s="953"/>
      <c r="DSW125" s="953"/>
      <c r="DSX125" s="953"/>
      <c r="DSY125" s="953"/>
      <c r="DSZ125" s="953"/>
      <c r="DTA125" s="953"/>
      <c r="DTB125" s="953"/>
      <c r="DTC125" s="953"/>
      <c r="DTD125" s="953"/>
      <c r="DTE125" s="953"/>
      <c r="DTF125" s="953"/>
      <c r="DTG125" s="953"/>
      <c r="DTH125" s="953"/>
      <c r="DTI125" s="953"/>
      <c r="DTJ125" s="953"/>
      <c r="DTK125" s="953"/>
      <c r="DTL125" s="953"/>
      <c r="DTM125" s="953"/>
      <c r="DTN125" s="953"/>
      <c r="DTO125" s="953"/>
      <c r="DTP125" s="953"/>
      <c r="DTQ125" s="953"/>
      <c r="DTR125" s="953"/>
      <c r="DTS125" s="953"/>
      <c r="DTT125" s="953"/>
      <c r="DTU125" s="953"/>
      <c r="DTV125" s="953"/>
      <c r="DTW125" s="953"/>
      <c r="DTX125" s="953"/>
      <c r="DTY125" s="953"/>
      <c r="DTZ125" s="953"/>
      <c r="DUA125" s="953"/>
      <c r="DUB125" s="953"/>
      <c r="DUC125" s="953"/>
      <c r="DUD125" s="953"/>
      <c r="DUE125" s="953"/>
      <c r="DUF125" s="953"/>
      <c r="DUG125" s="953"/>
      <c r="DUH125" s="953"/>
      <c r="DUI125" s="953"/>
      <c r="DUJ125" s="953"/>
      <c r="DUK125" s="953"/>
      <c r="DUL125" s="953"/>
      <c r="DUM125" s="953"/>
      <c r="DUN125" s="953"/>
      <c r="DUO125" s="953"/>
      <c r="DUP125" s="953"/>
      <c r="DUQ125" s="953"/>
      <c r="DUR125" s="953"/>
      <c r="DUS125" s="953"/>
      <c r="DUT125" s="953"/>
      <c r="DUU125" s="953"/>
      <c r="DUV125" s="953"/>
      <c r="DUW125" s="953"/>
      <c r="DUX125" s="953"/>
      <c r="DUY125" s="953"/>
      <c r="DUZ125" s="953"/>
      <c r="DVA125" s="953"/>
      <c r="DVB125" s="953"/>
      <c r="DVC125" s="953"/>
      <c r="DVD125" s="953"/>
      <c r="DVE125" s="953"/>
      <c r="DVF125" s="953"/>
      <c r="DVG125" s="953"/>
      <c r="DVH125" s="953"/>
      <c r="DVI125" s="953"/>
      <c r="DVJ125" s="953"/>
      <c r="DVK125" s="953"/>
      <c r="DVL125" s="953"/>
      <c r="DVM125" s="953"/>
      <c r="DVN125" s="953"/>
      <c r="DVO125" s="953"/>
      <c r="DVP125" s="953"/>
      <c r="DVQ125" s="953"/>
      <c r="DVR125" s="953"/>
      <c r="DVS125" s="953"/>
      <c r="DVT125" s="953"/>
      <c r="DVU125" s="953"/>
      <c r="DVV125" s="953"/>
      <c r="DVW125" s="953"/>
      <c r="DVX125" s="953"/>
      <c r="DVY125" s="953"/>
      <c r="DVZ125" s="953"/>
      <c r="DWA125" s="953"/>
      <c r="DWB125" s="953"/>
      <c r="DWC125" s="953"/>
      <c r="DWD125" s="953"/>
      <c r="DWE125" s="953"/>
      <c r="DWF125" s="953"/>
      <c r="DWG125" s="953"/>
      <c r="DWH125" s="953"/>
      <c r="DWI125" s="953"/>
      <c r="DWJ125" s="953"/>
      <c r="DWK125" s="953"/>
      <c r="DWL125" s="953"/>
      <c r="DWM125" s="953"/>
      <c r="DWN125" s="953"/>
      <c r="DWO125" s="953"/>
      <c r="DWP125" s="953"/>
      <c r="DWQ125" s="953"/>
      <c r="DWR125" s="953"/>
      <c r="DWS125" s="953"/>
      <c r="DWT125" s="953"/>
      <c r="DWU125" s="953"/>
      <c r="DWV125" s="953"/>
      <c r="DWW125" s="953"/>
      <c r="DWX125" s="953"/>
      <c r="DWY125" s="953"/>
      <c r="DWZ125" s="953"/>
      <c r="DXA125" s="953"/>
      <c r="DXB125" s="953"/>
      <c r="DXC125" s="953"/>
      <c r="DXD125" s="953"/>
      <c r="DXE125" s="953"/>
      <c r="DXF125" s="953"/>
      <c r="DXG125" s="953"/>
      <c r="DXH125" s="953"/>
      <c r="DXI125" s="953"/>
      <c r="DXJ125" s="953"/>
      <c r="DXK125" s="953"/>
      <c r="DXL125" s="953"/>
      <c r="DXM125" s="953"/>
      <c r="DXN125" s="953"/>
      <c r="DXO125" s="953"/>
      <c r="DXP125" s="953"/>
      <c r="DXQ125" s="953"/>
      <c r="DXR125" s="953"/>
      <c r="DXS125" s="953"/>
      <c r="DXT125" s="953"/>
      <c r="DXU125" s="953"/>
      <c r="DXV125" s="953"/>
      <c r="DXW125" s="953"/>
      <c r="DXX125" s="953"/>
      <c r="DXY125" s="953"/>
      <c r="DXZ125" s="953"/>
      <c r="DYA125" s="953"/>
      <c r="DYB125" s="953"/>
      <c r="DYC125" s="953"/>
      <c r="DYD125" s="953"/>
      <c r="DYE125" s="953"/>
      <c r="DYF125" s="953"/>
      <c r="DYG125" s="953"/>
      <c r="DYH125" s="953"/>
      <c r="DYI125" s="953"/>
      <c r="DYJ125" s="953"/>
      <c r="DYK125" s="953"/>
      <c r="DYL125" s="953"/>
      <c r="DYM125" s="953"/>
      <c r="DYN125" s="953"/>
      <c r="DYO125" s="953"/>
      <c r="DYP125" s="953"/>
      <c r="DYQ125" s="953"/>
      <c r="DYR125" s="953"/>
      <c r="DYS125" s="953"/>
      <c r="DYT125" s="953"/>
      <c r="DYU125" s="953"/>
      <c r="DYV125" s="953"/>
      <c r="DYW125" s="953"/>
      <c r="DYX125" s="953"/>
      <c r="DYY125" s="953"/>
      <c r="DYZ125" s="953"/>
      <c r="DZA125" s="953"/>
      <c r="DZB125" s="953"/>
      <c r="DZC125" s="953"/>
      <c r="DZD125" s="953"/>
      <c r="DZE125" s="953"/>
      <c r="DZF125" s="953"/>
      <c r="DZG125" s="953"/>
      <c r="DZH125" s="953"/>
      <c r="DZI125" s="953"/>
      <c r="DZJ125" s="953"/>
      <c r="DZK125" s="953"/>
      <c r="DZL125" s="953"/>
      <c r="DZM125" s="953"/>
      <c r="DZN125" s="953"/>
      <c r="DZO125" s="953"/>
      <c r="DZP125" s="953"/>
      <c r="DZQ125" s="953"/>
      <c r="DZR125" s="953"/>
      <c r="DZS125" s="953"/>
      <c r="DZT125" s="953"/>
      <c r="DZU125" s="953"/>
      <c r="DZV125" s="953"/>
      <c r="DZW125" s="953"/>
      <c r="DZX125" s="953"/>
      <c r="DZY125" s="953"/>
      <c r="DZZ125" s="953"/>
      <c r="EAA125" s="953"/>
      <c r="EAB125" s="953"/>
      <c r="EAC125" s="953"/>
      <c r="EAD125" s="953"/>
      <c r="EAE125" s="953"/>
      <c r="EAF125" s="953"/>
      <c r="EAG125" s="953"/>
      <c r="EAH125" s="953"/>
      <c r="EAI125" s="953"/>
      <c r="EAJ125" s="953"/>
      <c r="EAK125" s="953"/>
      <c r="EAL125" s="953"/>
      <c r="EAM125" s="953"/>
      <c r="EAN125" s="953"/>
      <c r="EAO125" s="953"/>
      <c r="EAP125" s="953"/>
      <c r="EAQ125" s="953"/>
      <c r="EAR125" s="953"/>
      <c r="EAS125" s="953"/>
      <c r="EAT125" s="953"/>
      <c r="EAU125" s="953"/>
      <c r="EAV125" s="953"/>
      <c r="EAW125" s="953"/>
      <c r="EAX125" s="953"/>
      <c r="EAY125" s="953"/>
      <c r="EAZ125" s="953"/>
      <c r="EBA125" s="953"/>
      <c r="EBB125" s="953"/>
      <c r="EBC125" s="953"/>
      <c r="EBD125" s="953"/>
      <c r="EBE125" s="953"/>
      <c r="EBF125" s="953"/>
      <c r="EBG125" s="953"/>
      <c r="EBH125" s="953"/>
      <c r="EBI125" s="953"/>
      <c r="EBJ125" s="953"/>
      <c r="EBK125" s="953"/>
      <c r="EBL125" s="953"/>
      <c r="EBM125" s="953"/>
      <c r="EBN125" s="953"/>
      <c r="EBO125" s="953"/>
      <c r="EBP125" s="953"/>
      <c r="EBQ125" s="953"/>
      <c r="EBR125" s="953"/>
      <c r="EBS125" s="953"/>
      <c r="EBT125" s="953"/>
      <c r="EBU125" s="953"/>
      <c r="EBV125" s="953"/>
      <c r="EBW125" s="953"/>
      <c r="EBX125" s="953"/>
      <c r="EBY125" s="953"/>
      <c r="EBZ125" s="953"/>
      <c r="ECA125" s="953"/>
      <c r="ECB125" s="953"/>
      <c r="ECC125" s="953"/>
      <c r="ECD125" s="953"/>
      <c r="ECE125" s="953"/>
      <c r="ECF125" s="953"/>
      <c r="ECG125" s="953"/>
      <c r="ECH125" s="953"/>
      <c r="ECI125" s="953"/>
      <c r="ECJ125" s="953"/>
      <c r="ECK125" s="953"/>
      <c r="ECL125" s="953"/>
      <c r="ECM125" s="953"/>
      <c r="ECN125" s="953"/>
      <c r="ECO125" s="953"/>
      <c r="ECP125" s="953"/>
      <c r="ECQ125" s="953"/>
      <c r="ECR125" s="953"/>
      <c r="ECS125" s="953"/>
      <c r="ECT125" s="953"/>
      <c r="ECU125" s="953"/>
      <c r="ECV125" s="953"/>
      <c r="ECW125" s="953"/>
      <c r="ECX125" s="953"/>
      <c r="ECY125" s="953"/>
      <c r="ECZ125" s="953"/>
      <c r="EDA125" s="953"/>
      <c r="EDB125" s="953"/>
      <c r="EDC125" s="953"/>
      <c r="EDD125" s="953"/>
      <c r="EDE125" s="953"/>
      <c r="EDF125" s="953"/>
      <c r="EDG125" s="953"/>
      <c r="EDH125" s="953"/>
      <c r="EDI125" s="953"/>
      <c r="EDJ125" s="953"/>
      <c r="EDK125" s="953"/>
      <c r="EDL125" s="953"/>
      <c r="EDM125" s="953"/>
      <c r="EDN125" s="953"/>
      <c r="EDO125" s="953"/>
      <c r="EDP125" s="953"/>
      <c r="EDQ125" s="953"/>
      <c r="EDR125" s="953"/>
      <c r="EDS125" s="953"/>
      <c r="EDT125" s="953"/>
      <c r="EDU125" s="953"/>
      <c r="EDV125" s="953"/>
      <c r="EDW125" s="953"/>
      <c r="EDX125" s="953"/>
      <c r="EDY125" s="953"/>
      <c r="EDZ125" s="953"/>
      <c r="EEA125" s="953"/>
      <c r="EEB125" s="953"/>
      <c r="EEC125" s="953"/>
      <c r="EED125" s="953"/>
      <c r="EEE125" s="953"/>
      <c r="EEF125" s="953"/>
      <c r="EEG125" s="953"/>
      <c r="EEH125" s="953"/>
      <c r="EEI125" s="953"/>
      <c r="EEJ125" s="953"/>
      <c r="EEK125" s="953"/>
      <c r="EEL125" s="953"/>
      <c r="EEM125" s="953"/>
      <c r="EEN125" s="953"/>
      <c r="EEO125" s="953"/>
      <c r="EEP125" s="953"/>
      <c r="EEQ125" s="953"/>
      <c r="EER125" s="953"/>
      <c r="EES125" s="953"/>
      <c r="EET125" s="953"/>
      <c r="EEU125" s="953"/>
      <c r="EEV125" s="953"/>
      <c r="EEW125" s="953"/>
      <c r="EEX125" s="953"/>
      <c r="EEY125" s="953"/>
      <c r="EEZ125" s="953"/>
      <c r="EFA125" s="953"/>
      <c r="EFB125" s="953"/>
      <c r="EFC125" s="953"/>
      <c r="EFD125" s="953"/>
      <c r="EFE125" s="953"/>
      <c r="EFF125" s="953"/>
      <c r="EFG125" s="953"/>
      <c r="EFH125" s="953"/>
      <c r="EFI125" s="953"/>
      <c r="EFJ125" s="953"/>
      <c r="EFK125" s="953"/>
      <c r="EFL125" s="953"/>
      <c r="EFM125" s="953"/>
      <c r="EFN125" s="953"/>
      <c r="EFO125" s="953"/>
      <c r="EFP125" s="953"/>
      <c r="EFQ125" s="953"/>
      <c r="EFR125" s="953"/>
      <c r="EFS125" s="953"/>
      <c r="EFT125" s="953"/>
      <c r="EFU125" s="953"/>
      <c r="EFV125" s="953"/>
      <c r="EFW125" s="953"/>
      <c r="EFX125" s="953"/>
      <c r="EFY125" s="953"/>
      <c r="EFZ125" s="953"/>
      <c r="EGA125" s="953"/>
      <c r="EGB125" s="953"/>
      <c r="EGC125" s="953"/>
      <c r="EGD125" s="953"/>
      <c r="EGE125" s="953"/>
      <c r="EGF125" s="953"/>
      <c r="EGG125" s="953"/>
      <c r="EGH125" s="953"/>
      <c r="EGI125" s="953"/>
      <c r="EGJ125" s="953"/>
      <c r="EGK125" s="953"/>
      <c r="EGL125" s="953"/>
      <c r="EGM125" s="953"/>
      <c r="EGN125" s="953"/>
      <c r="EGO125" s="953"/>
      <c r="EGP125" s="953"/>
      <c r="EGQ125" s="953"/>
      <c r="EGR125" s="953"/>
      <c r="EGS125" s="953"/>
      <c r="EGT125" s="953"/>
      <c r="EGU125" s="953"/>
      <c r="EGV125" s="953"/>
      <c r="EGW125" s="953"/>
      <c r="EGX125" s="953"/>
      <c r="EGY125" s="953"/>
      <c r="EGZ125" s="953"/>
      <c r="EHA125" s="953"/>
      <c r="EHB125" s="953"/>
      <c r="EHC125" s="953"/>
      <c r="EHD125" s="953"/>
      <c r="EHE125" s="953"/>
      <c r="EHF125" s="953"/>
      <c r="EHG125" s="953"/>
      <c r="EHH125" s="953"/>
      <c r="EHI125" s="953"/>
      <c r="EHJ125" s="953"/>
      <c r="EHK125" s="953"/>
      <c r="EHL125" s="953"/>
      <c r="EHM125" s="953"/>
      <c r="EHN125" s="953"/>
      <c r="EHO125" s="953"/>
      <c r="EHP125" s="953"/>
      <c r="EHQ125" s="953"/>
      <c r="EHR125" s="953"/>
      <c r="EHS125" s="953"/>
      <c r="EHT125" s="953"/>
      <c r="EHU125" s="953"/>
      <c r="EHV125" s="953"/>
      <c r="EHW125" s="953"/>
      <c r="EHX125" s="953"/>
      <c r="EHY125" s="953"/>
      <c r="EHZ125" s="953"/>
      <c r="EIA125" s="953"/>
      <c r="EIB125" s="953"/>
      <c r="EIC125" s="953"/>
      <c r="EID125" s="953"/>
      <c r="EIE125" s="953"/>
      <c r="EIF125" s="953"/>
      <c r="EIG125" s="953"/>
      <c r="EIH125" s="953"/>
      <c r="EII125" s="953"/>
      <c r="EIJ125" s="953"/>
      <c r="EIK125" s="953"/>
      <c r="EIL125" s="953"/>
      <c r="EIM125" s="953"/>
      <c r="EIN125" s="953"/>
      <c r="EIO125" s="953"/>
      <c r="EIP125" s="953"/>
      <c r="EIQ125" s="953"/>
      <c r="EIR125" s="953"/>
      <c r="EIS125" s="953"/>
      <c r="EIT125" s="953"/>
      <c r="EIU125" s="953"/>
      <c r="EIV125" s="953"/>
      <c r="EIW125" s="953"/>
      <c r="EIX125" s="953"/>
      <c r="EIY125" s="953"/>
      <c r="EIZ125" s="953"/>
      <c r="EJA125" s="953"/>
      <c r="EJB125" s="953"/>
      <c r="EJC125" s="953"/>
      <c r="EJD125" s="953"/>
      <c r="EJE125" s="953"/>
      <c r="EJF125" s="953"/>
      <c r="EJG125" s="953"/>
      <c r="EJH125" s="953"/>
      <c r="EJI125" s="953"/>
      <c r="EJJ125" s="953"/>
      <c r="EJK125" s="953"/>
      <c r="EJL125" s="953"/>
      <c r="EJM125" s="953"/>
      <c r="EJN125" s="953"/>
      <c r="EJO125" s="953"/>
      <c r="EJP125" s="953"/>
      <c r="EJQ125" s="953"/>
      <c r="EJR125" s="953"/>
      <c r="EJS125" s="953"/>
      <c r="EJT125" s="953"/>
      <c r="EJU125" s="953"/>
      <c r="EJV125" s="953"/>
      <c r="EJW125" s="953"/>
      <c r="EJX125" s="953"/>
      <c r="EJY125" s="953"/>
      <c r="EJZ125" s="953"/>
      <c r="EKA125" s="953"/>
      <c r="EKB125" s="953"/>
      <c r="EKC125" s="953"/>
      <c r="EKD125" s="953"/>
      <c r="EKE125" s="953"/>
      <c r="EKF125" s="953"/>
      <c r="EKG125" s="953"/>
      <c r="EKH125" s="953"/>
      <c r="EKI125" s="953"/>
      <c r="EKJ125" s="953"/>
      <c r="EKK125" s="953"/>
      <c r="EKL125" s="953"/>
      <c r="EKM125" s="953"/>
      <c r="EKN125" s="953"/>
      <c r="EKO125" s="953"/>
      <c r="EKP125" s="953"/>
      <c r="EKQ125" s="953"/>
      <c r="EKR125" s="953"/>
      <c r="EKS125" s="953"/>
      <c r="EKT125" s="953"/>
      <c r="EKU125" s="953"/>
      <c r="EKV125" s="953"/>
      <c r="EKW125" s="953"/>
      <c r="EKX125" s="953"/>
      <c r="EKY125" s="953"/>
      <c r="EKZ125" s="953"/>
      <c r="ELA125" s="953"/>
      <c r="ELB125" s="953"/>
      <c r="ELC125" s="953"/>
      <c r="ELD125" s="953"/>
      <c r="ELE125" s="953"/>
      <c r="ELF125" s="953"/>
      <c r="ELG125" s="953"/>
      <c r="ELH125" s="953"/>
      <c r="ELI125" s="953"/>
      <c r="ELJ125" s="953"/>
      <c r="ELK125" s="953"/>
      <c r="ELL125" s="953"/>
      <c r="ELM125" s="953"/>
      <c r="ELN125" s="953"/>
      <c r="ELO125" s="953"/>
      <c r="ELP125" s="953"/>
      <c r="ELQ125" s="953"/>
      <c r="ELR125" s="953"/>
      <c r="ELS125" s="953"/>
      <c r="ELT125" s="953"/>
      <c r="ELU125" s="953"/>
      <c r="ELV125" s="953"/>
      <c r="ELW125" s="953"/>
      <c r="ELX125" s="953"/>
      <c r="ELY125" s="953"/>
      <c r="ELZ125" s="953"/>
      <c r="EMA125" s="953"/>
      <c r="EMB125" s="953"/>
      <c r="EMC125" s="953"/>
      <c r="EMD125" s="953"/>
      <c r="EME125" s="953"/>
      <c r="EMF125" s="953"/>
      <c r="EMG125" s="953"/>
      <c r="EMH125" s="953"/>
      <c r="EMI125" s="953"/>
      <c r="EMJ125" s="953"/>
      <c r="EMK125" s="953"/>
      <c r="EML125" s="953"/>
      <c r="EMM125" s="953"/>
      <c r="EMN125" s="953"/>
      <c r="EMO125" s="953"/>
      <c r="EMP125" s="953"/>
      <c r="EMQ125" s="953"/>
      <c r="EMR125" s="953"/>
      <c r="EMS125" s="953"/>
      <c r="EMT125" s="953"/>
      <c r="EMU125" s="953"/>
      <c r="EMV125" s="953"/>
      <c r="EMW125" s="953"/>
      <c r="EMX125" s="953"/>
      <c r="EMY125" s="953"/>
      <c r="EMZ125" s="953"/>
      <c r="ENA125" s="953"/>
      <c r="ENB125" s="953"/>
      <c r="ENC125" s="953"/>
      <c r="END125" s="953"/>
      <c r="ENE125" s="953"/>
      <c r="ENF125" s="953"/>
      <c r="ENG125" s="953"/>
      <c r="ENH125" s="953"/>
      <c r="ENI125" s="953"/>
      <c r="ENJ125" s="953"/>
      <c r="ENK125" s="953"/>
      <c r="ENL125" s="953"/>
      <c r="ENM125" s="953"/>
      <c r="ENN125" s="953"/>
      <c r="ENO125" s="953"/>
      <c r="ENP125" s="953"/>
      <c r="ENQ125" s="953"/>
      <c r="ENR125" s="953"/>
      <c r="ENS125" s="953"/>
      <c r="ENT125" s="953"/>
      <c r="ENU125" s="953"/>
      <c r="ENV125" s="953"/>
      <c r="ENW125" s="953"/>
      <c r="ENX125" s="953"/>
      <c r="ENY125" s="953"/>
      <c r="ENZ125" s="953"/>
      <c r="EOA125" s="953"/>
      <c r="EOB125" s="953"/>
      <c r="EOC125" s="953"/>
      <c r="EOD125" s="953"/>
      <c r="EOE125" s="953"/>
      <c r="EOF125" s="953"/>
      <c r="EOG125" s="953"/>
      <c r="EOH125" s="953"/>
      <c r="EOI125" s="953"/>
      <c r="EOJ125" s="953"/>
      <c r="EOK125" s="953"/>
      <c r="EOL125" s="953"/>
      <c r="EOM125" s="953"/>
      <c r="EON125" s="953"/>
      <c r="EOO125" s="953"/>
      <c r="EOP125" s="953"/>
      <c r="EOQ125" s="953"/>
      <c r="EOR125" s="953"/>
      <c r="EOS125" s="953"/>
      <c r="EOT125" s="953"/>
      <c r="EOU125" s="953"/>
      <c r="EOV125" s="953"/>
      <c r="EOW125" s="953"/>
      <c r="EOX125" s="953"/>
      <c r="EOY125" s="953"/>
      <c r="EOZ125" s="953"/>
      <c r="EPA125" s="953"/>
      <c r="EPB125" s="953"/>
      <c r="EPC125" s="953"/>
      <c r="EPD125" s="953"/>
      <c r="EPE125" s="953"/>
      <c r="EPF125" s="953"/>
      <c r="EPG125" s="953"/>
      <c r="EPH125" s="953"/>
      <c r="EPI125" s="953"/>
      <c r="EPJ125" s="953"/>
      <c r="EPK125" s="953"/>
      <c r="EPL125" s="953"/>
      <c r="EPM125" s="953"/>
      <c r="EPN125" s="953"/>
      <c r="EPO125" s="953"/>
      <c r="EPP125" s="953"/>
      <c r="EPQ125" s="953"/>
      <c r="EPR125" s="953"/>
      <c r="EPS125" s="953"/>
      <c r="EPT125" s="953"/>
      <c r="EPU125" s="953"/>
      <c r="EPV125" s="953"/>
      <c r="EPW125" s="953"/>
      <c r="EPX125" s="953"/>
      <c r="EPY125" s="953"/>
      <c r="EPZ125" s="953"/>
      <c r="EQA125" s="953"/>
      <c r="EQB125" s="953"/>
      <c r="EQC125" s="953"/>
      <c r="EQD125" s="953"/>
      <c r="EQE125" s="953"/>
      <c r="EQF125" s="953"/>
      <c r="EQG125" s="953"/>
      <c r="EQH125" s="953"/>
      <c r="EQI125" s="953"/>
      <c r="EQJ125" s="953"/>
      <c r="EQK125" s="953"/>
      <c r="EQL125" s="953"/>
      <c r="EQM125" s="953"/>
      <c r="EQN125" s="953"/>
      <c r="EQO125" s="953"/>
      <c r="EQP125" s="953"/>
      <c r="EQQ125" s="953"/>
      <c r="EQR125" s="953"/>
      <c r="EQS125" s="953"/>
      <c r="EQT125" s="953"/>
      <c r="EQU125" s="953"/>
      <c r="EQV125" s="953"/>
      <c r="EQW125" s="953"/>
      <c r="EQX125" s="953"/>
      <c r="EQY125" s="953"/>
      <c r="EQZ125" s="953"/>
      <c r="ERA125" s="953"/>
      <c r="ERB125" s="953"/>
      <c r="ERC125" s="953"/>
      <c r="ERD125" s="953"/>
      <c r="ERE125" s="953"/>
      <c r="ERF125" s="953"/>
      <c r="ERG125" s="953"/>
      <c r="ERH125" s="953"/>
      <c r="ERI125" s="953"/>
      <c r="ERJ125" s="953"/>
      <c r="ERK125" s="953"/>
      <c r="ERL125" s="953"/>
      <c r="ERM125" s="953"/>
      <c r="ERN125" s="953"/>
      <c r="ERO125" s="953"/>
      <c r="ERP125" s="953"/>
      <c r="ERQ125" s="953"/>
      <c r="ERR125" s="953"/>
      <c r="ERS125" s="953"/>
      <c r="ERT125" s="953"/>
      <c r="ERU125" s="953"/>
      <c r="ERV125" s="953"/>
      <c r="ERW125" s="953"/>
      <c r="ERX125" s="953"/>
      <c r="ERY125" s="953"/>
      <c r="ERZ125" s="953"/>
      <c r="ESA125" s="953"/>
      <c r="ESB125" s="953"/>
      <c r="ESC125" s="953"/>
      <c r="ESD125" s="953"/>
      <c r="ESE125" s="953"/>
      <c r="ESF125" s="953"/>
      <c r="ESG125" s="953"/>
      <c r="ESH125" s="953"/>
      <c r="ESI125" s="953"/>
      <c r="ESJ125" s="953"/>
      <c r="ESK125" s="953"/>
      <c r="ESL125" s="953"/>
      <c r="ESM125" s="953"/>
      <c r="ESN125" s="953"/>
      <c r="ESO125" s="953"/>
      <c r="ESP125" s="953"/>
      <c r="ESQ125" s="953"/>
      <c r="ESR125" s="953"/>
      <c r="ESS125" s="953"/>
      <c r="EST125" s="953"/>
      <c r="ESU125" s="953"/>
      <c r="ESV125" s="953"/>
      <c r="ESW125" s="953"/>
      <c r="ESX125" s="953"/>
      <c r="ESY125" s="953"/>
      <c r="ESZ125" s="953"/>
      <c r="ETA125" s="953"/>
      <c r="ETB125" s="953"/>
      <c r="ETC125" s="953"/>
      <c r="ETD125" s="953"/>
      <c r="ETE125" s="953"/>
      <c r="ETF125" s="953"/>
      <c r="ETG125" s="953"/>
      <c r="ETH125" s="953"/>
      <c r="ETI125" s="953"/>
      <c r="ETJ125" s="953"/>
      <c r="ETK125" s="953"/>
      <c r="ETL125" s="953"/>
      <c r="ETM125" s="953"/>
      <c r="ETN125" s="953"/>
      <c r="ETO125" s="953"/>
      <c r="ETP125" s="953"/>
      <c r="ETQ125" s="953"/>
      <c r="ETR125" s="953"/>
      <c r="ETS125" s="953"/>
      <c r="ETT125" s="953"/>
      <c r="ETU125" s="953"/>
      <c r="ETV125" s="953"/>
      <c r="ETW125" s="953"/>
      <c r="ETX125" s="953"/>
      <c r="ETY125" s="953"/>
      <c r="ETZ125" s="953"/>
      <c r="EUA125" s="953"/>
      <c r="EUB125" s="953"/>
      <c r="EUC125" s="953"/>
      <c r="EUD125" s="953"/>
      <c r="EUE125" s="953"/>
      <c r="EUF125" s="953"/>
      <c r="EUG125" s="953"/>
      <c r="EUH125" s="953"/>
      <c r="EUI125" s="953"/>
      <c r="EUJ125" s="953"/>
      <c r="EUK125" s="953"/>
      <c r="EUL125" s="953"/>
      <c r="EUM125" s="953"/>
      <c r="EUN125" s="953"/>
      <c r="EUO125" s="953"/>
      <c r="EUP125" s="953"/>
      <c r="EUQ125" s="953"/>
      <c r="EUR125" s="953"/>
      <c r="EUS125" s="953"/>
      <c r="EUT125" s="953"/>
      <c r="EUU125" s="953"/>
      <c r="EUV125" s="953"/>
      <c r="EUW125" s="953"/>
      <c r="EUX125" s="953"/>
      <c r="EUY125" s="953"/>
      <c r="EUZ125" s="953"/>
      <c r="EVA125" s="953"/>
      <c r="EVB125" s="953"/>
      <c r="EVC125" s="953"/>
      <c r="EVD125" s="953"/>
      <c r="EVE125" s="953"/>
      <c r="EVF125" s="953"/>
      <c r="EVG125" s="953"/>
      <c r="EVH125" s="953"/>
      <c r="EVI125" s="953"/>
      <c r="EVJ125" s="953"/>
      <c r="EVK125" s="953"/>
      <c r="EVL125" s="953"/>
      <c r="EVM125" s="953"/>
      <c r="EVN125" s="953"/>
      <c r="EVO125" s="953"/>
      <c r="EVP125" s="953"/>
      <c r="EVQ125" s="953"/>
      <c r="EVR125" s="953"/>
      <c r="EVS125" s="953"/>
      <c r="EVT125" s="953"/>
      <c r="EVU125" s="953"/>
      <c r="EVV125" s="953"/>
      <c r="EVW125" s="953"/>
      <c r="EVX125" s="953"/>
      <c r="EVY125" s="953"/>
      <c r="EVZ125" s="953"/>
      <c r="EWA125" s="953"/>
      <c r="EWB125" s="953"/>
      <c r="EWC125" s="953"/>
      <c r="EWD125" s="953"/>
      <c r="EWE125" s="953"/>
      <c r="EWF125" s="953"/>
      <c r="EWG125" s="953"/>
      <c r="EWH125" s="953"/>
      <c r="EWI125" s="953"/>
      <c r="EWJ125" s="953"/>
      <c r="EWK125" s="953"/>
      <c r="EWL125" s="953"/>
      <c r="EWM125" s="953"/>
      <c r="EWN125" s="953"/>
      <c r="EWO125" s="953"/>
      <c r="EWP125" s="953"/>
      <c r="EWQ125" s="953"/>
      <c r="EWR125" s="953"/>
      <c r="EWS125" s="953"/>
      <c r="EWT125" s="953"/>
      <c r="EWU125" s="953"/>
      <c r="EWV125" s="953"/>
      <c r="EWW125" s="953"/>
      <c r="EWX125" s="953"/>
      <c r="EWY125" s="953"/>
      <c r="EWZ125" s="953"/>
      <c r="EXA125" s="953"/>
      <c r="EXB125" s="953"/>
      <c r="EXC125" s="953"/>
      <c r="EXD125" s="953"/>
      <c r="EXE125" s="953"/>
      <c r="EXF125" s="953"/>
      <c r="EXG125" s="953"/>
      <c r="EXH125" s="953"/>
      <c r="EXI125" s="953"/>
      <c r="EXJ125" s="953"/>
      <c r="EXK125" s="953"/>
      <c r="EXL125" s="953"/>
      <c r="EXM125" s="953"/>
      <c r="EXN125" s="953"/>
      <c r="EXO125" s="953"/>
      <c r="EXP125" s="953"/>
      <c r="EXQ125" s="953"/>
      <c r="EXR125" s="953"/>
      <c r="EXS125" s="953"/>
      <c r="EXT125" s="953"/>
      <c r="EXU125" s="953"/>
      <c r="EXV125" s="953"/>
      <c r="EXW125" s="953"/>
      <c r="EXX125" s="953"/>
      <c r="EXY125" s="953"/>
      <c r="EXZ125" s="953"/>
      <c r="EYA125" s="953"/>
      <c r="EYB125" s="953"/>
      <c r="EYC125" s="953"/>
      <c r="EYD125" s="953"/>
      <c r="EYE125" s="953"/>
      <c r="EYF125" s="953"/>
      <c r="EYG125" s="953"/>
      <c r="EYH125" s="953"/>
      <c r="EYI125" s="953"/>
      <c r="EYJ125" s="953"/>
      <c r="EYK125" s="953"/>
      <c r="EYL125" s="953"/>
      <c r="EYM125" s="953"/>
      <c r="EYN125" s="953"/>
      <c r="EYO125" s="953"/>
      <c r="EYP125" s="953"/>
      <c r="EYQ125" s="953"/>
      <c r="EYR125" s="953"/>
      <c r="EYS125" s="953"/>
      <c r="EYT125" s="953"/>
      <c r="EYU125" s="953"/>
      <c r="EYV125" s="953"/>
      <c r="EYW125" s="953"/>
      <c r="EYX125" s="953"/>
      <c r="EYY125" s="953"/>
      <c r="EYZ125" s="953"/>
      <c r="EZA125" s="953"/>
      <c r="EZB125" s="953"/>
      <c r="EZC125" s="953"/>
      <c r="EZD125" s="953"/>
      <c r="EZE125" s="953"/>
      <c r="EZF125" s="953"/>
      <c r="EZG125" s="953"/>
      <c r="EZH125" s="953"/>
      <c r="EZI125" s="953"/>
      <c r="EZJ125" s="953"/>
      <c r="EZK125" s="953"/>
      <c r="EZL125" s="953"/>
      <c r="EZM125" s="953"/>
      <c r="EZN125" s="953"/>
      <c r="EZO125" s="953"/>
      <c r="EZP125" s="953"/>
      <c r="EZQ125" s="953"/>
      <c r="EZR125" s="953"/>
      <c r="EZS125" s="953"/>
      <c r="EZT125" s="953"/>
      <c r="EZU125" s="953"/>
      <c r="EZV125" s="953"/>
      <c r="EZW125" s="953"/>
      <c r="EZX125" s="953"/>
      <c r="EZY125" s="953"/>
      <c r="EZZ125" s="953"/>
      <c r="FAA125" s="953"/>
      <c r="FAB125" s="953"/>
      <c r="FAC125" s="953"/>
      <c r="FAD125" s="953"/>
      <c r="FAE125" s="953"/>
      <c r="FAF125" s="953"/>
      <c r="FAG125" s="953"/>
      <c r="FAH125" s="953"/>
      <c r="FAI125" s="953"/>
      <c r="FAJ125" s="953"/>
      <c r="FAK125" s="953"/>
      <c r="FAL125" s="953"/>
      <c r="FAM125" s="953"/>
      <c r="FAN125" s="953"/>
      <c r="FAO125" s="953"/>
      <c r="FAP125" s="953"/>
      <c r="FAQ125" s="953"/>
      <c r="FAR125" s="953"/>
      <c r="FAS125" s="953"/>
      <c r="FAT125" s="953"/>
      <c r="FAU125" s="953"/>
      <c r="FAV125" s="953"/>
      <c r="FAW125" s="953"/>
      <c r="FAX125" s="953"/>
      <c r="FAY125" s="953"/>
      <c r="FAZ125" s="953"/>
      <c r="FBA125" s="953"/>
      <c r="FBB125" s="953"/>
      <c r="FBC125" s="953"/>
      <c r="FBD125" s="953"/>
      <c r="FBE125" s="953"/>
      <c r="FBF125" s="953"/>
      <c r="FBG125" s="953"/>
      <c r="FBH125" s="953"/>
      <c r="FBI125" s="953"/>
      <c r="FBJ125" s="953"/>
      <c r="FBK125" s="953"/>
      <c r="FBL125" s="953"/>
      <c r="FBM125" s="953"/>
      <c r="FBN125" s="953"/>
      <c r="FBO125" s="953"/>
      <c r="FBP125" s="953"/>
      <c r="FBQ125" s="953"/>
      <c r="FBR125" s="953"/>
      <c r="FBS125" s="953"/>
      <c r="FBT125" s="953"/>
      <c r="FBU125" s="953"/>
      <c r="FBV125" s="953"/>
      <c r="FBW125" s="953"/>
      <c r="FBX125" s="953"/>
      <c r="FBY125" s="953"/>
      <c r="FBZ125" s="953"/>
      <c r="FCA125" s="953"/>
      <c r="FCB125" s="953"/>
      <c r="FCC125" s="953"/>
      <c r="FCD125" s="953"/>
      <c r="FCE125" s="953"/>
      <c r="FCF125" s="953"/>
      <c r="FCG125" s="953"/>
      <c r="FCH125" s="953"/>
      <c r="FCI125" s="953"/>
      <c r="FCJ125" s="953"/>
      <c r="FCK125" s="953"/>
      <c r="FCL125" s="953"/>
      <c r="FCM125" s="953"/>
      <c r="FCN125" s="953"/>
      <c r="FCO125" s="953"/>
      <c r="FCP125" s="953"/>
      <c r="FCQ125" s="953"/>
      <c r="FCR125" s="953"/>
      <c r="FCS125" s="953"/>
      <c r="FCT125" s="953"/>
      <c r="FCU125" s="953"/>
      <c r="FCV125" s="953"/>
      <c r="FCW125" s="953"/>
      <c r="FCX125" s="953"/>
      <c r="FCY125" s="953"/>
      <c r="FCZ125" s="953"/>
      <c r="FDA125" s="953"/>
      <c r="FDB125" s="953"/>
      <c r="FDC125" s="953"/>
      <c r="FDD125" s="953"/>
      <c r="FDE125" s="953"/>
      <c r="FDF125" s="953"/>
      <c r="FDG125" s="953"/>
      <c r="FDH125" s="953"/>
      <c r="FDI125" s="953"/>
      <c r="FDJ125" s="953"/>
      <c r="FDK125" s="953"/>
      <c r="FDL125" s="953"/>
      <c r="FDM125" s="953"/>
      <c r="FDN125" s="953"/>
      <c r="FDO125" s="953"/>
      <c r="FDP125" s="953"/>
      <c r="FDQ125" s="953"/>
      <c r="FDR125" s="953"/>
      <c r="FDS125" s="953"/>
      <c r="FDT125" s="953"/>
      <c r="FDU125" s="953"/>
      <c r="FDV125" s="953"/>
      <c r="FDW125" s="953"/>
      <c r="FDX125" s="953"/>
      <c r="FDY125" s="953"/>
      <c r="FDZ125" s="953"/>
      <c r="FEA125" s="953"/>
      <c r="FEB125" s="953"/>
      <c r="FEC125" s="953"/>
      <c r="FED125" s="953"/>
      <c r="FEE125" s="953"/>
      <c r="FEF125" s="953"/>
      <c r="FEG125" s="953"/>
      <c r="FEH125" s="953"/>
      <c r="FEI125" s="953"/>
      <c r="FEJ125" s="953"/>
      <c r="FEK125" s="953"/>
      <c r="FEL125" s="953"/>
      <c r="FEM125" s="953"/>
      <c r="FEN125" s="953"/>
      <c r="FEO125" s="953"/>
      <c r="FEP125" s="953"/>
      <c r="FEQ125" s="953"/>
      <c r="FER125" s="953"/>
      <c r="FES125" s="953"/>
      <c r="FET125" s="953"/>
      <c r="FEU125" s="953"/>
      <c r="FEV125" s="953"/>
      <c r="FEW125" s="953"/>
      <c r="FEX125" s="953"/>
      <c r="FEY125" s="953"/>
      <c r="FEZ125" s="953"/>
      <c r="FFA125" s="953"/>
      <c r="FFB125" s="953"/>
      <c r="FFC125" s="953"/>
      <c r="FFD125" s="953"/>
      <c r="FFE125" s="953"/>
      <c r="FFF125" s="953"/>
      <c r="FFG125" s="953"/>
      <c r="FFH125" s="953"/>
      <c r="FFI125" s="953"/>
      <c r="FFJ125" s="953"/>
      <c r="FFK125" s="953"/>
      <c r="FFL125" s="953"/>
      <c r="FFM125" s="953"/>
      <c r="FFN125" s="953"/>
      <c r="FFO125" s="953"/>
      <c r="FFP125" s="953"/>
      <c r="FFQ125" s="953"/>
      <c r="FFR125" s="953"/>
      <c r="FFS125" s="953"/>
      <c r="FFT125" s="953"/>
      <c r="FFU125" s="953"/>
      <c r="FFV125" s="953"/>
      <c r="FFW125" s="953"/>
      <c r="FFX125" s="953"/>
      <c r="FFY125" s="953"/>
      <c r="FFZ125" s="953"/>
      <c r="FGA125" s="953"/>
      <c r="FGB125" s="953"/>
      <c r="FGC125" s="953"/>
      <c r="FGD125" s="953"/>
      <c r="FGE125" s="953"/>
      <c r="FGF125" s="953"/>
      <c r="FGG125" s="953"/>
      <c r="FGH125" s="953"/>
      <c r="FGI125" s="953"/>
      <c r="FGJ125" s="953"/>
      <c r="FGK125" s="953"/>
      <c r="FGL125" s="953"/>
      <c r="FGM125" s="953"/>
      <c r="FGN125" s="953"/>
      <c r="FGO125" s="953"/>
      <c r="FGP125" s="953"/>
      <c r="FGQ125" s="953"/>
      <c r="FGR125" s="953"/>
      <c r="FGS125" s="953"/>
      <c r="FGT125" s="953"/>
      <c r="FGU125" s="953"/>
      <c r="FGV125" s="953"/>
      <c r="FGW125" s="953"/>
      <c r="FGX125" s="953"/>
      <c r="FGY125" s="953"/>
      <c r="FGZ125" s="953"/>
      <c r="FHA125" s="953"/>
      <c r="FHB125" s="953"/>
      <c r="FHC125" s="953"/>
      <c r="FHD125" s="953"/>
      <c r="FHE125" s="953"/>
      <c r="FHF125" s="953"/>
      <c r="FHG125" s="953"/>
      <c r="FHH125" s="953"/>
      <c r="FHI125" s="953"/>
      <c r="FHJ125" s="953"/>
      <c r="FHK125" s="953"/>
      <c r="FHL125" s="953"/>
      <c r="FHM125" s="953"/>
      <c r="FHN125" s="953"/>
      <c r="FHO125" s="953"/>
      <c r="FHP125" s="953"/>
      <c r="FHQ125" s="953"/>
      <c r="FHR125" s="953"/>
      <c r="FHS125" s="953"/>
      <c r="FHT125" s="953"/>
      <c r="FHU125" s="953"/>
      <c r="FHV125" s="953"/>
      <c r="FHW125" s="953"/>
      <c r="FHX125" s="953"/>
      <c r="FHY125" s="953"/>
      <c r="FHZ125" s="953"/>
      <c r="FIA125" s="953"/>
      <c r="FIB125" s="953"/>
      <c r="FIC125" s="953"/>
      <c r="FID125" s="953"/>
      <c r="FIE125" s="953"/>
      <c r="FIF125" s="953"/>
      <c r="FIG125" s="953"/>
      <c r="FIH125" s="953"/>
      <c r="FII125" s="953"/>
      <c r="FIJ125" s="953"/>
      <c r="FIK125" s="953"/>
      <c r="FIL125" s="953"/>
      <c r="FIM125" s="953"/>
      <c r="FIN125" s="953"/>
      <c r="FIO125" s="953"/>
      <c r="FIP125" s="953"/>
      <c r="FIQ125" s="953"/>
      <c r="FIR125" s="953"/>
      <c r="FIS125" s="953"/>
      <c r="FIT125" s="953"/>
      <c r="FIU125" s="953"/>
      <c r="FIV125" s="953"/>
      <c r="FIW125" s="953"/>
      <c r="FIX125" s="953"/>
      <c r="FIY125" s="953"/>
      <c r="FIZ125" s="953"/>
      <c r="FJA125" s="953"/>
      <c r="FJB125" s="953"/>
      <c r="FJC125" s="953"/>
      <c r="FJD125" s="953"/>
      <c r="FJE125" s="953"/>
      <c r="FJF125" s="953"/>
      <c r="FJG125" s="953"/>
      <c r="FJH125" s="953"/>
      <c r="FJI125" s="953"/>
      <c r="FJJ125" s="953"/>
      <c r="FJK125" s="953"/>
      <c r="FJL125" s="953"/>
      <c r="FJM125" s="953"/>
      <c r="FJN125" s="953"/>
      <c r="FJO125" s="953"/>
      <c r="FJP125" s="953"/>
      <c r="FJQ125" s="953"/>
      <c r="FJR125" s="953"/>
      <c r="FJS125" s="953"/>
      <c r="FJT125" s="953"/>
      <c r="FJU125" s="953"/>
      <c r="FJV125" s="953"/>
      <c r="FJW125" s="953"/>
      <c r="FJX125" s="953"/>
      <c r="FJY125" s="953"/>
      <c r="FJZ125" s="953"/>
      <c r="FKA125" s="953"/>
      <c r="FKB125" s="953"/>
      <c r="FKC125" s="953"/>
      <c r="FKD125" s="953"/>
      <c r="FKE125" s="953"/>
      <c r="FKF125" s="953"/>
      <c r="FKG125" s="953"/>
      <c r="FKH125" s="953"/>
      <c r="FKI125" s="953"/>
      <c r="FKJ125" s="953"/>
      <c r="FKK125" s="953"/>
      <c r="FKL125" s="953"/>
      <c r="FKM125" s="953"/>
      <c r="FKN125" s="953"/>
      <c r="FKO125" s="953"/>
      <c r="FKP125" s="953"/>
      <c r="FKQ125" s="953"/>
      <c r="FKR125" s="953"/>
      <c r="FKS125" s="953"/>
      <c r="FKT125" s="953"/>
      <c r="FKU125" s="953"/>
      <c r="FKV125" s="953"/>
      <c r="FKW125" s="953"/>
      <c r="FKX125" s="953"/>
      <c r="FKY125" s="953"/>
      <c r="FKZ125" s="953"/>
      <c r="FLA125" s="953"/>
      <c r="FLB125" s="953"/>
      <c r="FLC125" s="953"/>
      <c r="FLD125" s="953"/>
      <c r="FLE125" s="953"/>
      <c r="FLF125" s="953"/>
      <c r="FLG125" s="953"/>
      <c r="FLH125" s="953"/>
      <c r="FLI125" s="953"/>
      <c r="FLJ125" s="953"/>
      <c r="FLK125" s="953"/>
      <c r="FLL125" s="953"/>
      <c r="FLM125" s="953"/>
      <c r="FLN125" s="953"/>
      <c r="FLO125" s="953"/>
      <c r="FLP125" s="953"/>
      <c r="FLQ125" s="953"/>
      <c r="FLR125" s="953"/>
      <c r="FLS125" s="953"/>
      <c r="FLT125" s="953"/>
      <c r="FLU125" s="953"/>
      <c r="FLV125" s="953"/>
      <c r="FLW125" s="953"/>
      <c r="FLX125" s="953"/>
      <c r="FLY125" s="953"/>
      <c r="FLZ125" s="953"/>
      <c r="FMA125" s="953"/>
      <c r="FMB125" s="953"/>
      <c r="FMC125" s="953"/>
      <c r="FMD125" s="953"/>
      <c r="FME125" s="953"/>
      <c r="FMF125" s="953"/>
      <c r="FMG125" s="953"/>
      <c r="FMH125" s="953"/>
      <c r="FMI125" s="953"/>
      <c r="FMJ125" s="953"/>
      <c r="FMK125" s="953"/>
      <c r="FML125" s="953"/>
      <c r="FMM125" s="953"/>
      <c r="FMN125" s="953"/>
      <c r="FMO125" s="953"/>
      <c r="FMP125" s="953"/>
      <c r="FMQ125" s="953"/>
      <c r="FMR125" s="953"/>
      <c r="FMS125" s="953"/>
      <c r="FMT125" s="953"/>
      <c r="FMU125" s="953"/>
      <c r="FMV125" s="953"/>
      <c r="FMW125" s="953"/>
      <c r="FMX125" s="953"/>
      <c r="FMY125" s="953"/>
      <c r="FMZ125" s="953"/>
      <c r="FNA125" s="953"/>
      <c r="FNB125" s="953"/>
      <c r="FNC125" s="953"/>
      <c r="FND125" s="953"/>
      <c r="FNE125" s="953"/>
      <c r="FNF125" s="953"/>
      <c r="FNG125" s="953"/>
      <c r="FNH125" s="953"/>
      <c r="FNI125" s="953"/>
      <c r="FNJ125" s="953"/>
      <c r="FNK125" s="953"/>
      <c r="FNL125" s="953"/>
      <c r="FNM125" s="953"/>
      <c r="FNN125" s="953"/>
      <c r="FNO125" s="953"/>
      <c r="FNP125" s="953"/>
      <c r="FNQ125" s="953"/>
      <c r="FNR125" s="953"/>
      <c r="FNS125" s="953"/>
      <c r="FNT125" s="953"/>
      <c r="FNU125" s="953"/>
      <c r="FNV125" s="953"/>
      <c r="FNW125" s="953"/>
      <c r="FNX125" s="953"/>
      <c r="FNY125" s="953"/>
      <c r="FNZ125" s="953"/>
      <c r="FOA125" s="953"/>
      <c r="FOB125" s="953"/>
      <c r="FOC125" s="953"/>
      <c r="FOD125" s="953"/>
      <c r="FOE125" s="953"/>
      <c r="FOF125" s="953"/>
      <c r="FOG125" s="953"/>
      <c r="FOH125" s="953"/>
      <c r="FOI125" s="953"/>
      <c r="FOJ125" s="953"/>
      <c r="FOK125" s="953"/>
      <c r="FOL125" s="953"/>
      <c r="FOM125" s="953"/>
      <c r="FON125" s="953"/>
      <c r="FOO125" s="953"/>
      <c r="FOP125" s="953"/>
      <c r="FOQ125" s="953"/>
      <c r="FOR125" s="953"/>
      <c r="FOS125" s="953"/>
      <c r="FOT125" s="953"/>
      <c r="FOU125" s="953"/>
      <c r="FOV125" s="953"/>
      <c r="FOW125" s="953"/>
      <c r="FOX125" s="953"/>
      <c r="FOY125" s="953"/>
      <c r="FOZ125" s="953"/>
      <c r="FPA125" s="953"/>
      <c r="FPB125" s="953"/>
      <c r="FPC125" s="953"/>
      <c r="FPD125" s="953"/>
      <c r="FPE125" s="953"/>
      <c r="FPF125" s="953"/>
      <c r="FPG125" s="953"/>
      <c r="FPH125" s="953"/>
      <c r="FPI125" s="953"/>
      <c r="FPJ125" s="953"/>
      <c r="FPK125" s="953"/>
      <c r="FPL125" s="953"/>
      <c r="FPM125" s="953"/>
      <c r="FPN125" s="953"/>
      <c r="FPO125" s="953"/>
      <c r="FPP125" s="953"/>
      <c r="FPQ125" s="953"/>
      <c r="FPR125" s="953"/>
      <c r="FPS125" s="953"/>
      <c r="FPT125" s="953"/>
      <c r="FPU125" s="953"/>
      <c r="FPV125" s="953"/>
      <c r="FPW125" s="953"/>
      <c r="FPX125" s="953"/>
      <c r="FPY125" s="953"/>
      <c r="FPZ125" s="953"/>
      <c r="FQA125" s="953"/>
      <c r="FQB125" s="953"/>
      <c r="FQC125" s="953"/>
      <c r="FQD125" s="953"/>
      <c r="FQE125" s="953"/>
      <c r="FQF125" s="953"/>
      <c r="FQG125" s="953"/>
      <c r="FQH125" s="953"/>
      <c r="FQI125" s="953"/>
      <c r="FQJ125" s="953"/>
      <c r="FQK125" s="953"/>
      <c r="FQL125" s="953"/>
      <c r="FQM125" s="953"/>
      <c r="FQN125" s="953"/>
      <c r="FQO125" s="953"/>
      <c r="FQP125" s="953"/>
      <c r="FQQ125" s="953"/>
      <c r="FQR125" s="953"/>
      <c r="FQS125" s="953"/>
      <c r="FQT125" s="953"/>
      <c r="FQU125" s="953"/>
      <c r="FQV125" s="953"/>
      <c r="FQW125" s="953"/>
      <c r="FQX125" s="953"/>
      <c r="FQY125" s="953"/>
      <c r="FQZ125" s="953"/>
      <c r="FRA125" s="953"/>
      <c r="FRB125" s="953"/>
      <c r="FRC125" s="953"/>
      <c r="FRD125" s="953"/>
      <c r="FRE125" s="953"/>
      <c r="FRF125" s="953"/>
      <c r="FRG125" s="953"/>
      <c r="FRH125" s="953"/>
      <c r="FRI125" s="953"/>
      <c r="FRJ125" s="953"/>
      <c r="FRK125" s="953"/>
      <c r="FRL125" s="953"/>
      <c r="FRM125" s="953"/>
      <c r="FRN125" s="953"/>
      <c r="FRO125" s="953"/>
      <c r="FRP125" s="953"/>
      <c r="FRQ125" s="953"/>
      <c r="FRR125" s="953"/>
      <c r="FRS125" s="953"/>
      <c r="FRT125" s="953"/>
      <c r="FRU125" s="953"/>
      <c r="FRV125" s="953"/>
      <c r="FRW125" s="953"/>
      <c r="FRX125" s="953"/>
      <c r="FRY125" s="953"/>
      <c r="FRZ125" s="953"/>
      <c r="FSA125" s="953"/>
      <c r="FSB125" s="953"/>
      <c r="FSC125" s="953"/>
      <c r="FSD125" s="953"/>
      <c r="FSE125" s="953"/>
      <c r="FSF125" s="953"/>
      <c r="FSG125" s="953"/>
      <c r="FSH125" s="953"/>
      <c r="FSI125" s="953"/>
      <c r="FSJ125" s="953"/>
      <c r="FSK125" s="953"/>
      <c r="FSL125" s="953"/>
      <c r="FSM125" s="953"/>
      <c r="FSN125" s="953"/>
      <c r="FSO125" s="953"/>
      <c r="FSP125" s="953"/>
      <c r="FSQ125" s="953"/>
      <c r="FSR125" s="953"/>
      <c r="FSS125" s="953"/>
      <c r="FST125" s="953"/>
      <c r="FSU125" s="953"/>
      <c r="FSV125" s="953"/>
      <c r="FSW125" s="953"/>
      <c r="FSX125" s="953"/>
      <c r="FSY125" s="953"/>
      <c r="FSZ125" s="953"/>
      <c r="FTA125" s="953"/>
      <c r="FTB125" s="953"/>
      <c r="FTC125" s="953"/>
      <c r="FTD125" s="953"/>
      <c r="FTE125" s="953"/>
      <c r="FTF125" s="953"/>
      <c r="FTG125" s="953"/>
      <c r="FTH125" s="953"/>
      <c r="FTI125" s="953"/>
      <c r="FTJ125" s="953"/>
      <c r="FTK125" s="953"/>
      <c r="FTL125" s="953"/>
      <c r="FTM125" s="953"/>
      <c r="FTN125" s="953"/>
      <c r="FTO125" s="953"/>
      <c r="FTP125" s="953"/>
      <c r="FTQ125" s="953"/>
      <c r="FTR125" s="953"/>
      <c r="FTS125" s="953"/>
      <c r="FTT125" s="953"/>
      <c r="FTU125" s="953"/>
      <c r="FTV125" s="953"/>
      <c r="FTW125" s="953"/>
      <c r="FTX125" s="953"/>
      <c r="FTY125" s="953"/>
      <c r="FTZ125" s="953"/>
      <c r="FUA125" s="953"/>
      <c r="FUB125" s="953"/>
      <c r="FUC125" s="953"/>
      <c r="FUD125" s="953"/>
      <c r="FUE125" s="953"/>
      <c r="FUF125" s="953"/>
      <c r="FUG125" s="953"/>
      <c r="FUH125" s="953"/>
      <c r="FUI125" s="953"/>
      <c r="FUJ125" s="953"/>
      <c r="FUK125" s="953"/>
      <c r="FUL125" s="953"/>
      <c r="FUM125" s="953"/>
      <c r="FUN125" s="953"/>
      <c r="FUO125" s="953"/>
      <c r="FUP125" s="953"/>
      <c r="FUQ125" s="953"/>
      <c r="FUR125" s="953"/>
      <c r="FUS125" s="953"/>
      <c r="FUT125" s="953"/>
      <c r="FUU125" s="953"/>
      <c r="FUV125" s="953"/>
      <c r="FUW125" s="953"/>
      <c r="FUX125" s="953"/>
      <c r="FUY125" s="953"/>
      <c r="FUZ125" s="953"/>
      <c r="FVA125" s="953"/>
      <c r="FVB125" s="953"/>
      <c r="FVC125" s="953"/>
      <c r="FVD125" s="953"/>
      <c r="FVE125" s="953"/>
      <c r="FVF125" s="953"/>
      <c r="FVG125" s="953"/>
      <c r="FVH125" s="953"/>
      <c r="FVI125" s="953"/>
      <c r="FVJ125" s="953"/>
      <c r="FVK125" s="953"/>
      <c r="FVL125" s="953"/>
      <c r="FVM125" s="953"/>
      <c r="FVN125" s="953"/>
      <c r="FVO125" s="953"/>
      <c r="FVP125" s="953"/>
      <c r="FVQ125" s="953"/>
      <c r="FVR125" s="953"/>
      <c r="FVS125" s="953"/>
      <c r="FVT125" s="953"/>
      <c r="FVU125" s="953"/>
      <c r="FVV125" s="953"/>
      <c r="FVW125" s="953"/>
      <c r="FVX125" s="953"/>
      <c r="FVY125" s="953"/>
      <c r="FVZ125" s="953"/>
      <c r="FWA125" s="953"/>
      <c r="FWB125" s="953"/>
      <c r="FWC125" s="953"/>
      <c r="FWD125" s="953"/>
      <c r="FWE125" s="953"/>
      <c r="FWF125" s="953"/>
      <c r="FWG125" s="953"/>
      <c r="FWH125" s="953"/>
      <c r="FWI125" s="953"/>
      <c r="FWJ125" s="953"/>
      <c r="FWK125" s="953"/>
      <c r="FWL125" s="953"/>
      <c r="FWM125" s="953"/>
      <c r="FWN125" s="953"/>
      <c r="FWO125" s="953"/>
      <c r="FWP125" s="953"/>
      <c r="FWQ125" s="953"/>
      <c r="FWR125" s="953"/>
      <c r="FWS125" s="953"/>
      <c r="FWT125" s="953"/>
      <c r="FWU125" s="953"/>
      <c r="FWV125" s="953"/>
      <c r="FWW125" s="953"/>
      <c r="FWX125" s="953"/>
      <c r="FWY125" s="953"/>
      <c r="FWZ125" s="953"/>
      <c r="FXA125" s="953"/>
      <c r="FXB125" s="953"/>
      <c r="FXC125" s="953"/>
      <c r="FXD125" s="953"/>
      <c r="FXE125" s="953"/>
      <c r="FXF125" s="953"/>
      <c r="FXG125" s="953"/>
      <c r="FXH125" s="953"/>
      <c r="FXI125" s="953"/>
      <c r="FXJ125" s="953"/>
      <c r="FXK125" s="953"/>
      <c r="FXL125" s="953"/>
      <c r="FXM125" s="953"/>
      <c r="FXN125" s="953"/>
      <c r="FXO125" s="953"/>
      <c r="FXP125" s="953"/>
      <c r="FXQ125" s="953"/>
      <c r="FXR125" s="953"/>
      <c r="FXS125" s="953"/>
      <c r="FXT125" s="953"/>
      <c r="FXU125" s="953"/>
      <c r="FXV125" s="953"/>
      <c r="FXW125" s="953"/>
      <c r="FXX125" s="953"/>
      <c r="FXY125" s="953"/>
      <c r="FXZ125" s="953"/>
      <c r="FYA125" s="953"/>
      <c r="FYB125" s="953"/>
      <c r="FYC125" s="953"/>
      <c r="FYD125" s="953"/>
      <c r="FYE125" s="953"/>
      <c r="FYF125" s="953"/>
      <c r="FYG125" s="953"/>
      <c r="FYH125" s="953"/>
      <c r="FYI125" s="953"/>
      <c r="FYJ125" s="953"/>
      <c r="FYK125" s="953"/>
      <c r="FYL125" s="953"/>
      <c r="FYM125" s="953"/>
      <c r="FYN125" s="953"/>
      <c r="FYO125" s="953"/>
      <c r="FYP125" s="953"/>
      <c r="FYQ125" s="953"/>
      <c r="FYR125" s="953"/>
      <c r="FYS125" s="953"/>
      <c r="FYT125" s="953"/>
      <c r="FYU125" s="953"/>
      <c r="FYV125" s="953"/>
      <c r="FYW125" s="953"/>
      <c r="FYX125" s="953"/>
      <c r="FYY125" s="953"/>
      <c r="FYZ125" s="953"/>
      <c r="FZA125" s="953"/>
      <c r="FZB125" s="953"/>
      <c r="FZC125" s="953"/>
      <c r="FZD125" s="953"/>
      <c r="FZE125" s="953"/>
      <c r="FZF125" s="953"/>
      <c r="FZG125" s="953"/>
      <c r="FZH125" s="953"/>
      <c r="FZI125" s="953"/>
      <c r="FZJ125" s="953"/>
      <c r="FZK125" s="953"/>
      <c r="FZL125" s="953"/>
      <c r="FZM125" s="953"/>
      <c r="FZN125" s="953"/>
      <c r="FZO125" s="953"/>
      <c r="FZP125" s="953"/>
      <c r="FZQ125" s="953"/>
      <c r="FZR125" s="953"/>
      <c r="FZS125" s="953"/>
      <c r="FZT125" s="953"/>
      <c r="FZU125" s="953"/>
      <c r="FZV125" s="953"/>
      <c r="FZW125" s="953"/>
      <c r="FZX125" s="953"/>
      <c r="FZY125" s="953"/>
      <c r="FZZ125" s="953"/>
      <c r="GAA125" s="953"/>
      <c r="GAB125" s="953"/>
      <c r="GAC125" s="953"/>
      <c r="GAD125" s="953"/>
      <c r="GAE125" s="953"/>
      <c r="GAF125" s="953"/>
      <c r="GAG125" s="953"/>
      <c r="GAH125" s="953"/>
      <c r="GAI125" s="953"/>
      <c r="GAJ125" s="953"/>
      <c r="GAK125" s="953"/>
      <c r="GAL125" s="953"/>
      <c r="GAM125" s="953"/>
      <c r="GAN125" s="953"/>
      <c r="GAO125" s="953"/>
      <c r="GAP125" s="953"/>
      <c r="GAQ125" s="953"/>
      <c r="GAR125" s="953"/>
      <c r="GAS125" s="953"/>
      <c r="GAT125" s="953"/>
      <c r="GAU125" s="953"/>
      <c r="GAV125" s="953"/>
      <c r="GAW125" s="953"/>
      <c r="GAX125" s="953"/>
      <c r="GAY125" s="953"/>
      <c r="GAZ125" s="953"/>
      <c r="GBA125" s="953"/>
      <c r="GBB125" s="953"/>
      <c r="GBC125" s="953"/>
      <c r="GBD125" s="953"/>
      <c r="GBE125" s="953"/>
      <c r="GBF125" s="953"/>
      <c r="GBG125" s="953"/>
      <c r="GBH125" s="953"/>
      <c r="GBI125" s="953"/>
      <c r="GBJ125" s="953"/>
      <c r="GBK125" s="953"/>
      <c r="GBL125" s="953"/>
      <c r="GBM125" s="953"/>
      <c r="GBN125" s="953"/>
      <c r="GBO125" s="953"/>
      <c r="GBP125" s="953"/>
      <c r="GBQ125" s="953"/>
      <c r="GBR125" s="953"/>
      <c r="GBS125" s="953"/>
      <c r="GBT125" s="953"/>
      <c r="GBU125" s="953"/>
      <c r="GBV125" s="953"/>
      <c r="GBW125" s="953"/>
      <c r="GBX125" s="953"/>
      <c r="GBY125" s="953"/>
      <c r="GBZ125" s="953"/>
      <c r="GCA125" s="953"/>
      <c r="GCB125" s="953"/>
      <c r="GCC125" s="953"/>
      <c r="GCD125" s="953"/>
      <c r="GCE125" s="953"/>
      <c r="GCF125" s="953"/>
      <c r="GCG125" s="953"/>
      <c r="GCH125" s="953"/>
      <c r="GCI125" s="953"/>
      <c r="GCJ125" s="953"/>
      <c r="GCK125" s="953"/>
      <c r="GCL125" s="953"/>
      <c r="GCM125" s="953"/>
      <c r="GCN125" s="953"/>
      <c r="GCO125" s="953"/>
      <c r="GCP125" s="953"/>
      <c r="GCQ125" s="953"/>
      <c r="GCR125" s="953"/>
      <c r="GCS125" s="953"/>
      <c r="GCT125" s="953"/>
      <c r="GCU125" s="953"/>
      <c r="GCV125" s="953"/>
      <c r="GCW125" s="953"/>
      <c r="GCX125" s="953"/>
      <c r="GCY125" s="953"/>
      <c r="GCZ125" s="953"/>
      <c r="GDA125" s="953"/>
      <c r="GDB125" s="953"/>
      <c r="GDC125" s="953"/>
      <c r="GDD125" s="953"/>
      <c r="GDE125" s="953"/>
      <c r="GDF125" s="953"/>
      <c r="GDG125" s="953"/>
      <c r="GDH125" s="953"/>
      <c r="GDI125" s="953"/>
      <c r="GDJ125" s="953"/>
      <c r="GDK125" s="953"/>
      <c r="GDL125" s="953"/>
      <c r="GDM125" s="953"/>
      <c r="GDN125" s="953"/>
      <c r="GDO125" s="953"/>
      <c r="GDP125" s="953"/>
      <c r="GDQ125" s="953"/>
      <c r="GDR125" s="953"/>
      <c r="GDS125" s="953"/>
      <c r="GDT125" s="953"/>
      <c r="GDU125" s="953"/>
      <c r="GDV125" s="953"/>
      <c r="GDW125" s="953"/>
      <c r="GDX125" s="953"/>
      <c r="GDY125" s="953"/>
      <c r="GDZ125" s="953"/>
      <c r="GEA125" s="953"/>
      <c r="GEB125" s="953"/>
      <c r="GEC125" s="953"/>
      <c r="GED125" s="953"/>
      <c r="GEE125" s="953"/>
      <c r="GEF125" s="953"/>
      <c r="GEG125" s="953"/>
      <c r="GEH125" s="953"/>
      <c r="GEI125" s="953"/>
      <c r="GEJ125" s="953"/>
      <c r="GEK125" s="953"/>
      <c r="GEL125" s="953"/>
      <c r="GEM125" s="953"/>
      <c r="GEN125" s="953"/>
      <c r="GEO125" s="953"/>
      <c r="GEP125" s="953"/>
      <c r="GEQ125" s="953"/>
      <c r="GER125" s="953"/>
      <c r="GES125" s="953"/>
      <c r="GET125" s="953"/>
      <c r="GEU125" s="953"/>
      <c r="GEV125" s="953"/>
      <c r="GEW125" s="953"/>
      <c r="GEX125" s="953"/>
      <c r="GEY125" s="953"/>
      <c r="GEZ125" s="953"/>
      <c r="GFA125" s="953"/>
      <c r="GFB125" s="953"/>
      <c r="GFC125" s="953"/>
      <c r="GFD125" s="953"/>
      <c r="GFE125" s="953"/>
      <c r="GFF125" s="953"/>
      <c r="GFG125" s="953"/>
      <c r="GFH125" s="953"/>
      <c r="GFI125" s="953"/>
      <c r="GFJ125" s="953"/>
      <c r="GFK125" s="953"/>
      <c r="GFL125" s="953"/>
      <c r="GFM125" s="953"/>
      <c r="GFN125" s="953"/>
      <c r="GFO125" s="953"/>
      <c r="GFP125" s="953"/>
      <c r="GFQ125" s="953"/>
      <c r="GFR125" s="953"/>
      <c r="GFS125" s="953"/>
      <c r="GFT125" s="953"/>
      <c r="GFU125" s="953"/>
      <c r="GFV125" s="953"/>
      <c r="GFW125" s="953"/>
      <c r="GFX125" s="953"/>
      <c r="GFY125" s="953"/>
      <c r="GFZ125" s="953"/>
      <c r="GGA125" s="953"/>
      <c r="GGB125" s="953"/>
      <c r="GGC125" s="953"/>
      <c r="GGD125" s="953"/>
      <c r="GGE125" s="953"/>
      <c r="GGF125" s="953"/>
      <c r="GGG125" s="953"/>
      <c r="GGH125" s="953"/>
      <c r="GGI125" s="953"/>
      <c r="GGJ125" s="953"/>
      <c r="GGK125" s="953"/>
      <c r="GGL125" s="953"/>
      <c r="GGM125" s="953"/>
      <c r="GGN125" s="953"/>
      <c r="GGO125" s="953"/>
      <c r="GGP125" s="953"/>
      <c r="GGQ125" s="953"/>
      <c r="GGR125" s="953"/>
      <c r="GGS125" s="953"/>
      <c r="GGT125" s="953"/>
      <c r="GGU125" s="953"/>
      <c r="GGV125" s="953"/>
      <c r="GGW125" s="953"/>
      <c r="GGX125" s="953"/>
      <c r="GGY125" s="953"/>
      <c r="GGZ125" s="953"/>
      <c r="GHA125" s="953"/>
      <c r="GHB125" s="953"/>
      <c r="GHC125" s="953"/>
      <c r="GHD125" s="953"/>
      <c r="GHE125" s="953"/>
      <c r="GHF125" s="953"/>
      <c r="GHG125" s="953"/>
      <c r="GHH125" s="953"/>
      <c r="GHI125" s="953"/>
      <c r="GHJ125" s="953"/>
      <c r="GHK125" s="953"/>
      <c r="GHL125" s="953"/>
      <c r="GHM125" s="953"/>
      <c r="GHN125" s="953"/>
      <c r="GHO125" s="953"/>
      <c r="GHP125" s="953"/>
      <c r="GHQ125" s="953"/>
      <c r="GHR125" s="953"/>
      <c r="GHS125" s="953"/>
      <c r="GHT125" s="953"/>
      <c r="GHU125" s="953"/>
      <c r="GHV125" s="953"/>
      <c r="GHW125" s="953"/>
      <c r="GHX125" s="953"/>
      <c r="GHY125" s="953"/>
      <c r="GHZ125" s="953"/>
      <c r="GIA125" s="953"/>
      <c r="GIB125" s="953"/>
      <c r="GIC125" s="953"/>
      <c r="GID125" s="953"/>
      <c r="GIE125" s="953"/>
      <c r="GIF125" s="953"/>
      <c r="GIG125" s="953"/>
      <c r="GIH125" s="953"/>
      <c r="GII125" s="953"/>
      <c r="GIJ125" s="953"/>
      <c r="GIK125" s="953"/>
      <c r="GIL125" s="953"/>
      <c r="GIM125" s="953"/>
      <c r="GIN125" s="953"/>
      <c r="GIO125" s="953"/>
      <c r="GIP125" s="953"/>
      <c r="GIQ125" s="953"/>
      <c r="GIR125" s="953"/>
      <c r="GIS125" s="953"/>
      <c r="GIT125" s="953"/>
      <c r="GIU125" s="953"/>
      <c r="GIV125" s="953"/>
      <c r="GIW125" s="953"/>
      <c r="GIX125" s="953"/>
      <c r="GIY125" s="953"/>
      <c r="GIZ125" s="953"/>
      <c r="GJA125" s="953"/>
      <c r="GJB125" s="953"/>
      <c r="GJC125" s="953"/>
      <c r="GJD125" s="953"/>
      <c r="GJE125" s="953"/>
      <c r="GJF125" s="953"/>
      <c r="GJG125" s="953"/>
      <c r="GJH125" s="953"/>
      <c r="GJI125" s="953"/>
      <c r="GJJ125" s="953"/>
      <c r="GJK125" s="953"/>
      <c r="GJL125" s="953"/>
      <c r="GJM125" s="953"/>
      <c r="GJN125" s="953"/>
      <c r="GJO125" s="953"/>
      <c r="GJP125" s="953"/>
      <c r="GJQ125" s="953"/>
      <c r="GJR125" s="953"/>
      <c r="GJS125" s="953"/>
      <c r="GJT125" s="953"/>
      <c r="GJU125" s="953"/>
      <c r="GJV125" s="953"/>
      <c r="GJW125" s="953"/>
      <c r="GJX125" s="953"/>
      <c r="GJY125" s="953"/>
      <c r="GJZ125" s="953"/>
      <c r="GKA125" s="953"/>
      <c r="GKB125" s="953"/>
      <c r="GKC125" s="953"/>
      <c r="GKD125" s="953"/>
      <c r="GKE125" s="953"/>
      <c r="GKF125" s="953"/>
      <c r="GKG125" s="953"/>
      <c r="GKH125" s="953"/>
      <c r="GKI125" s="953"/>
      <c r="GKJ125" s="953"/>
      <c r="GKK125" s="953"/>
      <c r="GKL125" s="953"/>
      <c r="GKM125" s="953"/>
      <c r="GKN125" s="953"/>
      <c r="GKO125" s="953"/>
      <c r="GKP125" s="953"/>
      <c r="GKQ125" s="953"/>
      <c r="GKR125" s="953"/>
      <c r="GKS125" s="953"/>
      <c r="GKT125" s="953"/>
      <c r="GKU125" s="953"/>
      <c r="GKV125" s="953"/>
      <c r="GKW125" s="953"/>
      <c r="GKX125" s="953"/>
      <c r="GKY125" s="953"/>
      <c r="GKZ125" s="953"/>
      <c r="GLA125" s="953"/>
      <c r="GLB125" s="953"/>
      <c r="GLC125" s="953"/>
      <c r="GLD125" s="953"/>
      <c r="GLE125" s="953"/>
      <c r="GLF125" s="953"/>
      <c r="GLG125" s="953"/>
      <c r="GLH125" s="953"/>
      <c r="GLI125" s="953"/>
      <c r="GLJ125" s="953"/>
      <c r="GLK125" s="953"/>
      <c r="GLL125" s="953"/>
      <c r="GLM125" s="953"/>
      <c r="GLN125" s="953"/>
      <c r="GLO125" s="953"/>
      <c r="GLP125" s="953"/>
      <c r="GLQ125" s="953"/>
      <c r="GLR125" s="953"/>
      <c r="GLS125" s="953"/>
      <c r="GLT125" s="953"/>
      <c r="GLU125" s="953"/>
      <c r="GLV125" s="953"/>
      <c r="GLW125" s="953"/>
      <c r="GLX125" s="953"/>
      <c r="GLY125" s="953"/>
      <c r="GLZ125" s="953"/>
      <c r="GMA125" s="953"/>
      <c r="GMB125" s="953"/>
      <c r="GMC125" s="953"/>
      <c r="GMD125" s="953"/>
      <c r="GME125" s="953"/>
      <c r="GMF125" s="953"/>
      <c r="GMG125" s="953"/>
      <c r="GMH125" s="953"/>
      <c r="GMI125" s="953"/>
      <c r="GMJ125" s="953"/>
      <c r="GMK125" s="953"/>
      <c r="GML125" s="953"/>
      <c r="GMM125" s="953"/>
      <c r="GMN125" s="953"/>
      <c r="GMO125" s="953"/>
      <c r="GMP125" s="953"/>
      <c r="GMQ125" s="953"/>
      <c r="GMR125" s="953"/>
      <c r="GMS125" s="953"/>
      <c r="GMT125" s="953"/>
      <c r="GMU125" s="953"/>
      <c r="GMV125" s="953"/>
      <c r="GMW125" s="953"/>
      <c r="GMX125" s="953"/>
      <c r="GMY125" s="953"/>
      <c r="GMZ125" s="953"/>
      <c r="GNA125" s="953"/>
      <c r="GNB125" s="953"/>
      <c r="GNC125" s="953"/>
      <c r="GND125" s="953"/>
      <c r="GNE125" s="953"/>
      <c r="GNF125" s="953"/>
      <c r="GNG125" s="953"/>
      <c r="GNH125" s="953"/>
      <c r="GNI125" s="953"/>
      <c r="GNJ125" s="953"/>
      <c r="GNK125" s="953"/>
      <c r="GNL125" s="953"/>
      <c r="GNM125" s="953"/>
      <c r="GNN125" s="953"/>
      <c r="GNO125" s="953"/>
      <c r="GNP125" s="953"/>
      <c r="GNQ125" s="953"/>
      <c r="GNR125" s="953"/>
      <c r="GNS125" s="953"/>
      <c r="GNT125" s="953"/>
      <c r="GNU125" s="953"/>
      <c r="GNV125" s="953"/>
      <c r="GNW125" s="953"/>
      <c r="GNX125" s="953"/>
      <c r="GNY125" s="953"/>
      <c r="GNZ125" s="953"/>
      <c r="GOA125" s="953"/>
      <c r="GOB125" s="953"/>
      <c r="GOC125" s="953"/>
      <c r="GOD125" s="953"/>
      <c r="GOE125" s="953"/>
      <c r="GOF125" s="953"/>
      <c r="GOG125" s="953"/>
      <c r="GOH125" s="953"/>
      <c r="GOI125" s="953"/>
      <c r="GOJ125" s="953"/>
      <c r="GOK125" s="953"/>
      <c r="GOL125" s="953"/>
      <c r="GOM125" s="953"/>
      <c r="GON125" s="953"/>
      <c r="GOO125" s="953"/>
      <c r="GOP125" s="953"/>
      <c r="GOQ125" s="953"/>
      <c r="GOR125" s="953"/>
      <c r="GOS125" s="953"/>
      <c r="GOT125" s="953"/>
      <c r="GOU125" s="953"/>
      <c r="GOV125" s="953"/>
      <c r="GOW125" s="953"/>
      <c r="GOX125" s="953"/>
      <c r="GOY125" s="953"/>
      <c r="GOZ125" s="953"/>
      <c r="GPA125" s="953"/>
      <c r="GPB125" s="953"/>
      <c r="GPC125" s="953"/>
      <c r="GPD125" s="953"/>
      <c r="GPE125" s="953"/>
      <c r="GPF125" s="953"/>
      <c r="GPG125" s="953"/>
      <c r="GPH125" s="953"/>
      <c r="GPI125" s="953"/>
      <c r="GPJ125" s="953"/>
      <c r="GPK125" s="953"/>
      <c r="GPL125" s="953"/>
      <c r="GPM125" s="953"/>
      <c r="GPN125" s="953"/>
      <c r="GPO125" s="953"/>
      <c r="GPP125" s="953"/>
      <c r="GPQ125" s="953"/>
      <c r="GPR125" s="953"/>
      <c r="GPS125" s="953"/>
      <c r="GPT125" s="953"/>
      <c r="GPU125" s="953"/>
      <c r="GPV125" s="953"/>
      <c r="GPW125" s="953"/>
      <c r="GPX125" s="953"/>
      <c r="GPY125" s="953"/>
      <c r="GPZ125" s="953"/>
      <c r="GQA125" s="953"/>
      <c r="GQB125" s="953"/>
      <c r="GQC125" s="953"/>
      <c r="GQD125" s="953"/>
      <c r="GQE125" s="953"/>
      <c r="GQF125" s="953"/>
      <c r="GQG125" s="953"/>
      <c r="GQH125" s="953"/>
      <c r="GQI125" s="953"/>
      <c r="GQJ125" s="953"/>
      <c r="GQK125" s="953"/>
      <c r="GQL125" s="953"/>
      <c r="GQM125" s="953"/>
      <c r="GQN125" s="953"/>
      <c r="GQO125" s="953"/>
      <c r="GQP125" s="953"/>
      <c r="GQQ125" s="953"/>
      <c r="GQR125" s="953"/>
      <c r="GQS125" s="953"/>
      <c r="GQT125" s="953"/>
      <c r="GQU125" s="953"/>
      <c r="GQV125" s="953"/>
      <c r="GQW125" s="953"/>
      <c r="GQX125" s="953"/>
      <c r="GQY125" s="953"/>
      <c r="GQZ125" s="953"/>
      <c r="GRA125" s="953"/>
      <c r="GRB125" s="953"/>
      <c r="GRC125" s="953"/>
      <c r="GRD125" s="953"/>
      <c r="GRE125" s="953"/>
      <c r="GRF125" s="953"/>
      <c r="GRG125" s="953"/>
      <c r="GRH125" s="953"/>
      <c r="GRI125" s="953"/>
      <c r="GRJ125" s="953"/>
      <c r="GRK125" s="953"/>
      <c r="GRL125" s="953"/>
      <c r="GRM125" s="953"/>
      <c r="GRN125" s="953"/>
      <c r="GRO125" s="953"/>
      <c r="GRP125" s="953"/>
      <c r="GRQ125" s="953"/>
      <c r="GRR125" s="953"/>
      <c r="GRS125" s="953"/>
      <c r="GRT125" s="953"/>
      <c r="GRU125" s="953"/>
      <c r="GRV125" s="953"/>
      <c r="GRW125" s="953"/>
      <c r="GRX125" s="953"/>
      <c r="GRY125" s="953"/>
      <c r="GRZ125" s="953"/>
      <c r="GSA125" s="953"/>
      <c r="GSB125" s="953"/>
      <c r="GSC125" s="953"/>
      <c r="GSD125" s="953"/>
      <c r="GSE125" s="953"/>
      <c r="GSF125" s="953"/>
      <c r="GSG125" s="953"/>
      <c r="GSH125" s="953"/>
      <c r="GSI125" s="953"/>
      <c r="GSJ125" s="953"/>
      <c r="GSK125" s="953"/>
      <c r="GSL125" s="953"/>
      <c r="GSM125" s="953"/>
      <c r="GSN125" s="953"/>
      <c r="GSO125" s="953"/>
      <c r="GSP125" s="953"/>
      <c r="GSQ125" s="953"/>
      <c r="GSR125" s="953"/>
      <c r="GSS125" s="953"/>
      <c r="GST125" s="953"/>
      <c r="GSU125" s="953"/>
      <c r="GSV125" s="953"/>
      <c r="GSW125" s="953"/>
      <c r="GSX125" s="953"/>
      <c r="GSY125" s="953"/>
      <c r="GSZ125" s="953"/>
      <c r="GTA125" s="953"/>
      <c r="GTB125" s="953"/>
      <c r="GTC125" s="953"/>
      <c r="GTD125" s="953"/>
      <c r="GTE125" s="953"/>
      <c r="GTF125" s="953"/>
      <c r="GTG125" s="953"/>
      <c r="GTH125" s="953"/>
      <c r="GTI125" s="953"/>
      <c r="GTJ125" s="953"/>
      <c r="GTK125" s="953"/>
      <c r="GTL125" s="953"/>
      <c r="GTM125" s="953"/>
      <c r="GTN125" s="953"/>
      <c r="GTO125" s="953"/>
      <c r="GTP125" s="953"/>
      <c r="GTQ125" s="953"/>
      <c r="GTR125" s="953"/>
      <c r="GTS125" s="953"/>
      <c r="GTT125" s="953"/>
      <c r="GTU125" s="953"/>
      <c r="GTV125" s="953"/>
      <c r="GTW125" s="953"/>
      <c r="GTX125" s="953"/>
      <c r="GTY125" s="953"/>
      <c r="GTZ125" s="953"/>
      <c r="GUA125" s="953"/>
      <c r="GUB125" s="953"/>
      <c r="GUC125" s="953"/>
      <c r="GUD125" s="953"/>
      <c r="GUE125" s="953"/>
      <c r="GUF125" s="953"/>
      <c r="GUG125" s="953"/>
      <c r="GUH125" s="953"/>
      <c r="GUI125" s="953"/>
      <c r="GUJ125" s="953"/>
      <c r="GUK125" s="953"/>
      <c r="GUL125" s="953"/>
      <c r="GUM125" s="953"/>
      <c r="GUN125" s="953"/>
      <c r="GUO125" s="953"/>
      <c r="GUP125" s="953"/>
      <c r="GUQ125" s="953"/>
      <c r="GUR125" s="953"/>
      <c r="GUS125" s="953"/>
      <c r="GUT125" s="953"/>
      <c r="GUU125" s="953"/>
      <c r="GUV125" s="953"/>
      <c r="GUW125" s="953"/>
      <c r="GUX125" s="953"/>
      <c r="GUY125" s="953"/>
      <c r="GUZ125" s="953"/>
      <c r="GVA125" s="953"/>
      <c r="GVB125" s="953"/>
      <c r="GVC125" s="953"/>
      <c r="GVD125" s="953"/>
      <c r="GVE125" s="953"/>
      <c r="GVF125" s="953"/>
      <c r="GVG125" s="953"/>
      <c r="GVH125" s="953"/>
      <c r="GVI125" s="953"/>
      <c r="GVJ125" s="953"/>
      <c r="GVK125" s="953"/>
      <c r="GVL125" s="953"/>
      <c r="GVM125" s="953"/>
      <c r="GVN125" s="953"/>
      <c r="GVO125" s="953"/>
      <c r="GVP125" s="953"/>
      <c r="GVQ125" s="953"/>
      <c r="GVR125" s="953"/>
      <c r="GVS125" s="953"/>
      <c r="GVT125" s="953"/>
      <c r="GVU125" s="953"/>
      <c r="GVV125" s="953"/>
      <c r="GVW125" s="953"/>
      <c r="GVX125" s="953"/>
      <c r="GVY125" s="953"/>
      <c r="GVZ125" s="953"/>
      <c r="GWA125" s="953"/>
      <c r="GWB125" s="953"/>
      <c r="GWC125" s="953"/>
      <c r="GWD125" s="953"/>
      <c r="GWE125" s="953"/>
      <c r="GWF125" s="953"/>
      <c r="GWG125" s="953"/>
      <c r="GWH125" s="953"/>
      <c r="GWI125" s="953"/>
      <c r="GWJ125" s="953"/>
      <c r="GWK125" s="953"/>
      <c r="GWL125" s="953"/>
      <c r="GWM125" s="953"/>
      <c r="GWN125" s="953"/>
      <c r="GWO125" s="953"/>
      <c r="GWP125" s="953"/>
      <c r="GWQ125" s="953"/>
      <c r="GWR125" s="953"/>
      <c r="GWS125" s="953"/>
      <c r="GWT125" s="953"/>
      <c r="GWU125" s="953"/>
      <c r="GWV125" s="953"/>
      <c r="GWW125" s="953"/>
      <c r="GWX125" s="953"/>
      <c r="GWY125" s="953"/>
      <c r="GWZ125" s="953"/>
      <c r="GXA125" s="953"/>
      <c r="GXB125" s="953"/>
      <c r="GXC125" s="953"/>
      <c r="GXD125" s="953"/>
      <c r="GXE125" s="953"/>
      <c r="GXF125" s="953"/>
      <c r="GXG125" s="953"/>
      <c r="GXH125" s="953"/>
      <c r="GXI125" s="953"/>
      <c r="GXJ125" s="953"/>
      <c r="GXK125" s="953"/>
      <c r="GXL125" s="953"/>
      <c r="GXM125" s="953"/>
      <c r="GXN125" s="953"/>
      <c r="GXO125" s="953"/>
      <c r="GXP125" s="953"/>
      <c r="GXQ125" s="953"/>
      <c r="GXR125" s="953"/>
      <c r="GXS125" s="953"/>
      <c r="GXT125" s="953"/>
      <c r="GXU125" s="953"/>
      <c r="GXV125" s="953"/>
      <c r="GXW125" s="953"/>
      <c r="GXX125" s="953"/>
      <c r="GXY125" s="953"/>
      <c r="GXZ125" s="953"/>
      <c r="GYA125" s="953"/>
      <c r="GYB125" s="953"/>
      <c r="GYC125" s="953"/>
      <c r="GYD125" s="953"/>
      <c r="GYE125" s="953"/>
      <c r="GYF125" s="953"/>
      <c r="GYG125" s="953"/>
      <c r="GYH125" s="953"/>
      <c r="GYI125" s="953"/>
      <c r="GYJ125" s="953"/>
      <c r="GYK125" s="953"/>
      <c r="GYL125" s="953"/>
      <c r="GYM125" s="953"/>
      <c r="GYN125" s="953"/>
      <c r="GYO125" s="953"/>
      <c r="GYP125" s="953"/>
      <c r="GYQ125" s="953"/>
      <c r="GYR125" s="953"/>
      <c r="GYS125" s="953"/>
      <c r="GYT125" s="953"/>
      <c r="GYU125" s="953"/>
      <c r="GYV125" s="953"/>
      <c r="GYW125" s="953"/>
      <c r="GYX125" s="953"/>
      <c r="GYY125" s="953"/>
      <c r="GYZ125" s="953"/>
      <c r="GZA125" s="953"/>
      <c r="GZB125" s="953"/>
      <c r="GZC125" s="953"/>
      <c r="GZD125" s="953"/>
      <c r="GZE125" s="953"/>
      <c r="GZF125" s="953"/>
      <c r="GZG125" s="953"/>
      <c r="GZH125" s="953"/>
      <c r="GZI125" s="953"/>
      <c r="GZJ125" s="953"/>
      <c r="GZK125" s="953"/>
      <c r="GZL125" s="953"/>
      <c r="GZM125" s="953"/>
      <c r="GZN125" s="953"/>
      <c r="GZO125" s="953"/>
      <c r="GZP125" s="953"/>
      <c r="GZQ125" s="953"/>
      <c r="GZR125" s="953"/>
      <c r="GZS125" s="953"/>
      <c r="GZT125" s="953"/>
      <c r="GZU125" s="953"/>
      <c r="GZV125" s="953"/>
      <c r="GZW125" s="953"/>
      <c r="GZX125" s="953"/>
      <c r="GZY125" s="953"/>
      <c r="GZZ125" s="953"/>
      <c r="HAA125" s="953"/>
      <c r="HAB125" s="953"/>
      <c r="HAC125" s="953"/>
      <c r="HAD125" s="953"/>
      <c r="HAE125" s="953"/>
      <c r="HAF125" s="953"/>
      <c r="HAG125" s="953"/>
      <c r="HAH125" s="953"/>
      <c r="HAI125" s="953"/>
      <c r="HAJ125" s="953"/>
      <c r="HAK125" s="953"/>
      <c r="HAL125" s="953"/>
      <c r="HAM125" s="953"/>
      <c r="HAN125" s="953"/>
      <c r="HAO125" s="953"/>
      <c r="HAP125" s="953"/>
      <c r="HAQ125" s="953"/>
      <c r="HAR125" s="953"/>
      <c r="HAS125" s="953"/>
      <c r="HAT125" s="953"/>
      <c r="HAU125" s="953"/>
      <c r="HAV125" s="953"/>
      <c r="HAW125" s="953"/>
      <c r="HAX125" s="953"/>
      <c r="HAY125" s="953"/>
      <c r="HAZ125" s="953"/>
      <c r="HBA125" s="953"/>
      <c r="HBB125" s="953"/>
      <c r="HBC125" s="953"/>
      <c r="HBD125" s="953"/>
      <c r="HBE125" s="953"/>
      <c r="HBF125" s="953"/>
      <c r="HBG125" s="953"/>
      <c r="HBH125" s="953"/>
      <c r="HBI125" s="953"/>
      <c r="HBJ125" s="953"/>
      <c r="HBK125" s="953"/>
      <c r="HBL125" s="953"/>
      <c r="HBM125" s="953"/>
      <c r="HBN125" s="953"/>
      <c r="HBO125" s="953"/>
      <c r="HBP125" s="953"/>
      <c r="HBQ125" s="953"/>
      <c r="HBR125" s="953"/>
      <c r="HBS125" s="953"/>
      <c r="HBT125" s="953"/>
      <c r="HBU125" s="953"/>
      <c r="HBV125" s="953"/>
      <c r="HBW125" s="953"/>
      <c r="HBX125" s="953"/>
      <c r="HBY125" s="953"/>
      <c r="HBZ125" s="953"/>
      <c r="HCA125" s="953"/>
      <c r="HCB125" s="953"/>
      <c r="HCC125" s="953"/>
      <c r="HCD125" s="953"/>
      <c r="HCE125" s="953"/>
      <c r="HCF125" s="953"/>
      <c r="HCG125" s="953"/>
      <c r="HCH125" s="953"/>
      <c r="HCI125" s="953"/>
      <c r="HCJ125" s="953"/>
      <c r="HCK125" s="953"/>
      <c r="HCL125" s="953"/>
      <c r="HCM125" s="953"/>
      <c r="HCN125" s="953"/>
      <c r="HCO125" s="953"/>
      <c r="HCP125" s="953"/>
      <c r="HCQ125" s="953"/>
      <c r="HCR125" s="953"/>
      <c r="HCS125" s="953"/>
      <c r="HCT125" s="953"/>
      <c r="HCU125" s="953"/>
      <c r="HCV125" s="953"/>
      <c r="HCW125" s="953"/>
      <c r="HCX125" s="953"/>
      <c r="HCY125" s="953"/>
      <c r="HCZ125" s="953"/>
      <c r="HDA125" s="953"/>
      <c r="HDB125" s="953"/>
      <c r="HDC125" s="953"/>
      <c r="HDD125" s="953"/>
      <c r="HDE125" s="953"/>
      <c r="HDF125" s="953"/>
      <c r="HDG125" s="953"/>
      <c r="HDH125" s="953"/>
      <c r="HDI125" s="953"/>
      <c r="HDJ125" s="953"/>
      <c r="HDK125" s="953"/>
      <c r="HDL125" s="953"/>
      <c r="HDM125" s="953"/>
      <c r="HDN125" s="953"/>
      <c r="HDO125" s="953"/>
      <c r="HDP125" s="953"/>
      <c r="HDQ125" s="953"/>
      <c r="HDR125" s="953"/>
      <c r="HDS125" s="953"/>
      <c r="HDT125" s="953"/>
      <c r="HDU125" s="953"/>
      <c r="HDV125" s="953"/>
      <c r="HDW125" s="953"/>
      <c r="HDX125" s="953"/>
      <c r="HDY125" s="953"/>
      <c r="HDZ125" s="953"/>
      <c r="HEA125" s="953"/>
      <c r="HEB125" s="953"/>
      <c r="HEC125" s="953"/>
      <c r="HED125" s="953"/>
      <c r="HEE125" s="953"/>
      <c r="HEF125" s="953"/>
      <c r="HEG125" s="953"/>
      <c r="HEH125" s="953"/>
      <c r="HEI125" s="953"/>
      <c r="HEJ125" s="953"/>
      <c r="HEK125" s="953"/>
      <c r="HEL125" s="953"/>
      <c r="HEM125" s="953"/>
      <c r="HEN125" s="953"/>
      <c r="HEO125" s="953"/>
      <c r="HEP125" s="953"/>
      <c r="HEQ125" s="953"/>
      <c r="HER125" s="953"/>
      <c r="HES125" s="953"/>
      <c r="HET125" s="953"/>
      <c r="HEU125" s="953"/>
      <c r="HEV125" s="953"/>
      <c r="HEW125" s="953"/>
      <c r="HEX125" s="953"/>
      <c r="HEY125" s="953"/>
      <c r="HEZ125" s="953"/>
      <c r="HFA125" s="953"/>
      <c r="HFB125" s="953"/>
      <c r="HFC125" s="953"/>
      <c r="HFD125" s="953"/>
      <c r="HFE125" s="953"/>
      <c r="HFF125" s="953"/>
      <c r="HFG125" s="953"/>
      <c r="HFH125" s="953"/>
      <c r="HFI125" s="953"/>
      <c r="HFJ125" s="953"/>
      <c r="HFK125" s="953"/>
      <c r="HFL125" s="953"/>
      <c r="HFM125" s="953"/>
      <c r="HFN125" s="953"/>
      <c r="HFO125" s="953"/>
      <c r="HFP125" s="953"/>
      <c r="HFQ125" s="953"/>
      <c r="HFR125" s="953"/>
      <c r="HFS125" s="953"/>
      <c r="HFT125" s="953"/>
      <c r="HFU125" s="953"/>
      <c r="HFV125" s="953"/>
      <c r="HFW125" s="953"/>
      <c r="HFX125" s="953"/>
      <c r="HFY125" s="953"/>
      <c r="HFZ125" s="953"/>
      <c r="HGA125" s="953"/>
      <c r="HGB125" s="953"/>
      <c r="HGC125" s="953"/>
      <c r="HGD125" s="953"/>
      <c r="HGE125" s="953"/>
      <c r="HGF125" s="953"/>
      <c r="HGG125" s="953"/>
      <c r="HGH125" s="953"/>
      <c r="HGI125" s="953"/>
      <c r="HGJ125" s="953"/>
      <c r="HGK125" s="953"/>
      <c r="HGL125" s="953"/>
      <c r="HGM125" s="953"/>
      <c r="HGN125" s="953"/>
      <c r="HGO125" s="953"/>
      <c r="HGP125" s="953"/>
      <c r="HGQ125" s="953"/>
      <c r="HGR125" s="953"/>
      <c r="HGS125" s="953"/>
      <c r="HGT125" s="953"/>
      <c r="HGU125" s="953"/>
      <c r="HGV125" s="953"/>
      <c r="HGW125" s="953"/>
      <c r="HGX125" s="953"/>
      <c r="HGY125" s="953"/>
      <c r="HGZ125" s="953"/>
      <c r="HHA125" s="953"/>
      <c r="HHB125" s="953"/>
      <c r="HHC125" s="953"/>
      <c r="HHD125" s="953"/>
      <c r="HHE125" s="953"/>
      <c r="HHF125" s="953"/>
      <c r="HHG125" s="953"/>
      <c r="HHH125" s="953"/>
      <c r="HHI125" s="953"/>
      <c r="HHJ125" s="953"/>
      <c r="HHK125" s="953"/>
      <c r="HHL125" s="953"/>
      <c r="HHM125" s="953"/>
      <c r="HHN125" s="953"/>
      <c r="HHO125" s="953"/>
      <c r="HHP125" s="953"/>
      <c r="HHQ125" s="953"/>
      <c r="HHR125" s="953"/>
      <c r="HHS125" s="953"/>
      <c r="HHT125" s="953"/>
      <c r="HHU125" s="953"/>
      <c r="HHV125" s="953"/>
      <c r="HHW125" s="953"/>
      <c r="HHX125" s="953"/>
      <c r="HHY125" s="953"/>
      <c r="HHZ125" s="953"/>
      <c r="HIA125" s="953"/>
      <c r="HIB125" s="953"/>
      <c r="HIC125" s="953"/>
      <c r="HID125" s="953"/>
      <c r="HIE125" s="953"/>
      <c r="HIF125" s="953"/>
      <c r="HIG125" s="953"/>
      <c r="HIH125" s="953"/>
      <c r="HII125" s="953"/>
      <c r="HIJ125" s="953"/>
      <c r="HIK125" s="953"/>
      <c r="HIL125" s="953"/>
      <c r="HIM125" s="953"/>
      <c r="HIN125" s="953"/>
      <c r="HIO125" s="953"/>
      <c r="HIP125" s="953"/>
      <c r="HIQ125" s="953"/>
      <c r="HIR125" s="953"/>
      <c r="HIS125" s="953"/>
      <c r="HIT125" s="953"/>
      <c r="HIU125" s="953"/>
      <c r="HIV125" s="953"/>
      <c r="HIW125" s="953"/>
      <c r="HIX125" s="953"/>
      <c r="HIY125" s="953"/>
      <c r="HIZ125" s="953"/>
      <c r="HJA125" s="953"/>
      <c r="HJB125" s="953"/>
      <c r="HJC125" s="953"/>
      <c r="HJD125" s="953"/>
      <c r="HJE125" s="953"/>
      <c r="HJF125" s="953"/>
      <c r="HJG125" s="953"/>
      <c r="HJH125" s="953"/>
      <c r="HJI125" s="953"/>
      <c r="HJJ125" s="953"/>
      <c r="HJK125" s="953"/>
      <c r="HJL125" s="953"/>
      <c r="HJM125" s="953"/>
      <c r="HJN125" s="953"/>
      <c r="HJO125" s="953"/>
      <c r="HJP125" s="953"/>
      <c r="HJQ125" s="953"/>
      <c r="HJR125" s="953"/>
      <c r="HJS125" s="953"/>
      <c r="HJT125" s="953"/>
      <c r="HJU125" s="953"/>
      <c r="HJV125" s="953"/>
      <c r="HJW125" s="953"/>
      <c r="HJX125" s="953"/>
      <c r="HJY125" s="953"/>
      <c r="HJZ125" s="953"/>
      <c r="HKA125" s="953"/>
      <c r="HKB125" s="953"/>
      <c r="HKC125" s="953"/>
      <c r="HKD125" s="953"/>
      <c r="HKE125" s="953"/>
      <c r="HKF125" s="953"/>
      <c r="HKG125" s="953"/>
      <c r="HKH125" s="953"/>
      <c r="HKI125" s="953"/>
      <c r="HKJ125" s="953"/>
      <c r="HKK125" s="953"/>
      <c r="HKL125" s="953"/>
      <c r="HKM125" s="953"/>
      <c r="HKN125" s="953"/>
      <c r="HKO125" s="953"/>
      <c r="HKP125" s="953"/>
      <c r="HKQ125" s="953"/>
      <c r="HKR125" s="953"/>
      <c r="HKS125" s="953"/>
      <c r="HKT125" s="953"/>
      <c r="HKU125" s="953"/>
      <c r="HKV125" s="953"/>
      <c r="HKW125" s="953"/>
      <c r="HKX125" s="953"/>
      <c r="HKY125" s="953"/>
      <c r="HKZ125" s="953"/>
      <c r="HLA125" s="953"/>
      <c r="HLB125" s="953"/>
      <c r="HLC125" s="953"/>
      <c r="HLD125" s="953"/>
      <c r="HLE125" s="953"/>
      <c r="HLF125" s="953"/>
      <c r="HLG125" s="953"/>
      <c r="HLH125" s="953"/>
      <c r="HLI125" s="953"/>
      <c r="HLJ125" s="953"/>
      <c r="HLK125" s="953"/>
      <c r="HLL125" s="953"/>
      <c r="HLM125" s="953"/>
      <c r="HLN125" s="953"/>
      <c r="HLO125" s="953"/>
      <c r="HLP125" s="953"/>
      <c r="HLQ125" s="953"/>
      <c r="HLR125" s="953"/>
      <c r="HLS125" s="953"/>
      <c r="HLT125" s="953"/>
      <c r="HLU125" s="953"/>
      <c r="HLV125" s="953"/>
      <c r="HLW125" s="953"/>
      <c r="HLX125" s="953"/>
      <c r="HLY125" s="953"/>
      <c r="HLZ125" s="953"/>
      <c r="HMA125" s="953"/>
      <c r="HMB125" s="953"/>
      <c r="HMC125" s="953"/>
      <c r="HMD125" s="953"/>
      <c r="HME125" s="953"/>
      <c r="HMF125" s="953"/>
      <c r="HMG125" s="953"/>
      <c r="HMH125" s="953"/>
      <c r="HMI125" s="953"/>
      <c r="HMJ125" s="953"/>
      <c r="HMK125" s="953"/>
      <c r="HML125" s="953"/>
      <c r="HMM125" s="953"/>
      <c r="HMN125" s="953"/>
      <c r="HMO125" s="953"/>
      <c r="HMP125" s="953"/>
      <c r="HMQ125" s="953"/>
      <c r="HMR125" s="953"/>
      <c r="HMS125" s="953"/>
      <c r="HMT125" s="953"/>
      <c r="HMU125" s="953"/>
      <c r="HMV125" s="953"/>
      <c r="HMW125" s="953"/>
      <c r="HMX125" s="953"/>
      <c r="HMY125" s="953"/>
      <c r="HMZ125" s="953"/>
      <c r="HNA125" s="953"/>
      <c r="HNB125" s="953"/>
      <c r="HNC125" s="953"/>
      <c r="HND125" s="953"/>
      <c r="HNE125" s="953"/>
      <c r="HNF125" s="953"/>
      <c r="HNG125" s="953"/>
      <c r="HNH125" s="953"/>
      <c r="HNI125" s="953"/>
      <c r="HNJ125" s="953"/>
      <c r="HNK125" s="953"/>
      <c r="HNL125" s="953"/>
      <c r="HNM125" s="953"/>
      <c r="HNN125" s="953"/>
      <c r="HNO125" s="953"/>
      <c r="HNP125" s="953"/>
      <c r="HNQ125" s="953"/>
      <c r="HNR125" s="953"/>
      <c r="HNS125" s="953"/>
      <c r="HNT125" s="953"/>
      <c r="HNU125" s="953"/>
      <c r="HNV125" s="953"/>
      <c r="HNW125" s="953"/>
      <c r="HNX125" s="953"/>
      <c r="HNY125" s="953"/>
      <c r="HNZ125" s="953"/>
      <c r="HOA125" s="953"/>
      <c r="HOB125" s="953"/>
      <c r="HOC125" s="953"/>
      <c r="HOD125" s="953"/>
      <c r="HOE125" s="953"/>
      <c r="HOF125" s="953"/>
      <c r="HOG125" s="953"/>
      <c r="HOH125" s="953"/>
      <c r="HOI125" s="953"/>
      <c r="HOJ125" s="953"/>
      <c r="HOK125" s="953"/>
      <c r="HOL125" s="953"/>
      <c r="HOM125" s="953"/>
      <c r="HON125" s="953"/>
      <c r="HOO125" s="953"/>
      <c r="HOP125" s="953"/>
      <c r="HOQ125" s="953"/>
      <c r="HOR125" s="953"/>
      <c r="HOS125" s="953"/>
      <c r="HOT125" s="953"/>
      <c r="HOU125" s="953"/>
      <c r="HOV125" s="953"/>
      <c r="HOW125" s="953"/>
      <c r="HOX125" s="953"/>
      <c r="HOY125" s="953"/>
      <c r="HOZ125" s="953"/>
      <c r="HPA125" s="953"/>
      <c r="HPB125" s="953"/>
      <c r="HPC125" s="953"/>
      <c r="HPD125" s="953"/>
      <c r="HPE125" s="953"/>
      <c r="HPF125" s="953"/>
      <c r="HPG125" s="953"/>
      <c r="HPH125" s="953"/>
      <c r="HPI125" s="953"/>
      <c r="HPJ125" s="953"/>
      <c r="HPK125" s="953"/>
      <c r="HPL125" s="953"/>
      <c r="HPM125" s="953"/>
      <c r="HPN125" s="953"/>
      <c r="HPO125" s="953"/>
      <c r="HPP125" s="953"/>
      <c r="HPQ125" s="953"/>
      <c r="HPR125" s="953"/>
      <c r="HPS125" s="953"/>
      <c r="HPT125" s="953"/>
      <c r="HPU125" s="953"/>
      <c r="HPV125" s="953"/>
      <c r="HPW125" s="953"/>
      <c r="HPX125" s="953"/>
      <c r="HPY125" s="953"/>
      <c r="HPZ125" s="953"/>
      <c r="HQA125" s="953"/>
      <c r="HQB125" s="953"/>
      <c r="HQC125" s="953"/>
      <c r="HQD125" s="953"/>
      <c r="HQE125" s="953"/>
      <c r="HQF125" s="953"/>
      <c r="HQG125" s="953"/>
      <c r="HQH125" s="953"/>
      <c r="HQI125" s="953"/>
      <c r="HQJ125" s="953"/>
      <c r="HQK125" s="953"/>
      <c r="HQL125" s="953"/>
      <c r="HQM125" s="953"/>
      <c r="HQN125" s="953"/>
      <c r="HQO125" s="953"/>
      <c r="HQP125" s="953"/>
      <c r="HQQ125" s="953"/>
      <c r="HQR125" s="953"/>
      <c r="HQS125" s="953"/>
      <c r="HQT125" s="953"/>
      <c r="HQU125" s="953"/>
      <c r="HQV125" s="953"/>
      <c r="HQW125" s="953"/>
      <c r="HQX125" s="953"/>
      <c r="HQY125" s="953"/>
      <c r="HQZ125" s="953"/>
      <c r="HRA125" s="953"/>
      <c r="HRB125" s="953"/>
      <c r="HRC125" s="953"/>
      <c r="HRD125" s="953"/>
      <c r="HRE125" s="953"/>
      <c r="HRF125" s="953"/>
      <c r="HRG125" s="953"/>
      <c r="HRH125" s="953"/>
      <c r="HRI125" s="953"/>
      <c r="HRJ125" s="953"/>
      <c r="HRK125" s="953"/>
      <c r="HRL125" s="953"/>
      <c r="HRM125" s="953"/>
      <c r="HRN125" s="953"/>
      <c r="HRO125" s="953"/>
      <c r="HRP125" s="953"/>
      <c r="HRQ125" s="953"/>
      <c r="HRR125" s="953"/>
      <c r="HRS125" s="953"/>
      <c r="HRT125" s="953"/>
      <c r="HRU125" s="953"/>
      <c r="HRV125" s="953"/>
      <c r="HRW125" s="953"/>
      <c r="HRX125" s="953"/>
      <c r="HRY125" s="953"/>
      <c r="HRZ125" s="953"/>
      <c r="HSA125" s="953"/>
      <c r="HSB125" s="953"/>
      <c r="HSC125" s="953"/>
      <c r="HSD125" s="953"/>
      <c r="HSE125" s="953"/>
      <c r="HSF125" s="953"/>
      <c r="HSG125" s="953"/>
      <c r="HSH125" s="953"/>
      <c r="HSI125" s="953"/>
      <c r="HSJ125" s="953"/>
      <c r="HSK125" s="953"/>
      <c r="HSL125" s="953"/>
      <c r="HSM125" s="953"/>
      <c r="HSN125" s="953"/>
      <c r="HSO125" s="953"/>
      <c r="HSP125" s="953"/>
      <c r="HSQ125" s="953"/>
      <c r="HSR125" s="953"/>
      <c r="HSS125" s="953"/>
      <c r="HST125" s="953"/>
      <c r="HSU125" s="953"/>
      <c r="HSV125" s="953"/>
      <c r="HSW125" s="953"/>
      <c r="HSX125" s="953"/>
      <c r="HSY125" s="953"/>
      <c r="HSZ125" s="953"/>
      <c r="HTA125" s="953"/>
      <c r="HTB125" s="953"/>
      <c r="HTC125" s="953"/>
      <c r="HTD125" s="953"/>
      <c r="HTE125" s="953"/>
      <c r="HTF125" s="953"/>
      <c r="HTG125" s="953"/>
      <c r="HTH125" s="953"/>
      <c r="HTI125" s="953"/>
      <c r="HTJ125" s="953"/>
      <c r="HTK125" s="953"/>
      <c r="HTL125" s="953"/>
      <c r="HTM125" s="953"/>
      <c r="HTN125" s="953"/>
      <c r="HTO125" s="953"/>
      <c r="HTP125" s="953"/>
      <c r="HTQ125" s="953"/>
      <c r="HTR125" s="953"/>
      <c r="HTS125" s="953"/>
      <c r="HTT125" s="953"/>
      <c r="HTU125" s="953"/>
      <c r="HTV125" s="953"/>
      <c r="HTW125" s="953"/>
      <c r="HTX125" s="953"/>
      <c r="HTY125" s="953"/>
      <c r="HTZ125" s="953"/>
      <c r="HUA125" s="953"/>
      <c r="HUB125" s="953"/>
      <c r="HUC125" s="953"/>
      <c r="HUD125" s="953"/>
      <c r="HUE125" s="953"/>
      <c r="HUF125" s="953"/>
      <c r="HUG125" s="953"/>
      <c r="HUH125" s="953"/>
      <c r="HUI125" s="953"/>
      <c r="HUJ125" s="953"/>
      <c r="HUK125" s="953"/>
      <c r="HUL125" s="953"/>
      <c r="HUM125" s="953"/>
      <c r="HUN125" s="953"/>
      <c r="HUO125" s="953"/>
      <c r="HUP125" s="953"/>
      <c r="HUQ125" s="953"/>
      <c r="HUR125" s="953"/>
      <c r="HUS125" s="953"/>
      <c r="HUT125" s="953"/>
      <c r="HUU125" s="953"/>
      <c r="HUV125" s="953"/>
      <c r="HUW125" s="953"/>
      <c r="HUX125" s="953"/>
      <c r="HUY125" s="953"/>
      <c r="HUZ125" s="953"/>
      <c r="HVA125" s="953"/>
      <c r="HVB125" s="953"/>
      <c r="HVC125" s="953"/>
      <c r="HVD125" s="953"/>
      <c r="HVE125" s="953"/>
      <c r="HVF125" s="953"/>
      <c r="HVG125" s="953"/>
      <c r="HVH125" s="953"/>
      <c r="HVI125" s="953"/>
      <c r="HVJ125" s="953"/>
      <c r="HVK125" s="953"/>
      <c r="HVL125" s="953"/>
      <c r="HVM125" s="953"/>
      <c r="HVN125" s="953"/>
      <c r="HVO125" s="953"/>
      <c r="HVP125" s="953"/>
      <c r="HVQ125" s="953"/>
      <c r="HVR125" s="953"/>
      <c r="HVS125" s="953"/>
      <c r="HVT125" s="953"/>
      <c r="HVU125" s="953"/>
      <c r="HVV125" s="953"/>
      <c r="HVW125" s="953"/>
      <c r="HVX125" s="953"/>
      <c r="HVY125" s="953"/>
      <c r="HVZ125" s="953"/>
      <c r="HWA125" s="953"/>
      <c r="HWB125" s="953"/>
      <c r="HWC125" s="953"/>
      <c r="HWD125" s="953"/>
      <c r="HWE125" s="953"/>
      <c r="HWF125" s="953"/>
      <c r="HWG125" s="953"/>
      <c r="HWH125" s="953"/>
      <c r="HWI125" s="953"/>
      <c r="HWJ125" s="953"/>
      <c r="HWK125" s="953"/>
      <c r="HWL125" s="953"/>
      <c r="HWM125" s="953"/>
      <c r="HWN125" s="953"/>
      <c r="HWO125" s="953"/>
      <c r="HWP125" s="953"/>
      <c r="HWQ125" s="953"/>
      <c r="HWR125" s="953"/>
      <c r="HWS125" s="953"/>
      <c r="HWT125" s="953"/>
      <c r="HWU125" s="953"/>
      <c r="HWV125" s="953"/>
      <c r="HWW125" s="953"/>
      <c r="HWX125" s="953"/>
      <c r="HWY125" s="953"/>
      <c r="HWZ125" s="953"/>
      <c r="HXA125" s="953"/>
      <c r="HXB125" s="953"/>
      <c r="HXC125" s="953"/>
      <c r="HXD125" s="953"/>
      <c r="HXE125" s="953"/>
      <c r="HXF125" s="953"/>
      <c r="HXG125" s="953"/>
      <c r="HXH125" s="953"/>
      <c r="HXI125" s="953"/>
      <c r="HXJ125" s="953"/>
      <c r="HXK125" s="953"/>
      <c r="HXL125" s="953"/>
      <c r="HXM125" s="953"/>
      <c r="HXN125" s="953"/>
      <c r="HXO125" s="953"/>
      <c r="HXP125" s="953"/>
      <c r="HXQ125" s="953"/>
      <c r="HXR125" s="953"/>
      <c r="HXS125" s="953"/>
      <c r="HXT125" s="953"/>
      <c r="HXU125" s="953"/>
      <c r="HXV125" s="953"/>
      <c r="HXW125" s="953"/>
      <c r="HXX125" s="953"/>
      <c r="HXY125" s="953"/>
      <c r="HXZ125" s="953"/>
      <c r="HYA125" s="953"/>
      <c r="HYB125" s="953"/>
      <c r="HYC125" s="953"/>
      <c r="HYD125" s="953"/>
      <c r="HYE125" s="953"/>
      <c r="HYF125" s="953"/>
      <c r="HYG125" s="953"/>
      <c r="HYH125" s="953"/>
      <c r="HYI125" s="953"/>
      <c r="HYJ125" s="953"/>
      <c r="HYK125" s="953"/>
      <c r="HYL125" s="953"/>
      <c r="HYM125" s="953"/>
      <c r="HYN125" s="953"/>
      <c r="HYO125" s="953"/>
      <c r="HYP125" s="953"/>
      <c r="HYQ125" s="953"/>
      <c r="HYR125" s="953"/>
      <c r="HYS125" s="953"/>
      <c r="HYT125" s="953"/>
      <c r="HYU125" s="953"/>
      <c r="HYV125" s="953"/>
      <c r="HYW125" s="953"/>
      <c r="HYX125" s="953"/>
      <c r="HYY125" s="953"/>
      <c r="HYZ125" s="953"/>
      <c r="HZA125" s="953"/>
      <c r="HZB125" s="953"/>
      <c r="HZC125" s="953"/>
      <c r="HZD125" s="953"/>
      <c r="HZE125" s="953"/>
      <c r="HZF125" s="953"/>
      <c r="HZG125" s="953"/>
      <c r="HZH125" s="953"/>
      <c r="HZI125" s="953"/>
      <c r="HZJ125" s="953"/>
      <c r="HZK125" s="953"/>
      <c r="HZL125" s="953"/>
      <c r="HZM125" s="953"/>
      <c r="HZN125" s="953"/>
      <c r="HZO125" s="953"/>
      <c r="HZP125" s="953"/>
      <c r="HZQ125" s="953"/>
      <c r="HZR125" s="953"/>
      <c r="HZS125" s="953"/>
      <c r="HZT125" s="953"/>
      <c r="HZU125" s="953"/>
      <c r="HZV125" s="953"/>
      <c r="HZW125" s="953"/>
      <c r="HZX125" s="953"/>
      <c r="HZY125" s="953"/>
      <c r="HZZ125" s="953"/>
      <c r="IAA125" s="953"/>
      <c r="IAB125" s="953"/>
      <c r="IAC125" s="953"/>
      <c r="IAD125" s="953"/>
      <c r="IAE125" s="953"/>
      <c r="IAF125" s="953"/>
      <c r="IAG125" s="953"/>
      <c r="IAH125" s="953"/>
      <c r="IAI125" s="953"/>
      <c r="IAJ125" s="953"/>
      <c r="IAK125" s="953"/>
      <c r="IAL125" s="953"/>
      <c r="IAM125" s="953"/>
      <c r="IAN125" s="953"/>
      <c r="IAO125" s="953"/>
      <c r="IAP125" s="953"/>
      <c r="IAQ125" s="953"/>
      <c r="IAR125" s="953"/>
      <c r="IAS125" s="953"/>
      <c r="IAT125" s="953"/>
      <c r="IAU125" s="953"/>
      <c r="IAV125" s="953"/>
      <c r="IAW125" s="953"/>
      <c r="IAX125" s="953"/>
      <c r="IAY125" s="953"/>
      <c r="IAZ125" s="953"/>
      <c r="IBA125" s="953"/>
      <c r="IBB125" s="953"/>
      <c r="IBC125" s="953"/>
      <c r="IBD125" s="953"/>
      <c r="IBE125" s="953"/>
      <c r="IBF125" s="953"/>
      <c r="IBG125" s="953"/>
      <c r="IBH125" s="953"/>
      <c r="IBI125" s="953"/>
      <c r="IBJ125" s="953"/>
      <c r="IBK125" s="953"/>
      <c r="IBL125" s="953"/>
      <c r="IBM125" s="953"/>
      <c r="IBN125" s="953"/>
      <c r="IBO125" s="953"/>
      <c r="IBP125" s="953"/>
      <c r="IBQ125" s="953"/>
      <c r="IBR125" s="953"/>
      <c r="IBS125" s="953"/>
      <c r="IBT125" s="953"/>
      <c r="IBU125" s="953"/>
      <c r="IBV125" s="953"/>
      <c r="IBW125" s="953"/>
      <c r="IBX125" s="953"/>
      <c r="IBY125" s="953"/>
      <c r="IBZ125" s="953"/>
      <c r="ICA125" s="953"/>
      <c r="ICB125" s="953"/>
      <c r="ICC125" s="953"/>
      <c r="ICD125" s="953"/>
      <c r="ICE125" s="953"/>
      <c r="ICF125" s="953"/>
      <c r="ICG125" s="953"/>
      <c r="ICH125" s="953"/>
      <c r="ICI125" s="953"/>
      <c r="ICJ125" s="953"/>
      <c r="ICK125" s="953"/>
      <c r="ICL125" s="953"/>
      <c r="ICM125" s="953"/>
      <c r="ICN125" s="953"/>
      <c r="ICO125" s="953"/>
      <c r="ICP125" s="953"/>
      <c r="ICQ125" s="953"/>
      <c r="ICR125" s="953"/>
      <c r="ICS125" s="953"/>
      <c r="ICT125" s="953"/>
      <c r="ICU125" s="953"/>
      <c r="ICV125" s="953"/>
      <c r="ICW125" s="953"/>
      <c r="ICX125" s="953"/>
      <c r="ICY125" s="953"/>
      <c r="ICZ125" s="953"/>
      <c r="IDA125" s="953"/>
      <c r="IDB125" s="953"/>
      <c r="IDC125" s="953"/>
      <c r="IDD125" s="953"/>
      <c r="IDE125" s="953"/>
      <c r="IDF125" s="953"/>
      <c r="IDG125" s="953"/>
      <c r="IDH125" s="953"/>
      <c r="IDI125" s="953"/>
      <c r="IDJ125" s="953"/>
      <c r="IDK125" s="953"/>
      <c r="IDL125" s="953"/>
      <c r="IDM125" s="953"/>
      <c r="IDN125" s="953"/>
      <c r="IDO125" s="953"/>
      <c r="IDP125" s="953"/>
      <c r="IDQ125" s="953"/>
      <c r="IDR125" s="953"/>
      <c r="IDS125" s="953"/>
      <c r="IDT125" s="953"/>
      <c r="IDU125" s="953"/>
      <c r="IDV125" s="953"/>
      <c r="IDW125" s="953"/>
      <c r="IDX125" s="953"/>
      <c r="IDY125" s="953"/>
      <c r="IDZ125" s="953"/>
      <c r="IEA125" s="953"/>
      <c r="IEB125" s="953"/>
      <c r="IEC125" s="953"/>
      <c r="IED125" s="953"/>
      <c r="IEE125" s="953"/>
      <c r="IEF125" s="953"/>
      <c r="IEG125" s="953"/>
      <c r="IEH125" s="953"/>
      <c r="IEI125" s="953"/>
      <c r="IEJ125" s="953"/>
      <c r="IEK125" s="953"/>
      <c r="IEL125" s="953"/>
      <c r="IEM125" s="953"/>
      <c r="IEN125" s="953"/>
      <c r="IEO125" s="953"/>
      <c r="IEP125" s="953"/>
      <c r="IEQ125" s="953"/>
      <c r="IER125" s="953"/>
      <c r="IES125" s="953"/>
      <c r="IET125" s="953"/>
      <c r="IEU125" s="953"/>
      <c r="IEV125" s="953"/>
      <c r="IEW125" s="953"/>
      <c r="IEX125" s="953"/>
      <c r="IEY125" s="953"/>
      <c r="IEZ125" s="953"/>
      <c r="IFA125" s="953"/>
      <c r="IFB125" s="953"/>
      <c r="IFC125" s="953"/>
      <c r="IFD125" s="953"/>
      <c r="IFE125" s="953"/>
      <c r="IFF125" s="953"/>
      <c r="IFG125" s="953"/>
      <c r="IFH125" s="953"/>
      <c r="IFI125" s="953"/>
      <c r="IFJ125" s="953"/>
      <c r="IFK125" s="953"/>
      <c r="IFL125" s="953"/>
      <c r="IFM125" s="953"/>
      <c r="IFN125" s="953"/>
      <c r="IFO125" s="953"/>
      <c r="IFP125" s="953"/>
      <c r="IFQ125" s="953"/>
      <c r="IFR125" s="953"/>
      <c r="IFS125" s="953"/>
      <c r="IFT125" s="953"/>
      <c r="IFU125" s="953"/>
      <c r="IFV125" s="953"/>
      <c r="IFW125" s="953"/>
      <c r="IFX125" s="953"/>
      <c r="IFY125" s="953"/>
      <c r="IFZ125" s="953"/>
      <c r="IGA125" s="953"/>
      <c r="IGB125" s="953"/>
      <c r="IGC125" s="953"/>
      <c r="IGD125" s="953"/>
      <c r="IGE125" s="953"/>
      <c r="IGF125" s="953"/>
      <c r="IGG125" s="953"/>
      <c r="IGH125" s="953"/>
      <c r="IGI125" s="953"/>
      <c r="IGJ125" s="953"/>
      <c r="IGK125" s="953"/>
      <c r="IGL125" s="953"/>
      <c r="IGM125" s="953"/>
      <c r="IGN125" s="953"/>
      <c r="IGO125" s="953"/>
      <c r="IGP125" s="953"/>
      <c r="IGQ125" s="953"/>
      <c r="IGR125" s="953"/>
      <c r="IGS125" s="953"/>
      <c r="IGT125" s="953"/>
      <c r="IGU125" s="953"/>
      <c r="IGV125" s="953"/>
      <c r="IGW125" s="953"/>
      <c r="IGX125" s="953"/>
      <c r="IGY125" s="953"/>
      <c r="IGZ125" s="953"/>
      <c r="IHA125" s="953"/>
      <c r="IHB125" s="953"/>
      <c r="IHC125" s="953"/>
      <c r="IHD125" s="953"/>
      <c r="IHE125" s="953"/>
      <c r="IHF125" s="953"/>
      <c r="IHG125" s="953"/>
      <c r="IHH125" s="953"/>
      <c r="IHI125" s="953"/>
      <c r="IHJ125" s="953"/>
      <c r="IHK125" s="953"/>
      <c r="IHL125" s="953"/>
      <c r="IHM125" s="953"/>
      <c r="IHN125" s="953"/>
      <c r="IHO125" s="953"/>
      <c r="IHP125" s="953"/>
      <c r="IHQ125" s="953"/>
      <c r="IHR125" s="953"/>
      <c r="IHS125" s="953"/>
      <c r="IHT125" s="953"/>
      <c r="IHU125" s="953"/>
      <c r="IHV125" s="953"/>
      <c r="IHW125" s="953"/>
      <c r="IHX125" s="953"/>
      <c r="IHY125" s="953"/>
      <c r="IHZ125" s="953"/>
      <c r="IIA125" s="953"/>
      <c r="IIB125" s="953"/>
      <c r="IIC125" s="953"/>
      <c r="IID125" s="953"/>
      <c r="IIE125" s="953"/>
      <c r="IIF125" s="953"/>
      <c r="IIG125" s="953"/>
      <c r="IIH125" s="953"/>
      <c r="III125" s="953"/>
      <c r="IIJ125" s="953"/>
      <c r="IIK125" s="953"/>
      <c r="IIL125" s="953"/>
      <c r="IIM125" s="953"/>
      <c r="IIN125" s="953"/>
      <c r="IIO125" s="953"/>
      <c r="IIP125" s="953"/>
      <c r="IIQ125" s="953"/>
      <c r="IIR125" s="953"/>
      <c r="IIS125" s="953"/>
      <c r="IIT125" s="953"/>
      <c r="IIU125" s="953"/>
      <c r="IIV125" s="953"/>
      <c r="IIW125" s="953"/>
      <c r="IIX125" s="953"/>
      <c r="IIY125" s="953"/>
      <c r="IIZ125" s="953"/>
      <c r="IJA125" s="953"/>
      <c r="IJB125" s="953"/>
      <c r="IJC125" s="953"/>
      <c r="IJD125" s="953"/>
      <c r="IJE125" s="953"/>
      <c r="IJF125" s="953"/>
      <c r="IJG125" s="953"/>
      <c r="IJH125" s="953"/>
      <c r="IJI125" s="953"/>
      <c r="IJJ125" s="953"/>
      <c r="IJK125" s="953"/>
      <c r="IJL125" s="953"/>
      <c r="IJM125" s="953"/>
      <c r="IJN125" s="953"/>
      <c r="IJO125" s="953"/>
      <c r="IJP125" s="953"/>
      <c r="IJQ125" s="953"/>
      <c r="IJR125" s="953"/>
      <c r="IJS125" s="953"/>
      <c r="IJT125" s="953"/>
      <c r="IJU125" s="953"/>
      <c r="IJV125" s="953"/>
      <c r="IJW125" s="953"/>
      <c r="IJX125" s="953"/>
      <c r="IJY125" s="953"/>
      <c r="IJZ125" s="953"/>
      <c r="IKA125" s="953"/>
      <c r="IKB125" s="953"/>
      <c r="IKC125" s="953"/>
      <c r="IKD125" s="953"/>
      <c r="IKE125" s="953"/>
      <c r="IKF125" s="953"/>
      <c r="IKG125" s="953"/>
      <c r="IKH125" s="953"/>
      <c r="IKI125" s="953"/>
      <c r="IKJ125" s="953"/>
      <c r="IKK125" s="953"/>
      <c r="IKL125" s="953"/>
      <c r="IKM125" s="953"/>
      <c r="IKN125" s="953"/>
      <c r="IKO125" s="953"/>
      <c r="IKP125" s="953"/>
      <c r="IKQ125" s="953"/>
      <c r="IKR125" s="953"/>
      <c r="IKS125" s="953"/>
      <c r="IKT125" s="953"/>
      <c r="IKU125" s="953"/>
      <c r="IKV125" s="953"/>
      <c r="IKW125" s="953"/>
      <c r="IKX125" s="953"/>
      <c r="IKY125" s="953"/>
      <c r="IKZ125" s="953"/>
      <c r="ILA125" s="953"/>
      <c r="ILB125" s="953"/>
      <c r="ILC125" s="953"/>
      <c r="ILD125" s="953"/>
      <c r="ILE125" s="953"/>
      <c r="ILF125" s="953"/>
      <c r="ILG125" s="953"/>
      <c r="ILH125" s="953"/>
      <c r="ILI125" s="953"/>
      <c r="ILJ125" s="953"/>
      <c r="ILK125" s="953"/>
      <c r="ILL125" s="953"/>
      <c r="ILM125" s="953"/>
      <c r="ILN125" s="953"/>
      <c r="ILO125" s="953"/>
      <c r="ILP125" s="953"/>
      <c r="ILQ125" s="953"/>
      <c r="ILR125" s="953"/>
      <c r="ILS125" s="953"/>
      <c r="ILT125" s="953"/>
      <c r="ILU125" s="953"/>
      <c r="ILV125" s="953"/>
      <c r="ILW125" s="953"/>
      <c r="ILX125" s="953"/>
      <c r="ILY125" s="953"/>
      <c r="ILZ125" s="953"/>
      <c r="IMA125" s="953"/>
      <c r="IMB125" s="953"/>
      <c r="IMC125" s="953"/>
      <c r="IMD125" s="953"/>
      <c r="IME125" s="953"/>
      <c r="IMF125" s="953"/>
      <c r="IMG125" s="953"/>
      <c r="IMH125" s="953"/>
      <c r="IMI125" s="953"/>
      <c r="IMJ125" s="953"/>
      <c r="IMK125" s="953"/>
      <c r="IML125" s="953"/>
      <c r="IMM125" s="953"/>
      <c r="IMN125" s="953"/>
      <c r="IMO125" s="953"/>
      <c r="IMP125" s="953"/>
      <c r="IMQ125" s="953"/>
      <c r="IMR125" s="953"/>
      <c r="IMS125" s="953"/>
      <c r="IMT125" s="953"/>
      <c r="IMU125" s="953"/>
      <c r="IMV125" s="953"/>
      <c r="IMW125" s="953"/>
      <c r="IMX125" s="953"/>
      <c r="IMY125" s="953"/>
      <c r="IMZ125" s="953"/>
      <c r="INA125" s="953"/>
      <c r="INB125" s="953"/>
      <c r="INC125" s="953"/>
      <c r="IND125" s="953"/>
      <c r="INE125" s="953"/>
      <c r="INF125" s="953"/>
      <c r="ING125" s="953"/>
      <c r="INH125" s="953"/>
      <c r="INI125" s="953"/>
      <c r="INJ125" s="953"/>
      <c r="INK125" s="953"/>
      <c r="INL125" s="953"/>
      <c r="INM125" s="953"/>
      <c r="INN125" s="953"/>
      <c r="INO125" s="953"/>
      <c r="INP125" s="953"/>
      <c r="INQ125" s="953"/>
      <c r="INR125" s="953"/>
      <c r="INS125" s="953"/>
      <c r="INT125" s="953"/>
      <c r="INU125" s="953"/>
      <c r="INV125" s="953"/>
      <c r="INW125" s="953"/>
      <c r="INX125" s="953"/>
      <c r="INY125" s="953"/>
      <c r="INZ125" s="953"/>
      <c r="IOA125" s="953"/>
      <c r="IOB125" s="953"/>
      <c r="IOC125" s="953"/>
      <c r="IOD125" s="953"/>
      <c r="IOE125" s="953"/>
      <c r="IOF125" s="953"/>
      <c r="IOG125" s="953"/>
      <c r="IOH125" s="953"/>
      <c r="IOI125" s="953"/>
      <c r="IOJ125" s="953"/>
      <c r="IOK125" s="953"/>
      <c r="IOL125" s="953"/>
      <c r="IOM125" s="953"/>
      <c r="ION125" s="953"/>
      <c r="IOO125" s="953"/>
      <c r="IOP125" s="953"/>
      <c r="IOQ125" s="953"/>
      <c r="IOR125" s="953"/>
      <c r="IOS125" s="953"/>
      <c r="IOT125" s="953"/>
      <c r="IOU125" s="953"/>
      <c r="IOV125" s="953"/>
      <c r="IOW125" s="953"/>
      <c r="IOX125" s="953"/>
      <c r="IOY125" s="953"/>
      <c r="IOZ125" s="953"/>
      <c r="IPA125" s="953"/>
      <c r="IPB125" s="953"/>
      <c r="IPC125" s="953"/>
      <c r="IPD125" s="953"/>
      <c r="IPE125" s="953"/>
      <c r="IPF125" s="953"/>
      <c r="IPG125" s="953"/>
      <c r="IPH125" s="953"/>
      <c r="IPI125" s="953"/>
      <c r="IPJ125" s="953"/>
      <c r="IPK125" s="953"/>
      <c r="IPL125" s="953"/>
      <c r="IPM125" s="953"/>
      <c r="IPN125" s="953"/>
      <c r="IPO125" s="953"/>
      <c r="IPP125" s="953"/>
      <c r="IPQ125" s="953"/>
      <c r="IPR125" s="953"/>
      <c r="IPS125" s="953"/>
      <c r="IPT125" s="953"/>
      <c r="IPU125" s="953"/>
      <c r="IPV125" s="953"/>
      <c r="IPW125" s="953"/>
      <c r="IPX125" s="953"/>
      <c r="IPY125" s="953"/>
      <c r="IPZ125" s="953"/>
      <c r="IQA125" s="953"/>
      <c r="IQB125" s="953"/>
      <c r="IQC125" s="953"/>
      <c r="IQD125" s="953"/>
      <c r="IQE125" s="953"/>
      <c r="IQF125" s="953"/>
      <c r="IQG125" s="953"/>
      <c r="IQH125" s="953"/>
      <c r="IQI125" s="953"/>
      <c r="IQJ125" s="953"/>
      <c r="IQK125" s="953"/>
      <c r="IQL125" s="953"/>
      <c r="IQM125" s="953"/>
      <c r="IQN125" s="953"/>
      <c r="IQO125" s="953"/>
      <c r="IQP125" s="953"/>
      <c r="IQQ125" s="953"/>
      <c r="IQR125" s="953"/>
      <c r="IQS125" s="953"/>
      <c r="IQT125" s="953"/>
      <c r="IQU125" s="953"/>
      <c r="IQV125" s="953"/>
      <c r="IQW125" s="953"/>
      <c r="IQX125" s="953"/>
      <c r="IQY125" s="953"/>
      <c r="IQZ125" s="953"/>
      <c r="IRA125" s="953"/>
      <c r="IRB125" s="953"/>
      <c r="IRC125" s="953"/>
      <c r="IRD125" s="953"/>
      <c r="IRE125" s="953"/>
      <c r="IRF125" s="953"/>
      <c r="IRG125" s="953"/>
      <c r="IRH125" s="953"/>
      <c r="IRI125" s="953"/>
      <c r="IRJ125" s="953"/>
      <c r="IRK125" s="953"/>
      <c r="IRL125" s="953"/>
      <c r="IRM125" s="953"/>
      <c r="IRN125" s="953"/>
      <c r="IRO125" s="953"/>
      <c r="IRP125" s="953"/>
      <c r="IRQ125" s="953"/>
      <c r="IRR125" s="953"/>
      <c r="IRS125" s="953"/>
      <c r="IRT125" s="953"/>
      <c r="IRU125" s="953"/>
      <c r="IRV125" s="953"/>
      <c r="IRW125" s="953"/>
      <c r="IRX125" s="953"/>
      <c r="IRY125" s="953"/>
      <c r="IRZ125" s="953"/>
      <c r="ISA125" s="953"/>
      <c r="ISB125" s="953"/>
      <c r="ISC125" s="953"/>
      <c r="ISD125" s="953"/>
      <c r="ISE125" s="953"/>
      <c r="ISF125" s="953"/>
      <c r="ISG125" s="953"/>
      <c r="ISH125" s="953"/>
      <c r="ISI125" s="953"/>
      <c r="ISJ125" s="953"/>
      <c r="ISK125" s="953"/>
      <c r="ISL125" s="953"/>
      <c r="ISM125" s="953"/>
      <c r="ISN125" s="953"/>
      <c r="ISO125" s="953"/>
      <c r="ISP125" s="953"/>
      <c r="ISQ125" s="953"/>
      <c r="ISR125" s="953"/>
      <c r="ISS125" s="953"/>
      <c r="IST125" s="953"/>
      <c r="ISU125" s="953"/>
      <c r="ISV125" s="953"/>
      <c r="ISW125" s="953"/>
      <c r="ISX125" s="953"/>
      <c r="ISY125" s="953"/>
      <c r="ISZ125" s="953"/>
      <c r="ITA125" s="953"/>
      <c r="ITB125" s="953"/>
      <c r="ITC125" s="953"/>
      <c r="ITD125" s="953"/>
      <c r="ITE125" s="953"/>
      <c r="ITF125" s="953"/>
      <c r="ITG125" s="953"/>
      <c r="ITH125" s="953"/>
      <c r="ITI125" s="953"/>
      <c r="ITJ125" s="953"/>
      <c r="ITK125" s="953"/>
      <c r="ITL125" s="953"/>
      <c r="ITM125" s="953"/>
      <c r="ITN125" s="953"/>
      <c r="ITO125" s="953"/>
      <c r="ITP125" s="953"/>
      <c r="ITQ125" s="953"/>
      <c r="ITR125" s="953"/>
      <c r="ITS125" s="953"/>
      <c r="ITT125" s="953"/>
      <c r="ITU125" s="953"/>
      <c r="ITV125" s="953"/>
      <c r="ITW125" s="953"/>
      <c r="ITX125" s="953"/>
      <c r="ITY125" s="953"/>
      <c r="ITZ125" s="953"/>
      <c r="IUA125" s="953"/>
      <c r="IUB125" s="953"/>
      <c r="IUC125" s="953"/>
      <c r="IUD125" s="953"/>
      <c r="IUE125" s="953"/>
      <c r="IUF125" s="953"/>
      <c r="IUG125" s="953"/>
      <c r="IUH125" s="953"/>
      <c r="IUI125" s="953"/>
      <c r="IUJ125" s="953"/>
      <c r="IUK125" s="953"/>
      <c r="IUL125" s="953"/>
      <c r="IUM125" s="953"/>
      <c r="IUN125" s="953"/>
      <c r="IUO125" s="953"/>
      <c r="IUP125" s="953"/>
      <c r="IUQ125" s="953"/>
      <c r="IUR125" s="953"/>
      <c r="IUS125" s="953"/>
      <c r="IUT125" s="953"/>
      <c r="IUU125" s="953"/>
      <c r="IUV125" s="953"/>
      <c r="IUW125" s="953"/>
      <c r="IUX125" s="953"/>
      <c r="IUY125" s="953"/>
      <c r="IUZ125" s="953"/>
      <c r="IVA125" s="953"/>
      <c r="IVB125" s="953"/>
      <c r="IVC125" s="953"/>
      <c r="IVD125" s="953"/>
      <c r="IVE125" s="953"/>
      <c r="IVF125" s="953"/>
      <c r="IVG125" s="953"/>
      <c r="IVH125" s="953"/>
      <c r="IVI125" s="953"/>
      <c r="IVJ125" s="953"/>
      <c r="IVK125" s="953"/>
      <c r="IVL125" s="953"/>
      <c r="IVM125" s="953"/>
      <c r="IVN125" s="953"/>
      <c r="IVO125" s="953"/>
      <c r="IVP125" s="953"/>
      <c r="IVQ125" s="953"/>
      <c r="IVR125" s="953"/>
      <c r="IVS125" s="953"/>
      <c r="IVT125" s="953"/>
      <c r="IVU125" s="953"/>
      <c r="IVV125" s="953"/>
      <c r="IVW125" s="953"/>
      <c r="IVX125" s="953"/>
      <c r="IVY125" s="953"/>
      <c r="IVZ125" s="953"/>
      <c r="IWA125" s="953"/>
      <c r="IWB125" s="953"/>
      <c r="IWC125" s="953"/>
      <c r="IWD125" s="953"/>
      <c r="IWE125" s="953"/>
      <c r="IWF125" s="953"/>
      <c r="IWG125" s="953"/>
      <c r="IWH125" s="953"/>
      <c r="IWI125" s="953"/>
      <c r="IWJ125" s="953"/>
      <c r="IWK125" s="953"/>
      <c r="IWL125" s="953"/>
      <c r="IWM125" s="953"/>
      <c r="IWN125" s="953"/>
      <c r="IWO125" s="953"/>
      <c r="IWP125" s="953"/>
      <c r="IWQ125" s="953"/>
      <c r="IWR125" s="953"/>
      <c r="IWS125" s="953"/>
      <c r="IWT125" s="953"/>
      <c r="IWU125" s="953"/>
      <c r="IWV125" s="953"/>
      <c r="IWW125" s="953"/>
      <c r="IWX125" s="953"/>
      <c r="IWY125" s="953"/>
      <c r="IWZ125" s="953"/>
      <c r="IXA125" s="953"/>
      <c r="IXB125" s="953"/>
      <c r="IXC125" s="953"/>
      <c r="IXD125" s="953"/>
      <c r="IXE125" s="953"/>
      <c r="IXF125" s="953"/>
      <c r="IXG125" s="953"/>
      <c r="IXH125" s="953"/>
      <c r="IXI125" s="953"/>
      <c r="IXJ125" s="953"/>
      <c r="IXK125" s="953"/>
      <c r="IXL125" s="953"/>
      <c r="IXM125" s="953"/>
      <c r="IXN125" s="953"/>
      <c r="IXO125" s="953"/>
      <c r="IXP125" s="953"/>
      <c r="IXQ125" s="953"/>
      <c r="IXR125" s="953"/>
      <c r="IXS125" s="953"/>
      <c r="IXT125" s="953"/>
      <c r="IXU125" s="953"/>
      <c r="IXV125" s="953"/>
      <c r="IXW125" s="953"/>
      <c r="IXX125" s="953"/>
      <c r="IXY125" s="953"/>
      <c r="IXZ125" s="953"/>
      <c r="IYA125" s="953"/>
      <c r="IYB125" s="953"/>
      <c r="IYC125" s="953"/>
      <c r="IYD125" s="953"/>
      <c r="IYE125" s="953"/>
      <c r="IYF125" s="953"/>
      <c r="IYG125" s="953"/>
      <c r="IYH125" s="953"/>
      <c r="IYI125" s="953"/>
      <c r="IYJ125" s="953"/>
      <c r="IYK125" s="953"/>
      <c r="IYL125" s="953"/>
      <c r="IYM125" s="953"/>
      <c r="IYN125" s="953"/>
      <c r="IYO125" s="953"/>
      <c r="IYP125" s="953"/>
      <c r="IYQ125" s="953"/>
      <c r="IYR125" s="953"/>
      <c r="IYS125" s="953"/>
      <c r="IYT125" s="953"/>
      <c r="IYU125" s="953"/>
      <c r="IYV125" s="953"/>
      <c r="IYW125" s="953"/>
      <c r="IYX125" s="953"/>
      <c r="IYY125" s="953"/>
      <c r="IYZ125" s="953"/>
      <c r="IZA125" s="953"/>
      <c r="IZB125" s="953"/>
      <c r="IZC125" s="953"/>
      <c r="IZD125" s="953"/>
      <c r="IZE125" s="953"/>
      <c r="IZF125" s="953"/>
      <c r="IZG125" s="953"/>
      <c r="IZH125" s="953"/>
      <c r="IZI125" s="953"/>
      <c r="IZJ125" s="953"/>
      <c r="IZK125" s="953"/>
      <c r="IZL125" s="953"/>
      <c r="IZM125" s="953"/>
      <c r="IZN125" s="953"/>
      <c r="IZO125" s="953"/>
      <c r="IZP125" s="953"/>
      <c r="IZQ125" s="953"/>
      <c r="IZR125" s="953"/>
      <c r="IZS125" s="953"/>
      <c r="IZT125" s="953"/>
      <c r="IZU125" s="953"/>
      <c r="IZV125" s="953"/>
      <c r="IZW125" s="953"/>
      <c r="IZX125" s="953"/>
      <c r="IZY125" s="953"/>
      <c r="IZZ125" s="953"/>
      <c r="JAA125" s="953"/>
      <c r="JAB125" s="953"/>
      <c r="JAC125" s="953"/>
      <c r="JAD125" s="953"/>
      <c r="JAE125" s="953"/>
      <c r="JAF125" s="953"/>
      <c r="JAG125" s="953"/>
      <c r="JAH125" s="953"/>
      <c r="JAI125" s="953"/>
      <c r="JAJ125" s="953"/>
      <c r="JAK125" s="953"/>
      <c r="JAL125" s="953"/>
      <c r="JAM125" s="953"/>
      <c r="JAN125" s="953"/>
      <c r="JAO125" s="953"/>
      <c r="JAP125" s="953"/>
      <c r="JAQ125" s="953"/>
      <c r="JAR125" s="953"/>
      <c r="JAS125" s="953"/>
      <c r="JAT125" s="953"/>
      <c r="JAU125" s="953"/>
      <c r="JAV125" s="953"/>
      <c r="JAW125" s="953"/>
      <c r="JAX125" s="953"/>
      <c r="JAY125" s="953"/>
      <c r="JAZ125" s="953"/>
      <c r="JBA125" s="953"/>
      <c r="JBB125" s="953"/>
      <c r="JBC125" s="953"/>
      <c r="JBD125" s="953"/>
      <c r="JBE125" s="953"/>
      <c r="JBF125" s="953"/>
      <c r="JBG125" s="953"/>
      <c r="JBH125" s="953"/>
      <c r="JBI125" s="953"/>
      <c r="JBJ125" s="953"/>
      <c r="JBK125" s="953"/>
      <c r="JBL125" s="953"/>
      <c r="JBM125" s="953"/>
      <c r="JBN125" s="953"/>
      <c r="JBO125" s="953"/>
      <c r="JBP125" s="953"/>
      <c r="JBQ125" s="953"/>
      <c r="JBR125" s="953"/>
      <c r="JBS125" s="953"/>
      <c r="JBT125" s="953"/>
      <c r="JBU125" s="953"/>
      <c r="JBV125" s="953"/>
      <c r="JBW125" s="953"/>
      <c r="JBX125" s="953"/>
      <c r="JBY125" s="953"/>
      <c r="JBZ125" s="953"/>
      <c r="JCA125" s="953"/>
      <c r="JCB125" s="953"/>
      <c r="JCC125" s="953"/>
      <c r="JCD125" s="953"/>
      <c r="JCE125" s="953"/>
      <c r="JCF125" s="953"/>
      <c r="JCG125" s="953"/>
      <c r="JCH125" s="953"/>
      <c r="JCI125" s="953"/>
      <c r="JCJ125" s="953"/>
      <c r="JCK125" s="953"/>
      <c r="JCL125" s="953"/>
      <c r="JCM125" s="953"/>
      <c r="JCN125" s="953"/>
      <c r="JCO125" s="953"/>
      <c r="JCP125" s="953"/>
      <c r="JCQ125" s="953"/>
      <c r="JCR125" s="953"/>
      <c r="JCS125" s="953"/>
      <c r="JCT125" s="953"/>
      <c r="JCU125" s="953"/>
      <c r="JCV125" s="953"/>
      <c r="JCW125" s="953"/>
      <c r="JCX125" s="953"/>
      <c r="JCY125" s="953"/>
      <c r="JCZ125" s="953"/>
      <c r="JDA125" s="953"/>
      <c r="JDB125" s="953"/>
      <c r="JDC125" s="953"/>
      <c r="JDD125" s="953"/>
      <c r="JDE125" s="953"/>
      <c r="JDF125" s="953"/>
      <c r="JDG125" s="953"/>
      <c r="JDH125" s="953"/>
      <c r="JDI125" s="953"/>
      <c r="JDJ125" s="953"/>
      <c r="JDK125" s="953"/>
      <c r="JDL125" s="953"/>
      <c r="JDM125" s="953"/>
      <c r="JDN125" s="953"/>
      <c r="JDO125" s="953"/>
      <c r="JDP125" s="953"/>
      <c r="JDQ125" s="953"/>
      <c r="JDR125" s="953"/>
      <c r="JDS125" s="953"/>
      <c r="JDT125" s="953"/>
      <c r="JDU125" s="953"/>
      <c r="JDV125" s="953"/>
      <c r="JDW125" s="953"/>
      <c r="JDX125" s="953"/>
      <c r="JDY125" s="953"/>
      <c r="JDZ125" s="953"/>
      <c r="JEA125" s="953"/>
      <c r="JEB125" s="953"/>
      <c r="JEC125" s="953"/>
      <c r="JED125" s="953"/>
      <c r="JEE125" s="953"/>
      <c r="JEF125" s="953"/>
      <c r="JEG125" s="953"/>
      <c r="JEH125" s="953"/>
      <c r="JEI125" s="953"/>
      <c r="JEJ125" s="953"/>
      <c r="JEK125" s="953"/>
      <c r="JEL125" s="953"/>
      <c r="JEM125" s="953"/>
      <c r="JEN125" s="953"/>
      <c r="JEO125" s="953"/>
      <c r="JEP125" s="953"/>
      <c r="JEQ125" s="953"/>
      <c r="JER125" s="953"/>
      <c r="JES125" s="953"/>
      <c r="JET125" s="953"/>
      <c r="JEU125" s="953"/>
      <c r="JEV125" s="953"/>
      <c r="JEW125" s="953"/>
      <c r="JEX125" s="953"/>
      <c r="JEY125" s="953"/>
      <c r="JEZ125" s="953"/>
      <c r="JFA125" s="953"/>
      <c r="JFB125" s="953"/>
      <c r="JFC125" s="953"/>
      <c r="JFD125" s="953"/>
      <c r="JFE125" s="953"/>
      <c r="JFF125" s="953"/>
      <c r="JFG125" s="953"/>
      <c r="JFH125" s="953"/>
      <c r="JFI125" s="953"/>
      <c r="JFJ125" s="953"/>
      <c r="JFK125" s="953"/>
      <c r="JFL125" s="953"/>
      <c r="JFM125" s="953"/>
      <c r="JFN125" s="953"/>
      <c r="JFO125" s="953"/>
      <c r="JFP125" s="953"/>
      <c r="JFQ125" s="953"/>
      <c r="JFR125" s="953"/>
      <c r="JFS125" s="953"/>
      <c r="JFT125" s="953"/>
      <c r="JFU125" s="953"/>
      <c r="JFV125" s="953"/>
      <c r="JFW125" s="953"/>
      <c r="JFX125" s="953"/>
      <c r="JFY125" s="953"/>
      <c r="JFZ125" s="953"/>
      <c r="JGA125" s="953"/>
      <c r="JGB125" s="953"/>
      <c r="JGC125" s="953"/>
      <c r="JGD125" s="953"/>
      <c r="JGE125" s="953"/>
      <c r="JGF125" s="953"/>
      <c r="JGG125" s="953"/>
      <c r="JGH125" s="953"/>
      <c r="JGI125" s="953"/>
      <c r="JGJ125" s="953"/>
      <c r="JGK125" s="953"/>
      <c r="JGL125" s="953"/>
      <c r="JGM125" s="953"/>
      <c r="JGN125" s="953"/>
      <c r="JGO125" s="953"/>
      <c r="JGP125" s="953"/>
      <c r="JGQ125" s="953"/>
      <c r="JGR125" s="953"/>
      <c r="JGS125" s="953"/>
      <c r="JGT125" s="953"/>
      <c r="JGU125" s="953"/>
      <c r="JGV125" s="953"/>
      <c r="JGW125" s="953"/>
      <c r="JGX125" s="953"/>
      <c r="JGY125" s="953"/>
      <c r="JGZ125" s="953"/>
      <c r="JHA125" s="953"/>
      <c r="JHB125" s="953"/>
      <c r="JHC125" s="953"/>
      <c r="JHD125" s="953"/>
      <c r="JHE125" s="953"/>
      <c r="JHF125" s="953"/>
      <c r="JHG125" s="953"/>
      <c r="JHH125" s="953"/>
      <c r="JHI125" s="953"/>
      <c r="JHJ125" s="953"/>
      <c r="JHK125" s="953"/>
      <c r="JHL125" s="953"/>
      <c r="JHM125" s="953"/>
      <c r="JHN125" s="953"/>
      <c r="JHO125" s="953"/>
      <c r="JHP125" s="953"/>
      <c r="JHQ125" s="953"/>
      <c r="JHR125" s="953"/>
      <c r="JHS125" s="953"/>
      <c r="JHT125" s="953"/>
      <c r="JHU125" s="953"/>
      <c r="JHV125" s="953"/>
      <c r="JHW125" s="953"/>
      <c r="JHX125" s="953"/>
      <c r="JHY125" s="953"/>
      <c r="JHZ125" s="953"/>
      <c r="JIA125" s="953"/>
      <c r="JIB125" s="953"/>
      <c r="JIC125" s="953"/>
      <c r="JID125" s="953"/>
      <c r="JIE125" s="953"/>
      <c r="JIF125" s="953"/>
      <c r="JIG125" s="953"/>
      <c r="JIH125" s="953"/>
      <c r="JII125" s="953"/>
      <c r="JIJ125" s="953"/>
      <c r="JIK125" s="953"/>
      <c r="JIL125" s="953"/>
      <c r="JIM125" s="953"/>
      <c r="JIN125" s="953"/>
      <c r="JIO125" s="953"/>
      <c r="JIP125" s="953"/>
      <c r="JIQ125" s="953"/>
      <c r="JIR125" s="953"/>
      <c r="JIS125" s="953"/>
      <c r="JIT125" s="953"/>
      <c r="JIU125" s="953"/>
      <c r="JIV125" s="953"/>
      <c r="JIW125" s="953"/>
      <c r="JIX125" s="953"/>
      <c r="JIY125" s="953"/>
      <c r="JIZ125" s="953"/>
      <c r="JJA125" s="953"/>
      <c r="JJB125" s="953"/>
      <c r="JJC125" s="953"/>
      <c r="JJD125" s="953"/>
      <c r="JJE125" s="953"/>
      <c r="JJF125" s="953"/>
      <c r="JJG125" s="953"/>
      <c r="JJH125" s="953"/>
      <c r="JJI125" s="953"/>
      <c r="JJJ125" s="953"/>
      <c r="JJK125" s="953"/>
      <c r="JJL125" s="953"/>
      <c r="JJM125" s="953"/>
      <c r="JJN125" s="953"/>
      <c r="JJO125" s="953"/>
      <c r="JJP125" s="953"/>
      <c r="JJQ125" s="953"/>
      <c r="JJR125" s="953"/>
      <c r="JJS125" s="953"/>
      <c r="JJT125" s="953"/>
      <c r="JJU125" s="953"/>
      <c r="JJV125" s="953"/>
      <c r="JJW125" s="953"/>
      <c r="JJX125" s="953"/>
      <c r="JJY125" s="953"/>
      <c r="JJZ125" s="953"/>
      <c r="JKA125" s="953"/>
      <c r="JKB125" s="953"/>
      <c r="JKC125" s="953"/>
      <c r="JKD125" s="953"/>
      <c r="JKE125" s="953"/>
      <c r="JKF125" s="953"/>
      <c r="JKG125" s="953"/>
      <c r="JKH125" s="953"/>
      <c r="JKI125" s="953"/>
      <c r="JKJ125" s="953"/>
      <c r="JKK125" s="953"/>
      <c r="JKL125" s="953"/>
      <c r="JKM125" s="953"/>
      <c r="JKN125" s="953"/>
      <c r="JKO125" s="953"/>
      <c r="JKP125" s="953"/>
      <c r="JKQ125" s="953"/>
      <c r="JKR125" s="953"/>
      <c r="JKS125" s="953"/>
      <c r="JKT125" s="953"/>
      <c r="JKU125" s="953"/>
      <c r="JKV125" s="953"/>
      <c r="JKW125" s="953"/>
      <c r="JKX125" s="953"/>
      <c r="JKY125" s="953"/>
      <c r="JKZ125" s="953"/>
      <c r="JLA125" s="953"/>
      <c r="JLB125" s="953"/>
      <c r="JLC125" s="953"/>
      <c r="JLD125" s="953"/>
      <c r="JLE125" s="953"/>
      <c r="JLF125" s="953"/>
      <c r="JLG125" s="953"/>
      <c r="JLH125" s="953"/>
      <c r="JLI125" s="953"/>
      <c r="JLJ125" s="953"/>
      <c r="JLK125" s="953"/>
      <c r="JLL125" s="953"/>
      <c r="JLM125" s="953"/>
      <c r="JLN125" s="953"/>
      <c r="JLO125" s="953"/>
      <c r="JLP125" s="953"/>
      <c r="JLQ125" s="953"/>
      <c r="JLR125" s="953"/>
      <c r="JLS125" s="953"/>
      <c r="JLT125" s="953"/>
      <c r="JLU125" s="953"/>
      <c r="JLV125" s="953"/>
      <c r="JLW125" s="953"/>
      <c r="JLX125" s="953"/>
      <c r="JLY125" s="953"/>
      <c r="JLZ125" s="953"/>
      <c r="JMA125" s="953"/>
      <c r="JMB125" s="953"/>
      <c r="JMC125" s="953"/>
      <c r="JMD125" s="953"/>
      <c r="JME125" s="953"/>
      <c r="JMF125" s="953"/>
      <c r="JMG125" s="953"/>
      <c r="JMH125" s="953"/>
      <c r="JMI125" s="953"/>
      <c r="JMJ125" s="953"/>
      <c r="JMK125" s="953"/>
      <c r="JML125" s="953"/>
      <c r="JMM125" s="953"/>
      <c r="JMN125" s="953"/>
      <c r="JMO125" s="953"/>
      <c r="JMP125" s="953"/>
      <c r="JMQ125" s="953"/>
      <c r="JMR125" s="953"/>
      <c r="JMS125" s="953"/>
      <c r="JMT125" s="953"/>
      <c r="JMU125" s="953"/>
      <c r="JMV125" s="953"/>
      <c r="JMW125" s="953"/>
      <c r="JMX125" s="953"/>
      <c r="JMY125" s="953"/>
      <c r="JMZ125" s="953"/>
      <c r="JNA125" s="953"/>
      <c r="JNB125" s="953"/>
      <c r="JNC125" s="953"/>
      <c r="JND125" s="953"/>
      <c r="JNE125" s="953"/>
      <c r="JNF125" s="953"/>
      <c r="JNG125" s="953"/>
      <c r="JNH125" s="953"/>
      <c r="JNI125" s="953"/>
      <c r="JNJ125" s="953"/>
      <c r="JNK125" s="953"/>
      <c r="JNL125" s="953"/>
      <c r="JNM125" s="953"/>
      <c r="JNN125" s="953"/>
      <c r="JNO125" s="953"/>
      <c r="JNP125" s="953"/>
      <c r="JNQ125" s="953"/>
      <c r="JNR125" s="953"/>
      <c r="JNS125" s="953"/>
      <c r="JNT125" s="953"/>
      <c r="JNU125" s="953"/>
      <c r="JNV125" s="953"/>
      <c r="JNW125" s="953"/>
      <c r="JNX125" s="953"/>
      <c r="JNY125" s="953"/>
      <c r="JNZ125" s="953"/>
      <c r="JOA125" s="953"/>
      <c r="JOB125" s="953"/>
      <c r="JOC125" s="953"/>
      <c r="JOD125" s="953"/>
      <c r="JOE125" s="953"/>
      <c r="JOF125" s="953"/>
      <c r="JOG125" s="953"/>
      <c r="JOH125" s="953"/>
      <c r="JOI125" s="953"/>
      <c r="JOJ125" s="953"/>
      <c r="JOK125" s="953"/>
      <c r="JOL125" s="953"/>
      <c r="JOM125" s="953"/>
      <c r="JON125" s="953"/>
      <c r="JOO125" s="953"/>
      <c r="JOP125" s="953"/>
      <c r="JOQ125" s="953"/>
      <c r="JOR125" s="953"/>
      <c r="JOS125" s="953"/>
      <c r="JOT125" s="953"/>
      <c r="JOU125" s="953"/>
      <c r="JOV125" s="953"/>
      <c r="JOW125" s="953"/>
      <c r="JOX125" s="953"/>
      <c r="JOY125" s="953"/>
      <c r="JOZ125" s="953"/>
      <c r="JPA125" s="953"/>
      <c r="JPB125" s="953"/>
      <c r="JPC125" s="953"/>
      <c r="JPD125" s="953"/>
      <c r="JPE125" s="953"/>
      <c r="JPF125" s="953"/>
      <c r="JPG125" s="953"/>
      <c r="JPH125" s="953"/>
      <c r="JPI125" s="953"/>
      <c r="JPJ125" s="953"/>
      <c r="JPK125" s="953"/>
      <c r="JPL125" s="953"/>
      <c r="JPM125" s="953"/>
      <c r="JPN125" s="953"/>
      <c r="JPO125" s="953"/>
      <c r="JPP125" s="953"/>
      <c r="JPQ125" s="953"/>
      <c r="JPR125" s="953"/>
      <c r="JPS125" s="953"/>
      <c r="JPT125" s="953"/>
      <c r="JPU125" s="953"/>
      <c r="JPV125" s="953"/>
      <c r="JPW125" s="953"/>
      <c r="JPX125" s="953"/>
      <c r="JPY125" s="953"/>
      <c r="JPZ125" s="953"/>
      <c r="JQA125" s="953"/>
      <c r="JQB125" s="953"/>
      <c r="JQC125" s="953"/>
      <c r="JQD125" s="953"/>
      <c r="JQE125" s="953"/>
      <c r="JQF125" s="953"/>
      <c r="JQG125" s="953"/>
      <c r="JQH125" s="953"/>
      <c r="JQI125" s="953"/>
      <c r="JQJ125" s="953"/>
      <c r="JQK125" s="953"/>
      <c r="JQL125" s="953"/>
      <c r="JQM125" s="953"/>
      <c r="JQN125" s="953"/>
      <c r="JQO125" s="953"/>
      <c r="JQP125" s="953"/>
      <c r="JQQ125" s="953"/>
      <c r="JQR125" s="953"/>
      <c r="JQS125" s="953"/>
      <c r="JQT125" s="953"/>
      <c r="JQU125" s="953"/>
      <c r="JQV125" s="953"/>
      <c r="JQW125" s="953"/>
      <c r="JQX125" s="953"/>
      <c r="JQY125" s="953"/>
      <c r="JQZ125" s="953"/>
      <c r="JRA125" s="953"/>
      <c r="JRB125" s="953"/>
      <c r="JRC125" s="953"/>
      <c r="JRD125" s="953"/>
      <c r="JRE125" s="953"/>
      <c r="JRF125" s="953"/>
      <c r="JRG125" s="953"/>
      <c r="JRH125" s="953"/>
      <c r="JRI125" s="953"/>
      <c r="JRJ125" s="953"/>
      <c r="JRK125" s="953"/>
      <c r="JRL125" s="953"/>
      <c r="JRM125" s="953"/>
      <c r="JRN125" s="953"/>
      <c r="JRO125" s="953"/>
      <c r="JRP125" s="953"/>
      <c r="JRQ125" s="953"/>
      <c r="JRR125" s="953"/>
      <c r="JRS125" s="953"/>
      <c r="JRT125" s="953"/>
      <c r="JRU125" s="953"/>
      <c r="JRV125" s="953"/>
      <c r="JRW125" s="953"/>
      <c r="JRX125" s="953"/>
      <c r="JRY125" s="953"/>
      <c r="JRZ125" s="953"/>
      <c r="JSA125" s="953"/>
      <c r="JSB125" s="953"/>
      <c r="JSC125" s="953"/>
      <c r="JSD125" s="953"/>
      <c r="JSE125" s="953"/>
      <c r="JSF125" s="953"/>
      <c r="JSG125" s="953"/>
      <c r="JSH125" s="953"/>
      <c r="JSI125" s="953"/>
      <c r="JSJ125" s="953"/>
      <c r="JSK125" s="953"/>
      <c r="JSL125" s="953"/>
      <c r="JSM125" s="953"/>
      <c r="JSN125" s="953"/>
      <c r="JSO125" s="953"/>
      <c r="JSP125" s="953"/>
      <c r="JSQ125" s="953"/>
      <c r="JSR125" s="953"/>
      <c r="JSS125" s="953"/>
      <c r="JST125" s="953"/>
      <c r="JSU125" s="953"/>
      <c r="JSV125" s="953"/>
      <c r="JSW125" s="953"/>
      <c r="JSX125" s="953"/>
      <c r="JSY125" s="953"/>
      <c r="JSZ125" s="953"/>
      <c r="JTA125" s="953"/>
      <c r="JTB125" s="953"/>
      <c r="JTC125" s="953"/>
      <c r="JTD125" s="953"/>
      <c r="JTE125" s="953"/>
      <c r="JTF125" s="953"/>
      <c r="JTG125" s="953"/>
      <c r="JTH125" s="953"/>
      <c r="JTI125" s="953"/>
      <c r="JTJ125" s="953"/>
      <c r="JTK125" s="953"/>
      <c r="JTL125" s="953"/>
      <c r="JTM125" s="953"/>
      <c r="JTN125" s="953"/>
      <c r="JTO125" s="953"/>
      <c r="JTP125" s="953"/>
      <c r="JTQ125" s="953"/>
      <c r="JTR125" s="953"/>
      <c r="JTS125" s="953"/>
      <c r="JTT125" s="953"/>
      <c r="JTU125" s="953"/>
      <c r="JTV125" s="953"/>
      <c r="JTW125" s="953"/>
      <c r="JTX125" s="953"/>
      <c r="JTY125" s="953"/>
      <c r="JTZ125" s="953"/>
      <c r="JUA125" s="953"/>
      <c r="JUB125" s="953"/>
      <c r="JUC125" s="953"/>
      <c r="JUD125" s="953"/>
      <c r="JUE125" s="953"/>
      <c r="JUF125" s="953"/>
      <c r="JUG125" s="953"/>
      <c r="JUH125" s="953"/>
      <c r="JUI125" s="953"/>
      <c r="JUJ125" s="953"/>
      <c r="JUK125" s="953"/>
      <c r="JUL125" s="953"/>
      <c r="JUM125" s="953"/>
      <c r="JUN125" s="953"/>
      <c r="JUO125" s="953"/>
      <c r="JUP125" s="953"/>
      <c r="JUQ125" s="953"/>
      <c r="JUR125" s="953"/>
      <c r="JUS125" s="953"/>
      <c r="JUT125" s="953"/>
      <c r="JUU125" s="953"/>
      <c r="JUV125" s="953"/>
      <c r="JUW125" s="953"/>
      <c r="JUX125" s="953"/>
      <c r="JUY125" s="953"/>
      <c r="JUZ125" s="953"/>
      <c r="JVA125" s="953"/>
      <c r="JVB125" s="953"/>
      <c r="JVC125" s="953"/>
      <c r="JVD125" s="953"/>
      <c r="JVE125" s="953"/>
      <c r="JVF125" s="953"/>
      <c r="JVG125" s="953"/>
      <c r="JVH125" s="953"/>
      <c r="JVI125" s="953"/>
      <c r="JVJ125" s="953"/>
      <c r="JVK125" s="953"/>
      <c r="JVL125" s="953"/>
      <c r="JVM125" s="953"/>
      <c r="JVN125" s="953"/>
      <c r="JVO125" s="953"/>
      <c r="JVP125" s="953"/>
      <c r="JVQ125" s="953"/>
      <c r="JVR125" s="953"/>
      <c r="JVS125" s="953"/>
      <c r="JVT125" s="953"/>
      <c r="JVU125" s="953"/>
      <c r="JVV125" s="953"/>
      <c r="JVW125" s="953"/>
      <c r="JVX125" s="953"/>
      <c r="JVY125" s="953"/>
      <c r="JVZ125" s="953"/>
      <c r="JWA125" s="953"/>
      <c r="JWB125" s="953"/>
      <c r="JWC125" s="953"/>
      <c r="JWD125" s="953"/>
      <c r="JWE125" s="953"/>
      <c r="JWF125" s="953"/>
      <c r="JWG125" s="953"/>
      <c r="JWH125" s="953"/>
      <c r="JWI125" s="953"/>
      <c r="JWJ125" s="953"/>
      <c r="JWK125" s="953"/>
      <c r="JWL125" s="953"/>
      <c r="JWM125" s="953"/>
      <c r="JWN125" s="953"/>
      <c r="JWO125" s="953"/>
      <c r="JWP125" s="953"/>
      <c r="JWQ125" s="953"/>
      <c r="JWR125" s="953"/>
      <c r="JWS125" s="953"/>
      <c r="JWT125" s="953"/>
      <c r="JWU125" s="953"/>
      <c r="JWV125" s="953"/>
      <c r="JWW125" s="953"/>
      <c r="JWX125" s="953"/>
      <c r="JWY125" s="953"/>
      <c r="JWZ125" s="953"/>
      <c r="JXA125" s="953"/>
      <c r="JXB125" s="953"/>
      <c r="JXC125" s="953"/>
      <c r="JXD125" s="953"/>
      <c r="JXE125" s="953"/>
      <c r="JXF125" s="953"/>
      <c r="JXG125" s="953"/>
      <c r="JXH125" s="953"/>
      <c r="JXI125" s="953"/>
      <c r="JXJ125" s="953"/>
      <c r="JXK125" s="953"/>
      <c r="JXL125" s="953"/>
      <c r="JXM125" s="953"/>
      <c r="JXN125" s="953"/>
      <c r="JXO125" s="953"/>
      <c r="JXP125" s="953"/>
      <c r="JXQ125" s="953"/>
      <c r="JXR125" s="953"/>
      <c r="JXS125" s="953"/>
      <c r="JXT125" s="953"/>
      <c r="JXU125" s="953"/>
      <c r="JXV125" s="953"/>
      <c r="JXW125" s="953"/>
      <c r="JXX125" s="953"/>
      <c r="JXY125" s="953"/>
      <c r="JXZ125" s="953"/>
      <c r="JYA125" s="953"/>
      <c r="JYB125" s="953"/>
      <c r="JYC125" s="953"/>
      <c r="JYD125" s="953"/>
      <c r="JYE125" s="953"/>
      <c r="JYF125" s="953"/>
      <c r="JYG125" s="953"/>
      <c r="JYH125" s="953"/>
      <c r="JYI125" s="953"/>
      <c r="JYJ125" s="953"/>
      <c r="JYK125" s="953"/>
      <c r="JYL125" s="953"/>
      <c r="JYM125" s="953"/>
      <c r="JYN125" s="953"/>
      <c r="JYO125" s="953"/>
      <c r="JYP125" s="953"/>
      <c r="JYQ125" s="953"/>
      <c r="JYR125" s="953"/>
      <c r="JYS125" s="953"/>
      <c r="JYT125" s="953"/>
      <c r="JYU125" s="953"/>
      <c r="JYV125" s="953"/>
      <c r="JYW125" s="953"/>
      <c r="JYX125" s="953"/>
      <c r="JYY125" s="953"/>
      <c r="JYZ125" s="953"/>
      <c r="JZA125" s="953"/>
      <c r="JZB125" s="953"/>
      <c r="JZC125" s="953"/>
      <c r="JZD125" s="953"/>
      <c r="JZE125" s="953"/>
      <c r="JZF125" s="953"/>
      <c r="JZG125" s="953"/>
      <c r="JZH125" s="953"/>
      <c r="JZI125" s="953"/>
      <c r="JZJ125" s="953"/>
      <c r="JZK125" s="953"/>
      <c r="JZL125" s="953"/>
      <c r="JZM125" s="953"/>
      <c r="JZN125" s="953"/>
      <c r="JZO125" s="953"/>
      <c r="JZP125" s="953"/>
      <c r="JZQ125" s="953"/>
      <c r="JZR125" s="953"/>
      <c r="JZS125" s="953"/>
      <c r="JZT125" s="953"/>
      <c r="JZU125" s="953"/>
      <c r="JZV125" s="953"/>
      <c r="JZW125" s="953"/>
      <c r="JZX125" s="953"/>
      <c r="JZY125" s="953"/>
      <c r="JZZ125" s="953"/>
      <c r="KAA125" s="953"/>
      <c r="KAB125" s="953"/>
      <c r="KAC125" s="953"/>
      <c r="KAD125" s="953"/>
      <c r="KAE125" s="953"/>
      <c r="KAF125" s="953"/>
      <c r="KAG125" s="953"/>
      <c r="KAH125" s="953"/>
      <c r="KAI125" s="953"/>
      <c r="KAJ125" s="953"/>
      <c r="KAK125" s="953"/>
      <c r="KAL125" s="953"/>
      <c r="KAM125" s="953"/>
      <c r="KAN125" s="953"/>
      <c r="KAO125" s="953"/>
      <c r="KAP125" s="953"/>
      <c r="KAQ125" s="953"/>
      <c r="KAR125" s="953"/>
      <c r="KAS125" s="953"/>
      <c r="KAT125" s="953"/>
      <c r="KAU125" s="953"/>
      <c r="KAV125" s="953"/>
      <c r="KAW125" s="953"/>
      <c r="KAX125" s="953"/>
      <c r="KAY125" s="953"/>
      <c r="KAZ125" s="953"/>
      <c r="KBA125" s="953"/>
      <c r="KBB125" s="953"/>
      <c r="KBC125" s="953"/>
      <c r="KBD125" s="953"/>
      <c r="KBE125" s="953"/>
      <c r="KBF125" s="953"/>
      <c r="KBG125" s="953"/>
      <c r="KBH125" s="953"/>
      <c r="KBI125" s="953"/>
      <c r="KBJ125" s="953"/>
      <c r="KBK125" s="953"/>
      <c r="KBL125" s="953"/>
      <c r="KBM125" s="953"/>
      <c r="KBN125" s="953"/>
      <c r="KBO125" s="953"/>
      <c r="KBP125" s="953"/>
      <c r="KBQ125" s="953"/>
      <c r="KBR125" s="953"/>
      <c r="KBS125" s="953"/>
      <c r="KBT125" s="953"/>
      <c r="KBU125" s="953"/>
      <c r="KBV125" s="953"/>
      <c r="KBW125" s="953"/>
      <c r="KBX125" s="953"/>
      <c r="KBY125" s="953"/>
      <c r="KBZ125" s="953"/>
      <c r="KCA125" s="953"/>
      <c r="KCB125" s="953"/>
      <c r="KCC125" s="953"/>
      <c r="KCD125" s="953"/>
      <c r="KCE125" s="953"/>
      <c r="KCF125" s="953"/>
      <c r="KCG125" s="953"/>
      <c r="KCH125" s="953"/>
      <c r="KCI125" s="953"/>
      <c r="KCJ125" s="953"/>
      <c r="KCK125" s="953"/>
      <c r="KCL125" s="953"/>
      <c r="KCM125" s="953"/>
      <c r="KCN125" s="953"/>
      <c r="KCO125" s="953"/>
      <c r="KCP125" s="953"/>
      <c r="KCQ125" s="953"/>
      <c r="KCR125" s="953"/>
      <c r="KCS125" s="953"/>
      <c r="KCT125" s="953"/>
      <c r="KCU125" s="953"/>
      <c r="KCV125" s="953"/>
      <c r="KCW125" s="953"/>
      <c r="KCX125" s="953"/>
      <c r="KCY125" s="953"/>
      <c r="KCZ125" s="953"/>
      <c r="KDA125" s="953"/>
      <c r="KDB125" s="953"/>
      <c r="KDC125" s="953"/>
      <c r="KDD125" s="953"/>
      <c r="KDE125" s="953"/>
      <c r="KDF125" s="953"/>
      <c r="KDG125" s="953"/>
      <c r="KDH125" s="953"/>
      <c r="KDI125" s="953"/>
      <c r="KDJ125" s="953"/>
      <c r="KDK125" s="953"/>
      <c r="KDL125" s="953"/>
      <c r="KDM125" s="953"/>
      <c r="KDN125" s="953"/>
      <c r="KDO125" s="953"/>
      <c r="KDP125" s="953"/>
      <c r="KDQ125" s="953"/>
      <c r="KDR125" s="953"/>
      <c r="KDS125" s="953"/>
      <c r="KDT125" s="953"/>
      <c r="KDU125" s="953"/>
      <c r="KDV125" s="953"/>
      <c r="KDW125" s="953"/>
      <c r="KDX125" s="953"/>
      <c r="KDY125" s="953"/>
      <c r="KDZ125" s="953"/>
      <c r="KEA125" s="953"/>
      <c r="KEB125" s="953"/>
      <c r="KEC125" s="953"/>
      <c r="KED125" s="953"/>
      <c r="KEE125" s="953"/>
      <c r="KEF125" s="953"/>
      <c r="KEG125" s="953"/>
      <c r="KEH125" s="953"/>
      <c r="KEI125" s="953"/>
      <c r="KEJ125" s="953"/>
      <c r="KEK125" s="953"/>
      <c r="KEL125" s="953"/>
      <c r="KEM125" s="953"/>
      <c r="KEN125" s="953"/>
      <c r="KEO125" s="953"/>
      <c r="KEP125" s="953"/>
      <c r="KEQ125" s="953"/>
      <c r="KER125" s="953"/>
      <c r="KES125" s="953"/>
      <c r="KET125" s="953"/>
      <c r="KEU125" s="953"/>
      <c r="KEV125" s="953"/>
      <c r="KEW125" s="953"/>
      <c r="KEX125" s="953"/>
      <c r="KEY125" s="953"/>
      <c r="KEZ125" s="953"/>
      <c r="KFA125" s="953"/>
      <c r="KFB125" s="953"/>
      <c r="KFC125" s="953"/>
      <c r="KFD125" s="953"/>
      <c r="KFE125" s="953"/>
      <c r="KFF125" s="953"/>
      <c r="KFG125" s="953"/>
      <c r="KFH125" s="953"/>
      <c r="KFI125" s="953"/>
      <c r="KFJ125" s="953"/>
      <c r="KFK125" s="953"/>
      <c r="KFL125" s="953"/>
      <c r="KFM125" s="953"/>
      <c r="KFN125" s="953"/>
      <c r="KFO125" s="953"/>
      <c r="KFP125" s="953"/>
      <c r="KFQ125" s="953"/>
      <c r="KFR125" s="953"/>
      <c r="KFS125" s="953"/>
      <c r="KFT125" s="953"/>
      <c r="KFU125" s="953"/>
      <c r="KFV125" s="953"/>
      <c r="KFW125" s="953"/>
      <c r="KFX125" s="953"/>
      <c r="KFY125" s="953"/>
      <c r="KFZ125" s="953"/>
      <c r="KGA125" s="953"/>
      <c r="KGB125" s="953"/>
      <c r="KGC125" s="953"/>
      <c r="KGD125" s="953"/>
      <c r="KGE125" s="953"/>
      <c r="KGF125" s="953"/>
      <c r="KGG125" s="953"/>
      <c r="KGH125" s="953"/>
      <c r="KGI125" s="953"/>
      <c r="KGJ125" s="953"/>
      <c r="KGK125" s="953"/>
      <c r="KGL125" s="953"/>
      <c r="KGM125" s="953"/>
      <c r="KGN125" s="953"/>
      <c r="KGO125" s="953"/>
      <c r="KGP125" s="953"/>
      <c r="KGQ125" s="953"/>
      <c r="KGR125" s="953"/>
      <c r="KGS125" s="953"/>
      <c r="KGT125" s="953"/>
      <c r="KGU125" s="953"/>
      <c r="KGV125" s="953"/>
      <c r="KGW125" s="953"/>
      <c r="KGX125" s="953"/>
      <c r="KGY125" s="953"/>
      <c r="KGZ125" s="953"/>
      <c r="KHA125" s="953"/>
      <c r="KHB125" s="953"/>
      <c r="KHC125" s="953"/>
      <c r="KHD125" s="953"/>
      <c r="KHE125" s="953"/>
      <c r="KHF125" s="953"/>
      <c r="KHG125" s="953"/>
      <c r="KHH125" s="953"/>
      <c r="KHI125" s="953"/>
      <c r="KHJ125" s="953"/>
      <c r="KHK125" s="953"/>
      <c r="KHL125" s="953"/>
      <c r="KHM125" s="953"/>
      <c r="KHN125" s="953"/>
      <c r="KHO125" s="953"/>
      <c r="KHP125" s="953"/>
      <c r="KHQ125" s="953"/>
      <c r="KHR125" s="953"/>
      <c r="KHS125" s="953"/>
      <c r="KHT125" s="953"/>
      <c r="KHU125" s="953"/>
      <c r="KHV125" s="953"/>
      <c r="KHW125" s="953"/>
      <c r="KHX125" s="953"/>
      <c r="KHY125" s="953"/>
      <c r="KHZ125" s="953"/>
      <c r="KIA125" s="953"/>
      <c r="KIB125" s="953"/>
      <c r="KIC125" s="953"/>
      <c r="KID125" s="953"/>
      <c r="KIE125" s="953"/>
      <c r="KIF125" s="953"/>
      <c r="KIG125" s="953"/>
      <c r="KIH125" s="953"/>
      <c r="KII125" s="953"/>
      <c r="KIJ125" s="953"/>
      <c r="KIK125" s="953"/>
      <c r="KIL125" s="953"/>
      <c r="KIM125" s="953"/>
      <c r="KIN125" s="953"/>
      <c r="KIO125" s="953"/>
      <c r="KIP125" s="953"/>
      <c r="KIQ125" s="953"/>
      <c r="KIR125" s="953"/>
      <c r="KIS125" s="953"/>
      <c r="KIT125" s="953"/>
      <c r="KIU125" s="953"/>
      <c r="KIV125" s="953"/>
      <c r="KIW125" s="953"/>
      <c r="KIX125" s="953"/>
      <c r="KIY125" s="953"/>
      <c r="KIZ125" s="953"/>
      <c r="KJA125" s="953"/>
      <c r="KJB125" s="953"/>
      <c r="KJC125" s="953"/>
      <c r="KJD125" s="953"/>
      <c r="KJE125" s="953"/>
      <c r="KJF125" s="953"/>
      <c r="KJG125" s="953"/>
      <c r="KJH125" s="953"/>
      <c r="KJI125" s="953"/>
      <c r="KJJ125" s="953"/>
      <c r="KJK125" s="953"/>
      <c r="KJL125" s="953"/>
      <c r="KJM125" s="953"/>
      <c r="KJN125" s="953"/>
      <c r="KJO125" s="953"/>
      <c r="KJP125" s="953"/>
      <c r="KJQ125" s="953"/>
      <c r="KJR125" s="953"/>
      <c r="KJS125" s="953"/>
      <c r="KJT125" s="953"/>
      <c r="KJU125" s="953"/>
      <c r="KJV125" s="953"/>
      <c r="KJW125" s="953"/>
      <c r="KJX125" s="953"/>
      <c r="KJY125" s="953"/>
      <c r="KJZ125" s="953"/>
      <c r="KKA125" s="953"/>
      <c r="KKB125" s="953"/>
      <c r="KKC125" s="953"/>
      <c r="KKD125" s="953"/>
      <c r="KKE125" s="953"/>
      <c r="KKF125" s="953"/>
      <c r="KKG125" s="953"/>
      <c r="KKH125" s="953"/>
      <c r="KKI125" s="953"/>
      <c r="KKJ125" s="953"/>
      <c r="KKK125" s="953"/>
      <c r="KKL125" s="953"/>
      <c r="KKM125" s="953"/>
      <c r="KKN125" s="953"/>
      <c r="KKO125" s="953"/>
      <c r="KKP125" s="953"/>
      <c r="KKQ125" s="953"/>
      <c r="KKR125" s="953"/>
      <c r="KKS125" s="953"/>
      <c r="KKT125" s="953"/>
      <c r="KKU125" s="953"/>
      <c r="KKV125" s="953"/>
      <c r="KKW125" s="953"/>
      <c r="KKX125" s="953"/>
      <c r="KKY125" s="953"/>
      <c r="KKZ125" s="953"/>
      <c r="KLA125" s="953"/>
      <c r="KLB125" s="953"/>
      <c r="KLC125" s="953"/>
      <c r="KLD125" s="953"/>
      <c r="KLE125" s="953"/>
      <c r="KLF125" s="953"/>
      <c r="KLG125" s="953"/>
      <c r="KLH125" s="953"/>
      <c r="KLI125" s="953"/>
      <c r="KLJ125" s="953"/>
      <c r="KLK125" s="953"/>
      <c r="KLL125" s="953"/>
      <c r="KLM125" s="953"/>
      <c r="KLN125" s="953"/>
      <c r="KLO125" s="953"/>
      <c r="KLP125" s="953"/>
      <c r="KLQ125" s="953"/>
      <c r="KLR125" s="953"/>
      <c r="KLS125" s="953"/>
      <c r="KLT125" s="953"/>
      <c r="KLU125" s="953"/>
      <c r="KLV125" s="953"/>
      <c r="KLW125" s="953"/>
      <c r="KLX125" s="953"/>
      <c r="KLY125" s="953"/>
      <c r="KLZ125" s="953"/>
      <c r="KMA125" s="953"/>
      <c r="KMB125" s="953"/>
      <c r="KMC125" s="953"/>
      <c r="KMD125" s="953"/>
      <c r="KME125" s="953"/>
      <c r="KMF125" s="953"/>
      <c r="KMG125" s="953"/>
      <c r="KMH125" s="953"/>
      <c r="KMI125" s="953"/>
      <c r="KMJ125" s="953"/>
      <c r="KMK125" s="953"/>
      <c r="KML125" s="953"/>
      <c r="KMM125" s="953"/>
      <c r="KMN125" s="953"/>
      <c r="KMO125" s="953"/>
      <c r="KMP125" s="953"/>
      <c r="KMQ125" s="953"/>
      <c r="KMR125" s="953"/>
      <c r="KMS125" s="953"/>
      <c r="KMT125" s="953"/>
      <c r="KMU125" s="953"/>
      <c r="KMV125" s="953"/>
      <c r="KMW125" s="953"/>
      <c r="KMX125" s="953"/>
      <c r="KMY125" s="953"/>
      <c r="KMZ125" s="953"/>
      <c r="KNA125" s="953"/>
      <c r="KNB125" s="953"/>
      <c r="KNC125" s="953"/>
      <c r="KND125" s="953"/>
      <c r="KNE125" s="953"/>
      <c r="KNF125" s="953"/>
      <c r="KNG125" s="953"/>
      <c r="KNH125" s="953"/>
      <c r="KNI125" s="953"/>
      <c r="KNJ125" s="953"/>
      <c r="KNK125" s="953"/>
      <c r="KNL125" s="953"/>
      <c r="KNM125" s="953"/>
      <c r="KNN125" s="953"/>
      <c r="KNO125" s="953"/>
      <c r="KNP125" s="953"/>
      <c r="KNQ125" s="953"/>
      <c r="KNR125" s="953"/>
      <c r="KNS125" s="953"/>
      <c r="KNT125" s="953"/>
      <c r="KNU125" s="953"/>
      <c r="KNV125" s="953"/>
      <c r="KNW125" s="953"/>
      <c r="KNX125" s="953"/>
      <c r="KNY125" s="953"/>
      <c r="KNZ125" s="953"/>
      <c r="KOA125" s="953"/>
      <c r="KOB125" s="953"/>
      <c r="KOC125" s="953"/>
      <c r="KOD125" s="953"/>
      <c r="KOE125" s="953"/>
      <c r="KOF125" s="953"/>
      <c r="KOG125" s="953"/>
      <c r="KOH125" s="953"/>
      <c r="KOI125" s="953"/>
      <c r="KOJ125" s="953"/>
      <c r="KOK125" s="953"/>
      <c r="KOL125" s="953"/>
      <c r="KOM125" s="953"/>
      <c r="KON125" s="953"/>
      <c r="KOO125" s="953"/>
      <c r="KOP125" s="953"/>
      <c r="KOQ125" s="953"/>
      <c r="KOR125" s="953"/>
      <c r="KOS125" s="953"/>
      <c r="KOT125" s="953"/>
      <c r="KOU125" s="953"/>
      <c r="KOV125" s="953"/>
      <c r="KOW125" s="953"/>
      <c r="KOX125" s="953"/>
      <c r="KOY125" s="953"/>
      <c r="KOZ125" s="953"/>
      <c r="KPA125" s="953"/>
      <c r="KPB125" s="953"/>
      <c r="KPC125" s="953"/>
      <c r="KPD125" s="953"/>
      <c r="KPE125" s="953"/>
      <c r="KPF125" s="953"/>
      <c r="KPG125" s="953"/>
      <c r="KPH125" s="953"/>
      <c r="KPI125" s="953"/>
      <c r="KPJ125" s="953"/>
      <c r="KPK125" s="953"/>
      <c r="KPL125" s="953"/>
      <c r="KPM125" s="953"/>
      <c r="KPN125" s="953"/>
      <c r="KPO125" s="953"/>
      <c r="KPP125" s="953"/>
      <c r="KPQ125" s="953"/>
      <c r="KPR125" s="953"/>
      <c r="KPS125" s="953"/>
      <c r="KPT125" s="953"/>
      <c r="KPU125" s="953"/>
      <c r="KPV125" s="953"/>
      <c r="KPW125" s="953"/>
      <c r="KPX125" s="953"/>
      <c r="KPY125" s="953"/>
      <c r="KPZ125" s="953"/>
      <c r="KQA125" s="953"/>
      <c r="KQB125" s="953"/>
      <c r="KQC125" s="953"/>
      <c r="KQD125" s="953"/>
      <c r="KQE125" s="953"/>
      <c r="KQF125" s="953"/>
      <c r="KQG125" s="953"/>
      <c r="KQH125" s="953"/>
      <c r="KQI125" s="953"/>
      <c r="KQJ125" s="953"/>
      <c r="KQK125" s="953"/>
      <c r="KQL125" s="953"/>
      <c r="KQM125" s="953"/>
      <c r="KQN125" s="953"/>
      <c r="KQO125" s="953"/>
      <c r="KQP125" s="953"/>
      <c r="KQQ125" s="953"/>
      <c r="KQR125" s="953"/>
      <c r="KQS125" s="953"/>
      <c r="KQT125" s="953"/>
      <c r="KQU125" s="953"/>
      <c r="KQV125" s="953"/>
      <c r="KQW125" s="953"/>
      <c r="KQX125" s="953"/>
      <c r="KQY125" s="953"/>
      <c r="KQZ125" s="953"/>
      <c r="KRA125" s="953"/>
      <c r="KRB125" s="953"/>
      <c r="KRC125" s="953"/>
      <c r="KRD125" s="953"/>
      <c r="KRE125" s="953"/>
      <c r="KRF125" s="953"/>
      <c r="KRG125" s="953"/>
      <c r="KRH125" s="953"/>
      <c r="KRI125" s="953"/>
      <c r="KRJ125" s="953"/>
      <c r="KRK125" s="953"/>
      <c r="KRL125" s="953"/>
      <c r="KRM125" s="953"/>
      <c r="KRN125" s="953"/>
      <c r="KRO125" s="953"/>
      <c r="KRP125" s="953"/>
      <c r="KRQ125" s="953"/>
      <c r="KRR125" s="953"/>
      <c r="KRS125" s="953"/>
      <c r="KRT125" s="953"/>
      <c r="KRU125" s="953"/>
      <c r="KRV125" s="953"/>
      <c r="KRW125" s="953"/>
      <c r="KRX125" s="953"/>
      <c r="KRY125" s="953"/>
      <c r="KRZ125" s="953"/>
      <c r="KSA125" s="953"/>
      <c r="KSB125" s="953"/>
      <c r="KSC125" s="953"/>
      <c r="KSD125" s="953"/>
      <c r="KSE125" s="953"/>
      <c r="KSF125" s="953"/>
      <c r="KSG125" s="953"/>
      <c r="KSH125" s="953"/>
      <c r="KSI125" s="953"/>
      <c r="KSJ125" s="953"/>
      <c r="KSK125" s="953"/>
      <c r="KSL125" s="953"/>
      <c r="KSM125" s="953"/>
      <c r="KSN125" s="953"/>
      <c r="KSO125" s="953"/>
      <c r="KSP125" s="953"/>
      <c r="KSQ125" s="953"/>
      <c r="KSR125" s="953"/>
      <c r="KSS125" s="953"/>
      <c r="KST125" s="953"/>
      <c r="KSU125" s="953"/>
      <c r="KSV125" s="953"/>
      <c r="KSW125" s="953"/>
      <c r="KSX125" s="953"/>
      <c r="KSY125" s="953"/>
      <c r="KSZ125" s="953"/>
      <c r="KTA125" s="953"/>
      <c r="KTB125" s="953"/>
      <c r="KTC125" s="953"/>
      <c r="KTD125" s="953"/>
      <c r="KTE125" s="953"/>
      <c r="KTF125" s="953"/>
      <c r="KTG125" s="953"/>
      <c r="KTH125" s="953"/>
      <c r="KTI125" s="953"/>
      <c r="KTJ125" s="953"/>
      <c r="KTK125" s="953"/>
      <c r="KTL125" s="953"/>
      <c r="KTM125" s="953"/>
      <c r="KTN125" s="953"/>
      <c r="KTO125" s="953"/>
      <c r="KTP125" s="953"/>
      <c r="KTQ125" s="953"/>
      <c r="KTR125" s="953"/>
      <c r="KTS125" s="953"/>
      <c r="KTT125" s="953"/>
      <c r="KTU125" s="953"/>
      <c r="KTV125" s="953"/>
      <c r="KTW125" s="953"/>
      <c r="KTX125" s="953"/>
      <c r="KTY125" s="953"/>
      <c r="KTZ125" s="953"/>
      <c r="KUA125" s="953"/>
      <c r="KUB125" s="953"/>
      <c r="KUC125" s="953"/>
      <c r="KUD125" s="953"/>
      <c r="KUE125" s="953"/>
      <c r="KUF125" s="953"/>
      <c r="KUG125" s="953"/>
      <c r="KUH125" s="953"/>
      <c r="KUI125" s="953"/>
      <c r="KUJ125" s="953"/>
      <c r="KUK125" s="953"/>
      <c r="KUL125" s="953"/>
      <c r="KUM125" s="953"/>
      <c r="KUN125" s="953"/>
      <c r="KUO125" s="953"/>
      <c r="KUP125" s="953"/>
      <c r="KUQ125" s="953"/>
      <c r="KUR125" s="953"/>
      <c r="KUS125" s="953"/>
      <c r="KUT125" s="953"/>
      <c r="KUU125" s="953"/>
      <c r="KUV125" s="953"/>
      <c r="KUW125" s="953"/>
      <c r="KUX125" s="953"/>
      <c r="KUY125" s="953"/>
      <c r="KUZ125" s="953"/>
      <c r="KVA125" s="953"/>
      <c r="KVB125" s="953"/>
      <c r="KVC125" s="953"/>
      <c r="KVD125" s="953"/>
      <c r="KVE125" s="953"/>
      <c r="KVF125" s="953"/>
      <c r="KVG125" s="953"/>
      <c r="KVH125" s="953"/>
      <c r="KVI125" s="953"/>
      <c r="KVJ125" s="953"/>
      <c r="KVK125" s="953"/>
      <c r="KVL125" s="953"/>
      <c r="KVM125" s="953"/>
      <c r="KVN125" s="953"/>
      <c r="KVO125" s="953"/>
      <c r="KVP125" s="953"/>
      <c r="KVQ125" s="953"/>
      <c r="KVR125" s="953"/>
      <c r="KVS125" s="953"/>
      <c r="KVT125" s="953"/>
      <c r="KVU125" s="953"/>
      <c r="KVV125" s="953"/>
      <c r="KVW125" s="953"/>
      <c r="KVX125" s="953"/>
      <c r="KVY125" s="953"/>
      <c r="KVZ125" s="953"/>
      <c r="KWA125" s="953"/>
      <c r="KWB125" s="953"/>
      <c r="KWC125" s="953"/>
      <c r="KWD125" s="953"/>
      <c r="KWE125" s="953"/>
      <c r="KWF125" s="953"/>
      <c r="KWG125" s="953"/>
      <c r="KWH125" s="953"/>
      <c r="KWI125" s="953"/>
      <c r="KWJ125" s="953"/>
      <c r="KWK125" s="953"/>
      <c r="KWL125" s="953"/>
      <c r="KWM125" s="953"/>
      <c r="KWN125" s="953"/>
      <c r="KWO125" s="953"/>
      <c r="KWP125" s="953"/>
      <c r="KWQ125" s="953"/>
      <c r="KWR125" s="953"/>
      <c r="KWS125" s="953"/>
      <c r="KWT125" s="953"/>
      <c r="KWU125" s="953"/>
      <c r="KWV125" s="953"/>
      <c r="KWW125" s="953"/>
      <c r="KWX125" s="953"/>
      <c r="KWY125" s="953"/>
      <c r="KWZ125" s="953"/>
      <c r="KXA125" s="953"/>
      <c r="KXB125" s="953"/>
      <c r="KXC125" s="953"/>
      <c r="KXD125" s="953"/>
      <c r="KXE125" s="953"/>
      <c r="KXF125" s="953"/>
      <c r="KXG125" s="953"/>
      <c r="KXH125" s="953"/>
      <c r="KXI125" s="953"/>
      <c r="KXJ125" s="953"/>
      <c r="KXK125" s="953"/>
      <c r="KXL125" s="953"/>
      <c r="KXM125" s="953"/>
      <c r="KXN125" s="953"/>
      <c r="KXO125" s="953"/>
      <c r="KXP125" s="953"/>
      <c r="KXQ125" s="953"/>
      <c r="KXR125" s="953"/>
      <c r="KXS125" s="953"/>
      <c r="KXT125" s="953"/>
      <c r="KXU125" s="953"/>
      <c r="KXV125" s="953"/>
      <c r="KXW125" s="953"/>
      <c r="KXX125" s="953"/>
      <c r="KXY125" s="953"/>
      <c r="KXZ125" s="953"/>
      <c r="KYA125" s="953"/>
      <c r="KYB125" s="953"/>
      <c r="KYC125" s="953"/>
      <c r="KYD125" s="953"/>
      <c r="KYE125" s="953"/>
      <c r="KYF125" s="953"/>
      <c r="KYG125" s="953"/>
      <c r="KYH125" s="953"/>
      <c r="KYI125" s="953"/>
      <c r="KYJ125" s="953"/>
      <c r="KYK125" s="953"/>
      <c r="KYL125" s="953"/>
      <c r="KYM125" s="953"/>
      <c r="KYN125" s="953"/>
      <c r="KYO125" s="953"/>
      <c r="KYP125" s="953"/>
      <c r="KYQ125" s="953"/>
      <c r="KYR125" s="953"/>
      <c r="KYS125" s="953"/>
      <c r="KYT125" s="953"/>
      <c r="KYU125" s="953"/>
      <c r="KYV125" s="953"/>
      <c r="KYW125" s="953"/>
      <c r="KYX125" s="953"/>
      <c r="KYY125" s="953"/>
      <c r="KYZ125" s="953"/>
      <c r="KZA125" s="953"/>
      <c r="KZB125" s="953"/>
      <c r="KZC125" s="953"/>
      <c r="KZD125" s="953"/>
      <c r="KZE125" s="953"/>
      <c r="KZF125" s="953"/>
      <c r="KZG125" s="953"/>
      <c r="KZH125" s="953"/>
      <c r="KZI125" s="953"/>
      <c r="KZJ125" s="953"/>
      <c r="KZK125" s="953"/>
      <c r="KZL125" s="953"/>
      <c r="KZM125" s="953"/>
      <c r="KZN125" s="953"/>
      <c r="KZO125" s="953"/>
      <c r="KZP125" s="953"/>
      <c r="KZQ125" s="953"/>
      <c r="KZR125" s="953"/>
      <c r="KZS125" s="953"/>
      <c r="KZT125" s="953"/>
      <c r="KZU125" s="953"/>
      <c r="KZV125" s="953"/>
      <c r="KZW125" s="953"/>
      <c r="KZX125" s="953"/>
      <c r="KZY125" s="953"/>
      <c r="KZZ125" s="953"/>
      <c r="LAA125" s="953"/>
      <c r="LAB125" s="953"/>
      <c r="LAC125" s="953"/>
      <c r="LAD125" s="953"/>
      <c r="LAE125" s="953"/>
      <c r="LAF125" s="953"/>
      <c r="LAG125" s="953"/>
      <c r="LAH125" s="953"/>
      <c r="LAI125" s="953"/>
      <c r="LAJ125" s="953"/>
      <c r="LAK125" s="953"/>
      <c r="LAL125" s="953"/>
      <c r="LAM125" s="953"/>
      <c r="LAN125" s="953"/>
      <c r="LAO125" s="953"/>
      <c r="LAP125" s="953"/>
      <c r="LAQ125" s="953"/>
      <c r="LAR125" s="953"/>
      <c r="LAS125" s="953"/>
      <c r="LAT125" s="953"/>
      <c r="LAU125" s="953"/>
      <c r="LAV125" s="953"/>
      <c r="LAW125" s="953"/>
      <c r="LAX125" s="953"/>
      <c r="LAY125" s="953"/>
      <c r="LAZ125" s="953"/>
      <c r="LBA125" s="953"/>
      <c r="LBB125" s="953"/>
      <c r="LBC125" s="953"/>
      <c r="LBD125" s="953"/>
      <c r="LBE125" s="953"/>
      <c r="LBF125" s="953"/>
      <c r="LBG125" s="953"/>
      <c r="LBH125" s="953"/>
      <c r="LBI125" s="953"/>
      <c r="LBJ125" s="953"/>
      <c r="LBK125" s="953"/>
      <c r="LBL125" s="953"/>
      <c r="LBM125" s="953"/>
      <c r="LBN125" s="953"/>
      <c r="LBO125" s="953"/>
      <c r="LBP125" s="953"/>
      <c r="LBQ125" s="953"/>
      <c r="LBR125" s="953"/>
      <c r="LBS125" s="953"/>
      <c r="LBT125" s="953"/>
      <c r="LBU125" s="953"/>
      <c r="LBV125" s="953"/>
      <c r="LBW125" s="953"/>
      <c r="LBX125" s="953"/>
      <c r="LBY125" s="953"/>
      <c r="LBZ125" s="953"/>
      <c r="LCA125" s="953"/>
      <c r="LCB125" s="953"/>
      <c r="LCC125" s="953"/>
      <c r="LCD125" s="953"/>
      <c r="LCE125" s="953"/>
      <c r="LCF125" s="953"/>
      <c r="LCG125" s="953"/>
      <c r="LCH125" s="953"/>
      <c r="LCI125" s="953"/>
      <c r="LCJ125" s="953"/>
      <c r="LCK125" s="953"/>
      <c r="LCL125" s="953"/>
      <c r="LCM125" s="953"/>
      <c r="LCN125" s="953"/>
      <c r="LCO125" s="953"/>
      <c r="LCP125" s="953"/>
      <c r="LCQ125" s="953"/>
      <c r="LCR125" s="953"/>
      <c r="LCS125" s="953"/>
      <c r="LCT125" s="953"/>
      <c r="LCU125" s="953"/>
      <c r="LCV125" s="953"/>
      <c r="LCW125" s="953"/>
      <c r="LCX125" s="953"/>
      <c r="LCY125" s="953"/>
      <c r="LCZ125" s="953"/>
      <c r="LDA125" s="953"/>
      <c r="LDB125" s="953"/>
      <c r="LDC125" s="953"/>
      <c r="LDD125" s="953"/>
      <c r="LDE125" s="953"/>
      <c r="LDF125" s="953"/>
      <c r="LDG125" s="953"/>
      <c r="LDH125" s="953"/>
      <c r="LDI125" s="953"/>
      <c r="LDJ125" s="953"/>
      <c r="LDK125" s="953"/>
      <c r="LDL125" s="953"/>
      <c r="LDM125" s="953"/>
      <c r="LDN125" s="953"/>
      <c r="LDO125" s="953"/>
      <c r="LDP125" s="953"/>
      <c r="LDQ125" s="953"/>
      <c r="LDR125" s="953"/>
      <c r="LDS125" s="953"/>
      <c r="LDT125" s="953"/>
      <c r="LDU125" s="953"/>
      <c r="LDV125" s="953"/>
      <c r="LDW125" s="953"/>
      <c r="LDX125" s="953"/>
      <c r="LDY125" s="953"/>
      <c r="LDZ125" s="953"/>
      <c r="LEA125" s="953"/>
      <c r="LEB125" s="953"/>
      <c r="LEC125" s="953"/>
      <c r="LED125" s="953"/>
      <c r="LEE125" s="953"/>
      <c r="LEF125" s="953"/>
      <c r="LEG125" s="953"/>
      <c r="LEH125" s="953"/>
      <c r="LEI125" s="953"/>
      <c r="LEJ125" s="953"/>
      <c r="LEK125" s="953"/>
      <c r="LEL125" s="953"/>
      <c r="LEM125" s="953"/>
      <c r="LEN125" s="953"/>
      <c r="LEO125" s="953"/>
      <c r="LEP125" s="953"/>
      <c r="LEQ125" s="953"/>
      <c r="LER125" s="953"/>
      <c r="LES125" s="953"/>
      <c r="LET125" s="953"/>
      <c r="LEU125" s="953"/>
      <c r="LEV125" s="953"/>
      <c r="LEW125" s="953"/>
      <c r="LEX125" s="953"/>
      <c r="LEY125" s="953"/>
      <c r="LEZ125" s="953"/>
      <c r="LFA125" s="953"/>
      <c r="LFB125" s="953"/>
      <c r="LFC125" s="953"/>
      <c r="LFD125" s="953"/>
      <c r="LFE125" s="953"/>
      <c r="LFF125" s="953"/>
      <c r="LFG125" s="953"/>
      <c r="LFH125" s="953"/>
      <c r="LFI125" s="953"/>
      <c r="LFJ125" s="953"/>
      <c r="LFK125" s="953"/>
      <c r="LFL125" s="953"/>
      <c r="LFM125" s="953"/>
      <c r="LFN125" s="953"/>
      <c r="LFO125" s="953"/>
      <c r="LFP125" s="953"/>
      <c r="LFQ125" s="953"/>
      <c r="LFR125" s="953"/>
      <c r="LFS125" s="953"/>
      <c r="LFT125" s="953"/>
      <c r="LFU125" s="953"/>
      <c r="LFV125" s="953"/>
      <c r="LFW125" s="953"/>
      <c r="LFX125" s="953"/>
      <c r="LFY125" s="953"/>
      <c r="LFZ125" s="953"/>
      <c r="LGA125" s="953"/>
      <c r="LGB125" s="953"/>
      <c r="LGC125" s="953"/>
      <c r="LGD125" s="953"/>
      <c r="LGE125" s="953"/>
      <c r="LGF125" s="953"/>
      <c r="LGG125" s="953"/>
      <c r="LGH125" s="953"/>
      <c r="LGI125" s="953"/>
      <c r="LGJ125" s="953"/>
      <c r="LGK125" s="953"/>
      <c r="LGL125" s="953"/>
      <c r="LGM125" s="953"/>
      <c r="LGN125" s="953"/>
      <c r="LGO125" s="953"/>
      <c r="LGP125" s="953"/>
      <c r="LGQ125" s="953"/>
      <c r="LGR125" s="953"/>
      <c r="LGS125" s="953"/>
      <c r="LGT125" s="953"/>
      <c r="LGU125" s="953"/>
      <c r="LGV125" s="953"/>
      <c r="LGW125" s="953"/>
      <c r="LGX125" s="953"/>
      <c r="LGY125" s="953"/>
      <c r="LGZ125" s="953"/>
      <c r="LHA125" s="953"/>
      <c r="LHB125" s="953"/>
      <c r="LHC125" s="953"/>
      <c r="LHD125" s="953"/>
      <c r="LHE125" s="953"/>
      <c r="LHF125" s="953"/>
      <c r="LHG125" s="953"/>
      <c r="LHH125" s="953"/>
      <c r="LHI125" s="953"/>
      <c r="LHJ125" s="953"/>
      <c r="LHK125" s="953"/>
      <c r="LHL125" s="953"/>
      <c r="LHM125" s="953"/>
      <c r="LHN125" s="953"/>
      <c r="LHO125" s="953"/>
      <c r="LHP125" s="953"/>
      <c r="LHQ125" s="953"/>
      <c r="LHR125" s="953"/>
      <c r="LHS125" s="953"/>
      <c r="LHT125" s="953"/>
      <c r="LHU125" s="953"/>
      <c r="LHV125" s="953"/>
      <c r="LHW125" s="953"/>
      <c r="LHX125" s="953"/>
      <c r="LHY125" s="953"/>
      <c r="LHZ125" s="953"/>
      <c r="LIA125" s="953"/>
      <c r="LIB125" s="953"/>
      <c r="LIC125" s="953"/>
      <c r="LID125" s="953"/>
      <c r="LIE125" s="953"/>
      <c r="LIF125" s="953"/>
      <c r="LIG125" s="953"/>
      <c r="LIH125" s="953"/>
      <c r="LII125" s="953"/>
      <c r="LIJ125" s="953"/>
      <c r="LIK125" s="953"/>
      <c r="LIL125" s="953"/>
      <c r="LIM125" s="953"/>
      <c r="LIN125" s="953"/>
      <c r="LIO125" s="953"/>
      <c r="LIP125" s="953"/>
      <c r="LIQ125" s="953"/>
      <c r="LIR125" s="953"/>
      <c r="LIS125" s="953"/>
      <c r="LIT125" s="953"/>
      <c r="LIU125" s="953"/>
      <c r="LIV125" s="953"/>
      <c r="LIW125" s="953"/>
      <c r="LIX125" s="953"/>
      <c r="LIY125" s="953"/>
      <c r="LIZ125" s="953"/>
      <c r="LJA125" s="953"/>
      <c r="LJB125" s="953"/>
      <c r="LJC125" s="953"/>
      <c r="LJD125" s="953"/>
      <c r="LJE125" s="953"/>
      <c r="LJF125" s="953"/>
      <c r="LJG125" s="953"/>
      <c r="LJH125" s="953"/>
      <c r="LJI125" s="953"/>
      <c r="LJJ125" s="953"/>
      <c r="LJK125" s="953"/>
      <c r="LJL125" s="953"/>
      <c r="LJM125" s="953"/>
      <c r="LJN125" s="953"/>
      <c r="LJO125" s="953"/>
      <c r="LJP125" s="953"/>
      <c r="LJQ125" s="953"/>
      <c r="LJR125" s="953"/>
      <c r="LJS125" s="953"/>
      <c r="LJT125" s="953"/>
      <c r="LJU125" s="953"/>
      <c r="LJV125" s="953"/>
      <c r="LJW125" s="953"/>
      <c r="LJX125" s="953"/>
      <c r="LJY125" s="953"/>
      <c r="LJZ125" s="953"/>
      <c r="LKA125" s="953"/>
      <c r="LKB125" s="953"/>
      <c r="LKC125" s="953"/>
      <c r="LKD125" s="953"/>
      <c r="LKE125" s="953"/>
      <c r="LKF125" s="953"/>
      <c r="LKG125" s="953"/>
      <c r="LKH125" s="953"/>
      <c r="LKI125" s="953"/>
      <c r="LKJ125" s="953"/>
      <c r="LKK125" s="953"/>
      <c r="LKL125" s="953"/>
      <c r="LKM125" s="953"/>
      <c r="LKN125" s="953"/>
      <c r="LKO125" s="953"/>
      <c r="LKP125" s="953"/>
      <c r="LKQ125" s="953"/>
      <c r="LKR125" s="953"/>
      <c r="LKS125" s="953"/>
      <c r="LKT125" s="953"/>
      <c r="LKU125" s="953"/>
      <c r="LKV125" s="953"/>
      <c r="LKW125" s="953"/>
      <c r="LKX125" s="953"/>
      <c r="LKY125" s="953"/>
      <c r="LKZ125" s="953"/>
      <c r="LLA125" s="953"/>
      <c r="LLB125" s="953"/>
      <c r="LLC125" s="953"/>
      <c r="LLD125" s="953"/>
      <c r="LLE125" s="953"/>
      <c r="LLF125" s="953"/>
      <c r="LLG125" s="953"/>
      <c r="LLH125" s="953"/>
      <c r="LLI125" s="953"/>
      <c r="LLJ125" s="953"/>
      <c r="LLK125" s="953"/>
      <c r="LLL125" s="953"/>
      <c r="LLM125" s="953"/>
      <c r="LLN125" s="953"/>
      <c r="LLO125" s="953"/>
      <c r="LLP125" s="953"/>
      <c r="LLQ125" s="953"/>
      <c r="LLR125" s="953"/>
      <c r="LLS125" s="953"/>
      <c r="LLT125" s="953"/>
      <c r="LLU125" s="953"/>
      <c r="LLV125" s="953"/>
      <c r="LLW125" s="953"/>
      <c r="LLX125" s="953"/>
      <c r="LLY125" s="953"/>
      <c r="LLZ125" s="953"/>
      <c r="LMA125" s="953"/>
      <c r="LMB125" s="953"/>
      <c r="LMC125" s="953"/>
      <c r="LMD125" s="953"/>
      <c r="LME125" s="953"/>
      <c r="LMF125" s="953"/>
      <c r="LMG125" s="953"/>
      <c r="LMH125" s="953"/>
      <c r="LMI125" s="953"/>
      <c r="LMJ125" s="953"/>
      <c r="LMK125" s="953"/>
      <c r="LML125" s="953"/>
      <c r="LMM125" s="953"/>
      <c r="LMN125" s="953"/>
      <c r="LMO125" s="953"/>
      <c r="LMP125" s="953"/>
      <c r="LMQ125" s="953"/>
      <c r="LMR125" s="953"/>
      <c r="LMS125" s="953"/>
      <c r="LMT125" s="953"/>
      <c r="LMU125" s="953"/>
      <c r="LMV125" s="953"/>
      <c r="LMW125" s="953"/>
      <c r="LMX125" s="953"/>
      <c r="LMY125" s="953"/>
      <c r="LMZ125" s="953"/>
      <c r="LNA125" s="953"/>
      <c r="LNB125" s="953"/>
      <c r="LNC125" s="953"/>
      <c r="LND125" s="953"/>
      <c r="LNE125" s="953"/>
      <c r="LNF125" s="953"/>
      <c r="LNG125" s="953"/>
      <c r="LNH125" s="953"/>
      <c r="LNI125" s="953"/>
      <c r="LNJ125" s="953"/>
      <c r="LNK125" s="953"/>
      <c r="LNL125" s="953"/>
      <c r="LNM125" s="953"/>
      <c r="LNN125" s="953"/>
      <c r="LNO125" s="953"/>
      <c r="LNP125" s="953"/>
      <c r="LNQ125" s="953"/>
      <c r="LNR125" s="953"/>
      <c r="LNS125" s="953"/>
      <c r="LNT125" s="953"/>
      <c r="LNU125" s="953"/>
      <c r="LNV125" s="953"/>
      <c r="LNW125" s="953"/>
      <c r="LNX125" s="953"/>
      <c r="LNY125" s="953"/>
      <c r="LNZ125" s="953"/>
      <c r="LOA125" s="953"/>
      <c r="LOB125" s="953"/>
      <c r="LOC125" s="953"/>
      <c r="LOD125" s="953"/>
      <c r="LOE125" s="953"/>
      <c r="LOF125" s="953"/>
      <c r="LOG125" s="953"/>
      <c r="LOH125" s="953"/>
      <c r="LOI125" s="953"/>
      <c r="LOJ125" s="953"/>
      <c r="LOK125" s="953"/>
      <c r="LOL125" s="953"/>
      <c r="LOM125" s="953"/>
      <c r="LON125" s="953"/>
      <c r="LOO125" s="953"/>
      <c r="LOP125" s="953"/>
      <c r="LOQ125" s="953"/>
      <c r="LOR125" s="953"/>
      <c r="LOS125" s="953"/>
      <c r="LOT125" s="953"/>
      <c r="LOU125" s="953"/>
      <c r="LOV125" s="953"/>
      <c r="LOW125" s="953"/>
      <c r="LOX125" s="953"/>
      <c r="LOY125" s="953"/>
      <c r="LOZ125" s="953"/>
      <c r="LPA125" s="953"/>
      <c r="LPB125" s="953"/>
      <c r="LPC125" s="953"/>
      <c r="LPD125" s="953"/>
      <c r="LPE125" s="953"/>
      <c r="LPF125" s="953"/>
      <c r="LPG125" s="953"/>
      <c r="LPH125" s="953"/>
      <c r="LPI125" s="953"/>
      <c r="LPJ125" s="953"/>
      <c r="LPK125" s="953"/>
      <c r="LPL125" s="953"/>
      <c r="LPM125" s="953"/>
      <c r="LPN125" s="953"/>
      <c r="LPO125" s="953"/>
      <c r="LPP125" s="953"/>
      <c r="LPQ125" s="953"/>
      <c r="LPR125" s="953"/>
      <c r="LPS125" s="953"/>
      <c r="LPT125" s="953"/>
      <c r="LPU125" s="953"/>
      <c r="LPV125" s="953"/>
      <c r="LPW125" s="953"/>
      <c r="LPX125" s="953"/>
      <c r="LPY125" s="953"/>
      <c r="LPZ125" s="953"/>
      <c r="LQA125" s="953"/>
      <c r="LQB125" s="953"/>
      <c r="LQC125" s="953"/>
      <c r="LQD125" s="953"/>
      <c r="LQE125" s="953"/>
      <c r="LQF125" s="953"/>
      <c r="LQG125" s="953"/>
      <c r="LQH125" s="953"/>
      <c r="LQI125" s="953"/>
      <c r="LQJ125" s="953"/>
      <c r="LQK125" s="953"/>
      <c r="LQL125" s="953"/>
      <c r="LQM125" s="953"/>
      <c r="LQN125" s="953"/>
      <c r="LQO125" s="953"/>
      <c r="LQP125" s="953"/>
      <c r="LQQ125" s="953"/>
      <c r="LQR125" s="953"/>
      <c r="LQS125" s="953"/>
      <c r="LQT125" s="953"/>
      <c r="LQU125" s="953"/>
      <c r="LQV125" s="953"/>
      <c r="LQW125" s="953"/>
      <c r="LQX125" s="953"/>
      <c r="LQY125" s="953"/>
      <c r="LQZ125" s="953"/>
      <c r="LRA125" s="953"/>
      <c r="LRB125" s="953"/>
      <c r="LRC125" s="953"/>
      <c r="LRD125" s="953"/>
      <c r="LRE125" s="953"/>
      <c r="LRF125" s="953"/>
      <c r="LRG125" s="953"/>
      <c r="LRH125" s="953"/>
      <c r="LRI125" s="953"/>
      <c r="LRJ125" s="953"/>
      <c r="LRK125" s="953"/>
      <c r="LRL125" s="953"/>
      <c r="LRM125" s="953"/>
      <c r="LRN125" s="953"/>
      <c r="LRO125" s="953"/>
      <c r="LRP125" s="953"/>
      <c r="LRQ125" s="953"/>
      <c r="LRR125" s="953"/>
      <c r="LRS125" s="953"/>
      <c r="LRT125" s="953"/>
      <c r="LRU125" s="953"/>
      <c r="LRV125" s="953"/>
      <c r="LRW125" s="953"/>
      <c r="LRX125" s="953"/>
      <c r="LRY125" s="953"/>
      <c r="LRZ125" s="953"/>
      <c r="LSA125" s="953"/>
      <c r="LSB125" s="953"/>
      <c r="LSC125" s="953"/>
      <c r="LSD125" s="953"/>
      <c r="LSE125" s="953"/>
      <c r="LSF125" s="953"/>
      <c r="LSG125" s="953"/>
      <c r="LSH125" s="953"/>
      <c r="LSI125" s="953"/>
      <c r="LSJ125" s="953"/>
      <c r="LSK125" s="953"/>
      <c r="LSL125" s="953"/>
      <c r="LSM125" s="953"/>
      <c r="LSN125" s="953"/>
      <c r="LSO125" s="953"/>
      <c r="LSP125" s="953"/>
      <c r="LSQ125" s="953"/>
      <c r="LSR125" s="953"/>
      <c r="LSS125" s="953"/>
      <c r="LST125" s="953"/>
      <c r="LSU125" s="953"/>
      <c r="LSV125" s="953"/>
      <c r="LSW125" s="953"/>
      <c r="LSX125" s="953"/>
      <c r="LSY125" s="953"/>
      <c r="LSZ125" s="953"/>
      <c r="LTA125" s="953"/>
      <c r="LTB125" s="953"/>
      <c r="LTC125" s="953"/>
      <c r="LTD125" s="953"/>
      <c r="LTE125" s="953"/>
      <c r="LTF125" s="953"/>
      <c r="LTG125" s="953"/>
      <c r="LTH125" s="953"/>
      <c r="LTI125" s="953"/>
      <c r="LTJ125" s="953"/>
      <c r="LTK125" s="953"/>
      <c r="LTL125" s="953"/>
      <c r="LTM125" s="953"/>
      <c r="LTN125" s="953"/>
      <c r="LTO125" s="953"/>
      <c r="LTP125" s="953"/>
      <c r="LTQ125" s="953"/>
      <c r="LTR125" s="953"/>
      <c r="LTS125" s="953"/>
      <c r="LTT125" s="953"/>
      <c r="LTU125" s="953"/>
      <c r="LTV125" s="953"/>
      <c r="LTW125" s="953"/>
      <c r="LTX125" s="953"/>
      <c r="LTY125" s="953"/>
      <c r="LTZ125" s="953"/>
      <c r="LUA125" s="953"/>
      <c r="LUB125" s="953"/>
      <c r="LUC125" s="953"/>
      <c r="LUD125" s="953"/>
      <c r="LUE125" s="953"/>
      <c r="LUF125" s="953"/>
      <c r="LUG125" s="953"/>
      <c r="LUH125" s="953"/>
      <c r="LUI125" s="953"/>
      <c r="LUJ125" s="953"/>
      <c r="LUK125" s="953"/>
      <c r="LUL125" s="953"/>
      <c r="LUM125" s="953"/>
      <c r="LUN125" s="953"/>
      <c r="LUO125" s="953"/>
      <c r="LUP125" s="953"/>
      <c r="LUQ125" s="953"/>
      <c r="LUR125" s="953"/>
      <c r="LUS125" s="953"/>
      <c r="LUT125" s="953"/>
      <c r="LUU125" s="953"/>
      <c r="LUV125" s="953"/>
      <c r="LUW125" s="953"/>
      <c r="LUX125" s="953"/>
      <c r="LUY125" s="953"/>
      <c r="LUZ125" s="953"/>
      <c r="LVA125" s="953"/>
      <c r="LVB125" s="953"/>
      <c r="LVC125" s="953"/>
      <c r="LVD125" s="953"/>
      <c r="LVE125" s="953"/>
      <c r="LVF125" s="953"/>
      <c r="LVG125" s="953"/>
      <c r="LVH125" s="953"/>
      <c r="LVI125" s="953"/>
      <c r="LVJ125" s="953"/>
      <c r="LVK125" s="953"/>
      <c r="LVL125" s="953"/>
      <c r="LVM125" s="953"/>
      <c r="LVN125" s="953"/>
      <c r="LVO125" s="953"/>
      <c r="LVP125" s="953"/>
      <c r="LVQ125" s="953"/>
      <c r="LVR125" s="953"/>
      <c r="LVS125" s="953"/>
      <c r="LVT125" s="953"/>
      <c r="LVU125" s="953"/>
      <c r="LVV125" s="953"/>
      <c r="LVW125" s="953"/>
      <c r="LVX125" s="953"/>
      <c r="LVY125" s="953"/>
      <c r="LVZ125" s="953"/>
      <c r="LWA125" s="953"/>
      <c r="LWB125" s="953"/>
      <c r="LWC125" s="953"/>
      <c r="LWD125" s="953"/>
      <c r="LWE125" s="953"/>
      <c r="LWF125" s="953"/>
      <c r="LWG125" s="953"/>
      <c r="LWH125" s="953"/>
      <c r="LWI125" s="953"/>
      <c r="LWJ125" s="953"/>
      <c r="LWK125" s="953"/>
      <c r="LWL125" s="953"/>
      <c r="LWM125" s="953"/>
      <c r="LWN125" s="953"/>
      <c r="LWO125" s="953"/>
      <c r="LWP125" s="953"/>
      <c r="LWQ125" s="953"/>
      <c r="LWR125" s="953"/>
      <c r="LWS125" s="953"/>
      <c r="LWT125" s="953"/>
      <c r="LWU125" s="953"/>
      <c r="LWV125" s="953"/>
      <c r="LWW125" s="953"/>
      <c r="LWX125" s="953"/>
      <c r="LWY125" s="953"/>
      <c r="LWZ125" s="953"/>
      <c r="LXA125" s="953"/>
      <c r="LXB125" s="953"/>
      <c r="LXC125" s="953"/>
      <c r="LXD125" s="953"/>
      <c r="LXE125" s="953"/>
      <c r="LXF125" s="953"/>
      <c r="LXG125" s="953"/>
      <c r="LXH125" s="953"/>
      <c r="LXI125" s="953"/>
      <c r="LXJ125" s="953"/>
      <c r="LXK125" s="953"/>
      <c r="LXL125" s="953"/>
      <c r="LXM125" s="953"/>
      <c r="LXN125" s="953"/>
      <c r="LXO125" s="953"/>
      <c r="LXP125" s="953"/>
      <c r="LXQ125" s="953"/>
      <c r="LXR125" s="953"/>
      <c r="LXS125" s="953"/>
      <c r="LXT125" s="953"/>
      <c r="LXU125" s="953"/>
      <c r="LXV125" s="953"/>
      <c r="LXW125" s="953"/>
      <c r="LXX125" s="953"/>
      <c r="LXY125" s="953"/>
      <c r="LXZ125" s="953"/>
      <c r="LYA125" s="953"/>
      <c r="LYB125" s="953"/>
      <c r="LYC125" s="953"/>
      <c r="LYD125" s="953"/>
      <c r="LYE125" s="953"/>
      <c r="LYF125" s="953"/>
      <c r="LYG125" s="953"/>
      <c r="LYH125" s="953"/>
      <c r="LYI125" s="953"/>
      <c r="LYJ125" s="953"/>
      <c r="LYK125" s="953"/>
      <c r="LYL125" s="953"/>
      <c r="LYM125" s="953"/>
      <c r="LYN125" s="953"/>
      <c r="LYO125" s="953"/>
      <c r="LYP125" s="953"/>
      <c r="LYQ125" s="953"/>
      <c r="LYR125" s="953"/>
      <c r="LYS125" s="953"/>
      <c r="LYT125" s="953"/>
      <c r="LYU125" s="953"/>
      <c r="LYV125" s="953"/>
      <c r="LYW125" s="953"/>
      <c r="LYX125" s="953"/>
      <c r="LYY125" s="953"/>
      <c r="LYZ125" s="953"/>
      <c r="LZA125" s="953"/>
      <c r="LZB125" s="953"/>
      <c r="LZC125" s="953"/>
      <c r="LZD125" s="953"/>
      <c r="LZE125" s="953"/>
      <c r="LZF125" s="953"/>
      <c r="LZG125" s="953"/>
      <c r="LZH125" s="953"/>
      <c r="LZI125" s="953"/>
      <c r="LZJ125" s="953"/>
      <c r="LZK125" s="953"/>
      <c r="LZL125" s="953"/>
      <c r="LZM125" s="953"/>
      <c r="LZN125" s="953"/>
      <c r="LZO125" s="953"/>
      <c r="LZP125" s="953"/>
      <c r="LZQ125" s="953"/>
      <c r="LZR125" s="953"/>
      <c r="LZS125" s="953"/>
      <c r="LZT125" s="953"/>
      <c r="LZU125" s="953"/>
      <c r="LZV125" s="953"/>
      <c r="LZW125" s="953"/>
      <c r="LZX125" s="953"/>
      <c r="LZY125" s="953"/>
      <c r="LZZ125" s="953"/>
      <c r="MAA125" s="953"/>
      <c r="MAB125" s="953"/>
      <c r="MAC125" s="953"/>
      <c r="MAD125" s="953"/>
      <c r="MAE125" s="953"/>
      <c r="MAF125" s="953"/>
      <c r="MAG125" s="953"/>
      <c r="MAH125" s="953"/>
      <c r="MAI125" s="953"/>
      <c r="MAJ125" s="953"/>
      <c r="MAK125" s="953"/>
      <c r="MAL125" s="953"/>
      <c r="MAM125" s="953"/>
      <c r="MAN125" s="953"/>
      <c r="MAO125" s="953"/>
      <c r="MAP125" s="953"/>
      <c r="MAQ125" s="953"/>
      <c r="MAR125" s="953"/>
      <c r="MAS125" s="953"/>
      <c r="MAT125" s="953"/>
      <c r="MAU125" s="953"/>
      <c r="MAV125" s="953"/>
      <c r="MAW125" s="953"/>
      <c r="MAX125" s="953"/>
      <c r="MAY125" s="953"/>
      <c r="MAZ125" s="953"/>
      <c r="MBA125" s="953"/>
      <c r="MBB125" s="953"/>
      <c r="MBC125" s="953"/>
      <c r="MBD125" s="953"/>
      <c r="MBE125" s="953"/>
      <c r="MBF125" s="953"/>
      <c r="MBG125" s="953"/>
      <c r="MBH125" s="953"/>
      <c r="MBI125" s="953"/>
      <c r="MBJ125" s="953"/>
      <c r="MBK125" s="953"/>
      <c r="MBL125" s="953"/>
      <c r="MBM125" s="953"/>
      <c r="MBN125" s="953"/>
      <c r="MBO125" s="953"/>
      <c r="MBP125" s="953"/>
      <c r="MBQ125" s="953"/>
      <c r="MBR125" s="953"/>
      <c r="MBS125" s="953"/>
      <c r="MBT125" s="953"/>
      <c r="MBU125" s="953"/>
      <c r="MBV125" s="953"/>
      <c r="MBW125" s="953"/>
      <c r="MBX125" s="953"/>
      <c r="MBY125" s="953"/>
      <c r="MBZ125" s="953"/>
      <c r="MCA125" s="953"/>
      <c r="MCB125" s="953"/>
      <c r="MCC125" s="953"/>
      <c r="MCD125" s="953"/>
      <c r="MCE125" s="953"/>
      <c r="MCF125" s="953"/>
      <c r="MCG125" s="953"/>
      <c r="MCH125" s="953"/>
      <c r="MCI125" s="953"/>
      <c r="MCJ125" s="953"/>
      <c r="MCK125" s="953"/>
      <c r="MCL125" s="953"/>
      <c r="MCM125" s="953"/>
      <c r="MCN125" s="953"/>
      <c r="MCO125" s="953"/>
      <c r="MCP125" s="953"/>
      <c r="MCQ125" s="953"/>
      <c r="MCR125" s="953"/>
      <c r="MCS125" s="953"/>
      <c r="MCT125" s="953"/>
      <c r="MCU125" s="953"/>
      <c r="MCV125" s="953"/>
      <c r="MCW125" s="953"/>
      <c r="MCX125" s="953"/>
      <c r="MCY125" s="953"/>
      <c r="MCZ125" s="953"/>
      <c r="MDA125" s="953"/>
      <c r="MDB125" s="953"/>
      <c r="MDC125" s="953"/>
      <c r="MDD125" s="953"/>
      <c r="MDE125" s="953"/>
      <c r="MDF125" s="953"/>
      <c r="MDG125" s="953"/>
      <c r="MDH125" s="953"/>
      <c r="MDI125" s="953"/>
      <c r="MDJ125" s="953"/>
      <c r="MDK125" s="953"/>
      <c r="MDL125" s="953"/>
      <c r="MDM125" s="953"/>
      <c r="MDN125" s="953"/>
      <c r="MDO125" s="953"/>
      <c r="MDP125" s="953"/>
      <c r="MDQ125" s="953"/>
      <c r="MDR125" s="953"/>
      <c r="MDS125" s="953"/>
      <c r="MDT125" s="953"/>
      <c r="MDU125" s="953"/>
      <c r="MDV125" s="953"/>
      <c r="MDW125" s="953"/>
      <c r="MDX125" s="953"/>
      <c r="MDY125" s="953"/>
      <c r="MDZ125" s="953"/>
      <c r="MEA125" s="953"/>
      <c r="MEB125" s="953"/>
      <c r="MEC125" s="953"/>
      <c r="MED125" s="953"/>
      <c r="MEE125" s="953"/>
      <c r="MEF125" s="953"/>
      <c r="MEG125" s="953"/>
      <c r="MEH125" s="953"/>
      <c r="MEI125" s="953"/>
      <c r="MEJ125" s="953"/>
      <c r="MEK125" s="953"/>
      <c r="MEL125" s="953"/>
      <c r="MEM125" s="953"/>
      <c r="MEN125" s="953"/>
      <c r="MEO125" s="953"/>
      <c r="MEP125" s="953"/>
      <c r="MEQ125" s="953"/>
      <c r="MER125" s="953"/>
      <c r="MES125" s="953"/>
      <c r="MET125" s="953"/>
      <c r="MEU125" s="953"/>
      <c r="MEV125" s="953"/>
      <c r="MEW125" s="953"/>
      <c r="MEX125" s="953"/>
      <c r="MEY125" s="953"/>
      <c r="MEZ125" s="953"/>
      <c r="MFA125" s="953"/>
      <c r="MFB125" s="953"/>
      <c r="MFC125" s="953"/>
      <c r="MFD125" s="953"/>
      <c r="MFE125" s="953"/>
      <c r="MFF125" s="953"/>
      <c r="MFG125" s="953"/>
      <c r="MFH125" s="953"/>
      <c r="MFI125" s="953"/>
      <c r="MFJ125" s="953"/>
      <c r="MFK125" s="953"/>
      <c r="MFL125" s="953"/>
      <c r="MFM125" s="953"/>
      <c r="MFN125" s="953"/>
      <c r="MFO125" s="953"/>
      <c r="MFP125" s="953"/>
      <c r="MFQ125" s="953"/>
      <c r="MFR125" s="953"/>
      <c r="MFS125" s="953"/>
      <c r="MFT125" s="953"/>
      <c r="MFU125" s="953"/>
      <c r="MFV125" s="953"/>
      <c r="MFW125" s="953"/>
      <c r="MFX125" s="953"/>
      <c r="MFY125" s="953"/>
      <c r="MFZ125" s="953"/>
      <c r="MGA125" s="953"/>
      <c r="MGB125" s="953"/>
      <c r="MGC125" s="953"/>
      <c r="MGD125" s="953"/>
      <c r="MGE125" s="953"/>
      <c r="MGF125" s="953"/>
      <c r="MGG125" s="953"/>
      <c r="MGH125" s="953"/>
      <c r="MGI125" s="953"/>
      <c r="MGJ125" s="953"/>
      <c r="MGK125" s="953"/>
      <c r="MGL125" s="953"/>
      <c r="MGM125" s="953"/>
      <c r="MGN125" s="953"/>
      <c r="MGO125" s="953"/>
      <c r="MGP125" s="953"/>
      <c r="MGQ125" s="953"/>
      <c r="MGR125" s="953"/>
      <c r="MGS125" s="953"/>
      <c r="MGT125" s="953"/>
      <c r="MGU125" s="953"/>
      <c r="MGV125" s="953"/>
      <c r="MGW125" s="953"/>
      <c r="MGX125" s="953"/>
      <c r="MGY125" s="953"/>
      <c r="MGZ125" s="953"/>
      <c r="MHA125" s="953"/>
      <c r="MHB125" s="953"/>
      <c r="MHC125" s="953"/>
      <c r="MHD125" s="953"/>
      <c r="MHE125" s="953"/>
      <c r="MHF125" s="953"/>
      <c r="MHG125" s="953"/>
      <c r="MHH125" s="953"/>
      <c r="MHI125" s="953"/>
      <c r="MHJ125" s="953"/>
      <c r="MHK125" s="953"/>
      <c r="MHL125" s="953"/>
      <c r="MHM125" s="953"/>
      <c r="MHN125" s="953"/>
      <c r="MHO125" s="953"/>
      <c r="MHP125" s="953"/>
      <c r="MHQ125" s="953"/>
      <c r="MHR125" s="953"/>
      <c r="MHS125" s="953"/>
      <c r="MHT125" s="953"/>
      <c r="MHU125" s="953"/>
      <c r="MHV125" s="953"/>
      <c r="MHW125" s="953"/>
      <c r="MHX125" s="953"/>
      <c r="MHY125" s="953"/>
      <c r="MHZ125" s="953"/>
      <c r="MIA125" s="953"/>
      <c r="MIB125" s="953"/>
      <c r="MIC125" s="953"/>
      <c r="MID125" s="953"/>
      <c r="MIE125" s="953"/>
      <c r="MIF125" s="953"/>
      <c r="MIG125" s="953"/>
      <c r="MIH125" s="953"/>
      <c r="MII125" s="953"/>
      <c r="MIJ125" s="953"/>
      <c r="MIK125" s="953"/>
      <c r="MIL125" s="953"/>
      <c r="MIM125" s="953"/>
      <c r="MIN125" s="953"/>
      <c r="MIO125" s="953"/>
      <c r="MIP125" s="953"/>
      <c r="MIQ125" s="953"/>
      <c r="MIR125" s="953"/>
      <c r="MIS125" s="953"/>
      <c r="MIT125" s="953"/>
      <c r="MIU125" s="953"/>
      <c r="MIV125" s="953"/>
      <c r="MIW125" s="953"/>
      <c r="MIX125" s="953"/>
      <c r="MIY125" s="953"/>
      <c r="MIZ125" s="953"/>
      <c r="MJA125" s="953"/>
      <c r="MJB125" s="953"/>
      <c r="MJC125" s="953"/>
      <c r="MJD125" s="953"/>
      <c r="MJE125" s="953"/>
      <c r="MJF125" s="953"/>
      <c r="MJG125" s="953"/>
      <c r="MJH125" s="953"/>
      <c r="MJI125" s="953"/>
      <c r="MJJ125" s="953"/>
      <c r="MJK125" s="953"/>
      <c r="MJL125" s="953"/>
      <c r="MJM125" s="953"/>
      <c r="MJN125" s="953"/>
      <c r="MJO125" s="953"/>
      <c r="MJP125" s="953"/>
      <c r="MJQ125" s="953"/>
      <c r="MJR125" s="953"/>
      <c r="MJS125" s="953"/>
      <c r="MJT125" s="953"/>
      <c r="MJU125" s="953"/>
      <c r="MJV125" s="953"/>
      <c r="MJW125" s="953"/>
      <c r="MJX125" s="953"/>
      <c r="MJY125" s="953"/>
      <c r="MJZ125" s="953"/>
      <c r="MKA125" s="953"/>
      <c r="MKB125" s="953"/>
      <c r="MKC125" s="953"/>
      <c r="MKD125" s="953"/>
      <c r="MKE125" s="953"/>
      <c r="MKF125" s="953"/>
      <c r="MKG125" s="953"/>
      <c r="MKH125" s="953"/>
      <c r="MKI125" s="953"/>
      <c r="MKJ125" s="953"/>
      <c r="MKK125" s="953"/>
      <c r="MKL125" s="953"/>
      <c r="MKM125" s="953"/>
      <c r="MKN125" s="953"/>
      <c r="MKO125" s="953"/>
      <c r="MKP125" s="953"/>
      <c r="MKQ125" s="953"/>
      <c r="MKR125" s="953"/>
      <c r="MKS125" s="953"/>
      <c r="MKT125" s="953"/>
      <c r="MKU125" s="953"/>
      <c r="MKV125" s="953"/>
      <c r="MKW125" s="953"/>
      <c r="MKX125" s="953"/>
      <c r="MKY125" s="953"/>
      <c r="MKZ125" s="953"/>
      <c r="MLA125" s="953"/>
      <c r="MLB125" s="953"/>
      <c r="MLC125" s="953"/>
      <c r="MLD125" s="953"/>
      <c r="MLE125" s="953"/>
      <c r="MLF125" s="953"/>
      <c r="MLG125" s="953"/>
      <c r="MLH125" s="953"/>
      <c r="MLI125" s="953"/>
      <c r="MLJ125" s="953"/>
      <c r="MLK125" s="953"/>
      <c r="MLL125" s="953"/>
      <c r="MLM125" s="953"/>
      <c r="MLN125" s="953"/>
      <c r="MLO125" s="953"/>
      <c r="MLP125" s="953"/>
      <c r="MLQ125" s="953"/>
      <c r="MLR125" s="953"/>
      <c r="MLS125" s="953"/>
      <c r="MLT125" s="953"/>
      <c r="MLU125" s="953"/>
      <c r="MLV125" s="953"/>
      <c r="MLW125" s="953"/>
      <c r="MLX125" s="953"/>
      <c r="MLY125" s="953"/>
      <c r="MLZ125" s="953"/>
      <c r="MMA125" s="953"/>
      <c r="MMB125" s="953"/>
      <c r="MMC125" s="953"/>
      <c r="MMD125" s="953"/>
      <c r="MME125" s="953"/>
      <c r="MMF125" s="953"/>
      <c r="MMG125" s="953"/>
      <c r="MMH125" s="953"/>
      <c r="MMI125" s="953"/>
      <c r="MMJ125" s="953"/>
      <c r="MMK125" s="953"/>
      <c r="MML125" s="953"/>
      <c r="MMM125" s="953"/>
      <c r="MMN125" s="953"/>
      <c r="MMO125" s="953"/>
      <c r="MMP125" s="953"/>
      <c r="MMQ125" s="953"/>
      <c r="MMR125" s="953"/>
      <c r="MMS125" s="953"/>
      <c r="MMT125" s="953"/>
      <c r="MMU125" s="953"/>
      <c r="MMV125" s="953"/>
      <c r="MMW125" s="953"/>
      <c r="MMX125" s="953"/>
      <c r="MMY125" s="953"/>
      <c r="MMZ125" s="953"/>
      <c r="MNA125" s="953"/>
      <c r="MNB125" s="953"/>
      <c r="MNC125" s="953"/>
      <c r="MND125" s="953"/>
      <c r="MNE125" s="953"/>
      <c r="MNF125" s="953"/>
      <c r="MNG125" s="953"/>
      <c r="MNH125" s="953"/>
      <c r="MNI125" s="953"/>
      <c r="MNJ125" s="953"/>
      <c r="MNK125" s="953"/>
      <c r="MNL125" s="953"/>
      <c r="MNM125" s="953"/>
      <c r="MNN125" s="953"/>
      <c r="MNO125" s="953"/>
      <c r="MNP125" s="953"/>
      <c r="MNQ125" s="953"/>
      <c r="MNR125" s="953"/>
      <c r="MNS125" s="953"/>
      <c r="MNT125" s="953"/>
      <c r="MNU125" s="953"/>
      <c r="MNV125" s="953"/>
      <c r="MNW125" s="953"/>
      <c r="MNX125" s="953"/>
      <c r="MNY125" s="953"/>
      <c r="MNZ125" s="953"/>
      <c r="MOA125" s="953"/>
      <c r="MOB125" s="953"/>
      <c r="MOC125" s="953"/>
      <c r="MOD125" s="953"/>
      <c r="MOE125" s="953"/>
      <c r="MOF125" s="953"/>
      <c r="MOG125" s="953"/>
      <c r="MOH125" s="953"/>
      <c r="MOI125" s="953"/>
      <c r="MOJ125" s="953"/>
      <c r="MOK125" s="953"/>
      <c r="MOL125" s="953"/>
      <c r="MOM125" s="953"/>
      <c r="MON125" s="953"/>
      <c r="MOO125" s="953"/>
      <c r="MOP125" s="953"/>
      <c r="MOQ125" s="953"/>
      <c r="MOR125" s="953"/>
      <c r="MOS125" s="953"/>
      <c r="MOT125" s="953"/>
      <c r="MOU125" s="953"/>
      <c r="MOV125" s="953"/>
      <c r="MOW125" s="953"/>
      <c r="MOX125" s="953"/>
      <c r="MOY125" s="953"/>
      <c r="MOZ125" s="953"/>
      <c r="MPA125" s="953"/>
      <c r="MPB125" s="953"/>
      <c r="MPC125" s="953"/>
      <c r="MPD125" s="953"/>
      <c r="MPE125" s="953"/>
      <c r="MPF125" s="953"/>
      <c r="MPG125" s="953"/>
      <c r="MPH125" s="953"/>
      <c r="MPI125" s="953"/>
      <c r="MPJ125" s="953"/>
      <c r="MPK125" s="953"/>
      <c r="MPL125" s="953"/>
      <c r="MPM125" s="953"/>
      <c r="MPN125" s="953"/>
      <c r="MPO125" s="953"/>
      <c r="MPP125" s="953"/>
      <c r="MPQ125" s="953"/>
      <c r="MPR125" s="953"/>
      <c r="MPS125" s="953"/>
      <c r="MPT125" s="953"/>
      <c r="MPU125" s="953"/>
      <c r="MPV125" s="953"/>
      <c r="MPW125" s="953"/>
      <c r="MPX125" s="953"/>
      <c r="MPY125" s="953"/>
      <c r="MPZ125" s="953"/>
      <c r="MQA125" s="953"/>
      <c r="MQB125" s="953"/>
      <c r="MQC125" s="953"/>
      <c r="MQD125" s="953"/>
      <c r="MQE125" s="953"/>
      <c r="MQF125" s="953"/>
      <c r="MQG125" s="953"/>
      <c r="MQH125" s="953"/>
      <c r="MQI125" s="953"/>
      <c r="MQJ125" s="953"/>
      <c r="MQK125" s="953"/>
      <c r="MQL125" s="953"/>
      <c r="MQM125" s="953"/>
      <c r="MQN125" s="953"/>
      <c r="MQO125" s="953"/>
      <c r="MQP125" s="953"/>
      <c r="MQQ125" s="953"/>
      <c r="MQR125" s="953"/>
      <c r="MQS125" s="953"/>
      <c r="MQT125" s="953"/>
      <c r="MQU125" s="953"/>
      <c r="MQV125" s="953"/>
      <c r="MQW125" s="953"/>
      <c r="MQX125" s="953"/>
      <c r="MQY125" s="953"/>
      <c r="MQZ125" s="953"/>
      <c r="MRA125" s="953"/>
      <c r="MRB125" s="953"/>
      <c r="MRC125" s="953"/>
      <c r="MRD125" s="953"/>
      <c r="MRE125" s="953"/>
      <c r="MRF125" s="953"/>
      <c r="MRG125" s="953"/>
      <c r="MRH125" s="953"/>
      <c r="MRI125" s="953"/>
      <c r="MRJ125" s="953"/>
      <c r="MRK125" s="953"/>
      <c r="MRL125" s="953"/>
      <c r="MRM125" s="953"/>
      <c r="MRN125" s="953"/>
      <c r="MRO125" s="953"/>
      <c r="MRP125" s="953"/>
      <c r="MRQ125" s="953"/>
      <c r="MRR125" s="953"/>
      <c r="MRS125" s="953"/>
      <c r="MRT125" s="953"/>
      <c r="MRU125" s="953"/>
      <c r="MRV125" s="953"/>
      <c r="MRW125" s="953"/>
      <c r="MRX125" s="953"/>
      <c r="MRY125" s="953"/>
      <c r="MRZ125" s="953"/>
      <c r="MSA125" s="953"/>
      <c r="MSB125" s="953"/>
      <c r="MSC125" s="953"/>
      <c r="MSD125" s="953"/>
      <c r="MSE125" s="953"/>
      <c r="MSF125" s="953"/>
      <c r="MSG125" s="953"/>
      <c r="MSH125" s="953"/>
      <c r="MSI125" s="953"/>
      <c r="MSJ125" s="953"/>
      <c r="MSK125" s="953"/>
      <c r="MSL125" s="953"/>
      <c r="MSM125" s="953"/>
      <c r="MSN125" s="953"/>
      <c r="MSO125" s="953"/>
      <c r="MSP125" s="953"/>
      <c r="MSQ125" s="953"/>
      <c r="MSR125" s="953"/>
      <c r="MSS125" s="953"/>
      <c r="MST125" s="953"/>
      <c r="MSU125" s="953"/>
      <c r="MSV125" s="953"/>
      <c r="MSW125" s="953"/>
      <c r="MSX125" s="953"/>
      <c r="MSY125" s="953"/>
      <c r="MSZ125" s="953"/>
      <c r="MTA125" s="953"/>
      <c r="MTB125" s="953"/>
      <c r="MTC125" s="953"/>
      <c r="MTD125" s="953"/>
      <c r="MTE125" s="953"/>
      <c r="MTF125" s="953"/>
      <c r="MTG125" s="953"/>
      <c r="MTH125" s="953"/>
      <c r="MTI125" s="953"/>
      <c r="MTJ125" s="953"/>
      <c r="MTK125" s="953"/>
      <c r="MTL125" s="953"/>
      <c r="MTM125" s="953"/>
      <c r="MTN125" s="953"/>
      <c r="MTO125" s="953"/>
      <c r="MTP125" s="953"/>
      <c r="MTQ125" s="953"/>
      <c r="MTR125" s="953"/>
      <c r="MTS125" s="953"/>
      <c r="MTT125" s="953"/>
      <c r="MTU125" s="953"/>
      <c r="MTV125" s="953"/>
      <c r="MTW125" s="953"/>
      <c r="MTX125" s="953"/>
      <c r="MTY125" s="953"/>
      <c r="MTZ125" s="953"/>
      <c r="MUA125" s="953"/>
      <c r="MUB125" s="953"/>
      <c r="MUC125" s="953"/>
      <c r="MUD125" s="953"/>
      <c r="MUE125" s="953"/>
      <c r="MUF125" s="953"/>
      <c r="MUG125" s="953"/>
      <c r="MUH125" s="953"/>
      <c r="MUI125" s="953"/>
      <c r="MUJ125" s="953"/>
      <c r="MUK125" s="953"/>
      <c r="MUL125" s="953"/>
      <c r="MUM125" s="953"/>
      <c r="MUN125" s="953"/>
      <c r="MUO125" s="953"/>
      <c r="MUP125" s="953"/>
      <c r="MUQ125" s="953"/>
      <c r="MUR125" s="953"/>
      <c r="MUS125" s="953"/>
      <c r="MUT125" s="953"/>
      <c r="MUU125" s="953"/>
      <c r="MUV125" s="953"/>
      <c r="MUW125" s="953"/>
      <c r="MUX125" s="953"/>
      <c r="MUY125" s="953"/>
      <c r="MUZ125" s="953"/>
      <c r="MVA125" s="953"/>
      <c r="MVB125" s="953"/>
      <c r="MVC125" s="953"/>
      <c r="MVD125" s="953"/>
      <c r="MVE125" s="953"/>
      <c r="MVF125" s="953"/>
      <c r="MVG125" s="953"/>
      <c r="MVH125" s="953"/>
      <c r="MVI125" s="953"/>
      <c r="MVJ125" s="953"/>
      <c r="MVK125" s="953"/>
      <c r="MVL125" s="953"/>
      <c r="MVM125" s="953"/>
      <c r="MVN125" s="953"/>
      <c r="MVO125" s="953"/>
      <c r="MVP125" s="953"/>
      <c r="MVQ125" s="953"/>
      <c r="MVR125" s="953"/>
      <c r="MVS125" s="953"/>
      <c r="MVT125" s="953"/>
      <c r="MVU125" s="953"/>
      <c r="MVV125" s="953"/>
      <c r="MVW125" s="953"/>
      <c r="MVX125" s="953"/>
      <c r="MVY125" s="953"/>
      <c r="MVZ125" s="953"/>
      <c r="MWA125" s="953"/>
      <c r="MWB125" s="953"/>
      <c r="MWC125" s="953"/>
      <c r="MWD125" s="953"/>
      <c r="MWE125" s="953"/>
      <c r="MWF125" s="953"/>
      <c r="MWG125" s="953"/>
      <c r="MWH125" s="953"/>
      <c r="MWI125" s="953"/>
      <c r="MWJ125" s="953"/>
      <c r="MWK125" s="953"/>
      <c r="MWL125" s="953"/>
      <c r="MWM125" s="953"/>
      <c r="MWN125" s="953"/>
      <c r="MWO125" s="953"/>
      <c r="MWP125" s="953"/>
      <c r="MWQ125" s="953"/>
      <c r="MWR125" s="953"/>
      <c r="MWS125" s="953"/>
      <c r="MWT125" s="953"/>
      <c r="MWU125" s="953"/>
      <c r="MWV125" s="953"/>
      <c r="MWW125" s="953"/>
      <c r="MWX125" s="953"/>
      <c r="MWY125" s="953"/>
      <c r="MWZ125" s="953"/>
      <c r="MXA125" s="953"/>
      <c r="MXB125" s="953"/>
      <c r="MXC125" s="953"/>
      <c r="MXD125" s="953"/>
      <c r="MXE125" s="953"/>
      <c r="MXF125" s="953"/>
      <c r="MXG125" s="953"/>
      <c r="MXH125" s="953"/>
      <c r="MXI125" s="953"/>
      <c r="MXJ125" s="953"/>
      <c r="MXK125" s="953"/>
      <c r="MXL125" s="953"/>
      <c r="MXM125" s="953"/>
      <c r="MXN125" s="953"/>
      <c r="MXO125" s="953"/>
      <c r="MXP125" s="953"/>
      <c r="MXQ125" s="953"/>
      <c r="MXR125" s="953"/>
      <c r="MXS125" s="953"/>
      <c r="MXT125" s="953"/>
      <c r="MXU125" s="953"/>
      <c r="MXV125" s="953"/>
      <c r="MXW125" s="953"/>
      <c r="MXX125" s="953"/>
      <c r="MXY125" s="953"/>
      <c r="MXZ125" s="953"/>
      <c r="MYA125" s="953"/>
      <c r="MYB125" s="953"/>
      <c r="MYC125" s="953"/>
      <c r="MYD125" s="953"/>
      <c r="MYE125" s="953"/>
      <c r="MYF125" s="953"/>
      <c r="MYG125" s="953"/>
      <c r="MYH125" s="953"/>
      <c r="MYI125" s="953"/>
      <c r="MYJ125" s="953"/>
      <c r="MYK125" s="953"/>
      <c r="MYL125" s="953"/>
      <c r="MYM125" s="953"/>
      <c r="MYN125" s="953"/>
      <c r="MYO125" s="953"/>
      <c r="MYP125" s="953"/>
      <c r="MYQ125" s="953"/>
      <c r="MYR125" s="953"/>
      <c r="MYS125" s="953"/>
      <c r="MYT125" s="953"/>
      <c r="MYU125" s="953"/>
      <c r="MYV125" s="953"/>
      <c r="MYW125" s="953"/>
      <c r="MYX125" s="953"/>
      <c r="MYY125" s="953"/>
      <c r="MYZ125" s="953"/>
      <c r="MZA125" s="953"/>
      <c r="MZB125" s="953"/>
      <c r="MZC125" s="953"/>
      <c r="MZD125" s="953"/>
      <c r="MZE125" s="953"/>
      <c r="MZF125" s="953"/>
      <c r="MZG125" s="953"/>
      <c r="MZH125" s="953"/>
      <c r="MZI125" s="953"/>
      <c r="MZJ125" s="953"/>
      <c r="MZK125" s="953"/>
      <c r="MZL125" s="953"/>
      <c r="MZM125" s="953"/>
      <c r="MZN125" s="953"/>
      <c r="MZO125" s="953"/>
      <c r="MZP125" s="953"/>
      <c r="MZQ125" s="953"/>
      <c r="MZR125" s="953"/>
      <c r="MZS125" s="953"/>
      <c r="MZT125" s="953"/>
      <c r="MZU125" s="953"/>
      <c r="MZV125" s="953"/>
      <c r="MZW125" s="953"/>
      <c r="MZX125" s="953"/>
      <c r="MZY125" s="953"/>
      <c r="MZZ125" s="953"/>
      <c r="NAA125" s="953"/>
      <c r="NAB125" s="953"/>
      <c r="NAC125" s="953"/>
      <c r="NAD125" s="953"/>
      <c r="NAE125" s="953"/>
      <c r="NAF125" s="953"/>
      <c r="NAG125" s="953"/>
      <c r="NAH125" s="953"/>
      <c r="NAI125" s="953"/>
      <c r="NAJ125" s="953"/>
      <c r="NAK125" s="953"/>
      <c r="NAL125" s="953"/>
      <c r="NAM125" s="953"/>
      <c r="NAN125" s="953"/>
      <c r="NAO125" s="953"/>
      <c r="NAP125" s="953"/>
      <c r="NAQ125" s="953"/>
      <c r="NAR125" s="953"/>
      <c r="NAS125" s="953"/>
      <c r="NAT125" s="953"/>
      <c r="NAU125" s="953"/>
      <c r="NAV125" s="953"/>
      <c r="NAW125" s="953"/>
      <c r="NAX125" s="953"/>
      <c r="NAY125" s="953"/>
      <c r="NAZ125" s="953"/>
      <c r="NBA125" s="953"/>
      <c r="NBB125" s="953"/>
      <c r="NBC125" s="953"/>
      <c r="NBD125" s="953"/>
      <c r="NBE125" s="953"/>
      <c r="NBF125" s="953"/>
      <c r="NBG125" s="953"/>
      <c r="NBH125" s="953"/>
      <c r="NBI125" s="953"/>
      <c r="NBJ125" s="953"/>
      <c r="NBK125" s="953"/>
      <c r="NBL125" s="953"/>
      <c r="NBM125" s="953"/>
      <c r="NBN125" s="953"/>
      <c r="NBO125" s="953"/>
      <c r="NBP125" s="953"/>
      <c r="NBQ125" s="953"/>
      <c r="NBR125" s="953"/>
      <c r="NBS125" s="953"/>
      <c r="NBT125" s="953"/>
      <c r="NBU125" s="953"/>
      <c r="NBV125" s="953"/>
      <c r="NBW125" s="953"/>
      <c r="NBX125" s="953"/>
      <c r="NBY125" s="953"/>
      <c r="NBZ125" s="953"/>
      <c r="NCA125" s="953"/>
      <c r="NCB125" s="953"/>
      <c r="NCC125" s="953"/>
      <c r="NCD125" s="953"/>
      <c r="NCE125" s="953"/>
      <c r="NCF125" s="953"/>
      <c r="NCG125" s="953"/>
      <c r="NCH125" s="953"/>
      <c r="NCI125" s="953"/>
      <c r="NCJ125" s="953"/>
      <c r="NCK125" s="953"/>
      <c r="NCL125" s="953"/>
      <c r="NCM125" s="953"/>
      <c r="NCN125" s="953"/>
      <c r="NCO125" s="953"/>
      <c r="NCP125" s="953"/>
      <c r="NCQ125" s="953"/>
      <c r="NCR125" s="953"/>
      <c r="NCS125" s="953"/>
      <c r="NCT125" s="953"/>
      <c r="NCU125" s="953"/>
      <c r="NCV125" s="953"/>
      <c r="NCW125" s="953"/>
      <c r="NCX125" s="953"/>
      <c r="NCY125" s="953"/>
      <c r="NCZ125" s="953"/>
      <c r="NDA125" s="953"/>
      <c r="NDB125" s="953"/>
      <c r="NDC125" s="953"/>
      <c r="NDD125" s="953"/>
      <c r="NDE125" s="953"/>
      <c r="NDF125" s="953"/>
      <c r="NDG125" s="953"/>
      <c r="NDH125" s="953"/>
      <c r="NDI125" s="953"/>
      <c r="NDJ125" s="953"/>
      <c r="NDK125" s="953"/>
      <c r="NDL125" s="953"/>
      <c r="NDM125" s="953"/>
      <c r="NDN125" s="953"/>
      <c r="NDO125" s="953"/>
      <c r="NDP125" s="953"/>
      <c r="NDQ125" s="953"/>
      <c r="NDR125" s="953"/>
      <c r="NDS125" s="953"/>
      <c r="NDT125" s="953"/>
      <c r="NDU125" s="953"/>
      <c r="NDV125" s="953"/>
      <c r="NDW125" s="953"/>
      <c r="NDX125" s="953"/>
      <c r="NDY125" s="953"/>
      <c r="NDZ125" s="953"/>
      <c r="NEA125" s="953"/>
      <c r="NEB125" s="953"/>
      <c r="NEC125" s="953"/>
      <c r="NED125" s="953"/>
      <c r="NEE125" s="953"/>
      <c r="NEF125" s="953"/>
      <c r="NEG125" s="953"/>
      <c r="NEH125" s="953"/>
      <c r="NEI125" s="953"/>
      <c r="NEJ125" s="953"/>
      <c r="NEK125" s="953"/>
      <c r="NEL125" s="953"/>
      <c r="NEM125" s="953"/>
      <c r="NEN125" s="953"/>
      <c r="NEO125" s="953"/>
      <c r="NEP125" s="953"/>
      <c r="NEQ125" s="953"/>
      <c r="NER125" s="953"/>
      <c r="NES125" s="953"/>
      <c r="NET125" s="953"/>
      <c r="NEU125" s="953"/>
      <c r="NEV125" s="953"/>
      <c r="NEW125" s="953"/>
      <c r="NEX125" s="953"/>
      <c r="NEY125" s="953"/>
      <c r="NEZ125" s="953"/>
      <c r="NFA125" s="953"/>
      <c r="NFB125" s="953"/>
      <c r="NFC125" s="953"/>
      <c r="NFD125" s="953"/>
      <c r="NFE125" s="953"/>
      <c r="NFF125" s="953"/>
      <c r="NFG125" s="953"/>
      <c r="NFH125" s="953"/>
      <c r="NFI125" s="953"/>
      <c r="NFJ125" s="953"/>
      <c r="NFK125" s="953"/>
      <c r="NFL125" s="953"/>
      <c r="NFM125" s="953"/>
      <c r="NFN125" s="953"/>
      <c r="NFO125" s="953"/>
      <c r="NFP125" s="953"/>
      <c r="NFQ125" s="953"/>
      <c r="NFR125" s="953"/>
      <c r="NFS125" s="953"/>
      <c r="NFT125" s="953"/>
      <c r="NFU125" s="953"/>
      <c r="NFV125" s="953"/>
      <c r="NFW125" s="953"/>
      <c r="NFX125" s="953"/>
      <c r="NFY125" s="953"/>
      <c r="NFZ125" s="953"/>
      <c r="NGA125" s="953"/>
      <c r="NGB125" s="953"/>
      <c r="NGC125" s="953"/>
      <c r="NGD125" s="953"/>
      <c r="NGE125" s="953"/>
      <c r="NGF125" s="953"/>
      <c r="NGG125" s="953"/>
      <c r="NGH125" s="953"/>
      <c r="NGI125" s="953"/>
      <c r="NGJ125" s="953"/>
      <c r="NGK125" s="953"/>
      <c r="NGL125" s="953"/>
      <c r="NGM125" s="953"/>
      <c r="NGN125" s="953"/>
      <c r="NGO125" s="953"/>
      <c r="NGP125" s="953"/>
      <c r="NGQ125" s="953"/>
      <c r="NGR125" s="953"/>
      <c r="NGS125" s="953"/>
      <c r="NGT125" s="953"/>
      <c r="NGU125" s="953"/>
      <c r="NGV125" s="953"/>
      <c r="NGW125" s="953"/>
      <c r="NGX125" s="953"/>
      <c r="NGY125" s="953"/>
      <c r="NGZ125" s="953"/>
      <c r="NHA125" s="953"/>
      <c r="NHB125" s="953"/>
      <c r="NHC125" s="953"/>
      <c r="NHD125" s="953"/>
      <c r="NHE125" s="953"/>
      <c r="NHF125" s="953"/>
      <c r="NHG125" s="953"/>
      <c r="NHH125" s="953"/>
      <c r="NHI125" s="953"/>
      <c r="NHJ125" s="953"/>
      <c r="NHK125" s="953"/>
      <c r="NHL125" s="953"/>
      <c r="NHM125" s="953"/>
      <c r="NHN125" s="953"/>
      <c r="NHO125" s="953"/>
      <c r="NHP125" s="953"/>
      <c r="NHQ125" s="953"/>
      <c r="NHR125" s="953"/>
      <c r="NHS125" s="953"/>
      <c r="NHT125" s="953"/>
      <c r="NHU125" s="953"/>
      <c r="NHV125" s="953"/>
      <c r="NHW125" s="953"/>
      <c r="NHX125" s="953"/>
      <c r="NHY125" s="953"/>
      <c r="NHZ125" s="953"/>
      <c r="NIA125" s="953"/>
      <c r="NIB125" s="953"/>
      <c r="NIC125" s="953"/>
      <c r="NID125" s="953"/>
      <c r="NIE125" s="953"/>
      <c r="NIF125" s="953"/>
      <c r="NIG125" s="953"/>
      <c r="NIH125" s="953"/>
      <c r="NII125" s="953"/>
      <c r="NIJ125" s="953"/>
      <c r="NIK125" s="953"/>
      <c r="NIL125" s="953"/>
      <c r="NIM125" s="953"/>
      <c r="NIN125" s="953"/>
      <c r="NIO125" s="953"/>
      <c r="NIP125" s="953"/>
      <c r="NIQ125" s="953"/>
      <c r="NIR125" s="953"/>
      <c r="NIS125" s="953"/>
      <c r="NIT125" s="953"/>
      <c r="NIU125" s="953"/>
      <c r="NIV125" s="953"/>
      <c r="NIW125" s="953"/>
      <c r="NIX125" s="953"/>
      <c r="NIY125" s="953"/>
      <c r="NIZ125" s="953"/>
      <c r="NJA125" s="953"/>
      <c r="NJB125" s="953"/>
      <c r="NJC125" s="953"/>
      <c r="NJD125" s="953"/>
      <c r="NJE125" s="953"/>
      <c r="NJF125" s="953"/>
      <c r="NJG125" s="953"/>
      <c r="NJH125" s="953"/>
      <c r="NJI125" s="953"/>
      <c r="NJJ125" s="953"/>
      <c r="NJK125" s="953"/>
      <c r="NJL125" s="953"/>
      <c r="NJM125" s="953"/>
      <c r="NJN125" s="953"/>
      <c r="NJO125" s="953"/>
      <c r="NJP125" s="953"/>
      <c r="NJQ125" s="953"/>
      <c r="NJR125" s="953"/>
      <c r="NJS125" s="953"/>
      <c r="NJT125" s="953"/>
      <c r="NJU125" s="953"/>
      <c r="NJV125" s="953"/>
      <c r="NJW125" s="953"/>
      <c r="NJX125" s="953"/>
      <c r="NJY125" s="953"/>
      <c r="NJZ125" s="953"/>
      <c r="NKA125" s="953"/>
      <c r="NKB125" s="953"/>
      <c r="NKC125" s="953"/>
      <c r="NKD125" s="953"/>
      <c r="NKE125" s="953"/>
      <c r="NKF125" s="953"/>
      <c r="NKG125" s="953"/>
      <c r="NKH125" s="953"/>
      <c r="NKI125" s="953"/>
      <c r="NKJ125" s="953"/>
      <c r="NKK125" s="953"/>
      <c r="NKL125" s="953"/>
      <c r="NKM125" s="953"/>
      <c r="NKN125" s="953"/>
      <c r="NKO125" s="953"/>
      <c r="NKP125" s="953"/>
      <c r="NKQ125" s="953"/>
      <c r="NKR125" s="953"/>
      <c r="NKS125" s="953"/>
      <c r="NKT125" s="953"/>
      <c r="NKU125" s="953"/>
      <c r="NKV125" s="953"/>
      <c r="NKW125" s="953"/>
      <c r="NKX125" s="953"/>
      <c r="NKY125" s="953"/>
      <c r="NKZ125" s="953"/>
      <c r="NLA125" s="953"/>
      <c r="NLB125" s="953"/>
      <c r="NLC125" s="953"/>
      <c r="NLD125" s="953"/>
      <c r="NLE125" s="953"/>
      <c r="NLF125" s="953"/>
      <c r="NLG125" s="953"/>
      <c r="NLH125" s="953"/>
      <c r="NLI125" s="953"/>
      <c r="NLJ125" s="953"/>
      <c r="NLK125" s="953"/>
      <c r="NLL125" s="953"/>
      <c r="NLM125" s="953"/>
      <c r="NLN125" s="953"/>
      <c r="NLO125" s="953"/>
      <c r="NLP125" s="953"/>
      <c r="NLQ125" s="953"/>
      <c r="NLR125" s="953"/>
      <c r="NLS125" s="953"/>
      <c r="NLT125" s="953"/>
      <c r="NLU125" s="953"/>
      <c r="NLV125" s="953"/>
      <c r="NLW125" s="953"/>
      <c r="NLX125" s="953"/>
      <c r="NLY125" s="953"/>
      <c r="NLZ125" s="953"/>
      <c r="NMA125" s="953"/>
      <c r="NMB125" s="953"/>
      <c r="NMC125" s="953"/>
      <c r="NMD125" s="953"/>
      <c r="NME125" s="953"/>
      <c r="NMF125" s="953"/>
      <c r="NMG125" s="953"/>
      <c r="NMH125" s="953"/>
      <c r="NMI125" s="953"/>
      <c r="NMJ125" s="953"/>
      <c r="NMK125" s="953"/>
      <c r="NML125" s="953"/>
      <c r="NMM125" s="953"/>
      <c r="NMN125" s="953"/>
      <c r="NMO125" s="953"/>
      <c r="NMP125" s="953"/>
      <c r="NMQ125" s="953"/>
      <c r="NMR125" s="953"/>
      <c r="NMS125" s="953"/>
      <c r="NMT125" s="953"/>
      <c r="NMU125" s="953"/>
      <c r="NMV125" s="953"/>
      <c r="NMW125" s="953"/>
      <c r="NMX125" s="953"/>
      <c r="NMY125" s="953"/>
      <c r="NMZ125" s="953"/>
      <c r="NNA125" s="953"/>
      <c r="NNB125" s="953"/>
      <c r="NNC125" s="953"/>
      <c r="NND125" s="953"/>
      <c r="NNE125" s="953"/>
      <c r="NNF125" s="953"/>
      <c r="NNG125" s="953"/>
      <c r="NNH125" s="953"/>
      <c r="NNI125" s="953"/>
      <c r="NNJ125" s="953"/>
      <c r="NNK125" s="953"/>
      <c r="NNL125" s="953"/>
      <c r="NNM125" s="953"/>
      <c r="NNN125" s="953"/>
      <c r="NNO125" s="953"/>
      <c r="NNP125" s="953"/>
      <c r="NNQ125" s="953"/>
      <c r="NNR125" s="953"/>
      <c r="NNS125" s="953"/>
      <c r="NNT125" s="953"/>
      <c r="NNU125" s="953"/>
      <c r="NNV125" s="953"/>
      <c r="NNW125" s="953"/>
      <c r="NNX125" s="953"/>
      <c r="NNY125" s="953"/>
      <c r="NNZ125" s="953"/>
      <c r="NOA125" s="953"/>
      <c r="NOB125" s="953"/>
      <c r="NOC125" s="953"/>
      <c r="NOD125" s="953"/>
      <c r="NOE125" s="953"/>
      <c r="NOF125" s="953"/>
      <c r="NOG125" s="953"/>
      <c r="NOH125" s="953"/>
      <c r="NOI125" s="953"/>
      <c r="NOJ125" s="953"/>
      <c r="NOK125" s="953"/>
      <c r="NOL125" s="953"/>
      <c r="NOM125" s="953"/>
      <c r="NON125" s="953"/>
      <c r="NOO125" s="953"/>
      <c r="NOP125" s="953"/>
      <c r="NOQ125" s="953"/>
      <c r="NOR125" s="953"/>
      <c r="NOS125" s="953"/>
      <c r="NOT125" s="953"/>
      <c r="NOU125" s="953"/>
      <c r="NOV125" s="953"/>
      <c r="NOW125" s="953"/>
      <c r="NOX125" s="953"/>
      <c r="NOY125" s="953"/>
      <c r="NOZ125" s="953"/>
      <c r="NPA125" s="953"/>
      <c r="NPB125" s="953"/>
      <c r="NPC125" s="953"/>
      <c r="NPD125" s="953"/>
      <c r="NPE125" s="953"/>
      <c r="NPF125" s="953"/>
      <c r="NPG125" s="953"/>
      <c r="NPH125" s="953"/>
      <c r="NPI125" s="953"/>
      <c r="NPJ125" s="953"/>
      <c r="NPK125" s="953"/>
      <c r="NPL125" s="953"/>
      <c r="NPM125" s="953"/>
      <c r="NPN125" s="953"/>
      <c r="NPO125" s="953"/>
      <c r="NPP125" s="953"/>
      <c r="NPQ125" s="953"/>
      <c r="NPR125" s="953"/>
      <c r="NPS125" s="953"/>
      <c r="NPT125" s="953"/>
      <c r="NPU125" s="953"/>
      <c r="NPV125" s="953"/>
      <c r="NPW125" s="953"/>
      <c r="NPX125" s="953"/>
      <c r="NPY125" s="953"/>
      <c r="NPZ125" s="953"/>
      <c r="NQA125" s="953"/>
      <c r="NQB125" s="953"/>
      <c r="NQC125" s="953"/>
      <c r="NQD125" s="953"/>
      <c r="NQE125" s="953"/>
      <c r="NQF125" s="953"/>
      <c r="NQG125" s="953"/>
      <c r="NQH125" s="953"/>
      <c r="NQI125" s="953"/>
      <c r="NQJ125" s="953"/>
      <c r="NQK125" s="953"/>
      <c r="NQL125" s="953"/>
      <c r="NQM125" s="953"/>
      <c r="NQN125" s="953"/>
      <c r="NQO125" s="953"/>
      <c r="NQP125" s="953"/>
      <c r="NQQ125" s="953"/>
      <c r="NQR125" s="953"/>
      <c r="NQS125" s="953"/>
      <c r="NQT125" s="953"/>
      <c r="NQU125" s="953"/>
      <c r="NQV125" s="953"/>
      <c r="NQW125" s="953"/>
      <c r="NQX125" s="953"/>
      <c r="NQY125" s="953"/>
      <c r="NQZ125" s="953"/>
      <c r="NRA125" s="953"/>
      <c r="NRB125" s="953"/>
      <c r="NRC125" s="953"/>
      <c r="NRD125" s="953"/>
      <c r="NRE125" s="953"/>
      <c r="NRF125" s="953"/>
      <c r="NRG125" s="953"/>
      <c r="NRH125" s="953"/>
      <c r="NRI125" s="953"/>
      <c r="NRJ125" s="953"/>
      <c r="NRK125" s="953"/>
      <c r="NRL125" s="953"/>
      <c r="NRM125" s="953"/>
      <c r="NRN125" s="953"/>
      <c r="NRO125" s="953"/>
      <c r="NRP125" s="953"/>
      <c r="NRQ125" s="953"/>
      <c r="NRR125" s="953"/>
      <c r="NRS125" s="953"/>
      <c r="NRT125" s="953"/>
      <c r="NRU125" s="953"/>
      <c r="NRV125" s="953"/>
      <c r="NRW125" s="953"/>
      <c r="NRX125" s="953"/>
      <c r="NRY125" s="953"/>
      <c r="NRZ125" s="953"/>
      <c r="NSA125" s="953"/>
      <c r="NSB125" s="953"/>
      <c r="NSC125" s="953"/>
      <c r="NSD125" s="953"/>
      <c r="NSE125" s="953"/>
      <c r="NSF125" s="953"/>
      <c r="NSG125" s="953"/>
      <c r="NSH125" s="953"/>
      <c r="NSI125" s="953"/>
      <c r="NSJ125" s="953"/>
      <c r="NSK125" s="953"/>
      <c r="NSL125" s="953"/>
      <c r="NSM125" s="953"/>
      <c r="NSN125" s="953"/>
      <c r="NSO125" s="953"/>
      <c r="NSP125" s="953"/>
      <c r="NSQ125" s="953"/>
      <c r="NSR125" s="953"/>
      <c r="NSS125" s="953"/>
      <c r="NST125" s="953"/>
      <c r="NSU125" s="953"/>
      <c r="NSV125" s="953"/>
      <c r="NSW125" s="953"/>
      <c r="NSX125" s="953"/>
      <c r="NSY125" s="953"/>
      <c r="NSZ125" s="953"/>
      <c r="NTA125" s="953"/>
      <c r="NTB125" s="953"/>
      <c r="NTC125" s="953"/>
      <c r="NTD125" s="953"/>
      <c r="NTE125" s="953"/>
      <c r="NTF125" s="953"/>
      <c r="NTG125" s="953"/>
      <c r="NTH125" s="953"/>
      <c r="NTI125" s="953"/>
      <c r="NTJ125" s="953"/>
      <c r="NTK125" s="953"/>
      <c r="NTL125" s="953"/>
      <c r="NTM125" s="953"/>
      <c r="NTN125" s="953"/>
      <c r="NTO125" s="953"/>
      <c r="NTP125" s="953"/>
      <c r="NTQ125" s="953"/>
      <c r="NTR125" s="953"/>
      <c r="NTS125" s="953"/>
      <c r="NTT125" s="953"/>
      <c r="NTU125" s="953"/>
      <c r="NTV125" s="953"/>
      <c r="NTW125" s="953"/>
      <c r="NTX125" s="953"/>
      <c r="NTY125" s="953"/>
      <c r="NTZ125" s="953"/>
      <c r="NUA125" s="953"/>
      <c r="NUB125" s="953"/>
      <c r="NUC125" s="953"/>
      <c r="NUD125" s="953"/>
      <c r="NUE125" s="953"/>
      <c r="NUF125" s="953"/>
      <c r="NUG125" s="953"/>
      <c r="NUH125" s="953"/>
      <c r="NUI125" s="953"/>
      <c r="NUJ125" s="953"/>
      <c r="NUK125" s="953"/>
      <c r="NUL125" s="953"/>
      <c r="NUM125" s="953"/>
      <c r="NUN125" s="953"/>
      <c r="NUO125" s="953"/>
      <c r="NUP125" s="953"/>
      <c r="NUQ125" s="953"/>
      <c r="NUR125" s="953"/>
      <c r="NUS125" s="953"/>
      <c r="NUT125" s="953"/>
      <c r="NUU125" s="953"/>
      <c r="NUV125" s="953"/>
      <c r="NUW125" s="953"/>
      <c r="NUX125" s="953"/>
      <c r="NUY125" s="953"/>
      <c r="NUZ125" s="953"/>
      <c r="NVA125" s="953"/>
      <c r="NVB125" s="953"/>
      <c r="NVC125" s="953"/>
      <c r="NVD125" s="953"/>
      <c r="NVE125" s="953"/>
      <c r="NVF125" s="953"/>
      <c r="NVG125" s="953"/>
      <c r="NVH125" s="953"/>
      <c r="NVI125" s="953"/>
      <c r="NVJ125" s="953"/>
      <c r="NVK125" s="953"/>
      <c r="NVL125" s="953"/>
      <c r="NVM125" s="953"/>
      <c r="NVN125" s="953"/>
      <c r="NVO125" s="953"/>
      <c r="NVP125" s="953"/>
      <c r="NVQ125" s="953"/>
      <c r="NVR125" s="953"/>
      <c r="NVS125" s="953"/>
      <c r="NVT125" s="953"/>
      <c r="NVU125" s="953"/>
      <c r="NVV125" s="953"/>
      <c r="NVW125" s="953"/>
      <c r="NVX125" s="953"/>
      <c r="NVY125" s="953"/>
      <c r="NVZ125" s="953"/>
      <c r="NWA125" s="953"/>
      <c r="NWB125" s="953"/>
      <c r="NWC125" s="953"/>
      <c r="NWD125" s="953"/>
      <c r="NWE125" s="953"/>
      <c r="NWF125" s="953"/>
      <c r="NWG125" s="953"/>
      <c r="NWH125" s="953"/>
      <c r="NWI125" s="953"/>
      <c r="NWJ125" s="953"/>
      <c r="NWK125" s="953"/>
      <c r="NWL125" s="953"/>
      <c r="NWM125" s="953"/>
      <c r="NWN125" s="953"/>
      <c r="NWO125" s="953"/>
      <c r="NWP125" s="953"/>
      <c r="NWQ125" s="953"/>
      <c r="NWR125" s="953"/>
      <c r="NWS125" s="953"/>
      <c r="NWT125" s="953"/>
      <c r="NWU125" s="953"/>
      <c r="NWV125" s="953"/>
      <c r="NWW125" s="953"/>
      <c r="NWX125" s="953"/>
      <c r="NWY125" s="953"/>
      <c r="NWZ125" s="953"/>
      <c r="NXA125" s="953"/>
      <c r="NXB125" s="953"/>
      <c r="NXC125" s="953"/>
      <c r="NXD125" s="953"/>
      <c r="NXE125" s="953"/>
      <c r="NXF125" s="953"/>
      <c r="NXG125" s="953"/>
      <c r="NXH125" s="953"/>
      <c r="NXI125" s="953"/>
      <c r="NXJ125" s="953"/>
      <c r="NXK125" s="953"/>
      <c r="NXL125" s="953"/>
      <c r="NXM125" s="953"/>
      <c r="NXN125" s="953"/>
      <c r="NXO125" s="953"/>
      <c r="NXP125" s="953"/>
      <c r="NXQ125" s="953"/>
      <c r="NXR125" s="953"/>
      <c r="NXS125" s="953"/>
      <c r="NXT125" s="953"/>
      <c r="NXU125" s="953"/>
      <c r="NXV125" s="953"/>
      <c r="NXW125" s="953"/>
      <c r="NXX125" s="953"/>
      <c r="NXY125" s="953"/>
      <c r="NXZ125" s="953"/>
      <c r="NYA125" s="953"/>
      <c r="NYB125" s="953"/>
      <c r="NYC125" s="953"/>
      <c r="NYD125" s="953"/>
      <c r="NYE125" s="953"/>
      <c r="NYF125" s="953"/>
      <c r="NYG125" s="953"/>
      <c r="NYH125" s="953"/>
      <c r="NYI125" s="953"/>
      <c r="NYJ125" s="953"/>
      <c r="NYK125" s="953"/>
      <c r="NYL125" s="953"/>
      <c r="NYM125" s="953"/>
      <c r="NYN125" s="953"/>
      <c r="NYO125" s="953"/>
      <c r="NYP125" s="953"/>
      <c r="NYQ125" s="953"/>
      <c r="NYR125" s="953"/>
      <c r="NYS125" s="953"/>
      <c r="NYT125" s="953"/>
      <c r="NYU125" s="953"/>
      <c r="NYV125" s="953"/>
      <c r="NYW125" s="953"/>
      <c r="NYX125" s="953"/>
      <c r="NYY125" s="953"/>
      <c r="NYZ125" s="953"/>
      <c r="NZA125" s="953"/>
      <c r="NZB125" s="953"/>
      <c r="NZC125" s="953"/>
      <c r="NZD125" s="953"/>
      <c r="NZE125" s="953"/>
      <c r="NZF125" s="953"/>
      <c r="NZG125" s="953"/>
      <c r="NZH125" s="953"/>
      <c r="NZI125" s="953"/>
      <c r="NZJ125" s="953"/>
      <c r="NZK125" s="953"/>
      <c r="NZL125" s="953"/>
      <c r="NZM125" s="953"/>
      <c r="NZN125" s="953"/>
      <c r="NZO125" s="953"/>
      <c r="NZP125" s="953"/>
      <c r="NZQ125" s="953"/>
      <c r="NZR125" s="953"/>
      <c r="NZS125" s="953"/>
      <c r="NZT125" s="953"/>
      <c r="NZU125" s="953"/>
      <c r="NZV125" s="953"/>
      <c r="NZW125" s="953"/>
      <c r="NZX125" s="953"/>
      <c r="NZY125" s="953"/>
      <c r="NZZ125" s="953"/>
      <c r="OAA125" s="953"/>
      <c r="OAB125" s="953"/>
      <c r="OAC125" s="953"/>
      <c r="OAD125" s="953"/>
      <c r="OAE125" s="953"/>
      <c r="OAF125" s="953"/>
      <c r="OAG125" s="953"/>
      <c r="OAH125" s="953"/>
      <c r="OAI125" s="953"/>
      <c r="OAJ125" s="953"/>
      <c r="OAK125" s="953"/>
      <c r="OAL125" s="953"/>
      <c r="OAM125" s="953"/>
      <c r="OAN125" s="953"/>
      <c r="OAO125" s="953"/>
      <c r="OAP125" s="953"/>
      <c r="OAQ125" s="953"/>
      <c r="OAR125" s="953"/>
      <c r="OAS125" s="953"/>
      <c r="OAT125" s="953"/>
      <c r="OAU125" s="953"/>
      <c r="OAV125" s="953"/>
      <c r="OAW125" s="953"/>
      <c r="OAX125" s="953"/>
      <c r="OAY125" s="953"/>
      <c r="OAZ125" s="953"/>
      <c r="OBA125" s="953"/>
      <c r="OBB125" s="953"/>
      <c r="OBC125" s="953"/>
      <c r="OBD125" s="953"/>
      <c r="OBE125" s="953"/>
      <c r="OBF125" s="953"/>
      <c r="OBG125" s="953"/>
      <c r="OBH125" s="953"/>
      <c r="OBI125" s="953"/>
      <c r="OBJ125" s="953"/>
      <c r="OBK125" s="953"/>
      <c r="OBL125" s="953"/>
      <c r="OBM125" s="953"/>
      <c r="OBN125" s="953"/>
      <c r="OBO125" s="953"/>
      <c r="OBP125" s="953"/>
      <c r="OBQ125" s="953"/>
      <c r="OBR125" s="953"/>
      <c r="OBS125" s="953"/>
      <c r="OBT125" s="953"/>
      <c r="OBU125" s="953"/>
      <c r="OBV125" s="953"/>
      <c r="OBW125" s="953"/>
      <c r="OBX125" s="953"/>
      <c r="OBY125" s="953"/>
      <c r="OBZ125" s="953"/>
      <c r="OCA125" s="953"/>
      <c r="OCB125" s="953"/>
      <c r="OCC125" s="953"/>
      <c r="OCD125" s="953"/>
      <c r="OCE125" s="953"/>
      <c r="OCF125" s="953"/>
      <c r="OCG125" s="953"/>
      <c r="OCH125" s="953"/>
      <c r="OCI125" s="953"/>
      <c r="OCJ125" s="953"/>
      <c r="OCK125" s="953"/>
      <c r="OCL125" s="953"/>
      <c r="OCM125" s="953"/>
      <c r="OCN125" s="953"/>
      <c r="OCO125" s="953"/>
      <c r="OCP125" s="953"/>
      <c r="OCQ125" s="953"/>
      <c r="OCR125" s="953"/>
      <c r="OCS125" s="953"/>
      <c r="OCT125" s="953"/>
      <c r="OCU125" s="953"/>
      <c r="OCV125" s="953"/>
      <c r="OCW125" s="953"/>
      <c r="OCX125" s="953"/>
      <c r="OCY125" s="953"/>
      <c r="OCZ125" s="953"/>
      <c r="ODA125" s="953"/>
      <c r="ODB125" s="953"/>
      <c r="ODC125" s="953"/>
      <c r="ODD125" s="953"/>
      <c r="ODE125" s="953"/>
      <c r="ODF125" s="953"/>
      <c r="ODG125" s="953"/>
      <c r="ODH125" s="953"/>
      <c r="ODI125" s="953"/>
      <c r="ODJ125" s="953"/>
      <c r="ODK125" s="953"/>
      <c r="ODL125" s="953"/>
      <c r="ODM125" s="953"/>
      <c r="ODN125" s="953"/>
      <c r="ODO125" s="953"/>
      <c r="ODP125" s="953"/>
      <c r="ODQ125" s="953"/>
      <c r="ODR125" s="953"/>
      <c r="ODS125" s="953"/>
      <c r="ODT125" s="953"/>
      <c r="ODU125" s="953"/>
      <c r="ODV125" s="953"/>
      <c r="ODW125" s="953"/>
      <c r="ODX125" s="953"/>
      <c r="ODY125" s="953"/>
      <c r="ODZ125" s="953"/>
      <c r="OEA125" s="953"/>
      <c r="OEB125" s="953"/>
      <c r="OEC125" s="953"/>
      <c r="OED125" s="953"/>
      <c r="OEE125" s="953"/>
      <c r="OEF125" s="953"/>
      <c r="OEG125" s="953"/>
      <c r="OEH125" s="953"/>
      <c r="OEI125" s="953"/>
      <c r="OEJ125" s="953"/>
      <c r="OEK125" s="953"/>
      <c r="OEL125" s="953"/>
      <c r="OEM125" s="953"/>
      <c r="OEN125" s="953"/>
      <c r="OEO125" s="953"/>
      <c r="OEP125" s="953"/>
      <c r="OEQ125" s="953"/>
      <c r="OER125" s="953"/>
      <c r="OES125" s="953"/>
      <c r="OET125" s="953"/>
      <c r="OEU125" s="953"/>
      <c r="OEV125" s="953"/>
      <c r="OEW125" s="953"/>
      <c r="OEX125" s="953"/>
      <c r="OEY125" s="953"/>
      <c r="OEZ125" s="953"/>
      <c r="OFA125" s="953"/>
      <c r="OFB125" s="953"/>
      <c r="OFC125" s="953"/>
      <c r="OFD125" s="953"/>
      <c r="OFE125" s="953"/>
      <c r="OFF125" s="953"/>
      <c r="OFG125" s="953"/>
      <c r="OFH125" s="953"/>
      <c r="OFI125" s="953"/>
      <c r="OFJ125" s="953"/>
      <c r="OFK125" s="953"/>
      <c r="OFL125" s="953"/>
      <c r="OFM125" s="953"/>
      <c r="OFN125" s="953"/>
      <c r="OFO125" s="953"/>
      <c r="OFP125" s="953"/>
      <c r="OFQ125" s="953"/>
      <c r="OFR125" s="953"/>
      <c r="OFS125" s="953"/>
      <c r="OFT125" s="953"/>
      <c r="OFU125" s="953"/>
      <c r="OFV125" s="953"/>
      <c r="OFW125" s="953"/>
      <c r="OFX125" s="953"/>
      <c r="OFY125" s="953"/>
      <c r="OFZ125" s="953"/>
      <c r="OGA125" s="953"/>
      <c r="OGB125" s="953"/>
      <c r="OGC125" s="953"/>
      <c r="OGD125" s="953"/>
      <c r="OGE125" s="953"/>
      <c r="OGF125" s="953"/>
      <c r="OGG125" s="953"/>
      <c r="OGH125" s="953"/>
      <c r="OGI125" s="953"/>
      <c r="OGJ125" s="953"/>
      <c r="OGK125" s="953"/>
      <c r="OGL125" s="953"/>
      <c r="OGM125" s="953"/>
      <c r="OGN125" s="953"/>
      <c r="OGO125" s="953"/>
      <c r="OGP125" s="953"/>
      <c r="OGQ125" s="953"/>
      <c r="OGR125" s="953"/>
      <c r="OGS125" s="953"/>
      <c r="OGT125" s="953"/>
      <c r="OGU125" s="953"/>
      <c r="OGV125" s="953"/>
      <c r="OGW125" s="953"/>
      <c r="OGX125" s="953"/>
      <c r="OGY125" s="953"/>
      <c r="OGZ125" s="953"/>
      <c r="OHA125" s="953"/>
      <c r="OHB125" s="953"/>
      <c r="OHC125" s="953"/>
      <c r="OHD125" s="953"/>
      <c r="OHE125" s="953"/>
      <c r="OHF125" s="953"/>
      <c r="OHG125" s="953"/>
      <c r="OHH125" s="953"/>
      <c r="OHI125" s="953"/>
      <c r="OHJ125" s="953"/>
      <c r="OHK125" s="953"/>
      <c r="OHL125" s="953"/>
      <c r="OHM125" s="953"/>
      <c r="OHN125" s="953"/>
      <c r="OHO125" s="953"/>
      <c r="OHP125" s="953"/>
      <c r="OHQ125" s="953"/>
      <c r="OHR125" s="953"/>
      <c r="OHS125" s="953"/>
      <c r="OHT125" s="953"/>
      <c r="OHU125" s="953"/>
      <c r="OHV125" s="953"/>
      <c r="OHW125" s="953"/>
      <c r="OHX125" s="953"/>
      <c r="OHY125" s="953"/>
      <c r="OHZ125" s="953"/>
      <c r="OIA125" s="953"/>
      <c r="OIB125" s="953"/>
      <c r="OIC125" s="953"/>
      <c r="OID125" s="953"/>
      <c r="OIE125" s="953"/>
      <c r="OIF125" s="953"/>
      <c r="OIG125" s="953"/>
      <c r="OIH125" s="953"/>
      <c r="OII125" s="953"/>
      <c r="OIJ125" s="953"/>
      <c r="OIK125" s="953"/>
      <c r="OIL125" s="953"/>
      <c r="OIM125" s="953"/>
      <c r="OIN125" s="953"/>
      <c r="OIO125" s="953"/>
      <c r="OIP125" s="953"/>
      <c r="OIQ125" s="953"/>
      <c r="OIR125" s="953"/>
      <c r="OIS125" s="953"/>
      <c r="OIT125" s="953"/>
      <c r="OIU125" s="953"/>
      <c r="OIV125" s="953"/>
      <c r="OIW125" s="953"/>
      <c r="OIX125" s="953"/>
      <c r="OIY125" s="953"/>
      <c r="OIZ125" s="953"/>
      <c r="OJA125" s="953"/>
      <c r="OJB125" s="953"/>
      <c r="OJC125" s="953"/>
      <c r="OJD125" s="953"/>
      <c r="OJE125" s="953"/>
      <c r="OJF125" s="953"/>
      <c r="OJG125" s="953"/>
      <c r="OJH125" s="953"/>
      <c r="OJI125" s="953"/>
      <c r="OJJ125" s="953"/>
      <c r="OJK125" s="953"/>
      <c r="OJL125" s="953"/>
      <c r="OJM125" s="953"/>
      <c r="OJN125" s="953"/>
      <c r="OJO125" s="953"/>
      <c r="OJP125" s="953"/>
      <c r="OJQ125" s="953"/>
      <c r="OJR125" s="953"/>
      <c r="OJS125" s="953"/>
      <c r="OJT125" s="953"/>
      <c r="OJU125" s="953"/>
      <c r="OJV125" s="953"/>
      <c r="OJW125" s="953"/>
      <c r="OJX125" s="953"/>
      <c r="OJY125" s="953"/>
      <c r="OJZ125" s="953"/>
      <c r="OKA125" s="953"/>
      <c r="OKB125" s="953"/>
      <c r="OKC125" s="953"/>
      <c r="OKD125" s="953"/>
      <c r="OKE125" s="953"/>
      <c r="OKF125" s="953"/>
      <c r="OKG125" s="953"/>
      <c r="OKH125" s="953"/>
      <c r="OKI125" s="953"/>
      <c r="OKJ125" s="953"/>
      <c r="OKK125" s="953"/>
      <c r="OKL125" s="953"/>
      <c r="OKM125" s="953"/>
      <c r="OKN125" s="953"/>
      <c r="OKO125" s="953"/>
      <c r="OKP125" s="953"/>
      <c r="OKQ125" s="953"/>
      <c r="OKR125" s="953"/>
      <c r="OKS125" s="953"/>
      <c r="OKT125" s="953"/>
      <c r="OKU125" s="953"/>
      <c r="OKV125" s="953"/>
      <c r="OKW125" s="953"/>
      <c r="OKX125" s="953"/>
      <c r="OKY125" s="953"/>
      <c r="OKZ125" s="953"/>
      <c r="OLA125" s="953"/>
      <c r="OLB125" s="953"/>
      <c r="OLC125" s="953"/>
      <c r="OLD125" s="953"/>
      <c r="OLE125" s="953"/>
      <c r="OLF125" s="953"/>
      <c r="OLG125" s="953"/>
      <c r="OLH125" s="953"/>
      <c r="OLI125" s="953"/>
      <c r="OLJ125" s="953"/>
      <c r="OLK125" s="953"/>
      <c r="OLL125" s="953"/>
      <c r="OLM125" s="953"/>
      <c r="OLN125" s="953"/>
      <c r="OLO125" s="953"/>
      <c r="OLP125" s="953"/>
      <c r="OLQ125" s="953"/>
      <c r="OLR125" s="953"/>
      <c r="OLS125" s="953"/>
      <c r="OLT125" s="953"/>
      <c r="OLU125" s="953"/>
      <c r="OLV125" s="953"/>
      <c r="OLW125" s="953"/>
      <c r="OLX125" s="953"/>
      <c r="OLY125" s="953"/>
      <c r="OLZ125" s="953"/>
      <c r="OMA125" s="953"/>
      <c r="OMB125" s="953"/>
      <c r="OMC125" s="953"/>
      <c r="OMD125" s="953"/>
      <c r="OME125" s="953"/>
      <c r="OMF125" s="953"/>
      <c r="OMG125" s="953"/>
      <c r="OMH125" s="953"/>
      <c r="OMI125" s="953"/>
      <c r="OMJ125" s="953"/>
      <c r="OMK125" s="953"/>
      <c r="OML125" s="953"/>
      <c r="OMM125" s="953"/>
      <c r="OMN125" s="953"/>
      <c r="OMO125" s="953"/>
      <c r="OMP125" s="953"/>
      <c r="OMQ125" s="953"/>
      <c r="OMR125" s="953"/>
      <c r="OMS125" s="953"/>
      <c r="OMT125" s="953"/>
      <c r="OMU125" s="953"/>
      <c r="OMV125" s="953"/>
      <c r="OMW125" s="953"/>
      <c r="OMX125" s="953"/>
      <c r="OMY125" s="953"/>
      <c r="OMZ125" s="953"/>
      <c r="ONA125" s="953"/>
      <c r="ONB125" s="953"/>
      <c r="ONC125" s="953"/>
      <c r="OND125" s="953"/>
      <c r="ONE125" s="953"/>
      <c r="ONF125" s="953"/>
      <c r="ONG125" s="953"/>
      <c r="ONH125" s="953"/>
      <c r="ONI125" s="953"/>
      <c r="ONJ125" s="953"/>
      <c r="ONK125" s="953"/>
      <c r="ONL125" s="953"/>
      <c r="ONM125" s="953"/>
      <c r="ONN125" s="953"/>
      <c r="ONO125" s="953"/>
      <c r="ONP125" s="953"/>
      <c r="ONQ125" s="953"/>
      <c r="ONR125" s="953"/>
      <c r="ONS125" s="953"/>
      <c r="ONT125" s="953"/>
      <c r="ONU125" s="953"/>
      <c r="ONV125" s="953"/>
      <c r="ONW125" s="953"/>
      <c r="ONX125" s="953"/>
      <c r="ONY125" s="953"/>
      <c r="ONZ125" s="953"/>
      <c r="OOA125" s="953"/>
      <c r="OOB125" s="953"/>
      <c r="OOC125" s="953"/>
      <c r="OOD125" s="953"/>
      <c r="OOE125" s="953"/>
      <c r="OOF125" s="953"/>
      <c r="OOG125" s="953"/>
      <c r="OOH125" s="953"/>
      <c r="OOI125" s="953"/>
      <c r="OOJ125" s="953"/>
      <c r="OOK125" s="953"/>
      <c r="OOL125" s="953"/>
      <c r="OOM125" s="953"/>
      <c r="OON125" s="953"/>
      <c r="OOO125" s="953"/>
      <c r="OOP125" s="953"/>
      <c r="OOQ125" s="953"/>
      <c r="OOR125" s="953"/>
      <c r="OOS125" s="953"/>
      <c r="OOT125" s="953"/>
      <c r="OOU125" s="953"/>
      <c r="OOV125" s="953"/>
      <c r="OOW125" s="953"/>
      <c r="OOX125" s="953"/>
      <c r="OOY125" s="953"/>
      <c r="OOZ125" s="953"/>
      <c r="OPA125" s="953"/>
      <c r="OPB125" s="953"/>
      <c r="OPC125" s="953"/>
      <c r="OPD125" s="953"/>
      <c r="OPE125" s="953"/>
      <c r="OPF125" s="953"/>
      <c r="OPG125" s="953"/>
      <c r="OPH125" s="953"/>
      <c r="OPI125" s="953"/>
      <c r="OPJ125" s="953"/>
      <c r="OPK125" s="953"/>
      <c r="OPL125" s="953"/>
      <c r="OPM125" s="953"/>
      <c r="OPN125" s="953"/>
      <c r="OPO125" s="953"/>
      <c r="OPP125" s="953"/>
      <c r="OPQ125" s="953"/>
      <c r="OPR125" s="953"/>
      <c r="OPS125" s="953"/>
      <c r="OPT125" s="953"/>
      <c r="OPU125" s="953"/>
      <c r="OPV125" s="953"/>
      <c r="OPW125" s="953"/>
      <c r="OPX125" s="953"/>
      <c r="OPY125" s="953"/>
      <c r="OPZ125" s="953"/>
      <c r="OQA125" s="953"/>
      <c r="OQB125" s="953"/>
      <c r="OQC125" s="953"/>
      <c r="OQD125" s="953"/>
      <c r="OQE125" s="953"/>
      <c r="OQF125" s="953"/>
      <c r="OQG125" s="953"/>
      <c r="OQH125" s="953"/>
      <c r="OQI125" s="953"/>
      <c r="OQJ125" s="953"/>
      <c r="OQK125" s="953"/>
      <c r="OQL125" s="953"/>
      <c r="OQM125" s="953"/>
      <c r="OQN125" s="953"/>
      <c r="OQO125" s="953"/>
      <c r="OQP125" s="953"/>
      <c r="OQQ125" s="953"/>
      <c r="OQR125" s="953"/>
      <c r="OQS125" s="953"/>
      <c r="OQT125" s="953"/>
      <c r="OQU125" s="953"/>
      <c r="OQV125" s="953"/>
      <c r="OQW125" s="953"/>
      <c r="OQX125" s="953"/>
      <c r="OQY125" s="953"/>
      <c r="OQZ125" s="953"/>
      <c r="ORA125" s="953"/>
      <c r="ORB125" s="953"/>
      <c r="ORC125" s="953"/>
      <c r="ORD125" s="953"/>
      <c r="ORE125" s="953"/>
      <c r="ORF125" s="953"/>
      <c r="ORG125" s="953"/>
      <c r="ORH125" s="953"/>
      <c r="ORI125" s="953"/>
      <c r="ORJ125" s="953"/>
      <c r="ORK125" s="953"/>
      <c r="ORL125" s="953"/>
      <c r="ORM125" s="953"/>
      <c r="ORN125" s="953"/>
      <c r="ORO125" s="953"/>
      <c r="ORP125" s="953"/>
      <c r="ORQ125" s="953"/>
      <c r="ORR125" s="953"/>
      <c r="ORS125" s="953"/>
      <c r="ORT125" s="953"/>
      <c r="ORU125" s="953"/>
      <c r="ORV125" s="953"/>
      <c r="ORW125" s="953"/>
      <c r="ORX125" s="953"/>
      <c r="ORY125" s="953"/>
      <c r="ORZ125" s="953"/>
      <c r="OSA125" s="953"/>
      <c r="OSB125" s="953"/>
      <c r="OSC125" s="953"/>
      <c r="OSD125" s="953"/>
      <c r="OSE125" s="953"/>
      <c r="OSF125" s="953"/>
      <c r="OSG125" s="953"/>
      <c r="OSH125" s="953"/>
      <c r="OSI125" s="953"/>
      <c r="OSJ125" s="953"/>
      <c r="OSK125" s="953"/>
      <c r="OSL125" s="953"/>
      <c r="OSM125" s="953"/>
      <c r="OSN125" s="953"/>
      <c r="OSO125" s="953"/>
      <c r="OSP125" s="953"/>
      <c r="OSQ125" s="953"/>
      <c r="OSR125" s="953"/>
      <c r="OSS125" s="953"/>
      <c r="OST125" s="953"/>
      <c r="OSU125" s="953"/>
      <c r="OSV125" s="953"/>
      <c r="OSW125" s="953"/>
      <c r="OSX125" s="953"/>
      <c r="OSY125" s="953"/>
      <c r="OSZ125" s="953"/>
      <c r="OTA125" s="953"/>
      <c r="OTB125" s="953"/>
      <c r="OTC125" s="953"/>
      <c r="OTD125" s="953"/>
      <c r="OTE125" s="953"/>
      <c r="OTF125" s="953"/>
      <c r="OTG125" s="953"/>
      <c r="OTH125" s="953"/>
      <c r="OTI125" s="953"/>
      <c r="OTJ125" s="953"/>
      <c r="OTK125" s="953"/>
      <c r="OTL125" s="953"/>
      <c r="OTM125" s="953"/>
      <c r="OTN125" s="953"/>
      <c r="OTO125" s="953"/>
      <c r="OTP125" s="953"/>
      <c r="OTQ125" s="953"/>
      <c r="OTR125" s="953"/>
      <c r="OTS125" s="953"/>
      <c r="OTT125" s="953"/>
      <c r="OTU125" s="953"/>
      <c r="OTV125" s="953"/>
      <c r="OTW125" s="953"/>
      <c r="OTX125" s="953"/>
      <c r="OTY125" s="953"/>
      <c r="OTZ125" s="953"/>
      <c r="OUA125" s="953"/>
      <c r="OUB125" s="953"/>
      <c r="OUC125" s="953"/>
      <c r="OUD125" s="953"/>
      <c r="OUE125" s="953"/>
      <c r="OUF125" s="953"/>
      <c r="OUG125" s="953"/>
      <c r="OUH125" s="953"/>
      <c r="OUI125" s="953"/>
      <c r="OUJ125" s="953"/>
      <c r="OUK125" s="953"/>
      <c r="OUL125" s="953"/>
      <c r="OUM125" s="953"/>
      <c r="OUN125" s="953"/>
      <c r="OUO125" s="953"/>
      <c r="OUP125" s="953"/>
      <c r="OUQ125" s="953"/>
      <c r="OUR125" s="953"/>
      <c r="OUS125" s="953"/>
      <c r="OUT125" s="953"/>
      <c r="OUU125" s="953"/>
      <c r="OUV125" s="953"/>
      <c r="OUW125" s="953"/>
      <c r="OUX125" s="953"/>
      <c r="OUY125" s="953"/>
      <c r="OUZ125" s="953"/>
      <c r="OVA125" s="953"/>
      <c r="OVB125" s="953"/>
      <c r="OVC125" s="953"/>
      <c r="OVD125" s="953"/>
      <c r="OVE125" s="953"/>
      <c r="OVF125" s="953"/>
      <c r="OVG125" s="953"/>
      <c r="OVH125" s="953"/>
      <c r="OVI125" s="953"/>
      <c r="OVJ125" s="953"/>
      <c r="OVK125" s="953"/>
      <c r="OVL125" s="953"/>
      <c r="OVM125" s="953"/>
      <c r="OVN125" s="953"/>
      <c r="OVO125" s="953"/>
      <c r="OVP125" s="953"/>
      <c r="OVQ125" s="953"/>
      <c r="OVR125" s="953"/>
      <c r="OVS125" s="953"/>
      <c r="OVT125" s="953"/>
      <c r="OVU125" s="953"/>
      <c r="OVV125" s="953"/>
      <c r="OVW125" s="953"/>
      <c r="OVX125" s="953"/>
      <c r="OVY125" s="953"/>
      <c r="OVZ125" s="953"/>
      <c r="OWA125" s="953"/>
      <c r="OWB125" s="953"/>
      <c r="OWC125" s="953"/>
      <c r="OWD125" s="953"/>
      <c r="OWE125" s="953"/>
      <c r="OWF125" s="953"/>
      <c r="OWG125" s="953"/>
      <c r="OWH125" s="953"/>
      <c r="OWI125" s="953"/>
      <c r="OWJ125" s="953"/>
      <c r="OWK125" s="953"/>
      <c r="OWL125" s="953"/>
      <c r="OWM125" s="953"/>
      <c r="OWN125" s="953"/>
      <c r="OWO125" s="953"/>
      <c r="OWP125" s="953"/>
      <c r="OWQ125" s="953"/>
      <c r="OWR125" s="953"/>
      <c r="OWS125" s="953"/>
      <c r="OWT125" s="953"/>
      <c r="OWU125" s="953"/>
      <c r="OWV125" s="953"/>
      <c r="OWW125" s="953"/>
      <c r="OWX125" s="953"/>
      <c r="OWY125" s="953"/>
      <c r="OWZ125" s="953"/>
      <c r="OXA125" s="953"/>
      <c r="OXB125" s="953"/>
      <c r="OXC125" s="953"/>
      <c r="OXD125" s="953"/>
      <c r="OXE125" s="953"/>
      <c r="OXF125" s="953"/>
      <c r="OXG125" s="953"/>
      <c r="OXH125" s="953"/>
      <c r="OXI125" s="953"/>
      <c r="OXJ125" s="953"/>
      <c r="OXK125" s="953"/>
      <c r="OXL125" s="953"/>
      <c r="OXM125" s="953"/>
      <c r="OXN125" s="953"/>
      <c r="OXO125" s="953"/>
      <c r="OXP125" s="953"/>
      <c r="OXQ125" s="953"/>
      <c r="OXR125" s="953"/>
      <c r="OXS125" s="953"/>
      <c r="OXT125" s="953"/>
      <c r="OXU125" s="953"/>
      <c r="OXV125" s="953"/>
      <c r="OXW125" s="953"/>
      <c r="OXX125" s="953"/>
      <c r="OXY125" s="953"/>
      <c r="OXZ125" s="953"/>
      <c r="OYA125" s="953"/>
      <c r="OYB125" s="953"/>
      <c r="OYC125" s="953"/>
      <c r="OYD125" s="953"/>
      <c r="OYE125" s="953"/>
      <c r="OYF125" s="953"/>
      <c r="OYG125" s="953"/>
      <c r="OYH125" s="953"/>
      <c r="OYI125" s="953"/>
      <c r="OYJ125" s="953"/>
      <c r="OYK125" s="953"/>
      <c r="OYL125" s="953"/>
      <c r="OYM125" s="953"/>
      <c r="OYN125" s="953"/>
      <c r="OYO125" s="953"/>
      <c r="OYP125" s="953"/>
      <c r="OYQ125" s="953"/>
      <c r="OYR125" s="953"/>
      <c r="OYS125" s="953"/>
      <c r="OYT125" s="953"/>
      <c r="OYU125" s="953"/>
      <c r="OYV125" s="953"/>
      <c r="OYW125" s="953"/>
      <c r="OYX125" s="953"/>
      <c r="OYY125" s="953"/>
      <c r="OYZ125" s="953"/>
      <c r="OZA125" s="953"/>
      <c r="OZB125" s="953"/>
      <c r="OZC125" s="953"/>
      <c r="OZD125" s="953"/>
      <c r="OZE125" s="953"/>
      <c r="OZF125" s="953"/>
      <c r="OZG125" s="953"/>
      <c r="OZH125" s="953"/>
      <c r="OZI125" s="953"/>
      <c r="OZJ125" s="953"/>
      <c r="OZK125" s="953"/>
      <c r="OZL125" s="953"/>
      <c r="OZM125" s="953"/>
      <c r="OZN125" s="953"/>
      <c r="OZO125" s="953"/>
      <c r="OZP125" s="953"/>
      <c r="OZQ125" s="953"/>
      <c r="OZR125" s="953"/>
      <c r="OZS125" s="953"/>
      <c r="OZT125" s="953"/>
      <c r="OZU125" s="953"/>
      <c r="OZV125" s="953"/>
      <c r="OZW125" s="953"/>
      <c r="OZX125" s="953"/>
      <c r="OZY125" s="953"/>
      <c r="OZZ125" s="953"/>
      <c r="PAA125" s="953"/>
      <c r="PAB125" s="953"/>
      <c r="PAC125" s="953"/>
      <c r="PAD125" s="953"/>
      <c r="PAE125" s="953"/>
      <c r="PAF125" s="953"/>
      <c r="PAG125" s="953"/>
      <c r="PAH125" s="953"/>
      <c r="PAI125" s="953"/>
      <c r="PAJ125" s="953"/>
      <c r="PAK125" s="953"/>
      <c r="PAL125" s="953"/>
      <c r="PAM125" s="953"/>
      <c r="PAN125" s="953"/>
      <c r="PAO125" s="953"/>
      <c r="PAP125" s="953"/>
      <c r="PAQ125" s="953"/>
      <c r="PAR125" s="953"/>
      <c r="PAS125" s="953"/>
      <c r="PAT125" s="953"/>
      <c r="PAU125" s="953"/>
      <c r="PAV125" s="953"/>
      <c r="PAW125" s="953"/>
      <c r="PAX125" s="953"/>
      <c r="PAY125" s="953"/>
      <c r="PAZ125" s="953"/>
      <c r="PBA125" s="953"/>
      <c r="PBB125" s="953"/>
      <c r="PBC125" s="953"/>
      <c r="PBD125" s="953"/>
      <c r="PBE125" s="953"/>
      <c r="PBF125" s="953"/>
      <c r="PBG125" s="953"/>
      <c r="PBH125" s="953"/>
      <c r="PBI125" s="953"/>
      <c r="PBJ125" s="953"/>
      <c r="PBK125" s="953"/>
      <c r="PBL125" s="953"/>
      <c r="PBM125" s="953"/>
      <c r="PBN125" s="953"/>
      <c r="PBO125" s="953"/>
      <c r="PBP125" s="953"/>
      <c r="PBQ125" s="953"/>
      <c r="PBR125" s="953"/>
      <c r="PBS125" s="953"/>
      <c r="PBT125" s="953"/>
      <c r="PBU125" s="953"/>
      <c r="PBV125" s="953"/>
      <c r="PBW125" s="953"/>
      <c r="PBX125" s="953"/>
      <c r="PBY125" s="953"/>
      <c r="PBZ125" s="953"/>
      <c r="PCA125" s="953"/>
      <c r="PCB125" s="953"/>
      <c r="PCC125" s="953"/>
      <c r="PCD125" s="953"/>
      <c r="PCE125" s="953"/>
      <c r="PCF125" s="953"/>
      <c r="PCG125" s="953"/>
      <c r="PCH125" s="953"/>
      <c r="PCI125" s="953"/>
      <c r="PCJ125" s="953"/>
      <c r="PCK125" s="953"/>
      <c r="PCL125" s="953"/>
      <c r="PCM125" s="953"/>
      <c r="PCN125" s="953"/>
      <c r="PCO125" s="953"/>
      <c r="PCP125" s="953"/>
      <c r="PCQ125" s="953"/>
      <c r="PCR125" s="953"/>
      <c r="PCS125" s="953"/>
      <c r="PCT125" s="953"/>
      <c r="PCU125" s="953"/>
      <c r="PCV125" s="953"/>
      <c r="PCW125" s="953"/>
      <c r="PCX125" s="953"/>
      <c r="PCY125" s="953"/>
      <c r="PCZ125" s="953"/>
      <c r="PDA125" s="953"/>
      <c r="PDB125" s="953"/>
      <c r="PDC125" s="953"/>
      <c r="PDD125" s="953"/>
      <c r="PDE125" s="953"/>
      <c r="PDF125" s="953"/>
      <c r="PDG125" s="953"/>
      <c r="PDH125" s="953"/>
      <c r="PDI125" s="953"/>
      <c r="PDJ125" s="953"/>
      <c r="PDK125" s="953"/>
      <c r="PDL125" s="953"/>
      <c r="PDM125" s="953"/>
      <c r="PDN125" s="953"/>
      <c r="PDO125" s="953"/>
      <c r="PDP125" s="953"/>
      <c r="PDQ125" s="953"/>
      <c r="PDR125" s="953"/>
      <c r="PDS125" s="953"/>
      <c r="PDT125" s="953"/>
      <c r="PDU125" s="953"/>
      <c r="PDV125" s="953"/>
      <c r="PDW125" s="953"/>
      <c r="PDX125" s="953"/>
      <c r="PDY125" s="953"/>
      <c r="PDZ125" s="953"/>
      <c r="PEA125" s="953"/>
      <c r="PEB125" s="953"/>
      <c r="PEC125" s="953"/>
      <c r="PED125" s="953"/>
      <c r="PEE125" s="953"/>
      <c r="PEF125" s="953"/>
      <c r="PEG125" s="953"/>
      <c r="PEH125" s="953"/>
      <c r="PEI125" s="953"/>
      <c r="PEJ125" s="953"/>
      <c r="PEK125" s="953"/>
      <c r="PEL125" s="953"/>
      <c r="PEM125" s="953"/>
      <c r="PEN125" s="953"/>
      <c r="PEO125" s="953"/>
      <c r="PEP125" s="953"/>
      <c r="PEQ125" s="953"/>
      <c r="PER125" s="953"/>
      <c r="PES125" s="953"/>
      <c r="PET125" s="953"/>
      <c r="PEU125" s="953"/>
      <c r="PEV125" s="953"/>
      <c r="PEW125" s="953"/>
      <c r="PEX125" s="953"/>
      <c r="PEY125" s="953"/>
      <c r="PEZ125" s="953"/>
      <c r="PFA125" s="953"/>
      <c r="PFB125" s="953"/>
      <c r="PFC125" s="953"/>
      <c r="PFD125" s="953"/>
      <c r="PFE125" s="953"/>
      <c r="PFF125" s="953"/>
      <c r="PFG125" s="953"/>
      <c r="PFH125" s="953"/>
      <c r="PFI125" s="953"/>
      <c r="PFJ125" s="953"/>
      <c r="PFK125" s="953"/>
      <c r="PFL125" s="953"/>
      <c r="PFM125" s="953"/>
      <c r="PFN125" s="953"/>
      <c r="PFO125" s="953"/>
      <c r="PFP125" s="953"/>
      <c r="PFQ125" s="953"/>
      <c r="PFR125" s="953"/>
      <c r="PFS125" s="953"/>
      <c r="PFT125" s="953"/>
      <c r="PFU125" s="953"/>
      <c r="PFV125" s="953"/>
      <c r="PFW125" s="953"/>
      <c r="PFX125" s="953"/>
      <c r="PFY125" s="953"/>
      <c r="PFZ125" s="953"/>
      <c r="PGA125" s="953"/>
      <c r="PGB125" s="953"/>
      <c r="PGC125" s="953"/>
      <c r="PGD125" s="953"/>
      <c r="PGE125" s="953"/>
      <c r="PGF125" s="953"/>
      <c r="PGG125" s="953"/>
      <c r="PGH125" s="953"/>
      <c r="PGI125" s="953"/>
      <c r="PGJ125" s="953"/>
      <c r="PGK125" s="953"/>
      <c r="PGL125" s="953"/>
      <c r="PGM125" s="953"/>
      <c r="PGN125" s="953"/>
      <c r="PGO125" s="953"/>
      <c r="PGP125" s="953"/>
      <c r="PGQ125" s="953"/>
      <c r="PGR125" s="953"/>
      <c r="PGS125" s="953"/>
      <c r="PGT125" s="953"/>
      <c r="PGU125" s="953"/>
      <c r="PGV125" s="953"/>
      <c r="PGW125" s="953"/>
      <c r="PGX125" s="953"/>
      <c r="PGY125" s="953"/>
      <c r="PGZ125" s="953"/>
      <c r="PHA125" s="953"/>
      <c r="PHB125" s="953"/>
      <c r="PHC125" s="953"/>
      <c r="PHD125" s="953"/>
      <c r="PHE125" s="953"/>
      <c r="PHF125" s="953"/>
      <c r="PHG125" s="953"/>
      <c r="PHH125" s="953"/>
      <c r="PHI125" s="953"/>
      <c r="PHJ125" s="953"/>
      <c r="PHK125" s="953"/>
      <c r="PHL125" s="953"/>
      <c r="PHM125" s="953"/>
      <c r="PHN125" s="953"/>
      <c r="PHO125" s="953"/>
      <c r="PHP125" s="953"/>
      <c r="PHQ125" s="953"/>
      <c r="PHR125" s="953"/>
      <c r="PHS125" s="953"/>
      <c r="PHT125" s="953"/>
      <c r="PHU125" s="953"/>
      <c r="PHV125" s="953"/>
      <c r="PHW125" s="953"/>
      <c r="PHX125" s="953"/>
      <c r="PHY125" s="953"/>
      <c r="PHZ125" s="953"/>
      <c r="PIA125" s="953"/>
      <c r="PIB125" s="953"/>
      <c r="PIC125" s="953"/>
      <c r="PID125" s="953"/>
      <c r="PIE125" s="953"/>
      <c r="PIF125" s="953"/>
      <c r="PIG125" s="953"/>
      <c r="PIH125" s="953"/>
      <c r="PII125" s="953"/>
      <c r="PIJ125" s="953"/>
      <c r="PIK125" s="953"/>
      <c r="PIL125" s="953"/>
      <c r="PIM125" s="953"/>
      <c r="PIN125" s="953"/>
      <c r="PIO125" s="953"/>
      <c r="PIP125" s="953"/>
      <c r="PIQ125" s="953"/>
      <c r="PIR125" s="953"/>
      <c r="PIS125" s="953"/>
      <c r="PIT125" s="953"/>
      <c r="PIU125" s="953"/>
      <c r="PIV125" s="953"/>
      <c r="PIW125" s="953"/>
      <c r="PIX125" s="953"/>
      <c r="PIY125" s="953"/>
      <c r="PIZ125" s="953"/>
      <c r="PJA125" s="953"/>
      <c r="PJB125" s="953"/>
      <c r="PJC125" s="953"/>
      <c r="PJD125" s="953"/>
      <c r="PJE125" s="953"/>
      <c r="PJF125" s="953"/>
      <c r="PJG125" s="953"/>
      <c r="PJH125" s="953"/>
      <c r="PJI125" s="953"/>
      <c r="PJJ125" s="953"/>
      <c r="PJK125" s="953"/>
      <c r="PJL125" s="953"/>
      <c r="PJM125" s="953"/>
      <c r="PJN125" s="953"/>
      <c r="PJO125" s="953"/>
      <c r="PJP125" s="953"/>
      <c r="PJQ125" s="953"/>
      <c r="PJR125" s="953"/>
      <c r="PJS125" s="953"/>
      <c r="PJT125" s="953"/>
      <c r="PJU125" s="953"/>
      <c r="PJV125" s="953"/>
      <c r="PJW125" s="953"/>
      <c r="PJX125" s="953"/>
      <c r="PJY125" s="953"/>
      <c r="PJZ125" s="953"/>
      <c r="PKA125" s="953"/>
      <c r="PKB125" s="953"/>
      <c r="PKC125" s="953"/>
      <c r="PKD125" s="953"/>
      <c r="PKE125" s="953"/>
      <c r="PKF125" s="953"/>
      <c r="PKG125" s="953"/>
      <c r="PKH125" s="953"/>
      <c r="PKI125" s="953"/>
      <c r="PKJ125" s="953"/>
      <c r="PKK125" s="953"/>
      <c r="PKL125" s="953"/>
      <c r="PKM125" s="953"/>
      <c r="PKN125" s="953"/>
      <c r="PKO125" s="953"/>
      <c r="PKP125" s="953"/>
      <c r="PKQ125" s="953"/>
      <c r="PKR125" s="953"/>
      <c r="PKS125" s="953"/>
      <c r="PKT125" s="953"/>
      <c r="PKU125" s="953"/>
      <c r="PKV125" s="953"/>
      <c r="PKW125" s="953"/>
      <c r="PKX125" s="953"/>
      <c r="PKY125" s="953"/>
      <c r="PKZ125" s="953"/>
      <c r="PLA125" s="953"/>
      <c r="PLB125" s="953"/>
      <c r="PLC125" s="953"/>
      <c r="PLD125" s="953"/>
      <c r="PLE125" s="953"/>
      <c r="PLF125" s="953"/>
      <c r="PLG125" s="953"/>
      <c r="PLH125" s="953"/>
      <c r="PLI125" s="953"/>
      <c r="PLJ125" s="953"/>
      <c r="PLK125" s="953"/>
      <c r="PLL125" s="953"/>
      <c r="PLM125" s="953"/>
      <c r="PLN125" s="953"/>
      <c r="PLO125" s="953"/>
      <c r="PLP125" s="953"/>
      <c r="PLQ125" s="953"/>
      <c r="PLR125" s="953"/>
      <c r="PLS125" s="953"/>
      <c r="PLT125" s="953"/>
      <c r="PLU125" s="953"/>
      <c r="PLV125" s="953"/>
      <c r="PLW125" s="953"/>
      <c r="PLX125" s="953"/>
      <c r="PLY125" s="953"/>
      <c r="PLZ125" s="953"/>
      <c r="PMA125" s="953"/>
      <c r="PMB125" s="953"/>
      <c r="PMC125" s="953"/>
      <c r="PMD125" s="953"/>
      <c r="PME125" s="953"/>
      <c r="PMF125" s="953"/>
      <c r="PMG125" s="953"/>
      <c r="PMH125" s="953"/>
      <c r="PMI125" s="953"/>
      <c r="PMJ125" s="953"/>
      <c r="PMK125" s="953"/>
      <c r="PML125" s="953"/>
      <c r="PMM125" s="953"/>
      <c r="PMN125" s="953"/>
      <c r="PMO125" s="953"/>
      <c r="PMP125" s="953"/>
      <c r="PMQ125" s="953"/>
      <c r="PMR125" s="953"/>
      <c r="PMS125" s="953"/>
      <c r="PMT125" s="953"/>
      <c r="PMU125" s="953"/>
      <c r="PMV125" s="953"/>
      <c r="PMW125" s="953"/>
      <c r="PMX125" s="953"/>
      <c r="PMY125" s="953"/>
      <c r="PMZ125" s="953"/>
      <c r="PNA125" s="953"/>
      <c r="PNB125" s="953"/>
      <c r="PNC125" s="953"/>
      <c r="PND125" s="953"/>
      <c r="PNE125" s="953"/>
      <c r="PNF125" s="953"/>
      <c r="PNG125" s="953"/>
      <c r="PNH125" s="953"/>
      <c r="PNI125" s="953"/>
      <c r="PNJ125" s="953"/>
      <c r="PNK125" s="953"/>
      <c r="PNL125" s="953"/>
      <c r="PNM125" s="953"/>
      <c r="PNN125" s="953"/>
      <c r="PNO125" s="953"/>
      <c r="PNP125" s="953"/>
      <c r="PNQ125" s="953"/>
      <c r="PNR125" s="953"/>
      <c r="PNS125" s="953"/>
      <c r="PNT125" s="953"/>
      <c r="PNU125" s="953"/>
      <c r="PNV125" s="953"/>
      <c r="PNW125" s="953"/>
      <c r="PNX125" s="953"/>
      <c r="PNY125" s="953"/>
      <c r="PNZ125" s="953"/>
      <c r="POA125" s="953"/>
      <c r="POB125" s="953"/>
      <c r="POC125" s="953"/>
      <c r="POD125" s="953"/>
      <c r="POE125" s="953"/>
      <c r="POF125" s="953"/>
      <c r="POG125" s="953"/>
      <c r="POH125" s="953"/>
      <c r="POI125" s="953"/>
      <c r="POJ125" s="953"/>
      <c r="POK125" s="953"/>
      <c r="POL125" s="953"/>
      <c r="POM125" s="953"/>
      <c r="PON125" s="953"/>
      <c r="POO125" s="953"/>
      <c r="POP125" s="953"/>
      <c r="POQ125" s="953"/>
      <c r="POR125" s="953"/>
      <c r="POS125" s="953"/>
      <c r="POT125" s="953"/>
      <c r="POU125" s="953"/>
      <c r="POV125" s="953"/>
      <c r="POW125" s="953"/>
      <c r="POX125" s="953"/>
      <c r="POY125" s="953"/>
      <c r="POZ125" s="953"/>
      <c r="PPA125" s="953"/>
      <c r="PPB125" s="953"/>
      <c r="PPC125" s="953"/>
      <c r="PPD125" s="953"/>
      <c r="PPE125" s="953"/>
      <c r="PPF125" s="953"/>
      <c r="PPG125" s="953"/>
      <c r="PPH125" s="953"/>
      <c r="PPI125" s="953"/>
      <c r="PPJ125" s="953"/>
      <c r="PPK125" s="953"/>
      <c r="PPL125" s="953"/>
      <c r="PPM125" s="953"/>
      <c r="PPN125" s="953"/>
      <c r="PPO125" s="953"/>
      <c r="PPP125" s="953"/>
      <c r="PPQ125" s="953"/>
      <c r="PPR125" s="953"/>
      <c r="PPS125" s="953"/>
      <c r="PPT125" s="953"/>
      <c r="PPU125" s="953"/>
      <c r="PPV125" s="953"/>
      <c r="PPW125" s="953"/>
      <c r="PPX125" s="953"/>
      <c r="PPY125" s="953"/>
      <c r="PPZ125" s="953"/>
      <c r="PQA125" s="953"/>
      <c r="PQB125" s="953"/>
      <c r="PQC125" s="953"/>
      <c r="PQD125" s="953"/>
      <c r="PQE125" s="953"/>
      <c r="PQF125" s="953"/>
      <c r="PQG125" s="953"/>
      <c r="PQH125" s="953"/>
      <c r="PQI125" s="953"/>
      <c r="PQJ125" s="953"/>
      <c r="PQK125" s="953"/>
      <c r="PQL125" s="953"/>
      <c r="PQM125" s="953"/>
      <c r="PQN125" s="953"/>
      <c r="PQO125" s="953"/>
      <c r="PQP125" s="953"/>
      <c r="PQQ125" s="953"/>
      <c r="PQR125" s="953"/>
      <c r="PQS125" s="953"/>
      <c r="PQT125" s="953"/>
      <c r="PQU125" s="953"/>
      <c r="PQV125" s="953"/>
      <c r="PQW125" s="953"/>
      <c r="PQX125" s="953"/>
      <c r="PQY125" s="953"/>
      <c r="PQZ125" s="953"/>
      <c r="PRA125" s="953"/>
      <c r="PRB125" s="953"/>
      <c r="PRC125" s="953"/>
      <c r="PRD125" s="953"/>
      <c r="PRE125" s="953"/>
      <c r="PRF125" s="953"/>
      <c r="PRG125" s="953"/>
      <c r="PRH125" s="953"/>
      <c r="PRI125" s="953"/>
      <c r="PRJ125" s="953"/>
      <c r="PRK125" s="953"/>
      <c r="PRL125" s="953"/>
      <c r="PRM125" s="953"/>
      <c r="PRN125" s="953"/>
      <c r="PRO125" s="953"/>
      <c r="PRP125" s="953"/>
      <c r="PRQ125" s="953"/>
      <c r="PRR125" s="953"/>
      <c r="PRS125" s="953"/>
      <c r="PRT125" s="953"/>
      <c r="PRU125" s="953"/>
      <c r="PRV125" s="953"/>
      <c r="PRW125" s="953"/>
      <c r="PRX125" s="953"/>
      <c r="PRY125" s="953"/>
      <c r="PRZ125" s="953"/>
      <c r="PSA125" s="953"/>
      <c r="PSB125" s="953"/>
      <c r="PSC125" s="953"/>
      <c r="PSD125" s="953"/>
      <c r="PSE125" s="953"/>
      <c r="PSF125" s="953"/>
      <c r="PSG125" s="953"/>
      <c r="PSH125" s="953"/>
      <c r="PSI125" s="953"/>
      <c r="PSJ125" s="953"/>
      <c r="PSK125" s="953"/>
      <c r="PSL125" s="953"/>
      <c r="PSM125" s="953"/>
      <c r="PSN125" s="953"/>
      <c r="PSO125" s="953"/>
      <c r="PSP125" s="953"/>
      <c r="PSQ125" s="953"/>
      <c r="PSR125" s="953"/>
      <c r="PSS125" s="953"/>
      <c r="PST125" s="953"/>
      <c r="PSU125" s="953"/>
      <c r="PSV125" s="953"/>
      <c r="PSW125" s="953"/>
      <c r="PSX125" s="953"/>
      <c r="PSY125" s="953"/>
      <c r="PSZ125" s="953"/>
      <c r="PTA125" s="953"/>
      <c r="PTB125" s="953"/>
      <c r="PTC125" s="953"/>
      <c r="PTD125" s="953"/>
      <c r="PTE125" s="953"/>
      <c r="PTF125" s="953"/>
      <c r="PTG125" s="953"/>
      <c r="PTH125" s="953"/>
      <c r="PTI125" s="953"/>
      <c r="PTJ125" s="953"/>
      <c r="PTK125" s="953"/>
      <c r="PTL125" s="953"/>
      <c r="PTM125" s="953"/>
      <c r="PTN125" s="953"/>
      <c r="PTO125" s="953"/>
      <c r="PTP125" s="953"/>
      <c r="PTQ125" s="953"/>
      <c r="PTR125" s="953"/>
      <c r="PTS125" s="953"/>
      <c r="PTT125" s="953"/>
      <c r="PTU125" s="953"/>
      <c r="PTV125" s="953"/>
      <c r="PTW125" s="953"/>
      <c r="PTX125" s="953"/>
      <c r="PTY125" s="953"/>
      <c r="PTZ125" s="953"/>
      <c r="PUA125" s="953"/>
      <c r="PUB125" s="953"/>
      <c r="PUC125" s="953"/>
      <c r="PUD125" s="953"/>
      <c r="PUE125" s="953"/>
      <c r="PUF125" s="953"/>
      <c r="PUG125" s="953"/>
      <c r="PUH125" s="953"/>
      <c r="PUI125" s="953"/>
      <c r="PUJ125" s="953"/>
      <c r="PUK125" s="953"/>
      <c r="PUL125" s="953"/>
      <c r="PUM125" s="953"/>
      <c r="PUN125" s="953"/>
      <c r="PUO125" s="953"/>
      <c r="PUP125" s="953"/>
      <c r="PUQ125" s="953"/>
      <c r="PUR125" s="953"/>
      <c r="PUS125" s="953"/>
      <c r="PUT125" s="953"/>
      <c r="PUU125" s="953"/>
      <c r="PUV125" s="953"/>
      <c r="PUW125" s="953"/>
      <c r="PUX125" s="953"/>
      <c r="PUY125" s="953"/>
      <c r="PUZ125" s="953"/>
      <c r="PVA125" s="953"/>
      <c r="PVB125" s="953"/>
      <c r="PVC125" s="953"/>
      <c r="PVD125" s="953"/>
      <c r="PVE125" s="953"/>
      <c r="PVF125" s="953"/>
      <c r="PVG125" s="953"/>
      <c r="PVH125" s="953"/>
      <c r="PVI125" s="953"/>
      <c r="PVJ125" s="953"/>
      <c r="PVK125" s="953"/>
      <c r="PVL125" s="953"/>
      <c r="PVM125" s="953"/>
      <c r="PVN125" s="953"/>
      <c r="PVO125" s="953"/>
      <c r="PVP125" s="953"/>
      <c r="PVQ125" s="953"/>
      <c r="PVR125" s="953"/>
      <c r="PVS125" s="953"/>
      <c r="PVT125" s="953"/>
      <c r="PVU125" s="953"/>
      <c r="PVV125" s="953"/>
      <c r="PVW125" s="953"/>
      <c r="PVX125" s="953"/>
      <c r="PVY125" s="953"/>
      <c r="PVZ125" s="953"/>
      <c r="PWA125" s="953"/>
      <c r="PWB125" s="953"/>
      <c r="PWC125" s="953"/>
      <c r="PWD125" s="953"/>
      <c r="PWE125" s="953"/>
      <c r="PWF125" s="953"/>
      <c r="PWG125" s="953"/>
      <c r="PWH125" s="953"/>
      <c r="PWI125" s="953"/>
      <c r="PWJ125" s="953"/>
      <c r="PWK125" s="953"/>
      <c r="PWL125" s="953"/>
      <c r="PWM125" s="953"/>
      <c r="PWN125" s="953"/>
      <c r="PWO125" s="953"/>
      <c r="PWP125" s="953"/>
      <c r="PWQ125" s="953"/>
      <c r="PWR125" s="953"/>
      <c r="PWS125" s="953"/>
      <c r="PWT125" s="953"/>
      <c r="PWU125" s="953"/>
      <c r="PWV125" s="953"/>
      <c r="PWW125" s="953"/>
      <c r="PWX125" s="953"/>
      <c r="PWY125" s="953"/>
      <c r="PWZ125" s="953"/>
      <c r="PXA125" s="953"/>
      <c r="PXB125" s="953"/>
      <c r="PXC125" s="953"/>
      <c r="PXD125" s="953"/>
      <c r="PXE125" s="953"/>
      <c r="PXF125" s="953"/>
      <c r="PXG125" s="953"/>
      <c r="PXH125" s="953"/>
      <c r="PXI125" s="953"/>
      <c r="PXJ125" s="953"/>
      <c r="PXK125" s="953"/>
      <c r="PXL125" s="953"/>
      <c r="PXM125" s="953"/>
      <c r="PXN125" s="953"/>
      <c r="PXO125" s="953"/>
      <c r="PXP125" s="953"/>
      <c r="PXQ125" s="953"/>
      <c r="PXR125" s="953"/>
      <c r="PXS125" s="953"/>
      <c r="PXT125" s="953"/>
      <c r="PXU125" s="953"/>
      <c r="PXV125" s="953"/>
      <c r="PXW125" s="953"/>
      <c r="PXX125" s="953"/>
      <c r="PXY125" s="953"/>
      <c r="PXZ125" s="953"/>
      <c r="PYA125" s="953"/>
      <c r="PYB125" s="953"/>
      <c r="PYC125" s="953"/>
      <c r="PYD125" s="953"/>
      <c r="PYE125" s="953"/>
      <c r="PYF125" s="953"/>
      <c r="PYG125" s="953"/>
      <c r="PYH125" s="953"/>
      <c r="PYI125" s="953"/>
      <c r="PYJ125" s="953"/>
      <c r="PYK125" s="953"/>
      <c r="PYL125" s="953"/>
      <c r="PYM125" s="953"/>
      <c r="PYN125" s="953"/>
      <c r="PYO125" s="953"/>
      <c r="PYP125" s="953"/>
      <c r="PYQ125" s="953"/>
      <c r="PYR125" s="953"/>
      <c r="PYS125" s="953"/>
      <c r="PYT125" s="953"/>
      <c r="PYU125" s="953"/>
      <c r="PYV125" s="953"/>
      <c r="PYW125" s="953"/>
      <c r="PYX125" s="953"/>
      <c r="PYY125" s="953"/>
      <c r="PYZ125" s="953"/>
      <c r="PZA125" s="953"/>
      <c r="PZB125" s="953"/>
      <c r="PZC125" s="953"/>
      <c r="PZD125" s="953"/>
      <c r="PZE125" s="953"/>
      <c r="PZF125" s="953"/>
      <c r="PZG125" s="953"/>
      <c r="PZH125" s="953"/>
      <c r="PZI125" s="953"/>
      <c r="PZJ125" s="953"/>
      <c r="PZK125" s="953"/>
      <c r="PZL125" s="953"/>
      <c r="PZM125" s="953"/>
      <c r="PZN125" s="953"/>
      <c r="PZO125" s="953"/>
      <c r="PZP125" s="953"/>
      <c r="PZQ125" s="953"/>
      <c r="PZR125" s="953"/>
      <c r="PZS125" s="953"/>
      <c r="PZT125" s="953"/>
      <c r="PZU125" s="953"/>
      <c r="PZV125" s="953"/>
      <c r="PZW125" s="953"/>
      <c r="PZX125" s="953"/>
      <c r="PZY125" s="953"/>
      <c r="PZZ125" s="953"/>
      <c r="QAA125" s="953"/>
      <c r="QAB125" s="953"/>
      <c r="QAC125" s="953"/>
      <c r="QAD125" s="953"/>
      <c r="QAE125" s="953"/>
      <c r="QAF125" s="953"/>
      <c r="QAG125" s="953"/>
      <c r="QAH125" s="953"/>
      <c r="QAI125" s="953"/>
      <c r="QAJ125" s="953"/>
      <c r="QAK125" s="953"/>
      <c r="QAL125" s="953"/>
      <c r="QAM125" s="953"/>
      <c r="QAN125" s="953"/>
      <c r="QAO125" s="953"/>
      <c r="QAP125" s="953"/>
      <c r="QAQ125" s="953"/>
      <c r="QAR125" s="953"/>
      <c r="QAS125" s="953"/>
      <c r="QAT125" s="953"/>
      <c r="QAU125" s="953"/>
      <c r="QAV125" s="953"/>
      <c r="QAW125" s="953"/>
      <c r="QAX125" s="953"/>
      <c r="QAY125" s="953"/>
      <c r="QAZ125" s="953"/>
      <c r="QBA125" s="953"/>
      <c r="QBB125" s="953"/>
      <c r="QBC125" s="953"/>
      <c r="QBD125" s="953"/>
      <c r="QBE125" s="953"/>
      <c r="QBF125" s="953"/>
      <c r="QBG125" s="953"/>
      <c r="QBH125" s="953"/>
      <c r="QBI125" s="953"/>
      <c r="QBJ125" s="953"/>
      <c r="QBK125" s="953"/>
      <c r="QBL125" s="953"/>
      <c r="QBM125" s="953"/>
      <c r="QBN125" s="953"/>
      <c r="QBO125" s="953"/>
      <c r="QBP125" s="953"/>
      <c r="QBQ125" s="953"/>
      <c r="QBR125" s="953"/>
      <c r="QBS125" s="953"/>
      <c r="QBT125" s="953"/>
      <c r="QBU125" s="953"/>
      <c r="QBV125" s="953"/>
      <c r="QBW125" s="953"/>
      <c r="QBX125" s="953"/>
      <c r="QBY125" s="953"/>
      <c r="QBZ125" s="953"/>
      <c r="QCA125" s="953"/>
      <c r="QCB125" s="953"/>
      <c r="QCC125" s="953"/>
      <c r="QCD125" s="953"/>
      <c r="QCE125" s="953"/>
      <c r="QCF125" s="953"/>
      <c r="QCG125" s="953"/>
      <c r="QCH125" s="953"/>
      <c r="QCI125" s="953"/>
      <c r="QCJ125" s="953"/>
      <c r="QCK125" s="953"/>
      <c r="QCL125" s="953"/>
      <c r="QCM125" s="953"/>
      <c r="QCN125" s="953"/>
      <c r="QCO125" s="953"/>
      <c r="QCP125" s="953"/>
      <c r="QCQ125" s="953"/>
      <c r="QCR125" s="953"/>
      <c r="QCS125" s="953"/>
      <c r="QCT125" s="953"/>
      <c r="QCU125" s="953"/>
      <c r="QCV125" s="953"/>
      <c r="QCW125" s="953"/>
      <c r="QCX125" s="953"/>
      <c r="QCY125" s="953"/>
      <c r="QCZ125" s="953"/>
      <c r="QDA125" s="953"/>
      <c r="QDB125" s="953"/>
      <c r="QDC125" s="953"/>
      <c r="QDD125" s="953"/>
      <c r="QDE125" s="953"/>
      <c r="QDF125" s="953"/>
      <c r="QDG125" s="953"/>
      <c r="QDH125" s="953"/>
      <c r="QDI125" s="953"/>
      <c r="QDJ125" s="953"/>
      <c r="QDK125" s="953"/>
      <c r="QDL125" s="953"/>
      <c r="QDM125" s="953"/>
      <c r="QDN125" s="953"/>
      <c r="QDO125" s="953"/>
      <c r="QDP125" s="953"/>
      <c r="QDQ125" s="953"/>
      <c r="QDR125" s="953"/>
      <c r="QDS125" s="953"/>
      <c r="QDT125" s="953"/>
      <c r="QDU125" s="953"/>
      <c r="QDV125" s="953"/>
      <c r="QDW125" s="953"/>
      <c r="QDX125" s="953"/>
      <c r="QDY125" s="953"/>
      <c r="QDZ125" s="953"/>
      <c r="QEA125" s="953"/>
      <c r="QEB125" s="953"/>
      <c r="QEC125" s="953"/>
      <c r="QED125" s="953"/>
      <c r="QEE125" s="953"/>
      <c r="QEF125" s="953"/>
      <c r="QEG125" s="953"/>
      <c r="QEH125" s="953"/>
      <c r="QEI125" s="953"/>
      <c r="QEJ125" s="953"/>
      <c r="QEK125" s="953"/>
      <c r="QEL125" s="953"/>
      <c r="QEM125" s="953"/>
      <c r="QEN125" s="953"/>
      <c r="QEO125" s="953"/>
      <c r="QEP125" s="953"/>
      <c r="QEQ125" s="953"/>
      <c r="QER125" s="953"/>
      <c r="QES125" s="953"/>
      <c r="QET125" s="953"/>
      <c r="QEU125" s="953"/>
      <c r="QEV125" s="953"/>
      <c r="QEW125" s="953"/>
      <c r="QEX125" s="953"/>
      <c r="QEY125" s="953"/>
      <c r="QEZ125" s="953"/>
      <c r="QFA125" s="953"/>
      <c r="QFB125" s="953"/>
      <c r="QFC125" s="953"/>
      <c r="QFD125" s="953"/>
      <c r="QFE125" s="953"/>
      <c r="QFF125" s="953"/>
      <c r="QFG125" s="953"/>
      <c r="QFH125" s="953"/>
      <c r="QFI125" s="953"/>
      <c r="QFJ125" s="953"/>
      <c r="QFK125" s="953"/>
      <c r="QFL125" s="953"/>
      <c r="QFM125" s="953"/>
      <c r="QFN125" s="953"/>
      <c r="QFO125" s="953"/>
      <c r="QFP125" s="953"/>
      <c r="QFQ125" s="953"/>
      <c r="QFR125" s="953"/>
      <c r="QFS125" s="953"/>
      <c r="QFT125" s="953"/>
      <c r="QFU125" s="953"/>
      <c r="QFV125" s="953"/>
      <c r="QFW125" s="953"/>
      <c r="QFX125" s="953"/>
      <c r="QFY125" s="953"/>
      <c r="QFZ125" s="953"/>
      <c r="QGA125" s="953"/>
      <c r="QGB125" s="953"/>
      <c r="QGC125" s="953"/>
      <c r="QGD125" s="953"/>
      <c r="QGE125" s="953"/>
      <c r="QGF125" s="953"/>
      <c r="QGG125" s="953"/>
      <c r="QGH125" s="953"/>
      <c r="QGI125" s="953"/>
      <c r="QGJ125" s="953"/>
      <c r="QGK125" s="953"/>
      <c r="QGL125" s="953"/>
      <c r="QGM125" s="953"/>
      <c r="QGN125" s="953"/>
      <c r="QGO125" s="953"/>
      <c r="QGP125" s="953"/>
      <c r="QGQ125" s="953"/>
      <c r="QGR125" s="953"/>
      <c r="QGS125" s="953"/>
      <c r="QGT125" s="953"/>
      <c r="QGU125" s="953"/>
      <c r="QGV125" s="953"/>
      <c r="QGW125" s="953"/>
      <c r="QGX125" s="953"/>
      <c r="QGY125" s="953"/>
      <c r="QGZ125" s="953"/>
      <c r="QHA125" s="953"/>
      <c r="QHB125" s="953"/>
      <c r="QHC125" s="953"/>
      <c r="QHD125" s="953"/>
      <c r="QHE125" s="953"/>
      <c r="QHF125" s="953"/>
      <c r="QHG125" s="953"/>
      <c r="QHH125" s="953"/>
      <c r="QHI125" s="953"/>
      <c r="QHJ125" s="953"/>
      <c r="QHK125" s="953"/>
      <c r="QHL125" s="953"/>
      <c r="QHM125" s="953"/>
      <c r="QHN125" s="953"/>
      <c r="QHO125" s="953"/>
      <c r="QHP125" s="953"/>
      <c r="QHQ125" s="953"/>
      <c r="QHR125" s="953"/>
      <c r="QHS125" s="953"/>
      <c r="QHT125" s="953"/>
      <c r="QHU125" s="953"/>
      <c r="QHV125" s="953"/>
      <c r="QHW125" s="953"/>
      <c r="QHX125" s="953"/>
      <c r="QHY125" s="953"/>
      <c r="QHZ125" s="953"/>
      <c r="QIA125" s="953"/>
      <c r="QIB125" s="953"/>
      <c r="QIC125" s="953"/>
      <c r="QID125" s="953"/>
      <c r="QIE125" s="953"/>
      <c r="QIF125" s="953"/>
      <c r="QIG125" s="953"/>
      <c r="QIH125" s="953"/>
      <c r="QII125" s="953"/>
      <c r="QIJ125" s="953"/>
      <c r="QIK125" s="953"/>
      <c r="QIL125" s="953"/>
      <c r="QIM125" s="953"/>
      <c r="QIN125" s="953"/>
      <c r="QIO125" s="953"/>
      <c r="QIP125" s="953"/>
      <c r="QIQ125" s="953"/>
      <c r="QIR125" s="953"/>
      <c r="QIS125" s="953"/>
      <c r="QIT125" s="953"/>
      <c r="QIU125" s="953"/>
      <c r="QIV125" s="953"/>
      <c r="QIW125" s="953"/>
      <c r="QIX125" s="953"/>
      <c r="QIY125" s="953"/>
      <c r="QIZ125" s="953"/>
      <c r="QJA125" s="953"/>
      <c r="QJB125" s="953"/>
      <c r="QJC125" s="953"/>
      <c r="QJD125" s="953"/>
      <c r="QJE125" s="953"/>
      <c r="QJF125" s="953"/>
      <c r="QJG125" s="953"/>
      <c r="QJH125" s="953"/>
      <c r="QJI125" s="953"/>
      <c r="QJJ125" s="953"/>
      <c r="QJK125" s="953"/>
      <c r="QJL125" s="953"/>
      <c r="QJM125" s="953"/>
      <c r="QJN125" s="953"/>
      <c r="QJO125" s="953"/>
      <c r="QJP125" s="953"/>
      <c r="QJQ125" s="953"/>
      <c r="QJR125" s="953"/>
      <c r="QJS125" s="953"/>
      <c r="QJT125" s="953"/>
      <c r="QJU125" s="953"/>
      <c r="QJV125" s="953"/>
      <c r="QJW125" s="953"/>
      <c r="QJX125" s="953"/>
      <c r="QJY125" s="953"/>
      <c r="QJZ125" s="953"/>
      <c r="QKA125" s="953"/>
      <c r="QKB125" s="953"/>
      <c r="QKC125" s="953"/>
      <c r="QKD125" s="953"/>
      <c r="QKE125" s="953"/>
      <c r="QKF125" s="953"/>
      <c r="QKG125" s="953"/>
      <c r="QKH125" s="953"/>
      <c r="QKI125" s="953"/>
      <c r="QKJ125" s="953"/>
      <c r="QKK125" s="953"/>
      <c r="QKL125" s="953"/>
      <c r="QKM125" s="953"/>
      <c r="QKN125" s="953"/>
      <c r="QKO125" s="953"/>
      <c r="QKP125" s="953"/>
      <c r="QKQ125" s="953"/>
      <c r="QKR125" s="953"/>
      <c r="QKS125" s="953"/>
      <c r="QKT125" s="953"/>
      <c r="QKU125" s="953"/>
      <c r="QKV125" s="953"/>
      <c r="QKW125" s="953"/>
      <c r="QKX125" s="953"/>
      <c r="QKY125" s="953"/>
      <c r="QKZ125" s="953"/>
      <c r="QLA125" s="953"/>
      <c r="QLB125" s="953"/>
      <c r="QLC125" s="953"/>
      <c r="QLD125" s="953"/>
      <c r="QLE125" s="953"/>
      <c r="QLF125" s="953"/>
      <c r="QLG125" s="953"/>
      <c r="QLH125" s="953"/>
      <c r="QLI125" s="953"/>
      <c r="QLJ125" s="953"/>
      <c r="QLK125" s="953"/>
      <c r="QLL125" s="953"/>
      <c r="QLM125" s="953"/>
      <c r="QLN125" s="953"/>
      <c r="QLO125" s="953"/>
      <c r="QLP125" s="953"/>
      <c r="QLQ125" s="953"/>
      <c r="QLR125" s="953"/>
      <c r="QLS125" s="953"/>
      <c r="QLT125" s="953"/>
      <c r="QLU125" s="953"/>
      <c r="QLV125" s="953"/>
      <c r="QLW125" s="953"/>
      <c r="QLX125" s="953"/>
      <c r="QLY125" s="953"/>
      <c r="QLZ125" s="953"/>
      <c r="QMA125" s="953"/>
      <c r="QMB125" s="953"/>
      <c r="QMC125" s="953"/>
      <c r="QMD125" s="953"/>
      <c r="QME125" s="953"/>
      <c r="QMF125" s="953"/>
      <c r="QMG125" s="953"/>
      <c r="QMH125" s="953"/>
      <c r="QMI125" s="953"/>
      <c r="QMJ125" s="953"/>
      <c r="QMK125" s="953"/>
      <c r="QML125" s="953"/>
      <c r="QMM125" s="953"/>
      <c r="QMN125" s="953"/>
      <c r="QMO125" s="953"/>
      <c r="QMP125" s="953"/>
      <c r="QMQ125" s="953"/>
      <c r="QMR125" s="953"/>
      <c r="QMS125" s="953"/>
      <c r="QMT125" s="953"/>
      <c r="QMU125" s="953"/>
      <c r="QMV125" s="953"/>
      <c r="QMW125" s="953"/>
      <c r="QMX125" s="953"/>
      <c r="QMY125" s="953"/>
      <c r="QMZ125" s="953"/>
      <c r="QNA125" s="953"/>
      <c r="QNB125" s="953"/>
      <c r="QNC125" s="953"/>
      <c r="QND125" s="953"/>
      <c r="QNE125" s="953"/>
      <c r="QNF125" s="953"/>
      <c r="QNG125" s="953"/>
      <c r="QNH125" s="953"/>
      <c r="QNI125" s="953"/>
      <c r="QNJ125" s="953"/>
      <c r="QNK125" s="953"/>
      <c r="QNL125" s="953"/>
      <c r="QNM125" s="953"/>
      <c r="QNN125" s="953"/>
      <c r="QNO125" s="953"/>
      <c r="QNP125" s="953"/>
      <c r="QNQ125" s="953"/>
      <c r="QNR125" s="953"/>
      <c r="QNS125" s="953"/>
      <c r="QNT125" s="953"/>
      <c r="QNU125" s="953"/>
      <c r="QNV125" s="953"/>
      <c r="QNW125" s="953"/>
      <c r="QNX125" s="953"/>
      <c r="QNY125" s="953"/>
      <c r="QNZ125" s="953"/>
      <c r="QOA125" s="953"/>
      <c r="QOB125" s="953"/>
      <c r="QOC125" s="953"/>
      <c r="QOD125" s="953"/>
      <c r="QOE125" s="953"/>
      <c r="QOF125" s="953"/>
      <c r="QOG125" s="953"/>
      <c r="QOH125" s="953"/>
      <c r="QOI125" s="953"/>
      <c r="QOJ125" s="953"/>
      <c r="QOK125" s="953"/>
      <c r="QOL125" s="953"/>
      <c r="QOM125" s="953"/>
      <c r="QON125" s="953"/>
      <c r="QOO125" s="953"/>
      <c r="QOP125" s="953"/>
      <c r="QOQ125" s="953"/>
      <c r="QOR125" s="953"/>
      <c r="QOS125" s="953"/>
      <c r="QOT125" s="953"/>
      <c r="QOU125" s="953"/>
      <c r="QOV125" s="953"/>
      <c r="QOW125" s="953"/>
      <c r="QOX125" s="953"/>
      <c r="QOY125" s="953"/>
      <c r="QOZ125" s="953"/>
      <c r="QPA125" s="953"/>
      <c r="QPB125" s="953"/>
      <c r="QPC125" s="953"/>
      <c r="QPD125" s="953"/>
      <c r="QPE125" s="953"/>
      <c r="QPF125" s="953"/>
      <c r="QPG125" s="953"/>
      <c r="QPH125" s="953"/>
      <c r="QPI125" s="953"/>
      <c r="QPJ125" s="953"/>
      <c r="QPK125" s="953"/>
      <c r="QPL125" s="953"/>
      <c r="QPM125" s="953"/>
      <c r="QPN125" s="953"/>
      <c r="QPO125" s="953"/>
      <c r="QPP125" s="953"/>
      <c r="QPQ125" s="953"/>
      <c r="QPR125" s="953"/>
      <c r="QPS125" s="953"/>
      <c r="QPT125" s="953"/>
      <c r="QPU125" s="953"/>
      <c r="QPV125" s="953"/>
      <c r="QPW125" s="953"/>
      <c r="QPX125" s="953"/>
      <c r="QPY125" s="953"/>
      <c r="QPZ125" s="953"/>
      <c r="QQA125" s="953"/>
      <c r="QQB125" s="953"/>
      <c r="QQC125" s="953"/>
      <c r="QQD125" s="953"/>
      <c r="QQE125" s="953"/>
      <c r="QQF125" s="953"/>
      <c r="QQG125" s="953"/>
      <c r="QQH125" s="953"/>
      <c r="QQI125" s="953"/>
      <c r="QQJ125" s="953"/>
      <c r="QQK125" s="953"/>
      <c r="QQL125" s="953"/>
      <c r="QQM125" s="953"/>
      <c r="QQN125" s="953"/>
      <c r="QQO125" s="953"/>
      <c r="QQP125" s="953"/>
      <c r="QQQ125" s="953"/>
      <c r="QQR125" s="953"/>
      <c r="QQS125" s="953"/>
      <c r="QQT125" s="953"/>
      <c r="QQU125" s="953"/>
      <c r="QQV125" s="953"/>
      <c r="QQW125" s="953"/>
      <c r="QQX125" s="953"/>
      <c r="QQY125" s="953"/>
      <c r="QQZ125" s="953"/>
      <c r="QRA125" s="953"/>
      <c r="QRB125" s="953"/>
      <c r="QRC125" s="953"/>
      <c r="QRD125" s="953"/>
      <c r="QRE125" s="953"/>
      <c r="QRF125" s="953"/>
      <c r="QRG125" s="953"/>
      <c r="QRH125" s="953"/>
      <c r="QRI125" s="953"/>
      <c r="QRJ125" s="953"/>
      <c r="QRK125" s="953"/>
      <c r="QRL125" s="953"/>
      <c r="QRM125" s="953"/>
      <c r="QRN125" s="953"/>
      <c r="QRO125" s="953"/>
      <c r="QRP125" s="953"/>
      <c r="QRQ125" s="953"/>
      <c r="QRR125" s="953"/>
      <c r="QRS125" s="953"/>
      <c r="QRT125" s="953"/>
      <c r="QRU125" s="953"/>
      <c r="QRV125" s="953"/>
      <c r="QRW125" s="953"/>
      <c r="QRX125" s="953"/>
      <c r="QRY125" s="953"/>
      <c r="QRZ125" s="953"/>
      <c r="QSA125" s="953"/>
      <c r="QSB125" s="953"/>
      <c r="QSC125" s="953"/>
      <c r="QSD125" s="953"/>
      <c r="QSE125" s="953"/>
      <c r="QSF125" s="953"/>
      <c r="QSG125" s="953"/>
      <c r="QSH125" s="953"/>
      <c r="QSI125" s="953"/>
      <c r="QSJ125" s="953"/>
      <c r="QSK125" s="953"/>
      <c r="QSL125" s="953"/>
      <c r="QSM125" s="953"/>
      <c r="QSN125" s="953"/>
      <c r="QSO125" s="953"/>
      <c r="QSP125" s="953"/>
      <c r="QSQ125" s="953"/>
      <c r="QSR125" s="953"/>
      <c r="QSS125" s="953"/>
      <c r="QST125" s="953"/>
      <c r="QSU125" s="953"/>
      <c r="QSV125" s="953"/>
      <c r="QSW125" s="953"/>
      <c r="QSX125" s="953"/>
      <c r="QSY125" s="953"/>
      <c r="QSZ125" s="953"/>
      <c r="QTA125" s="953"/>
      <c r="QTB125" s="953"/>
      <c r="QTC125" s="953"/>
      <c r="QTD125" s="953"/>
      <c r="QTE125" s="953"/>
      <c r="QTF125" s="953"/>
      <c r="QTG125" s="953"/>
      <c r="QTH125" s="953"/>
      <c r="QTI125" s="953"/>
      <c r="QTJ125" s="953"/>
      <c r="QTK125" s="953"/>
      <c r="QTL125" s="953"/>
      <c r="QTM125" s="953"/>
      <c r="QTN125" s="953"/>
      <c r="QTO125" s="953"/>
      <c r="QTP125" s="953"/>
      <c r="QTQ125" s="953"/>
      <c r="QTR125" s="953"/>
      <c r="QTS125" s="953"/>
      <c r="QTT125" s="953"/>
      <c r="QTU125" s="953"/>
      <c r="QTV125" s="953"/>
      <c r="QTW125" s="953"/>
      <c r="QTX125" s="953"/>
      <c r="QTY125" s="953"/>
      <c r="QTZ125" s="953"/>
      <c r="QUA125" s="953"/>
      <c r="QUB125" s="953"/>
      <c r="QUC125" s="953"/>
      <c r="QUD125" s="953"/>
      <c r="QUE125" s="953"/>
      <c r="QUF125" s="953"/>
      <c r="QUG125" s="953"/>
      <c r="QUH125" s="953"/>
      <c r="QUI125" s="953"/>
      <c r="QUJ125" s="953"/>
      <c r="QUK125" s="953"/>
      <c r="QUL125" s="953"/>
      <c r="QUM125" s="953"/>
      <c r="QUN125" s="953"/>
      <c r="QUO125" s="953"/>
      <c r="QUP125" s="953"/>
      <c r="QUQ125" s="953"/>
      <c r="QUR125" s="953"/>
      <c r="QUS125" s="953"/>
      <c r="QUT125" s="953"/>
      <c r="QUU125" s="953"/>
      <c r="QUV125" s="953"/>
      <c r="QUW125" s="953"/>
      <c r="QUX125" s="953"/>
      <c r="QUY125" s="953"/>
      <c r="QUZ125" s="953"/>
      <c r="QVA125" s="953"/>
      <c r="QVB125" s="953"/>
      <c r="QVC125" s="953"/>
      <c r="QVD125" s="953"/>
      <c r="QVE125" s="953"/>
      <c r="QVF125" s="953"/>
      <c r="QVG125" s="953"/>
      <c r="QVH125" s="953"/>
      <c r="QVI125" s="953"/>
      <c r="QVJ125" s="953"/>
      <c r="QVK125" s="953"/>
      <c r="QVL125" s="953"/>
      <c r="QVM125" s="953"/>
      <c r="QVN125" s="953"/>
      <c r="QVO125" s="953"/>
      <c r="QVP125" s="953"/>
      <c r="QVQ125" s="953"/>
      <c r="QVR125" s="953"/>
      <c r="QVS125" s="953"/>
      <c r="QVT125" s="953"/>
      <c r="QVU125" s="953"/>
      <c r="QVV125" s="953"/>
      <c r="QVW125" s="953"/>
      <c r="QVX125" s="953"/>
      <c r="QVY125" s="953"/>
      <c r="QVZ125" s="953"/>
      <c r="QWA125" s="953"/>
      <c r="QWB125" s="953"/>
      <c r="QWC125" s="953"/>
      <c r="QWD125" s="953"/>
      <c r="QWE125" s="953"/>
      <c r="QWF125" s="953"/>
      <c r="QWG125" s="953"/>
      <c r="QWH125" s="953"/>
      <c r="QWI125" s="953"/>
      <c r="QWJ125" s="953"/>
      <c r="QWK125" s="953"/>
      <c r="QWL125" s="953"/>
      <c r="QWM125" s="953"/>
      <c r="QWN125" s="953"/>
      <c r="QWO125" s="953"/>
      <c r="QWP125" s="953"/>
      <c r="QWQ125" s="953"/>
      <c r="QWR125" s="953"/>
      <c r="QWS125" s="953"/>
      <c r="QWT125" s="953"/>
      <c r="QWU125" s="953"/>
      <c r="QWV125" s="953"/>
      <c r="QWW125" s="953"/>
      <c r="QWX125" s="953"/>
      <c r="QWY125" s="953"/>
      <c r="QWZ125" s="953"/>
      <c r="QXA125" s="953"/>
      <c r="QXB125" s="953"/>
      <c r="QXC125" s="953"/>
      <c r="QXD125" s="953"/>
      <c r="QXE125" s="953"/>
      <c r="QXF125" s="953"/>
      <c r="QXG125" s="953"/>
      <c r="QXH125" s="953"/>
      <c r="QXI125" s="953"/>
      <c r="QXJ125" s="953"/>
      <c r="QXK125" s="953"/>
      <c r="QXL125" s="953"/>
      <c r="QXM125" s="953"/>
      <c r="QXN125" s="953"/>
      <c r="QXO125" s="953"/>
      <c r="QXP125" s="953"/>
      <c r="QXQ125" s="953"/>
      <c r="QXR125" s="953"/>
      <c r="QXS125" s="953"/>
      <c r="QXT125" s="953"/>
      <c r="QXU125" s="953"/>
      <c r="QXV125" s="953"/>
      <c r="QXW125" s="953"/>
      <c r="QXX125" s="953"/>
      <c r="QXY125" s="953"/>
      <c r="QXZ125" s="953"/>
      <c r="QYA125" s="953"/>
      <c r="QYB125" s="953"/>
      <c r="QYC125" s="953"/>
      <c r="QYD125" s="953"/>
      <c r="QYE125" s="953"/>
      <c r="QYF125" s="953"/>
      <c r="QYG125" s="953"/>
      <c r="QYH125" s="953"/>
      <c r="QYI125" s="953"/>
      <c r="QYJ125" s="953"/>
      <c r="QYK125" s="953"/>
      <c r="QYL125" s="953"/>
      <c r="QYM125" s="953"/>
      <c r="QYN125" s="953"/>
      <c r="QYO125" s="953"/>
      <c r="QYP125" s="953"/>
      <c r="QYQ125" s="953"/>
      <c r="QYR125" s="953"/>
      <c r="QYS125" s="953"/>
      <c r="QYT125" s="953"/>
      <c r="QYU125" s="953"/>
      <c r="QYV125" s="953"/>
      <c r="QYW125" s="953"/>
      <c r="QYX125" s="953"/>
      <c r="QYY125" s="953"/>
      <c r="QYZ125" s="953"/>
      <c r="QZA125" s="953"/>
      <c r="QZB125" s="953"/>
      <c r="QZC125" s="953"/>
      <c r="QZD125" s="953"/>
      <c r="QZE125" s="953"/>
      <c r="QZF125" s="953"/>
      <c r="QZG125" s="953"/>
      <c r="QZH125" s="953"/>
      <c r="QZI125" s="953"/>
      <c r="QZJ125" s="953"/>
      <c r="QZK125" s="953"/>
      <c r="QZL125" s="953"/>
      <c r="QZM125" s="953"/>
      <c r="QZN125" s="953"/>
      <c r="QZO125" s="953"/>
      <c r="QZP125" s="953"/>
      <c r="QZQ125" s="953"/>
      <c r="QZR125" s="953"/>
      <c r="QZS125" s="953"/>
      <c r="QZT125" s="953"/>
      <c r="QZU125" s="953"/>
      <c r="QZV125" s="953"/>
      <c r="QZW125" s="953"/>
      <c r="QZX125" s="953"/>
      <c r="QZY125" s="953"/>
      <c r="QZZ125" s="953"/>
      <c r="RAA125" s="953"/>
      <c r="RAB125" s="953"/>
      <c r="RAC125" s="953"/>
      <c r="RAD125" s="953"/>
      <c r="RAE125" s="953"/>
      <c r="RAF125" s="953"/>
      <c r="RAG125" s="953"/>
      <c r="RAH125" s="953"/>
      <c r="RAI125" s="953"/>
      <c r="RAJ125" s="953"/>
      <c r="RAK125" s="953"/>
      <c r="RAL125" s="953"/>
      <c r="RAM125" s="953"/>
      <c r="RAN125" s="953"/>
      <c r="RAO125" s="953"/>
      <c r="RAP125" s="953"/>
      <c r="RAQ125" s="953"/>
      <c r="RAR125" s="953"/>
      <c r="RAS125" s="953"/>
      <c r="RAT125" s="953"/>
      <c r="RAU125" s="953"/>
      <c r="RAV125" s="953"/>
      <c r="RAW125" s="953"/>
      <c r="RAX125" s="953"/>
      <c r="RAY125" s="953"/>
      <c r="RAZ125" s="953"/>
      <c r="RBA125" s="953"/>
      <c r="RBB125" s="953"/>
      <c r="RBC125" s="953"/>
      <c r="RBD125" s="953"/>
      <c r="RBE125" s="953"/>
      <c r="RBF125" s="953"/>
      <c r="RBG125" s="953"/>
      <c r="RBH125" s="953"/>
      <c r="RBI125" s="953"/>
      <c r="RBJ125" s="953"/>
      <c r="RBK125" s="953"/>
      <c r="RBL125" s="953"/>
      <c r="RBM125" s="953"/>
      <c r="RBN125" s="953"/>
      <c r="RBO125" s="953"/>
      <c r="RBP125" s="953"/>
      <c r="RBQ125" s="953"/>
      <c r="RBR125" s="953"/>
      <c r="RBS125" s="953"/>
      <c r="RBT125" s="953"/>
      <c r="RBU125" s="953"/>
      <c r="RBV125" s="953"/>
      <c r="RBW125" s="953"/>
      <c r="RBX125" s="953"/>
      <c r="RBY125" s="953"/>
      <c r="RBZ125" s="953"/>
      <c r="RCA125" s="953"/>
      <c r="RCB125" s="953"/>
      <c r="RCC125" s="953"/>
      <c r="RCD125" s="953"/>
      <c r="RCE125" s="953"/>
      <c r="RCF125" s="953"/>
      <c r="RCG125" s="953"/>
      <c r="RCH125" s="953"/>
      <c r="RCI125" s="953"/>
      <c r="RCJ125" s="953"/>
      <c r="RCK125" s="953"/>
      <c r="RCL125" s="953"/>
      <c r="RCM125" s="953"/>
      <c r="RCN125" s="953"/>
      <c r="RCO125" s="953"/>
      <c r="RCP125" s="953"/>
      <c r="RCQ125" s="953"/>
      <c r="RCR125" s="953"/>
      <c r="RCS125" s="953"/>
      <c r="RCT125" s="953"/>
      <c r="RCU125" s="953"/>
      <c r="RCV125" s="953"/>
      <c r="RCW125" s="953"/>
      <c r="RCX125" s="953"/>
      <c r="RCY125" s="953"/>
      <c r="RCZ125" s="953"/>
      <c r="RDA125" s="953"/>
      <c r="RDB125" s="953"/>
      <c r="RDC125" s="953"/>
      <c r="RDD125" s="953"/>
      <c r="RDE125" s="953"/>
      <c r="RDF125" s="953"/>
      <c r="RDG125" s="953"/>
      <c r="RDH125" s="953"/>
      <c r="RDI125" s="953"/>
      <c r="RDJ125" s="953"/>
      <c r="RDK125" s="953"/>
      <c r="RDL125" s="953"/>
      <c r="RDM125" s="953"/>
      <c r="RDN125" s="953"/>
      <c r="RDO125" s="953"/>
      <c r="RDP125" s="953"/>
      <c r="RDQ125" s="953"/>
      <c r="RDR125" s="953"/>
      <c r="RDS125" s="953"/>
      <c r="RDT125" s="953"/>
      <c r="RDU125" s="953"/>
      <c r="RDV125" s="953"/>
      <c r="RDW125" s="953"/>
      <c r="RDX125" s="953"/>
      <c r="RDY125" s="953"/>
      <c r="RDZ125" s="953"/>
      <c r="REA125" s="953"/>
      <c r="REB125" s="953"/>
      <c r="REC125" s="953"/>
      <c r="RED125" s="953"/>
      <c r="REE125" s="953"/>
      <c r="REF125" s="953"/>
      <c r="REG125" s="953"/>
      <c r="REH125" s="953"/>
      <c r="REI125" s="953"/>
      <c r="REJ125" s="953"/>
      <c r="REK125" s="953"/>
      <c r="REL125" s="953"/>
      <c r="REM125" s="953"/>
      <c r="REN125" s="953"/>
      <c r="REO125" s="953"/>
      <c r="REP125" s="953"/>
      <c r="REQ125" s="953"/>
      <c r="RER125" s="953"/>
      <c r="RES125" s="953"/>
      <c r="RET125" s="953"/>
      <c r="REU125" s="953"/>
      <c r="REV125" s="953"/>
      <c r="REW125" s="953"/>
      <c r="REX125" s="953"/>
      <c r="REY125" s="953"/>
      <c r="REZ125" s="953"/>
      <c r="RFA125" s="953"/>
      <c r="RFB125" s="953"/>
      <c r="RFC125" s="953"/>
      <c r="RFD125" s="953"/>
      <c r="RFE125" s="953"/>
      <c r="RFF125" s="953"/>
      <c r="RFG125" s="953"/>
      <c r="RFH125" s="953"/>
      <c r="RFI125" s="953"/>
      <c r="RFJ125" s="953"/>
      <c r="RFK125" s="953"/>
      <c r="RFL125" s="953"/>
      <c r="RFM125" s="953"/>
      <c r="RFN125" s="953"/>
      <c r="RFO125" s="953"/>
      <c r="RFP125" s="953"/>
      <c r="RFQ125" s="953"/>
      <c r="RFR125" s="953"/>
      <c r="RFS125" s="953"/>
      <c r="RFT125" s="953"/>
      <c r="RFU125" s="953"/>
      <c r="RFV125" s="953"/>
      <c r="RFW125" s="953"/>
      <c r="RFX125" s="953"/>
      <c r="RFY125" s="953"/>
      <c r="RFZ125" s="953"/>
      <c r="RGA125" s="953"/>
      <c r="RGB125" s="953"/>
      <c r="RGC125" s="953"/>
      <c r="RGD125" s="953"/>
      <c r="RGE125" s="953"/>
      <c r="RGF125" s="953"/>
      <c r="RGG125" s="953"/>
      <c r="RGH125" s="953"/>
      <c r="RGI125" s="953"/>
      <c r="RGJ125" s="953"/>
      <c r="RGK125" s="953"/>
      <c r="RGL125" s="953"/>
      <c r="RGM125" s="953"/>
      <c r="RGN125" s="953"/>
      <c r="RGO125" s="953"/>
      <c r="RGP125" s="953"/>
      <c r="RGQ125" s="953"/>
      <c r="RGR125" s="953"/>
      <c r="RGS125" s="953"/>
      <c r="RGT125" s="953"/>
      <c r="RGU125" s="953"/>
      <c r="RGV125" s="953"/>
      <c r="RGW125" s="953"/>
      <c r="RGX125" s="953"/>
      <c r="RGY125" s="953"/>
      <c r="RGZ125" s="953"/>
      <c r="RHA125" s="953"/>
      <c r="RHB125" s="953"/>
      <c r="RHC125" s="953"/>
      <c r="RHD125" s="953"/>
      <c r="RHE125" s="953"/>
      <c r="RHF125" s="953"/>
      <c r="RHG125" s="953"/>
      <c r="RHH125" s="953"/>
      <c r="RHI125" s="953"/>
      <c r="RHJ125" s="953"/>
      <c r="RHK125" s="953"/>
      <c r="RHL125" s="953"/>
      <c r="RHM125" s="953"/>
      <c r="RHN125" s="953"/>
      <c r="RHO125" s="953"/>
      <c r="RHP125" s="953"/>
      <c r="RHQ125" s="953"/>
      <c r="RHR125" s="953"/>
      <c r="RHS125" s="953"/>
      <c r="RHT125" s="953"/>
      <c r="RHU125" s="953"/>
      <c r="RHV125" s="953"/>
      <c r="RHW125" s="953"/>
      <c r="RHX125" s="953"/>
      <c r="RHY125" s="953"/>
      <c r="RHZ125" s="953"/>
      <c r="RIA125" s="953"/>
      <c r="RIB125" s="953"/>
      <c r="RIC125" s="953"/>
      <c r="RID125" s="953"/>
      <c r="RIE125" s="953"/>
      <c r="RIF125" s="953"/>
      <c r="RIG125" s="953"/>
      <c r="RIH125" s="953"/>
      <c r="RII125" s="953"/>
      <c r="RIJ125" s="953"/>
      <c r="RIK125" s="953"/>
      <c r="RIL125" s="953"/>
      <c r="RIM125" s="953"/>
      <c r="RIN125" s="953"/>
      <c r="RIO125" s="953"/>
      <c r="RIP125" s="953"/>
      <c r="RIQ125" s="953"/>
      <c r="RIR125" s="953"/>
      <c r="RIS125" s="953"/>
      <c r="RIT125" s="953"/>
      <c r="RIU125" s="953"/>
      <c r="RIV125" s="953"/>
      <c r="RIW125" s="953"/>
      <c r="RIX125" s="953"/>
      <c r="RIY125" s="953"/>
      <c r="RIZ125" s="953"/>
      <c r="RJA125" s="953"/>
      <c r="RJB125" s="953"/>
      <c r="RJC125" s="953"/>
      <c r="RJD125" s="953"/>
      <c r="RJE125" s="953"/>
      <c r="RJF125" s="953"/>
      <c r="RJG125" s="953"/>
      <c r="RJH125" s="953"/>
      <c r="RJI125" s="953"/>
      <c r="RJJ125" s="953"/>
      <c r="RJK125" s="953"/>
      <c r="RJL125" s="953"/>
      <c r="RJM125" s="953"/>
      <c r="RJN125" s="953"/>
      <c r="RJO125" s="953"/>
      <c r="RJP125" s="953"/>
      <c r="RJQ125" s="953"/>
      <c r="RJR125" s="953"/>
      <c r="RJS125" s="953"/>
      <c r="RJT125" s="953"/>
      <c r="RJU125" s="953"/>
      <c r="RJV125" s="953"/>
      <c r="RJW125" s="953"/>
      <c r="RJX125" s="953"/>
      <c r="RJY125" s="953"/>
      <c r="RJZ125" s="953"/>
      <c r="RKA125" s="953"/>
      <c r="RKB125" s="953"/>
      <c r="RKC125" s="953"/>
      <c r="RKD125" s="953"/>
      <c r="RKE125" s="953"/>
      <c r="RKF125" s="953"/>
      <c r="RKG125" s="953"/>
      <c r="RKH125" s="953"/>
      <c r="RKI125" s="953"/>
      <c r="RKJ125" s="953"/>
      <c r="RKK125" s="953"/>
      <c r="RKL125" s="953"/>
      <c r="RKM125" s="953"/>
      <c r="RKN125" s="953"/>
      <c r="RKO125" s="953"/>
      <c r="RKP125" s="953"/>
      <c r="RKQ125" s="953"/>
      <c r="RKR125" s="953"/>
      <c r="RKS125" s="953"/>
      <c r="RKT125" s="953"/>
      <c r="RKU125" s="953"/>
      <c r="RKV125" s="953"/>
      <c r="RKW125" s="953"/>
      <c r="RKX125" s="953"/>
      <c r="RKY125" s="953"/>
      <c r="RKZ125" s="953"/>
      <c r="RLA125" s="953"/>
      <c r="RLB125" s="953"/>
      <c r="RLC125" s="953"/>
      <c r="RLD125" s="953"/>
      <c r="RLE125" s="953"/>
      <c r="RLF125" s="953"/>
      <c r="RLG125" s="953"/>
      <c r="RLH125" s="953"/>
      <c r="RLI125" s="953"/>
      <c r="RLJ125" s="953"/>
      <c r="RLK125" s="953"/>
      <c r="RLL125" s="953"/>
      <c r="RLM125" s="953"/>
      <c r="RLN125" s="953"/>
      <c r="RLO125" s="953"/>
      <c r="RLP125" s="953"/>
      <c r="RLQ125" s="953"/>
      <c r="RLR125" s="953"/>
      <c r="RLS125" s="953"/>
      <c r="RLT125" s="953"/>
      <c r="RLU125" s="953"/>
      <c r="RLV125" s="953"/>
      <c r="RLW125" s="953"/>
      <c r="RLX125" s="953"/>
      <c r="RLY125" s="953"/>
      <c r="RLZ125" s="953"/>
      <c r="RMA125" s="953"/>
      <c r="RMB125" s="953"/>
      <c r="RMC125" s="953"/>
      <c r="RMD125" s="953"/>
      <c r="RME125" s="953"/>
      <c r="RMF125" s="953"/>
      <c r="RMG125" s="953"/>
      <c r="RMH125" s="953"/>
      <c r="RMI125" s="953"/>
      <c r="RMJ125" s="953"/>
      <c r="RMK125" s="953"/>
      <c r="RML125" s="953"/>
      <c r="RMM125" s="953"/>
      <c r="RMN125" s="953"/>
      <c r="RMO125" s="953"/>
      <c r="RMP125" s="953"/>
      <c r="RMQ125" s="953"/>
      <c r="RMR125" s="953"/>
      <c r="RMS125" s="953"/>
      <c r="RMT125" s="953"/>
      <c r="RMU125" s="953"/>
      <c r="RMV125" s="953"/>
      <c r="RMW125" s="953"/>
      <c r="RMX125" s="953"/>
      <c r="RMY125" s="953"/>
      <c r="RMZ125" s="953"/>
      <c r="RNA125" s="953"/>
      <c r="RNB125" s="953"/>
      <c r="RNC125" s="953"/>
      <c r="RND125" s="953"/>
      <c r="RNE125" s="953"/>
      <c r="RNF125" s="953"/>
      <c r="RNG125" s="953"/>
      <c r="RNH125" s="953"/>
      <c r="RNI125" s="953"/>
      <c r="RNJ125" s="953"/>
      <c r="RNK125" s="953"/>
      <c r="RNL125" s="953"/>
      <c r="RNM125" s="953"/>
      <c r="RNN125" s="953"/>
      <c r="RNO125" s="953"/>
      <c r="RNP125" s="953"/>
      <c r="RNQ125" s="953"/>
      <c r="RNR125" s="953"/>
      <c r="RNS125" s="953"/>
      <c r="RNT125" s="953"/>
      <c r="RNU125" s="953"/>
      <c r="RNV125" s="953"/>
      <c r="RNW125" s="953"/>
      <c r="RNX125" s="953"/>
      <c r="RNY125" s="953"/>
      <c r="RNZ125" s="953"/>
      <c r="ROA125" s="953"/>
      <c r="ROB125" s="953"/>
      <c r="ROC125" s="953"/>
      <c r="ROD125" s="953"/>
      <c r="ROE125" s="953"/>
      <c r="ROF125" s="953"/>
      <c r="ROG125" s="953"/>
      <c r="ROH125" s="953"/>
      <c r="ROI125" s="953"/>
      <c r="ROJ125" s="953"/>
      <c r="ROK125" s="953"/>
      <c r="ROL125" s="953"/>
      <c r="ROM125" s="953"/>
      <c r="RON125" s="953"/>
      <c r="ROO125" s="953"/>
      <c r="ROP125" s="953"/>
      <c r="ROQ125" s="953"/>
      <c r="ROR125" s="953"/>
      <c r="ROS125" s="953"/>
      <c r="ROT125" s="953"/>
      <c r="ROU125" s="953"/>
      <c r="ROV125" s="953"/>
      <c r="ROW125" s="953"/>
      <c r="ROX125" s="953"/>
      <c r="ROY125" s="953"/>
      <c r="ROZ125" s="953"/>
      <c r="RPA125" s="953"/>
      <c r="RPB125" s="953"/>
      <c r="RPC125" s="953"/>
      <c r="RPD125" s="953"/>
      <c r="RPE125" s="953"/>
      <c r="RPF125" s="953"/>
      <c r="RPG125" s="953"/>
      <c r="RPH125" s="953"/>
      <c r="RPI125" s="953"/>
      <c r="RPJ125" s="953"/>
      <c r="RPK125" s="953"/>
      <c r="RPL125" s="953"/>
      <c r="RPM125" s="953"/>
      <c r="RPN125" s="953"/>
      <c r="RPO125" s="953"/>
      <c r="RPP125" s="953"/>
      <c r="RPQ125" s="953"/>
      <c r="RPR125" s="953"/>
      <c r="RPS125" s="953"/>
      <c r="RPT125" s="953"/>
      <c r="RPU125" s="953"/>
      <c r="RPV125" s="953"/>
      <c r="RPW125" s="953"/>
      <c r="RPX125" s="953"/>
      <c r="RPY125" s="953"/>
      <c r="RPZ125" s="953"/>
      <c r="RQA125" s="953"/>
      <c r="RQB125" s="953"/>
      <c r="RQC125" s="953"/>
      <c r="RQD125" s="953"/>
      <c r="RQE125" s="953"/>
      <c r="RQF125" s="953"/>
      <c r="RQG125" s="953"/>
      <c r="RQH125" s="953"/>
      <c r="RQI125" s="953"/>
      <c r="RQJ125" s="953"/>
      <c r="RQK125" s="953"/>
      <c r="RQL125" s="953"/>
      <c r="RQM125" s="953"/>
      <c r="RQN125" s="953"/>
      <c r="RQO125" s="953"/>
      <c r="RQP125" s="953"/>
      <c r="RQQ125" s="953"/>
      <c r="RQR125" s="953"/>
      <c r="RQS125" s="953"/>
      <c r="RQT125" s="953"/>
      <c r="RQU125" s="953"/>
      <c r="RQV125" s="953"/>
      <c r="RQW125" s="953"/>
      <c r="RQX125" s="953"/>
      <c r="RQY125" s="953"/>
      <c r="RQZ125" s="953"/>
      <c r="RRA125" s="953"/>
      <c r="RRB125" s="953"/>
      <c r="RRC125" s="953"/>
      <c r="RRD125" s="953"/>
      <c r="RRE125" s="953"/>
      <c r="RRF125" s="953"/>
      <c r="RRG125" s="953"/>
      <c r="RRH125" s="953"/>
      <c r="RRI125" s="953"/>
      <c r="RRJ125" s="953"/>
      <c r="RRK125" s="953"/>
      <c r="RRL125" s="953"/>
      <c r="RRM125" s="953"/>
      <c r="RRN125" s="953"/>
      <c r="RRO125" s="953"/>
      <c r="RRP125" s="953"/>
      <c r="RRQ125" s="953"/>
      <c r="RRR125" s="953"/>
      <c r="RRS125" s="953"/>
      <c r="RRT125" s="953"/>
      <c r="RRU125" s="953"/>
      <c r="RRV125" s="953"/>
      <c r="RRW125" s="953"/>
      <c r="RRX125" s="953"/>
      <c r="RRY125" s="953"/>
      <c r="RRZ125" s="953"/>
      <c r="RSA125" s="953"/>
      <c r="RSB125" s="953"/>
      <c r="RSC125" s="953"/>
      <c r="RSD125" s="953"/>
      <c r="RSE125" s="953"/>
      <c r="RSF125" s="953"/>
      <c r="RSG125" s="953"/>
      <c r="RSH125" s="953"/>
      <c r="RSI125" s="953"/>
      <c r="RSJ125" s="953"/>
      <c r="RSK125" s="953"/>
      <c r="RSL125" s="953"/>
      <c r="RSM125" s="953"/>
      <c r="RSN125" s="953"/>
      <c r="RSO125" s="953"/>
      <c r="RSP125" s="953"/>
      <c r="RSQ125" s="953"/>
      <c r="RSR125" s="953"/>
      <c r="RSS125" s="953"/>
      <c r="RST125" s="953"/>
      <c r="RSU125" s="953"/>
      <c r="RSV125" s="953"/>
      <c r="RSW125" s="953"/>
      <c r="RSX125" s="953"/>
      <c r="RSY125" s="953"/>
      <c r="RSZ125" s="953"/>
      <c r="RTA125" s="953"/>
      <c r="RTB125" s="953"/>
      <c r="RTC125" s="953"/>
      <c r="RTD125" s="953"/>
      <c r="RTE125" s="953"/>
      <c r="RTF125" s="953"/>
      <c r="RTG125" s="953"/>
      <c r="RTH125" s="953"/>
      <c r="RTI125" s="953"/>
      <c r="RTJ125" s="953"/>
      <c r="RTK125" s="953"/>
      <c r="RTL125" s="953"/>
      <c r="RTM125" s="953"/>
      <c r="RTN125" s="953"/>
      <c r="RTO125" s="953"/>
      <c r="RTP125" s="953"/>
      <c r="RTQ125" s="953"/>
      <c r="RTR125" s="953"/>
      <c r="RTS125" s="953"/>
      <c r="RTT125" s="953"/>
      <c r="RTU125" s="953"/>
      <c r="RTV125" s="953"/>
      <c r="RTW125" s="953"/>
      <c r="RTX125" s="953"/>
      <c r="RTY125" s="953"/>
      <c r="RTZ125" s="953"/>
      <c r="RUA125" s="953"/>
      <c r="RUB125" s="953"/>
      <c r="RUC125" s="953"/>
      <c r="RUD125" s="953"/>
      <c r="RUE125" s="953"/>
      <c r="RUF125" s="953"/>
      <c r="RUG125" s="953"/>
      <c r="RUH125" s="953"/>
      <c r="RUI125" s="953"/>
      <c r="RUJ125" s="953"/>
      <c r="RUK125" s="953"/>
      <c r="RUL125" s="953"/>
      <c r="RUM125" s="953"/>
      <c r="RUN125" s="953"/>
      <c r="RUO125" s="953"/>
      <c r="RUP125" s="953"/>
      <c r="RUQ125" s="953"/>
      <c r="RUR125" s="953"/>
      <c r="RUS125" s="953"/>
      <c r="RUT125" s="953"/>
      <c r="RUU125" s="953"/>
      <c r="RUV125" s="953"/>
      <c r="RUW125" s="953"/>
      <c r="RUX125" s="953"/>
      <c r="RUY125" s="953"/>
      <c r="RUZ125" s="953"/>
      <c r="RVA125" s="953"/>
      <c r="RVB125" s="953"/>
      <c r="RVC125" s="953"/>
      <c r="RVD125" s="953"/>
      <c r="RVE125" s="953"/>
      <c r="RVF125" s="953"/>
      <c r="RVG125" s="953"/>
      <c r="RVH125" s="953"/>
      <c r="RVI125" s="953"/>
      <c r="RVJ125" s="953"/>
      <c r="RVK125" s="953"/>
      <c r="RVL125" s="953"/>
      <c r="RVM125" s="953"/>
      <c r="RVN125" s="953"/>
      <c r="RVO125" s="953"/>
      <c r="RVP125" s="953"/>
      <c r="RVQ125" s="953"/>
      <c r="RVR125" s="953"/>
      <c r="RVS125" s="953"/>
      <c r="RVT125" s="953"/>
      <c r="RVU125" s="953"/>
      <c r="RVV125" s="953"/>
      <c r="RVW125" s="953"/>
      <c r="RVX125" s="953"/>
      <c r="RVY125" s="953"/>
      <c r="RVZ125" s="953"/>
      <c r="RWA125" s="953"/>
      <c r="RWB125" s="953"/>
      <c r="RWC125" s="953"/>
      <c r="RWD125" s="953"/>
      <c r="RWE125" s="953"/>
      <c r="RWF125" s="953"/>
      <c r="RWG125" s="953"/>
      <c r="RWH125" s="953"/>
      <c r="RWI125" s="953"/>
      <c r="RWJ125" s="953"/>
      <c r="RWK125" s="953"/>
      <c r="RWL125" s="953"/>
      <c r="RWM125" s="953"/>
      <c r="RWN125" s="953"/>
      <c r="RWO125" s="953"/>
      <c r="RWP125" s="953"/>
      <c r="RWQ125" s="953"/>
      <c r="RWR125" s="953"/>
      <c r="RWS125" s="953"/>
      <c r="RWT125" s="953"/>
      <c r="RWU125" s="953"/>
      <c r="RWV125" s="953"/>
      <c r="RWW125" s="953"/>
      <c r="RWX125" s="953"/>
      <c r="RWY125" s="953"/>
      <c r="RWZ125" s="953"/>
      <c r="RXA125" s="953"/>
      <c r="RXB125" s="953"/>
      <c r="RXC125" s="953"/>
      <c r="RXD125" s="953"/>
      <c r="RXE125" s="953"/>
      <c r="RXF125" s="953"/>
      <c r="RXG125" s="953"/>
      <c r="RXH125" s="953"/>
      <c r="RXI125" s="953"/>
      <c r="RXJ125" s="953"/>
      <c r="RXK125" s="953"/>
      <c r="RXL125" s="953"/>
      <c r="RXM125" s="953"/>
      <c r="RXN125" s="953"/>
      <c r="RXO125" s="953"/>
      <c r="RXP125" s="953"/>
      <c r="RXQ125" s="953"/>
      <c r="RXR125" s="953"/>
      <c r="RXS125" s="953"/>
      <c r="RXT125" s="953"/>
      <c r="RXU125" s="953"/>
      <c r="RXV125" s="953"/>
      <c r="RXW125" s="953"/>
      <c r="RXX125" s="953"/>
      <c r="RXY125" s="953"/>
      <c r="RXZ125" s="953"/>
      <c r="RYA125" s="953"/>
      <c r="RYB125" s="953"/>
      <c r="RYC125" s="953"/>
      <c r="RYD125" s="953"/>
      <c r="RYE125" s="953"/>
      <c r="RYF125" s="953"/>
      <c r="RYG125" s="953"/>
      <c r="RYH125" s="953"/>
      <c r="RYI125" s="953"/>
      <c r="RYJ125" s="953"/>
      <c r="RYK125" s="953"/>
      <c r="RYL125" s="953"/>
      <c r="RYM125" s="953"/>
      <c r="RYN125" s="953"/>
      <c r="RYO125" s="953"/>
      <c r="RYP125" s="953"/>
      <c r="RYQ125" s="953"/>
      <c r="RYR125" s="953"/>
      <c r="RYS125" s="953"/>
      <c r="RYT125" s="953"/>
      <c r="RYU125" s="953"/>
      <c r="RYV125" s="953"/>
      <c r="RYW125" s="953"/>
      <c r="RYX125" s="953"/>
      <c r="RYY125" s="953"/>
      <c r="RYZ125" s="953"/>
      <c r="RZA125" s="953"/>
      <c r="RZB125" s="953"/>
      <c r="RZC125" s="953"/>
      <c r="RZD125" s="953"/>
      <c r="RZE125" s="953"/>
      <c r="RZF125" s="953"/>
      <c r="RZG125" s="953"/>
      <c r="RZH125" s="953"/>
      <c r="RZI125" s="953"/>
      <c r="RZJ125" s="953"/>
      <c r="RZK125" s="953"/>
      <c r="RZL125" s="953"/>
      <c r="RZM125" s="953"/>
      <c r="RZN125" s="953"/>
      <c r="RZO125" s="953"/>
      <c r="RZP125" s="953"/>
      <c r="RZQ125" s="953"/>
      <c r="RZR125" s="953"/>
      <c r="RZS125" s="953"/>
      <c r="RZT125" s="953"/>
      <c r="RZU125" s="953"/>
      <c r="RZV125" s="953"/>
      <c r="RZW125" s="953"/>
      <c r="RZX125" s="953"/>
      <c r="RZY125" s="953"/>
      <c r="RZZ125" s="953"/>
      <c r="SAA125" s="953"/>
      <c r="SAB125" s="953"/>
      <c r="SAC125" s="953"/>
      <c r="SAD125" s="953"/>
      <c r="SAE125" s="953"/>
      <c r="SAF125" s="953"/>
      <c r="SAG125" s="953"/>
      <c r="SAH125" s="953"/>
      <c r="SAI125" s="953"/>
      <c r="SAJ125" s="953"/>
      <c r="SAK125" s="953"/>
      <c r="SAL125" s="953"/>
      <c r="SAM125" s="953"/>
      <c r="SAN125" s="953"/>
      <c r="SAO125" s="953"/>
      <c r="SAP125" s="953"/>
      <c r="SAQ125" s="953"/>
      <c r="SAR125" s="953"/>
      <c r="SAS125" s="953"/>
      <c r="SAT125" s="953"/>
      <c r="SAU125" s="953"/>
      <c r="SAV125" s="953"/>
      <c r="SAW125" s="953"/>
      <c r="SAX125" s="953"/>
      <c r="SAY125" s="953"/>
      <c r="SAZ125" s="953"/>
      <c r="SBA125" s="953"/>
      <c r="SBB125" s="953"/>
      <c r="SBC125" s="953"/>
      <c r="SBD125" s="953"/>
      <c r="SBE125" s="953"/>
      <c r="SBF125" s="953"/>
      <c r="SBG125" s="953"/>
      <c r="SBH125" s="953"/>
      <c r="SBI125" s="953"/>
      <c r="SBJ125" s="953"/>
      <c r="SBK125" s="953"/>
      <c r="SBL125" s="953"/>
      <c r="SBM125" s="953"/>
      <c r="SBN125" s="953"/>
      <c r="SBO125" s="953"/>
      <c r="SBP125" s="953"/>
      <c r="SBQ125" s="953"/>
      <c r="SBR125" s="953"/>
      <c r="SBS125" s="953"/>
      <c r="SBT125" s="953"/>
      <c r="SBU125" s="953"/>
      <c r="SBV125" s="953"/>
      <c r="SBW125" s="953"/>
      <c r="SBX125" s="953"/>
      <c r="SBY125" s="953"/>
      <c r="SBZ125" s="953"/>
      <c r="SCA125" s="953"/>
      <c r="SCB125" s="953"/>
      <c r="SCC125" s="953"/>
      <c r="SCD125" s="953"/>
      <c r="SCE125" s="953"/>
      <c r="SCF125" s="953"/>
      <c r="SCG125" s="953"/>
      <c r="SCH125" s="953"/>
      <c r="SCI125" s="953"/>
      <c r="SCJ125" s="953"/>
      <c r="SCK125" s="953"/>
      <c r="SCL125" s="953"/>
      <c r="SCM125" s="953"/>
      <c r="SCN125" s="953"/>
      <c r="SCO125" s="953"/>
      <c r="SCP125" s="953"/>
      <c r="SCQ125" s="953"/>
      <c r="SCR125" s="953"/>
      <c r="SCS125" s="953"/>
      <c r="SCT125" s="953"/>
      <c r="SCU125" s="953"/>
      <c r="SCV125" s="953"/>
      <c r="SCW125" s="953"/>
      <c r="SCX125" s="953"/>
      <c r="SCY125" s="953"/>
      <c r="SCZ125" s="953"/>
      <c r="SDA125" s="953"/>
      <c r="SDB125" s="953"/>
      <c r="SDC125" s="953"/>
      <c r="SDD125" s="953"/>
      <c r="SDE125" s="953"/>
      <c r="SDF125" s="953"/>
      <c r="SDG125" s="953"/>
      <c r="SDH125" s="953"/>
      <c r="SDI125" s="953"/>
      <c r="SDJ125" s="953"/>
      <c r="SDK125" s="953"/>
      <c r="SDL125" s="953"/>
      <c r="SDM125" s="953"/>
      <c r="SDN125" s="953"/>
      <c r="SDO125" s="953"/>
      <c r="SDP125" s="953"/>
      <c r="SDQ125" s="953"/>
      <c r="SDR125" s="953"/>
      <c r="SDS125" s="953"/>
      <c r="SDT125" s="953"/>
      <c r="SDU125" s="953"/>
      <c r="SDV125" s="953"/>
      <c r="SDW125" s="953"/>
      <c r="SDX125" s="953"/>
      <c r="SDY125" s="953"/>
      <c r="SDZ125" s="953"/>
      <c r="SEA125" s="953"/>
      <c r="SEB125" s="953"/>
      <c r="SEC125" s="953"/>
      <c r="SED125" s="953"/>
      <c r="SEE125" s="953"/>
      <c r="SEF125" s="953"/>
      <c r="SEG125" s="953"/>
      <c r="SEH125" s="953"/>
      <c r="SEI125" s="953"/>
      <c r="SEJ125" s="953"/>
      <c r="SEK125" s="953"/>
      <c r="SEL125" s="953"/>
      <c r="SEM125" s="953"/>
      <c r="SEN125" s="953"/>
      <c r="SEO125" s="953"/>
      <c r="SEP125" s="953"/>
      <c r="SEQ125" s="953"/>
      <c r="SER125" s="953"/>
      <c r="SES125" s="953"/>
      <c r="SET125" s="953"/>
      <c r="SEU125" s="953"/>
      <c r="SEV125" s="953"/>
      <c r="SEW125" s="953"/>
      <c r="SEX125" s="953"/>
      <c r="SEY125" s="953"/>
      <c r="SEZ125" s="953"/>
      <c r="SFA125" s="953"/>
      <c r="SFB125" s="953"/>
      <c r="SFC125" s="953"/>
      <c r="SFD125" s="953"/>
      <c r="SFE125" s="953"/>
      <c r="SFF125" s="953"/>
      <c r="SFG125" s="953"/>
      <c r="SFH125" s="953"/>
      <c r="SFI125" s="953"/>
      <c r="SFJ125" s="953"/>
      <c r="SFK125" s="953"/>
      <c r="SFL125" s="953"/>
      <c r="SFM125" s="953"/>
      <c r="SFN125" s="953"/>
      <c r="SFO125" s="953"/>
      <c r="SFP125" s="953"/>
      <c r="SFQ125" s="953"/>
      <c r="SFR125" s="953"/>
      <c r="SFS125" s="953"/>
      <c r="SFT125" s="953"/>
      <c r="SFU125" s="953"/>
      <c r="SFV125" s="953"/>
      <c r="SFW125" s="953"/>
      <c r="SFX125" s="953"/>
      <c r="SFY125" s="953"/>
      <c r="SFZ125" s="953"/>
      <c r="SGA125" s="953"/>
      <c r="SGB125" s="953"/>
      <c r="SGC125" s="953"/>
      <c r="SGD125" s="953"/>
      <c r="SGE125" s="953"/>
      <c r="SGF125" s="953"/>
      <c r="SGG125" s="953"/>
      <c r="SGH125" s="953"/>
      <c r="SGI125" s="953"/>
      <c r="SGJ125" s="953"/>
      <c r="SGK125" s="953"/>
      <c r="SGL125" s="953"/>
      <c r="SGM125" s="953"/>
      <c r="SGN125" s="953"/>
      <c r="SGO125" s="953"/>
      <c r="SGP125" s="953"/>
      <c r="SGQ125" s="953"/>
      <c r="SGR125" s="953"/>
      <c r="SGS125" s="953"/>
      <c r="SGT125" s="953"/>
      <c r="SGU125" s="953"/>
      <c r="SGV125" s="953"/>
      <c r="SGW125" s="953"/>
      <c r="SGX125" s="953"/>
      <c r="SGY125" s="953"/>
      <c r="SGZ125" s="953"/>
      <c r="SHA125" s="953"/>
      <c r="SHB125" s="953"/>
      <c r="SHC125" s="953"/>
      <c r="SHD125" s="953"/>
      <c r="SHE125" s="953"/>
      <c r="SHF125" s="953"/>
      <c r="SHG125" s="953"/>
      <c r="SHH125" s="953"/>
      <c r="SHI125" s="953"/>
      <c r="SHJ125" s="953"/>
      <c r="SHK125" s="953"/>
      <c r="SHL125" s="953"/>
      <c r="SHM125" s="953"/>
      <c r="SHN125" s="953"/>
      <c r="SHO125" s="953"/>
      <c r="SHP125" s="953"/>
      <c r="SHQ125" s="953"/>
      <c r="SHR125" s="953"/>
      <c r="SHS125" s="953"/>
      <c r="SHT125" s="953"/>
      <c r="SHU125" s="953"/>
      <c r="SHV125" s="953"/>
      <c r="SHW125" s="953"/>
      <c r="SHX125" s="953"/>
      <c r="SHY125" s="953"/>
      <c r="SHZ125" s="953"/>
      <c r="SIA125" s="953"/>
      <c r="SIB125" s="953"/>
      <c r="SIC125" s="953"/>
      <c r="SID125" s="953"/>
      <c r="SIE125" s="953"/>
      <c r="SIF125" s="953"/>
      <c r="SIG125" s="953"/>
      <c r="SIH125" s="953"/>
      <c r="SII125" s="953"/>
      <c r="SIJ125" s="953"/>
      <c r="SIK125" s="953"/>
      <c r="SIL125" s="953"/>
      <c r="SIM125" s="953"/>
      <c r="SIN125" s="953"/>
      <c r="SIO125" s="953"/>
      <c r="SIP125" s="953"/>
      <c r="SIQ125" s="953"/>
      <c r="SIR125" s="953"/>
      <c r="SIS125" s="953"/>
      <c r="SIT125" s="953"/>
      <c r="SIU125" s="953"/>
      <c r="SIV125" s="953"/>
      <c r="SIW125" s="953"/>
      <c r="SIX125" s="953"/>
      <c r="SIY125" s="953"/>
      <c r="SIZ125" s="953"/>
      <c r="SJA125" s="953"/>
      <c r="SJB125" s="953"/>
      <c r="SJC125" s="953"/>
      <c r="SJD125" s="953"/>
      <c r="SJE125" s="953"/>
      <c r="SJF125" s="953"/>
      <c r="SJG125" s="953"/>
      <c r="SJH125" s="953"/>
      <c r="SJI125" s="953"/>
      <c r="SJJ125" s="953"/>
      <c r="SJK125" s="953"/>
      <c r="SJL125" s="953"/>
      <c r="SJM125" s="953"/>
      <c r="SJN125" s="953"/>
      <c r="SJO125" s="953"/>
      <c r="SJP125" s="953"/>
      <c r="SJQ125" s="953"/>
      <c r="SJR125" s="953"/>
      <c r="SJS125" s="953"/>
      <c r="SJT125" s="953"/>
      <c r="SJU125" s="953"/>
      <c r="SJV125" s="953"/>
      <c r="SJW125" s="953"/>
      <c r="SJX125" s="953"/>
      <c r="SJY125" s="953"/>
      <c r="SJZ125" s="953"/>
      <c r="SKA125" s="953"/>
      <c r="SKB125" s="953"/>
      <c r="SKC125" s="953"/>
      <c r="SKD125" s="953"/>
      <c r="SKE125" s="953"/>
      <c r="SKF125" s="953"/>
      <c r="SKG125" s="953"/>
      <c r="SKH125" s="953"/>
      <c r="SKI125" s="953"/>
      <c r="SKJ125" s="953"/>
      <c r="SKK125" s="953"/>
      <c r="SKL125" s="953"/>
      <c r="SKM125" s="953"/>
      <c r="SKN125" s="953"/>
      <c r="SKO125" s="953"/>
      <c r="SKP125" s="953"/>
      <c r="SKQ125" s="953"/>
      <c r="SKR125" s="953"/>
      <c r="SKS125" s="953"/>
      <c r="SKT125" s="953"/>
      <c r="SKU125" s="953"/>
      <c r="SKV125" s="953"/>
      <c r="SKW125" s="953"/>
      <c r="SKX125" s="953"/>
      <c r="SKY125" s="953"/>
      <c r="SKZ125" s="953"/>
      <c r="SLA125" s="953"/>
      <c r="SLB125" s="953"/>
      <c r="SLC125" s="953"/>
      <c r="SLD125" s="953"/>
      <c r="SLE125" s="953"/>
      <c r="SLF125" s="953"/>
      <c r="SLG125" s="953"/>
      <c r="SLH125" s="953"/>
      <c r="SLI125" s="953"/>
      <c r="SLJ125" s="953"/>
      <c r="SLK125" s="953"/>
      <c r="SLL125" s="953"/>
      <c r="SLM125" s="953"/>
      <c r="SLN125" s="953"/>
      <c r="SLO125" s="953"/>
      <c r="SLP125" s="953"/>
      <c r="SLQ125" s="953"/>
      <c r="SLR125" s="953"/>
      <c r="SLS125" s="953"/>
      <c r="SLT125" s="953"/>
      <c r="SLU125" s="953"/>
      <c r="SLV125" s="953"/>
      <c r="SLW125" s="953"/>
      <c r="SLX125" s="953"/>
      <c r="SLY125" s="953"/>
      <c r="SLZ125" s="953"/>
      <c r="SMA125" s="953"/>
      <c r="SMB125" s="953"/>
      <c r="SMC125" s="953"/>
      <c r="SMD125" s="953"/>
      <c r="SME125" s="953"/>
      <c r="SMF125" s="953"/>
      <c r="SMG125" s="953"/>
      <c r="SMH125" s="953"/>
      <c r="SMI125" s="953"/>
      <c r="SMJ125" s="953"/>
      <c r="SMK125" s="953"/>
      <c r="SML125" s="953"/>
      <c r="SMM125" s="953"/>
      <c r="SMN125" s="953"/>
      <c r="SMO125" s="953"/>
      <c r="SMP125" s="953"/>
      <c r="SMQ125" s="953"/>
      <c r="SMR125" s="953"/>
      <c r="SMS125" s="953"/>
      <c r="SMT125" s="953"/>
      <c r="SMU125" s="953"/>
      <c r="SMV125" s="953"/>
      <c r="SMW125" s="953"/>
      <c r="SMX125" s="953"/>
      <c r="SMY125" s="953"/>
      <c r="SMZ125" s="953"/>
      <c r="SNA125" s="953"/>
      <c r="SNB125" s="953"/>
      <c r="SNC125" s="953"/>
      <c r="SND125" s="953"/>
      <c r="SNE125" s="953"/>
      <c r="SNF125" s="953"/>
      <c r="SNG125" s="953"/>
      <c r="SNH125" s="953"/>
      <c r="SNI125" s="953"/>
      <c r="SNJ125" s="953"/>
      <c r="SNK125" s="953"/>
      <c r="SNL125" s="953"/>
      <c r="SNM125" s="953"/>
      <c r="SNN125" s="953"/>
      <c r="SNO125" s="953"/>
      <c r="SNP125" s="953"/>
      <c r="SNQ125" s="953"/>
      <c r="SNR125" s="953"/>
      <c r="SNS125" s="953"/>
      <c r="SNT125" s="953"/>
      <c r="SNU125" s="953"/>
      <c r="SNV125" s="953"/>
      <c r="SNW125" s="953"/>
      <c r="SNX125" s="953"/>
      <c r="SNY125" s="953"/>
      <c r="SNZ125" s="953"/>
      <c r="SOA125" s="953"/>
      <c r="SOB125" s="953"/>
      <c r="SOC125" s="953"/>
      <c r="SOD125" s="953"/>
      <c r="SOE125" s="953"/>
      <c r="SOF125" s="953"/>
      <c r="SOG125" s="953"/>
      <c r="SOH125" s="953"/>
      <c r="SOI125" s="953"/>
      <c r="SOJ125" s="953"/>
      <c r="SOK125" s="953"/>
      <c r="SOL125" s="953"/>
      <c r="SOM125" s="953"/>
      <c r="SON125" s="953"/>
      <c r="SOO125" s="953"/>
      <c r="SOP125" s="953"/>
      <c r="SOQ125" s="953"/>
      <c r="SOR125" s="953"/>
      <c r="SOS125" s="953"/>
      <c r="SOT125" s="953"/>
      <c r="SOU125" s="953"/>
      <c r="SOV125" s="953"/>
      <c r="SOW125" s="953"/>
      <c r="SOX125" s="953"/>
      <c r="SOY125" s="953"/>
      <c r="SOZ125" s="953"/>
      <c r="SPA125" s="953"/>
      <c r="SPB125" s="953"/>
      <c r="SPC125" s="953"/>
      <c r="SPD125" s="953"/>
      <c r="SPE125" s="953"/>
      <c r="SPF125" s="953"/>
      <c r="SPG125" s="953"/>
      <c r="SPH125" s="953"/>
      <c r="SPI125" s="953"/>
      <c r="SPJ125" s="953"/>
      <c r="SPK125" s="953"/>
      <c r="SPL125" s="953"/>
      <c r="SPM125" s="953"/>
      <c r="SPN125" s="953"/>
      <c r="SPO125" s="953"/>
      <c r="SPP125" s="953"/>
      <c r="SPQ125" s="953"/>
      <c r="SPR125" s="953"/>
      <c r="SPS125" s="953"/>
      <c r="SPT125" s="953"/>
      <c r="SPU125" s="953"/>
      <c r="SPV125" s="953"/>
      <c r="SPW125" s="953"/>
      <c r="SPX125" s="953"/>
      <c r="SPY125" s="953"/>
      <c r="SPZ125" s="953"/>
      <c r="SQA125" s="953"/>
      <c r="SQB125" s="953"/>
      <c r="SQC125" s="953"/>
      <c r="SQD125" s="953"/>
      <c r="SQE125" s="953"/>
      <c r="SQF125" s="953"/>
      <c r="SQG125" s="953"/>
      <c r="SQH125" s="953"/>
      <c r="SQI125" s="953"/>
      <c r="SQJ125" s="953"/>
      <c r="SQK125" s="953"/>
      <c r="SQL125" s="953"/>
      <c r="SQM125" s="953"/>
      <c r="SQN125" s="953"/>
      <c r="SQO125" s="953"/>
      <c r="SQP125" s="953"/>
      <c r="SQQ125" s="953"/>
      <c r="SQR125" s="953"/>
      <c r="SQS125" s="953"/>
      <c r="SQT125" s="953"/>
      <c r="SQU125" s="953"/>
      <c r="SQV125" s="953"/>
      <c r="SQW125" s="953"/>
      <c r="SQX125" s="953"/>
      <c r="SQY125" s="953"/>
      <c r="SQZ125" s="953"/>
      <c r="SRA125" s="953"/>
      <c r="SRB125" s="953"/>
      <c r="SRC125" s="953"/>
      <c r="SRD125" s="953"/>
      <c r="SRE125" s="953"/>
      <c r="SRF125" s="953"/>
      <c r="SRG125" s="953"/>
      <c r="SRH125" s="953"/>
      <c r="SRI125" s="953"/>
      <c r="SRJ125" s="953"/>
      <c r="SRK125" s="953"/>
      <c r="SRL125" s="953"/>
      <c r="SRM125" s="953"/>
      <c r="SRN125" s="953"/>
      <c r="SRO125" s="953"/>
      <c r="SRP125" s="953"/>
      <c r="SRQ125" s="953"/>
      <c r="SRR125" s="953"/>
      <c r="SRS125" s="953"/>
      <c r="SRT125" s="953"/>
      <c r="SRU125" s="953"/>
      <c r="SRV125" s="953"/>
      <c r="SRW125" s="953"/>
      <c r="SRX125" s="953"/>
      <c r="SRY125" s="953"/>
      <c r="SRZ125" s="953"/>
      <c r="SSA125" s="953"/>
      <c r="SSB125" s="953"/>
      <c r="SSC125" s="953"/>
      <c r="SSD125" s="953"/>
      <c r="SSE125" s="953"/>
      <c r="SSF125" s="953"/>
      <c r="SSG125" s="953"/>
      <c r="SSH125" s="953"/>
      <c r="SSI125" s="953"/>
      <c r="SSJ125" s="953"/>
      <c r="SSK125" s="953"/>
      <c r="SSL125" s="953"/>
      <c r="SSM125" s="953"/>
      <c r="SSN125" s="953"/>
      <c r="SSO125" s="953"/>
      <c r="SSP125" s="953"/>
      <c r="SSQ125" s="953"/>
      <c r="SSR125" s="953"/>
      <c r="SSS125" s="953"/>
      <c r="SST125" s="953"/>
      <c r="SSU125" s="953"/>
      <c r="SSV125" s="953"/>
      <c r="SSW125" s="953"/>
      <c r="SSX125" s="953"/>
      <c r="SSY125" s="953"/>
      <c r="SSZ125" s="953"/>
      <c r="STA125" s="953"/>
      <c r="STB125" s="953"/>
      <c r="STC125" s="953"/>
      <c r="STD125" s="953"/>
      <c r="STE125" s="953"/>
      <c r="STF125" s="953"/>
      <c r="STG125" s="953"/>
      <c r="STH125" s="953"/>
      <c r="STI125" s="953"/>
      <c r="STJ125" s="953"/>
      <c r="STK125" s="953"/>
      <c r="STL125" s="953"/>
      <c r="STM125" s="953"/>
      <c r="STN125" s="953"/>
      <c r="STO125" s="953"/>
      <c r="STP125" s="953"/>
      <c r="STQ125" s="953"/>
      <c r="STR125" s="953"/>
      <c r="STS125" s="953"/>
      <c r="STT125" s="953"/>
      <c r="STU125" s="953"/>
      <c r="STV125" s="953"/>
      <c r="STW125" s="953"/>
      <c r="STX125" s="953"/>
      <c r="STY125" s="953"/>
      <c r="STZ125" s="953"/>
      <c r="SUA125" s="953"/>
      <c r="SUB125" s="953"/>
      <c r="SUC125" s="953"/>
      <c r="SUD125" s="953"/>
      <c r="SUE125" s="953"/>
      <c r="SUF125" s="953"/>
      <c r="SUG125" s="953"/>
      <c r="SUH125" s="953"/>
      <c r="SUI125" s="953"/>
      <c r="SUJ125" s="953"/>
      <c r="SUK125" s="953"/>
      <c r="SUL125" s="953"/>
      <c r="SUM125" s="953"/>
      <c r="SUN125" s="953"/>
      <c r="SUO125" s="953"/>
      <c r="SUP125" s="953"/>
      <c r="SUQ125" s="953"/>
      <c r="SUR125" s="953"/>
      <c r="SUS125" s="953"/>
      <c r="SUT125" s="953"/>
      <c r="SUU125" s="953"/>
      <c r="SUV125" s="953"/>
      <c r="SUW125" s="953"/>
      <c r="SUX125" s="953"/>
      <c r="SUY125" s="953"/>
      <c r="SUZ125" s="953"/>
      <c r="SVA125" s="953"/>
      <c r="SVB125" s="953"/>
      <c r="SVC125" s="953"/>
      <c r="SVD125" s="953"/>
      <c r="SVE125" s="953"/>
      <c r="SVF125" s="953"/>
      <c r="SVG125" s="953"/>
      <c r="SVH125" s="953"/>
      <c r="SVI125" s="953"/>
      <c r="SVJ125" s="953"/>
      <c r="SVK125" s="953"/>
      <c r="SVL125" s="953"/>
      <c r="SVM125" s="953"/>
      <c r="SVN125" s="953"/>
      <c r="SVO125" s="953"/>
      <c r="SVP125" s="953"/>
      <c r="SVQ125" s="953"/>
      <c r="SVR125" s="953"/>
      <c r="SVS125" s="953"/>
      <c r="SVT125" s="953"/>
      <c r="SVU125" s="953"/>
      <c r="SVV125" s="953"/>
      <c r="SVW125" s="953"/>
      <c r="SVX125" s="953"/>
      <c r="SVY125" s="953"/>
      <c r="SVZ125" s="953"/>
      <c r="SWA125" s="953"/>
      <c r="SWB125" s="953"/>
      <c r="SWC125" s="953"/>
      <c r="SWD125" s="953"/>
      <c r="SWE125" s="953"/>
      <c r="SWF125" s="953"/>
      <c r="SWG125" s="953"/>
      <c r="SWH125" s="953"/>
      <c r="SWI125" s="953"/>
      <c r="SWJ125" s="953"/>
      <c r="SWK125" s="953"/>
      <c r="SWL125" s="953"/>
      <c r="SWM125" s="953"/>
      <c r="SWN125" s="953"/>
      <c r="SWO125" s="953"/>
      <c r="SWP125" s="953"/>
      <c r="SWQ125" s="953"/>
      <c r="SWR125" s="953"/>
      <c r="SWS125" s="953"/>
      <c r="SWT125" s="953"/>
      <c r="SWU125" s="953"/>
      <c r="SWV125" s="953"/>
      <c r="SWW125" s="953"/>
      <c r="SWX125" s="953"/>
      <c r="SWY125" s="953"/>
      <c r="SWZ125" s="953"/>
      <c r="SXA125" s="953"/>
      <c r="SXB125" s="953"/>
      <c r="SXC125" s="953"/>
      <c r="SXD125" s="953"/>
      <c r="SXE125" s="953"/>
      <c r="SXF125" s="953"/>
      <c r="SXG125" s="953"/>
      <c r="SXH125" s="953"/>
      <c r="SXI125" s="953"/>
      <c r="SXJ125" s="953"/>
      <c r="SXK125" s="953"/>
      <c r="SXL125" s="953"/>
      <c r="SXM125" s="953"/>
      <c r="SXN125" s="953"/>
      <c r="SXO125" s="953"/>
      <c r="SXP125" s="953"/>
      <c r="SXQ125" s="953"/>
      <c r="SXR125" s="953"/>
      <c r="SXS125" s="953"/>
      <c r="SXT125" s="953"/>
      <c r="SXU125" s="953"/>
      <c r="SXV125" s="953"/>
      <c r="SXW125" s="953"/>
      <c r="SXX125" s="953"/>
      <c r="SXY125" s="953"/>
      <c r="SXZ125" s="953"/>
      <c r="SYA125" s="953"/>
      <c r="SYB125" s="953"/>
      <c r="SYC125" s="953"/>
      <c r="SYD125" s="953"/>
      <c r="SYE125" s="953"/>
      <c r="SYF125" s="953"/>
      <c r="SYG125" s="953"/>
      <c r="SYH125" s="953"/>
      <c r="SYI125" s="953"/>
      <c r="SYJ125" s="953"/>
      <c r="SYK125" s="953"/>
      <c r="SYL125" s="953"/>
      <c r="SYM125" s="953"/>
      <c r="SYN125" s="953"/>
      <c r="SYO125" s="953"/>
      <c r="SYP125" s="953"/>
      <c r="SYQ125" s="953"/>
      <c r="SYR125" s="953"/>
      <c r="SYS125" s="953"/>
      <c r="SYT125" s="953"/>
      <c r="SYU125" s="953"/>
      <c r="SYV125" s="953"/>
      <c r="SYW125" s="953"/>
      <c r="SYX125" s="953"/>
      <c r="SYY125" s="953"/>
      <c r="SYZ125" s="953"/>
      <c r="SZA125" s="953"/>
      <c r="SZB125" s="953"/>
      <c r="SZC125" s="953"/>
      <c r="SZD125" s="953"/>
      <c r="SZE125" s="953"/>
      <c r="SZF125" s="953"/>
      <c r="SZG125" s="953"/>
      <c r="SZH125" s="953"/>
      <c r="SZI125" s="953"/>
      <c r="SZJ125" s="953"/>
      <c r="SZK125" s="953"/>
      <c r="SZL125" s="953"/>
      <c r="SZM125" s="953"/>
      <c r="SZN125" s="953"/>
      <c r="SZO125" s="953"/>
      <c r="SZP125" s="953"/>
      <c r="SZQ125" s="953"/>
      <c r="SZR125" s="953"/>
      <c r="SZS125" s="953"/>
      <c r="SZT125" s="953"/>
      <c r="SZU125" s="953"/>
      <c r="SZV125" s="953"/>
      <c r="SZW125" s="953"/>
      <c r="SZX125" s="953"/>
      <c r="SZY125" s="953"/>
      <c r="SZZ125" s="953"/>
      <c r="TAA125" s="953"/>
      <c r="TAB125" s="953"/>
      <c r="TAC125" s="953"/>
      <c r="TAD125" s="953"/>
      <c r="TAE125" s="953"/>
      <c r="TAF125" s="953"/>
      <c r="TAG125" s="953"/>
      <c r="TAH125" s="953"/>
      <c r="TAI125" s="953"/>
      <c r="TAJ125" s="953"/>
      <c r="TAK125" s="953"/>
      <c r="TAL125" s="953"/>
      <c r="TAM125" s="953"/>
      <c r="TAN125" s="953"/>
      <c r="TAO125" s="953"/>
      <c r="TAP125" s="953"/>
      <c r="TAQ125" s="953"/>
      <c r="TAR125" s="953"/>
      <c r="TAS125" s="953"/>
      <c r="TAT125" s="953"/>
      <c r="TAU125" s="953"/>
      <c r="TAV125" s="953"/>
      <c r="TAW125" s="953"/>
      <c r="TAX125" s="953"/>
      <c r="TAY125" s="953"/>
      <c r="TAZ125" s="953"/>
      <c r="TBA125" s="953"/>
      <c r="TBB125" s="953"/>
      <c r="TBC125" s="953"/>
      <c r="TBD125" s="953"/>
      <c r="TBE125" s="953"/>
      <c r="TBF125" s="953"/>
      <c r="TBG125" s="953"/>
      <c r="TBH125" s="953"/>
      <c r="TBI125" s="953"/>
      <c r="TBJ125" s="953"/>
      <c r="TBK125" s="953"/>
      <c r="TBL125" s="953"/>
      <c r="TBM125" s="953"/>
      <c r="TBN125" s="953"/>
      <c r="TBO125" s="953"/>
      <c r="TBP125" s="953"/>
      <c r="TBQ125" s="953"/>
      <c r="TBR125" s="953"/>
      <c r="TBS125" s="953"/>
      <c r="TBT125" s="953"/>
      <c r="TBU125" s="953"/>
      <c r="TBV125" s="953"/>
      <c r="TBW125" s="953"/>
      <c r="TBX125" s="953"/>
      <c r="TBY125" s="953"/>
      <c r="TBZ125" s="953"/>
      <c r="TCA125" s="953"/>
      <c r="TCB125" s="953"/>
      <c r="TCC125" s="953"/>
      <c r="TCD125" s="953"/>
      <c r="TCE125" s="953"/>
      <c r="TCF125" s="953"/>
      <c r="TCG125" s="953"/>
      <c r="TCH125" s="953"/>
      <c r="TCI125" s="953"/>
      <c r="TCJ125" s="953"/>
      <c r="TCK125" s="953"/>
      <c r="TCL125" s="953"/>
      <c r="TCM125" s="953"/>
      <c r="TCN125" s="953"/>
      <c r="TCO125" s="953"/>
      <c r="TCP125" s="953"/>
      <c r="TCQ125" s="953"/>
      <c r="TCR125" s="953"/>
      <c r="TCS125" s="953"/>
      <c r="TCT125" s="953"/>
      <c r="TCU125" s="953"/>
      <c r="TCV125" s="953"/>
      <c r="TCW125" s="953"/>
      <c r="TCX125" s="953"/>
      <c r="TCY125" s="953"/>
      <c r="TCZ125" s="953"/>
      <c r="TDA125" s="953"/>
      <c r="TDB125" s="953"/>
      <c r="TDC125" s="953"/>
      <c r="TDD125" s="953"/>
      <c r="TDE125" s="953"/>
      <c r="TDF125" s="953"/>
      <c r="TDG125" s="953"/>
      <c r="TDH125" s="953"/>
      <c r="TDI125" s="953"/>
      <c r="TDJ125" s="953"/>
      <c r="TDK125" s="953"/>
      <c r="TDL125" s="953"/>
      <c r="TDM125" s="953"/>
      <c r="TDN125" s="953"/>
      <c r="TDO125" s="953"/>
      <c r="TDP125" s="953"/>
      <c r="TDQ125" s="953"/>
      <c r="TDR125" s="953"/>
      <c r="TDS125" s="953"/>
      <c r="TDT125" s="953"/>
      <c r="TDU125" s="953"/>
      <c r="TDV125" s="953"/>
      <c r="TDW125" s="953"/>
      <c r="TDX125" s="953"/>
      <c r="TDY125" s="953"/>
      <c r="TDZ125" s="953"/>
      <c r="TEA125" s="953"/>
      <c r="TEB125" s="953"/>
      <c r="TEC125" s="953"/>
      <c r="TED125" s="953"/>
      <c r="TEE125" s="953"/>
      <c r="TEF125" s="953"/>
      <c r="TEG125" s="953"/>
      <c r="TEH125" s="953"/>
      <c r="TEI125" s="953"/>
      <c r="TEJ125" s="953"/>
      <c r="TEK125" s="953"/>
      <c r="TEL125" s="953"/>
      <c r="TEM125" s="953"/>
      <c r="TEN125" s="953"/>
      <c r="TEO125" s="953"/>
      <c r="TEP125" s="953"/>
      <c r="TEQ125" s="953"/>
      <c r="TER125" s="953"/>
      <c r="TES125" s="953"/>
      <c r="TET125" s="953"/>
      <c r="TEU125" s="953"/>
      <c r="TEV125" s="953"/>
      <c r="TEW125" s="953"/>
      <c r="TEX125" s="953"/>
      <c r="TEY125" s="953"/>
      <c r="TEZ125" s="953"/>
      <c r="TFA125" s="953"/>
      <c r="TFB125" s="953"/>
      <c r="TFC125" s="953"/>
      <c r="TFD125" s="953"/>
      <c r="TFE125" s="953"/>
      <c r="TFF125" s="953"/>
      <c r="TFG125" s="953"/>
      <c r="TFH125" s="953"/>
      <c r="TFI125" s="953"/>
      <c r="TFJ125" s="953"/>
      <c r="TFK125" s="953"/>
      <c r="TFL125" s="953"/>
      <c r="TFM125" s="953"/>
      <c r="TFN125" s="953"/>
      <c r="TFO125" s="953"/>
      <c r="TFP125" s="953"/>
      <c r="TFQ125" s="953"/>
      <c r="TFR125" s="953"/>
      <c r="TFS125" s="953"/>
      <c r="TFT125" s="953"/>
      <c r="TFU125" s="953"/>
      <c r="TFV125" s="953"/>
      <c r="TFW125" s="953"/>
      <c r="TFX125" s="953"/>
      <c r="TFY125" s="953"/>
      <c r="TFZ125" s="953"/>
      <c r="TGA125" s="953"/>
      <c r="TGB125" s="953"/>
      <c r="TGC125" s="953"/>
      <c r="TGD125" s="953"/>
      <c r="TGE125" s="953"/>
      <c r="TGF125" s="953"/>
      <c r="TGG125" s="953"/>
      <c r="TGH125" s="953"/>
      <c r="TGI125" s="953"/>
      <c r="TGJ125" s="953"/>
      <c r="TGK125" s="953"/>
      <c r="TGL125" s="953"/>
      <c r="TGM125" s="953"/>
      <c r="TGN125" s="953"/>
      <c r="TGO125" s="953"/>
      <c r="TGP125" s="953"/>
      <c r="TGQ125" s="953"/>
      <c r="TGR125" s="953"/>
      <c r="TGS125" s="953"/>
      <c r="TGT125" s="953"/>
      <c r="TGU125" s="953"/>
      <c r="TGV125" s="953"/>
      <c r="TGW125" s="953"/>
      <c r="TGX125" s="953"/>
      <c r="TGY125" s="953"/>
      <c r="TGZ125" s="953"/>
      <c r="THA125" s="953"/>
      <c r="THB125" s="953"/>
      <c r="THC125" s="953"/>
      <c r="THD125" s="953"/>
      <c r="THE125" s="953"/>
      <c r="THF125" s="953"/>
      <c r="THG125" s="953"/>
      <c r="THH125" s="953"/>
      <c r="THI125" s="953"/>
      <c r="THJ125" s="953"/>
      <c r="THK125" s="953"/>
      <c r="THL125" s="953"/>
      <c r="THM125" s="953"/>
      <c r="THN125" s="953"/>
      <c r="THO125" s="953"/>
      <c r="THP125" s="953"/>
      <c r="THQ125" s="953"/>
      <c r="THR125" s="953"/>
      <c r="THS125" s="953"/>
      <c r="THT125" s="953"/>
      <c r="THU125" s="953"/>
      <c r="THV125" s="953"/>
      <c r="THW125" s="953"/>
      <c r="THX125" s="953"/>
      <c r="THY125" s="953"/>
      <c r="THZ125" s="953"/>
      <c r="TIA125" s="953"/>
      <c r="TIB125" s="953"/>
      <c r="TIC125" s="953"/>
      <c r="TID125" s="953"/>
      <c r="TIE125" s="953"/>
      <c r="TIF125" s="953"/>
      <c r="TIG125" s="953"/>
      <c r="TIH125" s="953"/>
      <c r="TII125" s="953"/>
      <c r="TIJ125" s="953"/>
      <c r="TIK125" s="953"/>
      <c r="TIL125" s="953"/>
      <c r="TIM125" s="953"/>
      <c r="TIN125" s="953"/>
      <c r="TIO125" s="953"/>
      <c r="TIP125" s="953"/>
      <c r="TIQ125" s="953"/>
      <c r="TIR125" s="953"/>
      <c r="TIS125" s="953"/>
      <c r="TIT125" s="953"/>
      <c r="TIU125" s="953"/>
      <c r="TIV125" s="953"/>
      <c r="TIW125" s="953"/>
      <c r="TIX125" s="953"/>
      <c r="TIY125" s="953"/>
      <c r="TIZ125" s="953"/>
      <c r="TJA125" s="953"/>
      <c r="TJB125" s="953"/>
      <c r="TJC125" s="953"/>
      <c r="TJD125" s="953"/>
      <c r="TJE125" s="953"/>
      <c r="TJF125" s="953"/>
      <c r="TJG125" s="953"/>
      <c r="TJH125" s="953"/>
      <c r="TJI125" s="953"/>
      <c r="TJJ125" s="953"/>
      <c r="TJK125" s="953"/>
      <c r="TJL125" s="953"/>
      <c r="TJM125" s="953"/>
      <c r="TJN125" s="953"/>
      <c r="TJO125" s="953"/>
      <c r="TJP125" s="953"/>
      <c r="TJQ125" s="953"/>
      <c r="TJR125" s="953"/>
      <c r="TJS125" s="953"/>
      <c r="TJT125" s="953"/>
      <c r="TJU125" s="953"/>
      <c r="TJV125" s="953"/>
      <c r="TJW125" s="953"/>
      <c r="TJX125" s="953"/>
      <c r="TJY125" s="953"/>
      <c r="TJZ125" s="953"/>
      <c r="TKA125" s="953"/>
      <c r="TKB125" s="953"/>
      <c r="TKC125" s="953"/>
      <c r="TKD125" s="953"/>
      <c r="TKE125" s="953"/>
      <c r="TKF125" s="953"/>
      <c r="TKG125" s="953"/>
      <c r="TKH125" s="953"/>
      <c r="TKI125" s="953"/>
      <c r="TKJ125" s="953"/>
      <c r="TKK125" s="953"/>
      <c r="TKL125" s="953"/>
      <c r="TKM125" s="953"/>
      <c r="TKN125" s="953"/>
      <c r="TKO125" s="953"/>
      <c r="TKP125" s="953"/>
      <c r="TKQ125" s="953"/>
      <c r="TKR125" s="953"/>
      <c r="TKS125" s="953"/>
      <c r="TKT125" s="953"/>
      <c r="TKU125" s="953"/>
      <c r="TKV125" s="953"/>
      <c r="TKW125" s="953"/>
      <c r="TKX125" s="953"/>
      <c r="TKY125" s="953"/>
      <c r="TKZ125" s="953"/>
      <c r="TLA125" s="953"/>
      <c r="TLB125" s="953"/>
      <c r="TLC125" s="953"/>
      <c r="TLD125" s="953"/>
      <c r="TLE125" s="953"/>
      <c r="TLF125" s="953"/>
      <c r="TLG125" s="953"/>
      <c r="TLH125" s="953"/>
      <c r="TLI125" s="953"/>
      <c r="TLJ125" s="953"/>
      <c r="TLK125" s="953"/>
      <c r="TLL125" s="953"/>
      <c r="TLM125" s="953"/>
      <c r="TLN125" s="953"/>
      <c r="TLO125" s="953"/>
      <c r="TLP125" s="953"/>
      <c r="TLQ125" s="953"/>
      <c r="TLR125" s="953"/>
      <c r="TLS125" s="953"/>
      <c r="TLT125" s="953"/>
      <c r="TLU125" s="953"/>
      <c r="TLV125" s="953"/>
      <c r="TLW125" s="953"/>
      <c r="TLX125" s="953"/>
      <c r="TLY125" s="953"/>
      <c r="TLZ125" s="953"/>
      <c r="TMA125" s="953"/>
      <c r="TMB125" s="953"/>
      <c r="TMC125" s="953"/>
      <c r="TMD125" s="953"/>
      <c r="TME125" s="953"/>
      <c r="TMF125" s="953"/>
      <c r="TMG125" s="953"/>
      <c r="TMH125" s="953"/>
      <c r="TMI125" s="953"/>
      <c r="TMJ125" s="953"/>
      <c r="TMK125" s="953"/>
      <c r="TML125" s="953"/>
      <c r="TMM125" s="953"/>
      <c r="TMN125" s="953"/>
      <c r="TMO125" s="953"/>
      <c r="TMP125" s="953"/>
      <c r="TMQ125" s="953"/>
      <c r="TMR125" s="953"/>
      <c r="TMS125" s="953"/>
      <c r="TMT125" s="953"/>
      <c r="TMU125" s="953"/>
      <c r="TMV125" s="953"/>
      <c r="TMW125" s="953"/>
      <c r="TMX125" s="953"/>
      <c r="TMY125" s="953"/>
      <c r="TMZ125" s="953"/>
      <c r="TNA125" s="953"/>
      <c r="TNB125" s="953"/>
      <c r="TNC125" s="953"/>
      <c r="TND125" s="953"/>
      <c r="TNE125" s="953"/>
      <c r="TNF125" s="953"/>
      <c r="TNG125" s="953"/>
      <c r="TNH125" s="953"/>
      <c r="TNI125" s="953"/>
      <c r="TNJ125" s="953"/>
      <c r="TNK125" s="953"/>
      <c r="TNL125" s="953"/>
      <c r="TNM125" s="953"/>
      <c r="TNN125" s="953"/>
      <c r="TNO125" s="953"/>
      <c r="TNP125" s="953"/>
      <c r="TNQ125" s="953"/>
      <c r="TNR125" s="953"/>
      <c r="TNS125" s="953"/>
      <c r="TNT125" s="953"/>
      <c r="TNU125" s="953"/>
      <c r="TNV125" s="953"/>
      <c r="TNW125" s="953"/>
      <c r="TNX125" s="953"/>
      <c r="TNY125" s="953"/>
      <c r="TNZ125" s="953"/>
      <c r="TOA125" s="953"/>
      <c r="TOB125" s="953"/>
      <c r="TOC125" s="953"/>
      <c r="TOD125" s="953"/>
      <c r="TOE125" s="953"/>
      <c r="TOF125" s="953"/>
      <c r="TOG125" s="953"/>
      <c r="TOH125" s="953"/>
      <c r="TOI125" s="953"/>
      <c r="TOJ125" s="953"/>
      <c r="TOK125" s="953"/>
      <c r="TOL125" s="953"/>
      <c r="TOM125" s="953"/>
      <c r="TON125" s="953"/>
      <c r="TOO125" s="953"/>
      <c r="TOP125" s="953"/>
      <c r="TOQ125" s="953"/>
      <c r="TOR125" s="953"/>
      <c r="TOS125" s="953"/>
      <c r="TOT125" s="953"/>
      <c r="TOU125" s="953"/>
      <c r="TOV125" s="953"/>
      <c r="TOW125" s="953"/>
      <c r="TOX125" s="953"/>
      <c r="TOY125" s="953"/>
      <c r="TOZ125" s="953"/>
      <c r="TPA125" s="953"/>
      <c r="TPB125" s="953"/>
      <c r="TPC125" s="953"/>
      <c r="TPD125" s="953"/>
      <c r="TPE125" s="953"/>
      <c r="TPF125" s="953"/>
      <c r="TPG125" s="953"/>
      <c r="TPH125" s="953"/>
      <c r="TPI125" s="953"/>
      <c r="TPJ125" s="953"/>
      <c r="TPK125" s="953"/>
      <c r="TPL125" s="953"/>
      <c r="TPM125" s="953"/>
      <c r="TPN125" s="953"/>
      <c r="TPO125" s="953"/>
      <c r="TPP125" s="953"/>
      <c r="TPQ125" s="953"/>
      <c r="TPR125" s="953"/>
      <c r="TPS125" s="953"/>
      <c r="TPT125" s="953"/>
      <c r="TPU125" s="953"/>
      <c r="TPV125" s="953"/>
      <c r="TPW125" s="953"/>
      <c r="TPX125" s="953"/>
      <c r="TPY125" s="953"/>
      <c r="TPZ125" s="953"/>
      <c r="TQA125" s="953"/>
      <c r="TQB125" s="953"/>
      <c r="TQC125" s="953"/>
      <c r="TQD125" s="953"/>
      <c r="TQE125" s="953"/>
      <c r="TQF125" s="953"/>
      <c r="TQG125" s="953"/>
      <c r="TQH125" s="953"/>
      <c r="TQI125" s="953"/>
      <c r="TQJ125" s="953"/>
      <c r="TQK125" s="953"/>
      <c r="TQL125" s="953"/>
      <c r="TQM125" s="953"/>
      <c r="TQN125" s="953"/>
      <c r="TQO125" s="953"/>
      <c r="TQP125" s="953"/>
      <c r="TQQ125" s="953"/>
      <c r="TQR125" s="953"/>
      <c r="TQS125" s="953"/>
      <c r="TQT125" s="953"/>
      <c r="TQU125" s="953"/>
      <c r="TQV125" s="953"/>
      <c r="TQW125" s="953"/>
      <c r="TQX125" s="953"/>
      <c r="TQY125" s="953"/>
      <c r="TQZ125" s="953"/>
      <c r="TRA125" s="953"/>
      <c r="TRB125" s="953"/>
      <c r="TRC125" s="953"/>
      <c r="TRD125" s="953"/>
      <c r="TRE125" s="953"/>
      <c r="TRF125" s="953"/>
      <c r="TRG125" s="953"/>
      <c r="TRH125" s="953"/>
      <c r="TRI125" s="953"/>
      <c r="TRJ125" s="953"/>
      <c r="TRK125" s="953"/>
      <c r="TRL125" s="953"/>
      <c r="TRM125" s="953"/>
      <c r="TRN125" s="953"/>
      <c r="TRO125" s="953"/>
      <c r="TRP125" s="953"/>
      <c r="TRQ125" s="953"/>
      <c r="TRR125" s="953"/>
      <c r="TRS125" s="953"/>
      <c r="TRT125" s="953"/>
      <c r="TRU125" s="953"/>
      <c r="TRV125" s="953"/>
      <c r="TRW125" s="953"/>
      <c r="TRX125" s="953"/>
      <c r="TRY125" s="953"/>
      <c r="TRZ125" s="953"/>
      <c r="TSA125" s="953"/>
      <c r="TSB125" s="953"/>
      <c r="TSC125" s="953"/>
      <c r="TSD125" s="953"/>
      <c r="TSE125" s="953"/>
      <c r="TSF125" s="953"/>
      <c r="TSG125" s="953"/>
      <c r="TSH125" s="953"/>
      <c r="TSI125" s="953"/>
      <c r="TSJ125" s="953"/>
      <c r="TSK125" s="953"/>
      <c r="TSL125" s="953"/>
      <c r="TSM125" s="953"/>
      <c r="TSN125" s="953"/>
      <c r="TSO125" s="953"/>
      <c r="TSP125" s="953"/>
      <c r="TSQ125" s="953"/>
      <c r="TSR125" s="953"/>
      <c r="TSS125" s="953"/>
      <c r="TST125" s="953"/>
      <c r="TSU125" s="953"/>
      <c r="TSV125" s="953"/>
      <c r="TSW125" s="953"/>
      <c r="TSX125" s="953"/>
      <c r="TSY125" s="953"/>
      <c r="TSZ125" s="953"/>
      <c r="TTA125" s="953"/>
      <c r="TTB125" s="953"/>
      <c r="TTC125" s="953"/>
      <c r="TTD125" s="953"/>
      <c r="TTE125" s="953"/>
      <c r="TTF125" s="953"/>
      <c r="TTG125" s="953"/>
      <c r="TTH125" s="953"/>
      <c r="TTI125" s="953"/>
      <c r="TTJ125" s="953"/>
      <c r="TTK125" s="953"/>
      <c r="TTL125" s="953"/>
      <c r="TTM125" s="953"/>
      <c r="TTN125" s="953"/>
      <c r="TTO125" s="953"/>
      <c r="TTP125" s="953"/>
      <c r="TTQ125" s="953"/>
      <c r="TTR125" s="953"/>
      <c r="TTS125" s="953"/>
      <c r="TTT125" s="953"/>
      <c r="TTU125" s="953"/>
      <c r="TTV125" s="953"/>
      <c r="TTW125" s="953"/>
      <c r="TTX125" s="953"/>
      <c r="TTY125" s="953"/>
      <c r="TTZ125" s="953"/>
      <c r="TUA125" s="953"/>
      <c r="TUB125" s="953"/>
      <c r="TUC125" s="953"/>
      <c r="TUD125" s="953"/>
      <c r="TUE125" s="953"/>
      <c r="TUF125" s="953"/>
      <c r="TUG125" s="953"/>
      <c r="TUH125" s="953"/>
      <c r="TUI125" s="953"/>
      <c r="TUJ125" s="953"/>
      <c r="TUK125" s="953"/>
      <c r="TUL125" s="953"/>
      <c r="TUM125" s="953"/>
      <c r="TUN125" s="953"/>
      <c r="TUO125" s="953"/>
      <c r="TUP125" s="953"/>
      <c r="TUQ125" s="953"/>
      <c r="TUR125" s="953"/>
      <c r="TUS125" s="953"/>
      <c r="TUT125" s="953"/>
      <c r="TUU125" s="953"/>
      <c r="TUV125" s="953"/>
      <c r="TUW125" s="953"/>
      <c r="TUX125" s="953"/>
      <c r="TUY125" s="953"/>
      <c r="TUZ125" s="953"/>
      <c r="TVA125" s="953"/>
      <c r="TVB125" s="953"/>
      <c r="TVC125" s="953"/>
      <c r="TVD125" s="953"/>
      <c r="TVE125" s="953"/>
      <c r="TVF125" s="953"/>
      <c r="TVG125" s="953"/>
      <c r="TVH125" s="953"/>
      <c r="TVI125" s="953"/>
      <c r="TVJ125" s="953"/>
      <c r="TVK125" s="953"/>
      <c r="TVL125" s="953"/>
      <c r="TVM125" s="953"/>
      <c r="TVN125" s="953"/>
      <c r="TVO125" s="953"/>
      <c r="TVP125" s="953"/>
      <c r="TVQ125" s="953"/>
      <c r="TVR125" s="953"/>
      <c r="TVS125" s="953"/>
      <c r="TVT125" s="953"/>
      <c r="TVU125" s="953"/>
      <c r="TVV125" s="953"/>
      <c r="TVW125" s="953"/>
      <c r="TVX125" s="953"/>
      <c r="TVY125" s="953"/>
      <c r="TVZ125" s="953"/>
      <c r="TWA125" s="953"/>
      <c r="TWB125" s="953"/>
      <c r="TWC125" s="953"/>
      <c r="TWD125" s="953"/>
      <c r="TWE125" s="953"/>
      <c r="TWF125" s="953"/>
      <c r="TWG125" s="953"/>
      <c r="TWH125" s="953"/>
      <c r="TWI125" s="953"/>
      <c r="TWJ125" s="953"/>
      <c r="TWK125" s="953"/>
      <c r="TWL125" s="953"/>
      <c r="TWM125" s="953"/>
      <c r="TWN125" s="953"/>
      <c r="TWO125" s="953"/>
      <c r="TWP125" s="953"/>
      <c r="TWQ125" s="953"/>
      <c r="TWR125" s="953"/>
      <c r="TWS125" s="953"/>
      <c r="TWT125" s="953"/>
      <c r="TWU125" s="953"/>
      <c r="TWV125" s="953"/>
      <c r="TWW125" s="953"/>
      <c r="TWX125" s="953"/>
      <c r="TWY125" s="953"/>
      <c r="TWZ125" s="953"/>
      <c r="TXA125" s="953"/>
      <c r="TXB125" s="953"/>
      <c r="TXC125" s="953"/>
      <c r="TXD125" s="953"/>
      <c r="TXE125" s="953"/>
      <c r="TXF125" s="953"/>
      <c r="TXG125" s="953"/>
      <c r="TXH125" s="953"/>
      <c r="TXI125" s="953"/>
      <c r="TXJ125" s="953"/>
      <c r="TXK125" s="953"/>
      <c r="TXL125" s="953"/>
      <c r="TXM125" s="953"/>
      <c r="TXN125" s="953"/>
      <c r="TXO125" s="953"/>
      <c r="TXP125" s="953"/>
      <c r="TXQ125" s="953"/>
      <c r="TXR125" s="953"/>
      <c r="TXS125" s="953"/>
      <c r="TXT125" s="953"/>
      <c r="TXU125" s="953"/>
      <c r="TXV125" s="953"/>
      <c r="TXW125" s="953"/>
      <c r="TXX125" s="953"/>
      <c r="TXY125" s="953"/>
      <c r="TXZ125" s="953"/>
      <c r="TYA125" s="953"/>
      <c r="TYB125" s="953"/>
      <c r="TYC125" s="953"/>
      <c r="TYD125" s="953"/>
      <c r="TYE125" s="953"/>
      <c r="TYF125" s="953"/>
      <c r="TYG125" s="953"/>
      <c r="TYH125" s="953"/>
      <c r="TYI125" s="953"/>
      <c r="TYJ125" s="953"/>
      <c r="TYK125" s="953"/>
      <c r="TYL125" s="953"/>
      <c r="TYM125" s="953"/>
      <c r="TYN125" s="953"/>
      <c r="TYO125" s="953"/>
      <c r="TYP125" s="953"/>
      <c r="TYQ125" s="953"/>
      <c r="TYR125" s="953"/>
      <c r="TYS125" s="953"/>
      <c r="TYT125" s="953"/>
      <c r="TYU125" s="953"/>
      <c r="TYV125" s="953"/>
      <c r="TYW125" s="953"/>
      <c r="TYX125" s="953"/>
      <c r="TYY125" s="953"/>
      <c r="TYZ125" s="953"/>
      <c r="TZA125" s="953"/>
      <c r="TZB125" s="953"/>
      <c r="TZC125" s="953"/>
      <c r="TZD125" s="953"/>
      <c r="TZE125" s="953"/>
      <c r="TZF125" s="953"/>
      <c r="TZG125" s="953"/>
      <c r="TZH125" s="953"/>
      <c r="TZI125" s="953"/>
      <c r="TZJ125" s="953"/>
      <c r="TZK125" s="953"/>
      <c r="TZL125" s="953"/>
      <c r="TZM125" s="953"/>
      <c r="TZN125" s="953"/>
      <c r="TZO125" s="953"/>
      <c r="TZP125" s="953"/>
      <c r="TZQ125" s="953"/>
      <c r="TZR125" s="953"/>
      <c r="TZS125" s="953"/>
      <c r="TZT125" s="953"/>
      <c r="TZU125" s="953"/>
      <c r="TZV125" s="953"/>
      <c r="TZW125" s="953"/>
      <c r="TZX125" s="953"/>
      <c r="TZY125" s="953"/>
      <c r="TZZ125" s="953"/>
      <c r="UAA125" s="953"/>
      <c r="UAB125" s="953"/>
      <c r="UAC125" s="953"/>
      <c r="UAD125" s="953"/>
      <c r="UAE125" s="953"/>
      <c r="UAF125" s="953"/>
      <c r="UAG125" s="953"/>
      <c r="UAH125" s="953"/>
      <c r="UAI125" s="953"/>
      <c r="UAJ125" s="953"/>
      <c r="UAK125" s="953"/>
      <c r="UAL125" s="953"/>
      <c r="UAM125" s="953"/>
      <c r="UAN125" s="953"/>
      <c r="UAO125" s="953"/>
      <c r="UAP125" s="953"/>
      <c r="UAQ125" s="953"/>
      <c r="UAR125" s="953"/>
      <c r="UAS125" s="953"/>
      <c r="UAT125" s="953"/>
      <c r="UAU125" s="953"/>
      <c r="UAV125" s="953"/>
      <c r="UAW125" s="953"/>
      <c r="UAX125" s="953"/>
      <c r="UAY125" s="953"/>
      <c r="UAZ125" s="953"/>
      <c r="UBA125" s="953"/>
      <c r="UBB125" s="953"/>
      <c r="UBC125" s="953"/>
      <c r="UBD125" s="953"/>
      <c r="UBE125" s="953"/>
      <c r="UBF125" s="953"/>
      <c r="UBG125" s="953"/>
      <c r="UBH125" s="953"/>
      <c r="UBI125" s="953"/>
      <c r="UBJ125" s="953"/>
      <c r="UBK125" s="953"/>
      <c r="UBL125" s="953"/>
      <c r="UBM125" s="953"/>
      <c r="UBN125" s="953"/>
      <c r="UBO125" s="953"/>
      <c r="UBP125" s="953"/>
      <c r="UBQ125" s="953"/>
      <c r="UBR125" s="953"/>
      <c r="UBS125" s="953"/>
      <c r="UBT125" s="953"/>
      <c r="UBU125" s="953"/>
      <c r="UBV125" s="953"/>
      <c r="UBW125" s="953"/>
      <c r="UBX125" s="953"/>
      <c r="UBY125" s="953"/>
      <c r="UBZ125" s="953"/>
      <c r="UCA125" s="953"/>
      <c r="UCB125" s="953"/>
      <c r="UCC125" s="953"/>
      <c r="UCD125" s="953"/>
      <c r="UCE125" s="953"/>
      <c r="UCF125" s="953"/>
      <c r="UCG125" s="953"/>
      <c r="UCH125" s="953"/>
      <c r="UCI125" s="953"/>
      <c r="UCJ125" s="953"/>
      <c r="UCK125" s="953"/>
      <c r="UCL125" s="953"/>
      <c r="UCM125" s="953"/>
      <c r="UCN125" s="953"/>
      <c r="UCO125" s="953"/>
      <c r="UCP125" s="953"/>
      <c r="UCQ125" s="953"/>
      <c r="UCR125" s="953"/>
      <c r="UCS125" s="953"/>
      <c r="UCT125" s="953"/>
      <c r="UCU125" s="953"/>
      <c r="UCV125" s="953"/>
      <c r="UCW125" s="953"/>
      <c r="UCX125" s="953"/>
      <c r="UCY125" s="953"/>
      <c r="UCZ125" s="953"/>
      <c r="UDA125" s="953"/>
      <c r="UDB125" s="953"/>
      <c r="UDC125" s="953"/>
      <c r="UDD125" s="953"/>
      <c r="UDE125" s="953"/>
      <c r="UDF125" s="953"/>
      <c r="UDG125" s="953"/>
      <c r="UDH125" s="953"/>
      <c r="UDI125" s="953"/>
      <c r="UDJ125" s="953"/>
      <c r="UDK125" s="953"/>
      <c r="UDL125" s="953"/>
      <c r="UDM125" s="953"/>
      <c r="UDN125" s="953"/>
      <c r="UDO125" s="953"/>
      <c r="UDP125" s="953"/>
      <c r="UDQ125" s="953"/>
      <c r="UDR125" s="953"/>
      <c r="UDS125" s="953"/>
      <c r="UDT125" s="953"/>
      <c r="UDU125" s="953"/>
      <c r="UDV125" s="953"/>
      <c r="UDW125" s="953"/>
      <c r="UDX125" s="953"/>
      <c r="UDY125" s="953"/>
      <c r="UDZ125" s="953"/>
      <c r="UEA125" s="953"/>
      <c r="UEB125" s="953"/>
      <c r="UEC125" s="953"/>
      <c r="UED125" s="953"/>
      <c r="UEE125" s="953"/>
      <c r="UEF125" s="953"/>
      <c r="UEG125" s="953"/>
      <c r="UEH125" s="953"/>
      <c r="UEI125" s="953"/>
      <c r="UEJ125" s="953"/>
      <c r="UEK125" s="953"/>
      <c r="UEL125" s="953"/>
      <c r="UEM125" s="953"/>
      <c r="UEN125" s="953"/>
      <c r="UEO125" s="953"/>
      <c r="UEP125" s="953"/>
      <c r="UEQ125" s="953"/>
      <c r="UER125" s="953"/>
      <c r="UES125" s="953"/>
      <c r="UET125" s="953"/>
      <c r="UEU125" s="953"/>
      <c r="UEV125" s="953"/>
      <c r="UEW125" s="953"/>
      <c r="UEX125" s="953"/>
      <c r="UEY125" s="953"/>
      <c r="UEZ125" s="953"/>
      <c r="UFA125" s="953"/>
      <c r="UFB125" s="953"/>
      <c r="UFC125" s="953"/>
      <c r="UFD125" s="953"/>
      <c r="UFE125" s="953"/>
      <c r="UFF125" s="953"/>
      <c r="UFG125" s="953"/>
      <c r="UFH125" s="953"/>
      <c r="UFI125" s="953"/>
      <c r="UFJ125" s="953"/>
      <c r="UFK125" s="953"/>
      <c r="UFL125" s="953"/>
      <c r="UFM125" s="953"/>
      <c r="UFN125" s="953"/>
      <c r="UFO125" s="953"/>
      <c r="UFP125" s="953"/>
      <c r="UFQ125" s="953"/>
      <c r="UFR125" s="953"/>
      <c r="UFS125" s="953"/>
      <c r="UFT125" s="953"/>
      <c r="UFU125" s="953"/>
      <c r="UFV125" s="953"/>
      <c r="UFW125" s="953"/>
      <c r="UFX125" s="953"/>
      <c r="UFY125" s="953"/>
      <c r="UFZ125" s="953"/>
      <c r="UGA125" s="953"/>
      <c r="UGB125" s="953"/>
      <c r="UGC125" s="953"/>
      <c r="UGD125" s="953"/>
      <c r="UGE125" s="953"/>
      <c r="UGF125" s="953"/>
      <c r="UGG125" s="953"/>
      <c r="UGH125" s="953"/>
      <c r="UGI125" s="953"/>
      <c r="UGJ125" s="953"/>
      <c r="UGK125" s="953"/>
      <c r="UGL125" s="953"/>
      <c r="UGM125" s="953"/>
      <c r="UGN125" s="953"/>
      <c r="UGO125" s="953"/>
      <c r="UGP125" s="953"/>
      <c r="UGQ125" s="953"/>
      <c r="UGR125" s="953"/>
      <c r="UGS125" s="953"/>
      <c r="UGT125" s="953"/>
      <c r="UGU125" s="953"/>
      <c r="UGV125" s="953"/>
      <c r="UGW125" s="953"/>
      <c r="UGX125" s="953"/>
      <c r="UGY125" s="953"/>
      <c r="UGZ125" s="953"/>
      <c r="UHA125" s="953"/>
      <c r="UHB125" s="953"/>
      <c r="UHC125" s="953"/>
      <c r="UHD125" s="953"/>
      <c r="UHE125" s="953"/>
      <c r="UHF125" s="953"/>
      <c r="UHG125" s="953"/>
      <c r="UHH125" s="953"/>
      <c r="UHI125" s="953"/>
      <c r="UHJ125" s="953"/>
      <c r="UHK125" s="953"/>
      <c r="UHL125" s="953"/>
      <c r="UHM125" s="953"/>
      <c r="UHN125" s="953"/>
      <c r="UHO125" s="953"/>
      <c r="UHP125" s="953"/>
      <c r="UHQ125" s="953"/>
      <c r="UHR125" s="953"/>
      <c r="UHS125" s="953"/>
      <c r="UHT125" s="953"/>
      <c r="UHU125" s="953"/>
      <c r="UHV125" s="953"/>
      <c r="UHW125" s="953"/>
      <c r="UHX125" s="953"/>
      <c r="UHY125" s="953"/>
      <c r="UHZ125" s="953"/>
      <c r="UIA125" s="953"/>
      <c r="UIB125" s="953"/>
      <c r="UIC125" s="953"/>
      <c r="UID125" s="953"/>
      <c r="UIE125" s="953"/>
      <c r="UIF125" s="953"/>
      <c r="UIG125" s="953"/>
      <c r="UIH125" s="953"/>
      <c r="UII125" s="953"/>
      <c r="UIJ125" s="953"/>
      <c r="UIK125" s="953"/>
      <c r="UIL125" s="953"/>
      <c r="UIM125" s="953"/>
      <c r="UIN125" s="953"/>
      <c r="UIO125" s="953"/>
      <c r="UIP125" s="953"/>
      <c r="UIQ125" s="953"/>
      <c r="UIR125" s="953"/>
      <c r="UIS125" s="953"/>
      <c r="UIT125" s="953"/>
      <c r="UIU125" s="953"/>
      <c r="UIV125" s="953"/>
      <c r="UIW125" s="953"/>
      <c r="UIX125" s="953"/>
      <c r="UIY125" s="953"/>
      <c r="UIZ125" s="953"/>
      <c r="UJA125" s="953"/>
      <c r="UJB125" s="953"/>
      <c r="UJC125" s="953"/>
      <c r="UJD125" s="953"/>
      <c r="UJE125" s="953"/>
      <c r="UJF125" s="953"/>
      <c r="UJG125" s="953"/>
      <c r="UJH125" s="953"/>
      <c r="UJI125" s="953"/>
      <c r="UJJ125" s="953"/>
      <c r="UJK125" s="953"/>
      <c r="UJL125" s="953"/>
      <c r="UJM125" s="953"/>
      <c r="UJN125" s="953"/>
      <c r="UJO125" s="953"/>
      <c r="UJP125" s="953"/>
      <c r="UJQ125" s="953"/>
      <c r="UJR125" s="953"/>
      <c r="UJS125" s="953"/>
      <c r="UJT125" s="953"/>
      <c r="UJU125" s="953"/>
      <c r="UJV125" s="953"/>
      <c r="UJW125" s="953"/>
      <c r="UJX125" s="953"/>
      <c r="UJY125" s="953"/>
      <c r="UJZ125" s="953"/>
      <c r="UKA125" s="953"/>
      <c r="UKB125" s="953"/>
      <c r="UKC125" s="953"/>
      <c r="UKD125" s="953"/>
      <c r="UKE125" s="953"/>
      <c r="UKF125" s="953"/>
      <c r="UKG125" s="953"/>
      <c r="UKH125" s="953"/>
      <c r="UKI125" s="953"/>
      <c r="UKJ125" s="953"/>
      <c r="UKK125" s="953"/>
      <c r="UKL125" s="953"/>
      <c r="UKM125" s="953"/>
      <c r="UKN125" s="953"/>
      <c r="UKO125" s="953"/>
      <c r="UKP125" s="953"/>
      <c r="UKQ125" s="953"/>
      <c r="UKR125" s="953"/>
      <c r="UKS125" s="953"/>
      <c r="UKT125" s="953"/>
      <c r="UKU125" s="953"/>
      <c r="UKV125" s="953"/>
      <c r="UKW125" s="953"/>
      <c r="UKX125" s="953"/>
      <c r="UKY125" s="953"/>
      <c r="UKZ125" s="953"/>
      <c r="ULA125" s="953"/>
      <c r="ULB125" s="953"/>
      <c r="ULC125" s="953"/>
      <c r="ULD125" s="953"/>
      <c r="ULE125" s="953"/>
      <c r="ULF125" s="953"/>
      <c r="ULG125" s="953"/>
      <c r="ULH125" s="953"/>
      <c r="ULI125" s="953"/>
      <c r="ULJ125" s="953"/>
      <c r="ULK125" s="953"/>
      <c r="ULL125" s="953"/>
      <c r="ULM125" s="953"/>
      <c r="ULN125" s="953"/>
      <c r="ULO125" s="953"/>
      <c r="ULP125" s="953"/>
      <c r="ULQ125" s="953"/>
      <c r="ULR125" s="953"/>
      <c r="ULS125" s="953"/>
      <c r="ULT125" s="953"/>
      <c r="ULU125" s="953"/>
      <c r="ULV125" s="953"/>
      <c r="ULW125" s="953"/>
      <c r="ULX125" s="953"/>
      <c r="ULY125" s="953"/>
      <c r="ULZ125" s="953"/>
      <c r="UMA125" s="953"/>
      <c r="UMB125" s="953"/>
      <c r="UMC125" s="953"/>
      <c r="UMD125" s="953"/>
      <c r="UME125" s="953"/>
      <c r="UMF125" s="953"/>
      <c r="UMG125" s="953"/>
      <c r="UMH125" s="953"/>
      <c r="UMI125" s="953"/>
      <c r="UMJ125" s="953"/>
      <c r="UMK125" s="953"/>
      <c r="UML125" s="953"/>
      <c r="UMM125" s="953"/>
      <c r="UMN125" s="953"/>
      <c r="UMO125" s="953"/>
      <c r="UMP125" s="953"/>
      <c r="UMQ125" s="953"/>
      <c r="UMR125" s="953"/>
      <c r="UMS125" s="953"/>
      <c r="UMT125" s="953"/>
      <c r="UMU125" s="953"/>
      <c r="UMV125" s="953"/>
      <c r="UMW125" s="953"/>
      <c r="UMX125" s="953"/>
      <c r="UMY125" s="953"/>
      <c r="UMZ125" s="953"/>
      <c r="UNA125" s="953"/>
      <c r="UNB125" s="953"/>
      <c r="UNC125" s="953"/>
      <c r="UND125" s="953"/>
      <c r="UNE125" s="953"/>
      <c r="UNF125" s="953"/>
      <c r="UNG125" s="953"/>
      <c r="UNH125" s="953"/>
      <c r="UNI125" s="953"/>
      <c r="UNJ125" s="953"/>
      <c r="UNK125" s="953"/>
      <c r="UNL125" s="953"/>
      <c r="UNM125" s="953"/>
      <c r="UNN125" s="953"/>
      <c r="UNO125" s="953"/>
      <c r="UNP125" s="953"/>
      <c r="UNQ125" s="953"/>
      <c r="UNR125" s="953"/>
      <c r="UNS125" s="953"/>
      <c r="UNT125" s="953"/>
      <c r="UNU125" s="953"/>
      <c r="UNV125" s="953"/>
      <c r="UNW125" s="953"/>
      <c r="UNX125" s="953"/>
      <c r="UNY125" s="953"/>
      <c r="UNZ125" s="953"/>
      <c r="UOA125" s="953"/>
      <c r="UOB125" s="953"/>
      <c r="UOC125" s="953"/>
      <c r="UOD125" s="953"/>
      <c r="UOE125" s="953"/>
      <c r="UOF125" s="953"/>
      <c r="UOG125" s="953"/>
      <c r="UOH125" s="953"/>
      <c r="UOI125" s="953"/>
      <c r="UOJ125" s="953"/>
      <c r="UOK125" s="953"/>
      <c r="UOL125" s="953"/>
      <c r="UOM125" s="953"/>
      <c r="UON125" s="953"/>
      <c r="UOO125" s="953"/>
      <c r="UOP125" s="953"/>
      <c r="UOQ125" s="953"/>
      <c r="UOR125" s="953"/>
      <c r="UOS125" s="953"/>
      <c r="UOT125" s="953"/>
      <c r="UOU125" s="953"/>
      <c r="UOV125" s="953"/>
      <c r="UOW125" s="953"/>
      <c r="UOX125" s="953"/>
      <c r="UOY125" s="953"/>
      <c r="UOZ125" s="953"/>
      <c r="UPA125" s="953"/>
      <c r="UPB125" s="953"/>
      <c r="UPC125" s="953"/>
      <c r="UPD125" s="953"/>
      <c r="UPE125" s="953"/>
      <c r="UPF125" s="953"/>
      <c r="UPG125" s="953"/>
      <c r="UPH125" s="953"/>
      <c r="UPI125" s="953"/>
      <c r="UPJ125" s="953"/>
      <c r="UPK125" s="953"/>
      <c r="UPL125" s="953"/>
      <c r="UPM125" s="953"/>
      <c r="UPN125" s="953"/>
      <c r="UPO125" s="953"/>
      <c r="UPP125" s="953"/>
      <c r="UPQ125" s="953"/>
      <c r="UPR125" s="953"/>
      <c r="UPS125" s="953"/>
      <c r="UPT125" s="953"/>
      <c r="UPU125" s="953"/>
      <c r="UPV125" s="953"/>
      <c r="UPW125" s="953"/>
      <c r="UPX125" s="953"/>
      <c r="UPY125" s="953"/>
      <c r="UPZ125" s="953"/>
      <c r="UQA125" s="953"/>
      <c r="UQB125" s="953"/>
      <c r="UQC125" s="953"/>
      <c r="UQD125" s="953"/>
      <c r="UQE125" s="953"/>
      <c r="UQF125" s="953"/>
      <c r="UQG125" s="953"/>
      <c r="UQH125" s="953"/>
      <c r="UQI125" s="953"/>
      <c r="UQJ125" s="953"/>
      <c r="UQK125" s="953"/>
      <c r="UQL125" s="953"/>
      <c r="UQM125" s="953"/>
      <c r="UQN125" s="953"/>
      <c r="UQO125" s="953"/>
      <c r="UQP125" s="953"/>
      <c r="UQQ125" s="953"/>
      <c r="UQR125" s="953"/>
      <c r="UQS125" s="953"/>
      <c r="UQT125" s="953"/>
      <c r="UQU125" s="953"/>
      <c r="UQV125" s="953"/>
      <c r="UQW125" s="953"/>
      <c r="UQX125" s="953"/>
      <c r="UQY125" s="953"/>
      <c r="UQZ125" s="953"/>
      <c r="URA125" s="953"/>
      <c r="URB125" s="953"/>
      <c r="URC125" s="953"/>
      <c r="URD125" s="953"/>
      <c r="URE125" s="953"/>
      <c r="URF125" s="953"/>
      <c r="URG125" s="953"/>
      <c r="URH125" s="953"/>
      <c r="URI125" s="953"/>
      <c r="URJ125" s="953"/>
      <c r="URK125" s="953"/>
      <c r="URL125" s="953"/>
      <c r="URM125" s="953"/>
      <c r="URN125" s="953"/>
      <c r="URO125" s="953"/>
      <c r="URP125" s="953"/>
      <c r="URQ125" s="953"/>
      <c r="URR125" s="953"/>
      <c r="URS125" s="953"/>
      <c r="URT125" s="953"/>
      <c r="URU125" s="953"/>
      <c r="URV125" s="953"/>
      <c r="URW125" s="953"/>
      <c r="URX125" s="953"/>
      <c r="URY125" s="953"/>
      <c r="URZ125" s="953"/>
      <c r="USA125" s="953"/>
      <c r="USB125" s="953"/>
      <c r="USC125" s="953"/>
      <c r="USD125" s="953"/>
      <c r="USE125" s="953"/>
      <c r="USF125" s="953"/>
      <c r="USG125" s="953"/>
      <c r="USH125" s="953"/>
      <c r="USI125" s="953"/>
      <c r="USJ125" s="953"/>
      <c r="USK125" s="953"/>
      <c r="USL125" s="953"/>
      <c r="USM125" s="953"/>
      <c r="USN125" s="953"/>
      <c r="USO125" s="953"/>
      <c r="USP125" s="953"/>
      <c r="USQ125" s="953"/>
      <c r="USR125" s="953"/>
      <c r="USS125" s="953"/>
      <c r="UST125" s="953"/>
      <c r="USU125" s="953"/>
      <c r="USV125" s="953"/>
      <c r="USW125" s="953"/>
      <c r="USX125" s="953"/>
      <c r="USY125" s="953"/>
      <c r="USZ125" s="953"/>
      <c r="UTA125" s="953"/>
      <c r="UTB125" s="953"/>
      <c r="UTC125" s="953"/>
      <c r="UTD125" s="953"/>
      <c r="UTE125" s="953"/>
      <c r="UTF125" s="953"/>
      <c r="UTG125" s="953"/>
      <c r="UTH125" s="953"/>
      <c r="UTI125" s="953"/>
      <c r="UTJ125" s="953"/>
      <c r="UTK125" s="953"/>
      <c r="UTL125" s="953"/>
      <c r="UTM125" s="953"/>
      <c r="UTN125" s="953"/>
      <c r="UTO125" s="953"/>
      <c r="UTP125" s="953"/>
      <c r="UTQ125" s="953"/>
      <c r="UTR125" s="953"/>
      <c r="UTS125" s="953"/>
      <c r="UTT125" s="953"/>
      <c r="UTU125" s="953"/>
      <c r="UTV125" s="953"/>
      <c r="UTW125" s="953"/>
      <c r="UTX125" s="953"/>
      <c r="UTY125" s="953"/>
      <c r="UTZ125" s="953"/>
      <c r="UUA125" s="953"/>
      <c r="UUB125" s="953"/>
      <c r="UUC125" s="953"/>
      <c r="UUD125" s="953"/>
      <c r="UUE125" s="953"/>
      <c r="UUF125" s="953"/>
      <c r="UUG125" s="953"/>
      <c r="UUH125" s="953"/>
      <c r="UUI125" s="953"/>
      <c r="UUJ125" s="953"/>
      <c r="UUK125" s="953"/>
      <c r="UUL125" s="953"/>
      <c r="UUM125" s="953"/>
      <c r="UUN125" s="953"/>
      <c r="UUO125" s="953"/>
      <c r="UUP125" s="953"/>
      <c r="UUQ125" s="953"/>
      <c r="UUR125" s="953"/>
      <c r="UUS125" s="953"/>
      <c r="UUT125" s="953"/>
      <c r="UUU125" s="953"/>
      <c r="UUV125" s="953"/>
      <c r="UUW125" s="953"/>
      <c r="UUX125" s="953"/>
      <c r="UUY125" s="953"/>
      <c r="UUZ125" s="953"/>
      <c r="UVA125" s="953"/>
      <c r="UVB125" s="953"/>
      <c r="UVC125" s="953"/>
      <c r="UVD125" s="953"/>
      <c r="UVE125" s="953"/>
      <c r="UVF125" s="953"/>
      <c r="UVG125" s="953"/>
      <c r="UVH125" s="953"/>
      <c r="UVI125" s="953"/>
      <c r="UVJ125" s="953"/>
      <c r="UVK125" s="953"/>
      <c r="UVL125" s="953"/>
      <c r="UVM125" s="953"/>
      <c r="UVN125" s="953"/>
      <c r="UVO125" s="953"/>
      <c r="UVP125" s="953"/>
      <c r="UVQ125" s="953"/>
      <c r="UVR125" s="953"/>
      <c r="UVS125" s="953"/>
      <c r="UVT125" s="953"/>
      <c r="UVU125" s="953"/>
      <c r="UVV125" s="953"/>
      <c r="UVW125" s="953"/>
      <c r="UVX125" s="953"/>
      <c r="UVY125" s="953"/>
      <c r="UVZ125" s="953"/>
      <c r="UWA125" s="953"/>
      <c r="UWB125" s="953"/>
      <c r="UWC125" s="953"/>
      <c r="UWD125" s="953"/>
      <c r="UWE125" s="953"/>
      <c r="UWF125" s="953"/>
      <c r="UWG125" s="953"/>
      <c r="UWH125" s="953"/>
      <c r="UWI125" s="953"/>
      <c r="UWJ125" s="953"/>
      <c r="UWK125" s="953"/>
      <c r="UWL125" s="953"/>
      <c r="UWM125" s="953"/>
      <c r="UWN125" s="953"/>
      <c r="UWO125" s="953"/>
      <c r="UWP125" s="953"/>
      <c r="UWQ125" s="953"/>
      <c r="UWR125" s="953"/>
      <c r="UWS125" s="953"/>
      <c r="UWT125" s="953"/>
      <c r="UWU125" s="953"/>
      <c r="UWV125" s="953"/>
      <c r="UWW125" s="953"/>
      <c r="UWX125" s="953"/>
      <c r="UWY125" s="953"/>
      <c r="UWZ125" s="953"/>
      <c r="UXA125" s="953"/>
      <c r="UXB125" s="953"/>
      <c r="UXC125" s="953"/>
      <c r="UXD125" s="953"/>
      <c r="UXE125" s="953"/>
      <c r="UXF125" s="953"/>
      <c r="UXG125" s="953"/>
      <c r="UXH125" s="953"/>
      <c r="UXI125" s="953"/>
      <c r="UXJ125" s="953"/>
      <c r="UXK125" s="953"/>
      <c r="UXL125" s="953"/>
      <c r="UXM125" s="953"/>
      <c r="UXN125" s="953"/>
      <c r="UXO125" s="953"/>
      <c r="UXP125" s="953"/>
      <c r="UXQ125" s="953"/>
      <c r="UXR125" s="953"/>
      <c r="UXS125" s="953"/>
      <c r="UXT125" s="953"/>
      <c r="UXU125" s="953"/>
      <c r="UXV125" s="953"/>
      <c r="UXW125" s="953"/>
      <c r="UXX125" s="953"/>
      <c r="UXY125" s="953"/>
      <c r="UXZ125" s="953"/>
      <c r="UYA125" s="953"/>
      <c r="UYB125" s="953"/>
      <c r="UYC125" s="953"/>
      <c r="UYD125" s="953"/>
      <c r="UYE125" s="953"/>
      <c r="UYF125" s="953"/>
      <c r="UYG125" s="953"/>
      <c r="UYH125" s="953"/>
      <c r="UYI125" s="953"/>
      <c r="UYJ125" s="953"/>
      <c r="UYK125" s="953"/>
      <c r="UYL125" s="953"/>
      <c r="UYM125" s="953"/>
      <c r="UYN125" s="953"/>
      <c r="UYO125" s="953"/>
      <c r="UYP125" s="953"/>
      <c r="UYQ125" s="953"/>
      <c r="UYR125" s="953"/>
      <c r="UYS125" s="953"/>
      <c r="UYT125" s="953"/>
      <c r="UYU125" s="953"/>
      <c r="UYV125" s="953"/>
      <c r="UYW125" s="953"/>
      <c r="UYX125" s="953"/>
      <c r="UYY125" s="953"/>
      <c r="UYZ125" s="953"/>
      <c r="UZA125" s="953"/>
      <c r="UZB125" s="953"/>
      <c r="UZC125" s="953"/>
      <c r="UZD125" s="953"/>
      <c r="UZE125" s="953"/>
      <c r="UZF125" s="953"/>
      <c r="UZG125" s="953"/>
      <c r="UZH125" s="953"/>
      <c r="UZI125" s="953"/>
      <c r="UZJ125" s="953"/>
      <c r="UZK125" s="953"/>
      <c r="UZL125" s="953"/>
      <c r="UZM125" s="953"/>
      <c r="UZN125" s="953"/>
      <c r="UZO125" s="953"/>
      <c r="UZP125" s="953"/>
      <c r="UZQ125" s="953"/>
      <c r="UZR125" s="953"/>
      <c r="UZS125" s="953"/>
      <c r="UZT125" s="953"/>
      <c r="UZU125" s="953"/>
      <c r="UZV125" s="953"/>
      <c r="UZW125" s="953"/>
      <c r="UZX125" s="953"/>
      <c r="UZY125" s="953"/>
      <c r="UZZ125" s="953"/>
      <c r="VAA125" s="953"/>
      <c r="VAB125" s="953"/>
      <c r="VAC125" s="953"/>
      <c r="VAD125" s="953"/>
      <c r="VAE125" s="953"/>
      <c r="VAF125" s="953"/>
      <c r="VAG125" s="953"/>
      <c r="VAH125" s="953"/>
      <c r="VAI125" s="953"/>
      <c r="VAJ125" s="953"/>
      <c r="VAK125" s="953"/>
      <c r="VAL125" s="953"/>
      <c r="VAM125" s="953"/>
      <c r="VAN125" s="953"/>
      <c r="VAO125" s="953"/>
      <c r="VAP125" s="953"/>
      <c r="VAQ125" s="953"/>
      <c r="VAR125" s="953"/>
      <c r="VAS125" s="953"/>
      <c r="VAT125" s="953"/>
      <c r="VAU125" s="953"/>
      <c r="VAV125" s="953"/>
      <c r="VAW125" s="953"/>
      <c r="VAX125" s="953"/>
      <c r="VAY125" s="953"/>
      <c r="VAZ125" s="953"/>
      <c r="VBA125" s="953"/>
      <c r="VBB125" s="953"/>
      <c r="VBC125" s="953"/>
      <c r="VBD125" s="953"/>
      <c r="VBE125" s="953"/>
      <c r="VBF125" s="953"/>
      <c r="VBG125" s="953"/>
      <c r="VBH125" s="953"/>
      <c r="VBI125" s="953"/>
      <c r="VBJ125" s="953"/>
      <c r="VBK125" s="953"/>
      <c r="VBL125" s="953"/>
      <c r="VBM125" s="953"/>
      <c r="VBN125" s="953"/>
      <c r="VBO125" s="953"/>
      <c r="VBP125" s="953"/>
      <c r="VBQ125" s="953"/>
      <c r="VBR125" s="953"/>
      <c r="VBS125" s="953"/>
      <c r="VBT125" s="953"/>
      <c r="VBU125" s="953"/>
      <c r="VBV125" s="953"/>
      <c r="VBW125" s="953"/>
      <c r="VBX125" s="953"/>
      <c r="VBY125" s="953"/>
      <c r="VBZ125" s="953"/>
      <c r="VCA125" s="953"/>
      <c r="VCB125" s="953"/>
      <c r="VCC125" s="953"/>
      <c r="VCD125" s="953"/>
      <c r="VCE125" s="953"/>
      <c r="VCF125" s="953"/>
      <c r="VCG125" s="953"/>
      <c r="VCH125" s="953"/>
      <c r="VCI125" s="953"/>
      <c r="VCJ125" s="953"/>
      <c r="VCK125" s="953"/>
      <c r="VCL125" s="953"/>
      <c r="VCM125" s="953"/>
      <c r="VCN125" s="953"/>
      <c r="VCO125" s="953"/>
      <c r="VCP125" s="953"/>
      <c r="VCQ125" s="953"/>
      <c r="VCR125" s="953"/>
      <c r="VCS125" s="953"/>
      <c r="VCT125" s="953"/>
      <c r="VCU125" s="953"/>
      <c r="VCV125" s="953"/>
      <c r="VCW125" s="953"/>
      <c r="VCX125" s="953"/>
      <c r="VCY125" s="953"/>
      <c r="VCZ125" s="953"/>
      <c r="VDA125" s="953"/>
      <c r="VDB125" s="953"/>
      <c r="VDC125" s="953"/>
      <c r="VDD125" s="953"/>
      <c r="VDE125" s="953"/>
      <c r="VDF125" s="953"/>
      <c r="VDG125" s="953"/>
      <c r="VDH125" s="953"/>
      <c r="VDI125" s="953"/>
      <c r="VDJ125" s="953"/>
      <c r="VDK125" s="953"/>
      <c r="VDL125" s="953"/>
      <c r="VDM125" s="953"/>
      <c r="VDN125" s="953"/>
      <c r="VDO125" s="953"/>
      <c r="VDP125" s="953"/>
      <c r="VDQ125" s="953"/>
      <c r="VDR125" s="953"/>
      <c r="VDS125" s="953"/>
      <c r="VDT125" s="953"/>
      <c r="VDU125" s="953"/>
      <c r="VDV125" s="953"/>
      <c r="VDW125" s="953"/>
      <c r="VDX125" s="953"/>
      <c r="VDY125" s="953"/>
      <c r="VDZ125" s="953"/>
      <c r="VEA125" s="953"/>
      <c r="VEB125" s="953"/>
      <c r="VEC125" s="953"/>
      <c r="VED125" s="953"/>
      <c r="VEE125" s="953"/>
      <c r="VEF125" s="953"/>
      <c r="VEG125" s="953"/>
      <c r="VEH125" s="953"/>
      <c r="VEI125" s="953"/>
      <c r="VEJ125" s="953"/>
      <c r="VEK125" s="953"/>
      <c r="VEL125" s="953"/>
      <c r="VEM125" s="953"/>
      <c r="VEN125" s="953"/>
      <c r="VEO125" s="953"/>
      <c r="VEP125" s="953"/>
      <c r="VEQ125" s="953"/>
      <c r="VER125" s="953"/>
      <c r="VES125" s="953"/>
      <c r="VET125" s="953"/>
      <c r="VEU125" s="953"/>
      <c r="VEV125" s="953"/>
      <c r="VEW125" s="953"/>
      <c r="VEX125" s="953"/>
      <c r="VEY125" s="953"/>
      <c r="VEZ125" s="953"/>
      <c r="VFA125" s="953"/>
      <c r="VFB125" s="953"/>
      <c r="VFC125" s="953"/>
      <c r="VFD125" s="953"/>
      <c r="VFE125" s="953"/>
      <c r="VFF125" s="953"/>
      <c r="VFG125" s="953"/>
      <c r="VFH125" s="953"/>
      <c r="VFI125" s="953"/>
      <c r="VFJ125" s="953"/>
      <c r="VFK125" s="953"/>
      <c r="VFL125" s="953"/>
      <c r="VFM125" s="953"/>
      <c r="VFN125" s="953"/>
      <c r="VFO125" s="953"/>
      <c r="VFP125" s="953"/>
      <c r="VFQ125" s="953"/>
      <c r="VFR125" s="953"/>
      <c r="VFS125" s="953"/>
      <c r="VFT125" s="953"/>
      <c r="VFU125" s="953"/>
      <c r="VFV125" s="953"/>
      <c r="VFW125" s="953"/>
      <c r="VFX125" s="953"/>
      <c r="VFY125" s="953"/>
      <c r="VFZ125" s="953"/>
      <c r="VGA125" s="953"/>
      <c r="VGB125" s="953"/>
      <c r="VGC125" s="953"/>
      <c r="VGD125" s="953"/>
      <c r="VGE125" s="953"/>
      <c r="VGF125" s="953"/>
      <c r="VGG125" s="953"/>
      <c r="VGH125" s="953"/>
      <c r="VGI125" s="953"/>
      <c r="VGJ125" s="953"/>
      <c r="VGK125" s="953"/>
      <c r="VGL125" s="953"/>
      <c r="VGM125" s="953"/>
      <c r="VGN125" s="953"/>
      <c r="VGO125" s="953"/>
      <c r="VGP125" s="953"/>
      <c r="VGQ125" s="953"/>
      <c r="VGR125" s="953"/>
      <c r="VGS125" s="953"/>
      <c r="VGT125" s="953"/>
      <c r="VGU125" s="953"/>
      <c r="VGV125" s="953"/>
      <c r="VGW125" s="953"/>
      <c r="VGX125" s="953"/>
      <c r="VGY125" s="953"/>
      <c r="VGZ125" s="953"/>
      <c r="VHA125" s="953"/>
      <c r="VHB125" s="953"/>
      <c r="VHC125" s="953"/>
      <c r="VHD125" s="953"/>
      <c r="VHE125" s="953"/>
      <c r="VHF125" s="953"/>
      <c r="VHG125" s="953"/>
      <c r="VHH125" s="953"/>
      <c r="VHI125" s="953"/>
      <c r="VHJ125" s="953"/>
      <c r="VHK125" s="953"/>
      <c r="VHL125" s="953"/>
      <c r="VHM125" s="953"/>
      <c r="VHN125" s="953"/>
      <c r="VHO125" s="953"/>
      <c r="VHP125" s="953"/>
      <c r="VHQ125" s="953"/>
      <c r="VHR125" s="953"/>
      <c r="VHS125" s="953"/>
      <c r="VHT125" s="953"/>
      <c r="VHU125" s="953"/>
      <c r="VHV125" s="953"/>
      <c r="VHW125" s="953"/>
      <c r="VHX125" s="953"/>
      <c r="VHY125" s="953"/>
      <c r="VHZ125" s="953"/>
      <c r="VIA125" s="953"/>
      <c r="VIB125" s="953"/>
      <c r="VIC125" s="953"/>
      <c r="VID125" s="953"/>
      <c r="VIE125" s="953"/>
      <c r="VIF125" s="953"/>
      <c r="VIG125" s="953"/>
      <c r="VIH125" s="953"/>
      <c r="VII125" s="953"/>
      <c r="VIJ125" s="953"/>
      <c r="VIK125" s="953"/>
      <c r="VIL125" s="953"/>
      <c r="VIM125" s="953"/>
      <c r="VIN125" s="953"/>
      <c r="VIO125" s="953"/>
      <c r="VIP125" s="953"/>
      <c r="VIQ125" s="953"/>
      <c r="VIR125" s="953"/>
      <c r="VIS125" s="953"/>
      <c r="VIT125" s="953"/>
      <c r="VIU125" s="953"/>
      <c r="VIV125" s="953"/>
      <c r="VIW125" s="953"/>
      <c r="VIX125" s="953"/>
      <c r="VIY125" s="953"/>
      <c r="VIZ125" s="953"/>
      <c r="VJA125" s="953"/>
      <c r="VJB125" s="953"/>
      <c r="VJC125" s="953"/>
      <c r="VJD125" s="953"/>
      <c r="VJE125" s="953"/>
      <c r="VJF125" s="953"/>
      <c r="VJG125" s="953"/>
      <c r="VJH125" s="953"/>
      <c r="VJI125" s="953"/>
      <c r="VJJ125" s="953"/>
      <c r="VJK125" s="953"/>
      <c r="VJL125" s="953"/>
      <c r="VJM125" s="953"/>
      <c r="VJN125" s="953"/>
      <c r="VJO125" s="953"/>
      <c r="VJP125" s="953"/>
      <c r="VJQ125" s="953"/>
      <c r="VJR125" s="953"/>
      <c r="VJS125" s="953"/>
      <c r="VJT125" s="953"/>
      <c r="VJU125" s="953"/>
      <c r="VJV125" s="953"/>
      <c r="VJW125" s="953"/>
      <c r="VJX125" s="953"/>
      <c r="VJY125" s="953"/>
      <c r="VJZ125" s="953"/>
      <c r="VKA125" s="953"/>
      <c r="VKB125" s="953"/>
      <c r="VKC125" s="953"/>
      <c r="VKD125" s="953"/>
      <c r="VKE125" s="953"/>
      <c r="VKF125" s="953"/>
      <c r="VKG125" s="953"/>
      <c r="VKH125" s="953"/>
      <c r="VKI125" s="953"/>
      <c r="VKJ125" s="953"/>
      <c r="VKK125" s="953"/>
      <c r="VKL125" s="953"/>
      <c r="VKM125" s="953"/>
      <c r="VKN125" s="953"/>
      <c r="VKO125" s="953"/>
      <c r="VKP125" s="953"/>
      <c r="VKQ125" s="953"/>
      <c r="VKR125" s="953"/>
      <c r="VKS125" s="953"/>
      <c r="VKT125" s="953"/>
      <c r="VKU125" s="953"/>
      <c r="VKV125" s="953"/>
      <c r="VKW125" s="953"/>
      <c r="VKX125" s="953"/>
      <c r="VKY125" s="953"/>
      <c r="VKZ125" s="953"/>
      <c r="VLA125" s="953"/>
      <c r="VLB125" s="953"/>
      <c r="VLC125" s="953"/>
      <c r="VLD125" s="953"/>
      <c r="VLE125" s="953"/>
      <c r="VLF125" s="953"/>
      <c r="VLG125" s="953"/>
      <c r="VLH125" s="953"/>
      <c r="VLI125" s="953"/>
      <c r="VLJ125" s="953"/>
      <c r="VLK125" s="953"/>
      <c r="VLL125" s="953"/>
      <c r="VLM125" s="953"/>
      <c r="VLN125" s="953"/>
      <c r="VLO125" s="953"/>
      <c r="VLP125" s="953"/>
      <c r="VLQ125" s="953"/>
      <c r="VLR125" s="953"/>
      <c r="VLS125" s="953"/>
      <c r="VLT125" s="953"/>
      <c r="VLU125" s="953"/>
      <c r="VLV125" s="953"/>
      <c r="VLW125" s="953"/>
      <c r="VLX125" s="953"/>
      <c r="VLY125" s="953"/>
      <c r="VLZ125" s="953"/>
      <c r="VMA125" s="953"/>
      <c r="VMB125" s="953"/>
      <c r="VMC125" s="953"/>
      <c r="VMD125" s="953"/>
      <c r="VME125" s="953"/>
      <c r="VMF125" s="953"/>
      <c r="VMG125" s="953"/>
      <c r="VMH125" s="953"/>
      <c r="VMI125" s="953"/>
      <c r="VMJ125" s="953"/>
      <c r="VMK125" s="953"/>
      <c r="VML125" s="953"/>
      <c r="VMM125" s="953"/>
      <c r="VMN125" s="953"/>
      <c r="VMO125" s="953"/>
      <c r="VMP125" s="953"/>
      <c r="VMQ125" s="953"/>
      <c r="VMR125" s="953"/>
      <c r="VMS125" s="953"/>
      <c r="VMT125" s="953"/>
      <c r="VMU125" s="953"/>
      <c r="VMV125" s="953"/>
      <c r="VMW125" s="953"/>
      <c r="VMX125" s="953"/>
      <c r="VMY125" s="953"/>
      <c r="VMZ125" s="953"/>
      <c r="VNA125" s="953"/>
      <c r="VNB125" s="953"/>
      <c r="VNC125" s="953"/>
      <c r="VND125" s="953"/>
      <c r="VNE125" s="953"/>
      <c r="VNF125" s="953"/>
      <c r="VNG125" s="953"/>
      <c r="VNH125" s="953"/>
      <c r="VNI125" s="953"/>
      <c r="VNJ125" s="953"/>
      <c r="VNK125" s="953"/>
      <c r="VNL125" s="953"/>
      <c r="VNM125" s="953"/>
      <c r="VNN125" s="953"/>
      <c r="VNO125" s="953"/>
      <c r="VNP125" s="953"/>
      <c r="VNQ125" s="953"/>
      <c r="VNR125" s="953"/>
      <c r="VNS125" s="953"/>
      <c r="VNT125" s="953"/>
      <c r="VNU125" s="953"/>
      <c r="VNV125" s="953"/>
      <c r="VNW125" s="953"/>
      <c r="VNX125" s="953"/>
      <c r="VNY125" s="953"/>
      <c r="VNZ125" s="953"/>
      <c r="VOA125" s="953"/>
      <c r="VOB125" s="953"/>
      <c r="VOC125" s="953"/>
      <c r="VOD125" s="953"/>
      <c r="VOE125" s="953"/>
      <c r="VOF125" s="953"/>
      <c r="VOG125" s="953"/>
      <c r="VOH125" s="953"/>
      <c r="VOI125" s="953"/>
      <c r="VOJ125" s="953"/>
      <c r="VOK125" s="953"/>
      <c r="VOL125" s="953"/>
      <c r="VOM125" s="953"/>
      <c r="VON125" s="953"/>
      <c r="VOO125" s="953"/>
      <c r="VOP125" s="953"/>
      <c r="VOQ125" s="953"/>
      <c r="VOR125" s="953"/>
      <c r="VOS125" s="953"/>
      <c r="VOT125" s="953"/>
      <c r="VOU125" s="953"/>
      <c r="VOV125" s="953"/>
      <c r="VOW125" s="953"/>
      <c r="VOX125" s="953"/>
      <c r="VOY125" s="953"/>
      <c r="VOZ125" s="953"/>
      <c r="VPA125" s="953"/>
      <c r="VPB125" s="953"/>
      <c r="VPC125" s="953"/>
      <c r="VPD125" s="953"/>
      <c r="VPE125" s="953"/>
      <c r="VPF125" s="953"/>
      <c r="VPG125" s="953"/>
      <c r="VPH125" s="953"/>
      <c r="VPI125" s="953"/>
      <c r="VPJ125" s="953"/>
      <c r="VPK125" s="953"/>
      <c r="VPL125" s="953"/>
      <c r="VPM125" s="953"/>
      <c r="VPN125" s="953"/>
      <c r="VPO125" s="953"/>
      <c r="VPP125" s="953"/>
      <c r="VPQ125" s="953"/>
      <c r="VPR125" s="953"/>
      <c r="VPS125" s="953"/>
      <c r="VPT125" s="953"/>
      <c r="VPU125" s="953"/>
      <c r="VPV125" s="953"/>
      <c r="VPW125" s="953"/>
      <c r="VPX125" s="953"/>
      <c r="VPY125" s="953"/>
      <c r="VPZ125" s="953"/>
      <c r="VQA125" s="953"/>
      <c r="VQB125" s="953"/>
      <c r="VQC125" s="953"/>
      <c r="VQD125" s="953"/>
      <c r="VQE125" s="953"/>
      <c r="VQF125" s="953"/>
      <c r="VQG125" s="953"/>
      <c r="VQH125" s="953"/>
      <c r="VQI125" s="953"/>
      <c r="VQJ125" s="953"/>
      <c r="VQK125" s="953"/>
      <c r="VQL125" s="953"/>
      <c r="VQM125" s="953"/>
      <c r="VQN125" s="953"/>
      <c r="VQO125" s="953"/>
      <c r="VQP125" s="953"/>
      <c r="VQQ125" s="953"/>
      <c r="VQR125" s="953"/>
      <c r="VQS125" s="953"/>
      <c r="VQT125" s="953"/>
      <c r="VQU125" s="953"/>
      <c r="VQV125" s="953"/>
      <c r="VQW125" s="953"/>
      <c r="VQX125" s="953"/>
      <c r="VQY125" s="953"/>
      <c r="VQZ125" s="953"/>
      <c r="VRA125" s="953"/>
      <c r="VRB125" s="953"/>
      <c r="VRC125" s="953"/>
      <c r="VRD125" s="953"/>
      <c r="VRE125" s="953"/>
      <c r="VRF125" s="953"/>
      <c r="VRG125" s="953"/>
      <c r="VRH125" s="953"/>
      <c r="VRI125" s="953"/>
      <c r="VRJ125" s="953"/>
      <c r="VRK125" s="953"/>
      <c r="VRL125" s="953"/>
      <c r="VRM125" s="953"/>
      <c r="VRN125" s="953"/>
      <c r="VRO125" s="953"/>
      <c r="VRP125" s="953"/>
      <c r="VRQ125" s="953"/>
      <c r="VRR125" s="953"/>
      <c r="VRS125" s="953"/>
      <c r="VRT125" s="953"/>
      <c r="VRU125" s="953"/>
      <c r="VRV125" s="953"/>
      <c r="VRW125" s="953"/>
      <c r="VRX125" s="953"/>
      <c r="VRY125" s="953"/>
      <c r="VRZ125" s="953"/>
      <c r="VSA125" s="953"/>
      <c r="VSB125" s="953"/>
      <c r="VSC125" s="953"/>
      <c r="VSD125" s="953"/>
      <c r="VSE125" s="953"/>
      <c r="VSF125" s="953"/>
      <c r="VSG125" s="953"/>
      <c r="VSH125" s="953"/>
      <c r="VSI125" s="953"/>
      <c r="VSJ125" s="953"/>
      <c r="VSK125" s="953"/>
      <c r="VSL125" s="953"/>
      <c r="VSM125" s="953"/>
      <c r="VSN125" s="953"/>
      <c r="VSO125" s="953"/>
      <c r="VSP125" s="953"/>
      <c r="VSQ125" s="953"/>
      <c r="VSR125" s="953"/>
      <c r="VSS125" s="953"/>
      <c r="VST125" s="953"/>
      <c r="VSU125" s="953"/>
      <c r="VSV125" s="953"/>
      <c r="VSW125" s="953"/>
      <c r="VSX125" s="953"/>
      <c r="VSY125" s="953"/>
      <c r="VSZ125" s="953"/>
      <c r="VTA125" s="953"/>
      <c r="VTB125" s="953"/>
      <c r="VTC125" s="953"/>
      <c r="VTD125" s="953"/>
      <c r="VTE125" s="953"/>
      <c r="VTF125" s="953"/>
      <c r="VTG125" s="953"/>
      <c r="VTH125" s="953"/>
      <c r="VTI125" s="953"/>
      <c r="VTJ125" s="953"/>
      <c r="VTK125" s="953"/>
      <c r="VTL125" s="953"/>
      <c r="VTM125" s="953"/>
      <c r="VTN125" s="953"/>
      <c r="VTO125" s="953"/>
      <c r="VTP125" s="953"/>
      <c r="VTQ125" s="953"/>
      <c r="VTR125" s="953"/>
      <c r="VTS125" s="953"/>
      <c r="VTT125" s="953"/>
      <c r="VTU125" s="953"/>
      <c r="VTV125" s="953"/>
      <c r="VTW125" s="953"/>
      <c r="VTX125" s="953"/>
      <c r="VTY125" s="953"/>
      <c r="VTZ125" s="953"/>
      <c r="VUA125" s="953"/>
      <c r="VUB125" s="953"/>
      <c r="VUC125" s="953"/>
      <c r="VUD125" s="953"/>
      <c r="VUE125" s="953"/>
      <c r="VUF125" s="953"/>
      <c r="VUG125" s="953"/>
      <c r="VUH125" s="953"/>
      <c r="VUI125" s="953"/>
      <c r="VUJ125" s="953"/>
      <c r="VUK125" s="953"/>
      <c r="VUL125" s="953"/>
      <c r="VUM125" s="953"/>
      <c r="VUN125" s="953"/>
      <c r="VUO125" s="953"/>
      <c r="VUP125" s="953"/>
      <c r="VUQ125" s="953"/>
      <c r="VUR125" s="953"/>
      <c r="VUS125" s="953"/>
      <c r="VUT125" s="953"/>
      <c r="VUU125" s="953"/>
      <c r="VUV125" s="953"/>
      <c r="VUW125" s="953"/>
      <c r="VUX125" s="953"/>
      <c r="VUY125" s="953"/>
      <c r="VUZ125" s="953"/>
      <c r="VVA125" s="953"/>
      <c r="VVB125" s="953"/>
      <c r="VVC125" s="953"/>
      <c r="VVD125" s="953"/>
      <c r="VVE125" s="953"/>
      <c r="VVF125" s="953"/>
      <c r="VVG125" s="953"/>
      <c r="VVH125" s="953"/>
      <c r="VVI125" s="953"/>
      <c r="VVJ125" s="953"/>
      <c r="VVK125" s="953"/>
      <c r="VVL125" s="953"/>
      <c r="VVM125" s="953"/>
      <c r="VVN125" s="953"/>
      <c r="VVO125" s="953"/>
      <c r="VVP125" s="953"/>
      <c r="VVQ125" s="953"/>
      <c r="VVR125" s="953"/>
      <c r="VVS125" s="953"/>
      <c r="VVT125" s="953"/>
      <c r="VVU125" s="953"/>
      <c r="VVV125" s="953"/>
      <c r="VVW125" s="953"/>
      <c r="VVX125" s="953"/>
      <c r="VVY125" s="953"/>
      <c r="VVZ125" s="953"/>
      <c r="VWA125" s="953"/>
      <c r="VWB125" s="953"/>
      <c r="VWC125" s="953"/>
      <c r="VWD125" s="953"/>
      <c r="VWE125" s="953"/>
      <c r="VWF125" s="953"/>
      <c r="VWG125" s="953"/>
      <c r="VWH125" s="953"/>
      <c r="VWI125" s="953"/>
      <c r="VWJ125" s="953"/>
      <c r="VWK125" s="953"/>
      <c r="VWL125" s="953"/>
      <c r="VWM125" s="953"/>
      <c r="VWN125" s="953"/>
      <c r="VWO125" s="953"/>
      <c r="VWP125" s="953"/>
      <c r="VWQ125" s="953"/>
      <c r="VWR125" s="953"/>
      <c r="VWS125" s="953"/>
      <c r="VWT125" s="953"/>
      <c r="VWU125" s="953"/>
      <c r="VWV125" s="953"/>
      <c r="VWW125" s="953"/>
      <c r="VWX125" s="953"/>
      <c r="VWY125" s="953"/>
      <c r="VWZ125" s="953"/>
      <c r="VXA125" s="953"/>
      <c r="VXB125" s="953"/>
      <c r="VXC125" s="953"/>
      <c r="VXD125" s="953"/>
      <c r="VXE125" s="953"/>
      <c r="VXF125" s="953"/>
      <c r="VXG125" s="953"/>
      <c r="VXH125" s="953"/>
      <c r="VXI125" s="953"/>
      <c r="VXJ125" s="953"/>
      <c r="VXK125" s="953"/>
      <c r="VXL125" s="953"/>
      <c r="VXM125" s="953"/>
      <c r="VXN125" s="953"/>
      <c r="VXO125" s="953"/>
      <c r="VXP125" s="953"/>
      <c r="VXQ125" s="953"/>
      <c r="VXR125" s="953"/>
      <c r="VXS125" s="953"/>
      <c r="VXT125" s="953"/>
      <c r="VXU125" s="953"/>
      <c r="VXV125" s="953"/>
      <c r="VXW125" s="953"/>
      <c r="VXX125" s="953"/>
      <c r="VXY125" s="953"/>
      <c r="VXZ125" s="953"/>
      <c r="VYA125" s="953"/>
      <c r="VYB125" s="953"/>
      <c r="VYC125" s="953"/>
      <c r="VYD125" s="953"/>
      <c r="VYE125" s="953"/>
      <c r="VYF125" s="953"/>
      <c r="VYG125" s="953"/>
      <c r="VYH125" s="953"/>
      <c r="VYI125" s="953"/>
      <c r="VYJ125" s="953"/>
      <c r="VYK125" s="953"/>
      <c r="VYL125" s="953"/>
      <c r="VYM125" s="953"/>
      <c r="VYN125" s="953"/>
      <c r="VYO125" s="953"/>
      <c r="VYP125" s="953"/>
      <c r="VYQ125" s="953"/>
      <c r="VYR125" s="953"/>
      <c r="VYS125" s="953"/>
      <c r="VYT125" s="953"/>
      <c r="VYU125" s="953"/>
      <c r="VYV125" s="953"/>
      <c r="VYW125" s="953"/>
      <c r="VYX125" s="953"/>
      <c r="VYY125" s="953"/>
      <c r="VYZ125" s="953"/>
      <c r="VZA125" s="953"/>
      <c r="VZB125" s="953"/>
      <c r="VZC125" s="953"/>
      <c r="VZD125" s="953"/>
      <c r="VZE125" s="953"/>
      <c r="VZF125" s="953"/>
      <c r="VZG125" s="953"/>
      <c r="VZH125" s="953"/>
      <c r="VZI125" s="953"/>
      <c r="VZJ125" s="953"/>
      <c r="VZK125" s="953"/>
      <c r="VZL125" s="953"/>
      <c r="VZM125" s="953"/>
      <c r="VZN125" s="953"/>
      <c r="VZO125" s="953"/>
      <c r="VZP125" s="953"/>
      <c r="VZQ125" s="953"/>
      <c r="VZR125" s="953"/>
      <c r="VZS125" s="953"/>
      <c r="VZT125" s="953"/>
      <c r="VZU125" s="953"/>
      <c r="VZV125" s="953"/>
      <c r="VZW125" s="953"/>
      <c r="VZX125" s="953"/>
      <c r="VZY125" s="953"/>
      <c r="VZZ125" s="953"/>
      <c r="WAA125" s="953"/>
      <c r="WAB125" s="953"/>
      <c r="WAC125" s="953"/>
      <c r="WAD125" s="953"/>
      <c r="WAE125" s="953"/>
      <c r="WAF125" s="953"/>
      <c r="WAG125" s="953"/>
      <c r="WAH125" s="953"/>
      <c r="WAI125" s="953"/>
      <c r="WAJ125" s="953"/>
      <c r="WAK125" s="953"/>
      <c r="WAL125" s="953"/>
      <c r="WAM125" s="953"/>
      <c r="WAN125" s="953"/>
      <c r="WAO125" s="953"/>
      <c r="WAP125" s="953"/>
      <c r="WAQ125" s="953"/>
      <c r="WAR125" s="953"/>
      <c r="WAS125" s="953"/>
      <c r="WAT125" s="953"/>
      <c r="WAU125" s="953"/>
      <c r="WAV125" s="953"/>
      <c r="WAW125" s="953"/>
      <c r="WAX125" s="953"/>
      <c r="WAY125" s="953"/>
      <c r="WAZ125" s="953"/>
      <c r="WBA125" s="953"/>
      <c r="WBB125" s="953"/>
      <c r="WBC125" s="953"/>
      <c r="WBD125" s="953"/>
      <c r="WBE125" s="953"/>
      <c r="WBF125" s="953"/>
      <c r="WBG125" s="953"/>
      <c r="WBH125" s="953"/>
      <c r="WBI125" s="953"/>
      <c r="WBJ125" s="953"/>
      <c r="WBK125" s="953"/>
      <c r="WBL125" s="953"/>
      <c r="WBM125" s="953"/>
      <c r="WBN125" s="953"/>
      <c r="WBO125" s="953"/>
      <c r="WBP125" s="953"/>
      <c r="WBQ125" s="953"/>
      <c r="WBR125" s="953"/>
      <c r="WBS125" s="953"/>
      <c r="WBT125" s="953"/>
      <c r="WBU125" s="953"/>
      <c r="WBV125" s="953"/>
      <c r="WBW125" s="953"/>
      <c r="WBX125" s="953"/>
      <c r="WBY125" s="953"/>
      <c r="WBZ125" s="953"/>
      <c r="WCA125" s="953"/>
      <c r="WCB125" s="953"/>
      <c r="WCC125" s="953"/>
      <c r="WCD125" s="953"/>
      <c r="WCE125" s="953"/>
      <c r="WCF125" s="953"/>
      <c r="WCG125" s="953"/>
      <c r="WCH125" s="953"/>
      <c r="WCI125" s="953"/>
      <c r="WCJ125" s="953"/>
      <c r="WCK125" s="953"/>
      <c r="WCL125" s="953"/>
      <c r="WCM125" s="953"/>
      <c r="WCN125" s="953"/>
      <c r="WCO125" s="953"/>
      <c r="WCP125" s="953"/>
      <c r="WCQ125" s="953"/>
      <c r="WCR125" s="953"/>
      <c r="WCS125" s="953"/>
      <c r="WCT125" s="953"/>
      <c r="WCU125" s="953"/>
      <c r="WCV125" s="953"/>
      <c r="WCW125" s="953"/>
      <c r="WCX125" s="953"/>
      <c r="WCY125" s="953"/>
      <c r="WCZ125" s="953"/>
      <c r="WDA125" s="953"/>
      <c r="WDB125" s="953"/>
      <c r="WDC125" s="953"/>
      <c r="WDD125" s="953"/>
      <c r="WDE125" s="953"/>
      <c r="WDF125" s="953"/>
      <c r="WDG125" s="953"/>
      <c r="WDH125" s="953"/>
      <c r="WDI125" s="953"/>
      <c r="WDJ125" s="953"/>
      <c r="WDK125" s="953"/>
      <c r="WDL125" s="953"/>
      <c r="WDM125" s="953"/>
      <c r="WDN125" s="953"/>
      <c r="WDO125" s="953"/>
      <c r="WDP125" s="953"/>
      <c r="WDQ125" s="953"/>
      <c r="WDR125" s="953"/>
      <c r="WDS125" s="953"/>
      <c r="WDT125" s="953"/>
      <c r="WDU125" s="953"/>
      <c r="WDV125" s="953"/>
      <c r="WDW125" s="953"/>
      <c r="WDX125" s="953"/>
      <c r="WDY125" s="953"/>
      <c r="WDZ125" s="953"/>
      <c r="WEA125" s="953"/>
      <c r="WEB125" s="953"/>
      <c r="WEC125" s="953"/>
      <c r="WED125" s="953"/>
      <c r="WEE125" s="953"/>
      <c r="WEF125" s="953"/>
      <c r="WEG125" s="953"/>
      <c r="WEH125" s="953"/>
      <c r="WEI125" s="953"/>
      <c r="WEJ125" s="953"/>
      <c r="WEK125" s="953"/>
      <c r="WEL125" s="953"/>
      <c r="WEM125" s="953"/>
      <c r="WEN125" s="953"/>
      <c r="WEO125" s="953"/>
      <c r="WEP125" s="953"/>
      <c r="WEQ125" s="953"/>
      <c r="WER125" s="953"/>
      <c r="WES125" s="953"/>
      <c r="WET125" s="953"/>
      <c r="WEU125" s="953"/>
      <c r="WEV125" s="953"/>
      <c r="WEW125" s="953"/>
      <c r="WEX125" s="953"/>
      <c r="WEY125" s="953"/>
      <c r="WEZ125" s="953"/>
      <c r="WFA125" s="953"/>
      <c r="WFB125" s="953"/>
      <c r="WFC125" s="953"/>
      <c r="WFD125" s="953"/>
      <c r="WFE125" s="953"/>
      <c r="WFF125" s="953"/>
      <c r="WFG125" s="953"/>
      <c r="WFH125" s="953"/>
      <c r="WFI125" s="953"/>
      <c r="WFJ125" s="953"/>
      <c r="WFK125" s="953"/>
      <c r="WFL125" s="953"/>
      <c r="WFM125" s="953"/>
      <c r="WFN125" s="953"/>
      <c r="WFO125" s="953"/>
      <c r="WFP125" s="953"/>
      <c r="WFQ125" s="953"/>
      <c r="WFR125" s="953"/>
      <c r="WFS125" s="953"/>
      <c r="WFT125" s="953"/>
      <c r="WFU125" s="953"/>
      <c r="WFV125" s="953"/>
      <c r="WFW125" s="953"/>
      <c r="WFX125" s="953"/>
      <c r="WFY125" s="953"/>
      <c r="WFZ125" s="953"/>
      <c r="WGA125" s="953"/>
      <c r="WGB125" s="953"/>
      <c r="WGC125" s="953"/>
      <c r="WGD125" s="953"/>
      <c r="WGE125" s="953"/>
      <c r="WGF125" s="953"/>
      <c r="WGG125" s="953"/>
      <c r="WGH125" s="953"/>
      <c r="WGI125" s="953"/>
      <c r="WGJ125" s="953"/>
      <c r="WGK125" s="953"/>
      <c r="WGL125" s="953"/>
      <c r="WGM125" s="953"/>
      <c r="WGN125" s="953"/>
      <c r="WGO125" s="953"/>
      <c r="WGP125" s="953"/>
      <c r="WGQ125" s="953"/>
      <c r="WGR125" s="953"/>
      <c r="WGS125" s="953"/>
      <c r="WGT125" s="953"/>
      <c r="WGU125" s="953"/>
      <c r="WGV125" s="953"/>
      <c r="WGW125" s="953"/>
      <c r="WGX125" s="953"/>
      <c r="WGY125" s="953"/>
      <c r="WGZ125" s="953"/>
      <c r="WHA125" s="953"/>
      <c r="WHB125" s="953"/>
      <c r="WHC125" s="953"/>
      <c r="WHD125" s="953"/>
      <c r="WHE125" s="953"/>
      <c r="WHF125" s="953"/>
      <c r="WHG125" s="953"/>
      <c r="WHH125" s="953"/>
      <c r="WHI125" s="953"/>
      <c r="WHJ125" s="953"/>
      <c r="WHK125" s="953"/>
      <c r="WHL125" s="953"/>
      <c r="WHM125" s="953"/>
      <c r="WHN125" s="953"/>
      <c r="WHO125" s="953"/>
      <c r="WHP125" s="953"/>
      <c r="WHQ125" s="953"/>
      <c r="WHR125" s="953"/>
      <c r="WHS125" s="953"/>
      <c r="WHT125" s="953"/>
      <c r="WHU125" s="953"/>
      <c r="WHV125" s="953"/>
      <c r="WHW125" s="953"/>
      <c r="WHX125" s="953"/>
      <c r="WHY125" s="953"/>
      <c r="WHZ125" s="953"/>
      <c r="WIA125" s="953"/>
      <c r="WIB125" s="953"/>
      <c r="WIC125" s="953"/>
      <c r="WID125" s="953"/>
      <c r="WIE125" s="953"/>
      <c r="WIF125" s="953"/>
      <c r="WIG125" s="953"/>
      <c r="WIH125" s="953"/>
      <c r="WII125" s="953"/>
      <c r="WIJ125" s="953"/>
      <c r="WIK125" s="953"/>
      <c r="WIL125" s="953"/>
      <c r="WIM125" s="953"/>
      <c r="WIN125" s="953"/>
      <c r="WIO125" s="953"/>
      <c r="WIP125" s="953"/>
      <c r="WIQ125" s="953"/>
      <c r="WIR125" s="953"/>
      <c r="WIS125" s="953"/>
      <c r="WIT125" s="953"/>
      <c r="WIU125" s="953"/>
      <c r="WIV125" s="953"/>
      <c r="WIW125" s="953"/>
      <c r="WIX125" s="953"/>
      <c r="WIY125" s="953"/>
      <c r="WIZ125" s="953"/>
      <c r="WJA125" s="953"/>
      <c r="WJB125" s="953"/>
      <c r="WJC125" s="953"/>
      <c r="WJD125" s="953"/>
      <c r="WJE125" s="953"/>
      <c r="WJF125" s="953"/>
      <c r="WJG125" s="953"/>
      <c r="WJH125" s="953"/>
      <c r="WJI125" s="953"/>
      <c r="WJJ125" s="953"/>
      <c r="WJK125" s="953"/>
      <c r="WJL125" s="953"/>
      <c r="WJM125" s="953"/>
      <c r="WJN125" s="953"/>
      <c r="WJO125" s="953"/>
      <c r="WJP125" s="953"/>
      <c r="WJQ125" s="953"/>
      <c r="WJR125" s="953"/>
      <c r="WJS125" s="953"/>
      <c r="WJT125" s="953"/>
      <c r="WJU125" s="953"/>
      <c r="WJV125" s="953"/>
      <c r="WJW125" s="953"/>
      <c r="WJX125" s="953"/>
      <c r="WJY125" s="953"/>
      <c r="WJZ125" s="953"/>
      <c r="WKA125" s="953"/>
      <c r="WKB125" s="953"/>
      <c r="WKC125" s="953"/>
      <c r="WKD125" s="953"/>
      <c r="WKE125" s="953"/>
      <c r="WKF125" s="953"/>
      <c r="WKG125" s="953"/>
      <c r="WKH125" s="953"/>
      <c r="WKI125" s="953"/>
      <c r="WKJ125" s="953"/>
      <c r="WKK125" s="953"/>
      <c r="WKL125" s="953"/>
      <c r="WKM125" s="953"/>
      <c r="WKN125" s="953"/>
      <c r="WKO125" s="953"/>
      <c r="WKP125" s="953"/>
      <c r="WKQ125" s="953"/>
      <c r="WKR125" s="953"/>
      <c r="WKS125" s="953"/>
      <c r="WKT125" s="953"/>
      <c r="WKU125" s="953"/>
      <c r="WKV125" s="953"/>
      <c r="WKW125" s="953"/>
      <c r="WKX125" s="953"/>
      <c r="WKY125" s="953"/>
      <c r="WKZ125" s="953"/>
      <c r="WLA125" s="953"/>
      <c r="WLB125" s="953"/>
      <c r="WLC125" s="953"/>
      <c r="WLD125" s="953"/>
      <c r="WLE125" s="953"/>
      <c r="WLF125" s="953"/>
      <c r="WLG125" s="953"/>
      <c r="WLH125" s="953"/>
      <c r="WLI125" s="953"/>
      <c r="WLJ125" s="953"/>
      <c r="WLK125" s="953"/>
      <c r="WLL125" s="953"/>
      <c r="WLM125" s="953"/>
      <c r="WLN125" s="953"/>
      <c r="WLO125" s="953"/>
      <c r="WLP125" s="953"/>
      <c r="WLQ125" s="953"/>
      <c r="WLR125" s="953"/>
      <c r="WLS125" s="953"/>
      <c r="WLT125" s="953"/>
      <c r="WLU125" s="953"/>
      <c r="WLV125" s="953"/>
      <c r="WLW125" s="953"/>
      <c r="WLX125" s="953"/>
      <c r="WLY125" s="953"/>
      <c r="WLZ125" s="953"/>
      <c r="WMA125" s="953"/>
      <c r="WMB125" s="953"/>
      <c r="WMC125" s="953"/>
      <c r="WMD125" s="953"/>
      <c r="WME125" s="953"/>
      <c r="WMF125" s="953"/>
      <c r="WMG125" s="953"/>
      <c r="WMH125" s="953"/>
      <c r="WMI125" s="953"/>
      <c r="WMJ125" s="953"/>
      <c r="WMK125" s="953"/>
      <c r="WML125" s="953"/>
      <c r="WMM125" s="953"/>
      <c r="WMN125" s="953"/>
      <c r="WMO125" s="953"/>
      <c r="WMP125" s="953"/>
      <c r="WMQ125" s="953"/>
      <c r="WMR125" s="953"/>
      <c r="WMS125" s="953"/>
      <c r="WMT125" s="953"/>
      <c r="WMU125" s="953"/>
      <c r="WMV125" s="953"/>
      <c r="WMW125" s="953"/>
      <c r="WMX125" s="953"/>
      <c r="WMY125" s="953"/>
      <c r="WMZ125" s="953"/>
      <c r="WNA125" s="953"/>
      <c r="WNB125" s="953"/>
      <c r="WNC125" s="953"/>
      <c r="WND125" s="953"/>
      <c r="WNE125" s="953"/>
      <c r="WNF125" s="953"/>
      <c r="WNG125" s="953"/>
      <c r="WNH125" s="953"/>
      <c r="WNI125" s="953"/>
      <c r="WNJ125" s="953"/>
      <c r="WNK125" s="953"/>
      <c r="WNL125" s="953"/>
      <c r="WNM125" s="953"/>
      <c r="WNN125" s="953"/>
      <c r="WNO125" s="953"/>
      <c r="WNP125" s="953"/>
      <c r="WNQ125" s="953"/>
      <c r="WNR125" s="953"/>
      <c r="WNS125" s="953"/>
      <c r="WNT125" s="953"/>
      <c r="WNU125" s="953"/>
      <c r="WNV125" s="953"/>
      <c r="WNW125" s="953"/>
      <c r="WNX125" s="953"/>
      <c r="WNY125" s="953"/>
      <c r="WNZ125" s="953"/>
      <c r="WOA125" s="953"/>
      <c r="WOB125" s="953"/>
      <c r="WOC125" s="953"/>
      <c r="WOD125" s="953"/>
      <c r="WOE125" s="953"/>
      <c r="WOF125" s="953"/>
      <c r="WOG125" s="953"/>
      <c r="WOH125" s="953"/>
      <c r="WOI125" s="953"/>
      <c r="WOJ125" s="953"/>
      <c r="WOK125" s="953"/>
      <c r="WOL125" s="953"/>
      <c r="WOM125" s="953"/>
      <c r="WON125" s="953"/>
      <c r="WOO125" s="953"/>
      <c r="WOP125" s="953"/>
      <c r="WOQ125" s="953"/>
      <c r="WOR125" s="953"/>
      <c r="WOS125" s="953"/>
      <c r="WOT125" s="953"/>
      <c r="WOU125" s="953"/>
      <c r="WOV125" s="953"/>
      <c r="WOW125" s="953"/>
      <c r="WOX125" s="953"/>
      <c r="WOY125" s="953"/>
      <c r="WOZ125" s="953"/>
      <c r="WPA125" s="953"/>
      <c r="WPB125" s="953"/>
      <c r="WPC125" s="953"/>
      <c r="WPD125" s="953"/>
      <c r="WPE125" s="953"/>
      <c r="WPF125" s="953"/>
      <c r="WPG125" s="953"/>
      <c r="WPH125" s="953"/>
      <c r="WPI125" s="953"/>
      <c r="WPJ125" s="953"/>
      <c r="WPK125" s="953"/>
      <c r="WPL125" s="953"/>
      <c r="WPM125" s="953"/>
      <c r="WPN125" s="953"/>
      <c r="WPO125" s="953"/>
      <c r="WPP125" s="953"/>
      <c r="WPQ125" s="953"/>
      <c r="WPR125" s="953"/>
      <c r="WPS125" s="953"/>
      <c r="WPT125" s="953"/>
      <c r="WPU125" s="953"/>
      <c r="WPV125" s="953"/>
      <c r="WPW125" s="953"/>
      <c r="WPX125" s="953"/>
      <c r="WPY125" s="953"/>
      <c r="WPZ125" s="953"/>
      <c r="WQA125" s="953"/>
      <c r="WQB125" s="953"/>
      <c r="WQC125" s="953"/>
      <c r="WQD125" s="953"/>
      <c r="WQE125" s="953"/>
      <c r="WQF125" s="953"/>
      <c r="WQG125" s="953"/>
      <c r="WQH125" s="953"/>
      <c r="WQI125" s="953"/>
      <c r="WQJ125" s="953"/>
      <c r="WQK125" s="953"/>
      <c r="WQL125" s="953"/>
      <c r="WQM125" s="953"/>
      <c r="WQN125" s="953"/>
      <c r="WQO125" s="953"/>
      <c r="WQP125" s="953"/>
      <c r="WQQ125" s="953"/>
      <c r="WQR125" s="953"/>
      <c r="WQS125" s="953"/>
      <c r="WQT125" s="953"/>
      <c r="WQU125" s="953"/>
      <c r="WQV125" s="953"/>
      <c r="WQW125" s="953"/>
      <c r="WQX125" s="953"/>
      <c r="WQY125" s="953"/>
      <c r="WQZ125" s="953"/>
      <c r="WRA125" s="953"/>
      <c r="WRB125" s="953"/>
      <c r="WRC125" s="953"/>
      <c r="WRD125" s="953"/>
      <c r="WRE125" s="953"/>
      <c r="WRF125" s="953"/>
      <c r="WRG125" s="953"/>
      <c r="WRH125" s="953"/>
      <c r="WRI125" s="953"/>
      <c r="WRJ125" s="953"/>
      <c r="WRK125" s="953"/>
      <c r="WRL125" s="953"/>
      <c r="WRM125" s="953"/>
      <c r="WRN125" s="953"/>
      <c r="WRO125" s="953"/>
      <c r="WRP125" s="953"/>
      <c r="WRQ125" s="953"/>
      <c r="WRR125" s="953"/>
      <c r="WRS125" s="953"/>
      <c r="WRT125" s="953"/>
      <c r="WRU125" s="953"/>
      <c r="WRV125" s="953"/>
      <c r="WRW125" s="953"/>
      <c r="WRX125" s="953"/>
      <c r="WRY125" s="953"/>
      <c r="WRZ125" s="953"/>
      <c r="WSA125" s="953"/>
      <c r="WSB125" s="953"/>
      <c r="WSC125" s="953"/>
      <c r="WSD125" s="953"/>
      <c r="WSE125" s="953"/>
      <c r="WSF125" s="953"/>
      <c r="WSG125" s="953"/>
      <c r="WSH125" s="953"/>
      <c r="WSI125" s="953"/>
      <c r="WSJ125" s="953"/>
      <c r="WSK125" s="953"/>
      <c r="WSL125" s="953"/>
      <c r="WSM125" s="953"/>
      <c r="WSN125" s="953"/>
      <c r="WSO125" s="953"/>
      <c r="WSP125" s="953"/>
      <c r="WSQ125" s="953"/>
      <c r="WSR125" s="953"/>
      <c r="WSS125" s="953"/>
      <c r="WST125" s="953"/>
      <c r="WSU125" s="953"/>
      <c r="WSV125" s="953"/>
      <c r="WSW125" s="953"/>
      <c r="WSX125" s="953"/>
      <c r="WSY125" s="953"/>
      <c r="WSZ125" s="953"/>
      <c r="WTA125" s="953"/>
      <c r="WTB125" s="953"/>
      <c r="WTC125" s="953"/>
      <c r="WTD125" s="953"/>
      <c r="WTE125" s="953"/>
      <c r="WTF125" s="953"/>
      <c r="WTG125" s="953"/>
      <c r="WTH125" s="953"/>
      <c r="WTI125" s="953"/>
      <c r="WTJ125" s="953"/>
      <c r="WTK125" s="953"/>
      <c r="WTL125" s="953"/>
      <c r="WTM125" s="953"/>
      <c r="WTN125" s="953"/>
      <c r="WTO125" s="953"/>
      <c r="WTP125" s="953"/>
      <c r="WTQ125" s="953"/>
      <c r="WTR125" s="953"/>
      <c r="WTS125" s="953"/>
      <c r="WTT125" s="953"/>
      <c r="WTU125" s="953"/>
      <c r="WTV125" s="953"/>
      <c r="WTW125" s="953"/>
      <c r="WTX125" s="953"/>
      <c r="WTY125" s="953"/>
      <c r="WTZ125" s="953"/>
      <c r="WUA125" s="953"/>
      <c r="WUB125" s="953"/>
      <c r="WUC125" s="953"/>
      <c r="WUD125" s="953"/>
      <c r="WUE125" s="953"/>
      <c r="WUF125" s="953"/>
      <c r="WUG125" s="953"/>
      <c r="WUH125" s="953"/>
      <c r="WUI125" s="953"/>
      <c r="WUJ125" s="953"/>
      <c r="WUK125" s="953"/>
      <c r="WUL125" s="953"/>
      <c r="WUM125" s="953"/>
      <c r="WUN125" s="953"/>
      <c r="WUO125" s="953"/>
      <c r="WUP125" s="953"/>
      <c r="WUQ125" s="953"/>
      <c r="WUR125" s="953"/>
      <c r="WUS125" s="953"/>
      <c r="WUT125" s="953"/>
      <c r="WUU125" s="953"/>
      <c r="WUV125" s="953"/>
      <c r="WUW125" s="953"/>
      <c r="WUX125" s="953"/>
      <c r="WUY125" s="953"/>
      <c r="WUZ125" s="953"/>
      <c r="WVA125" s="953"/>
      <c r="WVB125" s="953"/>
      <c r="WVC125" s="953"/>
      <c r="WVD125" s="953"/>
      <c r="WVE125" s="953"/>
      <c r="WVF125" s="953"/>
      <c r="WVG125" s="953"/>
      <c r="WVH125" s="953"/>
      <c r="WVI125" s="953"/>
      <c r="WVJ125" s="953"/>
      <c r="WVK125" s="953"/>
      <c r="WVL125" s="953"/>
      <c r="WVM125" s="953"/>
      <c r="WVN125" s="953"/>
      <c r="WVO125" s="953"/>
      <c r="WVP125" s="953"/>
      <c r="WVQ125" s="953"/>
      <c r="WVR125" s="953"/>
      <c r="WVS125" s="953"/>
      <c r="WVT125" s="953"/>
      <c r="WVU125" s="953"/>
      <c r="WVV125" s="953"/>
      <c r="WVW125" s="953"/>
      <c r="WVX125" s="953"/>
      <c r="WVY125" s="953"/>
      <c r="WVZ125" s="953"/>
      <c r="WWA125" s="953"/>
      <c r="WWB125" s="953"/>
      <c r="WWC125" s="953"/>
      <c r="WWD125" s="953"/>
      <c r="WWE125" s="953"/>
      <c r="WWF125" s="953"/>
      <c r="WWG125" s="953"/>
      <c r="WWH125" s="953"/>
      <c r="WWI125" s="953"/>
      <c r="WWJ125" s="953"/>
      <c r="WWK125" s="953"/>
      <c r="WWL125" s="953"/>
      <c r="WWM125" s="953"/>
      <c r="WWN125" s="953"/>
      <c r="WWO125" s="953"/>
      <c r="WWP125" s="953"/>
      <c r="WWQ125" s="953"/>
      <c r="WWR125" s="953"/>
      <c r="WWS125" s="953"/>
      <c r="WWT125" s="953"/>
      <c r="WWU125" s="953"/>
      <c r="WWV125" s="953"/>
      <c r="WWW125" s="953"/>
      <c r="WWX125" s="953"/>
      <c r="WWY125" s="953"/>
      <c r="WWZ125" s="953"/>
      <c r="WXA125" s="953"/>
      <c r="WXB125" s="953"/>
      <c r="WXC125" s="953"/>
      <c r="WXD125" s="953"/>
      <c r="WXE125" s="953"/>
      <c r="WXF125" s="953"/>
      <c r="WXG125" s="953"/>
      <c r="WXH125" s="953"/>
      <c r="WXI125" s="953"/>
      <c r="WXJ125" s="953"/>
      <c r="WXK125" s="953"/>
      <c r="WXL125" s="953"/>
      <c r="WXM125" s="953"/>
      <c r="WXN125" s="953"/>
      <c r="WXO125" s="953"/>
      <c r="WXP125" s="953"/>
      <c r="WXQ125" s="953"/>
      <c r="WXR125" s="953"/>
      <c r="WXS125" s="953"/>
      <c r="WXT125" s="953"/>
      <c r="WXU125" s="953"/>
      <c r="WXV125" s="953"/>
      <c r="WXW125" s="953"/>
      <c r="WXX125" s="953"/>
      <c r="WXY125" s="953"/>
      <c r="WXZ125" s="953"/>
      <c r="WYA125" s="953"/>
      <c r="WYB125" s="953"/>
      <c r="WYC125" s="953"/>
      <c r="WYD125" s="953"/>
      <c r="WYE125" s="953"/>
      <c r="WYF125" s="953"/>
      <c r="WYG125" s="953"/>
      <c r="WYH125" s="953"/>
      <c r="WYI125" s="953"/>
      <c r="WYJ125" s="953"/>
      <c r="WYK125" s="953"/>
      <c r="WYL125" s="953"/>
      <c r="WYM125" s="953"/>
      <c r="WYN125" s="953"/>
      <c r="WYO125" s="953"/>
      <c r="WYP125" s="953"/>
      <c r="WYQ125" s="953"/>
      <c r="WYR125" s="953"/>
      <c r="WYS125" s="953"/>
      <c r="WYT125" s="953"/>
      <c r="WYU125" s="953"/>
      <c r="WYV125" s="953"/>
      <c r="WYW125" s="953"/>
      <c r="WYX125" s="953"/>
      <c r="WYY125" s="953"/>
      <c r="WYZ125" s="953"/>
      <c r="WZA125" s="953"/>
      <c r="WZB125" s="953"/>
      <c r="WZC125" s="953"/>
      <c r="WZD125" s="953"/>
      <c r="WZE125" s="953"/>
      <c r="WZF125" s="953"/>
      <c r="WZG125" s="953"/>
      <c r="WZH125" s="953"/>
      <c r="WZI125" s="953"/>
      <c r="WZJ125" s="953"/>
      <c r="WZK125" s="953"/>
      <c r="WZL125" s="953"/>
      <c r="WZM125" s="953"/>
      <c r="WZN125" s="953"/>
      <c r="WZO125" s="953"/>
      <c r="WZP125" s="953"/>
      <c r="WZQ125" s="953"/>
      <c r="WZR125" s="953"/>
      <c r="WZS125" s="953"/>
      <c r="WZT125" s="953"/>
      <c r="WZU125" s="953"/>
      <c r="WZV125" s="953"/>
      <c r="WZW125" s="953"/>
      <c r="WZX125" s="953"/>
      <c r="WZY125" s="953"/>
      <c r="WZZ125" s="953"/>
      <c r="XAA125" s="953"/>
      <c r="XAB125" s="953"/>
      <c r="XAC125" s="953"/>
      <c r="XAD125" s="953"/>
      <c r="XAE125" s="953"/>
      <c r="XAF125" s="953"/>
      <c r="XAG125" s="953"/>
      <c r="XAH125" s="953"/>
      <c r="XAI125" s="953"/>
      <c r="XAJ125" s="953"/>
      <c r="XAK125" s="953"/>
      <c r="XAL125" s="953"/>
      <c r="XAM125" s="953"/>
      <c r="XAN125" s="953"/>
      <c r="XAO125" s="953"/>
      <c r="XAP125" s="953"/>
      <c r="XAQ125" s="953"/>
      <c r="XAR125" s="953"/>
      <c r="XAS125" s="953"/>
      <c r="XAT125" s="953"/>
      <c r="XAU125" s="953"/>
      <c r="XAV125" s="953"/>
      <c r="XAW125" s="953"/>
      <c r="XAX125" s="953"/>
      <c r="XAY125" s="953"/>
      <c r="XAZ125" s="953"/>
      <c r="XBA125" s="953"/>
      <c r="XBB125" s="953"/>
      <c r="XBC125" s="953"/>
      <c r="XBD125" s="953"/>
      <c r="XBE125" s="953"/>
      <c r="XBF125" s="953"/>
      <c r="XBG125" s="953"/>
      <c r="XBH125" s="953"/>
      <c r="XBI125" s="953"/>
      <c r="XBJ125" s="953"/>
      <c r="XBK125" s="953"/>
      <c r="XBL125" s="953"/>
      <c r="XBM125" s="953"/>
      <c r="XBN125" s="953"/>
      <c r="XBO125" s="953"/>
      <c r="XBP125" s="953"/>
      <c r="XBQ125" s="953"/>
      <c r="XBR125" s="953"/>
      <c r="XBS125" s="953"/>
      <c r="XBT125" s="953"/>
      <c r="XBU125" s="953"/>
      <c r="XBV125" s="953"/>
      <c r="XBW125" s="953"/>
      <c r="XBX125" s="953"/>
      <c r="XBY125" s="953"/>
      <c r="XBZ125" s="953"/>
      <c r="XCA125" s="953"/>
      <c r="XCB125" s="953"/>
      <c r="XCC125" s="953"/>
      <c r="XCD125" s="953"/>
      <c r="XCE125" s="953"/>
      <c r="XCF125" s="953"/>
      <c r="XCG125" s="953"/>
      <c r="XCH125" s="953"/>
      <c r="XCI125" s="953"/>
      <c r="XCJ125" s="953"/>
      <c r="XCK125" s="953"/>
      <c r="XCL125" s="953"/>
      <c r="XCM125" s="953"/>
      <c r="XCN125" s="953"/>
      <c r="XCO125" s="953"/>
      <c r="XCP125" s="953"/>
      <c r="XCQ125" s="953"/>
      <c r="XCR125" s="953"/>
      <c r="XCS125" s="953"/>
      <c r="XCT125" s="953"/>
      <c r="XCU125" s="953"/>
      <c r="XCV125" s="953"/>
      <c r="XCW125" s="953"/>
      <c r="XCX125" s="953"/>
      <c r="XCY125" s="953"/>
      <c r="XCZ125" s="953"/>
      <c r="XDA125" s="953"/>
      <c r="XDB125" s="953"/>
      <c r="XDC125" s="953"/>
      <c r="XDD125" s="953"/>
      <c r="XDE125" s="953"/>
      <c r="XDF125" s="953"/>
      <c r="XDG125" s="953"/>
      <c r="XDH125" s="953"/>
      <c r="XDI125" s="953"/>
      <c r="XDJ125" s="953"/>
      <c r="XDK125" s="953"/>
      <c r="XDL125" s="953"/>
      <c r="XDM125" s="953"/>
      <c r="XDN125" s="953"/>
      <c r="XDO125" s="953"/>
      <c r="XDP125" s="953"/>
      <c r="XDQ125" s="953"/>
      <c r="XDR125" s="953"/>
      <c r="XDS125" s="953"/>
      <c r="XDT125" s="953"/>
      <c r="XDU125" s="953"/>
      <c r="XDV125" s="953"/>
      <c r="XDW125" s="953"/>
      <c r="XDX125" s="953"/>
      <c r="XDY125" s="953"/>
      <c r="XDZ125" s="953"/>
      <c r="XEA125" s="953"/>
      <c r="XEB125" s="953"/>
      <c r="XEC125" s="953"/>
      <c r="XED125" s="953"/>
      <c r="XEE125" s="953"/>
      <c r="XEF125" s="953"/>
      <c r="XEG125" s="953"/>
      <c r="XEH125" s="953"/>
      <c r="XEI125" s="953"/>
      <c r="XEJ125" s="953"/>
      <c r="XEK125" s="953"/>
      <c r="XEL125" s="953"/>
      <c r="XEM125" s="953"/>
      <c r="XEN125" s="953"/>
      <c r="XEO125" s="953"/>
      <c r="XEP125" s="953"/>
      <c r="XEQ125" s="953"/>
      <c r="XER125" s="953"/>
      <c r="XES125" s="953"/>
      <c r="XET125" s="953"/>
      <c r="XEU125" s="953"/>
      <c r="XEV125" s="953"/>
      <c r="XEW125" s="953"/>
      <c r="XEX125" s="953"/>
      <c r="XEY125" s="953"/>
      <c r="XEZ125" s="953"/>
      <c r="XFA125" s="953"/>
      <c r="XFB125" s="953"/>
      <c r="XFC125" s="953"/>
      <c r="XFD125" s="953"/>
    </row>
    <row r="126" spans="1:16384" ht="23.25" customHeight="1" thickBot="1" x14ac:dyDescent="0.3">
      <c r="A126" s="947"/>
      <c r="B126" s="949" t="s">
        <v>161</v>
      </c>
      <c r="C126" s="949"/>
      <c r="D126" s="949"/>
      <c r="E126" s="949"/>
      <c r="F126" s="949"/>
      <c r="G126" s="949"/>
      <c r="H126" s="950">
        <f>H125+H108+H102</f>
        <v>5749128.4700000007</v>
      </c>
      <c r="I126" s="950">
        <f>I125+I108+I102</f>
        <v>6945527.3100000005</v>
      </c>
      <c r="J126" s="950">
        <f t="shared" ref="J126:AJ126" si="34">J125+J108</f>
        <v>3764502.8026041687</v>
      </c>
      <c r="K126" s="950">
        <f t="shared" si="34"/>
        <v>3579281.1927808365</v>
      </c>
      <c r="L126" s="950">
        <f t="shared" si="34"/>
        <v>3777145.7129575033</v>
      </c>
      <c r="M126" s="950">
        <f t="shared" si="34"/>
        <v>4769908.2131341696</v>
      </c>
      <c r="N126" s="950">
        <f t="shared" si="34"/>
        <v>5040126.7333108354</v>
      </c>
      <c r="O126" s="950">
        <f t="shared" si="34"/>
        <v>4951491.1034875028</v>
      </c>
      <c r="P126" s="950">
        <f t="shared" si="34"/>
        <v>4883309.2736641681</v>
      </c>
      <c r="Q126" s="950">
        <f t="shared" si="34"/>
        <v>4941101.1738408357</v>
      </c>
      <c r="R126" s="950">
        <f t="shared" si="34"/>
        <v>4614827.7540175021</v>
      </c>
      <c r="S126" s="950">
        <f t="shared" si="34"/>
        <v>4424713.2341941707</v>
      </c>
      <c r="T126" s="950">
        <f t="shared" si="34"/>
        <v>3841128.4043708364</v>
      </c>
      <c r="U126" s="950">
        <f t="shared" si="34"/>
        <v>30141739.91</v>
      </c>
      <c r="V126" s="950">
        <f t="shared" si="34"/>
        <v>30737061.559999999</v>
      </c>
      <c r="W126" s="950">
        <f t="shared" si="34"/>
        <v>30502645.149999999</v>
      </c>
      <c r="X126" s="950">
        <f t="shared" si="34"/>
        <v>30551388.690000001</v>
      </c>
      <c r="Y126" s="950">
        <f t="shared" si="34"/>
        <v>30404734.810000002</v>
      </c>
      <c r="Z126" s="950">
        <f t="shared" si="34"/>
        <v>29958170.73</v>
      </c>
      <c r="AA126" s="950">
        <f t="shared" si="34"/>
        <v>29703857.129999999</v>
      </c>
      <c r="AB126" s="950">
        <f t="shared" si="34"/>
        <v>28937043.780000001</v>
      </c>
      <c r="AC126" s="950">
        <f>AC125+AC108</f>
        <v>27889741.210000001</v>
      </c>
      <c r="AD126" s="950">
        <f>AD125+AD108</f>
        <v>28046963.259999998</v>
      </c>
      <c r="AE126" s="950">
        <f t="shared" si="34"/>
        <v>27397774.280000001</v>
      </c>
      <c r="AF126" s="950">
        <f t="shared" si="34"/>
        <v>26783639.889999993</v>
      </c>
      <c r="AG126" s="950">
        <f t="shared" si="34"/>
        <v>25865450.579999998</v>
      </c>
      <c r="AH126" s="950">
        <f t="shared" si="34"/>
        <v>25705558.780000001</v>
      </c>
      <c r="AI126" s="950">
        <f t="shared" si="34"/>
        <v>25390685.390000001</v>
      </c>
      <c r="AJ126" s="950">
        <f t="shared" si="34"/>
        <v>24965771.109999999</v>
      </c>
      <c r="AK126" s="951"/>
      <c r="AL126" s="951"/>
      <c r="AM126" s="951"/>
      <c r="AN126" s="951"/>
      <c r="AO126" s="951"/>
      <c r="AP126" s="951"/>
      <c r="AQ126" s="951"/>
      <c r="AR126" s="951"/>
      <c r="AS126" s="951"/>
      <c r="AT126" s="951"/>
      <c r="AU126" s="951"/>
      <c r="AV126" s="951"/>
      <c r="AW126" s="951"/>
      <c r="AX126" s="951"/>
      <c r="AY126" s="951"/>
      <c r="AZ126" s="951"/>
      <c r="BA126" s="951"/>
      <c r="BB126" s="951"/>
      <c r="BC126" s="951"/>
      <c r="BD126" s="951"/>
      <c r="BE126" s="951"/>
      <c r="BF126" s="951"/>
      <c r="BG126" s="951"/>
      <c r="BH126" s="951"/>
      <c r="BI126" s="951"/>
      <c r="BJ126" s="951"/>
      <c r="BK126" s="951"/>
      <c r="BL126" s="951"/>
      <c r="BM126" s="951"/>
      <c r="BN126" s="951"/>
      <c r="BO126" s="951"/>
      <c r="BP126" s="951"/>
      <c r="BQ126" s="951"/>
      <c r="BR126" s="951"/>
      <c r="BS126" s="951"/>
      <c r="BT126" s="951"/>
      <c r="BU126" s="951"/>
      <c r="BV126" s="951"/>
      <c r="BW126" s="951"/>
      <c r="BX126" s="951"/>
      <c r="BY126" s="951"/>
      <c r="BZ126" s="951"/>
      <c r="CA126" s="951"/>
      <c r="CB126" s="951"/>
      <c r="CC126" s="951"/>
    </row>
    <row r="127" spans="1:16384" ht="15.75" thickTop="1" x14ac:dyDescent="0.25">
      <c r="G127" s="958" t="s">
        <v>433</v>
      </c>
      <c r="H127" s="887">
        <f t="shared" ref="H127:AJ127" si="35">H126-H74</f>
        <v>-9.9999988451600075E-3</v>
      </c>
      <c r="I127" s="887">
        <f t="shared" si="35"/>
        <v>0</v>
      </c>
      <c r="J127" s="887">
        <f t="shared" si="35"/>
        <v>2.6041688397526741E-3</v>
      </c>
      <c r="K127" s="887">
        <f t="shared" si="35"/>
        <v>2.7808365412056446E-3</v>
      </c>
      <c r="L127" s="887">
        <f t="shared" si="35"/>
        <v>2.9575033113360405E-3</v>
      </c>
      <c r="M127" s="887">
        <f t="shared" si="35"/>
        <v>3.1341686844825745E-3</v>
      </c>
      <c r="N127" s="887">
        <f t="shared" si="35"/>
        <v>3.3108359202742577E-3</v>
      </c>
      <c r="O127" s="887">
        <f t="shared" si="35"/>
        <v>3.4875031560659409E-3</v>
      </c>
      <c r="P127" s="887">
        <f t="shared" si="35"/>
        <v>3.6641685292124748E-3</v>
      </c>
      <c r="Q127" s="887">
        <f t="shared" si="35"/>
        <v>3.840835765004158E-3</v>
      </c>
      <c r="R127" s="887">
        <f t="shared" si="35"/>
        <v>4.0175020694732666E-3</v>
      </c>
      <c r="S127" s="887">
        <f t="shared" si="35"/>
        <v>4.1941702365875244E-3</v>
      </c>
      <c r="T127" s="887">
        <f t="shared" si="35"/>
        <v>4.3708360753953457E-3</v>
      </c>
      <c r="U127" s="887">
        <f t="shared" si="35"/>
        <v>9.9999979138374329E-3</v>
      </c>
      <c r="V127" s="887">
        <f t="shared" si="35"/>
        <v>0</v>
      </c>
      <c r="W127" s="887">
        <f t="shared" si="35"/>
        <v>-1.0000001639127731E-2</v>
      </c>
      <c r="X127" s="887">
        <f t="shared" si="35"/>
        <v>-1.0000001639127731E-2</v>
      </c>
      <c r="Y127" s="887">
        <f t="shared" si="35"/>
        <v>-9.9999979138374329E-3</v>
      </c>
      <c r="Z127" s="887">
        <f t="shared" si="35"/>
        <v>-1.0000001639127731E-2</v>
      </c>
      <c r="AA127" s="887">
        <f t="shared" si="35"/>
        <v>-1.000000536441803E-2</v>
      </c>
      <c r="AB127" s="887">
        <f t="shared" si="35"/>
        <v>-1.0000001639127731E-2</v>
      </c>
      <c r="AC127" s="887">
        <f t="shared" si="35"/>
        <v>0</v>
      </c>
      <c r="AD127" s="887">
        <f t="shared" si="35"/>
        <v>0</v>
      </c>
      <c r="AE127" s="887">
        <f t="shared" si="35"/>
        <v>0</v>
      </c>
      <c r="AF127" s="887">
        <f t="shared" si="35"/>
        <v>0</v>
      </c>
      <c r="AG127" s="887">
        <f t="shared" si="35"/>
        <v>0</v>
      </c>
      <c r="AH127" s="887">
        <f t="shared" si="35"/>
        <v>0</v>
      </c>
      <c r="AI127" s="887">
        <f t="shared" si="35"/>
        <v>0</v>
      </c>
      <c r="AJ127" s="887">
        <f t="shared" si="35"/>
        <v>0</v>
      </c>
    </row>
  </sheetData>
  <conditionalFormatting sqref="N79:O79 N5:O6 N8:O8 N26:O28 N31:O33 N23:O24 N42:O43 N12:O19 N82:O85 N97:O98 AF21 AE37:AF37 AE61:AF61 AE73:AF73 AE108:AF108 AE125:AF125">
    <cfRule type="expression" dxfId="240" priority="149">
      <formula>N$8="actual"</formula>
    </cfRule>
  </conditionalFormatting>
  <conditionalFormatting sqref="N38:O38">
    <cfRule type="expression" dxfId="239" priority="146">
      <formula>N$8="actual"</formula>
    </cfRule>
  </conditionalFormatting>
  <conditionalFormatting sqref="N38:O38">
    <cfRule type="expression" dxfId="238" priority="145">
      <formula>N$8="actual"</formula>
    </cfRule>
  </conditionalFormatting>
  <conditionalFormatting sqref="M18">
    <cfRule type="expression" dxfId="237" priority="136">
      <formula>M$8="actual"</formula>
    </cfRule>
  </conditionalFormatting>
  <conditionalFormatting sqref="M18">
    <cfRule type="expression" dxfId="236" priority="135">
      <formula>M$8="actual"</formula>
    </cfRule>
  </conditionalFormatting>
  <conditionalFormatting sqref="H18:J18">
    <cfRule type="expression" dxfId="235" priority="134">
      <formula>H$8="actual"</formula>
    </cfRule>
  </conditionalFormatting>
  <conditionalFormatting sqref="H18:J18">
    <cfRule type="expression" dxfId="234" priority="133">
      <formula>H$8="actual"</formula>
    </cfRule>
  </conditionalFormatting>
  <conditionalFormatting sqref="P18">
    <cfRule type="expression" dxfId="233" priority="132">
      <formula>P$8="actual"</formula>
    </cfRule>
  </conditionalFormatting>
  <conditionalFormatting sqref="Q18">
    <cfRule type="expression" dxfId="232" priority="131">
      <formula>Q$8="actual"</formula>
    </cfRule>
  </conditionalFormatting>
  <conditionalFormatting sqref="R18:S18">
    <cfRule type="expression" dxfId="231" priority="127">
      <formula>R$8="actual"</formula>
    </cfRule>
  </conditionalFormatting>
  <conditionalFormatting sqref="T18:AB18">
    <cfRule type="expression" dxfId="230" priority="126">
      <formula>T$8="actual"</formula>
    </cfRule>
  </conditionalFormatting>
  <conditionalFormatting sqref="N100:O100">
    <cfRule type="expression" dxfId="229" priority="125">
      <formula>N$8="actual"</formula>
    </cfRule>
  </conditionalFormatting>
  <conditionalFormatting sqref="N9:O11">
    <cfRule type="expression" dxfId="228" priority="124">
      <formula>N$8="actual"</formula>
    </cfRule>
  </conditionalFormatting>
  <conditionalFormatting sqref="N41:O41">
    <cfRule type="expression" dxfId="227" priority="123">
      <formula>N$8="actual"</formula>
    </cfRule>
  </conditionalFormatting>
  <conditionalFormatting sqref="N41:O41">
    <cfRule type="expression" dxfId="226" priority="122">
      <formula>N$8="actual"</formula>
    </cfRule>
  </conditionalFormatting>
  <conditionalFormatting sqref="AC18:AF18 AH18">
    <cfRule type="expression" dxfId="225" priority="117">
      <formula>AC$8="actual"</formula>
    </cfRule>
  </conditionalFormatting>
  <conditionalFormatting sqref="A4:F4 H4:AF4 AK4:XFD4">
    <cfRule type="containsText" dxfId="224" priority="106" operator="containsText" text="Forecast">
      <formula>NOT(ISERROR(SEARCH("Forecast",A4)))</formula>
    </cfRule>
    <cfRule type="containsText" dxfId="223" priority="107" operator="containsText" text="Actual">
      <formula>NOT(ISERROR(SEARCH("Actual",A4)))</formula>
    </cfRule>
  </conditionalFormatting>
  <conditionalFormatting sqref="D18:G18">
    <cfRule type="expression" dxfId="222" priority="105">
      <formula>D$8="actual"</formula>
    </cfRule>
  </conditionalFormatting>
  <conditionalFormatting sqref="D18:G18">
    <cfRule type="expression" dxfId="221" priority="104">
      <formula>D$8="actual"</formula>
    </cfRule>
  </conditionalFormatting>
  <conditionalFormatting sqref="N21:O21">
    <cfRule type="expression" dxfId="220" priority="103">
      <formula>N$8="actual"</formula>
    </cfRule>
  </conditionalFormatting>
  <conditionalFormatting sqref="M21">
    <cfRule type="expression" dxfId="219" priority="102">
      <formula>M$8="actual"</formula>
    </cfRule>
  </conditionalFormatting>
  <conditionalFormatting sqref="M21">
    <cfRule type="expression" dxfId="218" priority="101">
      <formula>M$8="actual"</formula>
    </cfRule>
  </conditionalFormatting>
  <conditionalFormatting sqref="H21:J21">
    <cfRule type="expression" dxfId="217" priority="100">
      <formula>H$8="actual"</formula>
    </cfRule>
  </conditionalFormatting>
  <conditionalFormatting sqref="H21:J21">
    <cfRule type="expression" dxfId="216" priority="99">
      <formula>H$8="actual"</formula>
    </cfRule>
  </conditionalFormatting>
  <conditionalFormatting sqref="P21">
    <cfRule type="expression" dxfId="215" priority="98">
      <formula>P$8="actual"</formula>
    </cfRule>
  </conditionalFormatting>
  <conditionalFormatting sqref="Q21">
    <cfRule type="expression" dxfId="214" priority="97">
      <formula>Q$8="actual"</formula>
    </cfRule>
  </conditionalFormatting>
  <conditionalFormatting sqref="R21:S21">
    <cfRule type="expression" dxfId="213" priority="96">
      <formula>R$8="actual"</formula>
    </cfRule>
  </conditionalFormatting>
  <conditionalFormatting sqref="T21:AB21">
    <cfRule type="expression" dxfId="212" priority="95">
      <formula>T$8="actual"</formula>
    </cfRule>
  </conditionalFormatting>
  <conditionalFormatting sqref="AC21:AE21">
    <cfRule type="expression" dxfId="211" priority="94">
      <formula>AC$8="actual"</formula>
    </cfRule>
  </conditionalFormatting>
  <conditionalFormatting sqref="D21:G21">
    <cfRule type="expression" dxfId="210" priority="93">
      <formula>D$8="actual"</formula>
    </cfRule>
  </conditionalFormatting>
  <conditionalFormatting sqref="D21:G21">
    <cfRule type="expression" dxfId="209" priority="92">
      <formula>D$8="actual"</formula>
    </cfRule>
  </conditionalFormatting>
  <conditionalFormatting sqref="M37:N37">
    <cfRule type="expression" dxfId="208" priority="91">
      <formula>M$8="actual"</formula>
    </cfRule>
  </conditionalFormatting>
  <conditionalFormatting sqref="L37">
    <cfRule type="expression" dxfId="207" priority="90">
      <formula>L$8="actual"</formula>
    </cfRule>
  </conditionalFormatting>
  <conditionalFormatting sqref="L37">
    <cfRule type="expression" dxfId="206" priority="89">
      <formula>L$8="actual"</formula>
    </cfRule>
  </conditionalFormatting>
  <conditionalFormatting sqref="G37:I37">
    <cfRule type="expression" dxfId="205" priority="88">
      <formula>G$8="actual"</formula>
    </cfRule>
  </conditionalFormatting>
  <conditionalFormatting sqref="G37:I37">
    <cfRule type="expression" dxfId="204" priority="87">
      <formula>G$8="actual"</formula>
    </cfRule>
  </conditionalFormatting>
  <conditionalFormatting sqref="O37">
    <cfRule type="expression" dxfId="203" priority="86">
      <formula>O$8="actual"</formula>
    </cfRule>
  </conditionalFormatting>
  <conditionalFormatting sqref="P37">
    <cfRule type="expression" dxfId="202" priority="85">
      <formula>P$8="actual"</formula>
    </cfRule>
  </conditionalFormatting>
  <conditionalFormatting sqref="Q37:R37">
    <cfRule type="expression" dxfId="201" priority="84">
      <formula>Q$8="actual"</formula>
    </cfRule>
  </conditionalFormatting>
  <conditionalFormatting sqref="S37:AA37">
    <cfRule type="expression" dxfId="200" priority="83">
      <formula>S$8="actual"</formula>
    </cfRule>
  </conditionalFormatting>
  <conditionalFormatting sqref="AB37:AD37">
    <cfRule type="expression" dxfId="199" priority="82">
      <formula>AB$8="actual"</formula>
    </cfRule>
  </conditionalFormatting>
  <conditionalFormatting sqref="C37:F37">
    <cfRule type="expression" dxfId="198" priority="81">
      <formula>C$8="actual"</formula>
    </cfRule>
  </conditionalFormatting>
  <conditionalFormatting sqref="C37:F37">
    <cfRule type="expression" dxfId="197" priority="80">
      <formula>C$8="actual"</formula>
    </cfRule>
  </conditionalFormatting>
  <conditionalFormatting sqref="N22:O22">
    <cfRule type="expression" dxfId="196" priority="79">
      <formula>N$8="actual"</formula>
    </cfRule>
  </conditionalFormatting>
  <conditionalFormatting sqref="M61:N61">
    <cfRule type="expression" dxfId="195" priority="78">
      <formula>M$8="actual"</formula>
    </cfRule>
  </conditionalFormatting>
  <conditionalFormatting sqref="L61">
    <cfRule type="expression" dxfId="194" priority="77">
      <formula>L$8="actual"</formula>
    </cfRule>
  </conditionalFormatting>
  <conditionalFormatting sqref="L61">
    <cfRule type="expression" dxfId="193" priority="76">
      <formula>L$8="actual"</formula>
    </cfRule>
  </conditionalFormatting>
  <conditionalFormatting sqref="G61:I61">
    <cfRule type="expression" dxfId="192" priority="75">
      <formula>G$8="actual"</formula>
    </cfRule>
  </conditionalFormatting>
  <conditionalFormatting sqref="G61:I61">
    <cfRule type="expression" dxfId="191" priority="74">
      <formula>G$8="actual"</formula>
    </cfRule>
  </conditionalFormatting>
  <conditionalFormatting sqref="O61">
    <cfRule type="expression" dxfId="190" priority="73">
      <formula>O$8="actual"</formula>
    </cfRule>
  </conditionalFormatting>
  <conditionalFormatting sqref="P61">
    <cfRule type="expression" dxfId="189" priority="72">
      <formula>P$8="actual"</formula>
    </cfRule>
  </conditionalFormatting>
  <conditionalFormatting sqref="Q61:R61">
    <cfRule type="expression" dxfId="188" priority="71">
      <formula>Q$8="actual"</formula>
    </cfRule>
  </conditionalFormatting>
  <conditionalFormatting sqref="S61:AA61">
    <cfRule type="expression" dxfId="187" priority="70">
      <formula>S$8="actual"</formula>
    </cfRule>
  </conditionalFormatting>
  <conditionalFormatting sqref="AB61:AD61">
    <cfRule type="expression" dxfId="186" priority="69">
      <formula>AB$8="actual"</formula>
    </cfRule>
  </conditionalFormatting>
  <conditionalFormatting sqref="C61:F61">
    <cfRule type="expression" dxfId="185" priority="68">
      <formula>C$8="actual"</formula>
    </cfRule>
  </conditionalFormatting>
  <conditionalFormatting sqref="C61:F61">
    <cfRule type="expression" dxfId="184" priority="67">
      <formula>C$8="actual"</formula>
    </cfRule>
  </conditionalFormatting>
  <conditionalFormatting sqref="N40:O40">
    <cfRule type="expression" dxfId="183" priority="66">
      <formula>N$8="actual"</formula>
    </cfRule>
  </conditionalFormatting>
  <conditionalFormatting sqref="N44:O44">
    <cfRule type="expression" dxfId="182" priority="65">
      <formula>N$8="actual"</formula>
    </cfRule>
  </conditionalFormatting>
  <conditionalFormatting sqref="N48:O48">
    <cfRule type="expression" dxfId="181" priority="64">
      <formula>N$8="actual"</formula>
    </cfRule>
  </conditionalFormatting>
  <conditionalFormatting sqref="N52:O52">
    <cfRule type="expression" dxfId="180" priority="63">
      <formula>N$8="actual"</formula>
    </cfRule>
  </conditionalFormatting>
  <conditionalFormatting sqref="N56:O56">
    <cfRule type="expression" dxfId="179" priority="62">
      <formula>N$8="actual"</formula>
    </cfRule>
  </conditionalFormatting>
  <conditionalFormatting sqref="N60:O60">
    <cfRule type="expression" dxfId="178" priority="61">
      <formula>N$8="actual"</formula>
    </cfRule>
  </conditionalFormatting>
  <conditionalFormatting sqref="M73:N73">
    <cfRule type="expression" dxfId="177" priority="60">
      <formula>M$8="actual"</formula>
    </cfRule>
  </conditionalFormatting>
  <conditionalFormatting sqref="L73">
    <cfRule type="expression" dxfId="176" priority="59">
      <formula>L$8="actual"</formula>
    </cfRule>
  </conditionalFormatting>
  <conditionalFormatting sqref="L73">
    <cfRule type="expression" dxfId="175" priority="58">
      <formula>L$8="actual"</formula>
    </cfRule>
  </conditionalFormatting>
  <conditionalFormatting sqref="G73:I73">
    <cfRule type="expression" dxfId="174" priority="57">
      <formula>G$8="actual"</formula>
    </cfRule>
  </conditionalFormatting>
  <conditionalFormatting sqref="G73:I73">
    <cfRule type="expression" dxfId="173" priority="56">
      <formula>G$8="actual"</formula>
    </cfRule>
  </conditionalFormatting>
  <conditionalFormatting sqref="O73">
    <cfRule type="expression" dxfId="172" priority="55">
      <formula>O$8="actual"</formula>
    </cfRule>
  </conditionalFormatting>
  <conditionalFormatting sqref="P73">
    <cfRule type="expression" dxfId="171" priority="54">
      <formula>P$8="actual"</formula>
    </cfRule>
  </conditionalFormatting>
  <conditionalFormatting sqref="Q73:R73">
    <cfRule type="expression" dxfId="170" priority="53">
      <formula>Q$8="actual"</formula>
    </cfRule>
  </conditionalFormatting>
  <conditionalFormatting sqref="S73:AA73">
    <cfRule type="expression" dxfId="169" priority="52">
      <formula>S$8="actual"</formula>
    </cfRule>
  </conditionalFormatting>
  <conditionalFormatting sqref="AB73:AD73">
    <cfRule type="expression" dxfId="168" priority="51">
      <formula>AB$8="actual"</formula>
    </cfRule>
  </conditionalFormatting>
  <conditionalFormatting sqref="C73:F73">
    <cfRule type="expression" dxfId="167" priority="50">
      <formula>C$8="actual"</formula>
    </cfRule>
  </conditionalFormatting>
  <conditionalFormatting sqref="C73:F73">
    <cfRule type="expression" dxfId="166" priority="49">
      <formula>C$8="actual"</formula>
    </cfRule>
  </conditionalFormatting>
  <conditionalFormatting sqref="N76:O76">
    <cfRule type="expression" dxfId="165" priority="48">
      <formula>N$8="actual"</formula>
    </cfRule>
  </conditionalFormatting>
  <conditionalFormatting sqref="N78:O78">
    <cfRule type="expression" dxfId="164" priority="47">
      <formula>N$8="actual"</formula>
    </cfRule>
  </conditionalFormatting>
  <conditionalFormatting sqref="N90:O90">
    <cfRule type="expression" dxfId="163" priority="46">
      <formula>N$8="actual"</formula>
    </cfRule>
  </conditionalFormatting>
  <conditionalFormatting sqref="M96:N96">
    <cfRule type="expression" dxfId="162" priority="45">
      <formula>M$8="actual"</formula>
    </cfRule>
  </conditionalFormatting>
  <conditionalFormatting sqref="N99:O99">
    <cfRule type="expression" dxfId="161" priority="44">
      <formula>N$8="actual"</formula>
    </cfRule>
  </conditionalFormatting>
  <conditionalFormatting sqref="N104:O104">
    <cfRule type="expression" dxfId="160" priority="43">
      <formula>N$8="actual"</formula>
    </cfRule>
  </conditionalFormatting>
  <conditionalFormatting sqref="N102:O102">
    <cfRule type="expression" dxfId="159" priority="42">
      <formula>N$8="actual"</formula>
    </cfRule>
  </conditionalFormatting>
  <conditionalFormatting sqref="N107:O107">
    <cfRule type="expression" dxfId="158" priority="41">
      <formula>N$8="actual"</formula>
    </cfRule>
  </conditionalFormatting>
  <conditionalFormatting sqref="M108:N108">
    <cfRule type="expression" dxfId="157" priority="40">
      <formula>M$8="actual"</formula>
    </cfRule>
  </conditionalFormatting>
  <conditionalFormatting sqref="L108">
    <cfRule type="expression" dxfId="156" priority="39">
      <formula>L$8="actual"</formula>
    </cfRule>
  </conditionalFormatting>
  <conditionalFormatting sqref="L108">
    <cfRule type="expression" dxfId="155" priority="38">
      <formula>L$8="actual"</formula>
    </cfRule>
  </conditionalFormatting>
  <conditionalFormatting sqref="G108:I108">
    <cfRule type="expression" dxfId="154" priority="37">
      <formula>G$8="actual"</formula>
    </cfRule>
  </conditionalFormatting>
  <conditionalFormatting sqref="G108:I108">
    <cfRule type="expression" dxfId="153" priority="36">
      <formula>G$8="actual"</formula>
    </cfRule>
  </conditionalFormatting>
  <conditionalFormatting sqref="O108">
    <cfRule type="expression" dxfId="152" priority="35">
      <formula>O$8="actual"</formula>
    </cfRule>
  </conditionalFormatting>
  <conditionalFormatting sqref="P108">
    <cfRule type="expression" dxfId="151" priority="34">
      <formula>P$8="actual"</formula>
    </cfRule>
  </conditionalFormatting>
  <conditionalFormatting sqref="Q108:R108">
    <cfRule type="expression" dxfId="150" priority="33">
      <formula>Q$8="actual"</formula>
    </cfRule>
  </conditionalFormatting>
  <conditionalFormatting sqref="S108:AA108">
    <cfRule type="expression" dxfId="149" priority="32">
      <formula>S$8="actual"</formula>
    </cfRule>
  </conditionalFormatting>
  <conditionalFormatting sqref="AB108:AD108">
    <cfRule type="expression" dxfId="148" priority="31">
      <formula>AB$8="actual"</formula>
    </cfRule>
  </conditionalFormatting>
  <conditionalFormatting sqref="C108:F108">
    <cfRule type="expression" dxfId="147" priority="30">
      <formula>C$8="actual"</formula>
    </cfRule>
  </conditionalFormatting>
  <conditionalFormatting sqref="C108:F108">
    <cfRule type="expression" dxfId="146" priority="29">
      <formula>C$8="actual"</formula>
    </cfRule>
  </conditionalFormatting>
  <conditionalFormatting sqref="M125:N125">
    <cfRule type="expression" dxfId="145" priority="28">
      <formula>M$8="actual"</formula>
    </cfRule>
  </conditionalFormatting>
  <conditionalFormatting sqref="L125">
    <cfRule type="expression" dxfId="144" priority="27">
      <formula>L$8="actual"</formula>
    </cfRule>
  </conditionalFormatting>
  <conditionalFormatting sqref="L125">
    <cfRule type="expression" dxfId="143" priority="26">
      <formula>L$8="actual"</formula>
    </cfRule>
  </conditionalFormatting>
  <conditionalFormatting sqref="G125:I125">
    <cfRule type="expression" dxfId="142" priority="25">
      <formula>G$8="actual"</formula>
    </cfRule>
  </conditionalFormatting>
  <conditionalFormatting sqref="G125:I125">
    <cfRule type="expression" dxfId="141" priority="24">
      <formula>G$8="actual"</formula>
    </cfRule>
  </conditionalFormatting>
  <conditionalFormatting sqref="O125">
    <cfRule type="expression" dxfId="140" priority="23">
      <formula>O$8="actual"</formula>
    </cfRule>
  </conditionalFormatting>
  <conditionalFormatting sqref="P125">
    <cfRule type="expression" dxfId="139" priority="22">
      <formula>P$8="actual"</formula>
    </cfRule>
  </conditionalFormatting>
  <conditionalFormatting sqref="Q125:R125">
    <cfRule type="expression" dxfId="138" priority="21">
      <formula>Q$8="actual"</formula>
    </cfRule>
  </conditionalFormatting>
  <conditionalFormatting sqref="S125:AA125">
    <cfRule type="expression" dxfId="137" priority="20">
      <formula>S$8="actual"</formula>
    </cfRule>
  </conditionalFormatting>
  <conditionalFormatting sqref="AB125:AD125">
    <cfRule type="expression" dxfId="136" priority="19">
      <formula>AB$8="actual"</formula>
    </cfRule>
  </conditionalFormatting>
  <conditionalFormatting sqref="C125:F125">
    <cfRule type="expression" dxfId="135" priority="18">
      <formula>C$8="actual"</formula>
    </cfRule>
  </conditionalFormatting>
  <conditionalFormatting sqref="C125:F125">
    <cfRule type="expression" dxfId="134" priority="17">
      <formula>C$8="actual"</formula>
    </cfRule>
  </conditionalFormatting>
  <conditionalFormatting sqref="AG21:AH21 AG37:AH37 AG73:AH73 AG125:AH125 AG108:AH108 AG61:AH61 AK73:AS73">
    <cfRule type="expression" dxfId="133" priority="16">
      <formula>AG$8="actual"</formula>
    </cfRule>
  </conditionalFormatting>
  <conditionalFormatting sqref="AG18">
    <cfRule type="expression" dxfId="132" priority="15">
      <formula>AG$8="actual"</formula>
    </cfRule>
  </conditionalFormatting>
  <conditionalFormatting sqref="AG4">
    <cfRule type="containsText" dxfId="131" priority="13" operator="containsText" text="Forecast">
      <formula>NOT(ISERROR(SEARCH("Forecast",AG4)))</formula>
    </cfRule>
    <cfRule type="containsText" dxfId="130" priority="14" operator="containsText" text="Actual">
      <formula>NOT(ISERROR(SEARCH("Actual",AG4)))</formula>
    </cfRule>
  </conditionalFormatting>
  <conditionalFormatting sqref="AH4">
    <cfRule type="containsText" dxfId="129" priority="11" operator="containsText" text="Forecast">
      <formula>NOT(ISERROR(SEARCH("Forecast",AH4)))</formula>
    </cfRule>
    <cfRule type="containsText" dxfId="128" priority="12" operator="containsText" text="Actual">
      <formula>NOT(ISERROR(SEARCH("Actual",AH4)))</formula>
    </cfRule>
  </conditionalFormatting>
  <conditionalFormatting sqref="AI18">
    <cfRule type="expression" dxfId="127" priority="10">
      <formula>AI$8="actual"</formula>
    </cfRule>
  </conditionalFormatting>
  <conditionalFormatting sqref="AI73 AI21 AI37 AI61 AI108:AJ108 AI125:AJ125">
    <cfRule type="expression" dxfId="126" priority="9">
      <formula>AI$8="actual"</formula>
    </cfRule>
  </conditionalFormatting>
  <conditionalFormatting sqref="AI4">
    <cfRule type="containsText" dxfId="125" priority="7" operator="containsText" text="Forecast">
      <formula>NOT(ISERROR(SEARCH("Forecast",AI4)))</formula>
    </cfRule>
    <cfRule type="containsText" dxfId="124" priority="8" operator="containsText" text="Actual">
      <formula>NOT(ISERROR(SEARCH("Actual",AI4)))</formula>
    </cfRule>
  </conditionalFormatting>
  <conditionalFormatting sqref="AJ18">
    <cfRule type="expression" dxfId="123" priority="4">
      <formula>AJ$8="actual"</formula>
    </cfRule>
  </conditionalFormatting>
  <conditionalFormatting sqref="AJ73 AJ21 AJ37 AJ61">
    <cfRule type="expression" dxfId="122" priority="3">
      <formula>AJ$8="actual"</formula>
    </cfRule>
  </conditionalFormatting>
  <conditionalFormatting sqref="AJ4">
    <cfRule type="containsText" dxfId="121" priority="1" operator="containsText" text="Forecast">
      <formula>NOT(ISERROR(SEARCH("Forecast",AJ4)))</formula>
    </cfRule>
    <cfRule type="containsText" dxfId="120" priority="2" operator="containsText" text="Actual">
      <formula>NOT(ISERROR(SEARCH("Actual",AJ4)))</formula>
    </cfRule>
  </conditionalFormatting>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BV56"/>
  <sheetViews>
    <sheetView zoomScale="80" zoomScaleNormal="80" workbookViewId="0">
      <pane xSplit="3" ySplit="2" topLeftCell="D37" activePane="bottomRight" state="frozen"/>
      <selection pane="topRight" activeCell="D1" sqref="D1"/>
      <selection pane="bottomLeft" activeCell="A3" sqref="A3"/>
      <selection pane="bottomRight" activeCell="AD56" sqref="AD56"/>
    </sheetView>
  </sheetViews>
  <sheetFormatPr defaultRowHeight="15" outlineLevelRow="1" outlineLevelCol="1" x14ac:dyDescent="0.25"/>
  <cols>
    <col min="1" max="1" width="9.140625" style="570"/>
    <col min="2" max="2" width="7.5703125" style="570" customWidth="1"/>
    <col min="3" max="3" width="27.5703125" style="570" bestFit="1" customWidth="1"/>
    <col min="4" max="4" width="12.42578125" style="570" bestFit="1" customWidth="1"/>
    <col min="5" max="14" width="12.42578125" style="570" hidden="1" customWidth="1" outlineLevel="1"/>
    <col min="15" max="15" width="13.140625" style="570" customWidth="1" collapsed="1"/>
    <col min="16" max="16" width="12.42578125" style="570" bestFit="1" customWidth="1"/>
    <col min="17" max="26" width="12.42578125" style="570" hidden="1" customWidth="1" outlineLevel="1"/>
    <col min="27" max="27" width="12.42578125" style="570" bestFit="1" customWidth="1" collapsed="1"/>
    <col min="28" max="30" width="12.42578125" style="570" bestFit="1" customWidth="1"/>
    <col min="31" max="44" width="9.140625" style="570"/>
    <col min="45" max="45" width="10.85546875" style="570" bestFit="1" customWidth="1"/>
    <col min="46" max="60" width="9.140625" style="570"/>
    <col min="61" max="63" width="10.5703125" style="570" bestFit="1" customWidth="1"/>
    <col min="64" max="73" width="9.140625" style="570"/>
    <col min="74" max="74" width="8.5703125" style="570" customWidth="1"/>
    <col min="75" max="16384" width="9.140625" style="570"/>
  </cols>
  <sheetData>
    <row r="2" spans="2:74" x14ac:dyDescent="0.25">
      <c r="C2" s="999" t="s">
        <v>924</v>
      </c>
      <c r="D2" s="1125">
        <v>40909</v>
      </c>
      <c r="E2" s="1125">
        <v>40940</v>
      </c>
      <c r="F2" s="1125">
        <v>40969</v>
      </c>
      <c r="G2" s="1125">
        <v>41000</v>
      </c>
      <c r="H2" s="1125">
        <v>41030</v>
      </c>
      <c r="I2" s="1125">
        <v>41061</v>
      </c>
      <c r="J2" s="1125">
        <v>41091</v>
      </c>
      <c r="K2" s="1125">
        <v>41122</v>
      </c>
      <c r="L2" s="1125">
        <v>41153</v>
      </c>
      <c r="M2" s="1125">
        <v>41183</v>
      </c>
      <c r="N2" s="1125">
        <v>41214</v>
      </c>
      <c r="O2" s="1125">
        <v>41244</v>
      </c>
      <c r="P2" s="1125">
        <v>41275</v>
      </c>
      <c r="Q2" s="1125">
        <v>41306</v>
      </c>
      <c r="R2" s="1125">
        <v>41334</v>
      </c>
      <c r="S2" s="1125">
        <v>41365</v>
      </c>
      <c r="T2" s="1125">
        <v>41395</v>
      </c>
      <c r="U2" s="1125">
        <v>41426</v>
      </c>
      <c r="V2" s="1125">
        <v>41456</v>
      </c>
      <c r="W2" s="1125">
        <v>41487</v>
      </c>
      <c r="X2" s="1125">
        <v>41518</v>
      </c>
      <c r="Y2" s="1125">
        <v>41548</v>
      </c>
      <c r="Z2" s="1125">
        <v>41579</v>
      </c>
      <c r="AA2" s="1125">
        <v>41609</v>
      </c>
      <c r="AB2" s="1125">
        <v>41640</v>
      </c>
      <c r="AC2" s="1125">
        <v>41671</v>
      </c>
      <c r="AD2" s="1125">
        <v>41699</v>
      </c>
      <c r="AE2" s="1125">
        <v>41730</v>
      </c>
      <c r="AF2" s="1125">
        <v>41760</v>
      </c>
      <c r="AG2" s="1125">
        <v>41791</v>
      </c>
      <c r="AH2" s="1125">
        <v>41821</v>
      </c>
      <c r="AI2" s="1125">
        <v>41852</v>
      </c>
      <c r="AJ2" s="1125">
        <v>41883</v>
      </c>
      <c r="AK2" s="1125">
        <v>41913</v>
      </c>
      <c r="AL2" s="1125">
        <v>41944</v>
      </c>
      <c r="AM2" s="1125">
        <v>41974</v>
      </c>
      <c r="AN2" s="1125">
        <v>42005</v>
      </c>
      <c r="AO2" s="1125">
        <v>42036</v>
      </c>
      <c r="AP2" s="1125">
        <v>42064</v>
      </c>
      <c r="AQ2" s="1125">
        <v>42095</v>
      </c>
      <c r="AR2" s="1125">
        <v>42125</v>
      </c>
      <c r="AS2" s="1125">
        <v>42156</v>
      </c>
      <c r="AT2" s="1125">
        <v>42186</v>
      </c>
      <c r="AU2" s="1125">
        <v>42217</v>
      </c>
      <c r="AV2" s="1125">
        <v>42248</v>
      </c>
      <c r="AW2" s="1125">
        <v>42278</v>
      </c>
      <c r="AX2" s="1125">
        <v>42309</v>
      </c>
      <c r="AY2" s="1125">
        <v>42339</v>
      </c>
      <c r="AZ2" s="1125">
        <v>42370</v>
      </c>
      <c r="BA2" s="1125">
        <v>42401</v>
      </c>
      <c r="BB2" s="1125">
        <v>42430</v>
      </c>
      <c r="BC2" s="1125">
        <v>42461</v>
      </c>
      <c r="BD2" s="1125">
        <v>42491</v>
      </c>
      <c r="BE2" s="1125">
        <v>42522</v>
      </c>
      <c r="BF2" s="1125">
        <v>42552</v>
      </c>
      <c r="BG2" s="1125">
        <v>42583</v>
      </c>
      <c r="BH2" s="1125">
        <v>42614</v>
      </c>
      <c r="BI2" s="1125">
        <v>42644</v>
      </c>
      <c r="BJ2" s="1125">
        <v>42675</v>
      </c>
      <c r="BK2" s="1125">
        <v>42705</v>
      </c>
      <c r="BL2" s="1125">
        <v>42736</v>
      </c>
      <c r="BM2" s="1125">
        <v>42767</v>
      </c>
      <c r="BN2" s="1125">
        <v>42795</v>
      </c>
      <c r="BO2" s="1125">
        <v>42826</v>
      </c>
      <c r="BP2" s="1125">
        <v>42856</v>
      </c>
      <c r="BQ2" s="1125">
        <v>42887</v>
      </c>
      <c r="BR2" s="1125">
        <v>42917</v>
      </c>
      <c r="BS2" s="1125">
        <v>42948</v>
      </c>
      <c r="BT2" s="1125">
        <v>42979</v>
      </c>
      <c r="BU2" s="1125">
        <v>43009</v>
      </c>
      <c r="BV2" s="1125">
        <v>43040</v>
      </c>
    </row>
    <row r="3" spans="2:74" x14ac:dyDescent="0.25">
      <c r="C3" s="998" t="s">
        <v>1107</v>
      </c>
      <c r="D3" s="578" t="s">
        <v>5</v>
      </c>
      <c r="E3" s="578" t="s">
        <v>5</v>
      </c>
      <c r="F3" s="578" t="s">
        <v>5</v>
      </c>
      <c r="G3" s="578" t="s">
        <v>5</v>
      </c>
      <c r="H3" s="578" t="s">
        <v>5</v>
      </c>
      <c r="I3" s="578" t="s">
        <v>5</v>
      </c>
      <c r="J3" s="578" t="s">
        <v>5</v>
      </c>
      <c r="K3" s="578" t="s">
        <v>5</v>
      </c>
      <c r="L3" s="578" t="s">
        <v>5</v>
      </c>
      <c r="M3" s="578" t="s">
        <v>5</v>
      </c>
      <c r="N3" s="578" t="s">
        <v>5</v>
      </c>
      <c r="O3" s="578" t="s">
        <v>5</v>
      </c>
      <c r="P3" s="578" t="s">
        <v>5</v>
      </c>
      <c r="Q3" s="578" t="s">
        <v>5</v>
      </c>
      <c r="R3" s="578" t="s">
        <v>5</v>
      </c>
      <c r="S3" s="578" t="s">
        <v>5</v>
      </c>
      <c r="T3" s="578" t="s">
        <v>5</v>
      </c>
      <c r="U3" s="578" t="s">
        <v>5</v>
      </c>
      <c r="V3" s="578" t="s">
        <v>5</v>
      </c>
      <c r="W3" s="578" t="s">
        <v>5</v>
      </c>
      <c r="X3" s="578" t="s">
        <v>5</v>
      </c>
      <c r="Y3" s="578" t="s">
        <v>5</v>
      </c>
      <c r="Z3" s="578" t="s">
        <v>5</v>
      </c>
      <c r="AA3" s="578" t="s">
        <v>5</v>
      </c>
      <c r="AB3" s="578" t="s">
        <v>5</v>
      </c>
      <c r="AC3" s="578" t="s">
        <v>5</v>
      </c>
      <c r="AD3" s="578" t="s">
        <v>5</v>
      </c>
      <c r="AE3" s="231" t="s">
        <v>6</v>
      </c>
      <c r="AF3" s="231" t="s">
        <v>6</v>
      </c>
      <c r="AG3" s="231" t="s">
        <v>6</v>
      </c>
      <c r="AH3" s="231" t="s">
        <v>6</v>
      </c>
      <c r="AI3" s="231" t="s">
        <v>6</v>
      </c>
      <c r="AJ3" s="231" t="s">
        <v>6</v>
      </c>
      <c r="AK3" s="231" t="s">
        <v>6</v>
      </c>
      <c r="AL3" s="231" t="s">
        <v>6</v>
      </c>
      <c r="AM3" s="231" t="s">
        <v>6</v>
      </c>
      <c r="AN3" s="231" t="s">
        <v>6</v>
      </c>
      <c r="AO3" s="231" t="s">
        <v>6</v>
      </c>
      <c r="AP3" s="231" t="s">
        <v>6</v>
      </c>
      <c r="AQ3" s="231" t="s">
        <v>6</v>
      </c>
      <c r="AR3" s="231" t="s">
        <v>6</v>
      </c>
      <c r="AS3" s="231" t="s">
        <v>6</v>
      </c>
      <c r="AT3" s="231" t="s">
        <v>6</v>
      </c>
      <c r="AU3" s="231" t="s">
        <v>6</v>
      </c>
      <c r="AV3" s="231" t="s">
        <v>6</v>
      </c>
      <c r="AW3" s="231" t="s">
        <v>6</v>
      </c>
      <c r="AX3" s="231" t="s">
        <v>6</v>
      </c>
      <c r="AY3" s="231" t="s">
        <v>6</v>
      </c>
      <c r="AZ3" s="231" t="s">
        <v>6</v>
      </c>
      <c r="BA3" s="231" t="s">
        <v>6</v>
      </c>
      <c r="BB3" s="231" t="s">
        <v>6</v>
      </c>
      <c r="BC3" s="231" t="s">
        <v>6</v>
      </c>
      <c r="BD3" s="231" t="s">
        <v>6</v>
      </c>
      <c r="BE3" s="231" t="s">
        <v>6</v>
      </c>
      <c r="BF3" s="231" t="s">
        <v>6</v>
      </c>
      <c r="BG3" s="231" t="s">
        <v>6</v>
      </c>
      <c r="BH3" s="231" t="s">
        <v>6</v>
      </c>
      <c r="BI3" s="231" t="s">
        <v>6</v>
      </c>
      <c r="BJ3" s="231" t="s">
        <v>6</v>
      </c>
      <c r="BK3" s="231" t="s">
        <v>6</v>
      </c>
      <c r="BL3" s="231" t="s">
        <v>6</v>
      </c>
      <c r="BM3" s="231" t="s">
        <v>6</v>
      </c>
      <c r="BN3" s="231" t="s">
        <v>6</v>
      </c>
      <c r="BO3" s="231" t="s">
        <v>6</v>
      </c>
      <c r="BP3" s="231" t="s">
        <v>6</v>
      </c>
      <c r="BQ3" s="231" t="s">
        <v>6</v>
      </c>
      <c r="BR3" s="231" t="s">
        <v>6</v>
      </c>
      <c r="BS3" s="231" t="s">
        <v>6</v>
      </c>
      <c r="BT3" s="231" t="s">
        <v>6</v>
      </c>
      <c r="BU3" s="231" t="s">
        <v>6</v>
      </c>
      <c r="BV3" s="231" t="s">
        <v>6</v>
      </c>
    </row>
    <row r="4" spans="2:74" x14ac:dyDescent="0.25">
      <c r="B4" s="636" t="s">
        <v>1064</v>
      </c>
      <c r="C4" s="40"/>
      <c r="D4" s="405"/>
      <c r="E4" s="405"/>
      <c r="F4" s="405"/>
      <c r="G4" s="405"/>
      <c r="H4" s="405"/>
      <c r="I4" s="405"/>
      <c r="J4" s="405"/>
      <c r="K4" s="405"/>
      <c r="L4" s="405"/>
      <c r="M4" s="405"/>
      <c r="N4" s="405"/>
      <c r="O4" s="405"/>
      <c r="P4" s="405"/>
      <c r="Q4" s="405"/>
      <c r="R4" s="405"/>
      <c r="S4" s="405"/>
      <c r="T4" s="405"/>
      <c r="U4" s="405"/>
      <c r="V4" s="405"/>
      <c r="W4" s="405"/>
      <c r="X4" s="405"/>
      <c r="Y4" s="405"/>
      <c r="Z4" s="405"/>
      <c r="AA4" s="405"/>
      <c r="AB4" s="405"/>
      <c r="AC4" s="405"/>
      <c r="AD4" s="405"/>
    </row>
    <row r="5" spans="2:74" x14ac:dyDescent="0.25">
      <c r="B5" s="40"/>
      <c r="C5" s="40"/>
      <c r="D5" s="875"/>
      <c r="E5" s="875"/>
      <c r="F5" s="405"/>
      <c r="G5" s="405"/>
      <c r="H5" s="405"/>
      <c r="I5" s="405"/>
      <c r="J5" s="405"/>
      <c r="K5" s="405"/>
      <c r="L5" s="405"/>
      <c r="M5" s="405"/>
      <c r="N5" s="405"/>
      <c r="O5" s="405"/>
      <c r="P5" s="405"/>
      <c r="Q5" s="405"/>
      <c r="R5" s="405"/>
      <c r="S5" s="405"/>
      <c r="T5" s="405"/>
      <c r="U5" s="405"/>
      <c r="V5" s="405"/>
      <c r="W5" s="405"/>
      <c r="X5" s="405"/>
      <c r="Y5" s="405"/>
      <c r="Z5" s="405"/>
      <c r="AA5" s="405"/>
      <c r="AB5" s="405"/>
      <c r="AC5" s="405"/>
      <c r="AD5" s="405"/>
    </row>
    <row r="6" spans="2:74" x14ac:dyDescent="0.25">
      <c r="B6" s="40"/>
      <c r="C6" s="571" t="s">
        <v>220</v>
      </c>
      <c r="D6" s="876"/>
      <c r="E6" s="876"/>
      <c r="F6" s="876"/>
      <c r="G6" s="405"/>
      <c r="H6" s="405"/>
      <c r="I6" s="405"/>
      <c r="J6" s="405"/>
      <c r="K6" s="405"/>
      <c r="L6" s="405"/>
      <c r="M6" s="405"/>
      <c r="N6" s="405"/>
      <c r="O6" s="405"/>
      <c r="P6" s="405"/>
      <c r="Q6" s="405"/>
      <c r="R6" s="405"/>
      <c r="S6" s="405"/>
      <c r="T6" s="405"/>
      <c r="U6" s="405"/>
      <c r="V6" s="405"/>
      <c r="W6" s="405"/>
      <c r="X6" s="405"/>
      <c r="Y6" s="405"/>
      <c r="Z6" s="405"/>
      <c r="AA6" s="405"/>
      <c r="AB6" s="405"/>
      <c r="AC6" s="405"/>
      <c r="AD6" s="405"/>
    </row>
    <row r="7" spans="2:74" x14ac:dyDescent="0.25">
      <c r="B7" s="40"/>
      <c r="C7" s="1131" t="s">
        <v>222</v>
      </c>
      <c r="D7" s="438"/>
      <c r="E7" s="438"/>
      <c r="F7" s="438"/>
      <c r="G7" s="438"/>
      <c r="H7" s="438"/>
      <c r="I7" s="438"/>
      <c r="J7" s="438"/>
      <c r="K7" s="438"/>
      <c r="L7" s="438"/>
      <c r="M7" s="438"/>
      <c r="N7" s="438"/>
      <c r="O7" s="438"/>
      <c r="P7" s="438">
        <v>68568.25</v>
      </c>
      <c r="Q7" s="438">
        <v>81802.92</v>
      </c>
      <c r="R7" s="438">
        <v>90480.9</v>
      </c>
      <c r="S7" s="438">
        <v>97542.61</v>
      </c>
      <c r="T7" s="438">
        <v>112808.73</v>
      </c>
      <c r="U7" s="438">
        <v>114358.57</v>
      </c>
      <c r="V7" s="438">
        <v>133498.74</v>
      </c>
      <c r="W7" s="438">
        <v>118553.86</v>
      </c>
      <c r="X7" s="438">
        <v>120864.5</v>
      </c>
      <c r="Y7" s="438">
        <v>135994.17000000001</v>
      </c>
      <c r="Z7" s="438">
        <v>145638.19</v>
      </c>
      <c r="AA7" s="438">
        <v>506348.82</v>
      </c>
      <c r="AB7" s="438">
        <v>501961.27</v>
      </c>
      <c r="AC7" s="438">
        <v>523368.04</v>
      </c>
      <c r="AD7" s="438">
        <v>592055.31000000006</v>
      </c>
    </row>
    <row r="8" spans="2:74" x14ac:dyDescent="0.25">
      <c r="B8" s="40"/>
      <c r="C8" s="1133" t="s">
        <v>1154</v>
      </c>
      <c r="D8" s="1127"/>
      <c r="E8" s="1127"/>
      <c r="F8" s="1127"/>
      <c r="G8" s="1127"/>
      <c r="H8" s="1127"/>
      <c r="I8" s="1127"/>
      <c r="J8" s="1127"/>
      <c r="K8" s="1127"/>
      <c r="L8" s="1127"/>
      <c r="M8" s="1127"/>
      <c r="N8" s="1127"/>
      <c r="O8" s="1127"/>
      <c r="P8" s="1128"/>
      <c r="Q8" s="1128"/>
      <c r="R8" s="1128"/>
      <c r="S8" s="1128"/>
      <c r="T8" s="1128"/>
      <c r="U8" s="1128"/>
      <c r="V8" s="1128"/>
      <c r="W8" s="1128"/>
      <c r="X8" s="1128"/>
      <c r="Y8" s="1128"/>
      <c r="Z8" s="1128"/>
      <c r="AA8" s="1128"/>
      <c r="AB8" s="1122"/>
      <c r="AC8" s="1122"/>
      <c r="AD8" s="1122"/>
      <c r="AE8" s="1122"/>
      <c r="AF8" s="1122"/>
      <c r="AG8" s="1122"/>
      <c r="AH8" s="1122"/>
      <c r="AI8" s="1122"/>
      <c r="AJ8" s="1122"/>
      <c r="AK8" s="1122"/>
      <c r="AL8" s="1122"/>
      <c r="AM8" s="1122"/>
      <c r="AN8" s="1122"/>
    </row>
    <row r="9" spans="2:74" outlineLevel="1" x14ac:dyDescent="0.25">
      <c r="B9" s="40"/>
      <c r="C9" s="1126" t="s">
        <v>1156</v>
      </c>
      <c r="D9" s="438"/>
      <c r="E9" s="438"/>
      <c r="F9" s="438"/>
      <c r="G9" s="438"/>
      <c r="H9" s="438"/>
      <c r="I9" s="438"/>
      <c r="J9" s="438"/>
      <c r="K9" s="438"/>
      <c r="L9" s="438"/>
      <c r="M9" s="438"/>
      <c r="N9" s="438"/>
      <c r="O9" s="438"/>
      <c r="P9" s="438">
        <v>0</v>
      </c>
      <c r="Q9" s="438">
        <v>0</v>
      </c>
      <c r="R9" s="438">
        <v>0</v>
      </c>
      <c r="S9" s="438">
        <v>0</v>
      </c>
      <c r="T9" s="438">
        <v>0</v>
      </c>
      <c r="U9" s="438">
        <v>0</v>
      </c>
      <c r="V9" s="438">
        <v>0</v>
      </c>
      <c r="W9" s="438">
        <v>0</v>
      </c>
      <c r="X9" s="438">
        <v>0</v>
      </c>
      <c r="Y9" s="438">
        <v>0</v>
      </c>
      <c r="Z9" s="438">
        <v>0</v>
      </c>
      <c r="AA9" s="438">
        <v>99585.87</v>
      </c>
      <c r="AB9" s="438">
        <v>85292</v>
      </c>
      <c r="AC9" s="438">
        <v>98502</v>
      </c>
      <c r="AD9" s="438">
        <v>114111</v>
      </c>
    </row>
    <row r="10" spans="2:74" outlineLevel="1" x14ac:dyDescent="0.25">
      <c r="B10" s="40"/>
      <c r="C10" s="1126" t="s">
        <v>1157</v>
      </c>
      <c r="D10" s="880"/>
      <c r="E10" s="880"/>
      <c r="F10" s="880"/>
      <c r="G10" s="880"/>
      <c r="H10" s="880"/>
      <c r="I10" s="880"/>
      <c r="J10" s="880"/>
      <c r="K10" s="880"/>
      <c r="L10" s="880"/>
      <c r="M10" s="880"/>
      <c r="N10" s="880"/>
      <c r="O10" s="880"/>
      <c r="P10" s="438">
        <v>0</v>
      </c>
      <c r="Q10" s="438">
        <v>0</v>
      </c>
      <c r="R10" s="438">
        <v>0</v>
      </c>
      <c r="S10" s="438">
        <v>0</v>
      </c>
      <c r="T10" s="438">
        <v>0</v>
      </c>
      <c r="U10" s="438">
        <v>0</v>
      </c>
      <c r="V10" s="438">
        <v>0</v>
      </c>
      <c r="W10" s="438">
        <v>0</v>
      </c>
      <c r="X10" s="438">
        <v>0</v>
      </c>
      <c r="Y10" s="438">
        <v>0</v>
      </c>
      <c r="Z10" s="438">
        <v>0</v>
      </c>
      <c r="AA10" s="438">
        <v>276668.48</v>
      </c>
      <c r="AB10" s="438">
        <v>288763.89</v>
      </c>
      <c r="AC10" s="438">
        <v>277019.58</v>
      </c>
      <c r="AD10" s="438">
        <v>324492.44</v>
      </c>
    </row>
    <row r="11" spans="2:74" outlineLevel="1" x14ac:dyDescent="0.25">
      <c r="B11" s="40"/>
      <c r="C11" s="1129" t="s">
        <v>1155</v>
      </c>
      <c r="D11" s="1130"/>
      <c r="E11" s="1130"/>
      <c r="F11" s="1130"/>
      <c r="G11" s="1130"/>
      <c r="H11" s="1130"/>
      <c r="I11" s="1130"/>
      <c r="J11" s="1130"/>
      <c r="K11" s="1130"/>
      <c r="L11" s="1130"/>
      <c r="M11" s="1130"/>
      <c r="N11" s="1130"/>
      <c r="O11" s="1130"/>
      <c r="P11" s="1130">
        <f t="shared" ref="P11:Z11" si="0">SUM(P9:P10)</f>
        <v>0</v>
      </c>
      <c r="Q11" s="1130">
        <f t="shared" si="0"/>
        <v>0</v>
      </c>
      <c r="R11" s="1130">
        <f t="shared" si="0"/>
        <v>0</v>
      </c>
      <c r="S11" s="1130">
        <f t="shared" si="0"/>
        <v>0</v>
      </c>
      <c r="T11" s="1130">
        <f t="shared" si="0"/>
        <v>0</v>
      </c>
      <c r="U11" s="1130">
        <f t="shared" si="0"/>
        <v>0</v>
      </c>
      <c r="V11" s="1130">
        <f t="shared" si="0"/>
        <v>0</v>
      </c>
      <c r="W11" s="1130">
        <f t="shared" si="0"/>
        <v>0</v>
      </c>
      <c r="X11" s="1130">
        <f t="shared" si="0"/>
        <v>0</v>
      </c>
      <c r="Y11" s="1130">
        <f t="shared" si="0"/>
        <v>0</v>
      </c>
      <c r="Z11" s="1130">
        <f t="shared" si="0"/>
        <v>0</v>
      </c>
      <c r="AA11" s="1130">
        <v>376254.35</v>
      </c>
      <c r="AB11" s="1130">
        <f t="shared" ref="AB11" si="1">SUM(AB9:AB10)</f>
        <v>374055.89</v>
      </c>
      <c r="AC11" s="1234">
        <f t="shared" ref="AC11:AN11" si="2">SUM(AC9:AC10)</f>
        <v>375521.58</v>
      </c>
      <c r="AD11" s="1234">
        <f t="shared" si="2"/>
        <v>438603.44</v>
      </c>
      <c r="AE11" s="1234">
        <f t="shared" si="2"/>
        <v>0</v>
      </c>
      <c r="AF11" s="1234">
        <f t="shared" si="2"/>
        <v>0</v>
      </c>
      <c r="AG11" s="1234">
        <f t="shared" si="2"/>
        <v>0</v>
      </c>
      <c r="AH11" s="1234">
        <f t="shared" si="2"/>
        <v>0</v>
      </c>
      <c r="AI11" s="1234">
        <f t="shared" si="2"/>
        <v>0</v>
      </c>
      <c r="AJ11" s="1234">
        <f t="shared" si="2"/>
        <v>0</v>
      </c>
      <c r="AK11" s="1234">
        <f t="shared" si="2"/>
        <v>0</v>
      </c>
      <c r="AL11" s="1234">
        <f t="shared" si="2"/>
        <v>0</v>
      </c>
      <c r="AM11" s="1234">
        <f t="shared" si="2"/>
        <v>0</v>
      </c>
      <c r="AN11" s="1234">
        <f t="shared" si="2"/>
        <v>0</v>
      </c>
    </row>
    <row r="12" spans="2:74" x14ac:dyDescent="0.25">
      <c r="B12" s="40"/>
      <c r="C12" s="1133" t="s">
        <v>1158</v>
      </c>
      <c r="D12" s="1127"/>
      <c r="E12" s="1127"/>
      <c r="F12" s="1127"/>
      <c r="G12" s="1127"/>
      <c r="H12" s="1127"/>
      <c r="I12" s="1127"/>
      <c r="J12" s="1127"/>
      <c r="K12" s="1127"/>
      <c r="L12" s="1127"/>
      <c r="M12" s="1127"/>
      <c r="N12" s="1127"/>
      <c r="O12" s="1127"/>
      <c r="P12" s="1128"/>
      <c r="Q12" s="1128"/>
      <c r="R12" s="1128"/>
      <c r="S12" s="1128"/>
      <c r="T12" s="1128"/>
      <c r="U12" s="1128"/>
      <c r="V12" s="1128"/>
      <c r="W12" s="1128"/>
      <c r="X12" s="1128"/>
      <c r="Y12" s="1128"/>
      <c r="Z12" s="1128"/>
      <c r="AA12" s="1128"/>
      <c r="AB12" s="1122"/>
      <c r="AC12" s="1122"/>
      <c r="AD12" s="1122"/>
      <c r="AE12" s="1122"/>
      <c r="AF12" s="1122"/>
      <c r="AG12" s="1122"/>
      <c r="AH12" s="1122"/>
      <c r="AI12" s="1122"/>
      <c r="AJ12" s="1122"/>
      <c r="AK12" s="1122"/>
      <c r="AL12" s="1122"/>
      <c r="AM12" s="1122"/>
      <c r="AN12" s="1122"/>
    </row>
    <row r="13" spans="2:74" outlineLevel="1" x14ac:dyDescent="0.25">
      <c r="B13" s="40"/>
      <c r="C13" s="45" t="s">
        <v>1169</v>
      </c>
      <c r="D13" s="438"/>
      <c r="E13" s="438"/>
      <c r="F13" s="438"/>
      <c r="G13" s="438"/>
      <c r="H13" s="438"/>
      <c r="I13" s="438"/>
      <c r="J13" s="438"/>
      <c r="K13" s="438"/>
      <c r="L13" s="438"/>
      <c r="M13" s="438"/>
      <c r="N13" s="438"/>
      <c r="O13" s="438"/>
      <c r="P13" s="438">
        <v>41925.589999999997</v>
      </c>
      <c r="Q13" s="438">
        <v>43942</v>
      </c>
      <c r="R13" s="438">
        <v>51922.04</v>
      </c>
      <c r="S13" s="438">
        <v>58523.040000000001</v>
      </c>
      <c r="T13" s="438">
        <v>65837.039999999994</v>
      </c>
      <c r="U13" s="438">
        <v>74714</v>
      </c>
      <c r="V13" s="438">
        <v>88747</v>
      </c>
      <c r="W13" s="438">
        <v>73638</v>
      </c>
      <c r="X13" s="438">
        <v>75260</v>
      </c>
      <c r="Y13" s="438">
        <v>93190.75</v>
      </c>
      <c r="Z13" s="438">
        <v>102867.23</v>
      </c>
      <c r="AA13" s="438">
        <v>83461.86</v>
      </c>
      <c r="AB13" s="438">
        <v>83532.08</v>
      </c>
      <c r="AC13" s="438">
        <v>84767.71</v>
      </c>
      <c r="AD13" s="438">
        <v>88483.32</v>
      </c>
    </row>
    <row r="14" spans="2:74" outlineLevel="1" x14ac:dyDescent="0.25">
      <c r="B14" s="40"/>
      <c r="C14" s="45" t="s">
        <v>1159</v>
      </c>
      <c r="D14" s="438"/>
      <c r="E14" s="438"/>
      <c r="F14" s="438"/>
      <c r="G14" s="438"/>
      <c r="H14" s="438"/>
      <c r="I14" s="438"/>
      <c r="J14" s="438"/>
      <c r="K14" s="438"/>
      <c r="L14" s="438"/>
      <c r="M14" s="438"/>
      <c r="N14" s="438"/>
      <c r="O14" s="438"/>
      <c r="P14" s="438">
        <v>0</v>
      </c>
      <c r="Q14" s="438">
        <v>0</v>
      </c>
      <c r="R14" s="438">
        <v>0</v>
      </c>
      <c r="S14" s="438">
        <v>0</v>
      </c>
      <c r="T14" s="438">
        <v>0</v>
      </c>
      <c r="U14" s="438">
        <v>0</v>
      </c>
      <c r="V14" s="438">
        <v>0</v>
      </c>
      <c r="W14" s="438">
        <v>0</v>
      </c>
      <c r="X14" s="438">
        <v>0</v>
      </c>
      <c r="Y14" s="438">
        <v>0</v>
      </c>
      <c r="Z14" s="438">
        <v>0</v>
      </c>
      <c r="AA14" s="438">
        <v>3501.77</v>
      </c>
      <c r="AB14" s="438"/>
      <c r="AC14" s="438">
        <v>4476.43</v>
      </c>
      <c r="AD14" s="438">
        <v>1894</v>
      </c>
    </row>
    <row r="15" spans="2:74" outlineLevel="1" x14ac:dyDescent="0.25">
      <c r="B15" s="40"/>
      <c r="C15" s="45" t="s">
        <v>1160</v>
      </c>
      <c r="D15" s="438"/>
      <c r="E15" s="438"/>
      <c r="F15" s="438"/>
      <c r="G15" s="438"/>
      <c r="H15" s="438"/>
      <c r="I15" s="438"/>
      <c r="J15" s="438"/>
      <c r="K15" s="438"/>
      <c r="L15" s="438"/>
      <c r="M15" s="438"/>
      <c r="N15" s="438"/>
      <c r="O15" s="438"/>
      <c r="P15" s="438">
        <v>0</v>
      </c>
      <c r="Q15" s="438">
        <v>0</v>
      </c>
      <c r="R15" s="438">
        <v>0</v>
      </c>
      <c r="S15" s="438">
        <v>0</v>
      </c>
      <c r="T15" s="438">
        <v>4750.53</v>
      </c>
      <c r="U15" s="438">
        <v>0</v>
      </c>
      <c r="V15" s="438">
        <v>0</v>
      </c>
      <c r="W15" s="438">
        <v>1000.67</v>
      </c>
      <c r="X15" s="438">
        <v>1000</v>
      </c>
      <c r="Y15" s="438">
        <v>500</v>
      </c>
      <c r="Z15" s="438">
        <v>501.07</v>
      </c>
      <c r="AA15" s="438">
        <v>43130.84</v>
      </c>
      <c r="AB15" s="438">
        <v>500</v>
      </c>
      <c r="AC15" s="438">
        <v>16912.689999999999</v>
      </c>
      <c r="AD15" s="438">
        <v>14266.18</v>
      </c>
    </row>
    <row r="16" spans="2:74" outlineLevel="1" x14ac:dyDescent="0.25">
      <c r="B16" s="40"/>
      <c r="C16" s="45" t="s">
        <v>1161</v>
      </c>
      <c r="D16" s="438"/>
      <c r="E16" s="438"/>
      <c r="F16" s="438"/>
      <c r="G16" s="438"/>
      <c r="H16" s="438"/>
      <c r="I16" s="438"/>
      <c r="J16" s="438"/>
      <c r="K16" s="438"/>
      <c r="L16" s="438"/>
      <c r="M16" s="438"/>
      <c r="N16" s="438"/>
      <c r="O16" s="438"/>
      <c r="P16" s="438">
        <v>26642.66</v>
      </c>
      <c r="Q16" s="438">
        <v>37860.92</v>
      </c>
      <c r="R16" s="438">
        <v>38558.86</v>
      </c>
      <c r="S16" s="438">
        <v>39019.57</v>
      </c>
      <c r="T16" s="438">
        <v>42221.16</v>
      </c>
      <c r="U16" s="438">
        <v>39644.57</v>
      </c>
      <c r="V16" s="438">
        <v>44751.74</v>
      </c>
      <c r="W16" s="438">
        <v>43915.19</v>
      </c>
      <c r="X16" s="438">
        <v>44604.5</v>
      </c>
      <c r="Y16" s="438">
        <v>42303.42</v>
      </c>
      <c r="Z16" s="438">
        <v>42269.89</v>
      </c>
      <c r="AA16" s="438">
        <v>43130.84</v>
      </c>
      <c r="AB16" s="438">
        <v>43873.3</v>
      </c>
      <c r="AC16" s="438">
        <v>41689.629999999997</v>
      </c>
      <c r="AD16" s="438">
        <v>48808.37</v>
      </c>
    </row>
    <row r="17" spans="2:45" outlineLevel="1" x14ac:dyDescent="0.25">
      <c r="B17" s="40"/>
      <c r="C17" s="1129" t="s">
        <v>1170</v>
      </c>
      <c r="D17" s="1130"/>
      <c r="E17" s="1130"/>
      <c r="F17" s="1130"/>
      <c r="G17" s="1130"/>
      <c r="H17" s="1130"/>
      <c r="I17" s="1130"/>
      <c r="J17" s="1130"/>
      <c r="K17" s="1130"/>
      <c r="L17" s="1130"/>
      <c r="M17" s="1130"/>
      <c r="N17" s="1130"/>
      <c r="O17" s="1130"/>
      <c r="P17" s="1130">
        <f t="shared" ref="P17:AB17" si="3">SUM(P13:P16)</f>
        <v>68568.25</v>
      </c>
      <c r="Q17" s="1130">
        <f t="shared" si="3"/>
        <v>81802.92</v>
      </c>
      <c r="R17" s="1130">
        <f t="shared" si="3"/>
        <v>90480.9</v>
      </c>
      <c r="S17" s="1130">
        <f t="shared" si="3"/>
        <v>97542.61</v>
      </c>
      <c r="T17" s="1130">
        <f t="shared" si="3"/>
        <v>112808.73</v>
      </c>
      <c r="U17" s="1130">
        <f t="shared" si="3"/>
        <v>114358.57</v>
      </c>
      <c r="V17" s="1130">
        <f t="shared" si="3"/>
        <v>133498.74</v>
      </c>
      <c r="W17" s="1130">
        <f t="shared" si="3"/>
        <v>118553.86</v>
      </c>
      <c r="X17" s="1130">
        <f t="shared" si="3"/>
        <v>120864.5</v>
      </c>
      <c r="Y17" s="1130">
        <f t="shared" si="3"/>
        <v>135994.16999999998</v>
      </c>
      <c r="Z17" s="1130">
        <f t="shared" si="3"/>
        <v>145638.19</v>
      </c>
      <c r="AA17" s="1130">
        <v>130094.47</v>
      </c>
      <c r="AB17" s="1130">
        <f t="shared" si="3"/>
        <v>127905.38</v>
      </c>
      <c r="AC17" s="1234">
        <f t="shared" ref="AC17:AN17" si="4">SUM(AC13:AC16)</f>
        <v>147846.46000000002</v>
      </c>
      <c r="AD17" s="1234">
        <f t="shared" si="4"/>
        <v>153451.87</v>
      </c>
      <c r="AE17" s="1234">
        <f t="shared" si="4"/>
        <v>0</v>
      </c>
      <c r="AF17" s="1234">
        <f t="shared" si="4"/>
        <v>0</v>
      </c>
      <c r="AG17" s="1234">
        <f t="shared" si="4"/>
        <v>0</v>
      </c>
      <c r="AH17" s="1234">
        <f t="shared" si="4"/>
        <v>0</v>
      </c>
      <c r="AI17" s="1234">
        <f t="shared" si="4"/>
        <v>0</v>
      </c>
      <c r="AJ17" s="1234">
        <f t="shared" si="4"/>
        <v>0</v>
      </c>
      <c r="AK17" s="1234">
        <f t="shared" si="4"/>
        <v>0</v>
      </c>
      <c r="AL17" s="1234">
        <f t="shared" si="4"/>
        <v>0</v>
      </c>
      <c r="AM17" s="1234">
        <f t="shared" si="4"/>
        <v>0</v>
      </c>
      <c r="AN17" s="1234">
        <f t="shared" si="4"/>
        <v>0</v>
      </c>
    </row>
    <row r="18" spans="2:45" x14ac:dyDescent="0.25">
      <c r="B18" s="40"/>
      <c r="C18" s="1131" t="s">
        <v>1162</v>
      </c>
      <c r="D18" s="438">
        <v>1076099.8098231177</v>
      </c>
      <c r="E18" s="438">
        <v>1027503.3946649963</v>
      </c>
      <c r="F18" s="438">
        <v>1165855.2619136521</v>
      </c>
      <c r="G18" s="438">
        <v>1140453.0636260421</v>
      </c>
      <c r="H18" s="438">
        <v>1282886.6505704422</v>
      </c>
      <c r="I18" s="438">
        <v>1203848.0208439571</v>
      </c>
      <c r="J18" s="438">
        <v>1207264.3500906043</v>
      </c>
      <c r="K18" s="438">
        <v>1214322.5464305405</v>
      </c>
      <c r="L18" s="438">
        <v>1161184.945115712</v>
      </c>
      <c r="M18" s="438">
        <v>1555605.1039152998</v>
      </c>
      <c r="N18" s="438">
        <v>1628234.699860936</v>
      </c>
      <c r="O18" s="438">
        <v>1140793.4013928385</v>
      </c>
      <c r="P18" s="438">
        <v>1019534.02</v>
      </c>
      <c r="Q18" s="438">
        <v>1241014.96</v>
      </c>
      <c r="R18" s="438">
        <v>1362313.49</v>
      </c>
      <c r="S18" s="438">
        <v>1392493.31</v>
      </c>
      <c r="T18" s="438">
        <v>1348735.31</v>
      </c>
      <c r="U18" s="438">
        <v>1146631.24</v>
      </c>
      <c r="V18" s="438">
        <v>1178908.0900000001</v>
      </c>
      <c r="W18" s="438">
        <v>1194857.31</v>
      </c>
      <c r="X18" s="438">
        <v>1346716.8</v>
      </c>
      <c r="Y18" s="438">
        <v>1545437.35</v>
      </c>
      <c r="Z18" s="438">
        <v>1239368.58</v>
      </c>
      <c r="AA18" s="438">
        <v>1084636.57</v>
      </c>
      <c r="AB18" s="438">
        <v>951326.84</v>
      </c>
      <c r="AC18" s="438">
        <v>958332.92</v>
      </c>
      <c r="AD18" s="438">
        <v>1012325.66</v>
      </c>
    </row>
    <row r="19" spans="2:45" outlineLevel="1" x14ac:dyDescent="0.25">
      <c r="B19" s="40"/>
      <c r="C19" s="1126" t="s">
        <v>1163</v>
      </c>
      <c r="D19" s="438"/>
      <c r="E19" s="880"/>
      <c r="F19" s="880"/>
      <c r="G19" s="880"/>
      <c r="H19" s="880"/>
      <c r="I19" s="880"/>
      <c r="J19" s="880"/>
      <c r="K19" s="880"/>
      <c r="L19" s="880"/>
      <c r="M19" s="880"/>
      <c r="N19" s="880"/>
      <c r="O19" s="880"/>
      <c r="P19" s="1004">
        <v>640681.41</v>
      </c>
      <c r="Q19" s="1004">
        <v>667837.99</v>
      </c>
      <c r="R19" s="1004">
        <v>778085.72</v>
      </c>
      <c r="S19" s="1004">
        <v>801253.1</v>
      </c>
      <c r="T19" s="1004">
        <v>730121.52</v>
      </c>
      <c r="U19" s="1004">
        <v>554371.15</v>
      </c>
      <c r="V19" s="1004">
        <v>533038.06000000006</v>
      </c>
      <c r="W19" s="1004">
        <v>591687.92000000004</v>
      </c>
      <c r="X19" s="1004">
        <v>668977.99</v>
      </c>
      <c r="Y19" s="1004">
        <v>768533.24</v>
      </c>
      <c r="Z19" s="1004">
        <v>570118.77</v>
      </c>
      <c r="AA19" s="1004">
        <v>579714.57999999996</v>
      </c>
      <c r="AB19" s="1004">
        <v>510451.22</v>
      </c>
      <c r="AC19" s="1004">
        <v>521770.74</v>
      </c>
      <c r="AD19" s="1004">
        <v>548295.64</v>
      </c>
      <c r="AS19" s="878"/>
    </row>
    <row r="20" spans="2:45" outlineLevel="1" x14ac:dyDescent="0.25">
      <c r="B20" s="40"/>
      <c r="C20" s="1126" t="s">
        <v>1164</v>
      </c>
      <c r="D20" s="438"/>
      <c r="E20" s="880"/>
      <c r="F20" s="880"/>
      <c r="G20" s="880"/>
      <c r="H20" s="880"/>
      <c r="I20" s="880"/>
      <c r="J20" s="880"/>
      <c r="K20" s="880"/>
      <c r="L20" s="880"/>
      <c r="M20" s="880"/>
      <c r="N20" s="880"/>
      <c r="O20" s="880"/>
      <c r="P20" s="1004">
        <v>378852.61</v>
      </c>
      <c r="Q20" s="1004">
        <v>573176.97</v>
      </c>
      <c r="R20" s="1004">
        <v>584227.77</v>
      </c>
      <c r="S20" s="1004">
        <v>591240.21</v>
      </c>
      <c r="T20" s="1004">
        <v>618613.79</v>
      </c>
      <c r="U20" s="1004">
        <v>592260.09</v>
      </c>
      <c r="V20" s="1004">
        <v>645870.03</v>
      </c>
      <c r="W20" s="1004">
        <v>603169.39</v>
      </c>
      <c r="X20" s="1004">
        <v>677738.81</v>
      </c>
      <c r="Y20" s="1004">
        <v>776904.11</v>
      </c>
      <c r="Z20" s="1004">
        <v>669249.81000000006</v>
      </c>
      <c r="AA20" s="1004">
        <v>504921.99</v>
      </c>
      <c r="AB20" s="1004">
        <v>440875.62</v>
      </c>
      <c r="AC20" s="1004">
        <v>436562.18</v>
      </c>
      <c r="AD20" s="1004">
        <v>464030.02</v>
      </c>
      <c r="AH20" s="880"/>
      <c r="AI20" s="880"/>
      <c r="AJ20" s="880"/>
      <c r="AK20" s="880"/>
      <c r="AL20" s="880"/>
      <c r="AM20" s="880"/>
      <c r="AN20" s="880"/>
      <c r="AO20" s="880"/>
      <c r="AP20" s="880"/>
      <c r="AQ20" s="878"/>
      <c r="AR20" s="878"/>
      <c r="AS20" s="878"/>
    </row>
    <row r="21" spans="2:45" x14ac:dyDescent="0.25">
      <c r="B21" s="40"/>
      <c r="C21" s="1131" t="s">
        <v>1165</v>
      </c>
      <c r="D21" s="438"/>
      <c r="E21" s="438"/>
      <c r="F21" s="438"/>
      <c r="G21" s="438"/>
      <c r="H21" s="438"/>
      <c r="I21" s="438"/>
      <c r="J21" s="438"/>
      <c r="K21" s="438"/>
      <c r="L21" s="438"/>
      <c r="M21" s="438"/>
      <c r="N21" s="438"/>
      <c r="O21" s="438"/>
      <c r="P21" s="438">
        <v>0</v>
      </c>
      <c r="Q21" s="438">
        <v>0</v>
      </c>
      <c r="R21" s="438">
        <v>0</v>
      </c>
      <c r="S21" s="438">
        <v>0</v>
      </c>
      <c r="T21" s="438">
        <v>0</v>
      </c>
      <c r="U21" s="438">
        <v>0</v>
      </c>
      <c r="V21" s="438">
        <v>0</v>
      </c>
      <c r="W21" s="438">
        <v>0</v>
      </c>
      <c r="X21" s="438">
        <v>0</v>
      </c>
      <c r="Y21" s="438">
        <v>0</v>
      </c>
      <c r="Z21" s="438">
        <v>0</v>
      </c>
      <c r="AA21" s="438">
        <v>0</v>
      </c>
      <c r="AB21" s="405"/>
      <c r="AC21" s="405"/>
      <c r="AD21" s="405"/>
      <c r="AH21" s="880"/>
      <c r="AI21" s="880"/>
      <c r="AJ21" s="880"/>
      <c r="AK21" s="880"/>
      <c r="AL21" s="880"/>
      <c r="AM21" s="880"/>
      <c r="AN21" s="880"/>
      <c r="AO21" s="880"/>
      <c r="AP21" s="880"/>
      <c r="AQ21" s="878"/>
      <c r="AR21" s="878"/>
      <c r="AS21" s="405"/>
    </row>
    <row r="22" spans="2:45" x14ac:dyDescent="0.25">
      <c r="B22" s="40"/>
      <c r="C22" s="1131" t="s">
        <v>1166</v>
      </c>
      <c r="D22" s="438"/>
      <c r="E22" s="438"/>
      <c r="F22" s="438"/>
      <c r="G22" s="438"/>
      <c r="H22" s="438"/>
      <c r="I22" s="438"/>
      <c r="J22" s="438"/>
      <c r="K22" s="438"/>
      <c r="L22" s="438"/>
      <c r="M22" s="438"/>
      <c r="N22" s="438"/>
      <c r="O22" s="438"/>
      <c r="P22" s="438">
        <v>1073.4000000000001</v>
      </c>
      <c r="Q22" s="438">
        <v>-78.42</v>
      </c>
      <c r="R22" s="438">
        <v>-2232.1999999999998</v>
      </c>
      <c r="S22" s="438">
        <v>-117.6</v>
      </c>
      <c r="T22" s="438">
        <v>69.599999999999994</v>
      </c>
      <c r="U22" s="438">
        <v>69.599999999999994</v>
      </c>
      <c r="V22" s="438">
        <v>237.6</v>
      </c>
      <c r="W22" s="438">
        <v>6000</v>
      </c>
      <c r="X22" s="438">
        <v>16117.6</v>
      </c>
      <c r="Y22" s="438">
        <v>0</v>
      </c>
      <c r="Z22" s="438">
        <v>0</v>
      </c>
      <c r="AA22" s="438">
        <v>3000</v>
      </c>
      <c r="AB22" s="438">
        <v>-0.5</v>
      </c>
      <c r="AC22" s="438">
        <v>1794</v>
      </c>
      <c r="AD22" s="438">
        <v>1196</v>
      </c>
    </row>
    <row r="23" spans="2:45" x14ac:dyDescent="0.25">
      <c r="B23" s="40"/>
      <c r="C23" s="1131" t="s">
        <v>1168</v>
      </c>
      <c r="D23" s="438"/>
      <c r="E23" s="438"/>
      <c r="F23" s="438"/>
      <c r="G23" s="438"/>
      <c r="H23" s="438"/>
      <c r="I23" s="438"/>
      <c r="J23" s="438"/>
      <c r="K23" s="438"/>
      <c r="L23" s="438"/>
      <c r="M23" s="438"/>
      <c r="N23" s="438"/>
      <c r="O23" s="438"/>
      <c r="P23" s="438">
        <v>0</v>
      </c>
      <c r="Q23" s="438">
        <v>0</v>
      </c>
      <c r="R23" s="438">
        <v>0</v>
      </c>
      <c r="S23" s="438">
        <v>0</v>
      </c>
      <c r="T23" s="438">
        <v>0</v>
      </c>
      <c r="U23" s="438">
        <v>5000</v>
      </c>
      <c r="V23" s="438">
        <v>0</v>
      </c>
      <c r="W23" s="438">
        <v>9600</v>
      </c>
      <c r="X23" s="438">
        <v>0</v>
      </c>
      <c r="Y23" s="438">
        <v>0</v>
      </c>
      <c r="Z23" s="438">
        <v>0</v>
      </c>
      <c r="AA23" s="438">
        <v>0</v>
      </c>
      <c r="AB23" s="438">
        <v>3000</v>
      </c>
      <c r="AC23" s="438">
        <v>2000</v>
      </c>
      <c r="AD23" s="438">
        <v>4200</v>
      </c>
    </row>
    <row r="24" spans="2:45" ht="15.75" thickBot="1" x14ac:dyDescent="0.3">
      <c r="B24" s="40"/>
      <c r="C24" s="1131" t="s">
        <v>1167</v>
      </c>
      <c r="D24" s="1028">
        <v>25039.321666666667</v>
      </c>
      <c r="E24" s="1028">
        <v>25039.321666666667</v>
      </c>
      <c r="F24" s="1028">
        <v>25039.321666666667</v>
      </c>
      <c r="G24" s="1028">
        <v>25039.321666666667</v>
      </c>
      <c r="H24" s="1028">
        <v>25039.321666666667</v>
      </c>
      <c r="I24" s="1028">
        <v>25039.321666666667</v>
      </c>
      <c r="J24" s="1028">
        <v>25039.321666666667</v>
      </c>
      <c r="K24" s="1028">
        <v>25039.321666666667</v>
      </c>
      <c r="L24" s="1028">
        <v>25039.321666666667</v>
      </c>
      <c r="M24" s="1028">
        <v>25039.321666666667</v>
      </c>
      <c r="N24" s="1028">
        <v>25039.321666666667</v>
      </c>
      <c r="O24" s="1028">
        <v>25039.321666666667</v>
      </c>
      <c r="P24" s="1028">
        <v>0</v>
      </c>
      <c r="Q24" s="1028">
        <v>-2140</v>
      </c>
      <c r="R24" s="1028">
        <v>3942.5</v>
      </c>
      <c r="S24" s="1028">
        <v>0</v>
      </c>
      <c r="T24" s="1028">
        <v>1000</v>
      </c>
      <c r="U24" s="1028">
        <v>500</v>
      </c>
      <c r="V24" s="1028">
        <v>500</v>
      </c>
      <c r="W24" s="1028">
        <v>500</v>
      </c>
      <c r="X24" s="1028">
        <v>500</v>
      </c>
      <c r="Y24" s="1028">
        <v>500</v>
      </c>
      <c r="Z24" s="1028">
        <v>500</v>
      </c>
      <c r="AA24" s="1028">
        <v>573.17999999999995</v>
      </c>
      <c r="AB24" s="1028">
        <v>500</v>
      </c>
      <c r="AC24" s="1028">
        <v>500</v>
      </c>
      <c r="AD24" s="1028">
        <v>44975</v>
      </c>
    </row>
    <row r="25" spans="2:45" x14ac:dyDescent="0.25">
      <c r="B25" s="129"/>
      <c r="C25" s="891" t="s">
        <v>339</v>
      </c>
      <c r="D25" s="1132">
        <f>D7+D18+D21++D22+D24+D23</f>
        <v>1101139.1314897845</v>
      </c>
      <c r="E25" s="1132">
        <f>E7+E18+E21++E22+E24+E23</f>
        <v>1052542.7163316631</v>
      </c>
      <c r="F25" s="1132">
        <f t="shared" ref="F25:AN25" si="5">F7+F18+F21++F22+F24+F23</f>
        <v>1190894.5835803188</v>
      </c>
      <c r="G25" s="1132">
        <f t="shared" si="5"/>
        <v>1165492.3852927089</v>
      </c>
      <c r="H25" s="1132">
        <f t="shared" si="5"/>
        <v>1307925.972237109</v>
      </c>
      <c r="I25" s="1132">
        <f t="shared" si="5"/>
        <v>1228887.3425106239</v>
      </c>
      <c r="J25" s="1132">
        <f t="shared" si="5"/>
        <v>1232303.671757271</v>
      </c>
      <c r="K25" s="1132">
        <f t="shared" si="5"/>
        <v>1239361.8680972073</v>
      </c>
      <c r="L25" s="1132">
        <f t="shared" si="5"/>
        <v>1186224.2667823788</v>
      </c>
      <c r="M25" s="1132">
        <f t="shared" si="5"/>
        <v>1580644.4255819665</v>
      </c>
      <c r="N25" s="1132">
        <f t="shared" si="5"/>
        <v>1653274.0215276028</v>
      </c>
      <c r="O25" s="1132">
        <f t="shared" si="5"/>
        <v>1165832.7230595052</v>
      </c>
      <c r="P25" s="1132">
        <f t="shared" si="5"/>
        <v>1089175.67</v>
      </c>
      <c r="Q25" s="1132">
        <f t="shared" si="5"/>
        <v>1320599.46</v>
      </c>
      <c r="R25" s="1132">
        <f t="shared" si="5"/>
        <v>1454504.69</v>
      </c>
      <c r="S25" s="1132">
        <f t="shared" si="5"/>
        <v>1489918.32</v>
      </c>
      <c r="T25" s="1132">
        <f t="shared" si="5"/>
        <v>1462613.6400000001</v>
      </c>
      <c r="U25" s="1132">
        <f t="shared" si="5"/>
        <v>1266559.4100000001</v>
      </c>
      <c r="V25" s="1132">
        <f t="shared" si="5"/>
        <v>1313144.4300000002</v>
      </c>
      <c r="W25" s="1132">
        <f t="shared" si="5"/>
        <v>1329511.1700000002</v>
      </c>
      <c r="X25" s="1132">
        <f t="shared" si="5"/>
        <v>1484198.9000000001</v>
      </c>
      <c r="Y25" s="1132">
        <f t="shared" si="5"/>
        <v>1681931.52</v>
      </c>
      <c r="Z25" s="1132">
        <f t="shared" si="5"/>
        <v>1385506.77</v>
      </c>
      <c r="AA25" s="1132">
        <f t="shared" si="5"/>
        <v>1594558.57</v>
      </c>
      <c r="AB25" s="1132">
        <f t="shared" si="5"/>
        <v>1456787.6099999999</v>
      </c>
      <c r="AC25" s="1235">
        <f t="shared" si="5"/>
        <v>1485994.96</v>
      </c>
      <c r="AD25" s="1235">
        <f t="shared" si="5"/>
        <v>1654751.9700000002</v>
      </c>
      <c r="AE25" s="1235">
        <f t="shared" si="5"/>
        <v>0</v>
      </c>
      <c r="AF25" s="1235">
        <f t="shared" si="5"/>
        <v>0</v>
      </c>
      <c r="AG25" s="1235">
        <f t="shared" si="5"/>
        <v>0</v>
      </c>
      <c r="AH25" s="1235">
        <f t="shared" si="5"/>
        <v>0</v>
      </c>
      <c r="AI25" s="1235">
        <f t="shared" si="5"/>
        <v>0</v>
      </c>
      <c r="AJ25" s="1235">
        <f t="shared" si="5"/>
        <v>0</v>
      </c>
      <c r="AK25" s="1235">
        <f t="shared" si="5"/>
        <v>0</v>
      </c>
      <c r="AL25" s="1235">
        <f t="shared" si="5"/>
        <v>0</v>
      </c>
      <c r="AM25" s="1235">
        <f t="shared" si="5"/>
        <v>0</v>
      </c>
      <c r="AN25" s="1235">
        <f t="shared" si="5"/>
        <v>0</v>
      </c>
    </row>
    <row r="26" spans="2:45" x14ac:dyDescent="0.25">
      <c r="B26" s="40"/>
      <c r="C26" s="883" t="s">
        <v>914</v>
      </c>
      <c r="D26" s="438"/>
      <c r="E26" s="438"/>
      <c r="F26" s="438"/>
      <c r="G26" s="438"/>
      <c r="H26" s="438"/>
      <c r="I26" s="438"/>
      <c r="J26" s="438"/>
      <c r="K26" s="438"/>
      <c r="L26" s="438"/>
      <c r="M26" s="438"/>
      <c r="N26" s="438"/>
      <c r="O26" s="438"/>
      <c r="P26" s="438"/>
      <c r="Q26" s="438"/>
      <c r="R26" s="438"/>
      <c r="S26" s="438"/>
      <c r="T26" s="438"/>
      <c r="U26" s="438"/>
      <c r="V26" s="438"/>
      <c r="W26" s="438"/>
      <c r="X26" s="438"/>
      <c r="Y26" s="438"/>
      <c r="Z26" s="438"/>
      <c r="AA26" s="438"/>
      <c r="AB26" s="438"/>
      <c r="AC26" s="438"/>
      <c r="AD26" s="438"/>
    </row>
    <row r="27" spans="2:45" x14ac:dyDescent="0.25">
      <c r="B27" s="40"/>
      <c r="C27" s="883" t="s">
        <v>74</v>
      </c>
      <c r="D27" s="877"/>
      <c r="E27" s="877"/>
      <c r="F27" s="877"/>
      <c r="G27" s="877"/>
      <c r="H27" s="877"/>
      <c r="I27" s="877"/>
      <c r="J27" s="877"/>
      <c r="K27" s="877"/>
      <c r="L27" s="877"/>
      <c r="M27" s="877"/>
      <c r="N27" s="877"/>
      <c r="O27" s="877"/>
      <c r="P27" s="877"/>
      <c r="Q27" s="877"/>
      <c r="R27" s="877"/>
      <c r="S27" s="877"/>
      <c r="T27" s="877"/>
      <c r="U27" s="877"/>
      <c r="V27" s="877"/>
      <c r="W27" s="877"/>
      <c r="X27" s="877"/>
      <c r="Y27" s="877"/>
      <c r="Z27" s="877"/>
      <c r="AA27" s="877"/>
      <c r="AB27" s="875"/>
      <c r="AC27" s="875"/>
      <c r="AD27" s="875"/>
    </row>
    <row r="28" spans="2:45" x14ac:dyDescent="0.25">
      <c r="B28" s="42"/>
      <c r="C28" s="891" t="s">
        <v>170</v>
      </c>
      <c r="D28" s="891">
        <f t="shared" ref="D28:AC28" si="6">SUM(D27:D27)</f>
        <v>0</v>
      </c>
      <c r="E28" s="891">
        <f t="shared" si="6"/>
        <v>0</v>
      </c>
      <c r="F28" s="891">
        <f t="shared" si="6"/>
        <v>0</v>
      </c>
      <c r="G28" s="891">
        <f t="shared" si="6"/>
        <v>0</v>
      </c>
      <c r="H28" s="891">
        <f t="shared" si="6"/>
        <v>0</v>
      </c>
      <c r="I28" s="891">
        <f t="shared" si="6"/>
        <v>0</v>
      </c>
      <c r="J28" s="891">
        <f t="shared" si="6"/>
        <v>0</v>
      </c>
      <c r="K28" s="891">
        <f t="shared" si="6"/>
        <v>0</v>
      </c>
      <c r="L28" s="891">
        <f t="shared" si="6"/>
        <v>0</v>
      </c>
      <c r="M28" s="891">
        <f t="shared" si="6"/>
        <v>0</v>
      </c>
      <c r="N28" s="891">
        <f t="shared" si="6"/>
        <v>0</v>
      </c>
      <c r="O28" s="891">
        <f t="shared" si="6"/>
        <v>0</v>
      </c>
      <c r="P28" s="891">
        <f t="shared" si="6"/>
        <v>0</v>
      </c>
      <c r="Q28" s="891">
        <f t="shared" si="6"/>
        <v>0</v>
      </c>
      <c r="R28" s="891">
        <f t="shared" si="6"/>
        <v>0</v>
      </c>
      <c r="S28" s="891">
        <f t="shared" si="6"/>
        <v>0</v>
      </c>
      <c r="T28" s="891">
        <f t="shared" si="6"/>
        <v>0</v>
      </c>
      <c r="U28" s="891">
        <f t="shared" si="6"/>
        <v>0</v>
      </c>
      <c r="V28" s="891">
        <f t="shared" si="6"/>
        <v>0</v>
      </c>
      <c r="W28" s="891">
        <f t="shared" si="6"/>
        <v>0</v>
      </c>
      <c r="X28" s="891">
        <f t="shared" si="6"/>
        <v>0</v>
      </c>
      <c r="Y28" s="891">
        <f t="shared" si="6"/>
        <v>0</v>
      </c>
      <c r="Z28" s="891">
        <f t="shared" si="6"/>
        <v>0</v>
      </c>
      <c r="AA28" s="891">
        <f t="shared" si="6"/>
        <v>0</v>
      </c>
      <c r="AB28" s="891">
        <f t="shared" si="6"/>
        <v>0</v>
      </c>
      <c r="AC28" s="1236">
        <f t="shared" si="6"/>
        <v>0</v>
      </c>
      <c r="AD28" s="1236"/>
    </row>
    <row r="29" spans="2:45" x14ac:dyDescent="0.25">
      <c r="B29" s="40"/>
      <c r="C29" s="40"/>
      <c r="D29" s="405"/>
      <c r="E29" s="405"/>
      <c r="F29" s="405"/>
      <c r="G29" s="405"/>
      <c r="H29" s="405"/>
      <c r="I29" s="405"/>
      <c r="J29" s="405"/>
      <c r="K29" s="405"/>
      <c r="L29" s="405"/>
      <c r="M29" s="405"/>
      <c r="N29" s="405"/>
      <c r="O29" s="405"/>
      <c r="P29" s="405"/>
      <c r="Q29" s="405"/>
      <c r="R29" s="405"/>
      <c r="S29" s="405"/>
      <c r="T29" s="405"/>
      <c r="U29" s="405"/>
      <c r="V29" s="405"/>
      <c r="W29" s="405"/>
      <c r="X29" s="405"/>
      <c r="Y29" s="405"/>
      <c r="Z29" s="405"/>
      <c r="AA29" s="405"/>
      <c r="AB29" s="405"/>
      <c r="AC29" s="405"/>
      <c r="AD29" s="405"/>
    </row>
    <row r="30" spans="2:45" x14ac:dyDescent="0.25">
      <c r="B30" s="40"/>
      <c r="C30" s="40" t="s">
        <v>912</v>
      </c>
      <c r="D30" s="438">
        <v>546019.07999999996</v>
      </c>
      <c r="E30" s="438">
        <v>519306.79</v>
      </c>
      <c r="F30" s="438">
        <v>622977.17000000004</v>
      </c>
      <c r="G30" s="438">
        <v>1540331.14</v>
      </c>
      <c r="H30" s="438">
        <v>991374.74</v>
      </c>
      <c r="I30" s="438">
        <v>594570.25</v>
      </c>
      <c r="J30" s="438">
        <v>632570.43999999994</v>
      </c>
      <c r="K30" s="438">
        <v>626130.56999999995</v>
      </c>
      <c r="L30" s="438">
        <v>547220.94999999995</v>
      </c>
      <c r="M30" s="438">
        <v>1074987.08</v>
      </c>
      <c r="N30" s="438">
        <v>773927.14</v>
      </c>
      <c r="O30" s="438">
        <v>-650356.31000000006</v>
      </c>
      <c r="P30" s="438">
        <v>1089175.67</v>
      </c>
      <c r="Q30" s="438">
        <v>1320599.46</v>
      </c>
      <c r="R30" s="438">
        <v>1454504.69</v>
      </c>
      <c r="S30" s="438">
        <v>1489918.32</v>
      </c>
      <c r="T30" s="438">
        <v>1462613.64</v>
      </c>
      <c r="U30" s="438">
        <v>1266559.4099999999</v>
      </c>
      <c r="V30" s="438">
        <v>1313144.43</v>
      </c>
      <c r="W30" s="438">
        <v>1329511.17</v>
      </c>
      <c r="X30" s="438">
        <v>1484198.9</v>
      </c>
      <c r="Y30" s="438">
        <v>1681931.52</v>
      </c>
      <c r="Z30" s="438">
        <v>1385506.77</v>
      </c>
      <c r="AA30" s="438">
        <v>1594558.57</v>
      </c>
      <c r="AB30" s="438">
        <v>1456787.61</v>
      </c>
      <c r="AC30" s="438">
        <v>1485994.96</v>
      </c>
      <c r="AD30" s="438">
        <v>1654751.97</v>
      </c>
    </row>
    <row r="31" spans="2:45" x14ac:dyDescent="0.25">
      <c r="B31" s="40"/>
      <c r="C31" s="40" t="s">
        <v>849</v>
      </c>
      <c r="D31" s="405">
        <f t="shared" ref="D31:O31" si="7">D30-D25</f>
        <v>-555120.0514897845</v>
      </c>
      <c r="E31" s="405">
        <f t="shared" si="7"/>
        <v>-533235.92633166304</v>
      </c>
      <c r="F31" s="405">
        <f t="shared" si="7"/>
        <v>-567917.4135803188</v>
      </c>
      <c r="G31" s="405">
        <f t="shared" si="7"/>
        <v>374838.75470729102</v>
      </c>
      <c r="H31" s="405">
        <f t="shared" si="7"/>
        <v>-316551.23223710898</v>
      </c>
      <c r="I31" s="405">
        <f t="shared" si="7"/>
        <v>-634317.09251062386</v>
      </c>
      <c r="J31" s="405">
        <f t="shared" si="7"/>
        <v>-599733.2317572711</v>
      </c>
      <c r="K31" s="405">
        <f t="shared" si="7"/>
        <v>-613231.29809720733</v>
      </c>
      <c r="L31" s="405">
        <f t="shared" si="7"/>
        <v>-639003.31678237882</v>
      </c>
      <c r="M31" s="405">
        <f t="shared" si="7"/>
        <v>-505657.34558196645</v>
      </c>
      <c r="N31" s="405">
        <f t="shared" si="7"/>
        <v>-879346.88152760279</v>
      </c>
      <c r="O31" s="405">
        <f t="shared" si="7"/>
        <v>-1816189.0330595053</v>
      </c>
      <c r="P31" s="405">
        <f t="shared" ref="P31:AD31" si="8">P30-P25</f>
        <v>0</v>
      </c>
      <c r="Q31" s="405">
        <f t="shared" si="8"/>
        <v>0</v>
      </c>
      <c r="R31" s="405">
        <f t="shared" si="8"/>
        <v>0</v>
      </c>
      <c r="S31" s="405">
        <f t="shared" si="8"/>
        <v>0</v>
      </c>
      <c r="T31" s="405">
        <f t="shared" si="8"/>
        <v>0</v>
      </c>
      <c r="U31" s="405">
        <f t="shared" si="8"/>
        <v>0</v>
      </c>
      <c r="V31" s="405">
        <f t="shared" si="8"/>
        <v>0</v>
      </c>
      <c r="W31" s="405">
        <f t="shared" si="8"/>
        <v>0</v>
      </c>
      <c r="X31" s="405">
        <f t="shared" si="8"/>
        <v>0</v>
      </c>
      <c r="Y31" s="405">
        <f t="shared" si="8"/>
        <v>0</v>
      </c>
      <c r="Z31" s="405">
        <f t="shared" si="8"/>
        <v>0</v>
      </c>
      <c r="AA31" s="405">
        <f t="shared" si="8"/>
        <v>0</v>
      </c>
      <c r="AB31" s="405">
        <f t="shared" si="8"/>
        <v>0</v>
      </c>
      <c r="AC31" s="405">
        <f t="shared" si="8"/>
        <v>0</v>
      </c>
      <c r="AD31" s="405">
        <f t="shared" si="8"/>
        <v>0</v>
      </c>
    </row>
    <row r="32" spans="2:45" x14ac:dyDescent="0.25">
      <c r="B32" s="40"/>
      <c r="C32" s="40"/>
      <c r="D32" s="405"/>
      <c r="E32" s="405"/>
      <c r="F32" s="405"/>
      <c r="G32" s="405"/>
      <c r="H32" s="405"/>
      <c r="I32" s="405"/>
      <c r="J32" s="405"/>
      <c r="K32" s="405"/>
      <c r="L32" s="405"/>
      <c r="M32" s="405"/>
      <c r="N32" s="405"/>
      <c r="O32" s="405"/>
      <c r="P32" s="405"/>
      <c r="Q32" s="405"/>
      <c r="R32" s="405"/>
      <c r="S32" s="405"/>
      <c r="T32" s="405"/>
      <c r="U32" s="405"/>
      <c r="V32" s="405"/>
      <c r="W32" s="405"/>
      <c r="X32" s="405"/>
      <c r="Y32" s="405"/>
      <c r="Z32" s="405"/>
      <c r="AA32" s="405"/>
      <c r="AB32" s="405"/>
      <c r="AC32" s="405"/>
      <c r="AD32" s="405"/>
    </row>
    <row r="33" spans="2:32" x14ac:dyDescent="0.25">
      <c r="B33" s="874" t="s">
        <v>1065</v>
      </c>
      <c r="C33" s="40"/>
      <c r="D33" s="405"/>
      <c r="E33" s="405"/>
      <c r="F33" s="405"/>
      <c r="G33" s="405"/>
      <c r="H33" s="405"/>
      <c r="I33" s="405"/>
      <c r="J33" s="405"/>
      <c r="K33" s="405"/>
      <c r="L33" s="405"/>
      <c r="M33" s="405"/>
      <c r="N33" s="405"/>
      <c r="O33" s="405"/>
      <c r="P33" s="405"/>
      <c r="Q33" s="405"/>
      <c r="R33" s="405"/>
      <c r="S33" s="405"/>
      <c r="T33" s="405"/>
      <c r="U33" s="405"/>
      <c r="V33" s="405"/>
      <c r="W33" s="405"/>
      <c r="X33" s="405"/>
      <c r="Y33" s="405"/>
      <c r="Z33" s="405"/>
      <c r="AA33" s="405"/>
      <c r="AB33" s="405"/>
      <c r="AC33" s="405"/>
      <c r="AD33" s="405"/>
    </row>
    <row r="34" spans="2:32" x14ac:dyDescent="0.25">
      <c r="B34" s="575"/>
      <c r="C34" s="40"/>
      <c r="D34" s="405"/>
      <c r="E34" s="405"/>
      <c r="F34" s="405"/>
      <c r="G34" s="405"/>
      <c r="H34" s="405"/>
      <c r="I34" s="405"/>
      <c r="J34" s="405"/>
      <c r="K34" s="405"/>
      <c r="L34" s="405"/>
      <c r="M34" s="405"/>
      <c r="N34" s="405"/>
      <c r="O34" s="405"/>
      <c r="P34" s="405"/>
      <c r="Q34" s="405"/>
      <c r="R34" s="405"/>
      <c r="S34" s="405"/>
      <c r="T34" s="405"/>
      <c r="U34" s="405"/>
      <c r="V34" s="405"/>
      <c r="W34" s="405"/>
      <c r="X34" s="405"/>
      <c r="Y34" s="405"/>
      <c r="Z34" s="405"/>
      <c r="AA34" s="405"/>
      <c r="AB34" s="405"/>
      <c r="AC34" s="405"/>
      <c r="AD34" s="405"/>
    </row>
    <row r="35" spans="2:32" x14ac:dyDescent="0.25">
      <c r="B35" s="575"/>
      <c r="C35" s="882" t="s">
        <v>429</v>
      </c>
      <c r="D35" s="438">
        <v>55200.63</v>
      </c>
      <c r="E35" s="438">
        <v>83001.38</v>
      </c>
      <c r="F35" s="438">
        <v>69062.2</v>
      </c>
      <c r="G35" s="438">
        <v>64531.28</v>
      </c>
      <c r="H35" s="438">
        <v>78665.539999999994</v>
      </c>
      <c r="I35" s="438">
        <v>53254.64</v>
      </c>
      <c r="J35" s="438">
        <v>1678.3</v>
      </c>
      <c r="K35" s="438">
        <v>3945.4</v>
      </c>
      <c r="L35" s="438">
        <v>5756.65</v>
      </c>
      <c r="M35" s="438">
        <v>-18046.11</v>
      </c>
      <c r="N35" s="438">
        <v>42838.21</v>
      </c>
      <c r="O35" s="438">
        <v>27193.06</v>
      </c>
      <c r="P35" s="438">
        <v>-1098.21</v>
      </c>
      <c r="Q35" s="438">
        <v>2837.5</v>
      </c>
      <c r="R35" s="438">
        <v>12753.99</v>
      </c>
      <c r="S35" s="438">
        <v>2741.74</v>
      </c>
      <c r="T35" s="438">
        <v>17248.900000000001</v>
      </c>
      <c r="U35" s="438">
        <v>28846.76</v>
      </c>
      <c r="V35" s="438">
        <v>28622.04</v>
      </c>
      <c r="W35" s="438">
        <v>24097.06</v>
      </c>
      <c r="X35" s="438">
        <v>29931.85</v>
      </c>
      <c r="Y35" s="438">
        <v>30267.919999999998</v>
      </c>
      <c r="Z35" s="438">
        <v>27921.73</v>
      </c>
      <c r="AA35" s="438">
        <v>28314.82</v>
      </c>
      <c r="AB35" s="438">
        <v>28658.5</v>
      </c>
      <c r="AC35" s="438">
        <v>11510.09</v>
      </c>
      <c r="AD35" s="438">
        <v>9264.06</v>
      </c>
    </row>
    <row r="36" spans="2:32" x14ac:dyDescent="0.25">
      <c r="B36" s="575"/>
      <c r="C36" s="882" t="s">
        <v>430</v>
      </c>
      <c r="D36" s="438">
        <v>58728.57</v>
      </c>
      <c r="E36" s="438">
        <v>71663.520000000004</v>
      </c>
      <c r="F36" s="438">
        <v>83520.800000000003</v>
      </c>
      <c r="G36" s="438">
        <v>74935.45</v>
      </c>
      <c r="H36" s="438">
        <v>71471.37</v>
      </c>
      <c r="I36" s="438">
        <v>120796.54</v>
      </c>
      <c r="J36" s="438">
        <v>122507.09</v>
      </c>
      <c r="K36" s="438">
        <v>33669.919999999998</v>
      </c>
      <c r="L36" s="438">
        <v>96202.1</v>
      </c>
      <c r="M36" s="438">
        <v>72234.86</v>
      </c>
      <c r="N36" s="438">
        <v>87967.43</v>
      </c>
      <c r="O36" s="438">
        <v>222612.28</v>
      </c>
      <c r="P36" s="438">
        <v>63585.19</v>
      </c>
      <c r="Q36" s="438">
        <v>69184.98</v>
      </c>
      <c r="R36" s="438">
        <v>73432.399999999994</v>
      </c>
      <c r="S36" s="438">
        <v>77668.990000000005</v>
      </c>
      <c r="T36" s="438">
        <v>72430.210000000006</v>
      </c>
      <c r="U36" s="438">
        <v>50462.51</v>
      </c>
      <c r="V36" s="438">
        <v>67145.69</v>
      </c>
      <c r="W36" s="438">
        <v>58831.7</v>
      </c>
      <c r="X36" s="438">
        <v>72325.84</v>
      </c>
      <c r="Y36" s="438">
        <v>82483.39</v>
      </c>
      <c r="Z36" s="438">
        <v>69181.919999999998</v>
      </c>
      <c r="AA36" s="438">
        <v>50437.79</v>
      </c>
      <c r="AB36" s="438">
        <v>44579.94</v>
      </c>
      <c r="AC36" s="438">
        <v>46395.64</v>
      </c>
      <c r="AD36" s="438">
        <v>61071.31</v>
      </c>
    </row>
    <row r="37" spans="2:32" x14ac:dyDescent="0.25">
      <c r="B37" s="575"/>
      <c r="C37" s="882" t="s">
        <v>428</v>
      </c>
      <c r="D37" s="438">
        <v>0</v>
      </c>
      <c r="E37" s="438">
        <v>139.30000000000001</v>
      </c>
      <c r="F37" s="438">
        <v>995.7</v>
      </c>
      <c r="G37" s="438">
        <v>1186.2</v>
      </c>
      <c r="H37" s="438">
        <v>968.2</v>
      </c>
      <c r="I37" s="438">
        <v>723.98</v>
      </c>
      <c r="J37" s="438">
        <v>0</v>
      </c>
      <c r="K37" s="438">
        <v>0</v>
      </c>
      <c r="L37" s="438">
        <v>0</v>
      </c>
      <c r="M37" s="438">
        <v>0</v>
      </c>
      <c r="N37" s="438">
        <v>0</v>
      </c>
      <c r="O37" s="438">
        <f>1588.7+13.54</f>
        <v>1602.24</v>
      </c>
      <c r="P37" s="438">
        <v>2151.62</v>
      </c>
      <c r="Q37" s="438">
        <v>3892</v>
      </c>
      <c r="R37" s="438">
        <v>12986.84</v>
      </c>
      <c r="S37" s="438">
        <v>5806.66</v>
      </c>
      <c r="T37" s="438">
        <v>7210.7</v>
      </c>
      <c r="U37" s="438">
        <v>5066.55</v>
      </c>
      <c r="V37" s="438">
        <v>4825.6000000000004</v>
      </c>
      <c r="W37" s="438">
        <v>-3939.15</v>
      </c>
      <c r="X37" s="438">
        <v>3205.14</v>
      </c>
      <c r="Y37" s="438">
        <v>4877.79</v>
      </c>
      <c r="Z37" s="438">
        <v>11387.56</v>
      </c>
      <c r="AA37" s="438">
        <v>27348.33</v>
      </c>
      <c r="AB37" s="438">
        <v>22132.97</v>
      </c>
      <c r="AC37" s="438">
        <v>27667.84</v>
      </c>
      <c r="AD37" s="438">
        <v>26164.14</v>
      </c>
    </row>
    <row r="38" spans="2:32" x14ac:dyDescent="0.25">
      <c r="B38" s="575" t="s">
        <v>780</v>
      </c>
      <c r="C38" s="882" t="s">
        <v>427</v>
      </c>
      <c r="D38" s="438">
        <v>194.41</v>
      </c>
      <c r="E38" s="438">
        <v>136.19999999999999</v>
      </c>
      <c r="F38" s="438">
        <v>114.9</v>
      </c>
      <c r="G38" s="438">
        <v>0</v>
      </c>
      <c r="H38" s="438">
        <v>0</v>
      </c>
      <c r="I38" s="438">
        <v>211.68</v>
      </c>
      <c r="J38" s="438">
        <v>0</v>
      </c>
      <c r="K38" s="438"/>
      <c r="L38" s="438">
        <v>104.59</v>
      </c>
      <c r="M38" s="438">
        <v>192.13</v>
      </c>
      <c r="N38" s="438">
        <v>0</v>
      </c>
      <c r="O38" s="438">
        <v>0</v>
      </c>
      <c r="P38" s="438">
        <v>0</v>
      </c>
      <c r="Q38" s="438">
        <v>0</v>
      </c>
      <c r="R38" s="438">
        <v>3896.34</v>
      </c>
      <c r="S38" s="438">
        <v>1144.93</v>
      </c>
      <c r="T38" s="438">
        <v>1350.76</v>
      </c>
      <c r="U38" s="438">
        <v>2012.05</v>
      </c>
      <c r="V38" s="438">
        <v>-195.26999999999998</v>
      </c>
      <c r="W38" s="438">
        <v>1801.13</v>
      </c>
      <c r="X38" s="438">
        <v>1578.48</v>
      </c>
      <c r="Y38" s="438">
        <v>1445.45</v>
      </c>
      <c r="Z38" s="438">
        <v>1707.73</v>
      </c>
      <c r="AA38" s="438">
        <v>3426.4700000000003</v>
      </c>
      <c r="AB38" s="438">
        <v>541.83000000000004</v>
      </c>
      <c r="AC38" s="438">
        <v>1263.79</v>
      </c>
      <c r="AD38" s="438">
        <v>1238.28</v>
      </c>
      <c r="AF38" s="405"/>
    </row>
    <row r="39" spans="2:32" x14ac:dyDescent="0.25">
      <c r="B39" s="575"/>
      <c r="C39" s="891" t="s">
        <v>1066</v>
      </c>
      <c r="D39" s="891">
        <f t="shared" ref="D39:K39" si="9">SUM(D35:D38)</f>
        <v>114123.61</v>
      </c>
      <c r="E39" s="891">
        <f t="shared" si="9"/>
        <v>154940.40000000002</v>
      </c>
      <c r="F39" s="891">
        <f t="shared" si="9"/>
        <v>153693.6</v>
      </c>
      <c r="G39" s="891">
        <f t="shared" si="9"/>
        <v>140652.93</v>
      </c>
      <c r="H39" s="891">
        <f t="shared" si="9"/>
        <v>151105.10999999999</v>
      </c>
      <c r="I39" s="891">
        <f t="shared" si="9"/>
        <v>174986.84</v>
      </c>
      <c r="J39" s="891">
        <f t="shared" si="9"/>
        <v>124185.39</v>
      </c>
      <c r="K39" s="891">
        <f t="shared" si="9"/>
        <v>37615.32</v>
      </c>
      <c r="L39" s="891">
        <f>SUM(L35:L38)</f>
        <v>102063.34</v>
      </c>
      <c r="M39" s="891">
        <f>SUM(M35:M38)</f>
        <v>54380.88</v>
      </c>
      <c r="N39" s="891">
        <f>SUM(N35:N38)</f>
        <v>130805.63999999998</v>
      </c>
      <c r="O39" s="891">
        <f>SUM(O35:O38)</f>
        <v>251407.58</v>
      </c>
      <c r="P39" s="891">
        <f>SUM(P35:P38)</f>
        <v>64638.600000000006</v>
      </c>
      <c r="Q39" s="891">
        <f t="shared" ref="Q39:AD39" si="10">SUM(Q35:Q38)</f>
        <v>75914.48</v>
      </c>
      <c r="R39" s="891">
        <f>SUM(R35:R38)</f>
        <v>103069.56999999999</v>
      </c>
      <c r="S39" s="891">
        <f t="shared" si="10"/>
        <v>87362.32</v>
      </c>
      <c r="T39" s="891">
        <f t="shared" si="10"/>
        <v>98240.57</v>
      </c>
      <c r="U39" s="891">
        <f t="shared" si="10"/>
        <v>86387.87000000001</v>
      </c>
      <c r="V39" s="891">
        <f t="shared" si="10"/>
        <v>100398.06000000001</v>
      </c>
      <c r="W39" s="891">
        <f t="shared" si="10"/>
        <v>80790.740000000005</v>
      </c>
      <c r="X39" s="891">
        <f t="shared" si="10"/>
        <v>107041.31</v>
      </c>
      <c r="Y39" s="891">
        <f t="shared" si="10"/>
        <v>119074.54999999999</v>
      </c>
      <c r="Z39" s="891">
        <f t="shared" si="10"/>
        <v>110198.93999999999</v>
      </c>
      <c r="AA39" s="891">
        <f t="shared" si="10"/>
        <v>109527.41</v>
      </c>
      <c r="AB39" s="891">
        <f t="shared" si="10"/>
        <v>95913.24</v>
      </c>
      <c r="AC39" s="1236">
        <f t="shared" si="10"/>
        <v>86837.359999999986</v>
      </c>
      <c r="AD39" s="1236">
        <f t="shared" si="10"/>
        <v>97737.79</v>
      </c>
    </row>
    <row r="40" spans="2:32" x14ac:dyDescent="0.25">
      <c r="B40" s="575"/>
      <c r="C40" s="882" t="s">
        <v>426</v>
      </c>
      <c r="D40" s="887">
        <v>14202.94</v>
      </c>
      <c r="E40" s="887">
        <v>8662.06</v>
      </c>
      <c r="F40" s="887">
        <v>8132.71</v>
      </c>
      <c r="G40" s="887">
        <v>15395.35</v>
      </c>
      <c r="H40" s="887">
        <v>8790.19</v>
      </c>
      <c r="I40" s="887">
        <v>7974.75</v>
      </c>
      <c r="J40" s="887">
        <v>16314.89</v>
      </c>
      <c r="K40" s="887">
        <v>10885.96</v>
      </c>
      <c r="L40" s="887">
        <v>9763.1</v>
      </c>
      <c r="M40" s="887">
        <v>18132.759999999998</v>
      </c>
      <c r="N40" s="887">
        <v>10404.98</v>
      </c>
      <c r="O40" s="887">
        <v>28630.2</v>
      </c>
      <c r="P40" s="887"/>
      <c r="Q40" s="887"/>
      <c r="R40" s="887"/>
      <c r="S40" s="887"/>
      <c r="T40" s="887"/>
      <c r="U40" s="887"/>
      <c r="V40" s="887"/>
      <c r="W40" s="887"/>
      <c r="X40" s="887"/>
      <c r="Y40" s="887"/>
      <c r="Z40" s="879"/>
      <c r="AA40" s="879"/>
      <c r="AB40" s="879"/>
      <c r="AC40" s="879"/>
      <c r="AD40" s="879"/>
    </row>
    <row r="41" spans="2:32" x14ac:dyDescent="0.25">
      <c r="B41" s="575">
        <v>5200</v>
      </c>
      <c r="C41" s="882" t="s">
        <v>375</v>
      </c>
      <c r="D41" s="887">
        <v>2295.54</v>
      </c>
      <c r="E41" s="887">
        <v>8295.6200000000008</v>
      </c>
      <c r="F41" s="887">
        <v>3808.08</v>
      </c>
      <c r="G41" s="887">
        <v>2312.2199999999998</v>
      </c>
      <c r="H41" s="887">
        <v>14312.4</v>
      </c>
      <c r="I41" s="887">
        <v>821.34</v>
      </c>
      <c r="J41" s="887">
        <v>2284.7600000000002</v>
      </c>
      <c r="K41" s="887">
        <v>8288.76</v>
      </c>
      <c r="L41" s="887">
        <v>805</v>
      </c>
      <c r="M41" s="887">
        <v>2321</v>
      </c>
      <c r="N41" s="887">
        <v>11324.88</v>
      </c>
      <c r="O41" s="887">
        <v>808.32</v>
      </c>
      <c r="P41" s="887">
        <v>28986.98</v>
      </c>
      <c r="Q41" s="887">
        <v>27795.119999999999</v>
      </c>
      <c r="R41" s="887">
        <v>35112.93</v>
      </c>
      <c r="S41" s="887">
        <v>64951.85</v>
      </c>
      <c r="T41" s="887">
        <v>41650.379999999997</v>
      </c>
      <c r="U41" s="887">
        <v>41628.949999999997</v>
      </c>
      <c r="V41" s="887">
        <v>46305.83</v>
      </c>
      <c r="W41" s="887">
        <v>47929.09</v>
      </c>
      <c r="X41" s="887">
        <v>55027.8</v>
      </c>
      <c r="Y41" s="887">
        <v>69821.600000000006</v>
      </c>
      <c r="Z41" s="887">
        <v>59081.45</v>
      </c>
      <c r="AA41" s="887">
        <v>41188.42</v>
      </c>
      <c r="AB41" s="887">
        <v>43688.49</v>
      </c>
      <c r="AC41" s="887">
        <v>65161.93</v>
      </c>
      <c r="AD41" s="887">
        <v>54496.79</v>
      </c>
    </row>
    <row r="42" spans="2:32" ht="30" x14ac:dyDescent="0.25">
      <c r="B42" s="575"/>
      <c r="C42" s="882" t="s">
        <v>374</v>
      </c>
      <c r="D42" s="887">
        <v>11963.74</v>
      </c>
      <c r="E42" s="887">
        <v>15458.19</v>
      </c>
      <c r="F42" s="887">
        <v>22023.360000000001</v>
      </c>
      <c r="G42" s="887">
        <v>15213.42</v>
      </c>
      <c r="H42" s="887">
        <v>15264.92</v>
      </c>
      <c r="I42" s="887">
        <v>60469.42</v>
      </c>
      <c r="J42" s="887">
        <v>23189.84</v>
      </c>
      <c r="K42" s="887">
        <v>20481.71</v>
      </c>
      <c r="L42" s="887">
        <v>29590.26</v>
      </c>
      <c r="M42" s="887">
        <v>27559.11</v>
      </c>
      <c r="N42" s="887">
        <v>21844.05</v>
      </c>
      <c r="O42" s="887">
        <v>39875.019999999997</v>
      </c>
      <c r="P42" s="887"/>
      <c r="Q42" s="887"/>
      <c r="R42" s="887"/>
      <c r="S42" s="887"/>
      <c r="T42" s="887"/>
      <c r="U42" s="887"/>
      <c r="V42" s="887"/>
      <c r="W42" s="887"/>
      <c r="X42" s="887"/>
      <c r="Y42" s="887"/>
      <c r="Z42" s="879"/>
      <c r="AA42" s="879"/>
      <c r="AB42" s="879"/>
      <c r="AC42" s="879"/>
      <c r="AD42" s="879"/>
    </row>
    <row r="43" spans="2:32" x14ac:dyDescent="0.25">
      <c r="B43" s="575"/>
      <c r="C43" s="891" t="s">
        <v>1067</v>
      </c>
      <c r="D43" s="891">
        <f t="shared" ref="D43:O43" si="11">SUM(D40:D42)</f>
        <v>28462.22</v>
      </c>
      <c r="E43" s="891">
        <f t="shared" si="11"/>
        <v>32415.870000000003</v>
      </c>
      <c r="F43" s="891">
        <f t="shared" si="11"/>
        <v>33964.15</v>
      </c>
      <c r="G43" s="891">
        <f t="shared" si="11"/>
        <v>32920.99</v>
      </c>
      <c r="H43" s="891">
        <f t="shared" si="11"/>
        <v>38367.51</v>
      </c>
      <c r="I43" s="891">
        <f t="shared" si="11"/>
        <v>69265.509999999995</v>
      </c>
      <c r="J43" s="891">
        <f t="shared" si="11"/>
        <v>41789.490000000005</v>
      </c>
      <c r="K43" s="891">
        <f t="shared" si="11"/>
        <v>39656.43</v>
      </c>
      <c r="L43" s="891">
        <f t="shared" si="11"/>
        <v>40158.36</v>
      </c>
      <c r="M43" s="891">
        <f t="shared" si="11"/>
        <v>48012.869999999995</v>
      </c>
      <c r="N43" s="891">
        <f t="shared" si="11"/>
        <v>43573.91</v>
      </c>
      <c r="O43" s="891">
        <f t="shared" si="11"/>
        <v>69313.539999999994</v>
      </c>
      <c r="P43" s="891">
        <f>SUM(P40:P42)</f>
        <v>28986.98</v>
      </c>
      <c r="Q43" s="891">
        <f t="shared" ref="Q43:AD43" si="12">SUM(Q40:Q42)</f>
        <v>27795.119999999999</v>
      </c>
      <c r="R43" s="891">
        <f t="shared" si="12"/>
        <v>35112.93</v>
      </c>
      <c r="S43" s="891">
        <f>SUM(S40:S42)</f>
        <v>64951.85</v>
      </c>
      <c r="T43" s="891">
        <f t="shared" si="12"/>
        <v>41650.379999999997</v>
      </c>
      <c r="U43" s="891">
        <f t="shared" si="12"/>
        <v>41628.949999999997</v>
      </c>
      <c r="V43" s="891">
        <f t="shared" si="12"/>
        <v>46305.83</v>
      </c>
      <c r="W43" s="891">
        <f t="shared" si="12"/>
        <v>47929.09</v>
      </c>
      <c r="X43" s="891">
        <f t="shared" si="12"/>
        <v>55027.8</v>
      </c>
      <c r="Y43" s="891">
        <f t="shared" si="12"/>
        <v>69821.600000000006</v>
      </c>
      <c r="Z43" s="891">
        <f t="shared" si="12"/>
        <v>59081.45</v>
      </c>
      <c r="AA43" s="891">
        <f t="shared" si="12"/>
        <v>41188.42</v>
      </c>
      <c r="AB43" s="891">
        <f t="shared" si="12"/>
        <v>43688.49</v>
      </c>
      <c r="AC43" s="1236">
        <f t="shared" si="12"/>
        <v>65161.93</v>
      </c>
      <c r="AD43" s="1236">
        <f t="shared" si="12"/>
        <v>54496.79</v>
      </c>
    </row>
    <row r="44" spans="2:32" x14ac:dyDescent="0.25">
      <c r="B44" s="575"/>
      <c r="C44" s="43"/>
      <c r="D44" s="885"/>
      <c r="E44" s="885"/>
      <c r="F44" s="885"/>
      <c r="G44" s="885"/>
      <c r="H44" s="885"/>
      <c r="I44" s="885"/>
      <c r="J44" s="886"/>
      <c r="K44" s="886"/>
      <c r="L44" s="884"/>
      <c r="M44" s="884"/>
      <c r="N44" s="884"/>
      <c r="O44" s="884"/>
      <c r="P44" s="884"/>
      <c r="Q44" s="884"/>
      <c r="R44" s="884"/>
      <c r="S44" s="884"/>
      <c r="T44" s="884"/>
      <c r="U44" s="884"/>
      <c r="V44" s="884"/>
      <c r="W44" s="884"/>
      <c r="X44" s="884"/>
      <c r="Y44" s="884"/>
      <c r="Z44" s="884"/>
      <c r="AA44" s="884"/>
      <c r="AB44" s="884"/>
      <c r="AC44" s="884"/>
      <c r="AD44" s="884"/>
    </row>
    <row r="45" spans="2:32" x14ac:dyDescent="0.25">
      <c r="B45" s="575"/>
      <c r="C45" s="882" t="s">
        <v>9</v>
      </c>
      <c r="D45" s="438">
        <v>4839.25</v>
      </c>
      <c r="E45" s="438">
        <v>1656.37</v>
      </c>
      <c r="F45" s="438">
        <v>3009.42</v>
      </c>
      <c r="G45" s="438">
        <v>7497.12</v>
      </c>
      <c r="H45" s="438">
        <v>2437.17</v>
      </c>
      <c r="I45" s="438">
        <v>2121.61</v>
      </c>
      <c r="J45" s="438">
        <v>5908.06</v>
      </c>
      <c r="K45" s="438">
        <v>4079.51</v>
      </c>
      <c r="L45" s="438">
        <v>4084.08</v>
      </c>
      <c r="M45" s="438">
        <v>3557.09</v>
      </c>
      <c r="N45" s="438">
        <v>5225.32</v>
      </c>
      <c r="O45" s="438">
        <v>5252.58</v>
      </c>
      <c r="P45" s="438">
        <v>3987.09</v>
      </c>
      <c r="Q45" s="438">
        <v>3987.09</v>
      </c>
      <c r="R45" s="438">
        <v>4016</v>
      </c>
      <c r="S45" s="438">
        <v>4057.49</v>
      </c>
      <c r="T45" s="438">
        <v>4128.08</v>
      </c>
      <c r="U45" s="438">
        <v>3590</v>
      </c>
      <c r="V45" s="438">
        <v>4709.04</v>
      </c>
      <c r="W45" s="438">
        <v>4005.04</v>
      </c>
      <c r="X45" s="438">
        <v>4021.38</v>
      </c>
      <c r="Y45" s="438">
        <v>4533.83</v>
      </c>
      <c r="Z45" s="438">
        <v>3944.84</v>
      </c>
      <c r="AA45" s="438">
        <v>4155.47</v>
      </c>
      <c r="AB45" s="438">
        <v>4005.47</v>
      </c>
      <c r="AC45" s="438">
        <v>4005.47</v>
      </c>
      <c r="AD45" s="438">
        <v>4005.47</v>
      </c>
    </row>
    <row r="46" spans="2:32" x14ac:dyDescent="0.25">
      <c r="B46" s="575" t="s">
        <v>766</v>
      </c>
      <c r="C46" s="882" t="s">
        <v>422</v>
      </c>
      <c r="D46" s="438">
        <v>500</v>
      </c>
      <c r="E46" s="438">
        <v>507.4</v>
      </c>
      <c r="F46" s="438">
        <v>483.8</v>
      </c>
      <c r="G46" s="438">
        <v>551.85</v>
      </c>
      <c r="H46" s="438">
        <v>630.74</v>
      </c>
      <c r="I46" s="438">
        <v>680.01</v>
      </c>
      <c r="J46" s="438">
        <v>669.36</v>
      </c>
      <c r="K46" s="438">
        <v>706.88</v>
      </c>
      <c r="L46" s="438">
        <v>766.93</v>
      </c>
      <c r="M46" s="438">
        <v>1020.26</v>
      </c>
      <c r="N46" s="438">
        <v>1782.14</v>
      </c>
      <c r="O46" s="438">
        <v>12423.52</v>
      </c>
      <c r="P46" s="438">
        <v>6917.91</v>
      </c>
      <c r="Q46" s="438">
        <v>9259.9500000000007</v>
      </c>
      <c r="R46" s="438">
        <v>7845.1</v>
      </c>
      <c r="S46" s="438">
        <v>6972.84</v>
      </c>
      <c r="T46" s="438">
        <v>9827.35</v>
      </c>
      <c r="U46" s="438">
        <v>9952.869999999999</v>
      </c>
      <c r="V46" s="438">
        <v>10367.83</v>
      </c>
      <c r="W46" s="438">
        <v>24409.91</v>
      </c>
      <c r="X46" s="438">
        <v>18516.379999999997</v>
      </c>
      <c r="Y46" s="438">
        <v>26934.620000000003</v>
      </c>
      <c r="Z46" s="438">
        <v>17529.93</v>
      </c>
      <c r="AA46" s="438">
        <v>17787.809999999998</v>
      </c>
      <c r="AB46" s="438">
        <v>20360.21</v>
      </c>
      <c r="AC46" s="438">
        <v>20041.990000000002</v>
      </c>
      <c r="AD46" s="438">
        <v>17201.39</v>
      </c>
    </row>
    <row r="47" spans="2:32" x14ac:dyDescent="0.25">
      <c r="B47" s="575"/>
      <c r="C47" s="882" t="s">
        <v>423</v>
      </c>
      <c r="D47" s="438">
        <v>10700.29</v>
      </c>
      <c r="E47" s="438">
        <v>9648</v>
      </c>
      <c r="F47" s="438">
        <v>8874.1200000000008</v>
      </c>
      <c r="G47" s="438">
        <v>15489</v>
      </c>
      <c r="H47" s="438">
        <v>14715.65</v>
      </c>
      <c r="I47" s="438">
        <v>11399</v>
      </c>
      <c r="J47" s="438">
        <v>11499</v>
      </c>
      <c r="K47" s="438">
        <v>14815.9</v>
      </c>
      <c r="L47" s="438">
        <v>12730</v>
      </c>
      <c r="M47" s="438">
        <v>12475.9</v>
      </c>
      <c r="N47" s="438">
        <v>12475.9</v>
      </c>
      <c r="O47" s="438">
        <v>16713.41</v>
      </c>
      <c r="P47" s="438">
        <v>12772.3</v>
      </c>
      <c r="Q47" s="438">
        <v>21980.42</v>
      </c>
      <c r="R47" s="438">
        <v>13461.46</v>
      </c>
      <c r="S47" s="438">
        <v>22782.3</v>
      </c>
      <c r="T47" s="438">
        <v>14987.9</v>
      </c>
      <c r="U47" s="438">
        <v>15009.8</v>
      </c>
      <c r="V47" s="438">
        <v>8568.65</v>
      </c>
      <c r="W47" s="438">
        <v>15141.06</v>
      </c>
      <c r="X47" s="438">
        <v>15072.8</v>
      </c>
      <c r="Y47" s="438">
        <v>15102.75</v>
      </c>
      <c r="Z47" s="438">
        <v>14952.85</v>
      </c>
      <c r="AA47" s="438">
        <v>12550.71</v>
      </c>
      <c r="AB47" s="438">
        <v>15173.76</v>
      </c>
      <c r="AC47" s="438">
        <v>15173.76</v>
      </c>
      <c r="AD47" s="438">
        <v>15173.76</v>
      </c>
    </row>
    <row r="48" spans="2:32" x14ac:dyDescent="0.25">
      <c r="B48" s="575"/>
      <c r="C48" s="882" t="s">
        <v>421</v>
      </c>
      <c r="D48" s="887">
        <v>6122.17</v>
      </c>
      <c r="E48" s="887">
        <v>4726.3900000000003</v>
      </c>
      <c r="F48" s="887">
        <v>4210.46</v>
      </c>
      <c r="G48" s="887">
        <v>4222.1099999999997</v>
      </c>
      <c r="H48" s="887">
        <v>7712.6</v>
      </c>
      <c r="I48" s="887">
        <v>3813.67</v>
      </c>
      <c r="J48" s="887">
        <v>3593</v>
      </c>
      <c r="K48" s="887">
        <v>5171.54</v>
      </c>
      <c r="L48" s="887">
        <v>4396.4399999999996</v>
      </c>
      <c r="M48" s="887">
        <v>4273.17</v>
      </c>
      <c r="N48" s="887">
        <v>3490.64</v>
      </c>
      <c r="O48" s="887">
        <v>4994.3900000000003</v>
      </c>
      <c r="P48" s="887"/>
      <c r="Q48" s="887">
        <v>688.74</v>
      </c>
      <c r="R48" s="887">
        <v>0</v>
      </c>
      <c r="S48" s="887"/>
      <c r="T48" s="887"/>
      <c r="U48" s="887"/>
      <c r="V48" s="887"/>
      <c r="W48" s="887"/>
      <c r="X48" s="887"/>
      <c r="Y48" s="887"/>
      <c r="Z48" s="884"/>
      <c r="AA48" s="884"/>
      <c r="AB48" s="884"/>
      <c r="AC48" s="884"/>
      <c r="AD48" s="884"/>
    </row>
    <row r="49" spans="2:30" x14ac:dyDescent="0.25">
      <c r="B49" s="40"/>
      <c r="C49" s="891" t="s">
        <v>1068</v>
      </c>
      <c r="D49" s="891">
        <f>SUM(D45:D48)</f>
        <v>22161.71</v>
      </c>
      <c r="E49" s="891">
        <f t="shared" ref="E49:O49" si="13">SUM(E45:E48)</f>
        <v>16538.16</v>
      </c>
      <c r="F49" s="891">
        <f t="shared" si="13"/>
        <v>16577.8</v>
      </c>
      <c r="G49" s="891">
        <f t="shared" si="13"/>
        <v>27760.080000000002</v>
      </c>
      <c r="H49" s="891">
        <f t="shared" si="13"/>
        <v>25496.159999999996</v>
      </c>
      <c r="I49" s="891">
        <f t="shared" si="13"/>
        <v>18014.29</v>
      </c>
      <c r="J49" s="891">
        <f t="shared" si="13"/>
        <v>21669.42</v>
      </c>
      <c r="K49" s="891">
        <f t="shared" si="13"/>
        <v>24773.83</v>
      </c>
      <c r="L49" s="891">
        <f t="shared" si="13"/>
        <v>21977.45</v>
      </c>
      <c r="M49" s="891">
        <f t="shared" si="13"/>
        <v>21326.42</v>
      </c>
      <c r="N49" s="891">
        <f t="shared" si="13"/>
        <v>22974</v>
      </c>
      <c r="O49" s="891">
        <f t="shared" si="13"/>
        <v>39383.899999999994</v>
      </c>
      <c r="P49" s="891">
        <f>SUM(P45:P48)</f>
        <v>23677.3</v>
      </c>
      <c r="Q49" s="891">
        <f t="shared" ref="Q49:AD49" si="14">SUM(Q45:Q48)</f>
        <v>35916.199999999997</v>
      </c>
      <c r="R49" s="891">
        <f t="shared" si="14"/>
        <v>25322.559999999998</v>
      </c>
      <c r="S49" s="891">
        <f>SUM(S45:S48)</f>
        <v>33812.629999999997</v>
      </c>
      <c r="T49" s="891">
        <f t="shared" si="14"/>
        <v>28943.33</v>
      </c>
      <c r="U49" s="891">
        <f t="shared" si="14"/>
        <v>28552.67</v>
      </c>
      <c r="V49" s="891">
        <f t="shared" si="14"/>
        <v>23645.519999999997</v>
      </c>
      <c r="W49" s="891">
        <f t="shared" si="14"/>
        <v>43556.01</v>
      </c>
      <c r="X49" s="891">
        <f t="shared" si="14"/>
        <v>37610.559999999998</v>
      </c>
      <c r="Y49" s="891">
        <f t="shared" si="14"/>
        <v>46571.200000000004</v>
      </c>
      <c r="Z49" s="891">
        <f t="shared" si="14"/>
        <v>36427.620000000003</v>
      </c>
      <c r="AA49" s="891">
        <f t="shared" si="14"/>
        <v>34493.99</v>
      </c>
      <c r="AB49" s="891">
        <f t="shared" si="14"/>
        <v>39539.440000000002</v>
      </c>
      <c r="AC49" s="1236">
        <f t="shared" si="14"/>
        <v>39221.22</v>
      </c>
      <c r="AD49" s="1236">
        <f t="shared" si="14"/>
        <v>36380.620000000003</v>
      </c>
    </row>
    <row r="50" spans="2:30" x14ac:dyDescent="0.25">
      <c r="B50" s="40"/>
      <c r="C50" s="882" t="s">
        <v>424</v>
      </c>
      <c r="D50" s="889">
        <v>10445.799999999999</v>
      </c>
      <c r="E50" s="887">
        <v>10394.540000000001</v>
      </c>
      <c r="F50" s="887">
        <v>10108.16</v>
      </c>
      <c r="G50" s="887">
        <v>11944.02</v>
      </c>
      <c r="H50" s="887">
        <v>12156.73</v>
      </c>
      <c r="I50" s="887">
        <v>13849.1</v>
      </c>
      <c r="J50" s="887">
        <v>13345.27</v>
      </c>
      <c r="K50" s="887">
        <v>13220.77</v>
      </c>
      <c r="L50" s="887">
        <v>13674.55</v>
      </c>
      <c r="M50" s="887">
        <v>14896.31</v>
      </c>
      <c r="N50" s="887">
        <v>16046.49</v>
      </c>
      <c r="O50" s="887">
        <v>15641.92</v>
      </c>
      <c r="P50" s="887"/>
      <c r="Q50" s="887"/>
      <c r="R50" s="887"/>
      <c r="S50" s="887"/>
      <c r="T50" s="887"/>
      <c r="U50" s="887"/>
      <c r="V50" s="887"/>
      <c r="W50" s="887"/>
      <c r="X50" s="887"/>
      <c r="Y50" s="887"/>
      <c r="Z50" s="884"/>
      <c r="AA50" s="884"/>
      <c r="AB50" s="884"/>
      <c r="AC50" s="884"/>
      <c r="AD50" s="884"/>
    </row>
    <row r="51" spans="2:30" ht="30" x14ac:dyDescent="0.25">
      <c r="B51" s="40">
        <v>5100</v>
      </c>
      <c r="C51" s="882" t="s">
        <v>425</v>
      </c>
      <c r="D51" s="889">
        <v>10131.049999999999</v>
      </c>
      <c r="E51" s="887">
        <v>9885.2199999999993</v>
      </c>
      <c r="F51" s="887">
        <v>10074.540000000001</v>
      </c>
      <c r="G51" s="887">
        <v>13980.16</v>
      </c>
      <c r="H51" s="887">
        <v>14443.31</v>
      </c>
      <c r="I51" s="887">
        <v>14763.85</v>
      </c>
      <c r="J51" s="887">
        <v>13502</v>
      </c>
      <c r="K51" s="887">
        <v>13450.9</v>
      </c>
      <c r="L51" s="887">
        <v>13211.34</v>
      </c>
      <c r="M51" s="887">
        <v>14810.7</v>
      </c>
      <c r="N51" s="887">
        <v>17794.63</v>
      </c>
      <c r="O51" s="887">
        <v>16115.43</v>
      </c>
      <c r="P51" s="887">
        <v>15810.7</v>
      </c>
      <c r="Q51" s="887">
        <v>28578.89</v>
      </c>
      <c r="R51" s="887">
        <v>27683.75</v>
      </c>
      <c r="S51" s="887">
        <v>32422.07</v>
      </c>
      <c r="T51" s="887">
        <v>30649.41</v>
      </c>
      <c r="U51" s="887">
        <v>36002.61</v>
      </c>
      <c r="V51" s="887">
        <v>37367.67</v>
      </c>
      <c r="W51" s="887">
        <v>30284.080000000002</v>
      </c>
      <c r="X51" s="887">
        <v>35976.410000000003</v>
      </c>
      <c r="Y51" s="887">
        <v>43264.55</v>
      </c>
      <c r="Z51" s="887">
        <v>35930.800000000003</v>
      </c>
      <c r="AA51" s="887">
        <v>34948.92</v>
      </c>
      <c r="AB51" s="438">
        <v>33832.550000000003</v>
      </c>
      <c r="AC51" s="438">
        <v>36325.089999999997</v>
      </c>
      <c r="AD51" s="438">
        <v>35313.760000000002</v>
      </c>
    </row>
    <row r="52" spans="2:30" x14ac:dyDescent="0.25">
      <c r="B52" s="40"/>
      <c r="C52" s="891" t="s">
        <v>1069</v>
      </c>
      <c r="D52" s="891">
        <f t="shared" ref="D52:O52" si="15">SUM(D50:D51)</f>
        <v>20576.849999999999</v>
      </c>
      <c r="E52" s="891">
        <f t="shared" si="15"/>
        <v>20279.760000000002</v>
      </c>
      <c r="F52" s="891">
        <f t="shared" si="15"/>
        <v>20182.7</v>
      </c>
      <c r="G52" s="891">
        <f t="shared" si="15"/>
        <v>25924.18</v>
      </c>
      <c r="H52" s="891">
        <f t="shared" si="15"/>
        <v>26600.04</v>
      </c>
      <c r="I52" s="891">
        <f t="shared" si="15"/>
        <v>28612.95</v>
      </c>
      <c r="J52" s="891">
        <f t="shared" si="15"/>
        <v>26847.27</v>
      </c>
      <c r="K52" s="891">
        <f t="shared" si="15"/>
        <v>26671.67</v>
      </c>
      <c r="L52" s="891">
        <f t="shared" si="15"/>
        <v>26885.89</v>
      </c>
      <c r="M52" s="891">
        <f t="shared" si="15"/>
        <v>29707.010000000002</v>
      </c>
      <c r="N52" s="891">
        <f t="shared" si="15"/>
        <v>33841.120000000003</v>
      </c>
      <c r="O52" s="891">
        <f t="shared" si="15"/>
        <v>31757.35</v>
      </c>
      <c r="P52" s="891">
        <f>SUM(P50:P51)</f>
        <v>15810.7</v>
      </c>
      <c r="Q52" s="891">
        <f t="shared" ref="Q52:AD52" si="16">SUM(Q50:Q51)</f>
        <v>28578.89</v>
      </c>
      <c r="R52" s="891">
        <f t="shared" si="16"/>
        <v>27683.75</v>
      </c>
      <c r="S52" s="891">
        <f t="shared" si="16"/>
        <v>32422.07</v>
      </c>
      <c r="T52" s="891">
        <f t="shared" si="16"/>
        <v>30649.41</v>
      </c>
      <c r="U52" s="891">
        <f t="shared" si="16"/>
        <v>36002.61</v>
      </c>
      <c r="V52" s="891">
        <f t="shared" si="16"/>
        <v>37367.67</v>
      </c>
      <c r="W52" s="891">
        <f t="shared" si="16"/>
        <v>30284.080000000002</v>
      </c>
      <c r="X52" s="891">
        <f t="shared" si="16"/>
        <v>35976.410000000003</v>
      </c>
      <c r="Y52" s="891">
        <f t="shared" si="16"/>
        <v>43264.55</v>
      </c>
      <c r="Z52" s="891">
        <f t="shared" si="16"/>
        <v>35930.800000000003</v>
      </c>
      <c r="AA52" s="891">
        <f t="shared" si="16"/>
        <v>34948.92</v>
      </c>
      <c r="AB52" s="891">
        <f t="shared" si="16"/>
        <v>33832.550000000003</v>
      </c>
      <c r="AC52" s="1236">
        <f t="shared" si="16"/>
        <v>36325.089999999997</v>
      </c>
      <c r="AD52" s="1236">
        <f t="shared" si="16"/>
        <v>35313.760000000002</v>
      </c>
    </row>
    <row r="53" spans="2:30" x14ac:dyDescent="0.25">
      <c r="B53" s="40"/>
      <c r="C53" s="40"/>
      <c r="D53" s="885"/>
      <c r="E53" s="885"/>
      <c r="F53" s="885"/>
      <c r="G53" s="885"/>
      <c r="H53" s="885"/>
      <c r="I53" s="885"/>
      <c r="J53" s="884"/>
      <c r="K53" s="884"/>
      <c r="L53" s="884"/>
      <c r="M53" s="884"/>
      <c r="N53" s="884"/>
      <c r="O53" s="884"/>
      <c r="P53" s="884"/>
      <c r="Q53" s="884"/>
      <c r="R53" s="884"/>
      <c r="S53" s="884"/>
      <c r="T53" s="884"/>
      <c r="U53" s="884"/>
      <c r="V53" s="884"/>
      <c r="W53" s="884"/>
      <c r="X53" s="884"/>
      <c r="Y53" s="884"/>
      <c r="Z53" s="884"/>
      <c r="AA53" s="884"/>
      <c r="AB53" s="884"/>
      <c r="AC53" s="884"/>
      <c r="AD53" s="884"/>
    </row>
    <row r="54" spans="2:30" ht="15.75" thickBot="1" x14ac:dyDescent="0.3">
      <c r="B54" s="40"/>
      <c r="C54" s="895" t="s">
        <v>488</v>
      </c>
      <c r="D54" s="895">
        <f>+D52+D49+D43+D39</f>
        <v>185324.39</v>
      </c>
      <c r="E54" s="895">
        <f t="shared" ref="E54:AD54" si="17">+E52+E49+E43+E39</f>
        <v>224174.19000000003</v>
      </c>
      <c r="F54" s="895">
        <f t="shared" si="17"/>
        <v>224418.25</v>
      </c>
      <c r="G54" s="895">
        <f t="shared" si="17"/>
        <v>227258.18</v>
      </c>
      <c r="H54" s="895">
        <f t="shared" si="17"/>
        <v>241568.81999999998</v>
      </c>
      <c r="I54" s="895">
        <f t="shared" si="17"/>
        <v>290879.58999999997</v>
      </c>
      <c r="J54" s="895">
        <f t="shared" si="17"/>
        <v>214491.57</v>
      </c>
      <c r="K54" s="895">
        <f t="shared" si="17"/>
        <v>128717.25</v>
      </c>
      <c r="L54" s="895">
        <f t="shared" si="17"/>
        <v>191085.03999999998</v>
      </c>
      <c r="M54" s="895">
        <f t="shared" si="17"/>
        <v>153427.18</v>
      </c>
      <c r="N54" s="895">
        <f t="shared" si="17"/>
        <v>231194.66999999998</v>
      </c>
      <c r="O54" s="895">
        <f t="shared" si="17"/>
        <v>391862.37</v>
      </c>
      <c r="P54" s="895">
        <f t="shared" si="17"/>
        <v>133113.58000000002</v>
      </c>
      <c r="Q54" s="895">
        <f t="shared" si="17"/>
        <v>168204.69</v>
      </c>
      <c r="R54" s="895">
        <f t="shared" si="17"/>
        <v>191188.81</v>
      </c>
      <c r="S54" s="895">
        <f t="shared" si="17"/>
        <v>218548.87</v>
      </c>
      <c r="T54" s="895">
        <f t="shared" si="17"/>
        <v>199483.69</v>
      </c>
      <c r="U54" s="895">
        <f t="shared" si="17"/>
        <v>192572.1</v>
      </c>
      <c r="V54" s="895">
        <f t="shared" si="17"/>
        <v>207717.08000000002</v>
      </c>
      <c r="W54" s="895">
        <f t="shared" si="17"/>
        <v>202559.91999999998</v>
      </c>
      <c r="X54" s="895">
        <f t="shared" si="17"/>
        <v>235656.08000000002</v>
      </c>
      <c r="Y54" s="895">
        <f t="shared" si="17"/>
        <v>278731.90000000002</v>
      </c>
      <c r="Z54" s="895">
        <f t="shared" si="17"/>
        <v>241638.81</v>
      </c>
      <c r="AA54" s="895">
        <f t="shared" si="17"/>
        <v>220158.74</v>
      </c>
      <c r="AB54" s="895">
        <f t="shared" si="17"/>
        <v>212973.72000000003</v>
      </c>
      <c r="AC54" s="895">
        <f t="shared" si="17"/>
        <v>227545.59999999998</v>
      </c>
      <c r="AD54" s="895">
        <f t="shared" si="17"/>
        <v>223928.96000000002</v>
      </c>
    </row>
    <row r="55" spans="2:30" ht="15.75" thickBot="1" x14ac:dyDescent="0.3">
      <c r="B55" s="40"/>
      <c r="C55" s="40" t="s">
        <v>912</v>
      </c>
      <c r="D55" s="884">
        <v>185324</v>
      </c>
      <c r="E55" s="884">
        <v>224174</v>
      </c>
      <c r="F55" s="884">
        <v>224418</v>
      </c>
      <c r="G55" s="884">
        <v>227258</v>
      </c>
      <c r="H55" s="884">
        <v>241569</v>
      </c>
      <c r="I55" s="884">
        <v>290880</v>
      </c>
      <c r="J55" s="884">
        <v>214492</v>
      </c>
      <c r="K55" s="884">
        <v>128717</v>
      </c>
      <c r="L55" s="884">
        <v>191085</v>
      </c>
      <c r="M55" s="884">
        <v>153427</v>
      </c>
      <c r="N55" s="884">
        <v>231195</v>
      </c>
      <c r="O55" s="884">
        <v>391863</v>
      </c>
      <c r="P55" s="884"/>
      <c r="Q55" s="884"/>
      <c r="R55" s="884">
        <v>191188.81</v>
      </c>
      <c r="S55" s="884">
        <v>218549</v>
      </c>
      <c r="T55" s="884"/>
      <c r="U55" s="884"/>
      <c r="V55" s="884"/>
      <c r="W55" s="884"/>
      <c r="X55" s="884"/>
      <c r="Y55" s="884"/>
      <c r="Z55" s="884">
        <v>241638.81</v>
      </c>
      <c r="AA55" s="884">
        <v>220158.74</v>
      </c>
      <c r="AB55" s="1201">
        <v>212973.72</v>
      </c>
      <c r="AC55" s="1201">
        <v>227545.60000000001</v>
      </c>
      <c r="AD55" s="1201">
        <v>223928.95999999999</v>
      </c>
    </row>
    <row r="56" spans="2:30" x14ac:dyDescent="0.25">
      <c r="B56" s="40"/>
      <c r="C56" s="40" t="s">
        <v>849</v>
      </c>
      <c r="D56" s="405">
        <f>+D54-D55</f>
        <v>0.39000000001396984</v>
      </c>
      <c r="E56" s="405">
        <f>+E54-E55</f>
        <v>0.19000000003143214</v>
      </c>
      <c r="F56" s="405">
        <f t="shared" ref="F56:O56" si="18">+F54-F55</f>
        <v>0.25</v>
      </c>
      <c r="G56" s="405">
        <f t="shared" si="18"/>
        <v>0.17999999999301508</v>
      </c>
      <c r="H56" s="405">
        <f t="shared" si="18"/>
        <v>-0.18000000002211891</v>
      </c>
      <c r="I56" s="405">
        <f t="shared" si="18"/>
        <v>-0.41000000003259629</v>
      </c>
      <c r="J56" s="405">
        <f t="shared" si="18"/>
        <v>-0.42999999999301508</v>
      </c>
      <c r="K56" s="405">
        <f t="shared" si="18"/>
        <v>0.25</v>
      </c>
      <c r="L56" s="405">
        <f t="shared" si="18"/>
        <v>3.9999999979045242E-2</v>
      </c>
      <c r="M56" s="405">
        <f t="shared" si="18"/>
        <v>0.17999999999301508</v>
      </c>
      <c r="N56" s="405">
        <f t="shared" si="18"/>
        <v>-0.33000000001629815</v>
      </c>
      <c r="O56" s="405">
        <f t="shared" si="18"/>
        <v>-0.63000000000465661</v>
      </c>
      <c r="P56" s="405"/>
      <c r="Q56" s="405"/>
      <c r="R56" s="405">
        <f>+R55-R54</f>
        <v>0</v>
      </c>
      <c r="S56" s="405">
        <f>+S55-S54</f>
        <v>0.13000000000465661</v>
      </c>
      <c r="T56" s="405"/>
      <c r="U56" s="405"/>
      <c r="V56" s="405"/>
      <c r="W56" s="405"/>
      <c r="X56" s="405"/>
      <c r="Y56" s="405"/>
      <c r="Z56" s="405">
        <f>+Z55-Z54</f>
        <v>0</v>
      </c>
      <c r="AA56" s="405">
        <f>+AA55-AA54</f>
        <v>0</v>
      </c>
      <c r="AB56" s="405">
        <f>+AB55-AB54</f>
        <v>0</v>
      </c>
      <c r="AC56" s="405">
        <f>+AC55-AC54</f>
        <v>0</v>
      </c>
      <c r="AD56" s="405">
        <f>+AD55-AD54</f>
        <v>0</v>
      </c>
    </row>
  </sheetData>
  <pageMargins left="0.7" right="0.7" top="0.75" bottom="0.75" header="0.3" footer="0.3"/>
  <pageSetup orientation="portrait" horizontalDpi="0"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XFD1588"/>
  <sheetViews>
    <sheetView zoomScale="80" zoomScaleNormal="80" workbookViewId="0">
      <pane xSplit="6" ySplit="4" topLeftCell="G433" activePane="bottomRight" state="frozen"/>
      <selection activeCell="C20" sqref="C20"/>
      <selection pane="topRight" activeCell="C20" sqref="C20"/>
      <selection pane="bottomLeft" activeCell="C20" sqref="C20"/>
      <selection pane="bottomRight" activeCell="AG443" sqref="AE443:AG443"/>
    </sheetView>
  </sheetViews>
  <sheetFormatPr defaultColWidth="9.140625" defaultRowHeight="15" outlineLevelRow="1" outlineLevelCol="1" x14ac:dyDescent="0.25"/>
  <cols>
    <col min="1" max="1" width="2.5703125" style="570" customWidth="1"/>
    <col min="2" max="4" width="8.140625" style="437" hidden="1" customWidth="1"/>
    <col min="5" max="5" width="26.140625" style="570" bestFit="1" customWidth="1"/>
    <col min="6" max="6" width="36.85546875" style="437" bestFit="1" customWidth="1"/>
    <col min="7" max="7" width="14.28515625" style="437" hidden="1" customWidth="1" outlineLevel="1"/>
    <col min="8" max="8" width="13.5703125" style="437" hidden="1" customWidth="1" outlineLevel="1"/>
    <col min="9" max="14" width="14.28515625" style="437" hidden="1" customWidth="1" outlineLevel="1"/>
    <col min="15" max="15" width="14.140625" style="437" hidden="1" customWidth="1" outlineLevel="1"/>
    <col min="16" max="16" width="15.42578125" style="437" hidden="1" customWidth="1" outlineLevel="1"/>
    <col min="17" max="18" width="15.5703125" style="437" hidden="1" customWidth="1" outlineLevel="1"/>
    <col min="19" max="19" width="13" style="437" hidden="1" customWidth="1" outlineLevel="1" collapsed="1"/>
    <col min="20" max="22" width="13.42578125" style="437" hidden="1" customWidth="1" outlineLevel="1"/>
    <col min="23" max="28" width="15.140625" style="437" hidden="1" customWidth="1" outlineLevel="1"/>
    <col min="29" max="29" width="14.5703125" style="437" hidden="1" customWidth="1" outlineLevel="1"/>
    <col min="30" max="30" width="15.140625" style="437" bestFit="1" customWidth="1" collapsed="1"/>
    <col min="31" max="31" width="12.42578125" style="437" bestFit="1" customWidth="1"/>
    <col min="32" max="32" width="11.5703125" style="570" customWidth="1"/>
    <col min="33" max="33" width="15.140625" style="437" bestFit="1" customWidth="1"/>
    <col min="34" max="67" width="11.5703125" style="437" customWidth="1"/>
    <col min="68" max="79" width="11.5703125" style="570" customWidth="1"/>
    <col min="80" max="16384" width="9.140625" style="223"/>
  </cols>
  <sheetData>
    <row r="1" spans="1:79" x14ac:dyDescent="0.25">
      <c r="E1" s="570" t="s">
        <v>645</v>
      </c>
    </row>
    <row r="2" spans="1:79" x14ac:dyDescent="0.25">
      <c r="G2" s="34" t="s">
        <v>5</v>
      </c>
      <c r="H2" s="29" t="s">
        <v>68</v>
      </c>
      <c r="O2" s="437" t="s">
        <v>168</v>
      </c>
      <c r="AC2" s="437" t="s">
        <v>1114</v>
      </c>
    </row>
    <row r="3" spans="1:79" x14ac:dyDescent="0.25">
      <c r="A3" s="999"/>
      <c r="E3" s="999" t="s">
        <v>1319</v>
      </c>
      <c r="F3" s="999" t="s">
        <v>924</v>
      </c>
      <c r="G3" s="865">
        <f>'Cost Summary'!C3</f>
        <v>40909</v>
      </c>
      <c r="H3" s="865">
        <f>'Cost Summary'!D3</f>
        <v>40942</v>
      </c>
      <c r="I3" s="865">
        <f>'Cost Summary'!E3</f>
        <v>40975</v>
      </c>
      <c r="J3" s="865">
        <f>'Cost Summary'!F3</f>
        <v>41008</v>
      </c>
      <c r="K3" s="865">
        <f>'Cost Summary'!G3</f>
        <v>41041</v>
      </c>
      <c r="L3" s="865">
        <f>'Cost Summary'!H3</f>
        <v>41074</v>
      </c>
      <c r="M3" s="865">
        <f>'Cost Summary'!I3</f>
        <v>41107</v>
      </c>
      <c r="N3" s="865">
        <f>'Cost Summary'!J3</f>
        <v>41140</v>
      </c>
      <c r="O3" s="865">
        <f>'Cost Summary'!K3</f>
        <v>41173</v>
      </c>
      <c r="P3" s="865">
        <f>'Cost Summary'!L3</f>
        <v>41206</v>
      </c>
      <c r="Q3" s="865">
        <f>'Cost Summary'!M3</f>
        <v>41239</v>
      </c>
      <c r="R3" s="865">
        <f>'Cost Summary'!N3</f>
        <v>41272</v>
      </c>
      <c r="S3" s="865">
        <f>'Cost Summary'!O3</f>
        <v>41282</v>
      </c>
      <c r="T3" s="865">
        <f>'Cost Summary'!P3</f>
        <v>41312</v>
      </c>
      <c r="U3" s="865">
        <f>'Cost Summary'!Q3</f>
        <v>41342</v>
      </c>
      <c r="V3" s="865">
        <f>'Cost Summary'!R3</f>
        <v>41372</v>
      </c>
      <c r="W3" s="865">
        <f>'Cost Summary'!S3</f>
        <v>41402</v>
      </c>
      <c r="X3" s="865">
        <f>'Cost Summary'!T3</f>
        <v>41432</v>
      </c>
      <c r="Y3" s="865">
        <f>'Cost Summary'!U3</f>
        <v>41462</v>
      </c>
      <c r="Z3" s="865">
        <f>'Cost Summary'!V3</f>
        <v>41492</v>
      </c>
      <c r="AA3" s="865">
        <f>'Cost Summary'!W3</f>
        <v>41522</v>
      </c>
      <c r="AB3" s="865">
        <f>'Cost Summary'!X3</f>
        <v>41552</v>
      </c>
      <c r="AC3" s="865">
        <f>'Cost Summary'!Y3</f>
        <v>41582</v>
      </c>
      <c r="AD3" s="865">
        <f>'Cost Summary'!Z3</f>
        <v>41612</v>
      </c>
      <c r="AE3" s="865">
        <f>'Cost Summary'!AA3</f>
        <v>41642</v>
      </c>
      <c r="AF3" s="865">
        <v>41675</v>
      </c>
      <c r="AG3" s="865">
        <f>'Cost Summary'!AC3</f>
        <v>41708</v>
      </c>
      <c r="AH3" s="865">
        <f>'Cost Summary'!AD3</f>
        <v>41741</v>
      </c>
      <c r="AI3" s="865">
        <f>'Cost Summary'!AE3</f>
        <v>41774</v>
      </c>
      <c r="AJ3" s="865">
        <f>'Cost Summary'!AF3</f>
        <v>41807</v>
      </c>
      <c r="AK3" s="865">
        <f>'Cost Summary'!AG3</f>
        <v>41840</v>
      </c>
      <c r="AL3" s="865">
        <f>'Cost Summary'!AH3</f>
        <v>41873</v>
      </c>
      <c r="AM3" s="865">
        <f>'Cost Summary'!AI3</f>
        <v>41906</v>
      </c>
      <c r="AN3" s="865">
        <f>'Cost Summary'!AJ3</f>
        <v>41939</v>
      </c>
      <c r="AO3" s="865">
        <f>'Cost Summary'!AK3</f>
        <v>41972</v>
      </c>
      <c r="AP3" s="865">
        <f>'Cost Summary'!AL3</f>
        <v>41982</v>
      </c>
      <c r="AQ3" s="865">
        <f>'Cost Summary'!AM3</f>
        <v>42012</v>
      </c>
      <c r="AR3" s="865">
        <f>'Cost Summary'!AN3</f>
        <v>42042</v>
      </c>
      <c r="AS3" s="865">
        <f>'Cost Summary'!AO3</f>
        <v>42072</v>
      </c>
      <c r="AT3" s="865">
        <f>'Cost Summary'!AP3</f>
        <v>42102</v>
      </c>
      <c r="AU3" s="865">
        <f>'Cost Summary'!AQ3</f>
        <v>42132</v>
      </c>
      <c r="AV3" s="865">
        <f>'Cost Summary'!AR3</f>
        <v>42162</v>
      </c>
      <c r="AW3" s="865">
        <f>'Cost Summary'!AS3</f>
        <v>42192</v>
      </c>
      <c r="AX3" s="865">
        <f>'Cost Summary'!AT3</f>
        <v>42222</v>
      </c>
      <c r="AY3" s="865">
        <f>'Cost Summary'!AU3</f>
        <v>42252</v>
      </c>
      <c r="AZ3" s="865">
        <f>'Cost Summary'!AV3</f>
        <v>42282</v>
      </c>
      <c r="BA3" s="865">
        <f>'Cost Summary'!AW3</f>
        <v>42312</v>
      </c>
      <c r="BB3" s="865">
        <f>'Cost Summary'!AX3</f>
        <v>42342</v>
      </c>
      <c r="BC3" s="865">
        <f>'Cost Summary'!AY3</f>
        <v>42372</v>
      </c>
      <c r="BD3" s="865">
        <f>'Cost Summary'!AZ3</f>
        <v>42402</v>
      </c>
      <c r="BE3" s="865">
        <f>'Cost Summary'!BA3</f>
        <v>42432</v>
      </c>
      <c r="BF3" s="865">
        <f>'Cost Summary'!BB3</f>
        <v>42462</v>
      </c>
      <c r="BG3" s="865">
        <f>'Cost Summary'!BC3</f>
        <v>42492</v>
      </c>
      <c r="BH3" s="865">
        <f>'Cost Summary'!BD3</f>
        <v>42522</v>
      </c>
      <c r="BI3" s="865">
        <f>'Cost Summary'!BE3</f>
        <v>42555</v>
      </c>
      <c r="BJ3" s="865">
        <f>'Cost Summary'!BF3</f>
        <v>42585</v>
      </c>
      <c r="BK3" s="865">
        <f>'Cost Summary'!BG3</f>
        <v>42615</v>
      </c>
      <c r="BL3" s="865">
        <f>'Cost Summary'!BH3</f>
        <v>42645</v>
      </c>
      <c r="BM3" s="865">
        <f>'Cost Summary'!BI3</f>
        <v>42675</v>
      </c>
      <c r="BN3" s="865">
        <f>'Cost Summary'!BJ3</f>
        <v>42705</v>
      </c>
      <c r="BO3" s="865">
        <v>42736</v>
      </c>
      <c r="BP3" s="865">
        <v>42767</v>
      </c>
      <c r="BQ3" s="865">
        <v>42795</v>
      </c>
      <c r="BR3" s="865">
        <v>42826</v>
      </c>
      <c r="BS3" s="865">
        <v>42856</v>
      </c>
      <c r="BT3" s="865">
        <v>42887</v>
      </c>
      <c r="BU3" s="865">
        <v>42917</v>
      </c>
      <c r="BV3" s="865">
        <v>42948</v>
      </c>
      <c r="BW3" s="865">
        <v>42979</v>
      </c>
      <c r="BX3" s="865">
        <v>43009</v>
      </c>
      <c r="BY3" s="865">
        <v>43040</v>
      </c>
      <c r="BZ3" s="865">
        <v>43070</v>
      </c>
      <c r="CA3" s="865">
        <v>43101</v>
      </c>
    </row>
    <row r="4" spans="1:79" x14ac:dyDescent="0.25">
      <c r="A4" s="998"/>
      <c r="E4" s="998"/>
      <c r="F4" s="998" t="s">
        <v>1107</v>
      </c>
      <c r="G4" s="4" t="s">
        <v>5</v>
      </c>
      <c r="H4" s="4" t="s">
        <v>5</v>
      </c>
      <c r="I4" s="4" t="s">
        <v>5</v>
      </c>
      <c r="J4" s="4" t="s">
        <v>5</v>
      </c>
      <c r="K4" s="4" t="s">
        <v>5</v>
      </c>
      <c r="L4" s="4" t="s">
        <v>5</v>
      </c>
      <c r="M4" s="4" t="s">
        <v>5</v>
      </c>
      <c r="N4" s="4" t="s">
        <v>5</v>
      </c>
      <c r="O4" s="4" t="s">
        <v>5</v>
      </c>
      <c r="P4" s="4" t="s">
        <v>5</v>
      </c>
      <c r="Q4" s="4" t="s">
        <v>5</v>
      </c>
      <c r="R4" s="4" t="s">
        <v>5</v>
      </c>
      <c r="S4" s="4" t="s">
        <v>5</v>
      </c>
      <c r="T4" s="4" t="s">
        <v>5</v>
      </c>
      <c r="U4" s="4" t="s">
        <v>5</v>
      </c>
      <c r="V4" s="4" t="s">
        <v>5</v>
      </c>
      <c r="W4" s="4" t="s">
        <v>5</v>
      </c>
      <c r="X4" s="4" t="s">
        <v>5</v>
      </c>
      <c r="Y4" s="4" t="s">
        <v>5</v>
      </c>
      <c r="Z4" s="4" t="s">
        <v>5</v>
      </c>
      <c r="AA4" s="4" t="s">
        <v>5</v>
      </c>
      <c r="AB4" s="4" t="s">
        <v>5</v>
      </c>
      <c r="AC4" s="4" t="s">
        <v>5</v>
      </c>
      <c r="AD4" s="4" t="s">
        <v>5</v>
      </c>
      <c r="AE4" s="4" t="s">
        <v>5</v>
      </c>
      <c r="AF4" s="4" t="s">
        <v>5</v>
      </c>
      <c r="AG4" s="4" t="s">
        <v>5</v>
      </c>
      <c r="AH4" s="231" t="s">
        <v>6</v>
      </c>
      <c r="AI4" s="231" t="s">
        <v>6</v>
      </c>
      <c r="AJ4" s="231" t="s">
        <v>6</v>
      </c>
      <c r="AK4" s="231" t="s">
        <v>6</v>
      </c>
      <c r="AL4" s="231" t="s">
        <v>6</v>
      </c>
      <c r="AM4" s="231" t="s">
        <v>6</v>
      </c>
      <c r="AN4" s="231" t="s">
        <v>6</v>
      </c>
      <c r="AO4" s="231" t="s">
        <v>6</v>
      </c>
      <c r="AP4" s="231" t="s">
        <v>6</v>
      </c>
      <c r="AQ4" s="231" t="s">
        <v>6</v>
      </c>
      <c r="AR4" s="231" t="s">
        <v>6</v>
      </c>
      <c r="AS4" s="231" t="s">
        <v>6</v>
      </c>
      <c r="AT4" s="231" t="s">
        <v>6</v>
      </c>
      <c r="AU4" s="231" t="s">
        <v>6</v>
      </c>
      <c r="AV4" s="231" t="s">
        <v>6</v>
      </c>
      <c r="AW4" s="231" t="s">
        <v>6</v>
      </c>
      <c r="AX4" s="231" t="s">
        <v>6</v>
      </c>
      <c r="AY4" s="231" t="s">
        <v>6</v>
      </c>
      <c r="AZ4" s="231" t="s">
        <v>6</v>
      </c>
      <c r="BA4" s="231" t="s">
        <v>6</v>
      </c>
      <c r="BB4" s="231" t="s">
        <v>6</v>
      </c>
      <c r="BC4" s="231" t="s">
        <v>6</v>
      </c>
      <c r="BD4" s="231" t="s">
        <v>6</v>
      </c>
      <c r="BE4" s="231" t="s">
        <v>6</v>
      </c>
      <c r="BF4" s="231" t="s">
        <v>6</v>
      </c>
      <c r="BG4" s="231" t="s">
        <v>6</v>
      </c>
      <c r="BH4" s="231" t="s">
        <v>6</v>
      </c>
      <c r="BI4" s="231" t="s">
        <v>6</v>
      </c>
      <c r="BJ4" s="231" t="s">
        <v>6</v>
      </c>
      <c r="BK4" s="231" t="s">
        <v>6</v>
      </c>
      <c r="BL4" s="231" t="s">
        <v>6</v>
      </c>
      <c r="BM4" s="231" t="s">
        <v>6</v>
      </c>
      <c r="BN4" s="231" t="s">
        <v>6</v>
      </c>
      <c r="BO4" s="231" t="s">
        <v>6</v>
      </c>
      <c r="BP4" s="231" t="s">
        <v>6</v>
      </c>
      <c r="BQ4" s="231" t="s">
        <v>6</v>
      </c>
      <c r="BR4" s="231" t="s">
        <v>6</v>
      </c>
      <c r="BS4" s="231" t="s">
        <v>6</v>
      </c>
      <c r="BT4" s="231" t="s">
        <v>6</v>
      </c>
      <c r="BU4" s="231" t="s">
        <v>6</v>
      </c>
      <c r="BV4" s="231" t="s">
        <v>6</v>
      </c>
      <c r="BW4" s="231" t="s">
        <v>6</v>
      </c>
      <c r="BX4" s="231" t="s">
        <v>6</v>
      </c>
      <c r="BY4" s="231" t="s">
        <v>6</v>
      </c>
      <c r="BZ4" s="231" t="s">
        <v>6</v>
      </c>
      <c r="CA4" s="231" t="s">
        <v>6</v>
      </c>
    </row>
    <row r="5" spans="1:79" x14ac:dyDescent="0.25">
      <c r="G5" s="287"/>
    </row>
    <row r="6" spans="1:79" s="859" customFormat="1" x14ac:dyDescent="0.25">
      <c r="A6" s="863"/>
      <c r="E6" s="863"/>
      <c r="F6" s="863" t="s">
        <v>223</v>
      </c>
      <c r="G6" s="863"/>
      <c r="H6" s="863"/>
      <c r="I6" s="863"/>
      <c r="J6" s="863"/>
      <c r="K6" s="863"/>
      <c r="L6" s="863"/>
      <c r="M6" s="863"/>
      <c r="N6" s="863"/>
      <c r="O6" s="863"/>
      <c r="P6" s="863"/>
      <c r="Q6" s="863"/>
      <c r="R6" s="863"/>
      <c r="S6" s="863"/>
      <c r="T6" s="863"/>
      <c r="U6" s="863"/>
      <c r="V6" s="863"/>
      <c r="W6" s="863"/>
      <c r="X6" s="863"/>
      <c r="Y6" s="863"/>
      <c r="Z6" s="863"/>
      <c r="AA6" s="863"/>
      <c r="AB6" s="863"/>
      <c r="AC6" s="863"/>
      <c r="AD6" s="863"/>
      <c r="AE6" s="863"/>
      <c r="AF6" s="863"/>
      <c r="AG6" s="863"/>
      <c r="AH6" s="863"/>
      <c r="AI6" s="863"/>
      <c r="AJ6" s="863"/>
      <c r="AK6" s="863"/>
      <c r="AL6" s="863"/>
      <c r="AM6" s="863"/>
      <c r="AN6" s="863"/>
      <c r="AO6" s="863"/>
      <c r="AP6" s="863"/>
      <c r="AQ6" s="863"/>
      <c r="AR6" s="863"/>
      <c r="AS6" s="863"/>
      <c r="AT6" s="863"/>
      <c r="AU6" s="863"/>
      <c r="AV6" s="863"/>
      <c r="AW6" s="863"/>
      <c r="AX6" s="863"/>
      <c r="AY6" s="863"/>
      <c r="AZ6" s="863"/>
      <c r="BA6" s="863"/>
      <c r="BB6" s="863"/>
      <c r="BC6" s="863"/>
      <c r="BD6" s="863"/>
      <c r="BE6" s="863"/>
      <c r="BF6" s="863"/>
      <c r="BG6" s="863"/>
      <c r="BH6" s="863"/>
      <c r="BI6" s="863"/>
      <c r="BJ6" s="863"/>
      <c r="BK6" s="863"/>
      <c r="BL6" s="863"/>
      <c r="BM6" s="863"/>
      <c r="BN6" s="863"/>
      <c r="BO6" s="863"/>
      <c r="BP6" s="863"/>
      <c r="BQ6" s="863"/>
      <c r="BR6" s="863"/>
      <c r="BS6" s="863"/>
      <c r="BT6" s="863"/>
      <c r="BU6" s="863"/>
      <c r="BV6" s="863"/>
      <c r="BW6" s="863"/>
      <c r="BX6" s="863"/>
      <c r="BY6" s="863"/>
      <c r="BZ6" s="863"/>
      <c r="CA6" s="863"/>
    </row>
    <row r="7" spans="1:79" hidden="1" outlineLevel="1" x14ac:dyDescent="0.25">
      <c r="A7" s="654"/>
      <c r="B7" s="223"/>
      <c r="C7" s="223"/>
      <c r="D7" s="223"/>
      <c r="E7" s="570" t="s">
        <v>1323</v>
      </c>
      <c r="F7" s="654" t="s">
        <v>1320</v>
      </c>
      <c r="G7" s="663"/>
      <c r="H7" s="663"/>
      <c r="I7" s="663"/>
      <c r="J7" s="663"/>
      <c r="K7" s="663"/>
      <c r="L7" s="663"/>
      <c r="M7" s="663"/>
      <c r="N7" s="663"/>
      <c r="O7" s="663"/>
      <c r="P7" s="663"/>
      <c r="Q7" s="663"/>
      <c r="R7" s="663"/>
      <c r="S7" s="663"/>
      <c r="T7" s="663"/>
      <c r="U7" s="663"/>
      <c r="V7" s="663"/>
      <c r="W7" s="663"/>
      <c r="X7" s="663"/>
      <c r="Y7" s="663"/>
      <c r="Z7" s="663"/>
      <c r="AA7" s="663"/>
      <c r="AB7" s="663"/>
      <c r="AC7" s="663"/>
      <c r="AD7" s="663"/>
      <c r="AE7" s="663">
        <v>0</v>
      </c>
      <c r="AF7" s="663">
        <v>0</v>
      </c>
      <c r="AG7" s="663">
        <v>0</v>
      </c>
      <c r="AH7" s="663"/>
      <c r="AI7" s="663"/>
      <c r="AJ7" s="663"/>
      <c r="AK7" s="663"/>
      <c r="AL7" s="663"/>
      <c r="AM7" s="663"/>
      <c r="AN7" s="663"/>
      <c r="AO7" s="663"/>
      <c r="AP7" s="663"/>
      <c r="AQ7" s="663"/>
      <c r="AR7" s="663"/>
      <c r="AS7" s="663"/>
      <c r="AT7" s="663"/>
      <c r="AU7" s="663"/>
      <c r="AV7" s="663"/>
      <c r="AW7" s="663"/>
      <c r="AX7" s="663"/>
      <c r="AY7" s="663"/>
      <c r="AZ7" s="663"/>
      <c r="BA7" s="663"/>
      <c r="BB7" s="663"/>
      <c r="BC7" s="663"/>
      <c r="BD7" s="663"/>
      <c r="BE7" s="663"/>
      <c r="BF7" s="663"/>
      <c r="BG7" s="663"/>
      <c r="BH7" s="663"/>
      <c r="BI7" s="663"/>
      <c r="BJ7" s="663"/>
      <c r="BK7" s="663"/>
      <c r="BL7" s="663"/>
      <c r="BM7" s="663"/>
      <c r="BN7" s="663"/>
      <c r="BO7" s="663"/>
      <c r="BP7" s="663"/>
      <c r="BQ7" s="663"/>
      <c r="BR7" s="663"/>
      <c r="BS7" s="663"/>
      <c r="BT7" s="663"/>
      <c r="BU7" s="663"/>
      <c r="BV7" s="663"/>
      <c r="BW7" s="663"/>
      <c r="BX7" s="663"/>
      <c r="BY7" s="663"/>
      <c r="BZ7" s="663"/>
      <c r="CA7" s="663"/>
    </row>
    <row r="8" spans="1:79" hidden="1" outlineLevel="1" x14ac:dyDescent="0.25">
      <c r="A8" s="654"/>
      <c r="B8" s="223"/>
      <c r="C8" s="223"/>
      <c r="D8" s="223"/>
      <c r="E8" s="570" t="s">
        <v>1324</v>
      </c>
      <c r="F8" s="654" t="s">
        <v>1321</v>
      </c>
      <c r="G8" s="663"/>
      <c r="H8" s="663"/>
      <c r="I8" s="663"/>
      <c r="J8" s="663"/>
      <c r="K8" s="663"/>
      <c r="L8" s="663"/>
      <c r="M8" s="663"/>
      <c r="N8" s="663"/>
      <c r="O8" s="663"/>
      <c r="P8" s="663"/>
      <c r="Q8" s="663"/>
      <c r="R8" s="663"/>
      <c r="S8" s="663"/>
      <c r="T8" s="663"/>
      <c r="U8" s="663"/>
      <c r="V8" s="663"/>
      <c r="W8" s="663"/>
      <c r="X8" s="663"/>
      <c r="Y8" s="663"/>
      <c r="Z8" s="663"/>
      <c r="AA8" s="663"/>
      <c r="AB8" s="663"/>
      <c r="AC8" s="663"/>
      <c r="AD8" s="663"/>
      <c r="AE8" s="663">
        <v>0</v>
      </c>
      <c r="AF8" s="663">
        <v>0</v>
      </c>
      <c r="AG8" s="663">
        <v>0</v>
      </c>
      <c r="AH8" s="663"/>
      <c r="AI8" s="663"/>
      <c r="AJ8" s="663"/>
      <c r="AK8" s="663"/>
      <c r="AL8" s="663"/>
      <c r="AM8" s="663"/>
      <c r="AN8" s="663"/>
      <c r="AO8" s="663"/>
      <c r="AP8" s="663"/>
      <c r="AQ8" s="663"/>
      <c r="AR8" s="663"/>
      <c r="AS8" s="663"/>
      <c r="AT8" s="663"/>
      <c r="AU8" s="663"/>
      <c r="AV8" s="663"/>
      <c r="AW8" s="663"/>
      <c r="AX8" s="663"/>
      <c r="AY8" s="663"/>
      <c r="AZ8" s="663"/>
      <c r="BA8" s="663"/>
      <c r="BB8" s="663"/>
      <c r="BC8" s="663"/>
      <c r="BD8" s="663"/>
      <c r="BE8" s="663"/>
      <c r="BF8" s="663"/>
      <c r="BG8" s="663"/>
      <c r="BH8" s="663"/>
      <c r="BI8" s="663"/>
      <c r="BJ8" s="663"/>
      <c r="BK8" s="663"/>
      <c r="BL8" s="663"/>
      <c r="BM8" s="663"/>
      <c r="BN8" s="663"/>
      <c r="BO8" s="663"/>
      <c r="BP8" s="663"/>
      <c r="BQ8" s="663"/>
      <c r="BR8" s="663"/>
      <c r="BS8" s="663"/>
      <c r="BT8" s="663"/>
      <c r="BU8" s="663"/>
      <c r="BV8" s="663"/>
      <c r="BW8" s="663"/>
      <c r="BX8" s="663"/>
      <c r="BY8" s="663"/>
      <c r="BZ8" s="663"/>
      <c r="CA8" s="663"/>
    </row>
    <row r="9" spans="1:79" hidden="1" outlineLevel="1" x14ac:dyDescent="0.25">
      <c r="A9" s="654"/>
      <c r="B9" s="223"/>
      <c r="C9" s="223"/>
      <c r="D9" s="223"/>
      <c r="E9" s="570" t="s">
        <v>1325</v>
      </c>
      <c r="F9" s="654" t="s">
        <v>696</v>
      </c>
      <c r="G9" s="663"/>
      <c r="H9" s="663"/>
      <c r="I9" s="663"/>
      <c r="J9" s="663"/>
      <c r="K9" s="663"/>
      <c r="L9" s="663"/>
      <c r="M9" s="663"/>
      <c r="N9" s="663"/>
      <c r="O9" s="663"/>
      <c r="P9" s="663"/>
      <c r="Q9" s="663"/>
      <c r="R9" s="663"/>
      <c r="S9" s="663">
        <v>0</v>
      </c>
      <c r="T9" s="663">
        <v>0</v>
      </c>
      <c r="U9" s="663">
        <v>0</v>
      </c>
      <c r="V9" s="663">
        <v>0</v>
      </c>
      <c r="W9" s="663">
        <v>0</v>
      </c>
      <c r="X9" s="663">
        <v>0</v>
      </c>
      <c r="Y9" s="663">
        <v>0</v>
      </c>
      <c r="Z9" s="663">
        <v>0</v>
      </c>
      <c r="AA9" s="663">
        <v>0</v>
      </c>
      <c r="AB9" s="663">
        <v>0</v>
      </c>
      <c r="AC9" s="663">
        <v>0</v>
      </c>
      <c r="AD9" s="663">
        <v>0</v>
      </c>
      <c r="AE9" s="663">
        <v>0</v>
      </c>
      <c r="AF9" s="663">
        <v>0</v>
      </c>
      <c r="AG9" s="663">
        <v>0</v>
      </c>
      <c r="AH9" s="663"/>
      <c r="AI9" s="663"/>
      <c r="AJ9" s="663"/>
      <c r="AK9" s="663"/>
      <c r="AL9" s="663"/>
      <c r="AM9" s="663"/>
      <c r="AN9" s="663"/>
      <c r="AO9" s="663"/>
      <c r="AP9" s="663"/>
      <c r="AQ9" s="663"/>
      <c r="AR9" s="663"/>
      <c r="AS9" s="663"/>
      <c r="AT9" s="663"/>
      <c r="AU9" s="663"/>
      <c r="AV9" s="663"/>
      <c r="AW9" s="663"/>
      <c r="AX9" s="663"/>
      <c r="AY9" s="663"/>
      <c r="AZ9" s="663"/>
      <c r="BA9" s="663"/>
      <c r="BB9" s="663"/>
      <c r="BC9" s="663"/>
      <c r="BD9" s="663"/>
      <c r="BE9" s="663"/>
      <c r="BF9" s="663"/>
      <c r="BG9" s="663"/>
      <c r="BH9" s="663"/>
      <c r="BI9" s="663"/>
      <c r="BJ9" s="663"/>
      <c r="BK9" s="663"/>
      <c r="BL9" s="663"/>
      <c r="BM9" s="663"/>
      <c r="BN9" s="663"/>
      <c r="BO9" s="663"/>
      <c r="BP9" s="663"/>
      <c r="BQ9" s="663"/>
      <c r="BR9" s="663"/>
      <c r="BS9" s="663"/>
      <c r="BT9" s="663"/>
      <c r="BU9" s="663"/>
      <c r="BV9" s="663"/>
      <c r="BW9" s="663"/>
      <c r="BX9" s="663"/>
      <c r="BY9" s="663"/>
      <c r="BZ9" s="663"/>
      <c r="CA9" s="663"/>
    </row>
    <row r="10" spans="1:79" hidden="1" outlineLevel="1" x14ac:dyDescent="0.25">
      <c r="A10" s="655"/>
      <c r="B10" s="223"/>
      <c r="C10" s="223"/>
      <c r="D10" s="223"/>
      <c r="E10" s="570" t="s">
        <v>1326</v>
      </c>
      <c r="F10" s="655" t="s">
        <v>850</v>
      </c>
      <c r="G10" s="663"/>
      <c r="H10" s="663"/>
      <c r="I10" s="663"/>
      <c r="J10" s="663"/>
      <c r="K10" s="663"/>
      <c r="L10" s="663"/>
      <c r="M10" s="663"/>
      <c r="N10" s="663"/>
      <c r="O10" s="663"/>
      <c r="P10" s="663"/>
      <c r="Q10" s="663"/>
      <c r="R10" s="663"/>
      <c r="S10" s="663">
        <v>0</v>
      </c>
      <c r="T10" s="663">
        <v>0</v>
      </c>
      <c r="U10" s="663">
        <v>0</v>
      </c>
      <c r="V10" s="663">
        <v>0</v>
      </c>
      <c r="W10" s="663">
        <v>0</v>
      </c>
      <c r="X10" s="663">
        <v>0</v>
      </c>
      <c r="Y10" s="663">
        <v>0</v>
      </c>
      <c r="Z10" s="663">
        <v>0</v>
      </c>
      <c r="AA10" s="663">
        <v>0</v>
      </c>
      <c r="AB10" s="663">
        <v>0</v>
      </c>
      <c r="AC10" s="663">
        <v>0</v>
      </c>
      <c r="AD10" s="663">
        <v>0</v>
      </c>
      <c r="AE10" s="663">
        <v>0</v>
      </c>
      <c r="AF10" s="663">
        <v>0</v>
      </c>
      <c r="AG10" s="663">
        <v>0</v>
      </c>
      <c r="AH10" s="663"/>
      <c r="AI10" s="663"/>
      <c r="AJ10" s="663"/>
      <c r="AK10" s="663"/>
      <c r="AL10" s="663"/>
      <c r="AM10" s="663"/>
      <c r="AN10" s="663"/>
      <c r="AO10" s="663"/>
      <c r="AP10" s="663"/>
      <c r="AQ10" s="663"/>
      <c r="AR10" s="663"/>
      <c r="AS10" s="663"/>
      <c r="AT10" s="663"/>
      <c r="AU10" s="663"/>
      <c r="AV10" s="663"/>
      <c r="AW10" s="663"/>
      <c r="AX10" s="663"/>
      <c r="AY10" s="663"/>
      <c r="AZ10" s="663"/>
      <c r="BA10" s="663"/>
      <c r="BB10" s="663"/>
      <c r="BC10" s="663"/>
      <c r="BD10" s="663"/>
      <c r="BE10" s="663"/>
      <c r="BF10" s="663"/>
      <c r="BG10" s="663"/>
      <c r="BH10" s="663"/>
      <c r="BI10" s="663"/>
      <c r="BJ10" s="663"/>
      <c r="BK10" s="663"/>
      <c r="BL10" s="663"/>
      <c r="BM10" s="663"/>
      <c r="BN10" s="663"/>
      <c r="BO10" s="663"/>
      <c r="BP10" s="663"/>
      <c r="BQ10" s="663"/>
      <c r="BR10" s="663"/>
      <c r="BS10" s="663"/>
      <c r="BT10" s="663"/>
      <c r="BU10" s="663"/>
      <c r="BV10" s="663"/>
      <c r="BW10" s="663"/>
      <c r="BX10" s="663"/>
      <c r="BY10" s="663"/>
      <c r="BZ10" s="663"/>
      <c r="CA10" s="663"/>
    </row>
    <row r="11" spans="1:79" hidden="1" outlineLevel="1" x14ac:dyDescent="0.25">
      <c r="A11" s="655"/>
      <c r="B11" s="223"/>
      <c r="C11" s="223"/>
      <c r="D11" s="223"/>
      <c r="E11" s="570" t="s">
        <v>851</v>
      </c>
      <c r="F11" s="655" t="s">
        <v>851</v>
      </c>
      <c r="G11" s="663"/>
      <c r="H11" s="663"/>
      <c r="I11" s="663"/>
      <c r="J11" s="663"/>
      <c r="K11" s="663"/>
      <c r="L11" s="663"/>
      <c r="M11" s="663"/>
      <c r="N11" s="663"/>
      <c r="O11" s="663"/>
      <c r="P11" s="663"/>
      <c r="Q11" s="663"/>
      <c r="R11" s="663"/>
      <c r="S11" s="663">
        <v>0</v>
      </c>
      <c r="T11" s="663">
        <v>0</v>
      </c>
      <c r="U11" s="663">
        <v>0</v>
      </c>
      <c r="V11" s="663">
        <v>0</v>
      </c>
      <c r="W11" s="663">
        <v>0</v>
      </c>
      <c r="X11" s="663">
        <v>0</v>
      </c>
      <c r="Y11" s="663">
        <v>0</v>
      </c>
      <c r="Z11" s="663">
        <v>0</v>
      </c>
      <c r="AA11" s="663">
        <v>0</v>
      </c>
      <c r="AB11" s="663">
        <v>0</v>
      </c>
      <c r="AC11" s="663">
        <v>0</v>
      </c>
      <c r="AD11" s="663">
        <v>0</v>
      </c>
      <c r="AE11" s="663">
        <v>0</v>
      </c>
      <c r="AF11" s="663">
        <v>0</v>
      </c>
      <c r="AG11" s="663">
        <v>0</v>
      </c>
      <c r="AH11" s="663"/>
      <c r="AI11" s="663"/>
      <c r="AJ11" s="663"/>
      <c r="AK11" s="663"/>
      <c r="AL11" s="663"/>
      <c r="AM11" s="663"/>
      <c r="AN11" s="663"/>
      <c r="AO11" s="663"/>
      <c r="AP11" s="663"/>
      <c r="AQ11" s="663"/>
      <c r="AR11" s="663"/>
      <c r="AS11" s="663"/>
      <c r="AT11" s="663"/>
      <c r="AU11" s="663"/>
      <c r="AV11" s="663"/>
      <c r="AW11" s="663"/>
      <c r="AX11" s="663"/>
      <c r="AY11" s="663"/>
      <c r="AZ11" s="663"/>
      <c r="BA11" s="663"/>
      <c r="BB11" s="663"/>
      <c r="BC11" s="663"/>
      <c r="BD11" s="663"/>
      <c r="BE11" s="663"/>
      <c r="BF11" s="663"/>
      <c r="BG11" s="663"/>
      <c r="BH11" s="663"/>
      <c r="BI11" s="663"/>
      <c r="BJ11" s="663"/>
      <c r="BK11" s="663"/>
      <c r="BL11" s="663"/>
      <c r="BM11" s="663"/>
      <c r="BN11" s="663"/>
      <c r="BO11" s="663"/>
      <c r="BP11" s="663"/>
      <c r="BQ11" s="663"/>
      <c r="BR11" s="663"/>
      <c r="BS11" s="663"/>
      <c r="BT11" s="663"/>
      <c r="BU11" s="663"/>
      <c r="BV11" s="663"/>
      <c r="BW11" s="663"/>
      <c r="BX11" s="663"/>
      <c r="BY11" s="663"/>
      <c r="BZ11" s="663"/>
      <c r="CA11" s="663"/>
    </row>
    <row r="12" spans="1:79" hidden="1" outlineLevel="1" x14ac:dyDescent="0.25">
      <c r="A12" s="655"/>
      <c r="B12" s="223"/>
      <c r="C12" s="223"/>
      <c r="D12" s="223"/>
      <c r="E12" s="570" t="s">
        <v>852</v>
      </c>
      <c r="F12" s="655" t="s">
        <v>852</v>
      </c>
      <c r="G12" s="663"/>
      <c r="H12" s="663"/>
      <c r="I12" s="663"/>
      <c r="J12" s="663"/>
      <c r="K12" s="663"/>
      <c r="L12" s="663"/>
      <c r="M12" s="663"/>
      <c r="N12" s="663"/>
      <c r="O12" s="663"/>
      <c r="P12" s="663"/>
      <c r="Q12" s="663"/>
      <c r="R12" s="663"/>
      <c r="S12" s="663">
        <v>0</v>
      </c>
      <c r="T12" s="663">
        <v>0</v>
      </c>
      <c r="U12" s="663">
        <v>0</v>
      </c>
      <c r="V12" s="663">
        <v>0</v>
      </c>
      <c r="W12" s="663">
        <v>0</v>
      </c>
      <c r="X12" s="663">
        <v>0</v>
      </c>
      <c r="Y12" s="663">
        <v>0</v>
      </c>
      <c r="Z12" s="663">
        <v>0</v>
      </c>
      <c r="AA12" s="663">
        <v>0</v>
      </c>
      <c r="AB12" s="663">
        <v>0</v>
      </c>
      <c r="AC12" s="663">
        <v>0</v>
      </c>
      <c r="AD12" s="663">
        <v>0</v>
      </c>
      <c r="AE12" s="663">
        <v>0</v>
      </c>
      <c r="AF12" s="663">
        <v>0</v>
      </c>
      <c r="AG12" s="663">
        <v>0</v>
      </c>
      <c r="AH12" s="663"/>
      <c r="AI12" s="663"/>
      <c r="AJ12" s="663"/>
      <c r="AK12" s="663"/>
      <c r="AL12" s="663"/>
      <c r="AM12" s="663"/>
      <c r="AN12" s="663"/>
      <c r="AO12" s="663"/>
      <c r="AP12" s="663"/>
      <c r="AQ12" s="663"/>
      <c r="AR12" s="663"/>
      <c r="AS12" s="663"/>
      <c r="AT12" s="663"/>
      <c r="AU12" s="663"/>
      <c r="AV12" s="663"/>
      <c r="AW12" s="663"/>
      <c r="AX12" s="663"/>
      <c r="AY12" s="663"/>
      <c r="AZ12" s="663"/>
      <c r="BA12" s="663"/>
      <c r="BB12" s="663"/>
      <c r="BC12" s="663"/>
      <c r="BD12" s="663"/>
      <c r="BE12" s="663"/>
      <c r="BF12" s="663"/>
      <c r="BG12" s="663"/>
      <c r="BH12" s="663"/>
      <c r="BI12" s="663"/>
      <c r="BJ12" s="663"/>
      <c r="BK12" s="663"/>
      <c r="BL12" s="663"/>
      <c r="BM12" s="663"/>
      <c r="BN12" s="663"/>
      <c r="BO12" s="663"/>
      <c r="BP12" s="663"/>
      <c r="BQ12" s="663"/>
      <c r="BR12" s="663"/>
      <c r="BS12" s="663"/>
      <c r="BT12" s="663"/>
      <c r="BU12" s="663"/>
      <c r="BV12" s="663"/>
      <c r="BW12" s="663"/>
      <c r="BX12" s="663"/>
      <c r="BY12" s="663"/>
      <c r="BZ12" s="663"/>
      <c r="CA12" s="663"/>
    </row>
    <row r="13" spans="1:79" hidden="1" outlineLevel="1" x14ac:dyDescent="0.25">
      <c r="A13" s="655"/>
      <c r="B13" s="223"/>
      <c r="C13" s="223"/>
      <c r="D13" s="223"/>
      <c r="E13" s="570" t="s">
        <v>697</v>
      </c>
      <c r="F13" s="655" t="s">
        <v>697</v>
      </c>
      <c r="G13" s="663"/>
      <c r="H13" s="663"/>
      <c r="I13" s="663"/>
      <c r="J13" s="663"/>
      <c r="K13" s="663"/>
      <c r="L13" s="663"/>
      <c r="M13" s="663"/>
      <c r="N13" s="663"/>
      <c r="O13" s="663"/>
      <c r="P13" s="663"/>
      <c r="Q13" s="663"/>
      <c r="R13" s="663"/>
      <c r="S13" s="663">
        <v>0</v>
      </c>
      <c r="T13" s="663">
        <v>0</v>
      </c>
      <c r="U13" s="663">
        <v>0</v>
      </c>
      <c r="V13" s="663">
        <v>0</v>
      </c>
      <c r="W13" s="663">
        <v>0</v>
      </c>
      <c r="X13" s="663">
        <v>0</v>
      </c>
      <c r="Y13" s="663">
        <v>0</v>
      </c>
      <c r="Z13" s="663">
        <v>0</v>
      </c>
      <c r="AA13" s="663">
        <v>0</v>
      </c>
      <c r="AB13" s="663">
        <v>0</v>
      </c>
      <c r="AC13" s="663">
        <v>0</v>
      </c>
      <c r="AD13" s="663">
        <v>0</v>
      </c>
      <c r="AE13" s="663">
        <v>0</v>
      </c>
      <c r="AF13" s="663">
        <v>0</v>
      </c>
      <c r="AG13" s="663">
        <v>0</v>
      </c>
      <c r="AH13" s="663"/>
      <c r="AI13" s="663"/>
      <c r="AJ13" s="663"/>
      <c r="AK13" s="663"/>
      <c r="AL13" s="663"/>
      <c r="AM13" s="663"/>
      <c r="AN13" s="663"/>
      <c r="AO13" s="663"/>
      <c r="AP13" s="663"/>
      <c r="AQ13" s="663"/>
      <c r="AR13" s="663"/>
      <c r="AS13" s="663"/>
      <c r="AT13" s="663"/>
      <c r="AU13" s="663"/>
      <c r="AV13" s="663"/>
      <c r="AW13" s="663"/>
      <c r="AX13" s="663"/>
      <c r="AY13" s="663"/>
      <c r="AZ13" s="663"/>
      <c r="BA13" s="663"/>
      <c r="BB13" s="663"/>
      <c r="BC13" s="663"/>
      <c r="BD13" s="663"/>
      <c r="BE13" s="663"/>
      <c r="BF13" s="663"/>
      <c r="BG13" s="663"/>
      <c r="BH13" s="663"/>
      <c r="BI13" s="663"/>
      <c r="BJ13" s="663"/>
      <c r="BK13" s="663"/>
      <c r="BL13" s="663"/>
      <c r="BM13" s="663"/>
      <c r="BN13" s="663"/>
      <c r="BO13" s="663"/>
      <c r="BP13" s="663"/>
      <c r="BQ13" s="663"/>
      <c r="BR13" s="663"/>
      <c r="BS13" s="663"/>
      <c r="BT13" s="663"/>
      <c r="BU13" s="663"/>
      <c r="BV13" s="663"/>
      <c r="BW13" s="663"/>
      <c r="BX13" s="663"/>
      <c r="BY13" s="663"/>
      <c r="BZ13" s="663"/>
      <c r="CA13" s="663"/>
    </row>
    <row r="14" spans="1:79" hidden="1" outlineLevel="1" x14ac:dyDescent="0.25">
      <c r="A14" s="655"/>
      <c r="B14" s="223"/>
      <c r="C14" s="223"/>
      <c r="D14" s="223"/>
      <c r="E14" s="570" t="s">
        <v>1325</v>
      </c>
      <c r="F14" s="655" t="s">
        <v>853</v>
      </c>
      <c r="G14" s="663"/>
      <c r="H14" s="663"/>
      <c r="I14" s="663"/>
      <c r="J14" s="663"/>
      <c r="K14" s="663"/>
      <c r="L14" s="663"/>
      <c r="M14" s="663"/>
      <c r="N14" s="663"/>
      <c r="O14" s="663"/>
      <c r="P14" s="663"/>
      <c r="Q14" s="663"/>
      <c r="R14" s="663"/>
      <c r="S14" s="663">
        <v>0</v>
      </c>
      <c r="T14" s="663">
        <v>0</v>
      </c>
      <c r="U14" s="663">
        <v>0</v>
      </c>
      <c r="V14" s="663">
        <v>0</v>
      </c>
      <c r="W14" s="663">
        <v>0</v>
      </c>
      <c r="X14" s="663">
        <v>0</v>
      </c>
      <c r="Y14" s="663">
        <v>0</v>
      </c>
      <c r="Z14" s="663">
        <v>0</v>
      </c>
      <c r="AA14" s="663">
        <v>0</v>
      </c>
      <c r="AB14" s="663">
        <v>0</v>
      </c>
      <c r="AC14" s="663">
        <v>0</v>
      </c>
      <c r="AD14" s="663">
        <v>0</v>
      </c>
      <c r="AE14" s="663">
        <v>0</v>
      </c>
      <c r="AF14" s="663">
        <v>0</v>
      </c>
      <c r="AG14" s="663">
        <v>0</v>
      </c>
      <c r="AH14" s="663"/>
      <c r="AI14" s="663"/>
      <c r="AJ14" s="663"/>
      <c r="AK14" s="663"/>
      <c r="AL14" s="663"/>
      <c r="AM14" s="663"/>
      <c r="AN14" s="663"/>
      <c r="AO14" s="663"/>
      <c r="AP14" s="663"/>
      <c r="AQ14" s="663"/>
      <c r="AR14" s="663"/>
      <c r="AS14" s="663"/>
      <c r="AT14" s="663"/>
      <c r="AU14" s="663"/>
      <c r="AV14" s="663"/>
      <c r="AW14" s="663"/>
      <c r="AX14" s="663"/>
      <c r="AY14" s="663"/>
      <c r="AZ14" s="663"/>
      <c r="BA14" s="663"/>
      <c r="BB14" s="663"/>
      <c r="BC14" s="663"/>
      <c r="BD14" s="663"/>
      <c r="BE14" s="663"/>
      <c r="BF14" s="663"/>
      <c r="BG14" s="663"/>
      <c r="BH14" s="663"/>
      <c r="BI14" s="663"/>
      <c r="BJ14" s="663"/>
      <c r="BK14" s="663"/>
      <c r="BL14" s="663"/>
      <c r="BM14" s="663"/>
      <c r="BN14" s="663"/>
      <c r="BO14" s="663"/>
      <c r="BP14" s="663"/>
      <c r="BQ14" s="663"/>
      <c r="BR14" s="663"/>
      <c r="BS14" s="663"/>
      <c r="BT14" s="663"/>
      <c r="BU14" s="663"/>
      <c r="BV14" s="663"/>
      <c r="BW14" s="663"/>
      <c r="BX14" s="663"/>
      <c r="BY14" s="663"/>
      <c r="BZ14" s="663"/>
      <c r="CA14" s="663"/>
    </row>
    <row r="15" spans="1:79" hidden="1" outlineLevel="1" x14ac:dyDescent="0.25">
      <c r="A15" s="691"/>
      <c r="B15" s="693"/>
      <c r="C15" s="693"/>
      <c r="D15" s="693"/>
      <c r="E15" s="570" t="s">
        <v>657</v>
      </c>
      <c r="F15" s="691" t="s">
        <v>657</v>
      </c>
      <c r="G15" s="692"/>
      <c r="H15" s="692"/>
      <c r="I15" s="692"/>
      <c r="J15" s="692"/>
      <c r="K15" s="692"/>
      <c r="L15" s="692"/>
      <c r="M15" s="692"/>
      <c r="N15" s="692"/>
      <c r="O15" s="692"/>
      <c r="P15" s="692"/>
      <c r="Q15" s="692"/>
      <c r="R15" s="692"/>
      <c r="S15" s="692"/>
      <c r="T15" s="692"/>
      <c r="U15" s="692"/>
      <c r="V15" s="692"/>
      <c r="W15" s="692"/>
      <c r="X15" s="692"/>
      <c r="Y15" s="692"/>
      <c r="Z15" s="692"/>
      <c r="AA15" s="692"/>
      <c r="AB15" s="692"/>
      <c r="AC15" s="692"/>
      <c r="AD15" s="692"/>
      <c r="AE15" s="692"/>
      <c r="AF15" s="692"/>
      <c r="AG15" s="692"/>
      <c r="AH15" s="692"/>
      <c r="AI15" s="692"/>
      <c r="AJ15" s="692"/>
      <c r="AK15" s="692"/>
      <c r="AL15" s="692"/>
      <c r="AM15" s="692"/>
      <c r="AN15" s="692"/>
      <c r="AO15" s="692"/>
      <c r="AP15" s="692"/>
      <c r="AQ15" s="692"/>
      <c r="AR15" s="692"/>
      <c r="AS15" s="692"/>
      <c r="AT15" s="692"/>
      <c r="AU15" s="692"/>
      <c r="AV15" s="692"/>
      <c r="AW15" s="692"/>
      <c r="AX15" s="692"/>
      <c r="AY15" s="692"/>
      <c r="AZ15" s="692"/>
      <c r="BA15" s="692"/>
      <c r="BB15" s="692"/>
      <c r="BC15" s="692"/>
      <c r="BD15" s="692"/>
      <c r="BE15" s="692"/>
      <c r="BF15" s="692"/>
      <c r="BG15" s="692"/>
      <c r="BH15" s="692"/>
      <c r="BI15" s="692"/>
      <c r="BJ15" s="692"/>
      <c r="BK15" s="692"/>
      <c r="BL15" s="692"/>
      <c r="BM15" s="692"/>
      <c r="BN15" s="692"/>
      <c r="BO15" s="692"/>
      <c r="BP15" s="692"/>
      <c r="BQ15" s="692"/>
      <c r="BR15" s="692"/>
      <c r="BS15" s="692"/>
      <c r="BT15" s="692"/>
      <c r="BU15" s="692"/>
      <c r="BV15" s="692"/>
      <c r="BW15" s="692"/>
      <c r="BX15" s="692"/>
      <c r="BY15" s="692"/>
      <c r="BZ15" s="692"/>
      <c r="CA15" s="692"/>
    </row>
    <row r="16" spans="1:79" hidden="1" outlineLevel="1" x14ac:dyDescent="0.25">
      <c r="A16" s="656"/>
      <c r="B16" s="223"/>
      <c r="C16" s="223"/>
      <c r="D16" s="223"/>
      <c r="E16" s="570" t="s">
        <v>657</v>
      </c>
      <c r="F16" s="656" t="s">
        <v>658</v>
      </c>
      <c r="G16" s="663"/>
      <c r="H16" s="663"/>
      <c r="I16" s="663"/>
      <c r="J16" s="663"/>
      <c r="K16" s="663"/>
      <c r="L16" s="663"/>
      <c r="M16" s="663"/>
      <c r="N16" s="663"/>
      <c r="O16" s="663"/>
      <c r="P16" s="663"/>
      <c r="Q16" s="663"/>
      <c r="R16" s="663"/>
      <c r="S16" s="663">
        <v>0</v>
      </c>
      <c r="T16" s="663">
        <v>0</v>
      </c>
      <c r="U16" s="663">
        <v>0</v>
      </c>
      <c r="V16" s="663">
        <v>0</v>
      </c>
      <c r="W16" s="663">
        <v>0</v>
      </c>
      <c r="X16" s="663">
        <v>0</v>
      </c>
      <c r="Y16" s="663">
        <v>0</v>
      </c>
      <c r="Z16" s="663">
        <v>0</v>
      </c>
      <c r="AA16" s="663">
        <v>0</v>
      </c>
      <c r="AB16" s="663">
        <v>0</v>
      </c>
      <c r="AC16" s="663">
        <v>0</v>
      </c>
      <c r="AD16" s="663">
        <v>0</v>
      </c>
      <c r="AE16" s="663">
        <v>0</v>
      </c>
      <c r="AF16" s="663">
        <v>0</v>
      </c>
      <c r="AG16" s="663">
        <v>0</v>
      </c>
      <c r="AH16" s="663"/>
      <c r="AI16" s="663"/>
      <c r="AJ16" s="663"/>
      <c r="AK16" s="663"/>
      <c r="AL16" s="663"/>
      <c r="AM16" s="663"/>
      <c r="AN16" s="663"/>
      <c r="AO16" s="663"/>
      <c r="AP16" s="663"/>
      <c r="AQ16" s="663"/>
      <c r="AR16" s="663"/>
      <c r="AS16" s="663"/>
      <c r="AT16" s="663"/>
      <c r="AU16" s="663"/>
      <c r="AV16" s="663"/>
      <c r="AW16" s="663"/>
      <c r="AX16" s="663"/>
      <c r="AY16" s="663"/>
      <c r="AZ16" s="663"/>
      <c r="BA16" s="663"/>
      <c r="BB16" s="663"/>
      <c r="BC16" s="663"/>
      <c r="BD16" s="663"/>
      <c r="BE16" s="663"/>
      <c r="BF16" s="663"/>
      <c r="BG16" s="663"/>
      <c r="BH16" s="663"/>
      <c r="BI16" s="663"/>
      <c r="BJ16" s="663"/>
      <c r="BK16" s="663"/>
      <c r="BL16" s="663"/>
      <c r="BM16" s="663"/>
      <c r="BN16" s="663"/>
      <c r="BO16" s="663"/>
      <c r="BP16" s="663"/>
      <c r="BQ16" s="663"/>
      <c r="BR16" s="663"/>
      <c r="BS16" s="663"/>
      <c r="BT16" s="663"/>
      <c r="BU16" s="663"/>
      <c r="BV16" s="663"/>
      <c r="BW16" s="663"/>
      <c r="BX16" s="663"/>
      <c r="BY16" s="663"/>
      <c r="BZ16" s="663"/>
      <c r="CA16" s="663"/>
    </row>
    <row r="17" spans="1:79" hidden="1" outlineLevel="1" x14ac:dyDescent="0.25">
      <c r="A17" s="656"/>
      <c r="B17" s="223"/>
      <c r="C17" s="223"/>
      <c r="D17" s="223"/>
      <c r="E17" s="570" t="s">
        <v>657</v>
      </c>
      <c r="F17" s="656" t="s">
        <v>854</v>
      </c>
      <c r="G17" s="663"/>
      <c r="H17" s="663"/>
      <c r="I17" s="663"/>
      <c r="J17" s="663"/>
      <c r="K17" s="663"/>
      <c r="L17" s="663"/>
      <c r="M17" s="663"/>
      <c r="N17" s="663"/>
      <c r="O17" s="663"/>
      <c r="P17" s="663"/>
      <c r="Q17" s="663"/>
      <c r="R17" s="663"/>
      <c r="S17" s="663">
        <v>0</v>
      </c>
      <c r="T17" s="663">
        <v>0</v>
      </c>
      <c r="U17" s="663">
        <v>0</v>
      </c>
      <c r="V17" s="663">
        <v>0</v>
      </c>
      <c r="W17" s="663">
        <v>0</v>
      </c>
      <c r="X17" s="663">
        <v>0</v>
      </c>
      <c r="Y17" s="663">
        <v>0</v>
      </c>
      <c r="Z17" s="663">
        <v>0</v>
      </c>
      <c r="AA17" s="663">
        <v>0</v>
      </c>
      <c r="AB17" s="663">
        <v>0</v>
      </c>
      <c r="AC17" s="663">
        <v>0</v>
      </c>
      <c r="AD17" s="663">
        <v>0</v>
      </c>
      <c r="AE17" s="663">
        <v>0</v>
      </c>
      <c r="AF17" s="663">
        <v>0</v>
      </c>
      <c r="AG17" s="663">
        <v>0</v>
      </c>
      <c r="AH17" s="663"/>
      <c r="AI17" s="663"/>
      <c r="AJ17" s="663"/>
      <c r="AK17" s="663"/>
      <c r="AL17" s="663"/>
      <c r="AM17" s="663"/>
      <c r="AN17" s="663"/>
      <c r="AO17" s="663"/>
      <c r="AP17" s="663"/>
      <c r="AQ17" s="663"/>
      <c r="AR17" s="663"/>
      <c r="AS17" s="663"/>
      <c r="AT17" s="663"/>
      <c r="AU17" s="663"/>
      <c r="AV17" s="663"/>
      <c r="AW17" s="663"/>
      <c r="AX17" s="663"/>
      <c r="AY17" s="663"/>
      <c r="AZ17" s="663"/>
      <c r="BA17" s="663"/>
      <c r="BB17" s="663"/>
      <c r="BC17" s="663"/>
      <c r="BD17" s="663"/>
      <c r="BE17" s="663"/>
      <c r="BF17" s="663"/>
      <c r="BG17" s="663"/>
      <c r="BH17" s="663"/>
      <c r="BI17" s="663"/>
      <c r="BJ17" s="663"/>
      <c r="BK17" s="663"/>
      <c r="BL17" s="663"/>
      <c r="BM17" s="663"/>
      <c r="BN17" s="663"/>
      <c r="BO17" s="663"/>
      <c r="BP17" s="663"/>
      <c r="BQ17" s="663"/>
      <c r="BR17" s="663"/>
      <c r="BS17" s="663"/>
      <c r="BT17" s="663"/>
      <c r="BU17" s="663"/>
      <c r="BV17" s="663"/>
      <c r="BW17" s="663"/>
      <c r="BX17" s="663"/>
      <c r="BY17" s="663"/>
      <c r="BZ17" s="663"/>
      <c r="CA17" s="663"/>
    </row>
    <row r="18" spans="1:79" hidden="1" outlineLevel="1" x14ac:dyDescent="0.25">
      <c r="A18" s="657"/>
      <c r="B18" s="223"/>
      <c r="C18" s="223"/>
      <c r="D18" s="223"/>
      <c r="E18" s="570" t="s">
        <v>49</v>
      </c>
      <c r="F18" s="657" t="s">
        <v>659</v>
      </c>
      <c r="G18" s="664">
        <f>SUM(G16:G17)</f>
        <v>0</v>
      </c>
      <c r="H18" s="664">
        <f t="shared" ref="H18:BO18" si="0">SUM(H16:H17)</f>
        <v>0</v>
      </c>
      <c r="I18" s="664">
        <f t="shared" si="0"/>
        <v>0</v>
      </c>
      <c r="J18" s="664">
        <f t="shared" si="0"/>
        <v>0</v>
      </c>
      <c r="K18" s="664">
        <f t="shared" si="0"/>
        <v>0</v>
      </c>
      <c r="L18" s="664">
        <f t="shared" si="0"/>
        <v>0</v>
      </c>
      <c r="M18" s="664">
        <f t="shared" si="0"/>
        <v>0</v>
      </c>
      <c r="N18" s="664">
        <f t="shared" si="0"/>
        <v>0</v>
      </c>
      <c r="O18" s="664">
        <f t="shared" si="0"/>
        <v>0</v>
      </c>
      <c r="P18" s="664">
        <f t="shared" si="0"/>
        <v>0</v>
      </c>
      <c r="Q18" s="664">
        <f t="shared" si="0"/>
        <v>0</v>
      </c>
      <c r="R18" s="664">
        <f t="shared" si="0"/>
        <v>0</v>
      </c>
      <c r="S18" s="664">
        <f>ROUND(SUM(S15:S17),5)</f>
        <v>0</v>
      </c>
      <c r="T18" s="664">
        <f t="shared" si="0"/>
        <v>0</v>
      </c>
      <c r="U18" s="664">
        <f t="shared" si="0"/>
        <v>0</v>
      </c>
      <c r="V18" s="664">
        <f t="shared" ref="V18:AA18" si="1">ROUND(SUM(V15:V17),5)</f>
        <v>0</v>
      </c>
      <c r="W18" s="664">
        <f t="shared" si="1"/>
        <v>0</v>
      </c>
      <c r="X18" s="664">
        <f t="shared" si="1"/>
        <v>0</v>
      </c>
      <c r="Y18" s="664">
        <f t="shared" si="1"/>
        <v>0</v>
      </c>
      <c r="Z18" s="664">
        <f t="shared" si="1"/>
        <v>0</v>
      </c>
      <c r="AA18" s="664">
        <f t="shared" si="1"/>
        <v>0</v>
      </c>
      <c r="AB18" s="664">
        <f>ROUND(SUM(AB15:AB17),5)</f>
        <v>0</v>
      </c>
      <c r="AC18" s="664">
        <f>ROUND(SUM(AC15:AC17),5)</f>
        <v>0</v>
      </c>
      <c r="AD18" s="664">
        <v>0</v>
      </c>
      <c r="AE18" s="664">
        <f>ROUND(SUM(AE15:AE17),5)</f>
        <v>0</v>
      </c>
      <c r="AF18" s="664">
        <f>ROUND(SUM(AF15:AF17),5)</f>
        <v>0</v>
      </c>
      <c r="AG18" s="664">
        <v>0</v>
      </c>
      <c r="AH18" s="664">
        <f t="shared" si="0"/>
        <v>0</v>
      </c>
      <c r="AI18" s="664">
        <f t="shared" si="0"/>
        <v>0</v>
      </c>
      <c r="AJ18" s="664">
        <f t="shared" si="0"/>
        <v>0</v>
      </c>
      <c r="AK18" s="664">
        <f t="shared" si="0"/>
        <v>0</v>
      </c>
      <c r="AL18" s="664">
        <f t="shared" si="0"/>
        <v>0</v>
      </c>
      <c r="AM18" s="664">
        <f t="shared" si="0"/>
        <v>0</v>
      </c>
      <c r="AN18" s="664">
        <f t="shared" si="0"/>
        <v>0</v>
      </c>
      <c r="AO18" s="664">
        <f t="shared" si="0"/>
        <v>0</v>
      </c>
      <c r="AP18" s="664">
        <f t="shared" si="0"/>
        <v>0</v>
      </c>
      <c r="AQ18" s="664">
        <f t="shared" si="0"/>
        <v>0</v>
      </c>
      <c r="AR18" s="664">
        <f t="shared" si="0"/>
        <v>0</v>
      </c>
      <c r="AS18" s="664">
        <f t="shared" si="0"/>
        <v>0</v>
      </c>
      <c r="AT18" s="664">
        <f t="shared" si="0"/>
        <v>0</v>
      </c>
      <c r="AU18" s="664">
        <f t="shared" si="0"/>
        <v>0</v>
      </c>
      <c r="AV18" s="664">
        <f t="shared" si="0"/>
        <v>0</v>
      </c>
      <c r="AW18" s="664">
        <f t="shared" si="0"/>
        <v>0</v>
      </c>
      <c r="AX18" s="664">
        <f t="shared" si="0"/>
        <v>0</v>
      </c>
      <c r="AY18" s="664">
        <f t="shared" si="0"/>
        <v>0</v>
      </c>
      <c r="AZ18" s="664">
        <f t="shared" si="0"/>
        <v>0</v>
      </c>
      <c r="BA18" s="664">
        <f t="shared" si="0"/>
        <v>0</v>
      </c>
      <c r="BB18" s="664">
        <f t="shared" si="0"/>
        <v>0</v>
      </c>
      <c r="BC18" s="664">
        <f t="shared" si="0"/>
        <v>0</v>
      </c>
      <c r="BD18" s="664">
        <f t="shared" si="0"/>
        <v>0</v>
      </c>
      <c r="BE18" s="664">
        <f t="shared" si="0"/>
        <v>0</v>
      </c>
      <c r="BF18" s="664">
        <f t="shared" si="0"/>
        <v>0</v>
      </c>
      <c r="BG18" s="664">
        <f t="shared" si="0"/>
        <v>0</v>
      </c>
      <c r="BH18" s="664">
        <f t="shared" si="0"/>
        <v>0</v>
      </c>
      <c r="BI18" s="664">
        <f t="shared" si="0"/>
        <v>0</v>
      </c>
      <c r="BJ18" s="664">
        <f t="shared" si="0"/>
        <v>0</v>
      </c>
      <c r="BK18" s="664">
        <f t="shared" si="0"/>
        <v>0</v>
      </c>
      <c r="BL18" s="664">
        <f t="shared" si="0"/>
        <v>0</v>
      </c>
      <c r="BM18" s="664">
        <f t="shared" si="0"/>
        <v>0</v>
      </c>
      <c r="BN18" s="664">
        <f t="shared" si="0"/>
        <v>0</v>
      </c>
      <c r="BO18" s="664">
        <f t="shared" si="0"/>
        <v>0</v>
      </c>
      <c r="BP18" s="664">
        <f t="shared" ref="BP18:CA18" si="2">SUM(BP16:BP17)</f>
        <v>0</v>
      </c>
      <c r="BQ18" s="664">
        <f t="shared" si="2"/>
        <v>0</v>
      </c>
      <c r="BR18" s="664">
        <f t="shared" si="2"/>
        <v>0</v>
      </c>
      <c r="BS18" s="664">
        <f t="shared" si="2"/>
        <v>0</v>
      </c>
      <c r="BT18" s="664">
        <f t="shared" si="2"/>
        <v>0</v>
      </c>
      <c r="BU18" s="664">
        <f t="shared" si="2"/>
        <v>0</v>
      </c>
      <c r="BV18" s="664">
        <f t="shared" si="2"/>
        <v>0</v>
      </c>
      <c r="BW18" s="664">
        <f t="shared" si="2"/>
        <v>0</v>
      </c>
      <c r="BX18" s="664">
        <f t="shared" si="2"/>
        <v>0</v>
      </c>
      <c r="BY18" s="664">
        <f t="shared" si="2"/>
        <v>0</v>
      </c>
      <c r="BZ18" s="664">
        <f t="shared" si="2"/>
        <v>0</v>
      </c>
      <c r="CA18" s="664">
        <f t="shared" si="2"/>
        <v>0</v>
      </c>
    </row>
    <row r="19" spans="1:79" hidden="1" outlineLevel="1" x14ac:dyDescent="0.25">
      <c r="A19" s="655"/>
      <c r="B19" s="223"/>
      <c r="C19" s="223"/>
      <c r="D19" s="223"/>
      <c r="E19" s="570" t="s">
        <v>695</v>
      </c>
      <c r="F19" s="655" t="s">
        <v>695</v>
      </c>
      <c r="G19" s="663"/>
      <c r="H19" s="663"/>
      <c r="I19" s="663"/>
      <c r="J19" s="663"/>
      <c r="K19" s="663"/>
      <c r="L19" s="663"/>
      <c r="M19" s="663"/>
      <c r="N19" s="663"/>
      <c r="O19" s="663"/>
      <c r="P19" s="663"/>
      <c r="Q19" s="663"/>
      <c r="R19" s="663"/>
      <c r="S19" s="663">
        <v>0</v>
      </c>
      <c r="T19" s="663">
        <v>0</v>
      </c>
      <c r="U19" s="663">
        <v>0</v>
      </c>
      <c r="V19" s="663">
        <v>0</v>
      </c>
      <c r="W19" s="663">
        <v>0</v>
      </c>
      <c r="X19" s="663">
        <v>0</v>
      </c>
      <c r="Y19" s="663">
        <v>0</v>
      </c>
      <c r="Z19" s="663">
        <v>0</v>
      </c>
      <c r="AA19" s="663">
        <v>0</v>
      </c>
      <c r="AB19" s="663">
        <v>0</v>
      </c>
      <c r="AC19" s="663">
        <v>0</v>
      </c>
      <c r="AD19" s="663">
        <v>0</v>
      </c>
      <c r="AE19" s="663">
        <v>0</v>
      </c>
      <c r="AF19" s="663">
        <v>0</v>
      </c>
      <c r="AG19" s="663">
        <v>0</v>
      </c>
      <c r="AH19" s="663"/>
      <c r="AI19" s="663"/>
      <c r="AJ19" s="663"/>
      <c r="AK19" s="663"/>
      <c r="AL19" s="663"/>
      <c r="AM19" s="663"/>
      <c r="AN19" s="663"/>
      <c r="AO19" s="663"/>
      <c r="AP19" s="663"/>
      <c r="AQ19" s="663"/>
      <c r="AR19" s="663"/>
      <c r="AS19" s="663"/>
      <c r="AT19" s="663"/>
      <c r="AU19" s="663"/>
      <c r="AV19" s="663"/>
      <c r="AW19" s="663"/>
      <c r="AX19" s="663"/>
      <c r="AY19" s="663"/>
      <c r="AZ19" s="663"/>
      <c r="BA19" s="663"/>
      <c r="BB19" s="663"/>
      <c r="BC19" s="663"/>
      <c r="BD19" s="663"/>
      <c r="BE19" s="663"/>
      <c r="BF19" s="663"/>
      <c r="BG19" s="663"/>
      <c r="BH19" s="663"/>
      <c r="BI19" s="663"/>
      <c r="BJ19" s="663"/>
      <c r="BK19" s="663"/>
      <c r="BL19" s="663"/>
      <c r="BM19" s="663"/>
      <c r="BN19" s="663"/>
      <c r="BO19" s="663"/>
      <c r="BP19" s="663"/>
      <c r="BQ19" s="663"/>
      <c r="BR19" s="663"/>
      <c r="BS19" s="663"/>
      <c r="BT19" s="663"/>
      <c r="BU19" s="663"/>
      <c r="BV19" s="663"/>
      <c r="BW19" s="663"/>
      <c r="BX19" s="663"/>
      <c r="BY19" s="663"/>
      <c r="BZ19" s="663"/>
      <c r="CA19" s="663"/>
    </row>
    <row r="20" spans="1:79" hidden="1" outlineLevel="1" x14ac:dyDescent="0.25">
      <c r="A20" s="655"/>
      <c r="B20" s="223"/>
      <c r="C20" s="223"/>
      <c r="D20" s="223"/>
      <c r="E20" s="570" t="s">
        <v>855</v>
      </c>
      <c r="F20" s="655" t="s">
        <v>855</v>
      </c>
      <c r="G20" s="663"/>
      <c r="H20" s="663"/>
      <c r="I20" s="663"/>
      <c r="J20" s="663"/>
      <c r="K20" s="663"/>
      <c r="L20" s="663"/>
      <c r="M20" s="663"/>
      <c r="N20" s="663"/>
      <c r="O20" s="663"/>
      <c r="P20" s="663"/>
      <c r="Q20" s="663"/>
      <c r="R20" s="663"/>
      <c r="S20" s="663">
        <v>0</v>
      </c>
      <c r="T20" s="663">
        <v>0</v>
      </c>
      <c r="U20" s="663">
        <v>0</v>
      </c>
      <c r="V20" s="663">
        <v>0</v>
      </c>
      <c r="W20" s="663">
        <v>0</v>
      </c>
      <c r="X20" s="663">
        <v>0</v>
      </c>
      <c r="Y20" s="663">
        <v>0</v>
      </c>
      <c r="Z20" s="663">
        <v>0</v>
      </c>
      <c r="AA20" s="663">
        <v>0</v>
      </c>
      <c r="AB20" s="663">
        <v>0</v>
      </c>
      <c r="AC20" s="663">
        <v>0</v>
      </c>
      <c r="AD20" s="663">
        <v>0</v>
      </c>
      <c r="AE20" s="663">
        <v>0</v>
      </c>
      <c r="AF20" s="663">
        <v>0</v>
      </c>
      <c r="AG20" s="663">
        <v>0</v>
      </c>
      <c r="AH20" s="663"/>
      <c r="AI20" s="663"/>
      <c r="AJ20" s="663"/>
      <c r="AK20" s="663"/>
      <c r="AL20" s="663"/>
      <c r="AM20" s="663"/>
      <c r="AN20" s="663"/>
      <c r="AO20" s="663"/>
      <c r="AP20" s="663"/>
      <c r="AQ20" s="663"/>
      <c r="AR20" s="663"/>
      <c r="AS20" s="663"/>
      <c r="AT20" s="663"/>
      <c r="AU20" s="663"/>
      <c r="AV20" s="663"/>
      <c r="AW20" s="663"/>
      <c r="AX20" s="663"/>
      <c r="AY20" s="663"/>
      <c r="AZ20" s="663"/>
      <c r="BA20" s="663"/>
      <c r="BB20" s="663"/>
      <c r="BC20" s="663"/>
      <c r="BD20" s="663"/>
      <c r="BE20" s="663"/>
      <c r="BF20" s="663"/>
      <c r="BG20" s="663"/>
      <c r="BH20" s="663"/>
      <c r="BI20" s="663"/>
      <c r="BJ20" s="663"/>
      <c r="BK20" s="663"/>
      <c r="BL20" s="663"/>
      <c r="BM20" s="663"/>
      <c r="BN20" s="663"/>
      <c r="BO20" s="663"/>
      <c r="BP20" s="663"/>
      <c r="BQ20" s="663"/>
      <c r="BR20" s="663"/>
      <c r="BS20" s="663"/>
      <c r="BT20" s="663"/>
      <c r="BU20" s="663"/>
      <c r="BV20" s="663"/>
      <c r="BW20" s="663"/>
      <c r="BX20" s="663"/>
      <c r="BY20" s="663"/>
      <c r="BZ20" s="663"/>
      <c r="CA20" s="663"/>
    </row>
    <row r="21" spans="1:79" hidden="1" outlineLevel="1" x14ac:dyDescent="0.25">
      <c r="A21" s="655"/>
      <c r="B21" s="223"/>
      <c r="C21" s="223"/>
      <c r="D21" s="223"/>
      <c r="E21" s="570" t="s">
        <v>856</v>
      </c>
      <c r="F21" s="655" t="s">
        <v>856</v>
      </c>
      <c r="G21" s="663"/>
      <c r="H21" s="663"/>
      <c r="I21" s="663"/>
      <c r="J21" s="663"/>
      <c r="K21" s="663"/>
      <c r="L21" s="663"/>
      <c r="M21" s="663"/>
      <c r="N21" s="663"/>
      <c r="O21" s="663"/>
      <c r="P21" s="663"/>
      <c r="Q21" s="663"/>
      <c r="R21" s="663"/>
      <c r="S21" s="663">
        <v>0</v>
      </c>
      <c r="T21" s="663">
        <v>0</v>
      </c>
      <c r="U21" s="663">
        <v>0</v>
      </c>
      <c r="V21" s="663">
        <v>0</v>
      </c>
      <c r="W21" s="663">
        <v>0</v>
      </c>
      <c r="X21" s="663">
        <v>0</v>
      </c>
      <c r="Y21" s="663">
        <v>0</v>
      </c>
      <c r="Z21" s="663">
        <v>0</v>
      </c>
      <c r="AA21" s="663">
        <v>0</v>
      </c>
      <c r="AB21" s="663">
        <v>0</v>
      </c>
      <c r="AC21" s="663">
        <v>0</v>
      </c>
      <c r="AD21" s="663">
        <v>0</v>
      </c>
      <c r="AE21" s="663">
        <v>0</v>
      </c>
      <c r="AF21" s="663">
        <v>0</v>
      </c>
      <c r="AG21" s="663">
        <v>0</v>
      </c>
      <c r="AH21" s="663"/>
      <c r="AI21" s="663"/>
      <c r="AJ21" s="663"/>
      <c r="AK21" s="663"/>
      <c r="AL21" s="663"/>
      <c r="AM21" s="663"/>
      <c r="AN21" s="663"/>
      <c r="AO21" s="663"/>
      <c r="AP21" s="663"/>
      <c r="AQ21" s="663"/>
      <c r="AR21" s="663"/>
      <c r="AS21" s="663"/>
      <c r="AT21" s="663"/>
      <c r="AU21" s="663"/>
      <c r="AV21" s="663"/>
      <c r="AW21" s="663"/>
      <c r="AX21" s="663"/>
      <c r="AY21" s="663"/>
      <c r="AZ21" s="663"/>
      <c r="BA21" s="663"/>
      <c r="BB21" s="663"/>
      <c r="BC21" s="663"/>
      <c r="BD21" s="663"/>
      <c r="BE21" s="663"/>
      <c r="BF21" s="663"/>
      <c r="BG21" s="663"/>
      <c r="BH21" s="663"/>
      <c r="BI21" s="663"/>
      <c r="BJ21" s="663"/>
      <c r="BK21" s="663"/>
      <c r="BL21" s="663"/>
      <c r="BM21" s="663"/>
      <c r="BN21" s="663"/>
      <c r="BO21" s="663"/>
      <c r="BP21" s="663"/>
      <c r="BQ21" s="663"/>
      <c r="BR21" s="663"/>
      <c r="BS21" s="663"/>
      <c r="BT21" s="663"/>
      <c r="BU21" s="663"/>
      <c r="BV21" s="663"/>
      <c r="BW21" s="663"/>
      <c r="BX21" s="663"/>
      <c r="BY21" s="663"/>
      <c r="BZ21" s="663"/>
      <c r="CA21" s="663"/>
    </row>
    <row r="22" spans="1:79" hidden="1" outlineLevel="1" x14ac:dyDescent="0.25">
      <c r="A22" s="655"/>
      <c r="B22" s="223"/>
      <c r="C22" s="223"/>
      <c r="D22" s="223"/>
      <c r="E22" s="570" t="s">
        <v>17</v>
      </c>
      <c r="F22" s="655" t="s">
        <v>17</v>
      </c>
      <c r="G22" s="663"/>
      <c r="H22" s="663"/>
      <c r="I22" s="663"/>
      <c r="J22" s="663"/>
      <c r="K22" s="663"/>
      <c r="L22" s="663"/>
      <c r="M22" s="663"/>
      <c r="N22" s="663"/>
      <c r="O22" s="663"/>
      <c r="P22" s="663"/>
      <c r="Q22" s="663"/>
      <c r="R22" s="663"/>
      <c r="S22" s="663">
        <v>0</v>
      </c>
      <c r="T22" s="663">
        <v>0</v>
      </c>
      <c r="U22" s="663">
        <v>0</v>
      </c>
      <c r="V22" s="663">
        <v>0</v>
      </c>
      <c r="W22" s="663">
        <v>0</v>
      </c>
      <c r="X22" s="663">
        <v>0</v>
      </c>
      <c r="Y22" s="663">
        <v>0</v>
      </c>
      <c r="Z22" s="663">
        <v>0</v>
      </c>
      <c r="AA22" s="663">
        <v>0</v>
      </c>
      <c r="AB22" s="663">
        <v>0</v>
      </c>
      <c r="AC22" s="663">
        <v>0</v>
      </c>
      <c r="AD22" s="663">
        <v>0</v>
      </c>
      <c r="AE22" s="663">
        <v>0</v>
      </c>
      <c r="AF22" s="663">
        <v>0</v>
      </c>
      <c r="AG22" s="663">
        <v>0</v>
      </c>
      <c r="AH22" s="663"/>
      <c r="AI22" s="663"/>
      <c r="AJ22" s="663"/>
      <c r="AK22" s="663"/>
      <c r="AL22" s="663"/>
      <c r="AM22" s="663"/>
      <c r="AN22" s="663"/>
      <c r="AO22" s="663"/>
      <c r="AP22" s="663"/>
      <c r="AQ22" s="663"/>
      <c r="AR22" s="663"/>
      <c r="AS22" s="663"/>
      <c r="AT22" s="663"/>
      <c r="AU22" s="663"/>
      <c r="AV22" s="663"/>
      <c r="AW22" s="663"/>
      <c r="AX22" s="663"/>
      <c r="AY22" s="663"/>
      <c r="AZ22" s="663"/>
      <c r="BA22" s="663"/>
      <c r="BB22" s="663"/>
      <c r="BC22" s="663"/>
      <c r="BD22" s="663"/>
      <c r="BE22" s="663"/>
      <c r="BF22" s="663"/>
      <c r="BG22" s="663"/>
      <c r="BH22" s="663"/>
      <c r="BI22" s="663"/>
      <c r="BJ22" s="663"/>
      <c r="BK22" s="663"/>
      <c r="BL22" s="663"/>
      <c r="BM22" s="663"/>
      <c r="BN22" s="663"/>
      <c r="BO22" s="663"/>
      <c r="BP22" s="663"/>
      <c r="BQ22" s="663"/>
      <c r="BR22" s="663"/>
      <c r="BS22" s="663"/>
      <c r="BT22" s="663"/>
      <c r="BU22" s="663"/>
      <c r="BV22" s="663"/>
      <c r="BW22" s="663"/>
      <c r="BX22" s="663"/>
      <c r="BY22" s="663"/>
      <c r="BZ22" s="663"/>
      <c r="CA22" s="663"/>
    </row>
    <row r="23" spans="1:79" hidden="1" outlineLevel="1" x14ac:dyDescent="0.25">
      <c r="A23" s="655"/>
      <c r="B23" s="223"/>
      <c r="C23" s="223"/>
      <c r="D23" s="223"/>
      <c r="E23" s="570" t="s">
        <v>1327</v>
      </c>
      <c r="F23" s="655" t="s">
        <v>857</v>
      </c>
      <c r="G23" s="663"/>
      <c r="H23" s="663"/>
      <c r="I23" s="663"/>
      <c r="J23" s="663"/>
      <c r="K23" s="663"/>
      <c r="L23" s="663"/>
      <c r="M23" s="663"/>
      <c r="N23" s="663"/>
      <c r="O23" s="663"/>
      <c r="P23" s="663"/>
      <c r="Q23" s="663"/>
      <c r="R23" s="663"/>
      <c r="S23" s="663">
        <v>0</v>
      </c>
      <c r="T23" s="663">
        <v>0</v>
      </c>
      <c r="U23" s="663">
        <v>0</v>
      </c>
      <c r="V23" s="663">
        <v>0</v>
      </c>
      <c r="W23" s="663">
        <v>0</v>
      </c>
      <c r="X23" s="663">
        <v>0</v>
      </c>
      <c r="Y23" s="663">
        <v>0</v>
      </c>
      <c r="Z23" s="663">
        <v>0</v>
      </c>
      <c r="AA23" s="663">
        <v>0</v>
      </c>
      <c r="AB23" s="663">
        <v>0</v>
      </c>
      <c r="AC23" s="663">
        <v>0</v>
      </c>
      <c r="AD23" s="663">
        <v>0</v>
      </c>
      <c r="AE23" s="663">
        <v>0</v>
      </c>
      <c r="AF23" s="663">
        <v>0</v>
      </c>
      <c r="AG23" s="663">
        <v>0</v>
      </c>
      <c r="AH23" s="663"/>
      <c r="AI23" s="663"/>
      <c r="AJ23" s="663"/>
      <c r="AK23" s="663"/>
      <c r="AL23" s="663"/>
      <c r="AM23" s="663"/>
      <c r="AN23" s="663"/>
      <c r="AO23" s="663"/>
      <c r="AP23" s="663"/>
      <c r="AQ23" s="663"/>
      <c r="AR23" s="663"/>
      <c r="AS23" s="663"/>
      <c r="AT23" s="663"/>
      <c r="AU23" s="663"/>
      <c r="AV23" s="663"/>
      <c r="AW23" s="663"/>
      <c r="AX23" s="663"/>
      <c r="AY23" s="663"/>
      <c r="AZ23" s="663"/>
      <c r="BA23" s="663"/>
      <c r="BB23" s="663"/>
      <c r="BC23" s="663"/>
      <c r="BD23" s="663"/>
      <c r="BE23" s="663"/>
      <c r="BF23" s="663"/>
      <c r="BG23" s="663"/>
      <c r="BH23" s="663"/>
      <c r="BI23" s="663"/>
      <c r="BJ23" s="663"/>
      <c r="BK23" s="663"/>
      <c r="BL23" s="663"/>
      <c r="BM23" s="663"/>
      <c r="BN23" s="663"/>
      <c r="BO23" s="663"/>
      <c r="BP23" s="663"/>
      <c r="BQ23" s="663"/>
      <c r="BR23" s="663"/>
      <c r="BS23" s="663"/>
      <c r="BT23" s="663"/>
      <c r="BU23" s="663"/>
      <c r="BV23" s="663"/>
      <c r="BW23" s="663"/>
      <c r="BX23" s="663"/>
      <c r="BY23" s="663"/>
      <c r="BZ23" s="663"/>
      <c r="CA23" s="663"/>
    </row>
    <row r="24" spans="1:79" hidden="1" outlineLevel="1" x14ac:dyDescent="0.25">
      <c r="A24" s="655"/>
      <c r="B24" s="223"/>
      <c r="C24" s="223"/>
      <c r="D24" s="223"/>
      <c r="E24" s="570" t="s">
        <v>1330</v>
      </c>
      <c r="F24" s="655" t="s">
        <v>861</v>
      </c>
      <c r="G24" s="663"/>
      <c r="H24" s="663"/>
      <c r="I24" s="663"/>
      <c r="J24" s="663"/>
      <c r="K24" s="663"/>
      <c r="L24" s="663"/>
      <c r="M24" s="663"/>
      <c r="N24" s="663"/>
      <c r="O24" s="663"/>
      <c r="P24" s="663"/>
      <c r="Q24" s="663"/>
      <c r="R24" s="663"/>
      <c r="S24" s="663">
        <v>0</v>
      </c>
      <c r="T24" s="663">
        <v>0</v>
      </c>
      <c r="U24" s="663">
        <v>0</v>
      </c>
      <c r="V24" s="663">
        <v>0</v>
      </c>
      <c r="W24" s="663">
        <v>0</v>
      </c>
      <c r="X24" s="663">
        <v>0</v>
      </c>
      <c r="Y24" s="663">
        <v>0</v>
      </c>
      <c r="Z24" s="663">
        <v>0</v>
      </c>
      <c r="AA24" s="663">
        <v>0</v>
      </c>
      <c r="AB24" s="663">
        <v>0</v>
      </c>
      <c r="AC24" s="663">
        <v>0</v>
      </c>
      <c r="AD24" s="663">
        <v>0</v>
      </c>
      <c r="AE24" s="663">
        <v>0</v>
      </c>
      <c r="AF24" s="663">
        <v>0</v>
      </c>
      <c r="AG24" s="663">
        <v>0</v>
      </c>
      <c r="AH24" s="663"/>
      <c r="AI24" s="663"/>
      <c r="AJ24" s="663"/>
      <c r="AK24" s="663"/>
      <c r="AL24" s="663"/>
      <c r="AM24" s="663"/>
      <c r="AN24" s="663"/>
      <c r="AO24" s="663"/>
      <c r="AP24" s="663"/>
      <c r="AQ24" s="663"/>
      <c r="AR24" s="663"/>
      <c r="AS24" s="663"/>
      <c r="AT24" s="663"/>
      <c r="AU24" s="663"/>
      <c r="AV24" s="663"/>
      <c r="AW24" s="663"/>
      <c r="AX24" s="663"/>
      <c r="AY24" s="663"/>
      <c r="AZ24" s="663"/>
      <c r="BA24" s="663"/>
      <c r="BB24" s="663"/>
      <c r="BC24" s="663"/>
      <c r="BD24" s="663"/>
      <c r="BE24" s="663"/>
      <c r="BF24" s="663"/>
      <c r="BG24" s="663"/>
      <c r="BH24" s="663"/>
      <c r="BI24" s="663"/>
      <c r="BJ24" s="663"/>
      <c r="BK24" s="663"/>
      <c r="BL24" s="663"/>
      <c r="BM24" s="663"/>
      <c r="BN24" s="663"/>
      <c r="BO24" s="663"/>
      <c r="BP24" s="663"/>
      <c r="BQ24" s="663"/>
      <c r="BR24" s="663"/>
      <c r="BS24" s="663"/>
      <c r="BT24" s="663"/>
      <c r="BU24" s="663"/>
      <c r="BV24" s="663"/>
      <c r="BW24" s="663"/>
      <c r="BX24" s="663"/>
      <c r="BY24" s="663"/>
      <c r="BZ24" s="663"/>
      <c r="CA24" s="663"/>
    </row>
    <row r="25" spans="1:79" hidden="1" outlineLevel="1" x14ac:dyDescent="0.25">
      <c r="A25" s="655"/>
      <c r="B25" s="223"/>
      <c r="C25" s="223"/>
      <c r="D25" s="223"/>
      <c r="E25" s="570" t="s">
        <v>1337</v>
      </c>
      <c r="F25" s="655" t="s">
        <v>862</v>
      </c>
      <c r="G25" s="663"/>
      <c r="H25" s="663"/>
      <c r="I25" s="663"/>
      <c r="J25" s="663"/>
      <c r="K25" s="663"/>
      <c r="L25" s="663"/>
      <c r="M25" s="663"/>
      <c r="N25" s="663"/>
      <c r="O25" s="663"/>
      <c r="P25" s="663"/>
      <c r="Q25" s="663"/>
      <c r="R25" s="663"/>
      <c r="S25" s="663">
        <v>0</v>
      </c>
      <c r="T25" s="663">
        <v>0</v>
      </c>
      <c r="U25" s="663">
        <v>0</v>
      </c>
      <c r="V25" s="663">
        <v>0</v>
      </c>
      <c r="W25" s="663">
        <v>0</v>
      </c>
      <c r="X25" s="663">
        <v>0</v>
      </c>
      <c r="Y25" s="663">
        <v>0</v>
      </c>
      <c r="Z25" s="663">
        <v>0</v>
      </c>
      <c r="AA25" s="663">
        <v>0</v>
      </c>
      <c r="AB25" s="663">
        <v>0</v>
      </c>
      <c r="AC25" s="663">
        <v>0</v>
      </c>
      <c r="AD25" s="663">
        <v>0</v>
      </c>
      <c r="AE25" s="663">
        <v>0</v>
      </c>
      <c r="AF25" s="663">
        <v>0</v>
      </c>
      <c r="AG25" s="663">
        <v>0</v>
      </c>
      <c r="AH25" s="663"/>
      <c r="AI25" s="663"/>
      <c r="AJ25" s="663"/>
      <c r="AK25" s="663"/>
      <c r="AL25" s="663"/>
      <c r="AM25" s="663"/>
      <c r="AN25" s="663"/>
      <c r="AO25" s="663"/>
      <c r="AP25" s="663"/>
      <c r="AQ25" s="663"/>
      <c r="AR25" s="663"/>
      <c r="AS25" s="663"/>
      <c r="AT25" s="663"/>
      <c r="AU25" s="663"/>
      <c r="AV25" s="663"/>
      <c r="AW25" s="663"/>
      <c r="AX25" s="663"/>
      <c r="AY25" s="663"/>
      <c r="AZ25" s="663"/>
      <c r="BA25" s="663"/>
      <c r="BB25" s="663"/>
      <c r="BC25" s="663"/>
      <c r="BD25" s="663"/>
      <c r="BE25" s="663"/>
      <c r="BF25" s="663"/>
      <c r="BG25" s="663"/>
      <c r="BH25" s="663"/>
      <c r="BI25" s="663"/>
      <c r="BJ25" s="663"/>
      <c r="BK25" s="663"/>
      <c r="BL25" s="663"/>
      <c r="BM25" s="663"/>
      <c r="BN25" s="663"/>
      <c r="BO25" s="663"/>
      <c r="BP25" s="663"/>
      <c r="BQ25" s="663"/>
      <c r="BR25" s="663"/>
      <c r="BS25" s="663"/>
      <c r="BT25" s="663"/>
      <c r="BU25" s="663"/>
      <c r="BV25" s="663"/>
      <c r="BW25" s="663"/>
      <c r="BX25" s="663"/>
      <c r="BY25" s="663"/>
      <c r="BZ25" s="663"/>
      <c r="CA25" s="663"/>
    </row>
    <row r="26" spans="1:79" hidden="1" outlineLevel="1" x14ac:dyDescent="0.25">
      <c r="A26" s="691"/>
      <c r="B26" s="693"/>
      <c r="C26" s="693"/>
      <c r="D26" s="693"/>
      <c r="E26" s="570" t="s">
        <v>338</v>
      </c>
      <c r="F26" s="691" t="s">
        <v>863</v>
      </c>
      <c r="G26" s="692"/>
      <c r="H26" s="692"/>
      <c r="I26" s="692"/>
      <c r="J26" s="692"/>
      <c r="K26" s="692"/>
      <c r="L26" s="692"/>
      <c r="M26" s="692"/>
      <c r="N26" s="692"/>
      <c r="O26" s="692"/>
      <c r="P26" s="692"/>
      <c r="Q26" s="692"/>
      <c r="R26" s="692"/>
      <c r="S26" s="692"/>
      <c r="T26" s="692"/>
      <c r="U26" s="692"/>
      <c r="V26" s="692"/>
      <c r="W26" s="692"/>
      <c r="X26" s="692"/>
      <c r="Y26" s="692"/>
      <c r="Z26" s="692"/>
      <c r="AA26" s="692"/>
      <c r="AB26" s="692"/>
      <c r="AC26" s="692"/>
      <c r="AD26" s="692"/>
      <c r="AE26" s="692"/>
      <c r="AF26" s="692"/>
      <c r="AG26" s="692"/>
      <c r="AH26" s="692"/>
      <c r="AI26" s="692"/>
      <c r="AJ26" s="692"/>
      <c r="AK26" s="692"/>
      <c r="AL26" s="692"/>
      <c r="AM26" s="692"/>
      <c r="AN26" s="692"/>
      <c r="AO26" s="692"/>
      <c r="AP26" s="692"/>
      <c r="AQ26" s="692"/>
      <c r="AR26" s="692"/>
      <c r="AS26" s="692"/>
      <c r="AT26" s="692"/>
      <c r="AU26" s="692"/>
      <c r="AV26" s="692"/>
      <c r="AW26" s="692"/>
      <c r="AX26" s="692"/>
      <c r="AY26" s="692"/>
      <c r="AZ26" s="692"/>
      <c r="BA26" s="692"/>
      <c r="BB26" s="692"/>
      <c r="BC26" s="692"/>
      <c r="BD26" s="692"/>
      <c r="BE26" s="692"/>
      <c r="BF26" s="692"/>
      <c r="BG26" s="692"/>
      <c r="BH26" s="692"/>
      <c r="BI26" s="692"/>
      <c r="BJ26" s="692"/>
      <c r="BK26" s="692"/>
      <c r="BL26" s="692"/>
      <c r="BM26" s="692"/>
      <c r="BN26" s="692"/>
      <c r="BO26" s="692"/>
      <c r="BP26" s="692"/>
      <c r="BQ26" s="692"/>
      <c r="BR26" s="692"/>
      <c r="BS26" s="692"/>
      <c r="BT26" s="692"/>
      <c r="BU26" s="692"/>
      <c r="BV26" s="692"/>
      <c r="BW26" s="692"/>
      <c r="BX26" s="692"/>
      <c r="BY26" s="692"/>
      <c r="BZ26" s="692"/>
      <c r="CA26" s="692"/>
    </row>
    <row r="27" spans="1:79" hidden="1" outlineLevel="1" x14ac:dyDescent="0.25">
      <c r="A27" s="656"/>
      <c r="B27" s="223"/>
      <c r="C27" s="223"/>
      <c r="D27" s="223"/>
      <c r="E27" s="570" t="s">
        <v>338</v>
      </c>
      <c r="F27" s="656" t="s">
        <v>864</v>
      </c>
      <c r="G27" s="663"/>
      <c r="H27" s="663"/>
      <c r="I27" s="663"/>
      <c r="J27" s="663"/>
      <c r="K27" s="663"/>
      <c r="L27" s="663"/>
      <c r="M27" s="663"/>
      <c r="N27" s="663"/>
      <c r="O27" s="663"/>
      <c r="P27" s="663"/>
      <c r="Q27" s="663"/>
      <c r="R27" s="663"/>
      <c r="S27" s="663">
        <v>0</v>
      </c>
      <c r="T27" s="663">
        <v>0</v>
      </c>
      <c r="U27" s="663">
        <v>0</v>
      </c>
      <c r="V27" s="663">
        <v>0</v>
      </c>
      <c r="W27" s="663">
        <v>0</v>
      </c>
      <c r="X27" s="663">
        <v>0</v>
      </c>
      <c r="Y27" s="663">
        <v>0</v>
      </c>
      <c r="Z27" s="663">
        <v>0</v>
      </c>
      <c r="AA27" s="663">
        <v>0</v>
      </c>
      <c r="AB27" s="663">
        <v>0</v>
      </c>
      <c r="AC27" s="663">
        <v>0</v>
      </c>
      <c r="AD27" s="663">
        <v>0</v>
      </c>
      <c r="AE27" s="663">
        <v>0</v>
      </c>
      <c r="AF27" s="663">
        <v>0</v>
      </c>
      <c r="AG27" s="663">
        <v>0</v>
      </c>
      <c r="AH27" s="663"/>
      <c r="AI27" s="663"/>
      <c r="AJ27" s="663"/>
      <c r="AK27" s="663"/>
      <c r="AL27" s="663"/>
      <c r="AM27" s="663"/>
      <c r="AN27" s="663"/>
      <c r="AO27" s="663"/>
      <c r="AP27" s="663"/>
      <c r="AQ27" s="663"/>
      <c r="AR27" s="663"/>
      <c r="AS27" s="663"/>
      <c r="AT27" s="663"/>
      <c r="AU27" s="663"/>
      <c r="AV27" s="663"/>
      <c r="AW27" s="663"/>
      <c r="AX27" s="663"/>
      <c r="AY27" s="663"/>
      <c r="AZ27" s="663"/>
      <c r="BA27" s="663"/>
      <c r="BB27" s="663"/>
      <c r="BC27" s="663"/>
      <c r="BD27" s="663"/>
      <c r="BE27" s="663"/>
      <c r="BF27" s="663"/>
      <c r="BG27" s="663"/>
      <c r="BH27" s="663"/>
      <c r="BI27" s="663"/>
      <c r="BJ27" s="663"/>
      <c r="BK27" s="663"/>
      <c r="BL27" s="663"/>
      <c r="BM27" s="663"/>
      <c r="BN27" s="663"/>
      <c r="BO27" s="663"/>
      <c r="BP27" s="663"/>
      <c r="BQ27" s="663"/>
      <c r="BR27" s="663"/>
      <c r="BS27" s="663"/>
      <c r="BT27" s="663"/>
      <c r="BU27" s="663"/>
      <c r="BV27" s="663"/>
      <c r="BW27" s="663"/>
      <c r="BX27" s="663"/>
      <c r="BY27" s="663"/>
      <c r="BZ27" s="663"/>
      <c r="CA27" s="663"/>
    </row>
    <row r="28" spans="1:79" hidden="1" outlineLevel="1" x14ac:dyDescent="0.25">
      <c r="A28" s="656"/>
      <c r="B28" s="223"/>
      <c r="C28" s="223"/>
      <c r="D28" s="223"/>
      <c r="E28" s="570" t="s">
        <v>338</v>
      </c>
      <c r="F28" s="656" t="s">
        <v>865</v>
      </c>
      <c r="G28" s="663"/>
      <c r="H28" s="663"/>
      <c r="I28" s="663"/>
      <c r="J28" s="663"/>
      <c r="K28" s="663"/>
      <c r="L28" s="663"/>
      <c r="M28" s="663"/>
      <c r="N28" s="663"/>
      <c r="O28" s="663"/>
      <c r="P28" s="663"/>
      <c r="Q28" s="663"/>
      <c r="R28" s="663"/>
      <c r="S28" s="663">
        <v>0</v>
      </c>
      <c r="T28" s="663">
        <v>0</v>
      </c>
      <c r="U28" s="663">
        <v>0</v>
      </c>
      <c r="V28" s="663">
        <v>0</v>
      </c>
      <c r="W28" s="663">
        <v>0</v>
      </c>
      <c r="X28" s="663">
        <v>0</v>
      </c>
      <c r="Y28" s="663">
        <v>0</v>
      </c>
      <c r="Z28" s="663">
        <v>0</v>
      </c>
      <c r="AA28" s="663">
        <v>0</v>
      </c>
      <c r="AB28" s="663">
        <v>0</v>
      </c>
      <c r="AC28" s="663">
        <v>0</v>
      </c>
      <c r="AD28" s="663">
        <v>0</v>
      </c>
      <c r="AE28" s="663">
        <v>0</v>
      </c>
      <c r="AF28" s="663">
        <v>0</v>
      </c>
      <c r="AG28" s="663">
        <v>0</v>
      </c>
      <c r="AH28" s="663"/>
      <c r="AI28" s="663"/>
      <c r="AJ28" s="663"/>
      <c r="AK28" s="663"/>
      <c r="AL28" s="663"/>
      <c r="AM28" s="663"/>
      <c r="AN28" s="663"/>
      <c r="AO28" s="663"/>
      <c r="AP28" s="663"/>
      <c r="AQ28" s="663"/>
      <c r="AR28" s="663"/>
      <c r="AS28" s="663"/>
      <c r="AT28" s="663"/>
      <c r="AU28" s="663"/>
      <c r="AV28" s="663"/>
      <c r="AW28" s="663"/>
      <c r="AX28" s="663"/>
      <c r="AY28" s="663"/>
      <c r="AZ28" s="663"/>
      <c r="BA28" s="663"/>
      <c r="BB28" s="663"/>
      <c r="BC28" s="663"/>
      <c r="BD28" s="663"/>
      <c r="BE28" s="663"/>
      <c r="BF28" s="663"/>
      <c r="BG28" s="663"/>
      <c r="BH28" s="663"/>
      <c r="BI28" s="663"/>
      <c r="BJ28" s="663"/>
      <c r="BK28" s="663"/>
      <c r="BL28" s="663"/>
      <c r="BM28" s="663"/>
      <c r="BN28" s="663"/>
      <c r="BO28" s="663"/>
      <c r="BP28" s="663"/>
      <c r="BQ28" s="663"/>
      <c r="BR28" s="663"/>
      <c r="BS28" s="663"/>
      <c r="BT28" s="663"/>
      <c r="BU28" s="663"/>
      <c r="BV28" s="663"/>
      <c r="BW28" s="663"/>
      <c r="BX28" s="663"/>
      <c r="BY28" s="663"/>
      <c r="BZ28" s="663"/>
      <c r="CA28" s="663"/>
    </row>
    <row r="29" spans="1:79" hidden="1" outlineLevel="1" x14ac:dyDescent="0.25">
      <c r="A29" s="657"/>
      <c r="B29" s="223"/>
      <c r="C29" s="223"/>
      <c r="D29" s="223"/>
      <c r="E29" s="570" t="s">
        <v>49</v>
      </c>
      <c r="F29" s="657" t="s">
        <v>866</v>
      </c>
      <c r="G29" s="664">
        <f>SUM(G27:G28)</f>
        <v>0</v>
      </c>
      <c r="H29" s="664">
        <f t="shared" ref="H29:BO29" si="3">SUM(H27:H28)</f>
        <v>0</v>
      </c>
      <c r="I29" s="664">
        <f t="shared" si="3"/>
        <v>0</v>
      </c>
      <c r="J29" s="664">
        <f t="shared" si="3"/>
        <v>0</v>
      </c>
      <c r="K29" s="664">
        <f t="shared" si="3"/>
        <v>0</v>
      </c>
      <c r="L29" s="664">
        <f t="shared" si="3"/>
        <v>0</v>
      </c>
      <c r="M29" s="664">
        <f t="shared" si="3"/>
        <v>0</v>
      </c>
      <c r="N29" s="664">
        <f t="shared" si="3"/>
        <v>0</v>
      </c>
      <c r="O29" s="664">
        <f t="shared" si="3"/>
        <v>0</v>
      </c>
      <c r="P29" s="664">
        <f t="shared" si="3"/>
        <v>0</v>
      </c>
      <c r="Q29" s="664">
        <f t="shared" si="3"/>
        <v>0</v>
      </c>
      <c r="R29" s="664">
        <f t="shared" si="3"/>
        <v>0</v>
      </c>
      <c r="S29" s="664">
        <f t="shared" ref="S29:AA29" si="4">ROUND(SUM(S26:S28),5)</f>
        <v>0</v>
      </c>
      <c r="T29" s="664">
        <f t="shared" si="4"/>
        <v>0</v>
      </c>
      <c r="U29" s="664">
        <f t="shared" si="4"/>
        <v>0</v>
      </c>
      <c r="V29" s="664">
        <f t="shared" si="4"/>
        <v>0</v>
      </c>
      <c r="W29" s="664">
        <f t="shared" si="4"/>
        <v>0</v>
      </c>
      <c r="X29" s="664">
        <f t="shared" si="4"/>
        <v>0</v>
      </c>
      <c r="Y29" s="664">
        <f t="shared" si="4"/>
        <v>0</v>
      </c>
      <c r="Z29" s="664">
        <f t="shared" si="4"/>
        <v>0</v>
      </c>
      <c r="AA29" s="664">
        <f t="shared" si="4"/>
        <v>0</v>
      </c>
      <c r="AB29" s="664">
        <f>ROUND(SUM(AB26:AB28),5)</f>
        <v>0</v>
      </c>
      <c r="AC29" s="664">
        <f>ROUND(SUM(AC26:AC28),5)</f>
        <v>0</v>
      </c>
      <c r="AD29" s="664">
        <v>0</v>
      </c>
      <c r="AE29" s="664">
        <f>ROUND(SUM(AE26:AE28),5)</f>
        <v>0</v>
      </c>
      <c r="AF29" s="664">
        <f>ROUND(SUM(AF26:AF28),5)</f>
        <v>0</v>
      </c>
      <c r="AG29" s="664">
        <v>0</v>
      </c>
      <c r="AH29" s="664">
        <f t="shared" si="3"/>
        <v>0</v>
      </c>
      <c r="AI29" s="664">
        <f t="shared" si="3"/>
        <v>0</v>
      </c>
      <c r="AJ29" s="664">
        <f t="shared" si="3"/>
        <v>0</v>
      </c>
      <c r="AK29" s="664">
        <f t="shared" si="3"/>
        <v>0</v>
      </c>
      <c r="AL29" s="664">
        <f t="shared" si="3"/>
        <v>0</v>
      </c>
      <c r="AM29" s="664">
        <f t="shared" si="3"/>
        <v>0</v>
      </c>
      <c r="AN29" s="664">
        <f t="shared" si="3"/>
        <v>0</v>
      </c>
      <c r="AO29" s="664">
        <f t="shared" si="3"/>
        <v>0</v>
      </c>
      <c r="AP29" s="664">
        <f t="shared" si="3"/>
        <v>0</v>
      </c>
      <c r="AQ29" s="664">
        <f t="shared" si="3"/>
        <v>0</v>
      </c>
      <c r="AR29" s="664">
        <f t="shared" si="3"/>
        <v>0</v>
      </c>
      <c r="AS29" s="664">
        <f t="shared" si="3"/>
        <v>0</v>
      </c>
      <c r="AT29" s="664">
        <f t="shared" si="3"/>
        <v>0</v>
      </c>
      <c r="AU29" s="664">
        <f t="shared" si="3"/>
        <v>0</v>
      </c>
      <c r="AV29" s="664">
        <f t="shared" si="3"/>
        <v>0</v>
      </c>
      <c r="AW29" s="664">
        <f t="shared" si="3"/>
        <v>0</v>
      </c>
      <c r="AX29" s="664">
        <f t="shared" si="3"/>
        <v>0</v>
      </c>
      <c r="AY29" s="664">
        <f t="shared" si="3"/>
        <v>0</v>
      </c>
      <c r="AZ29" s="664">
        <f t="shared" si="3"/>
        <v>0</v>
      </c>
      <c r="BA29" s="664">
        <f t="shared" si="3"/>
        <v>0</v>
      </c>
      <c r="BB29" s="664">
        <f t="shared" si="3"/>
        <v>0</v>
      </c>
      <c r="BC29" s="664">
        <f t="shared" si="3"/>
        <v>0</v>
      </c>
      <c r="BD29" s="664">
        <f t="shared" si="3"/>
        <v>0</v>
      </c>
      <c r="BE29" s="664">
        <f t="shared" si="3"/>
        <v>0</v>
      </c>
      <c r="BF29" s="664">
        <f t="shared" si="3"/>
        <v>0</v>
      </c>
      <c r="BG29" s="664">
        <f t="shared" si="3"/>
        <v>0</v>
      </c>
      <c r="BH29" s="664">
        <f t="shared" si="3"/>
        <v>0</v>
      </c>
      <c r="BI29" s="664">
        <f t="shared" si="3"/>
        <v>0</v>
      </c>
      <c r="BJ29" s="664">
        <f t="shared" si="3"/>
        <v>0</v>
      </c>
      <c r="BK29" s="664">
        <f t="shared" si="3"/>
        <v>0</v>
      </c>
      <c r="BL29" s="664">
        <f t="shared" si="3"/>
        <v>0</v>
      </c>
      <c r="BM29" s="664">
        <f t="shared" si="3"/>
        <v>0</v>
      </c>
      <c r="BN29" s="664">
        <f t="shared" si="3"/>
        <v>0</v>
      </c>
      <c r="BO29" s="664">
        <f t="shared" si="3"/>
        <v>0</v>
      </c>
      <c r="BP29" s="664">
        <f t="shared" ref="BP29:CA29" si="5">SUM(BP27:BP28)</f>
        <v>0</v>
      </c>
      <c r="BQ29" s="664">
        <f t="shared" si="5"/>
        <v>0</v>
      </c>
      <c r="BR29" s="664">
        <f t="shared" si="5"/>
        <v>0</v>
      </c>
      <c r="BS29" s="664">
        <f t="shared" si="5"/>
        <v>0</v>
      </c>
      <c r="BT29" s="664">
        <f t="shared" si="5"/>
        <v>0</v>
      </c>
      <c r="BU29" s="664">
        <f t="shared" si="5"/>
        <v>0</v>
      </c>
      <c r="BV29" s="664">
        <f t="shared" si="5"/>
        <v>0</v>
      </c>
      <c r="BW29" s="664">
        <f t="shared" si="5"/>
        <v>0</v>
      </c>
      <c r="BX29" s="664">
        <f t="shared" si="5"/>
        <v>0</v>
      </c>
      <c r="BY29" s="664">
        <f t="shared" si="5"/>
        <v>0</v>
      </c>
      <c r="BZ29" s="664">
        <f t="shared" si="5"/>
        <v>0</v>
      </c>
      <c r="CA29" s="664">
        <f t="shared" si="5"/>
        <v>0</v>
      </c>
    </row>
    <row r="30" spans="1:79" hidden="1" outlineLevel="1" x14ac:dyDescent="0.25">
      <c r="A30" s="694"/>
      <c r="B30" s="693"/>
      <c r="C30" s="693"/>
      <c r="D30" s="693"/>
      <c r="E30" s="570" t="s">
        <v>867</v>
      </c>
      <c r="F30" s="694" t="s">
        <v>646</v>
      </c>
      <c r="G30" s="692"/>
      <c r="H30" s="692"/>
      <c r="I30" s="692"/>
      <c r="J30" s="692"/>
      <c r="K30" s="692"/>
      <c r="L30" s="692"/>
      <c r="M30" s="692"/>
      <c r="N30" s="692"/>
      <c r="O30" s="692"/>
      <c r="P30" s="692"/>
      <c r="Q30" s="692"/>
      <c r="R30" s="692"/>
      <c r="S30" s="692"/>
      <c r="T30" s="692"/>
      <c r="U30" s="692"/>
      <c r="V30" s="692"/>
      <c r="W30" s="692"/>
      <c r="X30" s="692"/>
      <c r="Y30" s="692"/>
      <c r="Z30" s="692"/>
      <c r="AA30" s="692"/>
      <c r="AB30" s="692"/>
      <c r="AC30" s="692"/>
      <c r="AD30" s="692"/>
      <c r="AE30" s="692"/>
      <c r="AF30" s="692"/>
      <c r="AG30" s="692"/>
      <c r="AH30" s="692"/>
      <c r="AI30" s="692"/>
      <c r="AJ30" s="692"/>
      <c r="AK30" s="692"/>
      <c r="AL30" s="692"/>
      <c r="AM30" s="692"/>
      <c r="AN30" s="692"/>
      <c r="AO30" s="692"/>
      <c r="AP30" s="692"/>
      <c r="AQ30" s="692"/>
      <c r="AR30" s="692"/>
      <c r="AS30" s="692"/>
      <c r="AT30" s="692"/>
      <c r="AU30" s="692"/>
      <c r="AV30" s="692"/>
      <c r="AW30" s="692"/>
      <c r="AX30" s="692"/>
      <c r="AY30" s="692"/>
      <c r="AZ30" s="692"/>
      <c r="BA30" s="692"/>
      <c r="BB30" s="692"/>
      <c r="BC30" s="692"/>
      <c r="BD30" s="692"/>
      <c r="BE30" s="692"/>
      <c r="BF30" s="692"/>
      <c r="BG30" s="692"/>
      <c r="BH30" s="692"/>
      <c r="BI30" s="692"/>
      <c r="BJ30" s="692"/>
      <c r="BK30" s="692"/>
      <c r="BL30" s="692"/>
      <c r="BM30" s="692"/>
      <c r="BN30" s="692"/>
      <c r="BO30" s="692"/>
      <c r="BP30" s="692"/>
      <c r="BQ30" s="692"/>
      <c r="BR30" s="692"/>
      <c r="BS30" s="692"/>
      <c r="BT30" s="692"/>
      <c r="BU30" s="692"/>
      <c r="BV30" s="692"/>
      <c r="BW30" s="692"/>
      <c r="BX30" s="692"/>
      <c r="BY30" s="692"/>
      <c r="BZ30" s="692"/>
      <c r="CA30" s="692"/>
    </row>
    <row r="31" spans="1:79" hidden="1" outlineLevel="1" x14ac:dyDescent="0.25">
      <c r="A31" s="656"/>
      <c r="B31" s="223"/>
      <c r="C31" s="223"/>
      <c r="D31" s="223"/>
      <c r="E31" s="570" t="s">
        <v>867</v>
      </c>
      <c r="F31" s="656" t="s">
        <v>867</v>
      </c>
      <c r="G31" s="663"/>
      <c r="H31" s="663"/>
      <c r="I31" s="663"/>
      <c r="J31" s="663"/>
      <c r="K31" s="663"/>
      <c r="L31" s="663"/>
      <c r="M31" s="663"/>
      <c r="N31" s="663"/>
      <c r="O31" s="663"/>
      <c r="P31" s="663"/>
      <c r="Q31" s="663"/>
      <c r="R31" s="663"/>
      <c r="S31" s="663">
        <v>0</v>
      </c>
      <c r="T31" s="663">
        <v>0</v>
      </c>
      <c r="U31" s="663">
        <v>0</v>
      </c>
      <c r="V31" s="663">
        <v>0</v>
      </c>
      <c r="W31" s="663">
        <v>0</v>
      </c>
      <c r="X31" s="663">
        <v>0</v>
      </c>
      <c r="Y31" s="663">
        <v>0</v>
      </c>
      <c r="Z31" s="663">
        <v>0</v>
      </c>
      <c r="AA31" s="663">
        <v>0</v>
      </c>
      <c r="AB31" s="663">
        <v>0</v>
      </c>
      <c r="AC31" s="663">
        <v>0</v>
      </c>
      <c r="AD31" s="663">
        <v>0</v>
      </c>
      <c r="AE31" s="663">
        <v>0</v>
      </c>
      <c r="AF31" s="663">
        <v>0</v>
      </c>
      <c r="AG31" s="663">
        <v>0</v>
      </c>
      <c r="AH31" s="663"/>
      <c r="AI31" s="663"/>
      <c r="AJ31" s="663"/>
      <c r="AK31" s="663"/>
      <c r="AL31" s="663"/>
      <c r="AM31" s="663"/>
      <c r="AN31" s="663"/>
      <c r="AO31" s="663"/>
      <c r="AP31" s="663"/>
      <c r="AQ31" s="663"/>
      <c r="AR31" s="663"/>
      <c r="AS31" s="663"/>
      <c r="AT31" s="663"/>
      <c r="AU31" s="663"/>
      <c r="AV31" s="663"/>
      <c r="AW31" s="663"/>
      <c r="AX31" s="663"/>
      <c r="AY31" s="663"/>
      <c r="AZ31" s="663"/>
      <c r="BA31" s="663"/>
      <c r="BB31" s="663"/>
      <c r="BC31" s="663"/>
      <c r="BD31" s="663"/>
      <c r="BE31" s="663"/>
      <c r="BF31" s="663"/>
      <c r="BG31" s="663"/>
      <c r="BH31" s="663"/>
      <c r="BI31" s="663"/>
      <c r="BJ31" s="663"/>
      <c r="BK31" s="663"/>
      <c r="BL31" s="663"/>
      <c r="BM31" s="663"/>
      <c r="BN31" s="663"/>
      <c r="BO31" s="663"/>
      <c r="BP31" s="663"/>
      <c r="BQ31" s="663"/>
      <c r="BR31" s="663"/>
      <c r="BS31" s="663"/>
      <c r="BT31" s="663"/>
      <c r="BU31" s="663"/>
      <c r="BV31" s="663"/>
      <c r="BW31" s="663"/>
      <c r="BX31" s="663"/>
      <c r="BY31" s="663"/>
      <c r="BZ31" s="663"/>
      <c r="CA31" s="663"/>
    </row>
    <row r="32" spans="1:79" hidden="1" outlineLevel="1" x14ac:dyDescent="0.25">
      <c r="A32" s="656"/>
      <c r="B32" s="223"/>
      <c r="C32" s="223"/>
      <c r="D32" s="223"/>
      <c r="E32" s="570" t="s">
        <v>867</v>
      </c>
      <c r="F32" s="656" t="s">
        <v>868</v>
      </c>
      <c r="G32" s="663"/>
      <c r="H32" s="663"/>
      <c r="I32" s="663"/>
      <c r="J32" s="663"/>
      <c r="K32" s="663"/>
      <c r="L32" s="663"/>
      <c r="M32" s="663"/>
      <c r="N32" s="663"/>
      <c r="O32" s="663"/>
      <c r="P32" s="663"/>
      <c r="Q32" s="663"/>
      <c r="R32" s="663"/>
      <c r="S32" s="663">
        <v>0</v>
      </c>
      <c r="T32" s="663">
        <v>0</v>
      </c>
      <c r="U32" s="663">
        <v>0</v>
      </c>
      <c r="V32" s="663">
        <v>0</v>
      </c>
      <c r="W32" s="663">
        <v>0</v>
      </c>
      <c r="X32" s="663">
        <v>0</v>
      </c>
      <c r="Y32" s="663">
        <v>0</v>
      </c>
      <c r="Z32" s="663">
        <v>0</v>
      </c>
      <c r="AA32" s="663">
        <v>0</v>
      </c>
      <c r="AB32" s="663">
        <v>0</v>
      </c>
      <c r="AC32" s="663">
        <v>0</v>
      </c>
      <c r="AD32" s="663">
        <v>0</v>
      </c>
      <c r="AE32" s="663">
        <v>0</v>
      </c>
      <c r="AF32" s="663">
        <v>0</v>
      </c>
      <c r="AG32" s="663">
        <v>0</v>
      </c>
      <c r="AH32" s="663"/>
      <c r="AI32" s="663"/>
      <c r="AJ32" s="663"/>
      <c r="AK32" s="663"/>
      <c r="AL32" s="663"/>
      <c r="AM32" s="663"/>
      <c r="AN32" s="663"/>
      <c r="AO32" s="663"/>
      <c r="AP32" s="663"/>
      <c r="AQ32" s="663"/>
      <c r="AR32" s="663"/>
      <c r="AS32" s="663"/>
      <c r="AT32" s="663"/>
      <c r="AU32" s="663"/>
      <c r="AV32" s="663"/>
      <c r="AW32" s="663"/>
      <c r="AX32" s="663"/>
      <c r="AY32" s="663"/>
      <c r="AZ32" s="663"/>
      <c r="BA32" s="663"/>
      <c r="BB32" s="663"/>
      <c r="BC32" s="663"/>
      <c r="BD32" s="663"/>
      <c r="BE32" s="663"/>
      <c r="BF32" s="663"/>
      <c r="BG32" s="663"/>
      <c r="BH32" s="663"/>
      <c r="BI32" s="663"/>
      <c r="BJ32" s="663"/>
      <c r="BK32" s="663"/>
      <c r="BL32" s="663"/>
      <c r="BM32" s="663"/>
      <c r="BN32" s="663"/>
      <c r="BO32" s="663"/>
      <c r="BP32" s="663"/>
      <c r="BQ32" s="663"/>
      <c r="BR32" s="663"/>
      <c r="BS32" s="663"/>
      <c r="BT32" s="663"/>
      <c r="BU32" s="663"/>
      <c r="BV32" s="663"/>
      <c r="BW32" s="663"/>
      <c r="BX32" s="663"/>
      <c r="BY32" s="663"/>
      <c r="BZ32" s="663"/>
      <c r="CA32" s="663"/>
    </row>
    <row r="33" spans="1:79" hidden="1" outlineLevel="1" x14ac:dyDescent="0.25">
      <c r="A33" s="657"/>
      <c r="B33" s="223"/>
      <c r="C33" s="223"/>
      <c r="D33" s="223"/>
      <c r="E33" s="570" t="s">
        <v>49</v>
      </c>
      <c r="F33" s="657" t="s">
        <v>869</v>
      </c>
      <c r="G33" s="664">
        <f>SUM(G31:G32)</f>
        <v>0</v>
      </c>
      <c r="H33" s="664">
        <f t="shared" ref="H33:BO33" si="6">SUM(H31:H32)</f>
        <v>0</v>
      </c>
      <c r="I33" s="664">
        <f t="shared" si="6"/>
        <v>0</v>
      </c>
      <c r="J33" s="664">
        <f t="shared" si="6"/>
        <v>0</v>
      </c>
      <c r="K33" s="664">
        <f t="shared" si="6"/>
        <v>0</v>
      </c>
      <c r="L33" s="664">
        <f t="shared" si="6"/>
        <v>0</v>
      </c>
      <c r="M33" s="664">
        <f t="shared" si="6"/>
        <v>0</v>
      </c>
      <c r="N33" s="664">
        <f t="shared" si="6"/>
        <v>0</v>
      </c>
      <c r="O33" s="664">
        <f t="shared" si="6"/>
        <v>0</v>
      </c>
      <c r="P33" s="664">
        <f t="shared" si="6"/>
        <v>0</v>
      </c>
      <c r="Q33" s="664">
        <f t="shared" si="6"/>
        <v>0</v>
      </c>
      <c r="R33" s="664">
        <f t="shared" si="6"/>
        <v>0</v>
      </c>
      <c r="S33" s="664">
        <f t="shared" ref="S33:AA33" si="7">ROUND(SUM(S30:S32),5)</f>
        <v>0</v>
      </c>
      <c r="T33" s="664">
        <f t="shared" si="7"/>
        <v>0</v>
      </c>
      <c r="U33" s="664">
        <f t="shared" si="7"/>
        <v>0</v>
      </c>
      <c r="V33" s="664">
        <f t="shared" si="7"/>
        <v>0</v>
      </c>
      <c r="W33" s="664">
        <f t="shared" si="7"/>
        <v>0</v>
      </c>
      <c r="X33" s="664">
        <f t="shared" si="7"/>
        <v>0</v>
      </c>
      <c r="Y33" s="664">
        <f t="shared" si="7"/>
        <v>0</v>
      </c>
      <c r="Z33" s="664">
        <f t="shared" si="7"/>
        <v>0</v>
      </c>
      <c r="AA33" s="664">
        <f t="shared" si="7"/>
        <v>0</v>
      </c>
      <c r="AB33" s="664">
        <f>ROUND(SUM(AB30:AB32),5)</f>
        <v>0</v>
      </c>
      <c r="AC33" s="664">
        <f>ROUND(SUM(AC30:AC32),5)</f>
        <v>0</v>
      </c>
      <c r="AD33" s="664">
        <v>0</v>
      </c>
      <c r="AE33" s="664">
        <f>ROUND(SUM(AE30:AE32),5)</f>
        <v>0</v>
      </c>
      <c r="AF33" s="664">
        <f>ROUND(SUM(AF30:AF32),5)</f>
        <v>0</v>
      </c>
      <c r="AG33" s="664">
        <v>0</v>
      </c>
      <c r="AH33" s="664">
        <f t="shared" si="6"/>
        <v>0</v>
      </c>
      <c r="AI33" s="664">
        <f t="shared" si="6"/>
        <v>0</v>
      </c>
      <c r="AJ33" s="664">
        <f t="shared" si="6"/>
        <v>0</v>
      </c>
      <c r="AK33" s="664">
        <f t="shared" si="6"/>
        <v>0</v>
      </c>
      <c r="AL33" s="664">
        <f t="shared" si="6"/>
        <v>0</v>
      </c>
      <c r="AM33" s="664">
        <f t="shared" si="6"/>
        <v>0</v>
      </c>
      <c r="AN33" s="664">
        <f t="shared" si="6"/>
        <v>0</v>
      </c>
      <c r="AO33" s="664">
        <f t="shared" si="6"/>
        <v>0</v>
      </c>
      <c r="AP33" s="664">
        <f t="shared" si="6"/>
        <v>0</v>
      </c>
      <c r="AQ33" s="664">
        <f t="shared" si="6"/>
        <v>0</v>
      </c>
      <c r="AR33" s="664">
        <f t="shared" si="6"/>
        <v>0</v>
      </c>
      <c r="AS33" s="664">
        <f t="shared" si="6"/>
        <v>0</v>
      </c>
      <c r="AT33" s="664">
        <f t="shared" si="6"/>
        <v>0</v>
      </c>
      <c r="AU33" s="664">
        <f t="shared" si="6"/>
        <v>0</v>
      </c>
      <c r="AV33" s="664">
        <f t="shared" si="6"/>
        <v>0</v>
      </c>
      <c r="AW33" s="664">
        <f t="shared" si="6"/>
        <v>0</v>
      </c>
      <c r="AX33" s="664">
        <f t="shared" si="6"/>
        <v>0</v>
      </c>
      <c r="AY33" s="664">
        <f t="shared" si="6"/>
        <v>0</v>
      </c>
      <c r="AZ33" s="664">
        <f t="shared" si="6"/>
        <v>0</v>
      </c>
      <c r="BA33" s="664">
        <f t="shared" si="6"/>
        <v>0</v>
      </c>
      <c r="BB33" s="664">
        <f t="shared" si="6"/>
        <v>0</v>
      </c>
      <c r="BC33" s="664">
        <f t="shared" si="6"/>
        <v>0</v>
      </c>
      <c r="BD33" s="664">
        <f t="shared" si="6"/>
        <v>0</v>
      </c>
      <c r="BE33" s="664">
        <f t="shared" si="6"/>
        <v>0</v>
      </c>
      <c r="BF33" s="664">
        <f t="shared" si="6"/>
        <v>0</v>
      </c>
      <c r="BG33" s="664">
        <f t="shared" si="6"/>
        <v>0</v>
      </c>
      <c r="BH33" s="664">
        <f t="shared" si="6"/>
        <v>0</v>
      </c>
      <c r="BI33" s="664">
        <f t="shared" si="6"/>
        <v>0</v>
      </c>
      <c r="BJ33" s="664">
        <f t="shared" si="6"/>
        <v>0</v>
      </c>
      <c r="BK33" s="664">
        <f t="shared" si="6"/>
        <v>0</v>
      </c>
      <c r="BL33" s="664">
        <f t="shared" si="6"/>
        <v>0</v>
      </c>
      <c r="BM33" s="664">
        <f t="shared" si="6"/>
        <v>0</v>
      </c>
      <c r="BN33" s="664">
        <f t="shared" si="6"/>
        <v>0</v>
      </c>
      <c r="BO33" s="664">
        <f t="shared" si="6"/>
        <v>0</v>
      </c>
      <c r="BP33" s="664">
        <f t="shared" ref="BP33:CA33" si="8">SUM(BP31:BP32)</f>
        <v>0</v>
      </c>
      <c r="BQ33" s="664">
        <f t="shared" si="8"/>
        <v>0</v>
      </c>
      <c r="BR33" s="664">
        <f t="shared" si="8"/>
        <v>0</v>
      </c>
      <c r="BS33" s="664">
        <f t="shared" si="8"/>
        <v>0</v>
      </c>
      <c r="BT33" s="664">
        <f t="shared" si="8"/>
        <v>0</v>
      </c>
      <c r="BU33" s="664">
        <f t="shared" si="8"/>
        <v>0</v>
      </c>
      <c r="BV33" s="664">
        <f t="shared" si="8"/>
        <v>0</v>
      </c>
      <c r="BW33" s="664">
        <f t="shared" si="8"/>
        <v>0</v>
      </c>
      <c r="BX33" s="664">
        <f t="shared" si="8"/>
        <v>0</v>
      </c>
      <c r="BY33" s="664">
        <f t="shared" si="8"/>
        <v>0</v>
      </c>
      <c r="BZ33" s="664">
        <f t="shared" si="8"/>
        <v>0</v>
      </c>
      <c r="CA33" s="664">
        <f t="shared" si="8"/>
        <v>0</v>
      </c>
    </row>
    <row r="34" spans="1:79" hidden="1" outlineLevel="1" x14ac:dyDescent="0.25">
      <c r="A34" s="658"/>
      <c r="E34" s="570" t="s">
        <v>1328</v>
      </c>
      <c r="F34" s="658" t="s">
        <v>589</v>
      </c>
      <c r="G34" s="665"/>
      <c r="H34" s="665">
        <v>9.7929857150480295</v>
      </c>
      <c r="I34" s="665">
        <v>1.7454906395659229</v>
      </c>
      <c r="J34" s="666">
        <v>18.295311561550317</v>
      </c>
      <c r="K34" s="666">
        <v>4.3231555687064498</v>
      </c>
      <c r="L34" s="666">
        <v>37.247563282693058</v>
      </c>
      <c r="M34" s="666">
        <v>1.1544060995650631</v>
      </c>
      <c r="N34" s="666">
        <v>11.483838821716224</v>
      </c>
      <c r="O34" s="666">
        <v>10.214381355658368</v>
      </c>
      <c r="P34" s="666">
        <v>49.243275761854989</v>
      </c>
      <c r="Q34" s="666"/>
      <c r="R34" s="666"/>
      <c r="S34" s="667">
        <v>333.41</v>
      </c>
      <c r="T34" s="667">
        <v>0</v>
      </c>
      <c r="U34" s="667">
        <v>213.05</v>
      </c>
      <c r="V34" s="667">
        <v>106.68</v>
      </c>
      <c r="W34" s="667">
        <v>219.83</v>
      </c>
      <c r="X34" s="667">
        <v>322.18</v>
      </c>
      <c r="Y34" s="667">
        <v>45.9</v>
      </c>
      <c r="Z34" s="667">
        <v>253.33</v>
      </c>
      <c r="AA34" s="667">
        <v>13.51</v>
      </c>
      <c r="AB34" s="667">
        <v>8</v>
      </c>
      <c r="AC34" s="667">
        <v>417.03</v>
      </c>
      <c r="AD34" s="668">
        <v>88.81</v>
      </c>
      <c r="AE34" s="667">
        <v>40.229999999999997</v>
      </c>
      <c r="AF34" s="667">
        <v>0</v>
      </c>
      <c r="AG34" s="668">
        <v>51.67</v>
      </c>
      <c r="AH34" s="668"/>
      <c r="AI34" s="668"/>
      <c r="AJ34" s="668"/>
      <c r="AK34" s="668"/>
      <c r="AL34" s="668"/>
      <c r="AM34" s="668"/>
      <c r="AN34" s="668"/>
      <c r="AO34" s="668"/>
      <c r="AP34" s="668"/>
      <c r="AQ34" s="668"/>
      <c r="AR34" s="668"/>
      <c r="AS34" s="668"/>
      <c r="AT34" s="668"/>
      <c r="AU34" s="668"/>
      <c r="AV34" s="668"/>
      <c r="AW34" s="668"/>
      <c r="AX34" s="668"/>
      <c r="AY34" s="668"/>
      <c r="AZ34" s="668"/>
      <c r="BA34" s="668"/>
      <c r="BB34" s="668"/>
      <c r="BC34" s="668"/>
      <c r="BD34" s="668"/>
      <c r="BE34" s="668"/>
      <c r="BF34" s="668"/>
      <c r="BG34" s="668"/>
      <c r="BH34" s="668"/>
      <c r="BI34" s="668"/>
      <c r="BJ34" s="668"/>
      <c r="BK34" s="668"/>
      <c r="BL34" s="668"/>
      <c r="BM34" s="668"/>
      <c r="BN34" s="668"/>
      <c r="BO34" s="668"/>
      <c r="BP34" s="668"/>
      <c r="BQ34" s="668"/>
      <c r="BR34" s="668"/>
      <c r="BS34" s="668"/>
      <c r="BT34" s="668"/>
      <c r="BU34" s="668"/>
      <c r="BV34" s="668"/>
      <c r="BW34" s="668"/>
      <c r="BX34" s="668"/>
      <c r="BY34" s="668"/>
      <c r="BZ34" s="668"/>
      <c r="CA34" s="668"/>
    </row>
    <row r="35" spans="1:79" hidden="1" outlineLevel="1" x14ac:dyDescent="0.25">
      <c r="A35" s="655"/>
      <c r="B35" s="570"/>
      <c r="C35" s="570"/>
      <c r="D35" s="570"/>
      <c r="E35" s="570" t="s">
        <v>1329</v>
      </c>
      <c r="F35" s="655" t="s">
        <v>870</v>
      </c>
      <c r="G35" s="665"/>
      <c r="H35" s="665"/>
      <c r="I35" s="665"/>
      <c r="J35" s="666"/>
      <c r="K35" s="666"/>
      <c r="L35" s="666"/>
      <c r="M35" s="666"/>
      <c r="N35" s="666"/>
      <c r="O35" s="666"/>
      <c r="P35" s="666"/>
      <c r="Q35" s="666"/>
      <c r="R35" s="666"/>
      <c r="S35" s="667">
        <v>0</v>
      </c>
      <c r="T35" s="667">
        <v>0</v>
      </c>
      <c r="U35" s="667">
        <v>0</v>
      </c>
      <c r="V35" s="667">
        <v>0</v>
      </c>
      <c r="W35" s="667">
        <v>0</v>
      </c>
      <c r="X35" s="667">
        <v>0</v>
      </c>
      <c r="Y35" s="667">
        <v>0</v>
      </c>
      <c r="Z35" s="667">
        <v>0</v>
      </c>
      <c r="AA35" s="667">
        <v>0</v>
      </c>
      <c r="AB35" s="667">
        <v>0</v>
      </c>
      <c r="AC35" s="667">
        <v>0</v>
      </c>
      <c r="AD35" s="668">
        <v>0</v>
      </c>
      <c r="AE35" s="667">
        <v>0</v>
      </c>
      <c r="AF35" s="667">
        <v>0</v>
      </c>
      <c r="AG35" s="668">
        <v>0</v>
      </c>
      <c r="AH35" s="668"/>
      <c r="AI35" s="668"/>
      <c r="AJ35" s="668"/>
      <c r="AK35" s="668"/>
      <c r="AL35" s="668"/>
      <c r="AM35" s="668"/>
      <c r="AN35" s="668"/>
      <c r="AO35" s="668"/>
      <c r="AP35" s="668"/>
      <c r="AQ35" s="668"/>
      <c r="AR35" s="668"/>
      <c r="AS35" s="668"/>
      <c r="AT35" s="668"/>
      <c r="AU35" s="668"/>
      <c r="AV35" s="668"/>
      <c r="AW35" s="668"/>
      <c r="AX35" s="668"/>
      <c r="AY35" s="668"/>
      <c r="AZ35" s="668"/>
      <c r="BA35" s="668"/>
      <c r="BB35" s="668"/>
      <c r="BC35" s="668"/>
      <c r="BD35" s="668"/>
      <c r="BE35" s="668"/>
      <c r="BF35" s="668"/>
      <c r="BG35" s="668"/>
      <c r="BH35" s="668"/>
      <c r="BI35" s="668"/>
      <c r="BJ35" s="668"/>
      <c r="BK35" s="668"/>
      <c r="BL35" s="668"/>
      <c r="BM35" s="668"/>
      <c r="BN35" s="668"/>
      <c r="BO35" s="668"/>
      <c r="BP35" s="668"/>
      <c r="BQ35" s="668"/>
      <c r="BR35" s="668"/>
      <c r="BS35" s="668"/>
      <c r="BT35" s="668"/>
      <c r="BU35" s="668"/>
      <c r="BV35" s="668"/>
      <c r="BW35" s="668"/>
      <c r="BX35" s="668"/>
      <c r="BY35" s="668"/>
      <c r="BZ35" s="668"/>
      <c r="CA35" s="668"/>
    </row>
    <row r="36" spans="1:79" s="740" customFormat="1" hidden="1" outlineLevel="1" x14ac:dyDescent="0.25">
      <c r="A36" s="695"/>
      <c r="B36" s="700"/>
      <c r="C36" s="700"/>
      <c r="D36" s="700"/>
      <c r="E36" s="570" t="s">
        <v>1330</v>
      </c>
      <c r="F36" s="695" t="s">
        <v>590</v>
      </c>
      <c r="G36" s="696"/>
      <c r="H36" s="696"/>
      <c r="I36" s="696"/>
      <c r="J36" s="697"/>
      <c r="K36" s="697"/>
      <c r="L36" s="697"/>
      <c r="M36" s="697"/>
      <c r="N36" s="697"/>
      <c r="O36" s="697"/>
      <c r="P36" s="697"/>
      <c r="Q36" s="697"/>
      <c r="R36" s="697"/>
      <c r="S36" s="697"/>
      <c r="T36" s="697"/>
      <c r="U36" s="697"/>
      <c r="V36" s="697"/>
      <c r="W36" s="697"/>
      <c r="X36" s="697"/>
      <c r="Y36" s="697"/>
      <c r="Z36" s="697"/>
      <c r="AA36" s="697"/>
      <c r="AB36" s="697"/>
      <c r="AC36" s="697"/>
      <c r="AD36" s="698"/>
      <c r="AE36" s="697"/>
      <c r="AF36" s="697"/>
      <c r="AG36" s="698"/>
      <c r="AH36" s="698"/>
      <c r="AI36" s="698"/>
      <c r="AJ36" s="698"/>
      <c r="AK36" s="698"/>
      <c r="AL36" s="698"/>
      <c r="AM36" s="698"/>
      <c r="AN36" s="698"/>
      <c r="AO36" s="698"/>
      <c r="AP36" s="698"/>
      <c r="AQ36" s="698"/>
      <c r="AR36" s="698"/>
      <c r="AS36" s="698"/>
      <c r="AT36" s="698"/>
      <c r="AU36" s="698"/>
      <c r="AV36" s="698"/>
      <c r="AW36" s="698"/>
      <c r="AX36" s="698"/>
      <c r="AY36" s="698"/>
      <c r="AZ36" s="698"/>
      <c r="BA36" s="698"/>
      <c r="BB36" s="698"/>
      <c r="BC36" s="698"/>
      <c r="BD36" s="698"/>
      <c r="BE36" s="698"/>
      <c r="BF36" s="698"/>
      <c r="BG36" s="698"/>
      <c r="BH36" s="698"/>
      <c r="BI36" s="698"/>
      <c r="BJ36" s="698"/>
      <c r="BK36" s="698"/>
      <c r="BL36" s="698"/>
      <c r="BM36" s="698"/>
      <c r="BN36" s="698"/>
      <c r="BO36" s="698"/>
      <c r="BP36" s="698"/>
      <c r="BQ36" s="698"/>
      <c r="BR36" s="698"/>
      <c r="BS36" s="698"/>
      <c r="BT36" s="698"/>
      <c r="BU36" s="698"/>
      <c r="BV36" s="698"/>
      <c r="BW36" s="698"/>
      <c r="BX36" s="698"/>
      <c r="BY36" s="698"/>
      <c r="BZ36" s="698"/>
      <c r="CA36" s="698"/>
    </row>
    <row r="37" spans="1:79" hidden="1" outlineLevel="1" x14ac:dyDescent="0.25">
      <c r="A37" s="691"/>
      <c r="B37" s="693"/>
      <c r="C37" s="693"/>
      <c r="D37" s="693"/>
      <c r="E37" s="570" t="s">
        <v>645</v>
      </c>
      <c r="F37" s="691" t="s">
        <v>645</v>
      </c>
      <c r="G37" s="692"/>
      <c r="H37" s="692"/>
      <c r="I37" s="692"/>
      <c r="J37" s="692"/>
      <c r="K37" s="692"/>
      <c r="L37" s="692"/>
      <c r="M37" s="692"/>
      <c r="N37" s="692"/>
      <c r="O37" s="692"/>
      <c r="P37" s="692"/>
      <c r="Q37" s="692"/>
      <c r="R37" s="692"/>
      <c r="S37" s="692"/>
      <c r="T37" s="692"/>
      <c r="U37" s="692"/>
      <c r="V37" s="692"/>
      <c r="W37" s="692"/>
      <c r="X37" s="692"/>
      <c r="Y37" s="692"/>
      <c r="Z37" s="692"/>
      <c r="AA37" s="692"/>
      <c r="AB37" s="692"/>
      <c r="AC37" s="692"/>
      <c r="AD37" s="692"/>
      <c r="AE37" s="692"/>
      <c r="AF37" s="692"/>
      <c r="AG37" s="692"/>
      <c r="AH37" s="692"/>
      <c r="AI37" s="692"/>
      <c r="AJ37" s="692"/>
      <c r="AK37" s="692"/>
      <c r="AL37" s="692"/>
      <c r="AM37" s="692"/>
      <c r="AN37" s="692"/>
      <c r="AO37" s="692"/>
      <c r="AP37" s="692"/>
      <c r="AQ37" s="692"/>
      <c r="AR37" s="692"/>
      <c r="AS37" s="692"/>
      <c r="AT37" s="692"/>
      <c r="AU37" s="692"/>
      <c r="AV37" s="692"/>
      <c r="AW37" s="692"/>
      <c r="AX37" s="692"/>
      <c r="AY37" s="692"/>
      <c r="AZ37" s="692"/>
      <c r="BA37" s="692"/>
      <c r="BB37" s="692"/>
      <c r="BC37" s="692"/>
      <c r="BD37" s="692"/>
      <c r="BE37" s="692"/>
      <c r="BF37" s="692"/>
      <c r="BG37" s="692"/>
      <c r="BH37" s="692"/>
      <c r="BI37" s="692"/>
      <c r="BJ37" s="692"/>
      <c r="BK37" s="692"/>
      <c r="BL37" s="692"/>
      <c r="BM37" s="692"/>
      <c r="BN37" s="692"/>
      <c r="BO37" s="692"/>
      <c r="BP37" s="692"/>
      <c r="BQ37" s="692"/>
      <c r="BR37" s="692"/>
      <c r="BS37" s="692"/>
      <c r="BT37" s="692"/>
      <c r="BU37" s="692"/>
      <c r="BV37" s="692"/>
      <c r="BW37" s="692"/>
      <c r="BX37" s="692"/>
      <c r="BY37" s="692"/>
      <c r="BZ37" s="692"/>
      <c r="CA37" s="692"/>
    </row>
    <row r="38" spans="1:79" hidden="1" outlineLevel="1" x14ac:dyDescent="0.25">
      <c r="A38" s="656"/>
      <c r="B38" s="223"/>
      <c r="C38" s="223"/>
      <c r="D38" s="223"/>
      <c r="E38" s="570" t="s">
        <v>1330</v>
      </c>
      <c r="F38" s="656" t="s">
        <v>858</v>
      </c>
      <c r="G38" s="663"/>
      <c r="H38" s="663"/>
      <c r="I38" s="663"/>
      <c r="J38" s="663"/>
      <c r="K38" s="663"/>
      <c r="L38" s="663"/>
      <c r="M38" s="663"/>
      <c r="N38" s="663"/>
      <c r="O38" s="663"/>
      <c r="P38" s="663"/>
      <c r="Q38" s="663"/>
      <c r="R38" s="663"/>
      <c r="S38" s="663">
        <v>0</v>
      </c>
      <c r="T38" s="663">
        <v>0</v>
      </c>
      <c r="U38" s="663">
        <v>0</v>
      </c>
      <c r="V38" s="663">
        <v>0</v>
      </c>
      <c r="W38" s="663">
        <v>0</v>
      </c>
      <c r="X38" s="663">
        <v>0</v>
      </c>
      <c r="Y38" s="663">
        <v>0</v>
      </c>
      <c r="Z38" s="663">
        <v>0</v>
      </c>
      <c r="AA38" s="663">
        <v>0</v>
      </c>
      <c r="AB38" s="663">
        <v>0</v>
      </c>
      <c r="AC38" s="663">
        <v>0</v>
      </c>
      <c r="AD38" s="663">
        <v>0</v>
      </c>
      <c r="AE38" s="663">
        <v>0</v>
      </c>
      <c r="AF38" s="663">
        <v>0</v>
      </c>
      <c r="AG38" s="663">
        <v>0</v>
      </c>
      <c r="AH38" s="663"/>
      <c r="AI38" s="663"/>
      <c r="AJ38" s="663"/>
      <c r="AK38" s="663"/>
      <c r="AL38" s="663"/>
      <c r="AM38" s="663"/>
      <c r="AN38" s="663"/>
      <c r="AO38" s="663"/>
      <c r="AP38" s="663"/>
      <c r="AQ38" s="663"/>
      <c r="AR38" s="663"/>
      <c r="AS38" s="663"/>
      <c r="AT38" s="663"/>
      <c r="AU38" s="663"/>
      <c r="AV38" s="663"/>
      <c r="AW38" s="663"/>
      <c r="AX38" s="663"/>
      <c r="AY38" s="663"/>
      <c r="AZ38" s="663"/>
      <c r="BA38" s="663"/>
      <c r="BB38" s="663"/>
      <c r="BC38" s="663"/>
      <c r="BD38" s="663"/>
      <c r="BE38" s="663"/>
      <c r="BF38" s="663"/>
      <c r="BG38" s="663"/>
      <c r="BH38" s="663"/>
      <c r="BI38" s="663"/>
      <c r="BJ38" s="663"/>
      <c r="BK38" s="663"/>
      <c r="BL38" s="663"/>
      <c r="BM38" s="663"/>
      <c r="BN38" s="663"/>
      <c r="BO38" s="663"/>
      <c r="BP38" s="663"/>
      <c r="BQ38" s="663"/>
      <c r="BR38" s="663"/>
      <c r="BS38" s="663"/>
      <c r="BT38" s="663"/>
      <c r="BU38" s="663"/>
      <c r="BV38" s="663"/>
      <c r="BW38" s="663"/>
      <c r="BX38" s="663"/>
      <c r="BY38" s="663"/>
      <c r="BZ38" s="663"/>
      <c r="CA38" s="663"/>
    </row>
    <row r="39" spans="1:79" hidden="1" outlineLevel="1" x14ac:dyDescent="0.25">
      <c r="A39" s="656"/>
      <c r="B39" s="223"/>
      <c r="C39" s="223"/>
      <c r="D39" s="223"/>
      <c r="E39" s="570" t="s">
        <v>645</v>
      </c>
      <c r="F39" s="656" t="s">
        <v>859</v>
      </c>
      <c r="G39" s="663"/>
      <c r="H39" s="663"/>
      <c r="I39" s="663"/>
      <c r="J39" s="663"/>
      <c r="K39" s="663"/>
      <c r="L39" s="663"/>
      <c r="M39" s="663"/>
      <c r="N39" s="663"/>
      <c r="O39" s="663"/>
      <c r="P39" s="663"/>
      <c r="Q39" s="663"/>
      <c r="R39" s="663"/>
      <c r="S39" s="663">
        <v>0</v>
      </c>
      <c r="T39" s="663">
        <v>0</v>
      </c>
      <c r="U39" s="663">
        <v>0</v>
      </c>
      <c r="V39" s="663">
        <v>0</v>
      </c>
      <c r="W39" s="663">
        <v>0</v>
      </c>
      <c r="X39" s="663">
        <v>0</v>
      </c>
      <c r="Y39" s="663">
        <v>0</v>
      </c>
      <c r="Z39" s="663">
        <v>0</v>
      </c>
      <c r="AA39" s="663">
        <v>0</v>
      </c>
      <c r="AB39" s="663">
        <v>0</v>
      </c>
      <c r="AC39" s="663">
        <v>0</v>
      </c>
      <c r="AD39" s="663">
        <v>0</v>
      </c>
      <c r="AE39" s="663">
        <v>0</v>
      </c>
      <c r="AF39" s="663">
        <v>0</v>
      </c>
      <c r="AG39" s="663">
        <v>0</v>
      </c>
      <c r="AH39" s="663"/>
      <c r="AI39" s="663"/>
      <c r="AJ39" s="663"/>
      <c r="AK39" s="663"/>
      <c r="AL39" s="663"/>
      <c r="AM39" s="663"/>
      <c r="AN39" s="663"/>
      <c r="AO39" s="663"/>
      <c r="AP39" s="663"/>
      <c r="AQ39" s="663"/>
      <c r="AR39" s="663"/>
      <c r="AS39" s="663"/>
      <c r="AT39" s="663"/>
      <c r="AU39" s="663"/>
      <c r="AV39" s="663"/>
      <c r="AW39" s="663"/>
      <c r="AX39" s="663"/>
      <c r="AY39" s="663"/>
      <c r="AZ39" s="663"/>
      <c r="BA39" s="663"/>
      <c r="BB39" s="663"/>
      <c r="BC39" s="663"/>
      <c r="BD39" s="663"/>
      <c r="BE39" s="663"/>
      <c r="BF39" s="663"/>
      <c r="BG39" s="663"/>
      <c r="BH39" s="663"/>
      <c r="BI39" s="663"/>
      <c r="BJ39" s="663"/>
      <c r="BK39" s="663"/>
      <c r="BL39" s="663"/>
      <c r="BM39" s="663"/>
      <c r="BN39" s="663"/>
      <c r="BO39" s="663"/>
      <c r="BP39" s="663"/>
      <c r="BQ39" s="663"/>
      <c r="BR39" s="663"/>
      <c r="BS39" s="663"/>
      <c r="BT39" s="663"/>
      <c r="BU39" s="663"/>
      <c r="BV39" s="663"/>
      <c r="BW39" s="663"/>
      <c r="BX39" s="663"/>
      <c r="BY39" s="663"/>
      <c r="BZ39" s="663"/>
      <c r="CA39" s="663"/>
    </row>
    <row r="40" spans="1:79" hidden="1" outlineLevel="1" x14ac:dyDescent="0.25">
      <c r="A40" s="657"/>
      <c r="B40" s="223"/>
      <c r="C40" s="223"/>
      <c r="D40" s="223"/>
      <c r="E40" s="570" t="s">
        <v>49</v>
      </c>
      <c r="F40" s="657" t="s">
        <v>860</v>
      </c>
      <c r="G40" s="664">
        <f>SUM(G38:G39)</f>
        <v>0</v>
      </c>
      <c r="H40" s="664">
        <f t="shared" ref="H40:BO40" si="9">SUM(H38:H39)</f>
        <v>0</v>
      </c>
      <c r="I40" s="664">
        <f t="shared" si="9"/>
        <v>0</v>
      </c>
      <c r="J40" s="664">
        <f t="shared" si="9"/>
        <v>0</v>
      </c>
      <c r="K40" s="664">
        <f t="shared" si="9"/>
        <v>0</v>
      </c>
      <c r="L40" s="664">
        <f t="shared" si="9"/>
        <v>0</v>
      </c>
      <c r="M40" s="664">
        <f t="shared" si="9"/>
        <v>0</v>
      </c>
      <c r="N40" s="664">
        <f t="shared" si="9"/>
        <v>0</v>
      </c>
      <c r="O40" s="664">
        <f t="shared" si="9"/>
        <v>0</v>
      </c>
      <c r="P40" s="664">
        <f t="shared" si="9"/>
        <v>0</v>
      </c>
      <c r="Q40" s="664">
        <f t="shared" si="9"/>
        <v>0</v>
      </c>
      <c r="R40" s="664">
        <f t="shared" si="9"/>
        <v>0</v>
      </c>
      <c r="S40" s="664">
        <f t="shared" ref="S40:AA40" si="10">ROUND(SUM(S37:S39),5)</f>
        <v>0</v>
      </c>
      <c r="T40" s="664">
        <f t="shared" si="10"/>
        <v>0</v>
      </c>
      <c r="U40" s="664">
        <f t="shared" si="10"/>
        <v>0</v>
      </c>
      <c r="V40" s="664">
        <f t="shared" si="10"/>
        <v>0</v>
      </c>
      <c r="W40" s="664">
        <f t="shared" si="10"/>
        <v>0</v>
      </c>
      <c r="X40" s="664">
        <f t="shared" si="10"/>
        <v>0</v>
      </c>
      <c r="Y40" s="664">
        <f t="shared" si="10"/>
        <v>0</v>
      </c>
      <c r="Z40" s="664">
        <f t="shared" si="10"/>
        <v>0</v>
      </c>
      <c r="AA40" s="664">
        <f t="shared" si="10"/>
        <v>0</v>
      </c>
      <c r="AB40" s="664">
        <f>ROUND(SUM(AB37:AB39),5)</f>
        <v>0</v>
      </c>
      <c r="AC40" s="664">
        <f>ROUND(SUM(AC37:AC39),5)</f>
        <v>0</v>
      </c>
      <c r="AD40" s="664">
        <v>0</v>
      </c>
      <c r="AE40" s="664">
        <f>ROUND(SUM(AE37:AE39),5)</f>
        <v>0</v>
      </c>
      <c r="AF40" s="664">
        <f>ROUND(SUM(AF37:AF39),5)</f>
        <v>0</v>
      </c>
      <c r="AG40" s="664">
        <v>0</v>
      </c>
      <c r="AH40" s="664">
        <f t="shared" si="9"/>
        <v>0</v>
      </c>
      <c r="AI40" s="664">
        <f t="shared" si="9"/>
        <v>0</v>
      </c>
      <c r="AJ40" s="664">
        <f t="shared" si="9"/>
        <v>0</v>
      </c>
      <c r="AK40" s="664">
        <f t="shared" si="9"/>
        <v>0</v>
      </c>
      <c r="AL40" s="664">
        <f t="shared" si="9"/>
        <v>0</v>
      </c>
      <c r="AM40" s="664">
        <f t="shared" si="9"/>
        <v>0</v>
      </c>
      <c r="AN40" s="664">
        <f t="shared" si="9"/>
        <v>0</v>
      </c>
      <c r="AO40" s="664">
        <f t="shared" si="9"/>
        <v>0</v>
      </c>
      <c r="AP40" s="664">
        <f t="shared" si="9"/>
        <v>0</v>
      </c>
      <c r="AQ40" s="664">
        <f t="shared" si="9"/>
        <v>0</v>
      </c>
      <c r="AR40" s="664">
        <f t="shared" si="9"/>
        <v>0</v>
      </c>
      <c r="AS40" s="664">
        <f t="shared" si="9"/>
        <v>0</v>
      </c>
      <c r="AT40" s="664">
        <f t="shared" si="9"/>
        <v>0</v>
      </c>
      <c r="AU40" s="664">
        <f t="shared" si="9"/>
        <v>0</v>
      </c>
      <c r="AV40" s="664">
        <f t="shared" si="9"/>
        <v>0</v>
      </c>
      <c r="AW40" s="664">
        <f t="shared" si="9"/>
        <v>0</v>
      </c>
      <c r="AX40" s="664">
        <f t="shared" si="9"/>
        <v>0</v>
      </c>
      <c r="AY40" s="664">
        <f t="shared" si="9"/>
        <v>0</v>
      </c>
      <c r="AZ40" s="664">
        <f t="shared" si="9"/>
        <v>0</v>
      </c>
      <c r="BA40" s="664">
        <f t="shared" si="9"/>
        <v>0</v>
      </c>
      <c r="BB40" s="664">
        <f t="shared" si="9"/>
        <v>0</v>
      </c>
      <c r="BC40" s="664">
        <f t="shared" si="9"/>
        <v>0</v>
      </c>
      <c r="BD40" s="664">
        <f t="shared" si="9"/>
        <v>0</v>
      </c>
      <c r="BE40" s="664">
        <f t="shared" si="9"/>
        <v>0</v>
      </c>
      <c r="BF40" s="664">
        <f t="shared" si="9"/>
        <v>0</v>
      </c>
      <c r="BG40" s="664">
        <f t="shared" si="9"/>
        <v>0</v>
      </c>
      <c r="BH40" s="664">
        <f t="shared" si="9"/>
        <v>0</v>
      </c>
      <c r="BI40" s="664">
        <f t="shared" si="9"/>
        <v>0</v>
      </c>
      <c r="BJ40" s="664">
        <f t="shared" si="9"/>
        <v>0</v>
      </c>
      <c r="BK40" s="664">
        <f t="shared" si="9"/>
        <v>0</v>
      </c>
      <c r="BL40" s="664">
        <f t="shared" si="9"/>
        <v>0</v>
      </c>
      <c r="BM40" s="664">
        <f t="shared" si="9"/>
        <v>0</v>
      </c>
      <c r="BN40" s="664">
        <f t="shared" si="9"/>
        <v>0</v>
      </c>
      <c r="BO40" s="664">
        <f t="shared" si="9"/>
        <v>0</v>
      </c>
      <c r="BP40" s="664">
        <f t="shared" ref="BP40:CA40" si="11">SUM(BP38:BP39)</f>
        <v>0</v>
      </c>
      <c r="BQ40" s="664">
        <f t="shared" si="11"/>
        <v>0</v>
      </c>
      <c r="BR40" s="664">
        <f t="shared" si="11"/>
        <v>0</v>
      </c>
      <c r="BS40" s="664">
        <f t="shared" si="11"/>
        <v>0</v>
      </c>
      <c r="BT40" s="664">
        <f t="shared" si="11"/>
        <v>0</v>
      </c>
      <c r="BU40" s="664">
        <f t="shared" si="11"/>
        <v>0</v>
      </c>
      <c r="BV40" s="664">
        <f t="shared" si="11"/>
        <v>0</v>
      </c>
      <c r="BW40" s="664">
        <f t="shared" si="11"/>
        <v>0</v>
      </c>
      <c r="BX40" s="664">
        <f t="shared" si="11"/>
        <v>0</v>
      </c>
      <c r="BY40" s="664">
        <f t="shared" si="11"/>
        <v>0</v>
      </c>
      <c r="BZ40" s="664">
        <f t="shared" si="11"/>
        <v>0</v>
      </c>
      <c r="CA40" s="664">
        <f t="shared" si="11"/>
        <v>0</v>
      </c>
    </row>
    <row r="41" spans="1:79" s="740" customFormat="1" hidden="1" outlineLevel="1" x14ac:dyDescent="0.25">
      <c r="A41" s="656"/>
      <c r="B41" s="503"/>
      <c r="C41" s="503"/>
      <c r="D41" s="503"/>
      <c r="E41" s="570" t="s">
        <v>1330</v>
      </c>
      <c r="F41" s="656" t="s">
        <v>871</v>
      </c>
      <c r="G41" s="669"/>
      <c r="H41" s="669"/>
      <c r="I41" s="669"/>
      <c r="J41" s="670"/>
      <c r="K41" s="670"/>
      <c r="L41" s="670"/>
      <c r="M41" s="670"/>
      <c r="N41" s="670"/>
      <c r="O41" s="670"/>
      <c r="P41" s="670"/>
      <c r="Q41" s="670"/>
      <c r="R41" s="670"/>
      <c r="S41" s="671">
        <v>0</v>
      </c>
      <c r="T41" s="671">
        <v>0</v>
      </c>
      <c r="U41" s="671">
        <v>0</v>
      </c>
      <c r="V41" s="671">
        <v>0</v>
      </c>
      <c r="W41" s="671">
        <v>0</v>
      </c>
      <c r="X41" s="671">
        <v>0</v>
      </c>
      <c r="Y41" s="671">
        <v>0</v>
      </c>
      <c r="Z41" s="671">
        <v>0</v>
      </c>
      <c r="AA41" s="671">
        <v>0</v>
      </c>
      <c r="AB41" s="671">
        <v>0</v>
      </c>
      <c r="AC41" s="671">
        <v>0</v>
      </c>
      <c r="AD41" s="672">
        <v>0</v>
      </c>
      <c r="AE41" s="671">
        <v>0</v>
      </c>
      <c r="AF41" s="671">
        <v>0</v>
      </c>
      <c r="AG41" s="672">
        <v>0</v>
      </c>
      <c r="AH41" s="672"/>
      <c r="AI41" s="672"/>
      <c r="AJ41" s="672"/>
      <c r="AK41" s="672"/>
      <c r="AL41" s="672"/>
      <c r="AM41" s="672"/>
      <c r="AN41" s="672"/>
      <c r="AO41" s="672"/>
      <c r="AP41" s="672"/>
      <c r="AQ41" s="672"/>
      <c r="AR41" s="672"/>
      <c r="AS41" s="672"/>
      <c r="AT41" s="672"/>
      <c r="AU41" s="672"/>
      <c r="AV41" s="672"/>
      <c r="AW41" s="672"/>
      <c r="AX41" s="672"/>
      <c r="AY41" s="672"/>
      <c r="AZ41" s="672"/>
      <c r="BA41" s="672"/>
      <c r="BB41" s="672"/>
      <c r="BC41" s="672"/>
      <c r="BD41" s="672"/>
      <c r="BE41" s="672"/>
      <c r="BF41" s="672"/>
      <c r="BG41" s="672"/>
      <c r="BH41" s="672"/>
      <c r="BI41" s="672"/>
      <c r="BJ41" s="672"/>
      <c r="BK41" s="672"/>
      <c r="BL41" s="672"/>
      <c r="BM41" s="672"/>
      <c r="BN41" s="672"/>
      <c r="BO41" s="672"/>
      <c r="BP41" s="672"/>
      <c r="BQ41" s="672"/>
      <c r="BR41" s="672"/>
      <c r="BS41" s="672"/>
      <c r="BT41" s="672"/>
      <c r="BU41" s="672"/>
      <c r="BV41" s="672"/>
      <c r="BW41" s="672"/>
      <c r="BX41" s="672"/>
      <c r="BY41" s="672"/>
      <c r="BZ41" s="672"/>
      <c r="CA41" s="672"/>
    </row>
    <row r="42" spans="1:79" s="740" customFormat="1" hidden="1" outlineLevel="1" x14ac:dyDescent="0.25">
      <c r="A42" s="656"/>
      <c r="B42" s="503"/>
      <c r="C42" s="503"/>
      <c r="D42" s="503"/>
      <c r="E42" s="570" t="s">
        <v>1076</v>
      </c>
      <c r="F42" s="656" t="s">
        <v>872</v>
      </c>
      <c r="G42" s="669"/>
      <c r="H42" s="669"/>
      <c r="I42" s="669"/>
      <c r="J42" s="670"/>
      <c r="K42" s="670"/>
      <c r="L42" s="670"/>
      <c r="M42" s="670"/>
      <c r="N42" s="670"/>
      <c r="O42" s="670"/>
      <c r="P42" s="670"/>
      <c r="Q42" s="670"/>
      <c r="R42" s="670"/>
      <c r="S42" s="671">
        <v>0</v>
      </c>
      <c r="T42" s="671">
        <v>0</v>
      </c>
      <c r="U42" s="671">
        <v>0</v>
      </c>
      <c r="V42" s="671">
        <v>0</v>
      </c>
      <c r="W42" s="671">
        <v>0</v>
      </c>
      <c r="X42" s="671">
        <v>0</v>
      </c>
      <c r="Y42" s="671">
        <v>0</v>
      </c>
      <c r="Z42" s="671">
        <v>0</v>
      </c>
      <c r="AA42" s="671">
        <v>0</v>
      </c>
      <c r="AB42" s="671">
        <v>0</v>
      </c>
      <c r="AC42" s="671">
        <v>0</v>
      </c>
      <c r="AD42" s="672">
        <v>0</v>
      </c>
      <c r="AE42" s="671">
        <v>0</v>
      </c>
      <c r="AF42" s="671">
        <v>0</v>
      </c>
      <c r="AG42" s="672">
        <v>0</v>
      </c>
      <c r="AH42" s="672"/>
      <c r="AI42" s="672"/>
      <c r="AJ42" s="672"/>
      <c r="AK42" s="672"/>
      <c r="AL42" s="672"/>
      <c r="AM42" s="672"/>
      <c r="AN42" s="672"/>
      <c r="AO42" s="672"/>
      <c r="AP42" s="672"/>
      <c r="AQ42" s="672"/>
      <c r="AR42" s="672"/>
      <c r="AS42" s="672"/>
      <c r="AT42" s="672"/>
      <c r="AU42" s="672"/>
      <c r="AV42" s="672"/>
      <c r="AW42" s="672"/>
      <c r="AX42" s="672"/>
      <c r="AY42" s="672"/>
      <c r="AZ42" s="672"/>
      <c r="BA42" s="672"/>
      <c r="BB42" s="672"/>
      <c r="BC42" s="672"/>
      <c r="BD42" s="672"/>
      <c r="BE42" s="672"/>
      <c r="BF42" s="672"/>
      <c r="BG42" s="672"/>
      <c r="BH42" s="672"/>
      <c r="BI42" s="672"/>
      <c r="BJ42" s="672"/>
      <c r="BK42" s="672"/>
      <c r="BL42" s="672"/>
      <c r="BM42" s="672"/>
      <c r="BN42" s="672"/>
      <c r="BO42" s="672"/>
      <c r="BP42" s="672"/>
      <c r="BQ42" s="672"/>
      <c r="BR42" s="672"/>
      <c r="BS42" s="672"/>
      <c r="BT42" s="672"/>
      <c r="BU42" s="672"/>
      <c r="BV42" s="672"/>
      <c r="BW42" s="672"/>
      <c r="BX42" s="672"/>
      <c r="BY42" s="672"/>
      <c r="BZ42" s="672"/>
      <c r="CA42" s="672"/>
    </row>
    <row r="43" spans="1:79" s="740" customFormat="1" hidden="1" outlineLevel="1" x14ac:dyDescent="0.25">
      <c r="A43" s="656"/>
      <c r="B43" s="503"/>
      <c r="C43" s="503"/>
      <c r="D43" s="503"/>
      <c r="E43" s="570" t="s">
        <v>1331</v>
      </c>
      <c r="F43" s="656" t="s">
        <v>873</v>
      </c>
      <c r="G43" s="669"/>
      <c r="H43" s="669"/>
      <c r="I43" s="669"/>
      <c r="J43" s="670"/>
      <c r="K43" s="670"/>
      <c r="L43" s="670"/>
      <c r="M43" s="670"/>
      <c r="N43" s="670"/>
      <c r="O43" s="670"/>
      <c r="P43" s="670"/>
      <c r="Q43" s="670"/>
      <c r="R43" s="670"/>
      <c r="S43" s="671">
        <v>0</v>
      </c>
      <c r="T43" s="671">
        <v>0</v>
      </c>
      <c r="U43" s="671">
        <v>0</v>
      </c>
      <c r="V43" s="671">
        <v>0</v>
      </c>
      <c r="W43" s="671">
        <v>0</v>
      </c>
      <c r="X43" s="671">
        <v>0</v>
      </c>
      <c r="Y43" s="671">
        <v>0</v>
      </c>
      <c r="Z43" s="671">
        <v>0</v>
      </c>
      <c r="AA43" s="671">
        <v>0</v>
      </c>
      <c r="AB43" s="671">
        <v>0</v>
      </c>
      <c r="AC43" s="671">
        <v>0</v>
      </c>
      <c r="AD43" s="672">
        <v>0</v>
      </c>
      <c r="AE43" s="671">
        <v>0</v>
      </c>
      <c r="AF43" s="671">
        <v>0</v>
      </c>
      <c r="AG43" s="672">
        <v>0</v>
      </c>
      <c r="AH43" s="672"/>
      <c r="AI43" s="672"/>
      <c r="AJ43" s="672"/>
      <c r="AK43" s="672"/>
      <c r="AL43" s="672"/>
      <c r="AM43" s="672"/>
      <c r="AN43" s="672"/>
      <c r="AO43" s="672"/>
      <c r="AP43" s="672"/>
      <c r="AQ43" s="672"/>
      <c r="AR43" s="672"/>
      <c r="AS43" s="672"/>
      <c r="AT43" s="672"/>
      <c r="AU43" s="672"/>
      <c r="AV43" s="672"/>
      <c r="AW43" s="672"/>
      <c r="AX43" s="672"/>
      <c r="AY43" s="672"/>
      <c r="AZ43" s="672"/>
      <c r="BA43" s="672"/>
      <c r="BB43" s="672"/>
      <c r="BC43" s="672"/>
      <c r="BD43" s="672"/>
      <c r="BE43" s="672"/>
      <c r="BF43" s="672"/>
      <c r="BG43" s="672"/>
      <c r="BH43" s="672"/>
      <c r="BI43" s="672"/>
      <c r="BJ43" s="672"/>
      <c r="BK43" s="672"/>
      <c r="BL43" s="672"/>
      <c r="BM43" s="672"/>
      <c r="BN43" s="672"/>
      <c r="BO43" s="672"/>
      <c r="BP43" s="672"/>
      <c r="BQ43" s="672"/>
      <c r="BR43" s="672"/>
      <c r="BS43" s="672"/>
      <c r="BT43" s="672"/>
      <c r="BU43" s="672"/>
      <c r="BV43" s="672"/>
      <c r="BW43" s="672"/>
      <c r="BX43" s="672"/>
      <c r="BY43" s="672"/>
      <c r="BZ43" s="672"/>
      <c r="CA43" s="672"/>
    </row>
    <row r="44" spans="1:79" s="42" customFormat="1" hidden="1" outlineLevel="1" x14ac:dyDescent="0.25">
      <c r="A44" s="656"/>
      <c r="B44" s="79"/>
      <c r="C44" s="79"/>
      <c r="D44" s="79"/>
      <c r="E44" s="570" t="s">
        <v>1357</v>
      </c>
      <c r="F44" s="656" t="s">
        <v>605</v>
      </c>
      <c r="G44" s="673"/>
      <c r="H44" s="673"/>
      <c r="I44" s="673"/>
      <c r="J44" s="674"/>
      <c r="K44" s="674"/>
      <c r="L44" s="674"/>
      <c r="M44" s="674"/>
      <c r="N44" s="674"/>
      <c r="O44" s="674"/>
      <c r="P44" s="675"/>
      <c r="Q44" s="675"/>
      <c r="R44" s="675"/>
      <c r="S44" s="667">
        <v>0</v>
      </c>
      <c r="T44" s="667">
        <v>0</v>
      </c>
      <c r="U44" s="667">
        <v>446.96</v>
      </c>
      <c r="V44" s="667">
        <v>383.23</v>
      </c>
      <c r="W44" s="667">
        <v>0</v>
      </c>
      <c r="X44" s="667">
        <v>549.6</v>
      </c>
      <c r="Y44" s="667">
        <v>0</v>
      </c>
      <c r="Z44" s="667">
        <v>225.68</v>
      </c>
      <c r="AA44" s="667">
        <v>428.15</v>
      </c>
      <c r="AB44" s="667">
        <v>44.99</v>
      </c>
      <c r="AC44" s="667">
        <v>334.86</v>
      </c>
      <c r="AD44" s="668">
        <v>875.88</v>
      </c>
      <c r="AE44" s="667">
        <v>463.36</v>
      </c>
      <c r="AF44" s="667">
        <v>0</v>
      </c>
      <c r="AG44" s="668">
        <v>0</v>
      </c>
      <c r="AH44" s="668"/>
      <c r="AI44" s="668"/>
      <c r="AJ44" s="668"/>
      <c r="AK44" s="668"/>
      <c r="AL44" s="668"/>
      <c r="AM44" s="668"/>
      <c r="AN44" s="668"/>
      <c r="AO44" s="668"/>
      <c r="AP44" s="668"/>
      <c r="AQ44" s="668"/>
      <c r="AR44" s="668"/>
      <c r="AS44" s="668"/>
      <c r="AT44" s="668"/>
      <c r="AU44" s="668"/>
      <c r="AV44" s="668"/>
      <c r="AW44" s="668"/>
      <c r="AX44" s="668"/>
      <c r="AY44" s="668"/>
      <c r="AZ44" s="668"/>
      <c r="BA44" s="668"/>
      <c r="BB44" s="668"/>
      <c r="BC44" s="668"/>
      <c r="BD44" s="668"/>
      <c r="BE44" s="668"/>
      <c r="BF44" s="668"/>
      <c r="BG44" s="668"/>
      <c r="BH44" s="668"/>
      <c r="BI44" s="668"/>
      <c r="BJ44" s="668"/>
      <c r="BK44" s="668"/>
      <c r="BL44" s="668"/>
      <c r="BM44" s="668"/>
      <c r="BN44" s="668"/>
      <c r="BO44" s="668"/>
      <c r="BP44" s="668"/>
      <c r="BQ44" s="668"/>
      <c r="BR44" s="668"/>
      <c r="BS44" s="668"/>
      <c r="BT44" s="668"/>
      <c r="BU44" s="668"/>
      <c r="BV44" s="668"/>
      <c r="BW44" s="668"/>
      <c r="BX44" s="668"/>
      <c r="BY44" s="668"/>
      <c r="BZ44" s="668"/>
      <c r="CA44" s="668"/>
    </row>
    <row r="45" spans="1:79" s="42" customFormat="1" hidden="1" outlineLevel="1" x14ac:dyDescent="0.25">
      <c r="A45" s="656"/>
      <c r="B45" s="79"/>
      <c r="C45" s="79"/>
      <c r="D45" s="79"/>
      <c r="E45" s="570" t="s">
        <v>645</v>
      </c>
      <c r="F45" s="656" t="s">
        <v>606</v>
      </c>
      <c r="G45" s="673"/>
      <c r="H45" s="673"/>
      <c r="I45" s="673"/>
      <c r="J45" s="674"/>
      <c r="K45" s="674"/>
      <c r="L45" s="674"/>
      <c r="M45" s="674"/>
      <c r="N45" s="674"/>
      <c r="O45" s="674"/>
      <c r="P45" s="675"/>
      <c r="Q45" s="675"/>
      <c r="R45" s="675"/>
      <c r="S45" s="667">
        <v>602.86</v>
      </c>
      <c r="T45" s="667">
        <v>948.07</v>
      </c>
      <c r="U45" s="667">
        <v>1569.88</v>
      </c>
      <c r="V45" s="667">
        <v>3965.79</v>
      </c>
      <c r="W45" s="667">
        <v>3477.79</v>
      </c>
      <c r="X45" s="667">
        <v>4301.6499999999996</v>
      </c>
      <c r="Y45" s="667">
        <v>4874</v>
      </c>
      <c r="Z45" s="667">
        <v>5367.18</v>
      </c>
      <c r="AA45" s="667">
        <v>6001.4</v>
      </c>
      <c r="AB45" s="667">
        <v>5007.83</v>
      </c>
      <c r="AC45" s="667">
        <v>4021.79</v>
      </c>
      <c r="AD45" s="668">
        <v>5254.45</v>
      </c>
      <c r="AE45" s="667">
        <v>4228.78</v>
      </c>
      <c r="AF45" s="667">
        <v>3909.82</v>
      </c>
      <c r="AG45" s="668">
        <v>3593.95</v>
      </c>
      <c r="AH45" s="668"/>
      <c r="AI45" s="668"/>
      <c r="AJ45" s="668"/>
      <c r="AK45" s="668"/>
      <c r="AL45" s="668"/>
      <c r="AM45" s="668"/>
      <c r="AN45" s="668"/>
      <c r="AO45" s="668"/>
      <c r="AP45" s="668"/>
      <c r="AQ45" s="668"/>
      <c r="AR45" s="668"/>
      <c r="AS45" s="668"/>
      <c r="AT45" s="668"/>
      <c r="AU45" s="668"/>
      <c r="AV45" s="668"/>
      <c r="AW45" s="668"/>
      <c r="AX45" s="668"/>
      <c r="AY45" s="668"/>
      <c r="AZ45" s="668"/>
      <c r="BA45" s="668"/>
      <c r="BB45" s="668"/>
      <c r="BC45" s="668"/>
      <c r="BD45" s="668"/>
      <c r="BE45" s="668"/>
      <c r="BF45" s="668"/>
      <c r="BG45" s="668"/>
      <c r="BH45" s="668"/>
      <c r="BI45" s="668"/>
      <c r="BJ45" s="668"/>
      <c r="BK45" s="668"/>
      <c r="BL45" s="668"/>
      <c r="BM45" s="668"/>
      <c r="BN45" s="668"/>
      <c r="BO45" s="668"/>
      <c r="BP45" s="668"/>
      <c r="BQ45" s="668"/>
      <c r="BR45" s="668"/>
      <c r="BS45" s="668"/>
      <c r="BT45" s="668"/>
      <c r="BU45" s="668"/>
      <c r="BV45" s="668"/>
      <c r="BW45" s="668"/>
      <c r="BX45" s="668"/>
      <c r="BY45" s="668"/>
      <c r="BZ45" s="668"/>
      <c r="CA45" s="668"/>
    </row>
    <row r="46" spans="1:79" s="42" customFormat="1" hidden="1" outlineLevel="1" x14ac:dyDescent="0.25">
      <c r="A46" s="656"/>
      <c r="B46" s="79"/>
      <c r="C46" s="79"/>
      <c r="D46" s="79"/>
      <c r="E46" s="570" t="s">
        <v>1330</v>
      </c>
      <c r="F46" s="656" t="s">
        <v>607</v>
      </c>
      <c r="G46" s="673"/>
      <c r="H46" s="673"/>
      <c r="I46" s="673"/>
      <c r="J46" s="674"/>
      <c r="K46" s="674"/>
      <c r="L46" s="674"/>
      <c r="M46" s="674"/>
      <c r="N46" s="674"/>
      <c r="O46" s="674"/>
      <c r="P46" s="675"/>
      <c r="Q46" s="675"/>
      <c r="R46" s="675"/>
      <c r="S46" s="667">
        <v>12</v>
      </c>
      <c r="T46" s="667">
        <v>0</v>
      </c>
      <c r="U46" s="667">
        <v>0</v>
      </c>
      <c r="V46" s="667">
        <v>0</v>
      </c>
      <c r="W46" s="667">
        <v>0</v>
      </c>
      <c r="X46" s="667">
        <v>0</v>
      </c>
      <c r="Y46" s="667">
        <v>0</v>
      </c>
      <c r="Z46" s="667">
        <v>6.95</v>
      </c>
      <c r="AA46" s="667">
        <v>0</v>
      </c>
      <c r="AB46" s="667">
        <v>49</v>
      </c>
      <c r="AC46" s="667">
        <v>0</v>
      </c>
      <c r="AD46" s="668">
        <v>0</v>
      </c>
      <c r="AE46" s="667">
        <v>4.9800000000000004</v>
      </c>
      <c r="AF46" s="667">
        <v>4.9800000000000004</v>
      </c>
      <c r="AG46" s="668">
        <v>20</v>
      </c>
      <c r="AH46" s="668"/>
      <c r="AI46" s="668"/>
      <c r="AJ46" s="668"/>
      <c r="AK46" s="668"/>
      <c r="AL46" s="668"/>
      <c r="AM46" s="668"/>
      <c r="AN46" s="668"/>
      <c r="AO46" s="668"/>
      <c r="AP46" s="668"/>
      <c r="AQ46" s="668"/>
      <c r="AR46" s="668"/>
      <c r="AS46" s="668"/>
      <c r="AT46" s="668"/>
      <c r="AU46" s="668"/>
      <c r="AV46" s="668"/>
      <c r="AW46" s="668"/>
      <c r="AX46" s="668"/>
      <c r="AY46" s="668"/>
      <c r="AZ46" s="668"/>
      <c r="BA46" s="668"/>
      <c r="BB46" s="668"/>
      <c r="BC46" s="668"/>
      <c r="BD46" s="668"/>
      <c r="BE46" s="668"/>
      <c r="BF46" s="668"/>
      <c r="BG46" s="668"/>
      <c r="BH46" s="668"/>
      <c r="BI46" s="668"/>
      <c r="BJ46" s="668"/>
      <c r="BK46" s="668"/>
      <c r="BL46" s="668"/>
      <c r="BM46" s="668"/>
      <c r="BN46" s="668"/>
      <c r="BO46" s="668"/>
      <c r="BP46" s="668"/>
      <c r="BQ46" s="668"/>
      <c r="BR46" s="668"/>
      <c r="BS46" s="668"/>
      <c r="BT46" s="668"/>
      <c r="BU46" s="668"/>
      <c r="BV46" s="668"/>
      <c r="BW46" s="668"/>
      <c r="BX46" s="668"/>
      <c r="BY46" s="668"/>
      <c r="BZ46" s="668"/>
      <c r="CA46" s="668"/>
    </row>
    <row r="47" spans="1:79" s="451" customFormat="1" hidden="1" outlineLevel="1" x14ac:dyDescent="0.25">
      <c r="A47" s="656"/>
      <c r="B47" s="576"/>
      <c r="C47" s="576"/>
      <c r="D47" s="576"/>
      <c r="E47" s="570" t="s">
        <v>1330</v>
      </c>
      <c r="F47" s="656" t="s">
        <v>874</v>
      </c>
      <c r="G47" s="713">
        <v>584.71871083376618</v>
      </c>
      <c r="H47" s="713">
        <v>199.95674354459939</v>
      </c>
      <c r="I47" s="713">
        <v>681.46457791663852</v>
      </c>
      <c r="J47" s="686">
        <v>202.80438557471638</v>
      </c>
      <c r="K47" s="686">
        <v>409.86291309160555</v>
      </c>
      <c r="L47" s="686">
        <v>760.49798080810967</v>
      </c>
      <c r="M47" s="686">
        <v>742.83291275136605</v>
      </c>
      <c r="N47" s="686">
        <v>400.76711548879712</v>
      </c>
      <c r="O47" s="686">
        <v>328.843544199566</v>
      </c>
      <c r="P47" s="714">
        <v>693.82086036507428</v>
      </c>
      <c r="Q47" s="714">
        <v>403.8611553476602</v>
      </c>
      <c r="R47" s="714">
        <v>59.704192737510965</v>
      </c>
      <c r="S47" s="676">
        <v>0</v>
      </c>
      <c r="T47" s="676">
        <v>0</v>
      </c>
      <c r="U47" s="676">
        <v>0</v>
      </c>
      <c r="V47" s="676">
        <v>0</v>
      </c>
      <c r="W47" s="676">
        <v>0</v>
      </c>
      <c r="X47" s="676">
        <v>0</v>
      </c>
      <c r="Y47" s="676">
        <v>0</v>
      </c>
      <c r="Z47" s="676">
        <v>0</v>
      </c>
      <c r="AA47" s="676">
        <v>0</v>
      </c>
      <c r="AB47" s="676">
        <v>0</v>
      </c>
      <c r="AC47" s="676">
        <v>0</v>
      </c>
      <c r="AD47" s="677">
        <v>0</v>
      </c>
      <c r="AE47" s="676">
        <v>0</v>
      </c>
      <c r="AF47" s="676">
        <v>0</v>
      </c>
      <c r="AG47" s="677">
        <v>0</v>
      </c>
      <c r="AH47" s="677"/>
      <c r="AI47" s="677"/>
      <c r="AJ47" s="677"/>
      <c r="AK47" s="677"/>
      <c r="AL47" s="677"/>
      <c r="AM47" s="677"/>
      <c r="AN47" s="677"/>
      <c r="AO47" s="677"/>
      <c r="AP47" s="677"/>
      <c r="AQ47" s="677"/>
      <c r="AR47" s="677"/>
      <c r="AS47" s="677"/>
      <c r="AT47" s="677"/>
      <c r="AU47" s="677"/>
      <c r="AV47" s="677"/>
      <c r="AW47" s="677"/>
      <c r="AX47" s="677"/>
      <c r="AY47" s="677"/>
      <c r="AZ47" s="677"/>
      <c r="BA47" s="677"/>
      <c r="BB47" s="677"/>
      <c r="BC47" s="677"/>
      <c r="BD47" s="677"/>
      <c r="BE47" s="677"/>
      <c r="BF47" s="677"/>
      <c r="BG47" s="677"/>
      <c r="BH47" s="677"/>
      <c r="BI47" s="677"/>
      <c r="BJ47" s="677"/>
      <c r="BK47" s="677"/>
      <c r="BL47" s="677"/>
      <c r="BM47" s="677"/>
      <c r="BN47" s="677"/>
      <c r="BO47" s="677"/>
      <c r="BP47" s="677"/>
      <c r="BQ47" s="677"/>
      <c r="BR47" s="677"/>
      <c r="BS47" s="677"/>
      <c r="BT47" s="677"/>
      <c r="BU47" s="677"/>
      <c r="BV47" s="677"/>
      <c r="BW47" s="677"/>
      <c r="BX47" s="677"/>
      <c r="BY47" s="677"/>
      <c r="BZ47" s="677"/>
      <c r="CA47" s="677"/>
    </row>
    <row r="48" spans="1:79" s="308" customFormat="1" hidden="1" outlineLevel="1" x14ac:dyDescent="0.25">
      <c r="A48" s="659"/>
      <c r="B48" s="29"/>
      <c r="C48" s="29"/>
      <c r="D48" s="29"/>
      <c r="E48" s="570" t="s">
        <v>49</v>
      </c>
      <c r="F48" s="659" t="s">
        <v>608</v>
      </c>
      <c r="G48" s="679">
        <f t="shared" ref="G48:R48" si="12">SUM(G41:G47)</f>
        <v>584.71871083376618</v>
      </c>
      <c r="H48" s="679">
        <f t="shared" si="12"/>
        <v>199.95674354459939</v>
      </c>
      <c r="I48" s="679">
        <f t="shared" si="12"/>
        <v>681.46457791663852</v>
      </c>
      <c r="J48" s="679">
        <f t="shared" si="12"/>
        <v>202.80438557471638</v>
      </c>
      <c r="K48" s="679">
        <f t="shared" si="12"/>
        <v>409.86291309160555</v>
      </c>
      <c r="L48" s="679">
        <f t="shared" si="12"/>
        <v>760.49798080810967</v>
      </c>
      <c r="M48" s="679">
        <f t="shared" si="12"/>
        <v>742.83291275136605</v>
      </c>
      <c r="N48" s="679">
        <f t="shared" si="12"/>
        <v>400.76711548879712</v>
      </c>
      <c r="O48" s="679">
        <f t="shared" si="12"/>
        <v>328.843544199566</v>
      </c>
      <c r="P48" s="679">
        <f t="shared" si="12"/>
        <v>693.82086036507428</v>
      </c>
      <c r="Q48" s="679">
        <f t="shared" si="12"/>
        <v>403.8611553476602</v>
      </c>
      <c r="R48" s="679">
        <f t="shared" si="12"/>
        <v>59.704192737510965</v>
      </c>
      <c r="S48" s="679">
        <f t="shared" ref="S48:AA48" si="13">ROUND(SUM(S36:S47),5)</f>
        <v>614.86</v>
      </c>
      <c r="T48" s="679">
        <f t="shared" si="13"/>
        <v>948.07</v>
      </c>
      <c r="U48" s="679">
        <f t="shared" si="13"/>
        <v>2016.84</v>
      </c>
      <c r="V48" s="679">
        <f t="shared" si="13"/>
        <v>4349.0200000000004</v>
      </c>
      <c r="W48" s="679">
        <f t="shared" si="13"/>
        <v>3477.79</v>
      </c>
      <c r="X48" s="679">
        <f t="shared" si="13"/>
        <v>4851.25</v>
      </c>
      <c r="Y48" s="679">
        <f t="shared" si="13"/>
        <v>4874</v>
      </c>
      <c r="Z48" s="679">
        <f t="shared" si="13"/>
        <v>5599.81</v>
      </c>
      <c r="AA48" s="679">
        <f t="shared" si="13"/>
        <v>6429.55</v>
      </c>
      <c r="AB48" s="679">
        <f>ROUND(SUM(AB36:AB47),5)</f>
        <v>5101.82</v>
      </c>
      <c r="AC48" s="679">
        <f>ROUND(SUM(AC36:AC47),5)</f>
        <v>4356.6499999999996</v>
      </c>
      <c r="AD48" s="679">
        <v>6130.33</v>
      </c>
      <c r="AE48" s="679">
        <f>ROUND(AE36+SUM(AE40:AE47),5)</f>
        <v>4697.12</v>
      </c>
      <c r="AF48" s="679">
        <f>ROUND(AF36+SUM(AF40:AF47),5)</f>
        <v>3914.8</v>
      </c>
      <c r="AG48" s="679">
        <v>3613.95</v>
      </c>
      <c r="AH48" s="679">
        <f t="shared" ref="AH48:BO48" si="14">SUM(AH41:AH47)</f>
        <v>0</v>
      </c>
      <c r="AI48" s="679">
        <f t="shared" si="14"/>
        <v>0</v>
      </c>
      <c r="AJ48" s="679">
        <f t="shared" si="14"/>
        <v>0</v>
      </c>
      <c r="AK48" s="679">
        <f t="shared" si="14"/>
        <v>0</v>
      </c>
      <c r="AL48" s="679">
        <f t="shared" si="14"/>
        <v>0</v>
      </c>
      <c r="AM48" s="679">
        <f t="shared" si="14"/>
        <v>0</v>
      </c>
      <c r="AN48" s="679">
        <f t="shared" si="14"/>
        <v>0</v>
      </c>
      <c r="AO48" s="679">
        <f t="shared" si="14"/>
        <v>0</v>
      </c>
      <c r="AP48" s="679">
        <f t="shared" si="14"/>
        <v>0</v>
      </c>
      <c r="AQ48" s="679">
        <f t="shared" si="14"/>
        <v>0</v>
      </c>
      <c r="AR48" s="679">
        <f t="shared" si="14"/>
        <v>0</v>
      </c>
      <c r="AS48" s="679">
        <f t="shared" si="14"/>
        <v>0</v>
      </c>
      <c r="AT48" s="679">
        <f t="shared" si="14"/>
        <v>0</v>
      </c>
      <c r="AU48" s="679">
        <f t="shared" si="14"/>
        <v>0</v>
      </c>
      <c r="AV48" s="679">
        <f t="shared" si="14"/>
        <v>0</v>
      </c>
      <c r="AW48" s="679">
        <f t="shared" si="14"/>
        <v>0</v>
      </c>
      <c r="AX48" s="679">
        <f t="shared" si="14"/>
        <v>0</v>
      </c>
      <c r="AY48" s="679">
        <f t="shared" si="14"/>
        <v>0</v>
      </c>
      <c r="AZ48" s="679">
        <f t="shared" si="14"/>
        <v>0</v>
      </c>
      <c r="BA48" s="679">
        <f t="shared" si="14"/>
        <v>0</v>
      </c>
      <c r="BB48" s="679">
        <f t="shared" si="14"/>
        <v>0</v>
      </c>
      <c r="BC48" s="679">
        <f t="shared" si="14"/>
        <v>0</v>
      </c>
      <c r="BD48" s="679">
        <f t="shared" si="14"/>
        <v>0</v>
      </c>
      <c r="BE48" s="679">
        <f t="shared" si="14"/>
        <v>0</v>
      </c>
      <c r="BF48" s="679">
        <f t="shared" si="14"/>
        <v>0</v>
      </c>
      <c r="BG48" s="679">
        <f t="shared" si="14"/>
        <v>0</v>
      </c>
      <c r="BH48" s="679">
        <f t="shared" si="14"/>
        <v>0</v>
      </c>
      <c r="BI48" s="679">
        <f t="shared" si="14"/>
        <v>0</v>
      </c>
      <c r="BJ48" s="679">
        <f t="shared" si="14"/>
        <v>0</v>
      </c>
      <c r="BK48" s="679">
        <f t="shared" si="14"/>
        <v>0</v>
      </c>
      <c r="BL48" s="679">
        <f t="shared" si="14"/>
        <v>0</v>
      </c>
      <c r="BM48" s="679">
        <f t="shared" si="14"/>
        <v>0</v>
      </c>
      <c r="BN48" s="679">
        <f t="shared" si="14"/>
        <v>0</v>
      </c>
      <c r="BO48" s="679">
        <f t="shared" si="14"/>
        <v>0</v>
      </c>
      <c r="BP48" s="679">
        <f t="shared" ref="BP48:CA48" si="15">SUM(BP41:BP47)</f>
        <v>0</v>
      </c>
      <c r="BQ48" s="679">
        <f t="shared" si="15"/>
        <v>0</v>
      </c>
      <c r="BR48" s="679">
        <f t="shared" si="15"/>
        <v>0</v>
      </c>
      <c r="BS48" s="679">
        <f t="shared" si="15"/>
        <v>0</v>
      </c>
      <c r="BT48" s="679">
        <f t="shared" si="15"/>
        <v>0</v>
      </c>
      <c r="BU48" s="679">
        <f t="shared" si="15"/>
        <v>0</v>
      </c>
      <c r="BV48" s="679">
        <f t="shared" si="15"/>
        <v>0</v>
      </c>
      <c r="BW48" s="679">
        <f t="shared" si="15"/>
        <v>0</v>
      </c>
      <c r="BX48" s="679">
        <f t="shared" si="15"/>
        <v>0</v>
      </c>
      <c r="BY48" s="679">
        <f t="shared" si="15"/>
        <v>0</v>
      </c>
      <c r="BZ48" s="679">
        <f t="shared" si="15"/>
        <v>0</v>
      </c>
      <c r="CA48" s="679">
        <f t="shared" si="15"/>
        <v>0</v>
      </c>
    </row>
    <row r="49" spans="1:79" s="308" customFormat="1" hidden="1" outlineLevel="1" x14ac:dyDescent="0.25">
      <c r="A49" s="655"/>
      <c r="B49" s="571"/>
      <c r="C49" s="571"/>
      <c r="D49" s="571"/>
      <c r="E49" s="570" t="s">
        <v>1325</v>
      </c>
      <c r="F49" s="655" t="s">
        <v>875</v>
      </c>
      <c r="G49" s="681"/>
      <c r="H49" s="681"/>
      <c r="I49" s="681"/>
      <c r="J49" s="682"/>
      <c r="K49" s="682"/>
      <c r="L49" s="682"/>
      <c r="M49" s="682"/>
      <c r="N49" s="682"/>
      <c r="O49" s="682"/>
      <c r="P49" s="683"/>
      <c r="Q49" s="683"/>
      <c r="R49" s="683"/>
      <c r="S49" s="684">
        <v>0</v>
      </c>
      <c r="T49" s="684">
        <v>0</v>
      </c>
      <c r="U49" s="684">
        <v>0</v>
      </c>
      <c r="V49" s="684">
        <v>0</v>
      </c>
      <c r="W49" s="684">
        <v>0</v>
      </c>
      <c r="X49" s="684">
        <v>0</v>
      </c>
      <c r="Y49" s="684">
        <v>0</v>
      </c>
      <c r="Z49" s="684">
        <v>0</v>
      </c>
      <c r="AA49" s="684">
        <v>0</v>
      </c>
      <c r="AB49" s="684">
        <v>0</v>
      </c>
      <c r="AC49" s="684">
        <v>0</v>
      </c>
      <c r="AD49" s="685">
        <v>0</v>
      </c>
      <c r="AE49" s="684">
        <v>0</v>
      </c>
      <c r="AF49" s="684">
        <v>0</v>
      </c>
      <c r="AG49" s="685">
        <v>0</v>
      </c>
      <c r="AH49" s="685"/>
      <c r="AI49" s="685"/>
      <c r="AJ49" s="685"/>
      <c r="AK49" s="685"/>
      <c r="AL49" s="685"/>
      <c r="AM49" s="685"/>
      <c r="AN49" s="685"/>
      <c r="AO49" s="685"/>
      <c r="AP49" s="685"/>
      <c r="AQ49" s="685"/>
      <c r="AR49" s="685"/>
      <c r="AS49" s="685"/>
      <c r="AT49" s="685"/>
      <c r="AU49" s="685"/>
      <c r="AV49" s="685"/>
      <c r="AW49" s="685"/>
      <c r="AX49" s="685"/>
      <c r="AY49" s="685"/>
      <c r="AZ49" s="685"/>
      <c r="BA49" s="685"/>
      <c r="BB49" s="685"/>
      <c r="BC49" s="685"/>
      <c r="BD49" s="685"/>
      <c r="BE49" s="685"/>
      <c r="BF49" s="685"/>
      <c r="BG49" s="685"/>
      <c r="BH49" s="685"/>
      <c r="BI49" s="685"/>
      <c r="BJ49" s="685"/>
      <c r="BK49" s="685"/>
      <c r="BL49" s="685"/>
      <c r="BM49" s="685"/>
      <c r="BN49" s="685"/>
      <c r="BO49" s="685"/>
      <c r="BP49" s="685"/>
      <c r="BQ49" s="685"/>
      <c r="BR49" s="685"/>
      <c r="BS49" s="685"/>
      <c r="BT49" s="685"/>
      <c r="BU49" s="685"/>
      <c r="BV49" s="685"/>
      <c r="BW49" s="685"/>
      <c r="BX49" s="685"/>
      <c r="BY49" s="685"/>
      <c r="BZ49" s="685"/>
      <c r="CA49" s="685"/>
    </row>
    <row r="50" spans="1:79" hidden="1" outlineLevel="1" x14ac:dyDescent="0.25">
      <c r="A50" s="658"/>
      <c r="E50" s="570" t="s">
        <v>1326</v>
      </c>
      <c r="F50" s="658" t="s">
        <v>591</v>
      </c>
      <c r="G50" s="665"/>
      <c r="H50" s="665"/>
      <c r="I50" s="665"/>
      <c r="J50" s="686"/>
      <c r="K50" s="686"/>
      <c r="L50" s="686"/>
      <c r="M50" s="686">
        <v>106.70804903344191</v>
      </c>
      <c r="N50" s="686"/>
      <c r="O50" s="686">
        <v>70.456156962637479</v>
      </c>
      <c r="P50" s="666">
        <v>66.857330092227372</v>
      </c>
      <c r="Q50" s="666"/>
      <c r="R50" s="666"/>
      <c r="S50" s="667">
        <v>6</v>
      </c>
      <c r="T50" s="667">
        <v>600</v>
      </c>
      <c r="U50" s="667">
        <v>0</v>
      </c>
      <c r="V50" s="667">
        <v>0</v>
      </c>
      <c r="W50" s="667">
        <v>0</v>
      </c>
      <c r="X50" s="667">
        <v>0</v>
      </c>
      <c r="Y50" s="667">
        <v>0</v>
      </c>
      <c r="Z50" s="667">
        <v>0</v>
      </c>
      <c r="AA50" s="667">
        <v>477.83</v>
      </c>
      <c r="AB50" s="667">
        <v>0</v>
      </c>
      <c r="AC50" s="667">
        <v>1419.57</v>
      </c>
      <c r="AD50" s="668">
        <v>0</v>
      </c>
      <c r="AE50" s="667">
        <v>0</v>
      </c>
      <c r="AF50" s="667">
        <v>0</v>
      </c>
      <c r="AG50" s="668">
        <v>0</v>
      </c>
      <c r="AH50" s="668"/>
      <c r="AI50" s="668"/>
      <c r="AJ50" s="668"/>
      <c r="AK50" s="668"/>
      <c r="AL50" s="668"/>
      <c r="AM50" s="668"/>
      <c r="AN50" s="668"/>
      <c r="AO50" s="668"/>
      <c r="AP50" s="668"/>
      <c r="AQ50" s="668"/>
      <c r="AR50" s="668"/>
      <c r="AS50" s="668"/>
      <c r="AT50" s="668"/>
      <c r="AU50" s="668"/>
      <c r="AV50" s="668"/>
      <c r="AW50" s="668"/>
      <c r="AX50" s="668"/>
      <c r="AY50" s="668"/>
      <c r="AZ50" s="668"/>
      <c r="BA50" s="668"/>
      <c r="BB50" s="668"/>
      <c r="BC50" s="668"/>
      <c r="BD50" s="668"/>
      <c r="BE50" s="668"/>
      <c r="BF50" s="668"/>
      <c r="BG50" s="668"/>
      <c r="BH50" s="668"/>
      <c r="BI50" s="668"/>
      <c r="BJ50" s="668"/>
      <c r="BK50" s="668"/>
      <c r="BL50" s="668"/>
      <c r="BM50" s="668"/>
      <c r="BN50" s="668"/>
      <c r="BO50" s="668"/>
      <c r="BP50" s="668"/>
      <c r="BQ50" s="668"/>
      <c r="BR50" s="668"/>
      <c r="BS50" s="668"/>
      <c r="BT50" s="668"/>
      <c r="BU50" s="668"/>
      <c r="BV50" s="668"/>
      <c r="BW50" s="668"/>
      <c r="BX50" s="668"/>
      <c r="BY50" s="668"/>
      <c r="BZ50" s="668"/>
      <c r="CA50" s="668"/>
    </row>
    <row r="51" spans="1:79" hidden="1" outlineLevel="1" x14ac:dyDescent="0.25">
      <c r="A51" s="658"/>
      <c r="E51" s="570" t="s">
        <v>1332</v>
      </c>
      <c r="F51" s="658" t="s">
        <v>592</v>
      </c>
      <c r="G51" s="665">
        <v>15.12592804087349</v>
      </c>
      <c r="H51" s="665">
        <v>24.839082544146748</v>
      </c>
      <c r="I51" s="665">
        <v>3.2474244457040422</v>
      </c>
      <c r="J51" s="686">
        <v>3.4134370698270899</v>
      </c>
      <c r="K51" s="686">
        <v>178.61612899201003</v>
      </c>
      <c r="L51" s="686"/>
      <c r="M51" s="686"/>
      <c r="N51" s="686">
        <v>9.7457167452824756</v>
      </c>
      <c r="O51" s="686"/>
      <c r="P51" s="666">
        <v>110.05558025965057</v>
      </c>
      <c r="Q51" s="666"/>
      <c r="R51" s="666"/>
      <c r="S51" s="667">
        <v>0</v>
      </c>
      <c r="T51" s="667">
        <v>0</v>
      </c>
      <c r="U51" s="667">
        <v>169</v>
      </c>
      <c r="V51" s="667">
        <v>0</v>
      </c>
      <c r="W51" s="667">
        <v>0</v>
      </c>
      <c r="X51" s="667">
        <v>0</v>
      </c>
      <c r="Y51" s="667">
        <v>0</v>
      </c>
      <c r="Z51" s="667">
        <v>0</v>
      </c>
      <c r="AA51" s="667">
        <v>0</v>
      </c>
      <c r="AB51" s="667">
        <v>0</v>
      </c>
      <c r="AC51" s="667">
        <v>0</v>
      </c>
      <c r="AD51" s="668">
        <v>295</v>
      </c>
      <c r="AE51" s="667">
        <v>80</v>
      </c>
      <c r="AF51" s="667">
        <v>0</v>
      </c>
      <c r="AG51" s="668">
        <v>0</v>
      </c>
      <c r="AH51" s="668"/>
      <c r="AI51" s="668"/>
      <c r="AJ51" s="668"/>
      <c r="AK51" s="668"/>
      <c r="AL51" s="668"/>
      <c r="AM51" s="668"/>
      <c r="AN51" s="668"/>
      <c r="AO51" s="668"/>
      <c r="AP51" s="668"/>
      <c r="AQ51" s="668"/>
      <c r="AR51" s="668"/>
      <c r="AS51" s="668"/>
      <c r="AT51" s="668"/>
      <c r="AU51" s="668"/>
      <c r="AV51" s="668"/>
      <c r="AW51" s="668"/>
      <c r="AX51" s="668"/>
      <c r="AY51" s="668"/>
      <c r="AZ51" s="668"/>
      <c r="BA51" s="668"/>
      <c r="BB51" s="668"/>
      <c r="BC51" s="668"/>
      <c r="BD51" s="668"/>
      <c r="BE51" s="668"/>
      <c r="BF51" s="668"/>
      <c r="BG51" s="668"/>
      <c r="BH51" s="668"/>
      <c r="BI51" s="668"/>
      <c r="BJ51" s="668"/>
      <c r="BK51" s="668"/>
      <c r="BL51" s="668"/>
      <c r="BM51" s="668"/>
      <c r="BN51" s="668"/>
      <c r="BO51" s="668"/>
      <c r="BP51" s="668"/>
      <c r="BQ51" s="668"/>
      <c r="BR51" s="668"/>
      <c r="BS51" s="668"/>
      <c r="BT51" s="668"/>
      <c r="BU51" s="668"/>
      <c r="BV51" s="668"/>
      <c r="BW51" s="668"/>
      <c r="BX51" s="668"/>
      <c r="BY51" s="668"/>
      <c r="BZ51" s="668"/>
      <c r="CA51" s="668"/>
    </row>
    <row r="52" spans="1:79" hidden="1" outlineLevel="1" x14ac:dyDescent="0.25">
      <c r="A52" s="655"/>
      <c r="B52" s="570"/>
      <c r="C52" s="570"/>
      <c r="D52" s="570"/>
      <c r="E52" s="570" t="s">
        <v>1333</v>
      </c>
      <c r="F52" s="655" t="s">
        <v>876</v>
      </c>
      <c r="G52" s="665"/>
      <c r="H52" s="665"/>
      <c r="I52" s="665"/>
      <c r="J52" s="686"/>
      <c r="K52" s="686"/>
      <c r="L52" s="686"/>
      <c r="M52" s="686"/>
      <c r="N52" s="686"/>
      <c r="O52" s="686"/>
      <c r="P52" s="666"/>
      <c r="Q52" s="666"/>
      <c r="R52" s="666"/>
      <c r="S52" s="667">
        <v>0</v>
      </c>
      <c r="T52" s="667">
        <v>0</v>
      </c>
      <c r="U52" s="667">
        <v>0</v>
      </c>
      <c r="V52" s="667">
        <v>0</v>
      </c>
      <c r="W52" s="667">
        <v>0</v>
      </c>
      <c r="X52" s="667">
        <v>0</v>
      </c>
      <c r="Y52" s="667">
        <v>0</v>
      </c>
      <c r="Z52" s="667">
        <v>0</v>
      </c>
      <c r="AA52" s="667">
        <v>0</v>
      </c>
      <c r="AB52" s="667">
        <v>0</v>
      </c>
      <c r="AC52" s="667">
        <v>0</v>
      </c>
      <c r="AD52" s="668">
        <v>0</v>
      </c>
      <c r="AE52" s="667">
        <v>0</v>
      </c>
      <c r="AF52" s="667">
        <v>0</v>
      </c>
      <c r="AG52" s="668">
        <v>0</v>
      </c>
      <c r="AH52" s="668"/>
      <c r="AI52" s="668"/>
      <c r="AJ52" s="668"/>
      <c r="AK52" s="668"/>
      <c r="AL52" s="668"/>
      <c r="AM52" s="668"/>
      <c r="AN52" s="668"/>
      <c r="AO52" s="668"/>
      <c r="AP52" s="668"/>
      <c r="AQ52" s="668"/>
      <c r="AR52" s="668"/>
      <c r="AS52" s="668"/>
      <c r="AT52" s="668"/>
      <c r="AU52" s="668"/>
      <c r="AV52" s="668"/>
      <c r="AW52" s="668"/>
      <c r="AX52" s="668"/>
      <c r="AY52" s="668"/>
      <c r="AZ52" s="668"/>
      <c r="BA52" s="668"/>
      <c r="BB52" s="668"/>
      <c r="BC52" s="668"/>
      <c r="BD52" s="668"/>
      <c r="BE52" s="668"/>
      <c r="BF52" s="668"/>
      <c r="BG52" s="668"/>
      <c r="BH52" s="668"/>
      <c r="BI52" s="668"/>
      <c r="BJ52" s="668"/>
      <c r="BK52" s="668"/>
      <c r="BL52" s="668"/>
      <c r="BM52" s="668"/>
      <c r="BN52" s="668"/>
      <c r="BO52" s="668"/>
      <c r="BP52" s="668"/>
      <c r="BQ52" s="668"/>
      <c r="BR52" s="668"/>
      <c r="BS52" s="668"/>
      <c r="BT52" s="668"/>
      <c r="BU52" s="668"/>
      <c r="BV52" s="668"/>
      <c r="BW52" s="668"/>
      <c r="BX52" s="668"/>
      <c r="BY52" s="668"/>
      <c r="BZ52" s="668"/>
      <c r="CA52" s="668"/>
    </row>
    <row r="53" spans="1:79" hidden="1" outlineLevel="1" x14ac:dyDescent="0.25">
      <c r="A53" s="701"/>
      <c r="B53" s="693"/>
      <c r="C53" s="693"/>
      <c r="D53" s="693"/>
      <c r="E53" s="570" t="s">
        <v>657</v>
      </c>
      <c r="F53" s="701" t="s">
        <v>761</v>
      </c>
      <c r="G53" s="702"/>
      <c r="H53" s="702"/>
      <c r="I53" s="702"/>
      <c r="J53" s="703"/>
      <c r="K53" s="703"/>
      <c r="L53" s="703"/>
      <c r="M53" s="703"/>
      <c r="N53" s="703"/>
      <c r="O53" s="703"/>
      <c r="P53" s="704"/>
      <c r="Q53" s="704"/>
      <c r="R53" s="704"/>
      <c r="S53" s="704"/>
      <c r="T53" s="704"/>
      <c r="U53" s="704"/>
      <c r="V53" s="704"/>
      <c r="W53" s="704"/>
      <c r="X53" s="704"/>
      <c r="Y53" s="704"/>
      <c r="Z53" s="704"/>
      <c r="AA53" s="704"/>
      <c r="AB53" s="704"/>
      <c r="AC53" s="704"/>
      <c r="AD53" s="699"/>
      <c r="AE53" s="704"/>
      <c r="AF53" s="704"/>
      <c r="AG53" s="699"/>
      <c r="AH53" s="699"/>
      <c r="AI53" s="699"/>
      <c r="AJ53" s="699"/>
      <c r="AK53" s="699"/>
      <c r="AL53" s="699"/>
      <c r="AM53" s="699"/>
      <c r="AN53" s="699"/>
      <c r="AO53" s="699"/>
      <c r="AP53" s="699"/>
      <c r="AQ53" s="699"/>
      <c r="AR53" s="699"/>
      <c r="AS53" s="699"/>
      <c r="AT53" s="699"/>
      <c r="AU53" s="699"/>
      <c r="AV53" s="699"/>
      <c r="AW53" s="699"/>
      <c r="AX53" s="699"/>
      <c r="AY53" s="699"/>
      <c r="AZ53" s="699"/>
      <c r="BA53" s="699"/>
      <c r="BB53" s="699"/>
      <c r="BC53" s="699"/>
      <c r="BD53" s="699"/>
      <c r="BE53" s="699"/>
      <c r="BF53" s="699"/>
      <c r="BG53" s="699"/>
      <c r="BH53" s="699"/>
      <c r="BI53" s="699"/>
      <c r="BJ53" s="699"/>
      <c r="BK53" s="699"/>
      <c r="BL53" s="699"/>
      <c r="BM53" s="699"/>
      <c r="BN53" s="699"/>
      <c r="BO53" s="699"/>
      <c r="BP53" s="699"/>
      <c r="BQ53" s="699"/>
      <c r="BR53" s="699"/>
      <c r="BS53" s="699"/>
      <c r="BT53" s="699"/>
      <c r="BU53" s="699"/>
      <c r="BV53" s="699"/>
      <c r="BW53" s="699"/>
      <c r="BX53" s="699"/>
      <c r="BY53" s="699"/>
      <c r="BZ53" s="699"/>
      <c r="CA53" s="699"/>
    </row>
    <row r="54" spans="1:79" hidden="1" outlineLevel="1" x14ac:dyDescent="0.25">
      <c r="A54" s="656"/>
      <c r="B54" s="570"/>
      <c r="C54" s="570"/>
      <c r="D54" s="570"/>
      <c r="E54" s="570" t="s">
        <v>20</v>
      </c>
      <c r="F54" s="656" t="s">
        <v>877</v>
      </c>
      <c r="G54" s="665"/>
      <c r="H54" s="665"/>
      <c r="I54" s="665"/>
      <c r="J54" s="686"/>
      <c r="K54" s="686"/>
      <c r="L54" s="686"/>
      <c r="M54" s="686"/>
      <c r="N54" s="686"/>
      <c r="O54" s="686"/>
      <c r="P54" s="666"/>
      <c r="Q54" s="666"/>
      <c r="R54" s="666"/>
      <c r="S54" s="667">
        <v>0</v>
      </c>
      <c r="T54" s="667">
        <v>0</v>
      </c>
      <c r="U54" s="667">
        <v>0</v>
      </c>
      <c r="V54" s="667">
        <v>0</v>
      </c>
      <c r="W54" s="667">
        <v>0</v>
      </c>
      <c r="X54" s="667">
        <v>0</v>
      </c>
      <c r="Y54" s="667">
        <v>0</v>
      </c>
      <c r="Z54" s="667">
        <v>0</v>
      </c>
      <c r="AA54" s="667">
        <v>0</v>
      </c>
      <c r="AB54" s="667">
        <v>0</v>
      </c>
      <c r="AC54" s="667">
        <v>0</v>
      </c>
      <c r="AD54" s="668">
        <v>0</v>
      </c>
      <c r="AE54" s="667">
        <v>0</v>
      </c>
      <c r="AF54" s="667">
        <v>0</v>
      </c>
      <c r="AG54" s="668">
        <v>0</v>
      </c>
      <c r="AH54" s="668"/>
      <c r="AI54" s="668"/>
      <c r="AJ54" s="668"/>
      <c r="AK54" s="668"/>
      <c r="AL54" s="668"/>
      <c r="AM54" s="668"/>
      <c r="AN54" s="668"/>
      <c r="AO54" s="668"/>
      <c r="AP54" s="668"/>
      <c r="AQ54" s="668"/>
      <c r="AR54" s="668"/>
      <c r="AS54" s="668"/>
      <c r="AT54" s="668"/>
      <c r="AU54" s="668"/>
      <c r="AV54" s="668"/>
      <c r="AW54" s="668"/>
      <c r="AX54" s="668"/>
      <c r="AY54" s="668"/>
      <c r="AZ54" s="668"/>
      <c r="BA54" s="668"/>
      <c r="BB54" s="668"/>
      <c r="BC54" s="668"/>
      <c r="BD54" s="668"/>
      <c r="BE54" s="668"/>
      <c r="BF54" s="668"/>
      <c r="BG54" s="668"/>
      <c r="BH54" s="668"/>
      <c r="BI54" s="668"/>
      <c r="BJ54" s="668"/>
      <c r="BK54" s="668"/>
      <c r="BL54" s="668"/>
      <c r="BM54" s="668"/>
      <c r="BN54" s="668"/>
      <c r="BO54" s="668"/>
      <c r="BP54" s="668"/>
      <c r="BQ54" s="668"/>
      <c r="BR54" s="668"/>
      <c r="BS54" s="668"/>
      <c r="BT54" s="668"/>
      <c r="BU54" s="668"/>
      <c r="BV54" s="668"/>
      <c r="BW54" s="668"/>
      <c r="BX54" s="668"/>
      <c r="BY54" s="668"/>
      <c r="BZ54" s="668"/>
      <c r="CA54" s="668"/>
    </row>
    <row r="55" spans="1:79" hidden="1" outlineLevel="1" x14ac:dyDescent="0.25">
      <c r="A55" s="656"/>
      <c r="B55" s="570"/>
      <c r="C55" s="570"/>
      <c r="D55" s="570"/>
      <c r="E55" s="570" t="s">
        <v>20</v>
      </c>
      <c r="F55" s="656" t="s">
        <v>878</v>
      </c>
      <c r="G55" s="665"/>
      <c r="H55" s="665"/>
      <c r="I55" s="665"/>
      <c r="J55" s="686"/>
      <c r="K55" s="686"/>
      <c r="L55" s="686"/>
      <c r="M55" s="686"/>
      <c r="N55" s="686"/>
      <c r="O55" s="686"/>
      <c r="P55" s="666"/>
      <c r="Q55" s="666"/>
      <c r="R55" s="666"/>
      <c r="S55" s="667">
        <v>0</v>
      </c>
      <c r="T55" s="667">
        <v>0</v>
      </c>
      <c r="U55" s="667">
        <v>0</v>
      </c>
      <c r="V55" s="667">
        <v>0</v>
      </c>
      <c r="W55" s="667">
        <v>0</v>
      </c>
      <c r="X55" s="667">
        <v>0</v>
      </c>
      <c r="Y55" s="667">
        <v>0</v>
      </c>
      <c r="Z55" s="667">
        <v>0</v>
      </c>
      <c r="AA55" s="667">
        <v>0</v>
      </c>
      <c r="AB55" s="667">
        <v>0</v>
      </c>
      <c r="AC55" s="667">
        <v>0</v>
      </c>
      <c r="AD55" s="668">
        <v>0</v>
      </c>
      <c r="AE55" s="667">
        <v>0</v>
      </c>
      <c r="AF55" s="667">
        <v>0</v>
      </c>
      <c r="AG55" s="668">
        <v>0</v>
      </c>
      <c r="AH55" s="668"/>
      <c r="AI55" s="668"/>
      <c r="AJ55" s="668"/>
      <c r="AK55" s="668"/>
      <c r="AL55" s="668"/>
      <c r="AM55" s="668"/>
      <c r="AN55" s="668"/>
      <c r="AO55" s="668"/>
      <c r="AP55" s="668"/>
      <c r="AQ55" s="668"/>
      <c r="AR55" s="668"/>
      <c r="AS55" s="668"/>
      <c r="AT55" s="668"/>
      <c r="AU55" s="668"/>
      <c r="AV55" s="668"/>
      <c r="AW55" s="668"/>
      <c r="AX55" s="668"/>
      <c r="AY55" s="668"/>
      <c r="AZ55" s="668"/>
      <c r="BA55" s="668"/>
      <c r="BB55" s="668"/>
      <c r="BC55" s="668"/>
      <c r="BD55" s="668"/>
      <c r="BE55" s="668"/>
      <c r="BF55" s="668"/>
      <c r="BG55" s="668"/>
      <c r="BH55" s="668"/>
      <c r="BI55" s="668"/>
      <c r="BJ55" s="668"/>
      <c r="BK55" s="668"/>
      <c r="BL55" s="668"/>
      <c r="BM55" s="668"/>
      <c r="BN55" s="668"/>
      <c r="BO55" s="668"/>
      <c r="BP55" s="668"/>
      <c r="BQ55" s="668"/>
      <c r="BR55" s="668"/>
      <c r="BS55" s="668"/>
      <c r="BT55" s="668"/>
      <c r="BU55" s="668"/>
      <c r="BV55" s="668"/>
      <c r="BW55" s="668"/>
      <c r="BX55" s="668"/>
      <c r="BY55" s="668"/>
      <c r="BZ55" s="668"/>
      <c r="CA55" s="668"/>
    </row>
    <row r="56" spans="1:79" hidden="1" outlineLevel="1" x14ac:dyDescent="0.25">
      <c r="A56" s="656"/>
      <c r="B56" s="570"/>
      <c r="C56" s="570"/>
      <c r="D56" s="570"/>
      <c r="E56" s="570" t="s">
        <v>1334</v>
      </c>
      <c r="F56" s="656" t="s">
        <v>879</v>
      </c>
      <c r="G56" s="665"/>
      <c r="H56" s="665"/>
      <c r="I56" s="665"/>
      <c r="J56" s="686"/>
      <c r="K56" s="686"/>
      <c r="L56" s="686"/>
      <c r="M56" s="686"/>
      <c r="N56" s="686"/>
      <c r="O56" s="686"/>
      <c r="P56" s="666"/>
      <c r="Q56" s="666"/>
      <c r="R56" s="666"/>
      <c r="S56" s="667">
        <v>0</v>
      </c>
      <c r="T56" s="667">
        <v>0</v>
      </c>
      <c r="U56" s="667">
        <v>0</v>
      </c>
      <c r="V56" s="667">
        <v>0</v>
      </c>
      <c r="W56" s="667">
        <v>0</v>
      </c>
      <c r="X56" s="667">
        <v>0</v>
      </c>
      <c r="Y56" s="667">
        <v>0</v>
      </c>
      <c r="Z56" s="667">
        <v>0</v>
      </c>
      <c r="AA56" s="667">
        <v>0</v>
      </c>
      <c r="AB56" s="667">
        <v>0</v>
      </c>
      <c r="AC56" s="667">
        <v>0</v>
      </c>
      <c r="AD56" s="668">
        <v>0</v>
      </c>
      <c r="AE56" s="667">
        <v>0</v>
      </c>
      <c r="AF56" s="667">
        <v>0</v>
      </c>
      <c r="AG56" s="668">
        <v>0</v>
      </c>
      <c r="AH56" s="668"/>
      <c r="AI56" s="668"/>
      <c r="AJ56" s="668"/>
      <c r="AK56" s="668"/>
      <c r="AL56" s="668"/>
      <c r="AM56" s="668"/>
      <c r="AN56" s="668"/>
      <c r="AO56" s="668"/>
      <c r="AP56" s="668"/>
      <c r="AQ56" s="668"/>
      <c r="AR56" s="668"/>
      <c r="AS56" s="668"/>
      <c r="AT56" s="668"/>
      <c r="AU56" s="668"/>
      <c r="AV56" s="668"/>
      <c r="AW56" s="668"/>
      <c r="AX56" s="668"/>
      <c r="AY56" s="668"/>
      <c r="AZ56" s="668"/>
      <c r="BA56" s="668"/>
      <c r="BB56" s="668"/>
      <c r="BC56" s="668"/>
      <c r="BD56" s="668"/>
      <c r="BE56" s="668"/>
      <c r="BF56" s="668"/>
      <c r="BG56" s="668"/>
      <c r="BH56" s="668"/>
      <c r="BI56" s="668"/>
      <c r="BJ56" s="668"/>
      <c r="BK56" s="668"/>
      <c r="BL56" s="668"/>
      <c r="BM56" s="668"/>
      <c r="BN56" s="668"/>
      <c r="BO56" s="668"/>
      <c r="BP56" s="668"/>
      <c r="BQ56" s="668"/>
      <c r="BR56" s="668"/>
      <c r="BS56" s="668"/>
      <c r="BT56" s="668"/>
      <c r="BU56" s="668"/>
      <c r="BV56" s="668"/>
      <c r="BW56" s="668"/>
      <c r="BX56" s="668"/>
      <c r="BY56" s="668"/>
      <c r="BZ56" s="668"/>
      <c r="CA56" s="668"/>
    </row>
    <row r="57" spans="1:79" hidden="1" outlineLevel="1" x14ac:dyDescent="0.25">
      <c r="A57" s="656"/>
      <c r="B57" s="570"/>
      <c r="C57" s="570"/>
      <c r="D57" s="570"/>
      <c r="E57" s="570" t="s">
        <v>1334</v>
      </c>
      <c r="F57" s="656" t="s">
        <v>660</v>
      </c>
      <c r="G57" s="665"/>
      <c r="H57" s="665"/>
      <c r="I57" s="665"/>
      <c r="J57" s="686"/>
      <c r="K57" s="686"/>
      <c r="L57" s="686"/>
      <c r="M57" s="686"/>
      <c r="N57" s="686"/>
      <c r="O57" s="686"/>
      <c r="P57" s="666"/>
      <c r="Q57" s="666"/>
      <c r="R57" s="666"/>
      <c r="S57" s="667">
        <v>0</v>
      </c>
      <c r="T57" s="667">
        <v>0</v>
      </c>
      <c r="U57" s="667">
        <v>0</v>
      </c>
      <c r="V57" s="667">
        <v>0</v>
      </c>
      <c r="W57" s="667">
        <v>0</v>
      </c>
      <c r="X57" s="667">
        <v>0</v>
      </c>
      <c r="Y57" s="667">
        <v>0</v>
      </c>
      <c r="Z57" s="667">
        <v>0</v>
      </c>
      <c r="AA57" s="667">
        <v>0</v>
      </c>
      <c r="AB57" s="667">
        <v>0</v>
      </c>
      <c r="AC57" s="667">
        <v>0</v>
      </c>
      <c r="AD57" s="668">
        <v>0</v>
      </c>
      <c r="AE57" s="667">
        <v>0</v>
      </c>
      <c r="AF57" s="667">
        <v>0</v>
      </c>
      <c r="AG57" s="668">
        <v>0</v>
      </c>
      <c r="AH57" s="668"/>
      <c r="AI57" s="668"/>
      <c r="AJ57" s="668"/>
      <c r="AK57" s="668"/>
      <c r="AL57" s="668"/>
      <c r="AM57" s="668"/>
      <c r="AN57" s="668"/>
      <c r="AO57" s="668"/>
      <c r="AP57" s="668"/>
      <c r="AQ57" s="668"/>
      <c r="AR57" s="668"/>
      <c r="AS57" s="668"/>
      <c r="AT57" s="668"/>
      <c r="AU57" s="668"/>
      <c r="AV57" s="668"/>
      <c r="AW57" s="668"/>
      <c r="AX57" s="668"/>
      <c r="AY57" s="668"/>
      <c r="AZ57" s="668"/>
      <c r="BA57" s="668"/>
      <c r="BB57" s="668"/>
      <c r="BC57" s="668"/>
      <c r="BD57" s="668"/>
      <c r="BE57" s="668"/>
      <c r="BF57" s="668"/>
      <c r="BG57" s="668"/>
      <c r="BH57" s="668"/>
      <c r="BI57" s="668"/>
      <c r="BJ57" s="668"/>
      <c r="BK57" s="668"/>
      <c r="BL57" s="668"/>
      <c r="BM57" s="668"/>
      <c r="BN57" s="668"/>
      <c r="BO57" s="668"/>
      <c r="BP57" s="668"/>
      <c r="BQ57" s="668"/>
      <c r="BR57" s="668"/>
      <c r="BS57" s="668"/>
      <c r="BT57" s="668"/>
      <c r="BU57" s="668"/>
      <c r="BV57" s="668"/>
      <c r="BW57" s="668"/>
      <c r="BX57" s="668"/>
      <c r="BY57" s="668"/>
      <c r="BZ57" s="668"/>
      <c r="CA57" s="668"/>
    </row>
    <row r="58" spans="1:79" hidden="1" outlineLevel="1" x14ac:dyDescent="0.25">
      <c r="A58" s="656"/>
      <c r="B58" s="570"/>
      <c r="C58" s="570"/>
      <c r="D58" s="570"/>
      <c r="E58" s="570" t="s">
        <v>20</v>
      </c>
      <c r="F58" s="656" t="s">
        <v>661</v>
      </c>
      <c r="G58" s="665"/>
      <c r="H58" s="665"/>
      <c r="I58" s="665"/>
      <c r="J58" s="686"/>
      <c r="K58" s="686"/>
      <c r="L58" s="686"/>
      <c r="M58" s="686"/>
      <c r="N58" s="686"/>
      <c r="O58" s="686"/>
      <c r="P58" s="666"/>
      <c r="Q58" s="666"/>
      <c r="R58" s="666"/>
      <c r="S58" s="667">
        <v>0</v>
      </c>
      <c r="T58" s="667">
        <v>0</v>
      </c>
      <c r="U58" s="667">
        <v>0</v>
      </c>
      <c r="V58" s="667">
        <v>0</v>
      </c>
      <c r="W58" s="667">
        <v>0</v>
      </c>
      <c r="X58" s="667">
        <v>0</v>
      </c>
      <c r="Y58" s="667">
        <v>0</v>
      </c>
      <c r="Z58" s="667">
        <v>0</v>
      </c>
      <c r="AA58" s="667">
        <v>0</v>
      </c>
      <c r="AB58" s="667">
        <v>0</v>
      </c>
      <c r="AC58" s="667">
        <v>0</v>
      </c>
      <c r="AD58" s="668">
        <v>0</v>
      </c>
      <c r="AE58" s="667">
        <v>0</v>
      </c>
      <c r="AF58" s="667">
        <v>0</v>
      </c>
      <c r="AG58" s="668">
        <v>0</v>
      </c>
      <c r="AH58" s="668"/>
      <c r="AI58" s="668"/>
      <c r="AJ58" s="668"/>
      <c r="AK58" s="668"/>
      <c r="AL58" s="668"/>
      <c r="AM58" s="668"/>
      <c r="AN58" s="668"/>
      <c r="AO58" s="668"/>
      <c r="AP58" s="668"/>
      <c r="AQ58" s="668"/>
      <c r="AR58" s="668"/>
      <c r="AS58" s="668"/>
      <c r="AT58" s="668"/>
      <c r="AU58" s="668"/>
      <c r="AV58" s="668"/>
      <c r="AW58" s="668"/>
      <c r="AX58" s="668"/>
      <c r="AY58" s="668"/>
      <c r="AZ58" s="668"/>
      <c r="BA58" s="668"/>
      <c r="BB58" s="668"/>
      <c r="BC58" s="668"/>
      <c r="BD58" s="668"/>
      <c r="BE58" s="668"/>
      <c r="BF58" s="668"/>
      <c r="BG58" s="668"/>
      <c r="BH58" s="668"/>
      <c r="BI58" s="668"/>
      <c r="BJ58" s="668"/>
      <c r="BK58" s="668"/>
      <c r="BL58" s="668"/>
      <c r="BM58" s="668"/>
      <c r="BN58" s="668"/>
      <c r="BO58" s="668"/>
      <c r="BP58" s="668"/>
      <c r="BQ58" s="668"/>
      <c r="BR58" s="668"/>
      <c r="BS58" s="668"/>
      <c r="BT58" s="668"/>
      <c r="BU58" s="668"/>
      <c r="BV58" s="668"/>
      <c r="BW58" s="668"/>
      <c r="BX58" s="668"/>
      <c r="BY58" s="668"/>
      <c r="BZ58" s="668"/>
      <c r="CA58" s="668"/>
    </row>
    <row r="59" spans="1:79" hidden="1" outlineLevel="1" x14ac:dyDescent="0.25">
      <c r="A59" s="656"/>
      <c r="B59" s="570"/>
      <c r="C59" s="570"/>
      <c r="D59" s="570"/>
      <c r="E59" s="570" t="s">
        <v>1334</v>
      </c>
      <c r="F59" s="656" t="s">
        <v>880</v>
      </c>
      <c r="G59" s="665"/>
      <c r="H59" s="665"/>
      <c r="I59" s="665"/>
      <c r="J59" s="686"/>
      <c r="K59" s="686"/>
      <c r="L59" s="686"/>
      <c r="M59" s="686"/>
      <c r="N59" s="686"/>
      <c r="O59" s="686"/>
      <c r="P59" s="666"/>
      <c r="Q59" s="666"/>
      <c r="R59" s="666"/>
      <c r="S59" s="667">
        <v>0</v>
      </c>
      <c r="T59" s="667">
        <v>0</v>
      </c>
      <c r="U59" s="667">
        <v>0</v>
      </c>
      <c r="V59" s="667">
        <v>0</v>
      </c>
      <c r="W59" s="667">
        <v>0</v>
      </c>
      <c r="X59" s="667">
        <v>0</v>
      </c>
      <c r="Y59" s="667">
        <v>0</v>
      </c>
      <c r="Z59" s="667">
        <v>0</v>
      </c>
      <c r="AA59" s="667">
        <v>0</v>
      </c>
      <c r="AB59" s="667">
        <v>0</v>
      </c>
      <c r="AC59" s="667">
        <v>0</v>
      </c>
      <c r="AD59" s="668">
        <v>0</v>
      </c>
      <c r="AE59" s="667">
        <v>0</v>
      </c>
      <c r="AF59" s="667">
        <v>0</v>
      </c>
      <c r="AG59" s="668">
        <v>0</v>
      </c>
      <c r="AH59" s="668"/>
      <c r="AI59" s="668"/>
      <c r="AJ59" s="668"/>
      <c r="AK59" s="668"/>
      <c r="AL59" s="668"/>
      <c r="AM59" s="668"/>
      <c r="AN59" s="668"/>
      <c r="AO59" s="668"/>
      <c r="AP59" s="668"/>
      <c r="AQ59" s="668"/>
      <c r="AR59" s="668"/>
      <c r="AS59" s="668"/>
      <c r="AT59" s="668"/>
      <c r="AU59" s="668"/>
      <c r="AV59" s="668"/>
      <c r="AW59" s="668"/>
      <c r="AX59" s="668"/>
      <c r="AY59" s="668"/>
      <c r="AZ59" s="668"/>
      <c r="BA59" s="668"/>
      <c r="BB59" s="668"/>
      <c r="BC59" s="668"/>
      <c r="BD59" s="668"/>
      <c r="BE59" s="668"/>
      <c r="BF59" s="668"/>
      <c r="BG59" s="668"/>
      <c r="BH59" s="668"/>
      <c r="BI59" s="668"/>
      <c r="BJ59" s="668"/>
      <c r="BK59" s="668"/>
      <c r="BL59" s="668"/>
      <c r="BM59" s="668"/>
      <c r="BN59" s="668"/>
      <c r="BO59" s="668"/>
      <c r="BP59" s="668"/>
      <c r="BQ59" s="668"/>
      <c r="BR59" s="668"/>
      <c r="BS59" s="668"/>
      <c r="BT59" s="668"/>
      <c r="BU59" s="668"/>
      <c r="BV59" s="668"/>
      <c r="BW59" s="668"/>
      <c r="BX59" s="668"/>
      <c r="BY59" s="668"/>
      <c r="BZ59" s="668"/>
      <c r="CA59" s="668"/>
    </row>
    <row r="60" spans="1:79" hidden="1" outlineLevel="1" x14ac:dyDescent="0.25">
      <c r="A60" s="656"/>
      <c r="B60" s="570"/>
      <c r="C60" s="570"/>
      <c r="D60" s="570"/>
      <c r="E60" s="570" t="s">
        <v>1335</v>
      </c>
      <c r="F60" s="656" t="s">
        <v>662</v>
      </c>
      <c r="G60" s="665"/>
      <c r="H60" s="665"/>
      <c r="I60" s="665"/>
      <c r="J60" s="686"/>
      <c r="K60" s="686"/>
      <c r="L60" s="686"/>
      <c r="M60" s="686"/>
      <c r="N60" s="686"/>
      <c r="O60" s="686"/>
      <c r="P60" s="666"/>
      <c r="Q60" s="666"/>
      <c r="R60" s="666"/>
      <c r="S60" s="667">
        <v>0</v>
      </c>
      <c r="T60" s="667">
        <v>0</v>
      </c>
      <c r="U60" s="667">
        <v>0</v>
      </c>
      <c r="V60" s="667">
        <v>0</v>
      </c>
      <c r="W60" s="667">
        <v>0</v>
      </c>
      <c r="X60" s="667">
        <v>0</v>
      </c>
      <c r="Y60" s="667">
        <v>0</v>
      </c>
      <c r="Z60" s="667">
        <v>0</v>
      </c>
      <c r="AA60" s="667">
        <v>0</v>
      </c>
      <c r="AB60" s="667">
        <v>0</v>
      </c>
      <c r="AC60" s="667">
        <v>0</v>
      </c>
      <c r="AD60" s="668">
        <v>0</v>
      </c>
      <c r="AE60" s="667">
        <v>0</v>
      </c>
      <c r="AF60" s="667">
        <v>0</v>
      </c>
      <c r="AG60" s="668">
        <v>0</v>
      </c>
      <c r="AH60" s="668"/>
      <c r="AI60" s="668"/>
      <c r="AJ60" s="668"/>
      <c r="AK60" s="668"/>
      <c r="AL60" s="668"/>
      <c r="AM60" s="668"/>
      <c r="AN60" s="668"/>
      <c r="AO60" s="668"/>
      <c r="AP60" s="668"/>
      <c r="AQ60" s="668"/>
      <c r="AR60" s="668"/>
      <c r="AS60" s="668"/>
      <c r="AT60" s="668"/>
      <c r="AU60" s="668"/>
      <c r="AV60" s="668"/>
      <c r="AW60" s="668"/>
      <c r="AX60" s="668"/>
      <c r="AY60" s="668"/>
      <c r="AZ60" s="668"/>
      <c r="BA60" s="668"/>
      <c r="BB60" s="668"/>
      <c r="BC60" s="668"/>
      <c r="BD60" s="668"/>
      <c r="BE60" s="668"/>
      <c r="BF60" s="668"/>
      <c r="BG60" s="668"/>
      <c r="BH60" s="668"/>
      <c r="BI60" s="668"/>
      <c r="BJ60" s="668"/>
      <c r="BK60" s="668"/>
      <c r="BL60" s="668"/>
      <c r="BM60" s="668"/>
      <c r="BN60" s="668"/>
      <c r="BO60" s="668"/>
      <c r="BP60" s="668"/>
      <c r="BQ60" s="668"/>
      <c r="BR60" s="668"/>
      <c r="BS60" s="668"/>
      <c r="BT60" s="668"/>
      <c r="BU60" s="668"/>
      <c r="BV60" s="668"/>
      <c r="BW60" s="668"/>
      <c r="BX60" s="668"/>
      <c r="BY60" s="668"/>
      <c r="BZ60" s="668"/>
      <c r="CA60" s="668"/>
    </row>
    <row r="61" spans="1:79" hidden="1" outlineLevel="1" x14ac:dyDescent="0.25">
      <c r="A61" s="660"/>
      <c r="B61" s="570"/>
      <c r="C61" s="570"/>
      <c r="D61" s="570"/>
      <c r="E61" s="570" t="s">
        <v>1334</v>
      </c>
      <c r="F61" s="660" t="s">
        <v>663</v>
      </c>
      <c r="G61" s="665"/>
      <c r="H61" s="665"/>
      <c r="I61" s="665"/>
      <c r="J61" s="686"/>
      <c r="K61" s="686"/>
      <c r="L61" s="686"/>
      <c r="M61" s="686"/>
      <c r="N61" s="686"/>
      <c r="O61" s="686"/>
      <c r="P61" s="666"/>
      <c r="Q61" s="666"/>
      <c r="R61" s="666"/>
      <c r="S61" s="667">
        <v>0</v>
      </c>
      <c r="T61" s="667">
        <v>0</v>
      </c>
      <c r="U61" s="667">
        <v>0</v>
      </c>
      <c r="V61" s="667">
        <v>0</v>
      </c>
      <c r="W61" s="667">
        <v>0</v>
      </c>
      <c r="X61" s="667">
        <v>0</v>
      </c>
      <c r="Y61" s="667">
        <v>0</v>
      </c>
      <c r="Z61" s="667">
        <v>244.9</v>
      </c>
      <c r="AA61" s="667">
        <v>293.95</v>
      </c>
      <c r="AB61" s="667">
        <v>324.12</v>
      </c>
      <c r="AC61" s="667">
        <v>240.37</v>
      </c>
      <c r="AD61" s="668">
        <v>0</v>
      </c>
      <c r="AE61" s="667">
        <v>59.89</v>
      </c>
      <c r="AF61" s="667">
        <v>239.19</v>
      </c>
      <c r="AG61" s="668">
        <v>255.4</v>
      </c>
      <c r="AH61" s="668"/>
      <c r="AI61" s="668"/>
      <c r="AJ61" s="668"/>
      <c r="AK61" s="668"/>
      <c r="AL61" s="668"/>
      <c r="AM61" s="668"/>
      <c r="AN61" s="668"/>
      <c r="AO61" s="668"/>
      <c r="AP61" s="668"/>
      <c r="AQ61" s="668"/>
      <c r="AR61" s="668"/>
      <c r="AS61" s="668"/>
      <c r="AT61" s="668"/>
      <c r="AU61" s="668"/>
      <c r="AV61" s="668"/>
      <c r="AW61" s="668"/>
      <c r="AX61" s="668"/>
      <c r="AY61" s="668"/>
      <c r="AZ61" s="668"/>
      <c r="BA61" s="668"/>
      <c r="BB61" s="668"/>
      <c r="BC61" s="668"/>
      <c r="BD61" s="668"/>
      <c r="BE61" s="668"/>
      <c r="BF61" s="668"/>
      <c r="BG61" s="668"/>
      <c r="BH61" s="668"/>
      <c r="BI61" s="668"/>
      <c r="BJ61" s="668"/>
      <c r="BK61" s="668"/>
      <c r="BL61" s="668"/>
      <c r="BM61" s="668"/>
      <c r="BN61" s="668"/>
      <c r="BO61" s="668"/>
      <c r="BP61" s="668"/>
      <c r="BQ61" s="668"/>
      <c r="BR61" s="668"/>
      <c r="BS61" s="668"/>
      <c r="BT61" s="668"/>
      <c r="BU61" s="668"/>
      <c r="BV61" s="668"/>
      <c r="BW61" s="668"/>
      <c r="BX61" s="668"/>
      <c r="BY61" s="668"/>
      <c r="BZ61" s="668"/>
      <c r="CA61" s="668"/>
    </row>
    <row r="62" spans="1:79" hidden="1" outlineLevel="1" x14ac:dyDescent="0.25">
      <c r="A62" s="656"/>
      <c r="B62" s="570"/>
      <c r="C62" s="570"/>
      <c r="D62" s="570"/>
      <c r="E62" s="570" t="s">
        <v>657</v>
      </c>
      <c r="F62" s="656" t="s">
        <v>881</v>
      </c>
      <c r="G62" s="665"/>
      <c r="H62" s="665"/>
      <c r="I62" s="665"/>
      <c r="J62" s="686"/>
      <c r="K62" s="686"/>
      <c r="L62" s="686"/>
      <c r="M62" s="686"/>
      <c r="N62" s="686"/>
      <c r="O62" s="686"/>
      <c r="P62" s="666"/>
      <c r="Q62" s="666"/>
      <c r="R62" s="666"/>
      <c r="S62" s="667">
        <v>0</v>
      </c>
      <c r="T62" s="667">
        <v>0</v>
      </c>
      <c r="U62" s="667">
        <v>0</v>
      </c>
      <c r="V62" s="667">
        <v>0</v>
      </c>
      <c r="W62" s="667">
        <v>0</v>
      </c>
      <c r="X62" s="667">
        <v>0</v>
      </c>
      <c r="Y62" s="667">
        <v>0</v>
      </c>
      <c r="Z62" s="667">
        <v>0</v>
      </c>
      <c r="AA62" s="667">
        <v>0</v>
      </c>
      <c r="AB62" s="667">
        <v>0</v>
      </c>
      <c r="AC62" s="667">
        <v>0</v>
      </c>
      <c r="AD62" s="668">
        <v>0</v>
      </c>
      <c r="AE62" s="667">
        <v>0</v>
      </c>
      <c r="AF62" s="667">
        <v>0</v>
      </c>
      <c r="AG62" s="668">
        <v>0</v>
      </c>
      <c r="AH62" s="668"/>
      <c r="AI62" s="668"/>
      <c r="AJ62" s="668"/>
      <c r="AK62" s="668"/>
      <c r="AL62" s="668"/>
      <c r="AM62" s="668"/>
      <c r="AN62" s="668"/>
      <c r="AO62" s="668"/>
      <c r="AP62" s="668"/>
      <c r="AQ62" s="668"/>
      <c r="AR62" s="668"/>
      <c r="AS62" s="668"/>
      <c r="AT62" s="668"/>
      <c r="AU62" s="668"/>
      <c r="AV62" s="668"/>
      <c r="AW62" s="668"/>
      <c r="AX62" s="668"/>
      <c r="AY62" s="668"/>
      <c r="AZ62" s="668"/>
      <c r="BA62" s="668"/>
      <c r="BB62" s="668"/>
      <c r="BC62" s="668"/>
      <c r="BD62" s="668"/>
      <c r="BE62" s="668"/>
      <c r="BF62" s="668"/>
      <c r="BG62" s="668"/>
      <c r="BH62" s="668"/>
      <c r="BI62" s="668"/>
      <c r="BJ62" s="668"/>
      <c r="BK62" s="668"/>
      <c r="BL62" s="668"/>
      <c r="BM62" s="668"/>
      <c r="BN62" s="668"/>
      <c r="BO62" s="668"/>
      <c r="BP62" s="668"/>
      <c r="BQ62" s="668"/>
      <c r="BR62" s="668"/>
      <c r="BS62" s="668"/>
      <c r="BT62" s="668"/>
      <c r="BU62" s="668"/>
      <c r="BV62" s="668"/>
      <c r="BW62" s="668"/>
      <c r="BX62" s="668"/>
      <c r="BY62" s="668"/>
      <c r="BZ62" s="668"/>
      <c r="CA62" s="668"/>
    </row>
    <row r="63" spans="1:79" hidden="1" outlineLevel="1" x14ac:dyDescent="0.25">
      <c r="A63" s="657"/>
      <c r="B63" s="570"/>
      <c r="C63" s="570"/>
      <c r="D63" s="570"/>
      <c r="E63" s="570" t="s">
        <v>49</v>
      </c>
      <c r="F63" s="657" t="s">
        <v>664</v>
      </c>
      <c r="G63" s="678">
        <f>SUM(G54:G62)</f>
        <v>0</v>
      </c>
      <c r="H63" s="678">
        <f t="shared" ref="H63:BO63" si="16">SUM(H54:H62)</f>
        <v>0</v>
      </c>
      <c r="I63" s="678">
        <f t="shared" si="16"/>
        <v>0</v>
      </c>
      <c r="J63" s="678">
        <f t="shared" si="16"/>
        <v>0</v>
      </c>
      <c r="K63" s="678">
        <f t="shared" si="16"/>
        <v>0</v>
      </c>
      <c r="L63" s="678">
        <f t="shared" si="16"/>
        <v>0</v>
      </c>
      <c r="M63" s="678">
        <f t="shared" si="16"/>
        <v>0</v>
      </c>
      <c r="N63" s="678">
        <f t="shared" si="16"/>
        <v>0</v>
      </c>
      <c r="O63" s="678">
        <f t="shared" si="16"/>
        <v>0</v>
      </c>
      <c r="P63" s="678">
        <f t="shared" si="16"/>
        <v>0</v>
      </c>
      <c r="Q63" s="678">
        <f t="shared" si="16"/>
        <v>0</v>
      </c>
      <c r="R63" s="678">
        <f t="shared" si="16"/>
        <v>0</v>
      </c>
      <c r="S63" s="678">
        <f t="shared" ref="S63:AA63" si="17">ROUND(SUM(S53:S62),5)</f>
        <v>0</v>
      </c>
      <c r="T63" s="678">
        <f t="shared" si="17"/>
        <v>0</v>
      </c>
      <c r="U63" s="678">
        <f t="shared" si="17"/>
        <v>0</v>
      </c>
      <c r="V63" s="678">
        <f t="shared" si="17"/>
        <v>0</v>
      </c>
      <c r="W63" s="678">
        <f t="shared" si="17"/>
        <v>0</v>
      </c>
      <c r="X63" s="678">
        <f t="shared" si="17"/>
        <v>0</v>
      </c>
      <c r="Y63" s="678">
        <f t="shared" si="17"/>
        <v>0</v>
      </c>
      <c r="Z63" s="678">
        <f t="shared" si="17"/>
        <v>244.9</v>
      </c>
      <c r="AA63" s="678">
        <f t="shared" si="17"/>
        <v>293.95</v>
      </c>
      <c r="AB63" s="678">
        <f>ROUND(SUM(AB53:AB62),5)</f>
        <v>324.12</v>
      </c>
      <c r="AC63" s="678">
        <f>ROUND(SUM(AC53:AC62),5)</f>
        <v>240.37</v>
      </c>
      <c r="AD63" s="678">
        <v>0</v>
      </c>
      <c r="AE63" s="678">
        <f>ROUND(SUM(AE53:AE62),5)</f>
        <v>59.89</v>
      </c>
      <c r="AF63" s="678">
        <f>ROUND(SUM(AF53:AF62),5)</f>
        <v>239.19</v>
      </c>
      <c r="AG63" s="678">
        <v>255.4</v>
      </c>
      <c r="AH63" s="678">
        <f t="shared" si="16"/>
        <v>0</v>
      </c>
      <c r="AI63" s="678">
        <f t="shared" si="16"/>
        <v>0</v>
      </c>
      <c r="AJ63" s="678">
        <f t="shared" si="16"/>
        <v>0</v>
      </c>
      <c r="AK63" s="678">
        <f t="shared" si="16"/>
        <v>0</v>
      </c>
      <c r="AL63" s="678">
        <f t="shared" si="16"/>
        <v>0</v>
      </c>
      <c r="AM63" s="678">
        <f t="shared" si="16"/>
        <v>0</v>
      </c>
      <c r="AN63" s="678">
        <f t="shared" si="16"/>
        <v>0</v>
      </c>
      <c r="AO63" s="678">
        <f t="shared" si="16"/>
        <v>0</v>
      </c>
      <c r="AP63" s="678">
        <f t="shared" si="16"/>
        <v>0</v>
      </c>
      <c r="AQ63" s="678">
        <f t="shared" si="16"/>
        <v>0</v>
      </c>
      <c r="AR63" s="678">
        <f t="shared" si="16"/>
        <v>0</v>
      </c>
      <c r="AS63" s="678">
        <f t="shared" si="16"/>
        <v>0</v>
      </c>
      <c r="AT63" s="678">
        <f t="shared" si="16"/>
        <v>0</v>
      </c>
      <c r="AU63" s="678">
        <f t="shared" si="16"/>
        <v>0</v>
      </c>
      <c r="AV63" s="678">
        <f t="shared" si="16"/>
        <v>0</v>
      </c>
      <c r="AW63" s="678">
        <f t="shared" si="16"/>
        <v>0</v>
      </c>
      <c r="AX63" s="678">
        <f t="shared" si="16"/>
        <v>0</v>
      </c>
      <c r="AY63" s="678">
        <f t="shared" si="16"/>
        <v>0</v>
      </c>
      <c r="AZ63" s="678">
        <f t="shared" si="16"/>
        <v>0</v>
      </c>
      <c r="BA63" s="678">
        <f t="shared" si="16"/>
        <v>0</v>
      </c>
      <c r="BB63" s="678">
        <f t="shared" si="16"/>
        <v>0</v>
      </c>
      <c r="BC63" s="678">
        <f t="shared" si="16"/>
        <v>0</v>
      </c>
      <c r="BD63" s="678">
        <f t="shared" si="16"/>
        <v>0</v>
      </c>
      <c r="BE63" s="678">
        <f t="shared" si="16"/>
        <v>0</v>
      </c>
      <c r="BF63" s="678">
        <f t="shared" si="16"/>
        <v>0</v>
      </c>
      <c r="BG63" s="678">
        <f t="shared" si="16"/>
        <v>0</v>
      </c>
      <c r="BH63" s="678">
        <f t="shared" si="16"/>
        <v>0</v>
      </c>
      <c r="BI63" s="678">
        <f t="shared" si="16"/>
        <v>0</v>
      </c>
      <c r="BJ63" s="678">
        <f t="shared" si="16"/>
        <v>0</v>
      </c>
      <c r="BK63" s="678">
        <f t="shared" si="16"/>
        <v>0</v>
      </c>
      <c r="BL63" s="678">
        <f t="shared" si="16"/>
        <v>0</v>
      </c>
      <c r="BM63" s="678">
        <f t="shared" si="16"/>
        <v>0</v>
      </c>
      <c r="BN63" s="678">
        <f t="shared" si="16"/>
        <v>0</v>
      </c>
      <c r="BO63" s="678">
        <f t="shared" si="16"/>
        <v>0</v>
      </c>
      <c r="BP63" s="678">
        <f t="shared" ref="BP63:CA63" si="18">SUM(BP54:BP62)</f>
        <v>0</v>
      </c>
      <c r="BQ63" s="678">
        <f t="shared" si="18"/>
        <v>0</v>
      </c>
      <c r="BR63" s="678">
        <f t="shared" si="18"/>
        <v>0</v>
      </c>
      <c r="BS63" s="678">
        <f t="shared" si="18"/>
        <v>0</v>
      </c>
      <c r="BT63" s="678">
        <f t="shared" si="18"/>
        <v>0</v>
      </c>
      <c r="BU63" s="678">
        <f t="shared" si="18"/>
        <v>0</v>
      </c>
      <c r="BV63" s="678">
        <f t="shared" si="18"/>
        <v>0</v>
      </c>
      <c r="BW63" s="678">
        <f t="shared" si="18"/>
        <v>0</v>
      </c>
      <c r="BX63" s="678">
        <f t="shared" si="18"/>
        <v>0</v>
      </c>
      <c r="BY63" s="678">
        <f t="shared" si="18"/>
        <v>0</v>
      </c>
      <c r="BZ63" s="678">
        <f t="shared" si="18"/>
        <v>0</v>
      </c>
      <c r="CA63" s="678">
        <f t="shared" si="18"/>
        <v>0</v>
      </c>
    </row>
    <row r="64" spans="1:79" hidden="1" outlineLevel="1" x14ac:dyDescent="0.25">
      <c r="A64" s="655"/>
      <c r="B64" s="570"/>
      <c r="C64" s="570"/>
      <c r="D64" s="570"/>
      <c r="E64" s="570" t="s">
        <v>1336</v>
      </c>
      <c r="F64" s="655" t="s">
        <v>665</v>
      </c>
      <c r="G64" s="665"/>
      <c r="H64" s="665"/>
      <c r="I64" s="665"/>
      <c r="J64" s="686"/>
      <c r="K64" s="686"/>
      <c r="L64" s="686"/>
      <c r="M64" s="686"/>
      <c r="N64" s="686"/>
      <c r="O64" s="686"/>
      <c r="P64" s="666"/>
      <c r="Q64" s="666"/>
      <c r="R64" s="666"/>
      <c r="S64" s="667">
        <v>0</v>
      </c>
      <c r="T64" s="667">
        <v>0</v>
      </c>
      <c r="U64" s="667">
        <v>0</v>
      </c>
      <c r="V64" s="667">
        <v>0</v>
      </c>
      <c r="W64" s="667">
        <v>0</v>
      </c>
      <c r="X64" s="667">
        <v>0</v>
      </c>
      <c r="Y64" s="667">
        <v>0</v>
      </c>
      <c r="Z64" s="667">
        <v>0</v>
      </c>
      <c r="AA64" s="667">
        <v>0</v>
      </c>
      <c r="AB64" s="667">
        <v>0</v>
      </c>
      <c r="AC64" s="667">
        <v>0</v>
      </c>
      <c r="AD64" s="668">
        <v>0</v>
      </c>
      <c r="AE64" s="667">
        <v>0</v>
      </c>
      <c r="AF64" s="667">
        <v>0</v>
      </c>
      <c r="AG64" s="668">
        <v>0</v>
      </c>
      <c r="AH64" s="668"/>
      <c r="AI64" s="668"/>
      <c r="AJ64" s="668"/>
      <c r="AK64" s="668"/>
      <c r="AL64" s="668"/>
      <c r="AM64" s="668"/>
      <c r="AN64" s="668"/>
      <c r="AO64" s="668"/>
      <c r="AP64" s="668"/>
      <c r="AQ64" s="668"/>
      <c r="AR64" s="668"/>
      <c r="AS64" s="668"/>
      <c r="AT64" s="668"/>
      <c r="AU64" s="668"/>
      <c r="AV64" s="668"/>
      <c r="AW64" s="668"/>
      <c r="AX64" s="668"/>
      <c r="AY64" s="668"/>
      <c r="AZ64" s="668"/>
      <c r="BA64" s="668"/>
      <c r="BB64" s="668"/>
      <c r="BC64" s="668"/>
      <c r="BD64" s="668"/>
      <c r="BE64" s="668"/>
      <c r="BF64" s="668"/>
      <c r="BG64" s="668"/>
      <c r="BH64" s="668"/>
      <c r="BI64" s="668"/>
      <c r="BJ64" s="668"/>
      <c r="BK64" s="668"/>
      <c r="BL64" s="668"/>
      <c r="BM64" s="668"/>
      <c r="BN64" s="668"/>
      <c r="BO64" s="668"/>
      <c r="BP64" s="668"/>
      <c r="BQ64" s="668"/>
      <c r="BR64" s="668"/>
      <c r="BS64" s="668"/>
      <c r="BT64" s="668"/>
      <c r="BU64" s="668"/>
      <c r="BV64" s="668"/>
      <c r="BW64" s="668"/>
      <c r="BX64" s="668"/>
      <c r="BY64" s="668"/>
      <c r="BZ64" s="668"/>
      <c r="CA64" s="668"/>
    </row>
    <row r="65" spans="1:79" s="740" customFormat="1" hidden="1" outlineLevel="1" x14ac:dyDescent="0.25">
      <c r="A65" s="701"/>
      <c r="B65" s="700"/>
      <c r="C65" s="700"/>
      <c r="D65" s="700"/>
      <c r="E65" s="570" t="s">
        <v>1337</v>
      </c>
      <c r="F65" s="701" t="s">
        <v>593</v>
      </c>
      <c r="G65" s="696"/>
      <c r="H65" s="696"/>
      <c r="I65" s="696"/>
      <c r="J65" s="705"/>
      <c r="K65" s="705"/>
      <c r="L65" s="705"/>
      <c r="M65" s="705"/>
      <c r="N65" s="705"/>
      <c r="O65" s="705"/>
      <c r="P65" s="697"/>
      <c r="Q65" s="697"/>
      <c r="R65" s="697"/>
      <c r="S65" s="697"/>
      <c r="T65" s="697"/>
      <c r="U65" s="697"/>
      <c r="V65" s="697"/>
      <c r="W65" s="697"/>
      <c r="X65" s="697"/>
      <c r="Y65" s="697"/>
      <c r="Z65" s="697"/>
      <c r="AA65" s="697"/>
      <c r="AB65" s="697"/>
      <c r="AC65" s="697"/>
      <c r="AD65" s="698"/>
      <c r="AE65" s="697"/>
      <c r="AF65" s="697"/>
      <c r="AG65" s="698"/>
      <c r="AH65" s="698"/>
      <c r="AI65" s="698"/>
      <c r="AJ65" s="698"/>
      <c r="AK65" s="698"/>
      <c r="AL65" s="698"/>
      <c r="AM65" s="698"/>
      <c r="AN65" s="698"/>
      <c r="AO65" s="698"/>
      <c r="AP65" s="698"/>
      <c r="AQ65" s="698"/>
      <c r="AR65" s="698"/>
      <c r="AS65" s="698"/>
      <c r="AT65" s="698"/>
      <c r="AU65" s="698"/>
      <c r="AV65" s="698"/>
      <c r="AW65" s="698"/>
      <c r="AX65" s="698"/>
      <c r="AY65" s="698"/>
      <c r="AZ65" s="698"/>
      <c r="BA65" s="698"/>
      <c r="BB65" s="698"/>
      <c r="BC65" s="698"/>
      <c r="BD65" s="698"/>
      <c r="BE65" s="698"/>
      <c r="BF65" s="698"/>
      <c r="BG65" s="698"/>
      <c r="BH65" s="698"/>
      <c r="BI65" s="698"/>
      <c r="BJ65" s="698"/>
      <c r="BK65" s="698"/>
      <c r="BL65" s="698"/>
      <c r="BM65" s="698"/>
      <c r="BN65" s="698"/>
      <c r="BO65" s="698"/>
      <c r="BP65" s="698"/>
      <c r="BQ65" s="698"/>
      <c r="BR65" s="698"/>
      <c r="BS65" s="698"/>
      <c r="BT65" s="698"/>
      <c r="BU65" s="698"/>
      <c r="BV65" s="698"/>
      <c r="BW65" s="698"/>
      <c r="BX65" s="698"/>
      <c r="BY65" s="698"/>
      <c r="BZ65" s="698"/>
      <c r="CA65" s="698"/>
    </row>
    <row r="66" spans="1:79" s="740" customFormat="1" hidden="1" outlineLevel="1" x14ac:dyDescent="0.25">
      <c r="A66" s="656"/>
      <c r="B66" s="503"/>
      <c r="C66" s="503"/>
      <c r="D66" s="503"/>
      <c r="E66" s="570" t="s">
        <v>1337</v>
      </c>
      <c r="F66" s="656" t="s">
        <v>882</v>
      </c>
      <c r="G66" s="669"/>
      <c r="H66" s="669"/>
      <c r="I66" s="669"/>
      <c r="J66" s="687"/>
      <c r="K66" s="687"/>
      <c r="L66" s="687"/>
      <c r="M66" s="687"/>
      <c r="N66" s="687"/>
      <c r="O66" s="687"/>
      <c r="P66" s="670"/>
      <c r="Q66" s="670"/>
      <c r="R66" s="670"/>
      <c r="S66" s="671">
        <v>0</v>
      </c>
      <c r="T66" s="671">
        <v>0</v>
      </c>
      <c r="U66" s="671">
        <v>0</v>
      </c>
      <c r="V66" s="671">
        <v>0</v>
      </c>
      <c r="W66" s="671">
        <v>0</v>
      </c>
      <c r="X66" s="671">
        <v>0</v>
      </c>
      <c r="Y66" s="671">
        <v>0</v>
      </c>
      <c r="Z66" s="671">
        <v>0</v>
      </c>
      <c r="AA66" s="671">
        <v>0</v>
      </c>
      <c r="AB66" s="671">
        <v>0</v>
      </c>
      <c r="AC66" s="671">
        <v>0</v>
      </c>
      <c r="AD66" s="672">
        <v>0</v>
      </c>
      <c r="AE66" s="671">
        <v>0</v>
      </c>
      <c r="AF66" s="671">
        <v>0</v>
      </c>
      <c r="AG66" s="672">
        <v>0</v>
      </c>
      <c r="AH66" s="672"/>
      <c r="AI66" s="672"/>
      <c r="AJ66" s="672"/>
      <c r="AK66" s="672"/>
      <c r="AL66" s="672"/>
      <c r="AM66" s="672"/>
      <c r="AN66" s="672"/>
      <c r="AO66" s="672"/>
      <c r="AP66" s="672"/>
      <c r="AQ66" s="672"/>
      <c r="AR66" s="672"/>
      <c r="AS66" s="672"/>
      <c r="AT66" s="672"/>
      <c r="AU66" s="672"/>
      <c r="AV66" s="672"/>
      <c r="AW66" s="672"/>
      <c r="AX66" s="672"/>
      <c r="AY66" s="672"/>
      <c r="AZ66" s="672"/>
      <c r="BA66" s="672"/>
      <c r="BB66" s="672"/>
      <c r="BC66" s="672"/>
      <c r="BD66" s="672"/>
      <c r="BE66" s="672"/>
      <c r="BF66" s="672"/>
      <c r="BG66" s="672"/>
      <c r="BH66" s="672"/>
      <c r="BI66" s="672"/>
      <c r="BJ66" s="672"/>
      <c r="BK66" s="672"/>
      <c r="BL66" s="672"/>
      <c r="BM66" s="672"/>
      <c r="BN66" s="672"/>
      <c r="BO66" s="672"/>
      <c r="BP66" s="672"/>
      <c r="BQ66" s="672"/>
      <c r="BR66" s="672"/>
      <c r="BS66" s="672"/>
      <c r="BT66" s="672"/>
      <c r="BU66" s="672"/>
      <c r="BV66" s="672"/>
      <c r="BW66" s="672"/>
      <c r="BX66" s="672"/>
      <c r="BY66" s="672"/>
      <c r="BZ66" s="672"/>
      <c r="CA66" s="672"/>
    </row>
    <row r="67" spans="1:79" s="740" customFormat="1" hidden="1" outlineLevel="1" x14ac:dyDescent="0.25">
      <c r="A67" s="656"/>
      <c r="B67" s="503"/>
      <c r="C67" s="503"/>
      <c r="D67" s="503"/>
      <c r="E67" s="570" t="s">
        <v>941</v>
      </c>
      <c r="F67" s="656" t="s">
        <v>883</v>
      </c>
      <c r="G67" s="669"/>
      <c r="H67" s="669"/>
      <c r="I67" s="669"/>
      <c r="J67" s="687"/>
      <c r="K67" s="687"/>
      <c r="L67" s="687"/>
      <c r="M67" s="687"/>
      <c r="N67" s="687"/>
      <c r="O67" s="687"/>
      <c r="P67" s="670"/>
      <c r="Q67" s="670"/>
      <c r="R67" s="670"/>
      <c r="S67" s="671">
        <v>0</v>
      </c>
      <c r="T67" s="671">
        <v>0</v>
      </c>
      <c r="U67" s="671">
        <v>0</v>
      </c>
      <c r="V67" s="671">
        <v>0</v>
      </c>
      <c r="W67" s="671">
        <v>0</v>
      </c>
      <c r="X67" s="671">
        <v>0</v>
      </c>
      <c r="Y67" s="671">
        <v>0</v>
      </c>
      <c r="Z67" s="671">
        <v>0</v>
      </c>
      <c r="AA67" s="671">
        <v>0</v>
      </c>
      <c r="AB67" s="671">
        <v>0</v>
      </c>
      <c r="AC67" s="671">
        <v>0</v>
      </c>
      <c r="AD67" s="672">
        <v>0</v>
      </c>
      <c r="AE67" s="671">
        <v>0</v>
      </c>
      <c r="AF67" s="671">
        <v>0</v>
      </c>
      <c r="AG67" s="672">
        <v>0</v>
      </c>
      <c r="AH67" s="672"/>
      <c r="AI67" s="672"/>
      <c r="AJ67" s="672"/>
      <c r="AK67" s="672"/>
      <c r="AL67" s="672"/>
      <c r="AM67" s="672"/>
      <c r="AN67" s="672"/>
      <c r="AO67" s="672"/>
      <c r="AP67" s="672"/>
      <c r="AQ67" s="672"/>
      <c r="AR67" s="672"/>
      <c r="AS67" s="672"/>
      <c r="AT67" s="672"/>
      <c r="AU67" s="672"/>
      <c r="AV67" s="672"/>
      <c r="AW67" s="672"/>
      <c r="AX67" s="672"/>
      <c r="AY67" s="672"/>
      <c r="AZ67" s="672"/>
      <c r="BA67" s="672"/>
      <c r="BB67" s="672"/>
      <c r="BC67" s="672"/>
      <c r="BD67" s="672"/>
      <c r="BE67" s="672"/>
      <c r="BF67" s="672"/>
      <c r="BG67" s="672"/>
      <c r="BH67" s="672"/>
      <c r="BI67" s="672"/>
      <c r="BJ67" s="672"/>
      <c r="BK67" s="672"/>
      <c r="BL67" s="672"/>
      <c r="BM67" s="672"/>
      <c r="BN67" s="672"/>
      <c r="BO67" s="672"/>
      <c r="BP67" s="672"/>
      <c r="BQ67" s="672"/>
      <c r="BR67" s="672"/>
      <c r="BS67" s="672"/>
      <c r="BT67" s="672"/>
      <c r="BU67" s="672"/>
      <c r="BV67" s="672"/>
      <c r="BW67" s="672"/>
      <c r="BX67" s="672"/>
      <c r="BY67" s="672"/>
      <c r="BZ67" s="672"/>
      <c r="CA67" s="672"/>
    </row>
    <row r="68" spans="1:79" s="740" customFormat="1" hidden="1" outlineLevel="1" x14ac:dyDescent="0.25">
      <c r="A68" s="656"/>
      <c r="B68" s="503"/>
      <c r="C68" s="503"/>
      <c r="D68" s="503"/>
      <c r="E68" s="570" t="s">
        <v>945</v>
      </c>
      <c r="F68" s="656" t="s">
        <v>884</v>
      </c>
      <c r="G68" s="669"/>
      <c r="H68" s="669"/>
      <c r="I68" s="669"/>
      <c r="J68" s="687"/>
      <c r="K68" s="687"/>
      <c r="L68" s="687"/>
      <c r="M68" s="687"/>
      <c r="N68" s="687"/>
      <c r="O68" s="687"/>
      <c r="P68" s="670"/>
      <c r="Q68" s="670"/>
      <c r="R68" s="670"/>
      <c r="S68" s="671">
        <v>0</v>
      </c>
      <c r="T68" s="671">
        <v>0</v>
      </c>
      <c r="U68" s="671">
        <v>0</v>
      </c>
      <c r="V68" s="671">
        <v>0</v>
      </c>
      <c r="W68" s="671">
        <v>0</v>
      </c>
      <c r="X68" s="671">
        <v>0</v>
      </c>
      <c r="Y68" s="671">
        <v>0</v>
      </c>
      <c r="Z68" s="671">
        <v>0</v>
      </c>
      <c r="AA68" s="671">
        <v>0</v>
      </c>
      <c r="AB68" s="671">
        <v>0</v>
      </c>
      <c r="AC68" s="671">
        <v>0</v>
      </c>
      <c r="AD68" s="672">
        <v>0</v>
      </c>
      <c r="AE68" s="671">
        <v>0</v>
      </c>
      <c r="AF68" s="671">
        <v>0</v>
      </c>
      <c r="AG68" s="672">
        <v>0</v>
      </c>
      <c r="AH68" s="672"/>
      <c r="AI68" s="672"/>
      <c r="AJ68" s="672"/>
      <c r="AK68" s="672"/>
      <c r="AL68" s="672"/>
      <c r="AM68" s="672"/>
      <c r="AN68" s="672"/>
      <c r="AO68" s="672"/>
      <c r="AP68" s="672"/>
      <c r="AQ68" s="672"/>
      <c r="AR68" s="672"/>
      <c r="AS68" s="672"/>
      <c r="AT68" s="672"/>
      <c r="AU68" s="672"/>
      <c r="AV68" s="672"/>
      <c r="AW68" s="672"/>
      <c r="AX68" s="672"/>
      <c r="AY68" s="672"/>
      <c r="AZ68" s="672"/>
      <c r="BA68" s="672"/>
      <c r="BB68" s="672"/>
      <c r="BC68" s="672"/>
      <c r="BD68" s="672"/>
      <c r="BE68" s="672"/>
      <c r="BF68" s="672"/>
      <c r="BG68" s="672"/>
      <c r="BH68" s="672"/>
      <c r="BI68" s="672"/>
      <c r="BJ68" s="672"/>
      <c r="BK68" s="672"/>
      <c r="BL68" s="672"/>
      <c r="BM68" s="672"/>
      <c r="BN68" s="672"/>
      <c r="BO68" s="672"/>
      <c r="BP68" s="672"/>
      <c r="BQ68" s="672"/>
      <c r="BR68" s="672"/>
      <c r="BS68" s="672"/>
      <c r="BT68" s="672"/>
      <c r="BU68" s="672"/>
      <c r="BV68" s="672"/>
      <c r="BW68" s="672"/>
      <c r="BX68" s="672"/>
      <c r="BY68" s="672"/>
      <c r="BZ68" s="672"/>
      <c r="CA68" s="672"/>
    </row>
    <row r="69" spans="1:79" s="740" customFormat="1" hidden="1" outlineLevel="1" x14ac:dyDescent="0.25">
      <c r="A69" s="656"/>
      <c r="B69" s="503"/>
      <c r="C69" s="503"/>
      <c r="D69" s="503"/>
      <c r="E69" s="570" t="s">
        <v>1337</v>
      </c>
      <c r="F69" s="656" t="s">
        <v>885</v>
      </c>
      <c r="G69" s="669"/>
      <c r="H69" s="669"/>
      <c r="I69" s="669"/>
      <c r="J69" s="687"/>
      <c r="K69" s="687"/>
      <c r="L69" s="687"/>
      <c r="M69" s="687"/>
      <c r="N69" s="687"/>
      <c r="O69" s="687"/>
      <c r="P69" s="670"/>
      <c r="Q69" s="670"/>
      <c r="R69" s="670"/>
      <c r="S69" s="671">
        <v>0</v>
      </c>
      <c r="T69" s="671">
        <v>0</v>
      </c>
      <c r="U69" s="671">
        <v>0</v>
      </c>
      <c r="V69" s="671">
        <v>0</v>
      </c>
      <c r="W69" s="671">
        <v>0</v>
      </c>
      <c r="X69" s="671">
        <v>0</v>
      </c>
      <c r="Y69" s="671">
        <v>0</v>
      </c>
      <c r="Z69" s="671">
        <v>0</v>
      </c>
      <c r="AA69" s="671">
        <v>0</v>
      </c>
      <c r="AB69" s="671">
        <v>0</v>
      </c>
      <c r="AC69" s="671">
        <v>0</v>
      </c>
      <c r="AD69" s="672">
        <v>0</v>
      </c>
      <c r="AE69" s="671">
        <v>0</v>
      </c>
      <c r="AF69" s="671">
        <v>0</v>
      </c>
      <c r="AG69" s="672">
        <v>0</v>
      </c>
      <c r="AH69" s="672"/>
      <c r="AI69" s="672"/>
      <c r="AJ69" s="672"/>
      <c r="AK69" s="672"/>
      <c r="AL69" s="672"/>
      <c r="AM69" s="672"/>
      <c r="AN69" s="672"/>
      <c r="AO69" s="672"/>
      <c r="AP69" s="672"/>
      <c r="AQ69" s="672"/>
      <c r="AR69" s="672"/>
      <c r="AS69" s="672"/>
      <c r="AT69" s="672"/>
      <c r="AU69" s="672"/>
      <c r="AV69" s="672"/>
      <c r="AW69" s="672"/>
      <c r="AX69" s="672"/>
      <c r="AY69" s="672"/>
      <c r="AZ69" s="672"/>
      <c r="BA69" s="672"/>
      <c r="BB69" s="672"/>
      <c r="BC69" s="672"/>
      <c r="BD69" s="672"/>
      <c r="BE69" s="672"/>
      <c r="BF69" s="672"/>
      <c r="BG69" s="672"/>
      <c r="BH69" s="672"/>
      <c r="BI69" s="672"/>
      <c r="BJ69" s="672"/>
      <c r="BK69" s="672"/>
      <c r="BL69" s="672"/>
      <c r="BM69" s="672"/>
      <c r="BN69" s="672"/>
      <c r="BO69" s="672"/>
      <c r="BP69" s="672"/>
      <c r="BQ69" s="672"/>
      <c r="BR69" s="672"/>
      <c r="BS69" s="672"/>
      <c r="BT69" s="672"/>
      <c r="BU69" s="672"/>
      <c r="BV69" s="672"/>
      <c r="BW69" s="672"/>
      <c r="BX69" s="672"/>
      <c r="BY69" s="672"/>
      <c r="BZ69" s="672"/>
      <c r="CA69" s="672"/>
    </row>
    <row r="70" spans="1:79" s="740" customFormat="1" hidden="1" outlineLevel="1" x14ac:dyDescent="0.25">
      <c r="A70" s="656"/>
      <c r="B70" s="503"/>
      <c r="C70" s="503"/>
      <c r="D70" s="503"/>
      <c r="E70" s="570" t="s">
        <v>1270</v>
      </c>
      <c r="F70" s="656" t="s">
        <v>818</v>
      </c>
      <c r="G70" s="669"/>
      <c r="H70" s="669"/>
      <c r="I70" s="669"/>
      <c r="J70" s="687"/>
      <c r="K70" s="687"/>
      <c r="L70" s="687"/>
      <c r="M70" s="687"/>
      <c r="N70" s="687"/>
      <c r="O70" s="687"/>
      <c r="P70" s="670"/>
      <c r="Q70" s="670"/>
      <c r="R70" s="670"/>
      <c r="S70" s="671">
        <v>0</v>
      </c>
      <c r="T70" s="671">
        <v>0</v>
      </c>
      <c r="U70" s="671">
        <v>0</v>
      </c>
      <c r="V70" s="671">
        <v>0</v>
      </c>
      <c r="W70" s="671">
        <v>0</v>
      </c>
      <c r="X70" s="671">
        <v>0</v>
      </c>
      <c r="Y70" s="671">
        <v>0</v>
      </c>
      <c r="Z70" s="671">
        <v>0</v>
      </c>
      <c r="AA70" s="671">
        <v>0</v>
      </c>
      <c r="AB70" s="671">
        <v>0</v>
      </c>
      <c r="AC70" s="671">
        <v>0</v>
      </c>
      <c r="AD70" s="672">
        <v>0</v>
      </c>
      <c r="AE70" s="671">
        <v>0</v>
      </c>
      <c r="AF70" s="671">
        <v>0</v>
      </c>
      <c r="AG70" s="672">
        <v>0</v>
      </c>
      <c r="AH70" s="672"/>
      <c r="AI70" s="672"/>
      <c r="AJ70" s="672"/>
      <c r="AK70" s="672"/>
      <c r="AL70" s="672"/>
      <c r="AM70" s="672"/>
      <c r="AN70" s="672"/>
      <c r="AO70" s="672"/>
      <c r="AP70" s="672"/>
      <c r="AQ70" s="672"/>
      <c r="AR70" s="672"/>
      <c r="AS70" s="672"/>
      <c r="AT70" s="672"/>
      <c r="AU70" s="672"/>
      <c r="AV70" s="672"/>
      <c r="AW70" s="672"/>
      <c r="AX70" s="672"/>
      <c r="AY70" s="672"/>
      <c r="AZ70" s="672"/>
      <c r="BA70" s="672"/>
      <c r="BB70" s="672"/>
      <c r="BC70" s="672"/>
      <c r="BD70" s="672"/>
      <c r="BE70" s="672"/>
      <c r="BF70" s="672"/>
      <c r="BG70" s="672"/>
      <c r="BH70" s="672"/>
      <c r="BI70" s="672"/>
      <c r="BJ70" s="672"/>
      <c r="BK70" s="672"/>
      <c r="BL70" s="672"/>
      <c r="BM70" s="672"/>
      <c r="BN70" s="672"/>
      <c r="BO70" s="672"/>
      <c r="BP70" s="672"/>
      <c r="BQ70" s="672"/>
      <c r="BR70" s="672"/>
      <c r="BS70" s="672"/>
      <c r="BT70" s="672"/>
      <c r="BU70" s="672"/>
      <c r="BV70" s="672"/>
      <c r="BW70" s="672"/>
      <c r="BX70" s="672"/>
      <c r="BY70" s="672"/>
      <c r="BZ70" s="672"/>
      <c r="CA70" s="672"/>
    </row>
    <row r="71" spans="1:79" s="740" customFormat="1" hidden="1" outlineLevel="1" x14ac:dyDescent="0.25">
      <c r="A71" s="656"/>
      <c r="B71" s="503"/>
      <c r="C71" s="503"/>
      <c r="D71" s="503"/>
      <c r="E71" s="570" t="s">
        <v>1260</v>
      </c>
      <c r="F71" s="656" t="s">
        <v>609</v>
      </c>
      <c r="G71" s="669"/>
      <c r="H71" s="669"/>
      <c r="I71" s="669"/>
      <c r="J71" s="687"/>
      <c r="K71" s="687"/>
      <c r="L71" s="687"/>
      <c r="M71" s="687"/>
      <c r="N71" s="687"/>
      <c r="O71" s="687"/>
      <c r="P71" s="670"/>
      <c r="Q71" s="670"/>
      <c r="R71" s="670"/>
      <c r="S71" s="671">
        <v>0</v>
      </c>
      <c r="T71" s="671">
        <v>0</v>
      </c>
      <c r="U71" s="671">
        <v>0</v>
      </c>
      <c r="V71" s="671">
        <v>0</v>
      </c>
      <c r="W71" s="671">
        <v>0</v>
      </c>
      <c r="X71" s="671">
        <v>0</v>
      </c>
      <c r="Y71" s="671">
        <v>0</v>
      </c>
      <c r="Z71" s="671">
        <v>0</v>
      </c>
      <c r="AA71" s="671">
        <v>0</v>
      </c>
      <c r="AB71" s="671">
        <v>0</v>
      </c>
      <c r="AC71" s="671">
        <v>0</v>
      </c>
      <c r="AD71" s="672">
        <v>0</v>
      </c>
      <c r="AE71" s="671">
        <v>0</v>
      </c>
      <c r="AF71" s="671">
        <v>0</v>
      </c>
      <c r="AG71" s="672">
        <v>0</v>
      </c>
      <c r="AH71" s="672"/>
      <c r="AI71" s="672"/>
      <c r="AJ71" s="672"/>
      <c r="AK71" s="672"/>
      <c r="AL71" s="672"/>
      <c r="AM71" s="672"/>
      <c r="AN71" s="672"/>
      <c r="AO71" s="672"/>
      <c r="AP71" s="672"/>
      <c r="AQ71" s="672"/>
      <c r="AR71" s="672"/>
      <c r="AS71" s="672"/>
      <c r="AT71" s="672"/>
      <c r="AU71" s="672"/>
      <c r="AV71" s="672"/>
      <c r="AW71" s="672"/>
      <c r="AX71" s="672"/>
      <c r="AY71" s="672"/>
      <c r="AZ71" s="672"/>
      <c r="BA71" s="672"/>
      <c r="BB71" s="672"/>
      <c r="BC71" s="672"/>
      <c r="BD71" s="672"/>
      <c r="BE71" s="672"/>
      <c r="BF71" s="672"/>
      <c r="BG71" s="672"/>
      <c r="BH71" s="672"/>
      <c r="BI71" s="672"/>
      <c r="BJ71" s="672"/>
      <c r="BK71" s="672"/>
      <c r="BL71" s="672"/>
      <c r="BM71" s="672"/>
      <c r="BN71" s="672"/>
      <c r="BO71" s="672"/>
      <c r="BP71" s="672"/>
      <c r="BQ71" s="672"/>
      <c r="BR71" s="672"/>
      <c r="BS71" s="672"/>
      <c r="BT71" s="672"/>
      <c r="BU71" s="672"/>
      <c r="BV71" s="672"/>
      <c r="BW71" s="672"/>
      <c r="BX71" s="672"/>
      <c r="BY71" s="672"/>
      <c r="BZ71" s="672"/>
      <c r="CA71" s="672"/>
    </row>
    <row r="72" spans="1:79" s="451" customFormat="1" hidden="1" outlineLevel="1" x14ac:dyDescent="0.25">
      <c r="A72" s="656"/>
      <c r="B72" s="79"/>
      <c r="C72" s="79"/>
      <c r="D72" s="79"/>
      <c r="E72" s="570" t="s">
        <v>1326</v>
      </c>
      <c r="F72" s="656" t="s">
        <v>610</v>
      </c>
      <c r="G72" s="673"/>
      <c r="H72" s="673"/>
      <c r="I72" s="673"/>
      <c r="J72" s="674"/>
      <c r="K72" s="674"/>
      <c r="L72" s="674"/>
      <c r="M72" s="674"/>
      <c r="N72" s="674"/>
      <c r="O72" s="674"/>
      <c r="P72" s="675"/>
      <c r="Q72" s="675"/>
      <c r="R72" s="675"/>
      <c r="S72" s="676">
        <v>0</v>
      </c>
      <c r="T72" s="676">
        <v>500</v>
      </c>
      <c r="U72" s="676">
        <v>0</v>
      </c>
      <c r="V72" s="676">
        <v>0</v>
      </c>
      <c r="W72" s="676">
        <v>0</v>
      </c>
      <c r="X72" s="676">
        <v>0</v>
      </c>
      <c r="Y72" s="676">
        <v>0</v>
      </c>
      <c r="Z72" s="676">
        <v>0</v>
      </c>
      <c r="AA72" s="676">
        <v>5.39</v>
      </c>
      <c r="AB72" s="676">
        <v>350</v>
      </c>
      <c r="AC72" s="676">
        <v>0</v>
      </c>
      <c r="AD72" s="677">
        <v>0</v>
      </c>
      <c r="AE72" s="676">
        <v>0</v>
      </c>
      <c r="AF72" s="676">
        <v>0</v>
      </c>
      <c r="AG72" s="677">
        <v>4238.8900000000003</v>
      </c>
      <c r="AH72" s="677"/>
      <c r="AI72" s="677"/>
      <c r="AJ72" s="677"/>
      <c r="AK72" s="677"/>
      <c r="AL72" s="677"/>
      <c r="AM72" s="677"/>
      <c r="AN72" s="677"/>
      <c r="AO72" s="677"/>
      <c r="AP72" s="677"/>
      <c r="AQ72" s="677"/>
      <c r="AR72" s="677"/>
      <c r="AS72" s="677"/>
      <c r="AT72" s="677"/>
      <c r="AU72" s="677"/>
      <c r="AV72" s="677"/>
      <c r="AW72" s="677"/>
      <c r="AX72" s="677"/>
      <c r="AY72" s="677"/>
      <c r="AZ72" s="677"/>
      <c r="BA72" s="677"/>
      <c r="BB72" s="677"/>
      <c r="BC72" s="677"/>
      <c r="BD72" s="677"/>
      <c r="BE72" s="677"/>
      <c r="BF72" s="677"/>
      <c r="BG72" s="677"/>
      <c r="BH72" s="677"/>
      <c r="BI72" s="677"/>
      <c r="BJ72" s="677"/>
      <c r="BK72" s="677"/>
      <c r="BL72" s="677"/>
      <c r="BM72" s="677"/>
      <c r="BN72" s="677"/>
      <c r="BO72" s="677"/>
      <c r="BP72" s="677"/>
      <c r="BQ72" s="677"/>
      <c r="BR72" s="677"/>
      <c r="BS72" s="677"/>
      <c r="BT72" s="677"/>
      <c r="BU72" s="677"/>
      <c r="BV72" s="677"/>
      <c r="BW72" s="677"/>
      <c r="BX72" s="677"/>
      <c r="BY72" s="677"/>
      <c r="BZ72" s="677"/>
      <c r="CA72" s="677"/>
    </row>
    <row r="73" spans="1:79" s="451" customFormat="1" hidden="1" outlineLevel="1" x14ac:dyDescent="0.25">
      <c r="A73" s="656"/>
      <c r="B73" s="576"/>
      <c r="C73" s="576"/>
      <c r="D73" s="576"/>
      <c r="E73" s="570" t="s">
        <v>985</v>
      </c>
      <c r="F73" s="656" t="s">
        <v>611</v>
      </c>
      <c r="G73" s="673"/>
      <c r="H73" s="673"/>
      <c r="I73" s="673"/>
      <c r="J73" s="674"/>
      <c r="K73" s="674"/>
      <c r="L73" s="674"/>
      <c r="M73" s="674"/>
      <c r="N73" s="674"/>
      <c r="O73" s="674"/>
      <c r="P73" s="675"/>
      <c r="Q73" s="675"/>
      <c r="R73" s="675"/>
      <c r="S73" s="676">
        <v>0</v>
      </c>
      <c r="T73" s="676">
        <v>0</v>
      </c>
      <c r="U73" s="676">
        <v>0</v>
      </c>
      <c r="V73" s="676">
        <v>0</v>
      </c>
      <c r="W73" s="676">
        <v>0</v>
      </c>
      <c r="X73" s="676">
        <v>0</v>
      </c>
      <c r="Y73" s="676">
        <v>0</v>
      </c>
      <c r="Z73" s="676">
        <v>0</v>
      </c>
      <c r="AA73" s="676">
        <v>0</v>
      </c>
      <c r="AB73" s="676">
        <v>0</v>
      </c>
      <c r="AC73" s="676">
        <v>0</v>
      </c>
      <c r="AD73" s="677">
        <v>0</v>
      </c>
      <c r="AE73" s="676">
        <v>0</v>
      </c>
      <c r="AF73" s="676">
        <v>0</v>
      </c>
      <c r="AG73" s="677">
        <v>0</v>
      </c>
      <c r="AH73" s="677"/>
      <c r="AI73" s="677"/>
      <c r="AJ73" s="677"/>
      <c r="AK73" s="677"/>
      <c r="AL73" s="677"/>
      <c r="AM73" s="677"/>
      <c r="AN73" s="677"/>
      <c r="AO73" s="677"/>
      <c r="AP73" s="677"/>
      <c r="AQ73" s="677"/>
      <c r="AR73" s="677"/>
      <c r="AS73" s="677"/>
      <c r="AT73" s="677"/>
      <c r="AU73" s="677"/>
      <c r="AV73" s="677"/>
      <c r="AW73" s="677"/>
      <c r="AX73" s="677"/>
      <c r="AY73" s="677"/>
      <c r="AZ73" s="677"/>
      <c r="BA73" s="677"/>
      <c r="BB73" s="677"/>
      <c r="BC73" s="677"/>
      <c r="BD73" s="677"/>
      <c r="BE73" s="677"/>
      <c r="BF73" s="677"/>
      <c r="BG73" s="677"/>
      <c r="BH73" s="677"/>
      <c r="BI73" s="677"/>
      <c r="BJ73" s="677"/>
      <c r="BK73" s="677"/>
      <c r="BL73" s="677"/>
      <c r="BM73" s="677"/>
      <c r="BN73" s="677"/>
      <c r="BO73" s="677"/>
      <c r="BP73" s="677"/>
      <c r="BQ73" s="677"/>
      <c r="BR73" s="677"/>
      <c r="BS73" s="677"/>
      <c r="BT73" s="677"/>
      <c r="BU73" s="677"/>
      <c r="BV73" s="677"/>
      <c r="BW73" s="677"/>
      <c r="BX73" s="677"/>
      <c r="BY73" s="677"/>
      <c r="BZ73" s="677"/>
      <c r="CA73" s="677"/>
    </row>
    <row r="74" spans="1:79" s="451" customFormat="1" hidden="1" outlineLevel="1" x14ac:dyDescent="0.25">
      <c r="A74" s="656"/>
      <c r="B74" s="576"/>
      <c r="C74" s="576"/>
      <c r="D74" s="576"/>
      <c r="E74" s="570" t="s">
        <v>945</v>
      </c>
      <c r="F74" s="656" t="s">
        <v>612</v>
      </c>
      <c r="G74" s="673"/>
      <c r="H74" s="673"/>
      <c r="I74" s="673"/>
      <c r="J74" s="674"/>
      <c r="K74" s="674"/>
      <c r="L74" s="674"/>
      <c r="M74" s="674"/>
      <c r="N74" s="674"/>
      <c r="O74" s="674"/>
      <c r="P74" s="675"/>
      <c r="Q74" s="675"/>
      <c r="R74" s="675"/>
      <c r="S74" s="676">
        <v>0</v>
      </c>
      <c r="T74" s="676">
        <v>0</v>
      </c>
      <c r="U74" s="676">
        <v>0</v>
      </c>
      <c r="V74" s="676">
        <v>0</v>
      </c>
      <c r="W74" s="676">
        <v>0</v>
      </c>
      <c r="X74" s="676">
        <v>0</v>
      </c>
      <c r="Y74" s="676">
        <v>0</v>
      </c>
      <c r="Z74" s="676">
        <v>0</v>
      </c>
      <c r="AA74" s="676">
        <v>0</v>
      </c>
      <c r="AB74" s="676">
        <v>0</v>
      </c>
      <c r="AC74" s="676">
        <v>0</v>
      </c>
      <c r="AD74" s="677">
        <v>497.86</v>
      </c>
      <c r="AE74" s="676">
        <v>0</v>
      </c>
      <c r="AF74" s="676">
        <v>0</v>
      </c>
      <c r="AG74" s="677">
        <v>0</v>
      </c>
      <c r="AH74" s="677"/>
      <c r="AI74" s="677"/>
      <c r="AJ74" s="677"/>
      <c r="AK74" s="677"/>
      <c r="AL74" s="677"/>
      <c r="AM74" s="677"/>
      <c r="AN74" s="677"/>
      <c r="AO74" s="677"/>
      <c r="AP74" s="677"/>
      <c r="AQ74" s="677"/>
      <c r="AR74" s="677"/>
      <c r="AS74" s="677"/>
      <c r="AT74" s="677"/>
      <c r="AU74" s="677"/>
      <c r="AV74" s="677"/>
      <c r="AW74" s="677"/>
      <c r="AX74" s="677"/>
      <c r="AY74" s="677"/>
      <c r="AZ74" s="677"/>
      <c r="BA74" s="677"/>
      <c r="BB74" s="677"/>
      <c r="BC74" s="677"/>
      <c r="BD74" s="677"/>
      <c r="BE74" s="677"/>
      <c r="BF74" s="677"/>
      <c r="BG74" s="677"/>
      <c r="BH74" s="677"/>
      <c r="BI74" s="677"/>
      <c r="BJ74" s="677"/>
      <c r="BK74" s="677"/>
      <c r="BL74" s="677"/>
      <c r="BM74" s="677"/>
      <c r="BN74" s="677"/>
      <c r="BO74" s="677"/>
      <c r="BP74" s="677"/>
      <c r="BQ74" s="677"/>
      <c r="BR74" s="677"/>
      <c r="BS74" s="677"/>
      <c r="BT74" s="677"/>
      <c r="BU74" s="677"/>
      <c r="BV74" s="677"/>
      <c r="BW74" s="677"/>
      <c r="BX74" s="677"/>
      <c r="BY74" s="677"/>
      <c r="BZ74" s="677"/>
      <c r="CA74" s="677"/>
    </row>
    <row r="75" spans="1:79" s="451" customFormat="1" hidden="1" outlineLevel="1" x14ac:dyDescent="0.25">
      <c r="A75" s="656"/>
      <c r="B75" s="576"/>
      <c r="C75" s="576"/>
      <c r="D75" s="576"/>
      <c r="E75" s="570" t="s">
        <v>1337</v>
      </c>
      <c r="F75" s="656" t="s">
        <v>886</v>
      </c>
      <c r="G75" s="673"/>
      <c r="H75" s="673"/>
      <c r="I75" s="673"/>
      <c r="J75" s="674"/>
      <c r="K75" s="674"/>
      <c r="L75" s="674"/>
      <c r="M75" s="674"/>
      <c r="N75" s="674"/>
      <c r="O75" s="674"/>
      <c r="P75" s="675"/>
      <c r="Q75" s="675"/>
      <c r="R75" s="675"/>
      <c r="S75" s="676">
        <v>0</v>
      </c>
      <c r="T75" s="676">
        <v>0</v>
      </c>
      <c r="U75" s="676">
        <v>0</v>
      </c>
      <c r="V75" s="676">
        <v>0</v>
      </c>
      <c r="W75" s="676">
        <v>0</v>
      </c>
      <c r="X75" s="676">
        <v>0</v>
      </c>
      <c r="Y75" s="676">
        <v>0</v>
      </c>
      <c r="Z75" s="676">
        <v>0</v>
      </c>
      <c r="AA75" s="676">
        <v>0</v>
      </c>
      <c r="AB75" s="676">
        <v>0</v>
      </c>
      <c r="AC75" s="676">
        <v>0</v>
      </c>
      <c r="AD75" s="677">
        <v>0</v>
      </c>
      <c r="AE75" s="676">
        <v>0</v>
      </c>
      <c r="AF75" s="676">
        <v>0</v>
      </c>
      <c r="AG75" s="677">
        <v>0</v>
      </c>
      <c r="AH75" s="677"/>
      <c r="AI75" s="677"/>
      <c r="AJ75" s="677"/>
      <c r="AK75" s="677"/>
      <c r="AL75" s="677"/>
      <c r="AM75" s="677"/>
      <c r="AN75" s="677"/>
      <c r="AO75" s="677"/>
      <c r="AP75" s="677"/>
      <c r="AQ75" s="677"/>
      <c r="AR75" s="677"/>
      <c r="AS75" s="677"/>
      <c r="AT75" s="677"/>
      <c r="AU75" s="677"/>
      <c r="AV75" s="677"/>
      <c r="AW75" s="677"/>
      <c r="AX75" s="677"/>
      <c r="AY75" s="677"/>
      <c r="AZ75" s="677"/>
      <c r="BA75" s="677"/>
      <c r="BB75" s="677"/>
      <c r="BC75" s="677"/>
      <c r="BD75" s="677"/>
      <c r="BE75" s="677"/>
      <c r="BF75" s="677"/>
      <c r="BG75" s="677"/>
      <c r="BH75" s="677"/>
      <c r="BI75" s="677"/>
      <c r="BJ75" s="677"/>
      <c r="BK75" s="677"/>
      <c r="BL75" s="677"/>
      <c r="BM75" s="677"/>
      <c r="BN75" s="677"/>
      <c r="BO75" s="677"/>
      <c r="BP75" s="677"/>
      <c r="BQ75" s="677"/>
      <c r="BR75" s="677"/>
      <c r="BS75" s="677"/>
      <c r="BT75" s="677"/>
      <c r="BU75" s="677"/>
      <c r="BV75" s="677"/>
      <c r="BW75" s="677"/>
      <c r="BX75" s="677"/>
      <c r="BY75" s="677"/>
      <c r="BZ75" s="677"/>
      <c r="CA75" s="677"/>
    </row>
    <row r="76" spans="1:79" s="451" customFormat="1" hidden="1" outlineLevel="1" x14ac:dyDescent="0.25">
      <c r="A76" s="656"/>
      <c r="B76" s="576"/>
      <c r="C76" s="576"/>
      <c r="D76" s="576"/>
      <c r="E76" s="570" t="s">
        <v>986</v>
      </c>
      <c r="F76" s="656" t="s">
        <v>763</v>
      </c>
      <c r="G76" s="673"/>
      <c r="H76" s="673"/>
      <c r="I76" s="673"/>
      <c r="J76" s="674"/>
      <c r="K76" s="674"/>
      <c r="L76" s="674"/>
      <c r="M76" s="674"/>
      <c r="N76" s="674"/>
      <c r="O76" s="674"/>
      <c r="P76" s="675"/>
      <c r="Q76" s="675"/>
      <c r="R76" s="675"/>
      <c r="S76" s="676">
        <v>0</v>
      </c>
      <c r="T76" s="676">
        <v>0</v>
      </c>
      <c r="U76" s="676">
        <v>0</v>
      </c>
      <c r="V76" s="676">
        <v>0</v>
      </c>
      <c r="W76" s="676">
        <v>0</v>
      </c>
      <c r="X76" s="676">
        <v>0</v>
      </c>
      <c r="Y76" s="676">
        <v>0</v>
      </c>
      <c r="Z76" s="676">
        <v>0</v>
      </c>
      <c r="AA76" s="676">
        <v>0</v>
      </c>
      <c r="AB76" s="676">
        <v>0</v>
      </c>
      <c r="AC76" s="676">
        <v>0</v>
      </c>
      <c r="AD76" s="677">
        <v>0</v>
      </c>
      <c r="AE76" s="676">
        <v>0</v>
      </c>
      <c r="AF76" s="676">
        <v>0</v>
      </c>
      <c r="AG76" s="677">
        <v>0</v>
      </c>
      <c r="AH76" s="677"/>
      <c r="AI76" s="677"/>
      <c r="AJ76" s="677"/>
      <c r="AK76" s="677"/>
      <c r="AL76" s="677"/>
      <c r="AM76" s="677"/>
      <c r="AN76" s="677"/>
      <c r="AO76" s="677"/>
      <c r="AP76" s="677"/>
      <c r="AQ76" s="677"/>
      <c r="AR76" s="677"/>
      <c r="AS76" s="677"/>
      <c r="AT76" s="677"/>
      <c r="AU76" s="677"/>
      <c r="AV76" s="677"/>
      <c r="AW76" s="677"/>
      <c r="AX76" s="677"/>
      <c r="AY76" s="677"/>
      <c r="AZ76" s="677"/>
      <c r="BA76" s="677"/>
      <c r="BB76" s="677"/>
      <c r="BC76" s="677"/>
      <c r="BD76" s="677"/>
      <c r="BE76" s="677"/>
      <c r="BF76" s="677"/>
      <c r="BG76" s="677"/>
      <c r="BH76" s="677"/>
      <c r="BI76" s="677"/>
      <c r="BJ76" s="677"/>
      <c r="BK76" s="677"/>
      <c r="BL76" s="677"/>
      <c r="BM76" s="677"/>
      <c r="BN76" s="677"/>
      <c r="BO76" s="677"/>
      <c r="BP76" s="677"/>
      <c r="BQ76" s="677"/>
      <c r="BR76" s="677"/>
      <c r="BS76" s="677"/>
      <c r="BT76" s="677"/>
      <c r="BU76" s="677"/>
      <c r="BV76" s="677"/>
      <c r="BW76" s="677"/>
      <c r="BX76" s="677"/>
      <c r="BY76" s="677"/>
      <c r="BZ76" s="677"/>
      <c r="CA76" s="677"/>
    </row>
    <row r="77" spans="1:79" s="451" customFormat="1" hidden="1" outlineLevel="1" x14ac:dyDescent="0.25">
      <c r="A77" s="656"/>
      <c r="B77" s="576"/>
      <c r="C77" s="576"/>
      <c r="D77" s="576"/>
      <c r="E77" s="570" t="s">
        <v>986</v>
      </c>
      <c r="F77" s="656" t="s">
        <v>779</v>
      </c>
      <c r="G77" s="673"/>
      <c r="H77" s="673"/>
      <c r="I77" s="673"/>
      <c r="J77" s="674"/>
      <c r="K77" s="674"/>
      <c r="L77" s="674"/>
      <c r="M77" s="674"/>
      <c r="N77" s="674"/>
      <c r="O77" s="674"/>
      <c r="P77" s="675"/>
      <c r="Q77" s="675"/>
      <c r="R77" s="675"/>
      <c r="S77" s="676">
        <v>0</v>
      </c>
      <c r="T77" s="676">
        <v>0</v>
      </c>
      <c r="U77" s="676">
        <v>0</v>
      </c>
      <c r="V77" s="676">
        <v>0</v>
      </c>
      <c r="W77" s="676">
        <v>0</v>
      </c>
      <c r="X77" s="676">
        <v>0</v>
      </c>
      <c r="Y77" s="676">
        <v>0</v>
      </c>
      <c r="Z77" s="676">
        <v>0</v>
      </c>
      <c r="AA77" s="676">
        <v>0</v>
      </c>
      <c r="AB77" s="676">
        <v>0</v>
      </c>
      <c r="AC77" s="676">
        <v>0</v>
      </c>
      <c r="AD77" s="677">
        <v>0</v>
      </c>
      <c r="AE77" s="676">
        <v>0</v>
      </c>
      <c r="AF77" s="676">
        <v>0</v>
      </c>
      <c r="AG77" s="677">
        <v>0</v>
      </c>
      <c r="AH77" s="677"/>
      <c r="AI77" s="677"/>
      <c r="AJ77" s="677"/>
      <c r="AK77" s="677"/>
      <c r="AL77" s="677"/>
      <c r="AM77" s="677"/>
      <c r="AN77" s="677"/>
      <c r="AO77" s="677"/>
      <c r="AP77" s="677"/>
      <c r="AQ77" s="677"/>
      <c r="AR77" s="677"/>
      <c r="AS77" s="677"/>
      <c r="AT77" s="677"/>
      <c r="AU77" s="677"/>
      <c r="AV77" s="677"/>
      <c r="AW77" s="677"/>
      <c r="AX77" s="677"/>
      <c r="AY77" s="677"/>
      <c r="AZ77" s="677"/>
      <c r="BA77" s="677"/>
      <c r="BB77" s="677"/>
      <c r="BC77" s="677"/>
      <c r="BD77" s="677"/>
      <c r="BE77" s="677"/>
      <c r="BF77" s="677"/>
      <c r="BG77" s="677"/>
      <c r="BH77" s="677"/>
      <c r="BI77" s="677"/>
      <c r="BJ77" s="677"/>
      <c r="BK77" s="677"/>
      <c r="BL77" s="677"/>
      <c r="BM77" s="677"/>
      <c r="BN77" s="677"/>
      <c r="BO77" s="677"/>
      <c r="BP77" s="677"/>
      <c r="BQ77" s="677"/>
      <c r="BR77" s="677"/>
      <c r="BS77" s="677"/>
      <c r="BT77" s="677"/>
      <c r="BU77" s="677"/>
      <c r="BV77" s="677"/>
      <c r="BW77" s="677"/>
      <c r="BX77" s="677"/>
      <c r="BY77" s="677"/>
      <c r="BZ77" s="677"/>
      <c r="CA77" s="677"/>
    </row>
    <row r="78" spans="1:79" s="451" customFormat="1" hidden="1" outlineLevel="1" x14ac:dyDescent="0.25">
      <c r="A78" s="656"/>
      <c r="B78" s="576"/>
      <c r="C78" s="576"/>
      <c r="D78" s="576"/>
      <c r="E78" s="570" t="s">
        <v>1270</v>
      </c>
      <c r="F78" s="656" t="s">
        <v>613</v>
      </c>
      <c r="G78" s="673"/>
      <c r="H78" s="673"/>
      <c r="I78" s="673"/>
      <c r="J78" s="674"/>
      <c r="K78" s="674"/>
      <c r="L78" s="674"/>
      <c r="M78" s="674"/>
      <c r="N78" s="674"/>
      <c r="O78" s="674"/>
      <c r="P78" s="675"/>
      <c r="Q78" s="675"/>
      <c r="R78" s="675"/>
      <c r="S78" s="676">
        <v>0</v>
      </c>
      <c r="T78" s="676">
        <v>0</v>
      </c>
      <c r="U78" s="676">
        <v>0</v>
      </c>
      <c r="V78" s="676">
        <v>0</v>
      </c>
      <c r="W78" s="676">
        <v>0</v>
      </c>
      <c r="X78" s="676">
        <v>0</v>
      </c>
      <c r="Y78" s="676">
        <v>0</v>
      </c>
      <c r="Z78" s="676">
        <v>0</v>
      </c>
      <c r="AA78" s="676">
        <v>0</v>
      </c>
      <c r="AB78" s="676">
        <v>0</v>
      </c>
      <c r="AC78" s="676">
        <v>0</v>
      </c>
      <c r="AD78" s="677">
        <v>0</v>
      </c>
      <c r="AE78" s="676">
        <v>0</v>
      </c>
      <c r="AF78" s="676">
        <v>0</v>
      </c>
      <c r="AG78" s="677">
        <v>0</v>
      </c>
      <c r="AH78" s="677"/>
      <c r="AI78" s="677"/>
      <c r="AJ78" s="677"/>
      <c r="AK78" s="677"/>
      <c r="AL78" s="677"/>
      <c r="AM78" s="677"/>
      <c r="AN78" s="677"/>
      <c r="AO78" s="677"/>
      <c r="AP78" s="677"/>
      <c r="AQ78" s="677"/>
      <c r="AR78" s="677"/>
      <c r="AS78" s="677"/>
      <c r="AT78" s="677"/>
      <c r="AU78" s="677"/>
      <c r="AV78" s="677"/>
      <c r="AW78" s="677"/>
      <c r="AX78" s="677"/>
      <c r="AY78" s="677"/>
      <c r="AZ78" s="677"/>
      <c r="BA78" s="677"/>
      <c r="BB78" s="677"/>
      <c r="BC78" s="677"/>
      <c r="BD78" s="677"/>
      <c r="BE78" s="677"/>
      <c r="BF78" s="677"/>
      <c r="BG78" s="677"/>
      <c r="BH78" s="677"/>
      <c r="BI78" s="677"/>
      <c r="BJ78" s="677"/>
      <c r="BK78" s="677"/>
      <c r="BL78" s="677"/>
      <c r="BM78" s="677"/>
      <c r="BN78" s="677"/>
      <c r="BO78" s="677"/>
      <c r="BP78" s="677"/>
      <c r="BQ78" s="677"/>
      <c r="BR78" s="677"/>
      <c r="BS78" s="677"/>
      <c r="BT78" s="677"/>
      <c r="BU78" s="677"/>
      <c r="BV78" s="677"/>
      <c r="BW78" s="677"/>
      <c r="BX78" s="677"/>
      <c r="BY78" s="677"/>
      <c r="BZ78" s="677"/>
      <c r="CA78" s="677"/>
    </row>
    <row r="79" spans="1:79" s="451" customFormat="1" hidden="1" outlineLevel="1" x14ac:dyDescent="0.25">
      <c r="A79" s="656"/>
      <c r="B79" s="576"/>
      <c r="C79" s="576"/>
      <c r="D79" s="576"/>
      <c r="E79" s="570" t="s">
        <v>1350</v>
      </c>
      <c r="F79" s="656" t="s">
        <v>614</v>
      </c>
      <c r="G79" s="673"/>
      <c r="H79" s="673"/>
      <c r="I79" s="673"/>
      <c r="J79" s="674"/>
      <c r="K79" s="674"/>
      <c r="L79" s="674"/>
      <c r="M79" s="674"/>
      <c r="N79" s="674"/>
      <c r="O79" s="674"/>
      <c r="P79" s="675"/>
      <c r="Q79" s="675"/>
      <c r="R79" s="675"/>
      <c r="S79" s="676">
        <v>0</v>
      </c>
      <c r="T79" s="676">
        <v>0</v>
      </c>
      <c r="U79" s="676">
        <v>0</v>
      </c>
      <c r="V79" s="676">
        <v>0</v>
      </c>
      <c r="W79" s="676">
        <v>0</v>
      </c>
      <c r="X79" s="676">
        <v>0</v>
      </c>
      <c r="Y79" s="676">
        <v>0</v>
      </c>
      <c r="Z79" s="676">
        <v>0</v>
      </c>
      <c r="AA79" s="676">
        <v>0</v>
      </c>
      <c r="AB79" s="676">
        <v>0</v>
      </c>
      <c r="AC79" s="676">
        <v>0</v>
      </c>
      <c r="AD79" s="677">
        <v>0</v>
      </c>
      <c r="AE79" s="676">
        <v>0</v>
      </c>
      <c r="AF79" s="676">
        <v>0</v>
      </c>
      <c r="AG79" s="677">
        <v>0</v>
      </c>
      <c r="AH79" s="677"/>
      <c r="AI79" s="677"/>
      <c r="AJ79" s="677"/>
      <c r="AK79" s="677"/>
      <c r="AL79" s="677"/>
      <c r="AM79" s="677"/>
      <c r="AN79" s="677"/>
      <c r="AO79" s="677"/>
      <c r="AP79" s="677"/>
      <c r="AQ79" s="677"/>
      <c r="AR79" s="677"/>
      <c r="AS79" s="677"/>
      <c r="AT79" s="677"/>
      <c r="AU79" s="677"/>
      <c r="AV79" s="677"/>
      <c r="AW79" s="677"/>
      <c r="AX79" s="677"/>
      <c r="AY79" s="677"/>
      <c r="AZ79" s="677"/>
      <c r="BA79" s="677"/>
      <c r="BB79" s="677"/>
      <c r="BC79" s="677"/>
      <c r="BD79" s="677"/>
      <c r="BE79" s="677"/>
      <c r="BF79" s="677"/>
      <c r="BG79" s="677"/>
      <c r="BH79" s="677"/>
      <c r="BI79" s="677"/>
      <c r="BJ79" s="677"/>
      <c r="BK79" s="677"/>
      <c r="BL79" s="677"/>
      <c r="BM79" s="677"/>
      <c r="BN79" s="677"/>
      <c r="BO79" s="677"/>
      <c r="BP79" s="677"/>
      <c r="BQ79" s="677"/>
      <c r="BR79" s="677"/>
      <c r="BS79" s="677"/>
      <c r="BT79" s="677"/>
      <c r="BU79" s="677"/>
      <c r="BV79" s="677"/>
      <c r="BW79" s="677"/>
      <c r="BX79" s="677"/>
      <c r="BY79" s="677"/>
      <c r="BZ79" s="677"/>
      <c r="CA79" s="677"/>
    </row>
    <row r="80" spans="1:79" s="451" customFormat="1" hidden="1" outlineLevel="1" x14ac:dyDescent="0.25">
      <c r="A80" s="656"/>
      <c r="B80" s="576"/>
      <c r="C80" s="576"/>
      <c r="D80" s="576"/>
      <c r="E80" s="570" t="s">
        <v>945</v>
      </c>
      <c r="F80" s="656" t="s">
        <v>615</v>
      </c>
      <c r="G80" s="673"/>
      <c r="H80" s="673"/>
      <c r="I80" s="673"/>
      <c r="J80" s="674"/>
      <c r="K80" s="674"/>
      <c r="L80" s="674"/>
      <c r="M80" s="674"/>
      <c r="N80" s="674"/>
      <c r="O80" s="674"/>
      <c r="P80" s="675"/>
      <c r="Q80" s="675"/>
      <c r="R80" s="675"/>
      <c r="S80" s="676">
        <v>0</v>
      </c>
      <c r="T80" s="676">
        <v>0</v>
      </c>
      <c r="U80" s="676">
        <v>0</v>
      </c>
      <c r="V80" s="676">
        <v>0</v>
      </c>
      <c r="W80" s="676">
        <v>0</v>
      </c>
      <c r="X80" s="676">
        <v>400</v>
      </c>
      <c r="Y80" s="676">
        <v>0</v>
      </c>
      <c r="Z80" s="676">
        <v>0</v>
      </c>
      <c r="AA80" s="676">
        <v>0</v>
      </c>
      <c r="AB80" s="676">
        <v>0</v>
      </c>
      <c r="AC80" s="676">
        <v>0</v>
      </c>
      <c r="AD80" s="677">
        <v>0</v>
      </c>
      <c r="AE80" s="676">
        <v>0</v>
      </c>
      <c r="AF80" s="676">
        <v>0</v>
      </c>
      <c r="AG80" s="677">
        <v>0</v>
      </c>
      <c r="AH80" s="677"/>
      <c r="AI80" s="677"/>
      <c r="AJ80" s="677"/>
      <c r="AK80" s="677"/>
      <c r="AL80" s="677"/>
      <c r="AM80" s="677"/>
      <c r="AN80" s="677"/>
      <c r="AO80" s="677"/>
      <c r="AP80" s="677"/>
      <c r="AQ80" s="677"/>
      <c r="AR80" s="677"/>
      <c r="AS80" s="677"/>
      <c r="AT80" s="677"/>
      <c r="AU80" s="677"/>
      <c r="AV80" s="677"/>
      <c r="AW80" s="677"/>
      <c r="AX80" s="677"/>
      <c r="AY80" s="677"/>
      <c r="AZ80" s="677"/>
      <c r="BA80" s="677"/>
      <c r="BB80" s="677"/>
      <c r="BC80" s="677"/>
      <c r="BD80" s="677"/>
      <c r="BE80" s="677"/>
      <c r="BF80" s="677"/>
      <c r="BG80" s="677"/>
      <c r="BH80" s="677"/>
      <c r="BI80" s="677"/>
      <c r="BJ80" s="677"/>
      <c r="BK80" s="677"/>
      <c r="BL80" s="677"/>
      <c r="BM80" s="677"/>
      <c r="BN80" s="677"/>
      <c r="BO80" s="677"/>
      <c r="BP80" s="677"/>
      <c r="BQ80" s="677"/>
      <c r="BR80" s="677"/>
      <c r="BS80" s="677"/>
      <c r="BT80" s="677"/>
      <c r="BU80" s="677"/>
      <c r="BV80" s="677"/>
      <c r="BW80" s="677"/>
      <c r="BX80" s="677"/>
      <c r="BY80" s="677"/>
      <c r="BZ80" s="677"/>
      <c r="CA80" s="677"/>
    </row>
    <row r="81" spans="1:79" s="451" customFormat="1" hidden="1" outlineLevel="1" x14ac:dyDescent="0.25">
      <c r="A81" s="656"/>
      <c r="B81" s="576"/>
      <c r="C81" s="576"/>
      <c r="D81" s="576"/>
      <c r="E81" s="570" t="s">
        <v>1280</v>
      </c>
      <c r="F81" s="656" t="s">
        <v>887</v>
      </c>
      <c r="G81" s="673"/>
      <c r="H81" s="673"/>
      <c r="I81" s="673"/>
      <c r="J81" s="674"/>
      <c r="K81" s="674"/>
      <c r="L81" s="674"/>
      <c r="M81" s="674"/>
      <c r="N81" s="674"/>
      <c r="O81" s="674"/>
      <c r="P81" s="675"/>
      <c r="Q81" s="675"/>
      <c r="R81" s="675"/>
      <c r="S81" s="676">
        <v>0</v>
      </c>
      <c r="T81" s="676">
        <v>0</v>
      </c>
      <c r="U81" s="676">
        <v>0</v>
      </c>
      <c r="V81" s="676">
        <v>0</v>
      </c>
      <c r="W81" s="676">
        <v>0</v>
      </c>
      <c r="X81" s="676">
        <v>0</v>
      </c>
      <c r="Y81" s="676">
        <v>0</v>
      </c>
      <c r="Z81" s="676">
        <v>0</v>
      </c>
      <c r="AA81" s="676">
        <v>0</v>
      </c>
      <c r="AB81" s="676">
        <v>0</v>
      </c>
      <c r="AC81" s="676">
        <v>0</v>
      </c>
      <c r="AD81" s="677">
        <v>0</v>
      </c>
      <c r="AE81" s="676">
        <v>0</v>
      </c>
      <c r="AF81" s="676">
        <v>0</v>
      </c>
      <c r="AG81" s="677">
        <v>0</v>
      </c>
      <c r="AH81" s="677"/>
      <c r="AI81" s="677"/>
      <c r="AJ81" s="677"/>
      <c r="AK81" s="677"/>
      <c r="AL81" s="677"/>
      <c r="AM81" s="677"/>
      <c r="AN81" s="677"/>
      <c r="AO81" s="677"/>
      <c r="AP81" s="677"/>
      <c r="AQ81" s="677"/>
      <c r="AR81" s="677"/>
      <c r="AS81" s="677"/>
      <c r="AT81" s="677"/>
      <c r="AU81" s="677"/>
      <c r="AV81" s="677"/>
      <c r="AW81" s="677"/>
      <c r="AX81" s="677"/>
      <c r="AY81" s="677"/>
      <c r="AZ81" s="677"/>
      <c r="BA81" s="677"/>
      <c r="BB81" s="677"/>
      <c r="BC81" s="677"/>
      <c r="BD81" s="677"/>
      <c r="BE81" s="677"/>
      <c r="BF81" s="677"/>
      <c r="BG81" s="677"/>
      <c r="BH81" s="677"/>
      <c r="BI81" s="677"/>
      <c r="BJ81" s="677"/>
      <c r="BK81" s="677"/>
      <c r="BL81" s="677"/>
      <c r="BM81" s="677"/>
      <c r="BN81" s="677"/>
      <c r="BO81" s="677"/>
      <c r="BP81" s="677"/>
      <c r="BQ81" s="677"/>
      <c r="BR81" s="677"/>
      <c r="BS81" s="677"/>
      <c r="BT81" s="677"/>
      <c r="BU81" s="677"/>
      <c r="BV81" s="677"/>
      <c r="BW81" s="677"/>
      <c r="BX81" s="677"/>
      <c r="BY81" s="677"/>
      <c r="BZ81" s="677"/>
      <c r="CA81" s="677"/>
    </row>
    <row r="82" spans="1:79" s="451" customFormat="1" hidden="1" outlineLevel="1" x14ac:dyDescent="0.25">
      <c r="A82" s="656"/>
      <c r="B82" s="576"/>
      <c r="C82" s="576"/>
      <c r="D82" s="576"/>
      <c r="E82" s="570" t="s">
        <v>1337</v>
      </c>
      <c r="F82" s="656" t="s">
        <v>616</v>
      </c>
      <c r="G82" s="673"/>
      <c r="H82" s="673"/>
      <c r="I82" s="673"/>
      <c r="J82" s="674"/>
      <c r="K82" s="674"/>
      <c r="L82" s="674"/>
      <c r="M82" s="674"/>
      <c r="N82" s="674"/>
      <c r="O82" s="674"/>
      <c r="P82" s="675"/>
      <c r="Q82" s="675"/>
      <c r="R82" s="675"/>
      <c r="S82" s="676">
        <v>0</v>
      </c>
      <c r="T82" s="676">
        <v>0</v>
      </c>
      <c r="U82" s="676">
        <v>0</v>
      </c>
      <c r="V82" s="676">
        <v>0</v>
      </c>
      <c r="W82" s="676">
        <v>0</v>
      </c>
      <c r="X82" s="676">
        <v>0</v>
      </c>
      <c r="Y82" s="676">
        <v>0</v>
      </c>
      <c r="Z82" s="676">
        <v>0</v>
      </c>
      <c r="AA82" s="676">
        <v>0</v>
      </c>
      <c r="AB82" s="676">
        <v>0</v>
      </c>
      <c r="AC82" s="676">
        <v>0</v>
      </c>
      <c r="AD82" s="677">
        <v>0</v>
      </c>
      <c r="AE82" s="676">
        <v>0</v>
      </c>
      <c r="AF82" s="676">
        <v>0</v>
      </c>
      <c r="AG82" s="677">
        <v>0</v>
      </c>
      <c r="AH82" s="677"/>
      <c r="AI82" s="677"/>
      <c r="AJ82" s="677"/>
      <c r="AK82" s="677"/>
      <c r="AL82" s="677"/>
      <c r="AM82" s="677"/>
      <c r="AN82" s="677"/>
      <c r="AO82" s="677"/>
      <c r="AP82" s="677"/>
      <c r="AQ82" s="677"/>
      <c r="AR82" s="677"/>
      <c r="AS82" s="677"/>
      <c r="AT82" s="677"/>
      <c r="AU82" s="677"/>
      <c r="AV82" s="677"/>
      <c r="AW82" s="677"/>
      <c r="AX82" s="677"/>
      <c r="AY82" s="677"/>
      <c r="AZ82" s="677"/>
      <c r="BA82" s="677"/>
      <c r="BB82" s="677"/>
      <c r="BC82" s="677"/>
      <c r="BD82" s="677"/>
      <c r="BE82" s="677"/>
      <c r="BF82" s="677"/>
      <c r="BG82" s="677"/>
      <c r="BH82" s="677"/>
      <c r="BI82" s="677"/>
      <c r="BJ82" s="677"/>
      <c r="BK82" s="677"/>
      <c r="BL82" s="677"/>
      <c r="BM82" s="677"/>
      <c r="BN82" s="677"/>
      <c r="BO82" s="677"/>
      <c r="BP82" s="677"/>
      <c r="BQ82" s="677"/>
      <c r="BR82" s="677"/>
      <c r="BS82" s="677"/>
      <c r="BT82" s="677"/>
      <c r="BU82" s="677"/>
      <c r="BV82" s="677"/>
      <c r="BW82" s="677"/>
      <c r="BX82" s="677"/>
      <c r="BY82" s="677"/>
      <c r="BZ82" s="677"/>
      <c r="CA82" s="677"/>
    </row>
    <row r="83" spans="1:79" s="308" customFormat="1" hidden="1" outlineLevel="1" x14ac:dyDescent="0.25">
      <c r="A83" s="659"/>
      <c r="B83" s="29"/>
      <c r="C83" s="29"/>
      <c r="D83" s="29"/>
      <c r="E83" s="570" t="s">
        <v>49</v>
      </c>
      <c r="F83" s="659" t="s">
        <v>617</v>
      </c>
      <c r="G83" s="678">
        <f>SUM(G66:G82)</f>
        <v>0</v>
      </c>
      <c r="H83" s="678">
        <f t="shared" ref="H83:R83" si="19">SUM(H66:H82)</f>
        <v>0</v>
      </c>
      <c r="I83" s="678">
        <f t="shared" si="19"/>
        <v>0</v>
      </c>
      <c r="J83" s="678">
        <f t="shared" si="19"/>
        <v>0</v>
      </c>
      <c r="K83" s="678">
        <f t="shared" si="19"/>
        <v>0</v>
      </c>
      <c r="L83" s="678">
        <f t="shared" si="19"/>
        <v>0</v>
      </c>
      <c r="M83" s="678">
        <f t="shared" si="19"/>
        <v>0</v>
      </c>
      <c r="N83" s="678">
        <f t="shared" si="19"/>
        <v>0</v>
      </c>
      <c r="O83" s="678">
        <f t="shared" si="19"/>
        <v>0</v>
      </c>
      <c r="P83" s="678">
        <f t="shared" si="19"/>
        <v>0</v>
      </c>
      <c r="Q83" s="678">
        <f t="shared" si="19"/>
        <v>0</v>
      </c>
      <c r="R83" s="678">
        <f t="shared" si="19"/>
        <v>0</v>
      </c>
      <c r="S83" s="678">
        <f t="shared" ref="S83:AA83" si="20">ROUND(SUM(S65:S82),5)</f>
        <v>0</v>
      </c>
      <c r="T83" s="678">
        <f t="shared" si="20"/>
        <v>500</v>
      </c>
      <c r="U83" s="678">
        <f t="shared" si="20"/>
        <v>0</v>
      </c>
      <c r="V83" s="678">
        <f t="shared" si="20"/>
        <v>0</v>
      </c>
      <c r="W83" s="678">
        <f t="shared" si="20"/>
        <v>0</v>
      </c>
      <c r="X83" s="678">
        <f t="shared" si="20"/>
        <v>400</v>
      </c>
      <c r="Y83" s="678">
        <f t="shared" si="20"/>
        <v>0</v>
      </c>
      <c r="Z83" s="678">
        <f t="shared" si="20"/>
        <v>0</v>
      </c>
      <c r="AA83" s="678">
        <f t="shared" si="20"/>
        <v>5.39</v>
      </c>
      <c r="AB83" s="678">
        <f>ROUND(SUM(AB65:AB82),5)</f>
        <v>350</v>
      </c>
      <c r="AC83" s="678">
        <f>ROUND(SUM(AC65:AC82),5)</f>
        <v>0</v>
      </c>
      <c r="AD83" s="678">
        <v>497.86</v>
      </c>
      <c r="AE83" s="678">
        <f>ROUND(SUM(AE65:AE82),5)</f>
        <v>0</v>
      </c>
      <c r="AF83" s="678">
        <f>ROUND(SUM(AF65:AF71)+SUM(AF72:AF74)+SUM(AF75:AF82),5)</f>
        <v>0</v>
      </c>
      <c r="AG83" s="678">
        <v>4238.8900000000003</v>
      </c>
      <c r="AH83" s="678">
        <f t="shared" ref="AH83:BO83" si="21">SUM(AH66:AH82)</f>
        <v>0</v>
      </c>
      <c r="AI83" s="678">
        <f t="shared" si="21"/>
        <v>0</v>
      </c>
      <c r="AJ83" s="678">
        <f t="shared" si="21"/>
        <v>0</v>
      </c>
      <c r="AK83" s="678">
        <f t="shared" si="21"/>
        <v>0</v>
      </c>
      <c r="AL83" s="678">
        <f t="shared" si="21"/>
        <v>0</v>
      </c>
      <c r="AM83" s="678">
        <f t="shared" si="21"/>
        <v>0</v>
      </c>
      <c r="AN83" s="678">
        <f t="shared" si="21"/>
        <v>0</v>
      </c>
      <c r="AO83" s="678">
        <f t="shared" si="21"/>
        <v>0</v>
      </c>
      <c r="AP83" s="678">
        <f t="shared" si="21"/>
        <v>0</v>
      </c>
      <c r="AQ83" s="678">
        <f t="shared" si="21"/>
        <v>0</v>
      </c>
      <c r="AR83" s="678">
        <f t="shared" si="21"/>
        <v>0</v>
      </c>
      <c r="AS83" s="678">
        <f t="shared" si="21"/>
        <v>0</v>
      </c>
      <c r="AT83" s="678">
        <f t="shared" si="21"/>
        <v>0</v>
      </c>
      <c r="AU83" s="678">
        <f t="shared" si="21"/>
        <v>0</v>
      </c>
      <c r="AV83" s="678">
        <f t="shared" si="21"/>
        <v>0</v>
      </c>
      <c r="AW83" s="678">
        <f t="shared" si="21"/>
        <v>0</v>
      </c>
      <c r="AX83" s="678">
        <f t="shared" si="21"/>
        <v>0</v>
      </c>
      <c r="AY83" s="678">
        <f t="shared" si="21"/>
        <v>0</v>
      </c>
      <c r="AZ83" s="678">
        <f t="shared" si="21"/>
        <v>0</v>
      </c>
      <c r="BA83" s="678">
        <f t="shared" si="21"/>
        <v>0</v>
      </c>
      <c r="BB83" s="678">
        <f t="shared" si="21"/>
        <v>0</v>
      </c>
      <c r="BC83" s="678">
        <f t="shared" si="21"/>
        <v>0</v>
      </c>
      <c r="BD83" s="678">
        <f t="shared" si="21"/>
        <v>0</v>
      </c>
      <c r="BE83" s="678">
        <f t="shared" si="21"/>
        <v>0</v>
      </c>
      <c r="BF83" s="678">
        <f t="shared" si="21"/>
        <v>0</v>
      </c>
      <c r="BG83" s="678">
        <f t="shared" si="21"/>
        <v>0</v>
      </c>
      <c r="BH83" s="678">
        <f t="shared" si="21"/>
        <v>0</v>
      </c>
      <c r="BI83" s="678">
        <f t="shared" si="21"/>
        <v>0</v>
      </c>
      <c r="BJ83" s="678">
        <f t="shared" si="21"/>
        <v>0</v>
      </c>
      <c r="BK83" s="678">
        <f t="shared" si="21"/>
        <v>0</v>
      </c>
      <c r="BL83" s="678">
        <f t="shared" si="21"/>
        <v>0</v>
      </c>
      <c r="BM83" s="678">
        <f t="shared" si="21"/>
        <v>0</v>
      </c>
      <c r="BN83" s="678">
        <f t="shared" si="21"/>
        <v>0</v>
      </c>
      <c r="BO83" s="678">
        <f t="shared" si="21"/>
        <v>0</v>
      </c>
      <c r="BP83" s="678">
        <f t="shared" ref="BP83:CA83" si="22">SUM(BP66:BP82)</f>
        <v>0</v>
      </c>
      <c r="BQ83" s="678">
        <f t="shared" si="22"/>
        <v>0</v>
      </c>
      <c r="BR83" s="678">
        <f t="shared" si="22"/>
        <v>0</v>
      </c>
      <c r="BS83" s="678">
        <f t="shared" si="22"/>
        <v>0</v>
      </c>
      <c r="BT83" s="678">
        <f t="shared" si="22"/>
        <v>0</v>
      </c>
      <c r="BU83" s="678">
        <f t="shared" si="22"/>
        <v>0</v>
      </c>
      <c r="BV83" s="678">
        <f t="shared" si="22"/>
        <v>0</v>
      </c>
      <c r="BW83" s="678">
        <f t="shared" si="22"/>
        <v>0</v>
      </c>
      <c r="BX83" s="678">
        <f t="shared" si="22"/>
        <v>0</v>
      </c>
      <c r="BY83" s="678">
        <f t="shared" si="22"/>
        <v>0</v>
      </c>
      <c r="BZ83" s="678">
        <f t="shared" si="22"/>
        <v>0</v>
      </c>
      <c r="CA83" s="678">
        <f t="shared" si="22"/>
        <v>0</v>
      </c>
    </row>
    <row r="84" spans="1:79" s="308" customFormat="1" hidden="1" outlineLevel="1" x14ac:dyDescent="0.25">
      <c r="A84" s="691"/>
      <c r="B84" s="710"/>
      <c r="C84" s="710"/>
      <c r="D84" s="710"/>
      <c r="E84" s="570" t="s">
        <v>1338</v>
      </c>
      <c r="F84" s="691" t="s">
        <v>594</v>
      </c>
      <c r="G84" s="706"/>
      <c r="H84" s="706"/>
      <c r="I84" s="706"/>
      <c r="J84" s="707"/>
      <c r="K84" s="707"/>
      <c r="L84" s="707"/>
      <c r="M84" s="707"/>
      <c r="N84" s="707"/>
      <c r="O84" s="707"/>
      <c r="P84" s="708"/>
      <c r="Q84" s="708"/>
      <c r="R84" s="708"/>
      <c r="S84" s="708"/>
      <c r="T84" s="708"/>
      <c r="U84" s="708"/>
      <c r="V84" s="708"/>
      <c r="W84" s="708"/>
      <c r="X84" s="708"/>
      <c r="Y84" s="708"/>
      <c r="Z84" s="708"/>
      <c r="AA84" s="708"/>
      <c r="AB84" s="708"/>
      <c r="AC84" s="708"/>
      <c r="AD84" s="709"/>
      <c r="AE84" s="708"/>
      <c r="AF84" s="708"/>
      <c r="AG84" s="709"/>
      <c r="AH84" s="709"/>
      <c r="AI84" s="709"/>
      <c r="AJ84" s="709"/>
      <c r="AK84" s="709"/>
      <c r="AL84" s="709"/>
      <c r="AM84" s="709"/>
      <c r="AN84" s="709"/>
      <c r="AO84" s="709"/>
      <c r="AP84" s="709"/>
      <c r="AQ84" s="709"/>
      <c r="AR84" s="709"/>
      <c r="AS84" s="709"/>
      <c r="AT84" s="709"/>
      <c r="AU84" s="709"/>
      <c r="AV84" s="709"/>
      <c r="AW84" s="709"/>
      <c r="AX84" s="709"/>
      <c r="AY84" s="709"/>
      <c r="AZ84" s="709"/>
      <c r="BA84" s="709"/>
      <c r="BB84" s="709"/>
      <c r="BC84" s="709"/>
      <c r="BD84" s="709"/>
      <c r="BE84" s="709"/>
      <c r="BF84" s="709"/>
      <c r="BG84" s="709"/>
      <c r="BH84" s="709"/>
      <c r="BI84" s="709"/>
      <c r="BJ84" s="709"/>
      <c r="BK84" s="709"/>
      <c r="BL84" s="709"/>
      <c r="BM84" s="709"/>
      <c r="BN84" s="709"/>
      <c r="BO84" s="709"/>
      <c r="BP84" s="709"/>
      <c r="BQ84" s="709"/>
      <c r="BR84" s="709"/>
      <c r="BS84" s="709"/>
      <c r="BT84" s="709"/>
      <c r="BU84" s="709"/>
      <c r="BV84" s="709"/>
      <c r="BW84" s="709"/>
      <c r="BX84" s="709"/>
      <c r="BY84" s="709"/>
      <c r="BZ84" s="709"/>
      <c r="CA84" s="709"/>
    </row>
    <row r="85" spans="1:79" s="308" customFormat="1" hidden="1" outlineLevel="1" x14ac:dyDescent="0.25">
      <c r="A85" s="656"/>
      <c r="B85" s="571"/>
      <c r="C85" s="571"/>
      <c r="D85" s="571"/>
      <c r="E85" s="570" t="s">
        <v>1338</v>
      </c>
      <c r="F85" s="656" t="s">
        <v>888</v>
      </c>
      <c r="G85" s="681"/>
      <c r="H85" s="681"/>
      <c r="I85" s="681"/>
      <c r="J85" s="682"/>
      <c r="K85" s="682"/>
      <c r="L85" s="682"/>
      <c r="M85" s="682"/>
      <c r="N85" s="682"/>
      <c r="O85" s="682"/>
      <c r="P85" s="683"/>
      <c r="Q85" s="683"/>
      <c r="R85" s="683"/>
      <c r="S85" s="684">
        <v>0</v>
      </c>
      <c r="T85" s="684">
        <v>0</v>
      </c>
      <c r="U85" s="684">
        <v>0</v>
      </c>
      <c r="V85" s="684">
        <v>0</v>
      </c>
      <c r="W85" s="684">
        <v>0</v>
      </c>
      <c r="X85" s="684">
        <v>0</v>
      </c>
      <c r="Y85" s="684">
        <v>0</v>
      </c>
      <c r="Z85" s="684">
        <v>0</v>
      </c>
      <c r="AA85" s="684">
        <v>0</v>
      </c>
      <c r="AB85" s="684">
        <v>0</v>
      </c>
      <c r="AC85" s="684">
        <v>0</v>
      </c>
      <c r="AD85" s="685">
        <v>0</v>
      </c>
      <c r="AE85" s="684">
        <v>0</v>
      </c>
      <c r="AF85" s="684">
        <v>0</v>
      </c>
      <c r="AG85" s="685">
        <v>0</v>
      </c>
      <c r="AH85" s="685"/>
      <c r="AI85" s="685"/>
      <c r="AJ85" s="685"/>
      <c r="AK85" s="685"/>
      <c r="AL85" s="685"/>
      <c r="AM85" s="685"/>
      <c r="AN85" s="685"/>
      <c r="AO85" s="685"/>
      <c r="AP85" s="685"/>
      <c r="AQ85" s="685"/>
      <c r="AR85" s="685"/>
      <c r="AS85" s="685"/>
      <c r="AT85" s="685"/>
      <c r="AU85" s="685"/>
      <c r="AV85" s="685"/>
      <c r="AW85" s="685"/>
      <c r="AX85" s="685"/>
      <c r="AY85" s="685"/>
      <c r="AZ85" s="685"/>
      <c r="BA85" s="685"/>
      <c r="BB85" s="685"/>
      <c r="BC85" s="685"/>
      <c r="BD85" s="685"/>
      <c r="BE85" s="685"/>
      <c r="BF85" s="685"/>
      <c r="BG85" s="685"/>
      <c r="BH85" s="685"/>
      <c r="BI85" s="685"/>
      <c r="BJ85" s="685"/>
      <c r="BK85" s="685"/>
      <c r="BL85" s="685"/>
      <c r="BM85" s="685"/>
      <c r="BN85" s="685"/>
      <c r="BO85" s="685"/>
      <c r="BP85" s="685"/>
      <c r="BQ85" s="685"/>
      <c r="BR85" s="685"/>
      <c r="BS85" s="685"/>
      <c r="BT85" s="685"/>
      <c r="BU85" s="685"/>
      <c r="BV85" s="685"/>
      <c r="BW85" s="685"/>
      <c r="BX85" s="685"/>
      <c r="BY85" s="685"/>
      <c r="BZ85" s="685"/>
      <c r="CA85" s="685"/>
    </row>
    <row r="86" spans="1:79" hidden="1" outlineLevel="1" x14ac:dyDescent="0.25">
      <c r="A86" s="656"/>
      <c r="E86" s="570" t="s">
        <v>1338</v>
      </c>
      <c r="F86" s="656" t="s">
        <v>618</v>
      </c>
      <c r="G86" s="665">
        <v>208.27001365953981</v>
      </c>
      <c r="H86" s="665">
        <v>298.61487958851058</v>
      </c>
      <c r="I86" s="665">
        <v>123.93</v>
      </c>
      <c r="J86" s="686">
        <v>194.84</v>
      </c>
      <c r="K86" s="686">
        <v>338.67064974624066</v>
      </c>
      <c r="L86" s="686">
        <v>715.09827107786532</v>
      </c>
      <c r="M86" s="686">
        <v>350.52402250753443</v>
      </c>
      <c r="N86" s="686">
        <v>349.80652871319876</v>
      </c>
      <c r="O86" s="686">
        <v>427.72389017756359</v>
      </c>
      <c r="P86" s="666">
        <v>504.63313260739989</v>
      </c>
      <c r="Q86" s="666">
        <v>211.51175454842254</v>
      </c>
      <c r="R86" s="666">
        <v>121.78729632244772</v>
      </c>
      <c r="S86" s="667">
        <v>1277.8499999999999</v>
      </c>
      <c r="T86" s="667">
        <v>14.98</v>
      </c>
      <c r="U86" s="667">
        <v>410.88</v>
      </c>
      <c r="V86" s="667">
        <v>1032.72</v>
      </c>
      <c r="W86" s="667">
        <v>913.72</v>
      </c>
      <c r="X86" s="667">
        <v>58.09</v>
      </c>
      <c r="Y86" s="667">
        <v>954.43</v>
      </c>
      <c r="Z86" s="667">
        <v>167.31</v>
      </c>
      <c r="AA86" s="667">
        <v>665.17</v>
      </c>
      <c r="AB86" s="667">
        <v>1968.62</v>
      </c>
      <c r="AC86" s="667">
        <v>1224.3399999999999</v>
      </c>
      <c r="AD86" s="668">
        <v>861.11</v>
      </c>
      <c r="AE86" s="667">
        <v>4835.1000000000004</v>
      </c>
      <c r="AF86" s="667">
        <v>208.83</v>
      </c>
      <c r="AG86" s="668">
        <v>1319.2</v>
      </c>
      <c r="AH86" s="668"/>
      <c r="AI86" s="668"/>
      <c r="AJ86" s="668"/>
      <c r="AK86" s="668"/>
      <c r="AL86" s="668"/>
      <c r="AM86" s="668"/>
      <c r="AN86" s="668"/>
      <c r="AO86" s="668"/>
      <c r="AP86" s="668"/>
      <c r="AQ86" s="668"/>
      <c r="AR86" s="668"/>
      <c r="AS86" s="668"/>
      <c r="AT86" s="668"/>
      <c r="AU86" s="668"/>
      <c r="AV86" s="668"/>
      <c r="AW86" s="668"/>
      <c r="AX86" s="668"/>
      <c r="AY86" s="668"/>
      <c r="AZ86" s="668"/>
      <c r="BA86" s="668"/>
      <c r="BB86" s="668"/>
      <c r="BC86" s="668"/>
      <c r="BD86" s="668"/>
      <c r="BE86" s="668"/>
      <c r="BF86" s="668"/>
      <c r="BG86" s="668"/>
      <c r="BH86" s="668"/>
      <c r="BI86" s="668"/>
      <c r="BJ86" s="668"/>
      <c r="BK86" s="668"/>
      <c r="BL86" s="668"/>
      <c r="BM86" s="668"/>
      <c r="BN86" s="668"/>
      <c r="BO86" s="668"/>
      <c r="BP86" s="668"/>
      <c r="BQ86" s="668"/>
      <c r="BR86" s="668"/>
      <c r="BS86" s="668"/>
      <c r="BT86" s="668"/>
      <c r="BU86" s="668"/>
      <c r="BV86" s="668"/>
      <c r="BW86" s="668"/>
      <c r="BX86" s="668"/>
      <c r="BY86" s="668"/>
      <c r="BZ86" s="668"/>
      <c r="CA86" s="668"/>
    </row>
    <row r="87" spans="1:79" hidden="1" outlineLevel="1" x14ac:dyDescent="0.25">
      <c r="A87" s="657"/>
      <c r="B87" s="570"/>
      <c r="C87" s="570"/>
      <c r="D87" s="570"/>
      <c r="E87" s="570" t="s">
        <v>49</v>
      </c>
      <c r="F87" s="657" t="s">
        <v>619</v>
      </c>
      <c r="G87" s="678">
        <f>SUM(G85:G86)</f>
        <v>208.27001365953981</v>
      </c>
      <c r="H87" s="678">
        <f t="shared" ref="H87:BO87" si="23">SUM(H85:H86)</f>
        <v>298.61487958851058</v>
      </c>
      <c r="I87" s="678">
        <f t="shared" si="23"/>
        <v>123.93</v>
      </c>
      <c r="J87" s="678">
        <f t="shared" si="23"/>
        <v>194.84</v>
      </c>
      <c r="K87" s="678">
        <f t="shared" si="23"/>
        <v>338.67064974624066</v>
      </c>
      <c r="L87" s="678">
        <f t="shared" si="23"/>
        <v>715.09827107786532</v>
      </c>
      <c r="M87" s="678">
        <f t="shared" si="23"/>
        <v>350.52402250753443</v>
      </c>
      <c r="N87" s="678">
        <f t="shared" si="23"/>
        <v>349.80652871319876</v>
      </c>
      <c r="O87" s="678">
        <f t="shared" si="23"/>
        <v>427.72389017756359</v>
      </c>
      <c r="P87" s="678">
        <f t="shared" si="23"/>
        <v>504.63313260739989</v>
      </c>
      <c r="Q87" s="678">
        <f t="shared" si="23"/>
        <v>211.51175454842254</v>
      </c>
      <c r="R87" s="678">
        <f t="shared" si="23"/>
        <v>121.78729632244772</v>
      </c>
      <c r="S87" s="678">
        <f t="shared" ref="S87:AA87" si="24">ROUND(SUM(S84:S86),5)</f>
        <v>1277.8499999999999</v>
      </c>
      <c r="T87" s="678">
        <f t="shared" si="24"/>
        <v>14.98</v>
      </c>
      <c r="U87" s="678">
        <f t="shared" si="24"/>
        <v>410.88</v>
      </c>
      <c r="V87" s="678">
        <f t="shared" si="24"/>
        <v>1032.72</v>
      </c>
      <c r="W87" s="678">
        <f t="shared" si="24"/>
        <v>913.72</v>
      </c>
      <c r="X87" s="678">
        <f t="shared" si="24"/>
        <v>58.09</v>
      </c>
      <c r="Y87" s="678">
        <f t="shared" si="24"/>
        <v>954.43</v>
      </c>
      <c r="Z87" s="678">
        <f t="shared" si="24"/>
        <v>167.31</v>
      </c>
      <c r="AA87" s="678">
        <f t="shared" si="24"/>
        <v>665.17</v>
      </c>
      <c r="AB87" s="678">
        <f>ROUND(SUM(AB84:AB86),5)</f>
        <v>1968.62</v>
      </c>
      <c r="AC87" s="678">
        <f>ROUND(SUM(AC84:AC86),5)</f>
        <v>1224.3399999999999</v>
      </c>
      <c r="AD87" s="678">
        <v>861.11</v>
      </c>
      <c r="AE87" s="678">
        <f>ROUND(SUM(AE84:AE86),5)</f>
        <v>4835.1000000000004</v>
      </c>
      <c r="AF87" s="678">
        <f>ROUND(SUM(AF84:AF86),5)</f>
        <v>208.83</v>
      </c>
      <c r="AG87" s="678">
        <v>1319.2</v>
      </c>
      <c r="AH87" s="678">
        <f t="shared" si="23"/>
        <v>0</v>
      </c>
      <c r="AI87" s="678">
        <f t="shared" si="23"/>
        <v>0</v>
      </c>
      <c r="AJ87" s="678">
        <f t="shared" si="23"/>
        <v>0</v>
      </c>
      <c r="AK87" s="678">
        <f t="shared" si="23"/>
        <v>0</v>
      </c>
      <c r="AL87" s="678">
        <f t="shared" si="23"/>
        <v>0</v>
      </c>
      <c r="AM87" s="678">
        <f t="shared" si="23"/>
        <v>0</v>
      </c>
      <c r="AN87" s="678">
        <f t="shared" si="23"/>
        <v>0</v>
      </c>
      <c r="AO87" s="678">
        <f t="shared" si="23"/>
        <v>0</v>
      </c>
      <c r="AP87" s="678">
        <f t="shared" si="23"/>
        <v>0</v>
      </c>
      <c r="AQ87" s="678">
        <f t="shared" si="23"/>
        <v>0</v>
      </c>
      <c r="AR87" s="678">
        <f t="shared" si="23"/>
        <v>0</v>
      </c>
      <c r="AS87" s="678">
        <f t="shared" si="23"/>
        <v>0</v>
      </c>
      <c r="AT87" s="678">
        <f t="shared" si="23"/>
        <v>0</v>
      </c>
      <c r="AU87" s="678">
        <f t="shared" si="23"/>
        <v>0</v>
      </c>
      <c r="AV87" s="678">
        <f t="shared" si="23"/>
        <v>0</v>
      </c>
      <c r="AW87" s="678">
        <f t="shared" si="23"/>
        <v>0</v>
      </c>
      <c r="AX87" s="678">
        <f t="shared" si="23"/>
        <v>0</v>
      </c>
      <c r="AY87" s="678">
        <f t="shared" si="23"/>
        <v>0</v>
      </c>
      <c r="AZ87" s="678">
        <f t="shared" si="23"/>
        <v>0</v>
      </c>
      <c r="BA87" s="678">
        <f t="shared" si="23"/>
        <v>0</v>
      </c>
      <c r="BB87" s="678">
        <f t="shared" si="23"/>
        <v>0</v>
      </c>
      <c r="BC87" s="678">
        <f t="shared" si="23"/>
        <v>0</v>
      </c>
      <c r="BD87" s="678">
        <f t="shared" si="23"/>
        <v>0</v>
      </c>
      <c r="BE87" s="678">
        <f t="shared" si="23"/>
        <v>0</v>
      </c>
      <c r="BF87" s="678">
        <f t="shared" si="23"/>
        <v>0</v>
      </c>
      <c r="BG87" s="678">
        <f t="shared" si="23"/>
        <v>0</v>
      </c>
      <c r="BH87" s="678">
        <f t="shared" si="23"/>
        <v>0</v>
      </c>
      <c r="BI87" s="678">
        <f t="shared" si="23"/>
        <v>0</v>
      </c>
      <c r="BJ87" s="678">
        <f t="shared" si="23"/>
        <v>0</v>
      </c>
      <c r="BK87" s="678">
        <f t="shared" si="23"/>
        <v>0</v>
      </c>
      <c r="BL87" s="678">
        <f t="shared" si="23"/>
        <v>0</v>
      </c>
      <c r="BM87" s="678">
        <f t="shared" si="23"/>
        <v>0</v>
      </c>
      <c r="BN87" s="678">
        <f t="shared" si="23"/>
        <v>0</v>
      </c>
      <c r="BO87" s="678">
        <f t="shared" si="23"/>
        <v>0</v>
      </c>
      <c r="BP87" s="678">
        <f t="shared" ref="BP87:CA87" si="25">SUM(BP85:BP86)</f>
        <v>0</v>
      </c>
      <c r="BQ87" s="678">
        <f t="shared" si="25"/>
        <v>0</v>
      </c>
      <c r="BR87" s="678">
        <f t="shared" si="25"/>
        <v>0</v>
      </c>
      <c r="BS87" s="678">
        <f t="shared" si="25"/>
        <v>0</v>
      </c>
      <c r="BT87" s="678">
        <f t="shared" si="25"/>
        <v>0</v>
      </c>
      <c r="BU87" s="678">
        <f t="shared" si="25"/>
        <v>0</v>
      </c>
      <c r="BV87" s="678">
        <f t="shared" si="25"/>
        <v>0</v>
      </c>
      <c r="BW87" s="678">
        <f t="shared" si="25"/>
        <v>0</v>
      </c>
      <c r="BX87" s="678">
        <f t="shared" si="25"/>
        <v>0</v>
      </c>
      <c r="BY87" s="678">
        <f t="shared" si="25"/>
        <v>0</v>
      </c>
      <c r="BZ87" s="678">
        <f t="shared" si="25"/>
        <v>0</v>
      </c>
      <c r="CA87" s="678">
        <f t="shared" si="25"/>
        <v>0</v>
      </c>
    </row>
    <row r="88" spans="1:79" hidden="1" outlineLevel="1" x14ac:dyDescent="0.25">
      <c r="A88" s="658"/>
      <c r="E88" s="570" t="s">
        <v>945</v>
      </c>
      <c r="F88" s="658" t="s">
        <v>595</v>
      </c>
      <c r="G88" s="665">
        <v>0</v>
      </c>
      <c r="H88" s="665"/>
      <c r="I88" s="665"/>
      <c r="J88" s="686"/>
      <c r="K88" s="686">
        <v>11.749363099211696</v>
      </c>
      <c r="L88" s="686">
        <v>72.905048005310562</v>
      </c>
      <c r="M88" s="686">
        <v>56.391386652265552</v>
      </c>
      <c r="N88" s="686">
        <v>0.77884179847236523</v>
      </c>
      <c r="O88" s="686"/>
      <c r="P88" s="666">
        <v>344.42322762300262</v>
      </c>
      <c r="Q88" s="666">
        <v>39.484877553169717</v>
      </c>
      <c r="R88" s="666">
        <v>237.73124017299818</v>
      </c>
      <c r="S88" s="667">
        <v>201.85</v>
      </c>
      <c r="T88" s="667">
        <v>123.23</v>
      </c>
      <c r="U88" s="667">
        <v>0</v>
      </c>
      <c r="V88" s="667">
        <v>0</v>
      </c>
      <c r="W88" s="667">
        <v>0</v>
      </c>
      <c r="X88" s="667">
        <v>0</v>
      </c>
      <c r="Y88" s="667">
        <v>53.35</v>
      </c>
      <c r="Z88" s="667">
        <v>0</v>
      </c>
      <c r="AA88" s="667">
        <v>2500</v>
      </c>
      <c r="AB88" s="667">
        <v>-2500</v>
      </c>
      <c r="AC88" s="667">
        <v>26.14</v>
      </c>
      <c r="AD88" s="668">
        <v>3090.28</v>
      </c>
      <c r="AE88" s="667">
        <v>0</v>
      </c>
      <c r="AF88" s="667">
        <v>0</v>
      </c>
      <c r="AG88" s="668">
        <v>29.99</v>
      </c>
      <c r="AH88" s="668"/>
      <c r="AI88" s="668"/>
      <c r="AJ88" s="668"/>
      <c r="AK88" s="668"/>
      <c r="AL88" s="668"/>
      <c r="AM88" s="668"/>
      <c r="AN88" s="668"/>
      <c r="AO88" s="668"/>
      <c r="AP88" s="668"/>
      <c r="AQ88" s="668"/>
      <c r="AR88" s="668"/>
      <c r="AS88" s="668"/>
      <c r="AT88" s="668"/>
      <c r="AU88" s="668"/>
      <c r="AV88" s="668"/>
      <c r="AW88" s="668"/>
      <c r="AX88" s="668"/>
      <c r="AY88" s="668"/>
      <c r="AZ88" s="668"/>
      <c r="BA88" s="668"/>
      <c r="BB88" s="668"/>
      <c r="BC88" s="668"/>
      <c r="BD88" s="668"/>
      <c r="BE88" s="668"/>
      <c r="BF88" s="668"/>
      <c r="BG88" s="668"/>
      <c r="BH88" s="668"/>
      <c r="BI88" s="668"/>
      <c r="BJ88" s="668"/>
      <c r="BK88" s="668"/>
      <c r="BL88" s="668"/>
      <c r="BM88" s="668"/>
      <c r="BN88" s="668"/>
      <c r="BO88" s="668"/>
      <c r="BP88" s="668"/>
      <c r="BQ88" s="668"/>
      <c r="BR88" s="668"/>
      <c r="BS88" s="668"/>
      <c r="BT88" s="668"/>
      <c r="BU88" s="668"/>
      <c r="BV88" s="668"/>
      <c r="BW88" s="668"/>
      <c r="BX88" s="668"/>
      <c r="BY88" s="668"/>
      <c r="BZ88" s="668"/>
      <c r="CA88" s="668"/>
    </row>
    <row r="89" spans="1:79" hidden="1" outlineLevel="1" x14ac:dyDescent="0.25">
      <c r="A89" s="658"/>
      <c r="E89" s="570" t="s">
        <v>941</v>
      </c>
      <c r="F89" s="658" t="s">
        <v>596</v>
      </c>
      <c r="G89" s="665">
        <v>5.8319454352606392</v>
      </c>
      <c r="H89" s="665">
        <v>14.71321177647747</v>
      </c>
      <c r="I89" s="665"/>
      <c r="J89" s="686">
        <v>4.6351630877360357</v>
      </c>
      <c r="K89" s="686">
        <v>55.009270552782858</v>
      </c>
      <c r="L89" s="686">
        <v>1.9527848711314806</v>
      </c>
      <c r="M89" s="686"/>
      <c r="N89" s="686">
        <v>3.5384291655727487</v>
      </c>
      <c r="O89" s="686">
        <v>0.7565229853863199</v>
      </c>
      <c r="P89" s="666">
        <v>11.852402335497652</v>
      </c>
      <c r="Q89" s="666">
        <v>53.951975792123626</v>
      </c>
      <c r="R89" s="666">
        <v>35.064469799168634</v>
      </c>
      <c r="S89" s="667">
        <v>11.25</v>
      </c>
      <c r="T89" s="667">
        <v>0</v>
      </c>
      <c r="U89" s="667">
        <v>0</v>
      </c>
      <c r="V89" s="667">
        <v>58.32</v>
      </c>
      <c r="W89" s="667">
        <v>0</v>
      </c>
      <c r="X89" s="667">
        <v>0</v>
      </c>
      <c r="Y89" s="667">
        <v>0</v>
      </c>
      <c r="Z89" s="667">
        <v>0</v>
      </c>
      <c r="AA89" s="667">
        <v>26.82</v>
      </c>
      <c r="AB89" s="667">
        <v>3202.47</v>
      </c>
      <c r="AC89" s="667">
        <v>47.71</v>
      </c>
      <c r="AD89" s="668">
        <v>41.29</v>
      </c>
      <c r="AE89" s="667">
        <v>0</v>
      </c>
      <c r="AF89" s="667">
        <v>21.08</v>
      </c>
      <c r="AG89" s="668">
        <v>0</v>
      </c>
      <c r="AH89" s="668"/>
      <c r="AI89" s="668"/>
      <c r="AJ89" s="668"/>
      <c r="AK89" s="668"/>
      <c r="AL89" s="668"/>
      <c r="AM89" s="668"/>
      <c r="AN89" s="668"/>
      <c r="AO89" s="668"/>
      <c r="AP89" s="668"/>
      <c r="AQ89" s="668"/>
      <c r="AR89" s="668"/>
      <c r="AS89" s="668"/>
      <c r="AT89" s="668"/>
      <c r="AU89" s="668"/>
      <c r="AV89" s="668"/>
      <c r="AW89" s="668"/>
      <c r="AX89" s="668"/>
      <c r="AY89" s="668"/>
      <c r="AZ89" s="668"/>
      <c r="BA89" s="668"/>
      <c r="BB89" s="668"/>
      <c r="BC89" s="668"/>
      <c r="BD89" s="668"/>
      <c r="BE89" s="668"/>
      <c r="BF89" s="668"/>
      <c r="BG89" s="668"/>
      <c r="BH89" s="668"/>
      <c r="BI89" s="668"/>
      <c r="BJ89" s="668"/>
      <c r="BK89" s="668"/>
      <c r="BL89" s="668"/>
      <c r="BM89" s="668"/>
      <c r="BN89" s="668"/>
      <c r="BO89" s="668"/>
      <c r="BP89" s="668"/>
      <c r="BQ89" s="668"/>
      <c r="BR89" s="668"/>
      <c r="BS89" s="668"/>
      <c r="BT89" s="668"/>
      <c r="BU89" s="668"/>
      <c r="BV89" s="668"/>
      <c r="BW89" s="668"/>
      <c r="BX89" s="668"/>
      <c r="BY89" s="668"/>
      <c r="BZ89" s="668"/>
      <c r="CA89" s="668"/>
    </row>
    <row r="90" spans="1:79" hidden="1" outlineLevel="1" x14ac:dyDescent="0.25">
      <c r="A90" s="658"/>
      <c r="E90" s="570" t="s">
        <v>943</v>
      </c>
      <c r="F90" s="658" t="s">
        <v>597</v>
      </c>
      <c r="G90" s="665">
        <v>0</v>
      </c>
      <c r="H90" s="665"/>
      <c r="I90" s="665"/>
      <c r="J90" s="665">
        <v>110.64940714933664</v>
      </c>
      <c r="K90" s="665">
        <v>11.731765451035141</v>
      </c>
      <c r="L90" s="665"/>
      <c r="M90" s="665"/>
      <c r="N90" s="665"/>
      <c r="O90" s="665">
        <v>11.29500266307282</v>
      </c>
      <c r="P90" s="665">
        <v>0.22107271885135174</v>
      </c>
      <c r="Q90" s="665">
        <v>19.224235996656144</v>
      </c>
      <c r="R90" s="665"/>
      <c r="S90" s="667">
        <v>299.72000000000003</v>
      </c>
      <c r="T90" s="667">
        <v>0</v>
      </c>
      <c r="U90" s="667">
        <v>0</v>
      </c>
      <c r="V90" s="667">
        <v>0</v>
      </c>
      <c r="W90" s="667">
        <v>1363.59</v>
      </c>
      <c r="X90" s="667">
        <v>0</v>
      </c>
      <c r="Y90" s="667">
        <v>0</v>
      </c>
      <c r="Z90" s="667">
        <v>0</v>
      </c>
      <c r="AA90" s="667">
        <v>246.16</v>
      </c>
      <c r="AB90" s="667">
        <v>0</v>
      </c>
      <c r="AC90" s="667">
        <v>784.12</v>
      </c>
      <c r="AD90" s="668">
        <v>0</v>
      </c>
      <c r="AE90" s="667">
        <v>102.59</v>
      </c>
      <c r="AF90" s="667">
        <v>0</v>
      </c>
      <c r="AG90" s="668">
        <v>0</v>
      </c>
      <c r="AH90" s="668"/>
      <c r="AI90" s="668"/>
      <c r="AJ90" s="668"/>
      <c r="AK90" s="668"/>
      <c r="AL90" s="668"/>
      <c r="AM90" s="668"/>
      <c r="AN90" s="668"/>
      <c r="AO90" s="668"/>
      <c r="AP90" s="668"/>
      <c r="AQ90" s="668"/>
      <c r="AR90" s="668"/>
      <c r="AS90" s="668"/>
      <c r="AT90" s="668"/>
      <c r="AU90" s="668"/>
      <c r="AV90" s="668"/>
      <c r="AW90" s="668"/>
      <c r="AX90" s="668"/>
      <c r="AY90" s="668"/>
      <c r="AZ90" s="668"/>
      <c r="BA90" s="668"/>
      <c r="BB90" s="668"/>
      <c r="BC90" s="668"/>
      <c r="BD90" s="668"/>
      <c r="BE90" s="668"/>
      <c r="BF90" s="668"/>
      <c r="BG90" s="668"/>
      <c r="BH90" s="668"/>
      <c r="BI90" s="668"/>
      <c r="BJ90" s="668"/>
      <c r="BK90" s="668"/>
      <c r="BL90" s="668"/>
      <c r="BM90" s="668"/>
      <c r="BN90" s="668"/>
      <c r="BO90" s="668"/>
      <c r="BP90" s="668"/>
      <c r="BQ90" s="668"/>
      <c r="BR90" s="668"/>
      <c r="BS90" s="668"/>
      <c r="BT90" s="668"/>
      <c r="BU90" s="668"/>
      <c r="BV90" s="668"/>
      <c r="BW90" s="668"/>
      <c r="BX90" s="668"/>
      <c r="BY90" s="668"/>
      <c r="BZ90" s="668"/>
      <c r="CA90" s="668"/>
    </row>
    <row r="91" spans="1:79" s="740" customFormat="1" hidden="1" outlineLevel="1" x14ac:dyDescent="0.25">
      <c r="A91" s="701"/>
      <c r="B91" s="700"/>
      <c r="C91" s="700"/>
      <c r="D91" s="700"/>
      <c r="E91" s="570" t="s">
        <v>1339</v>
      </c>
      <c r="F91" s="701" t="s">
        <v>598</v>
      </c>
      <c r="G91" s="696"/>
      <c r="H91" s="696"/>
      <c r="I91" s="696"/>
      <c r="J91" s="705"/>
      <c r="K91" s="705"/>
      <c r="L91" s="705"/>
      <c r="M91" s="705"/>
      <c r="N91" s="705"/>
      <c r="O91" s="705"/>
      <c r="P91" s="697"/>
      <c r="Q91" s="697"/>
      <c r="R91" s="697"/>
      <c r="S91" s="697"/>
      <c r="T91" s="697"/>
      <c r="U91" s="697"/>
      <c r="V91" s="697"/>
      <c r="W91" s="697"/>
      <c r="X91" s="697"/>
      <c r="Y91" s="697"/>
      <c r="Z91" s="697"/>
      <c r="AA91" s="697"/>
      <c r="AB91" s="697"/>
      <c r="AC91" s="697"/>
      <c r="AD91" s="698"/>
      <c r="AE91" s="697"/>
      <c r="AF91" s="697"/>
      <c r="AG91" s="698"/>
      <c r="AH91" s="698"/>
      <c r="AI91" s="698"/>
      <c r="AJ91" s="698"/>
      <c r="AK91" s="698"/>
      <c r="AL91" s="698"/>
      <c r="AM91" s="698"/>
      <c r="AN91" s="698"/>
      <c r="AO91" s="698"/>
      <c r="AP91" s="698"/>
      <c r="AQ91" s="698"/>
      <c r="AR91" s="698"/>
      <c r="AS91" s="698"/>
      <c r="AT91" s="698"/>
      <c r="AU91" s="698"/>
      <c r="AV91" s="698"/>
      <c r="AW91" s="698"/>
      <c r="AX91" s="698"/>
      <c r="AY91" s="698"/>
      <c r="AZ91" s="698"/>
      <c r="BA91" s="698"/>
      <c r="BB91" s="698"/>
      <c r="BC91" s="698"/>
      <c r="BD91" s="698"/>
      <c r="BE91" s="698"/>
      <c r="BF91" s="698"/>
      <c r="BG91" s="698"/>
      <c r="BH91" s="698"/>
      <c r="BI91" s="698"/>
      <c r="BJ91" s="698"/>
      <c r="BK91" s="698"/>
      <c r="BL91" s="698"/>
      <c r="BM91" s="698"/>
      <c r="BN91" s="698"/>
      <c r="BO91" s="698"/>
      <c r="BP91" s="698"/>
      <c r="BQ91" s="698"/>
      <c r="BR91" s="698"/>
      <c r="BS91" s="698"/>
      <c r="BT91" s="698"/>
      <c r="BU91" s="698"/>
      <c r="BV91" s="698"/>
      <c r="BW91" s="698"/>
      <c r="BX91" s="698"/>
      <c r="BY91" s="698"/>
      <c r="BZ91" s="698"/>
      <c r="CA91" s="698"/>
    </row>
    <row r="92" spans="1:79" s="740" customFormat="1" hidden="1" outlineLevel="1" x14ac:dyDescent="0.25">
      <c r="A92" s="656"/>
      <c r="B92" s="503"/>
      <c r="C92" s="503"/>
      <c r="D92" s="503"/>
      <c r="E92" s="570" t="s">
        <v>1339</v>
      </c>
      <c r="F92" s="656" t="s">
        <v>649</v>
      </c>
      <c r="G92" s="669"/>
      <c r="H92" s="669"/>
      <c r="I92" s="669"/>
      <c r="J92" s="687"/>
      <c r="K92" s="687"/>
      <c r="L92" s="674"/>
      <c r="M92" s="674"/>
      <c r="N92" s="674"/>
      <c r="O92" s="674"/>
      <c r="P92" s="675"/>
      <c r="Q92" s="675"/>
      <c r="R92" s="675"/>
      <c r="S92" s="676">
        <v>0</v>
      </c>
      <c r="T92" s="676">
        <v>0</v>
      </c>
      <c r="U92" s="676">
        <v>0</v>
      </c>
      <c r="V92" s="676">
        <v>0</v>
      </c>
      <c r="W92" s="676">
        <v>0</v>
      </c>
      <c r="X92" s="676">
        <v>0</v>
      </c>
      <c r="Y92" s="676">
        <v>0</v>
      </c>
      <c r="Z92" s="676">
        <v>0</v>
      </c>
      <c r="AA92" s="676">
        <v>0</v>
      </c>
      <c r="AB92" s="676">
        <v>0</v>
      </c>
      <c r="AC92" s="676">
        <v>0</v>
      </c>
      <c r="AD92" s="677">
        <v>0</v>
      </c>
      <c r="AE92" s="676">
        <v>0</v>
      </c>
      <c r="AF92" s="676">
        <v>0</v>
      </c>
      <c r="AG92" s="672">
        <v>0</v>
      </c>
      <c r="AH92" s="672"/>
      <c r="AI92" s="672"/>
      <c r="AJ92" s="672"/>
      <c r="AK92" s="672"/>
      <c r="AL92" s="672"/>
      <c r="AM92" s="672"/>
      <c r="AN92" s="672"/>
      <c r="AO92" s="672"/>
      <c r="AP92" s="672"/>
      <c r="AQ92" s="672"/>
      <c r="AR92" s="672"/>
      <c r="AS92" s="672"/>
      <c r="AT92" s="672"/>
      <c r="AU92" s="672"/>
      <c r="AV92" s="672"/>
      <c r="AW92" s="672"/>
      <c r="AX92" s="672"/>
      <c r="AY92" s="672"/>
      <c r="AZ92" s="672"/>
      <c r="BA92" s="672"/>
      <c r="BB92" s="672"/>
      <c r="BC92" s="672"/>
      <c r="BD92" s="672"/>
      <c r="BE92" s="672"/>
      <c r="BF92" s="672"/>
      <c r="BG92" s="672"/>
      <c r="BH92" s="672"/>
      <c r="BI92" s="672"/>
      <c r="BJ92" s="672"/>
      <c r="BK92" s="672"/>
      <c r="BL92" s="672"/>
      <c r="BM92" s="672"/>
      <c r="BN92" s="672"/>
      <c r="BO92" s="672"/>
      <c r="BP92" s="672"/>
      <c r="BQ92" s="672"/>
      <c r="BR92" s="672"/>
      <c r="BS92" s="672"/>
      <c r="BT92" s="672"/>
      <c r="BU92" s="672"/>
      <c r="BV92" s="672"/>
      <c r="BW92" s="672"/>
      <c r="BX92" s="672"/>
      <c r="BY92" s="672"/>
      <c r="BZ92" s="672"/>
      <c r="CA92" s="672"/>
    </row>
    <row r="93" spans="1:79" s="308" customFormat="1" hidden="1" outlineLevel="1" x14ac:dyDescent="0.25">
      <c r="A93" s="656"/>
      <c r="B93" s="503"/>
      <c r="C93" s="503"/>
      <c r="D93" s="503"/>
      <c r="E93" s="570" t="s">
        <v>1339</v>
      </c>
      <c r="F93" s="656" t="s">
        <v>620</v>
      </c>
      <c r="G93" s="681"/>
      <c r="H93" s="681"/>
      <c r="I93" s="681"/>
      <c r="J93" s="682"/>
      <c r="K93" s="682"/>
      <c r="L93" s="686"/>
      <c r="M93" s="686"/>
      <c r="N93" s="686"/>
      <c r="O93" s="686"/>
      <c r="P93" s="666"/>
      <c r="Q93" s="666">
        <v>190.25</v>
      </c>
      <c r="R93" s="666"/>
      <c r="S93" s="667">
        <v>0</v>
      </c>
      <c r="T93" s="667">
        <v>0</v>
      </c>
      <c r="U93" s="667">
        <v>0</v>
      </c>
      <c r="V93" s="667">
        <v>0</v>
      </c>
      <c r="W93" s="667">
        <v>0</v>
      </c>
      <c r="X93" s="667">
        <v>0</v>
      </c>
      <c r="Y93" s="667">
        <v>0</v>
      </c>
      <c r="Z93" s="667">
        <v>0</v>
      </c>
      <c r="AA93" s="667">
        <v>0</v>
      </c>
      <c r="AB93" s="667">
        <v>0</v>
      </c>
      <c r="AC93" s="667">
        <v>0</v>
      </c>
      <c r="AD93" s="668">
        <v>0</v>
      </c>
      <c r="AE93" s="667">
        <v>0</v>
      </c>
      <c r="AF93" s="667">
        <v>0</v>
      </c>
      <c r="AG93" s="685">
        <v>0</v>
      </c>
      <c r="AH93" s="685"/>
      <c r="AI93" s="685"/>
      <c r="AJ93" s="685"/>
      <c r="AK93" s="685"/>
      <c r="AL93" s="685"/>
      <c r="AM93" s="685"/>
      <c r="AN93" s="685"/>
      <c r="AO93" s="685"/>
      <c r="AP93" s="685"/>
      <c r="AQ93" s="685"/>
      <c r="AR93" s="685"/>
      <c r="AS93" s="685"/>
      <c r="AT93" s="685"/>
      <c r="AU93" s="685"/>
      <c r="AV93" s="685"/>
      <c r="AW93" s="685"/>
      <c r="AX93" s="685"/>
      <c r="AY93" s="685"/>
      <c r="AZ93" s="685"/>
      <c r="BA93" s="685"/>
      <c r="BB93" s="685"/>
      <c r="BC93" s="685"/>
      <c r="BD93" s="685"/>
      <c r="BE93" s="685"/>
      <c r="BF93" s="685"/>
      <c r="BG93" s="685"/>
      <c r="BH93" s="685"/>
      <c r="BI93" s="685"/>
      <c r="BJ93" s="685"/>
      <c r="BK93" s="685"/>
      <c r="BL93" s="685"/>
      <c r="BM93" s="685"/>
      <c r="BN93" s="685"/>
      <c r="BO93" s="685"/>
      <c r="BP93" s="685"/>
      <c r="BQ93" s="685"/>
      <c r="BR93" s="685"/>
      <c r="BS93" s="685"/>
      <c r="BT93" s="685"/>
      <c r="BU93" s="685"/>
      <c r="BV93" s="685"/>
      <c r="BW93" s="685"/>
      <c r="BX93" s="685"/>
      <c r="BY93" s="685"/>
      <c r="BZ93" s="685"/>
      <c r="CA93" s="685"/>
    </row>
    <row r="94" spans="1:79" s="308" customFormat="1" hidden="1" outlineLevel="1" x14ac:dyDescent="0.25">
      <c r="A94" s="656"/>
      <c r="B94" s="503"/>
      <c r="C94" s="503"/>
      <c r="D94" s="503"/>
      <c r="E94" s="570" t="s">
        <v>1339</v>
      </c>
      <c r="F94" s="656" t="s">
        <v>666</v>
      </c>
      <c r="G94" s="681"/>
      <c r="H94" s="681"/>
      <c r="I94" s="681"/>
      <c r="J94" s="682"/>
      <c r="K94" s="682"/>
      <c r="L94" s="686"/>
      <c r="M94" s="686"/>
      <c r="N94" s="686"/>
      <c r="O94" s="686"/>
      <c r="P94" s="666"/>
      <c r="Q94" s="666"/>
      <c r="R94" s="666"/>
      <c r="S94" s="667">
        <v>0</v>
      </c>
      <c r="T94" s="667">
        <v>0</v>
      </c>
      <c r="U94" s="667">
        <v>0</v>
      </c>
      <c r="V94" s="667">
        <v>0</v>
      </c>
      <c r="W94" s="667">
        <v>0</v>
      </c>
      <c r="X94" s="667">
        <v>261</v>
      </c>
      <c r="Y94" s="667">
        <v>1287.5</v>
      </c>
      <c r="Z94" s="667">
        <v>0</v>
      </c>
      <c r="AA94" s="667"/>
      <c r="AB94" s="667">
        <v>0</v>
      </c>
      <c r="AC94" s="667">
        <v>0</v>
      </c>
      <c r="AD94" s="668">
        <v>0</v>
      </c>
      <c r="AE94" s="667">
        <v>0</v>
      </c>
      <c r="AF94" s="667">
        <v>0</v>
      </c>
      <c r="AG94" s="685">
        <v>0</v>
      </c>
      <c r="AH94" s="685"/>
      <c r="AI94" s="685"/>
      <c r="AJ94" s="685"/>
      <c r="AK94" s="685"/>
      <c r="AL94" s="685"/>
      <c r="AM94" s="685"/>
      <c r="AN94" s="685"/>
      <c r="AO94" s="685"/>
      <c r="AP94" s="685"/>
      <c r="AQ94" s="685"/>
      <c r="AR94" s="685"/>
      <c r="AS94" s="685"/>
      <c r="AT94" s="685"/>
      <c r="AU94" s="685"/>
      <c r="AV94" s="685"/>
      <c r="AW94" s="685"/>
      <c r="AX94" s="685"/>
      <c r="AY94" s="685"/>
      <c r="AZ94" s="685"/>
      <c r="BA94" s="685"/>
      <c r="BB94" s="685"/>
      <c r="BC94" s="685"/>
      <c r="BD94" s="685"/>
      <c r="BE94" s="685"/>
      <c r="BF94" s="685"/>
      <c r="BG94" s="685"/>
      <c r="BH94" s="685"/>
      <c r="BI94" s="685"/>
      <c r="BJ94" s="685"/>
      <c r="BK94" s="685"/>
      <c r="BL94" s="685"/>
      <c r="BM94" s="685"/>
      <c r="BN94" s="685"/>
      <c r="BO94" s="685"/>
      <c r="BP94" s="685"/>
      <c r="BQ94" s="685"/>
      <c r="BR94" s="685"/>
      <c r="BS94" s="685"/>
      <c r="BT94" s="685"/>
      <c r="BU94" s="685"/>
      <c r="BV94" s="685"/>
      <c r="BW94" s="685"/>
      <c r="BX94" s="685"/>
      <c r="BY94" s="685"/>
      <c r="BZ94" s="685"/>
      <c r="CA94" s="685"/>
    </row>
    <row r="95" spans="1:79" s="308" customFormat="1" hidden="1" outlineLevel="1" x14ac:dyDescent="0.25">
      <c r="A95" s="656"/>
      <c r="B95" s="503"/>
      <c r="C95" s="503"/>
      <c r="D95" s="503"/>
      <c r="E95" s="570" t="s">
        <v>1339</v>
      </c>
      <c r="F95" s="656" t="s">
        <v>621</v>
      </c>
      <c r="G95" s="681"/>
      <c r="H95" s="681"/>
      <c r="I95" s="681"/>
      <c r="J95" s="682"/>
      <c r="K95" s="682"/>
      <c r="L95" s="686">
        <v>1032.2556843667653</v>
      </c>
      <c r="M95" s="686">
        <v>1599.8562792885386</v>
      </c>
      <c r="N95" s="686">
        <v>2071.3725789476425</v>
      </c>
      <c r="O95" s="686">
        <v>2686.8895808682819</v>
      </c>
      <c r="P95" s="666">
        <v>739.06062214539486</v>
      </c>
      <c r="Q95" s="666">
        <v>3130.2799918683386</v>
      </c>
      <c r="R95" s="666">
        <v>1262.2450895879695</v>
      </c>
      <c r="S95" s="667">
        <v>1993.87</v>
      </c>
      <c r="T95" s="667">
        <v>2812.18</v>
      </c>
      <c r="U95" s="667">
        <v>3543.14</v>
      </c>
      <c r="V95" s="667">
        <v>769</v>
      </c>
      <c r="W95" s="667">
        <v>2189.54</v>
      </c>
      <c r="X95" s="667">
        <v>0</v>
      </c>
      <c r="Y95" s="667">
        <v>0</v>
      </c>
      <c r="Z95" s="667">
        <v>0</v>
      </c>
      <c r="AA95" s="667">
        <v>0</v>
      </c>
      <c r="AB95" s="667">
        <v>0</v>
      </c>
      <c r="AC95" s="667">
        <v>0</v>
      </c>
      <c r="AD95" s="668">
        <v>0</v>
      </c>
      <c r="AE95" s="667">
        <v>2550</v>
      </c>
      <c r="AF95" s="667">
        <v>319</v>
      </c>
      <c r="AG95" s="685">
        <v>0</v>
      </c>
      <c r="AH95" s="685"/>
      <c r="AI95" s="685"/>
      <c r="AJ95" s="685"/>
      <c r="AK95" s="685"/>
      <c r="AL95" s="685"/>
      <c r="AM95" s="685"/>
      <c r="AN95" s="685"/>
      <c r="AO95" s="685"/>
      <c r="AP95" s="685"/>
      <c r="AQ95" s="685"/>
      <c r="AR95" s="685"/>
      <c r="AS95" s="685"/>
      <c r="AT95" s="685"/>
      <c r="AU95" s="685"/>
      <c r="AV95" s="685"/>
      <c r="AW95" s="685"/>
      <c r="AX95" s="685"/>
      <c r="AY95" s="685"/>
      <c r="AZ95" s="685"/>
      <c r="BA95" s="685"/>
      <c r="BB95" s="685"/>
      <c r="BC95" s="685"/>
      <c r="BD95" s="685"/>
      <c r="BE95" s="685"/>
      <c r="BF95" s="685"/>
      <c r="BG95" s="685"/>
      <c r="BH95" s="685"/>
      <c r="BI95" s="685"/>
      <c r="BJ95" s="685"/>
      <c r="BK95" s="685"/>
      <c r="BL95" s="685"/>
      <c r="BM95" s="685"/>
      <c r="BN95" s="685"/>
      <c r="BO95" s="685"/>
      <c r="BP95" s="685"/>
      <c r="BQ95" s="685"/>
      <c r="BR95" s="685"/>
      <c r="BS95" s="685"/>
      <c r="BT95" s="685"/>
      <c r="BU95" s="685"/>
      <c r="BV95" s="685"/>
      <c r="BW95" s="685"/>
      <c r="BX95" s="685"/>
      <c r="BY95" s="685"/>
      <c r="BZ95" s="685"/>
      <c r="CA95" s="685"/>
    </row>
    <row r="96" spans="1:79" s="308" customFormat="1" hidden="1" outlineLevel="1" x14ac:dyDescent="0.25">
      <c r="A96" s="656"/>
      <c r="B96" s="503"/>
      <c r="C96" s="503"/>
      <c r="D96" s="503"/>
      <c r="E96" s="570" t="s">
        <v>1339</v>
      </c>
      <c r="F96" s="656" t="s">
        <v>650</v>
      </c>
      <c r="G96" s="681"/>
      <c r="H96" s="681"/>
      <c r="I96" s="681"/>
      <c r="J96" s="682"/>
      <c r="K96" s="682"/>
      <c r="L96" s="686"/>
      <c r="M96" s="686"/>
      <c r="N96" s="686"/>
      <c r="O96" s="686"/>
      <c r="P96" s="666"/>
      <c r="Q96" s="666"/>
      <c r="R96" s="666"/>
      <c r="S96" s="667">
        <v>0</v>
      </c>
      <c r="T96" s="667">
        <v>0</v>
      </c>
      <c r="U96" s="667">
        <v>0</v>
      </c>
      <c r="V96" s="667">
        <v>0</v>
      </c>
      <c r="W96" s="667">
        <v>0</v>
      </c>
      <c r="X96" s="667">
        <v>0</v>
      </c>
      <c r="Y96" s="667">
        <v>0</v>
      </c>
      <c r="Z96" s="667">
        <v>0</v>
      </c>
      <c r="AA96" s="667">
        <v>0</v>
      </c>
      <c r="AB96" s="667">
        <v>0</v>
      </c>
      <c r="AC96" s="667">
        <v>0</v>
      </c>
      <c r="AD96" s="668">
        <v>0</v>
      </c>
      <c r="AE96" s="667">
        <v>0</v>
      </c>
      <c r="AF96" s="667">
        <v>0</v>
      </c>
      <c r="AG96" s="685">
        <v>0</v>
      </c>
      <c r="AH96" s="685"/>
      <c r="AI96" s="685"/>
      <c r="AJ96" s="685"/>
      <c r="AK96" s="685"/>
      <c r="AL96" s="685"/>
      <c r="AM96" s="685"/>
      <c r="AN96" s="685"/>
      <c r="AO96" s="685"/>
      <c r="AP96" s="685"/>
      <c r="AQ96" s="685"/>
      <c r="AR96" s="685"/>
      <c r="AS96" s="685"/>
      <c r="AT96" s="685"/>
      <c r="AU96" s="685"/>
      <c r="AV96" s="685"/>
      <c r="AW96" s="685"/>
      <c r="AX96" s="685"/>
      <c r="AY96" s="685"/>
      <c r="AZ96" s="685"/>
      <c r="BA96" s="685"/>
      <c r="BB96" s="685"/>
      <c r="BC96" s="685"/>
      <c r="BD96" s="685"/>
      <c r="BE96" s="685"/>
      <c r="BF96" s="685"/>
      <c r="BG96" s="685"/>
      <c r="BH96" s="685"/>
      <c r="BI96" s="685"/>
      <c r="BJ96" s="685"/>
      <c r="BK96" s="685"/>
      <c r="BL96" s="685"/>
      <c r="BM96" s="685"/>
      <c r="BN96" s="685"/>
      <c r="BO96" s="685"/>
      <c r="BP96" s="685"/>
      <c r="BQ96" s="685"/>
      <c r="BR96" s="685"/>
      <c r="BS96" s="685"/>
      <c r="BT96" s="685"/>
      <c r="BU96" s="685"/>
      <c r="BV96" s="685"/>
      <c r="BW96" s="685"/>
      <c r="BX96" s="685"/>
      <c r="BY96" s="685"/>
      <c r="BZ96" s="685"/>
      <c r="CA96" s="685"/>
    </row>
    <row r="97" spans="1:79" s="308" customFormat="1" hidden="1" outlineLevel="1" x14ac:dyDescent="0.25">
      <c r="A97" s="656"/>
      <c r="B97" s="503"/>
      <c r="C97" s="503"/>
      <c r="D97" s="503"/>
      <c r="E97" s="570" t="s">
        <v>1339</v>
      </c>
      <c r="F97" s="656" t="s">
        <v>647</v>
      </c>
      <c r="G97" s="665"/>
      <c r="H97" s="665">
        <v>70.968807268990716</v>
      </c>
      <c r="I97" s="665"/>
      <c r="J97" s="686">
        <v>86.189286013134009</v>
      </c>
      <c r="K97" s="686">
        <v>95.320594289660519</v>
      </c>
      <c r="L97" s="686"/>
      <c r="M97" s="686">
        <v>680.95134056872746</v>
      </c>
      <c r="N97" s="686">
        <v>811.05567390656256</v>
      </c>
      <c r="O97" s="686">
        <v>56.144750079601735</v>
      </c>
      <c r="P97" s="666">
        <v>22.187955359168512</v>
      </c>
      <c r="Q97" s="666">
        <v>56.531212355859729</v>
      </c>
      <c r="R97" s="666"/>
      <c r="S97" s="684">
        <v>0</v>
      </c>
      <c r="T97" s="684">
        <v>0</v>
      </c>
      <c r="U97" s="684">
        <v>0</v>
      </c>
      <c r="V97" s="684">
        <v>0</v>
      </c>
      <c r="W97" s="684">
        <v>0</v>
      </c>
      <c r="X97" s="684">
        <v>0</v>
      </c>
      <c r="Y97" s="684">
        <v>0</v>
      </c>
      <c r="Z97" s="684">
        <v>0</v>
      </c>
      <c r="AA97" s="684">
        <v>0</v>
      </c>
      <c r="AB97" s="684">
        <v>0</v>
      </c>
      <c r="AC97" s="684">
        <v>0</v>
      </c>
      <c r="AD97" s="685">
        <v>0</v>
      </c>
      <c r="AE97" s="684">
        <v>0</v>
      </c>
      <c r="AF97" s="684">
        <v>0</v>
      </c>
      <c r="AG97" s="685">
        <v>0</v>
      </c>
      <c r="AH97" s="685"/>
      <c r="AI97" s="685"/>
      <c r="AJ97" s="685"/>
      <c r="AK97" s="685"/>
      <c r="AL97" s="685"/>
      <c r="AM97" s="685"/>
      <c r="AN97" s="685"/>
      <c r="AO97" s="685"/>
      <c r="AP97" s="685"/>
      <c r="AQ97" s="685"/>
      <c r="AR97" s="685"/>
      <c r="AS97" s="685"/>
      <c r="AT97" s="685"/>
      <c r="AU97" s="685"/>
      <c r="AV97" s="685"/>
      <c r="AW97" s="685"/>
      <c r="AX97" s="685"/>
      <c r="AY97" s="685"/>
      <c r="AZ97" s="685"/>
      <c r="BA97" s="685"/>
      <c r="BB97" s="685"/>
      <c r="BC97" s="685"/>
      <c r="BD97" s="685"/>
      <c r="BE97" s="685"/>
      <c r="BF97" s="685"/>
      <c r="BG97" s="685"/>
      <c r="BH97" s="685"/>
      <c r="BI97" s="685"/>
      <c r="BJ97" s="685"/>
      <c r="BK97" s="685"/>
      <c r="BL97" s="685"/>
      <c r="BM97" s="685"/>
      <c r="BN97" s="685"/>
      <c r="BO97" s="685"/>
      <c r="BP97" s="685"/>
      <c r="BQ97" s="685"/>
      <c r="BR97" s="685"/>
      <c r="BS97" s="685"/>
      <c r="BT97" s="685"/>
      <c r="BU97" s="685"/>
      <c r="BV97" s="685"/>
      <c r="BW97" s="685"/>
      <c r="BX97" s="685"/>
      <c r="BY97" s="685"/>
      <c r="BZ97" s="685"/>
      <c r="CA97" s="685"/>
    </row>
    <row r="98" spans="1:79" s="308" customFormat="1" hidden="1" outlineLevel="1" x14ac:dyDescent="0.25">
      <c r="A98" s="656"/>
      <c r="B98" s="503"/>
      <c r="C98" s="503"/>
      <c r="D98" s="503"/>
      <c r="E98" s="570" t="s">
        <v>1339</v>
      </c>
      <c r="F98" s="656" t="s">
        <v>889</v>
      </c>
      <c r="G98" s="665"/>
      <c r="H98" s="665"/>
      <c r="I98" s="665"/>
      <c r="J98" s="686"/>
      <c r="K98" s="686"/>
      <c r="L98" s="686"/>
      <c r="M98" s="686"/>
      <c r="N98" s="686"/>
      <c r="O98" s="686"/>
      <c r="P98" s="666"/>
      <c r="Q98" s="666"/>
      <c r="R98" s="666"/>
      <c r="S98" s="684">
        <v>0</v>
      </c>
      <c r="T98" s="684">
        <v>0</v>
      </c>
      <c r="U98" s="684">
        <v>0</v>
      </c>
      <c r="V98" s="684">
        <v>0</v>
      </c>
      <c r="W98" s="684">
        <v>0</v>
      </c>
      <c r="X98" s="684">
        <v>0</v>
      </c>
      <c r="Y98" s="684">
        <v>0</v>
      </c>
      <c r="Z98" s="684">
        <v>0</v>
      </c>
      <c r="AA98" s="684">
        <v>0</v>
      </c>
      <c r="AB98" s="684">
        <v>0</v>
      </c>
      <c r="AC98" s="684">
        <v>0</v>
      </c>
      <c r="AD98" s="685">
        <v>0</v>
      </c>
      <c r="AE98" s="684">
        <v>0</v>
      </c>
      <c r="AF98" s="684">
        <v>0</v>
      </c>
      <c r="AG98" s="685">
        <v>0</v>
      </c>
      <c r="AH98" s="685"/>
      <c r="AI98" s="685"/>
      <c r="AJ98" s="685"/>
      <c r="AK98" s="685"/>
      <c r="AL98" s="685"/>
      <c r="AM98" s="685"/>
      <c r="AN98" s="685"/>
      <c r="AO98" s="685"/>
      <c r="AP98" s="685"/>
      <c r="AQ98" s="685"/>
      <c r="AR98" s="685"/>
      <c r="AS98" s="685"/>
      <c r="AT98" s="685"/>
      <c r="AU98" s="685"/>
      <c r="AV98" s="685"/>
      <c r="AW98" s="685"/>
      <c r="AX98" s="685"/>
      <c r="AY98" s="685"/>
      <c r="AZ98" s="685"/>
      <c r="BA98" s="685"/>
      <c r="BB98" s="685"/>
      <c r="BC98" s="685"/>
      <c r="BD98" s="685"/>
      <c r="BE98" s="685"/>
      <c r="BF98" s="685"/>
      <c r="BG98" s="685"/>
      <c r="BH98" s="685"/>
      <c r="BI98" s="685"/>
      <c r="BJ98" s="685"/>
      <c r="BK98" s="685"/>
      <c r="BL98" s="685"/>
      <c r="BM98" s="685"/>
      <c r="BN98" s="685"/>
      <c r="BO98" s="685"/>
      <c r="BP98" s="685"/>
      <c r="BQ98" s="685"/>
      <c r="BR98" s="685"/>
      <c r="BS98" s="685"/>
      <c r="BT98" s="685"/>
      <c r="BU98" s="685"/>
      <c r="BV98" s="685"/>
      <c r="BW98" s="685"/>
      <c r="BX98" s="685"/>
      <c r="BY98" s="685"/>
      <c r="BZ98" s="685"/>
      <c r="CA98" s="685"/>
    </row>
    <row r="99" spans="1:79" s="42" customFormat="1" hidden="1" outlineLevel="1" x14ac:dyDescent="0.25">
      <c r="A99" s="656"/>
      <c r="B99" s="79"/>
      <c r="C99" s="79"/>
      <c r="D99" s="79"/>
      <c r="E99" s="570" t="s">
        <v>1339</v>
      </c>
      <c r="F99" s="656" t="s">
        <v>684</v>
      </c>
      <c r="G99" s="665">
        <v>899.58</v>
      </c>
      <c r="H99" s="665">
        <v>1316.2</v>
      </c>
      <c r="I99" s="665">
        <v>2505.38</v>
      </c>
      <c r="J99" s="686">
        <v>2816.18</v>
      </c>
      <c r="K99" s="686">
        <v>2686.68</v>
      </c>
      <c r="L99" s="686">
        <v>3360.82</v>
      </c>
      <c r="M99" s="686">
        <v>2935.32</v>
      </c>
      <c r="N99" s="686">
        <v>2842.08</v>
      </c>
      <c r="O99" s="686">
        <v>2039.18</v>
      </c>
      <c r="P99" s="666">
        <v>1507.52</v>
      </c>
      <c r="Q99" s="666">
        <v>3266.16</v>
      </c>
      <c r="R99" s="666"/>
      <c r="S99" s="667">
        <v>0</v>
      </c>
      <c r="T99" s="667">
        <v>0</v>
      </c>
      <c r="U99" s="667">
        <v>0</v>
      </c>
      <c r="V99" s="667">
        <v>466.78</v>
      </c>
      <c r="W99" s="667">
        <v>30.36</v>
      </c>
      <c r="X99" s="667">
        <v>2145.5500000000002</v>
      </c>
      <c r="Y99" s="667">
        <v>1846.05</v>
      </c>
      <c r="Z99" s="667">
        <v>2053.1799999999998</v>
      </c>
      <c r="AA99" s="667">
        <v>1830.49</v>
      </c>
      <c r="AB99" s="667">
        <v>2043.61</v>
      </c>
      <c r="AC99" s="667">
        <v>2068.92</v>
      </c>
      <c r="AD99" s="668">
        <v>1916.87</v>
      </c>
      <c r="AE99" s="667">
        <v>2181.84</v>
      </c>
      <c r="AF99" s="667">
        <v>2040.6</v>
      </c>
      <c r="AG99" s="668">
        <v>2155.37</v>
      </c>
      <c r="AH99" s="668"/>
      <c r="AI99" s="668"/>
      <c r="AJ99" s="668"/>
      <c r="AK99" s="668"/>
      <c r="AL99" s="668"/>
      <c r="AM99" s="668"/>
      <c r="AN99" s="668"/>
      <c r="AO99" s="668"/>
      <c r="AP99" s="668"/>
      <c r="AQ99" s="668"/>
      <c r="AR99" s="668"/>
      <c r="AS99" s="668"/>
      <c r="AT99" s="668"/>
      <c r="AU99" s="668"/>
      <c r="AV99" s="668"/>
      <c r="AW99" s="668"/>
      <c r="AX99" s="668"/>
      <c r="AY99" s="668"/>
      <c r="AZ99" s="668"/>
      <c r="BA99" s="668"/>
      <c r="BB99" s="668"/>
      <c r="BC99" s="668"/>
      <c r="BD99" s="668"/>
      <c r="BE99" s="668"/>
      <c r="BF99" s="668"/>
      <c r="BG99" s="668"/>
      <c r="BH99" s="668"/>
      <c r="BI99" s="668"/>
      <c r="BJ99" s="668"/>
      <c r="BK99" s="668"/>
      <c r="BL99" s="668"/>
      <c r="BM99" s="668"/>
      <c r="BN99" s="668"/>
      <c r="BO99" s="668"/>
      <c r="BP99" s="668"/>
      <c r="BQ99" s="668"/>
      <c r="BR99" s="668"/>
      <c r="BS99" s="668"/>
      <c r="BT99" s="668"/>
      <c r="BU99" s="668"/>
      <c r="BV99" s="668"/>
      <c r="BW99" s="668"/>
      <c r="BX99" s="668"/>
      <c r="BY99" s="668"/>
      <c r="BZ99" s="668"/>
      <c r="CA99" s="668"/>
    </row>
    <row r="100" spans="1:79" s="42" customFormat="1" hidden="1" outlineLevel="1" x14ac:dyDescent="0.25">
      <c r="A100" s="656"/>
      <c r="B100" s="576"/>
      <c r="C100" s="576"/>
      <c r="D100" s="576"/>
      <c r="E100" s="570" t="s">
        <v>1339</v>
      </c>
      <c r="F100" s="656" t="s">
        <v>890</v>
      </c>
      <c r="G100" s="665"/>
      <c r="H100" s="665"/>
      <c r="I100" s="665"/>
      <c r="J100" s="686"/>
      <c r="K100" s="686"/>
      <c r="L100" s="686"/>
      <c r="M100" s="686"/>
      <c r="N100" s="686"/>
      <c r="O100" s="686"/>
      <c r="P100" s="666"/>
      <c r="Q100" s="666"/>
      <c r="R100" s="666"/>
      <c r="S100" s="667">
        <v>0</v>
      </c>
      <c r="T100" s="667">
        <v>0</v>
      </c>
      <c r="U100" s="667">
        <v>0</v>
      </c>
      <c r="V100" s="667">
        <v>0</v>
      </c>
      <c r="W100" s="667">
        <v>0</v>
      </c>
      <c r="X100" s="667">
        <v>0</v>
      </c>
      <c r="Y100" s="667">
        <v>0</v>
      </c>
      <c r="Z100" s="667">
        <v>0</v>
      </c>
      <c r="AA100" s="667">
        <v>0</v>
      </c>
      <c r="AB100" s="667">
        <v>0</v>
      </c>
      <c r="AC100" s="667">
        <v>0</v>
      </c>
      <c r="AD100" s="668">
        <v>0</v>
      </c>
      <c r="AE100" s="667">
        <v>0</v>
      </c>
      <c r="AF100" s="667">
        <v>0</v>
      </c>
      <c r="AG100" s="668">
        <v>0</v>
      </c>
      <c r="AH100" s="668"/>
      <c r="AI100" s="668"/>
      <c r="AJ100" s="668"/>
      <c r="AK100" s="668"/>
      <c r="AL100" s="668"/>
      <c r="AM100" s="668"/>
      <c r="AN100" s="668"/>
      <c r="AO100" s="668"/>
      <c r="AP100" s="668"/>
      <c r="AQ100" s="668"/>
      <c r="AR100" s="668"/>
      <c r="AS100" s="668"/>
      <c r="AT100" s="668"/>
      <c r="AU100" s="668"/>
      <c r="AV100" s="668"/>
      <c r="AW100" s="668"/>
      <c r="AX100" s="668"/>
      <c r="AY100" s="668"/>
      <c r="AZ100" s="668"/>
      <c r="BA100" s="668"/>
      <c r="BB100" s="668"/>
      <c r="BC100" s="668"/>
      <c r="BD100" s="668"/>
      <c r="BE100" s="668"/>
      <c r="BF100" s="668"/>
      <c r="BG100" s="668"/>
      <c r="BH100" s="668"/>
      <c r="BI100" s="668"/>
      <c r="BJ100" s="668"/>
      <c r="BK100" s="668"/>
      <c r="BL100" s="668"/>
      <c r="BM100" s="668"/>
      <c r="BN100" s="668"/>
      <c r="BO100" s="668"/>
      <c r="BP100" s="668"/>
      <c r="BQ100" s="668"/>
      <c r="BR100" s="668"/>
      <c r="BS100" s="668"/>
      <c r="BT100" s="668"/>
      <c r="BU100" s="668"/>
      <c r="BV100" s="668"/>
      <c r="BW100" s="668"/>
      <c r="BX100" s="668"/>
      <c r="BY100" s="668"/>
      <c r="BZ100" s="668"/>
      <c r="CA100" s="668"/>
    </row>
    <row r="101" spans="1:79" s="308" customFormat="1" hidden="1" outlineLevel="1" x14ac:dyDescent="0.25">
      <c r="A101" s="659"/>
      <c r="B101" s="29"/>
      <c r="C101" s="29"/>
      <c r="D101" s="29"/>
      <c r="E101" s="570" t="s">
        <v>49</v>
      </c>
      <c r="F101" s="659" t="s">
        <v>622</v>
      </c>
      <c r="G101" s="680">
        <f>SUM(G92:G100)</f>
        <v>899.58</v>
      </c>
      <c r="H101" s="680">
        <f t="shared" ref="H101:BO101" si="26">SUM(H92:H100)</f>
        <v>1387.1688072689908</v>
      </c>
      <c r="I101" s="680">
        <f t="shared" si="26"/>
        <v>2505.38</v>
      </c>
      <c r="J101" s="680">
        <f t="shared" si="26"/>
        <v>2902.3692860131337</v>
      </c>
      <c r="K101" s="680">
        <f t="shared" si="26"/>
        <v>2782.0005942896605</v>
      </c>
      <c r="L101" s="680">
        <f t="shared" si="26"/>
        <v>4393.0756843667659</v>
      </c>
      <c r="M101" s="680">
        <f t="shared" si="26"/>
        <v>5216.1276198572668</v>
      </c>
      <c r="N101" s="680">
        <f t="shared" si="26"/>
        <v>5724.5082528542052</v>
      </c>
      <c r="O101" s="680">
        <f t="shared" si="26"/>
        <v>4782.2143309478834</v>
      </c>
      <c r="P101" s="680">
        <f t="shared" si="26"/>
        <v>2268.7685775045634</v>
      </c>
      <c r="Q101" s="680">
        <f t="shared" si="26"/>
        <v>6643.2212042241981</v>
      </c>
      <c r="R101" s="680">
        <f t="shared" si="26"/>
        <v>1262.2450895879695</v>
      </c>
      <c r="S101" s="680">
        <f t="shared" ref="S101:AA101" si="27">ROUND(SUM(S91:S100),5)</f>
        <v>1993.87</v>
      </c>
      <c r="T101" s="680">
        <f t="shared" si="27"/>
        <v>2812.18</v>
      </c>
      <c r="U101" s="680">
        <f t="shared" si="27"/>
        <v>3543.14</v>
      </c>
      <c r="V101" s="680">
        <f t="shared" si="27"/>
        <v>1235.78</v>
      </c>
      <c r="W101" s="680">
        <f t="shared" si="27"/>
        <v>2219.9</v>
      </c>
      <c r="X101" s="680">
        <f t="shared" si="27"/>
        <v>2406.5500000000002</v>
      </c>
      <c r="Y101" s="680">
        <f t="shared" si="27"/>
        <v>3133.55</v>
      </c>
      <c r="Z101" s="680">
        <f t="shared" si="27"/>
        <v>2053.1799999999998</v>
      </c>
      <c r="AA101" s="680">
        <f t="shared" si="27"/>
        <v>1830.49</v>
      </c>
      <c r="AB101" s="680">
        <f>ROUND(SUM(AB91:AB100),5)</f>
        <v>2043.61</v>
      </c>
      <c r="AC101" s="680">
        <f>ROUND(SUM(AC91:AC100),5)</f>
        <v>2068.92</v>
      </c>
      <c r="AD101" s="680">
        <v>1916.87</v>
      </c>
      <c r="AE101" s="680">
        <f>ROUND(SUM(AE91:AE100),5)</f>
        <v>4731.84</v>
      </c>
      <c r="AF101" s="680">
        <f>ROUND(SUM(AF91:AF100),5)</f>
        <v>2359.6</v>
      </c>
      <c r="AG101" s="680">
        <v>2155.37</v>
      </c>
      <c r="AH101" s="680">
        <f t="shared" si="26"/>
        <v>0</v>
      </c>
      <c r="AI101" s="680">
        <f t="shared" si="26"/>
        <v>0</v>
      </c>
      <c r="AJ101" s="680">
        <f t="shared" si="26"/>
        <v>0</v>
      </c>
      <c r="AK101" s="680">
        <f t="shared" si="26"/>
        <v>0</v>
      </c>
      <c r="AL101" s="680">
        <f t="shared" si="26"/>
        <v>0</v>
      </c>
      <c r="AM101" s="680">
        <f t="shared" si="26"/>
        <v>0</v>
      </c>
      <c r="AN101" s="680">
        <f t="shared" si="26"/>
        <v>0</v>
      </c>
      <c r="AO101" s="680">
        <f t="shared" si="26"/>
        <v>0</v>
      </c>
      <c r="AP101" s="680">
        <f t="shared" si="26"/>
        <v>0</v>
      </c>
      <c r="AQ101" s="680">
        <f t="shared" si="26"/>
        <v>0</v>
      </c>
      <c r="AR101" s="680">
        <f t="shared" si="26"/>
        <v>0</v>
      </c>
      <c r="AS101" s="680">
        <f t="shared" si="26"/>
        <v>0</v>
      </c>
      <c r="AT101" s="680">
        <f t="shared" si="26"/>
        <v>0</v>
      </c>
      <c r="AU101" s="680">
        <f t="shared" si="26"/>
        <v>0</v>
      </c>
      <c r="AV101" s="680">
        <f t="shared" si="26"/>
        <v>0</v>
      </c>
      <c r="AW101" s="680">
        <f t="shared" si="26"/>
        <v>0</v>
      </c>
      <c r="AX101" s="680">
        <f t="shared" si="26"/>
        <v>0</v>
      </c>
      <c r="AY101" s="680">
        <f t="shared" si="26"/>
        <v>0</v>
      </c>
      <c r="AZ101" s="680">
        <f t="shared" si="26"/>
        <v>0</v>
      </c>
      <c r="BA101" s="680">
        <f t="shared" si="26"/>
        <v>0</v>
      </c>
      <c r="BB101" s="680">
        <f t="shared" si="26"/>
        <v>0</v>
      </c>
      <c r="BC101" s="680">
        <f t="shared" si="26"/>
        <v>0</v>
      </c>
      <c r="BD101" s="680">
        <f t="shared" si="26"/>
        <v>0</v>
      </c>
      <c r="BE101" s="680">
        <f t="shared" si="26"/>
        <v>0</v>
      </c>
      <c r="BF101" s="680">
        <f t="shared" si="26"/>
        <v>0</v>
      </c>
      <c r="BG101" s="680">
        <f t="shared" si="26"/>
        <v>0</v>
      </c>
      <c r="BH101" s="680">
        <f t="shared" si="26"/>
        <v>0</v>
      </c>
      <c r="BI101" s="680">
        <f t="shared" si="26"/>
        <v>0</v>
      </c>
      <c r="BJ101" s="680">
        <f t="shared" si="26"/>
        <v>0</v>
      </c>
      <c r="BK101" s="680">
        <f t="shared" si="26"/>
        <v>0</v>
      </c>
      <c r="BL101" s="680">
        <f t="shared" si="26"/>
        <v>0</v>
      </c>
      <c r="BM101" s="680">
        <f t="shared" si="26"/>
        <v>0</v>
      </c>
      <c r="BN101" s="680">
        <f t="shared" si="26"/>
        <v>0</v>
      </c>
      <c r="BO101" s="680">
        <f t="shared" si="26"/>
        <v>0</v>
      </c>
      <c r="BP101" s="680">
        <f t="shared" ref="BP101:CA101" si="28">SUM(BP92:BP100)</f>
        <v>0</v>
      </c>
      <c r="BQ101" s="680">
        <f t="shared" si="28"/>
        <v>0</v>
      </c>
      <c r="BR101" s="680">
        <f t="shared" si="28"/>
        <v>0</v>
      </c>
      <c r="BS101" s="680">
        <f t="shared" si="28"/>
        <v>0</v>
      </c>
      <c r="BT101" s="680">
        <f t="shared" si="28"/>
        <v>0</v>
      </c>
      <c r="BU101" s="680">
        <f t="shared" si="28"/>
        <v>0</v>
      </c>
      <c r="BV101" s="680">
        <f t="shared" si="28"/>
        <v>0</v>
      </c>
      <c r="BW101" s="680">
        <f t="shared" si="28"/>
        <v>0</v>
      </c>
      <c r="BX101" s="680">
        <f t="shared" si="28"/>
        <v>0</v>
      </c>
      <c r="BY101" s="680">
        <f t="shared" si="28"/>
        <v>0</v>
      </c>
      <c r="BZ101" s="680">
        <f t="shared" si="28"/>
        <v>0</v>
      </c>
      <c r="CA101" s="680">
        <f t="shared" si="28"/>
        <v>0</v>
      </c>
    </row>
    <row r="102" spans="1:79" s="308" customFormat="1" hidden="1" outlineLevel="1" x14ac:dyDescent="0.25">
      <c r="A102" s="691"/>
      <c r="B102" s="710"/>
      <c r="C102" s="710"/>
      <c r="D102" s="710"/>
      <c r="E102" s="570" t="s">
        <v>1340</v>
      </c>
      <c r="F102" s="691" t="s">
        <v>623</v>
      </c>
      <c r="G102" s="708"/>
      <c r="H102" s="708"/>
      <c r="I102" s="708"/>
      <c r="J102" s="708"/>
      <c r="K102" s="708"/>
      <c r="L102" s="708"/>
      <c r="M102" s="708"/>
      <c r="N102" s="708"/>
      <c r="O102" s="708"/>
      <c r="P102" s="708"/>
      <c r="Q102" s="708"/>
      <c r="R102" s="708"/>
      <c r="S102" s="708"/>
      <c r="T102" s="708"/>
      <c r="U102" s="708"/>
      <c r="V102" s="708"/>
      <c r="W102" s="708"/>
      <c r="X102" s="708"/>
      <c r="Y102" s="708"/>
      <c r="Z102" s="708"/>
      <c r="AA102" s="708"/>
      <c r="AB102" s="708"/>
      <c r="AC102" s="708"/>
      <c r="AD102" s="709"/>
      <c r="AE102" s="708"/>
      <c r="AF102" s="708"/>
      <c r="AG102" s="709"/>
      <c r="AH102" s="709"/>
      <c r="AI102" s="709"/>
      <c r="AJ102" s="709"/>
      <c r="AK102" s="709"/>
      <c r="AL102" s="709"/>
      <c r="AM102" s="709"/>
      <c r="AN102" s="709"/>
      <c r="AO102" s="709"/>
      <c r="AP102" s="709"/>
      <c r="AQ102" s="709"/>
      <c r="AR102" s="709"/>
      <c r="AS102" s="709"/>
      <c r="AT102" s="709"/>
      <c r="AU102" s="709"/>
      <c r="AV102" s="709"/>
      <c r="AW102" s="709"/>
      <c r="AX102" s="709"/>
      <c r="AY102" s="709"/>
      <c r="AZ102" s="709"/>
      <c r="BA102" s="709"/>
      <c r="BB102" s="709"/>
      <c r="BC102" s="709"/>
      <c r="BD102" s="709"/>
      <c r="BE102" s="709"/>
      <c r="BF102" s="709"/>
      <c r="BG102" s="709"/>
      <c r="BH102" s="709"/>
      <c r="BI102" s="709"/>
      <c r="BJ102" s="709"/>
      <c r="BK102" s="709"/>
      <c r="BL102" s="709"/>
      <c r="BM102" s="709"/>
      <c r="BN102" s="709"/>
      <c r="BO102" s="709"/>
      <c r="BP102" s="709"/>
      <c r="BQ102" s="709"/>
      <c r="BR102" s="709"/>
      <c r="BS102" s="709"/>
      <c r="BT102" s="709"/>
      <c r="BU102" s="709"/>
      <c r="BV102" s="709"/>
      <c r="BW102" s="709"/>
      <c r="BX102" s="709"/>
      <c r="BY102" s="709"/>
      <c r="BZ102" s="709"/>
      <c r="CA102" s="709"/>
    </row>
    <row r="103" spans="1:79" s="308" customFormat="1" hidden="1" outlineLevel="1" x14ac:dyDescent="0.25">
      <c r="A103" s="656"/>
      <c r="B103" s="710"/>
      <c r="C103" s="710"/>
      <c r="D103" s="710"/>
      <c r="E103" s="570" t="s">
        <v>1340</v>
      </c>
      <c r="F103" s="656" t="s">
        <v>916</v>
      </c>
      <c r="G103" s="683"/>
      <c r="H103" s="683"/>
      <c r="I103" s="683"/>
      <c r="J103" s="683"/>
      <c r="K103" s="683"/>
      <c r="L103" s="683"/>
      <c r="M103" s="683"/>
      <c r="N103" s="683"/>
      <c r="O103" s="683"/>
      <c r="P103" s="683"/>
      <c r="Q103" s="683"/>
      <c r="R103" s="683"/>
      <c r="S103" s="684"/>
      <c r="T103" s="684"/>
      <c r="U103" s="684"/>
      <c r="V103" s="684"/>
      <c r="W103" s="684"/>
      <c r="X103" s="684"/>
      <c r="Y103" s="684"/>
      <c r="Z103" s="684"/>
      <c r="AA103" s="684"/>
      <c r="AB103" s="684">
        <v>0</v>
      </c>
      <c r="AC103" s="684">
        <v>0</v>
      </c>
      <c r="AD103" s="684">
        <v>0</v>
      </c>
      <c r="AE103" s="684">
        <v>0</v>
      </c>
      <c r="AF103" s="684">
        <v>0</v>
      </c>
      <c r="AG103" s="684">
        <v>0</v>
      </c>
      <c r="AH103" s="684"/>
      <c r="AI103" s="684"/>
      <c r="AJ103" s="684"/>
      <c r="AK103" s="684"/>
      <c r="AL103" s="684"/>
      <c r="AM103" s="684"/>
      <c r="AN103" s="684"/>
      <c r="AO103" s="684"/>
      <c r="AP103" s="684"/>
      <c r="AQ103" s="684"/>
      <c r="AR103" s="684"/>
      <c r="AS103" s="684"/>
      <c r="AT103" s="684"/>
      <c r="AU103" s="684"/>
      <c r="AV103" s="684"/>
      <c r="AW103" s="684"/>
      <c r="AX103" s="684"/>
      <c r="AY103" s="684"/>
      <c r="AZ103" s="684"/>
      <c r="BA103" s="684"/>
      <c r="BB103" s="684"/>
      <c r="BC103" s="684"/>
      <c r="BD103" s="684"/>
      <c r="BE103" s="684"/>
      <c r="BF103" s="684"/>
      <c r="BG103" s="684"/>
      <c r="BH103" s="684"/>
      <c r="BI103" s="684"/>
      <c r="BJ103" s="684"/>
      <c r="BK103" s="684"/>
      <c r="BL103" s="684"/>
      <c r="BM103" s="684"/>
      <c r="BN103" s="684"/>
      <c r="BO103" s="684"/>
      <c r="BP103" s="684"/>
      <c r="BQ103" s="684"/>
      <c r="BR103" s="684"/>
      <c r="BS103" s="684"/>
      <c r="BT103" s="684"/>
      <c r="BU103" s="684"/>
      <c r="BV103" s="684"/>
      <c r="BW103" s="684"/>
      <c r="BX103" s="684"/>
      <c r="BY103" s="684"/>
      <c r="BZ103" s="684"/>
      <c r="CA103" s="684"/>
    </row>
    <row r="104" spans="1:79" s="308" customFormat="1" hidden="1" outlineLevel="1" x14ac:dyDescent="0.25">
      <c r="A104" s="656"/>
      <c r="B104" s="571"/>
      <c r="C104" s="571"/>
      <c r="D104" s="571"/>
      <c r="E104" s="570" t="s">
        <v>1340</v>
      </c>
      <c r="F104" s="656" t="s">
        <v>667</v>
      </c>
      <c r="G104" s="683"/>
      <c r="H104" s="683"/>
      <c r="I104" s="683"/>
      <c r="J104" s="683"/>
      <c r="K104" s="683"/>
      <c r="L104" s="683"/>
      <c r="M104" s="683"/>
      <c r="N104" s="683"/>
      <c r="O104" s="683"/>
      <c r="P104" s="683"/>
      <c r="Q104" s="683"/>
      <c r="R104" s="683"/>
      <c r="S104" s="684">
        <v>0</v>
      </c>
      <c r="T104" s="684">
        <v>0</v>
      </c>
      <c r="U104" s="684">
        <v>0</v>
      </c>
      <c r="V104" s="684">
        <v>0</v>
      </c>
      <c r="W104" s="684">
        <v>0</v>
      </c>
      <c r="X104" s="684">
        <v>0</v>
      </c>
      <c r="Y104" s="684">
        <v>0</v>
      </c>
      <c r="Z104" s="684">
        <v>0</v>
      </c>
      <c r="AA104" s="684">
        <v>0</v>
      </c>
      <c r="AB104" s="684">
        <v>0</v>
      </c>
      <c r="AC104" s="684">
        <v>0</v>
      </c>
      <c r="AD104" s="685">
        <v>0</v>
      </c>
      <c r="AE104" s="684">
        <v>0</v>
      </c>
      <c r="AF104" s="684">
        <v>0</v>
      </c>
      <c r="AG104" s="685">
        <v>0</v>
      </c>
      <c r="AH104" s="685"/>
      <c r="AI104" s="685"/>
      <c r="AJ104" s="685"/>
      <c r="AK104" s="685"/>
      <c r="AL104" s="685"/>
      <c r="AM104" s="685"/>
      <c r="AN104" s="685"/>
      <c r="AO104" s="685"/>
      <c r="AP104" s="685"/>
      <c r="AQ104" s="685"/>
      <c r="AR104" s="685"/>
      <c r="AS104" s="685"/>
      <c r="AT104" s="685"/>
      <c r="AU104" s="685"/>
      <c r="AV104" s="685"/>
      <c r="AW104" s="685"/>
      <c r="AX104" s="685"/>
      <c r="AY104" s="685"/>
      <c r="AZ104" s="685"/>
      <c r="BA104" s="685"/>
      <c r="BB104" s="685"/>
      <c r="BC104" s="685"/>
      <c r="BD104" s="685"/>
      <c r="BE104" s="685"/>
      <c r="BF104" s="685"/>
      <c r="BG104" s="685"/>
      <c r="BH104" s="685"/>
      <c r="BI104" s="685"/>
      <c r="BJ104" s="685"/>
      <c r="BK104" s="685"/>
      <c r="BL104" s="685"/>
      <c r="BM104" s="685"/>
      <c r="BN104" s="685"/>
      <c r="BO104" s="685"/>
      <c r="BP104" s="685"/>
      <c r="BQ104" s="685"/>
      <c r="BR104" s="685"/>
      <c r="BS104" s="685"/>
      <c r="BT104" s="685"/>
      <c r="BU104" s="685"/>
      <c r="BV104" s="685"/>
      <c r="BW104" s="685"/>
      <c r="BX104" s="685"/>
      <c r="BY104" s="685"/>
      <c r="BZ104" s="685"/>
      <c r="CA104" s="685"/>
    </row>
    <row r="105" spans="1:79" s="308" customFormat="1" hidden="1" outlineLevel="1" x14ac:dyDescent="0.25">
      <c r="A105" s="656"/>
      <c r="B105" s="571"/>
      <c r="C105" s="571"/>
      <c r="D105" s="571"/>
      <c r="E105" s="570" t="s">
        <v>1340</v>
      </c>
      <c r="F105" s="656" t="s">
        <v>762</v>
      </c>
      <c r="G105" s="683"/>
      <c r="H105" s="683"/>
      <c r="I105" s="683"/>
      <c r="J105" s="683"/>
      <c r="K105" s="683"/>
      <c r="L105" s="683"/>
      <c r="M105" s="683"/>
      <c r="N105" s="683"/>
      <c r="O105" s="683"/>
      <c r="P105" s="683"/>
      <c r="Q105" s="683"/>
      <c r="R105" s="683"/>
      <c r="S105" s="684">
        <v>0</v>
      </c>
      <c r="T105" s="684">
        <v>0</v>
      </c>
      <c r="U105" s="684">
        <v>0</v>
      </c>
      <c r="V105" s="684">
        <v>0</v>
      </c>
      <c r="W105" s="684">
        <v>0</v>
      </c>
      <c r="X105" s="684">
        <v>0</v>
      </c>
      <c r="Y105" s="684">
        <v>0</v>
      </c>
      <c r="Z105" s="684">
        <v>0</v>
      </c>
      <c r="AA105" s="684">
        <v>0</v>
      </c>
      <c r="AB105" s="684">
        <v>0</v>
      </c>
      <c r="AC105" s="684">
        <v>0</v>
      </c>
      <c r="AD105" s="685">
        <v>0</v>
      </c>
      <c r="AE105" s="684">
        <v>0</v>
      </c>
      <c r="AF105" s="684">
        <v>0</v>
      </c>
      <c r="AG105" s="685">
        <v>0</v>
      </c>
      <c r="AH105" s="685"/>
      <c r="AI105" s="685"/>
      <c r="AJ105" s="685"/>
      <c r="AK105" s="685"/>
      <c r="AL105" s="685"/>
      <c r="AM105" s="685"/>
      <c r="AN105" s="685"/>
      <c r="AO105" s="685"/>
      <c r="AP105" s="685"/>
      <c r="AQ105" s="685"/>
      <c r="AR105" s="685"/>
      <c r="AS105" s="685"/>
      <c r="AT105" s="685"/>
      <c r="AU105" s="685"/>
      <c r="AV105" s="685"/>
      <c r="AW105" s="685"/>
      <c r="AX105" s="685"/>
      <c r="AY105" s="685"/>
      <c r="AZ105" s="685"/>
      <c r="BA105" s="685"/>
      <c r="BB105" s="685"/>
      <c r="BC105" s="685"/>
      <c r="BD105" s="685"/>
      <c r="BE105" s="685"/>
      <c r="BF105" s="685"/>
      <c r="BG105" s="685"/>
      <c r="BH105" s="685"/>
      <c r="BI105" s="685"/>
      <c r="BJ105" s="685"/>
      <c r="BK105" s="685"/>
      <c r="BL105" s="685"/>
      <c r="BM105" s="685"/>
      <c r="BN105" s="685"/>
      <c r="BO105" s="685"/>
      <c r="BP105" s="685"/>
      <c r="BQ105" s="685"/>
      <c r="BR105" s="685"/>
      <c r="BS105" s="685"/>
      <c r="BT105" s="685"/>
      <c r="BU105" s="685"/>
      <c r="BV105" s="685"/>
      <c r="BW105" s="685"/>
      <c r="BX105" s="685"/>
      <c r="BY105" s="685"/>
      <c r="BZ105" s="685"/>
      <c r="CA105" s="685"/>
    </row>
    <row r="106" spans="1:79" s="308" customFormat="1" hidden="1" outlineLevel="1" x14ac:dyDescent="0.25">
      <c r="A106" s="656"/>
      <c r="B106" s="29"/>
      <c r="C106" s="29"/>
      <c r="D106" s="29"/>
      <c r="E106" s="570" t="s">
        <v>338</v>
      </c>
      <c r="F106" s="656" t="s">
        <v>624</v>
      </c>
      <c r="G106" s="666">
        <v>75</v>
      </c>
      <c r="H106" s="666"/>
      <c r="I106" s="666">
        <v>75</v>
      </c>
      <c r="J106" s="666"/>
      <c r="K106" s="666"/>
      <c r="L106" s="666"/>
      <c r="M106" s="666">
        <v>16</v>
      </c>
      <c r="N106" s="666">
        <v>9</v>
      </c>
      <c r="O106" s="666">
        <v>9</v>
      </c>
      <c r="P106" s="666"/>
      <c r="Q106" s="666"/>
      <c r="R106" s="666"/>
      <c r="S106" s="684">
        <v>0</v>
      </c>
      <c r="T106" s="684">
        <v>0</v>
      </c>
      <c r="U106" s="684">
        <v>0</v>
      </c>
      <c r="V106" s="684">
        <v>0</v>
      </c>
      <c r="W106" s="684">
        <v>0</v>
      </c>
      <c r="X106" s="684">
        <v>0</v>
      </c>
      <c r="Y106" s="684">
        <v>0</v>
      </c>
      <c r="Z106" s="684">
        <v>8</v>
      </c>
      <c r="AA106" s="684">
        <v>0</v>
      </c>
      <c r="AB106" s="684">
        <v>0</v>
      </c>
      <c r="AC106" s="684">
        <v>0</v>
      </c>
      <c r="AD106" s="685">
        <v>56</v>
      </c>
      <c r="AE106" s="684">
        <v>24</v>
      </c>
      <c r="AF106" s="684">
        <v>0</v>
      </c>
      <c r="AG106" s="685">
        <v>0</v>
      </c>
      <c r="AH106" s="685"/>
      <c r="AI106" s="685"/>
      <c r="AJ106" s="685"/>
      <c r="AK106" s="685"/>
      <c r="AL106" s="685"/>
      <c r="AM106" s="685"/>
      <c r="AN106" s="685"/>
      <c r="AO106" s="685"/>
      <c r="AP106" s="685"/>
      <c r="AQ106" s="685"/>
      <c r="AR106" s="685"/>
      <c r="AS106" s="685"/>
      <c r="AT106" s="685"/>
      <c r="AU106" s="685"/>
      <c r="AV106" s="685"/>
      <c r="AW106" s="685"/>
      <c r="AX106" s="685"/>
      <c r="AY106" s="685"/>
      <c r="AZ106" s="685"/>
      <c r="BA106" s="685"/>
      <c r="BB106" s="685"/>
      <c r="BC106" s="685"/>
      <c r="BD106" s="685"/>
      <c r="BE106" s="685"/>
      <c r="BF106" s="685"/>
      <c r="BG106" s="685"/>
      <c r="BH106" s="685"/>
      <c r="BI106" s="685"/>
      <c r="BJ106" s="685"/>
      <c r="BK106" s="685"/>
      <c r="BL106" s="685"/>
      <c r="BM106" s="685"/>
      <c r="BN106" s="685"/>
      <c r="BO106" s="685"/>
      <c r="BP106" s="685"/>
      <c r="BQ106" s="685"/>
      <c r="BR106" s="685"/>
      <c r="BS106" s="685"/>
      <c r="BT106" s="685"/>
      <c r="BU106" s="685"/>
      <c r="BV106" s="685"/>
      <c r="BW106" s="685"/>
      <c r="BX106" s="685"/>
      <c r="BY106" s="685"/>
      <c r="BZ106" s="685"/>
      <c r="CA106" s="685"/>
    </row>
    <row r="107" spans="1:79" s="308" customFormat="1" hidden="1" outlineLevel="1" x14ac:dyDescent="0.25">
      <c r="A107" s="656"/>
      <c r="B107" s="571"/>
      <c r="C107" s="571"/>
      <c r="D107" s="571"/>
      <c r="E107" s="570" t="s">
        <v>1341</v>
      </c>
      <c r="F107" s="656" t="s">
        <v>651</v>
      </c>
      <c r="G107" s="666"/>
      <c r="H107" s="666"/>
      <c r="I107" s="666"/>
      <c r="J107" s="666"/>
      <c r="K107" s="666"/>
      <c r="L107" s="666"/>
      <c r="M107" s="666"/>
      <c r="N107" s="666"/>
      <c r="O107" s="666"/>
      <c r="P107" s="666"/>
      <c r="Q107" s="666"/>
      <c r="R107" s="666"/>
      <c r="S107" s="684">
        <v>0</v>
      </c>
      <c r="T107" s="684">
        <v>0</v>
      </c>
      <c r="U107" s="684">
        <v>0</v>
      </c>
      <c r="V107" s="684">
        <v>0</v>
      </c>
      <c r="W107" s="684">
        <v>0</v>
      </c>
      <c r="X107" s="684">
        <v>0</v>
      </c>
      <c r="Y107" s="684">
        <v>0</v>
      </c>
      <c r="Z107" s="684">
        <v>0</v>
      </c>
      <c r="AA107" s="684">
        <v>0</v>
      </c>
      <c r="AB107" s="684">
        <v>0</v>
      </c>
      <c r="AC107" s="684">
        <v>0</v>
      </c>
      <c r="AD107" s="685">
        <v>0</v>
      </c>
      <c r="AE107" s="684">
        <v>0</v>
      </c>
      <c r="AF107" s="684">
        <v>0</v>
      </c>
      <c r="AG107" s="685">
        <v>0</v>
      </c>
      <c r="AH107" s="685"/>
      <c r="AI107" s="685"/>
      <c r="AJ107" s="685"/>
      <c r="AK107" s="685"/>
      <c r="AL107" s="685"/>
      <c r="AM107" s="685"/>
      <c r="AN107" s="685"/>
      <c r="AO107" s="685"/>
      <c r="AP107" s="685"/>
      <c r="AQ107" s="685"/>
      <c r="AR107" s="685"/>
      <c r="AS107" s="685"/>
      <c r="AT107" s="685"/>
      <c r="AU107" s="685"/>
      <c r="AV107" s="685"/>
      <c r="AW107" s="685"/>
      <c r="AX107" s="685"/>
      <c r="AY107" s="685"/>
      <c r="AZ107" s="685"/>
      <c r="BA107" s="685"/>
      <c r="BB107" s="685"/>
      <c r="BC107" s="685"/>
      <c r="BD107" s="685"/>
      <c r="BE107" s="685"/>
      <c r="BF107" s="685"/>
      <c r="BG107" s="685"/>
      <c r="BH107" s="685"/>
      <c r="BI107" s="685"/>
      <c r="BJ107" s="685"/>
      <c r="BK107" s="685"/>
      <c r="BL107" s="685"/>
      <c r="BM107" s="685"/>
      <c r="BN107" s="685"/>
      <c r="BO107" s="685"/>
      <c r="BP107" s="685"/>
      <c r="BQ107" s="685"/>
      <c r="BR107" s="685"/>
      <c r="BS107" s="685"/>
      <c r="BT107" s="685"/>
      <c r="BU107" s="685"/>
      <c r="BV107" s="685"/>
      <c r="BW107" s="685"/>
      <c r="BX107" s="685"/>
      <c r="BY107" s="685"/>
      <c r="BZ107" s="685"/>
      <c r="CA107" s="685"/>
    </row>
    <row r="108" spans="1:79" s="308" customFormat="1" hidden="1" outlineLevel="1" x14ac:dyDescent="0.25">
      <c r="A108" s="656"/>
      <c r="B108" s="571"/>
      <c r="C108" s="571"/>
      <c r="D108" s="571"/>
      <c r="E108" s="570" t="s">
        <v>1340</v>
      </c>
      <c r="F108" s="656" t="s">
        <v>668</v>
      </c>
      <c r="G108" s="666"/>
      <c r="H108" s="666"/>
      <c r="I108" s="666"/>
      <c r="J108" s="666"/>
      <c r="K108" s="666"/>
      <c r="L108" s="666"/>
      <c r="M108" s="666"/>
      <c r="N108" s="666"/>
      <c r="O108" s="666"/>
      <c r="P108" s="666"/>
      <c r="Q108" s="666"/>
      <c r="R108" s="666"/>
      <c r="S108" s="684">
        <v>0</v>
      </c>
      <c r="T108" s="684">
        <v>0</v>
      </c>
      <c r="U108" s="684">
        <v>0</v>
      </c>
      <c r="V108" s="684">
        <v>0</v>
      </c>
      <c r="W108" s="684">
        <v>0</v>
      </c>
      <c r="X108" s="684">
        <v>0</v>
      </c>
      <c r="Y108" s="684">
        <v>0</v>
      </c>
      <c r="Z108" s="684">
        <v>0</v>
      </c>
      <c r="AA108" s="684">
        <v>0</v>
      </c>
      <c r="AB108" s="684">
        <v>0</v>
      </c>
      <c r="AC108" s="684">
        <v>0</v>
      </c>
      <c r="AD108" s="685">
        <v>0</v>
      </c>
      <c r="AE108" s="684">
        <v>0</v>
      </c>
      <c r="AF108" s="684">
        <v>0</v>
      </c>
      <c r="AG108" s="685">
        <v>0</v>
      </c>
      <c r="AH108" s="685"/>
      <c r="AI108" s="685"/>
      <c r="AJ108" s="685"/>
      <c r="AK108" s="685"/>
      <c r="AL108" s="685"/>
      <c r="AM108" s="685"/>
      <c r="AN108" s="685"/>
      <c r="AO108" s="685"/>
      <c r="AP108" s="685"/>
      <c r="AQ108" s="685"/>
      <c r="AR108" s="685"/>
      <c r="AS108" s="685"/>
      <c r="AT108" s="685"/>
      <c r="AU108" s="685"/>
      <c r="AV108" s="685"/>
      <c r="AW108" s="685"/>
      <c r="AX108" s="685"/>
      <c r="AY108" s="685"/>
      <c r="AZ108" s="685"/>
      <c r="BA108" s="685"/>
      <c r="BB108" s="685"/>
      <c r="BC108" s="685"/>
      <c r="BD108" s="685"/>
      <c r="BE108" s="685"/>
      <c r="BF108" s="685"/>
      <c r="BG108" s="685"/>
      <c r="BH108" s="685"/>
      <c r="BI108" s="685"/>
      <c r="BJ108" s="685"/>
      <c r="BK108" s="685"/>
      <c r="BL108" s="685"/>
      <c r="BM108" s="685"/>
      <c r="BN108" s="685"/>
      <c r="BO108" s="685"/>
      <c r="BP108" s="685"/>
      <c r="BQ108" s="685"/>
      <c r="BR108" s="685"/>
      <c r="BS108" s="685"/>
      <c r="BT108" s="685"/>
      <c r="BU108" s="685"/>
      <c r="BV108" s="685"/>
      <c r="BW108" s="685"/>
      <c r="BX108" s="685"/>
      <c r="BY108" s="685"/>
      <c r="BZ108" s="685"/>
      <c r="CA108" s="685"/>
    </row>
    <row r="109" spans="1:79" s="308" customFormat="1" hidden="1" outlineLevel="1" x14ac:dyDescent="0.25">
      <c r="A109" s="657"/>
      <c r="B109" s="571"/>
      <c r="C109" s="571"/>
      <c r="D109" s="571"/>
      <c r="E109" s="570" t="s">
        <v>49</v>
      </c>
      <c r="F109" s="657" t="s">
        <v>625</v>
      </c>
      <c r="G109" s="680">
        <f>SUM(G104:G108)</f>
        <v>75</v>
      </c>
      <c r="H109" s="680">
        <f t="shared" ref="H109:BO109" si="29">SUM(H104:H108)</f>
        <v>0</v>
      </c>
      <c r="I109" s="680">
        <f t="shared" si="29"/>
        <v>75</v>
      </c>
      <c r="J109" s="680">
        <f t="shared" si="29"/>
        <v>0</v>
      </c>
      <c r="K109" s="680">
        <f t="shared" si="29"/>
        <v>0</v>
      </c>
      <c r="L109" s="680">
        <f t="shared" si="29"/>
        <v>0</v>
      </c>
      <c r="M109" s="680">
        <f t="shared" si="29"/>
        <v>16</v>
      </c>
      <c r="N109" s="680">
        <f t="shared" si="29"/>
        <v>9</v>
      </c>
      <c r="O109" s="680">
        <f t="shared" si="29"/>
        <v>9</v>
      </c>
      <c r="P109" s="680">
        <f t="shared" si="29"/>
        <v>0</v>
      </c>
      <c r="Q109" s="680">
        <f t="shared" si="29"/>
        <v>0</v>
      </c>
      <c r="R109" s="680">
        <f t="shared" si="29"/>
        <v>0</v>
      </c>
      <c r="S109" s="680">
        <f t="shared" ref="S109:AA109" si="30">ROUND(SUM(S102:S108),5)</f>
        <v>0</v>
      </c>
      <c r="T109" s="680">
        <f t="shared" si="30"/>
        <v>0</v>
      </c>
      <c r="U109" s="680">
        <f t="shared" si="30"/>
        <v>0</v>
      </c>
      <c r="V109" s="680">
        <f t="shared" si="30"/>
        <v>0</v>
      </c>
      <c r="W109" s="680">
        <f t="shared" si="30"/>
        <v>0</v>
      </c>
      <c r="X109" s="680">
        <f t="shared" si="30"/>
        <v>0</v>
      </c>
      <c r="Y109" s="680">
        <f t="shared" si="30"/>
        <v>0</v>
      </c>
      <c r="Z109" s="680">
        <f t="shared" si="30"/>
        <v>8</v>
      </c>
      <c r="AA109" s="680">
        <f t="shared" si="30"/>
        <v>0</v>
      </c>
      <c r="AB109" s="680">
        <f>ROUND(SUM(AB102:AB108),5)</f>
        <v>0</v>
      </c>
      <c r="AC109" s="680">
        <f>ROUND(SUM(AC102:AC108),5)</f>
        <v>0</v>
      </c>
      <c r="AD109" s="680">
        <v>56</v>
      </c>
      <c r="AE109" s="680">
        <f>ROUND(SUM(AE102:AE108),5)</f>
        <v>24</v>
      </c>
      <c r="AF109" s="680">
        <f>ROUND(SUM(AF102:AF108),5)</f>
        <v>0</v>
      </c>
      <c r="AG109" s="680">
        <v>0</v>
      </c>
      <c r="AH109" s="680">
        <f t="shared" si="29"/>
        <v>0</v>
      </c>
      <c r="AI109" s="680">
        <f t="shared" si="29"/>
        <v>0</v>
      </c>
      <c r="AJ109" s="680">
        <f t="shared" si="29"/>
        <v>0</v>
      </c>
      <c r="AK109" s="680">
        <f t="shared" si="29"/>
        <v>0</v>
      </c>
      <c r="AL109" s="680">
        <f t="shared" si="29"/>
        <v>0</v>
      </c>
      <c r="AM109" s="680">
        <f t="shared" si="29"/>
        <v>0</v>
      </c>
      <c r="AN109" s="680">
        <f t="shared" si="29"/>
        <v>0</v>
      </c>
      <c r="AO109" s="680">
        <f t="shared" si="29"/>
        <v>0</v>
      </c>
      <c r="AP109" s="680">
        <f t="shared" si="29"/>
        <v>0</v>
      </c>
      <c r="AQ109" s="680">
        <f t="shared" si="29"/>
        <v>0</v>
      </c>
      <c r="AR109" s="680">
        <f t="shared" si="29"/>
        <v>0</v>
      </c>
      <c r="AS109" s="680">
        <f t="shared" si="29"/>
        <v>0</v>
      </c>
      <c r="AT109" s="680">
        <f t="shared" si="29"/>
        <v>0</v>
      </c>
      <c r="AU109" s="680">
        <f t="shared" si="29"/>
        <v>0</v>
      </c>
      <c r="AV109" s="680">
        <f t="shared" si="29"/>
        <v>0</v>
      </c>
      <c r="AW109" s="680">
        <f t="shared" si="29"/>
        <v>0</v>
      </c>
      <c r="AX109" s="680">
        <f t="shared" si="29"/>
        <v>0</v>
      </c>
      <c r="AY109" s="680">
        <f t="shared" si="29"/>
        <v>0</v>
      </c>
      <c r="AZ109" s="680">
        <f t="shared" si="29"/>
        <v>0</v>
      </c>
      <c r="BA109" s="680">
        <f t="shared" si="29"/>
        <v>0</v>
      </c>
      <c r="BB109" s="680">
        <f t="shared" si="29"/>
        <v>0</v>
      </c>
      <c r="BC109" s="680">
        <f t="shared" si="29"/>
        <v>0</v>
      </c>
      <c r="BD109" s="680">
        <f t="shared" si="29"/>
        <v>0</v>
      </c>
      <c r="BE109" s="680">
        <f t="shared" si="29"/>
        <v>0</v>
      </c>
      <c r="BF109" s="680">
        <f t="shared" si="29"/>
        <v>0</v>
      </c>
      <c r="BG109" s="680">
        <f t="shared" si="29"/>
        <v>0</v>
      </c>
      <c r="BH109" s="680">
        <f t="shared" si="29"/>
        <v>0</v>
      </c>
      <c r="BI109" s="680">
        <f t="shared" si="29"/>
        <v>0</v>
      </c>
      <c r="BJ109" s="680">
        <f t="shared" si="29"/>
        <v>0</v>
      </c>
      <c r="BK109" s="680">
        <f t="shared" si="29"/>
        <v>0</v>
      </c>
      <c r="BL109" s="680">
        <f t="shared" si="29"/>
        <v>0</v>
      </c>
      <c r="BM109" s="680">
        <f t="shared" si="29"/>
        <v>0</v>
      </c>
      <c r="BN109" s="680">
        <f t="shared" si="29"/>
        <v>0</v>
      </c>
      <c r="BO109" s="680">
        <f t="shared" si="29"/>
        <v>0</v>
      </c>
      <c r="BP109" s="680">
        <f t="shared" ref="BP109:CA109" si="31">SUM(BP104:BP108)</f>
        <v>0</v>
      </c>
      <c r="BQ109" s="680">
        <f t="shared" si="31"/>
        <v>0</v>
      </c>
      <c r="BR109" s="680">
        <f t="shared" si="31"/>
        <v>0</v>
      </c>
      <c r="BS109" s="680">
        <f t="shared" si="31"/>
        <v>0</v>
      </c>
      <c r="BT109" s="680">
        <f t="shared" si="31"/>
        <v>0</v>
      </c>
      <c r="BU109" s="680">
        <f t="shared" si="31"/>
        <v>0</v>
      </c>
      <c r="BV109" s="680">
        <f t="shared" si="31"/>
        <v>0</v>
      </c>
      <c r="BW109" s="680">
        <f t="shared" si="31"/>
        <v>0</v>
      </c>
      <c r="BX109" s="680">
        <f t="shared" si="31"/>
        <v>0</v>
      </c>
      <c r="BY109" s="680">
        <f t="shared" si="31"/>
        <v>0</v>
      </c>
      <c r="BZ109" s="680">
        <f t="shared" si="31"/>
        <v>0</v>
      </c>
      <c r="CA109" s="680">
        <f t="shared" si="31"/>
        <v>0</v>
      </c>
    </row>
    <row r="110" spans="1:79" s="308" customFormat="1" hidden="1" outlineLevel="1" x14ac:dyDescent="0.25">
      <c r="A110" s="691"/>
      <c r="B110" s="710"/>
      <c r="C110" s="710"/>
      <c r="D110" s="710"/>
      <c r="E110" s="570" t="s">
        <v>1342</v>
      </c>
      <c r="F110" s="691" t="s">
        <v>669</v>
      </c>
      <c r="G110" s="704"/>
      <c r="H110" s="704"/>
      <c r="I110" s="704"/>
      <c r="J110" s="704"/>
      <c r="K110" s="704"/>
      <c r="L110" s="704"/>
      <c r="M110" s="704"/>
      <c r="N110" s="704"/>
      <c r="O110" s="704"/>
      <c r="P110" s="704"/>
      <c r="Q110" s="704"/>
      <c r="R110" s="704"/>
      <c r="S110" s="708"/>
      <c r="T110" s="708"/>
      <c r="U110" s="708"/>
      <c r="V110" s="708"/>
      <c r="W110" s="708"/>
      <c r="X110" s="708"/>
      <c r="Y110" s="708"/>
      <c r="Z110" s="708"/>
      <c r="AA110" s="708"/>
      <c r="AB110" s="708"/>
      <c r="AC110" s="708"/>
      <c r="AD110" s="709"/>
      <c r="AE110" s="708"/>
      <c r="AF110" s="708"/>
      <c r="AG110" s="709"/>
      <c r="AH110" s="709"/>
      <c r="AI110" s="709"/>
      <c r="AJ110" s="709"/>
      <c r="AK110" s="709"/>
      <c r="AL110" s="709"/>
      <c r="AM110" s="709"/>
      <c r="AN110" s="709"/>
      <c r="AO110" s="709"/>
      <c r="AP110" s="709"/>
      <c r="AQ110" s="709"/>
      <c r="AR110" s="709"/>
      <c r="AS110" s="709"/>
      <c r="AT110" s="709"/>
      <c r="AU110" s="709"/>
      <c r="AV110" s="709"/>
      <c r="AW110" s="709"/>
      <c r="AX110" s="709"/>
      <c r="AY110" s="709"/>
      <c r="AZ110" s="709"/>
      <c r="BA110" s="709"/>
      <c r="BB110" s="709"/>
      <c r="BC110" s="709"/>
      <c r="BD110" s="709"/>
      <c r="BE110" s="709"/>
      <c r="BF110" s="709"/>
      <c r="BG110" s="709"/>
      <c r="BH110" s="709"/>
      <c r="BI110" s="709"/>
      <c r="BJ110" s="709"/>
      <c r="BK110" s="709"/>
      <c r="BL110" s="709"/>
      <c r="BM110" s="709"/>
      <c r="BN110" s="709"/>
      <c r="BO110" s="709"/>
      <c r="BP110" s="709"/>
      <c r="BQ110" s="709"/>
      <c r="BR110" s="709"/>
      <c r="BS110" s="709"/>
      <c r="BT110" s="709"/>
      <c r="BU110" s="709"/>
      <c r="BV110" s="709"/>
      <c r="BW110" s="709"/>
      <c r="BX110" s="709"/>
      <c r="BY110" s="709"/>
      <c r="BZ110" s="709"/>
      <c r="CA110" s="709"/>
    </row>
    <row r="111" spans="1:79" s="308" customFormat="1" hidden="1" outlineLevel="1" x14ac:dyDescent="0.25">
      <c r="A111" s="656"/>
      <c r="B111" s="571"/>
      <c r="C111" s="571"/>
      <c r="D111" s="571"/>
      <c r="E111" s="570" t="s">
        <v>1342</v>
      </c>
      <c r="F111" s="656" t="s">
        <v>670</v>
      </c>
      <c r="G111" s="666"/>
      <c r="H111" s="666"/>
      <c r="I111" s="666"/>
      <c r="J111" s="666"/>
      <c r="K111" s="666"/>
      <c r="L111" s="666"/>
      <c r="M111" s="666"/>
      <c r="N111" s="666"/>
      <c r="O111" s="666"/>
      <c r="P111" s="666"/>
      <c r="Q111" s="666"/>
      <c r="R111" s="666"/>
      <c r="S111" s="684">
        <v>0</v>
      </c>
      <c r="T111" s="684">
        <v>0</v>
      </c>
      <c r="U111" s="684">
        <v>0</v>
      </c>
      <c r="V111" s="684">
        <v>0</v>
      </c>
      <c r="W111" s="684">
        <v>0</v>
      </c>
      <c r="X111" s="684">
        <v>0</v>
      </c>
      <c r="Y111" s="684">
        <v>0</v>
      </c>
      <c r="Z111" s="684">
        <v>0</v>
      </c>
      <c r="AA111" s="684">
        <v>0</v>
      </c>
      <c r="AB111" s="684">
        <v>0</v>
      </c>
      <c r="AC111" s="684">
        <v>0</v>
      </c>
      <c r="AD111" s="685">
        <v>0</v>
      </c>
      <c r="AE111" s="684">
        <v>0</v>
      </c>
      <c r="AF111" s="684">
        <v>0</v>
      </c>
      <c r="AG111" s="685">
        <v>0</v>
      </c>
      <c r="AH111" s="685"/>
      <c r="AI111" s="685"/>
      <c r="AJ111" s="685"/>
      <c r="AK111" s="685"/>
      <c r="AL111" s="685"/>
      <c r="AM111" s="685"/>
      <c r="AN111" s="685"/>
      <c r="AO111" s="685"/>
      <c r="AP111" s="685"/>
      <c r="AQ111" s="685"/>
      <c r="AR111" s="685"/>
      <c r="AS111" s="685"/>
      <c r="AT111" s="685"/>
      <c r="AU111" s="685"/>
      <c r="AV111" s="685"/>
      <c r="AW111" s="685"/>
      <c r="AX111" s="685"/>
      <c r="AY111" s="685"/>
      <c r="AZ111" s="685"/>
      <c r="BA111" s="685"/>
      <c r="BB111" s="685"/>
      <c r="BC111" s="685"/>
      <c r="BD111" s="685"/>
      <c r="BE111" s="685"/>
      <c r="BF111" s="685"/>
      <c r="BG111" s="685"/>
      <c r="BH111" s="685"/>
      <c r="BI111" s="685"/>
      <c r="BJ111" s="685"/>
      <c r="BK111" s="685"/>
      <c r="BL111" s="685"/>
      <c r="BM111" s="685"/>
      <c r="BN111" s="685"/>
      <c r="BO111" s="685"/>
      <c r="BP111" s="685"/>
      <c r="BQ111" s="685"/>
      <c r="BR111" s="685"/>
      <c r="BS111" s="685"/>
      <c r="BT111" s="685"/>
      <c r="BU111" s="685"/>
      <c r="BV111" s="685"/>
      <c r="BW111" s="685"/>
      <c r="BX111" s="685"/>
      <c r="BY111" s="685"/>
      <c r="BZ111" s="685"/>
      <c r="CA111" s="685"/>
    </row>
    <row r="112" spans="1:79" s="308" customFormat="1" hidden="1" outlineLevel="1" x14ac:dyDescent="0.25">
      <c r="A112" s="656"/>
      <c r="B112" s="571"/>
      <c r="C112" s="571"/>
      <c r="D112" s="571"/>
      <c r="E112" s="570" t="s">
        <v>1342</v>
      </c>
      <c r="F112" s="656" t="s">
        <v>891</v>
      </c>
      <c r="G112" s="666"/>
      <c r="H112" s="666"/>
      <c r="I112" s="666"/>
      <c r="J112" s="666"/>
      <c r="K112" s="666"/>
      <c r="L112" s="666"/>
      <c r="M112" s="666"/>
      <c r="N112" s="666"/>
      <c r="O112" s="666"/>
      <c r="P112" s="666"/>
      <c r="Q112" s="666"/>
      <c r="R112" s="666"/>
      <c r="S112" s="684">
        <v>0</v>
      </c>
      <c r="T112" s="684">
        <v>0</v>
      </c>
      <c r="U112" s="684">
        <v>0</v>
      </c>
      <c r="V112" s="684">
        <v>0</v>
      </c>
      <c r="W112" s="684">
        <v>0</v>
      </c>
      <c r="X112" s="684">
        <v>0</v>
      </c>
      <c r="Y112" s="684">
        <v>0</v>
      </c>
      <c r="Z112" s="684">
        <v>0</v>
      </c>
      <c r="AA112" s="684">
        <v>0</v>
      </c>
      <c r="AB112" s="684">
        <v>0</v>
      </c>
      <c r="AC112" s="684">
        <v>0</v>
      </c>
      <c r="AD112" s="685">
        <v>0</v>
      </c>
      <c r="AE112" s="684">
        <v>0</v>
      </c>
      <c r="AF112" s="684">
        <v>0</v>
      </c>
      <c r="AG112" s="685">
        <v>0</v>
      </c>
      <c r="AH112" s="685"/>
      <c r="AI112" s="685"/>
      <c r="AJ112" s="685"/>
      <c r="AK112" s="685"/>
      <c r="AL112" s="685"/>
      <c r="AM112" s="685"/>
      <c r="AN112" s="685"/>
      <c r="AO112" s="685"/>
      <c r="AP112" s="685"/>
      <c r="AQ112" s="685"/>
      <c r="AR112" s="685"/>
      <c r="AS112" s="685"/>
      <c r="AT112" s="685"/>
      <c r="AU112" s="685"/>
      <c r="AV112" s="685"/>
      <c r="AW112" s="685"/>
      <c r="AX112" s="685"/>
      <c r="AY112" s="685"/>
      <c r="AZ112" s="685"/>
      <c r="BA112" s="685"/>
      <c r="BB112" s="685"/>
      <c r="BC112" s="685"/>
      <c r="BD112" s="685"/>
      <c r="BE112" s="685"/>
      <c r="BF112" s="685"/>
      <c r="BG112" s="685"/>
      <c r="BH112" s="685"/>
      <c r="BI112" s="685"/>
      <c r="BJ112" s="685"/>
      <c r="BK112" s="685"/>
      <c r="BL112" s="685"/>
      <c r="BM112" s="685"/>
      <c r="BN112" s="685"/>
      <c r="BO112" s="685"/>
      <c r="BP112" s="685"/>
      <c r="BQ112" s="685"/>
      <c r="BR112" s="685"/>
      <c r="BS112" s="685"/>
      <c r="BT112" s="685"/>
      <c r="BU112" s="685"/>
      <c r="BV112" s="685"/>
      <c r="BW112" s="685"/>
      <c r="BX112" s="685"/>
      <c r="BY112" s="685"/>
      <c r="BZ112" s="685"/>
      <c r="CA112" s="685"/>
    </row>
    <row r="113" spans="1:79" s="308" customFormat="1" hidden="1" outlineLevel="1" x14ac:dyDescent="0.25">
      <c r="A113" s="656"/>
      <c r="B113" s="571"/>
      <c r="C113" s="571"/>
      <c r="D113" s="571"/>
      <c r="E113" s="570" t="s">
        <v>1342</v>
      </c>
      <c r="F113" s="656" t="s">
        <v>671</v>
      </c>
      <c r="G113" s="666"/>
      <c r="H113" s="666"/>
      <c r="I113" s="666"/>
      <c r="J113" s="666"/>
      <c r="K113" s="666"/>
      <c r="L113" s="666"/>
      <c r="M113" s="666"/>
      <c r="N113" s="666"/>
      <c r="O113" s="666"/>
      <c r="P113" s="666"/>
      <c r="Q113" s="666"/>
      <c r="R113" s="666"/>
      <c r="S113" s="684">
        <v>0</v>
      </c>
      <c r="T113" s="684">
        <v>0</v>
      </c>
      <c r="U113" s="684">
        <v>0</v>
      </c>
      <c r="V113" s="684">
        <v>0</v>
      </c>
      <c r="W113" s="684">
        <v>0</v>
      </c>
      <c r="X113" s="684">
        <v>0</v>
      </c>
      <c r="Y113" s="684">
        <v>0</v>
      </c>
      <c r="Z113" s="684">
        <v>0</v>
      </c>
      <c r="AA113" s="684">
        <v>0</v>
      </c>
      <c r="AB113" s="684">
        <v>0</v>
      </c>
      <c r="AC113" s="684">
        <v>0</v>
      </c>
      <c r="AD113" s="685">
        <v>0</v>
      </c>
      <c r="AE113" s="684">
        <v>0</v>
      </c>
      <c r="AF113" s="684">
        <v>0</v>
      </c>
      <c r="AG113" s="685">
        <v>0</v>
      </c>
      <c r="AH113" s="685"/>
      <c r="AI113" s="685"/>
      <c r="AJ113" s="685"/>
      <c r="AK113" s="685"/>
      <c r="AL113" s="685"/>
      <c r="AM113" s="685"/>
      <c r="AN113" s="685"/>
      <c r="AO113" s="685"/>
      <c r="AP113" s="685"/>
      <c r="AQ113" s="685"/>
      <c r="AR113" s="685"/>
      <c r="AS113" s="685"/>
      <c r="AT113" s="685"/>
      <c r="AU113" s="685"/>
      <c r="AV113" s="685"/>
      <c r="AW113" s="685"/>
      <c r="AX113" s="685"/>
      <c r="AY113" s="685"/>
      <c r="AZ113" s="685"/>
      <c r="BA113" s="685"/>
      <c r="BB113" s="685"/>
      <c r="BC113" s="685"/>
      <c r="BD113" s="685"/>
      <c r="BE113" s="685"/>
      <c r="BF113" s="685"/>
      <c r="BG113" s="685"/>
      <c r="BH113" s="685"/>
      <c r="BI113" s="685"/>
      <c r="BJ113" s="685"/>
      <c r="BK113" s="685"/>
      <c r="BL113" s="685"/>
      <c r="BM113" s="685"/>
      <c r="BN113" s="685"/>
      <c r="BO113" s="685"/>
      <c r="BP113" s="685"/>
      <c r="BQ113" s="685"/>
      <c r="BR113" s="685"/>
      <c r="BS113" s="685"/>
      <c r="BT113" s="685"/>
      <c r="BU113" s="685"/>
      <c r="BV113" s="685"/>
      <c r="BW113" s="685"/>
      <c r="BX113" s="685"/>
      <c r="BY113" s="685"/>
      <c r="BZ113" s="685"/>
      <c r="CA113" s="685"/>
    </row>
    <row r="114" spans="1:79" s="308" customFormat="1" hidden="1" outlineLevel="1" x14ac:dyDescent="0.25">
      <c r="A114" s="656"/>
      <c r="B114" s="571"/>
      <c r="C114" s="571"/>
      <c r="D114" s="571"/>
      <c r="E114" s="570" t="s">
        <v>1342</v>
      </c>
      <c r="F114" s="656" t="s">
        <v>892</v>
      </c>
      <c r="G114" s="666"/>
      <c r="H114" s="666"/>
      <c r="I114" s="666"/>
      <c r="J114" s="666"/>
      <c r="K114" s="666"/>
      <c r="L114" s="666"/>
      <c r="M114" s="666"/>
      <c r="N114" s="666"/>
      <c r="O114" s="666"/>
      <c r="P114" s="666"/>
      <c r="Q114" s="666"/>
      <c r="R114" s="666"/>
      <c r="S114" s="684">
        <v>0</v>
      </c>
      <c r="T114" s="684">
        <v>0</v>
      </c>
      <c r="U114" s="684">
        <v>0</v>
      </c>
      <c r="V114" s="684">
        <v>0</v>
      </c>
      <c r="W114" s="684">
        <v>0</v>
      </c>
      <c r="X114" s="684">
        <v>0</v>
      </c>
      <c r="Y114" s="684">
        <v>0</v>
      </c>
      <c r="Z114" s="684">
        <v>0</v>
      </c>
      <c r="AA114" s="684">
        <v>0</v>
      </c>
      <c r="AB114" s="684">
        <v>0</v>
      </c>
      <c r="AC114" s="684">
        <v>0</v>
      </c>
      <c r="AD114" s="685">
        <v>0</v>
      </c>
      <c r="AE114" s="684">
        <v>0</v>
      </c>
      <c r="AF114" s="684">
        <v>0</v>
      </c>
      <c r="AG114" s="685">
        <v>0</v>
      </c>
      <c r="AH114" s="685"/>
      <c r="AI114" s="685"/>
      <c r="AJ114" s="685"/>
      <c r="AK114" s="685"/>
      <c r="AL114" s="685"/>
      <c r="AM114" s="685"/>
      <c r="AN114" s="685"/>
      <c r="AO114" s="685"/>
      <c r="AP114" s="685"/>
      <c r="AQ114" s="685"/>
      <c r="AR114" s="685"/>
      <c r="AS114" s="685"/>
      <c r="AT114" s="685"/>
      <c r="AU114" s="685"/>
      <c r="AV114" s="685"/>
      <c r="AW114" s="685"/>
      <c r="AX114" s="685"/>
      <c r="AY114" s="685"/>
      <c r="AZ114" s="685"/>
      <c r="BA114" s="685"/>
      <c r="BB114" s="685"/>
      <c r="BC114" s="685"/>
      <c r="BD114" s="685"/>
      <c r="BE114" s="685"/>
      <c r="BF114" s="685"/>
      <c r="BG114" s="685"/>
      <c r="BH114" s="685"/>
      <c r="BI114" s="685"/>
      <c r="BJ114" s="685"/>
      <c r="BK114" s="685"/>
      <c r="BL114" s="685"/>
      <c r="BM114" s="685"/>
      <c r="BN114" s="685"/>
      <c r="BO114" s="685"/>
      <c r="BP114" s="685"/>
      <c r="BQ114" s="685"/>
      <c r="BR114" s="685"/>
      <c r="BS114" s="685"/>
      <c r="BT114" s="685"/>
      <c r="BU114" s="685"/>
      <c r="BV114" s="685"/>
      <c r="BW114" s="685"/>
      <c r="BX114" s="685"/>
      <c r="BY114" s="685"/>
      <c r="BZ114" s="685"/>
      <c r="CA114" s="685"/>
    </row>
    <row r="115" spans="1:79" s="308" customFormat="1" hidden="1" outlineLevel="1" x14ac:dyDescent="0.25">
      <c r="A115" s="657"/>
      <c r="B115" s="571"/>
      <c r="C115" s="571"/>
      <c r="D115" s="571"/>
      <c r="E115" s="570" t="s">
        <v>49</v>
      </c>
      <c r="F115" s="657" t="s">
        <v>672</v>
      </c>
      <c r="G115" s="680">
        <f>SUM(G111:G114)</f>
        <v>0</v>
      </c>
      <c r="H115" s="680">
        <f t="shared" ref="H115:BO115" si="32">SUM(H111:H114)</f>
        <v>0</v>
      </c>
      <c r="I115" s="680">
        <f t="shared" si="32"/>
        <v>0</v>
      </c>
      <c r="J115" s="680">
        <f t="shared" si="32"/>
        <v>0</v>
      </c>
      <c r="K115" s="680">
        <f t="shared" si="32"/>
        <v>0</v>
      </c>
      <c r="L115" s="680">
        <f t="shared" si="32"/>
        <v>0</v>
      </c>
      <c r="M115" s="680">
        <f t="shared" si="32"/>
        <v>0</v>
      </c>
      <c r="N115" s="680">
        <f t="shared" si="32"/>
        <v>0</v>
      </c>
      <c r="O115" s="680">
        <f t="shared" si="32"/>
        <v>0</v>
      </c>
      <c r="P115" s="680">
        <f t="shared" si="32"/>
        <v>0</v>
      </c>
      <c r="Q115" s="680">
        <f t="shared" si="32"/>
        <v>0</v>
      </c>
      <c r="R115" s="680">
        <f t="shared" si="32"/>
        <v>0</v>
      </c>
      <c r="S115" s="680">
        <f t="shared" ref="S115:AA115" si="33">ROUND(SUM(S110:S114),5)</f>
        <v>0</v>
      </c>
      <c r="T115" s="680">
        <f t="shared" si="33"/>
        <v>0</v>
      </c>
      <c r="U115" s="680">
        <f t="shared" si="33"/>
        <v>0</v>
      </c>
      <c r="V115" s="680">
        <f t="shared" si="33"/>
        <v>0</v>
      </c>
      <c r="W115" s="680">
        <f t="shared" si="33"/>
        <v>0</v>
      </c>
      <c r="X115" s="680">
        <f t="shared" si="33"/>
        <v>0</v>
      </c>
      <c r="Y115" s="680">
        <f t="shared" si="33"/>
        <v>0</v>
      </c>
      <c r="Z115" s="680">
        <f t="shared" si="33"/>
        <v>0</v>
      </c>
      <c r="AA115" s="680">
        <f t="shared" si="33"/>
        <v>0</v>
      </c>
      <c r="AB115" s="680">
        <f>ROUND(SUM(AB110:AB114),5)</f>
        <v>0</v>
      </c>
      <c r="AC115" s="680">
        <f>ROUND(SUM(AC110:AC114),5)</f>
        <v>0</v>
      </c>
      <c r="AD115" s="680">
        <v>0</v>
      </c>
      <c r="AE115" s="680">
        <f>ROUND(SUM(AE110:AE114),5)</f>
        <v>0</v>
      </c>
      <c r="AF115" s="680">
        <f>ROUND(SUM(AF110:AF114),5)</f>
        <v>0</v>
      </c>
      <c r="AG115" s="680">
        <v>0</v>
      </c>
      <c r="AH115" s="680">
        <f t="shared" si="32"/>
        <v>0</v>
      </c>
      <c r="AI115" s="680">
        <f t="shared" si="32"/>
        <v>0</v>
      </c>
      <c r="AJ115" s="680">
        <f t="shared" si="32"/>
        <v>0</v>
      </c>
      <c r="AK115" s="680">
        <f t="shared" si="32"/>
        <v>0</v>
      </c>
      <c r="AL115" s="680">
        <f t="shared" si="32"/>
        <v>0</v>
      </c>
      <c r="AM115" s="680">
        <f t="shared" si="32"/>
        <v>0</v>
      </c>
      <c r="AN115" s="680">
        <f t="shared" si="32"/>
        <v>0</v>
      </c>
      <c r="AO115" s="680">
        <f t="shared" si="32"/>
        <v>0</v>
      </c>
      <c r="AP115" s="680">
        <f t="shared" si="32"/>
        <v>0</v>
      </c>
      <c r="AQ115" s="680">
        <f t="shared" si="32"/>
        <v>0</v>
      </c>
      <c r="AR115" s="680">
        <f t="shared" si="32"/>
        <v>0</v>
      </c>
      <c r="AS115" s="680">
        <f t="shared" si="32"/>
        <v>0</v>
      </c>
      <c r="AT115" s="680">
        <f t="shared" si="32"/>
        <v>0</v>
      </c>
      <c r="AU115" s="680">
        <f t="shared" si="32"/>
        <v>0</v>
      </c>
      <c r="AV115" s="680">
        <f t="shared" si="32"/>
        <v>0</v>
      </c>
      <c r="AW115" s="680">
        <f t="shared" si="32"/>
        <v>0</v>
      </c>
      <c r="AX115" s="680">
        <f t="shared" si="32"/>
        <v>0</v>
      </c>
      <c r="AY115" s="680">
        <f t="shared" si="32"/>
        <v>0</v>
      </c>
      <c r="AZ115" s="680">
        <f t="shared" si="32"/>
        <v>0</v>
      </c>
      <c r="BA115" s="680">
        <f t="shared" si="32"/>
        <v>0</v>
      </c>
      <c r="BB115" s="680">
        <f t="shared" si="32"/>
        <v>0</v>
      </c>
      <c r="BC115" s="680">
        <f t="shared" si="32"/>
        <v>0</v>
      </c>
      <c r="BD115" s="680">
        <f t="shared" si="32"/>
        <v>0</v>
      </c>
      <c r="BE115" s="680">
        <f t="shared" si="32"/>
        <v>0</v>
      </c>
      <c r="BF115" s="680">
        <f t="shared" si="32"/>
        <v>0</v>
      </c>
      <c r="BG115" s="680">
        <f t="shared" si="32"/>
        <v>0</v>
      </c>
      <c r="BH115" s="680">
        <f t="shared" si="32"/>
        <v>0</v>
      </c>
      <c r="BI115" s="680">
        <f t="shared" si="32"/>
        <v>0</v>
      </c>
      <c r="BJ115" s="680">
        <f t="shared" si="32"/>
        <v>0</v>
      </c>
      <c r="BK115" s="680">
        <f t="shared" si="32"/>
        <v>0</v>
      </c>
      <c r="BL115" s="680">
        <f t="shared" si="32"/>
        <v>0</v>
      </c>
      <c r="BM115" s="680">
        <f t="shared" si="32"/>
        <v>0</v>
      </c>
      <c r="BN115" s="680">
        <f t="shared" si="32"/>
        <v>0</v>
      </c>
      <c r="BO115" s="680">
        <f t="shared" si="32"/>
        <v>0</v>
      </c>
      <c r="BP115" s="680">
        <f t="shared" ref="BP115:CA115" si="34">SUM(BP111:BP114)</f>
        <v>0</v>
      </c>
      <c r="BQ115" s="680">
        <f t="shared" si="34"/>
        <v>0</v>
      </c>
      <c r="BR115" s="680">
        <f t="shared" si="34"/>
        <v>0</v>
      </c>
      <c r="BS115" s="680">
        <f t="shared" si="34"/>
        <v>0</v>
      </c>
      <c r="BT115" s="680">
        <f t="shared" si="34"/>
        <v>0</v>
      </c>
      <c r="BU115" s="680">
        <f t="shared" si="34"/>
        <v>0</v>
      </c>
      <c r="BV115" s="680">
        <f t="shared" si="34"/>
        <v>0</v>
      </c>
      <c r="BW115" s="680">
        <f t="shared" si="34"/>
        <v>0</v>
      </c>
      <c r="BX115" s="680">
        <f t="shared" si="34"/>
        <v>0</v>
      </c>
      <c r="BY115" s="680">
        <f t="shared" si="34"/>
        <v>0</v>
      </c>
      <c r="BZ115" s="680">
        <f t="shared" si="34"/>
        <v>0</v>
      </c>
      <c r="CA115" s="680">
        <f t="shared" si="34"/>
        <v>0</v>
      </c>
    </row>
    <row r="116" spans="1:79" s="308" customFormat="1" hidden="1" outlineLevel="1" x14ac:dyDescent="0.25">
      <c r="A116" s="658"/>
      <c r="B116" s="29"/>
      <c r="C116" s="29"/>
      <c r="D116" s="29"/>
      <c r="E116" s="570" t="s">
        <v>1076</v>
      </c>
      <c r="F116" s="658" t="s">
        <v>648</v>
      </c>
      <c r="G116" s="666">
        <v>119.07986837845019</v>
      </c>
      <c r="H116" s="666">
        <v>70.538736296940627</v>
      </c>
      <c r="I116" s="666">
        <v>36.959072925909609</v>
      </c>
      <c r="J116" s="666">
        <v>15.340555097981246</v>
      </c>
      <c r="K116" s="666">
        <v>21.640219021555236</v>
      </c>
      <c r="L116" s="666">
        <v>22.153151534195825</v>
      </c>
      <c r="M116" s="666">
        <v>95.770147762312064</v>
      </c>
      <c r="N116" s="666">
        <v>20.967562972486402</v>
      </c>
      <c r="O116" s="666">
        <v>17.441421656100907</v>
      </c>
      <c r="P116" s="666">
        <v>10.574376106809547</v>
      </c>
      <c r="Q116" s="666">
        <v>19.441663736486372</v>
      </c>
      <c r="R116" s="667">
        <v>18.926313247463614</v>
      </c>
      <c r="S116" s="688">
        <v>0</v>
      </c>
      <c r="T116" s="688">
        <v>0</v>
      </c>
      <c r="U116" s="688">
        <v>0</v>
      </c>
      <c r="V116" s="688">
        <v>0</v>
      </c>
      <c r="W116" s="688">
        <v>0</v>
      </c>
      <c r="X116" s="688">
        <v>0</v>
      </c>
      <c r="Y116" s="688">
        <v>0</v>
      </c>
      <c r="Z116" s="688">
        <v>0</v>
      </c>
      <c r="AA116" s="688">
        <v>0</v>
      </c>
      <c r="AB116" s="688">
        <v>0</v>
      </c>
      <c r="AC116" s="688">
        <v>0</v>
      </c>
      <c r="AD116" s="685">
        <v>0</v>
      </c>
      <c r="AE116" s="688">
        <v>0</v>
      </c>
      <c r="AF116" s="688">
        <v>0</v>
      </c>
      <c r="AG116" s="685">
        <v>0</v>
      </c>
      <c r="AH116" s="685"/>
      <c r="AI116" s="685"/>
      <c r="AJ116" s="685"/>
      <c r="AK116" s="685"/>
      <c r="AL116" s="685"/>
      <c r="AM116" s="685"/>
      <c r="AN116" s="685"/>
      <c r="AO116" s="685"/>
      <c r="AP116" s="685"/>
      <c r="AQ116" s="685"/>
      <c r="AR116" s="685"/>
      <c r="AS116" s="685"/>
      <c r="AT116" s="685"/>
      <c r="AU116" s="685"/>
      <c r="AV116" s="685"/>
      <c r="AW116" s="685"/>
      <c r="AX116" s="685"/>
      <c r="AY116" s="685"/>
      <c r="AZ116" s="685"/>
      <c r="BA116" s="685"/>
      <c r="BB116" s="685"/>
      <c r="BC116" s="685"/>
      <c r="BD116" s="685"/>
      <c r="BE116" s="685"/>
      <c r="BF116" s="685"/>
      <c r="BG116" s="685"/>
      <c r="BH116" s="685"/>
      <c r="BI116" s="685"/>
      <c r="BJ116" s="685"/>
      <c r="BK116" s="685"/>
      <c r="BL116" s="685"/>
      <c r="BM116" s="685"/>
      <c r="BN116" s="685"/>
      <c r="BO116" s="685"/>
      <c r="BP116" s="685"/>
      <c r="BQ116" s="685"/>
      <c r="BR116" s="685"/>
      <c r="BS116" s="685"/>
      <c r="BT116" s="685"/>
      <c r="BU116" s="685"/>
      <c r="BV116" s="685"/>
      <c r="BW116" s="685"/>
      <c r="BX116" s="685"/>
      <c r="BY116" s="685"/>
      <c r="BZ116" s="685"/>
      <c r="CA116" s="685"/>
    </row>
    <row r="117" spans="1:79" hidden="1" outlineLevel="1" x14ac:dyDescent="0.25">
      <c r="A117" s="658"/>
      <c r="E117" s="570" t="s">
        <v>431</v>
      </c>
      <c r="F117" s="658" t="s">
        <v>599</v>
      </c>
      <c r="G117" s="665">
        <v>76.10408025353189</v>
      </c>
      <c r="H117" s="665">
        <v>359.04208953366464</v>
      </c>
      <c r="I117" s="665">
        <v>155.35002001488616</v>
      </c>
      <c r="J117" s="686">
        <v>413.71678270438792</v>
      </c>
      <c r="K117" s="686">
        <v>383.15750433656586</v>
      </c>
      <c r="L117" s="686">
        <v>601.53494512110819</v>
      </c>
      <c r="M117" s="686">
        <v>212.97044725885405</v>
      </c>
      <c r="N117" s="686">
        <v>651.17982263950375</v>
      </c>
      <c r="O117" s="686">
        <v>903.98185861062029</v>
      </c>
      <c r="P117" s="666">
        <v>867.75552201679079</v>
      </c>
      <c r="Q117" s="666">
        <v>809.25710009974568</v>
      </c>
      <c r="R117" s="666">
        <v>233.53098003406208</v>
      </c>
      <c r="S117" s="667">
        <v>1696.18</v>
      </c>
      <c r="T117" s="667">
        <v>723.4</v>
      </c>
      <c r="U117" s="667">
        <v>3314.42</v>
      </c>
      <c r="V117" s="667">
        <v>4193.91</v>
      </c>
      <c r="W117" s="667">
        <v>597.27</v>
      </c>
      <c r="X117" s="667">
        <v>1189.78</v>
      </c>
      <c r="Y117" s="667">
        <v>75</v>
      </c>
      <c r="Z117" s="667">
        <v>0</v>
      </c>
      <c r="AA117" s="667">
        <v>5748.9</v>
      </c>
      <c r="AB117" s="667">
        <v>3208.4</v>
      </c>
      <c r="AC117" s="667">
        <v>6896.56</v>
      </c>
      <c r="AD117" s="668">
        <v>11899.34</v>
      </c>
      <c r="AE117" s="667">
        <v>1453.75</v>
      </c>
      <c r="AF117" s="667">
        <v>3374.88</v>
      </c>
      <c r="AG117" s="668">
        <v>3173.36</v>
      </c>
      <c r="AH117" s="668"/>
      <c r="AI117" s="668"/>
      <c r="AJ117" s="668"/>
      <c r="AK117" s="668"/>
      <c r="AL117" s="668"/>
      <c r="AM117" s="668"/>
      <c r="AN117" s="668"/>
      <c r="AO117" s="668"/>
      <c r="AP117" s="668"/>
      <c r="AQ117" s="668"/>
      <c r="AR117" s="668"/>
      <c r="AS117" s="668"/>
      <c r="AT117" s="668"/>
      <c r="AU117" s="668"/>
      <c r="AV117" s="668"/>
      <c r="AW117" s="668"/>
      <c r="AX117" s="668"/>
      <c r="AY117" s="668"/>
      <c r="AZ117" s="668"/>
      <c r="BA117" s="668"/>
      <c r="BB117" s="668"/>
      <c r="BC117" s="668"/>
      <c r="BD117" s="668"/>
      <c r="BE117" s="668"/>
      <c r="BF117" s="668"/>
      <c r="BG117" s="668"/>
      <c r="BH117" s="668"/>
      <c r="BI117" s="668"/>
      <c r="BJ117" s="668"/>
      <c r="BK117" s="668"/>
      <c r="BL117" s="668"/>
      <c r="BM117" s="668"/>
      <c r="BN117" s="668"/>
      <c r="BO117" s="668"/>
      <c r="BP117" s="668"/>
      <c r="BQ117" s="668"/>
      <c r="BR117" s="668"/>
      <c r="BS117" s="668"/>
      <c r="BT117" s="668"/>
      <c r="BU117" s="668"/>
      <c r="BV117" s="668"/>
      <c r="BW117" s="668"/>
      <c r="BX117" s="668"/>
      <c r="BY117" s="668"/>
      <c r="BZ117" s="668"/>
      <c r="CA117" s="668"/>
    </row>
    <row r="118" spans="1:79" hidden="1" outlineLevel="1" x14ac:dyDescent="0.25">
      <c r="A118" s="691"/>
      <c r="B118" s="693"/>
      <c r="C118" s="693"/>
      <c r="D118" s="693"/>
      <c r="E118" s="570" t="s">
        <v>1343</v>
      </c>
      <c r="F118" s="691" t="s">
        <v>673</v>
      </c>
      <c r="G118" s="702"/>
      <c r="H118" s="702"/>
      <c r="I118" s="702"/>
      <c r="J118" s="703"/>
      <c r="K118" s="703"/>
      <c r="L118" s="703"/>
      <c r="M118" s="703"/>
      <c r="N118" s="703"/>
      <c r="O118" s="703"/>
      <c r="P118" s="704"/>
      <c r="Q118" s="704"/>
      <c r="R118" s="704"/>
      <c r="S118" s="704"/>
      <c r="T118" s="704"/>
      <c r="U118" s="704"/>
      <c r="V118" s="704"/>
      <c r="W118" s="704"/>
      <c r="X118" s="704"/>
      <c r="Y118" s="704"/>
      <c r="Z118" s="704"/>
      <c r="AA118" s="704"/>
      <c r="AB118" s="704"/>
      <c r="AC118" s="704"/>
      <c r="AD118" s="699"/>
      <c r="AE118" s="704"/>
      <c r="AF118" s="704"/>
      <c r="AG118" s="699"/>
      <c r="AH118" s="699"/>
      <c r="AI118" s="699"/>
      <c r="AJ118" s="699"/>
      <c r="AK118" s="699"/>
      <c r="AL118" s="699"/>
      <c r="AM118" s="699"/>
      <c r="AN118" s="699"/>
      <c r="AO118" s="699"/>
      <c r="AP118" s="699"/>
      <c r="AQ118" s="699"/>
      <c r="AR118" s="699"/>
      <c r="AS118" s="699"/>
      <c r="AT118" s="699"/>
      <c r="AU118" s="699"/>
      <c r="AV118" s="699"/>
      <c r="AW118" s="699"/>
      <c r="AX118" s="699"/>
      <c r="AY118" s="699"/>
      <c r="AZ118" s="699"/>
      <c r="BA118" s="699"/>
      <c r="BB118" s="699"/>
      <c r="BC118" s="699"/>
      <c r="BD118" s="699"/>
      <c r="BE118" s="699"/>
      <c r="BF118" s="699"/>
      <c r="BG118" s="699"/>
      <c r="BH118" s="699"/>
      <c r="BI118" s="699"/>
      <c r="BJ118" s="699"/>
      <c r="BK118" s="699"/>
      <c r="BL118" s="699"/>
      <c r="BM118" s="699"/>
      <c r="BN118" s="699"/>
      <c r="BO118" s="699"/>
      <c r="BP118" s="699"/>
      <c r="BQ118" s="699"/>
      <c r="BR118" s="699"/>
      <c r="BS118" s="699"/>
      <c r="BT118" s="699"/>
      <c r="BU118" s="699"/>
      <c r="BV118" s="699"/>
      <c r="BW118" s="699"/>
      <c r="BX118" s="699"/>
      <c r="BY118" s="699"/>
      <c r="BZ118" s="699"/>
      <c r="CA118" s="699"/>
    </row>
    <row r="119" spans="1:79" hidden="1" outlineLevel="1" x14ac:dyDescent="0.25">
      <c r="A119" s="656"/>
      <c r="B119" s="570"/>
      <c r="C119" s="570"/>
      <c r="D119" s="570"/>
      <c r="E119" s="570" t="s">
        <v>1330</v>
      </c>
      <c r="F119" s="656" t="s">
        <v>893</v>
      </c>
      <c r="G119" s="665"/>
      <c r="H119" s="665"/>
      <c r="I119" s="665"/>
      <c r="J119" s="686"/>
      <c r="K119" s="686"/>
      <c r="L119" s="686"/>
      <c r="M119" s="686"/>
      <c r="N119" s="686"/>
      <c r="O119" s="686"/>
      <c r="P119" s="666"/>
      <c r="Q119" s="666"/>
      <c r="R119" s="666"/>
      <c r="S119" s="667">
        <v>0</v>
      </c>
      <c r="T119" s="667">
        <v>0</v>
      </c>
      <c r="U119" s="667">
        <v>0</v>
      </c>
      <c r="V119" s="667">
        <v>0</v>
      </c>
      <c r="W119" s="667">
        <v>0</v>
      </c>
      <c r="X119" s="667">
        <v>0</v>
      </c>
      <c r="Y119" s="667">
        <v>0</v>
      </c>
      <c r="Z119" s="667">
        <v>0</v>
      </c>
      <c r="AA119" s="667">
        <v>0</v>
      </c>
      <c r="AB119" s="667">
        <v>0</v>
      </c>
      <c r="AC119" s="667">
        <v>0</v>
      </c>
      <c r="AD119" s="668">
        <v>0</v>
      </c>
      <c r="AE119" s="667">
        <v>0</v>
      </c>
      <c r="AF119" s="667">
        <v>0</v>
      </c>
      <c r="AG119" s="668">
        <v>0</v>
      </c>
      <c r="AH119" s="668"/>
      <c r="AI119" s="668"/>
      <c r="AJ119" s="668"/>
      <c r="AK119" s="668"/>
      <c r="AL119" s="668"/>
      <c r="AM119" s="668"/>
      <c r="AN119" s="668"/>
      <c r="AO119" s="668"/>
      <c r="AP119" s="668"/>
      <c r="AQ119" s="668"/>
      <c r="AR119" s="668"/>
      <c r="AS119" s="668"/>
      <c r="AT119" s="668"/>
      <c r="AU119" s="668"/>
      <c r="AV119" s="668"/>
      <c r="AW119" s="668"/>
      <c r="AX119" s="668"/>
      <c r="AY119" s="668"/>
      <c r="AZ119" s="668"/>
      <c r="BA119" s="668"/>
      <c r="BB119" s="668"/>
      <c r="BC119" s="668"/>
      <c r="BD119" s="668"/>
      <c r="BE119" s="668"/>
      <c r="BF119" s="668"/>
      <c r="BG119" s="668"/>
      <c r="BH119" s="668"/>
      <c r="BI119" s="668"/>
      <c r="BJ119" s="668"/>
      <c r="BK119" s="668"/>
      <c r="BL119" s="668"/>
      <c r="BM119" s="668"/>
      <c r="BN119" s="668"/>
      <c r="BO119" s="668"/>
      <c r="BP119" s="668"/>
      <c r="BQ119" s="668"/>
      <c r="BR119" s="668"/>
      <c r="BS119" s="668"/>
      <c r="BT119" s="668"/>
      <c r="BU119" s="668"/>
      <c r="BV119" s="668"/>
      <c r="BW119" s="668"/>
      <c r="BX119" s="668"/>
      <c r="BY119" s="668"/>
      <c r="BZ119" s="668"/>
      <c r="CA119" s="668"/>
    </row>
    <row r="120" spans="1:79" hidden="1" outlineLevel="1" x14ac:dyDescent="0.25">
      <c r="A120" s="656"/>
      <c r="B120" s="570"/>
      <c r="C120" s="570"/>
      <c r="D120" s="570"/>
      <c r="E120" s="570" t="s">
        <v>1343</v>
      </c>
      <c r="F120" s="656" t="s">
        <v>674</v>
      </c>
      <c r="G120" s="665"/>
      <c r="H120" s="665"/>
      <c r="I120" s="665"/>
      <c r="J120" s="686"/>
      <c r="K120" s="686"/>
      <c r="L120" s="686"/>
      <c r="M120" s="686"/>
      <c r="N120" s="686"/>
      <c r="O120" s="686"/>
      <c r="P120" s="666"/>
      <c r="Q120" s="666"/>
      <c r="R120" s="666"/>
      <c r="S120" s="667">
        <v>0</v>
      </c>
      <c r="T120" s="667">
        <v>0</v>
      </c>
      <c r="U120" s="667">
        <v>0</v>
      </c>
      <c r="V120" s="667">
        <v>0</v>
      </c>
      <c r="W120" s="667">
        <v>0</v>
      </c>
      <c r="X120" s="667">
        <v>0</v>
      </c>
      <c r="Y120" s="667">
        <v>0</v>
      </c>
      <c r="Z120" s="667">
        <v>0</v>
      </c>
      <c r="AA120" s="667">
        <v>0</v>
      </c>
      <c r="AB120" s="667">
        <v>0</v>
      </c>
      <c r="AC120" s="667">
        <v>0</v>
      </c>
      <c r="AD120" s="668">
        <v>0</v>
      </c>
      <c r="AE120" s="667">
        <v>0</v>
      </c>
      <c r="AF120" s="667">
        <v>0</v>
      </c>
      <c r="AG120" s="668">
        <v>0</v>
      </c>
      <c r="AH120" s="668"/>
      <c r="AI120" s="668"/>
      <c r="AJ120" s="668"/>
      <c r="AK120" s="668"/>
      <c r="AL120" s="668"/>
      <c r="AM120" s="668"/>
      <c r="AN120" s="668"/>
      <c r="AO120" s="668"/>
      <c r="AP120" s="668"/>
      <c r="AQ120" s="668"/>
      <c r="AR120" s="668"/>
      <c r="AS120" s="668"/>
      <c r="AT120" s="668"/>
      <c r="AU120" s="668"/>
      <c r="AV120" s="668"/>
      <c r="AW120" s="668"/>
      <c r="AX120" s="668"/>
      <c r="AY120" s="668"/>
      <c r="AZ120" s="668"/>
      <c r="BA120" s="668"/>
      <c r="BB120" s="668"/>
      <c r="BC120" s="668"/>
      <c r="BD120" s="668"/>
      <c r="BE120" s="668"/>
      <c r="BF120" s="668"/>
      <c r="BG120" s="668"/>
      <c r="BH120" s="668"/>
      <c r="BI120" s="668"/>
      <c r="BJ120" s="668"/>
      <c r="BK120" s="668"/>
      <c r="BL120" s="668"/>
      <c r="BM120" s="668"/>
      <c r="BN120" s="668"/>
      <c r="BO120" s="668"/>
      <c r="BP120" s="668"/>
      <c r="BQ120" s="668"/>
      <c r="BR120" s="668"/>
      <c r="BS120" s="668"/>
      <c r="BT120" s="668"/>
      <c r="BU120" s="668"/>
      <c r="BV120" s="668"/>
      <c r="BW120" s="668"/>
      <c r="BX120" s="668"/>
      <c r="BY120" s="668"/>
      <c r="BZ120" s="668"/>
      <c r="CA120" s="668"/>
    </row>
    <row r="121" spans="1:79" hidden="1" outlineLevel="1" x14ac:dyDescent="0.25">
      <c r="A121" s="656"/>
      <c r="B121" s="570"/>
      <c r="C121" s="570"/>
      <c r="D121" s="570"/>
      <c r="E121" s="570" t="s">
        <v>1343</v>
      </c>
      <c r="F121" s="656" t="s">
        <v>894</v>
      </c>
      <c r="G121" s="665"/>
      <c r="H121" s="665"/>
      <c r="I121" s="665"/>
      <c r="J121" s="686"/>
      <c r="K121" s="686"/>
      <c r="L121" s="686"/>
      <c r="M121" s="686"/>
      <c r="N121" s="686"/>
      <c r="O121" s="686"/>
      <c r="P121" s="666"/>
      <c r="Q121" s="666"/>
      <c r="R121" s="666"/>
      <c r="S121" s="667">
        <v>0</v>
      </c>
      <c r="T121" s="667">
        <v>0</v>
      </c>
      <c r="U121" s="667">
        <v>0</v>
      </c>
      <c r="V121" s="667">
        <v>0</v>
      </c>
      <c r="W121" s="667">
        <v>0</v>
      </c>
      <c r="X121" s="667">
        <v>0</v>
      </c>
      <c r="Y121" s="667">
        <v>0</v>
      </c>
      <c r="Z121" s="667">
        <v>0</v>
      </c>
      <c r="AA121" s="667">
        <v>0</v>
      </c>
      <c r="AB121" s="667">
        <v>0</v>
      </c>
      <c r="AC121" s="667">
        <v>0</v>
      </c>
      <c r="AD121" s="668">
        <v>0</v>
      </c>
      <c r="AE121" s="667">
        <v>0</v>
      </c>
      <c r="AF121" s="667">
        <v>0</v>
      </c>
      <c r="AG121" s="668">
        <v>0</v>
      </c>
      <c r="AH121" s="668"/>
      <c r="AI121" s="668"/>
      <c r="AJ121" s="668"/>
      <c r="AK121" s="668"/>
      <c r="AL121" s="668"/>
      <c r="AM121" s="668"/>
      <c r="AN121" s="668"/>
      <c r="AO121" s="668"/>
      <c r="AP121" s="668"/>
      <c r="AQ121" s="668"/>
      <c r="AR121" s="668"/>
      <c r="AS121" s="668"/>
      <c r="AT121" s="668"/>
      <c r="AU121" s="668"/>
      <c r="AV121" s="668"/>
      <c r="AW121" s="668"/>
      <c r="AX121" s="668"/>
      <c r="AY121" s="668"/>
      <c r="AZ121" s="668"/>
      <c r="BA121" s="668"/>
      <c r="BB121" s="668"/>
      <c r="BC121" s="668"/>
      <c r="BD121" s="668"/>
      <c r="BE121" s="668"/>
      <c r="BF121" s="668"/>
      <c r="BG121" s="668"/>
      <c r="BH121" s="668"/>
      <c r="BI121" s="668"/>
      <c r="BJ121" s="668"/>
      <c r="BK121" s="668"/>
      <c r="BL121" s="668"/>
      <c r="BM121" s="668"/>
      <c r="BN121" s="668"/>
      <c r="BO121" s="668"/>
      <c r="BP121" s="668"/>
      <c r="BQ121" s="668"/>
      <c r="BR121" s="668"/>
      <c r="BS121" s="668"/>
      <c r="BT121" s="668"/>
      <c r="BU121" s="668"/>
      <c r="BV121" s="668"/>
      <c r="BW121" s="668"/>
      <c r="BX121" s="668"/>
      <c r="BY121" s="668"/>
      <c r="BZ121" s="668"/>
      <c r="CA121" s="668"/>
    </row>
    <row r="122" spans="1:79" hidden="1" outlineLevel="1" x14ac:dyDescent="0.25">
      <c r="A122" s="656"/>
      <c r="B122" s="570"/>
      <c r="C122" s="570"/>
      <c r="D122" s="570"/>
      <c r="E122" s="570" t="s">
        <v>1343</v>
      </c>
      <c r="F122" s="656" t="s">
        <v>765</v>
      </c>
      <c r="G122" s="665"/>
      <c r="H122" s="665"/>
      <c r="I122" s="665"/>
      <c r="J122" s="686"/>
      <c r="K122" s="686"/>
      <c r="L122" s="686"/>
      <c r="M122" s="686"/>
      <c r="N122" s="686"/>
      <c r="O122" s="686"/>
      <c r="P122" s="666"/>
      <c r="Q122" s="666"/>
      <c r="R122" s="666"/>
      <c r="S122" s="667">
        <v>0</v>
      </c>
      <c r="T122" s="667">
        <v>0</v>
      </c>
      <c r="U122" s="667">
        <v>0</v>
      </c>
      <c r="V122" s="667">
        <v>0</v>
      </c>
      <c r="W122" s="667">
        <v>0</v>
      </c>
      <c r="X122" s="667">
        <v>0</v>
      </c>
      <c r="Y122" s="667">
        <v>0</v>
      </c>
      <c r="Z122" s="667">
        <v>0</v>
      </c>
      <c r="AA122" s="667">
        <v>0</v>
      </c>
      <c r="AB122" s="667">
        <v>0</v>
      </c>
      <c r="AC122" s="667">
        <v>0</v>
      </c>
      <c r="AD122" s="668">
        <v>0</v>
      </c>
      <c r="AE122" s="667">
        <v>0</v>
      </c>
      <c r="AF122" s="667">
        <v>0</v>
      </c>
      <c r="AG122" s="668">
        <v>0</v>
      </c>
      <c r="AH122" s="668"/>
      <c r="AI122" s="668"/>
      <c r="AJ122" s="668"/>
      <c r="AK122" s="668"/>
      <c r="AL122" s="668"/>
      <c r="AM122" s="668"/>
      <c r="AN122" s="668"/>
      <c r="AO122" s="668"/>
      <c r="AP122" s="668"/>
      <c r="AQ122" s="668"/>
      <c r="AR122" s="668"/>
      <c r="AS122" s="668"/>
      <c r="AT122" s="668"/>
      <c r="AU122" s="668"/>
      <c r="AV122" s="668"/>
      <c r="AW122" s="668"/>
      <c r="AX122" s="668"/>
      <c r="AY122" s="668"/>
      <c r="AZ122" s="668"/>
      <c r="BA122" s="668"/>
      <c r="BB122" s="668"/>
      <c r="BC122" s="668"/>
      <c r="BD122" s="668"/>
      <c r="BE122" s="668"/>
      <c r="BF122" s="668"/>
      <c r="BG122" s="668"/>
      <c r="BH122" s="668"/>
      <c r="BI122" s="668"/>
      <c r="BJ122" s="668"/>
      <c r="BK122" s="668"/>
      <c r="BL122" s="668"/>
      <c r="BM122" s="668"/>
      <c r="BN122" s="668"/>
      <c r="BO122" s="668"/>
      <c r="BP122" s="668"/>
      <c r="BQ122" s="668"/>
      <c r="BR122" s="668"/>
      <c r="BS122" s="668"/>
      <c r="BT122" s="668"/>
      <c r="BU122" s="668"/>
      <c r="BV122" s="668"/>
      <c r="BW122" s="668"/>
      <c r="BX122" s="668"/>
      <c r="BY122" s="668"/>
      <c r="BZ122" s="668"/>
      <c r="CA122" s="668"/>
    </row>
    <row r="123" spans="1:79" hidden="1" outlineLevel="1" x14ac:dyDescent="0.25">
      <c r="A123" s="657"/>
      <c r="B123" s="570"/>
      <c r="C123" s="570"/>
      <c r="D123" s="570"/>
      <c r="E123" s="570" t="s">
        <v>49</v>
      </c>
      <c r="F123" s="657" t="s">
        <v>675</v>
      </c>
      <c r="G123" s="678">
        <f>SUM(G119:G122)</f>
        <v>0</v>
      </c>
      <c r="H123" s="678">
        <f t="shared" ref="H123:BO123" si="35">SUM(H119:H122)</f>
        <v>0</v>
      </c>
      <c r="I123" s="678">
        <f t="shared" si="35"/>
        <v>0</v>
      </c>
      <c r="J123" s="678">
        <f t="shared" si="35"/>
        <v>0</v>
      </c>
      <c r="K123" s="678">
        <f t="shared" si="35"/>
        <v>0</v>
      </c>
      <c r="L123" s="678">
        <f t="shared" si="35"/>
        <v>0</v>
      </c>
      <c r="M123" s="678">
        <f t="shared" si="35"/>
        <v>0</v>
      </c>
      <c r="N123" s="678">
        <f t="shared" si="35"/>
        <v>0</v>
      </c>
      <c r="O123" s="678">
        <f t="shared" si="35"/>
        <v>0</v>
      </c>
      <c r="P123" s="678">
        <f t="shared" si="35"/>
        <v>0</v>
      </c>
      <c r="Q123" s="678">
        <f t="shared" si="35"/>
        <v>0</v>
      </c>
      <c r="R123" s="678">
        <f t="shared" si="35"/>
        <v>0</v>
      </c>
      <c r="S123" s="678">
        <f t="shared" ref="S123:AA123" si="36">ROUND(SUM(S118:S122),5)</f>
        <v>0</v>
      </c>
      <c r="T123" s="678">
        <f t="shared" si="36"/>
        <v>0</v>
      </c>
      <c r="U123" s="678">
        <f t="shared" si="36"/>
        <v>0</v>
      </c>
      <c r="V123" s="678">
        <f t="shared" si="36"/>
        <v>0</v>
      </c>
      <c r="W123" s="678">
        <f t="shared" si="36"/>
        <v>0</v>
      </c>
      <c r="X123" s="678">
        <f t="shared" si="36"/>
        <v>0</v>
      </c>
      <c r="Y123" s="678">
        <f t="shared" si="36"/>
        <v>0</v>
      </c>
      <c r="Z123" s="678">
        <f t="shared" si="36"/>
        <v>0</v>
      </c>
      <c r="AA123" s="678">
        <f t="shared" si="36"/>
        <v>0</v>
      </c>
      <c r="AB123" s="678">
        <f>ROUND(SUM(AB118:AB122),5)</f>
        <v>0</v>
      </c>
      <c r="AC123" s="678">
        <f>ROUND(SUM(AC118:AC122),5)</f>
        <v>0</v>
      </c>
      <c r="AD123" s="678">
        <v>0</v>
      </c>
      <c r="AE123" s="678">
        <f>ROUND(SUM(AE118:AE122),5)</f>
        <v>0</v>
      </c>
      <c r="AF123" s="678">
        <f>ROUND(SUM(AF118:AF122),5)</f>
        <v>0</v>
      </c>
      <c r="AG123" s="678">
        <v>0</v>
      </c>
      <c r="AH123" s="678">
        <f t="shared" si="35"/>
        <v>0</v>
      </c>
      <c r="AI123" s="678">
        <f t="shared" si="35"/>
        <v>0</v>
      </c>
      <c r="AJ123" s="678">
        <f t="shared" si="35"/>
        <v>0</v>
      </c>
      <c r="AK123" s="678">
        <f t="shared" si="35"/>
        <v>0</v>
      </c>
      <c r="AL123" s="678">
        <f t="shared" si="35"/>
        <v>0</v>
      </c>
      <c r="AM123" s="678">
        <f t="shared" si="35"/>
        <v>0</v>
      </c>
      <c r="AN123" s="678">
        <f t="shared" si="35"/>
        <v>0</v>
      </c>
      <c r="AO123" s="678">
        <f t="shared" si="35"/>
        <v>0</v>
      </c>
      <c r="AP123" s="678">
        <f t="shared" si="35"/>
        <v>0</v>
      </c>
      <c r="AQ123" s="678">
        <f t="shared" si="35"/>
        <v>0</v>
      </c>
      <c r="AR123" s="678">
        <f t="shared" si="35"/>
        <v>0</v>
      </c>
      <c r="AS123" s="678">
        <f t="shared" si="35"/>
        <v>0</v>
      </c>
      <c r="AT123" s="678">
        <f t="shared" si="35"/>
        <v>0</v>
      </c>
      <c r="AU123" s="678">
        <f t="shared" si="35"/>
        <v>0</v>
      </c>
      <c r="AV123" s="678">
        <f t="shared" si="35"/>
        <v>0</v>
      </c>
      <c r="AW123" s="678">
        <f t="shared" si="35"/>
        <v>0</v>
      </c>
      <c r="AX123" s="678">
        <f t="shared" si="35"/>
        <v>0</v>
      </c>
      <c r="AY123" s="678">
        <f t="shared" si="35"/>
        <v>0</v>
      </c>
      <c r="AZ123" s="678">
        <f t="shared" si="35"/>
        <v>0</v>
      </c>
      <c r="BA123" s="678">
        <f t="shared" si="35"/>
        <v>0</v>
      </c>
      <c r="BB123" s="678">
        <f t="shared" si="35"/>
        <v>0</v>
      </c>
      <c r="BC123" s="678">
        <f t="shared" si="35"/>
        <v>0</v>
      </c>
      <c r="BD123" s="678">
        <f t="shared" si="35"/>
        <v>0</v>
      </c>
      <c r="BE123" s="678">
        <f t="shared" si="35"/>
        <v>0</v>
      </c>
      <c r="BF123" s="678">
        <f t="shared" si="35"/>
        <v>0</v>
      </c>
      <c r="BG123" s="678">
        <f t="shared" si="35"/>
        <v>0</v>
      </c>
      <c r="BH123" s="678">
        <f t="shared" si="35"/>
        <v>0</v>
      </c>
      <c r="BI123" s="678">
        <f t="shared" si="35"/>
        <v>0</v>
      </c>
      <c r="BJ123" s="678">
        <f t="shared" si="35"/>
        <v>0</v>
      </c>
      <c r="BK123" s="678">
        <f t="shared" si="35"/>
        <v>0</v>
      </c>
      <c r="BL123" s="678">
        <f t="shared" si="35"/>
        <v>0</v>
      </c>
      <c r="BM123" s="678">
        <f t="shared" si="35"/>
        <v>0</v>
      </c>
      <c r="BN123" s="678">
        <f t="shared" si="35"/>
        <v>0</v>
      </c>
      <c r="BO123" s="678">
        <f t="shared" si="35"/>
        <v>0</v>
      </c>
      <c r="BP123" s="678">
        <f t="shared" ref="BP123:CA123" si="37">SUM(BP119:BP122)</f>
        <v>0</v>
      </c>
      <c r="BQ123" s="678">
        <f t="shared" si="37"/>
        <v>0</v>
      </c>
      <c r="BR123" s="678">
        <f t="shared" si="37"/>
        <v>0</v>
      </c>
      <c r="BS123" s="678">
        <f t="shared" si="37"/>
        <v>0</v>
      </c>
      <c r="BT123" s="678">
        <f t="shared" si="37"/>
        <v>0</v>
      </c>
      <c r="BU123" s="678">
        <f t="shared" si="37"/>
        <v>0</v>
      </c>
      <c r="BV123" s="678">
        <f t="shared" si="37"/>
        <v>0</v>
      </c>
      <c r="BW123" s="678">
        <f t="shared" si="37"/>
        <v>0</v>
      </c>
      <c r="BX123" s="678">
        <f t="shared" si="37"/>
        <v>0</v>
      </c>
      <c r="BY123" s="678">
        <f t="shared" si="37"/>
        <v>0</v>
      </c>
      <c r="BZ123" s="678">
        <f t="shared" si="37"/>
        <v>0</v>
      </c>
      <c r="CA123" s="678">
        <f t="shared" si="37"/>
        <v>0</v>
      </c>
    </row>
    <row r="124" spans="1:79" hidden="1" outlineLevel="1" x14ac:dyDescent="0.25">
      <c r="A124" s="658"/>
      <c r="E124" s="570" t="s">
        <v>921</v>
      </c>
      <c r="F124" s="658" t="s">
        <v>600</v>
      </c>
      <c r="G124" s="665">
        <v>142.35149658710372</v>
      </c>
      <c r="H124" s="665">
        <v>216.27413023760329</v>
      </c>
      <c r="I124" s="665">
        <v>155.31878637063437</v>
      </c>
      <c r="J124" s="686">
        <v>193.55293937407626</v>
      </c>
      <c r="K124" s="686">
        <v>107.41115623407316</v>
      </c>
      <c r="L124" s="686">
        <v>345.98473222634544</v>
      </c>
      <c r="M124" s="686">
        <v>412.41417166350186</v>
      </c>
      <c r="N124" s="686">
        <v>246.22401395956166</v>
      </c>
      <c r="O124" s="686">
        <v>159.4158621475876</v>
      </c>
      <c r="P124" s="666">
        <v>201.75440571863567</v>
      </c>
      <c r="Q124" s="666">
        <v>202.89846958914978</v>
      </c>
      <c r="R124" s="666">
        <v>87.374708843095235</v>
      </c>
      <c r="S124" s="667">
        <v>1506.25</v>
      </c>
      <c r="T124" s="667">
        <v>1948.96</v>
      </c>
      <c r="U124" s="667">
        <v>304.5</v>
      </c>
      <c r="V124" s="667">
        <v>-173.78</v>
      </c>
      <c r="W124" s="667">
        <v>89.56</v>
      </c>
      <c r="X124" s="667">
        <v>0</v>
      </c>
      <c r="Y124" s="667">
        <v>96.51</v>
      </c>
      <c r="Z124" s="667">
        <v>151.97</v>
      </c>
      <c r="AA124" s="667">
        <v>966.98</v>
      </c>
      <c r="AB124" s="667">
        <v>335.82</v>
      </c>
      <c r="AC124" s="667">
        <v>231.75</v>
      </c>
      <c r="AD124" s="668">
        <v>96.26</v>
      </c>
      <c r="AE124" s="667">
        <v>527.16</v>
      </c>
      <c r="AF124" s="667">
        <v>51.67</v>
      </c>
      <c r="AG124" s="668">
        <v>64.36</v>
      </c>
      <c r="AH124" s="668"/>
      <c r="AI124" s="668"/>
      <c r="AJ124" s="668"/>
      <c r="AK124" s="668"/>
      <c r="AL124" s="668"/>
      <c r="AM124" s="668"/>
      <c r="AN124" s="668"/>
      <c r="AO124" s="668"/>
      <c r="AP124" s="668"/>
      <c r="AQ124" s="668"/>
      <c r="AR124" s="668"/>
      <c r="AS124" s="668"/>
      <c r="AT124" s="668"/>
      <c r="AU124" s="668"/>
      <c r="AV124" s="668"/>
      <c r="AW124" s="668"/>
      <c r="AX124" s="668"/>
      <c r="AY124" s="668"/>
      <c r="AZ124" s="668"/>
      <c r="BA124" s="668"/>
      <c r="BB124" s="668"/>
      <c r="BC124" s="668"/>
      <c r="BD124" s="668"/>
      <c r="BE124" s="668"/>
      <c r="BF124" s="668"/>
      <c r="BG124" s="668"/>
      <c r="BH124" s="668"/>
      <c r="BI124" s="668"/>
      <c r="BJ124" s="668"/>
      <c r="BK124" s="668"/>
      <c r="BL124" s="668"/>
      <c r="BM124" s="668"/>
      <c r="BN124" s="668"/>
      <c r="BO124" s="668"/>
      <c r="BP124" s="668"/>
      <c r="BQ124" s="668"/>
      <c r="BR124" s="668"/>
      <c r="BS124" s="668"/>
      <c r="BT124" s="668"/>
      <c r="BU124" s="668"/>
      <c r="BV124" s="668"/>
      <c r="BW124" s="668"/>
      <c r="BX124" s="668"/>
      <c r="BY124" s="668"/>
      <c r="BZ124" s="668"/>
      <c r="CA124" s="668"/>
    </row>
    <row r="125" spans="1:79" s="740" customFormat="1" hidden="1" outlineLevel="1" x14ac:dyDescent="0.25">
      <c r="A125" s="701"/>
      <c r="B125" s="700"/>
      <c r="C125" s="700"/>
      <c r="D125" s="700"/>
      <c r="E125" s="570" t="s">
        <v>1345</v>
      </c>
      <c r="F125" s="701" t="s">
        <v>601</v>
      </c>
      <c r="G125" s="711"/>
      <c r="H125" s="711"/>
      <c r="I125" s="711"/>
      <c r="J125" s="711"/>
      <c r="K125" s="711"/>
      <c r="L125" s="711"/>
      <c r="M125" s="711"/>
      <c r="N125" s="711"/>
      <c r="O125" s="711"/>
      <c r="P125" s="711"/>
      <c r="Q125" s="711"/>
      <c r="R125" s="711"/>
      <c r="S125" s="697"/>
      <c r="T125" s="697"/>
      <c r="U125" s="697"/>
      <c r="V125" s="697"/>
      <c r="W125" s="697"/>
      <c r="X125" s="697"/>
      <c r="Y125" s="697"/>
      <c r="Z125" s="697"/>
      <c r="AA125" s="697"/>
      <c r="AB125" s="697"/>
      <c r="AC125" s="697"/>
      <c r="AD125" s="698"/>
      <c r="AE125" s="697"/>
      <c r="AF125" s="697"/>
      <c r="AG125" s="698"/>
      <c r="AH125" s="698"/>
      <c r="AI125" s="698"/>
      <c r="AJ125" s="698"/>
      <c r="AK125" s="698"/>
      <c r="AL125" s="698"/>
      <c r="AM125" s="698"/>
      <c r="AN125" s="698"/>
      <c r="AO125" s="698"/>
      <c r="AP125" s="698"/>
      <c r="AQ125" s="698"/>
      <c r="AR125" s="698"/>
      <c r="AS125" s="698"/>
      <c r="AT125" s="698"/>
      <c r="AU125" s="698"/>
      <c r="AV125" s="698"/>
      <c r="AW125" s="698"/>
      <c r="AX125" s="698"/>
      <c r="AY125" s="698"/>
      <c r="AZ125" s="698"/>
      <c r="BA125" s="698"/>
      <c r="BB125" s="698"/>
      <c r="BC125" s="698"/>
      <c r="BD125" s="698"/>
      <c r="BE125" s="698"/>
      <c r="BF125" s="698"/>
      <c r="BG125" s="698"/>
      <c r="BH125" s="698"/>
      <c r="BI125" s="698"/>
      <c r="BJ125" s="698"/>
      <c r="BK125" s="698"/>
      <c r="BL125" s="698"/>
      <c r="BM125" s="698"/>
      <c r="BN125" s="698"/>
      <c r="BO125" s="698"/>
      <c r="BP125" s="698"/>
      <c r="BQ125" s="698"/>
      <c r="BR125" s="698"/>
      <c r="BS125" s="698"/>
      <c r="BT125" s="698"/>
      <c r="BU125" s="698"/>
      <c r="BV125" s="698"/>
      <c r="BW125" s="698"/>
      <c r="BX125" s="698"/>
      <c r="BY125" s="698"/>
      <c r="BZ125" s="698"/>
      <c r="CA125" s="698"/>
    </row>
    <row r="126" spans="1:79" s="740" customFormat="1" hidden="1" outlineLevel="1" x14ac:dyDescent="0.25">
      <c r="A126" s="656"/>
      <c r="B126" s="503"/>
      <c r="C126" s="503"/>
      <c r="D126" s="503"/>
      <c r="E126" s="570" t="s">
        <v>1327</v>
      </c>
      <c r="F126" s="656" t="s">
        <v>895</v>
      </c>
      <c r="G126" s="689"/>
      <c r="H126" s="689"/>
      <c r="I126" s="689"/>
      <c r="J126" s="689"/>
      <c r="K126" s="689"/>
      <c r="L126" s="689"/>
      <c r="M126" s="689"/>
      <c r="N126" s="689"/>
      <c r="O126" s="689"/>
      <c r="P126" s="689"/>
      <c r="Q126" s="689"/>
      <c r="R126" s="689"/>
      <c r="S126" s="671"/>
      <c r="T126" s="671"/>
      <c r="U126" s="671"/>
      <c r="V126" s="671"/>
      <c r="W126" s="671"/>
      <c r="X126" s="671"/>
      <c r="Y126" s="671"/>
      <c r="Z126" s="671"/>
      <c r="AA126" s="671"/>
      <c r="AB126" s="671"/>
      <c r="AC126" s="671"/>
      <c r="AD126" s="672"/>
      <c r="AE126" s="671"/>
      <c r="AF126" s="671"/>
      <c r="AG126" s="672"/>
      <c r="AH126" s="672"/>
      <c r="AI126" s="672"/>
      <c r="AJ126" s="672"/>
      <c r="AK126" s="672"/>
      <c r="AL126" s="672"/>
      <c r="AM126" s="672"/>
      <c r="AN126" s="672"/>
      <c r="AO126" s="672"/>
      <c r="AP126" s="672"/>
      <c r="AQ126" s="672"/>
      <c r="AR126" s="672"/>
      <c r="AS126" s="672"/>
      <c r="AT126" s="672"/>
      <c r="AU126" s="672"/>
      <c r="AV126" s="672"/>
      <c r="AW126" s="672"/>
      <c r="AX126" s="672"/>
      <c r="AY126" s="672"/>
      <c r="AZ126" s="672"/>
      <c r="BA126" s="672"/>
      <c r="BB126" s="672"/>
      <c r="BC126" s="672"/>
      <c r="BD126" s="672"/>
      <c r="BE126" s="672"/>
      <c r="BF126" s="672"/>
      <c r="BG126" s="672"/>
      <c r="BH126" s="672"/>
      <c r="BI126" s="672"/>
      <c r="BJ126" s="672"/>
      <c r="BK126" s="672"/>
      <c r="BL126" s="672"/>
      <c r="BM126" s="672"/>
      <c r="BN126" s="672"/>
      <c r="BO126" s="672"/>
      <c r="BP126" s="672"/>
      <c r="BQ126" s="672"/>
      <c r="BR126" s="672"/>
      <c r="BS126" s="672"/>
      <c r="BT126" s="672"/>
      <c r="BU126" s="672"/>
      <c r="BV126" s="672"/>
      <c r="BW126" s="672"/>
      <c r="BX126" s="672"/>
      <c r="BY126" s="672"/>
      <c r="BZ126" s="672"/>
      <c r="CA126" s="672"/>
    </row>
    <row r="127" spans="1:79" s="740" customFormat="1" hidden="1" outlineLevel="1" x14ac:dyDescent="0.25">
      <c r="A127" s="661"/>
      <c r="B127" s="503"/>
      <c r="C127" s="503"/>
      <c r="D127" s="503"/>
      <c r="E127" s="570" t="s">
        <v>1327</v>
      </c>
      <c r="F127" s="661" t="s">
        <v>906</v>
      </c>
      <c r="G127" s="689"/>
      <c r="H127" s="689"/>
      <c r="I127" s="689"/>
      <c r="J127" s="689"/>
      <c r="K127" s="689"/>
      <c r="L127" s="689"/>
      <c r="M127" s="689"/>
      <c r="N127" s="689"/>
      <c r="O127" s="689"/>
      <c r="P127" s="689"/>
      <c r="Q127" s="689"/>
      <c r="R127" s="689"/>
      <c r="S127" s="671"/>
      <c r="T127" s="671"/>
      <c r="U127" s="671"/>
      <c r="V127" s="671"/>
      <c r="W127" s="671"/>
      <c r="X127" s="671"/>
      <c r="Y127" s="671"/>
      <c r="Z127" s="671"/>
      <c r="AA127" s="671"/>
      <c r="AB127" s="671"/>
      <c r="AC127" s="671"/>
      <c r="AD127" s="672"/>
      <c r="AE127" s="671">
        <v>0</v>
      </c>
      <c r="AF127" s="671">
        <v>0</v>
      </c>
      <c r="AG127" s="672">
        <v>0</v>
      </c>
      <c r="AH127" s="672"/>
      <c r="AI127" s="672"/>
      <c r="AJ127" s="672"/>
      <c r="AK127" s="672"/>
      <c r="AL127" s="672"/>
      <c r="AM127" s="672"/>
      <c r="AN127" s="672"/>
      <c r="AO127" s="672"/>
      <c r="AP127" s="672"/>
      <c r="AQ127" s="672"/>
      <c r="AR127" s="672"/>
      <c r="AS127" s="672"/>
      <c r="AT127" s="672"/>
      <c r="AU127" s="672"/>
      <c r="AV127" s="672"/>
      <c r="AW127" s="672"/>
      <c r="AX127" s="672"/>
      <c r="AY127" s="672"/>
      <c r="AZ127" s="672"/>
      <c r="BA127" s="672"/>
      <c r="BB127" s="672"/>
      <c r="BC127" s="672"/>
      <c r="BD127" s="672"/>
      <c r="BE127" s="672"/>
      <c r="BF127" s="672"/>
      <c r="BG127" s="672"/>
      <c r="BH127" s="672"/>
      <c r="BI127" s="672"/>
      <c r="BJ127" s="672"/>
      <c r="BK127" s="672"/>
      <c r="BL127" s="672"/>
      <c r="BM127" s="672"/>
      <c r="BN127" s="672"/>
      <c r="BO127" s="672"/>
      <c r="BP127" s="672"/>
      <c r="BQ127" s="672"/>
      <c r="BR127" s="672"/>
      <c r="BS127" s="672"/>
      <c r="BT127" s="672"/>
      <c r="BU127" s="672"/>
      <c r="BV127" s="672"/>
      <c r="BW127" s="672"/>
      <c r="BX127" s="672"/>
      <c r="BY127" s="672"/>
      <c r="BZ127" s="672"/>
      <c r="CA127" s="672"/>
    </row>
    <row r="128" spans="1:79" s="740" customFormat="1" hidden="1" outlineLevel="1" x14ac:dyDescent="0.25">
      <c r="A128" s="661"/>
      <c r="B128" s="503"/>
      <c r="C128" s="503"/>
      <c r="D128" s="503"/>
      <c r="E128" s="570" t="s">
        <v>657</v>
      </c>
      <c r="F128" s="661" t="s">
        <v>641</v>
      </c>
      <c r="G128" s="689"/>
      <c r="H128" s="689"/>
      <c r="I128" s="689"/>
      <c r="J128" s="689"/>
      <c r="K128" s="689"/>
      <c r="L128" s="689"/>
      <c r="M128" s="689"/>
      <c r="N128" s="689"/>
      <c r="O128" s="689"/>
      <c r="P128" s="689"/>
      <c r="Q128" s="689"/>
      <c r="R128" s="689"/>
      <c r="S128" s="671"/>
      <c r="T128" s="671"/>
      <c r="U128" s="671"/>
      <c r="V128" s="671"/>
      <c r="W128" s="671"/>
      <c r="X128" s="671"/>
      <c r="Y128" s="671"/>
      <c r="Z128" s="671"/>
      <c r="AA128" s="671"/>
      <c r="AB128" s="671"/>
      <c r="AC128" s="671">
        <v>8513.98</v>
      </c>
      <c r="AD128" s="672"/>
      <c r="AE128" s="671">
        <v>8465</v>
      </c>
      <c r="AF128" s="671">
        <v>9068.99</v>
      </c>
      <c r="AG128" s="672">
        <v>8468.19</v>
      </c>
      <c r="AH128" s="672"/>
      <c r="AI128" s="672"/>
      <c r="AJ128" s="672"/>
      <c r="AK128" s="672"/>
      <c r="AL128" s="672"/>
      <c r="AM128" s="672"/>
      <c r="AN128" s="672"/>
      <c r="AO128" s="672"/>
      <c r="AP128" s="672"/>
      <c r="AQ128" s="672"/>
      <c r="AR128" s="672"/>
      <c r="AS128" s="672"/>
      <c r="AT128" s="672"/>
      <c r="AU128" s="672"/>
      <c r="AV128" s="672"/>
      <c r="AW128" s="672"/>
      <c r="AX128" s="672"/>
      <c r="AY128" s="672"/>
      <c r="AZ128" s="672"/>
      <c r="BA128" s="672"/>
      <c r="BB128" s="672"/>
      <c r="BC128" s="672"/>
      <c r="BD128" s="672"/>
      <c r="BE128" s="672"/>
      <c r="BF128" s="672"/>
      <c r="BG128" s="672"/>
      <c r="BH128" s="672"/>
      <c r="BI128" s="672"/>
      <c r="BJ128" s="672"/>
      <c r="BK128" s="672"/>
      <c r="BL128" s="672"/>
      <c r="BM128" s="672"/>
      <c r="BN128" s="672"/>
      <c r="BO128" s="672"/>
      <c r="BP128" s="672"/>
      <c r="BQ128" s="672"/>
      <c r="BR128" s="672"/>
      <c r="BS128" s="672"/>
      <c r="BT128" s="672"/>
      <c r="BU128" s="672"/>
      <c r="BV128" s="672"/>
      <c r="BW128" s="672"/>
      <c r="BX128" s="672"/>
      <c r="BY128" s="672"/>
      <c r="BZ128" s="672"/>
      <c r="CA128" s="672"/>
    </row>
    <row r="129" spans="1:79" s="740" customFormat="1" hidden="1" outlineLevel="1" x14ac:dyDescent="0.25">
      <c r="A129" s="661"/>
      <c r="B129" s="503"/>
      <c r="C129" s="503"/>
      <c r="D129" s="503"/>
      <c r="E129" s="570" t="s">
        <v>657</v>
      </c>
      <c r="F129" s="661" t="s">
        <v>1322</v>
      </c>
      <c r="G129" s="689"/>
      <c r="H129" s="689"/>
      <c r="I129" s="689"/>
      <c r="J129" s="689"/>
      <c r="K129" s="689"/>
      <c r="L129" s="689"/>
      <c r="M129" s="689"/>
      <c r="N129" s="689"/>
      <c r="O129" s="689"/>
      <c r="P129" s="689"/>
      <c r="Q129" s="689"/>
      <c r="R129" s="689"/>
      <c r="S129" s="671"/>
      <c r="T129" s="671"/>
      <c r="U129" s="671"/>
      <c r="V129" s="671"/>
      <c r="W129" s="671"/>
      <c r="X129" s="671"/>
      <c r="Y129" s="671"/>
      <c r="Z129" s="671"/>
      <c r="AA129" s="671"/>
      <c r="AB129" s="671"/>
      <c r="AC129" s="671"/>
      <c r="AD129" s="672"/>
      <c r="AE129" s="671">
        <v>292.89999999999998</v>
      </c>
      <c r="AF129" s="671">
        <v>222</v>
      </c>
      <c r="AG129" s="672">
        <v>290.07</v>
      </c>
      <c r="AH129" s="672"/>
      <c r="AI129" s="672"/>
      <c r="AJ129" s="672"/>
      <c r="AK129" s="672"/>
      <c r="AL129" s="672"/>
      <c r="AM129" s="672"/>
      <c r="AN129" s="672"/>
      <c r="AO129" s="672"/>
      <c r="AP129" s="672"/>
      <c r="AQ129" s="672"/>
      <c r="AR129" s="672"/>
      <c r="AS129" s="672"/>
      <c r="AT129" s="672"/>
      <c r="AU129" s="672"/>
      <c r="AV129" s="672"/>
      <c r="AW129" s="672"/>
      <c r="AX129" s="672"/>
      <c r="AY129" s="672"/>
      <c r="AZ129" s="672"/>
      <c r="BA129" s="672"/>
      <c r="BB129" s="672"/>
      <c r="BC129" s="672"/>
      <c r="BD129" s="672"/>
      <c r="BE129" s="672"/>
      <c r="BF129" s="672"/>
      <c r="BG129" s="672"/>
      <c r="BH129" s="672"/>
      <c r="BI129" s="672"/>
      <c r="BJ129" s="672"/>
      <c r="BK129" s="672"/>
      <c r="BL129" s="672"/>
      <c r="BM129" s="672"/>
      <c r="BN129" s="672"/>
      <c r="BO129" s="672"/>
      <c r="BP129" s="672"/>
      <c r="BQ129" s="672"/>
      <c r="BR129" s="672"/>
      <c r="BS129" s="672"/>
      <c r="BT129" s="672"/>
      <c r="BU129" s="672"/>
      <c r="BV129" s="672"/>
      <c r="BW129" s="672"/>
      <c r="BX129" s="672"/>
      <c r="BY129" s="672"/>
      <c r="BZ129" s="672"/>
      <c r="CA129" s="672"/>
    </row>
    <row r="130" spans="1:79" s="740" customFormat="1" hidden="1" outlineLevel="1" x14ac:dyDescent="0.25">
      <c r="A130" s="661"/>
      <c r="B130" s="503"/>
      <c r="C130" s="503"/>
      <c r="D130" s="503"/>
      <c r="E130" s="570" t="s">
        <v>1327</v>
      </c>
      <c r="F130" s="661" t="s">
        <v>896</v>
      </c>
      <c r="G130" s="689"/>
      <c r="H130" s="689"/>
      <c r="I130" s="689"/>
      <c r="J130" s="689"/>
      <c r="K130" s="689"/>
      <c r="L130" s="689"/>
      <c r="M130" s="689"/>
      <c r="N130" s="689"/>
      <c r="O130" s="689"/>
      <c r="P130" s="689"/>
      <c r="Q130" s="689"/>
      <c r="R130" s="689"/>
      <c r="S130" s="671">
        <v>0</v>
      </c>
      <c r="T130" s="671">
        <v>0</v>
      </c>
      <c r="U130" s="671">
        <v>0</v>
      </c>
      <c r="V130" s="671">
        <v>0</v>
      </c>
      <c r="W130" s="671">
        <v>0</v>
      </c>
      <c r="X130" s="671">
        <v>0</v>
      </c>
      <c r="Y130" s="671">
        <v>0</v>
      </c>
      <c r="Z130" s="671">
        <v>0</v>
      </c>
      <c r="AA130" s="671">
        <v>0</v>
      </c>
      <c r="AB130" s="671">
        <v>0</v>
      </c>
      <c r="AC130" s="671">
        <v>0</v>
      </c>
      <c r="AD130" s="672">
        <v>0</v>
      </c>
      <c r="AE130" s="671">
        <v>174</v>
      </c>
      <c r="AF130" s="671">
        <v>0</v>
      </c>
      <c r="AG130" s="672">
        <v>158.97999999999999</v>
      </c>
      <c r="AH130" s="672"/>
      <c r="AI130" s="672"/>
      <c r="AJ130" s="672"/>
      <c r="AK130" s="672"/>
      <c r="AL130" s="672"/>
      <c r="AM130" s="672"/>
      <c r="AN130" s="672"/>
      <c r="AO130" s="672"/>
      <c r="AP130" s="672"/>
      <c r="AQ130" s="672"/>
      <c r="AR130" s="672"/>
      <c r="AS130" s="672"/>
      <c r="AT130" s="672"/>
      <c r="AU130" s="672"/>
      <c r="AV130" s="672"/>
      <c r="AW130" s="672"/>
      <c r="AX130" s="672"/>
      <c r="AY130" s="672"/>
      <c r="AZ130" s="672"/>
      <c r="BA130" s="672"/>
      <c r="BB130" s="672"/>
      <c r="BC130" s="672"/>
      <c r="BD130" s="672"/>
      <c r="BE130" s="672"/>
      <c r="BF130" s="672"/>
      <c r="BG130" s="672"/>
      <c r="BH130" s="672"/>
      <c r="BI130" s="672"/>
      <c r="BJ130" s="672"/>
      <c r="BK130" s="672"/>
      <c r="BL130" s="672"/>
      <c r="BM130" s="672"/>
      <c r="BN130" s="672"/>
      <c r="BO130" s="672"/>
      <c r="BP130" s="672"/>
      <c r="BQ130" s="672"/>
      <c r="BR130" s="672"/>
      <c r="BS130" s="672"/>
      <c r="BT130" s="672"/>
      <c r="BU130" s="672"/>
      <c r="BV130" s="672"/>
      <c r="BW130" s="672"/>
      <c r="BX130" s="672"/>
      <c r="BY130" s="672"/>
      <c r="BZ130" s="672"/>
      <c r="CA130" s="672"/>
    </row>
    <row r="131" spans="1:79" s="740" customFormat="1" hidden="1" outlineLevel="1" x14ac:dyDescent="0.25">
      <c r="A131" s="661"/>
      <c r="B131" s="503"/>
      <c r="C131" s="503"/>
      <c r="D131" s="503"/>
      <c r="E131" s="570" t="s">
        <v>1327</v>
      </c>
      <c r="F131" s="661" t="s">
        <v>897</v>
      </c>
      <c r="G131" s="689"/>
      <c r="H131" s="689"/>
      <c r="I131" s="689"/>
      <c r="J131" s="689"/>
      <c r="K131" s="689"/>
      <c r="L131" s="689"/>
      <c r="M131" s="689"/>
      <c r="N131" s="689"/>
      <c r="O131" s="689"/>
      <c r="P131" s="689"/>
      <c r="Q131" s="689"/>
      <c r="R131" s="689"/>
      <c r="S131" s="671">
        <v>0</v>
      </c>
      <c r="T131" s="671">
        <v>0</v>
      </c>
      <c r="U131" s="671">
        <v>0</v>
      </c>
      <c r="V131" s="671">
        <v>0</v>
      </c>
      <c r="W131" s="671">
        <v>0</v>
      </c>
      <c r="X131" s="671">
        <v>0</v>
      </c>
      <c r="Y131" s="671">
        <v>0</v>
      </c>
      <c r="Z131" s="671">
        <v>0</v>
      </c>
      <c r="AA131" s="671">
        <v>0</v>
      </c>
      <c r="AB131" s="671">
        <v>0</v>
      </c>
      <c r="AC131" s="671">
        <v>243.98</v>
      </c>
      <c r="AD131" s="672">
        <v>0</v>
      </c>
      <c r="AE131" s="671">
        <v>0</v>
      </c>
      <c r="AF131" s="671">
        <v>0</v>
      </c>
      <c r="AG131" s="672">
        <v>0</v>
      </c>
      <c r="AH131" s="672"/>
      <c r="AI131" s="672"/>
      <c r="AJ131" s="672"/>
      <c r="AK131" s="672"/>
      <c r="AL131" s="672"/>
      <c r="AM131" s="672"/>
      <c r="AN131" s="672"/>
      <c r="AO131" s="672"/>
      <c r="AP131" s="672"/>
      <c r="AQ131" s="672"/>
      <c r="AR131" s="672"/>
      <c r="AS131" s="672"/>
      <c r="AT131" s="672"/>
      <c r="AU131" s="672"/>
      <c r="AV131" s="672"/>
      <c r="AW131" s="672"/>
      <c r="AX131" s="672"/>
      <c r="AY131" s="672"/>
      <c r="AZ131" s="672"/>
      <c r="BA131" s="672"/>
      <c r="BB131" s="672"/>
      <c r="BC131" s="672"/>
      <c r="BD131" s="672"/>
      <c r="BE131" s="672"/>
      <c r="BF131" s="672"/>
      <c r="BG131" s="672"/>
      <c r="BH131" s="672"/>
      <c r="BI131" s="672"/>
      <c r="BJ131" s="672"/>
      <c r="BK131" s="672"/>
      <c r="BL131" s="672"/>
      <c r="BM131" s="672"/>
      <c r="BN131" s="672"/>
      <c r="BO131" s="672"/>
      <c r="BP131" s="672"/>
      <c r="BQ131" s="672"/>
      <c r="BR131" s="672"/>
      <c r="BS131" s="672"/>
      <c r="BT131" s="672"/>
      <c r="BU131" s="672"/>
      <c r="BV131" s="672"/>
      <c r="BW131" s="672"/>
      <c r="BX131" s="672"/>
      <c r="BY131" s="672"/>
      <c r="BZ131" s="672"/>
      <c r="CA131" s="672"/>
    </row>
    <row r="132" spans="1:79" s="740" customFormat="1" hidden="1" outlineLevel="1" x14ac:dyDescent="0.25">
      <c r="A132" s="661"/>
      <c r="B132" s="503"/>
      <c r="C132" s="503"/>
      <c r="D132" s="503"/>
      <c r="E132" s="570" t="s">
        <v>657</v>
      </c>
      <c r="F132" s="661" t="s">
        <v>898</v>
      </c>
      <c r="G132" s="689"/>
      <c r="H132" s="689"/>
      <c r="I132" s="689"/>
      <c r="J132" s="689"/>
      <c r="K132" s="689"/>
      <c r="L132" s="689"/>
      <c r="M132" s="689"/>
      <c r="N132" s="689"/>
      <c r="O132" s="689"/>
      <c r="P132" s="689"/>
      <c r="Q132" s="689"/>
      <c r="R132" s="689"/>
      <c r="S132" s="671">
        <v>0</v>
      </c>
      <c r="T132" s="671">
        <v>0</v>
      </c>
      <c r="U132" s="671">
        <v>0</v>
      </c>
      <c r="V132" s="671">
        <v>0</v>
      </c>
      <c r="W132" s="671">
        <v>0</v>
      </c>
      <c r="X132" s="671">
        <v>0</v>
      </c>
      <c r="Y132" s="671">
        <v>0</v>
      </c>
      <c r="Z132" s="671">
        <v>0</v>
      </c>
      <c r="AA132" s="671">
        <v>0</v>
      </c>
      <c r="AB132" s="671">
        <v>0</v>
      </c>
      <c r="AC132" s="671">
        <v>0</v>
      </c>
      <c r="AD132" s="672">
        <v>9720.32</v>
      </c>
      <c r="AE132" s="671"/>
      <c r="AF132" s="671"/>
      <c r="AG132" s="672"/>
      <c r="AH132" s="672"/>
      <c r="AI132" s="672"/>
      <c r="AJ132" s="672"/>
      <c r="AK132" s="672"/>
      <c r="AL132" s="672"/>
      <c r="AM132" s="672"/>
      <c r="AN132" s="672"/>
      <c r="AO132" s="672"/>
      <c r="AP132" s="672"/>
      <c r="AQ132" s="672"/>
      <c r="AR132" s="672"/>
      <c r="AS132" s="672"/>
      <c r="AT132" s="672"/>
      <c r="AU132" s="672"/>
      <c r="AV132" s="672"/>
      <c r="AW132" s="672"/>
      <c r="AX132" s="672"/>
      <c r="AY132" s="672"/>
      <c r="AZ132" s="672"/>
      <c r="BA132" s="672"/>
      <c r="BB132" s="672"/>
      <c r="BC132" s="672"/>
      <c r="BD132" s="672"/>
      <c r="BE132" s="672"/>
      <c r="BF132" s="672"/>
      <c r="BG132" s="672"/>
      <c r="BH132" s="672"/>
      <c r="BI132" s="672"/>
      <c r="BJ132" s="672"/>
      <c r="BK132" s="672"/>
      <c r="BL132" s="672"/>
      <c r="BM132" s="672"/>
      <c r="BN132" s="672"/>
      <c r="BO132" s="672"/>
      <c r="BP132" s="672"/>
      <c r="BQ132" s="672"/>
      <c r="BR132" s="672"/>
      <c r="BS132" s="672"/>
      <c r="BT132" s="672"/>
      <c r="BU132" s="672"/>
      <c r="BV132" s="672"/>
      <c r="BW132" s="672"/>
      <c r="BX132" s="672"/>
      <c r="BY132" s="672"/>
      <c r="BZ132" s="672"/>
      <c r="CA132" s="672"/>
    </row>
    <row r="133" spans="1:79" s="740" customFormat="1" hidden="1" outlineLevel="1" x14ac:dyDescent="0.25">
      <c r="A133" s="661"/>
      <c r="B133" s="503"/>
      <c r="C133" s="503"/>
      <c r="D133" s="503"/>
      <c r="E133" s="570" t="s">
        <v>1327</v>
      </c>
      <c r="F133" s="661" t="s">
        <v>899</v>
      </c>
      <c r="G133" s="689"/>
      <c r="H133" s="689"/>
      <c r="I133" s="689"/>
      <c r="J133" s="689"/>
      <c r="K133" s="689"/>
      <c r="L133" s="689"/>
      <c r="M133" s="689"/>
      <c r="N133" s="689"/>
      <c r="O133" s="689"/>
      <c r="P133" s="689"/>
      <c r="Q133" s="689"/>
      <c r="R133" s="689"/>
      <c r="S133" s="671">
        <v>0</v>
      </c>
      <c r="T133" s="671">
        <v>0</v>
      </c>
      <c r="U133" s="671">
        <v>0</v>
      </c>
      <c r="V133" s="671">
        <v>0</v>
      </c>
      <c r="W133" s="671">
        <v>0</v>
      </c>
      <c r="X133" s="671">
        <v>0</v>
      </c>
      <c r="Y133" s="671">
        <v>0</v>
      </c>
      <c r="Z133" s="671">
        <v>0</v>
      </c>
      <c r="AA133" s="671">
        <v>0</v>
      </c>
      <c r="AB133" s="671">
        <v>0</v>
      </c>
      <c r="AC133" s="671">
        <v>0</v>
      </c>
      <c r="AD133" s="672">
        <v>0</v>
      </c>
      <c r="AE133" s="671">
        <v>0</v>
      </c>
      <c r="AF133" s="671">
        <v>0</v>
      </c>
      <c r="AG133" s="672">
        <v>0</v>
      </c>
      <c r="AH133" s="672"/>
      <c r="AI133" s="672"/>
      <c r="AJ133" s="672"/>
      <c r="AK133" s="672"/>
      <c r="AL133" s="672"/>
      <c r="AM133" s="672"/>
      <c r="AN133" s="672"/>
      <c r="AO133" s="672"/>
      <c r="AP133" s="672"/>
      <c r="AQ133" s="672"/>
      <c r="AR133" s="672"/>
      <c r="AS133" s="672"/>
      <c r="AT133" s="672"/>
      <c r="AU133" s="672"/>
      <c r="AV133" s="672"/>
      <c r="AW133" s="672"/>
      <c r="AX133" s="672"/>
      <c r="AY133" s="672"/>
      <c r="AZ133" s="672"/>
      <c r="BA133" s="672"/>
      <c r="BB133" s="672"/>
      <c r="BC133" s="672"/>
      <c r="BD133" s="672"/>
      <c r="BE133" s="672"/>
      <c r="BF133" s="672"/>
      <c r="BG133" s="672"/>
      <c r="BH133" s="672"/>
      <c r="BI133" s="672"/>
      <c r="BJ133" s="672"/>
      <c r="BK133" s="672"/>
      <c r="BL133" s="672"/>
      <c r="BM133" s="672"/>
      <c r="BN133" s="672"/>
      <c r="BO133" s="672"/>
      <c r="BP133" s="672"/>
      <c r="BQ133" s="672"/>
      <c r="BR133" s="672"/>
      <c r="BS133" s="672"/>
      <c r="BT133" s="672"/>
      <c r="BU133" s="672"/>
      <c r="BV133" s="672"/>
      <c r="BW133" s="672"/>
      <c r="BX133" s="672"/>
      <c r="BY133" s="672"/>
      <c r="BZ133" s="672"/>
      <c r="CA133" s="672"/>
    </row>
    <row r="134" spans="1:79" s="740" customFormat="1" hidden="1" outlineLevel="1" x14ac:dyDescent="0.25">
      <c r="A134" s="661"/>
      <c r="B134" s="503"/>
      <c r="C134" s="503"/>
      <c r="D134" s="503"/>
      <c r="E134" s="570" t="s">
        <v>1327</v>
      </c>
      <c r="F134" s="661" t="s">
        <v>900</v>
      </c>
      <c r="G134" s="689"/>
      <c r="H134" s="689"/>
      <c r="I134" s="689"/>
      <c r="J134" s="689"/>
      <c r="K134" s="689"/>
      <c r="L134" s="689"/>
      <c r="M134" s="689"/>
      <c r="N134" s="689"/>
      <c r="O134" s="689"/>
      <c r="P134" s="689"/>
      <c r="Q134" s="689"/>
      <c r="R134" s="689"/>
      <c r="S134" s="671">
        <v>0</v>
      </c>
      <c r="T134" s="671">
        <v>0</v>
      </c>
      <c r="U134" s="671">
        <v>0</v>
      </c>
      <c r="V134" s="671">
        <v>0</v>
      </c>
      <c r="W134" s="671">
        <v>0</v>
      </c>
      <c r="X134" s="671">
        <v>0</v>
      </c>
      <c r="Y134" s="671">
        <v>0</v>
      </c>
      <c r="Z134" s="671">
        <v>0</v>
      </c>
      <c r="AA134" s="671">
        <v>0</v>
      </c>
      <c r="AB134" s="671">
        <v>0</v>
      </c>
      <c r="AC134" s="671">
        <v>0</v>
      </c>
      <c r="AD134" s="672">
        <v>0</v>
      </c>
      <c r="AE134" s="671">
        <v>0</v>
      </c>
      <c r="AF134" s="671">
        <v>0</v>
      </c>
      <c r="AG134" s="672">
        <v>0</v>
      </c>
      <c r="AH134" s="672"/>
      <c r="AI134" s="672"/>
      <c r="AJ134" s="672"/>
      <c r="AK134" s="672"/>
      <c r="AL134" s="672"/>
      <c r="AM134" s="672"/>
      <c r="AN134" s="672"/>
      <c r="AO134" s="672"/>
      <c r="AP134" s="672"/>
      <c r="AQ134" s="672"/>
      <c r="AR134" s="672"/>
      <c r="AS134" s="672"/>
      <c r="AT134" s="672"/>
      <c r="AU134" s="672"/>
      <c r="AV134" s="672"/>
      <c r="AW134" s="672"/>
      <c r="AX134" s="672"/>
      <c r="AY134" s="672"/>
      <c r="AZ134" s="672"/>
      <c r="BA134" s="672"/>
      <c r="BB134" s="672"/>
      <c r="BC134" s="672"/>
      <c r="BD134" s="672"/>
      <c r="BE134" s="672"/>
      <c r="BF134" s="672"/>
      <c r="BG134" s="672"/>
      <c r="BH134" s="672"/>
      <c r="BI134" s="672"/>
      <c r="BJ134" s="672"/>
      <c r="BK134" s="672"/>
      <c r="BL134" s="672"/>
      <c r="BM134" s="672"/>
      <c r="BN134" s="672"/>
      <c r="BO134" s="672"/>
      <c r="BP134" s="672"/>
      <c r="BQ134" s="672"/>
      <c r="BR134" s="672"/>
      <c r="BS134" s="672"/>
      <c r="BT134" s="672"/>
      <c r="BU134" s="672"/>
      <c r="BV134" s="672"/>
      <c r="BW134" s="672"/>
      <c r="BX134" s="672"/>
      <c r="BY134" s="672"/>
      <c r="BZ134" s="672"/>
      <c r="CA134" s="672"/>
    </row>
    <row r="135" spans="1:79" s="740" customFormat="1" hidden="1" outlineLevel="1" x14ac:dyDescent="0.25">
      <c r="A135" s="657"/>
      <c r="B135" s="503"/>
      <c r="C135" s="503"/>
      <c r="D135" s="503"/>
      <c r="E135" s="570" t="s">
        <v>49</v>
      </c>
      <c r="F135" s="657" t="s">
        <v>901</v>
      </c>
      <c r="G135" s="679">
        <f t="shared" ref="G135:R135" si="38">SUM(G126:G134)</f>
        <v>0</v>
      </c>
      <c r="H135" s="679">
        <f t="shared" si="38"/>
        <v>0</v>
      </c>
      <c r="I135" s="679">
        <f t="shared" si="38"/>
        <v>0</v>
      </c>
      <c r="J135" s="679">
        <f t="shared" si="38"/>
        <v>0</v>
      </c>
      <c r="K135" s="679">
        <f t="shared" si="38"/>
        <v>0</v>
      </c>
      <c r="L135" s="679">
        <f t="shared" si="38"/>
        <v>0</v>
      </c>
      <c r="M135" s="679">
        <f t="shared" si="38"/>
        <v>0</v>
      </c>
      <c r="N135" s="679">
        <f t="shared" si="38"/>
        <v>0</v>
      </c>
      <c r="O135" s="679">
        <f t="shared" si="38"/>
        <v>0</v>
      </c>
      <c r="P135" s="679">
        <f t="shared" si="38"/>
        <v>0</v>
      </c>
      <c r="Q135" s="679">
        <f t="shared" si="38"/>
        <v>0</v>
      </c>
      <c r="R135" s="679">
        <f t="shared" si="38"/>
        <v>0</v>
      </c>
      <c r="S135" s="679">
        <f t="shared" ref="S135:AB135" si="39">ROUND(SUM(S126:S134),5)</f>
        <v>0</v>
      </c>
      <c r="T135" s="679">
        <f t="shared" si="39"/>
        <v>0</v>
      </c>
      <c r="U135" s="679">
        <f t="shared" si="39"/>
        <v>0</v>
      </c>
      <c r="V135" s="679">
        <f t="shared" si="39"/>
        <v>0</v>
      </c>
      <c r="W135" s="679">
        <f t="shared" si="39"/>
        <v>0</v>
      </c>
      <c r="X135" s="679">
        <f t="shared" si="39"/>
        <v>0</v>
      </c>
      <c r="Y135" s="679">
        <f t="shared" si="39"/>
        <v>0</v>
      </c>
      <c r="Z135" s="679">
        <f t="shared" si="39"/>
        <v>0</v>
      </c>
      <c r="AA135" s="679">
        <f t="shared" si="39"/>
        <v>0</v>
      </c>
      <c r="AB135" s="679">
        <f t="shared" si="39"/>
        <v>0</v>
      </c>
      <c r="AC135" s="679">
        <f>ROUND(SUM(AC126:AC134),5)</f>
        <v>8757.9599999999991</v>
      </c>
      <c r="AD135" s="679">
        <v>9720.32</v>
      </c>
      <c r="AE135" s="679">
        <f>ROUND(SUM(AE126:AE134),5)</f>
        <v>8931.9</v>
      </c>
      <c r="AF135" s="679">
        <f>ROUND(SUM(AF126:AF134),5)</f>
        <v>9290.99</v>
      </c>
      <c r="AG135" s="679">
        <v>8917.24</v>
      </c>
      <c r="AH135" s="679">
        <f t="shared" ref="AH135:BJ135" si="40">SUM(AH126:AH134)</f>
        <v>0</v>
      </c>
      <c r="AI135" s="679">
        <f t="shared" si="40"/>
        <v>0</v>
      </c>
      <c r="AJ135" s="679">
        <f t="shared" si="40"/>
        <v>0</v>
      </c>
      <c r="AK135" s="679">
        <f t="shared" si="40"/>
        <v>0</v>
      </c>
      <c r="AL135" s="679">
        <f t="shared" si="40"/>
        <v>0</v>
      </c>
      <c r="AM135" s="679">
        <f t="shared" si="40"/>
        <v>0</v>
      </c>
      <c r="AN135" s="679">
        <f t="shared" si="40"/>
        <v>0</v>
      </c>
      <c r="AO135" s="679">
        <f t="shared" si="40"/>
        <v>0</v>
      </c>
      <c r="AP135" s="679">
        <f t="shared" si="40"/>
        <v>0</v>
      </c>
      <c r="AQ135" s="679">
        <f t="shared" si="40"/>
        <v>0</v>
      </c>
      <c r="AR135" s="679">
        <f t="shared" si="40"/>
        <v>0</v>
      </c>
      <c r="AS135" s="679">
        <f t="shared" si="40"/>
        <v>0</v>
      </c>
      <c r="AT135" s="679">
        <f t="shared" si="40"/>
        <v>0</v>
      </c>
      <c r="AU135" s="679">
        <f t="shared" si="40"/>
        <v>0</v>
      </c>
      <c r="AV135" s="679">
        <f t="shared" si="40"/>
        <v>0</v>
      </c>
      <c r="AW135" s="679">
        <f t="shared" si="40"/>
        <v>0</v>
      </c>
      <c r="AX135" s="679">
        <f t="shared" si="40"/>
        <v>0</v>
      </c>
      <c r="AY135" s="679">
        <f t="shared" si="40"/>
        <v>0</v>
      </c>
      <c r="AZ135" s="679">
        <f t="shared" si="40"/>
        <v>0</v>
      </c>
      <c r="BA135" s="679">
        <f t="shared" si="40"/>
        <v>0</v>
      </c>
      <c r="BB135" s="679">
        <f t="shared" si="40"/>
        <v>0</v>
      </c>
      <c r="BC135" s="679">
        <f t="shared" si="40"/>
        <v>0</v>
      </c>
      <c r="BD135" s="679">
        <f t="shared" si="40"/>
        <v>0</v>
      </c>
      <c r="BE135" s="679">
        <f t="shared" si="40"/>
        <v>0</v>
      </c>
      <c r="BF135" s="679">
        <f t="shared" si="40"/>
        <v>0</v>
      </c>
      <c r="BG135" s="679">
        <f t="shared" si="40"/>
        <v>0</v>
      </c>
      <c r="BH135" s="679">
        <f t="shared" si="40"/>
        <v>0</v>
      </c>
      <c r="BI135" s="679">
        <f t="shared" si="40"/>
        <v>0</v>
      </c>
      <c r="BJ135" s="679">
        <f t="shared" si="40"/>
        <v>0</v>
      </c>
      <c r="BK135" s="679">
        <f t="shared" ref="BK135:CA135" si="41">SUM(BK126:BK134)</f>
        <v>0</v>
      </c>
      <c r="BL135" s="679">
        <f t="shared" si="41"/>
        <v>0</v>
      </c>
      <c r="BM135" s="679">
        <f t="shared" si="41"/>
        <v>0</v>
      </c>
      <c r="BN135" s="679">
        <f t="shared" si="41"/>
        <v>0</v>
      </c>
      <c r="BO135" s="679">
        <f t="shared" si="41"/>
        <v>0</v>
      </c>
      <c r="BP135" s="679">
        <f t="shared" si="41"/>
        <v>0</v>
      </c>
      <c r="BQ135" s="679">
        <f t="shared" si="41"/>
        <v>0</v>
      </c>
      <c r="BR135" s="679">
        <f t="shared" si="41"/>
        <v>0</v>
      </c>
      <c r="BS135" s="679">
        <f t="shared" si="41"/>
        <v>0</v>
      </c>
      <c r="BT135" s="679">
        <f t="shared" si="41"/>
        <v>0</v>
      </c>
      <c r="BU135" s="679">
        <f t="shared" si="41"/>
        <v>0</v>
      </c>
      <c r="BV135" s="679">
        <f t="shared" si="41"/>
        <v>0</v>
      </c>
      <c r="BW135" s="679">
        <f t="shared" si="41"/>
        <v>0</v>
      </c>
      <c r="BX135" s="679">
        <f t="shared" si="41"/>
        <v>0</v>
      </c>
      <c r="BY135" s="679">
        <f t="shared" si="41"/>
        <v>0</v>
      </c>
      <c r="BZ135" s="679">
        <f t="shared" si="41"/>
        <v>0</v>
      </c>
      <c r="CA135" s="679">
        <f t="shared" si="41"/>
        <v>0</v>
      </c>
    </row>
    <row r="136" spans="1:79" s="740" customFormat="1" hidden="1" outlineLevel="1" x14ac:dyDescent="0.25">
      <c r="A136" s="701"/>
      <c r="B136" s="700"/>
      <c r="C136" s="700"/>
      <c r="D136" s="700"/>
      <c r="E136" s="570" t="s">
        <v>1344</v>
      </c>
      <c r="F136" s="701" t="s">
        <v>626</v>
      </c>
      <c r="G136" s="711"/>
      <c r="H136" s="712"/>
      <c r="I136" s="712"/>
      <c r="J136" s="712"/>
      <c r="K136" s="712"/>
      <c r="L136" s="712"/>
      <c r="M136" s="712"/>
      <c r="N136" s="712"/>
      <c r="O136" s="712"/>
      <c r="P136" s="711"/>
      <c r="Q136" s="711"/>
      <c r="R136" s="711"/>
      <c r="S136" s="697"/>
      <c r="T136" s="697"/>
      <c r="U136" s="697"/>
      <c r="V136" s="697"/>
      <c r="W136" s="697"/>
      <c r="X136" s="697"/>
      <c r="Y136" s="697"/>
      <c r="Z136" s="697"/>
      <c r="AA136" s="697"/>
      <c r="AB136" s="697"/>
      <c r="AC136" s="697"/>
      <c r="AD136" s="698"/>
      <c r="AE136" s="697"/>
      <c r="AF136" s="697"/>
      <c r="AG136" s="698"/>
      <c r="AH136" s="698"/>
      <c r="AI136" s="698"/>
      <c r="AJ136" s="698"/>
      <c r="AK136" s="698"/>
      <c r="AL136" s="698"/>
      <c r="AM136" s="698"/>
      <c r="AN136" s="698"/>
      <c r="AO136" s="698"/>
      <c r="AP136" s="698"/>
      <c r="AQ136" s="698"/>
      <c r="AR136" s="698"/>
      <c r="AS136" s="698"/>
      <c r="AT136" s="698"/>
      <c r="AU136" s="698"/>
      <c r="AV136" s="698"/>
      <c r="AW136" s="698"/>
      <c r="AX136" s="698"/>
      <c r="AY136" s="698"/>
      <c r="AZ136" s="698"/>
      <c r="BA136" s="698"/>
      <c r="BB136" s="698"/>
      <c r="BC136" s="698"/>
      <c r="BD136" s="698"/>
      <c r="BE136" s="698"/>
      <c r="BF136" s="698"/>
      <c r="BG136" s="698"/>
      <c r="BH136" s="698"/>
      <c r="BI136" s="698"/>
      <c r="BJ136" s="698"/>
      <c r="BK136" s="698"/>
      <c r="BL136" s="698"/>
      <c r="BM136" s="698"/>
      <c r="BN136" s="698"/>
      <c r="BO136" s="698"/>
      <c r="BP136" s="698"/>
      <c r="BQ136" s="698"/>
      <c r="BR136" s="698"/>
      <c r="BS136" s="698"/>
      <c r="BT136" s="698"/>
      <c r="BU136" s="698"/>
      <c r="BV136" s="698"/>
      <c r="BW136" s="698"/>
      <c r="BX136" s="698"/>
      <c r="BY136" s="698"/>
      <c r="BZ136" s="698"/>
      <c r="CA136" s="698"/>
    </row>
    <row r="137" spans="1:79" s="451" customFormat="1" hidden="1" outlineLevel="1" x14ac:dyDescent="0.25">
      <c r="A137" s="661"/>
      <c r="B137" s="79"/>
      <c r="C137" s="79"/>
      <c r="D137" s="79"/>
      <c r="E137" s="570" t="s">
        <v>1344</v>
      </c>
      <c r="F137" s="661" t="s">
        <v>627</v>
      </c>
      <c r="G137" s="715">
        <v>18.760000000000002</v>
      </c>
      <c r="H137" s="686">
        <v>19.34</v>
      </c>
      <c r="I137" s="686">
        <v>7.18</v>
      </c>
      <c r="J137" s="686">
        <v>2.76</v>
      </c>
      <c r="K137" s="686">
        <v>0.96</v>
      </c>
      <c r="L137" s="686">
        <v>2.35</v>
      </c>
      <c r="M137" s="686">
        <v>8.42</v>
      </c>
      <c r="N137" s="686">
        <v>8.6</v>
      </c>
      <c r="O137" s="686">
        <v>1.63</v>
      </c>
      <c r="P137" s="715">
        <v>0</v>
      </c>
      <c r="Q137" s="715">
        <v>0</v>
      </c>
      <c r="R137" s="715">
        <v>0.35</v>
      </c>
      <c r="S137" s="667">
        <v>35.450000000000003</v>
      </c>
      <c r="T137" s="667">
        <v>36.22</v>
      </c>
      <c r="U137" s="667">
        <v>16.43</v>
      </c>
      <c r="V137" s="667">
        <v>7.38</v>
      </c>
      <c r="W137" s="667">
        <v>1.1100000000000001</v>
      </c>
      <c r="X137" s="667">
        <v>5.57</v>
      </c>
      <c r="Y137" s="667">
        <v>3.11</v>
      </c>
      <c r="Z137" s="667">
        <v>6.56</v>
      </c>
      <c r="AA137" s="667">
        <v>4.93</v>
      </c>
      <c r="AB137" s="667">
        <v>0</v>
      </c>
      <c r="AC137" s="667">
        <v>0</v>
      </c>
      <c r="AD137" s="677">
        <v>4.9000000000000004</v>
      </c>
      <c r="AE137" s="667">
        <v>63.21</v>
      </c>
      <c r="AF137" s="667">
        <v>25.63</v>
      </c>
      <c r="AG137" s="677">
        <v>1.78</v>
      </c>
      <c r="AH137" s="677"/>
      <c r="AI137" s="677"/>
      <c r="AJ137" s="677"/>
      <c r="AK137" s="677"/>
      <c r="AL137" s="677"/>
      <c r="AM137" s="677"/>
      <c r="AN137" s="677"/>
      <c r="AO137" s="677"/>
      <c r="AP137" s="677"/>
      <c r="AQ137" s="677"/>
      <c r="AR137" s="677"/>
      <c r="AS137" s="677"/>
      <c r="AT137" s="677"/>
      <c r="AU137" s="677"/>
      <c r="AV137" s="677"/>
      <c r="AW137" s="677"/>
      <c r="AX137" s="677"/>
      <c r="AY137" s="677"/>
      <c r="AZ137" s="677"/>
      <c r="BA137" s="677"/>
      <c r="BB137" s="677"/>
      <c r="BC137" s="677"/>
      <c r="BD137" s="677"/>
      <c r="BE137" s="677"/>
      <c r="BF137" s="677"/>
      <c r="BG137" s="677"/>
      <c r="BH137" s="677"/>
      <c r="BI137" s="677"/>
      <c r="BJ137" s="677"/>
      <c r="BK137" s="677"/>
      <c r="BL137" s="677"/>
      <c r="BM137" s="677"/>
      <c r="BN137" s="677"/>
      <c r="BO137" s="677"/>
      <c r="BP137" s="677"/>
      <c r="BQ137" s="677"/>
      <c r="BR137" s="677"/>
      <c r="BS137" s="677"/>
      <c r="BT137" s="677"/>
      <c r="BU137" s="677"/>
      <c r="BV137" s="677"/>
      <c r="BW137" s="677"/>
      <c r="BX137" s="677"/>
      <c r="BY137" s="677"/>
      <c r="BZ137" s="677"/>
      <c r="CA137" s="677"/>
    </row>
    <row r="138" spans="1:79" s="451" customFormat="1" hidden="1" outlineLevel="1" x14ac:dyDescent="0.25">
      <c r="A138" s="661"/>
      <c r="B138" s="79"/>
      <c r="C138" s="79"/>
      <c r="D138" s="79"/>
      <c r="E138" s="570" t="s">
        <v>1344</v>
      </c>
      <c r="F138" s="661" t="s">
        <v>628</v>
      </c>
      <c r="G138" s="715">
        <v>112.47</v>
      </c>
      <c r="H138" s="686">
        <v>116.14</v>
      </c>
      <c r="I138" s="686">
        <v>43.07</v>
      </c>
      <c r="J138" s="686">
        <v>16.54</v>
      </c>
      <c r="K138" s="686">
        <v>5.78</v>
      </c>
      <c r="L138" s="686">
        <v>14.08</v>
      </c>
      <c r="M138" s="686">
        <v>50.5</v>
      </c>
      <c r="N138" s="686">
        <v>51.65</v>
      </c>
      <c r="O138" s="686">
        <v>9.77</v>
      </c>
      <c r="P138" s="715">
        <v>0</v>
      </c>
      <c r="Q138" s="715">
        <v>0</v>
      </c>
      <c r="R138" s="715">
        <v>15.53</v>
      </c>
      <c r="S138" s="667">
        <v>353.17</v>
      </c>
      <c r="T138" s="667">
        <v>240.9</v>
      </c>
      <c r="U138" s="667">
        <v>146</v>
      </c>
      <c r="V138" s="667">
        <v>66.510000000000005</v>
      </c>
      <c r="W138" s="667">
        <v>11.57</v>
      </c>
      <c r="X138" s="667">
        <v>48.24</v>
      </c>
      <c r="Y138" s="667">
        <v>29.71</v>
      </c>
      <c r="Z138" s="667">
        <v>66.150000000000006</v>
      </c>
      <c r="AA138" s="667">
        <v>51.33</v>
      </c>
      <c r="AB138" s="667">
        <v>4.6100000000000003</v>
      </c>
      <c r="AC138" s="667">
        <v>7.27</v>
      </c>
      <c r="AD138" s="677">
        <v>53.58</v>
      </c>
      <c r="AE138" s="667">
        <v>604.27</v>
      </c>
      <c r="AF138" s="667">
        <v>220.12</v>
      </c>
      <c r="AG138" s="677">
        <v>11.36</v>
      </c>
      <c r="AH138" s="677"/>
      <c r="AI138" s="677"/>
      <c r="AJ138" s="677"/>
      <c r="AK138" s="677"/>
      <c r="AL138" s="677"/>
      <c r="AM138" s="677"/>
      <c r="AN138" s="677"/>
      <c r="AO138" s="677"/>
      <c r="AP138" s="677"/>
      <c r="AQ138" s="677"/>
      <c r="AR138" s="677"/>
      <c r="AS138" s="677"/>
      <c r="AT138" s="677"/>
      <c r="AU138" s="677"/>
      <c r="AV138" s="677"/>
      <c r="AW138" s="677"/>
      <c r="AX138" s="677"/>
      <c r="AY138" s="677"/>
      <c r="AZ138" s="677"/>
      <c r="BA138" s="677"/>
      <c r="BB138" s="677"/>
      <c r="BC138" s="677"/>
      <c r="BD138" s="677"/>
      <c r="BE138" s="677"/>
      <c r="BF138" s="677"/>
      <c r="BG138" s="677"/>
      <c r="BH138" s="677"/>
      <c r="BI138" s="677"/>
      <c r="BJ138" s="677"/>
      <c r="BK138" s="677"/>
      <c r="BL138" s="677"/>
      <c r="BM138" s="677"/>
      <c r="BN138" s="677"/>
      <c r="BO138" s="677"/>
      <c r="BP138" s="677"/>
      <c r="BQ138" s="677"/>
      <c r="BR138" s="677"/>
      <c r="BS138" s="677"/>
      <c r="BT138" s="677"/>
      <c r="BU138" s="677"/>
      <c r="BV138" s="677"/>
      <c r="BW138" s="677"/>
      <c r="BX138" s="677"/>
      <c r="BY138" s="677"/>
      <c r="BZ138" s="677"/>
      <c r="CA138" s="677"/>
    </row>
    <row r="139" spans="1:79" s="451" customFormat="1" hidden="1" outlineLevel="1" x14ac:dyDescent="0.25">
      <c r="A139" s="661"/>
      <c r="B139" s="79"/>
      <c r="C139" s="79"/>
      <c r="D139" s="79"/>
      <c r="E139" s="570" t="s">
        <v>1344</v>
      </c>
      <c r="F139" s="661" t="s">
        <v>629</v>
      </c>
      <c r="G139" s="715">
        <v>271.8</v>
      </c>
      <c r="H139" s="686">
        <v>281.81</v>
      </c>
      <c r="I139" s="686">
        <v>279.57</v>
      </c>
      <c r="J139" s="686">
        <v>311.14999999999998</v>
      </c>
      <c r="K139" s="686">
        <v>388.68</v>
      </c>
      <c r="L139" s="686">
        <v>566.38</v>
      </c>
      <c r="M139" s="686">
        <v>405.05</v>
      </c>
      <c r="N139" s="686">
        <v>577.96</v>
      </c>
      <c r="O139" s="686">
        <v>423.43</v>
      </c>
      <c r="P139" s="715">
        <v>423.41</v>
      </c>
      <c r="Q139" s="715">
        <v>723.13</v>
      </c>
      <c r="R139" s="715">
        <v>751.31</v>
      </c>
      <c r="S139" s="667">
        <v>1686.26</v>
      </c>
      <c r="T139" s="667">
        <v>1433.72</v>
      </c>
      <c r="U139" s="667">
        <v>1833.59</v>
      </c>
      <c r="V139" s="667">
        <v>2162.7199999999998</v>
      </c>
      <c r="W139" s="667">
        <v>1941.99</v>
      </c>
      <c r="X139" s="667">
        <v>1696.86</v>
      </c>
      <c r="Y139" s="667">
        <v>1891.58</v>
      </c>
      <c r="Z139" s="667">
        <v>2007.78</v>
      </c>
      <c r="AA139" s="667">
        <v>1903.84</v>
      </c>
      <c r="AB139" s="667">
        <v>2361.84</v>
      </c>
      <c r="AC139" s="667">
        <v>1910.63</v>
      </c>
      <c r="AD139" s="677">
        <v>-4359.24</v>
      </c>
      <c r="AE139" s="667">
        <v>1517.47</v>
      </c>
      <c r="AF139" s="667">
        <v>1332.51</v>
      </c>
      <c r="AG139" s="677">
        <v>1419.55</v>
      </c>
      <c r="AH139" s="677"/>
      <c r="AI139" s="677"/>
      <c r="AJ139" s="677"/>
      <c r="AK139" s="677"/>
      <c r="AL139" s="677"/>
      <c r="AM139" s="677"/>
      <c r="AN139" s="677"/>
      <c r="AO139" s="677"/>
      <c r="AP139" s="677"/>
      <c r="AQ139" s="677"/>
      <c r="AR139" s="677"/>
      <c r="AS139" s="677"/>
      <c r="AT139" s="677"/>
      <c r="AU139" s="677"/>
      <c r="AV139" s="677"/>
      <c r="AW139" s="677"/>
      <c r="AX139" s="677"/>
      <c r="AY139" s="677"/>
      <c r="AZ139" s="677"/>
      <c r="BA139" s="677"/>
      <c r="BB139" s="677"/>
      <c r="BC139" s="677"/>
      <c r="BD139" s="677"/>
      <c r="BE139" s="677"/>
      <c r="BF139" s="677"/>
      <c r="BG139" s="677"/>
      <c r="BH139" s="677"/>
      <c r="BI139" s="677"/>
      <c r="BJ139" s="677"/>
      <c r="BK139" s="677"/>
      <c r="BL139" s="677"/>
      <c r="BM139" s="677"/>
      <c r="BN139" s="677"/>
      <c r="BO139" s="677"/>
      <c r="BP139" s="677"/>
      <c r="BQ139" s="677"/>
      <c r="BR139" s="677"/>
      <c r="BS139" s="677"/>
      <c r="BT139" s="677"/>
      <c r="BU139" s="677"/>
      <c r="BV139" s="677"/>
      <c r="BW139" s="677"/>
      <c r="BX139" s="677"/>
      <c r="BY139" s="677"/>
      <c r="BZ139" s="677"/>
      <c r="CA139" s="677"/>
    </row>
    <row r="140" spans="1:79" s="451" customFormat="1" hidden="1" outlineLevel="1" x14ac:dyDescent="0.25">
      <c r="A140" s="661"/>
      <c r="B140" s="79"/>
      <c r="C140" s="79"/>
      <c r="D140" s="79"/>
      <c r="E140" s="570" t="s">
        <v>1344</v>
      </c>
      <c r="F140" s="661" t="s">
        <v>630</v>
      </c>
      <c r="G140" s="715">
        <v>1608.7446745780485</v>
      </c>
      <c r="H140" s="686">
        <v>1531.4802695822175</v>
      </c>
      <c r="I140" s="686">
        <v>1336.1975843622097</v>
      </c>
      <c r="J140" s="686">
        <v>1461.092274063167</v>
      </c>
      <c r="K140" s="686">
        <v>1746.4384578935358</v>
      </c>
      <c r="L140" s="686">
        <v>2509.0514799410312</v>
      </c>
      <c r="M140" s="686">
        <v>1819.2348082787353</v>
      </c>
      <c r="N140" s="686">
        <v>2560.185917676466</v>
      </c>
      <c r="O140" s="686">
        <v>1899.7340444907425</v>
      </c>
      <c r="P140" s="715">
        <v>1899.7775134482779</v>
      </c>
      <c r="Q140" s="715">
        <v>3158.6757765359193</v>
      </c>
      <c r="R140" s="715">
        <v>3233.2355834778236</v>
      </c>
      <c r="S140" s="667">
        <v>4483.04</v>
      </c>
      <c r="T140" s="667">
        <v>3403.14</v>
      </c>
      <c r="U140" s="667">
        <v>5112.83</v>
      </c>
      <c r="V140" s="667">
        <v>6519.99</v>
      </c>
      <c r="W140" s="667">
        <v>5576.42</v>
      </c>
      <c r="X140" s="667">
        <v>4528.24</v>
      </c>
      <c r="Y140" s="667">
        <v>5360.81</v>
      </c>
      <c r="Z140" s="667">
        <v>5857.53</v>
      </c>
      <c r="AA140" s="667">
        <v>5413.17</v>
      </c>
      <c r="AB140" s="667">
        <v>7371.66</v>
      </c>
      <c r="AC140" s="667">
        <v>5442.35</v>
      </c>
      <c r="AD140" s="677">
        <v>11359.72</v>
      </c>
      <c r="AE140" s="667">
        <v>6488.32</v>
      </c>
      <c r="AF140" s="667">
        <v>5697.48</v>
      </c>
      <c r="AG140" s="677">
        <v>6069.69</v>
      </c>
      <c r="AH140" s="677"/>
      <c r="AI140" s="677"/>
      <c r="AJ140" s="677"/>
      <c r="AK140" s="677"/>
      <c r="AL140" s="677"/>
      <c r="AM140" s="677"/>
      <c r="AN140" s="677"/>
      <c r="AO140" s="677"/>
      <c r="AP140" s="677"/>
      <c r="AQ140" s="677"/>
      <c r="AR140" s="677"/>
      <c r="AS140" s="677"/>
      <c r="AT140" s="677"/>
      <c r="AU140" s="677"/>
      <c r="AV140" s="677"/>
      <c r="AW140" s="677"/>
      <c r="AX140" s="677"/>
      <c r="AY140" s="677"/>
      <c r="AZ140" s="677"/>
      <c r="BA140" s="677"/>
      <c r="BB140" s="677"/>
      <c r="BC140" s="677"/>
      <c r="BD140" s="677"/>
      <c r="BE140" s="677"/>
      <c r="BF140" s="677"/>
      <c r="BG140" s="677"/>
      <c r="BH140" s="677"/>
      <c r="BI140" s="677"/>
      <c r="BJ140" s="677"/>
      <c r="BK140" s="677"/>
      <c r="BL140" s="677"/>
      <c r="BM140" s="677"/>
      <c r="BN140" s="677"/>
      <c r="BO140" s="677"/>
      <c r="BP140" s="677"/>
      <c r="BQ140" s="677"/>
      <c r="BR140" s="677"/>
      <c r="BS140" s="677"/>
      <c r="BT140" s="677"/>
      <c r="BU140" s="677"/>
      <c r="BV140" s="677"/>
      <c r="BW140" s="677"/>
      <c r="BX140" s="677"/>
      <c r="BY140" s="677"/>
      <c r="BZ140" s="677"/>
      <c r="CA140" s="677"/>
    </row>
    <row r="141" spans="1:79" s="451" customFormat="1" hidden="1" outlineLevel="1" x14ac:dyDescent="0.25">
      <c r="A141" s="661"/>
      <c r="B141" s="79"/>
      <c r="C141" s="79"/>
      <c r="D141" s="79"/>
      <c r="E141" s="570" t="s">
        <v>1344</v>
      </c>
      <c r="F141" s="661" t="s">
        <v>631</v>
      </c>
      <c r="G141" s="715"/>
      <c r="H141" s="686"/>
      <c r="I141" s="686"/>
      <c r="J141" s="686"/>
      <c r="K141" s="686"/>
      <c r="L141" s="686"/>
      <c r="M141" s="686"/>
      <c r="N141" s="686"/>
      <c r="O141" s="686"/>
      <c r="P141" s="715"/>
      <c r="Q141" s="715"/>
      <c r="R141" s="715"/>
      <c r="S141" s="667">
        <v>276.42</v>
      </c>
      <c r="T141" s="667">
        <v>104.23</v>
      </c>
      <c r="U141" s="667">
        <v>117.46</v>
      </c>
      <c r="V141" s="667">
        <v>138.66</v>
      </c>
      <c r="W141" s="667">
        <v>72.3</v>
      </c>
      <c r="X141" s="667">
        <v>68.989999999999995</v>
      </c>
      <c r="Y141" s="667">
        <v>77.31</v>
      </c>
      <c r="Z141" s="667">
        <v>79.36</v>
      </c>
      <c r="AA141" s="667">
        <v>60.56</v>
      </c>
      <c r="AB141" s="667">
        <v>58.82</v>
      </c>
      <c r="AC141" s="667">
        <v>48.95</v>
      </c>
      <c r="AD141" s="677">
        <v>74.239999999999995</v>
      </c>
      <c r="AE141" s="667">
        <v>203.62</v>
      </c>
      <c r="AF141" s="667">
        <v>161.52000000000001</v>
      </c>
      <c r="AG141" s="677">
        <v>172.63</v>
      </c>
      <c r="AH141" s="677"/>
      <c r="AI141" s="677"/>
      <c r="AJ141" s="677"/>
      <c r="AK141" s="677"/>
      <c r="AL141" s="677"/>
      <c r="AM141" s="677"/>
      <c r="AN141" s="677"/>
      <c r="AO141" s="677"/>
      <c r="AP141" s="677"/>
      <c r="AQ141" s="677"/>
      <c r="AR141" s="677"/>
      <c r="AS141" s="677"/>
      <c r="AT141" s="677"/>
      <c r="AU141" s="677"/>
      <c r="AV141" s="677"/>
      <c r="AW141" s="677"/>
      <c r="AX141" s="677"/>
      <c r="AY141" s="677"/>
      <c r="AZ141" s="677"/>
      <c r="BA141" s="677"/>
      <c r="BB141" s="677"/>
      <c r="BC141" s="677"/>
      <c r="BD141" s="677"/>
      <c r="BE141" s="677"/>
      <c r="BF141" s="677"/>
      <c r="BG141" s="677"/>
      <c r="BH141" s="677"/>
      <c r="BI141" s="677"/>
      <c r="BJ141" s="677"/>
      <c r="BK141" s="677"/>
      <c r="BL141" s="677"/>
      <c r="BM141" s="677"/>
      <c r="BN141" s="677"/>
      <c r="BO141" s="677"/>
      <c r="BP141" s="677"/>
      <c r="BQ141" s="677"/>
      <c r="BR141" s="677"/>
      <c r="BS141" s="677"/>
      <c r="BT141" s="677"/>
      <c r="BU141" s="677"/>
      <c r="BV141" s="677"/>
      <c r="BW141" s="677"/>
      <c r="BX141" s="677"/>
      <c r="BY141" s="677"/>
      <c r="BZ141" s="677"/>
      <c r="CA141" s="677"/>
    </row>
    <row r="142" spans="1:79" s="451" customFormat="1" hidden="1" outlineLevel="1" x14ac:dyDescent="0.25">
      <c r="A142" s="661"/>
      <c r="B142" s="79"/>
      <c r="C142" s="79"/>
      <c r="D142" s="79"/>
      <c r="E142" s="570" t="s">
        <v>1344</v>
      </c>
      <c r="F142" s="661" t="s">
        <v>632</v>
      </c>
      <c r="G142" s="715">
        <v>1012.19</v>
      </c>
      <c r="H142" s="686">
        <v>1045.3900000000001</v>
      </c>
      <c r="I142" s="686">
        <v>387.5</v>
      </c>
      <c r="J142" s="686">
        <v>148.9</v>
      </c>
      <c r="K142" s="686">
        <v>52.02</v>
      </c>
      <c r="L142" s="686">
        <v>126.7</v>
      </c>
      <c r="M142" s="686">
        <v>454.56</v>
      </c>
      <c r="N142" s="686">
        <v>464.85</v>
      </c>
      <c r="O142" s="686">
        <v>87.89</v>
      </c>
      <c r="P142" s="715">
        <v>0</v>
      </c>
      <c r="Q142" s="715">
        <v>0</v>
      </c>
      <c r="R142" s="715">
        <v>139.72999999999999</v>
      </c>
      <c r="S142" s="667">
        <v>2627.84</v>
      </c>
      <c r="T142" s="667">
        <v>2023.55</v>
      </c>
      <c r="U142" s="667">
        <v>1456.17</v>
      </c>
      <c r="V142" s="667">
        <v>1237.95</v>
      </c>
      <c r="W142" s="667">
        <v>535.91</v>
      </c>
      <c r="X142" s="667">
        <v>691.87</v>
      </c>
      <c r="Y142" s="667">
        <v>649.84</v>
      </c>
      <c r="Z142" s="667">
        <v>802.28</v>
      </c>
      <c r="AA142" s="667">
        <v>608.73</v>
      </c>
      <c r="AB142" s="667">
        <v>398.33</v>
      </c>
      <c r="AC142" s="667">
        <v>332.89</v>
      </c>
      <c r="AD142" s="677">
        <v>700.53</v>
      </c>
      <c r="AE142" s="667">
        <v>3913.63</v>
      </c>
      <c r="AF142" s="667">
        <v>2124.48</v>
      </c>
      <c r="AG142" s="677">
        <v>1251.93</v>
      </c>
      <c r="AH142" s="677"/>
      <c r="AI142" s="677"/>
      <c r="AJ142" s="677"/>
      <c r="AK142" s="677"/>
      <c r="AL142" s="677"/>
      <c r="AM142" s="677"/>
      <c r="AN142" s="677"/>
      <c r="AO142" s="677"/>
      <c r="AP142" s="677"/>
      <c r="AQ142" s="677"/>
      <c r="AR142" s="677"/>
      <c r="AS142" s="677"/>
      <c r="AT142" s="677"/>
      <c r="AU142" s="677"/>
      <c r="AV142" s="677"/>
      <c r="AW142" s="677"/>
      <c r="AX142" s="677"/>
      <c r="AY142" s="677"/>
      <c r="AZ142" s="677"/>
      <c r="BA142" s="677"/>
      <c r="BB142" s="677"/>
      <c r="BC142" s="677"/>
      <c r="BD142" s="677"/>
      <c r="BE142" s="677"/>
      <c r="BF142" s="677"/>
      <c r="BG142" s="677"/>
      <c r="BH142" s="677"/>
      <c r="BI142" s="677"/>
      <c r="BJ142" s="677"/>
      <c r="BK142" s="677"/>
      <c r="BL142" s="677"/>
      <c r="BM142" s="677"/>
      <c r="BN142" s="677"/>
      <c r="BO142" s="677"/>
      <c r="BP142" s="677"/>
      <c r="BQ142" s="677"/>
      <c r="BR142" s="677"/>
      <c r="BS142" s="677"/>
      <c r="BT142" s="677"/>
      <c r="BU142" s="677"/>
      <c r="BV142" s="677"/>
      <c r="BW142" s="677"/>
      <c r="BX142" s="677"/>
      <c r="BY142" s="677"/>
      <c r="BZ142" s="677"/>
      <c r="CA142" s="677"/>
    </row>
    <row r="143" spans="1:79" s="451" customFormat="1" hidden="1" outlineLevel="1" x14ac:dyDescent="0.25">
      <c r="A143" s="661"/>
      <c r="B143" s="576"/>
      <c r="C143" s="576"/>
      <c r="D143" s="576"/>
      <c r="E143" s="570" t="s">
        <v>1344</v>
      </c>
      <c r="F143" s="661" t="s">
        <v>902</v>
      </c>
      <c r="G143" s="715"/>
      <c r="H143" s="686"/>
      <c r="I143" s="686"/>
      <c r="J143" s="686"/>
      <c r="K143" s="686"/>
      <c r="L143" s="686"/>
      <c r="M143" s="686"/>
      <c r="N143" s="686"/>
      <c r="O143" s="686"/>
      <c r="P143" s="715"/>
      <c r="Q143" s="715"/>
      <c r="R143" s="715"/>
      <c r="S143" s="667">
        <v>0</v>
      </c>
      <c r="T143" s="667">
        <v>0</v>
      </c>
      <c r="U143" s="667">
        <v>0</v>
      </c>
      <c r="V143" s="667">
        <v>0</v>
      </c>
      <c r="W143" s="667">
        <v>0</v>
      </c>
      <c r="X143" s="667">
        <v>0</v>
      </c>
      <c r="Y143" s="667">
        <v>0</v>
      </c>
      <c r="Z143" s="667">
        <v>0</v>
      </c>
      <c r="AA143" s="667">
        <v>0</v>
      </c>
      <c r="AB143" s="667">
        <v>0</v>
      </c>
      <c r="AC143" s="667">
        <v>0</v>
      </c>
      <c r="AD143" s="677">
        <v>0</v>
      </c>
      <c r="AE143" s="667">
        <v>0</v>
      </c>
      <c r="AF143" s="667">
        <v>0</v>
      </c>
      <c r="AG143" s="677">
        <v>0</v>
      </c>
      <c r="AH143" s="677"/>
      <c r="AI143" s="677"/>
      <c r="AJ143" s="677"/>
      <c r="AK143" s="677"/>
      <c r="AL143" s="677"/>
      <c r="AM143" s="677"/>
      <c r="AN143" s="677"/>
      <c r="AO143" s="677"/>
      <c r="AP143" s="677"/>
      <c r="AQ143" s="677"/>
      <c r="AR143" s="677"/>
      <c r="AS143" s="677"/>
      <c r="AT143" s="677"/>
      <c r="AU143" s="677"/>
      <c r="AV143" s="677"/>
      <c r="AW143" s="677"/>
      <c r="AX143" s="677"/>
      <c r="AY143" s="677"/>
      <c r="AZ143" s="677"/>
      <c r="BA143" s="677"/>
      <c r="BB143" s="677"/>
      <c r="BC143" s="677"/>
      <c r="BD143" s="677"/>
      <c r="BE143" s="677"/>
      <c r="BF143" s="677"/>
      <c r="BG143" s="677"/>
      <c r="BH143" s="677"/>
      <c r="BI143" s="677"/>
      <c r="BJ143" s="677"/>
      <c r="BK143" s="677"/>
      <c r="BL143" s="677"/>
      <c r="BM143" s="677"/>
      <c r="BN143" s="677"/>
      <c r="BO143" s="677"/>
      <c r="BP143" s="677"/>
      <c r="BQ143" s="677"/>
      <c r="BR143" s="677"/>
      <c r="BS143" s="677"/>
      <c r="BT143" s="677"/>
      <c r="BU143" s="677"/>
      <c r="BV143" s="677"/>
      <c r="BW143" s="677"/>
      <c r="BX143" s="677"/>
      <c r="BY143" s="677"/>
      <c r="BZ143" s="677"/>
      <c r="CA143" s="677"/>
    </row>
    <row r="144" spans="1:79" s="451" customFormat="1" hidden="1" outlineLevel="1" x14ac:dyDescent="0.25">
      <c r="A144" s="661"/>
      <c r="B144" s="79"/>
      <c r="C144" s="79"/>
      <c r="D144" s="79"/>
      <c r="E144" s="570" t="s">
        <v>1344</v>
      </c>
      <c r="F144" s="661" t="s">
        <v>633</v>
      </c>
      <c r="G144" s="715">
        <v>0</v>
      </c>
      <c r="H144" s="686"/>
      <c r="I144" s="686"/>
      <c r="J144" s="686"/>
      <c r="K144" s="686"/>
      <c r="L144" s="686"/>
      <c r="M144" s="686"/>
      <c r="N144" s="686"/>
      <c r="O144" s="686"/>
      <c r="P144" s="667"/>
      <c r="Q144" s="715">
        <v>0</v>
      </c>
      <c r="R144" s="715"/>
      <c r="S144" s="667">
        <v>0</v>
      </c>
      <c r="T144" s="667">
        <v>0</v>
      </c>
      <c r="U144" s="667">
        <v>2463.8000000000002</v>
      </c>
      <c r="V144" s="667">
        <v>-2463.8000000000002</v>
      </c>
      <c r="W144" s="667">
        <v>0</v>
      </c>
      <c r="X144" s="667">
        <v>0</v>
      </c>
      <c r="Y144" s="667">
        <v>0</v>
      </c>
      <c r="Z144" s="667">
        <v>0</v>
      </c>
      <c r="AA144" s="667">
        <v>0</v>
      </c>
      <c r="AB144" s="667">
        <v>0</v>
      </c>
      <c r="AC144" s="667">
        <v>0</v>
      </c>
      <c r="AD144" s="677">
        <v>0</v>
      </c>
      <c r="AE144" s="667">
        <v>0</v>
      </c>
      <c r="AF144" s="667">
        <v>0</v>
      </c>
      <c r="AG144" s="677">
        <v>0</v>
      </c>
      <c r="AH144" s="677"/>
      <c r="AI144" s="677"/>
      <c r="AJ144" s="677"/>
      <c r="AK144" s="677"/>
      <c r="AL144" s="677"/>
      <c r="AM144" s="677"/>
      <c r="AN144" s="677"/>
      <c r="AO144" s="677"/>
      <c r="AP144" s="677"/>
      <c r="AQ144" s="677"/>
      <c r="AR144" s="677"/>
      <c r="AS144" s="677"/>
      <c r="AT144" s="677"/>
      <c r="AU144" s="677"/>
      <c r="AV144" s="677"/>
      <c r="AW144" s="677"/>
      <c r="AX144" s="677"/>
      <c r="AY144" s="677"/>
      <c r="AZ144" s="677"/>
      <c r="BA144" s="677"/>
      <c r="BB144" s="677"/>
      <c r="BC144" s="677"/>
      <c r="BD144" s="677"/>
      <c r="BE144" s="677"/>
      <c r="BF144" s="677"/>
      <c r="BG144" s="677"/>
      <c r="BH144" s="677"/>
      <c r="BI144" s="677"/>
      <c r="BJ144" s="677"/>
      <c r="BK144" s="677"/>
      <c r="BL144" s="677"/>
      <c r="BM144" s="677"/>
      <c r="BN144" s="677"/>
      <c r="BO144" s="677"/>
      <c r="BP144" s="677"/>
      <c r="BQ144" s="677"/>
      <c r="BR144" s="677"/>
      <c r="BS144" s="677"/>
      <c r="BT144" s="677"/>
      <c r="BU144" s="677"/>
      <c r="BV144" s="677"/>
      <c r="BW144" s="677"/>
      <c r="BX144" s="677"/>
      <c r="BY144" s="677"/>
      <c r="BZ144" s="677"/>
      <c r="CA144" s="677"/>
    </row>
    <row r="145" spans="1:79" s="740" customFormat="1" hidden="1" outlineLevel="1" x14ac:dyDescent="0.25">
      <c r="A145" s="657"/>
      <c r="B145" s="503"/>
      <c r="C145" s="503"/>
      <c r="D145" s="503"/>
      <c r="E145" s="570" t="s">
        <v>49</v>
      </c>
      <c r="F145" s="657" t="s">
        <v>634</v>
      </c>
      <c r="G145" s="679">
        <f>SUM(G137:G144)</f>
        <v>3023.9646745780483</v>
      </c>
      <c r="H145" s="679">
        <f t="shared" ref="H145:BO145" si="42">SUM(H137:H144)</f>
        <v>2994.1602695822176</v>
      </c>
      <c r="I145" s="679">
        <f t="shared" si="42"/>
        <v>2053.5175843622096</v>
      </c>
      <c r="J145" s="679">
        <f t="shared" si="42"/>
        <v>1940.4422740631671</v>
      </c>
      <c r="K145" s="679">
        <f t="shared" si="42"/>
        <v>2193.8784578935356</v>
      </c>
      <c r="L145" s="679">
        <f t="shared" si="42"/>
        <v>3218.5614799410309</v>
      </c>
      <c r="M145" s="679">
        <f t="shared" si="42"/>
        <v>2737.764808278735</v>
      </c>
      <c r="N145" s="679">
        <f t="shared" si="42"/>
        <v>3663.245917676466</v>
      </c>
      <c r="O145" s="679">
        <f t="shared" si="42"/>
        <v>2422.4540444907425</v>
      </c>
      <c r="P145" s="679">
        <f t="shared" si="42"/>
        <v>2323.187513448278</v>
      </c>
      <c r="Q145" s="679">
        <f t="shared" si="42"/>
        <v>3881.8057765359194</v>
      </c>
      <c r="R145" s="679">
        <f t="shared" si="42"/>
        <v>4140.1555834778237</v>
      </c>
      <c r="S145" s="679">
        <f t="shared" ref="S145:AA145" si="43">ROUND(SUM(S136:S144),5)</f>
        <v>9462.18</v>
      </c>
      <c r="T145" s="679">
        <f t="shared" si="43"/>
        <v>7241.76</v>
      </c>
      <c r="U145" s="679">
        <f t="shared" si="43"/>
        <v>11146.28</v>
      </c>
      <c r="V145" s="679">
        <f t="shared" si="43"/>
        <v>7669.41</v>
      </c>
      <c r="W145" s="679">
        <f t="shared" si="43"/>
        <v>8139.3</v>
      </c>
      <c r="X145" s="679">
        <f t="shared" si="43"/>
        <v>7039.77</v>
      </c>
      <c r="Y145" s="679">
        <f t="shared" si="43"/>
        <v>8012.36</v>
      </c>
      <c r="Z145" s="679">
        <f t="shared" si="43"/>
        <v>8819.66</v>
      </c>
      <c r="AA145" s="679">
        <f t="shared" si="43"/>
        <v>8042.56</v>
      </c>
      <c r="AB145" s="679">
        <f>ROUND(SUM(AB136:AB144),5)</f>
        <v>10195.26</v>
      </c>
      <c r="AC145" s="679">
        <f>ROUND(SUM(AC136:AC144),5)</f>
        <v>7742.09</v>
      </c>
      <c r="AD145" s="679">
        <v>7833.73</v>
      </c>
      <c r="AE145" s="679">
        <f>ROUND(SUM(AE136:AE144),5)</f>
        <v>12790.52</v>
      </c>
      <c r="AF145" s="679">
        <f>ROUND(SUM(AF136:AF144),5)</f>
        <v>9561.74</v>
      </c>
      <c r="AG145" s="679">
        <v>8926.94</v>
      </c>
      <c r="AH145" s="679">
        <f t="shared" si="42"/>
        <v>0</v>
      </c>
      <c r="AI145" s="679">
        <f t="shared" si="42"/>
        <v>0</v>
      </c>
      <c r="AJ145" s="679">
        <f t="shared" si="42"/>
        <v>0</v>
      </c>
      <c r="AK145" s="679">
        <f t="shared" si="42"/>
        <v>0</v>
      </c>
      <c r="AL145" s="679">
        <f t="shared" si="42"/>
        <v>0</v>
      </c>
      <c r="AM145" s="679">
        <f t="shared" si="42"/>
        <v>0</v>
      </c>
      <c r="AN145" s="679">
        <f t="shared" si="42"/>
        <v>0</v>
      </c>
      <c r="AO145" s="679">
        <f t="shared" si="42"/>
        <v>0</v>
      </c>
      <c r="AP145" s="679">
        <f t="shared" si="42"/>
        <v>0</v>
      </c>
      <c r="AQ145" s="679">
        <f t="shared" si="42"/>
        <v>0</v>
      </c>
      <c r="AR145" s="679">
        <f t="shared" si="42"/>
        <v>0</v>
      </c>
      <c r="AS145" s="679">
        <f t="shared" si="42"/>
        <v>0</v>
      </c>
      <c r="AT145" s="679">
        <f t="shared" si="42"/>
        <v>0</v>
      </c>
      <c r="AU145" s="679">
        <f t="shared" si="42"/>
        <v>0</v>
      </c>
      <c r="AV145" s="679">
        <f t="shared" si="42"/>
        <v>0</v>
      </c>
      <c r="AW145" s="679">
        <f t="shared" si="42"/>
        <v>0</v>
      </c>
      <c r="AX145" s="679">
        <f t="shared" si="42"/>
        <v>0</v>
      </c>
      <c r="AY145" s="679">
        <f t="shared" si="42"/>
        <v>0</v>
      </c>
      <c r="AZ145" s="679">
        <f t="shared" si="42"/>
        <v>0</v>
      </c>
      <c r="BA145" s="679">
        <f t="shared" si="42"/>
        <v>0</v>
      </c>
      <c r="BB145" s="679">
        <f t="shared" si="42"/>
        <v>0</v>
      </c>
      <c r="BC145" s="679">
        <f t="shared" si="42"/>
        <v>0</v>
      </c>
      <c r="BD145" s="679">
        <f t="shared" si="42"/>
        <v>0</v>
      </c>
      <c r="BE145" s="679">
        <f t="shared" si="42"/>
        <v>0</v>
      </c>
      <c r="BF145" s="679">
        <f t="shared" si="42"/>
        <v>0</v>
      </c>
      <c r="BG145" s="679">
        <f t="shared" si="42"/>
        <v>0</v>
      </c>
      <c r="BH145" s="679">
        <f t="shared" si="42"/>
        <v>0</v>
      </c>
      <c r="BI145" s="679">
        <f t="shared" si="42"/>
        <v>0</v>
      </c>
      <c r="BJ145" s="679">
        <f t="shared" si="42"/>
        <v>0</v>
      </c>
      <c r="BK145" s="679">
        <f t="shared" si="42"/>
        <v>0</v>
      </c>
      <c r="BL145" s="679">
        <f t="shared" si="42"/>
        <v>0</v>
      </c>
      <c r="BM145" s="679">
        <f t="shared" si="42"/>
        <v>0</v>
      </c>
      <c r="BN145" s="679">
        <f t="shared" si="42"/>
        <v>0</v>
      </c>
      <c r="BO145" s="679">
        <f t="shared" si="42"/>
        <v>0</v>
      </c>
      <c r="BP145" s="679">
        <f t="shared" ref="BP145:CA145" si="44">SUM(BP137:BP144)</f>
        <v>0</v>
      </c>
      <c r="BQ145" s="679">
        <f t="shared" si="44"/>
        <v>0</v>
      </c>
      <c r="BR145" s="679">
        <f t="shared" si="44"/>
        <v>0</v>
      </c>
      <c r="BS145" s="679">
        <f t="shared" si="44"/>
        <v>0</v>
      </c>
      <c r="BT145" s="679">
        <f t="shared" si="44"/>
        <v>0</v>
      </c>
      <c r="BU145" s="679">
        <f t="shared" si="44"/>
        <v>0</v>
      </c>
      <c r="BV145" s="679">
        <f t="shared" si="44"/>
        <v>0</v>
      </c>
      <c r="BW145" s="679">
        <f t="shared" si="44"/>
        <v>0</v>
      </c>
      <c r="BX145" s="679">
        <f t="shared" si="44"/>
        <v>0</v>
      </c>
      <c r="BY145" s="679">
        <f t="shared" si="44"/>
        <v>0</v>
      </c>
      <c r="BZ145" s="679">
        <f t="shared" si="44"/>
        <v>0</v>
      </c>
      <c r="CA145" s="679">
        <f t="shared" si="44"/>
        <v>0</v>
      </c>
    </row>
    <row r="146" spans="1:79" s="740" customFormat="1" hidden="1" outlineLevel="1" x14ac:dyDescent="0.25">
      <c r="A146" s="701"/>
      <c r="B146" s="700"/>
      <c r="C146" s="700"/>
      <c r="D146" s="700"/>
      <c r="E146" s="570" t="s">
        <v>1345</v>
      </c>
      <c r="F146" s="701" t="s">
        <v>635</v>
      </c>
      <c r="G146" s="711"/>
      <c r="H146" s="712"/>
      <c r="I146" s="712"/>
      <c r="J146" s="712"/>
      <c r="K146" s="712"/>
      <c r="L146" s="712"/>
      <c r="M146" s="712"/>
      <c r="N146" s="712"/>
      <c r="O146" s="712"/>
      <c r="P146" s="711"/>
      <c r="Q146" s="711"/>
      <c r="R146" s="711"/>
      <c r="S146" s="697"/>
      <c r="T146" s="697"/>
      <c r="U146" s="697"/>
      <c r="V146" s="697"/>
      <c r="W146" s="697"/>
      <c r="X146" s="697"/>
      <c r="Y146" s="697"/>
      <c r="Z146" s="697"/>
      <c r="AA146" s="697"/>
      <c r="AB146" s="697"/>
      <c r="AC146" s="697"/>
      <c r="AD146" s="698"/>
      <c r="AE146" s="697"/>
      <c r="AF146" s="697"/>
      <c r="AG146" s="698"/>
      <c r="AH146" s="698"/>
      <c r="AI146" s="698"/>
      <c r="AJ146" s="698"/>
      <c r="AK146" s="698"/>
      <c r="AL146" s="698"/>
      <c r="AM146" s="698"/>
      <c r="AN146" s="698"/>
      <c r="AO146" s="698"/>
      <c r="AP146" s="698"/>
      <c r="AQ146" s="698"/>
      <c r="AR146" s="698"/>
      <c r="AS146" s="698"/>
      <c r="AT146" s="698"/>
      <c r="AU146" s="698"/>
      <c r="AV146" s="698"/>
      <c r="AW146" s="698"/>
      <c r="AX146" s="698"/>
      <c r="AY146" s="698"/>
      <c r="AZ146" s="698"/>
      <c r="BA146" s="698"/>
      <c r="BB146" s="698"/>
      <c r="BC146" s="698"/>
      <c r="BD146" s="698"/>
      <c r="BE146" s="698"/>
      <c r="BF146" s="698"/>
      <c r="BG146" s="698"/>
      <c r="BH146" s="698"/>
      <c r="BI146" s="698"/>
      <c r="BJ146" s="698"/>
      <c r="BK146" s="698"/>
      <c r="BL146" s="698"/>
      <c r="BM146" s="698"/>
      <c r="BN146" s="698"/>
      <c r="BO146" s="698"/>
      <c r="BP146" s="698"/>
      <c r="BQ146" s="698"/>
      <c r="BR146" s="698"/>
      <c r="BS146" s="698"/>
      <c r="BT146" s="698"/>
      <c r="BU146" s="698"/>
      <c r="BV146" s="698"/>
      <c r="BW146" s="698"/>
      <c r="BX146" s="698"/>
      <c r="BY146" s="698"/>
      <c r="BZ146" s="698"/>
      <c r="CA146" s="698"/>
    </row>
    <row r="147" spans="1:79" s="42" customFormat="1" hidden="1" outlineLevel="1" x14ac:dyDescent="0.25">
      <c r="A147" s="661"/>
      <c r="B147" s="79"/>
      <c r="C147" s="79"/>
      <c r="D147" s="79"/>
      <c r="E147" s="570" t="s">
        <v>8</v>
      </c>
      <c r="F147" s="661" t="s">
        <v>8</v>
      </c>
      <c r="G147" s="715">
        <v>240</v>
      </c>
      <c r="H147" s="686">
        <v>240</v>
      </c>
      <c r="I147" s="686">
        <v>240</v>
      </c>
      <c r="J147" s="686">
        <v>240</v>
      </c>
      <c r="K147" s="686">
        <v>4827.37</v>
      </c>
      <c r="L147" s="686">
        <v>275</v>
      </c>
      <c r="M147" s="686">
        <v>222.5</v>
      </c>
      <c r="N147" s="686">
        <v>10683.18</v>
      </c>
      <c r="O147" s="686">
        <v>240</v>
      </c>
      <c r="P147" s="715">
        <v>240</v>
      </c>
      <c r="Q147" s="715">
        <v>4792.87</v>
      </c>
      <c r="R147" s="715">
        <v>22249.41</v>
      </c>
      <c r="S147" s="667">
        <v>16338.01</v>
      </c>
      <c r="T147" s="667">
        <v>310</v>
      </c>
      <c r="U147" s="667">
        <v>2963.9</v>
      </c>
      <c r="V147" s="667">
        <v>12928.68</v>
      </c>
      <c r="W147" s="667">
        <v>210</v>
      </c>
      <c r="X147" s="667">
        <v>410</v>
      </c>
      <c r="Y147" s="667">
        <v>17270.03</v>
      </c>
      <c r="Z147" s="667">
        <v>-1613.68</v>
      </c>
      <c r="AA147" s="667">
        <v>2319.4699999999998</v>
      </c>
      <c r="AB147" s="667">
        <v>21234.01</v>
      </c>
      <c r="AC147" s="667">
        <v>682.02</v>
      </c>
      <c r="AD147" s="668">
        <v>87880.639999999999</v>
      </c>
      <c r="AE147" s="667">
        <v>9961.77</v>
      </c>
      <c r="AF147" s="667">
        <v>9780.27</v>
      </c>
      <c r="AG147" s="668">
        <v>10900.77</v>
      </c>
      <c r="AH147" s="668"/>
      <c r="AI147" s="668"/>
      <c r="AJ147" s="668"/>
      <c r="AK147" s="668"/>
      <c r="AL147" s="668"/>
      <c r="AM147" s="668"/>
      <c r="AN147" s="668"/>
      <c r="AO147" s="668"/>
      <c r="AP147" s="668"/>
      <c r="AQ147" s="668"/>
      <c r="AR147" s="668"/>
      <c r="AS147" s="668"/>
      <c r="AT147" s="668"/>
      <c r="AU147" s="668"/>
      <c r="AV147" s="668"/>
      <c r="AW147" s="668"/>
      <c r="AX147" s="668"/>
      <c r="AY147" s="668"/>
      <c r="AZ147" s="668"/>
      <c r="BA147" s="668"/>
      <c r="BB147" s="668"/>
      <c r="BC147" s="668"/>
      <c r="BD147" s="668"/>
      <c r="BE147" s="668"/>
      <c r="BF147" s="668"/>
      <c r="BG147" s="668"/>
      <c r="BH147" s="668"/>
      <c r="BI147" s="668"/>
      <c r="BJ147" s="668"/>
      <c r="BK147" s="668"/>
      <c r="BL147" s="668"/>
      <c r="BM147" s="668"/>
      <c r="BN147" s="668"/>
      <c r="BO147" s="668"/>
      <c r="BP147" s="668"/>
      <c r="BQ147" s="668"/>
      <c r="BR147" s="668"/>
      <c r="BS147" s="668"/>
      <c r="BT147" s="668"/>
      <c r="BU147" s="668"/>
      <c r="BV147" s="668"/>
      <c r="BW147" s="668"/>
      <c r="BX147" s="668"/>
      <c r="BY147" s="668"/>
      <c r="BZ147" s="668"/>
      <c r="CA147" s="668"/>
    </row>
    <row r="148" spans="1:79" s="42" customFormat="1" hidden="1" outlineLevel="1" x14ac:dyDescent="0.25">
      <c r="A148" s="661"/>
      <c r="B148" s="576"/>
      <c r="C148" s="576"/>
      <c r="D148" s="576"/>
      <c r="E148" s="570" t="s">
        <v>8</v>
      </c>
      <c r="F148" s="661" t="s">
        <v>903</v>
      </c>
      <c r="G148" s="715"/>
      <c r="H148" s="686"/>
      <c r="I148" s="686"/>
      <c r="J148" s="686"/>
      <c r="K148" s="686"/>
      <c r="L148" s="686"/>
      <c r="M148" s="686"/>
      <c r="N148" s="686"/>
      <c r="O148" s="686"/>
      <c r="P148" s="715"/>
      <c r="Q148" s="715"/>
      <c r="R148" s="715"/>
      <c r="S148" s="667">
        <v>0</v>
      </c>
      <c r="T148" s="667">
        <v>0</v>
      </c>
      <c r="U148" s="667">
        <v>0</v>
      </c>
      <c r="V148" s="667">
        <v>0</v>
      </c>
      <c r="W148" s="667">
        <v>0</v>
      </c>
      <c r="X148" s="667">
        <v>0</v>
      </c>
      <c r="Y148" s="667">
        <v>0</v>
      </c>
      <c r="Z148" s="667">
        <v>0</v>
      </c>
      <c r="AA148" s="667">
        <v>0</v>
      </c>
      <c r="AB148" s="667">
        <v>0</v>
      </c>
      <c r="AC148" s="667">
        <v>0</v>
      </c>
      <c r="AD148" s="668">
        <v>0</v>
      </c>
      <c r="AE148" s="667">
        <v>0</v>
      </c>
      <c r="AF148" s="667">
        <v>0</v>
      </c>
      <c r="AG148" s="668">
        <v>0</v>
      </c>
      <c r="AH148" s="668"/>
      <c r="AI148" s="668"/>
      <c r="AJ148" s="668"/>
      <c r="AK148" s="668"/>
      <c r="AL148" s="668"/>
      <c r="AM148" s="668"/>
      <c r="AN148" s="668"/>
      <c r="AO148" s="668"/>
      <c r="AP148" s="668"/>
      <c r="AQ148" s="668"/>
      <c r="AR148" s="668"/>
      <c r="AS148" s="668"/>
      <c r="AT148" s="668"/>
      <c r="AU148" s="668"/>
      <c r="AV148" s="668"/>
      <c r="AW148" s="668"/>
      <c r="AX148" s="668"/>
      <c r="AY148" s="668"/>
      <c r="AZ148" s="668"/>
      <c r="BA148" s="668"/>
      <c r="BB148" s="668"/>
      <c r="BC148" s="668"/>
      <c r="BD148" s="668"/>
      <c r="BE148" s="668"/>
      <c r="BF148" s="668"/>
      <c r="BG148" s="668"/>
      <c r="BH148" s="668"/>
      <c r="BI148" s="668"/>
      <c r="BJ148" s="668"/>
      <c r="BK148" s="668"/>
      <c r="BL148" s="668"/>
      <c r="BM148" s="668"/>
      <c r="BN148" s="668"/>
      <c r="BO148" s="668"/>
      <c r="BP148" s="668"/>
      <c r="BQ148" s="668"/>
      <c r="BR148" s="668"/>
      <c r="BS148" s="668"/>
      <c r="BT148" s="668"/>
      <c r="BU148" s="668"/>
      <c r="BV148" s="668"/>
      <c r="BW148" s="668"/>
      <c r="BX148" s="668"/>
      <c r="BY148" s="668"/>
      <c r="BZ148" s="668"/>
      <c r="CA148" s="668"/>
    </row>
    <row r="149" spans="1:79" s="42" customFormat="1" hidden="1" outlineLevel="1" x14ac:dyDescent="0.25">
      <c r="A149" s="661"/>
      <c r="B149" s="79"/>
      <c r="C149" s="79"/>
      <c r="D149" s="79"/>
      <c r="E149" s="570" t="s">
        <v>1345</v>
      </c>
      <c r="F149" s="661" t="s">
        <v>643</v>
      </c>
      <c r="G149" s="715">
        <v>888.75</v>
      </c>
      <c r="H149" s="686">
        <v>1273</v>
      </c>
      <c r="I149" s="686">
        <v>1117.5</v>
      </c>
      <c r="J149" s="686">
        <v>2757.5</v>
      </c>
      <c r="K149" s="686">
        <v>2400</v>
      </c>
      <c r="L149" s="686">
        <v>1290</v>
      </c>
      <c r="M149" s="686">
        <v>0</v>
      </c>
      <c r="N149" s="686">
        <v>0</v>
      </c>
      <c r="O149" s="686">
        <v>0</v>
      </c>
      <c r="P149" s="715">
        <v>0</v>
      </c>
      <c r="Q149" s="715">
        <v>1251.3399999999999</v>
      </c>
      <c r="R149" s="715">
        <v>0</v>
      </c>
      <c r="S149" s="667">
        <v>0</v>
      </c>
      <c r="T149" s="667">
        <v>0</v>
      </c>
      <c r="U149" s="667">
        <v>1100.76</v>
      </c>
      <c r="V149" s="667">
        <v>758.07</v>
      </c>
      <c r="W149" s="667">
        <v>1220.17</v>
      </c>
      <c r="X149" s="667">
        <v>3404.61</v>
      </c>
      <c r="Y149" s="667">
        <v>3647.35</v>
      </c>
      <c r="Z149" s="667">
        <v>4083.58</v>
      </c>
      <c r="AA149" s="667">
        <v>2455.41</v>
      </c>
      <c r="AB149" s="667">
        <v>1679.1</v>
      </c>
      <c r="AC149" s="667">
        <v>419.44</v>
      </c>
      <c r="AD149" s="668">
        <v>0</v>
      </c>
      <c r="AE149" s="667">
        <v>0</v>
      </c>
      <c r="AF149" s="667">
        <v>0</v>
      </c>
      <c r="AG149" s="668">
        <v>1236.1400000000001</v>
      </c>
      <c r="AH149" s="668"/>
      <c r="AI149" s="668"/>
      <c r="AJ149" s="668"/>
      <c r="AK149" s="668"/>
      <c r="AL149" s="668"/>
      <c r="AM149" s="668"/>
      <c r="AN149" s="668"/>
      <c r="AO149" s="668"/>
      <c r="AP149" s="668"/>
      <c r="AQ149" s="668"/>
      <c r="AR149" s="668"/>
      <c r="AS149" s="668"/>
      <c r="AT149" s="668"/>
      <c r="AU149" s="668"/>
      <c r="AV149" s="668"/>
      <c r="AW149" s="668"/>
      <c r="AX149" s="668"/>
      <c r="AY149" s="668"/>
      <c r="AZ149" s="668"/>
      <c r="BA149" s="668"/>
      <c r="BB149" s="668"/>
      <c r="BC149" s="668"/>
      <c r="BD149" s="668"/>
      <c r="BE149" s="668"/>
      <c r="BF149" s="668"/>
      <c r="BG149" s="668"/>
      <c r="BH149" s="668"/>
      <c r="BI149" s="668"/>
      <c r="BJ149" s="668"/>
      <c r="BK149" s="668"/>
      <c r="BL149" s="668"/>
      <c r="BM149" s="668"/>
      <c r="BN149" s="668"/>
      <c r="BO149" s="668"/>
      <c r="BP149" s="668"/>
      <c r="BQ149" s="668"/>
      <c r="BR149" s="668"/>
      <c r="BS149" s="668"/>
      <c r="BT149" s="668"/>
      <c r="BU149" s="668"/>
      <c r="BV149" s="668"/>
      <c r="BW149" s="668"/>
      <c r="BX149" s="668"/>
      <c r="BY149" s="668"/>
      <c r="BZ149" s="668"/>
      <c r="CA149" s="668"/>
    </row>
    <row r="150" spans="1:79" s="42" customFormat="1" hidden="1" outlineLevel="1" x14ac:dyDescent="0.25">
      <c r="A150" s="661"/>
      <c r="B150" s="79"/>
      <c r="C150" s="79"/>
      <c r="D150" s="79"/>
      <c r="E150" s="570" t="s">
        <v>1345</v>
      </c>
      <c r="F150" s="661" t="s">
        <v>644</v>
      </c>
      <c r="G150" s="715"/>
      <c r="H150" s="686"/>
      <c r="I150" s="686"/>
      <c r="J150" s="686"/>
      <c r="K150" s="686"/>
      <c r="L150" s="686"/>
      <c r="M150" s="686"/>
      <c r="N150" s="686"/>
      <c r="O150" s="686"/>
      <c r="P150" s="715"/>
      <c r="Q150" s="715"/>
      <c r="R150" s="715"/>
      <c r="S150" s="667">
        <v>0</v>
      </c>
      <c r="T150" s="667">
        <v>0</v>
      </c>
      <c r="U150" s="667">
        <v>6346.15</v>
      </c>
      <c r="V150" s="667">
        <v>-6346.15</v>
      </c>
      <c r="W150" s="667">
        <v>0</v>
      </c>
      <c r="X150" s="667">
        <v>0</v>
      </c>
      <c r="Y150" s="667">
        <v>0</v>
      </c>
      <c r="Z150" s="667">
        <v>0</v>
      </c>
      <c r="AA150" s="667">
        <v>0</v>
      </c>
      <c r="AB150" s="667">
        <v>0</v>
      </c>
      <c r="AC150" s="667">
        <v>0</v>
      </c>
      <c r="AD150" s="668">
        <v>0</v>
      </c>
      <c r="AE150" s="667">
        <v>0</v>
      </c>
      <c r="AF150" s="667">
        <v>0</v>
      </c>
      <c r="AG150" s="668">
        <v>0</v>
      </c>
      <c r="AH150" s="668"/>
      <c r="AI150" s="668"/>
      <c r="AJ150" s="668"/>
      <c r="AK150" s="668"/>
      <c r="AL150" s="668"/>
      <c r="AM150" s="668"/>
      <c r="AN150" s="668"/>
      <c r="AO150" s="668"/>
      <c r="AP150" s="668"/>
      <c r="AQ150" s="668"/>
      <c r="AR150" s="668"/>
      <c r="AS150" s="668"/>
      <c r="AT150" s="668"/>
      <c r="AU150" s="668"/>
      <c r="AV150" s="668"/>
      <c r="AW150" s="668"/>
      <c r="AX150" s="668"/>
      <c r="AY150" s="668"/>
      <c r="AZ150" s="668"/>
      <c r="BA150" s="668"/>
      <c r="BB150" s="668"/>
      <c r="BC150" s="668"/>
      <c r="BD150" s="668"/>
      <c r="BE150" s="668"/>
      <c r="BF150" s="668"/>
      <c r="BG150" s="668"/>
      <c r="BH150" s="668"/>
      <c r="BI150" s="668"/>
      <c r="BJ150" s="668"/>
      <c r="BK150" s="668"/>
      <c r="BL150" s="668"/>
      <c r="BM150" s="668"/>
      <c r="BN150" s="668"/>
      <c r="BO150" s="668"/>
      <c r="BP150" s="668"/>
      <c r="BQ150" s="668"/>
      <c r="BR150" s="668"/>
      <c r="BS150" s="668"/>
      <c r="BT150" s="668"/>
      <c r="BU150" s="668"/>
      <c r="BV150" s="668"/>
      <c r="BW150" s="668"/>
      <c r="BX150" s="668"/>
      <c r="BY150" s="668"/>
      <c r="BZ150" s="668"/>
      <c r="CA150" s="668"/>
    </row>
    <row r="151" spans="1:79" s="42" customFormat="1" hidden="1" outlineLevel="1" x14ac:dyDescent="0.25">
      <c r="A151" s="661"/>
      <c r="B151" s="79"/>
      <c r="C151" s="79"/>
      <c r="D151" s="79"/>
      <c r="E151" s="570" t="s">
        <v>1345</v>
      </c>
      <c r="F151" s="661" t="s">
        <v>636</v>
      </c>
      <c r="G151" s="715">
        <v>26432.080000000002</v>
      </c>
      <c r="H151" s="686">
        <v>26739.760000000002</v>
      </c>
      <c r="I151" s="686">
        <v>22906.420000000002</v>
      </c>
      <c r="J151" s="686">
        <v>23444.880000000001</v>
      </c>
      <c r="K151" s="686">
        <v>24560.26</v>
      </c>
      <c r="L151" s="686">
        <v>42310.350000000006</v>
      </c>
      <c r="M151" s="686">
        <v>37044.880000000005</v>
      </c>
      <c r="N151" s="686">
        <v>38510.259999999995</v>
      </c>
      <c r="O151" s="686">
        <v>38294.880000000005</v>
      </c>
      <c r="P151" s="715">
        <v>34544.880000000005</v>
      </c>
      <c r="Q151" s="715">
        <v>49410.28</v>
      </c>
      <c r="R151" s="715">
        <v>35147.46</v>
      </c>
      <c r="S151" s="667">
        <v>55969.08</v>
      </c>
      <c r="T151" s="667">
        <v>54756.44</v>
      </c>
      <c r="U151" s="667">
        <v>99107.95</v>
      </c>
      <c r="V151" s="667">
        <v>75117.119999999995</v>
      </c>
      <c r="W151" s="667">
        <v>84511.41</v>
      </c>
      <c r="X151" s="667">
        <v>69339.73</v>
      </c>
      <c r="Y151" s="667">
        <v>77682.36</v>
      </c>
      <c r="Z151" s="667">
        <v>81117.31</v>
      </c>
      <c r="AA151" s="667">
        <v>84116.34</v>
      </c>
      <c r="AB151" s="667">
        <v>96782.89</v>
      </c>
      <c r="AC151" s="667">
        <v>86208.74</v>
      </c>
      <c r="AD151" s="668">
        <v>97961.95</v>
      </c>
      <c r="AE151" s="667">
        <v>96923.11</v>
      </c>
      <c r="AF151" s="667">
        <v>86267.42</v>
      </c>
      <c r="AG151" s="668">
        <v>90347.95</v>
      </c>
      <c r="AH151" s="668"/>
      <c r="AI151" s="668"/>
      <c r="AJ151" s="668"/>
      <c r="AK151" s="668"/>
      <c r="AL151" s="668"/>
      <c r="AM151" s="668"/>
      <c r="AN151" s="668"/>
      <c r="AO151" s="668"/>
      <c r="AP151" s="668"/>
      <c r="AQ151" s="668"/>
      <c r="AR151" s="668"/>
      <c r="AS151" s="668"/>
      <c r="AT151" s="668"/>
      <c r="AU151" s="668"/>
      <c r="AV151" s="668"/>
      <c r="AW151" s="668"/>
      <c r="AX151" s="668"/>
      <c r="AY151" s="668"/>
      <c r="AZ151" s="668"/>
      <c r="BA151" s="668"/>
      <c r="BB151" s="668"/>
      <c r="BC151" s="668"/>
      <c r="BD151" s="668"/>
      <c r="BE151" s="668"/>
      <c r="BF151" s="668"/>
      <c r="BG151" s="668"/>
      <c r="BH151" s="668"/>
      <c r="BI151" s="668"/>
      <c r="BJ151" s="668"/>
      <c r="BK151" s="668"/>
      <c r="BL151" s="668"/>
      <c r="BM151" s="668"/>
      <c r="BN151" s="668"/>
      <c r="BO151" s="668"/>
      <c r="BP151" s="668"/>
      <c r="BQ151" s="668"/>
      <c r="BR151" s="668"/>
      <c r="BS151" s="668"/>
      <c r="BT151" s="668"/>
      <c r="BU151" s="668"/>
      <c r="BV151" s="668"/>
      <c r="BW151" s="668"/>
      <c r="BX151" s="668"/>
      <c r="BY151" s="668"/>
      <c r="BZ151" s="668"/>
      <c r="CA151" s="668"/>
    </row>
    <row r="152" spans="1:79" s="42" customFormat="1" hidden="1" outlineLevel="1" x14ac:dyDescent="0.25">
      <c r="A152" s="661"/>
      <c r="B152" s="79"/>
      <c r="C152" s="79"/>
      <c r="D152" s="79"/>
      <c r="E152" s="570" t="s">
        <v>637</v>
      </c>
      <c r="F152" s="661" t="s">
        <v>637</v>
      </c>
      <c r="G152" s="715"/>
      <c r="H152" s="686"/>
      <c r="I152" s="686"/>
      <c r="J152" s="686"/>
      <c r="K152" s="686"/>
      <c r="L152" s="686">
        <v>769.23</v>
      </c>
      <c r="M152" s="686"/>
      <c r="N152" s="686"/>
      <c r="O152" s="686"/>
      <c r="P152" s="715"/>
      <c r="Q152" s="715"/>
      <c r="R152" s="715"/>
      <c r="S152" s="667">
        <v>2303.08</v>
      </c>
      <c r="T152" s="667">
        <v>2271.92</v>
      </c>
      <c r="U152" s="667">
        <v>517.15</v>
      </c>
      <c r="V152" s="667">
        <v>-53.14</v>
      </c>
      <c r="W152" s="667">
        <v>3220.65</v>
      </c>
      <c r="X152" s="667">
        <v>-1994.12</v>
      </c>
      <c r="Y152" s="667">
        <v>433.59</v>
      </c>
      <c r="Z152" s="667">
        <v>-224.29</v>
      </c>
      <c r="AA152" s="667">
        <v>-570.12</v>
      </c>
      <c r="AB152" s="667">
        <v>2131.46</v>
      </c>
      <c r="AC152" s="667">
        <v>-465.65</v>
      </c>
      <c r="AD152" s="668">
        <v>479.14</v>
      </c>
      <c r="AE152" s="667">
        <v>898.48</v>
      </c>
      <c r="AF152" s="667">
        <v>307.74</v>
      </c>
      <c r="AG152" s="668">
        <v>1515.55</v>
      </c>
      <c r="AH152" s="668"/>
      <c r="AI152" s="668"/>
      <c r="AJ152" s="668"/>
      <c r="AK152" s="668"/>
      <c r="AL152" s="668"/>
      <c r="AM152" s="668"/>
      <c r="AN152" s="668"/>
      <c r="AO152" s="668"/>
      <c r="AP152" s="668"/>
      <c r="AQ152" s="668"/>
      <c r="AR152" s="668"/>
      <c r="AS152" s="668"/>
      <c r="AT152" s="668"/>
      <c r="AU152" s="668"/>
      <c r="AV152" s="668"/>
      <c r="AW152" s="668"/>
      <c r="AX152" s="668"/>
      <c r="AY152" s="668"/>
      <c r="AZ152" s="668"/>
      <c r="BA152" s="668"/>
      <c r="BB152" s="668"/>
      <c r="BC152" s="668"/>
      <c r="BD152" s="668"/>
      <c r="BE152" s="668"/>
      <c r="BF152" s="668"/>
      <c r="BG152" s="668"/>
      <c r="BH152" s="668"/>
      <c r="BI152" s="668"/>
      <c r="BJ152" s="668"/>
      <c r="BK152" s="668"/>
      <c r="BL152" s="668"/>
      <c r="BM152" s="668"/>
      <c r="BN152" s="668"/>
      <c r="BO152" s="668"/>
      <c r="BP152" s="668"/>
      <c r="BQ152" s="668"/>
      <c r="BR152" s="668"/>
      <c r="BS152" s="668"/>
      <c r="BT152" s="668"/>
      <c r="BU152" s="668"/>
      <c r="BV152" s="668"/>
      <c r="BW152" s="668"/>
      <c r="BX152" s="668"/>
      <c r="BY152" s="668"/>
      <c r="BZ152" s="668"/>
      <c r="CA152" s="668"/>
    </row>
    <row r="153" spans="1:79" s="42" customFormat="1" hidden="1" outlineLevel="1" x14ac:dyDescent="0.25">
      <c r="A153" s="661"/>
      <c r="B153" s="576"/>
      <c r="C153" s="576"/>
      <c r="D153" s="576"/>
      <c r="E153" s="570" t="s">
        <v>1345</v>
      </c>
      <c r="F153" s="661" t="s">
        <v>904</v>
      </c>
      <c r="G153" s="715"/>
      <c r="H153" s="686"/>
      <c r="I153" s="686"/>
      <c r="J153" s="686"/>
      <c r="K153" s="686"/>
      <c r="L153" s="686"/>
      <c r="M153" s="686"/>
      <c r="N153" s="686"/>
      <c r="O153" s="686"/>
      <c r="P153" s="715"/>
      <c r="Q153" s="715"/>
      <c r="R153" s="715"/>
      <c r="S153" s="667">
        <v>0</v>
      </c>
      <c r="T153" s="667">
        <v>0</v>
      </c>
      <c r="U153" s="667">
        <v>0</v>
      </c>
      <c r="V153" s="667">
        <v>0</v>
      </c>
      <c r="W153" s="667">
        <v>0</v>
      </c>
      <c r="X153" s="667">
        <v>0</v>
      </c>
      <c r="Y153" s="667">
        <v>0</v>
      </c>
      <c r="Z153" s="667">
        <v>0</v>
      </c>
      <c r="AA153" s="667">
        <v>0</v>
      </c>
      <c r="AB153" s="667">
        <v>0</v>
      </c>
      <c r="AC153" s="667">
        <v>0</v>
      </c>
      <c r="AD153" s="668">
        <v>0</v>
      </c>
      <c r="AE153" s="667">
        <v>0</v>
      </c>
      <c r="AF153" s="667">
        <v>0</v>
      </c>
      <c r="AG153" s="668">
        <v>0</v>
      </c>
      <c r="AH153" s="668"/>
      <c r="AI153" s="668"/>
      <c r="AJ153" s="668"/>
      <c r="AK153" s="668"/>
      <c r="AL153" s="668"/>
      <c r="AM153" s="668"/>
      <c r="AN153" s="668"/>
      <c r="AO153" s="668"/>
      <c r="AP153" s="668"/>
      <c r="AQ153" s="668"/>
      <c r="AR153" s="668"/>
      <c r="AS153" s="668"/>
      <c r="AT153" s="668"/>
      <c r="AU153" s="668"/>
      <c r="AV153" s="668"/>
      <c r="AW153" s="668"/>
      <c r="AX153" s="668"/>
      <c r="AY153" s="668"/>
      <c r="AZ153" s="668"/>
      <c r="BA153" s="668"/>
      <c r="BB153" s="668"/>
      <c r="BC153" s="668"/>
      <c r="BD153" s="668"/>
      <c r="BE153" s="668"/>
      <c r="BF153" s="668"/>
      <c r="BG153" s="668"/>
      <c r="BH153" s="668"/>
      <c r="BI153" s="668"/>
      <c r="BJ153" s="668"/>
      <c r="BK153" s="668"/>
      <c r="BL153" s="668"/>
      <c r="BM153" s="668"/>
      <c r="BN153" s="668"/>
      <c r="BO153" s="668"/>
      <c r="BP153" s="668"/>
      <c r="BQ153" s="668"/>
      <c r="BR153" s="668"/>
      <c r="BS153" s="668"/>
      <c r="BT153" s="668"/>
      <c r="BU153" s="668"/>
      <c r="BV153" s="668"/>
      <c r="BW153" s="668"/>
      <c r="BX153" s="668"/>
      <c r="BY153" s="668"/>
      <c r="BZ153" s="668"/>
      <c r="CA153" s="668"/>
    </row>
    <row r="154" spans="1:79" s="42" customFormat="1" hidden="1" outlineLevel="1" x14ac:dyDescent="0.25">
      <c r="A154" s="661"/>
      <c r="B154" s="576"/>
      <c r="C154" s="576"/>
      <c r="D154" s="576"/>
      <c r="E154" s="570" t="s">
        <v>1345</v>
      </c>
      <c r="F154" s="661" t="s">
        <v>677</v>
      </c>
      <c r="G154" s="715"/>
      <c r="H154" s="686"/>
      <c r="I154" s="686"/>
      <c r="J154" s="686"/>
      <c r="K154" s="686"/>
      <c r="L154" s="686"/>
      <c r="M154" s="686"/>
      <c r="N154" s="686"/>
      <c r="O154" s="686"/>
      <c r="P154" s="715"/>
      <c r="Q154" s="715"/>
      <c r="R154" s="715"/>
      <c r="S154" s="667">
        <v>8329.17</v>
      </c>
      <c r="T154" s="667">
        <v>8329.17</v>
      </c>
      <c r="U154" s="667">
        <v>8329.17</v>
      </c>
      <c r="V154" s="667">
        <v>8329.17</v>
      </c>
      <c r="W154" s="667">
        <v>8329.17</v>
      </c>
      <c r="X154" s="667">
        <v>8329.17</v>
      </c>
      <c r="Y154" s="667">
        <v>8329.17</v>
      </c>
      <c r="Z154" s="667">
        <v>8329.17</v>
      </c>
      <c r="AA154" s="667">
        <v>8329.17</v>
      </c>
      <c r="AB154" s="667">
        <v>8329.17</v>
      </c>
      <c r="AC154" s="667">
        <v>8329.17</v>
      </c>
      <c r="AD154" s="668">
        <v>-91620.87</v>
      </c>
      <c r="AE154" s="667">
        <v>0</v>
      </c>
      <c r="AF154" s="667">
        <v>0</v>
      </c>
      <c r="AG154" s="668">
        <v>0</v>
      </c>
      <c r="AH154" s="668"/>
      <c r="AI154" s="668"/>
      <c r="AJ154" s="668"/>
      <c r="AK154" s="668"/>
      <c r="AL154" s="668"/>
      <c r="AM154" s="668"/>
      <c r="AN154" s="668"/>
      <c r="AO154" s="668"/>
      <c r="AP154" s="668"/>
      <c r="AQ154" s="668"/>
      <c r="AR154" s="668"/>
      <c r="AS154" s="668"/>
      <c r="AT154" s="668"/>
      <c r="AU154" s="668"/>
      <c r="AV154" s="668"/>
      <c r="AW154" s="668"/>
      <c r="AX154" s="668"/>
      <c r="AY154" s="668"/>
      <c r="AZ154" s="668"/>
      <c r="BA154" s="668"/>
      <c r="BB154" s="668"/>
      <c r="BC154" s="668"/>
      <c r="BD154" s="668"/>
      <c r="BE154" s="668"/>
      <c r="BF154" s="668"/>
      <c r="BG154" s="668"/>
      <c r="BH154" s="668"/>
      <c r="BI154" s="668"/>
      <c r="BJ154" s="668"/>
      <c r="BK154" s="668"/>
      <c r="BL154" s="668"/>
      <c r="BM154" s="668"/>
      <c r="BN154" s="668"/>
      <c r="BO154" s="668"/>
      <c r="BP154" s="668"/>
      <c r="BQ154" s="668"/>
      <c r="BR154" s="668"/>
      <c r="BS154" s="668"/>
      <c r="BT154" s="668"/>
      <c r="BU154" s="668"/>
      <c r="BV154" s="668"/>
      <c r="BW154" s="668"/>
      <c r="BX154" s="668"/>
      <c r="BY154" s="668"/>
      <c r="BZ154" s="668"/>
      <c r="CA154" s="668"/>
    </row>
    <row r="155" spans="1:79" s="740" customFormat="1" hidden="1" outlineLevel="1" x14ac:dyDescent="0.25">
      <c r="A155" s="657"/>
      <c r="B155" s="503"/>
      <c r="C155" s="503"/>
      <c r="D155" s="503"/>
      <c r="E155" s="570" t="s">
        <v>49</v>
      </c>
      <c r="F155" s="657" t="s">
        <v>638</v>
      </c>
      <c r="G155" s="679">
        <f>SUM(G147:G154)</f>
        <v>27560.83</v>
      </c>
      <c r="H155" s="679">
        <f t="shared" ref="H155:BO155" si="45">SUM(H147:H154)</f>
        <v>28252.760000000002</v>
      </c>
      <c r="I155" s="679">
        <f t="shared" si="45"/>
        <v>24263.920000000002</v>
      </c>
      <c r="J155" s="679">
        <f t="shared" si="45"/>
        <v>26442.38</v>
      </c>
      <c r="K155" s="679">
        <f t="shared" si="45"/>
        <v>31787.629999999997</v>
      </c>
      <c r="L155" s="679">
        <f t="shared" si="45"/>
        <v>44644.580000000009</v>
      </c>
      <c r="M155" s="679">
        <f t="shared" si="45"/>
        <v>37267.380000000005</v>
      </c>
      <c r="N155" s="679">
        <f t="shared" si="45"/>
        <v>49193.439999999995</v>
      </c>
      <c r="O155" s="679">
        <f t="shared" si="45"/>
        <v>38534.880000000005</v>
      </c>
      <c r="P155" s="679">
        <f t="shared" si="45"/>
        <v>34784.880000000005</v>
      </c>
      <c r="Q155" s="679">
        <f t="shared" si="45"/>
        <v>55454.49</v>
      </c>
      <c r="R155" s="679">
        <f t="shared" si="45"/>
        <v>57396.869999999995</v>
      </c>
      <c r="S155" s="679">
        <f t="shared" ref="S155:AA155" si="46">ROUND(SUM(S146:S154),5)</f>
        <v>82939.34</v>
      </c>
      <c r="T155" s="679">
        <f t="shared" si="46"/>
        <v>65667.53</v>
      </c>
      <c r="U155" s="679">
        <f t="shared" si="46"/>
        <v>118365.08</v>
      </c>
      <c r="V155" s="679">
        <f t="shared" si="46"/>
        <v>90733.75</v>
      </c>
      <c r="W155" s="679">
        <f t="shared" si="46"/>
        <v>97491.4</v>
      </c>
      <c r="X155" s="679">
        <f t="shared" si="46"/>
        <v>79489.39</v>
      </c>
      <c r="Y155" s="679">
        <f t="shared" si="46"/>
        <v>107362.5</v>
      </c>
      <c r="Z155" s="679">
        <f t="shared" si="46"/>
        <v>91692.09</v>
      </c>
      <c r="AA155" s="679">
        <f t="shared" si="46"/>
        <v>96650.27</v>
      </c>
      <c r="AB155" s="679">
        <f>ROUND(SUM(AB146:AB154),5)</f>
        <v>130156.63</v>
      </c>
      <c r="AC155" s="679">
        <f>ROUND(SUM(AC146:AC154),5)</f>
        <v>95173.72</v>
      </c>
      <c r="AD155" s="679">
        <v>94700.86</v>
      </c>
      <c r="AE155" s="679">
        <f>ROUND(SUM(AE146:AE154),5)</f>
        <v>107783.36</v>
      </c>
      <c r="AF155" s="679">
        <f>ROUND(SUM(AF146:AF154),5)</f>
        <v>96355.43</v>
      </c>
      <c r="AG155" s="679">
        <v>104000.41</v>
      </c>
      <c r="AH155" s="679">
        <f t="shared" si="45"/>
        <v>0</v>
      </c>
      <c r="AI155" s="679">
        <f t="shared" si="45"/>
        <v>0</v>
      </c>
      <c r="AJ155" s="679">
        <f t="shared" si="45"/>
        <v>0</v>
      </c>
      <c r="AK155" s="679">
        <f t="shared" si="45"/>
        <v>0</v>
      </c>
      <c r="AL155" s="679">
        <f t="shared" si="45"/>
        <v>0</v>
      </c>
      <c r="AM155" s="679">
        <f t="shared" si="45"/>
        <v>0</v>
      </c>
      <c r="AN155" s="679">
        <f t="shared" si="45"/>
        <v>0</v>
      </c>
      <c r="AO155" s="679">
        <f t="shared" si="45"/>
        <v>0</v>
      </c>
      <c r="AP155" s="679">
        <f t="shared" si="45"/>
        <v>0</v>
      </c>
      <c r="AQ155" s="679">
        <f t="shared" si="45"/>
        <v>0</v>
      </c>
      <c r="AR155" s="679">
        <f t="shared" si="45"/>
        <v>0</v>
      </c>
      <c r="AS155" s="679">
        <f t="shared" si="45"/>
        <v>0</v>
      </c>
      <c r="AT155" s="679">
        <f t="shared" si="45"/>
        <v>0</v>
      </c>
      <c r="AU155" s="679">
        <f t="shared" si="45"/>
        <v>0</v>
      </c>
      <c r="AV155" s="679">
        <f t="shared" si="45"/>
        <v>0</v>
      </c>
      <c r="AW155" s="679">
        <f t="shared" si="45"/>
        <v>0</v>
      </c>
      <c r="AX155" s="679">
        <f t="shared" si="45"/>
        <v>0</v>
      </c>
      <c r="AY155" s="679">
        <f t="shared" si="45"/>
        <v>0</v>
      </c>
      <c r="AZ155" s="679">
        <f t="shared" si="45"/>
        <v>0</v>
      </c>
      <c r="BA155" s="679">
        <f t="shared" si="45"/>
        <v>0</v>
      </c>
      <c r="BB155" s="679">
        <f t="shared" si="45"/>
        <v>0</v>
      </c>
      <c r="BC155" s="679">
        <f t="shared" si="45"/>
        <v>0</v>
      </c>
      <c r="BD155" s="679">
        <f t="shared" si="45"/>
        <v>0</v>
      </c>
      <c r="BE155" s="679">
        <f t="shared" si="45"/>
        <v>0</v>
      </c>
      <c r="BF155" s="679">
        <f t="shared" si="45"/>
        <v>0</v>
      </c>
      <c r="BG155" s="679">
        <f t="shared" si="45"/>
        <v>0</v>
      </c>
      <c r="BH155" s="679">
        <f t="shared" si="45"/>
        <v>0</v>
      </c>
      <c r="BI155" s="679">
        <f t="shared" si="45"/>
        <v>0</v>
      </c>
      <c r="BJ155" s="679">
        <f t="shared" si="45"/>
        <v>0</v>
      </c>
      <c r="BK155" s="679">
        <f t="shared" si="45"/>
        <v>0</v>
      </c>
      <c r="BL155" s="679">
        <f t="shared" si="45"/>
        <v>0</v>
      </c>
      <c r="BM155" s="679">
        <f t="shared" si="45"/>
        <v>0</v>
      </c>
      <c r="BN155" s="679">
        <f t="shared" si="45"/>
        <v>0</v>
      </c>
      <c r="BO155" s="679">
        <f t="shared" si="45"/>
        <v>0</v>
      </c>
      <c r="BP155" s="679">
        <f t="shared" ref="BP155:CA155" si="47">SUM(BP147:BP154)</f>
        <v>0</v>
      </c>
      <c r="BQ155" s="679">
        <f t="shared" si="47"/>
        <v>0</v>
      </c>
      <c r="BR155" s="679">
        <f t="shared" si="47"/>
        <v>0</v>
      </c>
      <c r="BS155" s="679">
        <f t="shared" si="47"/>
        <v>0</v>
      </c>
      <c r="BT155" s="679">
        <f t="shared" si="47"/>
        <v>0</v>
      </c>
      <c r="BU155" s="679">
        <f t="shared" si="47"/>
        <v>0</v>
      </c>
      <c r="BV155" s="679">
        <f t="shared" si="47"/>
        <v>0</v>
      </c>
      <c r="BW155" s="679">
        <f t="shared" si="47"/>
        <v>0</v>
      </c>
      <c r="BX155" s="679">
        <f t="shared" si="47"/>
        <v>0</v>
      </c>
      <c r="BY155" s="679">
        <f t="shared" si="47"/>
        <v>0</v>
      </c>
      <c r="BZ155" s="679">
        <f t="shared" si="47"/>
        <v>0</v>
      </c>
      <c r="CA155" s="679">
        <f t="shared" si="47"/>
        <v>0</v>
      </c>
    </row>
    <row r="156" spans="1:79" s="740" customFormat="1" hidden="1" outlineLevel="1" x14ac:dyDescent="0.25">
      <c r="A156" s="656"/>
      <c r="B156" s="503"/>
      <c r="C156" s="503"/>
      <c r="D156" s="503"/>
      <c r="E156" s="570" t="s">
        <v>1345</v>
      </c>
      <c r="F156" s="656" t="s">
        <v>639</v>
      </c>
      <c r="G156" s="690">
        <v>0</v>
      </c>
      <c r="H156" s="690"/>
      <c r="I156" s="690"/>
      <c r="J156" s="690"/>
      <c r="K156" s="690"/>
      <c r="L156" s="690"/>
      <c r="M156" s="690"/>
      <c r="N156" s="690"/>
      <c r="O156" s="682"/>
      <c r="P156" s="690"/>
      <c r="Q156" s="690"/>
      <c r="R156" s="690"/>
      <c r="S156" s="671">
        <v>43.5</v>
      </c>
      <c r="T156" s="671">
        <v>8.7100000000000009</v>
      </c>
      <c r="U156" s="671">
        <v>0</v>
      </c>
      <c r="V156" s="671">
        <v>0</v>
      </c>
      <c r="W156" s="671">
        <v>0</v>
      </c>
      <c r="X156" s="671">
        <v>0</v>
      </c>
      <c r="Y156" s="671">
        <v>0</v>
      </c>
      <c r="Z156" s="671">
        <v>0</v>
      </c>
      <c r="AA156" s="671">
        <v>0</v>
      </c>
      <c r="AB156" s="671">
        <v>0</v>
      </c>
      <c r="AC156" s="671">
        <v>0</v>
      </c>
      <c r="AD156" s="672">
        <v>0</v>
      </c>
      <c r="AE156" s="671">
        <v>0</v>
      </c>
      <c r="AF156" s="671">
        <v>0</v>
      </c>
      <c r="AG156" s="672">
        <v>0</v>
      </c>
      <c r="AH156" s="672"/>
      <c r="AI156" s="672"/>
      <c r="AJ156" s="672"/>
      <c r="AK156" s="672"/>
      <c r="AL156" s="672"/>
      <c r="AM156" s="672"/>
      <c r="AN156" s="672"/>
      <c r="AO156" s="672"/>
      <c r="AP156" s="672"/>
      <c r="AQ156" s="672"/>
      <c r="AR156" s="672"/>
      <c r="AS156" s="672"/>
      <c r="AT156" s="672"/>
      <c r="AU156" s="672"/>
      <c r="AV156" s="672"/>
      <c r="AW156" s="672"/>
      <c r="AX156" s="672"/>
      <c r="AY156" s="672"/>
      <c r="AZ156" s="672"/>
      <c r="BA156" s="672"/>
      <c r="BB156" s="672"/>
      <c r="BC156" s="672"/>
      <c r="BD156" s="672"/>
      <c r="BE156" s="672"/>
      <c r="BF156" s="672"/>
      <c r="BG156" s="672"/>
      <c r="BH156" s="672"/>
      <c r="BI156" s="672"/>
      <c r="BJ156" s="672"/>
      <c r="BK156" s="672"/>
      <c r="BL156" s="672"/>
      <c r="BM156" s="672"/>
      <c r="BN156" s="672"/>
      <c r="BO156" s="672"/>
      <c r="BP156" s="672"/>
      <c r="BQ156" s="672"/>
      <c r="BR156" s="672"/>
      <c r="BS156" s="672"/>
      <c r="BT156" s="672"/>
      <c r="BU156" s="672"/>
      <c r="BV156" s="672"/>
      <c r="BW156" s="672"/>
      <c r="BX156" s="672"/>
      <c r="BY156" s="672"/>
      <c r="BZ156" s="672"/>
      <c r="CA156" s="672"/>
    </row>
    <row r="157" spans="1:79" s="308" customFormat="1" hidden="1" outlineLevel="1" x14ac:dyDescent="0.25">
      <c r="A157" s="659"/>
      <c r="B157" s="29"/>
      <c r="C157" s="29"/>
      <c r="D157" s="29"/>
      <c r="E157" s="570" t="s">
        <v>49</v>
      </c>
      <c r="F157" s="659" t="s">
        <v>640</v>
      </c>
      <c r="G157" s="679">
        <f>SUM(G155+G145)</f>
        <v>30584.79467457805</v>
      </c>
      <c r="H157" s="679">
        <f t="shared" ref="H157:BO157" si="48">SUM(H155+H145)</f>
        <v>31246.92026958222</v>
      </c>
      <c r="I157" s="679">
        <f t="shared" si="48"/>
        <v>26317.437584362211</v>
      </c>
      <c r="J157" s="679">
        <f t="shared" si="48"/>
        <v>28382.822274063168</v>
      </c>
      <c r="K157" s="679">
        <f t="shared" si="48"/>
        <v>33981.508457893535</v>
      </c>
      <c r="L157" s="679">
        <f t="shared" si="48"/>
        <v>47863.141479941041</v>
      </c>
      <c r="M157" s="679">
        <f t="shared" si="48"/>
        <v>40005.144808278739</v>
      </c>
      <c r="N157" s="679">
        <f t="shared" si="48"/>
        <v>52856.685917676463</v>
      </c>
      <c r="O157" s="679">
        <f t="shared" si="48"/>
        <v>40957.334044490744</v>
      </c>
      <c r="P157" s="679">
        <f t="shared" si="48"/>
        <v>37108.067513448281</v>
      </c>
      <c r="Q157" s="679">
        <f t="shared" si="48"/>
        <v>59336.295776535917</v>
      </c>
      <c r="R157" s="679">
        <f t="shared" si="48"/>
        <v>61537.025583477822</v>
      </c>
      <c r="S157" s="679">
        <f t="shared" ref="S157:AB157" si="49">ROUND(S125+S135+S145+SUM(S155:S156),5)</f>
        <v>92445.02</v>
      </c>
      <c r="T157" s="679">
        <f t="shared" si="49"/>
        <v>72918</v>
      </c>
      <c r="U157" s="679">
        <f t="shared" si="49"/>
        <v>129511.36</v>
      </c>
      <c r="V157" s="679">
        <f t="shared" si="49"/>
        <v>98403.16</v>
      </c>
      <c r="W157" s="679">
        <f t="shared" si="49"/>
        <v>105630.7</v>
      </c>
      <c r="X157" s="679">
        <f t="shared" si="49"/>
        <v>86529.16</v>
      </c>
      <c r="Y157" s="679">
        <f t="shared" si="49"/>
        <v>115374.86</v>
      </c>
      <c r="Z157" s="679">
        <f t="shared" si="49"/>
        <v>100511.75</v>
      </c>
      <c r="AA157" s="679">
        <f t="shared" si="49"/>
        <v>104692.83</v>
      </c>
      <c r="AB157" s="679">
        <f t="shared" si="49"/>
        <v>140351.89000000001</v>
      </c>
      <c r="AC157" s="679">
        <f>ROUND(AC125+AC135+AC145+SUM(AC155:AC156),5)</f>
        <v>111673.77</v>
      </c>
      <c r="AD157" s="679">
        <v>112254.91</v>
      </c>
      <c r="AE157" s="679">
        <f>ROUND(AE125+AE135+AE145+SUM(AE155:AE156),5)</f>
        <v>129505.78</v>
      </c>
      <c r="AF157" s="679">
        <f>ROUND(AF125+AF135+AF145+SUM(AF155:AF156),5)</f>
        <v>115208.16</v>
      </c>
      <c r="AG157" s="679">
        <v>121844.59</v>
      </c>
      <c r="AH157" s="679">
        <f t="shared" si="48"/>
        <v>0</v>
      </c>
      <c r="AI157" s="679">
        <f t="shared" si="48"/>
        <v>0</v>
      </c>
      <c r="AJ157" s="679">
        <f t="shared" si="48"/>
        <v>0</v>
      </c>
      <c r="AK157" s="679">
        <f t="shared" si="48"/>
        <v>0</v>
      </c>
      <c r="AL157" s="679">
        <f t="shared" si="48"/>
        <v>0</v>
      </c>
      <c r="AM157" s="679">
        <f t="shared" si="48"/>
        <v>0</v>
      </c>
      <c r="AN157" s="679">
        <f t="shared" si="48"/>
        <v>0</v>
      </c>
      <c r="AO157" s="679">
        <f t="shared" si="48"/>
        <v>0</v>
      </c>
      <c r="AP157" s="679">
        <f t="shared" si="48"/>
        <v>0</v>
      </c>
      <c r="AQ157" s="679">
        <f t="shared" si="48"/>
        <v>0</v>
      </c>
      <c r="AR157" s="679">
        <f t="shared" si="48"/>
        <v>0</v>
      </c>
      <c r="AS157" s="679">
        <f t="shared" si="48"/>
        <v>0</v>
      </c>
      <c r="AT157" s="679">
        <f t="shared" si="48"/>
        <v>0</v>
      </c>
      <c r="AU157" s="679">
        <f t="shared" si="48"/>
        <v>0</v>
      </c>
      <c r="AV157" s="679">
        <f t="shared" si="48"/>
        <v>0</v>
      </c>
      <c r="AW157" s="679">
        <f t="shared" si="48"/>
        <v>0</v>
      </c>
      <c r="AX157" s="679">
        <f t="shared" si="48"/>
        <v>0</v>
      </c>
      <c r="AY157" s="679">
        <f t="shared" si="48"/>
        <v>0</v>
      </c>
      <c r="AZ157" s="679">
        <f t="shared" si="48"/>
        <v>0</v>
      </c>
      <c r="BA157" s="679">
        <f t="shared" si="48"/>
        <v>0</v>
      </c>
      <c r="BB157" s="679">
        <f t="shared" si="48"/>
        <v>0</v>
      </c>
      <c r="BC157" s="679">
        <f t="shared" si="48"/>
        <v>0</v>
      </c>
      <c r="BD157" s="679">
        <f t="shared" si="48"/>
        <v>0</v>
      </c>
      <c r="BE157" s="679">
        <f t="shared" si="48"/>
        <v>0</v>
      </c>
      <c r="BF157" s="679">
        <f t="shared" si="48"/>
        <v>0</v>
      </c>
      <c r="BG157" s="679">
        <f t="shared" si="48"/>
        <v>0</v>
      </c>
      <c r="BH157" s="679">
        <f t="shared" si="48"/>
        <v>0</v>
      </c>
      <c r="BI157" s="679">
        <f t="shared" si="48"/>
        <v>0</v>
      </c>
      <c r="BJ157" s="679">
        <f t="shared" si="48"/>
        <v>0</v>
      </c>
      <c r="BK157" s="679">
        <f t="shared" si="48"/>
        <v>0</v>
      </c>
      <c r="BL157" s="679">
        <f t="shared" si="48"/>
        <v>0</v>
      </c>
      <c r="BM157" s="679">
        <f t="shared" si="48"/>
        <v>0</v>
      </c>
      <c r="BN157" s="679">
        <f t="shared" si="48"/>
        <v>0</v>
      </c>
      <c r="BO157" s="679">
        <f t="shared" si="48"/>
        <v>0</v>
      </c>
      <c r="BP157" s="679">
        <f t="shared" ref="BP157:CA157" si="50">SUM(BP155+BP145)</f>
        <v>0</v>
      </c>
      <c r="BQ157" s="679">
        <f t="shared" si="50"/>
        <v>0</v>
      </c>
      <c r="BR157" s="679">
        <f t="shared" si="50"/>
        <v>0</v>
      </c>
      <c r="BS157" s="679">
        <f t="shared" si="50"/>
        <v>0</v>
      </c>
      <c r="BT157" s="679">
        <f t="shared" si="50"/>
        <v>0</v>
      </c>
      <c r="BU157" s="679">
        <f t="shared" si="50"/>
        <v>0</v>
      </c>
      <c r="BV157" s="679">
        <f t="shared" si="50"/>
        <v>0</v>
      </c>
      <c r="BW157" s="679">
        <f t="shared" si="50"/>
        <v>0</v>
      </c>
      <c r="BX157" s="679">
        <f t="shared" si="50"/>
        <v>0</v>
      </c>
      <c r="BY157" s="679">
        <f t="shared" si="50"/>
        <v>0</v>
      </c>
      <c r="BZ157" s="679">
        <f t="shared" si="50"/>
        <v>0</v>
      </c>
      <c r="CA157" s="679">
        <f t="shared" si="50"/>
        <v>0</v>
      </c>
    </row>
    <row r="158" spans="1:79" s="308" customFormat="1" hidden="1" outlineLevel="1" x14ac:dyDescent="0.25">
      <c r="A158" s="655"/>
      <c r="B158" s="571"/>
      <c r="C158" s="571"/>
      <c r="D158" s="571"/>
      <c r="E158" s="570" t="s">
        <v>918</v>
      </c>
      <c r="F158" s="655" t="s">
        <v>905</v>
      </c>
      <c r="G158" s="690"/>
      <c r="H158" s="690"/>
      <c r="I158" s="690"/>
      <c r="J158" s="690"/>
      <c r="K158" s="690"/>
      <c r="L158" s="690"/>
      <c r="M158" s="690"/>
      <c r="N158" s="690"/>
      <c r="O158" s="690"/>
      <c r="P158" s="690"/>
      <c r="Q158" s="690"/>
      <c r="R158" s="690"/>
      <c r="S158" s="684">
        <v>0</v>
      </c>
      <c r="T158" s="684">
        <v>0</v>
      </c>
      <c r="U158" s="684">
        <v>0</v>
      </c>
      <c r="V158" s="684">
        <v>0</v>
      </c>
      <c r="W158" s="684">
        <v>0</v>
      </c>
      <c r="X158" s="684">
        <v>0</v>
      </c>
      <c r="Y158" s="684">
        <v>0</v>
      </c>
      <c r="Z158" s="684">
        <v>0</v>
      </c>
      <c r="AA158" s="684">
        <v>0</v>
      </c>
      <c r="AB158" s="684">
        <v>0</v>
      </c>
      <c r="AC158" s="684">
        <v>0</v>
      </c>
      <c r="AD158" s="685">
        <v>0</v>
      </c>
      <c r="AE158" s="684">
        <v>0</v>
      </c>
      <c r="AF158" s="684">
        <v>0</v>
      </c>
      <c r="AG158" s="685">
        <v>0</v>
      </c>
      <c r="AH158" s="685"/>
      <c r="AI158" s="685"/>
      <c r="AJ158" s="685"/>
      <c r="AK158" s="685"/>
      <c r="AL158" s="685"/>
      <c r="AM158" s="685"/>
      <c r="AN158" s="685"/>
      <c r="AO158" s="685"/>
      <c r="AP158" s="685"/>
      <c r="AQ158" s="685"/>
      <c r="AR158" s="685"/>
      <c r="AS158" s="685"/>
      <c r="AT158" s="685"/>
      <c r="AU158" s="685"/>
      <c r="AV158" s="685"/>
      <c r="AW158" s="685"/>
      <c r="AX158" s="685"/>
      <c r="AY158" s="685"/>
      <c r="AZ158" s="685"/>
      <c r="BA158" s="685"/>
      <c r="BB158" s="685"/>
      <c r="BC158" s="685"/>
      <c r="BD158" s="685"/>
      <c r="BE158" s="685"/>
      <c r="BF158" s="685"/>
      <c r="BG158" s="685"/>
      <c r="BH158" s="685"/>
      <c r="BI158" s="685"/>
      <c r="BJ158" s="685"/>
      <c r="BK158" s="685"/>
      <c r="BL158" s="685"/>
      <c r="BM158" s="685"/>
      <c r="BN158" s="685"/>
      <c r="BO158" s="685"/>
      <c r="BP158" s="685"/>
      <c r="BQ158" s="685"/>
      <c r="BR158" s="685"/>
      <c r="BS158" s="685"/>
      <c r="BT158" s="685"/>
      <c r="BU158" s="685"/>
      <c r="BV158" s="685"/>
      <c r="BW158" s="685"/>
      <c r="BX158" s="685"/>
      <c r="BY158" s="685"/>
      <c r="BZ158" s="685"/>
      <c r="CA158" s="685"/>
    </row>
    <row r="159" spans="1:79" s="740" customFormat="1" hidden="1" outlineLevel="1" x14ac:dyDescent="0.25">
      <c r="A159" s="701"/>
      <c r="B159" s="700"/>
      <c r="C159" s="700"/>
      <c r="D159" s="700"/>
      <c r="E159" s="570" t="s">
        <v>1327</v>
      </c>
      <c r="F159" s="701" t="s">
        <v>602</v>
      </c>
      <c r="G159" s="696"/>
      <c r="H159" s="696"/>
      <c r="I159" s="696"/>
      <c r="J159" s="697"/>
      <c r="K159" s="697"/>
      <c r="L159" s="697"/>
      <c r="M159" s="697"/>
      <c r="N159" s="697"/>
      <c r="O159" s="697"/>
      <c r="P159" s="697"/>
      <c r="Q159" s="697"/>
      <c r="R159" s="697"/>
      <c r="S159" s="697"/>
      <c r="T159" s="697"/>
      <c r="U159" s="697"/>
      <c r="V159" s="697"/>
      <c r="W159" s="697"/>
      <c r="X159" s="697"/>
      <c r="Y159" s="697"/>
      <c r="Z159" s="697"/>
      <c r="AA159" s="697"/>
      <c r="AB159" s="697"/>
      <c r="AC159" s="697"/>
      <c r="AD159" s="698"/>
      <c r="AE159" s="697"/>
      <c r="AF159" s="697"/>
      <c r="AG159" s="698"/>
      <c r="AH159" s="698"/>
      <c r="AI159" s="698"/>
      <c r="AJ159" s="698"/>
      <c r="AK159" s="698"/>
      <c r="AL159" s="698"/>
      <c r="AM159" s="698"/>
      <c r="AN159" s="698"/>
      <c r="AO159" s="698"/>
      <c r="AP159" s="698"/>
      <c r="AQ159" s="698"/>
      <c r="AR159" s="698"/>
      <c r="AS159" s="698"/>
      <c r="AT159" s="698"/>
      <c r="AU159" s="698"/>
      <c r="AV159" s="698"/>
      <c r="AW159" s="698"/>
      <c r="AX159" s="698"/>
      <c r="AY159" s="698"/>
      <c r="AZ159" s="698"/>
      <c r="BA159" s="698"/>
      <c r="BB159" s="698"/>
      <c r="BC159" s="698"/>
      <c r="BD159" s="698"/>
      <c r="BE159" s="698"/>
      <c r="BF159" s="698"/>
      <c r="BG159" s="698"/>
      <c r="BH159" s="698"/>
      <c r="BI159" s="698"/>
      <c r="BJ159" s="698"/>
      <c r="BK159" s="698"/>
      <c r="BL159" s="698"/>
      <c r="BM159" s="698"/>
      <c r="BN159" s="698"/>
      <c r="BO159" s="698"/>
      <c r="BP159" s="698"/>
      <c r="BQ159" s="698"/>
      <c r="BR159" s="698"/>
      <c r="BS159" s="698"/>
      <c r="BT159" s="698"/>
      <c r="BU159" s="698"/>
      <c r="BV159" s="698"/>
      <c r="BW159" s="698"/>
      <c r="BX159" s="698"/>
      <c r="BY159" s="698"/>
      <c r="BZ159" s="698"/>
      <c r="CA159" s="698"/>
    </row>
    <row r="160" spans="1:79" s="740" customFormat="1" hidden="1" outlineLevel="1" x14ac:dyDescent="0.25">
      <c r="A160" s="701"/>
      <c r="B160" s="700"/>
      <c r="C160" s="700"/>
      <c r="D160" s="700"/>
      <c r="E160" s="570" t="s">
        <v>945</v>
      </c>
      <c r="F160" s="701"/>
      <c r="G160" s="696"/>
      <c r="H160" s="696"/>
      <c r="I160" s="696"/>
      <c r="J160" s="697"/>
      <c r="K160" s="697"/>
      <c r="L160" s="697"/>
      <c r="M160" s="697"/>
      <c r="N160" s="697"/>
      <c r="O160" s="697"/>
      <c r="P160" s="697"/>
      <c r="Q160" s="697"/>
      <c r="R160" s="697"/>
      <c r="S160" s="697"/>
      <c r="T160" s="697"/>
      <c r="U160" s="697"/>
      <c r="V160" s="697"/>
      <c r="W160" s="697"/>
      <c r="X160" s="697"/>
      <c r="Y160" s="697"/>
      <c r="Z160" s="697"/>
      <c r="AA160" s="697"/>
      <c r="AB160" s="697"/>
      <c r="AC160" s="697"/>
      <c r="AD160" s="698"/>
      <c r="AE160" s="697">
        <v>0</v>
      </c>
      <c r="AF160" s="697">
        <v>0</v>
      </c>
      <c r="AG160" s="698">
        <v>0</v>
      </c>
      <c r="AH160" s="698"/>
      <c r="AI160" s="698"/>
      <c r="AJ160" s="698"/>
      <c r="AK160" s="698"/>
      <c r="AL160" s="698"/>
      <c r="AM160" s="698"/>
      <c r="AN160" s="698"/>
      <c r="AO160" s="698"/>
      <c r="AP160" s="698"/>
      <c r="AQ160" s="698"/>
      <c r="AR160" s="698"/>
      <c r="AS160" s="698"/>
      <c r="AT160" s="698"/>
      <c r="AU160" s="698"/>
      <c r="AV160" s="698"/>
      <c r="AW160" s="698"/>
      <c r="AX160" s="698"/>
      <c r="AY160" s="698"/>
      <c r="AZ160" s="698"/>
      <c r="BA160" s="698"/>
      <c r="BB160" s="698"/>
      <c r="BC160" s="698"/>
      <c r="BD160" s="698"/>
      <c r="BE160" s="698"/>
      <c r="BF160" s="698"/>
      <c r="BG160" s="698"/>
      <c r="BH160" s="698"/>
      <c r="BI160" s="698"/>
      <c r="BJ160" s="698"/>
      <c r="BK160" s="698"/>
      <c r="BL160" s="698"/>
      <c r="BM160" s="698"/>
      <c r="BN160" s="698"/>
      <c r="BO160" s="698"/>
      <c r="BP160" s="698"/>
      <c r="BQ160" s="698"/>
      <c r="BR160" s="698"/>
      <c r="BS160" s="698"/>
      <c r="BT160" s="698"/>
      <c r="BU160" s="698"/>
      <c r="BV160" s="698"/>
      <c r="BW160" s="698"/>
      <c r="BX160" s="698"/>
      <c r="BY160" s="698"/>
      <c r="BZ160" s="698"/>
      <c r="CA160" s="698"/>
    </row>
    <row r="161" spans="1:79" s="451" customFormat="1" hidden="1" outlineLevel="1" x14ac:dyDescent="0.25">
      <c r="A161" s="656"/>
      <c r="B161" s="79"/>
      <c r="C161" s="79"/>
      <c r="D161" s="79"/>
      <c r="E161" s="570" t="s">
        <v>657</v>
      </c>
      <c r="F161" s="656" t="s">
        <v>641</v>
      </c>
      <c r="G161" s="665">
        <v>583.08911240402745</v>
      </c>
      <c r="H161" s="665">
        <v>361.09496888920626</v>
      </c>
      <c r="I161" s="665">
        <v>475.67596733913291</v>
      </c>
      <c r="J161" s="666">
        <v>218.28432268638224</v>
      </c>
      <c r="K161" s="666">
        <v>710.878506328507</v>
      </c>
      <c r="L161" s="666">
        <v>784.92668265095392</v>
      </c>
      <c r="M161" s="666">
        <v>515.88605290083558</v>
      </c>
      <c r="N161" s="666">
        <v>815.06891379593048</v>
      </c>
      <c r="O161" s="666">
        <v>1046.826793758353</v>
      </c>
      <c r="P161" s="666">
        <v>473.90424780788931</v>
      </c>
      <c r="Q161" s="666">
        <v>725.2887367522369</v>
      </c>
      <c r="R161" s="666">
        <v>4536.4033619463344</v>
      </c>
      <c r="S161" s="667">
        <v>8232.8799999999992</v>
      </c>
      <c r="T161" s="667">
        <v>7559.81</v>
      </c>
      <c r="U161" s="667">
        <v>7833.84</v>
      </c>
      <c r="V161" s="667">
        <v>7998.63</v>
      </c>
      <c r="W161" s="667">
        <v>7148.38</v>
      </c>
      <c r="X161" s="667">
        <v>7322.98</v>
      </c>
      <c r="Y161" s="667">
        <v>7824.35</v>
      </c>
      <c r="Z161" s="667">
        <v>6813.22</v>
      </c>
      <c r="AA161" s="667">
        <v>7826.58</v>
      </c>
      <c r="AB161" s="667">
        <v>8605.8799999999992</v>
      </c>
      <c r="AC161" s="667">
        <v>0</v>
      </c>
      <c r="AD161" s="677">
        <v>0</v>
      </c>
      <c r="AE161" s="667">
        <v>0</v>
      </c>
      <c r="AF161" s="667">
        <v>0</v>
      </c>
      <c r="AG161" s="677">
        <v>0</v>
      </c>
      <c r="AH161" s="677"/>
      <c r="AI161" s="677"/>
      <c r="AJ161" s="677"/>
      <c r="AK161" s="677"/>
      <c r="AL161" s="677"/>
      <c r="AM161" s="677"/>
      <c r="AN161" s="677"/>
      <c r="AO161" s="677"/>
      <c r="AP161" s="677"/>
      <c r="AQ161" s="677"/>
      <c r="AR161" s="677"/>
      <c r="AS161" s="677"/>
      <c r="AT161" s="677"/>
      <c r="AU161" s="677"/>
      <c r="AV161" s="677"/>
      <c r="AW161" s="677"/>
      <c r="AX161" s="677"/>
      <c r="AY161" s="677"/>
      <c r="AZ161" s="677"/>
      <c r="BA161" s="677"/>
      <c r="BB161" s="677"/>
      <c r="BC161" s="677"/>
      <c r="BD161" s="677"/>
      <c r="BE161" s="677"/>
      <c r="BF161" s="677"/>
      <c r="BG161" s="677"/>
      <c r="BH161" s="677"/>
      <c r="BI161" s="677"/>
      <c r="BJ161" s="677"/>
      <c r="BK161" s="677"/>
      <c r="BL161" s="677"/>
      <c r="BM161" s="677"/>
      <c r="BN161" s="677"/>
      <c r="BO161" s="677"/>
      <c r="BP161" s="677"/>
      <c r="BQ161" s="677"/>
      <c r="BR161" s="677"/>
      <c r="BS161" s="677"/>
      <c r="BT161" s="677"/>
      <c r="BU161" s="677"/>
      <c r="BV161" s="677"/>
      <c r="BW161" s="677"/>
      <c r="BX161" s="677"/>
      <c r="BY161" s="677"/>
      <c r="BZ161" s="677"/>
      <c r="CA161" s="677"/>
    </row>
    <row r="162" spans="1:79" s="451" customFormat="1" hidden="1" outlineLevel="1" x14ac:dyDescent="0.25">
      <c r="A162" s="656"/>
      <c r="B162" s="576"/>
      <c r="C162" s="576"/>
      <c r="D162" s="576"/>
      <c r="E162" s="570" t="s">
        <v>1327</v>
      </c>
      <c r="F162" s="656" t="s">
        <v>906</v>
      </c>
      <c r="G162" s="673"/>
      <c r="H162" s="673"/>
      <c r="I162" s="673"/>
      <c r="J162" s="675"/>
      <c r="K162" s="675"/>
      <c r="L162" s="675"/>
      <c r="M162" s="675"/>
      <c r="N162" s="675"/>
      <c r="O162" s="675"/>
      <c r="P162" s="675"/>
      <c r="Q162" s="675"/>
      <c r="R162" s="675"/>
      <c r="S162" s="676">
        <v>0</v>
      </c>
      <c r="T162" s="676">
        <v>0</v>
      </c>
      <c r="U162" s="676">
        <v>0</v>
      </c>
      <c r="V162" s="676">
        <v>0</v>
      </c>
      <c r="W162" s="676">
        <v>0</v>
      </c>
      <c r="X162" s="676">
        <v>0</v>
      </c>
      <c r="Y162" s="676">
        <v>0</v>
      </c>
      <c r="Z162" s="676">
        <v>0</v>
      </c>
      <c r="AA162" s="676">
        <v>0</v>
      </c>
      <c r="AB162" s="676">
        <v>0</v>
      </c>
      <c r="AC162" s="676">
        <v>0</v>
      </c>
      <c r="AD162" s="677">
        <v>0</v>
      </c>
      <c r="AE162" s="676">
        <v>0</v>
      </c>
      <c r="AF162" s="676">
        <v>0</v>
      </c>
      <c r="AG162" s="677">
        <v>0</v>
      </c>
      <c r="AH162" s="677"/>
      <c r="AI162" s="677"/>
      <c r="AJ162" s="677"/>
      <c r="AK162" s="677"/>
      <c r="AL162" s="677"/>
      <c r="AM162" s="677"/>
      <c r="AN162" s="677"/>
      <c r="AO162" s="677"/>
      <c r="AP162" s="677"/>
      <c r="AQ162" s="677"/>
      <c r="AR162" s="677"/>
      <c r="AS162" s="677"/>
      <c r="AT162" s="677"/>
      <c r="AU162" s="677"/>
      <c r="AV162" s="677"/>
      <c r="AW162" s="677"/>
      <c r="AX162" s="677"/>
      <c r="AY162" s="677"/>
      <c r="AZ162" s="677"/>
      <c r="BA162" s="677"/>
      <c r="BB162" s="677"/>
      <c r="BC162" s="677"/>
      <c r="BD162" s="677"/>
      <c r="BE162" s="677"/>
      <c r="BF162" s="677"/>
      <c r="BG162" s="677"/>
      <c r="BH162" s="677"/>
      <c r="BI162" s="677"/>
      <c r="BJ162" s="677"/>
      <c r="BK162" s="677"/>
      <c r="BL162" s="677"/>
      <c r="BM162" s="677"/>
      <c r="BN162" s="677"/>
      <c r="BO162" s="677"/>
      <c r="BP162" s="677"/>
      <c r="BQ162" s="677"/>
      <c r="BR162" s="677"/>
      <c r="BS162" s="677"/>
      <c r="BT162" s="677"/>
      <c r="BU162" s="677"/>
      <c r="BV162" s="677"/>
      <c r="BW162" s="677"/>
      <c r="BX162" s="677"/>
      <c r="BY162" s="677"/>
      <c r="BZ162" s="677"/>
      <c r="CA162" s="677"/>
    </row>
    <row r="163" spans="1:79" s="451" customFormat="1" hidden="1" outlineLevel="1" x14ac:dyDescent="0.25">
      <c r="A163" s="656"/>
      <c r="B163" s="576"/>
      <c r="C163" s="576"/>
      <c r="D163" s="576"/>
      <c r="E163" s="570" t="s">
        <v>1327</v>
      </c>
      <c r="F163" s="656" t="s">
        <v>764</v>
      </c>
      <c r="G163" s="673"/>
      <c r="H163" s="673"/>
      <c r="I163" s="673"/>
      <c r="J163" s="675"/>
      <c r="K163" s="675"/>
      <c r="L163" s="675"/>
      <c r="M163" s="675"/>
      <c r="N163" s="675"/>
      <c r="O163" s="675"/>
      <c r="P163" s="675"/>
      <c r="Q163" s="675"/>
      <c r="R163" s="675"/>
      <c r="S163" s="676">
        <v>0</v>
      </c>
      <c r="T163" s="676">
        <v>0</v>
      </c>
      <c r="U163" s="676">
        <v>0</v>
      </c>
      <c r="V163" s="676">
        <v>0</v>
      </c>
      <c r="W163" s="676">
        <v>0</v>
      </c>
      <c r="X163" s="676">
        <v>0</v>
      </c>
      <c r="Y163" s="676">
        <v>0</v>
      </c>
      <c r="Z163" s="676">
        <v>0</v>
      </c>
      <c r="AA163" s="676">
        <v>0</v>
      </c>
      <c r="AB163" s="676">
        <v>0</v>
      </c>
      <c r="AC163" s="676">
        <v>0</v>
      </c>
      <c r="AD163" s="677">
        <v>0</v>
      </c>
      <c r="AE163" s="676">
        <v>0</v>
      </c>
      <c r="AF163" s="676">
        <v>0</v>
      </c>
      <c r="AG163" s="677">
        <v>0</v>
      </c>
      <c r="AH163" s="677"/>
      <c r="AI163" s="677"/>
      <c r="AJ163" s="677"/>
      <c r="AK163" s="677"/>
      <c r="AL163" s="677"/>
      <c r="AM163" s="677"/>
      <c r="AN163" s="677"/>
      <c r="AO163" s="677"/>
      <c r="AP163" s="677"/>
      <c r="AQ163" s="677"/>
      <c r="AR163" s="677"/>
      <c r="AS163" s="677"/>
      <c r="AT163" s="677"/>
      <c r="AU163" s="677"/>
      <c r="AV163" s="677"/>
      <c r="AW163" s="677"/>
      <c r="AX163" s="677"/>
      <c r="AY163" s="677"/>
      <c r="AZ163" s="677"/>
      <c r="BA163" s="677"/>
      <c r="BB163" s="677"/>
      <c r="BC163" s="677"/>
      <c r="BD163" s="677"/>
      <c r="BE163" s="677"/>
      <c r="BF163" s="677"/>
      <c r="BG163" s="677"/>
      <c r="BH163" s="677"/>
      <c r="BI163" s="677"/>
      <c r="BJ163" s="677"/>
      <c r="BK163" s="677"/>
      <c r="BL163" s="677"/>
      <c r="BM163" s="677"/>
      <c r="BN163" s="677"/>
      <c r="BO163" s="677"/>
      <c r="BP163" s="677"/>
      <c r="BQ163" s="677"/>
      <c r="BR163" s="677"/>
      <c r="BS163" s="677"/>
      <c r="BT163" s="677"/>
      <c r="BU163" s="677"/>
      <c r="BV163" s="677"/>
      <c r="BW163" s="677"/>
      <c r="BX163" s="677"/>
      <c r="BY163" s="677"/>
      <c r="BZ163" s="677"/>
      <c r="CA163" s="677"/>
    </row>
    <row r="164" spans="1:79" s="308" customFormat="1" hidden="1" outlineLevel="1" x14ac:dyDescent="0.25">
      <c r="A164" s="662"/>
      <c r="B164" s="29"/>
      <c r="C164" s="29"/>
      <c r="D164" s="29"/>
      <c r="E164" s="570" t="s">
        <v>49</v>
      </c>
      <c r="F164" s="662" t="s">
        <v>642</v>
      </c>
      <c r="G164" s="678">
        <f>SUM(G161:G163)</f>
        <v>583.08911240402745</v>
      </c>
      <c r="H164" s="678">
        <f t="shared" ref="H164:BO164" si="51">SUM(H161:H163)</f>
        <v>361.09496888920626</v>
      </c>
      <c r="I164" s="678">
        <f t="shared" si="51"/>
        <v>475.67596733913291</v>
      </c>
      <c r="J164" s="678">
        <f t="shared" si="51"/>
        <v>218.28432268638224</v>
      </c>
      <c r="K164" s="678">
        <f t="shared" si="51"/>
        <v>710.878506328507</v>
      </c>
      <c r="L164" s="678">
        <f t="shared" si="51"/>
        <v>784.92668265095392</v>
      </c>
      <c r="M164" s="678">
        <f t="shared" si="51"/>
        <v>515.88605290083558</v>
      </c>
      <c r="N164" s="678">
        <f t="shared" si="51"/>
        <v>815.06891379593048</v>
      </c>
      <c r="O164" s="678">
        <f t="shared" si="51"/>
        <v>1046.826793758353</v>
      </c>
      <c r="P164" s="678">
        <f t="shared" si="51"/>
        <v>473.90424780788931</v>
      </c>
      <c r="Q164" s="678">
        <f t="shared" si="51"/>
        <v>725.2887367522369</v>
      </c>
      <c r="R164" s="678">
        <f t="shared" si="51"/>
        <v>4536.4033619463344</v>
      </c>
      <c r="S164" s="678">
        <f t="shared" ref="S164:AA164" si="52">ROUND(SUM(S159:S163),5)</f>
        <v>8232.8799999999992</v>
      </c>
      <c r="T164" s="678">
        <f t="shared" si="52"/>
        <v>7559.81</v>
      </c>
      <c r="U164" s="678">
        <f t="shared" si="52"/>
        <v>7833.84</v>
      </c>
      <c r="V164" s="678">
        <f t="shared" si="52"/>
        <v>7998.63</v>
      </c>
      <c r="W164" s="678">
        <f t="shared" si="52"/>
        <v>7148.38</v>
      </c>
      <c r="X164" s="678">
        <f t="shared" si="52"/>
        <v>7322.98</v>
      </c>
      <c r="Y164" s="678">
        <f t="shared" si="52"/>
        <v>7824.35</v>
      </c>
      <c r="Z164" s="678">
        <f t="shared" si="52"/>
        <v>6813.22</v>
      </c>
      <c r="AA164" s="678">
        <f t="shared" si="52"/>
        <v>7826.58</v>
      </c>
      <c r="AB164" s="678">
        <f>ROUND(SUM(AB159:AB163),5)</f>
        <v>8605.8799999999992</v>
      </c>
      <c r="AC164" s="678">
        <f>ROUND(SUM(AC159:AC163),5)</f>
        <v>0</v>
      </c>
      <c r="AD164" s="678">
        <v>0</v>
      </c>
      <c r="AE164" s="678">
        <f>ROUND(SUM(AE159:AE163),5)</f>
        <v>0</v>
      </c>
      <c r="AF164" s="678">
        <f>ROUND(SUM(AF159:AF163),5)</f>
        <v>0</v>
      </c>
      <c r="AG164" s="678">
        <v>0</v>
      </c>
      <c r="AH164" s="678">
        <f t="shared" si="51"/>
        <v>0</v>
      </c>
      <c r="AI164" s="678">
        <f t="shared" si="51"/>
        <v>0</v>
      </c>
      <c r="AJ164" s="678">
        <f t="shared" si="51"/>
        <v>0</v>
      </c>
      <c r="AK164" s="678">
        <f t="shared" si="51"/>
        <v>0</v>
      </c>
      <c r="AL164" s="678">
        <f t="shared" si="51"/>
        <v>0</v>
      </c>
      <c r="AM164" s="678">
        <f t="shared" si="51"/>
        <v>0</v>
      </c>
      <c r="AN164" s="678">
        <f t="shared" si="51"/>
        <v>0</v>
      </c>
      <c r="AO164" s="678">
        <f t="shared" si="51"/>
        <v>0</v>
      </c>
      <c r="AP164" s="678">
        <f t="shared" si="51"/>
        <v>0</v>
      </c>
      <c r="AQ164" s="678">
        <f t="shared" si="51"/>
        <v>0</v>
      </c>
      <c r="AR164" s="678">
        <f t="shared" si="51"/>
        <v>0</v>
      </c>
      <c r="AS164" s="678">
        <f t="shared" si="51"/>
        <v>0</v>
      </c>
      <c r="AT164" s="678">
        <f t="shared" si="51"/>
        <v>0</v>
      </c>
      <c r="AU164" s="678">
        <f t="shared" si="51"/>
        <v>0</v>
      </c>
      <c r="AV164" s="678">
        <f t="shared" si="51"/>
        <v>0</v>
      </c>
      <c r="AW164" s="678">
        <f t="shared" si="51"/>
        <v>0</v>
      </c>
      <c r="AX164" s="678">
        <f t="shared" si="51"/>
        <v>0</v>
      </c>
      <c r="AY164" s="678">
        <f t="shared" si="51"/>
        <v>0</v>
      </c>
      <c r="AZ164" s="678">
        <f t="shared" si="51"/>
        <v>0</v>
      </c>
      <c r="BA164" s="678">
        <f t="shared" si="51"/>
        <v>0</v>
      </c>
      <c r="BB164" s="678">
        <f t="shared" si="51"/>
        <v>0</v>
      </c>
      <c r="BC164" s="678">
        <f t="shared" si="51"/>
        <v>0</v>
      </c>
      <c r="BD164" s="678">
        <f t="shared" si="51"/>
        <v>0</v>
      </c>
      <c r="BE164" s="678">
        <f t="shared" si="51"/>
        <v>0</v>
      </c>
      <c r="BF164" s="678">
        <f t="shared" si="51"/>
        <v>0</v>
      </c>
      <c r="BG164" s="678">
        <f t="shared" si="51"/>
        <v>0</v>
      </c>
      <c r="BH164" s="678">
        <f t="shared" si="51"/>
        <v>0</v>
      </c>
      <c r="BI164" s="678">
        <f t="shared" si="51"/>
        <v>0</v>
      </c>
      <c r="BJ164" s="678">
        <f t="shared" si="51"/>
        <v>0</v>
      </c>
      <c r="BK164" s="678">
        <f t="shared" si="51"/>
        <v>0</v>
      </c>
      <c r="BL164" s="678">
        <f t="shared" si="51"/>
        <v>0</v>
      </c>
      <c r="BM164" s="678">
        <f t="shared" si="51"/>
        <v>0</v>
      </c>
      <c r="BN164" s="678">
        <f t="shared" si="51"/>
        <v>0</v>
      </c>
      <c r="BO164" s="678">
        <f t="shared" si="51"/>
        <v>0</v>
      </c>
      <c r="BP164" s="678">
        <f t="shared" ref="BP164:CA164" si="53">SUM(BP161:BP163)</f>
        <v>0</v>
      </c>
      <c r="BQ164" s="678">
        <f t="shared" si="53"/>
        <v>0</v>
      </c>
      <c r="BR164" s="678">
        <f t="shared" si="53"/>
        <v>0</v>
      </c>
      <c r="BS164" s="678">
        <f t="shared" si="53"/>
        <v>0</v>
      </c>
      <c r="BT164" s="678">
        <f t="shared" si="53"/>
        <v>0</v>
      </c>
      <c r="BU164" s="678">
        <f t="shared" si="53"/>
        <v>0</v>
      </c>
      <c r="BV164" s="678">
        <f t="shared" si="53"/>
        <v>0</v>
      </c>
      <c r="BW164" s="678">
        <f t="shared" si="53"/>
        <v>0</v>
      </c>
      <c r="BX164" s="678">
        <f t="shared" si="53"/>
        <v>0</v>
      </c>
      <c r="BY164" s="678">
        <f t="shared" si="53"/>
        <v>0</v>
      </c>
      <c r="BZ164" s="678">
        <f t="shared" si="53"/>
        <v>0</v>
      </c>
      <c r="CA164" s="678">
        <f t="shared" si="53"/>
        <v>0</v>
      </c>
    </row>
    <row r="165" spans="1:79" hidden="1" outlineLevel="1" x14ac:dyDescent="0.25">
      <c r="A165" s="658"/>
      <c r="E165" s="570" t="s">
        <v>922</v>
      </c>
      <c r="F165" s="658" t="s">
        <v>603</v>
      </c>
      <c r="G165" s="665"/>
      <c r="H165" s="665">
        <v>33.560439269433019</v>
      </c>
      <c r="I165" s="665">
        <v>33.150791216562098</v>
      </c>
      <c r="J165" s="666">
        <v>28.445308915225748</v>
      </c>
      <c r="K165" s="666">
        <v>63.547062859773682</v>
      </c>
      <c r="L165" s="666"/>
      <c r="M165" s="666">
        <v>7.7217799302010919</v>
      </c>
      <c r="N165" s="666"/>
      <c r="O165" s="666"/>
      <c r="P165" s="666">
        <v>1.9358654869732723</v>
      </c>
      <c r="Q165" s="666"/>
      <c r="R165" s="666"/>
      <c r="S165" s="667">
        <v>0</v>
      </c>
      <c r="T165" s="667">
        <v>472.89</v>
      </c>
      <c r="U165" s="667">
        <v>0</v>
      </c>
      <c r="V165" s="667">
        <v>997.5</v>
      </c>
      <c r="W165" s="667">
        <v>997.5</v>
      </c>
      <c r="X165" s="667">
        <v>48.9</v>
      </c>
      <c r="Y165" s="667">
        <v>0</v>
      </c>
      <c r="Z165" s="667">
        <v>0</v>
      </c>
      <c r="AA165" s="667">
        <v>0</v>
      </c>
      <c r="AB165" s="667">
        <v>0</v>
      </c>
      <c r="AC165" s="667">
        <v>0</v>
      </c>
      <c r="AD165" s="668">
        <v>0</v>
      </c>
      <c r="AE165" s="667">
        <v>0</v>
      </c>
      <c r="AF165" s="667">
        <v>51.41</v>
      </c>
      <c r="AG165" s="668">
        <v>0</v>
      </c>
      <c r="AH165" s="668"/>
      <c r="AI165" s="668"/>
      <c r="AJ165" s="668"/>
      <c r="AK165" s="668"/>
      <c r="AL165" s="668"/>
      <c r="AM165" s="668"/>
      <c r="AN165" s="668"/>
      <c r="AO165" s="668"/>
      <c r="AP165" s="668"/>
      <c r="AQ165" s="668"/>
      <c r="AR165" s="668"/>
      <c r="AS165" s="668"/>
      <c r="AT165" s="668"/>
      <c r="AU165" s="668"/>
      <c r="AV165" s="668"/>
      <c r="AW165" s="668"/>
      <c r="AX165" s="668"/>
      <c r="AY165" s="668"/>
      <c r="AZ165" s="668"/>
      <c r="BA165" s="668"/>
      <c r="BB165" s="668"/>
      <c r="BC165" s="668"/>
      <c r="BD165" s="668"/>
      <c r="BE165" s="668"/>
      <c r="BF165" s="668"/>
      <c r="BG165" s="668"/>
      <c r="BH165" s="668"/>
      <c r="BI165" s="668"/>
      <c r="BJ165" s="668"/>
      <c r="BK165" s="668"/>
      <c r="BL165" s="668"/>
      <c r="BM165" s="668"/>
      <c r="BN165" s="668"/>
      <c r="BO165" s="668"/>
      <c r="BP165" s="668"/>
      <c r="BQ165" s="668"/>
      <c r="BR165" s="668"/>
      <c r="BS165" s="668"/>
      <c r="BT165" s="668"/>
      <c r="BU165" s="668"/>
      <c r="BV165" s="668"/>
      <c r="BW165" s="668"/>
      <c r="BX165" s="668"/>
      <c r="BY165" s="668"/>
      <c r="BZ165" s="668"/>
      <c r="CA165" s="668"/>
    </row>
    <row r="166" spans="1:79" hidden="1" outlineLevel="1" x14ac:dyDescent="0.25">
      <c r="A166" s="658"/>
      <c r="E166" s="570" t="s">
        <v>918</v>
      </c>
      <c r="F166" s="658" t="s">
        <v>604</v>
      </c>
      <c r="G166" s="665">
        <v>194.81837767622494</v>
      </c>
      <c r="H166" s="665">
        <v>33.710183452770586</v>
      </c>
      <c r="I166" s="665">
        <v>20.296402785650265</v>
      </c>
      <c r="J166" s="666">
        <v>2236.014620553608</v>
      </c>
      <c r="K166" s="666">
        <v>129.53824352184637</v>
      </c>
      <c r="L166" s="666">
        <v>2012.7717452546296</v>
      </c>
      <c r="M166" s="666">
        <v>1853.2194614683319</v>
      </c>
      <c r="N166" s="666">
        <v>2754.9999481303234</v>
      </c>
      <c r="O166" s="666">
        <v>13.53815056037079</v>
      </c>
      <c r="P166" s="666">
        <v>1188.4648830619644</v>
      </c>
      <c r="Q166" s="666"/>
      <c r="R166" s="666"/>
      <c r="S166" s="667">
        <v>200</v>
      </c>
      <c r="T166" s="667">
        <v>125</v>
      </c>
      <c r="U166" s="667">
        <v>263.16000000000003</v>
      </c>
      <c r="V166" s="667">
        <v>25</v>
      </c>
      <c r="W166" s="667">
        <v>150</v>
      </c>
      <c r="X166" s="667">
        <v>135</v>
      </c>
      <c r="Y166" s="667">
        <v>60</v>
      </c>
      <c r="Z166" s="667">
        <v>60</v>
      </c>
      <c r="AA166" s="667">
        <v>60</v>
      </c>
      <c r="AB166" s="667">
        <v>135</v>
      </c>
      <c r="AC166" s="667">
        <v>185</v>
      </c>
      <c r="AD166" s="668">
        <v>0</v>
      </c>
      <c r="AE166" s="667">
        <v>135</v>
      </c>
      <c r="AF166" s="667">
        <v>60</v>
      </c>
      <c r="AG166" s="668">
        <v>60</v>
      </c>
      <c r="AH166" s="668"/>
      <c r="AI166" s="668"/>
      <c r="AJ166" s="668"/>
      <c r="AK166" s="668"/>
      <c r="AL166" s="668"/>
      <c r="AM166" s="668"/>
      <c r="AN166" s="668"/>
      <c r="AO166" s="668"/>
      <c r="AP166" s="668"/>
      <c r="AQ166" s="668"/>
      <c r="AR166" s="668"/>
      <c r="AS166" s="668"/>
      <c r="AT166" s="668"/>
      <c r="AU166" s="668"/>
      <c r="AV166" s="668"/>
      <c r="AW166" s="668"/>
      <c r="AX166" s="668"/>
      <c r="AY166" s="668"/>
      <c r="AZ166" s="668"/>
      <c r="BA166" s="668"/>
      <c r="BB166" s="668"/>
      <c r="BC166" s="668"/>
      <c r="BD166" s="668"/>
      <c r="BE166" s="668"/>
      <c r="BF166" s="668"/>
      <c r="BG166" s="668"/>
      <c r="BH166" s="668"/>
      <c r="BI166" s="668"/>
      <c r="BJ166" s="668"/>
      <c r="BK166" s="668"/>
      <c r="BL166" s="668"/>
      <c r="BM166" s="668"/>
      <c r="BN166" s="668"/>
      <c r="BO166" s="668"/>
      <c r="BP166" s="668"/>
      <c r="BQ166" s="668"/>
      <c r="BR166" s="668"/>
      <c r="BS166" s="668"/>
      <c r="BT166" s="668"/>
      <c r="BU166" s="668"/>
      <c r="BV166" s="668"/>
      <c r="BW166" s="668"/>
      <c r="BX166" s="668"/>
      <c r="BY166" s="668"/>
      <c r="BZ166" s="668"/>
      <c r="CA166" s="668"/>
    </row>
    <row r="167" spans="1:79" hidden="1" outlineLevel="1" x14ac:dyDescent="0.25">
      <c r="A167" s="701"/>
      <c r="B167" s="693"/>
      <c r="C167" s="693"/>
      <c r="D167" s="693"/>
      <c r="E167" s="570" t="s">
        <v>1341</v>
      </c>
      <c r="F167" s="701" t="s">
        <v>652</v>
      </c>
      <c r="G167" s="702"/>
      <c r="H167" s="702"/>
      <c r="I167" s="702"/>
      <c r="J167" s="704"/>
      <c r="K167" s="704"/>
      <c r="L167" s="704"/>
      <c r="M167" s="704"/>
      <c r="N167" s="704"/>
      <c r="O167" s="704"/>
      <c r="P167" s="704"/>
      <c r="Q167" s="704"/>
      <c r="R167" s="704"/>
      <c r="S167" s="704"/>
      <c r="T167" s="704"/>
      <c r="U167" s="704"/>
      <c r="V167" s="704"/>
      <c r="W167" s="704"/>
      <c r="X167" s="704"/>
      <c r="Y167" s="704"/>
      <c r="Z167" s="704"/>
      <c r="AA167" s="704"/>
      <c r="AB167" s="704"/>
      <c r="AC167" s="704"/>
      <c r="AD167" s="699"/>
      <c r="AE167" s="704"/>
      <c r="AF167" s="704"/>
      <c r="AG167" s="699"/>
      <c r="AH167" s="699"/>
      <c r="AI167" s="699"/>
      <c r="AJ167" s="699"/>
      <c r="AK167" s="699"/>
      <c r="AL167" s="699"/>
      <c r="AM167" s="699"/>
      <c r="AN167" s="699"/>
      <c r="AO167" s="699"/>
      <c r="AP167" s="699"/>
      <c r="AQ167" s="699"/>
      <c r="AR167" s="699"/>
      <c r="AS167" s="699"/>
      <c r="AT167" s="699"/>
      <c r="AU167" s="699"/>
      <c r="AV167" s="699"/>
      <c r="AW167" s="699"/>
      <c r="AX167" s="699"/>
      <c r="AY167" s="699"/>
      <c r="AZ167" s="699"/>
      <c r="BA167" s="699"/>
      <c r="BB167" s="699"/>
      <c r="BC167" s="699"/>
      <c r="BD167" s="699"/>
      <c r="BE167" s="699"/>
      <c r="BF167" s="699"/>
      <c r="BG167" s="699"/>
      <c r="BH167" s="699"/>
      <c r="BI167" s="699"/>
      <c r="BJ167" s="699"/>
      <c r="BK167" s="699"/>
      <c r="BL167" s="699"/>
      <c r="BM167" s="699"/>
      <c r="BN167" s="699"/>
      <c r="BO167" s="699"/>
      <c r="BP167" s="699"/>
      <c r="BQ167" s="699"/>
      <c r="BR167" s="699"/>
      <c r="BS167" s="699"/>
      <c r="BT167" s="699"/>
      <c r="BU167" s="699"/>
      <c r="BV167" s="699"/>
      <c r="BW167" s="699"/>
      <c r="BX167" s="699"/>
      <c r="BY167" s="699"/>
      <c r="BZ167" s="699"/>
      <c r="CA167" s="699"/>
    </row>
    <row r="168" spans="1:79" hidden="1" outlineLevel="1" x14ac:dyDescent="0.25">
      <c r="A168" s="656"/>
      <c r="B168" s="570"/>
      <c r="C168" s="570"/>
      <c r="D168" s="570"/>
      <c r="E168" s="570" t="s">
        <v>1341</v>
      </c>
      <c r="F168" s="656" t="s">
        <v>653</v>
      </c>
      <c r="G168" s="665"/>
      <c r="H168" s="665"/>
      <c r="I168" s="665"/>
      <c r="J168" s="666"/>
      <c r="K168" s="666"/>
      <c r="L168" s="666"/>
      <c r="M168" s="666"/>
      <c r="N168" s="666"/>
      <c r="O168" s="666"/>
      <c r="P168" s="666"/>
      <c r="Q168" s="666"/>
      <c r="R168" s="666"/>
      <c r="S168" s="667">
        <v>0</v>
      </c>
      <c r="T168" s="667">
        <v>0</v>
      </c>
      <c r="U168" s="667">
        <v>0</v>
      </c>
      <c r="V168" s="667">
        <v>0</v>
      </c>
      <c r="W168" s="667">
        <v>0</v>
      </c>
      <c r="X168" s="667">
        <v>0</v>
      </c>
      <c r="Y168" s="667">
        <v>0</v>
      </c>
      <c r="Z168" s="667">
        <v>0</v>
      </c>
      <c r="AA168" s="667">
        <v>0</v>
      </c>
      <c r="AB168" s="667">
        <v>0</v>
      </c>
      <c r="AC168" s="667">
        <v>0</v>
      </c>
      <c r="AD168" s="668">
        <v>0</v>
      </c>
      <c r="AE168" s="667">
        <v>0</v>
      </c>
      <c r="AF168" s="667">
        <v>0</v>
      </c>
      <c r="AG168" s="668">
        <v>0</v>
      </c>
      <c r="AH168" s="668"/>
      <c r="AI168" s="668"/>
      <c r="AJ168" s="668"/>
      <c r="AK168" s="668"/>
      <c r="AL168" s="668"/>
      <c r="AM168" s="668"/>
      <c r="AN168" s="668"/>
      <c r="AO168" s="668"/>
      <c r="AP168" s="668"/>
      <c r="AQ168" s="668"/>
      <c r="AR168" s="668"/>
      <c r="AS168" s="668"/>
      <c r="AT168" s="668"/>
      <c r="AU168" s="668"/>
      <c r="AV168" s="668"/>
      <c r="AW168" s="668"/>
      <c r="AX168" s="668"/>
      <c r="AY168" s="668"/>
      <c r="AZ168" s="668"/>
      <c r="BA168" s="668"/>
      <c r="BB168" s="668"/>
      <c r="BC168" s="668"/>
      <c r="BD168" s="668"/>
      <c r="BE168" s="668"/>
      <c r="BF168" s="668"/>
      <c r="BG168" s="668"/>
      <c r="BH168" s="668"/>
      <c r="BI168" s="668"/>
      <c r="BJ168" s="668"/>
      <c r="BK168" s="668"/>
      <c r="BL168" s="668"/>
      <c r="BM168" s="668"/>
      <c r="BN168" s="668"/>
      <c r="BO168" s="668"/>
      <c r="BP168" s="668"/>
      <c r="BQ168" s="668"/>
      <c r="BR168" s="668"/>
      <c r="BS168" s="668"/>
      <c r="BT168" s="668"/>
      <c r="BU168" s="668"/>
      <c r="BV168" s="668"/>
      <c r="BW168" s="668"/>
      <c r="BX168" s="668"/>
      <c r="BY168" s="668"/>
      <c r="BZ168" s="668"/>
      <c r="CA168" s="668"/>
    </row>
    <row r="169" spans="1:79" hidden="1" outlineLevel="1" x14ac:dyDescent="0.25">
      <c r="A169" s="656"/>
      <c r="B169" s="570"/>
      <c r="C169" s="570"/>
      <c r="D169" s="570"/>
      <c r="E169" s="570" t="s">
        <v>1341</v>
      </c>
      <c r="F169" s="656" t="s">
        <v>907</v>
      </c>
      <c r="G169" s="665"/>
      <c r="H169" s="665"/>
      <c r="I169" s="665"/>
      <c r="J169" s="666"/>
      <c r="K169" s="666"/>
      <c r="L169" s="666"/>
      <c r="M169" s="666"/>
      <c r="N169" s="666"/>
      <c r="O169" s="666"/>
      <c r="P169" s="666"/>
      <c r="Q169" s="666"/>
      <c r="R169" s="666"/>
      <c r="S169" s="667">
        <v>0</v>
      </c>
      <c r="T169" s="667">
        <v>0</v>
      </c>
      <c r="U169" s="667">
        <v>0</v>
      </c>
      <c r="V169" s="667">
        <v>0</v>
      </c>
      <c r="W169" s="667">
        <v>0</v>
      </c>
      <c r="X169" s="667">
        <v>0</v>
      </c>
      <c r="Y169" s="667">
        <v>0</v>
      </c>
      <c r="Z169" s="667">
        <v>0</v>
      </c>
      <c r="AA169" s="667">
        <v>0</v>
      </c>
      <c r="AB169" s="667">
        <v>0</v>
      </c>
      <c r="AC169" s="667">
        <v>0</v>
      </c>
      <c r="AD169" s="668">
        <v>0</v>
      </c>
      <c r="AE169" s="667">
        <v>0</v>
      </c>
      <c r="AF169" s="667">
        <v>0</v>
      </c>
      <c r="AG169" s="668">
        <v>0</v>
      </c>
      <c r="AH169" s="668"/>
      <c r="AI169" s="668"/>
      <c r="AJ169" s="668"/>
      <c r="AK169" s="668"/>
      <c r="AL169" s="668"/>
      <c r="AM169" s="668"/>
      <c r="AN169" s="668"/>
      <c r="AO169" s="668"/>
      <c r="AP169" s="668"/>
      <c r="AQ169" s="668"/>
      <c r="AR169" s="668"/>
      <c r="AS169" s="668"/>
      <c r="AT169" s="668"/>
      <c r="AU169" s="668"/>
      <c r="AV169" s="668"/>
      <c r="AW169" s="668"/>
      <c r="AX169" s="668"/>
      <c r="AY169" s="668"/>
      <c r="AZ169" s="668"/>
      <c r="BA169" s="668"/>
      <c r="BB169" s="668"/>
      <c r="BC169" s="668"/>
      <c r="BD169" s="668"/>
      <c r="BE169" s="668"/>
      <c r="BF169" s="668"/>
      <c r="BG169" s="668"/>
      <c r="BH169" s="668"/>
      <c r="BI169" s="668"/>
      <c r="BJ169" s="668"/>
      <c r="BK169" s="668"/>
      <c r="BL169" s="668"/>
      <c r="BM169" s="668"/>
      <c r="BN169" s="668"/>
      <c r="BO169" s="668"/>
      <c r="BP169" s="668"/>
      <c r="BQ169" s="668"/>
      <c r="BR169" s="668"/>
      <c r="BS169" s="668"/>
      <c r="BT169" s="668"/>
      <c r="BU169" s="668"/>
      <c r="BV169" s="668"/>
      <c r="BW169" s="668"/>
      <c r="BX169" s="668"/>
      <c r="BY169" s="668"/>
      <c r="BZ169" s="668"/>
      <c r="CA169" s="668"/>
    </row>
    <row r="170" spans="1:79" hidden="1" outlineLevel="1" x14ac:dyDescent="0.25">
      <c r="A170" s="656"/>
      <c r="B170" s="570"/>
      <c r="C170" s="570"/>
      <c r="D170" s="570"/>
      <c r="E170" s="570" t="s">
        <v>1341</v>
      </c>
      <c r="F170" s="656" t="s">
        <v>908</v>
      </c>
      <c r="G170" s="665"/>
      <c r="H170" s="665"/>
      <c r="I170" s="665"/>
      <c r="J170" s="666"/>
      <c r="K170" s="666"/>
      <c r="L170" s="666"/>
      <c r="M170" s="666"/>
      <c r="N170" s="666"/>
      <c r="O170" s="666"/>
      <c r="P170" s="666"/>
      <c r="Q170" s="666"/>
      <c r="R170" s="666"/>
      <c r="S170" s="667">
        <v>0</v>
      </c>
      <c r="T170" s="667">
        <v>0</v>
      </c>
      <c r="U170" s="667">
        <v>0</v>
      </c>
      <c r="V170" s="667">
        <v>0</v>
      </c>
      <c r="W170" s="667">
        <v>0</v>
      </c>
      <c r="X170" s="667">
        <v>0</v>
      </c>
      <c r="Y170" s="667">
        <v>0</v>
      </c>
      <c r="Z170" s="667">
        <v>0</v>
      </c>
      <c r="AA170" s="667">
        <v>0</v>
      </c>
      <c r="AB170" s="667">
        <v>0</v>
      </c>
      <c r="AC170" s="667">
        <v>0</v>
      </c>
      <c r="AD170" s="668">
        <v>0</v>
      </c>
      <c r="AE170" s="667">
        <v>0</v>
      </c>
      <c r="AF170" s="667">
        <v>0</v>
      </c>
      <c r="AG170" s="668">
        <v>0</v>
      </c>
      <c r="AH170" s="668"/>
      <c r="AI170" s="668"/>
      <c r="AJ170" s="668"/>
      <c r="AK170" s="668"/>
      <c r="AL170" s="668"/>
      <c r="AM170" s="668"/>
      <c r="AN170" s="668"/>
      <c r="AO170" s="668"/>
      <c r="AP170" s="668"/>
      <c r="AQ170" s="668"/>
      <c r="AR170" s="668"/>
      <c r="AS170" s="668"/>
      <c r="AT170" s="668"/>
      <c r="AU170" s="668"/>
      <c r="AV170" s="668"/>
      <c r="AW170" s="668"/>
      <c r="AX170" s="668"/>
      <c r="AY170" s="668"/>
      <c r="AZ170" s="668"/>
      <c r="BA170" s="668"/>
      <c r="BB170" s="668"/>
      <c r="BC170" s="668"/>
      <c r="BD170" s="668"/>
      <c r="BE170" s="668"/>
      <c r="BF170" s="668"/>
      <c r="BG170" s="668"/>
      <c r="BH170" s="668"/>
      <c r="BI170" s="668"/>
      <c r="BJ170" s="668"/>
      <c r="BK170" s="668"/>
      <c r="BL170" s="668"/>
      <c r="BM170" s="668"/>
      <c r="BN170" s="668"/>
      <c r="BO170" s="668"/>
      <c r="BP170" s="668"/>
      <c r="BQ170" s="668"/>
      <c r="BR170" s="668"/>
      <c r="BS170" s="668"/>
      <c r="BT170" s="668"/>
      <c r="BU170" s="668"/>
      <c r="BV170" s="668"/>
      <c r="BW170" s="668"/>
      <c r="BX170" s="668"/>
      <c r="BY170" s="668"/>
      <c r="BZ170" s="668"/>
      <c r="CA170" s="668"/>
    </row>
    <row r="171" spans="1:79" hidden="1" outlineLevel="1" x14ac:dyDescent="0.25">
      <c r="A171" s="656"/>
      <c r="B171" s="570"/>
      <c r="C171" s="570"/>
      <c r="D171" s="570"/>
      <c r="E171" s="570" t="s">
        <v>1341</v>
      </c>
      <c r="F171" s="656" t="s">
        <v>654</v>
      </c>
      <c r="G171" s="665"/>
      <c r="H171" s="665"/>
      <c r="I171" s="665"/>
      <c r="J171" s="666"/>
      <c r="K171" s="666"/>
      <c r="L171" s="666"/>
      <c r="M171" s="666"/>
      <c r="N171" s="666"/>
      <c r="O171" s="666"/>
      <c r="P171" s="666"/>
      <c r="Q171" s="666"/>
      <c r="R171" s="666"/>
      <c r="S171" s="667">
        <v>0</v>
      </c>
      <c r="T171" s="667">
        <v>0</v>
      </c>
      <c r="U171" s="667">
        <v>0</v>
      </c>
      <c r="V171" s="667">
        <v>0</v>
      </c>
      <c r="W171" s="667">
        <v>0</v>
      </c>
      <c r="X171" s="667">
        <v>0</v>
      </c>
      <c r="Y171" s="667">
        <v>0</v>
      </c>
      <c r="Z171" s="667">
        <v>0</v>
      </c>
      <c r="AA171" s="667">
        <v>0</v>
      </c>
      <c r="AB171" s="667">
        <v>0</v>
      </c>
      <c r="AC171" s="667">
        <v>0</v>
      </c>
      <c r="AD171" s="668">
        <v>0</v>
      </c>
      <c r="AE171" s="667">
        <v>0</v>
      </c>
      <c r="AF171" s="667">
        <v>0</v>
      </c>
      <c r="AG171" s="668">
        <v>0</v>
      </c>
      <c r="AH171" s="668"/>
      <c r="AI171" s="668"/>
      <c r="AJ171" s="668"/>
      <c r="AK171" s="668"/>
      <c r="AL171" s="668"/>
      <c r="AM171" s="668"/>
      <c r="AN171" s="668"/>
      <c r="AO171" s="668"/>
      <c r="AP171" s="668"/>
      <c r="AQ171" s="668"/>
      <c r="AR171" s="668"/>
      <c r="AS171" s="668"/>
      <c r="AT171" s="668"/>
      <c r="AU171" s="668"/>
      <c r="AV171" s="668"/>
      <c r="AW171" s="668"/>
      <c r="AX171" s="668"/>
      <c r="AY171" s="668"/>
      <c r="AZ171" s="668"/>
      <c r="BA171" s="668"/>
      <c r="BB171" s="668"/>
      <c r="BC171" s="668"/>
      <c r="BD171" s="668"/>
      <c r="BE171" s="668"/>
      <c r="BF171" s="668"/>
      <c r="BG171" s="668"/>
      <c r="BH171" s="668"/>
      <c r="BI171" s="668"/>
      <c r="BJ171" s="668"/>
      <c r="BK171" s="668"/>
      <c r="BL171" s="668"/>
      <c r="BM171" s="668"/>
      <c r="BN171" s="668"/>
      <c r="BO171" s="668"/>
      <c r="BP171" s="668"/>
      <c r="BQ171" s="668"/>
      <c r="BR171" s="668"/>
      <c r="BS171" s="668"/>
      <c r="BT171" s="668"/>
      <c r="BU171" s="668"/>
      <c r="BV171" s="668"/>
      <c r="BW171" s="668"/>
      <c r="BX171" s="668"/>
      <c r="BY171" s="668"/>
      <c r="BZ171" s="668"/>
      <c r="CA171" s="668"/>
    </row>
    <row r="172" spans="1:79" hidden="1" outlineLevel="1" x14ac:dyDescent="0.25">
      <c r="A172" s="656"/>
      <c r="B172" s="570"/>
      <c r="C172" s="570"/>
      <c r="D172" s="570"/>
      <c r="E172" s="570" t="s">
        <v>1341</v>
      </c>
      <c r="F172" s="656" t="s">
        <v>909</v>
      </c>
      <c r="G172" s="665"/>
      <c r="H172" s="665"/>
      <c r="I172" s="665"/>
      <c r="J172" s="666"/>
      <c r="K172" s="666"/>
      <c r="L172" s="666"/>
      <c r="M172" s="666"/>
      <c r="N172" s="666"/>
      <c r="O172" s="666"/>
      <c r="P172" s="666"/>
      <c r="Q172" s="666"/>
      <c r="R172" s="666"/>
      <c r="S172" s="667">
        <v>0</v>
      </c>
      <c r="T172" s="667">
        <v>0</v>
      </c>
      <c r="U172" s="667">
        <v>0</v>
      </c>
      <c r="V172" s="667">
        <v>0</v>
      </c>
      <c r="W172" s="667">
        <v>0</v>
      </c>
      <c r="X172" s="667">
        <v>0</v>
      </c>
      <c r="Y172" s="667">
        <v>0</v>
      </c>
      <c r="Z172" s="667">
        <v>0</v>
      </c>
      <c r="AA172" s="667">
        <v>0</v>
      </c>
      <c r="AB172" s="667">
        <v>0</v>
      </c>
      <c r="AC172" s="667">
        <v>0</v>
      </c>
      <c r="AD172" s="668">
        <v>0</v>
      </c>
      <c r="AE172" s="667">
        <v>0</v>
      </c>
      <c r="AF172" s="667">
        <v>0</v>
      </c>
      <c r="AG172" s="668">
        <v>0</v>
      </c>
      <c r="AH172" s="668"/>
      <c r="AI172" s="668"/>
      <c r="AJ172" s="668"/>
      <c r="AK172" s="668"/>
      <c r="AL172" s="668"/>
      <c r="AM172" s="668"/>
      <c r="AN172" s="668"/>
      <c r="AO172" s="668"/>
      <c r="AP172" s="668"/>
      <c r="AQ172" s="668"/>
      <c r="AR172" s="668"/>
      <c r="AS172" s="668"/>
      <c r="AT172" s="668"/>
      <c r="AU172" s="668"/>
      <c r="AV172" s="668"/>
      <c r="AW172" s="668"/>
      <c r="AX172" s="668"/>
      <c r="AY172" s="668"/>
      <c r="AZ172" s="668"/>
      <c r="BA172" s="668"/>
      <c r="BB172" s="668"/>
      <c r="BC172" s="668"/>
      <c r="BD172" s="668"/>
      <c r="BE172" s="668"/>
      <c r="BF172" s="668"/>
      <c r="BG172" s="668"/>
      <c r="BH172" s="668"/>
      <c r="BI172" s="668"/>
      <c r="BJ172" s="668"/>
      <c r="BK172" s="668"/>
      <c r="BL172" s="668"/>
      <c r="BM172" s="668"/>
      <c r="BN172" s="668"/>
      <c r="BO172" s="668"/>
      <c r="BP172" s="668"/>
      <c r="BQ172" s="668"/>
      <c r="BR172" s="668"/>
      <c r="BS172" s="668"/>
      <c r="BT172" s="668"/>
      <c r="BU172" s="668"/>
      <c r="BV172" s="668"/>
      <c r="BW172" s="668"/>
      <c r="BX172" s="668"/>
      <c r="BY172" s="668"/>
      <c r="BZ172" s="668"/>
      <c r="CA172" s="668"/>
    </row>
    <row r="173" spans="1:79" hidden="1" outlineLevel="1" x14ac:dyDescent="0.25">
      <c r="A173" s="656"/>
      <c r="B173" s="570"/>
      <c r="C173" s="570"/>
      <c r="D173" s="570"/>
      <c r="E173" s="570" t="s">
        <v>1341</v>
      </c>
      <c r="F173" s="656" t="s">
        <v>910</v>
      </c>
      <c r="G173" s="665"/>
      <c r="H173" s="665"/>
      <c r="I173" s="665"/>
      <c r="J173" s="666"/>
      <c r="K173" s="666"/>
      <c r="L173" s="666"/>
      <c r="M173" s="666"/>
      <c r="N173" s="666"/>
      <c r="O173" s="666"/>
      <c r="P173" s="666"/>
      <c r="Q173" s="666"/>
      <c r="R173" s="666"/>
      <c r="S173" s="667">
        <v>0</v>
      </c>
      <c r="T173" s="667">
        <v>0</v>
      </c>
      <c r="U173" s="667">
        <v>0</v>
      </c>
      <c r="V173" s="667">
        <v>0</v>
      </c>
      <c r="W173" s="667">
        <v>0</v>
      </c>
      <c r="X173" s="667">
        <v>0</v>
      </c>
      <c r="Y173" s="667">
        <v>0</v>
      </c>
      <c r="Z173" s="667">
        <v>0</v>
      </c>
      <c r="AA173" s="667">
        <v>0</v>
      </c>
      <c r="AB173" s="667">
        <v>0</v>
      </c>
      <c r="AC173" s="667">
        <v>0</v>
      </c>
      <c r="AD173" s="668">
        <v>0</v>
      </c>
      <c r="AE173" s="667">
        <v>0</v>
      </c>
      <c r="AF173" s="667">
        <v>0</v>
      </c>
      <c r="AG173" s="668">
        <v>0</v>
      </c>
      <c r="AH173" s="668"/>
      <c r="AI173" s="668"/>
      <c r="AJ173" s="668"/>
      <c r="AK173" s="668"/>
      <c r="AL173" s="668"/>
      <c r="AM173" s="668"/>
      <c r="AN173" s="668"/>
      <c r="AO173" s="668"/>
      <c r="AP173" s="668"/>
      <c r="AQ173" s="668"/>
      <c r="AR173" s="668"/>
      <c r="AS173" s="668"/>
      <c r="AT173" s="668"/>
      <c r="AU173" s="668"/>
      <c r="AV173" s="668"/>
      <c r="AW173" s="668"/>
      <c r="AX173" s="668"/>
      <c r="AY173" s="668"/>
      <c r="AZ173" s="668"/>
      <c r="BA173" s="668"/>
      <c r="BB173" s="668"/>
      <c r="BC173" s="668"/>
      <c r="BD173" s="668"/>
      <c r="BE173" s="668"/>
      <c r="BF173" s="668"/>
      <c r="BG173" s="668"/>
      <c r="BH173" s="668"/>
      <c r="BI173" s="668"/>
      <c r="BJ173" s="668"/>
      <c r="BK173" s="668"/>
      <c r="BL173" s="668"/>
      <c r="BM173" s="668"/>
      <c r="BN173" s="668"/>
      <c r="BO173" s="668"/>
      <c r="BP173" s="668"/>
      <c r="BQ173" s="668"/>
      <c r="BR173" s="668"/>
      <c r="BS173" s="668"/>
      <c r="BT173" s="668"/>
      <c r="BU173" s="668"/>
      <c r="BV173" s="668"/>
      <c r="BW173" s="668"/>
      <c r="BX173" s="668"/>
      <c r="BY173" s="668"/>
      <c r="BZ173" s="668"/>
      <c r="CA173" s="668"/>
    </row>
    <row r="174" spans="1:79" hidden="1" outlineLevel="1" x14ac:dyDescent="0.25">
      <c r="A174" s="656"/>
      <c r="B174" s="570"/>
      <c r="C174" s="570"/>
      <c r="D174" s="570"/>
      <c r="E174" s="570" t="s">
        <v>1341</v>
      </c>
      <c r="F174" s="656" t="s">
        <v>911</v>
      </c>
      <c r="G174" s="665"/>
      <c r="H174" s="665"/>
      <c r="I174" s="665"/>
      <c r="J174" s="666"/>
      <c r="K174" s="666"/>
      <c r="L174" s="666">
        <v>545</v>
      </c>
      <c r="M174" s="666"/>
      <c r="N174" s="666"/>
      <c r="O174" s="666"/>
      <c r="P174" s="666"/>
      <c r="Q174" s="666"/>
      <c r="R174" s="666">
        <v>399.71</v>
      </c>
      <c r="S174" s="667">
        <v>0</v>
      </c>
      <c r="T174" s="667">
        <v>0</v>
      </c>
      <c r="U174" s="667">
        <v>0</v>
      </c>
      <c r="V174" s="667">
        <v>0</v>
      </c>
      <c r="W174" s="667">
        <v>0</v>
      </c>
      <c r="X174" s="667">
        <v>0</v>
      </c>
      <c r="Y174" s="667">
        <v>0</v>
      </c>
      <c r="Z174" s="667">
        <v>0</v>
      </c>
      <c r="AA174" s="667">
        <v>0</v>
      </c>
      <c r="AB174" s="667">
        <v>0</v>
      </c>
      <c r="AC174" s="667">
        <v>0</v>
      </c>
      <c r="AD174" s="668">
        <v>0</v>
      </c>
      <c r="AE174" s="667">
        <v>0</v>
      </c>
      <c r="AF174" s="667">
        <v>0</v>
      </c>
      <c r="AG174" s="668">
        <v>0</v>
      </c>
      <c r="AH174" s="668"/>
      <c r="AI174" s="668"/>
      <c r="AJ174" s="668"/>
      <c r="AK174" s="668"/>
      <c r="AL174" s="668"/>
      <c r="AM174" s="668"/>
      <c r="AN174" s="668"/>
      <c r="AO174" s="668"/>
      <c r="AP174" s="668"/>
      <c r="AQ174" s="668"/>
      <c r="AR174" s="668"/>
      <c r="AS174" s="668"/>
      <c r="AT174" s="668"/>
      <c r="AU174" s="668"/>
      <c r="AV174" s="668"/>
      <c r="AW174" s="668"/>
      <c r="AX174" s="668"/>
      <c r="AY174" s="668"/>
      <c r="AZ174" s="668"/>
      <c r="BA174" s="668"/>
      <c r="BB174" s="668"/>
      <c r="BC174" s="668"/>
      <c r="BD174" s="668"/>
      <c r="BE174" s="668"/>
      <c r="BF174" s="668"/>
      <c r="BG174" s="668"/>
      <c r="BH174" s="668"/>
      <c r="BI174" s="668"/>
      <c r="BJ174" s="668"/>
      <c r="BK174" s="668"/>
      <c r="BL174" s="668"/>
      <c r="BM174" s="668"/>
      <c r="BN174" s="668"/>
      <c r="BO174" s="668"/>
      <c r="BP174" s="668"/>
      <c r="BQ174" s="668"/>
      <c r="BR174" s="668"/>
      <c r="BS174" s="668"/>
      <c r="BT174" s="668"/>
      <c r="BU174" s="668"/>
      <c r="BV174" s="668"/>
      <c r="BW174" s="668"/>
      <c r="BX174" s="668"/>
      <c r="BY174" s="668"/>
      <c r="BZ174" s="668"/>
      <c r="CA174" s="668"/>
    </row>
    <row r="175" spans="1:79" hidden="1" outlineLevel="1" x14ac:dyDescent="0.25">
      <c r="A175" s="657"/>
      <c r="B175" s="570"/>
      <c r="C175" s="570"/>
      <c r="D175" s="570"/>
      <c r="E175" s="570" t="s">
        <v>49</v>
      </c>
      <c r="F175" s="657" t="s">
        <v>655</v>
      </c>
      <c r="G175" s="678">
        <f>SUM(G168:G174)</f>
        <v>0</v>
      </c>
      <c r="H175" s="678">
        <f t="shared" ref="H175:BO175" si="54">SUM(H168:H174)</f>
        <v>0</v>
      </c>
      <c r="I175" s="678">
        <f t="shared" si="54"/>
        <v>0</v>
      </c>
      <c r="J175" s="678">
        <f t="shared" si="54"/>
        <v>0</v>
      </c>
      <c r="K175" s="678">
        <f t="shared" si="54"/>
        <v>0</v>
      </c>
      <c r="L175" s="678">
        <f t="shared" si="54"/>
        <v>545</v>
      </c>
      <c r="M175" s="678">
        <f t="shared" si="54"/>
        <v>0</v>
      </c>
      <c r="N175" s="678">
        <f t="shared" si="54"/>
        <v>0</v>
      </c>
      <c r="O175" s="678">
        <f t="shared" si="54"/>
        <v>0</v>
      </c>
      <c r="P175" s="678">
        <f t="shared" si="54"/>
        <v>0</v>
      </c>
      <c r="Q175" s="678">
        <f t="shared" si="54"/>
        <v>0</v>
      </c>
      <c r="R175" s="678">
        <f t="shared" si="54"/>
        <v>399.71</v>
      </c>
      <c r="S175" s="678">
        <f t="shared" ref="S175:AA175" si="55">ROUND(SUM(S167:S174),5)</f>
        <v>0</v>
      </c>
      <c r="T175" s="678">
        <f t="shared" si="55"/>
        <v>0</v>
      </c>
      <c r="U175" s="678">
        <f t="shared" si="55"/>
        <v>0</v>
      </c>
      <c r="V175" s="678">
        <f t="shared" si="55"/>
        <v>0</v>
      </c>
      <c r="W175" s="678">
        <f t="shared" si="55"/>
        <v>0</v>
      </c>
      <c r="X175" s="678">
        <f t="shared" si="55"/>
        <v>0</v>
      </c>
      <c r="Y175" s="678">
        <f t="shared" si="55"/>
        <v>0</v>
      </c>
      <c r="Z175" s="678">
        <f t="shared" si="55"/>
        <v>0</v>
      </c>
      <c r="AA175" s="678">
        <f t="shared" si="55"/>
        <v>0</v>
      </c>
      <c r="AB175" s="678">
        <f>ROUND(SUM(AB167:AB174),5)</f>
        <v>0</v>
      </c>
      <c r="AC175" s="678">
        <f>ROUND(SUM(AC167:AC174),5)</f>
        <v>0</v>
      </c>
      <c r="AD175" s="678">
        <v>0</v>
      </c>
      <c r="AE175" s="678">
        <f>ROUND(SUM(AE167:AE174),5)</f>
        <v>0</v>
      </c>
      <c r="AF175" s="678">
        <f>ROUND(SUM(AF167:AF174),5)</f>
        <v>0</v>
      </c>
      <c r="AG175" s="678">
        <v>0</v>
      </c>
      <c r="AH175" s="678">
        <f t="shared" si="54"/>
        <v>0</v>
      </c>
      <c r="AI175" s="678">
        <f t="shared" si="54"/>
        <v>0</v>
      </c>
      <c r="AJ175" s="678">
        <f t="shared" si="54"/>
        <v>0</v>
      </c>
      <c r="AK175" s="678">
        <f t="shared" si="54"/>
        <v>0</v>
      </c>
      <c r="AL175" s="678">
        <f t="shared" si="54"/>
        <v>0</v>
      </c>
      <c r="AM175" s="678">
        <f t="shared" si="54"/>
        <v>0</v>
      </c>
      <c r="AN175" s="678">
        <f t="shared" si="54"/>
        <v>0</v>
      </c>
      <c r="AO175" s="678">
        <f t="shared" si="54"/>
        <v>0</v>
      </c>
      <c r="AP175" s="678">
        <f t="shared" si="54"/>
        <v>0</v>
      </c>
      <c r="AQ175" s="678">
        <f t="shared" si="54"/>
        <v>0</v>
      </c>
      <c r="AR175" s="678">
        <f t="shared" si="54"/>
        <v>0</v>
      </c>
      <c r="AS175" s="678">
        <f t="shared" si="54"/>
        <v>0</v>
      </c>
      <c r="AT175" s="678">
        <f t="shared" si="54"/>
        <v>0</v>
      </c>
      <c r="AU175" s="678">
        <f t="shared" si="54"/>
        <v>0</v>
      </c>
      <c r="AV175" s="678">
        <f t="shared" si="54"/>
        <v>0</v>
      </c>
      <c r="AW175" s="678">
        <f t="shared" si="54"/>
        <v>0</v>
      </c>
      <c r="AX175" s="678">
        <f t="shared" si="54"/>
        <v>0</v>
      </c>
      <c r="AY175" s="678">
        <f t="shared" si="54"/>
        <v>0</v>
      </c>
      <c r="AZ175" s="678">
        <f t="shared" si="54"/>
        <v>0</v>
      </c>
      <c r="BA175" s="678">
        <f t="shared" si="54"/>
        <v>0</v>
      </c>
      <c r="BB175" s="678">
        <f t="shared" si="54"/>
        <v>0</v>
      </c>
      <c r="BC175" s="678">
        <f t="shared" si="54"/>
        <v>0</v>
      </c>
      <c r="BD175" s="678">
        <f t="shared" si="54"/>
        <v>0</v>
      </c>
      <c r="BE175" s="678">
        <f t="shared" si="54"/>
        <v>0</v>
      </c>
      <c r="BF175" s="678">
        <f t="shared" si="54"/>
        <v>0</v>
      </c>
      <c r="BG175" s="678">
        <f t="shared" si="54"/>
        <v>0</v>
      </c>
      <c r="BH175" s="678">
        <f t="shared" si="54"/>
        <v>0</v>
      </c>
      <c r="BI175" s="678">
        <f t="shared" si="54"/>
        <v>0</v>
      </c>
      <c r="BJ175" s="678">
        <f t="shared" si="54"/>
        <v>0</v>
      </c>
      <c r="BK175" s="678">
        <f t="shared" si="54"/>
        <v>0</v>
      </c>
      <c r="BL175" s="678">
        <f t="shared" si="54"/>
        <v>0</v>
      </c>
      <c r="BM175" s="678">
        <f t="shared" si="54"/>
        <v>0</v>
      </c>
      <c r="BN175" s="678">
        <f t="shared" si="54"/>
        <v>0</v>
      </c>
      <c r="BO175" s="678">
        <f t="shared" si="54"/>
        <v>0</v>
      </c>
      <c r="BP175" s="678">
        <f t="shared" ref="BP175:CA175" si="56">SUM(BP168:BP174)</f>
        <v>0</v>
      </c>
      <c r="BQ175" s="678">
        <f t="shared" si="56"/>
        <v>0</v>
      </c>
      <c r="BR175" s="678">
        <f t="shared" si="56"/>
        <v>0</v>
      </c>
      <c r="BS175" s="678">
        <f t="shared" si="56"/>
        <v>0</v>
      </c>
      <c r="BT175" s="678">
        <f t="shared" si="56"/>
        <v>0</v>
      </c>
      <c r="BU175" s="678">
        <f t="shared" si="56"/>
        <v>0</v>
      </c>
      <c r="BV175" s="678">
        <f t="shared" si="56"/>
        <v>0</v>
      </c>
      <c r="BW175" s="678">
        <f t="shared" si="56"/>
        <v>0</v>
      </c>
      <c r="BX175" s="678">
        <f t="shared" si="56"/>
        <v>0</v>
      </c>
      <c r="BY175" s="678">
        <f t="shared" si="56"/>
        <v>0</v>
      </c>
      <c r="BZ175" s="678">
        <f t="shared" si="56"/>
        <v>0</v>
      </c>
      <c r="CA175" s="678">
        <f t="shared" si="56"/>
        <v>0</v>
      </c>
    </row>
    <row r="176" spans="1:79" hidden="1" outlineLevel="1" x14ac:dyDescent="0.25">
      <c r="A176" s="626"/>
      <c r="E176" s="570" t="s">
        <v>945</v>
      </c>
      <c r="F176" s="626" t="s">
        <v>691</v>
      </c>
      <c r="G176" s="665">
        <v>529.22897498277894</v>
      </c>
      <c r="H176" s="665">
        <v>286.72416670935127</v>
      </c>
      <c r="I176" s="665">
        <v>267.66293905101844</v>
      </c>
      <c r="J176" s="666">
        <v>168.56933000804858</v>
      </c>
      <c r="K176" s="666">
        <v>52.699694429437429</v>
      </c>
      <c r="L176" s="666">
        <v>156.37817821251338</v>
      </c>
      <c r="M176" s="666">
        <v>82.693861170737975</v>
      </c>
      <c r="N176" s="666">
        <v>62.869998624532755</v>
      </c>
      <c r="O176" s="666">
        <v>529.50370025194024</v>
      </c>
      <c r="P176" s="666">
        <v>492.855752409042</v>
      </c>
      <c r="Q176" s="666">
        <v>271.18578416930478</v>
      </c>
      <c r="R176" s="666">
        <v>177.01613853441026</v>
      </c>
      <c r="S176" s="667">
        <v>0</v>
      </c>
      <c r="T176" s="667">
        <v>0</v>
      </c>
      <c r="U176" s="667">
        <v>0</v>
      </c>
      <c r="V176" s="667">
        <v>0</v>
      </c>
      <c r="W176" s="667">
        <v>0</v>
      </c>
      <c r="X176" s="667">
        <v>0</v>
      </c>
      <c r="Y176" s="667">
        <v>0</v>
      </c>
      <c r="Z176" s="667">
        <v>0</v>
      </c>
      <c r="AA176" s="667">
        <v>0</v>
      </c>
      <c r="AB176" s="667">
        <v>0</v>
      </c>
      <c r="AC176" s="667">
        <v>0</v>
      </c>
      <c r="AD176" s="668">
        <v>0</v>
      </c>
      <c r="AE176" s="667">
        <v>0</v>
      </c>
      <c r="AF176" s="667">
        <v>0</v>
      </c>
      <c r="AG176" s="668">
        <v>0</v>
      </c>
      <c r="AH176" s="668"/>
      <c r="AI176" s="668"/>
      <c r="AJ176" s="668"/>
      <c r="AK176" s="668"/>
      <c r="AL176" s="668"/>
      <c r="AM176" s="668"/>
      <c r="AN176" s="668"/>
      <c r="AO176" s="668"/>
      <c r="AP176" s="668"/>
      <c r="AQ176" s="668"/>
      <c r="AR176" s="668"/>
      <c r="AS176" s="668"/>
      <c r="AT176" s="668"/>
      <c r="AU176" s="668"/>
      <c r="AV176" s="668"/>
      <c r="AW176" s="668"/>
      <c r="AX176" s="668"/>
      <c r="AY176" s="668"/>
      <c r="AZ176" s="668"/>
      <c r="BA176" s="668"/>
      <c r="BB176" s="668"/>
      <c r="BC176" s="668"/>
      <c r="BD176" s="668"/>
      <c r="BE176" s="668"/>
      <c r="BF176" s="668"/>
      <c r="BG176" s="668"/>
      <c r="BH176" s="668"/>
      <c r="BI176" s="668"/>
      <c r="BJ176" s="668"/>
      <c r="BK176" s="668"/>
      <c r="BL176" s="668"/>
      <c r="BM176" s="668"/>
      <c r="BN176" s="668"/>
      <c r="BO176" s="668"/>
      <c r="BP176" s="668"/>
      <c r="BQ176" s="668"/>
      <c r="BR176" s="668"/>
      <c r="BS176" s="668"/>
      <c r="BT176" s="668"/>
      <c r="BU176" s="668"/>
      <c r="BV176" s="668"/>
      <c r="BW176" s="668"/>
      <c r="BX176" s="668"/>
      <c r="BY176" s="668"/>
      <c r="BZ176" s="668"/>
      <c r="CA176" s="668"/>
    </row>
    <row r="177" spans="1:79" s="868" customFormat="1" ht="15.75" collapsed="1" thickBot="1" x14ac:dyDescent="0.3">
      <c r="A177" s="892"/>
      <c r="B177" s="499"/>
      <c r="C177" s="499"/>
      <c r="D177" s="499"/>
      <c r="E177" s="892"/>
      <c r="F177" s="892" t="s">
        <v>656</v>
      </c>
      <c r="G177" s="894">
        <f t="shared" ref="G177:R177" si="57">ROUND(SUM(G6:G14)+SUM(G18:G23)+SUM(G24:G25)+G29+SUM(G33:G35)+SUM(G48:G52)+SUM(G63:G64)+G83+SUM(G87:G90)+G101+G109+SUM(G115:G117)+SUM(G123:G124)+SUM(G157:G158)+SUM(G164:G166)+SUM(G175:G176),5)</f>
        <v>34017.993179999998</v>
      </c>
      <c r="H177" s="894">
        <f t="shared" si="57"/>
        <v>34542.950689999998</v>
      </c>
      <c r="I177" s="894">
        <f t="shared" si="57"/>
        <v>30852.619060000001</v>
      </c>
      <c r="J177" s="894">
        <f t="shared" si="57"/>
        <v>35093.753120000001</v>
      </c>
      <c r="K177" s="894">
        <f t="shared" si="57"/>
        <v>39242.344689999998</v>
      </c>
      <c r="L177" s="894">
        <f t="shared" si="57"/>
        <v>58312.668250000002</v>
      </c>
      <c r="M177" s="894">
        <f t="shared" si="57"/>
        <v>49675.559130000001</v>
      </c>
      <c r="N177" s="894">
        <f t="shared" si="57"/>
        <v>63917.624900000003</v>
      </c>
      <c r="O177" s="894">
        <f t="shared" si="57"/>
        <v>49268.545660000003</v>
      </c>
      <c r="P177" s="894">
        <f t="shared" si="57"/>
        <v>44395.188029999998</v>
      </c>
      <c r="Q177" s="894">
        <f t="shared" si="57"/>
        <v>68735.622730000003</v>
      </c>
      <c r="R177" s="894">
        <f t="shared" si="57"/>
        <v>68706.519369999995</v>
      </c>
      <c r="S177" s="894">
        <f t="shared" ref="S177:AE177" si="58">ROUND(SUM(S6:S14)+SUM(S18:S23)+SUM(S24:S25)+S29+SUM(S33:S35)+SUM(S48:S52)+SUM(S63:S64)+S83+SUM(S87:S90)+S101+S109+SUM(S115:S117)+SUM(S123:S124)+SUM(S157:S158)+SUM(S164:S166)+SUM(S175:S176),5)</f>
        <v>108819.14</v>
      </c>
      <c r="T177" s="894">
        <f t="shared" si="58"/>
        <v>88746.52</v>
      </c>
      <c r="U177" s="894">
        <f t="shared" si="58"/>
        <v>147580.19</v>
      </c>
      <c r="V177" s="894">
        <f t="shared" si="58"/>
        <v>118226.94</v>
      </c>
      <c r="W177" s="894">
        <f t="shared" si="58"/>
        <v>122808.24</v>
      </c>
      <c r="X177" s="894">
        <f t="shared" si="58"/>
        <v>103263.89</v>
      </c>
      <c r="Y177" s="894">
        <f t="shared" si="58"/>
        <v>132491.95000000001</v>
      </c>
      <c r="Z177" s="894">
        <f t="shared" si="58"/>
        <v>115863.47</v>
      </c>
      <c r="AA177" s="894">
        <f t="shared" si="58"/>
        <v>131784.16</v>
      </c>
      <c r="AB177" s="894">
        <f t="shared" si="58"/>
        <v>163135.63</v>
      </c>
      <c r="AC177" s="894">
        <f t="shared" si="58"/>
        <v>129571.93</v>
      </c>
      <c r="AD177" s="894">
        <f t="shared" si="58"/>
        <v>137228.06</v>
      </c>
      <c r="AE177" s="894">
        <f t="shared" si="58"/>
        <v>146192.46</v>
      </c>
      <c r="AF177" s="894">
        <f>ROUND(SUM(AF6:AF14)+SUM(AF18:AF25)+AF29+SUM(AF33:AF35)+SUM(AF48:AF52)+SUM(AF63:AF64)+AF83+SUM(AF87:AF90)+AF101+AF109+SUM(AF115:AF117)+SUM(AF123:AF124)+SUM(AF157:AF158)+SUM(AF164:AF166)+SUM(AF175:AF176),5)</f>
        <v>125489.62</v>
      </c>
      <c r="AG177" s="893">
        <v>136806.78</v>
      </c>
      <c r="AH177" s="893">
        <f t="shared" ref="AH177:CA177" si="59">SUM(AH9:AH176)-SUM(AH175,AH164,AH157,AH155,AH145,AH135,AH123,AH115,AH109,AH101,AH87,AH83,AH63,AH48,AH33,AH29,AH40,AH18)</f>
        <v>0</v>
      </c>
      <c r="AI177" s="893">
        <f t="shared" si="59"/>
        <v>0</v>
      </c>
      <c r="AJ177" s="893">
        <f t="shared" si="59"/>
        <v>0</v>
      </c>
      <c r="AK177" s="893">
        <f t="shared" si="59"/>
        <v>0</v>
      </c>
      <c r="AL177" s="893">
        <f t="shared" si="59"/>
        <v>0</v>
      </c>
      <c r="AM177" s="893">
        <f t="shared" si="59"/>
        <v>0</v>
      </c>
      <c r="AN177" s="893">
        <f t="shared" si="59"/>
        <v>0</v>
      </c>
      <c r="AO177" s="893">
        <f t="shared" si="59"/>
        <v>0</v>
      </c>
      <c r="AP177" s="893">
        <f t="shared" si="59"/>
        <v>0</v>
      </c>
      <c r="AQ177" s="893">
        <f t="shared" si="59"/>
        <v>0</v>
      </c>
      <c r="AR177" s="893">
        <f t="shared" si="59"/>
        <v>0</v>
      </c>
      <c r="AS177" s="893">
        <f t="shared" si="59"/>
        <v>0</v>
      </c>
      <c r="AT177" s="893">
        <f t="shared" si="59"/>
        <v>0</v>
      </c>
      <c r="AU177" s="893">
        <f t="shared" si="59"/>
        <v>0</v>
      </c>
      <c r="AV177" s="893">
        <f t="shared" si="59"/>
        <v>0</v>
      </c>
      <c r="AW177" s="893">
        <f t="shared" si="59"/>
        <v>0</v>
      </c>
      <c r="AX177" s="893">
        <f t="shared" si="59"/>
        <v>0</v>
      </c>
      <c r="AY177" s="893">
        <f t="shared" si="59"/>
        <v>0</v>
      </c>
      <c r="AZ177" s="893">
        <f t="shared" si="59"/>
        <v>0</v>
      </c>
      <c r="BA177" s="893">
        <f t="shared" si="59"/>
        <v>0</v>
      </c>
      <c r="BB177" s="893">
        <f t="shared" si="59"/>
        <v>0</v>
      </c>
      <c r="BC177" s="893">
        <f t="shared" si="59"/>
        <v>0</v>
      </c>
      <c r="BD177" s="893">
        <f t="shared" si="59"/>
        <v>0</v>
      </c>
      <c r="BE177" s="893">
        <f t="shared" si="59"/>
        <v>0</v>
      </c>
      <c r="BF177" s="893">
        <f t="shared" si="59"/>
        <v>0</v>
      </c>
      <c r="BG177" s="893">
        <f t="shared" si="59"/>
        <v>0</v>
      </c>
      <c r="BH177" s="893">
        <f t="shared" si="59"/>
        <v>0</v>
      </c>
      <c r="BI177" s="893">
        <f t="shared" si="59"/>
        <v>0</v>
      </c>
      <c r="BJ177" s="893">
        <f t="shared" si="59"/>
        <v>0</v>
      </c>
      <c r="BK177" s="893">
        <f t="shared" si="59"/>
        <v>0</v>
      </c>
      <c r="BL177" s="893">
        <f t="shared" si="59"/>
        <v>0</v>
      </c>
      <c r="BM177" s="893">
        <f t="shared" si="59"/>
        <v>0</v>
      </c>
      <c r="BN177" s="893">
        <f t="shared" si="59"/>
        <v>0</v>
      </c>
      <c r="BO177" s="893">
        <f t="shared" si="59"/>
        <v>0</v>
      </c>
      <c r="BP177" s="893">
        <f t="shared" si="59"/>
        <v>0</v>
      </c>
      <c r="BQ177" s="893">
        <f t="shared" si="59"/>
        <v>0</v>
      </c>
      <c r="BR177" s="893">
        <f t="shared" si="59"/>
        <v>0</v>
      </c>
      <c r="BS177" s="893">
        <f t="shared" si="59"/>
        <v>0</v>
      </c>
      <c r="BT177" s="893">
        <f t="shared" si="59"/>
        <v>0</v>
      </c>
      <c r="BU177" s="893">
        <f t="shared" si="59"/>
        <v>0</v>
      </c>
      <c r="BV177" s="893">
        <f t="shared" si="59"/>
        <v>0</v>
      </c>
      <c r="BW177" s="893">
        <f t="shared" si="59"/>
        <v>0</v>
      </c>
      <c r="BX177" s="893">
        <f t="shared" si="59"/>
        <v>0</v>
      </c>
      <c r="BY177" s="893">
        <f t="shared" si="59"/>
        <v>0</v>
      </c>
      <c r="BZ177" s="893">
        <f t="shared" si="59"/>
        <v>0</v>
      </c>
      <c r="CA177" s="893">
        <f t="shared" si="59"/>
        <v>0</v>
      </c>
    </row>
    <row r="178" spans="1:79" ht="15.75" thickTop="1" x14ac:dyDescent="0.25">
      <c r="G178" s="405"/>
      <c r="H178" s="405"/>
      <c r="I178" s="405"/>
      <c r="J178" s="405"/>
      <c r="K178" s="405"/>
      <c r="L178" s="405"/>
      <c r="M178" s="405"/>
      <c r="N178" s="405"/>
      <c r="O178" s="405"/>
      <c r="P178" s="405"/>
      <c r="Q178" s="405"/>
      <c r="R178" s="405"/>
      <c r="S178" s="405"/>
      <c r="T178" s="405"/>
      <c r="U178" s="405"/>
      <c r="V178" s="405"/>
      <c r="W178" s="405"/>
      <c r="X178" s="405"/>
      <c r="Y178" s="405"/>
      <c r="Z178" s="405"/>
      <c r="AA178" s="405"/>
      <c r="AB178" s="405"/>
      <c r="AC178" s="405"/>
      <c r="AD178" s="405" t="s">
        <v>782</v>
      </c>
      <c r="AE178" s="405"/>
      <c r="AF178" s="668"/>
      <c r="AG178" s="668"/>
      <c r="AH178" s="668"/>
      <c r="AI178" s="668"/>
      <c r="AJ178" s="668"/>
      <c r="AK178" s="668"/>
      <c r="AL178" s="668"/>
      <c r="AM178" s="668"/>
      <c r="AN178" s="668"/>
      <c r="AO178" s="668"/>
      <c r="AP178" s="668"/>
      <c r="AQ178" s="668"/>
      <c r="AR178" s="668"/>
      <c r="AS178" s="668"/>
      <c r="AT178" s="668"/>
      <c r="AU178" s="668"/>
      <c r="AV178" s="668"/>
      <c r="AW178" s="668"/>
      <c r="AX178" s="668"/>
      <c r="AY178" s="668"/>
      <c r="AZ178" s="668"/>
      <c r="BA178" s="668"/>
      <c r="BB178" s="668"/>
      <c r="BC178" s="668"/>
      <c r="BD178" s="668"/>
      <c r="BE178" s="668"/>
      <c r="BF178" s="668"/>
      <c r="BG178" s="668"/>
      <c r="BH178" s="668"/>
      <c r="BI178" s="668"/>
      <c r="BJ178" s="668"/>
      <c r="BK178" s="668"/>
      <c r="BL178" s="668"/>
      <c r="BM178" s="668"/>
      <c r="BN178" s="668"/>
      <c r="BO178" s="668"/>
      <c r="BP178" s="668"/>
      <c r="BQ178" s="668"/>
      <c r="BR178" s="668"/>
      <c r="BS178" s="668"/>
      <c r="BT178" s="668"/>
      <c r="BU178" s="668"/>
      <c r="BV178" s="668"/>
      <c r="BW178" s="668"/>
      <c r="BX178" s="668"/>
      <c r="BY178" s="668"/>
      <c r="BZ178" s="668"/>
      <c r="CA178" s="668"/>
    </row>
    <row r="179" spans="1:79" x14ac:dyDescent="0.25">
      <c r="G179" s="570"/>
      <c r="H179" s="570"/>
      <c r="I179" s="570"/>
      <c r="J179" s="570"/>
      <c r="K179" s="570"/>
      <c r="L179" s="570"/>
      <c r="M179" s="570"/>
      <c r="N179" s="570"/>
      <c r="O179" s="570"/>
      <c r="P179" s="570"/>
      <c r="Q179" s="570"/>
      <c r="R179" s="570"/>
      <c r="S179" s="570"/>
      <c r="T179" s="570"/>
      <c r="U179" s="570"/>
      <c r="V179" s="570"/>
      <c r="W179" s="570"/>
      <c r="X179" s="570"/>
      <c r="Y179" s="570"/>
      <c r="Z179" s="570"/>
      <c r="AA179" s="570"/>
      <c r="AB179" s="570"/>
      <c r="AC179" s="570"/>
      <c r="AD179" s="570"/>
      <c r="AE179" s="570"/>
      <c r="AF179" s="666"/>
      <c r="AG179" s="666"/>
      <c r="AH179" s="666"/>
      <c r="AI179" s="666"/>
      <c r="AJ179" s="666"/>
      <c r="AK179" s="666"/>
      <c r="AL179" s="666"/>
      <c r="AM179" s="666"/>
      <c r="AN179" s="666"/>
      <c r="AO179" s="666"/>
      <c r="AP179" s="666"/>
      <c r="AQ179" s="666"/>
      <c r="AR179" s="666"/>
      <c r="AS179" s="666"/>
      <c r="AT179" s="666"/>
      <c r="AU179" s="666"/>
      <c r="AV179" s="666"/>
      <c r="AW179" s="666"/>
      <c r="AX179" s="666"/>
      <c r="AY179" s="666"/>
      <c r="AZ179" s="666"/>
      <c r="BA179" s="666"/>
      <c r="BB179" s="666"/>
      <c r="BC179" s="666"/>
      <c r="BD179" s="666"/>
      <c r="BE179" s="666"/>
      <c r="BF179" s="666"/>
      <c r="BG179" s="666"/>
      <c r="BH179" s="666"/>
      <c r="BI179" s="666"/>
      <c r="BJ179" s="666"/>
      <c r="BK179" s="666"/>
      <c r="BL179" s="666"/>
      <c r="BM179" s="666"/>
      <c r="BN179" s="666"/>
      <c r="BO179" s="666"/>
      <c r="BP179" s="666"/>
      <c r="BQ179" s="666"/>
      <c r="BR179" s="666"/>
      <c r="BS179" s="666"/>
      <c r="BT179" s="666"/>
      <c r="BU179" s="666"/>
      <c r="BV179" s="666"/>
      <c r="BW179" s="666"/>
      <c r="BX179" s="666"/>
      <c r="BY179" s="666"/>
      <c r="BZ179" s="666"/>
      <c r="CA179" s="666"/>
    </row>
    <row r="180" spans="1:79" s="859" customFormat="1" x14ac:dyDescent="0.25">
      <c r="A180" s="863"/>
      <c r="E180" s="863"/>
      <c r="F180" s="863" t="s">
        <v>4</v>
      </c>
      <c r="G180" s="863"/>
      <c r="H180" s="863"/>
      <c r="I180" s="863"/>
      <c r="J180" s="863"/>
      <c r="K180" s="863"/>
      <c r="L180" s="863"/>
      <c r="M180" s="863"/>
      <c r="N180" s="863"/>
      <c r="O180" s="863"/>
      <c r="P180" s="863"/>
      <c r="Q180" s="863"/>
      <c r="R180" s="863"/>
      <c r="S180" s="863"/>
      <c r="T180" s="863"/>
      <c r="U180" s="863"/>
      <c r="V180" s="863"/>
      <c r="W180" s="863"/>
      <c r="X180" s="863"/>
      <c r="Y180" s="863"/>
      <c r="Z180" s="863"/>
      <c r="AA180" s="863"/>
      <c r="AB180" s="863"/>
      <c r="AC180" s="863"/>
      <c r="AD180" s="863"/>
      <c r="AE180" s="863"/>
      <c r="AF180" s="864"/>
      <c r="AG180" s="863"/>
      <c r="AH180" s="863"/>
      <c r="AI180" s="863"/>
      <c r="AJ180" s="863"/>
      <c r="AK180" s="863"/>
      <c r="AL180" s="863"/>
      <c r="AM180" s="863"/>
      <c r="AN180" s="863"/>
      <c r="AO180" s="863"/>
      <c r="AP180" s="863"/>
      <c r="AQ180" s="863"/>
      <c r="AR180" s="863"/>
      <c r="AS180" s="863"/>
      <c r="AT180" s="863"/>
      <c r="AU180" s="863"/>
      <c r="AV180" s="863"/>
      <c r="AW180" s="863"/>
      <c r="AX180" s="863"/>
      <c r="AY180" s="863"/>
      <c r="AZ180" s="863"/>
      <c r="BA180" s="863"/>
      <c r="BB180" s="863"/>
      <c r="BC180" s="863"/>
      <c r="BD180" s="863"/>
      <c r="BE180" s="863"/>
      <c r="BF180" s="863"/>
      <c r="BG180" s="863"/>
      <c r="BH180" s="863"/>
      <c r="BI180" s="863"/>
      <c r="BJ180" s="863"/>
      <c r="BK180" s="863"/>
      <c r="BL180" s="863"/>
      <c r="BM180" s="863"/>
      <c r="BN180" s="863"/>
      <c r="BO180" s="863"/>
      <c r="BP180" s="863"/>
      <c r="BQ180" s="863"/>
      <c r="BR180" s="863"/>
      <c r="BS180" s="863"/>
      <c r="BT180" s="863"/>
      <c r="BU180" s="863"/>
      <c r="BV180" s="863"/>
      <c r="BW180" s="863"/>
      <c r="BX180" s="863"/>
      <c r="BY180" s="863"/>
      <c r="BZ180" s="863"/>
      <c r="CA180" s="863"/>
    </row>
    <row r="181" spans="1:79" hidden="1" outlineLevel="1" x14ac:dyDescent="0.25">
      <c r="A181" s="654"/>
      <c r="B181" s="223"/>
      <c r="C181" s="223"/>
      <c r="D181" s="223"/>
      <c r="E181" s="570" t="s">
        <v>1323</v>
      </c>
      <c r="F181" s="654" t="s">
        <v>1320</v>
      </c>
      <c r="G181" s="663"/>
      <c r="H181" s="663"/>
      <c r="I181" s="663"/>
      <c r="J181" s="663"/>
      <c r="K181" s="663"/>
      <c r="L181" s="663"/>
      <c r="M181" s="663"/>
      <c r="N181" s="663"/>
      <c r="O181" s="663"/>
      <c r="P181" s="663"/>
      <c r="Q181" s="663"/>
      <c r="R181" s="663"/>
      <c r="S181" s="663"/>
      <c r="T181" s="663"/>
      <c r="U181" s="663"/>
      <c r="V181" s="663"/>
      <c r="W181" s="663"/>
      <c r="X181" s="663"/>
      <c r="Y181" s="663"/>
      <c r="Z181" s="663"/>
      <c r="AA181" s="663"/>
      <c r="AB181" s="663"/>
      <c r="AC181" s="663"/>
      <c r="AD181" s="663"/>
      <c r="AE181" s="663">
        <v>0</v>
      </c>
      <c r="AF181" s="663">
        <v>0</v>
      </c>
      <c r="AG181" s="663">
        <v>0</v>
      </c>
      <c r="AH181" s="663"/>
      <c r="AI181" s="663"/>
      <c r="AJ181" s="663"/>
      <c r="AK181" s="663"/>
      <c r="AL181" s="663"/>
      <c r="AM181" s="663"/>
      <c r="AN181" s="663"/>
      <c r="AO181" s="663"/>
      <c r="AP181" s="663"/>
      <c r="AQ181" s="663"/>
      <c r="AR181" s="663"/>
      <c r="AS181" s="663"/>
      <c r="AT181" s="663"/>
      <c r="AU181" s="663"/>
      <c r="AV181" s="663"/>
      <c r="AW181" s="663"/>
      <c r="AX181" s="663"/>
      <c r="AY181" s="663"/>
      <c r="AZ181" s="663"/>
      <c r="BA181" s="663"/>
      <c r="BB181" s="663"/>
      <c r="BC181" s="663"/>
      <c r="BD181" s="663"/>
      <c r="BE181" s="663"/>
      <c r="BF181" s="663"/>
      <c r="BG181" s="663"/>
      <c r="BH181" s="663"/>
      <c r="BI181" s="663"/>
      <c r="BJ181" s="663"/>
      <c r="BK181" s="663"/>
      <c r="BL181" s="663"/>
      <c r="BM181" s="663"/>
      <c r="BN181" s="663"/>
      <c r="BO181" s="663"/>
      <c r="BP181" s="663"/>
      <c r="BQ181" s="663"/>
      <c r="BR181" s="663"/>
      <c r="BS181" s="663"/>
      <c r="BT181" s="663"/>
      <c r="BU181" s="663"/>
      <c r="BV181" s="663"/>
      <c r="BW181" s="663"/>
      <c r="BX181" s="663"/>
      <c r="BY181" s="663"/>
      <c r="BZ181" s="663"/>
      <c r="CA181" s="663"/>
    </row>
    <row r="182" spans="1:79" hidden="1" outlineLevel="1" x14ac:dyDescent="0.25">
      <c r="A182" s="654"/>
      <c r="B182" s="223"/>
      <c r="C182" s="223"/>
      <c r="D182" s="223"/>
      <c r="E182" s="570" t="s">
        <v>1324</v>
      </c>
      <c r="F182" s="654" t="s">
        <v>1321</v>
      </c>
      <c r="G182" s="663"/>
      <c r="H182" s="663"/>
      <c r="I182" s="663"/>
      <c r="J182" s="663"/>
      <c r="K182" s="663"/>
      <c r="L182" s="663"/>
      <c r="M182" s="663"/>
      <c r="N182" s="663"/>
      <c r="O182" s="663"/>
      <c r="P182" s="663"/>
      <c r="Q182" s="663"/>
      <c r="R182" s="663"/>
      <c r="S182" s="663"/>
      <c r="T182" s="663"/>
      <c r="U182" s="663"/>
      <c r="V182" s="663"/>
      <c r="W182" s="663"/>
      <c r="X182" s="663"/>
      <c r="Y182" s="663"/>
      <c r="Z182" s="663"/>
      <c r="AA182" s="663"/>
      <c r="AB182" s="663"/>
      <c r="AC182" s="663"/>
      <c r="AD182" s="663"/>
      <c r="AE182" s="663">
        <v>0</v>
      </c>
      <c r="AF182" s="663">
        <v>0</v>
      </c>
      <c r="AG182" s="663">
        <v>0</v>
      </c>
      <c r="AH182" s="663"/>
      <c r="AI182" s="663"/>
      <c r="AJ182" s="663"/>
      <c r="AK182" s="663"/>
      <c r="AL182" s="663"/>
      <c r="AM182" s="663"/>
      <c r="AN182" s="663"/>
      <c r="AO182" s="663"/>
      <c r="AP182" s="663"/>
      <c r="AQ182" s="663"/>
      <c r="AR182" s="663"/>
      <c r="AS182" s="663"/>
      <c r="AT182" s="663"/>
      <c r="AU182" s="663"/>
      <c r="AV182" s="663"/>
      <c r="AW182" s="663"/>
      <c r="AX182" s="663"/>
      <c r="AY182" s="663"/>
      <c r="AZ182" s="663"/>
      <c r="BA182" s="663"/>
      <c r="BB182" s="663"/>
      <c r="BC182" s="663"/>
      <c r="BD182" s="663"/>
      <c r="BE182" s="663"/>
      <c r="BF182" s="663"/>
      <c r="BG182" s="663"/>
      <c r="BH182" s="663"/>
      <c r="BI182" s="663"/>
      <c r="BJ182" s="663"/>
      <c r="BK182" s="663"/>
      <c r="BL182" s="663"/>
      <c r="BM182" s="663"/>
      <c r="BN182" s="663"/>
      <c r="BO182" s="663"/>
      <c r="BP182" s="663"/>
      <c r="BQ182" s="663"/>
      <c r="BR182" s="663"/>
      <c r="BS182" s="663"/>
      <c r="BT182" s="663"/>
      <c r="BU182" s="663"/>
      <c r="BV182" s="663"/>
      <c r="BW182" s="663"/>
      <c r="BX182" s="663"/>
      <c r="BY182" s="663"/>
      <c r="BZ182" s="663"/>
      <c r="CA182" s="663"/>
    </row>
    <row r="183" spans="1:79" hidden="1" outlineLevel="1" x14ac:dyDescent="0.25">
      <c r="A183" s="654"/>
      <c r="B183" s="223"/>
      <c r="C183" s="223"/>
      <c r="D183" s="223"/>
      <c r="E183" s="570" t="s">
        <v>1325</v>
      </c>
      <c r="F183" s="654" t="s">
        <v>696</v>
      </c>
      <c r="G183" s="663"/>
      <c r="H183" s="663"/>
      <c r="I183" s="663"/>
      <c r="J183" s="663"/>
      <c r="K183" s="663"/>
      <c r="L183" s="663"/>
      <c r="M183" s="663"/>
      <c r="N183" s="663"/>
      <c r="O183" s="663"/>
      <c r="P183" s="663"/>
      <c r="Q183" s="663"/>
      <c r="R183" s="663"/>
      <c r="S183" s="663">
        <v>0</v>
      </c>
      <c r="T183" s="663">
        <v>0</v>
      </c>
      <c r="U183" s="663">
        <v>0</v>
      </c>
      <c r="V183" s="663">
        <v>0</v>
      </c>
      <c r="W183" s="663">
        <v>0</v>
      </c>
      <c r="X183" s="663">
        <v>0</v>
      </c>
      <c r="Y183" s="663">
        <v>0</v>
      </c>
      <c r="Z183" s="663">
        <v>0</v>
      </c>
      <c r="AA183" s="663">
        <v>0</v>
      </c>
      <c r="AB183" s="663">
        <v>0</v>
      </c>
      <c r="AC183" s="663">
        <v>0</v>
      </c>
      <c r="AD183" s="663">
        <v>0</v>
      </c>
      <c r="AE183" s="663">
        <v>0</v>
      </c>
      <c r="AF183" s="663">
        <v>0</v>
      </c>
      <c r="AG183" s="663">
        <v>0</v>
      </c>
      <c r="AH183" s="663"/>
      <c r="AI183" s="663"/>
      <c r="AJ183" s="663"/>
      <c r="AK183" s="663"/>
      <c r="AL183" s="663"/>
      <c r="AM183" s="663"/>
      <c r="AN183" s="663"/>
      <c r="AO183" s="663"/>
      <c r="AP183" s="663"/>
      <c r="AQ183" s="663"/>
      <c r="AR183" s="663"/>
      <c r="AS183" s="663"/>
      <c r="AT183" s="663"/>
      <c r="AU183" s="663"/>
      <c r="AV183" s="663"/>
      <c r="AW183" s="663"/>
      <c r="AX183" s="663"/>
      <c r="AY183" s="663"/>
      <c r="AZ183" s="663"/>
      <c r="BA183" s="663"/>
      <c r="BB183" s="663"/>
      <c r="BC183" s="663"/>
      <c r="BD183" s="663"/>
      <c r="BE183" s="663"/>
      <c r="BF183" s="663"/>
      <c r="BG183" s="663"/>
      <c r="BH183" s="663"/>
      <c r="BI183" s="663"/>
      <c r="BJ183" s="663"/>
      <c r="BK183" s="663"/>
      <c r="BL183" s="663"/>
      <c r="BM183" s="663"/>
      <c r="BN183" s="663"/>
      <c r="BO183" s="663"/>
      <c r="BP183" s="663"/>
      <c r="BQ183" s="663"/>
      <c r="BR183" s="663"/>
      <c r="BS183" s="663"/>
      <c r="BT183" s="663"/>
      <c r="BU183" s="663"/>
      <c r="BV183" s="663"/>
      <c r="BW183" s="663"/>
      <c r="BX183" s="663"/>
      <c r="BY183" s="663"/>
      <c r="BZ183" s="663"/>
      <c r="CA183" s="663"/>
    </row>
    <row r="184" spans="1:79" hidden="1" outlineLevel="1" x14ac:dyDescent="0.25">
      <c r="A184" s="655"/>
      <c r="B184" s="223"/>
      <c r="C184" s="223"/>
      <c r="D184" s="223"/>
      <c r="E184" s="570" t="s">
        <v>1326</v>
      </c>
      <c r="F184" s="655" t="s">
        <v>850</v>
      </c>
      <c r="G184" s="663"/>
      <c r="H184" s="663"/>
      <c r="I184" s="663"/>
      <c r="J184" s="663"/>
      <c r="K184" s="663"/>
      <c r="L184" s="663"/>
      <c r="M184" s="663"/>
      <c r="N184" s="663"/>
      <c r="O184" s="663"/>
      <c r="P184" s="663"/>
      <c r="Q184" s="663"/>
      <c r="R184" s="663"/>
      <c r="S184" s="663">
        <v>0</v>
      </c>
      <c r="T184" s="663">
        <v>0</v>
      </c>
      <c r="U184" s="663">
        <v>0</v>
      </c>
      <c r="V184" s="663">
        <v>0</v>
      </c>
      <c r="W184" s="663">
        <v>0</v>
      </c>
      <c r="X184" s="663">
        <v>0</v>
      </c>
      <c r="Y184" s="663">
        <v>0</v>
      </c>
      <c r="Z184" s="663">
        <v>0</v>
      </c>
      <c r="AA184" s="663">
        <v>0</v>
      </c>
      <c r="AB184" s="663">
        <v>0</v>
      </c>
      <c r="AC184" s="663">
        <v>0</v>
      </c>
      <c r="AD184" s="663">
        <v>0</v>
      </c>
      <c r="AE184" s="663">
        <v>0</v>
      </c>
      <c r="AF184" s="663">
        <v>0</v>
      </c>
      <c r="AG184" s="663">
        <v>0</v>
      </c>
      <c r="AH184" s="663"/>
      <c r="AI184" s="663"/>
      <c r="AJ184" s="663"/>
      <c r="AK184" s="663"/>
      <c r="AL184" s="663"/>
      <c r="AM184" s="663"/>
      <c r="AN184" s="663"/>
      <c r="AO184" s="663"/>
      <c r="AP184" s="663"/>
      <c r="AQ184" s="663"/>
      <c r="AR184" s="663"/>
      <c r="AS184" s="663"/>
      <c r="AT184" s="663"/>
      <c r="AU184" s="663"/>
      <c r="AV184" s="663"/>
      <c r="AW184" s="663"/>
      <c r="AX184" s="663"/>
      <c r="AY184" s="663"/>
      <c r="AZ184" s="663"/>
      <c r="BA184" s="663"/>
      <c r="BB184" s="663"/>
      <c r="BC184" s="663"/>
      <c r="BD184" s="663"/>
      <c r="BE184" s="663"/>
      <c r="BF184" s="663"/>
      <c r="BG184" s="663"/>
      <c r="BH184" s="663"/>
      <c r="BI184" s="663"/>
      <c r="BJ184" s="663"/>
      <c r="BK184" s="663"/>
      <c r="BL184" s="663"/>
      <c r="BM184" s="663"/>
      <c r="BN184" s="663"/>
      <c r="BO184" s="663"/>
      <c r="BP184" s="663"/>
      <c r="BQ184" s="663"/>
      <c r="BR184" s="663"/>
      <c r="BS184" s="663"/>
      <c r="BT184" s="663"/>
      <c r="BU184" s="663"/>
      <c r="BV184" s="663"/>
      <c r="BW184" s="663"/>
      <c r="BX184" s="663"/>
      <c r="BY184" s="663"/>
      <c r="BZ184" s="663"/>
      <c r="CA184" s="663"/>
    </row>
    <row r="185" spans="1:79" hidden="1" outlineLevel="1" x14ac:dyDescent="0.25">
      <c r="A185" s="655"/>
      <c r="B185" s="223"/>
      <c r="C185" s="223"/>
      <c r="D185" s="223"/>
      <c r="E185" s="570" t="s">
        <v>851</v>
      </c>
      <c r="F185" s="655" t="s">
        <v>851</v>
      </c>
      <c r="G185" s="663"/>
      <c r="H185" s="663"/>
      <c r="I185" s="663"/>
      <c r="J185" s="663"/>
      <c r="K185" s="663"/>
      <c r="L185" s="663"/>
      <c r="M185" s="663"/>
      <c r="N185" s="663"/>
      <c r="O185" s="663"/>
      <c r="P185" s="663"/>
      <c r="Q185" s="663"/>
      <c r="R185" s="663"/>
      <c r="S185" s="663">
        <v>0</v>
      </c>
      <c r="T185" s="663">
        <v>0</v>
      </c>
      <c r="U185" s="663">
        <v>0</v>
      </c>
      <c r="V185" s="663">
        <v>0</v>
      </c>
      <c r="W185" s="663">
        <v>0</v>
      </c>
      <c r="X185" s="663">
        <v>0</v>
      </c>
      <c r="Y185" s="663">
        <v>0</v>
      </c>
      <c r="Z185" s="663">
        <v>0</v>
      </c>
      <c r="AA185" s="663">
        <v>0</v>
      </c>
      <c r="AB185" s="663">
        <v>0</v>
      </c>
      <c r="AC185" s="663">
        <v>0</v>
      </c>
      <c r="AD185" s="663">
        <v>0</v>
      </c>
      <c r="AE185" s="663">
        <v>0</v>
      </c>
      <c r="AF185" s="663">
        <v>0</v>
      </c>
      <c r="AG185" s="663">
        <v>0</v>
      </c>
      <c r="AH185" s="663"/>
      <c r="AI185" s="663"/>
      <c r="AJ185" s="663"/>
      <c r="AK185" s="663"/>
      <c r="AL185" s="663"/>
      <c r="AM185" s="663"/>
      <c r="AN185" s="663"/>
      <c r="AO185" s="663"/>
      <c r="AP185" s="663"/>
      <c r="AQ185" s="663"/>
      <c r="AR185" s="663"/>
      <c r="AS185" s="663"/>
      <c r="AT185" s="663"/>
      <c r="AU185" s="663"/>
      <c r="AV185" s="663"/>
      <c r="AW185" s="663"/>
      <c r="AX185" s="663"/>
      <c r="AY185" s="663"/>
      <c r="AZ185" s="663"/>
      <c r="BA185" s="663"/>
      <c r="BB185" s="663"/>
      <c r="BC185" s="663"/>
      <c r="BD185" s="663"/>
      <c r="BE185" s="663"/>
      <c r="BF185" s="663"/>
      <c r="BG185" s="663"/>
      <c r="BH185" s="663"/>
      <c r="BI185" s="663"/>
      <c r="BJ185" s="663"/>
      <c r="BK185" s="663"/>
      <c r="BL185" s="663"/>
      <c r="BM185" s="663"/>
      <c r="BN185" s="663"/>
      <c r="BO185" s="663"/>
      <c r="BP185" s="663"/>
      <c r="BQ185" s="663"/>
      <c r="BR185" s="663"/>
      <c r="BS185" s="663"/>
      <c r="BT185" s="663"/>
      <c r="BU185" s="663"/>
      <c r="BV185" s="663"/>
      <c r="BW185" s="663"/>
      <c r="BX185" s="663"/>
      <c r="BY185" s="663"/>
      <c r="BZ185" s="663"/>
      <c r="CA185" s="663"/>
    </row>
    <row r="186" spans="1:79" hidden="1" outlineLevel="1" x14ac:dyDescent="0.25">
      <c r="A186" s="655"/>
      <c r="B186" s="223"/>
      <c r="C186" s="223"/>
      <c r="D186" s="223"/>
      <c r="E186" s="570" t="s">
        <v>852</v>
      </c>
      <c r="F186" s="655" t="s">
        <v>852</v>
      </c>
      <c r="G186" s="663"/>
      <c r="H186" s="663"/>
      <c r="I186" s="663"/>
      <c r="J186" s="663"/>
      <c r="K186" s="663"/>
      <c r="L186" s="663"/>
      <c r="M186" s="663"/>
      <c r="N186" s="663"/>
      <c r="O186" s="663"/>
      <c r="P186" s="663"/>
      <c r="Q186" s="663"/>
      <c r="R186" s="663"/>
      <c r="S186" s="663">
        <v>0</v>
      </c>
      <c r="T186" s="663">
        <v>0</v>
      </c>
      <c r="U186" s="663">
        <v>0</v>
      </c>
      <c r="V186" s="663">
        <v>0</v>
      </c>
      <c r="W186" s="663">
        <v>0</v>
      </c>
      <c r="X186" s="663">
        <v>0</v>
      </c>
      <c r="Y186" s="663">
        <v>0</v>
      </c>
      <c r="Z186" s="663">
        <v>0</v>
      </c>
      <c r="AA186" s="663">
        <v>0</v>
      </c>
      <c r="AB186" s="663">
        <v>0</v>
      </c>
      <c r="AC186" s="663">
        <v>0</v>
      </c>
      <c r="AD186" s="663">
        <v>0</v>
      </c>
      <c r="AE186" s="663">
        <v>0</v>
      </c>
      <c r="AF186" s="663">
        <v>0</v>
      </c>
      <c r="AG186" s="663">
        <v>0</v>
      </c>
      <c r="AH186" s="663"/>
      <c r="AI186" s="663"/>
      <c r="AJ186" s="663"/>
      <c r="AK186" s="663"/>
      <c r="AL186" s="663"/>
      <c r="AM186" s="663"/>
      <c r="AN186" s="663"/>
      <c r="AO186" s="663"/>
      <c r="AP186" s="663"/>
      <c r="AQ186" s="663"/>
      <c r="AR186" s="663"/>
      <c r="AS186" s="663"/>
      <c r="AT186" s="663"/>
      <c r="AU186" s="663"/>
      <c r="AV186" s="663"/>
      <c r="AW186" s="663"/>
      <c r="AX186" s="663"/>
      <c r="AY186" s="663"/>
      <c r="AZ186" s="663"/>
      <c r="BA186" s="663"/>
      <c r="BB186" s="663"/>
      <c r="BC186" s="663"/>
      <c r="BD186" s="663"/>
      <c r="BE186" s="663"/>
      <c r="BF186" s="663"/>
      <c r="BG186" s="663"/>
      <c r="BH186" s="663"/>
      <c r="BI186" s="663"/>
      <c r="BJ186" s="663"/>
      <c r="BK186" s="663"/>
      <c r="BL186" s="663"/>
      <c r="BM186" s="663"/>
      <c r="BN186" s="663"/>
      <c r="BO186" s="663"/>
      <c r="BP186" s="663"/>
      <c r="BQ186" s="663"/>
      <c r="BR186" s="663"/>
      <c r="BS186" s="663"/>
      <c r="BT186" s="663"/>
      <c r="BU186" s="663"/>
      <c r="BV186" s="663"/>
      <c r="BW186" s="663"/>
      <c r="BX186" s="663"/>
      <c r="BY186" s="663"/>
      <c r="BZ186" s="663"/>
      <c r="CA186" s="663"/>
    </row>
    <row r="187" spans="1:79" hidden="1" outlineLevel="1" x14ac:dyDescent="0.25">
      <c r="A187" s="655"/>
      <c r="B187" s="223"/>
      <c r="C187" s="223"/>
      <c r="D187" s="223"/>
      <c r="E187" s="570" t="s">
        <v>697</v>
      </c>
      <c r="F187" s="655" t="s">
        <v>697</v>
      </c>
      <c r="G187" s="663"/>
      <c r="H187" s="663"/>
      <c r="I187" s="663"/>
      <c r="J187" s="663"/>
      <c r="K187" s="663"/>
      <c r="L187" s="663"/>
      <c r="M187" s="663"/>
      <c r="N187" s="663"/>
      <c r="O187" s="663"/>
      <c r="P187" s="663"/>
      <c r="Q187" s="663"/>
      <c r="R187" s="663"/>
      <c r="S187" s="663">
        <v>0</v>
      </c>
      <c r="T187" s="663">
        <v>0</v>
      </c>
      <c r="U187" s="663">
        <v>0</v>
      </c>
      <c r="V187" s="663">
        <v>0</v>
      </c>
      <c r="W187" s="663">
        <v>0</v>
      </c>
      <c r="X187" s="663">
        <v>0</v>
      </c>
      <c r="Y187" s="663">
        <v>0</v>
      </c>
      <c r="Z187" s="663">
        <v>0</v>
      </c>
      <c r="AA187" s="663">
        <v>0</v>
      </c>
      <c r="AB187" s="663">
        <v>0</v>
      </c>
      <c r="AC187" s="663">
        <v>0</v>
      </c>
      <c r="AD187" s="663">
        <v>0</v>
      </c>
      <c r="AE187" s="663">
        <v>0</v>
      </c>
      <c r="AF187" s="663">
        <v>0</v>
      </c>
      <c r="AG187" s="663">
        <v>0</v>
      </c>
      <c r="AH187" s="663"/>
      <c r="AI187" s="663"/>
      <c r="AJ187" s="663"/>
      <c r="AK187" s="663"/>
      <c r="AL187" s="663"/>
      <c r="AM187" s="663"/>
      <c r="AN187" s="663"/>
      <c r="AO187" s="663"/>
      <c r="AP187" s="663"/>
      <c r="AQ187" s="663"/>
      <c r="AR187" s="663"/>
      <c r="AS187" s="663"/>
      <c r="AT187" s="663"/>
      <c r="AU187" s="663"/>
      <c r="AV187" s="663"/>
      <c r="AW187" s="663"/>
      <c r="AX187" s="663"/>
      <c r="AY187" s="663"/>
      <c r="AZ187" s="663"/>
      <c r="BA187" s="663"/>
      <c r="BB187" s="663"/>
      <c r="BC187" s="663"/>
      <c r="BD187" s="663"/>
      <c r="BE187" s="663"/>
      <c r="BF187" s="663"/>
      <c r="BG187" s="663"/>
      <c r="BH187" s="663"/>
      <c r="BI187" s="663"/>
      <c r="BJ187" s="663"/>
      <c r="BK187" s="663"/>
      <c r="BL187" s="663"/>
      <c r="BM187" s="663"/>
      <c r="BN187" s="663"/>
      <c r="BO187" s="663"/>
      <c r="BP187" s="663"/>
      <c r="BQ187" s="663"/>
      <c r="BR187" s="663"/>
      <c r="BS187" s="663"/>
      <c r="BT187" s="663"/>
      <c r="BU187" s="663"/>
      <c r="BV187" s="663"/>
      <c r="BW187" s="663"/>
      <c r="BX187" s="663"/>
      <c r="BY187" s="663"/>
      <c r="BZ187" s="663"/>
      <c r="CA187" s="663"/>
    </row>
    <row r="188" spans="1:79" hidden="1" outlineLevel="1" x14ac:dyDescent="0.25">
      <c r="A188" s="655"/>
      <c r="B188" s="223"/>
      <c r="C188" s="223"/>
      <c r="D188" s="223"/>
      <c r="E188" s="570" t="s">
        <v>1325</v>
      </c>
      <c r="F188" s="655" t="s">
        <v>853</v>
      </c>
      <c r="G188" s="663"/>
      <c r="H188" s="663"/>
      <c r="I188" s="663"/>
      <c r="J188" s="663"/>
      <c r="K188" s="663"/>
      <c r="L188" s="663"/>
      <c r="M188" s="663"/>
      <c r="N188" s="663"/>
      <c r="O188" s="663"/>
      <c r="P188" s="663"/>
      <c r="Q188" s="663"/>
      <c r="R188" s="663"/>
      <c r="S188" s="663">
        <v>0</v>
      </c>
      <c r="T188" s="663">
        <v>0</v>
      </c>
      <c r="U188" s="663">
        <v>0</v>
      </c>
      <c r="V188" s="663">
        <v>0</v>
      </c>
      <c r="W188" s="663">
        <v>0</v>
      </c>
      <c r="X188" s="663">
        <v>0</v>
      </c>
      <c r="Y188" s="663">
        <v>0</v>
      </c>
      <c r="Z188" s="663">
        <v>0</v>
      </c>
      <c r="AA188" s="663">
        <v>0</v>
      </c>
      <c r="AB188" s="663">
        <v>0</v>
      </c>
      <c r="AC188" s="663">
        <v>0</v>
      </c>
      <c r="AD188" s="663">
        <v>0</v>
      </c>
      <c r="AE188" s="663">
        <v>0</v>
      </c>
      <c r="AF188" s="663">
        <v>0</v>
      </c>
      <c r="AG188" s="663">
        <v>0</v>
      </c>
      <c r="AH188" s="663"/>
      <c r="AI188" s="663"/>
      <c r="AJ188" s="663"/>
      <c r="AK188" s="663"/>
      <c r="AL188" s="663"/>
      <c r="AM188" s="663"/>
      <c r="AN188" s="663"/>
      <c r="AO188" s="663"/>
      <c r="AP188" s="663"/>
      <c r="AQ188" s="663"/>
      <c r="AR188" s="663"/>
      <c r="AS188" s="663"/>
      <c r="AT188" s="663"/>
      <c r="AU188" s="663"/>
      <c r="AV188" s="663"/>
      <c r="AW188" s="663"/>
      <c r="AX188" s="663"/>
      <c r="AY188" s="663"/>
      <c r="AZ188" s="663"/>
      <c r="BA188" s="663"/>
      <c r="BB188" s="663"/>
      <c r="BC188" s="663"/>
      <c r="BD188" s="663"/>
      <c r="BE188" s="663"/>
      <c r="BF188" s="663"/>
      <c r="BG188" s="663"/>
      <c r="BH188" s="663"/>
      <c r="BI188" s="663"/>
      <c r="BJ188" s="663"/>
      <c r="BK188" s="663"/>
      <c r="BL188" s="663"/>
      <c r="BM188" s="663"/>
      <c r="BN188" s="663"/>
      <c r="BO188" s="663"/>
      <c r="BP188" s="663"/>
      <c r="BQ188" s="663"/>
      <c r="BR188" s="663"/>
      <c r="BS188" s="663"/>
      <c r="BT188" s="663"/>
      <c r="BU188" s="663"/>
      <c r="BV188" s="663"/>
      <c r="BW188" s="663"/>
      <c r="BX188" s="663"/>
      <c r="BY188" s="663"/>
      <c r="BZ188" s="663"/>
      <c r="CA188" s="663"/>
    </row>
    <row r="189" spans="1:79" hidden="1" outlineLevel="1" x14ac:dyDescent="0.25">
      <c r="A189" s="691"/>
      <c r="B189" s="693"/>
      <c r="C189" s="693"/>
      <c r="D189" s="693"/>
      <c r="E189" s="570" t="s">
        <v>657</v>
      </c>
      <c r="F189" s="691" t="s">
        <v>657</v>
      </c>
      <c r="G189" s="692"/>
      <c r="H189" s="692"/>
      <c r="I189" s="692"/>
      <c r="J189" s="692"/>
      <c r="K189" s="692"/>
      <c r="L189" s="692"/>
      <c r="M189" s="692"/>
      <c r="N189" s="692"/>
      <c r="O189" s="692"/>
      <c r="P189" s="692"/>
      <c r="Q189" s="692"/>
      <c r="R189" s="692"/>
      <c r="S189" s="692"/>
      <c r="T189" s="692"/>
      <c r="U189" s="692"/>
      <c r="V189" s="692"/>
      <c r="W189" s="692"/>
      <c r="X189" s="692"/>
      <c r="Y189" s="692"/>
      <c r="Z189" s="692"/>
      <c r="AA189" s="692"/>
      <c r="AB189" s="692"/>
      <c r="AC189" s="692"/>
      <c r="AD189" s="692"/>
      <c r="AE189" s="692"/>
      <c r="AF189" s="692"/>
      <c r="AG189" s="692"/>
      <c r="AH189" s="692"/>
      <c r="AI189" s="692"/>
      <c r="AJ189" s="692"/>
      <c r="AK189" s="692"/>
      <c r="AL189" s="692"/>
      <c r="AM189" s="692"/>
      <c r="AN189" s="692"/>
      <c r="AO189" s="692"/>
      <c r="AP189" s="692"/>
      <c r="AQ189" s="692"/>
      <c r="AR189" s="692"/>
      <c r="AS189" s="692"/>
      <c r="AT189" s="692"/>
      <c r="AU189" s="692"/>
      <c r="AV189" s="692"/>
      <c r="AW189" s="692"/>
      <c r="AX189" s="692"/>
      <c r="AY189" s="692"/>
      <c r="AZ189" s="692"/>
      <c r="BA189" s="692"/>
      <c r="BB189" s="692"/>
      <c r="BC189" s="692"/>
      <c r="BD189" s="692"/>
      <c r="BE189" s="692"/>
      <c r="BF189" s="692"/>
      <c r="BG189" s="692"/>
      <c r="BH189" s="692"/>
      <c r="BI189" s="692"/>
      <c r="BJ189" s="692"/>
      <c r="BK189" s="692"/>
      <c r="BL189" s="692"/>
      <c r="BM189" s="692"/>
      <c r="BN189" s="692"/>
      <c r="BO189" s="692"/>
      <c r="BP189" s="692"/>
      <c r="BQ189" s="692"/>
      <c r="BR189" s="692"/>
      <c r="BS189" s="692"/>
      <c r="BT189" s="692"/>
      <c r="BU189" s="692"/>
      <c r="BV189" s="692"/>
      <c r="BW189" s="692"/>
      <c r="BX189" s="692"/>
      <c r="BY189" s="692"/>
      <c r="BZ189" s="692"/>
      <c r="CA189" s="692"/>
    </row>
    <row r="190" spans="1:79" hidden="1" outlineLevel="1" x14ac:dyDescent="0.25">
      <c r="A190" s="656"/>
      <c r="B190" s="223"/>
      <c r="C190" s="223"/>
      <c r="D190" s="223"/>
      <c r="E190" s="570" t="s">
        <v>657</v>
      </c>
      <c r="F190" s="656" t="s">
        <v>658</v>
      </c>
      <c r="G190" s="663"/>
      <c r="H190" s="663"/>
      <c r="I190" s="663"/>
      <c r="J190" s="663"/>
      <c r="K190" s="663"/>
      <c r="L190" s="663"/>
      <c r="M190" s="663"/>
      <c r="N190" s="663"/>
      <c r="O190" s="663"/>
      <c r="P190" s="663"/>
      <c r="Q190" s="663"/>
      <c r="R190" s="663"/>
      <c r="S190" s="663">
        <v>0</v>
      </c>
      <c r="T190" s="663">
        <v>0</v>
      </c>
      <c r="U190" s="663">
        <v>0</v>
      </c>
      <c r="V190" s="663">
        <v>0</v>
      </c>
      <c r="W190" s="663">
        <v>0</v>
      </c>
      <c r="X190" s="663">
        <v>0</v>
      </c>
      <c r="Y190" s="663">
        <v>0</v>
      </c>
      <c r="Z190" s="663">
        <v>0</v>
      </c>
      <c r="AA190" s="663">
        <v>0</v>
      </c>
      <c r="AB190" s="663">
        <v>0</v>
      </c>
      <c r="AC190" s="663">
        <v>0</v>
      </c>
      <c r="AD190" s="663">
        <v>0</v>
      </c>
      <c r="AE190" s="663">
        <v>0</v>
      </c>
      <c r="AF190" s="663">
        <v>0</v>
      </c>
      <c r="AG190" s="663">
        <v>0</v>
      </c>
      <c r="AH190" s="663"/>
      <c r="AI190" s="663"/>
      <c r="AJ190" s="663"/>
      <c r="AK190" s="663"/>
      <c r="AL190" s="663"/>
      <c r="AM190" s="663"/>
      <c r="AN190" s="663"/>
      <c r="AO190" s="663"/>
      <c r="AP190" s="663"/>
      <c r="AQ190" s="663"/>
      <c r="AR190" s="663"/>
      <c r="AS190" s="663"/>
      <c r="AT190" s="663"/>
      <c r="AU190" s="663"/>
      <c r="AV190" s="663"/>
      <c r="AW190" s="663"/>
      <c r="AX190" s="663"/>
      <c r="AY190" s="663"/>
      <c r="AZ190" s="663"/>
      <c r="BA190" s="663"/>
      <c r="BB190" s="663"/>
      <c r="BC190" s="663"/>
      <c r="BD190" s="663"/>
      <c r="BE190" s="663"/>
      <c r="BF190" s="663"/>
      <c r="BG190" s="663"/>
      <c r="BH190" s="663"/>
      <c r="BI190" s="663"/>
      <c r="BJ190" s="663"/>
      <c r="BK190" s="663"/>
      <c r="BL190" s="663"/>
      <c r="BM190" s="663"/>
      <c r="BN190" s="663"/>
      <c r="BO190" s="663"/>
      <c r="BP190" s="663"/>
      <c r="BQ190" s="663"/>
      <c r="BR190" s="663"/>
      <c r="BS190" s="663"/>
      <c r="BT190" s="663"/>
      <c r="BU190" s="663"/>
      <c r="BV190" s="663"/>
      <c r="BW190" s="663"/>
      <c r="BX190" s="663"/>
      <c r="BY190" s="663"/>
      <c r="BZ190" s="663"/>
      <c r="CA190" s="663"/>
    </row>
    <row r="191" spans="1:79" hidden="1" outlineLevel="1" x14ac:dyDescent="0.25">
      <c r="A191" s="656"/>
      <c r="B191" s="223"/>
      <c r="C191" s="223"/>
      <c r="D191" s="223"/>
      <c r="E191" s="570" t="s">
        <v>657</v>
      </c>
      <c r="F191" s="656" t="s">
        <v>854</v>
      </c>
      <c r="G191" s="663"/>
      <c r="H191" s="663"/>
      <c r="I191" s="663"/>
      <c r="J191" s="663"/>
      <c r="K191" s="663"/>
      <c r="L191" s="663"/>
      <c r="M191" s="663"/>
      <c r="N191" s="663"/>
      <c r="O191" s="663"/>
      <c r="P191" s="663"/>
      <c r="Q191" s="663"/>
      <c r="R191" s="663"/>
      <c r="S191" s="663">
        <v>0</v>
      </c>
      <c r="T191" s="663">
        <v>0</v>
      </c>
      <c r="U191" s="663">
        <v>0</v>
      </c>
      <c r="V191" s="663">
        <v>0</v>
      </c>
      <c r="W191" s="663">
        <v>0</v>
      </c>
      <c r="X191" s="663">
        <v>0</v>
      </c>
      <c r="Y191" s="663">
        <v>0</v>
      </c>
      <c r="Z191" s="663">
        <v>0</v>
      </c>
      <c r="AA191" s="663">
        <v>0</v>
      </c>
      <c r="AB191" s="663">
        <v>0</v>
      </c>
      <c r="AC191" s="663">
        <v>0</v>
      </c>
      <c r="AD191" s="663">
        <v>0</v>
      </c>
      <c r="AE191" s="663">
        <v>0</v>
      </c>
      <c r="AF191" s="663">
        <v>0</v>
      </c>
      <c r="AG191" s="663">
        <v>0</v>
      </c>
      <c r="AH191" s="663"/>
      <c r="AI191" s="663"/>
      <c r="AJ191" s="663"/>
      <c r="AK191" s="663"/>
      <c r="AL191" s="663"/>
      <c r="AM191" s="663"/>
      <c r="AN191" s="663"/>
      <c r="AO191" s="663"/>
      <c r="AP191" s="663"/>
      <c r="AQ191" s="663"/>
      <c r="AR191" s="663"/>
      <c r="AS191" s="663"/>
      <c r="AT191" s="663"/>
      <c r="AU191" s="663"/>
      <c r="AV191" s="663"/>
      <c r="AW191" s="663"/>
      <c r="AX191" s="663"/>
      <c r="AY191" s="663"/>
      <c r="AZ191" s="663"/>
      <c r="BA191" s="663"/>
      <c r="BB191" s="663"/>
      <c r="BC191" s="663"/>
      <c r="BD191" s="663"/>
      <c r="BE191" s="663"/>
      <c r="BF191" s="663"/>
      <c r="BG191" s="663"/>
      <c r="BH191" s="663"/>
      <c r="BI191" s="663"/>
      <c r="BJ191" s="663"/>
      <c r="BK191" s="663"/>
      <c r="BL191" s="663"/>
      <c r="BM191" s="663"/>
      <c r="BN191" s="663"/>
      <c r="BO191" s="663"/>
      <c r="BP191" s="663"/>
      <c r="BQ191" s="663"/>
      <c r="BR191" s="663"/>
      <c r="BS191" s="663"/>
      <c r="BT191" s="663"/>
      <c r="BU191" s="663"/>
      <c r="BV191" s="663"/>
      <c r="BW191" s="663"/>
      <c r="BX191" s="663"/>
      <c r="BY191" s="663"/>
      <c r="BZ191" s="663"/>
      <c r="CA191" s="663"/>
    </row>
    <row r="192" spans="1:79" hidden="1" outlineLevel="1" x14ac:dyDescent="0.25">
      <c r="A192" s="657"/>
      <c r="B192" s="223"/>
      <c r="C192" s="223"/>
      <c r="D192" s="223"/>
      <c r="E192" s="570" t="s">
        <v>49</v>
      </c>
      <c r="F192" s="657" t="s">
        <v>659</v>
      </c>
      <c r="G192" s="664">
        <f>SUM(G190:G191)</f>
        <v>0</v>
      </c>
      <c r="H192" s="664">
        <f t="shared" ref="H192:BO192" si="60">SUM(H190:H191)</f>
        <v>0</v>
      </c>
      <c r="I192" s="664">
        <f t="shared" si="60"/>
        <v>0</v>
      </c>
      <c r="J192" s="664">
        <f t="shared" si="60"/>
        <v>0</v>
      </c>
      <c r="K192" s="664">
        <f t="shared" si="60"/>
        <v>0</v>
      </c>
      <c r="L192" s="664">
        <f t="shared" si="60"/>
        <v>0</v>
      </c>
      <c r="M192" s="664">
        <f t="shared" si="60"/>
        <v>0</v>
      </c>
      <c r="N192" s="664">
        <f t="shared" si="60"/>
        <v>0</v>
      </c>
      <c r="O192" s="664">
        <f t="shared" si="60"/>
        <v>0</v>
      </c>
      <c r="P192" s="664">
        <f t="shared" si="60"/>
        <v>0</v>
      </c>
      <c r="Q192" s="664">
        <f t="shared" si="60"/>
        <v>0</v>
      </c>
      <c r="R192" s="664">
        <f t="shared" si="60"/>
        <v>0</v>
      </c>
      <c r="S192" s="664">
        <f t="shared" ref="S192:AA192" si="61">ROUND(SUM(S189:S191),5)</f>
        <v>0</v>
      </c>
      <c r="T192" s="664">
        <f t="shared" si="61"/>
        <v>0</v>
      </c>
      <c r="U192" s="664">
        <f t="shared" si="61"/>
        <v>0</v>
      </c>
      <c r="V192" s="664">
        <f t="shared" si="61"/>
        <v>0</v>
      </c>
      <c r="W192" s="664">
        <f t="shared" si="61"/>
        <v>0</v>
      </c>
      <c r="X192" s="664">
        <f t="shared" si="61"/>
        <v>0</v>
      </c>
      <c r="Y192" s="664">
        <f t="shared" si="61"/>
        <v>0</v>
      </c>
      <c r="Z192" s="664">
        <f t="shared" si="61"/>
        <v>0</v>
      </c>
      <c r="AA192" s="664">
        <f t="shared" si="61"/>
        <v>0</v>
      </c>
      <c r="AB192" s="664">
        <f>ROUND(SUM(AB189:AB191),5)</f>
        <v>0</v>
      </c>
      <c r="AC192" s="664">
        <f>ROUND(SUM(AC189:AC191),5)</f>
        <v>0</v>
      </c>
      <c r="AD192" s="664">
        <f>ROUND(SUM(AD189:AD191),5)</f>
        <v>0</v>
      </c>
      <c r="AE192" s="664">
        <v>0</v>
      </c>
      <c r="AF192" s="664">
        <v>0</v>
      </c>
      <c r="AG192" s="664">
        <f>ROUND(SUM(AG189:AG191),5)</f>
        <v>0</v>
      </c>
      <c r="AH192" s="664">
        <f t="shared" si="60"/>
        <v>0</v>
      </c>
      <c r="AI192" s="664">
        <f t="shared" si="60"/>
        <v>0</v>
      </c>
      <c r="AJ192" s="664">
        <f t="shared" si="60"/>
        <v>0</v>
      </c>
      <c r="AK192" s="664">
        <f t="shared" si="60"/>
        <v>0</v>
      </c>
      <c r="AL192" s="664">
        <f t="shared" si="60"/>
        <v>0</v>
      </c>
      <c r="AM192" s="664">
        <f t="shared" si="60"/>
        <v>0</v>
      </c>
      <c r="AN192" s="664">
        <f t="shared" si="60"/>
        <v>0</v>
      </c>
      <c r="AO192" s="664">
        <f t="shared" si="60"/>
        <v>0</v>
      </c>
      <c r="AP192" s="664">
        <f t="shared" si="60"/>
        <v>0</v>
      </c>
      <c r="AQ192" s="664">
        <f t="shared" si="60"/>
        <v>0</v>
      </c>
      <c r="AR192" s="664">
        <f t="shared" si="60"/>
        <v>0</v>
      </c>
      <c r="AS192" s="664">
        <f t="shared" si="60"/>
        <v>0</v>
      </c>
      <c r="AT192" s="664">
        <f t="shared" si="60"/>
        <v>0</v>
      </c>
      <c r="AU192" s="664">
        <f t="shared" si="60"/>
        <v>0</v>
      </c>
      <c r="AV192" s="664">
        <f t="shared" si="60"/>
        <v>0</v>
      </c>
      <c r="AW192" s="664">
        <f t="shared" si="60"/>
        <v>0</v>
      </c>
      <c r="AX192" s="664">
        <f t="shared" si="60"/>
        <v>0</v>
      </c>
      <c r="AY192" s="664">
        <f t="shared" si="60"/>
        <v>0</v>
      </c>
      <c r="AZ192" s="664">
        <f t="shared" si="60"/>
        <v>0</v>
      </c>
      <c r="BA192" s="664">
        <f t="shared" si="60"/>
        <v>0</v>
      </c>
      <c r="BB192" s="664">
        <f t="shared" si="60"/>
        <v>0</v>
      </c>
      <c r="BC192" s="664">
        <f t="shared" si="60"/>
        <v>0</v>
      </c>
      <c r="BD192" s="664">
        <f t="shared" si="60"/>
        <v>0</v>
      </c>
      <c r="BE192" s="664">
        <f t="shared" si="60"/>
        <v>0</v>
      </c>
      <c r="BF192" s="664">
        <f t="shared" si="60"/>
        <v>0</v>
      </c>
      <c r="BG192" s="664">
        <f t="shared" si="60"/>
        <v>0</v>
      </c>
      <c r="BH192" s="664">
        <f t="shared" si="60"/>
        <v>0</v>
      </c>
      <c r="BI192" s="664">
        <f t="shared" si="60"/>
        <v>0</v>
      </c>
      <c r="BJ192" s="664">
        <f t="shared" si="60"/>
        <v>0</v>
      </c>
      <c r="BK192" s="664">
        <f t="shared" si="60"/>
        <v>0</v>
      </c>
      <c r="BL192" s="664">
        <f t="shared" si="60"/>
        <v>0</v>
      </c>
      <c r="BM192" s="664">
        <f t="shared" si="60"/>
        <v>0</v>
      </c>
      <c r="BN192" s="664">
        <f t="shared" si="60"/>
        <v>0</v>
      </c>
      <c r="BO192" s="664">
        <f t="shared" si="60"/>
        <v>0</v>
      </c>
      <c r="BP192" s="664">
        <f t="shared" ref="BP192:CA192" si="62">SUM(BP190:BP191)</f>
        <v>0</v>
      </c>
      <c r="BQ192" s="664">
        <f t="shared" si="62"/>
        <v>0</v>
      </c>
      <c r="BR192" s="664">
        <f t="shared" si="62"/>
        <v>0</v>
      </c>
      <c r="BS192" s="664">
        <f t="shared" si="62"/>
        <v>0</v>
      </c>
      <c r="BT192" s="664">
        <f t="shared" si="62"/>
        <v>0</v>
      </c>
      <c r="BU192" s="664">
        <f t="shared" si="62"/>
        <v>0</v>
      </c>
      <c r="BV192" s="664">
        <f t="shared" si="62"/>
        <v>0</v>
      </c>
      <c r="BW192" s="664">
        <f t="shared" si="62"/>
        <v>0</v>
      </c>
      <c r="BX192" s="664">
        <f t="shared" si="62"/>
        <v>0</v>
      </c>
      <c r="BY192" s="664">
        <f t="shared" si="62"/>
        <v>0</v>
      </c>
      <c r="BZ192" s="664">
        <f t="shared" si="62"/>
        <v>0</v>
      </c>
      <c r="CA192" s="664">
        <f t="shared" si="62"/>
        <v>0</v>
      </c>
    </row>
    <row r="193" spans="1:79" hidden="1" outlineLevel="1" x14ac:dyDescent="0.25">
      <c r="A193" s="655"/>
      <c r="B193" s="223"/>
      <c r="C193" s="223"/>
      <c r="D193" s="223"/>
      <c r="E193" s="570" t="s">
        <v>695</v>
      </c>
      <c r="F193" s="655" t="s">
        <v>695</v>
      </c>
      <c r="G193" s="663"/>
      <c r="H193" s="663"/>
      <c r="I193" s="663"/>
      <c r="J193" s="663"/>
      <c r="K193" s="663"/>
      <c r="L193" s="663"/>
      <c r="M193" s="663"/>
      <c r="N193" s="663"/>
      <c r="O193" s="663"/>
      <c r="P193" s="663"/>
      <c r="Q193" s="663"/>
      <c r="R193" s="663"/>
      <c r="S193" s="663">
        <v>0</v>
      </c>
      <c r="T193" s="663">
        <v>0</v>
      </c>
      <c r="U193" s="663">
        <v>0</v>
      </c>
      <c r="V193" s="663">
        <v>0</v>
      </c>
      <c r="W193" s="663">
        <v>0</v>
      </c>
      <c r="X193" s="663">
        <v>0</v>
      </c>
      <c r="Y193" s="663">
        <v>0</v>
      </c>
      <c r="Z193" s="663">
        <v>0</v>
      </c>
      <c r="AA193" s="663">
        <v>0</v>
      </c>
      <c r="AB193" s="663">
        <v>0</v>
      </c>
      <c r="AC193" s="663">
        <v>0</v>
      </c>
      <c r="AD193" s="663">
        <v>0</v>
      </c>
      <c r="AE193" s="663">
        <v>0</v>
      </c>
      <c r="AF193" s="663">
        <v>0</v>
      </c>
      <c r="AG193" s="663">
        <v>0</v>
      </c>
      <c r="AH193" s="663"/>
      <c r="AI193" s="663"/>
      <c r="AJ193" s="663"/>
      <c r="AK193" s="663"/>
      <c r="AL193" s="663"/>
      <c r="AM193" s="663"/>
      <c r="AN193" s="663"/>
      <c r="AO193" s="663"/>
      <c r="AP193" s="663"/>
      <c r="AQ193" s="663"/>
      <c r="AR193" s="663"/>
      <c r="AS193" s="663"/>
      <c r="AT193" s="663"/>
      <c r="AU193" s="663"/>
      <c r="AV193" s="663"/>
      <c r="AW193" s="663"/>
      <c r="AX193" s="663"/>
      <c r="AY193" s="663"/>
      <c r="AZ193" s="663"/>
      <c r="BA193" s="663"/>
      <c r="BB193" s="663"/>
      <c r="BC193" s="663"/>
      <c r="BD193" s="663"/>
      <c r="BE193" s="663"/>
      <c r="BF193" s="663"/>
      <c r="BG193" s="663"/>
      <c r="BH193" s="663"/>
      <c r="BI193" s="663"/>
      <c r="BJ193" s="663"/>
      <c r="BK193" s="663"/>
      <c r="BL193" s="663"/>
      <c r="BM193" s="663"/>
      <c r="BN193" s="663"/>
      <c r="BO193" s="663"/>
      <c r="BP193" s="663"/>
      <c r="BQ193" s="663"/>
      <c r="BR193" s="663"/>
      <c r="BS193" s="663"/>
      <c r="BT193" s="663"/>
      <c r="BU193" s="663"/>
      <c r="BV193" s="663"/>
      <c r="BW193" s="663"/>
      <c r="BX193" s="663"/>
      <c r="BY193" s="663"/>
      <c r="BZ193" s="663"/>
      <c r="CA193" s="663"/>
    </row>
    <row r="194" spans="1:79" hidden="1" outlineLevel="1" x14ac:dyDescent="0.25">
      <c r="A194" s="655"/>
      <c r="B194" s="223"/>
      <c r="C194" s="223"/>
      <c r="D194" s="223"/>
      <c r="E194" s="570" t="s">
        <v>855</v>
      </c>
      <c r="F194" s="655" t="s">
        <v>855</v>
      </c>
      <c r="G194" s="663"/>
      <c r="H194" s="663"/>
      <c r="I194" s="663"/>
      <c r="J194" s="663"/>
      <c r="K194" s="663"/>
      <c r="L194" s="663"/>
      <c r="M194" s="663"/>
      <c r="N194" s="663"/>
      <c r="O194" s="663"/>
      <c r="P194" s="663"/>
      <c r="Q194" s="663"/>
      <c r="R194" s="663"/>
      <c r="S194" s="663">
        <v>0</v>
      </c>
      <c r="T194" s="663">
        <v>0</v>
      </c>
      <c r="U194" s="663">
        <v>0</v>
      </c>
      <c r="V194" s="663">
        <v>0</v>
      </c>
      <c r="W194" s="663">
        <v>0</v>
      </c>
      <c r="X194" s="663">
        <v>0</v>
      </c>
      <c r="Y194" s="663">
        <v>0</v>
      </c>
      <c r="Z194" s="663">
        <v>0</v>
      </c>
      <c r="AA194" s="663">
        <v>0</v>
      </c>
      <c r="AB194" s="663">
        <v>0</v>
      </c>
      <c r="AC194" s="663">
        <v>0</v>
      </c>
      <c r="AD194" s="663">
        <v>0</v>
      </c>
      <c r="AE194" s="663">
        <v>0</v>
      </c>
      <c r="AF194" s="663">
        <v>0</v>
      </c>
      <c r="AG194" s="663">
        <v>0</v>
      </c>
      <c r="AH194" s="663"/>
      <c r="AI194" s="663"/>
      <c r="AJ194" s="663"/>
      <c r="AK194" s="663"/>
      <c r="AL194" s="663"/>
      <c r="AM194" s="663"/>
      <c r="AN194" s="663"/>
      <c r="AO194" s="663"/>
      <c r="AP194" s="663"/>
      <c r="AQ194" s="663"/>
      <c r="AR194" s="663"/>
      <c r="AS194" s="663"/>
      <c r="AT194" s="663"/>
      <c r="AU194" s="663"/>
      <c r="AV194" s="663"/>
      <c r="AW194" s="663"/>
      <c r="AX194" s="663"/>
      <c r="AY194" s="663"/>
      <c r="AZ194" s="663"/>
      <c r="BA194" s="663"/>
      <c r="BB194" s="663"/>
      <c r="BC194" s="663"/>
      <c r="BD194" s="663"/>
      <c r="BE194" s="663"/>
      <c r="BF194" s="663"/>
      <c r="BG194" s="663"/>
      <c r="BH194" s="663"/>
      <c r="BI194" s="663"/>
      <c r="BJ194" s="663"/>
      <c r="BK194" s="663"/>
      <c r="BL194" s="663"/>
      <c r="BM194" s="663"/>
      <c r="BN194" s="663"/>
      <c r="BO194" s="663"/>
      <c r="BP194" s="663"/>
      <c r="BQ194" s="663"/>
      <c r="BR194" s="663"/>
      <c r="BS194" s="663"/>
      <c r="BT194" s="663"/>
      <c r="BU194" s="663"/>
      <c r="BV194" s="663"/>
      <c r="BW194" s="663"/>
      <c r="BX194" s="663"/>
      <c r="BY194" s="663"/>
      <c r="BZ194" s="663"/>
      <c r="CA194" s="663"/>
    </row>
    <row r="195" spans="1:79" hidden="1" outlineLevel="1" x14ac:dyDescent="0.25">
      <c r="A195" s="655"/>
      <c r="B195" s="223"/>
      <c r="C195" s="223"/>
      <c r="D195" s="223"/>
      <c r="E195" s="570" t="s">
        <v>856</v>
      </c>
      <c r="F195" s="655" t="s">
        <v>856</v>
      </c>
      <c r="G195" s="663"/>
      <c r="H195" s="663"/>
      <c r="I195" s="663"/>
      <c r="J195" s="663"/>
      <c r="K195" s="663"/>
      <c r="L195" s="663"/>
      <c r="M195" s="663"/>
      <c r="N195" s="663"/>
      <c r="O195" s="663"/>
      <c r="P195" s="663"/>
      <c r="Q195" s="663"/>
      <c r="R195" s="663"/>
      <c r="S195" s="663">
        <v>0</v>
      </c>
      <c r="T195" s="663">
        <v>0</v>
      </c>
      <c r="U195" s="663">
        <v>0</v>
      </c>
      <c r="V195" s="663">
        <v>0</v>
      </c>
      <c r="W195" s="663">
        <v>0</v>
      </c>
      <c r="X195" s="663">
        <v>0</v>
      </c>
      <c r="Y195" s="663">
        <v>0</v>
      </c>
      <c r="Z195" s="663">
        <v>0</v>
      </c>
      <c r="AA195" s="663">
        <v>0</v>
      </c>
      <c r="AB195" s="663">
        <v>0</v>
      </c>
      <c r="AC195" s="663">
        <v>0</v>
      </c>
      <c r="AD195" s="663">
        <v>0</v>
      </c>
      <c r="AE195" s="663">
        <v>0</v>
      </c>
      <c r="AF195" s="663">
        <v>0</v>
      </c>
      <c r="AG195" s="663">
        <v>0</v>
      </c>
      <c r="AH195" s="663"/>
      <c r="AI195" s="663"/>
      <c r="AJ195" s="663"/>
      <c r="AK195" s="663"/>
      <c r="AL195" s="663"/>
      <c r="AM195" s="663"/>
      <c r="AN195" s="663"/>
      <c r="AO195" s="663"/>
      <c r="AP195" s="663"/>
      <c r="AQ195" s="663"/>
      <c r="AR195" s="663"/>
      <c r="AS195" s="663"/>
      <c r="AT195" s="663"/>
      <c r="AU195" s="663"/>
      <c r="AV195" s="663"/>
      <c r="AW195" s="663"/>
      <c r="AX195" s="663"/>
      <c r="AY195" s="663"/>
      <c r="AZ195" s="663"/>
      <c r="BA195" s="663"/>
      <c r="BB195" s="663"/>
      <c r="BC195" s="663"/>
      <c r="BD195" s="663"/>
      <c r="BE195" s="663"/>
      <c r="BF195" s="663"/>
      <c r="BG195" s="663"/>
      <c r="BH195" s="663"/>
      <c r="BI195" s="663"/>
      <c r="BJ195" s="663"/>
      <c r="BK195" s="663"/>
      <c r="BL195" s="663"/>
      <c r="BM195" s="663"/>
      <c r="BN195" s="663"/>
      <c r="BO195" s="663"/>
      <c r="BP195" s="663"/>
      <c r="BQ195" s="663"/>
      <c r="BR195" s="663"/>
      <c r="BS195" s="663"/>
      <c r="BT195" s="663"/>
      <c r="BU195" s="663"/>
      <c r="BV195" s="663"/>
      <c r="BW195" s="663"/>
      <c r="BX195" s="663"/>
      <c r="BY195" s="663"/>
      <c r="BZ195" s="663"/>
      <c r="CA195" s="663"/>
    </row>
    <row r="196" spans="1:79" hidden="1" outlineLevel="1" x14ac:dyDescent="0.25">
      <c r="A196" s="655"/>
      <c r="B196" s="223"/>
      <c r="C196" s="223"/>
      <c r="D196" s="223"/>
      <c r="E196" s="570" t="s">
        <v>17</v>
      </c>
      <c r="F196" s="655" t="s">
        <v>17</v>
      </c>
      <c r="G196" s="663"/>
      <c r="H196" s="663"/>
      <c r="I196" s="663"/>
      <c r="J196" s="663"/>
      <c r="K196" s="663"/>
      <c r="L196" s="663"/>
      <c r="M196" s="663"/>
      <c r="N196" s="663"/>
      <c r="O196" s="663"/>
      <c r="P196" s="663"/>
      <c r="Q196" s="663"/>
      <c r="R196" s="663"/>
      <c r="S196" s="663">
        <v>0</v>
      </c>
      <c r="T196" s="663">
        <v>0</v>
      </c>
      <c r="U196" s="663">
        <v>0</v>
      </c>
      <c r="V196" s="663">
        <v>0</v>
      </c>
      <c r="W196" s="663">
        <v>0</v>
      </c>
      <c r="X196" s="663">
        <v>0</v>
      </c>
      <c r="Y196" s="663">
        <v>0</v>
      </c>
      <c r="Z196" s="663">
        <v>0</v>
      </c>
      <c r="AA196" s="663">
        <v>0</v>
      </c>
      <c r="AB196" s="663">
        <v>0</v>
      </c>
      <c r="AC196" s="663">
        <v>0</v>
      </c>
      <c r="AD196" s="663">
        <v>0</v>
      </c>
      <c r="AE196" s="663">
        <v>0</v>
      </c>
      <c r="AF196" s="663">
        <v>0</v>
      </c>
      <c r="AG196" s="663">
        <v>0</v>
      </c>
      <c r="AH196" s="663"/>
      <c r="AI196" s="663"/>
      <c r="AJ196" s="663"/>
      <c r="AK196" s="663"/>
      <c r="AL196" s="663"/>
      <c r="AM196" s="663"/>
      <c r="AN196" s="663"/>
      <c r="AO196" s="663"/>
      <c r="AP196" s="663"/>
      <c r="AQ196" s="663"/>
      <c r="AR196" s="663"/>
      <c r="AS196" s="663"/>
      <c r="AT196" s="663"/>
      <c r="AU196" s="663"/>
      <c r="AV196" s="663"/>
      <c r="AW196" s="663"/>
      <c r="AX196" s="663"/>
      <c r="AY196" s="663"/>
      <c r="AZ196" s="663"/>
      <c r="BA196" s="663"/>
      <c r="BB196" s="663"/>
      <c r="BC196" s="663"/>
      <c r="BD196" s="663"/>
      <c r="BE196" s="663"/>
      <c r="BF196" s="663"/>
      <c r="BG196" s="663"/>
      <c r="BH196" s="663"/>
      <c r="BI196" s="663"/>
      <c r="BJ196" s="663"/>
      <c r="BK196" s="663"/>
      <c r="BL196" s="663"/>
      <c r="BM196" s="663"/>
      <c r="BN196" s="663"/>
      <c r="BO196" s="663"/>
      <c r="BP196" s="663"/>
      <c r="BQ196" s="663"/>
      <c r="BR196" s="663"/>
      <c r="BS196" s="663"/>
      <c r="BT196" s="663"/>
      <c r="BU196" s="663"/>
      <c r="BV196" s="663"/>
      <c r="BW196" s="663"/>
      <c r="BX196" s="663"/>
      <c r="BY196" s="663"/>
      <c r="BZ196" s="663"/>
      <c r="CA196" s="663"/>
    </row>
    <row r="197" spans="1:79" hidden="1" outlineLevel="1" x14ac:dyDescent="0.25">
      <c r="A197" s="655"/>
      <c r="B197" s="223"/>
      <c r="C197" s="223"/>
      <c r="D197" s="223"/>
      <c r="E197" s="570" t="s">
        <v>1327</v>
      </c>
      <c r="F197" s="655" t="s">
        <v>857</v>
      </c>
      <c r="G197" s="663"/>
      <c r="H197" s="663"/>
      <c r="I197" s="663"/>
      <c r="J197" s="663"/>
      <c r="K197" s="663"/>
      <c r="L197" s="663"/>
      <c r="M197" s="663"/>
      <c r="N197" s="663"/>
      <c r="O197" s="663"/>
      <c r="P197" s="663"/>
      <c r="Q197" s="663"/>
      <c r="R197" s="663"/>
      <c r="S197" s="663">
        <v>0</v>
      </c>
      <c r="T197" s="663">
        <v>0</v>
      </c>
      <c r="U197" s="663">
        <v>0</v>
      </c>
      <c r="V197" s="663">
        <v>0</v>
      </c>
      <c r="W197" s="663">
        <v>0</v>
      </c>
      <c r="X197" s="663">
        <v>0</v>
      </c>
      <c r="Y197" s="663">
        <v>0</v>
      </c>
      <c r="Z197" s="663">
        <v>0</v>
      </c>
      <c r="AA197" s="663">
        <v>0</v>
      </c>
      <c r="AB197" s="663">
        <v>0</v>
      </c>
      <c r="AC197" s="663">
        <v>0</v>
      </c>
      <c r="AD197" s="663">
        <v>0</v>
      </c>
      <c r="AE197" s="663">
        <v>0</v>
      </c>
      <c r="AF197" s="663">
        <v>0</v>
      </c>
      <c r="AG197" s="663">
        <v>0</v>
      </c>
      <c r="AH197" s="663"/>
      <c r="AI197" s="663"/>
      <c r="AJ197" s="663"/>
      <c r="AK197" s="663"/>
      <c r="AL197" s="663"/>
      <c r="AM197" s="663"/>
      <c r="AN197" s="663"/>
      <c r="AO197" s="663"/>
      <c r="AP197" s="663"/>
      <c r="AQ197" s="663"/>
      <c r="AR197" s="663"/>
      <c r="AS197" s="663"/>
      <c r="AT197" s="663"/>
      <c r="AU197" s="663"/>
      <c r="AV197" s="663"/>
      <c r="AW197" s="663"/>
      <c r="AX197" s="663"/>
      <c r="AY197" s="663"/>
      <c r="AZ197" s="663"/>
      <c r="BA197" s="663"/>
      <c r="BB197" s="663"/>
      <c r="BC197" s="663"/>
      <c r="BD197" s="663"/>
      <c r="BE197" s="663"/>
      <c r="BF197" s="663"/>
      <c r="BG197" s="663"/>
      <c r="BH197" s="663"/>
      <c r="BI197" s="663"/>
      <c r="BJ197" s="663"/>
      <c r="BK197" s="663"/>
      <c r="BL197" s="663"/>
      <c r="BM197" s="663"/>
      <c r="BN197" s="663"/>
      <c r="BO197" s="663"/>
      <c r="BP197" s="663"/>
      <c r="BQ197" s="663"/>
      <c r="BR197" s="663"/>
      <c r="BS197" s="663"/>
      <c r="BT197" s="663"/>
      <c r="BU197" s="663"/>
      <c r="BV197" s="663"/>
      <c r="BW197" s="663"/>
      <c r="BX197" s="663"/>
      <c r="BY197" s="663"/>
      <c r="BZ197" s="663"/>
      <c r="CA197" s="663"/>
    </row>
    <row r="198" spans="1:79" hidden="1" outlineLevel="1" x14ac:dyDescent="0.25">
      <c r="A198" s="655"/>
      <c r="B198" s="223"/>
      <c r="C198" s="223"/>
      <c r="D198" s="223"/>
      <c r="E198" s="570" t="s">
        <v>1330</v>
      </c>
      <c r="F198" s="655" t="s">
        <v>861</v>
      </c>
      <c r="G198" s="663"/>
      <c r="H198" s="663"/>
      <c r="I198" s="663"/>
      <c r="J198" s="663"/>
      <c r="K198" s="663"/>
      <c r="L198" s="663"/>
      <c r="M198" s="663"/>
      <c r="N198" s="663"/>
      <c r="O198" s="663"/>
      <c r="P198" s="663"/>
      <c r="Q198" s="663"/>
      <c r="R198" s="663"/>
      <c r="S198" s="663">
        <v>0</v>
      </c>
      <c r="T198" s="663">
        <v>0</v>
      </c>
      <c r="U198" s="663">
        <v>0</v>
      </c>
      <c r="V198" s="663">
        <v>0</v>
      </c>
      <c r="W198" s="663">
        <v>0</v>
      </c>
      <c r="X198" s="663">
        <v>0</v>
      </c>
      <c r="Y198" s="663">
        <v>0</v>
      </c>
      <c r="Z198" s="663">
        <v>0</v>
      </c>
      <c r="AA198" s="663">
        <v>0</v>
      </c>
      <c r="AB198" s="663">
        <v>0</v>
      </c>
      <c r="AC198" s="663">
        <v>0</v>
      </c>
      <c r="AD198" s="663">
        <v>0</v>
      </c>
      <c r="AE198" s="663">
        <v>0</v>
      </c>
      <c r="AF198" s="663">
        <v>0</v>
      </c>
      <c r="AG198" s="663">
        <v>0</v>
      </c>
      <c r="AH198" s="663"/>
      <c r="AI198" s="663"/>
      <c r="AJ198" s="663"/>
      <c r="AK198" s="663"/>
      <c r="AL198" s="663"/>
      <c r="AM198" s="663"/>
      <c r="AN198" s="663"/>
      <c r="AO198" s="663"/>
      <c r="AP198" s="663"/>
      <c r="AQ198" s="663"/>
      <c r="AR198" s="663"/>
      <c r="AS198" s="663"/>
      <c r="AT198" s="663"/>
      <c r="AU198" s="663"/>
      <c r="AV198" s="663"/>
      <c r="AW198" s="663"/>
      <c r="AX198" s="663"/>
      <c r="AY198" s="663"/>
      <c r="AZ198" s="663"/>
      <c r="BA198" s="663"/>
      <c r="BB198" s="663"/>
      <c r="BC198" s="663"/>
      <c r="BD198" s="663"/>
      <c r="BE198" s="663"/>
      <c r="BF198" s="663"/>
      <c r="BG198" s="663"/>
      <c r="BH198" s="663"/>
      <c r="BI198" s="663"/>
      <c r="BJ198" s="663"/>
      <c r="BK198" s="663"/>
      <c r="BL198" s="663"/>
      <c r="BM198" s="663"/>
      <c r="BN198" s="663"/>
      <c r="BO198" s="663"/>
      <c r="BP198" s="663"/>
      <c r="BQ198" s="663"/>
      <c r="BR198" s="663"/>
      <c r="BS198" s="663"/>
      <c r="BT198" s="663"/>
      <c r="BU198" s="663"/>
      <c r="BV198" s="663"/>
      <c r="BW198" s="663"/>
      <c r="BX198" s="663"/>
      <c r="BY198" s="663"/>
      <c r="BZ198" s="663"/>
      <c r="CA198" s="663"/>
    </row>
    <row r="199" spans="1:79" hidden="1" outlineLevel="1" x14ac:dyDescent="0.25">
      <c r="A199" s="655"/>
      <c r="B199" s="223"/>
      <c r="C199" s="223"/>
      <c r="D199" s="223"/>
      <c r="E199" s="570" t="s">
        <v>1337</v>
      </c>
      <c r="F199" s="655" t="s">
        <v>862</v>
      </c>
      <c r="G199" s="663"/>
      <c r="H199" s="663"/>
      <c r="I199" s="663"/>
      <c r="J199" s="663"/>
      <c r="K199" s="663"/>
      <c r="L199" s="663"/>
      <c r="M199" s="663"/>
      <c r="N199" s="663"/>
      <c r="O199" s="663"/>
      <c r="P199" s="663"/>
      <c r="Q199" s="663"/>
      <c r="R199" s="663"/>
      <c r="S199" s="663">
        <v>0</v>
      </c>
      <c r="T199" s="663">
        <v>0</v>
      </c>
      <c r="U199" s="663">
        <v>0</v>
      </c>
      <c r="V199" s="663">
        <v>0</v>
      </c>
      <c r="W199" s="663">
        <v>0</v>
      </c>
      <c r="X199" s="663">
        <v>0</v>
      </c>
      <c r="Y199" s="663">
        <v>0</v>
      </c>
      <c r="Z199" s="663">
        <v>0</v>
      </c>
      <c r="AA199" s="663">
        <v>0</v>
      </c>
      <c r="AB199" s="663">
        <v>0</v>
      </c>
      <c r="AC199" s="663">
        <v>0</v>
      </c>
      <c r="AD199" s="663">
        <v>0</v>
      </c>
      <c r="AE199" s="663">
        <v>0</v>
      </c>
      <c r="AF199" s="663">
        <v>0</v>
      </c>
      <c r="AG199" s="663">
        <v>0</v>
      </c>
      <c r="AH199" s="663"/>
      <c r="AI199" s="663"/>
      <c r="AJ199" s="663"/>
      <c r="AK199" s="663"/>
      <c r="AL199" s="663"/>
      <c r="AM199" s="663"/>
      <c r="AN199" s="663"/>
      <c r="AO199" s="663"/>
      <c r="AP199" s="663"/>
      <c r="AQ199" s="663"/>
      <c r="AR199" s="663"/>
      <c r="AS199" s="663"/>
      <c r="AT199" s="663"/>
      <c r="AU199" s="663"/>
      <c r="AV199" s="663"/>
      <c r="AW199" s="663"/>
      <c r="AX199" s="663"/>
      <c r="AY199" s="663"/>
      <c r="AZ199" s="663"/>
      <c r="BA199" s="663"/>
      <c r="BB199" s="663"/>
      <c r="BC199" s="663"/>
      <c r="BD199" s="663"/>
      <c r="BE199" s="663"/>
      <c r="BF199" s="663"/>
      <c r="BG199" s="663"/>
      <c r="BH199" s="663"/>
      <c r="BI199" s="663"/>
      <c r="BJ199" s="663"/>
      <c r="BK199" s="663"/>
      <c r="BL199" s="663"/>
      <c r="BM199" s="663"/>
      <c r="BN199" s="663"/>
      <c r="BO199" s="663"/>
      <c r="BP199" s="663"/>
      <c r="BQ199" s="663"/>
      <c r="BR199" s="663"/>
      <c r="BS199" s="663"/>
      <c r="BT199" s="663"/>
      <c r="BU199" s="663"/>
      <c r="BV199" s="663"/>
      <c r="BW199" s="663"/>
      <c r="BX199" s="663"/>
      <c r="BY199" s="663"/>
      <c r="BZ199" s="663"/>
      <c r="CA199" s="663"/>
    </row>
    <row r="200" spans="1:79" hidden="1" outlineLevel="1" x14ac:dyDescent="0.25">
      <c r="A200" s="691"/>
      <c r="B200" s="693"/>
      <c r="C200" s="693"/>
      <c r="D200" s="693"/>
      <c r="E200" s="570" t="s">
        <v>338</v>
      </c>
      <c r="F200" s="691" t="s">
        <v>863</v>
      </c>
      <c r="G200" s="692"/>
      <c r="H200" s="692"/>
      <c r="I200" s="692"/>
      <c r="J200" s="692"/>
      <c r="K200" s="692"/>
      <c r="L200" s="692"/>
      <c r="M200" s="692"/>
      <c r="N200" s="692"/>
      <c r="O200" s="692"/>
      <c r="P200" s="692"/>
      <c r="Q200" s="692"/>
      <c r="R200" s="692"/>
      <c r="S200" s="692"/>
      <c r="T200" s="692"/>
      <c r="U200" s="692"/>
      <c r="V200" s="692"/>
      <c r="W200" s="692"/>
      <c r="X200" s="692"/>
      <c r="Y200" s="692"/>
      <c r="Z200" s="692"/>
      <c r="AA200" s="692"/>
      <c r="AB200" s="692"/>
      <c r="AC200" s="692"/>
      <c r="AD200" s="692"/>
      <c r="AE200" s="692"/>
      <c r="AF200" s="692"/>
      <c r="AG200" s="692"/>
      <c r="AH200" s="692"/>
      <c r="AI200" s="692"/>
      <c r="AJ200" s="692"/>
      <c r="AK200" s="692"/>
      <c r="AL200" s="692"/>
      <c r="AM200" s="692"/>
      <c r="AN200" s="692"/>
      <c r="AO200" s="692"/>
      <c r="AP200" s="692"/>
      <c r="AQ200" s="692"/>
      <c r="AR200" s="692"/>
      <c r="AS200" s="692"/>
      <c r="AT200" s="692"/>
      <c r="AU200" s="692"/>
      <c r="AV200" s="692"/>
      <c r="AW200" s="692"/>
      <c r="AX200" s="692"/>
      <c r="AY200" s="692"/>
      <c r="AZ200" s="692"/>
      <c r="BA200" s="692"/>
      <c r="BB200" s="692"/>
      <c r="BC200" s="692"/>
      <c r="BD200" s="692"/>
      <c r="BE200" s="692"/>
      <c r="BF200" s="692"/>
      <c r="BG200" s="692"/>
      <c r="BH200" s="692"/>
      <c r="BI200" s="692"/>
      <c r="BJ200" s="692"/>
      <c r="BK200" s="692"/>
      <c r="BL200" s="692"/>
      <c r="BM200" s="692"/>
      <c r="BN200" s="692"/>
      <c r="BO200" s="692"/>
      <c r="BP200" s="692"/>
      <c r="BQ200" s="692"/>
      <c r="BR200" s="692"/>
      <c r="BS200" s="692"/>
      <c r="BT200" s="692"/>
      <c r="BU200" s="692"/>
      <c r="BV200" s="692"/>
      <c r="BW200" s="692"/>
      <c r="BX200" s="692"/>
      <c r="BY200" s="692"/>
      <c r="BZ200" s="692"/>
      <c r="CA200" s="692"/>
    </row>
    <row r="201" spans="1:79" hidden="1" outlineLevel="1" x14ac:dyDescent="0.25">
      <c r="A201" s="656"/>
      <c r="B201" s="223"/>
      <c r="C201" s="223"/>
      <c r="D201" s="223"/>
      <c r="E201" s="570" t="s">
        <v>338</v>
      </c>
      <c r="F201" s="656" t="s">
        <v>864</v>
      </c>
      <c r="G201" s="663"/>
      <c r="H201" s="663"/>
      <c r="I201" s="663"/>
      <c r="J201" s="663"/>
      <c r="K201" s="663"/>
      <c r="L201" s="663"/>
      <c r="M201" s="663"/>
      <c r="N201" s="663"/>
      <c r="O201" s="663"/>
      <c r="P201" s="663"/>
      <c r="Q201" s="663"/>
      <c r="R201" s="663"/>
      <c r="S201" s="663">
        <v>0</v>
      </c>
      <c r="T201" s="663">
        <v>0</v>
      </c>
      <c r="U201" s="663">
        <v>0</v>
      </c>
      <c r="V201" s="663">
        <v>0</v>
      </c>
      <c r="W201" s="663">
        <v>0</v>
      </c>
      <c r="X201" s="663">
        <v>0</v>
      </c>
      <c r="Y201" s="663">
        <v>0</v>
      </c>
      <c r="Z201" s="663">
        <v>0</v>
      </c>
      <c r="AA201" s="663">
        <v>0</v>
      </c>
      <c r="AB201" s="663">
        <v>0</v>
      </c>
      <c r="AC201" s="663">
        <v>0</v>
      </c>
      <c r="AD201" s="663">
        <v>0</v>
      </c>
      <c r="AE201" s="663">
        <v>0</v>
      </c>
      <c r="AF201" s="663">
        <v>0</v>
      </c>
      <c r="AG201" s="663">
        <v>0</v>
      </c>
      <c r="AH201" s="663"/>
      <c r="AI201" s="663"/>
      <c r="AJ201" s="663"/>
      <c r="AK201" s="663"/>
      <c r="AL201" s="663"/>
      <c r="AM201" s="663"/>
      <c r="AN201" s="663"/>
      <c r="AO201" s="663"/>
      <c r="AP201" s="663"/>
      <c r="AQ201" s="663"/>
      <c r="AR201" s="663"/>
      <c r="AS201" s="663"/>
      <c r="AT201" s="663"/>
      <c r="AU201" s="663"/>
      <c r="AV201" s="663"/>
      <c r="AW201" s="663"/>
      <c r="AX201" s="663"/>
      <c r="AY201" s="663"/>
      <c r="AZ201" s="663"/>
      <c r="BA201" s="663"/>
      <c r="BB201" s="663"/>
      <c r="BC201" s="663"/>
      <c r="BD201" s="663"/>
      <c r="BE201" s="663"/>
      <c r="BF201" s="663"/>
      <c r="BG201" s="663"/>
      <c r="BH201" s="663"/>
      <c r="BI201" s="663"/>
      <c r="BJ201" s="663"/>
      <c r="BK201" s="663"/>
      <c r="BL201" s="663"/>
      <c r="BM201" s="663"/>
      <c r="BN201" s="663"/>
      <c r="BO201" s="663"/>
      <c r="BP201" s="663"/>
      <c r="BQ201" s="663"/>
      <c r="BR201" s="663"/>
      <c r="BS201" s="663"/>
      <c r="BT201" s="663"/>
      <c r="BU201" s="663"/>
      <c r="BV201" s="663"/>
      <c r="BW201" s="663"/>
      <c r="BX201" s="663"/>
      <c r="BY201" s="663"/>
      <c r="BZ201" s="663"/>
      <c r="CA201" s="663"/>
    </row>
    <row r="202" spans="1:79" hidden="1" outlineLevel="1" x14ac:dyDescent="0.25">
      <c r="A202" s="656"/>
      <c r="B202" s="223"/>
      <c r="C202" s="223"/>
      <c r="D202" s="223"/>
      <c r="E202" s="570" t="s">
        <v>338</v>
      </c>
      <c r="F202" s="656" t="s">
        <v>865</v>
      </c>
      <c r="G202" s="663"/>
      <c r="H202" s="663"/>
      <c r="I202" s="663"/>
      <c r="J202" s="663"/>
      <c r="K202" s="663"/>
      <c r="L202" s="663"/>
      <c r="M202" s="663"/>
      <c r="N202" s="663"/>
      <c r="O202" s="663"/>
      <c r="P202" s="663"/>
      <c r="Q202" s="663"/>
      <c r="R202" s="663"/>
      <c r="S202" s="663">
        <v>0</v>
      </c>
      <c r="T202" s="663">
        <v>0</v>
      </c>
      <c r="U202" s="663">
        <v>0</v>
      </c>
      <c r="V202" s="663">
        <v>0</v>
      </c>
      <c r="W202" s="663">
        <v>0</v>
      </c>
      <c r="X202" s="663">
        <v>0</v>
      </c>
      <c r="Y202" s="663">
        <v>0</v>
      </c>
      <c r="Z202" s="663">
        <v>0</v>
      </c>
      <c r="AA202" s="663">
        <v>0</v>
      </c>
      <c r="AB202" s="663">
        <v>0</v>
      </c>
      <c r="AC202" s="663">
        <v>0</v>
      </c>
      <c r="AD202" s="663">
        <v>0</v>
      </c>
      <c r="AE202" s="663">
        <v>0</v>
      </c>
      <c r="AF202" s="663">
        <v>0</v>
      </c>
      <c r="AG202" s="663">
        <v>0</v>
      </c>
      <c r="AH202" s="663"/>
      <c r="AI202" s="663"/>
      <c r="AJ202" s="663"/>
      <c r="AK202" s="663"/>
      <c r="AL202" s="663"/>
      <c r="AM202" s="663"/>
      <c r="AN202" s="663"/>
      <c r="AO202" s="663"/>
      <c r="AP202" s="663"/>
      <c r="AQ202" s="663"/>
      <c r="AR202" s="663"/>
      <c r="AS202" s="663"/>
      <c r="AT202" s="663"/>
      <c r="AU202" s="663"/>
      <c r="AV202" s="663"/>
      <c r="AW202" s="663"/>
      <c r="AX202" s="663"/>
      <c r="AY202" s="663"/>
      <c r="AZ202" s="663"/>
      <c r="BA202" s="663"/>
      <c r="BB202" s="663"/>
      <c r="BC202" s="663"/>
      <c r="BD202" s="663"/>
      <c r="BE202" s="663"/>
      <c r="BF202" s="663"/>
      <c r="BG202" s="663"/>
      <c r="BH202" s="663"/>
      <c r="BI202" s="663"/>
      <c r="BJ202" s="663"/>
      <c r="BK202" s="663"/>
      <c r="BL202" s="663"/>
      <c r="BM202" s="663"/>
      <c r="BN202" s="663"/>
      <c r="BO202" s="663"/>
      <c r="BP202" s="663"/>
      <c r="BQ202" s="663"/>
      <c r="BR202" s="663"/>
      <c r="BS202" s="663"/>
      <c r="BT202" s="663"/>
      <c r="BU202" s="663"/>
      <c r="BV202" s="663"/>
      <c r="BW202" s="663"/>
      <c r="BX202" s="663"/>
      <c r="BY202" s="663"/>
      <c r="BZ202" s="663"/>
      <c r="CA202" s="663"/>
    </row>
    <row r="203" spans="1:79" hidden="1" outlineLevel="1" x14ac:dyDescent="0.25">
      <c r="A203" s="657"/>
      <c r="B203" s="223"/>
      <c r="C203" s="223"/>
      <c r="D203" s="223"/>
      <c r="E203" s="570" t="s">
        <v>49</v>
      </c>
      <c r="F203" s="657" t="s">
        <v>866</v>
      </c>
      <c r="G203" s="664">
        <f>SUM(G201:G202)</f>
        <v>0</v>
      </c>
      <c r="H203" s="664">
        <f t="shared" ref="H203:BO203" si="63">SUM(H201:H202)</f>
        <v>0</v>
      </c>
      <c r="I203" s="664">
        <f t="shared" si="63"/>
        <v>0</v>
      </c>
      <c r="J203" s="664">
        <f t="shared" si="63"/>
        <v>0</v>
      </c>
      <c r="K203" s="664">
        <f t="shared" si="63"/>
        <v>0</v>
      </c>
      <c r="L203" s="664">
        <f t="shared" si="63"/>
        <v>0</v>
      </c>
      <c r="M203" s="664">
        <f t="shared" si="63"/>
        <v>0</v>
      </c>
      <c r="N203" s="664">
        <f t="shared" si="63"/>
        <v>0</v>
      </c>
      <c r="O203" s="664">
        <f t="shared" si="63"/>
        <v>0</v>
      </c>
      <c r="P203" s="664">
        <f t="shared" si="63"/>
        <v>0</v>
      </c>
      <c r="Q203" s="664">
        <f t="shared" si="63"/>
        <v>0</v>
      </c>
      <c r="R203" s="664">
        <f t="shared" si="63"/>
        <v>0</v>
      </c>
      <c r="S203" s="664">
        <f t="shared" ref="S203:AA203" si="64">ROUND(SUM(S200:S202),5)</f>
        <v>0</v>
      </c>
      <c r="T203" s="664">
        <f t="shared" si="64"/>
        <v>0</v>
      </c>
      <c r="U203" s="664">
        <f t="shared" si="64"/>
        <v>0</v>
      </c>
      <c r="V203" s="664">
        <f t="shared" si="64"/>
        <v>0</v>
      </c>
      <c r="W203" s="664">
        <f t="shared" si="64"/>
        <v>0</v>
      </c>
      <c r="X203" s="664">
        <f t="shared" si="64"/>
        <v>0</v>
      </c>
      <c r="Y203" s="664">
        <f t="shared" si="64"/>
        <v>0</v>
      </c>
      <c r="Z203" s="664">
        <f t="shared" si="64"/>
        <v>0</v>
      </c>
      <c r="AA203" s="664">
        <f t="shared" si="64"/>
        <v>0</v>
      </c>
      <c r="AB203" s="664">
        <f>ROUND(SUM(AB200:AB202),5)</f>
        <v>0</v>
      </c>
      <c r="AC203" s="664">
        <f>ROUND(SUM(AC200:AC202),5)</f>
        <v>0</v>
      </c>
      <c r="AD203" s="664">
        <f>ROUND(SUM(AD200:AD202),5)</f>
        <v>0</v>
      </c>
      <c r="AE203" s="664">
        <v>0</v>
      </c>
      <c r="AF203" s="664">
        <v>0</v>
      </c>
      <c r="AG203" s="664">
        <f>ROUND(SUM(AG200:AG202),5)</f>
        <v>0</v>
      </c>
      <c r="AH203" s="664">
        <f t="shared" si="63"/>
        <v>0</v>
      </c>
      <c r="AI203" s="664">
        <f t="shared" si="63"/>
        <v>0</v>
      </c>
      <c r="AJ203" s="664">
        <f t="shared" si="63"/>
        <v>0</v>
      </c>
      <c r="AK203" s="664">
        <f t="shared" si="63"/>
        <v>0</v>
      </c>
      <c r="AL203" s="664">
        <f t="shared" si="63"/>
        <v>0</v>
      </c>
      <c r="AM203" s="664">
        <f t="shared" si="63"/>
        <v>0</v>
      </c>
      <c r="AN203" s="664">
        <f t="shared" si="63"/>
        <v>0</v>
      </c>
      <c r="AO203" s="664">
        <f t="shared" si="63"/>
        <v>0</v>
      </c>
      <c r="AP203" s="664">
        <f t="shared" si="63"/>
        <v>0</v>
      </c>
      <c r="AQ203" s="664">
        <f t="shared" si="63"/>
        <v>0</v>
      </c>
      <c r="AR203" s="664">
        <f t="shared" si="63"/>
        <v>0</v>
      </c>
      <c r="AS203" s="664">
        <f t="shared" si="63"/>
        <v>0</v>
      </c>
      <c r="AT203" s="664">
        <f t="shared" si="63"/>
        <v>0</v>
      </c>
      <c r="AU203" s="664">
        <f t="shared" si="63"/>
        <v>0</v>
      </c>
      <c r="AV203" s="664">
        <f t="shared" si="63"/>
        <v>0</v>
      </c>
      <c r="AW203" s="664">
        <f t="shared" si="63"/>
        <v>0</v>
      </c>
      <c r="AX203" s="664">
        <f t="shared" si="63"/>
        <v>0</v>
      </c>
      <c r="AY203" s="664">
        <f t="shared" si="63"/>
        <v>0</v>
      </c>
      <c r="AZ203" s="664">
        <f t="shared" si="63"/>
        <v>0</v>
      </c>
      <c r="BA203" s="664">
        <f t="shared" si="63"/>
        <v>0</v>
      </c>
      <c r="BB203" s="664">
        <f t="shared" si="63"/>
        <v>0</v>
      </c>
      <c r="BC203" s="664">
        <f t="shared" si="63"/>
        <v>0</v>
      </c>
      <c r="BD203" s="664">
        <f t="shared" si="63"/>
        <v>0</v>
      </c>
      <c r="BE203" s="664">
        <f t="shared" si="63"/>
        <v>0</v>
      </c>
      <c r="BF203" s="664">
        <f t="shared" si="63"/>
        <v>0</v>
      </c>
      <c r="BG203" s="664">
        <f t="shared" si="63"/>
        <v>0</v>
      </c>
      <c r="BH203" s="664">
        <f t="shared" si="63"/>
        <v>0</v>
      </c>
      <c r="BI203" s="664">
        <f t="shared" si="63"/>
        <v>0</v>
      </c>
      <c r="BJ203" s="664">
        <f t="shared" si="63"/>
        <v>0</v>
      </c>
      <c r="BK203" s="664">
        <f t="shared" si="63"/>
        <v>0</v>
      </c>
      <c r="BL203" s="664">
        <f t="shared" si="63"/>
        <v>0</v>
      </c>
      <c r="BM203" s="664">
        <f t="shared" si="63"/>
        <v>0</v>
      </c>
      <c r="BN203" s="664">
        <f t="shared" si="63"/>
        <v>0</v>
      </c>
      <c r="BO203" s="664">
        <f t="shared" si="63"/>
        <v>0</v>
      </c>
      <c r="BP203" s="664">
        <f t="shared" ref="BP203:CA203" si="65">SUM(BP201:BP202)</f>
        <v>0</v>
      </c>
      <c r="BQ203" s="664">
        <f t="shared" si="65"/>
        <v>0</v>
      </c>
      <c r="BR203" s="664">
        <f t="shared" si="65"/>
        <v>0</v>
      </c>
      <c r="BS203" s="664">
        <f t="shared" si="65"/>
        <v>0</v>
      </c>
      <c r="BT203" s="664">
        <f t="shared" si="65"/>
        <v>0</v>
      </c>
      <c r="BU203" s="664">
        <f t="shared" si="65"/>
        <v>0</v>
      </c>
      <c r="BV203" s="664">
        <f t="shared" si="65"/>
        <v>0</v>
      </c>
      <c r="BW203" s="664">
        <f t="shared" si="65"/>
        <v>0</v>
      </c>
      <c r="BX203" s="664">
        <f t="shared" si="65"/>
        <v>0</v>
      </c>
      <c r="BY203" s="664">
        <f t="shared" si="65"/>
        <v>0</v>
      </c>
      <c r="BZ203" s="664">
        <f t="shared" si="65"/>
        <v>0</v>
      </c>
      <c r="CA203" s="664">
        <f t="shared" si="65"/>
        <v>0</v>
      </c>
    </row>
    <row r="204" spans="1:79" hidden="1" outlineLevel="1" x14ac:dyDescent="0.25">
      <c r="A204" s="694"/>
      <c r="B204" s="693"/>
      <c r="C204" s="693"/>
      <c r="D204" s="693"/>
      <c r="E204" s="570" t="s">
        <v>867</v>
      </c>
      <c r="F204" s="694" t="s">
        <v>646</v>
      </c>
      <c r="G204" s="692"/>
      <c r="H204" s="692"/>
      <c r="I204" s="692"/>
      <c r="J204" s="692"/>
      <c r="K204" s="692"/>
      <c r="L204" s="692"/>
      <c r="M204" s="692"/>
      <c r="N204" s="692"/>
      <c r="O204" s="692"/>
      <c r="P204" s="692"/>
      <c r="Q204" s="692"/>
      <c r="R204" s="692"/>
      <c r="S204" s="692"/>
      <c r="T204" s="692"/>
      <c r="U204" s="692"/>
      <c r="V204" s="692"/>
      <c r="W204" s="692"/>
      <c r="X204" s="692"/>
      <c r="Y204" s="692"/>
      <c r="Z204" s="692"/>
      <c r="AA204" s="692"/>
      <c r="AB204" s="692"/>
      <c r="AC204" s="692"/>
      <c r="AD204" s="692"/>
      <c r="AE204" s="692"/>
      <c r="AF204" s="692"/>
      <c r="AG204" s="692"/>
      <c r="AH204" s="692"/>
      <c r="AI204" s="692"/>
      <c r="AJ204" s="692"/>
      <c r="AK204" s="692"/>
      <c r="AL204" s="692"/>
      <c r="AM204" s="692"/>
      <c r="AN204" s="692"/>
      <c r="AO204" s="692"/>
      <c r="AP204" s="692"/>
      <c r="AQ204" s="692"/>
      <c r="AR204" s="692"/>
      <c r="AS204" s="692"/>
      <c r="AT204" s="692"/>
      <c r="AU204" s="692"/>
      <c r="AV204" s="692"/>
      <c r="AW204" s="692"/>
      <c r="AX204" s="692"/>
      <c r="AY204" s="692"/>
      <c r="AZ204" s="692"/>
      <c r="BA204" s="692"/>
      <c r="BB204" s="692"/>
      <c r="BC204" s="692"/>
      <c r="BD204" s="692"/>
      <c r="BE204" s="692"/>
      <c r="BF204" s="692"/>
      <c r="BG204" s="692"/>
      <c r="BH204" s="692"/>
      <c r="BI204" s="692"/>
      <c r="BJ204" s="692"/>
      <c r="BK204" s="692"/>
      <c r="BL204" s="692"/>
      <c r="BM204" s="692"/>
      <c r="BN204" s="692"/>
      <c r="BO204" s="692"/>
      <c r="BP204" s="692"/>
      <c r="BQ204" s="692"/>
      <c r="BR204" s="692"/>
      <c r="BS204" s="692"/>
      <c r="BT204" s="692"/>
      <c r="BU204" s="692"/>
      <c r="BV204" s="692"/>
      <c r="BW204" s="692"/>
      <c r="BX204" s="692"/>
      <c r="BY204" s="692"/>
      <c r="BZ204" s="692"/>
      <c r="CA204" s="692"/>
    </row>
    <row r="205" spans="1:79" hidden="1" outlineLevel="1" x14ac:dyDescent="0.25">
      <c r="A205" s="656"/>
      <c r="B205" s="223"/>
      <c r="C205" s="223"/>
      <c r="D205" s="223"/>
      <c r="E205" s="570" t="s">
        <v>867</v>
      </c>
      <c r="F205" s="656" t="s">
        <v>867</v>
      </c>
      <c r="G205" s="663"/>
      <c r="H205" s="663"/>
      <c r="I205" s="663"/>
      <c r="J205" s="663"/>
      <c r="K205" s="663"/>
      <c r="L205" s="663"/>
      <c r="M205" s="663"/>
      <c r="N205" s="663"/>
      <c r="O205" s="663"/>
      <c r="P205" s="663"/>
      <c r="Q205" s="663"/>
      <c r="R205" s="663"/>
      <c r="S205" s="663">
        <v>0</v>
      </c>
      <c r="T205" s="663">
        <v>0</v>
      </c>
      <c r="U205" s="663">
        <v>0</v>
      </c>
      <c r="V205" s="663">
        <v>0</v>
      </c>
      <c r="W205" s="663">
        <v>0</v>
      </c>
      <c r="X205" s="663">
        <v>0</v>
      </c>
      <c r="Y205" s="663">
        <v>0</v>
      </c>
      <c r="Z205" s="663">
        <v>0</v>
      </c>
      <c r="AA205" s="663">
        <v>0</v>
      </c>
      <c r="AB205" s="663">
        <v>0</v>
      </c>
      <c r="AC205" s="663">
        <v>0</v>
      </c>
      <c r="AD205" s="663">
        <v>0</v>
      </c>
      <c r="AE205" s="663">
        <v>0</v>
      </c>
      <c r="AF205" s="663">
        <v>0</v>
      </c>
      <c r="AG205" s="663">
        <v>0</v>
      </c>
      <c r="AH205" s="663"/>
      <c r="AI205" s="663"/>
      <c r="AJ205" s="663"/>
      <c r="AK205" s="663"/>
      <c r="AL205" s="663"/>
      <c r="AM205" s="663"/>
      <c r="AN205" s="663"/>
      <c r="AO205" s="663"/>
      <c r="AP205" s="663"/>
      <c r="AQ205" s="663"/>
      <c r="AR205" s="663"/>
      <c r="AS205" s="663"/>
      <c r="AT205" s="663"/>
      <c r="AU205" s="663"/>
      <c r="AV205" s="663"/>
      <c r="AW205" s="663"/>
      <c r="AX205" s="663"/>
      <c r="AY205" s="663"/>
      <c r="AZ205" s="663"/>
      <c r="BA205" s="663"/>
      <c r="BB205" s="663"/>
      <c r="BC205" s="663"/>
      <c r="BD205" s="663"/>
      <c r="BE205" s="663"/>
      <c r="BF205" s="663"/>
      <c r="BG205" s="663"/>
      <c r="BH205" s="663"/>
      <c r="BI205" s="663"/>
      <c r="BJ205" s="663"/>
      <c r="BK205" s="663"/>
      <c r="BL205" s="663"/>
      <c r="BM205" s="663"/>
      <c r="BN205" s="663"/>
      <c r="BO205" s="663"/>
      <c r="BP205" s="663"/>
      <c r="BQ205" s="663"/>
      <c r="BR205" s="663"/>
      <c r="BS205" s="663"/>
      <c r="BT205" s="663"/>
      <c r="BU205" s="663"/>
      <c r="BV205" s="663"/>
      <c r="BW205" s="663"/>
      <c r="BX205" s="663"/>
      <c r="BY205" s="663"/>
      <c r="BZ205" s="663"/>
      <c r="CA205" s="663"/>
    </row>
    <row r="206" spans="1:79" hidden="1" outlineLevel="1" x14ac:dyDescent="0.25">
      <c r="A206" s="656"/>
      <c r="B206" s="223"/>
      <c r="C206" s="223"/>
      <c r="D206" s="223"/>
      <c r="E206" s="570" t="s">
        <v>867</v>
      </c>
      <c r="F206" s="656" t="s">
        <v>868</v>
      </c>
      <c r="G206" s="663"/>
      <c r="H206" s="663"/>
      <c r="I206" s="663"/>
      <c r="J206" s="663"/>
      <c r="K206" s="663"/>
      <c r="L206" s="663"/>
      <c r="M206" s="663"/>
      <c r="N206" s="663"/>
      <c r="O206" s="663"/>
      <c r="P206" s="663"/>
      <c r="Q206" s="663"/>
      <c r="R206" s="663"/>
      <c r="S206" s="663">
        <v>0</v>
      </c>
      <c r="T206" s="663">
        <v>0</v>
      </c>
      <c r="U206" s="663">
        <v>0</v>
      </c>
      <c r="V206" s="663">
        <v>0</v>
      </c>
      <c r="W206" s="663">
        <v>0</v>
      </c>
      <c r="X206" s="663">
        <v>0</v>
      </c>
      <c r="Y206" s="663">
        <v>0</v>
      </c>
      <c r="Z206" s="663">
        <v>0</v>
      </c>
      <c r="AA206" s="663">
        <v>0</v>
      </c>
      <c r="AB206" s="663">
        <v>0</v>
      </c>
      <c r="AC206" s="663">
        <v>0</v>
      </c>
      <c r="AD206" s="663">
        <v>0</v>
      </c>
      <c r="AE206" s="663">
        <v>0</v>
      </c>
      <c r="AF206" s="663">
        <v>0</v>
      </c>
      <c r="AG206" s="663">
        <v>0</v>
      </c>
      <c r="AH206" s="663"/>
      <c r="AI206" s="663"/>
      <c r="AJ206" s="663"/>
      <c r="AK206" s="663"/>
      <c r="AL206" s="663"/>
      <c r="AM206" s="663"/>
      <c r="AN206" s="663"/>
      <c r="AO206" s="663"/>
      <c r="AP206" s="663"/>
      <c r="AQ206" s="663"/>
      <c r="AR206" s="663"/>
      <c r="AS206" s="663"/>
      <c r="AT206" s="663"/>
      <c r="AU206" s="663"/>
      <c r="AV206" s="663"/>
      <c r="AW206" s="663"/>
      <c r="AX206" s="663"/>
      <c r="AY206" s="663"/>
      <c r="AZ206" s="663"/>
      <c r="BA206" s="663"/>
      <c r="BB206" s="663"/>
      <c r="BC206" s="663"/>
      <c r="BD206" s="663"/>
      <c r="BE206" s="663"/>
      <c r="BF206" s="663"/>
      <c r="BG206" s="663"/>
      <c r="BH206" s="663"/>
      <c r="BI206" s="663"/>
      <c r="BJ206" s="663"/>
      <c r="BK206" s="663"/>
      <c r="BL206" s="663"/>
      <c r="BM206" s="663"/>
      <c r="BN206" s="663"/>
      <c r="BO206" s="663"/>
      <c r="BP206" s="663"/>
      <c r="BQ206" s="663"/>
      <c r="BR206" s="663"/>
      <c r="BS206" s="663"/>
      <c r="BT206" s="663"/>
      <c r="BU206" s="663"/>
      <c r="BV206" s="663"/>
      <c r="BW206" s="663"/>
      <c r="BX206" s="663"/>
      <c r="BY206" s="663"/>
      <c r="BZ206" s="663"/>
      <c r="CA206" s="663"/>
    </row>
    <row r="207" spans="1:79" hidden="1" outlineLevel="1" x14ac:dyDescent="0.25">
      <c r="A207" s="657"/>
      <c r="B207" s="223"/>
      <c r="C207" s="223"/>
      <c r="D207" s="223"/>
      <c r="E207" s="570" t="s">
        <v>49</v>
      </c>
      <c r="F207" s="657" t="s">
        <v>869</v>
      </c>
      <c r="G207" s="664">
        <f>SUM(G205:G206)</f>
        <v>0</v>
      </c>
      <c r="H207" s="664">
        <f t="shared" ref="H207:BO207" si="66">SUM(H205:H206)</f>
        <v>0</v>
      </c>
      <c r="I207" s="664">
        <f t="shared" si="66"/>
        <v>0</v>
      </c>
      <c r="J207" s="664">
        <f t="shared" si="66"/>
        <v>0</v>
      </c>
      <c r="K207" s="664">
        <f t="shared" si="66"/>
        <v>0</v>
      </c>
      <c r="L207" s="664">
        <f t="shared" si="66"/>
        <v>0</v>
      </c>
      <c r="M207" s="664">
        <f t="shared" si="66"/>
        <v>0</v>
      </c>
      <c r="N207" s="664">
        <f t="shared" si="66"/>
        <v>0</v>
      </c>
      <c r="O207" s="664">
        <f t="shared" si="66"/>
        <v>0</v>
      </c>
      <c r="P207" s="664">
        <f t="shared" si="66"/>
        <v>0</v>
      </c>
      <c r="Q207" s="664">
        <f t="shared" si="66"/>
        <v>0</v>
      </c>
      <c r="R207" s="664">
        <f t="shared" si="66"/>
        <v>0</v>
      </c>
      <c r="S207" s="664">
        <f t="shared" ref="S207:AA207" si="67">ROUND(SUM(S204:S206),5)</f>
        <v>0</v>
      </c>
      <c r="T207" s="664">
        <f t="shared" si="67"/>
        <v>0</v>
      </c>
      <c r="U207" s="664">
        <f t="shared" si="67"/>
        <v>0</v>
      </c>
      <c r="V207" s="664">
        <f t="shared" si="67"/>
        <v>0</v>
      </c>
      <c r="W207" s="664">
        <f t="shared" si="67"/>
        <v>0</v>
      </c>
      <c r="X207" s="664">
        <f t="shared" si="67"/>
        <v>0</v>
      </c>
      <c r="Y207" s="664">
        <f t="shared" si="67"/>
        <v>0</v>
      </c>
      <c r="Z207" s="664">
        <f t="shared" si="67"/>
        <v>0</v>
      </c>
      <c r="AA207" s="664">
        <f t="shared" si="67"/>
        <v>0</v>
      </c>
      <c r="AB207" s="664">
        <f>ROUND(SUM(AB204:AB206),5)</f>
        <v>0</v>
      </c>
      <c r="AC207" s="664">
        <f>ROUND(SUM(AC204:AC206),5)</f>
        <v>0</v>
      </c>
      <c r="AD207" s="664">
        <f>ROUND(SUM(AD204:AD206),5)</f>
        <v>0</v>
      </c>
      <c r="AE207" s="664">
        <v>0</v>
      </c>
      <c r="AF207" s="664">
        <v>0</v>
      </c>
      <c r="AG207" s="664">
        <f>ROUND(SUM(AG204:AG206),5)</f>
        <v>0</v>
      </c>
      <c r="AH207" s="664">
        <f t="shared" si="66"/>
        <v>0</v>
      </c>
      <c r="AI207" s="664">
        <f t="shared" si="66"/>
        <v>0</v>
      </c>
      <c r="AJ207" s="664">
        <f t="shared" si="66"/>
        <v>0</v>
      </c>
      <c r="AK207" s="664">
        <f t="shared" si="66"/>
        <v>0</v>
      </c>
      <c r="AL207" s="664">
        <f t="shared" si="66"/>
        <v>0</v>
      </c>
      <c r="AM207" s="664">
        <f t="shared" si="66"/>
        <v>0</v>
      </c>
      <c r="AN207" s="664">
        <f t="shared" si="66"/>
        <v>0</v>
      </c>
      <c r="AO207" s="664">
        <f t="shared" si="66"/>
        <v>0</v>
      </c>
      <c r="AP207" s="664">
        <f t="shared" si="66"/>
        <v>0</v>
      </c>
      <c r="AQ207" s="664">
        <f t="shared" si="66"/>
        <v>0</v>
      </c>
      <c r="AR207" s="664">
        <f t="shared" si="66"/>
        <v>0</v>
      </c>
      <c r="AS207" s="664">
        <f t="shared" si="66"/>
        <v>0</v>
      </c>
      <c r="AT207" s="664">
        <f t="shared" si="66"/>
        <v>0</v>
      </c>
      <c r="AU207" s="664">
        <f t="shared" si="66"/>
        <v>0</v>
      </c>
      <c r="AV207" s="664">
        <f t="shared" si="66"/>
        <v>0</v>
      </c>
      <c r="AW207" s="664">
        <f t="shared" si="66"/>
        <v>0</v>
      </c>
      <c r="AX207" s="664">
        <f t="shared" si="66"/>
        <v>0</v>
      </c>
      <c r="AY207" s="664">
        <f t="shared" si="66"/>
        <v>0</v>
      </c>
      <c r="AZ207" s="664">
        <f t="shared" si="66"/>
        <v>0</v>
      </c>
      <c r="BA207" s="664">
        <f t="shared" si="66"/>
        <v>0</v>
      </c>
      <c r="BB207" s="664">
        <f t="shared" si="66"/>
        <v>0</v>
      </c>
      <c r="BC207" s="664">
        <f t="shared" si="66"/>
        <v>0</v>
      </c>
      <c r="BD207" s="664">
        <f t="shared" si="66"/>
        <v>0</v>
      </c>
      <c r="BE207" s="664">
        <f t="shared" si="66"/>
        <v>0</v>
      </c>
      <c r="BF207" s="664">
        <f t="shared" si="66"/>
        <v>0</v>
      </c>
      <c r="BG207" s="664">
        <f t="shared" si="66"/>
        <v>0</v>
      </c>
      <c r="BH207" s="664">
        <f t="shared" si="66"/>
        <v>0</v>
      </c>
      <c r="BI207" s="664">
        <f t="shared" si="66"/>
        <v>0</v>
      </c>
      <c r="BJ207" s="664">
        <f t="shared" si="66"/>
        <v>0</v>
      </c>
      <c r="BK207" s="664">
        <f t="shared" si="66"/>
        <v>0</v>
      </c>
      <c r="BL207" s="664">
        <f t="shared" si="66"/>
        <v>0</v>
      </c>
      <c r="BM207" s="664">
        <f t="shared" si="66"/>
        <v>0</v>
      </c>
      <c r="BN207" s="664">
        <f t="shared" si="66"/>
        <v>0</v>
      </c>
      <c r="BO207" s="664">
        <f t="shared" si="66"/>
        <v>0</v>
      </c>
      <c r="BP207" s="664">
        <f t="shared" ref="BP207:CA207" si="68">SUM(BP205:BP206)</f>
        <v>0</v>
      </c>
      <c r="BQ207" s="664">
        <f t="shared" si="68"/>
        <v>0</v>
      </c>
      <c r="BR207" s="664">
        <f t="shared" si="68"/>
        <v>0</v>
      </c>
      <c r="BS207" s="664">
        <f t="shared" si="68"/>
        <v>0</v>
      </c>
      <c r="BT207" s="664">
        <f t="shared" si="68"/>
        <v>0</v>
      </c>
      <c r="BU207" s="664">
        <f t="shared" si="68"/>
        <v>0</v>
      </c>
      <c r="BV207" s="664">
        <f t="shared" si="68"/>
        <v>0</v>
      </c>
      <c r="BW207" s="664">
        <f t="shared" si="68"/>
        <v>0</v>
      </c>
      <c r="BX207" s="664">
        <f t="shared" si="68"/>
        <v>0</v>
      </c>
      <c r="BY207" s="664">
        <f t="shared" si="68"/>
        <v>0</v>
      </c>
      <c r="BZ207" s="664">
        <f t="shared" si="68"/>
        <v>0</v>
      </c>
      <c r="CA207" s="664">
        <f t="shared" si="68"/>
        <v>0</v>
      </c>
    </row>
    <row r="208" spans="1:79" hidden="1" outlineLevel="1" x14ac:dyDescent="0.25">
      <c r="A208" s="658"/>
      <c r="E208" s="570" t="s">
        <v>1328</v>
      </c>
      <c r="F208" s="658" t="s">
        <v>589</v>
      </c>
      <c r="G208" s="716"/>
      <c r="H208" s="716">
        <v>8.1276528243856578</v>
      </c>
      <c r="I208" s="716">
        <v>1.7351823953788208</v>
      </c>
      <c r="J208" s="716">
        <v>17.283626836879012</v>
      </c>
      <c r="K208" s="716">
        <v>3.6096244282564913</v>
      </c>
      <c r="L208" s="716">
        <v>21.678996322559826</v>
      </c>
      <c r="M208" s="716">
        <v>0.48446248453913554</v>
      </c>
      <c r="N208" s="716">
        <v>4.9100601965198871</v>
      </c>
      <c r="O208" s="716">
        <v>4.2593384788035404</v>
      </c>
      <c r="P208" s="716">
        <v>20.365630545576224</v>
      </c>
      <c r="Q208" s="716"/>
      <c r="R208" s="716"/>
      <c r="S208" s="667">
        <v>0</v>
      </c>
      <c r="T208" s="667">
        <v>0</v>
      </c>
      <c r="U208" s="667">
        <v>0</v>
      </c>
      <c r="V208" s="667">
        <v>0</v>
      </c>
      <c r="W208" s="667">
        <v>0</v>
      </c>
      <c r="X208" s="667">
        <v>0</v>
      </c>
      <c r="Y208" s="667">
        <v>0</v>
      </c>
      <c r="Z208" s="667">
        <v>0</v>
      </c>
      <c r="AA208" s="667">
        <v>0</v>
      </c>
      <c r="AB208" s="667">
        <v>0</v>
      </c>
      <c r="AC208" s="667">
        <v>0</v>
      </c>
      <c r="AD208" s="667">
        <v>0</v>
      </c>
      <c r="AE208" s="667">
        <v>0</v>
      </c>
      <c r="AF208" s="667">
        <v>0</v>
      </c>
      <c r="AG208" s="667">
        <v>0</v>
      </c>
      <c r="AH208" s="718"/>
      <c r="AI208" s="718"/>
      <c r="AJ208" s="718"/>
      <c r="AK208" s="718"/>
      <c r="AL208" s="718"/>
      <c r="AM208" s="718"/>
      <c r="AN208" s="718"/>
      <c r="AO208" s="718"/>
      <c r="AP208" s="718"/>
      <c r="AQ208" s="718"/>
      <c r="AR208" s="718"/>
      <c r="AS208" s="718"/>
      <c r="AT208" s="718"/>
      <c r="AU208" s="718"/>
      <c r="AV208" s="718"/>
      <c r="AW208" s="718"/>
      <c r="AX208" s="718"/>
      <c r="AY208" s="718"/>
      <c r="AZ208" s="718"/>
      <c r="BA208" s="718"/>
      <c r="BB208" s="718"/>
      <c r="BC208" s="718"/>
      <c r="BD208" s="718"/>
      <c r="BE208" s="718"/>
      <c r="BF208" s="718"/>
      <c r="BG208" s="718"/>
      <c r="BH208" s="718"/>
      <c r="BI208" s="718"/>
      <c r="BJ208" s="718"/>
      <c r="BK208" s="718"/>
      <c r="BL208" s="718"/>
      <c r="BM208" s="718"/>
      <c r="BN208" s="718"/>
      <c r="BO208" s="718"/>
      <c r="BP208" s="718"/>
      <c r="BQ208" s="718"/>
      <c r="BR208" s="718"/>
      <c r="BS208" s="718"/>
      <c r="BT208" s="718"/>
      <c r="BU208" s="718"/>
      <c r="BV208" s="718"/>
      <c r="BW208" s="718"/>
      <c r="BX208" s="718"/>
      <c r="BY208" s="718"/>
      <c r="BZ208" s="718"/>
      <c r="CA208" s="718"/>
    </row>
    <row r="209" spans="1:79" hidden="1" outlineLevel="1" x14ac:dyDescent="0.25">
      <c r="A209" s="655"/>
      <c r="B209" s="570"/>
      <c r="C209" s="570"/>
      <c r="D209" s="570"/>
      <c r="E209" s="570" t="s">
        <v>1329</v>
      </c>
      <c r="F209" s="655" t="s">
        <v>870</v>
      </c>
      <c r="G209" s="716"/>
      <c r="H209" s="716"/>
      <c r="I209" s="716"/>
      <c r="J209" s="716"/>
      <c r="K209" s="716"/>
      <c r="L209" s="716"/>
      <c r="M209" s="716"/>
      <c r="N209" s="716"/>
      <c r="O209" s="716"/>
      <c r="P209" s="716"/>
      <c r="Q209" s="716"/>
      <c r="R209" s="716"/>
      <c r="S209" s="667">
        <v>0</v>
      </c>
      <c r="T209" s="667">
        <v>0</v>
      </c>
      <c r="U209" s="667">
        <v>0</v>
      </c>
      <c r="V209" s="667">
        <v>0</v>
      </c>
      <c r="W209" s="667">
        <v>0</v>
      </c>
      <c r="X209" s="667">
        <v>0</v>
      </c>
      <c r="Y209" s="667">
        <v>0</v>
      </c>
      <c r="Z209" s="667">
        <v>0</v>
      </c>
      <c r="AA209" s="667">
        <v>0</v>
      </c>
      <c r="AB209" s="667">
        <v>0</v>
      </c>
      <c r="AC209" s="667">
        <v>0</v>
      </c>
      <c r="AD209" s="667">
        <v>0</v>
      </c>
      <c r="AE209" s="667">
        <v>0</v>
      </c>
      <c r="AF209" s="667">
        <v>0</v>
      </c>
      <c r="AG209" s="667">
        <v>0</v>
      </c>
      <c r="AH209" s="718"/>
      <c r="AI209" s="718"/>
      <c r="AJ209" s="718"/>
      <c r="AK209" s="718"/>
      <c r="AL209" s="718"/>
      <c r="AM209" s="718"/>
      <c r="AN209" s="718"/>
      <c r="AO209" s="718"/>
      <c r="AP209" s="718"/>
      <c r="AQ209" s="718"/>
      <c r="AR209" s="718"/>
      <c r="AS209" s="718"/>
      <c r="AT209" s="718"/>
      <c r="AU209" s="718"/>
      <c r="AV209" s="718"/>
      <c r="AW209" s="718"/>
      <c r="AX209" s="718"/>
      <c r="AY209" s="718"/>
      <c r="AZ209" s="718"/>
      <c r="BA209" s="718"/>
      <c r="BB209" s="718"/>
      <c r="BC209" s="718"/>
      <c r="BD209" s="718"/>
      <c r="BE209" s="718"/>
      <c r="BF209" s="718"/>
      <c r="BG209" s="718"/>
      <c r="BH209" s="718"/>
      <c r="BI209" s="718"/>
      <c r="BJ209" s="718"/>
      <c r="BK209" s="718"/>
      <c r="BL209" s="718"/>
      <c r="BM209" s="718"/>
      <c r="BN209" s="718"/>
      <c r="BO209" s="718"/>
      <c r="BP209" s="718"/>
      <c r="BQ209" s="718"/>
      <c r="BR209" s="718"/>
      <c r="BS209" s="718"/>
      <c r="BT209" s="718"/>
      <c r="BU209" s="718"/>
      <c r="BV209" s="718"/>
      <c r="BW209" s="718"/>
      <c r="BX209" s="718"/>
      <c r="BY209" s="718"/>
      <c r="BZ209" s="718"/>
      <c r="CA209" s="718"/>
    </row>
    <row r="210" spans="1:79" s="451" customFormat="1" hidden="1" outlineLevel="1" x14ac:dyDescent="0.25">
      <c r="A210" s="695"/>
      <c r="B210" s="737"/>
      <c r="C210" s="737"/>
      <c r="D210" s="737"/>
      <c r="E210" s="570" t="s">
        <v>1330</v>
      </c>
      <c r="F210" s="695" t="s">
        <v>590</v>
      </c>
      <c r="G210" s="733"/>
      <c r="H210" s="733"/>
      <c r="I210" s="733"/>
      <c r="J210" s="733"/>
      <c r="K210" s="733"/>
      <c r="L210" s="733"/>
      <c r="M210" s="733"/>
      <c r="N210" s="733"/>
      <c r="O210" s="733"/>
      <c r="P210" s="734"/>
      <c r="Q210" s="734"/>
      <c r="R210" s="734"/>
      <c r="S210" s="697"/>
      <c r="T210" s="697"/>
      <c r="U210" s="697"/>
      <c r="V210" s="697"/>
      <c r="W210" s="697"/>
      <c r="X210" s="697"/>
      <c r="Y210" s="697"/>
      <c r="Z210" s="697"/>
      <c r="AA210" s="697"/>
      <c r="AB210" s="697"/>
      <c r="AC210" s="697"/>
      <c r="AD210" s="697"/>
      <c r="AE210" s="697"/>
      <c r="AF210" s="697"/>
      <c r="AG210" s="697"/>
      <c r="AH210" s="736"/>
      <c r="AI210" s="736"/>
      <c r="AJ210" s="736"/>
      <c r="AK210" s="736"/>
      <c r="AL210" s="736"/>
      <c r="AM210" s="736"/>
      <c r="AN210" s="736"/>
      <c r="AO210" s="736"/>
      <c r="AP210" s="736"/>
      <c r="AQ210" s="736"/>
      <c r="AR210" s="736"/>
      <c r="AS210" s="736"/>
      <c r="AT210" s="736"/>
      <c r="AU210" s="736"/>
      <c r="AV210" s="736"/>
      <c r="AW210" s="736"/>
      <c r="AX210" s="736"/>
      <c r="AY210" s="736"/>
      <c r="AZ210" s="736"/>
      <c r="BA210" s="736"/>
      <c r="BB210" s="736"/>
      <c r="BC210" s="736"/>
      <c r="BD210" s="736"/>
      <c r="BE210" s="736"/>
      <c r="BF210" s="736"/>
      <c r="BG210" s="736"/>
      <c r="BH210" s="736"/>
      <c r="BI210" s="736"/>
      <c r="BJ210" s="736"/>
      <c r="BK210" s="736"/>
      <c r="BL210" s="736"/>
      <c r="BM210" s="736"/>
      <c r="BN210" s="736"/>
      <c r="BO210" s="736"/>
      <c r="BP210" s="736"/>
      <c r="BQ210" s="736"/>
      <c r="BR210" s="736"/>
      <c r="BS210" s="736"/>
      <c r="BT210" s="736"/>
      <c r="BU210" s="736"/>
      <c r="BV210" s="736"/>
      <c r="BW210" s="736"/>
      <c r="BX210" s="736"/>
      <c r="BY210" s="736"/>
      <c r="BZ210" s="736"/>
      <c r="CA210" s="736"/>
    </row>
    <row r="211" spans="1:79" hidden="1" outlineLevel="1" x14ac:dyDescent="0.25">
      <c r="A211" s="691"/>
      <c r="B211" s="693"/>
      <c r="C211" s="693"/>
      <c r="D211" s="693"/>
      <c r="E211" s="570" t="s">
        <v>645</v>
      </c>
      <c r="F211" s="691" t="s">
        <v>645</v>
      </c>
      <c r="G211" s="692"/>
      <c r="H211" s="692"/>
      <c r="I211" s="692"/>
      <c r="J211" s="692"/>
      <c r="K211" s="692"/>
      <c r="L211" s="692"/>
      <c r="M211" s="692"/>
      <c r="N211" s="692"/>
      <c r="O211" s="692"/>
      <c r="P211" s="692"/>
      <c r="Q211" s="692"/>
      <c r="R211" s="692"/>
      <c r="S211" s="692"/>
      <c r="T211" s="692"/>
      <c r="U211" s="692"/>
      <c r="V211" s="692"/>
      <c r="W211" s="692"/>
      <c r="X211" s="692"/>
      <c r="Y211" s="692"/>
      <c r="Z211" s="692"/>
      <c r="AA211" s="692"/>
      <c r="AB211" s="692"/>
      <c r="AC211" s="692"/>
      <c r="AD211" s="692"/>
      <c r="AE211" s="692"/>
      <c r="AF211" s="692"/>
      <c r="AG211" s="692"/>
      <c r="AH211" s="692"/>
      <c r="AI211" s="692"/>
      <c r="AJ211" s="692"/>
      <c r="AK211" s="692"/>
      <c r="AL211" s="692"/>
      <c r="AM211" s="692"/>
      <c r="AN211" s="692"/>
      <c r="AO211" s="692"/>
      <c r="AP211" s="692"/>
      <c r="AQ211" s="692"/>
      <c r="AR211" s="692"/>
      <c r="AS211" s="692"/>
      <c r="AT211" s="692"/>
      <c r="AU211" s="692"/>
      <c r="AV211" s="692"/>
      <c r="AW211" s="692"/>
      <c r="AX211" s="692"/>
      <c r="AY211" s="692"/>
      <c r="AZ211" s="692"/>
      <c r="BA211" s="692"/>
      <c r="BB211" s="692"/>
      <c r="BC211" s="692"/>
      <c r="BD211" s="692"/>
      <c r="BE211" s="692"/>
      <c r="BF211" s="692"/>
      <c r="BG211" s="692"/>
      <c r="BH211" s="692"/>
      <c r="BI211" s="692"/>
      <c r="BJ211" s="692"/>
      <c r="BK211" s="692"/>
      <c r="BL211" s="692"/>
      <c r="BM211" s="692"/>
      <c r="BN211" s="692"/>
      <c r="BO211" s="692"/>
      <c r="BP211" s="692"/>
      <c r="BQ211" s="692"/>
      <c r="BR211" s="692"/>
      <c r="BS211" s="692"/>
      <c r="BT211" s="692"/>
      <c r="BU211" s="692"/>
      <c r="BV211" s="692"/>
      <c r="BW211" s="692"/>
      <c r="BX211" s="692"/>
      <c r="BY211" s="692"/>
      <c r="BZ211" s="692"/>
      <c r="CA211" s="692"/>
    </row>
    <row r="212" spans="1:79" hidden="1" outlineLevel="1" x14ac:dyDescent="0.25">
      <c r="A212" s="656"/>
      <c r="B212" s="223"/>
      <c r="C212" s="223"/>
      <c r="D212" s="223"/>
      <c r="E212" s="570" t="s">
        <v>1330</v>
      </c>
      <c r="F212" s="656" t="s">
        <v>858</v>
      </c>
      <c r="G212" s="663"/>
      <c r="H212" s="663"/>
      <c r="I212" s="663"/>
      <c r="J212" s="663"/>
      <c r="K212" s="663"/>
      <c r="L212" s="663"/>
      <c r="M212" s="663"/>
      <c r="N212" s="663"/>
      <c r="O212" s="663"/>
      <c r="P212" s="663"/>
      <c r="Q212" s="663"/>
      <c r="R212" s="663"/>
      <c r="S212" s="663">
        <v>0</v>
      </c>
      <c r="T212" s="663">
        <v>0</v>
      </c>
      <c r="U212" s="663">
        <v>0</v>
      </c>
      <c r="V212" s="663">
        <v>0</v>
      </c>
      <c r="W212" s="663">
        <v>0</v>
      </c>
      <c r="X212" s="663">
        <v>0</v>
      </c>
      <c r="Y212" s="663">
        <v>0</v>
      </c>
      <c r="Z212" s="663">
        <v>0</v>
      </c>
      <c r="AA212" s="663">
        <v>0</v>
      </c>
      <c r="AB212" s="663">
        <v>0</v>
      </c>
      <c r="AC212" s="663">
        <v>0</v>
      </c>
      <c r="AD212" s="663">
        <v>0</v>
      </c>
      <c r="AE212" s="663">
        <v>0</v>
      </c>
      <c r="AF212" s="663">
        <v>0</v>
      </c>
      <c r="AG212" s="663">
        <v>0</v>
      </c>
      <c r="AH212" s="663"/>
      <c r="AI212" s="663"/>
      <c r="AJ212" s="663"/>
      <c r="AK212" s="663"/>
      <c r="AL212" s="663"/>
      <c r="AM212" s="663"/>
      <c r="AN212" s="663"/>
      <c r="AO212" s="663"/>
      <c r="AP212" s="663"/>
      <c r="AQ212" s="663"/>
      <c r="AR212" s="663"/>
      <c r="AS212" s="663"/>
      <c r="AT212" s="663"/>
      <c r="AU212" s="663"/>
      <c r="AV212" s="663"/>
      <c r="AW212" s="663"/>
      <c r="AX212" s="663"/>
      <c r="AY212" s="663"/>
      <c r="AZ212" s="663"/>
      <c r="BA212" s="663"/>
      <c r="BB212" s="663"/>
      <c r="BC212" s="663"/>
      <c r="BD212" s="663"/>
      <c r="BE212" s="663"/>
      <c r="BF212" s="663"/>
      <c r="BG212" s="663"/>
      <c r="BH212" s="663"/>
      <c r="BI212" s="663"/>
      <c r="BJ212" s="663"/>
      <c r="BK212" s="663"/>
      <c r="BL212" s="663"/>
      <c r="BM212" s="663"/>
      <c r="BN212" s="663"/>
      <c r="BO212" s="663"/>
      <c r="BP212" s="663"/>
      <c r="BQ212" s="663"/>
      <c r="BR212" s="663"/>
      <c r="BS212" s="663"/>
      <c r="BT212" s="663"/>
      <c r="BU212" s="663"/>
      <c r="BV212" s="663"/>
      <c r="BW212" s="663"/>
      <c r="BX212" s="663"/>
      <c r="BY212" s="663"/>
      <c r="BZ212" s="663"/>
      <c r="CA212" s="663"/>
    </row>
    <row r="213" spans="1:79" hidden="1" outlineLevel="1" x14ac:dyDescent="0.25">
      <c r="A213" s="656"/>
      <c r="B213" s="223"/>
      <c r="C213" s="223"/>
      <c r="D213" s="223"/>
      <c r="E213" s="570" t="s">
        <v>645</v>
      </c>
      <c r="F213" s="656" t="s">
        <v>859</v>
      </c>
      <c r="G213" s="663"/>
      <c r="H213" s="663"/>
      <c r="I213" s="663"/>
      <c r="J213" s="663"/>
      <c r="K213" s="663"/>
      <c r="L213" s="663"/>
      <c r="M213" s="663"/>
      <c r="N213" s="663"/>
      <c r="O213" s="663"/>
      <c r="P213" s="663"/>
      <c r="Q213" s="663"/>
      <c r="R213" s="663"/>
      <c r="S213" s="663">
        <v>0</v>
      </c>
      <c r="T213" s="663">
        <v>0</v>
      </c>
      <c r="U213" s="663">
        <v>0</v>
      </c>
      <c r="V213" s="663">
        <v>0</v>
      </c>
      <c r="W213" s="663">
        <v>0</v>
      </c>
      <c r="X213" s="663">
        <v>0</v>
      </c>
      <c r="Y213" s="663">
        <v>0</v>
      </c>
      <c r="Z213" s="663">
        <v>0</v>
      </c>
      <c r="AA213" s="663">
        <v>0</v>
      </c>
      <c r="AB213" s="663">
        <v>0</v>
      </c>
      <c r="AC213" s="663">
        <v>0</v>
      </c>
      <c r="AD213" s="663">
        <v>0</v>
      </c>
      <c r="AE213" s="663">
        <v>0</v>
      </c>
      <c r="AF213" s="663">
        <v>0</v>
      </c>
      <c r="AG213" s="663">
        <v>0</v>
      </c>
      <c r="AH213" s="663"/>
      <c r="AI213" s="663"/>
      <c r="AJ213" s="663"/>
      <c r="AK213" s="663"/>
      <c r="AL213" s="663"/>
      <c r="AM213" s="663"/>
      <c r="AN213" s="663"/>
      <c r="AO213" s="663"/>
      <c r="AP213" s="663"/>
      <c r="AQ213" s="663"/>
      <c r="AR213" s="663"/>
      <c r="AS213" s="663"/>
      <c r="AT213" s="663"/>
      <c r="AU213" s="663"/>
      <c r="AV213" s="663"/>
      <c r="AW213" s="663"/>
      <c r="AX213" s="663"/>
      <c r="AY213" s="663"/>
      <c r="AZ213" s="663"/>
      <c r="BA213" s="663"/>
      <c r="BB213" s="663"/>
      <c r="BC213" s="663"/>
      <c r="BD213" s="663"/>
      <c r="BE213" s="663"/>
      <c r="BF213" s="663"/>
      <c r="BG213" s="663"/>
      <c r="BH213" s="663"/>
      <c r="BI213" s="663"/>
      <c r="BJ213" s="663"/>
      <c r="BK213" s="663"/>
      <c r="BL213" s="663"/>
      <c r="BM213" s="663"/>
      <c r="BN213" s="663"/>
      <c r="BO213" s="663"/>
      <c r="BP213" s="663"/>
      <c r="BQ213" s="663"/>
      <c r="BR213" s="663"/>
      <c r="BS213" s="663"/>
      <c r="BT213" s="663"/>
      <c r="BU213" s="663"/>
      <c r="BV213" s="663"/>
      <c r="BW213" s="663"/>
      <c r="BX213" s="663"/>
      <c r="BY213" s="663"/>
      <c r="BZ213" s="663"/>
      <c r="CA213" s="663"/>
    </row>
    <row r="214" spans="1:79" hidden="1" outlineLevel="1" x14ac:dyDescent="0.25">
      <c r="A214" s="657"/>
      <c r="B214" s="223"/>
      <c r="C214" s="223"/>
      <c r="D214" s="223"/>
      <c r="E214" s="570" t="s">
        <v>49</v>
      </c>
      <c r="F214" s="657" t="s">
        <v>860</v>
      </c>
      <c r="G214" s="664">
        <f>SUM(G212:G213)</f>
        <v>0</v>
      </c>
      <c r="H214" s="664">
        <f t="shared" ref="H214:BO214" si="69">SUM(H212:H213)</f>
        <v>0</v>
      </c>
      <c r="I214" s="664">
        <f t="shared" si="69"/>
        <v>0</v>
      </c>
      <c r="J214" s="664">
        <f t="shared" si="69"/>
        <v>0</v>
      </c>
      <c r="K214" s="664">
        <f t="shared" si="69"/>
        <v>0</v>
      </c>
      <c r="L214" s="664">
        <f t="shared" si="69"/>
        <v>0</v>
      </c>
      <c r="M214" s="664">
        <f t="shared" si="69"/>
        <v>0</v>
      </c>
      <c r="N214" s="664">
        <f t="shared" si="69"/>
        <v>0</v>
      </c>
      <c r="O214" s="664">
        <f t="shared" si="69"/>
        <v>0</v>
      </c>
      <c r="P214" s="664">
        <f t="shared" si="69"/>
        <v>0</v>
      </c>
      <c r="Q214" s="664">
        <f t="shared" si="69"/>
        <v>0</v>
      </c>
      <c r="R214" s="664">
        <f t="shared" si="69"/>
        <v>0</v>
      </c>
      <c r="S214" s="664">
        <f t="shared" ref="S214:AA214" si="70">ROUND(SUM(S211:S213),5)</f>
        <v>0</v>
      </c>
      <c r="T214" s="664">
        <f t="shared" si="70"/>
        <v>0</v>
      </c>
      <c r="U214" s="664">
        <f t="shared" si="70"/>
        <v>0</v>
      </c>
      <c r="V214" s="664">
        <f t="shared" si="70"/>
        <v>0</v>
      </c>
      <c r="W214" s="664">
        <f t="shared" si="70"/>
        <v>0</v>
      </c>
      <c r="X214" s="664">
        <f t="shared" si="70"/>
        <v>0</v>
      </c>
      <c r="Y214" s="664">
        <f t="shared" si="70"/>
        <v>0</v>
      </c>
      <c r="Z214" s="664">
        <f t="shared" si="70"/>
        <v>0</v>
      </c>
      <c r="AA214" s="664">
        <f t="shared" si="70"/>
        <v>0</v>
      </c>
      <c r="AB214" s="664">
        <f>ROUND(SUM(AB211:AB213),5)</f>
        <v>0</v>
      </c>
      <c r="AC214" s="664">
        <f>ROUND(SUM(AC211:AC213),5)</f>
        <v>0</v>
      </c>
      <c r="AD214" s="664">
        <f>ROUND(SUM(AD211:AD213),5)</f>
        <v>0</v>
      </c>
      <c r="AE214" s="664">
        <v>0</v>
      </c>
      <c r="AF214" s="664">
        <v>0</v>
      </c>
      <c r="AG214" s="664">
        <f>ROUND(SUM(AG211:AG213),5)</f>
        <v>0</v>
      </c>
      <c r="AH214" s="664">
        <f t="shared" si="69"/>
        <v>0</v>
      </c>
      <c r="AI214" s="664">
        <f t="shared" si="69"/>
        <v>0</v>
      </c>
      <c r="AJ214" s="664">
        <f t="shared" si="69"/>
        <v>0</v>
      </c>
      <c r="AK214" s="664">
        <f t="shared" si="69"/>
        <v>0</v>
      </c>
      <c r="AL214" s="664">
        <f t="shared" si="69"/>
        <v>0</v>
      </c>
      <c r="AM214" s="664">
        <f t="shared" si="69"/>
        <v>0</v>
      </c>
      <c r="AN214" s="664">
        <f t="shared" si="69"/>
        <v>0</v>
      </c>
      <c r="AO214" s="664">
        <f t="shared" si="69"/>
        <v>0</v>
      </c>
      <c r="AP214" s="664">
        <f t="shared" si="69"/>
        <v>0</v>
      </c>
      <c r="AQ214" s="664">
        <f t="shared" si="69"/>
        <v>0</v>
      </c>
      <c r="AR214" s="664">
        <f t="shared" si="69"/>
        <v>0</v>
      </c>
      <c r="AS214" s="664">
        <f t="shared" si="69"/>
        <v>0</v>
      </c>
      <c r="AT214" s="664">
        <f t="shared" si="69"/>
        <v>0</v>
      </c>
      <c r="AU214" s="664">
        <f t="shared" si="69"/>
        <v>0</v>
      </c>
      <c r="AV214" s="664">
        <f t="shared" si="69"/>
        <v>0</v>
      </c>
      <c r="AW214" s="664">
        <f t="shared" si="69"/>
        <v>0</v>
      </c>
      <c r="AX214" s="664">
        <f t="shared" si="69"/>
        <v>0</v>
      </c>
      <c r="AY214" s="664">
        <f t="shared" si="69"/>
        <v>0</v>
      </c>
      <c r="AZ214" s="664">
        <f t="shared" si="69"/>
        <v>0</v>
      </c>
      <c r="BA214" s="664">
        <f t="shared" si="69"/>
        <v>0</v>
      </c>
      <c r="BB214" s="664">
        <f t="shared" si="69"/>
        <v>0</v>
      </c>
      <c r="BC214" s="664">
        <f t="shared" si="69"/>
        <v>0</v>
      </c>
      <c r="BD214" s="664">
        <f t="shared" si="69"/>
        <v>0</v>
      </c>
      <c r="BE214" s="664">
        <f t="shared" si="69"/>
        <v>0</v>
      </c>
      <c r="BF214" s="664">
        <f t="shared" si="69"/>
        <v>0</v>
      </c>
      <c r="BG214" s="664">
        <f t="shared" si="69"/>
        <v>0</v>
      </c>
      <c r="BH214" s="664">
        <f t="shared" si="69"/>
        <v>0</v>
      </c>
      <c r="BI214" s="664">
        <f t="shared" si="69"/>
        <v>0</v>
      </c>
      <c r="BJ214" s="664">
        <f t="shared" si="69"/>
        <v>0</v>
      </c>
      <c r="BK214" s="664">
        <f t="shared" si="69"/>
        <v>0</v>
      </c>
      <c r="BL214" s="664">
        <f t="shared" si="69"/>
        <v>0</v>
      </c>
      <c r="BM214" s="664">
        <f t="shared" si="69"/>
        <v>0</v>
      </c>
      <c r="BN214" s="664">
        <f t="shared" si="69"/>
        <v>0</v>
      </c>
      <c r="BO214" s="664">
        <f t="shared" si="69"/>
        <v>0</v>
      </c>
      <c r="BP214" s="664">
        <f t="shared" ref="BP214:CA214" si="71">SUM(BP212:BP213)</f>
        <v>0</v>
      </c>
      <c r="BQ214" s="664">
        <f t="shared" si="71"/>
        <v>0</v>
      </c>
      <c r="BR214" s="664">
        <f t="shared" si="71"/>
        <v>0</v>
      </c>
      <c r="BS214" s="664">
        <f t="shared" si="71"/>
        <v>0</v>
      </c>
      <c r="BT214" s="664">
        <f t="shared" si="71"/>
        <v>0</v>
      </c>
      <c r="BU214" s="664">
        <f t="shared" si="71"/>
        <v>0</v>
      </c>
      <c r="BV214" s="664">
        <f t="shared" si="71"/>
        <v>0</v>
      </c>
      <c r="BW214" s="664">
        <f t="shared" si="71"/>
        <v>0</v>
      </c>
      <c r="BX214" s="664">
        <f t="shared" si="71"/>
        <v>0</v>
      </c>
      <c r="BY214" s="664">
        <f t="shared" si="71"/>
        <v>0</v>
      </c>
      <c r="BZ214" s="664">
        <f t="shared" si="71"/>
        <v>0</v>
      </c>
      <c r="CA214" s="664">
        <f t="shared" si="71"/>
        <v>0</v>
      </c>
    </row>
    <row r="215" spans="1:79" s="451" customFormat="1" hidden="1" outlineLevel="1" x14ac:dyDescent="0.25">
      <c r="A215" s="656"/>
      <c r="B215" s="576"/>
      <c r="C215" s="576"/>
      <c r="D215" s="576"/>
      <c r="E215" s="570" t="s">
        <v>1330</v>
      </c>
      <c r="F215" s="656" t="s">
        <v>871</v>
      </c>
      <c r="G215" s="719"/>
      <c r="H215" s="719"/>
      <c r="I215" s="719"/>
      <c r="J215" s="719"/>
      <c r="K215" s="719"/>
      <c r="L215" s="719"/>
      <c r="M215" s="719"/>
      <c r="N215" s="719"/>
      <c r="O215" s="719"/>
      <c r="P215" s="716"/>
      <c r="Q215" s="716"/>
      <c r="R215" s="716"/>
      <c r="S215" s="671">
        <v>0</v>
      </c>
      <c r="T215" s="671">
        <v>0</v>
      </c>
      <c r="U215" s="671">
        <v>0</v>
      </c>
      <c r="V215" s="671">
        <v>0</v>
      </c>
      <c r="W215" s="671">
        <v>0</v>
      </c>
      <c r="X215" s="671">
        <v>0</v>
      </c>
      <c r="Y215" s="671">
        <v>0</v>
      </c>
      <c r="Z215" s="671">
        <v>0</v>
      </c>
      <c r="AA215" s="671">
        <v>0</v>
      </c>
      <c r="AB215" s="671">
        <v>0</v>
      </c>
      <c r="AC215" s="671">
        <v>0</v>
      </c>
      <c r="AD215" s="671">
        <v>0</v>
      </c>
      <c r="AE215" s="671">
        <v>0</v>
      </c>
      <c r="AF215" s="671">
        <v>0</v>
      </c>
      <c r="AG215" s="671">
        <v>0</v>
      </c>
      <c r="AH215" s="718"/>
      <c r="AI215" s="718"/>
      <c r="AJ215" s="718"/>
      <c r="AK215" s="718"/>
      <c r="AL215" s="718"/>
      <c r="AM215" s="718"/>
      <c r="AN215" s="718"/>
      <c r="AO215" s="718"/>
      <c r="AP215" s="718"/>
      <c r="AQ215" s="718"/>
      <c r="AR215" s="718"/>
      <c r="AS215" s="718"/>
      <c r="AT215" s="718"/>
      <c r="AU215" s="718"/>
      <c r="AV215" s="718"/>
      <c r="AW215" s="718"/>
      <c r="AX215" s="718"/>
      <c r="AY215" s="718"/>
      <c r="AZ215" s="718"/>
      <c r="BA215" s="718"/>
      <c r="BB215" s="718"/>
      <c r="BC215" s="718"/>
      <c r="BD215" s="718"/>
      <c r="BE215" s="718"/>
      <c r="BF215" s="718"/>
      <c r="BG215" s="718"/>
      <c r="BH215" s="718"/>
      <c r="BI215" s="718"/>
      <c r="BJ215" s="718"/>
      <c r="BK215" s="718"/>
      <c r="BL215" s="718"/>
      <c r="BM215" s="718"/>
      <c r="BN215" s="718"/>
      <c r="BO215" s="718"/>
      <c r="BP215" s="718"/>
      <c r="BQ215" s="718"/>
      <c r="BR215" s="718"/>
      <c r="BS215" s="718"/>
      <c r="BT215" s="718"/>
      <c r="BU215" s="718"/>
      <c r="BV215" s="718"/>
      <c r="BW215" s="718"/>
      <c r="BX215" s="718"/>
      <c r="BY215" s="718"/>
      <c r="BZ215" s="718"/>
      <c r="CA215" s="718"/>
    </row>
    <row r="216" spans="1:79" s="451" customFormat="1" hidden="1" outlineLevel="1" x14ac:dyDescent="0.25">
      <c r="A216" s="656"/>
      <c r="B216" s="576"/>
      <c r="C216" s="576"/>
      <c r="D216" s="576"/>
      <c r="E216" s="570" t="s">
        <v>1076</v>
      </c>
      <c r="F216" s="656" t="s">
        <v>872</v>
      </c>
      <c r="G216" s="719"/>
      <c r="H216" s="719"/>
      <c r="I216" s="719"/>
      <c r="J216" s="719"/>
      <c r="K216" s="719"/>
      <c r="L216" s="719"/>
      <c r="M216" s="719"/>
      <c r="N216" s="719"/>
      <c r="O216" s="719"/>
      <c r="P216" s="716"/>
      <c r="Q216" s="716"/>
      <c r="R216" s="716"/>
      <c r="S216" s="671">
        <v>0</v>
      </c>
      <c r="T216" s="671">
        <v>0</v>
      </c>
      <c r="U216" s="671">
        <v>0</v>
      </c>
      <c r="V216" s="671">
        <v>0</v>
      </c>
      <c r="W216" s="671">
        <v>0</v>
      </c>
      <c r="X216" s="671">
        <v>0</v>
      </c>
      <c r="Y216" s="671">
        <v>0</v>
      </c>
      <c r="Z216" s="671">
        <v>0</v>
      </c>
      <c r="AA216" s="671">
        <v>0</v>
      </c>
      <c r="AB216" s="671">
        <v>0</v>
      </c>
      <c r="AC216" s="671">
        <v>0</v>
      </c>
      <c r="AD216" s="671">
        <v>0</v>
      </c>
      <c r="AE216" s="671">
        <v>0</v>
      </c>
      <c r="AF216" s="671">
        <v>0</v>
      </c>
      <c r="AG216" s="671">
        <v>0</v>
      </c>
      <c r="AH216" s="718"/>
      <c r="AI216" s="718"/>
      <c r="AJ216" s="718"/>
      <c r="AK216" s="718"/>
      <c r="AL216" s="718"/>
      <c r="AM216" s="718"/>
      <c r="AN216" s="718"/>
      <c r="AO216" s="718"/>
      <c r="AP216" s="718"/>
      <c r="AQ216" s="718"/>
      <c r="AR216" s="718"/>
      <c r="AS216" s="718"/>
      <c r="AT216" s="718"/>
      <c r="AU216" s="718"/>
      <c r="AV216" s="718"/>
      <c r="AW216" s="718"/>
      <c r="AX216" s="718"/>
      <c r="AY216" s="718"/>
      <c r="AZ216" s="718"/>
      <c r="BA216" s="718"/>
      <c r="BB216" s="718"/>
      <c r="BC216" s="718"/>
      <c r="BD216" s="718"/>
      <c r="BE216" s="718"/>
      <c r="BF216" s="718"/>
      <c r="BG216" s="718"/>
      <c r="BH216" s="718"/>
      <c r="BI216" s="718"/>
      <c r="BJ216" s="718"/>
      <c r="BK216" s="718"/>
      <c r="BL216" s="718"/>
      <c r="BM216" s="718"/>
      <c r="BN216" s="718"/>
      <c r="BO216" s="718"/>
      <c r="BP216" s="718"/>
      <c r="BQ216" s="718"/>
      <c r="BR216" s="718"/>
      <c r="BS216" s="718"/>
      <c r="BT216" s="718"/>
      <c r="BU216" s="718"/>
      <c r="BV216" s="718"/>
      <c r="BW216" s="718"/>
      <c r="BX216" s="718"/>
      <c r="BY216" s="718"/>
      <c r="BZ216" s="718"/>
      <c r="CA216" s="718"/>
    </row>
    <row r="217" spans="1:79" s="451" customFormat="1" hidden="1" outlineLevel="1" x14ac:dyDescent="0.25">
      <c r="A217" s="656"/>
      <c r="B217" s="576"/>
      <c r="C217" s="576"/>
      <c r="D217" s="576"/>
      <c r="E217" s="570" t="s">
        <v>1331</v>
      </c>
      <c r="F217" s="656" t="s">
        <v>873</v>
      </c>
      <c r="G217" s="719"/>
      <c r="H217" s="719"/>
      <c r="I217" s="719"/>
      <c r="J217" s="719"/>
      <c r="K217" s="719"/>
      <c r="L217" s="719"/>
      <c r="M217" s="719"/>
      <c r="N217" s="719"/>
      <c r="O217" s="719"/>
      <c r="P217" s="716"/>
      <c r="Q217" s="716"/>
      <c r="R217" s="716"/>
      <c r="S217" s="671">
        <v>0</v>
      </c>
      <c r="T217" s="671">
        <v>0</v>
      </c>
      <c r="U217" s="671">
        <v>0</v>
      </c>
      <c r="V217" s="671">
        <v>0</v>
      </c>
      <c r="W217" s="671">
        <v>0</v>
      </c>
      <c r="X217" s="671">
        <v>0</v>
      </c>
      <c r="Y217" s="671">
        <v>0</v>
      </c>
      <c r="Z217" s="671">
        <v>0</v>
      </c>
      <c r="AA217" s="671">
        <v>0</v>
      </c>
      <c r="AB217" s="671">
        <v>0</v>
      </c>
      <c r="AC217" s="671">
        <v>0</v>
      </c>
      <c r="AD217" s="671">
        <v>0</v>
      </c>
      <c r="AE217" s="671">
        <v>0</v>
      </c>
      <c r="AF217" s="671">
        <v>0</v>
      </c>
      <c r="AG217" s="671">
        <v>0</v>
      </c>
      <c r="AH217" s="718"/>
      <c r="AI217" s="718"/>
      <c r="AJ217" s="718"/>
      <c r="AK217" s="718"/>
      <c r="AL217" s="718"/>
      <c r="AM217" s="718"/>
      <c r="AN217" s="718"/>
      <c r="AO217" s="718"/>
      <c r="AP217" s="718"/>
      <c r="AQ217" s="718"/>
      <c r="AR217" s="718"/>
      <c r="AS217" s="718"/>
      <c r="AT217" s="718"/>
      <c r="AU217" s="718"/>
      <c r="AV217" s="718"/>
      <c r="AW217" s="718"/>
      <c r="AX217" s="718"/>
      <c r="AY217" s="718"/>
      <c r="AZ217" s="718"/>
      <c r="BA217" s="718"/>
      <c r="BB217" s="718"/>
      <c r="BC217" s="718"/>
      <c r="BD217" s="718"/>
      <c r="BE217" s="718"/>
      <c r="BF217" s="718"/>
      <c r="BG217" s="718"/>
      <c r="BH217" s="718"/>
      <c r="BI217" s="718"/>
      <c r="BJ217" s="718"/>
      <c r="BK217" s="718"/>
      <c r="BL217" s="718"/>
      <c r="BM217" s="718"/>
      <c r="BN217" s="718"/>
      <c r="BO217" s="718"/>
      <c r="BP217" s="718"/>
      <c r="BQ217" s="718"/>
      <c r="BR217" s="718"/>
      <c r="BS217" s="718"/>
      <c r="BT217" s="718"/>
      <c r="BU217" s="718"/>
      <c r="BV217" s="718"/>
      <c r="BW217" s="718"/>
      <c r="BX217" s="718"/>
      <c r="BY217" s="718"/>
      <c r="BZ217" s="718"/>
      <c r="CA217" s="718"/>
    </row>
    <row r="218" spans="1:79" s="451" customFormat="1" hidden="1" outlineLevel="1" x14ac:dyDescent="0.25">
      <c r="A218" s="656"/>
      <c r="B218" s="79"/>
      <c r="C218" s="79"/>
      <c r="D218" s="79"/>
      <c r="E218" s="570" t="s">
        <v>1357</v>
      </c>
      <c r="F218" s="656" t="s">
        <v>605</v>
      </c>
      <c r="G218" s="719"/>
      <c r="H218" s="719"/>
      <c r="I218" s="719"/>
      <c r="J218" s="719"/>
      <c r="K218" s="719"/>
      <c r="L218" s="719"/>
      <c r="M218" s="719"/>
      <c r="N218" s="719"/>
      <c r="O218" s="719"/>
      <c r="P218" s="716"/>
      <c r="Q218" s="716"/>
      <c r="R218" s="716"/>
      <c r="S218" s="667">
        <v>0</v>
      </c>
      <c r="T218" s="667">
        <v>656.97</v>
      </c>
      <c r="U218" s="667">
        <v>345</v>
      </c>
      <c r="V218" s="667">
        <v>448.25</v>
      </c>
      <c r="W218" s="667">
        <v>0</v>
      </c>
      <c r="X218" s="667">
        <v>0</v>
      </c>
      <c r="Y218" s="667">
        <v>0</v>
      </c>
      <c r="Z218" s="667">
        <v>615.73</v>
      </c>
      <c r="AA218" s="667">
        <v>89</v>
      </c>
      <c r="AB218" s="667">
        <v>1747.06</v>
      </c>
      <c r="AC218" s="667">
        <v>164.99</v>
      </c>
      <c r="AD218" s="667">
        <v>0</v>
      </c>
      <c r="AE218" s="667">
        <v>720.03</v>
      </c>
      <c r="AF218" s="667">
        <v>0</v>
      </c>
      <c r="AG218" s="667">
        <v>1029.74</v>
      </c>
      <c r="AH218" s="718"/>
      <c r="AI218" s="718"/>
      <c r="AJ218" s="718"/>
      <c r="AK218" s="718"/>
      <c r="AL218" s="718"/>
      <c r="AM218" s="718"/>
      <c r="AN218" s="718"/>
      <c r="AO218" s="718"/>
      <c r="AP218" s="718"/>
      <c r="AQ218" s="718"/>
      <c r="AR218" s="718"/>
      <c r="AS218" s="718"/>
      <c r="AT218" s="718"/>
      <c r="AU218" s="718"/>
      <c r="AV218" s="718"/>
      <c r="AW218" s="718"/>
      <c r="AX218" s="718"/>
      <c r="AY218" s="718"/>
      <c r="AZ218" s="718"/>
      <c r="BA218" s="718"/>
      <c r="BB218" s="718"/>
      <c r="BC218" s="718"/>
      <c r="BD218" s="718"/>
      <c r="BE218" s="718"/>
      <c r="BF218" s="718"/>
      <c r="BG218" s="718"/>
      <c r="BH218" s="718"/>
      <c r="BI218" s="718"/>
      <c r="BJ218" s="718"/>
      <c r="BK218" s="718"/>
      <c r="BL218" s="718"/>
      <c r="BM218" s="718"/>
      <c r="BN218" s="718"/>
      <c r="BO218" s="718"/>
      <c r="BP218" s="718"/>
      <c r="BQ218" s="718"/>
      <c r="BR218" s="718"/>
      <c r="BS218" s="718"/>
      <c r="BT218" s="718"/>
      <c r="BU218" s="718"/>
      <c r="BV218" s="718"/>
      <c r="BW218" s="718"/>
      <c r="BX218" s="718"/>
      <c r="BY218" s="718"/>
      <c r="BZ218" s="718"/>
      <c r="CA218" s="718"/>
    </row>
    <row r="219" spans="1:79" s="451" customFormat="1" hidden="1" outlineLevel="1" x14ac:dyDescent="0.25">
      <c r="A219" s="656"/>
      <c r="B219" s="79"/>
      <c r="C219" s="79"/>
      <c r="D219" s="79"/>
      <c r="E219" s="570" t="s">
        <v>645</v>
      </c>
      <c r="F219" s="656" t="s">
        <v>606</v>
      </c>
      <c r="G219" s="719"/>
      <c r="H219" s="719"/>
      <c r="I219" s="719"/>
      <c r="J219" s="719"/>
      <c r="K219" s="719"/>
      <c r="L219" s="719"/>
      <c r="M219" s="719"/>
      <c r="N219" s="719"/>
      <c r="O219" s="719"/>
      <c r="P219" s="716"/>
      <c r="Q219" s="716"/>
      <c r="R219" s="716"/>
      <c r="S219" s="667">
        <v>208</v>
      </c>
      <c r="T219" s="667">
        <v>1499</v>
      </c>
      <c r="U219" s="667">
        <v>1699</v>
      </c>
      <c r="V219" s="667">
        <v>1806.49</v>
      </c>
      <c r="W219" s="667">
        <v>2227.06</v>
      </c>
      <c r="X219" s="667">
        <v>1926</v>
      </c>
      <c r="Y219" s="667">
        <v>1921.88</v>
      </c>
      <c r="Z219" s="667">
        <v>1946.87</v>
      </c>
      <c r="AA219" s="667">
        <v>1876.94</v>
      </c>
      <c r="AB219" s="667">
        <v>2924.2</v>
      </c>
      <c r="AC219" s="667">
        <v>2530.27</v>
      </c>
      <c r="AD219" s="667">
        <v>941.27</v>
      </c>
      <c r="AE219" s="667">
        <v>3310.28</v>
      </c>
      <c r="AF219" s="667">
        <v>2956.28</v>
      </c>
      <c r="AG219" s="667">
        <v>527.28</v>
      </c>
      <c r="AH219" s="718"/>
      <c r="AI219" s="718"/>
      <c r="AJ219" s="718"/>
      <c r="AK219" s="718"/>
      <c r="AL219" s="718"/>
      <c r="AM219" s="718"/>
      <c r="AN219" s="718"/>
      <c r="AO219" s="718"/>
      <c r="AP219" s="718"/>
      <c r="AQ219" s="718"/>
      <c r="AR219" s="718"/>
      <c r="AS219" s="718"/>
      <c r="AT219" s="718"/>
      <c r="AU219" s="718"/>
      <c r="AV219" s="718"/>
      <c r="AW219" s="718"/>
      <c r="AX219" s="718"/>
      <c r="AY219" s="718"/>
      <c r="AZ219" s="718"/>
      <c r="BA219" s="718"/>
      <c r="BB219" s="718"/>
      <c r="BC219" s="718"/>
      <c r="BD219" s="718"/>
      <c r="BE219" s="718"/>
      <c r="BF219" s="718"/>
      <c r="BG219" s="718"/>
      <c r="BH219" s="718"/>
      <c r="BI219" s="718"/>
      <c r="BJ219" s="718"/>
      <c r="BK219" s="718"/>
      <c r="BL219" s="718"/>
      <c r="BM219" s="718"/>
      <c r="BN219" s="718"/>
      <c r="BO219" s="718"/>
      <c r="BP219" s="718"/>
      <c r="BQ219" s="718"/>
      <c r="BR219" s="718"/>
      <c r="BS219" s="718"/>
      <c r="BT219" s="718"/>
      <c r="BU219" s="718"/>
      <c r="BV219" s="718"/>
      <c r="BW219" s="718"/>
      <c r="BX219" s="718"/>
      <c r="BY219" s="718"/>
      <c r="BZ219" s="718"/>
      <c r="CA219" s="718"/>
    </row>
    <row r="220" spans="1:79" s="451" customFormat="1" hidden="1" outlineLevel="1" x14ac:dyDescent="0.25">
      <c r="A220" s="656"/>
      <c r="B220" s="79"/>
      <c r="C220" s="79"/>
      <c r="D220" s="79"/>
      <c r="E220" s="570" t="s">
        <v>1330</v>
      </c>
      <c r="F220" s="656" t="s">
        <v>607</v>
      </c>
      <c r="G220" s="719"/>
      <c r="H220" s="719"/>
      <c r="I220" s="719"/>
      <c r="J220" s="719"/>
      <c r="K220" s="719"/>
      <c r="L220" s="719"/>
      <c r="M220" s="719"/>
      <c r="N220" s="719"/>
      <c r="O220" s="719"/>
      <c r="P220" s="716"/>
      <c r="Q220" s="716"/>
      <c r="R220" s="716"/>
      <c r="S220" s="667">
        <v>1000</v>
      </c>
      <c r="T220" s="667">
        <v>0</v>
      </c>
      <c r="U220" s="667">
        <v>87.99</v>
      </c>
      <c r="V220" s="667">
        <v>79.900000000000006</v>
      </c>
      <c r="W220" s="667">
        <v>39.950000000000003</v>
      </c>
      <c r="X220" s="667">
        <v>79.95</v>
      </c>
      <c r="Y220" s="667">
        <v>0</v>
      </c>
      <c r="Z220" s="667">
        <v>0</v>
      </c>
      <c r="AA220" s="667">
        <v>55.95</v>
      </c>
      <c r="AB220" s="667">
        <v>0</v>
      </c>
      <c r="AC220" s="667">
        <v>0</v>
      </c>
      <c r="AD220" s="667">
        <v>0</v>
      </c>
      <c r="AE220" s="667">
        <v>49.99</v>
      </c>
      <c r="AF220" s="667">
        <v>0</v>
      </c>
      <c r="AG220" s="667">
        <v>0</v>
      </c>
      <c r="AH220" s="718"/>
      <c r="AI220" s="718"/>
      <c r="AJ220" s="718"/>
      <c r="AK220" s="718"/>
      <c r="AL220" s="718"/>
      <c r="AM220" s="718"/>
      <c r="AN220" s="718"/>
      <c r="AO220" s="718"/>
      <c r="AP220" s="718"/>
      <c r="AQ220" s="718"/>
      <c r="AR220" s="718"/>
      <c r="AS220" s="718"/>
      <c r="AT220" s="718"/>
      <c r="AU220" s="718"/>
      <c r="AV220" s="718"/>
      <c r="AW220" s="718"/>
      <c r="AX220" s="718"/>
      <c r="AY220" s="718"/>
      <c r="AZ220" s="718"/>
      <c r="BA220" s="718"/>
      <c r="BB220" s="718"/>
      <c r="BC220" s="718"/>
      <c r="BD220" s="718"/>
      <c r="BE220" s="718"/>
      <c r="BF220" s="718"/>
      <c r="BG220" s="718"/>
      <c r="BH220" s="718"/>
      <c r="BI220" s="718"/>
      <c r="BJ220" s="718"/>
      <c r="BK220" s="718"/>
      <c r="BL220" s="718"/>
      <c r="BM220" s="718"/>
      <c r="BN220" s="718"/>
      <c r="BO220" s="718"/>
      <c r="BP220" s="718"/>
      <c r="BQ220" s="718"/>
      <c r="BR220" s="718"/>
      <c r="BS220" s="718"/>
      <c r="BT220" s="718"/>
      <c r="BU220" s="718"/>
      <c r="BV220" s="718"/>
      <c r="BW220" s="718"/>
      <c r="BX220" s="718"/>
      <c r="BY220" s="718"/>
      <c r="BZ220" s="718"/>
      <c r="CA220" s="718"/>
    </row>
    <row r="221" spans="1:79" s="451" customFormat="1" hidden="1" outlineLevel="1" x14ac:dyDescent="0.25">
      <c r="A221" s="656"/>
      <c r="B221" s="576"/>
      <c r="C221" s="576"/>
      <c r="D221" s="576"/>
      <c r="E221" s="570" t="s">
        <v>1330</v>
      </c>
      <c r="F221" s="656" t="s">
        <v>874</v>
      </c>
      <c r="G221" s="719">
        <v>572.82144060739211</v>
      </c>
      <c r="H221" s="719">
        <v>132.53275000512107</v>
      </c>
      <c r="I221" s="719">
        <v>677.44009155458502</v>
      </c>
      <c r="J221" s="719">
        <v>191.58981301649402</v>
      </c>
      <c r="K221" s="719">
        <v>342.21557837080104</v>
      </c>
      <c r="L221" s="719">
        <v>442.62849636968673</v>
      </c>
      <c r="M221" s="719">
        <v>311.74010484227074</v>
      </c>
      <c r="N221" s="719">
        <v>171.35303728875837</v>
      </c>
      <c r="O221" s="719">
        <v>137.12587307496952</v>
      </c>
      <c r="P221" s="716">
        <v>286.9447470420813</v>
      </c>
      <c r="Q221" s="716">
        <v>159.69403453046968</v>
      </c>
      <c r="R221" s="716">
        <v>24.400123615266235</v>
      </c>
      <c r="S221" s="676">
        <v>0</v>
      </c>
      <c r="T221" s="676">
        <v>0</v>
      </c>
      <c r="U221" s="676">
        <v>0</v>
      </c>
      <c r="V221" s="676">
        <v>0</v>
      </c>
      <c r="W221" s="676">
        <v>0</v>
      </c>
      <c r="X221" s="676">
        <v>0</v>
      </c>
      <c r="Y221" s="676">
        <v>0</v>
      </c>
      <c r="Z221" s="676">
        <v>0</v>
      </c>
      <c r="AA221" s="676">
        <v>0</v>
      </c>
      <c r="AB221" s="676">
        <v>0</v>
      </c>
      <c r="AC221" s="676">
        <v>0</v>
      </c>
      <c r="AD221" s="676">
        <v>0</v>
      </c>
      <c r="AE221" s="676">
        <v>0</v>
      </c>
      <c r="AF221" s="676">
        <v>0</v>
      </c>
      <c r="AG221" s="676">
        <v>0</v>
      </c>
      <c r="AH221" s="718"/>
      <c r="AI221" s="718"/>
      <c r="AJ221" s="718"/>
      <c r="AK221" s="718"/>
      <c r="AL221" s="718"/>
      <c r="AM221" s="718"/>
      <c r="AN221" s="718"/>
      <c r="AO221" s="718"/>
      <c r="AP221" s="718"/>
      <c r="AQ221" s="718"/>
      <c r="AR221" s="718"/>
      <c r="AS221" s="718"/>
      <c r="AT221" s="718"/>
      <c r="AU221" s="718"/>
      <c r="AV221" s="718"/>
      <c r="AW221" s="718"/>
      <c r="AX221" s="718"/>
      <c r="AY221" s="718"/>
      <c r="AZ221" s="718"/>
      <c r="BA221" s="718"/>
      <c r="BB221" s="718"/>
      <c r="BC221" s="718"/>
      <c r="BD221" s="718"/>
      <c r="BE221" s="718"/>
      <c r="BF221" s="718"/>
      <c r="BG221" s="718"/>
      <c r="BH221" s="718"/>
      <c r="BI221" s="718"/>
      <c r="BJ221" s="718"/>
      <c r="BK221" s="718"/>
      <c r="BL221" s="718"/>
      <c r="BM221" s="718"/>
      <c r="BN221" s="718"/>
      <c r="BO221" s="718"/>
      <c r="BP221" s="718"/>
      <c r="BQ221" s="718"/>
      <c r="BR221" s="718"/>
      <c r="BS221" s="718"/>
      <c r="BT221" s="718"/>
      <c r="BU221" s="718"/>
      <c r="BV221" s="718"/>
      <c r="BW221" s="718"/>
      <c r="BX221" s="718"/>
      <c r="BY221" s="718"/>
      <c r="BZ221" s="718"/>
      <c r="CA221" s="718"/>
    </row>
    <row r="222" spans="1:79" s="308" customFormat="1" hidden="1" outlineLevel="1" x14ac:dyDescent="0.25">
      <c r="A222" s="659"/>
      <c r="B222" s="29"/>
      <c r="C222" s="29"/>
      <c r="D222" s="29"/>
      <c r="E222" s="570" t="s">
        <v>49</v>
      </c>
      <c r="F222" s="659" t="s">
        <v>608</v>
      </c>
      <c r="G222" s="679">
        <f>SUM(G215:G221)</f>
        <v>572.82144060739211</v>
      </c>
      <c r="H222" s="679">
        <f t="shared" ref="H222:BO222" si="72">SUM(H215:H221)</f>
        <v>132.53275000512107</v>
      </c>
      <c r="I222" s="679">
        <f t="shared" si="72"/>
        <v>677.44009155458502</v>
      </c>
      <c r="J222" s="679">
        <f t="shared" si="72"/>
        <v>191.58981301649402</v>
      </c>
      <c r="K222" s="679">
        <f t="shared" si="72"/>
        <v>342.21557837080104</v>
      </c>
      <c r="L222" s="679">
        <f t="shared" si="72"/>
        <v>442.62849636968673</v>
      </c>
      <c r="M222" s="679">
        <f t="shared" si="72"/>
        <v>311.74010484227074</v>
      </c>
      <c r="N222" s="679">
        <f t="shared" si="72"/>
        <v>171.35303728875837</v>
      </c>
      <c r="O222" s="679">
        <f t="shared" si="72"/>
        <v>137.12587307496952</v>
      </c>
      <c r="P222" s="679">
        <f t="shared" si="72"/>
        <v>286.9447470420813</v>
      </c>
      <c r="Q222" s="679">
        <f t="shared" si="72"/>
        <v>159.69403453046968</v>
      </c>
      <c r="R222" s="679">
        <f t="shared" si="72"/>
        <v>24.400123615266235</v>
      </c>
      <c r="S222" s="679">
        <f t="shared" ref="S222:AA222" si="73">ROUND(SUM(S210:S221),5)</f>
        <v>1208</v>
      </c>
      <c r="T222" s="679">
        <f t="shared" si="73"/>
        <v>2155.9699999999998</v>
      </c>
      <c r="U222" s="679">
        <f t="shared" si="73"/>
        <v>2131.9899999999998</v>
      </c>
      <c r="V222" s="679">
        <f t="shared" si="73"/>
        <v>2334.64</v>
      </c>
      <c r="W222" s="679">
        <f t="shared" si="73"/>
        <v>2267.0100000000002</v>
      </c>
      <c r="X222" s="679">
        <f t="shared" si="73"/>
        <v>2005.95</v>
      </c>
      <c r="Y222" s="679">
        <f t="shared" si="73"/>
        <v>1921.88</v>
      </c>
      <c r="Z222" s="679">
        <f t="shared" si="73"/>
        <v>2562.6</v>
      </c>
      <c r="AA222" s="679">
        <f t="shared" si="73"/>
        <v>2021.89</v>
      </c>
      <c r="AB222" s="679">
        <f>ROUND(SUM(AB210:AB221),5)</f>
        <v>4671.26</v>
      </c>
      <c r="AC222" s="679">
        <f>ROUND(SUM(AC210:AC221),5)</f>
        <v>2695.26</v>
      </c>
      <c r="AD222" s="679">
        <f>ROUND(SUM(AD210:AD221),5)</f>
        <v>941.27</v>
      </c>
      <c r="AE222" s="679">
        <v>4080.3</v>
      </c>
      <c r="AF222" s="679">
        <v>2956.28</v>
      </c>
      <c r="AG222" s="679">
        <f>ROUND(AG210+SUM(AG214:AG221),5)</f>
        <v>1557.02</v>
      </c>
      <c r="AH222" s="679">
        <f t="shared" si="72"/>
        <v>0</v>
      </c>
      <c r="AI222" s="679">
        <f t="shared" si="72"/>
        <v>0</v>
      </c>
      <c r="AJ222" s="679">
        <f t="shared" si="72"/>
        <v>0</v>
      </c>
      <c r="AK222" s="679">
        <f t="shared" si="72"/>
        <v>0</v>
      </c>
      <c r="AL222" s="679">
        <f t="shared" si="72"/>
        <v>0</v>
      </c>
      <c r="AM222" s="679">
        <f t="shared" si="72"/>
        <v>0</v>
      </c>
      <c r="AN222" s="679">
        <f t="shared" si="72"/>
        <v>0</v>
      </c>
      <c r="AO222" s="679">
        <f t="shared" si="72"/>
        <v>0</v>
      </c>
      <c r="AP222" s="679">
        <f t="shared" si="72"/>
        <v>0</v>
      </c>
      <c r="AQ222" s="679">
        <f t="shared" si="72"/>
        <v>0</v>
      </c>
      <c r="AR222" s="679">
        <f t="shared" si="72"/>
        <v>0</v>
      </c>
      <c r="AS222" s="679">
        <f t="shared" si="72"/>
        <v>0</v>
      </c>
      <c r="AT222" s="679">
        <f t="shared" si="72"/>
        <v>0</v>
      </c>
      <c r="AU222" s="679">
        <f t="shared" si="72"/>
        <v>0</v>
      </c>
      <c r="AV222" s="679">
        <f t="shared" si="72"/>
        <v>0</v>
      </c>
      <c r="AW222" s="679">
        <f t="shared" si="72"/>
        <v>0</v>
      </c>
      <c r="AX222" s="679">
        <f t="shared" si="72"/>
        <v>0</v>
      </c>
      <c r="AY222" s="679">
        <f t="shared" si="72"/>
        <v>0</v>
      </c>
      <c r="AZ222" s="679">
        <f t="shared" si="72"/>
        <v>0</v>
      </c>
      <c r="BA222" s="679">
        <f t="shared" si="72"/>
        <v>0</v>
      </c>
      <c r="BB222" s="679">
        <f t="shared" si="72"/>
        <v>0</v>
      </c>
      <c r="BC222" s="679">
        <f t="shared" si="72"/>
        <v>0</v>
      </c>
      <c r="BD222" s="679">
        <f t="shared" si="72"/>
        <v>0</v>
      </c>
      <c r="BE222" s="679">
        <f t="shared" si="72"/>
        <v>0</v>
      </c>
      <c r="BF222" s="679">
        <f t="shared" si="72"/>
        <v>0</v>
      </c>
      <c r="BG222" s="679">
        <f t="shared" si="72"/>
        <v>0</v>
      </c>
      <c r="BH222" s="679">
        <f t="shared" si="72"/>
        <v>0</v>
      </c>
      <c r="BI222" s="679">
        <f t="shared" si="72"/>
        <v>0</v>
      </c>
      <c r="BJ222" s="679">
        <f t="shared" si="72"/>
        <v>0</v>
      </c>
      <c r="BK222" s="679">
        <f t="shared" si="72"/>
        <v>0</v>
      </c>
      <c r="BL222" s="679">
        <f t="shared" si="72"/>
        <v>0</v>
      </c>
      <c r="BM222" s="679">
        <f t="shared" si="72"/>
        <v>0</v>
      </c>
      <c r="BN222" s="679">
        <f t="shared" si="72"/>
        <v>0</v>
      </c>
      <c r="BO222" s="679">
        <f t="shared" si="72"/>
        <v>0</v>
      </c>
      <c r="BP222" s="679">
        <f t="shared" ref="BP222:CA222" si="74">SUM(BP215:BP221)</f>
        <v>0</v>
      </c>
      <c r="BQ222" s="679">
        <f t="shared" si="74"/>
        <v>0</v>
      </c>
      <c r="BR222" s="679">
        <f t="shared" si="74"/>
        <v>0</v>
      </c>
      <c r="BS222" s="679">
        <f t="shared" si="74"/>
        <v>0</v>
      </c>
      <c r="BT222" s="679">
        <f t="shared" si="74"/>
        <v>0</v>
      </c>
      <c r="BU222" s="679">
        <f t="shared" si="74"/>
        <v>0</v>
      </c>
      <c r="BV222" s="679">
        <f t="shared" si="74"/>
        <v>0</v>
      </c>
      <c r="BW222" s="679">
        <f t="shared" si="74"/>
        <v>0</v>
      </c>
      <c r="BX222" s="679">
        <f t="shared" si="74"/>
        <v>0</v>
      </c>
      <c r="BY222" s="679">
        <f t="shared" si="74"/>
        <v>0</v>
      </c>
      <c r="BZ222" s="679">
        <f t="shared" si="74"/>
        <v>0</v>
      </c>
      <c r="CA222" s="679">
        <f t="shared" si="74"/>
        <v>0</v>
      </c>
    </row>
    <row r="223" spans="1:79" s="308" customFormat="1" hidden="1" outlineLevel="1" x14ac:dyDescent="0.25">
      <c r="A223" s="655"/>
      <c r="B223" s="571"/>
      <c r="C223" s="571"/>
      <c r="D223" s="571"/>
      <c r="E223" s="570" t="s">
        <v>1325</v>
      </c>
      <c r="F223" s="655" t="s">
        <v>875</v>
      </c>
      <c r="G223" s="719"/>
      <c r="H223" s="719"/>
      <c r="I223" s="719"/>
      <c r="J223" s="719"/>
      <c r="K223" s="719"/>
      <c r="L223" s="719"/>
      <c r="M223" s="719"/>
      <c r="N223" s="719"/>
      <c r="O223" s="719"/>
      <c r="P223" s="716"/>
      <c r="Q223" s="716"/>
      <c r="R223" s="716"/>
      <c r="S223" s="684">
        <v>0</v>
      </c>
      <c r="T223" s="684">
        <v>0</v>
      </c>
      <c r="U223" s="684">
        <v>0</v>
      </c>
      <c r="V223" s="684">
        <v>0</v>
      </c>
      <c r="W223" s="684">
        <v>0</v>
      </c>
      <c r="X223" s="684">
        <v>0</v>
      </c>
      <c r="Y223" s="684">
        <v>0</v>
      </c>
      <c r="Z223" s="684">
        <v>0</v>
      </c>
      <c r="AA223" s="684">
        <v>0</v>
      </c>
      <c r="AB223" s="684">
        <v>0</v>
      </c>
      <c r="AC223" s="684">
        <v>0</v>
      </c>
      <c r="AD223" s="684">
        <v>0</v>
      </c>
      <c r="AE223" s="684">
        <v>0</v>
      </c>
      <c r="AF223" s="684">
        <v>0</v>
      </c>
      <c r="AG223" s="684">
        <v>0</v>
      </c>
      <c r="AH223" s="718"/>
      <c r="AI223" s="718"/>
      <c r="AJ223" s="718"/>
      <c r="AK223" s="718"/>
      <c r="AL223" s="718"/>
      <c r="AM223" s="718"/>
      <c r="AN223" s="718"/>
      <c r="AO223" s="718"/>
      <c r="AP223" s="718"/>
      <c r="AQ223" s="718"/>
      <c r="AR223" s="718"/>
      <c r="AS223" s="718"/>
      <c r="AT223" s="718"/>
      <c r="AU223" s="718"/>
      <c r="AV223" s="718"/>
      <c r="AW223" s="718"/>
      <c r="AX223" s="718"/>
      <c r="AY223" s="718"/>
      <c r="AZ223" s="718"/>
      <c r="BA223" s="718"/>
      <c r="BB223" s="718"/>
      <c r="BC223" s="718"/>
      <c r="BD223" s="718"/>
      <c r="BE223" s="718"/>
      <c r="BF223" s="718"/>
      <c r="BG223" s="718"/>
      <c r="BH223" s="718"/>
      <c r="BI223" s="718"/>
      <c r="BJ223" s="718"/>
      <c r="BK223" s="718"/>
      <c r="BL223" s="718"/>
      <c r="BM223" s="718"/>
      <c r="BN223" s="718"/>
      <c r="BO223" s="718"/>
      <c r="BP223" s="718"/>
      <c r="BQ223" s="718"/>
      <c r="BR223" s="718"/>
      <c r="BS223" s="718"/>
      <c r="BT223" s="718"/>
      <c r="BU223" s="718"/>
      <c r="BV223" s="718"/>
      <c r="BW223" s="718"/>
      <c r="BX223" s="718"/>
      <c r="BY223" s="718"/>
      <c r="BZ223" s="718"/>
      <c r="CA223" s="718"/>
    </row>
    <row r="224" spans="1:79" hidden="1" outlineLevel="1" x14ac:dyDescent="0.25">
      <c r="A224" s="658"/>
      <c r="E224" s="570" t="s">
        <v>1326</v>
      </c>
      <c r="F224" s="658" t="s">
        <v>591</v>
      </c>
      <c r="G224" s="719"/>
      <c r="H224" s="719"/>
      <c r="I224" s="719"/>
      <c r="J224" s="719"/>
      <c r="K224" s="719"/>
      <c r="L224" s="719"/>
      <c r="M224" s="719">
        <v>44.781508495617182</v>
      </c>
      <c r="N224" s="719"/>
      <c r="O224" s="719">
        <v>29.37981361478559</v>
      </c>
      <c r="P224" s="716">
        <v>25.582447790158994</v>
      </c>
      <c r="Q224" s="716"/>
      <c r="R224" s="716"/>
      <c r="S224" s="667">
        <v>0</v>
      </c>
      <c r="T224" s="667">
        <v>904.83</v>
      </c>
      <c r="U224" s="667">
        <v>2449.9899999999998</v>
      </c>
      <c r="V224" s="667">
        <v>595</v>
      </c>
      <c r="W224" s="667">
        <v>0</v>
      </c>
      <c r="X224" s="667">
        <v>0</v>
      </c>
      <c r="Y224" s="667">
        <v>0</v>
      </c>
      <c r="Z224" s="667">
        <v>0</v>
      </c>
      <c r="AA224" s="667">
        <v>0</v>
      </c>
      <c r="AB224" s="667">
        <v>0</v>
      </c>
      <c r="AC224" s="667">
        <v>0</v>
      </c>
      <c r="AD224" s="667">
        <v>0</v>
      </c>
      <c r="AE224" s="667">
        <v>0</v>
      </c>
      <c r="AF224" s="667">
        <v>0</v>
      </c>
      <c r="AG224" s="667">
        <v>0</v>
      </c>
      <c r="AH224" s="718"/>
      <c r="AI224" s="718"/>
      <c r="AJ224" s="718"/>
      <c r="AK224" s="718"/>
      <c r="AL224" s="718"/>
      <c r="AM224" s="718"/>
      <c r="AN224" s="718"/>
      <c r="AO224" s="718"/>
      <c r="AP224" s="718"/>
      <c r="AQ224" s="718"/>
      <c r="AR224" s="718"/>
      <c r="AS224" s="718"/>
      <c r="AT224" s="718"/>
      <c r="AU224" s="718"/>
      <c r="AV224" s="718"/>
      <c r="AW224" s="718"/>
      <c r="AX224" s="718"/>
      <c r="AY224" s="718"/>
      <c r="AZ224" s="718"/>
      <c r="BA224" s="718"/>
      <c r="BB224" s="718"/>
      <c r="BC224" s="718"/>
      <c r="BD224" s="718"/>
      <c r="BE224" s="718"/>
      <c r="BF224" s="718"/>
      <c r="BG224" s="718"/>
      <c r="BH224" s="718"/>
      <c r="BI224" s="718"/>
      <c r="BJ224" s="718"/>
      <c r="BK224" s="718"/>
      <c r="BL224" s="718"/>
      <c r="BM224" s="718"/>
      <c r="BN224" s="718"/>
      <c r="BO224" s="718"/>
      <c r="BP224" s="718"/>
      <c r="BQ224" s="718"/>
      <c r="BR224" s="718"/>
      <c r="BS224" s="718"/>
      <c r="BT224" s="718"/>
      <c r="BU224" s="718"/>
      <c r="BV224" s="718"/>
      <c r="BW224" s="718"/>
      <c r="BX224" s="718"/>
      <c r="BY224" s="718"/>
      <c r="BZ224" s="718"/>
      <c r="CA224" s="718"/>
    </row>
    <row r="225" spans="1:79" hidden="1" outlineLevel="1" x14ac:dyDescent="0.25">
      <c r="A225" s="658"/>
      <c r="E225" s="570" t="s">
        <v>1332</v>
      </c>
      <c r="F225" s="658" t="s">
        <v>592</v>
      </c>
      <c r="G225" s="719">
        <v>14.766116777832053</v>
      </c>
      <c r="H225" s="719">
        <v>20.615106084027683</v>
      </c>
      <c r="I225" s="719">
        <v>3.2282463169838524</v>
      </c>
      <c r="J225" s="719">
        <v>3.2246825831624077</v>
      </c>
      <c r="K225" s="719">
        <v>149.13577183230689</v>
      </c>
      <c r="L225" s="719"/>
      <c r="M225" s="719"/>
      <c r="N225" s="719">
        <v>4.1669041703266858</v>
      </c>
      <c r="O225" s="719"/>
      <c r="P225" s="716">
        <v>43.517974931572823</v>
      </c>
      <c r="Q225" s="716"/>
      <c r="R225" s="716"/>
      <c r="S225" s="667">
        <v>0</v>
      </c>
      <c r="T225" s="667">
        <v>0</v>
      </c>
      <c r="U225" s="667">
        <v>0</v>
      </c>
      <c r="V225" s="667">
        <v>0</v>
      </c>
      <c r="W225" s="667">
        <v>89.2</v>
      </c>
      <c r="X225" s="667">
        <v>11.98</v>
      </c>
      <c r="Y225" s="667">
        <v>0</v>
      </c>
      <c r="Z225" s="667">
        <v>0</v>
      </c>
      <c r="AA225" s="667">
        <v>45</v>
      </c>
      <c r="AB225" s="667">
        <v>479.4</v>
      </c>
      <c r="AC225" s="667">
        <v>0</v>
      </c>
      <c r="AD225" s="667">
        <v>0</v>
      </c>
      <c r="AE225" s="667">
        <v>84</v>
      </c>
      <c r="AF225" s="667">
        <v>-79</v>
      </c>
      <c r="AG225" s="667">
        <v>45</v>
      </c>
      <c r="AH225" s="718"/>
      <c r="AI225" s="718"/>
      <c r="AJ225" s="718"/>
      <c r="AK225" s="718"/>
      <c r="AL225" s="718"/>
      <c r="AM225" s="718"/>
      <c r="AN225" s="718"/>
      <c r="AO225" s="718"/>
      <c r="AP225" s="718"/>
      <c r="AQ225" s="718"/>
      <c r="AR225" s="718"/>
      <c r="AS225" s="718"/>
      <c r="AT225" s="718"/>
      <c r="AU225" s="718"/>
      <c r="AV225" s="718"/>
      <c r="AW225" s="718"/>
      <c r="AX225" s="718"/>
      <c r="AY225" s="718"/>
      <c r="AZ225" s="718"/>
      <c r="BA225" s="718"/>
      <c r="BB225" s="718"/>
      <c r="BC225" s="718"/>
      <c r="BD225" s="718"/>
      <c r="BE225" s="718"/>
      <c r="BF225" s="718"/>
      <c r="BG225" s="718"/>
      <c r="BH225" s="718"/>
      <c r="BI225" s="718"/>
      <c r="BJ225" s="718"/>
      <c r="BK225" s="718"/>
      <c r="BL225" s="718"/>
      <c r="BM225" s="718"/>
      <c r="BN225" s="718"/>
      <c r="BO225" s="718"/>
      <c r="BP225" s="718"/>
      <c r="BQ225" s="718"/>
      <c r="BR225" s="718"/>
      <c r="BS225" s="718"/>
      <c r="BT225" s="718"/>
      <c r="BU225" s="718"/>
      <c r="BV225" s="718"/>
      <c r="BW225" s="718"/>
      <c r="BX225" s="718"/>
      <c r="BY225" s="718"/>
      <c r="BZ225" s="718"/>
      <c r="CA225" s="718"/>
    </row>
    <row r="226" spans="1:79" hidden="1" outlineLevel="1" x14ac:dyDescent="0.25">
      <c r="A226" s="655"/>
      <c r="B226" s="570"/>
      <c r="C226" s="570"/>
      <c r="D226" s="570"/>
      <c r="E226" s="570" t="s">
        <v>1333</v>
      </c>
      <c r="F226" s="655" t="s">
        <v>876</v>
      </c>
      <c r="G226" s="719"/>
      <c r="H226" s="719"/>
      <c r="I226" s="719"/>
      <c r="J226" s="719"/>
      <c r="K226" s="719"/>
      <c r="L226" s="719"/>
      <c r="M226" s="719"/>
      <c r="N226" s="719"/>
      <c r="O226" s="719"/>
      <c r="P226" s="716"/>
      <c r="Q226" s="716"/>
      <c r="R226" s="716"/>
      <c r="S226" s="667">
        <v>0</v>
      </c>
      <c r="T226" s="667">
        <v>0</v>
      </c>
      <c r="U226" s="667">
        <v>0</v>
      </c>
      <c r="V226" s="667">
        <v>0</v>
      </c>
      <c r="W226" s="667">
        <v>0</v>
      </c>
      <c r="X226" s="667">
        <v>0</v>
      </c>
      <c r="Y226" s="667">
        <v>0</v>
      </c>
      <c r="Z226" s="667">
        <v>0</v>
      </c>
      <c r="AA226" s="667">
        <v>0</v>
      </c>
      <c r="AB226" s="667">
        <v>0</v>
      </c>
      <c r="AC226" s="667">
        <v>0</v>
      </c>
      <c r="AD226" s="667">
        <v>0</v>
      </c>
      <c r="AE226" s="667">
        <v>0</v>
      </c>
      <c r="AF226" s="667">
        <v>0</v>
      </c>
      <c r="AG226" s="667">
        <v>0</v>
      </c>
      <c r="AH226" s="718"/>
      <c r="AI226" s="718"/>
      <c r="AJ226" s="718"/>
      <c r="AK226" s="718"/>
      <c r="AL226" s="718"/>
      <c r="AM226" s="718"/>
      <c r="AN226" s="718"/>
      <c r="AO226" s="718"/>
      <c r="AP226" s="718"/>
      <c r="AQ226" s="718"/>
      <c r="AR226" s="718"/>
      <c r="AS226" s="718"/>
      <c r="AT226" s="718"/>
      <c r="AU226" s="718"/>
      <c r="AV226" s="718"/>
      <c r="AW226" s="718"/>
      <c r="AX226" s="718"/>
      <c r="AY226" s="718"/>
      <c r="AZ226" s="718"/>
      <c r="BA226" s="718"/>
      <c r="BB226" s="718"/>
      <c r="BC226" s="718"/>
      <c r="BD226" s="718"/>
      <c r="BE226" s="718"/>
      <c r="BF226" s="718"/>
      <c r="BG226" s="718"/>
      <c r="BH226" s="718"/>
      <c r="BI226" s="718"/>
      <c r="BJ226" s="718"/>
      <c r="BK226" s="718"/>
      <c r="BL226" s="718"/>
      <c r="BM226" s="718"/>
      <c r="BN226" s="718"/>
      <c r="BO226" s="718"/>
      <c r="BP226" s="718"/>
      <c r="BQ226" s="718"/>
      <c r="BR226" s="718"/>
      <c r="BS226" s="718"/>
      <c r="BT226" s="718"/>
      <c r="BU226" s="718"/>
      <c r="BV226" s="718"/>
      <c r="BW226" s="718"/>
      <c r="BX226" s="718"/>
      <c r="BY226" s="718"/>
      <c r="BZ226" s="718"/>
      <c r="CA226" s="718"/>
    </row>
    <row r="227" spans="1:79" hidden="1" outlineLevel="1" x14ac:dyDescent="0.25">
      <c r="A227" s="701"/>
      <c r="B227" s="693"/>
      <c r="C227" s="693"/>
      <c r="D227" s="693"/>
      <c r="E227" s="570" t="s">
        <v>657</v>
      </c>
      <c r="F227" s="701" t="s">
        <v>761</v>
      </c>
      <c r="G227" s="733"/>
      <c r="H227" s="733"/>
      <c r="I227" s="733"/>
      <c r="J227" s="733"/>
      <c r="K227" s="733"/>
      <c r="L227" s="733"/>
      <c r="M227" s="733"/>
      <c r="N227" s="733"/>
      <c r="O227" s="733"/>
      <c r="P227" s="734"/>
      <c r="Q227" s="734"/>
      <c r="R227" s="734"/>
      <c r="S227" s="704"/>
      <c r="T227" s="704"/>
      <c r="U227" s="704"/>
      <c r="V227" s="704"/>
      <c r="W227" s="704"/>
      <c r="X227" s="704"/>
      <c r="Y227" s="704"/>
      <c r="Z227" s="704"/>
      <c r="AA227" s="704"/>
      <c r="AB227" s="704"/>
      <c r="AC227" s="704"/>
      <c r="AD227" s="704"/>
      <c r="AE227" s="704"/>
      <c r="AF227" s="704"/>
      <c r="AG227" s="704"/>
      <c r="AH227" s="736"/>
      <c r="AI227" s="736"/>
      <c r="AJ227" s="736"/>
      <c r="AK227" s="736"/>
      <c r="AL227" s="736"/>
      <c r="AM227" s="736"/>
      <c r="AN227" s="736"/>
      <c r="AO227" s="736"/>
      <c r="AP227" s="736"/>
      <c r="AQ227" s="736"/>
      <c r="AR227" s="736"/>
      <c r="AS227" s="736"/>
      <c r="AT227" s="736"/>
      <c r="AU227" s="736"/>
      <c r="AV227" s="736"/>
      <c r="AW227" s="736"/>
      <c r="AX227" s="736"/>
      <c r="AY227" s="736"/>
      <c r="AZ227" s="736"/>
      <c r="BA227" s="736"/>
      <c r="BB227" s="736"/>
      <c r="BC227" s="736"/>
      <c r="BD227" s="736"/>
      <c r="BE227" s="736"/>
      <c r="BF227" s="736"/>
      <c r="BG227" s="736"/>
      <c r="BH227" s="736"/>
      <c r="BI227" s="736"/>
      <c r="BJ227" s="736"/>
      <c r="BK227" s="736"/>
      <c r="BL227" s="736"/>
      <c r="BM227" s="736"/>
      <c r="BN227" s="736"/>
      <c r="BO227" s="736"/>
      <c r="BP227" s="736"/>
      <c r="BQ227" s="736"/>
      <c r="BR227" s="736"/>
      <c r="BS227" s="736"/>
      <c r="BT227" s="736"/>
      <c r="BU227" s="736"/>
      <c r="BV227" s="736"/>
      <c r="BW227" s="736"/>
      <c r="BX227" s="736"/>
      <c r="BY227" s="736"/>
      <c r="BZ227" s="736"/>
      <c r="CA227" s="736"/>
    </row>
    <row r="228" spans="1:79" hidden="1" outlineLevel="1" x14ac:dyDescent="0.25">
      <c r="A228" s="656"/>
      <c r="B228" s="570"/>
      <c r="C228" s="570"/>
      <c r="D228" s="570"/>
      <c r="E228" s="570" t="s">
        <v>20</v>
      </c>
      <c r="F228" s="656" t="s">
        <v>877</v>
      </c>
      <c r="G228" s="719"/>
      <c r="H228" s="719"/>
      <c r="I228" s="719"/>
      <c r="J228" s="719"/>
      <c r="K228" s="719"/>
      <c r="L228" s="719"/>
      <c r="M228" s="719"/>
      <c r="N228" s="719"/>
      <c r="O228" s="719"/>
      <c r="P228" s="716"/>
      <c r="Q228" s="716"/>
      <c r="R228" s="716"/>
      <c r="S228" s="667">
        <v>0</v>
      </c>
      <c r="T228" s="667">
        <v>0</v>
      </c>
      <c r="U228" s="667">
        <v>0</v>
      </c>
      <c r="V228" s="667">
        <v>0</v>
      </c>
      <c r="W228" s="667">
        <v>0</v>
      </c>
      <c r="X228" s="667">
        <v>0</v>
      </c>
      <c r="Y228" s="667">
        <v>0</v>
      </c>
      <c r="Z228" s="667">
        <v>0</v>
      </c>
      <c r="AA228" s="667">
        <v>0</v>
      </c>
      <c r="AB228" s="667">
        <v>0</v>
      </c>
      <c r="AC228" s="667">
        <v>0</v>
      </c>
      <c r="AD228" s="667">
        <v>0</v>
      </c>
      <c r="AE228" s="667">
        <v>0</v>
      </c>
      <c r="AF228" s="667">
        <v>0</v>
      </c>
      <c r="AG228" s="667">
        <v>0</v>
      </c>
      <c r="AH228" s="718"/>
      <c r="AI228" s="718"/>
      <c r="AJ228" s="718"/>
      <c r="AK228" s="718"/>
      <c r="AL228" s="718"/>
      <c r="AM228" s="718"/>
      <c r="AN228" s="718"/>
      <c r="AO228" s="718"/>
      <c r="AP228" s="718"/>
      <c r="AQ228" s="718"/>
      <c r="AR228" s="718"/>
      <c r="AS228" s="718"/>
      <c r="AT228" s="718"/>
      <c r="AU228" s="718"/>
      <c r="AV228" s="718"/>
      <c r="AW228" s="718"/>
      <c r="AX228" s="718"/>
      <c r="AY228" s="718"/>
      <c r="AZ228" s="718"/>
      <c r="BA228" s="718"/>
      <c r="BB228" s="718"/>
      <c r="BC228" s="718"/>
      <c r="BD228" s="718"/>
      <c r="BE228" s="718"/>
      <c r="BF228" s="718"/>
      <c r="BG228" s="718"/>
      <c r="BH228" s="718"/>
      <c r="BI228" s="718"/>
      <c r="BJ228" s="718"/>
      <c r="BK228" s="718"/>
      <c r="BL228" s="718"/>
      <c r="BM228" s="718"/>
      <c r="BN228" s="718"/>
      <c r="BO228" s="718"/>
      <c r="BP228" s="718"/>
      <c r="BQ228" s="718"/>
      <c r="BR228" s="718"/>
      <c r="BS228" s="718"/>
      <c r="BT228" s="718"/>
      <c r="BU228" s="718"/>
      <c r="BV228" s="718"/>
      <c r="BW228" s="718"/>
      <c r="BX228" s="718"/>
      <c r="BY228" s="718"/>
      <c r="BZ228" s="718"/>
      <c r="CA228" s="718"/>
    </row>
    <row r="229" spans="1:79" hidden="1" outlineLevel="1" x14ac:dyDescent="0.25">
      <c r="A229" s="656"/>
      <c r="B229" s="570"/>
      <c r="C229" s="570"/>
      <c r="D229" s="570"/>
      <c r="E229" s="570" t="s">
        <v>20</v>
      </c>
      <c r="F229" s="656" t="s">
        <v>878</v>
      </c>
      <c r="G229" s="719"/>
      <c r="H229" s="719"/>
      <c r="I229" s="719"/>
      <c r="J229" s="719"/>
      <c r="K229" s="719"/>
      <c r="L229" s="719"/>
      <c r="M229" s="719"/>
      <c r="N229" s="719"/>
      <c r="O229" s="719"/>
      <c r="P229" s="716"/>
      <c r="Q229" s="716"/>
      <c r="R229" s="716"/>
      <c r="S229" s="667">
        <v>0</v>
      </c>
      <c r="T229" s="667">
        <v>0</v>
      </c>
      <c r="U229" s="667">
        <v>0</v>
      </c>
      <c r="V229" s="667">
        <v>0</v>
      </c>
      <c r="W229" s="667">
        <v>0</v>
      </c>
      <c r="X229" s="667">
        <v>0</v>
      </c>
      <c r="Y229" s="667">
        <v>0</v>
      </c>
      <c r="Z229" s="667">
        <v>0</v>
      </c>
      <c r="AA229" s="667">
        <v>0</v>
      </c>
      <c r="AB229" s="667">
        <v>0</v>
      </c>
      <c r="AC229" s="667">
        <v>0</v>
      </c>
      <c r="AD229" s="667">
        <v>0</v>
      </c>
      <c r="AE229" s="667">
        <v>0</v>
      </c>
      <c r="AF229" s="667">
        <v>0</v>
      </c>
      <c r="AG229" s="667">
        <v>0</v>
      </c>
      <c r="AH229" s="718"/>
      <c r="AI229" s="718"/>
      <c r="AJ229" s="718"/>
      <c r="AK229" s="718"/>
      <c r="AL229" s="718"/>
      <c r="AM229" s="718"/>
      <c r="AN229" s="718"/>
      <c r="AO229" s="718"/>
      <c r="AP229" s="718"/>
      <c r="AQ229" s="718"/>
      <c r="AR229" s="718"/>
      <c r="AS229" s="718"/>
      <c r="AT229" s="718"/>
      <c r="AU229" s="718"/>
      <c r="AV229" s="718"/>
      <c r="AW229" s="718"/>
      <c r="AX229" s="718"/>
      <c r="AY229" s="718"/>
      <c r="AZ229" s="718"/>
      <c r="BA229" s="718"/>
      <c r="BB229" s="718"/>
      <c r="BC229" s="718"/>
      <c r="BD229" s="718"/>
      <c r="BE229" s="718"/>
      <c r="BF229" s="718"/>
      <c r="BG229" s="718"/>
      <c r="BH229" s="718"/>
      <c r="BI229" s="718"/>
      <c r="BJ229" s="718"/>
      <c r="BK229" s="718"/>
      <c r="BL229" s="718"/>
      <c r="BM229" s="718"/>
      <c r="BN229" s="718"/>
      <c r="BO229" s="718"/>
      <c r="BP229" s="718"/>
      <c r="BQ229" s="718"/>
      <c r="BR229" s="718"/>
      <c r="BS229" s="718"/>
      <c r="BT229" s="718"/>
      <c r="BU229" s="718"/>
      <c r="BV229" s="718"/>
      <c r="BW229" s="718"/>
      <c r="BX229" s="718"/>
      <c r="BY229" s="718"/>
      <c r="BZ229" s="718"/>
      <c r="CA229" s="718"/>
    </row>
    <row r="230" spans="1:79" hidden="1" outlineLevel="1" x14ac:dyDescent="0.25">
      <c r="A230" s="656"/>
      <c r="B230" s="570"/>
      <c r="C230" s="570"/>
      <c r="D230" s="570"/>
      <c r="E230" s="570" t="s">
        <v>1334</v>
      </c>
      <c r="F230" s="656" t="s">
        <v>879</v>
      </c>
      <c r="G230" s="719"/>
      <c r="H230" s="719"/>
      <c r="I230" s="719"/>
      <c r="J230" s="719"/>
      <c r="K230" s="719"/>
      <c r="L230" s="719"/>
      <c r="M230" s="719"/>
      <c r="N230" s="719"/>
      <c r="O230" s="719"/>
      <c r="P230" s="716"/>
      <c r="Q230" s="716"/>
      <c r="R230" s="716"/>
      <c r="S230" s="667">
        <v>0</v>
      </c>
      <c r="T230" s="667">
        <v>0</v>
      </c>
      <c r="U230" s="667">
        <v>0</v>
      </c>
      <c r="V230" s="667">
        <v>0</v>
      </c>
      <c r="W230" s="667">
        <v>0</v>
      </c>
      <c r="X230" s="667">
        <v>0</v>
      </c>
      <c r="Y230" s="667">
        <v>0</v>
      </c>
      <c r="Z230" s="667">
        <v>0</v>
      </c>
      <c r="AA230" s="667">
        <v>0</v>
      </c>
      <c r="AB230" s="667">
        <v>0</v>
      </c>
      <c r="AC230" s="667">
        <v>0</v>
      </c>
      <c r="AD230" s="667">
        <v>0</v>
      </c>
      <c r="AE230" s="667">
        <v>0</v>
      </c>
      <c r="AF230" s="667">
        <v>0</v>
      </c>
      <c r="AG230" s="667">
        <v>0</v>
      </c>
      <c r="AH230" s="718"/>
      <c r="AI230" s="718"/>
      <c r="AJ230" s="718"/>
      <c r="AK230" s="718"/>
      <c r="AL230" s="718"/>
      <c r="AM230" s="718"/>
      <c r="AN230" s="718"/>
      <c r="AO230" s="718"/>
      <c r="AP230" s="718"/>
      <c r="AQ230" s="718"/>
      <c r="AR230" s="718"/>
      <c r="AS230" s="718"/>
      <c r="AT230" s="718"/>
      <c r="AU230" s="718"/>
      <c r="AV230" s="718"/>
      <c r="AW230" s="718"/>
      <c r="AX230" s="718"/>
      <c r="AY230" s="718"/>
      <c r="AZ230" s="718"/>
      <c r="BA230" s="718"/>
      <c r="BB230" s="718"/>
      <c r="BC230" s="718"/>
      <c r="BD230" s="718"/>
      <c r="BE230" s="718"/>
      <c r="BF230" s="718"/>
      <c r="BG230" s="718"/>
      <c r="BH230" s="718"/>
      <c r="BI230" s="718"/>
      <c r="BJ230" s="718"/>
      <c r="BK230" s="718"/>
      <c r="BL230" s="718"/>
      <c r="BM230" s="718"/>
      <c r="BN230" s="718"/>
      <c r="BO230" s="718"/>
      <c r="BP230" s="718"/>
      <c r="BQ230" s="718"/>
      <c r="BR230" s="718"/>
      <c r="BS230" s="718"/>
      <c r="BT230" s="718"/>
      <c r="BU230" s="718"/>
      <c r="BV230" s="718"/>
      <c r="BW230" s="718"/>
      <c r="BX230" s="718"/>
      <c r="BY230" s="718"/>
      <c r="BZ230" s="718"/>
      <c r="CA230" s="718"/>
    </row>
    <row r="231" spans="1:79" hidden="1" outlineLevel="1" x14ac:dyDescent="0.25">
      <c r="A231" s="656"/>
      <c r="B231" s="570"/>
      <c r="C231" s="570"/>
      <c r="D231" s="570"/>
      <c r="E231" s="570" t="s">
        <v>1334</v>
      </c>
      <c r="F231" s="656" t="s">
        <v>660</v>
      </c>
      <c r="G231" s="719"/>
      <c r="H231" s="719"/>
      <c r="I231" s="719"/>
      <c r="J231" s="719"/>
      <c r="K231" s="719"/>
      <c r="L231" s="719"/>
      <c r="M231" s="719"/>
      <c r="N231" s="719"/>
      <c r="O231" s="719"/>
      <c r="P231" s="716"/>
      <c r="Q231" s="716"/>
      <c r="R231" s="716"/>
      <c r="S231" s="667">
        <v>0</v>
      </c>
      <c r="T231" s="667">
        <v>0</v>
      </c>
      <c r="U231" s="667">
        <v>0</v>
      </c>
      <c r="V231" s="667">
        <v>0</v>
      </c>
      <c r="W231" s="667">
        <v>0</v>
      </c>
      <c r="X231" s="667">
        <v>0</v>
      </c>
      <c r="Y231" s="667">
        <v>0</v>
      </c>
      <c r="Z231" s="667">
        <v>0</v>
      </c>
      <c r="AA231" s="667">
        <v>0</v>
      </c>
      <c r="AB231" s="667">
        <v>0</v>
      </c>
      <c r="AC231" s="667">
        <v>0</v>
      </c>
      <c r="AD231" s="667">
        <v>0</v>
      </c>
      <c r="AE231" s="667">
        <v>0</v>
      </c>
      <c r="AF231" s="667">
        <v>0</v>
      </c>
      <c r="AG231" s="667">
        <v>0</v>
      </c>
      <c r="AH231" s="718"/>
      <c r="AI231" s="718"/>
      <c r="AJ231" s="718"/>
      <c r="AK231" s="718"/>
      <c r="AL231" s="718"/>
      <c r="AM231" s="718"/>
      <c r="AN231" s="718"/>
      <c r="AO231" s="718"/>
      <c r="AP231" s="718"/>
      <c r="AQ231" s="718"/>
      <c r="AR231" s="718"/>
      <c r="AS231" s="718"/>
      <c r="AT231" s="718"/>
      <c r="AU231" s="718"/>
      <c r="AV231" s="718"/>
      <c r="AW231" s="718"/>
      <c r="AX231" s="718"/>
      <c r="AY231" s="718"/>
      <c r="AZ231" s="718"/>
      <c r="BA231" s="718"/>
      <c r="BB231" s="718"/>
      <c r="BC231" s="718"/>
      <c r="BD231" s="718"/>
      <c r="BE231" s="718"/>
      <c r="BF231" s="718"/>
      <c r="BG231" s="718"/>
      <c r="BH231" s="718"/>
      <c r="BI231" s="718"/>
      <c r="BJ231" s="718"/>
      <c r="BK231" s="718"/>
      <c r="BL231" s="718"/>
      <c r="BM231" s="718"/>
      <c r="BN231" s="718"/>
      <c r="BO231" s="718"/>
      <c r="BP231" s="718"/>
      <c r="BQ231" s="718"/>
      <c r="BR231" s="718"/>
      <c r="BS231" s="718"/>
      <c r="BT231" s="718"/>
      <c r="BU231" s="718"/>
      <c r="BV231" s="718"/>
      <c r="BW231" s="718"/>
      <c r="BX231" s="718"/>
      <c r="BY231" s="718"/>
      <c r="BZ231" s="718"/>
      <c r="CA231" s="718"/>
    </row>
    <row r="232" spans="1:79" hidden="1" outlineLevel="1" x14ac:dyDescent="0.25">
      <c r="A232" s="656"/>
      <c r="B232" s="570"/>
      <c r="C232" s="570"/>
      <c r="D232" s="570"/>
      <c r="E232" s="570" t="s">
        <v>20</v>
      </c>
      <c r="F232" s="656" t="s">
        <v>661</v>
      </c>
      <c r="G232" s="719"/>
      <c r="H232" s="719"/>
      <c r="I232" s="719"/>
      <c r="J232" s="719"/>
      <c r="K232" s="719"/>
      <c r="L232" s="719"/>
      <c r="M232" s="719"/>
      <c r="N232" s="719"/>
      <c r="O232" s="719"/>
      <c r="P232" s="716"/>
      <c r="Q232" s="716"/>
      <c r="R232" s="716"/>
      <c r="S232" s="667">
        <v>0</v>
      </c>
      <c r="T232" s="667">
        <v>0</v>
      </c>
      <c r="U232" s="667">
        <v>0</v>
      </c>
      <c r="V232" s="667">
        <v>0</v>
      </c>
      <c r="W232" s="667">
        <v>0</v>
      </c>
      <c r="X232" s="667">
        <v>0</v>
      </c>
      <c r="Y232" s="667">
        <v>0</v>
      </c>
      <c r="Z232" s="667">
        <v>0</v>
      </c>
      <c r="AA232" s="667">
        <v>0</v>
      </c>
      <c r="AB232" s="667">
        <v>0</v>
      </c>
      <c r="AC232" s="667">
        <v>0</v>
      </c>
      <c r="AD232" s="667">
        <v>0</v>
      </c>
      <c r="AE232" s="667">
        <v>0</v>
      </c>
      <c r="AF232" s="667">
        <v>0</v>
      </c>
      <c r="AG232" s="667">
        <v>0</v>
      </c>
      <c r="AH232" s="718"/>
      <c r="AI232" s="718"/>
      <c r="AJ232" s="718"/>
      <c r="AK232" s="718"/>
      <c r="AL232" s="718"/>
      <c r="AM232" s="718"/>
      <c r="AN232" s="718"/>
      <c r="AO232" s="718"/>
      <c r="AP232" s="718"/>
      <c r="AQ232" s="718"/>
      <c r="AR232" s="718"/>
      <c r="AS232" s="718"/>
      <c r="AT232" s="718"/>
      <c r="AU232" s="718"/>
      <c r="AV232" s="718"/>
      <c r="AW232" s="718"/>
      <c r="AX232" s="718"/>
      <c r="AY232" s="718"/>
      <c r="AZ232" s="718"/>
      <c r="BA232" s="718"/>
      <c r="BB232" s="718"/>
      <c r="BC232" s="718"/>
      <c r="BD232" s="718"/>
      <c r="BE232" s="718"/>
      <c r="BF232" s="718"/>
      <c r="BG232" s="718"/>
      <c r="BH232" s="718"/>
      <c r="BI232" s="718"/>
      <c r="BJ232" s="718"/>
      <c r="BK232" s="718"/>
      <c r="BL232" s="718"/>
      <c r="BM232" s="718"/>
      <c r="BN232" s="718"/>
      <c r="BO232" s="718"/>
      <c r="BP232" s="718"/>
      <c r="BQ232" s="718"/>
      <c r="BR232" s="718"/>
      <c r="BS232" s="718"/>
      <c r="BT232" s="718"/>
      <c r="BU232" s="718"/>
      <c r="BV232" s="718"/>
      <c r="BW232" s="718"/>
      <c r="BX232" s="718"/>
      <c r="BY232" s="718"/>
      <c r="BZ232" s="718"/>
      <c r="CA232" s="718"/>
    </row>
    <row r="233" spans="1:79" hidden="1" outlineLevel="1" x14ac:dyDescent="0.25">
      <c r="A233" s="656"/>
      <c r="B233" s="570"/>
      <c r="C233" s="570"/>
      <c r="D233" s="570"/>
      <c r="E233" s="570" t="s">
        <v>1334</v>
      </c>
      <c r="F233" s="656" t="s">
        <v>880</v>
      </c>
      <c r="G233" s="719"/>
      <c r="H233" s="719"/>
      <c r="I233" s="719"/>
      <c r="J233" s="719"/>
      <c r="K233" s="719"/>
      <c r="L233" s="719"/>
      <c r="M233" s="719"/>
      <c r="N233" s="719"/>
      <c r="O233" s="719"/>
      <c r="P233" s="716"/>
      <c r="Q233" s="716"/>
      <c r="R233" s="716"/>
      <c r="S233" s="667">
        <v>0</v>
      </c>
      <c r="T233" s="667">
        <v>0</v>
      </c>
      <c r="U233" s="667">
        <v>0</v>
      </c>
      <c r="V233" s="667">
        <v>0</v>
      </c>
      <c r="W233" s="667">
        <v>0</v>
      </c>
      <c r="X233" s="667">
        <v>0</v>
      </c>
      <c r="Y233" s="667">
        <v>0</v>
      </c>
      <c r="Z233" s="667">
        <v>0</v>
      </c>
      <c r="AA233" s="667">
        <v>0</v>
      </c>
      <c r="AB233" s="667">
        <v>0</v>
      </c>
      <c r="AC233" s="667">
        <v>0</v>
      </c>
      <c r="AD233" s="667">
        <v>0</v>
      </c>
      <c r="AE233" s="667">
        <v>0</v>
      </c>
      <c r="AF233" s="667">
        <v>0</v>
      </c>
      <c r="AG233" s="667">
        <v>0</v>
      </c>
      <c r="AH233" s="718"/>
      <c r="AI233" s="718"/>
      <c r="AJ233" s="718"/>
      <c r="AK233" s="718"/>
      <c r="AL233" s="718"/>
      <c r="AM233" s="718"/>
      <c r="AN233" s="718"/>
      <c r="AO233" s="718"/>
      <c r="AP233" s="718"/>
      <c r="AQ233" s="718"/>
      <c r="AR233" s="718"/>
      <c r="AS233" s="718"/>
      <c r="AT233" s="718"/>
      <c r="AU233" s="718"/>
      <c r="AV233" s="718"/>
      <c r="AW233" s="718"/>
      <c r="AX233" s="718"/>
      <c r="AY233" s="718"/>
      <c r="AZ233" s="718"/>
      <c r="BA233" s="718"/>
      <c r="BB233" s="718"/>
      <c r="BC233" s="718"/>
      <c r="BD233" s="718"/>
      <c r="BE233" s="718"/>
      <c r="BF233" s="718"/>
      <c r="BG233" s="718"/>
      <c r="BH233" s="718"/>
      <c r="BI233" s="718"/>
      <c r="BJ233" s="718"/>
      <c r="BK233" s="718"/>
      <c r="BL233" s="718"/>
      <c r="BM233" s="718"/>
      <c r="BN233" s="718"/>
      <c r="BO233" s="718"/>
      <c r="BP233" s="718"/>
      <c r="BQ233" s="718"/>
      <c r="BR233" s="718"/>
      <c r="BS233" s="718"/>
      <c r="BT233" s="718"/>
      <c r="BU233" s="718"/>
      <c r="BV233" s="718"/>
      <c r="BW233" s="718"/>
      <c r="BX233" s="718"/>
      <c r="BY233" s="718"/>
      <c r="BZ233" s="718"/>
      <c r="CA233" s="718"/>
    </row>
    <row r="234" spans="1:79" hidden="1" outlineLevel="1" x14ac:dyDescent="0.25">
      <c r="A234" s="656"/>
      <c r="B234" s="570"/>
      <c r="C234" s="570"/>
      <c r="D234" s="570"/>
      <c r="E234" s="570" t="s">
        <v>1335</v>
      </c>
      <c r="F234" s="656" t="s">
        <v>662</v>
      </c>
      <c r="G234" s="719"/>
      <c r="H234" s="719"/>
      <c r="I234" s="719"/>
      <c r="J234" s="719"/>
      <c r="K234" s="719"/>
      <c r="L234" s="719"/>
      <c r="M234" s="719"/>
      <c r="N234" s="719"/>
      <c r="O234" s="719"/>
      <c r="P234" s="716"/>
      <c r="Q234" s="716"/>
      <c r="R234" s="716"/>
      <c r="S234" s="667">
        <v>0</v>
      </c>
      <c r="T234" s="667">
        <v>0</v>
      </c>
      <c r="U234" s="667">
        <v>0</v>
      </c>
      <c r="V234" s="667">
        <v>0</v>
      </c>
      <c r="W234" s="667">
        <v>0</v>
      </c>
      <c r="X234" s="667">
        <v>0</v>
      </c>
      <c r="Y234" s="667">
        <v>0</v>
      </c>
      <c r="Z234" s="667">
        <v>0</v>
      </c>
      <c r="AA234" s="667">
        <v>0</v>
      </c>
      <c r="AB234" s="667">
        <v>0</v>
      </c>
      <c r="AC234" s="667">
        <v>0</v>
      </c>
      <c r="AD234" s="667">
        <v>0</v>
      </c>
      <c r="AE234" s="667">
        <v>0</v>
      </c>
      <c r="AF234" s="667">
        <v>0</v>
      </c>
      <c r="AG234" s="667">
        <v>0</v>
      </c>
      <c r="AH234" s="718"/>
      <c r="AI234" s="718"/>
      <c r="AJ234" s="718"/>
      <c r="AK234" s="718"/>
      <c r="AL234" s="718"/>
      <c r="AM234" s="718"/>
      <c r="AN234" s="718"/>
      <c r="AO234" s="718"/>
      <c r="AP234" s="718"/>
      <c r="AQ234" s="718"/>
      <c r="AR234" s="718"/>
      <c r="AS234" s="718"/>
      <c r="AT234" s="718"/>
      <c r="AU234" s="718"/>
      <c r="AV234" s="718"/>
      <c r="AW234" s="718"/>
      <c r="AX234" s="718"/>
      <c r="AY234" s="718"/>
      <c r="AZ234" s="718"/>
      <c r="BA234" s="718"/>
      <c r="BB234" s="718"/>
      <c r="BC234" s="718"/>
      <c r="BD234" s="718"/>
      <c r="BE234" s="718"/>
      <c r="BF234" s="718"/>
      <c r="BG234" s="718"/>
      <c r="BH234" s="718"/>
      <c r="BI234" s="718"/>
      <c r="BJ234" s="718"/>
      <c r="BK234" s="718"/>
      <c r="BL234" s="718"/>
      <c r="BM234" s="718"/>
      <c r="BN234" s="718"/>
      <c r="BO234" s="718"/>
      <c r="BP234" s="718"/>
      <c r="BQ234" s="718"/>
      <c r="BR234" s="718"/>
      <c r="BS234" s="718"/>
      <c r="BT234" s="718"/>
      <c r="BU234" s="718"/>
      <c r="BV234" s="718"/>
      <c r="BW234" s="718"/>
      <c r="BX234" s="718"/>
      <c r="BY234" s="718"/>
      <c r="BZ234" s="718"/>
      <c r="CA234" s="718"/>
    </row>
    <row r="235" spans="1:79" hidden="1" outlineLevel="1" x14ac:dyDescent="0.25">
      <c r="A235" s="660"/>
      <c r="B235" s="570"/>
      <c r="C235" s="570"/>
      <c r="D235" s="570"/>
      <c r="E235" s="570" t="s">
        <v>1334</v>
      </c>
      <c r="F235" s="660" t="s">
        <v>663</v>
      </c>
      <c r="G235" s="719"/>
      <c r="H235" s="719"/>
      <c r="I235" s="719"/>
      <c r="J235" s="719"/>
      <c r="K235" s="719"/>
      <c r="L235" s="719"/>
      <c r="M235" s="719"/>
      <c r="N235" s="719"/>
      <c r="O235" s="719"/>
      <c r="P235" s="719"/>
      <c r="Q235" s="719"/>
      <c r="R235" s="719"/>
      <c r="S235" s="667">
        <v>0</v>
      </c>
      <c r="T235" s="667">
        <v>0</v>
      </c>
      <c r="U235" s="667">
        <v>0</v>
      </c>
      <c r="V235" s="667">
        <v>0</v>
      </c>
      <c r="W235" s="667">
        <v>0</v>
      </c>
      <c r="X235" s="667">
        <v>0</v>
      </c>
      <c r="Y235" s="667">
        <v>0</v>
      </c>
      <c r="Z235" s="667">
        <v>54.59</v>
      </c>
      <c r="AA235" s="667">
        <v>69.41</v>
      </c>
      <c r="AB235" s="667">
        <v>78.61</v>
      </c>
      <c r="AC235" s="667">
        <v>73.16</v>
      </c>
      <c r="AD235" s="667">
        <v>0</v>
      </c>
      <c r="AE235" s="667">
        <v>23.83</v>
      </c>
      <c r="AF235" s="667">
        <v>95.32</v>
      </c>
      <c r="AG235" s="667">
        <v>100.09</v>
      </c>
      <c r="AH235" s="718"/>
      <c r="AI235" s="718"/>
      <c r="AJ235" s="718"/>
      <c r="AK235" s="718"/>
      <c r="AL235" s="718"/>
      <c r="AM235" s="718"/>
      <c r="AN235" s="718"/>
      <c r="AO235" s="718"/>
      <c r="AP235" s="718"/>
      <c r="AQ235" s="718"/>
      <c r="AR235" s="718"/>
      <c r="AS235" s="718"/>
      <c r="AT235" s="718"/>
      <c r="AU235" s="718"/>
      <c r="AV235" s="718"/>
      <c r="AW235" s="718"/>
      <c r="AX235" s="718"/>
      <c r="AY235" s="718"/>
      <c r="AZ235" s="718"/>
      <c r="BA235" s="718"/>
      <c r="BB235" s="718"/>
      <c r="BC235" s="718"/>
      <c r="BD235" s="718"/>
      <c r="BE235" s="718"/>
      <c r="BF235" s="718"/>
      <c r="BG235" s="718"/>
      <c r="BH235" s="718"/>
      <c r="BI235" s="718"/>
      <c r="BJ235" s="718"/>
      <c r="BK235" s="718"/>
      <c r="BL235" s="718"/>
      <c r="BM235" s="718"/>
      <c r="BN235" s="718"/>
      <c r="BO235" s="718"/>
      <c r="BP235" s="718"/>
      <c r="BQ235" s="718"/>
      <c r="BR235" s="718"/>
      <c r="BS235" s="718"/>
      <c r="BT235" s="718"/>
      <c r="BU235" s="718"/>
      <c r="BV235" s="718"/>
      <c r="BW235" s="718"/>
      <c r="BX235" s="718"/>
      <c r="BY235" s="718"/>
      <c r="BZ235" s="718"/>
      <c r="CA235" s="718"/>
    </row>
    <row r="236" spans="1:79" hidden="1" outlineLevel="1" x14ac:dyDescent="0.25">
      <c r="A236" s="656"/>
      <c r="B236" s="570"/>
      <c r="C236" s="570"/>
      <c r="D236" s="570"/>
      <c r="E236" s="570" t="s">
        <v>657</v>
      </c>
      <c r="F236" s="656" t="s">
        <v>881</v>
      </c>
      <c r="G236" s="719"/>
      <c r="H236" s="719"/>
      <c r="I236" s="719"/>
      <c r="J236" s="719"/>
      <c r="K236" s="719"/>
      <c r="L236" s="719"/>
      <c r="M236" s="719"/>
      <c r="N236" s="719"/>
      <c r="O236" s="719"/>
      <c r="P236" s="716"/>
      <c r="Q236" s="716"/>
      <c r="R236" s="716"/>
      <c r="S236" s="667">
        <v>0</v>
      </c>
      <c r="T236" s="667">
        <v>0</v>
      </c>
      <c r="U236" s="667">
        <v>0</v>
      </c>
      <c r="V236" s="667">
        <v>0</v>
      </c>
      <c r="W236" s="667">
        <v>0</v>
      </c>
      <c r="X236" s="667">
        <v>0</v>
      </c>
      <c r="Y236" s="667">
        <v>0</v>
      </c>
      <c r="Z236" s="667">
        <v>0</v>
      </c>
      <c r="AA236" s="667">
        <v>0</v>
      </c>
      <c r="AB236" s="667">
        <v>0</v>
      </c>
      <c r="AC236" s="667">
        <v>0</v>
      </c>
      <c r="AD236" s="667">
        <v>0</v>
      </c>
      <c r="AE236" s="667">
        <v>0</v>
      </c>
      <c r="AF236" s="667">
        <v>0</v>
      </c>
      <c r="AG236" s="667">
        <v>0</v>
      </c>
      <c r="AH236" s="718"/>
      <c r="AI236" s="718"/>
      <c r="AJ236" s="718"/>
      <c r="AK236" s="718"/>
      <c r="AL236" s="718"/>
      <c r="AM236" s="718"/>
      <c r="AN236" s="718"/>
      <c r="AO236" s="718"/>
      <c r="AP236" s="718"/>
      <c r="AQ236" s="718"/>
      <c r="AR236" s="718"/>
      <c r="AS236" s="718"/>
      <c r="AT236" s="718"/>
      <c r="AU236" s="718"/>
      <c r="AV236" s="718"/>
      <c r="AW236" s="718"/>
      <c r="AX236" s="718"/>
      <c r="AY236" s="718"/>
      <c r="AZ236" s="718"/>
      <c r="BA236" s="718"/>
      <c r="BB236" s="718"/>
      <c r="BC236" s="718"/>
      <c r="BD236" s="718"/>
      <c r="BE236" s="718"/>
      <c r="BF236" s="718"/>
      <c r="BG236" s="718"/>
      <c r="BH236" s="718"/>
      <c r="BI236" s="718"/>
      <c r="BJ236" s="718"/>
      <c r="BK236" s="718"/>
      <c r="BL236" s="718"/>
      <c r="BM236" s="718"/>
      <c r="BN236" s="718"/>
      <c r="BO236" s="718"/>
      <c r="BP236" s="718"/>
      <c r="BQ236" s="718"/>
      <c r="BR236" s="718"/>
      <c r="BS236" s="718"/>
      <c r="BT236" s="718"/>
      <c r="BU236" s="718"/>
      <c r="BV236" s="718"/>
      <c r="BW236" s="718"/>
      <c r="BX236" s="718"/>
      <c r="BY236" s="718"/>
      <c r="BZ236" s="718"/>
      <c r="CA236" s="718"/>
    </row>
    <row r="237" spans="1:79" hidden="1" outlineLevel="1" x14ac:dyDescent="0.25">
      <c r="A237" s="657"/>
      <c r="B237" s="570"/>
      <c r="C237" s="570"/>
      <c r="D237" s="570"/>
      <c r="E237" s="570" t="s">
        <v>49</v>
      </c>
      <c r="F237" s="657" t="s">
        <v>664</v>
      </c>
      <c r="G237" s="679">
        <f>SUM(G228:G236)</f>
        <v>0</v>
      </c>
      <c r="H237" s="679">
        <f t="shared" ref="H237:BO237" si="75">SUM(H228:H236)</f>
        <v>0</v>
      </c>
      <c r="I237" s="679">
        <f t="shared" si="75"/>
        <v>0</v>
      </c>
      <c r="J237" s="679">
        <f t="shared" si="75"/>
        <v>0</v>
      </c>
      <c r="K237" s="679">
        <f t="shared" si="75"/>
        <v>0</v>
      </c>
      <c r="L237" s="679">
        <f t="shared" si="75"/>
        <v>0</v>
      </c>
      <c r="M237" s="679">
        <f t="shared" si="75"/>
        <v>0</v>
      </c>
      <c r="N237" s="679">
        <f t="shared" si="75"/>
        <v>0</v>
      </c>
      <c r="O237" s="679">
        <f t="shared" si="75"/>
        <v>0</v>
      </c>
      <c r="P237" s="679">
        <f t="shared" si="75"/>
        <v>0</v>
      </c>
      <c r="Q237" s="679">
        <f t="shared" si="75"/>
        <v>0</v>
      </c>
      <c r="R237" s="679">
        <f t="shared" si="75"/>
        <v>0</v>
      </c>
      <c r="S237" s="678">
        <f t="shared" ref="S237:AA237" si="76">ROUND(SUM(S227:S236),5)</f>
        <v>0</v>
      </c>
      <c r="T237" s="678">
        <f t="shared" si="76"/>
        <v>0</v>
      </c>
      <c r="U237" s="678">
        <f t="shared" si="76"/>
        <v>0</v>
      </c>
      <c r="V237" s="678">
        <f t="shared" si="76"/>
        <v>0</v>
      </c>
      <c r="W237" s="678">
        <f t="shared" si="76"/>
        <v>0</v>
      </c>
      <c r="X237" s="678">
        <f t="shared" si="76"/>
        <v>0</v>
      </c>
      <c r="Y237" s="678">
        <f t="shared" si="76"/>
        <v>0</v>
      </c>
      <c r="Z237" s="678">
        <f t="shared" si="76"/>
        <v>54.59</v>
      </c>
      <c r="AA237" s="678">
        <f t="shared" si="76"/>
        <v>69.41</v>
      </c>
      <c r="AB237" s="678">
        <f>ROUND(SUM(AB227:AB236),5)</f>
        <v>78.61</v>
      </c>
      <c r="AC237" s="678">
        <f>ROUND(SUM(AC227:AC236),5)</f>
        <v>73.16</v>
      </c>
      <c r="AD237" s="678">
        <f>ROUND(SUM(AD227:AD236),5)</f>
        <v>0</v>
      </c>
      <c r="AE237" s="678">
        <v>23.83</v>
      </c>
      <c r="AF237" s="678">
        <v>95.32</v>
      </c>
      <c r="AG237" s="678">
        <f>ROUND(SUM(AG227:AG236),5)</f>
        <v>100.09</v>
      </c>
      <c r="AH237" s="679">
        <f t="shared" si="75"/>
        <v>0</v>
      </c>
      <c r="AI237" s="679">
        <f t="shared" si="75"/>
        <v>0</v>
      </c>
      <c r="AJ237" s="679">
        <f t="shared" si="75"/>
        <v>0</v>
      </c>
      <c r="AK237" s="679">
        <f t="shared" si="75"/>
        <v>0</v>
      </c>
      <c r="AL237" s="679">
        <f t="shared" si="75"/>
        <v>0</v>
      </c>
      <c r="AM237" s="679">
        <f t="shared" si="75"/>
        <v>0</v>
      </c>
      <c r="AN237" s="679">
        <f t="shared" si="75"/>
        <v>0</v>
      </c>
      <c r="AO237" s="679">
        <f t="shared" si="75"/>
        <v>0</v>
      </c>
      <c r="AP237" s="679">
        <f t="shared" si="75"/>
        <v>0</v>
      </c>
      <c r="AQ237" s="679">
        <f t="shared" si="75"/>
        <v>0</v>
      </c>
      <c r="AR237" s="679">
        <f t="shared" si="75"/>
        <v>0</v>
      </c>
      <c r="AS237" s="679">
        <f t="shared" si="75"/>
        <v>0</v>
      </c>
      <c r="AT237" s="679">
        <f t="shared" si="75"/>
        <v>0</v>
      </c>
      <c r="AU237" s="679">
        <f t="shared" si="75"/>
        <v>0</v>
      </c>
      <c r="AV237" s="679">
        <f t="shared" si="75"/>
        <v>0</v>
      </c>
      <c r="AW237" s="679">
        <f t="shared" si="75"/>
        <v>0</v>
      </c>
      <c r="AX237" s="679">
        <f t="shared" si="75"/>
        <v>0</v>
      </c>
      <c r="AY237" s="679">
        <f t="shared" si="75"/>
        <v>0</v>
      </c>
      <c r="AZ237" s="679">
        <f t="shared" si="75"/>
        <v>0</v>
      </c>
      <c r="BA237" s="679">
        <f t="shared" si="75"/>
        <v>0</v>
      </c>
      <c r="BB237" s="679">
        <f t="shared" si="75"/>
        <v>0</v>
      </c>
      <c r="BC237" s="679">
        <f t="shared" si="75"/>
        <v>0</v>
      </c>
      <c r="BD237" s="679">
        <f t="shared" si="75"/>
        <v>0</v>
      </c>
      <c r="BE237" s="679">
        <f t="shared" si="75"/>
        <v>0</v>
      </c>
      <c r="BF237" s="679">
        <f t="shared" si="75"/>
        <v>0</v>
      </c>
      <c r="BG237" s="679">
        <f t="shared" si="75"/>
        <v>0</v>
      </c>
      <c r="BH237" s="679">
        <f t="shared" si="75"/>
        <v>0</v>
      </c>
      <c r="BI237" s="679">
        <f t="shared" si="75"/>
        <v>0</v>
      </c>
      <c r="BJ237" s="679">
        <f t="shared" si="75"/>
        <v>0</v>
      </c>
      <c r="BK237" s="679">
        <f t="shared" si="75"/>
        <v>0</v>
      </c>
      <c r="BL237" s="679">
        <f t="shared" si="75"/>
        <v>0</v>
      </c>
      <c r="BM237" s="679">
        <f t="shared" si="75"/>
        <v>0</v>
      </c>
      <c r="BN237" s="679">
        <f t="shared" si="75"/>
        <v>0</v>
      </c>
      <c r="BO237" s="679">
        <f t="shared" si="75"/>
        <v>0</v>
      </c>
      <c r="BP237" s="679">
        <f t="shared" ref="BP237:CA237" si="77">SUM(BP228:BP236)</f>
        <v>0</v>
      </c>
      <c r="BQ237" s="679">
        <f t="shared" si="77"/>
        <v>0</v>
      </c>
      <c r="BR237" s="679">
        <f t="shared" si="77"/>
        <v>0</v>
      </c>
      <c r="BS237" s="679">
        <f t="shared" si="77"/>
        <v>0</v>
      </c>
      <c r="BT237" s="679">
        <f t="shared" si="77"/>
        <v>0</v>
      </c>
      <c r="BU237" s="679">
        <f t="shared" si="77"/>
        <v>0</v>
      </c>
      <c r="BV237" s="679">
        <f t="shared" si="77"/>
        <v>0</v>
      </c>
      <c r="BW237" s="679">
        <f t="shared" si="77"/>
        <v>0</v>
      </c>
      <c r="BX237" s="679">
        <f t="shared" si="77"/>
        <v>0</v>
      </c>
      <c r="BY237" s="679">
        <f t="shared" si="77"/>
        <v>0</v>
      </c>
      <c r="BZ237" s="679">
        <f t="shared" si="77"/>
        <v>0</v>
      </c>
      <c r="CA237" s="679">
        <f t="shared" si="77"/>
        <v>0</v>
      </c>
    </row>
    <row r="238" spans="1:79" hidden="1" outlineLevel="1" x14ac:dyDescent="0.25">
      <c r="A238" s="655"/>
      <c r="B238" s="570"/>
      <c r="C238" s="570"/>
      <c r="D238" s="570"/>
      <c r="E238" s="570" t="s">
        <v>1336</v>
      </c>
      <c r="F238" s="655" t="s">
        <v>665</v>
      </c>
      <c r="G238" s="719"/>
      <c r="H238" s="719"/>
      <c r="I238" s="719"/>
      <c r="J238" s="719"/>
      <c r="K238" s="719"/>
      <c r="L238" s="719"/>
      <c r="M238" s="719"/>
      <c r="N238" s="719"/>
      <c r="O238" s="719"/>
      <c r="P238" s="716"/>
      <c r="Q238" s="716"/>
      <c r="R238" s="716"/>
      <c r="S238" s="667">
        <v>0</v>
      </c>
      <c r="T238" s="667">
        <v>0</v>
      </c>
      <c r="U238" s="667">
        <v>0</v>
      </c>
      <c r="V238" s="667">
        <v>0</v>
      </c>
      <c r="W238" s="667">
        <v>0</v>
      </c>
      <c r="X238" s="667">
        <v>0</v>
      </c>
      <c r="Y238" s="667">
        <v>0</v>
      </c>
      <c r="Z238" s="667">
        <v>0</v>
      </c>
      <c r="AA238" s="667">
        <v>0</v>
      </c>
      <c r="AB238" s="667">
        <v>0</v>
      </c>
      <c r="AC238" s="667">
        <v>0</v>
      </c>
      <c r="AD238" s="667">
        <v>0</v>
      </c>
      <c r="AE238" s="667">
        <v>0</v>
      </c>
      <c r="AF238" s="667">
        <v>0</v>
      </c>
      <c r="AG238" s="667">
        <v>0</v>
      </c>
      <c r="AH238" s="718"/>
      <c r="AI238" s="718"/>
      <c r="AJ238" s="718"/>
      <c r="AK238" s="718"/>
      <c r="AL238" s="718"/>
      <c r="AM238" s="718"/>
      <c r="AN238" s="718"/>
      <c r="AO238" s="718"/>
      <c r="AP238" s="718"/>
      <c r="AQ238" s="718"/>
      <c r="AR238" s="718"/>
      <c r="AS238" s="718"/>
      <c r="AT238" s="718"/>
      <c r="AU238" s="718"/>
      <c r="AV238" s="718"/>
      <c r="AW238" s="718"/>
      <c r="AX238" s="718"/>
      <c r="AY238" s="718"/>
      <c r="AZ238" s="718"/>
      <c r="BA238" s="718"/>
      <c r="BB238" s="718"/>
      <c r="BC238" s="718"/>
      <c r="BD238" s="718"/>
      <c r="BE238" s="718"/>
      <c r="BF238" s="718"/>
      <c r="BG238" s="718"/>
      <c r="BH238" s="718"/>
      <c r="BI238" s="718"/>
      <c r="BJ238" s="718"/>
      <c r="BK238" s="718"/>
      <c r="BL238" s="718"/>
      <c r="BM238" s="718"/>
      <c r="BN238" s="718"/>
      <c r="BO238" s="718"/>
      <c r="BP238" s="718"/>
      <c r="BQ238" s="718"/>
      <c r="BR238" s="718"/>
      <c r="BS238" s="718"/>
      <c r="BT238" s="718"/>
      <c r="BU238" s="718"/>
      <c r="BV238" s="718"/>
      <c r="BW238" s="718"/>
      <c r="BX238" s="718"/>
      <c r="BY238" s="718"/>
      <c r="BZ238" s="718"/>
      <c r="CA238" s="718"/>
    </row>
    <row r="239" spans="1:79" s="756" customFormat="1" hidden="1" outlineLevel="1" x14ac:dyDescent="0.25">
      <c r="A239" s="738"/>
      <c r="E239" s="570" t="s">
        <v>1337</v>
      </c>
      <c r="F239" s="738" t="s">
        <v>593</v>
      </c>
      <c r="G239" s="757"/>
      <c r="H239" s="757"/>
      <c r="I239" s="757"/>
      <c r="J239" s="757"/>
      <c r="K239" s="757"/>
      <c r="L239" s="757"/>
      <c r="M239" s="757"/>
      <c r="N239" s="757"/>
      <c r="O239" s="757"/>
      <c r="P239" s="757"/>
      <c r="Q239" s="757"/>
      <c r="R239" s="757"/>
      <c r="S239" s="697"/>
      <c r="T239" s="697"/>
      <c r="U239" s="697"/>
      <c r="V239" s="697"/>
      <c r="W239" s="697"/>
      <c r="X239" s="697"/>
      <c r="Y239" s="697"/>
      <c r="Z239" s="697"/>
      <c r="AA239" s="697"/>
      <c r="AB239" s="697"/>
      <c r="AC239" s="697"/>
      <c r="AD239" s="697"/>
      <c r="AE239" s="697"/>
      <c r="AF239" s="697"/>
      <c r="AG239" s="697"/>
      <c r="AH239" s="758"/>
      <c r="AI239" s="758"/>
      <c r="AJ239" s="758"/>
      <c r="AK239" s="758"/>
      <c r="AL239" s="758"/>
      <c r="AM239" s="758"/>
      <c r="AN239" s="758"/>
      <c r="AO239" s="758"/>
      <c r="AP239" s="758"/>
      <c r="AQ239" s="758"/>
      <c r="AR239" s="758"/>
      <c r="AS239" s="758"/>
      <c r="AT239" s="758"/>
      <c r="AU239" s="758"/>
      <c r="AV239" s="758"/>
      <c r="AW239" s="758"/>
      <c r="AX239" s="758"/>
      <c r="AY239" s="758"/>
      <c r="AZ239" s="758"/>
      <c r="BA239" s="758"/>
      <c r="BB239" s="758"/>
      <c r="BC239" s="758"/>
      <c r="BD239" s="758"/>
      <c r="BE239" s="758"/>
      <c r="BF239" s="758"/>
      <c r="BG239" s="758"/>
      <c r="BH239" s="758"/>
      <c r="BI239" s="758"/>
      <c r="BJ239" s="758"/>
      <c r="BK239" s="758"/>
      <c r="BL239" s="758"/>
      <c r="BM239" s="758"/>
      <c r="BN239" s="758"/>
      <c r="BO239" s="758"/>
      <c r="BP239" s="758"/>
      <c r="BQ239" s="758"/>
      <c r="BR239" s="758"/>
      <c r="BS239" s="758"/>
      <c r="BT239" s="758"/>
      <c r="BU239" s="758"/>
      <c r="BV239" s="758"/>
      <c r="BW239" s="758"/>
      <c r="BX239" s="758"/>
      <c r="BY239" s="758"/>
      <c r="BZ239" s="758"/>
      <c r="CA239" s="758"/>
    </row>
    <row r="240" spans="1:79" s="451" customFormat="1" hidden="1" outlineLevel="1" x14ac:dyDescent="0.25">
      <c r="A240" s="656"/>
      <c r="B240" s="576"/>
      <c r="C240" s="576"/>
      <c r="D240" s="576"/>
      <c r="E240" s="570" t="s">
        <v>1337</v>
      </c>
      <c r="F240" s="656" t="s">
        <v>882</v>
      </c>
      <c r="G240" s="719"/>
      <c r="H240" s="719"/>
      <c r="I240" s="719"/>
      <c r="J240" s="719"/>
      <c r="K240" s="719"/>
      <c r="L240" s="719"/>
      <c r="M240" s="719"/>
      <c r="N240" s="719"/>
      <c r="O240" s="719"/>
      <c r="P240" s="716"/>
      <c r="Q240" s="716"/>
      <c r="R240" s="716"/>
      <c r="S240" s="671">
        <v>0</v>
      </c>
      <c r="T240" s="671">
        <v>0</v>
      </c>
      <c r="U240" s="671">
        <v>0</v>
      </c>
      <c r="V240" s="671">
        <v>0</v>
      </c>
      <c r="W240" s="671">
        <v>0</v>
      </c>
      <c r="X240" s="671">
        <v>0</v>
      </c>
      <c r="Y240" s="671">
        <v>0</v>
      </c>
      <c r="Z240" s="671">
        <v>0</v>
      </c>
      <c r="AA240" s="671">
        <v>0</v>
      </c>
      <c r="AB240" s="671">
        <v>0</v>
      </c>
      <c r="AC240" s="671">
        <v>0</v>
      </c>
      <c r="AD240" s="671">
        <v>0</v>
      </c>
      <c r="AE240" s="671">
        <v>0</v>
      </c>
      <c r="AF240" s="671">
        <v>0</v>
      </c>
      <c r="AG240" s="671">
        <v>0</v>
      </c>
      <c r="AH240" s="718"/>
      <c r="AI240" s="718"/>
      <c r="AJ240" s="718"/>
      <c r="AK240" s="718"/>
      <c r="AL240" s="718"/>
      <c r="AM240" s="718"/>
      <c r="AN240" s="718"/>
      <c r="AO240" s="718"/>
      <c r="AP240" s="718"/>
      <c r="AQ240" s="718"/>
      <c r="AR240" s="718"/>
      <c r="AS240" s="718"/>
      <c r="AT240" s="718"/>
      <c r="AU240" s="718"/>
      <c r="AV240" s="718"/>
      <c r="AW240" s="718"/>
      <c r="AX240" s="718"/>
      <c r="AY240" s="718"/>
      <c r="AZ240" s="718"/>
      <c r="BA240" s="718"/>
      <c r="BB240" s="718"/>
      <c r="BC240" s="718"/>
      <c r="BD240" s="718"/>
      <c r="BE240" s="718"/>
      <c r="BF240" s="718"/>
      <c r="BG240" s="718"/>
      <c r="BH240" s="718"/>
      <c r="BI240" s="718"/>
      <c r="BJ240" s="718"/>
      <c r="BK240" s="718"/>
      <c r="BL240" s="718"/>
      <c r="BM240" s="718"/>
      <c r="BN240" s="718"/>
      <c r="BO240" s="718"/>
      <c r="BP240" s="718"/>
      <c r="BQ240" s="718"/>
      <c r="BR240" s="718"/>
      <c r="BS240" s="718"/>
      <c r="BT240" s="718"/>
      <c r="BU240" s="718"/>
      <c r="BV240" s="718"/>
      <c r="BW240" s="718"/>
      <c r="BX240" s="718"/>
      <c r="BY240" s="718"/>
      <c r="BZ240" s="718"/>
      <c r="CA240" s="718"/>
    </row>
    <row r="241" spans="1:79" s="451" customFormat="1" hidden="1" outlineLevel="1" x14ac:dyDescent="0.25">
      <c r="A241" s="656"/>
      <c r="B241" s="576"/>
      <c r="C241" s="576"/>
      <c r="D241" s="576"/>
      <c r="E241" s="570" t="s">
        <v>941</v>
      </c>
      <c r="F241" s="656" t="s">
        <v>883</v>
      </c>
      <c r="G241" s="719"/>
      <c r="H241" s="719"/>
      <c r="I241" s="719"/>
      <c r="J241" s="719"/>
      <c r="K241" s="719"/>
      <c r="L241" s="719"/>
      <c r="M241" s="719"/>
      <c r="N241" s="719"/>
      <c r="O241" s="719"/>
      <c r="P241" s="716"/>
      <c r="Q241" s="716"/>
      <c r="R241" s="716"/>
      <c r="S241" s="671">
        <v>0</v>
      </c>
      <c r="T241" s="671">
        <v>0</v>
      </c>
      <c r="U241" s="671">
        <v>0</v>
      </c>
      <c r="V241" s="671">
        <v>0</v>
      </c>
      <c r="W241" s="671">
        <v>0</v>
      </c>
      <c r="X241" s="671">
        <v>0</v>
      </c>
      <c r="Y241" s="671">
        <v>0</v>
      </c>
      <c r="Z241" s="671">
        <v>0</v>
      </c>
      <c r="AA241" s="671">
        <v>0</v>
      </c>
      <c r="AB241" s="671">
        <v>0</v>
      </c>
      <c r="AC241" s="671">
        <v>0</v>
      </c>
      <c r="AD241" s="671">
        <v>0</v>
      </c>
      <c r="AE241" s="671">
        <v>0</v>
      </c>
      <c r="AF241" s="671">
        <v>0</v>
      </c>
      <c r="AG241" s="671">
        <v>0</v>
      </c>
      <c r="AH241" s="718"/>
      <c r="AI241" s="718"/>
      <c r="AJ241" s="718"/>
      <c r="AK241" s="718"/>
      <c r="AL241" s="718"/>
      <c r="AM241" s="718"/>
      <c r="AN241" s="718"/>
      <c r="AO241" s="718"/>
      <c r="AP241" s="718"/>
      <c r="AQ241" s="718"/>
      <c r="AR241" s="718"/>
      <c r="AS241" s="718"/>
      <c r="AT241" s="718"/>
      <c r="AU241" s="718"/>
      <c r="AV241" s="718"/>
      <c r="AW241" s="718"/>
      <c r="AX241" s="718"/>
      <c r="AY241" s="718"/>
      <c r="AZ241" s="718"/>
      <c r="BA241" s="718"/>
      <c r="BB241" s="718"/>
      <c r="BC241" s="718"/>
      <c r="BD241" s="718"/>
      <c r="BE241" s="718"/>
      <c r="BF241" s="718"/>
      <c r="BG241" s="718"/>
      <c r="BH241" s="718"/>
      <c r="BI241" s="718"/>
      <c r="BJ241" s="718"/>
      <c r="BK241" s="718"/>
      <c r="BL241" s="718"/>
      <c r="BM241" s="718"/>
      <c r="BN241" s="718"/>
      <c r="BO241" s="718"/>
      <c r="BP241" s="718"/>
      <c r="BQ241" s="718"/>
      <c r="BR241" s="718"/>
      <c r="BS241" s="718"/>
      <c r="BT241" s="718"/>
      <c r="BU241" s="718"/>
      <c r="BV241" s="718"/>
      <c r="BW241" s="718"/>
      <c r="BX241" s="718"/>
      <c r="BY241" s="718"/>
      <c r="BZ241" s="718"/>
      <c r="CA241" s="718"/>
    </row>
    <row r="242" spans="1:79" s="451" customFormat="1" hidden="1" outlineLevel="1" x14ac:dyDescent="0.25">
      <c r="A242" s="656"/>
      <c r="B242" s="576"/>
      <c r="C242" s="576"/>
      <c r="D242" s="576"/>
      <c r="E242" s="570" t="s">
        <v>945</v>
      </c>
      <c r="F242" s="656" t="s">
        <v>884</v>
      </c>
      <c r="G242" s="719"/>
      <c r="H242" s="719"/>
      <c r="I242" s="719"/>
      <c r="J242" s="719"/>
      <c r="K242" s="719"/>
      <c r="L242" s="719"/>
      <c r="M242" s="719"/>
      <c r="N242" s="719"/>
      <c r="O242" s="719"/>
      <c r="P242" s="716"/>
      <c r="Q242" s="716"/>
      <c r="R242" s="716"/>
      <c r="S242" s="671">
        <v>0</v>
      </c>
      <c r="T242" s="671">
        <v>0</v>
      </c>
      <c r="U242" s="671">
        <v>0</v>
      </c>
      <c r="V242" s="671">
        <v>0</v>
      </c>
      <c r="W242" s="671">
        <v>0</v>
      </c>
      <c r="X242" s="671">
        <v>0</v>
      </c>
      <c r="Y242" s="671">
        <v>0</v>
      </c>
      <c r="Z242" s="671">
        <v>0</v>
      </c>
      <c r="AA242" s="671">
        <v>0</v>
      </c>
      <c r="AB242" s="671">
        <v>0</v>
      </c>
      <c r="AC242" s="671">
        <v>0</v>
      </c>
      <c r="AD242" s="671">
        <v>0</v>
      </c>
      <c r="AE242" s="671">
        <v>0</v>
      </c>
      <c r="AF242" s="671">
        <v>0</v>
      </c>
      <c r="AG242" s="671">
        <v>0</v>
      </c>
      <c r="AH242" s="718"/>
      <c r="AI242" s="718"/>
      <c r="AJ242" s="718"/>
      <c r="AK242" s="718"/>
      <c r="AL242" s="718"/>
      <c r="AM242" s="718"/>
      <c r="AN242" s="718"/>
      <c r="AO242" s="718"/>
      <c r="AP242" s="718"/>
      <c r="AQ242" s="718"/>
      <c r="AR242" s="718"/>
      <c r="AS242" s="718"/>
      <c r="AT242" s="718"/>
      <c r="AU242" s="718"/>
      <c r="AV242" s="718"/>
      <c r="AW242" s="718"/>
      <c r="AX242" s="718"/>
      <c r="AY242" s="718"/>
      <c r="AZ242" s="718"/>
      <c r="BA242" s="718"/>
      <c r="BB242" s="718"/>
      <c r="BC242" s="718"/>
      <c r="BD242" s="718"/>
      <c r="BE242" s="718"/>
      <c r="BF242" s="718"/>
      <c r="BG242" s="718"/>
      <c r="BH242" s="718"/>
      <c r="BI242" s="718"/>
      <c r="BJ242" s="718"/>
      <c r="BK242" s="718"/>
      <c r="BL242" s="718"/>
      <c r="BM242" s="718"/>
      <c r="BN242" s="718"/>
      <c r="BO242" s="718"/>
      <c r="BP242" s="718"/>
      <c r="BQ242" s="718"/>
      <c r="BR242" s="718"/>
      <c r="BS242" s="718"/>
      <c r="BT242" s="718"/>
      <c r="BU242" s="718"/>
      <c r="BV242" s="718"/>
      <c r="BW242" s="718"/>
      <c r="BX242" s="718"/>
      <c r="BY242" s="718"/>
      <c r="BZ242" s="718"/>
      <c r="CA242" s="718"/>
    </row>
    <row r="243" spans="1:79" s="451" customFormat="1" hidden="1" outlineLevel="1" x14ac:dyDescent="0.25">
      <c r="A243" s="656"/>
      <c r="B243" s="576"/>
      <c r="C243" s="576"/>
      <c r="D243" s="576"/>
      <c r="E243" s="570" t="s">
        <v>1337</v>
      </c>
      <c r="F243" s="656" t="s">
        <v>885</v>
      </c>
      <c r="G243" s="719"/>
      <c r="H243" s="719"/>
      <c r="I243" s="719"/>
      <c r="J243" s="719"/>
      <c r="K243" s="719"/>
      <c r="L243" s="719"/>
      <c r="M243" s="719"/>
      <c r="N243" s="719"/>
      <c r="O243" s="719"/>
      <c r="P243" s="716"/>
      <c r="Q243" s="716"/>
      <c r="R243" s="716"/>
      <c r="S243" s="671">
        <v>0</v>
      </c>
      <c r="T243" s="671">
        <v>0</v>
      </c>
      <c r="U243" s="671">
        <v>0</v>
      </c>
      <c r="V243" s="671">
        <v>0</v>
      </c>
      <c r="W243" s="671">
        <v>0</v>
      </c>
      <c r="X243" s="671">
        <v>0</v>
      </c>
      <c r="Y243" s="671">
        <v>0</v>
      </c>
      <c r="Z243" s="671">
        <v>0</v>
      </c>
      <c r="AA243" s="671">
        <v>0</v>
      </c>
      <c r="AB243" s="671">
        <v>0</v>
      </c>
      <c r="AC243" s="671">
        <v>0</v>
      </c>
      <c r="AD243" s="671">
        <v>0</v>
      </c>
      <c r="AE243" s="671">
        <v>0</v>
      </c>
      <c r="AF243" s="671">
        <v>0</v>
      </c>
      <c r="AG243" s="671">
        <v>0</v>
      </c>
      <c r="AH243" s="718"/>
      <c r="AI243" s="718"/>
      <c r="AJ243" s="718"/>
      <c r="AK243" s="718"/>
      <c r="AL243" s="718"/>
      <c r="AM243" s="718"/>
      <c r="AN243" s="718"/>
      <c r="AO243" s="718"/>
      <c r="AP243" s="718"/>
      <c r="AQ243" s="718"/>
      <c r="AR243" s="718"/>
      <c r="AS243" s="718"/>
      <c r="AT243" s="718"/>
      <c r="AU243" s="718"/>
      <c r="AV243" s="718"/>
      <c r="AW243" s="718"/>
      <c r="AX243" s="718"/>
      <c r="AY243" s="718"/>
      <c r="AZ243" s="718"/>
      <c r="BA243" s="718"/>
      <c r="BB243" s="718"/>
      <c r="BC243" s="718"/>
      <c r="BD243" s="718"/>
      <c r="BE243" s="718"/>
      <c r="BF243" s="718"/>
      <c r="BG243" s="718"/>
      <c r="BH243" s="718"/>
      <c r="BI243" s="718"/>
      <c r="BJ243" s="718"/>
      <c r="BK243" s="718"/>
      <c r="BL243" s="718"/>
      <c r="BM243" s="718"/>
      <c r="BN243" s="718"/>
      <c r="BO243" s="718"/>
      <c r="BP243" s="718"/>
      <c r="BQ243" s="718"/>
      <c r="BR243" s="718"/>
      <c r="BS243" s="718"/>
      <c r="BT243" s="718"/>
      <c r="BU243" s="718"/>
      <c r="BV243" s="718"/>
      <c r="BW243" s="718"/>
      <c r="BX243" s="718"/>
      <c r="BY243" s="718"/>
      <c r="BZ243" s="718"/>
      <c r="CA243" s="718"/>
    </row>
    <row r="244" spans="1:79" s="451" customFormat="1" hidden="1" outlineLevel="1" x14ac:dyDescent="0.25">
      <c r="A244" s="656"/>
      <c r="B244" s="576"/>
      <c r="C244" s="576"/>
      <c r="D244" s="576"/>
      <c r="E244" s="570" t="s">
        <v>1270</v>
      </c>
      <c r="F244" s="656" t="s">
        <v>818</v>
      </c>
      <c r="G244" s="719"/>
      <c r="H244" s="719"/>
      <c r="I244" s="719"/>
      <c r="J244" s="719"/>
      <c r="K244" s="719"/>
      <c r="L244" s="719"/>
      <c r="M244" s="719"/>
      <c r="N244" s="719"/>
      <c r="O244" s="719"/>
      <c r="P244" s="716"/>
      <c r="Q244" s="716"/>
      <c r="R244" s="716"/>
      <c r="S244" s="671">
        <v>0</v>
      </c>
      <c r="T244" s="671">
        <v>0</v>
      </c>
      <c r="U244" s="671">
        <v>0</v>
      </c>
      <c r="V244" s="671">
        <v>0</v>
      </c>
      <c r="W244" s="671">
        <v>0</v>
      </c>
      <c r="X244" s="671">
        <v>0</v>
      </c>
      <c r="Y244" s="671">
        <v>0</v>
      </c>
      <c r="Z244" s="671">
        <v>0</v>
      </c>
      <c r="AA244" s="671">
        <v>0</v>
      </c>
      <c r="AB244" s="671">
        <v>0</v>
      </c>
      <c r="AC244" s="671">
        <v>0</v>
      </c>
      <c r="AD244" s="671">
        <v>0</v>
      </c>
      <c r="AE244" s="671">
        <v>0</v>
      </c>
      <c r="AF244" s="671">
        <v>0</v>
      </c>
      <c r="AG244" s="671">
        <v>0</v>
      </c>
      <c r="AH244" s="718"/>
      <c r="AI244" s="718"/>
      <c r="AJ244" s="718"/>
      <c r="AK244" s="718"/>
      <c r="AL244" s="718"/>
      <c r="AM244" s="718"/>
      <c r="AN244" s="718"/>
      <c r="AO244" s="718"/>
      <c r="AP244" s="718"/>
      <c r="AQ244" s="718"/>
      <c r="AR244" s="718"/>
      <c r="AS244" s="718"/>
      <c r="AT244" s="718"/>
      <c r="AU244" s="718"/>
      <c r="AV244" s="718"/>
      <c r="AW244" s="718"/>
      <c r="AX244" s="718"/>
      <c r="AY244" s="718"/>
      <c r="AZ244" s="718"/>
      <c r="BA244" s="718"/>
      <c r="BB244" s="718"/>
      <c r="BC244" s="718"/>
      <c r="BD244" s="718"/>
      <c r="BE244" s="718"/>
      <c r="BF244" s="718"/>
      <c r="BG244" s="718"/>
      <c r="BH244" s="718"/>
      <c r="BI244" s="718"/>
      <c r="BJ244" s="718"/>
      <c r="BK244" s="718"/>
      <c r="BL244" s="718"/>
      <c r="BM244" s="718"/>
      <c r="BN244" s="718"/>
      <c r="BO244" s="718"/>
      <c r="BP244" s="718"/>
      <c r="BQ244" s="718"/>
      <c r="BR244" s="718"/>
      <c r="BS244" s="718"/>
      <c r="BT244" s="718"/>
      <c r="BU244" s="718"/>
      <c r="BV244" s="718"/>
      <c r="BW244" s="718"/>
      <c r="BX244" s="718"/>
      <c r="BY244" s="718"/>
      <c r="BZ244" s="718"/>
      <c r="CA244" s="718"/>
    </row>
    <row r="245" spans="1:79" s="451" customFormat="1" hidden="1" outlineLevel="1" x14ac:dyDescent="0.25">
      <c r="A245" s="656"/>
      <c r="B245" s="79"/>
      <c r="C245" s="79"/>
      <c r="D245" s="79"/>
      <c r="E245" s="570" t="s">
        <v>1270</v>
      </c>
      <c r="F245" s="656" t="s">
        <v>1372</v>
      </c>
      <c r="G245" s="719"/>
      <c r="H245" s="719"/>
      <c r="I245" s="719"/>
      <c r="J245" s="719"/>
      <c r="K245" s="719"/>
      <c r="L245" s="719"/>
      <c r="M245" s="719"/>
      <c r="N245" s="719"/>
      <c r="O245" s="719"/>
      <c r="P245" s="716"/>
      <c r="Q245" s="716"/>
      <c r="R245" s="716"/>
      <c r="S245" s="671">
        <v>12000</v>
      </c>
      <c r="T245" s="671">
        <v>7285.86</v>
      </c>
      <c r="U245" s="671">
        <v>21140.21</v>
      </c>
      <c r="V245" s="671">
        <v>1356.79</v>
      </c>
      <c r="W245" s="671">
        <v>14085.69</v>
      </c>
      <c r="X245" s="671">
        <v>23574.21</v>
      </c>
      <c r="Y245" s="671">
        <v>78990.66</v>
      </c>
      <c r="Z245" s="671">
        <v>47119.23</v>
      </c>
      <c r="AA245" s="671">
        <v>28275.4</v>
      </c>
      <c r="AB245" s="671">
        <v>34860.03</v>
      </c>
      <c r="AC245" s="671">
        <v>27800</v>
      </c>
      <c r="AD245" s="671">
        <v>27000</v>
      </c>
      <c r="AE245" s="671">
        <v>26574</v>
      </c>
      <c r="AF245" s="671">
        <v>12120.43</v>
      </c>
      <c r="AG245" s="671">
        <v>39868.239999999998</v>
      </c>
      <c r="AH245" s="718"/>
      <c r="AI245" s="718"/>
      <c r="AJ245" s="718"/>
      <c r="AK245" s="718"/>
      <c r="AL245" s="718"/>
      <c r="AM245" s="718"/>
      <c r="AN245" s="718"/>
      <c r="AO245" s="718"/>
      <c r="AP245" s="718"/>
      <c r="AQ245" s="718"/>
      <c r="AR245" s="718"/>
      <c r="AS245" s="718"/>
      <c r="AT245" s="718"/>
      <c r="AU245" s="718"/>
      <c r="AV245" s="718"/>
      <c r="AW245" s="718"/>
      <c r="AX245" s="718"/>
      <c r="AY245" s="718"/>
      <c r="AZ245" s="718"/>
      <c r="BA245" s="718"/>
      <c r="BB245" s="718"/>
      <c r="BC245" s="718"/>
      <c r="BD245" s="718"/>
      <c r="BE245" s="718"/>
      <c r="BF245" s="718"/>
      <c r="BG245" s="718"/>
      <c r="BH245" s="718"/>
      <c r="BI245" s="718"/>
      <c r="BJ245" s="718"/>
      <c r="BK245" s="718"/>
      <c r="BL245" s="718"/>
      <c r="BM245" s="718"/>
      <c r="BN245" s="718"/>
      <c r="BO245" s="718"/>
      <c r="BP245" s="718"/>
      <c r="BQ245" s="718"/>
      <c r="BR245" s="718"/>
      <c r="BS245" s="718"/>
      <c r="BT245" s="718"/>
      <c r="BU245" s="718"/>
      <c r="BV245" s="718"/>
      <c r="BW245" s="718"/>
      <c r="BX245" s="718"/>
      <c r="BY245" s="718"/>
      <c r="BZ245" s="718"/>
      <c r="CA245" s="718"/>
    </row>
    <row r="246" spans="1:79" s="451" customFormat="1" hidden="1" outlineLevel="1" x14ac:dyDescent="0.25">
      <c r="A246" s="656"/>
      <c r="B246" s="79"/>
      <c r="C246" s="79"/>
      <c r="D246" s="79"/>
      <c r="E246" s="570" t="s">
        <v>1326</v>
      </c>
      <c r="F246" s="656" t="s">
        <v>610</v>
      </c>
      <c r="G246" s="719"/>
      <c r="H246" s="719"/>
      <c r="I246" s="719"/>
      <c r="J246" s="719"/>
      <c r="K246" s="719"/>
      <c r="L246" s="719"/>
      <c r="M246" s="719"/>
      <c r="N246" s="719"/>
      <c r="O246" s="719"/>
      <c r="P246" s="716"/>
      <c r="Q246" s="716"/>
      <c r="R246" s="716"/>
      <c r="S246" s="676">
        <v>2484</v>
      </c>
      <c r="T246" s="676">
        <v>8458.64</v>
      </c>
      <c r="U246" s="676">
        <v>2703.95</v>
      </c>
      <c r="V246" s="676">
        <v>2165.87</v>
      </c>
      <c r="W246" s="676">
        <v>2555.71</v>
      </c>
      <c r="X246" s="676">
        <v>32774.410000000003</v>
      </c>
      <c r="Y246" s="676">
        <v>7038.06</v>
      </c>
      <c r="Z246" s="676">
        <v>0</v>
      </c>
      <c r="AA246" s="676">
        <v>16298.09</v>
      </c>
      <c r="AB246" s="676">
        <v>0</v>
      </c>
      <c r="AC246" s="676">
        <v>105.99</v>
      </c>
      <c r="AD246" s="676">
        <v>0</v>
      </c>
      <c r="AE246" s="676">
        <v>0</v>
      </c>
      <c r="AF246" s="676">
        <v>0</v>
      </c>
      <c r="AG246" s="676">
        <v>31655.39</v>
      </c>
      <c r="AH246" s="718"/>
      <c r="AI246" s="718"/>
      <c r="AJ246" s="718"/>
      <c r="AK246" s="718"/>
      <c r="AL246" s="718"/>
      <c r="AM246" s="718"/>
      <c r="AN246" s="718"/>
      <c r="AO246" s="718"/>
      <c r="AP246" s="718"/>
      <c r="AQ246" s="718"/>
      <c r="AR246" s="718"/>
      <c r="AS246" s="718"/>
      <c r="AT246" s="718"/>
      <c r="AU246" s="718"/>
      <c r="AV246" s="718"/>
      <c r="AW246" s="718"/>
      <c r="AX246" s="718"/>
      <c r="AY246" s="718"/>
      <c r="AZ246" s="718"/>
      <c r="BA246" s="718"/>
      <c r="BB246" s="718"/>
      <c r="BC246" s="718"/>
      <c r="BD246" s="718"/>
      <c r="BE246" s="718"/>
      <c r="BF246" s="718"/>
      <c r="BG246" s="718"/>
      <c r="BH246" s="718"/>
      <c r="BI246" s="718"/>
      <c r="BJ246" s="718"/>
      <c r="BK246" s="718"/>
      <c r="BL246" s="718"/>
      <c r="BM246" s="718"/>
      <c r="BN246" s="718"/>
      <c r="BO246" s="718"/>
      <c r="BP246" s="718"/>
      <c r="BQ246" s="718"/>
      <c r="BR246" s="718"/>
      <c r="BS246" s="718"/>
      <c r="BT246" s="718"/>
      <c r="BU246" s="718"/>
      <c r="BV246" s="718"/>
      <c r="BW246" s="718"/>
      <c r="BX246" s="718"/>
      <c r="BY246" s="718"/>
      <c r="BZ246" s="718"/>
      <c r="CA246" s="718"/>
    </row>
    <row r="247" spans="1:79" s="451" customFormat="1" hidden="1" outlineLevel="1" x14ac:dyDescent="0.25">
      <c r="A247" s="656"/>
      <c r="B247" s="79"/>
      <c r="C247" s="79"/>
      <c r="D247" s="79"/>
      <c r="E247" s="570" t="s">
        <v>985</v>
      </c>
      <c r="F247" s="656" t="s">
        <v>611</v>
      </c>
      <c r="G247" s="719"/>
      <c r="H247" s="719"/>
      <c r="I247" s="719"/>
      <c r="J247" s="719"/>
      <c r="K247" s="719"/>
      <c r="L247" s="719"/>
      <c r="M247" s="719"/>
      <c r="N247" s="719"/>
      <c r="O247" s="719"/>
      <c r="P247" s="716"/>
      <c r="Q247" s="716"/>
      <c r="R247" s="716"/>
      <c r="S247" s="676">
        <v>241.46</v>
      </c>
      <c r="T247" s="676">
        <v>241.46</v>
      </c>
      <c r="U247" s="676">
        <v>736.85</v>
      </c>
      <c r="V247" s="676">
        <v>13274.46</v>
      </c>
      <c r="W247" s="676">
        <v>3960</v>
      </c>
      <c r="X247" s="676">
        <v>5942.85</v>
      </c>
      <c r="Y247" s="676">
        <v>8207.25</v>
      </c>
      <c r="Z247" s="676">
        <v>7795.25</v>
      </c>
      <c r="AA247" s="676">
        <v>4015.5</v>
      </c>
      <c r="AB247" s="676">
        <v>3875.5</v>
      </c>
      <c r="AC247" s="676">
        <v>3950.5</v>
      </c>
      <c r="AD247" s="676">
        <v>6727.35</v>
      </c>
      <c r="AE247" s="676">
        <v>5667.17</v>
      </c>
      <c r="AF247" s="676">
        <v>5667.17</v>
      </c>
      <c r="AG247" s="676">
        <v>5789.16</v>
      </c>
      <c r="AH247" s="718"/>
      <c r="AI247" s="718"/>
      <c r="AJ247" s="718"/>
      <c r="AK247" s="718"/>
      <c r="AL247" s="718"/>
      <c r="AM247" s="718"/>
      <c r="AN247" s="718"/>
      <c r="AO247" s="718"/>
      <c r="AP247" s="718"/>
      <c r="AQ247" s="718"/>
      <c r="AR247" s="718"/>
      <c r="AS247" s="718"/>
      <c r="AT247" s="718"/>
      <c r="AU247" s="718"/>
      <c r="AV247" s="718"/>
      <c r="AW247" s="718"/>
      <c r="AX247" s="718"/>
      <c r="AY247" s="718"/>
      <c r="AZ247" s="718"/>
      <c r="BA247" s="718"/>
      <c r="BB247" s="718"/>
      <c r="BC247" s="718"/>
      <c r="BD247" s="718"/>
      <c r="BE247" s="718"/>
      <c r="BF247" s="718"/>
      <c r="BG247" s="718"/>
      <c r="BH247" s="718"/>
      <c r="BI247" s="718"/>
      <c r="BJ247" s="718"/>
      <c r="BK247" s="718"/>
      <c r="BL247" s="718"/>
      <c r="BM247" s="718"/>
      <c r="BN247" s="718"/>
      <c r="BO247" s="718"/>
      <c r="BP247" s="718"/>
      <c r="BQ247" s="718"/>
      <c r="BR247" s="718"/>
      <c r="BS247" s="718"/>
      <c r="BT247" s="718"/>
      <c r="BU247" s="718"/>
      <c r="BV247" s="718"/>
      <c r="BW247" s="718"/>
      <c r="BX247" s="718"/>
      <c r="BY247" s="718"/>
      <c r="BZ247" s="718"/>
      <c r="CA247" s="718"/>
    </row>
    <row r="248" spans="1:79" s="451" customFormat="1" hidden="1" outlineLevel="1" x14ac:dyDescent="0.25">
      <c r="A248" s="656"/>
      <c r="B248" s="79"/>
      <c r="C248" s="79"/>
      <c r="D248" s="79"/>
      <c r="E248" s="570" t="s">
        <v>945</v>
      </c>
      <c r="F248" s="656" t="s">
        <v>612</v>
      </c>
      <c r="G248" s="719"/>
      <c r="H248" s="719"/>
      <c r="I248" s="719"/>
      <c r="J248" s="719"/>
      <c r="K248" s="719"/>
      <c r="L248" s="719"/>
      <c r="M248" s="719"/>
      <c r="N248" s="719"/>
      <c r="O248" s="719"/>
      <c r="P248" s="716"/>
      <c r="Q248" s="716"/>
      <c r="R248" s="716"/>
      <c r="S248" s="676">
        <v>0</v>
      </c>
      <c r="T248" s="676">
        <v>0</v>
      </c>
      <c r="U248" s="676">
        <v>476.7</v>
      </c>
      <c r="V248" s="676">
        <v>1598.98</v>
      </c>
      <c r="W248" s="676">
        <v>3343.16</v>
      </c>
      <c r="X248" s="676">
        <v>670</v>
      </c>
      <c r="Y248" s="676">
        <v>104.99</v>
      </c>
      <c r="Z248" s="676">
        <v>179.99</v>
      </c>
      <c r="AA248" s="676">
        <v>1042.71</v>
      </c>
      <c r="AB248" s="676">
        <v>5384.78</v>
      </c>
      <c r="AC248" s="676">
        <v>0</v>
      </c>
      <c r="AD248" s="676">
        <v>1072.78</v>
      </c>
      <c r="AE248" s="676">
        <v>1175</v>
      </c>
      <c r="AF248" s="676">
        <v>150</v>
      </c>
      <c r="AG248" s="676">
        <v>268</v>
      </c>
      <c r="AH248" s="718"/>
      <c r="AI248" s="718"/>
      <c r="AJ248" s="718"/>
      <c r="AK248" s="718"/>
      <c r="AL248" s="718"/>
      <c r="AM248" s="718"/>
      <c r="AN248" s="718"/>
      <c r="AO248" s="718"/>
      <c r="AP248" s="718"/>
      <c r="AQ248" s="718"/>
      <c r="AR248" s="718"/>
      <c r="AS248" s="718"/>
      <c r="AT248" s="718"/>
      <c r="AU248" s="718"/>
      <c r="AV248" s="718"/>
      <c r="AW248" s="718"/>
      <c r="AX248" s="718"/>
      <c r="AY248" s="718"/>
      <c r="AZ248" s="718"/>
      <c r="BA248" s="718"/>
      <c r="BB248" s="718"/>
      <c r="BC248" s="718"/>
      <c r="BD248" s="718"/>
      <c r="BE248" s="718"/>
      <c r="BF248" s="718"/>
      <c r="BG248" s="718"/>
      <c r="BH248" s="718"/>
      <c r="BI248" s="718"/>
      <c r="BJ248" s="718"/>
      <c r="BK248" s="718"/>
      <c r="BL248" s="718"/>
      <c r="BM248" s="718"/>
      <c r="BN248" s="718"/>
      <c r="BO248" s="718"/>
      <c r="BP248" s="718"/>
      <c r="BQ248" s="718"/>
      <c r="BR248" s="718"/>
      <c r="BS248" s="718"/>
      <c r="BT248" s="718"/>
      <c r="BU248" s="718"/>
      <c r="BV248" s="718"/>
      <c r="BW248" s="718"/>
      <c r="BX248" s="718"/>
      <c r="BY248" s="718"/>
      <c r="BZ248" s="718"/>
      <c r="CA248" s="718"/>
    </row>
    <row r="249" spans="1:79" s="451" customFormat="1" hidden="1" outlineLevel="1" x14ac:dyDescent="0.25">
      <c r="A249" s="656"/>
      <c r="B249" s="576"/>
      <c r="C249" s="576"/>
      <c r="D249" s="576"/>
      <c r="E249" s="570" t="s">
        <v>1280</v>
      </c>
      <c r="F249" s="656" t="s">
        <v>1369</v>
      </c>
      <c r="G249" s="719"/>
      <c r="H249" s="719"/>
      <c r="I249" s="719"/>
      <c r="J249" s="719"/>
      <c r="K249" s="719"/>
      <c r="L249" s="719"/>
      <c r="M249" s="719"/>
      <c r="N249" s="719"/>
      <c r="O249" s="719"/>
      <c r="P249" s="716"/>
      <c r="Q249" s="716"/>
      <c r="R249" s="716"/>
      <c r="S249" s="676">
        <v>0</v>
      </c>
      <c r="T249" s="676">
        <v>0</v>
      </c>
      <c r="U249" s="676">
        <v>0</v>
      </c>
      <c r="V249" s="676">
        <v>0</v>
      </c>
      <c r="W249" s="676">
        <v>0</v>
      </c>
      <c r="X249" s="676">
        <v>0</v>
      </c>
      <c r="Y249" s="676">
        <v>0</v>
      </c>
      <c r="Z249" s="676">
        <v>0</v>
      </c>
      <c r="AA249" s="676">
        <v>0</v>
      </c>
      <c r="AB249" s="676">
        <v>0</v>
      </c>
      <c r="AC249" s="676">
        <v>0</v>
      </c>
      <c r="AD249" s="676">
        <v>0</v>
      </c>
      <c r="AE249" s="676">
        <v>12733.51</v>
      </c>
      <c r="AF249" s="676">
        <v>-1505.6</v>
      </c>
      <c r="AG249" s="676">
        <v>4251.0600000000004</v>
      </c>
      <c r="AH249" s="718"/>
      <c r="AI249" s="718"/>
      <c r="AJ249" s="718"/>
      <c r="AK249" s="718"/>
      <c r="AL249" s="718"/>
      <c r="AM249" s="718"/>
      <c r="AN249" s="718"/>
      <c r="AO249" s="718"/>
      <c r="AP249" s="718"/>
      <c r="AQ249" s="718"/>
      <c r="AR249" s="718"/>
      <c r="AS249" s="718"/>
      <c r="AT249" s="718"/>
      <c r="AU249" s="718"/>
      <c r="AV249" s="718"/>
      <c r="AW249" s="718"/>
      <c r="AX249" s="718"/>
      <c r="AY249" s="718"/>
      <c r="AZ249" s="718"/>
      <c r="BA249" s="718"/>
      <c r="BB249" s="718"/>
      <c r="BC249" s="718"/>
      <c r="BD249" s="718"/>
      <c r="BE249" s="718"/>
      <c r="BF249" s="718"/>
      <c r="BG249" s="718"/>
      <c r="BH249" s="718"/>
      <c r="BI249" s="718"/>
      <c r="BJ249" s="718"/>
      <c r="BK249" s="718"/>
      <c r="BL249" s="718"/>
      <c r="BM249" s="718"/>
      <c r="BN249" s="718"/>
      <c r="BO249" s="718"/>
      <c r="BP249" s="718"/>
      <c r="BQ249" s="718"/>
      <c r="BR249" s="718"/>
      <c r="BS249" s="718"/>
      <c r="BT249" s="718"/>
      <c r="BU249" s="718"/>
      <c r="BV249" s="718"/>
      <c r="BW249" s="718"/>
      <c r="BX249" s="718"/>
      <c r="BY249" s="718"/>
      <c r="BZ249" s="718"/>
      <c r="CA249" s="718"/>
    </row>
    <row r="250" spans="1:79" s="451" customFormat="1" hidden="1" outlineLevel="1" x14ac:dyDescent="0.25">
      <c r="A250" s="656"/>
      <c r="B250" s="576"/>
      <c r="C250" s="576"/>
      <c r="D250" s="576"/>
      <c r="E250" s="570" t="s">
        <v>986</v>
      </c>
      <c r="F250" s="656" t="s">
        <v>763</v>
      </c>
      <c r="G250" s="719"/>
      <c r="H250" s="719"/>
      <c r="I250" s="719"/>
      <c r="J250" s="719"/>
      <c r="K250" s="719"/>
      <c r="L250" s="719"/>
      <c r="M250" s="719"/>
      <c r="N250" s="719"/>
      <c r="O250" s="719"/>
      <c r="P250" s="716"/>
      <c r="Q250" s="716"/>
      <c r="R250" s="716"/>
      <c r="S250" s="676">
        <v>0</v>
      </c>
      <c r="T250" s="676">
        <v>0</v>
      </c>
      <c r="U250" s="676">
        <v>0</v>
      </c>
      <c r="V250" s="676">
        <v>0</v>
      </c>
      <c r="W250" s="676">
        <v>0</v>
      </c>
      <c r="X250" s="676">
        <v>18680.86</v>
      </c>
      <c r="Y250" s="676">
        <v>18962.14</v>
      </c>
      <c r="Z250" s="676">
        <v>16788.7</v>
      </c>
      <c r="AA250" s="676">
        <v>13318.66</v>
      </c>
      <c r="AB250" s="676">
        <v>60</v>
      </c>
      <c r="AC250" s="676">
        <v>169.5</v>
      </c>
      <c r="AD250" s="676">
        <v>0</v>
      </c>
      <c r="AE250" s="676">
        <v>0</v>
      </c>
      <c r="AF250" s="676">
        <v>0</v>
      </c>
      <c r="AG250" s="676">
        <v>3500</v>
      </c>
      <c r="AH250" s="718"/>
      <c r="AI250" s="718"/>
      <c r="AJ250" s="718"/>
      <c r="AK250" s="718"/>
      <c r="AL250" s="718"/>
      <c r="AM250" s="718"/>
      <c r="AN250" s="718"/>
      <c r="AO250" s="718"/>
      <c r="AP250" s="718"/>
      <c r="AQ250" s="718"/>
      <c r="AR250" s="718"/>
      <c r="AS250" s="718"/>
      <c r="AT250" s="718"/>
      <c r="AU250" s="718"/>
      <c r="AV250" s="718"/>
      <c r="AW250" s="718"/>
      <c r="AX250" s="718"/>
      <c r="AY250" s="718"/>
      <c r="AZ250" s="718"/>
      <c r="BA250" s="718"/>
      <c r="BB250" s="718"/>
      <c r="BC250" s="718"/>
      <c r="BD250" s="718"/>
      <c r="BE250" s="718"/>
      <c r="BF250" s="718"/>
      <c r="BG250" s="718"/>
      <c r="BH250" s="718"/>
      <c r="BI250" s="718"/>
      <c r="BJ250" s="718"/>
      <c r="BK250" s="718"/>
      <c r="BL250" s="718"/>
      <c r="BM250" s="718"/>
      <c r="BN250" s="718"/>
      <c r="BO250" s="718"/>
      <c r="BP250" s="718"/>
      <c r="BQ250" s="718"/>
      <c r="BR250" s="718"/>
      <c r="BS250" s="718"/>
      <c r="BT250" s="718"/>
      <c r="BU250" s="718"/>
      <c r="BV250" s="718"/>
      <c r="BW250" s="718"/>
      <c r="BX250" s="718"/>
      <c r="BY250" s="718"/>
      <c r="BZ250" s="718"/>
      <c r="CA250" s="718"/>
    </row>
    <row r="251" spans="1:79" s="451" customFormat="1" hidden="1" outlineLevel="1" x14ac:dyDescent="0.25">
      <c r="A251" s="656"/>
      <c r="B251" s="576"/>
      <c r="C251" s="576"/>
      <c r="D251" s="576"/>
      <c r="E251" s="570" t="s">
        <v>986</v>
      </c>
      <c r="F251" s="656" t="s">
        <v>779</v>
      </c>
      <c r="G251" s="719"/>
      <c r="H251" s="719"/>
      <c r="I251" s="719"/>
      <c r="J251" s="719"/>
      <c r="K251" s="719"/>
      <c r="L251" s="719"/>
      <c r="M251" s="719"/>
      <c r="N251" s="719"/>
      <c r="O251" s="719"/>
      <c r="P251" s="716"/>
      <c r="Q251" s="716"/>
      <c r="R251" s="716"/>
      <c r="S251" s="676">
        <v>0</v>
      </c>
      <c r="T251" s="676">
        <v>0</v>
      </c>
      <c r="U251" s="676">
        <v>0</v>
      </c>
      <c r="V251" s="676">
        <v>0</v>
      </c>
      <c r="W251" s="676">
        <v>0</v>
      </c>
      <c r="X251" s="676">
        <v>1150</v>
      </c>
      <c r="Y251" s="676">
        <v>595.09</v>
      </c>
      <c r="Z251" s="676">
        <v>5787.96</v>
      </c>
      <c r="AA251" s="676">
        <v>175</v>
      </c>
      <c r="AB251" s="676">
        <v>525</v>
      </c>
      <c r="AC251" s="676">
        <v>375</v>
      </c>
      <c r="AD251" s="676">
        <v>256</v>
      </c>
      <c r="AE251" s="676">
        <v>81</v>
      </c>
      <c r="AF251" s="676">
        <v>0</v>
      </c>
      <c r="AG251" s="676">
        <v>375</v>
      </c>
      <c r="AH251" s="718"/>
      <c r="AI251" s="718"/>
      <c r="AJ251" s="718"/>
      <c r="AK251" s="718"/>
      <c r="AL251" s="718"/>
      <c r="AM251" s="718"/>
      <c r="AN251" s="718"/>
      <c r="AO251" s="718"/>
      <c r="AP251" s="718"/>
      <c r="AQ251" s="718"/>
      <c r="AR251" s="718"/>
      <c r="AS251" s="718"/>
      <c r="AT251" s="718"/>
      <c r="AU251" s="718"/>
      <c r="AV251" s="718"/>
      <c r="AW251" s="718"/>
      <c r="AX251" s="718"/>
      <c r="AY251" s="718"/>
      <c r="AZ251" s="718"/>
      <c r="BA251" s="718"/>
      <c r="BB251" s="718"/>
      <c r="BC251" s="718"/>
      <c r="BD251" s="718"/>
      <c r="BE251" s="718"/>
      <c r="BF251" s="718"/>
      <c r="BG251" s="718"/>
      <c r="BH251" s="718"/>
      <c r="BI251" s="718"/>
      <c r="BJ251" s="718"/>
      <c r="BK251" s="718"/>
      <c r="BL251" s="718"/>
      <c r="BM251" s="718"/>
      <c r="BN251" s="718"/>
      <c r="BO251" s="718"/>
      <c r="BP251" s="718"/>
      <c r="BQ251" s="718"/>
      <c r="BR251" s="718"/>
      <c r="BS251" s="718"/>
      <c r="BT251" s="718"/>
      <c r="BU251" s="718"/>
      <c r="BV251" s="718"/>
      <c r="BW251" s="718"/>
      <c r="BX251" s="718"/>
      <c r="BY251" s="718"/>
      <c r="BZ251" s="718"/>
      <c r="CA251" s="718"/>
    </row>
    <row r="252" spans="1:79" s="451" customFormat="1" hidden="1" outlineLevel="1" x14ac:dyDescent="0.25">
      <c r="A252" s="656"/>
      <c r="B252" s="79"/>
      <c r="C252" s="79"/>
      <c r="D252" s="79"/>
      <c r="E252" s="570" t="s">
        <v>1260</v>
      </c>
      <c r="F252" s="656" t="s">
        <v>1371</v>
      </c>
      <c r="G252" s="716">
        <v>91250.8</v>
      </c>
      <c r="H252" s="716">
        <v>137787.19999999998</v>
      </c>
      <c r="I252" s="716">
        <v>162742.02000000002</v>
      </c>
      <c r="J252" s="716">
        <v>151877.41</v>
      </c>
      <c r="K252" s="716">
        <v>115310.32</v>
      </c>
      <c r="L252" s="716">
        <v>133316.34</v>
      </c>
      <c r="M252" s="716">
        <v>125631.40000000001</v>
      </c>
      <c r="N252" s="716">
        <v>142464.76</v>
      </c>
      <c r="O252" s="716">
        <v>143788.80000000005</v>
      </c>
      <c r="P252" s="716">
        <v>156742.78</v>
      </c>
      <c r="Q252" s="716">
        <v>88581.16</v>
      </c>
      <c r="R252" s="716">
        <v>60219.11</v>
      </c>
      <c r="S252" s="676">
        <v>228490.91</v>
      </c>
      <c r="T252" s="676">
        <v>153736.46</v>
      </c>
      <c r="U252" s="676">
        <v>213606.6</v>
      </c>
      <c r="V252" s="676">
        <v>209812.42</v>
      </c>
      <c r="W252" s="676">
        <v>239450.07</v>
      </c>
      <c r="X252" s="676">
        <v>334802.44</v>
      </c>
      <c r="Y252" s="676">
        <v>558380.03</v>
      </c>
      <c r="Z252" s="676">
        <v>565582.63</v>
      </c>
      <c r="AA252" s="676">
        <v>341707.57</v>
      </c>
      <c r="AB252" s="676">
        <v>317949.32</v>
      </c>
      <c r="AC252" s="676">
        <v>363905.76</v>
      </c>
      <c r="AD252" s="676">
        <v>283172.84999999998</v>
      </c>
      <c r="AE252" s="676">
        <v>252355.98</v>
      </c>
      <c r="AF252" s="676">
        <v>279182.46000000002</v>
      </c>
      <c r="AG252" s="676">
        <v>411300.59</v>
      </c>
      <c r="AH252" s="718"/>
      <c r="AI252" s="718"/>
      <c r="AJ252" s="718"/>
      <c r="AK252" s="718"/>
      <c r="AL252" s="718"/>
      <c r="AM252" s="718"/>
      <c r="AN252" s="718"/>
      <c r="AO252" s="718"/>
      <c r="AP252" s="718"/>
      <c r="AQ252" s="718"/>
      <c r="AR252" s="718"/>
      <c r="AS252" s="718"/>
      <c r="AT252" s="718"/>
      <c r="AU252" s="718"/>
      <c r="AV252" s="718"/>
      <c r="AW252" s="718"/>
      <c r="AX252" s="718"/>
      <c r="AY252" s="718"/>
      <c r="AZ252" s="718"/>
      <c r="BA252" s="718"/>
      <c r="BB252" s="718"/>
      <c r="BC252" s="718"/>
      <c r="BD252" s="718"/>
      <c r="BE252" s="718"/>
      <c r="BF252" s="718"/>
      <c r="BG252" s="718"/>
      <c r="BH252" s="718"/>
      <c r="BI252" s="718"/>
      <c r="BJ252" s="718"/>
      <c r="BK252" s="718"/>
      <c r="BL252" s="718"/>
      <c r="BM252" s="718"/>
      <c r="BN252" s="718"/>
      <c r="BO252" s="718"/>
      <c r="BP252" s="718"/>
      <c r="BQ252" s="718"/>
      <c r="BR252" s="718"/>
      <c r="BS252" s="718"/>
      <c r="BT252" s="718"/>
      <c r="BU252" s="718"/>
      <c r="BV252" s="718"/>
      <c r="BW252" s="718"/>
      <c r="BX252" s="718"/>
      <c r="BY252" s="718"/>
      <c r="BZ252" s="718"/>
      <c r="CA252" s="718"/>
    </row>
    <row r="253" spans="1:79" s="451" customFormat="1" hidden="1" outlineLevel="1" x14ac:dyDescent="0.25">
      <c r="A253" s="656"/>
      <c r="B253" s="79"/>
      <c r="C253" s="79"/>
      <c r="D253" s="79"/>
      <c r="E253" s="570" t="s">
        <v>1350</v>
      </c>
      <c r="F253" s="656" t="s">
        <v>614</v>
      </c>
      <c r="G253" s="716"/>
      <c r="H253" s="716"/>
      <c r="I253" s="716"/>
      <c r="J253" s="716"/>
      <c r="K253" s="716"/>
      <c r="L253" s="716"/>
      <c r="M253" s="716"/>
      <c r="N253" s="716"/>
      <c r="O253" s="716"/>
      <c r="P253" s="716"/>
      <c r="Q253" s="716"/>
      <c r="R253" s="716"/>
      <c r="S253" s="676">
        <v>8130</v>
      </c>
      <c r="T253" s="676">
        <v>6635</v>
      </c>
      <c r="U253" s="676">
        <v>6550</v>
      </c>
      <c r="V253" s="676">
        <v>6805</v>
      </c>
      <c r="W253" s="676">
        <v>7525</v>
      </c>
      <c r="X253" s="676">
        <v>24000</v>
      </c>
      <c r="Y253" s="676">
        <v>18016.48</v>
      </c>
      <c r="Z253" s="676">
        <v>18610.48</v>
      </c>
      <c r="AA253" s="676">
        <v>20104</v>
      </c>
      <c r="AB253" s="676">
        <v>18030.95</v>
      </c>
      <c r="AC253" s="676">
        <v>18134.849999999999</v>
      </c>
      <c r="AD253" s="676">
        <v>18093.21</v>
      </c>
      <c r="AE253" s="676">
        <v>18000</v>
      </c>
      <c r="AF253" s="676">
        <v>18000</v>
      </c>
      <c r="AG253" s="676">
        <v>18959</v>
      </c>
      <c r="AH253" s="718"/>
      <c r="AI253" s="718"/>
      <c r="AJ253" s="718"/>
      <c r="AK253" s="718"/>
      <c r="AL253" s="718"/>
      <c r="AM253" s="718"/>
      <c r="AN253" s="718"/>
      <c r="AO253" s="718"/>
      <c r="AP253" s="718"/>
      <c r="AQ253" s="718"/>
      <c r="AR253" s="718"/>
      <c r="AS253" s="718"/>
      <c r="AT253" s="718"/>
      <c r="AU253" s="718"/>
      <c r="AV253" s="718"/>
      <c r="AW253" s="718"/>
      <c r="AX253" s="718"/>
      <c r="AY253" s="718"/>
      <c r="AZ253" s="718"/>
      <c r="BA253" s="718"/>
      <c r="BB253" s="718"/>
      <c r="BC253" s="718"/>
      <c r="BD253" s="718"/>
      <c r="BE253" s="718"/>
      <c r="BF253" s="718"/>
      <c r="BG253" s="718"/>
      <c r="BH253" s="718"/>
      <c r="BI253" s="718"/>
      <c r="BJ253" s="718"/>
      <c r="BK253" s="718"/>
      <c r="BL253" s="718"/>
      <c r="BM253" s="718"/>
      <c r="BN253" s="718"/>
      <c r="BO253" s="718"/>
      <c r="BP253" s="718"/>
      <c r="BQ253" s="718"/>
      <c r="BR253" s="718"/>
      <c r="BS253" s="718"/>
      <c r="BT253" s="718"/>
      <c r="BU253" s="718"/>
      <c r="BV253" s="718"/>
      <c r="BW253" s="718"/>
      <c r="BX253" s="718"/>
      <c r="BY253" s="718"/>
      <c r="BZ253" s="718"/>
      <c r="CA253" s="718"/>
    </row>
    <row r="254" spans="1:79" s="451" customFormat="1" hidden="1" outlineLevel="1" x14ac:dyDescent="0.25">
      <c r="A254" s="656"/>
      <c r="B254" s="79"/>
      <c r="C254" s="79"/>
      <c r="D254" s="79"/>
      <c r="E254" s="570" t="s">
        <v>945</v>
      </c>
      <c r="F254" s="656" t="s">
        <v>615</v>
      </c>
      <c r="G254" s="719"/>
      <c r="H254" s="719"/>
      <c r="I254" s="719"/>
      <c r="J254" s="719"/>
      <c r="K254" s="719"/>
      <c r="L254" s="719"/>
      <c r="M254" s="719"/>
      <c r="N254" s="719"/>
      <c r="O254" s="719"/>
      <c r="P254" s="716"/>
      <c r="Q254" s="716"/>
      <c r="R254" s="716"/>
      <c r="S254" s="676">
        <v>2685.38</v>
      </c>
      <c r="T254" s="676">
        <v>0</v>
      </c>
      <c r="U254" s="676">
        <v>0</v>
      </c>
      <c r="V254" s="676">
        <v>297</v>
      </c>
      <c r="W254" s="676">
        <v>0</v>
      </c>
      <c r="X254" s="676">
        <v>0</v>
      </c>
      <c r="Y254" s="676">
        <v>0</v>
      </c>
      <c r="Z254" s="676">
        <v>0</v>
      </c>
      <c r="AA254" s="676">
        <v>0</v>
      </c>
      <c r="AB254" s="676">
        <v>0</v>
      </c>
      <c r="AC254" s="676">
        <v>0</v>
      </c>
      <c r="AD254" s="676">
        <v>0</v>
      </c>
      <c r="AE254" s="676">
        <v>0</v>
      </c>
      <c r="AF254" s="676">
        <v>0</v>
      </c>
      <c r="AG254" s="676">
        <v>0</v>
      </c>
      <c r="AH254" s="718"/>
      <c r="AI254" s="718"/>
      <c r="AJ254" s="718"/>
      <c r="AK254" s="718"/>
      <c r="AL254" s="718"/>
      <c r="AM254" s="718"/>
      <c r="AN254" s="718"/>
      <c r="AO254" s="718"/>
      <c r="AP254" s="718"/>
      <c r="AQ254" s="718"/>
      <c r="AR254" s="718"/>
      <c r="AS254" s="718"/>
      <c r="AT254" s="718"/>
      <c r="AU254" s="718"/>
      <c r="AV254" s="718"/>
      <c r="AW254" s="718"/>
      <c r="AX254" s="718"/>
      <c r="AY254" s="718"/>
      <c r="AZ254" s="718"/>
      <c r="BA254" s="718"/>
      <c r="BB254" s="718"/>
      <c r="BC254" s="718"/>
      <c r="BD254" s="718"/>
      <c r="BE254" s="718"/>
      <c r="BF254" s="718"/>
      <c r="BG254" s="718"/>
      <c r="BH254" s="718"/>
      <c r="BI254" s="718"/>
      <c r="BJ254" s="718"/>
      <c r="BK254" s="718"/>
      <c r="BL254" s="718"/>
      <c r="BM254" s="718"/>
      <c r="BN254" s="718"/>
      <c r="BO254" s="718"/>
      <c r="BP254" s="718"/>
      <c r="BQ254" s="718"/>
      <c r="BR254" s="718"/>
      <c r="BS254" s="718"/>
      <c r="BT254" s="718"/>
      <c r="BU254" s="718"/>
      <c r="BV254" s="718"/>
      <c r="BW254" s="718"/>
      <c r="BX254" s="718"/>
      <c r="BY254" s="718"/>
      <c r="BZ254" s="718"/>
      <c r="CA254" s="718"/>
    </row>
    <row r="255" spans="1:79" s="451" customFormat="1" hidden="1" outlineLevel="1" x14ac:dyDescent="0.25">
      <c r="A255" s="656"/>
      <c r="B255" s="576"/>
      <c r="C255" s="576"/>
      <c r="D255" s="576"/>
      <c r="E255" s="570" t="s">
        <v>1280</v>
      </c>
      <c r="F255" s="656" t="s">
        <v>887</v>
      </c>
      <c r="G255" s="719"/>
      <c r="H255" s="719"/>
      <c r="I255" s="719"/>
      <c r="J255" s="719"/>
      <c r="K255" s="719"/>
      <c r="L255" s="719"/>
      <c r="M255" s="719"/>
      <c r="N255" s="719"/>
      <c r="O255" s="719"/>
      <c r="P255" s="716"/>
      <c r="Q255" s="716"/>
      <c r="R255" s="716"/>
      <c r="S255" s="676">
        <v>0</v>
      </c>
      <c r="T255" s="676">
        <v>0</v>
      </c>
      <c r="U255" s="676">
        <v>0</v>
      </c>
      <c r="V255" s="676">
        <v>0</v>
      </c>
      <c r="W255" s="676">
        <v>0</v>
      </c>
      <c r="X255" s="676">
        <v>0</v>
      </c>
      <c r="Y255" s="676">
        <v>0</v>
      </c>
      <c r="Z255" s="676">
        <v>0</v>
      </c>
      <c r="AA255" s="676">
        <v>0</v>
      </c>
      <c r="AB255" s="676">
        <v>0</v>
      </c>
      <c r="AC255" s="676">
        <v>0</v>
      </c>
      <c r="AD255" s="676">
        <v>0</v>
      </c>
      <c r="AE255" s="676">
        <v>0</v>
      </c>
      <c r="AF255" s="676">
        <v>0</v>
      </c>
      <c r="AG255" s="676">
        <v>0</v>
      </c>
      <c r="AH255" s="718"/>
      <c r="AI255" s="718"/>
      <c r="AJ255" s="718"/>
      <c r="AK255" s="718"/>
      <c r="AL255" s="718"/>
      <c r="AM255" s="718"/>
      <c r="AN255" s="718"/>
      <c r="AO255" s="718"/>
      <c r="AP255" s="718"/>
      <c r="AQ255" s="718"/>
      <c r="AR255" s="718"/>
      <c r="AS255" s="718"/>
      <c r="AT255" s="718"/>
      <c r="AU255" s="718"/>
      <c r="AV255" s="718"/>
      <c r="AW255" s="718"/>
      <c r="AX255" s="718"/>
      <c r="AY255" s="718"/>
      <c r="AZ255" s="718"/>
      <c r="BA255" s="718"/>
      <c r="BB255" s="718"/>
      <c r="BC255" s="718"/>
      <c r="BD255" s="718"/>
      <c r="BE255" s="718"/>
      <c r="BF255" s="718"/>
      <c r="BG255" s="718"/>
      <c r="BH255" s="718"/>
      <c r="BI255" s="718"/>
      <c r="BJ255" s="718"/>
      <c r="BK255" s="718"/>
      <c r="BL255" s="718"/>
      <c r="BM255" s="718"/>
      <c r="BN255" s="718"/>
      <c r="BO255" s="718"/>
      <c r="BP255" s="718"/>
      <c r="BQ255" s="718"/>
      <c r="BR255" s="718"/>
      <c r="BS255" s="718"/>
      <c r="BT255" s="718"/>
      <c r="BU255" s="718"/>
      <c r="BV255" s="718"/>
      <c r="BW255" s="718"/>
      <c r="BX255" s="718"/>
      <c r="BY255" s="718"/>
      <c r="BZ255" s="718"/>
      <c r="CA255" s="718"/>
    </row>
    <row r="256" spans="1:79" s="451" customFormat="1" hidden="1" outlineLevel="1" x14ac:dyDescent="0.25">
      <c r="A256" s="656"/>
      <c r="B256" s="79"/>
      <c r="C256" s="79"/>
      <c r="D256" s="79"/>
      <c r="E256" s="570" t="s">
        <v>1337</v>
      </c>
      <c r="F256" s="656" t="s">
        <v>616</v>
      </c>
      <c r="G256" s="719"/>
      <c r="H256" s="719"/>
      <c r="I256" s="719"/>
      <c r="J256" s="719"/>
      <c r="K256" s="719"/>
      <c r="L256" s="719"/>
      <c r="M256" s="719"/>
      <c r="N256" s="719"/>
      <c r="O256" s="719"/>
      <c r="P256" s="716"/>
      <c r="Q256" s="716"/>
      <c r="R256" s="716"/>
      <c r="S256" s="676">
        <v>-775</v>
      </c>
      <c r="T256" s="676">
        <v>71.209999999999994</v>
      </c>
      <c r="U256" s="676">
        <v>0</v>
      </c>
      <c r="V256" s="676">
        <v>0</v>
      </c>
      <c r="W256" s="676">
        <v>0</v>
      </c>
      <c r="X256" s="676">
        <v>0</v>
      </c>
      <c r="Y256" s="676">
        <v>0</v>
      </c>
      <c r="Z256" s="676">
        <v>-13333.33</v>
      </c>
      <c r="AA256" s="676">
        <v>0</v>
      </c>
      <c r="AB256" s="676">
        <v>0</v>
      </c>
      <c r="AC256" s="676">
        <v>0</v>
      </c>
      <c r="AD256" s="676">
        <v>0</v>
      </c>
      <c r="AE256" s="676">
        <v>0</v>
      </c>
      <c r="AF256" s="676">
        <v>1337</v>
      </c>
      <c r="AG256" s="676">
        <v>0</v>
      </c>
      <c r="AH256" s="718"/>
      <c r="AI256" s="718"/>
      <c r="AJ256" s="718"/>
      <c r="AK256" s="718"/>
      <c r="AL256" s="718"/>
      <c r="AM256" s="718"/>
      <c r="AN256" s="718"/>
      <c r="AO256" s="718"/>
      <c r="AP256" s="718"/>
      <c r="AQ256" s="718"/>
      <c r="AR256" s="718"/>
      <c r="AS256" s="718"/>
      <c r="AT256" s="718"/>
      <c r="AU256" s="718"/>
      <c r="AV256" s="718"/>
      <c r="AW256" s="718"/>
      <c r="AX256" s="718"/>
      <c r="AY256" s="718"/>
      <c r="AZ256" s="718"/>
      <c r="BA256" s="718"/>
      <c r="BB256" s="718"/>
      <c r="BC256" s="718"/>
      <c r="BD256" s="718"/>
      <c r="BE256" s="718"/>
      <c r="BF256" s="718"/>
      <c r="BG256" s="718"/>
      <c r="BH256" s="718"/>
      <c r="BI256" s="718"/>
      <c r="BJ256" s="718"/>
      <c r="BK256" s="718"/>
      <c r="BL256" s="718"/>
      <c r="BM256" s="718"/>
      <c r="BN256" s="718"/>
      <c r="BO256" s="718"/>
      <c r="BP256" s="718"/>
      <c r="BQ256" s="718"/>
      <c r="BR256" s="718"/>
      <c r="BS256" s="718"/>
      <c r="BT256" s="718"/>
      <c r="BU256" s="718"/>
      <c r="BV256" s="718"/>
      <c r="BW256" s="718"/>
      <c r="BX256" s="718"/>
      <c r="BY256" s="718"/>
      <c r="BZ256" s="718"/>
      <c r="CA256" s="718"/>
    </row>
    <row r="257" spans="1:79" s="308" customFormat="1" hidden="1" outlineLevel="1" x14ac:dyDescent="0.25">
      <c r="A257" s="659"/>
      <c r="B257" s="29"/>
      <c r="C257" s="29"/>
      <c r="D257" s="29"/>
      <c r="E257" s="570" t="s">
        <v>49</v>
      </c>
      <c r="F257" s="659" t="s">
        <v>617</v>
      </c>
      <c r="G257" s="680">
        <f>SUM(G240:G256)</f>
        <v>91250.8</v>
      </c>
      <c r="H257" s="680">
        <f t="shared" ref="H257:BO257" si="78">SUM(H240:H256)</f>
        <v>137787.19999999998</v>
      </c>
      <c r="I257" s="680">
        <f t="shared" si="78"/>
        <v>162742.02000000002</v>
      </c>
      <c r="J257" s="680">
        <f t="shared" si="78"/>
        <v>151877.41</v>
      </c>
      <c r="K257" s="680">
        <f t="shared" si="78"/>
        <v>115310.32</v>
      </c>
      <c r="L257" s="680">
        <f t="shared" si="78"/>
        <v>133316.34</v>
      </c>
      <c r="M257" s="680">
        <f t="shared" si="78"/>
        <v>125631.40000000001</v>
      </c>
      <c r="N257" s="680">
        <f t="shared" si="78"/>
        <v>142464.76</v>
      </c>
      <c r="O257" s="680">
        <f t="shared" si="78"/>
        <v>143788.80000000005</v>
      </c>
      <c r="P257" s="680">
        <f t="shared" si="78"/>
        <v>156742.78</v>
      </c>
      <c r="Q257" s="680">
        <f t="shared" si="78"/>
        <v>88581.16</v>
      </c>
      <c r="R257" s="680">
        <f t="shared" si="78"/>
        <v>60219.11</v>
      </c>
      <c r="S257" s="678">
        <f t="shared" ref="S257:AA257" si="79">ROUND(SUM(S239:S256),5)</f>
        <v>253256.75</v>
      </c>
      <c r="T257" s="678">
        <f t="shared" si="79"/>
        <v>176428.63</v>
      </c>
      <c r="U257" s="678">
        <f t="shared" si="79"/>
        <v>245214.31</v>
      </c>
      <c r="V257" s="678">
        <f t="shared" si="79"/>
        <v>235310.52</v>
      </c>
      <c r="W257" s="678">
        <f t="shared" si="79"/>
        <v>270919.63</v>
      </c>
      <c r="X257" s="678">
        <f t="shared" si="79"/>
        <v>441594.77</v>
      </c>
      <c r="Y257" s="678">
        <f t="shared" si="79"/>
        <v>690294.7</v>
      </c>
      <c r="Z257" s="678">
        <f t="shared" si="79"/>
        <v>648530.91</v>
      </c>
      <c r="AA257" s="678">
        <f t="shared" si="79"/>
        <v>424936.93</v>
      </c>
      <c r="AB257" s="678">
        <f>ROUND(SUM(AB239:AB256),5)</f>
        <v>380685.58</v>
      </c>
      <c r="AC257" s="678">
        <f>ROUND(SUM(AC239:AC256),5)</f>
        <v>414441.6</v>
      </c>
      <c r="AD257" s="678">
        <f>ROUND(SUM(AD239:AD256),5)</f>
        <v>336322.19</v>
      </c>
      <c r="AE257" s="678">
        <f>ROUND(SUM(AE239:AE245)+SUM(AE246:AE248)+SUM(AE249:AE256),5)</f>
        <v>316586.65999999997</v>
      </c>
      <c r="AF257" s="678">
        <f>ROUND(SUM(AF239:AF245)+SUM(AF246:AF248)+SUM(AF249:AF256),5)</f>
        <v>314951.46000000002</v>
      </c>
      <c r="AG257" s="678">
        <f>ROUND(SUM(AG239:AG245)+SUM(AG246:AG248)+SUM(AG249:AG256),5)</f>
        <v>515966.44</v>
      </c>
      <c r="AH257" s="680">
        <f t="shared" si="78"/>
        <v>0</v>
      </c>
      <c r="AI257" s="680">
        <f t="shared" si="78"/>
        <v>0</v>
      </c>
      <c r="AJ257" s="680">
        <f t="shared" si="78"/>
        <v>0</v>
      </c>
      <c r="AK257" s="680">
        <f t="shared" si="78"/>
        <v>0</v>
      </c>
      <c r="AL257" s="680">
        <f t="shared" si="78"/>
        <v>0</v>
      </c>
      <c r="AM257" s="680">
        <f t="shared" si="78"/>
        <v>0</v>
      </c>
      <c r="AN257" s="680">
        <f t="shared" si="78"/>
        <v>0</v>
      </c>
      <c r="AO257" s="680">
        <f t="shared" si="78"/>
        <v>0</v>
      </c>
      <c r="AP257" s="680">
        <f t="shared" si="78"/>
        <v>0</v>
      </c>
      <c r="AQ257" s="680">
        <f t="shared" si="78"/>
        <v>0</v>
      </c>
      <c r="AR257" s="680">
        <f t="shared" si="78"/>
        <v>0</v>
      </c>
      <c r="AS257" s="680">
        <f t="shared" si="78"/>
        <v>0</v>
      </c>
      <c r="AT257" s="680">
        <f t="shared" si="78"/>
        <v>0</v>
      </c>
      <c r="AU257" s="680">
        <f t="shared" si="78"/>
        <v>0</v>
      </c>
      <c r="AV257" s="680">
        <f t="shared" si="78"/>
        <v>0</v>
      </c>
      <c r="AW257" s="680">
        <f t="shared" si="78"/>
        <v>0</v>
      </c>
      <c r="AX257" s="680">
        <f t="shared" si="78"/>
        <v>0</v>
      </c>
      <c r="AY257" s="680">
        <f t="shared" si="78"/>
        <v>0</v>
      </c>
      <c r="AZ257" s="680">
        <f t="shared" si="78"/>
        <v>0</v>
      </c>
      <c r="BA257" s="680">
        <f t="shared" si="78"/>
        <v>0</v>
      </c>
      <c r="BB257" s="680">
        <f t="shared" si="78"/>
        <v>0</v>
      </c>
      <c r="BC257" s="680">
        <f t="shared" si="78"/>
        <v>0</v>
      </c>
      <c r="BD257" s="680">
        <f t="shared" si="78"/>
        <v>0</v>
      </c>
      <c r="BE257" s="680">
        <f t="shared" si="78"/>
        <v>0</v>
      </c>
      <c r="BF257" s="680">
        <f t="shared" si="78"/>
        <v>0</v>
      </c>
      <c r="BG257" s="680">
        <f t="shared" si="78"/>
        <v>0</v>
      </c>
      <c r="BH257" s="680">
        <f t="shared" si="78"/>
        <v>0</v>
      </c>
      <c r="BI257" s="680">
        <f t="shared" si="78"/>
        <v>0</v>
      </c>
      <c r="BJ257" s="680">
        <f t="shared" si="78"/>
        <v>0</v>
      </c>
      <c r="BK257" s="680">
        <f t="shared" si="78"/>
        <v>0</v>
      </c>
      <c r="BL257" s="680">
        <f t="shared" si="78"/>
        <v>0</v>
      </c>
      <c r="BM257" s="680">
        <f t="shared" si="78"/>
        <v>0</v>
      </c>
      <c r="BN257" s="680">
        <f t="shared" si="78"/>
        <v>0</v>
      </c>
      <c r="BO257" s="680">
        <f t="shared" si="78"/>
        <v>0</v>
      </c>
      <c r="BP257" s="680">
        <f t="shared" ref="BP257:CA257" si="80">SUM(BP240:BP256)</f>
        <v>0</v>
      </c>
      <c r="BQ257" s="680">
        <f t="shared" si="80"/>
        <v>0</v>
      </c>
      <c r="BR257" s="680">
        <f t="shared" si="80"/>
        <v>0</v>
      </c>
      <c r="BS257" s="680">
        <f t="shared" si="80"/>
        <v>0</v>
      </c>
      <c r="BT257" s="680">
        <f t="shared" si="80"/>
        <v>0</v>
      </c>
      <c r="BU257" s="680">
        <f t="shared" si="80"/>
        <v>0</v>
      </c>
      <c r="BV257" s="680">
        <f t="shared" si="80"/>
        <v>0</v>
      </c>
      <c r="BW257" s="680">
        <f t="shared" si="80"/>
        <v>0</v>
      </c>
      <c r="BX257" s="680">
        <f t="shared" si="80"/>
        <v>0</v>
      </c>
      <c r="BY257" s="680">
        <f t="shared" si="80"/>
        <v>0</v>
      </c>
      <c r="BZ257" s="680">
        <f t="shared" si="80"/>
        <v>0</v>
      </c>
      <c r="CA257" s="680">
        <f t="shared" si="80"/>
        <v>0</v>
      </c>
    </row>
    <row r="258" spans="1:79" s="451" customFormat="1" hidden="1" outlineLevel="1" x14ac:dyDescent="0.25">
      <c r="A258" s="691"/>
      <c r="B258" s="737"/>
      <c r="C258" s="737"/>
      <c r="D258" s="737"/>
      <c r="E258" s="570" t="s">
        <v>1338</v>
      </c>
      <c r="F258" s="691" t="s">
        <v>594</v>
      </c>
      <c r="G258" s="733"/>
      <c r="H258" s="733"/>
      <c r="I258" s="733"/>
      <c r="J258" s="733"/>
      <c r="K258" s="733"/>
      <c r="L258" s="733"/>
      <c r="M258" s="733"/>
      <c r="N258" s="733"/>
      <c r="O258" s="733"/>
      <c r="P258" s="734"/>
      <c r="Q258" s="734"/>
      <c r="R258" s="734"/>
      <c r="S258" s="708"/>
      <c r="T258" s="708"/>
      <c r="U258" s="708"/>
      <c r="V258" s="708"/>
      <c r="W258" s="708"/>
      <c r="X258" s="708"/>
      <c r="Y258" s="708"/>
      <c r="Z258" s="708"/>
      <c r="AA258" s="708"/>
      <c r="AB258" s="708"/>
      <c r="AC258" s="708"/>
      <c r="AD258" s="708"/>
      <c r="AE258" s="708"/>
      <c r="AF258" s="708"/>
      <c r="AG258" s="708"/>
      <c r="AH258" s="736"/>
      <c r="AI258" s="736"/>
      <c r="AJ258" s="736"/>
      <c r="AK258" s="736"/>
      <c r="AL258" s="736"/>
      <c r="AM258" s="736"/>
      <c r="AN258" s="736"/>
      <c r="AO258" s="736"/>
      <c r="AP258" s="736"/>
      <c r="AQ258" s="736"/>
      <c r="AR258" s="736"/>
      <c r="AS258" s="736"/>
      <c r="AT258" s="736"/>
      <c r="AU258" s="736"/>
      <c r="AV258" s="736"/>
      <c r="AW258" s="736"/>
      <c r="AX258" s="736"/>
      <c r="AY258" s="736"/>
      <c r="AZ258" s="736"/>
      <c r="BA258" s="736"/>
      <c r="BB258" s="736"/>
      <c r="BC258" s="736"/>
      <c r="BD258" s="736"/>
      <c r="BE258" s="736"/>
      <c r="BF258" s="736"/>
      <c r="BG258" s="736"/>
      <c r="BH258" s="736"/>
      <c r="BI258" s="736"/>
      <c r="BJ258" s="736"/>
      <c r="BK258" s="736"/>
      <c r="BL258" s="736"/>
      <c r="BM258" s="736"/>
      <c r="BN258" s="736"/>
      <c r="BO258" s="736"/>
      <c r="BP258" s="736"/>
      <c r="BQ258" s="736"/>
      <c r="BR258" s="736"/>
      <c r="BS258" s="736"/>
      <c r="BT258" s="736"/>
      <c r="BU258" s="736"/>
      <c r="BV258" s="736"/>
      <c r="BW258" s="736"/>
      <c r="BX258" s="736"/>
      <c r="BY258" s="736"/>
      <c r="BZ258" s="736"/>
      <c r="CA258" s="736"/>
    </row>
    <row r="259" spans="1:79" s="451" customFormat="1" hidden="1" outlineLevel="1" x14ac:dyDescent="0.25">
      <c r="A259" s="656"/>
      <c r="B259" s="576"/>
      <c r="C259" s="576"/>
      <c r="D259" s="576"/>
      <c r="E259" s="570" t="s">
        <v>1338</v>
      </c>
      <c r="F259" s="656" t="s">
        <v>888</v>
      </c>
      <c r="G259" s="719"/>
      <c r="H259" s="719"/>
      <c r="I259" s="719"/>
      <c r="J259" s="719"/>
      <c r="K259" s="719"/>
      <c r="L259" s="719"/>
      <c r="M259" s="719"/>
      <c r="N259" s="719"/>
      <c r="O259" s="719"/>
      <c r="P259" s="716"/>
      <c r="Q259" s="716"/>
      <c r="R259" s="716"/>
      <c r="S259" s="684">
        <v>0</v>
      </c>
      <c r="T259" s="684">
        <v>0</v>
      </c>
      <c r="U259" s="684">
        <v>0</v>
      </c>
      <c r="V259" s="684">
        <v>0</v>
      </c>
      <c r="W259" s="684">
        <v>0</v>
      </c>
      <c r="X259" s="684">
        <v>0</v>
      </c>
      <c r="Y259" s="684">
        <v>0</v>
      </c>
      <c r="Z259" s="684">
        <v>0</v>
      </c>
      <c r="AA259" s="684">
        <v>0</v>
      </c>
      <c r="AB259" s="684">
        <v>0</v>
      </c>
      <c r="AC259" s="684">
        <v>0</v>
      </c>
      <c r="AD259" s="684">
        <v>0</v>
      </c>
      <c r="AE259" s="684">
        <v>0</v>
      </c>
      <c r="AF259" s="684">
        <v>0</v>
      </c>
      <c r="AG259" s="684">
        <v>0</v>
      </c>
      <c r="AH259" s="718"/>
      <c r="AI259" s="718"/>
      <c r="AJ259" s="718"/>
      <c r="AK259" s="718"/>
      <c r="AL259" s="718"/>
      <c r="AM259" s="718"/>
      <c r="AN259" s="718"/>
      <c r="AO259" s="718"/>
      <c r="AP259" s="718"/>
      <c r="AQ259" s="718"/>
      <c r="AR259" s="718"/>
      <c r="AS259" s="718"/>
      <c r="AT259" s="718"/>
      <c r="AU259" s="718"/>
      <c r="AV259" s="718"/>
      <c r="AW259" s="718"/>
      <c r="AX259" s="718"/>
      <c r="AY259" s="718"/>
      <c r="AZ259" s="718"/>
      <c r="BA259" s="718"/>
      <c r="BB259" s="718"/>
      <c r="BC259" s="718"/>
      <c r="BD259" s="718"/>
      <c r="BE259" s="718"/>
      <c r="BF259" s="718"/>
      <c r="BG259" s="718"/>
      <c r="BH259" s="718"/>
      <c r="BI259" s="718"/>
      <c r="BJ259" s="718"/>
      <c r="BK259" s="718"/>
      <c r="BL259" s="718"/>
      <c r="BM259" s="718"/>
      <c r="BN259" s="718"/>
      <c r="BO259" s="718"/>
      <c r="BP259" s="718"/>
      <c r="BQ259" s="718"/>
      <c r="BR259" s="718"/>
      <c r="BS259" s="718"/>
      <c r="BT259" s="718"/>
      <c r="BU259" s="718"/>
      <c r="BV259" s="718"/>
      <c r="BW259" s="718"/>
      <c r="BX259" s="718"/>
      <c r="BY259" s="718"/>
      <c r="BZ259" s="718"/>
      <c r="CA259" s="718"/>
    </row>
    <row r="260" spans="1:79" s="451" customFormat="1" hidden="1" outlineLevel="1" x14ac:dyDescent="0.25">
      <c r="A260" s="656"/>
      <c r="B260" s="79"/>
      <c r="C260" s="79"/>
      <c r="D260" s="79"/>
      <c r="E260" s="570" t="s">
        <v>1338</v>
      </c>
      <c r="F260" s="656" t="s">
        <v>618</v>
      </c>
      <c r="G260" s="716">
        <v>203.31574596330339</v>
      </c>
      <c r="H260" s="716">
        <v>98.568479227138994</v>
      </c>
      <c r="I260" s="716">
        <v>123.19391476400004</v>
      </c>
      <c r="J260" s="716">
        <v>187.84783760228265</v>
      </c>
      <c r="K260" s="716">
        <v>282.77350445274635</v>
      </c>
      <c r="L260" s="716">
        <v>328.42232132654328</v>
      </c>
      <c r="M260" s="716">
        <v>147.10225361649785</v>
      </c>
      <c r="N260" s="716">
        <v>135.73254466202116</v>
      </c>
      <c r="O260" s="716">
        <v>159.48941995087409</v>
      </c>
      <c r="P260" s="716">
        <v>180.87098300660904</v>
      </c>
      <c r="Q260" s="716">
        <v>171.27536527365697</v>
      </c>
      <c r="R260" s="716">
        <v>28.533220648398292</v>
      </c>
      <c r="S260" s="667">
        <v>0</v>
      </c>
      <c r="T260" s="667">
        <v>310.10000000000002</v>
      </c>
      <c r="U260" s="667">
        <v>853.68</v>
      </c>
      <c r="V260" s="667">
        <v>267.36</v>
      </c>
      <c r="W260" s="667">
        <v>999.8</v>
      </c>
      <c r="X260" s="667">
        <v>1941.66</v>
      </c>
      <c r="Y260" s="667">
        <v>0</v>
      </c>
      <c r="Z260" s="667">
        <v>189.93</v>
      </c>
      <c r="AA260" s="667">
        <v>731.04</v>
      </c>
      <c r="AB260" s="667">
        <v>0</v>
      </c>
      <c r="AC260" s="667">
        <v>85.78</v>
      </c>
      <c r="AD260" s="667">
        <v>24.08</v>
      </c>
      <c r="AE260" s="667">
        <v>409.24</v>
      </c>
      <c r="AF260" s="667">
        <v>250.73</v>
      </c>
      <c r="AG260" s="667">
        <v>684.96</v>
      </c>
      <c r="AH260" s="718"/>
      <c r="AI260" s="718"/>
      <c r="AJ260" s="718"/>
      <c r="AK260" s="718"/>
      <c r="AL260" s="718"/>
      <c r="AM260" s="718"/>
      <c r="AN260" s="718"/>
      <c r="AO260" s="718"/>
      <c r="AP260" s="718"/>
      <c r="AQ260" s="718"/>
      <c r="AR260" s="718"/>
      <c r="AS260" s="718"/>
      <c r="AT260" s="718"/>
      <c r="AU260" s="718"/>
      <c r="AV260" s="718"/>
      <c r="AW260" s="718"/>
      <c r="AX260" s="718"/>
      <c r="AY260" s="718"/>
      <c r="AZ260" s="718"/>
      <c r="BA260" s="718"/>
      <c r="BB260" s="718"/>
      <c r="BC260" s="718"/>
      <c r="BD260" s="718"/>
      <c r="BE260" s="718"/>
      <c r="BF260" s="718"/>
      <c r="BG260" s="718"/>
      <c r="BH260" s="718"/>
      <c r="BI260" s="718"/>
      <c r="BJ260" s="718"/>
      <c r="BK260" s="718"/>
      <c r="BL260" s="718"/>
      <c r="BM260" s="718"/>
      <c r="BN260" s="718"/>
      <c r="BO260" s="718"/>
      <c r="BP260" s="718"/>
      <c r="BQ260" s="718"/>
      <c r="BR260" s="718"/>
      <c r="BS260" s="718"/>
      <c r="BT260" s="718"/>
      <c r="BU260" s="718"/>
      <c r="BV260" s="718"/>
      <c r="BW260" s="718"/>
      <c r="BX260" s="718"/>
      <c r="BY260" s="718"/>
      <c r="BZ260" s="718"/>
      <c r="CA260" s="718"/>
    </row>
    <row r="261" spans="1:79" s="308" customFormat="1" hidden="1" outlineLevel="1" x14ac:dyDescent="0.25">
      <c r="A261" s="657"/>
      <c r="B261" s="29"/>
      <c r="C261" s="29"/>
      <c r="D261" s="29"/>
      <c r="E261" s="570" t="s">
        <v>49</v>
      </c>
      <c r="F261" s="657" t="s">
        <v>619</v>
      </c>
      <c r="G261" s="680">
        <f>SUM(G259:G260)</f>
        <v>203.31574596330339</v>
      </c>
      <c r="H261" s="680">
        <f t="shared" ref="H261:BO261" si="81">SUM(H259:H260)</f>
        <v>98.568479227138994</v>
      </c>
      <c r="I261" s="680">
        <f t="shared" si="81"/>
        <v>123.19391476400004</v>
      </c>
      <c r="J261" s="680">
        <f t="shared" si="81"/>
        <v>187.84783760228265</v>
      </c>
      <c r="K261" s="680">
        <f t="shared" si="81"/>
        <v>282.77350445274635</v>
      </c>
      <c r="L261" s="680">
        <f t="shared" si="81"/>
        <v>328.42232132654328</v>
      </c>
      <c r="M261" s="680">
        <f t="shared" si="81"/>
        <v>147.10225361649785</v>
      </c>
      <c r="N261" s="680">
        <f t="shared" si="81"/>
        <v>135.73254466202116</v>
      </c>
      <c r="O261" s="680">
        <f t="shared" si="81"/>
        <v>159.48941995087409</v>
      </c>
      <c r="P261" s="680">
        <f t="shared" si="81"/>
        <v>180.87098300660904</v>
      </c>
      <c r="Q261" s="680">
        <f t="shared" si="81"/>
        <v>171.27536527365697</v>
      </c>
      <c r="R261" s="680">
        <f t="shared" si="81"/>
        <v>28.533220648398292</v>
      </c>
      <c r="S261" s="678">
        <f t="shared" ref="S261:AA261" si="82">ROUND(SUM(S258:S260),5)</f>
        <v>0</v>
      </c>
      <c r="T261" s="678">
        <f t="shared" si="82"/>
        <v>310.10000000000002</v>
      </c>
      <c r="U261" s="678">
        <f t="shared" si="82"/>
        <v>853.68</v>
      </c>
      <c r="V261" s="678">
        <f t="shared" si="82"/>
        <v>267.36</v>
      </c>
      <c r="W261" s="678">
        <f t="shared" si="82"/>
        <v>999.8</v>
      </c>
      <c r="X261" s="678">
        <f t="shared" si="82"/>
        <v>1941.66</v>
      </c>
      <c r="Y261" s="678">
        <f t="shared" si="82"/>
        <v>0</v>
      </c>
      <c r="Z261" s="678">
        <f t="shared" si="82"/>
        <v>189.93</v>
      </c>
      <c r="AA261" s="678">
        <f t="shared" si="82"/>
        <v>731.04</v>
      </c>
      <c r="AB261" s="678">
        <f>ROUND(SUM(AB258:AB260),5)</f>
        <v>0</v>
      </c>
      <c r="AC261" s="678">
        <f>ROUND(SUM(AC258:AC260),5)</f>
        <v>85.78</v>
      </c>
      <c r="AD261" s="678">
        <f>ROUND(SUM(AD258:AD260),5)</f>
        <v>24.08</v>
      </c>
      <c r="AE261" s="678">
        <v>409.24</v>
      </c>
      <c r="AF261" s="678">
        <v>250.73</v>
      </c>
      <c r="AG261" s="678">
        <f>ROUND(SUM(AG258:AG260),5)</f>
        <v>684.96</v>
      </c>
      <c r="AH261" s="680">
        <f t="shared" si="81"/>
        <v>0</v>
      </c>
      <c r="AI261" s="680">
        <f t="shared" si="81"/>
        <v>0</v>
      </c>
      <c r="AJ261" s="680">
        <f t="shared" si="81"/>
        <v>0</v>
      </c>
      <c r="AK261" s="680">
        <f t="shared" si="81"/>
        <v>0</v>
      </c>
      <c r="AL261" s="680">
        <f t="shared" si="81"/>
        <v>0</v>
      </c>
      <c r="AM261" s="680">
        <f t="shared" si="81"/>
        <v>0</v>
      </c>
      <c r="AN261" s="680">
        <f t="shared" si="81"/>
        <v>0</v>
      </c>
      <c r="AO261" s="680">
        <f t="shared" si="81"/>
        <v>0</v>
      </c>
      <c r="AP261" s="680">
        <f t="shared" si="81"/>
        <v>0</v>
      </c>
      <c r="AQ261" s="680">
        <f t="shared" si="81"/>
        <v>0</v>
      </c>
      <c r="AR261" s="680">
        <f t="shared" si="81"/>
        <v>0</v>
      </c>
      <c r="AS261" s="680">
        <f t="shared" si="81"/>
        <v>0</v>
      </c>
      <c r="AT261" s="680">
        <f t="shared" si="81"/>
        <v>0</v>
      </c>
      <c r="AU261" s="680">
        <f t="shared" si="81"/>
        <v>0</v>
      </c>
      <c r="AV261" s="680">
        <f t="shared" si="81"/>
        <v>0</v>
      </c>
      <c r="AW261" s="680">
        <f t="shared" si="81"/>
        <v>0</v>
      </c>
      <c r="AX261" s="680">
        <f t="shared" si="81"/>
        <v>0</v>
      </c>
      <c r="AY261" s="680">
        <f t="shared" si="81"/>
        <v>0</v>
      </c>
      <c r="AZ261" s="680">
        <f t="shared" si="81"/>
        <v>0</v>
      </c>
      <c r="BA261" s="680">
        <f t="shared" si="81"/>
        <v>0</v>
      </c>
      <c r="BB261" s="680">
        <f t="shared" si="81"/>
        <v>0</v>
      </c>
      <c r="BC261" s="680">
        <f t="shared" si="81"/>
        <v>0</v>
      </c>
      <c r="BD261" s="680">
        <f t="shared" si="81"/>
        <v>0</v>
      </c>
      <c r="BE261" s="680">
        <f t="shared" si="81"/>
        <v>0</v>
      </c>
      <c r="BF261" s="680">
        <f t="shared" si="81"/>
        <v>0</v>
      </c>
      <c r="BG261" s="680">
        <f t="shared" si="81"/>
        <v>0</v>
      </c>
      <c r="BH261" s="680">
        <f t="shared" si="81"/>
        <v>0</v>
      </c>
      <c r="BI261" s="680">
        <f t="shared" si="81"/>
        <v>0</v>
      </c>
      <c r="BJ261" s="680">
        <f t="shared" si="81"/>
        <v>0</v>
      </c>
      <c r="BK261" s="680">
        <f t="shared" si="81"/>
        <v>0</v>
      </c>
      <c r="BL261" s="680">
        <f t="shared" si="81"/>
        <v>0</v>
      </c>
      <c r="BM261" s="680">
        <f t="shared" si="81"/>
        <v>0</v>
      </c>
      <c r="BN261" s="680">
        <f t="shared" si="81"/>
        <v>0</v>
      </c>
      <c r="BO261" s="680">
        <f t="shared" si="81"/>
        <v>0</v>
      </c>
      <c r="BP261" s="680">
        <f t="shared" ref="BP261:CA261" si="83">SUM(BP259:BP260)</f>
        <v>0</v>
      </c>
      <c r="BQ261" s="680">
        <f t="shared" si="83"/>
        <v>0</v>
      </c>
      <c r="BR261" s="680">
        <f t="shared" si="83"/>
        <v>0</v>
      </c>
      <c r="BS261" s="680">
        <f t="shared" si="83"/>
        <v>0</v>
      </c>
      <c r="BT261" s="680">
        <f t="shared" si="83"/>
        <v>0</v>
      </c>
      <c r="BU261" s="680">
        <f t="shared" si="83"/>
        <v>0</v>
      </c>
      <c r="BV261" s="680">
        <f t="shared" si="83"/>
        <v>0</v>
      </c>
      <c r="BW261" s="680">
        <f t="shared" si="83"/>
        <v>0</v>
      </c>
      <c r="BX261" s="680">
        <f t="shared" si="83"/>
        <v>0</v>
      </c>
      <c r="BY261" s="680">
        <f t="shared" si="83"/>
        <v>0</v>
      </c>
      <c r="BZ261" s="680">
        <f t="shared" si="83"/>
        <v>0</v>
      </c>
      <c r="CA261" s="680">
        <f t="shared" si="83"/>
        <v>0</v>
      </c>
    </row>
    <row r="262" spans="1:79" hidden="1" outlineLevel="1" x14ac:dyDescent="0.25">
      <c r="A262" s="658"/>
      <c r="E262" s="570" t="s">
        <v>945</v>
      </c>
      <c r="F262" s="658" t="s">
        <v>595</v>
      </c>
      <c r="G262" s="716">
        <v>0</v>
      </c>
      <c r="H262" s="716"/>
      <c r="I262" s="716"/>
      <c r="J262" s="716"/>
      <c r="K262" s="716">
        <v>9.81014617340265</v>
      </c>
      <c r="L262" s="716">
        <v>42.432527883979795</v>
      </c>
      <c r="M262" s="716">
        <v>23.665425273182962</v>
      </c>
      <c r="N262" s="716">
        <v>0.33300363871648408</v>
      </c>
      <c r="O262" s="716"/>
      <c r="P262" s="716">
        <v>142.44373666380849</v>
      </c>
      <c r="Q262" s="716">
        <v>15.61303758956273</v>
      </c>
      <c r="R262" s="716">
        <v>97.156855849878269</v>
      </c>
      <c r="S262" s="667">
        <v>0</v>
      </c>
      <c r="T262" s="667">
        <v>50</v>
      </c>
      <c r="U262" s="667">
        <v>0</v>
      </c>
      <c r="V262" s="667">
        <v>114.5</v>
      </c>
      <c r="W262" s="667">
        <v>1501.01</v>
      </c>
      <c r="X262" s="667">
        <v>97.14</v>
      </c>
      <c r="Y262" s="667">
        <v>0</v>
      </c>
      <c r="Z262" s="667">
        <v>0</v>
      </c>
      <c r="AA262" s="667">
        <v>0</v>
      </c>
      <c r="AB262" s="667">
        <v>0</v>
      </c>
      <c r="AC262" s="667">
        <v>200</v>
      </c>
      <c r="AD262" s="667">
        <v>2102.19</v>
      </c>
      <c r="AE262" s="667">
        <v>194.3</v>
      </c>
      <c r="AF262" s="667">
        <v>0</v>
      </c>
      <c r="AG262" s="667">
        <v>212</v>
      </c>
      <c r="AH262" s="718"/>
      <c r="AI262" s="718"/>
      <c r="AJ262" s="718"/>
      <c r="AK262" s="718"/>
      <c r="AL262" s="718"/>
      <c r="AM262" s="718"/>
      <c r="AN262" s="718"/>
      <c r="AO262" s="718"/>
      <c r="AP262" s="718"/>
      <c r="AQ262" s="718"/>
      <c r="AR262" s="718"/>
      <c r="AS262" s="718"/>
      <c r="AT262" s="718"/>
      <c r="AU262" s="718"/>
      <c r="AV262" s="718"/>
      <c r="AW262" s="718"/>
      <c r="AX262" s="718"/>
      <c r="AY262" s="718"/>
      <c r="AZ262" s="718"/>
      <c r="BA262" s="718"/>
      <c r="BB262" s="718"/>
      <c r="BC262" s="718"/>
      <c r="BD262" s="718"/>
      <c r="BE262" s="718"/>
      <c r="BF262" s="718"/>
      <c r="BG262" s="718"/>
      <c r="BH262" s="718"/>
      <c r="BI262" s="718"/>
      <c r="BJ262" s="718"/>
      <c r="BK262" s="718"/>
      <c r="BL262" s="718"/>
      <c r="BM262" s="718"/>
      <c r="BN262" s="718"/>
      <c r="BO262" s="718"/>
      <c r="BP262" s="718"/>
      <c r="BQ262" s="718"/>
      <c r="BR262" s="718"/>
      <c r="BS262" s="718"/>
      <c r="BT262" s="718"/>
      <c r="BU262" s="718"/>
      <c r="BV262" s="718"/>
      <c r="BW262" s="718"/>
      <c r="BX262" s="718"/>
      <c r="BY262" s="718"/>
      <c r="BZ262" s="718"/>
      <c r="CA262" s="718"/>
    </row>
    <row r="263" spans="1:79" hidden="1" outlineLevel="1" x14ac:dyDescent="0.25">
      <c r="A263" s="658"/>
      <c r="E263" s="570" t="s">
        <v>941</v>
      </c>
      <c r="F263" s="658" t="s">
        <v>596</v>
      </c>
      <c r="G263" s="716">
        <v>5.6932167802399656</v>
      </c>
      <c r="H263" s="716">
        <v>2.7912853637773485</v>
      </c>
      <c r="I263" s="716"/>
      <c r="J263" s="716">
        <v>4.3788502243859533</v>
      </c>
      <c r="K263" s="716">
        <v>45.930062800702849</v>
      </c>
      <c r="L263" s="716">
        <v>1.1365687392410004</v>
      </c>
      <c r="M263" s="716"/>
      <c r="N263" s="716">
        <v>1.5129000392472729</v>
      </c>
      <c r="O263" s="716">
        <v>0.31546574868876026</v>
      </c>
      <c r="P263" s="716">
        <v>4.9018194526622034</v>
      </c>
      <c r="Q263" s="716">
        <v>21.333590940969835</v>
      </c>
      <c r="R263" s="716">
        <v>10.263871589818473</v>
      </c>
      <c r="S263" s="667">
        <v>0</v>
      </c>
      <c r="T263" s="667">
        <v>16.829999999999998</v>
      </c>
      <c r="U263" s="667">
        <v>416.15</v>
      </c>
      <c r="V263" s="667">
        <v>32.6</v>
      </c>
      <c r="W263" s="667">
        <v>0</v>
      </c>
      <c r="X263" s="667">
        <v>196.3</v>
      </c>
      <c r="Y263" s="667">
        <v>54.18</v>
      </c>
      <c r="Z263" s="667">
        <v>60.28</v>
      </c>
      <c r="AA263" s="667">
        <v>188.72</v>
      </c>
      <c r="AB263" s="667">
        <v>306.70999999999998</v>
      </c>
      <c r="AC263" s="667">
        <v>43.3</v>
      </c>
      <c r="AD263" s="667">
        <v>144.41</v>
      </c>
      <c r="AE263" s="667">
        <v>328.01</v>
      </c>
      <c r="AF263" s="667">
        <v>0</v>
      </c>
      <c r="AG263" s="667">
        <v>7.12</v>
      </c>
      <c r="AH263" s="718"/>
      <c r="AI263" s="718"/>
      <c r="AJ263" s="718"/>
      <c r="AK263" s="718"/>
      <c r="AL263" s="718"/>
      <c r="AM263" s="718"/>
      <c r="AN263" s="718"/>
      <c r="AO263" s="718"/>
      <c r="AP263" s="718"/>
      <c r="AQ263" s="718"/>
      <c r="AR263" s="718"/>
      <c r="AS263" s="718"/>
      <c r="AT263" s="718"/>
      <c r="AU263" s="718"/>
      <c r="AV263" s="718"/>
      <c r="AW263" s="718"/>
      <c r="AX263" s="718"/>
      <c r="AY263" s="718"/>
      <c r="AZ263" s="718"/>
      <c r="BA263" s="718"/>
      <c r="BB263" s="718"/>
      <c r="BC263" s="718"/>
      <c r="BD263" s="718"/>
      <c r="BE263" s="718"/>
      <c r="BF263" s="718"/>
      <c r="BG263" s="718"/>
      <c r="BH263" s="718"/>
      <c r="BI263" s="718"/>
      <c r="BJ263" s="718"/>
      <c r="BK263" s="718"/>
      <c r="BL263" s="718"/>
      <c r="BM263" s="718"/>
      <c r="BN263" s="718"/>
      <c r="BO263" s="718"/>
      <c r="BP263" s="718"/>
      <c r="BQ263" s="718"/>
      <c r="BR263" s="718"/>
      <c r="BS263" s="718"/>
      <c r="BT263" s="718"/>
      <c r="BU263" s="718"/>
      <c r="BV263" s="718"/>
      <c r="BW263" s="718"/>
      <c r="BX263" s="718"/>
      <c r="BY263" s="718"/>
      <c r="BZ263" s="718"/>
      <c r="CA263" s="718"/>
    </row>
    <row r="264" spans="1:79" hidden="1" outlineLevel="1" x14ac:dyDescent="0.25">
      <c r="A264" s="658"/>
      <c r="E264" s="570" t="s">
        <v>943</v>
      </c>
      <c r="F264" s="658" t="s">
        <v>597</v>
      </c>
      <c r="G264" s="716">
        <v>0</v>
      </c>
      <c r="H264" s="716"/>
      <c r="I264" s="716"/>
      <c r="J264" s="716">
        <v>104.53077316869542</v>
      </c>
      <c r="K264" s="716">
        <v>9.7954529939117823</v>
      </c>
      <c r="L264" s="716"/>
      <c r="M264" s="716"/>
      <c r="N264" s="716"/>
      <c r="O264" s="716">
        <v>4.7099513701203142</v>
      </c>
      <c r="P264" s="716">
        <v>9.1429443841350849E-2</v>
      </c>
      <c r="Q264" s="716">
        <v>7.6016120055644532</v>
      </c>
      <c r="R264" s="716"/>
      <c r="S264" s="667">
        <v>654</v>
      </c>
      <c r="T264" s="667">
        <v>0</v>
      </c>
      <c r="U264" s="667">
        <v>29.74</v>
      </c>
      <c r="V264" s="667">
        <v>0</v>
      </c>
      <c r="W264" s="667">
        <v>618.03</v>
      </c>
      <c r="X264" s="667">
        <v>0</v>
      </c>
      <c r="Y264" s="667">
        <v>0</v>
      </c>
      <c r="Z264" s="667">
        <v>0</v>
      </c>
      <c r="AA264" s="667">
        <v>0</v>
      </c>
      <c r="AB264" s="667">
        <v>0</v>
      </c>
      <c r="AC264" s="667">
        <v>0</v>
      </c>
      <c r="AD264" s="667">
        <v>86.5</v>
      </c>
      <c r="AE264" s="667">
        <v>864.09</v>
      </c>
      <c r="AF264" s="667">
        <v>129</v>
      </c>
      <c r="AG264" s="667">
        <v>4.7</v>
      </c>
      <c r="AH264" s="718"/>
      <c r="AI264" s="718"/>
      <c r="AJ264" s="718"/>
      <c r="AK264" s="718"/>
      <c r="AL264" s="718"/>
      <c r="AM264" s="718"/>
      <c r="AN264" s="718"/>
      <c r="AO264" s="718"/>
      <c r="AP264" s="718"/>
      <c r="AQ264" s="718"/>
      <c r="AR264" s="718"/>
      <c r="AS264" s="718"/>
      <c r="AT264" s="718"/>
      <c r="AU264" s="718"/>
      <c r="AV264" s="718"/>
      <c r="AW264" s="718"/>
      <c r="AX264" s="718"/>
      <c r="AY264" s="718"/>
      <c r="AZ264" s="718"/>
      <c r="BA264" s="718"/>
      <c r="BB264" s="718"/>
      <c r="BC264" s="718"/>
      <c r="BD264" s="718"/>
      <c r="BE264" s="718"/>
      <c r="BF264" s="718"/>
      <c r="BG264" s="718"/>
      <c r="BH264" s="718"/>
      <c r="BI264" s="718"/>
      <c r="BJ264" s="718"/>
      <c r="BK264" s="718"/>
      <c r="BL264" s="718"/>
      <c r="BM264" s="718"/>
      <c r="BN264" s="718"/>
      <c r="BO264" s="718"/>
      <c r="BP264" s="718"/>
      <c r="BQ264" s="718"/>
      <c r="BR264" s="718"/>
      <c r="BS264" s="718"/>
      <c r="BT264" s="718"/>
      <c r="BU264" s="718"/>
      <c r="BV264" s="718"/>
      <c r="BW264" s="718"/>
      <c r="BX264" s="718"/>
      <c r="BY264" s="718"/>
      <c r="BZ264" s="718"/>
      <c r="CA264" s="718"/>
    </row>
    <row r="265" spans="1:79" s="740" customFormat="1" hidden="1" outlineLevel="1" x14ac:dyDescent="0.25">
      <c r="A265" s="701"/>
      <c r="B265" s="700"/>
      <c r="C265" s="700"/>
      <c r="D265" s="700"/>
      <c r="E265" s="570" t="s">
        <v>1339</v>
      </c>
      <c r="F265" s="701" t="s">
        <v>598</v>
      </c>
      <c r="G265" s="733"/>
      <c r="H265" s="739"/>
      <c r="I265" s="733"/>
      <c r="J265" s="733"/>
      <c r="K265" s="733"/>
      <c r="L265" s="733"/>
      <c r="M265" s="733"/>
      <c r="N265" s="733"/>
      <c r="O265" s="733"/>
      <c r="P265" s="734"/>
      <c r="Q265" s="734"/>
      <c r="R265" s="734"/>
      <c r="S265" s="697"/>
      <c r="T265" s="697"/>
      <c r="U265" s="697"/>
      <c r="V265" s="697"/>
      <c r="W265" s="697"/>
      <c r="X265" s="697"/>
      <c r="Y265" s="697"/>
      <c r="Z265" s="697"/>
      <c r="AA265" s="697"/>
      <c r="AB265" s="697"/>
      <c r="AC265" s="697"/>
      <c r="AD265" s="697"/>
      <c r="AE265" s="697"/>
      <c r="AF265" s="697"/>
      <c r="AG265" s="697"/>
      <c r="AH265" s="736"/>
      <c r="AI265" s="736"/>
      <c r="AJ265" s="736"/>
      <c r="AK265" s="736"/>
      <c r="AL265" s="736"/>
      <c r="AM265" s="736"/>
      <c r="AN265" s="736"/>
      <c r="AO265" s="736"/>
      <c r="AP265" s="736"/>
      <c r="AQ265" s="736"/>
      <c r="AR265" s="736"/>
      <c r="AS265" s="736"/>
      <c r="AT265" s="736"/>
      <c r="AU265" s="736"/>
      <c r="AV265" s="736"/>
      <c r="AW265" s="736"/>
      <c r="AX265" s="736"/>
      <c r="AY265" s="736"/>
      <c r="AZ265" s="736"/>
      <c r="BA265" s="736"/>
      <c r="BB265" s="736"/>
      <c r="BC265" s="736"/>
      <c r="BD265" s="736"/>
      <c r="BE265" s="736"/>
      <c r="BF265" s="736"/>
      <c r="BG265" s="736"/>
      <c r="BH265" s="736"/>
      <c r="BI265" s="736"/>
      <c r="BJ265" s="736"/>
      <c r="BK265" s="736"/>
      <c r="BL265" s="736"/>
      <c r="BM265" s="736"/>
      <c r="BN265" s="736"/>
      <c r="BO265" s="736"/>
      <c r="BP265" s="736"/>
      <c r="BQ265" s="736"/>
      <c r="BR265" s="736"/>
      <c r="BS265" s="736"/>
      <c r="BT265" s="736"/>
      <c r="BU265" s="736"/>
      <c r="BV265" s="736"/>
      <c r="BW265" s="736"/>
      <c r="BX265" s="736"/>
      <c r="BY265" s="736"/>
      <c r="BZ265" s="736"/>
      <c r="CA265" s="736"/>
    </row>
    <row r="266" spans="1:79" s="740" customFormat="1" hidden="1" outlineLevel="1" x14ac:dyDescent="0.25">
      <c r="A266" s="656"/>
      <c r="B266" s="503"/>
      <c r="C266" s="503"/>
      <c r="D266" s="503"/>
      <c r="E266" s="570" t="s">
        <v>1339</v>
      </c>
      <c r="F266" s="656" t="s">
        <v>649</v>
      </c>
      <c r="G266" s="719"/>
      <c r="H266" s="721"/>
      <c r="I266" s="719"/>
      <c r="J266" s="719"/>
      <c r="K266" s="719"/>
      <c r="L266" s="719"/>
      <c r="M266" s="719"/>
      <c r="N266" s="719"/>
      <c r="O266" s="719"/>
      <c r="P266" s="716"/>
      <c r="Q266" s="716"/>
      <c r="R266" s="716"/>
      <c r="S266" s="676">
        <v>0</v>
      </c>
      <c r="T266" s="676">
        <v>0</v>
      </c>
      <c r="U266" s="676">
        <v>0</v>
      </c>
      <c r="V266" s="676">
        <v>0</v>
      </c>
      <c r="W266" s="676">
        <v>0</v>
      </c>
      <c r="X266" s="676">
        <v>0</v>
      </c>
      <c r="Y266" s="676">
        <v>0</v>
      </c>
      <c r="Z266" s="676">
        <v>0</v>
      </c>
      <c r="AA266" s="676">
        <v>0</v>
      </c>
      <c r="AB266" s="676">
        <v>0</v>
      </c>
      <c r="AC266" s="676">
        <v>0</v>
      </c>
      <c r="AD266" s="676">
        <v>0</v>
      </c>
      <c r="AE266" s="676">
        <v>0</v>
      </c>
      <c r="AF266" s="676">
        <v>0</v>
      </c>
      <c r="AG266" s="676">
        <v>0</v>
      </c>
      <c r="AH266" s="718"/>
      <c r="AI266" s="718"/>
      <c r="AJ266" s="718"/>
      <c r="AK266" s="718"/>
      <c r="AL266" s="718"/>
      <c r="AM266" s="718"/>
      <c r="AN266" s="718"/>
      <c r="AO266" s="718"/>
      <c r="AP266" s="718"/>
      <c r="AQ266" s="718"/>
      <c r="AR266" s="718"/>
      <c r="AS266" s="718"/>
      <c r="AT266" s="718"/>
      <c r="AU266" s="718"/>
      <c r="AV266" s="718"/>
      <c r="AW266" s="718"/>
      <c r="AX266" s="718"/>
      <c r="AY266" s="718"/>
      <c r="AZ266" s="718"/>
      <c r="BA266" s="718"/>
      <c r="BB266" s="718"/>
      <c r="BC266" s="718"/>
      <c r="BD266" s="718"/>
      <c r="BE266" s="718"/>
      <c r="BF266" s="718"/>
      <c r="BG266" s="718"/>
      <c r="BH266" s="718"/>
      <c r="BI266" s="718"/>
      <c r="BJ266" s="718"/>
      <c r="BK266" s="718"/>
      <c r="BL266" s="718"/>
      <c r="BM266" s="718"/>
      <c r="BN266" s="718"/>
      <c r="BO266" s="718"/>
      <c r="BP266" s="718"/>
      <c r="BQ266" s="718"/>
      <c r="BR266" s="718"/>
      <c r="BS266" s="718"/>
      <c r="BT266" s="718"/>
      <c r="BU266" s="718"/>
      <c r="BV266" s="718"/>
      <c r="BW266" s="718"/>
      <c r="BX266" s="718"/>
      <c r="BY266" s="718"/>
      <c r="BZ266" s="718"/>
      <c r="CA266" s="718"/>
    </row>
    <row r="267" spans="1:79" s="451" customFormat="1" hidden="1" outlineLevel="1" x14ac:dyDescent="0.25">
      <c r="A267" s="656"/>
      <c r="B267" s="79"/>
      <c r="C267" s="79"/>
      <c r="D267" s="79"/>
      <c r="E267" s="570" t="s">
        <v>1339</v>
      </c>
      <c r="F267" s="656" t="s">
        <v>620</v>
      </c>
      <c r="G267" s="721"/>
      <c r="H267" s="721"/>
      <c r="I267" s="721"/>
      <c r="J267" s="721"/>
      <c r="K267" s="721"/>
      <c r="L267" s="721"/>
      <c r="M267" s="721"/>
      <c r="N267" s="721"/>
      <c r="O267" s="719"/>
      <c r="P267" s="716"/>
      <c r="Q267" s="716"/>
      <c r="R267" s="716"/>
      <c r="S267" s="667">
        <v>4875</v>
      </c>
      <c r="T267" s="667">
        <v>6375</v>
      </c>
      <c r="U267" s="667">
        <v>7504</v>
      </c>
      <c r="V267" s="667">
        <v>6907</v>
      </c>
      <c r="W267" s="667">
        <v>4725</v>
      </c>
      <c r="X267" s="667">
        <v>5138</v>
      </c>
      <c r="Y267" s="667">
        <v>5134.5</v>
      </c>
      <c r="Z267" s="667">
        <v>4837</v>
      </c>
      <c r="AA267" s="667">
        <v>9847</v>
      </c>
      <c r="AB267" s="667">
        <v>11638.5</v>
      </c>
      <c r="AC267" s="667">
        <v>11359.25</v>
      </c>
      <c r="AD267" s="667">
        <v>10451</v>
      </c>
      <c r="AE267" s="667">
        <v>9615</v>
      </c>
      <c r="AF267" s="667">
        <v>15106</v>
      </c>
      <c r="AG267" s="667">
        <v>19896</v>
      </c>
      <c r="AH267" s="718"/>
      <c r="AI267" s="718"/>
      <c r="AJ267" s="718"/>
      <c r="AK267" s="718"/>
      <c r="AL267" s="718"/>
      <c r="AM267" s="718"/>
      <c r="AN267" s="718"/>
      <c r="AO267" s="718"/>
      <c r="AP267" s="718"/>
      <c r="AQ267" s="718"/>
      <c r="AR267" s="718"/>
      <c r="AS267" s="718"/>
      <c r="AT267" s="718"/>
      <c r="AU267" s="718"/>
      <c r="AV267" s="718"/>
      <c r="AW267" s="718"/>
      <c r="AX267" s="718"/>
      <c r="AY267" s="718"/>
      <c r="AZ267" s="718"/>
      <c r="BA267" s="718"/>
      <c r="BB267" s="718"/>
      <c r="BC267" s="718"/>
      <c r="BD267" s="718"/>
      <c r="BE267" s="718"/>
      <c r="BF267" s="718"/>
      <c r="BG267" s="718"/>
      <c r="BH267" s="718"/>
      <c r="BI267" s="718"/>
      <c r="BJ267" s="718"/>
      <c r="BK267" s="718"/>
      <c r="BL267" s="718"/>
      <c r="BM267" s="718"/>
      <c r="BN267" s="718"/>
      <c r="BO267" s="718"/>
      <c r="BP267" s="718"/>
      <c r="BQ267" s="718"/>
      <c r="BR267" s="718"/>
      <c r="BS267" s="718"/>
      <c r="BT267" s="718"/>
      <c r="BU267" s="718"/>
      <c r="BV267" s="718"/>
      <c r="BW267" s="718"/>
      <c r="BX267" s="718"/>
      <c r="BY267" s="718"/>
      <c r="BZ267" s="718"/>
      <c r="CA267" s="718"/>
    </row>
    <row r="268" spans="1:79" s="451" customFormat="1" hidden="1" outlineLevel="1" x14ac:dyDescent="0.25">
      <c r="A268" s="656"/>
      <c r="B268" s="576"/>
      <c r="C268" s="576"/>
      <c r="D268" s="576"/>
      <c r="E268" s="570" t="s">
        <v>1339</v>
      </c>
      <c r="F268" s="656" t="s">
        <v>666</v>
      </c>
      <c r="G268" s="721"/>
      <c r="H268" s="721"/>
      <c r="I268" s="721"/>
      <c r="J268" s="721"/>
      <c r="K268" s="721"/>
      <c r="L268" s="721"/>
      <c r="M268" s="721"/>
      <c r="N268" s="721"/>
      <c r="O268" s="719"/>
      <c r="P268" s="716"/>
      <c r="Q268" s="716"/>
      <c r="R268" s="716"/>
      <c r="S268" s="667">
        <v>0</v>
      </c>
      <c r="T268" s="667">
        <v>0</v>
      </c>
      <c r="U268" s="667">
        <v>0</v>
      </c>
      <c r="V268" s="667">
        <v>0</v>
      </c>
      <c r="W268" s="667">
        <v>0</v>
      </c>
      <c r="X268" s="667">
        <v>0</v>
      </c>
      <c r="Y268" s="667">
        <v>0</v>
      </c>
      <c r="Z268" s="667">
        <v>0</v>
      </c>
      <c r="AA268" s="667">
        <v>0</v>
      </c>
      <c r="AB268" s="667">
        <v>0</v>
      </c>
      <c r="AC268" s="667">
        <v>0</v>
      </c>
      <c r="AD268" s="667">
        <v>0</v>
      </c>
      <c r="AE268" s="667">
        <v>0</v>
      </c>
      <c r="AF268" s="667">
        <v>7421.5</v>
      </c>
      <c r="AG268" s="667">
        <v>1487.5</v>
      </c>
      <c r="AH268" s="718"/>
      <c r="AI268" s="718"/>
      <c r="AJ268" s="718"/>
      <c r="AK268" s="718"/>
      <c r="AL268" s="718"/>
      <c r="AM268" s="718"/>
      <c r="AN268" s="718"/>
      <c r="AO268" s="718"/>
      <c r="AP268" s="718"/>
      <c r="AQ268" s="718"/>
      <c r="AR268" s="718"/>
      <c r="AS268" s="718"/>
      <c r="AT268" s="718"/>
      <c r="AU268" s="718"/>
      <c r="AV268" s="718"/>
      <c r="AW268" s="718"/>
      <c r="AX268" s="718"/>
      <c r="AY268" s="718"/>
      <c r="AZ268" s="718"/>
      <c r="BA268" s="718"/>
      <c r="BB268" s="718"/>
      <c r="BC268" s="718"/>
      <c r="BD268" s="718"/>
      <c r="BE268" s="718"/>
      <c r="BF268" s="718"/>
      <c r="BG268" s="718"/>
      <c r="BH268" s="718"/>
      <c r="BI268" s="718"/>
      <c r="BJ268" s="718"/>
      <c r="BK268" s="718"/>
      <c r="BL268" s="718"/>
      <c r="BM268" s="718"/>
      <c r="BN268" s="718"/>
      <c r="BO268" s="718"/>
      <c r="BP268" s="718"/>
      <c r="BQ268" s="718"/>
      <c r="BR268" s="718"/>
      <c r="BS268" s="718"/>
      <c r="BT268" s="718"/>
      <c r="BU268" s="718"/>
      <c r="BV268" s="718"/>
      <c r="BW268" s="718"/>
      <c r="BX268" s="718"/>
      <c r="BY268" s="718"/>
      <c r="BZ268" s="718"/>
      <c r="CA268" s="718"/>
    </row>
    <row r="269" spans="1:79" s="451" customFormat="1" hidden="1" outlineLevel="1" x14ac:dyDescent="0.25">
      <c r="A269" s="656"/>
      <c r="B269" s="79"/>
      <c r="C269" s="79"/>
      <c r="D269" s="79"/>
      <c r="E269" s="570" t="s">
        <v>1339</v>
      </c>
      <c r="F269" s="656" t="s">
        <v>621</v>
      </c>
      <c r="G269" s="719"/>
      <c r="H269" s="719"/>
      <c r="I269" s="719"/>
      <c r="J269" s="719"/>
      <c r="K269" s="719"/>
      <c r="L269" s="719"/>
      <c r="M269" s="716"/>
      <c r="N269" s="719"/>
      <c r="O269" s="719"/>
      <c r="P269" s="716"/>
      <c r="Q269" s="716"/>
      <c r="R269" s="716"/>
      <c r="S269" s="667">
        <v>1664.5</v>
      </c>
      <c r="T269" s="667">
        <v>9835.5</v>
      </c>
      <c r="U269" s="667">
        <v>-1500</v>
      </c>
      <c r="V269" s="667">
        <v>21600</v>
      </c>
      <c r="W269" s="667">
        <v>3180</v>
      </c>
      <c r="X269" s="667">
        <v>10800</v>
      </c>
      <c r="Y269" s="667">
        <v>10800</v>
      </c>
      <c r="Z269" s="667">
        <v>10800</v>
      </c>
      <c r="AA269" s="667">
        <v>10800</v>
      </c>
      <c r="AB269" s="667">
        <v>0</v>
      </c>
      <c r="AC269" s="667">
        <v>12150</v>
      </c>
      <c r="AD269" s="667">
        <v>0</v>
      </c>
      <c r="AE269" s="667">
        <v>2330.4</v>
      </c>
      <c r="AF269" s="667">
        <v>2553.1999999999998</v>
      </c>
      <c r="AG269" s="667">
        <v>1560</v>
      </c>
      <c r="AH269" s="718"/>
      <c r="AI269" s="718"/>
      <c r="AJ269" s="718"/>
      <c r="AK269" s="718"/>
      <c r="AL269" s="718"/>
      <c r="AM269" s="718"/>
      <c r="AN269" s="718"/>
      <c r="AO269" s="718"/>
      <c r="AP269" s="718"/>
      <c r="AQ269" s="718"/>
      <c r="AR269" s="718"/>
      <c r="AS269" s="718"/>
      <c r="AT269" s="718"/>
      <c r="AU269" s="718"/>
      <c r="AV269" s="718"/>
      <c r="AW269" s="718"/>
      <c r="AX269" s="718"/>
      <c r="AY269" s="718"/>
      <c r="AZ269" s="718"/>
      <c r="BA269" s="718"/>
      <c r="BB269" s="718"/>
      <c r="BC269" s="718"/>
      <c r="BD269" s="718"/>
      <c r="BE269" s="718"/>
      <c r="BF269" s="718"/>
      <c r="BG269" s="718"/>
      <c r="BH269" s="718"/>
      <c r="BI269" s="718"/>
      <c r="BJ269" s="718"/>
      <c r="BK269" s="718"/>
      <c r="BL269" s="718"/>
      <c r="BM269" s="718"/>
      <c r="BN269" s="718"/>
      <c r="BO269" s="718"/>
      <c r="BP269" s="718"/>
      <c r="BQ269" s="718"/>
      <c r="BR269" s="718"/>
      <c r="BS269" s="718"/>
      <c r="BT269" s="718"/>
      <c r="BU269" s="718"/>
      <c r="BV269" s="718"/>
      <c r="BW269" s="718"/>
      <c r="BX269" s="718"/>
      <c r="BY269" s="718"/>
      <c r="BZ269" s="718"/>
      <c r="CA269" s="718"/>
    </row>
    <row r="270" spans="1:79" s="451" customFormat="1" hidden="1" outlineLevel="1" x14ac:dyDescent="0.25">
      <c r="A270" s="656"/>
      <c r="B270" s="576"/>
      <c r="C270" s="576"/>
      <c r="D270" s="576"/>
      <c r="E270" s="570" t="s">
        <v>1339</v>
      </c>
      <c r="F270" s="656" t="s">
        <v>650</v>
      </c>
      <c r="G270" s="719"/>
      <c r="H270" s="719"/>
      <c r="I270" s="719"/>
      <c r="J270" s="719"/>
      <c r="K270" s="719"/>
      <c r="L270" s="719"/>
      <c r="M270" s="716"/>
      <c r="N270" s="719"/>
      <c r="O270" s="719"/>
      <c r="P270" s="716"/>
      <c r="Q270" s="716"/>
      <c r="R270" s="716"/>
      <c r="S270" s="667">
        <v>0</v>
      </c>
      <c r="T270" s="667">
        <v>0</v>
      </c>
      <c r="U270" s="667">
        <v>0</v>
      </c>
      <c r="V270" s="667">
        <v>0</v>
      </c>
      <c r="W270" s="667">
        <v>0</v>
      </c>
      <c r="X270" s="667">
        <v>0</v>
      </c>
      <c r="Y270" s="667">
        <v>0</v>
      </c>
      <c r="Z270" s="667">
        <v>0</v>
      </c>
      <c r="AA270" s="667">
        <v>0</v>
      </c>
      <c r="AB270" s="667">
        <v>0</v>
      </c>
      <c r="AC270" s="667">
        <v>0</v>
      </c>
      <c r="AD270" s="667">
        <v>0</v>
      </c>
      <c r="AE270" s="667">
        <v>0</v>
      </c>
      <c r="AF270" s="667">
        <v>0</v>
      </c>
      <c r="AG270" s="667">
        <v>0</v>
      </c>
      <c r="AH270" s="718"/>
      <c r="AI270" s="718"/>
      <c r="AJ270" s="718"/>
      <c r="AK270" s="718"/>
      <c r="AL270" s="718"/>
      <c r="AM270" s="718"/>
      <c r="AN270" s="718"/>
      <c r="AO270" s="718"/>
      <c r="AP270" s="718"/>
      <c r="AQ270" s="718"/>
      <c r="AR270" s="718"/>
      <c r="AS270" s="718"/>
      <c r="AT270" s="718"/>
      <c r="AU270" s="718"/>
      <c r="AV270" s="718"/>
      <c r="AW270" s="718"/>
      <c r="AX270" s="718"/>
      <c r="AY270" s="718"/>
      <c r="AZ270" s="718"/>
      <c r="BA270" s="718"/>
      <c r="BB270" s="718"/>
      <c r="BC270" s="718"/>
      <c r="BD270" s="718"/>
      <c r="BE270" s="718"/>
      <c r="BF270" s="718"/>
      <c r="BG270" s="718"/>
      <c r="BH270" s="718"/>
      <c r="BI270" s="718"/>
      <c r="BJ270" s="718"/>
      <c r="BK270" s="718"/>
      <c r="BL270" s="718"/>
      <c r="BM270" s="718"/>
      <c r="BN270" s="718"/>
      <c r="BO270" s="718"/>
      <c r="BP270" s="718"/>
      <c r="BQ270" s="718"/>
      <c r="BR270" s="718"/>
      <c r="BS270" s="718"/>
      <c r="BT270" s="718"/>
      <c r="BU270" s="718"/>
      <c r="BV270" s="718"/>
      <c r="BW270" s="718"/>
      <c r="BX270" s="718"/>
      <c r="BY270" s="718"/>
      <c r="BZ270" s="718"/>
      <c r="CA270" s="718"/>
    </row>
    <row r="271" spans="1:79" s="451" customFormat="1" hidden="1" outlineLevel="1" x14ac:dyDescent="0.25">
      <c r="A271" s="656"/>
      <c r="B271" s="576"/>
      <c r="C271" s="576"/>
      <c r="D271" s="576"/>
      <c r="E271" s="570" t="s">
        <v>1339</v>
      </c>
      <c r="F271" s="656" t="s">
        <v>647</v>
      </c>
      <c r="G271" s="719"/>
      <c r="H271" s="719"/>
      <c r="I271" s="719"/>
      <c r="J271" s="719"/>
      <c r="K271" s="719"/>
      <c r="L271" s="719"/>
      <c r="M271" s="716"/>
      <c r="N271" s="719"/>
      <c r="O271" s="719"/>
      <c r="P271" s="716"/>
      <c r="Q271" s="716"/>
      <c r="R271" s="716"/>
      <c r="S271" s="684">
        <v>0</v>
      </c>
      <c r="T271" s="684">
        <v>0</v>
      </c>
      <c r="U271" s="684">
        <v>0</v>
      </c>
      <c r="V271" s="684">
        <v>0</v>
      </c>
      <c r="W271" s="684">
        <v>0</v>
      </c>
      <c r="X271" s="684">
        <v>0</v>
      </c>
      <c r="Y271" s="684">
        <v>0</v>
      </c>
      <c r="Z271" s="684">
        <v>0</v>
      </c>
      <c r="AA271" s="684">
        <v>0</v>
      </c>
      <c r="AB271" s="684">
        <v>0</v>
      </c>
      <c r="AC271" s="684">
        <v>0</v>
      </c>
      <c r="AD271" s="684">
        <v>0</v>
      </c>
      <c r="AE271" s="684">
        <v>0</v>
      </c>
      <c r="AF271" s="684">
        <v>0</v>
      </c>
      <c r="AG271" s="684">
        <v>0</v>
      </c>
      <c r="AH271" s="718"/>
      <c r="AI271" s="718"/>
      <c r="AJ271" s="718"/>
      <c r="AK271" s="718"/>
      <c r="AL271" s="718"/>
      <c r="AM271" s="718"/>
      <c r="AN271" s="718"/>
      <c r="AO271" s="718"/>
      <c r="AP271" s="718"/>
      <c r="AQ271" s="718"/>
      <c r="AR271" s="718"/>
      <c r="AS271" s="718"/>
      <c r="AT271" s="718"/>
      <c r="AU271" s="718"/>
      <c r="AV271" s="718"/>
      <c r="AW271" s="718"/>
      <c r="AX271" s="718"/>
      <c r="AY271" s="718"/>
      <c r="AZ271" s="718"/>
      <c r="BA271" s="718"/>
      <c r="BB271" s="718"/>
      <c r="BC271" s="718"/>
      <c r="BD271" s="718"/>
      <c r="BE271" s="718"/>
      <c r="BF271" s="718"/>
      <c r="BG271" s="718"/>
      <c r="BH271" s="718"/>
      <c r="BI271" s="718"/>
      <c r="BJ271" s="718"/>
      <c r="BK271" s="718"/>
      <c r="BL271" s="718"/>
      <c r="BM271" s="718"/>
      <c r="BN271" s="718"/>
      <c r="BO271" s="718"/>
      <c r="BP271" s="718"/>
      <c r="BQ271" s="718"/>
      <c r="BR271" s="718"/>
      <c r="BS271" s="718"/>
      <c r="BT271" s="718"/>
      <c r="BU271" s="718"/>
      <c r="BV271" s="718"/>
      <c r="BW271" s="718"/>
      <c r="BX271" s="718"/>
      <c r="BY271" s="718"/>
      <c r="BZ271" s="718"/>
      <c r="CA271" s="718"/>
    </row>
    <row r="272" spans="1:79" s="451" customFormat="1" hidden="1" outlineLevel="1" x14ac:dyDescent="0.25">
      <c r="A272" s="656"/>
      <c r="B272" s="576"/>
      <c r="C272" s="576"/>
      <c r="D272" s="576"/>
      <c r="E272" s="570" t="s">
        <v>1339</v>
      </c>
      <c r="F272" s="656" t="s">
        <v>889</v>
      </c>
      <c r="G272" s="719"/>
      <c r="H272" s="719"/>
      <c r="I272" s="719"/>
      <c r="J272" s="719"/>
      <c r="K272" s="719"/>
      <c r="L272" s="719"/>
      <c r="M272" s="716"/>
      <c r="N272" s="719"/>
      <c r="O272" s="719"/>
      <c r="P272" s="716"/>
      <c r="Q272" s="716"/>
      <c r="R272" s="716"/>
      <c r="S272" s="684">
        <v>0</v>
      </c>
      <c r="T272" s="684">
        <v>0</v>
      </c>
      <c r="U272" s="684">
        <v>0</v>
      </c>
      <c r="V272" s="684">
        <v>0</v>
      </c>
      <c r="W272" s="684">
        <v>0</v>
      </c>
      <c r="X272" s="684">
        <v>0</v>
      </c>
      <c r="Y272" s="684">
        <v>0</v>
      </c>
      <c r="Z272" s="684">
        <v>0</v>
      </c>
      <c r="AA272" s="684">
        <v>0</v>
      </c>
      <c r="AB272" s="684">
        <v>0</v>
      </c>
      <c r="AC272" s="684">
        <v>0</v>
      </c>
      <c r="AD272" s="684">
        <v>0</v>
      </c>
      <c r="AE272" s="684">
        <v>0</v>
      </c>
      <c r="AF272" s="684">
        <v>0</v>
      </c>
      <c r="AG272" s="684">
        <v>0</v>
      </c>
      <c r="AH272" s="718"/>
      <c r="AI272" s="718"/>
      <c r="AJ272" s="718"/>
      <c r="AK272" s="718"/>
      <c r="AL272" s="718"/>
      <c r="AM272" s="718"/>
      <c r="AN272" s="718"/>
      <c r="AO272" s="718"/>
      <c r="AP272" s="718"/>
      <c r="AQ272" s="718"/>
      <c r="AR272" s="718"/>
      <c r="AS272" s="718"/>
      <c r="AT272" s="718"/>
      <c r="AU272" s="718"/>
      <c r="AV272" s="718"/>
      <c r="AW272" s="718"/>
      <c r="AX272" s="718"/>
      <c r="AY272" s="718"/>
      <c r="AZ272" s="718"/>
      <c r="BA272" s="718"/>
      <c r="BB272" s="718"/>
      <c r="BC272" s="718"/>
      <c r="BD272" s="718"/>
      <c r="BE272" s="718"/>
      <c r="BF272" s="718"/>
      <c r="BG272" s="718"/>
      <c r="BH272" s="718"/>
      <c r="BI272" s="718"/>
      <c r="BJ272" s="718"/>
      <c r="BK272" s="718"/>
      <c r="BL272" s="718"/>
      <c r="BM272" s="718"/>
      <c r="BN272" s="718"/>
      <c r="BO272" s="718"/>
      <c r="BP272" s="718"/>
      <c r="BQ272" s="718"/>
      <c r="BR272" s="718"/>
      <c r="BS272" s="718"/>
      <c r="BT272" s="718"/>
      <c r="BU272" s="718"/>
      <c r="BV272" s="718"/>
      <c r="BW272" s="718"/>
      <c r="BX272" s="718"/>
      <c r="BY272" s="718"/>
      <c r="BZ272" s="718"/>
      <c r="CA272" s="718"/>
    </row>
    <row r="273" spans="1:79" s="451" customFormat="1" hidden="1" outlineLevel="1" x14ac:dyDescent="0.25">
      <c r="A273" s="656"/>
      <c r="B273" s="576"/>
      <c r="C273" s="576"/>
      <c r="D273" s="576"/>
      <c r="E273" s="570" t="s">
        <v>1339</v>
      </c>
      <c r="F273" s="656" t="s">
        <v>684</v>
      </c>
      <c r="G273" s="719"/>
      <c r="H273" s="719"/>
      <c r="I273" s="719"/>
      <c r="J273" s="719"/>
      <c r="K273" s="719"/>
      <c r="L273" s="719"/>
      <c r="M273" s="716"/>
      <c r="N273" s="719"/>
      <c r="O273" s="719"/>
      <c r="P273" s="716"/>
      <c r="Q273" s="716"/>
      <c r="R273" s="716"/>
      <c r="S273" s="667">
        <v>0</v>
      </c>
      <c r="T273" s="667">
        <v>0</v>
      </c>
      <c r="U273" s="667">
        <v>0</v>
      </c>
      <c r="V273" s="667">
        <v>0</v>
      </c>
      <c r="W273" s="667">
        <v>0</v>
      </c>
      <c r="X273" s="667">
        <v>0</v>
      </c>
      <c r="Y273" s="667">
        <v>0</v>
      </c>
      <c r="Z273" s="667">
        <v>0</v>
      </c>
      <c r="AA273" s="667">
        <v>0</v>
      </c>
      <c r="AB273" s="667">
        <v>0</v>
      </c>
      <c r="AC273" s="667">
        <v>0</v>
      </c>
      <c r="AD273" s="667">
        <v>0</v>
      </c>
      <c r="AE273" s="667">
        <v>0</v>
      </c>
      <c r="AF273" s="667">
        <v>0</v>
      </c>
      <c r="AG273" s="667">
        <v>0</v>
      </c>
      <c r="AH273" s="718"/>
      <c r="AI273" s="718"/>
      <c r="AJ273" s="718"/>
      <c r="AK273" s="718"/>
      <c r="AL273" s="718"/>
      <c r="AM273" s="718"/>
      <c r="AN273" s="718"/>
      <c r="AO273" s="718"/>
      <c r="AP273" s="718"/>
      <c r="AQ273" s="718"/>
      <c r="AR273" s="718"/>
      <c r="AS273" s="718"/>
      <c r="AT273" s="718"/>
      <c r="AU273" s="718"/>
      <c r="AV273" s="718"/>
      <c r="AW273" s="718"/>
      <c r="AX273" s="718"/>
      <c r="AY273" s="718"/>
      <c r="AZ273" s="718"/>
      <c r="BA273" s="718"/>
      <c r="BB273" s="718"/>
      <c r="BC273" s="718"/>
      <c r="BD273" s="718"/>
      <c r="BE273" s="718"/>
      <c r="BF273" s="718"/>
      <c r="BG273" s="718"/>
      <c r="BH273" s="718"/>
      <c r="BI273" s="718"/>
      <c r="BJ273" s="718"/>
      <c r="BK273" s="718"/>
      <c r="BL273" s="718"/>
      <c r="BM273" s="718"/>
      <c r="BN273" s="718"/>
      <c r="BO273" s="718"/>
      <c r="BP273" s="718"/>
      <c r="BQ273" s="718"/>
      <c r="BR273" s="718"/>
      <c r="BS273" s="718"/>
      <c r="BT273" s="718"/>
      <c r="BU273" s="718"/>
      <c r="BV273" s="718"/>
      <c r="BW273" s="718"/>
      <c r="BX273" s="718"/>
      <c r="BY273" s="718"/>
      <c r="BZ273" s="718"/>
      <c r="CA273" s="718"/>
    </row>
    <row r="274" spans="1:79" s="451" customFormat="1" hidden="1" outlineLevel="1" x14ac:dyDescent="0.25">
      <c r="A274" s="656"/>
      <c r="B274" s="576"/>
      <c r="C274" s="576"/>
      <c r="D274" s="576"/>
      <c r="E274" s="570" t="s">
        <v>1339</v>
      </c>
      <c r="F274" s="656" t="s">
        <v>890</v>
      </c>
      <c r="G274" s="719">
        <v>0</v>
      </c>
      <c r="H274" s="719">
        <v>58.900303097221951</v>
      </c>
      <c r="I274" s="719">
        <v>0</v>
      </c>
      <c r="J274" s="719">
        <v>81.423235224850799</v>
      </c>
      <c r="K274" s="719">
        <v>79.588055575533232</v>
      </c>
      <c r="L274" s="719">
        <v>600.7981519619716</v>
      </c>
      <c r="M274" s="719">
        <v>957.17246009714677</v>
      </c>
      <c r="N274" s="719">
        <v>1232.4185712969356</v>
      </c>
      <c r="O274" s="719">
        <v>1143.82959355764</v>
      </c>
      <c r="P274" s="716">
        <v>314.83094986976101</v>
      </c>
      <c r="Q274" s="716">
        <v>1335.3510364063306</v>
      </c>
      <c r="R274" s="716">
        <v>5515.8588502170451</v>
      </c>
      <c r="S274" s="667">
        <v>0</v>
      </c>
      <c r="T274" s="667">
        <v>0</v>
      </c>
      <c r="U274" s="667">
        <v>0</v>
      </c>
      <c r="V274" s="667">
        <v>0</v>
      </c>
      <c r="W274" s="667">
        <v>0</v>
      </c>
      <c r="X274" s="667">
        <v>0</v>
      </c>
      <c r="Y274" s="667">
        <v>0</v>
      </c>
      <c r="Z274" s="667">
        <v>0</v>
      </c>
      <c r="AA274" s="667">
        <v>0</v>
      </c>
      <c r="AB274" s="667">
        <v>0</v>
      </c>
      <c r="AC274" s="667">
        <v>0</v>
      </c>
      <c r="AD274" s="667">
        <v>0</v>
      </c>
      <c r="AE274" s="667">
        <v>0</v>
      </c>
      <c r="AF274" s="667">
        <v>0</v>
      </c>
      <c r="AG274" s="667">
        <v>0</v>
      </c>
      <c r="AH274" s="718"/>
      <c r="AI274" s="718"/>
      <c r="AJ274" s="718"/>
      <c r="AK274" s="718"/>
      <c r="AL274" s="718"/>
      <c r="AM274" s="718"/>
      <c r="AN274" s="718"/>
      <c r="AO274" s="718"/>
      <c r="AP274" s="718"/>
      <c r="AQ274" s="718"/>
      <c r="AR274" s="718"/>
      <c r="AS274" s="718"/>
      <c r="AT274" s="718"/>
      <c r="AU274" s="718"/>
      <c r="AV274" s="718"/>
      <c r="AW274" s="718"/>
      <c r="AX274" s="718"/>
      <c r="AY274" s="718"/>
      <c r="AZ274" s="718"/>
      <c r="BA274" s="718"/>
      <c r="BB274" s="718"/>
      <c r="BC274" s="718"/>
      <c r="BD274" s="718"/>
      <c r="BE274" s="718"/>
      <c r="BF274" s="718"/>
      <c r="BG274" s="718"/>
      <c r="BH274" s="718"/>
      <c r="BI274" s="718"/>
      <c r="BJ274" s="718"/>
      <c r="BK274" s="718"/>
      <c r="BL274" s="718"/>
      <c r="BM274" s="718"/>
      <c r="BN274" s="718"/>
      <c r="BO274" s="718"/>
      <c r="BP274" s="718"/>
      <c r="BQ274" s="718"/>
      <c r="BR274" s="718"/>
      <c r="BS274" s="718"/>
      <c r="BT274" s="718"/>
      <c r="BU274" s="718"/>
      <c r="BV274" s="718"/>
      <c r="BW274" s="718"/>
      <c r="BX274" s="718"/>
      <c r="BY274" s="718"/>
      <c r="BZ274" s="718"/>
      <c r="CA274" s="718"/>
    </row>
    <row r="275" spans="1:79" s="308" customFormat="1" hidden="1" outlineLevel="1" x14ac:dyDescent="0.25">
      <c r="A275" s="659"/>
      <c r="B275" s="29"/>
      <c r="C275" s="29"/>
      <c r="D275" s="29"/>
      <c r="E275" s="570" t="s">
        <v>49</v>
      </c>
      <c r="F275" s="659" t="s">
        <v>622</v>
      </c>
      <c r="G275" s="680">
        <f>SUM(G266:G274)</f>
        <v>0</v>
      </c>
      <c r="H275" s="680">
        <f t="shared" ref="H275:BO275" si="84">SUM(H266:H274)</f>
        <v>58.900303097221951</v>
      </c>
      <c r="I275" s="680">
        <f t="shared" si="84"/>
        <v>0</v>
      </c>
      <c r="J275" s="680">
        <f t="shared" si="84"/>
        <v>81.423235224850799</v>
      </c>
      <c r="K275" s="680">
        <f t="shared" si="84"/>
        <v>79.588055575533232</v>
      </c>
      <c r="L275" s="680">
        <f t="shared" si="84"/>
        <v>600.7981519619716</v>
      </c>
      <c r="M275" s="680">
        <f t="shared" si="84"/>
        <v>957.17246009714677</v>
      </c>
      <c r="N275" s="680">
        <f t="shared" si="84"/>
        <v>1232.4185712969356</v>
      </c>
      <c r="O275" s="680">
        <f t="shared" si="84"/>
        <v>1143.82959355764</v>
      </c>
      <c r="P275" s="680">
        <f t="shared" si="84"/>
        <v>314.83094986976101</v>
      </c>
      <c r="Q275" s="680">
        <f t="shared" si="84"/>
        <v>1335.3510364063306</v>
      </c>
      <c r="R275" s="680">
        <f t="shared" si="84"/>
        <v>5515.8588502170451</v>
      </c>
      <c r="S275" s="680">
        <f t="shared" ref="S275:AA275" si="85">ROUND(SUM(S265:S274),5)</f>
        <v>6539.5</v>
      </c>
      <c r="T275" s="680">
        <f t="shared" si="85"/>
        <v>16210.5</v>
      </c>
      <c r="U275" s="680">
        <f t="shared" si="85"/>
        <v>6004</v>
      </c>
      <c r="V275" s="680">
        <f t="shared" si="85"/>
        <v>28507</v>
      </c>
      <c r="W275" s="680">
        <f t="shared" si="85"/>
        <v>7905</v>
      </c>
      <c r="X275" s="680">
        <f t="shared" si="85"/>
        <v>15938</v>
      </c>
      <c r="Y275" s="680">
        <f t="shared" si="85"/>
        <v>15934.5</v>
      </c>
      <c r="Z275" s="680">
        <f t="shared" si="85"/>
        <v>15637</v>
      </c>
      <c r="AA275" s="680">
        <f t="shared" si="85"/>
        <v>20647</v>
      </c>
      <c r="AB275" s="680">
        <f>ROUND(SUM(AB265:AB274),5)</f>
        <v>11638.5</v>
      </c>
      <c r="AC275" s="680">
        <f>ROUND(SUM(AC265:AC274),5)</f>
        <v>23509.25</v>
      </c>
      <c r="AD275" s="680">
        <f>ROUND(SUM(AD265:AD274),5)</f>
        <v>10451</v>
      </c>
      <c r="AE275" s="680">
        <v>11945.4</v>
      </c>
      <c r="AF275" s="680">
        <v>25080.7</v>
      </c>
      <c r="AG275" s="680">
        <f>ROUND(SUM(AG265:AG274),5)</f>
        <v>22943.5</v>
      </c>
      <c r="AH275" s="680">
        <f t="shared" si="84"/>
        <v>0</v>
      </c>
      <c r="AI275" s="680">
        <f t="shared" si="84"/>
        <v>0</v>
      </c>
      <c r="AJ275" s="680">
        <f t="shared" si="84"/>
        <v>0</v>
      </c>
      <c r="AK275" s="680">
        <f t="shared" si="84"/>
        <v>0</v>
      </c>
      <c r="AL275" s="680">
        <f t="shared" si="84"/>
        <v>0</v>
      </c>
      <c r="AM275" s="680">
        <f t="shared" si="84"/>
        <v>0</v>
      </c>
      <c r="AN275" s="680">
        <f t="shared" si="84"/>
        <v>0</v>
      </c>
      <c r="AO275" s="680">
        <f t="shared" si="84"/>
        <v>0</v>
      </c>
      <c r="AP275" s="680">
        <f t="shared" si="84"/>
        <v>0</v>
      </c>
      <c r="AQ275" s="680">
        <f t="shared" si="84"/>
        <v>0</v>
      </c>
      <c r="AR275" s="680">
        <f t="shared" si="84"/>
        <v>0</v>
      </c>
      <c r="AS275" s="680">
        <f t="shared" si="84"/>
        <v>0</v>
      </c>
      <c r="AT275" s="680">
        <f t="shared" si="84"/>
        <v>0</v>
      </c>
      <c r="AU275" s="680">
        <f t="shared" si="84"/>
        <v>0</v>
      </c>
      <c r="AV275" s="680">
        <f t="shared" si="84"/>
        <v>0</v>
      </c>
      <c r="AW275" s="680">
        <f t="shared" si="84"/>
        <v>0</v>
      </c>
      <c r="AX275" s="680">
        <f t="shared" si="84"/>
        <v>0</v>
      </c>
      <c r="AY275" s="680">
        <f t="shared" si="84"/>
        <v>0</v>
      </c>
      <c r="AZ275" s="680">
        <f t="shared" si="84"/>
        <v>0</v>
      </c>
      <c r="BA275" s="680">
        <f t="shared" si="84"/>
        <v>0</v>
      </c>
      <c r="BB275" s="680">
        <f t="shared" si="84"/>
        <v>0</v>
      </c>
      <c r="BC275" s="680">
        <f t="shared" si="84"/>
        <v>0</v>
      </c>
      <c r="BD275" s="680">
        <f t="shared" si="84"/>
        <v>0</v>
      </c>
      <c r="BE275" s="680">
        <f t="shared" si="84"/>
        <v>0</v>
      </c>
      <c r="BF275" s="680">
        <f t="shared" si="84"/>
        <v>0</v>
      </c>
      <c r="BG275" s="680">
        <f t="shared" si="84"/>
        <v>0</v>
      </c>
      <c r="BH275" s="680">
        <f t="shared" si="84"/>
        <v>0</v>
      </c>
      <c r="BI275" s="680">
        <f t="shared" si="84"/>
        <v>0</v>
      </c>
      <c r="BJ275" s="680">
        <f t="shared" si="84"/>
        <v>0</v>
      </c>
      <c r="BK275" s="680">
        <f t="shared" si="84"/>
        <v>0</v>
      </c>
      <c r="BL275" s="680">
        <f t="shared" si="84"/>
        <v>0</v>
      </c>
      <c r="BM275" s="680">
        <f t="shared" si="84"/>
        <v>0</v>
      </c>
      <c r="BN275" s="680">
        <f t="shared" si="84"/>
        <v>0</v>
      </c>
      <c r="BO275" s="680">
        <f t="shared" si="84"/>
        <v>0</v>
      </c>
      <c r="BP275" s="680">
        <f t="shared" ref="BP275:CA275" si="86">SUM(BP266:BP274)</f>
        <v>0</v>
      </c>
      <c r="BQ275" s="680">
        <f t="shared" si="86"/>
        <v>0</v>
      </c>
      <c r="BR275" s="680">
        <f t="shared" si="86"/>
        <v>0</v>
      </c>
      <c r="BS275" s="680">
        <f t="shared" si="86"/>
        <v>0</v>
      </c>
      <c r="BT275" s="680">
        <f t="shared" si="86"/>
        <v>0</v>
      </c>
      <c r="BU275" s="680">
        <f t="shared" si="86"/>
        <v>0</v>
      </c>
      <c r="BV275" s="680">
        <f t="shared" si="86"/>
        <v>0</v>
      </c>
      <c r="BW275" s="680">
        <f t="shared" si="86"/>
        <v>0</v>
      </c>
      <c r="BX275" s="680">
        <f t="shared" si="86"/>
        <v>0</v>
      </c>
      <c r="BY275" s="680">
        <f t="shared" si="86"/>
        <v>0</v>
      </c>
      <c r="BZ275" s="680">
        <f t="shared" si="86"/>
        <v>0</v>
      </c>
      <c r="CA275" s="680">
        <f t="shared" si="86"/>
        <v>0</v>
      </c>
    </row>
    <row r="276" spans="1:79" s="451" customFormat="1" hidden="1" outlineLevel="1" x14ac:dyDescent="0.25">
      <c r="A276" s="691"/>
      <c r="B276" s="737"/>
      <c r="C276" s="737"/>
      <c r="D276" s="737"/>
      <c r="E276" s="570" t="s">
        <v>1340</v>
      </c>
      <c r="F276" s="691" t="s">
        <v>623</v>
      </c>
      <c r="G276" s="739"/>
      <c r="H276" s="739"/>
      <c r="I276" s="739"/>
      <c r="J276" s="739"/>
      <c r="K276" s="739"/>
      <c r="L276" s="739"/>
      <c r="M276" s="739"/>
      <c r="N276" s="739"/>
      <c r="O276" s="733"/>
      <c r="P276" s="734"/>
      <c r="Q276" s="734"/>
      <c r="R276" s="734"/>
      <c r="S276" s="708"/>
      <c r="T276" s="708"/>
      <c r="U276" s="708"/>
      <c r="V276" s="708"/>
      <c r="W276" s="708"/>
      <c r="X276" s="708"/>
      <c r="Y276" s="708"/>
      <c r="Z276" s="708"/>
      <c r="AA276" s="708"/>
      <c r="AB276" s="708"/>
      <c r="AC276" s="708"/>
      <c r="AD276" s="708"/>
      <c r="AE276" s="708"/>
      <c r="AF276" s="708"/>
      <c r="AG276" s="708"/>
      <c r="AH276" s="736"/>
      <c r="AI276" s="736"/>
      <c r="AJ276" s="736"/>
      <c r="AK276" s="736"/>
      <c r="AL276" s="736"/>
      <c r="AM276" s="736"/>
      <c r="AN276" s="736"/>
      <c r="AO276" s="736"/>
      <c r="AP276" s="736"/>
      <c r="AQ276" s="736"/>
      <c r="AR276" s="736"/>
      <c r="AS276" s="736"/>
      <c r="AT276" s="736"/>
      <c r="AU276" s="736"/>
      <c r="AV276" s="736"/>
      <c r="AW276" s="736"/>
      <c r="AX276" s="736"/>
      <c r="AY276" s="736"/>
      <c r="AZ276" s="736"/>
      <c r="BA276" s="736"/>
      <c r="BB276" s="736"/>
      <c r="BC276" s="736"/>
      <c r="BD276" s="736"/>
      <c r="BE276" s="736"/>
      <c r="BF276" s="736"/>
      <c r="BG276" s="736"/>
      <c r="BH276" s="736"/>
      <c r="BI276" s="736"/>
      <c r="BJ276" s="736"/>
      <c r="BK276" s="736"/>
      <c r="BL276" s="736"/>
      <c r="BM276" s="736"/>
      <c r="BN276" s="736"/>
      <c r="BO276" s="736"/>
      <c r="BP276" s="736"/>
      <c r="BQ276" s="736"/>
      <c r="BR276" s="736"/>
      <c r="BS276" s="736"/>
      <c r="BT276" s="736"/>
      <c r="BU276" s="736"/>
      <c r="BV276" s="736"/>
      <c r="BW276" s="736"/>
      <c r="BX276" s="736"/>
      <c r="BY276" s="736"/>
      <c r="BZ276" s="736"/>
      <c r="CA276" s="736"/>
    </row>
    <row r="277" spans="1:79" s="308" customFormat="1" hidden="1" outlineLevel="1" x14ac:dyDescent="0.25">
      <c r="A277" s="656"/>
      <c r="B277" s="710"/>
      <c r="C277" s="710"/>
      <c r="D277" s="710"/>
      <c r="E277" s="570" t="s">
        <v>1340</v>
      </c>
      <c r="F277" s="656" t="s">
        <v>916</v>
      </c>
      <c r="G277" s="683"/>
      <c r="H277" s="683"/>
      <c r="I277" s="683"/>
      <c r="J277" s="683"/>
      <c r="K277" s="683"/>
      <c r="L277" s="683"/>
      <c r="M277" s="683"/>
      <c r="N277" s="683"/>
      <c r="O277" s="683"/>
      <c r="P277" s="683"/>
      <c r="Q277" s="683"/>
      <c r="R277" s="683"/>
      <c r="S277" s="684"/>
      <c r="T277" s="684"/>
      <c r="U277" s="684"/>
      <c r="V277" s="684"/>
      <c r="W277" s="684"/>
      <c r="X277" s="684"/>
      <c r="Y277" s="684"/>
      <c r="Z277" s="684"/>
      <c r="AA277" s="684"/>
      <c r="AB277" s="684">
        <v>0</v>
      </c>
      <c r="AC277" s="684">
        <v>0</v>
      </c>
      <c r="AD277" s="684">
        <v>0</v>
      </c>
      <c r="AE277" s="684">
        <v>0</v>
      </c>
      <c r="AF277" s="684">
        <v>0</v>
      </c>
      <c r="AG277" s="684">
        <v>0</v>
      </c>
      <c r="AH277" s="684"/>
      <c r="AI277" s="684"/>
      <c r="AJ277" s="684"/>
      <c r="AK277" s="684"/>
      <c r="AL277" s="684"/>
      <c r="AM277" s="684"/>
      <c r="AN277" s="684"/>
      <c r="AO277" s="684"/>
      <c r="AP277" s="684"/>
      <c r="AQ277" s="684"/>
      <c r="AR277" s="684"/>
      <c r="AS277" s="684"/>
      <c r="AT277" s="684"/>
      <c r="AU277" s="684"/>
      <c r="AV277" s="684"/>
      <c r="AW277" s="684"/>
      <c r="AX277" s="684"/>
      <c r="AY277" s="684"/>
      <c r="AZ277" s="684"/>
      <c r="BA277" s="684"/>
      <c r="BB277" s="684"/>
      <c r="BC277" s="684"/>
      <c r="BD277" s="684"/>
      <c r="BE277" s="684"/>
      <c r="BF277" s="684"/>
      <c r="BG277" s="684"/>
      <c r="BH277" s="684"/>
      <c r="BI277" s="684"/>
      <c r="BJ277" s="684"/>
      <c r="BK277" s="684"/>
      <c r="BL277" s="684"/>
      <c r="BM277" s="684"/>
      <c r="BN277" s="684"/>
      <c r="BO277" s="684"/>
      <c r="BP277" s="684"/>
      <c r="BQ277" s="684"/>
      <c r="BR277" s="684"/>
      <c r="BS277" s="684"/>
      <c r="BT277" s="684"/>
      <c r="BU277" s="684"/>
      <c r="BV277" s="684"/>
      <c r="BW277" s="684"/>
      <c r="BX277" s="684"/>
      <c r="BY277" s="684"/>
      <c r="BZ277" s="684"/>
      <c r="CA277" s="684"/>
    </row>
    <row r="278" spans="1:79" s="451" customFormat="1" hidden="1" outlineLevel="1" x14ac:dyDescent="0.25">
      <c r="A278" s="656"/>
      <c r="B278" s="576"/>
      <c r="C278" s="576"/>
      <c r="D278" s="576"/>
      <c r="E278" s="570" t="s">
        <v>1340</v>
      </c>
      <c r="F278" s="656" t="s">
        <v>667</v>
      </c>
      <c r="G278" s="721"/>
      <c r="H278" s="721"/>
      <c r="I278" s="721"/>
      <c r="J278" s="721"/>
      <c r="K278" s="721"/>
      <c r="L278" s="721"/>
      <c r="M278" s="721"/>
      <c r="N278" s="721"/>
      <c r="O278" s="719"/>
      <c r="P278" s="716"/>
      <c r="Q278" s="716"/>
      <c r="R278" s="716"/>
      <c r="S278" s="684">
        <v>0</v>
      </c>
      <c r="T278" s="684">
        <v>0</v>
      </c>
      <c r="U278" s="684">
        <v>0</v>
      </c>
      <c r="V278" s="684">
        <v>0</v>
      </c>
      <c r="W278" s="684">
        <v>0</v>
      </c>
      <c r="X278" s="684">
        <v>0</v>
      </c>
      <c r="Y278" s="684">
        <v>0</v>
      </c>
      <c r="Z278" s="684">
        <v>0</v>
      </c>
      <c r="AA278" s="684">
        <v>0</v>
      </c>
      <c r="AB278" s="684">
        <v>0</v>
      </c>
      <c r="AC278" s="684">
        <v>0</v>
      </c>
      <c r="AD278" s="684">
        <v>0</v>
      </c>
      <c r="AE278" s="684">
        <v>0</v>
      </c>
      <c r="AF278" s="684">
        <v>0</v>
      </c>
      <c r="AG278" s="684">
        <v>0</v>
      </c>
      <c r="AH278" s="718"/>
      <c r="AI278" s="718"/>
      <c r="AJ278" s="718"/>
      <c r="AK278" s="718"/>
      <c r="AL278" s="718"/>
      <c r="AM278" s="718"/>
      <c r="AN278" s="718"/>
      <c r="AO278" s="718"/>
      <c r="AP278" s="718"/>
      <c r="AQ278" s="718"/>
      <c r="AR278" s="718"/>
      <c r="AS278" s="718"/>
      <c r="AT278" s="718"/>
      <c r="AU278" s="718"/>
      <c r="AV278" s="718"/>
      <c r="AW278" s="718"/>
      <c r="AX278" s="718"/>
      <c r="AY278" s="718"/>
      <c r="AZ278" s="718"/>
      <c r="BA278" s="718"/>
      <c r="BB278" s="718"/>
      <c r="BC278" s="718"/>
      <c r="BD278" s="718"/>
      <c r="BE278" s="718"/>
      <c r="BF278" s="718"/>
      <c r="BG278" s="718"/>
      <c r="BH278" s="718"/>
      <c r="BI278" s="718"/>
      <c r="BJ278" s="718"/>
      <c r="BK278" s="718"/>
      <c r="BL278" s="718"/>
      <c r="BM278" s="718"/>
      <c r="BN278" s="718"/>
      <c r="BO278" s="718"/>
      <c r="BP278" s="718"/>
      <c r="BQ278" s="718"/>
      <c r="BR278" s="718"/>
      <c r="BS278" s="718"/>
      <c r="BT278" s="718"/>
      <c r="BU278" s="718"/>
      <c r="BV278" s="718"/>
      <c r="BW278" s="718"/>
      <c r="BX278" s="718"/>
      <c r="BY278" s="718"/>
      <c r="BZ278" s="718"/>
      <c r="CA278" s="718"/>
    </row>
    <row r="279" spans="1:79" s="451" customFormat="1" hidden="1" outlineLevel="1" x14ac:dyDescent="0.25">
      <c r="A279" s="656"/>
      <c r="B279" s="576"/>
      <c r="C279" s="576"/>
      <c r="D279" s="576"/>
      <c r="E279" s="570" t="s">
        <v>1340</v>
      </c>
      <c r="F279" s="656" t="s">
        <v>762</v>
      </c>
      <c r="G279" s="721"/>
      <c r="H279" s="721"/>
      <c r="I279" s="721"/>
      <c r="J279" s="721"/>
      <c r="K279" s="721"/>
      <c r="L279" s="721"/>
      <c r="M279" s="721"/>
      <c r="N279" s="721"/>
      <c r="O279" s="719"/>
      <c r="P279" s="716"/>
      <c r="Q279" s="716"/>
      <c r="R279" s="716"/>
      <c r="S279" s="684">
        <v>0</v>
      </c>
      <c r="T279" s="684">
        <v>0</v>
      </c>
      <c r="U279" s="684">
        <v>0</v>
      </c>
      <c r="V279" s="684">
        <v>0</v>
      </c>
      <c r="W279" s="684">
        <v>0</v>
      </c>
      <c r="X279" s="684">
        <v>0</v>
      </c>
      <c r="Y279" s="684">
        <v>0</v>
      </c>
      <c r="Z279" s="684">
        <v>0</v>
      </c>
      <c r="AA279" s="684">
        <v>0</v>
      </c>
      <c r="AB279" s="684">
        <v>0</v>
      </c>
      <c r="AC279" s="684">
        <v>0</v>
      </c>
      <c r="AD279" s="684">
        <v>0</v>
      </c>
      <c r="AE279" s="684">
        <v>0</v>
      </c>
      <c r="AF279" s="684">
        <v>0</v>
      </c>
      <c r="AG279" s="684">
        <v>0</v>
      </c>
      <c r="AH279" s="718"/>
      <c r="AI279" s="718"/>
      <c r="AJ279" s="718"/>
      <c r="AK279" s="718"/>
      <c r="AL279" s="718"/>
      <c r="AM279" s="718"/>
      <c r="AN279" s="718"/>
      <c r="AO279" s="718"/>
      <c r="AP279" s="718"/>
      <c r="AQ279" s="718"/>
      <c r="AR279" s="718"/>
      <c r="AS279" s="718"/>
      <c r="AT279" s="718"/>
      <c r="AU279" s="718"/>
      <c r="AV279" s="718"/>
      <c r="AW279" s="718"/>
      <c r="AX279" s="718"/>
      <c r="AY279" s="718"/>
      <c r="AZ279" s="718"/>
      <c r="BA279" s="718"/>
      <c r="BB279" s="718"/>
      <c r="BC279" s="718"/>
      <c r="BD279" s="718"/>
      <c r="BE279" s="718"/>
      <c r="BF279" s="718"/>
      <c r="BG279" s="718"/>
      <c r="BH279" s="718"/>
      <c r="BI279" s="718"/>
      <c r="BJ279" s="718"/>
      <c r="BK279" s="718"/>
      <c r="BL279" s="718"/>
      <c r="BM279" s="718"/>
      <c r="BN279" s="718"/>
      <c r="BO279" s="718"/>
      <c r="BP279" s="718"/>
      <c r="BQ279" s="718"/>
      <c r="BR279" s="718"/>
      <c r="BS279" s="718"/>
      <c r="BT279" s="718"/>
      <c r="BU279" s="718"/>
      <c r="BV279" s="718"/>
      <c r="BW279" s="718"/>
      <c r="BX279" s="718"/>
      <c r="BY279" s="718"/>
      <c r="BZ279" s="718"/>
      <c r="CA279" s="718"/>
    </row>
    <row r="280" spans="1:79" s="451" customFormat="1" hidden="1" outlineLevel="1" x14ac:dyDescent="0.25">
      <c r="A280" s="656"/>
      <c r="B280" s="79"/>
      <c r="C280" s="79"/>
      <c r="D280" s="79"/>
      <c r="E280" s="570" t="s">
        <v>338</v>
      </c>
      <c r="F280" s="656" t="s">
        <v>624</v>
      </c>
      <c r="G280" s="719">
        <v>0</v>
      </c>
      <c r="H280" s="719">
        <v>17</v>
      </c>
      <c r="I280" s="719">
        <v>45</v>
      </c>
      <c r="J280" s="719"/>
      <c r="K280" s="719"/>
      <c r="L280" s="719"/>
      <c r="M280" s="719"/>
      <c r="N280" s="719"/>
      <c r="O280" s="719"/>
      <c r="P280" s="716"/>
      <c r="Q280" s="716"/>
      <c r="R280" s="716"/>
      <c r="S280" s="684">
        <v>74</v>
      </c>
      <c r="T280" s="684">
        <v>1450.5</v>
      </c>
      <c r="U280" s="684">
        <v>222</v>
      </c>
      <c r="V280" s="684">
        <v>154</v>
      </c>
      <c r="W280" s="684">
        <v>168</v>
      </c>
      <c r="X280" s="684">
        <v>128</v>
      </c>
      <c r="Y280" s="684">
        <v>141</v>
      </c>
      <c r="Z280" s="684">
        <v>196</v>
      </c>
      <c r="AA280" s="684">
        <v>231</v>
      </c>
      <c r="AB280" s="684">
        <v>0</v>
      </c>
      <c r="AC280" s="684">
        <v>28</v>
      </c>
      <c r="AD280" s="684">
        <v>55.5</v>
      </c>
      <c r="AE280" s="684">
        <v>10</v>
      </c>
      <c r="AF280" s="684">
        <v>28</v>
      </c>
      <c r="AG280" s="684">
        <v>0</v>
      </c>
      <c r="AH280" s="718"/>
      <c r="AI280" s="718"/>
      <c r="AJ280" s="718"/>
      <c r="AK280" s="718"/>
      <c r="AL280" s="718"/>
      <c r="AM280" s="718"/>
      <c r="AN280" s="718"/>
      <c r="AO280" s="718"/>
      <c r="AP280" s="718"/>
      <c r="AQ280" s="718"/>
      <c r="AR280" s="718"/>
      <c r="AS280" s="718"/>
      <c r="AT280" s="718"/>
      <c r="AU280" s="718"/>
      <c r="AV280" s="718"/>
      <c r="AW280" s="718"/>
      <c r="AX280" s="718"/>
      <c r="AY280" s="718"/>
      <c r="AZ280" s="718"/>
      <c r="BA280" s="718"/>
      <c r="BB280" s="718"/>
      <c r="BC280" s="718"/>
      <c r="BD280" s="718"/>
      <c r="BE280" s="718"/>
      <c r="BF280" s="718"/>
      <c r="BG280" s="718"/>
      <c r="BH280" s="718"/>
      <c r="BI280" s="718"/>
      <c r="BJ280" s="718"/>
      <c r="BK280" s="718"/>
      <c r="BL280" s="718"/>
      <c r="BM280" s="718"/>
      <c r="BN280" s="718"/>
      <c r="BO280" s="718"/>
      <c r="BP280" s="718"/>
      <c r="BQ280" s="718"/>
      <c r="BR280" s="718"/>
      <c r="BS280" s="718"/>
      <c r="BT280" s="718"/>
      <c r="BU280" s="718"/>
      <c r="BV280" s="718"/>
      <c r="BW280" s="718"/>
      <c r="BX280" s="718"/>
      <c r="BY280" s="718"/>
      <c r="BZ280" s="718"/>
      <c r="CA280" s="718"/>
    </row>
    <row r="281" spans="1:79" s="451" customFormat="1" hidden="1" outlineLevel="1" x14ac:dyDescent="0.25">
      <c r="A281" s="656"/>
      <c r="B281" s="576"/>
      <c r="C281" s="576"/>
      <c r="D281" s="576"/>
      <c r="E281" s="570" t="s">
        <v>1341</v>
      </c>
      <c r="F281" s="656" t="s">
        <v>651</v>
      </c>
      <c r="G281" s="719"/>
      <c r="H281" s="719"/>
      <c r="I281" s="719"/>
      <c r="J281" s="719"/>
      <c r="K281" s="719"/>
      <c r="L281" s="719"/>
      <c r="M281" s="719"/>
      <c r="N281" s="719"/>
      <c r="O281" s="719"/>
      <c r="P281" s="716"/>
      <c r="Q281" s="716"/>
      <c r="R281" s="716"/>
      <c r="S281" s="684">
        <v>0</v>
      </c>
      <c r="T281" s="684">
        <v>0</v>
      </c>
      <c r="U281" s="684">
        <v>0</v>
      </c>
      <c r="V281" s="684">
        <v>0</v>
      </c>
      <c r="W281" s="684">
        <v>0</v>
      </c>
      <c r="X281" s="684">
        <v>0</v>
      </c>
      <c r="Y281" s="684">
        <v>0</v>
      </c>
      <c r="Z281" s="684">
        <v>0</v>
      </c>
      <c r="AA281" s="684">
        <v>0</v>
      </c>
      <c r="AB281" s="684">
        <v>0</v>
      </c>
      <c r="AC281" s="684">
        <v>0</v>
      </c>
      <c r="AD281" s="684">
        <v>0</v>
      </c>
      <c r="AE281" s="684">
        <v>0</v>
      </c>
      <c r="AF281" s="684">
        <v>0</v>
      </c>
      <c r="AG281" s="684">
        <v>0</v>
      </c>
      <c r="AH281" s="718"/>
      <c r="AI281" s="718"/>
      <c r="AJ281" s="718"/>
      <c r="AK281" s="718"/>
      <c r="AL281" s="718"/>
      <c r="AM281" s="718"/>
      <c r="AN281" s="718"/>
      <c r="AO281" s="718"/>
      <c r="AP281" s="718"/>
      <c r="AQ281" s="718"/>
      <c r="AR281" s="718"/>
      <c r="AS281" s="718"/>
      <c r="AT281" s="718"/>
      <c r="AU281" s="718"/>
      <c r="AV281" s="718"/>
      <c r="AW281" s="718"/>
      <c r="AX281" s="718"/>
      <c r="AY281" s="718"/>
      <c r="AZ281" s="718"/>
      <c r="BA281" s="718"/>
      <c r="BB281" s="718"/>
      <c r="BC281" s="718"/>
      <c r="BD281" s="718"/>
      <c r="BE281" s="718"/>
      <c r="BF281" s="718"/>
      <c r="BG281" s="718"/>
      <c r="BH281" s="718"/>
      <c r="BI281" s="718"/>
      <c r="BJ281" s="718"/>
      <c r="BK281" s="718"/>
      <c r="BL281" s="718"/>
      <c r="BM281" s="718"/>
      <c r="BN281" s="718"/>
      <c r="BO281" s="718"/>
      <c r="BP281" s="718"/>
      <c r="BQ281" s="718"/>
      <c r="BR281" s="718"/>
      <c r="BS281" s="718"/>
      <c r="BT281" s="718"/>
      <c r="BU281" s="718"/>
      <c r="BV281" s="718"/>
      <c r="BW281" s="718"/>
      <c r="BX281" s="718"/>
      <c r="BY281" s="718"/>
      <c r="BZ281" s="718"/>
      <c r="CA281" s="718"/>
    </row>
    <row r="282" spans="1:79" s="451" customFormat="1" hidden="1" outlineLevel="1" x14ac:dyDescent="0.25">
      <c r="A282" s="656"/>
      <c r="B282" s="576"/>
      <c r="C282" s="576"/>
      <c r="D282" s="576"/>
      <c r="E282" s="570" t="s">
        <v>1340</v>
      </c>
      <c r="F282" s="656" t="s">
        <v>668</v>
      </c>
      <c r="G282" s="719"/>
      <c r="H282" s="719"/>
      <c r="I282" s="719"/>
      <c r="J282" s="719"/>
      <c r="K282" s="719"/>
      <c r="L282" s="719"/>
      <c r="M282" s="719"/>
      <c r="N282" s="719"/>
      <c r="O282" s="719"/>
      <c r="P282" s="716"/>
      <c r="Q282" s="716"/>
      <c r="R282" s="716"/>
      <c r="S282" s="684">
        <v>0</v>
      </c>
      <c r="T282" s="684">
        <v>0</v>
      </c>
      <c r="U282" s="684">
        <v>0</v>
      </c>
      <c r="V282" s="684">
        <v>0</v>
      </c>
      <c r="W282" s="684">
        <v>0</v>
      </c>
      <c r="X282" s="684">
        <v>0</v>
      </c>
      <c r="Y282" s="684">
        <v>0</v>
      </c>
      <c r="Z282" s="684">
        <v>0</v>
      </c>
      <c r="AA282" s="684">
        <v>0</v>
      </c>
      <c r="AB282" s="684">
        <v>0</v>
      </c>
      <c r="AC282" s="684">
        <v>0</v>
      </c>
      <c r="AD282" s="684">
        <v>0</v>
      </c>
      <c r="AE282" s="684">
        <v>0</v>
      </c>
      <c r="AF282" s="684">
        <v>0</v>
      </c>
      <c r="AG282" s="684">
        <v>0</v>
      </c>
      <c r="AH282" s="718"/>
      <c r="AI282" s="718"/>
      <c r="AJ282" s="718"/>
      <c r="AK282" s="718"/>
      <c r="AL282" s="718"/>
      <c r="AM282" s="718"/>
      <c r="AN282" s="718"/>
      <c r="AO282" s="718"/>
      <c r="AP282" s="718"/>
      <c r="AQ282" s="718"/>
      <c r="AR282" s="718"/>
      <c r="AS282" s="718"/>
      <c r="AT282" s="718"/>
      <c r="AU282" s="718"/>
      <c r="AV282" s="718"/>
      <c r="AW282" s="718"/>
      <c r="AX282" s="718"/>
      <c r="AY282" s="718"/>
      <c r="AZ282" s="718"/>
      <c r="BA282" s="718"/>
      <c r="BB282" s="718"/>
      <c r="BC282" s="718"/>
      <c r="BD282" s="718"/>
      <c r="BE282" s="718"/>
      <c r="BF282" s="718"/>
      <c r="BG282" s="718"/>
      <c r="BH282" s="718"/>
      <c r="BI282" s="718"/>
      <c r="BJ282" s="718"/>
      <c r="BK282" s="718"/>
      <c r="BL282" s="718"/>
      <c r="BM282" s="718"/>
      <c r="BN282" s="718"/>
      <c r="BO282" s="718"/>
      <c r="BP282" s="718"/>
      <c r="BQ282" s="718"/>
      <c r="BR282" s="718"/>
      <c r="BS282" s="718"/>
      <c r="BT282" s="718"/>
      <c r="BU282" s="718"/>
      <c r="BV282" s="718"/>
      <c r="BW282" s="718"/>
      <c r="BX282" s="718"/>
      <c r="BY282" s="718"/>
      <c r="BZ282" s="718"/>
      <c r="CA282" s="718"/>
    </row>
    <row r="283" spans="1:79" s="308" customFormat="1" hidden="1" outlineLevel="1" x14ac:dyDescent="0.25">
      <c r="A283" s="657"/>
      <c r="B283" s="29"/>
      <c r="C283" s="29"/>
      <c r="D283" s="29"/>
      <c r="E283" s="570" t="s">
        <v>49</v>
      </c>
      <c r="F283" s="657" t="s">
        <v>625</v>
      </c>
      <c r="G283" s="680">
        <f>SUM(G278:G282)</f>
        <v>0</v>
      </c>
      <c r="H283" s="680">
        <f t="shared" ref="H283:BO283" si="87">SUM(H278:H282)</f>
        <v>17</v>
      </c>
      <c r="I283" s="680">
        <f t="shared" si="87"/>
        <v>45</v>
      </c>
      <c r="J283" s="680">
        <f t="shared" si="87"/>
        <v>0</v>
      </c>
      <c r="K283" s="680">
        <f t="shared" si="87"/>
        <v>0</v>
      </c>
      <c r="L283" s="680">
        <f t="shared" si="87"/>
        <v>0</v>
      </c>
      <c r="M283" s="680">
        <f t="shared" si="87"/>
        <v>0</v>
      </c>
      <c r="N283" s="680">
        <f t="shared" si="87"/>
        <v>0</v>
      </c>
      <c r="O283" s="680">
        <f t="shared" si="87"/>
        <v>0</v>
      </c>
      <c r="P283" s="680">
        <f t="shared" si="87"/>
        <v>0</v>
      </c>
      <c r="Q283" s="680">
        <f t="shared" si="87"/>
        <v>0</v>
      </c>
      <c r="R283" s="680">
        <f t="shared" si="87"/>
        <v>0</v>
      </c>
      <c r="S283" s="680">
        <f t="shared" ref="S283:AA283" si="88">ROUND(SUM(S276:S282),5)</f>
        <v>74</v>
      </c>
      <c r="T283" s="680">
        <f t="shared" si="88"/>
        <v>1450.5</v>
      </c>
      <c r="U283" s="680">
        <f t="shared" si="88"/>
        <v>222</v>
      </c>
      <c r="V283" s="680">
        <f t="shared" si="88"/>
        <v>154</v>
      </c>
      <c r="W283" s="680">
        <f t="shared" si="88"/>
        <v>168</v>
      </c>
      <c r="X283" s="680">
        <f t="shared" si="88"/>
        <v>128</v>
      </c>
      <c r="Y283" s="680">
        <f t="shared" si="88"/>
        <v>141</v>
      </c>
      <c r="Z283" s="680">
        <f t="shared" si="88"/>
        <v>196</v>
      </c>
      <c r="AA283" s="680">
        <f t="shared" si="88"/>
        <v>231</v>
      </c>
      <c r="AB283" s="680">
        <f>ROUND(SUM(AB276:AB282),5)</f>
        <v>0</v>
      </c>
      <c r="AC283" s="680">
        <f>ROUND(SUM(AC276:AC282),5)</f>
        <v>28</v>
      </c>
      <c r="AD283" s="680">
        <f>ROUND(SUM(AD276:AD282),5)</f>
        <v>55.5</v>
      </c>
      <c r="AE283" s="680">
        <v>10</v>
      </c>
      <c r="AF283" s="680">
        <v>28</v>
      </c>
      <c r="AG283" s="680">
        <f>ROUND(SUM(AG276:AG282),5)</f>
        <v>0</v>
      </c>
      <c r="AH283" s="680">
        <f t="shared" si="87"/>
        <v>0</v>
      </c>
      <c r="AI283" s="680">
        <f t="shared" si="87"/>
        <v>0</v>
      </c>
      <c r="AJ283" s="680">
        <f t="shared" si="87"/>
        <v>0</v>
      </c>
      <c r="AK283" s="680">
        <f t="shared" si="87"/>
        <v>0</v>
      </c>
      <c r="AL283" s="680">
        <f t="shared" si="87"/>
        <v>0</v>
      </c>
      <c r="AM283" s="680">
        <f t="shared" si="87"/>
        <v>0</v>
      </c>
      <c r="AN283" s="680">
        <f t="shared" si="87"/>
        <v>0</v>
      </c>
      <c r="AO283" s="680">
        <f t="shared" si="87"/>
        <v>0</v>
      </c>
      <c r="AP283" s="680">
        <f t="shared" si="87"/>
        <v>0</v>
      </c>
      <c r="AQ283" s="680">
        <f t="shared" si="87"/>
        <v>0</v>
      </c>
      <c r="AR283" s="680">
        <f t="shared" si="87"/>
        <v>0</v>
      </c>
      <c r="AS283" s="680">
        <f t="shared" si="87"/>
        <v>0</v>
      </c>
      <c r="AT283" s="680">
        <f t="shared" si="87"/>
        <v>0</v>
      </c>
      <c r="AU283" s="680">
        <f t="shared" si="87"/>
        <v>0</v>
      </c>
      <c r="AV283" s="680">
        <f t="shared" si="87"/>
        <v>0</v>
      </c>
      <c r="AW283" s="680">
        <f t="shared" si="87"/>
        <v>0</v>
      </c>
      <c r="AX283" s="680">
        <f t="shared" si="87"/>
        <v>0</v>
      </c>
      <c r="AY283" s="680">
        <f t="shared" si="87"/>
        <v>0</v>
      </c>
      <c r="AZ283" s="680">
        <f t="shared" si="87"/>
        <v>0</v>
      </c>
      <c r="BA283" s="680">
        <f t="shared" si="87"/>
        <v>0</v>
      </c>
      <c r="BB283" s="680">
        <f t="shared" si="87"/>
        <v>0</v>
      </c>
      <c r="BC283" s="680">
        <f t="shared" si="87"/>
        <v>0</v>
      </c>
      <c r="BD283" s="680">
        <f t="shared" si="87"/>
        <v>0</v>
      </c>
      <c r="BE283" s="680">
        <f t="shared" si="87"/>
        <v>0</v>
      </c>
      <c r="BF283" s="680">
        <f t="shared" si="87"/>
        <v>0</v>
      </c>
      <c r="BG283" s="680">
        <f t="shared" si="87"/>
        <v>0</v>
      </c>
      <c r="BH283" s="680">
        <f t="shared" si="87"/>
        <v>0</v>
      </c>
      <c r="BI283" s="680">
        <f t="shared" si="87"/>
        <v>0</v>
      </c>
      <c r="BJ283" s="680">
        <f t="shared" si="87"/>
        <v>0</v>
      </c>
      <c r="BK283" s="680">
        <f t="shared" si="87"/>
        <v>0</v>
      </c>
      <c r="BL283" s="680">
        <f t="shared" si="87"/>
        <v>0</v>
      </c>
      <c r="BM283" s="680">
        <f t="shared" si="87"/>
        <v>0</v>
      </c>
      <c r="BN283" s="680">
        <f t="shared" si="87"/>
        <v>0</v>
      </c>
      <c r="BO283" s="680">
        <f t="shared" si="87"/>
        <v>0</v>
      </c>
      <c r="BP283" s="680">
        <f t="shared" ref="BP283:CA283" si="89">SUM(BP278:BP282)</f>
        <v>0</v>
      </c>
      <c r="BQ283" s="680">
        <f t="shared" si="89"/>
        <v>0</v>
      </c>
      <c r="BR283" s="680">
        <f t="shared" si="89"/>
        <v>0</v>
      </c>
      <c r="BS283" s="680">
        <f t="shared" si="89"/>
        <v>0</v>
      </c>
      <c r="BT283" s="680">
        <f t="shared" si="89"/>
        <v>0</v>
      </c>
      <c r="BU283" s="680">
        <f t="shared" si="89"/>
        <v>0</v>
      </c>
      <c r="BV283" s="680">
        <f t="shared" si="89"/>
        <v>0</v>
      </c>
      <c r="BW283" s="680">
        <f t="shared" si="89"/>
        <v>0</v>
      </c>
      <c r="BX283" s="680">
        <f t="shared" si="89"/>
        <v>0</v>
      </c>
      <c r="BY283" s="680">
        <f t="shared" si="89"/>
        <v>0</v>
      </c>
      <c r="BZ283" s="680">
        <f t="shared" si="89"/>
        <v>0</v>
      </c>
      <c r="CA283" s="680">
        <f t="shared" si="89"/>
        <v>0</v>
      </c>
    </row>
    <row r="284" spans="1:79" s="308" customFormat="1" hidden="1" outlineLevel="1" x14ac:dyDescent="0.25">
      <c r="A284" s="691"/>
      <c r="B284" s="710"/>
      <c r="C284" s="710"/>
      <c r="D284" s="710"/>
      <c r="E284" s="570" t="s">
        <v>1342</v>
      </c>
      <c r="F284" s="691" t="s">
        <v>669</v>
      </c>
      <c r="G284" s="739"/>
      <c r="H284" s="739"/>
      <c r="I284" s="739"/>
      <c r="J284" s="739"/>
      <c r="K284" s="739"/>
      <c r="L284" s="739"/>
      <c r="M284" s="739"/>
      <c r="N284" s="739"/>
      <c r="O284" s="733"/>
      <c r="P284" s="734"/>
      <c r="Q284" s="734"/>
      <c r="R284" s="734"/>
      <c r="S284" s="708"/>
      <c r="T284" s="708"/>
      <c r="U284" s="708"/>
      <c r="V284" s="708"/>
      <c r="W284" s="708"/>
      <c r="X284" s="708"/>
      <c r="Y284" s="708"/>
      <c r="Z284" s="708"/>
      <c r="AA284" s="708"/>
      <c r="AB284" s="708"/>
      <c r="AC284" s="708"/>
      <c r="AD284" s="708"/>
      <c r="AE284" s="708"/>
      <c r="AF284" s="708"/>
      <c r="AG284" s="708"/>
      <c r="AH284" s="736"/>
      <c r="AI284" s="736"/>
      <c r="AJ284" s="736"/>
      <c r="AK284" s="736"/>
      <c r="AL284" s="736"/>
      <c r="AM284" s="736"/>
      <c r="AN284" s="736"/>
      <c r="AO284" s="736"/>
      <c r="AP284" s="736"/>
      <c r="AQ284" s="736"/>
      <c r="AR284" s="736"/>
      <c r="AS284" s="736"/>
      <c r="AT284" s="736"/>
      <c r="AU284" s="736"/>
      <c r="AV284" s="736"/>
      <c r="AW284" s="736"/>
      <c r="AX284" s="736"/>
      <c r="AY284" s="736"/>
      <c r="AZ284" s="736"/>
      <c r="BA284" s="736"/>
      <c r="BB284" s="736"/>
      <c r="BC284" s="736"/>
      <c r="BD284" s="736"/>
      <c r="BE284" s="736"/>
      <c r="BF284" s="736"/>
      <c r="BG284" s="736"/>
      <c r="BH284" s="736"/>
      <c r="BI284" s="736"/>
      <c r="BJ284" s="736"/>
      <c r="BK284" s="736"/>
      <c r="BL284" s="736"/>
      <c r="BM284" s="736"/>
      <c r="BN284" s="736"/>
      <c r="BO284" s="736"/>
      <c r="BP284" s="736"/>
      <c r="BQ284" s="736"/>
      <c r="BR284" s="736"/>
      <c r="BS284" s="736"/>
      <c r="BT284" s="736"/>
      <c r="BU284" s="736"/>
      <c r="BV284" s="736"/>
      <c r="BW284" s="736"/>
      <c r="BX284" s="736"/>
      <c r="BY284" s="736"/>
      <c r="BZ284" s="736"/>
      <c r="CA284" s="736"/>
    </row>
    <row r="285" spans="1:79" s="308" customFormat="1" hidden="1" outlineLevel="1" x14ac:dyDescent="0.25">
      <c r="A285" s="656"/>
      <c r="B285" s="571"/>
      <c r="C285" s="571"/>
      <c r="D285" s="571"/>
      <c r="E285" s="570" t="s">
        <v>1342</v>
      </c>
      <c r="F285" s="656" t="s">
        <v>670</v>
      </c>
      <c r="G285" s="721"/>
      <c r="H285" s="721"/>
      <c r="I285" s="721"/>
      <c r="J285" s="721"/>
      <c r="K285" s="721"/>
      <c r="L285" s="721"/>
      <c r="M285" s="721"/>
      <c r="N285" s="721"/>
      <c r="O285" s="719"/>
      <c r="P285" s="716"/>
      <c r="Q285" s="716"/>
      <c r="R285" s="716"/>
      <c r="S285" s="684">
        <v>0</v>
      </c>
      <c r="T285" s="684">
        <v>0</v>
      </c>
      <c r="U285" s="684">
        <v>0</v>
      </c>
      <c r="V285" s="684">
        <v>0</v>
      </c>
      <c r="W285" s="684">
        <v>0</v>
      </c>
      <c r="X285" s="684">
        <v>0</v>
      </c>
      <c r="Y285" s="684">
        <v>0</v>
      </c>
      <c r="Z285" s="684">
        <v>0</v>
      </c>
      <c r="AA285" s="684">
        <v>0</v>
      </c>
      <c r="AB285" s="684">
        <v>0</v>
      </c>
      <c r="AC285" s="684">
        <v>0</v>
      </c>
      <c r="AD285" s="684">
        <v>0</v>
      </c>
      <c r="AE285" s="684">
        <v>0</v>
      </c>
      <c r="AF285" s="684">
        <v>0</v>
      </c>
      <c r="AG285" s="684">
        <v>0</v>
      </c>
      <c r="AH285" s="718"/>
      <c r="AI285" s="718"/>
      <c r="AJ285" s="718"/>
      <c r="AK285" s="718"/>
      <c r="AL285" s="718"/>
      <c r="AM285" s="718"/>
      <c r="AN285" s="718"/>
      <c r="AO285" s="718"/>
      <c r="AP285" s="718"/>
      <c r="AQ285" s="718"/>
      <c r="AR285" s="718"/>
      <c r="AS285" s="718"/>
      <c r="AT285" s="718"/>
      <c r="AU285" s="718"/>
      <c r="AV285" s="718"/>
      <c r="AW285" s="718"/>
      <c r="AX285" s="718"/>
      <c r="AY285" s="718"/>
      <c r="AZ285" s="718"/>
      <c r="BA285" s="718"/>
      <c r="BB285" s="718"/>
      <c r="BC285" s="718"/>
      <c r="BD285" s="718"/>
      <c r="BE285" s="718"/>
      <c r="BF285" s="718"/>
      <c r="BG285" s="718"/>
      <c r="BH285" s="718"/>
      <c r="BI285" s="718"/>
      <c r="BJ285" s="718"/>
      <c r="BK285" s="718"/>
      <c r="BL285" s="718"/>
      <c r="BM285" s="718"/>
      <c r="BN285" s="718"/>
      <c r="BO285" s="718"/>
      <c r="BP285" s="718"/>
      <c r="BQ285" s="718"/>
      <c r="BR285" s="718"/>
      <c r="BS285" s="718"/>
      <c r="BT285" s="718"/>
      <c r="BU285" s="718"/>
      <c r="BV285" s="718"/>
      <c r="BW285" s="718"/>
      <c r="BX285" s="718"/>
      <c r="BY285" s="718"/>
      <c r="BZ285" s="718"/>
      <c r="CA285" s="718"/>
    </row>
    <row r="286" spans="1:79" s="308" customFormat="1" hidden="1" outlineLevel="1" x14ac:dyDescent="0.25">
      <c r="A286" s="656"/>
      <c r="B286" s="571"/>
      <c r="C286" s="571"/>
      <c r="D286" s="571"/>
      <c r="E286" s="570" t="s">
        <v>1342</v>
      </c>
      <c r="F286" s="656" t="s">
        <v>891</v>
      </c>
      <c r="G286" s="721"/>
      <c r="H286" s="721"/>
      <c r="I286" s="721"/>
      <c r="J286" s="721"/>
      <c r="K286" s="721"/>
      <c r="L286" s="721"/>
      <c r="M286" s="721"/>
      <c r="N286" s="721"/>
      <c r="O286" s="719"/>
      <c r="P286" s="716"/>
      <c r="Q286" s="716"/>
      <c r="R286" s="716"/>
      <c r="S286" s="684">
        <v>0</v>
      </c>
      <c r="T286" s="684">
        <v>0</v>
      </c>
      <c r="U286" s="684">
        <v>0</v>
      </c>
      <c r="V286" s="684">
        <v>0</v>
      </c>
      <c r="W286" s="684">
        <v>0</v>
      </c>
      <c r="X286" s="684">
        <v>0</v>
      </c>
      <c r="Y286" s="684">
        <v>0</v>
      </c>
      <c r="Z286" s="684">
        <v>0</v>
      </c>
      <c r="AA286" s="684">
        <v>0</v>
      </c>
      <c r="AB286" s="684">
        <v>0</v>
      </c>
      <c r="AC286" s="684">
        <v>0</v>
      </c>
      <c r="AD286" s="684">
        <v>0</v>
      </c>
      <c r="AE286" s="684">
        <v>0</v>
      </c>
      <c r="AF286" s="684">
        <v>0</v>
      </c>
      <c r="AG286" s="684">
        <v>0</v>
      </c>
      <c r="AH286" s="718"/>
      <c r="AI286" s="718"/>
      <c r="AJ286" s="718"/>
      <c r="AK286" s="718"/>
      <c r="AL286" s="718"/>
      <c r="AM286" s="718"/>
      <c r="AN286" s="718"/>
      <c r="AO286" s="718"/>
      <c r="AP286" s="718"/>
      <c r="AQ286" s="718"/>
      <c r="AR286" s="718"/>
      <c r="AS286" s="718"/>
      <c r="AT286" s="718"/>
      <c r="AU286" s="718"/>
      <c r="AV286" s="718"/>
      <c r="AW286" s="718"/>
      <c r="AX286" s="718"/>
      <c r="AY286" s="718"/>
      <c r="AZ286" s="718"/>
      <c r="BA286" s="718"/>
      <c r="BB286" s="718"/>
      <c r="BC286" s="718"/>
      <c r="BD286" s="718"/>
      <c r="BE286" s="718"/>
      <c r="BF286" s="718"/>
      <c r="BG286" s="718"/>
      <c r="BH286" s="718"/>
      <c r="BI286" s="718"/>
      <c r="BJ286" s="718"/>
      <c r="BK286" s="718"/>
      <c r="BL286" s="718"/>
      <c r="BM286" s="718"/>
      <c r="BN286" s="718"/>
      <c r="BO286" s="718"/>
      <c r="BP286" s="718"/>
      <c r="BQ286" s="718"/>
      <c r="BR286" s="718"/>
      <c r="BS286" s="718"/>
      <c r="BT286" s="718"/>
      <c r="BU286" s="718"/>
      <c r="BV286" s="718"/>
      <c r="BW286" s="718"/>
      <c r="BX286" s="718"/>
      <c r="BY286" s="718"/>
      <c r="BZ286" s="718"/>
      <c r="CA286" s="718"/>
    </row>
    <row r="287" spans="1:79" s="308" customFormat="1" hidden="1" outlineLevel="1" x14ac:dyDescent="0.25">
      <c r="A287" s="656"/>
      <c r="B287" s="571"/>
      <c r="C287" s="571"/>
      <c r="D287" s="571"/>
      <c r="E287" s="570" t="s">
        <v>1342</v>
      </c>
      <c r="F287" s="656" t="s">
        <v>671</v>
      </c>
      <c r="G287" s="721"/>
      <c r="H287" s="721"/>
      <c r="I287" s="721"/>
      <c r="J287" s="721"/>
      <c r="K287" s="721"/>
      <c r="L287" s="721"/>
      <c r="M287" s="721"/>
      <c r="N287" s="721"/>
      <c r="O287" s="719"/>
      <c r="P287" s="716"/>
      <c r="Q287" s="716"/>
      <c r="R287" s="716"/>
      <c r="S287" s="684">
        <v>0</v>
      </c>
      <c r="T287" s="684">
        <v>0</v>
      </c>
      <c r="U287" s="684">
        <v>0</v>
      </c>
      <c r="V287" s="684">
        <v>0</v>
      </c>
      <c r="W287" s="684">
        <v>0</v>
      </c>
      <c r="X287" s="684">
        <v>0</v>
      </c>
      <c r="Y287" s="684">
        <v>0</v>
      </c>
      <c r="Z287" s="684">
        <v>0</v>
      </c>
      <c r="AA287" s="684">
        <v>0</v>
      </c>
      <c r="AB287" s="684">
        <v>0</v>
      </c>
      <c r="AC287" s="684">
        <v>0</v>
      </c>
      <c r="AD287" s="684">
        <v>0</v>
      </c>
      <c r="AE287" s="684">
        <v>0</v>
      </c>
      <c r="AF287" s="684">
        <v>0</v>
      </c>
      <c r="AG287" s="684">
        <v>0</v>
      </c>
      <c r="AH287" s="718"/>
      <c r="AI287" s="718"/>
      <c r="AJ287" s="718"/>
      <c r="AK287" s="718"/>
      <c r="AL287" s="718"/>
      <c r="AM287" s="718"/>
      <c r="AN287" s="718"/>
      <c r="AO287" s="718"/>
      <c r="AP287" s="718"/>
      <c r="AQ287" s="718"/>
      <c r="AR287" s="718"/>
      <c r="AS287" s="718"/>
      <c r="AT287" s="718"/>
      <c r="AU287" s="718"/>
      <c r="AV287" s="718"/>
      <c r="AW287" s="718"/>
      <c r="AX287" s="718"/>
      <c r="AY287" s="718"/>
      <c r="AZ287" s="718"/>
      <c r="BA287" s="718"/>
      <c r="BB287" s="718"/>
      <c r="BC287" s="718"/>
      <c r="BD287" s="718"/>
      <c r="BE287" s="718"/>
      <c r="BF287" s="718"/>
      <c r="BG287" s="718"/>
      <c r="BH287" s="718"/>
      <c r="BI287" s="718"/>
      <c r="BJ287" s="718"/>
      <c r="BK287" s="718"/>
      <c r="BL287" s="718"/>
      <c r="BM287" s="718"/>
      <c r="BN287" s="718"/>
      <c r="BO287" s="718"/>
      <c r="BP287" s="718"/>
      <c r="BQ287" s="718"/>
      <c r="BR287" s="718"/>
      <c r="BS287" s="718"/>
      <c r="BT287" s="718"/>
      <c r="BU287" s="718"/>
      <c r="BV287" s="718"/>
      <c r="BW287" s="718"/>
      <c r="BX287" s="718"/>
      <c r="BY287" s="718"/>
      <c r="BZ287" s="718"/>
      <c r="CA287" s="718"/>
    </row>
    <row r="288" spans="1:79" s="308" customFormat="1" hidden="1" outlineLevel="1" x14ac:dyDescent="0.25">
      <c r="A288" s="656"/>
      <c r="B288" s="571"/>
      <c r="C288" s="571"/>
      <c r="D288" s="571"/>
      <c r="E288" s="570" t="s">
        <v>1342</v>
      </c>
      <c r="F288" s="656" t="s">
        <v>892</v>
      </c>
      <c r="G288" s="721"/>
      <c r="H288" s="721"/>
      <c r="I288" s="721"/>
      <c r="J288" s="721"/>
      <c r="K288" s="721"/>
      <c r="L288" s="721"/>
      <c r="M288" s="721"/>
      <c r="N288" s="721"/>
      <c r="O288" s="719"/>
      <c r="P288" s="716"/>
      <c r="Q288" s="716"/>
      <c r="R288" s="716"/>
      <c r="S288" s="684">
        <v>0</v>
      </c>
      <c r="T288" s="684">
        <v>0</v>
      </c>
      <c r="U288" s="684">
        <v>0</v>
      </c>
      <c r="V288" s="684">
        <v>0</v>
      </c>
      <c r="W288" s="684">
        <v>0</v>
      </c>
      <c r="X288" s="684">
        <v>0</v>
      </c>
      <c r="Y288" s="684">
        <v>0</v>
      </c>
      <c r="Z288" s="684">
        <v>0</v>
      </c>
      <c r="AA288" s="684">
        <v>0</v>
      </c>
      <c r="AB288" s="684">
        <v>0</v>
      </c>
      <c r="AC288" s="684">
        <v>0</v>
      </c>
      <c r="AD288" s="684">
        <v>0</v>
      </c>
      <c r="AE288" s="684">
        <v>0</v>
      </c>
      <c r="AF288" s="684">
        <v>0</v>
      </c>
      <c r="AG288" s="684">
        <v>0</v>
      </c>
      <c r="AH288" s="718"/>
      <c r="AI288" s="718"/>
      <c r="AJ288" s="718"/>
      <c r="AK288" s="718"/>
      <c r="AL288" s="718"/>
      <c r="AM288" s="718"/>
      <c r="AN288" s="718"/>
      <c r="AO288" s="718"/>
      <c r="AP288" s="718"/>
      <c r="AQ288" s="718"/>
      <c r="AR288" s="718"/>
      <c r="AS288" s="718"/>
      <c r="AT288" s="718"/>
      <c r="AU288" s="718"/>
      <c r="AV288" s="718"/>
      <c r="AW288" s="718"/>
      <c r="AX288" s="718"/>
      <c r="AY288" s="718"/>
      <c r="AZ288" s="718"/>
      <c r="BA288" s="718"/>
      <c r="BB288" s="718"/>
      <c r="BC288" s="718"/>
      <c r="BD288" s="718"/>
      <c r="BE288" s="718"/>
      <c r="BF288" s="718"/>
      <c r="BG288" s="718"/>
      <c r="BH288" s="718"/>
      <c r="BI288" s="718"/>
      <c r="BJ288" s="718"/>
      <c r="BK288" s="718"/>
      <c r="BL288" s="718"/>
      <c r="BM288" s="718"/>
      <c r="BN288" s="718"/>
      <c r="BO288" s="718"/>
      <c r="BP288" s="718"/>
      <c r="BQ288" s="718"/>
      <c r="BR288" s="718"/>
      <c r="BS288" s="718"/>
      <c r="BT288" s="718"/>
      <c r="BU288" s="718"/>
      <c r="BV288" s="718"/>
      <c r="BW288" s="718"/>
      <c r="BX288" s="718"/>
      <c r="BY288" s="718"/>
      <c r="BZ288" s="718"/>
      <c r="CA288" s="718"/>
    </row>
    <row r="289" spans="1:79" s="308" customFormat="1" hidden="1" outlineLevel="1" x14ac:dyDescent="0.25">
      <c r="A289" s="657"/>
      <c r="B289" s="571"/>
      <c r="C289" s="571"/>
      <c r="D289" s="571"/>
      <c r="E289" s="570" t="s">
        <v>49</v>
      </c>
      <c r="F289" s="657" t="s">
        <v>672</v>
      </c>
      <c r="G289" s="680">
        <f>SUM(G285:G288)</f>
        <v>0</v>
      </c>
      <c r="H289" s="680">
        <f t="shared" ref="H289:BO289" si="90">SUM(H285:H288)</f>
        <v>0</v>
      </c>
      <c r="I289" s="680">
        <f t="shared" si="90"/>
        <v>0</v>
      </c>
      <c r="J289" s="680">
        <f t="shared" si="90"/>
        <v>0</v>
      </c>
      <c r="K289" s="680">
        <f t="shared" si="90"/>
        <v>0</v>
      </c>
      <c r="L289" s="680">
        <f t="shared" si="90"/>
        <v>0</v>
      </c>
      <c r="M289" s="680">
        <f t="shared" si="90"/>
        <v>0</v>
      </c>
      <c r="N289" s="680">
        <f t="shared" si="90"/>
        <v>0</v>
      </c>
      <c r="O289" s="680">
        <f t="shared" si="90"/>
        <v>0</v>
      </c>
      <c r="P289" s="680">
        <f t="shared" si="90"/>
        <v>0</v>
      </c>
      <c r="Q289" s="680">
        <f t="shared" si="90"/>
        <v>0</v>
      </c>
      <c r="R289" s="680">
        <f t="shared" si="90"/>
        <v>0</v>
      </c>
      <c r="S289" s="680">
        <f t="shared" ref="S289:AA289" si="91">ROUND(SUM(S284:S288),5)</f>
        <v>0</v>
      </c>
      <c r="T289" s="680">
        <f t="shared" si="91"/>
        <v>0</v>
      </c>
      <c r="U289" s="680">
        <f t="shared" si="91"/>
        <v>0</v>
      </c>
      <c r="V289" s="680">
        <f t="shared" si="91"/>
        <v>0</v>
      </c>
      <c r="W289" s="680">
        <f t="shared" si="91"/>
        <v>0</v>
      </c>
      <c r="X289" s="680">
        <f t="shared" si="91"/>
        <v>0</v>
      </c>
      <c r="Y289" s="680">
        <f t="shared" si="91"/>
        <v>0</v>
      </c>
      <c r="Z289" s="680">
        <f t="shared" si="91"/>
        <v>0</v>
      </c>
      <c r="AA289" s="680">
        <f t="shared" si="91"/>
        <v>0</v>
      </c>
      <c r="AB289" s="680">
        <f>ROUND(SUM(AB284:AB288),5)</f>
        <v>0</v>
      </c>
      <c r="AC289" s="680">
        <f>ROUND(SUM(AC284:AC288),5)</f>
        <v>0</v>
      </c>
      <c r="AD289" s="680">
        <f>ROUND(SUM(AD284:AD288),5)</f>
        <v>0</v>
      </c>
      <c r="AE289" s="680">
        <v>0</v>
      </c>
      <c r="AF289" s="680">
        <v>0</v>
      </c>
      <c r="AG289" s="680">
        <f>ROUND(SUM(AG284:AG288),5)</f>
        <v>0</v>
      </c>
      <c r="AH289" s="680">
        <f t="shared" si="90"/>
        <v>0</v>
      </c>
      <c r="AI289" s="680">
        <f t="shared" si="90"/>
        <v>0</v>
      </c>
      <c r="AJ289" s="680">
        <f t="shared" si="90"/>
        <v>0</v>
      </c>
      <c r="AK289" s="680">
        <f t="shared" si="90"/>
        <v>0</v>
      </c>
      <c r="AL289" s="680">
        <f t="shared" si="90"/>
        <v>0</v>
      </c>
      <c r="AM289" s="680">
        <f t="shared" si="90"/>
        <v>0</v>
      </c>
      <c r="AN289" s="680">
        <f t="shared" si="90"/>
        <v>0</v>
      </c>
      <c r="AO289" s="680">
        <f t="shared" si="90"/>
        <v>0</v>
      </c>
      <c r="AP289" s="680">
        <f t="shared" si="90"/>
        <v>0</v>
      </c>
      <c r="AQ289" s="680">
        <f t="shared" si="90"/>
        <v>0</v>
      </c>
      <c r="AR289" s="680">
        <f t="shared" si="90"/>
        <v>0</v>
      </c>
      <c r="AS289" s="680">
        <f t="shared" si="90"/>
        <v>0</v>
      </c>
      <c r="AT289" s="680">
        <f t="shared" si="90"/>
        <v>0</v>
      </c>
      <c r="AU289" s="680">
        <f t="shared" si="90"/>
        <v>0</v>
      </c>
      <c r="AV289" s="680">
        <f t="shared" si="90"/>
        <v>0</v>
      </c>
      <c r="AW289" s="680">
        <f t="shared" si="90"/>
        <v>0</v>
      </c>
      <c r="AX289" s="680">
        <f t="shared" si="90"/>
        <v>0</v>
      </c>
      <c r="AY289" s="680">
        <f t="shared" si="90"/>
        <v>0</v>
      </c>
      <c r="AZ289" s="680">
        <f t="shared" si="90"/>
        <v>0</v>
      </c>
      <c r="BA289" s="680">
        <f t="shared" si="90"/>
        <v>0</v>
      </c>
      <c r="BB289" s="680">
        <f t="shared" si="90"/>
        <v>0</v>
      </c>
      <c r="BC289" s="680">
        <f t="shared" si="90"/>
        <v>0</v>
      </c>
      <c r="BD289" s="680">
        <f t="shared" si="90"/>
        <v>0</v>
      </c>
      <c r="BE289" s="680">
        <f t="shared" si="90"/>
        <v>0</v>
      </c>
      <c r="BF289" s="680">
        <f t="shared" si="90"/>
        <v>0</v>
      </c>
      <c r="BG289" s="680">
        <f t="shared" si="90"/>
        <v>0</v>
      </c>
      <c r="BH289" s="680">
        <f t="shared" si="90"/>
        <v>0</v>
      </c>
      <c r="BI289" s="680">
        <f t="shared" si="90"/>
        <v>0</v>
      </c>
      <c r="BJ289" s="680">
        <f t="shared" si="90"/>
        <v>0</v>
      </c>
      <c r="BK289" s="680">
        <f t="shared" si="90"/>
        <v>0</v>
      </c>
      <c r="BL289" s="680">
        <f t="shared" si="90"/>
        <v>0</v>
      </c>
      <c r="BM289" s="680">
        <f t="shared" si="90"/>
        <v>0</v>
      </c>
      <c r="BN289" s="680">
        <f t="shared" si="90"/>
        <v>0</v>
      </c>
      <c r="BO289" s="680">
        <f t="shared" si="90"/>
        <v>0</v>
      </c>
      <c r="BP289" s="680">
        <f t="shared" ref="BP289:CA289" si="92">SUM(BP285:BP288)</f>
        <v>0</v>
      </c>
      <c r="BQ289" s="680">
        <f t="shared" si="92"/>
        <v>0</v>
      </c>
      <c r="BR289" s="680">
        <f t="shared" si="92"/>
        <v>0</v>
      </c>
      <c r="BS289" s="680">
        <f t="shared" si="92"/>
        <v>0</v>
      </c>
      <c r="BT289" s="680">
        <f t="shared" si="92"/>
        <v>0</v>
      </c>
      <c r="BU289" s="680">
        <f t="shared" si="92"/>
        <v>0</v>
      </c>
      <c r="BV289" s="680">
        <f t="shared" si="92"/>
        <v>0</v>
      </c>
      <c r="BW289" s="680">
        <f t="shared" si="92"/>
        <v>0</v>
      </c>
      <c r="BX289" s="680">
        <f t="shared" si="92"/>
        <v>0</v>
      </c>
      <c r="BY289" s="680">
        <f t="shared" si="92"/>
        <v>0</v>
      </c>
      <c r="BZ289" s="680">
        <f t="shared" si="92"/>
        <v>0</v>
      </c>
      <c r="CA289" s="680">
        <f t="shared" si="92"/>
        <v>0</v>
      </c>
    </row>
    <row r="290" spans="1:79" s="308" customFormat="1" hidden="1" outlineLevel="1" x14ac:dyDescent="0.25">
      <c r="A290" s="658"/>
      <c r="B290" s="29"/>
      <c r="C290" s="29"/>
      <c r="D290" s="29"/>
      <c r="E290" s="570" t="s">
        <v>1076</v>
      </c>
      <c r="F290" s="658" t="s">
        <v>648</v>
      </c>
      <c r="G290" s="719">
        <v>116.24723042537528</v>
      </c>
      <c r="H290" s="719">
        <v>58.54336726045279</v>
      </c>
      <c r="I290" s="719">
        <v>36.740805843856428</v>
      </c>
      <c r="J290" s="719">
        <v>14.492260975829055</v>
      </c>
      <c r="K290" s="719">
        <v>18.068529335019775</v>
      </c>
      <c r="L290" s="719">
        <v>12.893678091046883</v>
      </c>
      <c r="M290" s="719">
        <v>40.191266961505569</v>
      </c>
      <c r="N290" s="719">
        <v>8.964946127121264</v>
      </c>
      <c r="O290" s="719">
        <v>7.2729728603401718</v>
      </c>
      <c r="P290" s="719">
        <v>4.3732638357107447</v>
      </c>
      <c r="Q290" s="719">
        <v>7.6875868821589624</v>
      </c>
      <c r="R290" s="719">
        <v>7.7348735766294112</v>
      </c>
      <c r="S290" s="688">
        <v>0</v>
      </c>
      <c r="T290" s="688">
        <v>0</v>
      </c>
      <c r="U290" s="688">
        <v>0</v>
      </c>
      <c r="V290" s="688">
        <v>0</v>
      </c>
      <c r="W290" s="688">
        <v>0</v>
      </c>
      <c r="X290" s="688">
        <v>0</v>
      </c>
      <c r="Y290" s="688">
        <v>0</v>
      </c>
      <c r="Z290" s="688">
        <v>0</v>
      </c>
      <c r="AA290" s="688">
        <v>0</v>
      </c>
      <c r="AB290" s="688">
        <v>0</v>
      </c>
      <c r="AC290" s="688">
        <v>0</v>
      </c>
      <c r="AD290" s="688">
        <v>0</v>
      </c>
      <c r="AE290" s="688">
        <v>24.39</v>
      </c>
      <c r="AF290" s="688">
        <v>21.81</v>
      </c>
      <c r="AG290" s="688">
        <v>25.38</v>
      </c>
      <c r="AH290" s="718"/>
      <c r="AI290" s="718"/>
      <c r="AJ290" s="718"/>
      <c r="AK290" s="718"/>
      <c r="AL290" s="718"/>
      <c r="AM290" s="718"/>
      <c r="AN290" s="718"/>
      <c r="AO290" s="718"/>
      <c r="AP290" s="718"/>
      <c r="AQ290" s="718"/>
      <c r="AR290" s="718"/>
      <c r="AS290" s="718"/>
      <c r="AT290" s="718"/>
      <c r="AU290" s="718"/>
      <c r="AV290" s="718"/>
      <c r="AW290" s="718"/>
      <c r="AX290" s="718"/>
      <c r="AY290" s="718"/>
      <c r="AZ290" s="718"/>
      <c r="BA290" s="718"/>
      <c r="BB290" s="718"/>
      <c r="BC290" s="718"/>
      <c r="BD290" s="718"/>
      <c r="BE290" s="718"/>
      <c r="BF290" s="718"/>
      <c r="BG290" s="718"/>
      <c r="BH290" s="718"/>
      <c r="BI290" s="718"/>
      <c r="BJ290" s="718"/>
      <c r="BK290" s="718"/>
      <c r="BL290" s="718"/>
      <c r="BM290" s="718"/>
      <c r="BN290" s="718"/>
      <c r="BO290" s="718"/>
      <c r="BP290" s="718"/>
      <c r="BQ290" s="718"/>
      <c r="BR290" s="718"/>
      <c r="BS290" s="718"/>
      <c r="BT290" s="718"/>
      <c r="BU290" s="718"/>
      <c r="BV290" s="718"/>
      <c r="BW290" s="718"/>
      <c r="BX290" s="718"/>
      <c r="BY290" s="718"/>
      <c r="BZ290" s="718"/>
      <c r="CA290" s="718"/>
    </row>
    <row r="291" spans="1:79" hidden="1" outlineLevel="1" x14ac:dyDescent="0.25">
      <c r="A291" s="658"/>
      <c r="E291" s="570" t="s">
        <v>431</v>
      </c>
      <c r="F291" s="658" t="s">
        <v>599</v>
      </c>
      <c r="G291" s="719">
        <v>74.293738093722908</v>
      </c>
      <c r="H291" s="719">
        <v>190.43292595575218</v>
      </c>
      <c r="I291" s="719">
        <v>154.43257829134711</v>
      </c>
      <c r="J291" s="719">
        <v>359.98659634494874</v>
      </c>
      <c r="K291" s="719">
        <v>319.91786220565979</v>
      </c>
      <c r="L291" s="719">
        <v>283.48294410585669</v>
      </c>
      <c r="M291" s="719">
        <v>57.901206254180018</v>
      </c>
      <c r="N291" s="719">
        <v>246.3529536682681</v>
      </c>
      <c r="O291" s="719">
        <v>345.68068350554609</v>
      </c>
      <c r="P291" s="719">
        <v>407.43801402449128</v>
      </c>
      <c r="Q291" s="719">
        <v>59.92842950154963</v>
      </c>
      <c r="R291" s="719">
        <v>57.815892779910854</v>
      </c>
      <c r="S291" s="667">
        <v>4738.3599999999997</v>
      </c>
      <c r="T291" s="667">
        <v>8290.17</v>
      </c>
      <c r="U291" s="667">
        <v>3996.56</v>
      </c>
      <c r="V291" s="667">
        <v>653.37</v>
      </c>
      <c r="W291" s="667">
        <v>2.25</v>
      </c>
      <c r="X291" s="667">
        <v>5347.3</v>
      </c>
      <c r="Y291" s="667">
        <v>0</v>
      </c>
      <c r="Z291" s="667">
        <v>1712.42</v>
      </c>
      <c r="AA291" s="667">
        <v>4275.13</v>
      </c>
      <c r="AB291" s="667">
        <v>1224.0899999999999</v>
      </c>
      <c r="AC291" s="667">
        <v>37.58</v>
      </c>
      <c r="AD291" s="667">
        <v>563.1</v>
      </c>
      <c r="AE291" s="667">
        <v>2979.81</v>
      </c>
      <c r="AF291" s="667">
        <v>2568.46</v>
      </c>
      <c r="AG291" s="667">
        <v>1387.79</v>
      </c>
      <c r="AH291" s="718"/>
      <c r="AI291" s="718"/>
      <c r="AJ291" s="718"/>
      <c r="AK291" s="718"/>
      <c r="AL291" s="718"/>
      <c r="AM291" s="718"/>
      <c r="AN291" s="718"/>
      <c r="AO291" s="718"/>
      <c r="AP291" s="718"/>
      <c r="AQ291" s="718"/>
      <c r="AR291" s="718"/>
      <c r="AS291" s="718"/>
      <c r="AT291" s="718"/>
      <c r="AU291" s="718"/>
      <c r="AV291" s="718"/>
      <c r="AW291" s="718"/>
      <c r="AX291" s="718"/>
      <c r="AY291" s="718"/>
      <c r="AZ291" s="718"/>
      <c r="BA291" s="718"/>
      <c r="BB291" s="718"/>
      <c r="BC291" s="718"/>
      <c r="BD291" s="718"/>
      <c r="BE291" s="718"/>
      <c r="BF291" s="718"/>
      <c r="BG291" s="718"/>
      <c r="BH291" s="718"/>
      <c r="BI291" s="718"/>
      <c r="BJ291" s="718"/>
      <c r="BK291" s="718"/>
      <c r="BL291" s="718"/>
      <c r="BM291" s="718"/>
      <c r="BN291" s="718"/>
      <c r="BO291" s="718"/>
      <c r="BP291" s="718"/>
      <c r="BQ291" s="718"/>
      <c r="BR291" s="718"/>
      <c r="BS291" s="718"/>
      <c r="BT291" s="718"/>
      <c r="BU291" s="718"/>
      <c r="BV291" s="718"/>
      <c r="BW291" s="718"/>
      <c r="BX291" s="718"/>
      <c r="BY291" s="718"/>
      <c r="BZ291" s="718"/>
      <c r="CA291" s="718"/>
    </row>
    <row r="292" spans="1:79" hidden="1" outlineLevel="1" x14ac:dyDescent="0.25">
      <c r="A292" s="691"/>
      <c r="B292" s="693"/>
      <c r="C292" s="693"/>
      <c r="D292" s="693"/>
      <c r="E292" s="570" t="s">
        <v>1343</v>
      </c>
      <c r="F292" s="691" t="s">
        <v>673</v>
      </c>
      <c r="G292" s="733"/>
      <c r="H292" s="733"/>
      <c r="I292" s="733"/>
      <c r="J292" s="733"/>
      <c r="K292" s="733"/>
      <c r="L292" s="733"/>
      <c r="M292" s="733"/>
      <c r="N292" s="733"/>
      <c r="O292" s="733"/>
      <c r="P292" s="733"/>
      <c r="Q292" s="733"/>
      <c r="R292" s="733"/>
      <c r="S292" s="704"/>
      <c r="T292" s="704"/>
      <c r="U292" s="704"/>
      <c r="V292" s="704"/>
      <c r="W292" s="704"/>
      <c r="X292" s="704"/>
      <c r="Y292" s="704"/>
      <c r="Z292" s="704"/>
      <c r="AA292" s="704"/>
      <c r="AB292" s="704"/>
      <c r="AC292" s="704"/>
      <c r="AD292" s="704"/>
      <c r="AE292" s="704"/>
      <c r="AF292" s="704"/>
      <c r="AG292" s="704"/>
      <c r="AH292" s="736"/>
      <c r="AI292" s="736"/>
      <c r="AJ292" s="736"/>
      <c r="AK292" s="736"/>
      <c r="AL292" s="736"/>
      <c r="AM292" s="736"/>
      <c r="AN292" s="736"/>
      <c r="AO292" s="736"/>
      <c r="AP292" s="736"/>
      <c r="AQ292" s="736"/>
      <c r="AR292" s="736"/>
      <c r="AS292" s="736"/>
      <c r="AT292" s="736"/>
      <c r="AU292" s="736"/>
      <c r="AV292" s="736"/>
      <c r="AW292" s="736"/>
      <c r="AX292" s="736"/>
      <c r="AY292" s="736"/>
      <c r="AZ292" s="736"/>
      <c r="BA292" s="736"/>
      <c r="BB292" s="736"/>
      <c r="BC292" s="736"/>
      <c r="BD292" s="736"/>
      <c r="BE292" s="736"/>
      <c r="BF292" s="736"/>
      <c r="BG292" s="736"/>
      <c r="BH292" s="736"/>
      <c r="BI292" s="736"/>
      <c r="BJ292" s="736"/>
      <c r="BK292" s="736"/>
      <c r="BL292" s="736"/>
      <c r="BM292" s="736"/>
      <c r="BN292" s="736"/>
      <c r="BO292" s="736"/>
      <c r="BP292" s="736"/>
      <c r="BQ292" s="736"/>
      <c r="BR292" s="736"/>
      <c r="BS292" s="736"/>
      <c r="BT292" s="736"/>
      <c r="BU292" s="736"/>
      <c r="BV292" s="736"/>
      <c r="BW292" s="736"/>
      <c r="BX292" s="736"/>
      <c r="BY292" s="736"/>
      <c r="BZ292" s="736"/>
      <c r="CA292" s="736"/>
    </row>
    <row r="293" spans="1:79" hidden="1" outlineLevel="1" x14ac:dyDescent="0.25">
      <c r="A293" s="656"/>
      <c r="B293" s="570"/>
      <c r="C293" s="570"/>
      <c r="D293" s="570"/>
      <c r="E293" s="570" t="s">
        <v>1330</v>
      </c>
      <c r="F293" s="656" t="s">
        <v>893</v>
      </c>
      <c r="G293" s="719"/>
      <c r="H293" s="719"/>
      <c r="I293" s="719"/>
      <c r="J293" s="719"/>
      <c r="K293" s="719"/>
      <c r="L293" s="719"/>
      <c r="M293" s="719"/>
      <c r="N293" s="719"/>
      <c r="O293" s="719"/>
      <c r="P293" s="719"/>
      <c r="Q293" s="719"/>
      <c r="R293" s="719"/>
      <c r="S293" s="667">
        <v>0</v>
      </c>
      <c r="T293" s="667">
        <v>0</v>
      </c>
      <c r="U293" s="667">
        <v>0</v>
      </c>
      <c r="V293" s="667">
        <v>0</v>
      </c>
      <c r="W293" s="667">
        <v>0</v>
      </c>
      <c r="X293" s="667">
        <v>0</v>
      </c>
      <c r="Y293" s="667">
        <v>0</v>
      </c>
      <c r="Z293" s="667">
        <v>0</v>
      </c>
      <c r="AA293" s="667">
        <v>0</v>
      </c>
      <c r="AB293" s="667">
        <v>0</v>
      </c>
      <c r="AC293" s="667">
        <v>0</v>
      </c>
      <c r="AD293" s="667">
        <v>0</v>
      </c>
      <c r="AE293" s="667">
        <v>0</v>
      </c>
      <c r="AF293" s="667">
        <v>0</v>
      </c>
      <c r="AG293" s="667">
        <v>0</v>
      </c>
      <c r="AH293" s="718"/>
      <c r="AI293" s="718"/>
      <c r="AJ293" s="718"/>
      <c r="AK293" s="718"/>
      <c r="AL293" s="718"/>
      <c r="AM293" s="718"/>
      <c r="AN293" s="718"/>
      <c r="AO293" s="718"/>
      <c r="AP293" s="718"/>
      <c r="AQ293" s="718"/>
      <c r="AR293" s="718"/>
      <c r="AS293" s="718"/>
      <c r="AT293" s="718"/>
      <c r="AU293" s="718"/>
      <c r="AV293" s="718"/>
      <c r="AW293" s="718"/>
      <c r="AX293" s="718"/>
      <c r="AY293" s="718"/>
      <c r="AZ293" s="718"/>
      <c r="BA293" s="718"/>
      <c r="BB293" s="718"/>
      <c r="BC293" s="718"/>
      <c r="BD293" s="718"/>
      <c r="BE293" s="718"/>
      <c r="BF293" s="718"/>
      <c r="BG293" s="718"/>
      <c r="BH293" s="718"/>
      <c r="BI293" s="718"/>
      <c r="BJ293" s="718"/>
      <c r="BK293" s="718"/>
      <c r="BL293" s="718"/>
      <c r="BM293" s="718"/>
      <c r="BN293" s="718"/>
      <c r="BO293" s="718"/>
      <c r="BP293" s="718"/>
      <c r="BQ293" s="718"/>
      <c r="BR293" s="718"/>
      <c r="BS293" s="718"/>
      <c r="BT293" s="718"/>
      <c r="BU293" s="718"/>
      <c r="BV293" s="718"/>
      <c r="BW293" s="718"/>
      <c r="BX293" s="718"/>
      <c r="BY293" s="718"/>
      <c r="BZ293" s="718"/>
      <c r="CA293" s="718"/>
    </row>
    <row r="294" spans="1:79" hidden="1" outlineLevel="1" x14ac:dyDescent="0.25">
      <c r="A294" s="656"/>
      <c r="B294" s="570"/>
      <c r="C294" s="570"/>
      <c r="D294" s="570"/>
      <c r="E294" s="570" t="s">
        <v>1343</v>
      </c>
      <c r="F294" s="656" t="s">
        <v>674</v>
      </c>
      <c r="G294" s="719"/>
      <c r="H294" s="719"/>
      <c r="I294" s="719"/>
      <c r="J294" s="719"/>
      <c r="K294" s="719"/>
      <c r="L294" s="719"/>
      <c r="M294" s="719"/>
      <c r="N294" s="719"/>
      <c r="O294" s="719"/>
      <c r="P294" s="719"/>
      <c r="Q294" s="719"/>
      <c r="R294" s="719"/>
      <c r="S294" s="667">
        <v>0</v>
      </c>
      <c r="T294" s="667">
        <v>0</v>
      </c>
      <c r="U294" s="667">
        <v>0</v>
      </c>
      <c r="V294" s="667">
        <v>0</v>
      </c>
      <c r="W294" s="667">
        <v>0</v>
      </c>
      <c r="X294" s="667">
        <v>0</v>
      </c>
      <c r="Y294" s="667">
        <v>0</v>
      </c>
      <c r="Z294" s="667">
        <v>0</v>
      </c>
      <c r="AA294" s="667">
        <v>0</v>
      </c>
      <c r="AB294" s="667">
        <v>0</v>
      </c>
      <c r="AC294" s="667">
        <v>0</v>
      </c>
      <c r="AD294" s="667">
        <v>0</v>
      </c>
      <c r="AE294" s="667">
        <v>0</v>
      </c>
      <c r="AF294" s="667">
        <v>0</v>
      </c>
      <c r="AG294" s="667">
        <v>0</v>
      </c>
      <c r="AH294" s="718"/>
      <c r="AI294" s="718"/>
      <c r="AJ294" s="718"/>
      <c r="AK294" s="718"/>
      <c r="AL294" s="718"/>
      <c r="AM294" s="718"/>
      <c r="AN294" s="718"/>
      <c r="AO294" s="718"/>
      <c r="AP294" s="718"/>
      <c r="AQ294" s="718"/>
      <c r="AR294" s="718"/>
      <c r="AS294" s="718"/>
      <c r="AT294" s="718"/>
      <c r="AU294" s="718"/>
      <c r="AV294" s="718"/>
      <c r="AW294" s="718"/>
      <c r="AX294" s="718"/>
      <c r="AY294" s="718"/>
      <c r="AZ294" s="718"/>
      <c r="BA294" s="718"/>
      <c r="BB294" s="718"/>
      <c r="BC294" s="718"/>
      <c r="BD294" s="718"/>
      <c r="BE294" s="718"/>
      <c r="BF294" s="718"/>
      <c r="BG294" s="718"/>
      <c r="BH294" s="718"/>
      <c r="BI294" s="718"/>
      <c r="BJ294" s="718"/>
      <c r="BK294" s="718"/>
      <c r="BL294" s="718"/>
      <c r="BM294" s="718"/>
      <c r="BN294" s="718"/>
      <c r="BO294" s="718"/>
      <c r="BP294" s="718"/>
      <c r="BQ294" s="718"/>
      <c r="BR294" s="718"/>
      <c r="BS294" s="718"/>
      <c r="BT294" s="718"/>
      <c r="BU294" s="718"/>
      <c r="BV294" s="718"/>
      <c r="BW294" s="718"/>
      <c r="BX294" s="718"/>
      <c r="BY294" s="718"/>
      <c r="BZ294" s="718"/>
      <c r="CA294" s="718"/>
    </row>
    <row r="295" spans="1:79" hidden="1" outlineLevel="1" x14ac:dyDescent="0.25">
      <c r="A295" s="656"/>
      <c r="B295" s="570"/>
      <c r="C295" s="570"/>
      <c r="D295" s="570"/>
      <c r="E295" s="570" t="s">
        <v>1343</v>
      </c>
      <c r="F295" s="656" t="s">
        <v>894</v>
      </c>
      <c r="G295" s="719"/>
      <c r="H295" s="719"/>
      <c r="I295" s="719"/>
      <c r="J295" s="719"/>
      <c r="K295" s="719"/>
      <c r="L295" s="719"/>
      <c r="M295" s="719"/>
      <c r="N295" s="719"/>
      <c r="O295" s="719"/>
      <c r="P295" s="719"/>
      <c r="Q295" s="719"/>
      <c r="R295" s="719"/>
      <c r="S295" s="667">
        <v>0</v>
      </c>
      <c r="T295" s="667">
        <v>0</v>
      </c>
      <c r="U295" s="667">
        <v>0</v>
      </c>
      <c r="V295" s="667">
        <v>0</v>
      </c>
      <c r="W295" s="667">
        <v>0</v>
      </c>
      <c r="X295" s="667">
        <v>0</v>
      </c>
      <c r="Y295" s="667">
        <v>0</v>
      </c>
      <c r="Z295" s="667">
        <v>0</v>
      </c>
      <c r="AA295" s="667">
        <v>0</v>
      </c>
      <c r="AB295" s="667">
        <v>0</v>
      </c>
      <c r="AC295" s="667">
        <v>0</v>
      </c>
      <c r="AD295" s="667">
        <v>0</v>
      </c>
      <c r="AE295" s="667">
        <v>0</v>
      </c>
      <c r="AF295" s="667">
        <v>0</v>
      </c>
      <c r="AG295" s="667">
        <v>0</v>
      </c>
      <c r="AH295" s="718"/>
      <c r="AI295" s="718"/>
      <c r="AJ295" s="718"/>
      <c r="AK295" s="718"/>
      <c r="AL295" s="718"/>
      <c r="AM295" s="718"/>
      <c r="AN295" s="718"/>
      <c r="AO295" s="718"/>
      <c r="AP295" s="718"/>
      <c r="AQ295" s="718"/>
      <c r="AR295" s="718"/>
      <c r="AS295" s="718"/>
      <c r="AT295" s="718"/>
      <c r="AU295" s="718"/>
      <c r="AV295" s="718"/>
      <c r="AW295" s="718"/>
      <c r="AX295" s="718"/>
      <c r="AY295" s="718"/>
      <c r="AZ295" s="718"/>
      <c r="BA295" s="718"/>
      <c r="BB295" s="718"/>
      <c r="BC295" s="718"/>
      <c r="BD295" s="718"/>
      <c r="BE295" s="718"/>
      <c r="BF295" s="718"/>
      <c r="BG295" s="718"/>
      <c r="BH295" s="718"/>
      <c r="BI295" s="718"/>
      <c r="BJ295" s="718"/>
      <c r="BK295" s="718"/>
      <c r="BL295" s="718"/>
      <c r="BM295" s="718"/>
      <c r="BN295" s="718"/>
      <c r="BO295" s="718"/>
      <c r="BP295" s="718"/>
      <c r="BQ295" s="718"/>
      <c r="BR295" s="718"/>
      <c r="BS295" s="718"/>
      <c r="BT295" s="718"/>
      <c r="BU295" s="718"/>
      <c r="BV295" s="718"/>
      <c r="BW295" s="718"/>
      <c r="BX295" s="718"/>
      <c r="BY295" s="718"/>
      <c r="BZ295" s="718"/>
      <c r="CA295" s="718"/>
    </row>
    <row r="296" spans="1:79" hidden="1" outlineLevel="1" x14ac:dyDescent="0.25">
      <c r="A296" s="656"/>
      <c r="B296" s="570"/>
      <c r="C296" s="570"/>
      <c r="D296" s="570"/>
      <c r="E296" s="570" t="s">
        <v>1343</v>
      </c>
      <c r="F296" s="656" t="s">
        <v>765</v>
      </c>
      <c r="G296" s="680"/>
      <c r="H296" s="719"/>
      <c r="I296" s="719"/>
      <c r="J296" s="719"/>
      <c r="K296" s="719"/>
      <c r="L296" s="719"/>
      <c r="M296" s="719"/>
      <c r="N296" s="719"/>
      <c r="O296" s="719"/>
      <c r="P296" s="719"/>
      <c r="Q296" s="719"/>
      <c r="R296" s="719"/>
      <c r="S296" s="667">
        <v>0</v>
      </c>
      <c r="T296" s="667">
        <v>0</v>
      </c>
      <c r="U296" s="667">
        <v>0</v>
      </c>
      <c r="V296" s="667">
        <v>0</v>
      </c>
      <c r="W296" s="667">
        <v>0</v>
      </c>
      <c r="X296" s="667">
        <v>0</v>
      </c>
      <c r="Y296" s="667">
        <v>0</v>
      </c>
      <c r="Z296" s="667">
        <v>0</v>
      </c>
      <c r="AA296" s="667">
        <v>0</v>
      </c>
      <c r="AB296" s="667">
        <v>0</v>
      </c>
      <c r="AC296" s="667">
        <v>0</v>
      </c>
      <c r="AD296" s="667">
        <v>0</v>
      </c>
      <c r="AE296" s="667">
        <v>0</v>
      </c>
      <c r="AF296" s="667">
        <v>0</v>
      </c>
      <c r="AG296" s="667">
        <v>0</v>
      </c>
      <c r="AH296" s="718"/>
      <c r="AI296" s="718"/>
      <c r="AJ296" s="718"/>
      <c r="AK296" s="718"/>
      <c r="AL296" s="718"/>
      <c r="AM296" s="718"/>
      <c r="AN296" s="718"/>
      <c r="AO296" s="718"/>
      <c r="AP296" s="718"/>
      <c r="AQ296" s="718"/>
      <c r="AR296" s="718"/>
      <c r="AS296" s="718"/>
      <c r="AT296" s="718"/>
      <c r="AU296" s="718"/>
      <c r="AV296" s="718"/>
      <c r="AW296" s="718"/>
      <c r="AX296" s="718"/>
      <c r="AY296" s="718"/>
      <c r="AZ296" s="718"/>
      <c r="BA296" s="718"/>
      <c r="BB296" s="718"/>
      <c r="BC296" s="718"/>
      <c r="BD296" s="718"/>
      <c r="BE296" s="718"/>
      <c r="BF296" s="718"/>
      <c r="BG296" s="718"/>
      <c r="BH296" s="718"/>
      <c r="BI296" s="718"/>
      <c r="BJ296" s="718"/>
      <c r="BK296" s="718"/>
      <c r="BL296" s="718"/>
      <c r="BM296" s="718"/>
      <c r="BN296" s="718"/>
      <c r="BO296" s="718"/>
      <c r="BP296" s="718"/>
      <c r="BQ296" s="718"/>
      <c r="BR296" s="718"/>
      <c r="BS296" s="718"/>
      <c r="BT296" s="718"/>
      <c r="BU296" s="718"/>
      <c r="BV296" s="718"/>
      <c r="BW296" s="718"/>
      <c r="BX296" s="718"/>
      <c r="BY296" s="718"/>
      <c r="BZ296" s="718"/>
      <c r="CA296" s="718"/>
    </row>
    <row r="297" spans="1:79" hidden="1" outlineLevel="1" x14ac:dyDescent="0.25">
      <c r="A297" s="657"/>
      <c r="B297" s="570"/>
      <c r="C297" s="570"/>
      <c r="D297" s="570"/>
      <c r="E297" s="570" t="s">
        <v>49</v>
      </c>
      <c r="F297" s="657" t="s">
        <v>675</v>
      </c>
      <c r="G297" s="680">
        <f>SUM(G293:G296)</f>
        <v>0</v>
      </c>
      <c r="H297" s="680">
        <f t="shared" ref="H297:BO297" si="93">SUM(H293:H296)</f>
        <v>0</v>
      </c>
      <c r="I297" s="680">
        <f t="shared" si="93"/>
        <v>0</v>
      </c>
      <c r="J297" s="680">
        <f t="shared" si="93"/>
        <v>0</v>
      </c>
      <c r="K297" s="680">
        <f t="shared" si="93"/>
        <v>0</v>
      </c>
      <c r="L297" s="680">
        <f t="shared" si="93"/>
        <v>0</v>
      </c>
      <c r="M297" s="680">
        <f t="shared" si="93"/>
        <v>0</v>
      </c>
      <c r="N297" s="680">
        <f t="shared" si="93"/>
        <v>0</v>
      </c>
      <c r="O297" s="680">
        <f t="shared" si="93"/>
        <v>0</v>
      </c>
      <c r="P297" s="680">
        <f t="shared" si="93"/>
        <v>0</v>
      </c>
      <c r="Q297" s="680">
        <f t="shared" si="93"/>
        <v>0</v>
      </c>
      <c r="R297" s="680">
        <f t="shared" si="93"/>
        <v>0</v>
      </c>
      <c r="S297" s="678">
        <f t="shared" ref="S297:AA297" si="94">ROUND(SUM(S292:S296),5)</f>
        <v>0</v>
      </c>
      <c r="T297" s="678">
        <f t="shared" si="94"/>
        <v>0</v>
      </c>
      <c r="U297" s="678">
        <f t="shared" si="94"/>
        <v>0</v>
      </c>
      <c r="V297" s="678">
        <f t="shared" si="94"/>
        <v>0</v>
      </c>
      <c r="W297" s="678">
        <f t="shared" si="94"/>
        <v>0</v>
      </c>
      <c r="X297" s="678">
        <f t="shared" si="94"/>
        <v>0</v>
      </c>
      <c r="Y297" s="678">
        <f t="shared" si="94"/>
        <v>0</v>
      </c>
      <c r="Z297" s="678">
        <f t="shared" si="94"/>
        <v>0</v>
      </c>
      <c r="AA297" s="678">
        <f t="shared" si="94"/>
        <v>0</v>
      </c>
      <c r="AB297" s="678">
        <f>ROUND(SUM(AB292:AB296),5)</f>
        <v>0</v>
      </c>
      <c r="AC297" s="678">
        <f>ROUND(SUM(AC292:AC296),5)</f>
        <v>0</v>
      </c>
      <c r="AD297" s="678">
        <f>ROUND(SUM(AD292:AD296),5)</f>
        <v>0</v>
      </c>
      <c r="AE297" s="678">
        <v>0</v>
      </c>
      <c r="AF297" s="678">
        <v>0</v>
      </c>
      <c r="AG297" s="678">
        <f>ROUND(SUM(AG292:AG296),5)</f>
        <v>0</v>
      </c>
      <c r="AH297" s="680">
        <f t="shared" si="93"/>
        <v>0</v>
      </c>
      <c r="AI297" s="680">
        <f t="shared" si="93"/>
        <v>0</v>
      </c>
      <c r="AJ297" s="680">
        <f t="shared" si="93"/>
        <v>0</v>
      </c>
      <c r="AK297" s="680">
        <f t="shared" si="93"/>
        <v>0</v>
      </c>
      <c r="AL297" s="680">
        <f t="shared" si="93"/>
        <v>0</v>
      </c>
      <c r="AM297" s="680">
        <f t="shared" si="93"/>
        <v>0</v>
      </c>
      <c r="AN297" s="680">
        <f t="shared" si="93"/>
        <v>0</v>
      </c>
      <c r="AO297" s="680">
        <f t="shared" si="93"/>
        <v>0</v>
      </c>
      <c r="AP297" s="680">
        <f t="shared" si="93"/>
        <v>0</v>
      </c>
      <c r="AQ297" s="680">
        <f t="shared" si="93"/>
        <v>0</v>
      </c>
      <c r="AR297" s="680">
        <f t="shared" si="93"/>
        <v>0</v>
      </c>
      <c r="AS297" s="680">
        <f t="shared" si="93"/>
        <v>0</v>
      </c>
      <c r="AT297" s="680">
        <f t="shared" si="93"/>
        <v>0</v>
      </c>
      <c r="AU297" s="680">
        <f t="shared" si="93"/>
        <v>0</v>
      </c>
      <c r="AV297" s="680">
        <f t="shared" si="93"/>
        <v>0</v>
      </c>
      <c r="AW297" s="680">
        <f t="shared" si="93"/>
        <v>0</v>
      </c>
      <c r="AX297" s="680">
        <f t="shared" si="93"/>
        <v>0</v>
      </c>
      <c r="AY297" s="680">
        <f t="shared" si="93"/>
        <v>0</v>
      </c>
      <c r="AZ297" s="680">
        <f t="shared" si="93"/>
        <v>0</v>
      </c>
      <c r="BA297" s="680">
        <f t="shared" si="93"/>
        <v>0</v>
      </c>
      <c r="BB297" s="680">
        <f t="shared" si="93"/>
        <v>0</v>
      </c>
      <c r="BC297" s="680">
        <f t="shared" si="93"/>
        <v>0</v>
      </c>
      <c r="BD297" s="680">
        <f t="shared" si="93"/>
        <v>0</v>
      </c>
      <c r="BE297" s="680">
        <f t="shared" si="93"/>
        <v>0</v>
      </c>
      <c r="BF297" s="680">
        <f t="shared" si="93"/>
        <v>0</v>
      </c>
      <c r="BG297" s="680">
        <f t="shared" si="93"/>
        <v>0</v>
      </c>
      <c r="BH297" s="680">
        <f t="shared" si="93"/>
        <v>0</v>
      </c>
      <c r="BI297" s="680">
        <f t="shared" si="93"/>
        <v>0</v>
      </c>
      <c r="BJ297" s="680">
        <f t="shared" si="93"/>
        <v>0</v>
      </c>
      <c r="BK297" s="680">
        <f t="shared" si="93"/>
        <v>0</v>
      </c>
      <c r="BL297" s="680">
        <f t="shared" si="93"/>
        <v>0</v>
      </c>
      <c r="BM297" s="680">
        <f t="shared" si="93"/>
        <v>0</v>
      </c>
      <c r="BN297" s="680">
        <f t="shared" si="93"/>
        <v>0</v>
      </c>
      <c r="BO297" s="680">
        <f t="shared" si="93"/>
        <v>0</v>
      </c>
      <c r="BP297" s="680">
        <f t="shared" ref="BP297:CA297" si="95">SUM(BP293:BP296)</f>
        <v>0</v>
      </c>
      <c r="BQ297" s="680">
        <f t="shared" si="95"/>
        <v>0</v>
      </c>
      <c r="BR297" s="680">
        <f t="shared" si="95"/>
        <v>0</v>
      </c>
      <c r="BS297" s="680">
        <f t="shared" si="95"/>
        <v>0</v>
      </c>
      <c r="BT297" s="680">
        <f t="shared" si="95"/>
        <v>0</v>
      </c>
      <c r="BU297" s="680">
        <f t="shared" si="95"/>
        <v>0</v>
      </c>
      <c r="BV297" s="680">
        <f t="shared" si="95"/>
        <v>0</v>
      </c>
      <c r="BW297" s="680">
        <f t="shared" si="95"/>
        <v>0</v>
      </c>
      <c r="BX297" s="680">
        <f t="shared" si="95"/>
        <v>0</v>
      </c>
      <c r="BY297" s="680">
        <f t="shared" si="95"/>
        <v>0</v>
      </c>
      <c r="BZ297" s="680">
        <f t="shared" si="95"/>
        <v>0</v>
      </c>
      <c r="CA297" s="680">
        <f t="shared" si="95"/>
        <v>0</v>
      </c>
    </row>
    <row r="298" spans="1:79" hidden="1" outlineLevel="1" x14ac:dyDescent="0.25">
      <c r="A298" s="658"/>
      <c r="E298" s="570" t="s">
        <v>921</v>
      </c>
      <c r="F298" s="658" t="s">
        <v>600</v>
      </c>
      <c r="G298" s="719">
        <v>138.96527977816228</v>
      </c>
      <c r="H298" s="719">
        <v>92.808029584230695</v>
      </c>
      <c r="I298" s="719">
        <v>148.99365579854535</v>
      </c>
      <c r="J298" s="719">
        <v>189.46286612934981</v>
      </c>
      <c r="K298" s="719">
        <v>89.683086173508812</v>
      </c>
      <c r="L298" s="719">
        <v>201.75601271446232</v>
      </c>
      <c r="M298" s="719">
        <v>165.30313649718352</v>
      </c>
      <c r="N298" s="719">
        <v>103.14264666878618</v>
      </c>
      <c r="O298" s="719">
        <v>66.475500780154235</v>
      </c>
      <c r="P298" s="716">
        <v>83.439934168450321</v>
      </c>
      <c r="Q298" s="716">
        <v>68.375102898307603</v>
      </c>
      <c r="R298" s="716">
        <v>35.70860937677422</v>
      </c>
      <c r="S298" s="667">
        <v>306.58999999999997</v>
      </c>
      <c r="T298" s="667">
        <v>27.18</v>
      </c>
      <c r="U298" s="667">
        <v>85.39</v>
      </c>
      <c r="V298" s="667">
        <v>0</v>
      </c>
      <c r="W298" s="667">
        <v>5.46</v>
      </c>
      <c r="X298" s="667">
        <v>81.849999999999994</v>
      </c>
      <c r="Y298" s="667">
        <v>0</v>
      </c>
      <c r="Z298" s="667">
        <v>14.13</v>
      </c>
      <c r="AA298" s="667">
        <v>98.13</v>
      </c>
      <c r="AB298" s="667">
        <v>0</v>
      </c>
      <c r="AC298" s="667">
        <v>74</v>
      </c>
      <c r="AD298" s="667">
        <v>13.1</v>
      </c>
      <c r="AE298" s="667">
        <v>150.79</v>
      </c>
      <c r="AF298" s="667">
        <v>0</v>
      </c>
      <c r="AG298" s="667">
        <v>0</v>
      </c>
      <c r="AH298" s="718"/>
      <c r="AI298" s="718"/>
      <c r="AJ298" s="718"/>
      <c r="AK298" s="718"/>
      <c r="AL298" s="718"/>
      <c r="AM298" s="718"/>
      <c r="AN298" s="718"/>
      <c r="AO298" s="718"/>
      <c r="AP298" s="718"/>
      <c r="AQ298" s="718"/>
      <c r="AR298" s="718"/>
      <c r="AS298" s="718"/>
      <c r="AT298" s="718"/>
      <c r="AU298" s="718"/>
      <c r="AV298" s="718"/>
      <c r="AW298" s="718"/>
      <c r="AX298" s="718"/>
      <c r="AY298" s="718"/>
      <c r="AZ298" s="718"/>
      <c r="BA298" s="718"/>
      <c r="BB298" s="718"/>
      <c r="BC298" s="718"/>
      <c r="BD298" s="718"/>
      <c r="BE298" s="718"/>
      <c r="BF298" s="718"/>
      <c r="BG298" s="718"/>
      <c r="BH298" s="718"/>
      <c r="BI298" s="718"/>
      <c r="BJ298" s="718"/>
      <c r="BK298" s="718"/>
      <c r="BL298" s="718"/>
      <c r="BM298" s="718"/>
      <c r="BN298" s="718"/>
      <c r="BO298" s="718"/>
      <c r="BP298" s="718"/>
      <c r="BQ298" s="718"/>
      <c r="BR298" s="718"/>
      <c r="BS298" s="718"/>
      <c r="BT298" s="718"/>
      <c r="BU298" s="718"/>
      <c r="BV298" s="718"/>
      <c r="BW298" s="718"/>
      <c r="BX298" s="718"/>
      <c r="BY298" s="718"/>
      <c r="BZ298" s="718"/>
      <c r="CA298" s="718"/>
    </row>
    <row r="299" spans="1:79" s="451" customFormat="1" hidden="1" outlineLevel="1" x14ac:dyDescent="0.25">
      <c r="A299" s="701"/>
      <c r="B299" s="737"/>
      <c r="C299" s="737"/>
      <c r="D299" s="737"/>
      <c r="E299" s="570" t="s">
        <v>1345</v>
      </c>
      <c r="F299" s="701" t="s">
        <v>601</v>
      </c>
      <c r="G299" s="739"/>
      <c r="H299" s="739"/>
      <c r="I299" s="739"/>
      <c r="J299" s="739"/>
      <c r="K299" s="739"/>
      <c r="L299" s="739"/>
      <c r="M299" s="739"/>
      <c r="N299" s="739"/>
      <c r="O299" s="733"/>
      <c r="P299" s="734"/>
      <c r="Q299" s="734"/>
      <c r="R299" s="734"/>
      <c r="S299" s="697"/>
      <c r="T299" s="697"/>
      <c r="U299" s="697"/>
      <c r="V299" s="697"/>
      <c r="W299" s="697"/>
      <c r="X299" s="697"/>
      <c r="Y299" s="697"/>
      <c r="Z299" s="697"/>
      <c r="AA299" s="697"/>
      <c r="AB299" s="697"/>
      <c r="AC299" s="697"/>
      <c r="AD299" s="697"/>
      <c r="AE299" s="697"/>
      <c r="AF299" s="697"/>
      <c r="AG299" s="697"/>
      <c r="AH299" s="736"/>
      <c r="AI299" s="736"/>
      <c r="AJ299" s="736"/>
      <c r="AK299" s="736"/>
      <c r="AL299" s="736"/>
      <c r="AM299" s="736"/>
      <c r="AN299" s="736"/>
      <c r="AO299" s="736"/>
      <c r="AP299" s="736"/>
      <c r="AQ299" s="736"/>
      <c r="AR299" s="736"/>
      <c r="AS299" s="736"/>
      <c r="AT299" s="736"/>
      <c r="AU299" s="736"/>
      <c r="AV299" s="736"/>
      <c r="AW299" s="736"/>
      <c r="AX299" s="736"/>
      <c r="AY299" s="736"/>
      <c r="AZ299" s="736"/>
      <c r="BA299" s="736"/>
      <c r="BB299" s="736"/>
      <c r="BC299" s="736"/>
      <c r="BD299" s="736"/>
      <c r="BE299" s="736"/>
      <c r="BF299" s="736"/>
      <c r="BG299" s="736"/>
      <c r="BH299" s="736"/>
      <c r="BI299" s="736"/>
      <c r="BJ299" s="736"/>
      <c r="BK299" s="736"/>
      <c r="BL299" s="736"/>
      <c r="BM299" s="736"/>
      <c r="BN299" s="736"/>
      <c r="BO299" s="736"/>
      <c r="BP299" s="736"/>
      <c r="BQ299" s="736"/>
      <c r="BR299" s="736"/>
      <c r="BS299" s="736"/>
      <c r="BT299" s="736"/>
      <c r="BU299" s="736"/>
      <c r="BV299" s="736"/>
      <c r="BW299" s="736"/>
      <c r="BX299" s="736"/>
      <c r="BY299" s="736"/>
      <c r="BZ299" s="736"/>
      <c r="CA299" s="736"/>
    </row>
    <row r="300" spans="1:79" s="451" customFormat="1" hidden="1" outlineLevel="1" x14ac:dyDescent="0.25">
      <c r="A300" s="656"/>
      <c r="B300" s="576"/>
      <c r="C300" s="576"/>
      <c r="D300" s="576"/>
      <c r="E300" s="570" t="s">
        <v>1327</v>
      </c>
      <c r="F300" s="656" t="s">
        <v>895</v>
      </c>
      <c r="G300" s="721"/>
      <c r="H300" s="721"/>
      <c r="I300" s="721"/>
      <c r="J300" s="721"/>
      <c r="K300" s="721"/>
      <c r="L300" s="721"/>
      <c r="M300" s="721"/>
      <c r="N300" s="721"/>
      <c r="O300" s="719"/>
      <c r="P300" s="716"/>
      <c r="Q300" s="716"/>
      <c r="R300" s="716"/>
      <c r="S300" s="671"/>
      <c r="T300" s="671"/>
      <c r="U300" s="671"/>
      <c r="V300" s="671"/>
      <c r="W300" s="671"/>
      <c r="X300" s="671"/>
      <c r="Y300" s="671"/>
      <c r="Z300" s="671"/>
      <c r="AA300" s="671"/>
      <c r="AB300" s="671"/>
      <c r="AC300" s="671"/>
      <c r="AD300" s="671"/>
      <c r="AE300" s="671"/>
      <c r="AF300" s="671"/>
      <c r="AG300" s="671"/>
      <c r="AH300" s="718"/>
      <c r="AI300" s="718"/>
      <c r="AJ300" s="718"/>
      <c r="AK300" s="718"/>
      <c r="AL300" s="718"/>
      <c r="AM300" s="718"/>
      <c r="AN300" s="718"/>
      <c r="AO300" s="718"/>
      <c r="AP300" s="718"/>
      <c r="AQ300" s="718"/>
      <c r="AR300" s="718"/>
      <c r="AS300" s="718"/>
      <c r="AT300" s="718"/>
      <c r="AU300" s="718"/>
      <c r="AV300" s="718"/>
      <c r="AW300" s="718"/>
      <c r="AX300" s="718"/>
      <c r="AY300" s="718"/>
      <c r="AZ300" s="718"/>
      <c r="BA300" s="718"/>
      <c r="BB300" s="718"/>
      <c r="BC300" s="718"/>
      <c r="BD300" s="718"/>
      <c r="BE300" s="718"/>
      <c r="BF300" s="718"/>
      <c r="BG300" s="718"/>
      <c r="BH300" s="718"/>
      <c r="BI300" s="718"/>
      <c r="BJ300" s="718"/>
      <c r="BK300" s="718"/>
      <c r="BL300" s="718"/>
      <c r="BM300" s="718"/>
      <c r="BN300" s="718"/>
      <c r="BO300" s="718"/>
      <c r="BP300" s="718"/>
      <c r="BQ300" s="718"/>
      <c r="BR300" s="718"/>
      <c r="BS300" s="718"/>
      <c r="BT300" s="718"/>
      <c r="BU300" s="718"/>
      <c r="BV300" s="718"/>
      <c r="BW300" s="718"/>
      <c r="BX300" s="718"/>
      <c r="BY300" s="718"/>
      <c r="BZ300" s="718"/>
      <c r="CA300" s="718"/>
    </row>
    <row r="301" spans="1:79" s="451" customFormat="1" hidden="1" outlineLevel="1" x14ac:dyDescent="0.25">
      <c r="A301" s="661"/>
      <c r="B301" s="576"/>
      <c r="C301" s="576"/>
      <c r="D301" s="576"/>
      <c r="E301" s="570" t="s">
        <v>1327</v>
      </c>
      <c r="F301" s="661" t="s">
        <v>906</v>
      </c>
      <c r="G301" s="721"/>
      <c r="H301" s="721"/>
      <c r="I301" s="721"/>
      <c r="J301" s="721"/>
      <c r="K301" s="721"/>
      <c r="L301" s="721"/>
      <c r="M301" s="721"/>
      <c r="N301" s="721"/>
      <c r="O301" s="719"/>
      <c r="P301" s="716"/>
      <c r="Q301" s="716"/>
      <c r="R301" s="716"/>
      <c r="S301" s="671"/>
      <c r="T301" s="671"/>
      <c r="U301" s="671"/>
      <c r="V301" s="671"/>
      <c r="W301" s="671"/>
      <c r="X301" s="671"/>
      <c r="Y301" s="671"/>
      <c r="Z301" s="671"/>
      <c r="AA301" s="671"/>
      <c r="AB301" s="671"/>
      <c r="AC301" s="671"/>
      <c r="AD301" s="671"/>
      <c r="AE301" s="671">
        <v>0</v>
      </c>
      <c r="AF301" s="671">
        <v>0</v>
      </c>
      <c r="AG301" s="671">
        <v>0</v>
      </c>
      <c r="AH301" s="718"/>
      <c r="AI301" s="718"/>
      <c r="AJ301" s="718"/>
      <c r="AK301" s="718"/>
      <c r="AL301" s="718"/>
      <c r="AM301" s="718"/>
      <c r="AN301" s="718"/>
      <c r="AO301" s="718"/>
      <c r="AP301" s="718"/>
      <c r="AQ301" s="718"/>
      <c r="AR301" s="718"/>
      <c r="AS301" s="718"/>
      <c r="AT301" s="718"/>
      <c r="AU301" s="718"/>
      <c r="AV301" s="718"/>
      <c r="AW301" s="718"/>
      <c r="AX301" s="718"/>
      <c r="AY301" s="718"/>
      <c r="AZ301" s="718"/>
      <c r="BA301" s="718"/>
      <c r="BB301" s="718"/>
      <c r="BC301" s="718"/>
      <c r="BD301" s="718"/>
      <c r="BE301" s="718"/>
      <c r="BF301" s="718"/>
      <c r="BG301" s="718"/>
      <c r="BH301" s="718"/>
      <c r="BI301" s="718"/>
      <c r="BJ301" s="718"/>
      <c r="BK301" s="718"/>
      <c r="BL301" s="718"/>
      <c r="BM301" s="718"/>
      <c r="BN301" s="718"/>
      <c r="BO301" s="718"/>
      <c r="BP301" s="718"/>
      <c r="BQ301" s="718"/>
      <c r="BR301" s="718"/>
      <c r="BS301" s="718"/>
      <c r="BT301" s="718"/>
      <c r="BU301" s="718"/>
      <c r="BV301" s="718"/>
      <c r="BW301" s="718"/>
      <c r="BX301" s="718"/>
      <c r="BY301" s="718"/>
      <c r="BZ301" s="718"/>
      <c r="CA301" s="718"/>
    </row>
    <row r="302" spans="1:79" s="451" customFormat="1" hidden="1" outlineLevel="1" x14ac:dyDescent="0.25">
      <c r="A302" s="661"/>
      <c r="B302" s="576"/>
      <c r="C302" s="576"/>
      <c r="D302" s="576"/>
      <c r="E302" s="570" t="s">
        <v>657</v>
      </c>
      <c r="F302" s="661" t="s">
        <v>641</v>
      </c>
      <c r="G302" s="721"/>
      <c r="H302" s="721"/>
      <c r="I302" s="721"/>
      <c r="J302" s="721"/>
      <c r="K302" s="721"/>
      <c r="L302" s="721"/>
      <c r="M302" s="721"/>
      <c r="N302" s="721"/>
      <c r="O302" s="719"/>
      <c r="P302" s="716"/>
      <c r="Q302" s="716"/>
      <c r="R302" s="716"/>
      <c r="S302" s="671"/>
      <c r="T302" s="671"/>
      <c r="U302" s="671"/>
      <c r="V302" s="671"/>
      <c r="W302" s="671"/>
      <c r="X302" s="671"/>
      <c r="Y302" s="671"/>
      <c r="Z302" s="671"/>
      <c r="AA302" s="671"/>
      <c r="AB302" s="671"/>
      <c r="AC302" s="671"/>
      <c r="AD302" s="671"/>
      <c r="AE302" s="671">
        <v>1718.69</v>
      </c>
      <c r="AF302" s="671">
        <v>1940.87</v>
      </c>
      <c r="AG302" s="671">
        <v>5365.33</v>
      </c>
      <c r="AH302" s="718"/>
      <c r="AI302" s="718"/>
      <c r="AJ302" s="718"/>
      <c r="AK302" s="718"/>
      <c r="AL302" s="718"/>
      <c r="AM302" s="718"/>
      <c r="AN302" s="718"/>
      <c r="AO302" s="718"/>
      <c r="AP302" s="718"/>
      <c r="AQ302" s="718"/>
      <c r="AR302" s="718"/>
      <c r="AS302" s="718"/>
      <c r="AT302" s="718"/>
      <c r="AU302" s="718"/>
      <c r="AV302" s="718"/>
      <c r="AW302" s="718"/>
      <c r="AX302" s="718"/>
      <c r="AY302" s="718"/>
      <c r="AZ302" s="718"/>
      <c r="BA302" s="718"/>
      <c r="BB302" s="718"/>
      <c r="BC302" s="718"/>
      <c r="BD302" s="718"/>
      <c r="BE302" s="718"/>
      <c r="BF302" s="718"/>
      <c r="BG302" s="718"/>
      <c r="BH302" s="718"/>
      <c r="BI302" s="718"/>
      <c r="BJ302" s="718"/>
      <c r="BK302" s="718"/>
      <c r="BL302" s="718"/>
      <c r="BM302" s="718"/>
      <c r="BN302" s="718"/>
      <c r="BO302" s="718"/>
      <c r="BP302" s="718"/>
      <c r="BQ302" s="718"/>
      <c r="BR302" s="718"/>
      <c r="BS302" s="718"/>
      <c r="BT302" s="718"/>
      <c r="BU302" s="718"/>
      <c r="BV302" s="718"/>
      <c r="BW302" s="718"/>
      <c r="BX302" s="718"/>
      <c r="BY302" s="718"/>
      <c r="BZ302" s="718"/>
      <c r="CA302" s="718"/>
    </row>
    <row r="303" spans="1:79" s="451" customFormat="1" hidden="1" outlineLevel="1" x14ac:dyDescent="0.25">
      <c r="A303" s="661"/>
      <c r="B303" s="576"/>
      <c r="C303" s="576"/>
      <c r="D303" s="576"/>
      <c r="E303" s="570" t="s">
        <v>657</v>
      </c>
      <c r="F303" s="661" t="s">
        <v>1322</v>
      </c>
      <c r="G303" s="721"/>
      <c r="H303" s="721"/>
      <c r="I303" s="721"/>
      <c r="J303" s="721"/>
      <c r="K303" s="721"/>
      <c r="L303" s="721"/>
      <c r="M303" s="721"/>
      <c r="N303" s="721"/>
      <c r="O303" s="719"/>
      <c r="P303" s="716"/>
      <c r="Q303" s="716"/>
      <c r="R303" s="716"/>
      <c r="S303" s="671"/>
      <c r="T303" s="671"/>
      <c r="U303" s="671"/>
      <c r="V303" s="671"/>
      <c r="W303" s="671"/>
      <c r="X303" s="671"/>
      <c r="Y303" s="671"/>
      <c r="Z303" s="671"/>
      <c r="AA303" s="671"/>
      <c r="AB303" s="671"/>
      <c r="AC303" s="671"/>
      <c r="AD303" s="671"/>
      <c r="AE303" s="671">
        <v>66.11</v>
      </c>
      <c r="AF303" s="671">
        <v>30.11</v>
      </c>
      <c r="AG303" s="671">
        <v>266.01</v>
      </c>
      <c r="AH303" s="718"/>
      <c r="AI303" s="718"/>
      <c r="AJ303" s="718"/>
      <c r="AK303" s="718"/>
      <c r="AL303" s="718"/>
      <c r="AM303" s="718"/>
      <c r="AN303" s="718"/>
      <c r="AO303" s="718"/>
      <c r="AP303" s="718"/>
      <c r="AQ303" s="718"/>
      <c r="AR303" s="718"/>
      <c r="AS303" s="718"/>
      <c r="AT303" s="718"/>
      <c r="AU303" s="718"/>
      <c r="AV303" s="718"/>
      <c r="AW303" s="718"/>
      <c r="AX303" s="718"/>
      <c r="AY303" s="718"/>
      <c r="AZ303" s="718"/>
      <c r="BA303" s="718"/>
      <c r="BB303" s="718"/>
      <c r="BC303" s="718"/>
      <c r="BD303" s="718"/>
      <c r="BE303" s="718"/>
      <c r="BF303" s="718"/>
      <c r="BG303" s="718"/>
      <c r="BH303" s="718"/>
      <c r="BI303" s="718"/>
      <c r="BJ303" s="718"/>
      <c r="BK303" s="718"/>
      <c r="BL303" s="718"/>
      <c r="BM303" s="718"/>
      <c r="BN303" s="718"/>
      <c r="BO303" s="718"/>
      <c r="BP303" s="718"/>
      <c r="BQ303" s="718"/>
      <c r="BR303" s="718"/>
      <c r="BS303" s="718"/>
      <c r="BT303" s="718"/>
      <c r="BU303" s="718"/>
      <c r="BV303" s="718"/>
      <c r="BW303" s="718"/>
      <c r="BX303" s="718"/>
      <c r="BY303" s="718"/>
      <c r="BZ303" s="718"/>
      <c r="CA303" s="718"/>
    </row>
    <row r="304" spans="1:79" s="451" customFormat="1" hidden="1" outlineLevel="1" x14ac:dyDescent="0.25">
      <c r="A304" s="661"/>
      <c r="B304" s="576"/>
      <c r="C304" s="576"/>
      <c r="D304" s="576"/>
      <c r="E304" s="570" t="s">
        <v>1327</v>
      </c>
      <c r="F304" s="661" t="s">
        <v>896</v>
      </c>
      <c r="G304" s="721"/>
      <c r="H304" s="721"/>
      <c r="I304" s="721"/>
      <c r="J304" s="721"/>
      <c r="K304" s="721"/>
      <c r="L304" s="721"/>
      <c r="M304" s="721"/>
      <c r="N304" s="721"/>
      <c r="O304" s="719"/>
      <c r="P304" s="716"/>
      <c r="Q304" s="716"/>
      <c r="R304" s="716"/>
      <c r="S304" s="671">
        <v>0</v>
      </c>
      <c r="T304" s="671">
        <v>0</v>
      </c>
      <c r="U304" s="671">
        <v>0</v>
      </c>
      <c r="V304" s="671">
        <v>0</v>
      </c>
      <c r="W304" s="671">
        <v>0</v>
      </c>
      <c r="X304" s="671">
        <v>0</v>
      </c>
      <c r="Y304" s="671">
        <v>0</v>
      </c>
      <c r="Z304" s="671">
        <v>0</v>
      </c>
      <c r="AA304" s="671">
        <v>0</v>
      </c>
      <c r="AB304" s="671">
        <v>0</v>
      </c>
      <c r="AC304" s="671">
        <v>-633.87</v>
      </c>
      <c r="AD304" s="671">
        <v>0</v>
      </c>
      <c r="AE304" s="671">
        <v>0</v>
      </c>
      <c r="AF304" s="671">
        <v>0</v>
      </c>
      <c r="AG304" s="671">
        <v>0</v>
      </c>
      <c r="AH304" s="718"/>
      <c r="AI304" s="718"/>
      <c r="AJ304" s="718"/>
      <c r="AK304" s="718"/>
      <c r="AL304" s="718"/>
      <c r="AM304" s="718"/>
      <c r="AN304" s="718"/>
      <c r="AO304" s="718"/>
      <c r="AP304" s="718"/>
      <c r="AQ304" s="718"/>
      <c r="AR304" s="718"/>
      <c r="AS304" s="718"/>
      <c r="AT304" s="718"/>
      <c r="AU304" s="718"/>
      <c r="AV304" s="718"/>
      <c r="AW304" s="718"/>
      <c r="AX304" s="718"/>
      <c r="AY304" s="718"/>
      <c r="AZ304" s="718"/>
      <c r="BA304" s="718"/>
      <c r="BB304" s="718"/>
      <c r="BC304" s="718"/>
      <c r="BD304" s="718"/>
      <c r="BE304" s="718"/>
      <c r="BF304" s="718"/>
      <c r="BG304" s="718"/>
      <c r="BH304" s="718"/>
      <c r="BI304" s="718"/>
      <c r="BJ304" s="718"/>
      <c r="BK304" s="718"/>
      <c r="BL304" s="718"/>
      <c r="BM304" s="718"/>
      <c r="BN304" s="718"/>
      <c r="BO304" s="718"/>
      <c r="BP304" s="718"/>
      <c r="BQ304" s="718"/>
      <c r="BR304" s="718"/>
      <c r="BS304" s="718"/>
      <c r="BT304" s="718"/>
      <c r="BU304" s="718"/>
      <c r="BV304" s="718"/>
      <c r="BW304" s="718"/>
      <c r="BX304" s="718"/>
      <c r="BY304" s="718"/>
      <c r="BZ304" s="718"/>
      <c r="CA304" s="718"/>
    </row>
    <row r="305" spans="1:79" s="451" customFormat="1" hidden="1" outlineLevel="1" x14ac:dyDescent="0.25">
      <c r="A305" s="661"/>
      <c r="B305" s="576"/>
      <c r="C305" s="576"/>
      <c r="D305" s="576"/>
      <c r="E305" s="570" t="s">
        <v>1327</v>
      </c>
      <c r="F305" s="661" t="s">
        <v>897</v>
      </c>
      <c r="G305" s="721"/>
      <c r="H305" s="721"/>
      <c r="I305" s="721"/>
      <c r="J305" s="721"/>
      <c r="K305" s="721"/>
      <c r="L305" s="721"/>
      <c r="M305" s="721"/>
      <c r="N305" s="721"/>
      <c r="O305" s="719"/>
      <c r="P305" s="716"/>
      <c r="Q305" s="716"/>
      <c r="R305" s="716"/>
      <c r="S305" s="671">
        <v>0</v>
      </c>
      <c r="T305" s="671">
        <v>0</v>
      </c>
      <c r="U305" s="671">
        <v>0</v>
      </c>
      <c r="V305" s="671">
        <v>0</v>
      </c>
      <c r="W305" s="671">
        <v>0</v>
      </c>
      <c r="X305" s="671">
        <v>0</v>
      </c>
      <c r="Y305" s="671">
        <v>0</v>
      </c>
      <c r="Z305" s="671">
        <v>0</v>
      </c>
      <c r="AA305" s="671">
        <v>0</v>
      </c>
      <c r="AB305" s="671">
        <v>0</v>
      </c>
      <c r="AC305" s="671">
        <v>0</v>
      </c>
      <c r="AD305" s="671">
        <v>0</v>
      </c>
      <c r="AE305" s="671">
        <v>0</v>
      </c>
      <c r="AF305" s="671">
        <v>0</v>
      </c>
      <c r="AG305" s="671">
        <v>0</v>
      </c>
      <c r="AH305" s="718"/>
      <c r="AI305" s="718"/>
      <c r="AJ305" s="718"/>
      <c r="AK305" s="718"/>
      <c r="AL305" s="718"/>
      <c r="AM305" s="718"/>
      <c r="AN305" s="718"/>
      <c r="AO305" s="718"/>
      <c r="AP305" s="718"/>
      <c r="AQ305" s="718"/>
      <c r="AR305" s="718"/>
      <c r="AS305" s="718"/>
      <c r="AT305" s="718"/>
      <c r="AU305" s="718"/>
      <c r="AV305" s="718"/>
      <c r="AW305" s="718"/>
      <c r="AX305" s="718"/>
      <c r="AY305" s="718"/>
      <c r="AZ305" s="718"/>
      <c r="BA305" s="718"/>
      <c r="BB305" s="718"/>
      <c r="BC305" s="718"/>
      <c r="BD305" s="718"/>
      <c r="BE305" s="718"/>
      <c r="BF305" s="718"/>
      <c r="BG305" s="718"/>
      <c r="BH305" s="718"/>
      <c r="BI305" s="718"/>
      <c r="BJ305" s="718"/>
      <c r="BK305" s="718"/>
      <c r="BL305" s="718"/>
      <c r="BM305" s="718"/>
      <c r="BN305" s="718"/>
      <c r="BO305" s="718"/>
      <c r="BP305" s="718"/>
      <c r="BQ305" s="718"/>
      <c r="BR305" s="718"/>
      <c r="BS305" s="718"/>
      <c r="BT305" s="718"/>
      <c r="BU305" s="718"/>
      <c r="BV305" s="718"/>
      <c r="BW305" s="718"/>
      <c r="BX305" s="718"/>
      <c r="BY305" s="718"/>
      <c r="BZ305" s="718"/>
      <c r="CA305" s="718"/>
    </row>
    <row r="306" spans="1:79" s="451" customFormat="1" hidden="1" outlineLevel="1" x14ac:dyDescent="0.25">
      <c r="A306" s="661"/>
      <c r="B306" s="576"/>
      <c r="C306" s="576"/>
      <c r="D306" s="576"/>
      <c r="E306" s="570" t="s">
        <v>657</v>
      </c>
      <c r="F306" s="661" t="s">
        <v>898</v>
      </c>
      <c r="G306" s="721"/>
      <c r="H306" s="721"/>
      <c r="I306" s="721"/>
      <c r="J306" s="721"/>
      <c r="K306" s="721"/>
      <c r="L306" s="721"/>
      <c r="M306" s="721"/>
      <c r="N306" s="721"/>
      <c r="O306" s="719"/>
      <c r="P306" s="716"/>
      <c r="Q306" s="716"/>
      <c r="R306" s="716"/>
      <c r="S306" s="671">
        <v>0</v>
      </c>
      <c r="T306" s="671">
        <v>0</v>
      </c>
      <c r="U306" s="671">
        <v>0</v>
      </c>
      <c r="V306" s="671">
        <v>0</v>
      </c>
      <c r="W306" s="671">
        <v>0</v>
      </c>
      <c r="X306" s="671">
        <v>0</v>
      </c>
      <c r="Y306" s="671">
        <v>0</v>
      </c>
      <c r="Z306" s="671">
        <v>0</v>
      </c>
      <c r="AA306" s="671">
        <v>0</v>
      </c>
      <c r="AB306" s="671">
        <v>0</v>
      </c>
      <c r="AC306" s="671">
        <v>0</v>
      </c>
      <c r="AD306" s="671">
        <v>1864.93</v>
      </c>
      <c r="AE306" s="671"/>
      <c r="AF306" s="671"/>
      <c r="AG306" s="671"/>
      <c r="AH306" s="718"/>
      <c r="AI306" s="718"/>
      <c r="AJ306" s="718"/>
      <c r="AK306" s="718"/>
      <c r="AL306" s="718"/>
      <c r="AM306" s="718"/>
      <c r="AN306" s="718"/>
      <c r="AO306" s="718"/>
      <c r="AP306" s="718"/>
      <c r="AQ306" s="718"/>
      <c r="AR306" s="718"/>
      <c r="AS306" s="718"/>
      <c r="AT306" s="718"/>
      <c r="AU306" s="718"/>
      <c r="AV306" s="718"/>
      <c r="AW306" s="718"/>
      <c r="AX306" s="718"/>
      <c r="AY306" s="718"/>
      <c r="AZ306" s="718"/>
      <c r="BA306" s="718"/>
      <c r="BB306" s="718"/>
      <c r="BC306" s="718"/>
      <c r="BD306" s="718"/>
      <c r="BE306" s="718"/>
      <c r="BF306" s="718"/>
      <c r="BG306" s="718"/>
      <c r="BH306" s="718"/>
      <c r="BI306" s="718"/>
      <c r="BJ306" s="718"/>
      <c r="BK306" s="718"/>
      <c r="BL306" s="718"/>
      <c r="BM306" s="718"/>
      <c r="BN306" s="718"/>
      <c r="BO306" s="718"/>
      <c r="BP306" s="718"/>
      <c r="BQ306" s="718"/>
      <c r="BR306" s="718"/>
      <c r="BS306" s="718"/>
      <c r="BT306" s="718"/>
      <c r="BU306" s="718"/>
      <c r="BV306" s="718"/>
      <c r="BW306" s="718"/>
      <c r="BX306" s="718"/>
      <c r="BY306" s="718"/>
      <c r="BZ306" s="718"/>
      <c r="CA306" s="718"/>
    </row>
    <row r="307" spans="1:79" s="451" customFormat="1" hidden="1" outlineLevel="1" x14ac:dyDescent="0.25">
      <c r="A307" s="661"/>
      <c r="B307" s="576"/>
      <c r="C307" s="576"/>
      <c r="D307" s="576"/>
      <c r="E307" s="570" t="s">
        <v>1327</v>
      </c>
      <c r="F307" s="661" t="s">
        <v>899</v>
      </c>
      <c r="G307" s="721"/>
      <c r="H307" s="721"/>
      <c r="I307" s="721"/>
      <c r="J307" s="721"/>
      <c r="K307" s="721"/>
      <c r="L307" s="721"/>
      <c r="M307" s="721"/>
      <c r="N307" s="721"/>
      <c r="O307" s="719"/>
      <c r="P307" s="716"/>
      <c r="Q307" s="716"/>
      <c r="R307" s="716"/>
      <c r="S307" s="671">
        <v>0</v>
      </c>
      <c r="T307" s="671">
        <v>0</v>
      </c>
      <c r="U307" s="671">
        <v>0</v>
      </c>
      <c r="V307" s="671">
        <v>0</v>
      </c>
      <c r="W307" s="671">
        <v>0</v>
      </c>
      <c r="X307" s="671">
        <v>0</v>
      </c>
      <c r="Y307" s="671">
        <v>0</v>
      </c>
      <c r="Z307" s="671">
        <v>0</v>
      </c>
      <c r="AA307" s="671">
        <v>0</v>
      </c>
      <c r="AB307" s="671">
        <v>0</v>
      </c>
      <c r="AC307" s="671">
        <v>0</v>
      </c>
      <c r="AD307" s="671">
        <v>0</v>
      </c>
      <c r="AE307" s="671">
        <v>0</v>
      </c>
      <c r="AF307" s="671">
        <v>0</v>
      </c>
      <c r="AG307" s="671">
        <v>0</v>
      </c>
      <c r="AH307" s="718"/>
      <c r="AI307" s="718"/>
      <c r="AJ307" s="718"/>
      <c r="AK307" s="718"/>
      <c r="AL307" s="718"/>
      <c r="AM307" s="718"/>
      <c r="AN307" s="718"/>
      <c r="AO307" s="718"/>
      <c r="AP307" s="718"/>
      <c r="AQ307" s="718"/>
      <c r="AR307" s="718"/>
      <c r="AS307" s="718"/>
      <c r="AT307" s="718"/>
      <c r="AU307" s="718"/>
      <c r="AV307" s="718"/>
      <c r="AW307" s="718"/>
      <c r="AX307" s="718"/>
      <c r="AY307" s="718"/>
      <c r="AZ307" s="718"/>
      <c r="BA307" s="718"/>
      <c r="BB307" s="718"/>
      <c r="BC307" s="718"/>
      <c r="BD307" s="718"/>
      <c r="BE307" s="718"/>
      <c r="BF307" s="718"/>
      <c r="BG307" s="718"/>
      <c r="BH307" s="718"/>
      <c r="BI307" s="718"/>
      <c r="BJ307" s="718"/>
      <c r="BK307" s="718"/>
      <c r="BL307" s="718"/>
      <c r="BM307" s="718"/>
      <c r="BN307" s="718"/>
      <c r="BO307" s="718"/>
      <c r="BP307" s="718"/>
      <c r="BQ307" s="718"/>
      <c r="BR307" s="718"/>
      <c r="BS307" s="718"/>
      <c r="BT307" s="718"/>
      <c r="BU307" s="718"/>
      <c r="BV307" s="718"/>
      <c r="BW307" s="718"/>
      <c r="BX307" s="718"/>
      <c r="BY307" s="718"/>
      <c r="BZ307" s="718"/>
      <c r="CA307" s="718"/>
    </row>
    <row r="308" spans="1:79" s="451" customFormat="1" hidden="1" outlineLevel="1" x14ac:dyDescent="0.25">
      <c r="A308" s="661"/>
      <c r="B308" s="576"/>
      <c r="C308" s="576"/>
      <c r="D308" s="576"/>
      <c r="E308" s="570" t="s">
        <v>1327</v>
      </c>
      <c r="F308" s="661" t="s">
        <v>900</v>
      </c>
      <c r="G308" s="721"/>
      <c r="H308" s="721"/>
      <c r="I308" s="721"/>
      <c r="J308" s="721"/>
      <c r="K308" s="721"/>
      <c r="L308" s="721"/>
      <c r="M308" s="721"/>
      <c r="N308" s="721"/>
      <c r="O308" s="719"/>
      <c r="P308" s="716"/>
      <c r="Q308" s="716"/>
      <c r="R308" s="716"/>
      <c r="S308" s="671">
        <v>0</v>
      </c>
      <c r="T308" s="671">
        <v>0</v>
      </c>
      <c r="U308" s="671">
        <v>0</v>
      </c>
      <c r="V308" s="671">
        <v>0</v>
      </c>
      <c r="W308" s="671">
        <v>0</v>
      </c>
      <c r="X308" s="671">
        <v>0</v>
      </c>
      <c r="Y308" s="671">
        <v>0</v>
      </c>
      <c r="Z308" s="671">
        <v>0</v>
      </c>
      <c r="AA308" s="671">
        <v>0</v>
      </c>
      <c r="AB308" s="671">
        <v>0</v>
      </c>
      <c r="AC308" s="671">
        <v>0</v>
      </c>
      <c r="AD308" s="671">
        <v>0</v>
      </c>
      <c r="AE308" s="671">
        <v>0</v>
      </c>
      <c r="AF308" s="671">
        <v>0</v>
      </c>
      <c r="AG308" s="671">
        <v>0</v>
      </c>
      <c r="AH308" s="718"/>
      <c r="AI308" s="718"/>
      <c r="AJ308" s="718"/>
      <c r="AK308" s="718"/>
      <c r="AL308" s="718"/>
      <c r="AM308" s="718"/>
      <c r="AN308" s="718"/>
      <c r="AO308" s="718"/>
      <c r="AP308" s="718"/>
      <c r="AQ308" s="718"/>
      <c r="AR308" s="718"/>
      <c r="AS308" s="718"/>
      <c r="AT308" s="718"/>
      <c r="AU308" s="718"/>
      <c r="AV308" s="718"/>
      <c r="AW308" s="718"/>
      <c r="AX308" s="718"/>
      <c r="AY308" s="718"/>
      <c r="AZ308" s="718"/>
      <c r="BA308" s="718"/>
      <c r="BB308" s="718"/>
      <c r="BC308" s="718"/>
      <c r="BD308" s="718"/>
      <c r="BE308" s="718"/>
      <c r="BF308" s="718"/>
      <c r="BG308" s="718"/>
      <c r="BH308" s="718"/>
      <c r="BI308" s="718"/>
      <c r="BJ308" s="718"/>
      <c r="BK308" s="718"/>
      <c r="BL308" s="718"/>
      <c r="BM308" s="718"/>
      <c r="BN308" s="718"/>
      <c r="BO308" s="718"/>
      <c r="BP308" s="718"/>
      <c r="BQ308" s="718"/>
      <c r="BR308" s="718"/>
      <c r="BS308" s="718"/>
      <c r="BT308" s="718"/>
      <c r="BU308" s="718"/>
      <c r="BV308" s="718"/>
      <c r="BW308" s="718"/>
      <c r="BX308" s="718"/>
      <c r="BY308" s="718"/>
      <c r="BZ308" s="718"/>
      <c r="CA308" s="718"/>
    </row>
    <row r="309" spans="1:79" s="451" customFormat="1" hidden="1" outlineLevel="1" x14ac:dyDescent="0.25">
      <c r="A309" s="657"/>
      <c r="B309" s="576"/>
      <c r="C309" s="576"/>
      <c r="D309" s="576"/>
      <c r="E309" s="570" t="s">
        <v>49</v>
      </c>
      <c r="F309" s="657" t="s">
        <v>901</v>
      </c>
      <c r="G309" s="680">
        <f t="shared" ref="G309:R309" si="96">SUM(G300:G308)</f>
        <v>0</v>
      </c>
      <c r="H309" s="680">
        <f t="shared" si="96"/>
        <v>0</v>
      </c>
      <c r="I309" s="680">
        <f t="shared" si="96"/>
        <v>0</v>
      </c>
      <c r="J309" s="680">
        <f t="shared" si="96"/>
        <v>0</v>
      </c>
      <c r="K309" s="680">
        <f t="shared" si="96"/>
        <v>0</v>
      </c>
      <c r="L309" s="680">
        <f t="shared" si="96"/>
        <v>0</v>
      </c>
      <c r="M309" s="680">
        <f t="shared" si="96"/>
        <v>0</v>
      </c>
      <c r="N309" s="680">
        <f t="shared" si="96"/>
        <v>0</v>
      </c>
      <c r="O309" s="680">
        <f t="shared" si="96"/>
        <v>0</v>
      </c>
      <c r="P309" s="680">
        <f t="shared" si="96"/>
        <v>0</v>
      </c>
      <c r="Q309" s="680">
        <f t="shared" si="96"/>
        <v>0</v>
      </c>
      <c r="R309" s="680">
        <f t="shared" si="96"/>
        <v>0</v>
      </c>
      <c r="S309" s="679">
        <f t="shared" ref="S309:AB309" si="97">ROUND(SUM(S300:S308),5)</f>
        <v>0</v>
      </c>
      <c r="T309" s="679">
        <f t="shared" si="97"/>
        <v>0</v>
      </c>
      <c r="U309" s="679">
        <f t="shared" si="97"/>
        <v>0</v>
      </c>
      <c r="V309" s="679">
        <f t="shared" si="97"/>
        <v>0</v>
      </c>
      <c r="W309" s="679">
        <f t="shared" si="97"/>
        <v>0</v>
      </c>
      <c r="X309" s="679">
        <f t="shared" si="97"/>
        <v>0</v>
      </c>
      <c r="Y309" s="679">
        <f t="shared" si="97"/>
        <v>0</v>
      </c>
      <c r="Z309" s="679">
        <f t="shared" si="97"/>
        <v>0</v>
      </c>
      <c r="AA309" s="679">
        <f t="shared" si="97"/>
        <v>0</v>
      </c>
      <c r="AB309" s="679">
        <f t="shared" si="97"/>
        <v>0</v>
      </c>
      <c r="AC309" s="679">
        <f>ROUND(SUM(AC300:AC308),5)</f>
        <v>-633.87</v>
      </c>
      <c r="AD309" s="679">
        <f>ROUND(SUM(AD300:AD308),5)</f>
        <v>1864.93</v>
      </c>
      <c r="AE309" s="679">
        <v>1784.8</v>
      </c>
      <c r="AF309" s="679">
        <v>1970.98</v>
      </c>
      <c r="AG309" s="679">
        <f>ROUND(SUM(AG300:AG308),5)</f>
        <v>5631.34</v>
      </c>
      <c r="AH309" s="680">
        <f t="shared" ref="AH309:BJ309" si="98">SUM(AH300:AH308)</f>
        <v>0</v>
      </c>
      <c r="AI309" s="680">
        <f t="shared" si="98"/>
        <v>0</v>
      </c>
      <c r="AJ309" s="680">
        <f t="shared" si="98"/>
        <v>0</v>
      </c>
      <c r="AK309" s="680">
        <f t="shared" si="98"/>
        <v>0</v>
      </c>
      <c r="AL309" s="680">
        <f t="shared" si="98"/>
        <v>0</v>
      </c>
      <c r="AM309" s="680">
        <f t="shared" si="98"/>
        <v>0</v>
      </c>
      <c r="AN309" s="680">
        <f t="shared" si="98"/>
        <v>0</v>
      </c>
      <c r="AO309" s="680">
        <f t="shared" si="98"/>
        <v>0</v>
      </c>
      <c r="AP309" s="680">
        <f t="shared" si="98"/>
        <v>0</v>
      </c>
      <c r="AQ309" s="680">
        <f t="shared" si="98"/>
        <v>0</v>
      </c>
      <c r="AR309" s="680">
        <f t="shared" si="98"/>
        <v>0</v>
      </c>
      <c r="AS309" s="680">
        <f t="shared" si="98"/>
        <v>0</v>
      </c>
      <c r="AT309" s="680">
        <f t="shared" si="98"/>
        <v>0</v>
      </c>
      <c r="AU309" s="680">
        <f t="shared" si="98"/>
        <v>0</v>
      </c>
      <c r="AV309" s="680">
        <f t="shared" si="98"/>
        <v>0</v>
      </c>
      <c r="AW309" s="680">
        <f t="shared" si="98"/>
        <v>0</v>
      </c>
      <c r="AX309" s="680">
        <f t="shared" si="98"/>
        <v>0</v>
      </c>
      <c r="AY309" s="680">
        <f t="shared" si="98"/>
        <v>0</v>
      </c>
      <c r="AZ309" s="680">
        <f t="shared" si="98"/>
        <v>0</v>
      </c>
      <c r="BA309" s="680">
        <f t="shared" si="98"/>
        <v>0</v>
      </c>
      <c r="BB309" s="680">
        <f t="shared" si="98"/>
        <v>0</v>
      </c>
      <c r="BC309" s="680">
        <f t="shared" si="98"/>
        <v>0</v>
      </c>
      <c r="BD309" s="680">
        <f t="shared" si="98"/>
        <v>0</v>
      </c>
      <c r="BE309" s="680">
        <f t="shared" si="98"/>
        <v>0</v>
      </c>
      <c r="BF309" s="680">
        <f t="shared" si="98"/>
        <v>0</v>
      </c>
      <c r="BG309" s="680">
        <f t="shared" si="98"/>
        <v>0</v>
      </c>
      <c r="BH309" s="680">
        <f t="shared" si="98"/>
        <v>0</v>
      </c>
      <c r="BI309" s="680">
        <f t="shared" si="98"/>
        <v>0</v>
      </c>
      <c r="BJ309" s="680">
        <f t="shared" si="98"/>
        <v>0</v>
      </c>
      <c r="BK309" s="680">
        <f t="shared" ref="BK309:CA309" si="99">SUM(BK300:BK308)</f>
        <v>0</v>
      </c>
      <c r="BL309" s="680">
        <f t="shared" si="99"/>
        <v>0</v>
      </c>
      <c r="BM309" s="680">
        <f t="shared" si="99"/>
        <v>0</v>
      </c>
      <c r="BN309" s="680">
        <f t="shared" si="99"/>
        <v>0</v>
      </c>
      <c r="BO309" s="680">
        <f t="shared" si="99"/>
        <v>0</v>
      </c>
      <c r="BP309" s="680">
        <f t="shared" si="99"/>
        <v>0</v>
      </c>
      <c r="BQ309" s="680">
        <f t="shared" si="99"/>
        <v>0</v>
      </c>
      <c r="BR309" s="680">
        <f t="shared" si="99"/>
        <v>0</v>
      </c>
      <c r="BS309" s="680">
        <f t="shared" si="99"/>
        <v>0</v>
      </c>
      <c r="BT309" s="680">
        <f t="shared" si="99"/>
        <v>0</v>
      </c>
      <c r="BU309" s="680">
        <f t="shared" si="99"/>
        <v>0</v>
      </c>
      <c r="BV309" s="680">
        <f t="shared" si="99"/>
        <v>0</v>
      </c>
      <c r="BW309" s="680">
        <f t="shared" si="99"/>
        <v>0</v>
      </c>
      <c r="BX309" s="680">
        <f t="shared" si="99"/>
        <v>0</v>
      </c>
      <c r="BY309" s="680">
        <f t="shared" si="99"/>
        <v>0</v>
      </c>
      <c r="BZ309" s="680">
        <f t="shared" si="99"/>
        <v>0</v>
      </c>
      <c r="CA309" s="680">
        <f t="shared" si="99"/>
        <v>0</v>
      </c>
    </row>
    <row r="310" spans="1:79" s="451" customFormat="1" hidden="1" outlineLevel="1" x14ac:dyDescent="0.25">
      <c r="A310" s="701"/>
      <c r="B310" s="737"/>
      <c r="C310" s="737"/>
      <c r="D310" s="737"/>
      <c r="E310" s="570" t="s">
        <v>1344</v>
      </c>
      <c r="F310" s="701" t="s">
        <v>626</v>
      </c>
      <c r="G310" s="733"/>
      <c r="H310" s="733"/>
      <c r="I310" s="733"/>
      <c r="J310" s="733"/>
      <c r="K310" s="733"/>
      <c r="L310" s="733"/>
      <c r="M310" s="733"/>
      <c r="N310" s="733"/>
      <c r="O310" s="733"/>
      <c r="P310" s="734"/>
      <c r="Q310" s="734"/>
      <c r="R310" s="734"/>
      <c r="S310" s="697"/>
      <c r="T310" s="697"/>
      <c r="U310" s="697"/>
      <c r="V310" s="697"/>
      <c r="W310" s="697"/>
      <c r="X310" s="697"/>
      <c r="Y310" s="697"/>
      <c r="Z310" s="697"/>
      <c r="AA310" s="697"/>
      <c r="AB310" s="697"/>
      <c r="AC310" s="697"/>
      <c r="AD310" s="697"/>
      <c r="AE310" s="697"/>
      <c r="AF310" s="697"/>
      <c r="AG310" s="697"/>
      <c r="AH310" s="736"/>
      <c r="AI310" s="736"/>
      <c r="AJ310" s="736"/>
      <c r="AK310" s="736"/>
      <c r="AL310" s="736"/>
      <c r="AM310" s="736"/>
      <c r="AN310" s="736"/>
      <c r="AO310" s="736"/>
      <c r="AP310" s="736"/>
      <c r="AQ310" s="736"/>
      <c r="AR310" s="736"/>
      <c r="AS310" s="736"/>
      <c r="AT310" s="736"/>
      <c r="AU310" s="736"/>
      <c r="AV310" s="736"/>
      <c r="AW310" s="736"/>
      <c r="AX310" s="736"/>
      <c r="AY310" s="736"/>
      <c r="AZ310" s="736"/>
      <c r="BA310" s="736"/>
      <c r="BB310" s="736"/>
      <c r="BC310" s="736"/>
      <c r="BD310" s="736"/>
      <c r="BE310" s="736"/>
      <c r="BF310" s="736"/>
      <c r="BG310" s="736"/>
      <c r="BH310" s="736"/>
      <c r="BI310" s="736"/>
      <c r="BJ310" s="736"/>
      <c r="BK310" s="736"/>
      <c r="BL310" s="736"/>
      <c r="BM310" s="736"/>
      <c r="BN310" s="736"/>
      <c r="BO310" s="736"/>
      <c r="BP310" s="736"/>
      <c r="BQ310" s="736"/>
      <c r="BR310" s="736"/>
      <c r="BS310" s="736"/>
      <c r="BT310" s="736"/>
      <c r="BU310" s="736"/>
      <c r="BV310" s="736"/>
      <c r="BW310" s="736"/>
      <c r="BX310" s="736"/>
      <c r="BY310" s="736"/>
      <c r="BZ310" s="736"/>
      <c r="CA310" s="736"/>
    </row>
    <row r="311" spans="1:79" s="451" customFormat="1" hidden="1" outlineLevel="1" x14ac:dyDescent="0.25">
      <c r="A311" s="661"/>
      <c r="B311" s="79"/>
      <c r="C311" s="79"/>
      <c r="D311" s="79"/>
      <c r="E311" s="570" t="s">
        <v>1344</v>
      </c>
      <c r="F311" s="661" t="s">
        <v>627</v>
      </c>
      <c r="G311" s="719"/>
      <c r="H311" s="719"/>
      <c r="I311" s="719"/>
      <c r="J311" s="719"/>
      <c r="K311" s="719"/>
      <c r="L311" s="719"/>
      <c r="M311" s="719"/>
      <c r="N311" s="719"/>
      <c r="O311" s="719"/>
      <c r="P311" s="716"/>
      <c r="Q311" s="716"/>
      <c r="R311" s="716"/>
      <c r="S311" s="667">
        <v>3.46</v>
      </c>
      <c r="T311" s="667">
        <v>3.46</v>
      </c>
      <c r="U311" s="667">
        <v>0.08</v>
      </c>
      <c r="V311" s="667">
        <v>2.11</v>
      </c>
      <c r="W311" s="667">
        <v>6.26</v>
      </c>
      <c r="X311" s="667">
        <v>0</v>
      </c>
      <c r="Y311" s="667">
        <v>0</v>
      </c>
      <c r="Z311" s="667">
        <v>0</v>
      </c>
      <c r="AA311" s="667">
        <v>1.43</v>
      </c>
      <c r="AB311" s="667">
        <v>5.57</v>
      </c>
      <c r="AC311" s="667">
        <v>0</v>
      </c>
      <c r="AD311" s="667">
        <v>0</v>
      </c>
      <c r="AE311" s="667">
        <v>24.86</v>
      </c>
      <c r="AF311" s="667">
        <v>10.16</v>
      </c>
      <c r="AG311" s="667">
        <v>0</v>
      </c>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8"/>
      <c r="BW311" s="718"/>
      <c r="BX311" s="718"/>
      <c r="BY311" s="718"/>
      <c r="BZ311" s="718"/>
      <c r="CA311" s="718"/>
    </row>
    <row r="312" spans="1:79" s="451" customFormat="1" hidden="1" outlineLevel="1" x14ac:dyDescent="0.25">
      <c r="A312" s="661"/>
      <c r="B312" s="79"/>
      <c r="C312" s="79"/>
      <c r="D312" s="79"/>
      <c r="E312" s="570" t="s">
        <v>1344</v>
      </c>
      <c r="F312" s="661" t="s">
        <v>628</v>
      </c>
      <c r="G312" s="719"/>
      <c r="H312" s="719"/>
      <c r="I312" s="719"/>
      <c r="J312" s="719"/>
      <c r="K312" s="719"/>
      <c r="L312" s="719"/>
      <c r="M312" s="719"/>
      <c r="N312" s="719"/>
      <c r="O312" s="719"/>
      <c r="P312" s="716"/>
      <c r="Q312" s="716"/>
      <c r="R312" s="716"/>
      <c r="S312" s="667">
        <v>62.77</v>
      </c>
      <c r="T312" s="667">
        <v>20.76</v>
      </c>
      <c r="U312" s="667">
        <v>0.46</v>
      </c>
      <c r="V312" s="667">
        <v>12.66</v>
      </c>
      <c r="W312" s="667">
        <v>37.64</v>
      </c>
      <c r="X312" s="667">
        <v>0</v>
      </c>
      <c r="Y312" s="667">
        <v>0</v>
      </c>
      <c r="Z312" s="667">
        <v>0</v>
      </c>
      <c r="AA312" s="667">
        <v>8.59</v>
      </c>
      <c r="AB312" s="667">
        <v>33.409999999999997</v>
      </c>
      <c r="AC312" s="667">
        <v>0</v>
      </c>
      <c r="AD312" s="667">
        <v>0</v>
      </c>
      <c r="AE312" s="667">
        <v>149</v>
      </c>
      <c r="AF312" s="667">
        <v>60.99</v>
      </c>
      <c r="AG312" s="667">
        <v>0</v>
      </c>
      <c r="AH312" s="718"/>
      <c r="AI312" s="718"/>
      <c r="AJ312" s="718"/>
      <c r="AK312" s="718"/>
      <c r="AL312" s="718"/>
      <c r="AM312" s="718"/>
      <c r="AN312" s="718"/>
      <c r="AO312" s="718"/>
      <c r="AP312" s="718"/>
      <c r="AQ312" s="718"/>
      <c r="AR312" s="718"/>
      <c r="AS312" s="718"/>
      <c r="AT312" s="718"/>
      <c r="AU312" s="718"/>
      <c r="AV312" s="718"/>
      <c r="AW312" s="718"/>
      <c r="AX312" s="718"/>
      <c r="AY312" s="718"/>
      <c r="AZ312" s="718"/>
      <c r="BA312" s="718"/>
      <c r="BB312" s="718"/>
      <c r="BC312" s="718"/>
      <c r="BD312" s="718"/>
      <c r="BE312" s="718"/>
      <c r="BF312" s="718"/>
      <c r="BG312" s="718"/>
      <c r="BH312" s="718"/>
      <c r="BI312" s="718"/>
      <c r="BJ312" s="718"/>
      <c r="BK312" s="718"/>
      <c r="BL312" s="718"/>
      <c r="BM312" s="718"/>
      <c r="BN312" s="718"/>
      <c r="BO312" s="718"/>
      <c r="BP312" s="718"/>
      <c r="BQ312" s="718"/>
      <c r="BR312" s="718"/>
      <c r="BS312" s="718"/>
      <c r="BT312" s="718"/>
      <c r="BU312" s="718"/>
      <c r="BV312" s="718"/>
      <c r="BW312" s="718"/>
      <c r="BX312" s="718"/>
      <c r="BY312" s="718"/>
      <c r="BZ312" s="718"/>
      <c r="CA312" s="718"/>
    </row>
    <row r="313" spans="1:79" s="451" customFormat="1" hidden="1" outlineLevel="1" x14ac:dyDescent="0.25">
      <c r="A313" s="661"/>
      <c r="B313" s="79"/>
      <c r="C313" s="79"/>
      <c r="D313" s="79"/>
      <c r="E313" s="570" t="s">
        <v>1344</v>
      </c>
      <c r="F313" s="661" t="s">
        <v>629</v>
      </c>
      <c r="G313" s="716"/>
      <c r="H313" s="716"/>
      <c r="I313" s="716"/>
      <c r="J313" s="716"/>
      <c r="K313" s="716"/>
      <c r="L313" s="716"/>
      <c r="M313" s="716"/>
      <c r="N313" s="716"/>
      <c r="O313" s="716"/>
      <c r="P313" s="716"/>
      <c r="Q313" s="716"/>
      <c r="R313" s="716"/>
      <c r="S313" s="667">
        <v>427.12</v>
      </c>
      <c r="T313" s="667">
        <v>265.23</v>
      </c>
      <c r="U313" s="667">
        <v>302.10000000000002</v>
      </c>
      <c r="V313" s="667">
        <v>291.57</v>
      </c>
      <c r="W313" s="667">
        <v>355.31</v>
      </c>
      <c r="X313" s="667">
        <v>366.08</v>
      </c>
      <c r="Y313" s="667">
        <v>397.93</v>
      </c>
      <c r="Z313" s="667">
        <v>407.04</v>
      </c>
      <c r="AA313" s="667">
        <v>402.58</v>
      </c>
      <c r="AB313" s="667">
        <v>485.41</v>
      </c>
      <c r="AC313" s="667">
        <v>457.08</v>
      </c>
      <c r="AD313" s="667">
        <v>-639.91</v>
      </c>
      <c r="AE313" s="667">
        <v>828.51</v>
      </c>
      <c r="AF313" s="667">
        <v>1116.28</v>
      </c>
      <c r="AG313" s="667">
        <v>975.63</v>
      </c>
      <c r="AH313" s="718"/>
      <c r="AI313" s="718"/>
      <c r="AJ313" s="718"/>
      <c r="AK313" s="718"/>
      <c r="AL313" s="718"/>
      <c r="AM313" s="718"/>
      <c r="AN313" s="718"/>
      <c r="AO313" s="718"/>
      <c r="AP313" s="718"/>
      <c r="AQ313" s="718"/>
      <c r="AR313" s="718"/>
      <c r="AS313" s="718"/>
      <c r="AT313" s="718"/>
      <c r="AU313" s="718"/>
      <c r="AV313" s="718"/>
      <c r="AW313" s="718"/>
      <c r="AX313" s="718"/>
      <c r="AY313" s="718"/>
      <c r="AZ313" s="718"/>
      <c r="BA313" s="718"/>
      <c r="BB313" s="718"/>
      <c r="BC313" s="718"/>
      <c r="BD313" s="718"/>
      <c r="BE313" s="718"/>
      <c r="BF313" s="718"/>
      <c r="BG313" s="718"/>
      <c r="BH313" s="718"/>
      <c r="BI313" s="718"/>
      <c r="BJ313" s="718"/>
      <c r="BK313" s="718"/>
      <c r="BL313" s="718"/>
      <c r="BM313" s="718"/>
      <c r="BN313" s="718"/>
      <c r="BO313" s="718"/>
      <c r="BP313" s="718"/>
      <c r="BQ313" s="718"/>
      <c r="BR313" s="718"/>
      <c r="BS313" s="718"/>
      <c r="BT313" s="718"/>
      <c r="BU313" s="718"/>
      <c r="BV313" s="718"/>
      <c r="BW313" s="718"/>
      <c r="BX313" s="718"/>
      <c r="BY313" s="718"/>
      <c r="BZ313" s="718"/>
      <c r="CA313" s="718"/>
    </row>
    <row r="314" spans="1:79" s="451" customFormat="1" hidden="1" outlineLevel="1" x14ac:dyDescent="0.25">
      <c r="A314" s="661"/>
      <c r="B314" s="79"/>
      <c r="C314" s="79"/>
      <c r="D314" s="79"/>
      <c r="E314" s="570" t="s">
        <v>1344</v>
      </c>
      <c r="F314" s="661" t="s">
        <v>630</v>
      </c>
      <c r="G314" s="716"/>
      <c r="H314" s="716"/>
      <c r="I314" s="716"/>
      <c r="J314" s="716"/>
      <c r="K314" s="716"/>
      <c r="L314" s="716"/>
      <c r="M314" s="716"/>
      <c r="N314" s="716"/>
      <c r="O314" s="716"/>
      <c r="P314" s="716"/>
      <c r="Q314" s="716"/>
      <c r="R314" s="716"/>
      <c r="S314" s="667">
        <v>1383.83</v>
      </c>
      <c r="T314" s="667">
        <v>691.53</v>
      </c>
      <c r="U314" s="667">
        <v>849.2</v>
      </c>
      <c r="V314" s="667">
        <v>804.21</v>
      </c>
      <c r="W314" s="667">
        <v>1076.77</v>
      </c>
      <c r="X314" s="667">
        <v>1122.82</v>
      </c>
      <c r="Y314" s="667">
        <v>1259.02</v>
      </c>
      <c r="Z314" s="667">
        <v>1297.97</v>
      </c>
      <c r="AA314" s="667">
        <v>1278.9100000000001</v>
      </c>
      <c r="AB314" s="667">
        <v>1633.05</v>
      </c>
      <c r="AC314" s="667">
        <v>1511.91</v>
      </c>
      <c r="AD314" s="667">
        <v>2131.35</v>
      </c>
      <c r="AE314" s="667">
        <v>2803.49</v>
      </c>
      <c r="AF314" s="667">
        <v>4033.97</v>
      </c>
      <c r="AG314" s="667">
        <v>3432.63</v>
      </c>
      <c r="AH314" s="718"/>
      <c r="AI314" s="718"/>
      <c r="AJ314" s="718"/>
      <c r="AK314" s="718"/>
      <c r="AL314" s="718"/>
      <c r="AM314" s="718"/>
      <c r="AN314" s="718"/>
      <c r="AO314" s="718"/>
      <c r="AP314" s="718"/>
      <c r="AQ314" s="718"/>
      <c r="AR314" s="718"/>
      <c r="AS314" s="718"/>
      <c r="AT314" s="718"/>
      <c r="AU314" s="718"/>
      <c r="AV314" s="718"/>
      <c r="AW314" s="718"/>
      <c r="AX314" s="718"/>
      <c r="AY314" s="718"/>
      <c r="AZ314" s="718"/>
      <c r="BA314" s="718"/>
      <c r="BB314" s="718"/>
      <c r="BC314" s="718"/>
      <c r="BD314" s="718"/>
      <c r="BE314" s="718"/>
      <c r="BF314" s="718"/>
      <c r="BG314" s="718"/>
      <c r="BH314" s="718"/>
      <c r="BI314" s="718"/>
      <c r="BJ314" s="718"/>
      <c r="BK314" s="718"/>
      <c r="BL314" s="718"/>
      <c r="BM314" s="718"/>
      <c r="BN314" s="718"/>
      <c r="BO314" s="718"/>
      <c r="BP314" s="718"/>
      <c r="BQ314" s="718"/>
      <c r="BR314" s="718"/>
      <c r="BS314" s="718"/>
      <c r="BT314" s="718"/>
      <c r="BU314" s="718"/>
      <c r="BV314" s="718"/>
      <c r="BW314" s="718"/>
      <c r="BX314" s="718"/>
      <c r="BY314" s="718"/>
      <c r="BZ314" s="718"/>
      <c r="CA314" s="718"/>
    </row>
    <row r="315" spans="1:79" s="451" customFormat="1" hidden="1" outlineLevel="1" x14ac:dyDescent="0.25">
      <c r="A315" s="661"/>
      <c r="B315" s="79"/>
      <c r="C315" s="79"/>
      <c r="D315" s="79"/>
      <c r="E315" s="570" t="s">
        <v>1344</v>
      </c>
      <c r="F315" s="661" t="s">
        <v>631</v>
      </c>
      <c r="G315" s="716"/>
      <c r="H315" s="716"/>
      <c r="I315" s="716"/>
      <c r="J315" s="716"/>
      <c r="K315" s="716"/>
      <c r="L315" s="716"/>
      <c r="M315" s="716"/>
      <c r="N315" s="716"/>
      <c r="O315" s="716"/>
      <c r="P315" s="716"/>
      <c r="Q315" s="716"/>
      <c r="R315" s="716"/>
      <c r="S315" s="667">
        <v>141.44</v>
      </c>
      <c r="T315" s="667">
        <v>48.07</v>
      </c>
      <c r="U315" s="667">
        <v>21.75</v>
      </c>
      <c r="V315" s="667">
        <v>0</v>
      </c>
      <c r="W315" s="667">
        <v>0</v>
      </c>
      <c r="X315" s="667">
        <v>0</v>
      </c>
      <c r="Y315" s="667">
        <v>0</v>
      </c>
      <c r="Z315" s="667">
        <v>0</v>
      </c>
      <c r="AA315" s="667">
        <v>0</v>
      </c>
      <c r="AB315" s="667">
        <v>0</v>
      </c>
      <c r="AC315" s="667">
        <v>0</v>
      </c>
      <c r="AD315" s="667">
        <v>0</v>
      </c>
      <c r="AE315" s="667">
        <v>0</v>
      </c>
      <c r="AF315" s="667">
        <v>0</v>
      </c>
      <c r="AG315" s="667">
        <v>0</v>
      </c>
      <c r="AH315" s="718"/>
      <c r="AI315" s="718"/>
      <c r="AJ315" s="718"/>
      <c r="AK315" s="718"/>
      <c r="AL315" s="718"/>
      <c r="AM315" s="718"/>
      <c r="AN315" s="718"/>
      <c r="AO315" s="718"/>
      <c r="AP315" s="718"/>
      <c r="AQ315" s="718"/>
      <c r="AR315" s="718"/>
      <c r="AS315" s="718"/>
      <c r="AT315" s="718"/>
      <c r="AU315" s="718"/>
      <c r="AV315" s="718"/>
      <c r="AW315" s="718"/>
      <c r="AX315" s="718"/>
      <c r="AY315" s="718"/>
      <c r="AZ315" s="718"/>
      <c r="BA315" s="718"/>
      <c r="BB315" s="718"/>
      <c r="BC315" s="718"/>
      <c r="BD315" s="718"/>
      <c r="BE315" s="718"/>
      <c r="BF315" s="718"/>
      <c r="BG315" s="718"/>
      <c r="BH315" s="718"/>
      <c r="BI315" s="718"/>
      <c r="BJ315" s="718"/>
      <c r="BK315" s="718"/>
      <c r="BL315" s="718"/>
      <c r="BM315" s="718"/>
      <c r="BN315" s="718"/>
      <c r="BO315" s="718"/>
      <c r="BP315" s="718"/>
      <c r="BQ315" s="718"/>
      <c r="BR315" s="718"/>
      <c r="BS315" s="718"/>
      <c r="BT315" s="718"/>
      <c r="BU315" s="718"/>
      <c r="BV315" s="718"/>
      <c r="BW315" s="718"/>
      <c r="BX315" s="718"/>
      <c r="BY315" s="718"/>
      <c r="BZ315" s="718"/>
      <c r="CA315" s="718"/>
    </row>
    <row r="316" spans="1:79" s="451" customFormat="1" hidden="1" outlineLevel="1" x14ac:dyDescent="0.25">
      <c r="A316" s="661"/>
      <c r="B316" s="79"/>
      <c r="C316" s="79"/>
      <c r="D316" s="79"/>
      <c r="E316" s="570" t="s">
        <v>1344</v>
      </c>
      <c r="F316" s="661" t="s">
        <v>632</v>
      </c>
      <c r="G316" s="716"/>
      <c r="H316" s="716"/>
      <c r="I316" s="716"/>
      <c r="J316" s="716"/>
      <c r="K316" s="716"/>
      <c r="L316" s="716"/>
      <c r="M316" s="716"/>
      <c r="N316" s="716"/>
      <c r="O316" s="716"/>
      <c r="P316" s="716"/>
      <c r="Q316" s="716"/>
      <c r="R316" s="716"/>
      <c r="S316" s="667">
        <v>757.48</v>
      </c>
      <c r="T316" s="667">
        <v>395.48</v>
      </c>
      <c r="U316" s="667">
        <v>150.96</v>
      </c>
      <c r="V316" s="667">
        <v>84.39</v>
      </c>
      <c r="W316" s="667">
        <v>250.98</v>
      </c>
      <c r="X316" s="667">
        <v>0</v>
      </c>
      <c r="Y316" s="667">
        <v>0</v>
      </c>
      <c r="Z316" s="667">
        <v>0</v>
      </c>
      <c r="AA316" s="667">
        <v>57.23</v>
      </c>
      <c r="AB316" s="667">
        <v>222.77</v>
      </c>
      <c r="AC316" s="667">
        <v>0</v>
      </c>
      <c r="AD316" s="667">
        <v>0</v>
      </c>
      <c r="AE316" s="667">
        <v>993.36</v>
      </c>
      <c r="AF316" s="667">
        <v>406.65</v>
      </c>
      <c r="AG316" s="667">
        <v>0</v>
      </c>
      <c r="AH316" s="718"/>
      <c r="AI316" s="718"/>
      <c r="AJ316" s="718"/>
      <c r="AK316" s="718"/>
      <c r="AL316" s="718"/>
      <c r="AM316" s="718"/>
      <c r="AN316" s="718"/>
      <c r="AO316" s="718"/>
      <c r="AP316" s="718"/>
      <c r="AQ316" s="718"/>
      <c r="AR316" s="718"/>
      <c r="AS316" s="718"/>
      <c r="AT316" s="718"/>
      <c r="AU316" s="718"/>
      <c r="AV316" s="718"/>
      <c r="AW316" s="718"/>
      <c r="AX316" s="718"/>
      <c r="AY316" s="718"/>
      <c r="AZ316" s="718"/>
      <c r="BA316" s="718"/>
      <c r="BB316" s="718"/>
      <c r="BC316" s="718"/>
      <c r="BD316" s="718"/>
      <c r="BE316" s="718"/>
      <c r="BF316" s="718"/>
      <c r="BG316" s="718"/>
      <c r="BH316" s="718"/>
      <c r="BI316" s="718"/>
      <c r="BJ316" s="718"/>
      <c r="BK316" s="718"/>
      <c r="BL316" s="718"/>
      <c r="BM316" s="718"/>
      <c r="BN316" s="718"/>
      <c r="BO316" s="718"/>
      <c r="BP316" s="718"/>
      <c r="BQ316" s="718"/>
      <c r="BR316" s="718"/>
      <c r="BS316" s="718"/>
      <c r="BT316" s="718"/>
      <c r="BU316" s="718"/>
      <c r="BV316" s="718"/>
      <c r="BW316" s="718"/>
      <c r="BX316" s="718"/>
      <c r="BY316" s="718"/>
      <c r="BZ316" s="718"/>
      <c r="CA316" s="718"/>
    </row>
    <row r="317" spans="1:79" s="451" customFormat="1" hidden="1" outlineLevel="1" x14ac:dyDescent="0.25">
      <c r="A317" s="661"/>
      <c r="B317" s="576"/>
      <c r="C317" s="576"/>
      <c r="D317" s="576"/>
      <c r="E317" s="570" t="s">
        <v>1344</v>
      </c>
      <c r="F317" s="661" t="s">
        <v>902</v>
      </c>
      <c r="G317" s="716"/>
      <c r="H317" s="716"/>
      <c r="I317" s="716"/>
      <c r="J317" s="716"/>
      <c r="K317" s="716"/>
      <c r="L317" s="716"/>
      <c r="M317" s="716"/>
      <c r="N317" s="716"/>
      <c r="O317" s="716"/>
      <c r="P317" s="716"/>
      <c r="Q317" s="716"/>
      <c r="R317" s="716"/>
      <c r="S317" s="667">
        <v>0</v>
      </c>
      <c r="T317" s="667">
        <v>0</v>
      </c>
      <c r="U317" s="667">
        <v>0</v>
      </c>
      <c r="V317" s="667">
        <v>0</v>
      </c>
      <c r="W317" s="667">
        <v>0</v>
      </c>
      <c r="X317" s="667">
        <v>0</v>
      </c>
      <c r="Y317" s="667">
        <v>0</v>
      </c>
      <c r="Z317" s="667">
        <v>0</v>
      </c>
      <c r="AA317" s="667">
        <v>0</v>
      </c>
      <c r="AB317" s="667">
        <v>0</v>
      </c>
      <c r="AC317" s="667">
        <v>0</v>
      </c>
      <c r="AD317" s="667">
        <v>0</v>
      </c>
      <c r="AE317" s="667">
        <v>0</v>
      </c>
      <c r="AF317" s="667">
        <v>0</v>
      </c>
      <c r="AG317" s="667">
        <v>0</v>
      </c>
      <c r="AH317" s="718"/>
      <c r="AI317" s="718"/>
      <c r="AJ317" s="718"/>
      <c r="AK317" s="718"/>
      <c r="AL317" s="718"/>
      <c r="AM317" s="718"/>
      <c r="AN317" s="718"/>
      <c r="AO317" s="718"/>
      <c r="AP317" s="718"/>
      <c r="AQ317" s="718"/>
      <c r="AR317" s="718"/>
      <c r="AS317" s="718"/>
      <c r="AT317" s="718"/>
      <c r="AU317" s="718"/>
      <c r="AV317" s="718"/>
      <c r="AW317" s="718"/>
      <c r="AX317" s="718"/>
      <c r="AY317" s="718"/>
      <c r="AZ317" s="718"/>
      <c r="BA317" s="718"/>
      <c r="BB317" s="718"/>
      <c r="BC317" s="718"/>
      <c r="BD317" s="718"/>
      <c r="BE317" s="718"/>
      <c r="BF317" s="718"/>
      <c r="BG317" s="718"/>
      <c r="BH317" s="718"/>
      <c r="BI317" s="718"/>
      <c r="BJ317" s="718"/>
      <c r="BK317" s="718"/>
      <c r="BL317" s="718"/>
      <c r="BM317" s="718"/>
      <c r="BN317" s="718"/>
      <c r="BO317" s="718"/>
      <c r="BP317" s="718"/>
      <c r="BQ317" s="718"/>
      <c r="BR317" s="718"/>
      <c r="BS317" s="718"/>
      <c r="BT317" s="718"/>
      <c r="BU317" s="718"/>
      <c r="BV317" s="718"/>
      <c r="BW317" s="718"/>
      <c r="BX317" s="718"/>
      <c r="BY317" s="718"/>
      <c r="BZ317" s="718"/>
      <c r="CA317" s="718"/>
    </row>
    <row r="318" spans="1:79" s="451" customFormat="1" hidden="1" outlineLevel="1" x14ac:dyDescent="0.25">
      <c r="A318" s="661"/>
      <c r="B318" s="79"/>
      <c r="C318" s="79"/>
      <c r="D318" s="79"/>
      <c r="E318" s="570" t="s">
        <v>1344</v>
      </c>
      <c r="F318" s="661" t="s">
        <v>633</v>
      </c>
      <c r="G318" s="719">
        <v>2818.3945954083683</v>
      </c>
      <c r="H318" s="719">
        <v>1875.7657334042697</v>
      </c>
      <c r="I318" s="719">
        <v>1933.3504908789948</v>
      </c>
      <c r="J318" s="719">
        <v>1965.7939630017042</v>
      </c>
      <c r="K318" s="719">
        <v>1903.3234780021912</v>
      </c>
      <c r="L318" s="719">
        <v>1868.8245330912969</v>
      </c>
      <c r="M318" s="719">
        <v>1035.9385058957419</v>
      </c>
      <c r="N318" s="719">
        <v>1445.7236565626617</v>
      </c>
      <c r="O318" s="719">
        <v>1061.0098054315304</v>
      </c>
      <c r="P318" s="716">
        <v>1050.4730822438619</v>
      </c>
      <c r="Q318" s="716">
        <v>1603.1000876663168</v>
      </c>
      <c r="R318" s="716">
        <v>1653.9303941181352</v>
      </c>
      <c r="S318" s="667">
        <v>0</v>
      </c>
      <c r="T318" s="667">
        <v>0</v>
      </c>
      <c r="U318" s="667">
        <v>388.38</v>
      </c>
      <c r="V318" s="667">
        <v>-388.38</v>
      </c>
      <c r="W318" s="667">
        <v>0</v>
      </c>
      <c r="X318" s="667">
        <v>0</v>
      </c>
      <c r="Y318" s="667">
        <v>0</v>
      </c>
      <c r="Z318" s="667">
        <v>0</v>
      </c>
      <c r="AA318" s="667">
        <v>0</v>
      </c>
      <c r="AB318" s="667">
        <v>0</v>
      </c>
      <c r="AC318" s="667">
        <v>0</v>
      </c>
      <c r="AD318" s="667">
        <v>0</v>
      </c>
      <c r="AE318" s="667">
        <v>0</v>
      </c>
      <c r="AF318" s="667">
        <v>0</v>
      </c>
      <c r="AG318" s="667">
        <v>0</v>
      </c>
      <c r="AH318" s="718"/>
      <c r="AI318" s="718"/>
      <c r="AJ318" s="718"/>
      <c r="AK318" s="718"/>
      <c r="AL318" s="718"/>
      <c r="AM318" s="718"/>
      <c r="AN318" s="718"/>
      <c r="AO318" s="718"/>
      <c r="AP318" s="718"/>
      <c r="AQ318" s="718"/>
      <c r="AR318" s="718"/>
      <c r="AS318" s="718"/>
      <c r="AT318" s="718"/>
      <c r="AU318" s="718"/>
      <c r="AV318" s="718"/>
      <c r="AW318" s="718"/>
      <c r="AX318" s="718"/>
      <c r="AY318" s="718"/>
      <c r="AZ318" s="718"/>
      <c r="BA318" s="718"/>
      <c r="BB318" s="718"/>
      <c r="BC318" s="718"/>
      <c r="BD318" s="718"/>
      <c r="BE318" s="718"/>
      <c r="BF318" s="718"/>
      <c r="BG318" s="718"/>
      <c r="BH318" s="718"/>
      <c r="BI318" s="718"/>
      <c r="BJ318" s="718"/>
      <c r="BK318" s="718"/>
      <c r="BL318" s="718"/>
      <c r="BM318" s="718"/>
      <c r="BN318" s="718"/>
      <c r="BO318" s="718"/>
      <c r="BP318" s="718"/>
      <c r="BQ318" s="718"/>
      <c r="BR318" s="718"/>
      <c r="BS318" s="718"/>
      <c r="BT318" s="718"/>
      <c r="BU318" s="718"/>
      <c r="BV318" s="718"/>
      <c r="BW318" s="718"/>
      <c r="BX318" s="718"/>
      <c r="BY318" s="718"/>
      <c r="BZ318" s="718"/>
      <c r="CA318" s="718"/>
    </row>
    <row r="319" spans="1:79" s="740" customFormat="1" hidden="1" outlineLevel="1" x14ac:dyDescent="0.25">
      <c r="A319" s="657"/>
      <c r="B319" s="503"/>
      <c r="C319" s="503"/>
      <c r="D319" s="503"/>
      <c r="E319" s="570" t="s">
        <v>49</v>
      </c>
      <c r="F319" s="657" t="s">
        <v>634</v>
      </c>
      <c r="G319" s="680">
        <f>SUM(G311:G318)</f>
        <v>2818.3945954083683</v>
      </c>
      <c r="H319" s="680">
        <f t="shared" ref="H319:BO319" si="100">SUM(H311:H318)</f>
        <v>1875.7657334042697</v>
      </c>
      <c r="I319" s="680">
        <f t="shared" si="100"/>
        <v>1933.3504908789948</v>
      </c>
      <c r="J319" s="680">
        <f t="shared" si="100"/>
        <v>1965.7939630017042</v>
      </c>
      <c r="K319" s="680">
        <f t="shared" si="100"/>
        <v>1903.3234780021912</v>
      </c>
      <c r="L319" s="680">
        <f t="shared" si="100"/>
        <v>1868.8245330912969</v>
      </c>
      <c r="M319" s="680">
        <f t="shared" si="100"/>
        <v>1035.9385058957419</v>
      </c>
      <c r="N319" s="680">
        <f t="shared" si="100"/>
        <v>1445.7236565626617</v>
      </c>
      <c r="O319" s="680">
        <f t="shared" si="100"/>
        <v>1061.0098054315304</v>
      </c>
      <c r="P319" s="680">
        <f t="shared" si="100"/>
        <v>1050.4730822438619</v>
      </c>
      <c r="Q319" s="680">
        <f t="shared" si="100"/>
        <v>1603.1000876663168</v>
      </c>
      <c r="R319" s="680">
        <f t="shared" si="100"/>
        <v>1653.9303941181352</v>
      </c>
      <c r="S319" s="679">
        <f t="shared" ref="S319:AA319" si="101">ROUND(SUM(S310:S318),5)</f>
        <v>2776.1</v>
      </c>
      <c r="T319" s="679">
        <f t="shared" si="101"/>
        <v>1424.53</v>
      </c>
      <c r="U319" s="679">
        <f t="shared" si="101"/>
        <v>1712.93</v>
      </c>
      <c r="V319" s="679">
        <f t="shared" si="101"/>
        <v>806.56</v>
      </c>
      <c r="W319" s="679">
        <f t="shared" si="101"/>
        <v>1726.96</v>
      </c>
      <c r="X319" s="679">
        <f t="shared" si="101"/>
        <v>1488.9</v>
      </c>
      <c r="Y319" s="679">
        <f t="shared" si="101"/>
        <v>1656.95</v>
      </c>
      <c r="Z319" s="679">
        <f t="shared" si="101"/>
        <v>1705.01</v>
      </c>
      <c r="AA319" s="679">
        <f t="shared" si="101"/>
        <v>1748.74</v>
      </c>
      <c r="AB319" s="679">
        <f>ROUND(SUM(AB310:AB318),5)</f>
        <v>2380.21</v>
      </c>
      <c r="AC319" s="679">
        <f>ROUND(SUM(AC310:AC318),5)</f>
        <v>1968.99</v>
      </c>
      <c r="AD319" s="679">
        <f>ROUND(SUM(AD310:AD318),5)</f>
        <v>1491.44</v>
      </c>
      <c r="AE319" s="679">
        <v>4799.22</v>
      </c>
      <c r="AF319" s="679">
        <v>5628.05</v>
      </c>
      <c r="AG319" s="679">
        <f>ROUND(SUM(AG310:AG318),5)</f>
        <v>4408.26</v>
      </c>
      <c r="AH319" s="680">
        <f t="shared" si="100"/>
        <v>0</v>
      </c>
      <c r="AI319" s="680">
        <f t="shared" si="100"/>
        <v>0</v>
      </c>
      <c r="AJ319" s="680">
        <f t="shared" si="100"/>
        <v>0</v>
      </c>
      <c r="AK319" s="680">
        <f t="shared" si="100"/>
        <v>0</v>
      </c>
      <c r="AL319" s="680">
        <f t="shared" si="100"/>
        <v>0</v>
      </c>
      <c r="AM319" s="680">
        <f t="shared" si="100"/>
        <v>0</v>
      </c>
      <c r="AN319" s="680">
        <f t="shared" si="100"/>
        <v>0</v>
      </c>
      <c r="AO319" s="680">
        <f t="shared" si="100"/>
        <v>0</v>
      </c>
      <c r="AP319" s="680">
        <f t="shared" si="100"/>
        <v>0</v>
      </c>
      <c r="AQ319" s="680">
        <f t="shared" si="100"/>
        <v>0</v>
      </c>
      <c r="AR319" s="680">
        <f t="shared" si="100"/>
        <v>0</v>
      </c>
      <c r="AS319" s="680">
        <f t="shared" si="100"/>
        <v>0</v>
      </c>
      <c r="AT319" s="680">
        <f t="shared" si="100"/>
        <v>0</v>
      </c>
      <c r="AU319" s="680">
        <f t="shared" si="100"/>
        <v>0</v>
      </c>
      <c r="AV319" s="680">
        <f t="shared" si="100"/>
        <v>0</v>
      </c>
      <c r="AW319" s="680">
        <f t="shared" si="100"/>
        <v>0</v>
      </c>
      <c r="AX319" s="680">
        <f t="shared" si="100"/>
        <v>0</v>
      </c>
      <c r="AY319" s="680">
        <f t="shared" si="100"/>
        <v>0</v>
      </c>
      <c r="AZ319" s="680">
        <f t="shared" si="100"/>
        <v>0</v>
      </c>
      <c r="BA319" s="680">
        <f t="shared" si="100"/>
        <v>0</v>
      </c>
      <c r="BB319" s="680">
        <f t="shared" si="100"/>
        <v>0</v>
      </c>
      <c r="BC319" s="680">
        <f t="shared" si="100"/>
        <v>0</v>
      </c>
      <c r="BD319" s="680">
        <f t="shared" si="100"/>
        <v>0</v>
      </c>
      <c r="BE319" s="680">
        <f t="shared" si="100"/>
        <v>0</v>
      </c>
      <c r="BF319" s="680">
        <f t="shared" si="100"/>
        <v>0</v>
      </c>
      <c r="BG319" s="680">
        <f t="shared" si="100"/>
        <v>0</v>
      </c>
      <c r="BH319" s="680">
        <f t="shared" si="100"/>
        <v>0</v>
      </c>
      <c r="BI319" s="680">
        <f t="shared" si="100"/>
        <v>0</v>
      </c>
      <c r="BJ319" s="680">
        <f t="shared" si="100"/>
        <v>0</v>
      </c>
      <c r="BK319" s="680">
        <f t="shared" si="100"/>
        <v>0</v>
      </c>
      <c r="BL319" s="680">
        <f t="shared" si="100"/>
        <v>0</v>
      </c>
      <c r="BM319" s="680">
        <f t="shared" si="100"/>
        <v>0</v>
      </c>
      <c r="BN319" s="680">
        <f t="shared" si="100"/>
        <v>0</v>
      </c>
      <c r="BO319" s="680">
        <f t="shared" si="100"/>
        <v>0</v>
      </c>
      <c r="BP319" s="680">
        <f t="shared" ref="BP319:CA319" si="102">SUM(BP311:BP318)</f>
        <v>0</v>
      </c>
      <c r="BQ319" s="680">
        <f t="shared" si="102"/>
        <v>0</v>
      </c>
      <c r="BR319" s="680">
        <f t="shared" si="102"/>
        <v>0</v>
      </c>
      <c r="BS319" s="680">
        <f t="shared" si="102"/>
        <v>0</v>
      </c>
      <c r="BT319" s="680">
        <f t="shared" si="102"/>
        <v>0</v>
      </c>
      <c r="BU319" s="680">
        <f t="shared" si="102"/>
        <v>0</v>
      </c>
      <c r="BV319" s="680">
        <f t="shared" si="102"/>
        <v>0</v>
      </c>
      <c r="BW319" s="680">
        <f t="shared" si="102"/>
        <v>0</v>
      </c>
      <c r="BX319" s="680">
        <f t="shared" si="102"/>
        <v>0</v>
      </c>
      <c r="BY319" s="680">
        <f t="shared" si="102"/>
        <v>0</v>
      </c>
      <c r="BZ319" s="680">
        <f t="shared" si="102"/>
        <v>0</v>
      </c>
      <c r="CA319" s="680">
        <f t="shared" si="102"/>
        <v>0</v>
      </c>
    </row>
    <row r="320" spans="1:79" s="451" customFormat="1" hidden="1" outlineLevel="1" x14ac:dyDescent="0.25">
      <c r="A320" s="701"/>
      <c r="B320" s="737"/>
      <c r="C320" s="737"/>
      <c r="D320" s="737"/>
      <c r="E320" s="570" t="s">
        <v>1345</v>
      </c>
      <c r="F320" s="701" t="s">
        <v>635</v>
      </c>
      <c r="G320" s="733"/>
      <c r="H320" s="733"/>
      <c r="I320" s="733"/>
      <c r="J320" s="733"/>
      <c r="K320" s="733"/>
      <c r="L320" s="733"/>
      <c r="M320" s="733"/>
      <c r="N320" s="733"/>
      <c r="O320" s="733"/>
      <c r="P320" s="734"/>
      <c r="Q320" s="734"/>
      <c r="R320" s="734"/>
      <c r="S320" s="697"/>
      <c r="T320" s="697"/>
      <c r="U320" s="697"/>
      <c r="V320" s="697"/>
      <c r="W320" s="697"/>
      <c r="X320" s="697"/>
      <c r="Y320" s="697"/>
      <c r="Z320" s="697"/>
      <c r="AA320" s="697"/>
      <c r="AB320" s="697"/>
      <c r="AC320" s="697"/>
      <c r="AD320" s="697"/>
      <c r="AE320" s="697"/>
      <c r="AF320" s="697"/>
      <c r="AG320" s="697"/>
      <c r="AH320" s="736"/>
      <c r="AI320" s="736"/>
      <c r="AJ320" s="736"/>
      <c r="AK320" s="736"/>
      <c r="AL320" s="736"/>
      <c r="AM320" s="736"/>
      <c r="AN320" s="736"/>
      <c r="AO320" s="736"/>
      <c r="AP320" s="736"/>
      <c r="AQ320" s="736"/>
      <c r="AR320" s="736"/>
      <c r="AS320" s="736"/>
      <c r="AT320" s="736"/>
      <c r="AU320" s="736"/>
      <c r="AV320" s="736"/>
      <c r="AW320" s="736"/>
      <c r="AX320" s="736"/>
      <c r="AY320" s="736"/>
      <c r="AZ320" s="736"/>
      <c r="BA320" s="736"/>
      <c r="BB320" s="736"/>
      <c r="BC320" s="736"/>
      <c r="BD320" s="736"/>
      <c r="BE320" s="736"/>
      <c r="BF320" s="736"/>
      <c r="BG320" s="736"/>
      <c r="BH320" s="736"/>
      <c r="BI320" s="736"/>
      <c r="BJ320" s="736"/>
      <c r="BK320" s="736"/>
      <c r="BL320" s="736"/>
      <c r="BM320" s="736"/>
      <c r="BN320" s="736"/>
      <c r="BO320" s="736"/>
      <c r="BP320" s="736"/>
      <c r="BQ320" s="736"/>
      <c r="BR320" s="736"/>
      <c r="BS320" s="736"/>
      <c r="BT320" s="736"/>
      <c r="BU320" s="736"/>
      <c r="BV320" s="736"/>
      <c r="BW320" s="736"/>
      <c r="BX320" s="736"/>
      <c r="BY320" s="736"/>
      <c r="BZ320" s="736"/>
      <c r="CA320" s="736"/>
    </row>
    <row r="321" spans="1:79" s="451" customFormat="1" hidden="1" outlineLevel="1" x14ac:dyDescent="0.25">
      <c r="A321" s="661"/>
      <c r="B321" s="79"/>
      <c r="C321" s="79"/>
      <c r="D321" s="79"/>
      <c r="E321" s="570" t="s">
        <v>8</v>
      </c>
      <c r="F321" s="661" t="s">
        <v>8</v>
      </c>
      <c r="G321" s="719"/>
      <c r="H321" s="719"/>
      <c r="I321" s="719"/>
      <c r="J321" s="719"/>
      <c r="K321" s="719"/>
      <c r="L321" s="719"/>
      <c r="M321" s="719"/>
      <c r="N321" s="719"/>
      <c r="O321" s="719"/>
      <c r="P321" s="716"/>
      <c r="Q321" s="716"/>
      <c r="R321" s="716"/>
      <c r="S321" s="667">
        <v>11684.59</v>
      </c>
      <c r="T321" s="667">
        <v>1614.58</v>
      </c>
      <c r="U321" s="667">
        <v>1869.72</v>
      </c>
      <c r="V321" s="667">
        <v>2295.4899999999998</v>
      </c>
      <c r="W321" s="667">
        <v>1614.58</v>
      </c>
      <c r="X321" s="667">
        <v>1614.58</v>
      </c>
      <c r="Y321" s="667">
        <v>2607.17</v>
      </c>
      <c r="Z321" s="667">
        <v>3607.17</v>
      </c>
      <c r="AA321" s="667">
        <v>6614.58</v>
      </c>
      <c r="AB321" s="667">
        <v>3599.76</v>
      </c>
      <c r="AC321" s="667">
        <v>2614.58</v>
      </c>
      <c r="AD321" s="667">
        <v>-7327.69</v>
      </c>
      <c r="AE321" s="667">
        <v>36919.56</v>
      </c>
      <c r="AF321" s="667">
        <v>11919.56</v>
      </c>
      <c r="AG321" s="667">
        <v>11919.56</v>
      </c>
      <c r="AH321" s="718"/>
      <c r="AI321" s="718"/>
      <c r="AJ321" s="718"/>
      <c r="AK321" s="718"/>
      <c r="AL321" s="718"/>
      <c r="AM321" s="718"/>
      <c r="AN321" s="718"/>
      <c r="AO321" s="718"/>
      <c r="AP321" s="718"/>
      <c r="AQ321" s="718"/>
      <c r="AR321" s="718"/>
      <c r="AS321" s="718"/>
      <c r="AT321" s="718"/>
      <c r="AU321" s="718"/>
      <c r="AV321" s="718"/>
      <c r="AW321" s="718"/>
      <c r="AX321" s="718"/>
      <c r="AY321" s="718"/>
      <c r="AZ321" s="718"/>
      <c r="BA321" s="718"/>
      <c r="BB321" s="718"/>
      <c r="BC321" s="718"/>
      <c r="BD321" s="718"/>
      <c r="BE321" s="718"/>
      <c r="BF321" s="718"/>
      <c r="BG321" s="718"/>
      <c r="BH321" s="718"/>
      <c r="BI321" s="718"/>
      <c r="BJ321" s="718"/>
      <c r="BK321" s="718"/>
      <c r="BL321" s="718"/>
      <c r="BM321" s="718"/>
      <c r="BN321" s="718"/>
      <c r="BO321" s="718"/>
      <c r="BP321" s="718"/>
      <c r="BQ321" s="718"/>
      <c r="BR321" s="718"/>
      <c r="BS321" s="718"/>
      <c r="BT321" s="718"/>
      <c r="BU321" s="718"/>
      <c r="BV321" s="718"/>
      <c r="BW321" s="718"/>
      <c r="BX321" s="718"/>
      <c r="BY321" s="718"/>
      <c r="BZ321" s="718"/>
      <c r="CA321" s="718"/>
    </row>
    <row r="322" spans="1:79" s="451" customFormat="1" hidden="1" outlineLevel="1" x14ac:dyDescent="0.25">
      <c r="A322" s="661"/>
      <c r="B322" s="576"/>
      <c r="C322" s="576"/>
      <c r="D322" s="576"/>
      <c r="E322" s="570" t="s">
        <v>8</v>
      </c>
      <c r="F322" s="661" t="s">
        <v>903</v>
      </c>
      <c r="G322" s="719"/>
      <c r="H322" s="719"/>
      <c r="I322" s="719"/>
      <c r="J322" s="719"/>
      <c r="K322" s="719"/>
      <c r="L322" s="719"/>
      <c r="M322" s="719"/>
      <c r="N322" s="719"/>
      <c r="O322" s="719"/>
      <c r="P322" s="716"/>
      <c r="Q322" s="716"/>
      <c r="R322" s="716"/>
      <c r="S322" s="667">
        <v>0</v>
      </c>
      <c r="T322" s="667">
        <v>0</v>
      </c>
      <c r="U322" s="667">
        <v>0</v>
      </c>
      <c r="V322" s="667">
        <v>0</v>
      </c>
      <c r="W322" s="667">
        <v>0</v>
      </c>
      <c r="X322" s="667">
        <v>0</v>
      </c>
      <c r="Y322" s="667">
        <v>0</v>
      </c>
      <c r="Z322" s="667">
        <v>0</v>
      </c>
      <c r="AA322" s="667">
        <v>0</v>
      </c>
      <c r="AB322" s="667">
        <v>0</v>
      </c>
      <c r="AC322" s="667">
        <v>0</v>
      </c>
      <c r="AD322" s="667">
        <v>0</v>
      </c>
      <c r="AE322" s="667">
        <v>0</v>
      </c>
      <c r="AF322" s="667">
        <v>0</v>
      </c>
      <c r="AG322" s="667">
        <v>0</v>
      </c>
      <c r="AH322" s="718"/>
      <c r="AI322" s="718"/>
      <c r="AJ322" s="718"/>
      <c r="AK322" s="718"/>
      <c r="AL322" s="718"/>
      <c r="AM322" s="718"/>
      <c r="AN322" s="718"/>
      <c r="AO322" s="718"/>
      <c r="AP322" s="718"/>
      <c r="AQ322" s="718"/>
      <c r="AR322" s="718"/>
      <c r="AS322" s="718"/>
      <c r="AT322" s="718"/>
      <c r="AU322" s="718"/>
      <c r="AV322" s="718"/>
      <c r="AW322" s="718"/>
      <c r="AX322" s="718"/>
      <c r="AY322" s="718"/>
      <c r="AZ322" s="718"/>
      <c r="BA322" s="718"/>
      <c r="BB322" s="718"/>
      <c r="BC322" s="718"/>
      <c r="BD322" s="718"/>
      <c r="BE322" s="718"/>
      <c r="BF322" s="718"/>
      <c r="BG322" s="718"/>
      <c r="BH322" s="718"/>
      <c r="BI322" s="718"/>
      <c r="BJ322" s="718"/>
      <c r="BK322" s="718"/>
      <c r="BL322" s="718"/>
      <c r="BM322" s="718"/>
      <c r="BN322" s="718"/>
      <c r="BO322" s="718"/>
      <c r="BP322" s="718"/>
      <c r="BQ322" s="718"/>
      <c r="BR322" s="718"/>
      <c r="BS322" s="718"/>
      <c r="BT322" s="718"/>
      <c r="BU322" s="718"/>
      <c r="BV322" s="718"/>
      <c r="BW322" s="718"/>
      <c r="BX322" s="718"/>
      <c r="BY322" s="718"/>
      <c r="BZ322" s="718"/>
      <c r="CA322" s="718"/>
    </row>
    <row r="323" spans="1:79" s="451" customFormat="1" hidden="1" outlineLevel="1" x14ac:dyDescent="0.25">
      <c r="A323" s="661"/>
      <c r="B323" s="576"/>
      <c r="C323" s="576"/>
      <c r="D323" s="576"/>
      <c r="E323" s="570" t="s">
        <v>1345</v>
      </c>
      <c r="F323" s="661" t="s">
        <v>643</v>
      </c>
      <c r="G323" s="719"/>
      <c r="H323" s="719"/>
      <c r="I323" s="719"/>
      <c r="J323" s="719"/>
      <c r="K323" s="719"/>
      <c r="L323" s="719"/>
      <c r="M323" s="719"/>
      <c r="N323" s="719"/>
      <c r="O323" s="719"/>
      <c r="P323" s="716"/>
      <c r="Q323" s="716"/>
      <c r="R323" s="716"/>
      <c r="S323" s="667">
        <v>0</v>
      </c>
      <c r="T323" s="667">
        <v>0</v>
      </c>
      <c r="U323" s="667">
        <v>0</v>
      </c>
      <c r="V323" s="667">
        <v>0</v>
      </c>
      <c r="W323" s="667">
        <v>0</v>
      </c>
      <c r="X323" s="667">
        <v>0</v>
      </c>
      <c r="Y323" s="667">
        <v>0</v>
      </c>
      <c r="Z323" s="667">
        <v>0</v>
      </c>
      <c r="AA323" s="667">
        <v>2635.2</v>
      </c>
      <c r="AB323" s="667">
        <v>689.3</v>
      </c>
      <c r="AC323" s="667">
        <v>0</v>
      </c>
      <c r="AD323" s="667">
        <v>0</v>
      </c>
      <c r="AE323" s="667">
        <v>0</v>
      </c>
      <c r="AF323" s="667">
        <v>0</v>
      </c>
      <c r="AG323" s="667">
        <v>0</v>
      </c>
      <c r="AH323" s="718"/>
      <c r="AI323" s="718"/>
      <c r="AJ323" s="718"/>
      <c r="AK323" s="718"/>
      <c r="AL323" s="718"/>
      <c r="AM323" s="718"/>
      <c r="AN323" s="718"/>
      <c r="AO323" s="718"/>
      <c r="AP323" s="718"/>
      <c r="AQ323" s="718"/>
      <c r="AR323" s="718"/>
      <c r="AS323" s="718"/>
      <c r="AT323" s="718"/>
      <c r="AU323" s="718"/>
      <c r="AV323" s="718"/>
      <c r="AW323" s="718"/>
      <c r="AX323" s="718"/>
      <c r="AY323" s="718"/>
      <c r="AZ323" s="718"/>
      <c r="BA323" s="718"/>
      <c r="BB323" s="718"/>
      <c r="BC323" s="718"/>
      <c r="BD323" s="718"/>
      <c r="BE323" s="718"/>
      <c r="BF323" s="718"/>
      <c r="BG323" s="718"/>
      <c r="BH323" s="718"/>
      <c r="BI323" s="718"/>
      <c r="BJ323" s="718"/>
      <c r="BK323" s="718"/>
      <c r="BL323" s="718"/>
      <c r="BM323" s="718"/>
      <c r="BN323" s="718"/>
      <c r="BO323" s="718"/>
      <c r="BP323" s="718"/>
      <c r="BQ323" s="718"/>
      <c r="BR323" s="718"/>
      <c r="BS323" s="718"/>
      <c r="BT323" s="718"/>
      <c r="BU323" s="718"/>
      <c r="BV323" s="718"/>
      <c r="BW323" s="718"/>
      <c r="BX323" s="718"/>
      <c r="BY323" s="718"/>
      <c r="BZ323" s="718"/>
      <c r="CA323" s="718"/>
    </row>
    <row r="324" spans="1:79" s="451" customFormat="1" hidden="1" outlineLevel="1" x14ac:dyDescent="0.25">
      <c r="A324" s="661"/>
      <c r="B324" s="576"/>
      <c r="C324" s="576"/>
      <c r="D324" s="576"/>
      <c r="E324" s="570" t="s">
        <v>1345</v>
      </c>
      <c r="F324" s="661" t="s">
        <v>644</v>
      </c>
      <c r="G324" s="719"/>
      <c r="H324" s="719"/>
      <c r="I324" s="719"/>
      <c r="J324" s="719"/>
      <c r="K324" s="719"/>
      <c r="L324" s="719"/>
      <c r="M324" s="719"/>
      <c r="N324" s="719"/>
      <c r="O324" s="719"/>
      <c r="P324" s="716"/>
      <c r="Q324" s="716"/>
      <c r="R324" s="716"/>
      <c r="S324" s="667">
        <v>0</v>
      </c>
      <c r="T324" s="667">
        <v>0</v>
      </c>
      <c r="U324" s="667">
        <v>0</v>
      </c>
      <c r="V324" s="667">
        <v>0</v>
      </c>
      <c r="W324" s="667">
        <v>0</v>
      </c>
      <c r="X324" s="667">
        <v>0</v>
      </c>
      <c r="Y324" s="667">
        <v>0</v>
      </c>
      <c r="Z324" s="667">
        <v>0</v>
      </c>
      <c r="AA324" s="667">
        <v>0</v>
      </c>
      <c r="AB324" s="667">
        <v>0</v>
      </c>
      <c r="AC324" s="667">
        <v>0</v>
      </c>
      <c r="AD324" s="667">
        <v>0</v>
      </c>
      <c r="AE324" s="667">
        <v>0</v>
      </c>
      <c r="AF324" s="667">
        <v>0</v>
      </c>
      <c r="AG324" s="667">
        <v>0</v>
      </c>
      <c r="AH324" s="718"/>
      <c r="AI324" s="718"/>
      <c r="AJ324" s="718"/>
      <c r="AK324" s="718"/>
      <c r="AL324" s="718"/>
      <c r="AM324" s="718"/>
      <c r="AN324" s="718"/>
      <c r="AO324" s="718"/>
      <c r="AP324" s="718"/>
      <c r="AQ324" s="718"/>
      <c r="AR324" s="718"/>
      <c r="AS324" s="718"/>
      <c r="AT324" s="718"/>
      <c r="AU324" s="718"/>
      <c r="AV324" s="718"/>
      <c r="AW324" s="718"/>
      <c r="AX324" s="718"/>
      <c r="AY324" s="718"/>
      <c r="AZ324" s="718"/>
      <c r="BA324" s="718"/>
      <c r="BB324" s="718"/>
      <c r="BC324" s="718"/>
      <c r="BD324" s="718"/>
      <c r="BE324" s="718"/>
      <c r="BF324" s="718"/>
      <c r="BG324" s="718"/>
      <c r="BH324" s="718"/>
      <c r="BI324" s="718"/>
      <c r="BJ324" s="718"/>
      <c r="BK324" s="718"/>
      <c r="BL324" s="718"/>
      <c r="BM324" s="718"/>
      <c r="BN324" s="718"/>
      <c r="BO324" s="718"/>
      <c r="BP324" s="718"/>
      <c r="BQ324" s="718"/>
      <c r="BR324" s="718"/>
      <c r="BS324" s="718"/>
      <c r="BT324" s="718"/>
      <c r="BU324" s="718"/>
      <c r="BV324" s="718"/>
      <c r="BW324" s="718"/>
      <c r="BX324" s="718"/>
      <c r="BY324" s="718"/>
      <c r="BZ324" s="718"/>
      <c r="CA324" s="718"/>
    </row>
    <row r="325" spans="1:79" s="451" customFormat="1" hidden="1" outlineLevel="1" x14ac:dyDescent="0.25">
      <c r="A325" s="661"/>
      <c r="B325" s="79"/>
      <c r="C325" s="79"/>
      <c r="D325" s="79"/>
      <c r="E325" s="570" t="s">
        <v>1345</v>
      </c>
      <c r="F325" s="661" t="s">
        <v>636</v>
      </c>
      <c r="G325" s="719"/>
      <c r="H325" s="719"/>
      <c r="I325" s="719"/>
      <c r="J325" s="719"/>
      <c r="K325" s="719"/>
      <c r="L325" s="719"/>
      <c r="M325" s="719"/>
      <c r="N325" s="719"/>
      <c r="O325" s="719"/>
      <c r="P325" s="716"/>
      <c r="Q325" s="716"/>
      <c r="R325" s="716"/>
      <c r="S325" s="667">
        <v>12249.73</v>
      </c>
      <c r="T325" s="667">
        <v>11153.84</v>
      </c>
      <c r="U325" s="667">
        <v>16230.76</v>
      </c>
      <c r="V325" s="667">
        <v>7528.85</v>
      </c>
      <c r="W325" s="667">
        <v>17528.84</v>
      </c>
      <c r="X325" s="667">
        <v>18269.22</v>
      </c>
      <c r="Y325" s="667">
        <v>20374.990000000002</v>
      </c>
      <c r="Z325" s="667">
        <v>19097.64</v>
      </c>
      <c r="AA325" s="667">
        <v>12826.5</v>
      </c>
      <c r="AB325" s="667">
        <v>24444.23</v>
      </c>
      <c r="AC325" s="667">
        <v>23625</v>
      </c>
      <c r="AD325" s="667">
        <v>24750.01</v>
      </c>
      <c r="AE325" s="667">
        <v>33663.449999999997</v>
      </c>
      <c r="AF325" s="667">
        <v>53653.84</v>
      </c>
      <c r="AG325" s="667">
        <v>56336.53</v>
      </c>
      <c r="AH325" s="718"/>
      <c r="AI325" s="718"/>
      <c r="AJ325" s="718"/>
      <c r="AK325" s="718"/>
      <c r="AL325" s="718"/>
      <c r="AM325" s="718"/>
      <c r="AN325" s="718"/>
      <c r="AO325" s="718"/>
      <c r="AP325" s="718"/>
      <c r="AQ325" s="718"/>
      <c r="AR325" s="718"/>
      <c r="AS325" s="718"/>
      <c r="AT325" s="718"/>
      <c r="AU325" s="718"/>
      <c r="AV325" s="718"/>
      <c r="AW325" s="718"/>
      <c r="AX325" s="718"/>
      <c r="AY325" s="718"/>
      <c r="AZ325" s="718"/>
      <c r="BA325" s="718"/>
      <c r="BB325" s="718"/>
      <c r="BC325" s="718"/>
      <c r="BD325" s="718"/>
      <c r="BE325" s="718"/>
      <c r="BF325" s="718"/>
      <c r="BG325" s="718"/>
      <c r="BH325" s="718"/>
      <c r="BI325" s="718"/>
      <c r="BJ325" s="718"/>
      <c r="BK325" s="718"/>
      <c r="BL325" s="718"/>
      <c r="BM325" s="718"/>
      <c r="BN325" s="718"/>
      <c r="BO325" s="718"/>
      <c r="BP325" s="718"/>
      <c r="BQ325" s="718"/>
      <c r="BR325" s="718"/>
      <c r="BS325" s="718"/>
      <c r="BT325" s="718"/>
      <c r="BU325" s="718"/>
      <c r="BV325" s="718"/>
      <c r="BW325" s="718"/>
      <c r="BX325" s="718"/>
      <c r="BY325" s="718"/>
      <c r="BZ325" s="718"/>
      <c r="CA325" s="718"/>
    </row>
    <row r="326" spans="1:79" s="451" customFormat="1" hidden="1" outlineLevel="1" x14ac:dyDescent="0.25">
      <c r="A326" s="661"/>
      <c r="B326" s="79"/>
      <c r="C326" s="79"/>
      <c r="D326" s="79"/>
      <c r="E326" s="570" t="s">
        <v>637</v>
      </c>
      <c r="F326" s="661" t="s">
        <v>637</v>
      </c>
      <c r="G326" s="719"/>
      <c r="H326" s="719"/>
      <c r="I326" s="719"/>
      <c r="J326" s="719"/>
      <c r="K326" s="719"/>
      <c r="L326" s="719"/>
      <c r="M326" s="719"/>
      <c r="N326" s="719"/>
      <c r="O326" s="719"/>
      <c r="P326" s="716"/>
      <c r="Q326" s="716"/>
      <c r="R326" s="716"/>
      <c r="S326" s="667">
        <v>493.59</v>
      </c>
      <c r="T326" s="667">
        <v>-83.33</v>
      </c>
      <c r="U326" s="667">
        <v>5780.81</v>
      </c>
      <c r="V326" s="667">
        <v>-3146.12</v>
      </c>
      <c r="W326" s="667">
        <v>748.6</v>
      </c>
      <c r="X326" s="667">
        <v>-429.56</v>
      </c>
      <c r="Y326" s="667">
        <v>237.62</v>
      </c>
      <c r="Z326" s="667">
        <v>449.15</v>
      </c>
      <c r="AA326" s="667">
        <v>-411.48</v>
      </c>
      <c r="AB326" s="667">
        <v>449.16</v>
      </c>
      <c r="AC326" s="667">
        <v>434.66</v>
      </c>
      <c r="AD326" s="667">
        <v>471.03</v>
      </c>
      <c r="AE326" s="667">
        <v>1382.24</v>
      </c>
      <c r="AF326" s="667">
        <v>2195.21</v>
      </c>
      <c r="AG326" s="667">
        <v>2755.26</v>
      </c>
      <c r="AH326" s="718"/>
      <c r="AI326" s="718"/>
      <c r="AJ326" s="718"/>
      <c r="AK326" s="718"/>
      <c r="AL326" s="718"/>
      <c r="AM326" s="718"/>
      <c r="AN326" s="718"/>
      <c r="AO326" s="718"/>
      <c r="AP326" s="718"/>
      <c r="AQ326" s="718"/>
      <c r="AR326" s="718"/>
      <c r="AS326" s="718"/>
      <c r="AT326" s="718"/>
      <c r="AU326" s="718"/>
      <c r="AV326" s="718"/>
      <c r="AW326" s="718"/>
      <c r="AX326" s="718"/>
      <c r="AY326" s="718"/>
      <c r="AZ326" s="718"/>
      <c r="BA326" s="718"/>
      <c r="BB326" s="718"/>
      <c r="BC326" s="718"/>
      <c r="BD326" s="718"/>
      <c r="BE326" s="718"/>
      <c r="BF326" s="718"/>
      <c r="BG326" s="718"/>
      <c r="BH326" s="718"/>
      <c r="BI326" s="718"/>
      <c r="BJ326" s="718"/>
      <c r="BK326" s="718"/>
      <c r="BL326" s="718"/>
      <c r="BM326" s="718"/>
      <c r="BN326" s="718"/>
      <c r="BO326" s="718"/>
      <c r="BP326" s="718"/>
      <c r="BQ326" s="718"/>
      <c r="BR326" s="718"/>
      <c r="BS326" s="718"/>
      <c r="BT326" s="718"/>
      <c r="BU326" s="718"/>
      <c r="BV326" s="718"/>
      <c r="BW326" s="718"/>
      <c r="BX326" s="718"/>
      <c r="BY326" s="718"/>
      <c r="BZ326" s="718"/>
      <c r="CA326" s="718"/>
    </row>
    <row r="327" spans="1:79" s="451" customFormat="1" hidden="1" outlineLevel="1" x14ac:dyDescent="0.25">
      <c r="A327" s="661"/>
      <c r="B327" s="576"/>
      <c r="C327" s="576"/>
      <c r="D327" s="576"/>
      <c r="E327" s="570" t="s">
        <v>1345</v>
      </c>
      <c r="F327" s="661" t="s">
        <v>904</v>
      </c>
      <c r="G327" s="719"/>
      <c r="H327" s="719"/>
      <c r="I327" s="719"/>
      <c r="J327" s="719"/>
      <c r="K327" s="719"/>
      <c r="L327" s="719"/>
      <c r="M327" s="719"/>
      <c r="N327" s="719"/>
      <c r="O327" s="719"/>
      <c r="P327" s="716"/>
      <c r="Q327" s="716"/>
      <c r="R327" s="716"/>
      <c r="S327" s="667">
        <v>0</v>
      </c>
      <c r="T327" s="667">
        <v>0</v>
      </c>
      <c r="U327" s="667">
        <v>0</v>
      </c>
      <c r="V327" s="667">
        <v>0</v>
      </c>
      <c r="W327" s="667">
        <v>0</v>
      </c>
      <c r="X327" s="667">
        <v>0</v>
      </c>
      <c r="Y327" s="667">
        <v>0</v>
      </c>
      <c r="Z327" s="667">
        <v>0</v>
      </c>
      <c r="AA327" s="667">
        <v>0</v>
      </c>
      <c r="AB327" s="667">
        <v>0</v>
      </c>
      <c r="AC327" s="667">
        <v>0</v>
      </c>
      <c r="AD327" s="667">
        <v>0</v>
      </c>
      <c r="AE327" s="667">
        <v>0</v>
      </c>
      <c r="AF327" s="667">
        <v>0</v>
      </c>
      <c r="AG327" s="667">
        <v>0</v>
      </c>
      <c r="AH327" s="718"/>
      <c r="AI327" s="718"/>
      <c r="AJ327" s="718"/>
      <c r="AK327" s="718"/>
      <c r="AL327" s="718"/>
      <c r="AM327" s="718"/>
      <c r="AN327" s="718"/>
      <c r="AO327" s="718"/>
      <c r="AP327" s="718"/>
      <c r="AQ327" s="718"/>
      <c r="AR327" s="718"/>
      <c r="AS327" s="718"/>
      <c r="AT327" s="718"/>
      <c r="AU327" s="718"/>
      <c r="AV327" s="718"/>
      <c r="AW327" s="718"/>
      <c r="AX327" s="718"/>
      <c r="AY327" s="718"/>
      <c r="AZ327" s="718"/>
      <c r="BA327" s="718"/>
      <c r="BB327" s="718"/>
      <c r="BC327" s="718"/>
      <c r="BD327" s="718"/>
      <c r="BE327" s="718"/>
      <c r="BF327" s="718"/>
      <c r="BG327" s="718"/>
      <c r="BH327" s="718"/>
      <c r="BI327" s="718"/>
      <c r="BJ327" s="718"/>
      <c r="BK327" s="718"/>
      <c r="BL327" s="718"/>
      <c r="BM327" s="718"/>
      <c r="BN327" s="718"/>
      <c r="BO327" s="718"/>
      <c r="BP327" s="718"/>
      <c r="BQ327" s="718"/>
      <c r="BR327" s="718"/>
      <c r="BS327" s="718"/>
      <c r="BT327" s="718"/>
      <c r="BU327" s="718"/>
      <c r="BV327" s="718"/>
      <c r="BW327" s="718"/>
      <c r="BX327" s="718"/>
      <c r="BY327" s="718"/>
      <c r="BZ327" s="718"/>
      <c r="CA327" s="718"/>
    </row>
    <row r="328" spans="1:79" s="451" customFormat="1" hidden="1" outlineLevel="1" x14ac:dyDescent="0.25">
      <c r="A328" s="661"/>
      <c r="B328" s="576"/>
      <c r="C328" s="576"/>
      <c r="D328" s="576"/>
      <c r="E328" s="570" t="s">
        <v>1345</v>
      </c>
      <c r="F328" s="661" t="s">
        <v>677</v>
      </c>
      <c r="G328" s="719">
        <v>26313.599999999999</v>
      </c>
      <c r="H328" s="719">
        <v>24678.98</v>
      </c>
      <c r="I328" s="719">
        <v>27275.13</v>
      </c>
      <c r="J328" s="719">
        <v>28140.52</v>
      </c>
      <c r="K328" s="719">
        <v>30289.14</v>
      </c>
      <c r="L328" s="719">
        <v>30728.649999999998</v>
      </c>
      <c r="M328" s="719">
        <v>19839.739999999998</v>
      </c>
      <c r="N328" s="719">
        <v>25167.899999999998</v>
      </c>
      <c r="O328" s="719">
        <v>20132</v>
      </c>
      <c r="P328" s="716">
        <v>19993.580000000002</v>
      </c>
      <c r="Q328" s="716">
        <v>27636.63</v>
      </c>
      <c r="R328" s="716">
        <v>29151.08</v>
      </c>
      <c r="S328" s="667">
        <v>0</v>
      </c>
      <c r="T328" s="667">
        <v>0</v>
      </c>
      <c r="U328" s="667">
        <v>0</v>
      </c>
      <c r="V328" s="667">
        <v>0</v>
      </c>
      <c r="W328" s="667">
        <v>0</v>
      </c>
      <c r="X328" s="667">
        <v>0</v>
      </c>
      <c r="Y328" s="667">
        <v>0</v>
      </c>
      <c r="Z328" s="667">
        <v>0</v>
      </c>
      <c r="AA328" s="667">
        <v>0</v>
      </c>
      <c r="AB328" s="667">
        <v>0</v>
      </c>
      <c r="AC328" s="667">
        <v>0</v>
      </c>
      <c r="AD328" s="667">
        <v>0</v>
      </c>
      <c r="AE328" s="667">
        <v>0</v>
      </c>
      <c r="AF328" s="667">
        <v>0</v>
      </c>
      <c r="AG328" s="667">
        <v>0</v>
      </c>
      <c r="AH328" s="718"/>
      <c r="AI328" s="718"/>
      <c r="AJ328" s="718"/>
      <c r="AK328" s="718"/>
      <c r="AL328" s="718"/>
      <c r="AM328" s="718"/>
      <c r="AN328" s="718"/>
      <c r="AO328" s="718"/>
      <c r="AP328" s="718"/>
      <c r="AQ328" s="718"/>
      <c r="AR328" s="718"/>
      <c r="AS328" s="718"/>
      <c r="AT328" s="718"/>
      <c r="AU328" s="718"/>
      <c r="AV328" s="718"/>
      <c r="AW328" s="718"/>
      <c r="AX328" s="718"/>
      <c r="AY328" s="718"/>
      <c r="AZ328" s="718"/>
      <c r="BA328" s="718"/>
      <c r="BB328" s="718"/>
      <c r="BC328" s="718"/>
      <c r="BD328" s="718"/>
      <c r="BE328" s="718"/>
      <c r="BF328" s="718"/>
      <c r="BG328" s="718"/>
      <c r="BH328" s="718"/>
      <c r="BI328" s="718"/>
      <c r="BJ328" s="718"/>
      <c r="BK328" s="718"/>
      <c r="BL328" s="718"/>
      <c r="BM328" s="718"/>
      <c r="BN328" s="718"/>
      <c r="BO328" s="718"/>
      <c r="BP328" s="718"/>
      <c r="BQ328" s="718"/>
      <c r="BR328" s="718"/>
      <c r="BS328" s="718"/>
      <c r="BT328" s="718"/>
      <c r="BU328" s="718"/>
      <c r="BV328" s="718"/>
      <c r="BW328" s="718"/>
      <c r="BX328" s="718"/>
      <c r="BY328" s="718"/>
      <c r="BZ328" s="718"/>
      <c r="CA328" s="718"/>
    </row>
    <row r="329" spans="1:79" s="451" customFormat="1" hidden="1" outlineLevel="1" x14ac:dyDescent="0.25">
      <c r="A329" s="657"/>
      <c r="B329" s="79"/>
      <c r="C329" s="79"/>
      <c r="D329" s="79"/>
      <c r="E329" s="570" t="s">
        <v>49</v>
      </c>
      <c r="F329" s="657" t="s">
        <v>638</v>
      </c>
      <c r="G329" s="680">
        <f>SUM(G321:G328)</f>
        <v>26313.599999999999</v>
      </c>
      <c r="H329" s="680">
        <f t="shared" ref="H329:BO329" si="103">SUM(H321:H328)</f>
        <v>24678.98</v>
      </c>
      <c r="I329" s="680">
        <f t="shared" si="103"/>
        <v>27275.13</v>
      </c>
      <c r="J329" s="680">
        <f t="shared" si="103"/>
        <v>28140.52</v>
      </c>
      <c r="K329" s="680">
        <f t="shared" si="103"/>
        <v>30289.14</v>
      </c>
      <c r="L329" s="680">
        <f t="shared" si="103"/>
        <v>30728.649999999998</v>
      </c>
      <c r="M329" s="680">
        <f t="shared" si="103"/>
        <v>19839.739999999998</v>
      </c>
      <c r="N329" s="680">
        <f t="shared" si="103"/>
        <v>25167.899999999998</v>
      </c>
      <c r="O329" s="680">
        <f t="shared" si="103"/>
        <v>20132</v>
      </c>
      <c r="P329" s="680">
        <f t="shared" si="103"/>
        <v>19993.580000000002</v>
      </c>
      <c r="Q329" s="680">
        <f t="shared" si="103"/>
        <v>27636.63</v>
      </c>
      <c r="R329" s="680">
        <f t="shared" si="103"/>
        <v>29151.08</v>
      </c>
      <c r="S329" s="679">
        <f t="shared" ref="S329:AA329" si="104">ROUND(SUM(S320:S328),5)</f>
        <v>24427.91</v>
      </c>
      <c r="T329" s="679">
        <f t="shared" si="104"/>
        <v>12685.09</v>
      </c>
      <c r="U329" s="679">
        <f t="shared" si="104"/>
        <v>23881.29</v>
      </c>
      <c r="V329" s="679">
        <f t="shared" si="104"/>
        <v>6678.22</v>
      </c>
      <c r="W329" s="679">
        <f t="shared" si="104"/>
        <v>19892.02</v>
      </c>
      <c r="X329" s="679">
        <f t="shared" si="104"/>
        <v>19454.240000000002</v>
      </c>
      <c r="Y329" s="679">
        <f t="shared" si="104"/>
        <v>23219.78</v>
      </c>
      <c r="Z329" s="679">
        <f t="shared" si="104"/>
        <v>23153.96</v>
      </c>
      <c r="AA329" s="679">
        <f t="shared" si="104"/>
        <v>21664.799999999999</v>
      </c>
      <c r="AB329" s="679">
        <f>ROUND(SUM(AB320:AB328),5)</f>
        <v>29182.45</v>
      </c>
      <c r="AC329" s="679">
        <f>ROUND(SUM(AC320:AC328),5)</f>
        <v>26674.240000000002</v>
      </c>
      <c r="AD329" s="679">
        <f>ROUND(SUM(AD320:AD328),5)</f>
        <v>17893.349999999999</v>
      </c>
      <c r="AE329" s="679">
        <v>71965.25</v>
      </c>
      <c r="AF329" s="679">
        <v>67768.61</v>
      </c>
      <c r="AG329" s="679">
        <f>ROUND(SUM(AG320:AG328),5)</f>
        <v>71011.350000000006</v>
      </c>
      <c r="AH329" s="680">
        <f t="shared" si="103"/>
        <v>0</v>
      </c>
      <c r="AI329" s="680">
        <f t="shared" si="103"/>
        <v>0</v>
      </c>
      <c r="AJ329" s="680">
        <f t="shared" si="103"/>
        <v>0</v>
      </c>
      <c r="AK329" s="680">
        <f t="shared" si="103"/>
        <v>0</v>
      </c>
      <c r="AL329" s="680">
        <f t="shared" si="103"/>
        <v>0</v>
      </c>
      <c r="AM329" s="680">
        <f t="shared" si="103"/>
        <v>0</v>
      </c>
      <c r="AN329" s="680">
        <f t="shared" si="103"/>
        <v>0</v>
      </c>
      <c r="AO329" s="680">
        <f t="shared" si="103"/>
        <v>0</v>
      </c>
      <c r="AP329" s="680">
        <f t="shared" si="103"/>
        <v>0</v>
      </c>
      <c r="AQ329" s="680">
        <f t="shared" si="103"/>
        <v>0</v>
      </c>
      <c r="AR329" s="680">
        <f t="shared" si="103"/>
        <v>0</v>
      </c>
      <c r="AS329" s="680">
        <f t="shared" si="103"/>
        <v>0</v>
      </c>
      <c r="AT329" s="680">
        <f t="shared" si="103"/>
        <v>0</v>
      </c>
      <c r="AU329" s="680">
        <f t="shared" si="103"/>
        <v>0</v>
      </c>
      <c r="AV329" s="680">
        <f t="shared" si="103"/>
        <v>0</v>
      </c>
      <c r="AW329" s="680">
        <f t="shared" si="103"/>
        <v>0</v>
      </c>
      <c r="AX329" s="680">
        <f t="shared" si="103"/>
        <v>0</v>
      </c>
      <c r="AY329" s="680">
        <f t="shared" si="103"/>
        <v>0</v>
      </c>
      <c r="AZ329" s="680">
        <f t="shared" si="103"/>
        <v>0</v>
      </c>
      <c r="BA329" s="680">
        <f t="shared" si="103"/>
        <v>0</v>
      </c>
      <c r="BB329" s="680">
        <f t="shared" si="103"/>
        <v>0</v>
      </c>
      <c r="BC329" s="680">
        <f t="shared" si="103"/>
        <v>0</v>
      </c>
      <c r="BD329" s="680">
        <f t="shared" si="103"/>
        <v>0</v>
      </c>
      <c r="BE329" s="680">
        <f t="shared" si="103"/>
        <v>0</v>
      </c>
      <c r="BF329" s="680">
        <f t="shared" si="103"/>
        <v>0</v>
      </c>
      <c r="BG329" s="680">
        <f t="shared" si="103"/>
        <v>0</v>
      </c>
      <c r="BH329" s="680">
        <f t="shared" si="103"/>
        <v>0</v>
      </c>
      <c r="BI329" s="680">
        <f t="shared" si="103"/>
        <v>0</v>
      </c>
      <c r="BJ329" s="680">
        <f t="shared" si="103"/>
        <v>0</v>
      </c>
      <c r="BK329" s="680">
        <f t="shared" si="103"/>
        <v>0</v>
      </c>
      <c r="BL329" s="680">
        <f t="shared" si="103"/>
        <v>0</v>
      </c>
      <c r="BM329" s="680">
        <f t="shared" si="103"/>
        <v>0</v>
      </c>
      <c r="BN329" s="680">
        <f t="shared" si="103"/>
        <v>0</v>
      </c>
      <c r="BO329" s="680">
        <f t="shared" si="103"/>
        <v>0</v>
      </c>
      <c r="BP329" s="680">
        <f t="shared" ref="BP329:CA329" si="105">SUM(BP321:BP328)</f>
        <v>0</v>
      </c>
      <c r="BQ329" s="680">
        <f t="shared" si="105"/>
        <v>0</v>
      </c>
      <c r="BR329" s="680">
        <f t="shared" si="105"/>
        <v>0</v>
      </c>
      <c r="BS329" s="680">
        <f t="shared" si="105"/>
        <v>0</v>
      </c>
      <c r="BT329" s="680">
        <f t="shared" si="105"/>
        <v>0</v>
      </c>
      <c r="BU329" s="680">
        <f t="shared" si="105"/>
        <v>0</v>
      </c>
      <c r="BV329" s="680">
        <f t="shared" si="105"/>
        <v>0</v>
      </c>
      <c r="BW329" s="680">
        <f t="shared" si="105"/>
        <v>0</v>
      </c>
      <c r="BX329" s="680">
        <f t="shared" si="105"/>
        <v>0</v>
      </c>
      <c r="BY329" s="680">
        <f t="shared" si="105"/>
        <v>0</v>
      </c>
      <c r="BZ329" s="680">
        <f t="shared" si="105"/>
        <v>0</v>
      </c>
      <c r="CA329" s="680">
        <f t="shared" si="105"/>
        <v>0</v>
      </c>
    </row>
    <row r="330" spans="1:79" s="451" customFormat="1" hidden="1" outlineLevel="1" x14ac:dyDescent="0.25">
      <c r="A330" s="656"/>
      <c r="B330" s="79"/>
      <c r="C330" s="79"/>
      <c r="D330" s="79"/>
      <c r="E330" s="570" t="s">
        <v>1345</v>
      </c>
      <c r="F330" s="656" t="s">
        <v>639</v>
      </c>
      <c r="G330" s="719"/>
      <c r="H330" s="719"/>
      <c r="I330" s="719"/>
      <c r="J330" s="719"/>
      <c r="K330" s="719"/>
      <c r="L330" s="719"/>
      <c r="M330" s="719"/>
      <c r="N330" s="719"/>
      <c r="O330" s="719"/>
      <c r="P330" s="716"/>
      <c r="Q330" s="716"/>
      <c r="R330" s="716"/>
      <c r="S330" s="671">
        <v>22.25</v>
      </c>
      <c r="T330" s="671">
        <v>4.54</v>
      </c>
      <c r="U330" s="671">
        <v>0</v>
      </c>
      <c r="V330" s="671">
        <v>0</v>
      </c>
      <c r="W330" s="671">
        <v>0</v>
      </c>
      <c r="X330" s="671">
        <v>0</v>
      </c>
      <c r="Y330" s="671">
        <v>0</v>
      </c>
      <c r="Z330" s="671">
        <v>0</v>
      </c>
      <c r="AA330" s="671">
        <v>0</v>
      </c>
      <c r="AB330" s="671">
        <v>0</v>
      </c>
      <c r="AC330" s="671">
        <v>0</v>
      </c>
      <c r="AD330" s="671">
        <v>0</v>
      </c>
      <c r="AE330" s="671">
        <v>0</v>
      </c>
      <c r="AF330" s="671">
        <v>0</v>
      </c>
      <c r="AG330" s="671">
        <v>0</v>
      </c>
      <c r="AH330" s="718"/>
      <c r="AI330" s="718"/>
      <c r="AJ330" s="718"/>
      <c r="AK330" s="718"/>
      <c r="AL330" s="718"/>
      <c r="AM330" s="718"/>
      <c r="AN330" s="718"/>
      <c r="AO330" s="718"/>
      <c r="AP330" s="718"/>
      <c r="AQ330" s="718"/>
      <c r="AR330" s="718"/>
      <c r="AS330" s="718"/>
      <c r="AT330" s="718"/>
      <c r="AU330" s="718"/>
      <c r="AV330" s="718"/>
      <c r="AW330" s="718"/>
      <c r="AX330" s="718"/>
      <c r="AY330" s="718"/>
      <c r="AZ330" s="718"/>
      <c r="BA330" s="718"/>
      <c r="BB330" s="718"/>
      <c r="BC330" s="718"/>
      <c r="BD330" s="718"/>
      <c r="BE330" s="718"/>
      <c r="BF330" s="718"/>
      <c r="BG330" s="718"/>
      <c r="BH330" s="718"/>
      <c r="BI330" s="718"/>
      <c r="BJ330" s="718"/>
      <c r="BK330" s="718"/>
      <c r="BL330" s="718"/>
      <c r="BM330" s="718"/>
      <c r="BN330" s="718"/>
      <c r="BO330" s="718"/>
      <c r="BP330" s="718"/>
      <c r="BQ330" s="718"/>
      <c r="BR330" s="718"/>
      <c r="BS330" s="718"/>
      <c r="BT330" s="718"/>
      <c r="BU330" s="718"/>
      <c r="BV330" s="718"/>
      <c r="BW330" s="718"/>
      <c r="BX330" s="718"/>
      <c r="BY330" s="718"/>
      <c r="BZ330" s="718"/>
      <c r="CA330" s="718"/>
    </row>
    <row r="331" spans="1:79" s="308" customFormat="1" hidden="1" outlineLevel="1" x14ac:dyDescent="0.25">
      <c r="A331" s="659"/>
      <c r="B331" s="29"/>
      <c r="C331" s="29"/>
      <c r="D331" s="29"/>
      <c r="E331" s="570" t="s">
        <v>49</v>
      </c>
      <c r="F331" s="659" t="s">
        <v>640</v>
      </c>
      <c r="G331" s="732">
        <f>G329+G319</f>
        <v>29131.994595408367</v>
      </c>
      <c r="H331" s="732">
        <f t="shared" ref="H331:BO331" si="106">H329+H319</f>
        <v>26554.74573340427</v>
      </c>
      <c r="I331" s="732">
        <f t="shared" si="106"/>
        <v>29208.480490878996</v>
      </c>
      <c r="J331" s="732">
        <f t="shared" si="106"/>
        <v>30106.313963001703</v>
      </c>
      <c r="K331" s="732">
        <f t="shared" si="106"/>
        <v>32192.463478002192</v>
      </c>
      <c r="L331" s="732">
        <f t="shared" si="106"/>
        <v>32597.474533091296</v>
      </c>
      <c r="M331" s="732">
        <f t="shared" si="106"/>
        <v>20875.678505895739</v>
      </c>
      <c r="N331" s="732">
        <f t="shared" si="106"/>
        <v>26613.62365656266</v>
      </c>
      <c r="O331" s="732">
        <f t="shared" si="106"/>
        <v>21193.009805431531</v>
      </c>
      <c r="P331" s="732">
        <f t="shared" si="106"/>
        <v>21044.053082243863</v>
      </c>
      <c r="Q331" s="732">
        <f t="shared" si="106"/>
        <v>29239.730087666318</v>
      </c>
      <c r="R331" s="732">
        <f t="shared" si="106"/>
        <v>30805.010394118137</v>
      </c>
      <c r="S331" s="679">
        <f t="shared" ref="S331:AB331" si="107">ROUND(S299+S309+S319+SUM(S329:S330),5)</f>
        <v>27226.26</v>
      </c>
      <c r="T331" s="679">
        <f t="shared" si="107"/>
        <v>14114.16</v>
      </c>
      <c r="U331" s="679">
        <f t="shared" si="107"/>
        <v>25594.22</v>
      </c>
      <c r="V331" s="679">
        <f t="shared" si="107"/>
        <v>7484.78</v>
      </c>
      <c r="W331" s="679">
        <f t="shared" si="107"/>
        <v>21618.98</v>
      </c>
      <c r="X331" s="679">
        <f t="shared" si="107"/>
        <v>20943.14</v>
      </c>
      <c r="Y331" s="679">
        <f t="shared" si="107"/>
        <v>24876.73</v>
      </c>
      <c r="Z331" s="679">
        <f t="shared" si="107"/>
        <v>24858.97</v>
      </c>
      <c r="AA331" s="679">
        <f t="shared" si="107"/>
        <v>23413.54</v>
      </c>
      <c r="AB331" s="679">
        <f t="shared" si="107"/>
        <v>31562.66</v>
      </c>
      <c r="AC331" s="679">
        <f>ROUND(AC299+AC309+AC319+SUM(AC329:AC330),5)</f>
        <v>28009.360000000001</v>
      </c>
      <c r="AD331" s="679">
        <f>ROUND(AD299+AD309+AD319+SUM(AD329:AD330),5)</f>
        <v>21249.72</v>
      </c>
      <c r="AE331" s="679">
        <v>78549.27</v>
      </c>
      <c r="AF331" s="679">
        <v>75367.64</v>
      </c>
      <c r="AG331" s="679">
        <f>ROUND(AG299+AG309+AG319+SUM(AG329:AG330),5)</f>
        <v>81050.95</v>
      </c>
      <c r="AH331" s="732">
        <f t="shared" si="106"/>
        <v>0</v>
      </c>
      <c r="AI331" s="732">
        <f t="shared" si="106"/>
        <v>0</v>
      </c>
      <c r="AJ331" s="732">
        <f t="shared" si="106"/>
        <v>0</v>
      </c>
      <c r="AK331" s="732">
        <f t="shared" si="106"/>
        <v>0</v>
      </c>
      <c r="AL331" s="732">
        <f t="shared" si="106"/>
        <v>0</v>
      </c>
      <c r="AM331" s="732">
        <f t="shared" si="106"/>
        <v>0</v>
      </c>
      <c r="AN331" s="732">
        <f t="shared" si="106"/>
        <v>0</v>
      </c>
      <c r="AO331" s="732">
        <f t="shared" si="106"/>
        <v>0</v>
      </c>
      <c r="AP331" s="732">
        <f t="shared" si="106"/>
        <v>0</v>
      </c>
      <c r="AQ331" s="732">
        <f t="shared" si="106"/>
        <v>0</v>
      </c>
      <c r="AR331" s="732">
        <f t="shared" si="106"/>
        <v>0</v>
      </c>
      <c r="AS331" s="732">
        <f t="shared" si="106"/>
        <v>0</v>
      </c>
      <c r="AT331" s="732">
        <f t="shared" si="106"/>
        <v>0</v>
      </c>
      <c r="AU331" s="732">
        <f t="shared" si="106"/>
        <v>0</v>
      </c>
      <c r="AV331" s="732">
        <f t="shared" si="106"/>
        <v>0</v>
      </c>
      <c r="AW331" s="732">
        <f t="shared" si="106"/>
        <v>0</v>
      </c>
      <c r="AX331" s="732">
        <f t="shared" si="106"/>
        <v>0</v>
      </c>
      <c r="AY331" s="732">
        <f t="shared" si="106"/>
        <v>0</v>
      </c>
      <c r="AZ331" s="732">
        <f t="shared" si="106"/>
        <v>0</v>
      </c>
      <c r="BA331" s="732">
        <f t="shared" si="106"/>
        <v>0</v>
      </c>
      <c r="BB331" s="732">
        <f t="shared" si="106"/>
        <v>0</v>
      </c>
      <c r="BC331" s="732">
        <f t="shared" si="106"/>
        <v>0</v>
      </c>
      <c r="BD331" s="732">
        <f t="shared" si="106"/>
        <v>0</v>
      </c>
      <c r="BE331" s="732">
        <f t="shared" si="106"/>
        <v>0</v>
      </c>
      <c r="BF331" s="732">
        <f t="shared" si="106"/>
        <v>0</v>
      </c>
      <c r="BG331" s="732">
        <f t="shared" si="106"/>
        <v>0</v>
      </c>
      <c r="BH331" s="732">
        <f t="shared" si="106"/>
        <v>0</v>
      </c>
      <c r="BI331" s="732">
        <f t="shared" si="106"/>
        <v>0</v>
      </c>
      <c r="BJ331" s="732">
        <f t="shared" si="106"/>
        <v>0</v>
      </c>
      <c r="BK331" s="732">
        <f t="shared" si="106"/>
        <v>0</v>
      </c>
      <c r="BL331" s="732">
        <f t="shared" si="106"/>
        <v>0</v>
      </c>
      <c r="BM331" s="732">
        <f t="shared" si="106"/>
        <v>0</v>
      </c>
      <c r="BN331" s="732">
        <f t="shared" si="106"/>
        <v>0</v>
      </c>
      <c r="BO331" s="732">
        <f t="shared" si="106"/>
        <v>0</v>
      </c>
      <c r="BP331" s="732">
        <f t="shared" ref="BP331:CA331" si="108">BP329+BP319</f>
        <v>0</v>
      </c>
      <c r="BQ331" s="732">
        <f t="shared" si="108"/>
        <v>0</v>
      </c>
      <c r="BR331" s="732">
        <f t="shared" si="108"/>
        <v>0</v>
      </c>
      <c r="BS331" s="732">
        <f t="shared" si="108"/>
        <v>0</v>
      </c>
      <c r="BT331" s="732">
        <f t="shared" si="108"/>
        <v>0</v>
      </c>
      <c r="BU331" s="732">
        <f t="shared" si="108"/>
        <v>0</v>
      </c>
      <c r="BV331" s="732">
        <f t="shared" si="108"/>
        <v>0</v>
      </c>
      <c r="BW331" s="732">
        <f t="shared" si="108"/>
        <v>0</v>
      </c>
      <c r="BX331" s="732">
        <f t="shared" si="108"/>
        <v>0</v>
      </c>
      <c r="BY331" s="732">
        <f t="shared" si="108"/>
        <v>0</v>
      </c>
      <c r="BZ331" s="732">
        <f t="shared" si="108"/>
        <v>0</v>
      </c>
      <c r="CA331" s="732">
        <f t="shared" si="108"/>
        <v>0</v>
      </c>
    </row>
    <row r="332" spans="1:79" s="308" customFormat="1" hidden="1" outlineLevel="1" x14ac:dyDescent="0.25">
      <c r="A332" s="655"/>
      <c r="B332" s="571"/>
      <c r="C332" s="571"/>
      <c r="D332" s="571"/>
      <c r="E332" s="570" t="s">
        <v>918</v>
      </c>
      <c r="F332" s="655" t="s">
        <v>905</v>
      </c>
      <c r="G332" s="719"/>
      <c r="H332" s="719"/>
      <c r="I332" s="719"/>
      <c r="J332" s="719"/>
      <c r="K332" s="719"/>
      <c r="L332" s="719"/>
      <c r="M332" s="719"/>
      <c r="N332" s="719"/>
      <c r="O332" s="719"/>
      <c r="P332" s="716"/>
      <c r="Q332" s="716"/>
      <c r="R332" s="716"/>
      <c r="S332" s="684">
        <v>0</v>
      </c>
      <c r="T332" s="684">
        <v>0</v>
      </c>
      <c r="U332" s="684">
        <v>0</v>
      </c>
      <c r="V332" s="684">
        <v>0</v>
      </c>
      <c r="W332" s="684">
        <v>0</v>
      </c>
      <c r="X332" s="684">
        <v>0</v>
      </c>
      <c r="Y332" s="684">
        <v>0</v>
      </c>
      <c r="Z332" s="684">
        <v>0</v>
      </c>
      <c r="AA332" s="684">
        <v>0</v>
      </c>
      <c r="AB332" s="684">
        <v>0</v>
      </c>
      <c r="AC332" s="684">
        <v>0</v>
      </c>
      <c r="AD332" s="684">
        <v>0</v>
      </c>
      <c r="AE332" s="684">
        <v>0</v>
      </c>
      <c r="AF332" s="684">
        <v>0</v>
      </c>
      <c r="AG332" s="684">
        <v>0</v>
      </c>
      <c r="AH332" s="718"/>
      <c r="AI332" s="718"/>
      <c r="AJ332" s="718"/>
      <c r="AK332" s="718"/>
      <c r="AL332" s="718"/>
      <c r="AM332" s="718"/>
      <c r="AN332" s="718"/>
      <c r="AO332" s="718"/>
      <c r="AP332" s="718"/>
      <c r="AQ332" s="718"/>
      <c r="AR332" s="718"/>
      <c r="AS332" s="718"/>
      <c r="AT332" s="718"/>
      <c r="AU332" s="718"/>
      <c r="AV332" s="718"/>
      <c r="AW332" s="718"/>
      <c r="AX332" s="718"/>
      <c r="AY332" s="718"/>
      <c r="AZ332" s="718"/>
      <c r="BA332" s="718"/>
      <c r="BB332" s="718"/>
      <c r="BC332" s="718"/>
      <c r="BD332" s="718"/>
      <c r="BE332" s="718"/>
      <c r="BF332" s="718"/>
      <c r="BG332" s="718"/>
      <c r="BH332" s="718"/>
      <c r="BI332" s="718"/>
      <c r="BJ332" s="718"/>
      <c r="BK332" s="718"/>
      <c r="BL332" s="718"/>
      <c r="BM332" s="718"/>
      <c r="BN332" s="718"/>
      <c r="BO332" s="718"/>
      <c r="BP332" s="718"/>
      <c r="BQ332" s="718"/>
      <c r="BR332" s="718"/>
      <c r="BS332" s="718"/>
      <c r="BT332" s="718"/>
      <c r="BU332" s="718"/>
      <c r="BV332" s="718"/>
      <c r="BW332" s="718"/>
      <c r="BX332" s="718"/>
      <c r="BY332" s="718"/>
      <c r="BZ332" s="718"/>
      <c r="CA332" s="718"/>
    </row>
    <row r="333" spans="1:79" s="451" customFormat="1" hidden="1" outlineLevel="1" x14ac:dyDescent="0.25">
      <c r="A333" s="701"/>
      <c r="B333" s="737"/>
      <c r="C333" s="737"/>
      <c r="D333" s="737"/>
      <c r="E333" s="570" t="s">
        <v>1327</v>
      </c>
      <c r="F333" s="701" t="s">
        <v>602</v>
      </c>
      <c r="G333" s="733">
        <v>0</v>
      </c>
      <c r="H333" s="733"/>
      <c r="I333" s="733"/>
      <c r="J333" s="733"/>
      <c r="K333" s="733"/>
      <c r="L333" s="733"/>
      <c r="M333" s="733"/>
      <c r="N333" s="733"/>
      <c r="O333" s="733"/>
      <c r="P333" s="734"/>
      <c r="Q333" s="734"/>
      <c r="R333" s="734"/>
      <c r="S333" s="697"/>
      <c r="T333" s="697"/>
      <c r="U333" s="697"/>
      <c r="V333" s="697"/>
      <c r="W333" s="697"/>
      <c r="X333" s="697"/>
      <c r="Y333" s="697"/>
      <c r="Z333" s="697"/>
      <c r="AA333" s="697"/>
      <c r="AB333" s="697"/>
      <c r="AC333" s="697"/>
      <c r="AD333" s="697"/>
      <c r="AE333" s="697"/>
      <c r="AF333" s="697"/>
      <c r="AG333" s="697"/>
      <c r="AH333" s="736"/>
      <c r="AI333" s="736"/>
      <c r="AJ333" s="736"/>
      <c r="AK333" s="736"/>
      <c r="AL333" s="736"/>
      <c r="AM333" s="736"/>
      <c r="AN333" s="736"/>
      <c r="AO333" s="736"/>
      <c r="AP333" s="736"/>
      <c r="AQ333" s="736"/>
      <c r="AR333" s="736"/>
      <c r="AS333" s="736"/>
      <c r="AT333" s="736"/>
      <c r="AU333" s="736"/>
      <c r="AV333" s="736"/>
      <c r="AW333" s="736"/>
      <c r="AX333" s="736"/>
      <c r="AY333" s="736"/>
      <c r="AZ333" s="736"/>
      <c r="BA333" s="736"/>
      <c r="BB333" s="736"/>
      <c r="BC333" s="736"/>
      <c r="BD333" s="736"/>
      <c r="BE333" s="736"/>
      <c r="BF333" s="736"/>
      <c r="BG333" s="736"/>
      <c r="BH333" s="736"/>
      <c r="BI333" s="736"/>
      <c r="BJ333" s="736"/>
      <c r="BK333" s="736"/>
      <c r="BL333" s="736"/>
      <c r="BM333" s="736"/>
      <c r="BN333" s="736"/>
      <c r="BO333" s="736"/>
      <c r="BP333" s="736"/>
      <c r="BQ333" s="736"/>
      <c r="BR333" s="736"/>
      <c r="BS333" s="736"/>
      <c r="BT333" s="736"/>
      <c r="BU333" s="736"/>
      <c r="BV333" s="736"/>
      <c r="BW333" s="736"/>
      <c r="BX333" s="736"/>
      <c r="BY333" s="736"/>
      <c r="BZ333" s="736"/>
      <c r="CA333" s="736"/>
    </row>
    <row r="334" spans="1:79" s="451" customFormat="1" hidden="1" outlineLevel="1" x14ac:dyDescent="0.25">
      <c r="A334" s="701"/>
      <c r="B334" s="737"/>
      <c r="C334" s="737"/>
      <c r="D334" s="737"/>
      <c r="E334" s="570" t="s">
        <v>945</v>
      </c>
      <c r="F334" s="701"/>
      <c r="G334" s="733"/>
      <c r="H334" s="733"/>
      <c r="I334" s="733"/>
      <c r="J334" s="733"/>
      <c r="K334" s="733"/>
      <c r="L334" s="733"/>
      <c r="M334" s="733"/>
      <c r="N334" s="733"/>
      <c r="O334" s="733"/>
      <c r="P334" s="734"/>
      <c r="Q334" s="734"/>
      <c r="R334" s="734"/>
      <c r="S334" s="697"/>
      <c r="T334" s="697"/>
      <c r="U334" s="697"/>
      <c r="V334" s="697"/>
      <c r="W334" s="697"/>
      <c r="X334" s="697"/>
      <c r="Y334" s="697"/>
      <c r="Z334" s="697"/>
      <c r="AA334" s="697"/>
      <c r="AB334" s="697"/>
      <c r="AC334" s="697"/>
      <c r="AD334" s="697"/>
      <c r="AE334" s="697">
        <v>0</v>
      </c>
      <c r="AF334" s="697">
        <v>0</v>
      </c>
      <c r="AG334" s="697">
        <v>0</v>
      </c>
      <c r="AH334" s="736"/>
      <c r="AI334" s="736"/>
      <c r="AJ334" s="736"/>
      <c r="AK334" s="736"/>
      <c r="AL334" s="736"/>
      <c r="AM334" s="736"/>
      <c r="AN334" s="736"/>
      <c r="AO334" s="736"/>
      <c r="AP334" s="736"/>
      <c r="AQ334" s="736"/>
      <c r="AR334" s="736"/>
      <c r="AS334" s="736"/>
      <c r="AT334" s="736"/>
      <c r="AU334" s="736"/>
      <c r="AV334" s="736"/>
      <c r="AW334" s="736"/>
      <c r="AX334" s="736"/>
      <c r="AY334" s="736"/>
      <c r="AZ334" s="736"/>
      <c r="BA334" s="736"/>
      <c r="BB334" s="736"/>
      <c r="BC334" s="736"/>
      <c r="BD334" s="736"/>
      <c r="BE334" s="736"/>
      <c r="BF334" s="736"/>
      <c r="BG334" s="736"/>
      <c r="BH334" s="736"/>
      <c r="BI334" s="736"/>
      <c r="BJ334" s="736"/>
      <c r="BK334" s="736"/>
      <c r="BL334" s="736"/>
      <c r="BM334" s="736"/>
      <c r="BN334" s="736"/>
      <c r="BO334" s="736"/>
      <c r="BP334" s="736"/>
      <c r="BQ334" s="736"/>
      <c r="BR334" s="736"/>
      <c r="BS334" s="736"/>
      <c r="BT334" s="736"/>
      <c r="BU334" s="736"/>
      <c r="BV334" s="736"/>
      <c r="BW334" s="736"/>
      <c r="BX334" s="736"/>
      <c r="BY334" s="736"/>
      <c r="BZ334" s="736"/>
      <c r="CA334" s="736"/>
    </row>
    <row r="335" spans="1:79" s="451" customFormat="1" hidden="1" outlineLevel="1" x14ac:dyDescent="0.25">
      <c r="A335" s="656"/>
      <c r="B335" s="576"/>
      <c r="C335" s="576"/>
      <c r="D335" s="576"/>
      <c r="E335" s="570" t="s">
        <v>657</v>
      </c>
      <c r="F335" s="656" t="s">
        <v>641</v>
      </c>
      <c r="G335" s="719">
        <v>569.21875486742715</v>
      </c>
      <c r="H335" s="719">
        <v>299.6894541829131</v>
      </c>
      <c r="I335" s="719">
        <v>472.8667949986343</v>
      </c>
      <c r="J335" s="719">
        <v>206.21374853113554</v>
      </c>
      <c r="K335" s="719">
        <v>593.54894386408841</v>
      </c>
      <c r="L335" s="719">
        <v>456.84660060905867</v>
      </c>
      <c r="M335" s="719">
        <v>290.68688832351592</v>
      </c>
      <c r="N335" s="719">
        <v>424.07751869362011</v>
      </c>
      <c r="O335" s="719">
        <v>510.23701956196021</v>
      </c>
      <c r="P335" s="716">
        <v>269.1046602335631</v>
      </c>
      <c r="Q335" s="716">
        <v>356.694359158559</v>
      </c>
      <c r="R335" s="716">
        <v>1752.1407355535234</v>
      </c>
      <c r="S335" s="667">
        <v>2212.89</v>
      </c>
      <c r="T335" s="667">
        <v>1758.79</v>
      </c>
      <c r="U335" s="667">
        <v>1433.02</v>
      </c>
      <c r="V335" s="667">
        <v>1432.09</v>
      </c>
      <c r="W335" s="667">
        <v>1279.27</v>
      </c>
      <c r="X335" s="667">
        <v>428.69</v>
      </c>
      <c r="Y335" s="667">
        <v>1030.73</v>
      </c>
      <c r="Z335" s="667">
        <v>1086.21</v>
      </c>
      <c r="AA335" s="667">
        <v>1095.47</v>
      </c>
      <c r="AB335" s="667">
        <v>1105.07</v>
      </c>
      <c r="AC335" s="667">
        <v>0</v>
      </c>
      <c r="AD335" s="667">
        <v>0</v>
      </c>
      <c r="AE335" s="667">
        <v>0</v>
      </c>
      <c r="AF335" s="667">
        <v>0</v>
      </c>
      <c r="AG335" s="667">
        <v>0</v>
      </c>
      <c r="AH335" s="718"/>
      <c r="AI335" s="718"/>
      <c r="AJ335" s="718"/>
      <c r="AK335" s="718"/>
      <c r="AL335" s="718"/>
      <c r="AM335" s="718"/>
      <c r="AN335" s="718"/>
      <c r="AO335" s="718"/>
      <c r="AP335" s="718"/>
      <c r="AQ335" s="718"/>
      <c r="AR335" s="718"/>
      <c r="AS335" s="718"/>
      <c r="AT335" s="718"/>
      <c r="AU335" s="718"/>
      <c r="AV335" s="718"/>
      <c r="AW335" s="718"/>
      <c r="AX335" s="718"/>
      <c r="AY335" s="718"/>
      <c r="AZ335" s="718"/>
      <c r="BA335" s="718"/>
      <c r="BB335" s="718"/>
      <c r="BC335" s="718"/>
      <c r="BD335" s="718"/>
      <c r="BE335" s="718"/>
      <c r="BF335" s="718"/>
      <c r="BG335" s="718"/>
      <c r="BH335" s="718"/>
      <c r="BI335" s="718"/>
      <c r="BJ335" s="718"/>
      <c r="BK335" s="718"/>
      <c r="BL335" s="718"/>
      <c r="BM335" s="718"/>
      <c r="BN335" s="718"/>
      <c r="BO335" s="718"/>
      <c r="BP335" s="718"/>
      <c r="BQ335" s="718"/>
      <c r="BR335" s="718"/>
      <c r="BS335" s="718"/>
      <c r="BT335" s="718"/>
      <c r="BU335" s="718"/>
      <c r="BV335" s="718"/>
      <c r="BW335" s="718"/>
      <c r="BX335" s="718"/>
      <c r="BY335" s="718"/>
      <c r="BZ335" s="718"/>
      <c r="CA335" s="718"/>
    </row>
    <row r="336" spans="1:79" s="451" customFormat="1" hidden="1" outlineLevel="1" x14ac:dyDescent="0.25">
      <c r="A336" s="656"/>
      <c r="B336" s="576"/>
      <c r="C336" s="576"/>
      <c r="D336" s="576"/>
      <c r="E336" s="570" t="s">
        <v>1327</v>
      </c>
      <c r="F336" s="656" t="s">
        <v>906</v>
      </c>
      <c r="G336" s="719"/>
      <c r="H336" s="719"/>
      <c r="I336" s="719"/>
      <c r="J336" s="719"/>
      <c r="K336" s="719"/>
      <c r="L336" s="719"/>
      <c r="M336" s="719"/>
      <c r="N336" s="719"/>
      <c r="O336" s="719"/>
      <c r="P336" s="716"/>
      <c r="Q336" s="716"/>
      <c r="R336" s="716"/>
      <c r="S336" s="676">
        <v>0</v>
      </c>
      <c r="T336" s="676">
        <v>0</v>
      </c>
      <c r="U336" s="676">
        <v>0</v>
      </c>
      <c r="V336" s="676">
        <v>0</v>
      </c>
      <c r="W336" s="676">
        <v>0</v>
      </c>
      <c r="X336" s="676">
        <v>0</v>
      </c>
      <c r="Y336" s="676">
        <v>0</v>
      </c>
      <c r="Z336" s="676">
        <v>0</v>
      </c>
      <c r="AA336" s="676">
        <v>0</v>
      </c>
      <c r="AB336" s="676">
        <v>0</v>
      </c>
      <c r="AC336" s="676">
        <v>0</v>
      </c>
      <c r="AD336" s="676">
        <v>0</v>
      </c>
      <c r="AE336" s="676">
        <v>0</v>
      </c>
      <c r="AF336" s="676">
        <v>0</v>
      </c>
      <c r="AG336" s="676">
        <v>0</v>
      </c>
      <c r="AH336" s="718"/>
      <c r="AI336" s="718"/>
      <c r="AJ336" s="718"/>
      <c r="AK336" s="718"/>
      <c r="AL336" s="718"/>
      <c r="AM336" s="718"/>
      <c r="AN336" s="718"/>
      <c r="AO336" s="718"/>
      <c r="AP336" s="718"/>
      <c r="AQ336" s="718"/>
      <c r="AR336" s="718"/>
      <c r="AS336" s="718"/>
      <c r="AT336" s="718"/>
      <c r="AU336" s="718"/>
      <c r="AV336" s="718"/>
      <c r="AW336" s="718"/>
      <c r="AX336" s="718"/>
      <c r="AY336" s="718"/>
      <c r="AZ336" s="718"/>
      <c r="BA336" s="718"/>
      <c r="BB336" s="718"/>
      <c r="BC336" s="718"/>
      <c r="BD336" s="718"/>
      <c r="BE336" s="718"/>
      <c r="BF336" s="718"/>
      <c r="BG336" s="718"/>
      <c r="BH336" s="718"/>
      <c r="BI336" s="718"/>
      <c r="BJ336" s="718"/>
      <c r="BK336" s="718"/>
      <c r="BL336" s="718"/>
      <c r="BM336" s="718"/>
      <c r="BN336" s="718"/>
      <c r="BO336" s="718"/>
      <c r="BP336" s="718"/>
      <c r="BQ336" s="718"/>
      <c r="BR336" s="718"/>
      <c r="BS336" s="718"/>
      <c r="BT336" s="718"/>
      <c r="BU336" s="718"/>
      <c r="BV336" s="718"/>
      <c r="BW336" s="718"/>
      <c r="BX336" s="718"/>
      <c r="BY336" s="718"/>
      <c r="BZ336" s="718"/>
      <c r="CA336" s="718"/>
    </row>
    <row r="337" spans="1:79" s="451" customFormat="1" hidden="1" outlineLevel="1" x14ac:dyDescent="0.25">
      <c r="A337" s="656"/>
      <c r="B337" s="576"/>
      <c r="C337" s="576"/>
      <c r="D337" s="576"/>
      <c r="E337" s="570" t="s">
        <v>1327</v>
      </c>
      <c r="F337" s="656" t="s">
        <v>764</v>
      </c>
      <c r="G337" s="719"/>
      <c r="H337" s="719"/>
      <c r="I337" s="719"/>
      <c r="J337" s="719"/>
      <c r="K337" s="719"/>
      <c r="L337" s="719"/>
      <c r="M337" s="719"/>
      <c r="N337" s="719"/>
      <c r="O337" s="719"/>
      <c r="P337" s="716"/>
      <c r="Q337" s="716"/>
      <c r="R337" s="716"/>
      <c r="S337" s="676">
        <v>0</v>
      </c>
      <c r="T337" s="676">
        <v>0</v>
      </c>
      <c r="U337" s="676">
        <v>0</v>
      </c>
      <c r="V337" s="676">
        <v>0</v>
      </c>
      <c r="W337" s="676">
        <v>30</v>
      </c>
      <c r="X337" s="676">
        <v>20</v>
      </c>
      <c r="Y337" s="676">
        <v>20</v>
      </c>
      <c r="Z337" s="676">
        <v>20</v>
      </c>
      <c r="AA337" s="676">
        <v>20</v>
      </c>
      <c r="AB337" s="676">
        <v>20</v>
      </c>
      <c r="AC337" s="676">
        <v>20</v>
      </c>
      <c r="AD337" s="676">
        <v>0</v>
      </c>
      <c r="AE337" s="676">
        <v>0</v>
      </c>
      <c r="AF337" s="676">
        <v>0</v>
      </c>
      <c r="AG337" s="676">
        <v>0</v>
      </c>
      <c r="AH337" s="718"/>
      <c r="AI337" s="718"/>
      <c r="AJ337" s="718"/>
      <c r="AK337" s="718"/>
      <c r="AL337" s="718"/>
      <c r="AM337" s="718"/>
      <c r="AN337" s="718"/>
      <c r="AO337" s="718"/>
      <c r="AP337" s="718"/>
      <c r="AQ337" s="718"/>
      <c r="AR337" s="718"/>
      <c r="AS337" s="718"/>
      <c r="AT337" s="718"/>
      <c r="AU337" s="718"/>
      <c r="AV337" s="718"/>
      <c r="AW337" s="718"/>
      <c r="AX337" s="718"/>
      <c r="AY337" s="718"/>
      <c r="AZ337" s="718"/>
      <c r="BA337" s="718"/>
      <c r="BB337" s="718"/>
      <c r="BC337" s="718"/>
      <c r="BD337" s="718"/>
      <c r="BE337" s="718"/>
      <c r="BF337" s="718"/>
      <c r="BG337" s="718"/>
      <c r="BH337" s="718"/>
      <c r="BI337" s="718"/>
      <c r="BJ337" s="718"/>
      <c r="BK337" s="718"/>
      <c r="BL337" s="718"/>
      <c r="BM337" s="718"/>
      <c r="BN337" s="718"/>
      <c r="BO337" s="718"/>
      <c r="BP337" s="718"/>
      <c r="BQ337" s="718"/>
      <c r="BR337" s="718"/>
      <c r="BS337" s="718"/>
      <c r="BT337" s="718"/>
      <c r="BU337" s="718"/>
      <c r="BV337" s="718"/>
      <c r="BW337" s="718"/>
      <c r="BX337" s="718"/>
      <c r="BY337" s="718"/>
      <c r="BZ337" s="718"/>
      <c r="CA337" s="718"/>
    </row>
    <row r="338" spans="1:79" s="308" customFormat="1" hidden="1" outlineLevel="1" x14ac:dyDescent="0.25">
      <c r="A338" s="662"/>
      <c r="B338" s="29"/>
      <c r="C338" s="29"/>
      <c r="D338" s="29"/>
      <c r="E338" s="570" t="s">
        <v>49</v>
      </c>
      <c r="F338" s="662" t="s">
        <v>642</v>
      </c>
      <c r="G338" s="732">
        <f>SUM(G335:G337)</f>
        <v>569.21875486742715</v>
      </c>
      <c r="H338" s="732">
        <f t="shared" ref="H338:BO338" si="109">SUM(H335:H337)</f>
        <v>299.6894541829131</v>
      </c>
      <c r="I338" s="732">
        <f t="shared" si="109"/>
        <v>472.8667949986343</v>
      </c>
      <c r="J338" s="732">
        <f t="shared" si="109"/>
        <v>206.21374853113554</v>
      </c>
      <c r="K338" s="732">
        <f t="shared" si="109"/>
        <v>593.54894386408841</v>
      </c>
      <c r="L338" s="732">
        <f t="shared" si="109"/>
        <v>456.84660060905867</v>
      </c>
      <c r="M338" s="732">
        <f t="shared" si="109"/>
        <v>290.68688832351592</v>
      </c>
      <c r="N338" s="732">
        <f t="shared" si="109"/>
        <v>424.07751869362011</v>
      </c>
      <c r="O338" s="732">
        <f t="shared" si="109"/>
        <v>510.23701956196021</v>
      </c>
      <c r="P338" s="732">
        <f t="shared" si="109"/>
        <v>269.1046602335631</v>
      </c>
      <c r="Q338" s="732">
        <f t="shared" si="109"/>
        <v>356.694359158559</v>
      </c>
      <c r="R338" s="732">
        <f t="shared" si="109"/>
        <v>1752.1407355535234</v>
      </c>
      <c r="S338" s="678">
        <f t="shared" ref="S338:AA338" si="110">ROUND(SUM(S333:S337),5)</f>
        <v>2212.89</v>
      </c>
      <c r="T338" s="678">
        <f t="shared" si="110"/>
        <v>1758.79</v>
      </c>
      <c r="U338" s="678">
        <f t="shared" si="110"/>
        <v>1433.02</v>
      </c>
      <c r="V338" s="678">
        <f t="shared" si="110"/>
        <v>1432.09</v>
      </c>
      <c r="W338" s="678">
        <f t="shared" si="110"/>
        <v>1309.27</v>
      </c>
      <c r="X338" s="678">
        <f t="shared" si="110"/>
        <v>448.69</v>
      </c>
      <c r="Y338" s="678">
        <f t="shared" si="110"/>
        <v>1050.73</v>
      </c>
      <c r="Z338" s="678">
        <f t="shared" si="110"/>
        <v>1106.21</v>
      </c>
      <c r="AA338" s="678">
        <f t="shared" si="110"/>
        <v>1115.47</v>
      </c>
      <c r="AB338" s="678">
        <f>ROUND(SUM(AB333:AB337),5)</f>
        <v>1125.07</v>
      </c>
      <c r="AC338" s="678">
        <f>ROUND(SUM(AC333:AC337),5)</f>
        <v>20</v>
      </c>
      <c r="AD338" s="678">
        <f>ROUND(SUM(AD333:AD337),5)</f>
        <v>0</v>
      </c>
      <c r="AE338" s="678">
        <v>0</v>
      </c>
      <c r="AF338" s="678">
        <v>0</v>
      </c>
      <c r="AG338" s="678">
        <f>ROUND(SUM(AG333:AG337),5)</f>
        <v>0</v>
      </c>
      <c r="AH338" s="732">
        <f t="shared" si="109"/>
        <v>0</v>
      </c>
      <c r="AI338" s="732">
        <f t="shared" si="109"/>
        <v>0</v>
      </c>
      <c r="AJ338" s="732">
        <f t="shared" si="109"/>
        <v>0</v>
      </c>
      <c r="AK338" s="732">
        <f t="shared" si="109"/>
        <v>0</v>
      </c>
      <c r="AL338" s="732">
        <f t="shared" si="109"/>
        <v>0</v>
      </c>
      <c r="AM338" s="732">
        <f t="shared" si="109"/>
        <v>0</v>
      </c>
      <c r="AN338" s="732">
        <f t="shared" si="109"/>
        <v>0</v>
      </c>
      <c r="AO338" s="732">
        <f t="shared" si="109"/>
        <v>0</v>
      </c>
      <c r="AP338" s="732">
        <f t="shared" si="109"/>
        <v>0</v>
      </c>
      <c r="AQ338" s="732">
        <f t="shared" si="109"/>
        <v>0</v>
      </c>
      <c r="AR338" s="732">
        <f t="shared" si="109"/>
        <v>0</v>
      </c>
      <c r="AS338" s="732">
        <f t="shared" si="109"/>
        <v>0</v>
      </c>
      <c r="AT338" s="732">
        <f t="shared" si="109"/>
        <v>0</v>
      </c>
      <c r="AU338" s="732">
        <f t="shared" si="109"/>
        <v>0</v>
      </c>
      <c r="AV338" s="732">
        <f t="shared" si="109"/>
        <v>0</v>
      </c>
      <c r="AW338" s="732">
        <f t="shared" si="109"/>
        <v>0</v>
      </c>
      <c r="AX338" s="732">
        <f t="shared" si="109"/>
        <v>0</v>
      </c>
      <c r="AY338" s="732">
        <f t="shared" si="109"/>
        <v>0</v>
      </c>
      <c r="AZ338" s="732">
        <f t="shared" si="109"/>
        <v>0</v>
      </c>
      <c r="BA338" s="732">
        <f t="shared" si="109"/>
        <v>0</v>
      </c>
      <c r="BB338" s="732">
        <f t="shared" si="109"/>
        <v>0</v>
      </c>
      <c r="BC338" s="732">
        <f t="shared" si="109"/>
        <v>0</v>
      </c>
      <c r="BD338" s="732">
        <f t="shared" si="109"/>
        <v>0</v>
      </c>
      <c r="BE338" s="732">
        <f t="shared" si="109"/>
        <v>0</v>
      </c>
      <c r="BF338" s="732">
        <f t="shared" si="109"/>
        <v>0</v>
      </c>
      <c r="BG338" s="732">
        <f t="shared" si="109"/>
        <v>0</v>
      </c>
      <c r="BH338" s="732">
        <f t="shared" si="109"/>
        <v>0</v>
      </c>
      <c r="BI338" s="732">
        <f t="shared" si="109"/>
        <v>0</v>
      </c>
      <c r="BJ338" s="732">
        <f t="shared" si="109"/>
        <v>0</v>
      </c>
      <c r="BK338" s="732">
        <f t="shared" si="109"/>
        <v>0</v>
      </c>
      <c r="BL338" s="732">
        <f t="shared" si="109"/>
        <v>0</v>
      </c>
      <c r="BM338" s="732">
        <f t="shared" si="109"/>
        <v>0</v>
      </c>
      <c r="BN338" s="732">
        <f t="shared" si="109"/>
        <v>0</v>
      </c>
      <c r="BO338" s="732">
        <f t="shared" si="109"/>
        <v>0</v>
      </c>
      <c r="BP338" s="732">
        <f t="shared" ref="BP338:CA338" si="111">SUM(BP335:BP337)</f>
        <v>0</v>
      </c>
      <c r="BQ338" s="732">
        <f t="shared" si="111"/>
        <v>0</v>
      </c>
      <c r="BR338" s="732">
        <f t="shared" si="111"/>
        <v>0</v>
      </c>
      <c r="BS338" s="732">
        <f t="shared" si="111"/>
        <v>0</v>
      </c>
      <c r="BT338" s="732">
        <f t="shared" si="111"/>
        <v>0</v>
      </c>
      <c r="BU338" s="732">
        <f t="shared" si="111"/>
        <v>0</v>
      </c>
      <c r="BV338" s="732">
        <f t="shared" si="111"/>
        <v>0</v>
      </c>
      <c r="BW338" s="732">
        <f t="shared" si="111"/>
        <v>0</v>
      </c>
      <c r="BX338" s="732">
        <f t="shared" si="111"/>
        <v>0</v>
      </c>
      <c r="BY338" s="732">
        <f t="shared" si="111"/>
        <v>0</v>
      </c>
      <c r="BZ338" s="732">
        <f t="shared" si="111"/>
        <v>0</v>
      </c>
      <c r="CA338" s="732">
        <f t="shared" si="111"/>
        <v>0</v>
      </c>
    </row>
    <row r="339" spans="1:79" s="308" customFormat="1" hidden="1" outlineLevel="1" x14ac:dyDescent="0.25">
      <c r="A339" s="658"/>
      <c r="B339" s="29"/>
      <c r="C339" s="29"/>
      <c r="D339" s="29"/>
      <c r="E339" s="570" t="s">
        <v>922</v>
      </c>
      <c r="F339" s="658" t="s">
        <v>603</v>
      </c>
      <c r="G339" s="719"/>
      <c r="H339" s="719">
        <v>27.853364331645288</v>
      </c>
      <c r="I339" s="719">
        <v>32.955014485876831</v>
      </c>
      <c r="J339" s="719">
        <v>26.87235485968673</v>
      </c>
      <c r="K339" s="719">
        <v>53.058703717022155</v>
      </c>
      <c r="L339" s="719"/>
      <c r="M339" s="719">
        <v>3.2405517360477294</v>
      </c>
      <c r="N339" s="719"/>
      <c r="O339" s="719"/>
      <c r="P339" s="716">
        <v>0.80061938779810637</v>
      </c>
      <c r="Q339" s="716"/>
      <c r="R339" s="716"/>
      <c r="S339" s="667">
        <v>0</v>
      </c>
      <c r="T339" s="667">
        <v>0</v>
      </c>
      <c r="U339" s="667">
        <v>0</v>
      </c>
      <c r="V339" s="667">
        <v>0</v>
      </c>
      <c r="W339" s="667">
        <v>0</v>
      </c>
      <c r="X339" s="667">
        <v>0</v>
      </c>
      <c r="Y339" s="667">
        <v>0</v>
      </c>
      <c r="Z339" s="667">
        <v>0</v>
      </c>
      <c r="AA339" s="667">
        <v>0</v>
      </c>
      <c r="AB339" s="667">
        <v>0</v>
      </c>
      <c r="AC339" s="667">
        <v>0</v>
      </c>
      <c r="AD339" s="667">
        <v>0</v>
      </c>
      <c r="AE339" s="667">
        <v>0</v>
      </c>
      <c r="AF339" s="667">
        <v>0</v>
      </c>
      <c r="AG339" s="667">
        <v>0</v>
      </c>
      <c r="AH339" s="718"/>
      <c r="AI339" s="718"/>
      <c r="AJ339" s="718"/>
      <c r="AK339" s="718"/>
      <c r="AL339" s="718"/>
      <c r="AM339" s="718"/>
      <c r="AN339" s="718"/>
      <c r="AO339" s="718"/>
      <c r="AP339" s="718"/>
      <c r="AQ339" s="718"/>
      <c r="AR339" s="718"/>
      <c r="AS339" s="718"/>
      <c r="AT339" s="718"/>
      <c r="AU339" s="718"/>
      <c r="AV339" s="718"/>
      <c r="AW339" s="718"/>
      <c r="AX339" s="718"/>
      <c r="AY339" s="718"/>
      <c r="AZ339" s="718"/>
      <c r="BA339" s="718"/>
      <c r="BB339" s="718"/>
      <c r="BC339" s="718"/>
      <c r="BD339" s="718"/>
      <c r="BE339" s="718"/>
      <c r="BF339" s="718"/>
      <c r="BG339" s="718"/>
      <c r="BH339" s="718"/>
      <c r="BI339" s="718"/>
      <c r="BJ339" s="718"/>
      <c r="BK339" s="718"/>
      <c r="BL339" s="718"/>
      <c r="BM339" s="718"/>
      <c r="BN339" s="718"/>
      <c r="BO339" s="718"/>
      <c r="BP339" s="718"/>
      <c r="BQ339" s="718"/>
      <c r="BR339" s="718"/>
      <c r="BS339" s="718"/>
      <c r="BT339" s="718"/>
      <c r="BU339" s="718"/>
      <c r="BV339" s="718"/>
      <c r="BW339" s="718"/>
      <c r="BX339" s="718"/>
      <c r="BY339" s="718"/>
      <c r="BZ339" s="718"/>
      <c r="CA339" s="718"/>
    </row>
    <row r="340" spans="1:79" s="308" customFormat="1" hidden="1" outlineLevel="1" x14ac:dyDescent="0.25">
      <c r="A340" s="658"/>
      <c r="B340" s="29"/>
      <c r="C340" s="29"/>
      <c r="D340" s="29"/>
      <c r="E340" s="570" t="s">
        <v>918</v>
      </c>
      <c r="F340" s="658" t="s">
        <v>604</v>
      </c>
      <c r="G340" s="719">
        <v>190.18409366099317</v>
      </c>
      <c r="H340" s="719">
        <v>27.977643971180427</v>
      </c>
      <c r="I340" s="719">
        <v>20.176539481149078</v>
      </c>
      <c r="J340" s="719">
        <v>2112.3686346328245</v>
      </c>
      <c r="K340" s="719">
        <v>108.15812680777593</v>
      </c>
      <c r="L340" s="719">
        <v>1171.4825727620744</v>
      </c>
      <c r="M340" s="719">
        <v>777.7291760997191</v>
      </c>
      <c r="N340" s="719">
        <v>1177.9349916640031</v>
      </c>
      <c r="O340" s="719">
        <v>5.6453311860810507</v>
      </c>
      <c r="P340" s="716">
        <v>491.51556939232478</v>
      </c>
      <c r="Q340" s="716"/>
      <c r="R340" s="716"/>
      <c r="S340" s="667">
        <v>0</v>
      </c>
      <c r="T340" s="667">
        <v>0</v>
      </c>
      <c r="U340" s="667">
        <v>0</v>
      </c>
      <c r="V340" s="667">
        <v>0</v>
      </c>
      <c r="W340" s="667">
        <v>1500</v>
      </c>
      <c r="X340" s="667">
        <v>1000</v>
      </c>
      <c r="Y340" s="667">
        <v>0</v>
      </c>
      <c r="Z340" s="667">
        <v>25</v>
      </c>
      <c r="AA340" s="667">
        <v>1100</v>
      </c>
      <c r="AB340" s="667">
        <v>0</v>
      </c>
      <c r="AC340" s="667">
        <v>0</v>
      </c>
      <c r="AD340" s="667">
        <v>1059</v>
      </c>
      <c r="AE340" s="667">
        <v>59</v>
      </c>
      <c r="AF340" s="667">
        <v>0</v>
      </c>
      <c r="AG340" s="667">
        <v>569</v>
      </c>
      <c r="AH340" s="718"/>
      <c r="AI340" s="718"/>
      <c r="AJ340" s="718"/>
      <c r="AK340" s="718"/>
      <c r="AL340" s="718"/>
      <c r="AM340" s="718"/>
      <c r="AN340" s="718"/>
      <c r="AO340" s="718"/>
      <c r="AP340" s="718"/>
      <c r="AQ340" s="718"/>
      <c r="AR340" s="718"/>
      <c r="AS340" s="718"/>
      <c r="AT340" s="718"/>
      <c r="AU340" s="718"/>
      <c r="AV340" s="718"/>
      <c r="AW340" s="718"/>
      <c r="AX340" s="718"/>
      <c r="AY340" s="718"/>
      <c r="AZ340" s="718"/>
      <c r="BA340" s="718"/>
      <c r="BB340" s="718"/>
      <c r="BC340" s="718"/>
      <c r="BD340" s="718"/>
      <c r="BE340" s="718"/>
      <c r="BF340" s="718"/>
      <c r="BG340" s="718"/>
      <c r="BH340" s="718"/>
      <c r="BI340" s="718"/>
      <c r="BJ340" s="718"/>
      <c r="BK340" s="718"/>
      <c r="BL340" s="718"/>
      <c r="BM340" s="718"/>
      <c r="BN340" s="718"/>
      <c r="BO340" s="718"/>
      <c r="BP340" s="718"/>
      <c r="BQ340" s="718"/>
      <c r="BR340" s="718"/>
      <c r="BS340" s="718"/>
      <c r="BT340" s="718"/>
      <c r="BU340" s="718"/>
      <c r="BV340" s="718"/>
      <c r="BW340" s="718"/>
      <c r="BX340" s="718"/>
      <c r="BY340" s="718"/>
      <c r="BZ340" s="718"/>
      <c r="CA340" s="718"/>
    </row>
    <row r="341" spans="1:79" s="308" customFormat="1" hidden="1" outlineLevel="1" x14ac:dyDescent="0.25">
      <c r="A341" s="701"/>
      <c r="B341" s="710"/>
      <c r="C341" s="710"/>
      <c r="D341" s="710"/>
      <c r="E341" s="570" t="s">
        <v>1341</v>
      </c>
      <c r="F341" s="701" t="s">
        <v>652</v>
      </c>
      <c r="G341" s="733"/>
      <c r="H341" s="733"/>
      <c r="I341" s="733"/>
      <c r="J341" s="733"/>
      <c r="K341" s="733"/>
      <c r="L341" s="733"/>
      <c r="M341" s="733"/>
      <c r="N341" s="733"/>
      <c r="O341" s="733"/>
      <c r="P341" s="734"/>
      <c r="Q341" s="734"/>
      <c r="R341" s="734"/>
      <c r="S341" s="704"/>
      <c r="T341" s="704"/>
      <c r="U341" s="704"/>
      <c r="V341" s="704"/>
      <c r="W341" s="704"/>
      <c r="X341" s="704"/>
      <c r="Y341" s="704"/>
      <c r="Z341" s="704"/>
      <c r="AA341" s="704"/>
      <c r="AB341" s="704"/>
      <c r="AC341" s="704"/>
      <c r="AD341" s="704"/>
      <c r="AE341" s="704"/>
      <c r="AF341" s="704"/>
      <c r="AG341" s="704"/>
      <c r="AH341" s="736"/>
      <c r="AI341" s="736"/>
      <c r="AJ341" s="736"/>
      <c r="AK341" s="736"/>
      <c r="AL341" s="736"/>
      <c r="AM341" s="736"/>
      <c r="AN341" s="736"/>
      <c r="AO341" s="736"/>
      <c r="AP341" s="736"/>
      <c r="AQ341" s="736"/>
      <c r="AR341" s="736"/>
      <c r="AS341" s="736"/>
      <c r="AT341" s="736"/>
      <c r="AU341" s="736"/>
      <c r="AV341" s="736"/>
      <c r="AW341" s="736"/>
      <c r="AX341" s="736"/>
      <c r="AY341" s="736"/>
      <c r="AZ341" s="736"/>
      <c r="BA341" s="736"/>
      <c r="BB341" s="736"/>
      <c r="BC341" s="736"/>
      <c r="BD341" s="736"/>
      <c r="BE341" s="736"/>
      <c r="BF341" s="736"/>
      <c r="BG341" s="736"/>
      <c r="BH341" s="736"/>
      <c r="BI341" s="736"/>
      <c r="BJ341" s="736"/>
      <c r="BK341" s="736"/>
      <c r="BL341" s="736"/>
      <c r="BM341" s="736"/>
      <c r="BN341" s="736"/>
      <c r="BO341" s="736"/>
      <c r="BP341" s="736"/>
      <c r="BQ341" s="736"/>
      <c r="BR341" s="736"/>
      <c r="BS341" s="736"/>
      <c r="BT341" s="736"/>
      <c r="BU341" s="736"/>
      <c r="BV341" s="736"/>
      <c r="BW341" s="736"/>
      <c r="BX341" s="736"/>
      <c r="BY341" s="736"/>
      <c r="BZ341" s="736"/>
      <c r="CA341" s="736"/>
    </row>
    <row r="342" spans="1:79" s="308" customFormat="1" hidden="1" outlineLevel="1" x14ac:dyDescent="0.25">
      <c r="A342" s="656"/>
      <c r="B342" s="571"/>
      <c r="C342" s="571"/>
      <c r="D342" s="571"/>
      <c r="E342" s="570" t="s">
        <v>1341</v>
      </c>
      <c r="F342" s="656" t="s">
        <v>653</v>
      </c>
      <c r="G342" s="719"/>
      <c r="H342" s="719"/>
      <c r="I342" s="719"/>
      <c r="J342" s="719"/>
      <c r="K342" s="719"/>
      <c r="L342" s="719"/>
      <c r="M342" s="719"/>
      <c r="N342" s="719"/>
      <c r="O342" s="719"/>
      <c r="P342" s="716"/>
      <c r="Q342" s="716"/>
      <c r="R342" s="716"/>
      <c r="S342" s="667">
        <v>0</v>
      </c>
      <c r="T342" s="667">
        <v>0</v>
      </c>
      <c r="U342" s="667">
        <v>0</v>
      </c>
      <c r="V342" s="667">
        <v>0</v>
      </c>
      <c r="W342" s="667">
        <v>0</v>
      </c>
      <c r="X342" s="667">
        <v>0</v>
      </c>
      <c r="Y342" s="667">
        <v>0</v>
      </c>
      <c r="Z342" s="667">
        <v>0</v>
      </c>
      <c r="AA342" s="667">
        <v>0</v>
      </c>
      <c r="AB342" s="667">
        <v>0</v>
      </c>
      <c r="AC342" s="667">
        <v>0</v>
      </c>
      <c r="AD342" s="667">
        <v>0</v>
      </c>
      <c r="AE342" s="667">
        <v>0</v>
      </c>
      <c r="AF342" s="667">
        <v>0</v>
      </c>
      <c r="AG342" s="667">
        <v>0</v>
      </c>
      <c r="AH342" s="718"/>
      <c r="AI342" s="718"/>
      <c r="AJ342" s="718"/>
      <c r="AK342" s="718"/>
      <c r="AL342" s="718"/>
      <c r="AM342" s="718"/>
      <c r="AN342" s="718"/>
      <c r="AO342" s="718"/>
      <c r="AP342" s="718"/>
      <c r="AQ342" s="718"/>
      <c r="AR342" s="718"/>
      <c r="AS342" s="718"/>
      <c r="AT342" s="718"/>
      <c r="AU342" s="718"/>
      <c r="AV342" s="718"/>
      <c r="AW342" s="718"/>
      <c r="AX342" s="718"/>
      <c r="AY342" s="718"/>
      <c r="AZ342" s="718"/>
      <c r="BA342" s="718"/>
      <c r="BB342" s="718"/>
      <c r="BC342" s="718"/>
      <c r="BD342" s="718"/>
      <c r="BE342" s="718"/>
      <c r="BF342" s="718"/>
      <c r="BG342" s="718"/>
      <c r="BH342" s="718"/>
      <c r="BI342" s="718"/>
      <c r="BJ342" s="718"/>
      <c r="BK342" s="718"/>
      <c r="BL342" s="718"/>
      <c r="BM342" s="718"/>
      <c r="BN342" s="718"/>
      <c r="BO342" s="718"/>
      <c r="BP342" s="718"/>
      <c r="BQ342" s="718"/>
      <c r="BR342" s="718"/>
      <c r="BS342" s="718"/>
      <c r="BT342" s="718"/>
      <c r="BU342" s="718"/>
      <c r="BV342" s="718"/>
      <c r="BW342" s="718"/>
      <c r="BX342" s="718"/>
      <c r="BY342" s="718"/>
      <c r="BZ342" s="718"/>
      <c r="CA342" s="718"/>
    </row>
    <row r="343" spans="1:79" s="308" customFormat="1" hidden="1" outlineLevel="1" x14ac:dyDescent="0.25">
      <c r="A343" s="656"/>
      <c r="B343" s="571"/>
      <c r="C343" s="571"/>
      <c r="D343" s="571"/>
      <c r="E343" s="570" t="s">
        <v>1341</v>
      </c>
      <c r="F343" s="656" t="s">
        <v>907</v>
      </c>
      <c r="G343" s="719"/>
      <c r="H343" s="719"/>
      <c r="I343" s="719"/>
      <c r="J343" s="719"/>
      <c r="K343" s="719"/>
      <c r="L343" s="719"/>
      <c r="M343" s="719"/>
      <c r="N343" s="719"/>
      <c r="O343" s="719"/>
      <c r="P343" s="716"/>
      <c r="Q343" s="716"/>
      <c r="R343" s="716"/>
      <c r="S343" s="667">
        <v>0</v>
      </c>
      <c r="T343" s="667">
        <v>0</v>
      </c>
      <c r="U343" s="667">
        <v>0</v>
      </c>
      <c r="V343" s="667">
        <v>0</v>
      </c>
      <c r="W343" s="667">
        <v>0</v>
      </c>
      <c r="X343" s="667">
        <v>0</v>
      </c>
      <c r="Y343" s="667">
        <v>0</v>
      </c>
      <c r="Z343" s="667">
        <v>0</v>
      </c>
      <c r="AA343" s="667">
        <v>0</v>
      </c>
      <c r="AB343" s="667">
        <v>0</v>
      </c>
      <c r="AC343" s="667">
        <v>0</v>
      </c>
      <c r="AD343" s="667">
        <v>0</v>
      </c>
      <c r="AE343" s="667">
        <v>0</v>
      </c>
      <c r="AF343" s="667">
        <v>0</v>
      </c>
      <c r="AG343" s="667">
        <v>0</v>
      </c>
      <c r="AH343" s="718"/>
      <c r="AI343" s="718"/>
      <c r="AJ343" s="718"/>
      <c r="AK343" s="718"/>
      <c r="AL343" s="718"/>
      <c r="AM343" s="718"/>
      <c r="AN343" s="718"/>
      <c r="AO343" s="718"/>
      <c r="AP343" s="718"/>
      <c r="AQ343" s="718"/>
      <c r="AR343" s="718"/>
      <c r="AS343" s="718"/>
      <c r="AT343" s="718"/>
      <c r="AU343" s="718"/>
      <c r="AV343" s="718"/>
      <c r="AW343" s="718"/>
      <c r="AX343" s="718"/>
      <c r="AY343" s="718"/>
      <c r="AZ343" s="718"/>
      <c r="BA343" s="718"/>
      <c r="BB343" s="718"/>
      <c r="BC343" s="718"/>
      <c r="BD343" s="718"/>
      <c r="BE343" s="718"/>
      <c r="BF343" s="718"/>
      <c r="BG343" s="718"/>
      <c r="BH343" s="718"/>
      <c r="BI343" s="718"/>
      <c r="BJ343" s="718"/>
      <c r="BK343" s="718"/>
      <c r="BL343" s="718"/>
      <c r="BM343" s="718"/>
      <c r="BN343" s="718"/>
      <c r="BO343" s="718"/>
      <c r="BP343" s="718"/>
      <c r="BQ343" s="718"/>
      <c r="BR343" s="718"/>
      <c r="BS343" s="718"/>
      <c r="BT343" s="718"/>
      <c r="BU343" s="718"/>
      <c r="BV343" s="718"/>
      <c r="BW343" s="718"/>
      <c r="BX343" s="718"/>
      <c r="BY343" s="718"/>
      <c r="BZ343" s="718"/>
      <c r="CA343" s="718"/>
    </row>
    <row r="344" spans="1:79" s="308" customFormat="1" hidden="1" outlineLevel="1" x14ac:dyDescent="0.25">
      <c r="A344" s="656"/>
      <c r="B344" s="571"/>
      <c r="C344" s="571"/>
      <c r="D344" s="571"/>
      <c r="E344" s="570" t="s">
        <v>1341</v>
      </c>
      <c r="F344" s="656" t="s">
        <v>908</v>
      </c>
      <c r="G344" s="719"/>
      <c r="H344" s="719"/>
      <c r="I344" s="719"/>
      <c r="J344" s="719"/>
      <c r="K344" s="719"/>
      <c r="L344" s="719"/>
      <c r="M344" s="719"/>
      <c r="N344" s="719"/>
      <c r="O344" s="719"/>
      <c r="P344" s="716"/>
      <c r="Q344" s="716"/>
      <c r="R344" s="716"/>
      <c r="S344" s="667">
        <v>0</v>
      </c>
      <c r="T344" s="667">
        <v>0</v>
      </c>
      <c r="U344" s="667">
        <v>0</v>
      </c>
      <c r="V344" s="667">
        <v>0</v>
      </c>
      <c r="W344" s="667">
        <v>0</v>
      </c>
      <c r="X344" s="667">
        <v>0</v>
      </c>
      <c r="Y344" s="667">
        <v>0</v>
      </c>
      <c r="Z344" s="667">
        <v>0</v>
      </c>
      <c r="AA344" s="667">
        <v>0</v>
      </c>
      <c r="AB344" s="667">
        <v>0</v>
      </c>
      <c r="AC344" s="667">
        <v>0</v>
      </c>
      <c r="AD344" s="667">
        <v>0</v>
      </c>
      <c r="AE344" s="667">
        <v>0</v>
      </c>
      <c r="AF344" s="667">
        <v>0</v>
      </c>
      <c r="AG344" s="667">
        <v>0</v>
      </c>
      <c r="AH344" s="718"/>
      <c r="AI344" s="718"/>
      <c r="AJ344" s="718"/>
      <c r="AK344" s="718"/>
      <c r="AL344" s="718"/>
      <c r="AM344" s="718"/>
      <c r="AN344" s="718"/>
      <c r="AO344" s="718"/>
      <c r="AP344" s="718"/>
      <c r="AQ344" s="718"/>
      <c r="AR344" s="718"/>
      <c r="AS344" s="718"/>
      <c r="AT344" s="718"/>
      <c r="AU344" s="718"/>
      <c r="AV344" s="718"/>
      <c r="AW344" s="718"/>
      <c r="AX344" s="718"/>
      <c r="AY344" s="718"/>
      <c r="AZ344" s="718"/>
      <c r="BA344" s="718"/>
      <c r="BB344" s="718"/>
      <c r="BC344" s="718"/>
      <c r="BD344" s="718"/>
      <c r="BE344" s="718"/>
      <c r="BF344" s="718"/>
      <c r="BG344" s="718"/>
      <c r="BH344" s="718"/>
      <c r="BI344" s="718"/>
      <c r="BJ344" s="718"/>
      <c r="BK344" s="718"/>
      <c r="BL344" s="718"/>
      <c r="BM344" s="718"/>
      <c r="BN344" s="718"/>
      <c r="BO344" s="718"/>
      <c r="BP344" s="718"/>
      <c r="BQ344" s="718"/>
      <c r="BR344" s="718"/>
      <c r="BS344" s="718"/>
      <c r="BT344" s="718"/>
      <c r="BU344" s="718"/>
      <c r="BV344" s="718"/>
      <c r="BW344" s="718"/>
      <c r="BX344" s="718"/>
      <c r="BY344" s="718"/>
      <c r="BZ344" s="718"/>
      <c r="CA344" s="718"/>
    </row>
    <row r="345" spans="1:79" s="308" customFormat="1" hidden="1" outlineLevel="1" x14ac:dyDescent="0.25">
      <c r="A345" s="656"/>
      <c r="B345" s="29"/>
      <c r="C345" s="29"/>
      <c r="D345" s="29"/>
      <c r="E345" s="570" t="s">
        <v>1341</v>
      </c>
      <c r="F345" s="656" t="s">
        <v>654</v>
      </c>
      <c r="G345" s="719"/>
      <c r="H345" s="719"/>
      <c r="I345" s="719"/>
      <c r="J345" s="719">
        <v>255.28737116702393</v>
      </c>
      <c r="K345" s="719"/>
      <c r="L345" s="719">
        <v>317.28425280083206</v>
      </c>
      <c r="M345" s="719"/>
      <c r="N345" s="719"/>
      <c r="O345" s="719"/>
      <c r="P345" s="716"/>
      <c r="Q345" s="716"/>
      <c r="R345" s="716">
        <v>163.35530256873096</v>
      </c>
      <c r="S345" s="667">
        <v>0</v>
      </c>
      <c r="T345" s="667">
        <v>0</v>
      </c>
      <c r="U345" s="667">
        <v>0</v>
      </c>
      <c r="V345" s="667">
        <v>0</v>
      </c>
      <c r="W345" s="667">
        <v>0</v>
      </c>
      <c r="X345" s="667">
        <v>0</v>
      </c>
      <c r="Y345" s="667">
        <v>0</v>
      </c>
      <c r="Z345" s="667">
        <v>0</v>
      </c>
      <c r="AA345" s="667">
        <v>0</v>
      </c>
      <c r="AB345" s="667">
        <v>0</v>
      </c>
      <c r="AC345" s="667">
        <v>0</v>
      </c>
      <c r="AD345" s="667">
        <v>0</v>
      </c>
      <c r="AE345" s="667">
        <v>0</v>
      </c>
      <c r="AF345" s="667">
        <v>0</v>
      </c>
      <c r="AG345" s="667">
        <v>0</v>
      </c>
      <c r="AH345" s="718"/>
      <c r="AI345" s="718"/>
      <c r="AJ345" s="718"/>
      <c r="AK345" s="718"/>
      <c r="AL345" s="718"/>
      <c r="AM345" s="718"/>
      <c r="AN345" s="718"/>
      <c r="AO345" s="718"/>
      <c r="AP345" s="718"/>
      <c r="AQ345" s="718"/>
      <c r="AR345" s="718"/>
      <c r="AS345" s="718"/>
      <c r="AT345" s="718"/>
      <c r="AU345" s="718"/>
      <c r="AV345" s="718"/>
      <c r="AW345" s="718"/>
      <c r="AX345" s="718"/>
      <c r="AY345" s="718"/>
      <c r="AZ345" s="718"/>
      <c r="BA345" s="718"/>
      <c r="BB345" s="718"/>
      <c r="BC345" s="718"/>
      <c r="BD345" s="718"/>
      <c r="BE345" s="718"/>
      <c r="BF345" s="718"/>
      <c r="BG345" s="718"/>
      <c r="BH345" s="718"/>
      <c r="BI345" s="718"/>
      <c r="BJ345" s="718"/>
      <c r="BK345" s="718"/>
      <c r="BL345" s="718"/>
      <c r="BM345" s="718"/>
      <c r="BN345" s="718"/>
      <c r="BO345" s="718"/>
      <c r="BP345" s="718"/>
      <c r="BQ345" s="718"/>
      <c r="BR345" s="718"/>
      <c r="BS345" s="718"/>
      <c r="BT345" s="718"/>
      <c r="BU345" s="718"/>
      <c r="BV345" s="718"/>
      <c r="BW345" s="718"/>
      <c r="BX345" s="718"/>
      <c r="BY345" s="718"/>
      <c r="BZ345" s="718"/>
      <c r="CA345" s="718"/>
    </row>
    <row r="346" spans="1:79" s="308" customFormat="1" hidden="1" outlineLevel="1" x14ac:dyDescent="0.25">
      <c r="A346" s="656"/>
      <c r="B346" s="29"/>
      <c r="C346" s="29"/>
      <c r="D346" s="29"/>
      <c r="E346" s="570" t="s">
        <v>1341</v>
      </c>
      <c r="F346" s="656" t="s">
        <v>909</v>
      </c>
      <c r="G346" s="719"/>
      <c r="H346" s="719"/>
      <c r="I346" s="719">
        <v>-594.13183258823653</v>
      </c>
      <c r="J346" s="719"/>
      <c r="K346" s="719"/>
      <c r="L346" s="719"/>
      <c r="M346" s="719"/>
      <c r="N346" s="719"/>
      <c r="O346" s="719"/>
      <c r="P346" s="716"/>
      <c r="Q346" s="716"/>
      <c r="R346" s="716"/>
      <c r="S346" s="667">
        <v>0</v>
      </c>
      <c r="T346" s="667">
        <v>0</v>
      </c>
      <c r="U346" s="667">
        <v>0</v>
      </c>
      <c r="V346" s="667">
        <v>0</v>
      </c>
      <c r="W346" s="667">
        <v>0</v>
      </c>
      <c r="X346" s="667">
        <v>0</v>
      </c>
      <c r="Y346" s="667">
        <v>0</v>
      </c>
      <c r="Z346" s="667">
        <v>0</v>
      </c>
      <c r="AA346" s="667">
        <v>0</v>
      </c>
      <c r="AB346" s="667">
        <v>0</v>
      </c>
      <c r="AC346" s="667">
        <v>0</v>
      </c>
      <c r="AD346" s="667">
        <v>0</v>
      </c>
      <c r="AE346" s="667">
        <v>0</v>
      </c>
      <c r="AF346" s="667">
        <v>0</v>
      </c>
      <c r="AG346" s="667">
        <v>0</v>
      </c>
      <c r="AH346" s="718"/>
      <c r="AI346" s="718"/>
      <c r="AJ346" s="718"/>
      <c r="AK346" s="718"/>
      <c r="AL346" s="718"/>
      <c r="AM346" s="718"/>
      <c r="AN346" s="718"/>
      <c r="AO346" s="718"/>
      <c r="AP346" s="718"/>
      <c r="AQ346" s="718"/>
      <c r="AR346" s="718"/>
      <c r="AS346" s="718"/>
      <c r="AT346" s="718"/>
      <c r="AU346" s="718"/>
      <c r="AV346" s="718"/>
      <c r="AW346" s="718"/>
      <c r="AX346" s="718"/>
      <c r="AY346" s="718"/>
      <c r="AZ346" s="718"/>
      <c r="BA346" s="718"/>
      <c r="BB346" s="718"/>
      <c r="BC346" s="718"/>
      <c r="BD346" s="718"/>
      <c r="BE346" s="718"/>
      <c r="BF346" s="718"/>
      <c r="BG346" s="718"/>
      <c r="BH346" s="718"/>
      <c r="BI346" s="718"/>
      <c r="BJ346" s="718"/>
      <c r="BK346" s="718"/>
      <c r="BL346" s="718"/>
      <c r="BM346" s="718"/>
      <c r="BN346" s="718"/>
      <c r="BO346" s="718"/>
      <c r="BP346" s="718"/>
      <c r="BQ346" s="718"/>
      <c r="BR346" s="718"/>
      <c r="BS346" s="718"/>
      <c r="BT346" s="718"/>
      <c r="BU346" s="718"/>
      <c r="BV346" s="718"/>
      <c r="BW346" s="718"/>
      <c r="BX346" s="718"/>
      <c r="BY346" s="718"/>
      <c r="BZ346" s="718"/>
      <c r="CA346" s="718"/>
    </row>
    <row r="347" spans="1:79" s="308" customFormat="1" hidden="1" outlineLevel="1" x14ac:dyDescent="0.25">
      <c r="A347" s="656"/>
      <c r="B347" s="571"/>
      <c r="C347" s="571"/>
      <c r="D347" s="571"/>
      <c r="E347" s="570" t="s">
        <v>1341</v>
      </c>
      <c r="F347" s="656" t="s">
        <v>910</v>
      </c>
      <c r="G347" s="719"/>
      <c r="H347" s="719"/>
      <c r="I347" s="719"/>
      <c r="J347" s="719"/>
      <c r="K347" s="719"/>
      <c r="L347" s="719"/>
      <c r="M347" s="719"/>
      <c r="N347" s="719"/>
      <c r="O347" s="719"/>
      <c r="P347" s="716"/>
      <c r="Q347" s="716"/>
      <c r="R347" s="716"/>
      <c r="S347" s="667">
        <v>0</v>
      </c>
      <c r="T347" s="667">
        <v>0</v>
      </c>
      <c r="U347" s="667">
        <v>0</v>
      </c>
      <c r="V347" s="667">
        <v>0</v>
      </c>
      <c r="W347" s="667">
        <v>0</v>
      </c>
      <c r="X347" s="667">
        <v>0</v>
      </c>
      <c r="Y347" s="667">
        <v>0</v>
      </c>
      <c r="Z347" s="667">
        <v>0</v>
      </c>
      <c r="AA347" s="667">
        <v>0</v>
      </c>
      <c r="AB347" s="667">
        <v>0</v>
      </c>
      <c r="AC347" s="667">
        <v>0</v>
      </c>
      <c r="AD347" s="667">
        <v>0</v>
      </c>
      <c r="AE347" s="667">
        <v>0</v>
      </c>
      <c r="AF347" s="667">
        <v>0</v>
      </c>
      <c r="AG347" s="667">
        <v>0</v>
      </c>
      <c r="AH347" s="718"/>
      <c r="AI347" s="718"/>
      <c r="AJ347" s="718"/>
      <c r="AK347" s="718"/>
      <c r="AL347" s="718"/>
      <c r="AM347" s="718"/>
      <c r="AN347" s="718"/>
      <c r="AO347" s="718"/>
      <c r="AP347" s="718"/>
      <c r="AQ347" s="718"/>
      <c r="AR347" s="718"/>
      <c r="AS347" s="718"/>
      <c r="AT347" s="718"/>
      <c r="AU347" s="718"/>
      <c r="AV347" s="718"/>
      <c r="AW347" s="718"/>
      <c r="AX347" s="718"/>
      <c r="AY347" s="718"/>
      <c r="AZ347" s="718"/>
      <c r="BA347" s="718"/>
      <c r="BB347" s="718"/>
      <c r="BC347" s="718"/>
      <c r="BD347" s="718"/>
      <c r="BE347" s="718"/>
      <c r="BF347" s="718"/>
      <c r="BG347" s="718"/>
      <c r="BH347" s="718"/>
      <c r="BI347" s="718"/>
      <c r="BJ347" s="718"/>
      <c r="BK347" s="718"/>
      <c r="BL347" s="718"/>
      <c r="BM347" s="718"/>
      <c r="BN347" s="718"/>
      <c r="BO347" s="718"/>
      <c r="BP347" s="718"/>
      <c r="BQ347" s="718"/>
      <c r="BR347" s="718"/>
      <c r="BS347" s="718"/>
      <c r="BT347" s="718"/>
      <c r="BU347" s="718"/>
      <c r="BV347" s="718"/>
      <c r="BW347" s="718"/>
      <c r="BX347" s="718"/>
      <c r="BY347" s="718"/>
      <c r="BZ347" s="718"/>
      <c r="CA347" s="718"/>
    </row>
    <row r="348" spans="1:79" s="308" customFormat="1" hidden="1" outlineLevel="1" x14ac:dyDescent="0.25">
      <c r="A348" s="656"/>
      <c r="B348" s="571"/>
      <c r="C348" s="571"/>
      <c r="D348" s="571"/>
      <c r="E348" s="570" t="s">
        <v>1341</v>
      </c>
      <c r="F348" s="656" t="s">
        <v>911</v>
      </c>
      <c r="G348" s="719"/>
      <c r="H348" s="719"/>
      <c r="I348" s="719"/>
      <c r="J348" s="719"/>
      <c r="K348" s="719"/>
      <c r="L348" s="719"/>
      <c r="M348" s="719"/>
      <c r="N348" s="719"/>
      <c r="O348" s="719"/>
      <c r="P348" s="716"/>
      <c r="Q348" s="716"/>
      <c r="R348" s="716"/>
      <c r="S348" s="667">
        <v>0</v>
      </c>
      <c r="T348" s="667">
        <v>0</v>
      </c>
      <c r="U348" s="667">
        <v>0</v>
      </c>
      <c r="V348" s="667">
        <v>0</v>
      </c>
      <c r="W348" s="667">
        <v>0</v>
      </c>
      <c r="X348" s="667">
        <v>0</v>
      </c>
      <c r="Y348" s="667">
        <v>0</v>
      </c>
      <c r="Z348" s="667">
        <v>0</v>
      </c>
      <c r="AA348" s="667">
        <v>0</v>
      </c>
      <c r="AB348" s="667">
        <v>0</v>
      </c>
      <c r="AC348" s="667">
        <v>0</v>
      </c>
      <c r="AD348" s="667">
        <v>0</v>
      </c>
      <c r="AE348" s="667">
        <v>0</v>
      </c>
      <c r="AF348" s="667">
        <v>0</v>
      </c>
      <c r="AG348" s="667">
        <v>0</v>
      </c>
      <c r="AH348" s="718"/>
      <c r="AI348" s="718"/>
      <c r="AJ348" s="718"/>
      <c r="AK348" s="718"/>
      <c r="AL348" s="718"/>
      <c r="AM348" s="718"/>
      <c r="AN348" s="718"/>
      <c r="AO348" s="718"/>
      <c r="AP348" s="718"/>
      <c r="AQ348" s="718"/>
      <c r="AR348" s="718"/>
      <c r="AS348" s="718"/>
      <c r="AT348" s="718"/>
      <c r="AU348" s="718"/>
      <c r="AV348" s="718"/>
      <c r="AW348" s="718"/>
      <c r="AX348" s="718"/>
      <c r="AY348" s="718"/>
      <c r="AZ348" s="718"/>
      <c r="BA348" s="718"/>
      <c r="BB348" s="718"/>
      <c r="BC348" s="718"/>
      <c r="BD348" s="718"/>
      <c r="BE348" s="718"/>
      <c r="BF348" s="718"/>
      <c r="BG348" s="718"/>
      <c r="BH348" s="718"/>
      <c r="BI348" s="718"/>
      <c r="BJ348" s="718"/>
      <c r="BK348" s="718"/>
      <c r="BL348" s="718"/>
      <c r="BM348" s="718"/>
      <c r="BN348" s="718"/>
      <c r="BO348" s="718"/>
      <c r="BP348" s="718"/>
      <c r="BQ348" s="718"/>
      <c r="BR348" s="718"/>
      <c r="BS348" s="718"/>
      <c r="BT348" s="718"/>
      <c r="BU348" s="718"/>
      <c r="BV348" s="718"/>
      <c r="BW348" s="718"/>
      <c r="BX348" s="718"/>
      <c r="BY348" s="718"/>
      <c r="BZ348" s="718"/>
      <c r="CA348" s="718"/>
    </row>
    <row r="349" spans="1:79" s="308" customFormat="1" hidden="1" outlineLevel="1" x14ac:dyDescent="0.25">
      <c r="A349" s="657"/>
      <c r="B349" s="29"/>
      <c r="C349" s="29"/>
      <c r="D349" s="29"/>
      <c r="E349" s="570" t="s">
        <v>49</v>
      </c>
      <c r="F349" s="657" t="s">
        <v>655</v>
      </c>
      <c r="G349" s="732">
        <f>SUM(G342:G348)</f>
        <v>0</v>
      </c>
      <c r="H349" s="732">
        <f t="shared" ref="H349:BO349" si="112">SUM(H342:H348)</f>
        <v>0</v>
      </c>
      <c r="I349" s="732">
        <f t="shared" si="112"/>
        <v>-594.13183258823653</v>
      </c>
      <c r="J349" s="732">
        <f t="shared" si="112"/>
        <v>255.28737116702393</v>
      </c>
      <c r="K349" s="732">
        <f t="shared" si="112"/>
        <v>0</v>
      </c>
      <c r="L349" s="732">
        <f t="shared" si="112"/>
        <v>317.28425280083206</v>
      </c>
      <c r="M349" s="732">
        <f t="shared" si="112"/>
        <v>0</v>
      </c>
      <c r="N349" s="732">
        <f t="shared" si="112"/>
        <v>0</v>
      </c>
      <c r="O349" s="732">
        <f t="shared" si="112"/>
        <v>0</v>
      </c>
      <c r="P349" s="732">
        <f t="shared" si="112"/>
        <v>0</v>
      </c>
      <c r="Q349" s="732">
        <f t="shared" si="112"/>
        <v>0</v>
      </c>
      <c r="R349" s="732">
        <f t="shared" si="112"/>
        <v>163.35530256873096</v>
      </c>
      <c r="S349" s="678">
        <f t="shared" ref="S349:AA349" si="113">ROUND(SUM(S341:S348),5)</f>
        <v>0</v>
      </c>
      <c r="T349" s="678">
        <f t="shared" si="113"/>
        <v>0</v>
      </c>
      <c r="U349" s="678">
        <f t="shared" si="113"/>
        <v>0</v>
      </c>
      <c r="V349" s="678">
        <f t="shared" si="113"/>
        <v>0</v>
      </c>
      <c r="W349" s="678">
        <f t="shared" si="113"/>
        <v>0</v>
      </c>
      <c r="X349" s="678">
        <f t="shared" si="113"/>
        <v>0</v>
      </c>
      <c r="Y349" s="678">
        <f t="shared" si="113"/>
        <v>0</v>
      </c>
      <c r="Z349" s="678">
        <f t="shared" si="113"/>
        <v>0</v>
      </c>
      <c r="AA349" s="678">
        <f t="shared" si="113"/>
        <v>0</v>
      </c>
      <c r="AB349" s="678">
        <f>ROUND(SUM(AB341:AB348),5)</f>
        <v>0</v>
      </c>
      <c r="AC349" s="678">
        <f>ROUND(SUM(AC341:AC348),5)</f>
        <v>0</v>
      </c>
      <c r="AD349" s="678">
        <f>ROUND(SUM(AD341:AD348),5)</f>
        <v>0</v>
      </c>
      <c r="AE349" s="678">
        <v>0</v>
      </c>
      <c r="AF349" s="678">
        <v>0</v>
      </c>
      <c r="AG349" s="678">
        <f>ROUND(SUM(AG341:AG348),5)</f>
        <v>0</v>
      </c>
      <c r="AH349" s="732">
        <f t="shared" si="112"/>
        <v>0</v>
      </c>
      <c r="AI349" s="732">
        <f t="shared" si="112"/>
        <v>0</v>
      </c>
      <c r="AJ349" s="732">
        <f t="shared" si="112"/>
        <v>0</v>
      </c>
      <c r="AK349" s="732">
        <f t="shared" si="112"/>
        <v>0</v>
      </c>
      <c r="AL349" s="732">
        <f t="shared" si="112"/>
        <v>0</v>
      </c>
      <c r="AM349" s="732">
        <f t="shared" si="112"/>
        <v>0</v>
      </c>
      <c r="AN349" s="732">
        <f t="shared" si="112"/>
        <v>0</v>
      </c>
      <c r="AO349" s="732">
        <f t="shared" si="112"/>
        <v>0</v>
      </c>
      <c r="AP349" s="732">
        <f t="shared" si="112"/>
        <v>0</v>
      </c>
      <c r="AQ349" s="732">
        <f t="shared" si="112"/>
        <v>0</v>
      </c>
      <c r="AR349" s="732">
        <f t="shared" si="112"/>
        <v>0</v>
      </c>
      <c r="AS349" s="732">
        <f t="shared" si="112"/>
        <v>0</v>
      </c>
      <c r="AT349" s="732">
        <f t="shared" si="112"/>
        <v>0</v>
      </c>
      <c r="AU349" s="732">
        <f t="shared" si="112"/>
        <v>0</v>
      </c>
      <c r="AV349" s="732">
        <f t="shared" si="112"/>
        <v>0</v>
      </c>
      <c r="AW349" s="732">
        <f t="shared" si="112"/>
        <v>0</v>
      </c>
      <c r="AX349" s="732">
        <f t="shared" si="112"/>
        <v>0</v>
      </c>
      <c r="AY349" s="732">
        <f t="shared" si="112"/>
        <v>0</v>
      </c>
      <c r="AZ349" s="732">
        <f t="shared" si="112"/>
        <v>0</v>
      </c>
      <c r="BA349" s="732">
        <f t="shared" si="112"/>
        <v>0</v>
      </c>
      <c r="BB349" s="732">
        <f t="shared" si="112"/>
        <v>0</v>
      </c>
      <c r="BC349" s="732">
        <f t="shared" si="112"/>
        <v>0</v>
      </c>
      <c r="BD349" s="732">
        <f t="shared" si="112"/>
        <v>0</v>
      </c>
      <c r="BE349" s="732">
        <f t="shared" si="112"/>
        <v>0</v>
      </c>
      <c r="BF349" s="732">
        <f t="shared" si="112"/>
        <v>0</v>
      </c>
      <c r="BG349" s="732">
        <f t="shared" si="112"/>
        <v>0</v>
      </c>
      <c r="BH349" s="732">
        <f t="shared" si="112"/>
        <v>0</v>
      </c>
      <c r="BI349" s="732">
        <f t="shared" si="112"/>
        <v>0</v>
      </c>
      <c r="BJ349" s="732">
        <f t="shared" si="112"/>
        <v>0</v>
      </c>
      <c r="BK349" s="732">
        <f t="shared" si="112"/>
        <v>0</v>
      </c>
      <c r="BL349" s="732">
        <f t="shared" si="112"/>
        <v>0</v>
      </c>
      <c r="BM349" s="732">
        <f t="shared" si="112"/>
        <v>0</v>
      </c>
      <c r="BN349" s="732">
        <f t="shared" si="112"/>
        <v>0</v>
      </c>
      <c r="BO349" s="732">
        <f t="shared" si="112"/>
        <v>0</v>
      </c>
      <c r="BP349" s="732">
        <f t="shared" ref="BP349:CA349" si="114">SUM(BP342:BP348)</f>
        <v>0</v>
      </c>
      <c r="BQ349" s="732">
        <f t="shared" si="114"/>
        <v>0</v>
      </c>
      <c r="BR349" s="732">
        <f t="shared" si="114"/>
        <v>0</v>
      </c>
      <c r="BS349" s="732">
        <f t="shared" si="114"/>
        <v>0</v>
      </c>
      <c r="BT349" s="732">
        <f t="shared" si="114"/>
        <v>0</v>
      </c>
      <c r="BU349" s="732">
        <f t="shared" si="114"/>
        <v>0</v>
      </c>
      <c r="BV349" s="732">
        <f t="shared" si="114"/>
        <v>0</v>
      </c>
      <c r="BW349" s="732">
        <f t="shared" si="114"/>
        <v>0</v>
      </c>
      <c r="BX349" s="732">
        <f t="shared" si="114"/>
        <v>0</v>
      </c>
      <c r="BY349" s="732">
        <f t="shared" si="114"/>
        <v>0</v>
      </c>
      <c r="BZ349" s="732">
        <f t="shared" si="114"/>
        <v>0</v>
      </c>
      <c r="CA349" s="732">
        <f t="shared" si="114"/>
        <v>0</v>
      </c>
    </row>
    <row r="350" spans="1:79" s="308" customFormat="1" hidden="1" outlineLevel="1" x14ac:dyDescent="0.25">
      <c r="A350" s="571"/>
      <c r="B350" s="29"/>
      <c r="C350" s="29"/>
      <c r="D350" s="29"/>
      <c r="E350" s="570" t="s">
        <v>945</v>
      </c>
      <c r="F350" s="29" t="s">
        <v>692</v>
      </c>
      <c r="G350" s="719">
        <v>475.20448253623181</v>
      </c>
      <c r="H350" s="719">
        <v>212.09080004650605</v>
      </c>
      <c r="I350" s="719">
        <v>177.54297142163705</v>
      </c>
      <c r="J350" s="719">
        <v>86.921005572126887</v>
      </c>
      <c r="K350" s="719">
        <v>27.391118920539157</v>
      </c>
      <c r="L350" s="719">
        <v>6.9895045372468303</v>
      </c>
      <c r="M350" s="719">
        <v>31.242020319208677</v>
      </c>
      <c r="N350" s="719">
        <v>31.912841793789994</v>
      </c>
      <c r="O350" s="719">
        <v>198.72363015279552</v>
      </c>
      <c r="P350" s="716">
        <v>62.440503141464433</v>
      </c>
      <c r="Q350" s="716">
        <v>126.62865285605949</v>
      </c>
      <c r="R350" s="716">
        <v>85.508797879279882</v>
      </c>
      <c r="S350" s="667">
        <v>0</v>
      </c>
      <c r="T350" s="667">
        <v>0</v>
      </c>
      <c r="U350" s="667">
        <v>0</v>
      </c>
      <c r="V350" s="667">
        <v>0</v>
      </c>
      <c r="W350" s="667">
        <v>0</v>
      </c>
      <c r="X350" s="667">
        <v>0</v>
      </c>
      <c r="Y350" s="667">
        <v>0</v>
      </c>
      <c r="Z350" s="667">
        <v>0</v>
      </c>
      <c r="AA350" s="667">
        <v>0</v>
      </c>
      <c r="AB350" s="667">
        <v>0</v>
      </c>
      <c r="AC350" s="667">
        <v>0</v>
      </c>
      <c r="AD350" s="667">
        <v>0</v>
      </c>
      <c r="AE350" s="667">
        <v>0</v>
      </c>
      <c r="AF350" s="667">
        <v>0</v>
      </c>
      <c r="AG350" s="667">
        <v>0</v>
      </c>
      <c r="AH350" s="718"/>
      <c r="AI350" s="718"/>
      <c r="AJ350" s="718"/>
      <c r="AK350" s="718"/>
      <c r="AL350" s="718"/>
      <c r="AM350" s="718"/>
      <c r="AN350" s="718"/>
      <c r="AO350" s="718"/>
      <c r="AP350" s="718"/>
      <c r="AQ350" s="718"/>
      <c r="AR350" s="718"/>
      <c r="AS350" s="718"/>
      <c r="AT350" s="718"/>
      <c r="AU350" s="718"/>
      <c r="AV350" s="718"/>
      <c r="AW350" s="718"/>
      <c r="AX350" s="718"/>
      <c r="AY350" s="718"/>
      <c r="AZ350" s="718"/>
      <c r="BA350" s="718"/>
      <c r="BB350" s="718"/>
      <c r="BC350" s="718"/>
      <c r="BD350" s="718"/>
      <c r="BE350" s="718"/>
      <c r="BF350" s="718"/>
      <c r="BG350" s="718"/>
      <c r="BH350" s="718"/>
      <c r="BI350" s="718"/>
      <c r="BJ350" s="718"/>
      <c r="BK350" s="718"/>
      <c r="BL350" s="718"/>
      <c r="BM350" s="718"/>
      <c r="BN350" s="718"/>
      <c r="BO350" s="718"/>
      <c r="BP350" s="718"/>
      <c r="BQ350" s="718"/>
      <c r="BR350" s="718"/>
      <c r="BS350" s="718"/>
      <c r="BT350" s="718"/>
      <c r="BU350" s="718"/>
      <c r="BV350" s="718"/>
      <c r="BW350" s="718"/>
      <c r="BX350" s="718"/>
      <c r="BY350" s="718"/>
      <c r="BZ350" s="718"/>
      <c r="CA350" s="718"/>
    </row>
    <row r="351" spans="1:79" s="868" customFormat="1" ht="15.75" collapsed="1" thickBot="1" x14ac:dyDescent="0.3">
      <c r="A351" s="892"/>
      <c r="B351" s="499"/>
      <c r="C351" s="499"/>
      <c r="D351" s="499"/>
      <c r="E351" s="892"/>
      <c r="F351" s="892" t="s">
        <v>694</v>
      </c>
      <c r="G351" s="894">
        <f t="shared" ref="G351:R351" si="115">ROUND(SUM(G180:G188)+SUM(G192:G197)+SUM(G198:G199)+G203+SUM(G207:G209)+SUM(G222:G226)+SUM(G237:G238)+G257+SUM(G261:G264)+G275+G283+SUM(G289:G291)+SUM(G297:G298)+SUM(G331:G332)+SUM(G338:G340)+SUM(G349:G350),5)</f>
        <v>122743.50469</v>
      </c>
      <c r="H351" s="894">
        <f t="shared" si="115"/>
        <v>165589.8769</v>
      </c>
      <c r="I351" s="894">
        <f t="shared" si="115"/>
        <v>193250.67444999999</v>
      </c>
      <c r="J351" s="894">
        <f t="shared" si="115"/>
        <v>185825.60762</v>
      </c>
      <c r="K351" s="894">
        <f t="shared" si="115"/>
        <v>149635.46805</v>
      </c>
      <c r="L351" s="894">
        <f t="shared" si="115"/>
        <v>169801.64715999999</v>
      </c>
      <c r="M351" s="894">
        <f t="shared" si="115"/>
        <v>149358.31896999999</v>
      </c>
      <c r="N351" s="894">
        <f t="shared" si="115"/>
        <v>172621.19657999999</v>
      </c>
      <c r="O351" s="894">
        <f t="shared" si="115"/>
        <v>167594.95439999999</v>
      </c>
      <c r="P351" s="894">
        <f t="shared" si="115"/>
        <v>180125.49536999999</v>
      </c>
      <c r="Q351" s="894">
        <f t="shared" si="115"/>
        <v>120151.0729</v>
      </c>
      <c r="R351" s="894">
        <f t="shared" si="115"/>
        <v>98802.597529999999</v>
      </c>
      <c r="S351" s="894">
        <f t="shared" ref="S351:AC351" si="116">ROUND(SUM(S180:S188)+SUM(S192:S197)+SUM(S198:S199)+S203+SUM(S207:S209)+SUM(S222:S226)+SUM(S237:S238)+S257+SUM(S261:S264)+S275+S283+SUM(S289:S291)+SUM(S297:S298)+SUM(S331:S332)+SUM(S338:S340)+SUM(S349:S350),5)</f>
        <v>296216.34999999998</v>
      </c>
      <c r="T351" s="894">
        <f t="shared" si="116"/>
        <v>221717.66</v>
      </c>
      <c r="U351" s="894">
        <f t="shared" si="116"/>
        <v>288431.05</v>
      </c>
      <c r="V351" s="894">
        <f t="shared" si="116"/>
        <v>276885.86</v>
      </c>
      <c r="W351" s="894">
        <f t="shared" si="116"/>
        <v>308903.64</v>
      </c>
      <c r="X351" s="894">
        <f t="shared" si="116"/>
        <v>489734.78</v>
      </c>
      <c r="Y351" s="894">
        <f t="shared" si="116"/>
        <v>734273.72</v>
      </c>
      <c r="Z351" s="894">
        <f t="shared" si="116"/>
        <v>694948.04</v>
      </c>
      <c r="AA351" s="894">
        <f t="shared" si="116"/>
        <v>478873.26</v>
      </c>
      <c r="AB351" s="894">
        <f t="shared" si="116"/>
        <v>431771.88</v>
      </c>
      <c r="AC351" s="894">
        <f t="shared" si="116"/>
        <v>469217.29</v>
      </c>
      <c r="AD351" s="894">
        <f>ROUND(SUM(AD181:AD188)+SUM(AD192:AD199)+AD203+SUM(AD207:AD209)+SUM(AD222:AD226)+SUM(AD237:AD238)+AD257+SUM(AD261:AD264)+AD275+AD283+SUM(AD289:AD291)+SUM(AD297:AD298)+SUM(AD331:AD332)+SUM(AD338:AD340)+SUM(AD349:AD350),5)</f>
        <v>373012.06</v>
      </c>
      <c r="AE351" s="894">
        <f>ROUND(SUM(AE180:AE188)+SUM(AE192:AE199)+AE203+SUM(AE207:AE209)+SUM(AE222:AE226)+SUM(AE237:AE238)+AE257+SUM(AE261:AE264)+AE275+AE283+SUM(AE289:AE291)+SUM(AE297:AE298)+SUM(AE331:AE332)+SUM(AE338:AE340)+SUM(AE349:AE350),5)</f>
        <v>416289.09</v>
      </c>
      <c r="AF351" s="894">
        <f>ROUND(SUM(AF180:AF188)+SUM(AF192:AF199)+AF203+SUM(AF207:AF209)+SUM(AF222:AF226)+SUM(AF237:AF238)+AF257+SUM(AF261:AF264)+AF275+AF283+SUM(AF289:AF291)+SUM(AF297:AF298)+SUM(AF331:AF332)+SUM(AF338:AF340)+SUM(AF349:AF350),5)</f>
        <v>421370.4</v>
      </c>
      <c r="AG351" s="894">
        <f>ROUND(SUM(AG180:AG188)+SUM(AG192:AG199)+AG203+SUM(AG207:AG209)+SUM(AG222:AG226)+SUM(AG237:AG238)+AG257+SUM(AG261:AG264)+AG275+AG283+SUM(AG289:AG291)+SUM(AG297:AG298)+SUM(AG331:AG332)+SUM(AG338:AG340)+SUM(AG349:AG350),5)</f>
        <v>624553.94999999995</v>
      </c>
      <c r="AH351" s="893">
        <f t="shared" ref="AH351:CA351" si="117">SUM(AH183:AH350)-SUM(AH349,AH338,AH331,AH329,AH319,AH309,AH297,AH289,AH283,AH275,AH261,AH257,AH237,AH222,AH207,AH203,AH214,AH192)</f>
        <v>0</v>
      </c>
      <c r="AI351" s="893">
        <f t="shared" si="117"/>
        <v>0</v>
      </c>
      <c r="AJ351" s="893">
        <f t="shared" si="117"/>
        <v>0</v>
      </c>
      <c r="AK351" s="893">
        <f t="shared" si="117"/>
        <v>0</v>
      </c>
      <c r="AL351" s="893">
        <f t="shared" si="117"/>
        <v>0</v>
      </c>
      <c r="AM351" s="893">
        <f t="shared" si="117"/>
        <v>0</v>
      </c>
      <c r="AN351" s="893">
        <f t="shared" si="117"/>
        <v>0</v>
      </c>
      <c r="AO351" s="893">
        <f t="shared" si="117"/>
        <v>0</v>
      </c>
      <c r="AP351" s="893">
        <f t="shared" si="117"/>
        <v>0</v>
      </c>
      <c r="AQ351" s="893">
        <f t="shared" si="117"/>
        <v>0</v>
      </c>
      <c r="AR351" s="893">
        <f t="shared" si="117"/>
        <v>0</v>
      </c>
      <c r="AS351" s="893">
        <f t="shared" si="117"/>
        <v>0</v>
      </c>
      <c r="AT351" s="893">
        <f t="shared" si="117"/>
        <v>0</v>
      </c>
      <c r="AU351" s="893">
        <f t="shared" si="117"/>
        <v>0</v>
      </c>
      <c r="AV351" s="893">
        <f t="shared" si="117"/>
        <v>0</v>
      </c>
      <c r="AW351" s="893">
        <f t="shared" si="117"/>
        <v>0</v>
      </c>
      <c r="AX351" s="893">
        <f t="shared" si="117"/>
        <v>0</v>
      </c>
      <c r="AY351" s="893">
        <f t="shared" si="117"/>
        <v>0</v>
      </c>
      <c r="AZ351" s="893">
        <f t="shared" si="117"/>
        <v>0</v>
      </c>
      <c r="BA351" s="893">
        <f t="shared" si="117"/>
        <v>0</v>
      </c>
      <c r="BB351" s="893">
        <f t="shared" si="117"/>
        <v>0</v>
      </c>
      <c r="BC351" s="893">
        <f t="shared" si="117"/>
        <v>0</v>
      </c>
      <c r="BD351" s="893">
        <f t="shared" si="117"/>
        <v>0</v>
      </c>
      <c r="BE351" s="893">
        <f t="shared" si="117"/>
        <v>0</v>
      </c>
      <c r="BF351" s="893">
        <f t="shared" si="117"/>
        <v>0</v>
      </c>
      <c r="BG351" s="893">
        <f t="shared" si="117"/>
        <v>0</v>
      </c>
      <c r="BH351" s="893">
        <f t="shared" si="117"/>
        <v>0</v>
      </c>
      <c r="BI351" s="893">
        <f t="shared" si="117"/>
        <v>0</v>
      </c>
      <c r="BJ351" s="893">
        <f t="shared" si="117"/>
        <v>0</v>
      </c>
      <c r="BK351" s="893">
        <f t="shared" si="117"/>
        <v>0</v>
      </c>
      <c r="BL351" s="893">
        <f t="shared" si="117"/>
        <v>0</v>
      </c>
      <c r="BM351" s="893">
        <f t="shared" si="117"/>
        <v>0</v>
      </c>
      <c r="BN351" s="893">
        <f t="shared" si="117"/>
        <v>0</v>
      </c>
      <c r="BO351" s="893">
        <f t="shared" si="117"/>
        <v>0</v>
      </c>
      <c r="BP351" s="893">
        <f t="shared" si="117"/>
        <v>0</v>
      </c>
      <c r="BQ351" s="893">
        <f t="shared" si="117"/>
        <v>0</v>
      </c>
      <c r="BR351" s="893">
        <f t="shared" si="117"/>
        <v>0</v>
      </c>
      <c r="BS351" s="893">
        <f t="shared" si="117"/>
        <v>0</v>
      </c>
      <c r="BT351" s="893">
        <f t="shared" si="117"/>
        <v>0</v>
      </c>
      <c r="BU351" s="893">
        <f t="shared" si="117"/>
        <v>0</v>
      </c>
      <c r="BV351" s="893">
        <f t="shared" si="117"/>
        <v>0</v>
      </c>
      <c r="BW351" s="893">
        <f t="shared" si="117"/>
        <v>0</v>
      </c>
      <c r="BX351" s="893">
        <f t="shared" si="117"/>
        <v>0</v>
      </c>
      <c r="BY351" s="893">
        <f t="shared" si="117"/>
        <v>0</v>
      </c>
      <c r="BZ351" s="893">
        <f t="shared" si="117"/>
        <v>0</v>
      </c>
      <c r="CA351" s="893">
        <f t="shared" si="117"/>
        <v>0</v>
      </c>
    </row>
    <row r="352" spans="1:79" ht="15.75" thickTop="1" x14ac:dyDescent="0.25">
      <c r="G352" s="744"/>
      <c r="H352" s="744"/>
      <c r="I352" s="744"/>
      <c r="J352" s="744"/>
      <c r="K352" s="744"/>
      <c r="L352" s="744"/>
      <c r="M352" s="744"/>
      <c r="N352" s="744"/>
      <c r="O352" s="744"/>
      <c r="P352" s="744"/>
      <c r="Q352" s="744"/>
      <c r="R352" s="744"/>
      <c r="S352" s="744"/>
      <c r="T352" s="744"/>
      <c r="U352" s="744"/>
      <c r="V352" s="745"/>
      <c r="W352" s="745"/>
      <c r="X352" s="745"/>
      <c r="Y352" s="745"/>
      <c r="Z352" s="745"/>
      <c r="AA352" s="745"/>
      <c r="AB352" s="718"/>
      <c r="AC352" s="718"/>
      <c r="AD352" s="718" t="s">
        <v>782</v>
      </c>
      <c r="AE352" s="718"/>
      <c r="AF352" s="718"/>
      <c r="AG352" s="718"/>
      <c r="AH352" s="718"/>
      <c r="AI352" s="718"/>
      <c r="AJ352" s="718"/>
      <c r="AK352" s="718"/>
      <c r="AL352" s="718"/>
      <c r="AM352" s="718"/>
      <c r="AN352" s="718"/>
      <c r="AO352" s="718"/>
      <c r="AP352" s="718"/>
      <c r="AQ352" s="718"/>
      <c r="AR352" s="718"/>
      <c r="AS352" s="718"/>
      <c r="AT352" s="718"/>
      <c r="AU352" s="718"/>
      <c r="AV352" s="718"/>
      <c r="AW352" s="718"/>
      <c r="AX352" s="718"/>
      <c r="AY352" s="718"/>
      <c r="AZ352" s="718"/>
      <c r="BA352" s="718"/>
      <c r="BB352" s="718"/>
      <c r="BC352" s="718"/>
      <c r="BD352" s="718"/>
      <c r="BE352" s="718"/>
      <c r="BF352" s="718"/>
      <c r="BG352" s="718"/>
      <c r="BH352" s="718"/>
      <c r="BI352" s="718"/>
      <c r="BJ352" s="718"/>
      <c r="BK352" s="718"/>
      <c r="BL352" s="718"/>
      <c r="BM352" s="718"/>
      <c r="BN352" s="718"/>
      <c r="BO352" s="718"/>
      <c r="BP352" s="718"/>
      <c r="BQ352" s="718"/>
      <c r="BR352" s="718"/>
      <c r="BS352" s="718"/>
      <c r="BT352" s="718"/>
      <c r="BU352" s="718"/>
      <c r="BV352" s="718"/>
      <c r="BW352" s="718"/>
      <c r="BX352" s="718"/>
      <c r="BY352" s="718"/>
      <c r="BZ352" s="718"/>
      <c r="CA352" s="718"/>
    </row>
    <row r="353" spans="1:79" x14ac:dyDescent="0.25">
      <c r="G353" s="719"/>
      <c r="H353" s="719"/>
      <c r="I353" s="719"/>
      <c r="J353" s="719"/>
      <c r="K353" s="719"/>
      <c r="L353" s="719"/>
      <c r="M353" s="719"/>
      <c r="N353" s="719"/>
      <c r="O353" s="719"/>
      <c r="P353" s="719"/>
      <c r="Q353" s="719"/>
      <c r="R353" s="719"/>
      <c r="S353" s="719"/>
      <c r="T353" s="719"/>
      <c r="U353" s="719"/>
      <c r="V353" s="719"/>
      <c r="W353" s="719"/>
      <c r="X353" s="719"/>
      <c r="Y353" s="719"/>
      <c r="Z353" s="719"/>
      <c r="AA353" s="719"/>
      <c r="AB353" s="718"/>
      <c r="AC353" s="718"/>
      <c r="AD353" s="718"/>
      <c r="AE353" s="718"/>
      <c r="AF353" s="718"/>
      <c r="AG353" s="718"/>
      <c r="AH353" s="718"/>
      <c r="AI353" s="718"/>
      <c r="AJ353" s="718"/>
      <c r="AK353" s="718"/>
      <c r="AL353" s="718"/>
      <c r="AM353" s="718"/>
      <c r="AN353" s="718"/>
      <c r="AO353" s="718"/>
      <c r="AP353" s="718"/>
      <c r="AQ353" s="718"/>
      <c r="AR353" s="718"/>
      <c r="AS353" s="718"/>
      <c r="AT353" s="718"/>
      <c r="AU353" s="718"/>
      <c r="AV353" s="718"/>
      <c r="AW353" s="718"/>
      <c r="AX353" s="718"/>
      <c r="AY353" s="718"/>
      <c r="AZ353" s="718"/>
      <c r="BA353" s="718"/>
      <c r="BB353" s="718"/>
      <c r="BC353" s="718"/>
      <c r="BD353" s="718"/>
      <c r="BE353" s="718"/>
      <c r="BF353" s="718"/>
      <c r="BG353" s="718"/>
      <c r="BH353" s="718"/>
      <c r="BI353" s="718"/>
      <c r="BJ353" s="718"/>
      <c r="BK353" s="718"/>
      <c r="BL353" s="718"/>
      <c r="BM353" s="718"/>
      <c r="BN353" s="718"/>
      <c r="BO353" s="718"/>
      <c r="BP353" s="718"/>
      <c r="BQ353" s="718"/>
      <c r="BR353" s="718"/>
      <c r="BS353" s="718"/>
      <c r="BT353" s="718"/>
      <c r="BU353" s="718"/>
      <c r="BV353" s="718"/>
      <c r="BW353" s="718"/>
      <c r="BX353" s="718"/>
      <c r="BY353" s="718"/>
      <c r="BZ353" s="718"/>
      <c r="CA353" s="718"/>
    </row>
    <row r="354" spans="1:79" s="859" customFormat="1" x14ac:dyDescent="0.25">
      <c r="A354" s="863"/>
      <c r="E354" s="863"/>
      <c r="F354" s="863" t="s">
        <v>66</v>
      </c>
      <c r="G354" s="864"/>
      <c r="H354" s="864"/>
      <c r="I354" s="864"/>
      <c r="J354" s="864"/>
      <c r="K354" s="864"/>
      <c r="L354" s="864"/>
      <c r="M354" s="864"/>
      <c r="N354" s="864"/>
      <c r="O354" s="864"/>
      <c r="P354" s="864"/>
      <c r="Q354" s="864"/>
      <c r="R354" s="864"/>
      <c r="S354" s="864"/>
      <c r="T354" s="864"/>
      <c r="U354" s="864"/>
      <c r="V354" s="864"/>
      <c r="W354" s="864"/>
      <c r="X354" s="864"/>
      <c r="Y354" s="864"/>
      <c r="Z354" s="864"/>
      <c r="AA354" s="864"/>
      <c r="AB354" s="864"/>
      <c r="AC354" s="864"/>
      <c r="AD354" s="864"/>
      <c r="AE354" s="864"/>
      <c r="AF354" s="864"/>
      <c r="AG354" s="863"/>
      <c r="AH354" s="864"/>
      <c r="AI354" s="864"/>
      <c r="AJ354" s="864"/>
      <c r="AK354" s="864"/>
      <c r="AL354" s="864"/>
      <c r="AM354" s="864"/>
      <c r="AN354" s="864"/>
      <c r="AO354" s="864"/>
      <c r="AP354" s="864"/>
      <c r="AQ354" s="864"/>
      <c r="AR354" s="864"/>
      <c r="AS354" s="864"/>
      <c r="AT354" s="864"/>
      <c r="AU354" s="864"/>
      <c r="AV354" s="864"/>
      <c r="AW354" s="864"/>
      <c r="AX354" s="864"/>
      <c r="AY354" s="864"/>
      <c r="AZ354" s="864"/>
      <c r="BA354" s="864"/>
      <c r="BB354" s="864"/>
      <c r="BC354" s="864"/>
      <c r="BD354" s="864"/>
      <c r="BE354" s="864"/>
      <c r="BF354" s="864"/>
      <c r="BG354" s="864"/>
      <c r="BH354" s="864"/>
      <c r="BI354" s="864"/>
      <c r="BJ354" s="864"/>
      <c r="BK354" s="864"/>
      <c r="BL354" s="864"/>
      <c r="BM354" s="864"/>
      <c r="BN354" s="864"/>
      <c r="BO354" s="864"/>
      <c r="BP354" s="864"/>
      <c r="BQ354" s="864"/>
      <c r="BR354" s="864"/>
      <c r="BS354" s="864"/>
      <c r="BT354" s="864"/>
      <c r="BU354" s="864"/>
      <c r="BV354" s="864"/>
      <c r="BW354" s="864"/>
      <c r="BX354" s="864"/>
      <c r="BY354" s="864"/>
      <c r="BZ354" s="864"/>
      <c r="CA354" s="864"/>
    </row>
    <row r="355" spans="1:79" outlineLevel="1" x14ac:dyDescent="0.25">
      <c r="A355" s="654"/>
      <c r="B355" s="223"/>
      <c r="C355" s="223"/>
      <c r="D355" s="223"/>
      <c r="E355" s="570" t="s">
        <v>1323</v>
      </c>
      <c r="F355" s="654" t="s">
        <v>1320</v>
      </c>
      <c r="G355" s="663"/>
      <c r="H355" s="663"/>
      <c r="I355" s="663"/>
      <c r="J355" s="663"/>
      <c r="K355" s="663"/>
      <c r="L355" s="663"/>
      <c r="M355" s="663"/>
      <c r="N355" s="663"/>
      <c r="O355" s="663"/>
      <c r="P355" s="663"/>
      <c r="Q355" s="663"/>
      <c r="R355" s="663"/>
      <c r="S355" s="663"/>
      <c r="T355" s="663"/>
      <c r="U355" s="663"/>
      <c r="V355" s="663"/>
      <c r="W355" s="663"/>
      <c r="X355" s="663"/>
      <c r="Y355" s="663"/>
      <c r="Z355" s="663"/>
      <c r="AA355" s="663"/>
      <c r="AB355" s="663"/>
      <c r="AC355" s="663"/>
      <c r="AD355" s="663"/>
      <c r="AE355" s="663">
        <v>0</v>
      </c>
      <c r="AF355" s="663">
        <v>0</v>
      </c>
      <c r="AG355" s="663">
        <v>0</v>
      </c>
      <c r="AH355" s="663"/>
      <c r="AI355" s="663"/>
      <c r="AJ355" s="663"/>
      <c r="AK355" s="663"/>
      <c r="AL355" s="663"/>
      <c r="AM355" s="663"/>
      <c r="AN355" s="663"/>
      <c r="AO355" s="663"/>
      <c r="AP355" s="663"/>
      <c r="AQ355" s="663"/>
      <c r="AR355" s="663"/>
      <c r="AS355" s="663"/>
      <c r="AT355" s="663"/>
      <c r="AU355" s="663"/>
      <c r="AV355" s="663"/>
      <c r="AW355" s="663"/>
      <c r="AX355" s="663"/>
      <c r="AY355" s="663"/>
      <c r="AZ355" s="663"/>
      <c r="BA355" s="663"/>
      <c r="BB355" s="663"/>
      <c r="BC355" s="663"/>
      <c r="BD355" s="663"/>
      <c r="BE355" s="663"/>
      <c r="BF355" s="663"/>
      <c r="BG355" s="663"/>
      <c r="BH355" s="663"/>
      <c r="BI355" s="663"/>
      <c r="BJ355" s="663"/>
      <c r="BK355" s="663"/>
      <c r="BL355" s="663"/>
      <c r="BM355" s="663"/>
      <c r="BN355" s="663"/>
      <c r="BO355" s="663"/>
      <c r="BP355" s="663"/>
      <c r="BQ355" s="663"/>
      <c r="BR355" s="663"/>
      <c r="BS355" s="663"/>
      <c r="BT355" s="663"/>
      <c r="BU355" s="663"/>
      <c r="BV355" s="663"/>
      <c r="BW355" s="663"/>
      <c r="BX355" s="663"/>
      <c r="BY355" s="663"/>
      <c r="BZ355" s="663"/>
      <c r="CA355" s="663"/>
    </row>
    <row r="356" spans="1:79" outlineLevel="1" x14ac:dyDescent="0.25">
      <c r="A356" s="654"/>
      <c r="B356" s="223"/>
      <c r="C356" s="223"/>
      <c r="D356" s="223"/>
      <c r="E356" s="570" t="s">
        <v>1324</v>
      </c>
      <c r="F356" s="654" t="s">
        <v>1321</v>
      </c>
      <c r="G356" s="663"/>
      <c r="H356" s="663"/>
      <c r="I356" s="663"/>
      <c r="J356" s="663"/>
      <c r="K356" s="663"/>
      <c r="L356" s="663"/>
      <c r="M356" s="663"/>
      <c r="N356" s="663"/>
      <c r="O356" s="663"/>
      <c r="P356" s="663"/>
      <c r="Q356" s="663"/>
      <c r="R356" s="663"/>
      <c r="S356" s="663"/>
      <c r="T356" s="663"/>
      <c r="U356" s="663"/>
      <c r="V356" s="663"/>
      <c r="W356" s="663"/>
      <c r="X356" s="663"/>
      <c r="Y356" s="663"/>
      <c r="Z356" s="663"/>
      <c r="AA356" s="663"/>
      <c r="AB356" s="663"/>
      <c r="AC356" s="663"/>
      <c r="AD356" s="663"/>
      <c r="AE356" s="663">
        <v>0</v>
      </c>
      <c r="AF356" s="663">
        <v>0</v>
      </c>
      <c r="AG356" s="663">
        <v>0</v>
      </c>
      <c r="AH356" s="663"/>
      <c r="AI356" s="663"/>
      <c r="AJ356" s="663"/>
      <c r="AK356" s="663"/>
      <c r="AL356" s="663"/>
      <c r="AM356" s="663"/>
      <c r="AN356" s="663"/>
      <c r="AO356" s="663"/>
      <c r="AP356" s="663"/>
      <c r="AQ356" s="663"/>
      <c r="AR356" s="663"/>
      <c r="AS356" s="663"/>
      <c r="AT356" s="663"/>
      <c r="AU356" s="663"/>
      <c r="AV356" s="663"/>
      <c r="AW356" s="663"/>
      <c r="AX356" s="663"/>
      <c r="AY356" s="663"/>
      <c r="AZ356" s="663"/>
      <c r="BA356" s="663"/>
      <c r="BB356" s="663"/>
      <c r="BC356" s="663"/>
      <c r="BD356" s="663"/>
      <c r="BE356" s="663"/>
      <c r="BF356" s="663"/>
      <c r="BG356" s="663"/>
      <c r="BH356" s="663"/>
      <c r="BI356" s="663"/>
      <c r="BJ356" s="663"/>
      <c r="BK356" s="663"/>
      <c r="BL356" s="663"/>
      <c r="BM356" s="663"/>
      <c r="BN356" s="663"/>
      <c r="BO356" s="663"/>
      <c r="BP356" s="663"/>
      <c r="BQ356" s="663"/>
      <c r="BR356" s="663"/>
      <c r="BS356" s="663"/>
      <c r="BT356" s="663"/>
      <c r="BU356" s="663"/>
      <c r="BV356" s="663"/>
      <c r="BW356" s="663"/>
      <c r="BX356" s="663"/>
      <c r="BY356" s="663"/>
      <c r="BZ356" s="663"/>
      <c r="CA356" s="663"/>
    </row>
    <row r="357" spans="1:79" outlineLevel="1" x14ac:dyDescent="0.25">
      <c r="A357" s="654"/>
      <c r="B357" s="223"/>
      <c r="C357" s="223"/>
      <c r="D357" s="223"/>
      <c r="E357" s="570" t="s">
        <v>1325</v>
      </c>
      <c r="F357" s="654" t="s">
        <v>696</v>
      </c>
      <c r="G357" s="663"/>
      <c r="H357" s="663"/>
      <c r="I357" s="663"/>
      <c r="J357" s="663"/>
      <c r="K357" s="663"/>
      <c r="L357" s="663"/>
      <c r="M357" s="663"/>
      <c r="N357" s="663"/>
      <c r="O357" s="663"/>
      <c r="P357" s="663"/>
      <c r="Q357" s="663"/>
      <c r="R357" s="663"/>
      <c r="S357" s="663">
        <v>0</v>
      </c>
      <c r="T357" s="663">
        <v>0</v>
      </c>
      <c r="U357" s="663">
        <v>0</v>
      </c>
      <c r="V357" s="663">
        <v>0</v>
      </c>
      <c r="W357" s="663">
        <v>0</v>
      </c>
      <c r="X357" s="663">
        <v>0</v>
      </c>
      <c r="Y357" s="663">
        <v>0</v>
      </c>
      <c r="Z357" s="663">
        <v>0</v>
      </c>
      <c r="AA357" s="663">
        <v>0</v>
      </c>
      <c r="AB357" s="663">
        <v>0</v>
      </c>
      <c r="AC357" s="663">
        <v>0</v>
      </c>
      <c r="AD357" s="663">
        <v>0</v>
      </c>
      <c r="AE357" s="663">
        <v>0</v>
      </c>
      <c r="AF357" s="663">
        <v>0</v>
      </c>
      <c r="AG357" s="663">
        <v>0</v>
      </c>
      <c r="AH357" s="663"/>
      <c r="AI357" s="663"/>
      <c r="AJ357" s="663"/>
      <c r="AK357" s="663"/>
      <c r="AL357" s="663"/>
      <c r="AM357" s="663"/>
      <c r="AN357" s="663"/>
      <c r="AO357" s="663"/>
      <c r="AP357" s="663"/>
      <c r="AQ357" s="663"/>
      <c r="AR357" s="663"/>
      <c r="AS357" s="663"/>
      <c r="AT357" s="663"/>
      <c r="AU357" s="663"/>
      <c r="AV357" s="663"/>
      <c r="AW357" s="663"/>
      <c r="AX357" s="663"/>
      <c r="AY357" s="663"/>
      <c r="AZ357" s="663"/>
      <c r="BA357" s="663"/>
      <c r="BB357" s="663"/>
      <c r="BC357" s="663"/>
      <c r="BD357" s="663"/>
      <c r="BE357" s="663"/>
      <c r="BF357" s="663"/>
      <c r="BG357" s="663"/>
      <c r="BH357" s="663"/>
      <c r="BI357" s="663"/>
      <c r="BJ357" s="663"/>
      <c r="BK357" s="663"/>
      <c r="BL357" s="663"/>
      <c r="BM357" s="663"/>
      <c r="BN357" s="663"/>
      <c r="BO357" s="663"/>
      <c r="BP357" s="663"/>
      <c r="BQ357" s="663"/>
      <c r="BR357" s="663"/>
      <c r="BS357" s="663"/>
      <c r="BT357" s="663"/>
      <c r="BU357" s="663"/>
      <c r="BV357" s="663"/>
      <c r="BW357" s="663"/>
      <c r="BX357" s="663"/>
      <c r="BY357" s="663"/>
      <c r="BZ357" s="663"/>
      <c r="CA357" s="663"/>
    </row>
    <row r="358" spans="1:79" outlineLevel="1" x14ac:dyDescent="0.25">
      <c r="A358" s="655"/>
      <c r="B358" s="223"/>
      <c r="C358" s="223"/>
      <c r="D358" s="223"/>
      <c r="E358" s="570" t="s">
        <v>1326</v>
      </c>
      <c r="F358" s="655" t="s">
        <v>850</v>
      </c>
      <c r="G358" s="663"/>
      <c r="H358" s="663"/>
      <c r="I358" s="663"/>
      <c r="J358" s="663"/>
      <c r="K358" s="663"/>
      <c r="L358" s="663"/>
      <c r="M358" s="663"/>
      <c r="N358" s="663"/>
      <c r="O358" s="663"/>
      <c r="P358" s="663"/>
      <c r="Q358" s="663"/>
      <c r="R358" s="663"/>
      <c r="S358" s="663">
        <v>0</v>
      </c>
      <c r="T358" s="663">
        <v>0</v>
      </c>
      <c r="U358" s="663">
        <v>0</v>
      </c>
      <c r="V358" s="663">
        <v>0</v>
      </c>
      <c r="W358" s="663">
        <v>0</v>
      </c>
      <c r="X358" s="663">
        <v>0</v>
      </c>
      <c r="Y358" s="663">
        <v>0</v>
      </c>
      <c r="Z358" s="663">
        <v>0</v>
      </c>
      <c r="AA358" s="663">
        <v>0</v>
      </c>
      <c r="AB358" s="663">
        <v>0</v>
      </c>
      <c r="AC358" s="663">
        <v>0</v>
      </c>
      <c r="AD358" s="663">
        <v>0</v>
      </c>
      <c r="AE358" s="663">
        <v>0</v>
      </c>
      <c r="AF358" s="663">
        <v>0</v>
      </c>
      <c r="AG358" s="663">
        <v>0</v>
      </c>
      <c r="AH358" s="663"/>
      <c r="AI358" s="663"/>
      <c r="AJ358" s="663"/>
      <c r="AK358" s="663"/>
      <c r="AL358" s="663"/>
      <c r="AM358" s="663"/>
      <c r="AN358" s="663"/>
      <c r="AO358" s="663"/>
      <c r="AP358" s="663"/>
      <c r="AQ358" s="663"/>
      <c r="AR358" s="663"/>
      <c r="AS358" s="663"/>
      <c r="AT358" s="663"/>
      <c r="AU358" s="663"/>
      <c r="AV358" s="663"/>
      <c r="AW358" s="663"/>
      <c r="AX358" s="663"/>
      <c r="AY358" s="663"/>
      <c r="AZ358" s="663"/>
      <c r="BA358" s="663"/>
      <c r="BB358" s="663"/>
      <c r="BC358" s="663"/>
      <c r="BD358" s="663"/>
      <c r="BE358" s="663"/>
      <c r="BF358" s="663"/>
      <c r="BG358" s="663"/>
      <c r="BH358" s="663"/>
      <c r="BI358" s="663"/>
      <c r="BJ358" s="663"/>
      <c r="BK358" s="663"/>
      <c r="BL358" s="663"/>
      <c r="BM358" s="663"/>
      <c r="BN358" s="663"/>
      <c r="BO358" s="663"/>
      <c r="BP358" s="663"/>
      <c r="BQ358" s="663"/>
      <c r="BR358" s="663"/>
      <c r="BS358" s="663"/>
      <c r="BT358" s="663"/>
      <c r="BU358" s="663"/>
      <c r="BV358" s="663"/>
      <c r="BW358" s="663"/>
      <c r="BX358" s="663"/>
      <c r="BY358" s="663"/>
      <c r="BZ358" s="663"/>
      <c r="CA358" s="663"/>
    </row>
    <row r="359" spans="1:79" outlineLevel="1" x14ac:dyDescent="0.25">
      <c r="A359" s="655"/>
      <c r="B359" s="223"/>
      <c r="C359" s="223"/>
      <c r="D359" s="223"/>
      <c r="E359" s="570" t="s">
        <v>851</v>
      </c>
      <c r="F359" s="655" t="s">
        <v>851</v>
      </c>
      <c r="G359" s="663"/>
      <c r="H359" s="663"/>
      <c r="I359" s="663"/>
      <c r="J359" s="663"/>
      <c r="K359" s="663"/>
      <c r="L359" s="663"/>
      <c r="M359" s="663"/>
      <c r="N359" s="663"/>
      <c r="O359" s="663"/>
      <c r="P359" s="663"/>
      <c r="Q359" s="663"/>
      <c r="R359" s="663"/>
      <c r="S359" s="663">
        <v>0</v>
      </c>
      <c r="T359" s="663">
        <v>0</v>
      </c>
      <c r="U359" s="663">
        <v>0</v>
      </c>
      <c r="V359" s="663">
        <v>0</v>
      </c>
      <c r="W359" s="663">
        <v>0</v>
      </c>
      <c r="X359" s="663">
        <v>0</v>
      </c>
      <c r="Y359" s="663">
        <v>0</v>
      </c>
      <c r="Z359" s="663">
        <v>0</v>
      </c>
      <c r="AA359" s="663">
        <v>0</v>
      </c>
      <c r="AB359" s="663">
        <v>0</v>
      </c>
      <c r="AC359" s="663">
        <v>0</v>
      </c>
      <c r="AD359" s="663">
        <v>0</v>
      </c>
      <c r="AE359" s="663">
        <v>0</v>
      </c>
      <c r="AF359" s="663">
        <v>0</v>
      </c>
      <c r="AG359" s="663">
        <v>0</v>
      </c>
      <c r="AH359" s="663"/>
      <c r="AI359" s="663"/>
      <c r="AJ359" s="663"/>
      <c r="AK359" s="663"/>
      <c r="AL359" s="663"/>
      <c r="AM359" s="663"/>
      <c r="AN359" s="663"/>
      <c r="AO359" s="663"/>
      <c r="AP359" s="663"/>
      <c r="AQ359" s="663"/>
      <c r="AR359" s="663"/>
      <c r="AS359" s="663"/>
      <c r="AT359" s="663"/>
      <c r="AU359" s="663"/>
      <c r="AV359" s="663"/>
      <c r="AW359" s="663"/>
      <c r="AX359" s="663"/>
      <c r="AY359" s="663"/>
      <c r="AZ359" s="663"/>
      <c r="BA359" s="663"/>
      <c r="BB359" s="663"/>
      <c r="BC359" s="663"/>
      <c r="BD359" s="663"/>
      <c r="BE359" s="663"/>
      <c r="BF359" s="663"/>
      <c r="BG359" s="663"/>
      <c r="BH359" s="663"/>
      <c r="BI359" s="663"/>
      <c r="BJ359" s="663"/>
      <c r="BK359" s="663"/>
      <c r="BL359" s="663"/>
      <c r="BM359" s="663"/>
      <c r="BN359" s="663"/>
      <c r="BO359" s="663"/>
      <c r="BP359" s="663"/>
      <c r="BQ359" s="663"/>
      <c r="BR359" s="663"/>
      <c r="BS359" s="663"/>
      <c r="BT359" s="663"/>
      <c r="BU359" s="663"/>
      <c r="BV359" s="663"/>
      <c r="BW359" s="663"/>
      <c r="BX359" s="663"/>
      <c r="BY359" s="663"/>
      <c r="BZ359" s="663"/>
      <c r="CA359" s="663"/>
    </row>
    <row r="360" spans="1:79" outlineLevel="1" x14ac:dyDescent="0.25">
      <c r="A360" s="655"/>
      <c r="B360" s="223"/>
      <c r="C360" s="223"/>
      <c r="D360" s="223"/>
      <c r="E360" s="570" t="s">
        <v>852</v>
      </c>
      <c r="F360" s="655" t="s">
        <v>852</v>
      </c>
      <c r="G360" s="663"/>
      <c r="H360" s="663"/>
      <c r="I360" s="663"/>
      <c r="J360" s="663"/>
      <c r="K360" s="663"/>
      <c r="L360" s="663"/>
      <c r="M360" s="663"/>
      <c r="N360" s="663"/>
      <c r="O360" s="663"/>
      <c r="P360" s="663"/>
      <c r="Q360" s="663"/>
      <c r="R360" s="663"/>
      <c r="S360" s="663">
        <v>0</v>
      </c>
      <c r="T360" s="663">
        <v>0</v>
      </c>
      <c r="U360" s="663">
        <v>0</v>
      </c>
      <c r="V360" s="663">
        <v>0</v>
      </c>
      <c r="W360" s="663">
        <v>0</v>
      </c>
      <c r="X360" s="663">
        <v>0</v>
      </c>
      <c r="Y360" s="663">
        <v>0</v>
      </c>
      <c r="Z360" s="663">
        <v>0</v>
      </c>
      <c r="AA360" s="663">
        <v>0</v>
      </c>
      <c r="AB360" s="663">
        <v>0</v>
      </c>
      <c r="AC360" s="663">
        <v>0</v>
      </c>
      <c r="AD360" s="663">
        <v>0</v>
      </c>
      <c r="AE360" s="663">
        <v>0</v>
      </c>
      <c r="AF360" s="663">
        <v>0</v>
      </c>
      <c r="AG360" s="663">
        <v>0</v>
      </c>
      <c r="AH360" s="663"/>
      <c r="AI360" s="663"/>
      <c r="AJ360" s="663"/>
      <c r="AK360" s="663"/>
      <c r="AL360" s="663"/>
      <c r="AM360" s="663"/>
      <c r="AN360" s="663"/>
      <c r="AO360" s="663"/>
      <c r="AP360" s="663"/>
      <c r="AQ360" s="663"/>
      <c r="AR360" s="663"/>
      <c r="AS360" s="663"/>
      <c r="AT360" s="663"/>
      <c r="AU360" s="663"/>
      <c r="AV360" s="663"/>
      <c r="AW360" s="663"/>
      <c r="AX360" s="663"/>
      <c r="AY360" s="663"/>
      <c r="AZ360" s="663"/>
      <c r="BA360" s="663"/>
      <c r="BB360" s="663"/>
      <c r="BC360" s="663"/>
      <c r="BD360" s="663"/>
      <c r="BE360" s="663"/>
      <c r="BF360" s="663"/>
      <c r="BG360" s="663"/>
      <c r="BH360" s="663"/>
      <c r="BI360" s="663"/>
      <c r="BJ360" s="663"/>
      <c r="BK360" s="663"/>
      <c r="BL360" s="663"/>
      <c r="BM360" s="663"/>
      <c r="BN360" s="663"/>
      <c r="BO360" s="663"/>
      <c r="BP360" s="663"/>
      <c r="BQ360" s="663"/>
      <c r="BR360" s="663"/>
      <c r="BS360" s="663"/>
      <c r="BT360" s="663"/>
      <c r="BU360" s="663"/>
      <c r="BV360" s="663"/>
      <c r="BW360" s="663"/>
      <c r="BX360" s="663"/>
      <c r="BY360" s="663"/>
      <c r="BZ360" s="663"/>
      <c r="CA360" s="663"/>
    </row>
    <row r="361" spans="1:79" outlineLevel="1" x14ac:dyDescent="0.25">
      <c r="A361" s="655"/>
      <c r="B361" s="223"/>
      <c r="C361" s="223"/>
      <c r="D361" s="223"/>
      <c r="E361" s="570" t="s">
        <v>697</v>
      </c>
      <c r="F361" s="655" t="s">
        <v>697</v>
      </c>
      <c r="G361" s="663"/>
      <c r="H361" s="663"/>
      <c r="I361" s="663"/>
      <c r="J361" s="663"/>
      <c r="K361" s="663"/>
      <c r="L361" s="663"/>
      <c r="M361" s="663"/>
      <c r="N361" s="663"/>
      <c r="O361" s="663"/>
      <c r="P361" s="663"/>
      <c r="Q361" s="663"/>
      <c r="R361" s="663"/>
      <c r="S361" s="663">
        <v>0</v>
      </c>
      <c r="T361" s="663">
        <v>0</v>
      </c>
      <c r="U361" s="663">
        <v>0</v>
      </c>
      <c r="V361" s="663">
        <v>0</v>
      </c>
      <c r="W361" s="663">
        <v>0</v>
      </c>
      <c r="X361" s="663">
        <v>0</v>
      </c>
      <c r="Y361" s="663">
        <v>0</v>
      </c>
      <c r="Z361" s="663">
        <v>0</v>
      </c>
      <c r="AA361" s="663">
        <v>0</v>
      </c>
      <c r="AB361" s="663">
        <v>0</v>
      </c>
      <c r="AC361" s="663">
        <v>0</v>
      </c>
      <c r="AD361" s="663">
        <v>0</v>
      </c>
      <c r="AE361" s="663">
        <v>0</v>
      </c>
      <c r="AF361" s="663">
        <v>0</v>
      </c>
      <c r="AG361" s="663">
        <v>0</v>
      </c>
      <c r="AH361" s="663"/>
      <c r="AI361" s="663"/>
      <c r="AJ361" s="663"/>
      <c r="AK361" s="663"/>
      <c r="AL361" s="663"/>
      <c r="AM361" s="663"/>
      <c r="AN361" s="663"/>
      <c r="AO361" s="663"/>
      <c r="AP361" s="663"/>
      <c r="AQ361" s="663"/>
      <c r="AR361" s="663"/>
      <c r="AS361" s="663"/>
      <c r="AT361" s="663"/>
      <c r="AU361" s="663"/>
      <c r="AV361" s="663"/>
      <c r="AW361" s="663"/>
      <c r="AX361" s="663"/>
      <c r="AY361" s="663"/>
      <c r="AZ361" s="663"/>
      <c r="BA361" s="663"/>
      <c r="BB361" s="663"/>
      <c r="BC361" s="663"/>
      <c r="BD361" s="663"/>
      <c r="BE361" s="663"/>
      <c r="BF361" s="663"/>
      <c r="BG361" s="663"/>
      <c r="BH361" s="663"/>
      <c r="BI361" s="663"/>
      <c r="BJ361" s="663"/>
      <c r="BK361" s="663"/>
      <c r="BL361" s="663"/>
      <c r="BM361" s="663"/>
      <c r="BN361" s="663"/>
      <c r="BO361" s="663"/>
      <c r="BP361" s="663"/>
      <c r="BQ361" s="663"/>
      <c r="BR361" s="663"/>
      <c r="BS361" s="663"/>
      <c r="BT361" s="663"/>
      <c r="BU361" s="663"/>
      <c r="BV361" s="663"/>
      <c r="BW361" s="663"/>
      <c r="BX361" s="663"/>
      <c r="BY361" s="663"/>
      <c r="BZ361" s="663"/>
      <c r="CA361" s="663"/>
    </row>
    <row r="362" spans="1:79" outlineLevel="1" x14ac:dyDescent="0.25">
      <c r="A362" s="655"/>
      <c r="B362" s="223"/>
      <c r="C362" s="223"/>
      <c r="D362" s="223"/>
      <c r="E362" s="570" t="s">
        <v>1325</v>
      </c>
      <c r="F362" s="655" t="s">
        <v>853</v>
      </c>
      <c r="G362" s="663"/>
      <c r="H362" s="663"/>
      <c r="I362" s="663"/>
      <c r="J362" s="663"/>
      <c r="K362" s="663"/>
      <c r="L362" s="663"/>
      <c r="M362" s="663"/>
      <c r="N362" s="663"/>
      <c r="O362" s="663"/>
      <c r="P362" s="663"/>
      <c r="Q362" s="663"/>
      <c r="R362" s="663"/>
      <c r="S362" s="663">
        <v>0</v>
      </c>
      <c r="T362" s="663">
        <v>0</v>
      </c>
      <c r="U362" s="663">
        <v>0</v>
      </c>
      <c r="V362" s="663">
        <v>0</v>
      </c>
      <c r="W362" s="663">
        <v>0</v>
      </c>
      <c r="X362" s="663">
        <v>0</v>
      </c>
      <c r="Y362" s="663">
        <v>0</v>
      </c>
      <c r="Z362" s="663">
        <v>0</v>
      </c>
      <c r="AA362" s="663">
        <v>0</v>
      </c>
      <c r="AB362" s="663">
        <v>0</v>
      </c>
      <c r="AC362" s="663">
        <v>0</v>
      </c>
      <c r="AD362" s="663">
        <v>0</v>
      </c>
      <c r="AE362" s="663">
        <v>0</v>
      </c>
      <c r="AF362" s="663">
        <v>0</v>
      </c>
      <c r="AG362" s="663">
        <v>0</v>
      </c>
      <c r="AH362" s="663"/>
      <c r="AI362" s="663"/>
      <c r="AJ362" s="663"/>
      <c r="AK362" s="663"/>
      <c r="AL362" s="663"/>
      <c r="AM362" s="663"/>
      <c r="AN362" s="663"/>
      <c r="AO362" s="663"/>
      <c r="AP362" s="663"/>
      <c r="AQ362" s="663"/>
      <c r="AR362" s="663"/>
      <c r="AS362" s="663"/>
      <c r="AT362" s="663"/>
      <c r="AU362" s="663"/>
      <c r="AV362" s="663"/>
      <c r="AW362" s="663"/>
      <c r="AX362" s="663"/>
      <c r="AY362" s="663"/>
      <c r="AZ362" s="663"/>
      <c r="BA362" s="663"/>
      <c r="BB362" s="663"/>
      <c r="BC362" s="663"/>
      <c r="BD362" s="663"/>
      <c r="BE362" s="663"/>
      <c r="BF362" s="663"/>
      <c r="BG362" s="663"/>
      <c r="BH362" s="663"/>
      <c r="BI362" s="663"/>
      <c r="BJ362" s="663"/>
      <c r="BK362" s="663"/>
      <c r="BL362" s="663"/>
      <c r="BM362" s="663"/>
      <c r="BN362" s="663"/>
      <c r="BO362" s="663"/>
      <c r="BP362" s="663"/>
      <c r="BQ362" s="663"/>
      <c r="BR362" s="663"/>
      <c r="BS362" s="663"/>
      <c r="BT362" s="663"/>
      <c r="BU362" s="663"/>
      <c r="BV362" s="663"/>
      <c r="BW362" s="663"/>
      <c r="BX362" s="663"/>
      <c r="BY362" s="663"/>
      <c r="BZ362" s="663"/>
      <c r="CA362" s="663"/>
    </row>
    <row r="363" spans="1:79" outlineLevel="1" x14ac:dyDescent="0.25">
      <c r="A363" s="691"/>
      <c r="B363" s="693"/>
      <c r="C363" s="693"/>
      <c r="D363" s="693"/>
      <c r="E363" s="570" t="s">
        <v>657</v>
      </c>
      <c r="F363" s="691" t="s">
        <v>657</v>
      </c>
      <c r="G363" s="692"/>
      <c r="H363" s="692"/>
      <c r="I363" s="692"/>
      <c r="J363" s="692"/>
      <c r="K363" s="692"/>
      <c r="L363" s="692"/>
      <c r="M363" s="692"/>
      <c r="N363" s="692"/>
      <c r="O363" s="692"/>
      <c r="P363" s="692"/>
      <c r="Q363" s="692"/>
      <c r="R363" s="692"/>
      <c r="S363" s="692"/>
      <c r="T363" s="692"/>
      <c r="U363" s="692"/>
      <c r="V363" s="692"/>
      <c r="W363" s="692"/>
      <c r="X363" s="692"/>
      <c r="Y363" s="692"/>
      <c r="Z363" s="692"/>
      <c r="AA363" s="692"/>
      <c r="AB363" s="692"/>
      <c r="AC363" s="692"/>
      <c r="AD363" s="692"/>
      <c r="AE363" s="692"/>
      <c r="AF363" s="692"/>
      <c r="AG363" s="692"/>
      <c r="AH363" s="692"/>
      <c r="AI363" s="692"/>
      <c r="AJ363" s="692"/>
      <c r="AK363" s="692"/>
      <c r="AL363" s="692"/>
      <c r="AM363" s="692"/>
      <c r="AN363" s="692"/>
      <c r="AO363" s="692"/>
      <c r="AP363" s="692"/>
      <c r="AQ363" s="692"/>
      <c r="AR363" s="692"/>
      <c r="AS363" s="692"/>
      <c r="AT363" s="692"/>
      <c r="AU363" s="692"/>
      <c r="AV363" s="692"/>
      <c r="AW363" s="692"/>
      <c r="AX363" s="692"/>
      <c r="AY363" s="692"/>
      <c r="AZ363" s="692"/>
      <c r="BA363" s="692"/>
      <c r="BB363" s="692"/>
      <c r="BC363" s="692"/>
      <c r="BD363" s="692"/>
      <c r="BE363" s="692"/>
      <c r="BF363" s="692"/>
      <c r="BG363" s="692"/>
      <c r="BH363" s="692"/>
      <c r="BI363" s="692"/>
      <c r="BJ363" s="692"/>
      <c r="BK363" s="692"/>
      <c r="BL363" s="692"/>
      <c r="BM363" s="692"/>
      <c r="BN363" s="692"/>
      <c r="BO363" s="692"/>
      <c r="BP363" s="692"/>
      <c r="BQ363" s="692"/>
      <c r="BR363" s="692"/>
      <c r="BS363" s="692"/>
      <c r="BT363" s="692"/>
      <c r="BU363" s="692"/>
      <c r="BV363" s="692"/>
      <c r="BW363" s="692"/>
      <c r="BX363" s="692"/>
      <c r="BY363" s="692"/>
      <c r="BZ363" s="692"/>
      <c r="CA363" s="692"/>
    </row>
    <row r="364" spans="1:79" outlineLevel="1" x14ac:dyDescent="0.25">
      <c r="A364" s="656"/>
      <c r="B364" s="223"/>
      <c r="C364" s="223"/>
      <c r="D364" s="223"/>
      <c r="E364" s="570" t="s">
        <v>657</v>
      </c>
      <c r="F364" s="656" t="s">
        <v>658</v>
      </c>
      <c r="G364" s="663"/>
      <c r="H364" s="663"/>
      <c r="I364" s="663"/>
      <c r="J364" s="663"/>
      <c r="K364" s="663"/>
      <c r="L364" s="663"/>
      <c r="M364" s="663"/>
      <c r="N364" s="663"/>
      <c r="O364" s="663"/>
      <c r="P364" s="663"/>
      <c r="Q364" s="663"/>
      <c r="R364" s="663"/>
      <c r="S364" s="663">
        <v>0</v>
      </c>
      <c r="T364" s="663">
        <v>0</v>
      </c>
      <c r="U364" s="663">
        <v>0</v>
      </c>
      <c r="V364" s="663">
        <v>0</v>
      </c>
      <c r="W364" s="663">
        <v>0</v>
      </c>
      <c r="X364" s="663">
        <v>0</v>
      </c>
      <c r="Y364" s="663">
        <v>0</v>
      </c>
      <c r="Z364" s="663">
        <v>0</v>
      </c>
      <c r="AA364" s="663">
        <v>0</v>
      </c>
      <c r="AB364" s="663">
        <v>0</v>
      </c>
      <c r="AC364" s="663">
        <v>0</v>
      </c>
      <c r="AD364" s="663">
        <v>0</v>
      </c>
      <c r="AE364" s="663">
        <v>0</v>
      </c>
      <c r="AF364" s="663">
        <v>0</v>
      </c>
      <c r="AG364" s="663">
        <v>0</v>
      </c>
      <c r="AH364" s="663"/>
      <c r="AI364" s="663"/>
      <c r="AJ364" s="663"/>
      <c r="AK364" s="663"/>
      <c r="AL364" s="663"/>
      <c r="AM364" s="663"/>
      <c r="AN364" s="663"/>
      <c r="AO364" s="663"/>
      <c r="AP364" s="663"/>
      <c r="AQ364" s="663"/>
      <c r="AR364" s="663"/>
      <c r="AS364" s="663"/>
      <c r="AT364" s="663"/>
      <c r="AU364" s="663"/>
      <c r="AV364" s="663"/>
      <c r="AW364" s="663"/>
      <c r="AX364" s="663"/>
      <c r="AY364" s="663"/>
      <c r="AZ364" s="663"/>
      <c r="BA364" s="663"/>
      <c r="BB364" s="663"/>
      <c r="BC364" s="663"/>
      <c r="BD364" s="663"/>
      <c r="BE364" s="663"/>
      <c r="BF364" s="663"/>
      <c r="BG364" s="663"/>
      <c r="BH364" s="663"/>
      <c r="BI364" s="663"/>
      <c r="BJ364" s="663"/>
      <c r="BK364" s="663"/>
      <c r="BL364" s="663"/>
      <c r="BM364" s="663"/>
      <c r="BN364" s="663"/>
      <c r="BO364" s="663"/>
      <c r="BP364" s="663"/>
      <c r="BQ364" s="663"/>
      <c r="BR364" s="663"/>
      <c r="BS364" s="663"/>
      <c r="BT364" s="663"/>
      <c r="BU364" s="663"/>
      <c r="BV364" s="663"/>
      <c r="BW364" s="663"/>
      <c r="BX364" s="663"/>
      <c r="BY364" s="663"/>
      <c r="BZ364" s="663"/>
      <c r="CA364" s="663"/>
    </row>
    <row r="365" spans="1:79" outlineLevel="1" x14ac:dyDescent="0.25">
      <c r="A365" s="656"/>
      <c r="B365" s="223"/>
      <c r="C365" s="223"/>
      <c r="D365" s="223"/>
      <c r="E365" s="570" t="s">
        <v>657</v>
      </c>
      <c r="F365" s="656" t="s">
        <v>854</v>
      </c>
      <c r="G365" s="663"/>
      <c r="H365" s="663"/>
      <c r="I365" s="663"/>
      <c r="J365" s="663"/>
      <c r="K365" s="663"/>
      <c r="L365" s="663"/>
      <c r="M365" s="663"/>
      <c r="N365" s="663"/>
      <c r="O365" s="663"/>
      <c r="P365" s="663"/>
      <c r="Q365" s="663"/>
      <c r="R365" s="663"/>
      <c r="S365" s="663">
        <v>0</v>
      </c>
      <c r="T365" s="663">
        <v>0</v>
      </c>
      <c r="U365" s="663">
        <v>0</v>
      </c>
      <c r="V365" s="663">
        <v>0</v>
      </c>
      <c r="W365" s="663">
        <v>0</v>
      </c>
      <c r="X365" s="663">
        <v>0</v>
      </c>
      <c r="Y365" s="663">
        <v>0</v>
      </c>
      <c r="Z365" s="663">
        <v>0</v>
      </c>
      <c r="AA365" s="663">
        <v>0</v>
      </c>
      <c r="AB365" s="663">
        <v>0</v>
      </c>
      <c r="AC365" s="663">
        <v>0</v>
      </c>
      <c r="AD365" s="663">
        <v>0</v>
      </c>
      <c r="AE365" s="663">
        <v>0</v>
      </c>
      <c r="AF365" s="663">
        <v>0</v>
      </c>
      <c r="AG365" s="663">
        <v>0</v>
      </c>
      <c r="AH365" s="663"/>
      <c r="AI365" s="663"/>
      <c r="AJ365" s="663"/>
      <c r="AK365" s="663"/>
      <c r="AL365" s="663"/>
      <c r="AM365" s="663"/>
      <c r="AN365" s="663"/>
      <c r="AO365" s="663"/>
      <c r="AP365" s="663"/>
      <c r="AQ365" s="663"/>
      <c r="AR365" s="663"/>
      <c r="AS365" s="663"/>
      <c r="AT365" s="663"/>
      <c r="AU365" s="663"/>
      <c r="AV365" s="663"/>
      <c r="AW365" s="663"/>
      <c r="AX365" s="663"/>
      <c r="AY365" s="663"/>
      <c r="AZ365" s="663"/>
      <c r="BA365" s="663"/>
      <c r="BB365" s="663"/>
      <c r="BC365" s="663"/>
      <c r="BD365" s="663"/>
      <c r="BE365" s="663"/>
      <c r="BF365" s="663"/>
      <c r="BG365" s="663"/>
      <c r="BH365" s="663"/>
      <c r="BI365" s="663"/>
      <c r="BJ365" s="663"/>
      <c r="BK365" s="663"/>
      <c r="BL365" s="663"/>
      <c r="BM365" s="663"/>
      <c r="BN365" s="663"/>
      <c r="BO365" s="663"/>
      <c r="BP365" s="663"/>
      <c r="BQ365" s="663"/>
      <c r="BR365" s="663"/>
      <c r="BS365" s="663"/>
      <c r="BT365" s="663"/>
      <c r="BU365" s="663"/>
      <c r="BV365" s="663"/>
      <c r="BW365" s="663"/>
      <c r="BX365" s="663"/>
      <c r="BY365" s="663"/>
      <c r="BZ365" s="663"/>
      <c r="CA365" s="663"/>
    </row>
    <row r="366" spans="1:79" outlineLevel="1" x14ac:dyDescent="0.25">
      <c r="A366" s="657"/>
      <c r="B366" s="223"/>
      <c r="C366" s="223"/>
      <c r="D366" s="223"/>
      <c r="E366" s="570" t="s">
        <v>49</v>
      </c>
      <c r="F366" s="657" t="s">
        <v>659</v>
      </c>
      <c r="G366" s="664">
        <f>SUM(G364:G365)</f>
        <v>0</v>
      </c>
      <c r="H366" s="664">
        <f t="shared" ref="H366:BO366" si="118">SUM(H364:H365)</f>
        <v>0</v>
      </c>
      <c r="I366" s="664">
        <f t="shared" si="118"/>
        <v>0</v>
      </c>
      <c r="J366" s="664">
        <f t="shared" si="118"/>
        <v>0</v>
      </c>
      <c r="K366" s="664">
        <f t="shared" si="118"/>
        <v>0</v>
      </c>
      <c r="L366" s="664">
        <f t="shared" si="118"/>
        <v>0</v>
      </c>
      <c r="M366" s="664">
        <f t="shared" si="118"/>
        <v>0</v>
      </c>
      <c r="N366" s="664">
        <f t="shared" si="118"/>
        <v>0</v>
      </c>
      <c r="O366" s="664">
        <f t="shared" si="118"/>
        <v>0</v>
      </c>
      <c r="P366" s="664">
        <f t="shared" si="118"/>
        <v>0</v>
      </c>
      <c r="Q366" s="664">
        <f t="shared" si="118"/>
        <v>0</v>
      </c>
      <c r="R366" s="664">
        <f>SUM(R364:R365)</f>
        <v>0</v>
      </c>
      <c r="S366" s="664">
        <f t="shared" ref="S366:AA366" si="119">ROUND(SUM(S363:S365),5)</f>
        <v>0</v>
      </c>
      <c r="T366" s="664">
        <f t="shared" si="119"/>
        <v>0</v>
      </c>
      <c r="U366" s="664">
        <f t="shared" si="119"/>
        <v>0</v>
      </c>
      <c r="V366" s="664">
        <f t="shared" si="119"/>
        <v>0</v>
      </c>
      <c r="W366" s="664">
        <f t="shared" si="119"/>
        <v>0</v>
      </c>
      <c r="X366" s="664">
        <f t="shared" si="119"/>
        <v>0</v>
      </c>
      <c r="Y366" s="664">
        <f t="shared" si="119"/>
        <v>0</v>
      </c>
      <c r="Z366" s="664">
        <f t="shared" si="119"/>
        <v>0</v>
      </c>
      <c r="AA366" s="664">
        <f t="shared" si="119"/>
        <v>0</v>
      </c>
      <c r="AB366" s="664">
        <f t="shared" ref="AB366:AG366" si="120">ROUND(SUM(AB363:AB365),5)</f>
        <v>0</v>
      </c>
      <c r="AC366" s="664">
        <f t="shared" si="120"/>
        <v>0</v>
      </c>
      <c r="AD366" s="664">
        <f t="shared" si="120"/>
        <v>0</v>
      </c>
      <c r="AE366" s="664">
        <f t="shared" si="120"/>
        <v>0</v>
      </c>
      <c r="AF366" s="664">
        <f t="shared" si="120"/>
        <v>0</v>
      </c>
      <c r="AG366" s="664">
        <f t="shared" si="120"/>
        <v>0</v>
      </c>
      <c r="AH366" s="664">
        <f t="shared" si="118"/>
        <v>0</v>
      </c>
      <c r="AI366" s="664">
        <f t="shared" si="118"/>
        <v>0</v>
      </c>
      <c r="AJ366" s="664">
        <f t="shared" si="118"/>
        <v>0</v>
      </c>
      <c r="AK366" s="664">
        <f t="shared" si="118"/>
        <v>0</v>
      </c>
      <c r="AL366" s="664">
        <f t="shared" si="118"/>
        <v>0</v>
      </c>
      <c r="AM366" s="664">
        <f t="shared" si="118"/>
        <v>0</v>
      </c>
      <c r="AN366" s="664">
        <f t="shared" si="118"/>
        <v>0</v>
      </c>
      <c r="AO366" s="664">
        <f t="shared" si="118"/>
        <v>0</v>
      </c>
      <c r="AP366" s="664">
        <f t="shared" si="118"/>
        <v>0</v>
      </c>
      <c r="AQ366" s="664">
        <f t="shared" si="118"/>
        <v>0</v>
      </c>
      <c r="AR366" s="664">
        <f t="shared" si="118"/>
        <v>0</v>
      </c>
      <c r="AS366" s="664">
        <f t="shared" si="118"/>
        <v>0</v>
      </c>
      <c r="AT366" s="664">
        <f t="shared" si="118"/>
        <v>0</v>
      </c>
      <c r="AU366" s="664">
        <f t="shared" si="118"/>
        <v>0</v>
      </c>
      <c r="AV366" s="664">
        <f t="shared" si="118"/>
        <v>0</v>
      </c>
      <c r="AW366" s="664">
        <f t="shared" si="118"/>
        <v>0</v>
      </c>
      <c r="AX366" s="664">
        <f t="shared" si="118"/>
        <v>0</v>
      </c>
      <c r="AY366" s="664">
        <f t="shared" si="118"/>
        <v>0</v>
      </c>
      <c r="AZ366" s="664">
        <f t="shared" si="118"/>
        <v>0</v>
      </c>
      <c r="BA366" s="664">
        <f t="shared" si="118"/>
        <v>0</v>
      </c>
      <c r="BB366" s="664">
        <f t="shared" si="118"/>
        <v>0</v>
      </c>
      <c r="BC366" s="664">
        <f t="shared" si="118"/>
        <v>0</v>
      </c>
      <c r="BD366" s="664">
        <f t="shared" si="118"/>
        <v>0</v>
      </c>
      <c r="BE366" s="664">
        <f t="shared" si="118"/>
        <v>0</v>
      </c>
      <c r="BF366" s="664">
        <f t="shared" si="118"/>
        <v>0</v>
      </c>
      <c r="BG366" s="664">
        <f t="shared" si="118"/>
        <v>0</v>
      </c>
      <c r="BH366" s="664">
        <f t="shared" si="118"/>
        <v>0</v>
      </c>
      <c r="BI366" s="664">
        <f t="shared" si="118"/>
        <v>0</v>
      </c>
      <c r="BJ366" s="664">
        <f t="shared" si="118"/>
        <v>0</v>
      </c>
      <c r="BK366" s="664">
        <f t="shared" si="118"/>
        <v>0</v>
      </c>
      <c r="BL366" s="664">
        <f t="shared" si="118"/>
        <v>0</v>
      </c>
      <c r="BM366" s="664">
        <f t="shared" si="118"/>
        <v>0</v>
      </c>
      <c r="BN366" s="664">
        <f t="shared" si="118"/>
        <v>0</v>
      </c>
      <c r="BO366" s="664">
        <f t="shared" si="118"/>
        <v>0</v>
      </c>
      <c r="BP366" s="664">
        <f t="shared" ref="BP366:CA366" si="121">SUM(BP364:BP365)</f>
        <v>0</v>
      </c>
      <c r="BQ366" s="664">
        <f t="shared" si="121"/>
        <v>0</v>
      </c>
      <c r="BR366" s="664">
        <f t="shared" si="121"/>
        <v>0</v>
      </c>
      <c r="BS366" s="664">
        <f t="shared" si="121"/>
        <v>0</v>
      </c>
      <c r="BT366" s="664">
        <f t="shared" si="121"/>
        <v>0</v>
      </c>
      <c r="BU366" s="664">
        <f t="shared" si="121"/>
        <v>0</v>
      </c>
      <c r="BV366" s="664">
        <f t="shared" si="121"/>
        <v>0</v>
      </c>
      <c r="BW366" s="664">
        <f t="shared" si="121"/>
        <v>0</v>
      </c>
      <c r="BX366" s="664">
        <f t="shared" si="121"/>
        <v>0</v>
      </c>
      <c r="BY366" s="664">
        <f t="shared" si="121"/>
        <v>0</v>
      </c>
      <c r="BZ366" s="664">
        <f t="shared" si="121"/>
        <v>0</v>
      </c>
      <c r="CA366" s="664">
        <f t="shared" si="121"/>
        <v>0</v>
      </c>
    </row>
    <row r="367" spans="1:79" outlineLevel="1" x14ac:dyDescent="0.25">
      <c r="A367" s="655"/>
      <c r="B367" s="223"/>
      <c r="C367" s="223"/>
      <c r="D367" s="223"/>
      <c r="E367" s="570" t="s">
        <v>695</v>
      </c>
      <c r="F367" s="655" t="s">
        <v>695</v>
      </c>
      <c r="G367" s="663"/>
      <c r="H367" s="663"/>
      <c r="I367" s="663"/>
      <c r="J367" s="663"/>
      <c r="K367" s="663"/>
      <c r="L367" s="663"/>
      <c r="M367" s="663"/>
      <c r="N367" s="663"/>
      <c r="O367" s="663"/>
      <c r="P367" s="663"/>
      <c r="Q367" s="663"/>
      <c r="R367" s="663"/>
      <c r="S367" s="663">
        <v>0</v>
      </c>
      <c r="T367" s="663">
        <v>0</v>
      </c>
      <c r="U367" s="663">
        <v>0</v>
      </c>
      <c r="V367" s="663">
        <v>0</v>
      </c>
      <c r="W367" s="663">
        <v>0</v>
      </c>
      <c r="X367" s="663">
        <v>0</v>
      </c>
      <c r="Y367" s="663">
        <v>0</v>
      </c>
      <c r="Z367" s="663">
        <v>0</v>
      </c>
      <c r="AA367" s="663">
        <v>0</v>
      </c>
      <c r="AB367" s="663">
        <v>0</v>
      </c>
      <c r="AC367" s="663">
        <v>0</v>
      </c>
      <c r="AD367" s="663">
        <v>0</v>
      </c>
      <c r="AE367" s="663">
        <v>0</v>
      </c>
      <c r="AF367" s="663">
        <v>0</v>
      </c>
      <c r="AG367" s="663">
        <v>0</v>
      </c>
      <c r="AH367" s="663"/>
      <c r="AI367" s="663"/>
      <c r="AJ367" s="663"/>
      <c r="AK367" s="663"/>
      <c r="AL367" s="663"/>
      <c r="AM367" s="663"/>
      <c r="AN367" s="663"/>
      <c r="AO367" s="663"/>
      <c r="AP367" s="663"/>
      <c r="AQ367" s="663"/>
      <c r="AR367" s="663"/>
      <c r="AS367" s="663"/>
      <c r="AT367" s="663"/>
      <c r="AU367" s="663"/>
      <c r="AV367" s="663"/>
      <c r="AW367" s="663"/>
      <c r="AX367" s="663"/>
      <c r="AY367" s="663"/>
      <c r="AZ367" s="663"/>
      <c r="BA367" s="663"/>
      <c r="BB367" s="663"/>
      <c r="BC367" s="663"/>
      <c r="BD367" s="663"/>
      <c r="BE367" s="663"/>
      <c r="BF367" s="663"/>
      <c r="BG367" s="663"/>
      <c r="BH367" s="663"/>
      <c r="BI367" s="663"/>
      <c r="BJ367" s="663"/>
      <c r="BK367" s="663"/>
      <c r="BL367" s="663"/>
      <c r="BM367" s="663"/>
      <c r="BN367" s="663"/>
      <c r="BO367" s="663"/>
      <c r="BP367" s="663"/>
      <c r="BQ367" s="663"/>
      <c r="BR367" s="663"/>
      <c r="BS367" s="663"/>
      <c r="BT367" s="663"/>
      <c r="BU367" s="663"/>
      <c r="BV367" s="663"/>
      <c r="BW367" s="663"/>
      <c r="BX367" s="663"/>
      <c r="BY367" s="663"/>
      <c r="BZ367" s="663"/>
      <c r="CA367" s="663"/>
    </row>
    <row r="368" spans="1:79" outlineLevel="1" x14ac:dyDescent="0.25">
      <c r="A368" s="655"/>
      <c r="B368" s="223"/>
      <c r="C368" s="223"/>
      <c r="D368" s="223"/>
      <c r="E368" s="570" t="s">
        <v>855</v>
      </c>
      <c r="F368" s="655" t="s">
        <v>855</v>
      </c>
      <c r="G368" s="663"/>
      <c r="H368" s="663"/>
      <c r="I368" s="663"/>
      <c r="J368" s="663"/>
      <c r="K368" s="663"/>
      <c r="L368" s="663"/>
      <c r="M368" s="663"/>
      <c r="N368" s="663"/>
      <c r="O368" s="663"/>
      <c r="P368" s="663"/>
      <c r="Q368" s="663"/>
      <c r="R368" s="663"/>
      <c r="S368" s="663">
        <v>0</v>
      </c>
      <c r="T368" s="663">
        <v>0</v>
      </c>
      <c r="U368" s="663">
        <v>0</v>
      </c>
      <c r="V368" s="663">
        <v>0</v>
      </c>
      <c r="W368" s="663">
        <v>0</v>
      </c>
      <c r="X368" s="663">
        <v>0</v>
      </c>
      <c r="Y368" s="663">
        <v>0</v>
      </c>
      <c r="Z368" s="663">
        <v>0</v>
      </c>
      <c r="AA368" s="663">
        <v>0</v>
      </c>
      <c r="AB368" s="663">
        <v>0</v>
      </c>
      <c r="AC368" s="663">
        <v>0</v>
      </c>
      <c r="AD368" s="663">
        <v>0</v>
      </c>
      <c r="AE368" s="663">
        <v>0</v>
      </c>
      <c r="AF368" s="663">
        <v>0</v>
      </c>
      <c r="AG368" s="663">
        <v>0</v>
      </c>
      <c r="AH368" s="663"/>
      <c r="AI368" s="663"/>
      <c r="AJ368" s="663"/>
      <c r="AK368" s="663"/>
      <c r="AL368" s="663"/>
      <c r="AM368" s="663"/>
      <c r="AN368" s="663"/>
      <c r="AO368" s="663"/>
      <c r="AP368" s="663"/>
      <c r="AQ368" s="663"/>
      <c r="AR368" s="663"/>
      <c r="AS368" s="663"/>
      <c r="AT368" s="663"/>
      <c r="AU368" s="663"/>
      <c r="AV368" s="663"/>
      <c r="AW368" s="663"/>
      <c r="AX368" s="663"/>
      <c r="AY368" s="663"/>
      <c r="AZ368" s="663"/>
      <c r="BA368" s="663"/>
      <c r="BB368" s="663"/>
      <c r="BC368" s="663"/>
      <c r="BD368" s="663"/>
      <c r="BE368" s="663"/>
      <c r="BF368" s="663"/>
      <c r="BG368" s="663"/>
      <c r="BH368" s="663"/>
      <c r="BI368" s="663"/>
      <c r="BJ368" s="663"/>
      <c r="BK368" s="663"/>
      <c r="BL368" s="663"/>
      <c r="BM368" s="663"/>
      <c r="BN368" s="663"/>
      <c r="BO368" s="663"/>
      <c r="BP368" s="663"/>
      <c r="BQ368" s="663"/>
      <c r="BR368" s="663"/>
      <c r="BS368" s="663"/>
      <c r="BT368" s="663"/>
      <c r="BU368" s="663"/>
      <c r="BV368" s="663"/>
      <c r="BW368" s="663"/>
      <c r="BX368" s="663"/>
      <c r="BY368" s="663"/>
      <c r="BZ368" s="663"/>
      <c r="CA368" s="663"/>
    </row>
    <row r="369" spans="1:79" outlineLevel="1" x14ac:dyDescent="0.25">
      <c r="A369" s="655"/>
      <c r="B369" s="223"/>
      <c r="C369" s="223"/>
      <c r="D369" s="223"/>
      <c r="E369" s="570" t="s">
        <v>856</v>
      </c>
      <c r="F369" s="655" t="s">
        <v>856</v>
      </c>
      <c r="G369" s="663"/>
      <c r="H369" s="663"/>
      <c r="I369" s="663"/>
      <c r="J369" s="663"/>
      <c r="K369" s="663"/>
      <c r="L369" s="663"/>
      <c r="M369" s="663"/>
      <c r="N369" s="663"/>
      <c r="O369" s="663"/>
      <c r="P369" s="663"/>
      <c r="Q369" s="663"/>
      <c r="R369" s="663"/>
      <c r="S369" s="663">
        <v>0</v>
      </c>
      <c r="T369" s="663">
        <v>0</v>
      </c>
      <c r="U369" s="663">
        <v>0</v>
      </c>
      <c r="V369" s="663">
        <v>0</v>
      </c>
      <c r="W369" s="663">
        <v>0</v>
      </c>
      <c r="X369" s="663">
        <v>0</v>
      </c>
      <c r="Y369" s="663">
        <v>0</v>
      </c>
      <c r="Z369" s="663">
        <v>0</v>
      </c>
      <c r="AA369" s="663">
        <v>0</v>
      </c>
      <c r="AB369" s="663">
        <v>0</v>
      </c>
      <c r="AC369" s="663">
        <v>0</v>
      </c>
      <c r="AD369" s="663">
        <v>0</v>
      </c>
      <c r="AE369" s="663">
        <v>0</v>
      </c>
      <c r="AF369" s="663">
        <v>0</v>
      </c>
      <c r="AG369" s="663">
        <v>0</v>
      </c>
      <c r="AH369" s="663"/>
      <c r="AI369" s="663"/>
      <c r="AJ369" s="663"/>
      <c r="AK369" s="663"/>
      <c r="AL369" s="663"/>
      <c r="AM369" s="663"/>
      <c r="AN369" s="663"/>
      <c r="AO369" s="663"/>
      <c r="AP369" s="663"/>
      <c r="AQ369" s="663"/>
      <c r="AR369" s="663"/>
      <c r="AS369" s="663"/>
      <c r="AT369" s="663"/>
      <c r="AU369" s="663"/>
      <c r="AV369" s="663"/>
      <c r="AW369" s="663"/>
      <c r="AX369" s="663"/>
      <c r="AY369" s="663"/>
      <c r="AZ369" s="663"/>
      <c r="BA369" s="663"/>
      <c r="BB369" s="663"/>
      <c r="BC369" s="663"/>
      <c r="BD369" s="663"/>
      <c r="BE369" s="663"/>
      <c r="BF369" s="663"/>
      <c r="BG369" s="663"/>
      <c r="BH369" s="663"/>
      <c r="BI369" s="663"/>
      <c r="BJ369" s="663"/>
      <c r="BK369" s="663"/>
      <c r="BL369" s="663"/>
      <c r="BM369" s="663"/>
      <c r="BN369" s="663"/>
      <c r="BO369" s="663"/>
      <c r="BP369" s="663"/>
      <c r="BQ369" s="663"/>
      <c r="BR369" s="663"/>
      <c r="BS369" s="663"/>
      <c r="BT369" s="663"/>
      <c r="BU369" s="663"/>
      <c r="BV369" s="663"/>
      <c r="BW369" s="663"/>
      <c r="BX369" s="663"/>
      <c r="BY369" s="663"/>
      <c r="BZ369" s="663"/>
      <c r="CA369" s="663"/>
    </row>
    <row r="370" spans="1:79" outlineLevel="1" x14ac:dyDescent="0.25">
      <c r="A370" s="655"/>
      <c r="B370" s="223"/>
      <c r="C370" s="223"/>
      <c r="D370" s="223"/>
      <c r="E370" s="570" t="s">
        <v>17</v>
      </c>
      <c r="F370" s="655" t="s">
        <v>17</v>
      </c>
      <c r="G370" s="663"/>
      <c r="H370" s="663"/>
      <c r="I370" s="663"/>
      <c r="J370" s="663"/>
      <c r="K370" s="663"/>
      <c r="L370" s="663"/>
      <c r="M370" s="663"/>
      <c r="N370" s="663"/>
      <c r="O370" s="663"/>
      <c r="P370" s="663"/>
      <c r="Q370" s="663"/>
      <c r="R370" s="663"/>
      <c r="S370" s="663">
        <v>0</v>
      </c>
      <c r="T370" s="663">
        <v>0</v>
      </c>
      <c r="U370" s="663">
        <v>0</v>
      </c>
      <c r="V370" s="663">
        <v>0</v>
      </c>
      <c r="W370" s="663">
        <v>0</v>
      </c>
      <c r="X370" s="663">
        <v>0</v>
      </c>
      <c r="Y370" s="663">
        <v>0</v>
      </c>
      <c r="Z370" s="663">
        <v>0</v>
      </c>
      <c r="AA370" s="663">
        <v>0</v>
      </c>
      <c r="AB370" s="663">
        <v>0</v>
      </c>
      <c r="AC370" s="663">
        <v>0</v>
      </c>
      <c r="AD370" s="663">
        <v>0</v>
      </c>
      <c r="AE370" s="663">
        <v>0</v>
      </c>
      <c r="AF370" s="663">
        <v>0</v>
      </c>
      <c r="AG370" s="663">
        <v>0</v>
      </c>
      <c r="AH370" s="663"/>
      <c r="AI370" s="663"/>
      <c r="AJ370" s="663"/>
      <c r="AK370" s="663"/>
      <c r="AL370" s="663"/>
      <c r="AM370" s="663"/>
      <c r="AN370" s="663"/>
      <c r="AO370" s="663"/>
      <c r="AP370" s="663"/>
      <c r="AQ370" s="663"/>
      <c r="AR370" s="663"/>
      <c r="AS370" s="663"/>
      <c r="AT370" s="663"/>
      <c r="AU370" s="663"/>
      <c r="AV370" s="663"/>
      <c r="AW370" s="663"/>
      <c r="AX370" s="663"/>
      <c r="AY370" s="663"/>
      <c r="AZ370" s="663"/>
      <c r="BA370" s="663"/>
      <c r="BB370" s="663"/>
      <c r="BC370" s="663"/>
      <c r="BD370" s="663"/>
      <c r="BE370" s="663"/>
      <c r="BF370" s="663"/>
      <c r="BG370" s="663"/>
      <c r="BH370" s="663"/>
      <c r="BI370" s="663"/>
      <c r="BJ370" s="663"/>
      <c r="BK370" s="663"/>
      <c r="BL370" s="663"/>
      <c r="BM370" s="663"/>
      <c r="BN370" s="663"/>
      <c r="BO370" s="663"/>
      <c r="BP370" s="663"/>
      <c r="BQ370" s="663"/>
      <c r="BR370" s="663"/>
      <c r="BS370" s="663"/>
      <c r="BT370" s="663"/>
      <c r="BU370" s="663"/>
      <c r="BV370" s="663"/>
      <c r="BW370" s="663"/>
      <c r="BX370" s="663"/>
      <c r="BY370" s="663"/>
      <c r="BZ370" s="663"/>
      <c r="CA370" s="663"/>
    </row>
    <row r="371" spans="1:79" outlineLevel="1" x14ac:dyDescent="0.25">
      <c r="A371" s="655"/>
      <c r="B371" s="223"/>
      <c r="C371" s="223"/>
      <c r="D371" s="223"/>
      <c r="E371" s="570" t="s">
        <v>1327</v>
      </c>
      <c r="F371" s="655" t="s">
        <v>857</v>
      </c>
      <c r="G371" s="663"/>
      <c r="H371" s="663"/>
      <c r="I371" s="663"/>
      <c r="J371" s="663"/>
      <c r="K371" s="663"/>
      <c r="L371" s="663"/>
      <c r="M371" s="663"/>
      <c r="N371" s="663"/>
      <c r="O371" s="663"/>
      <c r="P371" s="663"/>
      <c r="Q371" s="663"/>
      <c r="R371" s="663"/>
      <c r="S371" s="663">
        <v>0</v>
      </c>
      <c r="T371" s="663">
        <v>0</v>
      </c>
      <c r="U371" s="663">
        <v>0</v>
      </c>
      <c r="V371" s="663">
        <v>0</v>
      </c>
      <c r="W371" s="663">
        <v>0</v>
      </c>
      <c r="X371" s="663">
        <v>0</v>
      </c>
      <c r="Y371" s="663">
        <v>0</v>
      </c>
      <c r="Z371" s="663">
        <v>0</v>
      </c>
      <c r="AA371" s="663">
        <v>0</v>
      </c>
      <c r="AB371" s="663">
        <v>0</v>
      </c>
      <c r="AC371" s="663">
        <v>0</v>
      </c>
      <c r="AD371" s="663">
        <v>0</v>
      </c>
      <c r="AE371" s="663">
        <v>0</v>
      </c>
      <c r="AF371" s="663">
        <v>0</v>
      </c>
      <c r="AG371" s="663">
        <v>0</v>
      </c>
      <c r="AH371" s="663"/>
      <c r="AI371" s="663"/>
      <c r="AJ371" s="663"/>
      <c r="AK371" s="663"/>
      <c r="AL371" s="663"/>
      <c r="AM371" s="663"/>
      <c r="AN371" s="663"/>
      <c r="AO371" s="663"/>
      <c r="AP371" s="663"/>
      <c r="AQ371" s="663"/>
      <c r="AR371" s="663"/>
      <c r="AS371" s="663"/>
      <c r="AT371" s="663"/>
      <c r="AU371" s="663"/>
      <c r="AV371" s="663"/>
      <c r="AW371" s="663"/>
      <c r="AX371" s="663"/>
      <c r="AY371" s="663"/>
      <c r="AZ371" s="663"/>
      <c r="BA371" s="663"/>
      <c r="BB371" s="663"/>
      <c r="BC371" s="663"/>
      <c r="BD371" s="663"/>
      <c r="BE371" s="663"/>
      <c r="BF371" s="663"/>
      <c r="BG371" s="663"/>
      <c r="BH371" s="663"/>
      <c r="BI371" s="663"/>
      <c r="BJ371" s="663"/>
      <c r="BK371" s="663"/>
      <c r="BL371" s="663"/>
      <c r="BM371" s="663"/>
      <c r="BN371" s="663"/>
      <c r="BO371" s="663"/>
      <c r="BP371" s="663"/>
      <c r="BQ371" s="663"/>
      <c r="BR371" s="663"/>
      <c r="BS371" s="663"/>
      <c r="BT371" s="663"/>
      <c r="BU371" s="663"/>
      <c r="BV371" s="663"/>
      <c r="BW371" s="663"/>
      <c r="BX371" s="663"/>
      <c r="BY371" s="663"/>
      <c r="BZ371" s="663"/>
      <c r="CA371" s="663"/>
    </row>
    <row r="372" spans="1:79" outlineLevel="1" x14ac:dyDescent="0.25">
      <c r="A372" s="655"/>
      <c r="B372" s="223"/>
      <c r="C372" s="223"/>
      <c r="D372" s="223"/>
      <c r="E372" s="570" t="s">
        <v>1330</v>
      </c>
      <c r="F372" s="655" t="s">
        <v>861</v>
      </c>
      <c r="G372" s="664"/>
      <c r="H372" s="664"/>
      <c r="I372" s="664"/>
      <c r="J372" s="664"/>
      <c r="K372" s="664"/>
      <c r="L372" s="664"/>
      <c r="M372" s="664"/>
      <c r="N372" s="664"/>
      <c r="O372" s="664"/>
      <c r="P372" s="664"/>
      <c r="Q372" s="664"/>
      <c r="R372" s="664"/>
      <c r="S372" s="663">
        <v>0</v>
      </c>
      <c r="T372" s="663">
        <v>0</v>
      </c>
      <c r="U372" s="663">
        <v>0</v>
      </c>
      <c r="V372" s="663">
        <v>0</v>
      </c>
      <c r="W372" s="663">
        <v>0</v>
      </c>
      <c r="X372" s="663">
        <v>0</v>
      </c>
      <c r="Y372" s="663">
        <v>0</v>
      </c>
      <c r="Z372" s="663">
        <v>0</v>
      </c>
      <c r="AA372" s="663">
        <v>0</v>
      </c>
      <c r="AB372" s="663">
        <v>0</v>
      </c>
      <c r="AC372" s="663">
        <v>0</v>
      </c>
      <c r="AD372" s="663">
        <v>0</v>
      </c>
      <c r="AE372" s="663">
        <v>0</v>
      </c>
      <c r="AF372" s="663">
        <v>0</v>
      </c>
      <c r="AG372" s="663">
        <v>0</v>
      </c>
      <c r="AH372" s="664"/>
      <c r="AI372" s="664"/>
      <c r="AJ372" s="664"/>
      <c r="AK372" s="664"/>
      <c r="AL372" s="664"/>
      <c r="AM372" s="664"/>
      <c r="AN372" s="664"/>
      <c r="AO372" s="664"/>
      <c r="AP372" s="664"/>
      <c r="AQ372" s="664"/>
      <c r="AR372" s="664"/>
      <c r="AS372" s="664"/>
      <c r="AT372" s="664"/>
      <c r="AU372" s="664"/>
      <c r="AV372" s="664"/>
      <c r="AW372" s="664"/>
      <c r="AX372" s="664"/>
      <c r="AY372" s="664"/>
      <c r="AZ372" s="664"/>
      <c r="BA372" s="664"/>
      <c r="BB372" s="664"/>
      <c r="BC372" s="664"/>
      <c r="BD372" s="664"/>
      <c r="BE372" s="664"/>
      <c r="BF372" s="664"/>
      <c r="BG372" s="664"/>
      <c r="BH372" s="664"/>
      <c r="BI372" s="664"/>
      <c r="BJ372" s="664"/>
      <c r="BK372" s="664"/>
      <c r="BL372" s="664"/>
      <c r="BM372" s="664"/>
      <c r="BN372" s="664"/>
      <c r="BO372" s="664"/>
      <c r="BP372" s="664"/>
      <c r="BQ372" s="664"/>
      <c r="BR372" s="664"/>
      <c r="BS372" s="664"/>
      <c r="BT372" s="664"/>
      <c r="BU372" s="664"/>
      <c r="BV372" s="664"/>
      <c r="BW372" s="664"/>
      <c r="BX372" s="664"/>
      <c r="BY372" s="664"/>
      <c r="BZ372" s="664"/>
      <c r="CA372" s="664"/>
    </row>
    <row r="373" spans="1:79" outlineLevel="1" x14ac:dyDescent="0.25">
      <c r="A373" s="655"/>
      <c r="B373" s="223"/>
      <c r="C373" s="223"/>
      <c r="D373" s="223"/>
      <c r="E373" s="570" t="s">
        <v>1337</v>
      </c>
      <c r="F373" s="655" t="s">
        <v>862</v>
      </c>
      <c r="G373" s="664"/>
      <c r="H373" s="664"/>
      <c r="I373" s="664"/>
      <c r="J373" s="664"/>
      <c r="K373" s="664"/>
      <c r="L373" s="664"/>
      <c r="M373" s="664"/>
      <c r="N373" s="664"/>
      <c r="O373" s="664"/>
      <c r="P373" s="664"/>
      <c r="Q373" s="664"/>
      <c r="R373" s="664"/>
      <c r="S373" s="663">
        <v>0</v>
      </c>
      <c r="T373" s="663">
        <v>0</v>
      </c>
      <c r="U373" s="663">
        <v>0</v>
      </c>
      <c r="V373" s="663">
        <v>0</v>
      </c>
      <c r="W373" s="663">
        <v>0</v>
      </c>
      <c r="X373" s="663">
        <v>0</v>
      </c>
      <c r="Y373" s="663">
        <v>0</v>
      </c>
      <c r="Z373" s="663">
        <v>0</v>
      </c>
      <c r="AA373" s="663">
        <v>0</v>
      </c>
      <c r="AB373" s="663">
        <v>0</v>
      </c>
      <c r="AC373" s="663">
        <v>0</v>
      </c>
      <c r="AD373" s="663">
        <v>0</v>
      </c>
      <c r="AE373" s="663">
        <v>0</v>
      </c>
      <c r="AF373" s="663">
        <v>0</v>
      </c>
      <c r="AG373" s="663">
        <v>0</v>
      </c>
      <c r="AH373" s="664"/>
      <c r="AI373" s="664"/>
      <c r="AJ373" s="664"/>
      <c r="AK373" s="664"/>
      <c r="AL373" s="664"/>
      <c r="AM373" s="664"/>
      <c r="AN373" s="664"/>
      <c r="AO373" s="664"/>
      <c r="AP373" s="664"/>
      <c r="AQ373" s="664"/>
      <c r="AR373" s="664"/>
      <c r="AS373" s="664"/>
      <c r="AT373" s="664"/>
      <c r="AU373" s="664"/>
      <c r="AV373" s="664"/>
      <c r="AW373" s="664"/>
      <c r="AX373" s="664"/>
      <c r="AY373" s="664"/>
      <c r="AZ373" s="664"/>
      <c r="BA373" s="664"/>
      <c r="BB373" s="664"/>
      <c r="BC373" s="664"/>
      <c r="BD373" s="664"/>
      <c r="BE373" s="664"/>
      <c r="BF373" s="664"/>
      <c r="BG373" s="664"/>
      <c r="BH373" s="664"/>
      <c r="BI373" s="664"/>
      <c r="BJ373" s="664"/>
      <c r="BK373" s="664"/>
      <c r="BL373" s="664"/>
      <c r="BM373" s="664"/>
      <c r="BN373" s="664"/>
      <c r="BO373" s="664"/>
      <c r="BP373" s="664"/>
      <c r="BQ373" s="664"/>
      <c r="BR373" s="664"/>
      <c r="BS373" s="664"/>
      <c r="BT373" s="664"/>
      <c r="BU373" s="664"/>
      <c r="BV373" s="664"/>
      <c r="BW373" s="664"/>
      <c r="BX373" s="664"/>
      <c r="BY373" s="664"/>
      <c r="BZ373" s="664"/>
      <c r="CA373" s="664"/>
    </row>
    <row r="374" spans="1:79" s="693" customFormat="1" outlineLevel="1" x14ac:dyDescent="0.25">
      <c r="A374" s="691"/>
      <c r="E374" s="570" t="s">
        <v>338</v>
      </c>
      <c r="F374" s="691" t="s">
        <v>863</v>
      </c>
      <c r="G374" s="746"/>
      <c r="H374" s="746"/>
      <c r="I374" s="746"/>
      <c r="J374" s="746"/>
      <c r="K374" s="746"/>
      <c r="L374" s="746"/>
      <c r="M374" s="746"/>
      <c r="N374" s="746"/>
      <c r="O374" s="746"/>
      <c r="P374" s="746"/>
      <c r="Q374" s="746"/>
      <c r="R374" s="746"/>
      <c r="S374" s="692"/>
      <c r="T374" s="692"/>
      <c r="U374" s="692"/>
      <c r="V374" s="692"/>
      <c r="W374" s="692"/>
      <c r="X374" s="692"/>
      <c r="Y374" s="692"/>
      <c r="Z374" s="692"/>
      <c r="AA374" s="692"/>
      <c r="AB374" s="692"/>
      <c r="AC374" s="692"/>
      <c r="AD374" s="692"/>
      <c r="AE374" s="692"/>
      <c r="AF374" s="692"/>
      <c r="AG374" s="692"/>
      <c r="AH374" s="746"/>
      <c r="AI374" s="746"/>
      <c r="AJ374" s="746"/>
      <c r="AK374" s="746"/>
      <c r="AL374" s="746"/>
      <c r="AM374" s="746"/>
      <c r="AN374" s="746"/>
      <c r="AO374" s="746"/>
      <c r="AP374" s="746"/>
      <c r="AQ374" s="746"/>
      <c r="AR374" s="746"/>
      <c r="AS374" s="746"/>
      <c r="AT374" s="746"/>
      <c r="AU374" s="746"/>
      <c r="AV374" s="746"/>
      <c r="AW374" s="746"/>
      <c r="AX374" s="746"/>
      <c r="AY374" s="746"/>
      <c r="AZ374" s="746"/>
      <c r="BA374" s="746"/>
      <c r="BB374" s="746"/>
      <c r="BC374" s="746"/>
      <c r="BD374" s="746"/>
      <c r="BE374" s="746"/>
      <c r="BF374" s="746"/>
      <c r="BG374" s="746"/>
      <c r="BH374" s="746"/>
      <c r="BI374" s="746"/>
      <c r="BJ374" s="746"/>
      <c r="BK374" s="746"/>
      <c r="BL374" s="746"/>
      <c r="BM374" s="746"/>
      <c r="BN374" s="746"/>
      <c r="BO374" s="746"/>
      <c r="BP374" s="746"/>
      <c r="BQ374" s="746"/>
      <c r="BR374" s="746"/>
      <c r="BS374" s="746"/>
      <c r="BT374" s="746"/>
      <c r="BU374" s="746"/>
      <c r="BV374" s="746"/>
      <c r="BW374" s="746"/>
      <c r="BX374" s="746"/>
      <c r="BY374" s="746"/>
      <c r="BZ374" s="746"/>
      <c r="CA374" s="746"/>
    </row>
    <row r="375" spans="1:79" outlineLevel="1" x14ac:dyDescent="0.25">
      <c r="A375" s="656"/>
      <c r="B375" s="223"/>
      <c r="C375" s="223"/>
      <c r="D375" s="223"/>
      <c r="E375" s="570" t="s">
        <v>338</v>
      </c>
      <c r="F375" s="656" t="s">
        <v>864</v>
      </c>
      <c r="G375" s="664"/>
      <c r="H375" s="664"/>
      <c r="I375" s="664"/>
      <c r="J375" s="664"/>
      <c r="K375" s="664"/>
      <c r="L375" s="664"/>
      <c r="M375" s="664"/>
      <c r="N375" s="664"/>
      <c r="O375" s="664"/>
      <c r="P375" s="664"/>
      <c r="Q375" s="664"/>
      <c r="R375" s="664"/>
      <c r="S375" s="663">
        <v>0</v>
      </c>
      <c r="T375" s="663">
        <v>0</v>
      </c>
      <c r="U375" s="663">
        <v>0</v>
      </c>
      <c r="V375" s="663">
        <v>0</v>
      </c>
      <c r="W375" s="663">
        <v>0</v>
      </c>
      <c r="X375" s="663">
        <v>0</v>
      </c>
      <c r="Y375" s="663">
        <v>0</v>
      </c>
      <c r="Z375" s="663">
        <v>0</v>
      </c>
      <c r="AA375" s="663">
        <v>0</v>
      </c>
      <c r="AB375" s="663">
        <v>0</v>
      </c>
      <c r="AC375" s="663">
        <v>0</v>
      </c>
      <c r="AD375" s="663">
        <v>0</v>
      </c>
      <c r="AE375" s="663">
        <v>0</v>
      </c>
      <c r="AF375" s="663">
        <v>0</v>
      </c>
      <c r="AG375" s="663">
        <v>0</v>
      </c>
      <c r="AH375" s="664"/>
      <c r="AI375" s="664"/>
      <c r="AJ375" s="664"/>
      <c r="AK375" s="664"/>
      <c r="AL375" s="664"/>
      <c r="AM375" s="664"/>
      <c r="AN375" s="664"/>
      <c r="AO375" s="664"/>
      <c r="AP375" s="664"/>
      <c r="AQ375" s="664"/>
      <c r="AR375" s="664"/>
      <c r="AS375" s="664"/>
      <c r="AT375" s="664"/>
      <c r="AU375" s="664"/>
      <c r="AV375" s="664"/>
      <c r="AW375" s="664"/>
      <c r="AX375" s="664"/>
      <c r="AY375" s="664"/>
      <c r="AZ375" s="664"/>
      <c r="BA375" s="664"/>
      <c r="BB375" s="664"/>
      <c r="BC375" s="664"/>
      <c r="BD375" s="664"/>
      <c r="BE375" s="664"/>
      <c r="BF375" s="664"/>
      <c r="BG375" s="664"/>
      <c r="BH375" s="664"/>
      <c r="BI375" s="664"/>
      <c r="BJ375" s="664"/>
      <c r="BK375" s="664"/>
      <c r="BL375" s="664"/>
      <c r="BM375" s="664"/>
      <c r="BN375" s="664"/>
      <c r="BO375" s="664"/>
      <c r="BP375" s="664"/>
      <c r="BQ375" s="664"/>
      <c r="BR375" s="664"/>
      <c r="BS375" s="664"/>
      <c r="BT375" s="664"/>
      <c r="BU375" s="664"/>
      <c r="BV375" s="664"/>
      <c r="BW375" s="664"/>
      <c r="BX375" s="664"/>
      <c r="BY375" s="664"/>
      <c r="BZ375" s="664"/>
      <c r="CA375" s="664"/>
    </row>
    <row r="376" spans="1:79" outlineLevel="1" x14ac:dyDescent="0.25">
      <c r="A376" s="656"/>
      <c r="B376" s="223"/>
      <c r="C376" s="223"/>
      <c r="D376" s="223"/>
      <c r="E376" s="570" t="s">
        <v>338</v>
      </c>
      <c r="F376" s="656" t="s">
        <v>865</v>
      </c>
      <c r="G376" s="664"/>
      <c r="H376" s="664"/>
      <c r="I376" s="664"/>
      <c r="J376" s="664"/>
      <c r="K376" s="664"/>
      <c r="L376" s="664"/>
      <c r="M376" s="664"/>
      <c r="N376" s="664"/>
      <c r="O376" s="664"/>
      <c r="P376" s="664"/>
      <c r="Q376" s="664"/>
      <c r="R376" s="664"/>
      <c r="S376" s="663">
        <v>0</v>
      </c>
      <c r="T376" s="663">
        <v>0</v>
      </c>
      <c r="U376" s="663">
        <v>0</v>
      </c>
      <c r="V376" s="663">
        <v>0</v>
      </c>
      <c r="W376" s="663">
        <v>0</v>
      </c>
      <c r="X376" s="663">
        <v>0</v>
      </c>
      <c r="Y376" s="663">
        <v>0</v>
      </c>
      <c r="Z376" s="663">
        <v>0</v>
      </c>
      <c r="AA376" s="663">
        <v>0</v>
      </c>
      <c r="AB376" s="663">
        <v>0</v>
      </c>
      <c r="AC376" s="663">
        <v>0</v>
      </c>
      <c r="AD376" s="663">
        <v>0</v>
      </c>
      <c r="AE376" s="663">
        <v>0</v>
      </c>
      <c r="AF376" s="663">
        <v>0</v>
      </c>
      <c r="AG376" s="663">
        <v>0</v>
      </c>
      <c r="AH376" s="664"/>
      <c r="AI376" s="664"/>
      <c r="AJ376" s="664"/>
      <c r="AK376" s="664"/>
      <c r="AL376" s="664"/>
      <c r="AM376" s="664"/>
      <c r="AN376" s="664"/>
      <c r="AO376" s="664"/>
      <c r="AP376" s="664"/>
      <c r="AQ376" s="664"/>
      <c r="AR376" s="664"/>
      <c r="AS376" s="664"/>
      <c r="AT376" s="664"/>
      <c r="AU376" s="664"/>
      <c r="AV376" s="664"/>
      <c r="AW376" s="664"/>
      <c r="AX376" s="664"/>
      <c r="AY376" s="664"/>
      <c r="AZ376" s="664"/>
      <c r="BA376" s="664"/>
      <c r="BB376" s="664"/>
      <c r="BC376" s="664"/>
      <c r="BD376" s="664"/>
      <c r="BE376" s="664"/>
      <c r="BF376" s="664"/>
      <c r="BG376" s="664"/>
      <c r="BH376" s="664"/>
      <c r="BI376" s="664"/>
      <c r="BJ376" s="664"/>
      <c r="BK376" s="664"/>
      <c r="BL376" s="664"/>
      <c r="BM376" s="664"/>
      <c r="BN376" s="664"/>
      <c r="BO376" s="664"/>
      <c r="BP376" s="664"/>
      <c r="BQ376" s="664"/>
      <c r="BR376" s="664"/>
      <c r="BS376" s="664"/>
      <c r="BT376" s="664"/>
      <c r="BU376" s="664"/>
      <c r="BV376" s="664"/>
      <c r="BW376" s="664"/>
      <c r="BX376" s="664"/>
      <c r="BY376" s="664"/>
      <c r="BZ376" s="664"/>
      <c r="CA376" s="664"/>
    </row>
    <row r="377" spans="1:79" outlineLevel="1" x14ac:dyDescent="0.25">
      <c r="A377" s="657"/>
      <c r="B377" s="223"/>
      <c r="C377" s="223"/>
      <c r="D377" s="223"/>
      <c r="E377" s="570" t="s">
        <v>49</v>
      </c>
      <c r="F377" s="657" t="s">
        <v>866</v>
      </c>
      <c r="G377" s="664"/>
      <c r="H377" s="664"/>
      <c r="I377" s="664"/>
      <c r="J377" s="664"/>
      <c r="K377" s="664"/>
      <c r="L377" s="664"/>
      <c r="M377" s="664"/>
      <c r="N377" s="664"/>
      <c r="O377" s="664"/>
      <c r="P377" s="664"/>
      <c r="Q377" s="664"/>
      <c r="R377" s="664"/>
      <c r="S377" s="664">
        <f t="shared" ref="S377:AA377" si="122">ROUND(SUM(S374:S376),5)</f>
        <v>0</v>
      </c>
      <c r="T377" s="664">
        <f t="shared" si="122"/>
        <v>0</v>
      </c>
      <c r="U377" s="664">
        <f t="shared" si="122"/>
        <v>0</v>
      </c>
      <c r="V377" s="664">
        <f t="shared" si="122"/>
        <v>0</v>
      </c>
      <c r="W377" s="664">
        <f t="shared" si="122"/>
        <v>0</v>
      </c>
      <c r="X377" s="664">
        <f t="shared" si="122"/>
        <v>0</v>
      </c>
      <c r="Y377" s="664">
        <f t="shared" si="122"/>
        <v>0</v>
      </c>
      <c r="Z377" s="664">
        <f t="shared" si="122"/>
        <v>0</v>
      </c>
      <c r="AA377" s="664">
        <f t="shared" si="122"/>
        <v>0</v>
      </c>
      <c r="AB377" s="664">
        <f t="shared" ref="AB377:AG377" si="123">ROUND(SUM(AB374:AB376),5)</f>
        <v>0</v>
      </c>
      <c r="AC377" s="664">
        <f t="shared" si="123"/>
        <v>0</v>
      </c>
      <c r="AD377" s="664">
        <f t="shared" si="123"/>
        <v>0</v>
      </c>
      <c r="AE377" s="664">
        <f t="shared" si="123"/>
        <v>0</v>
      </c>
      <c r="AF377" s="664">
        <f t="shared" si="123"/>
        <v>0</v>
      </c>
      <c r="AG377" s="664">
        <f t="shared" si="123"/>
        <v>0</v>
      </c>
      <c r="AH377" s="664"/>
      <c r="AI377" s="664"/>
      <c r="AJ377" s="664"/>
      <c r="AK377" s="664"/>
      <c r="AL377" s="664"/>
      <c r="AM377" s="664"/>
      <c r="AN377" s="664"/>
      <c r="AO377" s="664"/>
      <c r="AP377" s="664"/>
      <c r="AQ377" s="664"/>
      <c r="AR377" s="664"/>
      <c r="AS377" s="664"/>
      <c r="AT377" s="664"/>
      <c r="AU377" s="664"/>
      <c r="AV377" s="664"/>
      <c r="AW377" s="664"/>
      <c r="AX377" s="664"/>
      <c r="AY377" s="664"/>
      <c r="AZ377" s="664"/>
      <c r="BA377" s="664"/>
      <c r="BB377" s="664"/>
      <c r="BC377" s="664"/>
      <c r="BD377" s="664"/>
      <c r="BE377" s="664"/>
      <c r="BF377" s="664"/>
      <c r="BG377" s="664"/>
      <c r="BH377" s="664"/>
      <c r="BI377" s="664"/>
      <c r="BJ377" s="664"/>
      <c r="BK377" s="664"/>
      <c r="BL377" s="664"/>
      <c r="BM377" s="664"/>
      <c r="BN377" s="664"/>
      <c r="BO377" s="664"/>
      <c r="BP377" s="664"/>
      <c r="BQ377" s="664"/>
      <c r="BR377" s="664"/>
      <c r="BS377" s="664"/>
      <c r="BT377" s="664"/>
      <c r="BU377" s="664"/>
      <c r="BV377" s="664"/>
      <c r="BW377" s="664"/>
      <c r="BX377" s="664"/>
      <c r="BY377" s="664"/>
      <c r="BZ377" s="664"/>
      <c r="CA377" s="664"/>
    </row>
    <row r="378" spans="1:79" s="693" customFormat="1" outlineLevel="1" x14ac:dyDescent="0.25">
      <c r="A378" s="694"/>
      <c r="E378" s="570" t="s">
        <v>867</v>
      </c>
      <c r="F378" s="694" t="s">
        <v>646</v>
      </c>
      <c r="G378" s="746"/>
      <c r="H378" s="746"/>
      <c r="I378" s="746"/>
      <c r="J378" s="746"/>
      <c r="K378" s="746"/>
      <c r="L378" s="746"/>
      <c r="M378" s="746"/>
      <c r="N378" s="746"/>
      <c r="O378" s="746"/>
      <c r="P378" s="746"/>
      <c r="Q378" s="746"/>
      <c r="R378" s="746"/>
      <c r="S378" s="692"/>
      <c r="T378" s="692"/>
      <c r="U378" s="692"/>
      <c r="V378" s="692"/>
      <c r="W378" s="692"/>
      <c r="X378" s="692"/>
      <c r="Y378" s="692"/>
      <c r="Z378" s="692"/>
      <c r="AA378" s="692"/>
      <c r="AB378" s="692"/>
      <c r="AC378" s="692"/>
      <c r="AD378" s="692"/>
      <c r="AE378" s="692"/>
      <c r="AF378" s="692"/>
      <c r="AG378" s="692"/>
      <c r="AH378" s="746"/>
      <c r="AI378" s="746"/>
      <c r="AJ378" s="746"/>
      <c r="AK378" s="746"/>
      <c r="AL378" s="746"/>
      <c r="AM378" s="746"/>
      <c r="AN378" s="746"/>
      <c r="AO378" s="746"/>
      <c r="AP378" s="746"/>
      <c r="AQ378" s="746"/>
      <c r="AR378" s="746"/>
      <c r="AS378" s="746"/>
      <c r="AT378" s="746"/>
      <c r="AU378" s="746"/>
      <c r="AV378" s="746"/>
      <c r="AW378" s="746"/>
      <c r="AX378" s="746"/>
      <c r="AY378" s="746"/>
      <c r="AZ378" s="746"/>
      <c r="BA378" s="746"/>
      <c r="BB378" s="746"/>
      <c r="BC378" s="746"/>
      <c r="BD378" s="746"/>
      <c r="BE378" s="746"/>
      <c r="BF378" s="746"/>
      <c r="BG378" s="746"/>
      <c r="BH378" s="746"/>
      <c r="BI378" s="746"/>
      <c r="BJ378" s="746"/>
      <c r="BK378" s="746"/>
      <c r="BL378" s="746"/>
      <c r="BM378" s="746"/>
      <c r="BN378" s="746"/>
      <c r="BO378" s="746"/>
      <c r="BP378" s="746"/>
      <c r="BQ378" s="746"/>
      <c r="BR378" s="746"/>
      <c r="BS378" s="746"/>
      <c r="BT378" s="746"/>
      <c r="BU378" s="746"/>
      <c r="BV378" s="746"/>
      <c r="BW378" s="746"/>
      <c r="BX378" s="746"/>
      <c r="BY378" s="746"/>
      <c r="BZ378" s="746"/>
      <c r="CA378" s="746"/>
    </row>
    <row r="379" spans="1:79" outlineLevel="1" x14ac:dyDescent="0.25">
      <c r="A379" s="656"/>
      <c r="B379" s="223"/>
      <c r="C379" s="223"/>
      <c r="D379" s="223"/>
      <c r="E379" s="570" t="s">
        <v>867</v>
      </c>
      <c r="F379" s="656" t="s">
        <v>867</v>
      </c>
      <c r="G379" s="664"/>
      <c r="H379" s="664"/>
      <c r="I379" s="664"/>
      <c r="J379" s="664"/>
      <c r="K379" s="664"/>
      <c r="L379" s="664"/>
      <c r="M379" s="664"/>
      <c r="N379" s="664"/>
      <c r="O379" s="664"/>
      <c r="P379" s="664"/>
      <c r="Q379" s="664"/>
      <c r="R379" s="664"/>
      <c r="S379" s="663">
        <v>0</v>
      </c>
      <c r="T379" s="663">
        <v>0</v>
      </c>
      <c r="U379" s="663">
        <v>0</v>
      </c>
      <c r="V379" s="663">
        <v>0</v>
      </c>
      <c r="W379" s="663">
        <v>0</v>
      </c>
      <c r="X379" s="663">
        <v>0</v>
      </c>
      <c r="Y379" s="663">
        <v>0</v>
      </c>
      <c r="Z379" s="663">
        <v>0</v>
      </c>
      <c r="AA379" s="663">
        <v>0</v>
      </c>
      <c r="AB379" s="663">
        <v>0</v>
      </c>
      <c r="AC379" s="663">
        <v>0</v>
      </c>
      <c r="AD379" s="663">
        <v>0</v>
      </c>
      <c r="AE379" s="663">
        <v>0</v>
      </c>
      <c r="AF379" s="663">
        <v>0</v>
      </c>
      <c r="AG379" s="663">
        <v>0</v>
      </c>
      <c r="AH379" s="664"/>
      <c r="AI379" s="664"/>
      <c r="AJ379" s="664"/>
      <c r="AK379" s="664"/>
      <c r="AL379" s="664"/>
      <c r="AM379" s="664"/>
      <c r="AN379" s="664"/>
      <c r="AO379" s="664"/>
      <c r="AP379" s="664"/>
      <c r="AQ379" s="664"/>
      <c r="AR379" s="664"/>
      <c r="AS379" s="664"/>
      <c r="AT379" s="664"/>
      <c r="AU379" s="664"/>
      <c r="AV379" s="664"/>
      <c r="AW379" s="664"/>
      <c r="AX379" s="664"/>
      <c r="AY379" s="664"/>
      <c r="AZ379" s="664"/>
      <c r="BA379" s="664"/>
      <c r="BB379" s="664"/>
      <c r="BC379" s="664"/>
      <c r="BD379" s="664"/>
      <c r="BE379" s="664"/>
      <c r="BF379" s="664"/>
      <c r="BG379" s="664"/>
      <c r="BH379" s="664"/>
      <c r="BI379" s="664"/>
      <c r="BJ379" s="664"/>
      <c r="BK379" s="664"/>
      <c r="BL379" s="664"/>
      <c r="BM379" s="664"/>
      <c r="BN379" s="664"/>
      <c r="BO379" s="664"/>
      <c r="BP379" s="664"/>
      <c r="BQ379" s="664"/>
      <c r="BR379" s="664"/>
      <c r="BS379" s="664"/>
      <c r="BT379" s="664"/>
      <c r="BU379" s="664"/>
      <c r="BV379" s="664"/>
      <c r="BW379" s="664"/>
      <c r="BX379" s="664"/>
      <c r="BY379" s="664"/>
      <c r="BZ379" s="664"/>
      <c r="CA379" s="664"/>
    </row>
    <row r="380" spans="1:79" outlineLevel="1" x14ac:dyDescent="0.25">
      <c r="A380" s="656"/>
      <c r="E380" s="570" t="s">
        <v>867</v>
      </c>
      <c r="F380" s="656" t="s">
        <v>868</v>
      </c>
      <c r="G380" s="719"/>
      <c r="H380" s="719"/>
      <c r="I380" s="719"/>
      <c r="J380" s="719"/>
      <c r="K380" s="719"/>
      <c r="L380" s="719"/>
      <c r="M380" s="719"/>
      <c r="N380" s="719"/>
      <c r="O380" s="719"/>
      <c r="P380" s="716"/>
      <c r="Q380" s="716"/>
      <c r="R380" s="716"/>
      <c r="S380" s="663">
        <v>0</v>
      </c>
      <c r="T380" s="663">
        <v>12.26</v>
      </c>
      <c r="U380" s="663">
        <v>3</v>
      </c>
      <c r="V380" s="663">
        <v>0</v>
      </c>
      <c r="W380" s="663">
        <v>0</v>
      </c>
      <c r="X380" s="663">
        <v>0</v>
      </c>
      <c r="Y380" s="663">
        <v>55</v>
      </c>
      <c r="Z380" s="663">
        <v>0</v>
      </c>
      <c r="AA380" s="663">
        <v>10</v>
      </c>
      <c r="AB380" s="663">
        <v>0</v>
      </c>
      <c r="AC380" s="663">
        <v>0</v>
      </c>
      <c r="AD380" s="663">
        <v>0</v>
      </c>
      <c r="AE380" s="663">
        <v>0</v>
      </c>
      <c r="AF380" s="663">
        <v>0</v>
      </c>
      <c r="AG380" s="663">
        <v>0</v>
      </c>
      <c r="AH380" s="718"/>
      <c r="AI380" s="718"/>
      <c r="AJ380" s="718"/>
      <c r="AK380" s="718"/>
      <c r="AL380" s="718"/>
      <c r="AM380" s="718"/>
      <c r="AN380" s="718"/>
      <c r="AO380" s="718"/>
      <c r="AP380" s="718"/>
      <c r="AQ380" s="718"/>
      <c r="AR380" s="718"/>
      <c r="AS380" s="718"/>
      <c r="AT380" s="718"/>
      <c r="AU380" s="718"/>
      <c r="AV380" s="718"/>
      <c r="AW380" s="718"/>
      <c r="AX380" s="718"/>
      <c r="AY380" s="718"/>
      <c r="AZ380" s="718"/>
      <c r="BA380" s="718"/>
      <c r="BB380" s="718"/>
      <c r="BC380" s="718"/>
      <c r="BD380" s="718"/>
      <c r="BE380" s="718"/>
      <c r="BF380" s="718"/>
      <c r="BG380" s="718"/>
      <c r="BH380" s="718"/>
      <c r="BI380" s="718"/>
      <c r="BJ380" s="718"/>
      <c r="BK380" s="718"/>
      <c r="BL380" s="718"/>
      <c r="BM380" s="718"/>
      <c r="BN380" s="718"/>
      <c r="BO380" s="718"/>
      <c r="BP380" s="718"/>
      <c r="BQ380" s="718"/>
      <c r="BR380" s="718"/>
      <c r="BS380" s="718"/>
      <c r="BT380" s="718"/>
      <c r="BU380" s="718"/>
      <c r="BV380" s="718"/>
      <c r="BW380" s="718"/>
      <c r="BX380" s="718"/>
      <c r="BY380" s="718"/>
      <c r="BZ380" s="718"/>
      <c r="CA380" s="718"/>
    </row>
    <row r="381" spans="1:79" outlineLevel="1" x14ac:dyDescent="0.25">
      <c r="A381" s="657"/>
      <c r="B381" s="570"/>
      <c r="C381" s="570"/>
      <c r="D381" s="570"/>
      <c r="E381" s="570" t="s">
        <v>49</v>
      </c>
      <c r="F381" s="657" t="s">
        <v>869</v>
      </c>
      <c r="G381" s="664">
        <f>SUM(G379:G380)</f>
        <v>0</v>
      </c>
      <c r="H381" s="664">
        <f t="shared" ref="H381:BO381" si="124">SUM(H379:H380)</f>
        <v>0</v>
      </c>
      <c r="I381" s="664">
        <f t="shared" si="124"/>
        <v>0</v>
      </c>
      <c r="J381" s="664">
        <f t="shared" si="124"/>
        <v>0</v>
      </c>
      <c r="K381" s="664">
        <f t="shared" si="124"/>
        <v>0</v>
      </c>
      <c r="L381" s="664">
        <f t="shared" si="124"/>
        <v>0</v>
      </c>
      <c r="M381" s="664">
        <f t="shared" si="124"/>
        <v>0</v>
      </c>
      <c r="N381" s="664">
        <f t="shared" si="124"/>
        <v>0</v>
      </c>
      <c r="O381" s="664">
        <f t="shared" si="124"/>
        <v>0</v>
      </c>
      <c r="P381" s="664">
        <f t="shared" si="124"/>
        <v>0</v>
      </c>
      <c r="Q381" s="664">
        <f t="shared" si="124"/>
        <v>0</v>
      </c>
      <c r="R381" s="664">
        <f t="shared" si="124"/>
        <v>0</v>
      </c>
      <c r="S381" s="664">
        <f t="shared" ref="S381:AA381" si="125">ROUND(SUM(S378:S380),5)</f>
        <v>0</v>
      </c>
      <c r="T381" s="664">
        <f t="shared" si="125"/>
        <v>12.26</v>
      </c>
      <c r="U381" s="664">
        <f t="shared" si="125"/>
        <v>3</v>
      </c>
      <c r="V381" s="664">
        <f t="shared" si="125"/>
        <v>0</v>
      </c>
      <c r="W381" s="664">
        <f t="shared" si="125"/>
        <v>0</v>
      </c>
      <c r="X381" s="664">
        <f t="shared" si="125"/>
        <v>0</v>
      </c>
      <c r="Y381" s="664">
        <f t="shared" si="125"/>
        <v>55</v>
      </c>
      <c r="Z381" s="664">
        <f t="shared" si="125"/>
        <v>0</v>
      </c>
      <c r="AA381" s="664">
        <f t="shared" si="125"/>
        <v>10</v>
      </c>
      <c r="AB381" s="664">
        <f t="shared" ref="AB381:AG381" si="126">ROUND(SUM(AB378:AB380),5)</f>
        <v>0</v>
      </c>
      <c r="AC381" s="664">
        <f t="shared" si="126"/>
        <v>0</v>
      </c>
      <c r="AD381" s="664">
        <f t="shared" si="126"/>
        <v>0</v>
      </c>
      <c r="AE381" s="664">
        <f t="shared" si="126"/>
        <v>0</v>
      </c>
      <c r="AF381" s="664">
        <f t="shared" si="126"/>
        <v>0</v>
      </c>
      <c r="AG381" s="664">
        <f t="shared" si="126"/>
        <v>0</v>
      </c>
      <c r="AH381" s="664">
        <f t="shared" si="124"/>
        <v>0</v>
      </c>
      <c r="AI381" s="664">
        <f t="shared" si="124"/>
        <v>0</v>
      </c>
      <c r="AJ381" s="664">
        <f t="shared" si="124"/>
        <v>0</v>
      </c>
      <c r="AK381" s="664">
        <f t="shared" si="124"/>
        <v>0</v>
      </c>
      <c r="AL381" s="664">
        <f t="shared" si="124"/>
        <v>0</v>
      </c>
      <c r="AM381" s="664">
        <f t="shared" si="124"/>
        <v>0</v>
      </c>
      <c r="AN381" s="664">
        <f t="shared" si="124"/>
        <v>0</v>
      </c>
      <c r="AO381" s="664">
        <f t="shared" si="124"/>
        <v>0</v>
      </c>
      <c r="AP381" s="664">
        <f t="shared" si="124"/>
        <v>0</v>
      </c>
      <c r="AQ381" s="664">
        <f t="shared" si="124"/>
        <v>0</v>
      </c>
      <c r="AR381" s="664">
        <f t="shared" si="124"/>
        <v>0</v>
      </c>
      <c r="AS381" s="664">
        <f t="shared" si="124"/>
        <v>0</v>
      </c>
      <c r="AT381" s="664">
        <f t="shared" si="124"/>
        <v>0</v>
      </c>
      <c r="AU381" s="664">
        <f t="shared" si="124"/>
        <v>0</v>
      </c>
      <c r="AV381" s="664">
        <f t="shared" si="124"/>
        <v>0</v>
      </c>
      <c r="AW381" s="664">
        <f t="shared" si="124"/>
        <v>0</v>
      </c>
      <c r="AX381" s="664">
        <f t="shared" si="124"/>
        <v>0</v>
      </c>
      <c r="AY381" s="664">
        <f t="shared" si="124"/>
        <v>0</v>
      </c>
      <c r="AZ381" s="664">
        <f t="shared" si="124"/>
        <v>0</v>
      </c>
      <c r="BA381" s="664">
        <f t="shared" si="124"/>
        <v>0</v>
      </c>
      <c r="BB381" s="664">
        <f t="shared" si="124"/>
        <v>0</v>
      </c>
      <c r="BC381" s="664">
        <f t="shared" si="124"/>
        <v>0</v>
      </c>
      <c r="BD381" s="664">
        <f t="shared" si="124"/>
        <v>0</v>
      </c>
      <c r="BE381" s="664">
        <f t="shared" si="124"/>
        <v>0</v>
      </c>
      <c r="BF381" s="664">
        <f t="shared" si="124"/>
        <v>0</v>
      </c>
      <c r="BG381" s="664">
        <f t="shared" si="124"/>
        <v>0</v>
      </c>
      <c r="BH381" s="664">
        <f t="shared" si="124"/>
        <v>0</v>
      </c>
      <c r="BI381" s="664">
        <f t="shared" si="124"/>
        <v>0</v>
      </c>
      <c r="BJ381" s="664">
        <f t="shared" si="124"/>
        <v>0</v>
      </c>
      <c r="BK381" s="664">
        <f t="shared" si="124"/>
        <v>0</v>
      </c>
      <c r="BL381" s="664">
        <f t="shared" si="124"/>
        <v>0</v>
      </c>
      <c r="BM381" s="664">
        <f t="shared" si="124"/>
        <v>0</v>
      </c>
      <c r="BN381" s="664">
        <f t="shared" si="124"/>
        <v>0</v>
      </c>
      <c r="BO381" s="664">
        <f t="shared" si="124"/>
        <v>0</v>
      </c>
      <c r="BP381" s="664">
        <f t="shared" ref="BP381:CA381" si="127">SUM(BP379:BP380)</f>
        <v>0</v>
      </c>
      <c r="BQ381" s="664">
        <f t="shared" si="127"/>
        <v>0</v>
      </c>
      <c r="BR381" s="664">
        <f t="shared" si="127"/>
        <v>0</v>
      </c>
      <c r="BS381" s="664">
        <f t="shared" si="127"/>
        <v>0</v>
      </c>
      <c r="BT381" s="664">
        <f t="shared" si="127"/>
        <v>0</v>
      </c>
      <c r="BU381" s="664">
        <f t="shared" si="127"/>
        <v>0</v>
      </c>
      <c r="BV381" s="664">
        <f t="shared" si="127"/>
        <v>0</v>
      </c>
      <c r="BW381" s="664">
        <f t="shared" si="127"/>
        <v>0</v>
      </c>
      <c r="BX381" s="664">
        <f t="shared" si="127"/>
        <v>0</v>
      </c>
      <c r="BY381" s="664">
        <f t="shared" si="127"/>
        <v>0</v>
      </c>
      <c r="BZ381" s="664">
        <f t="shared" si="127"/>
        <v>0</v>
      </c>
      <c r="CA381" s="664">
        <f t="shared" si="127"/>
        <v>0</v>
      </c>
    </row>
    <row r="382" spans="1:79" outlineLevel="1" x14ac:dyDescent="0.25">
      <c r="A382" s="658"/>
      <c r="E382" s="570" t="s">
        <v>1328</v>
      </c>
      <c r="F382" s="658" t="s">
        <v>589</v>
      </c>
      <c r="G382" s="719"/>
      <c r="H382" s="719">
        <v>13.24091236110238</v>
      </c>
      <c r="I382" s="719">
        <v>3.1257403222224931</v>
      </c>
      <c r="J382" s="719">
        <v>32.352611487768627</v>
      </c>
      <c r="K382" s="719">
        <v>5.6912038609798126</v>
      </c>
      <c r="L382" s="719">
        <v>53.233676764225166</v>
      </c>
      <c r="M382" s="719">
        <v>2.4895910782827846</v>
      </c>
      <c r="N382" s="719">
        <v>21.143625085320924</v>
      </c>
      <c r="O382" s="719">
        <v>26.284304060217647</v>
      </c>
      <c r="P382" s="716">
        <v>126.33358851741201</v>
      </c>
      <c r="Q382" s="716"/>
      <c r="R382" s="716"/>
      <c r="S382" s="667">
        <v>0</v>
      </c>
      <c r="T382" s="667">
        <v>0</v>
      </c>
      <c r="U382" s="667">
        <v>65.22</v>
      </c>
      <c r="V382" s="667">
        <v>0</v>
      </c>
      <c r="W382" s="667">
        <v>131.72999999999999</v>
      </c>
      <c r="X382" s="667">
        <v>173.78</v>
      </c>
      <c r="Y382" s="667">
        <v>28.81</v>
      </c>
      <c r="Z382" s="667">
        <v>31.19</v>
      </c>
      <c r="AA382" s="667">
        <v>0</v>
      </c>
      <c r="AB382" s="667">
        <v>0</v>
      </c>
      <c r="AC382" s="667">
        <v>0</v>
      </c>
      <c r="AD382" s="667">
        <v>0</v>
      </c>
      <c r="AE382" s="667">
        <v>0</v>
      </c>
      <c r="AF382" s="667">
        <v>0</v>
      </c>
      <c r="AG382" s="667">
        <v>0</v>
      </c>
      <c r="AH382" s="718"/>
      <c r="AI382" s="718"/>
      <c r="AJ382" s="718"/>
      <c r="AK382" s="718"/>
      <c r="AL382" s="718"/>
      <c r="AM382" s="718"/>
      <c r="AN382" s="718"/>
      <c r="AO382" s="718"/>
      <c r="AP382" s="718"/>
      <c r="AQ382" s="718"/>
      <c r="AR382" s="718"/>
      <c r="AS382" s="718"/>
      <c r="AT382" s="718"/>
      <c r="AU382" s="718"/>
      <c r="AV382" s="718"/>
      <c r="AW382" s="718"/>
      <c r="AX382" s="718"/>
      <c r="AY382" s="718"/>
      <c r="AZ382" s="718"/>
      <c r="BA382" s="718"/>
      <c r="BB382" s="718"/>
      <c r="BC382" s="718"/>
      <c r="BD382" s="718"/>
      <c r="BE382" s="718"/>
      <c r="BF382" s="718"/>
      <c r="BG382" s="718"/>
      <c r="BH382" s="718"/>
      <c r="BI382" s="718"/>
      <c r="BJ382" s="718"/>
      <c r="BK382" s="718"/>
      <c r="BL382" s="718"/>
      <c r="BM382" s="718"/>
      <c r="BN382" s="718"/>
      <c r="BO382" s="718"/>
      <c r="BP382" s="718"/>
      <c r="BQ382" s="718"/>
      <c r="BR382" s="718"/>
      <c r="BS382" s="718"/>
      <c r="BT382" s="718"/>
      <c r="BU382" s="718"/>
      <c r="BV382" s="718"/>
      <c r="BW382" s="718"/>
      <c r="BX382" s="718"/>
      <c r="BY382" s="718"/>
      <c r="BZ382" s="718"/>
      <c r="CA382" s="718"/>
    </row>
    <row r="383" spans="1:79" outlineLevel="1" x14ac:dyDescent="0.25">
      <c r="A383" s="655"/>
      <c r="B383" s="570"/>
      <c r="C383" s="570"/>
      <c r="D383" s="570"/>
      <c r="E383" s="570" t="s">
        <v>1329</v>
      </c>
      <c r="F383" s="655" t="s">
        <v>870</v>
      </c>
      <c r="G383" s="719"/>
      <c r="H383" s="719"/>
      <c r="I383" s="719"/>
      <c r="J383" s="719"/>
      <c r="K383" s="719"/>
      <c r="L383" s="719"/>
      <c r="M383" s="719"/>
      <c r="N383" s="719"/>
      <c r="O383" s="719"/>
      <c r="P383" s="716"/>
      <c r="Q383" s="716"/>
      <c r="R383" s="716"/>
      <c r="S383" s="667">
        <v>0</v>
      </c>
      <c r="T383" s="667">
        <v>0</v>
      </c>
      <c r="U383" s="667">
        <v>0</v>
      </c>
      <c r="V383" s="667">
        <v>0</v>
      </c>
      <c r="W383" s="667">
        <v>0</v>
      </c>
      <c r="X383" s="667">
        <v>0</v>
      </c>
      <c r="Y383" s="667">
        <v>0</v>
      </c>
      <c r="Z383" s="667">
        <v>0</v>
      </c>
      <c r="AA383" s="667">
        <v>0</v>
      </c>
      <c r="AB383" s="667">
        <v>0</v>
      </c>
      <c r="AC383" s="667">
        <v>0</v>
      </c>
      <c r="AD383" s="667">
        <v>0</v>
      </c>
      <c r="AE383" s="667">
        <v>0</v>
      </c>
      <c r="AF383" s="667">
        <v>0</v>
      </c>
      <c r="AG383" s="667">
        <v>0</v>
      </c>
      <c r="AH383" s="718"/>
      <c r="AI383" s="718"/>
      <c r="AJ383" s="718"/>
      <c r="AK383" s="718"/>
      <c r="AL383" s="718"/>
      <c r="AM383" s="718"/>
      <c r="AN383" s="718"/>
      <c r="AO383" s="718"/>
      <c r="AP383" s="718"/>
      <c r="AQ383" s="718"/>
      <c r="AR383" s="718"/>
      <c r="AS383" s="718"/>
      <c r="AT383" s="718"/>
      <c r="AU383" s="718"/>
      <c r="AV383" s="718"/>
      <c r="AW383" s="718"/>
      <c r="AX383" s="718"/>
      <c r="AY383" s="718"/>
      <c r="AZ383" s="718"/>
      <c r="BA383" s="718"/>
      <c r="BB383" s="718"/>
      <c r="BC383" s="718"/>
      <c r="BD383" s="718"/>
      <c r="BE383" s="718"/>
      <c r="BF383" s="718"/>
      <c r="BG383" s="718"/>
      <c r="BH383" s="718"/>
      <c r="BI383" s="718"/>
      <c r="BJ383" s="718"/>
      <c r="BK383" s="718"/>
      <c r="BL383" s="718"/>
      <c r="BM383" s="718"/>
      <c r="BN383" s="718"/>
      <c r="BO383" s="718"/>
      <c r="BP383" s="718"/>
      <c r="BQ383" s="718"/>
      <c r="BR383" s="718"/>
      <c r="BS383" s="718"/>
      <c r="BT383" s="718"/>
      <c r="BU383" s="718"/>
      <c r="BV383" s="718"/>
      <c r="BW383" s="718"/>
      <c r="BX383" s="718"/>
      <c r="BY383" s="718"/>
      <c r="BZ383" s="718"/>
      <c r="CA383" s="718"/>
    </row>
    <row r="384" spans="1:79" s="700" customFormat="1" outlineLevel="1" x14ac:dyDescent="0.25">
      <c r="A384" s="695"/>
      <c r="E384" s="570" t="s">
        <v>1330</v>
      </c>
      <c r="F384" s="695" t="s">
        <v>590</v>
      </c>
      <c r="G384" s="733"/>
      <c r="H384" s="733"/>
      <c r="I384" s="733"/>
      <c r="J384" s="733"/>
      <c r="K384" s="733"/>
      <c r="L384" s="733"/>
      <c r="M384" s="733"/>
      <c r="N384" s="733"/>
      <c r="O384" s="733"/>
      <c r="P384" s="734"/>
      <c r="Q384" s="734"/>
      <c r="R384" s="734"/>
      <c r="S384" s="697"/>
      <c r="T384" s="697"/>
      <c r="U384" s="697"/>
      <c r="V384" s="697"/>
      <c r="W384" s="697"/>
      <c r="X384" s="697"/>
      <c r="Y384" s="697"/>
      <c r="Z384" s="697"/>
      <c r="AA384" s="697"/>
      <c r="AB384" s="697"/>
      <c r="AC384" s="697"/>
      <c r="AD384" s="697"/>
      <c r="AE384" s="697"/>
      <c r="AF384" s="697"/>
      <c r="AG384" s="697"/>
      <c r="AH384" s="736"/>
      <c r="AI384" s="736"/>
      <c r="AJ384" s="736"/>
      <c r="AK384" s="736"/>
      <c r="AL384" s="736"/>
      <c r="AM384" s="736"/>
      <c r="AN384" s="736"/>
      <c r="AO384" s="736"/>
      <c r="AP384" s="736"/>
      <c r="AQ384" s="736"/>
      <c r="AR384" s="736"/>
      <c r="AS384" s="736"/>
      <c r="AT384" s="736"/>
      <c r="AU384" s="736"/>
      <c r="AV384" s="736"/>
      <c r="AW384" s="736"/>
      <c r="AX384" s="736"/>
      <c r="AY384" s="736"/>
      <c r="AZ384" s="736"/>
      <c r="BA384" s="736"/>
      <c r="BB384" s="736"/>
      <c r="BC384" s="736"/>
      <c r="BD384" s="736"/>
      <c r="BE384" s="736"/>
      <c r="BF384" s="736"/>
      <c r="BG384" s="736"/>
      <c r="BH384" s="736"/>
      <c r="BI384" s="736"/>
      <c r="BJ384" s="736"/>
      <c r="BK384" s="736"/>
      <c r="BL384" s="736"/>
      <c r="BM384" s="736"/>
      <c r="BN384" s="736"/>
      <c r="BO384" s="736"/>
      <c r="BP384" s="736"/>
      <c r="BQ384" s="736"/>
      <c r="BR384" s="736"/>
      <c r="BS384" s="736"/>
      <c r="BT384" s="736"/>
      <c r="BU384" s="736"/>
      <c r="BV384" s="736"/>
      <c r="BW384" s="736"/>
      <c r="BX384" s="736"/>
      <c r="BY384" s="736"/>
      <c r="BZ384" s="736"/>
      <c r="CA384" s="736"/>
    </row>
    <row r="385" spans="1:79" outlineLevel="1" x14ac:dyDescent="0.25">
      <c r="A385" s="691"/>
      <c r="B385" s="693"/>
      <c r="C385" s="693"/>
      <c r="D385" s="693"/>
      <c r="E385" s="570" t="s">
        <v>645</v>
      </c>
      <c r="F385" s="691" t="s">
        <v>645</v>
      </c>
      <c r="G385" s="692"/>
      <c r="H385" s="692"/>
      <c r="I385" s="692"/>
      <c r="J385" s="692"/>
      <c r="K385" s="692"/>
      <c r="L385" s="692"/>
      <c r="M385" s="692"/>
      <c r="N385" s="692"/>
      <c r="O385" s="692"/>
      <c r="P385" s="692"/>
      <c r="Q385" s="692"/>
      <c r="R385" s="692"/>
      <c r="S385" s="692"/>
      <c r="T385" s="692"/>
      <c r="U385" s="692"/>
      <c r="V385" s="692"/>
      <c r="W385" s="692"/>
      <c r="X385" s="692"/>
      <c r="Y385" s="692"/>
      <c r="Z385" s="692"/>
      <c r="AA385" s="692"/>
      <c r="AB385" s="692"/>
      <c r="AC385" s="692"/>
      <c r="AD385" s="692"/>
      <c r="AE385" s="692"/>
      <c r="AF385" s="692"/>
      <c r="AG385" s="692"/>
      <c r="AH385" s="692"/>
      <c r="AI385" s="692"/>
      <c r="AJ385" s="692"/>
      <c r="AK385" s="692"/>
      <c r="AL385" s="692"/>
      <c r="AM385" s="692"/>
      <c r="AN385" s="692"/>
      <c r="AO385" s="692"/>
      <c r="AP385" s="692"/>
      <c r="AQ385" s="692"/>
      <c r="AR385" s="692"/>
      <c r="AS385" s="692"/>
      <c r="AT385" s="692"/>
      <c r="AU385" s="692"/>
      <c r="AV385" s="692"/>
      <c r="AW385" s="692"/>
      <c r="AX385" s="692"/>
      <c r="AY385" s="692"/>
      <c r="AZ385" s="692"/>
      <c r="BA385" s="692"/>
      <c r="BB385" s="692"/>
      <c r="BC385" s="692"/>
      <c r="BD385" s="692"/>
      <c r="BE385" s="692"/>
      <c r="BF385" s="692"/>
      <c r="BG385" s="692"/>
      <c r="BH385" s="692"/>
      <c r="BI385" s="692"/>
      <c r="BJ385" s="692"/>
      <c r="BK385" s="692"/>
      <c r="BL385" s="692"/>
      <c r="BM385" s="692"/>
      <c r="BN385" s="692"/>
      <c r="BO385" s="692"/>
      <c r="BP385" s="692"/>
      <c r="BQ385" s="692"/>
      <c r="BR385" s="692"/>
      <c r="BS385" s="692"/>
      <c r="BT385" s="692"/>
      <c r="BU385" s="692"/>
      <c r="BV385" s="692"/>
      <c r="BW385" s="692"/>
      <c r="BX385" s="692"/>
      <c r="BY385" s="692"/>
      <c r="BZ385" s="692"/>
      <c r="CA385" s="692"/>
    </row>
    <row r="386" spans="1:79" outlineLevel="1" x14ac:dyDescent="0.25">
      <c r="A386" s="656"/>
      <c r="B386" s="223"/>
      <c r="C386" s="223"/>
      <c r="D386" s="223"/>
      <c r="E386" s="570" t="s">
        <v>1330</v>
      </c>
      <c r="F386" s="656" t="s">
        <v>858</v>
      </c>
      <c r="G386" s="663"/>
      <c r="H386" s="663"/>
      <c r="I386" s="663"/>
      <c r="J386" s="663"/>
      <c r="K386" s="663"/>
      <c r="L386" s="663"/>
      <c r="M386" s="663"/>
      <c r="N386" s="663"/>
      <c r="O386" s="663"/>
      <c r="P386" s="663"/>
      <c r="Q386" s="663"/>
      <c r="R386" s="663"/>
      <c r="S386" s="663">
        <v>0</v>
      </c>
      <c r="T386" s="663">
        <v>0</v>
      </c>
      <c r="U386" s="663">
        <v>0</v>
      </c>
      <c r="V386" s="663">
        <v>0</v>
      </c>
      <c r="W386" s="663">
        <v>0</v>
      </c>
      <c r="X386" s="663">
        <v>0</v>
      </c>
      <c r="Y386" s="663">
        <v>0</v>
      </c>
      <c r="Z386" s="663">
        <v>0</v>
      </c>
      <c r="AA386" s="663">
        <v>0</v>
      </c>
      <c r="AB386" s="663">
        <v>0</v>
      </c>
      <c r="AC386" s="663">
        <v>0</v>
      </c>
      <c r="AD386" s="663">
        <v>0</v>
      </c>
      <c r="AE386" s="663">
        <v>0</v>
      </c>
      <c r="AF386" s="663">
        <v>0</v>
      </c>
      <c r="AG386" s="663">
        <v>0</v>
      </c>
      <c r="AH386" s="663"/>
      <c r="AI386" s="663"/>
      <c r="AJ386" s="663"/>
      <c r="AK386" s="663"/>
      <c r="AL386" s="663"/>
      <c r="AM386" s="663"/>
      <c r="AN386" s="663"/>
      <c r="AO386" s="663"/>
      <c r="AP386" s="663"/>
      <c r="AQ386" s="663"/>
      <c r="AR386" s="663"/>
      <c r="AS386" s="663"/>
      <c r="AT386" s="663"/>
      <c r="AU386" s="663"/>
      <c r="AV386" s="663"/>
      <c r="AW386" s="663"/>
      <c r="AX386" s="663"/>
      <c r="AY386" s="663"/>
      <c r="AZ386" s="663"/>
      <c r="BA386" s="663"/>
      <c r="BB386" s="663"/>
      <c r="BC386" s="663"/>
      <c r="BD386" s="663"/>
      <c r="BE386" s="663"/>
      <c r="BF386" s="663"/>
      <c r="BG386" s="663"/>
      <c r="BH386" s="663"/>
      <c r="BI386" s="663"/>
      <c r="BJ386" s="663"/>
      <c r="BK386" s="663"/>
      <c r="BL386" s="663"/>
      <c r="BM386" s="663"/>
      <c r="BN386" s="663"/>
      <c r="BO386" s="663"/>
      <c r="BP386" s="663"/>
      <c r="BQ386" s="663"/>
      <c r="BR386" s="663"/>
      <c r="BS386" s="663"/>
      <c r="BT386" s="663"/>
      <c r="BU386" s="663"/>
      <c r="BV386" s="663"/>
      <c r="BW386" s="663"/>
      <c r="BX386" s="663"/>
      <c r="BY386" s="663"/>
      <c r="BZ386" s="663"/>
      <c r="CA386" s="663"/>
    </row>
    <row r="387" spans="1:79" outlineLevel="1" x14ac:dyDescent="0.25">
      <c r="A387" s="656"/>
      <c r="B387" s="570"/>
      <c r="C387" s="570"/>
      <c r="D387" s="570"/>
      <c r="E387" s="570" t="s">
        <v>645</v>
      </c>
      <c r="F387" s="656" t="s">
        <v>859</v>
      </c>
      <c r="G387" s="719"/>
      <c r="H387" s="719"/>
      <c r="I387" s="719"/>
      <c r="J387" s="719"/>
      <c r="K387" s="719"/>
      <c r="L387" s="719"/>
      <c r="M387" s="719"/>
      <c r="N387" s="719"/>
      <c r="O387" s="719"/>
      <c r="P387" s="716"/>
      <c r="Q387" s="716"/>
      <c r="R387" s="716"/>
      <c r="S387" s="663">
        <v>0</v>
      </c>
      <c r="T387" s="663">
        <v>800</v>
      </c>
      <c r="U387" s="663">
        <v>-1600</v>
      </c>
      <c r="V387" s="663">
        <v>0</v>
      </c>
      <c r="W387" s="663">
        <v>0</v>
      </c>
      <c r="X387" s="663">
        <v>0</v>
      </c>
      <c r="Y387" s="663">
        <v>0</v>
      </c>
      <c r="Z387" s="663">
        <v>0</v>
      </c>
      <c r="AA387" s="663">
        <v>0</v>
      </c>
      <c r="AB387" s="663">
        <v>0</v>
      </c>
      <c r="AC387" s="663">
        <v>0</v>
      </c>
      <c r="AD387" s="663">
        <v>0</v>
      </c>
      <c r="AE387" s="663">
        <v>0</v>
      </c>
      <c r="AF387" s="663">
        <v>0</v>
      </c>
      <c r="AG387" s="663">
        <v>0</v>
      </c>
      <c r="AH387" s="718"/>
      <c r="AI387" s="718"/>
      <c r="AJ387" s="718"/>
      <c r="AK387" s="718"/>
      <c r="AL387" s="718"/>
      <c r="AM387" s="718"/>
      <c r="AN387" s="718"/>
      <c r="AO387" s="718"/>
      <c r="AP387" s="718"/>
      <c r="AQ387" s="718"/>
      <c r="AR387" s="718"/>
      <c r="AS387" s="718"/>
      <c r="AT387" s="718"/>
      <c r="AU387" s="718"/>
      <c r="AV387" s="718"/>
      <c r="AW387" s="718"/>
      <c r="AX387" s="718"/>
      <c r="AY387" s="718"/>
      <c r="AZ387" s="718"/>
      <c r="BA387" s="718"/>
      <c r="BB387" s="718"/>
      <c r="BC387" s="718"/>
      <c r="BD387" s="718"/>
      <c r="BE387" s="718"/>
      <c r="BF387" s="718"/>
      <c r="BG387" s="718"/>
      <c r="BH387" s="718"/>
      <c r="BI387" s="718"/>
      <c r="BJ387" s="718"/>
      <c r="BK387" s="718"/>
      <c r="BL387" s="718"/>
      <c r="BM387" s="718"/>
      <c r="BN387" s="718"/>
      <c r="BO387" s="718"/>
      <c r="BP387" s="718"/>
      <c r="BQ387" s="718"/>
      <c r="BR387" s="718"/>
      <c r="BS387" s="718"/>
      <c r="BT387" s="718"/>
      <c r="BU387" s="718"/>
      <c r="BV387" s="718"/>
      <c r="BW387" s="718"/>
      <c r="BX387" s="718"/>
      <c r="BY387" s="718"/>
      <c r="BZ387" s="718"/>
      <c r="CA387" s="718"/>
    </row>
    <row r="388" spans="1:79" outlineLevel="1" x14ac:dyDescent="0.25">
      <c r="A388" s="657"/>
      <c r="B388" s="223"/>
      <c r="C388" s="223"/>
      <c r="D388" s="223"/>
      <c r="E388" s="570" t="s">
        <v>49</v>
      </c>
      <c r="F388" s="657" t="s">
        <v>860</v>
      </c>
      <c r="G388" s="664">
        <f>SUM(G386:G387)</f>
        <v>0</v>
      </c>
      <c r="H388" s="664">
        <f t="shared" ref="H388:BO388" si="128">SUM(H386:H387)</f>
        <v>0</v>
      </c>
      <c r="I388" s="664">
        <f t="shared" si="128"/>
        <v>0</v>
      </c>
      <c r="J388" s="664">
        <f t="shared" si="128"/>
        <v>0</v>
      </c>
      <c r="K388" s="664">
        <f t="shared" si="128"/>
        <v>0</v>
      </c>
      <c r="L388" s="664">
        <f t="shared" si="128"/>
        <v>0</v>
      </c>
      <c r="M388" s="664">
        <f t="shared" si="128"/>
        <v>0</v>
      </c>
      <c r="N388" s="664">
        <f t="shared" si="128"/>
        <v>0</v>
      </c>
      <c r="O388" s="664">
        <f t="shared" si="128"/>
        <v>0</v>
      </c>
      <c r="P388" s="664">
        <f t="shared" si="128"/>
        <v>0</v>
      </c>
      <c r="Q388" s="664">
        <f t="shared" si="128"/>
        <v>0</v>
      </c>
      <c r="R388" s="664">
        <f t="shared" si="128"/>
        <v>0</v>
      </c>
      <c r="S388" s="664">
        <f t="shared" ref="S388:AA388" si="129">ROUND(SUM(S385:S387),5)</f>
        <v>0</v>
      </c>
      <c r="T388" s="664">
        <f t="shared" si="129"/>
        <v>800</v>
      </c>
      <c r="U388" s="664">
        <f t="shared" si="129"/>
        <v>-1600</v>
      </c>
      <c r="V388" s="664">
        <f t="shared" si="129"/>
        <v>0</v>
      </c>
      <c r="W388" s="664">
        <f t="shared" si="129"/>
        <v>0</v>
      </c>
      <c r="X388" s="664">
        <f t="shared" si="129"/>
        <v>0</v>
      </c>
      <c r="Y388" s="664">
        <f t="shared" si="129"/>
        <v>0</v>
      </c>
      <c r="Z388" s="664">
        <f t="shared" si="129"/>
        <v>0</v>
      </c>
      <c r="AA388" s="664">
        <f t="shared" si="129"/>
        <v>0</v>
      </c>
      <c r="AB388" s="664">
        <f t="shared" ref="AB388:AG388" si="130">ROUND(SUM(AB385:AB387),5)</f>
        <v>0</v>
      </c>
      <c r="AC388" s="664">
        <f t="shared" si="130"/>
        <v>0</v>
      </c>
      <c r="AD388" s="664">
        <f t="shared" si="130"/>
        <v>0</v>
      </c>
      <c r="AE388" s="664">
        <f t="shared" si="130"/>
        <v>0</v>
      </c>
      <c r="AF388" s="664">
        <f t="shared" si="130"/>
        <v>0</v>
      </c>
      <c r="AG388" s="664">
        <f t="shared" si="130"/>
        <v>0</v>
      </c>
      <c r="AH388" s="664">
        <f t="shared" si="128"/>
        <v>0</v>
      </c>
      <c r="AI388" s="664">
        <f t="shared" si="128"/>
        <v>0</v>
      </c>
      <c r="AJ388" s="664">
        <f t="shared" si="128"/>
        <v>0</v>
      </c>
      <c r="AK388" s="664">
        <f t="shared" si="128"/>
        <v>0</v>
      </c>
      <c r="AL388" s="664">
        <f t="shared" si="128"/>
        <v>0</v>
      </c>
      <c r="AM388" s="664">
        <f t="shared" si="128"/>
        <v>0</v>
      </c>
      <c r="AN388" s="664">
        <f t="shared" si="128"/>
        <v>0</v>
      </c>
      <c r="AO388" s="664">
        <f t="shared" si="128"/>
        <v>0</v>
      </c>
      <c r="AP388" s="664">
        <f t="shared" si="128"/>
        <v>0</v>
      </c>
      <c r="AQ388" s="664">
        <f t="shared" si="128"/>
        <v>0</v>
      </c>
      <c r="AR388" s="664">
        <f t="shared" si="128"/>
        <v>0</v>
      </c>
      <c r="AS388" s="664">
        <f t="shared" si="128"/>
        <v>0</v>
      </c>
      <c r="AT388" s="664">
        <f t="shared" si="128"/>
        <v>0</v>
      </c>
      <c r="AU388" s="664">
        <f t="shared" si="128"/>
        <v>0</v>
      </c>
      <c r="AV388" s="664">
        <f t="shared" si="128"/>
        <v>0</v>
      </c>
      <c r="AW388" s="664">
        <f t="shared" si="128"/>
        <v>0</v>
      </c>
      <c r="AX388" s="664">
        <f t="shared" si="128"/>
        <v>0</v>
      </c>
      <c r="AY388" s="664">
        <f t="shared" si="128"/>
        <v>0</v>
      </c>
      <c r="AZ388" s="664">
        <f t="shared" si="128"/>
        <v>0</v>
      </c>
      <c r="BA388" s="664">
        <f t="shared" si="128"/>
        <v>0</v>
      </c>
      <c r="BB388" s="664">
        <f t="shared" si="128"/>
        <v>0</v>
      </c>
      <c r="BC388" s="664">
        <f t="shared" si="128"/>
        <v>0</v>
      </c>
      <c r="BD388" s="664">
        <f t="shared" si="128"/>
        <v>0</v>
      </c>
      <c r="BE388" s="664">
        <f t="shared" si="128"/>
        <v>0</v>
      </c>
      <c r="BF388" s="664">
        <f t="shared" si="128"/>
        <v>0</v>
      </c>
      <c r="BG388" s="664">
        <f t="shared" si="128"/>
        <v>0</v>
      </c>
      <c r="BH388" s="664">
        <f t="shared" si="128"/>
        <v>0</v>
      </c>
      <c r="BI388" s="664">
        <f t="shared" si="128"/>
        <v>0</v>
      </c>
      <c r="BJ388" s="664">
        <f t="shared" si="128"/>
        <v>0</v>
      </c>
      <c r="BK388" s="664">
        <f t="shared" si="128"/>
        <v>0</v>
      </c>
      <c r="BL388" s="664">
        <f t="shared" si="128"/>
        <v>0</v>
      </c>
      <c r="BM388" s="664">
        <f t="shared" si="128"/>
        <v>0</v>
      </c>
      <c r="BN388" s="664">
        <f t="shared" si="128"/>
        <v>0</v>
      </c>
      <c r="BO388" s="664">
        <f t="shared" si="128"/>
        <v>0</v>
      </c>
      <c r="BP388" s="664">
        <f t="shared" ref="BP388:CA388" si="131">SUM(BP386:BP387)</f>
        <v>0</v>
      </c>
      <c r="BQ388" s="664">
        <f t="shared" si="131"/>
        <v>0</v>
      </c>
      <c r="BR388" s="664">
        <f t="shared" si="131"/>
        <v>0</v>
      </c>
      <c r="BS388" s="664">
        <f t="shared" si="131"/>
        <v>0</v>
      </c>
      <c r="BT388" s="664">
        <f t="shared" si="131"/>
        <v>0</v>
      </c>
      <c r="BU388" s="664">
        <f t="shared" si="131"/>
        <v>0</v>
      </c>
      <c r="BV388" s="664">
        <f t="shared" si="131"/>
        <v>0</v>
      </c>
      <c r="BW388" s="664">
        <f t="shared" si="131"/>
        <v>0</v>
      </c>
      <c r="BX388" s="664">
        <f t="shared" si="131"/>
        <v>0</v>
      </c>
      <c r="BY388" s="664">
        <f t="shared" si="131"/>
        <v>0</v>
      </c>
      <c r="BZ388" s="664">
        <f t="shared" si="131"/>
        <v>0</v>
      </c>
      <c r="CA388" s="664">
        <f t="shared" si="131"/>
        <v>0</v>
      </c>
    </row>
    <row r="389" spans="1:79" s="740" customFormat="1" outlineLevel="1" x14ac:dyDescent="0.25">
      <c r="A389" s="656"/>
      <c r="B389" s="503"/>
      <c r="C389" s="503"/>
      <c r="D389" s="503"/>
      <c r="E389" s="570" t="s">
        <v>1330</v>
      </c>
      <c r="F389" s="656" t="s">
        <v>871</v>
      </c>
      <c r="G389" s="719"/>
      <c r="H389" s="719"/>
      <c r="I389" s="719"/>
      <c r="J389" s="719"/>
      <c r="K389" s="719"/>
      <c r="L389" s="719"/>
      <c r="M389" s="719"/>
      <c r="N389" s="719"/>
      <c r="O389" s="719"/>
      <c r="P389" s="716"/>
      <c r="Q389" s="716"/>
      <c r="R389" s="716"/>
      <c r="S389" s="671">
        <v>0</v>
      </c>
      <c r="T389" s="671">
        <v>0</v>
      </c>
      <c r="U389" s="671">
        <v>0</v>
      </c>
      <c r="V389" s="671">
        <v>0</v>
      </c>
      <c r="W389" s="671">
        <v>0</v>
      </c>
      <c r="X389" s="671">
        <v>0</v>
      </c>
      <c r="Y389" s="671">
        <v>0</v>
      </c>
      <c r="Z389" s="671">
        <v>154.75</v>
      </c>
      <c r="AA389" s="671">
        <v>0</v>
      </c>
      <c r="AB389" s="671">
        <v>0</v>
      </c>
      <c r="AC389" s="671">
        <v>0</v>
      </c>
      <c r="AD389" s="671">
        <v>0</v>
      </c>
      <c r="AE389" s="671">
        <v>0</v>
      </c>
      <c r="AF389" s="671">
        <v>0</v>
      </c>
      <c r="AG389" s="671">
        <v>0</v>
      </c>
      <c r="AH389" s="718"/>
      <c r="AI389" s="718"/>
      <c r="AJ389" s="718"/>
      <c r="AK389" s="718"/>
      <c r="AL389" s="718"/>
      <c r="AM389" s="718"/>
      <c r="AN389" s="718"/>
      <c r="AO389" s="718"/>
      <c r="AP389" s="718"/>
      <c r="AQ389" s="718"/>
      <c r="AR389" s="718"/>
      <c r="AS389" s="718"/>
      <c r="AT389" s="718"/>
      <c r="AU389" s="718"/>
      <c r="AV389" s="718"/>
      <c r="AW389" s="718"/>
      <c r="AX389" s="718"/>
      <c r="AY389" s="718"/>
      <c r="AZ389" s="718"/>
      <c r="BA389" s="718"/>
      <c r="BB389" s="718"/>
      <c r="BC389" s="718"/>
      <c r="BD389" s="718"/>
      <c r="BE389" s="718"/>
      <c r="BF389" s="718"/>
      <c r="BG389" s="718"/>
      <c r="BH389" s="718"/>
      <c r="BI389" s="718"/>
      <c r="BJ389" s="718"/>
      <c r="BK389" s="718"/>
      <c r="BL389" s="718"/>
      <c r="BM389" s="718"/>
      <c r="BN389" s="718"/>
      <c r="BO389" s="718"/>
      <c r="BP389" s="718"/>
      <c r="BQ389" s="718"/>
      <c r="BR389" s="718"/>
      <c r="BS389" s="718"/>
      <c r="BT389" s="718"/>
      <c r="BU389" s="718"/>
      <c r="BV389" s="718"/>
      <c r="BW389" s="718"/>
      <c r="BX389" s="718"/>
      <c r="BY389" s="718"/>
      <c r="BZ389" s="718"/>
      <c r="CA389" s="718"/>
    </row>
    <row r="390" spans="1:79" s="740" customFormat="1" outlineLevel="1" x14ac:dyDescent="0.25">
      <c r="A390" s="656"/>
      <c r="B390" s="503"/>
      <c r="C390" s="503"/>
      <c r="D390" s="503"/>
      <c r="E390" s="570" t="s">
        <v>1076</v>
      </c>
      <c r="F390" s="656" t="s">
        <v>872</v>
      </c>
      <c r="G390" s="719"/>
      <c r="H390" s="719"/>
      <c r="I390" s="719"/>
      <c r="J390" s="719"/>
      <c r="K390" s="719"/>
      <c r="L390" s="719"/>
      <c r="M390" s="719"/>
      <c r="N390" s="719"/>
      <c r="O390" s="719"/>
      <c r="P390" s="716"/>
      <c r="Q390" s="716"/>
      <c r="R390" s="716"/>
      <c r="S390" s="671">
        <v>0</v>
      </c>
      <c r="T390" s="671">
        <v>0</v>
      </c>
      <c r="U390" s="671">
        <v>0</v>
      </c>
      <c r="V390" s="671">
        <v>0</v>
      </c>
      <c r="W390" s="671">
        <v>0</v>
      </c>
      <c r="X390" s="671">
        <v>0</v>
      </c>
      <c r="Y390" s="671">
        <v>0</v>
      </c>
      <c r="Z390" s="671">
        <v>0</v>
      </c>
      <c r="AA390" s="671">
        <v>0</v>
      </c>
      <c r="AB390" s="671">
        <v>0</v>
      </c>
      <c r="AC390" s="671">
        <v>0</v>
      </c>
      <c r="AD390" s="671">
        <v>0</v>
      </c>
      <c r="AE390" s="671">
        <v>0</v>
      </c>
      <c r="AF390" s="671">
        <v>0</v>
      </c>
      <c r="AG390" s="671">
        <v>0</v>
      </c>
      <c r="AH390" s="718"/>
      <c r="AI390" s="718"/>
      <c r="AJ390" s="718"/>
      <c r="AK390" s="718"/>
      <c r="AL390" s="718"/>
      <c r="AM390" s="718"/>
      <c r="AN390" s="718"/>
      <c r="AO390" s="718"/>
      <c r="AP390" s="718"/>
      <c r="AQ390" s="718"/>
      <c r="AR390" s="718"/>
      <c r="AS390" s="718"/>
      <c r="AT390" s="718"/>
      <c r="AU390" s="718"/>
      <c r="AV390" s="718"/>
      <c r="AW390" s="718"/>
      <c r="AX390" s="718"/>
      <c r="AY390" s="718"/>
      <c r="AZ390" s="718"/>
      <c r="BA390" s="718"/>
      <c r="BB390" s="718"/>
      <c r="BC390" s="718"/>
      <c r="BD390" s="718"/>
      <c r="BE390" s="718"/>
      <c r="BF390" s="718"/>
      <c r="BG390" s="718"/>
      <c r="BH390" s="718"/>
      <c r="BI390" s="718"/>
      <c r="BJ390" s="718"/>
      <c r="BK390" s="718"/>
      <c r="BL390" s="718"/>
      <c r="BM390" s="718"/>
      <c r="BN390" s="718"/>
      <c r="BO390" s="718"/>
      <c r="BP390" s="718"/>
      <c r="BQ390" s="718"/>
      <c r="BR390" s="718"/>
      <c r="BS390" s="718"/>
      <c r="BT390" s="718"/>
      <c r="BU390" s="718"/>
      <c r="BV390" s="718"/>
      <c r="BW390" s="718"/>
      <c r="BX390" s="718"/>
      <c r="BY390" s="718"/>
      <c r="BZ390" s="718"/>
      <c r="CA390" s="718"/>
    </row>
    <row r="391" spans="1:79" s="740" customFormat="1" outlineLevel="1" x14ac:dyDescent="0.25">
      <c r="A391" s="656"/>
      <c r="B391" s="503"/>
      <c r="C391" s="503"/>
      <c r="D391" s="503"/>
      <c r="E391" s="570" t="s">
        <v>1331</v>
      </c>
      <c r="F391" s="656" t="s">
        <v>873</v>
      </c>
      <c r="G391" s="719"/>
      <c r="H391" s="719"/>
      <c r="I391" s="719"/>
      <c r="J391" s="719"/>
      <c r="K391" s="719"/>
      <c r="L391" s="719"/>
      <c r="M391" s="719"/>
      <c r="N391" s="719"/>
      <c r="O391" s="719"/>
      <c r="P391" s="716"/>
      <c r="Q391" s="716"/>
      <c r="R391" s="716"/>
      <c r="S391" s="671">
        <v>0</v>
      </c>
      <c r="T391" s="671">
        <v>0</v>
      </c>
      <c r="U391" s="671">
        <v>0</v>
      </c>
      <c r="V391" s="671">
        <v>0</v>
      </c>
      <c r="W391" s="671">
        <v>0</v>
      </c>
      <c r="X391" s="671">
        <v>0</v>
      </c>
      <c r="Y391" s="671">
        <v>0</v>
      </c>
      <c r="Z391" s="671">
        <v>0</v>
      </c>
      <c r="AA391" s="671">
        <v>0</v>
      </c>
      <c r="AB391" s="671">
        <v>0</v>
      </c>
      <c r="AC391" s="671">
        <v>0</v>
      </c>
      <c r="AD391" s="671">
        <v>0</v>
      </c>
      <c r="AE391" s="671">
        <v>0</v>
      </c>
      <c r="AF391" s="671">
        <v>0</v>
      </c>
      <c r="AG391" s="671">
        <v>0</v>
      </c>
      <c r="AH391" s="718"/>
      <c r="AI391" s="718"/>
      <c r="AJ391" s="718"/>
      <c r="AK391" s="718"/>
      <c r="AL391" s="718"/>
      <c r="AM391" s="718"/>
      <c r="AN391" s="718"/>
      <c r="AO391" s="718"/>
      <c r="AP391" s="718"/>
      <c r="AQ391" s="718"/>
      <c r="AR391" s="718"/>
      <c r="AS391" s="718"/>
      <c r="AT391" s="718"/>
      <c r="AU391" s="718"/>
      <c r="AV391" s="718"/>
      <c r="AW391" s="718"/>
      <c r="AX391" s="718"/>
      <c r="AY391" s="718"/>
      <c r="AZ391" s="718"/>
      <c r="BA391" s="718"/>
      <c r="BB391" s="718"/>
      <c r="BC391" s="718"/>
      <c r="BD391" s="718"/>
      <c r="BE391" s="718"/>
      <c r="BF391" s="718"/>
      <c r="BG391" s="718"/>
      <c r="BH391" s="718"/>
      <c r="BI391" s="718"/>
      <c r="BJ391" s="718"/>
      <c r="BK391" s="718"/>
      <c r="BL391" s="718"/>
      <c r="BM391" s="718"/>
      <c r="BN391" s="718"/>
      <c r="BO391" s="718"/>
      <c r="BP391" s="718"/>
      <c r="BQ391" s="718"/>
      <c r="BR391" s="718"/>
      <c r="BS391" s="718"/>
      <c r="BT391" s="718"/>
      <c r="BU391" s="718"/>
      <c r="BV391" s="718"/>
      <c r="BW391" s="718"/>
      <c r="BX391" s="718"/>
      <c r="BY391" s="718"/>
      <c r="BZ391" s="718"/>
      <c r="CA391" s="718"/>
    </row>
    <row r="392" spans="1:79" s="451" customFormat="1" outlineLevel="1" x14ac:dyDescent="0.25">
      <c r="A392" s="656"/>
      <c r="B392" s="79"/>
      <c r="C392" s="79"/>
      <c r="D392" s="79"/>
      <c r="E392" s="570" t="s">
        <v>1357</v>
      </c>
      <c r="F392" s="656" t="s">
        <v>605</v>
      </c>
      <c r="G392" s="719"/>
      <c r="H392" s="719"/>
      <c r="I392" s="719"/>
      <c r="J392" s="719"/>
      <c r="K392" s="719"/>
      <c r="L392" s="719"/>
      <c r="M392" s="719"/>
      <c r="N392" s="719"/>
      <c r="O392" s="719"/>
      <c r="P392" s="716"/>
      <c r="Q392" s="716"/>
      <c r="R392" s="716"/>
      <c r="S392" s="667">
        <v>0</v>
      </c>
      <c r="T392" s="667">
        <v>0</v>
      </c>
      <c r="U392" s="667">
        <v>1196.54</v>
      </c>
      <c r="V392" s="667">
        <v>2136.38</v>
      </c>
      <c r="W392" s="667">
        <v>3416.44</v>
      </c>
      <c r="X392" s="667">
        <v>372.23</v>
      </c>
      <c r="Y392" s="667">
        <v>5107.42</v>
      </c>
      <c r="Z392" s="667">
        <v>101.46</v>
      </c>
      <c r="AA392" s="667">
        <v>397.41</v>
      </c>
      <c r="AB392" s="667">
        <v>0</v>
      </c>
      <c r="AC392" s="667">
        <v>1345.67</v>
      </c>
      <c r="AD392" s="667">
        <v>120.09</v>
      </c>
      <c r="AE392" s="667">
        <v>280.7</v>
      </c>
      <c r="AF392" s="667">
        <v>0</v>
      </c>
      <c r="AG392" s="667">
        <v>0</v>
      </c>
      <c r="AH392" s="718"/>
      <c r="AI392" s="718"/>
      <c r="AJ392" s="718"/>
      <c r="AK392" s="718"/>
      <c r="AL392" s="718"/>
      <c r="AM392" s="718"/>
      <c r="AN392" s="718"/>
      <c r="AO392" s="718"/>
      <c r="AP392" s="718"/>
      <c r="AQ392" s="718"/>
      <c r="AR392" s="718"/>
      <c r="AS392" s="718"/>
      <c r="AT392" s="718"/>
      <c r="AU392" s="718"/>
      <c r="AV392" s="718"/>
      <c r="AW392" s="718"/>
      <c r="AX392" s="718"/>
      <c r="AY392" s="718"/>
      <c r="AZ392" s="718"/>
      <c r="BA392" s="718"/>
      <c r="BB392" s="718"/>
      <c r="BC392" s="718"/>
      <c r="BD392" s="718"/>
      <c r="BE392" s="718"/>
      <c r="BF392" s="718"/>
      <c r="BG392" s="718"/>
      <c r="BH392" s="718"/>
      <c r="BI392" s="718"/>
      <c r="BJ392" s="718"/>
      <c r="BK392" s="718"/>
      <c r="BL392" s="718"/>
      <c r="BM392" s="718"/>
      <c r="BN392" s="718"/>
      <c r="BO392" s="718"/>
      <c r="BP392" s="718"/>
      <c r="BQ392" s="718"/>
      <c r="BR392" s="718"/>
      <c r="BS392" s="718"/>
      <c r="BT392" s="718"/>
      <c r="BU392" s="718"/>
      <c r="BV392" s="718"/>
      <c r="BW392" s="718"/>
      <c r="BX392" s="718"/>
      <c r="BY392" s="718"/>
      <c r="BZ392" s="718"/>
      <c r="CA392" s="718"/>
    </row>
    <row r="393" spans="1:79" s="451" customFormat="1" outlineLevel="1" x14ac:dyDescent="0.25">
      <c r="A393" s="656"/>
      <c r="B393" s="79"/>
      <c r="C393" s="79"/>
      <c r="D393" s="79"/>
      <c r="E393" s="570" t="s">
        <v>645</v>
      </c>
      <c r="F393" s="656" t="s">
        <v>606</v>
      </c>
      <c r="G393" s="719"/>
      <c r="H393" s="719"/>
      <c r="I393" s="719"/>
      <c r="J393" s="719"/>
      <c r="K393" s="719"/>
      <c r="L393" s="719"/>
      <c r="M393" s="719"/>
      <c r="N393" s="719"/>
      <c r="O393" s="719"/>
      <c r="P393" s="716"/>
      <c r="Q393" s="716"/>
      <c r="R393" s="716"/>
      <c r="S393" s="667">
        <v>423.38</v>
      </c>
      <c r="T393" s="667">
        <v>72.95</v>
      </c>
      <c r="U393" s="667">
        <v>0</v>
      </c>
      <c r="V393" s="667">
        <v>49</v>
      </c>
      <c r="W393" s="667">
        <v>0</v>
      </c>
      <c r="X393" s="667">
        <v>258.04000000000002</v>
      </c>
      <c r="Y393" s="667">
        <v>239.29</v>
      </c>
      <c r="Z393" s="667">
        <v>167.29</v>
      </c>
      <c r="AA393" s="667">
        <v>167.29</v>
      </c>
      <c r="AB393" s="667">
        <v>167.29</v>
      </c>
      <c r="AC393" s="667">
        <v>167.29</v>
      </c>
      <c r="AD393" s="667">
        <v>167.29</v>
      </c>
      <c r="AE393" s="667">
        <v>892.13</v>
      </c>
      <c r="AF393" s="667">
        <v>167.29</v>
      </c>
      <c r="AG393" s="667">
        <v>167.29</v>
      </c>
      <c r="AH393" s="718"/>
      <c r="AI393" s="718"/>
      <c r="AJ393" s="718"/>
      <c r="AK393" s="718"/>
      <c r="AL393" s="718"/>
      <c r="AM393" s="718"/>
      <c r="AN393" s="718"/>
      <c r="AO393" s="718"/>
      <c r="AP393" s="718"/>
      <c r="AQ393" s="718"/>
      <c r="AR393" s="718"/>
      <c r="AS393" s="718"/>
      <c r="AT393" s="718"/>
      <c r="AU393" s="718"/>
      <c r="AV393" s="718"/>
      <c r="AW393" s="718"/>
      <c r="AX393" s="718"/>
      <c r="AY393" s="718"/>
      <c r="AZ393" s="718"/>
      <c r="BA393" s="718"/>
      <c r="BB393" s="718"/>
      <c r="BC393" s="718"/>
      <c r="BD393" s="718"/>
      <c r="BE393" s="718"/>
      <c r="BF393" s="718"/>
      <c r="BG393" s="718"/>
      <c r="BH393" s="718"/>
      <c r="BI393" s="718"/>
      <c r="BJ393" s="718"/>
      <c r="BK393" s="718"/>
      <c r="BL393" s="718"/>
      <c r="BM393" s="718"/>
      <c r="BN393" s="718"/>
      <c r="BO393" s="718"/>
      <c r="BP393" s="718"/>
      <c r="BQ393" s="718"/>
      <c r="BR393" s="718"/>
      <c r="BS393" s="718"/>
      <c r="BT393" s="718"/>
      <c r="BU393" s="718"/>
      <c r="BV393" s="718"/>
      <c r="BW393" s="718"/>
      <c r="BX393" s="718"/>
      <c r="BY393" s="718"/>
      <c r="BZ393" s="718"/>
      <c r="CA393" s="718"/>
    </row>
    <row r="394" spans="1:79" s="451" customFormat="1" outlineLevel="1" x14ac:dyDescent="0.25">
      <c r="A394" s="656"/>
      <c r="B394" s="576"/>
      <c r="C394" s="576"/>
      <c r="D394" s="576"/>
      <c r="E394" s="570" t="s">
        <v>1330</v>
      </c>
      <c r="F394" s="656" t="s">
        <v>607</v>
      </c>
      <c r="G394" s="719"/>
      <c r="H394" s="719"/>
      <c r="I394" s="719"/>
      <c r="J394" s="719"/>
      <c r="K394" s="719"/>
      <c r="L394" s="719"/>
      <c r="M394" s="719"/>
      <c r="N394" s="719"/>
      <c r="O394" s="719"/>
      <c r="P394" s="716"/>
      <c r="Q394" s="716"/>
      <c r="R394" s="716"/>
      <c r="S394" s="667">
        <v>0</v>
      </c>
      <c r="T394" s="667">
        <v>0</v>
      </c>
      <c r="U394" s="667">
        <v>0</v>
      </c>
      <c r="V394" s="667">
        <v>0</v>
      </c>
      <c r="W394" s="667">
        <v>23</v>
      </c>
      <c r="X394" s="667">
        <v>0</v>
      </c>
      <c r="Y394" s="667">
        <v>0</v>
      </c>
      <c r="Z394" s="667">
        <v>15.3</v>
      </c>
      <c r="AA394" s="667">
        <v>0</v>
      </c>
      <c r="AB394" s="667">
        <v>0</v>
      </c>
      <c r="AC394" s="667">
        <v>0</v>
      </c>
      <c r="AD394" s="667">
        <v>0</v>
      </c>
      <c r="AE394" s="667">
        <v>58.9</v>
      </c>
      <c r="AF394" s="667">
        <v>0</v>
      </c>
      <c r="AG394" s="667">
        <v>0</v>
      </c>
      <c r="AH394" s="718"/>
      <c r="AI394" s="718"/>
      <c r="AJ394" s="718"/>
      <c r="AK394" s="718"/>
      <c r="AL394" s="718"/>
      <c r="AM394" s="718"/>
      <c r="AN394" s="718"/>
      <c r="AO394" s="718"/>
      <c r="AP394" s="718"/>
      <c r="AQ394" s="718"/>
      <c r="AR394" s="718"/>
      <c r="AS394" s="718"/>
      <c r="AT394" s="718"/>
      <c r="AU394" s="718"/>
      <c r="AV394" s="718"/>
      <c r="AW394" s="718"/>
      <c r="AX394" s="718"/>
      <c r="AY394" s="718"/>
      <c r="AZ394" s="718"/>
      <c r="BA394" s="718"/>
      <c r="BB394" s="718"/>
      <c r="BC394" s="718"/>
      <c r="BD394" s="718"/>
      <c r="BE394" s="718"/>
      <c r="BF394" s="718"/>
      <c r="BG394" s="718"/>
      <c r="BH394" s="718"/>
      <c r="BI394" s="718"/>
      <c r="BJ394" s="718"/>
      <c r="BK394" s="718"/>
      <c r="BL394" s="718"/>
      <c r="BM394" s="718"/>
      <c r="BN394" s="718"/>
      <c r="BO394" s="718"/>
      <c r="BP394" s="718"/>
      <c r="BQ394" s="718"/>
      <c r="BR394" s="718"/>
      <c r="BS394" s="718"/>
      <c r="BT394" s="718"/>
      <c r="BU394" s="718"/>
      <c r="BV394" s="718"/>
      <c r="BW394" s="718"/>
      <c r="BX394" s="718"/>
      <c r="BY394" s="718"/>
      <c r="BZ394" s="718"/>
      <c r="CA394" s="718"/>
    </row>
    <row r="395" spans="1:79" s="451" customFormat="1" outlineLevel="1" x14ac:dyDescent="0.25">
      <c r="A395" s="656"/>
      <c r="B395" s="576"/>
      <c r="C395" s="576"/>
      <c r="D395" s="576"/>
      <c r="E395" s="570" t="s">
        <v>1330</v>
      </c>
      <c r="F395" s="656" t="s">
        <v>874</v>
      </c>
      <c r="G395" s="719">
        <v>854.72362073799138</v>
      </c>
      <c r="H395" s="719">
        <v>270.35776364067527</v>
      </c>
      <c r="I395" s="719">
        <v>1220.3338483041584</v>
      </c>
      <c r="J395" s="719">
        <v>358.63021367199036</v>
      </c>
      <c r="K395" s="719">
        <v>539.5626773980124</v>
      </c>
      <c r="L395" s="719">
        <v>1086.892674909438</v>
      </c>
      <c r="M395" s="719">
        <v>1601.992741494852</v>
      </c>
      <c r="N395" s="719">
        <v>737.87779225851887</v>
      </c>
      <c r="O395" s="719">
        <v>846.20139027733626</v>
      </c>
      <c r="P395" s="716">
        <v>1779.9969177935168</v>
      </c>
      <c r="Q395" s="716">
        <v>929.95049335584963</v>
      </c>
      <c r="R395" s="716">
        <v>126.08553875528162</v>
      </c>
      <c r="S395" s="676">
        <v>0</v>
      </c>
      <c r="T395" s="676">
        <v>0</v>
      </c>
      <c r="U395" s="676">
        <v>0</v>
      </c>
      <c r="V395" s="676">
        <v>0</v>
      </c>
      <c r="W395" s="676">
        <v>0</v>
      </c>
      <c r="X395" s="676">
        <v>0</v>
      </c>
      <c r="Y395" s="676">
        <v>0</v>
      </c>
      <c r="Z395" s="676">
        <v>0</v>
      </c>
      <c r="AA395" s="676">
        <v>0</v>
      </c>
      <c r="AB395" s="676">
        <v>0</v>
      </c>
      <c r="AC395" s="676">
        <v>0</v>
      </c>
      <c r="AD395" s="676">
        <v>0</v>
      </c>
      <c r="AE395" s="676">
        <v>0</v>
      </c>
      <c r="AF395" s="676">
        <v>0</v>
      </c>
      <c r="AG395" s="676">
        <v>0</v>
      </c>
      <c r="AH395" s="718"/>
      <c r="AI395" s="718"/>
      <c r="AJ395" s="718"/>
      <c r="AK395" s="718"/>
      <c r="AL395" s="718"/>
      <c r="AM395" s="718"/>
      <c r="AN395" s="718"/>
      <c r="AO395" s="718"/>
      <c r="AP395" s="718"/>
      <c r="AQ395" s="718"/>
      <c r="AR395" s="718"/>
      <c r="AS395" s="718"/>
      <c r="AT395" s="718"/>
      <c r="AU395" s="718"/>
      <c r="AV395" s="718"/>
      <c r="AW395" s="718"/>
      <c r="AX395" s="718"/>
      <c r="AY395" s="718"/>
      <c r="AZ395" s="718"/>
      <c r="BA395" s="718"/>
      <c r="BB395" s="718"/>
      <c r="BC395" s="718"/>
      <c r="BD395" s="718"/>
      <c r="BE395" s="718"/>
      <c r="BF395" s="718"/>
      <c r="BG395" s="718"/>
      <c r="BH395" s="718"/>
      <c r="BI395" s="718"/>
      <c r="BJ395" s="718"/>
      <c r="BK395" s="718"/>
      <c r="BL395" s="718"/>
      <c r="BM395" s="718"/>
      <c r="BN395" s="718"/>
      <c r="BO395" s="718"/>
      <c r="BP395" s="718"/>
      <c r="BQ395" s="718"/>
      <c r="BR395" s="718"/>
      <c r="BS395" s="718"/>
      <c r="BT395" s="718"/>
      <c r="BU395" s="718"/>
      <c r="BV395" s="718"/>
      <c r="BW395" s="718"/>
      <c r="BX395" s="718"/>
      <c r="BY395" s="718"/>
      <c r="BZ395" s="718"/>
      <c r="CA395" s="718"/>
    </row>
    <row r="396" spans="1:79" s="308" customFormat="1" outlineLevel="1" x14ac:dyDescent="0.25">
      <c r="A396" s="659"/>
      <c r="B396" s="29"/>
      <c r="C396" s="29"/>
      <c r="D396" s="29"/>
      <c r="E396" s="570" t="s">
        <v>49</v>
      </c>
      <c r="F396" s="659" t="s">
        <v>608</v>
      </c>
      <c r="G396" s="664">
        <f>SUM(G389:G395)</f>
        <v>854.72362073799138</v>
      </c>
      <c r="H396" s="664">
        <f t="shared" ref="H396:BO396" si="132">SUM(H389:H395)</f>
        <v>270.35776364067527</v>
      </c>
      <c r="I396" s="664">
        <f t="shared" si="132"/>
        <v>1220.3338483041584</v>
      </c>
      <c r="J396" s="664">
        <f t="shared" si="132"/>
        <v>358.63021367199036</v>
      </c>
      <c r="K396" s="664">
        <f t="shared" si="132"/>
        <v>539.5626773980124</v>
      </c>
      <c r="L396" s="664">
        <f t="shared" si="132"/>
        <v>1086.892674909438</v>
      </c>
      <c r="M396" s="664">
        <f t="shared" si="132"/>
        <v>1601.992741494852</v>
      </c>
      <c r="N396" s="664">
        <f t="shared" si="132"/>
        <v>737.87779225851887</v>
      </c>
      <c r="O396" s="664">
        <f t="shared" si="132"/>
        <v>846.20139027733626</v>
      </c>
      <c r="P396" s="664">
        <f t="shared" si="132"/>
        <v>1779.9969177935168</v>
      </c>
      <c r="Q396" s="664">
        <f t="shared" si="132"/>
        <v>929.95049335584963</v>
      </c>
      <c r="R396" s="664">
        <f t="shared" si="132"/>
        <v>126.08553875528162</v>
      </c>
      <c r="S396" s="679">
        <f t="shared" ref="S396:AA396" si="133">ROUND(SUM(S384:S395),5)</f>
        <v>423.38</v>
      </c>
      <c r="T396" s="679">
        <f t="shared" si="133"/>
        <v>1672.95</v>
      </c>
      <c r="U396" s="679">
        <f t="shared" si="133"/>
        <v>-2003.46</v>
      </c>
      <c r="V396" s="679">
        <f t="shared" si="133"/>
        <v>2185.38</v>
      </c>
      <c r="W396" s="679">
        <f t="shared" si="133"/>
        <v>3439.44</v>
      </c>
      <c r="X396" s="679">
        <f t="shared" si="133"/>
        <v>630.27</v>
      </c>
      <c r="Y396" s="679">
        <f t="shared" si="133"/>
        <v>5346.71</v>
      </c>
      <c r="Z396" s="679">
        <f t="shared" si="133"/>
        <v>438.8</v>
      </c>
      <c r="AA396" s="679">
        <f t="shared" si="133"/>
        <v>564.70000000000005</v>
      </c>
      <c r="AB396" s="679">
        <f>ROUND(SUM(AB384:AB395),5)</f>
        <v>167.29</v>
      </c>
      <c r="AC396" s="679">
        <f>ROUND(SUM(AC384:AC395),5)</f>
        <v>1512.96</v>
      </c>
      <c r="AD396" s="679">
        <f>ROUND(SUM(AD384:AD395),5)</f>
        <v>287.38</v>
      </c>
      <c r="AE396" s="679">
        <f>ROUND(AE384+SUM(AE388:AE395),5)</f>
        <v>1231.73</v>
      </c>
      <c r="AF396" s="679">
        <f>ROUND(AF384+SUM(AF388:AF395),5)</f>
        <v>167.29</v>
      </c>
      <c r="AG396" s="679">
        <f>ROUND(AG384+SUM(AG388:AG395),5)</f>
        <v>167.29</v>
      </c>
      <c r="AH396" s="664">
        <f t="shared" si="132"/>
        <v>0</v>
      </c>
      <c r="AI396" s="664">
        <f t="shared" si="132"/>
        <v>0</v>
      </c>
      <c r="AJ396" s="664">
        <f t="shared" si="132"/>
        <v>0</v>
      </c>
      <c r="AK396" s="664">
        <f t="shared" si="132"/>
        <v>0</v>
      </c>
      <c r="AL396" s="664">
        <f t="shared" si="132"/>
        <v>0</v>
      </c>
      <c r="AM396" s="664">
        <f t="shared" si="132"/>
        <v>0</v>
      </c>
      <c r="AN396" s="664">
        <f t="shared" si="132"/>
        <v>0</v>
      </c>
      <c r="AO396" s="664">
        <f t="shared" si="132"/>
        <v>0</v>
      </c>
      <c r="AP396" s="664">
        <f t="shared" si="132"/>
        <v>0</v>
      </c>
      <c r="AQ396" s="664">
        <f t="shared" si="132"/>
        <v>0</v>
      </c>
      <c r="AR396" s="664">
        <f t="shared" si="132"/>
        <v>0</v>
      </c>
      <c r="AS396" s="664">
        <f t="shared" si="132"/>
        <v>0</v>
      </c>
      <c r="AT396" s="664">
        <f t="shared" si="132"/>
        <v>0</v>
      </c>
      <c r="AU396" s="664">
        <f t="shared" si="132"/>
        <v>0</v>
      </c>
      <c r="AV396" s="664">
        <f t="shared" si="132"/>
        <v>0</v>
      </c>
      <c r="AW396" s="664">
        <f t="shared" si="132"/>
        <v>0</v>
      </c>
      <c r="AX396" s="664">
        <f t="shared" si="132"/>
        <v>0</v>
      </c>
      <c r="AY396" s="664">
        <f t="shared" si="132"/>
        <v>0</v>
      </c>
      <c r="AZ396" s="664">
        <f t="shared" si="132"/>
        <v>0</v>
      </c>
      <c r="BA396" s="664">
        <f t="shared" si="132"/>
        <v>0</v>
      </c>
      <c r="BB396" s="664">
        <f t="shared" si="132"/>
        <v>0</v>
      </c>
      <c r="BC396" s="664">
        <f t="shared" si="132"/>
        <v>0</v>
      </c>
      <c r="BD396" s="664">
        <f t="shared" si="132"/>
        <v>0</v>
      </c>
      <c r="BE396" s="664">
        <f t="shared" si="132"/>
        <v>0</v>
      </c>
      <c r="BF396" s="664">
        <f t="shared" si="132"/>
        <v>0</v>
      </c>
      <c r="BG396" s="664">
        <f t="shared" si="132"/>
        <v>0</v>
      </c>
      <c r="BH396" s="664">
        <f t="shared" si="132"/>
        <v>0</v>
      </c>
      <c r="BI396" s="664">
        <f t="shared" si="132"/>
        <v>0</v>
      </c>
      <c r="BJ396" s="664">
        <f t="shared" si="132"/>
        <v>0</v>
      </c>
      <c r="BK396" s="664">
        <f t="shared" si="132"/>
        <v>0</v>
      </c>
      <c r="BL396" s="664">
        <f t="shared" si="132"/>
        <v>0</v>
      </c>
      <c r="BM396" s="664">
        <f t="shared" si="132"/>
        <v>0</v>
      </c>
      <c r="BN396" s="664">
        <f t="shared" si="132"/>
        <v>0</v>
      </c>
      <c r="BO396" s="664">
        <f t="shared" si="132"/>
        <v>0</v>
      </c>
      <c r="BP396" s="664">
        <f t="shared" ref="BP396:CA396" si="134">SUM(BP389:BP395)</f>
        <v>0</v>
      </c>
      <c r="BQ396" s="664">
        <f t="shared" si="134"/>
        <v>0</v>
      </c>
      <c r="BR396" s="664">
        <f t="shared" si="134"/>
        <v>0</v>
      </c>
      <c r="BS396" s="664">
        <f t="shared" si="134"/>
        <v>0</v>
      </c>
      <c r="BT396" s="664">
        <f t="shared" si="134"/>
        <v>0</v>
      </c>
      <c r="BU396" s="664">
        <f t="shared" si="134"/>
        <v>0</v>
      </c>
      <c r="BV396" s="664">
        <f t="shared" si="134"/>
        <v>0</v>
      </c>
      <c r="BW396" s="664">
        <f t="shared" si="134"/>
        <v>0</v>
      </c>
      <c r="BX396" s="664">
        <f t="shared" si="134"/>
        <v>0</v>
      </c>
      <c r="BY396" s="664">
        <f t="shared" si="134"/>
        <v>0</v>
      </c>
      <c r="BZ396" s="664">
        <f t="shared" si="134"/>
        <v>0</v>
      </c>
      <c r="CA396" s="664">
        <f t="shared" si="134"/>
        <v>0</v>
      </c>
    </row>
    <row r="397" spans="1:79" s="308" customFormat="1" outlineLevel="1" x14ac:dyDescent="0.25">
      <c r="A397" s="655"/>
      <c r="B397" s="571"/>
      <c r="C397" s="571"/>
      <c r="D397" s="571"/>
      <c r="E397" s="570" t="s">
        <v>1325</v>
      </c>
      <c r="F397" s="655" t="s">
        <v>875</v>
      </c>
      <c r="G397" s="719"/>
      <c r="H397" s="719"/>
      <c r="I397" s="719"/>
      <c r="J397" s="719"/>
      <c r="K397" s="719"/>
      <c r="L397" s="719"/>
      <c r="M397" s="719"/>
      <c r="N397" s="719"/>
      <c r="O397" s="719"/>
      <c r="P397" s="716"/>
      <c r="Q397" s="716"/>
      <c r="R397" s="716"/>
      <c r="S397" s="684">
        <v>0</v>
      </c>
      <c r="T397" s="684">
        <v>0</v>
      </c>
      <c r="U397" s="684">
        <v>0</v>
      </c>
      <c r="V397" s="684">
        <v>0</v>
      </c>
      <c r="W397" s="684">
        <v>0</v>
      </c>
      <c r="X397" s="684">
        <v>0</v>
      </c>
      <c r="Y397" s="684">
        <v>0</v>
      </c>
      <c r="Z397" s="684">
        <v>0</v>
      </c>
      <c r="AA397" s="684">
        <v>0</v>
      </c>
      <c r="AB397" s="684">
        <v>0</v>
      </c>
      <c r="AC397" s="684">
        <v>0</v>
      </c>
      <c r="AD397" s="684">
        <v>0</v>
      </c>
      <c r="AE397" s="684">
        <v>0</v>
      </c>
      <c r="AF397" s="684">
        <v>0</v>
      </c>
      <c r="AG397" s="684">
        <v>0</v>
      </c>
      <c r="AH397" s="718"/>
      <c r="AI397" s="718"/>
      <c r="AJ397" s="718"/>
      <c r="AK397" s="718"/>
      <c r="AL397" s="718"/>
      <c r="AM397" s="718"/>
      <c r="AN397" s="718"/>
      <c r="AO397" s="718"/>
      <c r="AP397" s="718"/>
      <c r="AQ397" s="718"/>
      <c r="AR397" s="718"/>
      <c r="AS397" s="718"/>
      <c r="AT397" s="718"/>
      <c r="AU397" s="718"/>
      <c r="AV397" s="718"/>
      <c r="AW397" s="718"/>
      <c r="AX397" s="718"/>
      <c r="AY397" s="718"/>
      <c r="AZ397" s="718"/>
      <c r="BA397" s="718"/>
      <c r="BB397" s="718"/>
      <c r="BC397" s="718"/>
      <c r="BD397" s="718"/>
      <c r="BE397" s="718"/>
      <c r="BF397" s="718"/>
      <c r="BG397" s="718"/>
      <c r="BH397" s="718"/>
      <c r="BI397" s="718"/>
      <c r="BJ397" s="718"/>
      <c r="BK397" s="718"/>
      <c r="BL397" s="718"/>
      <c r="BM397" s="718"/>
      <c r="BN397" s="718"/>
      <c r="BO397" s="718"/>
      <c r="BP397" s="718"/>
      <c r="BQ397" s="718"/>
      <c r="BR397" s="718"/>
      <c r="BS397" s="718"/>
      <c r="BT397" s="718"/>
      <c r="BU397" s="718"/>
      <c r="BV397" s="718"/>
      <c r="BW397" s="718"/>
      <c r="BX397" s="718"/>
      <c r="BY397" s="718"/>
      <c r="BZ397" s="718"/>
      <c r="CA397" s="718"/>
    </row>
    <row r="398" spans="1:79" s="308" customFormat="1" outlineLevel="1" x14ac:dyDescent="0.25">
      <c r="A398" s="658"/>
      <c r="B398" s="29"/>
      <c r="C398" s="29"/>
      <c r="D398" s="29"/>
      <c r="E398" s="570" t="s">
        <v>1326</v>
      </c>
      <c r="F398" s="658" t="s">
        <v>591</v>
      </c>
      <c r="G398" s="719"/>
      <c r="H398" s="719"/>
      <c r="I398" s="719"/>
      <c r="J398" s="719"/>
      <c r="K398" s="719"/>
      <c r="L398" s="719"/>
      <c r="M398" s="719">
        <v>230.12647538393063</v>
      </c>
      <c r="N398" s="719"/>
      <c r="O398" s="719">
        <v>181.30232150520879</v>
      </c>
      <c r="P398" s="719">
        <v>158.69493582128018</v>
      </c>
      <c r="Q398" s="719"/>
      <c r="R398" s="719"/>
      <c r="S398" s="667">
        <v>0</v>
      </c>
      <c r="T398" s="667">
        <v>0</v>
      </c>
      <c r="U398" s="667">
        <v>0</v>
      </c>
      <c r="V398" s="667">
        <v>0</v>
      </c>
      <c r="W398" s="667">
        <v>414.62</v>
      </c>
      <c r="X398" s="667">
        <v>525.26</v>
      </c>
      <c r="Y398" s="667">
        <v>1122.46</v>
      </c>
      <c r="Z398" s="667">
        <v>0</v>
      </c>
      <c r="AA398" s="667">
        <v>0</v>
      </c>
      <c r="AB398" s="667">
        <v>990</v>
      </c>
      <c r="AC398" s="667">
        <v>1267.72</v>
      </c>
      <c r="AD398" s="667">
        <v>0</v>
      </c>
      <c r="AE398" s="667">
        <v>0</v>
      </c>
      <c r="AF398" s="667">
        <v>0</v>
      </c>
      <c r="AG398" s="667">
        <v>0</v>
      </c>
      <c r="AH398" s="718"/>
      <c r="AI398" s="718"/>
      <c r="AJ398" s="718"/>
      <c r="AK398" s="718"/>
      <c r="AL398" s="718"/>
      <c r="AM398" s="718"/>
      <c r="AN398" s="718"/>
      <c r="AO398" s="718"/>
      <c r="AP398" s="718"/>
      <c r="AQ398" s="718"/>
      <c r="AR398" s="718"/>
      <c r="AS398" s="718"/>
      <c r="AT398" s="718"/>
      <c r="AU398" s="718"/>
      <c r="AV398" s="718"/>
      <c r="AW398" s="718"/>
      <c r="AX398" s="718"/>
      <c r="AY398" s="718"/>
      <c r="AZ398" s="718"/>
      <c r="BA398" s="718"/>
      <c r="BB398" s="718"/>
      <c r="BC398" s="718"/>
      <c r="BD398" s="718"/>
      <c r="BE398" s="718"/>
      <c r="BF398" s="718"/>
      <c r="BG398" s="718"/>
      <c r="BH398" s="718"/>
      <c r="BI398" s="718"/>
      <c r="BJ398" s="718"/>
      <c r="BK398" s="718"/>
      <c r="BL398" s="718"/>
      <c r="BM398" s="718"/>
      <c r="BN398" s="718"/>
      <c r="BO398" s="718"/>
      <c r="BP398" s="718"/>
      <c r="BQ398" s="718"/>
      <c r="BR398" s="718"/>
      <c r="BS398" s="718"/>
      <c r="BT398" s="718"/>
      <c r="BU398" s="718"/>
      <c r="BV398" s="718"/>
      <c r="BW398" s="718"/>
      <c r="BX398" s="718"/>
      <c r="BY398" s="718"/>
      <c r="BZ398" s="718"/>
      <c r="CA398" s="718"/>
    </row>
    <row r="399" spans="1:79" outlineLevel="1" x14ac:dyDescent="0.25">
      <c r="A399" s="658"/>
      <c r="E399" s="570" t="s">
        <v>1332</v>
      </c>
      <c r="F399" s="658" t="s">
        <v>592</v>
      </c>
      <c r="G399" s="719">
        <v>22.11061103839592</v>
      </c>
      <c r="H399" s="719">
        <v>33.584457760604629</v>
      </c>
      <c r="I399" s="719">
        <v>5.8153308320418473</v>
      </c>
      <c r="J399" s="719">
        <v>6.0361695938620672</v>
      </c>
      <c r="K399" s="719">
        <v>235.13861270941018</v>
      </c>
      <c r="L399" s="719"/>
      <c r="M399" s="719"/>
      <c r="N399" s="719">
        <v>17.943458128332715</v>
      </c>
      <c r="O399" s="719"/>
      <c r="P399" s="716">
        <v>253.41937397005296</v>
      </c>
      <c r="Q399" s="716"/>
      <c r="R399" s="716"/>
      <c r="S399" s="667">
        <v>0</v>
      </c>
      <c r="T399" s="667">
        <v>439.75</v>
      </c>
      <c r="U399" s="667">
        <v>0</v>
      </c>
      <c r="V399" s="667">
        <v>210.83</v>
      </c>
      <c r="W399" s="667">
        <v>0</v>
      </c>
      <c r="X399" s="667">
        <v>0</v>
      </c>
      <c r="Y399" s="667">
        <v>152.82</v>
      </c>
      <c r="Z399" s="667">
        <v>252</v>
      </c>
      <c r="AA399" s="667">
        <v>276.14999999999998</v>
      </c>
      <c r="AB399" s="667">
        <v>288</v>
      </c>
      <c r="AC399" s="667">
        <v>288</v>
      </c>
      <c r="AD399" s="667">
        <v>288</v>
      </c>
      <c r="AE399" s="667">
        <v>288</v>
      </c>
      <c r="AF399" s="667">
        <v>288</v>
      </c>
      <c r="AG399" s="667">
        <v>288</v>
      </c>
      <c r="AH399" s="718"/>
      <c r="AI399" s="718"/>
      <c r="AJ399" s="718"/>
      <c r="AK399" s="718"/>
      <c r="AL399" s="718"/>
      <c r="AM399" s="718"/>
      <c r="AN399" s="718"/>
      <c r="AO399" s="718"/>
      <c r="AP399" s="718"/>
      <c r="AQ399" s="718"/>
      <c r="AR399" s="718"/>
      <c r="AS399" s="718"/>
      <c r="AT399" s="718"/>
      <c r="AU399" s="718"/>
      <c r="AV399" s="718"/>
      <c r="AW399" s="718"/>
      <c r="AX399" s="718"/>
      <c r="AY399" s="718"/>
      <c r="AZ399" s="718"/>
      <c r="BA399" s="718"/>
      <c r="BB399" s="718"/>
      <c r="BC399" s="718"/>
      <c r="BD399" s="718"/>
      <c r="BE399" s="718"/>
      <c r="BF399" s="718"/>
      <c r="BG399" s="718"/>
      <c r="BH399" s="718"/>
      <c r="BI399" s="718"/>
      <c r="BJ399" s="718"/>
      <c r="BK399" s="718"/>
      <c r="BL399" s="718"/>
      <c r="BM399" s="718"/>
      <c r="BN399" s="718"/>
      <c r="BO399" s="718"/>
      <c r="BP399" s="718"/>
      <c r="BQ399" s="718"/>
      <c r="BR399" s="718"/>
      <c r="BS399" s="718"/>
      <c r="BT399" s="718"/>
      <c r="BU399" s="718"/>
      <c r="BV399" s="718"/>
      <c r="BW399" s="718"/>
      <c r="BX399" s="718"/>
      <c r="BY399" s="718"/>
      <c r="BZ399" s="718"/>
      <c r="CA399" s="718"/>
    </row>
    <row r="400" spans="1:79" outlineLevel="1" x14ac:dyDescent="0.25">
      <c r="A400" s="655"/>
      <c r="B400" s="570"/>
      <c r="C400" s="570"/>
      <c r="D400" s="570"/>
      <c r="E400" s="570" t="s">
        <v>1333</v>
      </c>
      <c r="F400" s="655" t="s">
        <v>876</v>
      </c>
      <c r="G400" s="719"/>
      <c r="H400" s="719"/>
      <c r="I400" s="719"/>
      <c r="J400" s="719"/>
      <c r="K400" s="719"/>
      <c r="L400" s="719"/>
      <c r="M400" s="719"/>
      <c r="N400" s="719"/>
      <c r="O400" s="719"/>
      <c r="P400" s="716"/>
      <c r="Q400" s="716"/>
      <c r="R400" s="716"/>
      <c r="S400" s="667">
        <v>0</v>
      </c>
      <c r="T400" s="667">
        <v>0</v>
      </c>
      <c r="U400" s="667">
        <v>0</v>
      </c>
      <c r="V400" s="667">
        <v>0</v>
      </c>
      <c r="W400" s="667">
        <v>0</v>
      </c>
      <c r="X400" s="667">
        <v>0</v>
      </c>
      <c r="Y400" s="667">
        <v>0</v>
      </c>
      <c r="Z400" s="667">
        <v>0</v>
      </c>
      <c r="AA400" s="667">
        <v>0</v>
      </c>
      <c r="AB400" s="667">
        <v>0</v>
      </c>
      <c r="AC400" s="667">
        <v>0</v>
      </c>
      <c r="AD400" s="667">
        <v>0</v>
      </c>
      <c r="AE400" s="667">
        <v>0</v>
      </c>
      <c r="AF400" s="667">
        <v>0</v>
      </c>
      <c r="AG400" s="667">
        <v>0</v>
      </c>
      <c r="AH400" s="718"/>
      <c r="AI400" s="718"/>
      <c r="AJ400" s="718"/>
      <c r="AK400" s="718"/>
      <c r="AL400" s="718"/>
      <c r="AM400" s="718"/>
      <c r="AN400" s="718"/>
      <c r="AO400" s="718"/>
      <c r="AP400" s="718"/>
      <c r="AQ400" s="718"/>
      <c r="AR400" s="718"/>
      <c r="AS400" s="718"/>
      <c r="AT400" s="718"/>
      <c r="AU400" s="718"/>
      <c r="AV400" s="718"/>
      <c r="AW400" s="718"/>
      <c r="AX400" s="718"/>
      <c r="AY400" s="718"/>
      <c r="AZ400" s="718"/>
      <c r="BA400" s="718"/>
      <c r="BB400" s="718"/>
      <c r="BC400" s="718"/>
      <c r="BD400" s="718"/>
      <c r="BE400" s="718"/>
      <c r="BF400" s="718"/>
      <c r="BG400" s="718"/>
      <c r="BH400" s="718"/>
      <c r="BI400" s="718"/>
      <c r="BJ400" s="718"/>
      <c r="BK400" s="718"/>
      <c r="BL400" s="718"/>
      <c r="BM400" s="718"/>
      <c r="BN400" s="718"/>
      <c r="BO400" s="718"/>
      <c r="BP400" s="718"/>
      <c r="BQ400" s="718"/>
      <c r="BR400" s="718"/>
      <c r="BS400" s="718"/>
      <c r="BT400" s="718"/>
      <c r="BU400" s="718"/>
      <c r="BV400" s="718"/>
      <c r="BW400" s="718"/>
      <c r="BX400" s="718"/>
      <c r="BY400" s="718"/>
      <c r="BZ400" s="718"/>
      <c r="CA400" s="718"/>
    </row>
    <row r="401" spans="1:79" s="693" customFormat="1" outlineLevel="1" x14ac:dyDescent="0.25">
      <c r="A401" s="701"/>
      <c r="E401" s="570" t="s">
        <v>657</v>
      </c>
      <c r="F401" s="701" t="s">
        <v>761</v>
      </c>
      <c r="G401" s="733"/>
      <c r="H401" s="733"/>
      <c r="I401" s="733"/>
      <c r="J401" s="733"/>
      <c r="K401" s="733"/>
      <c r="L401" s="733"/>
      <c r="M401" s="733"/>
      <c r="N401" s="733"/>
      <c r="O401" s="733"/>
      <c r="P401" s="734"/>
      <c r="Q401" s="734"/>
      <c r="R401" s="734"/>
      <c r="S401" s="704"/>
      <c r="T401" s="704"/>
      <c r="U401" s="704"/>
      <c r="V401" s="704"/>
      <c r="W401" s="704"/>
      <c r="X401" s="704"/>
      <c r="Y401" s="704"/>
      <c r="Z401" s="704"/>
      <c r="AA401" s="704"/>
      <c r="AB401" s="704"/>
      <c r="AC401" s="704"/>
      <c r="AD401" s="704"/>
      <c r="AE401" s="704"/>
      <c r="AF401" s="704"/>
      <c r="AG401" s="704"/>
      <c r="AH401" s="736"/>
      <c r="AI401" s="736"/>
      <c r="AJ401" s="736"/>
      <c r="AK401" s="736"/>
      <c r="AL401" s="736"/>
      <c r="AM401" s="736"/>
      <c r="AN401" s="736"/>
      <c r="AO401" s="736"/>
      <c r="AP401" s="736"/>
      <c r="AQ401" s="736"/>
      <c r="AR401" s="736"/>
      <c r="AS401" s="736"/>
      <c r="AT401" s="736"/>
      <c r="AU401" s="736"/>
      <c r="AV401" s="736"/>
      <c r="AW401" s="736"/>
      <c r="AX401" s="736"/>
      <c r="AY401" s="736"/>
      <c r="AZ401" s="736"/>
      <c r="BA401" s="736"/>
      <c r="BB401" s="736"/>
      <c r="BC401" s="736"/>
      <c r="BD401" s="736"/>
      <c r="BE401" s="736"/>
      <c r="BF401" s="736"/>
      <c r="BG401" s="736"/>
      <c r="BH401" s="736"/>
      <c r="BI401" s="736"/>
      <c r="BJ401" s="736"/>
      <c r="BK401" s="736"/>
      <c r="BL401" s="736"/>
      <c r="BM401" s="736"/>
      <c r="BN401" s="736"/>
      <c r="BO401" s="736"/>
      <c r="BP401" s="736"/>
      <c r="BQ401" s="736"/>
      <c r="BR401" s="736"/>
      <c r="BS401" s="736"/>
      <c r="BT401" s="736"/>
      <c r="BU401" s="736"/>
      <c r="BV401" s="736"/>
      <c r="BW401" s="736"/>
      <c r="BX401" s="736"/>
      <c r="BY401" s="736"/>
      <c r="BZ401" s="736"/>
      <c r="CA401" s="736"/>
    </row>
    <row r="402" spans="1:79" outlineLevel="1" x14ac:dyDescent="0.25">
      <c r="A402" s="656"/>
      <c r="B402" s="570"/>
      <c r="C402" s="570"/>
      <c r="D402" s="570"/>
      <c r="E402" s="570" t="s">
        <v>20</v>
      </c>
      <c r="F402" s="656" t="s">
        <v>877</v>
      </c>
      <c r="G402" s="719"/>
      <c r="H402" s="719"/>
      <c r="I402" s="719"/>
      <c r="J402" s="719"/>
      <c r="K402" s="719"/>
      <c r="L402" s="719"/>
      <c r="M402" s="719"/>
      <c r="N402" s="719"/>
      <c r="O402" s="719"/>
      <c r="P402" s="716"/>
      <c r="Q402" s="716"/>
      <c r="R402" s="716"/>
      <c r="S402" s="667">
        <v>0</v>
      </c>
      <c r="T402" s="667">
        <v>0</v>
      </c>
      <c r="U402" s="667">
        <v>0</v>
      </c>
      <c r="V402" s="667">
        <v>0</v>
      </c>
      <c r="W402" s="667">
        <v>0</v>
      </c>
      <c r="X402" s="667">
        <v>0</v>
      </c>
      <c r="Y402" s="667">
        <v>0</v>
      </c>
      <c r="Z402" s="667">
        <v>0</v>
      </c>
      <c r="AA402" s="667">
        <v>0</v>
      </c>
      <c r="AB402" s="667">
        <v>0</v>
      </c>
      <c r="AC402" s="667">
        <v>0</v>
      </c>
      <c r="AD402" s="667">
        <v>0</v>
      </c>
      <c r="AE402" s="667">
        <v>0</v>
      </c>
      <c r="AF402" s="667">
        <v>0</v>
      </c>
      <c r="AG402" s="667">
        <v>0</v>
      </c>
      <c r="AH402" s="718"/>
      <c r="AI402" s="718"/>
      <c r="AJ402" s="718"/>
      <c r="AK402" s="718"/>
      <c r="AL402" s="718"/>
      <c r="AM402" s="718"/>
      <c r="AN402" s="718"/>
      <c r="AO402" s="718"/>
      <c r="AP402" s="718"/>
      <c r="AQ402" s="718"/>
      <c r="AR402" s="718"/>
      <c r="AS402" s="718"/>
      <c r="AT402" s="718"/>
      <c r="AU402" s="718"/>
      <c r="AV402" s="718"/>
      <c r="AW402" s="718"/>
      <c r="AX402" s="718"/>
      <c r="AY402" s="718"/>
      <c r="AZ402" s="718"/>
      <c r="BA402" s="718"/>
      <c r="BB402" s="718"/>
      <c r="BC402" s="718"/>
      <c r="BD402" s="718"/>
      <c r="BE402" s="718"/>
      <c r="BF402" s="718"/>
      <c r="BG402" s="718"/>
      <c r="BH402" s="718"/>
      <c r="BI402" s="718"/>
      <c r="BJ402" s="718"/>
      <c r="BK402" s="718"/>
      <c r="BL402" s="718"/>
      <c r="BM402" s="718"/>
      <c r="BN402" s="718"/>
      <c r="BO402" s="718"/>
      <c r="BP402" s="718"/>
      <c r="BQ402" s="718"/>
      <c r="BR402" s="718"/>
      <c r="BS402" s="718"/>
      <c r="BT402" s="718"/>
      <c r="BU402" s="718"/>
      <c r="BV402" s="718"/>
      <c r="BW402" s="718"/>
      <c r="BX402" s="718"/>
      <c r="BY402" s="718"/>
      <c r="BZ402" s="718"/>
      <c r="CA402" s="718"/>
    </row>
    <row r="403" spans="1:79" outlineLevel="1" x14ac:dyDescent="0.25">
      <c r="A403" s="656"/>
      <c r="B403" s="570"/>
      <c r="C403" s="570"/>
      <c r="D403" s="570"/>
      <c r="E403" s="570" t="s">
        <v>20</v>
      </c>
      <c r="F403" s="656" t="s">
        <v>878</v>
      </c>
      <c r="G403" s="719"/>
      <c r="H403" s="719"/>
      <c r="I403" s="719"/>
      <c r="J403" s="719"/>
      <c r="K403" s="719"/>
      <c r="L403" s="719"/>
      <c r="M403" s="719"/>
      <c r="N403" s="719"/>
      <c r="O403" s="719"/>
      <c r="P403" s="716"/>
      <c r="Q403" s="716"/>
      <c r="R403" s="716"/>
      <c r="S403" s="667">
        <v>0</v>
      </c>
      <c r="T403" s="667">
        <v>0</v>
      </c>
      <c r="U403" s="667">
        <v>0</v>
      </c>
      <c r="V403" s="667">
        <v>0</v>
      </c>
      <c r="W403" s="667">
        <v>0</v>
      </c>
      <c r="X403" s="667">
        <v>0</v>
      </c>
      <c r="Y403" s="667">
        <v>0</v>
      </c>
      <c r="Z403" s="667">
        <v>0</v>
      </c>
      <c r="AA403" s="667">
        <v>0</v>
      </c>
      <c r="AB403" s="667">
        <v>0</v>
      </c>
      <c r="AC403" s="667">
        <v>0</v>
      </c>
      <c r="AD403" s="667">
        <v>0</v>
      </c>
      <c r="AE403" s="667">
        <v>0</v>
      </c>
      <c r="AF403" s="667">
        <v>0</v>
      </c>
      <c r="AG403" s="667">
        <v>0</v>
      </c>
      <c r="AH403" s="718"/>
      <c r="AI403" s="718"/>
      <c r="AJ403" s="718"/>
      <c r="AK403" s="718"/>
      <c r="AL403" s="718"/>
      <c r="AM403" s="718"/>
      <c r="AN403" s="718"/>
      <c r="AO403" s="718"/>
      <c r="AP403" s="718"/>
      <c r="AQ403" s="718"/>
      <c r="AR403" s="718"/>
      <c r="AS403" s="718"/>
      <c r="AT403" s="718"/>
      <c r="AU403" s="718"/>
      <c r="AV403" s="718"/>
      <c r="AW403" s="718"/>
      <c r="AX403" s="718"/>
      <c r="AY403" s="718"/>
      <c r="AZ403" s="718"/>
      <c r="BA403" s="718"/>
      <c r="BB403" s="718"/>
      <c r="BC403" s="718"/>
      <c r="BD403" s="718"/>
      <c r="BE403" s="718"/>
      <c r="BF403" s="718"/>
      <c r="BG403" s="718"/>
      <c r="BH403" s="718"/>
      <c r="BI403" s="718"/>
      <c r="BJ403" s="718"/>
      <c r="BK403" s="718"/>
      <c r="BL403" s="718"/>
      <c r="BM403" s="718"/>
      <c r="BN403" s="718"/>
      <c r="BO403" s="718"/>
      <c r="BP403" s="718"/>
      <c r="BQ403" s="718"/>
      <c r="BR403" s="718"/>
      <c r="BS403" s="718"/>
      <c r="BT403" s="718"/>
      <c r="BU403" s="718"/>
      <c r="BV403" s="718"/>
      <c r="BW403" s="718"/>
      <c r="BX403" s="718"/>
      <c r="BY403" s="718"/>
      <c r="BZ403" s="718"/>
      <c r="CA403" s="718"/>
    </row>
    <row r="404" spans="1:79" outlineLevel="1" x14ac:dyDescent="0.25">
      <c r="A404" s="656"/>
      <c r="B404" s="570"/>
      <c r="C404" s="570"/>
      <c r="D404" s="570"/>
      <c r="E404" s="570" t="s">
        <v>1334</v>
      </c>
      <c r="F404" s="656" t="s">
        <v>879</v>
      </c>
      <c r="G404" s="719"/>
      <c r="H404" s="719"/>
      <c r="I404" s="719"/>
      <c r="J404" s="719"/>
      <c r="K404" s="719"/>
      <c r="L404" s="719"/>
      <c r="M404" s="719"/>
      <c r="N404" s="719"/>
      <c r="O404" s="719"/>
      <c r="P404" s="716"/>
      <c r="Q404" s="716"/>
      <c r="R404" s="716"/>
      <c r="S404" s="667">
        <v>0</v>
      </c>
      <c r="T404" s="667">
        <v>0</v>
      </c>
      <c r="U404" s="667">
        <v>0</v>
      </c>
      <c r="V404" s="667">
        <v>0</v>
      </c>
      <c r="W404" s="667">
        <v>0</v>
      </c>
      <c r="X404" s="667">
        <v>0</v>
      </c>
      <c r="Y404" s="667">
        <v>0</v>
      </c>
      <c r="Z404" s="667">
        <v>0</v>
      </c>
      <c r="AA404" s="667">
        <v>0</v>
      </c>
      <c r="AB404" s="667">
        <v>0</v>
      </c>
      <c r="AC404" s="667">
        <v>0</v>
      </c>
      <c r="AD404" s="667">
        <v>0</v>
      </c>
      <c r="AE404" s="667">
        <v>0</v>
      </c>
      <c r="AF404" s="667">
        <v>0</v>
      </c>
      <c r="AG404" s="667">
        <v>0</v>
      </c>
      <c r="AH404" s="718"/>
      <c r="AI404" s="718"/>
      <c r="AJ404" s="718"/>
      <c r="AK404" s="718"/>
      <c r="AL404" s="718"/>
      <c r="AM404" s="718"/>
      <c r="AN404" s="718"/>
      <c r="AO404" s="718"/>
      <c r="AP404" s="718"/>
      <c r="AQ404" s="718"/>
      <c r="AR404" s="718"/>
      <c r="AS404" s="718"/>
      <c r="AT404" s="718"/>
      <c r="AU404" s="718"/>
      <c r="AV404" s="718"/>
      <c r="AW404" s="718"/>
      <c r="AX404" s="718"/>
      <c r="AY404" s="718"/>
      <c r="AZ404" s="718"/>
      <c r="BA404" s="718"/>
      <c r="BB404" s="718"/>
      <c r="BC404" s="718"/>
      <c r="BD404" s="718"/>
      <c r="BE404" s="718"/>
      <c r="BF404" s="718"/>
      <c r="BG404" s="718"/>
      <c r="BH404" s="718"/>
      <c r="BI404" s="718"/>
      <c r="BJ404" s="718"/>
      <c r="BK404" s="718"/>
      <c r="BL404" s="718"/>
      <c r="BM404" s="718"/>
      <c r="BN404" s="718"/>
      <c r="BO404" s="718"/>
      <c r="BP404" s="718"/>
      <c r="BQ404" s="718"/>
      <c r="BR404" s="718"/>
      <c r="BS404" s="718"/>
      <c r="BT404" s="718"/>
      <c r="BU404" s="718"/>
      <c r="BV404" s="718"/>
      <c r="BW404" s="718"/>
      <c r="BX404" s="718"/>
      <c r="BY404" s="718"/>
      <c r="BZ404" s="718"/>
      <c r="CA404" s="718"/>
    </row>
    <row r="405" spans="1:79" outlineLevel="1" x14ac:dyDescent="0.25">
      <c r="A405" s="656"/>
      <c r="B405" s="570"/>
      <c r="C405" s="570"/>
      <c r="D405" s="570"/>
      <c r="E405" s="570" t="s">
        <v>1334</v>
      </c>
      <c r="F405" s="656" t="s">
        <v>660</v>
      </c>
      <c r="G405" s="719"/>
      <c r="H405" s="719"/>
      <c r="I405" s="719"/>
      <c r="J405" s="719"/>
      <c r="K405" s="719"/>
      <c r="L405" s="719"/>
      <c r="M405" s="719"/>
      <c r="N405" s="719"/>
      <c r="O405" s="719"/>
      <c r="P405" s="716"/>
      <c r="Q405" s="716"/>
      <c r="R405" s="716"/>
      <c r="S405" s="667">
        <v>0</v>
      </c>
      <c r="T405" s="667">
        <v>0</v>
      </c>
      <c r="U405" s="667">
        <v>0</v>
      </c>
      <c r="V405" s="667">
        <v>0</v>
      </c>
      <c r="W405" s="667">
        <v>0</v>
      </c>
      <c r="X405" s="667">
        <v>0</v>
      </c>
      <c r="Y405" s="667">
        <v>0</v>
      </c>
      <c r="Z405" s="667">
        <v>0</v>
      </c>
      <c r="AA405" s="667">
        <v>0</v>
      </c>
      <c r="AB405" s="667">
        <v>0</v>
      </c>
      <c r="AC405" s="667">
        <v>0</v>
      </c>
      <c r="AD405" s="667">
        <v>0</v>
      </c>
      <c r="AE405" s="667">
        <v>0</v>
      </c>
      <c r="AF405" s="667">
        <v>0</v>
      </c>
      <c r="AG405" s="667">
        <v>0</v>
      </c>
      <c r="AH405" s="718"/>
      <c r="AI405" s="718"/>
      <c r="AJ405" s="718"/>
      <c r="AK405" s="718"/>
      <c r="AL405" s="718"/>
      <c r="AM405" s="718"/>
      <c r="AN405" s="718"/>
      <c r="AO405" s="718"/>
      <c r="AP405" s="718"/>
      <c r="AQ405" s="718"/>
      <c r="AR405" s="718"/>
      <c r="AS405" s="718"/>
      <c r="AT405" s="718"/>
      <c r="AU405" s="718"/>
      <c r="AV405" s="718"/>
      <c r="AW405" s="718"/>
      <c r="AX405" s="718"/>
      <c r="AY405" s="718"/>
      <c r="AZ405" s="718"/>
      <c r="BA405" s="718"/>
      <c r="BB405" s="718"/>
      <c r="BC405" s="718"/>
      <c r="BD405" s="718"/>
      <c r="BE405" s="718"/>
      <c r="BF405" s="718"/>
      <c r="BG405" s="718"/>
      <c r="BH405" s="718"/>
      <c r="BI405" s="718"/>
      <c r="BJ405" s="718"/>
      <c r="BK405" s="718"/>
      <c r="BL405" s="718"/>
      <c r="BM405" s="718"/>
      <c r="BN405" s="718"/>
      <c r="BO405" s="718"/>
      <c r="BP405" s="718"/>
      <c r="BQ405" s="718"/>
      <c r="BR405" s="718"/>
      <c r="BS405" s="718"/>
      <c r="BT405" s="718"/>
      <c r="BU405" s="718"/>
      <c r="BV405" s="718"/>
      <c r="BW405" s="718"/>
      <c r="BX405" s="718"/>
      <c r="BY405" s="718"/>
      <c r="BZ405" s="718"/>
      <c r="CA405" s="718"/>
    </row>
    <row r="406" spans="1:79" outlineLevel="1" x14ac:dyDescent="0.25">
      <c r="A406" s="656"/>
      <c r="B406" s="570"/>
      <c r="C406" s="570"/>
      <c r="D406" s="570"/>
      <c r="E406" s="570" t="s">
        <v>20</v>
      </c>
      <c r="F406" s="656" t="s">
        <v>661</v>
      </c>
      <c r="G406" s="719"/>
      <c r="H406" s="719"/>
      <c r="I406" s="719"/>
      <c r="J406" s="719"/>
      <c r="K406" s="719"/>
      <c r="L406" s="719"/>
      <c r="M406" s="719"/>
      <c r="N406" s="719"/>
      <c r="O406" s="719"/>
      <c r="P406" s="716"/>
      <c r="Q406" s="716"/>
      <c r="R406" s="716"/>
      <c r="S406" s="667">
        <v>0</v>
      </c>
      <c r="T406" s="667">
        <v>0</v>
      </c>
      <c r="U406" s="667">
        <v>0</v>
      </c>
      <c r="V406" s="667">
        <v>0</v>
      </c>
      <c r="W406" s="667">
        <v>0</v>
      </c>
      <c r="X406" s="667">
        <v>0</v>
      </c>
      <c r="Y406" s="667">
        <v>0</v>
      </c>
      <c r="Z406" s="667">
        <v>0</v>
      </c>
      <c r="AA406" s="667">
        <v>0</v>
      </c>
      <c r="AB406" s="667">
        <v>0</v>
      </c>
      <c r="AC406" s="667">
        <v>0</v>
      </c>
      <c r="AD406" s="667">
        <v>0</v>
      </c>
      <c r="AE406" s="667">
        <v>0</v>
      </c>
      <c r="AF406" s="667">
        <v>0</v>
      </c>
      <c r="AG406" s="667">
        <v>0</v>
      </c>
      <c r="AH406" s="718"/>
      <c r="AI406" s="718"/>
      <c r="AJ406" s="718"/>
      <c r="AK406" s="718"/>
      <c r="AL406" s="718"/>
      <c r="AM406" s="718"/>
      <c r="AN406" s="718"/>
      <c r="AO406" s="718"/>
      <c r="AP406" s="718"/>
      <c r="AQ406" s="718"/>
      <c r="AR406" s="718"/>
      <c r="AS406" s="718"/>
      <c r="AT406" s="718"/>
      <c r="AU406" s="718"/>
      <c r="AV406" s="718"/>
      <c r="AW406" s="718"/>
      <c r="AX406" s="718"/>
      <c r="AY406" s="718"/>
      <c r="AZ406" s="718"/>
      <c r="BA406" s="718"/>
      <c r="BB406" s="718"/>
      <c r="BC406" s="718"/>
      <c r="BD406" s="718"/>
      <c r="BE406" s="718"/>
      <c r="BF406" s="718"/>
      <c r="BG406" s="718"/>
      <c r="BH406" s="718"/>
      <c r="BI406" s="718"/>
      <c r="BJ406" s="718"/>
      <c r="BK406" s="718"/>
      <c r="BL406" s="718"/>
      <c r="BM406" s="718"/>
      <c r="BN406" s="718"/>
      <c r="BO406" s="718"/>
      <c r="BP406" s="718"/>
      <c r="BQ406" s="718"/>
      <c r="BR406" s="718"/>
      <c r="BS406" s="718"/>
      <c r="BT406" s="718"/>
      <c r="BU406" s="718"/>
      <c r="BV406" s="718"/>
      <c r="BW406" s="718"/>
      <c r="BX406" s="718"/>
      <c r="BY406" s="718"/>
      <c r="BZ406" s="718"/>
      <c r="CA406" s="718"/>
    </row>
    <row r="407" spans="1:79" outlineLevel="1" x14ac:dyDescent="0.25">
      <c r="A407" s="656"/>
      <c r="B407" s="570"/>
      <c r="C407" s="570"/>
      <c r="D407" s="570"/>
      <c r="E407" s="570" t="s">
        <v>1334</v>
      </c>
      <c r="F407" s="656" t="s">
        <v>880</v>
      </c>
      <c r="G407" s="719"/>
      <c r="H407" s="719"/>
      <c r="I407" s="719"/>
      <c r="J407" s="719"/>
      <c r="K407" s="719"/>
      <c r="L407" s="719"/>
      <c r="M407" s="719"/>
      <c r="N407" s="719"/>
      <c r="O407" s="719"/>
      <c r="P407" s="716"/>
      <c r="Q407" s="716"/>
      <c r="R407" s="716"/>
      <c r="S407" s="667">
        <v>0</v>
      </c>
      <c r="T407" s="667">
        <v>0</v>
      </c>
      <c r="U407" s="667">
        <v>0</v>
      </c>
      <c r="V407" s="667">
        <v>0</v>
      </c>
      <c r="W407" s="667">
        <v>0</v>
      </c>
      <c r="X407" s="667">
        <v>0</v>
      </c>
      <c r="Y407" s="667">
        <v>0</v>
      </c>
      <c r="Z407" s="667">
        <v>0</v>
      </c>
      <c r="AA407" s="667">
        <v>0</v>
      </c>
      <c r="AB407" s="667">
        <v>0</v>
      </c>
      <c r="AC407" s="667">
        <v>0</v>
      </c>
      <c r="AD407" s="667">
        <v>0</v>
      </c>
      <c r="AE407" s="667">
        <v>0</v>
      </c>
      <c r="AF407" s="667">
        <v>0</v>
      </c>
      <c r="AG407" s="667">
        <v>0</v>
      </c>
      <c r="AH407" s="718"/>
      <c r="AI407" s="718"/>
      <c r="AJ407" s="718"/>
      <c r="AK407" s="718"/>
      <c r="AL407" s="718"/>
      <c r="AM407" s="718"/>
      <c r="AN407" s="718"/>
      <c r="AO407" s="718"/>
      <c r="AP407" s="718"/>
      <c r="AQ407" s="718"/>
      <c r="AR407" s="718"/>
      <c r="AS407" s="718"/>
      <c r="AT407" s="718"/>
      <c r="AU407" s="718"/>
      <c r="AV407" s="718"/>
      <c r="AW407" s="718"/>
      <c r="AX407" s="718"/>
      <c r="AY407" s="718"/>
      <c r="AZ407" s="718"/>
      <c r="BA407" s="718"/>
      <c r="BB407" s="718"/>
      <c r="BC407" s="718"/>
      <c r="BD407" s="718"/>
      <c r="BE407" s="718"/>
      <c r="BF407" s="718"/>
      <c r="BG407" s="718"/>
      <c r="BH407" s="718"/>
      <c r="BI407" s="718"/>
      <c r="BJ407" s="718"/>
      <c r="BK407" s="718"/>
      <c r="BL407" s="718"/>
      <c r="BM407" s="718"/>
      <c r="BN407" s="718"/>
      <c r="BO407" s="718"/>
      <c r="BP407" s="718"/>
      <c r="BQ407" s="718"/>
      <c r="BR407" s="718"/>
      <c r="BS407" s="718"/>
      <c r="BT407" s="718"/>
      <c r="BU407" s="718"/>
      <c r="BV407" s="718"/>
      <c r="BW407" s="718"/>
      <c r="BX407" s="718"/>
      <c r="BY407" s="718"/>
      <c r="BZ407" s="718"/>
      <c r="CA407" s="718"/>
    </row>
    <row r="408" spans="1:79" outlineLevel="1" x14ac:dyDescent="0.25">
      <c r="A408" s="656"/>
      <c r="B408" s="570"/>
      <c r="C408" s="570"/>
      <c r="D408" s="570"/>
      <c r="E408" s="570" t="s">
        <v>1335</v>
      </c>
      <c r="F408" s="656" t="s">
        <v>662</v>
      </c>
      <c r="G408" s="719"/>
      <c r="H408" s="719"/>
      <c r="I408" s="719"/>
      <c r="J408" s="719"/>
      <c r="K408" s="719"/>
      <c r="L408" s="719"/>
      <c r="M408" s="719"/>
      <c r="N408" s="719"/>
      <c r="O408" s="719"/>
      <c r="P408" s="716"/>
      <c r="Q408" s="716"/>
      <c r="R408" s="716"/>
      <c r="S408" s="667">
        <v>0</v>
      </c>
      <c r="T408" s="667">
        <v>0</v>
      </c>
      <c r="U408" s="667">
        <v>0</v>
      </c>
      <c r="V408" s="667">
        <v>0</v>
      </c>
      <c r="W408" s="667">
        <v>0</v>
      </c>
      <c r="X408" s="667">
        <v>0</v>
      </c>
      <c r="Y408" s="667">
        <v>0</v>
      </c>
      <c r="Z408" s="667">
        <v>0</v>
      </c>
      <c r="AA408" s="667">
        <v>0</v>
      </c>
      <c r="AB408" s="667">
        <v>0</v>
      </c>
      <c r="AC408" s="667">
        <v>0</v>
      </c>
      <c r="AD408" s="667">
        <v>0</v>
      </c>
      <c r="AE408" s="667">
        <v>0</v>
      </c>
      <c r="AF408" s="667">
        <v>0</v>
      </c>
      <c r="AG408" s="667">
        <v>0</v>
      </c>
      <c r="AH408" s="718"/>
      <c r="AI408" s="718"/>
      <c r="AJ408" s="718"/>
      <c r="AK408" s="718"/>
      <c r="AL408" s="718"/>
      <c r="AM408" s="718"/>
      <c r="AN408" s="718"/>
      <c r="AO408" s="718"/>
      <c r="AP408" s="718"/>
      <c r="AQ408" s="718"/>
      <c r="AR408" s="718"/>
      <c r="AS408" s="718"/>
      <c r="AT408" s="718"/>
      <c r="AU408" s="718"/>
      <c r="AV408" s="718"/>
      <c r="AW408" s="718"/>
      <c r="AX408" s="718"/>
      <c r="AY408" s="718"/>
      <c r="AZ408" s="718"/>
      <c r="BA408" s="718"/>
      <c r="BB408" s="718"/>
      <c r="BC408" s="718"/>
      <c r="BD408" s="718"/>
      <c r="BE408" s="718"/>
      <c r="BF408" s="718"/>
      <c r="BG408" s="718"/>
      <c r="BH408" s="718"/>
      <c r="BI408" s="718"/>
      <c r="BJ408" s="718"/>
      <c r="BK408" s="718"/>
      <c r="BL408" s="718"/>
      <c r="BM408" s="718"/>
      <c r="BN408" s="718"/>
      <c r="BO408" s="718"/>
      <c r="BP408" s="718"/>
      <c r="BQ408" s="718"/>
      <c r="BR408" s="718"/>
      <c r="BS408" s="718"/>
      <c r="BT408" s="718"/>
      <c r="BU408" s="718"/>
      <c r="BV408" s="718"/>
      <c r="BW408" s="718"/>
      <c r="BX408" s="718"/>
      <c r="BY408" s="718"/>
      <c r="BZ408" s="718"/>
      <c r="CA408" s="718"/>
    </row>
    <row r="409" spans="1:79" outlineLevel="1" x14ac:dyDescent="0.25">
      <c r="A409" s="660"/>
      <c r="B409" s="570"/>
      <c r="C409" s="570"/>
      <c r="D409" s="570"/>
      <c r="E409" s="570" t="s">
        <v>1334</v>
      </c>
      <c r="F409" s="660" t="s">
        <v>663</v>
      </c>
      <c r="G409" s="719"/>
      <c r="H409" s="719"/>
      <c r="I409" s="719"/>
      <c r="J409" s="719"/>
      <c r="K409" s="719"/>
      <c r="L409" s="719"/>
      <c r="M409" s="719"/>
      <c r="N409" s="719"/>
      <c r="O409" s="719"/>
      <c r="P409" s="716"/>
      <c r="Q409" s="716"/>
      <c r="R409" s="716"/>
      <c r="S409" s="667">
        <v>0</v>
      </c>
      <c r="T409" s="667">
        <v>0</v>
      </c>
      <c r="U409" s="667">
        <v>0</v>
      </c>
      <c r="V409" s="667">
        <v>0</v>
      </c>
      <c r="W409" s="667">
        <v>0</v>
      </c>
      <c r="X409" s="667">
        <v>0</v>
      </c>
      <c r="Y409" s="667">
        <v>0</v>
      </c>
      <c r="Z409" s="667">
        <v>292.86</v>
      </c>
      <c r="AA409" s="667">
        <v>337.51</v>
      </c>
      <c r="AB409" s="667">
        <v>279.88</v>
      </c>
      <c r="AC409" s="667">
        <v>262.42</v>
      </c>
      <c r="AD409" s="667">
        <v>0</v>
      </c>
      <c r="AE409" s="667">
        <v>79.53</v>
      </c>
      <c r="AF409" s="667">
        <v>326.18</v>
      </c>
      <c r="AG409" s="667">
        <v>325.47000000000003</v>
      </c>
      <c r="AH409" s="718"/>
      <c r="AI409" s="718"/>
      <c r="AJ409" s="718"/>
      <c r="AK409" s="718"/>
      <c r="AL409" s="718"/>
      <c r="AM409" s="718"/>
      <c r="AN409" s="718"/>
      <c r="AO409" s="718"/>
      <c r="AP409" s="718"/>
      <c r="AQ409" s="718"/>
      <c r="AR409" s="718"/>
      <c r="AS409" s="718"/>
      <c r="AT409" s="718"/>
      <c r="AU409" s="718"/>
      <c r="AV409" s="718"/>
      <c r="AW409" s="718"/>
      <c r="AX409" s="718"/>
      <c r="AY409" s="718"/>
      <c r="AZ409" s="718"/>
      <c r="BA409" s="718"/>
      <c r="BB409" s="718"/>
      <c r="BC409" s="718"/>
      <c r="BD409" s="718"/>
      <c r="BE409" s="718"/>
      <c r="BF409" s="718"/>
      <c r="BG409" s="718"/>
      <c r="BH409" s="718"/>
      <c r="BI409" s="718"/>
      <c r="BJ409" s="718"/>
      <c r="BK409" s="718"/>
      <c r="BL409" s="718"/>
      <c r="BM409" s="718"/>
      <c r="BN409" s="718"/>
      <c r="BO409" s="718"/>
      <c r="BP409" s="718"/>
      <c r="BQ409" s="718"/>
      <c r="BR409" s="718"/>
      <c r="BS409" s="718"/>
      <c r="BT409" s="718"/>
      <c r="BU409" s="718"/>
      <c r="BV409" s="718"/>
      <c r="BW409" s="718"/>
      <c r="BX409" s="718"/>
      <c r="BY409" s="718"/>
      <c r="BZ409" s="718"/>
      <c r="CA409" s="718"/>
    </row>
    <row r="410" spans="1:79" outlineLevel="1" x14ac:dyDescent="0.25">
      <c r="A410" s="656"/>
      <c r="B410" s="570"/>
      <c r="C410" s="570"/>
      <c r="D410" s="570"/>
      <c r="E410" s="570" t="s">
        <v>657</v>
      </c>
      <c r="F410" s="656" t="s">
        <v>881</v>
      </c>
      <c r="G410" s="719"/>
      <c r="H410" s="719"/>
      <c r="I410" s="719"/>
      <c r="J410" s="719"/>
      <c r="K410" s="719"/>
      <c r="L410" s="719"/>
      <c r="M410" s="719"/>
      <c r="N410" s="719"/>
      <c r="O410" s="719"/>
      <c r="P410" s="716"/>
      <c r="Q410" s="716"/>
      <c r="R410" s="716"/>
      <c r="S410" s="667">
        <v>0</v>
      </c>
      <c r="T410" s="667">
        <v>0</v>
      </c>
      <c r="U410" s="667">
        <v>0</v>
      </c>
      <c r="V410" s="667">
        <v>0</v>
      </c>
      <c r="W410" s="667">
        <v>0</v>
      </c>
      <c r="X410" s="667">
        <v>0</v>
      </c>
      <c r="Y410" s="667">
        <v>0</v>
      </c>
      <c r="Z410" s="667">
        <v>0</v>
      </c>
      <c r="AA410" s="667">
        <v>0</v>
      </c>
      <c r="AB410" s="667">
        <v>0</v>
      </c>
      <c r="AC410" s="667">
        <v>0</v>
      </c>
      <c r="AD410" s="667">
        <v>0</v>
      </c>
      <c r="AE410" s="667">
        <v>0</v>
      </c>
      <c r="AF410" s="667">
        <v>0</v>
      </c>
      <c r="AG410" s="667">
        <v>0</v>
      </c>
      <c r="AH410" s="718"/>
      <c r="AI410" s="718"/>
      <c r="AJ410" s="718"/>
      <c r="AK410" s="718"/>
      <c r="AL410" s="718"/>
      <c r="AM410" s="718"/>
      <c r="AN410" s="718"/>
      <c r="AO410" s="718"/>
      <c r="AP410" s="718"/>
      <c r="AQ410" s="718"/>
      <c r="AR410" s="718"/>
      <c r="AS410" s="718"/>
      <c r="AT410" s="718"/>
      <c r="AU410" s="718"/>
      <c r="AV410" s="718"/>
      <c r="AW410" s="718"/>
      <c r="AX410" s="718"/>
      <c r="AY410" s="718"/>
      <c r="AZ410" s="718"/>
      <c r="BA410" s="718"/>
      <c r="BB410" s="718"/>
      <c r="BC410" s="718"/>
      <c r="BD410" s="718"/>
      <c r="BE410" s="718"/>
      <c r="BF410" s="718"/>
      <c r="BG410" s="718"/>
      <c r="BH410" s="718"/>
      <c r="BI410" s="718"/>
      <c r="BJ410" s="718"/>
      <c r="BK410" s="718"/>
      <c r="BL410" s="718"/>
      <c r="BM410" s="718"/>
      <c r="BN410" s="718"/>
      <c r="BO410" s="718"/>
      <c r="BP410" s="718"/>
      <c r="BQ410" s="718"/>
      <c r="BR410" s="718"/>
      <c r="BS410" s="718"/>
      <c r="BT410" s="718"/>
      <c r="BU410" s="718"/>
      <c r="BV410" s="718"/>
      <c r="BW410" s="718"/>
      <c r="BX410" s="718"/>
      <c r="BY410" s="718"/>
      <c r="BZ410" s="718"/>
      <c r="CA410" s="718"/>
    </row>
    <row r="411" spans="1:79" outlineLevel="1" x14ac:dyDescent="0.25">
      <c r="A411" s="657"/>
      <c r="B411" s="570"/>
      <c r="C411" s="570"/>
      <c r="D411" s="570"/>
      <c r="E411" s="570" t="s">
        <v>49</v>
      </c>
      <c r="F411" s="657" t="s">
        <v>664</v>
      </c>
      <c r="G411" s="664">
        <f>SUM(G402:G410)</f>
        <v>0</v>
      </c>
      <c r="H411" s="664">
        <f t="shared" ref="H411:BO411" si="135">SUM(H402:H410)</f>
        <v>0</v>
      </c>
      <c r="I411" s="664">
        <f t="shared" si="135"/>
        <v>0</v>
      </c>
      <c r="J411" s="664">
        <f t="shared" si="135"/>
        <v>0</v>
      </c>
      <c r="K411" s="664">
        <f t="shared" si="135"/>
        <v>0</v>
      </c>
      <c r="L411" s="664">
        <f t="shared" si="135"/>
        <v>0</v>
      </c>
      <c r="M411" s="664">
        <f t="shared" si="135"/>
        <v>0</v>
      </c>
      <c r="N411" s="664">
        <f t="shared" si="135"/>
        <v>0</v>
      </c>
      <c r="O411" s="664">
        <f t="shared" si="135"/>
        <v>0</v>
      </c>
      <c r="P411" s="664">
        <f t="shared" si="135"/>
        <v>0</v>
      </c>
      <c r="Q411" s="664">
        <f t="shared" si="135"/>
        <v>0</v>
      </c>
      <c r="R411" s="664">
        <f t="shared" si="135"/>
        <v>0</v>
      </c>
      <c r="S411" s="678">
        <f t="shared" ref="S411:AA411" si="136">ROUND(SUM(S401:S410),5)</f>
        <v>0</v>
      </c>
      <c r="T411" s="678">
        <f t="shared" si="136"/>
        <v>0</v>
      </c>
      <c r="U411" s="678">
        <f t="shared" si="136"/>
        <v>0</v>
      </c>
      <c r="V411" s="678">
        <f t="shared" si="136"/>
        <v>0</v>
      </c>
      <c r="W411" s="678">
        <f t="shared" si="136"/>
        <v>0</v>
      </c>
      <c r="X411" s="678">
        <f t="shared" si="136"/>
        <v>0</v>
      </c>
      <c r="Y411" s="678">
        <f t="shared" si="136"/>
        <v>0</v>
      </c>
      <c r="Z411" s="678">
        <f t="shared" si="136"/>
        <v>292.86</v>
      </c>
      <c r="AA411" s="678">
        <f t="shared" si="136"/>
        <v>337.51</v>
      </c>
      <c r="AB411" s="678">
        <f t="shared" ref="AB411:AG411" si="137">ROUND(SUM(AB401:AB410),5)</f>
        <v>279.88</v>
      </c>
      <c r="AC411" s="678">
        <f t="shared" si="137"/>
        <v>262.42</v>
      </c>
      <c r="AD411" s="678">
        <f t="shared" si="137"/>
        <v>0</v>
      </c>
      <c r="AE411" s="678">
        <f t="shared" si="137"/>
        <v>79.53</v>
      </c>
      <c r="AF411" s="678">
        <f t="shared" si="137"/>
        <v>326.18</v>
      </c>
      <c r="AG411" s="678">
        <f t="shared" si="137"/>
        <v>325.47000000000003</v>
      </c>
      <c r="AH411" s="664">
        <f t="shared" si="135"/>
        <v>0</v>
      </c>
      <c r="AI411" s="664">
        <f t="shared" si="135"/>
        <v>0</v>
      </c>
      <c r="AJ411" s="664">
        <f t="shared" si="135"/>
        <v>0</v>
      </c>
      <c r="AK411" s="664">
        <f t="shared" si="135"/>
        <v>0</v>
      </c>
      <c r="AL411" s="664">
        <f t="shared" si="135"/>
        <v>0</v>
      </c>
      <c r="AM411" s="664">
        <f t="shared" si="135"/>
        <v>0</v>
      </c>
      <c r="AN411" s="664">
        <f t="shared" si="135"/>
        <v>0</v>
      </c>
      <c r="AO411" s="664">
        <f t="shared" si="135"/>
        <v>0</v>
      </c>
      <c r="AP411" s="664">
        <f t="shared" si="135"/>
        <v>0</v>
      </c>
      <c r="AQ411" s="664">
        <f t="shared" si="135"/>
        <v>0</v>
      </c>
      <c r="AR411" s="664">
        <f t="shared" si="135"/>
        <v>0</v>
      </c>
      <c r="AS411" s="664">
        <f t="shared" si="135"/>
        <v>0</v>
      </c>
      <c r="AT411" s="664">
        <f t="shared" si="135"/>
        <v>0</v>
      </c>
      <c r="AU411" s="664">
        <f t="shared" si="135"/>
        <v>0</v>
      </c>
      <c r="AV411" s="664">
        <f t="shared" si="135"/>
        <v>0</v>
      </c>
      <c r="AW411" s="664">
        <f t="shared" si="135"/>
        <v>0</v>
      </c>
      <c r="AX411" s="664">
        <f t="shared" si="135"/>
        <v>0</v>
      </c>
      <c r="AY411" s="664">
        <f t="shared" si="135"/>
        <v>0</v>
      </c>
      <c r="AZ411" s="664">
        <f t="shared" si="135"/>
        <v>0</v>
      </c>
      <c r="BA411" s="664">
        <f t="shared" si="135"/>
        <v>0</v>
      </c>
      <c r="BB411" s="664">
        <f t="shared" si="135"/>
        <v>0</v>
      </c>
      <c r="BC411" s="664">
        <f t="shared" si="135"/>
        <v>0</v>
      </c>
      <c r="BD411" s="664">
        <f t="shared" si="135"/>
        <v>0</v>
      </c>
      <c r="BE411" s="664">
        <f t="shared" si="135"/>
        <v>0</v>
      </c>
      <c r="BF411" s="664">
        <f t="shared" si="135"/>
        <v>0</v>
      </c>
      <c r="BG411" s="664">
        <f t="shared" si="135"/>
        <v>0</v>
      </c>
      <c r="BH411" s="664">
        <f t="shared" si="135"/>
        <v>0</v>
      </c>
      <c r="BI411" s="664">
        <f t="shared" si="135"/>
        <v>0</v>
      </c>
      <c r="BJ411" s="664">
        <f t="shared" si="135"/>
        <v>0</v>
      </c>
      <c r="BK411" s="664">
        <f t="shared" si="135"/>
        <v>0</v>
      </c>
      <c r="BL411" s="664">
        <f t="shared" si="135"/>
        <v>0</v>
      </c>
      <c r="BM411" s="664">
        <f t="shared" si="135"/>
        <v>0</v>
      </c>
      <c r="BN411" s="664">
        <f t="shared" si="135"/>
        <v>0</v>
      </c>
      <c r="BO411" s="664">
        <f t="shared" si="135"/>
        <v>0</v>
      </c>
      <c r="BP411" s="664">
        <f t="shared" ref="BP411:CA411" si="138">SUM(BP402:BP410)</f>
        <v>0</v>
      </c>
      <c r="BQ411" s="664">
        <f t="shared" si="138"/>
        <v>0</v>
      </c>
      <c r="BR411" s="664">
        <f t="shared" si="138"/>
        <v>0</v>
      </c>
      <c r="BS411" s="664">
        <f t="shared" si="138"/>
        <v>0</v>
      </c>
      <c r="BT411" s="664">
        <f t="shared" si="138"/>
        <v>0</v>
      </c>
      <c r="BU411" s="664">
        <f t="shared" si="138"/>
        <v>0</v>
      </c>
      <c r="BV411" s="664">
        <f t="shared" si="138"/>
        <v>0</v>
      </c>
      <c r="BW411" s="664">
        <f t="shared" si="138"/>
        <v>0</v>
      </c>
      <c r="BX411" s="664">
        <f t="shared" si="138"/>
        <v>0</v>
      </c>
      <c r="BY411" s="664">
        <f t="shared" si="138"/>
        <v>0</v>
      </c>
      <c r="BZ411" s="664">
        <f t="shared" si="138"/>
        <v>0</v>
      </c>
      <c r="CA411" s="664">
        <f t="shared" si="138"/>
        <v>0</v>
      </c>
    </row>
    <row r="412" spans="1:79" outlineLevel="1" x14ac:dyDescent="0.25">
      <c r="A412" s="655"/>
      <c r="B412" s="570"/>
      <c r="C412" s="570"/>
      <c r="D412" s="570"/>
      <c r="E412" s="570" t="s">
        <v>1336</v>
      </c>
      <c r="F412" s="655" t="s">
        <v>665</v>
      </c>
      <c r="G412" s="719"/>
      <c r="H412" s="719"/>
      <c r="I412" s="719"/>
      <c r="J412" s="719"/>
      <c r="K412" s="719"/>
      <c r="L412" s="719"/>
      <c r="M412" s="719"/>
      <c r="N412" s="719"/>
      <c r="O412" s="719"/>
      <c r="P412" s="716"/>
      <c r="Q412" s="716"/>
      <c r="R412" s="716"/>
      <c r="S412" s="667">
        <v>0</v>
      </c>
      <c r="T412" s="667">
        <v>0</v>
      </c>
      <c r="U412" s="667">
        <v>0</v>
      </c>
      <c r="V412" s="667">
        <v>0</v>
      </c>
      <c r="W412" s="667">
        <v>0</v>
      </c>
      <c r="X412" s="667">
        <v>0</v>
      </c>
      <c r="Y412" s="667">
        <v>0</v>
      </c>
      <c r="Z412" s="667">
        <v>0</v>
      </c>
      <c r="AA412" s="667">
        <v>0</v>
      </c>
      <c r="AB412" s="667">
        <v>0</v>
      </c>
      <c r="AC412" s="667">
        <v>0</v>
      </c>
      <c r="AD412" s="667">
        <v>0</v>
      </c>
      <c r="AE412" s="667">
        <v>0</v>
      </c>
      <c r="AF412" s="667">
        <v>0</v>
      </c>
      <c r="AG412" s="667">
        <v>0</v>
      </c>
      <c r="AH412" s="718"/>
      <c r="AI412" s="718"/>
      <c r="AJ412" s="718"/>
      <c r="AK412" s="718"/>
      <c r="AL412" s="718"/>
      <c r="AM412" s="718"/>
      <c r="AN412" s="718"/>
      <c r="AO412" s="718"/>
      <c r="AP412" s="718"/>
      <c r="AQ412" s="718"/>
      <c r="AR412" s="718"/>
      <c r="AS412" s="718"/>
      <c r="AT412" s="718"/>
      <c r="AU412" s="718"/>
      <c r="AV412" s="718"/>
      <c r="AW412" s="718"/>
      <c r="AX412" s="718"/>
      <c r="AY412" s="718"/>
      <c r="AZ412" s="718"/>
      <c r="BA412" s="718"/>
      <c r="BB412" s="718"/>
      <c r="BC412" s="718"/>
      <c r="BD412" s="718"/>
      <c r="BE412" s="718"/>
      <c r="BF412" s="718"/>
      <c r="BG412" s="718"/>
      <c r="BH412" s="718"/>
      <c r="BI412" s="718"/>
      <c r="BJ412" s="718"/>
      <c r="BK412" s="718"/>
      <c r="BL412" s="718"/>
      <c r="BM412" s="718"/>
      <c r="BN412" s="718"/>
      <c r="BO412" s="718"/>
      <c r="BP412" s="718"/>
      <c r="BQ412" s="718"/>
      <c r="BR412" s="718"/>
      <c r="BS412" s="718"/>
      <c r="BT412" s="718"/>
      <c r="BU412" s="718"/>
      <c r="BV412" s="718"/>
      <c r="BW412" s="718"/>
      <c r="BX412" s="718"/>
      <c r="BY412" s="718"/>
      <c r="BZ412" s="718"/>
      <c r="CA412" s="718"/>
    </row>
    <row r="413" spans="1:79" s="693" customFormat="1" outlineLevel="1" x14ac:dyDescent="0.25">
      <c r="A413" s="701"/>
      <c r="E413" s="570" t="s">
        <v>1337</v>
      </c>
      <c r="F413" s="701" t="s">
        <v>593</v>
      </c>
      <c r="G413" s="733"/>
      <c r="H413" s="733"/>
      <c r="I413" s="733"/>
      <c r="J413" s="733"/>
      <c r="K413" s="733"/>
      <c r="L413" s="733"/>
      <c r="M413" s="733"/>
      <c r="N413" s="733"/>
      <c r="O413" s="733"/>
      <c r="P413" s="734"/>
      <c r="Q413" s="734"/>
      <c r="R413" s="734"/>
      <c r="S413" s="697"/>
      <c r="T413" s="697"/>
      <c r="U413" s="697"/>
      <c r="V413" s="697"/>
      <c r="W413" s="697"/>
      <c r="X413" s="697"/>
      <c r="Y413" s="697"/>
      <c r="Z413" s="697"/>
      <c r="AA413" s="697"/>
      <c r="AB413" s="697"/>
      <c r="AC413" s="697"/>
      <c r="AD413" s="697"/>
      <c r="AE413" s="697"/>
      <c r="AF413" s="697"/>
      <c r="AG413" s="697"/>
      <c r="AH413" s="736"/>
      <c r="AI413" s="736"/>
      <c r="AJ413" s="736"/>
      <c r="AK413" s="736"/>
      <c r="AL413" s="736"/>
      <c r="AM413" s="736"/>
      <c r="AN413" s="736"/>
      <c r="AO413" s="736"/>
      <c r="AP413" s="736"/>
      <c r="AQ413" s="736"/>
      <c r="AR413" s="736"/>
      <c r="AS413" s="736"/>
      <c r="AT413" s="736"/>
      <c r="AU413" s="736"/>
      <c r="AV413" s="736"/>
      <c r="AW413" s="736"/>
      <c r="AX413" s="736"/>
      <c r="AY413" s="736"/>
      <c r="AZ413" s="736"/>
      <c r="BA413" s="736"/>
      <c r="BB413" s="736"/>
      <c r="BC413" s="736"/>
      <c r="BD413" s="736"/>
      <c r="BE413" s="736"/>
      <c r="BF413" s="736"/>
      <c r="BG413" s="736"/>
      <c r="BH413" s="736"/>
      <c r="BI413" s="736"/>
      <c r="BJ413" s="736"/>
      <c r="BK413" s="736"/>
      <c r="BL413" s="736"/>
      <c r="BM413" s="736"/>
      <c r="BN413" s="736"/>
      <c r="BO413" s="736"/>
      <c r="BP413" s="736"/>
      <c r="BQ413" s="736"/>
      <c r="BR413" s="736"/>
      <c r="BS413" s="736"/>
      <c r="BT413" s="736"/>
      <c r="BU413" s="736"/>
      <c r="BV413" s="736"/>
      <c r="BW413" s="736"/>
      <c r="BX413" s="736"/>
      <c r="BY413" s="736"/>
      <c r="BZ413" s="736"/>
      <c r="CA413" s="736"/>
    </row>
    <row r="414" spans="1:79" outlineLevel="1" x14ac:dyDescent="0.25">
      <c r="A414" s="656"/>
      <c r="B414" s="570"/>
      <c r="C414" s="570"/>
      <c r="D414" s="570"/>
      <c r="E414" s="570" t="s">
        <v>1337</v>
      </c>
      <c r="F414" s="656" t="s">
        <v>882</v>
      </c>
      <c r="G414" s="719"/>
      <c r="H414" s="719"/>
      <c r="I414" s="719"/>
      <c r="J414" s="719"/>
      <c r="K414" s="719"/>
      <c r="L414" s="719"/>
      <c r="M414" s="719"/>
      <c r="N414" s="719"/>
      <c r="O414" s="719"/>
      <c r="P414" s="716"/>
      <c r="Q414" s="716"/>
      <c r="R414" s="716"/>
      <c r="S414" s="671">
        <v>0</v>
      </c>
      <c r="T414" s="671">
        <v>0</v>
      </c>
      <c r="U414" s="671">
        <v>0</v>
      </c>
      <c r="V414" s="671">
        <v>0</v>
      </c>
      <c r="W414" s="671">
        <v>0</v>
      </c>
      <c r="X414" s="671">
        <v>0</v>
      </c>
      <c r="Y414" s="671">
        <v>0</v>
      </c>
      <c r="Z414" s="671">
        <v>0</v>
      </c>
      <c r="AA414" s="671">
        <v>0</v>
      </c>
      <c r="AB414" s="671">
        <v>0</v>
      </c>
      <c r="AC414" s="671">
        <v>0</v>
      </c>
      <c r="AD414" s="671">
        <v>0</v>
      </c>
      <c r="AE414" s="671">
        <v>0</v>
      </c>
      <c r="AF414" s="671">
        <v>0</v>
      </c>
      <c r="AG414" s="671">
        <v>0</v>
      </c>
      <c r="AH414" s="718"/>
      <c r="AI414" s="718"/>
      <c r="AJ414" s="718"/>
      <c r="AK414" s="718"/>
      <c r="AL414" s="718"/>
      <c r="AM414" s="718"/>
      <c r="AN414" s="718"/>
      <c r="AO414" s="718"/>
      <c r="AP414" s="718"/>
      <c r="AQ414" s="718"/>
      <c r="AR414" s="718"/>
      <c r="AS414" s="718"/>
      <c r="AT414" s="718"/>
      <c r="AU414" s="718"/>
      <c r="AV414" s="718"/>
      <c r="AW414" s="718"/>
      <c r="AX414" s="718"/>
      <c r="AY414" s="718"/>
      <c r="AZ414" s="718"/>
      <c r="BA414" s="718"/>
      <c r="BB414" s="718"/>
      <c r="BC414" s="718"/>
      <c r="BD414" s="718"/>
      <c r="BE414" s="718"/>
      <c r="BF414" s="718"/>
      <c r="BG414" s="718"/>
      <c r="BH414" s="718"/>
      <c r="BI414" s="718"/>
      <c r="BJ414" s="718"/>
      <c r="BK414" s="718"/>
      <c r="BL414" s="718"/>
      <c r="BM414" s="718"/>
      <c r="BN414" s="718"/>
      <c r="BO414" s="718"/>
      <c r="BP414" s="718"/>
      <c r="BQ414" s="718"/>
      <c r="BR414" s="718"/>
      <c r="BS414" s="718"/>
      <c r="BT414" s="718"/>
      <c r="BU414" s="718"/>
      <c r="BV414" s="718"/>
      <c r="BW414" s="718"/>
      <c r="BX414" s="718"/>
      <c r="BY414" s="718"/>
      <c r="BZ414" s="718"/>
      <c r="CA414" s="718"/>
    </row>
    <row r="415" spans="1:79" outlineLevel="1" x14ac:dyDescent="0.25">
      <c r="A415" s="656"/>
      <c r="B415" s="570"/>
      <c r="C415" s="570"/>
      <c r="D415" s="570"/>
      <c r="E415" s="570" t="s">
        <v>941</v>
      </c>
      <c r="F415" s="656" t="s">
        <v>883</v>
      </c>
      <c r="G415" s="719"/>
      <c r="H415" s="719"/>
      <c r="I415" s="719"/>
      <c r="J415" s="719"/>
      <c r="K415" s="719"/>
      <c r="L415" s="719"/>
      <c r="M415" s="719"/>
      <c r="N415" s="719"/>
      <c r="O415" s="719"/>
      <c r="P415" s="716"/>
      <c r="Q415" s="716"/>
      <c r="R415" s="716"/>
      <c r="S415" s="671">
        <v>0</v>
      </c>
      <c r="T415" s="671">
        <v>0</v>
      </c>
      <c r="U415" s="671">
        <v>0</v>
      </c>
      <c r="V415" s="671">
        <v>0</v>
      </c>
      <c r="W415" s="671">
        <v>0</v>
      </c>
      <c r="X415" s="671">
        <v>0</v>
      </c>
      <c r="Y415" s="671">
        <v>0</v>
      </c>
      <c r="Z415" s="671">
        <v>0</v>
      </c>
      <c r="AA415" s="671">
        <v>0</v>
      </c>
      <c r="AB415" s="671">
        <v>0</v>
      </c>
      <c r="AC415" s="671">
        <v>0</v>
      </c>
      <c r="AD415" s="671">
        <v>0</v>
      </c>
      <c r="AE415" s="671">
        <v>0</v>
      </c>
      <c r="AF415" s="671">
        <v>0</v>
      </c>
      <c r="AG415" s="671">
        <v>0</v>
      </c>
      <c r="AH415" s="718"/>
      <c r="AI415" s="718"/>
      <c r="AJ415" s="718"/>
      <c r="AK415" s="718"/>
      <c r="AL415" s="718"/>
      <c r="AM415" s="718"/>
      <c r="AN415" s="718"/>
      <c r="AO415" s="718"/>
      <c r="AP415" s="718"/>
      <c r="AQ415" s="718"/>
      <c r="AR415" s="718"/>
      <c r="AS415" s="718"/>
      <c r="AT415" s="718"/>
      <c r="AU415" s="718"/>
      <c r="AV415" s="718"/>
      <c r="AW415" s="718"/>
      <c r="AX415" s="718"/>
      <c r="AY415" s="718"/>
      <c r="AZ415" s="718"/>
      <c r="BA415" s="718"/>
      <c r="BB415" s="718"/>
      <c r="BC415" s="718"/>
      <c r="BD415" s="718"/>
      <c r="BE415" s="718"/>
      <c r="BF415" s="718"/>
      <c r="BG415" s="718"/>
      <c r="BH415" s="718"/>
      <c r="BI415" s="718"/>
      <c r="BJ415" s="718"/>
      <c r="BK415" s="718"/>
      <c r="BL415" s="718"/>
      <c r="BM415" s="718"/>
      <c r="BN415" s="718"/>
      <c r="BO415" s="718"/>
      <c r="BP415" s="718"/>
      <c r="BQ415" s="718"/>
      <c r="BR415" s="718"/>
      <c r="BS415" s="718"/>
      <c r="BT415" s="718"/>
      <c r="BU415" s="718"/>
      <c r="BV415" s="718"/>
      <c r="BW415" s="718"/>
      <c r="BX415" s="718"/>
      <c r="BY415" s="718"/>
      <c r="BZ415" s="718"/>
      <c r="CA415" s="718"/>
    </row>
    <row r="416" spans="1:79" outlineLevel="1" x14ac:dyDescent="0.25">
      <c r="A416" s="656"/>
      <c r="B416" s="570"/>
      <c r="C416" s="570"/>
      <c r="D416" s="570"/>
      <c r="E416" s="570" t="s">
        <v>11</v>
      </c>
      <c r="F416" s="656" t="s">
        <v>884</v>
      </c>
      <c r="G416" s="719"/>
      <c r="H416" s="719"/>
      <c r="I416" s="719"/>
      <c r="J416" s="719"/>
      <c r="K416" s="719"/>
      <c r="L416" s="719"/>
      <c r="M416" s="719"/>
      <c r="N416" s="719"/>
      <c r="O416" s="719"/>
      <c r="P416" s="716"/>
      <c r="Q416" s="716"/>
      <c r="R416" s="716"/>
      <c r="S416" s="671">
        <v>0</v>
      </c>
      <c r="T416" s="671">
        <v>0</v>
      </c>
      <c r="U416" s="671">
        <v>0</v>
      </c>
      <c r="V416" s="671">
        <v>0</v>
      </c>
      <c r="W416" s="671">
        <v>0</v>
      </c>
      <c r="X416" s="671">
        <v>0</v>
      </c>
      <c r="Y416" s="671">
        <v>0</v>
      </c>
      <c r="Z416" s="671">
        <v>0</v>
      </c>
      <c r="AA416" s="671">
        <v>0</v>
      </c>
      <c r="AB416" s="671">
        <v>0</v>
      </c>
      <c r="AC416" s="671">
        <v>0</v>
      </c>
      <c r="AD416" s="671">
        <v>0</v>
      </c>
      <c r="AE416" s="671">
        <v>0</v>
      </c>
      <c r="AF416" s="671">
        <v>0</v>
      </c>
      <c r="AG416" s="671">
        <v>0</v>
      </c>
      <c r="AH416" s="718"/>
      <c r="AI416" s="718"/>
      <c r="AJ416" s="718"/>
      <c r="AK416" s="718"/>
      <c r="AL416" s="718"/>
      <c r="AM416" s="718"/>
      <c r="AN416" s="718"/>
      <c r="AO416" s="718"/>
      <c r="AP416" s="718"/>
      <c r="AQ416" s="718"/>
      <c r="AR416" s="718"/>
      <c r="AS416" s="718"/>
      <c r="AT416" s="718"/>
      <c r="AU416" s="718"/>
      <c r="AV416" s="718"/>
      <c r="AW416" s="718"/>
      <c r="AX416" s="718"/>
      <c r="AY416" s="718"/>
      <c r="AZ416" s="718"/>
      <c r="BA416" s="718"/>
      <c r="BB416" s="718"/>
      <c r="BC416" s="718"/>
      <c r="BD416" s="718"/>
      <c r="BE416" s="718"/>
      <c r="BF416" s="718"/>
      <c r="BG416" s="718"/>
      <c r="BH416" s="718"/>
      <c r="BI416" s="718"/>
      <c r="BJ416" s="718"/>
      <c r="BK416" s="718"/>
      <c r="BL416" s="718"/>
      <c r="BM416" s="718"/>
      <c r="BN416" s="718"/>
      <c r="BO416" s="718"/>
      <c r="BP416" s="718"/>
      <c r="BQ416" s="718"/>
      <c r="BR416" s="718"/>
      <c r="BS416" s="718"/>
      <c r="BT416" s="718"/>
      <c r="BU416" s="718"/>
      <c r="BV416" s="718"/>
      <c r="BW416" s="718"/>
      <c r="BX416" s="718"/>
      <c r="BY416" s="718"/>
      <c r="BZ416" s="718"/>
      <c r="CA416" s="718"/>
    </row>
    <row r="417" spans="1:79" outlineLevel="1" x14ac:dyDescent="0.25">
      <c r="A417" s="656"/>
      <c r="B417" s="570"/>
      <c r="C417" s="570"/>
      <c r="D417" s="570"/>
      <c r="E417" s="570" t="s">
        <v>1337</v>
      </c>
      <c r="F417" s="656" t="s">
        <v>885</v>
      </c>
      <c r="G417" s="719"/>
      <c r="H417" s="719"/>
      <c r="I417" s="719"/>
      <c r="J417" s="719"/>
      <c r="K417" s="719"/>
      <c r="L417" s="719"/>
      <c r="M417" s="719"/>
      <c r="N417" s="719"/>
      <c r="O417" s="719"/>
      <c r="P417" s="716"/>
      <c r="Q417" s="716"/>
      <c r="R417" s="716"/>
      <c r="S417" s="671">
        <v>0</v>
      </c>
      <c r="T417" s="671">
        <v>0</v>
      </c>
      <c r="U417" s="671">
        <v>0</v>
      </c>
      <c r="V417" s="671">
        <v>0</v>
      </c>
      <c r="W417" s="671">
        <v>0</v>
      </c>
      <c r="X417" s="671">
        <v>0</v>
      </c>
      <c r="Y417" s="671">
        <v>0</v>
      </c>
      <c r="Z417" s="671">
        <v>0</v>
      </c>
      <c r="AA417" s="671">
        <v>0</v>
      </c>
      <c r="AB417" s="671">
        <v>0</v>
      </c>
      <c r="AC417" s="671">
        <v>0</v>
      </c>
      <c r="AD417" s="671">
        <v>0</v>
      </c>
      <c r="AE417" s="671">
        <v>0</v>
      </c>
      <c r="AF417" s="671">
        <v>0</v>
      </c>
      <c r="AG417" s="671">
        <v>0</v>
      </c>
      <c r="AH417" s="718"/>
      <c r="AI417" s="718"/>
      <c r="AJ417" s="718"/>
      <c r="AK417" s="718"/>
      <c r="AL417" s="718"/>
      <c r="AM417" s="718"/>
      <c r="AN417" s="718"/>
      <c r="AO417" s="718"/>
      <c r="AP417" s="718"/>
      <c r="AQ417" s="718"/>
      <c r="AR417" s="718"/>
      <c r="AS417" s="718"/>
      <c r="AT417" s="718"/>
      <c r="AU417" s="718"/>
      <c r="AV417" s="718"/>
      <c r="AW417" s="718"/>
      <c r="AX417" s="718"/>
      <c r="AY417" s="718"/>
      <c r="AZ417" s="718"/>
      <c r="BA417" s="718"/>
      <c r="BB417" s="718"/>
      <c r="BC417" s="718"/>
      <c r="BD417" s="718"/>
      <c r="BE417" s="718"/>
      <c r="BF417" s="718"/>
      <c r="BG417" s="718"/>
      <c r="BH417" s="718"/>
      <c r="BI417" s="718"/>
      <c r="BJ417" s="718"/>
      <c r="BK417" s="718"/>
      <c r="BL417" s="718"/>
      <c r="BM417" s="718"/>
      <c r="BN417" s="718"/>
      <c r="BO417" s="718"/>
      <c r="BP417" s="718"/>
      <c r="BQ417" s="718"/>
      <c r="BR417" s="718"/>
      <c r="BS417" s="718"/>
      <c r="BT417" s="718"/>
      <c r="BU417" s="718"/>
      <c r="BV417" s="718"/>
      <c r="BW417" s="718"/>
      <c r="BX417" s="718"/>
      <c r="BY417" s="718"/>
      <c r="BZ417" s="718"/>
      <c r="CA417" s="718"/>
    </row>
    <row r="418" spans="1:79" outlineLevel="1" x14ac:dyDescent="0.25">
      <c r="A418" s="656"/>
      <c r="B418" s="570"/>
      <c r="C418" s="570"/>
      <c r="D418" s="570"/>
      <c r="E418" s="570" t="s">
        <v>1270</v>
      </c>
      <c r="F418" s="656" t="s">
        <v>818</v>
      </c>
      <c r="G418" s="719"/>
      <c r="H418" s="719"/>
      <c r="I418" s="719"/>
      <c r="J418" s="719"/>
      <c r="K418" s="719"/>
      <c r="L418" s="719"/>
      <c r="M418" s="719"/>
      <c r="N418" s="719"/>
      <c r="O418" s="719"/>
      <c r="P418" s="716"/>
      <c r="Q418" s="716"/>
      <c r="R418" s="716"/>
      <c r="S418" s="671">
        <v>0</v>
      </c>
      <c r="T418" s="671">
        <v>0</v>
      </c>
      <c r="U418" s="671">
        <v>0</v>
      </c>
      <c r="V418" s="671">
        <v>0</v>
      </c>
      <c r="W418" s="671">
        <v>0</v>
      </c>
      <c r="X418" s="671">
        <v>0</v>
      </c>
      <c r="Y418" s="671">
        <v>0</v>
      </c>
      <c r="Z418" s="671">
        <v>0</v>
      </c>
      <c r="AA418" s="671">
        <v>0</v>
      </c>
      <c r="AB418" s="671">
        <v>0</v>
      </c>
      <c r="AC418" s="671">
        <v>0</v>
      </c>
      <c r="AD418" s="671">
        <v>0</v>
      </c>
      <c r="AE418" s="671">
        <v>0</v>
      </c>
      <c r="AF418" s="671">
        <v>0</v>
      </c>
      <c r="AG418" s="671">
        <v>0</v>
      </c>
      <c r="AH418" s="718"/>
      <c r="AI418" s="718"/>
      <c r="AJ418" s="718"/>
      <c r="AK418" s="718"/>
      <c r="AL418" s="718"/>
      <c r="AM418" s="718"/>
      <c r="AN418" s="718"/>
      <c r="AO418" s="718"/>
      <c r="AP418" s="718"/>
      <c r="AQ418" s="718"/>
      <c r="AR418" s="718"/>
      <c r="AS418" s="718"/>
      <c r="AT418" s="718"/>
      <c r="AU418" s="718"/>
      <c r="AV418" s="718"/>
      <c r="AW418" s="718"/>
      <c r="AX418" s="718"/>
      <c r="AY418" s="718"/>
      <c r="AZ418" s="718"/>
      <c r="BA418" s="718"/>
      <c r="BB418" s="718"/>
      <c r="BC418" s="718"/>
      <c r="BD418" s="718"/>
      <c r="BE418" s="718"/>
      <c r="BF418" s="718"/>
      <c r="BG418" s="718"/>
      <c r="BH418" s="718"/>
      <c r="BI418" s="718"/>
      <c r="BJ418" s="718"/>
      <c r="BK418" s="718"/>
      <c r="BL418" s="718"/>
      <c r="BM418" s="718"/>
      <c r="BN418" s="718"/>
      <c r="BO418" s="718"/>
      <c r="BP418" s="718"/>
      <c r="BQ418" s="718"/>
      <c r="BR418" s="718"/>
      <c r="BS418" s="718"/>
      <c r="BT418" s="718"/>
      <c r="BU418" s="718"/>
      <c r="BV418" s="718"/>
      <c r="BW418" s="718"/>
      <c r="BX418" s="718"/>
      <c r="BY418" s="718"/>
      <c r="BZ418" s="718"/>
      <c r="CA418" s="718"/>
    </row>
    <row r="419" spans="1:79" outlineLevel="1" x14ac:dyDescent="0.25">
      <c r="A419" s="656"/>
      <c r="B419" s="570"/>
      <c r="C419" s="570"/>
      <c r="D419" s="570"/>
      <c r="E419" s="570" t="s">
        <v>1260</v>
      </c>
      <c r="F419" s="656" t="s">
        <v>609</v>
      </c>
      <c r="G419" s="719"/>
      <c r="H419" s="719"/>
      <c r="I419" s="719"/>
      <c r="J419" s="719"/>
      <c r="K419" s="719"/>
      <c r="L419" s="719"/>
      <c r="M419" s="719"/>
      <c r="N419" s="719"/>
      <c r="O419" s="719"/>
      <c r="P419" s="716"/>
      <c r="Q419" s="716"/>
      <c r="R419" s="716"/>
      <c r="S419" s="671">
        <v>0</v>
      </c>
      <c r="T419" s="671">
        <v>0</v>
      </c>
      <c r="U419" s="671">
        <v>0</v>
      </c>
      <c r="V419" s="671">
        <v>0</v>
      </c>
      <c r="W419" s="671">
        <v>0</v>
      </c>
      <c r="X419" s="671">
        <v>0</v>
      </c>
      <c r="Y419" s="671">
        <v>0</v>
      </c>
      <c r="Z419" s="671">
        <v>0</v>
      </c>
      <c r="AA419" s="671">
        <v>0</v>
      </c>
      <c r="AB419" s="671">
        <v>0</v>
      </c>
      <c r="AC419" s="671">
        <v>0</v>
      </c>
      <c r="AD419" s="671">
        <v>0</v>
      </c>
      <c r="AE419" s="671">
        <v>0</v>
      </c>
      <c r="AF419" s="671">
        <v>0</v>
      </c>
      <c r="AG419" s="671">
        <v>0</v>
      </c>
      <c r="AH419" s="718"/>
      <c r="AI419" s="718"/>
      <c r="AJ419" s="718"/>
      <c r="AK419" s="718"/>
      <c r="AL419" s="718"/>
      <c r="AM419" s="718"/>
      <c r="AN419" s="718"/>
      <c r="AO419" s="718"/>
      <c r="AP419" s="718"/>
      <c r="AQ419" s="718"/>
      <c r="AR419" s="718"/>
      <c r="AS419" s="718"/>
      <c r="AT419" s="718"/>
      <c r="AU419" s="718"/>
      <c r="AV419" s="718"/>
      <c r="AW419" s="718"/>
      <c r="AX419" s="718"/>
      <c r="AY419" s="718"/>
      <c r="AZ419" s="718"/>
      <c r="BA419" s="718"/>
      <c r="BB419" s="718"/>
      <c r="BC419" s="718"/>
      <c r="BD419" s="718"/>
      <c r="BE419" s="718"/>
      <c r="BF419" s="718"/>
      <c r="BG419" s="718"/>
      <c r="BH419" s="718"/>
      <c r="BI419" s="718"/>
      <c r="BJ419" s="718"/>
      <c r="BK419" s="718"/>
      <c r="BL419" s="718"/>
      <c r="BM419" s="718"/>
      <c r="BN419" s="718"/>
      <c r="BO419" s="718"/>
      <c r="BP419" s="718"/>
      <c r="BQ419" s="718"/>
      <c r="BR419" s="718"/>
      <c r="BS419" s="718"/>
      <c r="BT419" s="718"/>
      <c r="BU419" s="718"/>
      <c r="BV419" s="718"/>
      <c r="BW419" s="718"/>
      <c r="BX419" s="718"/>
      <c r="BY419" s="718"/>
      <c r="BZ419" s="718"/>
      <c r="CA419" s="718"/>
    </row>
    <row r="420" spans="1:79" outlineLevel="1" x14ac:dyDescent="0.25">
      <c r="A420" s="656"/>
      <c r="B420" s="570"/>
      <c r="C420" s="570"/>
      <c r="D420" s="570"/>
      <c r="E420" s="570" t="s">
        <v>1326</v>
      </c>
      <c r="F420" s="656" t="s">
        <v>610</v>
      </c>
      <c r="G420" s="719"/>
      <c r="H420" s="719"/>
      <c r="I420" s="719"/>
      <c r="J420" s="719"/>
      <c r="K420" s="719"/>
      <c r="L420" s="719"/>
      <c r="M420" s="719"/>
      <c r="N420" s="719"/>
      <c r="O420" s="719"/>
      <c r="P420" s="716"/>
      <c r="Q420" s="716"/>
      <c r="R420" s="716"/>
      <c r="S420" s="676">
        <v>0</v>
      </c>
      <c r="T420" s="676">
        <v>0</v>
      </c>
      <c r="U420" s="676">
        <v>0</v>
      </c>
      <c r="V420" s="676">
        <v>0</v>
      </c>
      <c r="W420" s="676">
        <v>0</v>
      </c>
      <c r="X420" s="676">
        <v>0</v>
      </c>
      <c r="Y420" s="676">
        <v>0</v>
      </c>
      <c r="Z420" s="676">
        <v>0</v>
      </c>
      <c r="AA420" s="676">
        <v>0</v>
      </c>
      <c r="AB420" s="676">
        <v>0</v>
      </c>
      <c r="AC420" s="676">
        <v>0</v>
      </c>
      <c r="AD420" s="676">
        <v>0</v>
      </c>
      <c r="AE420" s="676">
        <v>0</v>
      </c>
      <c r="AF420" s="676">
        <v>0</v>
      </c>
      <c r="AG420" s="676">
        <v>0</v>
      </c>
      <c r="AH420" s="718"/>
      <c r="AI420" s="718"/>
      <c r="AJ420" s="718"/>
      <c r="AK420" s="718"/>
      <c r="AL420" s="718"/>
      <c r="AM420" s="718"/>
      <c r="AN420" s="718"/>
      <c r="AO420" s="718"/>
      <c r="AP420" s="718"/>
      <c r="AQ420" s="718"/>
      <c r="AR420" s="718"/>
      <c r="AS420" s="718"/>
      <c r="AT420" s="718"/>
      <c r="AU420" s="718"/>
      <c r="AV420" s="718"/>
      <c r="AW420" s="718"/>
      <c r="AX420" s="718"/>
      <c r="AY420" s="718"/>
      <c r="AZ420" s="718"/>
      <c r="BA420" s="718"/>
      <c r="BB420" s="718"/>
      <c r="BC420" s="718"/>
      <c r="BD420" s="718"/>
      <c r="BE420" s="718"/>
      <c r="BF420" s="718"/>
      <c r="BG420" s="718"/>
      <c r="BH420" s="718"/>
      <c r="BI420" s="718"/>
      <c r="BJ420" s="718"/>
      <c r="BK420" s="718"/>
      <c r="BL420" s="718"/>
      <c r="BM420" s="718"/>
      <c r="BN420" s="718"/>
      <c r="BO420" s="718"/>
      <c r="BP420" s="718"/>
      <c r="BQ420" s="718"/>
      <c r="BR420" s="718"/>
      <c r="BS420" s="718"/>
      <c r="BT420" s="718"/>
      <c r="BU420" s="718"/>
      <c r="BV420" s="718"/>
      <c r="BW420" s="718"/>
      <c r="BX420" s="718"/>
      <c r="BY420" s="718"/>
      <c r="BZ420" s="718"/>
      <c r="CA420" s="718"/>
    </row>
    <row r="421" spans="1:79" outlineLevel="1" x14ac:dyDescent="0.25">
      <c r="A421" s="656"/>
      <c r="B421" s="570"/>
      <c r="C421" s="570"/>
      <c r="D421" s="570"/>
      <c r="E421" s="570" t="s">
        <v>985</v>
      </c>
      <c r="F421" s="656" t="s">
        <v>611</v>
      </c>
      <c r="G421" s="719"/>
      <c r="H421" s="719"/>
      <c r="I421" s="719"/>
      <c r="J421" s="719"/>
      <c r="K421" s="719"/>
      <c r="L421" s="719"/>
      <c r="M421" s="719"/>
      <c r="N421" s="719"/>
      <c r="O421" s="719"/>
      <c r="P421" s="716"/>
      <c r="Q421" s="716"/>
      <c r="R421" s="716"/>
      <c r="S421" s="676">
        <v>0</v>
      </c>
      <c r="T421" s="676">
        <v>0</v>
      </c>
      <c r="U421" s="676">
        <v>0</v>
      </c>
      <c r="V421" s="676">
        <v>0</v>
      </c>
      <c r="W421" s="676">
        <v>0</v>
      </c>
      <c r="X421" s="676">
        <v>0</v>
      </c>
      <c r="Y421" s="676">
        <v>0</v>
      </c>
      <c r="Z421" s="676">
        <v>0</v>
      </c>
      <c r="AA421" s="676">
        <v>0</v>
      </c>
      <c r="AB421" s="676">
        <v>0</v>
      </c>
      <c r="AC421" s="676">
        <v>0</v>
      </c>
      <c r="AD421" s="676">
        <v>0</v>
      </c>
      <c r="AE421" s="676">
        <v>0</v>
      </c>
      <c r="AF421" s="676">
        <v>0</v>
      </c>
      <c r="AG421" s="676">
        <v>0</v>
      </c>
      <c r="AH421" s="718"/>
      <c r="AI421" s="718"/>
      <c r="AJ421" s="718"/>
      <c r="AK421" s="718"/>
      <c r="AL421" s="718"/>
      <c r="AM421" s="718"/>
      <c r="AN421" s="718"/>
      <c r="AO421" s="718"/>
      <c r="AP421" s="718"/>
      <c r="AQ421" s="718"/>
      <c r="AR421" s="718"/>
      <c r="AS421" s="718"/>
      <c r="AT421" s="718"/>
      <c r="AU421" s="718"/>
      <c r="AV421" s="718"/>
      <c r="AW421" s="718"/>
      <c r="AX421" s="718"/>
      <c r="AY421" s="718"/>
      <c r="AZ421" s="718"/>
      <c r="BA421" s="718"/>
      <c r="BB421" s="718"/>
      <c r="BC421" s="718"/>
      <c r="BD421" s="718"/>
      <c r="BE421" s="718"/>
      <c r="BF421" s="718"/>
      <c r="BG421" s="718"/>
      <c r="BH421" s="718"/>
      <c r="BI421" s="718"/>
      <c r="BJ421" s="718"/>
      <c r="BK421" s="718"/>
      <c r="BL421" s="718"/>
      <c r="BM421" s="718"/>
      <c r="BN421" s="718"/>
      <c r="BO421" s="718"/>
      <c r="BP421" s="718"/>
      <c r="BQ421" s="718"/>
      <c r="BR421" s="718"/>
      <c r="BS421" s="718"/>
      <c r="BT421" s="718"/>
      <c r="BU421" s="718"/>
      <c r="BV421" s="718"/>
      <c r="BW421" s="718"/>
      <c r="BX421" s="718"/>
      <c r="BY421" s="718"/>
      <c r="BZ421" s="718"/>
      <c r="CA421" s="718"/>
    </row>
    <row r="422" spans="1:79" outlineLevel="1" x14ac:dyDescent="0.25">
      <c r="A422" s="656"/>
      <c r="B422" s="570"/>
      <c r="C422" s="570"/>
      <c r="D422" s="570"/>
      <c r="E422" s="570" t="s">
        <v>11</v>
      </c>
      <c r="F422" s="656" t="s">
        <v>612</v>
      </c>
      <c r="G422" s="719"/>
      <c r="H422" s="719"/>
      <c r="I422" s="719"/>
      <c r="J422" s="719"/>
      <c r="K422" s="719"/>
      <c r="L422" s="719"/>
      <c r="M422" s="719"/>
      <c r="N422" s="719"/>
      <c r="O422" s="719"/>
      <c r="P422" s="716"/>
      <c r="Q422" s="716"/>
      <c r="R422" s="716"/>
      <c r="S422" s="676">
        <v>0</v>
      </c>
      <c r="T422" s="676">
        <v>0</v>
      </c>
      <c r="U422" s="676">
        <v>0</v>
      </c>
      <c r="V422" s="676">
        <v>0</v>
      </c>
      <c r="W422" s="676">
        <v>0</v>
      </c>
      <c r="X422" s="676">
        <v>0</v>
      </c>
      <c r="Y422" s="676">
        <v>0</v>
      </c>
      <c r="Z422" s="676">
        <v>0</v>
      </c>
      <c r="AA422" s="676">
        <v>0</v>
      </c>
      <c r="AB422" s="676">
        <v>0</v>
      </c>
      <c r="AC422" s="676">
        <v>0</v>
      </c>
      <c r="AD422" s="676">
        <v>0</v>
      </c>
      <c r="AE422" s="676">
        <v>0</v>
      </c>
      <c r="AF422" s="676">
        <v>0</v>
      </c>
      <c r="AG422" s="676">
        <v>0</v>
      </c>
      <c r="AH422" s="718"/>
      <c r="AI422" s="718"/>
      <c r="AJ422" s="718"/>
      <c r="AK422" s="718"/>
      <c r="AL422" s="718"/>
      <c r="AM422" s="718"/>
      <c r="AN422" s="718"/>
      <c r="AO422" s="718"/>
      <c r="AP422" s="718"/>
      <c r="AQ422" s="718"/>
      <c r="AR422" s="718"/>
      <c r="AS422" s="718"/>
      <c r="AT422" s="718"/>
      <c r="AU422" s="718"/>
      <c r="AV422" s="718"/>
      <c r="AW422" s="718"/>
      <c r="AX422" s="718"/>
      <c r="AY422" s="718"/>
      <c r="AZ422" s="718"/>
      <c r="BA422" s="718"/>
      <c r="BB422" s="718"/>
      <c r="BC422" s="718"/>
      <c r="BD422" s="718"/>
      <c r="BE422" s="718"/>
      <c r="BF422" s="718"/>
      <c r="BG422" s="718"/>
      <c r="BH422" s="718"/>
      <c r="BI422" s="718"/>
      <c r="BJ422" s="718"/>
      <c r="BK422" s="718"/>
      <c r="BL422" s="718"/>
      <c r="BM422" s="718"/>
      <c r="BN422" s="718"/>
      <c r="BO422" s="718"/>
      <c r="BP422" s="718"/>
      <c r="BQ422" s="718"/>
      <c r="BR422" s="718"/>
      <c r="BS422" s="718"/>
      <c r="BT422" s="718"/>
      <c r="BU422" s="718"/>
      <c r="BV422" s="718"/>
      <c r="BW422" s="718"/>
      <c r="BX422" s="718"/>
      <c r="BY422" s="718"/>
      <c r="BZ422" s="718"/>
      <c r="CA422" s="718"/>
    </row>
    <row r="423" spans="1:79" outlineLevel="1" x14ac:dyDescent="0.25">
      <c r="A423" s="656"/>
      <c r="B423" s="570"/>
      <c r="C423" s="570"/>
      <c r="D423" s="570"/>
      <c r="E423" s="570" t="s">
        <v>1337</v>
      </c>
      <c r="F423" s="656" t="s">
        <v>886</v>
      </c>
      <c r="G423" s="719"/>
      <c r="H423" s="719"/>
      <c r="I423" s="719"/>
      <c r="J423" s="719"/>
      <c r="K423" s="719"/>
      <c r="L423" s="719"/>
      <c r="M423" s="719"/>
      <c r="N423" s="719"/>
      <c r="O423" s="719"/>
      <c r="P423" s="716"/>
      <c r="Q423" s="716"/>
      <c r="R423" s="716"/>
      <c r="S423" s="676">
        <v>0</v>
      </c>
      <c r="T423" s="676">
        <v>0</v>
      </c>
      <c r="U423" s="676">
        <v>0</v>
      </c>
      <c r="V423" s="676">
        <v>0</v>
      </c>
      <c r="W423" s="676">
        <v>0</v>
      </c>
      <c r="X423" s="676">
        <v>0</v>
      </c>
      <c r="Y423" s="676">
        <v>0</v>
      </c>
      <c r="Z423" s="676">
        <v>0</v>
      </c>
      <c r="AA423" s="676">
        <v>0</v>
      </c>
      <c r="AB423" s="676">
        <v>0</v>
      </c>
      <c r="AC423" s="676">
        <v>0</v>
      </c>
      <c r="AD423" s="676">
        <v>0</v>
      </c>
      <c r="AE423" s="676">
        <v>0</v>
      </c>
      <c r="AF423" s="676">
        <v>0</v>
      </c>
      <c r="AG423" s="676">
        <v>0</v>
      </c>
      <c r="AH423" s="718"/>
      <c r="AI423" s="718"/>
      <c r="AJ423" s="718"/>
      <c r="AK423" s="718"/>
      <c r="AL423" s="718"/>
      <c r="AM423" s="718"/>
      <c r="AN423" s="718"/>
      <c r="AO423" s="718"/>
      <c r="AP423" s="718"/>
      <c r="AQ423" s="718"/>
      <c r="AR423" s="718"/>
      <c r="AS423" s="718"/>
      <c r="AT423" s="718"/>
      <c r="AU423" s="718"/>
      <c r="AV423" s="718"/>
      <c r="AW423" s="718"/>
      <c r="AX423" s="718"/>
      <c r="AY423" s="718"/>
      <c r="AZ423" s="718"/>
      <c r="BA423" s="718"/>
      <c r="BB423" s="718"/>
      <c r="BC423" s="718"/>
      <c r="BD423" s="718"/>
      <c r="BE423" s="718"/>
      <c r="BF423" s="718"/>
      <c r="BG423" s="718"/>
      <c r="BH423" s="718"/>
      <c r="BI423" s="718"/>
      <c r="BJ423" s="718"/>
      <c r="BK423" s="718"/>
      <c r="BL423" s="718"/>
      <c r="BM423" s="718"/>
      <c r="BN423" s="718"/>
      <c r="BO423" s="718"/>
      <c r="BP423" s="718"/>
      <c r="BQ423" s="718"/>
      <c r="BR423" s="718"/>
      <c r="BS423" s="718"/>
      <c r="BT423" s="718"/>
      <c r="BU423" s="718"/>
      <c r="BV423" s="718"/>
      <c r="BW423" s="718"/>
      <c r="BX423" s="718"/>
      <c r="BY423" s="718"/>
      <c r="BZ423" s="718"/>
      <c r="CA423" s="718"/>
    </row>
    <row r="424" spans="1:79" outlineLevel="1" x14ac:dyDescent="0.25">
      <c r="A424" s="656"/>
      <c r="B424" s="570"/>
      <c r="C424" s="570"/>
      <c r="D424" s="570"/>
      <c r="E424" s="570" t="s">
        <v>986</v>
      </c>
      <c r="F424" s="656" t="s">
        <v>763</v>
      </c>
      <c r="G424" s="719"/>
      <c r="H424" s="719"/>
      <c r="I424" s="719"/>
      <c r="J424" s="719"/>
      <c r="K424" s="719"/>
      <c r="L424" s="719"/>
      <c r="M424" s="719"/>
      <c r="N424" s="719"/>
      <c r="O424" s="719"/>
      <c r="P424" s="716"/>
      <c r="Q424" s="716"/>
      <c r="R424" s="716"/>
      <c r="S424" s="676">
        <v>0</v>
      </c>
      <c r="T424" s="676">
        <v>0</v>
      </c>
      <c r="U424" s="676">
        <v>0</v>
      </c>
      <c r="V424" s="676">
        <v>0</v>
      </c>
      <c r="W424" s="676">
        <v>0</v>
      </c>
      <c r="X424" s="676">
        <v>0</v>
      </c>
      <c r="Y424" s="676">
        <v>0</v>
      </c>
      <c r="Z424" s="676">
        <v>0</v>
      </c>
      <c r="AA424" s="676">
        <v>0</v>
      </c>
      <c r="AB424" s="676">
        <v>0</v>
      </c>
      <c r="AC424" s="676">
        <v>0</v>
      </c>
      <c r="AD424" s="676">
        <v>0</v>
      </c>
      <c r="AE424" s="676">
        <v>0</v>
      </c>
      <c r="AF424" s="676">
        <v>0</v>
      </c>
      <c r="AG424" s="676">
        <v>0</v>
      </c>
      <c r="AH424" s="718"/>
      <c r="AI424" s="718"/>
      <c r="AJ424" s="718"/>
      <c r="AK424" s="718"/>
      <c r="AL424" s="718"/>
      <c r="AM424" s="718"/>
      <c r="AN424" s="718"/>
      <c r="AO424" s="718"/>
      <c r="AP424" s="718"/>
      <c r="AQ424" s="718"/>
      <c r="AR424" s="718"/>
      <c r="AS424" s="718"/>
      <c r="AT424" s="718"/>
      <c r="AU424" s="718"/>
      <c r="AV424" s="718"/>
      <c r="AW424" s="718"/>
      <c r="AX424" s="718"/>
      <c r="AY424" s="718"/>
      <c r="AZ424" s="718"/>
      <c r="BA424" s="718"/>
      <c r="BB424" s="718"/>
      <c r="BC424" s="718"/>
      <c r="BD424" s="718"/>
      <c r="BE424" s="718"/>
      <c r="BF424" s="718"/>
      <c r="BG424" s="718"/>
      <c r="BH424" s="718"/>
      <c r="BI424" s="718"/>
      <c r="BJ424" s="718"/>
      <c r="BK424" s="718"/>
      <c r="BL424" s="718"/>
      <c r="BM424" s="718"/>
      <c r="BN424" s="718"/>
      <c r="BO424" s="718"/>
      <c r="BP424" s="718"/>
      <c r="BQ424" s="718"/>
      <c r="BR424" s="718"/>
      <c r="BS424" s="718"/>
      <c r="BT424" s="718"/>
      <c r="BU424" s="718"/>
      <c r="BV424" s="718"/>
      <c r="BW424" s="718"/>
      <c r="BX424" s="718"/>
      <c r="BY424" s="718"/>
      <c r="BZ424" s="718"/>
      <c r="CA424" s="718"/>
    </row>
    <row r="425" spans="1:79" outlineLevel="1" x14ac:dyDescent="0.25">
      <c r="A425" s="656"/>
      <c r="B425" s="570"/>
      <c r="C425" s="570"/>
      <c r="D425" s="570"/>
      <c r="E425" s="570" t="s">
        <v>986</v>
      </c>
      <c r="F425" s="656" t="s">
        <v>779</v>
      </c>
      <c r="G425" s="719"/>
      <c r="H425" s="719"/>
      <c r="I425" s="719"/>
      <c r="J425" s="719"/>
      <c r="K425" s="719"/>
      <c r="L425" s="719"/>
      <c r="M425" s="719"/>
      <c r="N425" s="719"/>
      <c r="O425" s="719"/>
      <c r="P425" s="716"/>
      <c r="Q425" s="716"/>
      <c r="R425" s="716"/>
      <c r="S425" s="676">
        <v>0</v>
      </c>
      <c r="T425" s="676">
        <v>0</v>
      </c>
      <c r="U425" s="676">
        <v>0</v>
      </c>
      <c r="V425" s="676">
        <v>0</v>
      </c>
      <c r="W425" s="676">
        <v>0</v>
      </c>
      <c r="X425" s="676">
        <v>0</v>
      </c>
      <c r="Y425" s="676">
        <v>0</v>
      </c>
      <c r="Z425" s="676">
        <v>0</v>
      </c>
      <c r="AA425" s="676">
        <v>0</v>
      </c>
      <c r="AB425" s="676">
        <v>0</v>
      </c>
      <c r="AC425" s="676">
        <v>0</v>
      </c>
      <c r="AD425" s="676">
        <v>0</v>
      </c>
      <c r="AE425" s="676">
        <v>0</v>
      </c>
      <c r="AF425" s="676">
        <v>0</v>
      </c>
      <c r="AG425" s="676">
        <v>0</v>
      </c>
      <c r="AH425" s="718"/>
      <c r="AI425" s="718"/>
      <c r="AJ425" s="718"/>
      <c r="AK425" s="718"/>
      <c r="AL425" s="718"/>
      <c r="AM425" s="718"/>
      <c r="AN425" s="718"/>
      <c r="AO425" s="718"/>
      <c r="AP425" s="718"/>
      <c r="AQ425" s="718"/>
      <c r="AR425" s="718"/>
      <c r="AS425" s="718"/>
      <c r="AT425" s="718"/>
      <c r="AU425" s="718"/>
      <c r="AV425" s="718"/>
      <c r="AW425" s="718"/>
      <c r="AX425" s="718"/>
      <c r="AY425" s="718"/>
      <c r="AZ425" s="718"/>
      <c r="BA425" s="718"/>
      <c r="BB425" s="718"/>
      <c r="BC425" s="718"/>
      <c r="BD425" s="718"/>
      <c r="BE425" s="718"/>
      <c r="BF425" s="718"/>
      <c r="BG425" s="718"/>
      <c r="BH425" s="718"/>
      <c r="BI425" s="718"/>
      <c r="BJ425" s="718"/>
      <c r="BK425" s="718"/>
      <c r="BL425" s="718"/>
      <c r="BM425" s="718"/>
      <c r="BN425" s="718"/>
      <c r="BO425" s="718"/>
      <c r="BP425" s="718"/>
      <c r="BQ425" s="718"/>
      <c r="BR425" s="718"/>
      <c r="BS425" s="718"/>
      <c r="BT425" s="718"/>
      <c r="BU425" s="718"/>
      <c r="BV425" s="718"/>
      <c r="BW425" s="718"/>
      <c r="BX425" s="718"/>
      <c r="BY425" s="718"/>
      <c r="BZ425" s="718"/>
      <c r="CA425" s="718"/>
    </row>
    <row r="426" spans="1:79" outlineLevel="1" x14ac:dyDescent="0.25">
      <c r="A426" s="656"/>
      <c r="B426" s="570"/>
      <c r="C426" s="570"/>
      <c r="D426" s="570"/>
      <c r="E426" s="570" t="s">
        <v>1270</v>
      </c>
      <c r="F426" s="656" t="s">
        <v>613</v>
      </c>
      <c r="G426" s="719"/>
      <c r="H426" s="719"/>
      <c r="I426" s="719"/>
      <c r="J426" s="719"/>
      <c r="K426" s="719"/>
      <c r="L426" s="719"/>
      <c r="M426" s="719"/>
      <c r="N426" s="719"/>
      <c r="O426" s="719"/>
      <c r="P426" s="716"/>
      <c r="Q426" s="716"/>
      <c r="R426" s="716"/>
      <c r="S426" s="676">
        <v>0</v>
      </c>
      <c r="T426" s="676">
        <v>0</v>
      </c>
      <c r="U426" s="676">
        <v>0</v>
      </c>
      <c r="V426" s="676">
        <v>0</v>
      </c>
      <c r="W426" s="676">
        <v>0</v>
      </c>
      <c r="X426" s="676">
        <v>0</v>
      </c>
      <c r="Y426" s="676">
        <v>0</v>
      </c>
      <c r="Z426" s="676">
        <v>0</v>
      </c>
      <c r="AA426" s="676">
        <v>0</v>
      </c>
      <c r="AB426" s="676">
        <v>0</v>
      </c>
      <c r="AC426" s="676">
        <v>0</v>
      </c>
      <c r="AD426" s="676">
        <v>0</v>
      </c>
      <c r="AE426" s="676">
        <v>0</v>
      </c>
      <c r="AF426" s="676">
        <v>0</v>
      </c>
      <c r="AG426" s="676">
        <v>0</v>
      </c>
      <c r="AH426" s="718"/>
      <c r="AI426" s="718"/>
      <c r="AJ426" s="718"/>
      <c r="AK426" s="718"/>
      <c r="AL426" s="718"/>
      <c r="AM426" s="718"/>
      <c r="AN426" s="718"/>
      <c r="AO426" s="718"/>
      <c r="AP426" s="718"/>
      <c r="AQ426" s="718"/>
      <c r="AR426" s="718"/>
      <c r="AS426" s="718"/>
      <c r="AT426" s="718"/>
      <c r="AU426" s="718"/>
      <c r="AV426" s="718"/>
      <c r="AW426" s="718"/>
      <c r="AX426" s="718"/>
      <c r="AY426" s="718"/>
      <c r="AZ426" s="718"/>
      <c r="BA426" s="718"/>
      <c r="BB426" s="718"/>
      <c r="BC426" s="718"/>
      <c r="BD426" s="718"/>
      <c r="BE426" s="718"/>
      <c r="BF426" s="718"/>
      <c r="BG426" s="718"/>
      <c r="BH426" s="718"/>
      <c r="BI426" s="718"/>
      <c r="BJ426" s="718"/>
      <c r="BK426" s="718"/>
      <c r="BL426" s="718"/>
      <c r="BM426" s="718"/>
      <c r="BN426" s="718"/>
      <c r="BO426" s="718"/>
      <c r="BP426" s="718"/>
      <c r="BQ426" s="718"/>
      <c r="BR426" s="718"/>
      <c r="BS426" s="718"/>
      <c r="BT426" s="718"/>
      <c r="BU426" s="718"/>
      <c r="BV426" s="718"/>
      <c r="BW426" s="718"/>
      <c r="BX426" s="718"/>
      <c r="BY426" s="718"/>
      <c r="BZ426" s="718"/>
      <c r="CA426" s="718"/>
    </row>
    <row r="427" spans="1:79" outlineLevel="1" x14ac:dyDescent="0.25">
      <c r="A427" s="656"/>
      <c r="B427" s="570"/>
      <c r="C427" s="570"/>
      <c r="D427" s="570"/>
      <c r="E427" s="570" t="s">
        <v>1350</v>
      </c>
      <c r="F427" s="656" t="s">
        <v>614</v>
      </c>
      <c r="G427" s="719"/>
      <c r="H427" s="719"/>
      <c r="I427" s="719"/>
      <c r="J427" s="719"/>
      <c r="K427" s="719"/>
      <c r="L427" s="719"/>
      <c r="M427" s="719"/>
      <c r="N427" s="719"/>
      <c r="O427" s="719"/>
      <c r="P427" s="716"/>
      <c r="Q427" s="716"/>
      <c r="R427" s="716"/>
      <c r="S427" s="676">
        <v>0</v>
      </c>
      <c r="T427" s="676">
        <v>0</v>
      </c>
      <c r="U427" s="676">
        <v>0</v>
      </c>
      <c r="V427" s="676">
        <v>0</v>
      </c>
      <c r="W427" s="676">
        <v>0</v>
      </c>
      <c r="X427" s="676">
        <v>0</v>
      </c>
      <c r="Y427" s="676">
        <v>0</v>
      </c>
      <c r="Z427" s="676">
        <v>0</v>
      </c>
      <c r="AA427" s="676">
        <v>0</v>
      </c>
      <c r="AB427" s="676">
        <v>0</v>
      </c>
      <c r="AC427" s="676">
        <v>0</v>
      </c>
      <c r="AD427" s="676">
        <v>0</v>
      </c>
      <c r="AE427" s="676">
        <v>0</v>
      </c>
      <c r="AF427" s="676">
        <v>0</v>
      </c>
      <c r="AG427" s="676">
        <v>0</v>
      </c>
      <c r="AH427" s="718"/>
      <c r="AI427" s="718"/>
      <c r="AJ427" s="718"/>
      <c r="AK427" s="718"/>
      <c r="AL427" s="718"/>
      <c r="AM427" s="718"/>
      <c r="AN427" s="718"/>
      <c r="AO427" s="718"/>
      <c r="AP427" s="718"/>
      <c r="AQ427" s="718"/>
      <c r="AR427" s="718"/>
      <c r="AS427" s="718"/>
      <c r="AT427" s="718"/>
      <c r="AU427" s="718"/>
      <c r="AV427" s="718"/>
      <c r="AW427" s="718"/>
      <c r="AX427" s="718"/>
      <c r="AY427" s="718"/>
      <c r="AZ427" s="718"/>
      <c r="BA427" s="718"/>
      <c r="BB427" s="718"/>
      <c r="BC427" s="718"/>
      <c r="BD427" s="718"/>
      <c r="BE427" s="718"/>
      <c r="BF427" s="718"/>
      <c r="BG427" s="718"/>
      <c r="BH427" s="718"/>
      <c r="BI427" s="718"/>
      <c r="BJ427" s="718"/>
      <c r="BK427" s="718"/>
      <c r="BL427" s="718"/>
      <c r="BM427" s="718"/>
      <c r="BN427" s="718"/>
      <c r="BO427" s="718"/>
      <c r="BP427" s="718"/>
      <c r="BQ427" s="718"/>
      <c r="BR427" s="718"/>
      <c r="BS427" s="718"/>
      <c r="BT427" s="718"/>
      <c r="BU427" s="718"/>
      <c r="BV427" s="718"/>
      <c r="BW427" s="718"/>
      <c r="BX427" s="718"/>
      <c r="BY427" s="718"/>
      <c r="BZ427" s="718"/>
      <c r="CA427" s="718"/>
    </row>
    <row r="428" spans="1:79" outlineLevel="1" x14ac:dyDescent="0.25">
      <c r="A428" s="656"/>
      <c r="B428" s="570"/>
      <c r="C428" s="570"/>
      <c r="D428" s="570"/>
      <c r="E428" s="570" t="s">
        <v>11</v>
      </c>
      <c r="F428" s="656" t="s">
        <v>615</v>
      </c>
      <c r="G428" s="719"/>
      <c r="H428" s="719"/>
      <c r="I428" s="719"/>
      <c r="J428" s="719"/>
      <c r="K428" s="719"/>
      <c r="L428" s="719"/>
      <c r="M428" s="719"/>
      <c r="N428" s="719"/>
      <c r="O428" s="719"/>
      <c r="P428" s="716"/>
      <c r="Q428" s="716"/>
      <c r="R428" s="716"/>
      <c r="S428" s="676">
        <v>0</v>
      </c>
      <c r="T428" s="676">
        <v>0</v>
      </c>
      <c r="U428" s="676">
        <v>0</v>
      </c>
      <c r="V428" s="676">
        <v>0</v>
      </c>
      <c r="W428" s="676">
        <v>0</v>
      </c>
      <c r="X428" s="676">
        <v>0</v>
      </c>
      <c r="Y428" s="676">
        <v>0</v>
      </c>
      <c r="Z428" s="676">
        <v>0</v>
      </c>
      <c r="AA428" s="676">
        <v>0</v>
      </c>
      <c r="AB428" s="676">
        <v>0</v>
      </c>
      <c r="AC428" s="676">
        <v>0</v>
      </c>
      <c r="AD428" s="676">
        <v>0</v>
      </c>
      <c r="AE428" s="676">
        <v>0</v>
      </c>
      <c r="AF428" s="676">
        <v>0</v>
      </c>
      <c r="AG428" s="676">
        <v>0</v>
      </c>
      <c r="AH428" s="718"/>
      <c r="AI428" s="718"/>
      <c r="AJ428" s="718"/>
      <c r="AK428" s="718"/>
      <c r="AL428" s="718"/>
      <c r="AM428" s="718"/>
      <c r="AN428" s="718"/>
      <c r="AO428" s="718"/>
      <c r="AP428" s="718"/>
      <c r="AQ428" s="718"/>
      <c r="AR428" s="718"/>
      <c r="AS428" s="718"/>
      <c r="AT428" s="718"/>
      <c r="AU428" s="718"/>
      <c r="AV428" s="718"/>
      <c r="AW428" s="718"/>
      <c r="AX428" s="718"/>
      <c r="AY428" s="718"/>
      <c r="AZ428" s="718"/>
      <c r="BA428" s="718"/>
      <c r="BB428" s="718"/>
      <c r="BC428" s="718"/>
      <c r="BD428" s="718"/>
      <c r="BE428" s="718"/>
      <c r="BF428" s="718"/>
      <c r="BG428" s="718"/>
      <c r="BH428" s="718"/>
      <c r="BI428" s="718"/>
      <c r="BJ428" s="718"/>
      <c r="BK428" s="718"/>
      <c r="BL428" s="718"/>
      <c r="BM428" s="718"/>
      <c r="BN428" s="718"/>
      <c r="BO428" s="718"/>
      <c r="BP428" s="718"/>
      <c r="BQ428" s="718"/>
      <c r="BR428" s="718"/>
      <c r="BS428" s="718"/>
      <c r="BT428" s="718"/>
      <c r="BU428" s="718"/>
      <c r="BV428" s="718"/>
      <c r="BW428" s="718"/>
      <c r="BX428" s="718"/>
      <c r="BY428" s="718"/>
      <c r="BZ428" s="718"/>
      <c r="CA428" s="718"/>
    </row>
    <row r="429" spans="1:79" outlineLevel="1" x14ac:dyDescent="0.25">
      <c r="A429" s="656"/>
      <c r="B429" s="570"/>
      <c r="C429" s="570"/>
      <c r="D429" s="570"/>
      <c r="E429" s="570" t="s">
        <v>1280</v>
      </c>
      <c r="F429" s="656" t="s">
        <v>887</v>
      </c>
      <c r="G429" s="719"/>
      <c r="H429" s="719"/>
      <c r="I429" s="719"/>
      <c r="J429" s="719"/>
      <c r="K429" s="719"/>
      <c r="L429" s="719"/>
      <c r="M429" s="719"/>
      <c r="N429" s="719"/>
      <c r="O429" s="719"/>
      <c r="P429" s="716"/>
      <c r="Q429" s="716"/>
      <c r="R429" s="716"/>
      <c r="S429" s="676">
        <v>0</v>
      </c>
      <c r="T429" s="676">
        <v>0</v>
      </c>
      <c r="U429" s="676">
        <v>0</v>
      </c>
      <c r="V429" s="676">
        <v>0</v>
      </c>
      <c r="W429" s="676">
        <v>0</v>
      </c>
      <c r="X429" s="676">
        <v>0</v>
      </c>
      <c r="Y429" s="676">
        <v>0</v>
      </c>
      <c r="Z429" s="676">
        <v>0</v>
      </c>
      <c r="AA429" s="676">
        <v>0</v>
      </c>
      <c r="AB429" s="676">
        <v>0</v>
      </c>
      <c r="AC429" s="676">
        <v>0</v>
      </c>
      <c r="AD429" s="676">
        <v>0</v>
      </c>
      <c r="AE429" s="676">
        <v>0</v>
      </c>
      <c r="AF429" s="676">
        <v>0</v>
      </c>
      <c r="AG429" s="676">
        <v>0</v>
      </c>
      <c r="AH429" s="718"/>
      <c r="AI429" s="718"/>
      <c r="AJ429" s="718"/>
      <c r="AK429" s="718"/>
      <c r="AL429" s="718"/>
      <c r="AM429" s="718"/>
      <c r="AN429" s="718"/>
      <c r="AO429" s="718"/>
      <c r="AP429" s="718"/>
      <c r="AQ429" s="718"/>
      <c r="AR429" s="718"/>
      <c r="AS429" s="718"/>
      <c r="AT429" s="718"/>
      <c r="AU429" s="718"/>
      <c r="AV429" s="718"/>
      <c r="AW429" s="718"/>
      <c r="AX429" s="718"/>
      <c r="AY429" s="718"/>
      <c r="AZ429" s="718"/>
      <c r="BA429" s="718"/>
      <c r="BB429" s="718"/>
      <c r="BC429" s="718"/>
      <c r="BD429" s="718"/>
      <c r="BE429" s="718"/>
      <c r="BF429" s="718"/>
      <c r="BG429" s="718"/>
      <c r="BH429" s="718"/>
      <c r="BI429" s="718"/>
      <c r="BJ429" s="718"/>
      <c r="BK429" s="718"/>
      <c r="BL429" s="718"/>
      <c r="BM429" s="718"/>
      <c r="BN429" s="718"/>
      <c r="BO429" s="718"/>
      <c r="BP429" s="718"/>
      <c r="BQ429" s="718"/>
      <c r="BR429" s="718"/>
      <c r="BS429" s="718"/>
      <c r="BT429" s="718"/>
      <c r="BU429" s="718"/>
      <c r="BV429" s="718"/>
      <c r="BW429" s="718"/>
      <c r="BX429" s="718"/>
      <c r="BY429" s="718"/>
      <c r="BZ429" s="718"/>
      <c r="CA429" s="718"/>
    </row>
    <row r="430" spans="1:79" outlineLevel="1" x14ac:dyDescent="0.25">
      <c r="A430" s="656"/>
      <c r="B430" s="570"/>
      <c r="C430" s="570"/>
      <c r="D430" s="570"/>
      <c r="E430" s="570" t="s">
        <v>1337</v>
      </c>
      <c r="F430" s="656" t="s">
        <v>616</v>
      </c>
      <c r="G430" s="719"/>
      <c r="H430" s="719"/>
      <c r="I430" s="719"/>
      <c r="J430" s="719"/>
      <c r="K430" s="719"/>
      <c r="L430" s="719"/>
      <c r="M430" s="719"/>
      <c r="N430" s="719"/>
      <c r="O430" s="719"/>
      <c r="P430" s="716"/>
      <c r="Q430" s="716"/>
      <c r="R430" s="716"/>
      <c r="S430" s="676">
        <v>0</v>
      </c>
      <c r="T430" s="676">
        <v>0</v>
      </c>
      <c r="U430" s="676">
        <v>0</v>
      </c>
      <c r="V430" s="676">
        <v>0</v>
      </c>
      <c r="W430" s="676">
        <v>0</v>
      </c>
      <c r="X430" s="676">
        <v>0</v>
      </c>
      <c r="Y430" s="676">
        <v>0</v>
      </c>
      <c r="Z430" s="676">
        <v>0</v>
      </c>
      <c r="AA430" s="676">
        <v>0</v>
      </c>
      <c r="AB430" s="676">
        <v>0</v>
      </c>
      <c r="AC430" s="676">
        <v>0</v>
      </c>
      <c r="AD430" s="676">
        <v>0</v>
      </c>
      <c r="AE430" s="676">
        <v>0</v>
      </c>
      <c r="AF430" s="676">
        <v>0</v>
      </c>
      <c r="AG430" s="676">
        <v>0</v>
      </c>
      <c r="AH430" s="718"/>
      <c r="AI430" s="718"/>
      <c r="AJ430" s="718"/>
      <c r="AK430" s="718"/>
      <c r="AL430" s="718"/>
      <c r="AM430" s="718"/>
      <c r="AN430" s="718"/>
      <c r="AO430" s="718"/>
      <c r="AP430" s="718"/>
      <c r="AQ430" s="718"/>
      <c r="AR430" s="718"/>
      <c r="AS430" s="718"/>
      <c r="AT430" s="718"/>
      <c r="AU430" s="718"/>
      <c r="AV430" s="718"/>
      <c r="AW430" s="718"/>
      <c r="AX430" s="718"/>
      <c r="AY430" s="718"/>
      <c r="AZ430" s="718"/>
      <c r="BA430" s="718"/>
      <c r="BB430" s="718"/>
      <c r="BC430" s="718"/>
      <c r="BD430" s="718"/>
      <c r="BE430" s="718"/>
      <c r="BF430" s="718"/>
      <c r="BG430" s="718"/>
      <c r="BH430" s="718"/>
      <c r="BI430" s="718"/>
      <c r="BJ430" s="718"/>
      <c r="BK430" s="718"/>
      <c r="BL430" s="718"/>
      <c r="BM430" s="718"/>
      <c r="BN430" s="718"/>
      <c r="BO430" s="718"/>
      <c r="BP430" s="718"/>
      <c r="BQ430" s="718"/>
      <c r="BR430" s="718"/>
      <c r="BS430" s="718"/>
      <c r="BT430" s="718"/>
      <c r="BU430" s="718"/>
      <c r="BV430" s="718"/>
      <c r="BW430" s="718"/>
      <c r="BX430" s="718"/>
      <c r="BY430" s="718"/>
      <c r="BZ430" s="718"/>
      <c r="CA430" s="718"/>
    </row>
    <row r="431" spans="1:79" outlineLevel="1" x14ac:dyDescent="0.25">
      <c r="A431" s="659"/>
      <c r="B431" s="570"/>
      <c r="C431" s="570"/>
      <c r="D431" s="570"/>
      <c r="E431" s="570" t="s">
        <v>49</v>
      </c>
      <c r="F431" s="659" t="s">
        <v>617</v>
      </c>
      <c r="G431" s="664">
        <f>SUM(G414:G430)</f>
        <v>0</v>
      </c>
      <c r="H431" s="664">
        <f t="shared" ref="H431:BO431" si="139">SUM(H414:H430)</f>
        <v>0</v>
      </c>
      <c r="I431" s="664">
        <f t="shared" si="139"/>
        <v>0</v>
      </c>
      <c r="J431" s="664">
        <f t="shared" si="139"/>
        <v>0</v>
      </c>
      <c r="K431" s="664">
        <f t="shared" si="139"/>
        <v>0</v>
      </c>
      <c r="L431" s="664">
        <f t="shared" si="139"/>
        <v>0</v>
      </c>
      <c r="M431" s="664">
        <f t="shared" si="139"/>
        <v>0</v>
      </c>
      <c r="N431" s="664">
        <f t="shared" si="139"/>
        <v>0</v>
      </c>
      <c r="O431" s="664">
        <f t="shared" si="139"/>
        <v>0</v>
      </c>
      <c r="P431" s="664">
        <f t="shared" si="139"/>
        <v>0</v>
      </c>
      <c r="Q431" s="664">
        <f t="shared" si="139"/>
        <v>0</v>
      </c>
      <c r="R431" s="664">
        <f>SUM(R414:R430)</f>
        <v>0</v>
      </c>
      <c r="S431" s="678">
        <f t="shared" ref="S431:AA431" si="140">ROUND(SUM(S413:S430),5)</f>
        <v>0</v>
      </c>
      <c r="T431" s="678">
        <f t="shared" si="140"/>
        <v>0</v>
      </c>
      <c r="U431" s="678">
        <f t="shared" si="140"/>
        <v>0</v>
      </c>
      <c r="V431" s="678">
        <f t="shared" si="140"/>
        <v>0</v>
      </c>
      <c r="W431" s="678">
        <f t="shared" si="140"/>
        <v>0</v>
      </c>
      <c r="X431" s="678">
        <f t="shared" si="140"/>
        <v>0</v>
      </c>
      <c r="Y431" s="678">
        <f t="shared" si="140"/>
        <v>0</v>
      </c>
      <c r="Z431" s="678">
        <f t="shared" si="140"/>
        <v>0</v>
      </c>
      <c r="AA431" s="678">
        <f t="shared" si="140"/>
        <v>0</v>
      </c>
      <c r="AB431" s="678">
        <f>ROUND(SUM(AB413:AB430),5)</f>
        <v>0</v>
      </c>
      <c r="AC431" s="678">
        <f>ROUND(SUM(AC413:AC430),5)</f>
        <v>0</v>
      </c>
      <c r="AD431" s="678">
        <f>ROUND(SUM(AD413:AD430),5)</f>
        <v>0</v>
      </c>
      <c r="AE431" s="678">
        <f>ROUND(SUM(AE413:AE430),5)</f>
        <v>0</v>
      </c>
      <c r="AF431" s="678">
        <f>ROUND(SUM(AF413:AF419)+SUM(AF420:AF422)+SUM(AF423:AF430),5)</f>
        <v>0</v>
      </c>
      <c r="AG431" s="678">
        <f>ROUND(SUM(AG413:AG419)+SUM(AG420:AG422)+SUM(AG423:AG430),5)</f>
        <v>0</v>
      </c>
      <c r="AH431" s="664">
        <f t="shared" si="139"/>
        <v>0</v>
      </c>
      <c r="AI431" s="664">
        <f t="shared" si="139"/>
        <v>0</v>
      </c>
      <c r="AJ431" s="664">
        <f t="shared" si="139"/>
        <v>0</v>
      </c>
      <c r="AK431" s="664">
        <f t="shared" si="139"/>
        <v>0</v>
      </c>
      <c r="AL431" s="664">
        <f t="shared" si="139"/>
        <v>0</v>
      </c>
      <c r="AM431" s="664">
        <f t="shared" si="139"/>
        <v>0</v>
      </c>
      <c r="AN431" s="664">
        <f t="shared" si="139"/>
        <v>0</v>
      </c>
      <c r="AO431" s="664">
        <f t="shared" si="139"/>
        <v>0</v>
      </c>
      <c r="AP431" s="664">
        <f t="shared" si="139"/>
        <v>0</v>
      </c>
      <c r="AQ431" s="664">
        <f t="shared" si="139"/>
        <v>0</v>
      </c>
      <c r="AR431" s="664">
        <f t="shared" si="139"/>
        <v>0</v>
      </c>
      <c r="AS431" s="664">
        <f t="shared" si="139"/>
        <v>0</v>
      </c>
      <c r="AT431" s="664">
        <f t="shared" si="139"/>
        <v>0</v>
      </c>
      <c r="AU431" s="664">
        <f t="shared" si="139"/>
        <v>0</v>
      </c>
      <c r="AV431" s="664">
        <f t="shared" si="139"/>
        <v>0</v>
      </c>
      <c r="AW431" s="664">
        <f t="shared" si="139"/>
        <v>0</v>
      </c>
      <c r="AX431" s="664">
        <f t="shared" si="139"/>
        <v>0</v>
      </c>
      <c r="AY431" s="664">
        <f t="shared" si="139"/>
        <v>0</v>
      </c>
      <c r="AZ431" s="664">
        <f t="shared" si="139"/>
        <v>0</v>
      </c>
      <c r="BA431" s="664">
        <f t="shared" si="139"/>
        <v>0</v>
      </c>
      <c r="BB431" s="664">
        <f t="shared" si="139"/>
        <v>0</v>
      </c>
      <c r="BC431" s="664">
        <f t="shared" si="139"/>
        <v>0</v>
      </c>
      <c r="BD431" s="664">
        <f t="shared" si="139"/>
        <v>0</v>
      </c>
      <c r="BE431" s="664">
        <f t="shared" si="139"/>
        <v>0</v>
      </c>
      <c r="BF431" s="664">
        <f t="shared" si="139"/>
        <v>0</v>
      </c>
      <c r="BG431" s="664">
        <f t="shared" si="139"/>
        <v>0</v>
      </c>
      <c r="BH431" s="664">
        <f t="shared" si="139"/>
        <v>0</v>
      </c>
      <c r="BI431" s="664">
        <f t="shared" si="139"/>
        <v>0</v>
      </c>
      <c r="BJ431" s="664">
        <f t="shared" si="139"/>
        <v>0</v>
      </c>
      <c r="BK431" s="664">
        <f t="shared" si="139"/>
        <v>0</v>
      </c>
      <c r="BL431" s="664">
        <f t="shared" si="139"/>
        <v>0</v>
      </c>
      <c r="BM431" s="664">
        <f t="shared" si="139"/>
        <v>0</v>
      </c>
      <c r="BN431" s="664">
        <f t="shared" si="139"/>
        <v>0</v>
      </c>
      <c r="BO431" s="664">
        <f t="shared" si="139"/>
        <v>0</v>
      </c>
      <c r="BP431" s="664">
        <f t="shared" ref="BP431:CA431" si="141">SUM(BP414:BP430)</f>
        <v>0</v>
      </c>
      <c r="BQ431" s="664">
        <f t="shared" si="141"/>
        <v>0</v>
      </c>
      <c r="BR431" s="664">
        <f t="shared" si="141"/>
        <v>0</v>
      </c>
      <c r="BS431" s="664">
        <f t="shared" si="141"/>
        <v>0</v>
      </c>
      <c r="BT431" s="664">
        <f t="shared" si="141"/>
        <v>0</v>
      </c>
      <c r="BU431" s="664">
        <f t="shared" si="141"/>
        <v>0</v>
      </c>
      <c r="BV431" s="664">
        <f t="shared" si="141"/>
        <v>0</v>
      </c>
      <c r="BW431" s="664">
        <f t="shared" si="141"/>
        <v>0</v>
      </c>
      <c r="BX431" s="664">
        <f t="shared" si="141"/>
        <v>0</v>
      </c>
      <c r="BY431" s="664">
        <f t="shared" si="141"/>
        <v>0</v>
      </c>
      <c r="BZ431" s="664">
        <f t="shared" si="141"/>
        <v>0</v>
      </c>
      <c r="CA431" s="664">
        <f t="shared" si="141"/>
        <v>0</v>
      </c>
    </row>
    <row r="432" spans="1:79" s="693" customFormat="1" outlineLevel="1" x14ac:dyDescent="0.25">
      <c r="A432" s="691"/>
      <c r="E432" s="570" t="s">
        <v>1338</v>
      </c>
      <c r="F432" s="691" t="s">
        <v>594</v>
      </c>
      <c r="G432" s="733"/>
      <c r="H432" s="733"/>
      <c r="I432" s="733"/>
      <c r="J432" s="733"/>
      <c r="K432" s="733"/>
      <c r="L432" s="733"/>
      <c r="M432" s="733"/>
      <c r="N432" s="733"/>
      <c r="O432" s="733"/>
      <c r="P432" s="734"/>
      <c r="Q432" s="734"/>
      <c r="R432" s="734"/>
      <c r="S432" s="708"/>
      <c r="T432" s="708"/>
      <c r="U432" s="708"/>
      <c r="V432" s="708"/>
      <c r="W432" s="708"/>
      <c r="X432" s="708"/>
      <c r="Y432" s="708"/>
      <c r="Z432" s="708"/>
      <c r="AA432" s="708"/>
      <c r="AB432" s="708"/>
      <c r="AC432" s="708"/>
      <c r="AD432" s="708"/>
      <c r="AE432" s="708"/>
      <c r="AF432" s="708"/>
      <c r="AG432" s="708"/>
      <c r="AH432" s="736"/>
      <c r="AI432" s="736"/>
      <c r="AJ432" s="736"/>
      <c r="AK432" s="736"/>
      <c r="AL432" s="736"/>
      <c r="AM432" s="736"/>
      <c r="AN432" s="736"/>
      <c r="AO432" s="736"/>
      <c r="AP432" s="736"/>
      <c r="AQ432" s="736"/>
      <c r="AR432" s="736"/>
      <c r="AS432" s="736"/>
      <c r="AT432" s="736"/>
      <c r="AU432" s="736"/>
      <c r="AV432" s="736"/>
      <c r="AW432" s="736"/>
      <c r="AX432" s="736"/>
      <c r="AY432" s="736"/>
      <c r="AZ432" s="736"/>
      <c r="BA432" s="736"/>
      <c r="BB432" s="736"/>
      <c r="BC432" s="736"/>
      <c r="BD432" s="736"/>
      <c r="BE432" s="736"/>
      <c r="BF432" s="736"/>
      <c r="BG432" s="736"/>
      <c r="BH432" s="736"/>
      <c r="BI432" s="736"/>
      <c r="BJ432" s="736"/>
      <c r="BK432" s="736"/>
      <c r="BL432" s="736"/>
      <c r="BM432" s="736"/>
      <c r="BN432" s="736"/>
      <c r="BO432" s="736"/>
      <c r="BP432" s="736"/>
      <c r="BQ432" s="736"/>
      <c r="BR432" s="736"/>
      <c r="BS432" s="736"/>
      <c r="BT432" s="736"/>
      <c r="BU432" s="736"/>
      <c r="BV432" s="736"/>
      <c r="BW432" s="736"/>
      <c r="BX432" s="736"/>
      <c r="BY432" s="736"/>
      <c r="BZ432" s="736"/>
      <c r="CA432" s="736"/>
    </row>
    <row r="433" spans="1:79" outlineLevel="1" x14ac:dyDescent="0.25">
      <c r="A433" s="656"/>
      <c r="B433" s="570"/>
      <c r="C433" s="570"/>
      <c r="D433" s="570"/>
      <c r="E433" s="570" t="s">
        <v>1338</v>
      </c>
      <c r="F433" s="656" t="s">
        <v>888</v>
      </c>
      <c r="G433" s="719"/>
      <c r="H433" s="719"/>
      <c r="I433" s="719"/>
      <c r="J433" s="719"/>
      <c r="K433" s="719"/>
      <c r="L433" s="719"/>
      <c r="M433" s="719"/>
      <c r="N433" s="719"/>
      <c r="O433" s="719"/>
      <c r="P433" s="716"/>
      <c r="Q433" s="716"/>
      <c r="R433" s="716"/>
      <c r="S433" s="684">
        <v>0</v>
      </c>
      <c r="T433" s="684">
        <v>0</v>
      </c>
      <c r="U433" s="684">
        <v>0</v>
      </c>
      <c r="V433" s="684">
        <v>0</v>
      </c>
      <c r="W433" s="684">
        <v>0</v>
      </c>
      <c r="X433" s="684">
        <v>0</v>
      </c>
      <c r="Y433" s="684">
        <v>0</v>
      </c>
      <c r="Z433" s="684">
        <v>0</v>
      </c>
      <c r="AA433" s="684">
        <v>0</v>
      </c>
      <c r="AB433" s="684">
        <v>0</v>
      </c>
      <c r="AC433" s="684">
        <v>0</v>
      </c>
      <c r="AD433" s="684">
        <v>0</v>
      </c>
      <c r="AE433" s="684">
        <v>0</v>
      </c>
      <c r="AF433" s="684">
        <v>0</v>
      </c>
      <c r="AG433" s="684">
        <v>0</v>
      </c>
      <c r="AH433" s="718"/>
      <c r="AI433" s="718"/>
      <c r="AJ433" s="718"/>
      <c r="AK433" s="718"/>
      <c r="AL433" s="718"/>
      <c r="AM433" s="718"/>
      <c r="AN433" s="718"/>
      <c r="AO433" s="718"/>
      <c r="AP433" s="718"/>
      <c r="AQ433" s="718"/>
      <c r="AR433" s="718"/>
      <c r="AS433" s="718"/>
      <c r="AT433" s="718"/>
      <c r="AU433" s="718"/>
      <c r="AV433" s="718"/>
      <c r="AW433" s="718"/>
      <c r="AX433" s="718"/>
      <c r="AY433" s="718"/>
      <c r="AZ433" s="718"/>
      <c r="BA433" s="718"/>
      <c r="BB433" s="718"/>
      <c r="BC433" s="718"/>
      <c r="BD433" s="718"/>
      <c r="BE433" s="718"/>
      <c r="BF433" s="718"/>
      <c r="BG433" s="718"/>
      <c r="BH433" s="718"/>
      <c r="BI433" s="718"/>
      <c r="BJ433" s="718"/>
      <c r="BK433" s="718"/>
      <c r="BL433" s="718"/>
      <c r="BM433" s="718"/>
      <c r="BN433" s="718"/>
      <c r="BO433" s="718"/>
      <c r="BP433" s="718"/>
      <c r="BQ433" s="718"/>
      <c r="BR433" s="718"/>
      <c r="BS433" s="718"/>
      <c r="BT433" s="718"/>
      <c r="BU433" s="718"/>
      <c r="BV433" s="718"/>
      <c r="BW433" s="718"/>
      <c r="BX433" s="718"/>
      <c r="BY433" s="718"/>
      <c r="BZ433" s="718"/>
      <c r="CA433" s="718"/>
    </row>
    <row r="434" spans="1:79" outlineLevel="1" x14ac:dyDescent="0.25">
      <c r="A434" s="656"/>
      <c r="E434" s="570" t="s">
        <v>1338</v>
      </c>
      <c r="F434" s="656" t="s">
        <v>618</v>
      </c>
      <c r="G434" s="719">
        <v>304.4426266305021</v>
      </c>
      <c r="H434" s="719">
        <v>160.57976678061894</v>
      </c>
      <c r="I434" s="719">
        <v>221.92029371425696</v>
      </c>
      <c r="J434" s="719">
        <v>351.62574187244627</v>
      </c>
      <c r="K434" s="719">
        <v>445.84185759779763</v>
      </c>
      <c r="L434" s="719">
        <v>690.34191265521838</v>
      </c>
      <c r="M434" s="719">
        <v>755.93976806544742</v>
      </c>
      <c r="N434" s="719">
        <v>584.48937922277253</v>
      </c>
      <c r="O434" s="719">
        <v>984.20645112808234</v>
      </c>
      <c r="P434" s="716">
        <v>883.10419890229639</v>
      </c>
      <c r="Q434" s="716">
        <v>271.04885618884373</v>
      </c>
      <c r="R434" s="716">
        <v>64.764339013570037</v>
      </c>
      <c r="S434" s="667">
        <v>839.45</v>
      </c>
      <c r="T434" s="667">
        <v>1700.66</v>
      </c>
      <c r="U434" s="667">
        <v>97.11</v>
      </c>
      <c r="V434" s="667">
        <v>1527.89</v>
      </c>
      <c r="W434" s="667">
        <v>1410.19</v>
      </c>
      <c r="X434" s="667">
        <v>155.78</v>
      </c>
      <c r="Y434" s="667">
        <v>635.14</v>
      </c>
      <c r="Z434" s="667">
        <v>0</v>
      </c>
      <c r="AA434" s="667">
        <v>1108.6300000000001</v>
      </c>
      <c r="AB434" s="667">
        <v>4068.05</v>
      </c>
      <c r="AC434" s="667">
        <v>395.27</v>
      </c>
      <c r="AD434" s="667">
        <v>17.760000000000002</v>
      </c>
      <c r="AE434" s="667">
        <v>867.01</v>
      </c>
      <c r="AF434" s="667">
        <v>0</v>
      </c>
      <c r="AG434" s="667">
        <v>6943.86</v>
      </c>
      <c r="AH434" s="718"/>
      <c r="AI434" s="718"/>
      <c r="AJ434" s="718"/>
      <c r="AK434" s="718"/>
      <c r="AL434" s="718"/>
      <c r="AM434" s="718"/>
      <c r="AN434" s="718"/>
      <c r="AO434" s="718"/>
      <c r="AP434" s="718"/>
      <c r="AQ434" s="718"/>
      <c r="AR434" s="718"/>
      <c r="AS434" s="718"/>
      <c r="AT434" s="718"/>
      <c r="AU434" s="718"/>
      <c r="AV434" s="718"/>
      <c r="AW434" s="718"/>
      <c r="AX434" s="718"/>
      <c r="AY434" s="718"/>
      <c r="AZ434" s="718"/>
      <c r="BA434" s="718"/>
      <c r="BB434" s="718"/>
      <c r="BC434" s="718"/>
      <c r="BD434" s="718"/>
      <c r="BE434" s="718"/>
      <c r="BF434" s="718"/>
      <c r="BG434" s="718"/>
      <c r="BH434" s="718"/>
      <c r="BI434" s="718"/>
      <c r="BJ434" s="718"/>
      <c r="BK434" s="718"/>
      <c r="BL434" s="718"/>
      <c r="BM434" s="718"/>
      <c r="BN434" s="718"/>
      <c r="BO434" s="718"/>
      <c r="BP434" s="718"/>
      <c r="BQ434" s="718"/>
      <c r="BR434" s="718"/>
      <c r="BS434" s="718"/>
      <c r="BT434" s="718"/>
      <c r="BU434" s="718"/>
      <c r="BV434" s="718"/>
      <c r="BW434" s="718"/>
      <c r="BX434" s="718"/>
      <c r="BY434" s="718"/>
      <c r="BZ434" s="718"/>
      <c r="CA434" s="718"/>
    </row>
    <row r="435" spans="1:79" outlineLevel="1" x14ac:dyDescent="0.25">
      <c r="A435" s="657"/>
      <c r="B435" s="570"/>
      <c r="C435" s="570"/>
      <c r="D435" s="570"/>
      <c r="E435" s="570" t="s">
        <v>49</v>
      </c>
      <c r="F435" s="657" t="s">
        <v>619</v>
      </c>
      <c r="G435" s="664">
        <f>SUM(G433:G434)</f>
        <v>304.4426266305021</v>
      </c>
      <c r="H435" s="664">
        <f t="shared" ref="H435:BO435" si="142">SUM(H433:H434)</f>
        <v>160.57976678061894</v>
      </c>
      <c r="I435" s="664">
        <f t="shared" si="142"/>
        <v>221.92029371425696</v>
      </c>
      <c r="J435" s="664">
        <f t="shared" si="142"/>
        <v>351.62574187244627</v>
      </c>
      <c r="K435" s="664">
        <f t="shared" si="142"/>
        <v>445.84185759779763</v>
      </c>
      <c r="L435" s="664">
        <f t="shared" si="142"/>
        <v>690.34191265521838</v>
      </c>
      <c r="M435" s="664">
        <f t="shared" si="142"/>
        <v>755.93976806544742</v>
      </c>
      <c r="N435" s="664">
        <f t="shared" si="142"/>
        <v>584.48937922277253</v>
      </c>
      <c r="O435" s="664">
        <f t="shared" si="142"/>
        <v>984.20645112808234</v>
      </c>
      <c r="P435" s="664">
        <f t="shared" si="142"/>
        <v>883.10419890229639</v>
      </c>
      <c r="Q435" s="664">
        <f t="shared" si="142"/>
        <v>271.04885618884373</v>
      </c>
      <c r="R435" s="664">
        <f t="shared" si="142"/>
        <v>64.764339013570037</v>
      </c>
      <c r="S435" s="678">
        <f t="shared" ref="S435:AA435" si="143">ROUND(SUM(S432:S434),5)</f>
        <v>839.45</v>
      </c>
      <c r="T435" s="678">
        <f t="shared" si="143"/>
        <v>1700.66</v>
      </c>
      <c r="U435" s="678">
        <f t="shared" si="143"/>
        <v>97.11</v>
      </c>
      <c r="V435" s="678">
        <f t="shared" si="143"/>
        <v>1527.89</v>
      </c>
      <c r="W435" s="678">
        <f t="shared" si="143"/>
        <v>1410.19</v>
      </c>
      <c r="X435" s="678">
        <f t="shared" si="143"/>
        <v>155.78</v>
      </c>
      <c r="Y435" s="678">
        <f t="shared" si="143"/>
        <v>635.14</v>
      </c>
      <c r="Z435" s="678">
        <f t="shared" si="143"/>
        <v>0</v>
      </c>
      <c r="AA435" s="678">
        <f t="shared" si="143"/>
        <v>1108.6300000000001</v>
      </c>
      <c r="AB435" s="678">
        <f t="shared" ref="AB435:AG435" si="144">ROUND(SUM(AB432:AB434),5)</f>
        <v>4068.05</v>
      </c>
      <c r="AC435" s="678">
        <f t="shared" si="144"/>
        <v>395.27</v>
      </c>
      <c r="AD435" s="678">
        <f t="shared" si="144"/>
        <v>17.760000000000002</v>
      </c>
      <c r="AE435" s="678">
        <f t="shared" si="144"/>
        <v>867.01</v>
      </c>
      <c r="AF435" s="678">
        <f t="shared" si="144"/>
        <v>0</v>
      </c>
      <c r="AG435" s="678">
        <f t="shared" si="144"/>
        <v>6943.86</v>
      </c>
      <c r="AH435" s="664">
        <f t="shared" si="142"/>
        <v>0</v>
      </c>
      <c r="AI435" s="664">
        <f t="shared" si="142"/>
        <v>0</v>
      </c>
      <c r="AJ435" s="664">
        <f t="shared" si="142"/>
        <v>0</v>
      </c>
      <c r="AK435" s="664">
        <f t="shared" si="142"/>
        <v>0</v>
      </c>
      <c r="AL435" s="664">
        <f t="shared" si="142"/>
        <v>0</v>
      </c>
      <c r="AM435" s="664">
        <f t="shared" si="142"/>
        <v>0</v>
      </c>
      <c r="AN435" s="664">
        <f t="shared" si="142"/>
        <v>0</v>
      </c>
      <c r="AO435" s="664">
        <f t="shared" si="142"/>
        <v>0</v>
      </c>
      <c r="AP435" s="664">
        <f t="shared" si="142"/>
        <v>0</v>
      </c>
      <c r="AQ435" s="664">
        <f t="shared" si="142"/>
        <v>0</v>
      </c>
      <c r="AR435" s="664">
        <f t="shared" si="142"/>
        <v>0</v>
      </c>
      <c r="AS435" s="664">
        <f t="shared" si="142"/>
        <v>0</v>
      </c>
      <c r="AT435" s="664">
        <f t="shared" si="142"/>
        <v>0</v>
      </c>
      <c r="AU435" s="664">
        <f t="shared" si="142"/>
        <v>0</v>
      </c>
      <c r="AV435" s="664">
        <f t="shared" si="142"/>
        <v>0</v>
      </c>
      <c r="AW435" s="664">
        <f t="shared" si="142"/>
        <v>0</v>
      </c>
      <c r="AX435" s="664">
        <f t="shared" si="142"/>
        <v>0</v>
      </c>
      <c r="AY435" s="664">
        <f t="shared" si="142"/>
        <v>0</v>
      </c>
      <c r="AZ435" s="664">
        <f t="shared" si="142"/>
        <v>0</v>
      </c>
      <c r="BA435" s="664">
        <f t="shared" si="142"/>
        <v>0</v>
      </c>
      <c r="BB435" s="664">
        <f t="shared" si="142"/>
        <v>0</v>
      </c>
      <c r="BC435" s="664">
        <f t="shared" si="142"/>
        <v>0</v>
      </c>
      <c r="BD435" s="664">
        <f t="shared" si="142"/>
        <v>0</v>
      </c>
      <c r="BE435" s="664">
        <f t="shared" si="142"/>
        <v>0</v>
      </c>
      <c r="BF435" s="664">
        <f t="shared" si="142"/>
        <v>0</v>
      </c>
      <c r="BG435" s="664">
        <f t="shared" si="142"/>
        <v>0</v>
      </c>
      <c r="BH435" s="664">
        <f t="shared" si="142"/>
        <v>0</v>
      </c>
      <c r="BI435" s="664">
        <f t="shared" si="142"/>
        <v>0</v>
      </c>
      <c r="BJ435" s="664">
        <f t="shared" si="142"/>
        <v>0</v>
      </c>
      <c r="BK435" s="664">
        <f t="shared" si="142"/>
        <v>0</v>
      </c>
      <c r="BL435" s="664">
        <f t="shared" si="142"/>
        <v>0</v>
      </c>
      <c r="BM435" s="664">
        <f t="shared" si="142"/>
        <v>0</v>
      </c>
      <c r="BN435" s="664">
        <f t="shared" si="142"/>
        <v>0</v>
      </c>
      <c r="BO435" s="664">
        <f t="shared" si="142"/>
        <v>0</v>
      </c>
      <c r="BP435" s="664">
        <f t="shared" ref="BP435:CA435" si="145">SUM(BP433:BP434)</f>
        <v>0</v>
      </c>
      <c r="BQ435" s="664">
        <f t="shared" si="145"/>
        <v>0</v>
      </c>
      <c r="BR435" s="664">
        <f t="shared" si="145"/>
        <v>0</v>
      </c>
      <c r="BS435" s="664">
        <f t="shared" si="145"/>
        <v>0</v>
      </c>
      <c r="BT435" s="664">
        <f t="shared" si="145"/>
        <v>0</v>
      </c>
      <c r="BU435" s="664">
        <f t="shared" si="145"/>
        <v>0</v>
      </c>
      <c r="BV435" s="664">
        <f t="shared" si="145"/>
        <v>0</v>
      </c>
      <c r="BW435" s="664">
        <f t="shared" si="145"/>
        <v>0</v>
      </c>
      <c r="BX435" s="664">
        <f t="shared" si="145"/>
        <v>0</v>
      </c>
      <c r="BY435" s="664">
        <f t="shared" si="145"/>
        <v>0</v>
      </c>
      <c r="BZ435" s="664">
        <f t="shared" si="145"/>
        <v>0</v>
      </c>
      <c r="CA435" s="664">
        <f t="shared" si="145"/>
        <v>0</v>
      </c>
    </row>
    <row r="436" spans="1:79" outlineLevel="1" x14ac:dyDescent="0.25">
      <c r="A436" s="658"/>
      <c r="E436" s="570" t="s">
        <v>945</v>
      </c>
      <c r="F436" s="658" t="s">
        <v>595</v>
      </c>
      <c r="G436" s="719">
        <v>0</v>
      </c>
      <c r="H436" s="719"/>
      <c r="I436" s="719"/>
      <c r="J436" s="719"/>
      <c r="K436" s="719">
        <v>15.467410221903075</v>
      </c>
      <c r="L436" s="719">
        <v>104.19483633170482</v>
      </c>
      <c r="M436" s="719">
        <v>341.6336099370659</v>
      </c>
      <c r="N436" s="719">
        <v>1.4339751056533674</v>
      </c>
      <c r="O436" s="719"/>
      <c r="P436" s="716">
        <v>883.61754252077901</v>
      </c>
      <c r="Q436" s="716">
        <v>90.919814580969756</v>
      </c>
      <c r="R436" s="716">
        <v>502.04969068012127</v>
      </c>
      <c r="S436" s="667">
        <v>200</v>
      </c>
      <c r="T436" s="667">
        <v>0</v>
      </c>
      <c r="U436" s="667">
        <v>0</v>
      </c>
      <c r="V436" s="667">
        <v>85</v>
      </c>
      <c r="W436" s="667">
        <v>0</v>
      </c>
      <c r="X436" s="667">
        <v>0</v>
      </c>
      <c r="Y436" s="667">
        <v>0</v>
      </c>
      <c r="Z436" s="667">
        <v>0</v>
      </c>
      <c r="AA436" s="667">
        <v>0</v>
      </c>
      <c r="AB436" s="667">
        <v>0</v>
      </c>
      <c r="AC436" s="667">
        <v>0</v>
      </c>
      <c r="AD436" s="667">
        <v>0</v>
      </c>
      <c r="AE436" s="667">
        <v>0</v>
      </c>
      <c r="AF436" s="667">
        <v>0</v>
      </c>
      <c r="AG436" s="667">
        <v>0</v>
      </c>
      <c r="AH436" s="718"/>
      <c r="AI436" s="718"/>
      <c r="AJ436" s="718"/>
      <c r="AK436" s="718"/>
      <c r="AL436" s="718"/>
      <c r="AM436" s="718"/>
      <c r="AN436" s="718"/>
      <c r="AO436" s="718"/>
      <c r="AP436" s="718"/>
      <c r="AQ436" s="718"/>
      <c r="AR436" s="718"/>
      <c r="AS436" s="718"/>
      <c r="AT436" s="718"/>
      <c r="AU436" s="718"/>
      <c r="AV436" s="718"/>
      <c r="AW436" s="718"/>
      <c r="AX436" s="718"/>
      <c r="AY436" s="718"/>
      <c r="AZ436" s="718"/>
      <c r="BA436" s="718"/>
      <c r="BB436" s="718"/>
      <c r="BC436" s="718"/>
      <c r="BD436" s="718"/>
      <c r="BE436" s="718"/>
      <c r="BF436" s="718"/>
      <c r="BG436" s="718"/>
      <c r="BH436" s="718"/>
      <c r="BI436" s="718"/>
      <c r="BJ436" s="718"/>
      <c r="BK436" s="718"/>
      <c r="BL436" s="718"/>
      <c r="BM436" s="718"/>
      <c r="BN436" s="718"/>
      <c r="BO436" s="718"/>
      <c r="BP436" s="718"/>
      <c r="BQ436" s="718"/>
      <c r="BR436" s="718"/>
      <c r="BS436" s="718"/>
      <c r="BT436" s="718"/>
      <c r="BU436" s="718"/>
      <c r="BV436" s="718"/>
      <c r="BW436" s="718"/>
      <c r="BX436" s="718"/>
      <c r="BY436" s="718"/>
      <c r="BZ436" s="718"/>
      <c r="CA436" s="718"/>
    </row>
    <row r="437" spans="1:79" outlineLevel="1" x14ac:dyDescent="0.25">
      <c r="A437" s="658"/>
      <c r="E437" s="570" t="s">
        <v>941</v>
      </c>
      <c r="F437" s="658" t="s">
        <v>596</v>
      </c>
      <c r="G437" s="719">
        <v>8.5249564038485364</v>
      </c>
      <c r="H437" s="719">
        <v>4.5473355807858669</v>
      </c>
      <c r="I437" s="719"/>
      <c r="J437" s="719">
        <v>8.1966152943318669</v>
      </c>
      <c r="K437" s="719">
        <v>72.416772421020156</v>
      </c>
      <c r="L437" s="719">
        <v>2.7908917915224842</v>
      </c>
      <c r="M437" s="719"/>
      <c r="N437" s="719">
        <v>6.5148266907367001</v>
      </c>
      <c r="O437" s="719">
        <v>1.9467336771621795</v>
      </c>
      <c r="P437" s="716">
        <v>30.407329659320947</v>
      </c>
      <c r="Q437" s="716">
        <v>124.23246415520586</v>
      </c>
      <c r="R437" s="716">
        <v>53.037673067672721</v>
      </c>
      <c r="S437" s="667">
        <v>2.19</v>
      </c>
      <c r="T437" s="667">
        <v>0</v>
      </c>
      <c r="U437" s="667">
        <v>0</v>
      </c>
      <c r="V437" s="667">
        <v>127.04</v>
      </c>
      <c r="W437" s="667">
        <v>0</v>
      </c>
      <c r="X437" s="667">
        <v>0</v>
      </c>
      <c r="Y437" s="667">
        <v>0</v>
      </c>
      <c r="Z437" s="667">
        <v>18.39</v>
      </c>
      <c r="AA437" s="667">
        <v>0</v>
      </c>
      <c r="AB437" s="667">
        <v>0</v>
      </c>
      <c r="AC437" s="667">
        <v>0</v>
      </c>
      <c r="AD437" s="667">
        <v>0</v>
      </c>
      <c r="AE437" s="667">
        <v>0</v>
      </c>
      <c r="AF437" s="667">
        <v>0</v>
      </c>
      <c r="AG437" s="667">
        <v>0</v>
      </c>
      <c r="AH437" s="718"/>
      <c r="AI437" s="718"/>
      <c r="AJ437" s="718"/>
      <c r="AK437" s="718"/>
      <c r="AL437" s="718"/>
      <c r="AM437" s="718"/>
      <c r="AN437" s="718"/>
      <c r="AO437" s="718"/>
      <c r="AP437" s="718"/>
      <c r="AQ437" s="718"/>
      <c r="AR437" s="718"/>
      <c r="AS437" s="718"/>
      <c r="AT437" s="718"/>
      <c r="AU437" s="718"/>
      <c r="AV437" s="718"/>
      <c r="AW437" s="718"/>
      <c r="AX437" s="718"/>
      <c r="AY437" s="718"/>
      <c r="AZ437" s="718"/>
      <c r="BA437" s="718"/>
      <c r="BB437" s="718"/>
      <c r="BC437" s="718"/>
      <c r="BD437" s="718"/>
      <c r="BE437" s="718"/>
      <c r="BF437" s="718"/>
      <c r="BG437" s="718"/>
      <c r="BH437" s="718"/>
      <c r="BI437" s="718"/>
      <c r="BJ437" s="718"/>
      <c r="BK437" s="718"/>
      <c r="BL437" s="718"/>
      <c r="BM437" s="718"/>
      <c r="BN437" s="718"/>
      <c r="BO437" s="718"/>
      <c r="BP437" s="718"/>
      <c r="BQ437" s="718"/>
      <c r="BR437" s="718"/>
      <c r="BS437" s="718"/>
      <c r="BT437" s="718"/>
      <c r="BU437" s="718"/>
      <c r="BV437" s="718"/>
      <c r="BW437" s="718"/>
      <c r="BX437" s="718"/>
      <c r="BY437" s="718"/>
      <c r="BZ437" s="718"/>
      <c r="CA437" s="718"/>
    </row>
    <row r="438" spans="1:79" outlineLevel="1" x14ac:dyDescent="0.25">
      <c r="A438" s="658"/>
      <c r="E438" s="570" t="s">
        <v>943</v>
      </c>
      <c r="F438" s="658" t="s">
        <v>597</v>
      </c>
      <c r="G438" s="719">
        <v>0</v>
      </c>
      <c r="H438" s="719"/>
      <c r="I438" s="719"/>
      <c r="J438" s="719">
        <v>195.66746752636712</v>
      </c>
      <c r="K438" s="719">
        <v>15.444243856118895</v>
      </c>
      <c r="L438" s="719"/>
      <c r="M438" s="719"/>
      <c r="N438" s="719"/>
      <c r="O438" s="719">
        <v>29.065028416303786</v>
      </c>
      <c r="P438" s="716">
        <v>0.56716190106561881</v>
      </c>
      <c r="Q438" s="716">
        <v>44.266668167404973</v>
      </c>
      <c r="R438" s="716"/>
      <c r="S438" s="667">
        <v>0</v>
      </c>
      <c r="T438" s="667">
        <v>0</v>
      </c>
      <c r="U438" s="667">
        <v>0</v>
      </c>
      <c r="V438" s="667">
        <v>71.25</v>
      </c>
      <c r="W438" s="667">
        <v>0</v>
      </c>
      <c r="X438" s="667">
        <v>0</v>
      </c>
      <c r="Y438" s="667">
        <v>0</v>
      </c>
      <c r="Z438" s="667">
        <v>0</v>
      </c>
      <c r="AA438" s="667">
        <v>0</v>
      </c>
      <c r="AB438" s="667">
        <v>0</v>
      </c>
      <c r="AC438" s="667">
        <v>0</v>
      </c>
      <c r="AD438" s="667">
        <v>0</v>
      </c>
      <c r="AE438" s="667">
        <v>0</v>
      </c>
      <c r="AF438" s="667">
        <v>0</v>
      </c>
      <c r="AG438" s="667">
        <v>0</v>
      </c>
      <c r="AH438" s="718"/>
      <c r="AI438" s="718"/>
      <c r="AJ438" s="718"/>
      <c r="AK438" s="718"/>
      <c r="AL438" s="718"/>
      <c r="AM438" s="718"/>
      <c r="AN438" s="718"/>
      <c r="AO438" s="718"/>
      <c r="AP438" s="718"/>
      <c r="AQ438" s="718"/>
      <c r="AR438" s="718"/>
      <c r="AS438" s="718"/>
      <c r="AT438" s="718"/>
      <c r="AU438" s="718"/>
      <c r="AV438" s="718"/>
      <c r="AW438" s="718"/>
      <c r="AX438" s="718"/>
      <c r="AY438" s="718"/>
      <c r="AZ438" s="718"/>
      <c r="BA438" s="718"/>
      <c r="BB438" s="718"/>
      <c r="BC438" s="718"/>
      <c r="BD438" s="718"/>
      <c r="BE438" s="718"/>
      <c r="BF438" s="718"/>
      <c r="BG438" s="718"/>
      <c r="BH438" s="718"/>
      <c r="BI438" s="718"/>
      <c r="BJ438" s="718"/>
      <c r="BK438" s="718"/>
      <c r="BL438" s="718"/>
      <c r="BM438" s="718"/>
      <c r="BN438" s="718"/>
      <c r="BO438" s="718"/>
      <c r="BP438" s="718"/>
      <c r="BQ438" s="718"/>
      <c r="BR438" s="718"/>
      <c r="BS438" s="718"/>
      <c r="BT438" s="718"/>
      <c r="BU438" s="718"/>
      <c r="BV438" s="718"/>
      <c r="BW438" s="718"/>
      <c r="BX438" s="718"/>
      <c r="BY438" s="718"/>
      <c r="BZ438" s="718"/>
      <c r="CA438" s="718"/>
    </row>
    <row r="439" spans="1:79" s="700" customFormat="1" outlineLevel="1" x14ac:dyDescent="0.25">
      <c r="A439" s="701"/>
      <c r="E439" s="570" t="s">
        <v>1339</v>
      </c>
      <c r="F439" s="701" t="s">
        <v>598</v>
      </c>
      <c r="G439" s="733"/>
      <c r="H439" s="733"/>
      <c r="I439" s="733"/>
      <c r="J439" s="733"/>
      <c r="K439" s="733"/>
      <c r="L439" s="733"/>
      <c r="M439" s="733"/>
      <c r="N439" s="733"/>
      <c r="O439" s="733"/>
      <c r="P439" s="734"/>
      <c r="Q439" s="734"/>
      <c r="R439" s="734"/>
      <c r="S439" s="697"/>
      <c r="T439" s="697"/>
      <c r="U439" s="697"/>
      <c r="V439" s="697"/>
      <c r="W439" s="697"/>
      <c r="X439" s="697"/>
      <c r="Y439" s="697"/>
      <c r="Z439" s="697"/>
      <c r="AA439" s="697"/>
      <c r="AB439" s="697"/>
      <c r="AC439" s="697"/>
      <c r="AD439" s="697"/>
      <c r="AE439" s="697"/>
      <c r="AF439" s="697"/>
      <c r="AG439" s="697"/>
      <c r="AH439" s="736"/>
      <c r="AI439" s="736"/>
      <c r="AJ439" s="736"/>
      <c r="AK439" s="736"/>
      <c r="AL439" s="736"/>
      <c r="AM439" s="736"/>
      <c r="AN439" s="736"/>
      <c r="AO439" s="736"/>
      <c r="AP439" s="736"/>
      <c r="AQ439" s="736"/>
      <c r="AR439" s="736"/>
      <c r="AS439" s="736"/>
      <c r="AT439" s="736"/>
      <c r="AU439" s="736"/>
      <c r="AV439" s="736"/>
      <c r="AW439" s="736"/>
      <c r="AX439" s="736"/>
      <c r="AY439" s="736"/>
      <c r="AZ439" s="736"/>
      <c r="BA439" s="736"/>
      <c r="BB439" s="736"/>
      <c r="BC439" s="736"/>
      <c r="BD439" s="736"/>
      <c r="BE439" s="736"/>
      <c r="BF439" s="736"/>
      <c r="BG439" s="736"/>
      <c r="BH439" s="736"/>
      <c r="BI439" s="736"/>
      <c r="BJ439" s="736"/>
      <c r="BK439" s="736"/>
      <c r="BL439" s="736"/>
      <c r="BM439" s="736"/>
      <c r="BN439" s="736"/>
      <c r="BO439" s="736"/>
      <c r="BP439" s="736"/>
      <c r="BQ439" s="736"/>
      <c r="BR439" s="736"/>
      <c r="BS439" s="736"/>
      <c r="BT439" s="736"/>
      <c r="BU439" s="736"/>
      <c r="BV439" s="736"/>
      <c r="BW439" s="736"/>
      <c r="BX439" s="736"/>
      <c r="BY439" s="736"/>
      <c r="BZ439" s="736"/>
      <c r="CA439" s="736"/>
    </row>
    <row r="440" spans="1:79" s="740" customFormat="1" outlineLevel="1" x14ac:dyDescent="0.25">
      <c r="A440" s="656"/>
      <c r="B440" s="503"/>
      <c r="C440" s="503"/>
      <c r="D440" s="503"/>
      <c r="E440" s="570" t="s">
        <v>1339</v>
      </c>
      <c r="F440" s="656" t="s">
        <v>649</v>
      </c>
      <c r="G440" s="719"/>
      <c r="H440" s="719"/>
      <c r="I440" s="719"/>
      <c r="J440" s="719"/>
      <c r="K440" s="719"/>
      <c r="L440" s="719"/>
      <c r="M440" s="719"/>
      <c r="N440" s="719"/>
      <c r="O440" s="719"/>
      <c r="P440" s="716"/>
      <c r="Q440" s="716"/>
      <c r="R440" s="716"/>
      <c r="S440" s="676">
        <v>0</v>
      </c>
      <c r="T440" s="676">
        <v>0</v>
      </c>
      <c r="U440" s="676">
        <v>0</v>
      </c>
      <c r="V440" s="676">
        <v>0</v>
      </c>
      <c r="W440" s="676">
        <v>0</v>
      </c>
      <c r="X440" s="676">
        <v>0</v>
      </c>
      <c r="Y440" s="676">
        <v>0</v>
      </c>
      <c r="Z440" s="676">
        <v>0</v>
      </c>
      <c r="AA440" s="676">
        <v>0</v>
      </c>
      <c r="AB440" s="676">
        <v>0</v>
      </c>
      <c r="AC440" s="676">
        <v>0</v>
      </c>
      <c r="AD440" s="676">
        <v>0</v>
      </c>
      <c r="AE440" s="676">
        <v>0</v>
      </c>
      <c r="AF440" s="676">
        <v>0</v>
      </c>
      <c r="AG440" s="676">
        <v>0</v>
      </c>
      <c r="AH440" s="718"/>
      <c r="AI440" s="718"/>
      <c r="AJ440" s="718"/>
      <c r="AK440" s="718"/>
      <c r="AL440" s="718"/>
      <c r="AM440" s="718"/>
      <c r="AN440" s="718"/>
      <c r="AO440" s="718"/>
      <c r="AP440" s="718"/>
      <c r="AQ440" s="718"/>
      <c r="AR440" s="718"/>
      <c r="AS440" s="718"/>
      <c r="AT440" s="718"/>
      <c r="AU440" s="718"/>
      <c r="AV440" s="718"/>
      <c r="AW440" s="718"/>
      <c r="AX440" s="718"/>
      <c r="AY440" s="718"/>
      <c r="AZ440" s="718"/>
      <c r="BA440" s="718"/>
      <c r="BB440" s="718"/>
      <c r="BC440" s="718"/>
      <c r="BD440" s="718"/>
      <c r="BE440" s="718"/>
      <c r="BF440" s="718"/>
      <c r="BG440" s="718"/>
      <c r="BH440" s="718"/>
      <c r="BI440" s="718"/>
      <c r="BJ440" s="718"/>
      <c r="BK440" s="718"/>
      <c r="BL440" s="718"/>
      <c r="BM440" s="718"/>
      <c r="BN440" s="718"/>
      <c r="BO440" s="718"/>
      <c r="BP440" s="718"/>
      <c r="BQ440" s="718"/>
      <c r="BR440" s="718"/>
      <c r="BS440" s="718"/>
      <c r="BT440" s="718"/>
      <c r="BU440" s="718"/>
      <c r="BV440" s="718"/>
      <c r="BW440" s="718"/>
      <c r="BX440" s="718"/>
      <c r="BY440" s="718"/>
      <c r="BZ440" s="718"/>
      <c r="CA440" s="718"/>
    </row>
    <row r="441" spans="1:79" s="740" customFormat="1" outlineLevel="1" x14ac:dyDescent="0.25">
      <c r="A441" s="656"/>
      <c r="B441" s="503"/>
      <c r="C441" s="503"/>
      <c r="D441" s="503"/>
      <c r="E441" s="570" t="s">
        <v>1339</v>
      </c>
      <c r="F441" s="656" t="s">
        <v>620</v>
      </c>
      <c r="G441" s="719"/>
      <c r="H441" s="719"/>
      <c r="I441" s="719"/>
      <c r="J441" s="719"/>
      <c r="K441" s="719"/>
      <c r="L441" s="719"/>
      <c r="M441" s="719"/>
      <c r="N441" s="719"/>
      <c r="O441" s="719"/>
      <c r="P441" s="716"/>
      <c r="Q441" s="716"/>
      <c r="R441" s="716"/>
      <c r="S441" s="667">
        <v>0</v>
      </c>
      <c r="T441" s="667">
        <v>0</v>
      </c>
      <c r="U441" s="667">
        <v>0</v>
      </c>
      <c r="V441" s="667">
        <v>0</v>
      </c>
      <c r="W441" s="667">
        <v>0</v>
      </c>
      <c r="X441" s="667">
        <v>0</v>
      </c>
      <c r="Y441" s="667">
        <v>0</v>
      </c>
      <c r="Z441" s="667">
        <v>0</v>
      </c>
      <c r="AA441" s="667">
        <v>0</v>
      </c>
      <c r="AB441" s="667">
        <v>0</v>
      </c>
      <c r="AC441" s="667">
        <v>0</v>
      </c>
      <c r="AD441" s="667">
        <v>0</v>
      </c>
      <c r="AE441" s="667">
        <v>0</v>
      </c>
      <c r="AF441" s="667">
        <v>0</v>
      </c>
      <c r="AG441" s="667">
        <v>0</v>
      </c>
      <c r="AH441" s="718"/>
      <c r="AI441" s="718"/>
      <c r="AJ441" s="718"/>
      <c r="AK441" s="718"/>
      <c r="AL441" s="718"/>
      <c r="AM441" s="718"/>
      <c r="AN441" s="718"/>
      <c r="AO441" s="718"/>
      <c r="AP441" s="718"/>
      <c r="AQ441" s="718"/>
      <c r="AR441" s="718"/>
      <c r="AS441" s="718"/>
      <c r="AT441" s="718"/>
      <c r="AU441" s="718"/>
      <c r="AV441" s="718"/>
      <c r="AW441" s="718"/>
      <c r="AX441" s="718"/>
      <c r="AY441" s="718"/>
      <c r="AZ441" s="718"/>
      <c r="BA441" s="718"/>
      <c r="BB441" s="718"/>
      <c r="BC441" s="718"/>
      <c r="BD441" s="718"/>
      <c r="BE441" s="718"/>
      <c r="BF441" s="718"/>
      <c r="BG441" s="718"/>
      <c r="BH441" s="718"/>
      <c r="BI441" s="718"/>
      <c r="BJ441" s="718"/>
      <c r="BK441" s="718"/>
      <c r="BL441" s="718"/>
      <c r="BM441" s="718"/>
      <c r="BN441" s="718"/>
      <c r="BO441" s="718"/>
      <c r="BP441" s="718"/>
      <c r="BQ441" s="718"/>
      <c r="BR441" s="718"/>
      <c r="BS441" s="718"/>
      <c r="BT441" s="718"/>
      <c r="BU441" s="718"/>
      <c r="BV441" s="718"/>
      <c r="BW441" s="718"/>
      <c r="BX441" s="718"/>
      <c r="BY441" s="718"/>
      <c r="BZ441" s="718"/>
      <c r="CA441" s="718"/>
    </row>
    <row r="442" spans="1:79" s="740" customFormat="1" outlineLevel="1" x14ac:dyDescent="0.25">
      <c r="A442" s="656"/>
      <c r="B442" s="503"/>
      <c r="C442" s="503"/>
      <c r="D442" s="503"/>
      <c r="E442" s="570" t="s">
        <v>1339</v>
      </c>
      <c r="F442" s="656" t="s">
        <v>666</v>
      </c>
      <c r="G442" s="719"/>
      <c r="H442" s="719"/>
      <c r="I442" s="719"/>
      <c r="J442" s="719"/>
      <c r="K442" s="719"/>
      <c r="L442" s="719"/>
      <c r="M442" s="719"/>
      <c r="N442" s="719"/>
      <c r="O442" s="719"/>
      <c r="P442" s="716"/>
      <c r="Q442" s="716"/>
      <c r="R442" s="716"/>
      <c r="S442" s="667">
        <v>0</v>
      </c>
      <c r="T442" s="667">
        <v>0</v>
      </c>
      <c r="U442" s="667">
        <v>0</v>
      </c>
      <c r="V442" s="667">
        <v>0</v>
      </c>
      <c r="W442" s="667">
        <v>0</v>
      </c>
      <c r="X442" s="667">
        <v>0</v>
      </c>
      <c r="Y442" s="667">
        <v>0</v>
      </c>
      <c r="Z442" s="667">
        <v>3250</v>
      </c>
      <c r="AA442" s="667">
        <v>0</v>
      </c>
      <c r="AB442" s="667">
        <v>0</v>
      </c>
      <c r="AC442" s="667">
        <v>0</v>
      </c>
      <c r="AD442" s="667">
        <v>0</v>
      </c>
      <c r="AE442" s="667">
        <v>0</v>
      </c>
      <c r="AF442" s="667">
        <v>0</v>
      </c>
      <c r="AG442" s="667">
        <v>0</v>
      </c>
      <c r="AH442" s="718"/>
      <c r="AI442" s="718"/>
      <c r="AJ442" s="718"/>
      <c r="AK442" s="718"/>
      <c r="AL442" s="718"/>
      <c r="AM442" s="718"/>
      <c r="AN442" s="718"/>
      <c r="AO442" s="718"/>
      <c r="AP442" s="718"/>
      <c r="AQ442" s="718"/>
      <c r="AR442" s="718"/>
      <c r="AS442" s="718"/>
      <c r="AT442" s="718"/>
      <c r="AU442" s="718"/>
      <c r="AV442" s="718"/>
      <c r="AW442" s="718"/>
      <c r="AX442" s="718"/>
      <c r="AY442" s="718"/>
      <c r="AZ442" s="718"/>
      <c r="BA442" s="718"/>
      <c r="BB442" s="718"/>
      <c r="BC442" s="718"/>
      <c r="BD442" s="718"/>
      <c r="BE442" s="718"/>
      <c r="BF442" s="718"/>
      <c r="BG442" s="718"/>
      <c r="BH442" s="718"/>
      <c r="BI442" s="718"/>
      <c r="BJ442" s="718"/>
      <c r="BK442" s="718"/>
      <c r="BL442" s="718"/>
      <c r="BM442" s="718"/>
      <c r="BN442" s="718"/>
      <c r="BO442" s="718"/>
      <c r="BP442" s="718"/>
      <c r="BQ442" s="718"/>
      <c r="BR442" s="718"/>
      <c r="BS442" s="718"/>
      <c r="BT442" s="718"/>
      <c r="BU442" s="718"/>
      <c r="BV442" s="718"/>
      <c r="BW442" s="718"/>
      <c r="BX442" s="718"/>
      <c r="BY442" s="718"/>
      <c r="BZ442" s="718"/>
      <c r="CA442" s="718"/>
    </row>
    <row r="443" spans="1:79" s="451" customFormat="1" outlineLevel="1" x14ac:dyDescent="0.25">
      <c r="A443" s="656"/>
      <c r="B443" s="79"/>
      <c r="C443" s="79"/>
      <c r="D443" s="79"/>
      <c r="E443" s="570" t="s">
        <v>1339</v>
      </c>
      <c r="F443" s="656" t="s">
        <v>621</v>
      </c>
      <c r="G443" s="719"/>
      <c r="H443" s="719"/>
      <c r="I443" s="719"/>
      <c r="J443" s="719"/>
      <c r="K443" s="719"/>
      <c r="L443" s="719"/>
      <c r="M443" s="719"/>
      <c r="N443" s="719"/>
      <c r="O443" s="719"/>
      <c r="P443" s="716"/>
      <c r="Q443" s="716"/>
      <c r="R443" s="716"/>
      <c r="S443" s="667">
        <v>24542.3</v>
      </c>
      <c r="T443" s="667">
        <v>33285.94</v>
      </c>
      <c r="U443" s="667">
        <v>22569.81</v>
      </c>
      <c r="V443" s="667">
        <v>44332.59</v>
      </c>
      <c r="W443" s="667">
        <v>38551.74</v>
      </c>
      <c r="X443" s="667">
        <v>13441.7</v>
      </c>
      <c r="Y443" s="667">
        <v>92442.89</v>
      </c>
      <c r="Z443" s="667">
        <v>60969.5</v>
      </c>
      <c r="AA443" s="667">
        <v>57772.639999999999</v>
      </c>
      <c r="AB443" s="667">
        <v>60730.34</v>
      </c>
      <c r="AC443" s="667">
        <v>67048.78</v>
      </c>
      <c r="AD443" s="667">
        <v>90162.65</v>
      </c>
      <c r="AE443" s="667">
        <v>51846.7</v>
      </c>
      <c r="AF443" s="667">
        <v>38032.089999999997</v>
      </c>
      <c r="AG443" s="667">
        <v>53508.07</v>
      </c>
      <c r="AH443" s="718"/>
      <c r="AI443" s="718"/>
      <c r="AJ443" s="718"/>
      <c r="AK443" s="718"/>
      <c r="AL443" s="718"/>
      <c r="AM443" s="718"/>
      <c r="AN443" s="718"/>
      <c r="AO443" s="718"/>
      <c r="AP443" s="718"/>
      <c r="AQ443" s="718"/>
      <c r="AR443" s="718"/>
      <c r="AS443" s="718"/>
      <c r="AT443" s="718"/>
      <c r="AU443" s="718"/>
      <c r="AV443" s="718"/>
      <c r="AW443" s="718"/>
      <c r="AX443" s="718"/>
      <c r="AY443" s="718"/>
      <c r="AZ443" s="718"/>
      <c r="BA443" s="718"/>
      <c r="BB443" s="718"/>
      <c r="BC443" s="718"/>
      <c r="BD443" s="718"/>
      <c r="BE443" s="718"/>
      <c r="BF443" s="718"/>
      <c r="BG443" s="718"/>
      <c r="BH443" s="718"/>
      <c r="BI443" s="718"/>
      <c r="BJ443" s="718"/>
      <c r="BK443" s="718"/>
      <c r="BL443" s="718"/>
      <c r="BM443" s="718"/>
      <c r="BN443" s="718"/>
      <c r="BO443" s="718"/>
      <c r="BP443" s="718"/>
      <c r="BQ443" s="718"/>
      <c r="BR443" s="718"/>
      <c r="BS443" s="718"/>
      <c r="BT443" s="718"/>
      <c r="BU443" s="718"/>
      <c r="BV443" s="718"/>
      <c r="BW443" s="718"/>
      <c r="BX443" s="718"/>
      <c r="BY443" s="718"/>
      <c r="BZ443" s="718"/>
      <c r="CA443" s="718"/>
    </row>
    <row r="444" spans="1:79" s="451" customFormat="1" outlineLevel="1" x14ac:dyDescent="0.25">
      <c r="A444" s="656"/>
      <c r="B444" s="576"/>
      <c r="C444" s="576"/>
      <c r="D444" s="576"/>
      <c r="E444" s="570" t="s">
        <v>1339</v>
      </c>
      <c r="F444" s="656" t="s">
        <v>650</v>
      </c>
      <c r="G444" s="719"/>
      <c r="H444" s="719"/>
      <c r="I444" s="719"/>
      <c r="J444" s="719"/>
      <c r="K444" s="719"/>
      <c r="L444" s="719"/>
      <c r="M444" s="719"/>
      <c r="N444" s="719"/>
      <c r="O444" s="719"/>
      <c r="P444" s="716"/>
      <c r="Q444" s="716"/>
      <c r="R444" s="716"/>
      <c r="S444" s="667">
        <v>0</v>
      </c>
      <c r="T444" s="667">
        <v>0</v>
      </c>
      <c r="U444" s="667">
        <v>0</v>
      </c>
      <c r="V444" s="667">
        <v>0</v>
      </c>
      <c r="W444" s="667">
        <v>0</v>
      </c>
      <c r="X444" s="667">
        <v>0</v>
      </c>
      <c r="Y444" s="667">
        <v>0</v>
      </c>
      <c r="Z444" s="667">
        <v>0</v>
      </c>
      <c r="AA444" s="667">
        <v>0</v>
      </c>
      <c r="AB444" s="667">
        <v>0</v>
      </c>
      <c r="AC444" s="667">
        <v>0</v>
      </c>
      <c r="AD444" s="667">
        <v>0</v>
      </c>
      <c r="AE444" s="667">
        <v>0</v>
      </c>
      <c r="AF444" s="667">
        <v>0</v>
      </c>
      <c r="AG444" s="667">
        <v>0</v>
      </c>
      <c r="AH444" s="718"/>
      <c r="AI444" s="718"/>
      <c r="AJ444" s="718"/>
      <c r="AK444" s="718"/>
      <c r="AL444" s="718"/>
      <c r="AM444" s="718"/>
      <c r="AN444" s="718"/>
      <c r="AO444" s="718"/>
      <c r="AP444" s="718"/>
      <c r="AQ444" s="718"/>
      <c r="AR444" s="718"/>
      <c r="AS444" s="718"/>
      <c r="AT444" s="718"/>
      <c r="AU444" s="718"/>
      <c r="AV444" s="718"/>
      <c r="AW444" s="718"/>
      <c r="AX444" s="718"/>
      <c r="AY444" s="718"/>
      <c r="AZ444" s="718"/>
      <c r="BA444" s="718"/>
      <c r="BB444" s="718"/>
      <c r="BC444" s="718"/>
      <c r="BD444" s="718"/>
      <c r="BE444" s="718"/>
      <c r="BF444" s="718"/>
      <c r="BG444" s="718"/>
      <c r="BH444" s="718"/>
      <c r="BI444" s="718"/>
      <c r="BJ444" s="718"/>
      <c r="BK444" s="718"/>
      <c r="BL444" s="718"/>
      <c r="BM444" s="718"/>
      <c r="BN444" s="718"/>
      <c r="BO444" s="718"/>
      <c r="BP444" s="718"/>
      <c r="BQ444" s="718"/>
      <c r="BR444" s="718"/>
      <c r="BS444" s="718"/>
      <c r="BT444" s="718"/>
      <c r="BU444" s="718"/>
      <c r="BV444" s="718"/>
      <c r="BW444" s="718"/>
      <c r="BX444" s="718"/>
      <c r="BY444" s="718"/>
      <c r="BZ444" s="718"/>
      <c r="CA444" s="718"/>
    </row>
    <row r="445" spans="1:79" s="451" customFormat="1" outlineLevel="1" x14ac:dyDescent="0.25">
      <c r="A445" s="656"/>
      <c r="B445" s="79"/>
      <c r="C445" s="79"/>
      <c r="D445" s="79"/>
      <c r="E445" s="570" t="s">
        <v>1339</v>
      </c>
      <c r="F445" s="656" t="s">
        <v>647</v>
      </c>
      <c r="G445" s="719"/>
      <c r="H445" s="719"/>
      <c r="I445" s="719"/>
      <c r="J445" s="719"/>
      <c r="K445" s="719"/>
      <c r="L445" s="719"/>
      <c r="M445" s="719"/>
      <c r="N445" s="719"/>
      <c r="O445" s="719"/>
      <c r="P445" s="716"/>
      <c r="Q445" s="716"/>
      <c r="R445" s="716"/>
      <c r="S445" s="684">
        <v>733</v>
      </c>
      <c r="T445" s="684">
        <v>0</v>
      </c>
      <c r="U445" s="684">
        <v>0</v>
      </c>
      <c r="V445" s="684">
        <v>0</v>
      </c>
      <c r="W445" s="684">
        <v>0</v>
      </c>
      <c r="X445" s="684">
        <v>0</v>
      </c>
      <c r="Y445" s="684">
        <v>0</v>
      </c>
      <c r="Z445" s="684">
        <v>0</v>
      </c>
      <c r="AA445" s="684">
        <v>0</v>
      </c>
      <c r="AB445" s="684">
        <v>0</v>
      </c>
      <c r="AC445" s="684">
        <v>0</v>
      </c>
      <c r="AD445" s="684">
        <v>0</v>
      </c>
      <c r="AE445" s="684">
        <v>0</v>
      </c>
      <c r="AF445" s="684">
        <v>0</v>
      </c>
      <c r="AG445" s="684">
        <v>0</v>
      </c>
      <c r="AH445" s="718"/>
      <c r="AI445" s="718"/>
      <c r="AJ445" s="718"/>
      <c r="AK445" s="718"/>
      <c r="AL445" s="718"/>
      <c r="AM445" s="718"/>
      <c r="AN445" s="718"/>
      <c r="AO445" s="718"/>
      <c r="AP445" s="718"/>
      <c r="AQ445" s="718"/>
      <c r="AR445" s="718"/>
      <c r="AS445" s="718"/>
      <c r="AT445" s="718"/>
      <c r="AU445" s="718"/>
      <c r="AV445" s="718"/>
      <c r="AW445" s="718"/>
      <c r="AX445" s="718"/>
      <c r="AY445" s="718"/>
      <c r="AZ445" s="718"/>
      <c r="BA445" s="718"/>
      <c r="BB445" s="718"/>
      <c r="BC445" s="718"/>
      <c r="BD445" s="718"/>
      <c r="BE445" s="718"/>
      <c r="BF445" s="718"/>
      <c r="BG445" s="718"/>
      <c r="BH445" s="718"/>
      <c r="BI445" s="718"/>
      <c r="BJ445" s="718"/>
      <c r="BK445" s="718"/>
      <c r="BL445" s="718"/>
      <c r="BM445" s="718"/>
      <c r="BN445" s="718"/>
      <c r="BO445" s="718"/>
      <c r="BP445" s="718"/>
      <c r="BQ445" s="718"/>
      <c r="BR445" s="718"/>
      <c r="BS445" s="718"/>
      <c r="BT445" s="718"/>
      <c r="BU445" s="718"/>
      <c r="BV445" s="718"/>
      <c r="BW445" s="718"/>
      <c r="BX445" s="718"/>
      <c r="BY445" s="718"/>
      <c r="BZ445" s="718"/>
      <c r="CA445" s="718"/>
    </row>
    <row r="446" spans="1:79" s="451" customFormat="1" outlineLevel="1" x14ac:dyDescent="0.25">
      <c r="A446" s="656"/>
      <c r="B446" s="576"/>
      <c r="C446" s="576"/>
      <c r="D446" s="576"/>
      <c r="E446" s="570" t="s">
        <v>1339</v>
      </c>
      <c r="F446" s="656" t="s">
        <v>889</v>
      </c>
      <c r="G446" s="719"/>
      <c r="H446" s="719"/>
      <c r="I446" s="719"/>
      <c r="J446" s="719"/>
      <c r="K446" s="719"/>
      <c r="L446" s="719"/>
      <c r="M446" s="719"/>
      <c r="N446" s="719"/>
      <c r="O446" s="719"/>
      <c r="P446" s="716"/>
      <c r="Q446" s="716"/>
      <c r="R446" s="716"/>
      <c r="S446" s="684">
        <v>0</v>
      </c>
      <c r="T446" s="684">
        <v>0</v>
      </c>
      <c r="U446" s="684">
        <v>0</v>
      </c>
      <c r="V446" s="684">
        <v>0</v>
      </c>
      <c r="W446" s="684">
        <v>0</v>
      </c>
      <c r="X446" s="684">
        <v>0</v>
      </c>
      <c r="Y446" s="684">
        <v>0</v>
      </c>
      <c r="Z446" s="684">
        <v>0</v>
      </c>
      <c r="AA446" s="684">
        <v>0</v>
      </c>
      <c r="AB446" s="684">
        <v>0</v>
      </c>
      <c r="AC446" s="684">
        <v>0</v>
      </c>
      <c r="AD446" s="684">
        <v>0</v>
      </c>
      <c r="AE446" s="684">
        <v>0</v>
      </c>
      <c r="AF446" s="684">
        <v>0</v>
      </c>
      <c r="AG446" s="684">
        <v>0</v>
      </c>
      <c r="AH446" s="718"/>
      <c r="AI446" s="718"/>
      <c r="AJ446" s="718"/>
      <c r="AK446" s="718"/>
      <c r="AL446" s="718"/>
      <c r="AM446" s="718"/>
      <c r="AN446" s="718"/>
      <c r="AO446" s="718"/>
      <c r="AP446" s="718"/>
      <c r="AQ446" s="718"/>
      <c r="AR446" s="718"/>
      <c r="AS446" s="718"/>
      <c r="AT446" s="718"/>
      <c r="AU446" s="718"/>
      <c r="AV446" s="718"/>
      <c r="AW446" s="718"/>
      <c r="AX446" s="718"/>
      <c r="AY446" s="718"/>
      <c r="AZ446" s="718"/>
      <c r="BA446" s="718"/>
      <c r="BB446" s="718"/>
      <c r="BC446" s="718"/>
      <c r="BD446" s="718"/>
      <c r="BE446" s="718"/>
      <c r="BF446" s="718"/>
      <c r="BG446" s="718"/>
      <c r="BH446" s="718"/>
      <c r="BI446" s="718"/>
      <c r="BJ446" s="718"/>
      <c r="BK446" s="718"/>
      <c r="BL446" s="718"/>
      <c r="BM446" s="718"/>
      <c r="BN446" s="718"/>
      <c r="BO446" s="718"/>
      <c r="BP446" s="718"/>
      <c r="BQ446" s="718"/>
      <c r="BR446" s="718"/>
      <c r="BS446" s="718"/>
      <c r="BT446" s="718"/>
      <c r="BU446" s="718"/>
      <c r="BV446" s="718"/>
      <c r="BW446" s="718"/>
      <c r="BX446" s="718"/>
      <c r="BY446" s="718"/>
      <c r="BZ446" s="718"/>
      <c r="CA446" s="718"/>
    </row>
    <row r="447" spans="1:79" s="451" customFormat="1" outlineLevel="1" x14ac:dyDescent="0.25">
      <c r="A447" s="656"/>
      <c r="B447" s="576"/>
      <c r="C447" s="576"/>
      <c r="D447" s="576"/>
      <c r="E447" s="570" t="s">
        <v>1339</v>
      </c>
      <c r="F447" s="656" t="s">
        <v>684</v>
      </c>
      <c r="G447" s="719"/>
      <c r="H447" s="719"/>
      <c r="I447" s="719"/>
      <c r="J447" s="719"/>
      <c r="K447" s="719"/>
      <c r="L447" s="719"/>
      <c r="M447" s="719"/>
      <c r="N447" s="719"/>
      <c r="O447" s="719"/>
      <c r="P447" s="716"/>
      <c r="Q447" s="716"/>
      <c r="R447" s="716"/>
      <c r="S447" s="667">
        <v>0</v>
      </c>
      <c r="T447" s="667">
        <v>0</v>
      </c>
      <c r="U447" s="667">
        <v>0</v>
      </c>
      <c r="V447" s="667">
        <v>0</v>
      </c>
      <c r="W447" s="667">
        <v>0</v>
      </c>
      <c r="X447" s="667">
        <v>0</v>
      </c>
      <c r="Y447" s="667">
        <v>0</v>
      </c>
      <c r="Z447" s="667">
        <v>0</v>
      </c>
      <c r="AA447" s="667">
        <v>0</v>
      </c>
      <c r="AB447" s="667">
        <v>0</v>
      </c>
      <c r="AC447" s="667">
        <v>0</v>
      </c>
      <c r="AD447" s="667">
        <v>0</v>
      </c>
      <c r="AE447" s="667">
        <v>0</v>
      </c>
      <c r="AF447" s="667">
        <v>0</v>
      </c>
      <c r="AG447" s="667">
        <v>0</v>
      </c>
      <c r="AH447" s="718"/>
      <c r="AI447" s="718"/>
      <c r="AJ447" s="718"/>
      <c r="AK447" s="718"/>
      <c r="AL447" s="718"/>
      <c r="AM447" s="718"/>
      <c r="AN447" s="718"/>
      <c r="AO447" s="718"/>
      <c r="AP447" s="718"/>
      <c r="AQ447" s="718"/>
      <c r="AR447" s="718"/>
      <c r="AS447" s="718"/>
      <c r="AT447" s="718"/>
      <c r="AU447" s="718"/>
      <c r="AV447" s="718"/>
      <c r="AW447" s="718"/>
      <c r="AX447" s="718"/>
      <c r="AY447" s="718"/>
      <c r="AZ447" s="718"/>
      <c r="BA447" s="718"/>
      <c r="BB447" s="718"/>
      <c r="BC447" s="718"/>
      <c r="BD447" s="718"/>
      <c r="BE447" s="718"/>
      <c r="BF447" s="718"/>
      <c r="BG447" s="718"/>
      <c r="BH447" s="718"/>
      <c r="BI447" s="718"/>
      <c r="BJ447" s="718"/>
      <c r="BK447" s="718"/>
      <c r="BL447" s="718"/>
      <c r="BM447" s="718"/>
      <c r="BN447" s="718"/>
      <c r="BO447" s="718"/>
      <c r="BP447" s="718"/>
      <c r="BQ447" s="718"/>
      <c r="BR447" s="718"/>
      <c r="BS447" s="718"/>
      <c r="BT447" s="718"/>
      <c r="BU447" s="718"/>
      <c r="BV447" s="718"/>
      <c r="BW447" s="718"/>
      <c r="BX447" s="718"/>
      <c r="BY447" s="718"/>
      <c r="BZ447" s="718"/>
      <c r="CA447" s="718"/>
    </row>
    <row r="448" spans="1:79" s="451" customFormat="1" outlineLevel="1" x14ac:dyDescent="0.25">
      <c r="A448" s="656"/>
      <c r="B448" s="576"/>
      <c r="C448" s="576"/>
      <c r="D448" s="576"/>
      <c r="E448" s="570" t="s">
        <v>1339</v>
      </c>
      <c r="F448" s="656" t="s">
        <v>890</v>
      </c>
      <c r="G448" s="719">
        <v>8616</v>
      </c>
      <c r="H448" s="719">
        <v>11985.015593601727</v>
      </c>
      <c r="I448" s="719">
        <v>25778.66</v>
      </c>
      <c r="J448" s="719">
        <v>25840.583282245014</v>
      </c>
      <c r="K448" s="719">
        <v>27893.584481330963</v>
      </c>
      <c r="L448" s="719">
        <v>28219.524840046091</v>
      </c>
      <c r="M448" s="719">
        <v>31195.597507979561</v>
      </c>
      <c r="N448" s="719">
        <v>30369.671742454055</v>
      </c>
      <c r="O448" s="719">
        <v>36046.392632001538</v>
      </c>
      <c r="P448" s="716">
        <v>33708.99267757449</v>
      </c>
      <c r="Q448" s="716">
        <v>41161.854995015412</v>
      </c>
      <c r="R448" s="716">
        <v>68064.846210471078</v>
      </c>
      <c r="S448" s="667">
        <v>0</v>
      </c>
      <c r="T448" s="667">
        <v>0</v>
      </c>
      <c r="U448" s="667">
        <v>0</v>
      </c>
      <c r="V448" s="667">
        <v>0</v>
      </c>
      <c r="W448" s="667">
        <v>0</v>
      </c>
      <c r="X448" s="667">
        <v>0</v>
      </c>
      <c r="Y448" s="667">
        <v>0</v>
      </c>
      <c r="Z448" s="667">
        <v>0</v>
      </c>
      <c r="AA448" s="667">
        <v>0</v>
      </c>
      <c r="AB448" s="667">
        <v>0</v>
      </c>
      <c r="AC448" s="667">
        <v>0</v>
      </c>
      <c r="AD448" s="667">
        <v>0</v>
      </c>
      <c r="AE448" s="667">
        <v>0</v>
      </c>
      <c r="AF448" s="667">
        <v>0</v>
      </c>
      <c r="AG448" s="667">
        <v>0</v>
      </c>
      <c r="AH448" s="718"/>
      <c r="AI448" s="718"/>
      <c r="AJ448" s="718"/>
      <c r="AK448" s="718"/>
      <c r="AL448" s="718"/>
      <c r="AM448" s="718"/>
      <c r="AN448" s="718"/>
      <c r="AO448" s="718"/>
      <c r="AP448" s="718"/>
      <c r="AQ448" s="718"/>
      <c r="AR448" s="718"/>
      <c r="AS448" s="718"/>
      <c r="AT448" s="718"/>
      <c r="AU448" s="718"/>
      <c r="AV448" s="718"/>
      <c r="AW448" s="718"/>
      <c r="AX448" s="718"/>
      <c r="AY448" s="718"/>
      <c r="AZ448" s="718"/>
      <c r="BA448" s="718"/>
      <c r="BB448" s="718"/>
      <c r="BC448" s="718"/>
      <c r="BD448" s="718"/>
      <c r="BE448" s="718"/>
      <c r="BF448" s="718"/>
      <c r="BG448" s="718"/>
      <c r="BH448" s="718"/>
      <c r="BI448" s="718"/>
      <c r="BJ448" s="718"/>
      <c r="BK448" s="718"/>
      <c r="BL448" s="718"/>
      <c r="BM448" s="718"/>
      <c r="BN448" s="718"/>
      <c r="BO448" s="718"/>
      <c r="BP448" s="718"/>
      <c r="BQ448" s="718"/>
      <c r="BR448" s="718"/>
      <c r="BS448" s="718"/>
      <c r="BT448" s="718"/>
      <c r="BU448" s="718"/>
      <c r="BV448" s="718"/>
      <c r="BW448" s="718"/>
      <c r="BX448" s="718"/>
      <c r="BY448" s="718"/>
      <c r="BZ448" s="718"/>
      <c r="CA448" s="718"/>
    </row>
    <row r="449" spans="1:79" s="308" customFormat="1" outlineLevel="1" x14ac:dyDescent="0.25">
      <c r="A449" s="659"/>
      <c r="B449" s="29"/>
      <c r="C449" s="29"/>
      <c r="D449" s="29"/>
      <c r="E449" s="570" t="s">
        <v>49</v>
      </c>
      <c r="F449" s="659" t="s">
        <v>622</v>
      </c>
      <c r="G449" s="664">
        <f>SUM(G440:G448)</f>
        <v>8616</v>
      </c>
      <c r="H449" s="664">
        <f t="shared" ref="H449:BO449" si="146">SUM(H440:H448)</f>
        <v>11985.015593601727</v>
      </c>
      <c r="I449" s="664">
        <f t="shared" si="146"/>
        <v>25778.66</v>
      </c>
      <c r="J449" s="664">
        <f t="shared" si="146"/>
        <v>25840.583282245014</v>
      </c>
      <c r="K449" s="664">
        <f t="shared" si="146"/>
        <v>27893.584481330963</v>
      </c>
      <c r="L449" s="664">
        <f t="shared" si="146"/>
        <v>28219.524840046091</v>
      </c>
      <c r="M449" s="664">
        <f t="shared" si="146"/>
        <v>31195.597507979561</v>
      </c>
      <c r="N449" s="664">
        <f t="shared" si="146"/>
        <v>30369.671742454055</v>
      </c>
      <c r="O449" s="664">
        <f t="shared" si="146"/>
        <v>36046.392632001538</v>
      </c>
      <c r="P449" s="664">
        <f t="shared" si="146"/>
        <v>33708.99267757449</v>
      </c>
      <c r="Q449" s="664">
        <f t="shared" si="146"/>
        <v>41161.854995015412</v>
      </c>
      <c r="R449" s="664">
        <f t="shared" si="146"/>
        <v>68064.846210471078</v>
      </c>
      <c r="S449" s="680">
        <f t="shared" ref="S449:AA449" si="147">ROUND(SUM(S439:S448),5)</f>
        <v>25275.3</v>
      </c>
      <c r="T449" s="680">
        <f t="shared" si="147"/>
        <v>33285.94</v>
      </c>
      <c r="U449" s="680">
        <f t="shared" si="147"/>
        <v>22569.81</v>
      </c>
      <c r="V449" s="680">
        <f t="shared" si="147"/>
        <v>44332.59</v>
      </c>
      <c r="W449" s="680">
        <f t="shared" si="147"/>
        <v>38551.74</v>
      </c>
      <c r="X449" s="680">
        <f t="shared" si="147"/>
        <v>13441.7</v>
      </c>
      <c r="Y449" s="680">
        <f t="shared" si="147"/>
        <v>92442.89</v>
      </c>
      <c r="Z449" s="680">
        <f t="shared" si="147"/>
        <v>64219.5</v>
      </c>
      <c r="AA449" s="680">
        <f t="shared" si="147"/>
        <v>57772.639999999999</v>
      </c>
      <c r="AB449" s="680">
        <f t="shared" ref="AB449:AG449" si="148">ROUND(SUM(AB439:AB448),5)</f>
        <v>60730.34</v>
      </c>
      <c r="AC449" s="680">
        <f t="shared" si="148"/>
        <v>67048.78</v>
      </c>
      <c r="AD449" s="680">
        <f t="shared" si="148"/>
        <v>90162.65</v>
      </c>
      <c r="AE449" s="680">
        <f t="shared" si="148"/>
        <v>51846.7</v>
      </c>
      <c r="AF449" s="680">
        <f t="shared" si="148"/>
        <v>38032.089999999997</v>
      </c>
      <c r="AG449" s="680">
        <f t="shared" si="148"/>
        <v>53508.07</v>
      </c>
      <c r="AH449" s="664">
        <f t="shared" si="146"/>
        <v>0</v>
      </c>
      <c r="AI449" s="664">
        <f t="shared" si="146"/>
        <v>0</v>
      </c>
      <c r="AJ449" s="664">
        <f t="shared" si="146"/>
        <v>0</v>
      </c>
      <c r="AK449" s="664">
        <f t="shared" si="146"/>
        <v>0</v>
      </c>
      <c r="AL449" s="664">
        <f t="shared" si="146"/>
        <v>0</v>
      </c>
      <c r="AM449" s="664">
        <f t="shared" si="146"/>
        <v>0</v>
      </c>
      <c r="AN449" s="664">
        <f t="shared" si="146"/>
        <v>0</v>
      </c>
      <c r="AO449" s="664">
        <f t="shared" si="146"/>
        <v>0</v>
      </c>
      <c r="AP449" s="664">
        <f t="shared" si="146"/>
        <v>0</v>
      </c>
      <c r="AQ449" s="664">
        <f t="shared" si="146"/>
        <v>0</v>
      </c>
      <c r="AR449" s="664">
        <f t="shared" si="146"/>
        <v>0</v>
      </c>
      <c r="AS449" s="664">
        <f t="shared" si="146"/>
        <v>0</v>
      </c>
      <c r="AT449" s="664">
        <f t="shared" si="146"/>
        <v>0</v>
      </c>
      <c r="AU449" s="664">
        <f t="shared" si="146"/>
        <v>0</v>
      </c>
      <c r="AV449" s="664">
        <f t="shared" si="146"/>
        <v>0</v>
      </c>
      <c r="AW449" s="664">
        <f t="shared" si="146"/>
        <v>0</v>
      </c>
      <c r="AX449" s="664">
        <f t="shared" si="146"/>
        <v>0</v>
      </c>
      <c r="AY449" s="664">
        <f t="shared" si="146"/>
        <v>0</v>
      </c>
      <c r="AZ449" s="664">
        <f t="shared" si="146"/>
        <v>0</v>
      </c>
      <c r="BA449" s="664">
        <f t="shared" si="146"/>
        <v>0</v>
      </c>
      <c r="BB449" s="664">
        <f t="shared" si="146"/>
        <v>0</v>
      </c>
      <c r="BC449" s="664">
        <f t="shared" si="146"/>
        <v>0</v>
      </c>
      <c r="BD449" s="664">
        <f t="shared" si="146"/>
        <v>0</v>
      </c>
      <c r="BE449" s="664">
        <f t="shared" si="146"/>
        <v>0</v>
      </c>
      <c r="BF449" s="664">
        <f t="shared" si="146"/>
        <v>0</v>
      </c>
      <c r="BG449" s="664">
        <f t="shared" si="146"/>
        <v>0</v>
      </c>
      <c r="BH449" s="664">
        <f t="shared" si="146"/>
        <v>0</v>
      </c>
      <c r="BI449" s="664">
        <f t="shared" si="146"/>
        <v>0</v>
      </c>
      <c r="BJ449" s="664">
        <f t="shared" si="146"/>
        <v>0</v>
      </c>
      <c r="BK449" s="664">
        <f t="shared" si="146"/>
        <v>0</v>
      </c>
      <c r="BL449" s="664">
        <f t="shared" si="146"/>
        <v>0</v>
      </c>
      <c r="BM449" s="664">
        <f t="shared" si="146"/>
        <v>0</v>
      </c>
      <c r="BN449" s="664">
        <f t="shared" si="146"/>
        <v>0</v>
      </c>
      <c r="BO449" s="664">
        <f t="shared" si="146"/>
        <v>0</v>
      </c>
      <c r="BP449" s="664">
        <f t="shared" ref="BP449:CA449" si="149">SUM(BP440:BP448)</f>
        <v>0</v>
      </c>
      <c r="BQ449" s="664">
        <f t="shared" si="149"/>
        <v>0</v>
      </c>
      <c r="BR449" s="664">
        <f t="shared" si="149"/>
        <v>0</v>
      </c>
      <c r="BS449" s="664">
        <f t="shared" si="149"/>
        <v>0</v>
      </c>
      <c r="BT449" s="664">
        <f t="shared" si="149"/>
        <v>0</v>
      </c>
      <c r="BU449" s="664">
        <f t="shared" si="149"/>
        <v>0</v>
      </c>
      <c r="BV449" s="664">
        <f t="shared" si="149"/>
        <v>0</v>
      </c>
      <c r="BW449" s="664">
        <f t="shared" si="149"/>
        <v>0</v>
      </c>
      <c r="BX449" s="664">
        <f t="shared" si="149"/>
        <v>0</v>
      </c>
      <c r="BY449" s="664">
        <f t="shared" si="149"/>
        <v>0</v>
      </c>
      <c r="BZ449" s="664">
        <f t="shared" si="149"/>
        <v>0</v>
      </c>
      <c r="CA449" s="664">
        <f t="shared" si="149"/>
        <v>0</v>
      </c>
    </row>
    <row r="450" spans="1:79" s="700" customFormat="1" outlineLevel="1" x14ac:dyDescent="0.25">
      <c r="A450" s="691"/>
      <c r="E450" s="570" t="s">
        <v>1340</v>
      </c>
      <c r="F450" s="691" t="s">
        <v>623</v>
      </c>
      <c r="G450" s="733"/>
      <c r="H450" s="733"/>
      <c r="I450" s="733"/>
      <c r="J450" s="733"/>
      <c r="K450" s="733"/>
      <c r="L450" s="733"/>
      <c r="M450" s="733"/>
      <c r="N450" s="733"/>
      <c r="O450" s="733"/>
      <c r="P450" s="734"/>
      <c r="Q450" s="734"/>
      <c r="R450" s="734"/>
      <c r="S450" s="708"/>
      <c r="T450" s="708"/>
      <c r="U450" s="708"/>
      <c r="V450" s="708"/>
      <c r="W450" s="708"/>
      <c r="X450" s="708"/>
      <c r="Y450" s="708"/>
      <c r="Z450" s="708"/>
      <c r="AA450" s="708"/>
      <c r="AB450" s="708"/>
      <c r="AC450" s="708"/>
      <c r="AD450" s="708"/>
      <c r="AE450" s="708"/>
      <c r="AF450" s="708"/>
      <c r="AG450" s="708"/>
      <c r="AH450" s="736"/>
      <c r="AI450" s="736"/>
      <c r="AJ450" s="736"/>
      <c r="AK450" s="736"/>
      <c r="AL450" s="736"/>
      <c r="AM450" s="736"/>
      <c r="AN450" s="736"/>
      <c r="AO450" s="736"/>
      <c r="AP450" s="736"/>
      <c r="AQ450" s="736"/>
      <c r="AR450" s="736"/>
      <c r="AS450" s="736"/>
      <c r="AT450" s="736"/>
      <c r="AU450" s="736"/>
      <c r="AV450" s="736"/>
      <c r="AW450" s="736"/>
      <c r="AX450" s="736"/>
      <c r="AY450" s="736"/>
      <c r="AZ450" s="736"/>
      <c r="BA450" s="736"/>
      <c r="BB450" s="736"/>
      <c r="BC450" s="736"/>
      <c r="BD450" s="736"/>
      <c r="BE450" s="736"/>
      <c r="BF450" s="736"/>
      <c r="BG450" s="736"/>
      <c r="BH450" s="736"/>
      <c r="BI450" s="736"/>
      <c r="BJ450" s="736"/>
      <c r="BK450" s="736"/>
      <c r="BL450" s="736"/>
      <c r="BM450" s="736"/>
      <c r="BN450" s="736"/>
      <c r="BO450" s="736"/>
      <c r="BP450" s="736"/>
      <c r="BQ450" s="736"/>
      <c r="BR450" s="736"/>
      <c r="BS450" s="736"/>
      <c r="BT450" s="736"/>
      <c r="BU450" s="736"/>
      <c r="BV450" s="736"/>
      <c r="BW450" s="736"/>
      <c r="BX450" s="736"/>
      <c r="BY450" s="736"/>
      <c r="BZ450" s="736"/>
      <c r="CA450" s="736"/>
    </row>
    <row r="451" spans="1:79" s="308" customFormat="1" outlineLevel="1" x14ac:dyDescent="0.25">
      <c r="A451" s="656"/>
      <c r="B451" s="710"/>
      <c r="C451" s="710"/>
      <c r="D451" s="710"/>
      <c r="E451" s="570" t="s">
        <v>1340</v>
      </c>
      <c r="F451" s="656" t="s">
        <v>916</v>
      </c>
      <c r="G451" s="683"/>
      <c r="H451" s="683"/>
      <c r="I451" s="683"/>
      <c r="J451" s="683"/>
      <c r="K451" s="683"/>
      <c r="L451" s="683"/>
      <c r="M451" s="683"/>
      <c r="N451" s="683"/>
      <c r="O451" s="683"/>
      <c r="P451" s="683"/>
      <c r="Q451" s="683"/>
      <c r="R451" s="683"/>
      <c r="S451" s="684"/>
      <c r="T451" s="684"/>
      <c r="U451" s="684"/>
      <c r="V451" s="684"/>
      <c r="W451" s="684"/>
      <c r="X451" s="684"/>
      <c r="Y451" s="684"/>
      <c r="Z451" s="684"/>
      <c r="AA451" s="684"/>
      <c r="AB451" s="684">
        <v>0</v>
      </c>
      <c r="AC451" s="684">
        <v>0</v>
      </c>
      <c r="AD451" s="684">
        <v>0</v>
      </c>
      <c r="AE451" s="684">
        <v>0</v>
      </c>
      <c r="AF451" s="684">
        <v>0</v>
      </c>
      <c r="AG451" s="684">
        <v>0</v>
      </c>
      <c r="AH451" s="684"/>
      <c r="AI451" s="684"/>
      <c r="AJ451" s="684"/>
      <c r="AK451" s="684"/>
      <c r="AL451" s="684"/>
      <c r="AM451" s="684"/>
      <c r="AN451" s="684"/>
      <c r="AO451" s="684"/>
      <c r="AP451" s="684"/>
      <c r="AQ451" s="684"/>
      <c r="AR451" s="684"/>
      <c r="AS451" s="684"/>
      <c r="AT451" s="684"/>
      <c r="AU451" s="684"/>
      <c r="AV451" s="684"/>
      <c r="AW451" s="684"/>
      <c r="AX451" s="684"/>
      <c r="AY451" s="684"/>
      <c r="AZ451" s="684"/>
      <c r="BA451" s="684"/>
      <c r="BB451" s="684"/>
      <c r="BC451" s="684"/>
      <c r="BD451" s="684"/>
      <c r="BE451" s="684"/>
      <c r="BF451" s="684"/>
      <c r="BG451" s="684"/>
      <c r="BH451" s="684"/>
      <c r="BI451" s="684"/>
      <c r="BJ451" s="684"/>
      <c r="BK451" s="684"/>
      <c r="BL451" s="684"/>
      <c r="BM451" s="684"/>
      <c r="BN451" s="684"/>
      <c r="BO451" s="684"/>
      <c r="BP451" s="684"/>
      <c r="BQ451" s="684"/>
      <c r="BR451" s="684"/>
      <c r="BS451" s="684"/>
      <c r="BT451" s="684"/>
      <c r="BU451" s="684"/>
      <c r="BV451" s="684"/>
      <c r="BW451" s="684"/>
      <c r="BX451" s="684"/>
      <c r="BY451" s="684"/>
      <c r="BZ451" s="684"/>
      <c r="CA451" s="684"/>
    </row>
    <row r="452" spans="1:79" s="740" customFormat="1" outlineLevel="1" x14ac:dyDescent="0.25">
      <c r="A452" s="656"/>
      <c r="B452" s="503"/>
      <c r="C452" s="503"/>
      <c r="D452" s="503"/>
      <c r="E452" s="570" t="s">
        <v>1340</v>
      </c>
      <c r="F452" s="656" t="s">
        <v>667</v>
      </c>
      <c r="G452" s="719"/>
      <c r="H452" s="719"/>
      <c r="I452" s="719"/>
      <c r="J452" s="719"/>
      <c r="K452" s="719"/>
      <c r="L452" s="719"/>
      <c r="M452" s="719"/>
      <c r="N452" s="719"/>
      <c r="O452" s="719"/>
      <c r="P452" s="716"/>
      <c r="Q452" s="716"/>
      <c r="R452" s="716"/>
      <c r="S452" s="684">
        <v>0</v>
      </c>
      <c r="T452" s="684">
        <v>0</v>
      </c>
      <c r="U452" s="684">
        <v>0</v>
      </c>
      <c r="V452" s="684">
        <v>0</v>
      </c>
      <c r="W452" s="684">
        <v>0</v>
      </c>
      <c r="X452" s="684">
        <v>0</v>
      </c>
      <c r="Y452" s="684">
        <v>0</v>
      </c>
      <c r="Z452" s="684">
        <v>0</v>
      </c>
      <c r="AA452" s="684">
        <v>0</v>
      </c>
      <c r="AB452" s="684">
        <v>0</v>
      </c>
      <c r="AC452" s="684">
        <v>0</v>
      </c>
      <c r="AD452" s="684">
        <v>0</v>
      </c>
      <c r="AE452" s="684">
        <v>0</v>
      </c>
      <c r="AF452" s="684">
        <v>0</v>
      </c>
      <c r="AG452" s="684">
        <v>0</v>
      </c>
      <c r="AH452" s="718"/>
      <c r="AI452" s="718"/>
      <c r="AJ452" s="718"/>
      <c r="AK452" s="718"/>
      <c r="AL452" s="718"/>
      <c r="AM452" s="718"/>
      <c r="AN452" s="718"/>
      <c r="AO452" s="718"/>
      <c r="AP452" s="718"/>
      <c r="AQ452" s="718"/>
      <c r="AR452" s="718"/>
      <c r="AS452" s="718"/>
      <c r="AT452" s="718"/>
      <c r="AU452" s="718"/>
      <c r="AV452" s="718"/>
      <c r="AW452" s="718"/>
      <c r="AX452" s="718"/>
      <c r="AY452" s="718"/>
      <c r="AZ452" s="718"/>
      <c r="BA452" s="718"/>
      <c r="BB452" s="718"/>
      <c r="BC452" s="718"/>
      <c r="BD452" s="718"/>
      <c r="BE452" s="718"/>
      <c r="BF452" s="718"/>
      <c r="BG452" s="718"/>
      <c r="BH452" s="718"/>
      <c r="BI452" s="718"/>
      <c r="BJ452" s="718"/>
      <c r="BK452" s="718"/>
      <c r="BL452" s="718"/>
      <c r="BM452" s="718"/>
      <c r="BN452" s="718"/>
      <c r="BO452" s="718"/>
      <c r="BP452" s="718"/>
      <c r="BQ452" s="718"/>
      <c r="BR452" s="718"/>
      <c r="BS452" s="718"/>
      <c r="BT452" s="718"/>
      <c r="BU452" s="718"/>
      <c r="BV452" s="718"/>
      <c r="BW452" s="718"/>
      <c r="BX452" s="718"/>
      <c r="BY452" s="718"/>
      <c r="BZ452" s="718"/>
      <c r="CA452" s="718"/>
    </row>
    <row r="453" spans="1:79" s="740" customFormat="1" outlineLevel="1" x14ac:dyDescent="0.25">
      <c r="A453" s="656"/>
      <c r="B453" s="503"/>
      <c r="C453" s="503"/>
      <c r="D453" s="503"/>
      <c r="E453" s="570" t="s">
        <v>1340</v>
      </c>
      <c r="F453" s="656" t="s">
        <v>762</v>
      </c>
      <c r="G453" s="719"/>
      <c r="H453" s="719"/>
      <c r="I453" s="719"/>
      <c r="J453" s="719"/>
      <c r="K453" s="719"/>
      <c r="L453" s="719"/>
      <c r="M453" s="719"/>
      <c r="N453" s="719"/>
      <c r="O453" s="719"/>
      <c r="P453" s="716"/>
      <c r="Q453" s="716"/>
      <c r="R453" s="716"/>
      <c r="S453" s="684">
        <v>0</v>
      </c>
      <c r="T453" s="684">
        <v>0</v>
      </c>
      <c r="U453" s="684">
        <v>0</v>
      </c>
      <c r="V453" s="684">
        <v>0</v>
      </c>
      <c r="W453" s="684">
        <v>0</v>
      </c>
      <c r="X453" s="684">
        <v>0</v>
      </c>
      <c r="Y453" s="684">
        <v>-600</v>
      </c>
      <c r="Z453" s="684">
        <v>600</v>
      </c>
      <c r="AA453" s="684">
        <v>600</v>
      </c>
      <c r="AB453" s="684">
        <v>0</v>
      </c>
      <c r="AC453" s="684">
        <v>0</v>
      </c>
      <c r="AD453" s="684">
        <v>0</v>
      </c>
      <c r="AE453" s="684">
        <v>0</v>
      </c>
      <c r="AF453" s="684">
        <v>0</v>
      </c>
      <c r="AG453" s="684">
        <v>0</v>
      </c>
      <c r="AH453" s="718"/>
      <c r="AI453" s="718"/>
      <c r="AJ453" s="718"/>
      <c r="AK453" s="718"/>
      <c r="AL453" s="718"/>
      <c r="AM453" s="718"/>
      <c r="AN453" s="718"/>
      <c r="AO453" s="718"/>
      <c r="AP453" s="718"/>
      <c r="AQ453" s="718"/>
      <c r="AR453" s="718"/>
      <c r="AS453" s="718"/>
      <c r="AT453" s="718"/>
      <c r="AU453" s="718"/>
      <c r="AV453" s="718"/>
      <c r="AW453" s="718"/>
      <c r="AX453" s="718"/>
      <c r="AY453" s="718"/>
      <c r="AZ453" s="718"/>
      <c r="BA453" s="718"/>
      <c r="BB453" s="718"/>
      <c r="BC453" s="718"/>
      <c r="BD453" s="718"/>
      <c r="BE453" s="718"/>
      <c r="BF453" s="718"/>
      <c r="BG453" s="718"/>
      <c r="BH453" s="718"/>
      <c r="BI453" s="718"/>
      <c r="BJ453" s="718"/>
      <c r="BK453" s="718"/>
      <c r="BL453" s="718"/>
      <c r="BM453" s="718"/>
      <c r="BN453" s="718"/>
      <c r="BO453" s="718"/>
      <c r="BP453" s="718"/>
      <c r="BQ453" s="718"/>
      <c r="BR453" s="718"/>
      <c r="BS453" s="718"/>
      <c r="BT453" s="718"/>
      <c r="BU453" s="718"/>
      <c r="BV453" s="718"/>
      <c r="BW453" s="718"/>
      <c r="BX453" s="718"/>
      <c r="BY453" s="718"/>
      <c r="BZ453" s="718"/>
      <c r="CA453" s="718"/>
    </row>
    <row r="454" spans="1:79" s="741" customFormat="1" outlineLevel="1" x14ac:dyDescent="0.25">
      <c r="A454" s="656"/>
      <c r="B454" s="497"/>
      <c r="C454" s="497"/>
      <c r="D454" s="497"/>
      <c r="E454" s="570" t="s">
        <v>338</v>
      </c>
      <c r="F454" s="656" t="s">
        <v>624</v>
      </c>
      <c r="G454" s="724"/>
      <c r="H454" s="724"/>
      <c r="I454" s="724">
        <v>9</v>
      </c>
      <c r="J454" s="724"/>
      <c r="K454" s="724"/>
      <c r="L454" s="724"/>
      <c r="M454" s="724"/>
      <c r="N454" s="724"/>
      <c r="O454" s="724"/>
      <c r="P454" s="725"/>
      <c r="Q454" s="725"/>
      <c r="R454" s="725"/>
      <c r="S454" s="684">
        <v>43.14</v>
      </c>
      <c r="T454" s="684">
        <v>0</v>
      </c>
      <c r="U454" s="684">
        <v>0</v>
      </c>
      <c r="V454" s="684">
        <v>28</v>
      </c>
      <c r="W454" s="684">
        <v>0</v>
      </c>
      <c r="X454" s="684">
        <v>191.16</v>
      </c>
      <c r="Y454" s="684">
        <v>175</v>
      </c>
      <c r="Z454" s="684">
        <v>257</v>
      </c>
      <c r="AA454" s="684">
        <v>144.5</v>
      </c>
      <c r="AB454" s="684">
        <v>0</v>
      </c>
      <c r="AC454" s="684">
        <v>0</v>
      </c>
      <c r="AD454" s="684">
        <v>0</v>
      </c>
      <c r="AE454" s="684">
        <v>141</v>
      </c>
      <c r="AF454" s="684">
        <v>0</v>
      </c>
      <c r="AG454" s="684">
        <v>106</v>
      </c>
      <c r="AH454" s="726"/>
      <c r="AI454" s="726"/>
      <c r="AJ454" s="726"/>
      <c r="AK454" s="726"/>
      <c r="AL454" s="726"/>
      <c r="AM454" s="726"/>
      <c r="AN454" s="726"/>
      <c r="AO454" s="726"/>
      <c r="AP454" s="726"/>
      <c r="AQ454" s="726"/>
      <c r="AR454" s="726"/>
      <c r="AS454" s="726"/>
      <c r="AT454" s="726"/>
      <c r="AU454" s="726"/>
      <c r="AV454" s="726"/>
      <c r="AW454" s="726"/>
      <c r="AX454" s="726"/>
      <c r="AY454" s="726"/>
      <c r="AZ454" s="726"/>
      <c r="BA454" s="726"/>
      <c r="BB454" s="726"/>
      <c r="BC454" s="726"/>
      <c r="BD454" s="726"/>
      <c r="BE454" s="726"/>
      <c r="BF454" s="726"/>
      <c r="BG454" s="726"/>
      <c r="BH454" s="726"/>
      <c r="BI454" s="726"/>
      <c r="BJ454" s="726"/>
      <c r="BK454" s="726"/>
      <c r="BL454" s="726"/>
      <c r="BM454" s="726"/>
      <c r="BN454" s="726"/>
      <c r="BO454" s="726"/>
      <c r="BP454" s="726"/>
      <c r="BQ454" s="726"/>
      <c r="BR454" s="726"/>
      <c r="BS454" s="726"/>
      <c r="BT454" s="726"/>
      <c r="BU454" s="726"/>
      <c r="BV454" s="726"/>
      <c r="BW454" s="726"/>
      <c r="BX454" s="726"/>
      <c r="BY454" s="726"/>
      <c r="BZ454" s="726"/>
      <c r="CA454" s="726"/>
    </row>
    <row r="455" spans="1:79" s="741" customFormat="1" outlineLevel="1" x14ac:dyDescent="0.25">
      <c r="A455" s="656"/>
      <c r="B455" s="579"/>
      <c r="C455" s="579"/>
      <c r="D455" s="579"/>
      <c r="E455" s="570" t="s">
        <v>1341</v>
      </c>
      <c r="F455" s="656" t="s">
        <v>651</v>
      </c>
      <c r="G455" s="724"/>
      <c r="H455" s="724"/>
      <c r="I455" s="724"/>
      <c r="J455" s="724"/>
      <c r="K455" s="724"/>
      <c r="L455" s="724"/>
      <c r="M455" s="724"/>
      <c r="N455" s="724"/>
      <c r="O455" s="724"/>
      <c r="P455" s="725"/>
      <c r="Q455" s="725"/>
      <c r="R455" s="725"/>
      <c r="S455" s="684">
        <v>0</v>
      </c>
      <c r="T455" s="684">
        <v>0</v>
      </c>
      <c r="U455" s="684">
        <v>0</v>
      </c>
      <c r="V455" s="684">
        <v>0</v>
      </c>
      <c r="W455" s="684">
        <v>0</v>
      </c>
      <c r="X455" s="684">
        <v>0</v>
      </c>
      <c r="Y455" s="684">
        <v>0</v>
      </c>
      <c r="Z455" s="684">
        <v>0</v>
      </c>
      <c r="AA455" s="684">
        <v>0</v>
      </c>
      <c r="AB455" s="684">
        <v>0</v>
      </c>
      <c r="AC455" s="684">
        <v>0</v>
      </c>
      <c r="AD455" s="684">
        <v>0</v>
      </c>
      <c r="AE455" s="684">
        <v>0</v>
      </c>
      <c r="AF455" s="684">
        <v>0</v>
      </c>
      <c r="AG455" s="684">
        <v>0</v>
      </c>
      <c r="AH455" s="726"/>
      <c r="AI455" s="726"/>
      <c r="AJ455" s="726"/>
      <c r="AK455" s="726"/>
      <c r="AL455" s="726"/>
      <c r="AM455" s="726"/>
      <c r="AN455" s="726"/>
      <c r="AO455" s="726"/>
      <c r="AP455" s="726"/>
      <c r="AQ455" s="726"/>
      <c r="AR455" s="726"/>
      <c r="AS455" s="726"/>
      <c r="AT455" s="726"/>
      <c r="AU455" s="726"/>
      <c r="AV455" s="726"/>
      <c r="AW455" s="726"/>
      <c r="AX455" s="726"/>
      <c r="AY455" s="726"/>
      <c r="AZ455" s="726"/>
      <c r="BA455" s="726"/>
      <c r="BB455" s="726"/>
      <c r="BC455" s="726"/>
      <c r="BD455" s="726"/>
      <c r="BE455" s="726"/>
      <c r="BF455" s="726"/>
      <c r="BG455" s="726"/>
      <c r="BH455" s="726"/>
      <c r="BI455" s="726"/>
      <c r="BJ455" s="726"/>
      <c r="BK455" s="726"/>
      <c r="BL455" s="726"/>
      <c r="BM455" s="726"/>
      <c r="BN455" s="726"/>
      <c r="BO455" s="726"/>
      <c r="BP455" s="726"/>
      <c r="BQ455" s="726"/>
      <c r="BR455" s="726"/>
      <c r="BS455" s="726"/>
      <c r="BT455" s="726"/>
      <c r="BU455" s="726"/>
      <c r="BV455" s="726"/>
      <c r="BW455" s="726"/>
      <c r="BX455" s="726"/>
      <c r="BY455" s="726"/>
      <c r="BZ455" s="726"/>
      <c r="CA455" s="726"/>
    </row>
    <row r="456" spans="1:79" s="741" customFormat="1" outlineLevel="1" x14ac:dyDescent="0.25">
      <c r="A456" s="656"/>
      <c r="B456" s="579"/>
      <c r="C456" s="579"/>
      <c r="D456" s="579"/>
      <c r="E456" s="570" t="s">
        <v>1340</v>
      </c>
      <c r="F456" s="656" t="s">
        <v>668</v>
      </c>
      <c r="G456" s="724"/>
      <c r="H456" s="724"/>
      <c r="I456" s="724"/>
      <c r="J456" s="724"/>
      <c r="K456" s="724"/>
      <c r="L456" s="724"/>
      <c r="M456" s="724"/>
      <c r="N456" s="724"/>
      <c r="O456" s="724"/>
      <c r="P456" s="725"/>
      <c r="Q456" s="725"/>
      <c r="R456" s="725"/>
      <c r="S456" s="684">
        <v>0</v>
      </c>
      <c r="T456" s="684">
        <v>0</v>
      </c>
      <c r="U456" s="684">
        <v>0</v>
      </c>
      <c r="V456" s="684">
        <v>0</v>
      </c>
      <c r="W456" s="684">
        <v>0</v>
      </c>
      <c r="X456" s="684">
        <v>0</v>
      </c>
      <c r="Y456" s="684">
        <v>0</v>
      </c>
      <c r="Z456" s="684">
        <v>0</v>
      </c>
      <c r="AA456" s="684">
        <v>0</v>
      </c>
      <c r="AB456" s="684">
        <v>0</v>
      </c>
      <c r="AC456" s="684">
        <v>0</v>
      </c>
      <c r="AD456" s="684">
        <v>0</v>
      </c>
      <c r="AE456" s="684">
        <v>0</v>
      </c>
      <c r="AF456" s="684">
        <v>0</v>
      </c>
      <c r="AG456" s="684">
        <v>0</v>
      </c>
      <c r="AH456" s="726"/>
      <c r="AI456" s="726"/>
      <c r="AJ456" s="726"/>
      <c r="AK456" s="726"/>
      <c r="AL456" s="726"/>
      <c r="AM456" s="726"/>
      <c r="AN456" s="726"/>
      <c r="AO456" s="726"/>
      <c r="AP456" s="726"/>
      <c r="AQ456" s="726"/>
      <c r="AR456" s="726"/>
      <c r="AS456" s="726"/>
      <c r="AT456" s="726"/>
      <c r="AU456" s="726"/>
      <c r="AV456" s="726"/>
      <c r="AW456" s="726"/>
      <c r="AX456" s="726"/>
      <c r="AY456" s="726"/>
      <c r="AZ456" s="726"/>
      <c r="BA456" s="726"/>
      <c r="BB456" s="726"/>
      <c r="BC456" s="726"/>
      <c r="BD456" s="726"/>
      <c r="BE456" s="726"/>
      <c r="BF456" s="726"/>
      <c r="BG456" s="726"/>
      <c r="BH456" s="726"/>
      <c r="BI456" s="726"/>
      <c r="BJ456" s="726"/>
      <c r="BK456" s="726"/>
      <c r="BL456" s="726"/>
      <c r="BM456" s="726"/>
      <c r="BN456" s="726"/>
      <c r="BO456" s="726"/>
      <c r="BP456" s="726"/>
      <c r="BQ456" s="726"/>
      <c r="BR456" s="726"/>
      <c r="BS456" s="726"/>
      <c r="BT456" s="726"/>
      <c r="BU456" s="726"/>
      <c r="BV456" s="726"/>
      <c r="BW456" s="726"/>
      <c r="BX456" s="726"/>
      <c r="BY456" s="726"/>
      <c r="BZ456" s="726"/>
      <c r="CA456" s="726"/>
    </row>
    <row r="457" spans="1:79" s="308" customFormat="1" outlineLevel="1" x14ac:dyDescent="0.25">
      <c r="A457" s="657"/>
      <c r="B457" s="29"/>
      <c r="C457" s="29"/>
      <c r="D457" s="29"/>
      <c r="E457" s="570" t="s">
        <v>49</v>
      </c>
      <c r="F457" s="657" t="s">
        <v>625</v>
      </c>
      <c r="G457" s="664">
        <f>SUM(G452:G456)</f>
        <v>0</v>
      </c>
      <c r="H457" s="664">
        <f t="shared" ref="H457:BO457" si="150">SUM(H452:H456)</f>
        <v>0</v>
      </c>
      <c r="I457" s="664">
        <f t="shared" si="150"/>
        <v>9</v>
      </c>
      <c r="J457" s="664">
        <f t="shared" si="150"/>
        <v>0</v>
      </c>
      <c r="K457" s="664">
        <f t="shared" si="150"/>
        <v>0</v>
      </c>
      <c r="L457" s="664">
        <f t="shared" si="150"/>
        <v>0</v>
      </c>
      <c r="M457" s="664">
        <f t="shared" si="150"/>
        <v>0</v>
      </c>
      <c r="N457" s="664">
        <f t="shared" si="150"/>
        <v>0</v>
      </c>
      <c r="O457" s="664">
        <f t="shared" si="150"/>
        <v>0</v>
      </c>
      <c r="P457" s="664">
        <f t="shared" si="150"/>
        <v>0</v>
      </c>
      <c r="Q457" s="664">
        <f t="shared" si="150"/>
        <v>0</v>
      </c>
      <c r="R457" s="664">
        <f t="shared" si="150"/>
        <v>0</v>
      </c>
      <c r="S457" s="680">
        <f t="shared" ref="S457:AB457" si="151">ROUND(SUM(S450:S456),5)</f>
        <v>43.14</v>
      </c>
      <c r="T457" s="680">
        <f t="shared" si="151"/>
        <v>0</v>
      </c>
      <c r="U457" s="680">
        <f t="shared" si="151"/>
        <v>0</v>
      </c>
      <c r="V457" s="680">
        <f t="shared" si="151"/>
        <v>28</v>
      </c>
      <c r="W457" s="680">
        <f t="shared" si="151"/>
        <v>0</v>
      </c>
      <c r="X457" s="680">
        <f t="shared" si="151"/>
        <v>191.16</v>
      </c>
      <c r="Y457" s="680">
        <f t="shared" si="151"/>
        <v>-425</v>
      </c>
      <c r="Z457" s="680">
        <f t="shared" si="151"/>
        <v>857</v>
      </c>
      <c r="AA457" s="680">
        <f t="shared" si="151"/>
        <v>744.5</v>
      </c>
      <c r="AB457" s="680">
        <f t="shared" si="151"/>
        <v>0</v>
      </c>
      <c r="AC457" s="680">
        <f>ROUND(SUM(AC450:AC456),5)</f>
        <v>0</v>
      </c>
      <c r="AD457" s="680">
        <f>ROUND(SUM(AD450:AD456),5)</f>
        <v>0</v>
      </c>
      <c r="AE457" s="680">
        <f>ROUND(SUM(AE450:AE456),5)</f>
        <v>141</v>
      </c>
      <c r="AF457" s="680">
        <f>ROUND(SUM(AF450:AF456),5)</f>
        <v>0</v>
      </c>
      <c r="AG457" s="680">
        <f>ROUND(SUM(AG450:AG456),5)</f>
        <v>106</v>
      </c>
      <c r="AH457" s="664">
        <f t="shared" si="150"/>
        <v>0</v>
      </c>
      <c r="AI457" s="664">
        <f t="shared" si="150"/>
        <v>0</v>
      </c>
      <c r="AJ457" s="664">
        <f t="shared" si="150"/>
        <v>0</v>
      </c>
      <c r="AK457" s="664">
        <f t="shared" si="150"/>
        <v>0</v>
      </c>
      <c r="AL457" s="664">
        <f t="shared" si="150"/>
        <v>0</v>
      </c>
      <c r="AM457" s="664">
        <f t="shared" si="150"/>
        <v>0</v>
      </c>
      <c r="AN457" s="664">
        <f t="shared" si="150"/>
        <v>0</v>
      </c>
      <c r="AO457" s="664">
        <f t="shared" si="150"/>
        <v>0</v>
      </c>
      <c r="AP457" s="664">
        <f t="shared" si="150"/>
        <v>0</v>
      </c>
      <c r="AQ457" s="664">
        <f t="shared" si="150"/>
        <v>0</v>
      </c>
      <c r="AR457" s="664">
        <f t="shared" si="150"/>
        <v>0</v>
      </c>
      <c r="AS457" s="664">
        <f t="shared" si="150"/>
        <v>0</v>
      </c>
      <c r="AT457" s="664">
        <f t="shared" si="150"/>
        <v>0</v>
      </c>
      <c r="AU457" s="664">
        <f t="shared" si="150"/>
        <v>0</v>
      </c>
      <c r="AV457" s="664">
        <f t="shared" si="150"/>
        <v>0</v>
      </c>
      <c r="AW457" s="664">
        <f t="shared" si="150"/>
        <v>0</v>
      </c>
      <c r="AX457" s="664">
        <f t="shared" si="150"/>
        <v>0</v>
      </c>
      <c r="AY457" s="664">
        <f t="shared" si="150"/>
        <v>0</v>
      </c>
      <c r="AZ457" s="664">
        <f t="shared" si="150"/>
        <v>0</v>
      </c>
      <c r="BA457" s="664">
        <f t="shared" si="150"/>
        <v>0</v>
      </c>
      <c r="BB457" s="664">
        <f t="shared" si="150"/>
        <v>0</v>
      </c>
      <c r="BC457" s="664">
        <f t="shared" si="150"/>
        <v>0</v>
      </c>
      <c r="BD457" s="664">
        <f t="shared" si="150"/>
        <v>0</v>
      </c>
      <c r="BE457" s="664">
        <f t="shared" si="150"/>
        <v>0</v>
      </c>
      <c r="BF457" s="664">
        <f t="shared" si="150"/>
        <v>0</v>
      </c>
      <c r="BG457" s="664">
        <f t="shared" si="150"/>
        <v>0</v>
      </c>
      <c r="BH457" s="664">
        <f t="shared" si="150"/>
        <v>0</v>
      </c>
      <c r="BI457" s="664">
        <f t="shared" si="150"/>
        <v>0</v>
      </c>
      <c r="BJ457" s="664">
        <f t="shared" si="150"/>
        <v>0</v>
      </c>
      <c r="BK457" s="664">
        <f t="shared" si="150"/>
        <v>0</v>
      </c>
      <c r="BL457" s="664">
        <f t="shared" si="150"/>
        <v>0</v>
      </c>
      <c r="BM457" s="664">
        <f t="shared" si="150"/>
        <v>0</v>
      </c>
      <c r="BN457" s="664">
        <f t="shared" si="150"/>
        <v>0</v>
      </c>
      <c r="BO457" s="664">
        <f t="shared" si="150"/>
        <v>0</v>
      </c>
      <c r="BP457" s="664">
        <f t="shared" ref="BP457:CA457" si="152">SUM(BP452:BP456)</f>
        <v>0</v>
      </c>
      <c r="BQ457" s="664">
        <f t="shared" si="152"/>
        <v>0</v>
      </c>
      <c r="BR457" s="664">
        <f t="shared" si="152"/>
        <v>0</v>
      </c>
      <c r="BS457" s="664">
        <f t="shared" si="152"/>
        <v>0</v>
      </c>
      <c r="BT457" s="664">
        <f t="shared" si="152"/>
        <v>0</v>
      </c>
      <c r="BU457" s="664">
        <f t="shared" si="152"/>
        <v>0</v>
      </c>
      <c r="BV457" s="664">
        <f t="shared" si="152"/>
        <v>0</v>
      </c>
      <c r="BW457" s="664">
        <f t="shared" si="152"/>
        <v>0</v>
      </c>
      <c r="BX457" s="664">
        <f t="shared" si="152"/>
        <v>0</v>
      </c>
      <c r="BY457" s="664">
        <f t="shared" si="152"/>
        <v>0</v>
      </c>
      <c r="BZ457" s="664">
        <f t="shared" si="152"/>
        <v>0</v>
      </c>
      <c r="CA457" s="664">
        <f t="shared" si="152"/>
        <v>0</v>
      </c>
    </row>
    <row r="458" spans="1:79" s="710" customFormat="1" outlineLevel="1" x14ac:dyDescent="0.25">
      <c r="A458" s="691"/>
      <c r="E458" s="570" t="s">
        <v>1342</v>
      </c>
      <c r="F458" s="691" t="s">
        <v>669</v>
      </c>
      <c r="G458" s="733"/>
      <c r="H458" s="733"/>
      <c r="I458" s="733"/>
      <c r="J458" s="733"/>
      <c r="K458" s="733"/>
      <c r="L458" s="733"/>
      <c r="M458" s="733"/>
      <c r="N458" s="733"/>
      <c r="O458" s="733"/>
      <c r="P458" s="734"/>
      <c r="Q458" s="734"/>
      <c r="R458" s="734"/>
      <c r="S458" s="708"/>
      <c r="T458" s="708"/>
      <c r="U458" s="708"/>
      <c r="V458" s="708"/>
      <c r="W458" s="708"/>
      <c r="X458" s="708"/>
      <c r="Y458" s="708"/>
      <c r="Z458" s="708"/>
      <c r="AA458" s="708"/>
      <c r="AB458" s="708"/>
      <c r="AC458" s="708"/>
      <c r="AD458" s="708"/>
      <c r="AE458" s="708"/>
      <c r="AF458" s="708"/>
      <c r="AG458" s="708"/>
      <c r="AH458" s="736"/>
      <c r="AI458" s="736"/>
      <c r="AJ458" s="736"/>
      <c r="AK458" s="736"/>
      <c r="AL458" s="736"/>
      <c r="AM458" s="736"/>
      <c r="AN458" s="736"/>
      <c r="AO458" s="736"/>
      <c r="AP458" s="736"/>
      <c r="AQ458" s="736"/>
      <c r="AR458" s="736"/>
      <c r="AS458" s="736"/>
      <c r="AT458" s="736"/>
      <c r="AU458" s="736"/>
      <c r="AV458" s="736"/>
      <c r="AW458" s="736"/>
      <c r="AX458" s="736"/>
      <c r="AY458" s="736"/>
      <c r="AZ458" s="736"/>
      <c r="BA458" s="736"/>
      <c r="BB458" s="736"/>
      <c r="BC458" s="736"/>
      <c r="BD458" s="736"/>
      <c r="BE458" s="736"/>
      <c r="BF458" s="736"/>
      <c r="BG458" s="736"/>
      <c r="BH458" s="736"/>
      <c r="BI458" s="736"/>
      <c r="BJ458" s="736"/>
      <c r="BK458" s="736"/>
      <c r="BL458" s="736"/>
      <c r="BM458" s="736"/>
      <c r="BN458" s="736"/>
      <c r="BO458" s="736"/>
      <c r="BP458" s="736"/>
      <c r="BQ458" s="736"/>
      <c r="BR458" s="736"/>
      <c r="BS458" s="736"/>
      <c r="BT458" s="736"/>
      <c r="BU458" s="736"/>
      <c r="BV458" s="736"/>
      <c r="BW458" s="736"/>
      <c r="BX458" s="736"/>
      <c r="BY458" s="736"/>
      <c r="BZ458" s="736"/>
      <c r="CA458" s="736"/>
    </row>
    <row r="459" spans="1:79" s="308" customFormat="1" outlineLevel="1" x14ac:dyDescent="0.25">
      <c r="A459" s="656"/>
      <c r="B459" s="571"/>
      <c r="C459" s="571"/>
      <c r="D459" s="571"/>
      <c r="E459" s="570" t="s">
        <v>1342</v>
      </c>
      <c r="F459" s="656" t="s">
        <v>670</v>
      </c>
      <c r="G459" s="719"/>
      <c r="H459" s="719"/>
      <c r="I459" s="719"/>
      <c r="J459" s="719"/>
      <c r="K459" s="719"/>
      <c r="L459" s="719"/>
      <c r="M459" s="719"/>
      <c r="N459" s="719"/>
      <c r="O459" s="719"/>
      <c r="P459" s="716"/>
      <c r="Q459" s="716"/>
      <c r="R459" s="716"/>
      <c r="S459" s="684">
        <v>0</v>
      </c>
      <c r="T459" s="684">
        <v>0</v>
      </c>
      <c r="U459" s="684">
        <v>0</v>
      </c>
      <c r="V459" s="684">
        <v>0</v>
      </c>
      <c r="W459" s="684">
        <v>0</v>
      </c>
      <c r="X459" s="684">
        <v>0</v>
      </c>
      <c r="Y459" s="684">
        <v>0</v>
      </c>
      <c r="Z459" s="684">
        <v>0</v>
      </c>
      <c r="AA459" s="684">
        <v>0</v>
      </c>
      <c r="AB459" s="684">
        <v>0</v>
      </c>
      <c r="AC459" s="684">
        <v>0</v>
      </c>
      <c r="AD459" s="684">
        <v>0</v>
      </c>
      <c r="AE459" s="684">
        <v>0</v>
      </c>
      <c r="AF459" s="684">
        <v>0</v>
      </c>
      <c r="AG459" s="684">
        <v>0</v>
      </c>
      <c r="AH459" s="718"/>
      <c r="AI459" s="718"/>
      <c r="AJ459" s="718"/>
      <c r="AK459" s="718"/>
      <c r="AL459" s="718"/>
      <c r="AM459" s="718"/>
      <c r="AN459" s="718"/>
      <c r="AO459" s="718"/>
      <c r="AP459" s="718"/>
      <c r="AQ459" s="718"/>
      <c r="AR459" s="718"/>
      <c r="AS459" s="718"/>
      <c r="AT459" s="718"/>
      <c r="AU459" s="718"/>
      <c r="AV459" s="718"/>
      <c r="AW459" s="718"/>
      <c r="AX459" s="718"/>
      <c r="AY459" s="718"/>
      <c r="AZ459" s="718"/>
      <c r="BA459" s="718"/>
      <c r="BB459" s="718"/>
      <c r="BC459" s="718"/>
      <c r="BD459" s="718"/>
      <c r="BE459" s="718"/>
      <c r="BF459" s="718"/>
      <c r="BG459" s="718"/>
      <c r="BH459" s="718"/>
      <c r="BI459" s="718"/>
      <c r="BJ459" s="718"/>
      <c r="BK459" s="718"/>
      <c r="BL459" s="718"/>
      <c r="BM459" s="718"/>
      <c r="BN459" s="718"/>
      <c r="BO459" s="718"/>
      <c r="BP459" s="718"/>
      <c r="BQ459" s="718"/>
      <c r="BR459" s="718"/>
      <c r="BS459" s="718"/>
      <c r="BT459" s="718"/>
      <c r="BU459" s="718"/>
      <c r="BV459" s="718"/>
      <c r="BW459" s="718"/>
      <c r="BX459" s="718"/>
      <c r="BY459" s="718"/>
      <c r="BZ459" s="718"/>
      <c r="CA459" s="718"/>
    </row>
    <row r="460" spans="1:79" s="308" customFormat="1" outlineLevel="1" x14ac:dyDescent="0.25">
      <c r="A460" s="656"/>
      <c r="B460" s="571"/>
      <c r="C460" s="571"/>
      <c r="D460" s="571"/>
      <c r="E460" s="570" t="s">
        <v>1342</v>
      </c>
      <c r="F460" s="656" t="s">
        <v>891</v>
      </c>
      <c r="G460" s="719"/>
      <c r="H460" s="719"/>
      <c r="I460" s="719"/>
      <c r="J460" s="719"/>
      <c r="K460" s="719"/>
      <c r="L460" s="719"/>
      <c r="M460" s="719"/>
      <c r="N460" s="719"/>
      <c r="O460" s="719"/>
      <c r="P460" s="716"/>
      <c r="Q460" s="716"/>
      <c r="R460" s="716"/>
      <c r="S460" s="684">
        <v>0</v>
      </c>
      <c r="T460" s="684">
        <v>0</v>
      </c>
      <c r="U460" s="684">
        <v>0</v>
      </c>
      <c r="V460" s="684">
        <v>0</v>
      </c>
      <c r="W460" s="684">
        <v>0</v>
      </c>
      <c r="X460" s="684">
        <v>0</v>
      </c>
      <c r="Y460" s="684">
        <v>0</v>
      </c>
      <c r="Z460" s="684">
        <v>0</v>
      </c>
      <c r="AA460" s="684">
        <v>0</v>
      </c>
      <c r="AB460" s="684">
        <v>0</v>
      </c>
      <c r="AC460" s="684">
        <v>0</v>
      </c>
      <c r="AD460" s="684">
        <v>0</v>
      </c>
      <c r="AE460" s="684">
        <v>0</v>
      </c>
      <c r="AF460" s="684">
        <v>0</v>
      </c>
      <c r="AG460" s="684">
        <v>0</v>
      </c>
      <c r="AH460" s="718"/>
      <c r="AI460" s="718"/>
      <c r="AJ460" s="718"/>
      <c r="AK460" s="718"/>
      <c r="AL460" s="718"/>
      <c r="AM460" s="718"/>
      <c r="AN460" s="718"/>
      <c r="AO460" s="718"/>
      <c r="AP460" s="718"/>
      <c r="AQ460" s="718"/>
      <c r="AR460" s="718"/>
      <c r="AS460" s="718"/>
      <c r="AT460" s="718"/>
      <c r="AU460" s="718"/>
      <c r="AV460" s="718"/>
      <c r="AW460" s="718"/>
      <c r="AX460" s="718"/>
      <c r="AY460" s="718"/>
      <c r="AZ460" s="718"/>
      <c r="BA460" s="718"/>
      <c r="BB460" s="718"/>
      <c r="BC460" s="718"/>
      <c r="BD460" s="718"/>
      <c r="BE460" s="718"/>
      <c r="BF460" s="718"/>
      <c r="BG460" s="718"/>
      <c r="BH460" s="718"/>
      <c r="BI460" s="718"/>
      <c r="BJ460" s="718"/>
      <c r="BK460" s="718"/>
      <c r="BL460" s="718"/>
      <c r="BM460" s="718"/>
      <c r="BN460" s="718"/>
      <c r="BO460" s="718"/>
      <c r="BP460" s="718"/>
      <c r="BQ460" s="718"/>
      <c r="BR460" s="718"/>
      <c r="BS460" s="718"/>
      <c r="BT460" s="718"/>
      <c r="BU460" s="718"/>
      <c r="BV460" s="718"/>
      <c r="BW460" s="718"/>
      <c r="BX460" s="718"/>
      <c r="BY460" s="718"/>
      <c r="BZ460" s="718"/>
      <c r="CA460" s="718"/>
    </row>
    <row r="461" spans="1:79" s="308" customFormat="1" outlineLevel="1" x14ac:dyDescent="0.25">
      <c r="A461" s="656"/>
      <c r="B461" s="571"/>
      <c r="C461" s="571"/>
      <c r="D461" s="571"/>
      <c r="E461" s="570" t="s">
        <v>1342</v>
      </c>
      <c r="F461" s="656" t="s">
        <v>671</v>
      </c>
      <c r="G461" s="719"/>
      <c r="H461" s="719"/>
      <c r="I461" s="719"/>
      <c r="J461" s="719"/>
      <c r="K461" s="719"/>
      <c r="L461" s="719"/>
      <c r="M461" s="719"/>
      <c r="N461" s="719"/>
      <c r="O461" s="719"/>
      <c r="P461" s="716"/>
      <c r="Q461" s="716"/>
      <c r="R461" s="716"/>
      <c r="S461" s="684">
        <v>0</v>
      </c>
      <c r="T461" s="684">
        <v>0</v>
      </c>
      <c r="U461" s="684">
        <v>0</v>
      </c>
      <c r="V461" s="684">
        <v>0</v>
      </c>
      <c r="W461" s="684">
        <v>0</v>
      </c>
      <c r="X461" s="684">
        <v>0</v>
      </c>
      <c r="Y461" s="684">
        <v>0</v>
      </c>
      <c r="Z461" s="684">
        <v>0</v>
      </c>
      <c r="AA461" s="684">
        <v>0</v>
      </c>
      <c r="AB461" s="684">
        <v>0</v>
      </c>
      <c r="AC461" s="684">
        <v>0</v>
      </c>
      <c r="AD461" s="684">
        <v>0</v>
      </c>
      <c r="AE461" s="684">
        <v>0</v>
      </c>
      <c r="AF461" s="684">
        <v>0</v>
      </c>
      <c r="AG461" s="684">
        <v>0</v>
      </c>
      <c r="AH461" s="718"/>
      <c r="AI461" s="718"/>
      <c r="AJ461" s="718"/>
      <c r="AK461" s="718"/>
      <c r="AL461" s="718"/>
      <c r="AM461" s="718"/>
      <c r="AN461" s="718"/>
      <c r="AO461" s="718"/>
      <c r="AP461" s="718"/>
      <c r="AQ461" s="718"/>
      <c r="AR461" s="718"/>
      <c r="AS461" s="718"/>
      <c r="AT461" s="718"/>
      <c r="AU461" s="718"/>
      <c r="AV461" s="718"/>
      <c r="AW461" s="718"/>
      <c r="AX461" s="718"/>
      <c r="AY461" s="718"/>
      <c r="AZ461" s="718"/>
      <c r="BA461" s="718"/>
      <c r="BB461" s="718"/>
      <c r="BC461" s="718"/>
      <c r="BD461" s="718"/>
      <c r="BE461" s="718"/>
      <c r="BF461" s="718"/>
      <c r="BG461" s="718"/>
      <c r="BH461" s="718"/>
      <c r="BI461" s="718"/>
      <c r="BJ461" s="718"/>
      <c r="BK461" s="718"/>
      <c r="BL461" s="718"/>
      <c r="BM461" s="718"/>
      <c r="BN461" s="718"/>
      <c r="BO461" s="718"/>
      <c r="BP461" s="718"/>
      <c r="BQ461" s="718"/>
      <c r="BR461" s="718"/>
      <c r="BS461" s="718"/>
      <c r="BT461" s="718"/>
      <c r="BU461" s="718"/>
      <c r="BV461" s="718"/>
      <c r="BW461" s="718"/>
      <c r="BX461" s="718"/>
      <c r="BY461" s="718"/>
      <c r="BZ461" s="718"/>
      <c r="CA461" s="718"/>
    </row>
    <row r="462" spans="1:79" s="308" customFormat="1" outlineLevel="1" x14ac:dyDescent="0.25">
      <c r="A462" s="656"/>
      <c r="B462" s="571"/>
      <c r="C462" s="571"/>
      <c r="D462" s="571"/>
      <c r="E462" s="570" t="s">
        <v>1342</v>
      </c>
      <c r="F462" s="656" t="s">
        <v>892</v>
      </c>
      <c r="G462" s="719"/>
      <c r="H462" s="719"/>
      <c r="I462" s="719"/>
      <c r="J462" s="719"/>
      <c r="K462" s="719"/>
      <c r="L462" s="719"/>
      <c r="M462" s="719"/>
      <c r="N462" s="719"/>
      <c r="O462" s="719"/>
      <c r="P462" s="716"/>
      <c r="Q462" s="716"/>
      <c r="R462" s="716"/>
      <c r="S462" s="684">
        <v>0</v>
      </c>
      <c r="T462" s="684">
        <v>0</v>
      </c>
      <c r="U462" s="684">
        <v>0</v>
      </c>
      <c r="V462" s="684">
        <v>0</v>
      </c>
      <c r="W462" s="684">
        <v>0</v>
      </c>
      <c r="X462" s="684">
        <v>0</v>
      </c>
      <c r="Y462" s="684">
        <v>0</v>
      </c>
      <c r="Z462" s="684">
        <v>0</v>
      </c>
      <c r="AA462" s="684">
        <v>0</v>
      </c>
      <c r="AB462" s="684">
        <v>0</v>
      </c>
      <c r="AC462" s="684">
        <v>0</v>
      </c>
      <c r="AD462" s="684">
        <v>0</v>
      </c>
      <c r="AE462" s="684">
        <v>0</v>
      </c>
      <c r="AF462" s="684">
        <v>0</v>
      </c>
      <c r="AG462" s="684">
        <v>0</v>
      </c>
      <c r="AH462" s="718"/>
      <c r="AI462" s="718"/>
      <c r="AJ462" s="718"/>
      <c r="AK462" s="718"/>
      <c r="AL462" s="718"/>
      <c r="AM462" s="718"/>
      <c r="AN462" s="718"/>
      <c r="AO462" s="718"/>
      <c r="AP462" s="718"/>
      <c r="AQ462" s="718"/>
      <c r="AR462" s="718"/>
      <c r="AS462" s="718"/>
      <c r="AT462" s="718"/>
      <c r="AU462" s="718"/>
      <c r="AV462" s="718"/>
      <c r="AW462" s="718"/>
      <c r="AX462" s="718"/>
      <c r="AY462" s="718"/>
      <c r="AZ462" s="718"/>
      <c r="BA462" s="718"/>
      <c r="BB462" s="718"/>
      <c r="BC462" s="718"/>
      <c r="BD462" s="718"/>
      <c r="BE462" s="718"/>
      <c r="BF462" s="718"/>
      <c r="BG462" s="718"/>
      <c r="BH462" s="718"/>
      <c r="BI462" s="718"/>
      <c r="BJ462" s="718"/>
      <c r="BK462" s="718"/>
      <c r="BL462" s="718"/>
      <c r="BM462" s="718"/>
      <c r="BN462" s="718"/>
      <c r="BO462" s="718"/>
      <c r="BP462" s="718"/>
      <c r="BQ462" s="718"/>
      <c r="BR462" s="718"/>
      <c r="BS462" s="718"/>
      <c r="BT462" s="718"/>
      <c r="BU462" s="718"/>
      <c r="BV462" s="718"/>
      <c r="BW462" s="718"/>
      <c r="BX462" s="718"/>
      <c r="BY462" s="718"/>
      <c r="BZ462" s="718"/>
      <c r="CA462" s="718"/>
    </row>
    <row r="463" spans="1:79" s="308" customFormat="1" outlineLevel="1" x14ac:dyDescent="0.25">
      <c r="A463" s="657"/>
      <c r="B463" s="571"/>
      <c r="C463" s="571"/>
      <c r="D463" s="571"/>
      <c r="E463" s="570" t="s">
        <v>49</v>
      </c>
      <c r="F463" s="657" t="s">
        <v>672</v>
      </c>
      <c r="G463" s="664">
        <f>SUM(G459:G462)</f>
        <v>0</v>
      </c>
      <c r="H463" s="664">
        <f t="shared" ref="H463:BO463" si="153">SUM(H459:H462)</f>
        <v>0</v>
      </c>
      <c r="I463" s="664">
        <f t="shared" si="153"/>
        <v>0</v>
      </c>
      <c r="J463" s="664">
        <f t="shared" si="153"/>
        <v>0</v>
      </c>
      <c r="K463" s="664">
        <f t="shared" si="153"/>
        <v>0</v>
      </c>
      <c r="L463" s="664">
        <f t="shared" si="153"/>
        <v>0</v>
      </c>
      <c r="M463" s="664">
        <f t="shared" si="153"/>
        <v>0</v>
      </c>
      <c r="N463" s="664">
        <f t="shared" si="153"/>
        <v>0</v>
      </c>
      <c r="O463" s="664">
        <f t="shared" si="153"/>
        <v>0</v>
      </c>
      <c r="P463" s="664">
        <f t="shared" si="153"/>
        <v>0</v>
      </c>
      <c r="Q463" s="664">
        <f t="shared" si="153"/>
        <v>0</v>
      </c>
      <c r="R463" s="664">
        <f t="shared" si="153"/>
        <v>0</v>
      </c>
      <c r="S463" s="680">
        <f t="shared" ref="S463:AA463" si="154">ROUND(SUM(S458:S462),5)</f>
        <v>0</v>
      </c>
      <c r="T463" s="680">
        <f t="shared" si="154"/>
        <v>0</v>
      </c>
      <c r="U463" s="680">
        <f t="shared" si="154"/>
        <v>0</v>
      </c>
      <c r="V463" s="680">
        <f t="shared" si="154"/>
        <v>0</v>
      </c>
      <c r="W463" s="680">
        <f t="shared" si="154"/>
        <v>0</v>
      </c>
      <c r="X463" s="680">
        <f t="shared" si="154"/>
        <v>0</v>
      </c>
      <c r="Y463" s="680">
        <f t="shared" si="154"/>
        <v>0</v>
      </c>
      <c r="Z463" s="680">
        <f t="shared" si="154"/>
        <v>0</v>
      </c>
      <c r="AA463" s="680">
        <f t="shared" si="154"/>
        <v>0</v>
      </c>
      <c r="AB463" s="680">
        <f t="shared" ref="AB463:AG463" si="155">ROUND(SUM(AB458:AB462),5)</f>
        <v>0</v>
      </c>
      <c r="AC463" s="680">
        <f t="shared" si="155"/>
        <v>0</v>
      </c>
      <c r="AD463" s="680">
        <f t="shared" si="155"/>
        <v>0</v>
      </c>
      <c r="AE463" s="680">
        <f t="shared" si="155"/>
        <v>0</v>
      </c>
      <c r="AF463" s="680">
        <f t="shared" si="155"/>
        <v>0</v>
      </c>
      <c r="AG463" s="680">
        <f t="shared" si="155"/>
        <v>0</v>
      </c>
      <c r="AH463" s="664">
        <f t="shared" si="153"/>
        <v>0</v>
      </c>
      <c r="AI463" s="664">
        <f t="shared" si="153"/>
        <v>0</v>
      </c>
      <c r="AJ463" s="664">
        <f t="shared" si="153"/>
        <v>0</v>
      </c>
      <c r="AK463" s="664">
        <f t="shared" si="153"/>
        <v>0</v>
      </c>
      <c r="AL463" s="664">
        <f t="shared" si="153"/>
        <v>0</v>
      </c>
      <c r="AM463" s="664">
        <f t="shared" si="153"/>
        <v>0</v>
      </c>
      <c r="AN463" s="664">
        <f t="shared" si="153"/>
        <v>0</v>
      </c>
      <c r="AO463" s="664">
        <f t="shared" si="153"/>
        <v>0</v>
      </c>
      <c r="AP463" s="664">
        <f t="shared" si="153"/>
        <v>0</v>
      </c>
      <c r="AQ463" s="664">
        <f t="shared" si="153"/>
        <v>0</v>
      </c>
      <c r="AR463" s="664">
        <f t="shared" si="153"/>
        <v>0</v>
      </c>
      <c r="AS463" s="664">
        <f t="shared" si="153"/>
        <v>0</v>
      </c>
      <c r="AT463" s="664">
        <f t="shared" si="153"/>
        <v>0</v>
      </c>
      <c r="AU463" s="664">
        <f t="shared" si="153"/>
        <v>0</v>
      </c>
      <c r="AV463" s="664">
        <f t="shared" si="153"/>
        <v>0</v>
      </c>
      <c r="AW463" s="664">
        <f t="shared" si="153"/>
        <v>0</v>
      </c>
      <c r="AX463" s="664">
        <f t="shared" si="153"/>
        <v>0</v>
      </c>
      <c r="AY463" s="664">
        <f t="shared" si="153"/>
        <v>0</v>
      </c>
      <c r="AZ463" s="664">
        <f t="shared" si="153"/>
        <v>0</v>
      </c>
      <c r="BA463" s="664">
        <f t="shared" si="153"/>
        <v>0</v>
      </c>
      <c r="BB463" s="664">
        <f t="shared" si="153"/>
        <v>0</v>
      </c>
      <c r="BC463" s="664">
        <f t="shared" si="153"/>
        <v>0</v>
      </c>
      <c r="BD463" s="664">
        <f t="shared" si="153"/>
        <v>0</v>
      </c>
      <c r="BE463" s="664">
        <f t="shared" si="153"/>
        <v>0</v>
      </c>
      <c r="BF463" s="664">
        <f t="shared" si="153"/>
        <v>0</v>
      </c>
      <c r="BG463" s="664">
        <f t="shared" si="153"/>
        <v>0</v>
      </c>
      <c r="BH463" s="664">
        <f t="shared" si="153"/>
        <v>0</v>
      </c>
      <c r="BI463" s="664">
        <f t="shared" si="153"/>
        <v>0</v>
      </c>
      <c r="BJ463" s="664">
        <f t="shared" si="153"/>
        <v>0</v>
      </c>
      <c r="BK463" s="664">
        <f t="shared" si="153"/>
        <v>0</v>
      </c>
      <c r="BL463" s="664">
        <f t="shared" si="153"/>
        <v>0</v>
      </c>
      <c r="BM463" s="664">
        <f t="shared" si="153"/>
        <v>0</v>
      </c>
      <c r="BN463" s="664">
        <f t="shared" si="153"/>
        <v>0</v>
      </c>
      <c r="BO463" s="664">
        <f t="shared" si="153"/>
        <v>0</v>
      </c>
      <c r="BP463" s="664">
        <f t="shared" ref="BP463:CA463" si="156">SUM(BP459:BP462)</f>
        <v>0</v>
      </c>
      <c r="BQ463" s="664">
        <f t="shared" si="156"/>
        <v>0</v>
      </c>
      <c r="BR463" s="664">
        <f t="shared" si="156"/>
        <v>0</v>
      </c>
      <c r="BS463" s="664">
        <f t="shared" si="156"/>
        <v>0</v>
      </c>
      <c r="BT463" s="664">
        <f t="shared" si="156"/>
        <v>0</v>
      </c>
      <c r="BU463" s="664">
        <f t="shared" si="156"/>
        <v>0</v>
      </c>
      <c r="BV463" s="664">
        <f t="shared" si="156"/>
        <v>0</v>
      </c>
      <c r="BW463" s="664">
        <f t="shared" si="156"/>
        <v>0</v>
      </c>
      <c r="BX463" s="664">
        <f t="shared" si="156"/>
        <v>0</v>
      </c>
      <c r="BY463" s="664">
        <f t="shared" si="156"/>
        <v>0</v>
      </c>
      <c r="BZ463" s="664">
        <f t="shared" si="156"/>
        <v>0</v>
      </c>
      <c r="CA463" s="664">
        <f t="shared" si="156"/>
        <v>0</v>
      </c>
    </row>
    <row r="464" spans="1:79" outlineLevel="1" x14ac:dyDescent="0.25">
      <c r="A464" s="658"/>
      <c r="E464" s="570" t="s">
        <v>1076</v>
      </c>
      <c r="F464" s="658" t="s">
        <v>648</v>
      </c>
      <c r="G464" s="716">
        <v>174.06724698838696</v>
      </c>
      <c r="H464" s="716">
        <v>95.374102704501041</v>
      </c>
      <c r="I464" s="716">
        <v>66.184522504919599</v>
      </c>
      <c r="J464" s="716">
        <v>27.127552183081775</v>
      </c>
      <c r="K464" s="716">
        <v>28.488194812932644</v>
      </c>
      <c r="L464" s="716">
        <v>31.660962601229642</v>
      </c>
      <c r="M464" s="716">
        <v>206.53780807699039</v>
      </c>
      <c r="N464" s="716">
        <v>38.604712006647205</v>
      </c>
      <c r="O464" s="716">
        <v>44.881389688614433</v>
      </c>
      <c r="P464" s="716">
        <v>346.49855428965691</v>
      </c>
      <c r="Q464" s="716">
        <v>44.767327939326613</v>
      </c>
      <c r="R464" s="716">
        <v>39.969293495838301</v>
      </c>
      <c r="S464" s="688">
        <v>0</v>
      </c>
      <c r="T464" s="688">
        <v>43.26</v>
      </c>
      <c r="U464" s="688">
        <v>26.51</v>
      </c>
      <c r="V464" s="688">
        <v>0</v>
      </c>
      <c r="W464" s="688">
        <v>50</v>
      </c>
      <c r="X464" s="688">
        <v>0</v>
      </c>
      <c r="Y464" s="688">
        <v>0</v>
      </c>
      <c r="Z464" s="688">
        <v>0</v>
      </c>
      <c r="AA464" s="688">
        <v>0</v>
      </c>
      <c r="AB464" s="688">
        <v>0</v>
      </c>
      <c r="AC464" s="688">
        <v>0</v>
      </c>
      <c r="AD464" s="688">
        <v>0</v>
      </c>
      <c r="AE464" s="688">
        <v>0</v>
      </c>
      <c r="AF464" s="688">
        <v>0</v>
      </c>
      <c r="AG464" s="688">
        <v>0</v>
      </c>
      <c r="AH464" s="718"/>
      <c r="AI464" s="718"/>
      <c r="AJ464" s="718"/>
      <c r="AK464" s="718"/>
      <c r="AL464" s="718"/>
      <c r="AM464" s="718"/>
      <c r="AN464" s="718"/>
      <c r="AO464" s="718"/>
      <c r="AP464" s="718"/>
      <c r="AQ464" s="718"/>
      <c r="AR464" s="718"/>
      <c r="AS464" s="718"/>
      <c r="AT464" s="718"/>
      <c r="AU464" s="718"/>
      <c r="AV464" s="718"/>
      <c r="AW464" s="718"/>
      <c r="AX464" s="718"/>
      <c r="AY464" s="718"/>
      <c r="AZ464" s="718"/>
      <c r="BA464" s="718"/>
      <c r="BB464" s="718"/>
      <c r="BC464" s="718"/>
      <c r="BD464" s="718"/>
      <c r="BE464" s="718"/>
      <c r="BF464" s="718"/>
      <c r="BG464" s="718"/>
      <c r="BH464" s="718"/>
      <c r="BI464" s="718"/>
      <c r="BJ464" s="718"/>
      <c r="BK464" s="718"/>
      <c r="BL464" s="718"/>
      <c r="BM464" s="718"/>
      <c r="BN464" s="718"/>
      <c r="BO464" s="718"/>
      <c r="BP464" s="718"/>
      <c r="BQ464" s="718"/>
      <c r="BR464" s="718"/>
      <c r="BS464" s="718"/>
      <c r="BT464" s="718"/>
      <c r="BU464" s="718"/>
      <c r="BV464" s="718"/>
      <c r="BW464" s="718"/>
      <c r="BX464" s="718"/>
      <c r="BY464" s="718"/>
      <c r="BZ464" s="718"/>
      <c r="CA464" s="718"/>
    </row>
    <row r="465" spans="1:79" outlineLevel="1" x14ac:dyDescent="0.25">
      <c r="A465" s="658"/>
      <c r="E465" s="570" t="s">
        <v>431</v>
      </c>
      <c r="F465" s="658" t="s">
        <v>599</v>
      </c>
      <c r="G465" s="716">
        <v>111.24657689588867</v>
      </c>
      <c r="H465" s="716">
        <v>310.23786789748925</v>
      </c>
      <c r="I465" s="716">
        <v>278.19331173231518</v>
      </c>
      <c r="J465" s="716">
        <v>682.97162386959712</v>
      </c>
      <c r="K465" s="716">
        <v>504.40643030020044</v>
      </c>
      <c r="L465" s="716">
        <v>561.68373186851807</v>
      </c>
      <c r="M465" s="716">
        <v>381.54693317346693</v>
      </c>
      <c r="N465" s="716">
        <v>1060.8412692608422</v>
      </c>
      <c r="O465" s="716">
        <v>2133.1895171561737</v>
      </c>
      <c r="P465" s="716">
        <v>1560.6073788224332</v>
      </c>
      <c r="Q465" s="716">
        <v>697.21280793559595</v>
      </c>
      <c r="R465" s="716">
        <v>195.41037126893255</v>
      </c>
      <c r="S465" s="667">
        <v>3620.4</v>
      </c>
      <c r="T465" s="667">
        <v>6180.12</v>
      </c>
      <c r="U465" s="667">
        <v>635.97</v>
      </c>
      <c r="V465" s="667">
        <v>13565.36</v>
      </c>
      <c r="W465" s="667">
        <v>2247.19</v>
      </c>
      <c r="X465" s="667">
        <v>2060.0500000000002</v>
      </c>
      <c r="Y465" s="667">
        <v>1426.5</v>
      </c>
      <c r="Z465" s="667">
        <v>2824.62</v>
      </c>
      <c r="AA465" s="667">
        <v>4415.6000000000004</v>
      </c>
      <c r="AB465" s="667">
        <v>5955</v>
      </c>
      <c r="AC465" s="667">
        <v>101.34</v>
      </c>
      <c r="AD465" s="667">
        <v>1013.4</v>
      </c>
      <c r="AE465" s="667">
        <v>0</v>
      </c>
      <c r="AF465" s="667">
        <v>-4</v>
      </c>
      <c r="AG465" s="667">
        <v>3236.76</v>
      </c>
      <c r="AH465" s="718"/>
      <c r="AI465" s="718"/>
      <c r="AJ465" s="718"/>
      <c r="AK465" s="718"/>
      <c r="AL465" s="718"/>
      <c r="AM465" s="718"/>
      <c r="AN465" s="718"/>
      <c r="AO465" s="718"/>
      <c r="AP465" s="718"/>
      <c r="AQ465" s="718"/>
      <c r="AR465" s="718"/>
      <c r="AS465" s="718"/>
      <c r="AT465" s="718"/>
      <c r="AU465" s="718"/>
      <c r="AV465" s="718"/>
      <c r="AW465" s="718"/>
      <c r="AX465" s="718"/>
      <c r="AY465" s="718"/>
      <c r="AZ465" s="718"/>
      <c r="BA465" s="718"/>
      <c r="BB465" s="718"/>
      <c r="BC465" s="718"/>
      <c r="BD465" s="718"/>
      <c r="BE465" s="718"/>
      <c r="BF465" s="718"/>
      <c r="BG465" s="718"/>
      <c r="BH465" s="718"/>
      <c r="BI465" s="718"/>
      <c r="BJ465" s="718"/>
      <c r="BK465" s="718"/>
      <c r="BL465" s="718"/>
      <c r="BM465" s="718"/>
      <c r="BN465" s="718"/>
      <c r="BO465" s="718"/>
      <c r="BP465" s="718"/>
      <c r="BQ465" s="718"/>
      <c r="BR465" s="718"/>
      <c r="BS465" s="718"/>
      <c r="BT465" s="718"/>
      <c r="BU465" s="718"/>
      <c r="BV465" s="718"/>
      <c r="BW465" s="718"/>
      <c r="BX465" s="718"/>
      <c r="BY465" s="718"/>
      <c r="BZ465" s="718"/>
      <c r="CA465" s="718"/>
    </row>
    <row r="466" spans="1:79" s="693" customFormat="1" outlineLevel="1" x14ac:dyDescent="0.25">
      <c r="A466" s="691"/>
      <c r="E466" s="570" t="s">
        <v>1343</v>
      </c>
      <c r="F466" s="691" t="s">
        <v>673</v>
      </c>
      <c r="G466" s="734"/>
      <c r="H466" s="734"/>
      <c r="I466" s="734"/>
      <c r="J466" s="734"/>
      <c r="K466" s="734"/>
      <c r="L466" s="734"/>
      <c r="M466" s="734"/>
      <c r="N466" s="734"/>
      <c r="O466" s="734"/>
      <c r="P466" s="734"/>
      <c r="Q466" s="734"/>
      <c r="R466" s="734"/>
      <c r="S466" s="704"/>
      <c r="T466" s="704"/>
      <c r="U466" s="704"/>
      <c r="V466" s="704"/>
      <c r="W466" s="704"/>
      <c r="X466" s="704"/>
      <c r="Y466" s="704"/>
      <c r="Z466" s="704"/>
      <c r="AA466" s="704"/>
      <c r="AB466" s="704"/>
      <c r="AC466" s="704"/>
      <c r="AD466" s="704"/>
      <c r="AE466" s="704"/>
      <c r="AF466" s="704"/>
      <c r="AG466" s="704"/>
      <c r="AH466" s="736"/>
      <c r="AI466" s="736"/>
      <c r="AJ466" s="736"/>
      <c r="AK466" s="736"/>
      <c r="AL466" s="736"/>
      <c r="AM466" s="736"/>
      <c r="AN466" s="736"/>
      <c r="AO466" s="736"/>
      <c r="AP466" s="736"/>
      <c r="AQ466" s="736"/>
      <c r="AR466" s="736"/>
      <c r="AS466" s="736"/>
      <c r="AT466" s="736"/>
      <c r="AU466" s="736"/>
      <c r="AV466" s="736"/>
      <c r="AW466" s="736"/>
      <c r="AX466" s="736"/>
      <c r="AY466" s="736"/>
      <c r="AZ466" s="736"/>
      <c r="BA466" s="736"/>
      <c r="BB466" s="736"/>
      <c r="BC466" s="736"/>
      <c r="BD466" s="736"/>
      <c r="BE466" s="736"/>
      <c r="BF466" s="736"/>
      <c r="BG466" s="736"/>
      <c r="BH466" s="736"/>
      <c r="BI466" s="736"/>
      <c r="BJ466" s="736"/>
      <c r="BK466" s="736"/>
      <c r="BL466" s="736"/>
      <c r="BM466" s="736"/>
      <c r="BN466" s="736"/>
      <c r="BO466" s="736"/>
      <c r="BP466" s="736"/>
      <c r="BQ466" s="736"/>
      <c r="BR466" s="736"/>
      <c r="BS466" s="736"/>
      <c r="BT466" s="736"/>
      <c r="BU466" s="736"/>
      <c r="BV466" s="736"/>
      <c r="BW466" s="736"/>
      <c r="BX466" s="736"/>
      <c r="BY466" s="736"/>
      <c r="BZ466" s="736"/>
      <c r="CA466" s="736"/>
    </row>
    <row r="467" spans="1:79" outlineLevel="1" x14ac:dyDescent="0.25">
      <c r="A467" s="656"/>
      <c r="B467" s="570"/>
      <c r="C467" s="570"/>
      <c r="D467" s="570"/>
      <c r="E467" s="570" t="s">
        <v>1330</v>
      </c>
      <c r="F467" s="656" t="s">
        <v>893</v>
      </c>
      <c r="G467" s="716"/>
      <c r="H467" s="716"/>
      <c r="I467" s="716"/>
      <c r="J467" s="716"/>
      <c r="K467" s="716"/>
      <c r="L467" s="716"/>
      <c r="M467" s="716"/>
      <c r="N467" s="716"/>
      <c r="O467" s="716"/>
      <c r="P467" s="716"/>
      <c r="Q467" s="716"/>
      <c r="R467" s="716"/>
      <c r="S467" s="667">
        <v>0</v>
      </c>
      <c r="T467" s="667">
        <v>0</v>
      </c>
      <c r="U467" s="667">
        <v>0</v>
      </c>
      <c r="V467" s="667">
        <v>0</v>
      </c>
      <c r="W467" s="667">
        <v>0</v>
      </c>
      <c r="X467" s="667">
        <v>0</v>
      </c>
      <c r="Y467" s="667">
        <v>0</v>
      </c>
      <c r="Z467" s="667">
        <v>0</v>
      </c>
      <c r="AA467" s="667">
        <v>0</v>
      </c>
      <c r="AB467" s="667">
        <v>0</v>
      </c>
      <c r="AC467" s="667">
        <v>0</v>
      </c>
      <c r="AD467" s="667">
        <v>0</v>
      </c>
      <c r="AE467" s="667">
        <v>0</v>
      </c>
      <c r="AF467" s="667">
        <v>0</v>
      </c>
      <c r="AG467" s="667">
        <v>0</v>
      </c>
      <c r="AH467" s="718"/>
      <c r="AI467" s="718"/>
      <c r="AJ467" s="718"/>
      <c r="AK467" s="718"/>
      <c r="AL467" s="718"/>
      <c r="AM467" s="718"/>
      <c r="AN467" s="718"/>
      <c r="AO467" s="718"/>
      <c r="AP467" s="718"/>
      <c r="AQ467" s="718"/>
      <c r="AR467" s="718"/>
      <c r="AS467" s="718"/>
      <c r="AT467" s="718"/>
      <c r="AU467" s="718"/>
      <c r="AV467" s="718"/>
      <c r="AW467" s="718"/>
      <c r="AX467" s="718"/>
      <c r="AY467" s="718"/>
      <c r="AZ467" s="718"/>
      <c r="BA467" s="718"/>
      <c r="BB467" s="718"/>
      <c r="BC467" s="718"/>
      <c r="BD467" s="718"/>
      <c r="BE467" s="718"/>
      <c r="BF467" s="718"/>
      <c r="BG467" s="718"/>
      <c r="BH467" s="718"/>
      <c r="BI467" s="718"/>
      <c r="BJ467" s="718"/>
      <c r="BK467" s="718"/>
      <c r="BL467" s="718"/>
      <c r="BM467" s="718"/>
      <c r="BN467" s="718"/>
      <c r="BO467" s="718"/>
      <c r="BP467" s="718"/>
      <c r="BQ467" s="718"/>
      <c r="BR467" s="718"/>
      <c r="BS467" s="718"/>
      <c r="BT467" s="718"/>
      <c r="BU467" s="718"/>
      <c r="BV467" s="718"/>
      <c r="BW467" s="718"/>
      <c r="BX467" s="718"/>
      <c r="BY467" s="718"/>
      <c r="BZ467" s="718"/>
      <c r="CA467" s="718"/>
    </row>
    <row r="468" spans="1:79" outlineLevel="1" x14ac:dyDescent="0.25">
      <c r="A468" s="656"/>
      <c r="B468" s="570"/>
      <c r="C468" s="570"/>
      <c r="D468" s="570"/>
      <c r="E468" s="570" t="s">
        <v>1343</v>
      </c>
      <c r="F468" s="656" t="s">
        <v>674</v>
      </c>
      <c r="G468" s="716"/>
      <c r="H468" s="716"/>
      <c r="I468" s="716"/>
      <c r="J468" s="716"/>
      <c r="K468" s="716"/>
      <c r="L468" s="716"/>
      <c r="M468" s="716"/>
      <c r="N468" s="716"/>
      <c r="O468" s="716"/>
      <c r="P468" s="716"/>
      <c r="Q468" s="716"/>
      <c r="R468" s="716"/>
      <c r="S468" s="667">
        <v>0</v>
      </c>
      <c r="T468" s="667">
        <v>0</v>
      </c>
      <c r="U468" s="667">
        <v>0</v>
      </c>
      <c r="V468" s="667">
        <v>0</v>
      </c>
      <c r="W468" s="667">
        <v>0</v>
      </c>
      <c r="X468" s="667">
        <v>0</v>
      </c>
      <c r="Y468" s="667">
        <v>0</v>
      </c>
      <c r="Z468" s="667">
        <v>0</v>
      </c>
      <c r="AA468" s="667">
        <v>0</v>
      </c>
      <c r="AB468" s="667">
        <v>0</v>
      </c>
      <c r="AC468" s="667">
        <v>0</v>
      </c>
      <c r="AD468" s="667">
        <v>0</v>
      </c>
      <c r="AE468" s="667">
        <v>0</v>
      </c>
      <c r="AF468" s="667">
        <v>0</v>
      </c>
      <c r="AG468" s="667">
        <v>0</v>
      </c>
      <c r="AH468" s="718"/>
      <c r="AI468" s="718"/>
      <c r="AJ468" s="718"/>
      <c r="AK468" s="718"/>
      <c r="AL468" s="718"/>
      <c r="AM468" s="718"/>
      <c r="AN468" s="718"/>
      <c r="AO468" s="718"/>
      <c r="AP468" s="718"/>
      <c r="AQ468" s="718"/>
      <c r="AR468" s="718"/>
      <c r="AS468" s="718"/>
      <c r="AT468" s="718"/>
      <c r="AU468" s="718"/>
      <c r="AV468" s="718"/>
      <c r="AW468" s="718"/>
      <c r="AX468" s="718"/>
      <c r="AY468" s="718"/>
      <c r="AZ468" s="718"/>
      <c r="BA468" s="718"/>
      <c r="BB468" s="718"/>
      <c r="BC468" s="718"/>
      <c r="BD468" s="718"/>
      <c r="BE468" s="718"/>
      <c r="BF468" s="718"/>
      <c r="BG468" s="718"/>
      <c r="BH468" s="718"/>
      <c r="BI468" s="718"/>
      <c r="BJ468" s="718"/>
      <c r="BK468" s="718"/>
      <c r="BL468" s="718"/>
      <c r="BM468" s="718"/>
      <c r="BN468" s="718"/>
      <c r="BO468" s="718"/>
      <c r="BP468" s="718"/>
      <c r="BQ468" s="718"/>
      <c r="BR468" s="718"/>
      <c r="BS468" s="718"/>
      <c r="BT468" s="718"/>
      <c r="BU468" s="718"/>
      <c r="BV468" s="718"/>
      <c r="BW468" s="718"/>
      <c r="BX468" s="718"/>
      <c r="BY468" s="718"/>
      <c r="BZ468" s="718"/>
      <c r="CA468" s="718"/>
    </row>
    <row r="469" spans="1:79" outlineLevel="1" x14ac:dyDescent="0.25">
      <c r="A469" s="656"/>
      <c r="B469" s="570"/>
      <c r="C469" s="570"/>
      <c r="D469" s="570"/>
      <c r="E469" s="570" t="s">
        <v>1343</v>
      </c>
      <c r="F469" s="656" t="s">
        <v>894</v>
      </c>
      <c r="G469" s="716"/>
      <c r="H469" s="716"/>
      <c r="I469" s="716"/>
      <c r="J469" s="716"/>
      <c r="K469" s="716"/>
      <c r="L469" s="716"/>
      <c r="M469" s="716"/>
      <c r="N469" s="716"/>
      <c r="O469" s="716"/>
      <c r="P469" s="716"/>
      <c r="Q469" s="716"/>
      <c r="R469" s="716"/>
      <c r="S469" s="667">
        <v>0</v>
      </c>
      <c r="T469" s="667">
        <v>0</v>
      </c>
      <c r="U469" s="667">
        <v>0</v>
      </c>
      <c r="V469" s="667">
        <v>0</v>
      </c>
      <c r="W469" s="667">
        <v>0</v>
      </c>
      <c r="X469" s="667">
        <v>0</v>
      </c>
      <c r="Y469" s="667">
        <v>0</v>
      </c>
      <c r="Z469" s="667">
        <v>0</v>
      </c>
      <c r="AA469" s="667">
        <v>0</v>
      </c>
      <c r="AB469" s="667">
        <v>0</v>
      </c>
      <c r="AC469" s="667">
        <v>0</v>
      </c>
      <c r="AD469" s="667">
        <v>0</v>
      </c>
      <c r="AE469" s="667">
        <v>0</v>
      </c>
      <c r="AF469" s="667">
        <v>0</v>
      </c>
      <c r="AG469" s="667">
        <v>0</v>
      </c>
      <c r="AH469" s="718"/>
      <c r="AI469" s="718"/>
      <c r="AJ469" s="718"/>
      <c r="AK469" s="718"/>
      <c r="AL469" s="718"/>
      <c r="AM469" s="718"/>
      <c r="AN469" s="718"/>
      <c r="AO469" s="718"/>
      <c r="AP469" s="718"/>
      <c r="AQ469" s="718"/>
      <c r="AR469" s="718"/>
      <c r="AS469" s="718"/>
      <c r="AT469" s="718"/>
      <c r="AU469" s="718"/>
      <c r="AV469" s="718"/>
      <c r="AW469" s="718"/>
      <c r="AX469" s="718"/>
      <c r="AY469" s="718"/>
      <c r="AZ469" s="718"/>
      <c r="BA469" s="718"/>
      <c r="BB469" s="718"/>
      <c r="BC469" s="718"/>
      <c r="BD469" s="718"/>
      <c r="BE469" s="718"/>
      <c r="BF469" s="718"/>
      <c r="BG469" s="718"/>
      <c r="BH469" s="718"/>
      <c r="BI469" s="718"/>
      <c r="BJ469" s="718"/>
      <c r="BK469" s="718"/>
      <c r="BL469" s="718"/>
      <c r="BM469" s="718"/>
      <c r="BN469" s="718"/>
      <c r="BO469" s="718"/>
      <c r="BP469" s="718"/>
      <c r="BQ469" s="718"/>
      <c r="BR469" s="718"/>
      <c r="BS469" s="718"/>
      <c r="BT469" s="718"/>
      <c r="BU469" s="718"/>
      <c r="BV469" s="718"/>
      <c r="BW469" s="718"/>
      <c r="BX469" s="718"/>
      <c r="BY469" s="718"/>
      <c r="BZ469" s="718"/>
      <c r="CA469" s="718"/>
    </row>
    <row r="470" spans="1:79" outlineLevel="1" x14ac:dyDescent="0.25">
      <c r="A470" s="656"/>
      <c r="B470" s="570"/>
      <c r="C470" s="570"/>
      <c r="D470" s="570"/>
      <c r="E470" s="570" t="s">
        <v>1343</v>
      </c>
      <c r="F470" s="656" t="s">
        <v>765</v>
      </c>
      <c r="G470" s="716"/>
      <c r="H470" s="716"/>
      <c r="I470" s="716"/>
      <c r="J470" s="716"/>
      <c r="K470" s="716"/>
      <c r="L470" s="716"/>
      <c r="M470" s="716"/>
      <c r="N470" s="716"/>
      <c r="O470" s="716"/>
      <c r="P470" s="716"/>
      <c r="Q470" s="716"/>
      <c r="R470" s="716"/>
      <c r="S470" s="667">
        <v>0</v>
      </c>
      <c r="T470" s="667">
        <v>0</v>
      </c>
      <c r="U470" s="667">
        <v>0</v>
      </c>
      <c r="V470" s="667">
        <v>0</v>
      </c>
      <c r="W470" s="667">
        <v>0</v>
      </c>
      <c r="X470" s="667">
        <v>0</v>
      </c>
      <c r="Y470" s="667">
        <v>0</v>
      </c>
      <c r="Z470" s="667">
        <v>0</v>
      </c>
      <c r="AA470" s="667">
        <v>0</v>
      </c>
      <c r="AB470" s="667">
        <v>0</v>
      </c>
      <c r="AC470" s="667">
        <v>0</v>
      </c>
      <c r="AD470" s="667">
        <v>0</v>
      </c>
      <c r="AE470" s="667">
        <v>0</v>
      </c>
      <c r="AF470" s="667">
        <v>0</v>
      </c>
      <c r="AG470" s="667">
        <v>0</v>
      </c>
      <c r="AH470" s="718"/>
      <c r="AI470" s="718"/>
      <c r="AJ470" s="718"/>
      <c r="AK470" s="718"/>
      <c r="AL470" s="718"/>
      <c r="AM470" s="718"/>
      <c r="AN470" s="718"/>
      <c r="AO470" s="718"/>
      <c r="AP470" s="718"/>
      <c r="AQ470" s="718"/>
      <c r="AR470" s="718"/>
      <c r="AS470" s="718"/>
      <c r="AT470" s="718"/>
      <c r="AU470" s="718"/>
      <c r="AV470" s="718"/>
      <c r="AW470" s="718"/>
      <c r="AX470" s="718"/>
      <c r="AY470" s="718"/>
      <c r="AZ470" s="718"/>
      <c r="BA470" s="718"/>
      <c r="BB470" s="718"/>
      <c r="BC470" s="718"/>
      <c r="BD470" s="718"/>
      <c r="BE470" s="718"/>
      <c r="BF470" s="718"/>
      <c r="BG470" s="718"/>
      <c r="BH470" s="718"/>
      <c r="BI470" s="718"/>
      <c r="BJ470" s="718"/>
      <c r="BK470" s="718"/>
      <c r="BL470" s="718"/>
      <c r="BM470" s="718"/>
      <c r="BN470" s="718"/>
      <c r="BO470" s="718"/>
      <c r="BP470" s="718"/>
      <c r="BQ470" s="718"/>
      <c r="BR470" s="718"/>
      <c r="BS470" s="718"/>
      <c r="BT470" s="718"/>
      <c r="BU470" s="718"/>
      <c r="BV470" s="718"/>
      <c r="BW470" s="718"/>
      <c r="BX470" s="718"/>
      <c r="BY470" s="718"/>
      <c r="BZ470" s="718"/>
      <c r="CA470" s="718"/>
    </row>
    <row r="471" spans="1:79" outlineLevel="1" x14ac:dyDescent="0.25">
      <c r="A471" s="657"/>
      <c r="B471" s="570"/>
      <c r="C471" s="570"/>
      <c r="D471" s="570"/>
      <c r="E471" s="570" t="s">
        <v>49</v>
      </c>
      <c r="F471" s="657" t="s">
        <v>675</v>
      </c>
      <c r="G471" s="664">
        <f>SUM(G467:G470)</f>
        <v>0</v>
      </c>
      <c r="H471" s="664">
        <f t="shared" ref="H471:BO471" si="157">SUM(H467:H470)</f>
        <v>0</v>
      </c>
      <c r="I471" s="664">
        <f t="shared" si="157"/>
        <v>0</v>
      </c>
      <c r="J471" s="664">
        <f t="shared" si="157"/>
        <v>0</v>
      </c>
      <c r="K471" s="664">
        <f t="shared" si="157"/>
        <v>0</v>
      </c>
      <c r="L471" s="664">
        <f t="shared" si="157"/>
        <v>0</v>
      </c>
      <c r="M471" s="664">
        <f t="shared" si="157"/>
        <v>0</v>
      </c>
      <c r="N471" s="664">
        <f t="shared" si="157"/>
        <v>0</v>
      </c>
      <c r="O471" s="664">
        <f t="shared" si="157"/>
        <v>0</v>
      </c>
      <c r="P471" s="664">
        <f t="shared" si="157"/>
        <v>0</v>
      </c>
      <c r="Q471" s="664">
        <f t="shared" si="157"/>
        <v>0</v>
      </c>
      <c r="R471" s="664">
        <f t="shared" si="157"/>
        <v>0</v>
      </c>
      <c r="S471" s="678">
        <f t="shared" ref="S471:AA471" si="158">ROUND(SUM(S466:S470),5)</f>
        <v>0</v>
      </c>
      <c r="T471" s="678">
        <f t="shared" si="158"/>
        <v>0</v>
      </c>
      <c r="U471" s="678">
        <f t="shared" si="158"/>
        <v>0</v>
      </c>
      <c r="V471" s="678">
        <f t="shared" si="158"/>
        <v>0</v>
      </c>
      <c r="W471" s="678">
        <f t="shared" si="158"/>
        <v>0</v>
      </c>
      <c r="X471" s="678">
        <f t="shared" si="158"/>
        <v>0</v>
      </c>
      <c r="Y471" s="678">
        <f t="shared" si="158"/>
        <v>0</v>
      </c>
      <c r="Z471" s="678">
        <f t="shared" si="158"/>
        <v>0</v>
      </c>
      <c r="AA471" s="678">
        <f t="shared" si="158"/>
        <v>0</v>
      </c>
      <c r="AB471" s="678">
        <f t="shared" ref="AB471:AG471" si="159">ROUND(SUM(AB466:AB470),5)</f>
        <v>0</v>
      </c>
      <c r="AC471" s="678">
        <f t="shared" si="159"/>
        <v>0</v>
      </c>
      <c r="AD471" s="678">
        <f t="shared" si="159"/>
        <v>0</v>
      </c>
      <c r="AE471" s="678">
        <f t="shared" si="159"/>
        <v>0</v>
      </c>
      <c r="AF471" s="678">
        <f t="shared" si="159"/>
        <v>0</v>
      </c>
      <c r="AG471" s="678">
        <f t="shared" si="159"/>
        <v>0</v>
      </c>
      <c r="AH471" s="664">
        <f t="shared" si="157"/>
        <v>0</v>
      </c>
      <c r="AI471" s="664">
        <f t="shared" si="157"/>
        <v>0</v>
      </c>
      <c r="AJ471" s="664">
        <f t="shared" si="157"/>
        <v>0</v>
      </c>
      <c r="AK471" s="664">
        <f t="shared" si="157"/>
        <v>0</v>
      </c>
      <c r="AL471" s="664">
        <f t="shared" si="157"/>
        <v>0</v>
      </c>
      <c r="AM471" s="664">
        <f t="shared" si="157"/>
        <v>0</v>
      </c>
      <c r="AN471" s="664">
        <f t="shared" si="157"/>
        <v>0</v>
      </c>
      <c r="AO471" s="664">
        <f t="shared" si="157"/>
        <v>0</v>
      </c>
      <c r="AP471" s="664">
        <f t="shared" si="157"/>
        <v>0</v>
      </c>
      <c r="AQ471" s="664">
        <f t="shared" si="157"/>
        <v>0</v>
      </c>
      <c r="AR471" s="664">
        <f t="shared" si="157"/>
        <v>0</v>
      </c>
      <c r="AS471" s="664">
        <f t="shared" si="157"/>
        <v>0</v>
      </c>
      <c r="AT471" s="664">
        <f t="shared" si="157"/>
        <v>0</v>
      </c>
      <c r="AU471" s="664">
        <f t="shared" si="157"/>
        <v>0</v>
      </c>
      <c r="AV471" s="664">
        <f t="shared" si="157"/>
        <v>0</v>
      </c>
      <c r="AW471" s="664">
        <f t="shared" si="157"/>
        <v>0</v>
      </c>
      <c r="AX471" s="664">
        <f t="shared" si="157"/>
        <v>0</v>
      </c>
      <c r="AY471" s="664">
        <f t="shared" si="157"/>
        <v>0</v>
      </c>
      <c r="AZ471" s="664">
        <f t="shared" si="157"/>
        <v>0</v>
      </c>
      <c r="BA471" s="664">
        <f t="shared" si="157"/>
        <v>0</v>
      </c>
      <c r="BB471" s="664">
        <f t="shared" si="157"/>
        <v>0</v>
      </c>
      <c r="BC471" s="664">
        <f t="shared" si="157"/>
        <v>0</v>
      </c>
      <c r="BD471" s="664">
        <f t="shared" si="157"/>
        <v>0</v>
      </c>
      <c r="BE471" s="664">
        <f t="shared" si="157"/>
        <v>0</v>
      </c>
      <c r="BF471" s="664">
        <f t="shared" si="157"/>
        <v>0</v>
      </c>
      <c r="BG471" s="664">
        <f t="shared" si="157"/>
        <v>0</v>
      </c>
      <c r="BH471" s="664">
        <f t="shared" si="157"/>
        <v>0</v>
      </c>
      <c r="BI471" s="664">
        <f t="shared" si="157"/>
        <v>0</v>
      </c>
      <c r="BJ471" s="664">
        <f t="shared" si="157"/>
        <v>0</v>
      </c>
      <c r="BK471" s="664">
        <f t="shared" si="157"/>
        <v>0</v>
      </c>
      <c r="BL471" s="664">
        <f t="shared" si="157"/>
        <v>0</v>
      </c>
      <c r="BM471" s="664">
        <f t="shared" si="157"/>
        <v>0</v>
      </c>
      <c r="BN471" s="664">
        <f t="shared" si="157"/>
        <v>0</v>
      </c>
      <c r="BO471" s="664">
        <f t="shared" si="157"/>
        <v>0</v>
      </c>
      <c r="BP471" s="664">
        <f t="shared" ref="BP471:CA471" si="160">SUM(BP467:BP470)</f>
        <v>0</v>
      </c>
      <c r="BQ471" s="664">
        <f t="shared" si="160"/>
        <v>0</v>
      </c>
      <c r="BR471" s="664">
        <f t="shared" si="160"/>
        <v>0</v>
      </c>
      <c r="BS471" s="664">
        <f t="shared" si="160"/>
        <v>0</v>
      </c>
      <c r="BT471" s="664">
        <f t="shared" si="160"/>
        <v>0</v>
      </c>
      <c r="BU471" s="664">
        <f t="shared" si="160"/>
        <v>0</v>
      </c>
      <c r="BV471" s="664">
        <f t="shared" si="160"/>
        <v>0</v>
      </c>
      <c r="BW471" s="664">
        <f t="shared" si="160"/>
        <v>0</v>
      </c>
      <c r="BX471" s="664">
        <f t="shared" si="160"/>
        <v>0</v>
      </c>
      <c r="BY471" s="664">
        <f t="shared" si="160"/>
        <v>0</v>
      </c>
      <c r="BZ471" s="664">
        <f t="shared" si="160"/>
        <v>0</v>
      </c>
      <c r="CA471" s="664">
        <f t="shared" si="160"/>
        <v>0</v>
      </c>
    </row>
    <row r="472" spans="1:79" outlineLevel="1" x14ac:dyDescent="0.25">
      <c r="A472" s="658"/>
      <c r="E472" s="570" t="s">
        <v>921</v>
      </c>
      <c r="F472" s="658" t="s">
        <v>600</v>
      </c>
      <c r="G472" s="716">
        <v>208.08498911708659</v>
      </c>
      <c r="H472" s="716">
        <v>151.19530972637</v>
      </c>
      <c r="I472" s="716">
        <v>415.08569080758139</v>
      </c>
      <c r="J472" s="716">
        <v>354.64885681070547</v>
      </c>
      <c r="K472" s="716">
        <v>141.4010616450179</v>
      </c>
      <c r="L472" s="716">
        <v>463.27723792200788</v>
      </c>
      <c r="M472" s="716">
        <v>997.39178980647125</v>
      </c>
      <c r="N472" s="716">
        <v>444.15126580693186</v>
      </c>
      <c r="O472" s="716">
        <v>410.21916519572301</v>
      </c>
      <c r="P472" s="716">
        <v>517.60078263065111</v>
      </c>
      <c r="Q472" s="716">
        <v>398.17054444451406</v>
      </c>
      <c r="R472" s="716">
        <v>184.52116564915823</v>
      </c>
      <c r="S472" s="667">
        <v>641.36</v>
      </c>
      <c r="T472" s="667">
        <v>3606.17</v>
      </c>
      <c r="U472" s="667">
        <v>226.9</v>
      </c>
      <c r="V472" s="667">
        <v>47.95</v>
      </c>
      <c r="W472" s="667">
        <v>0</v>
      </c>
      <c r="X472" s="667">
        <v>87.31</v>
      </c>
      <c r="Y472" s="667">
        <v>476.52</v>
      </c>
      <c r="Z472" s="667">
        <v>14.95</v>
      </c>
      <c r="AA472" s="667">
        <v>31.58</v>
      </c>
      <c r="AB472" s="667">
        <v>0</v>
      </c>
      <c r="AC472" s="667">
        <v>353.69</v>
      </c>
      <c r="AD472" s="667">
        <v>65.66</v>
      </c>
      <c r="AE472" s="667">
        <v>368.01</v>
      </c>
      <c r="AF472" s="667">
        <v>14.22</v>
      </c>
      <c r="AG472" s="667">
        <v>0</v>
      </c>
      <c r="AH472" s="718"/>
      <c r="AI472" s="718"/>
      <c r="AJ472" s="718"/>
      <c r="AK472" s="718"/>
      <c r="AL472" s="718"/>
      <c r="AM472" s="718"/>
      <c r="AN472" s="718"/>
      <c r="AO472" s="718"/>
      <c r="AP472" s="718"/>
      <c r="AQ472" s="718"/>
      <c r="AR472" s="718"/>
      <c r="AS472" s="718"/>
      <c r="AT472" s="718"/>
      <c r="AU472" s="718"/>
      <c r="AV472" s="718"/>
      <c r="AW472" s="718"/>
      <c r="AX472" s="718"/>
      <c r="AY472" s="718"/>
      <c r="AZ472" s="718"/>
      <c r="BA472" s="718"/>
      <c r="BB472" s="718"/>
      <c r="BC472" s="718"/>
      <c r="BD472" s="718"/>
      <c r="BE472" s="718"/>
      <c r="BF472" s="718"/>
      <c r="BG472" s="718"/>
      <c r="BH472" s="718"/>
      <c r="BI472" s="718"/>
      <c r="BJ472" s="718"/>
      <c r="BK472" s="718"/>
      <c r="BL472" s="718"/>
      <c r="BM472" s="718"/>
      <c r="BN472" s="718"/>
      <c r="BO472" s="718"/>
      <c r="BP472" s="718"/>
      <c r="BQ472" s="718"/>
      <c r="BR472" s="718"/>
      <c r="BS472" s="718"/>
      <c r="BT472" s="718"/>
      <c r="BU472" s="718"/>
      <c r="BV472" s="718"/>
      <c r="BW472" s="718"/>
      <c r="BX472" s="718"/>
      <c r="BY472" s="718"/>
      <c r="BZ472" s="718"/>
      <c r="CA472" s="718"/>
    </row>
    <row r="473" spans="1:79" s="700" customFormat="1" outlineLevel="1" x14ac:dyDescent="0.25">
      <c r="A473" s="701"/>
      <c r="E473" s="570" t="s">
        <v>1345</v>
      </c>
      <c r="F473" s="701" t="s">
        <v>601</v>
      </c>
      <c r="G473" s="734"/>
      <c r="H473" s="734"/>
      <c r="I473" s="734"/>
      <c r="J473" s="734"/>
      <c r="K473" s="734"/>
      <c r="L473" s="734"/>
      <c r="M473" s="734"/>
      <c r="N473" s="734"/>
      <c r="O473" s="734"/>
      <c r="P473" s="734"/>
      <c r="Q473" s="734"/>
      <c r="R473" s="734"/>
      <c r="S473" s="697"/>
      <c r="T473" s="697"/>
      <c r="U473" s="697"/>
      <c r="V473" s="697"/>
      <c r="W473" s="697"/>
      <c r="X473" s="697"/>
      <c r="Y473" s="697"/>
      <c r="Z473" s="697"/>
      <c r="AA473" s="697"/>
      <c r="AB473" s="697"/>
      <c r="AC473" s="697"/>
      <c r="AD473" s="697"/>
      <c r="AE473" s="697"/>
      <c r="AF473" s="697"/>
      <c r="AG473" s="697"/>
      <c r="AH473" s="736"/>
      <c r="AI473" s="736"/>
      <c r="AJ473" s="736"/>
      <c r="AK473" s="736"/>
      <c r="AL473" s="736"/>
      <c r="AM473" s="736"/>
      <c r="AN473" s="736"/>
      <c r="AO473" s="736"/>
      <c r="AP473" s="736"/>
      <c r="AQ473" s="736"/>
      <c r="AR473" s="736"/>
      <c r="AS473" s="736"/>
      <c r="AT473" s="736"/>
      <c r="AU473" s="736"/>
      <c r="AV473" s="736"/>
      <c r="AW473" s="736"/>
      <c r="AX473" s="736"/>
      <c r="AY473" s="736"/>
      <c r="AZ473" s="736"/>
      <c r="BA473" s="736"/>
      <c r="BB473" s="736"/>
      <c r="BC473" s="736"/>
      <c r="BD473" s="736"/>
      <c r="BE473" s="736"/>
      <c r="BF473" s="736"/>
      <c r="BG473" s="736"/>
      <c r="BH473" s="736"/>
      <c r="BI473" s="736"/>
      <c r="BJ473" s="736"/>
      <c r="BK473" s="736"/>
      <c r="BL473" s="736"/>
      <c r="BM473" s="736"/>
      <c r="BN473" s="736"/>
      <c r="BO473" s="736"/>
      <c r="BP473" s="736"/>
      <c r="BQ473" s="736"/>
      <c r="BR473" s="736"/>
      <c r="BS473" s="736"/>
      <c r="BT473" s="736"/>
      <c r="BU473" s="736"/>
      <c r="BV473" s="736"/>
      <c r="BW473" s="736"/>
      <c r="BX473" s="736"/>
      <c r="BY473" s="736"/>
      <c r="BZ473" s="736"/>
      <c r="CA473" s="736"/>
    </row>
    <row r="474" spans="1:79" s="740" customFormat="1" outlineLevel="1" x14ac:dyDescent="0.25">
      <c r="A474" s="656"/>
      <c r="B474" s="503"/>
      <c r="C474" s="503"/>
      <c r="D474" s="503"/>
      <c r="E474" s="570" t="s">
        <v>1327</v>
      </c>
      <c r="F474" s="656" t="s">
        <v>895</v>
      </c>
      <c r="G474" s="716"/>
      <c r="H474" s="716"/>
      <c r="I474" s="716"/>
      <c r="J474" s="716"/>
      <c r="K474" s="716"/>
      <c r="L474" s="716"/>
      <c r="M474" s="716"/>
      <c r="N474" s="716"/>
      <c r="O474" s="716"/>
      <c r="P474" s="716"/>
      <c r="Q474" s="716"/>
      <c r="R474" s="716"/>
      <c r="S474" s="671"/>
      <c r="T474" s="671"/>
      <c r="U474" s="671"/>
      <c r="V474" s="671"/>
      <c r="W474" s="671"/>
      <c r="X474" s="671"/>
      <c r="Y474" s="671"/>
      <c r="Z474" s="671"/>
      <c r="AA474" s="671"/>
      <c r="AB474" s="671"/>
      <c r="AC474" s="671"/>
      <c r="AD474" s="671"/>
      <c r="AE474" s="671"/>
      <c r="AF474" s="671"/>
      <c r="AG474" s="671"/>
      <c r="AH474" s="718"/>
      <c r="AI474" s="718"/>
      <c r="AJ474" s="718"/>
      <c r="AK474" s="718"/>
      <c r="AL474" s="718"/>
      <c r="AM474" s="718"/>
      <c r="AN474" s="718"/>
      <c r="AO474" s="718"/>
      <c r="AP474" s="718"/>
      <c r="AQ474" s="718"/>
      <c r="AR474" s="718"/>
      <c r="AS474" s="718"/>
      <c r="AT474" s="718"/>
      <c r="AU474" s="718"/>
      <c r="AV474" s="718"/>
      <c r="AW474" s="718"/>
      <c r="AX474" s="718"/>
      <c r="AY474" s="718"/>
      <c r="AZ474" s="718"/>
      <c r="BA474" s="718"/>
      <c r="BB474" s="718"/>
      <c r="BC474" s="718"/>
      <c r="BD474" s="718"/>
      <c r="BE474" s="718"/>
      <c r="BF474" s="718"/>
      <c r="BG474" s="718"/>
      <c r="BH474" s="718"/>
      <c r="BI474" s="718"/>
      <c r="BJ474" s="718"/>
      <c r="BK474" s="718"/>
      <c r="BL474" s="718"/>
      <c r="BM474" s="718"/>
      <c r="BN474" s="718"/>
      <c r="BO474" s="718"/>
      <c r="BP474" s="718"/>
      <c r="BQ474" s="718"/>
      <c r="BR474" s="718"/>
      <c r="BS474" s="718"/>
      <c r="BT474" s="718"/>
      <c r="BU474" s="718"/>
      <c r="BV474" s="718"/>
      <c r="BW474" s="718"/>
      <c r="BX474" s="718"/>
      <c r="BY474" s="718"/>
      <c r="BZ474" s="718"/>
      <c r="CA474" s="718"/>
    </row>
    <row r="475" spans="1:79" s="740" customFormat="1" outlineLevel="1" x14ac:dyDescent="0.25">
      <c r="A475" s="661"/>
      <c r="B475" s="503"/>
      <c r="C475" s="503"/>
      <c r="D475" s="503"/>
      <c r="E475" s="570" t="s">
        <v>1327</v>
      </c>
      <c r="F475" s="661" t="s">
        <v>906</v>
      </c>
      <c r="G475" s="716"/>
      <c r="H475" s="716"/>
      <c r="I475" s="716"/>
      <c r="J475" s="716"/>
      <c r="K475" s="716"/>
      <c r="L475" s="716"/>
      <c r="M475" s="716"/>
      <c r="N475" s="716"/>
      <c r="O475" s="716"/>
      <c r="P475" s="716"/>
      <c r="Q475" s="716"/>
      <c r="R475" s="716"/>
      <c r="S475" s="671"/>
      <c r="T475" s="671"/>
      <c r="U475" s="671"/>
      <c r="V475" s="671"/>
      <c r="W475" s="671"/>
      <c r="X475" s="671"/>
      <c r="Y475" s="671"/>
      <c r="Z475" s="671"/>
      <c r="AA475" s="671"/>
      <c r="AB475" s="671"/>
      <c r="AC475" s="671"/>
      <c r="AD475" s="671"/>
      <c r="AE475" s="671">
        <v>0</v>
      </c>
      <c r="AF475" s="671">
        <v>0</v>
      </c>
      <c r="AG475" s="671">
        <v>0</v>
      </c>
      <c r="AH475" s="718"/>
      <c r="AI475" s="718"/>
      <c r="AJ475" s="718"/>
      <c r="AK475" s="718"/>
      <c r="AL475" s="718"/>
      <c r="AM475" s="718"/>
      <c r="AN475" s="718"/>
      <c r="AO475" s="718"/>
      <c r="AP475" s="718"/>
      <c r="AQ475" s="718"/>
      <c r="AR475" s="718"/>
      <c r="AS475" s="718"/>
      <c r="AT475" s="718"/>
      <c r="AU475" s="718"/>
      <c r="AV475" s="718"/>
      <c r="AW475" s="718"/>
      <c r="AX475" s="718"/>
      <c r="AY475" s="718"/>
      <c r="AZ475" s="718"/>
      <c r="BA475" s="718"/>
      <c r="BB475" s="718"/>
      <c r="BC475" s="718"/>
      <c r="BD475" s="718"/>
      <c r="BE475" s="718"/>
      <c r="BF475" s="718"/>
      <c r="BG475" s="718"/>
      <c r="BH475" s="718"/>
      <c r="BI475" s="718"/>
      <c r="BJ475" s="718"/>
      <c r="BK475" s="718"/>
      <c r="BL475" s="718"/>
      <c r="BM475" s="718"/>
      <c r="BN475" s="718"/>
      <c r="BO475" s="718"/>
      <c r="BP475" s="718"/>
      <c r="BQ475" s="718"/>
      <c r="BR475" s="718"/>
      <c r="BS475" s="718"/>
      <c r="BT475" s="718"/>
      <c r="BU475" s="718"/>
      <c r="BV475" s="718"/>
      <c r="BW475" s="718"/>
      <c r="BX475" s="718"/>
      <c r="BY475" s="718"/>
      <c r="BZ475" s="718"/>
      <c r="CA475" s="718"/>
    </row>
    <row r="476" spans="1:79" s="740" customFormat="1" outlineLevel="1" x14ac:dyDescent="0.25">
      <c r="A476" s="661"/>
      <c r="B476" s="503"/>
      <c r="C476" s="503"/>
      <c r="D476" s="503"/>
      <c r="E476" s="570" t="s">
        <v>657</v>
      </c>
      <c r="F476" s="661" t="s">
        <v>641</v>
      </c>
      <c r="G476" s="716"/>
      <c r="H476" s="716"/>
      <c r="I476" s="716"/>
      <c r="J476" s="716"/>
      <c r="K476" s="716"/>
      <c r="L476" s="716"/>
      <c r="M476" s="716"/>
      <c r="N476" s="716"/>
      <c r="O476" s="716"/>
      <c r="P476" s="716"/>
      <c r="Q476" s="716"/>
      <c r="R476" s="716"/>
      <c r="S476" s="671"/>
      <c r="T476" s="671"/>
      <c r="U476" s="671"/>
      <c r="V476" s="671"/>
      <c r="W476" s="671"/>
      <c r="X476" s="671"/>
      <c r="Y476" s="671"/>
      <c r="Z476" s="671"/>
      <c r="AA476" s="671"/>
      <c r="AB476" s="671"/>
      <c r="AC476" s="671"/>
      <c r="AD476" s="671"/>
      <c r="AE476" s="671">
        <v>8216.34</v>
      </c>
      <c r="AF476" s="671">
        <v>6430.72</v>
      </c>
      <c r="AG476" s="671">
        <v>11156.62</v>
      </c>
      <c r="AH476" s="718"/>
      <c r="AI476" s="718"/>
      <c r="AJ476" s="718"/>
      <c r="AK476" s="718"/>
      <c r="AL476" s="718"/>
      <c r="AM476" s="718"/>
      <c r="AN476" s="718"/>
      <c r="AO476" s="718"/>
      <c r="AP476" s="718"/>
      <c r="AQ476" s="718"/>
      <c r="AR476" s="718"/>
      <c r="AS476" s="718"/>
      <c r="AT476" s="718"/>
      <c r="AU476" s="718"/>
      <c r="AV476" s="718"/>
      <c r="AW476" s="718"/>
      <c r="AX476" s="718"/>
      <c r="AY476" s="718"/>
      <c r="AZ476" s="718"/>
      <c r="BA476" s="718"/>
      <c r="BB476" s="718"/>
      <c r="BC476" s="718"/>
      <c r="BD476" s="718"/>
      <c r="BE476" s="718"/>
      <c r="BF476" s="718"/>
      <c r="BG476" s="718"/>
      <c r="BH476" s="718"/>
      <c r="BI476" s="718"/>
      <c r="BJ476" s="718"/>
      <c r="BK476" s="718"/>
      <c r="BL476" s="718"/>
      <c r="BM476" s="718"/>
      <c r="BN476" s="718"/>
      <c r="BO476" s="718"/>
      <c r="BP476" s="718"/>
      <c r="BQ476" s="718"/>
      <c r="BR476" s="718"/>
      <c r="BS476" s="718"/>
      <c r="BT476" s="718"/>
      <c r="BU476" s="718"/>
      <c r="BV476" s="718"/>
      <c r="BW476" s="718"/>
      <c r="BX476" s="718"/>
      <c r="BY476" s="718"/>
      <c r="BZ476" s="718"/>
      <c r="CA476" s="718"/>
    </row>
    <row r="477" spans="1:79" s="740" customFormat="1" outlineLevel="1" x14ac:dyDescent="0.25">
      <c r="A477" s="661"/>
      <c r="B477" s="503"/>
      <c r="C477" s="503"/>
      <c r="D477" s="503"/>
      <c r="E477" s="570" t="s">
        <v>657</v>
      </c>
      <c r="F477" s="661" t="s">
        <v>1322</v>
      </c>
      <c r="G477" s="716"/>
      <c r="H477" s="716"/>
      <c r="I477" s="716"/>
      <c r="J477" s="716"/>
      <c r="K477" s="716"/>
      <c r="L477" s="716"/>
      <c r="M477" s="716"/>
      <c r="N477" s="716"/>
      <c r="O477" s="716"/>
      <c r="P477" s="716"/>
      <c r="Q477" s="716"/>
      <c r="R477" s="716"/>
      <c r="S477" s="671"/>
      <c r="T477" s="671"/>
      <c r="U477" s="671"/>
      <c r="V477" s="671"/>
      <c r="W477" s="671"/>
      <c r="X477" s="671"/>
      <c r="Y477" s="671"/>
      <c r="Z477" s="671"/>
      <c r="AA477" s="671"/>
      <c r="AB477" s="671"/>
      <c r="AC477" s="671"/>
      <c r="AD477" s="671"/>
      <c r="AE477" s="671">
        <v>375.45</v>
      </c>
      <c r="AF477" s="671">
        <v>323.25</v>
      </c>
      <c r="AG477" s="671">
        <v>552.07000000000005</v>
      </c>
      <c r="AH477" s="718"/>
      <c r="AI477" s="718"/>
      <c r="AJ477" s="718"/>
      <c r="AK477" s="718"/>
      <c r="AL477" s="718"/>
      <c r="AM477" s="718"/>
      <c r="AN477" s="718"/>
      <c r="AO477" s="718"/>
      <c r="AP477" s="718"/>
      <c r="AQ477" s="718"/>
      <c r="AR477" s="718"/>
      <c r="AS477" s="718"/>
      <c r="AT477" s="718"/>
      <c r="AU477" s="718"/>
      <c r="AV477" s="718"/>
      <c r="AW477" s="718"/>
      <c r="AX477" s="718"/>
      <c r="AY477" s="718"/>
      <c r="AZ477" s="718"/>
      <c r="BA477" s="718"/>
      <c r="BB477" s="718"/>
      <c r="BC477" s="718"/>
      <c r="BD477" s="718"/>
      <c r="BE477" s="718"/>
      <c r="BF477" s="718"/>
      <c r="BG477" s="718"/>
      <c r="BH477" s="718"/>
      <c r="BI477" s="718"/>
      <c r="BJ477" s="718"/>
      <c r="BK477" s="718"/>
      <c r="BL477" s="718"/>
      <c r="BM477" s="718"/>
      <c r="BN477" s="718"/>
      <c r="BO477" s="718"/>
      <c r="BP477" s="718"/>
      <c r="BQ477" s="718"/>
      <c r="BR477" s="718"/>
      <c r="BS477" s="718"/>
      <c r="BT477" s="718"/>
      <c r="BU477" s="718"/>
      <c r="BV477" s="718"/>
      <c r="BW477" s="718"/>
      <c r="BX477" s="718"/>
      <c r="BY477" s="718"/>
      <c r="BZ477" s="718"/>
      <c r="CA477" s="718"/>
    </row>
    <row r="478" spans="1:79" s="740" customFormat="1" outlineLevel="1" x14ac:dyDescent="0.25">
      <c r="A478" s="661"/>
      <c r="B478" s="503"/>
      <c r="C478" s="503"/>
      <c r="D478" s="503"/>
      <c r="E478" s="570" t="s">
        <v>1327</v>
      </c>
      <c r="F478" s="661" t="s">
        <v>896</v>
      </c>
      <c r="G478" s="716"/>
      <c r="H478" s="716"/>
      <c r="I478" s="716"/>
      <c r="J478" s="716"/>
      <c r="K478" s="716"/>
      <c r="L478" s="716"/>
      <c r="M478" s="716"/>
      <c r="N478" s="716"/>
      <c r="O478" s="716"/>
      <c r="P478" s="716"/>
      <c r="Q478" s="716"/>
      <c r="R478" s="716"/>
      <c r="S478" s="671">
        <v>0</v>
      </c>
      <c r="T478" s="671">
        <v>0</v>
      </c>
      <c r="U478" s="671">
        <v>0</v>
      </c>
      <c r="V478" s="671">
        <v>0</v>
      </c>
      <c r="W478" s="671">
        <v>0</v>
      </c>
      <c r="X478" s="671">
        <v>0</v>
      </c>
      <c r="Y478" s="671">
        <v>0</v>
      </c>
      <c r="Z478" s="671">
        <v>0</v>
      </c>
      <c r="AA478" s="671">
        <v>0</v>
      </c>
      <c r="AB478" s="671">
        <v>0</v>
      </c>
      <c r="AC478" s="671">
        <v>7100.77</v>
      </c>
      <c r="AD478" s="671">
        <v>0</v>
      </c>
      <c r="AE478" s="671">
        <v>70</v>
      </c>
      <c r="AF478" s="671">
        <v>0</v>
      </c>
      <c r="AG478" s="671">
        <v>0</v>
      </c>
      <c r="AH478" s="718"/>
      <c r="AI478" s="718"/>
      <c r="AJ478" s="718"/>
      <c r="AK478" s="718"/>
      <c r="AL478" s="718"/>
      <c r="AM478" s="718"/>
      <c r="AN478" s="718"/>
      <c r="AO478" s="718"/>
      <c r="AP478" s="718"/>
      <c r="AQ478" s="718"/>
      <c r="AR478" s="718"/>
      <c r="AS478" s="718"/>
      <c r="AT478" s="718"/>
      <c r="AU478" s="718"/>
      <c r="AV478" s="718"/>
      <c r="AW478" s="718"/>
      <c r="AX478" s="718"/>
      <c r="AY478" s="718"/>
      <c r="AZ478" s="718"/>
      <c r="BA478" s="718"/>
      <c r="BB478" s="718"/>
      <c r="BC478" s="718"/>
      <c r="BD478" s="718"/>
      <c r="BE478" s="718"/>
      <c r="BF478" s="718"/>
      <c r="BG478" s="718"/>
      <c r="BH478" s="718"/>
      <c r="BI478" s="718"/>
      <c r="BJ478" s="718"/>
      <c r="BK478" s="718"/>
      <c r="BL478" s="718"/>
      <c r="BM478" s="718"/>
      <c r="BN478" s="718"/>
      <c r="BO478" s="718"/>
      <c r="BP478" s="718"/>
      <c r="BQ478" s="718"/>
      <c r="BR478" s="718"/>
      <c r="BS478" s="718"/>
      <c r="BT478" s="718"/>
      <c r="BU478" s="718"/>
      <c r="BV478" s="718"/>
      <c r="BW478" s="718"/>
      <c r="BX478" s="718"/>
      <c r="BY478" s="718"/>
      <c r="BZ478" s="718"/>
      <c r="CA478" s="718"/>
    </row>
    <row r="479" spans="1:79" s="740" customFormat="1" outlineLevel="1" x14ac:dyDescent="0.25">
      <c r="A479" s="661"/>
      <c r="B479" s="503"/>
      <c r="C479" s="503"/>
      <c r="D479" s="503"/>
      <c r="E479" s="570" t="s">
        <v>1327</v>
      </c>
      <c r="F479" s="661" t="s">
        <v>897</v>
      </c>
      <c r="G479" s="716"/>
      <c r="H479" s="716"/>
      <c r="I479" s="716"/>
      <c r="J479" s="716"/>
      <c r="K479" s="716"/>
      <c r="L479" s="716"/>
      <c r="M479" s="716"/>
      <c r="N479" s="716"/>
      <c r="O479" s="716"/>
      <c r="P479" s="716"/>
      <c r="Q479" s="716"/>
      <c r="R479" s="716"/>
      <c r="S479" s="671">
        <v>0</v>
      </c>
      <c r="T479" s="671">
        <v>0</v>
      </c>
      <c r="U479" s="671">
        <v>0</v>
      </c>
      <c r="V479" s="671">
        <v>0</v>
      </c>
      <c r="W479" s="671">
        <v>0</v>
      </c>
      <c r="X479" s="671">
        <v>0</v>
      </c>
      <c r="Y479" s="671">
        <v>0</v>
      </c>
      <c r="Z479" s="671">
        <v>0</v>
      </c>
      <c r="AA479" s="671">
        <v>0</v>
      </c>
      <c r="AB479" s="671">
        <v>0</v>
      </c>
      <c r="AC479" s="671">
        <v>74.989999999999995</v>
      </c>
      <c r="AD479" s="671">
        <v>0</v>
      </c>
      <c r="AE479" s="671">
        <v>0</v>
      </c>
      <c r="AF479" s="671">
        <v>0</v>
      </c>
      <c r="AG479" s="671">
        <v>0</v>
      </c>
      <c r="AH479" s="718"/>
      <c r="AI479" s="718"/>
      <c r="AJ479" s="718"/>
      <c r="AK479" s="718"/>
      <c r="AL479" s="718"/>
      <c r="AM479" s="718"/>
      <c r="AN479" s="718"/>
      <c r="AO479" s="718"/>
      <c r="AP479" s="718"/>
      <c r="AQ479" s="718"/>
      <c r="AR479" s="718"/>
      <c r="AS479" s="718"/>
      <c r="AT479" s="718"/>
      <c r="AU479" s="718"/>
      <c r="AV479" s="718"/>
      <c r="AW479" s="718"/>
      <c r="AX479" s="718"/>
      <c r="AY479" s="718"/>
      <c r="AZ479" s="718"/>
      <c r="BA479" s="718"/>
      <c r="BB479" s="718"/>
      <c r="BC479" s="718"/>
      <c r="BD479" s="718"/>
      <c r="BE479" s="718"/>
      <c r="BF479" s="718"/>
      <c r="BG479" s="718"/>
      <c r="BH479" s="718"/>
      <c r="BI479" s="718"/>
      <c r="BJ479" s="718"/>
      <c r="BK479" s="718"/>
      <c r="BL479" s="718"/>
      <c r="BM479" s="718"/>
      <c r="BN479" s="718"/>
      <c r="BO479" s="718"/>
      <c r="BP479" s="718"/>
      <c r="BQ479" s="718"/>
      <c r="BR479" s="718"/>
      <c r="BS479" s="718"/>
      <c r="BT479" s="718"/>
      <c r="BU479" s="718"/>
      <c r="BV479" s="718"/>
      <c r="BW479" s="718"/>
      <c r="BX479" s="718"/>
      <c r="BY479" s="718"/>
      <c r="BZ479" s="718"/>
      <c r="CA479" s="718"/>
    </row>
    <row r="480" spans="1:79" s="740" customFormat="1" outlineLevel="1" x14ac:dyDescent="0.25">
      <c r="A480" s="661"/>
      <c r="B480" s="503"/>
      <c r="C480" s="503"/>
      <c r="D480" s="503"/>
      <c r="E480" s="570" t="s">
        <v>657</v>
      </c>
      <c r="F480" s="661" t="s">
        <v>898</v>
      </c>
      <c r="G480" s="716"/>
      <c r="H480" s="716"/>
      <c r="I480" s="716"/>
      <c r="J480" s="716"/>
      <c r="K480" s="716"/>
      <c r="L480" s="716"/>
      <c r="M480" s="716"/>
      <c r="N480" s="716"/>
      <c r="O480" s="716"/>
      <c r="P480" s="716"/>
      <c r="Q480" s="716"/>
      <c r="R480" s="716"/>
      <c r="S480" s="671">
        <v>0</v>
      </c>
      <c r="T480" s="671">
        <v>0</v>
      </c>
      <c r="U480" s="671">
        <v>0</v>
      </c>
      <c r="V480" s="671">
        <v>0</v>
      </c>
      <c r="W480" s="671">
        <v>0</v>
      </c>
      <c r="X480" s="671">
        <v>0</v>
      </c>
      <c r="Y480" s="671">
        <v>0</v>
      </c>
      <c r="Z480" s="671">
        <v>0</v>
      </c>
      <c r="AA480" s="671">
        <v>0</v>
      </c>
      <c r="AB480" s="671">
        <v>0</v>
      </c>
      <c r="AC480" s="671">
        <v>0</v>
      </c>
      <c r="AD480" s="671">
        <v>6939.57</v>
      </c>
      <c r="AE480" s="671"/>
      <c r="AF480" s="671"/>
      <c r="AG480" s="671"/>
      <c r="AH480" s="718"/>
      <c r="AI480" s="718"/>
      <c r="AJ480" s="718"/>
      <c r="AK480" s="718"/>
      <c r="AL480" s="718"/>
      <c r="AM480" s="718"/>
      <c r="AN480" s="718"/>
      <c r="AO480" s="718"/>
      <c r="AP480" s="718"/>
      <c r="AQ480" s="718"/>
      <c r="AR480" s="718"/>
      <c r="AS480" s="718"/>
      <c r="AT480" s="718"/>
      <c r="AU480" s="718"/>
      <c r="AV480" s="718"/>
      <c r="AW480" s="718"/>
      <c r="AX480" s="718"/>
      <c r="AY480" s="718"/>
      <c r="AZ480" s="718"/>
      <c r="BA480" s="718"/>
      <c r="BB480" s="718"/>
      <c r="BC480" s="718"/>
      <c r="BD480" s="718"/>
      <c r="BE480" s="718"/>
      <c r="BF480" s="718"/>
      <c r="BG480" s="718"/>
      <c r="BH480" s="718"/>
      <c r="BI480" s="718"/>
      <c r="BJ480" s="718"/>
      <c r="BK480" s="718"/>
      <c r="BL480" s="718"/>
      <c r="BM480" s="718"/>
      <c r="BN480" s="718"/>
      <c r="BO480" s="718"/>
      <c r="BP480" s="718"/>
      <c r="BQ480" s="718"/>
      <c r="BR480" s="718"/>
      <c r="BS480" s="718"/>
      <c r="BT480" s="718"/>
      <c r="BU480" s="718"/>
      <c r="BV480" s="718"/>
      <c r="BW480" s="718"/>
      <c r="BX480" s="718"/>
      <c r="BY480" s="718"/>
      <c r="BZ480" s="718"/>
      <c r="CA480" s="718"/>
    </row>
    <row r="481" spans="1:79" s="740" customFormat="1" outlineLevel="1" x14ac:dyDescent="0.25">
      <c r="A481" s="661"/>
      <c r="B481" s="503"/>
      <c r="C481" s="503"/>
      <c r="D481" s="503"/>
      <c r="E481" s="570" t="s">
        <v>1327</v>
      </c>
      <c r="F481" s="661" t="s">
        <v>899</v>
      </c>
      <c r="G481" s="716"/>
      <c r="H481" s="716"/>
      <c r="I481" s="716"/>
      <c r="J481" s="716"/>
      <c r="K481" s="716"/>
      <c r="L481" s="716"/>
      <c r="M481" s="716"/>
      <c r="N481" s="716"/>
      <c r="O481" s="716"/>
      <c r="P481" s="716"/>
      <c r="Q481" s="716"/>
      <c r="R481" s="716"/>
      <c r="S481" s="671">
        <v>0</v>
      </c>
      <c r="T481" s="671">
        <v>0</v>
      </c>
      <c r="U481" s="671">
        <v>0</v>
      </c>
      <c r="V481" s="671">
        <v>0</v>
      </c>
      <c r="W481" s="671">
        <v>0</v>
      </c>
      <c r="X481" s="671">
        <v>0</v>
      </c>
      <c r="Y481" s="671">
        <v>0</v>
      </c>
      <c r="Z481" s="671">
        <v>0</v>
      </c>
      <c r="AA481" s="671">
        <v>0</v>
      </c>
      <c r="AB481" s="671">
        <v>0</v>
      </c>
      <c r="AC481" s="671">
        <v>0</v>
      </c>
      <c r="AD481" s="671">
        <v>0</v>
      </c>
      <c r="AE481" s="671">
        <v>0</v>
      </c>
      <c r="AF481" s="671">
        <v>0</v>
      </c>
      <c r="AG481" s="671">
        <v>0</v>
      </c>
      <c r="AH481" s="718"/>
      <c r="AI481" s="718"/>
      <c r="AJ481" s="718"/>
      <c r="AK481" s="718"/>
      <c r="AL481" s="718"/>
      <c r="AM481" s="718"/>
      <c r="AN481" s="718"/>
      <c r="AO481" s="718"/>
      <c r="AP481" s="718"/>
      <c r="AQ481" s="718"/>
      <c r="AR481" s="718"/>
      <c r="AS481" s="718"/>
      <c r="AT481" s="718"/>
      <c r="AU481" s="718"/>
      <c r="AV481" s="718"/>
      <c r="AW481" s="718"/>
      <c r="AX481" s="718"/>
      <c r="AY481" s="718"/>
      <c r="AZ481" s="718"/>
      <c r="BA481" s="718"/>
      <c r="BB481" s="718"/>
      <c r="BC481" s="718"/>
      <c r="BD481" s="718"/>
      <c r="BE481" s="718"/>
      <c r="BF481" s="718"/>
      <c r="BG481" s="718"/>
      <c r="BH481" s="718"/>
      <c r="BI481" s="718"/>
      <c r="BJ481" s="718"/>
      <c r="BK481" s="718"/>
      <c r="BL481" s="718"/>
      <c r="BM481" s="718"/>
      <c r="BN481" s="718"/>
      <c r="BO481" s="718"/>
      <c r="BP481" s="718"/>
      <c r="BQ481" s="718"/>
      <c r="BR481" s="718"/>
      <c r="BS481" s="718"/>
      <c r="BT481" s="718"/>
      <c r="BU481" s="718"/>
      <c r="BV481" s="718"/>
      <c r="BW481" s="718"/>
      <c r="BX481" s="718"/>
      <c r="BY481" s="718"/>
      <c r="BZ481" s="718"/>
      <c r="CA481" s="718"/>
    </row>
    <row r="482" spans="1:79" s="740" customFormat="1" outlineLevel="1" x14ac:dyDescent="0.25">
      <c r="A482" s="661"/>
      <c r="B482" s="503"/>
      <c r="C482" s="503"/>
      <c r="D482" s="503"/>
      <c r="E482" s="570" t="s">
        <v>1327</v>
      </c>
      <c r="F482" s="661" t="s">
        <v>900</v>
      </c>
      <c r="G482" s="716"/>
      <c r="H482" s="716"/>
      <c r="I482" s="716"/>
      <c r="J482" s="716"/>
      <c r="K482" s="716"/>
      <c r="L482" s="716"/>
      <c r="M482" s="716"/>
      <c r="N482" s="716"/>
      <c r="O482" s="716"/>
      <c r="P482" s="716"/>
      <c r="Q482" s="716"/>
      <c r="R482" s="716"/>
      <c r="S482" s="671">
        <v>0</v>
      </c>
      <c r="T482" s="671">
        <v>0</v>
      </c>
      <c r="U482" s="671">
        <v>0</v>
      </c>
      <c r="V482" s="671">
        <v>0</v>
      </c>
      <c r="W482" s="671">
        <v>0</v>
      </c>
      <c r="X482" s="671">
        <v>0</v>
      </c>
      <c r="Y482" s="671">
        <v>0</v>
      </c>
      <c r="Z482" s="671">
        <v>0</v>
      </c>
      <c r="AA482" s="671">
        <v>0</v>
      </c>
      <c r="AB482" s="671">
        <v>0</v>
      </c>
      <c r="AC482" s="671">
        <v>0</v>
      </c>
      <c r="AD482" s="671">
        <v>0</v>
      </c>
      <c r="AE482" s="671">
        <v>0</v>
      </c>
      <c r="AF482" s="671">
        <v>0</v>
      </c>
      <c r="AG482" s="671">
        <v>0</v>
      </c>
      <c r="AH482" s="718"/>
      <c r="AI482" s="718"/>
      <c r="AJ482" s="718"/>
      <c r="AK482" s="718"/>
      <c r="AL482" s="718"/>
      <c r="AM482" s="718"/>
      <c r="AN482" s="718"/>
      <c r="AO482" s="718"/>
      <c r="AP482" s="718"/>
      <c r="AQ482" s="718"/>
      <c r="AR482" s="718"/>
      <c r="AS482" s="718"/>
      <c r="AT482" s="718"/>
      <c r="AU482" s="718"/>
      <c r="AV482" s="718"/>
      <c r="AW482" s="718"/>
      <c r="AX482" s="718"/>
      <c r="AY482" s="718"/>
      <c r="AZ482" s="718"/>
      <c r="BA482" s="718"/>
      <c r="BB482" s="718"/>
      <c r="BC482" s="718"/>
      <c r="BD482" s="718"/>
      <c r="BE482" s="718"/>
      <c r="BF482" s="718"/>
      <c r="BG482" s="718"/>
      <c r="BH482" s="718"/>
      <c r="BI482" s="718"/>
      <c r="BJ482" s="718"/>
      <c r="BK482" s="718"/>
      <c r="BL482" s="718"/>
      <c r="BM482" s="718"/>
      <c r="BN482" s="718"/>
      <c r="BO482" s="718"/>
      <c r="BP482" s="718"/>
      <c r="BQ482" s="718"/>
      <c r="BR482" s="718"/>
      <c r="BS482" s="718"/>
      <c r="BT482" s="718"/>
      <c r="BU482" s="718"/>
      <c r="BV482" s="718"/>
      <c r="BW482" s="718"/>
      <c r="BX482" s="718"/>
      <c r="BY482" s="718"/>
      <c r="BZ482" s="718"/>
      <c r="CA482" s="718"/>
    </row>
    <row r="483" spans="1:79" s="740" customFormat="1" outlineLevel="1" x14ac:dyDescent="0.25">
      <c r="A483" s="657"/>
      <c r="B483" s="503"/>
      <c r="C483" s="503"/>
      <c r="D483" s="503"/>
      <c r="E483" s="570" t="s">
        <v>49</v>
      </c>
      <c r="F483" s="657" t="s">
        <v>901</v>
      </c>
      <c r="G483" s="664">
        <f t="shared" ref="G483:R483" si="161">SUM(G474:G482)</f>
        <v>0</v>
      </c>
      <c r="H483" s="664">
        <f t="shared" si="161"/>
        <v>0</v>
      </c>
      <c r="I483" s="664">
        <f t="shared" si="161"/>
        <v>0</v>
      </c>
      <c r="J483" s="664">
        <f t="shared" si="161"/>
        <v>0</v>
      </c>
      <c r="K483" s="664">
        <f t="shared" si="161"/>
        <v>0</v>
      </c>
      <c r="L483" s="664">
        <f t="shared" si="161"/>
        <v>0</v>
      </c>
      <c r="M483" s="664">
        <f t="shared" si="161"/>
        <v>0</v>
      </c>
      <c r="N483" s="664">
        <f t="shared" si="161"/>
        <v>0</v>
      </c>
      <c r="O483" s="664">
        <f t="shared" si="161"/>
        <v>0</v>
      </c>
      <c r="P483" s="664">
        <f t="shared" si="161"/>
        <v>0</v>
      </c>
      <c r="Q483" s="664">
        <f t="shared" si="161"/>
        <v>0</v>
      </c>
      <c r="R483" s="664">
        <f t="shared" si="161"/>
        <v>0</v>
      </c>
      <c r="S483" s="679">
        <f t="shared" ref="S483:AB483" si="162">ROUND(SUM(S474:S482),5)</f>
        <v>0</v>
      </c>
      <c r="T483" s="679">
        <f t="shared" si="162"/>
        <v>0</v>
      </c>
      <c r="U483" s="679">
        <f t="shared" si="162"/>
        <v>0</v>
      </c>
      <c r="V483" s="679">
        <f t="shared" si="162"/>
        <v>0</v>
      </c>
      <c r="W483" s="679">
        <f t="shared" si="162"/>
        <v>0</v>
      </c>
      <c r="X483" s="679">
        <f t="shared" si="162"/>
        <v>0</v>
      </c>
      <c r="Y483" s="679">
        <f t="shared" si="162"/>
        <v>0</v>
      </c>
      <c r="Z483" s="679">
        <f t="shared" si="162"/>
        <v>0</v>
      </c>
      <c r="AA483" s="679">
        <f t="shared" si="162"/>
        <v>0</v>
      </c>
      <c r="AB483" s="679">
        <f t="shared" si="162"/>
        <v>0</v>
      </c>
      <c r="AC483" s="679">
        <f>ROUND(SUM(AC474:AC482),5)</f>
        <v>7175.76</v>
      </c>
      <c r="AD483" s="679">
        <f>ROUND(SUM(AD474:AD482),5)</f>
        <v>6939.57</v>
      </c>
      <c r="AE483" s="679">
        <f>ROUND(SUM(AE474:AE482),5)</f>
        <v>8661.7900000000009</v>
      </c>
      <c r="AF483" s="679">
        <f>ROUND(SUM(AF474:AF482),5)</f>
        <v>6753.97</v>
      </c>
      <c r="AG483" s="679">
        <f>ROUND(SUM(AG474:AG482),5)</f>
        <v>11708.69</v>
      </c>
      <c r="AH483" s="664">
        <f t="shared" ref="AH483:BJ483" si="163">SUM(AH474:AH482)</f>
        <v>0</v>
      </c>
      <c r="AI483" s="664">
        <f t="shared" si="163"/>
        <v>0</v>
      </c>
      <c r="AJ483" s="664">
        <f t="shared" si="163"/>
        <v>0</v>
      </c>
      <c r="AK483" s="664">
        <f t="shared" si="163"/>
        <v>0</v>
      </c>
      <c r="AL483" s="664">
        <f t="shared" si="163"/>
        <v>0</v>
      </c>
      <c r="AM483" s="664">
        <f t="shared" si="163"/>
        <v>0</v>
      </c>
      <c r="AN483" s="664">
        <f t="shared" si="163"/>
        <v>0</v>
      </c>
      <c r="AO483" s="664">
        <f t="shared" si="163"/>
        <v>0</v>
      </c>
      <c r="AP483" s="664">
        <f t="shared" si="163"/>
        <v>0</v>
      </c>
      <c r="AQ483" s="664">
        <f t="shared" si="163"/>
        <v>0</v>
      </c>
      <c r="AR483" s="664">
        <f t="shared" si="163"/>
        <v>0</v>
      </c>
      <c r="AS483" s="664">
        <f t="shared" si="163"/>
        <v>0</v>
      </c>
      <c r="AT483" s="664">
        <f t="shared" si="163"/>
        <v>0</v>
      </c>
      <c r="AU483" s="664">
        <f t="shared" si="163"/>
        <v>0</v>
      </c>
      <c r="AV483" s="664">
        <f t="shared" si="163"/>
        <v>0</v>
      </c>
      <c r="AW483" s="664">
        <f t="shared" si="163"/>
        <v>0</v>
      </c>
      <c r="AX483" s="664">
        <f t="shared" si="163"/>
        <v>0</v>
      </c>
      <c r="AY483" s="664">
        <f t="shared" si="163"/>
        <v>0</v>
      </c>
      <c r="AZ483" s="664">
        <f t="shared" si="163"/>
        <v>0</v>
      </c>
      <c r="BA483" s="664">
        <f t="shared" si="163"/>
        <v>0</v>
      </c>
      <c r="BB483" s="664">
        <f t="shared" si="163"/>
        <v>0</v>
      </c>
      <c r="BC483" s="664">
        <f t="shared" si="163"/>
        <v>0</v>
      </c>
      <c r="BD483" s="664">
        <f t="shared" si="163"/>
        <v>0</v>
      </c>
      <c r="BE483" s="664">
        <f t="shared" si="163"/>
        <v>0</v>
      </c>
      <c r="BF483" s="664">
        <f t="shared" si="163"/>
        <v>0</v>
      </c>
      <c r="BG483" s="664">
        <f t="shared" si="163"/>
        <v>0</v>
      </c>
      <c r="BH483" s="664">
        <f t="shared" si="163"/>
        <v>0</v>
      </c>
      <c r="BI483" s="664">
        <f t="shared" si="163"/>
        <v>0</v>
      </c>
      <c r="BJ483" s="664">
        <f t="shared" si="163"/>
        <v>0</v>
      </c>
      <c r="BK483" s="664">
        <f t="shared" ref="BK483:CA483" si="164">SUM(BK474:BK482)</f>
        <v>0</v>
      </c>
      <c r="BL483" s="664">
        <f t="shared" si="164"/>
        <v>0</v>
      </c>
      <c r="BM483" s="664">
        <f t="shared" si="164"/>
        <v>0</v>
      </c>
      <c r="BN483" s="664">
        <f t="shared" si="164"/>
        <v>0</v>
      </c>
      <c r="BO483" s="664">
        <f t="shared" si="164"/>
        <v>0</v>
      </c>
      <c r="BP483" s="664">
        <f t="shared" si="164"/>
        <v>0</v>
      </c>
      <c r="BQ483" s="664">
        <f t="shared" si="164"/>
        <v>0</v>
      </c>
      <c r="BR483" s="664">
        <f t="shared" si="164"/>
        <v>0</v>
      </c>
      <c r="BS483" s="664">
        <f t="shared" si="164"/>
        <v>0</v>
      </c>
      <c r="BT483" s="664">
        <f t="shared" si="164"/>
        <v>0</v>
      </c>
      <c r="BU483" s="664">
        <f t="shared" si="164"/>
        <v>0</v>
      </c>
      <c r="BV483" s="664">
        <f t="shared" si="164"/>
        <v>0</v>
      </c>
      <c r="BW483" s="664">
        <f t="shared" si="164"/>
        <v>0</v>
      </c>
      <c r="BX483" s="664">
        <f t="shared" si="164"/>
        <v>0</v>
      </c>
      <c r="BY483" s="664">
        <f t="shared" si="164"/>
        <v>0</v>
      </c>
      <c r="BZ483" s="664">
        <f t="shared" si="164"/>
        <v>0</v>
      </c>
      <c r="CA483" s="664">
        <f t="shared" si="164"/>
        <v>0</v>
      </c>
    </row>
    <row r="484" spans="1:79" s="747" customFormat="1" outlineLevel="1" x14ac:dyDescent="0.25">
      <c r="A484" s="701"/>
      <c r="E484" s="570" t="s">
        <v>1344</v>
      </c>
      <c r="F484" s="701" t="s">
        <v>626</v>
      </c>
      <c r="G484" s="748"/>
      <c r="H484" s="748"/>
      <c r="I484" s="748"/>
      <c r="J484" s="748"/>
      <c r="K484" s="748"/>
      <c r="L484" s="748"/>
      <c r="M484" s="748"/>
      <c r="N484" s="748"/>
      <c r="O484" s="748"/>
      <c r="P484" s="749"/>
      <c r="Q484" s="749"/>
      <c r="R484" s="749"/>
      <c r="S484" s="697"/>
      <c r="T484" s="697"/>
      <c r="U484" s="697"/>
      <c r="V484" s="697"/>
      <c r="W484" s="697"/>
      <c r="X484" s="697"/>
      <c r="Y484" s="697"/>
      <c r="Z484" s="697"/>
      <c r="AA484" s="697"/>
      <c r="AB484" s="697"/>
      <c r="AC484" s="697"/>
      <c r="AD484" s="697"/>
      <c r="AE484" s="697"/>
      <c r="AF484" s="697"/>
      <c r="AG484" s="697"/>
      <c r="AH484" s="750"/>
      <c r="AI484" s="750"/>
      <c r="AJ484" s="750"/>
      <c r="AK484" s="750"/>
      <c r="AL484" s="750"/>
      <c r="AM484" s="750"/>
      <c r="AN484" s="750"/>
      <c r="AO484" s="750"/>
      <c r="AP484" s="750"/>
      <c r="AQ484" s="750"/>
      <c r="AR484" s="750"/>
      <c r="AS484" s="750"/>
      <c r="AT484" s="750"/>
      <c r="AU484" s="750"/>
      <c r="AV484" s="750"/>
      <c r="AW484" s="750"/>
      <c r="AX484" s="750"/>
      <c r="AY484" s="750"/>
      <c r="AZ484" s="750"/>
      <c r="BA484" s="750"/>
      <c r="BB484" s="750"/>
      <c r="BC484" s="750"/>
      <c r="BD484" s="750"/>
      <c r="BE484" s="750"/>
      <c r="BF484" s="750"/>
      <c r="BG484" s="750"/>
      <c r="BH484" s="750"/>
      <c r="BI484" s="750"/>
      <c r="BJ484" s="750"/>
      <c r="BK484" s="750"/>
      <c r="BL484" s="750"/>
      <c r="BM484" s="750"/>
      <c r="BN484" s="750"/>
      <c r="BO484" s="750"/>
      <c r="BP484" s="750"/>
      <c r="BQ484" s="750"/>
      <c r="BR484" s="750"/>
      <c r="BS484" s="750"/>
      <c r="BT484" s="750"/>
      <c r="BU484" s="750"/>
      <c r="BV484" s="750"/>
      <c r="BW484" s="750"/>
      <c r="BX484" s="750"/>
      <c r="BY484" s="750"/>
      <c r="BZ484" s="750"/>
      <c r="CA484" s="750"/>
    </row>
    <row r="485" spans="1:79" s="742" customFormat="1" outlineLevel="1" x14ac:dyDescent="0.25">
      <c r="A485" s="661"/>
      <c r="B485" s="501"/>
      <c r="C485" s="501"/>
      <c r="D485" s="501"/>
      <c r="E485" s="570" t="s">
        <v>1344</v>
      </c>
      <c r="F485" s="661" t="s">
        <v>627</v>
      </c>
      <c r="G485" s="727"/>
      <c r="H485" s="727"/>
      <c r="I485" s="727"/>
      <c r="J485" s="727"/>
      <c r="K485" s="727"/>
      <c r="L485" s="727"/>
      <c r="M485" s="727"/>
      <c r="N485" s="727"/>
      <c r="O485" s="727"/>
      <c r="P485" s="728"/>
      <c r="Q485" s="728"/>
      <c r="R485" s="728"/>
      <c r="S485" s="667">
        <v>49.97</v>
      </c>
      <c r="T485" s="667">
        <v>4.38</v>
      </c>
      <c r="U485" s="667">
        <v>3.65</v>
      </c>
      <c r="V485" s="667">
        <v>10.029999999999999</v>
      </c>
      <c r="W485" s="667">
        <v>0.34</v>
      </c>
      <c r="X485" s="667">
        <v>3.12</v>
      </c>
      <c r="Y485" s="667">
        <v>5.3</v>
      </c>
      <c r="Z485" s="667">
        <v>3.1</v>
      </c>
      <c r="AA485" s="667">
        <v>0.51</v>
      </c>
      <c r="AB485" s="667">
        <v>6.06</v>
      </c>
      <c r="AC485" s="667">
        <v>0.94</v>
      </c>
      <c r="AD485" s="667">
        <v>0</v>
      </c>
      <c r="AE485" s="667">
        <v>68.349999999999994</v>
      </c>
      <c r="AF485" s="667">
        <v>1.66</v>
      </c>
      <c r="AG485" s="667">
        <v>0</v>
      </c>
      <c r="AH485" s="729"/>
      <c r="AI485" s="729"/>
      <c r="AJ485" s="729"/>
      <c r="AK485" s="729"/>
      <c r="AL485" s="729"/>
      <c r="AM485" s="729"/>
      <c r="AN485" s="729"/>
      <c r="AO485" s="729"/>
      <c r="AP485" s="729"/>
      <c r="AQ485" s="729"/>
      <c r="AR485" s="729"/>
      <c r="AS485" s="729"/>
      <c r="AT485" s="729"/>
      <c r="AU485" s="729"/>
      <c r="AV485" s="729"/>
      <c r="AW485" s="729"/>
      <c r="AX485" s="729"/>
      <c r="AY485" s="729"/>
      <c r="AZ485" s="729"/>
      <c r="BA485" s="729"/>
      <c r="BB485" s="729"/>
      <c r="BC485" s="729"/>
      <c r="BD485" s="729"/>
      <c r="BE485" s="729"/>
      <c r="BF485" s="729"/>
      <c r="BG485" s="729"/>
      <c r="BH485" s="729"/>
      <c r="BI485" s="729"/>
      <c r="BJ485" s="729"/>
      <c r="BK485" s="729"/>
      <c r="BL485" s="729"/>
      <c r="BM485" s="729"/>
      <c r="BN485" s="729"/>
      <c r="BO485" s="729"/>
      <c r="BP485" s="729"/>
      <c r="BQ485" s="729"/>
      <c r="BR485" s="729"/>
      <c r="BS485" s="729"/>
      <c r="BT485" s="729"/>
      <c r="BU485" s="729"/>
      <c r="BV485" s="729"/>
      <c r="BW485" s="729"/>
      <c r="BX485" s="729"/>
      <c r="BY485" s="729"/>
      <c r="BZ485" s="729"/>
      <c r="CA485" s="729"/>
    </row>
    <row r="486" spans="1:79" s="742" customFormat="1" outlineLevel="1" x14ac:dyDescent="0.25">
      <c r="A486" s="661"/>
      <c r="B486" s="501"/>
      <c r="C486" s="501"/>
      <c r="D486" s="501"/>
      <c r="E486" s="570" t="s">
        <v>1344</v>
      </c>
      <c r="F486" s="661" t="s">
        <v>628</v>
      </c>
      <c r="G486" s="727"/>
      <c r="H486" s="727"/>
      <c r="I486" s="727"/>
      <c r="J486" s="727"/>
      <c r="K486" s="727"/>
      <c r="L486" s="727"/>
      <c r="M486" s="727"/>
      <c r="N486" s="727"/>
      <c r="O486" s="727"/>
      <c r="P486" s="728"/>
      <c r="Q486" s="728"/>
      <c r="R486" s="728"/>
      <c r="S486" s="667">
        <v>353.31</v>
      </c>
      <c r="T486" s="667">
        <v>34.31</v>
      </c>
      <c r="U486" s="667">
        <v>21.92</v>
      </c>
      <c r="V486" s="667">
        <v>97.87</v>
      </c>
      <c r="W486" s="667">
        <v>6.33</v>
      </c>
      <c r="X486" s="667">
        <v>18.73</v>
      </c>
      <c r="Y486" s="667">
        <v>31.77</v>
      </c>
      <c r="Z486" s="667">
        <v>19.46</v>
      </c>
      <c r="AA486" s="667">
        <v>11.84</v>
      </c>
      <c r="AB486" s="667">
        <v>79.91</v>
      </c>
      <c r="AC486" s="667">
        <v>35.99</v>
      </c>
      <c r="AD486" s="667">
        <v>0.46</v>
      </c>
      <c r="AE486" s="667">
        <v>520.16999999999996</v>
      </c>
      <c r="AF486" s="667">
        <v>25.83</v>
      </c>
      <c r="AG486" s="667">
        <v>0</v>
      </c>
      <c r="AH486" s="729"/>
      <c r="AI486" s="729"/>
      <c r="AJ486" s="729"/>
      <c r="AK486" s="729"/>
      <c r="AL486" s="729"/>
      <c r="AM486" s="729"/>
      <c r="AN486" s="729"/>
      <c r="AO486" s="729"/>
      <c r="AP486" s="729"/>
      <c r="AQ486" s="729"/>
      <c r="AR486" s="729"/>
      <c r="AS486" s="729"/>
      <c r="AT486" s="729"/>
      <c r="AU486" s="729"/>
      <c r="AV486" s="729"/>
      <c r="AW486" s="729"/>
      <c r="AX486" s="729"/>
      <c r="AY486" s="729"/>
      <c r="AZ486" s="729"/>
      <c r="BA486" s="729"/>
      <c r="BB486" s="729"/>
      <c r="BC486" s="729"/>
      <c r="BD486" s="729"/>
      <c r="BE486" s="729"/>
      <c r="BF486" s="729"/>
      <c r="BG486" s="729"/>
      <c r="BH486" s="729"/>
      <c r="BI486" s="729"/>
      <c r="BJ486" s="729"/>
      <c r="BK486" s="729"/>
      <c r="BL486" s="729"/>
      <c r="BM486" s="729"/>
      <c r="BN486" s="729"/>
      <c r="BO486" s="729"/>
      <c r="BP486" s="729"/>
      <c r="BQ486" s="729"/>
      <c r="BR486" s="729"/>
      <c r="BS486" s="729"/>
      <c r="BT486" s="729"/>
      <c r="BU486" s="729"/>
      <c r="BV486" s="729"/>
      <c r="BW486" s="729"/>
      <c r="BX486" s="729"/>
      <c r="BY486" s="729"/>
      <c r="BZ486" s="729"/>
      <c r="CA486" s="729"/>
    </row>
    <row r="487" spans="1:79" s="742" customFormat="1" outlineLevel="1" x14ac:dyDescent="0.25">
      <c r="A487" s="661"/>
      <c r="B487" s="501"/>
      <c r="C487" s="501"/>
      <c r="D487" s="501"/>
      <c r="E487" s="570" t="s">
        <v>1344</v>
      </c>
      <c r="F487" s="661" t="s">
        <v>629</v>
      </c>
      <c r="G487" s="727"/>
      <c r="H487" s="727"/>
      <c r="I487" s="727"/>
      <c r="J487" s="727"/>
      <c r="K487" s="728"/>
      <c r="L487" s="728"/>
      <c r="M487" s="728"/>
      <c r="N487" s="728"/>
      <c r="O487" s="728"/>
      <c r="P487" s="728"/>
      <c r="Q487" s="728"/>
      <c r="R487" s="728"/>
      <c r="S487" s="667">
        <v>2394</v>
      </c>
      <c r="T487" s="667">
        <v>2506.16</v>
      </c>
      <c r="U487" s="667">
        <v>2892.91</v>
      </c>
      <c r="V487" s="667">
        <v>3872.58</v>
      </c>
      <c r="W487" s="667">
        <v>3098.49</v>
      </c>
      <c r="X487" s="667">
        <v>2889.4</v>
      </c>
      <c r="Y487" s="667">
        <v>3170.03</v>
      </c>
      <c r="Z487" s="667">
        <v>2152.04</v>
      </c>
      <c r="AA487" s="667">
        <v>3969.13</v>
      </c>
      <c r="AB487" s="667">
        <v>3157.83</v>
      </c>
      <c r="AC487" s="667">
        <v>3092.85</v>
      </c>
      <c r="AD487" s="667">
        <v>-7611.51</v>
      </c>
      <c r="AE487" s="667">
        <v>2251.85</v>
      </c>
      <c r="AF487" s="667">
        <v>2239.41</v>
      </c>
      <c r="AG487" s="667">
        <v>2256.96</v>
      </c>
      <c r="AH487" s="729"/>
      <c r="AI487" s="729"/>
      <c r="AJ487" s="729"/>
      <c r="AK487" s="729"/>
      <c r="AL487" s="729"/>
      <c r="AM487" s="729"/>
      <c r="AN487" s="729"/>
      <c r="AO487" s="729"/>
      <c r="AP487" s="729"/>
      <c r="AQ487" s="729"/>
      <c r="AR487" s="729"/>
      <c r="AS487" s="729"/>
      <c r="AT487" s="729"/>
      <c r="AU487" s="729"/>
      <c r="AV487" s="729"/>
      <c r="AW487" s="729"/>
      <c r="AX487" s="729"/>
      <c r="AY487" s="729"/>
      <c r="AZ487" s="729"/>
      <c r="BA487" s="729"/>
      <c r="BB487" s="729"/>
      <c r="BC487" s="729"/>
      <c r="BD487" s="729"/>
      <c r="BE487" s="729"/>
      <c r="BF487" s="729"/>
      <c r="BG487" s="729"/>
      <c r="BH487" s="729"/>
      <c r="BI487" s="729"/>
      <c r="BJ487" s="729"/>
      <c r="BK487" s="729"/>
      <c r="BL487" s="729"/>
      <c r="BM487" s="729"/>
      <c r="BN487" s="729"/>
      <c r="BO487" s="729"/>
      <c r="BP487" s="729"/>
      <c r="BQ487" s="729"/>
      <c r="BR487" s="729"/>
      <c r="BS487" s="729"/>
      <c r="BT487" s="729"/>
      <c r="BU487" s="729"/>
      <c r="BV487" s="729"/>
      <c r="BW487" s="729"/>
      <c r="BX487" s="729"/>
      <c r="BY487" s="729"/>
      <c r="BZ487" s="729"/>
      <c r="CA487" s="729"/>
    </row>
    <row r="488" spans="1:79" s="742" customFormat="1" outlineLevel="1" x14ac:dyDescent="0.25">
      <c r="A488" s="661"/>
      <c r="B488" s="501"/>
      <c r="C488" s="501"/>
      <c r="D488" s="501"/>
      <c r="E488" s="570" t="s">
        <v>1344</v>
      </c>
      <c r="F488" s="661" t="s">
        <v>630</v>
      </c>
      <c r="G488" s="727"/>
      <c r="H488" s="727"/>
      <c r="I488" s="727"/>
      <c r="J488" s="727"/>
      <c r="K488" s="727"/>
      <c r="L488" s="727"/>
      <c r="M488" s="727"/>
      <c r="N488" s="727"/>
      <c r="O488" s="727"/>
      <c r="P488" s="728"/>
      <c r="Q488" s="728"/>
      <c r="R488" s="728"/>
      <c r="S488" s="667">
        <v>5377.3</v>
      </c>
      <c r="T488" s="667">
        <v>5856.92</v>
      </c>
      <c r="U488" s="667">
        <v>7510.62</v>
      </c>
      <c r="V488" s="667">
        <v>11699.49</v>
      </c>
      <c r="W488" s="667">
        <v>8337.7099999999991</v>
      </c>
      <c r="X488" s="667">
        <v>4951.4799999999996</v>
      </c>
      <c r="Y488" s="667">
        <v>5701.4</v>
      </c>
      <c r="Z488" s="667">
        <v>4960.59</v>
      </c>
      <c r="AA488" s="667">
        <v>4340.13</v>
      </c>
      <c r="AB488" s="667">
        <v>4452.82</v>
      </c>
      <c r="AC488" s="667">
        <v>4235.83</v>
      </c>
      <c r="AD488" s="667">
        <v>7028.28</v>
      </c>
      <c r="AE488" s="667">
        <v>8345.9599999999991</v>
      </c>
      <c r="AF488" s="667">
        <v>8280.52</v>
      </c>
      <c r="AG488" s="667">
        <v>8343.1200000000008</v>
      </c>
      <c r="AH488" s="729"/>
      <c r="AI488" s="729"/>
      <c r="AJ488" s="729"/>
      <c r="AK488" s="729"/>
      <c r="AL488" s="729"/>
      <c r="AM488" s="729"/>
      <c r="AN488" s="729"/>
      <c r="AO488" s="729"/>
      <c r="AP488" s="729"/>
      <c r="AQ488" s="729"/>
      <c r="AR488" s="729"/>
      <c r="AS488" s="729"/>
      <c r="AT488" s="729"/>
      <c r="AU488" s="729"/>
      <c r="AV488" s="729"/>
      <c r="AW488" s="729"/>
      <c r="AX488" s="729"/>
      <c r="AY488" s="729"/>
      <c r="AZ488" s="729"/>
      <c r="BA488" s="729"/>
      <c r="BB488" s="729"/>
      <c r="BC488" s="729"/>
      <c r="BD488" s="729"/>
      <c r="BE488" s="729"/>
      <c r="BF488" s="729"/>
      <c r="BG488" s="729"/>
      <c r="BH488" s="729"/>
      <c r="BI488" s="729"/>
      <c r="BJ488" s="729"/>
      <c r="BK488" s="729"/>
      <c r="BL488" s="729"/>
      <c r="BM488" s="729"/>
      <c r="BN488" s="729"/>
      <c r="BO488" s="729"/>
      <c r="BP488" s="729"/>
      <c r="BQ488" s="729"/>
      <c r="BR488" s="729"/>
      <c r="BS488" s="729"/>
      <c r="BT488" s="729"/>
      <c r="BU488" s="729"/>
      <c r="BV488" s="729"/>
      <c r="BW488" s="729"/>
      <c r="BX488" s="729"/>
      <c r="BY488" s="729"/>
      <c r="BZ488" s="729"/>
      <c r="CA488" s="729"/>
    </row>
    <row r="489" spans="1:79" s="742" customFormat="1" outlineLevel="1" x14ac:dyDescent="0.25">
      <c r="A489" s="661"/>
      <c r="B489" s="501"/>
      <c r="C489" s="501"/>
      <c r="D489" s="501"/>
      <c r="E489" s="570" t="s">
        <v>1344</v>
      </c>
      <c r="F489" s="661" t="s">
        <v>631</v>
      </c>
      <c r="G489" s="727"/>
      <c r="H489" s="727"/>
      <c r="I489" s="727"/>
      <c r="J489" s="727"/>
      <c r="K489" s="727"/>
      <c r="L489" s="727"/>
      <c r="M489" s="727"/>
      <c r="N489" s="727"/>
      <c r="O489" s="727"/>
      <c r="P489" s="728"/>
      <c r="Q489" s="728"/>
      <c r="R489" s="728"/>
      <c r="S489" s="667">
        <v>53.97</v>
      </c>
      <c r="T489" s="667">
        <v>43.27</v>
      </c>
      <c r="U489" s="667">
        <v>23.08</v>
      </c>
      <c r="V489" s="667">
        <v>76.819999999999993</v>
      </c>
      <c r="W489" s="667">
        <v>93.91</v>
      </c>
      <c r="X489" s="667">
        <v>65.78</v>
      </c>
      <c r="Y489" s="667">
        <v>0.49</v>
      </c>
      <c r="Z489" s="667">
        <v>1.22</v>
      </c>
      <c r="AA489" s="667">
        <v>6.81</v>
      </c>
      <c r="AB489" s="667">
        <v>29.08</v>
      </c>
      <c r="AC489" s="667">
        <v>23.7</v>
      </c>
      <c r="AD489" s="667">
        <v>27.22</v>
      </c>
      <c r="AE489" s="667">
        <v>128.85</v>
      </c>
      <c r="AF489" s="667">
        <v>103.08</v>
      </c>
      <c r="AG489" s="667">
        <v>75.34</v>
      </c>
      <c r="AH489" s="729"/>
      <c r="AI489" s="729"/>
      <c r="AJ489" s="729"/>
      <c r="AK489" s="729"/>
      <c r="AL489" s="729"/>
      <c r="AM489" s="729"/>
      <c r="AN489" s="729"/>
      <c r="AO489" s="729"/>
      <c r="AP489" s="729"/>
      <c r="AQ489" s="729"/>
      <c r="AR489" s="729"/>
      <c r="AS489" s="729"/>
      <c r="AT489" s="729"/>
      <c r="AU489" s="729"/>
      <c r="AV489" s="729"/>
      <c r="AW489" s="729"/>
      <c r="AX489" s="729"/>
      <c r="AY489" s="729"/>
      <c r="AZ489" s="729"/>
      <c r="BA489" s="729"/>
      <c r="BB489" s="729"/>
      <c r="BC489" s="729"/>
      <c r="BD489" s="729"/>
      <c r="BE489" s="729"/>
      <c r="BF489" s="729"/>
      <c r="BG489" s="729"/>
      <c r="BH489" s="729"/>
      <c r="BI489" s="729"/>
      <c r="BJ489" s="729"/>
      <c r="BK489" s="729"/>
      <c r="BL489" s="729"/>
      <c r="BM489" s="729"/>
      <c r="BN489" s="729"/>
      <c r="BO489" s="729"/>
      <c r="BP489" s="729"/>
      <c r="BQ489" s="729"/>
      <c r="BR489" s="729"/>
      <c r="BS489" s="729"/>
      <c r="BT489" s="729"/>
      <c r="BU489" s="729"/>
      <c r="BV489" s="729"/>
      <c r="BW489" s="729"/>
      <c r="BX489" s="729"/>
      <c r="BY489" s="729"/>
      <c r="BZ489" s="729"/>
      <c r="CA489" s="729"/>
    </row>
    <row r="490" spans="1:79" s="742" customFormat="1" outlineLevel="1" x14ac:dyDescent="0.25">
      <c r="A490" s="661"/>
      <c r="B490" s="501"/>
      <c r="C490" s="501"/>
      <c r="D490" s="501"/>
      <c r="E490" s="570" t="s">
        <v>1344</v>
      </c>
      <c r="F490" s="661" t="s">
        <v>632</v>
      </c>
      <c r="G490" s="727"/>
      <c r="H490" s="727"/>
      <c r="I490" s="727"/>
      <c r="J490" s="727"/>
      <c r="K490" s="727"/>
      <c r="L490" s="727"/>
      <c r="M490" s="727"/>
      <c r="N490" s="727"/>
      <c r="O490" s="727"/>
      <c r="P490" s="728"/>
      <c r="Q490" s="728"/>
      <c r="R490" s="728"/>
      <c r="S490" s="667">
        <v>2234.67</v>
      </c>
      <c r="T490" s="667">
        <v>392.72</v>
      </c>
      <c r="U490" s="667">
        <v>303.07</v>
      </c>
      <c r="V490" s="667">
        <v>923.38</v>
      </c>
      <c r="W490" s="667">
        <v>652.16999999999996</v>
      </c>
      <c r="X490" s="667">
        <v>572.05999999999995</v>
      </c>
      <c r="Y490" s="667">
        <v>211.69</v>
      </c>
      <c r="Z490" s="667">
        <v>132.28</v>
      </c>
      <c r="AA490" s="667">
        <v>66.64</v>
      </c>
      <c r="AB490" s="667">
        <v>440.14</v>
      </c>
      <c r="AC490" s="667">
        <v>198.9</v>
      </c>
      <c r="AD490" s="667">
        <v>185.14</v>
      </c>
      <c r="AE490" s="667">
        <v>3610.1</v>
      </c>
      <c r="AF490" s="667">
        <v>766.99</v>
      </c>
      <c r="AG490" s="667">
        <v>512.36</v>
      </c>
      <c r="AH490" s="729"/>
      <c r="AI490" s="729"/>
      <c r="AJ490" s="729"/>
      <c r="AK490" s="729"/>
      <c r="AL490" s="729"/>
      <c r="AM490" s="729"/>
      <c r="AN490" s="729"/>
      <c r="AO490" s="729"/>
      <c r="AP490" s="729"/>
      <c r="AQ490" s="729"/>
      <c r="AR490" s="729"/>
      <c r="AS490" s="729"/>
      <c r="AT490" s="729"/>
      <c r="AU490" s="729"/>
      <c r="AV490" s="729"/>
      <c r="AW490" s="729"/>
      <c r="AX490" s="729"/>
      <c r="AY490" s="729"/>
      <c r="AZ490" s="729"/>
      <c r="BA490" s="729"/>
      <c r="BB490" s="729"/>
      <c r="BC490" s="729"/>
      <c r="BD490" s="729"/>
      <c r="BE490" s="729"/>
      <c r="BF490" s="729"/>
      <c r="BG490" s="729"/>
      <c r="BH490" s="729"/>
      <c r="BI490" s="729"/>
      <c r="BJ490" s="729"/>
      <c r="BK490" s="729"/>
      <c r="BL490" s="729"/>
      <c r="BM490" s="729"/>
      <c r="BN490" s="729"/>
      <c r="BO490" s="729"/>
      <c r="BP490" s="729"/>
      <c r="BQ490" s="729"/>
      <c r="BR490" s="729"/>
      <c r="BS490" s="729"/>
      <c r="BT490" s="729"/>
      <c r="BU490" s="729"/>
      <c r="BV490" s="729"/>
      <c r="BW490" s="729"/>
      <c r="BX490" s="729"/>
      <c r="BY490" s="729"/>
      <c r="BZ490" s="729"/>
      <c r="CA490" s="729"/>
    </row>
    <row r="491" spans="1:79" s="742" customFormat="1" outlineLevel="1" x14ac:dyDescent="0.25">
      <c r="A491" s="661"/>
      <c r="B491" s="501"/>
      <c r="C491" s="501"/>
      <c r="D491" s="501"/>
      <c r="E491" s="570" t="s">
        <v>1344</v>
      </c>
      <c r="F491" s="661" t="s">
        <v>902</v>
      </c>
      <c r="G491" s="727"/>
      <c r="H491" s="727"/>
      <c r="I491" s="727"/>
      <c r="J491" s="727"/>
      <c r="K491" s="727"/>
      <c r="L491" s="727"/>
      <c r="M491" s="727"/>
      <c r="N491" s="727"/>
      <c r="O491" s="727"/>
      <c r="P491" s="728"/>
      <c r="Q491" s="728"/>
      <c r="R491" s="728"/>
      <c r="S491" s="667">
        <v>0</v>
      </c>
      <c r="T491" s="667">
        <v>0</v>
      </c>
      <c r="U491" s="667">
        <v>0</v>
      </c>
      <c r="V491" s="667">
        <v>0</v>
      </c>
      <c r="W491" s="667">
        <v>0</v>
      </c>
      <c r="X491" s="667">
        <v>0</v>
      </c>
      <c r="Y491" s="667">
        <v>0</v>
      </c>
      <c r="Z491" s="667">
        <v>0</v>
      </c>
      <c r="AA491" s="667">
        <v>0</v>
      </c>
      <c r="AB491" s="667">
        <v>0</v>
      </c>
      <c r="AC491" s="667">
        <v>0</v>
      </c>
      <c r="AD491" s="667">
        <v>0</v>
      </c>
      <c r="AE491" s="667">
        <v>0</v>
      </c>
      <c r="AF491" s="667">
        <v>0</v>
      </c>
      <c r="AG491" s="667">
        <v>0</v>
      </c>
      <c r="AH491" s="729"/>
      <c r="AI491" s="729"/>
      <c r="AJ491" s="729"/>
      <c r="AK491" s="729"/>
      <c r="AL491" s="729"/>
      <c r="AM491" s="729"/>
      <c r="AN491" s="729"/>
      <c r="AO491" s="729"/>
      <c r="AP491" s="729"/>
      <c r="AQ491" s="729"/>
      <c r="AR491" s="729"/>
      <c r="AS491" s="729"/>
      <c r="AT491" s="729"/>
      <c r="AU491" s="729"/>
      <c r="AV491" s="729"/>
      <c r="AW491" s="729"/>
      <c r="AX491" s="729"/>
      <c r="AY491" s="729"/>
      <c r="AZ491" s="729"/>
      <c r="BA491" s="729"/>
      <c r="BB491" s="729"/>
      <c r="BC491" s="729"/>
      <c r="BD491" s="729"/>
      <c r="BE491" s="729"/>
      <c r="BF491" s="729"/>
      <c r="BG491" s="729"/>
      <c r="BH491" s="729"/>
      <c r="BI491" s="729"/>
      <c r="BJ491" s="729"/>
      <c r="BK491" s="729"/>
      <c r="BL491" s="729"/>
      <c r="BM491" s="729"/>
      <c r="BN491" s="729"/>
      <c r="BO491" s="729"/>
      <c r="BP491" s="729"/>
      <c r="BQ491" s="729"/>
      <c r="BR491" s="729"/>
      <c r="BS491" s="729"/>
      <c r="BT491" s="729"/>
      <c r="BU491" s="729"/>
      <c r="BV491" s="729"/>
      <c r="BW491" s="729"/>
      <c r="BX491" s="729"/>
      <c r="BY491" s="729"/>
      <c r="BZ491" s="729"/>
      <c r="CA491" s="729"/>
    </row>
    <row r="492" spans="1:79" s="742" customFormat="1" outlineLevel="1" x14ac:dyDescent="0.25">
      <c r="A492" s="661"/>
      <c r="B492" s="501"/>
      <c r="C492" s="501"/>
      <c r="D492" s="501"/>
      <c r="E492" s="570" t="s">
        <v>1344</v>
      </c>
      <c r="F492" s="661" t="s">
        <v>633</v>
      </c>
      <c r="G492" s="724">
        <v>4241.5936311661462</v>
      </c>
      <c r="H492" s="724">
        <v>2509.5118324297018</v>
      </c>
      <c r="I492" s="724">
        <v>3041.6596527474453</v>
      </c>
      <c r="J492" s="724">
        <v>3273.7284275491593</v>
      </c>
      <c r="K492" s="724">
        <v>2705.4840857339209</v>
      </c>
      <c r="L492" s="724">
        <v>4643.7623132824692</v>
      </c>
      <c r="M492" s="724">
        <v>5397.5291196317567</v>
      </c>
      <c r="N492" s="724">
        <v>6243.3643184587963</v>
      </c>
      <c r="O492" s="724">
        <v>5551.4297776393587</v>
      </c>
      <c r="P492" s="725">
        <v>5051.8735629275907</v>
      </c>
      <c r="Q492" s="725">
        <v>7606.9648773333984</v>
      </c>
      <c r="R492" s="725">
        <v>6338.2563158951643</v>
      </c>
      <c r="S492" s="667">
        <v>0</v>
      </c>
      <c r="T492" s="667">
        <v>0</v>
      </c>
      <c r="U492" s="667">
        <v>3085.48</v>
      </c>
      <c r="V492" s="667">
        <v>-3085.48</v>
      </c>
      <c r="W492" s="667">
        <v>0</v>
      </c>
      <c r="X492" s="667">
        <v>0</v>
      </c>
      <c r="Y492" s="667">
        <v>0</v>
      </c>
      <c r="Z492" s="667">
        <v>0</v>
      </c>
      <c r="AA492" s="667">
        <v>0</v>
      </c>
      <c r="AB492" s="667">
        <v>0</v>
      </c>
      <c r="AC492" s="667">
        <v>0</v>
      </c>
      <c r="AD492" s="667">
        <v>0</v>
      </c>
      <c r="AE492" s="667">
        <v>0</v>
      </c>
      <c r="AF492" s="667">
        <v>0</v>
      </c>
      <c r="AG492" s="667">
        <v>0</v>
      </c>
      <c r="AH492" s="729"/>
      <c r="AI492" s="729"/>
      <c r="AJ492" s="729"/>
      <c r="AK492" s="729"/>
      <c r="AL492" s="729"/>
      <c r="AM492" s="729"/>
      <c r="AN492" s="729"/>
      <c r="AO492" s="729"/>
      <c r="AP492" s="729"/>
      <c r="AQ492" s="729"/>
      <c r="AR492" s="729"/>
      <c r="AS492" s="729"/>
      <c r="AT492" s="729"/>
      <c r="AU492" s="729"/>
      <c r="AV492" s="729"/>
      <c r="AW492" s="729"/>
      <c r="AX492" s="729"/>
      <c r="AY492" s="729"/>
      <c r="AZ492" s="729"/>
      <c r="BA492" s="729"/>
      <c r="BB492" s="729"/>
      <c r="BC492" s="729"/>
      <c r="BD492" s="729"/>
      <c r="BE492" s="729"/>
      <c r="BF492" s="729"/>
      <c r="BG492" s="729"/>
      <c r="BH492" s="729"/>
      <c r="BI492" s="729"/>
      <c r="BJ492" s="729"/>
      <c r="BK492" s="729"/>
      <c r="BL492" s="729"/>
      <c r="BM492" s="729"/>
      <c r="BN492" s="729"/>
      <c r="BO492" s="729"/>
      <c r="BP492" s="729"/>
      <c r="BQ492" s="729"/>
      <c r="BR492" s="729"/>
      <c r="BS492" s="729"/>
      <c r="BT492" s="729"/>
      <c r="BU492" s="729"/>
      <c r="BV492" s="729"/>
      <c r="BW492" s="729"/>
      <c r="BX492" s="729"/>
      <c r="BY492" s="729"/>
      <c r="BZ492" s="729"/>
      <c r="CA492" s="729"/>
    </row>
    <row r="493" spans="1:79" s="743" customFormat="1" outlineLevel="1" x14ac:dyDescent="0.25">
      <c r="A493" s="657"/>
      <c r="B493" s="502"/>
      <c r="C493" s="502"/>
      <c r="D493" s="502"/>
      <c r="E493" s="570" t="s">
        <v>49</v>
      </c>
      <c r="F493" s="657" t="s">
        <v>634</v>
      </c>
      <c r="G493" s="664">
        <f>SUM(G485:G492)</f>
        <v>4241.5936311661462</v>
      </c>
      <c r="H493" s="664">
        <f t="shared" ref="H493:BO493" si="165">SUM(H485:H492)</f>
        <v>2509.5118324297018</v>
      </c>
      <c r="I493" s="664">
        <f t="shared" si="165"/>
        <v>3041.6596527474453</v>
      </c>
      <c r="J493" s="664">
        <f t="shared" si="165"/>
        <v>3273.7284275491593</v>
      </c>
      <c r="K493" s="664">
        <f t="shared" si="165"/>
        <v>2705.4840857339209</v>
      </c>
      <c r="L493" s="664">
        <f t="shared" si="165"/>
        <v>4643.7623132824692</v>
      </c>
      <c r="M493" s="664">
        <f t="shared" si="165"/>
        <v>5397.5291196317567</v>
      </c>
      <c r="N493" s="664">
        <f t="shared" si="165"/>
        <v>6243.3643184587963</v>
      </c>
      <c r="O493" s="664">
        <f t="shared" si="165"/>
        <v>5551.4297776393587</v>
      </c>
      <c r="P493" s="664">
        <f t="shared" si="165"/>
        <v>5051.8735629275907</v>
      </c>
      <c r="Q493" s="664">
        <f t="shared" si="165"/>
        <v>7606.9648773333984</v>
      </c>
      <c r="R493" s="664">
        <f t="shared" si="165"/>
        <v>6338.2563158951643</v>
      </c>
      <c r="S493" s="679">
        <f t="shared" ref="S493:AA493" si="166">ROUND(SUM(S484:S492),5)</f>
        <v>10463.219999999999</v>
      </c>
      <c r="T493" s="679">
        <f t="shared" si="166"/>
        <v>8837.76</v>
      </c>
      <c r="U493" s="679">
        <f t="shared" si="166"/>
        <v>13840.73</v>
      </c>
      <c r="V493" s="679">
        <f t="shared" si="166"/>
        <v>13594.69</v>
      </c>
      <c r="W493" s="679">
        <f t="shared" si="166"/>
        <v>12188.95</v>
      </c>
      <c r="X493" s="679">
        <f t="shared" si="166"/>
        <v>8500.57</v>
      </c>
      <c r="Y493" s="679">
        <f t="shared" si="166"/>
        <v>9120.68</v>
      </c>
      <c r="Z493" s="679">
        <f t="shared" si="166"/>
        <v>7268.69</v>
      </c>
      <c r="AA493" s="679">
        <f t="shared" si="166"/>
        <v>8395.06</v>
      </c>
      <c r="AB493" s="679">
        <f t="shared" ref="AB493:AG493" si="167">ROUND(SUM(AB484:AB492),5)</f>
        <v>8165.84</v>
      </c>
      <c r="AC493" s="679">
        <f t="shared" si="167"/>
        <v>7588.21</v>
      </c>
      <c r="AD493" s="679">
        <f t="shared" si="167"/>
        <v>-370.41</v>
      </c>
      <c r="AE493" s="679">
        <f t="shared" si="167"/>
        <v>14925.28</v>
      </c>
      <c r="AF493" s="679">
        <f t="shared" si="167"/>
        <v>11417.49</v>
      </c>
      <c r="AG493" s="679">
        <f t="shared" si="167"/>
        <v>11187.78</v>
      </c>
      <c r="AH493" s="664">
        <f t="shared" si="165"/>
        <v>0</v>
      </c>
      <c r="AI493" s="664">
        <f t="shared" si="165"/>
        <v>0</v>
      </c>
      <c r="AJ493" s="664">
        <f t="shared" si="165"/>
        <v>0</v>
      </c>
      <c r="AK493" s="664">
        <f t="shared" si="165"/>
        <v>0</v>
      </c>
      <c r="AL493" s="664">
        <f t="shared" si="165"/>
        <v>0</v>
      </c>
      <c r="AM493" s="664">
        <f t="shared" si="165"/>
        <v>0</v>
      </c>
      <c r="AN493" s="664">
        <f t="shared" si="165"/>
        <v>0</v>
      </c>
      <c r="AO493" s="664">
        <f t="shared" si="165"/>
        <v>0</v>
      </c>
      <c r="AP493" s="664">
        <f t="shared" si="165"/>
        <v>0</v>
      </c>
      <c r="AQ493" s="664">
        <f t="shared" si="165"/>
        <v>0</v>
      </c>
      <c r="AR493" s="664">
        <f t="shared" si="165"/>
        <v>0</v>
      </c>
      <c r="AS493" s="664">
        <f t="shared" si="165"/>
        <v>0</v>
      </c>
      <c r="AT493" s="664">
        <f t="shared" si="165"/>
        <v>0</v>
      </c>
      <c r="AU493" s="664">
        <f t="shared" si="165"/>
        <v>0</v>
      </c>
      <c r="AV493" s="664">
        <f t="shared" si="165"/>
        <v>0</v>
      </c>
      <c r="AW493" s="664">
        <f t="shared" si="165"/>
        <v>0</v>
      </c>
      <c r="AX493" s="664">
        <f t="shared" si="165"/>
        <v>0</v>
      </c>
      <c r="AY493" s="664">
        <f t="shared" si="165"/>
        <v>0</v>
      </c>
      <c r="AZ493" s="664">
        <f t="shared" si="165"/>
        <v>0</v>
      </c>
      <c r="BA493" s="664">
        <f t="shared" si="165"/>
        <v>0</v>
      </c>
      <c r="BB493" s="664">
        <f t="shared" si="165"/>
        <v>0</v>
      </c>
      <c r="BC493" s="664">
        <f t="shared" si="165"/>
        <v>0</v>
      </c>
      <c r="BD493" s="664">
        <f t="shared" si="165"/>
        <v>0</v>
      </c>
      <c r="BE493" s="664">
        <f t="shared" si="165"/>
        <v>0</v>
      </c>
      <c r="BF493" s="664">
        <f t="shared" si="165"/>
        <v>0</v>
      </c>
      <c r="BG493" s="664">
        <f t="shared" si="165"/>
        <v>0</v>
      </c>
      <c r="BH493" s="664">
        <f t="shared" si="165"/>
        <v>0</v>
      </c>
      <c r="BI493" s="664">
        <f t="shared" si="165"/>
        <v>0</v>
      </c>
      <c r="BJ493" s="664">
        <f t="shared" si="165"/>
        <v>0</v>
      </c>
      <c r="BK493" s="664">
        <f t="shared" si="165"/>
        <v>0</v>
      </c>
      <c r="BL493" s="664">
        <f t="shared" si="165"/>
        <v>0</v>
      </c>
      <c r="BM493" s="664">
        <f t="shared" si="165"/>
        <v>0</v>
      </c>
      <c r="BN493" s="664">
        <f t="shared" si="165"/>
        <v>0</v>
      </c>
      <c r="BO493" s="664">
        <f t="shared" si="165"/>
        <v>0</v>
      </c>
      <c r="BP493" s="664">
        <f t="shared" ref="BP493:CA493" si="168">SUM(BP485:BP492)</f>
        <v>0</v>
      </c>
      <c r="BQ493" s="664">
        <f t="shared" si="168"/>
        <v>0</v>
      </c>
      <c r="BR493" s="664">
        <f t="shared" si="168"/>
        <v>0</v>
      </c>
      <c r="BS493" s="664">
        <f t="shared" si="168"/>
        <v>0</v>
      </c>
      <c r="BT493" s="664">
        <f t="shared" si="168"/>
        <v>0</v>
      </c>
      <c r="BU493" s="664">
        <f t="shared" si="168"/>
        <v>0</v>
      </c>
      <c r="BV493" s="664">
        <f t="shared" si="168"/>
        <v>0</v>
      </c>
      <c r="BW493" s="664">
        <f t="shared" si="168"/>
        <v>0</v>
      </c>
      <c r="BX493" s="664">
        <f t="shared" si="168"/>
        <v>0</v>
      </c>
      <c r="BY493" s="664">
        <f t="shared" si="168"/>
        <v>0</v>
      </c>
      <c r="BZ493" s="664">
        <f t="shared" si="168"/>
        <v>0</v>
      </c>
      <c r="CA493" s="664">
        <f t="shared" si="168"/>
        <v>0</v>
      </c>
    </row>
    <row r="494" spans="1:79" s="751" customFormat="1" outlineLevel="1" x14ac:dyDescent="0.25">
      <c r="A494" s="701"/>
      <c r="E494" s="570" t="s">
        <v>1345</v>
      </c>
      <c r="F494" s="701" t="s">
        <v>635</v>
      </c>
      <c r="G494" s="752"/>
      <c r="H494" s="752"/>
      <c r="I494" s="752"/>
      <c r="J494" s="752"/>
      <c r="K494" s="752"/>
      <c r="L494" s="752"/>
      <c r="M494" s="752"/>
      <c r="N494" s="752"/>
      <c r="O494" s="752"/>
      <c r="P494" s="753"/>
      <c r="Q494" s="753"/>
      <c r="R494" s="753"/>
      <c r="S494" s="697"/>
      <c r="T494" s="697"/>
      <c r="U494" s="697"/>
      <c r="V494" s="697"/>
      <c r="W494" s="697"/>
      <c r="X494" s="697"/>
      <c r="Y494" s="697"/>
      <c r="Z494" s="697"/>
      <c r="AA494" s="697"/>
      <c r="AB494" s="697"/>
      <c r="AC494" s="697"/>
      <c r="AD494" s="697"/>
      <c r="AE494" s="697"/>
      <c r="AF494" s="697"/>
      <c r="AG494" s="697"/>
      <c r="AH494" s="754"/>
      <c r="AI494" s="754"/>
      <c r="AJ494" s="754"/>
      <c r="AK494" s="754"/>
      <c r="AL494" s="754"/>
      <c r="AM494" s="754"/>
      <c r="AN494" s="754"/>
      <c r="AO494" s="754"/>
      <c r="AP494" s="754"/>
      <c r="AQ494" s="754"/>
      <c r="AR494" s="754"/>
      <c r="AS494" s="754"/>
      <c r="AT494" s="754"/>
      <c r="AU494" s="754"/>
      <c r="AV494" s="754"/>
      <c r="AW494" s="754"/>
      <c r="AX494" s="754"/>
      <c r="AY494" s="754"/>
      <c r="AZ494" s="754"/>
      <c r="BA494" s="754"/>
      <c r="BB494" s="754"/>
      <c r="BC494" s="754"/>
      <c r="BD494" s="754"/>
      <c r="BE494" s="754"/>
      <c r="BF494" s="754"/>
      <c r="BG494" s="754"/>
      <c r="BH494" s="754"/>
      <c r="BI494" s="754"/>
      <c r="BJ494" s="754"/>
      <c r="BK494" s="754"/>
      <c r="BL494" s="754"/>
      <c r="BM494" s="754"/>
      <c r="BN494" s="754"/>
      <c r="BO494" s="754"/>
      <c r="BP494" s="754"/>
      <c r="BQ494" s="754"/>
      <c r="BR494" s="754"/>
      <c r="BS494" s="754"/>
      <c r="BT494" s="754"/>
      <c r="BU494" s="754"/>
      <c r="BV494" s="754"/>
      <c r="BW494" s="754"/>
      <c r="BX494" s="754"/>
      <c r="BY494" s="754"/>
      <c r="BZ494" s="754"/>
      <c r="CA494" s="754"/>
    </row>
    <row r="495" spans="1:79" s="742" customFormat="1" outlineLevel="1" x14ac:dyDescent="0.25">
      <c r="A495" s="661"/>
      <c r="B495" s="501"/>
      <c r="C495" s="501"/>
      <c r="D495" s="501"/>
      <c r="E495" s="570" t="s">
        <v>8</v>
      </c>
      <c r="F495" s="661" t="s">
        <v>8</v>
      </c>
      <c r="G495" s="727"/>
      <c r="H495" s="727"/>
      <c r="I495" s="727"/>
      <c r="J495" s="727"/>
      <c r="K495" s="727"/>
      <c r="L495" s="727"/>
      <c r="M495" s="727"/>
      <c r="N495" s="727"/>
      <c r="O495" s="727"/>
      <c r="P495" s="728"/>
      <c r="Q495" s="728"/>
      <c r="R495" s="728"/>
      <c r="S495" s="667">
        <v>19932.419999999998</v>
      </c>
      <c r="T495" s="667">
        <v>19967.419999999998</v>
      </c>
      <c r="U495" s="667">
        <v>22043.54</v>
      </c>
      <c r="V495" s="667">
        <v>26060.61</v>
      </c>
      <c r="W495" s="667">
        <v>19932.419999999998</v>
      </c>
      <c r="X495" s="667">
        <v>22432.42</v>
      </c>
      <c r="Y495" s="667">
        <v>29226.23</v>
      </c>
      <c r="Z495" s="667">
        <v>20109.419999999998</v>
      </c>
      <c r="AA495" s="667">
        <v>20153.919999999998</v>
      </c>
      <c r="AB495" s="667">
        <v>25509.81</v>
      </c>
      <c r="AC495" s="667">
        <v>20282.400000000001</v>
      </c>
      <c r="AD495" s="667">
        <v>-19772.349999999999</v>
      </c>
      <c r="AE495" s="667">
        <v>20769.52</v>
      </c>
      <c r="AF495" s="667">
        <v>28457.200000000001</v>
      </c>
      <c r="AG495" s="667">
        <v>21158.880000000001</v>
      </c>
      <c r="AH495" s="729"/>
      <c r="AI495" s="729"/>
      <c r="AJ495" s="729"/>
      <c r="AK495" s="729"/>
      <c r="AL495" s="729"/>
      <c r="AM495" s="729"/>
      <c r="AN495" s="729"/>
      <c r="AO495" s="729"/>
      <c r="AP495" s="729"/>
      <c r="AQ495" s="729"/>
      <c r="AR495" s="729"/>
      <c r="AS495" s="729"/>
      <c r="AT495" s="729"/>
      <c r="AU495" s="729"/>
      <c r="AV495" s="729"/>
      <c r="AW495" s="729"/>
      <c r="AX495" s="729"/>
      <c r="AY495" s="729"/>
      <c r="AZ495" s="729"/>
      <c r="BA495" s="729"/>
      <c r="BB495" s="729"/>
      <c r="BC495" s="729"/>
      <c r="BD495" s="729"/>
      <c r="BE495" s="729"/>
      <c r="BF495" s="729"/>
      <c r="BG495" s="729"/>
      <c r="BH495" s="729"/>
      <c r="BI495" s="729"/>
      <c r="BJ495" s="729"/>
      <c r="BK495" s="729"/>
      <c r="BL495" s="729"/>
      <c r="BM495" s="729"/>
      <c r="BN495" s="729"/>
      <c r="BO495" s="729"/>
      <c r="BP495" s="729"/>
      <c r="BQ495" s="729"/>
      <c r="BR495" s="729"/>
      <c r="BS495" s="729"/>
      <c r="BT495" s="729"/>
      <c r="BU495" s="729"/>
      <c r="BV495" s="729"/>
      <c r="BW495" s="729"/>
      <c r="BX495" s="729"/>
      <c r="BY495" s="729"/>
      <c r="BZ495" s="729"/>
      <c r="CA495" s="729"/>
    </row>
    <row r="496" spans="1:79" s="742" customFormat="1" outlineLevel="1" x14ac:dyDescent="0.25">
      <c r="A496" s="661"/>
      <c r="B496" s="501"/>
      <c r="C496" s="501"/>
      <c r="D496" s="501"/>
      <c r="E496" s="570" t="s">
        <v>8</v>
      </c>
      <c r="F496" s="661" t="s">
        <v>903</v>
      </c>
      <c r="G496" s="727"/>
      <c r="H496" s="727"/>
      <c r="I496" s="727"/>
      <c r="J496" s="727"/>
      <c r="K496" s="727"/>
      <c r="L496" s="727"/>
      <c r="M496" s="727"/>
      <c r="N496" s="727"/>
      <c r="O496" s="727"/>
      <c r="P496" s="728"/>
      <c r="Q496" s="728"/>
      <c r="R496" s="728"/>
      <c r="S496" s="667">
        <v>0</v>
      </c>
      <c r="T496" s="667">
        <v>0</v>
      </c>
      <c r="U496" s="667">
        <v>0</v>
      </c>
      <c r="V496" s="667">
        <v>0</v>
      </c>
      <c r="W496" s="667">
        <v>0</v>
      </c>
      <c r="X496" s="667">
        <v>0</v>
      </c>
      <c r="Y496" s="667">
        <v>0</v>
      </c>
      <c r="Z496" s="667">
        <v>0</v>
      </c>
      <c r="AA496" s="667">
        <v>0</v>
      </c>
      <c r="AB496" s="667">
        <v>0</v>
      </c>
      <c r="AC496" s="667">
        <v>0</v>
      </c>
      <c r="AD496" s="667">
        <v>0</v>
      </c>
      <c r="AE496" s="667">
        <v>0</v>
      </c>
      <c r="AF496" s="667">
        <v>0</v>
      </c>
      <c r="AG496" s="667">
        <v>0</v>
      </c>
      <c r="AH496" s="729"/>
      <c r="AI496" s="729"/>
      <c r="AJ496" s="729"/>
      <c r="AK496" s="729"/>
      <c r="AL496" s="729"/>
      <c r="AM496" s="729"/>
      <c r="AN496" s="729"/>
      <c r="AO496" s="729"/>
      <c r="AP496" s="729"/>
      <c r="AQ496" s="729"/>
      <c r="AR496" s="729"/>
      <c r="AS496" s="729"/>
      <c r="AT496" s="729"/>
      <c r="AU496" s="729"/>
      <c r="AV496" s="729"/>
      <c r="AW496" s="729"/>
      <c r="AX496" s="729"/>
      <c r="AY496" s="729"/>
      <c r="AZ496" s="729"/>
      <c r="BA496" s="729"/>
      <c r="BB496" s="729"/>
      <c r="BC496" s="729"/>
      <c r="BD496" s="729"/>
      <c r="BE496" s="729"/>
      <c r="BF496" s="729"/>
      <c r="BG496" s="729"/>
      <c r="BH496" s="729"/>
      <c r="BI496" s="729"/>
      <c r="BJ496" s="729"/>
      <c r="BK496" s="729"/>
      <c r="BL496" s="729"/>
      <c r="BM496" s="729"/>
      <c r="BN496" s="729"/>
      <c r="BO496" s="729"/>
      <c r="BP496" s="729"/>
      <c r="BQ496" s="729"/>
      <c r="BR496" s="729"/>
      <c r="BS496" s="729"/>
      <c r="BT496" s="729"/>
      <c r="BU496" s="729"/>
      <c r="BV496" s="729"/>
      <c r="BW496" s="729"/>
      <c r="BX496" s="729"/>
      <c r="BY496" s="729"/>
      <c r="BZ496" s="729"/>
      <c r="CA496" s="729"/>
    </row>
    <row r="497" spans="1:79" s="742" customFormat="1" outlineLevel="1" x14ac:dyDescent="0.25">
      <c r="A497" s="661"/>
      <c r="B497" s="501"/>
      <c r="C497" s="501"/>
      <c r="D497" s="501"/>
      <c r="E497" s="570" t="s">
        <v>1345</v>
      </c>
      <c r="F497" s="661" t="s">
        <v>643</v>
      </c>
      <c r="G497" s="728"/>
      <c r="H497" s="728"/>
      <c r="I497" s="728"/>
      <c r="J497" s="728"/>
      <c r="K497" s="728"/>
      <c r="L497" s="728"/>
      <c r="M497" s="728"/>
      <c r="N497" s="728"/>
      <c r="O497" s="728"/>
      <c r="P497" s="728"/>
      <c r="Q497" s="728"/>
      <c r="R497" s="728"/>
      <c r="S497" s="667">
        <v>0</v>
      </c>
      <c r="T497" s="667">
        <v>0</v>
      </c>
      <c r="U497" s="667">
        <v>2665</v>
      </c>
      <c r="V497" s="667">
        <v>6315</v>
      </c>
      <c r="W497" s="667">
        <v>0</v>
      </c>
      <c r="X497" s="667">
        <v>1590</v>
      </c>
      <c r="Y497" s="667">
        <v>1842.25</v>
      </c>
      <c r="Z497" s="667">
        <v>1050.25</v>
      </c>
      <c r="AA497" s="667">
        <v>507.5</v>
      </c>
      <c r="AB497" s="667">
        <v>0</v>
      </c>
      <c r="AC497" s="667">
        <v>0</v>
      </c>
      <c r="AD497" s="667">
        <v>0</v>
      </c>
      <c r="AE497" s="667">
        <v>0</v>
      </c>
      <c r="AF497" s="667">
        <v>0</v>
      </c>
      <c r="AG497" s="667">
        <v>0</v>
      </c>
      <c r="AH497" s="729"/>
      <c r="AI497" s="729"/>
      <c r="AJ497" s="729"/>
      <c r="AK497" s="729"/>
      <c r="AL497" s="729"/>
      <c r="AM497" s="729"/>
      <c r="AN497" s="729"/>
      <c r="AO497" s="729"/>
      <c r="AP497" s="729"/>
      <c r="AQ497" s="729"/>
      <c r="AR497" s="729"/>
      <c r="AS497" s="729"/>
      <c r="AT497" s="729"/>
      <c r="AU497" s="729"/>
      <c r="AV497" s="729"/>
      <c r="AW497" s="729"/>
      <c r="AX497" s="729"/>
      <c r="AY497" s="729"/>
      <c r="AZ497" s="729"/>
      <c r="BA497" s="729"/>
      <c r="BB497" s="729"/>
      <c r="BC497" s="729"/>
      <c r="BD497" s="729"/>
      <c r="BE497" s="729"/>
      <c r="BF497" s="729"/>
      <c r="BG497" s="729"/>
      <c r="BH497" s="729"/>
      <c r="BI497" s="729"/>
      <c r="BJ497" s="729"/>
      <c r="BK497" s="729"/>
      <c r="BL497" s="729"/>
      <c r="BM497" s="729"/>
      <c r="BN497" s="729"/>
      <c r="BO497" s="729"/>
      <c r="BP497" s="729"/>
      <c r="BQ497" s="729"/>
      <c r="BR497" s="729"/>
      <c r="BS497" s="729"/>
      <c r="BT497" s="729"/>
      <c r="BU497" s="729"/>
      <c r="BV497" s="729"/>
      <c r="BW497" s="729"/>
      <c r="BX497" s="729"/>
      <c r="BY497" s="729"/>
      <c r="BZ497" s="729"/>
      <c r="CA497" s="729"/>
    </row>
    <row r="498" spans="1:79" s="742" customFormat="1" outlineLevel="1" x14ac:dyDescent="0.25">
      <c r="A498" s="661"/>
      <c r="B498" s="501"/>
      <c r="C498" s="501"/>
      <c r="D498" s="501"/>
      <c r="E498" s="570" t="s">
        <v>1345</v>
      </c>
      <c r="F498" s="661" t="s">
        <v>644</v>
      </c>
      <c r="G498" s="728"/>
      <c r="H498" s="728"/>
      <c r="I498" s="728"/>
      <c r="J498" s="728"/>
      <c r="K498" s="728"/>
      <c r="L498" s="728"/>
      <c r="M498" s="728"/>
      <c r="N498" s="728"/>
      <c r="O498" s="728"/>
      <c r="P498" s="728"/>
      <c r="Q498" s="728"/>
      <c r="R498" s="728"/>
      <c r="S498" s="667">
        <v>0</v>
      </c>
      <c r="T498" s="667">
        <v>21153.84</v>
      </c>
      <c r="U498" s="667">
        <v>61346.14</v>
      </c>
      <c r="V498" s="667">
        <v>2115.38</v>
      </c>
      <c r="W498" s="667">
        <v>0</v>
      </c>
      <c r="X498" s="667">
        <v>0</v>
      </c>
      <c r="Y498" s="667">
        <v>0</v>
      </c>
      <c r="Z498" s="667">
        <v>0</v>
      </c>
      <c r="AA498" s="667">
        <v>0</v>
      </c>
      <c r="AB498" s="667">
        <v>0</v>
      </c>
      <c r="AC498" s="667">
        <v>0</v>
      </c>
      <c r="AD498" s="667">
        <v>0</v>
      </c>
      <c r="AE498" s="667">
        <v>0</v>
      </c>
      <c r="AF498" s="667">
        <v>0</v>
      </c>
      <c r="AG498" s="667">
        <v>0</v>
      </c>
      <c r="AH498" s="729"/>
      <c r="AI498" s="729"/>
      <c r="AJ498" s="729"/>
      <c r="AK498" s="729"/>
      <c r="AL498" s="729"/>
      <c r="AM498" s="729"/>
      <c r="AN498" s="729"/>
      <c r="AO498" s="729"/>
      <c r="AP498" s="729"/>
      <c r="AQ498" s="729"/>
      <c r="AR498" s="729"/>
      <c r="AS498" s="729"/>
      <c r="AT498" s="729"/>
      <c r="AU498" s="729"/>
      <c r="AV498" s="729"/>
      <c r="AW498" s="729"/>
      <c r="AX498" s="729"/>
      <c r="AY498" s="729"/>
      <c r="AZ498" s="729"/>
      <c r="BA498" s="729"/>
      <c r="BB498" s="729"/>
      <c r="BC498" s="729"/>
      <c r="BD498" s="729"/>
      <c r="BE498" s="729"/>
      <c r="BF498" s="729"/>
      <c r="BG498" s="729"/>
      <c r="BH498" s="729"/>
      <c r="BI498" s="729"/>
      <c r="BJ498" s="729"/>
      <c r="BK498" s="729"/>
      <c r="BL498" s="729"/>
      <c r="BM498" s="729"/>
      <c r="BN498" s="729"/>
      <c r="BO498" s="729"/>
      <c r="BP498" s="729"/>
      <c r="BQ498" s="729"/>
      <c r="BR498" s="729"/>
      <c r="BS498" s="729"/>
      <c r="BT498" s="729"/>
      <c r="BU498" s="729"/>
      <c r="BV498" s="729"/>
      <c r="BW498" s="729"/>
      <c r="BX498" s="729"/>
      <c r="BY498" s="729"/>
      <c r="BZ498" s="729"/>
      <c r="CA498" s="729"/>
    </row>
    <row r="499" spans="1:79" s="742" customFormat="1" outlineLevel="1" x14ac:dyDescent="0.25">
      <c r="A499" s="661"/>
      <c r="B499" s="501"/>
      <c r="C499" s="501"/>
      <c r="D499" s="501"/>
      <c r="E499" s="570" t="s">
        <v>1345</v>
      </c>
      <c r="F499" s="661" t="s">
        <v>636</v>
      </c>
      <c r="G499" s="727"/>
      <c r="H499" s="727"/>
      <c r="I499" s="727"/>
      <c r="J499" s="727"/>
      <c r="K499" s="727"/>
      <c r="L499" s="727"/>
      <c r="M499" s="727"/>
      <c r="N499" s="727"/>
      <c r="O499" s="727"/>
      <c r="P499" s="728"/>
      <c r="Q499" s="728"/>
      <c r="R499" s="728"/>
      <c r="S499" s="667">
        <v>92003.66</v>
      </c>
      <c r="T499" s="667">
        <v>78846.14</v>
      </c>
      <c r="U499" s="667">
        <v>100999.96</v>
      </c>
      <c r="V499" s="667">
        <v>143461.47</v>
      </c>
      <c r="W499" s="667">
        <v>142679.44</v>
      </c>
      <c r="X499" s="667">
        <v>123423.02</v>
      </c>
      <c r="Y499" s="667">
        <v>144988.4</v>
      </c>
      <c r="Z499" s="667">
        <v>140549.94</v>
      </c>
      <c r="AA499" s="667">
        <v>133983</v>
      </c>
      <c r="AB499" s="667">
        <v>141363.04</v>
      </c>
      <c r="AC499" s="667">
        <v>136176.87</v>
      </c>
      <c r="AD499" s="667">
        <v>143123.01999999999</v>
      </c>
      <c r="AE499" s="667">
        <v>137011.51999999999</v>
      </c>
      <c r="AF499" s="667">
        <v>128923.05</v>
      </c>
      <c r="AG499" s="667">
        <v>138165.35</v>
      </c>
      <c r="AH499" s="729"/>
      <c r="AI499" s="729"/>
      <c r="AJ499" s="729"/>
      <c r="AK499" s="729"/>
      <c r="AL499" s="729"/>
      <c r="AM499" s="729"/>
      <c r="AN499" s="729"/>
      <c r="AO499" s="729"/>
      <c r="AP499" s="729"/>
      <c r="AQ499" s="729"/>
      <c r="AR499" s="729"/>
      <c r="AS499" s="729"/>
      <c r="AT499" s="729"/>
      <c r="AU499" s="729"/>
      <c r="AV499" s="729"/>
      <c r="AW499" s="729"/>
      <c r="AX499" s="729"/>
      <c r="AY499" s="729"/>
      <c r="AZ499" s="729"/>
      <c r="BA499" s="729"/>
      <c r="BB499" s="729"/>
      <c r="BC499" s="729"/>
      <c r="BD499" s="729"/>
      <c r="BE499" s="729"/>
      <c r="BF499" s="729"/>
      <c r="BG499" s="729"/>
      <c r="BH499" s="729"/>
      <c r="BI499" s="729"/>
      <c r="BJ499" s="729"/>
      <c r="BK499" s="729"/>
      <c r="BL499" s="729"/>
      <c r="BM499" s="729"/>
      <c r="BN499" s="729"/>
      <c r="BO499" s="729"/>
      <c r="BP499" s="729"/>
      <c r="BQ499" s="729"/>
      <c r="BR499" s="729"/>
      <c r="BS499" s="729"/>
      <c r="BT499" s="729"/>
      <c r="BU499" s="729"/>
      <c r="BV499" s="729"/>
      <c r="BW499" s="729"/>
      <c r="BX499" s="729"/>
      <c r="BY499" s="729"/>
      <c r="BZ499" s="729"/>
      <c r="CA499" s="729"/>
    </row>
    <row r="500" spans="1:79" s="742" customFormat="1" outlineLevel="1" x14ac:dyDescent="0.25">
      <c r="A500" s="661"/>
      <c r="B500" s="501"/>
      <c r="C500" s="501"/>
      <c r="D500" s="501"/>
      <c r="E500" s="570" t="s">
        <v>637</v>
      </c>
      <c r="F500" s="661" t="s">
        <v>637</v>
      </c>
      <c r="G500" s="727"/>
      <c r="H500" s="727"/>
      <c r="I500" s="727"/>
      <c r="J500" s="727"/>
      <c r="K500" s="727"/>
      <c r="L500" s="727"/>
      <c r="M500" s="727"/>
      <c r="N500" s="727"/>
      <c r="O500" s="727"/>
      <c r="P500" s="728"/>
      <c r="Q500" s="728"/>
      <c r="R500" s="728"/>
      <c r="S500" s="667">
        <v>5224.3599999999997</v>
      </c>
      <c r="T500" s="667">
        <v>3846.16</v>
      </c>
      <c r="U500" s="667">
        <v>612.16999999999996</v>
      </c>
      <c r="V500" s="667">
        <v>3860.86</v>
      </c>
      <c r="W500" s="667">
        <v>570.84</v>
      </c>
      <c r="X500" s="667">
        <v>8969.32</v>
      </c>
      <c r="Y500" s="667">
        <v>-7133.96</v>
      </c>
      <c r="Z500" s="667">
        <v>2982.19</v>
      </c>
      <c r="AA500" s="667">
        <v>6099.94</v>
      </c>
      <c r="AB500" s="667">
        <v>3549.75</v>
      </c>
      <c r="AC500" s="667">
        <v>3219.27</v>
      </c>
      <c r="AD500" s="667">
        <v>-1688.99</v>
      </c>
      <c r="AE500" s="667">
        <v>-28942.91</v>
      </c>
      <c r="AF500" s="667">
        <v>3155.32</v>
      </c>
      <c r="AG500" s="667">
        <v>5174.66</v>
      </c>
      <c r="AH500" s="729"/>
      <c r="AI500" s="729"/>
      <c r="AJ500" s="729"/>
      <c r="AK500" s="729"/>
      <c r="AL500" s="729"/>
      <c r="AM500" s="729"/>
      <c r="AN500" s="729"/>
      <c r="AO500" s="729"/>
      <c r="AP500" s="729"/>
      <c r="AQ500" s="729"/>
      <c r="AR500" s="729"/>
      <c r="AS500" s="729"/>
      <c r="AT500" s="729"/>
      <c r="AU500" s="729"/>
      <c r="AV500" s="729"/>
      <c r="AW500" s="729"/>
      <c r="AX500" s="729"/>
      <c r="AY500" s="729"/>
      <c r="AZ500" s="729"/>
      <c r="BA500" s="729"/>
      <c r="BB500" s="729"/>
      <c r="BC500" s="729"/>
      <c r="BD500" s="729"/>
      <c r="BE500" s="729"/>
      <c r="BF500" s="729"/>
      <c r="BG500" s="729"/>
      <c r="BH500" s="729"/>
      <c r="BI500" s="729"/>
      <c r="BJ500" s="729"/>
      <c r="BK500" s="729"/>
      <c r="BL500" s="729"/>
      <c r="BM500" s="729"/>
      <c r="BN500" s="729"/>
      <c r="BO500" s="729"/>
      <c r="BP500" s="729"/>
      <c r="BQ500" s="729"/>
      <c r="BR500" s="729"/>
      <c r="BS500" s="729"/>
      <c r="BT500" s="729"/>
      <c r="BU500" s="729"/>
      <c r="BV500" s="729"/>
      <c r="BW500" s="729"/>
      <c r="BX500" s="729"/>
      <c r="BY500" s="729"/>
      <c r="BZ500" s="729"/>
      <c r="CA500" s="729"/>
    </row>
    <row r="501" spans="1:79" s="742" customFormat="1" outlineLevel="1" x14ac:dyDescent="0.25">
      <c r="A501" s="661"/>
      <c r="B501" s="501"/>
      <c r="C501" s="501"/>
      <c r="D501" s="501"/>
      <c r="E501" s="570" t="s">
        <v>1345</v>
      </c>
      <c r="F501" s="661" t="s">
        <v>904</v>
      </c>
      <c r="G501" s="727"/>
      <c r="H501" s="727"/>
      <c r="I501" s="727"/>
      <c r="J501" s="727"/>
      <c r="K501" s="727"/>
      <c r="L501" s="727"/>
      <c r="M501" s="727"/>
      <c r="N501" s="727"/>
      <c r="O501" s="727"/>
      <c r="P501" s="728"/>
      <c r="Q501" s="728"/>
      <c r="R501" s="728"/>
      <c r="S501" s="667">
        <v>0</v>
      </c>
      <c r="T501" s="667">
        <v>0</v>
      </c>
      <c r="U501" s="667">
        <v>0</v>
      </c>
      <c r="V501" s="667">
        <v>0</v>
      </c>
      <c r="W501" s="667">
        <v>0</v>
      </c>
      <c r="X501" s="667">
        <v>0</v>
      </c>
      <c r="Y501" s="667">
        <v>0</v>
      </c>
      <c r="Z501" s="667">
        <v>0</v>
      </c>
      <c r="AA501" s="667">
        <v>0</v>
      </c>
      <c r="AB501" s="667">
        <v>0</v>
      </c>
      <c r="AC501" s="667">
        <v>0</v>
      </c>
      <c r="AD501" s="667">
        <v>0</v>
      </c>
      <c r="AE501" s="667">
        <v>0</v>
      </c>
      <c r="AF501" s="667">
        <v>0</v>
      </c>
      <c r="AG501" s="667">
        <v>0</v>
      </c>
      <c r="AH501" s="729"/>
      <c r="AI501" s="729"/>
      <c r="AJ501" s="729"/>
      <c r="AK501" s="729"/>
      <c r="AL501" s="729"/>
      <c r="AM501" s="729"/>
      <c r="AN501" s="729"/>
      <c r="AO501" s="729"/>
      <c r="AP501" s="729"/>
      <c r="AQ501" s="729"/>
      <c r="AR501" s="729"/>
      <c r="AS501" s="729"/>
      <c r="AT501" s="729"/>
      <c r="AU501" s="729"/>
      <c r="AV501" s="729"/>
      <c r="AW501" s="729"/>
      <c r="AX501" s="729"/>
      <c r="AY501" s="729"/>
      <c r="AZ501" s="729"/>
      <c r="BA501" s="729"/>
      <c r="BB501" s="729"/>
      <c r="BC501" s="729"/>
      <c r="BD501" s="729"/>
      <c r="BE501" s="729"/>
      <c r="BF501" s="729"/>
      <c r="BG501" s="729"/>
      <c r="BH501" s="729"/>
      <c r="BI501" s="729"/>
      <c r="BJ501" s="729"/>
      <c r="BK501" s="729"/>
      <c r="BL501" s="729"/>
      <c r="BM501" s="729"/>
      <c r="BN501" s="729"/>
      <c r="BO501" s="729"/>
      <c r="BP501" s="729"/>
      <c r="BQ501" s="729"/>
      <c r="BR501" s="729"/>
      <c r="BS501" s="729"/>
      <c r="BT501" s="729"/>
      <c r="BU501" s="729"/>
      <c r="BV501" s="729"/>
      <c r="BW501" s="729"/>
      <c r="BX501" s="729"/>
      <c r="BY501" s="729"/>
      <c r="BZ501" s="729"/>
      <c r="CA501" s="729"/>
    </row>
    <row r="502" spans="1:79" s="742" customFormat="1" outlineLevel="1" x14ac:dyDescent="0.25">
      <c r="A502" s="661"/>
      <c r="B502" s="501"/>
      <c r="C502" s="501"/>
      <c r="D502" s="501"/>
      <c r="E502" s="570" t="s">
        <v>1345</v>
      </c>
      <c r="F502" s="661" t="s">
        <v>677</v>
      </c>
      <c r="G502" s="724">
        <v>44281.53</v>
      </c>
      <c r="H502" s="724">
        <v>38178.959999999999</v>
      </c>
      <c r="I502" s="724">
        <v>45621.25</v>
      </c>
      <c r="J502" s="724">
        <v>48563.58</v>
      </c>
      <c r="K502" s="724">
        <v>45951.17</v>
      </c>
      <c r="L502" s="724">
        <v>66236.66</v>
      </c>
      <c r="M502" s="724">
        <v>71140.509999999995</v>
      </c>
      <c r="N502" s="724">
        <v>84309.07</v>
      </c>
      <c r="O502" s="724">
        <v>86178.98000000001</v>
      </c>
      <c r="P502" s="725">
        <v>86178.98000000001</v>
      </c>
      <c r="Q502" s="725">
        <v>126554.75</v>
      </c>
      <c r="R502" s="725">
        <v>122238.36</v>
      </c>
      <c r="S502" s="667">
        <v>0</v>
      </c>
      <c r="T502" s="667">
        <v>0</v>
      </c>
      <c r="U502" s="667">
        <v>0</v>
      </c>
      <c r="V502" s="667">
        <v>0</v>
      </c>
      <c r="W502" s="667">
        <v>0</v>
      </c>
      <c r="X502" s="667">
        <v>0</v>
      </c>
      <c r="Y502" s="667">
        <v>0</v>
      </c>
      <c r="Z502" s="667">
        <v>0</v>
      </c>
      <c r="AA502" s="667">
        <v>0</v>
      </c>
      <c r="AB502" s="667">
        <v>0</v>
      </c>
      <c r="AC502" s="667">
        <v>0</v>
      </c>
      <c r="AD502" s="667">
        <v>0</v>
      </c>
      <c r="AE502" s="667">
        <v>0</v>
      </c>
      <c r="AF502" s="667">
        <v>0</v>
      </c>
      <c r="AG502" s="667">
        <v>0</v>
      </c>
      <c r="AH502" s="729"/>
      <c r="AI502" s="729"/>
      <c r="AJ502" s="729"/>
      <c r="AK502" s="729"/>
      <c r="AL502" s="729"/>
      <c r="AM502" s="729"/>
      <c r="AN502" s="729"/>
      <c r="AO502" s="729"/>
      <c r="AP502" s="729"/>
      <c r="AQ502" s="729"/>
      <c r="AR502" s="729"/>
      <c r="AS502" s="729"/>
      <c r="AT502" s="729"/>
      <c r="AU502" s="729"/>
      <c r="AV502" s="729"/>
      <c r="AW502" s="729"/>
      <c r="AX502" s="729"/>
      <c r="AY502" s="729"/>
      <c r="AZ502" s="729"/>
      <c r="BA502" s="729"/>
      <c r="BB502" s="729"/>
      <c r="BC502" s="729"/>
      <c r="BD502" s="729"/>
      <c r="BE502" s="729"/>
      <c r="BF502" s="729"/>
      <c r="BG502" s="729"/>
      <c r="BH502" s="729"/>
      <c r="BI502" s="729"/>
      <c r="BJ502" s="729"/>
      <c r="BK502" s="729"/>
      <c r="BL502" s="729"/>
      <c r="BM502" s="729"/>
      <c r="BN502" s="729"/>
      <c r="BO502" s="729"/>
      <c r="BP502" s="729"/>
      <c r="BQ502" s="729"/>
      <c r="BR502" s="729"/>
      <c r="BS502" s="729"/>
      <c r="BT502" s="729"/>
      <c r="BU502" s="729"/>
      <c r="BV502" s="729"/>
      <c r="BW502" s="729"/>
      <c r="BX502" s="729"/>
      <c r="BY502" s="729"/>
      <c r="BZ502" s="729"/>
      <c r="CA502" s="729"/>
    </row>
    <row r="503" spans="1:79" s="743" customFormat="1" outlineLevel="1" x14ac:dyDescent="0.25">
      <c r="A503" s="657"/>
      <c r="B503" s="502"/>
      <c r="C503" s="502"/>
      <c r="D503" s="502"/>
      <c r="E503" s="570" t="s">
        <v>49</v>
      </c>
      <c r="F503" s="657" t="s">
        <v>638</v>
      </c>
      <c r="G503" s="664">
        <f>SUM(G495:G502)</f>
        <v>44281.53</v>
      </c>
      <c r="H503" s="664">
        <f t="shared" ref="H503:BO503" si="169">SUM(H495:H502)</f>
        <v>38178.959999999999</v>
      </c>
      <c r="I503" s="664">
        <f t="shared" si="169"/>
        <v>45621.25</v>
      </c>
      <c r="J503" s="664">
        <f t="shared" si="169"/>
        <v>48563.58</v>
      </c>
      <c r="K503" s="664">
        <f t="shared" si="169"/>
        <v>45951.17</v>
      </c>
      <c r="L503" s="664">
        <f t="shared" si="169"/>
        <v>66236.66</v>
      </c>
      <c r="M503" s="664">
        <f t="shared" si="169"/>
        <v>71140.509999999995</v>
      </c>
      <c r="N503" s="664">
        <f t="shared" si="169"/>
        <v>84309.07</v>
      </c>
      <c r="O503" s="664">
        <f t="shared" si="169"/>
        <v>86178.98000000001</v>
      </c>
      <c r="P503" s="664">
        <f t="shared" si="169"/>
        <v>86178.98000000001</v>
      </c>
      <c r="Q503" s="664">
        <f t="shared" si="169"/>
        <v>126554.75</v>
      </c>
      <c r="R503" s="664">
        <f t="shared" si="169"/>
        <v>122238.36</v>
      </c>
      <c r="S503" s="679">
        <f t="shared" ref="S503:AA503" si="170">ROUND(SUM(S494:S502),5)</f>
        <v>117160.44</v>
      </c>
      <c r="T503" s="679">
        <f t="shared" si="170"/>
        <v>123813.56</v>
      </c>
      <c r="U503" s="679">
        <f t="shared" si="170"/>
        <v>187666.81</v>
      </c>
      <c r="V503" s="679">
        <f t="shared" si="170"/>
        <v>181813.32</v>
      </c>
      <c r="W503" s="679">
        <f t="shared" si="170"/>
        <v>163182.70000000001</v>
      </c>
      <c r="X503" s="679">
        <f t="shared" si="170"/>
        <v>156414.76</v>
      </c>
      <c r="Y503" s="679">
        <f t="shared" si="170"/>
        <v>168922.92</v>
      </c>
      <c r="Z503" s="679">
        <f t="shared" si="170"/>
        <v>164691.79999999999</v>
      </c>
      <c r="AA503" s="679">
        <f t="shared" si="170"/>
        <v>160744.35999999999</v>
      </c>
      <c r="AB503" s="679">
        <f t="shared" ref="AB503:AG503" si="171">ROUND(SUM(AB494:AB502),5)</f>
        <v>170422.6</v>
      </c>
      <c r="AC503" s="679">
        <f t="shared" si="171"/>
        <v>159678.54</v>
      </c>
      <c r="AD503" s="679">
        <f t="shared" si="171"/>
        <v>121661.68</v>
      </c>
      <c r="AE503" s="679">
        <f t="shared" si="171"/>
        <v>128838.13</v>
      </c>
      <c r="AF503" s="679">
        <f t="shared" si="171"/>
        <v>160535.57</v>
      </c>
      <c r="AG503" s="679">
        <f t="shared" si="171"/>
        <v>164498.89000000001</v>
      </c>
      <c r="AH503" s="664">
        <f t="shared" si="169"/>
        <v>0</v>
      </c>
      <c r="AI503" s="664">
        <f t="shared" si="169"/>
        <v>0</v>
      </c>
      <c r="AJ503" s="664">
        <f t="shared" si="169"/>
        <v>0</v>
      </c>
      <c r="AK503" s="664">
        <f t="shared" si="169"/>
        <v>0</v>
      </c>
      <c r="AL503" s="664">
        <f t="shared" si="169"/>
        <v>0</v>
      </c>
      <c r="AM503" s="664">
        <f t="shared" si="169"/>
        <v>0</v>
      </c>
      <c r="AN503" s="664">
        <f t="shared" si="169"/>
        <v>0</v>
      </c>
      <c r="AO503" s="664">
        <f t="shared" si="169"/>
        <v>0</v>
      </c>
      <c r="AP503" s="664">
        <f t="shared" si="169"/>
        <v>0</v>
      </c>
      <c r="AQ503" s="664">
        <f t="shared" si="169"/>
        <v>0</v>
      </c>
      <c r="AR503" s="664">
        <f t="shared" si="169"/>
        <v>0</v>
      </c>
      <c r="AS503" s="664">
        <f t="shared" si="169"/>
        <v>0</v>
      </c>
      <c r="AT503" s="664">
        <f t="shared" si="169"/>
        <v>0</v>
      </c>
      <c r="AU503" s="664">
        <f t="shared" si="169"/>
        <v>0</v>
      </c>
      <c r="AV503" s="664">
        <f t="shared" si="169"/>
        <v>0</v>
      </c>
      <c r="AW503" s="664">
        <f t="shared" si="169"/>
        <v>0</v>
      </c>
      <c r="AX503" s="664">
        <f t="shared" si="169"/>
        <v>0</v>
      </c>
      <c r="AY503" s="664">
        <f t="shared" si="169"/>
        <v>0</v>
      </c>
      <c r="AZ503" s="664">
        <f t="shared" si="169"/>
        <v>0</v>
      </c>
      <c r="BA503" s="664">
        <f t="shared" si="169"/>
        <v>0</v>
      </c>
      <c r="BB503" s="664">
        <f t="shared" si="169"/>
        <v>0</v>
      </c>
      <c r="BC503" s="664">
        <f t="shared" si="169"/>
        <v>0</v>
      </c>
      <c r="BD503" s="664">
        <f t="shared" si="169"/>
        <v>0</v>
      </c>
      <c r="BE503" s="664">
        <f t="shared" si="169"/>
        <v>0</v>
      </c>
      <c r="BF503" s="664">
        <f t="shared" si="169"/>
        <v>0</v>
      </c>
      <c r="BG503" s="664">
        <f t="shared" si="169"/>
        <v>0</v>
      </c>
      <c r="BH503" s="664">
        <f t="shared" si="169"/>
        <v>0</v>
      </c>
      <c r="BI503" s="664">
        <f t="shared" si="169"/>
        <v>0</v>
      </c>
      <c r="BJ503" s="664">
        <f t="shared" si="169"/>
        <v>0</v>
      </c>
      <c r="BK503" s="664">
        <f t="shared" si="169"/>
        <v>0</v>
      </c>
      <c r="BL503" s="664">
        <f t="shared" si="169"/>
        <v>0</v>
      </c>
      <c r="BM503" s="664">
        <f t="shared" si="169"/>
        <v>0</v>
      </c>
      <c r="BN503" s="664">
        <f t="shared" si="169"/>
        <v>0</v>
      </c>
      <c r="BO503" s="664">
        <f t="shared" si="169"/>
        <v>0</v>
      </c>
      <c r="BP503" s="664">
        <f t="shared" ref="BP503:CA503" si="172">SUM(BP495:BP502)</f>
        <v>0</v>
      </c>
      <c r="BQ503" s="664">
        <f t="shared" si="172"/>
        <v>0</v>
      </c>
      <c r="BR503" s="664">
        <f t="shared" si="172"/>
        <v>0</v>
      </c>
      <c r="BS503" s="664">
        <f t="shared" si="172"/>
        <v>0</v>
      </c>
      <c r="BT503" s="664">
        <f t="shared" si="172"/>
        <v>0</v>
      </c>
      <c r="BU503" s="664">
        <f t="shared" si="172"/>
        <v>0</v>
      </c>
      <c r="BV503" s="664">
        <f t="shared" si="172"/>
        <v>0</v>
      </c>
      <c r="BW503" s="664">
        <f t="shared" si="172"/>
        <v>0</v>
      </c>
      <c r="BX503" s="664">
        <f t="shared" si="172"/>
        <v>0</v>
      </c>
      <c r="BY503" s="664">
        <f t="shared" si="172"/>
        <v>0</v>
      </c>
      <c r="BZ503" s="664">
        <f t="shared" si="172"/>
        <v>0</v>
      </c>
      <c r="CA503" s="664">
        <f t="shared" si="172"/>
        <v>0</v>
      </c>
    </row>
    <row r="504" spans="1:79" s="741" customFormat="1" outlineLevel="1" x14ac:dyDescent="0.25">
      <c r="A504" s="656"/>
      <c r="B504" s="497"/>
      <c r="C504" s="497"/>
      <c r="D504" s="497"/>
      <c r="E504" s="570" t="s">
        <v>1345</v>
      </c>
      <c r="F504" s="656" t="s">
        <v>639</v>
      </c>
      <c r="G504" s="724"/>
      <c r="H504" s="724"/>
      <c r="I504" s="724"/>
      <c r="J504" s="724"/>
      <c r="K504" s="724"/>
      <c r="L504" s="724"/>
      <c r="M504" s="724"/>
      <c r="N504" s="724"/>
      <c r="O504" s="724"/>
      <c r="P504" s="725"/>
      <c r="Q504" s="725"/>
      <c r="R504" s="725"/>
      <c r="S504" s="671">
        <v>200.59</v>
      </c>
      <c r="T504" s="671">
        <v>5</v>
      </c>
      <c r="U504" s="671">
        <v>0</v>
      </c>
      <c r="V504" s="671">
        <v>0</v>
      </c>
      <c r="W504" s="671">
        <v>0</v>
      </c>
      <c r="X504" s="671">
        <v>0</v>
      </c>
      <c r="Y504" s="671">
        <v>0</v>
      </c>
      <c r="Z504" s="671">
        <v>0</v>
      </c>
      <c r="AA504" s="671">
        <v>0</v>
      </c>
      <c r="AB504" s="671">
        <v>0</v>
      </c>
      <c r="AC504" s="671">
        <v>0</v>
      </c>
      <c r="AD504" s="671">
        <v>0</v>
      </c>
      <c r="AE504" s="671">
        <v>0</v>
      </c>
      <c r="AF504" s="671">
        <v>0</v>
      </c>
      <c r="AG504" s="671">
        <v>0</v>
      </c>
      <c r="AH504" s="726"/>
      <c r="AI504" s="726"/>
      <c r="AJ504" s="726"/>
      <c r="AK504" s="726"/>
      <c r="AL504" s="726"/>
      <c r="AM504" s="726"/>
      <c r="AN504" s="726"/>
      <c r="AO504" s="726"/>
      <c r="AP504" s="726"/>
      <c r="AQ504" s="726"/>
      <c r="AR504" s="726"/>
      <c r="AS504" s="726"/>
      <c r="AT504" s="726"/>
      <c r="AU504" s="726"/>
      <c r="AV504" s="726"/>
      <c r="AW504" s="726"/>
      <c r="AX504" s="726"/>
      <c r="AY504" s="726"/>
      <c r="AZ504" s="726"/>
      <c r="BA504" s="726"/>
      <c r="BB504" s="726"/>
      <c r="BC504" s="726"/>
      <c r="BD504" s="726"/>
      <c r="BE504" s="726"/>
      <c r="BF504" s="726"/>
      <c r="BG504" s="726"/>
      <c r="BH504" s="726"/>
      <c r="BI504" s="726"/>
      <c r="BJ504" s="726"/>
      <c r="BK504" s="726"/>
      <c r="BL504" s="726"/>
      <c r="BM504" s="726"/>
      <c r="BN504" s="726"/>
      <c r="BO504" s="726"/>
      <c r="BP504" s="726"/>
      <c r="BQ504" s="726"/>
      <c r="BR504" s="726"/>
      <c r="BS504" s="726"/>
      <c r="BT504" s="726"/>
      <c r="BU504" s="726"/>
      <c r="BV504" s="726"/>
      <c r="BW504" s="726"/>
      <c r="BX504" s="726"/>
      <c r="BY504" s="726"/>
      <c r="BZ504" s="726"/>
      <c r="CA504" s="726"/>
    </row>
    <row r="505" spans="1:79" s="308" customFormat="1" outlineLevel="1" x14ac:dyDescent="0.25">
      <c r="A505" s="659"/>
      <c r="B505" s="29"/>
      <c r="C505" s="29"/>
      <c r="D505" s="29"/>
      <c r="E505" s="570" t="s">
        <v>49</v>
      </c>
      <c r="F505" s="659" t="s">
        <v>640</v>
      </c>
      <c r="G505" s="664">
        <f>SUM(G503+G493)</f>
        <v>48523.123631166149</v>
      </c>
      <c r="H505" s="664">
        <f t="shared" ref="H505:BO505" si="173">SUM(H503+H493)</f>
        <v>40688.471832429699</v>
      </c>
      <c r="I505" s="664">
        <f t="shared" si="173"/>
        <v>48662.909652747447</v>
      </c>
      <c r="J505" s="664">
        <f t="shared" si="173"/>
        <v>51837.308427549164</v>
      </c>
      <c r="K505" s="664">
        <f t="shared" si="173"/>
        <v>48656.654085733921</v>
      </c>
      <c r="L505" s="664">
        <f t="shared" si="173"/>
        <v>70880.42231328247</v>
      </c>
      <c r="M505" s="664">
        <f t="shared" si="173"/>
        <v>76538.039119631751</v>
      </c>
      <c r="N505" s="664">
        <f t="shared" si="173"/>
        <v>90552.434318458807</v>
      </c>
      <c r="O505" s="664">
        <f t="shared" si="173"/>
        <v>91730.409777639376</v>
      </c>
      <c r="P505" s="664">
        <f t="shared" si="173"/>
        <v>91230.853562927601</v>
      </c>
      <c r="Q505" s="664">
        <f t="shared" si="173"/>
        <v>134161.7148773334</v>
      </c>
      <c r="R505" s="664">
        <f t="shared" si="173"/>
        <v>128576.61631589517</v>
      </c>
      <c r="S505" s="679">
        <f t="shared" ref="S505:AB505" si="174">ROUND(S473+S483+S493+SUM(S503:S504),5)</f>
        <v>127824.25</v>
      </c>
      <c r="T505" s="679">
        <f t="shared" si="174"/>
        <v>132656.32000000001</v>
      </c>
      <c r="U505" s="679">
        <f t="shared" si="174"/>
        <v>201507.54</v>
      </c>
      <c r="V505" s="679">
        <f t="shared" si="174"/>
        <v>195408.01</v>
      </c>
      <c r="W505" s="679">
        <f t="shared" si="174"/>
        <v>175371.65</v>
      </c>
      <c r="X505" s="679">
        <f t="shared" si="174"/>
        <v>164915.32999999999</v>
      </c>
      <c r="Y505" s="679">
        <f t="shared" si="174"/>
        <v>178043.6</v>
      </c>
      <c r="Z505" s="679">
        <f t="shared" si="174"/>
        <v>171960.49</v>
      </c>
      <c r="AA505" s="679">
        <f t="shared" si="174"/>
        <v>169139.42</v>
      </c>
      <c r="AB505" s="679">
        <f t="shared" si="174"/>
        <v>178588.44</v>
      </c>
      <c r="AC505" s="679">
        <f>ROUND(AC473+AC483+AC493+SUM(AC503:AC504),5)</f>
        <v>174442.51</v>
      </c>
      <c r="AD505" s="679">
        <f>ROUND(AD473+AD483+AD493+SUM(AD503:AD504),5)</f>
        <v>128230.84</v>
      </c>
      <c r="AE505" s="679">
        <f>ROUND(AE473+AE483+AE493+SUM(AE503:AE504),5)</f>
        <v>152425.20000000001</v>
      </c>
      <c r="AF505" s="679">
        <f>ROUND(AF473+AF483+AF493+SUM(AF503:AF504),5)</f>
        <v>178707.03</v>
      </c>
      <c r="AG505" s="679">
        <f>ROUND(AG473+AG483+AG493+SUM(AG503:AG504),5)</f>
        <v>187395.36</v>
      </c>
      <c r="AH505" s="664">
        <f t="shared" si="173"/>
        <v>0</v>
      </c>
      <c r="AI505" s="664">
        <f t="shared" si="173"/>
        <v>0</v>
      </c>
      <c r="AJ505" s="664">
        <f t="shared" si="173"/>
        <v>0</v>
      </c>
      <c r="AK505" s="664">
        <f t="shared" si="173"/>
        <v>0</v>
      </c>
      <c r="AL505" s="664">
        <f t="shared" si="173"/>
        <v>0</v>
      </c>
      <c r="AM505" s="664">
        <f t="shared" si="173"/>
        <v>0</v>
      </c>
      <c r="AN505" s="664">
        <f t="shared" si="173"/>
        <v>0</v>
      </c>
      <c r="AO505" s="664">
        <f t="shared" si="173"/>
        <v>0</v>
      </c>
      <c r="AP505" s="664">
        <f t="shared" si="173"/>
        <v>0</v>
      </c>
      <c r="AQ505" s="664">
        <f t="shared" si="173"/>
        <v>0</v>
      </c>
      <c r="AR505" s="664">
        <f t="shared" si="173"/>
        <v>0</v>
      </c>
      <c r="AS505" s="664">
        <f t="shared" si="173"/>
        <v>0</v>
      </c>
      <c r="AT505" s="664">
        <f t="shared" si="173"/>
        <v>0</v>
      </c>
      <c r="AU505" s="664">
        <f t="shared" si="173"/>
        <v>0</v>
      </c>
      <c r="AV505" s="664">
        <f t="shared" si="173"/>
        <v>0</v>
      </c>
      <c r="AW505" s="664">
        <f t="shared" si="173"/>
        <v>0</v>
      </c>
      <c r="AX505" s="664">
        <f t="shared" si="173"/>
        <v>0</v>
      </c>
      <c r="AY505" s="664">
        <f t="shared" si="173"/>
        <v>0</v>
      </c>
      <c r="AZ505" s="664">
        <f t="shared" si="173"/>
        <v>0</v>
      </c>
      <c r="BA505" s="664">
        <f t="shared" si="173"/>
        <v>0</v>
      </c>
      <c r="BB505" s="664">
        <f t="shared" si="173"/>
        <v>0</v>
      </c>
      <c r="BC505" s="664">
        <f t="shared" si="173"/>
        <v>0</v>
      </c>
      <c r="BD505" s="664">
        <f t="shared" si="173"/>
        <v>0</v>
      </c>
      <c r="BE505" s="664">
        <f t="shared" si="173"/>
        <v>0</v>
      </c>
      <c r="BF505" s="664">
        <f t="shared" si="173"/>
        <v>0</v>
      </c>
      <c r="BG505" s="664">
        <f t="shared" si="173"/>
        <v>0</v>
      </c>
      <c r="BH505" s="664">
        <f t="shared" si="173"/>
        <v>0</v>
      </c>
      <c r="BI505" s="664">
        <f t="shared" si="173"/>
        <v>0</v>
      </c>
      <c r="BJ505" s="664">
        <f t="shared" si="173"/>
        <v>0</v>
      </c>
      <c r="BK505" s="664">
        <f t="shared" si="173"/>
        <v>0</v>
      </c>
      <c r="BL505" s="664">
        <f t="shared" si="173"/>
        <v>0</v>
      </c>
      <c r="BM505" s="664">
        <f t="shared" si="173"/>
        <v>0</v>
      </c>
      <c r="BN505" s="664">
        <f t="shared" si="173"/>
        <v>0</v>
      </c>
      <c r="BO505" s="664">
        <f t="shared" si="173"/>
        <v>0</v>
      </c>
      <c r="BP505" s="664">
        <f t="shared" ref="BP505:CA505" si="175">SUM(BP503+BP493)</f>
        <v>0</v>
      </c>
      <c r="BQ505" s="664">
        <f t="shared" si="175"/>
        <v>0</v>
      </c>
      <c r="BR505" s="664">
        <f t="shared" si="175"/>
        <v>0</v>
      </c>
      <c r="BS505" s="664">
        <f t="shared" si="175"/>
        <v>0</v>
      </c>
      <c r="BT505" s="664">
        <f t="shared" si="175"/>
        <v>0</v>
      </c>
      <c r="BU505" s="664">
        <f t="shared" si="175"/>
        <v>0</v>
      </c>
      <c r="BV505" s="664">
        <f t="shared" si="175"/>
        <v>0</v>
      </c>
      <c r="BW505" s="664">
        <f t="shared" si="175"/>
        <v>0</v>
      </c>
      <c r="BX505" s="664">
        <f t="shared" si="175"/>
        <v>0</v>
      </c>
      <c r="BY505" s="664">
        <f t="shared" si="175"/>
        <v>0</v>
      </c>
      <c r="BZ505" s="664">
        <f t="shared" si="175"/>
        <v>0</v>
      </c>
      <c r="CA505" s="664">
        <f t="shared" si="175"/>
        <v>0</v>
      </c>
    </row>
    <row r="506" spans="1:79" s="308" customFormat="1" outlineLevel="1" x14ac:dyDescent="0.25">
      <c r="A506" s="655"/>
      <c r="B506" s="571"/>
      <c r="C506" s="571"/>
      <c r="D506" s="571"/>
      <c r="E506" s="570" t="s">
        <v>918</v>
      </c>
      <c r="F506" s="655" t="s">
        <v>905</v>
      </c>
      <c r="G506" s="719"/>
      <c r="H506" s="719"/>
      <c r="I506" s="719"/>
      <c r="J506" s="719"/>
      <c r="K506" s="719"/>
      <c r="L506" s="719"/>
      <c r="M506" s="719"/>
      <c r="N506" s="719"/>
      <c r="O506" s="719"/>
      <c r="P506" s="719"/>
      <c r="Q506" s="719"/>
      <c r="R506" s="719"/>
      <c r="S506" s="684">
        <v>0</v>
      </c>
      <c r="T506" s="684">
        <v>0</v>
      </c>
      <c r="U506" s="684">
        <v>0</v>
      </c>
      <c r="V506" s="684">
        <v>0</v>
      </c>
      <c r="W506" s="684">
        <v>0</v>
      </c>
      <c r="X506" s="684">
        <v>0</v>
      </c>
      <c r="Y506" s="684">
        <v>0</v>
      </c>
      <c r="Z506" s="684">
        <v>0</v>
      </c>
      <c r="AA506" s="684">
        <v>0</v>
      </c>
      <c r="AB506" s="684">
        <v>0</v>
      </c>
      <c r="AC506" s="684">
        <v>0</v>
      </c>
      <c r="AD506" s="684">
        <v>0</v>
      </c>
      <c r="AE506" s="684">
        <v>0</v>
      </c>
      <c r="AF506" s="684">
        <v>0</v>
      </c>
      <c r="AG506" s="684">
        <v>0</v>
      </c>
      <c r="AH506" s="718"/>
      <c r="AI506" s="718"/>
      <c r="AJ506" s="718"/>
      <c r="AK506" s="718"/>
      <c r="AL506" s="718"/>
      <c r="AM506" s="718"/>
      <c r="AN506" s="718"/>
      <c r="AO506" s="718"/>
      <c r="AP506" s="718"/>
      <c r="AQ506" s="718"/>
      <c r="AR506" s="718"/>
      <c r="AS506" s="718"/>
      <c r="AT506" s="718"/>
      <c r="AU506" s="718"/>
      <c r="AV506" s="718"/>
      <c r="AW506" s="718"/>
      <c r="AX506" s="718"/>
      <c r="AY506" s="718"/>
      <c r="AZ506" s="718"/>
      <c r="BA506" s="718"/>
      <c r="BB506" s="718"/>
      <c r="BC506" s="718"/>
      <c r="BD506" s="718"/>
      <c r="BE506" s="718"/>
      <c r="BF506" s="718"/>
      <c r="BG506" s="718"/>
      <c r="BH506" s="718"/>
      <c r="BI506" s="718"/>
      <c r="BJ506" s="718"/>
      <c r="BK506" s="718"/>
      <c r="BL506" s="718"/>
      <c r="BM506" s="718"/>
      <c r="BN506" s="718"/>
      <c r="BO506" s="718"/>
      <c r="BP506" s="718"/>
      <c r="BQ506" s="718"/>
      <c r="BR506" s="718"/>
      <c r="BS506" s="718"/>
      <c r="BT506" s="718"/>
      <c r="BU506" s="718"/>
      <c r="BV506" s="718"/>
      <c r="BW506" s="718"/>
      <c r="BX506" s="718"/>
      <c r="BY506" s="718"/>
      <c r="BZ506" s="718"/>
      <c r="CA506" s="718"/>
    </row>
    <row r="507" spans="1:79" s="755" customFormat="1" outlineLevel="1" x14ac:dyDescent="0.25">
      <c r="A507" s="701"/>
      <c r="E507" s="570" t="s">
        <v>1327</v>
      </c>
      <c r="F507" s="701" t="s">
        <v>602</v>
      </c>
      <c r="G507" s="752"/>
      <c r="H507" s="752"/>
      <c r="I507" s="752"/>
      <c r="J507" s="752"/>
      <c r="K507" s="752"/>
      <c r="L507" s="752"/>
      <c r="M507" s="752"/>
      <c r="N507" s="752"/>
      <c r="O507" s="752"/>
      <c r="P507" s="753"/>
      <c r="Q507" s="753"/>
      <c r="R507" s="753"/>
      <c r="S507" s="697"/>
      <c r="T507" s="697"/>
      <c r="U507" s="697"/>
      <c r="V507" s="697"/>
      <c r="W507" s="697"/>
      <c r="X507" s="697"/>
      <c r="Y507" s="697"/>
      <c r="Z507" s="697"/>
      <c r="AA507" s="697"/>
      <c r="AB507" s="697"/>
      <c r="AC507" s="697"/>
      <c r="AD507" s="697"/>
      <c r="AE507" s="697"/>
      <c r="AF507" s="697"/>
      <c r="AG507" s="697"/>
      <c r="AH507" s="754"/>
      <c r="AI507" s="754"/>
      <c r="AJ507" s="754"/>
      <c r="AK507" s="754"/>
      <c r="AL507" s="754"/>
      <c r="AM507" s="754"/>
      <c r="AN507" s="754"/>
      <c r="AO507" s="754"/>
      <c r="AP507" s="754"/>
      <c r="AQ507" s="754"/>
      <c r="AR507" s="754"/>
      <c r="AS507" s="754"/>
      <c r="AT507" s="754"/>
      <c r="AU507" s="754"/>
      <c r="AV507" s="754"/>
      <c r="AW507" s="754"/>
      <c r="AX507" s="754"/>
      <c r="AY507" s="754"/>
      <c r="AZ507" s="754"/>
      <c r="BA507" s="754"/>
      <c r="BB507" s="754"/>
      <c r="BC507" s="754"/>
      <c r="BD507" s="754"/>
      <c r="BE507" s="754"/>
      <c r="BF507" s="754"/>
      <c r="BG507" s="754"/>
      <c r="BH507" s="754"/>
      <c r="BI507" s="754"/>
      <c r="BJ507" s="754"/>
      <c r="BK507" s="754"/>
      <c r="BL507" s="754"/>
      <c r="BM507" s="754"/>
      <c r="BN507" s="754"/>
      <c r="BO507" s="754"/>
      <c r="BP507" s="754"/>
      <c r="BQ507" s="754"/>
      <c r="BR507" s="754"/>
      <c r="BS507" s="754"/>
      <c r="BT507" s="754"/>
      <c r="BU507" s="754"/>
      <c r="BV507" s="754"/>
      <c r="BW507" s="754"/>
      <c r="BX507" s="754"/>
      <c r="BY507" s="754"/>
      <c r="BZ507" s="754"/>
      <c r="CA507" s="754"/>
    </row>
    <row r="508" spans="1:79" s="755" customFormat="1" outlineLevel="1" x14ac:dyDescent="0.25">
      <c r="A508" s="701"/>
      <c r="E508" s="570" t="s">
        <v>945</v>
      </c>
      <c r="F508" s="701"/>
      <c r="G508" s="752"/>
      <c r="H508" s="752"/>
      <c r="I508" s="752"/>
      <c r="J508" s="752"/>
      <c r="K508" s="752"/>
      <c r="L508" s="752"/>
      <c r="M508" s="752"/>
      <c r="N508" s="752"/>
      <c r="O508" s="752"/>
      <c r="P508" s="753"/>
      <c r="Q508" s="753"/>
      <c r="R508" s="753"/>
      <c r="S508" s="697"/>
      <c r="T508" s="697"/>
      <c r="U508" s="697"/>
      <c r="V508" s="697"/>
      <c r="W508" s="697"/>
      <c r="X508" s="697"/>
      <c r="Y508" s="697"/>
      <c r="Z508" s="697"/>
      <c r="AA508" s="697"/>
      <c r="AB508" s="697"/>
      <c r="AC508" s="697"/>
      <c r="AD508" s="697"/>
      <c r="AE508" s="697">
        <v>0</v>
      </c>
      <c r="AF508" s="697">
        <v>0</v>
      </c>
      <c r="AG508" s="697">
        <v>0</v>
      </c>
      <c r="AH508" s="754"/>
      <c r="AI508" s="754"/>
      <c r="AJ508" s="754"/>
      <c r="AK508" s="754"/>
      <c r="AL508" s="754"/>
      <c r="AM508" s="754"/>
      <c r="AN508" s="754"/>
      <c r="AO508" s="754"/>
      <c r="AP508" s="754"/>
      <c r="AQ508" s="754"/>
      <c r="AR508" s="754"/>
      <c r="AS508" s="754"/>
      <c r="AT508" s="754"/>
      <c r="AU508" s="754"/>
      <c r="AV508" s="754"/>
      <c r="AW508" s="754"/>
      <c r="AX508" s="754"/>
      <c r="AY508" s="754"/>
      <c r="AZ508" s="754"/>
      <c r="BA508" s="754"/>
      <c r="BB508" s="754"/>
      <c r="BC508" s="754"/>
      <c r="BD508" s="754"/>
      <c r="BE508" s="754"/>
      <c r="BF508" s="754"/>
      <c r="BG508" s="754"/>
      <c r="BH508" s="754"/>
      <c r="BI508" s="754"/>
      <c r="BJ508" s="754"/>
      <c r="BK508" s="754"/>
      <c r="BL508" s="754"/>
      <c r="BM508" s="754"/>
      <c r="BN508" s="754"/>
      <c r="BO508" s="754"/>
      <c r="BP508" s="754"/>
      <c r="BQ508" s="754"/>
      <c r="BR508" s="754"/>
      <c r="BS508" s="754"/>
      <c r="BT508" s="754"/>
      <c r="BU508" s="754"/>
      <c r="BV508" s="754"/>
      <c r="BW508" s="754"/>
      <c r="BX508" s="754"/>
      <c r="BY508" s="754"/>
      <c r="BZ508" s="754"/>
      <c r="CA508" s="754"/>
    </row>
    <row r="509" spans="1:79" s="741" customFormat="1" outlineLevel="1" x14ac:dyDescent="0.25">
      <c r="A509" s="656"/>
      <c r="B509" s="497"/>
      <c r="C509" s="497"/>
      <c r="D509" s="497"/>
      <c r="E509" s="570" t="s">
        <v>945</v>
      </c>
      <c r="F509" s="656" t="s">
        <v>641</v>
      </c>
      <c r="G509" s="724"/>
      <c r="H509" s="724"/>
      <c r="I509" s="724"/>
      <c r="J509" s="724"/>
      <c r="K509" s="724"/>
      <c r="L509" s="724"/>
      <c r="M509" s="724"/>
      <c r="N509" s="724"/>
      <c r="O509" s="724"/>
      <c r="P509" s="725"/>
      <c r="Q509" s="725"/>
      <c r="R509" s="725"/>
      <c r="S509" s="667">
        <v>14023.9</v>
      </c>
      <c r="T509" s="667">
        <v>6178.38</v>
      </c>
      <c r="U509" s="667">
        <v>5372.79</v>
      </c>
      <c r="V509" s="667">
        <v>5001.71</v>
      </c>
      <c r="W509" s="667">
        <v>7441.31</v>
      </c>
      <c r="X509" s="667">
        <v>9473.3700000000008</v>
      </c>
      <c r="Y509" s="667">
        <v>7438.7</v>
      </c>
      <c r="Z509" s="667">
        <v>7323.23</v>
      </c>
      <c r="AA509" s="667">
        <v>6715.82</v>
      </c>
      <c r="AB509" s="667">
        <v>7897.72</v>
      </c>
      <c r="AC509" s="667">
        <v>0</v>
      </c>
      <c r="AD509" s="667">
        <v>0</v>
      </c>
      <c r="AE509" s="667">
        <v>0</v>
      </c>
      <c r="AF509" s="667">
        <v>0</v>
      </c>
      <c r="AG509" s="667">
        <v>0</v>
      </c>
      <c r="AH509" s="726"/>
      <c r="AI509" s="726"/>
      <c r="AJ509" s="726"/>
      <c r="AK509" s="726"/>
      <c r="AL509" s="726"/>
      <c r="AM509" s="726"/>
      <c r="AN509" s="726"/>
      <c r="AO509" s="726"/>
      <c r="AP509" s="726"/>
      <c r="AQ509" s="726"/>
      <c r="AR509" s="726"/>
      <c r="AS509" s="726"/>
      <c r="AT509" s="726"/>
      <c r="AU509" s="726"/>
      <c r="AV509" s="726"/>
      <c r="AW509" s="726"/>
      <c r="AX509" s="726"/>
      <c r="AY509" s="726"/>
      <c r="AZ509" s="726"/>
      <c r="BA509" s="726"/>
      <c r="BB509" s="726"/>
      <c r="BC509" s="726"/>
      <c r="BD509" s="726"/>
      <c r="BE509" s="726"/>
      <c r="BF509" s="726"/>
      <c r="BG509" s="726"/>
      <c r="BH509" s="726"/>
      <c r="BI509" s="726"/>
      <c r="BJ509" s="726"/>
      <c r="BK509" s="726"/>
      <c r="BL509" s="726"/>
      <c r="BM509" s="726"/>
      <c r="BN509" s="726"/>
      <c r="BO509" s="726"/>
      <c r="BP509" s="726"/>
      <c r="BQ509" s="726"/>
      <c r="BR509" s="726"/>
      <c r="BS509" s="726"/>
      <c r="BT509" s="726"/>
      <c r="BU509" s="726"/>
      <c r="BV509" s="726"/>
      <c r="BW509" s="726"/>
      <c r="BX509" s="726"/>
      <c r="BY509" s="726"/>
      <c r="BZ509" s="726"/>
      <c r="CA509" s="726"/>
    </row>
    <row r="510" spans="1:79" s="741" customFormat="1" outlineLevel="1" x14ac:dyDescent="0.25">
      <c r="A510" s="656"/>
      <c r="B510" s="579"/>
      <c r="C510" s="579"/>
      <c r="D510" s="579"/>
      <c r="E510" s="570" t="s">
        <v>1327</v>
      </c>
      <c r="F510" s="656" t="s">
        <v>906</v>
      </c>
      <c r="G510" s="724"/>
      <c r="H510" s="724"/>
      <c r="I510" s="724"/>
      <c r="J510" s="724"/>
      <c r="K510" s="724"/>
      <c r="L510" s="724"/>
      <c r="M510" s="724"/>
      <c r="N510" s="724"/>
      <c r="O510" s="724"/>
      <c r="P510" s="725"/>
      <c r="Q510" s="725"/>
      <c r="R510" s="725"/>
      <c r="S510" s="676">
        <v>0</v>
      </c>
      <c r="T510" s="676">
        <v>0</v>
      </c>
      <c r="U510" s="676">
        <v>0</v>
      </c>
      <c r="V510" s="676">
        <v>0</v>
      </c>
      <c r="W510" s="676">
        <v>0</v>
      </c>
      <c r="X510" s="676">
        <v>0</v>
      </c>
      <c r="Y510" s="676">
        <v>0</v>
      </c>
      <c r="Z510" s="676">
        <v>0</v>
      </c>
      <c r="AA510" s="676">
        <v>0</v>
      </c>
      <c r="AB510" s="676">
        <v>0</v>
      </c>
      <c r="AC510" s="676">
        <v>0</v>
      </c>
      <c r="AD510" s="676">
        <v>0</v>
      </c>
      <c r="AE510" s="676">
        <v>0</v>
      </c>
      <c r="AF510" s="676">
        <v>0</v>
      </c>
      <c r="AG510" s="676">
        <v>0</v>
      </c>
      <c r="AH510" s="726"/>
      <c r="AI510" s="726"/>
      <c r="AJ510" s="726"/>
      <c r="AK510" s="726"/>
      <c r="AL510" s="726"/>
      <c r="AM510" s="726"/>
      <c r="AN510" s="726"/>
      <c r="AO510" s="726"/>
      <c r="AP510" s="726"/>
      <c r="AQ510" s="726"/>
      <c r="AR510" s="726"/>
      <c r="AS510" s="726"/>
      <c r="AT510" s="726"/>
      <c r="AU510" s="726"/>
      <c r="AV510" s="726"/>
      <c r="AW510" s="726"/>
      <c r="AX510" s="726"/>
      <c r="AY510" s="726"/>
      <c r="AZ510" s="726"/>
      <c r="BA510" s="726"/>
      <c r="BB510" s="726"/>
      <c r="BC510" s="726"/>
      <c r="BD510" s="726"/>
      <c r="BE510" s="726"/>
      <c r="BF510" s="726"/>
      <c r="BG510" s="726"/>
      <c r="BH510" s="726"/>
      <c r="BI510" s="726"/>
      <c r="BJ510" s="726"/>
      <c r="BK510" s="726"/>
      <c r="BL510" s="726"/>
      <c r="BM510" s="726"/>
      <c r="BN510" s="726"/>
      <c r="BO510" s="726"/>
      <c r="BP510" s="726"/>
      <c r="BQ510" s="726"/>
      <c r="BR510" s="726"/>
      <c r="BS510" s="726"/>
      <c r="BT510" s="726"/>
      <c r="BU510" s="726"/>
      <c r="BV510" s="726"/>
      <c r="BW510" s="726"/>
      <c r="BX510" s="726"/>
      <c r="BY510" s="726"/>
      <c r="BZ510" s="726"/>
      <c r="CA510" s="726"/>
    </row>
    <row r="511" spans="1:79" s="741" customFormat="1" outlineLevel="1" x14ac:dyDescent="0.25">
      <c r="A511" s="656"/>
      <c r="B511" s="579"/>
      <c r="C511" s="579"/>
      <c r="D511" s="579"/>
      <c r="E511" s="570" t="s">
        <v>1327</v>
      </c>
      <c r="F511" s="656" t="s">
        <v>764</v>
      </c>
      <c r="G511" s="719">
        <v>852.34152445065149</v>
      </c>
      <c r="H511" s="719">
        <v>488.22973669307771</v>
      </c>
      <c r="I511" s="719">
        <v>851.81754500492298</v>
      </c>
      <c r="J511" s="719">
        <v>1828.524242780155</v>
      </c>
      <c r="K511" s="719">
        <v>935.83366029895365</v>
      </c>
      <c r="L511" s="719">
        <v>1121.8058209802803</v>
      </c>
      <c r="M511" s="719">
        <v>1018.7029400407547</v>
      </c>
      <c r="N511" s="719">
        <v>1351.0560354649642</v>
      </c>
      <c r="O511" s="719">
        <v>1858.9638199068484</v>
      </c>
      <c r="P511" s="716">
        <v>577.90996933157385</v>
      </c>
      <c r="Q511" s="716">
        <v>985.72769216041388</v>
      </c>
      <c r="R511" s="716">
        <v>9943.7617819453189</v>
      </c>
      <c r="S511" s="676">
        <v>0</v>
      </c>
      <c r="T511" s="676">
        <v>0</v>
      </c>
      <c r="U511" s="676">
        <v>0</v>
      </c>
      <c r="V511" s="676">
        <v>0</v>
      </c>
      <c r="W511" s="676">
        <v>310</v>
      </c>
      <c r="X511" s="676">
        <v>60</v>
      </c>
      <c r="Y511" s="676">
        <v>60</v>
      </c>
      <c r="Z511" s="676">
        <v>60</v>
      </c>
      <c r="AA511" s="676">
        <v>60</v>
      </c>
      <c r="AB511" s="676">
        <v>40</v>
      </c>
      <c r="AC511" s="676">
        <v>40</v>
      </c>
      <c r="AD511" s="676">
        <v>0</v>
      </c>
      <c r="AE511" s="676">
        <v>0</v>
      </c>
      <c r="AF511" s="676">
        <v>0</v>
      </c>
      <c r="AG511" s="676">
        <v>0</v>
      </c>
      <c r="AH511" s="726"/>
      <c r="AI511" s="726"/>
      <c r="AJ511" s="726"/>
      <c r="AK511" s="726"/>
      <c r="AL511" s="726"/>
      <c r="AM511" s="726"/>
      <c r="AN511" s="726"/>
      <c r="AO511" s="726"/>
      <c r="AP511" s="726"/>
      <c r="AQ511" s="726"/>
      <c r="AR511" s="726"/>
      <c r="AS511" s="726"/>
      <c r="AT511" s="726"/>
      <c r="AU511" s="726"/>
      <c r="AV511" s="726"/>
      <c r="AW511" s="726"/>
      <c r="AX511" s="726"/>
      <c r="AY511" s="726"/>
      <c r="AZ511" s="726"/>
      <c r="BA511" s="726"/>
      <c r="BB511" s="726"/>
      <c r="BC511" s="726"/>
      <c r="BD511" s="726"/>
      <c r="BE511" s="726"/>
      <c r="BF511" s="726"/>
      <c r="BG511" s="726"/>
      <c r="BH511" s="726"/>
      <c r="BI511" s="726"/>
      <c r="BJ511" s="726"/>
      <c r="BK511" s="726"/>
      <c r="BL511" s="726"/>
      <c r="BM511" s="726"/>
      <c r="BN511" s="726"/>
      <c r="BO511" s="726"/>
      <c r="BP511" s="726"/>
      <c r="BQ511" s="726"/>
      <c r="BR511" s="726"/>
      <c r="BS511" s="726"/>
      <c r="BT511" s="726"/>
      <c r="BU511" s="726"/>
      <c r="BV511" s="726"/>
      <c r="BW511" s="726"/>
      <c r="BX511" s="726"/>
      <c r="BY511" s="726"/>
      <c r="BZ511" s="726"/>
      <c r="CA511" s="726"/>
    </row>
    <row r="512" spans="1:79" s="308" customFormat="1" outlineLevel="1" x14ac:dyDescent="0.25">
      <c r="A512" s="662"/>
      <c r="B512" s="29"/>
      <c r="C512" s="29"/>
      <c r="D512" s="29"/>
      <c r="E512" s="570" t="s">
        <v>49</v>
      </c>
      <c r="F512" s="662" t="s">
        <v>642</v>
      </c>
      <c r="G512" s="664">
        <f>SUM(G509:G511)</f>
        <v>852.34152445065149</v>
      </c>
      <c r="H512" s="664">
        <f t="shared" ref="H512:BO512" si="176">SUM(H509:H511)</f>
        <v>488.22973669307771</v>
      </c>
      <c r="I512" s="664">
        <f t="shared" si="176"/>
        <v>851.81754500492298</v>
      </c>
      <c r="J512" s="664">
        <f t="shared" si="176"/>
        <v>1828.524242780155</v>
      </c>
      <c r="K512" s="664">
        <f t="shared" si="176"/>
        <v>935.83366029895365</v>
      </c>
      <c r="L512" s="664">
        <f t="shared" si="176"/>
        <v>1121.8058209802803</v>
      </c>
      <c r="M512" s="664">
        <f t="shared" si="176"/>
        <v>1018.7029400407547</v>
      </c>
      <c r="N512" s="664">
        <f t="shared" si="176"/>
        <v>1351.0560354649642</v>
      </c>
      <c r="O512" s="664">
        <f t="shared" si="176"/>
        <v>1858.9638199068484</v>
      </c>
      <c r="P512" s="664">
        <f t="shared" si="176"/>
        <v>577.90996933157385</v>
      </c>
      <c r="Q512" s="664">
        <f t="shared" si="176"/>
        <v>985.72769216041388</v>
      </c>
      <c r="R512" s="664">
        <f t="shared" si="176"/>
        <v>9943.7617819453189</v>
      </c>
      <c r="S512" s="678">
        <f t="shared" ref="S512:AA512" si="177">ROUND(SUM(S507:S511),5)</f>
        <v>14023.9</v>
      </c>
      <c r="T512" s="678">
        <f t="shared" si="177"/>
        <v>6178.38</v>
      </c>
      <c r="U512" s="678">
        <f t="shared" si="177"/>
        <v>5372.79</v>
      </c>
      <c r="V512" s="678">
        <f t="shared" si="177"/>
        <v>5001.71</v>
      </c>
      <c r="W512" s="678">
        <f t="shared" si="177"/>
        <v>7751.31</v>
      </c>
      <c r="X512" s="678">
        <f t="shared" si="177"/>
        <v>9533.3700000000008</v>
      </c>
      <c r="Y512" s="678">
        <f t="shared" si="177"/>
        <v>7498.7</v>
      </c>
      <c r="Z512" s="678">
        <f t="shared" si="177"/>
        <v>7383.23</v>
      </c>
      <c r="AA512" s="678">
        <f t="shared" si="177"/>
        <v>6775.82</v>
      </c>
      <c r="AB512" s="678">
        <f t="shared" ref="AB512:AG512" si="178">ROUND(SUM(AB507:AB511),5)</f>
        <v>7937.72</v>
      </c>
      <c r="AC512" s="678">
        <f t="shared" si="178"/>
        <v>40</v>
      </c>
      <c r="AD512" s="678">
        <f t="shared" si="178"/>
        <v>0</v>
      </c>
      <c r="AE512" s="678">
        <f t="shared" si="178"/>
        <v>0</v>
      </c>
      <c r="AF512" s="678">
        <f t="shared" si="178"/>
        <v>0</v>
      </c>
      <c r="AG512" s="678">
        <f t="shared" si="178"/>
        <v>0</v>
      </c>
      <c r="AH512" s="664">
        <f t="shared" si="176"/>
        <v>0</v>
      </c>
      <c r="AI512" s="664">
        <f t="shared" si="176"/>
        <v>0</v>
      </c>
      <c r="AJ512" s="664">
        <f t="shared" si="176"/>
        <v>0</v>
      </c>
      <c r="AK512" s="664">
        <f t="shared" si="176"/>
        <v>0</v>
      </c>
      <c r="AL512" s="664">
        <f t="shared" si="176"/>
        <v>0</v>
      </c>
      <c r="AM512" s="664">
        <f t="shared" si="176"/>
        <v>0</v>
      </c>
      <c r="AN512" s="664">
        <f t="shared" si="176"/>
        <v>0</v>
      </c>
      <c r="AO512" s="664">
        <f t="shared" si="176"/>
        <v>0</v>
      </c>
      <c r="AP512" s="664">
        <f t="shared" si="176"/>
        <v>0</v>
      </c>
      <c r="AQ512" s="664">
        <f t="shared" si="176"/>
        <v>0</v>
      </c>
      <c r="AR512" s="664">
        <f t="shared" si="176"/>
        <v>0</v>
      </c>
      <c r="AS512" s="664">
        <f t="shared" si="176"/>
        <v>0</v>
      </c>
      <c r="AT512" s="664">
        <f t="shared" si="176"/>
        <v>0</v>
      </c>
      <c r="AU512" s="664">
        <f t="shared" si="176"/>
        <v>0</v>
      </c>
      <c r="AV512" s="664">
        <f t="shared" si="176"/>
        <v>0</v>
      </c>
      <c r="AW512" s="664">
        <f t="shared" si="176"/>
        <v>0</v>
      </c>
      <c r="AX512" s="664">
        <f t="shared" si="176"/>
        <v>0</v>
      </c>
      <c r="AY512" s="664">
        <f t="shared" si="176"/>
        <v>0</v>
      </c>
      <c r="AZ512" s="664">
        <f t="shared" si="176"/>
        <v>0</v>
      </c>
      <c r="BA512" s="664">
        <f t="shared" si="176"/>
        <v>0</v>
      </c>
      <c r="BB512" s="664">
        <f t="shared" si="176"/>
        <v>0</v>
      </c>
      <c r="BC512" s="664">
        <f t="shared" si="176"/>
        <v>0</v>
      </c>
      <c r="BD512" s="664">
        <f t="shared" si="176"/>
        <v>0</v>
      </c>
      <c r="BE512" s="664">
        <f t="shared" si="176"/>
        <v>0</v>
      </c>
      <c r="BF512" s="664">
        <f t="shared" si="176"/>
        <v>0</v>
      </c>
      <c r="BG512" s="664">
        <f t="shared" si="176"/>
        <v>0</v>
      </c>
      <c r="BH512" s="664">
        <f t="shared" si="176"/>
        <v>0</v>
      </c>
      <c r="BI512" s="664">
        <f t="shared" si="176"/>
        <v>0</v>
      </c>
      <c r="BJ512" s="664">
        <f t="shared" si="176"/>
        <v>0</v>
      </c>
      <c r="BK512" s="664">
        <f t="shared" si="176"/>
        <v>0</v>
      </c>
      <c r="BL512" s="664">
        <f t="shared" si="176"/>
        <v>0</v>
      </c>
      <c r="BM512" s="664">
        <f t="shared" si="176"/>
        <v>0</v>
      </c>
      <c r="BN512" s="664">
        <f t="shared" si="176"/>
        <v>0</v>
      </c>
      <c r="BO512" s="664">
        <f t="shared" si="176"/>
        <v>0</v>
      </c>
      <c r="BP512" s="664">
        <f t="shared" ref="BP512:CA512" si="179">SUM(BP509:BP511)</f>
        <v>0</v>
      </c>
      <c r="BQ512" s="664">
        <f t="shared" si="179"/>
        <v>0</v>
      </c>
      <c r="BR512" s="664">
        <f t="shared" si="179"/>
        <v>0</v>
      </c>
      <c r="BS512" s="664">
        <f t="shared" si="179"/>
        <v>0</v>
      </c>
      <c r="BT512" s="664">
        <f t="shared" si="179"/>
        <v>0</v>
      </c>
      <c r="BU512" s="664">
        <f t="shared" si="179"/>
        <v>0</v>
      </c>
      <c r="BV512" s="664">
        <f t="shared" si="179"/>
        <v>0</v>
      </c>
      <c r="BW512" s="664">
        <f t="shared" si="179"/>
        <v>0</v>
      </c>
      <c r="BX512" s="664">
        <f t="shared" si="179"/>
        <v>0</v>
      </c>
      <c r="BY512" s="664">
        <f t="shared" si="179"/>
        <v>0</v>
      </c>
      <c r="BZ512" s="664">
        <f t="shared" si="179"/>
        <v>0</v>
      </c>
      <c r="CA512" s="664">
        <f t="shared" si="179"/>
        <v>0</v>
      </c>
    </row>
    <row r="513" spans="1:79" s="308" customFormat="1" outlineLevel="1" x14ac:dyDescent="0.25">
      <c r="A513" s="658"/>
      <c r="B513" s="29"/>
      <c r="C513" s="29"/>
      <c r="D513" s="29"/>
      <c r="E513" s="570" t="s">
        <v>922</v>
      </c>
      <c r="F513" s="658" t="s">
        <v>603</v>
      </c>
      <c r="G513" s="719"/>
      <c r="H513" s="719">
        <v>45.376440658320917</v>
      </c>
      <c r="I513" s="719">
        <v>59.364835577093857</v>
      </c>
      <c r="J513" s="719">
        <v>50.301413282183894</v>
      </c>
      <c r="K513" s="719">
        <v>83.656320887310684</v>
      </c>
      <c r="L513" s="719"/>
      <c r="M513" s="719">
        <v>16.652783132326316</v>
      </c>
      <c r="N513" s="719"/>
      <c r="O513" s="719"/>
      <c r="P513" s="716">
        <v>4.9664615132242389</v>
      </c>
      <c r="Q513" s="716"/>
      <c r="R513" s="716"/>
      <c r="S513" s="667">
        <v>0</v>
      </c>
      <c r="T513" s="667">
        <v>0</v>
      </c>
      <c r="U513" s="667">
        <v>0</v>
      </c>
      <c r="V513" s="667">
        <v>0</v>
      </c>
      <c r="W513" s="667">
        <v>0</v>
      </c>
      <c r="X513" s="667">
        <v>17.95</v>
      </c>
      <c r="Y513" s="667">
        <v>71.849999999999994</v>
      </c>
      <c r="Z513" s="667">
        <v>0</v>
      </c>
      <c r="AA513" s="667">
        <v>0</v>
      </c>
      <c r="AB513" s="667">
        <v>0</v>
      </c>
      <c r="AC513" s="667">
        <v>0</v>
      </c>
      <c r="AD513" s="667">
        <v>0</v>
      </c>
      <c r="AE513" s="667">
        <v>0</v>
      </c>
      <c r="AF513" s="667">
        <v>27.48</v>
      </c>
      <c r="AG513" s="667">
        <v>0</v>
      </c>
      <c r="AH513" s="718"/>
      <c r="AI513" s="718"/>
      <c r="AJ513" s="718"/>
      <c r="AK513" s="718"/>
      <c r="AL513" s="718"/>
      <c r="AM513" s="718"/>
      <c r="AN513" s="718"/>
      <c r="AO513" s="718"/>
      <c r="AP513" s="718"/>
      <c r="AQ513" s="718"/>
      <c r="AR513" s="718"/>
      <c r="AS513" s="718"/>
      <c r="AT513" s="718"/>
      <c r="AU513" s="718"/>
      <c r="AV513" s="718"/>
      <c r="AW513" s="718"/>
      <c r="AX513" s="718"/>
      <c r="AY513" s="718"/>
      <c r="AZ513" s="718"/>
      <c r="BA513" s="718"/>
      <c r="BB513" s="718"/>
      <c r="BC513" s="718"/>
      <c r="BD513" s="718"/>
      <c r="BE513" s="718"/>
      <c r="BF513" s="718"/>
      <c r="BG513" s="718"/>
      <c r="BH513" s="718"/>
      <c r="BI513" s="718"/>
      <c r="BJ513" s="718"/>
      <c r="BK513" s="718"/>
      <c r="BL513" s="718"/>
      <c r="BM513" s="718"/>
      <c r="BN513" s="718"/>
      <c r="BO513" s="718"/>
      <c r="BP513" s="718"/>
      <c r="BQ513" s="718"/>
      <c r="BR513" s="718"/>
      <c r="BS513" s="718"/>
      <c r="BT513" s="718"/>
      <c r="BU513" s="718"/>
      <c r="BV513" s="718"/>
      <c r="BW513" s="718"/>
      <c r="BX513" s="718"/>
      <c r="BY513" s="718"/>
      <c r="BZ513" s="718"/>
      <c r="CA513" s="718"/>
    </row>
    <row r="514" spans="1:79" outlineLevel="1" x14ac:dyDescent="0.25">
      <c r="A514" s="658"/>
      <c r="E514" s="570" t="s">
        <v>918</v>
      </c>
      <c r="F514" s="658" t="s">
        <v>604</v>
      </c>
      <c r="G514" s="719">
        <v>284.77944363416213</v>
      </c>
      <c r="H514" s="719">
        <v>45.578906960820568</v>
      </c>
      <c r="I514" s="719">
        <v>36.345817700261549</v>
      </c>
      <c r="J514" s="719">
        <v>3954.0683445792706</v>
      </c>
      <c r="K514" s="719">
        <v>170.53019257797948</v>
      </c>
      <c r="L514" s="719">
        <v>2876.6241612598556</v>
      </c>
      <c r="M514" s="719">
        <v>3996.6512989751841</v>
      </c>
      <c r="N514" s="719">
        <v>5072.4053966338033</v>
      </c>
      <c r="O514" s="719">
        <v>34.837241077225869</v>
      </c>
      <c r="P514" s="716">
        <v>3049.0058019342564</v>
      </c>
      <c r="Q514" s="716"/>
      <c r="R514" s="716"/>
      <c r="S514" s="667">
        <v>575</v>
      </c>
      <c r="T514" s="667">
        <v>0</v>
      </c>
      <c r="U514" s="667">
        <v>19550</v>
      </c>
      <c r="V514" s="667">
        <v>0</v>
      </c>
      <c r="W514" s="667">
        <v>0</v>
      </c>
      <c r="X514" s="667">
        <v>0</v>
      </c>
      <c r="Y514" s="667">
        <v>0</v>
      </c>
      <c r="Z514" s="667">
        <v>1557</v>
      </c>
      <c r="AA514" s="667">
        <v>1166.9000000000001</v>
      </c>
      <c r="AB514" s="667">
        <v>500</v>
      </c>
      <c r="AC514" s="667">
        <v>0</v>
      </c>
      <c r="AD514" s="667">
        <v>0</v>
      </c>
      <c r="AE514" s="667">
        <v>500</v>
      </c>
      <c r="AF514" s="667">
        <v>0</v>
      </c>
      <c r="AG514" s="667">
        <v>0</v>
      </c>
      <c r="AH514" s="718"/>
      <c r="AI514" s="718"/>
      <c r="AJ514" s="718"/>
      <c r="AK514" s="718"/>
      <c r="AL514" s="718"/>
      <c r="AM514" s="718"/>
      <c r="AN514" s="718"/>
      <c r="AO514" s="718"/>
      <c r="AP514" s="718"/>
      <c r="AQ514" s="718"/>
      <c r="AR514" s="718"/>
      <c r="AS514" s="718"/>
      <c r="AT514" s="718"/>
      <c r="AU514" s="718"/>
      <c r="AV514" s="718"/>
      <c r="AW514" s="718"/>
      <c r="AX514" s="718"/>
      <c r="AY514" s="718"/>
      <c r="AZ514" s="718"/>
      <c r="BA514" s="718"/>
      <c r="BB514" s="718"/>
      <c r="BC514" s="718"/>
      <c r="BD514" s="718"/>
      <c r="BE514" s="718"/>
      <c r="BF514" s="718"/>
      <c r="BG514" s="718"/>
      <c r="BH514" s="718"/>
      <c r="BI514" s="718"/>
      <c r="BJ514" s="718"/>
      <c r="BK514" s="718"/>
      <c r="BL514" s="718"/>
      <c r="BM514" s="718"/>
      <c r="BN514" s="718"/>
      <c r="BO514" s="718"/>
      <c r="BP514" s="718"/>
      <c r="BQ514" s="718"/>
      <c r="BR514" s="718"/>
      <c r="BS514" s="718"/>
      <c r="BT514" s="718"/>
      <c r="BU514" s="718"/>
      <c r="BV514" s="718"/>
      <c r="BW514" s="718"/>
      <c r="BX514" s="718"/>
      <c r="BY514" s="718"/>
      <c r="BZ514" s="718"/>
      <c r="CA514" s="718"/>
    </row>
    <row r="515" spans="1:79" s="693" customFormat="1" outlineLevel="1" x14ac:dyDescent="0.25">
      <c r="A515" s="701"/>
      <c r="E515" s="570" t="s">
        <v>1341</v>
      </c>
      <c r="F515" s="701" t="s">
        <v>652</v>
      </c>
      <c r="G515" s="733"/>
      <c r="H515" s="733"/>
      <c r="I515" s="733"/>
      <c r="J515" s="733"/>
      <c r="K515" s="733"/>
      <c r="L515" s="733"/>
      <c r="M515" s="733"/>
      <c r="N515" s="733"/>
      <c r="O515" s="733"/>
      <c r="P515" s="734"/>
      <c r="Q515" s="734"/>
      <c r="R515" s="734"/>
      <c r="S515" s="704"/>
      <c r="T515" s="704"/>
      <c r="U515" s="704"/>
      <c r="V515" s="704"/>
      <c r="W515" s="704"/>
      <c r="X515" s="704"/>
      <c r="Y515" s="704"/>
      <c r="Z515" s="704"/>
      <c r="AA515" s="704"/>
      <c r="AB515" s="704"/>
      <c r="AC515" s="704"/>
      <c r="AD515" s="704"/>
      <c r="AE515" s="704"/>
      <c r="AF515" s="704"/>
      <c r="AG515" s="704"/>
      <c r="AH515" s="736"/>
      <c r="AI515" s="736"/>
      <c r="AJ515" s="736"/>
      <c r="AK515" s="736"/>
      <c r="AL515" s="736"/>
      <c r="AM515" s="736"/>
      <c r="AN515" s="736"/>
      <c r="AO515" s="736"/>
      <c r="AP515" s="736"/>
      <c r="AQ515" s="736"/>
      <c r="AR515" s="736"/>
      <c r="AS515" s="736"/>
      <c r="AT515" s="736"/>
      <c r="AU515" s="736"/>
      <c r="AV515" s="736"/>
      <c r="AW515" s="736"/>
      <c r="AX515" s="736"/>
      <c r="AY515" s="736"/>
      <c r="AZ515" s="736"/>
      <c r="BA515" s="736"/>
      <c r="BB515" s="736"/>
      <c r="BC515" s="736"/>
      <c r="BD515" s="736"/>
      <c r="BE515" s="736"/>
      <c r="BF515" s="736"/>
      <c r="BG515" s="736"/>
      <c r="BH515" s="736"/>
      <c r="BI515" s="736"/>
      <c r="BJ515" s="736"/>
      <c r="BK515" s="736"/>
      <c r="BL515" s="736"/>
      <c r="BM515" s="736"/>
      <c r="BN515" s="736"/>
      <c r="BO515" s="736"/>
      <c r="BP515" s="736"/>
      <c r="BQ515" s="736"/>
      <c r="BR515" s="736"/>
      <c r="BS515" s="736"/>
      <c r="BT515" s="736"/>
      <c r="BU515" s="736"/>
      <c r="BV515" s="736"/>
      <c r="BW515" s="736"/>
      <c r="BX515" s="736"/>
      <c r="BY515" s="736"/>
      <c r="BZ515" s="736"/>
      <c r="CA515" s="736"/>
    </row>
    <row r="516" spans="1:79" outlineLevel="1" x14ac:dyDescent="0.25">
      <c r="A516" s="656"/>
      <c r="B516" s="570"/>
      <c r="C516" s="570"/>
      <c r="D516" s="570"/>
      <c r="E516" s="570" t="s">
        <v>1341</v>
      </c>
      <c r="F516" s="656" t="s">
        <v>653</v>
      </c>
      <c r="G516" s="719"/>
      <c r="H516" s="719"/>
      <c r="I516" s="719"/>
      <c r="J516" s="719"/>
      <c r="K516" s="719"/>
      <c r="L516" s="719"/>
      <c r="M516" s="719"/>
      <c r="N516" s="719"/>
      <c r="O516" s="719"/>
      <c r="P516" s="716"/>
      <c r="Q516" s="716"/>
      <c r="R516" s="716"/>
      <c r="S516" s="667">
        <v>0</v>
      </c>
      <c r="T516" s="667">
        <v>0</v>
      </c>
      <c r="U516" s="667">
        <v>0</v>
      </c>
      <c r="V516" s="667">
        <v>0</v>
      </c>
      <c r="W516" s="667">
        <v>0</v>
      </c>
      <c r="X516" s="667">
        <v>0</v>
      </c>
      <c r="Y516" s="667">
        <v>0</v>
      </c>
      <c r="Z516" s="667">
        <v>0</v>
      </c>
      <c r="AA516" s="667">
        <v>0</v>
      </c>
      <c r="AB516" s="667">
        <v>0</v>
      </c>
      <c r="AC516" s="667">
        <v>0</v>
      </c>
      <c r="AD516" s="667">
        <v>0</v>
      </c>
      <c r="AE516" s="667">
        <v>0</v>
      </c>
      <c r="AF516" s="667">
        <v>0</v>
      </c>
      <c r="AG516" s="667">
        <v>0</v>
      </c>
      <c r="AH516" s="718"/>
      <c r="AI516" s="718"/>
      <c r="AJ516" s="718"/>
      <c r="AK516" s="718"/>
      <c r="AL516" s="718"/>
      <c r="AM516" s="718"/>
      <c r="AN516" s="718"/>
      <c r="AO516" s="718"/>
      <c r="AP516" s="718"/>
      <c r="AQ516" s="718"/>
      <c r="AR516" s="718"/>
      <c r="AS516" s="718"/>
      <c r="AT516" s="718"/>
      <c r="AU516" s="718"/>
      <c r="AV516" s="718"/>
      <c r="AW516" s="718"/>
      <c r="AX516" s="718"/>
      <c r="AY516" s="718"/>
      <c r="AZ516" s="718"/>
      <c r="BA516" s="718"/>
      <c r="BB516" s="718"/>
      <c r="BC516" s="718"/>
      <c r="BD516" s="718"/>
      <c r="BE516" s="718"/>
      <c r="BF516" s="718"/>
      <c r="BG516" s="718"/>
      <c r="BH516" s="718"/>
      <c r="BI516" s="718"/>
      <c r="BJ516" s="718"/>
      <c r="BK516" s="718"/>
      <c r="BL516" s="718"/>
      <c r="BM516" s="718"/>
      <c r="BN516" s="718"/>
      <c r="BO516" s="718"/>
      <c r="BP516" s="718"/>
      <c r="BQ516" s="718"/>
      <c r="BR516" s="718"/>
      <c r="BS516" s="718"/>
      <c r="BT516" s="718"/>
      <c r="BU516" s="718"/>
      <c r="BV516" s="718"/>
      <c r="BW516" s="718"/>
      <c r="BX516" s="718"/>
      <c r="BY516" s="718"/>
      <c r="BZ516" s="718"/>
      <c r="CA516" s="718"/>
    </row>
    <row r="517" spans="1:79" outlineLevel="1" x14ac:dyDescent="0.25">
      <c r="A517" s="656"/>
      <c r="B517" s="570"/>
      <c r="C517" s="570"/>
      <c r="D517" s="570"/>
      <c r="E517" s="570" t="s">
        <v>1341</v>
      </c>
      <c r="F517" s="656" t="s">
        <v>907</v>
      </c>
      <c r="G517" s="719"/>
      <c r="H517" s="719"/>
      <c r="I517" s="719"/>
      <c r="J517" s="719"/>
      <c r="K517" s="719"/>
      <c r="L517" s="719"/>
      <c r="M517" s="719"/>
      <c r="N517" s="719"/>
      <c r="O517" s="719"/>
      <c r="P517" s="716"/>
      <c r="Q517" s="716"/>
      <c r="R517" s="716"/>
      <c r="S517" s="667">
        <v>0</v>
      </c>
      <c r="T517" s="667">
        <v>0</v>
      </c>
      <c r="U517" s="667">
        <v>0</v>
      </c>
      <c r="V517" s="667">
        <v>0</v>
      </c>
      <c r="W517" s="667">
        <v>0</v>
      </c>
      <c r="X517" s="667">
        <v>0</v>
      </c>
      <c r="Y517" s="667">
        <v>0</v>
      </c>
      <c r="Z517" s="667">
        <v>0</v>
      </c>
      <c r="AA517" s="667">
        <v>0</v>
      </c>
      <c r="AB517" s="667">
        <v>0</v>
      </c>
      <c r="AC517" s="667">
        <v>0</v>
      </c>
      <c r="AD517" s="667">
        <v>0</v>
      </c>
      <c r="AE517" s="667">
        <v>0</v>
      </c>
      <c r="AF517" s="667">
        <v>0</v>
      </c>
      <c r="AG517" s="667">
        <v>0</v>
      </c>
      <c r="AH517" s="718"/>
      <c r="AI517" s="718"/>
      <c r="AJ517" s="718"/>
      <c r="AK517" s="718"/>
      <c r="AL517" s="718"/>
      <c r="AM517" s="718"/>
      <c r="AN517" s="718"/>
      <c r="AO517" s="718"/>
      <c r="AP517" s="718"/>
      <c r="AQ517" s="718"/>
      <c r="AR517" s="718"/>
      <c r="AS517" s="718"/>
      <c r="AT517" s="718"/>
      <c r="AU517" s="718"/>
      <c r="AV517" s="718"/>
      <c r="AW517" s="718"/>
      <c r="AX517" s="718"/>
      <c r="AY517" s="718"/>
      <c r="AZ517" s="718"/>
      <c r="BA517" s="718"/>
      <c r="BB517" s="718"/>
      <c r="BC517" s="718"/>
      <c r="BD517" s="718"/>
      <c r="BE517" s="718"/>
      <c r="BF517" s="718"/>
      <c r="BG517" s="718"/>
      <c r="BH517" s="718"/>
      <c r="BI517" s="718"/>
      <c r="BJ517" s="718"/>
      <c r="BK517" s="718"/>
      <c r="BL517" s="718"/>
      <c r="BM517" s="718"/>
      <c r="BN517" s="718"/>
      <c r="BO517" s="718"/>
      <c r="BP517" s="718"/>
      <c r="BQ517" s="718"/>
      <c r="BR517" s="718"/>
      <c r="BS517" s="718"/>
      <c r="BT517" s="718"/>
      <c r="BU517" s="718"/>
      <c r="BV517" s="718"/>
      <c r="BW517" s="718"/>
      <c r="BX517" s="718"/>
      <c r="BY517" s="718"/>
      <c r="BZ517" s="718"/>
      <c r="CA517" s="718"/>
    </row>
    <row r="518" spans="1:79" outlineLevel="1" x14ac:dyDescent="0.25">
      <c r="A518" s="656"/>
      <c r="B518" s="570"/>
      <c r="C518" s="570"/>
      <c r="D518" s="570"/>
      <c r="E518" s="570" t="s">
        <v>1341</v>
      </c>
      <c r="F518" s="656" t="s">
        <v>908</v>
      </c>
      <c r="G518" s="719"/>
      <c r="H518" s="719"/>
      <c r="I518" s="719"/>
      <c r="J518" s="719"/>
      <c r="K518" s="719"/>
      <c r="L518" s="719"/>
      <c r="M518" s="719"/>
      <c r="N518" s="719"/>
      <c r="O518" s="719"/>
      <c r="P518" s="716"/>
      <c r="Q518" s="716"/>
      <c r="R518" s="716"/>
      <c r="S518" s="667">
        <v>0</v>
      </c>
      <c r="T518" s="667">
        <v>0</v>
      </c>
      <c r="U518" s="667">
        <v>0</v>
      </c>
      <c r="V518" s="667">
        <v>0</v>
      </c>
      <c r="W518" s="667">
        <v>0</v>
      </c>
      <c r="X518" s="667">
        <v>0</v>
      </c>
      <c r="Y518" s="667">
        <v>0</v>
      </c>
      <c r="Z518" s="667">
        <v>0</v>
      </c>
      <c r="AA518" s="667">
        <v>0</v>
      </c>
      <c r="AB518" s="667">
        <v>0</v>
      </c>
      <c r="AC518" s="667">
        <v>0</v>
      </c>
      <c r="AD518" s="667">
        <v>0</v>
      </c>
      <c r="AE518" s="667">
        <v>0</v>
      </c>
      <c r="AF518" s="667">
        <v>0</v>
      </c>
      <c r="AG518" s="667">
        <v>0</v>
      </c>
      <c r="AH518" s="718"/>
      <c r="AI518" s="718"/>
      <c r="AJ518" s="718"/>
      <c r="AK518" s="718"/>
      <c r="AL518" s="718"/>
      <c r="AM518" s="718"/>
      <c r="AN518" s="718"/>
      <c r="AO518" s="718"/>
      <c r="AP518" s="718"/>
      <c r="AQ518" s="718"/>
      <c r="AR518" s="718"/>
      <c r="AS518" s="718"/>
      <c r="AT518" s="718"/>
      <c r="AU518" s="718"/>
      <c r="AV518" s="718"/>
      <c r="AW518" s="718"/>
      <c r="AX518" s="718"/>
      <c r="AY518" s="718"/>
      <c r="AZ518" s="718"/>
      <c r="BA518" s="718"/>
      <c r="BB518" s="718"/>
      <c r="BC518" s="718"/>
      <c r="BD518" s="718"/>
      <c r="BE518" s="718"/>
      <c r="BF518" s="718"/>
      <c r="BG518" s="718"/>
      <c r="BH518" s="718"/>
      <c r="BI518" s="718"/>
      <c r="BJ518" s="718"/>
      <c r="BK518" s="718"/>
      <c r="BL518" s="718"/>
      <c r="BM518" s="718"/>
      <c r="BN518" s="718"/>
      <c r="BO518" s="718"/>
      <c r="BP518" s="718"/>
      <c r="BQ518" s="718"/>
      <c r="BR518" s="718"/>
      <c r="BS518" s="718"/>
      <c r="BT518" s="718"/>
      <c r="BU518" s="718"/>
      <c r="BV518" s="718"/>
      <c r="BW518" s="718"/>
      <c r="BX518" s="718"/>
      <c r="BY518" s="718"/>
      <c r="BZ518" s="718"/>
      <c r="CA518" s="718"/>
    </row>
    <row r="519" spans="1:79" outlineLevel="1" x14ac:dyDescent="0.25">
      <c r="A519" s="656"/>
      <c r="E519" s="570" t="s">
        <v>1341</v>
      </c>
      <c r="F519" s="656" t="s">
        <v>654</v>
      </c>
      <c r="G519" s="719"/>
      <c r="H519" s="719"/>
      <c r="I519" s="719"/>
      <c r="J519" s="719">
        <v>477.86342618074701</v>
      </c>
      <c r="K519" s="719"/>
      <c r="L519" s="719">
        <v>779.10467369754258</v>
      </c>
      <c r="M519" s="719"/>
      <c r="N519" s="719"/>
      <c r="O519" s="719"/>
      <c r="P519" s="716"/>
      <c r="Q519" s="716"/>
      <c r="R519" s="716">
        <v>844.12446664917218</v>
      </c>
      <c r="S519" s="667">
        <v>0</v>
      </c>
      <c r="T519" s="667">
        <v>0</v>
      </c>
      <c r="U519" s="667">
        <v>0</v>
      </c>
      <c r="V519" s="667">
        <v>0</v>
      </c>
      <c r="W519" s="667">
        <v>0</v>
      </c>
      <c r="X519" s="667">
        <v>0</v>
      </c>
      <c r="Y519" s="667">
        <v>0</v>
      </c>
      <c r="Z519" s="667">
        <v>0</v>
      </c>
      <c r="AA519" s="667">
        <v>0</v>
      </c>
      <c r="AB519" s="667">
        <v>0</v>
      </c>
      <c r="AC519" s="667">
        <v>0</v>
      </c>
      <c r="AD519" s="667">
        <v>0</v>
      </c>
      <c r="AE519" s="667">
        <v>0</v>
      </c>
      <c r="AF519" s="667">
        <v>0</v>
      </c>
      <c r="AG519" s="667">
        <v>0</v>
      </c>
      <c r="AH519" s="718"/>
      <c r="AI519" s="718"/>
      <c r="AJ519" s="718"/>
      <c r="AK519" s="718"/>
      <c r="AL519" s="718"/>
      <c r="AM519" s="718"/>
      <c r="AN519" s="718"/>
      <c r="AO519" s="718"/>
      <c r="AP519" s="718"/>
      <c r="AQ519" s="718"/>
      <c r="AR519" s="718"/>
      <c r="AS519" s="718"/>
      <c r="AT519" s="718"/>
      <c r="AU519" s="718"/>
      <c r="AV519" s="718"/>
      <c r="AW519" s="718"/>
      <c r="AX519" s="718"/>
      <c r="AY519" s="718"/>
      <c r="AZ519" s="718"/>
      <c r="BA519" s="718"/>
      <c r="BB519" s="718"/>
      <c r="BC519" s="718"/>
      <c r="BD519" s="718"/>
      <c r="BE519" s="718"/>
      <c r="BF519" s="718"/>
      <c r="BG519" s="718"/>
      <c r="BH519" s="718"/>
      <c r="BI519" s="718"/>
      <c r="BJ519" s="718"/>
      <c r="BK519" s="718"/>
      <c r="BL519" s="718"/>
      <c r="BM519" s="718"/>
      <c r="BN519" s="718"/>
      <c r="BO519" s="718"/>
      <c r="BP519" s="718"/>
      <c r="BQ519" s="718"/>
      <c r="BR519" s="718"/>
      <c r="BS519" s="718"/>
      <c r="BT519" s="718"/>
      <c r="BU519" s="718"/>
      <c r="BV519" s="718"/>
      <c r="BW519" s="718"/>
      <c r="BX519" s="718"/>
      <c r="BY519" s="718"/>
      <c r="BZ519" s="718"/>
      <c r="CA519" s="718"/>
    </row>
    <row r="520" spans="1:79" outlineLevel="1" x14ac:dyDescent="0.25">
      <c r="A520" s="656"/>
      <c r="E520" s="570" t="s">
        <v>1341</v>
      </c>
      <c r="F520" s="656" t="s">
        <v>909</v>
      </c>
      <c r="G520" s="719"/>
      <c r="H520" s="719"/>
      <c r="I520" s="719">
        <v>-1070.2631785470351</v>
      </c>
      <c r="J520" s="719"/>
      <c r="K520" s="719"/>
      <c r="L520" s="719"/>
      <c r="M520" s="719"/>
      <c r="N520" s="719"/>
      <c r="O520" s="719"/>
      <c r="P520" s="716"/>
      <c r="Q520" s="716"/>
      <c r="R520" s="716"/>
      <c r="S520" s="667">
        <v>0</v>
      </c>
      <c r="T520" s="667">
        <v>0</v>
      </c>
      <c r="U520" s="667">
        <v>0</v>
      </c>
      <c r="V520" s="667">
        <v>0</v>
      </c>
      <c r="W520" s="667">
        <v>0</v>
      </c>
      <c r="X520" s="667">
        <v>0</v>
      </c>
      <c r="Y520" s="667">
        <v>0</v>
      </c>
      <c r="Z520" s="667">
        <v>0</v>
      </c>
      <c r="AA520" s="667">
        <v>0</v>
      </c>
      <c r="AB520" s="667">
        <v>0</v>
      </c>
      <c r="AC520" s="667">
        <v>0</v>
      </c>
      <c r="AD520" s="667">
        <v>0</v>
      </c>
      <c r="AE520" s="667">
        <v>0</v>
      </c>
      <c r="AF520" s="667">
        <v>0</v>
      </c>
      <c r="AG520" s="667">
        <v>0</v>
      </c>
      <c r="AH520" s="718"/>
      <c r="AI520" s="718"/>
      <c r="AJ520" s="718"/>
      <c r="AK520" s="718"/>
      <c r="AL520" s="718"/>
      <c r="AM520" s="718"/>
      <c r="AN520" s="718"/>
      <c r="AO520" s="718"/>
      <c r="AP520" s="718"/>
      <c r="AQ520" s="718"/>
      <c r="AR520" s="718"/>
      <c r="AS520" s="718"/>
      <c r="AT520" s="718"/>
      <c r="AU520" s="718"/>
      <c r="AV520" s="718"/>
      <c r="AW520" s="718"/>
      <c r="AX520" s="718"/>
      <c r="AY520" s="718"/>
      <c r="AZ520" s="718"/>
      <c r="BA520" s="718"/>
      <c r="BB520" s="718"/>
      <c r="BC520" s="718"/>
      <c r="BD520" s="718"/>
      <c r="BE520" s="718"/>
      <c r="BF520" s="718"/>
      <c r="BG520" s="718"/>
      <c r="BH520" s="718"/>
      <c r="BI520" s="718"/>
      <c r="BJ520" s="718"/>
      <c r="BK520" s="718"/>
      <c r="BL520" s="718"/>
      <c r="BM520" s="718"/>
      <c r="BN520" s="718"/>
      <c r="BO520" s="718"/>
      <c r="BP520" s="718"/>
      <c r="BQ520" s="718"/>
      <c r="BR520" s="718"/>
      <c r="BS520" s="718"/>
      <c r="BT520" s="718"/>
      <c r="BU520" s="718"/>
      <c r="BV520" s="718"/>
      <c r="BW520" s="718"/>
      <c r="BX520" s="718"/>
      <c r="BY520" s="718"/>
      <c r="BZ520" s="718"/>
      <c r="CA520" s="718"/>
    </row>
    <row r="521" spans="1:79" outlineLevel="1" x14ac:dyDescent="0.25">
      <c r="A521" s="656"/>
      <c r="B521" s="570"/>
      <c r="C521" s="570"/>
      <c r="D521" s="570"/>
      <c r="E521" s="570" t="s">
        <v>1341</v>
      </c>
      <c r="F521" s="656" t="s">
        <v>910</v>
      </c>
      <c r="G521" s="719"/>
      <c r="H521" s="719"/>
      <c r="I521" s="719"/>
      <c r="J521" s="719"/>
      <c r="K521" s="719"/>
      <c r="L521" s="719"/>
      <c r="M521" s="719"/>
      <c r="N521" s="719"/>
      <c r="O521" s="719"/>
      <c r="P521" s="716"/>
      <c r="Q521" s="716"/>
      <c r="R521" s="716"/>
      <c r="S521" s="667">
        <v>0</v>
      </c>
      <c r="T521" s="667">
        <v>0</v>
      </c>
      <c r="U521" s="667">
        <v>0</v>
      </c>
      <c r="V521" s="667">
        <v>0</v>
      </c>
      <c r="W521" s="667">
        <v>0</v>
      </c>
      <c r="X521" s="667">
        <v>0</v>
      </c>
      <c r="Y521" s="667">
        <v>0</v>
      </c>
      <c r="Z521" s="667">
        <v>0</v>
      </c>
      <c r="AA521" s="667">
        <v>0</v>
      </c>
      <c r="AB521" s="667">
        <v>0</v>
      </c>
      <c r="AC521" s="667">
        <v>0</v>
      </c>
      <c r="AD521" s="667">
        <v>0</v>
      </c>
      <c r="AE521" s="667">
        <v>0</v>
      </c>
      <c r="AF521" s="667">
        <v>0</v>
      </c>
      <c r="AG521" s="667">
        <v>0</v>
      </c>
      <c r="AH521" s="718"/>
      <c r="AI521" s="718"/>
      <c r="AJ521" s="718"/>
      <c r="AK521" s="718"/>
      <c r="AL521" s="718"/>
      <c r="AM521" s="718"/>
      <c r="AN521" s="718"/>
      <c r="AO521" s="718"/>
      <c r="AP521" s="718"/>
      <c r="AQ521" s="718"/>
      <c r="AR521" s="718"/>
      <c r="AS521" s="718"/>
      <c r="AT521" s="718"/>
      <c r="AU521" s="718"/>
      <c r="AV521" s="718"/>
      <c r="AW521" s="718"/>
      <c r="AX521" s="718"/>
      <c r="AY521" s="718"/>
      <c r="AZ521" s="718"/>
      <c r="BA521" s="718"/>
      <c r="BB521" s="718"/>
      <c r="BC521" s="718"/>
      <c r="BD521" s="718"/>
      <c r="BE521" s="718"/>
      <c r="BF521" s="718"/>
      <c r="BG521" s="718"/>
      <c r="BH521" s="718"/>
      <c r="BI521" s="718"/>
      <c r="BJ521" s="718"/>
      <c r="BK521" s="718"/>
      <c r="BL521" s="718"/>
      <c r="BM521" s="718"/>
      <c r="BN521" s="718"/>
      <c r="BO521" s="718"/>
      <c r="BP521" s="718"/>
      <c r="BQ521" s="718"/>
      <c r="BR521" s="718"/>
      <c r="BS521" s="718"/>
      <c r="BT521" s="718"/>
      <c r="BU521" s="718"/>
      <c r="BV521" s="718"/>
      <c r="BW521" s="718"/>
      <c r="BX521" s="718"/>
      <c r="BY521" s="718"/>
      <c r="BZ521" s="718"/>
      <c r="CA521" s="718"/>
    </row>
    <row r="522" spans="1:79" outlineLevel="1" x14ac:dyDescent="0.25">
      <c r="A522" s="656"/>
      <c r="B522" s="570"/>
      <c r="C522" s="570"/>
      <c r="D522" s="570"/>
      <c r="E522" s="570" t="s">
        <v>1341</v>
      </c>
      <c r="F522" s="656" t="s">
        <v>911</v>
      </c>
      <c r="G522" s="719"/>
      <c r="H522" s="719"/>
      <c r="I522" s="719"/>
      <c r="J522" s="719"/>
      <c r="K522" s="719"/>
      <c r="L522" s="719"/>
      <c r="M522" s="719"/>
      <c r="N522" s="719"/>
      <c r="O522" s="719"/>
      <c r="P522" s="716"/>
      <c r="Q522" s="716"/>
      <c r="R522" s="716"/>
      <c r="S522" s="667">
        <v>0</v>
      </c>
      <c r="T522" s="667">
        <v>0</v>
      </c>
      <c r="U522" s="667">
        <v>0</v>
      </c>
      <c r="V522" s="667">
        <v>0</v>
      </c>
      <c r="W522" s="667">
        <v>0</v>
      </c>
      <c r="X522" s="667">
        <v>0</v>
      </c>
      <c r="Y522" s="667">
        <v>0</v>
      </c>
      <c r="Z522" s="667">
        <v>0</v>
      </c>
      <c r="AA522" s="667">
        <v>0</v>
      </c>
      <c r="AB522" s="667">
        <v>0</v>
      </c>
      <c r="AC522" s="667">
        <v>0</v>
      </c>
      <c r="AD522" s="667">
        <v>0</v>
      </c>
      <c r="AE522" s="667">
        <v>0</v>
      </c>
      <c r="AF522" s="667">
        <v>0</v>
      </c>
      <c r="AG522" s="667">
        <v>0</v>
      </c>
      <c r="AH522" s="718"/>
      <c r="AI522" s="718"/>
      <c r="AJ522" s="718"/>
      <c r="AK522" s="718"/>
      <c r="AL522" s="718"/>
      <c r="AM522" s="718"/>
      <c r="AN522" s="718"/>
      <c r="AO522" s="718"/>
      <c r="AP522" s="718"/>
      <c r="AQ522" s="718"/>
      <c r="AR522" s="718"/>
      <c r="AS522" s="718"/>
      <c r="AT522" s="718"/>
      <c r="AU522" s="718"/>
      <c r="AV522" s="718"/>
      <c r="AW522" s="718"/>
      <c r="AX522" s="718"/>
      <c r="AY522" s="718"/>
      <c r="AZ522" s="718"/>
      <c r="BA522" s="718"/>
      <c r="BB522" s="718"/>
      <c r="BC522" s="718"/>
      <c r="BD522" s="718"/>
      <c r="BE522" s="718"/>
      <c r="BF522" s="718"/>
      <c r="BG522" s="718"/>
      <c r="BH522" s="718"/>
      <c r="BI522" s="718"/>
      <c r="BJ522" s="718"/>
      <c r="BK522" s="718"/>
      <c r="BL522" s="718"/>
      <c r="BM522" s="718"/>
      <c r="BN522" s="718"/>
      <c r="BO522" s="718"/>
      <c r="BP522" s="718"/>
      <c r="BQ522" s="718"/>
      <c r="BR522" s="718"/>
      <c r="BS522" s="718"/>
      <c r="BT522" s="718"/>
      <c r="BU522" s="718"/>
      <c r="BV522" s="718"/>
      <c r="BW522" s="718"/>
      <c r="BX522" s="718"/>
      <c r="BY522" s="718"/>
      <c r="BZ522" s="718"/>
      <c r="CA522" s="718"/>
    </row>
    <row r="523" spans="1:79" outlineLevel="1" x14ac:dyDescent="0.25">
      <c r="A523" s="657"/>
      <c r="E523" s="570" t="s">
        <v>49</v>
      </c>
      <c r="F523" s="657" t="s">
        <v>655</v>
      </c>
      <c r="G523" s="664">
        <f>SUM(G516:G522)</f>
        <v>0</v>
      </c>
      <c r="H523" s="664">
        <f t="shared" ref="H523:BO523" si="180">SUM(H516:H522)</f>
        <v>0</v>
      </c>
      <c r="I523" s="664">
        <f t="shared" si="180"/>
        <v>-1070.2631785470351</v>
      </c>
      <c r="J523" s="664">
        <f t="shared" si="180"/>
        <v>477.86342618074701</v>
      </c>
      <c r="K523" s="664">
        <f t="shared" si="180"/>
        <v>0</v>
      </c>
      <c r="L523" s="664">
        <f t="shared" si="180"/>
        <v>779.10467369754258</v>
      </c>
      <c r="M523" s="664">
        <f t="shared" si="180"/>
        <v>0</v>
      </c>
      <c r="N523" s="664">
        <f t="shared" si="180"/>
        <v>0</v>
      </c>
      <c r="O523" s="664">
        <f t="shared" si="180"/>
        <v>0</v>
      </c>
      <c r="P523" s="664">
        <f t="shared" si="180"/>
        <v>0</v>
      </c>
      <c r="Q523" s="664">
        <f t="shared" si="180"/>
        <v>0</v>
      </c>
      <c r="R523" s="664">
        <f t="shared" si="180"/>
        <v>844.12446664917218</v>
      </c>
      <c r="S523" s="678">
        <f t="shared" ref="S523:AA523" si="181">ROUND(SUM(S515:S522),5)</f>
        <v>0</v>
      </c>
      <c r="T523" s="678">
        <f t="shared" si="181"/>
        <v>0</v>
      </c>
      <c r="U523" s="678">
        <f t="shared" si="181"/>
        <v>0</v>
      </c>
      <c r="V523" s="678">
        <f t="shared" si="181"/>
        <v>0</v>
      </c>
      <c r="W523" s="678">
        <f t="shared" si="181"/>
        <v>0</v>
      </c>
      <c r="X523" s="678">
        <f t="shared" si="181"/>
        <v>0</v>
      </c>
      <c r="Y523" s="678">
        <f t="shared" si="181"/>
        <v>0</v>
      </c>
      <c r="Z523" s="678">
        <f t="shared" si="181"/>
        <v>0</v>
      </c>
      <c r="AA523" s="678">
        <f t="shared" si="181"/>
        <v>0</v>
      </c>
      <c r="AB523" s="678">
        <f t="shared" ref="AB523:AG523" si="182">ROUND(SUM(AB515:AB522),5)</f>
        <v>0</v>
      </c>
      <c r="AC523" s="678">
        <f t="shared" si="182"/>
        <v>0</v>
      </c>
      <c r="AD523" s="678">
        <f t="shared" si="182"/>
        <v>0</v>
      </c>
      <c r="AE523" s="678">
        <f t="shared" si="182"/>
        <v>0</v>
      </c>
      <c r="AF523" s="678">
        <f t="shared" si="182"/>
        <v>0</v>
      </c>
      <c r="AG523" s="678">
        <f t="shared" si="182"/>
        <v>0</v>
      </c>
      <c r="AH523" s="664">
        <f t="shared" si="180"/>
        <v>0</v>
      </c>
      <c r="AI523" s="664">
        <f t="shared" si="180"/>
        <v>0</v>
      </c>
      <c r="AJ523" s="664">
        <f t="shared" si="180"/>
        <v>0</v>
      </c>
      <c r="AK523" s="664">
        <f t="shared" si="180"/>
        <v>0</v>
      </c>
      <c r="AL523" s="664">
        <f t="shared" si="180"/>
        <v>0</v>
      </c>
      <c r="AM523" s="664">
        <f t="shared" si="180"/>
        <v>0</v>
      </c>
      <c r="AN523" s="664">
        <f t="shared" si="180"/>
        <v>0</v>
      </c>
      <c r="AO523" s="664">
        <f t="shared" si="180"/>
        <v>0</v>
      </c>
      <c r="AP523" s="664">
        <f t="shared" si="180"/>
        <v>0</v>
      </c>
      <c r="AQ523" s="664">
        <f t="shared" si="180"/>
        <v>0</v>
      </c>
      <c r="AR523" s="664">
        <f t="shared" si="180"/>
        <v>0</v>
      </c>
      <c r="AS523" s="664">
        <f t="shared" si="180"/>
        <v>0</v>
      </c>
      <c r="AT523" s="664">
        <f t="shared" si="180"/>
        <v>0</v>
      </c>
      <c r="AU523" s="664">
        <f t="shared" si="180"/>
        <v>0</v>
      </c>
      <c r="AV523" s="664">
        <f t="shared" si="180"/>
        <v>0</v>
      </c>
      <c r="AW523" s="664">
        <f t="shared" si="180"/>
        <v>0</v>
      </c>
      <c r="AX523" s="664">
        <f t="shared" si="180"/>
        <v>0</v>
      </c>
      <c r="AY523" s="664">
        <f t="shared" si="180"/>
        <v>0</v>
      </c>
      <c r="AZ523" s="664">
        <f t="shared" si="180"/>
        <v>0</v>
      </c>
      <c r="BA523" s="664">
        <f t="shared" si="180"/>
        <v>0</v>
      </c>
      <c r="BB523" s="664">
        <f t="shared" si="180"/>
        <v>0</v>
      </c>
      <c r="BC523" s="664">
        <f t="shared" si="180"/>
        <v>0</v>
      </c>
      <c r="BD523" s="664">
        <f t="shared" si="180"/>
        <v>0</v>
      </c>
      <c r="BE523" s="664">
        <f t="shared" si="180"/>
        <v>0</v>
      </c>
      <c r="BF523" s="664">
        <f t="shared" si="180"/>
        <v>0</v>
      </c>
      <c r="BG523" s="664">
        <f t="shared" si="180"/>
        <v>0</v>
      </c>
      <c r="BH523" s="664">
        <f t="shared" si="180"/>
        <v>0</v>
      </c>
      <c r="BI523" s="664">
        <f t="shared" si="180"/>
        <v>0</v>
      </c>
      <c r="BJ523" s="664">
        <f t="shared" si="180"/>
        <v>0</v>
      </c>
      <c r="BK523" s="664">
        <f t="shared" si="180"/>
        <v>0</v>
      </c>
      <c r="BL523" s="664">
        <f t="shared" si="180"/>
        <v>0</v>
      </c>
      <c r="BM523" s="664">
        <f t="shared" si="180"/>
        <v>0</v>
      </c>
      <c r="BN523" s="664">
        <f t="shared" si="180"/>
        <v>0</v>
      </c>
      <c r="BO523" s="664">
        <f t="shared" si="180"/>
        <v>0</v>
      </c>
      <c r="BP523" s="664">
        <f t="shared" ref="BP523:CA523" si="183">SUM(BP516:BP522)</f>
        <v>0</v>
      </c>
      <c r="BQ523" s="664">
        <f t="shared" si="183"/>
        <v>0</v>
      </c>
      <c r="BR523" s="664">
        <f t="shared" si="183"/>
        <v>0</v>
      </c>
      <c r="BS523" s="664">
        <f t="shared" si="183"/>
        <v>0</v>
      </c>
      <c r="BT523" s="664">
        <f t="shared" si="183"/>
        <v>0</v>
      </c>
      <c r="BU523" s="664">
        <f t="shared" si="183"/>
        <v>0</v>
      </c>
      <c r="BV523" s="664">
        <f t="shared" si="183"/>
        <v>0</v>
      </c>
      <c r="BW523" s="664">
        <f t="shared" si="183"/>
        <v>0</v>
      </c>
      <c r="BX523" s="664">
        <f t="shared" si="183"/>
        <v>0</v>
      </c>
      <c r="BY523" s="664">
        <f t="shared" si="183"/>
        <v>0</v>
      </c>
      <c r="BZ523" s="664">
        <f t="shared" si="183"/>
        <v>0</v>
      </c>
      <c r="CA523" s="664">
        <f t="shared" si="183"/>
        <v>0</v>
      </c>
    </row>
    <row r="524" spans="1:79" outlineLevel="1" x14ac:dyDescent="0.25">
      <c r="A524" s="626"/>
      <c r="E524" s="570" t="s">
        <v>945</v>
      </c>
      <c r="F524" s="626" t="s">
        <v>691</v>
      </c>
      <c r="G524" s="719">
        <v>991.58131636906182</v>
      </c>
      <c r="H524" s="719">
        <v>282.10729957163312</v>
      </c>
      <c r="I524" s="719">
        <v>337.82131900452077</v>
      </c>
      <c r="J524" s="719">
        <v>232.07963685410141</v>
      </c>
      <c r="K524" s="719">
        <v>85.23349376555052</v>
      </c>
      <c r="L524" s="719">
        <v>118.92047198833461</v>
      </c>
      <c r="M524" s="719">
        <v>89.689320816447434</v>
      </c>
      <c r="N524" s="719">
        <v>82.222472332632606</v>
      </c>
      <c r="O524" s="719">
        <v>579.98205661012616</v>
      </c>
      <c r="P524" s="716">
        <v>499.11174817690335</v>
      </c>
      <c r="Q524" s="716">
        <v>380.23536030414107</v>
      </c>
      <c r="R524" s="716">
        <v>224.47531199372315</v>
      </c>
      <c r="S524" s="667">
        <v>0</v>
      </c>
      <c r="T524" s="667">
        <v>0</v>
      </c>
      <c r="U524" s="667">
        <v>0</v>
      </c>
      <c r="V524" s="667">
        <v>0</v>
      </c>
      <c r="W524" s="667">
        <v>0</v>
      </c>
      <c r="X524" s="667">
        <v>0</v>
      </c>
      <c r="Y524" s="667">
        <v>0</v>
      </c>
      <c r="Z524" s="667">
        <v>0</v>
      </c>
      <c r="AA524" s="667">
        <v>0</v>
      </c>
      <c r="AB524" s="667">
        <v>0</v>
      </c>
      <c r="AC524" s="667">
        <v>0</v>
      </c>
      <c r="AD524" s="667">
        <v>0</v>
      </c>
      <c r="AE524" s="667">
        <v>0</v>
      </c>
      <c r="AF524" s="667">
        <v>0</v>
      </c>
      <c r="AG524" s="667">
        <v>0</v>
      </c>
      <c r="AH524" s="718"/>
      <c r="AI524" s="718"/>
      <c r="AJ524" s="718"/>
      <c r="AK524" s="718"/>
      <c r="AL524" s="718"/>
      <c r="AM524" s="718"/>
      <c r="AN524" s="718"/>
      <c r="AO524" s="718"/>
      <c r="AP524" s="718"/>
      <c r="AQ524" s="718"/>
      <c r="AR524" s="718"/>
      <c r="AS524" s="718"/>
      <c r="AT524" s="718"/>
      <c r="AU524" s="718"/>
      <c r="AV524" s="718"/>
      <c r="AW524" s="718"/>
      <c r="AX524" s="718"/>
      <c r="AY524" s="718"/>
      <c r="AZ524" s="718"/>
      <c r="BA524" s="718"/>
      <c r="BB524" s="718"/>
      <c r="BC524" s="718"/>
      <c r="BD524" s="718"/>
      <c r="BE524" s="718"/>
      <c r="BF524" s="718"/>
      <c r="BG524" s="718"/>
      <c r="BH524" s="718"/>
      <c r="BI524" s="718"/>
      <c r="BJ524" s="718"/>
      <c r="BK524" s="718"/>
      <c r="BL524" s="718"/>
      <c r="BM524" s="718"/>
      <c r="BN524" s="718"/>
      <c r="BO524" s="718"/>
      <c r="BP524" s="718"/>
      <c r="BQ524" s="718"/>
      <c r="BR524" s="718"/>
      <c r="BS524" s="718"/>
      <c r="BT524" s="718"/>
      <c r="BU524" s="718"/>
      <c r="BV524" s="718"/>
      <c r="BW524" s="718"/>
      <c r="BX524" s="718"/>
      <c r="BY524" s="718"/>
      <c r="BZ524" s="718"/>
      <c r="CA524" s="718"/>
    </row>
    <row r="525" spans="1:79" s="868" customFormat="1" ht="15.75" thickBot="1" x14ac:dyDescent="0.3">
      <c r="A525" s="892"/>
      <c r="B525" s="499"/>
      <c r="C525" s="499"/>
      <c r="D525" s="499"/>
      <c r="E525" s="892"/>
      <c r="F525" s="892" t="s">
        <v>679</v>
      </c>
      <c r="G525" s="894">
        <f t="shared" ref="G525:R525" si="184">ROUND(SUM(G354:G362)+SUM(G366:G371)+SUM(G372:G373)+G377+SUM(G381:G383)+SUM(G396:G400)+SUM(G411:G412)+G431+SUM(G435:G438)+G449+G457+SUM(G463:G465)+SUM(G471:G472)+SUM(G505:G506)+SUM(G512:G514)+SUM(G523:G524),5)</f>
        <v>60951.026539999999</v>
      </c>
      <c r="H525" s="894">
        <f t="shared" si="184"/>
        <v>54573.89733</v>
      </c>
      <c r="I525" s="894">
        <f t="shared" si="184"/>
        <v>76876.314729999998</v>
      </c>
      <c r="J525" s="894">
        <f t="shared" si="184"/>
        <v>86237.985629999996</v>
      </c>
      <c r="K525" s="894">
        <f t="shared" si="184"/>
        <v>79829.350699999995</v>
      </c>
      <c r="L525" s="894">
        <f t="shared" si="184"/>
        <v>106990.47821</v>
      </c>
      <c r="M525" s="894">
        <f t="shared" si="184"/>
        <v>117372.99169</v>
      </c>
      <c r="N525" s="894">
        <f t="shared" si="184"/>
        <v>130340.79027</v>
      </c>
      <c r="O525" s="894">
        <f t="shared" si="184"/>
        <v>134907.88183</v>
      </c>
      <c r="P525" s="894">
        <f t="shared" si="184"/>
        <v>135611.68799000001</v>
      </c>
      <c r="Q525" s="894">
        <f t="shared" si="184"/>
        <v>179290.10190000001</v>
      </c>
      <c r="R525" s="894">
        <f t="shared" si="184"/>
        <v>208819.66216000001</v>
      </c>
      <c r="S525" s="894">
        <f t="shared" ref="S525:AC525" si="185">ROUND(SUM(S354:S362)+SUM(S366:S371)+SUM(S372:S373)+S377+SUM(S381:S383)+SUM(S396:S400)+SUM(S411:S412)+S431+SUM(S435:S438)+S449+S457+SUM(S463:S465)+SUM(S471:S472)+SUM(S505:S506)+SUM(S512:S514)+SUM(S523:S524),5)</f>
        <v>173468.37</v>
      </c>
      <c r="T525" s="894">
        <f t="shared" si="185"/>
        <v>185775.81</v>
      </c>
      <c r="U525" s="894">
        <f t="shared" si="185"/>
        <v>248051.39</v>
      </c>
      <c r="V525" s="894">
        <f t="shared" si="185"/>
        <v>262591.01</v>
      </c>
      <c r="W525" s="894">
        <f t="shared" si="185"/>
        <v>229367.87</v>
      </c>
      <c r="X525" s="894">
        <f t="shared" si="185"/>
        <v>191731.96</v>
      </c>
      <c r="Y525" s="894">
        <f t="shared" si="185"/>
        <v>286876</v>
      </c>
      <c r="Z525" s="894">
        <f t="shared" si="185"/>
        <v>249850.03</v>
      </c>
      <c r="AA525" s="894">
        <f t="shared" si="185"/>
        <v>242343.45</v>
      </c>
      <c r="AB525" s="894">
        <f t="shared" si="185"/>
        <v>259504.72</v>
      </c>
      <c r="AC525" s="894">
        <f t="shared" si="185"/>
        <v>245712.69</v>
      </c>
      <c r="AD525" s="894">
        <f>ROUND(SUM(AD355:AD362)+SUM(AD366:AD373)+AD377+SUM(AD381:AD383)+SUM(AD396:AD400)+SUM(AD411:AD412)+AD431+SUM(AD435:AD438)+AD449+AD457+SUM(AD463:AD465)+SUM(AD471:AD472)+SUM(AD505:AD506)+SUM(AD512:AD514)+SUM(AD523:AD524),5)</f>
        <v>220065.69</v>
      </c>
      <c r="AE525" s="894">
        <f>ROUND(SUM(AE355:AE362)+SUM(AE366:AE373)+AE377+SUM(AE381:AE383)+SUM(AE396:AE400)+SUM(AE411:AE412)+AE431+SUM(AE435:AE438)+AE449+AE457+SUM(AE463:AE465)+SUM(AE471:AE472)+SUM(AE505:AE506)+SUM(AE512:AE514)+SUM(AE523:AE524),5)</f>
        <v>207747.18</v>
      </c>
      <c r="AF525" s="893">
        <f t="shared" ref="AF525" si="186">SUM(AF357:AF524)-SUM(AF523,AF512,AF505,AF503,AF493,AF483,AF471,AF463,AF457,AF449,AF435,AF431,AF411,AF396,AF381,AF377,AF388,AF366)</f>
        <v>217558.29000000015</v>
      </c>
      <c r="AG525" s="894">
        <f>ROUND(SUM(AG354:AG362)+SUM(AG366:AG373)+AG377+SUM(AG381:AG383)+SUM(AG396:AG400)+SUM(AG411:AG412)+AG431+SUM(AG435:AG438)+AG449+AG457+SUM(AG463:AG465)+SUM(AG471:AG472)+SUM(AG505:AG506)+SUM(AG512:AG514)+SUM(AG523:AG524),5)</f>
        <v>251970.81</v>
      </c>
      <c r="AH525" s="893">
        <f t="shared" ref="AH525:CA525" si="187">SUM(AH357:AH524)-SUM(AH523,AH512,AH505,AH503,AH493,AH483,AH471,AH463,AH457,AH449,AH435,AH431,AH411,AH396,AH381,AH377,AH388,AH366)</f>
        <v>0</v>
      </c>
      <c r="AI525" s="893">
        <f t="shared" si="187"/>
        <v>0</v>
      </c>
      <c r="AJ525" s="893">
        <f t="shared" si="187"/>
        <v>0</v>
      </c>
      <c r="AK525" s="893">
        <f t="shared" si="187"/>
        <v>0</v>
      </c>
      <c r="AL525" s="893">
        <f t="shared" si="187"/>
        <v>0</v>
      </c>
      <c r="AM525" s="893">
        <f t="shared" si="187"/>
        <v>0</v>
      </c>
      <c r="AN525" s="893">
        <f t="shared" si="187"/>
        <v>0</v>
      </c>
      <c r="AO525" s="893">
        <f t="shared" si="187"/>
        <v>0</v>
      </c>
      <c r="AP525" s="893">
        <f t="shared" si="187"/>
        <v>0</v>
      </c>
      <c r="AQ525" s="893">
        <f t="shared" si="187"/>
        <v>0</v>
      </c>
      <c r="AR525" s="893">
        <f t="shared" si="187"/>
        <v>0</v>
      </c>
      <c r="AS525" s="893">
        <f t="shared" si="187"/>
        <v>0</v>
      </c>
      <c r="AT525" s="893">
        <f t="shared" si="187"/>
        <v>0</v>
      </c>
      <c r="AU525" s="893">
        <f t="shared" si="187"/>
        <v>0</v>
      </c>
      <c r="AV525" s="893">
        <f t="shared" si="187"/>
        <v>0</v>
      </c>
      <c r="AW525" s="893">
        <f t="shared" si="187"/>
        <v>0</v>
      </c>
      <c r="AX525" s="893">
        <f t="shared" si="187"/>
        <v>0</v>
      </c>
      <c r="AY525" s="893">
        <f t="shared" si="187"/>
        <v>0</v>
      </c>
      <c r="AZ525" s="893">
        <f t="shared" si="187"/>
        <v>0</v>
      </c>
      <c r="BA525" s="893">
        <f t="shared" si="187"/>
        <v>0</v>
      </c>
      <c r="BB525" s="893">
        <f t="shared" si="187"/>
        <v>0</v>
      </c>
      <c r="BC525" s="893">
        <f t="shared" si="187"/>
        <v>0</v>
      </c>
      <c r="BD525" s="893">
        <f t="shared" si="187"/>
        <v>0</v>
      </c>
      <c r="BE525" s="893">
        <f t="shared" si="187"/>
        <v>0</v>
      </c>
      <c r="BF525" s="893">
        <f t="shared" si="187"/>
        <v>0</v>
      </c>
      <c r="BG525" s="893">
        <f t="shared" si="187"/>
        <v>0</v>
      </c>
      <c r="BH525" s="893">
        <f t="shared" si="187"/>
        <v>0</v>
      </c>
      <c r="BI525" s="893">
        <f t="shared" si="187"/>
        <v>0</v>
      </c>
      <c r="BJ525" s="893">
        <f t="shared" si="187"/>
        <v>0</v>
      </c>
      <c r="BK525" s="893">
        <f t="shared" si="187"/>
        <v>0</v>
      </c>
      <c r="BL525" s="893">
        <f t="shared" si="187"/>
        <v>0</v>
      </c>
      <c r="BM525" s="893">
        <f t="shared" si="187"/>
        <v>0</v>
      </c>
      <c r="BN525" s="893">
        <f t="shared" si="187"/>
        <v>0</v>
      </c>
      <c r="BO525" s="893">
        <f t="shared" si="187"/>
        <v>0</v>
      </c>
      <c r="BP525" s="893">
        <f t="shared" si="187"/>
        <v>0</v>
      </c>
      <c r="BQ525" s="893">
        <f t="shared" si="187"/>
        <v>0</v>
      </c>
      <c r="BR525" s="893">
        <f t="shared" si="187"/>
        <v>0</v>
      </c>
      <c r="BS525" s="893">
        <f t="shared" si="187"/>
        <v>0</v>
      </c>
      <c r="BT525" s="893">
        <f t="shared" si="187"/>
        <v>0</v>
      </c>
      <c r="BU525" s="893">
        <f t="shared" si="187"/>
        <v>0</v>
      </c>
      <c r="BV525" s="893">
        <f t="shared" si="187"/>
        <v>0</v>
      </c>
      <c r="BW525" s="893">
        <f t="shared" si="187"/>
        <v>0</v>
      </c>
      <c r="BX525" s="893">
        <f t="shared" si="187"/>
        <v>0</v>
      </c>
      <c r="BY525" s="893">
        <f t="shared" si="187"/>
        <v>0</v>
      </c>
      <c r="BZ525" s="893">
        <f t="shared" si="187"/>
        <v>0</v>
      </c>
      <c r="CA525" s="893">
        <f t="shared" si="187"/>
        <v>0</v>
      </c>
    </row>
    <row r="526" spans="1:79" ht="15.75" thickTop="1" x14ac:dyDescent="0.25">
      <c r="G526" s="723"/>
      <c r="H526" s="723"/>
      <c r="I526" s="723"/>
      <c r="J526" s="723"/>
      <c r="K526" s="723"/>
      <c r="L526" s="723"/>
      <c r="M526" s="723"/>
      <c r="N526" s="723"/>
      <c r="O526" s="723"/>
      <c r="P526" s="718"/>
      <c r="Q526" s="718"/>
      <c r="R526" s="718"/>
      <c r="S526" s="718"/>
      <c r="T526" s="718"/>
      <c r="U526" s="718"/>
      <c r="V526" s="718"/>
      <c r="W526" s="718"/>
      <c r="X526" s="718"/>
      <c r="Y526" s="718"/>
      <c r="Z526" s="718"/>
      <c r="AA526" s="718"/>
      <c r="AB526" s="718"/>
      <c r="AC526" s="718"/>
      <c r="AD526" s="718"/>
      <c r="AE526" s="718"/>
      <c r="AF526" s="718"/>
      <c r="AG526" s="718"/>
      <c r="AH526" s="718"/>
      <c r="AI526" s="718"/>
      <c r="AJ526" s="718"/>
      <c r="AK526" s="718"/>
      <c r="AL526" s="718"/>
      <c r="AM526" s="718"/>
      <c r="AN526" s="718"/>
      <c r="AO526" s="718"/>
      <c r="AP526" s="718"/>
      <c r="AQ526" s="718"/>
      <c r="AR526" s="718"/>
      <c r="AS526" s="718"/>
      <c r="AT526" s="718"/>
      <c r="AU526" s="718"/>
      <c r="AV526" s="718"/>
      <c r="AW526" s="718"/>
      <c r="AX526" s="718"/>
      <c r="AY526" s="718"/>
      <c r="AZ526" s="718"/>
      <c r="BA526" s="718"/>
      <c r="BB526" s="718"/>
      <c r="BC526" s="718"/>
      <c r="BD526" s="718"/>
      <c r="BE526" s="718"/>
      <c r="BF526" s="718"/>
      <c r="BG526" s="718"/>
      <c r="BH526" s="718"/>
      <c r="BI526" s="718"/>
      <c r="BJ526" s="718"/>
      <c r="BK526" s="718"/>
      <c r="BL526" s="718"/>
      <c r="BM526" s="718"/>
      <c r="BN526" s="718"/>
      <c r="BO526" s="718"/>
      <c r="BP526" s="718"/>
      <c r="BQ526" s="718"/>
      <c r="BR526" s="718"/>
      <c r="BS526" s="718"/>
      <c r="BT526" s="718"/>
      <c r="BU526" s="718"/>
      <c r="BV526" s="718"/>
      <c r="BW526" s="718"/>
      <c r="BX526" s="718"/>
      <c r="BY526" s="718"/>
      <c r="BZ526" s="718"/>
      <c r="CA526" s="718"/>
    </row>
    <row r="527" spans="1:79" x14ac:dyDescent="0.25">
      <c r="G527" s="723"/>
      <c r="H527" s="723"/>
      <c r="I527" s="723"/>
      <c r="J527" s="723"/>
      <c r="K527" s="723"/>
      <c r="L527" s="723"/>
      <c r="M527" s="723"/>
      <c r="N527" s="723"/>
      <c r="O527" s="723"/>
      <c r="P527" s="723"/>
      <c r="Q527" s="723"/>
      <c r="R527" s="723"/>
      <c r="S527" s="723"/>
      <c r="T527" s="723"/>
      <c r="U527" s="723"/>
      <c r="V527" s="723"/>
      <c r="W527" s="760"/>
      <c r="X527" s="760"/>
      <c r="Y527" s="760"/>
      <c r="Z527" s="723"/>
      <c r="AA527" s="723"/>
      <c r="AB527" s="723"/>
      <c r="AC527" s="723"/>
      <c r="AD527" s="723"/>
      <c r="AE527" s="723"/>
      <c r="AF527" s="723"/>
      <c r="AG527" s="723"/>
      <c r="AH527" s="723"/>
      <c r="AI527" s="723"/>
      <c r="AJ527" s="723"/>
      <c r="AK527" s="723"/>
      <c r="AL527" s="723"/>
      <c r="AM527" s="723"/>
      <c r="AN527" s="723"/>
      <c r="AO527" s="723"/>
      <c r="AP527" s="718"/>
      <c r="AQ527" s="718"/>
      <c r="AR527" s="718"/>
      <c r="AS527" s="718"/>
      <c r="AT527" s="718"/>
      <c r="AU527" s="718"/>
      <c r="AV527" s="718"/>
      <c r="AW527" s="718"/>
      <c r="AX527" s="718"/>
      <c r="AY527" s="718"/>
      <c r="AZ527" s="718"/>
      <c r="BA527" s="718"/>
      <c r="BB527" s="718"/>
      <c r="BC527" s="718"/>
      <c r="BD527" s="718"/>
      <c r="BE527" s="718"/>
      <c r="BF527" s="718"/>
      <c r="BG527" s="718"/>
      <c r="BH527" s="718"/>
      <c r="BI527" s="718"/>
      <c r="BJ527" s="718"/>
      <c r="BK527" s="718"/>
      <c r="BL527" s="718"/>
      <c r="BM527" s="718"/>
      <c r="BN527" s="718"/>
      <c r="BO527" s="718"/>
      <c r="BP527" s="718"/>
      <c r="BQ527" s="718"/>
      <c r="BR527" s="718"/>
      <c r="BS527" s="718"/>
      <c r="BT527" s="718"/>
      <c r="BU527" s="718"/>
      <c r="BV527" s="718"/>
      <c r="BW527" s="718"/>
      <c r="BX527" s="718"/>
      <c r="BY527" s="718"/>
      <c r="BZ527" s="718"/>
      <c r="CA527" s="718"/>
    </row>
    <row r="528" spans="1:79" s="859" customFormat="1" x14ac:dyDescent="0.25">
      <c r="A528" s="863"/>
      <c r="E528" s="1212"/>
      <c r="F528" s="1212" t="s">
        <v>3</v>
      </c>
      <c r="G528" s="864"/>
      <c r="H528" s="864"/>
      <c r="I528" s="864"/>
      <c r="J528" s="864"/>
      <c r="K528" s="864"/>
      <c r="L528" s="864"/>
      <c r="M528" s="864"/>
      <c r="N528" s="864"/>
      <c r="O528" s="864"/>
      <c r="P528" s="864"/>
      <c r="Q528" s="864"/>
      <c r="R528" s="864"/>
      <c r="S528" s="864"/>
      <c r="T528" s="864"/>
      <c r="U528" s="864"/>
      <c r="V528" s="864"/>
      <c r="W528" s="864"/>
      <c r="X528" s="864"/>
      <c r="Y528" s="864"/>
      <c r="Z528" s="864"/>
      <c r="AA528" s="864"/>
      <c r="AB528" s="864"/>
      <c r="AC528" s="864"/>
      <c r="AD528" s="864"/>
      <c r="AE528" s="864"/>
      <c r="AF528" s="864"/>
      <c r="AG528" s="863"/>
      <c r="AH528" s="864"/>
      <c r="AI528" s="864"/>
      <c r="AJ528" s="864"/>
      <c r="AK528" s="864"/>
      <c r="AL528" s="864"/>
      <c r="AM528" s="864"/>
      <c r="AN528" s="864"/>
      <c r="AO528" s="864"/>
      <c r="AP528" s="864"/>
      <c r="AQ528" s="864"/>
      <c r="AR528" s="864"/>
      <c r="AS528" s="864"/>
      <c r="AT528" s="864"/>
      <c r="AU528" s="864"/>
      <c r="AV528" s="864"/>
      <c r="AW528" s="864"/>
      <c r="AX528" s="864"/>
      <c r="AY528" s="864"/>
      <c r="AZ528" s="864"/>
      <c r="BA528" s="864"/>
      <c r="BB528" s="864"/>
      <c r="BC528" s="864"/>
      <c r="BD528" s="864"/>
      <c r="BE528" s="864"/>
      <c r="BF528" s="864"/>
      <c r="BG528" s="864"/>
      <c r="BH528" s="864"/>
      <c r="BI528" s="864"/>
      <c r="BJ528" s="864"/>
      <c r="BK528" s="864"/>
      <c r="BL528" s="864"/>
      <c r="BM528" s="864"/>
      <c r="BN528" s="864"/>
      <c r="BO528" s="864"/>
      <c r="BP528" s="864"/>
      <c r="BQ528" s="864"/>
      <c r="BR528" s="864"/>
      <c r="BS528" s="864"/>
      <c r="BT528" s="864"/>
      <c r="BU528" s="864"/>
      <c r="BV528" s="864"/>
      <c r="BW528" s="864"/>
      <c r="BX528" s="864"/>
      <c r="BY528" s="864"/>
      <c r="BZ528" s="864"/>
      <c r="CA528" s="864"/>
    </row>
    <row r="529" spans="1:79" hidden="1" outlineLevel="1" x14ac:dyDescent="0.25">
      <c r="A529" s="654"/>
      <c r="B529" s="223"/>
      <c r="C529" s="223"/>
      <c r="D529" s="223"/>
      <c r="E529" s="40" t="s">
        <v>1323</v>
      </c>
      <c r="F529" s="1213" t="s">
        <v>1320</v>
      </c>
      <c r="G529" s="1214"/>
      <c r="H529" s="1214"/>
      <c r="I529" s="1214"/>
      <c r="J529" s="1214"/>
      <c r="K529" s="1214"/>
      <c r="L529" s="1214"/>
      <c r="M529" s="1214"/>
      <c r="N529" s="1214"/>
      <c r="O529" s="1214"/>
      <c r="P529" s="1214"/>
      <c r="Q529" s="1214"/>
      <c r="R529" s="1214"/>
      <c r="S529" s="1214"/>
      <c r="T529" s="1214"/>
      <c r="U529" s="1214"/>
      <c r="V529" s="1214"/>
      <c r="W529" s="1214"/>
      <c r="X529" s="1214"/>
      <c r="Y529" s="1214"/>
      <c r="Z529" s="1214"/>
      <c r="AA529" s="1214"/>
      <c r="AB529" s="1214"/>
      <c r="AC529" s="1214"/>
      <c r="AD529" s="1214"/>
      <c r="AE529" s="1214">
        <v>0</v>
      </c>
      <c r="AF529" s="663">
        <v>0</v>
      </c>
      <c r="AG529" s="663">
        <v>0</v>
      </c>
      <c r="AH529" s="663"/>
      <c r="AI529" s="663"/>
      <c r="AJ529" s="663"/>
      <c r="AK529" s="663"/>
      <c r="AL529" s="663"/>
      <c r="AM529" s="663"/>
      <c r="AN529" s="663"/>
      <c r="AO529" s="663"/>
      <c r="AP529" s="663"/>
      <c r="AQ529" s="663"/>
      <c r="AR529" s="663"/>
      <c r="AS529" s="663"/>
      <c r="AT529" s="663"/>
      <c r="AU529" s="663"/>
      <c r="AV529" s="663"/>
      <c r="AW529" s="663"/>
      <c r="AX529" s="663"/>
      <c r="AY529" s="663"/>
      <c r="AZ529" s="663"/>
      <c r="BA529" s="663"/>
      <c r="BB529" s="663"/>
      <c r="BC529" s="663"/>
      <c r="BD529" s="663"/>
      <c r="BE529" s="663"/>
      <c r="BF529" s="663"/>
      <c r="BG529" s="663"/>
      <c r="BH529" s="663"/>
      <c r="BI529" s="663"/>
      <c r="BJ529" s="663"/>
      <c r="BK529" s="663"/>
      <c r="BL529" s="663"/>
      <c r="BM529" s="663"/>
      <c r="BN529" s="663"/>
      <c r="BO529" s="663"/>
      <c r="BP529" s="663"/>
      <c r="BQ529" s="663"/>
      <c r="BR529" s="663"/>
      <c r="BS529" s="663"/>
      <c r="BT529" s="663"/>
      <c r="BU529" s="663"/>
      <c r="BV529" s="663"/>
      <c r="BW529" s="663"/>
      <c r="BX529" s="663"/>
      <c r="BY529" s="663"/>
      <c r="BZ529" s="663"/>
      <c r="CA529" s="663"/>
    </row>
    <row r="530" spans="1:79" hidden="1" outlineLevel="1" x14ac:dyDescent="0.25">
      <c r="A530" s="654"/>
      <c r="B530" s="223"/>
      <c r="C530" s="223"/>
      <c r="D530" s="223"/>
      <c r="E530" s="40" t="s">
        <v>1324</v>
      </c>
      <c r="F530" s="1213" t="s">
        <v>1321</v>
      </c>
      <c r="G530" s="1214"/>
      <c r="H530" s="1214"/>
      <c r="I530" s="1214"/>
      <c r="J530" s="1214"/>
      <c r="K530" s="1214"/>
      <c r="L530" s="1214"/>
      <c r="M530" s="1214"/>
      <c r="N530" s="1214"/>
      <c r="O530" s="1214"/>
      <c r="P530" s="1214"/>
      <c r="Q530" s="1214"/>
      <c r="R530" s="1214"/>
      <c r="S530" s="1214"/>
      <c r="T530" s="1214"/>
      <c r="U530" s="1214"/>
      <c r="V530" s="1214"/>
      <c r="W530" s="1214"/>
      <c r="X530" s="1214"/>
      <c r="Y530" s="1214"/>
      <c r="Z530" s="1214"/>
      <c r="AA530" s="1214"/>
      <c r="AB530" s="1214"/>
      <c r="AC530" s="1214"/>
      <c r="AD530" s="1214"/>
      <c r="AE530" s="1214">
        <v>0</v>
      </c>
      <c r="AF530" s="663">
        <v>0</v>
      </c>
      <c r="AG530" s="663">
        <v>0</v>
      </c>
      <c r="AH530" s="663"/>
      <c r="AI530" s="663"/>
      <c r="AJ530" s="663"/>
      <c r="AK530" s="663"/>
      <c r="AL530" s="663"/>
      <c r="AM530" s="663"/>
      <c r="AN530" s="663"/>
      <c r="AO530" s="663"/>
      <c r="AP530" s="663"/>
      <c r="AQ530" s="663"/>
      <c r="AR530" s="663"/>
      <c r="AS530" s="663"/>
      <c r="AT530" s="663"/>
      <c r="AU530" s="663"/>
      <c r="AV530" s="663"/>
      <c r="AW530" s="663"/>
      <c r="AX530" s="663"/>
      <c r="AY530" s="663"/>
      <c r="AZ530" s="663"/>
      <c r="BA530" s="663"/>
      <c r="BB530" s="663"/>
      <c r="BC530" s="663"/>
      <c r="BD530" s="663"/>
      <c r="BE530" s="663"/>
      <c r="BF530" s="663"/>
      <c r="BG530" s="663"/>
      <c r="BH530" s="663"/>
      <c r="BI530" s="663"/>
      <c r="BJ530" s="663"/>
      <c r="BK530" s="663"/>
      <c r="BL530" s="663"/>
      <c r="BM530" s="663"/>
      <c r="BN530" s="663"/>
      <c r="BO530" s="663"/>
      <c r="BP530" s="663"/>
      <c r="BQ530" s="663"/>
      <c r="BR530" s="663"/>
      <c r="BS530" s="663"/>
      <c r="BT530" s="663"/>
      <c r="BU530" s="663"/>
      <c r="BV530" s="663"/>
      <c r="BW530" s="663"/>
      <c r="BX530" s="663"/>
      <c r="BY530" s="663"/>
      <c r="BZ530" s="663"/>
      <c r="CA530" s="663"/>
    </row>
    <row r="531" spans="1:79" hidden="1" outlineLevel="1" x14ac:dyDescent="0.25">
      <c r="A531" s="654"/>
      <c r="B531" s="223"/>
      <c r="C531" s="223"/>
      <c r="D531" s="223"/>
      <c r="E531" s="40" t="s">
        <v>1325</v>
      </c>
      <c r="F531" s="1213" t="s">
        <v>696</v>
      </c>
      <c r="G531" s="1214"/>
      <c r="H531" s="1214"/>
      <c r="I531" s="1214"/>
      <c r="J531" s="1214"/>
      <c r="K531" s="1214"/>
      <c r="L531" s="1214"/>
      <c r="M531" s="1214"/>
      <c r="N531" s="1214"/>
      <c r="O531" s="1214"/>
      <c r="P531" s="1214"/>
      <c r="Q531" s="1214"/>
      <c r="R531" s="1214"/>
      <c r="S531" s="1214">
        <v>0</v>
      </c>
      <c r="T531" s="1214">
        <v>0</v>
      </c>
      <c r="U531" s="1214">
        <v>0</v>
      </c>
      <c r="V531" s="1214">
        <v>0</v>
      </c>
      <c r="W531" s="1214">
        <v>0</v>
      </c>
      <c r="X531" s="1214">
        <v>0</v>
      </c>
      <c r="Y531" s="1214">
        <v>0</v>
      </c>
      <c r="Z531" s="1214">
        <v>0</v>
      </c>
      <c r="AA531" s="1214">
        <v>0</v>
      </c>
      <c r="AB531" s="1214">
        <v>0</v>
      </c>
      <c r="AC531" s="1214">
        <v>0</v>
      </c>
      <c r="AD531" s="1214">
        <v>0</v>
      </c>
      <c r="AE531" s="1214">
        <v>0</v>
      </c>
      <c r="AF531" s="663">
        <v>0</v>
      </c>
      <c r="AG531" s="663">
        <v>0</v>
      </c>
      <c r="AH531" s="663"/>
      <c r="AI531" s="663"/>
      <c r="AJ531" s="663"/>
      <c r="AK531" s="663"/>
      <c r="AL531" s="663"/>
      <c r="AM531" s="663"/>
      <c r="AN531" s="663"/>
      <c r="AO531" s="663"/>
      <c r="AP531" s="663"/>
      <c r="AQ531" s="663"/>
      <c r="AR531" s="663"/>
      <c r="AS531" s="663"/>
      <c r="AT531" s="663"/>
      <c r="AU531" s="663"/>
      <c r="AV531" s="663"/>
      <c r="AW531" s="663"/>
      <c r="AX531" s="663"/>
      <c r="AY531" s="663"/>
      <c r="AZ531" s="663"/>
      <c r="BA531" s="663"/>
      <c r="BB531" s="663"/>
      <c r="BC531" s="663"/>
      <c r="BD531" s="663"/>
      <c r="BE531" s="663"/>
      <c r="BF531" s="663"/>
      <c r="BG531" s="663"/>
      <c r="BH531" s="663"/>
      <c r="BI531" s="663"/>
      <c r="BJ531" s="663"/>
      <c r="BK531" s="663"/>
      <c r="BL531" s="663"/>
      <c r="BM531" s="663"/>
      <c r="BN531" s="663"/>
      <c r="BO531" s="663"/>
      <c r="BP531" s="663"/>
      <c r="BQ531" s="663"/>
      <c r="BR531" s="663"/>
      <c r="BS531" s="663"/>
      <c r="BT531" s="663"/>
      <c r="BU531" s="663"/>
      <c r="BV531" s="663"/>
      <c r="BW531" s="663"/>
      <c r="BX531" s="663"/>
      <c r="BY531" s="663"/>
      <c r="BZ531" s="663"/>
      <c r="CA531" s="663"/>
    </row>
    <row r="532" spans="1:79" hidden="1" outlineLevel="1" x14ac:dyDescent="0.25">
      <c r="A532" s="655"/>
      <c r="B532" s="223"/>
      <c r="C532" s="223"/>
      <c r="D532" s="223"/>
      <c r="E532" s="40" t="s">
        <v>1326</v>
      </c>
      <c r="F532" s="1215" t="s">
        <v>850</v>
      </c>
      <c r="G532" s="1214"/>
      <c r="H532" s="1214"/>
      <c r="I532" s="1214"/>
      <c r="J532" s="1214"/>
      <c r="K532" s="1214"/>
      <c r="L532" s="1214"/>
      <c r="M532" s="1214"/>
      <c r="N532" s="1214"/>
      <c r="O532" s="1214"/>
      <c r="P532" s="1214"/>
      <c r="Q532" s="1214"/>
      <c r="R532" s="1214"/>
      <c r="S532" s="1214">
        <v>0</v>
      </c>
      <c r="T532" s="1214">
        <v>0</v>
      </c>
      <c r="U532" s="1214">
        <v>0</v>
      </c>
      <c r="V532" s="1214">
        <v>0</v>
      </c>
      <c r="W532" s="1214">
        <v>0</v>
      </c>
      <c r="X532" s="1214">
        <v>0</v>
      </c>
      <c r="Y532" s="1214">
        <v>0</v>
      </c>
      <c r="Z532" s="1214">
        <v>0</v>
      </c>
      <c r="AA532" s="1214">
        <v>0</v>
      </c>
      <c r="AB532" s="1214">
        <v>0</v>
      </c>
      <c r="AC532" s="1214">
        <v>0</v>
      </c>
      <c r="AD532" s="1214">
        <v>0</v>
      </c>
      <c r="AE532" s="1214">
        <v>0</v>
      </c>
      <c r="AF532" s="663">
        <v>0</v>
      </c>
      <c r="AG532" s="663">
        <v>0</v>
      </c>
      <c r="AH532" s="663"/>
      <c r="AI532" s="663"/>
      <c r="AJ532" s="663"/>
      <c r="AK532" s="663"/>
      <c r="AL532" s="663"/>
      <c r="AM532" s="663"/>
      <c r="AN532" s="663"/>
      <c r="AO532" s="663"/>
      <c r="AP532" s="663"/>
      <c r="AQ532" s="663"/>
      <c r="AR532" s="663"/>
      <c r="AS532" s="663"/>
      <c r="AT532" s="663"/>
      <c r="AU532" s="663"/>
      <c r="AV532" s="663"/>
      <c r="AW532" s="663"/>
      <c r="AX532" s="663"/>
      <c r="AY532" s="663"/>
      <c r="AZ532" s="663"/>
      <c r="BA532" s="663"/>
      <c r="BB532" s="663"/>
      <c r="BC532" s="663"/>
      <c r="BD532" s="663"/>
      <c r="BE532" s="663"/>
      <c r="BF532" s="663"/>
      <c r="BG532" s="663"/>
      <c r="BH532" s="663"/>
      <c r="BI532" s="663"/>
      <c r="BJ532" s="663"/>
      <c r="BK532" s="663"/>
      <c r="BL532" s="663"/>
      <c r="BM532" s="663"/>
      <c r="BN532" s="663"/>
      <c r="BO532" s="663"/>
      <c r="BP532" s="663"/>
      <c r="BQ532" s="663"/>
      <c r="BR532" s="663"/>
      <c r="BS532" s="663"/>
      <c r="BT532" s="663"/>
      <c r="BU532" s="663"/>
      <c r="BV532" s="663"/>
      <c r="BW532" s="663"/>
      <c r="BX532" s="663"/>
      <c r="BY532" s="663"/>
      <c r="BZ532" s="663"/>
      <c r="CA532" s="663"/>
    </row>
    <row r="533" spans="1:79" hidden="1" outlineLevel="1" x14ac:dyDescent="0.25">
      <c r="A533" s="655"/>
      <c r="B533" s="223"/>
      <c r="C533" s="223"/>
      <c r="D533" s="223"/>
      <c r="E533" s="40" t="s">
        <v>851</v>
      </c>
      <c r="F533" s="1215" t="s">
        <v>851</v>
      </c>
      <c r="G533" s="1214"/>
      <c r="H533" s="1214"/>
      <c r="I533" s="1214"/>
      <c r="J533" s="1214"/>
      <c r="K533" s="1214"/>
      <c r="L533" s="1214"/>
      <c r="M533" s="1214"/>
      <c r="N533" s="1214"/>
      <c r="O533" s="1214"/>
      <c r="P533" s="1214"/>
      <c r="Q533" s="1214"/>
      <c r="R533" s="1214"/>
      <c r="S533" s="1214">
        <v>0</v>
      </c>
      <c r="T533" s="1214">
        <v>0</v>
      </c>
      <c r="U533" s="1214">
        <v>0</v>
      </c>
      <c r="V533" s="1214">
        <v>0</v>
      </c>
      <c r="W533" s="1214">
        <v>0</v>
      </c>
      <c r="X533" s="1214">
        <v>0</v>
      </c>
      <c r="Y533" s="1214">
        <v>0</v>
      </c>
      <c r="Z533" s="1214">
        <v>0</v>
      </c>
      <c r="AA533" s="1214">
        <v>0</v>
      </c>
      <c r="AB533" s="1214">
        <v>0</v>
      </c>
      <c r="AC533" s="1214">
        <v>0</v>
      </c>
      <c r="AD533" s="1214">
        <v>0</v>
      </c>
      <c r="AE533" s="1214">
        <v>0</v>
      </c>
      <c r="AF533" s="663">
        <v>0</v>
      </c>
      <c r="AG533" s="663">
        <v>0</v>
      </c>
      <c r="AH533" s="663"/>
      <c r="AI533" s="663"/>
      <c r="AJ533" s="663"/>
      <c r="AK533" s="663"/>
      <c r="AL533" s="663"/>
      <c r="AM533" s="663"/>
      <c r="AN533" s="663"/>
      <c r="AO533" s="663"/>
      <c r="AP533" s="663"/>
      <c r="AQ533" s="663"/>
      <c r="AR533" s="663"/>
      <c r="AS533" s="663"/>
      <c r="AT533" s="663"/>
      <c r="AU533" s="663"/>
      <c r="AV533" s="663"/>
      <c r="AW533" s="663"/>
      <c r="AX533" s="663"/>
      <c r="AY533" s="663"/>
      <c r="AZ533" s="663"/>
      <c r="BA533" s="663"/>
      <c r="BB533" s="663"/>
      <c r="BC533" s="663"/>
      <c r="BD533" s="663"/>
      <c r="BE533" s="663"/>
      <c r="BF533" s="663"/>
      <c r="BG533" s="663"/>
      <c r="BH533" s="663"/>
      <c r="BI533" s="663"/>
      <c r="BJ533" s="663"/>
      <c r="BK533" s="663"/>
      <c r="BL533" s="663"/>
      <c r="BM533" s="663"/>
      <c r="BN533" s="663"/>
      <c r="BO533" s="663"/>
      <c r="BP533" s="663"/>
      <c r="BQ533" s="663"/>
      <c r="BR533" s="663"/>
      <c r="BS533" s="663"/>
      <c r="BT533" s="663"/>
      <c r="BU533" s="663"/>
      <c r="BV533" s="663"/>
      <c r="BW533" s="663"/>
      <c r="BX533" s="663"/>
      <c r="BY533" s="663"/>
      <c r="BZ533" s="663"/>
      <c r="CA533" s="663"/>
    </row>
    <row r="534" spans="1:79" hidden="1" outlineLevel="1" x14ac:dyDescent="0.25">
      <c r="A534" s="655"/>
      <c r="B534" s="223"/>
      <c r="C534" s="223"/>
      <c r="D534" s="223"/>
      <c r="E534" s="40" t="s">
        <v>852</v>
      </c>
      <c r="F534" s="1215" t="s">
        <v>852</v>
      </c>
      <c r="G534" s="1214"/>
      <c r="H534" s="1214"/>
      <c r="I534" s="1214"/>
      <c r="J534" s="1214"/>
      <c r="K534" s="1214"/>
      <c r="L534" s="1214"/>
      <c r="M534" s="1214"/>
      <c r="N534" s="1214"/>
      <c r="O534" s="1214"/>
      <c r="P534" s="1214"/>
      <c r="Q534" s="1214"/>
      <c r="R534" s="1214"/>
      <c r="S534" s="1214">
        <v>0</v>
      </c>
      <c r="T534" s="1214">
        <v>0</v>
      </c>
      <c r="U534" s="1214">
        <v>0</v>
      </c>
      <c r="V534" s="1214">
        <v>0</v>
      </c>
      <c r="W534" s="1214">
        <v>0</v>
      </c>
      <c r="X534" s="1214">
        <v>0</v>
      </c>
      <c r="Y534" s="1214">
        <v>0</v>
      </c>
      <c r="Z534" s="1214">
        <v>0</v>
      </c>
      <c r="AA534" s="1214">
        <v>0</v>
      </c>
      <c r="AB534" s="1214">
        <v>0</v>
      </c>
      <c r="AC534" s="1214">
        <v>0</v>
      </c>
      <c r="AD534" s="1214">
        <v>0</v>
      </c>
      <c r="AE534" s="1214">
        <v>0</v>
      </c>
      <c r="AF534" s="663">
        <v>0</v>
      </c>
      <c r="AG534" s="663">
        <v>0</v>
      </c>
      <c r="AH534" s="663"/>
      <c r="AI534" s="663"/>
      <c r="AJ534" s="663"/>
      <c r="AK534" s="663"/>
      <c r="AL534" s="663"/>
      <c r="AM534" s="663"/>
      <c r="AN534" s="663"/>
      <c r="AO534" s="663"/>
      <c r="AP534" s="663"/>
      <c r="AQ534" s="663"/>
      <c r="AR534" s="663"/>
      <c r="AS534" s="663"/>
      <c r="AT534" s="663"/>
      <c r="AU534" s="663"/>
      <c r="AV534" s="663"/>
      <c r="AW534" s="663"/>
      <c r="AX534" s="663"/>
      <c r="AY534" s="663"/>
      <c r="AZ534" s="663"/>
      <c r="BA534" s="663"/>
      <c r="BB534" s="663"/>
      <c r="BC534" s="663"/>
      <c r="BD534" s="663"/>
      <c r="BE534" s="663"/>
      <c r="BF534" s="663"/>
      <c r="BG534" s="663"/>
      <c r="BH534" s="663"/>
      <c r="BI534" s="663"/>
      <c r="BJ534" s="663"/>
      <c r="BK534" s="663"/>
      <c r="BL534" s="663"/>
      <c r="BM534" s="663"/>
      <c r="BN534" s="663"/>
      <c r="BO534" s="663"/>
      <c r="BP534" s="663"/>
      <c r="BQ534" s="663"/>
      <c r="BR534" s="663"/>
      <c r="BS534" s="663"/>
      <c r="BT534" s="663"/>
      <c r="BU534" s="663"/>
      <c r="BV534" s="663"/>
      <c r="BW534" s="663"/>
      <c r="BX534" s="663"/>
      <c r="BY534" s="663"/>
      <c r="BZ534" s="663"/>
      <c r="CA534" s="663"/>
    </row>
    <row r="535" spans="1:79" hidden="1" outlineLevel="1" x14ac:dyDescent="0.25">
      <c r="A535" s="655"/>
      <c r="B535" s="223"/>
      <c r="C535" s="223"/>
      <c r="D535" s="223"/>
      <c r="E535" s="40" t="s">
        <v>697</v>
      </c>
      <c r="F535" s="1215" t="s">
        <v>697</v>
      </c>
      <c r="G535" s="1214"/>
      <c r="H535" s="1214"/>
      <c r="I535" s="1214"/>
      <c r="J535" s="1214"/>
      <c r="K535" s="1214"/>
      <c r="L535" s="1214"/>
      <c r="M535" s="1214"/>
      <c r="N535" s="1214"/>
      <c r="O535" s="1214"/>
      <c r="P535" s="1214"/>
      <c r="Q535" s="1214"/>
      <c r="R535" s="1214"/>
      <c r="S535" s="1214">
        <v>0</v>
      </c>
      <c r="T535" s="1214">
        <v>0</v>
      </c>
      <c r="U535" s="1214">
        <v>0</v>
      </c>
      <c r="V535" s="1214">
        <v>0</v>
      </c>
      <c r="W535" s="1214">
        <v>0</v>
      </c>
      <c r="X535" s="1214">
        <v>0</v>
      </c>
      <c r="Y535" s="1214">
        <v>0</v>
      </c>
      <c r="Z535" s="1214">
        <v>0</v>
      </c>
      <c r="AA535" s="1214">
        <v>0</v>
      </c>
      <c r="AB535" s="1214">
        <v>0</v>
      </c>
      <c r="AC535" s="1214">
        <v>0</v>
      </c>
      <c r="AD535" s="1214">
        <v>0</v>
      </c>
      <c r="AE535" s="1214">
        <v>0</v>
      </c>
      <c r="AF535" s="663">
        <v>0</v>
      </c>
      <c r="AG535" s="663">
        <v>0</v>
      </c>
      <c r="AH535" s="663"/>
      <c r="AI535" s="663"/>
      <c r="AJ535" s="663"/>
      <c r="AK535" s="663"/>
      <c r="AL535" s="663"/>
      <c r="AM535" s="663"/>
      <c r="AN535" s="663"/>
      <c r="AO535" s="663"/>
      <c r="AP535" s="663"/>
      <c r="AQ535" s="663"/>
      <c r="AR535" s="663"/>
      <c r="AS535" s="663"/>
      <c r="AT535" s="663"/>
      <c r="AU535" s="663"/>
      <c r="AV535" s="663"/>
      <c r="AW535" s="663"/>
      <c r="AX535" s="663"/>
      <c r="AY535" s="663"/>
      <c r="AZ535" s="663"/>
      <c r="BA535" s="663"/>
      <c r="BB535" s="663"/>
      <c r="BC535" s="663"/>
      <c r="BD535" s="663"/>
      <c r="BE535" s="663"/>
      <c r="BF535" s="663"/>
      <c r="BG535" s="663"/>
      <c r="BH535" s="663"/>
      <c r="BI535" s="663"/>
      <c r="BJ535" s="663"/>
      <c r="BK535" s="663"/>
      <c r="BL535" s="663"/>
      <c r="BM535" s="663"/>
      <c r="BN535" s="663"/>
      <c r="BO535" s="663"/>
      <c r="BP535" s="663"/>
      <c r="BQ535" s="663"/>
      <c r="BR535" s="663"/>
      <c r="BS535" s="663"/>
      <c r="BT535" s="663"/>
      <c r="BU535" s="663"/>
      <c r="BV535" s="663"/>
      <c r="BW535" s="663"/>
      <c r="BX535" s="663"/>
      <c r="BY535" s="663"/>
      <c r="BZ535" s="663"/>
      <c r="CA535" s="663"/>
    </row>
    <row r="536" spans="1:79" hidden="1" outlineLevel="1" x14ac:dyDescent="0.25">
      <c r="A536" s="655"/>
      <c r="B536" s="223"/>
      <c r="C536" s="223"/>
      <c r="D536" s="223"/>
      <c r="E536" s="40" t="s">
        <v>1325</v>
      </c>
      <c r="F536" s="1215" t="s">
        <v>853</v>
      </c>
      <c r="G536" s="1214"/>
      <c r="H536" s="1214"/>
      <c r="I536" s="1214"/>
      <c r="J536" s="1214"/>
      <c r="K536" s="1214"/>
      <c r="L536" s="1214"/>
      <c r="M536" s="1214"/>
      <c r="N536" s="1214"/>
      <c r="O536" s="1214"/>
      <c r="P536" s="1214"/>
      <c r="Q536" s="1214"/>
      <c r="R536" s="1214"/>
      <c r="S536" s="1214">
        <v>0</v>
      </c>
      <c r="T536" s="1214">
        <v>0</v>
      </c>
      <c r="U536" s="1214">
        <v>0</v>
      </c>
      <c r="V536" s="1214">
        <v>0</v>
      </c>
      <c r="W536" s="1214">
        <v>0</v>
      </c>
      <c r="X536" s="1214">
        <v>0</v>
      </c>
      <c r="Y536" s="1214">
        <v>0</v>
      </c>
      <c r="Z536" s="1214">
        <v>0</v>
      </c>
      <c r="AA536" s="1214">
        <v>0</v>
      </c>
      <c r="AB536" s="1214">
        <v>0</v>
      </c>
      <c r="AC536" s="1214">
        <v>0</v>
      </c>
      <c r="AD536" s="1214">
        <v>0</v>
      </c>
      <c r="AE536" s="1214">
        <v>0</v>
      </c>
      <c r="AF536" s="663">
        <v>0</v>
      </c>
      <c r="AG536" s="663">
        <v>0</v>
      </c>
      <c r="AH536" s="663"/>
      <c r="AI536" s="663"/>
      <c r="AJ536" s="663"/>
      <c r="AK536" s="663"/>
      <c r="AL536" s="663"/>
      <c r="AM536" s="663"/>
      <c r="AN536" s="663"/>
      <c r="AO536" s="663"/>
      <c r="AP536" s="663"/>
      <c r="AQ536" s="663"/>
      <c r="AR536" s="663"/>
      <c r="AS536" s="663"/>
      <c r="AT536" s="663"/>
      <c r="AU536" s="663"/>
      <c r="AV536" s="663"/>
      <c r="AW536" s="663"/>
      <c r="AX536" s="663"/>
      <c r="AY536" s="663"/>
      <c r="AZ536" s="663"/>
      <c r="BA536" s="663"/>
      <c r="BB536" s="663"/>
      <c r="BC536" s="663"/>
      <c r="BD536" s="663"/>
      <c r="BE536" s="663"/>
      <c r="BF536" s="663"/>
      <c r="BG536" s="663"/>
      <c r="BH536" s="663"/>
      <c r="BI536" s="663"/>
      <c r="BJ536" s="663"/>
      <c r="BK536" s="663"/>
      <c r="BL536" s="663"/>
      <c r="BM536" s="663"/>
      <c r="BN536" s="663"/>
      <c r="BO536" s="663"/>
      <c r="BP536" s="663"/>
      <c r="BQ536" s="663"/>
      <c r="BR536" s="663"/>
      <c r="BS536" s="663"/>
      <c r="BT536" s="663"/>
      <c r="BU536" s="663"/>
      <c r="BV536" s="663"/>
      <c r="BW536" s="663"/>
      <c r="BX536" s="663"/>
      <c r="BY536" s="663"/>
      <c r="BZ536" s="663"/>
      <c r="CA536" s="663"/>
    </row>
    <row r="537" spans="1:79" hidden="1" outlineLevel="1" x14ac:dyDescent="0.25">
      <c r="A537" s="691"/>
      <c r="B537" s="693"/>
      <c r="C537" s="693"/>
      <c r="D537" s="693"/>
      <c r="E537" s="40" t="s">
        <v>657</v>
      </c>
      <c r="F537" s="1216" t="s">
        <v>657</v>
      </c>
      <c r="G537" s="1217"/>
      <c r="H537" s="1217"/>
      <c r="I537" s="1217"/>
      <c r="J537" s="1217"/>
      <c r="K537" s="1217"/>
      <c r="L537" s="1217"/>
      <c r="M537" s="1217"/>
      <c r="N537" s="1217"/>
      <c r="O537" s="1217"/>
      <c r="P537" s="1217"/>
      <c r="Q537" s="1217"/>
      <c r="R537" s="1217"/>
      <c r="S537" s="1217"/>
      <c r="T537" s="1217"/>
      <c r="U537" s="1217"/>
      <c r="V537" s="1217"/>
      <c r="W537" s="1217"/>
      <c r="X537" s="1217"/>
      <c r="Y537" s="1217"/>
      <c r="Z537" s="1217"/>
      <c r="AA537" s="1217"/>
      <c r="AB537" s="1217"/>
      <c r="AC537" s="1217"/>
      <c r="AD537" s="1217"/>
      <c r="AE537" s="1217"/>
      <c r="AF537" s="692"/>
      <c r="AG537" s="692"/>
      <c r="AH537" s="692"/>
      <c r="AI537" s="692"/>
      <c r="AJ537" s="692"/>
      <c r="AK537" s="692"/>
      <c r="AL537" s="692"/>
      <c r="AM537" s="692"/>
      <c r="AN537" s="692"/>
      <c r="AO537" s="692"/>
      <c r="AP537" s="692"/>
      <c r="AQ537" s="692"/>
      <c r="AR537" s="692"/>
      <c r="AS537" s="692"/>
      <c r="AT537" s="692"/>
      <c r="AU537" s="692"/>
      <c r="AV537" s="692"/>
      <c r="AW537" s="692"/>
      <c r="AX537" s="692"/>
      <c r="AY537" s="692"/>
      <c r="AZ537" s="692"/>
      <c r="BA537" s="692"/>
      <c r="BB537" s="692"/>
      <c r="BC537" s="692"/>
      <c r="BD537" s="692"/>
      <c r="BE537" s="692"/>
      <c r="BF537" s="692"/>
      <c r="BG537" s="692"/>
      <c r="BH537" s="692"/>
      <c r="BI537" s="692"/>
      <c r="BJ537" s="692"/>
      <c r="BK537" s="692"/>
      <c r="BL537" s="692"/>
      <c r="BM537" s="692"/>
      <c r="BN537" s="692"/>
      <c r="BO537" s="692"/>
      <c r="BP537" s="692"/>
      <c r="BQ537" s="692"/>
      <c r="BR537" s="692"/>
      <c r="BS537" s="692"/>
      <c r="BT537" s="692"/>
      <c r="BU537" s="692"/>
      <c r="BV537" s="692"/>
      <c r="BW537" s="692"/>
      <c r="BX537" s="692"/>
      <c r="BY537" s="692"/>
      <c r="BZ537" s="692"/>
      <c r="CA537" s="692"/>
    </row>
    <row r="538" spans="1:79" hidden="1" outlineLevel="1" x14ac:dyDescent="0.25">
      <c r="A538" s="656"/>
      <c r="B538" s="223"/>
      <c r="C538" s="223"/>
      <c r="D538" s="223"/>
      <c r="E538" s="40" t="s">
        <v>657</v>
      </c>
      <c r="F538" s="656" t="s">
        <v>658</v>
      </c>
      <c r="G538" s="1214"/>
      <c r="H538" s="1214"/>
      <c r="I538" s="1214"/>
      <c r="J538" s="1214"/>
      <c r="K538" s="1214"/>
      <c r="L538" s="1214"/>
      <c r="M538" s="1214"/>
      <c r="N538" s="1214"/>
      <c r="O538" s="1214"/>
      <c r="P538" s="1214"/>
      <c r="Q538" s="1214"/>
      <c r="R538" s="1214"/>
      <c r="S538" s="1214">
        <v>0</v>
      </c>
      <c r="T538" s="1214">
        <v>0</v>
      </c>
      <c r="U538" s="1214">
        <v>0</v>
      </c>
      <c r="V538" s="1214">
        <v>0</v>
      </c>
      <c r="W538" s="1214">
        <v>0</v>
      </c>
      <c r="X538" s="1214">
        <v>0</v>
      </c>
      <c r="Y538" s="1214">
        <v>0</v>
      </c>
      <c r="Z538" s="1214">
        <v>0</v>
      </c>
      <c r="AA538" s="1214">
        <v>0</v>
      </c>
      <c r="AB538" s="1214">
        <v>0</v>
      </c>
      <c r="AC538" s="1214">
        <v>0</v>
      </c>
      <c r="AD538" s="1214">
        <v>0</v>
      </c>
      <c r="AE538" s="1214">
        <v>0</v>
      </c>
      <c r="AF538" s="663">
        <v>0</v>
      </c>
      <c r="AG538" s="663">
        <v>0</v>
      </c>
      <c r="AH538" s="663"/>
      <c r="AI538" s="663"/>
      <c r="AJ538" s="663"/>
      <c r="AK538" s="663"/>
      <c r="AL538" s="663"/>
      <c r="AM538" s="663"/>
      <c r="AN538" s="663"/>
      <c r="AO538" s="663"/>
      <c r="AP538" s="663"/>
      <c r="AQ538" s="663"/>
      <c r="AR538" s="663"/>
      <c r="AS538" s="663"/>
      <c r="AT538" s="663"/>
      <c r="AU538" s="663"/>
      <c r="AV538" s="663"/>
      <c r="AW538" s="663"/>
      <c r="AX538" s="663"/>
      <c r="AY538" s="663"/>
      <c r="AZ538" s="663"/>
      <c r="BA538" s="663"/>
      <c r="BB538" s="663"/>
      <c r="BC538" s="663"/>
      <c r="BD538" s="663"/>
      <c r="BE538" s="663"/>
      <c r="BF538" s="663"/>
      <c r="BG538" s="663"/>
      <c r="BH538" s="663"/>
      <c r="BI538" s="663"/>
      <c r="BJ538" s="663"/>
      <c r="BK538" s="663"/>
      <c r="BL538" s="663"/>
      <c r="BM538" s="663"/>
      <c r="BN538" s="663"/>
      <c r="BO538" s="663"/>
      <c r="BP538" s="663"/>
      <c r="BQ538" s="663"/>
      <c r="BR538" s="663"/>
      <c r="BS538" s="663"/>
      <c r="BT538" s="663"/>
      <c r="BU538" s="663"/>
      <c r="BV538" s="663"/>
      <c r="BW538" s="663"/>
      <c r="BX538" s="663"/>
      <c r="BY538" s="663"/>
      <c r="BZ538" s="663"/>
      <c r="CA538" s="663"/>
    </row>
    <row r="539" spans="1:79" hidden="1" outlineLevel="1" x14ac:dyDescent="0.25">
      <c r="A539" s="656"/>
      <c r="B539" s="223"/>
      <c r="C539" s="223"/>
      <c r="D539" s="223"/>
      <c r="E539" s="40" t="s">
        <v>657</v>
      </c>
      <c r="F539" s="656" t="s">
        <v>854</v>
      </c>
      <c r="G539" s="1214"/>
      <c r="H539" s="1214"/>
      <c r="I539" s="1214"/>
      <c r="J539" s="1214"/>
      <c r="K539" s="1214"/>
      <c r="L539" s="1214"/>
      <c r="M539" s="1214"/>
      <c r="N539" s="1214"/>
      <c r="O539" s="1214"/>
      <c r="P539" s="1214"/>
      <c r="Q539" s="1214"/>
      <c r="R539" s="1214"/>
      <c r="S539" s="1214">
        <v>0</v>
      </c>
      <c r="T539" s="1214">
        <v>0</v>
      </c>
      <c r="U539" s="1214">
        <v>0</v>
      </c>
      <c r="V539" s="1214">
        <v>0</v>
      </c>
      <c r="W539" s="1214">
        <v>0</v>
      </c>
      <c r="X539" s="1214">
        <v>0</v>
      </c>
      <c r="Y539" s="1214">
        <v>0</v>
      </c>
      <c r="Z539" s="1214">
        <v>0</v>
      </c>
      <c r="AA539" s="1214">
        <v>0</v>
      </c>
      <c r="AB539" s="1214">
        <v>0</v>
      </c>
      <c r="AC539" s="1214">
        <v>0</v>
      </c>
      <c r="AD539" s="1214">
        <v>0</v>
      </c>
      <c r="AE539" s="1214">
        <v>0</v>
      </c>
      <c r="AF539" s="663">
        <v>0</v>
      </c>
      <c r="AG539" s="663">
        <v>0</v>
      </c>
      <c r="AH539" s="663"/>
      <c r="AI539" s="663"/>
      <c r="AJ539" s="663"/>
      <c r="AK539" s="663"/>
      <c r="AL539" s="663"/>
      <c r="AM539" s="663"/>
      <c r="AN539" s="663"/>
      <c r="AO539" s="663"/>
      <c r="AP539" s="663"/>
      <c r="AQ539" s="663"/>
      <c r="AR539" s="663"/>
      <c r="AS539" s="663"/>
      <c r="AT539" s="663"/>
      <c r="AU539" s="663"/>
      <c r="AV539" s="663"/>
      <c r="AW539" s="663"/>
      <c r="AX539" s="663"/>
      <c r="AY539" s="663"/>
      <c r="AZ539" s="663"/>
      <c r="BA539" s="663"/>
      <c r="BB539" s="663"/>
      <c r="BC539" s="663"/>
      <c r="BD539" s="663"/>
      <c r="BE539" s="663"/>
      <c r="BF539" s="663"/>
      <c r="BG539" s="663"/>
      <c r="BH539" s="663"/>
      <c r="BI539" s="663"/>
      <c r="BJ539" s="663"/>
      <c r="BK539" s="663"/>
      <c r="BL539" s="663"/>
      <c r="BM539" s="663"/>
      <c r="BN539" s="663"/>
      <c r="BO539" s="663"/>
      <c r="BP539" s="663"/>
      <c r="BQ539" s="663"/>
      <c r="BR539" s="663"/>
      <c r="BS539" s="663"/>
      <c r="BT539" s="663"/>
      <c r="BU539" s="663"/>
      <c r="BV539" s="663"/>
      <c r="BW539" s="663"/>
      <c r="BX539" s="663"/>
      <c r="BY539" s="663"/>
      <c r="BZ539" s="663"/>
      <c r="CA539" s="663"/>
    </row>
    <row r="540" spans="1:79" hidden="1" outlineLevel="1" x14ac:dyDescent="0.25">
      <c r="A540" s="657"/>
      <c r="B540" s="223"/>
      <c r="C540" s="223"/>
      <c r="D540" s="223"/>
      <c r="E540" s="40" t="s">
        <v>49</v>
      </c>
      <c r="F540" s="1218" t="s">
        <v>659</v>
      </c>
      <c r="G540" s="1219">
        <f>SUM(G538:G539)</f>
        <v>0</v>
      </c>
      <c r="H540" s="1219">
        <f t="shared" ref="H540:Q540" si="188">SUM(H538:H539)</f>
        <v>0</v>
      </c>
      <c r="I540" s="1219">
        <f t="shared" si="188"/>
        <v>0</v>
      </c>
      <c r="J540" s="1219">
        <f t="shared" si="188"/>
        <v>0</v>
      </c>
      <c r="K540" s="1219">
        <f t="shared" si="188"/>
        <v>0</v>
      </c>
      <c r="L540" s="1219">
        <f t="shared" si="188"/>
        <v>0</v>
      </c>
      <c r="M540" s="1219">
        <f t="shared" si="188"/>
        <v>0</v>
      </c>
      <c r="N540" s="1219">
        <f t="shared" si="188"/>
        <v>0</v>
      </c>
      <c r="O540" s="1219">
        <f t="shared" si="188"/>
        <v>0</v>
      </c>
      <c r="P540" s="1219">
        <f t="shared" si="188"/>
        <v>0</v>
      </c>
      <c r="Q540" s="1219">
        <f t="shared" si="188"/>
        <v>0</v>
      </c>
      <c r="R540" s="1219">
        <f>SUM(R538:R539)</f>
        <v>0</v>
      </c>
      <c r="S540" s="1219">
        <f t="shared" ref="S540:AA540" si="189">ROUND(SUM(S537:S539),5)</f>
        <v>0</v>
      </c>
      <c r="T540" s="1219">
        <f t="shared" si="189"/>
        <v>0</v>
      </c>
      <c r="U540" s="1219">
        <f t="shared" si="189"/>
        <v>0</v>
      </c>
      <c r="V540" s="1219">
        <f t="shared" si="189"/>
        <v>0</v>
      </c>
      <c r="W540" s="1219">
        <f t="shared" si="189"/>
        <v>0</v>
      </c>
      <c r="X540" s="1219">
        <f t="shared" si="189"/>
        <v>0</v>
      </c>
      <c r="Y540" s="1219">
        <f t="shared" si="189"/>
        <v>0</v>
      </c>
      <c r="Z540" s="1219">
        <f t="shared" si="189"/>
        <v>0</v>
      </c>
      <c r="AA540" s="1219">
        <f t="shared" si="189"/>
        <v>0</v>
      </c>
      <c r="AB540" s="1219">
        <f t="shared" ref="AB540:AG540" si="190">ROUND(SUM(AB537:AB539),5)</f>
        <v>0</v>
      </c>
      <c r="AC540" s="1219">
        <f t="shared" si="190"/>
        <v>0</v>
      </c>
      <c r="AD540" s="1219">
        <f t="shared" si="190"/>
        <v>0</v>
      </c>
      <c r="AE540" s="1219">
        <f t="shared" si="190"/>
        <v>0</v>
      </c>
      <c r="AF540" s="664">
        <f t="shared" si="190"/>
        <v>0</v>
      </c>
      <c r="AG540" s="664">
        <f t="shared" si="190"/>
        <v>0</v>
      </c>
      <c r="AH540" s="664">
        <f t="shared" ref="AH540:BO540" si="191">SUM(AH538:AH539)</f>
        <v>0</v>
      </c>
      <c r="AI540" s="664">
        <f t="shared" si="191"/>
        <v>0</v>
      </c>
      <c r="AJ540" s="664">
        <f t="shared" si="191"/>
        <v>0</v>
      </c>
      <c r="AK540" s="664">
        <f t="shared" si="191"/>
        <v>0</v>
      </c>
      <c r="AL540" s="664">
        <f t="shared" si="191"/>
        <v>0</v>
      </c>
      <c r="AM540" s="664">
        <f t="shared" si="191"/>
        <v>0</v>
      </c>
      <c r="AN540" s="664">
        <f t="shared" si="191"/>
        <v>0</v>
      </c>
      <c r="AO540" s="664">
        <f t="shared" si="191"/>
        <v>0</v>
      </c>
      <c r="AP540" s="664">
        <f t="shared" si="191"/>
        <v>0</v>
      </c>
      <c r="AQ540" s="664">
        <f t="shared" si="191"/>
        <v>0</v>
      </c>
      <c r="AR540" s="664">
        <f t="shared" si="191"/>
        <v>0</v>
      </c>
      <c r="AS540" s="664">
        <f t="shared" si="191"/>
        <v>0</v>
      </c>
      <c r="AT540" s="664">
        <f t="shared" si="191"/>
        <v>0</v>
      </c>
      <c r="AU540" s="664">
        <f t="shared" si="191"/>
        <v>0</v>
      </c>
      <c r="AV540" s="664">
        <f t="shared" si="191"/>
        <v>0</v>
      </c>
      <c r="AW540" s="664">
        <f t="shared" si="191"/>
        <v>0</v>
      </c>
      <c r="AX540" s="664">
        <f t="shared" si="191"/>
        <v>0</v>
      </c>
      <c r="AY540" s="664">
        <f t="shared" si="191"/>
        <v>0</v>
      </c>
      <c r="AZ540" s="664">
        <f t="shared" si="191"/>
        <v>0</v>
      </c>
      <c r="BA540" s="664">
        <f t="shared" si="191"/>
        <v>0</v>
      </c>
      <c r="BB540" s="664">
        <f t="shared" si="191"/>
        <v>0</v>
      </c>
      <c r="BC540" s="664">
        <f t="shared" si="191"/>
        <v>0</v>
      </c>
      <c r="BD540" s="664">
        <f t="shared" si="191"/>
        <v>0</v>
      </c>
      <c r="BE540" s="664">
        <f t="shared" si="191"/>
        <v>0</v>
      </c>
      <c r="BF540" s="664">
        <f t="shared" si="191"/>
        <v>0</v>
      </c>
      <c r="BG540" s="664">
        <f t="shared" si="191"/>
        <v>0</v>
      </c>
      <c r="BH540" s="664">
        <f t="shared" si="191"/>
        <v>0</v>
      </c>
      <c r="BI540" s="664">
        <f t="shared" si="191"/>
        <v>0</v>
      </c>
      <c r="BJ540" s="664">
        <f t="shared" si="191"/>
        <v>0</v>
      </c>
      <c r="BK540" s="664">
        <f t="shared" si="191"/>
        <v>0</v>
      </c>
      <c r="BL540" s="664">
        <f t="shared" si="191"/>
        <v>0</v>
      </c>
      <c r="BM540" s="664">
        <f t="shared" si="191"/>
        <v>0</v>
      </c>
      <c r="BN540" s="664">
        <f t="shared" si="191"/>
        <v>0</v>
      </c>
      <c r="BO540" s="664">
        <f t="shared" si="191"/>
        <v>0</v>
      </c>
      <c r="BP540" s="664">
        <f t="shared" ref="BP540:CA540" si="192">SUM(BP538:BP539)</f>
        <v>0</v>
      </c>
      <c r="BQ540" s="664">
        <f t="shared" si="192"/>
        <v>0</v>
      </c>
      <c r="BR540" s="664">
        <f t="shared" si="192"/>
        <v>0</v>
      </c>
      <c r="BS540" s="664">
        <f t="shared" si="192"/>
        <v>0</v>
      </c>
      <c r="BT540" s="664">
        <f t="shared" si="192"/>
        <v>0</v>
      </c>
      <c r="BU540" s="664">
        <f t="shared" si="192"/>
        <v>0</v>
      </c>
      <c r="BV540" s="664">
        <f t="shared" si="192"/>
        <v>0</v>
      </c>
      <c r="BW540" s="664">
        <f t="shared" si="192"/>
        <v>0</v>
      </c>
      <c r="BX540" s="664">
        <f t="shared" si="192"/>
        <v>0</v>
      </c>
      <c r="BY540" s="664">
        <f t="shared" si="192"/>
        <v>0</v>
      </c>
      <c r="BZ540" s="664">
        <f t="shared" si="192"/>
        <v>0</v>
      </c>
      <c r="CA540" s="664">
        <f t="shared" si="192"/>
        <v>0</v>
      </c>
    </row>
    <row r="541" spans="1:79" hidden="1" outlineLevel="1" x14ac:dyDescent="0.25">
      <c r="A541" s="655"/>
      <c r="B541" s="223"/>
      <c r="C541" s="223"/>
      <c r="D541" s="223"/>
      <c r="E541" s="40" t="s">
        <v>695</v>
      </c>
      <c r="F541" s="1215" t="s">
        <v>695</v>
      </c>
      <c r="G541" s="1214"/>
      <c r="H541" s="1214"/>
      <c r="I541" s="1214"/>
      <c r="J541" s="1214"/>
      <c r="K541" s="1214"/>
      <c r="L541" s="1214"/>
      <c r="M541" s="1214"/>
      <c r="N541" s="1214"/>
      <c r="O541" s="1214"/>
      <c r="P541" s="1214"/>
      <c r="Q541" s="1214"/>
      <c r="R541" s="1214"/>
      <c r="S541" s="1214">
        <v>0</v>
      </c>
      <c r="T541" s="1214">
        <v>0</v>
      </c>
      <c r="U541" s="1214">
        <v>0</v>
      </c>
      <c r="V541" s="1214">
        <v>0</v>
      </c>
      <c r="W541" s="1214">
        <v>0</v>
      </c>
      <c r="X541" s="1214">
        <v>0</v>
      </c>
      <c r="Y541" s="1214">
        <v>0</v>
      </c>
      <c r="Z541" s="1214">
        <v>0</v>
      </c>
      <c r="AA541" s="1214">
        <v>0</v>
      </c>
      <c r="AB541" s="1214">
        <v>0</v>
      </c>
      <c r="AC541" s="1214">
        <v>0</v>
      </c>
      <c r="AD541" s="1214">
        <v>0</v>
      </c>
      <c r="AE541" s="1214">
        <v>0</v>
      </c>
      <c r="AF541" s="663">
        <v>0</v>
      </c>
      <c r="AG541" s="663">
        <v>0</v>
      </c>
      <c r="AH541" s="663"/>
      <c r="AI541" s="663"/>
      <c r="AJ541" s="663"/>
      <c r="AK541" s="663"/>
      <c r="AL541" s="663"/>
      <c r="AM541" s="663"/>
      <c r="AN541" s="663"/>
      <c r="AO541" s="663"/>
      <c r="AP541" s="663"/>
      <c r="AQ541" s="663"/>
      <c r="AR541" s="663"/>
      <c r="AS541" s="663"/>
      <c r="AT541" s="663"/>
      <c r="AU541" s="663"/>
      <c r="AV541" s="663"/>
      <c r="AW541" s="663"/>
      <c r="AX541" s="663"/>
      <c r="AY541" s="663"/>
      <c r="AZ541" s="663"/>
      <c r="BA541" s="663"/>
      <c r="BB541" s="663"/>
      <c r="BC541" s="663"/>
      <c r="BD541" s="663"/>
      <c r="BE541" s="663"/>
      <c r="BF541" s="663"/>
      <c r="BG541" s="663"/>
      <c r="BH541" s="663"/>
      <c r="BI541" s="663"/>
      <c r="BJ541" s="663"/>
      <c r="BK541" s="663"/>
      <c r="BL541" s="663"/>
      <c r="BM541" s="663"/>
      <c r="BN541" s="663"/>
      <c r="BO541" s="663"/>
      <c r="BP541" s="663"/>
      <c r="BQ541" s="663"/>
      <c r="BR541" s="663"/>
      <c r="BS541" s="663"/>
      <c r="BT541" s="663"/>
      <c r="BU541" s="663"/>
      <c r="BV541" s="663"/>
      <c r="BW541" s="663"/>
      <c r="BX541" s="663"/>
      <c r="BY541" s="663"/>
      <c r="BZ541" s="663"/>
      <c r="CA541" s="663"/>
    </row>
    <row r="542" spans="1:79" hidden="1" outlineLevel="1" x14ac:dyDescent="0.25">
      <c r="A542" s="655"/>
      <c r="B542" s="223"/>
      <c r="C542" s="223"/>
      <c r="D542" s="223"/>
      <c r="E542" s="40" t="s">
        <v>855</v>
      </c>
      <c r="F542" s="1215" t="s">
        <v>855</v>
      </c>
      <c r="G542" s="1214"/>
      <c r="H542" s="1214"/>
      <c r="I542" s="1214"/>
      <c r="J542" s="1214"/>
      <c r="K542" s="1214"/>
      <c r="L542" s="1214"/>
      <c r="M542" s="1214"/>
      <c r="N542" s="1214"/>
      <c r="O542" s="1214"/>
      <c r="P542" s="1214"/>
      <c r="Q542" s="1214"/>
      <c r="R542" s="1214"/>
      <c r="S542" s="1214">
        <v>0</v>
      </c>
      <c r="T542" s="1214">
        <v>0</v>
      </c>
      <c r="U542" s="1214">
        <v>0</v>
      </c>
      <c r="V542" s="1214">
        <v>0</v>
      </c>
      <c r="W542" s="1214">
        <v>0</v>
      </c>
      <c r="X542" s="1214">
        <v>0</v>
      </c>
      <c r="Y542" s="1214">
        <v>0</v>
      </c>
      <c r="Z542" s="1214">
        <v>0</v>
      </c>
      <c r="AA542" s="1214">
        <v>0</v>
      </c>
      <c r="AB542" s="1214">
        <v>0</v>
      </c>
      <c r="AC542" s="1214">
        <v>0</v>
      </c>
      <c r="AD542" s="1214">
        <v>0</v>
      </c>
      <c r="AE542" s="1214">
        <v>0</v>
      </c>
      <c r="AF542" s="663">
        <v>0</v>
      </c>
      <c r="AG542" s="663">
        <v>0</v>
      </c>
      <c r="AH542" s="663"/>
      <c r="AI542" s="663"/>
      <c r="AJ542" s="663"/>
      <c r="AK542" s="663"/>
      <c r="AL542" s="663"/>
      <c r="AM542" s="663"/>
      <c r="AN542" s="663"/>
      <c r="AO542" s="663"/>
      <c r="AP542" s="663"/>
      <c r="AQ542" s="663"/>
      <c r="AR542" s="663"/>
      <c r="AS542" s="663"/>
      <c r="AT542" s="663"/>
      <c r="AU542" s="663"/>
      <c r="AV542" s="663"/>
      <c r="AW542" s="663"/>
      <c r="AX542" s="663"/>
      <c r="AY542" s="663"/>
      <c r="AZ542" s="663"/>
      <c r="BA542" s="663"/>
      <c r="BB542" s="663"/>
      <c r="BC542" s="663"/>
      <c r="BD542" s="663"/>
      <c r="BE542" s="663"/>
      <c r="BF542" s="663"/>
      <c r="BG542" s="663"/>
      <c r="BH542" s="663"/>
      <c r="BI542" s="663"/>
      <c r="BJ542" s="663"/>
      <c r="BK542" s="663"/>
      <c r="BL542" s="663"/>
      <c r="BM542" s="663"/>
      <c r="BN542" s="663"/>
      <c r="BO542" s="663"/>
      <c r="BP542" s="663"/>
      <c r="BQ542" s="663"/>
      <c r="BR542" s="663"/>
      <c r="BS542" s="663"/>
      <c r="BT542" s="663"/>
      <c r="BU542" s="663"/>
      <c r="BV542" s="663"/>
      <c r="BW542" s="663"/>
      <c r="BX542" s="663"/>
      <c r="BY542" s="663"/>
      <c r="BZ542" s="663"/>
      <c r="CA542" s="663"/>
    </row>
    <row r="543" spans="1:79" hidden="1" outlineLevel="1" x14ac:dyDescent="0.25">
      <c r="A543" s="655"/>
      <c r="B543" s="223"/>
      <c r="C543" s="223"/>
      <c r="D543" s="223"/>
      <c r="E543" s="40" t="s">
        <v>856</v>
      </c>
      <c r="F543" s="1215" t="s">
        <v>856</v>
      </c>
      <c r="G543" s="1214"/>
      <c r="H543" s="1214"/>
      <c r="I543" s="1214"/>
      <c r="J543" s="1214"/>
      <c r="K543" s="1214"/>
      <c r="L543" s="1214"/>
      <c r="M543" s="1214"/>
      <c r="N543" s="1214"/>
      <c r="O543" s="1214"/>
      <c r="P543" s="1214"/>
      <c r="Q543" s="1214"/>
      <c r="R543" s="1214"/>
      <c r="S543" s="1214">
        <v>0</v>
      </c>
      <c r="T543" s="1214">
        <v>0</v>
      </c>
      <c r="U543" s="1214">
        <v>0</v>
      </c>
      <c r="V543" s="1214">
        <v>0</v>
      </c>
      <c r="W543" s="1214">
        <v>0</v>
      </c>
      <c r="X543" s="1214">
        <v>0</v>
      </c>
      <c r="Y543" s="1214">
        <v>0</v>
      </c>
      <c r="Z543" s="1214">
        <v>0</v>
      </c>
      <c r="AA543" s="1214">
        <v>0</v>
      </c>
      <c r="AB543" s="1214">
        <v>0</v>
      </c>
      <c r="AC543" s="1214">
        <v>0</v>
      </c>
      <c r="AD543" s="1214">
        <v>0</v>
      </c>
      <c r="AE543" s="1214">
        <v>0</v>
      </c>
      <c r="AF543" s="663">
        <v>0</v>
      </c>
      <c r="AG543" s="663">
        <v>0</v>
      </c>
      <c r="AH543" s="663"/>
      <c r="AI543" s="663"/>
      <c r="AJ543" s="663"/>
      <c r="AK543" s="663"/>
      <c r="AL543" s="663"/>
      <c r="AM543" s="663"/>
      <c r="AN543" s="663"/>
      <c r="AO543" s="663"/>
      <c r="AP543" s="663"/>
      <c r="AQ543" s="663"/>
      <c r="AR543" s="663"/>
      <c r="AS543" s="663"/>
      <c r="AT543" s="663"/>
      <c r="AU543" s="663"/>
      <c r="AV543" s="663"/>
      <c r="AW543" s="663"/>
      <c r="AX543" s="663"/>
      <c r="AY543" s="663"/>
      <c r="AZ543" s="663"/>
      <c r="BA543" s="663"/>
      <c r="BB543" s="663"/>
      <c r="BC543" s="663"/>
      <c r="BD543" s="663"/>
      <c r="BE543" s="663"/>
      <c r="BF543" s="663"/>
      <c r="BG543" s="663"/>
      <c r="BH543" s="663"/>
      <c r="BI543" s="663"/>
      <c r="BJ543" s="663"/>
      <c r="BK543" s="663"/>
      <c r="BL543" s="663"/>
      <c r="BM543" s="663"/>
      <c r="BN543" s="663"/>
      <c r="BO543" s="663"/>
      <c r="BP543" s="663"/>
      <c r="BQ543" s="663"/>
      <c r="BR543" s="663"/>
      <c r="BS543" s="663"/>
      <c r="BT543" s="663"/>
      <c r="BU543" s="663"/>
      <c r="BV543" s="663"/>
      <c r="BW543" s="663"/>
      <c r="BX543" s="663"/>
      <c r="BY543" s="663"/>
      <c r="BZ543" s="663"/>
      <c r="CA543" s="663"/>
    </row>
    <row r="544" spans="1:79" hidden="1" outlineLevel="1" x14ac:dyDescent="0.25">
      <c r="A544" s="655"/>
      <c r="B544" s="223"/>
      <c r="C544" s="223"/>
      <c r="D544" s="223"/>
      <c r="E544" s="40" t="s">
        <v>17</v>
      </c>
      <c r="F544" s="1215" t="s">
        <v>17</v>
      </c>
      <c r="G544" s="1214"/>
      <c r="H544" s="1214"/>
      <c r="I544" s="1214"/>
      <c r="J544" s="1214"/>
      <c r="K544" s="1214"/>
      <c r="L544" s="1214"/>
      <c r="M544" s="1214"/>
      <c r="N544" s="1214"/>
      <c r="O544" s="1214"/>
      <c r="P544" s="1214"/>
      <c r="Q544" s="1214"/>
      <c r="R544" s="1214"/>
      <c r="S544" s="1214">
        <v>0</v>
      </c>
      <c r="T544" s="1214">
        <v>0</v>
      </c>
      <c r="U544" s="1214">
        <v>0</v>
      </c>
      <c r="V544" s="1214">
        <v>0</v>
      </c>
      <c r="W544" s="1214">
        <v>0</v>
      </c>
      <c r="X544" s="1214">
        <v>0</v>
      </c>
      <c r="Y544" s="1214">
        <v>0</v>
      </c>
      <c r="Z544" s="1214">
        <v>0</v>
      </c>
      <c r="AA544" s="1214">
        <v>0</v>
      </c>
      <c r="AB544" s="1214">
        <v>0</v>
      </c>
      <c r="AC544" s="1214">
        <v>0</v>
      </c>
      <c r="AD544" s="1214">
        <v>0</v>
      </c>
      <c r="AE544" s="1214">
        <v>0</v>
      </c>
      <c r="AF544" s="663">
        <v>0</v>
      </c>
      <c r="AG544" s="663">
        <v>0</v>
      </c>
      <c r="AH544" s="663"/>
      <c r="AI544" s="663"/>
      <c r="AJ544" s="663"/>
      <c r="AK544" s="663"/>
      <c r="AL544" s="663"/>
      <c r="AM544" s="663"/>
      <c r="AN544" s="663"/>
      <c r="AO544" s="663"/>
      <c r="AP544" s="663"/>
      <c r="AQ544" s="663"/>
      <c r="AR544" s="663"/>
      <c r="AS544" s="663"/>
      <c r="AT544" s="663"/>
      <c r="AU544" s="663"/>
      <c r="AV544" s="663"/>
      <c r="AW544" s="663"/>
      <c r="AX544" s="663"/>
      <c r="AY544" s="663"/>
      <c r="AZ544" s="663"/>
      <c r="BA544" s="663"/>
      <c r="BB544" s="663"/>
      <c r="BC544" s="663"/>
      <c r="BD544" s="663"/>
      <c r="BE544" s="663"/>
      <c r="BF544" s="663"/>
      <c r="BG544" s="663"/>
      <c r="BH544" s="663"/>
      <c r="BI544" s="663"/>
      <c r="BJ544" s="663"/>
      <c r="BK544" s="663"/>
      <c r="BL544" s="663"/>
      <c r="BM544" s="663"/>
      <c r="BN544" s="663"/>
      <c r="BO544" s="663"/>
      <c r="BP544" s="663"/>
      <c r="BQ544" s="663"/>
      <c r="BR544" s="663"/>
      <c r="BS544" s="663"/>
      <c r="BT544" s="663"/>
      <c r="BU544" s="663"/>
      <c r="BV544" s="663"/>
      <c r="BW544" s="663"/>
      <c r="BX544" s="663"/>
      <c r="BY544" s="663"/>
      <c r="BZ544" s="663"/>
      <c r="CA544" s="663"/>
    </row>
    <row r="545" spans="1:79" hidden="1" outlineLevel="1" x14ac:dyDescent="0.25">
      <c r="A545" s="655"/>
      <c r="B545" s="223"/>
      <c r="C545" s="223"/>
      <c r="D545" s="223"/>
      <c r="E545" s="40" t="s">
        <v>1327</v>
      </c>
      <c r="F545" s="1215" t="s">
        <v>857</v>
      </c>
      <c r="G545" s="1214"/>
      <c r="H545" s="1214"/>
      <c r="I545" s="1214"/>
      <c r="J545" s="1214"/>
      <c r="K545" s="1214"/>
      <c r="L545" s="1214"/>
      <c r="M545" s="1214"/>
      <c r="N545" s="1214"/>
      <c r="O545" s="1214"/>
      <c r="P545" s="1214"/>
      <c r="Q545" s="1214"/>
      <c r="R545" s="1214"/>
      <c r="S545" s="1214">
        <v>0</v>
      </c>
      <c r="T545" s="1214">
        <v>0</v>
      </c>
      <c r="U545" s="1214">
        <v>0</v>
      </c>
      <c r="V545" s="1214">
        <v>0</v>
      </c>
      <c r="W545" s="1214">
        <v>0</v>
      </c>
      <c r="X545" s="1214">
        <v>0</v>
      </c>
      <c r="Y545" s="1214">
        <v>0</v>
      </c>
      <c r="Z545" s="1214">
        <v>0</v>
      </c>
      <c r="AA545" s="1214">
        <v>0</v>
      </c>
      <c r="AB545" s="1214">
        <v>0</v>
      </c>
      <c r="AC545" s="1214">
        <v>0</v>
      </c>
      <c r="AD545" s="1214">
        <v>0</v>
      </c>
      <c r="AE545" s="1214">
        <v>0</v>
      </c>
      <c r="AF545" s="663">
        <v>0</v>
      </c>
      <c r="AG545" s="663">
        <v>0</v>
      </c>
      <c r="AH545" s="663"/>
      <c r="AI545" s="663"/>
      <c r="AJ545" s="663"/>
      <c r="AK545" s="663"/>
      <c r="AL545" s="663"/>
      <c r="AM545" s="663"/>
      <c r="AN545" s="663"/>
      <c r="AO545" s="663"/>
      <c r="AP545" s="663"/>
      <c r="AQ545" s="663"/>
      <c r="AR545" s="663"/>
      <c r="AS545" s="663"/>
      <c r="AT545" s="663"/>
      <c r="AU545" s="663"/>
      <c r="AV545" s="663"/>
      <c r="AW545" s="663"/>
      <c r="AX545" s="663"/>
      <c r="AY545" s="663"/>
      <c r="AZ545" s="663"/>
      <c r="BA545" s="663"/>
      <c r="BB545" s="663"/>
      <c r="BC545" s="663"/>
      <c r="BD545" s="663"/>
      <c r="BE545" s="663"/>
      <c r="BF545" s="663"/>
      <c r="BG545" s="663"/>
      <c r="BH545" s="663"/>
      <c r="BI545" s="663"/>
      <c r="BJ545" s="663"/>
      <c r="BK545" s="663"/>
      <c r="BL545" s="663"/>
      <c r="BM545" s="663"/>
      <c r="BN545" s="663"/>
      <c r="BO545" s="663"/>
      <c r="BP545" s="663"/>
      <c r="BQ545" s="663"/>
      <c r="BR545" s="663"/>
      <c r="BS545" s="663"/>
      <c r="BT545" s="663"/>
      <c r="BU545" s="663"/>
      <c r="BV545" s="663"/>
      <c r="BW545" s="663"/>
      <c r="BX545" s="663"/>
      <c r="BY545" s="663"/>
      <c r="BZ545" s="663"/>
      <c r="CA545" s="663"/>
    </row>
    <row r="546" spans="1:79" hidden="1" outlineLevel="1" x14ac:dyDescent="0.25">
      <c r="A546" s="655"/>
      <c r="B546" s="223"/>
      <c r="C546" s="223"/>
      <c r="D546" s="223"/>
      <c r="E546" s="40" t="s">
        <v>1330</v>
      </c>
      <c r="F546" s="1215" t="s">
        <v>861</v>
      </c>
      <c r="G546" s="1219"/>
      <c r="H546" s="1219"/>
      <c r="I546" s="1219"/>
      <c r="J546" s="1219"/>
      <c r="K546" s="1219"/>
      <c r="L546" s="1219"/>
      <c r="M546" s="1219"/>
      <c r="N546" s="1219"/>
      <c r="O546" s="1219"/>
      <c r="P546" s="1219"/>
      <c r="Q546" s="1219"/>
      <c r="R546" s="1219"/>
      <c r="S546" s="1214">
        <v>0</v>
      </c>
      <c r="T546" s="1214">
        <v>0</v>
      </c>
      <c r="U546" s="1214">
        <v>0</v>
      </c>
      <c r="V546" s="1214">
        <v>0</v>
      </c>
      <c r="W546" s="1214">
        <v>0</v>
      </c>
      <c r="X546" s="1214">
        <v>0</v>
      </c>
      <c r="Y546" s="1214">
        <v>0</v>
      </c>
      <c r="Z546" s="1214">
        <v>0</v>
      </c>
      <c r="AA546" s="1214">
        <v>0</v>
      </c>
      <c r="AB546" s="1214">
        <v>0</v>
      </c>
      <c r="AC546" s="1214">
        <v>0</v>
      </c>
      <c r="AD546" s="1214">
        <v>0</v>
      </c>
      <c r="AE546" s="1214">
        <v>0</v>
      </c>
      <c r="AF546" s="716">
        <v>0</v>
      </c>
      <c r="AG546" s="663">
        <v>0</v>
      </c>
      <c r="AH546" s="664"/>
      <c r="AI546" s="664"/>
      <c r="AJ546" s="664"/>
      <c r="AK546" s="664"/>
      <c r="AL546" s="664"/>
      <c r="AM546" s="664"/>
      <c r="AN546" s="664"/>
      <c r="AO546" s="664"/>
      <c r="AP546" s="664"/>
      <c r="AQ546" s="664"/>
      <c r="AR546" s="664"/>
      <c r="AS546" s="664"/>
      <c r="AT546" s="664"/>
      <c r="AU546" s="664"/>
      <c r="AV546" s="664"/>
      <c r="AW546" s="664"/>
      <c r="AX546" s="664"/>
      <c r="AY546" s="664"/>
      <c r="AZ546" s="664"/>
      <c r="BA546" s="664"/>
      <c r="BB546" s="664"/>
      <c r="BC546" s="664"/>
      <c r="BD546" s="664"/>
      <c r="BE546" s="664"/>
      <c r="BF546" s="664"/>
      <c r="BG546" s="664"/>
      <c r="BH546" s="664"/>
      <c r="BI546" s="664"/>
      <c r="BJ546" s="664"/>
      <c r="BK546" s="664"/>
      <c r="BL546" s="664"/>
      <c r="BM546" s="664"/>
      <c r="BN546" s="664"/>
      <c r="BO546" s="664"/>
      <c r="BP546" s="664"/>
      <c r="BQ546" s="664"/>
      <c r="BR546" s="664"/>
      <c r="BS546" s="664"/>
      <c r="BT546" s="664"/>
      <c r="BU546" s="664"/>
      <c r="BV546" s="664"/>
      <c r="BW546" s="664"/>
      <c r="BX546" s="664"/>
      <c r="BY546" s="664"/>
      <c r="BZ546" s="664"/>
      <c r="CA546" s="664"/>
    </row>
    <row r="547" spans="1:79" hidden="1" outlineLevel="1" x14ac:dyDescent="0.25">
      <c r="A547" s="655"/>
      <c r="B547" s="223"/>
      <c r="C547" s="223"/>
      <c r="D547" s="223"/>
      <c r="E547" s="40" t="s">
        <v>1337</v>
      </c>
      <c r="F547" s="1215" t="s">
        <v>862</v>
      </c>
      <c r="G547" s="1219"/>
      <c r="H547" s="1219"/>
      <c r="I547" s="1219"/>
      <c r="J547" s="1219"/>
      <c r="K547" s="1219"/>
      <c r="L547" s="1219"/>
      <c r="M547" s="1219"/>
      <c r="N547" s="1219"/>
      <c r="O547" s="1219"/>
      <c r="P547" s="1219"/>
      <c r="Q547" s="1219"/>
      <c r="R547" s="1219"/>
      <c r="S547" s="1214">
        <v>0</v>
      </c>
      <c r="T547" s="1214">
        <v>0</v>
      </c>
      <c r="U547" s="1214">
        <v>0</v>
      </c>
      <c r="V547" s="1214">
        <v>0</v>
      </c>
      <c r="W547" s="1214">
        <v>0</v>
      </c>
      <c r="X547" s="1214">
        <v>0</v>
      </c>
      <c r="Y547" s="1214">
        <v>0</v>
      </c>
      <c r="Z547" s="1214">
        <v>0</v>
      </c>
      <c r="AA547" s="1214">
        <v>0</v>
      </c>
      <c r="AB547" s="1214">
        <v>0</v>
      </c>
      <c r="AC547" s="1214">
        <v>0</v>
      </c>
      <c r="AD547" s="1214">
        <v>0</v>
      </c>
      <c r="AE547" s="1214">
        <v>0</v>
      </c>
      <c r="AF547" s="716">
        <v>0</v>
      </c>
      <c r="AG547" s="663">
        <v>0</v>
      </c>
      <c r="AH547" s="664"/>
      <c r="AI547" s="664"/>
      <c r="AJ547" s="664"/>
      <c r="AK547" s="664"/>
      <c r="AL547" s="664"/>
      <c r="AM547" s="664"/>
      <c r="AN547" s="664"/>
      <c r="AO547" s="664"/>
      <c r="AP547" s="664"/>
      <c r="AQ547" s="664"/>
      <c r="AR547" s="664"/>
      <c r="AS547" s="664"/>
      <c r="AT547" s="664"/>
      <c r="AU547" s="664"/>
      <c r="AV547" s="664"/>
      <c r="AW547" s="664"/>
      <c r="AX547" s="664"/>
      <c r="AY547" s="664"/>
      <c r="AZ547" s="664"/>
      <c r="BA547" s="664"/>
      <c r="BB547" s="664"/>
      <c r="BC547" s="664"/>
      <c r="BD547" s="664"/>
      <c r="BE547" s="664"/>
      <c r="BF547" s="664"/>
      <c r="BG547" s="664"/>
      <c r="BH547" s="664"/>
      <c r="BI547" s="664"/>
      <c r="BJ547" s="664"/>
      <c r="BK547" s="664"/>
      <c r="BL547" s="664"/>
      <c r="BM547" s="664"/>
      <c r="BN547" s="664"/>
      <c r="BO547" s="664"/>
      <c r="BP547" s="664"/>
      <c r="BQ547" s="664"/>
      <c r="BR547" s="664"/>
      <c r="BS547" s="664"/>
      <c r="BT547" s="664"/>
      <c r="BU547" s="664"/>
      <c r="BV547" s="664"/>
      <c r="BW547" s="664"/>
      <c r="BX547" s="664"/>
      <c r="BY547" s="664"/>
      <c r="BZ547" s="664"/>
      <c r="CA547" s="664"/>
    </row>
    <row r="548" spans="1:79" s="693" customFormat="1" hidden="1" outlineLevel="1" x14ac:dyDescent="0.25">
      <c r="A548" s="691"/>
      <c r="E548" s="40" t="s">
        <v>338</v>
      </c>
      <c r="F548" s="1216" t="s">
        <v>863</v>
      </c>
      <c r="G548" s="1220"/>
      <c r="H548" s="1220"/>
      <c r="I548" s="1220"/>
      <c r="J548" s="1220"/>
      <c r="K548" s="1220"/>
      <c r="L548" s="1220"/>
      <c r="M548" s="1220"/>
      <c r="N548" s="1220"/>
      <c r="O548" s="1220"/>
      <c r="P548" s="1220"/>
      <c r="Q548" s="1220"/>
      <c r="R548" s="1220"/>
      <c r="S548" s="1217"/>
      <c r="T548" s="1217"/>
      <c r="U548" s="1217"/>
      <c r="V548" s="1217"/>
      <c r="W548" s="1217"/>
      <c r="X548" s="1217"/>
      <c r="Y548" s="1217"/>
      <c r="Z548" s="1217"/>
      <c r="AA548" s="1217"/>
      <c r="AB548" s="1217"/>
      <c r="AC548" s="1217"/>
      <c r="AD548" s="1217"/>
      <c r="AE548" s="1217"/>
      <c r="AF548" s="734"/>
      <c r="AG548" s="692"/>
      <c r="AH548" s="746"/>
      <c r="AI548" s="746"/>
      <c r="AJ548" s="746"/>
      <c r="AK548" s="746"/>
      <c r="AL548" s="746"/>
      <c r="AM548" s="746"/>
      <c r="AN548" s="746"/>
      <c r="AO548" s="746"/>
      <c r="AP548" s="746"/>
      <c r="AQ548" s="746"/>
      <c r="AR548" s="746"/>
      <c r="AS548" s="746"/>
      <c r="AT548" s="746"/>
      <c r="AU548" s="746"/>
      <c r="AV548" s="746"/>
      <c r="AW548" s="746"/>
      <c r="AX548" s="746"/>
      <c r="AY548" s="746"/>
      <c r="AZ548" s="746"/>
      <c r="BA548" s="746"/>
      <c r="BB548" s="746"/>
      <c r="BC548" s="746"/>
      <c r="BD548" s="746"/>
      <c r="BE548" s="746"/>
      <c r="BF548" s="746"/>
      <c r="BG548" s="746"/>
      <c r="BH548" s="746"/>
      <c r="BI548" s="746"/>
      <c r="BJ548" s="746"/>
      <c r="BK548" s="746"/>
      <c r="BL548" s="746"/>
      <c r="BM548" s="746"/>
      <c r="BN548" s="746"/>
      <c r="BO548" s="746"/>
      <c r="BP548" s="746"/>
      <c r="BQ548" s="746"/>
      <c r="BR548" s="746"/>
      <c r="BS548" s="746"/>
      <c r="BT548" s="746"/>
      <c r="BU548" s="746"/>
      <c r="BV548" s="746"/>
      <c r="BW548" s="746"/>
      <c r="BX548" s="746"/>
      <c r="BY548" s="746"/>
      <c r="BZ548" s="746"/>
      <c r="CA548" s="746"/>
    </row>
    <row r="549" spans="1:79" hidden="1" outlineLevel="1" x14ac:dyDescent="0.25">
      <c r="A549" s="656"/>
      <c r="B549" s="223"/>
      <c r="C549" s="223"/>
      <c r="D549" s="223"/>
      <c r="E549" s="40" t="s">
        <v>338</v>
      </c>
      <c r="F549" s="656" t="s">
        <v>864</v>
      </c>
      <c r="G549" s="1219"/>
      <c r="H549" s="1219"/>
      <c r="I549" s="1219"/>
      <c r="J549" s="1219"/>
      <c r="K549" s="1219"/>
      <c r="L549" s="1219"/>
      <c r="M549" s="1219"/>
      <c r="N549" s="1219"/>
      <c r="O549" s="1219"/>
      <c r="P549" s="1219"/>
      <c r="Q549" s="1219"/>
      <c r="R549" s="1219"/>
      <c r="S549" s="1214">
        <v>0</v>
      </c>
      <c r="T549" s="1214">
        <v>0</v>
      </c>
      <c r="U549" s="1214">
        <v>0</v>
      </c>
      <c r="V549" s="1214">
        <v>0</v>
      </c>
      <c r="W549" s="1214">
        <v>0</v>
      </c>
      <c r="X549" s="1214">
        <v>0</v>
      </c>
      <c r="Y549" s="1214">
        <v>0</v>
      </c>
      <c r="Z549" s="1214">
        <v>0</v>
      </c>
      <c r="AA549" s="1214">
        <v>0</v>
      </c>
      <c r="AB549" s="1214">
        <v>0</v>
      </c>
      <c r="AC549" s="1214">
        <v>0</v>
      </c>
      <c r="AD549" s="1214">
        <v>0</v>
      </c>
      <c r="AE549" s="1214">
        <v>0</v>
      </c>
      <c r="AF549" s="716">
        <v>0</v>
      </c>
      <c r="AG549" s="663">
        <v>0</v>
      </c>
      <c r="AH549" s="664"/>
      <c r="AI549" s="664"/>
      <c r="AJ549" s="664"/>
      <c r="AK549" s="664"/>
      <c r="AL549" s="664"/>
      <c r="AM549" s="664"/>
      <c r="AN549" s="664"/>
      <c r="AO549" s="664"/>
      <c r="AP549" s="664"/>
      <c r="AQ549" s="664"/>
      <c r="AR549" s="664"/>
      <c r="AS549" s="664"/>
      <c r="AT549" s="664"/>
      <c r="AU549" s="664"/>
      <c r="AV549" s="664"/>
      <c r="AW549" s="664"/>
      <c r="AX549" s="664"/>
      <c r="AY549" s="664"/>
      <c r="AZ549" s="664"/>
      <c r="BA549" s="664"/>
      <c r="BB549" s="664"/>
      <c r="BC549" s="664"/>
      <c r="BD549" s="664"/>
      <c r="BE549" s="664"/>
      <c r="BF549" s="664"/>
      <c r="BG549" s="664"/>
      <c r="BH549" s="664"/>
      <c r="BI549" s="664"/>
      <c r="BJ549" s="664"/>
      <c r="BK549" s="664"/>
      <c r="BL549" s="664"/>
      <c r="BM549" s="664"/>
      <c r="BN549" s="664"/>
      <c r="BO549" s="664"/>
      <c r="BP549" s="664"/>
      <c r="BQ549" s="664"/>
      <c r="BR549" s="664"/>
      <c r="BS549" s="664"/>
      <c r="BT549" s="664"/>
      <c r="BU549" s="664"/>
      <c r="BV549" s="664"/>
      <c r="BW549" s="664"/>
      <c r="BX549" s="664"/>
      <c r="BY549" s="664"/>
      <c r="BZ549" s="664"/>
      <c r="CA549" s="664"/>
    </row>
    <row r="550" spans="1:79" hidden="1" outlineLevel="1" x14ac:dyDescent="0.25">
      <c r="A550" s="656"/>
      <c r="B550" s="223"/>
      <c r="C550" s="223"/>
      <c r="D550" s="223"/>
      <c r="E550" s="40" t="s">
        <v>338</v>
      </c>
      <c r="F550" s="656" t="s">
        <v>865</v>
      </c>
      <c r="G550" s="1219"/>
      <c r="H550" s="1219"/>
      <c r="I550" s="1219"/>
      <c r="J550" s="1219"/>
      <c r="K550" s="1219"/>
      <c r="L550" s="1219"/>
      <c r="M550" s="1219"/>
      <c r="N550" s="1219"/>
      <c r="O550" s="1219"/>
      <c r="P550" s="1219"/>
      <c r="Q550" s="1219"/>
      <c r="R550" s="1219"/>
      <c r="S550" s="1214">
        <v>0</v>
      </c>
      <c r="T550" s="1214">
        <v>0</v>
      </c>
      <c r="U550" s="1214">
        <v>0</v>
      </c>
      <c r="V550" s="1214">
        <v>0</v>
      </c>
      <c r="W550" s="1214">
        <v>0</v>
      </c>
      <c r="X550" s="1214">
        <v>0</v>
      </c>
      <c r="Y550" s="1214">
        <v>0</v>
      </c>
      <c r="Z550" s="1214">
        <v>0</v>
      </c>
      <c r="AA550" s="1214">
        <v>0</v>
      </c>
      <c r="AB550" s="1214">
        <v>0</v>
      </c>
      <c r="AC550" s="1214">
        <v>0</v>
      </c>
      <c r="AD550" s="1214">
        <v>0</v>
      </c>
      <c r="AE550" s="1214">
        <v>0</v>
      </c>
      <c r="AF550" s="716">
        <v>0</v>
      </c>
      <c r="AG550" s="663">
        <v>0</v>
      </c>
      <c r="AH550" s="664"/>
      <c r="AI550" s="664"/>
      <c r="AJ550" s="664"/>
      <c r="AK550" s="664"/>
      <c r="AL550" s="664"/>
      <c r="AM550" s="664"/>
      <c r="AN550" s="664"/>
      <c r="AO550" s="664"/>
      <c r="AP550" s="664"/>
      <c r="AQ550" s="664"/>
      <c r="AR550" s="664"/>
      <c r="AS550" s="664"/>
      <c r="AT550" s="664"/>
      <c r="AU550" s="664"/>
      <c r="AV550" s="664"/>
      <c r="AW550" s="664"/>
      <c r="AX550" s="664"/>
      <c r="AY550" s="664"/>
      <c r="AZ550" s="664"/>
      <c r="BA550" s="664"/>
      <c r="BB550" s="664"/>
      <c r="BC550" s="664"/>
      <c r="BD550" s="664"/>
      <c r="BE550" s="664"/>
      <c r="BF550" s="664"/>
      <c r="BG550" s="664"/>
      <c r="BH550" s="664"/>
      <c r="BI550" s="664"/>
      <c r="BJ550" s="664"/>
      <c r="BK550" s="664"/>
      <c r="BL550" s="664"/>
      <c r="BM550" s="664"/>
      <c r="BN550" s="664"/>
      <c r="BO550" s="664"/>
      <c r="BP550" s="664"/>
      <c r="BQ550" s="664"/>
      <c r="BR550" s="664"/>
      <c r="BS550" s="664"/>
      <c r="BT550" s="664"/>
      <c r="BU550" s="664"/>
      <c r="BV550" s="664"/>
      <c r="BW550" s="664"/>
      <c r="BX550" s="664"/>
      <c r="BY550" s="664"/>
      <c r="BZ550" s="664"/>
      <c r="CA550" s="664"/>
    </row>
    <row r="551" spans="1:79" hidden="1" outlineLevel="1" x14ac:dyDescent="0.25">
      <c r="A551" s="657"/>
      <c r="B551" s="223"/>
      <c r="C551" s="223"/>
      <c r="D551" s="223"/>
      <c r="E551" s="40" t="s">
        <v>49</v>
      </c>
      <c r="F551" s="1218" t="s">
        <v>866</v>
      </c>
      <c r="G551" s="1219">
        <f>SUM(G549:G550)</f>
        <v>0</v>
      </c>
      <c r="H551" s="1219">
        <f t="shared" ref="H551:BO551" si="193">SUM(H549:H550)</f>
        <v>0</v>
      </c>
      <c r="I551" s="1219">
        <f t="shared" si="193"/>
        <v>0</v>
      </c>
      <c r="J551" s="1219">
        <f t="shared" si="193"/>
        <v>0</v>
      </c>
      <c r="K551" s="1219">
        <f t="shared" si="193"/>
        <v>0</v>
      </c>
      <c r="L551" s="1219">
        <f t="shared" si="193"/>
        <v>0</v>
      </c>
      <c r="M551" s="1219">
        <f t="shared" si="193"/>
        <v>0</v>
      </c>
      <c r="N551" s="1219">
        <f t="shared" si="193"/>
        <v>0</v>
      </c>
      <c r="O551" s="1219">
        <f t="shared" si="193"/>
        <v>0</v>
      </c>
      <c r="P551" s="1219">
        <f t="shared" si="193"/>
        <v>0</v>
      </c>
      <c r="Q551" s="1219">
        <f t="shared" si="193"/>
        <v>0</v>
      </c>
      <c r="R551" s="1219">
        <f t="shared" si="193"/>
        <v>0</v>
      </c>
      <c r="S551" s="1219">
        <f t="shared" ref="S551:AA551" si="194">ROUND(SUM(S548:S550),5)</f>
        <v>0</v>
      </c>
      <c r="T551" s="1219">
        <f t="shared" si="194"/>
        <v>0</v>
      </c>
      <c r="U551" s="1219">
        <f t="shared" si="194"/>
        <v>0</v>
      </c>
      <c r="V551" s="1219">
        <f t="shared" si="194"/>
        <v>0</v>
      </c>
      <c r="W551" s="1219">
        <f t="shared" si="194"/>
        <v>0</v>
      </c>
      <c r="X551" s="1219">
        <f t="shared" si="194"/>
        <v>0</v>
      </c>
      <c r="Y551" s="1219">
        <f t="shared" si="194"/>
        <v>0</v>
      </c>
      <c r="Z551" s="1219">
        <f t="shared" si="194"/>
        <v>0</v>
      </c>
      <c r="AA551" s="1219">
        <f t="shared" si="194"/>
        <v>0</v>
      </c>
      <c r="AB551" s="1219">
        <f t="shared" ref="AB551:AG551" si="195">ROUND(SUM(AB548:AB550),5)</f>
        <v>0</v>
      </c>
      <c r="AC551" s="1219">
        <f t="shared" si="195"/>
        <v>0</v>
      </c>
      <c r="AD551" s="1219">
        <f t="shared" si="195"/>
        <v>0</v>
      </c>
      <c r="AE551" s="1219">
        <f t="shared" si="195"/>
        <v>0</v>
      </c>
      <c r="AF551" s="664">
        <f t="shared" si="195"/>
        <v>0</v>
      </c>
      <c r="AG551" s="664">
        <f t="shared" si="195"/>
        <v>0</v>
      </c>
      <c r="AH551" s="664">
        <f t="shared" si="193"/>
        <v>0</v>
      </c>
      <c r="AI551" s="664">
        <f t="shared" si="193"/>
        <v>0</v>
      </c>
      <c r="AJ551" s="664">
        <f t="shared" si="193"/>
        <v>0</v>
      </c>
      <c r="AK551" s="664">
        <f t="shared" si="193"/>
        <v>0</v>
      </c>
      <c r="AL551" s="664">
        <f t="shared" si="193"/>
        <v>0</v>
      </c>
      <c r="AM551" s="664">
        <f t="shared" si="193"/>
        <v>0</v>
      </c>
      <c r="AN551" s="664">
        <f t="shared" si="193"/>
        <v>0</v>
      </c>
      <c r="AO551" s="664">
        <f t="shared" si="193"/>
        <v>0</v>
      </c>
      <c r="AP551" s="664">
        <f t="shared" si="193"/>
        <v>0</v>
      </c>
      <c r="AQ551" s="664">
        <f t="shared" si="193"/>
        <v>0</v>
      </c>
      <c r="AR551" s="664">
        <f t="shared" si="193"/>
        <v>0</v>
      </c>
      <c r="AS551" s="664">
        <f t="shared" si="193"/>
        <v>0</v>
      </c>
      <c r="AT551" s="664">
        <f t="shared" si="193"/>
        <v>0</v>
      </c>
      <c r="AU551" s="664">
        <f t="shared" si="193"/>
        <v>0</v>
      </c>
      <c r="AV551" s="664">
        <f t="shared" si="193"/>
        <v>0</v>
      </c>
      <c r="AW551" s="664">
        <f t="shared" si="193"/>
        <v>0</v>
      </c>
      <c r="AX551" s="664">
        <f t="shared" si="193"/>
        <v>0</v>
      </c>
      <c r="AY551" s="664">
        <f t="shared" si="193"/>
        <v>0</v>
      </c>
      <c r="AZ551" s="664">
        <f t="shared" si="193"/>
        <v>0</v>
      </c>
      <c r="BA551" s="664">
        <f t="shared" si="193"/>
        <v>0</v>
      </c>
      <c r="BB551" s="664">
        <f t="shared" si="193"/>
        <v>0</v>
      </c>
      <c r="BC551" s="664">
        <f t="shared" si="193"/>
        <v>0</v>
      </c>
      <c r="BD551" s="664">
        <f t="shared" si="193"/>
        <v>0</v>
      </c>
      <c r="BE551" s="664">
        <f t="shared" si="193"/>
        <v>0</v>
      </c>
      <c r="BF551" s="664">
        <f t="shared" si="193"/>
        <v>0</v>
      </c>
      <c r="BG551" s="664">
        <f t="shared" si="193"/>
        <v>0</v>
      </c>
      <c r="BH551" s="664">
        <f t="shared" si="193"/>
        <v>0</v>
      </c>
      <c r="BI551" s="664">
        <f t="shared" si="193"/>
        <v>0</v>
      </c>
      <c r="BJ551" s="664">
        <f t="shared" si="193"/>
        <v>0</v>
      </c>
      <c r="BK551" s="664">
        <f t="shared" si="193"/>
        <v>0</v>
      </c>
      <c r="BL551" s="664">
        <f t="shared" si="193"/>
        <v>0</v>
      </c>
      <c r="BM551" s="664">
        <f t="shared" si="193"/>
        <v>0</v>
      </c>
      <c r="BN551" s="664">
        <f t="shared" si="193"/>
        <v>0</v>
      </c>
      <c r="BO551" s="664">
        <f t="shared" si="193"/>
        <v>0</v>
      </c>
      <c r="BP551" s="664">
        <f t="shared" ref="BP551:CA551" si="196">SUM(BP549:BP550)</f>
        <v>0</v>
      </c>
      <c r="BQ551" s="664">
        <f t="shared" si="196"/>
        <v>0</v>
      </c>
      <c r="BR551" s="664">
        <f t="shared" si="196"/>
        <v>0</v>
      </c>
      <c r="BS551" s="664">
        <f t="shared" si="196"/>
        <v>0</v>
      </c>
      <c r="BT551" s="664">
        <f t="shared" si="196"/>
        <v>0</v>
      </c>
      <c r="BU551" s="664">
        <f t="shared" si="196"/>
        <v>0</v>
      </c>
      <c r="BV551" s="664">
        <f t="shared" si="196"/>
        <v>0</v>
      </c>
      <c r="BW551" s="664">
        <f t="shared" si="196"/>
        <v>0</v>
      </c>
      <c r="BX551" s="664">
        <f t="shared" si="196"/>
        <v>0</v>
      </c>
      <c r="BY551" s="664">
        <f t="shared" si="196"/>
        <v>0</v>
      </c>
      <c r="BZ551" s="664">
        <f t="shared" si="196"/>
        <v>0</v>
      </c>
      <c r="CA551" s="664">
        <f t="shared" si="196"/>
        <v>0</v>
      </c>
    </row>
    <row r="552" spans="1:79" s="693" customFormat="1" hidden="1" outlineLevel="1" x14ac:dyDescent="0.25">
      <c r="A552" s="694"/>
      <c r="E552" s="40" t="s">
        <v>867</v>
      </c>
      <c r="F552" s="1221" t="s">
        <v>646</v>
      </c>
      <c r="G552" s="1220"/>
      <c r="H552" s="1220"/>
      <c r="I552" s="1220"/>
      <c r="J552" s="1220"/>
      <c r="K552" s="1220"/>
      <c r="L552" s="1220"/>
      <c r="M552" s="1220"/>
      <c r="N552" s="1220"/>
      <c r="O552" s="1220"/>
      <c r="P552" s="1220"/>
      <c r="Q552" s="1220"/>
      <c r="R552" s="1220"/>
      <c r="S552" s="1217"/>
      <c r="T552" s="1217"/>
      <c r="U552" s="1217"/>
      <c r="V552" s="1217"/>
      <c r="W552" s="1217"/>
      <c r="X552" s="1217"/>
      <c r="Y552" s="1217"/>
      <c r="Z552" s="1217"/>
      <c r="AA552" s="1217"/>
      <c r="AB552" s="1217"/>
      <c r="AC552" s="1217"/>
      <c r="AD552" s="1217"/>
      <c r="AE552" s="1217"/>
      <c r="AF552" s="734"/>
      <c r="AG552" s="692"/>
      <c r="AH552" s="746"/>
      <c r="AI552" s="746"/>
      <c r="AJ552" s="746"/>
      <c r="AK552" s="746"/>
      <c r="AL552" s="746"/>
      <c r="AM552" s="746"/>
      <c r="AN552" s="746"/>
      <c r="AO552" s="746"/>
      <c r="AP552" s="746"/>
      <c r="AQ552" s="746"/>
      <c r="AR552" s="746"/>
      <c r="AS552" s="746"/>
      <c r="AT552" s="746"/>
      <c r="AU552" s="746"/>
      <c r="AV552" s="746"/>
      <c r="AW552" s="746"/>
      <c r="AX552" s="746"/>
      <c r="AY552" s="746"/>
      <c r="AZ552" s="746"/>
      <c r="BA552" s="746"/>
      <c r="BB552" s="746"/>
      <c r="BC552" s="746"/>
      <c r="BD552" s="746"/>
      <c r="BE552" s="746"/>
      <c r="BF552" s="746"/>
      <c r="BG552" s="746"/>
      <c r="BH552" s="746"/>
      <c r="BI552" s="746"/>
      <c r="BJ552" s="746"/>
      <c r="BK552" s="746"/>
      <c r="BL552" s="746"/>
      <c r="BM552" s="746"/>
      <c r="BN552" s="746"/>
      <c r="BO552" s="746"/>
      <c r="BP552" s="746"/>
      <c r="BQ552" s="746"/>
      <c r="BR552" s="746"/>
      <c r="BS552" s="746"/>
      <c r="BT552" s="746"/>
      <c r="BU552" s="746"/>
      <c r="BV552" s="746"/>
      <c r="BW552" s="746"/>
      <c r="BX552" s="746"/>
      <c r="BY552" s="746"/>
      <c r="BZ552" s="746"/>
      <c r="CA552" s="746"/>
    </row>
    <row r="553" spans="1:79" hidden="1" outlineLevel="1" x14ac:dyDescent="0.25">
      <c r="A553" s="656"/>
      <c r="B553" s="223"/>
      <c r="C553" s="223"/>
      <c r="D553" s="223"/>
      <c r="E553" s="40" t="s">
        <v>867</v>
      </c>
      <c r="F553" s="656" t="s">
        <v>867</v>
      </c>
      <c r="G553" s="1219"/>
      <c r="H553" s="1219"/>
      <c r="I553" s="1219"/>
      <c r="J553" s="1219"/>
      <c r="K553" s="1219"/>
      <c r="L553" s="1219"/>
      <c r="M553" s="1219"/>
      <c r="N553" s="1219"/>
      <c r="O553" s="1219"/>
      <c r="P553" s="1219"/>
      <c r="Q553" s="1219"/>
      <c r="R553" s="1219"/>
      <c r="S553" s="1214">
        <v>0</v>
      </c>
      <c r="T553" s="1214">
        <v>0</v>
      </c>
      <c r="U553" s="1214">
        <v>0</v>
      </c>
      <c r="V553" s="1214">
        <v>0</v>
      </c>
      <c r="W553" s="1214">
        <v>0</v>
      </c>
      <c r="X553" s="1214">
        <v>0</v>
      </c>
      <c r="Y553" s="1214">
        <v>0</v>
      </c>
      <c r="Z553" s="1214">
        <v>0</v>
      </c>
      <c r="AA553" s="1214">
        <v>0</v>
      </c>
      <c r="AB553" s="1214">
        <v>0</v>
      </c>
      <c r="AC553" s="1214">
        <v>0</v>
      </c>
      <c r="AD553" s="1214">
        <v>0</v>
      </c>
      <c r="AE553" s="1214">
        <v>0</v>
      </c>
      <c r="AF553" s="716">
        <v>0</v>
      </c>
      <c r="AG553" s="663">
        <v>0</v>
      </c>
      <c r="AH553" s="664"/>
      <c r="AI553" s="664"/>
      <c r="AJ553" s="664"/>
      <c r="AK553" s="664"/>
      <c r="AL553" s="664"/>
      <c r="AM553" s="664"/>
      <c r="AN553" s="664"/>
      <c r="AO553" s="664"/>
      <c r="AP553" s="664"/>
      <c r="AQ553" s="664"/>
      <c r="AR553" s="664"/>
      <c r="AS553" s="664"/>
      <c r="AT553" s="664"/>
      <c r="AU553" s="664"/>
      <c r="AV553" s="664"/>
      <c r="AW553" s="664"/>
      <c r="AX553" s="664"/>
      <c r="AY553" s="664"/>
      <c r="AZ553" s="664"/>
      <c r="BA553" s="664"/>
      <c r="BB553" s="664"/>
      <c r="BC553" s="664"/>
      <c r="BD553" s="664"/>
      <c r="BE553" s="664"/>
      <c r="BF553" s="664"/>
      <c r="BG553" s="664"/>
      <c r="BH553" s="664"/>
      <c r="BI553" s="664"/>
      <c r="BJ553" s="664"/>
      <c r="BK553" s="664"/>
      <c r="BL553" s="664"/>
      <c r="BM553" s="664"/>
      <c r="BN553" s="664"/>
      <c r="BO553" s="664"/>
      <c r="BP553" s="664"/>
      <c r="BQ553" s="664"/>
      <c r="BR553" s="664"/>
      <c r="BS553" s="664"/>
      <c r="BT553" s="664"/>
      <c r="BU553" s="664"/>
      <c r="BV553" s="664"/>
      <c r="BW553" s="664"/>
      <c r="BX553" s="664"/>
      <c r="BY553" s="664"/>
      <c r="BZ553" s="664"/>
      <c r="CA553" s="664"/>
    </row>
    <row r="554" spans="1:79" hidden="1" outlineLevel="1" x14ac:dyDescent="0.25">
      <c r="A554" s="656"/>
      <c r="E554" s="40" t="s">
        <v>867</v>
      </c>
      <c r="F554" s="656" t="s">
        <v>868</v>
      </c>
      <c r="G554" s="719"/>
      <c r="H554" s="719"/>
      <c r="I554" s="719"/>
      <c r="J554" s="719"/>
      <c r="K554" s="719"/>
      <c r="L554" s="719"/>
      <c r="M554" s="719"/>
      <c r="N554" s="719"/>
      <c r="O554" s="719"/>
      <c r="P554" s="716"/>
      <c r="Q554" s="716"/>
      <c r="R554" s="716"/>
      <c r="S554" s="1214">
        <v>2704.36</v>
      </c>
      <c r="T554" s="1214">
        <v>3</v>
      </c>
      <c r="U554" s="1214">
        <v>48</v>
      </c>
      <c r="V554" s="1214">
        <v>48</v>
      </c>
      <c r="W554" s="1214">
        <v>31.4</v>
      </c>
      <c r="X554" s="1214">
        <v>3</v>
      </c>
      <c r="Y554" s="1214">
        <v>63</v>
      </c>
      <c r="Z554" s="1214">
        <v>32.950000000000003</v>
      </c>
      <c r="AA554" s="1214">
        <v>32.950000000000003</v>
      </c>
      <c r="AB554" s="1214">
        <v>32.950000000000003</v>
      </c>
      <c r="AC554" s="1214">
        <v>5417.44</v>
      </c>
      <c r="AD554" s="1214">
        <v>72.95</v>
      </c>
      <c r="AE554" s="1214">
        <v>241.28</v>
      </c>
      <c r="AF554" s="719">
        <v>238.29</v>
      </c>
      <c r="AG554" s="663">
        <v>9954.82</v>
      </c>
      <c r="AH554" s="716"/>
      <c r="AI554" s="716"/>
      <c r="AJ554" s="716"/>
      <c r="AK554" s="716"/>
      <c r="AL554" s="716"/>
      <c r="AM554" s="716"/>
      <c r="AN554" s="716"/>
      <c r="AO554" s="716"/>
      <c r="AP554" s="716"/>
      <c r="AQ554" s="716"/>
      <c r="AR554" s="716"/>
      <c r="AS554" s="716"/>
      <c r="AT554" s="716"/>
      <c r="AU554" s="716"/>
      <c r="AV554" s="716"/>
      <c r="AW554" s="716"/>
      <c r="AX554" s="716"/>
      <c r="AY554" s="716"/>
      <c r="AZ554" s="716"/>
      <c r="BA554" s="716"/>
      <c r="BB554" s="716"/>
      <c r="BC554" s="716"/>
      <c r="BD554" s="716"/>
      <c r="BE554" s="716"/>
      <c r="BF554" s="716"/>
      <c r="BG554" s="716"/>
      <c r="BH554" s="716"/>
      <c r="BI554" s="716"/>
      <c r="BJ554" s="716"/>
      <c r="BK554" s="716"/>
      <c r="BL554" s="716"/>
      <c r="BM554" s="716"/>
      <c r="BN554" s="716"/>
      <c r="BO554" s="716"/>
      <c r="BP554" s="716"/>
      <c r="BQ554" s="716"/>
      <c r="BR554" s="716"/>
      <c r="BS554" s="716"/>
      <c r="BT554" s="716"/>
      <c r="BU554" s="716"/>
      <c r="BV554" s="716"/>
      <c r="BW554" s="716"/>
      <c r="BX554" s="716"/>
      <c r="BY554" s="716"/>
      <c r="BZ554" s="716"/>
      <c r="CA554" s="716"/>
    </row>
    <row r="555" spans="1:79" hidden="1" outlineLevel="1" x14ac:dyDescent="0.25">
      <c r="A555" s="657"/>
      <c r="B555" s="570"/>
      <c r="C555" s="570"/>
      <c r="D555" s="570"/>
      <c r="E555" s="40" t="s">
        <v>49</v>
      </c>
      <c r="F555" s="1218" t="s">
        <v>869</v>
      </c>
      <c r="G555" s="1219">
        <f>SUM(G553:G554)</f>
        <v>0</v>
      </c>
      <c r="H555" s="1219">
        <f t="shared" ref="H555:BO555" si="197">SUM(H553:H554)</f>
        <v>0</v>
      </c>
      <c r="I555" s="1219">
        <f t="shared" si="197"/>
        <v>0</v>
      </c>
      <c r="J555" s="1219">
        <f t="shared" si="197"/>
        <v>0</v>
      </c>
      <c r="K555" s="1219">
        <f t="shared" si="197"/>
        <v>0</v>
      </c>
      <c r="L555" s="1219">
        <f t="shared" si="197"/>
        <v>0</v>
      </c>
      <c r="M555" s="1219">
        <f t="shared" si="197"/>
        <v>0</v>
      </c>
      <c r="N555" s="1219">
        <f t="shared" si="197"/>
        <v>0</v>
      </c>
      <c r="O555" s="1219">
        <f t="shared" si="197"/>
        <v>0</v>
      </c>
      <c r="P555" s="1219">
        <f t="shared" si="197"/>
        <v>0</v>
      </c>
      <c r="Q555" s="1219">
        <f t="shared" si="197"/>
        <v>0</v>
      </c>
      <c r="R555" s="1219">
        <f t="shared" si="197"/>
        <v>0</v>
      </c>
      <c r="S555" s="1219">
        <f t="shared" ref="S555:AA555" si="198">ROUND(SUM(S552:S554),5)</f>
        <v>2704.36</v>
      </c>
      <c r="T555" s="1219">
        <f t="shared" si="198"/>
        <v>3</v>
      </c>
      <c r="U555" s="1219">
        <f t="shared" si="198"/>
        <v>48</v>
      </c>
      <c r="V555" s="1219">
        <f t="shared" si="198"/>
        <v>48</v>
      </c>
      <c r="W555" s="1219">
        <f t="shared" si="198"/>
        <v>31.4</v>
      </c>
      <c r="X555" s="1219">
        <f t="shared" si="198"/>
        <v>3</v>
      </c>
      <c r="Y555" s="1219">
        <f t="shared" si="198"/>
        <v>63</v>
      </c>
      <c r="Z555" s="1219">
        <f t="shared" si="198"/>
        <v>32.950000000000003</v>
      </c>
      <c r="AA555" s="1219">
        <f t="shared" si="198"/>
        <v>32.950000000000003</v>
      </c>
      <c r="AB555" s="1219">
        <f t="shared" ref="AB555:AG555" si="199">ROUND(SUM(AB552:AB554),5)</f>
        <v>32.950000000000003</v>
      </c>
      <c r="AC555" s="1219">
        <f t="shared" si="199"/>
        <v>5417.44</v>
      </c>
      <c r="AD555" s="1219">
        <f t="shared" si="199"/>
        <v>72.95</v>
      </c>
      <c r="AE555" s="1219">
        <f t="shared" si="199"/>
        <v>241.28</v>
      </c>
      <c r="AF555" s="664">
        <f t="shared" si="199"/>
        <v>238.29</v>
      </c>
      <c r="AG555" s="664">
        <f t="shared" si="199"/>
        <v>9954.82</v>
      </c>
      <c r="AH555" s="664">
        <f t="shared" si="197"/>
        <v>0</v>
      </c>
      <c r="AI555" s="664">
        <f t="shared" si="197"/>
        <v>0</v>
      </c>
      <c r="AJ555" s="664">
        <f t="shared" si="197"/>
        <v>0</v>
      </c>
      <c r="AK555" s="664">
        <f t="shared" si="197"/>
        <v>0</v>
      </c>
      <c r="AL555" s="664">
        <f t="shared" si="197"/>
        <v>0</v>
      </c>
      <c r="AM555" s="664">
        <f t="shared" si="197"/>
        <v>0</v>
      </c>
      <c r="AN555" s="664">
        <f t="shared" si="197"/>
        <v>0</v>
      </c>
      <c r="AO555" s="664">
        <f t="shared" si="197"/>
        <v>0</v>
      </c>
      <c r="AP555" s="664">
        <f t="shared" si="197"/>
        <v>0</v>
      </c>
      <c r="AQ555" s="664">
        <f t="shared" si="197"/>
        <v>0</v>
      </c>
      <c r="AR555" s="664">
        <f t="shared" si="197"/>
        <v>0</v>
      </c>
      <c r="AS555" s="664">
        <f t="shared" si="197"/>
        <v>0</v>
      </c>
      <c r="AT555" s="664">
        <f t="shared" si="197"/>
        <v>0</v>
      </c>
      <c r="AU555" s="664">
        <f t="shared" si="197"/>
        <v>0</v>
      </c>
      <c r="AV555" s="664">
        <f t="shared" si="197"/>
        <v>0</v>
      </c>
      <c r="AW555" s="664">
        <f t="shared" si="197"/>
        <v>0</v>
      </c>
      <c r="AX555" s="664">
        <f t="shared" si="197"/>
        <v>0</v>
      </c>
      <c r="AY555" s="664">
        <f t="shared" si="197"/>
        <v>0</v>
      </c>
      <c r="AZ555" s="664">
        <f t="shared" si="197"/>
        <v>0</v>
      </c>
      <c r="BA555" s="664">
        <f t="shared" si="197"/>
        <v>0</v>
      </c>
      <c r="BB555" s="664">
        <f t="shared" si="197"/>
        <v>0</v>
      </c>
      <c r="BC555" s="664">
        <f t="shared" si="197"/>
        <v>0</v>
      </c>
      <c r="BD555" s="664">
        <f t="shared" si="197"/>
        <v>0</v>
      </c>
      <c r="BE555" s="664">
        <f t="shared" si="197"/>
        <v>0</v>
      </c>
      <c r="BF555" s="664">
        <f t="shared" si="197"/>
        <v>0</v>
      </c>
      <c r="BG555" s="664">
        <f t="shared" si="197"/>
        <v>0</v>
      </c>
      <c r="BH555" s="664">
        <f t="shared" si="197"/>
        <v>0</v>
      </c>
      <c r="BI555" s="664">
        <f t="shared" si="197"/>
        <v>0</v>
      </c>
      <c r="BJ555" s="664">
        <f t="shared" si="197"/>
        <v>0</v>
      </c>
      <c r="BK555" s="664">
        <f t="shared" si="197"/>
        <v>0</v>
      </c>
      <c r="BL555" s="664">
        <f t="shared" si="197"/>
        <v>0</v>
      </c>
      <c r="BM555" s="664">
        <f t="shared" si="197"/>
        <v>0</v>
      </c>
      <c r="BN555" s="664">
        <f t="shared" si="197"/>
        <v>0</v>
      </c>
      <c r="BO555" s="664">
        <f t="shared" si="197"/>
        <v>0</v>
      </c>
      <c r="BP555" s="664">
        <f t="shared" ref="BP555:CA555" si="200">SUM(BP553:BP554)</f>
        <v>0</v>
      </c>
      <c r="BQ555" s="664">
        <f t="shared" si="200"/>
        <v>0</v>
      </c>
      <c r="BR555" s="664">
        <f t="shared" si="200"/>
        <v>0</v>
      </c>
      <c r="BS555" s="664">
        <f t="shared" si="200"/>
        <v>0</v>
      </c>
      <c r="BT555" s="664">
        <f t="shared" si="200"/>
        <v>0</v>
      </c>
      <c r="BU555" s="664">
        <f t="shared" si="200"/>
        <v>0</v>
      </c>
      <c r="BV555" s="664">
        <f t="shared" si="200"/>
        <v>0</v>
      </c>
      <c r="BW555" s="664">
        <f t="shared" si="200"/>
        <v>0</v>
      </c>
      <c r="BX555" s="664">
        <f t="shared" si="200"/>
        <v>0</v>
      </c>
      <c r="BY555" s="664">
        <f t="shared" si="200"/>
        <v>0</v>
      </c>
      <c r="BZ555" s="664">
        <f t="shared" si="200"/>
        <v>0</v>
      </c>
      <c r="CA555" s="664">
        <f t="shared" si="200"/>
        <v>0</v>
      </c>
    </row>
    <row r="556" spans="1:79" hidden="1" outlineLevel="1" x14ac:dyDescent="0.25">
      <c r="A556" s="658"/>
      <c r="E556" s="40" t="s">
        <v>1328</v>
      </c>
      <c r="F556" s="626" t="s">
        <v>589</v>
      </c>
      <c r="G556" s="719"/>
      <c r="H556" s="719">
        <v>1.2901486307198837</v>
      </c>
      <c r="I556" s="719">
        <v>0.24617068856341651</v>
      </c>
      <c r="J556" s="719">
        <v>1.8790205295375235</v>
      </c>
      <c r="K556" s="719">
        <v>0.10097224824392792</v>
      </c>
      <c r="L556" s="719">
        <v>2.8985221787487263</v>
      </c>
      <c r="M556" s="719">
        <v>0.12433487796805044</v>
      </c>
      <c r="N556" s="719">
        <v>1.4757630029416444</v>
      </c>
      <c r="O556" s="719">
        <v>1.1297483618911388</v>
      </c>
      <c r="P556" s="716">
        <v>7.0825628987797531</v>
      </c>
      <c r="Q556" s="716"/>
      <c r="R556" s="716"/>
      <c r="S556" s="667">
        <v>0</v>
      </c>
      <c r="T556" s="667">
        <v>54.99</v>
      </c>
      <c r="U556" s="667">
        <v>0</v>
      </c>
      <c r="V556" s="667">
        <v>0</v>
      </c>
      <c r="W556" s="667">
        <v>0</v>
      </c>
      <c r="X556" s="667">
        <v>0</v>
      </c>
      <c r="Y556" s="667">
        <v>0</v>
      </c>
      <c r="Z556" s="667">
        <v>0</v>
      </c>
      <c r="AA556" s="667">
        <v>0</v>
      </c>
      <c r="AB556" s="667">
        <v>0</v>
      </c>
      <c r="AC556" s="666">
        <v>0</v>
      </c>
      <c r="AD556" s="666">
        <v>0</v>
      </c>
      <c r="AE556" s="667">
        <v>0</v>
      </c>
      <c r="AF556" s="719">
        <v>0</v>
      </c>
      <c r="AG556" s="666">
        <v>0</v>
      </c>
      <c r="AH556" s="716"/>
      <c r="AI556" s="716"/>
      <c r="AJ556" s="716"/>
      <c r="AK556" s="716"/>
      <c r="AL556" s="716"/>
      <c r="AM556" s="716"/>
      <c r="AN556" s="716"/>
      <c r="AO556" s="716"/>
      <c r="AP556" s="716"/>
      <c r="AQ556" s="716"/>
      <c r="AR556" s="716"/>
      <c r="AS556" s="716"/>
      <c r="AT556" s="716"/>
      <c r="AU556" s="716"/>
      <c r="AV556" s="716"/>
      <c r="AW556" s="716"/>
      <c r="AX556" s="716"/>
      <c r="AY556" s="716"/>
      <c r="AZ556" s="716"/>
      <c r="BA556" s="716"/>
      <c r="BB556" s="716"/>
      <c r="BC556" s="716"/>
      <c r="BD556" s="716"/>
      <c r="BE556" s="716"/>
      <c r="BF556" s="716"/>
      <c r="BG556" s="716"/>
      <c r="BH556" s="716"/>
      <c r="BI556" s="716"/>
      <c r="BJ556" s="716"/>
      <c r="BK556" s="716"/>
      <c r="BL556" s="716"/>
      <c r="BM556" s="716"/>
      <c r="BN556" s="716"/>
      <c r="BO556" s="716"/>
      <c r="BP556" s="716"/>
      <c r="BQ556" s="716"/>
      <c r="BR556" s="716"/>
      <c r="BS556" s="716"/>
      <c r="BT556" s="716"/>
      <c r="BU556" s="716"/>
      <c r="BV556" s="716"/>
      <c r="BW556" s="716"/>
      <c r="BX556" s="716"/>
      <c r="BY556" s="716"/>
      <c r="BZ556" s="716"/>
      <c r="CA556" s="716"/>
    </row>
    <row r="557" spans="1:79" hidden="1" outlineLevel="1" x14ac:dyDescent="0.25">
      <c r="A557" s="655"/>
      <c r="B557" s="570"/>
      <c r="C557" s="570"/>
      <c r="D557" s="570"/>
      <c r="E557" s="40" t="s">
        <v>1329</v>
      </c>
      <c r="F557" s="1215" t="s">
        <v>870</v>
      </c>
      <c r="G557" s="719"/>
      <c r="H557" s="719"/>
      <c r="I557" s="719"/>
      <c r="J557" s="719"/>
      <c r="K557" s="719"/>
      <c r="L557" s="719"/>
      <c r="M557" s="719"/>
      <c r="N557" s="719"/>
      <c r="O557" s="719"/>
      <c r="P557" s="716"/>
      <c r="Q557" s="716"/>
      <c r="R557" s="716"/>
      <c r="S557" s="667">
        <v>0</v>
      </c>
      <c r="T557" s="667">
        <v>0</v>
      </c>
      <c r="U557" s="667">
        <v>0</v>
      </c>
      <c r="V557" s="667">
        <v>0</v>
      </c>
      <c r="W557" s="667">
        <v>0</v>
      </c>
      <c r="X557" s="667">
        <v>0</v>
      </c>
      <c r="Y557" s="667">
        <v>0</v>
      </c>
      <c r="Z557" s="667">
        <v>0</v>
      </c>
      <c r="AA557" s="667">
        <v>0</v>
      </c>
      <c r="AB557" s="667">
        <v>0</v>
      </c>
      <c r="AC557" s="666">
        <v>0</v>
      </c>
      <c r="AD557" s="666">
        <v>0</v>
      </c>
      <c r="AE557" s="667">
        <v>0</v>
      </c>
      <c r="AF557" s="719">
        <v>0</v>
      </c>
      <c r="AG557" s="666">
        <v>0</v>
      </c>
      <c r="AH557" s="716"/>
      <c r="AI557" s="716"/>
      <c r="AJ557" s="716"/>
      <c r="AK557" s="716"/>
      <c r="AL557" s="716"/>
      <c r="AM557" s="716"/>
      <c r="AN557" s="716"/>
      <c r="AO557" s="716"/>
      <c r="AP557" s="716"/>
      <c r="AQ557" s="716"/>
      <c r="AR557" s="716"/>
      <c r="AS557" s="716"/>
      <c r="AT557" s="716"/>
      <c r="AU557" s="716"/>
      <c r="AV557" s="716"/>
      <c r="AW557" s="716"/>
      <c r="AX557" s="716"/>
      <c r="AY557" s="716"/>
      <c r="AZ557" s="716"/>
      <c r="BA557" s="716"/>
      <c r="BB557" s="716"/>
      <c r="BC557" s="716"/>
      <c r="BD557" s="716"/>
      <c r="BE557" s="716"/>
      <c r="BF557" s="716"/>
      <c r="BG557" s="716"/>
      <c r="BH557" s="716"/>
      <c r="BI557" s="716"/>
      <c r="BJ557" s="716"/>
      <c r="BK557" s="716"/>
      <c r="BL557" s="716"/>
      <c r="BM557" s="716"/>
      <c r="BN557" s="716"/>
      <c r="BO557" s="716"/>
      <c r="BP557" s="716"/>
      <c r="BQ557" s="716"/>
      <c r="BR557" s="716"/>
      <c r="BS557" s="716"/>
      <c r="BT557" s="716"/>
      <c r="BU557" s="716"/>
      <c r="BV557" s="716"/>
      <c r="BW557" s="716"/>
      <c r="BX557" s="716"/>
      <c r="BY557" s="716"/>
      <c r="BZ557" s="716"/>
      <c r="CA557" s="716"/>
    </row>
    <row r="558" spans="1:79" s="710" customFormat="1" hidden="1" outlineLevel="1" x14ac:dyDescent="0.25">
      <c r="A558" s="695"/>
      <c r="E558" s="40" t="s">
        <v>1330</v>
      </c>
      <c r="F558" s="1222" t="s">
        <v>590</v>
      </c>
      <c r="G558" s="733"/>
      <c r="H558" s="733"/>
      <c r="I558" s="733"/>
      <c r="J558" s="733"/>
      <c r="K558" s="733"/>
      <c r="L558" s="733"/>
      <c r="M558" s="733"/>
      <c r="N558" s="733"/>
      <c r="O558" s="733"/>
      <c r="P558" s="734"/>
      <c r="Q558" s="734"/>
      <c r="R558" s="734"/>
      <c r="S558" s="1223"/>
      <c r="T558" s="1223"/>
      <c r="U558" s="1223"/>
      <c r="V558" s="1223"/>
      <c r="W558" s="1223"/>
      <c r="X558" s="1223"/>
      <c r="Y558" s="1223"/>
      <c r="Z558" s="1223"/>
      <c r="AA558" s="1223"/>
      <c r="AB558" s="1223"/>
      <c r="AC558" s="1223"/>
      <c r="AD558" s="1223"/>
      <c r="AE558" s="1223"/>
      <c r="AF558" s="733"/>
      <c r="AG558" s="697"/>
      <c r="AH558" s="734"/>
      <c r="AI558" s="734"/>
      <c r="AJ558" s="734"/>
      <c r="AK558" s="734"/>
      <c r="AL558" s="734"/>
      <c r="AM558" s="734"/>
      <c r="AN558" s="734"/>
      <c r="AO558" s="734"/>
      <c r="AP558" s="734"/>
      <c r="AQ558" s="734"/>
      <c r="AR558" s="734"/>
      <c r="AS558" s="734"/>
      <c r="AT558" s="734"/>
      <c r="AU558" s="734"/>
      <c r="AV558" s="734"/>
      <c r="AW558" s="734"/>
      <c r="AX558" s="734"/>
      <c r="AY558" s="734"/>
      <c r="AZ558" s="734"/>
      <c r="BA558" s="734"/>
      <c r="BB558" s="734"/>
      <c r="BC558" s="734"/>
      <c r="BD558" s="734"/>
      <c r="BE558" s="734"/>
      <c r="BF558" s="734"/>
      <c r="BG558" s="734"/>
      <c r="BH558" s="734"/>
      <c r="BI558" s="734"/>
      <c r="BJ558" s="734"/>
      <c r="BK558" s="734"/>
      <c r="BL558" s="734"/>
      <c r="BM558" s="734"/>
      <c r="BN558" s="734"/>
      <c r="BO558" s="734"/>
      <c r="BP558" s="734"/>
      <c r="BQ558" s="734"/>
      <c r="BR558" s="734"/>
      <c r="BS558" s="734"/>
      <c r="BT558" s="734"/>
      <c r="BU558" s="734"/>
      <c r="BV558" s="734"/>
      <c r="BW558" s="734"/>
      <c r="BX558" s="734"/>
      <c r="BY558" s="734"/>
      <c r="BZ558" s="734"/>
      <c r="CA558" s="734"/>
    </row>
    <row r="559" spans="1:79" hidden="1" outlineLevel="1" x14ac:dyDescent="0.25">
      <c r="A559" s="691"/>
      <c r="B559" s="693"/>
      <c r="C559" s="693"/>
      <c r="D559" s="693"/>
      <c r="E559" s="40" t="s">
        <v>645</v>
      </c>
      <c r="F559" s="1216" t="s">
        <v>645</v>
      </c>
      <c r="G559" s="1217"/>
      <c r="H559" s="1217"/>
      <c r="I559" s="1217"/>
      <c r="J559" s="1217"/>
      <c r="K559" s="1217"/>
      <c r="L559" s="1217"/>
      <c r="M559" s="1217"/>
      <c r="N559" s="1217"/>
      <c r="O559" s="1217"/>
      <c r="P559" s="1217"/>
      <c r="Q559" s="1217"/>
      <c r="R559" s="1217"/>
      <c r="S559" s="1217"/>
      <c r="T559" s="1217"/>
      <c r="U559" s="1217"/>
      <c r="V559" s="1217"/>
      <c r="W559" s="1217"/>
      <c r="X559" s="1217"/>
      <c r="Y559" s="1217"/>
      <c r="Z559" s="1217"/>
      <c r="AA559" s="1217"/>
      <c r="AB559" s="1217"/>
      <c r="AC559" s="1217"/>
      <c r="AD559" s="1217"/>
      <c r="AE559" s="1217"/>
      <c r="AF559" s="692"/>
      <c r="AG559" s="692"/>
      <c r="AH559" s="692"/>
      <c r="AI559" s="692"/>
      <c r="AJ559" s="692"/>
      <c r="AK559" s="692"/>
      <c r="AL559" s="692"/>
      <c r="AM559" s="692"/>
      <c r="AN559" s="692"/>
      <c r="AO559" s="692"/>
      <c r="AP559" s="692"/>
      <c r="AQ559" s="692"/>
      <c r="AR559" s="692"/>
      <c r="AS559" s="692"/>
      <c r="AT559" s="692"/>
      <c r="AU559" s="692"/>
      <c r="AV559" s="692"/>
      <c r="AW559" s="692"/>
      <c r="AX559" s="692"/>
      <c r="AY559" s="692"/>
      <c r="AZ559" s="692"/>
      <c r="BA559" s="692"/>
      <c r="BB559" s="692"/>
      <c r="BC559" s="692"/>
      <c r="BD559" s="692"/>
      <c r="BE559" s="692"/>
      <c r="BF559" s="692"/>
      <c r="BG559" s="692"/>
      <c r="BH559" s="692"/>
      <c r="BI559" s="692"/>
      <c r="BJ559" s="692"/>
      <c r="BK559" s="692"/>
      <c r="BL559" s="692"/>
      <c r="BM559" s="692"/>
      <c r="BN559" s="692"/>
      <c r="BO559" s="692"/>
      <c r="BP559" s="692"/>
      <c r="BQ559" s="692"/>
      <c r="BR559" s="692"/>
      <c r="BS559" s="692"/>
      <c r="BT559" s="692"/>
      <c r="BU559" s="692"/>
      <c r="BV559" s="692"/>
      <c r="BW559" s="692"/>
      <c r="BX559" s="692"/>
      <c r="BY559" s="692"/>
      <c r="BZ559" s="692"/>
      <c r="CA559" s="692"/>
    </row>
    <row r="560" spans="1:79" hidden="1" outlineLevel="1" x14ac:dyDescent="0.25">
      <c r="A560" s="656"/>
      <c r="B560" s="223"/>
      <c r="C560" s="223"/>
      <c r="D560" s="223"/>
      <c r="E560" s="40" t="s">
        <v>1330</v>
      </c>
      <c r="F560" s="656" t="s">
        <v>858</v>
      </c>
      <c r="G560" s="1214"/>
      <c r="H560" s="1214"/>
      <c r="I560" s="1214"/>
      <c r="J560" s="1214"/>
      <c r="K560" s="1214"/>
      <c r="L560" s="1214"/>
      <c r="M560" s="1214"/>
      <c r="N560" s="1214"/>
      <c r="O560" s="1214"/>
      <c r="P560" s="1214"/>
      <c r="Q560" s="1214"/>
      <c r="R560" s="1214"/>
      <c r="S560" s="1214">
        <v>0</v>
      </c>
      <c r="T560" s="1214">
        <v>0</v>
      </c>
      <c r="U560" s="1214">
        <v>0</v>
      </c>
      <c r="V560" s="1214">
        <v>0</v>
      </c>
      <c r="W560" s="1214">
        <v>0</v>
      </c>
      <c r="X560" s="1214">
        <v>0</v>
      </c>
      <c r="Y560" s="1214">
        <v>0</v>
      </c>
      <c r="Z560" s="1214">
        <v>0</v>
      </c>
      <c r="AA560" s="1214">
        <v>0</v>
      </c>
      <c r="AB560" s="1214">
        <v>0</v>
      </c>
      <c r="AC560" s="1214">
        <v>0</v>
      </c>
      <c r="AD560" s="1214">
        <v>0</v>
      </c>
      <c r="AE560" s="1214">
        <v>0</v>
      </c>
      <c r="AF560" s="663">
        <v>0</v>
      </c>
      <c r="AG560" s="663">
        <v>0</v>
      </c>
      <c r="AH560" s="663"/>
      <c r="AI560" s="663"/>
      <c r="AJ560" s="663"/>
      <c r="AK560" s="663"/>
      <c r="AL560" s="663"/>
      <c r="AM560" s="663"/>
      <c r="AN560" s="663"/>
      <c r="AO560" s="663"/>
      <c r="AP560" s="663"/>
      <c r="AQ560" s="663"/>
      <c r="AR560" s="663"/>
      <c r="AS560" s="663"/>
      <c r="AT560" s="663"/>
      <c r="AU560" s="663"/>
      <c r="AV560" s="663"/>
      <c r="AW560" s="663"/>
      <c r="AX560" s="663"/>
      <c r="AY560" s="663"/>
      <c r="AZ560" s="663"/>
      <c r="BA560" s="663"/>
      <c r="BB560" s="663"/>
      <c r="BC560" s="663"/>
      <c r="BD560" s="663"/>
      <c r="BE560" s="663"/>
      <c r="BF560" s="663"/>
      <c r="BG560" s="663"/>
      <c r="BH560" s="663"/>
      <c r="BI560" s="663"/>
      <c r="BJ560" s="663"/>
      <c r="BK560" s="663"/>
      <c r="BL560" s="663"/>
      <c r="BM560" s="663"/>
      <c r="BN560" s="663"/>
      <c r="BO560" s="663"/>
      <c r="BP560" s="663"/>
      <c r="BQ560" s="663"/>
      <c r="BR560" s="663"/>
      <c r="BS560" s="663"/>
      <c r="BT560" s="663"/>
      <c r="BU560" s="663"/>
      <c r="BV560" s="663"/>
      <c r="BW560" s="663"/>
      <c r="BX560" s="663"/>
      <c r="BY560" s="663"/>
      <c r="BZ560" s="663"/>
      <c r="CA560" s="663"/>
    </row>
    <row r="561" spans="1:79" hidden="1" outlineLevel="1" x14ac:dyDescent="0.25">
      <c r="A561" s="656"/>
      <c r="B561" s="570"/>
      <c r="C561" s="570"/>
      <c r="D561" s="570"/>
      <c r="E561" s="40" t="s">
        <v>645</v>
      </c>
      <c r="F561" s="656" t="s">
        <v>859</v>
      </c>
      <c r="G561" s="719"/>
      <c r="H561" s="719"/>
      <c r="I561" s="719"/>
      <c r="J561" s="719"/>
      <c r="K561" s="719"/>
      <c r="L561" s="719"/>
      <c r="M561" s="719"/>
      <c r="N561" s="719"/>
      <c r="O561" s="719"/>
      <c r="P561" s="716"/>
      <c r="Q561" s="716"/>
      <c r="R561" s="716"/>
      <c r="S561" s="1214">
        <v>0</v>
      </c>
      <c r="T561" s="1214">
        <v>0</v>
      </c>
      <c r="U561" s="1214">
        <v>0</v>
      </c>
      <c r="V561" s="1214">
        <v>0</v>
      </c>
      <c r="W561" s="1214">
        <v>0</v>
      </c>
      <c r="X561" s="1214">
        <v>0</v>
      </c>
      <c r="Y561" s="1214">
        <v>0</v>
      </c>
      <c r="Z561" s="1214">
        <v>0</v>
      </c>
      <c r="AA561" s="1214">
        <v>0</v>
      </c>
      <c r="AB561" s="1214">
        <v>0</v>
      </c>
      <c r="AC561" s="1214">
        <v>0</v>
      </c>
      <c r="AD561" s="1214">
        <v>0</v>
      </c>
      <c r="AE561" s="1214">
        <v>0</v>
      </c>
      <c r="AF561" s="716">
        <v>0</v>
      </c>
      <c r="AG561" s="663">
        <v>0</v>
      </c>
      <c r="AH561" s="718"/>
      <c r="AI561" s="718"/>
      <c r="AJ561" s="718"/>
      <c r="AK561" s="718"/>
      <c r="AL561" s="718"/>
      <c r="AM561" s="718"/>
      <c r="AN561" s="718"/>
      <c r="AO561" s="718"/>
      <c r="AP561" s="718"/>
      <c r="AQ561" s="718"/>
      <c r="AR561" s="718"/>
      <c r="AS561" s="718"/>
      <c r="AT561" s="718"/>
      <c r="AU561" s="718"/>
      <c r="AV561" s="718"/>
      <c r="AW561" s="718"/>
      <c r="AX561" s="718"/>
      <c r="AY561" s="718"/>
      <c r="AZ561" s="718"/>
      <c r="BA561" s="718"/>
      <c r="BB561" s="718"/>
      <c r="BC561" s="718"/>
      <c r="BD561" s="718"/>
      <c r="BE561" s="718"/>
      <c r="BF561" s="718"/>
      <c r="BG561" s="718"/>
      <c r="BH561" s="718"/>
      <c r="BI561" s="718"/>
      <c r="BJ561" s="718"/>
      <c r="BK561" s="718"/>
      <c r="BL561" s="718"/>
      <c r="BM561" s="718"/>
      <c r="BN561" s="718"/>
      <c r="BO561" s="718"/>
      <c r="BP561" s="718"/>
      <c r="BQ561" s="718"/>
      <c r="BR561" s="718"/>
      <c r="BS561" s="718"/>
      <c r="BT561" s="718"/>
      <c r="BU561" s="718"/>
      <c r="BV561" s="718"/>
      <c r="BW561" s="718"/>
      <c r="BX561" s="718"/>
      <c r="BY561" s="718"/>
      <c r="BZ561" s="718"/>
      <c r="CA561" s="718"/>
    </row>
    <row r="562" spans="1:79" hidden="1" outlineLevel="1" x14ac:dyDescent="0.25">
      <c r="A562" s="657"/>
      <c r="B562" s="223"/>
      <c r="C562" s="223"/>
      <c r="D562" s="223"/>
      <c r="E562" s="40" t="s">
        <v>49</v>
      </c>
      <c r="F562" s="1218" t="s">
        <v>860</v>
      </c>
      <c r="G562" s="1219">
        <f>SUM(G560:G561)</f>
        <v>0</v>
      </c>
      <c r="H562" s="1219">
        <f t="shared" ref="H562:BO562" si="201">SUM(H560:H561)</f>
        <v>0</v>
      </c>
      <c r="I562" s="1219">
        <f t="shared" si="201"/>
        <v>0</v>
      </c>
      <c r="J562" s="1219">
        <f t="shared" si="201"/>
        <v>0</v>
      </c>
      <c r="K562" s="1219">
        <f t="shared" si="201"/>
        <v>0</v>
      </c>
      <c r="L562" s="1219">
        <f t="shared" si="201"/>
        <v>0</v>
      </c>
      <c r="M562" s="1219">
        <f t="shared" si="201"/>
        <v>0</v>
      </c>
      <c r="N562" s="1219">
        <f t="shared" si="201"/>
        <v>0</v>
      </c>
      <c r="O562" s="1219">
        <f t="shared" si="201"/>
        <v>0</v>
      </c>
      <c r="P562" s="1219">
        <f t="shared" si="201"/>
        <v>0</v>
      </c>
      <c r="Q562" s="1219">
        <f t="shared" si="201"/>
        <v>0</v>
      </c>
      <c r="R562" s="1219">
        <f t="shared" si="201"/>
        <v>0</v>
      </c>
      <c r="S562" s="1219">
        <f t="shared" ref="S562:AA562" si="202">ROUND(SUM(S559:S561),5)</f>
        <v>0</v>
      </c>
      <c r="T562" s="1219">
        <f t="shared" si="202"/>
        <v>0</v>
      </c>
      <c r="U562" s="1219">
        <f t="shared" si="202"/>
        <v>0</v>
      </c>
      <c r="V562" s="1219">
        <f t="shared" si="202"/>
        <v>0</v>
      </c>
      <c r="W562" s="1219">
        <f t="shared" si="202"/>
        <v>0</v>
      </c>
      <c r="X562" s="1219">
        <f t="shared" si="202"/>
        <v>0</v>
      </c>
      <c r="Y562" s="1219">
        <f t="shared" si="202"/>
        <v>0</v>
      </c>
      <c r="Z562" s="1219">
        <f t="shared" si="202"/>
        <v>0</v>
      </c>
      <c r="AA562" s="1219">
        <f t="shared" si="202"/>
        <v>0</v>
      </c>
      <c r="AB562" s="1219">
        <f t="shared" ref="AB562:AG562" si="203">ROUND(SUM(AB559:AB561),5)</f>
        <v>0</v>
      </c>
      <c r="AC562" s="1219">
        <f t="shared" si="203"/>
        <v>0</v>
      </c>
      <c r="AD562" s="1219">
        <f t="shared" si="203"/>
        <v>0</v>
      </c>
      <c r="AE562" s="1219">
        <f t="shared" si="203"/>
        <v>0</v>
      </c>
      <c r="AF562" s="664">
        <f t="shared" si="203"/>
        <v>0</v>
      </c>
      <c r="AG562" s="664">
        <f t="shared" si="203"/>
        <v>0</v>
      </c>
      <c r="AH562" s="664">
        <f t="shared" si="201"/>
        <v>0</v>
      </c>
      <c r="AI562" s="664">
        <f t="shared" si="201"/>
        <v>0</v>
      </c>
      <c r="AJ562" s="664">
        <f t="shared" si="201"/>
        <v>0</v>
      </c>
      <c r="AK562" s="664">
        <f t="shared" si="201"/>
        <v>0</v>
      </c>
      <c r="AL562" s="664">
        <f t="shared" si="201"/>
        <v>0</v>
      </c>
      <c r="AM562" s="664">
        <f t="shared" si="201"/>
        <v>0</v>
      </c>
      <c r="AN562" s="664">
        <f t="shared" si="201"/>
        <v>0</v>
      </c>
      <c r="AO562" s="664">
        <f t="shared" si="201"/>
        <v>0</v>
      </c>
      <c r="AP562" s="664">
        <f t="shared" si="201"/>
        <v>0</v>
      </c>
      <c r="AQ562" s="664">
        <f t="shared" si="201"/>
        <v>0</v>
      </c>
      <c r="AR562" s="664">
        <f t="shared" si="201"/>
        <v>0</v>
      </c>
      <c r="AS562" s="664">
        <f t="shared" si="201"/>
        <v>0</v>
      </c>
      <c r="AT562" s="664">
        <f t="shared" si="201"/>
        <v>0</v>
      </c>
      <c r="AU562" s="664">
        <f t="shared" si="201"/>
        <v>0</v>
      </c>
      <c r="AV562" s="664">
        <f t="shared" si="201"/>
        <v>0</v>
      </c>
      <c r="AW562" s="664">
        <f t="shared" si="201"/>
        <v>0</v>
      </c>
      <c r="AX562" s="664">
        <f t="shared" si="201"/>
        <v>0</v>
      </c>
      <c r="AY562" s="664">
        <f t="shared" si="201"/>
        <v>0</v>
      </c>
      <c r="AZ562" s="664">
        <f t="shared" si="201"/>
        <v>0</v>
      </c>
      <c r="BA562" s="664">
        <f t="shared" si="201"/>
        <v>0</v>
      </c>
      <c r="BB562" s="664">
        <f t="shared" si="201"/>
        <v>0</v>
      </c>
      <c r="BC562" s="664">
        <f t="shared" si="201"/>
        <v>0</v>
      </c>
      <c r="BD562" s="664">
        <f t="shared" si="201"/>
        <v>0</v>
      </c>
      <c r="BE562" s="664">
        <f t="shared" si="201"/>
        <v>0</v>
      </c>
      <c r="BF562" s="664">
        <f t="shared" si="201"/>
        <v>0</v>
      </c>
      <c r="BG562" s="664">
        <f t="shared" si="201"/>
        <v>0</v>
      </c>
      <c r="BH562" s="664">
        <f t="shared" si="201"/>
        <v>0</v>
      </c>
      <c r="BI562" s="664">
        <f t="shared" si="201"/>
        <v>0</v>
      </c>
      <c r="BJ562" s="664">
        <f t="shared" si="201"/>
        <v>0</v>
      </c>
      <c r="BK562" s="664">
        <f t="shared" si="201"/>
        <v>0</v>
      </c>
      <c r="BL562" s="664">
        <f t="shared" si="201"/>
        <v>0</v>
      </c>
      <c r="BM562" s="664">
        <f t="shared" si="201"/>
        <v>0</v>
      </c>
      <c r="BN562" s="664">
        <f t="shared" si="201"/>
        <v>0</v>
      </c>
      <c r="BO562" s="664">
        <f t="shared" si="201"/>
        <v>0</v>
      </c>
      <c r="BP562" s="664">
        <f t="shared" ref="BP562:CA562" si="204">SUM(BP560:BP561)</f>
        <v>0</v>
      </c>
      <c r="BQ562" s="664">
        <f t="shared" si="204"/>
        <v>0</v>
      </c>
      <c r="BR562" s="664">
        <f t="shared" si="204"/>
        <v>0</v>
      </c>
      <c r="BS562" s="664">
        <f t="shared" si="204"/>
        <v>0</v>
      </c>
      <c r="BT562" s="664">
        <f t="shared" si="204"/>
        <v>0</v>
      </c>
      <c r="BU562" s="664">
        <f t="shared" si="204"/>
        <v>0</v>
      </c>
      <c r="BV562" s="664">
        <f t="shared" si="204"/>
        <v>0</v>
      </c>
      <c r="BW562" s="664">
        <f t="shared" si="204"/>
        <v>0</v>
      </c>
      <c r="BX562" s="664">
        <f t="shared" si="204"/>
        <v>0</v>
      </c>
      <c r="BY562" s="664">
        <f t="shared" si="204"/>
        <v>0</v>
      </c>
      <c r="BZ562" s="664">
        <f t="shared" si="204"/>
        <v>0</v>
      </c>
      <c r="CA562" s="664">
        <f t="shared" si="204"/>
        <v>0</v>
      </c>
    </row>
    <row r="563" spans="1:79" s="308" customFormat="1" hidden="1" outlineLevel="1" x14ac:dyDescent="0.25">
      <c r="A563" s="656"/>
      <c r="B563" s="571"/>
      <c r="C563" s="571"/>
      <c r="D563" s="571"/>
      <c r="E563" s="40" t="s">
        <v>1330</v>
      </c>
      <c r="F563" s="656" t="s">
        <v>871</v>
      </c>
      <c r="G563" s="656"/>
      <c r="H563" s="719"/>
      <c r="I563" s="719"/>
      <c r="J563" s="719"/>
      <c r="K563" s="719"/>
      <c r="L563" s="719"/>
      <c r="M563" s="719"/>
      <c r="N563" s="719"/>
      <c r="O563" s="719"/>
      <c r="P563" s="716"/>
      <c r="Q563" s="716"/>
      <c r="R563" s="716"/>
      <c r="S563" s="676">
        <v>0</v>
      </c>
      <c r="T563" s="676">
        <v>0</v>
      </c>
      <c r="U563" s="676">
        <v>0</v>
      </c>
      <c r="V563" s="676">
        <v>0</v>
      </c>
      <c r="W563" s="676">
        <v>0</v>
      </c>
      <c r="X563" s="676">
        <v>0</v>
      </c>
      <c r="Y563" s="676">
        <v>0</v>
      </c>
      <c r="Z563" s="676">
        <v>0</v>
      </c>
      <c r="AA563" s="676">
        <v>0</v>
      </c>
      <c r="AB563" s="676">
        <v>0</v>
      </c>
      <c r="AC563" s="675">
        <v>0</v>
      </c>
      <c r="AD563" s="675">
        <v>0</v>
      </c>
      <c r="AE563" s="676">
        <v>0</v>
      </c>
      <c r="AF563" s="719">
        <v>0</v>
      </c>
      <c r="AG563" s="670">
        <v>0</v>
      </c>
      <c r="AH563" s="716"/>
      <c r="AI563" s="716"/>
      <c r="AJ563" s="716"/>
      <c r="AK563" s="716"/>
      <c r="AL563" s="716"/>
      <c r="AM563" s="716"/>
      <c r="AN563" s="716"/>
      <c r="AO563" s="716"/>
      <c r="AP563" s="716"/>
      <c r="AQ563" s="716"/>
      <c r="AR563" s="716"/>
      <c r="AS563" s="716"/>
      <c r="AT563" s="716"/>
      <c r="AU563" s="716"/>
      <c r="AV563" s="716"/>
      <c r="AW563" s="716"/>
      <c r="AX563" s="716"/>
      <c r="AY563" s="716"/>
      <c r="AZ563" s="716"/>
      <c r="BA563" s="716"/>
      <c r="BB563" s="716"/>
      <c r="BC563" s="716"/>
      <c r="BD563" s="716"/>
      <c r="BE563" s="716"/>
      <c r="BF563" s="716"/>
      <c r="BG563" s="716"/>
      <c r="BH563" s="716"/>
      <c r="BI563" s="716"/>
      <c r="BJ563" s="716"/>
      <c r="BK563" s="716"/>
      <c r="BL563" s="716"/>
      <c r="BM563" s="716"/>
      <c r="BN563" s="716"/>
      <c r="BO563" s="716"/>
      <c r="BP563" s="716"/>
      <c r="BQ563" s="716"/>
      <c r="BR563" s="716"/>
      <c r="BS563" s="716"/>
      <c r="BT563" s="716"/>
      <c r="BU563" s="716"/>
      <c r="BV563" s="716"/>
      <c r="BW563" s="716"/>
      <c r="BX563" s="716"/>
      <c r="BY563" s="716"/>
      <c r="BZ563" s="716"/>
      <c r="CA563" s="716"/>
    </row>
    <row r="564" spans="1:79" s="308" customFormat="1" hidden="1" outlineLevel="1" x14ac:dyDescent="0.25">
      <c r="A564" s="656"/>
      <c r="B564" s="571"/>
      <c r="C564" s="571"/>
      <c r="D564" s="571"/>
      <c r="E564" s="40" t="s">
        <v>1076</v>
      </c>
      <c r="F564" s="656" t="s">
        <v>872</v>
      </c>
      <c r="G564" s="656"/>
      <c r="H564" s="719"/>
      <c r="I564" s="719"/>
      <c r="J564" s="719"/>
      <c r="K564" s="719"/>
      <c r="L564" s="719"/>
      <c r="M564" s="719"/>
      <c r="N564" s="719"/>
      <c r="O564" s="719"/>
      <c r="P564" s="716"/>
      <c r="Q564" s="716"/>
      <c r="R564" s="716"/>
      <c r="S564" s="676">
        <v>0</v>
      </c>
      <c r="T564" s="676">
        <v>0</v>
      </c>
      <c r="U564" s="676">
        <v>0</v>
      </c>
      <c r="V564" s="676">
        <v>0</v>
      </c>
      <c r="W564" s="676">
        <v>0</v>
      </c>
      <c r="X564" s="676">
        <v>0</v>
      </c>
      <c r="Y564" s="676">
        <v>0</v>
      </c>
      <c r="Z564" s="676">
        <v>0</v>
      </c>
      <c r="AA564" s="676">
        <v>0</v>
      </c>
      <c r="AB564" s="676">
        <v>0</v>
      </c>
      <c r="AC564" s="675">
        <v>0</v>
      </c>
      <c r="AD564" s="675">
        <v>0</v>
      </c>
      <c r="AE564" s="676">
        <v>0</v>
      </c>
      <c r="AF564" s="719">
        <v>0</v>
      </c>
      <c r="AG564" s="670">
        <v>0</v>
      </c>
      <c r="AH564" s="716"/>
      <c r="AI564" s="716"/>
      <c r="AJ564" s="716"/>
      <c r="AK564" s="716"/>
      <c r="AL564" s="716"/>
      <c r="AM564" s="716"/>
      <c r="AN564" s="716"/>
      <c r="AO564" s="716"/>
      <c r="AP564" s="716"/>
      <c r="AQ564" s="716"/>
      <c r="AR564" s="716"/>
      <c r="AS564" s="716"/>
      <c r="AT564" s="716"/>
      <c r="AU564" s="716"/>
      <c r="AV564" s="716"/>
      <c r="AW564" s="716"/>
      <c r="AX564" s="716"/>
      <c r="AY564" s="716"/>
      <c r="AZ564" s="716"/>
      <c r="BA564" s="716"/>
      <c r="BB564" s="716"/>
      <c r="BC564" s="716"/>
      <c r="BD564" s="716"/>
      <c r="BE564" s="716"/>
      <c r="BF564" s="716"/>
      <c r="BG564" s="716"/>
      <c r="BH564" s="716"/>
      <c r="BI564" s="716"/>
      <c r="BJ564" s="716"/>
      <c r="BK564" s="716"/>
      <c r="BL564" s="716"/>
      <c r="BM564" s="716"/>
      <c r="BN564" s="716"/>
      <c r="BO564" s="716"/>
      <c r="BP564" s="716"/>
      <c r="BQ564" s="716"/>
      <c r="BR564" s="716"/>
      <c r="BS564" s="716"/>
      <c r="BT564" s="716"/>
      <c r="BU564" s="716"/>
      <c r="BV564" s="716"/>
      <c r="BW564" s="716"/>
      <c r="BX564" s="716"/>
      <c r="BY564" s="716"/>
      <c r="BZ564" s="716"/>
      <c r="CA564" s="716"/>
    </row>
    <row r="565" spans="1:79" s="308" customFormat="1" hidden="1" outlineLevel="1" x14ac:dyDescent="0.25">
      <c r="A565" s="656"/>
      <c r="B565" s="571"/>
      <c r="C565" s="571"/>
      <c r="D565" s="571"/>
      <c r="E565" s="40" t="s">
        <v>1331</v>
      </c>
      <c r="F565" s="656" t="s">
        <v>873</v>
      </c>
      <c r="G565" s="656"/>
      <c r="H565" s="719"/>
      <c r="I565" s="719"/>
      <c r="J565" s="719"/>
      <c r="K565" s="719"/>
      <c r="L565" s="719"/>
      <c r="M565" s="719"/>
      <c r="N565" s="719"/>
      <c r="O565" s="719"/>
      <c r="P565" s="716"/>
      <c r="Q565" s="716"/>
      <c r="R565" s="716"/>
      <c r="S565" s="676">
        <v>0</v>
      </c>
      <c r="T565" s="676">
        <v>0</v>
      </c>
      <c r="U565" s="676">
        <v>0</v>
      </c>
      <c r="V565" s="676">
        <v>0</v>
      </c>
      <c r="W565" s="676">
        <v>0</v>
      </c>
      <c r="X565" s="676">
        <v>0</v>
      </c>
      <c r="Y565" s="676">
        <v>0</v>
      </c>
      <c r="Z565" s="676">
        <v>0</v>
      </c>
      <c r="AA565" s="676">
        <v>0</v>
      </c>
      <c r="AB565" s="676">
        <v>0</v>
      </c>
      <c r="AC565" s="675">
        <v>0</v>
      </c>
      <c r="AD565" s="675">
        <v>0</v>
      </c>
      <c r="AE565" s="676">
        <v>0</v>
      </c>
      <c r="AF565" s="719">
        <v>0</v>
      </c>
      <c r="AG565" s="670">
        <v>0</v>
      </c>
      <c r="AH565" s="716"/>
      <c r="AI565" s="716"/>
      <c r="AJ565" s="716"/>
      <c r="AK565" s="716"/>
      <c r="AL565" s="716"/>
      <c r="AM565" s="716"/>
      <c r="AN565" s="716"/>
      <c r="AO565" s="716"/>
      <c r="AP565" s="716"/>
      <c r="AQ565" s="716"/>
      <c r="AR565" s="716"/>
      <c r="AS565" s="716"/>
      <c r="AT565" s="716"/>
      <c r="AU565" s="716"/>
      <c r="AV565" s="716"/>
      <c r="AW565" s="716"/>
      <c r="AX565" s="716"/>
      <c r="AY565" s="716"/>
      <c r="AZ565" s="716"/>
      <c r="BA565" s="716"/>
      <c r="BB565" s="716"/>
      <c r="BC565" s="716"/>
      <c r="BD565" s="716"/>
      <c r="BE565" s="716"/>
      <c r="BF565" s="716"/>
      <c r="BG565" s="716"/>
      <c r="BH565" s="716"/>
      <c r="BI565" s="716"/>
      <c r="BJ565" s="716"/>
      <c r="BK565" s="716"/>
      <c r="BL565" s="716"/>
      <c r="BM565" s="716"/>
      <c r="BN565" s="716"/>
      <c r="BO565" s="716"/>
      <c r="BP565" s="716"/>
      <c r="BQ565" s="716"/>
      <c r="BR565" s="716"/>
      <c r="BS565" s="716"/>
      <c r="BT565" s="716"/>
      <c r="BU565" s="716"/>
      <c r="BV565" s="716"/>
      <c r="BW565" s="716"/>
      <c r="BX565" s="716"/>
      <c r="BY565" s="716"/>
      <c r="BZ565" s="716"/>
      <c r="CA565" s="716"/>
    </row>
    <row r="566" spans="1:79" s="308" customFormat="1" hidden="1" outlineLevel="1" x14ac:dyDescent="0.25">
      <c r="A566" s="656"/>
      <c r="B566" s="29"/>
      <c r="C566" s="29"/>
      <c r="D566" s="29"/>
      <c r="E566" s="40" t="s">
        <v>1357</v>
      </c>
      <c r="F566" s="656" t="s">
        <v>605</v>
      </c>
      <c r="G566" s="656"/>
      <c r="H566" s="719"/>
      <c r="I566" s="719"/>
      <c r="J566" s="719"/>
      <c r="K566" s="719"/>
      <c r="L566" s="719"/>
      <c r="M566" s="719"/>
      <c r="N566" s="719"/>
      <c r="O566" s="719"/>
      <c r="P566" s="716"/>
      <c r="Q566" s="716"/>
      <c r="R566" s="716"/>
      <c r="S566" s="667">
        <v>0</v>
      </c>
      <c r="T566" s="667">
        <v>0</v>
      </c>
      <c r="U566" s="667">
        <v>0</v>
      </c>
      <c r="V566" s="667">
        <v>34.21</v>
      </c>
      <c r="W566" s="667">
        <v>0</v>
      </c>
      <c r="X566" s="667">
        <v>197.09</v>
      </c>
      <c r="Y566" s="667">
        <v>0</v>
      </c>
      <c r="Z566" s="667">
        <v>647.39</v>
      </c>
      <c r="AA566" s="667">
        <v>845.51</v>
      </c>
      <c r="AB566" s="667">
        <v>1116.5</v>
      </c>
      <c r="AC566" s="674">
        <v>0</v>
      </c>
      <c r="AD566" s="674">
        <v>0</v>
      </c>
      <c r="AE566" s="667">
        <v>0</v>
      </c>
      <c r="AF566" s="719">
        <v>0</v>
      </c>
      <c r="AG566" s="674">
        <v>139</v>
      </c>
      <c r="AH566" s="716"/>
      <c r="AI566" s="716"/>
      <c r="AJ566" s="716"/>
      <c r="AK566" s="716"/>
      <c r="AL566" s="716"/>
      <c r="AM566" s="716"/>
      <c r="AN566" s="716"/>
      <c r="AO566" s="716"/>
      <c r="AP566" s="716"/>
      <c r="AQ566" s="716"/>
      <c r="AR566" s="716"/>
      <c r="AS566" s="716"/>
      <c r="AT566" s="716"/>
      <c r="AU566" s="716"/>
      <c r="AV566" s="716"/>
      <c r="AW566" s="716"/>
      <c r="AX566" s="716"/>
      <c r="AY566" s="716"/>
      <c r="AZ566" s="716"/>
      <c r="BA566" s="716"/>
      <c r="BB566" s="716"/>
      <c r="BC566" s="716"/>
      <c r="BD566" s="716"/>
      <c r="BE566" s="716"/>
      <c r="BF566" s="716"/>
      <c r="BG566" s="716"/>
      <c r="BH566" s="716"/>
      <c r="BI566" s="716"/>
      <c r="BJ566" s="716"/>
      <c r="BK566" s="716"/>
      <c r="BL566" s="716"/>
      <c r="BM566" s="716"/>
      <c r="BN566" s="716"/>
      <c r="BO566" s="716"/>
      <c r="BP566" s="716"/>
      <c r="BQ566" s="716"/>
      <c r="BR566" s="716"/>
      <c r="BS566" s="716"/>
      <c r="BT566" s="716"/>
      <c r="BU566" s="716"/>
      <c r="BV566" s="716"/>
      <c r="BW566" s="716"/>
      <c r="BX566" s="716"/>
      <c r="BY566" s="716"/>
      <c r="BZ566" s="716"/>
      <c r="CA566" s="716"/>
    </row>
    <row r="567" spans="1:79" s="451" customFormat="1" hidden="1" outlineLevel="1" x14ac:dyDescent="0.25">
      <c r="A567" s="656"/>
      <c r="B567" s="79"/>
      <c r="C567" s="79"/>
      <c r="D567" s="79"/>
      <c r="E567" s="40" t="s">
        <v>645</v>
      </c>
      <c r="F567" s="656" t="s">
        <v>606</v>
      </c>
      <c r="G567" s="656"/>
      <c r="H567" s="719"/>
      <c r="I567" s="719"/>
      <c r="J567" s="719"/>
      <c r="K567" s="719"/>
      <c r="L567" s="719"/>
      <c r="M567" s="719"/>
      <c r="N567" s="719"/>
      <c r="O567" s="719"/>
      <c r="P567" s="716"/>
      <c r="Q567" s="716"/>
      <c r="R567" s="716"/>
      <c r="S567" s="667">
        <v>280</v>
      </c>
      <c r="T567" s="667">
        <v>0</v>
      </c>
      <c r="U567" s="667">
        <v>416.09</v>
      </c>
      <c r="V567" s="667">
        <v>269.98</v>
      </c>
      <c r="W567" s="667">
        <v>89.95</v>
      </c>
      <c r="X567" s="667">
        <v>-79.959999999999994</v>
      </c>
      <c r="Y567" s="667">
        <v>0</v>
      </c>
      <c r="Z567" s="667">
        <v>1358.32</v>
      </c>
      <c r="AA567" s="667">
        <v>819.49</v>
      </c>
      <c r="AB567" s="667">
        <v>1125.28</v>
      </c>
      <c r="AC567" s="674">
        <v>777.34</v>
      </c>
      <c r="AD567" s="674">
        <v>618.48</v>
      </c>
      <c r="AE567" s="667">
        <v>694.28</v>
      </c>
      <c r="AF567" s="719">
        <v>647.29</v>
      </c>
      <c r="AG567" s="674">
        <v>655.21</v>
      </c>
      <c r="AH567" s="716"/>
      <c r="AI567" s="716"/>
      <c r="AJ567" s="716"/>
      <c r="AK567" s="716"/>
      <c r="AL567" s="716"/>
      <c r="AM567" s="716"/>
      <c r="AN567" s="716"/>
      <c r="AO567" s="716"/>
      <c r="AP567" s="716"/>
      <c r="AQ567" s="716"/>
      <c r="AR567" s="716"/>
      <c r="AS567" s="716"/>
      <c r="AT567" s="716"/>
      <c r="AU567" s="716"/>
      <c r="AV567" s="716"/>
      <c r="AW567" s="716"/>
      <c r="AX567" s="716"/>
      <c r="AY567" s="716"/>
      <c r="AZ567" s="716"/>
      <c r="BA567" s="716"/>
      <c r="BB567" s="716"/>
      <c r="BC567" s="716"/>
      <c r="BD567" s="716"/>
      <c r="BE567" s="716"/>
      <c r="BF567" s="716"/>
      <c r="BG567" s="716"/>
      <c r="BH567" s="716"/>
      <c r="BI567" s="716"/>
      <c r="BJ567" s="716"/>
      <c r="BK567" s="716"/>
      <c r="BL567" s="716"/>
      <c r="BM567" s="716"/>
      <c r="BN567" s="716"/>
      <c r="BO567" s="716"/>
      <c r="BP567" s="716"/>
      <c r="BQ567" s="716"/>
      <c r="BR567" s="716"/>
      <c r="BS567" s="716"/>
      <c r="BT567" s="716"/>
      <c r="BU567" s="716"/>
      <c r="BV567" s="716"/>
      <c r="BW567" s="716"/>
      <c r="BX567" s="716"/>
      <c r="BY567" s="716"/>
      <c r="BZ567" s="716"/>
      <c r="CA567" s="716"/>
    </row>
    <row r="568" spans="1:79" s="451" customFormat="1" hidden="1" outlineLevel="1" x14ac:dyDescent="0.25">
      <c r="A568" s="656"/>
      <c r="B568" s="576"/>
      <c r="C568" s="576"/>
      <c r="D568" s="576"/>
      <c r="E568" s="40" t="s">
        <v>1330</v>
      </c>
      <c r="F568" s="656" t="s">
        <v>607</v>
      </c>
      <c r="G568" s="656"/>
      <c r="H568" s="719"/>
      <c r="I568" s="719"/>
      <c r="J568" s="719"/>
      <c r="K568" s="719"/>
      <c r="L568" s="719"/>
      <c r="M568" s="719"/>
      <c r="N568" s="719"/>
      <c r="O568" s="719"/>
      <c r="P568" s="716"/>
      <c r="Q568" s="716"/>
      <c r="R568" s="716"/>
      <c r="S568" s="667">
        <v>0</v>
      </c>
      <c r="T568" s="667">
        <v>0</v>
      </c>
      <c r="U568" s="667">
        <v>0</v>
      </c>
      <c r="V568" s="667">
        <v>0</v>
      </c>
      <c r="W568" s="667">
        <v>0</v>
      </c>
      <c r="X568" s="667">
        <v>0</v>
      </c>
      <c r="Y568" s="667">
        <v>0</v>
      </c>
      <c r="Z568" s="667">
        <v>0</v>
      </c>
      <c r="AA568" s="667">
        <v>0</v>
      </c>
      <c r="AB568" s="667">
        <v>39.950000000000003</v>
      </c>
      <c r="AC568" s="674">
        <v>0</v>
      </c>
      <c r="AD568" s="674">
        <v>0</v>
      </c>
      <c r="AE568" s="667">
        <v>0</v>
      </c>
      <c r="AF568" s="719">
        <v>0</v>
      </c>
      <c r="AG568" s="674">
        <v>14</v>
      </c>
      <c r="AH568" s="716"/>
      <c r="AI568" s="716"/>
      <c r="AJ568" s="716"/>
      <c r="AK568" s="716"/>
      <c r="AL568" s="716"/>
      <c r="AM568" s="716"/>
      <c r="AN568" s="716"/>
      <c r="AO568" s="716"/>
      <c r="AP568" s="716"/>
      <c r="AQ568" s="716"/>
      <c r="AR568" s="716"/>
      <c r="AS568" s="716"/>
      <c r="AT568" s="716"/>
      <c r="AU568" s="716"/>
      <c r="AV568" s="716"/>
      <c r="AW568" s="716"/>
      <c r="AX568" s="716"/>
      <c r="AY568" s="716"/>
      <c r="AZ568" s="716"/>
      <c r="BA568" s="716"/>
      <c r="BB568" s="716"/>
      <c r="BC568" s="716"/>
      <c r="BD568" s="716"/>
      <c r="BE568" s="716"/>
      <c r="BF568" s="716"/>
      <c r="BG568" s="716"/>
      <c r="BH568" s="716"/>
      <c r="BI568" s="716"/>
      <c r="BJ568" s="716"/>
      <c r="BK568" s="716"/>
      <c r="BL568" s="716"/>
      <c r="BM568" s="716"/>
      <c r="BN568" s="716"/>
      <c r="BO568" s="716"/>
      <c r="BP568" s="716"/>
      <c r="BQ568" s="716"/>
      <c r="BR568" s="716"/>
      <c r="BS568" s="716"/>
      <c r="BT568" s="716"/>
      <c r="BU568" s="716"/>
      <c r="BV568" s="716"/>
      <c r="BW568" s="716"/>
      <c r="BX568" s="716"/>
      <c r="BY568" s="716"/>
      <c r="BZ568" s="716"/>
      <c r="CA568" s="716"/>
    </row>
    <row r="569" spans="1:79" s="451" customFormat="1" hidden="1" outlineLevel="1" x14ac:dyDescent="0.25">
      <c r="A569" s="656"/>
      <c r="B569" s="576"/>
      <c r="C569" s="576"/>
      <c r="D569" s="576"/>
      <c r="E569" s="40" t="s">
        <v>1330</v>
      </c>
      <c r="F569" s="656" t="s">
        <v>874</v>
      </c>
      <c r="G569" s="719">
        <v>79.858363030945156</v>
      </c>
      <c r="H569" s="719">
        <v>26.34272390399445</v>
      </c>
      <c r="I569" s="719">
        <v>96.10856716999379</v>
      </c>
      <c r="J569" s="719">
        <v>20.829030579397472</v>
      </c>
      <c r="K569" s="719">
        <v>9.5728176210526641</v>
      </c>
      <c r="L569" s="719">
        <v>59.180254223238229</v>
      </c>
      <c r="M569" s="719">
        <v>80.006541538883369</v>
      </c>
      <c r="N569" s="719">
        <v>51.501705223830335</v>
      </c>
      <c r="O569" s="719">
        <v>36.371312411606183</v>
      </c>
      <c r="P569" s="716">
        <v>99.790881252210411</v>
      </c>
      <c r="Q569" s="716">
        <v>64.569829696633235</v>
      </c>
      <c r="R569" s="716">
        <v>6.5295603308207211</v>
      </c>
      <c r="S569" s="676">
        <v>0</v>
      </c>
      <c r="T569" s="676">
        <v>0</v>
      </c>
      <c r="U569" s="676">
        <v>0</v>
      </c>
      <c r="V569" s="676">
        <v>0</v>
      </c>
      <c r="W569" s="676">
        <v>0</v>
      </c>
      <c r="X569" s="676">
        <v>0</v>
      </c>
      <c r="Y569" s="676">
        <v>0</v>
      </c>
      <c r="Z569" s="676">
        <v>0</v>
      </c>
      <c r="AA569" s="676">
        <v>0</v>
      </c>
      <c r="AB569" s="676">
        <v>0</v>
      </c>
      <c r="AC569" s="686">
        <v>0</v>
      </c>
      <c r="AD569" s="686">
        <v>0</v>
      </c>
      <c r="AE569" s="676">
        <v>0</v>
      </c>
      <c r="AF569" s="719">
        <v>0</v>
      </c>
      <c r="AG569" s="686">
        <v>0</v>
      </c>
      <c r="AH569" s="716"/>
      <c r="AI569" s="716"/>
      <c r="AJ569" s="716"/>
      <c r="AK569" s="716"/>
      <c r="AL569" s="716"/>
      <c r="AM569" s="716"/>
      <c r="AN569" s="716"/>
      <c r="AO569" s="716"/>
      <c r="AP569" s="716"/>
      <c r="AQ569" s="716"/>
      <c r="AR569" s="716"/>
      <c r="AS569" s="716"/>
      <c r="AT569" s="716"/>
      <c r="AU569" s="716"/>
      <c r="AV569" s="716"/>
      <c r="AW569" s="716"/>
      <c r="AX569" s="716"/>
      <c r="AY569" s="716"/>
      <c r="AZ569" s="716"/>
      <c r="BA569" s="716"/>
      <c r="BB569" s="716"/>
      <c r="BC569" s="716"/>
      <c r="BD569" s="716"/>
      <c r="BE569" s="716"/>
      <c r="BF569" s="716"/>
      <c r="BG569" s="716"/>
      <c r="BH569" s="716"/>
      <c r="BI569" s="716"/>
      <c r="BJ569" s="716"/>
      <c r="BK569" s="716"/>
      <c r="BL569" s="716"/>
      <c r="BM569" s="716"/>
      <c r="BN569" s="716"/>
      <c r="BO569" s="716"/>
      <c r="BP569" s="716"/>
      <c r="BQ569" s="716"/>
      <c r="BR569" s="716"/>
      <c r="BS569" s="716"/>
      <c r="BT569" s="716"/>
      <c r="BU569" s="716"/>
      <c r="BV569" s="716"/>
      <c r="BW569" s="716"/>
      <c r="BX569" s="716"/>
      <c r="BY569" s="716"/>
      <c r="BZ569" s="716"/>
      <c r="CA569" s="716"/>
    </row>
    <row r="570" spans="1:79" s="308" customFormat="1" hidden="1" outlineLevel="1" x14ac:dyDescent="0.25">
      <c r="A570" s="659"/>
      <c r="B570" s="29"/>
      <c r="C570" s="29"/>
      <c r="D570" s="29"/>
      <c r="E570" s="40" t="s">
        <v>49</v>
      </c>
      <c r="F570" s="1136" t="s">
        <v>608</v>
      </c>
      <c r="G570" s="1219">
        <f>SUM(G563:G569)</f>
        <v>79.858363030945156</v>
      </c>
      <c r="H570" s="1219">
        <f t="shared" ref="H570:R570" si="205">SUM(H563:H569)</f>
        <v>26.34272390399445</v>
      </c>
      <c r="I570" s="1219">
        <f t="shared" si="205"/>
        <v>96.10856716999379</v>
      </c>
      <c r="J570" s="1219">
        <f t="shared" si="205"/>
        <v>20.829030579397472</v>
      </c>
      <c r="K570" s="1219">
        <f t="shared" si="205"/>
        <v>9.5728176210526641</v>
      </c>
      <c r="L570" s="1219">
        <f t="shared" si="205"/>
        <v>59.180254223238229</v>
      </c>
      <c r="M570" s="1219">
        <f t="shared" si="205"/>
        <v>80.006541538883369</v>
      </c>
      <c r="N570" s="1219">
        <f t="shared" si="205"/>
        <v>51.501705223830335</v>
      </c>
      <c r="O570" s="1219">
        <f t="shared" si="205"/>
        <v>36.371312411606183</v>
      </c>
      <c r="P570" s="1219">
        <f t="shared" si="205"/>
        <v>99.790881252210411</v>
      </c>
      <c r="Q570" s="1219">
        <f t="shared" si="205"/>
        <v>64.569829696633235</v>
      </c>
      <c r="R570" s="1219">
        <f t="shared" si="205"/>
        <v>6.5295603308207211</v>
      </c>
      <c r="S570" s="1224">
        <f t="shared" ref="S570:AA570" si="206">ROUND(SUM(S558:S569),5)</f>
        <v>280</v>
      </c>
      <c r="T570" s="1224">
        <f t="shared" si="206"/>
        <v>0</v>
      </c>
      <c r="U570" s="1224">
        <f t="shared" si="206"/>
        <v>416.09</v>
      </c>
      <c r="V570" s="1224">
        <f t="shared" si="206"/>
        <v>304.19</v>
      </c>
      <c r="W570" s="1224">
        <f t="shared" si="206"/>
        <v>89.95</v>
      </c>
      <c r="X570" s="1224">
        <f t="shared" si="206"/>
        <v>117.13</v>
      </c>
      <c r="Y570" s="1224">
        <f t="shared" si="206"/>
        <v>0</v>
      </c>
      <c r="Z570" s="1224">
        <f t="shared" si="206"/>
        <v>2005.71</v>
      </c>
      <c r="AA570" s="1224">
        <f t="shared" si="206"/>
        <v>1665</v>
      </c>
      <c r="AB570" s="1224">
        <f>ROUND(SUM(AB558:AB569),5)</f>
        <v>2281.73</v>
      </c>
      <c r="AC570" s="1224">
        <f>ROUND(SUM(AC558:AC569),5)</f>
        <v>777.34</v>
      </c>
      <c r="AD570" s="1224">
        <f>ROUND(SUM(AD558:AD569),5)</f>
        <v>618.48</v>
      </c>
      <c r="AE570" s="1224">
        <f>ROUND(AE558+SUM(AE562:AE569),5)</f>
        <v>694.28</v>
      </c>
      <c r="AF570" s="664">
        <f>ROUND(AF558+SUM(AF562:AF569),5)</f>
        <v>647.29</v>
      </c>
      <c r="AG570" s="679">
        <f>ROUND(AG558+SUM(AG562:AG569),5)</f>
        <v>808.21</v>
      </c>
      <c r="AH570" s="664">
        <f t="shared" ref="AH570" si="207">SUM(AH563:AH569)</f>
        <v>0</v>
      </c>
      <c r="AI570" s="664">
        <f t="shared" ref="AI570" si="208">SUM(AI563:AI569)</f>
        <v>0</v>
      </c>
      <c r="AJ570" s="664">
        <f t="shared" ref="AJ570" si="209">SUM(AJ563:AJ569)</f>
        <v>0</v>
      </c>
      <c r="AK570" s="664">
        <f t="shared" ref="AK570" si="210">SUM(AK563:AK569)</f>
        <v>0</v>
      </c>
      <c r="AL570" s="664">
        <f t="shared" ref="AL570" si="211">SUM(AL563:AL569)</f>
        <v>0</v>
      </c>
      <c r="AM570" s="664">
        <f t="shared" ref="AM570" si="212">SUM(AM563:AM569)</f>
        <v>0</v>
      </c>
      <c r="AN570" s="664">
        <f t="shared" ref="AN570" si="213">SUM(AN563:AN569)</f>
        <v>0</v>
      </c>
      <c r="AO570" s="664">
        <f t="shared" ref="AO570" si="214">SUM(AO563:AO569)</f>
        <v>0</v>
      </c>
      <c r="AP570" s="664">
        <f t="shared" ref="AP570" si="215">SUM(AP563:AP569)</f>
        <v>0</v>
      </c>
      <c r="AQ570" s="664">
        <f t="shared" ref="AQ570" si="216">SUM(AQ563:AQ569)</f>
        <v>0</v>
      </c>
      <c r="AR570" s="664">
        <f t="shared" ref="AR570" si="217">SUM(AR563:AR569)</f>
        <v>0</v>
      </c>
      <c r="AS570" s="664">
        <f t="shared" ref="AS570" si="218">SUM(AS563:AS569)</f>
        <v>0</v>
      </c>
      <c r="AT570" s="664">
        <f t="shared" ref="AT570" si="219">SUM(AT563:AT569)</f>
        <v>0</v>
      </c>
      <c r="AU570" s="664">
        <f t="shared" ref="AU570" si="220">SUM(AU563:AU569)</f>
        <v>0</v>
      </c>
      <c r="AV570" s="664">
        <f t="shared" ref="AV570" si="221">SUM(AV563:AV569)</f>
        <v>0</v>
      </c>
      <c r="AW570" s="664">
        <f t="shared" ref="AW570" si="222">SUM(AW563:AW569)</f>
        <v>0</v>
      </c>
      <c r="AX570" s="664">
        <f t="shared" ref="AX570" si="223">SUM(AX563:AX569)</f>
        <v>0</v>
      </c>
      <c r="AY570" s="664">
        <f t="shared" ref="AY570" si="224">SUM(AY563:AY569)</f>
        <v>0</v>
      </c>
      <c r="AZ570" s="664">
        <f t="shared" ref="AZ570" si="225">SUM(AZ563:AZ569)</f>
        <v>0</v>
      </c>
      <c r="BA570" s="664">
        <f t="shared" ref="BA570" si="226">SUM(BA563:BA569)</f>
        <v>0</v>
      </c>
      <c r="BB570" s="664">
        <f t="shared" ref="BB570" si="227">SUM(BB563:BB569)</f>
        <v>0</v>
      </c>
      <c r="BC570" s="664">
        <f t="shared" ref="BC570" si="228">SUM(BC563:BC569)</f>
        <v>0</v>
      </c>
      <c r="BD570" s="664">
        <f t="shared" ref="BD570" si="229">SUM(BD563:BD569)</f>
        <v>0</v>
      </c>
      <c r="BE570" s="664">
        <f t="shared" ref="BE570" si="230">SUM(BE563:BE569)</f>
        <v>0</v>
      </c>
      <c r="BF570" s="664">
        <f t="shared" ref="BF570" si="231">SUM(BF563:BF569)</f>
        <v>0</v>
      </c>
      <c r="BG570" s="664">
        <f t="shared" ref="BG570" si="232">SUM(BG563:BG569)</f>
        <v>0</v>
      </c>
      <c r="BH570" s="664">
        <f t="shared" ref="BH570" si="233">SUM(BH563:BH569)</f>
        <v>0</v>
      </c>
      <c r="BI570" s="664">
        <f t="shared" ref="BI570" si="234">SUM(BI563:BI569)</f>
        <v>0</v>
      </c>
      <c r="BJ570" s="664">
        <f t="shared" ref="BJ570" si="235">SUM(BJ563:BJ569)</f>
        <v>0</v>
      </c>
      <c r="BK570" s="664">
        <f t="shared" ref="BK570" si="236">SUM(BK563:BK569)</f>
        <v>0</v>
      </c>
      <c r="BL570" s="664">
        <f t="shared" ref="BL570" si="237">SUM(BL563:BL569)</f>
        <v>0</v>
      </c>
      <c r="BM570" s="664">
        <f t="shared" ref="BM570" si="238">SUM(BM563:BM569)</f>
        <v>0</v>
      </c>
      <c r="BN570" s="664">
        <f t="shared" ref="BN570" si="239">SUM(BN563:BN569)</f>
        <v>0</v>
      </c>
      <c r="BO570" s="664">
        <f t="shared" ref="BO570:BW570" si="240">SUM(BO563:BO569)</f>
        <v>0</v>
      </c>
      <c r="BP570" s="664">
        <f t="shared" si="240"/>
        <v>0</v>
      </c>
      <c r="BQ570" s="664">
        <f t="shared" si="240"/>
        <v>0</v>
      </c>
      <c r="BR570" s="664">
        <f t="shared" ref="BR570" si="241">SUM(BR563:BR569)</f>
        <v>0</v>
      </c>
      <c r="BS570" s="664">
        <f t="shared" si="240"/>
        <v>0</v>
      </c>
      <c r="BT570" s="664">
        <f t="shared" si="240"/>
        <v>0</v>
      </c>
      <c r="BU570" s="664">
        <f t="shared" ref="BU570" si="242">SUM(BU563:BU569)</f>
        <v>0</v>
      </c>
      <c r="BV570" s="664">
        <f t="shared" si="240"/>
        <v>0</v>
      </c>
      <c r="BW570" s="664">
        <f t="shared" si="240"/>
        <v>0</v>
      </c>
      <c r="BX570" s="664">
        <f t="shared" ref="BX570:CA570" si="243">SUM(BX563:BX569)</f>
        <v>0</v>
      </c>
      <c r="BY570" s="664">
        <f t="shared" si="243"/>
        <v>0</v>
      </c>
      <c r="BZ570" s="664">
        <f t="shared" si="243"/>
        <v>0</v>
      </c>
      <c r="CA570" s="664">
        <f t="shared" si="243"/>
        <v>0</v>
      </c>
    </row>
    <row r="571" spans="1:79" s="308" customFormat="1" hidden="1" outlineLevel="1" x14ac:dyDescent="0.25">
      <c r="A571" s="655"/>
      <c r="B571" s="29"/>
      <c r="C571" s="29"/>
      <c r="D571" s="29"/>
      <c r="E571" s="40" t="s">
        <v>1325</v>
      </c>
      <c r="F571" s="1215" t="s">
        <v>875</v>
      </c>
      <c r="G571" s="719"/>
      <c r="H571" s="719"/>
      <c r="I571" s="719"/>
      <c r="J571" s="719"/>
      <c r="K571" s="719"/>
      <c r="L571" s="719"/>
      <c r="M571" s="719"/>
      <c r="N571" s="719"/>
      <c r="O571" s="719"/>
      <c r="P571" s="716"/>
      <c r="Q571" s="716"/>
      <c r="R571" s="716"/>
      <c r="S571" s="667">
        <v>0</v>
      </c>
      <c r="T571" s="667">
        <v>0</v>
      </c>
      <c r="U571" s="667">
        <v>0</v>
      </c>
      <c r="V571" s="667">
        <v>0</v>
      </c>
      <c r="W571" s="667">
        <v>0</v>
      </c>
      <c r="X571" s="667">
        <v>0</v>
      </c>
      <c r="Y571" s="667">
        <v>0</v>
      </c>
      <c r="Z571" s="667">
        <v>0</v>
      </c>
      <c r="AA571" s="667">
        <v>0</v>
      </c>
      <c r="AB571" s="667">
        <v>0</v>
      </c>
      <c r="AC571" s="686">
        <v>0</v>
      </c>
      <c r="AD571" s="686">
        <v>0</v>
      </c>
      <c r="AE571" s="667">
        <v>0</v>
      </c>
      <c r="AF571" s="719">
        <v>0</v>
      </c>
      <c r="AG571" s="682">
        <v>0</v>
      </c>
      <c r="AH571" s="716"/>
      <c r="AI571" s="716"/>
      <c r="AJ571" s="716"/>
      <c r="AK571" s="716"/>
      <c r="AL571" s="716"/>
      <c r="AM571" s="716"/>
      <c r="AN571" s="716"/>
      <c r="AO571" s="716"/>
      <c r="AP571" s="716"/>
      <c r="AQ571" s="716"/>
      <c r="AR571" s="716"/>
      <c r="AS571" s="716"/>
      <c r="AT571" s="716"/>
      <c r="AU571" s="716"/>
      <c r="AV571" s="716"/>
      <c r="AW571" s="716"/>
      <c r="AX571" s="716"/>
      <c r="AY571" s="716"/>
      <c r="AZ571" s="716"/>
      <c r="BA571" s="716"/>
      <c r="BB571" s="716"/>
      <c r="BC571" s="716"/>
      <c r="BD571" s="716"/>
      <c r="BE571" s="716"/>
      <c r="BF571" s="716"/>
      <c r="BG571" s="716"/>
      <c r="BH571" s="716"/>
      <c r="BI571" s="716"/>
      <c r="BJ571" s="716"/>
      <c r="BK571" s="716"/>
      <c r="BL571" s="716"/>
      <c r="BM571" s="716"/>
      <c r="BN571" s="716"/>
      <c r="BO571" s="716"/>
      <c r="BP571" s="716"/>
      <c r="BQ571" s="716"/>
      <c r="BR571" s="716"/>
      <c r="BS571" s="716"/>
      <c r="BT571" s="716"/>
      <c r="BU571" s="716"/>
      <c r="BV571" s="716"/>
      <c r="BW571" s="716"/>
      <c r="BX571" s="716"/>
      <c r="BY571" s="716"/>
      <c r="BZ571" s="716"/>
      <c r="CA571" s="716"/>
    </row>
    <row r="572" spans="1:79" s="308" customFormat="1" hidden="1" outlineLevel="1" x14ac:dyDescent="0.25">
      <c r="A572" s="658"/>
      <c r="B572" s="29"/>
      <c r="C572" s="29"/>
      <c r="D572" s="29"/>
      <c r="E572" s="40" t="s">
        <v>1326</v>
      </c>
      <c r="F572" s="626" t="s">
        <v>591</v>
      </c>
      <c r="G572" s="719"/>
      <c r="H572" s="719"/>
      <c r="I572" s="719"/>
      <c r="J572" s="719"/>
      <c r="K572" s="719"/>
      <c r="L572" s="719"/>
      <c r="M572" s="719">
        <v>11.492950582797899</v>
      </c>
      <c r="N572" s="719"/>
      <c r="O572" s="719">
        <v>7.7927115840050964</v>
      </c>
      <c r="P572" s="716">
        <v>8.8968173694925294</v>
      </c>
      <c r="Q572" s="716"/>
      <c r="R572" s="716"/>
      <c r="S572" s="667">
        <v>0</v>
      </c>
      <c r="T572" s="667">
        <v>0</v>
      </c>
      <c r="U572" s="667">
        <v>0</v>
      </c>
      <c r="V572" s="667">
        <v>0</v>
      </c>
      <c r="W572" s="667">
        <v>0</v>
      </c>
      <c r="X572" s="667">
        <v>0</v>
      </c>
      <c r="Y572" s="667">
        <v>0</v>
      </c>
      <c r="Z572" s="667">
        <v>0</v>
      </c>
      <c r="AA572" s="667">
        <v>0</v>
      </c>
      <c r="AB572" s="667">
        <v>0</v>
      </c>
      <c r="AC572" s="686">
        <v>0</v>
      </c>
      <c r="AD572" s="686">
        <v>0</v>
      </c>
      <c r="AE572" s="667">
        <v>0</v>
      </c>
      <c r="AF572" s="719">
        <v>0</v>
      </c>
      <c r="AG572" s="686">
        <v>0</v>
      </c>
      <c r="AH572" s="716"/>
      <c r="AI572" s="716"/>
      <c r="AJ572" s="716"/>
      <c r="AK572" s="716"/>
      <c r="AL572" s="716"/>
      <c r="AM572" s="716"/>
      <c r="AN572" s="716"/>
      <c r="AO572" s="716"/>
      <c r="AP572" s="716"/>
      <c r="AQ572" s="716"/>
      <c r="AR572" s="716"/>
      <c r="AS572" s="716"/>
      <c r="AT572" s="716"/>
      <c r="AU572" s="716"/>
      <c r="AV572" s="716"/>
      <c r="AW572" s="716"/>
      <c r="AX572" s="716"/>
      <c r="AY572" s="716"/>
      <c r="AZ572" s="716"/>
      <c r="BA572" s="716"/>
      <c r="BB572" s="716"/>
      <c r="BC572" s="716"/>
      <c r="BD572" s="716"/>
      <c r="BE572" s="716"/>
      <c r="BF572" s="716"/>
      <c r="BG572" s="716"/>
      <c r="BH572" s="716"/>
      <c r="BI572" s="716"/>
      <c r="BJ572" s="716"/>
      <c r="BK572" s="716"/>
      <c r="BL572" s="716"/>
      <c r="BM572" s="716"/>
      <c r="BN572" s="716"/>
      <c r="BO572" s="716"/>
      <c r="BP572" s="716"/>
      <c r="BQ572" s="716"/>
      <c r="BR572" s="716"/>
      <c r="BS572" s="716"/>
      <c r="BT572" s="716"/>
      <c r="BU572" s="716"/>
      <c r="BV572" s="716"/>
      <c r="BW572" s="716"/>
      <c r="BX572" s="716"/>
      <c r="BY572" s="716"/>
      <c r="BZ572" s="716"/>
      <c r="CA572" s="716"/>
    </row>
    <row r="573" spans="1:79" hidden="1" outlineLevel="1" x14ac:dyDescent="0.25">
      <c r="A573" s="658"/>
      <c r="E573" s="40" t="s">
        <v>1332</v>
      </c>
      <c r="F573" s="626" t="s">
        <v>592</v>
      </c>
      <c r="G573" s="719">
        <v>2.0658341015727122</v>
      </c>
      <c r="H573" s="719">
        <v>3.2723532194503897</v>
      </c>
      <c r="I573" s="719">
        <v>0.45799197872263536</v>
      </c>
      <c r="J573" s="719">
        <v>0.3505771579189223</v>
      </c>
      <c r="K573" s="719">
        <v>4.1717842049221243</v>
      </c>
      <c r="L573" s="719"/>
      <c r="M573" s="719"/>
      <c r="N573" s="719">
        <v>1.2524007375163888</v>
      </c>
      <c r="O573" s="719"/>
      <c r="P573" s="716">
        <v>17.595824655165014</v>
      </c>
      <c r="Q573" s="716"/>
      <c r="R573" s="716"/>
      <c r="S573" s="667">
        <v>0</v>
      </c>
      <c r="T573" s="667">
        <v>420</v>
      </c>
      <c r="U573" s="667">
        <v>0</v>
      </c>
      <c r="V573" s="667">
        <v>125</v>
      </c>
      <c r="W573" s="667">
        <v>0</v>
      </c>
      <c r="X573" s="667">
        <v>125</v>
      </c>
      <c r="Y573" s="667">
        <v>125</v>
      </c>
      <c r="Z573" s="667">
        <v>125</v>
      </c>
      <c r="AA573" s="667">
        <v>125</v>
      </c>
      <c r="AB573" s="667">
        <v>0</v>
      </c>
      <c r="AC573" s="686">
        <v>0</v>
      </c>
      <c r="AD573" s="686">
        <v>45</v>
      </c>
      <c r="AE573" s="667">
        <v>0</v>
      </c>
      <c r="AF573" s="719">
        <v>0</v>
      </c>
      <c r="AG573" s="686">
        <v>0</v>
      </c>
      <c r="AH573" s="716"/>
      <c r="AI573" s="716"/>
      <c r="AJ573" s="716"/>
      <c r="AK573" s="716"/>
      <c r="AL573" s="716"/>
      <c r="AM573" s="716"/>
      <c r="AN573" s="716"/>
      <c r="AO573" s="716"/>
      <c r="AP573" s="716"/>
      <c r="AQ573" s="716"/>
      <c r="AR573" s="716"/>
      <c r="AS573" s="716"/>
      <c r="AT573" s="716"/>
      <c r="AU573" s="716"/>
      <c r="AV573" s="716"/>
      <c r="AW573" s="716"/>
      <c r="AX573" s="716"/>
      <c r="AY573" s="716"/>
      <c r="AZ573" s="716"/>
      <c r="BA573" s="716"/>
      <c r="BB573" s="716"/>
      <c r="BC573" s="716"/>
      <c r="BD573" s="716"/>
      <c r="BE573" s="716"/>
      <c r="BF573" s="716"/>
      <c r="BG573" s="716"/>
      <c r="BH573" s="716"/>
      <c r="BI573" s="716"/>
      <c r="BJ573" s="716"/>
      <c r="BK573" s="716"/>
      <c r="BL573" s="716"/>
      <c r="BM573" s="716"/>
      <c r="BN573" s="716"/>
      <c r="BO573" s="716"/>
      <c r="BP573" s="716"/>
      <c r="BQ573" s="716"/>
      <c r="BR573" s="716"/>
      <c r="BS573" s="716"/>
      <c r="BT573" s="716"/>
      <c r="BU573" s="716"/>
      <c r="BV573" s="716"/>
      <c r="BW573" s="716"/>
      <c r="BX573" s="716"/>
      <c r="BY573" s="716"/>
      <c r="BZ573" s="716"/>
      <c r="CA573" s="716"/>
    </row>
    <row r="574" spans="1:79" hidden="1" outlineLevel="1" x14ac:dyDescent="0.25">
      <c r="A574" s="655"/>
      <c r="B574" s="570"/>
      <c r="C574" s="570"/>
      <c r="D574" s="570"/>
      <c r="E574" s="40" t="s">
        <v>1333</v>
      </c>
      <c r="F574" s="1215" t="s">
        <v>876</v>
      </c>
      <c r="G574" s="40"/>
      <c r="H574" s="719"/>
      <c r="I574" s="719"/>
      <c r="J574" s="719"/>
      <c r="K574" s="719"/>
      <c r="L574" s="719"/>
      <c r="M574" s="719"/>
      <c r="N574" s="719"/>
      <c r="O574" s="719"/>
      <c r="P574" s="716"/>
      <c r="Q574" s="716"/>
      <c r="R574" s="716"/>
      <c r="S574" s="667">
        <v>0</v>
      </c>
      <c r="T574" s="667">
        <v>0</v>
      </c>
      <c r="U574" s="667">
        <v>0</v>
      </c>
      <c r="V574" s="667">
        <v>0</v>
      </c>
      <c r="W574" s="667">
        <v>0</v>
      </c>
      <c r="X574" s="667">
        <v>0</v>
      </c>
      <c r="Y574" s="667">
        <v>0</v>
      </c>
      <c r="Z574" s="667">
        <v>0</v>
      </c>
      <c r="AA574" s="667">
        <v>0</v>
      </c>
      <c r="AB574" s="667">
        <v>0</v>
      </c>
      <c r="AC574" s="686">
        <v>0</v>
      </c>
      <c r="AD574" s="686">
        <v>0</v>
      </c>
      <c r="AE574" s="667">
        <v>0</v>
      </c>
      <c r="AF574" s="719">
        <v>0</v>
      </c>
      <c r="AG574" s="686">
        <v>0</v>
      </c>
      <c r="AH574" s="716"/>
      <c r="AI574" s="716"/>
      <c r="AJ574" s="716"/>
      <c r="AK574" s="716"/>
      <c r="AL574" s="716"/>
      <c r="AM574" s="716"/>
      <c r="AN574" s="716"/>
      <c r="AO574" s="716"/>
      <c r="AP574" s="716"/>
      <c r="AQ574" s="716"/>
      <c r="AR574" s="716"/>
      <c r="AS574" s="716"/>
      <c r="AT574" s="716"/>
      <c r="AU574" s="716"/>
      <c r="AV574" s="716"/>
      <c r="AW574" s="716"/>
      <c r="AX574" s="716"/>
      <c r="AY574" s="716"/>
      <c r="AZ574" s="716"/>
      <c r="BA574" s="716"/>
      <c r="BB574" s="716"/>
      <c r="BC574" s="716"/>
      <c r="BD574" s="716"/>
      <c r="BE574" s="716"/>
      <c r="BF574" s="716"/>
      <c r="BG574" s="716"/>
      <c r="BH574" s="716"/>
      <c r="BI574" s="716"/>
      <c r="BJ574" s="716"/>
      <c r="BK574" s="716"/>
      <c r="BL574" s="716"/>
      <c r="BM574" s="716"/>
      <c r="BN574" s="716"/>
      <c r="BO574" s="716"/>
      <c r="BP574" s="716"/>
      <c r="BQ574" s="716"/>
      <c r="BR574" s="716"/>
      <c r="BS574" s="716"/>
      <c r="BT574" s="716"/>
      <c r="BU574" s="716"/>
      <c r="BV574" s="716"/>
      <c r="BW574" s="716"/>
      <c r="BX574" s="716"/>
      <c r="BY574" s="716"/>
      <c r="BZ574" s="716"/>
      <c r="CA574" s="716"/>
    </row>
    <row r="575" spans="1:79" s="693" customFormat="1" hidden="1" outlineLevel="1" x14ac:dyDescent="0.25">
      <c r="A575" s="701"/>
      <c r="E575" s="40" t="s">
        <v>657</v>
      </c>
      <c r="F575" s="1225" t="s">
        <v>761</v>
      </c>
      <c r="G575" s="927"/>
      <c r="H575" s="733"/>
      <c r="I575" s="733"/>
      <c r="J575" s="733"/>
      <c r="K575" s="733"/>
      <c r="L575" s="733"/>
      <c r="M575" s="733"/>
      <c r="N575" s="733"/>
      <c r="O575" s="733"/>
      <c r="P575" s="734"/>
      <c r="Q575" s="734"/>
      <c r="R575" s="734"/>
      <c r="S575" s="704"/>
      <c r="T575" s="704"/>
      <c r="U575" s="704"/>
      <c r="V575" s="704"/>
      <c r="W575" s="704"/>
      <c r="X575" s="704"/>
      <c r="Y575" s="704"/>
      <c r="Z575" s="704"/>
      <c r="AA575" s="704"/>
      <c r="AB575" s="704"/>
      <c r="AC575" s="703"/>
      <c r="AD575" s="703"/>
      <c r="AE575" s="704"/>
      <c r="AF575" s="733"/>
      <c r="AG575" s="703"/>
      <c r="AH575" s="734"/>
      <c r="AI575" s="734"/>
      <c r="AJ575" s="734"/>
      <c r="AK575" s="734"/>
      <c r="AL575" s="734"/>
      <c r="AM575" s="734"/>
      <c r="AN575" s="734"/>
      <c r="AO575" s="734"/>
      <c r="AP575" s="734"/>
      <c r="AQ575" s="734"/>
      <c r="AR575" s="734"/>
      <c r="AS575" s="734"/>
      <c r="AT575" s="734"/>
      <c r="AU575" s="734"/>
      <c r="AV575" s="734"/>
      <c r="AW575" s="734"/>
      <c r="AX575" s="734"/>
      <c r="AY575" s="734"/>
      <c r="AZ575" s="734"/>
      <c r="BA575" s="734"/>
      <c r="BB575" s="734"/>
      <c r="BC575" s="734"/>
      <c r="BD575" s="734"/>
      <c r="BE575" s="734"/>
      <c r="BF575" s="734"/>
      <c r="BG575" s="734"/>
      <c r="BH575" s="734"/>
      <c r="BI575" s="734"/>
      <c r="BJ575" s="734"/>
      <c r="BK575" s="734"/>
      <c r="BL575" s="734"/>
      <c r="BM575" s="734"/>
      <c r="BN575" s="734"/>
      <c r="BO575" s="734"/>
      <c r="BP575" s="734"/>
      <c r="BQ575" s="734"/>
      <c r="BR575" s="734"/>
      <c r="BS575" s="734"/>
      <c r="BT575" s="734"/>
      <c r="BU575" s="734"/>
      <c r="BV575" s="734"/>
      <c r="BW575" s="734"/>
      <c r="BX575" s="734"/>
      <c r="BY575" s="734"/>
      <c r="BZ575" s="734"/>
      <c r="CA575" s="734"/>
    </row>
    <row r="576" spans="1:79" hidden="1" outlineLevel="1" x14ac:dyDescent="0.25">
      <c r="A576" s="656"/>
      <c r="B576" s="570"/>
      <c r="C576" s="570"/>
      <c r="D576" s="570"/>
      <c r="E576" s="40" t="s">
        <v>20</v>
      </c>
      <c r="F576" s="656" t="s">
        <v>877</v>
      </c>
      <c r="G576" s="40"/>
      <c r="H576" s="719"/>
      <c r="I576" s="719"/>
      <c r="J576" s="719"/>
      <c r="K576" s="719"/>
      <c r="L576" s="719"/>
      <c r="M576" s="719"/>
      <c r="N576" s="719"/>
      <c r="O576" s="719"/>
      <c r="P576" s="716"/>
      <c r="Q576" s="716"/>
      <c r="R576" s="716"/>
      <c r="S576" s="667">
        <v>0</v>
      </c>
      <c r="T576" s="667">
        <v>0</v>
      </c>
      <c r="U576" s="667">
        <v>0</v>
      </c>
      <c r="V576" s="667">
        <v>0</v>
      </c>
      <c r="W576" s="667">
        <v>0</v>
      </c>
      <c r="X576" s="667">
        <v>0</v>
      </c>
      <c r="Y576" s="667">
        <v>0</v>
      </c>
      <c r="Z576" s="667">
        <v>0</v>
      </c>
      <c r="AA576" s="667">
        <v>0</v>
      </c>
      <c r="AB576" s="667">
        <v>0</v>
      </c>
      <c r="AC576" s="686">
        <v>0</v>
      </c>
      <c r="AD576" s="686">
        <v>0</v>
      </c>
      <c r="AE576" s="667">
        <v>0</v>
      </c>
      <c r="AF576" s="719">
        <v>0</v>
      </c>
      <c r="AG576" s="686">
        <v>0</v>
      </c>
      <c r="AH576" s="716"/>
      <c r="AI576" s="716"/>
      <c r="AJ576" s="716"/>
      <c r="AK576" s="716"/>
      <c r="AL576" s="716"/>
      <c r="AM576" s="716"/>
      <c r="AN576" s="716"/>
      <c r="AO576" s="716"/>
      <c r="AP576" s="716"/>
      <c r="AQ576" s="716"/>
      <c r="AR576" s="716"/>
      <c r="AS576" s="716"/>
      <c r="AT576" s="716"/>
      <c r="AU576" s="716"/>
      <c r="AV576" s="716"/>
      <c r="AW576" s="716"/>
      <c r="AX576" s="716"/>
      <c r="AY576" s="716"/>
      <c r="AZ576" s="716"/>
      <c r="BA576" s="716"/>
      <c r="BB576" s="716"/>
      <c r="BC576" s="716"/>
      <c r="BD576" s="716"/>
      <c r="BE576" s="716"/>
      <c r="BF576" s="716"/>
      <c r="BG576" s="716"/>
      <c r="BH576" s="716"/>
      <c r="BI576" s="716"/>
      <c r="BJ576" s="716"/>
      <c r="BK576" s="716"/>
      <c r="BL576" s="716"/>
      <c r="BM576" s="716"/>
      <c r="BN576" s="716"/>
      <c r="BO576" s="716"/>
      <c r="BP576" s="716"/>
      <c r="BQ576" s="716"/>
      <c r="BR576" s="716"/>
      <c r="BS576" s="716"/>
      <c r="BT576" s="716"/>
      <c r="BU576" s="716"/>
      <c r="BV576" s="716"/>
      <c r="BW576" s="716"/>
      <c r="BX576" s="716"/>
      <c r="BY576" s="716"/>
      <c r="BZ576" s="716"/>
      <c r="CA576" s="716"/>
    </row>
    <row r="577" spans="1:79" hidden="1" outlineLevel="1" x14ac:dyDescent="0.25">
      <c r="A577" s="656"/>
      <c r="B577" s="570"/>
      <c r="C577" s="570"/>
      <c r="D577" s="570"/>
      <c r="E577" s="40" t="s">
        <v>20</v>
      </c>
      <c r="F577" s="656" t="s">
        <v>878</v>
      </c>
      <c r="G577" s="40"/>
      <c r="H577" s="719"/>
      <c r="I577" s="719"/>
      <c r="J577" s="719"/>
      <c r="K577" s="719"/>
      <c r="L577" s="719"/>
      <c r="M577" s="719"/>
      <c r="N577" s="719"/>
      <c r="O577" s="719"/>
      <c r="P577" s="716"/>
      <c r="Q577" s="716"/>
      <c r="R577" s="716"/>
      <c r="S577" s="667">
        <v>0</v>
      </c>
      <c r="T577" s="667">
        <v>0</v>
      </c>
      <c r="U577" s="667">
        <v>0</v>
      </c>
      <c r="V577" s="667">
        <v>0</v>
      </c>
      <c r="W577" s="667">
        <v>0</v>
      </c>
      <c r="X577" s="667">
        <v>0</v>
      </c>
      <c r="Y577" s="667">
        <v>0</v>
      </c>
      <c r="Z577" s="667">
        <v>0</v>
      </c>
      <c r="AA577" s="667">
        <v>0</v>
      </c>
      <c r="AB577" s="667">
        <v>0</v>
      </c>
      <c r="AC577" s="686">
        <v>0</v>
      </c>
      <c r="AD577" s="686">
        <v>0</v>
      </c>
      <c r="AE577" s="667">
        <v>0</v>
      </c>
      <c r="AF577" s="719">
        <v>0</v>
      </c>
      <c r="AG577" s="686">
        <v>0</v>
      </c>
      <c r="AH577" s="716"/>
      <c r="AI577" s="716"/>
      <c r="AJ577" s="716"/>
      <c r="AK577" s="716"/>
      <c r="AL577" s="716"/>
      <c r="AM577" s="716"/>
      <c r="AN577" s="716"/>
      <c r="AO577" s="716"/>
      <c r="AP577" s="716"/>
      <c r="AQ577" s="716"/>
      <c r="AR577" s="716"/>
      <c r="AS577" s="716"/>
      <c r="AT577" s="716"/>
      <c r="AU577" s="716"/>
      <c r="AV577" s="716"/>
      <c r="AW577" s="716"/>
      <c r="AX577" s="716"/>
      <c r="AY577" s="716"/>
      <c r="AZ577" s="716"/>
      <c r="BA577" s="716"/>
      <c r="BB577" s="716"/>
      <c r="BC577" s="716"/>
      <c r="BD577" s="716"/>
      <c r="BE577" s="716"/>
      <c r="BF577" s="716"/>
      <c r="BG577" s="716"/>
      <c r="BH577" s="716"/>
      <c r="BI577" s="716"/>
      <c r="BJ577" s="716"/>
      <c r="BK577" s="716"/>
      <c r="BL577" s="716"/>
      <c r="BM577" s="716"/>
      <c r="BN577" s="716"/>
      <c r="BO577" s="716"/>
      <c r="BP577" s="716"/>
      <c r="BQ577" s="716"/>
      <c r="BR577" s="716"/>
      <c r="BS577" s="716"/>
      <c r="BT577" s="716"/>
      <c r="BU577" s="716"/>
      <c r="BV577" s="716"/>
      <c r="BW577" s="716"/>
      <c r="BX577" s="716"/>
      <c r="BY577" s="716"/>
      <c r="BZ577" s="716"/>
      <c r="CA577" s="716"/>
    </row>
    <row r="578" spans="1:79" hidden="1" outlineLevel="1" x14ac:dyDescent="0.25">
      <c r="A578" s="656"/>
      <c r="B578" s="570"/>
      <c r="C578" s="570"/>
      <c r="D578" s="570"/>
      <c r="E578" s="40" t="s">
        <v>1334</v>
      </c>
      <c r="F578" s="656" t="s">
        <v>879</v>
      </c>
      <c r="G578" s="40"/>
      <c r="H578" s="719"/>
      <c r="I578" s="719"/>
      <c r="J578" s="719"/>
      <c r="K578" s="719"/>
      <c r="L578" s="719"/>
      <c r="M578" s="719"/>
      <c r="N578" s="719"/>
      <c r="O578" s="719"/>
      <c r="P578" s="716"/>
      <c r="Q578" s="716"/>
      <c r="R578" s="716"/>
      <c r="S578" s="667">
        <v>0</v>
      </c>
      <c r="T578" s="667">
        <v>0</v>
      </c>
      <c r="U578" s="667">
        <v>0</v>
      </c>
      <c r="V578" s="667">
        <v>0</v>
      </c>
      <c r="W578" s="667">
        <v>0</v>
      </c>
      <c r="X578" s="667">
        <v>0</v>
      </c>
      <c r="Y578" s="667">
        <v>0</v>
      </c>
      <c r="Z578" s="667">
        <v>0</v>
      </c>
      <c r="AA578" s="667">
        <v>0</v>
      </c>
      <c r="AB578" s="667">
        <v>0</v>
      </c>
      <c r="AC578" s="686">
        <v>0</v>
      </c>
      <c r="AD578" s="686">
        <v>0</v>
      </c>
      <c r="AE578" s="667">
        <v>0</v>
      </c>
      <c r="AF578" s="719">
        <v>0</v>
      </c>
      <c r="AG578" s="686">
        <v>0</v>
      </c>
      <c r="AH578" s="716"/>
      <c r="AI578" s="716"/>
      <c r="AJ578" s="716"/>
      <c r="AK578" s="716"/>
      <c r="AL578" s="716"/>
      <c r="AM578" s="716"/>
      <c r="AN578" s="716"/>
      <c r="AO578" s="716"/>
      <c r="AP578" s="716"/>
      <c r="AQ578" s="716"/>
      <c r="AR578" s="716"/>
      <c r="AS578" s="716"/>
      <c r="AT578" s="716"/>
      <c r="AU578" s="716"/>
      <c r="AV578" s="716"/>
      <c r="AW578" s="716"/>
      <c r="AX578" s="716"/>
      <c r="AY578" s="716"/>
      <c r="AZ578" s="716"/>
      <c r="BA578" s="716"/>
      <c r="BB578" s="716"/>
      <c r="BC578" s="716"/>
      <c r="BD578" s="716"/>
      <c r="BE578" s="716"/>
      <c r="BF578" s="716"/>
      <c r="BG578" s="716"/>
      <c r="BH578" s="716"/>
      <c r="BI578" s="716"/>
      <c r="BJ578" s="716"/>
      <c r="BK578" s="716"/>
      <c r="BL578" s="716"/>
      <c r="BM578" s="716"/>
      <c r="BN578" s="716"/>
      <c r="BO578" s="716"/>
      <c r="BP578" s="716"/>
      <c r="BQ578" s="716"/>
      <c r="BR578" s="716"/>
      <c r="BS578" s="716"/>
      <c r="BT578" s="716"/>
      <c r="BU578" s="716"/>
      <c r="BV578" s="716"/>
      <c r="BW578" s="716"/>
      <c r="BX578" s="716"/>
      <c r="BY578" s="716"/>
      <c r="BZ578" s="716"/>
      <c r="CA578" s="716"/>
    </row>
    <row r="579" spans="1:79" hidden="1" outlineLevel="1" x14ac:dyDescent="0.25">
      <c r="A579" s="656"/>
      <c r="B579" s="570"/>
      <c r="C579" s="570"/>
      <c r="D579" s="570"/>
      <c r="E579" s="40" t="s">
        <v>1334</v>
      </c>
      <c r="F579" s="656" t="s">
        <v>660</v>
      </c>
      <c r="G579" s="40"/>
      <c r="H579" s="719"/>
      <c r="I579" s="719"/>
      <c r="J579" s="719"/>
      <c r="K579" s="719"/>
      <c r="L579" s="719"/>
      <c r="M579" s="719"/>
      <c r="N579" s="719"/>
      <c r="O579" s="719"/>
      <c r="P579" s="716"/>
      <c r="Q579" s="716"/>
      <c r="R579" s="716"/>
      <c r="S579" s="667">
        <v>0</v>
      </c>
      <c r="T579" s="667">
        <v>0</v>
      </c>
      <c r="U579" s="667">
        <v>0</v>
      </c>
      <c r="V579" s="667">
        <v>0</v>
      </c>
      <c r="W579" s="667">
        <v>0</v>
      </c>
      <c r="X579" s="667">
        <v>0</v>
      </c>
      <c r="Y579" s="667">
        <v>0</v>
      </c>
      <c r="Z579" s="667">
        <v>0</v>
      </c>
      <c r="AA579" s="667">
        <v>0</v>
      </c>
      <c r="AB579" s="667">
        <v>0</v>
      </c>
      <c r="AC579" s="686">
        <v>0</v>
      </c>
      <c r="AD579" s="686">
        <v>0</v>
      </c>
      <c r="AE579" s="667">
        <v>0</v>
      </c>
      <c r="AF579" s="719">
        <v>0</v>
      </c>
      <c r="AG579" s="686">
        <v>0</v>
      </c>
      <c r="AH579" s="716"/>
      <c r="AI579" s="716"/>
      <c r="AJ579" s="716"/>
      <c r="AK579" s="716"/>
      <c r="AL579" s="716"/>
      <c r="AM579" s="716"/>
      <c r="AN579" s="716"/>
      <c r="AO579" s="716"/>
      <c r="AP579" s="716"/>
      <c r="AQ579" s="716"/>
      <c r="AR579" s="716"/>
      <c r="AS579" s="716"/>
      <c r="AT579" s="716"/>
      <c r="AU579" s="716"/>
      <c r="AV579" s="716"/>
      <c r="AW579" s="716"/>
      <c r="AX579" s="716"/>
      <c r="AY579" s="716"/>
      <c r="AZ579" s="716"/>
      <c r="BA579" s="716"/>
      <c r="BB579" s="716"/>
      <c r="BC579" s="716"/>
      <c r="BD579" s="716"/>
      <c r="BE579" s="716"/>
      <c r="BF579" s="716"/>
      <c r="BG579" s="716"/>
      <c r="BH579" s="716"/>
      <c r="BI579" s="716"/>
      <c r="BJ579" s="716"/>
      <c r="BK579" s="716"/>
      <c r="BL579" s="716"/>
      <c r="BM579" s="716"/>
      <c r="BN579" s="716"/>
      <c r="BO579" s="716"/>
      <c r="BP579" s="716"/>
      <c r="BQ579" s="716"/>
      <c r="BR579" s="716"/>
      <c r="BS579" s="716"/>
      <c r="BT579" s="716"/>
      <c r="BU579" s="716"/>
      <c r="BV579" s="716"/>
      <c r="BW579" s="716"/>
      <c r="BX579" s="716"/>
      <c r="BY579" s="716"/>
      <c r="BZ579" s="716"/>
      <c r="CA579" s="716"/>
    </row>
    <row r="580" spans="1:79" hidden="1" outlineLevel="1" x14ac:dyDescent="0.25">
      <c r="A580" s="656"/>
      <c r="B580" s="570"/>
      <c r="C580" s="570"/>
      <c r="D580" s="570"/>
      <c r="E580" s="40" t="s">
        <v>20</v>
      </c>
      <c r="F580" s="656" t="s">
        <v>661</v>
      </c>
      <c r="G580" s="40"/>
      <c r="H580" s="719"/>
      <c r="I580" s="719"/>
      <c r="J580" s="719"/>
      <c r="K580" s="719"/>
      <c r="L580" s="719"/>
      <c r="M580" s="719"/>
      <c r="N580" s="719"/>
      <c r="O580" s="719"/>
      <c r="P580" s="716"/>
      <c r="Q580" s="716"/>
      <c r="R580" s="716"/>
      <c r="S580" s="667">
        <v>0</v>
      </c>
      <c r="T580" s="667">
        <v>0</v>
      </c>
      <c r="U580" s="667">
        <v>0</v>
      </c>
      <c r="V580" s="667">
        <v>0</v>
      </c>
      <c r="W580" s="667">
        <v>0</v>
      </c>
      <c r="X580" s="667">
        <v>0</v>
      </c>
      <c r="Y580" s="667">
        <v>0</v>
      </c>
      <c r="Z580" s="667">
        <v>0</v>
      </c>
      <c r="AA580" s="667">
        <v>0</v>
      </c>
      <c r="AB580" s="667">
        <v>0</v>
      </c>
      <c r="AC580" s="686">
        <v>0</v>
      </c>
      <c r="AD580" s="686">
        <v>0</v>
      </c>
      <c r="AE580" s="667">
        <v>0</v>
      </c>
      <c r="AF580" s="719">
        <v>0</v>
      </c>
      <c r="AG580" s="686">
        <v>0</v>
      </c>
      <c r="AH580" s="716"/>
      <c r="AI580" s="716"/>
      <c r="AJ580" s="716"/>
      <c r="AK580" s="716"/>
      <c r="AL580" s="716"/>
      <c r="AM580" s="716"/>
      <c r="AN580" s="716"/>
      <c r="AO580" s="716"/>
      <c r="AP580" s="716"/>
      <c r="AQ580" s="716"/>
      <c r="AR580" s="716"/>
      <c r="AS580" s="716"/>
      <c r="AT580" s="716"/>
      <c r="AU580" s="716"/>
      <c r="AV580" s="716"/>
      <c r="AW580" s="716"/>
      <c r="AX580" s="716"/>
      <c r="AY580" s="716"/>
      <c r="AZ580" s="716"/>
      <c r="BA580" s="716"/>
      <c r="BB580" s="716"/>
      <c r="BC580" s="716"/>
      <c r="BD580" s="716"/>
      <c r="BE580" s="716"/>
      <c r="BF580" s="716"/>
      <c r="BG580" s="716"/>
      <c r="BH580" s="716"/>
      <c r="BI580" s="716"/>
      <c r="BJ580" s="716"/>
      <c r="BK580" s="716"/>
      <c r="BL580" s="716"/>
      <c r="BM580" s="716"/>
      <c r="BN580" s="716"/>
      <c r="BO580" s="716"/>
      <c r="BP580" s="716"/>
      <c r="BQ580" s="716"/>
      <c r="BR580" s="716"/>
      <c r="BS580" s="716"/>
      <c r="BT580" s="716"/>
      <c r="BU580" s="716"/>
      <c r="BV580" s="716"/>
      <c r="BW580" s="716"/>
      <c r="BX580" s="716"/>
      <c r="BY580" s="716"/>
      <c r="BZ580" s="716"/>
      <c r="CA580" s="716"/>
    </row>
    <row r="581" spans="1:79" hidden="1" outlineLevel="1" x14ac:dyDescent="0.25">
      <c r="A581" s="656"/>
      <c r="B581" s="570"/>
      <c r="C581" s="570"/>
      <c r="D581" s="570"/>
      <c r="E581" s="40" t="s">
        <v>1334</v>
      </c>
      <c r="F581" s="656" t="s">
        <v>880</v>
      </c>
      <c r="G581" s="40"/>
      <c r="H581" s="719"/>
      <c r="I581" s="719"/>
      <c r="J581" s="719"/>
      <c r="K581" s="719"/>
      <c r="L581" s="719"/>
      <c r="M581" s="719"/>
      <c r="N581" s="719"/>
      <c r="O581" s="719"/>
      <c r="P581" s="716"/>
      <c r="Q581" s="716"/>
      <c r="R581" s="716"/>
      <c r="S581" s="667">
        <v>0</v>
      </c>
      <c r="T581" s="667">
        <v>0</v>
      </c>
      <c r="U581" s="667">
        <v>0</v>
      </c>
      <c r="V581" s="667">
        <v>0</v>
      </c>
      <c r="W581" s="667">
        <v>0</v>
      </c>
      <c r="X581" s="667">
        <v>0</v>
      </c>
      <c r="Y581" s="667">
        <v>0</v>
      </c>
      <c r="Z581" s="667">
        <v>0</v>
      </c>
      <c r="AA581" s="667">
        <v>0</v>
      </c>
      <c r="AB581" s="667">
        <v>0</v>
      </c>
      <c r="AC581" s="686">
        <v>0</v>
      </c>
      <c r="AD581" s="686">
        <v>0</v>
      </c>
      <c r="AE581" s="667">
        <v>0</v>
      </c>
      <c r="AF581" s="719">
        <v>0</v>
      </c>
      <c r="AG581" s="686">
        <v>0</v>
      </c>
      <c r="AH581" s="716"/>
      <c r="AI581" s="716"/>
      <c r="AJ581" s="716"/>
      <c r="AK581" s="716"/>
      <c r="AL581" s="716"/>
      <c r="AM581" s="716"/>
      <c r="AN581" s="716"/>
      <c r="AO581" s="716"/>
      <c r="AP581" s="716"/>
      <c r="AQ581" s="716"/>
      <c r="AR581" s="716"/>
      <c r="AS581" s="716"/>
      <c r="AT581" s="716"/>
      <c r="AU581" s="716"/>
      <c r="AV581" s="716"/>
      <c r="AW581" s="716"/>
      <c r="AX581" s="716"/>
      <c r="AY581" s="716"/>
      <c r="AZ581" s="716"/>
      <c r="BA581" s="716"/>
      <c r="BB581" s="716"/>
      <c r="BC581" s="716"/>
      <c r="BD581" s="716"/>
      <c r="BE581" s="716"/>
      <c r="BF581" s="716"/>
      <c r="BG581" s="716"/>
      <c r="BH581" s="716"/>
      <c r="BI581" s="716"/>
      <c r="BJ581" s="716"/>
      <c r="BK581" s="716"/>
      <c r="BL581" s="716"/>
      <c r="BM581" s="716"/>
      <c r="BN581" s="716"/>
      <c r="BO581" s="716"/>
      <c r="BP581" s="716"/>
      <c r="BQ581" s="716"/>
      <c r="BR581" s="716"/>
      <c r="BS581" s="716"/>
      <c r="BT581" s="716"/>
      <c r="BU581" s="716"/>
      <c r="BV581" s="716"/>
      <c r="BW581" s="716"/>
      <c r="BX581" s="716"/>
      <c r="BY581" s="716"/>
      <c r="BZ581" s="716"/>
      <c r="CA581" s="716"/>
    </row>
    <row r="582" spans="1:79" hidden="1" outlineLevel="1" x14ac:dyDescent="0.25">
      <c r="A582" s="656"/>
      <c r="B582" s="570"/>
      <c r="C582" s="570"/>
      <c r="D582" s="570"/>
      <c r="E582" s="40" t="s">
        <v>1335</v>
      </c>
      <c r="F582" s="656" t="s">
        <v>662</v>
      </c>
      <c r="G582" s="40"/>
      <c r="H582" s="719"/>
      <c r="I582" s="719"/>
      <c r="J582" s="719"/>
      <c r="K582" s="719"/>
      <c r="L582" s="719"/>
      <c r="M582" s="719"/>
      <c r="N582" s="719"/>
      <c r="O582" s="719"/>
      <c r="P582" s="716"/>
      <c r="Q582" s="716"/>
      <c r="R582" s="716"/>
      <c r="S582" s="667">
        <v>0</v>
      </c>
      <c r="T582" s="667">
        <v>0</v>
      </c>
      <c r="U582" s="667">
        <v>0</v>
      </c>
      <c r="V582" s="667">
        <v>0</v>
      </c>
      <c r="W582" s="667">
        <v>0</v>
      </c>
      <c r="X582" s="667">
        <v>0</v>
      </c>
      <c r="Y582" s="667">
        <v>0</v>
      </c>
      <c r="Z582" s="667">
        <v>0</v>
      </c>
      <c r="AA582" s="667">
        <v>0</v>
      </c>
      <c r="AB582" s="667">
        <v>0</v>
      </c>
      <c r="AC582" s="686">
        <v>0</v>
      </c>
      <c r="AD582" s="686">
        <v>0</v>
      </c>
      <c r="AE582" s="667">
        <v>0</v>
      </c>
      <c r="AF582" s="719">
        <v>0</v>
      </c>
      <c r="AG582" s="686">
        <v>0</v>
      </c>
      <c r="AH582" s="716"/>
      <c r="AI582" s="716"/>
      <c r="AJ582" s="716"/>
      <c r="AK582" s="716"/>
      <c r="AL582" s="716"/>
      <c r="AM582" s="716"/>
      <c r="AN582" s="716"/>
      <c r="AO582" s="716"/>
      <c r="AP582" s="716"/>
      <c r="AQ582" s="716"/>
      <c r="AR582" s="716"/>
      <c r="AS582" s="716"/>
      <c r="AT582" s="716"/>
      <c r="AU582" s="716"/>
      <c r="AV582" s="716"/>
      <c r="AW582" s="716"/>
      <c r="AX582" s="716"/>
      <c r="AY582" s="716"/>
      <c r="AZ582" s="716"/>
      <c r="BA582" s="716"/>
      <c r="BB582" s="716"/>
      <c r="BC582" s="716"/>
      <c r="BD582" s="716"/>
      <c r="BE582" s="716"/>
      <c r="BF582" s="716"/>
      <c r="BG582" s="716"/>
      <c r="BH582" s="716"/>
      <c r="BI582" s="716"/>
      <c r="BJ582" s="716"/>
      <c r="BK582" s="716"/>
      <c r="BL582" s="716"/>
      <c r="BM582" s="716"/>
      <c r="BN582" s="716"/>
      <c r="BO582" s="716"/>
      <c r="BP582" s="716"/>
      <c r="BQ582" s="716"/>
      <c r="BR582" s="716"/>
      <c r="BS582" s="716"/>
      <c r="BT582" s="716"/>
      <c r="BU582" s="716"/>
      <c r="BV582" s="716"/>
      <c r="BW582" s="716"/>
      <c r="BX582" s="716"/>
      <c r="BY582" s="716"/>
      <c r="BZ582" s="716"/>
      <c r="CA582" s="716"/>
    </row>
    <row r="583" spans="1:79" hidden="1" outlineLevel="1" x14ac:dyDescent="0.25">
      <c r="A583" s="660"/>
      <c r="B583" s="570"/>
      <c r="C583" s="570"/>
      <c r="D583" s="570"/>
      <c r="E583" s="40" t="s">
        <v>1334</v>
      </c>
      <c r="F583" s="660" t="s">
        <v>663</v>
      </c>
      <c r="G583" s="40"/>
      <c r="H583" s="719"/>
      <c r="I583" s="719"/>
      <c r="J583" s="719"/>
      <c r="K583" s="719"/>
      <c r="L583" s="719"/>
      <c r="M583" s="719"/>
      <c r="N583" s="719"/>
      <c r="O583" s="719"/>
      <c r="P583" s="716"/>
      <c r="Q583" s="716"/>
      <c r="R583" s="716"/>
      <c r="S583" s="667">
        <v>0</v>
      </c>
      <c r="T583" s="667">
        <v>0</v>
      </c>
      <c r="U583" s="667">
        <v>0</v>
      </c>
      <c r="V583" s="667">
        <v>0</v>
      </c>
      <c r="W583" s="667">
        <v>0</v>
      </c>
      <c r="X583" s="667">
        <v>0</v>
      </c>
      <c r="Y583" s="667">
        <v>0</v>
      </c>
      <c r="Z583" s="667">
        <v>51.26</v>
      </c>
      <c r="AA583" s="667">
        <v>77</v>
      </c>
      <c r="AB583" s="667">
        <v>70.709999999999994</v>
      </c>
      <c r="AC583" s="686">
        <v>62.84</v>
      </c>
      <c r="AD583" s="686">
        <v>0</v>
      </c>
      <c r="AE583" s="667">
        <v>14.64</v>
      </c>
      <c r="AF583" s="716">
        <v>58.54</v>
      </c>
      <c r="AG583" s="686">
        <v>61.72</v>
      </c>
      <c r="AH583" s="716"/>
      <c r="AI583" s="716"/>
      <c r="AJ583" s="716"/>
      <c r="AK583" s="716"/>
      <c r="AL583" s="716"/>
      <c r="AM583" s="716"/>
      <c r="AN583" s="716"/>
      <c r="AO583" s="716"/>
      <c r="AP583" s="716"/>
      <c r="AQ583" s="716"/>
      <c r="AR583" s="716"/>
      <c r="AS583" s="716"/>
      <c r="AT583" s="716"/>
      <c r="AU583" s="716"/>
      <c r="AV583" s="716"/>
      <c r="AW583" s="716"/>
      <c r="AX583" s="716"/>
      <c r="AY583" s="716"/>
      <c r="AZ583" s="716"/>
      <c r="BA583" s="716"/>
      <c r="BB583" s="716"/>
      <c r="BC583" s="716"/>
      <c r="BD583" s="716"/>
      <c r="BE583" s="716"/>
      <c r="BF583" s="716"/>
      <c r="BG583" s="716"/>
      <c r="BH583" s="716"/>
      <c r="BI583" s="716"/>
      <c r="BJ583" s="716"/>
      <c r="BK583" s="716"/>
      <c r="BL583" s="716"/>
      <c r="BM583" s="716"/>
      <c r="BN583" s="716"/>
      <c r="BO583" s="716"/>
      <c r="BP583" s="716"/>
      <c r="BQ583" s="716"/>
      <c r="BR583" s="716"/>
      <c r="BS583" s="716"/>
      <c r="BT583" s="716"/>
      <c r="BU583" s="716"/>
      <c r="BV583" s="716"/>
      <c r="BW583" s="716"/>
      <c r="BX583" s="716"/>
      <c r="BY583" s="716"/>
      <c r="BZ583" s="716"/>
      <c r="CA583" s="716"/>
    </row>
    <row r="584" spans="1:79" hidden="1" outlineLevel="1" x14ac:dyDescent="0.25">
      <c r="A584" s="656"/>
      <c r="B584" s="570"/>
      <c r="C584" s="570"/>
      <c r="D584" s="570"/>
      <c r="E584" s="40" t="s">
        <v>657</v>
      </c>
      <c r="F584" s="656" t="s">
        <v>881</v>
      </c>
      <c r="G584" s="40"/>
      <c r="H584" s="719"/>
      <c r="I584" s="719"/>
      <c r="J584" s="719"/>
      <c r="K584" s="719"/>
      <c r="L584" s="719"/>
      <c r="M584" s="719"/>
      <c r="N584" s="719"/>
      <c r="O584" s="719"/>
      <c r="P584" s="716"/>
      <c r="Q584" s="716"/>
      <c r="R584" s="716"/>
      <c r="S584" s="667">
        <v>0</v>
      </c>
      <c r="T584" s="667">
        <v>0</v>
      </c>
      <c r="U584" s="667">
        <v>0</v>
      </c>
      <c r="V584" s="667">
        <v>0</v>
      </c>
      <c r="W584" s="667">
        <v>0</v>
      </c>
      <c r="X584" s="667">
        <v>0</v>
      </c>
      <c r="Y584" s="667">
        <v>0</v>
      </c>
      <c r="Z584" s="667">
        <v>0</v>
      </c>
      <c r="AA584" s="667">
        <v>0</v>
      </c>
      <c r="AB584" s="667">
        <v>0</v>
      </c>
      <c r="AC584" s="686">
        <v>0</v>
      </c>
      <c r="AD584" s="686">
        <v>0</v>
      </c>
      <c r="AE584" s="667">
        <v>0</v>
      </c>
      <c r="AF584" s="719">
        <v>0</v>
      </c>
      <c r="AG584" s="686">
        <v>0</v>
      </c>
      <c r="AH584" s="716"/>
      <c r="AI584" s="716"/>
      <c r="AJ584" s="716"/>
      <c r="AK584" s="716"/>
      <c r="AL584" s="716"/>
      <c r="AM584" s="716"/>
      <c r="AN584" s="716"/>
      <c r="AO584" s="716"/>
      <c r="AP584" s="716"/>
      <c r="AQ584" s="716"/>
      <c r="AR584" s="716"/>
      <c r="AS584" s="716"/>
      <c r="AT584" s="716"/>
      <c r="AU584" s="716"/>
      <c r="AV584" s="716"/>
      <c r="AW584" s="716"/>
      <c r="AX584" s="716"/>
      <c r="AY584" s="716"/>
      <c r="AZ584" s="716"/>
      <c r="BA584" s="716"/>
      <c r="BB584" s="716"/>
      <c r="BC584" s="716"/>
      <c r="BD584" s="716"/>
      <c r="BE584" s="716"/>
      <c r="BF584" s="716"/>
      <c r="BG584" s="716"/>
      <c r="BH584" s="716"/>
      <c r="BI584" s="716"/>
      <c r="BJ584" s="716"/>
      <c r="BK584" s="716"/>
      <c r="BL584" s="716"/>
      <c r="BM584" s="716"/>
      <c r="BN584" s="716"/>
      <c r="BO584" s="716"/>
      <c r="BP584" s="716"/>
      <c r="BQ584" s="716"/>
      <c r="BR584" s="716"/>
      <c r="BS584" s="716"/>
      <c r="BT584" s="716"/>
      <c r="BU584" s="716"/>
      <c r="BV584" s="716"/>
      <c r="BW584" s="716"/>
      <c r="BX584" s="716"/>
      <c r="BY584" s="716"/>
      <c r="BZ584" s="716"/>
      <c r="CA584" s="716"/>
    </row>
    <row r="585" spans="1:79" hidden="1" outlineLevel="1" x14ac:dyDescent="0.25">
      <c r="A585" s="657"/>
      <c r="B585" s="570"/>
      <c r="C585" s="570"/>
      <c r="D585" s="570"/>
      <c r="E585" s="40" t="s">
        <v>49</v>
      </c>
      <c r="F585" s="1218" t="s">
        <v>664</v>
      </c>
      <c r="G585" s="1219">
        <f>SUM(G576:G584)</f>
        <v>0</v>
      </c>
      <c r="H585" s="1219">
        <f t="shared" ref="H585:BO585" si="244">SUM(H576:H584)</f>
        <v>0</v>
      </c>
      <c r="I585" s="1219">
        <f t="shared" si="244"/>
        <v>0</v>
      </c>
      <c r="J585" s="1219">
        <f t="shared" si="244"/>
        <v>0</v>
      </c>
      <c r="K585" s="1219">
        <f t="shared" si="244"/>
        <v>0</v>
      </c>
      <c r="L585" s="1219">
        <f t="shared" si="244"/>
        <v>0</v>
      </c>
      <c r="M585" s="1219">
        <f t="shared" si="244"/>
        <v>0</v>
      </c>
      <c r="N585" s="1219">
        <f t="shared" si="244"/>
        <v>0</v>
      </c>
      <c r="O585" s="1219">
        <f t="shared" si="244"/>
        <v>0</v>
      </c>
      <c r="P585" s="1219">
        <f t="shared" si="244"/>
        <v>0</v>
      </c>
      <c r="Q585" s="1219">
        <f t="shared" si="244"/>
        <v>0</v>
      </c>
      <c r="R585" s="1219">
        <f t="shared" si="244"/>
        <v>0</v>
      </c>
      <c r="S585" s="1226">
        <f t="shared" ref="S585:AA585" si="245">ROUND(SUM(S575:S584),5)</f>
        <v>0</v>
      </c>
      <c r="T585" s="1226">
        <f t="shared" si="245"/>
        <v>0</v>
      </c>
      <c r="U585" s="1226">
        <f t="shared" si="245"/>
        <v>0</v>
      </c>
      <c r="V585" s="1226">
        <f t="shared" si="245"/>
        <v>0</v>
      </c>
      <c r="W585" s="1226">
        <f t="shared" si="245"/>
        <v>0</v>
      </c>
      <c r="X585" s="1226">
        <f t="shared" si="245"/>
        <v>0</v>
      </c>
      <c r="Y585" s="1226">
        <f t="shared" si="245"/>
        <v>0</v>
      </c>
      <c r="Z585" s="1226">
        <f t="shared" si="245"/>
        <v>51.26</v>
      </c>
      <c r="AA585" s="1226">
        <f t="shared" si="245"/>
        <v>77</v>
      </c>
      <c r="AB585" s="1226">
        <f t="shared" ref="AB585:AG585" si="246">ROUND(SUM(AB575:AB584),5)</f>
        <v>70.709999999999994</v>
      </c>
      <c r="AC585" s="1226">
        <f t="shared" si="246"/>
        <v>62.84</v>
      </c>
      <c r="AD585" s="1226">
        <f t="shared" si="246"/>
        <v>0</v>
      </c>
      <c r="AE585" s="1226">
        <f t="shared" si="246"/>
        <v>14.64</v>
      </c>
      <c r="AF585" s="664">
        <f t="shared" si="246"/>
        <v>58.54</v>
      </c>
      <c r="AG585" s="678">
        <f t="shared" si="246"/>
        <v>61.72</v>
      </c>
      <c r="AH585" s="664">
        <f t="shared" si="244"/>
        <v>0</v>
      </c>
      <c r="AI585" s="664">
        <f t="shared" si="244"/>
        <v>0</v>
      </c>
      <c r="AJ585" s="664">
        <f t="shared" si="244"/>
        <v>0</v>
      </c>
      <c r="AK585" s="664">
        <f t="shared" si="244"/>
        <v>0</v>
      </c>
      <c r="AL585" s="664">
        <f t="shared" si="244"/>
        <v>0</v>
      </c>
      <c r="AM585" s="664">
        <f t="shared" si="244"/>
        <v>0</v>
      </c>
      <c r="AN585" s="664">
        <f t="shared" si="244"/>
        <v>0</v>
      </c>
      <c r="AO585" s="664">
        <f t="shared" si="244"/>
        <v>0</v>
      </c>
      <c r="AP585" s="664">
        <f t="shared" si="244"/>
        <v>0</v>
      </c>
      <c r="AQ585" s="664">
        <f t="shared" si="244"/>
        <v>0</v>
      </c>
      <c r="AR585" s="664">
        <f t="shared" si="244"/>
        <v>0</v>
      </c>
      <c r="AS585" s="664">
        <f t="shared" si="244"/>
        <v>0</v>
      </c>
      <c r="AT585" s="664">
        <f t="shared" si="244"/>
        <v>0</v>
      </c>
      <c r="AU585" s="664">
        <f t="shared" si="244"/>
        <v>0</v>
      </c>
      <c r="AV585" s="664">
        <f t="shared" si="244"/>
        <v>0</v>
      </c>
      <c r="AW585" s="664">
        <f t="shared" si="244"/>
        <v>0</v>
      </c>
      <c r="AX585" s="664">
        <f t="shared" si="244"/>
        <v>0</v>
      </c>
      <c r="AY585" s="664">
        <f t="shared" si="244"/>
        <v>0</v>
      </c>
      <c r="AZ585" s="664">
        <f t="shared" si="244"/>
        <v>0</v>
      </c>
      <c r="BA585" s="664">
        <f t="shared" si="244"/>
        <v>0</v>
      </c>
      <c r="BB585" s="664">
        <f t="shared" si="244"/>
        <v>0</v>
      </c>
      <c r="BC585" s="664">
        <f t="shared" si="244"/>
        <v>0</v>
      </c>
      <c r="BD585" s="664">
        <f t="shared" si="244"/>
        <v>0</v>
      </c>
      <c r="BE585" s="664">
        <f t="shared" si="244"/>
        <v>0</v>
      </c>
      <c r="BF585" s="664">
        <f t="shared" si="244"/>
        <v>0</v>
      </c>
      <c r="BG585" s="664">
        <f t="shared" si="244"/>
        <v>0</v>
      </c>
      <c r="BH585" s="664">
        <f t="shared" si="244"/>
        <v>0</v>
      </c>
      <c r="BI585" s="664">
        <f t="shared" si="244"/>
        <v>0</v>
      </c>
      <c r="BJ585" s="664">
        <f t="shared" si="244"/>
        <v>0</v>
      </c>
      <c r="BK585" s="664">
        <f t="shared" si="244"/>
        <v>0</v>
      </c>
      <c r="BL585" s="664">
        <f t="shared" si="244"/>
        <v>0</v>
      </c>
      <c r="BM585" s="664">
        <f t="shared" si="244"/>
        <v>0</v>
      </c>
      <c r="BN585" s="664">
        <f t="shared" si="244"/>
        <v>0</v>
      </c>
      <c r="BO585" s="664">
        <f t="shared" si="244"/>
        <v>0</v>
      </c>
      <c r="BP585" s="664">
        <f t="shared" ref="BP585:CA585" si="247">SUM(BP576:BP584)</f>
        <v>0</v>
      </c>
      <c r="BQ585" s="664">
        <f t="shared" si="247"/>
        <v>0</v>
      </c>
      <c r="BR585" s="664">
        <f t="shared" si="247"/>
        <v>0</v>
      </c>
      <c r="BS585" s="664">
        <f t="shared" si="247"/>
        <v>0</v>
      </c>
      <c r="BT585" s="664">
        <f t="shared" si="247"/>
        <v>0</v>
      </c>
      <c r="BU585" s="664">
        <f t="shared" si="247"/>
        <v>0</v>
      </c>
      <c r="BV585" s="664">
        <f t="shared" si="247"/>
        <v>0</v>
      </c>
      <c r="BW585" s="664">
        <f t="shared" si="247"/>
        <v>0</v>
      </c>
      <c r="BX585" s="664">
        <f t="shared" si="247"/>
        <v>0</v>
      </c>
      <c r="BY585" s="664">
        <f t="shared" si="247"/>
        <v>0</v>
      </c>
      <c r="BZ585" s="664">
        <f t="shared" si="247"/>
        <v>0</v>
      </c>
      <c r="CA585" s="664">
        <f t="shared" si="247"/>
        <v>0</v>
      </c>
    </row>
    <row r="586" spans="1:79" hidden="1" outlineLevel="1" x14ac:dyDescent="0.25">
      <c r="A586" s="655"/>
      <c r="B586" s="570"/>
      <c r="C586" s="570"/>
      <c r="D586" s="570"/>
      <c r="E586" s="40" t="s">
        <v>1336</v>
      </c>
      <c r="F586" s="1215" t="s">
        <v>665</v>
      </c>
      <c r="G586" s="40"/>
      <c r="H586" s="719"/>
      <c r="I586" s="719"/>
      <c r="J586" s="719"/>
      <c r="K586" s="719"/>
      <c r="L586" s="719"/>
      <c r="M586" s="719"/>
      <c r="N586" s="719"/>
      <c r="O586" s="719"/>
      <c r="P586" s="716"/>
      <c r="Q586" s="716"/>
      <c r="R586" s="716"/>
      <c r="S586" s="667">
        <v>0</v>
      </c>
      <c r="T586" s="667">
        <v>0</v>
      </c>
      <c r="U586" s="667">
        <v>0</v>
      </c>
      <c r="V586" s="667">
        <v>0</v>
      </c>
      <c r="W586" s="667">
        <v>0</v>
      </c>
      <c r="X586" s="667">
        <v>0</v>
      </c>
      <c r="Y586" s="667">
        <v>0</v>
      </c>
      <c r="Z586" s="667">
        <v>0</v>
      </c>
      <c r="AA586" s="667">
        <v>0</v>
      </c>
      <c r="AB586" s="667">
        <v>0</v>
      </c>
      <c r="AC586" s="686">
        <v>0</v>
      </c>
      <c r="AD586" s="686">
        <v>0</v>
      </c>
      <c r="AE586" s="667">
        <v>0</v>
      </c>
      <c r="AF586" s="719">
        <v>0</v>
      </c>
      <c r="AG586" s="686">
        <v>0</v>
      </c>
      <c r="AH586" s="716"/>
      <c r="AI586" s="716"/>
      <c r="AJ586" s="716"/>
      <c r="AK586" s="716"/>
      <c r="AL586" s="716"/>
      <c r="AM586" s="716"/>
      <c r="AN586" s="716"/>
      <c r="AO586" s="716"/>
      <c r="AP586" s="716"/>
      <c r="AQ586" s="716"/>
      <c r="AR586" s="716"/>
      <c r="AS586" s="716"/>
      <c r="AT586" s="716"/>
      <c r="AU586" s="716"/>
      <c r="AV586" s="716"/>
      <c r="AW586" s="716"/>
      <c r="AX586" s="716"/>
      <c r="AY586" s="716"/>
      <c r="AZ586" s="716"/>
      <c r="BA586" s="716"/>
      <c r="BB586" s="716"/>
      <c r="BC586" s="716"/>
      <c r="BD586" s="716"/>
      <c r="BE586" s="716"/>
      <c r="BF586" s="716"/>
      <c r="BG586" s="716"/>
      <c r="BH586" s="716"/>
      <c r="BI586" s="716"/>
      <c r="BJ586" s="716"/>
      <c r="BK586" s="716"/>
      <c r="BL586" s="716"/>
      <c r="BM586" s="716"/>
      <c r="BN586" s="716"/>
      <c r="BO586" s="716"/>
      <c r="BP586" s="716"/>
      <c r="BQ586" s="716"/>
      <c r="BR586" s="716"/>
      <c r="BS586" s="716"/>
      <c r="BT586" s="716"/>
      <c r="BU586" s="716"/>
      <c r="BV586" s="716"/>
      <c r="BW586" s="716"/>
      <c r="BX586" s="716"/>
      <c r="BY586" s="716"/>
      <c r="BZ586" s="716"/>
      <c r="CA586" s="716"/>
    </row>
    <row r="587" spans="1:79" s="693" customFormat="1" hidden="1" outlineLevel="1" x14ac:dyDescent="0.25">
      <c r="A587" s="701"/>
      <c r="E587" s="40" t="s">
        <v>1337</v>
      </c>
      <c r="F587" s="1225" t="s">
        <v>593</v>
      </c>
      <c r="G587" s="927"/>
      <c r="H587" s="733"/>
      <c r="I587" s="733"/>
      <c r="J587" s="733"/>
      <c r="K587" s="733"/>
      <c r="L587" s="733"/>
      <c r="M587" s="733"/>
      <c r="N587" s="733"/>
      <c r="O587" s="733"/>
      <c r="P587" s="734"/>
      <c r="Q587" s="734"/>
      <c r="R587" s="734"/>
      <c r="S587" s="1223"/>
      <c r="T587" s="1223"/>
      <c r="U587" s="1223"/>
      <c r="V587" s="1223"/>
      <c r="W587" s="1223"/>
      <c r="X587" s="1223"/>
      <c r="Y587" s="1223"/>
      <c r="Z587" s="1223"/>
      <c r="AA587" s="1223"/>
      <c r="AB587" s="1223"/>
      <c r="AC587" s="712"/>
      <c r="AD587" s="712"/>
      <c r="AE587" s="1223"/>
      <c r="AF587" s="733"/>
      <c r="AG587" s="705"/>
      <c r="AH587" s="734"/>
      <c r="AI587" s="734"/>
      <c r="AJ587" s="734"/>
      <c r="AK587" s="734"/>
      <c r="AL587" s="734"/>
      <c r="AM587" s="734"/>
      <c r="AN587" s="734"/>
      <c r="AO587" s="734"/>
      <c r="AP587" s="734"/>
      <c r="AQ587" s="734"/>
      <c r="AR587" s="734"/>
      <c r="AS587" s="734"/>
      <c r="AT587" s="734"/>
      <c r="AU587" s="734"/>
      <c r="AV587" s="734"/>
      <c r="AW587" s="734"/>
      <c r="AX587" s="734"/>
      <c r="AY587" s="734"/>
      <c r="AZ587" s="734"/>
      <c r="BA587" s="734"/>
      <c r="BB587" s="734"/>
      <c r="BC587" s="734"/>
      <c r="BD587" s="734"/>
      <c r="BE587" s="734"/>
      <c r="BF587" s="734"/>
      <c r="BG587" s="734"/>
      <c r="BH587" s="734"/>
      <c r="BI587" s="734"/>
      <c r="BJ587" s="734"/>
      <c r="BK587" s="734"/>
      <c r="BL587" s="734"/>
      <c r="BM587" s="734"/>
      <c r="BN587" s="734"/>
      <c r="BO587" s="734"/>
      <c r="BP587" s="734"/>
      <c r="BQ587" s="734"/>
      <c r="BR587" s="734"/>
      <c r="BS587" s="734"/>
      <c r="BT587" s="734"/>
      <c r="BU587" s="734"/>
      <c r="BV587" s="734"/>
      <c r="BW587" s="734"/>
      <c r="BX587" s="734"/>
      <c r="BY587" s="734"/>
      <c r="BZ587" s="734"/>
      <c r="CA587" s="734"/>
    </row>
    <row r="588" spans="1:79" hidden="1" outlineLevel="1" x14ac:dyDescent="0.25">
      <c r="A588" s="656"/>
      <c r="B588" s="570"/>
      <c r="C588" s="570"/>
      <c r="D588" s="570"/>
      <c r="E588" s="40" t="s">
        <v>1337</v>
      </c>
      <c r="F588" s="656" t="s">
        <v>882</v>
      </c>
      <c r="G588" s="40"/>
      <c r="H588" s="719"/>
      <c r="I588" s="719"/>
      <c r="J588" s="719"/>
      <c r="K588" s="719"/>
      <c r="L588" s="719"/>
      <c r="M588" s="719"/>
      <c r="N588" s="719"/>
      <c r="O588" s="719"/>
      <c r="P588" s="716"/>
      <c r="Q588" s="716"/>
      <c r="R588" s="716"/>
      <c r="S588" s="676">
        <v>0</v>
      </c>
      <c r="T588" s="676">
        <v>0</v>
      </c>
      <c r="U588" s="676">
        <v>0</v>
      </c>
      <c r="V588" s="676">
        <v>0</v>
      </c>
      <c r="W588" s="676">
        <v>0</v>
      </c>
      <c r="X588" s="676">
        <v>0</v>
      </c>
      <c r="Y588" s="676">
        <v>0</v>
      </c>
      <c r="Z588" s="676">
        <v>0</v>
      </c>
      <c r="AA588" s="676">
        <v>0</v>
      </c>
      <c r="AB588" s="676">
        <v>0</v>
      </c>
      <c r="AC588" s="674">
        <v>0</v>
      </c>
      <c r="AD588" s="674">
        <v>0</v>
      </c>
      <c r="AE588" s="676">
        <v>0</v>
      </c>
      <c r="AF588" s="719">
        <v>0</v>
      </c>
      <c r="AG588" s="687">
        <v>0</v>
      </c>
      <c r="AH588" s="716"/>
      <c r="AI588" s="716"/>
      <c r="AJ588" s="716"/>
      <c r="AK588" s="716"/>
      <c r="AL588" s="716"/>
      <c r="AM588" s="716"/>
      <c r="AN588" s="716"/>
      <c r="AO588" s="716"/>
      <c r="AP588" s="716"/>
      <c r="AQ588" s="716"/>
      <c r="AR588" s="716"/>
      <c r="AS588" s="716"/>
      <c r="AT588" s="716"/>
      <c r="AU588" s="716"/>
      <c r="AV588" s="716"/>
      <c r="AW588" s="716"/>
      <c r="AX588" s="716"/>
      <c r="AY588" s="716"/>
      <c r="AZ588" s="716"/>
      <c r="BA588" s="716"/>
      <c r="BB588" s="716"/>
      <c r="BC588" s="716"/>
      <c r="BD588" s="716"/>
      <c r="BE588" s="716"/>
      <c r="BF588" s="716"/>
      <c r="BG588" s="716"/>
      <c r="BH588" s="716"/>
      <c r="BI588" s="716"/>
      <c r="BJ588" s="716"/>
      <c r="BK588" s="716"/>
      <c r="BL588" s="716"/>
      <c r="BM588" s="716"/>
      <c r="BN588" s="716"/>
      <c r="BO588" s="716"/>
      <c r="BP588" s="716"/>
      <c r="BQ588" s="716"/>
      <c r="BR588" s="716"/>
      <c r="BS588" s="716"/>
      <c r="BT588" s="716"/>
      <c r="BU588" s="716"/>
      <c r="BV588" s="716"/>
      <c r="BW588" s="716"/>
      <c r="BX588" s="716"/>
      <c r="BY588" s="716"/>
      <c r="BZ588" s="716"/>
      <c r="CA588" s="716"/>
    </row>
    <row r="589" spans="1:79" hidden="1" outlineLevel="1" x14ac:dyDescent="0.25">
      <c r="A589" s="656"/>
      <c r="B589" s="570"/>
      <c r="C589" s="570"/>
      <c r="D589" s="570"/>
      <c r="E589" s="40" t="s">
        <v>941</v>
      </c>
      <c r="F589" s="656" t="s">
        <v>883</v>
      </c>
      <c r="G589" s="40"/>
      <c r="H589" s="719"/>
      <c r="I589" s="719"/>
      <c r="J589" s="719"/>
      <c r="K589" s="719"/>
      <c r="L589" s="719"/>
      <c r="M589" s="719"/>
      <c r="N589" s="719"/>
      <c r="O589" s="719"/>
      <c r="P589" s="716"/>
      <c r="Q589" s="716"/>
      <c r="R589" s="716"/>
      <c r="S589" s="676">
        <v>0</v>
      </c>
      <c r="T589" s="676">
        <v>0</v>
      </c>
      <c r="U589" s="676">
        <v>0</v>
      </c>
      <c r="V589" s="676">
        <v>0</v>
      </c>
      <c r="W589" s="676">
        <v>0</v>
      </c>
      <c r="X589" s="676">
        <v>0</v>
      </c>
      <c r="Y589" s="676">
        <v>0</v>
      </c>
      <c r="Z589" s="676">
        <v>0</v>
      </c>
      <c r="AA589" s="676">
        <v>0</v>
      </c>
      <c r="AB589" s="676">
        <v>0</v>
      </c>
      <c r="AC589" s="674">
        <v>0</v>
      </c>
      <c r="AD589" s="674">
        <v>0</v>
      </c>
      <c r="AE589" s="676">
        <v>0</v>
      </c>
      <c r="AF589" s="719">
        <v>0</v>
      </c>
      <c r="AG589" s="687">
        <v>0</v>
      </c>
      <c r="AH589" s="716"/>
      <c r="AI589" s="716"/>
      <c r="AJ589" s="716"/>
      <c r="AK589" s="716"/>
      <c r="AL589" s="716"/>
      <c r="AM589" s="716"/>
      <c r="AN589" s="716"/>
      <c r="AO589" s="716"/>
      <c r="AP589" s="716"/>
      <c r="AQ589" s="716"/>
      <c r="AR589" s="716"/>
      <c r="AS589" s="716"/>
      <c r="AT589" s="716"/>
      <c r="AU589" s="716"/>
      <c r="AV589" s="716"/>
      <c r="AW589" s="716"/>
      <c r="AX589" s="716"/>
      <c r="AY589" s="716"/>
      <c r="AZ589" s="716"/>
      <c r="BA589" s="716"/>
      <c r="BB589" s="716"/>
      <c r="BC589" s="716"/>
      <c r="BD589" s="716"/>
      <c r="BE589" s="716"/>
      <c r="BF589" s="716"/>
      <c r="BG589" s="716"/>
      <c r="BH589" s="716"/>
      <c r="BI589" s="716"/>
      <c r="BJ589" s="716"/>
      <c r="BK589" s="716"/>
      <c r="BL589" s="716"/>
      <c r="BM589" s="716"/>
      <c r="BN589" s="716"/>
      <c r="BO589" s="716"/>
      <c r="BP589" s="716"/>
      <c r="BQ589" s="716"/>
      <c r="BR589" s="716"/>
      <c r="BS589" s="716"/>
      <c r="BT589" s="716"/>
      <c r="BU589" s="716"/>
      <c r="BV589" s="716"/>
      <c r="BW589" s="716"/>
      <c r="BX589" s="716"/>
      <c r="BY589" s="716"/>
      <c r="BZ589" s="716"/>
      <c r="CA589" s="716"/>
    </row>
    <row r="590" spans="1:79" hidden="1" outlineLevel="1" x14ac:dyDescent="0.25">
      <c r="A590" s="656"/>
      <c r="B590" s="570"/>
      <c r="C590" s="570"/>
      <c r="D590" s="570"/>
      <c r="E590" s="40" t="s">
        <v>11</v>
      </c>
      <c r="F590" s="656" t="s">
        <v>884</v>
      </c>
      <c r="G590" s="40"/>
      <c r="H590" s="719"/>
      <c r="I590" s="719"/>
      <c r="J590" s="719"/>
      <c r="K590" s="719"/>
      <c r="L590" s="719"/>
      <c r="M590" s="719"/>
      <c r="N590" s="719"/>
      <c r="O590" s="719"/>
      <c r="P590" s="716"/>
      <c r="Q590" s="716"/>
      <c r="R590" s="716"/>
      <c r="S590" s="676">
        <v>0</v>
      </c>
      <c r="T590" s="676">
        <v>0</v>
      </c>
      <c r="U590" s="676">
        <v>0</v>
      </c>
      <c r="V590" s="676">
        <v>0</v>
      </c>
      <c r="W590" s="676">
        <v>0</v>
      </c>
      <c r="X590" s="676">
        <v>0</v>
      </c>
      <c r="Y590" s="676">
        <v>0</v>
      </c>
      <c r="Z590" s="676">
        <v>0</v>
      </c>
      <c r="AA590" s="676">
        <v>0</v>
      </c>
      <c r="AB590" s="676">
        <v>0</v>
      </c>
      <c r="AC590" s="674">
        <v>0</v>
      </c>
      <c r="AD590" s="674">
        <v>0</v>
      </c>
      <c r="AE590" s="676">
        <v>0</v>
      </c>
      <c r="AF590" s="719">
        <v>0</v>
      </c>
      <c r="AG590" s="687">
        <v>0</v>
      </c>
      <c r="AH590" s="716"/>
      <c r="AI590" s="716"/>
      <c r="AJ590" s="716"/>
      <c r="AK590" s="716"/>
      <c r="AL590" s="716"/>
      <c r="AM590" s="716"/>
      <c r="AN590" s="716"/>
      <c r="AO590" s="716"/>
      <c r="AP590" s="716"/>
      <c r="AQ590" s="716"/>
      <c r="AR590" s="716"/>
      <c r="AS590" s="716"/>
      <c r="AT590" s="716"/>
      <c r="AU590" s="716"/>
      <c r="AV590" s="716"/>
      <c r="AW590" s="716"/>
      <c r="AX590" s="716"/>
      <c r="AY590" s="716"/>
      <c r="AZ590" s="716"/>
      <c r="BA590" s="716"/>
      <c r="BB590" s="716"/>
      <c r="BC590" s="716"/>
      <c r="BD590" s="716"/>
      <c r="BE590" s="716"/>
      <c r="BF590" s="716"/>
      <c r="BG590" s="716"/>
      <c r="BH590" s="716"/>
      <c r="BI590" s="716"/>
      <c r="BJ590" s="716"/>
      <c r="BK590" s="716"/>
      <c r="BL590" s="716"/>
      <c r="BM590" s="716"/>
      <c r="BN590" s="716"/>
      <c r="BO590" s="716"/>
      <c r="BP590" s="716"/>
      <c r="BQ590" s="716"/>
      <c r="BR590" s="716"/>
      <c r="BS590" s="716"/>
      <c r="BT590" s="716"/>
      <c r="BU590" s="716"/>
      <c r="BV590" s="716"/>
      <c r="BW590" s="716"/>
      <c r="BX590" s="716"/>
      <c r="BY590" s="716"/>
      <c r="BZ590" s="716"/>
      <c r="CA590" s="716"/>
    </row>
    <row r="591" spans="1:79" hidden="1" outlineLevel="1" x14ac:dyDescent="0.25">
      <c r="A591" s="656"/>
      <c r="B591" s="570"/>
      <c r="C591" s="570"/>
      <c r="D591" s="570"/>
      <c r="E591" s="40" t="s">
        <v>1337</v>
      </c>
      <c r="F591" s="656" t="s">
        <v>885</v>
      </c>
      <c r="G591" s="40"/>
      <c r="H591" s="719"/>
      <c r="I591" s="719"/>
      <c r="J591" s="719"/>
      <c r="K591" s="719"/>
      <c r="L591" s="719"/>
      <c r="M591" s="719"/>
      <c r="N591" s="719"/>
      <c r="O591" s="719"/>
      <c r="P591" s="716"/>
      <c r="Q591" s="716"/>
      <c r="R591" s="716"/>
      <c r="S591" s="676">
        <v>0</v>
      </c>
      <c r="T591" s="676">
        <v>0</v>
      </c>
      <c r="U591" s="676">
        <v>0</v>
      </c>
      <c r="V591" s="676">
        <v>0</v>
      </c>
      <c r="W591" s="676">
        <v>0</v>
      </c>
      <c r="X591" s="676">
        <v>0</v>
      </c>
      <c r="Y591" s="676">
        <v>0</v>
      </c>
      <c r="Z591" s="676">
        <v>0</v>
      </c>
      <c r="AA591" s="676">
        <v>0</v>
      </c>
      <c r="AB591" s="676">
        <v>0</v>
      </c>
      <c r="AC591" s="674">
        <v>0</v>
      </c>
      <c r="AD591" s="674">
        <v>0</v>
      </c>
      <c r="AE591" s="676">
        <v>0</v>
      </c>
      <c r="AF591" s="719">
        <v>0</v>
      </c>
      <c r="AG591" s="687">
        <v>0</v>
      </c>
      <c r="AH591" s="716"/>
      <c r="AI591" s="716"/>
      <c r="AJ591" s="716"/>
      <c r="AK591" s="716"/>
      <c r="AL591" s="716"/>
      <c r="AM591" s="716"/>
      <c r="AN591" s="716"/>
      <c r="AO591" s="716"/>
      <c r="AP591" s="716"/>
      <c r="AQ591" s="716"/>
      <c r="AR591" s="716"/>
      <c r="AS591" s="716"/>
      <c r="AT591" s="716"/>
      <c r="AU591" s="716"/>
      <c r="AV591" s="716"/>
      <c r="AW591" s="716"/>
      <c r="AX591" s="716"/>
      <c r="AY591" s="716"/>
      <c r="AZ591" s="716"/>
      <c r="BA591" s="716"/>
      <c r="BB591" s="716"/>
      <c r="BC591" s="716"/>
      <c r="BD591" s="716"/>
      <c r="BE591" s="716"/>
      <c r="BF591" s="716"/>
      <c r="BG591" s="716"/>
      <c r="BH591" s="716"/>
      <c r="BI591" s="716"/>
      <c r="BJ591" s="716"/>
      <c r="BK591" s="716"/>
      <c r="BL591" s="716"/>
      <c r="BM591" s="716"/>
      <c r="BN591" s="716"/>
      <c r="BO591" s="716"/>
      <c r="BP591" s="716"/>
      <c r="BQ591" s="716"/>
      <c r="BR591" s="716"/>
      <c r="BS591" s="716"/>
      <c r="BT591" s="716"/>
      <c r="BU591" s="716"/>
      <c r="BV591" s="716"/>
      <c r="BW591" s="716"/>
      <c r="BX591" s="716"/>
      <c r="BY591" s="716"/>
      <c r="BZ591" s="716"/>
      <c r="CA591" s="716"/>
    </row>
    <row r="592" spans="1:79" hidden="1" outlineLevel="1" x14ac:dyDescent="0.25">
      <c r="A592" s="656"/>
      <c r="B592" s="570"/>
      <c r="C592" s="570"/>
      <c r="D592" s="570"/>
      <c r="E592" s="40" t="s">
        <v>1270</v>
      </c>
      <c r="F592" s="656" t="s">
        <v>818</v>
      </c>
      <c r="G592" s="40"/>
      <c r="H592" s="719"/>
      <c r="I592" s="719"/>
      <c r="J592" s="719"/>
      <c r="K592" s="719"/>
      <c r="L592" s="719"/>
      <c r="M592" s="719"/>
      <c r="N592" s="719"/>
      <c r="O592" s="719"/>
      <c r="P592" s="716"/>
      <c r="Q592" s="716"/>
      <c r="R592" s="716"/>
      <c r="S592" s="676">
        <v>0</v>
      </c>
      <c r="T592" s="676">
        <v>0</v>
      </c>
      <c r="U592" s="676">
        <v>0</v>
      </c>
      <c r="V592" s="676">
        <v>0</v>
      </c>
      <c r="W592" s="676">
        <v>0</v>
      </c>
      <c r="X592" s="676">
        <v>0</v>
      </c>
      <c r="Y592" s="676">
        <v>0</v>
      </c>
      <c r="Z592" s="676">
        <v>0</v>
      </c>
      <c r="AA592" s="676">
        <v>0</v>
      </c>
      <c r="AB592" s="676">
        <v>0</v>
      </c>
      <c r="AC592" s="674">
        <v>0</v>
      </c>
      <c r="AD592" s="674">
        <v>0</v>
      </c>
      <c r="AE592" s="676">
        <v>0</v>
      </c>
      <c r="AF592" s="719">
        <v>0</v>
      </c>
      <c r="AG592" s="687">
        <v>0</v>
      </c>
      <c r="AH592" s="716"/>
      <c r="AI592" s="716"/>
      <c r="AJ592" s="716"/>
      <c r="AK592" s="716"/>
      <c r="AL592" s="716"/>
      <c r="AM592" s="716"/>
      <c r="AN592" s="716"/>
      <c r="AO592" s="716"/>
      <c r="AP592" s="716"/>
      <c r="AQ592" s="716"/>
      <c r="AR592" s="716"/>
      <c r="AS592" s="716"/>
      <c r="AT592" s="716"/>
      <c r="AU592" s="716"/>
      <c r="AV592" s="716"/>
      <c r="AW592" s="716"/>
      <c r="AX592" s="716"/>
      <c r="AY592" s="716"/>
      <c r="AZ592" s="716"/>
      <c r="BA592" s="716"/>
      <c r="BB592" s="716"/>
      <c r="BC592" s="716"/>
      <c r="BD592" s="716"/>
      <c r="BE592" s="716"/>
      <c r="BF592" s="716"/>
      <c r="BG592" s="716"/>
      <c r="BH592" s="716"/>
      <c r="BI592" s="716"/>
      <c r="BJ592" s="716"/>
      <c r="BK592" s="716"/>
      <c r="BL592" s="716"/>
      <c r="BM592" s="716"/>
      <c r="BN592" s="716"/>
      <c r="BO592" s="716"/>
      <c r="BP592" s="716"/>
      <c r="BQ592" s="716"/>
      <c r="BR592" s="716"/>
      <c r="BS592" s="716"/>
      <c r="BT592" s="716"/>
      <c r="BU592" s="716"/>
      <c r="BV592" s="716"/>
      <c r="BW592" s="716"/>
      <c r="BX592" s="716"/>
      <c r="BY592" s="716"/>
      <c r="BZ592" s="716"/>
      <c r="CA592" s="716"/>
    </row>
    <row r="593" spans="1:79" hidden="1" outlineLevel="1" x14ac:dyDescent="0.25">
      <c r="A593" s="656"/>
      <c r="B593" s="570"/>
      <c r="C593" s="570"/>
      <c r="D593" s="570"/>
      <c r="E593" s="40" t="s">
        <v>1260</v>
      </c>
      <c r="F593" s="656" t="s">
        <v>609</v>
      </c>
      <c r="G593" s="40"/>
      <c r="H593" s="719"/>
      <c r="I593" s="719"/>
      <c r="J593" s="719"/>
      <c r="K593" s="719"/>
      <c r="L593" s="719"/>
      <c r="M593" s="719"/>
      <c r="N593" s="719"/>
      <c r="O593" s="719"/>
      <c r="P593" s="716"/>
      <c r="Q593" s="716"/>
      <c r="R593" s="716"/>
      <c r="S593" s="676">
        <v>0</v>
      </c>
      <c r="T593" s="676">
        <v>0</v>
      </c>
      <c r="U593" s="676">
        <v>0</v>
      </c>
      <c r="V593" s="676">
        <v>0</v>
      </c>
      <c r="W593" s="676">
        <v>0</v>
      </c>
      <c r="X593" s="676">
        <v>0</v>
      </c>
      <c r="Y593" s="676">
        <v>0</v>
      </c>
      <c r="Z593" s="676">
        <v>0</v>
      </c>
      <c r="AA593" s="676">
        <v>0</v>
      </c>
      <c r="AB593" s="676">
        <v>0</v>
      </c>
      <c r="AC593" s="674">
        <v>0</v>
      </c>
      <c r="AD593" s="674">
        <v>0</v>
      </c>
      <c r="AE593" s="676">
        <v>0</v>
      </c>
      <c r="AF593" s="719">
        <v>0</v>
      </c>
      <c r="AG593" s="687">
        <v>0</v>
      </c>
      <c r="AH593" s="716"/>
      <c r="AI593" s="716"/>
      <c r="AJ593" s="716"/>
      <c r="AK593" s="716"/>
      <c r="AL593" s="716"/>
      <c r="AM593" s="716"/>
      <c r="AN593" s="716"/>
      <c r="AO593" s="716"/>
      <c r="AP593" s="716"/>
      <c r="AQ593" s="716"/>
      <c r="AR593" s="716"/>
      <c r="AS593" s="716"/>
      <c r="AT593" s="716"/>
      <c r="AU593" s="716"/>
      <c r="AV593" s="716"/>
      <c r="AW593" s="716"/>
      <c r="AX593" s="716"/>
      <c r="AY593" s="716"/>
      <c r="AZ593" s="716"/>
      <c r="BA593" s="716"/>
      <c r="BB593" s="716"/>
      <c r="BC593" s="716"/>
      <c r="BD593" s="716"/>
      <c r="BE593" s="716"/>
      <c r="BF593" s="716"/>
      <c r="BG593" s="716"/>
      <c r="BH593" s="716"/>
      <c r="BI593" s="716"/>
      <c r="BJ593" s="716"/>
      <c r="BK593" s="716"/>
      <c r="BL593" s="716"/>
      <c r="BM593" s="716"/>
      <c r="BN593" s="716"/>
      <c r="BO593" s="716"/>
      <c r="BP593" s="716"/>
      <c r="BQ593" s="716"/>
      <c r="BR593" s="716"/>
      <c r="BS593" s="716"/>
      <c r="BT593" s="716"/>
      <c r="BU593" s="716"/>
      <c r="BV593" s="716"/>
      <c r="BW593" s="716"/>
      <c r="BX593" s="716"/>
      <c r="BY593" s="716"/>
      <c r="BZ593" s="716"/>
      <c r="CA593" s="716"/>
    </row>
    <row r="594" spans="1:79" hidden="1" outlineLevel="1" x14ac:dyDescent="0.25">
      <c r="A594" s="656"/>
      <c r="B594" s="570"/>
      <c r="C594" s="570"/>
      <c r="D594" s="570"/>
      <c r="E594" s="40" t="s">
        <v>1326</v>
      </c>
      <c r="F594" s="656" t="s">
        <v>610</v>
      </c>
      <c r="G594" s="40"/>
      <c r="H594" s="719"/>
      <c r="I594" s="719"/>
      <c r="J594" s="719"/>
      <c r="K594" s="719"/>
      <c r="L594" s="719"/>
      <c r="M594" s="719"/>
      <c r="N594" s="719"/>
      <c r="O594" s="719"/>
      <c r="P594" s="716"/>
      <c r="Q594" s="716"/>
      <c r="R594" s="716"/>
      <c r="S594" s="676">
        <v>0</v>
      </c>
      <c r="T594" s="676">
        <v>0</v>
      </c>
      <c r="U594" s="676">
        <v>0</v>
      </c>
      <c r="V594" s="676">
        <v>0</v>
      </c>
      <c r="W594" s="676">
        <v>0</v>
      </c>
      <c r="X594" s="676">
        <v>23.99</v>
      </c>
      <c r="Y594" s="676">
        <v>0</v>
      </c>
      <c r="Z594" s="676">
        <v>0</v>
      </c>
      <c r="AA594" s="676">
        <v>0</v>
      </c>
      <c r="AB594" s="676">
        <v>0</v>
      </c>
      <c r="AC594" s="674">
        <v>0</v>
      </c>
      <c r="AD594" s="674">
        <v>0</v>
      </c>
      <c r="AE594" s="676">
        <v>0</v>
      </c>
      <c r="AF594" s="719">
        <v>0</v>
      </c>
      <c r="AG594" s="674">
        <v>0</v>
      </c>
      <c r="AH594" s="716"/>
      <c r="AI594" s="716"/>
      <c r="AJ594" s="716"/>
      <c r="AK594" s="716"/>
      <c r="AL594" s="716"/>
      <c r="AM594" s="716"/>
      <c r="AN594" s="716"/>
      <c r="AO594" s="716"/>
      <c r="AP594" s="716"/>
      <c r="AQ594" s="716"/>
      <c r="AR594" s="716"/>
      <c r="AS594" s="716"/>
      <c r="AT594" s="716"/>
      <c r="AU594" s="716"/>
      <c r="AV594" s="716"/>
      <c r="AW594" s="716"/>
      <c r="AX594" s="716"/>
      <c r="AY594" s="716"/>
      <c r="AZ594" s="716"/>
      <c r="BA594" s="716"/>
      <c r="BB594" s="716"/>
      <c r="BC594" s="716"/>
      <c r="BD594" s="716"/>
      <c r="BE594" s="716"/>
      <c r="BF594" s="716"/>
      <c r="BG594" s="716"/>
      <c r="BH594" s="716"/>
      <c r="BI594" s="716"/>
      <c r="BJ594" s="716"/>
      <c r="BK594" s="716"/>
      <c r="BL594" s="716"/>
      <c r="BM594" s="716"/>
      <c r="BN594" s="716"/>
      <c r="BO594" s="716"/>
      <c r="BP594" s="716"/>
      <c r="BQ594" s="716"/>
      <c r="BR594" s="716"/>
      <c r="BS594" s="716"/>
      <c r="BT594" s="716"/>
      <c r="BU594" s="716"/>
      <c r="BV594" s="716"/>
      <c r="BW594" s="716"/>
      <c r="BX594" s="716"/>
      <c r="BY594" s="716"/>
      <c r="BZ594" s="716"/>
      <c r="CA594" s="716"/>
    </row>
    <row r="595" spans="1:79" hidden="1" outlineLevel="1" x14ac:dyDescent="0.25">
      <c r="A595" s="656"/>
      <c r="B595" s="570"/>
      <c r="C595" s="570"/>
      <c r="D595" s="570"/>
      <c r="E595" s="40" t="s">
        <v>985</v>
      </c>
      <c r="F595" s="656" t="s">
        <v>611</v>
      </c>
      <c r="G595" s="40"/>
      <c r="H595" s="719"/>
      <c r="I595" s="719"/>
      <c r="J595" s="719"/>
      <c r="K595" s="719"/>
      <c r="L595" s="719"/>
      <c r="M595" s="719"/>
      <c r="N595" s="719"/>
      <c r="O595" s="719"/>
      <c r="P595" s="716"/>
      <c r="Q595" s="716"/>
      <c r="R595" s="716"/>
      <c r="S595" s="676">
        <v>0</v>
      </c>
      <c r="T595" s="676">
        <v>0</v>
      </c>
      <c r="U595" s="676">
        <v>0</v>
      </c>
      <c r="V595" s="676">
        <v>0</v>
      </c>
      <c r="W595" s="676">
        <v>0</v>
      </c>
      <c r="X595" s="676">
        <v>0</v>
      </c>
      <c r="Y595" s="676">
        <v>0</v>
      </c>
      <c r="Z595" s="676">
        <v>0</v>
      </c>
      <c r="AA595" s="676">
        <v>0</v>
      </c>
      <c r="AB595" s="676">
        <v>0</v>
      </c>
      <c r="AC595" s="674">
        <v>0</v>
      </c>
      <c r="AD595" s="674">
        <v>0</v>
      </c>
      <c r="AE595" s="676">
        <v>0</v>
      </c>
      <c r="AF595" s="719">
        <v>0</v>
      </c>
      <c r="AG595" s="674">
        <v>0</v>
      </c>
      <c r="AH595" s="716"/>
      <c r="AI595" s="716"/>
      <c r="AJ595" s="716"/>
      <c r="AK595" s="716"/>
      <c r="AL595" s="716"/>
      <c r="AM595" s="716"/>
      <c r="AN595" s="716"/>
      <c r="AO595" s="716"/>
      <c r="AP595" s="716"/>
      <c r="AQ595" s="716"/>
      <c r="AR595" s="716"/>
      <c r="AS595" s="716"/>
      <c r="AT595" s="716"/>
      <c r="AU595" s="716"/>
      <c r="AV595" s="716"/>
      <c r="AW595" s="716"/>
      <c r="AX595" s="716"/>
      <c r="AY595" s="716"/>
      <c r="AZ595" s="716"/>
      <c r="BA595" s="716"/>
      <c r="BB595" s="716"/>
      <c r="BC595" s="716"/>
      <c r="BD595" s="716"/>
      <c r="BE595" s="716"/>
      <c r="BF595" s="716"/>
      <c r="BG595" s="716"/>
      <c r="BH595" s="716"/>
      <c r="BI595" s="716"/>
      <c r="BJ595" s="716"/>
      <c r="BK595" s="716"/>
      <c r="BL595" s="716"/>
      <c r="BM595" s="716"/>
      <c r="BN595" s="716"/>
      <c r="BO595" s="716"/>
      <c r="BP595" s="716"/>
      <c r="BQ595" s="716"/>
      <c r="BR595" s="716"/>
      <c r="BS595" s="716"/>
      <c r="BT595" s="716"/>
      <c r="BU595" s="716"/>
      <c r="BV595" s="716"/>
      <c r="BW595" s="716"/>
      <c r="BX595" s="716"/>
      <c r="BY595" s="716"/>
      <c r="BZ595" s="716"/>
      <c r="CA595" s="716"/>
    </row>
    <row r="596" spans="1:79" hidden="1" outlineLevel="1" x14ac:dyDescent="0.25">
      <c r="A596" s="656"/>
      <c r="B596" s="570"/>
      <c r="C596" s="570"/>
      <c r="D596" s="570"/>
      <c r="E596" s="40" t="s">
        <v>11</v>
      </c>
      <c r="F596" s="656" t="s">
        <v>612</v>
      </c>
      <c r="G596" s="40"/>
      <c r="H596" s="719"/>
      <c r="I596" s="719"/>
      <c r="J596" s="719"/>
      <c r="K596" s="719"/>
      <c r="L596" s="719"/>
      <c r="M596" s="719"/>
      <c r="N596" s="719"/>
      <c r="O596" s="719"/>
      <c r="P596" s="716"/>
      <c r="Q596" s="716"/>
      <c r="R596" s="716"/>
      <c r="S596" s="676">
        <v>0</v>
      </c>
      <c r="T596" s="676">
        <v>0</v>
      </c>
      <c r="U596" s="676">
        <v>0</v>
      </c>
      <c r="V596" s="676">
        <v>0</v>
      </c>
      <c r="W596" s="676">
        <v>0</v>
      </c>
      <c r="X596" s="676">
        <v>0</v>
      </c>
      <c r="Y596" s="676">
        <v>0</v>
      </c>
      <c r="Z596" s="676">
        <v>0</v>
      </c>
      <c r="AA596" s="676">
        <v>0</v>
      </c>
      <c r="AB596" s="676">
        <v>0</v>
      </c>
      <c r="AC596" s="674">
        <v>0</v>
      </c>
      <c r="AD596" s="674">
        <v>0</v>
      </c>
      <c r="AE596" s="676">
        <v>0</v>
      </c>
      <c r="AF596" s="719">
        <v>0</v>
      </c>
      <c r="AG596" s="674">
        <v>0</v>
      </c>
      <c r="AH596" s="716"/>
      <c r="AI596" s="716"/>
      <c r="AJ596" s="716"/>
      <c r="AK596" s="716"/>
      <c r="AL596" s="716"/>
      <c r="AM596" s="716"/>
      <c r="AN596" s="716"/>
      <c r="AO596" s="716"/>
      <c r="AP596" s="716"/>
      <c r="AQ596" s="716"/>
      <c r="AR596" s="716"/>
      <c r="AS596" s="716"/>
      <c r="AT596" s="716"/>
      <c r="AU596" s="716"/>
      <c r="AV596" s="716"/>
      <c r="AW596" s="716"/>
      <c r="AX596" s="716"/>
      <c r="AY596" s="716"/>
      <c r="AZ596" s="716"/>
      <c r="BA596" s="716"/>
      <c r="BB596" s="716"/>
      <c r="BC596" s="716"/>
      <c r="BD596" s="716"/>
      <c r="BE596" s="716"/>
      <c r="BF596" s="716"/>
      <c r="BG596" s="716"/>
      <c r="BH596" s="716"/>
      <c r="BI596" s="716"/>
      <c r="BJ596" s="716"/>
      <c r="BK596" s="716"/>
      <c r="BL596" s="716"/>
      <c r="BM596" s="716"/>
      <c r="BN596" s="716"/>
      <c r="BO596" s="716"/>
      <c r="BP596" s="716"/>
      <c r="BQ596" s="716"/>
      <c r="BR596" s="716"/>
      <c r="BS596" s="716"/>
      <c r="BT596" s="716"/>
      <c r="BU596" s="716"/>
      <c r="BV596" s="716"/>
      <c r="BW596" s="716"/>
      <c r="BX596" s="716"/>
      <c r="BY596" s="716"/>
      <c r="BZ596" s="716"/>
      <c r="CA596" s="716"/>
    </row>
    <row r="597" spans="1:79" hidden="1" outlineLevel="1" x14ac:dyDescent="0.25">
      <c r="A597" s="656"/>
      <c r="B597" s="570"/>
      <c r="C597" s="570"/>
      <c r="D597" s="570"/>
      <c r="E597" s="40" t="s">
        <v>1337</v>
      </c>
      <c r="F597" s="656" t="s">
        <v>886</v>
      </c>
      <c r="G597" s="40"/>
      <c r="H597" s="719"/>
      <c r="I597" s="719"/>
      <c r="J597" s="719"/>
      <c r="K597" s="719"/>
      <c r="L597" s="719"/>
      <c r="M597" s="719"/>
      <c r="N597" s="719"/>
      <c r="O597" s="719"/>
      <c r="P597" s="716"/>
      <c r="Q597" s="716"/>
      <c r="R597" s="716"/>
      <c r="S597" s="676">
        <v>0</v>
      </c>
      <c r="T597" s="676">
        <v>0</v>
      </c>
      <c r="U597" s="676">
        <v>0</v>
      </c>
      <c r="V597" s="676">
        <v>0</v>
      </c>
      <c r="W597" s="676">
        <v>0</v>
      </c>
      <c r="X597" s="676">
        <v>0</v>
      </c>
      <c r="Y597" s="676">
        <v>0</v>
      </c>
      <c r="Z597" s="676">
        <v>0</v>
      </c>
      <c r="AA597" s="676">
        <v>0</v>
      </c>
      <c r="AB597" s="676">
        <v>0</v>
      </c>
      <c r="AC597" s="674">
        <v>0</v>
      </c>
      <c r="AD597" s="674">
        <v>0</v>
      </c>
      <c r="AE597" s="676">
        <v>0</v>
      </c>
      <c r="AF597" s="719">
        <v>0</v>
      </c>
      <c r="AG597" s="674">
        <v>0</v>
      </c>
      <c r="AH597" s="716"/>
      <c r="AI597" s="716"/>
      <c r="AJ597" s="716"/>
      <c r="AK597" s="716"/>
      <c r="AL597" s="716"/>
      <c r="AM597" s="716"/>
      <c r="AN597" s="716"/>
      <c r="AO597" s="716"/>
      <c r="AP597" s="716"/>
      <c r="AQ597" s="716"/>
      <c r="AR597" s="716"/>
      <c r="AS597" s="716"/>
      <c r="AT597" s="716"/>
      <c r="AU597" s="716"/>
      <c r="AV597" s="716"/>
      <c r="AW597" s="716"/>
      <c r="AX597" s="716"/>
      <c r="AY597" s="716"/>
      <c r="AZ597" s="716"/>
      <c r="BA597" s="716"/>
      <c r="BB597" s="716"/>
      <c r="BC597" s="716"/>
      <c r="BD597" s="716"/>
      <c r="BE597" s="716"/>
      <c r="BF597" s="716"/>
      <c r="BG597" s="716"/>
      <c r="BH597" s="716"/>
      <c r="BI597" s="716"/>
      <c r="BJ597" s="716"/>
      <c r="BK597" s="716"/>
      <c r="BL597" s="716"/>
      <c r="BM597" s="716"/>
      <c r="BN597" s="716"/>
      <c r="BO597" s="716"/>
      <c r="BP597" s="716"/>
      <c r="BQ597" s="716"/>
      <c r="BR597" s="716"/>
      <c r="BS597" s="716"/>
      <c r="BT597" s="716"/>
      <c r="BU597" s="716"/>
      <c r="BV597" s="716"/>
      <c r="BW597" s="716"/>
      <c r="BX597" s="716"/>
      <c r="BY597" s="716"/>
      <c r="BZ597" s="716"/>
      <c r="CA597" s="716"/>
    </row>
    <row r="598" spans="1:79" hidden="1" outlineLevel="1" x14ac:dyDescent="0.25">
      <c r="A598" s="656"/>
      <c r="B598" s="570"/>
      <c r="C598" s="570"/>
      <c r="D598" s="570"/>
      <c r="E598" s="40" t="s">
        <v>986</v>
      </c>
      <c r="F598" s="656" t="s">
        <v>763</v>
      </c>
      <c r="G598" s="40"/>
      <c r="H598" s="719"/>
      <c r="I598" s="719"/>
      <c r="J598" s="719"/>
      <c r="K598" s="719"/>
      <c r="L598" s="719"/>
      <c r="M598" s="719"/>
      <c r="N598" s="719"/>
      <c r="O598" s="719"/>
      <c r="P598" s="716"/>
      <c r="Q598" s="716"/>
      <c r="R598" s="716"/>
      <c r="S598" s="676">
        <v>0</v>
      </c>
      <c r="T598" s="676">
        <v>0</v>
      </c>
      <c r="U598" s="676">
        <v>0</v>
      </c>
      <c r="V598" s="676">
        <v>0</v>
      </c>
      <c r="W598" s="676">
        <v>0</v>
      </c>
      <c r="X598" s="676">
        <v>0</v>
      </c>
      <c r="Y598" s="676">
        <v>0</v>
      </c>
      <c r="Z598" s="676">
        <v>0</v>
      </c>
      <c r="AA598" s="676">
        <v>0</v>
      </c>
      <c r="AB598" s="676">
        <v>0</v>
      </c>
      <c r="AC598" s="674">
        <v>0</v>
      </c>
      <c r="AD598" s="674">
        <v>0</v>
      </c>
      <c r="AE598" s="676">
        <v>0</v>
      </c>
      <c r="AF598" s="719">
        <v>0</v>
      </c>
      <c r="AG598" s="674">
        <v>0</v>
      </c>
      <c r="AH598" s="716"/>
      <c r="AI598" s="716"/>
      <c r="AJ598" s="716"/>
      <c r="AK598" s="716"/>
      <c r="AL598" s="716"/>
      <c r="AM598" s="716"/>
      <c r="AN598" s="716"/>
      <c r="AO598" s="716"/>
      <c r="AP598" s="716"/>
      <c r="AQ598" s="716"/>
      <c r="AR598" s="716"/>
      <c r="AS598" s="716"/>
      <c r="AT598" s="716"/>
      <c r="AU598" s="716"/>
      <c r="AV598" s="716"/>
      <c r="AW598" s="716"/>
      <c r="AX598" s="716"/>
      <c r="AY598" s="716"/>
      <c r="AZ598" s="716"/>
      <c r="BA598" s="716"/>
      <c r="BB598" s="716"/>
      <c r="BC598" s="716"/>
      <c r="BD598" s="716"/>
      <c r="BE598" s="716"/>
      <c r="BF598" s="716"/>
      <c r="BG598" s="716"/>
      <c r="BH598" s="716"/>
      <c r="BI598" s="716"/>
      <c r="BJ598" s="716"/>
      <c r="BK598" s="716"/>
      <c r="BL598" s="716"/>
      <c r="BM598" s="716"/>
      <c r="BN598" s="716"/>
      <c r="BO598" s="716"/>
      <c r="BP598" s="716"/>
      <c r="BQ598" s="716"/>
      <c r="BR598" s="716"/>
      <c r="BS598" s="716"/>
      <c r="BT598" s="716"/>
      <c r="BU598" s="716"/>
      <c r="BV598" s="716"/>
      <c r="BW598" s="716"/>
      <c r="BX598" s="716"/>
      <c r="BY598" s="716"/>
      <c r="BZ598" s="716"/>
      <c r="CA598" s="716"/>
    </row>
    <row r="599" spans="1:79" hidden="1" outlineLevel="1" x14ac:dyDescent="0.25">
      <c r="A599" s="656"/>
      <c r="B599" s="570"/>
      <c r="C599" s="570"/>
      <c r="D599" s="570"/>
      <c r="E599" s="40" t="s">
        <v>986</v>
      </c>
      <c r="F599" s="656" t="s">
        <v>779</v>
      </c>
      <c r="G599" s="40"/>
      <c r="H599" s="719"/>
      <c r="I599" s="719"/>
      <c r="J599" s="719"/>
      <c r="K599" s="719"/>
      <c r="L599" s="719"/>
      <c r="M599" s="719"/>
      <c r="N599" s="719"/>
      <c r="O599" s="719"/>
      <c r="P599" s="716"/>
      <c r="Q599" s="716"/>
      <c r="R599" s="716"/>
      <c r="S599" s="676">
        <v>0</v>
      </c>
      <c r="T599" s="676">
        <v>0</v>
      </c>
      <c r="U599" s="676">
        <v>0</v>
      </c>
      <c r="V599" s="676">
        <v>0</v>
      </c>
      <c r="W599" s="676">
        <v>0</v>
      </c>
      <c r="X599" s="676">
        <v>0</v>
      </c>
      <c r="Y599" s="676">
        <v>0</v>
      </c>
      <c r="Z599" s="676">
        <v>0</v>
      </c>
      <c r="AA599" s="676">
        <v>0</v>
      </c>
      <c r="AB599" s="676">
        <v>0</v>
      </c>
      <c r="AC599" s="674">
        <v>0</v>
      </c>
      <c r="AD599" s="674">
        <v>0</v>
      </c>
      <c r="AE599" s="676">
        <v>0</v>
      </c>
      <c r="AF599" s="719">
        <v>0</v>
      </c>
      <c r="AG599" s="674">
        <v>0</v>
      </c>
      <c r="AH599" s="716"/>
      <c r="AI599" s="716"/>
      <c r="AJ599" s="716"/>
      <c r="AK599" s="716"/>
      <c r="AL599" s="716"/>
      <c r="AM599" s="716"/>
      <c r="AN599" s="716"/>
      <c r="AO599" s="716"/>
      <c r="AP599" s="716"/>
      <c r="AQ599" s="716"/>
      <c r="AR599" s="716"/>
      <c r="AS599" s="716"/>
      <c r="AT599" s="716"/>
      <c r="AU599" s="716"/>
      <c r="AV599" s="716"/>
      <c r="AW599" s="716"/>
      <c r="AX599" s="716"/>
      <c r="AY599" s="716"/>
      <c r="AZ599" s="716"/>
      <c r="BA599" s="716"/>
      <c r="BB599" s="716"/>
      <c r="BC599" s="716"/>
      <c r="BD599" s="716"/>
      <c r="BE599" s="716"/>
      <c r="BF599" s="716"/>
      <c r="BG599" s="716"/>
      <c r="BH599" s="716"/>
      <c r="BI599" s="716"/>
      <c r="BJ599" s="716"/>
      <c r="BK599" s="716"/>
      <c r="BL599" s="716"/>
      <c r="BM599" s="716"/>
      <c r="BN599" s="716"/>
      <c r="BO599" s="716"/>
      <c r="BP599" s="716"/>
      <c r="BQ599" s="716"/>
      <c r="BR599" s="716"/>
      <c r="BS599" s="716"/>
      <c r="BT599" s="716"/>
      <c r="BU599" s="716"/>
      <c r="BV599" s="716"/>
      <c r="BW599" s="716"/>
      <c r="BX599" s="716"/>
      <c r="BY599" s="716"/>
      <c r="BZ599" s="716"/>
      <c r="CA599" s="716"/>
    </row>
    <row r="600" spans="1:79" hidden="1" outlineLevel="1" x14ac:dyDescent="0.25">
      <c r="A600" s="656"/>
      <c r="B600" s="570"/>
      <c r="C600" s="570"/>
      <c r="D600" s="570"/>
      <c r="E600" s="40" t="s">
        <v>1270</v>
      </c>
      <c r="F600" s="656" t="s">
        <v>613</v>
      </c>
      <c r="G600" s="40"/>
      <c r="H600" s="719"/>
      <c r="I600" s="719"/>
      <c r="J600" s="719"/>
      <c r="K600" s="719"/>
      <c r="L600" s="719"/>
      <c r="M600" s="719"/>
      <c r="N600" s="719"/>
      <c r="O600" s="719"/>
      <c r="P600" s="716"/>
      <c r="Q600" s="716"/>
      <c r="R600" s="716"/>
      <c r="S600" s="676">
        <v>0</v>
      </c>
      <c r="T600" s="676">
        <v>0</v>
      </c>
      <c r="U600" s="676">
        <v>0</v>
      </c>
      <c r="V600" s="676">
        <v>0</v>
      </c>
      <c r="W600" s="676">
        <v>0</v>
      </c>
      <c r="X600" s="676">
        <v>0</v>
      </c>
      <c r="Y600" s="676">
        <v>0</v>
      </c>
      <c r="Z600" s="676">
        <v>0</v>
      </c>
      <c r="AA600" s="676">
        <v>0</v>
      </c>
      <c r="AB600" s="676">
        <v>0</v>
      </c>
      <c r="AC600" s="674">
        <v>0</v>
      </c>
      <c r="AD600" s="674">
        <v>0</v>
      </c>
      <c r="AE600" s="676">
        <v>0</v>
      </c>
      <c r="AF600" s="719">
        <v>0</v>
      </c>
      <c r="AG600" s="674">
        <v>0</v>
      </c>
      <c r="AH600" s="716"/>
      <c r="AI600" s="716"/>
      <c r="AJ600" s="716"/>
      <c r="AK600" s="716"/>
      <c r="AL600" s="716"/>
      <c r="AM600" s="716"/>
      <c r="AN600" s="716"/>
      <c r="AO600" s="716"/>
      <c r="AP600" s="716"/>
      <c r="AQ600" s="716"/>
      <c r="AR600" s="716"/>
      <c r="AS600" s="716"/>
      <c r="AT600" s="716"/>
      <c r="AU600" s="716"/>
      <c r="AV600" s="716"/>
      <c r="AW600" s="716"/>
      <c r="AX600" s="716"/>
      <c r="AY600" s="716"/>
      <c r="AZ600" s="716"/>
      <c r="BA600" s="716"/>
      <c r="BB600" s="716"/>
      <c r="BC600" s="716"/>
      <c r="BD600" s="716"/>
      <c r="BE600" s="716"/>
      <c r="BF600" s="716"/>
      <c r="BG600" s="716"/>
      <c r="BH600" s="716"/>
      <c r="BI600" s="716"/>
      <c r="BJ600" s="716"/>
      <c r="BK600" s="716"/>
      <c r="BL600" s="716"/>
      <c r="BM600" s="716"/>
      <c r="BN600" s="716"/>
      <c r="BO600" s="716"/>
      <c r="BP600" s="716"/>
      <c r="BQ600" s="716"/>
      <c r="BR600" s="716"/>
      <c r="BS600" s="716"/>
      <c r="BT600" s="716"/>
      <c r="BU600" s="716"/>
      <c r="BV600" s="716"/>
      <c r="BW600" s="716"/>
      <c r="BX600" s="716"/>
      <c r="BY600" s="716"/>
      <c r="BZ600" s="716"/>
      <c r="CA600" s="716"/>
    </row>
    <row r="601" spans="1:79" hidden="1" outlineLevel="1" x14ac:dyDescent="0.25">
      <c r="A601" s="656"/>
      <c r="B601" s="570"/>
      <c r="C601" s="570"/>
      <c r="D601" s="570"/>
      <c r="E601" s="40" t="s">
        <v>1350</v>
      </c>
      <c r="F601" s="656" t="s">
        <v>614</v>
      </c>
      <c r="G601" s="40"/>
      <c r="H601" s="719"/>
      <c r="I601" s="719"/>
      <c r="J601" s="719"/>
      <c r="K601" s="719"/>
      <c r="L601" s="719"/>
      <c r="M601" s="719"/>
      <c r="N601" s="719"/>
      <c r="O601" s="719"/>
      <c r="P601" s="716"/>
      <c r="Q601" s="716"/>
      <c r="R601" s="716"/>
      <c r="S601" s="676">
        <v>0</v>
      </c>
      <c r="T601" s="676">
        <v>0</v>
      </c>
      <c r="U601" s="676">
        <v>0</v>
      </c>
      <c r="V601" s="676">
        <v>0</v>
      </c>
      <c r="W601" s="676">
        <v>0</v>
      </c>
      <c r="X601" s="676">
        <v>0</v>
      </c>
      <c r="Y601" s="676">
        <v>0</v>
      </c>
      <c r="Z601" s="676">
        <v>0</v>
      </c>
      <c r="AA601" s="676">
        <v>0</v>
      </c>
      <c r="AB601" s="676">
        <v>0</v>
      </c>
      <c r="AC601" s="674">
        <v>0</v>
      </c>
      <c r="AD601" s="674">
        <v>0</v>
      </c>
      <c r="AE601" s="676">
        <v>0</v>
      </c>
      <c r="AF601" s="719">
        <v>0</v>
      </c>
      <c r="AG601" s="674">
        <v>0</v>
      </c>
      <c r="AH601" s="716"/>
      <c r="AI601" s="716"/>
      <c r="AJ601" s="716"/>
      <c r="AK601" s="716"/>
      <c r="AL601" s="716"/>
      <c r="AM601" s="716"/>
      <c r="AN601" s="716"/>
      <c r="AO601" s="716"/>
      <c r="AP601" s="716"/>
      <c r="AQ601" s="716"/>
      <c r="AR601" s="716"/>
      <c r="AS601" s="716"/>
      <c r="AT601" s="716"/>
      <c r="AU601" s="716"/>
      <c r="AV601" s="716"/>
      <c r="AW601" s="716"/>
      <c r="AX601" s="716"/>
      <c r="AY601" s="716"/>
      <c r="AZ601" s="716"/>
      <c r="BA601" s="716"/>
      <c r="BB601" s="716"/>
      <c r="BC601" s="716"/>
      <c r="BD601" s="716"/>
      <c r="BE601" s="716"/>
      <c r="BF601" s="716"/>
      <c r="BG601" s="716"/>
      <c r="BH601" s="716"/>
      <c r="BI601" s="716"/>
      <c r="BJ601" s="716"/>
      <c r="BK601" s="716"/>
      <c r="BL601" s="716"/>
      <c r="BM601" s="716"/>
      <c r="BN601" s="716"/>
      <c r="BO601" s="716"/>
      <c r="BP601" s="716"/>
      <c r="BQ601" s="716"/>
      <c r="BR601" s="716"/>
      <c r="BS601" s="716"/>
      <c r="BT601" s="716"/>
      <c r="BU601" s="716"/>
      <c r="BV601" s="716"/>
      <c r="BW601" s="716"/>
      <c r="BX601" s="716"/>
      <c r="BY601" s="716"/>
      <c r="BZ601" s="716"/>
      <c r="CA601" s="716"/>
    </row>
    <row r="602" spans="1:79" hidden="1" outlineLevel="1" x14ac:dyDescent="0.25">
      <c r="A602" s="656"/>
      <c r="B602" s="570"/>
      <c r="C602" s="570"/>
      <c r="D602" s="570"/>
      <c r="E602" s="40" t="s">
        <v>11</v>
      </c>
      <c r="F602" s="656" t="s">
        <v>615</v>
      </c>
      <c r="G602" s="40"/>
      <c r="H602" s="719"/>
      <c r="I602" s="719"/>
      <c r="J602" s="719"/>
      <c r="K602" s="719"/>
      <c r="L602" s="719"/>
      <c r="M602" s="719"/>
      <c r="N602" s="719"/>
      <c r="O602" s="719"/>
      <c r="P602" s="716"/>
      <c r="Q602" s="716"/>
      <c r="R602" s="716"/>
      <c r="S602" s="676">
        <v>0</v>
      </c>
      <c r="T602" s="676">
        <v>0</v>
      </c>
      <c r="U602" s="676">
        <v>0</v>
      </c>
      <c r="V602" s="676">
        <v>0</v>
      </c>
      <c r="W602" s="676">
        <v>0</v>
      </c>
      <c r="X602" s="676">
        <v>0</v>
      </c>
      <c r="Y602" s="676">
        <v>0</v>
      </c>
      <c r="Z602" s="676">
        <v>0</v>
      </c>
      <c r="AA602" s="676">
        <v>0</v>
      </c>
      <c r="AB602" s="676">
        <v>0</v>
      </c>
      <c r="AC602" s="674">
        <v>0</v>
      </c>
      <c r="AD602" s="674">
        <v>0</v>
      </c>
      <c r="AE602" s="676">
        <v>0</v>
      </c>
      <c r="AF602" s="719">
        <v>0</v>
      </c>
      <c r="AG602" s="674">
        <v>0</v>
      </c>
      <c r="AH602" s="716"/>
      <c r="AI602" s="716"/>
      <c r="AJ602" s="716"/>
      <c r="AK602" s="716"/>
      <c r="AL602" s="716"/>
      <c r="AM602" s="716"/>
      <c r="AN602" s="716"/>
      <c r="AO602" s="716"/>
      <c r="AP602" s="716"/>
      <c r="AQ602" s="716"/>
      <c r="AR602" s="716"/>
      <c r="AS602" s="716"/>
      <c r="AT602" s="716"/>
      <c r="AU602" s="716"/>
      <c r="AV602" s="716"/>
      <c r="AW602" s="716"/>
      <c r="AX602" s="716"/>
      <c r="AY602" s="716"/>
      <c r="AZ602" s="716"/>
      <c r="BA602" s="716"/>
      <c r="BB602" s="716"/>
      <c r="BC602" s="716"/>
      <c r="BD602" s="716"/>
      <c r="BE602" s="716"/>
      <c r="BF602" s="716"/>
      <c r="BG602" s="716"/>
      <c r="BH602" s="716"/>
      <c r="BI602" s="716"/>
      <c r="BJ602" s="716"/>
      <c r="BK602" s="716"/>
      <c r="BL602" s="716"/>
      <c r="BM602" s="716"/>
      <c r="BN602" s="716"/>
      <c r="BO602" s="716"/>
      <c r="BP602" s="716"/>
      <c r="BQ602" s="716"/>
      <c r="BR602" s="716"/>
      <c r="BS602" s="716"/>
      <c r="BT602" s="716"/>
      <c r="BU602" s="716"/>
      <c r="BV602" s="716"/>
      <c r="BW602" s="716"/>
      <c r="BX602" s="716"/>
      <c r="BY602" s="716"/>
      <c r="BZ602" s="716"/>
      <c r="CA602" s="716"/>
    </row>
    <row r="603" spans="1:79" hidden="1" outlineLevel="1" x14ac:dyDescent="0.25">
      <c r="A603" s="656"/>
      <c r="B603" s="570"/>
      <c r="C603" s="570"/>
      <c r="D603" s="570"/>
      <c r="E603" s="40" t="s">
        <v>1280</v>
      </c>
      <c r="F603" s="656" t="s">
        <v>887</v>
      </c>
      <c r="G603" s="40"/>
      <c r="H603" s="719"/>
      <c r="I603" s="719"/>
      <c r="J603" s="719"/>
      <c r="K603" s="719"/>
      <c r="L603" s="719"/>
      <c r="M603" s="719"/>
      <c r="N603" s="719"/>
      <c r="O603" s="719"/>
      <c r="P603" s="716"/>
      <c r="Q603" s="716"/>
      <c r="R603" s="716"/>
      <c r="S603" s="676">
        <v>0</v>
      </c>
      <c r="T603" s="676">
        <v>0</v>
      </c>
      <c r="U603" s="676">
        <v>0</v>
      </c>
      <c r="V603" s="676">
        <v>0</v>
      </c>
      <c r="W603" s="676">
        <v>0</v>
      </c>
      <c r="X603" s="676">
        <v>0</v>
      </c>
      <c r="Y603" s="676">
        <v>0</v>
      </c>
      <c r="Z603" s="676">
        <v>0</v>
      </c>
      <c r="AA603" s="676">
        <v>0</v>
      </c>
      <c r="AB603" s="676">
        <v>0</v>
      </c>
      <c r="AC603" s="674">
        <v>0</v>
      </c>
      <c r="AD603" s="674">
        <v>0</v>
      </c>
      <c r="AE603" s="676">
        <v>0</v>
      </c>
      <c r="AF603" s="719">
        <v>0</v>
      </c>
      <c r="AG603" s="674">
        <v>0</v>
      </c>
      <c r="AH603" s="716"/>
      <c r="AI603" s="716"/>
      <c r="AJ603" s="716"/>
      <c r="AK603" s="716"/>
      <c r="AL603" s="716"/>
      <c r="AM603" s="716"/>
      <c r="AN603" s="716"/>
      <c r="AO603" s="716"/>
      <c r="AP603" s="716"/>
      <c r="AQ603" s="716"/>
      <c r="AR603" s="716"/>
      <c r="AS603" s="716"/>
      <c r="AT603" s="716"/>
      <c r="AU603" s="716"/>
      <c r="AV603" s="716"/>
      <c r="AW603" s="716"/>
      <c r="AX603" s="716"/>
      <c r="AY603" s="716"/>
      <c r="AZ603" s="716"/>
      <c r="BA603" s="716"/>
      <c r="BB603" s="716"/>
      <c r="BC603" s="716"/>
      <c r="BD603" s="716"/>
      <c r="BE603" s="716"/>
      <c r="BF603" s="716"/>
      <c r="BG603" s="716"/>
      <c r="BH603" s="716"/>
      <c r="BI603" s="716"/>
      <c r="BJ603" s="716"/>
      <c r="BK603" s="716"/>
      <c r="BL603" s="716"/>
      <c r="BM603" s="716"/>
      <c r="BN603" s="716"/>
      <c r="BO603" s="716"/>
      <c r="BP603" s="716"/>
      <c r="BQ603" s="716"/>
      <c r="BR603" s="716"/>
      <c r="BS603" s="716"/>
      <c r="BT603" s="716"/>
      <c r="BU603" s="716"/>
      <c r="BV603" s="716"/>
      <c r="BW603" s="716"/>
      <c r="BX603" s="716"/>
      <c r="BY603" s="716"/>
      <c r="BZ603" s="716"/>
      <c r="CA603" s="716"/>
    </row>
    <row r="604" spans="1:79" hidden="1" outlineLevel="1" x14ac:dyDescent="0.25">
      <c r="A604" s="656"/>
      <c r="B604" s="570"/>
      <c r="C604" s="570"/>
      <c r="D604" s="570"/>
      <c r="E604" s="40" t="s">
        <v>1337</v>
      </c>
      <c r="F604" s="656" t="s">
        <v>616</v>
      </c>
      <c r="G604" s="40"/>
      <c r="H604" s="719"/>
      <c r="I604" s="719"/>
      <c r="J604" s="719"/>
      <c r="K604" s="719"/>
      <c r="L604" s="719"/>
      <c r="M604" s="719"/>
      <c r="N604" s="719"/>
      <c r="O604" s="719"/>
      <c r="P604" s="716"/>
      <c r="Q604" s="716"/>
      <c r="R604" s="716"/>
      <c r="S604" s="676">
        <v>0</v>
      </c>
      <c r="T604" s="676">
        <v>0</v>
      </c>
      <c r="U604" s="676">
        <v>0</v>
      </c>
      <c r="V604" s="676">
        <v>0</v>
      </c>
      <c r="W604" s="676">
        <v>0</v>
      </c>
      <c r="X604" s="676">
        <v>0</v>
      </c>
      <c r="Y604" s="676">
        <v>0</v>
      </c>
      <c r="Z604" s="676">
        <v>0</v>
      </c>
      <c r="AA604" s="676">
        <v>0</v>
      </c>
      <c r="AB604" s="676">
        <v>0</v>
      </c>
      <c r="AC604" s="674">
        <v>0</v>
      </c>
      <c r="AD604" s="674">
        <v>0</v>
      </c>
      <c r="AE604" s="676">
        <v>0</v>
      </c>
      <c r="AF604" s="719">
        <v>0</v>
      </c>
      <c r="AG604" s="674">
        <v>0</v>
      </c>
      <c r="AH604" s="716"/>
      <c r="AI604" s="716"/>
      <c r="AJ604" s="716"/>
      <c r="AK604" s="716"/>
      <c r="AL604" s="716"/>
      <c r="AM604" s="716"/>
      <c r="AN604" s="716"/>
      <c r="AO604" s="716"/>
      <c r="AP604" s="716"/>
      <c r="AQ604" s="716"/>
      <c r="AR604" s="716"/>
      <c r="AS604" s="716"/>
      <c r="AT604" s="716"/>
      <c r="AU604" s="716"/>
      <c r="AV604" s="716"/>
      <c r="AW604" s="716"/>
      <c r="AX604" s="716"/>
      <c r="AY604" s="716"/>
      <c r="AZ604" s="716"/>
      <c r="BA604" s="716"/>
      <c r="BB604" s="716"/>
      <c r="BC604" s="716"/>
      <c r="BD604" s="716"/>
      <c r="BE604" s="716"/>
      <c r="BF604" s="716"/>
      <c r="BG604" s="716"/>
      <c r="BH604" s="716"/>
      <c r="BI604" s="716"/>
      <c r="BJ604" s="716"/>
      <c r="BK604" s="716"/>
      <c r="BL604" s="716"/>
      <c r="BM604" s="716"/>
      <c r="BN604" s="716"/>
      <c r="BO604" s="716"/>
      <c r="BP604" s="716"/>
      <c r="BQ604" s="716"/>
      <c r="BR604" s="716"/>
      <c r="BS604" s="716"/>
      <c r="BT604" s="716"/>
      <c r="BU604" s="716"/>
      <c r="BV604" s="716"/>
      <c r="BW604" s="716"/>
      <c r="BX604" s="716"/>
      <c r="BY604" s="716"/>
      <c r="BZ604" s="716"/>
      <c r="CA604" s="716"/>
    </row>
    <row r="605" spans="1:79" hidden="1" outlineLevel="1" x14ac:dyDescent="0.25">
      <c r="A605" s="659"/>
      <c r="B605" s="570"/>
      <c r="C605" s="570"/>
      <c r="D605" s="570"/>
      <c r="E605" s="40" t="s">
        <v>49</v>
      </c>
      <c r="F605" s="1136" t="s">
        <v>617</v>
      </c>
      <c r="G605" s="1219">
        <f>SUM(G588:G604)</f>
        <v>0</v>
      </c>
      <c r="H605" s="1219">
        <f t="shared" ref="H605:BO605" si="248">SUM(H588:H604)</f>
        <v>0</v>
      </c>
      <c r="I605" s="1219">
        <f t="shared" si="248"/>
        <v>0</v>
      </c>
      <c r="J605" s="1219">
        <f t="shared" si="248"/>
        <v>0</v>
      </c>
      <c r="K605" s="1219">
        <f t="shared" si="248"/>
        <v>0</v>
      </c>
      <c r="L605" s="1219">
        <f t="shared" si="248"/>
        <v>0</v>
      </c>
      <c r="M605" s="1219">
        <f t="shared" si="248"/>
        <v>0</v>
      </c>
      <c r="N605" s="1219">
        <f t="shared" si="248"/>
        <v>0</v>
      </c>
      <c r="O605" s="1219">
        <f t="shared" si="248"/>
        <v>0</v>
      </c>
      <c r="P605" s="1219">
        <f t="shared" si="248"/>
        <v>0</v>
      </c>
      <c r="Q605" s="1219">
        <f t="shared" si="248"/>
        <v>0</v>
      </c>
      <c r="R605" s="1219">
        <f t="shared" si="248"/>
        <v>0</v>
      </c>
      <c r="S605" s="1226">
        <f t="shared" ref="S605:AA605" si="249">ROUND(SUM(S587:S604),5)</f>
        <v>0</v>
      </c>
      <c r="T605" s="1226">
        <f t="shared" si="249"/>
        <v>0</v>
      </c>
      <c r="U605" s="1226">
        <f t="shared" si="249"/>
        <v>0</v>
      </c>
      <c r="V605" s="1226">
        <f t="shared" si="249"/>
        <v>0</v>
      </c>
      <c r="W605" s="1226">
        <f t="shared" si="249"/>
        <v>0</v>
      </c>
      <c r="X605" s="1226">
        <f t="shared" si="249"/>
        <v>23.99</v>
      </c>
      <c r="Y605" s="1226">
        <f t="shared" si="249"/>
        <v>0</v>
      </c>
      <c r="Z605" s="1226">
        <f t="shared" si="249"/>
        <v>0</v>
      </c>
      <c r="AA605" s="1226">
        <f t="shared" si="249"/>
        <v>0</v>
      </c>
      <c r="AB605" s="1226">
        <f>ROUND(SUM(AB587:AB604),5)</f>
        <v>0</v>
      </c>
      <c r="AC605" s="1226">
        <f>ROUND(SUM(AC587:AC604),5)</f>
        <v>0</v>
      </c>
      <c r="AD605" s="1226">
        <f>ROUND(SUM(AD587:AD604),5)</f>
        <v>0</v>
      </c>
      <c r="AE605" s="1226">
        <f>ROUND(SUM(AE587:AE604),5)</f>
        <v>0</v>
      </c>
      <c r="AF605" s="664">
        <f>ROUND(SUM(AF587:AF593)+SUM(AF594:AF596)+SUM(AF597:AF604),5)</f>
        <v>0</v>
      </c>
      <c r="AG605" s="678">
        <f>ROUND(SUM(AG587:AG593)+SUM(AG594:AG596)+SUM(AG597:AG604),5)</f>
        <v>0</v>
      </c>
      <c r="AH605" s="664">
        <f t="shared" si="248"/>
        <v>0</v>
      </c>
      <c r="AI605" s="664">
        <f t="shared" si="248"/>
        <v>0</v>
      </c>
      <c r="AJ605" s="664">
        <f t="shared" si="248"/>
        <v>0</v>
      </c>
      <c r="AK605" s="664">
        <f t="shared" si="248"/>
        <v>0</v>
      </c>
      <c r="AL605" s="664">
        <f t="shared" si="248"/>
        <v>0</v>
      </c>
      <c r="AM605" s="664">
        <f t="shared" si="248"/>
        <v>0</v>
      </c>
      <c r="AN605" s="664">
        <f t="shared" si="248"/>
        <v>0</v>
      </c>
      <c r="AO605" s="664">
        <f t="shared" si="248"/>
        <v>0</v>
      </c>
      <c r="AP605" s="664">
        <f t="shared" si="248"/>
        <v>0</v>
      </c>
      <c r="AQ605" s="664">
        <f t="shared" si="248"/>
        <v>0</v>
      </c>
      <c r="AR605" s="664">
        <f t="shared" si="248"/>
        <v>0</v>
      </c>
      <c r="AS605" s="664">
        <f t="shared" si="248"/>
        <v>0</v>
      </c>
      <c r="AT605" s="664">
        <f t="shared" si="248"/>
        <v>0</v>
      </c>
      <c r="AU605" s="664">
        <f t="shared" si="248"/>
        <v>0</v>
      </c>
      <c r="AV605" s="664">
        <f t="shared" si="248"/>
        <v>0</v>
      </c>
      <c r="AW605" s="664">
        <f t="shared" si="248"/>
        <v>0</v>
      </c>
      <c r="AX605" s="664">
        <f t="shared" si="248"/>
        <v>0</v>
      </c>
      <c r="AY605" s="664">
        <f t="shared" si="248"/>
        <v>0</v>
      </c>
      <c r="AZ605" s="664">
        <f t="shared" si="248"/>
        <v>0</v>
      </c>
      <c r="BA605" s="664">
        <f t="shared" si="248"/>
        <v>0</v>
      </c>
      <c r="BB605" s="664">
        <f t="shared" si="248"/>
        <v>0</v>
      </c>
      <c r="BC605" s="664">
        <f t="shared" si="248"/>
        <v>0</v>
      </c>
      <c r="BD605" s="664">
        <f t="shared" si="248"/>
        <v>0</v>
      </c>
      <c r="BE605" s="664">
        <f t="shared" si="248"/>
        <v>0</v>
      </c>
      <c r="BF605" s="664">
        <f t="shared" si="248"/>
        <v>0</v>
      </c>
      <c r="BG605" s="664">
        <f t="shared" si="248"/>
        <v>0</v>
      </c>
      <c r="BH605" s="664">
        <f t="shared" si="248"/>
        <v>0</v>
      </c>
      <c r="BI605" s="664">
        <f t="shared" si="248"/>
        <v>0</v>
      </c>
      <c r="BJ605" s="664">
        <f t="shared" si="248"/>
        <v>0</v>
      </c>
      <c r="BK605" s="664">
        <f t="shared" si="248"/>
        <v>0</v>
      </c>
      <c r="BL605" s="664">
        <f t="shared" si="248"/>
        <v>0</v>
      </c>
      <c r="BM605" s="664">
        <f t="shared" si="248"/>
        <v>0</v>
      </c>
      <c r="BN605" s="664">
        <f t="shared" si="248"/>
        <v>0</v>
      </c>
      <c r="BO605" s="664">
        <f t="shared" si="248"/>
        <v>0</v>
      </c>
      <c r="BP605" s="664">
        <f t="shared" ref="BP605:CA605" si="250">SUM(BP588:BP604)</f>
        <v>0</v>
      </c>
      <c r="BQ605" s="664">
        <f t="shared" si="250"/>
        <v>0</v>
      </c>
      <c r="BR605" s="664">
        <f t="shared" si="250"/>
        <v>0</v>
      </c>
      <c r="BS605" s="664">
        <f t="shared" si="250"/>
        <v>0</v>
      </c>
      <c r="BT605" s="664">
        <f t="shared" si="250"/>
        <v>0</v>
      </c>
      <c r="BU605" s="664">
        <f t="shared" si="250"/>
        <v>0</v>
      </c>
      <c r="BV605" s="664">
        <f t="shared" si="250"/>
        <v>0</v>
      </c>
      <c r="BW605" s="664">
        <f t="shared" si="250"/>
        <v>0</v>
      </c>
      <c r="BX605" s="664">
        <f t="shared" si="250"/>
        <v>0</v>
      </c>
      <c r="BY605" s="664">
        <f t="shared" si="250"/>
        <v>0</v>
      </c>
      <c r="BZ605" s="664">
        <f t="shared" si="250"/>
        <v>0</v>
      </c>
      <c r="CA605" s="664">
        <f t="shared" si="250"/>
        <v>0</v>
      </c>
    </row>
    <row r="606" spans="1:79" s="693" customFormat="1" hidden="1" outlineLevel="1" x14ac:dyDescent="0.25">
      <c r="A606" s="691"/>
      <c r="E606" s="40" t="s">
        <v>1338</v>
      </c>
      <c r="F606" s="1216" t="s">
        <v>594</v>
      </c>
      <c r="G606" s="927"/>
      <c r="H606" s="733"/>
      <c r="I606" s="733"/>
      <c r="J606" s="733"/>
      <c r="K606" s="733"/>
      <c r="L606" s="733"/>
      <c r="M606" s="733"/>
      <c r="N606" s="733"/>
      <c r="O606" s="733"/>
      <c r="P606" s="734"/>
      <c r="Q606" s="734"/>
      <c r="R606" s="734"/>
      <c r="S606" s="704"/>
      <c r="T606" s="704"/>
      <c r="U606" s="704"/>
      <c r="V606" s="704"/>
      <c r="W606" s="704"/>
      <c r="X606" s="704"/>
      <c r="Y606" s="704"/>
      <c r="Z606" s="704"/>
      <c r="AA606" s="704"/>
      <c r="AB606" s="704"/>
      <c r="AC606" s="703"/>
      <c r="AD606" s="703"/>
      <c r="AE606" s="704"/>
      <c r="AF606" s="733"/>
      <c r="AG606" s="707"/>
      <c r="AH606" s="734"/>
      <c r="AI606" s="734"/>
      <c r="AJ606" s="734"/>
      <c r="AK606" s="734"/>
      <c r="AL606" s="734"/>
      <c r="AM606" s="734"/>
      <c r="AN606" s="734"/>
      <c r="AO606" s="734"/>
      <c r="AP606" s="734"/>
      <c r="AQ606" s="734"/>
      <c r="AR606" s="734"/>
      <c r="AS606" s="734"/>
      <c r="AT606" s="734"/>
      <c r="AU606" s="734"/>
      <c r="AV606" s="734"/>
      <c r="AW606" s="734"/>
      <c r="AX606" s="734"/>
      <c r="AY606" s="734"/>
      <c r="AZ606" s="734"/>
      <c r="BA606" s="734"/>
      <c r="BB606" s="734"/>
      <c r="BC606" s="734"/>
      <c r="BD606" s="734"/>
      <c r="BE606" s="734"/>
      <c r="BF606" s="734"/>
      <c r="BG606" s="734"/>
      <c r="BH606" s="734"/>
      <c r="BI606" s="734"/>
      <c r="BJ606" s="734"/>
      <c r="BK606" s="734"/>
      <c r="BL606" s="734"/>
      <c r="BM606" s="734"/>
      <c r="BN606" s="734"/>
      <c r="BO606" s="734"/>
      <c r="BP606" s="734"/>
      <c r="BQ606" s="734"/>
      <c r="BR606" s="734"/>
      <c r="BS606" s="734"/>
      <c r="BT606" s="734"/>
      <c r="BU606" s="734"/>
      <c r="BV606" s="734"/>
      <c r="BW606" s="734"/>
      <c r="BX606" s="734"/>
      <c r="BY606" s="734"/>
      <c r="BZ606" s="734"/>
      <c r="CA606" s="734"/>
    </row>
    <row r="607" spans="1:79" hidden="1" outlineLevel="1" x14ac:dyDescent="0.25">
      <c r="A607" s="656"/>
      <c r="B607" s="570"/>
      <c r="C607" s="570"/>
      <c r="D607" s="570"/>
      <c r="E607" s="40" t="s">
        <v>1338</v>
      </c>
      <c r="F607" s="656" t="s">
        <v>888</v>
      </c>
      <c r="G607" s="40"/>
      <c r="H607" s="719"/>
      <c r="I607" s="719"/>
      <c r="J607" s="719"/>
      <c r="K607" s="719"/>
      <c r="L607" s="719"/>
      <c r="M607" s="719"/>
      <c r="N607" s="719"/>
      <c r="O607" s="719"/>
      <c r="P607" s="716"/>
      <c r="Q607" s="716"/>
      <c r="R607" s="716"/>
      <c r="S607" s="667">
        <v>0</v>
      </c>
      <c r="T607" s="667">
        <v>0</v>
      </c>
      <c r="U607" s="667">
        <v>0</v>
      </c>
      <c r="V607" s="667">
        <v>0</v>
      </c>
      <c r="W607" s="667">
        <v>0</v>
      </c>
      <c r="X607" s="667">
        <v>0</v>
      </c>
      <c r="Y607" s="667">
        <v>0</v>
      </c>
      <c r="Z607" s="667">
        <v>0</v>
      </c>
      <c r="AA607" s="667">
        <v>0</v>
      </c>
      <c r="AB607" s="667">
        <v>0</v>
      </c>
      <c r="AC607" s="686">
        <v>0</v>
      </c>
      <c r="AD607" s="686">
        <v>0</v>
      </c>
      <c r="AE607" s="667">
        <v>0</v>
      </c>
      <c r="AF607" s="719">
        <v>0</v>
      </c>
      <c r="AG607" s="682">
        <v>0</v>
      </c>
      <c r="AH607" s="716"/>
      <c r="AI607" s="716"/>
      <c r="AJ607" s="716"/>
      <c r="AK607" s="716"/>
      <c r="AL607" s="716"/>
      <c r="AM607" s="716"/>
      <c r="AN607" s="716"/>
      <c r="AO607" s="716"/>
      <c r="AP607" s="716"/>
      <c r="AQ607" s="716"/>
      <c r="AR607" s="716"/>
      <c r="AS607" s="716"/>
      <c r="AT607" s="716"/>
      <c r="AU607" s="716"/>
      <c r="AV607" s="716"/>
      <c r="AW607" s="716"/>
      <c r="AX607" s="716"/>
      <c r="AY607" s="716"/>
      <c r="AZ607" s="716"/>
      <c r="BA607" s="716"/>
      <c r="BB607" s="716"/>
      <c r="BC607" s="716"/>
      <c r="BD607" s="716"/>
      <c r="BE607" s="716"/>
      <c r="BF607" s="716"/>
      <c r="BG607" s="716"/>
      <c r="BH607" s="716"/>
      <c r="BI607" s="716"/>
      <c r="BJ607" s="716"/>
      <c r="BK607" s="716"/>
      <c r="BL607" s="716"/>
      <c r="BM607" s="716"/>
      <c r="BN607" s="716"/>
      <c r="BO607" s="716"/>
      <c r="BP607" s="716"/>
      <c r="BQ607" s="716"/>
      <c r="BR607" s="716"/>
      <c r="BS607" s="716"/>
      <c r="BT607" s="716"/>
      <c r="BU607" s="716"/>
      <c r="BV607" s="716"/>
      <c r="BW607" s="716"/>
      <c r="BX607" s="716"/>
      <c r="BY607" s="716"/>
      <c r="BZ607" s="716"/>
      <c r="CA607" s="716"/>
    </row>
    <row r="608" spans="1:79" hidden="1" outlineLevel="1" x14ac:dyDescent="0.25">
      <c r="A608" s="656"/>
      <c r="B608" s="570"/>
      <c r="C608" s="570"/>
      <c r="D608" s="570"/>
      <c r="E608" s="40" t="s">
        <v>1338</v>
      </c>
      <c r="F608" s="656" t="s">
        <v>618</v>
      </c>
      <c r="G608" s="719">
        <v>28.444621407047624</v>
      </c>
      <c r="H608" s="719">
        <v>15.646336187673825</v>
      </c>
      <c r="I608" s="719">
        <v>17.477546398029169</v>
      </c>
      <c r="J608" s="719">
        <v>20.422215002395721</v>
      </c>
      <c r="K608" s="719">
        <v>7.9100407967372339</v>
      </c>
      <c r="L608" s="719">
        <v>36.220144833106495</v>
      </c>
      <c r="M608" s="719">
        <v>37.753058979647335</v>
      </c>
      <c r="N608" s="719">
        <v>40.795643981983893</v>
      </c>
      <c r="O608" s="719">
        <v>42.30302706045606</v>
      </c>
      <c r="P608" s="716">
        <v>91.508931934122728</v>
      </c>
      <c r="Q608" s="716">
        <v>86.689903434239923</v>
      </c>
      <c r="R608" s="716">
        <v>3.353934662527803</v>
      </c>
      <c r="S608" s="667">
        <v>0</v>
      </c>
      <c r="T608" s="667">
        <v>0</v>
      </c>
      <c r="U608" s="667">
        <v>0</v>
      </c>
      <c r="V608" s="667">
        <v>0</v>
      </c>
      <c r="W608" s="667">
        <v>0</v>
      </c>
      <c r="X608" s="667">
        <v>0</v>
      </c>
      <c r="Y608" s="667">
        <v>7</v>
      </c>
      <c r="Z608" s="667">
        <v>48.48</v>
      </c>
      <c r="AA608" s="667">
        <v>4.9800000000000004</v>
      </c>
      <c r="AB608" s="667">
        <v>166.3</v>
      </c>
      <c r="AC608" s="686">
        <v>482.11</v>
      </c>
      <c r="AD608" s="686">
        <v>37.270000000000003</v>
      </c>
      <c r="AE608" s="667">
        <v>378.3</v>
      </c>
      <c r="AF608" s="719">
        <v>243.71</v>
      </c>
      <c r="AG608" s="686">
        <v>0</v>
      </c>
      <c r="AH608" s="716"/>
      <c r="AI608" s="716"/>
      <c r="AJ608" s="716"/>
      <c r="AK608" s="716"/>
      <c r="AL608" s="716"/>
      <c r="AM608" s="716"/>
      <c r="AN608" s="716"/>
      <c r="AO608" s="716"/>
      <c r="AP608" s="716"/>
      <c r="AQ608" s="716"/>
      <c r="AR608" s="716"/>
      <c r="AS608" s="716"/>
      <c r="AT608" s="716"/>
      <c r="AU608" s="716"/>
      <c r="AV608" s="716"/>
      <c r="AW608" s="716"/>
      <c r="AX608" s="716"/>
      <c r="AY608" s="716"/>
      <c r="AZ608" s="716"/>
      <c r="BA608" s="716"/>
      <c r="BB608" s="716"/>
      <c r="BC608" s="716"/>
      <c r="BD608" s="716"/>
      <c r="BE608" s="716"/>
      <c r="BF608" s="716"/>
      <c r="BG608" s="716"/>
      <c r="BH608" s="716"/>
      <c r="BI608" s="716"/>
      <c r="BJ608" s="716"/>
      <c r="BK608" s="716"/>
      <c r="BL608" s="716"/>
      <c r="BM608" s="716"/>
      <c r="BN608" s="716"/>
      <c r="BO608" s="716"/>
      <c r="BP608" s="716"/>
      <c r="BQ608" s="716"/>
      <c r="BR608" s="716"/>
      <c r="BS608" s="716"/>
      <c r="BT608" s="716"/>
      <c r="BU608" s="716"/>
      <c r="BV608" s="716"/>
      <c r="BW608" s="716"/>
      <c r="BX608" s="716"/>
      <c r="BY608" s="716"/>
      <c r="BZ608" s="716"/>
      <c r="CA608" s="716"/>
    </row>
    <row r="609" spans="1:79" hidden="1" outlineLevel="1" x14ac:dyDescent="0.25">
      <c r="A609" s="657"/>
      <c r="E609" s="40" t="s">
        <v>49</v>
      </c>
      <c r="F609" s="1218" t="s">
        <v>619</v>
      </c>
      <c r="G609" s="1219">
        <f>SUM(G607:G608)</f>
        <v>28.444621407047624</v>
      </c>
      <c r="H609" s="1219">
        <f t="shared" ref="H609:BO609" si="251">SUM(H607:H608)</f>
        <v>15.646336187673825</v>
      </c>
      <c r="I609" s="1219">
        <f t="shared" si="251"/>
        <v>17.477546398029169</v>
      </c>
      <c r="J609" s="1219">
        <f t="shared" si="251"/>
        <v>20.422215002395721</v>
      </c>
      <c r="K609" s="1219">
        <f t="shared" si="251"/>
        <v>7.9100407967372339</v>
      </c>
      <c r="L609" s="1219">
        <f t="shared" si="251"/>
        <v>36.220144833106495</v>
      </c>
      <c r="M609" s="1219">
        <f t="shared" si="251"/>
        <v>37.753058979647335</v>
      </c>
      <c r="N609" s="1219">
        <f t="shared" si="251"/>
        <v>40.795643981983893</v>
      </c>
      <c r="O609" s="1219">
        <f t="shared" si="251"/>
        <v>42.30302706045606</v>
      </c>
      <c r="P609" s="1219">
        <f t="shared" si="251"/>
        <v>91.508931934122728</v>
      </c>
      <c r="Q609" s="1219">
        <f t="shared" si="251"/>
        <v>86.689903434239923</v>
      </c>
      <c r="R609" s="1219">
        <f t="shared" si="251"/>
        <v>3.353934662527803</v>
      </c>
      <c r="S609" s="1226">
        <f t="shared" ref="S609:AA609" si="252">ROUND(SUM(S606:S608),5)</f>
        <v>0</v>
      </c>
      <c r="T609" s="1226">
        <f t="shared" si="252"/>
        <v>0</v>
      </c>
      <c r="U609" s="1226">
        <f t="shared" si="252"/>
        <v>0</v>
      </c>
      <c r="V609" s="1226">
        <f t="shared" si="252"/>
        <v>0</v>
      </c>
      <c r="W609" s="1226">
        <f t="shared" si="252"/>
        <v>0</v>
      </c>
      <c r="X609" s="1226">
        <f t="shared" si="252"/>
        <v>0</v>
      </c>
      <c r="Y609" s="1226">
        <f t="shared" si="252"/>
        <v>7</v>
      </c>
      <c r="Z609" s="1226">
        <f t="shared" si="252"/>
        <v>48.48</v>
      </c>
      <c r="AA609" s="1226">
        <f t="shared" si="252"/>
        <v>4.9800000000000004</v>
      </c>
      <c r="AB609" s="1226">
        <f t="shared" ref="AB609:AG609" si="253">ROUND(SUM(AB606:AB608),5)</f>
        <v>166.3</v>
      </c>
      <c r="AC609" s="1226">
        <f t="shared" si="253"/>
        <v>482.11</v>
      </c>
      <c r="AD609" s="1226">
        <f t="shared" si="253"/>
        <v>37.270000000000003</v>
      </c>
      <c r="AE609" s="1226">
        <f t="shared" si="253"/>
        <v>378.3</v>
      </c>
      <c r="AF609" s="664">
        <f t="shared" si="253"/>
        <v>243.71</v>
      </c>
      <c r="AG609" s="678">
        <f t="shared" si="253"/>
        <v>0</v>
      </c>
      <c r="AH609" s="664">
        <f t="shared" si="251"/>
        <v>0</v>
      </c>
      <c r="AI609" s="664">
        <f t="shared" si="251"/>
        <v>0</v>
      </c>
      <c r="AJ609" s="664">
        <f t="shared" si="251"/>
        <v>0</v>
      </c>
      <c r="AK609" s="664">
        <f t="shared" si="251"/>
        <v>0</v>
      </c>
      <c r="AL609" s="664">
        <f t="shared" si="251"/>
        <v>0</v>
      </c>
      <c r="AM609" s="664">
        <f t="shared" si="251"/>
        <v>0</v>
      </c>
      <c r="AN609" s="664">
        <f t="shared" si="251"/>
        <v>0</v>
      </c>
      <c r="AO609" s="664">
        <f t="shared" si="251"/>
        <v>0</v>
      </c>
      <c r="AP609" s="664">
        <f t="shared" si="251"/>
        <v>0</v>
      </c>
      <c r="AQ609" s="664">
        <f t="shared" si="251"/>
        <v>0</v>
      </c>
      <c r="AR609" s="664">
        <f t="shared" si="251"/>
        <v>0</v>
      </c>
      <c r="AS609" s="664">
        <f t="shared" si="251"/>
        <v>0</v>
      </c>
      <c r="AT609" s="664">
        <f t="shared" si="251"/>
        <v>0</v>
      </c>
      <c r="AU609" s="664">
        <f t="shared" si="251"/>
        <v>0</v>
      </c>
      <c r="AV609" s="664">
        <f t="shared" si="251"/>
        <v>0</v>
      </c>
      <c r="AW609" s="664">
        <f t="shared" si="251"/>
        <v>0</v>
      </c>
      <c r="AX609" s="664">
        <f t="shared" si="251"/>
        <v>0</v>
      </c>
      <c r="AY609" s="664">
        <f t="shared" si="251"/>
        <v>0</v>
      </c>
      <c r="AZ609" s="664">
        <f t="shared" si="251"/>
        <v>0</v>
      </c>
      <c r="BA609" s="664">
        <f t="shared" si="251"/>
        <v>0</v>
      </c>
      <c r="BB609" s="664">
        <f t="shared" si="251"/>
        <v>0</v>
      </c>
      <c r="BC609" s="664">
        <f t="shared" si="251"/>
        <v>0</v>
      </c>
      <c r="BD609" s="664">
        <f t="shared" si="251"/>
        <v>0</v>
      </c>
      <c r="BE609" s="664">
        <f t="shared" si="251"/>
        <v>0</v>
      </c>
      <c r="BF609" s="664">
        <f t="shared" si="251"/>
        <v>0</v>
      </c>
      <c r="BG609" s="664">
        <f t="shared" si="251"/>
        <v>0</v>
      </c>
      <c r="BH609" s="664">
        <f t="shared" si="251"/>
        <v>0</v>
      </c>
      <c r="BI609" s="664">
        <f t="shared" si="251"/>
        <v>0</v>
      </c>
      <c r="BJ609" s="664">
        <f t="shared" si="251"/>
        <v>0</v>
      </c>
      <c r="BK609" s="664">
        <f t="shared" si="251"/>
        <v>0</v>
      </c>
      <c r="BL609" s="664">
        <f t="shared" si="251"/>
        <v>0</v>
      </c>
      <c r="BM609" s="664">
        <f t="shared" si="251"/>
        <v>0</v>
      </c>
      <c r="BN609" s="664">
        <f t="shared" si="251"/>
        <v>0</v>
      </c>
      <c r="BO609" s="664">
        <f t="shared" si="251"/>
        <v>0</v>
      </c>
      <c r="BP609" s="664">
        <f t="shared" ref="BP609:CA609" si="254">SUM(BP607:BP608)</f>
        <v>0</v>
      </c>
      <c r="BQ609" s="664">
        <f t="shared" si="254"/>
        <v>0</v>
      </c>
      <c r="BR609" s="664">
        <f t="shared" si="254"/>
        <v>0</v>
      </c>
      <c r="BS609" s="664">
        <f t="shared" si="254"/>
        <v>0</v>
      </c>
      <c r="BT609" s="664">
        <f t="shared" si="254"/>
        <v>0</v>
      </c>
      <c r="BU609" s="664">
        <f t="shared" si="254"/>
        <v>0</v>
      </c>
      <c r="BV609" s="664">
        <f t="shared" si="254"/>
        <v>0</v>
      </c>
      <c r="BW609" s="664">
        <f t="shared" si="254"/>
        <v>0</v>
      </c>
      <c r="BX609" s="664">
        <f t="shared" si="254"/>
        <v>0</v>
      </c>
      <c r="BY609" s="664">
        <f t="shared" si="254"/>
        <v>0</v>
      </c>
      <c r="BZ609" s="664">
        <f t="shared" si="254"/>
        <v>0</v>
      </c>
      <c r="CA609" s="664">
        <f t="shared" si="254"/>
        <v>0</v>
      </c>
    </row>
    <row r="610" spans="1:79" hidden="1" outlineLevel="1" x14ac:dyDescent="0.25">
      <c r="A610" s="658"/>
      <c r="E610" s="40" t="s">
        <v>945</v>
      </c>
      <c r="F610" s="626" t="s">
        <v>595</v>
      </c>
      <c r="G610" s="719"/>
      <c r="H610" s="719"/>
      <c r="I610" s="719"/>
      <c r="J610" s="719"/>
      <c r="K610" s="719">
        <v>0.27441982799536996</v>
      </c>
      <c r="L610" s="719">
        <v>5.6733079955413048</v>
      </c>
      <c r="M610" s="719">
        <v>6.0736132462399706</v>
      </c>
      <c r="N610" s="719">
        <v>0.10008725559231391</v>
      </c>
      <c r="O610" s="719"/>
      <c r="P610" s="716">
        <v>49.537711204222305</v>
      </c>
      <c r="Q610" s="716">
        <v>6.3128919071353709</v>
      </c>
      <c r="R610" s="716">
        <v>25.999522044540686</v>
      </c>
      <c r="S610" s="667">
        <v>3803.8</v>
      </c>
      <c r="T610" s="667">
        <v>3803.8</v>
      </c>
      <c r="U610" s="667">
        <v>0</v>
      </c>
      <c r="V610" s="667">
        <v>0</v>
      </c>
      <c r="W610" s="667">
        <v>0</v>
      </c>
      <c r="X610" s="667">
        <v>102.6</v>
      </c>
      <c r="Y610" s="667">
        <v>0</v>
      </c>
      <c r="Z610" s="667">
        <v>0</v>
      </c>
      <c r="AA610" s="667">
        <v>-3619.17</v>
      </c>
      <c r="AB610" s="667">
        <v>0</v>
      </c>
      <c r="AC610" s="686">
        <v>0</v>
      </c>
      <c r="AD610" s="686">
        <v>0</v>
      </c>
      <c r="AE610" s="667">
        <v>0</v>
      </c>
      <c r="AF610" s="719">
        <v>494.83</v>
      </c>
      <c r="AG610" s="686">
        <v>257.91000000000003</v>
      </c>
      <c r="AH610" s="716"/>
      <c r="AI610" s="716"/>
      <c r="AJ610" s="716"/>
      <c r="AK610" s="716"/>
      <c r="AL610" s="716"/>
      <c r="AM610" s="716"/>
      <c r="AN610" s="716"/>
      <c r="AO610" s="716"/>
      <c r="AP610" s="716"/>
      <c r="AQ610" s="716"/>
      <c r="AR610" s="716"/>
      <c r="AS610" s="716"/>
      <c r="AT610" s="716"/>
      <c r="AU610" s="716"/>
      <c r="AV610" s="716"/>
      <c r="AW610" s="716"/>
      <c r="AX610" s="716"/>
      <c r="AY610" s="716"/>
      <c r="AZ610" s="716"/>
      <c r="BA610" s="716"/>
      <c r="BB610" s="716"/>
      <c r="BC610" s="716"/>
      <c r="BD610" s="716"/>
      <c r="BE610" s="716"/>
      <c r="BF610" s="716"/>
      <c r="BG610" s="716"/>
      <c r="BH610" s="716"/>
      <c r="BI610" s="716"/>
      <c r="BJ610" s="716"/>
      <c r="BK610" s="716"/>
      <c r="BL610" s="716"/>
      <c r="BM610" s="716"/>
      <c r="BN610" s="716"/>
      <c r="BO610" s="716"/>
      <c r="BP610" s="716"/>
      <c r="BQ610" s="716"/>
      <c r="BR610" s="716"/>
      <c r="BS610" s="716"/>
      <c r="BT610" s="716"/>
      <c r="BU610" s="716"/>
      <c r="BV610" s="716"/>
      <c r="BW610" s="716"/>
      <c r="BX610" s="716"/>
      <c r="BY610" s="716"/>
      <c r="BZ610" s="716"/>
      <c r="CA610" s="716"/>
    </row>
    <row r="611" spans="1:79" hidden="1" outlineLevel="1" x14ac:dyDescent="0.25">
      <c r="A611" s="658"/>
      <c r="E611" s="40" t="s">
        <v>941</v>
      </c>
      <c r="F611" s="626" t="s">
        <v>596</v>
      </c>
      <c r="G611" s="719">
        <v>0.79650198824937746</v>
      </c>
      <c r="H611" s="719">
        <v>22.043076625913585</v>
      </c>
      <c r="I611" s="719"/>
      <c r="J611" s="719">
        <v>0.47605456569073662</v>
      </c>
      <c r="K611" s="719">
        <v>1.2848044984036844</v>
      </c>
      <c r="L611" s="719">
        <v>0.15196135694410798</v>
      </c>
      <c r="M611" s="719"/>
      <c r="N611" s="719">
        <v>0.45471579078654661</v>
      </c>
      <c r="O611" s="719">
        <v>8.3674240633254723E-2</v>
      </c>
      <c r="P611" s="716">
        <v>55.70470757162407</v>
      </c>
      <c r="Q611" s="716">
        <v>8.6259097775705023</v>
      </c>
      <c r="R611" s="716">
        <v>2.7466487395820209</v>
      </c>
      <c r="S611" s="667">
        <v>43.21</v>
      </c>
      <c r="T611" s="667">
        <v>0</v>
      </c>
      <c r="U611" s="667">
        <v>0</v>
      </c>
      <c r="V611" s="667">
        <v>0</v>
      </c>
      <c r="W611" s="667">
        <v>0</v>
      </c>
      <c r="X611" s="667">
        <v>46</v>
      </c>
      <c r="Y611" s="667">
        <v>0</v>
      </c>
      <c r="Z611" s="667">
        <v>51.64</v>
      </c>
      <c r="AA611" s="667">
        <v>0</v>
      </c>
      <c r="AB611" s="667">
        <v>0</v>
      </c>
      <c r="AC611" s="686">
        <v>64.540000000000006</v>
      </c>
      <c r="AD611" s="686">
        <v>8.3000000000000007</v>
      </c>
      <c r="AE611" s="667">
        <v>52.78</v>
      </c>
      <c r="AF611" s="719">
        <v>49.48</v>
      </c>
      <c r="AG611" s="686">
        <v>10.64</v>
      </c>
      <c r="AH611" s="716"/>
      <c r="AI611" s="716"/>
      <c r="AJ611" s="716"/>
      <c r="AK611" s="716"/>
      <c r="AL611" s="716"/>
      <c r="AM611" s="716"/>
      <c r="AN611" s="716"/>
      <c r="AO611" s="716"/>
      <c r="AP611" s="716"/>
      <c r="AQ611" s="716"/>
      <c r="AR611" s="716"/>
      <c r="AS611" s="716"/>
      <c r="AT611" s="716"/>
      <c r="AU611" s="716"/>
      <c r="AV611" s="716"/>
      <c r="AW611" s="716"/>
      <c r="AX611" s="716"/>
      <c r="AY611" s="716"/>
      <c r="AZ611" s="716"/>
      <c r="BA611" s="716"/>
      <c r="BB611" s="716"/>
      <c r="BC611" s="716"/>
      <c r="BD611" s="716"/>
      <c r="BE611" s="716"/>
      <c r="BF611" s="716"/>
      <c r="BG611" s="716"/>
      <c r="BH611" s="716"/>
      <c r="BI611" s="716"/>
      <c r="BJ611" s="716"/>
      <c r="BK611" s="716"/>
      <c r="BL611" s="716"/>
      <c r="BM611" s="716"/>
      <c r="BN611" s="716"/>
      <c r="BO611" s="716"/>
      <c r="BP611" s="716"/>
      <c r="BQ611" s="716"/>
      <c r="BR611" s="716"/>
      <c r="BS611" s="716"/>
      <c r="BT611" s="716"/>
      <c r="BU611" s="716"/>
      <c r="BV611" s="716"/>
      <c r="BW611" s="716"/>
      <c r="BX611" s="716"/>
      <c r="BY611" s="716"/>
      <c r="BZ611" s="716"/>
      <c r="CA611" s="716"/>
    </row>
    <row r="612" spans="1:79" hidden="1" outlineLevel="1" x14ac:dyDescent="0.25">
      <c r="A612" s="658"/>
      <c r="E612" s="40" t="s">
        <v>943</v>
      </c>
      <c r="F612" s="626" t="s">
        <v>597</v>
      </c>
      <c r="G612" s="716"/>
      <c r="H612" s="716"/>
      <c r="I612" s="716"/>
      <c r="J612" s="716">
        <v>11.364250721573466</v>
      </c>
      <c r="K612" s="716">
        <v>0.2740088147732101</v>
      </c>
      <c r="L612" s="716"/>
      <c r="M612" s="716"/>
      <c r="N612" s="716"/>
      <c r="O612" s="716">
        <v>1.2492690758108169</v>
      </c>
      <c r="P612" s="716">
        <v>3.1796451642273307E-2</v>
      </c>
      <c r="Q612" s="716">
        <v>3.0735950410566395</v>
      </c>
      <c r="R612" s="716"/>
      <c r="S612" s="667">
        <v>0</v>
      </c>
      <c r="T612" s="667">
        <v>0</v>
      </c>
      <c r="U612" s="667">
        <v>615.75</v>
      </c>
      <c r="V612" s="667">
        <v>0</v>
      </c>
      <c r="W612" s="667">
        <v>0</v>
      </c>
      <c r="X612" s="667">
        <v>0</v>
      </c>
      <c r="Y612" s="667">
        <v>0</v>
      </c>
      <c r="Z612" s="667">
        <v>0</v>
      </c>
      <c r="AA612" s="667">
        <v>0</v>
      </c>
      <c r="AB612" s="667">
        <v>0</v>
      </c>
      <c r="AC612" s="665">
        <v>0</v>
      </c>
      <c r="AD612" s="665">
        <v>0</v>
      </c>
      <c r="AE612" s="667">
        <v>0</v>
      </c>
      <c r="AF612" s="719">
        <v>0</v>
      </c>
      <c r="AG612" s="665">
        <v>0</v>
      </c>
      <c r="AH612" s="716"/>
      <c r="AI612" s="716"/>
      <c r="AJ612" s="716"/>
      <c r="AK612" s="716"/>
      <c r="AL612" s="716"/>
      <c r="AM612" s="716"/>
      <c r="AN612" s="716"/>
      <c r="AO612" s="716"/>
      <c r="AP612" s="716"/>
      <c r="AQ612" s="716"/>
      <c r="AR612" s="716"/>
      <c r="AS612" s="716"/>
      <c r="AT612" s="716"/>
      <c r="AU612" s="716"/>
      <c r="AV612" s="716"/>
      <c r="AW612" s="716"/>
      <c r="AX612" s="716"/>
      <c r="AY612" s="716"/>
      <c r="AZ612" s="716"/>
      <c r="BA612" s="716"/>
      <c r="BB612" s="716"/>
      <c r="BC612" s="716"/>
      <c r="BD612" s="716"/>
      <c r="BE612" s="716"/>
      <c r="BF612" s="716"/>
      <c r="BG612" s="716"/>
      <c r="BH612" s="716"/>
      <c r="BI612" s="716"/>
      <c r="BJ612" s="716"/>
      <c r="BK612" s="716"/>
      <c r="BL612" s="716"/>
      <c r="BM612" s="716"/>
      <c r="BN612" s="716"/>
      <c r="BO612" s="716"/>
      <c r="BP612" s="716"/>
      <c r="BQ612" s="716"/>
      <c r="BR612" s="716"/>
      <c r="BS612" s="716"/>
      <c r="BT612" s="716"/>
      <c r="BU612" s="716"/>
      <c r="BV612" s="716"/>
      <c r="BW612" s="716"/>
      <c r="BX612" s="716"/>
      <c r="BY612" s="716"/>
      <c r="BZ612" s="716"/>
      <c r="CA612" s="716"/>
    </row>
    <row r="613" spans="1:79" s="710" customFormat="1" hidden="1" outlineLevel="1" x14ac:dyDescent="0.25">
      <c r="A613" s="701"/>
      <c r="E613" s="40" t="s">
        <v>1339</v>
      </c>
      <c r="F613" s="1225" t="s">
        <v>598</v>
      </c>
      <c r="G613" s="734"/>
      <c r="H613" s="734"/>
      <c r="I613" s="734"/>
      <c r="J613" s="734"/>
      <c r="K613" s="734"/>
      <c r="L613" s="734"/>
      <c r="M613" s="734"/>
      <c r="N613" s="734"/>
      <c r="O613" s="734"/>
      <c r="P613" s="734"/>
      <c r="Q613" s="734"/>
      <c r="R613" s="734"/>
      <c r="S613" s="1223"/>
      <c r="T613" s="1223"/>
      <c r="U613" s="1223"/>
      <c r="V613" s="1223"/>
      <c r="W613" s="1223"/>
      <c r="X613" s="1223"/>
      <c r="Y613" s="1223"/>
      <c r="Z613" s="1223"/>
      <c r="AA613" s="1223"/>
      <c r="AB613" s="1223"/>
      <c r="AC613" s="712"/>
      <c r="AD613" s="712"/>
      <c r="AE613" s="1223"/>
      <c r="AF613" s="733"/>
      <c r="AG613" s="705"/>
      <c r="AH613" s="734"/>
      <c r="AI613" s="734"/>
      <c r="AJ613" s="734"/>
      <c r="AK613" s="734"/>
      <c r="AL613" s="734"/>
      <c r="AM613" s="734"/>
      <c r="AN613" s="734"/>
      <c r="AO613" s="734"/>
      <c r="AP613" s="734"/>
      <c r="AQ613" s="734"/>
      <c r="AR613" s="734"/>
      <c r="AS613" s="734"/>
      <c r="AT613" s="734"/>
      <c r="AU613" s="734"/>
      <c r="AV613" s="734"/>
      <c r="AW613" s="734"/>
      <c r="AX613" s="734"/>
      <c r="AY613" s="734"/>
      <c r="AZ613" s="734"/>
      <c r="BA613" s="734"/>
      <c r="BB613" s="734"/>
      <c r="BC613" s="734"/>
      <c r="BD613" s="734"/>
      <c r="BE613" s="734"/>
      <c r="BF613" s="734"/>
      <c r="BG613" s="734"/>
      <c r="BH613" s="734"/>
      <c r="BI613" s="734"/>
      <c r="BJ613" s="734"/>
      <c r="BK613" s="734"/>
      <c r="BL613" s="734"/>
      <c r="BM613" s="734"/>
      <c r="BN613" s="734"/>
      <c r="BO613" s="734"/>
      <c r="BP613" s="734"/>
      <c r="BQ613" s="734"/>
      <c r="BR613" s="734"/>
      <c r="BS613" s="734"/>
      <c r="BT613" s="734"/>
      <c r="BU613" s="734"/>
      <c r="BV613" s="734"/>
      <c r="BW613" s="734"/>
      <c r="BX613" s="734"/>
      <c r="BY613" s="734"/>
      <c r="BZ613" s="734"/>
      <c r="CA613" s="734"/>
    </row>
    <row r="614" spans="1:79" s="451" customFormat="1" hidden="1" outlineLevel="1" x14ac:dyDescent="0.25">
      <c r="A614" s="656"/>
      <c r="B614" s="79"/>
      <c r="C614" s="79"/>
      <c r="D614" s="79"/>
      <c r="E614" s="40" t="s">
        <v>1339</v>
      </c>
      <c r="F614" s="656" t="s">
        <v>649</v>
      </c>
      <c r="G614" s="716"/>
      <c r="H614" s="716"/>
      <c r="I614" s="716"/>
      <c r="J614" s="716"/>
      <c r="K614" s="716"/>
      <c r="L614" s="716"/>
      <c r="M614" s="716"/>
      <c r="N614" s="716"/>
      <c r="O614" s="716"/>
      <c r="P614" s="716"/>
      <c r="Q614" s="716"/>
      <c r="R614" s="716"/>
      <c r="S614" s="676">
        <v>0</v>
      </c>
      <c r="T614" s="676">
        <v>26824.45</v>
      </c>
      <c r="U614" s="676">
        <v>8490.2999999999993</v>
      </c>
      <c r="V614" s="676">
        <v>3861.65</v>
      </c>
      <c r="W614" s="676">
        <v>10139.299999999999</v>
      </c>
      <c r="X614" s="676">
        <v>494.75</v>
      </c>
      <c r="Y614" s="676">
        <v>29741.45</v>
      </c>
      <c r="Z614" s="676">
        <v>1382.9</v>
      </c>
      <c r="AA614" s="676">
        <v>12472.75</v>
      </c>
      <c r="AB614" s="676">
        <v>-178.45</v>
      </c>
      <c r="AC614" s="674">
        <v>1150.5</v>
      </c>
      <c r="AD614" s="674">
        <v>62474.35</v>
      </c>
      <c r="AE614" s="676">
        <v>7222.12</v>
      </c>
      <c r="AF614" s="719">
        <v>-64862.67</v>
      </c>
      <c r="AG614" s="674">
        <v>1840.65</v>
      </c>
      <c r="AH614" s="716"/>
      <c r="AI614" s="716"/>
      <c r="AJ614" s="716"/>
      <c r="AK614" s="716"/>
      <c r="AL614" s="716"/>
      <c r="AM614" s="716"/>
      <c r="AN614" s="716"/>
      <c r="AO614" s="716"/>
      <c r="AP614" s="716"/>
      <c r="AQ614" s="716"/>
      <c r="AR614" s="716"/>
      <c r="AS614" s="716"/>
      <c r="AT614" s="716"/>
      <c r="AU614" s="716"/>
      <c r="AV614" s="716"/>
      <c r="AW614" s="716"/>
      <c r="AX614" s="716"/>
      <c r="AY614" s="716"/>
      <c r="AZ614" s="716"/>
      <c r="BA614" s="716"/>
      <c r="BB614" s="716"/>
      <c r="BC614" s="716"/>
      <c r="BD614" s="716"/>
      <c r="BE614" s="716"/>
      <c r="BF614" s="716"/>
      <c r="BG614" s="716"/>
      <c r="BH614" s="716"/>
      <c r="BI614" s="716"/>
      <c r="BJ614" s="716"/>
      <c r="BK614" s="716"/>
      <c r="BL614" s="716"/>
      <c r="BM614" s="716"/>
      <c r="BN614" s="716"/>
      <c r="BO614" s="716"/>
      <c r="BP614" s="716"/>
      <c r="BQ614" s="716"/>
      <c r="BR614" s="716"/>
      <c r="BS614" s="716"/>
      <c r="BT614" s="716"/>
      <c r="BU614" s="716"/>
      <c r="BV614" s="716"/>
      <c r="BW614" s="716"/>
      <c r="BX614" s="716"/>
      <c r="BY614" s="716"/>
      <c r="BZ614" s="716"/>
      <c r="CA614" s="716"/>
    </row>
    <row r="615" spans="1:79" s="451" customFormat="1" hidden="1" outlineLevel="1" x14ac:dyDescent="0.25">
      <c r="A615" s="656"/>
      <c r="B615" s="576"/>
      <c r="C615" s="576"/>
      <c r="D615" s="576"/>
      <c r="E615" s="40" t="s">
        <v>1339</v>
      </c>
      <c r="F615" s="656" t="s">
        <v>620</v>
      </c>
      <c r="G615" s="716"/>
      <c r="H615" s="716"/>
      <c r="I615" s="716"/>
      <c r="J615" s="716"/>
      <c r="K615" s="716"/>
      <c r="L615" s="716"/>
      <c r="M615" s="716"/>
      <c r="N615" s="716"/>
      <c r="O615" s="716"/>
      <c r="P615" s="716"/>
      <c r="Q615" s="716"/>
      <c r="R615" s="716"/>
      <c r="S615" s="667">
        <v>0</v>
      </c>
      <c r="T615" s="667">
        <v>0</v>
      </c>
      <c r="U615" s="667">
        <v>0</v>
      </c>
      <c r="V615" s="667">
        <v>0</v>
      </c>
      <c r="W615" s="667">
        <v>0</v>
      </c>
      <c r="X615" s="667">
        <v>0</v>
      </c>
      <c r="Y615" s="667">
        <v>0</v>
      </c>
      <c r="Z615" s="667">
        <v>0</v>
      </c>
      <c r="AA615" s="667">
        <v>0</v>
      </c>
      <c r="AB615" s="667">
        <v>0</v>
      </c>
      <c r="AC615" s="686">
        <v>0</v>
      </c>
      <c r="AD615" s="686">
        <v>0</v>
      </c>
      <c r="AE615" s="667">
        <v>0</v>
      </c>
      <c r="AF615" s="719">
        <v>0</v>
      </c>
      <c r="AG615" s="686">
        <v>0</v>
      </c>
      <c r="AH615" s="716"/>
      <c r="AI615" s="716"/>
      <c r="AJ615" s="716"/>
      <c r="AK615" s="716"/>
      <c r="AL615" s="716"/>
      <c r="AM615" s="716"/>
      <c r="AN615" s="716"/>
      <c r="AO615" s="716"/>
      <c r="AP615" s="716"/>
      <c r="AQ615" s="716"/>
      <c r="AR615" s="716"/>
      <c r="AS615" s="716"/>
      <c r="AT615" s="716"/>
      <c r="AU615" s="716"/>
      <c r="AV615" s="716"/>
      <c r="AW615" s="716"/>
      <c r="AX615" s="716"/>
      <c r="AY615" s="716"/>
      <c r="AZ615" s="716"/>
      <c r="BA615" s="716"/>
      <c r="BB615" s="716"/>
      <c r="BC615" s="716"/>
      <c r="BD615" s="716"/>
      <c r="BE615" s="716"/>
      <c r="BF615" s="716"/>
      <c r="BG615" s="716"/>
      <c r="BH615" s="716"/>
      <c r="BI615" s="716"/>
      <c r="BJ615" s="716"/>
      <c r="BK615" s="716"/>
      <c r="BL615" s="716"/>
      <c r="BM615" s="716"/>
      <c r="BN615" s="716"/>
      <c r="BO615" s="716"/>
      <c r="BP615" s="716"/>
      <c r="BQ615" s="716"/>
      <c r="BR615" s="716"/>
      <c r="BS615" s="716"/>
      <c r="BT615" s="716"/>
      <c r="BU615" s="716"/>
      <c r="BV615" s="716"/>
      <c r="BW615" s="716"/>
      <c r="BX615" s="716"/>
      <c r="BY615" s="716"/>
      <c r="BZ615" s="716"/>
      <c r="CA615" s="716"/>
    </row>
    <row r="616" spans="1:79" s="451" customFormat="1" hidden="1" outlineLevel="1" x14ac:dyDescent="0.25">
      <c r="A616" s="656"/>
      <c r="B616" s="79"/>
      <c r="C616" s="79"/>
      <c r="D616" s="79"/>
      <c r="E616" s="40" t="s">
        <v>1339</v>
      </c>
      <c r="F616" s="656" t="s">
        <v>666</v>
      </c>
      <c r="G616" s="716"/>
      <c r="H616" s="716"/>
      <c r="I616" s="716"/>
      <c r="J616" s="716"/>
      <c r="K616" s="716"/>
      <c r="L616" s="716"/>
      <c r="M616" s="716"/>
      <c r="N616" s="716"/>
      <c r="O616" s="716"/>
      <c r="P616" s="716"/>
      <c r="Q616" s="716"/>
      <c r="R616" s="716"/>
      <c r="S616" s="667">
        <v>0</v>
      </c>
      <c r="T616" s="667">
        <v>0</v>
      </c>
      <c r="U616" s="667">
        <v>0</v>
      </c>
      <c r="V616" s="667">
        <v>0</v>
      </c>
      <c r="W616" s="667">
        <v>2760.68</v>
      </c>
      <c r="X616" s="667">
        <v>391.5</v>
      </c>
      <c r="Y616" s="667">
        <v>0</v>
      </c>
      <c r="Z616" s="667">
        <v>15831.21</v>
      </c>
      <c r="AA616" s="667">
        <v>0</v>
      </c>
      <c r="AB616" s="667">
        <v>0</v>
      </c>
      <c r="AC616" s="686">
        <v>1739</v>
      </c>
      <c r="AD616" s="686">
        <v>0</v>
      </c>
      <c r="AE616" s="667">
        <v>0</v>
      </c>
      <c r="AF616" s="719">
        <v>876</v>
      </c>
      <c r="AG616" s="686">
        <v>0</v>
      </c>
      <c r="AH616" s="716"/>
      <c r="AI616" s="716"/>
      <c r="AJ616" s="716"/>
      <c r="AK616" s="716"/>
      <c r="AL616" s="716"/>
      <c r="AM616" s="716"/>
      <c r="AN616" s="716"/>
      <c r="AO616" s="716"/>
      <c r="AP616" s="716"/>
      <c r="AQ616" s="716"/>
      <c r="AR616" s="716"/>
      <c r="AS616" s="716"/>
      <c r="AT616" s="716"/>
      <c r="AU616" s="716"/>
      <c r="AV616" s="716"/>
      <c r="AW616" s="716"/>
      <c r="AX616" s="716"/>
      <c r="AY616" s="716"/>
      <c r="AZ616" s="716"/>
      <c r="BA616" s="716"/>
      <c r="BB616" s="716"/>
      <c r="BC616" s="716"/>
      <c r="BD616" s="716"/>
      <c r="BE616" s="716"/>
      <c r="BF616" s="716"/>
      <c r="BG616" s="716"/>
      <c r="BH616" s="716"/>
      <c r="BI616" s="716"/>
      <c r="BJ616" s="716"/>
      <c r="BK616" s="716"/>
      <c r="BL616" s="716"/>
      <c r="BM616" s="716"/>
      <c r="BN616" s="716"/>
      <c r="BO616" s="716"/>
      <c r="BP616" s="716"/>
      <c r="BQ616" s="716"/>
      <c r="BR616" s="716"/>
      <c r="BS616" s="716"/>
      <c r="BT616" s="716"/>
      <c r="BU616" s="716"/>
      <c r="BV616" s="716"/>
      <c r="BW616" s="716"/>
      <c r="BX616" s="716"/>
      <c r="BY616" s="716"/>
      <c r="BZ616" s="716"/>
      <c r="CA616" s="716"/>
    </row>
    <row r="617" spans="1:79" s="451" customFormat="1" hidden="1" outlineLevel="1" x14ac:dyDescent="0.25">
      <c r="A617" s="656"/>
      <c r="B617" s="79"/>
      <c r="C617" s="79"/>
      <c r="D617" s="79"/>
      <c r="E617" s="40" t="s">
        <v>1339</v>
      </c>
      <c r="F617" s="656" t="s">
        <v>621</v>
      </c>
      <c r="G617" s="716"/>
      <c r="H617" s="716"/>
      <c r="I617" s="716"/>
      <c r="J617" s="716"/>
      <c r="K617" s="716"/>
      <c r="L617" s="716"/>
      <c r="M617" s="716"/>
      <c r="N617" s="716"/>
      <c r="O617" s="716"/>
      <c r="P617" s="716"/>
      <c r="Q617" s="716"/>
      <c r="R617" s="716"/>
      <c r="S617" s="667">
        <v>313.25</v>
      </c>
      <c r="T617" s="667">
        <v>0</v>
      </c>
      <c r="U617" s="667">
        <v>0</v>
      </c>
      <c r="V617" s="667">
        <v>0</v>
      </c>
      <c r="W617" s="667">
        <v>0</v>
      </c>
      <c r="X617" s="667">
        <v>0</v>
      </c>
      <c r="Y617" s="667">
        <v>0</v>
      </c>
      <c r="Z617" s="667">
        <v>0</v>
      </c>
      <c r="AA617" s="667">
        <v>0</v>
      </c>
      <c r="AB617" s="667">
        <v>0</v>
      </c>
      <c r="AC617" s="686">
        <v>115</v>
      </c>
      <c r="AD617" s="686">
        <v>0</v>
      </c>
      <c r="AE617" s="667">
        <v>138</v>
      </c>
      <c r="AF617" s="716">
        <v>138</v>
      </c>
      <c r="AG617" s="686">
        <v>138</v>
      </c>
      <c r="AH617" s="716"/>
      <c r="AI617" s="716"/>
      <c r="AJ617" s="716"/>
      <c r="AK617" s="716"/>
      <c r="AL617" s="716"/>
      <c r="AM617" s="716"/>
      <c r="AN617" s="716"/>
      <c r="AO617" s="716"/>
      <c r="AP617" s="716"/>
      <c r="AQ617" s="716"/>
      <c r="AR617" s="716"/>
      <c r="AS617" s="716"/>
      <c r="AT617" s="716"/>
      <c r="AU617" s="716"/>
      <c r="AV617" s="716"/>
      <c r="AW617" s="716"/>
      <c r="AX617" s="716"/>
      <c r="AY617" s="716"/>
      <c r="AZ617" s="716"/>
      <c r="BA617" s="716"/>
      <c r="BB617" s="716"/>
      <c r="BC617" s="716"/>
      <c r="BD617" s="716"/>
      <c r="BE617" s="716"/>
      <c r="BF617" s="716"/>
      <c r="BG617" s="716"/>
      <c r="BH617" s="716"/>
      <c r="BI617" s="716"/>
      <c r="BJ617" s="716"/>
      <c r="BK617" s="716"/>
      <c r="BL617" s="716"/>
      <c r="BM617" s="716"/>
      <c r="BN617" s="716"/>
      <c r="BO617" s="716"/>
      <c r="BP617" s="716"/>
      <c r="BQ617" s="716"/>
      <c r="BR617" s="716"/>
      <c r="BS617" s="716"/>
      <c r="BT617" s="716"/>
      <c r="BU617" s="716"/>
      <c r="BV617" s="716"/>
      <c r="BW617" s="716"/>
      <c r="BX617" s="716"/>
      <c r="BY617" s="716"/>
      <c r="BZ617" s="716"/>
      <c r="CA617" s="716"/>
    </row>
    <row r="618" spans="1:79" s="451" customFormat="1" hidden="1" outlineLevel="1" x14ac:dyDescent="0.25">
      <c r="A618" s="656"/>
      <c r="B618" s="79"/>
      <c r="C618" s="79"/>
      <c r="D618" s="79"/>
      <c r="E618" s="40" t="s">
        <v>1339</v>
      </c>
      <c r="F618" s="656" t="s">
        <v>650</v>
      </c>
      <c r="G618" s="719"/>
      <c r="H618" s="719"/>
      <c r="I618" s="719"/>
      <c r="J618" s="719"/>
      <c r="K618" s="719"/>
      <c r="L618" s="719"/>
      <c r="M618" s="719"/>
      <c r="N618" s="719"/>
      <c r="O618" s="719"/>
      <c r="P618" s="716"/>
      <c r="Q618" s="716"/>
      <c r="R618" s="716"/>
      <c r="S618" s="667">
        <v>600</v>
      </c>
      <c r="T618" s="667">
        <v>0</v>
      </c>
      <c r="U618" s="667">
        <v>600</v>
      </c>
      <c r="V618" s="667">
        <v>0</v>
      </c>
      <c r="W618" s="667">
        <v>0</v>
      </c>
      <c r="X618" s="667">
        <v>0</v>
      </c>
      <c r="Y618" s="667">
        <v>200</v>
      </c>
      <c r="Z618" s="667">
        <v>200</v>
      </c>
      <c r="AA618" s="667">
        <v>200</v>
      </c>
      <c r="AB618" s="667">
        <v>200</v>
      </c>
      <c r="AC618" s="686">
        <v>200</v>
      </c>
      <c r="AD618" s="686">
        <v>-400</v>
      </c>
      <c r="AE618" s="667">
        <v>-400</v>
      </c>
      <c r="AF618" s="716">
        <v>200</v>
      </c>
      <c r="AG618" s="686">
        <v>200</v>
      </c>
      <c r="AH618" s="716"/>
      <c r="AI618" s="716"/>
      <c r="AJ618" s="716"/>
      <c r="AK618" s="716"/>
      <c r="AL618" s="716"/>
      <c r="AM618" s="716"/>
      <c r="AN618" s="716"/>
      <c r="AO618" s="716"/>
      <c r="AP618" s="716"/>
      <c r="AQ618" s="716"/>
      <c r="AR618" s="716"/>
      <c r="AS618" s="716"/>
      <c r="AT618" s="716"/>
      <c r="AU618" s="716"/>
      <c r="AV618" s="716"/>
      <c r="AW618" s="716"/>
      <c r="AX618" s="716"/>
      <c r="AY618" s="716"/>
      <c r="AZ618" s="716"/>
      <c r="BA618" s="716"/>
      <c r="BB618" s="716"/>
      <c r="BC618" s="716"/>
      <c r="BD618" s="716"/>
      <c r="BE618" s="716"/>
      <c r="BF618" s="716"/>
      <c r="BG618" s="716"/>
      <c r="BH618" s="716"/>
      <c r="BI618" s="716"/>
      <c r="BJ618" s="716"/>
      <c r="BK618" s="716"/>
      <c r="BL618" s="716"/>
      <c r="BM618" s="716"/>
      <c r="BN618" s="716"/>
      <c r="BO618" s="716"/>
      <c r="BP618" s="716"/>
      <c r="BQ618" s="716"/>
      <c r="BR618" s="716"/>
      <c r="BS618" s="716"/>
      <c r="BT618" s="716"/>
      <c r="BU618" s="716"/>
      <c r="BV618" s="716"/>
      <c r="BW618" s="716"/>
      <c r="BX618" s="716"/>
      <c r="BY618" s="716"/>
      <c r="BZ618" s="716"/>
      <c r="CA618" s="716"/>
    </row>
    <row r="619" spans="1:79" s="451" customFormat="1" hidden="1" outlineLevel="1" x14ac:dyDescent="0.25">
      <c r="A619" s="656"/>
      <c r="B619" s="576"/>
      <c r="C619" s="576"/>
      <c r="D619" s="576"/>
      <c r="E619" s="40" t="s">
        <v>1339</v>
      </c>
      <c r="F619" s="656" t="s">
        <v>647</v>
      </c>
      <c r="G619" s="719"/>
      <c r="H619" s="719"/>
      <c r="I619" s="719"/>
      <c r="J619" s="719"/>
      <c r="K619" s="719"/>
      <c r="L619" s="719"/>
      <c r="M619" s="719"/>
      <c r="N619" s="719"/>
      <c r="O619" s="719"/>
      <c r="P619" s="716"/>
      <c r="Q619" s="716"/>
      <c r="R619" s="716"/>
      <c r="S619" s="667">
        <v>0</v>
      </c>
      <c r="T619" s="667">
        <v>0</v>
      </c>
      <c r="U619" s="667">
        <v>0</v>
      </c>
      <c r="V619" s="667">
        <v>0</v>
      </c>
      <c r="W619" s="667">
        <v>0</v>
      </c>
      <c r="X619" s="667">
        <v>0</v>
      </c>
      <c r="Y619" s="667">
        <v>0</v>
      </c>
      <c r="Z619" s="667">
        <v>0</v>
      </c>
      <c r="AA619" s="667">
        <v>0</v>
      </c>
      <c r="AB619" s="667">
        <v>0</v>
      </c>
      <c r="AC619" s="686">
        <v>0</v>
      </c>
      <c r="AD619" s="686">
        <v>0</v>
      </c>
      <c r="AE619" s="667">
        <v>0</v>
      </c>
      <c r="AF619" s="716">
        <v>0</v>
      </c>
      <c r="AG619" s="686">
        <v>0</v>
      </c>
      <c r="AH619" s="716"/>
      <c r="AI619" s="716"/>
      <c r="AJ619" s="716"/>
      <c r="AK619" s="716"/>
      <c r="AL619" s="716"/>
      <c r="AM619" s="716"/>
      <c r="AN619" s="716"/>
      <c r="AO619" s="716"/>
      <c r="AP619" s="716"/>
      <c r="AQ619" s="716"/>
      <c r="AR619" s="716"/>
      <c r="AS619" s="716"/>
      <c r="AT619" s="716"/>
      <c r="AU619" s="716"/>
      <c r="AV619" s="716"/>
      <c r="AW619" s="716"/>
      <c r="AX619" s="716"/>
      <c r="AY619" s="716"/>
      <c r="AZ619" s="716"/>
      <c r="BA619" s="716"/>
      <c r="BB619" s="716"/>
      <c r="BC619" s="716"/>
      <c r="BD619" s="716"/>
      <c r="BE619" s="716"/>
      <c r="BF619" s="716"/>
      <c r="BG619" s="716"/>
      <c r="BH619" s="716"/>
      <c r="BI619" s="716"/>
      <c r="BJ619" s="716"/>
      <c r="BK619" s="716"/>
      <c r="BL619" s="716"/>
      <c r="BM619" s="716"/>
      <c r="BN619" s="716"/>
      <c r="BO619" s="716"/>
      <c r="BP619" s="716"/>
      <c r="BQ619" s="716"/>
      <c r="BR619" s="716"/>
      <c r="BS619" s="716"/>
      <c r="BT619" s="716"/>
      <c r="BU619" s="716"/>
      <c r="BV619" s="716"/>
      <c r="BW619" s="716"/>
      <c r="BX619" s="716"/>
      <c r="BY619" s="716"/>
      <c r="BZ619" s="716"/>
      <c r="CA619" s="716"/>
    </row>
    <row r="620" spans="1:79" s="451" customFormat="1" hidden="1" outlineLevel="1" x14ac:dyDescent="0.25">
      <c r="A620" s="656"/>
      <c r="B620" s="576"/>
      <c r="C620" s="576"/>
      <c r="D620" s="576"/>
      <c r="E620" s="40" t="s">
        <v>1339</v>
      </c>
      <c r="F620" s="656" t="s">
        <v>889</v>
      </c>
      <c r="G620" s="719"/>
      <c r="H620" s="719"/>
      <c r="I620" s="719"/>
      <c r="J620" s="719"/>
      <c r="K620" s="719"/>
      <c r="L620" s="719"/>
      <c r="M620" s="719"/>
      <c r="N620" s="719"/>
      <c r="O620" s="719"/>
      <c r="P620" s="716"/>
      <c r="Q620" s="716"/>
      <c r="R620" s="716"/>
      <c r="S620" s="667">
        <v>0</v>
      </c>
      <c r="T620" s="667">
        <v>0</v>
      </c>
      <c r="U620" s="667">
        <v>0</v>
      </c>
      <c r="V620" s="667">
        <v>0</v>
      </c>
      <c r="W620" s="667">
        <v>0</v>
      </c>
      <c r="X620" s="667">
        <v>0</v>
      </c>
      <c r="Y620" s="667">
        <v>0</v>
      </c>
      <c r="Z620" s="667">
        <v>0</v>
      </c>
      <c r="AA620" s="667">
        <v>0</v>
      </c>
      <c r="AB620" s="667">
        <v>0</v>
      </c>
      <c r="AC620" s="686">
        <v>0</v>
      </c>
      <c r="AD620" s="686">
        <v>0</v>
      </c>
      <c r="AE620" s="667">
        <v>0</v>
      </c>
      <c r="AF620" s="716">
        <v>0</v>
      </c>
      <c r="AG620" s="686">
        <v>0</v>
      </c>
      <c r="AH620" s="716"/>
      <c r="AI620" s="716"/>
      <c r="AJ620" s="716"/>
      <c r="AK620" s="716"/>
      <c r="AL620" s="716"/>
      <c r="AM620" s="716"/>
      <c r="AN620" s="716"/>
      <c r="AO620" s="716"/>
      <c r="AP620" s="716"/>
      <c r="AQ620" s="716"/>
      <c r="AR620" s="716"/>
      <c r="AS620" s="716"/>
      <c r="AT620" s="716"/>
      <c r="AU620" s="716"/>
      <c r="AV620" s="716"/>
      <c r="AW620" s="716"/>
      <c r="AX620" s="716"/>
      <c r="AY620" s="716"/>
      <c r="AZ620" s="716"/>
      <c r="BA620" s="716"/>
      <c r="BB620" s="716"/>
      <c r="BC620" s="716"/>
      <c r="BD620" s="716"/>
      <c r="BE620" s="716"/>
      <c r="BF620" s="716"/>
      <c r="BG620" s="716"/>
      <c r="BH620" s="716"/>
      <c r="BI620" s="716"/>
      <c r="BJ620" s="716"/>
      <c r="BK620" s="716"/>
      <c r="BL620" s="716"/>
      <c r="BM620" s="716"/>
      <c r="BN620" s="716"/>
      <c r="BO620" s="716"/>
      <c r="BP620" s="716"/>
      <c r="BQ620" s="716"/>
      <c r="BR620" s="716"/>
      <c r="BS620" s="716"/>
      <c r="BT620" s="716"/>
      <c r="BU620" s="716"/>
      <c r="BV620" s="716"/>
      <c r="BW620" s="716"/>
      <c r="BX620" s="716"/>
      <c r="BY620" s="716"/>
      <c r="BZ620" s="716"/>
      <c r="CA620" s="716"/>
    </row>
    <row r="621" spans="1:79" s="451" customFormat="1" hidden="1" outlineLevel="1" x14ac:dyDescent="0.25">
      <c r="A621" s="656"/>
      <c r="B621" s="576"/>
      <c r="C621" s="576"/>
      <c r="D621" s="576"/>
      <c r="E621" s="40" t="s">
        <v>1339</v>
      </c>
      <c r="F621" s="656" t="s">
        <v>684</v>
      </c>
      <c r="G621" s="719"/>
      <c r="H621" s="719"/>
      <c r="I621" s="719"/>
      <c r="J621" s="719"/>
      <c r="K621" s="719"/>
      <c r="L621" s="719"/>
      <c r="M621" s="719"/>
      <c r="N621" s="719"/>
      <c r="O621" s="719"/>
      <c r="P621" s="716"/>
      <c r="Q621" s="716"/>
      <c r="R621" s="716"/>
      <c r="S621" s="667">
        <v>0</v>
      </c>
      <c r="T621" s="667">
        <v>0</v>
      </c>
      <c r="U621" s="667">
        <v>0</v>
      </c>
      <c r="V621" s="667">
        <v>0</v>
      </c>
      <c r="W621" s="667">
        <v>0</v>
      </c>
      <c r="X621" s="667">
        <v>0</v>
      </c>
      <c r="Y621" s="667">
        <v>0</v>
      </c>
      <c r="Z621" s="667">
        <v>0</v>
      </c>
      <c r="AA621" s="667">
        <v>0</v>
      </c>
      <c r="AB621" s="667">
        <v>0</v>
      </c>
      <c r="AC621" s="686">
        <v>0</v>
      </c>
      <c r="AD621" s="686">
        <v>0</v>
      </c>
      <c r="AE621" s="667">
        <v>0</v>
      </c>
      <c r="AF621" s="716">
        <v>0</v>
      </c>
      <c r="AG621" s="686">
        <v>0</v>
      </c>
      <c r="AH621" s="716"/>
      <c r="AI621" s="716"/>
      <c r="AJ621" s="716"/>
      <c r="AK621" s="716"/>
      <c r="AL621" s="716"/>
      <c r="AM621" s="716"/>
      <c r="AN621" s="716"/>
      <c r="AO621" s="716"/>
      <c r="AP621" s="716"/>
      <c r="AQ621" s="716"/>
      <c r="AR621" s="716"/>
      <c r="AS621" s="716"/>
      <c r="AT621" s="716"/>
      <c r="AU621" s="716"/>
      <c r="AV621" s="716"/>
      <c r="AW621" s="716"/>
      <c r="AX621" s="716"/>
      <c r="AY621" s="716"/>
      <c r="AZ621" s="716"/>
      <c r="BA621" s="716"/>
      <c r="BB621" s="716"/>
      <c r="BC621" s="716"/>
      <c r="BD621" s="716"/>
      <c r="BE621" s="716"/>
      <c r="BF621" s="716"/>
      <c r="BG621" s="716"/>
      <c r="BH621" s="716"/>
      <c r="BI621" s="716"/>
      <c r="BJ621" s="716"/>
      <c r="BK621" s="716"/>
      <c r="BL621" s="716"/>
      <c r="BM621" s="716"/>
      <c r="BN621" s="716"/>
      <c r="BO621" s="716"/>
      <c r="BP621" s="716"/>
      <c r="BQ621" s="716"/>
      <c r="BR621" s="716"/>
      <c r="BS621" s="716"/>
      <c r="BT621" s="716"/>
      <c r="BU621" s="716"/>
      <c r="BV621" s="716"/>
      <c r="BW621" s="716"/>
      <c r="BX621" s="716"/>
      <c r="BY621" s="716"/>
      <c r="BZ621" s="716"/>
      <c r="CA621" s="716"/>
    </row>
    <row r="622" spans="1:79" s="451" customFormat="1" hidden="1" outlineLevel="1" x14ac:dyDescent="0.25">
      <c r="A622" s="656"/>
      <c r="B622" s="576"/>
      <c r="C622" s="576"/>
      <c r="D622" s="576"/>
      <c r="E622" s="40" t="s">
        <v>1339</v>
      </c>
      <c r="F622" s="656" t="s">
        <v>890</v>
      </c>
      <c r="G622" s="719">
        <v>0</v>
      </c>
      <c r="H622" s="719">
        <v>9.3495806270011137</v>
      </c>
      <c r="I622" s="719">
        <v>0</v>
      </c>
      <c r="J622" s="719">
        <v>8.8520732374527871</v>
      </c>
      <c r="K622" s="719">
        <v>2.2263216200323321</v>
      </c>
      <c r="L622" s="719">
        <v>80.327831717967527</v>
      </c>
      <c r="M622" s="719">
        <v>245.65353318073815</v>
      </c>
      <c r="N622" s="719">
        <v>370.414548674434</v>
      </c>
      <c r="O622" s="719">
        <v>303.38974374427841</v>
      </c>
      <c r="P622" s="716">
        <v>109.48887636673307</v>
      </c>
      <c r="Q622" s="716">
        <v>539.92867835979177</v>
      </c>
      <c r="R622" s="716">
        <v>138.04567295604059</v>
      </c>
      <c r="S622" s="667">
        <v>0</v>
      </c>
      <c r="T622" s="667">
        <v>0</v>
      </c>
      <c r="U622" s="667">
        <v>0</v>
      </c>
      <c r="V622" s="667">
        <v>0</v>
      </c>
      <c r="W622" s="667">
        <v>0</v>
      </c>
      <c r="X622" s="667">
        <v>0</v>
      </c>
      <c r="Y622" s="667">
        <v>0</v>
      </c>
      <c r="Z622" s="667">
        <v>0</v>
      </c>
      <c r="AA622" s="667">
        <v>0</v>
      </c>
      <c r="AB622" s="667">
        <v>0</v>
      </c>
      <c r="AC622" s="686">
        <v>0</v>
      </c>
      <c r="AD622" s="686">
        <v>0</v>
      </c>
      <c r="AE622" s="667">
        <v>0</v>
      </c>
      <c r="AF622" s="716">
        <v>0</v>
      </c>
      <c r="AG622" s="686">
        <v>0</v>
      </c>
      <c r="AH622" s="716"/>
      <c r="AI622" s="716"/>
      <c r="AJ622" s="716"/>
      <c r="AK622" s="716"/>
      <c r="AL622" s="716"/>
      <c r="AM622" s="716"/>
      <c r="AN622" s="716"/>
      <c r="AO622" s="716"/>
      <c r="AP622" s="716"/>
      <c r="AQ622" s="716"/>
      <c r="AR622" s="716"/>
      <c r="AS622" s="716"/>
      <c r="AT622" s="716"/>
      <c r="AU622" s="716"/>
      <c r="AV622" s="716"/>
      <c r="AW622" s="716"/>
      <c r="AX622" s="716"/>
      <c r="AY622" s="716"/>
      <c r="AZ622" s="716"/>
      <c r="BA622" s="716"/>
      <c r="BB622" s="716"/>
      <c r="BC622" s="716"/>
      <c r="BD622" s="716"/>
      <c r="BE622" s="716"/>
      <c r="BF622" s="716"/>
      <c r="BG622" s="716"/>
      <c r="BH622" s="716"/>
      <c r="BI622" s="716"/>
      <c r="BJ622" s="716"/>
      <c r="BK622" s="716"/>
      <c r="BL622" s="716"/>
      <c r="BM622" s="716"/>
      <c r="BN622" s="716"/>
      <c r="BO622" s="716"/>
      <c r="BP622" s="716"/>
      <c r="BQ622" s="716"/>
      <c r="BR622" s="716"/>
      <c r="BS622" s="716"/>
      <c r="BT622" s="716"/>
      <c r="BU622" s="716"/>
      <c r="BV622" s="716"/>
      <c r="BW622" s="716"/>
      <c r="BX622" s="716"/>
      <c r="BY622" s="716"/>
      <c r="BZ622" s="716"/>
      <c r="CA622" s="716"/>
    </row>
    <row r="623" spans="1:79" s="308" customFormat="1" hidden="1" outlineLevel="1" x14ac:dyDescent="0.25">
      <c r="A623" s="659"/>
      <c r="B623" s="29"/>
      <c r="C623" s="29"/>
      <c r="D623" s="29"/>
      <c r="E623" s="40" t="s">
        <v>49</v>
      </c>
      <c r="F623" s="1136" t="s">
        <v>622</v>
      </c>
      <c r="G623" s="1219">
        <f>SUM(G614:G622)</f>
        <v>0</v>
      </c>
      <c r="H623" s="1219">
        <f t="shared" ref="H623:BO623" si="255">SUM(H614:H622)</f>
        <v>9.3495806270011137</v>
      </c>
      <c r="I623" s="1219">
        <f t="shared" si="255"/>
        <v>0</v>
      </c>
      <c r="J623" s="1219">
        <f t="shared" si="255"/>
        <v>8.8520732374527871</v>
      </c>
      <c r="K623" s="1219">
        <f t="shared" si="255"/>
        <v>2.2263216200323321</v>
      </c>
      <c r="L623" s="1219">
        <f t="shared" si="255"/>
        <v>80.327831717967527</v>
      </c>
      <c r="M623" s="1219">
        <f t="shared" si="255"/>
        <v>245.65353318073815</v>
      </c>
      <c r="N623" s="1219">
        <f t="shared" si="255"/>
        <v>370.414548674434</v>
      </c>
      <c r="O623" s="1219">
        <f t="shared" si="255"/>
        <v>303.38974374427841</v>
      </c>
      <c r="P623" s="1219">
        <f t="shared" si="255"/>
        <v>109.48887636673307</v>
      </c>
      <c r="Q623" s="1219">
        <f t="shared" si="255"/>
        <v>539.92867835979177</v>
      </c>
      <c r="R623" s="1219">
        <f t="shared" si="255"/>
        <v>138.04567295604059</v>
      </c>
      <c r="S623" s="1227">
        <f t="shared" ref="S623:AA623" si="256">ROUND(SUM(S613:S622),5)</f>
        <v>913.25</v>
      </c>
      <c r="T623" s="1227">
        <f t="shared" si="256"/>
        <v>26824.45</v>
      </c>
      <c r="U623" s="1227">
        <f t="shared" si="256"/>
        <v>9090.2999999999993</v>
      </c>
      <c r="V623" s="1227">
        <f t="shared" si="256"/>
        <v>3861.65</v>
      </c>
      <c r="W623" s="1227">
        <f t="shared" si="256"/>
        <v>12899.98</v>
      </c>
      <c r="X623" s="1227">
        <f t="shared" si="256"/>
        <v>886.25</v>
      </c>
      <c r="Y623" s="1227">
        <f t="shared" si="256"/>
        <v>29941.45</v>
      </c>
      <c r="Z623" s="1227">
        <f t="shared" si="256"/>
        <v>17414.11</v>
      </c>
      <c r="AA623" s="1227">
        <f t="shared" si="256"/>
        <v>12672.75</v>
      </c>
      <c r="AB623" s="1227">
        <f t="shared" ref="AB623:AG623" si="257">ROUND(SUM(AB613:AB622),5)</f>
        <v>21.55</v>
      </c>
      <c r="AC623" s="1227">
        <f t="shared" si="257"/>
        <v>3204.5</v>
      </c>
      <c r="AD623" s="1227">
        <f t="shared" si="257"/>
        <v>62074.35</v>
      </c>
      <c r="AE623" s="1227">
        <f t="shared" si="257"/>
        <v>6960.12</v>
      </c>
      <c r="AF623" s="664">
        <f t="shared" si="257"/>
        <v>-63648.67</v>
      </c>
      <c r="AG623" s="680">
        <f t="shared" si="257"/>
        <v>2178.65</v>
      </c>
      <c r="AH623" s="664">
        <f t="shared" si="255"/>
        <v>0</v>
      </c>
      <c r="AI623" s="664">
        <f t="shared" si="255"/>
        <v>0</v>
      </c>
      <c r="AJ623" s="664">
        <f t="shared" si="255"/>
        <v>0</v>
      </c>
      <c r="AK623" s="664">
        <f t="shared" si="255"/>
        <v>0</v>
      </c>
      <c r="AL623" s="664">
        <f t="shared" si="255"/>
        <v>0</v>
      </c>
      <c r="AM623" s="664">
        <f t="shared" si="255"/>
        <v>0</v>
      </c>
      <c r="AN623" s="664">
        <f t="shared" si="255"/>
        <v>0</v>
      </c>
      <c r="AO623" s="664">
        <f t="shared" si="255"/>
        <v>0</v>
      </c>
      <c r="AP623" s="664">
        <f t="shared" si="255"/>
        <v>0</v>
      </c>
      <c r="AQ623" s="664">
        <f t="shared" si="255"/>
        <v>0</v>
      </c>
      <c r="AR623" s="664">
        <f t="shared" si="255"/>
        <v>0</v>
      </c>
      <c r="AS623" s="664">
        <f t="shared" si="255"/>
        <v>0</v>
      </c>
      <c r="AT623" s="664">
        <f t="shared" si="255"/>
        <v>0</v>
      </c>
      <c r="AU623" s="664">
        <f t="shared" si="255"/>
        <v>0</v>
      </c>
      <c r="AV623" s="664">
        <f t="shared" si="255"/>
        <v>0</v>
      </c>
      <c r="AW623" s="664">
        <f t="shared" si="255"/>
        <v>0</v>
      </c>
      <c r="AX623" s="664">
        <f t="shared" si="255"/>
        <v>0</v>
      </c>
      <c r="AY623" s="664">
        <f t="shared" si="255"/>
        <v>0</v>
      </c>
      <c r="AZ623" s="664">
        <f t="shared" si="255"/>
        <v>0</v>
      </c>
      <c r="BA623" s="664">
        <f t="shared" si="255"/>
        <v>0</v>
      </c>
      <c r="BB623" s="664">
        <f t="shared" si="255"/>
        <v>0</v>
      </c>
      <c r="BC623" s="664">
        <f t="shared" si="255"/>
        <v>0</v>
      </c>
      <c r="BD623" s="664">
        <f t="shared" si="255"/>
        <v>0</v>
      </c>
      <c r="BE623" s="664">
        <f t="shared" si="255"/>
        <v>0</v>
      </c>
      <c r="BF623" s="664">
        <f t="shared" si="255"/>
        <v>0</v>
      </c>
      <c r="BG623" s="664">
        <f t="shared" si="255"/>
        <v>0</v>
      </c>
      <c r="BH623" s="664">
        <f t="shared" si="255"/>
        <v>0</v>
      </c>
      <c r="BI623" s="664">
        <f t="shared" si="255"/>
        <v>0</v>
      </c>
      <c r="BJ623" s="664">
        <f t="shared" si="255"/>
        <v>0</v>
      </c>
      <c r="BK623" s="664">
        <f t="shared" si="255"/>
        <v>0</v>
      </c>
      <c r="BL623" s="664">
        <f t="shared" si="255"/>
        <v>0</v>
      </c>
      <c r="BM623" s="664">
        <f t="shared" si="255"/>
        <v>0</v>
      </c>
      <c r="BN623" s="664">
        <f t="shared" si="255"/>
        <v>0</v>
      </c>
      <c r="BO623" s="664">
        <f t="shared" si="255"/>
        <v>0</v>
      </c>
      <c r="BP623" s="664">
        <f t="shared" ref="BP623:CA623" si="258">SUM(BP614:BP622)</f>
        <v>0</v>
      </c>
      <c r="BQ623" s="664">
        <f t="shared" si="258"/>
        <v>0</v>
      </c>
      <c r="BR623" s="664">
        <f t="shared" si="258"/>
        <v>0</v>
      </c>
      <c r="BS623" s="664">
        <f t="shared" si="258"/>
        <v>0</v>
      </c>
      <c r="BT623" s="664">
        <f t="shared" si="258"/>
        <v>0</v>
      </c>
      <c r="BU623" s="664">
        <f t="shared" si="258"/>
        <v>0</v>
      </c>
      <c r="BV623" s="664">
        <f t="shared" si="258"/>
        <v>0</v>
      </c>
      <c r="BW623" s="664">
        <f t="shared" si="258"/>
        <v>0</v>
      </c>
      <c r="BX623" s="664">
        <f t="shared" si="258"/>
        <v>0</v>
      </c>
      <c r="BY623" s="664">
        <f t="shared" si="258"/>
        <v>0</v>
      </c>
      <c r="BZ623" s="664">
        <f t="shared" si="258"/>
        <v>0</v>
      </c>
      <c r="CA623" s="664">
        <f t="shared" si="258"/>
        <v>0</v>
      </c>
    </row>
    <row r="624" spans="1:79" s="710" customFormat="1" hidden="1" outlineLevel="1" x14ac:dyDescent="0.25">
      <c r="A624" s="691"/>
      <c r="E624" s="40" t="s">
        <v>1340</v>
      </c>
      <c r="F624" s="1216" t="s">
        <v>623</v>
      </c>
      <c r="G624" s="733"/>
      <c r="H624" s="733"/>
      <c r="I624" s="733"/>
      <c r="J624" s="733"/>
      <c r="K624" s="733"/>
      <c r="L624" s="733"/>
      <c r="M624" s="733"/>
      <c r="N624" s="733"/>
      <c r="O624" s="733"/>
      <c r="P624" s="734"/>
      <c r="Q624" s="734"/>
      <c r="R624" s="734"/>
      <c r="S624" s="704"/>
      <c r="T624" s="704"/>
      <c r="U624" s="704"/>
      <c r="V624" s="704"/>
      <c r="W624" s="704"/>
      <c r="X624" s="704"/>
      <c r="Y624" s="704"/>
      <c r="Z624" s="704"/>
      <c r="AA624" s="704"/>
      <c r="AB624" s="704"/>
      <c r="AC624" s="704"/>
      <c r="AD624" s="704"/>
      <c r="AE624" s="704"/>
      <c r="AF624" s="734"/>
      <c r="AG624" s="708"/>
      <c r="AH624" s="734"/>
      <c r="AI624" s="734"/>
      <c r="AJ624" s="734"/>
      <c r="AK624" s="734"/>
      <c r="AL624" s="734"/>
      <c r="AM624" s="734"/>
      <c r="AN624" s="734"/>
      <c r="AO624" s="734"/>
      <c r="AP624" s="734"/>
      <c r="AQ624" s="734"/>
      <c r="AR624" s="734"/>
      <c r="AS624" s="734"/>
      <c r="AT624" s="734"/>
      <c r="AU624" s="734"/>
      <c r="AV624" s="734"/>
      <c r="AW624" s="734"/>
      <c r="AX624" s="734"/>
      <c r="AY624" s="734"/>
      <c r="AZ624" s="734"/>
      <c r="BA624" s="734"/>
      <c r="BB624" s="734"/>
      <c r="BC624" s="734"/>
      <c r="BD624" s="734"/>
      <c r="BE624" s="734"/>
      <c r="BF624" s="734"/>
      <c r="BG624" s="734"/>
      <c r="BH624" s="734"/>
      <c r="BI624" s="734"/>
      <c r="BJ624" s="734"/>
      <c r="BK624" s="734"/>
      <c r="BL624" s="734"/>
      <c r="BM624" s="734"/>
      <c r="BN624" s="734"/>
      <c r="BO624" s="734"/>
      <c r="BP624" s="734"/>
      <c r="BQ624" s="734"/>
      <c r="BR624" s="734"/>
      <c r="BS624" s="734"/>
      <c r="BT624" s="734"/>
      <c r="BU624" s="734"/>
      <c r="BV624" s="734"/>
      <c r="BW624" s="734"/>
      <c r="BX624" s="734"/>
      <c r="BY624" s="734"/>
      <c r="BZ624" s="734"/>
      <c r="CA624" s="734"/>
    </row>
    <row r="625" spans="1:79" s="308" customFormat="1" hidden="1" outlineLevel="1" x14ac:dyDescent="0.25">
      <c r="A625" s="656"/>
      <c r="B625" s="710"/>
      <c r="C625" s="710"/>
      <c r="D625" s="710"/>
      <c r="E625" s="40" t="s">
        <v>1340</v>
      </c>
      <c r="F625" s="656" t="s">
        <v>916</v>
      </c>
      <c r="G625" s="666"/>
      <c r="H625" s="666"/>
      <c r="I625" s="666"/>
      <c r="J625" s="666"/>
      <c r="K625" s="666"/>
      <c r="L625" s="666"/>
      <c r="M625" s="666"/>
      <c r="N625" s="666"/>
      <c r="O625" s="666"/>
      <c r="P625" s="666"/>
      <c r="Q625" s="666"/>
      <c r="R625" s="666"/>
      <c r="S625" s="667"/>
      <c r="T625" s="667"/>
      <c r="U625" s="667"/>
      <c r="V625" s="667"/>
      <c r="W625" s="667"/>
      <c r="X625" s="667"/>
      <c r="Y625" s="667"/>
      <c r="Z625" s="667"/>
      <c r="AA625" s="667"/>
      <c r="AB625" s="667">
        <v>0</v>
      </c>
      <c r="AC625" s="666">
        <v>0</v>
      </c>
      <c r="AD625" s="666">
        <v>0</v>
      </c>
      <c r="AE625" s="667">
        <v>0</v>
      </c>
      <c r="AF625" s="683">
        <v>0</v>
      </c>
      <c r="AG625" s="683">
        <v>0</v>
      </c>
      <c r="AH625" s="684"/>
      <c r="AI625" s="684"/>
      <c r="AJ625" s="684"/>
      <c r="AK625" s="684"/>
      <c r="AL625" s="684"/>
      <c r="AM625" s="684"/>
      <c r="AN625" s="684"/>
      <c r="AO625" s="684"/>
      <c r="AP625" s="684"/>
      <c r="AQ625" s="684"/>
      <c r="AR625" s="684"/>
      <c r="AS625" s="684"/>
      <c r="AT625" s="684"/>
      <c r="AU625" s="684"/>
      <c r="AV625" s="684"/>
      <c r="AW625" s="684"/>
      <c r="AX625" s="684"/>
      <c r="AY625" s="684"/>
      <c r="AZ625" s="684"/>
      <c r="BA625" s="684"/>
      <c r="BB625" s="684"/>
      <c r="BC625" s="684"/>
      <c r="BD625" s="684"/>
      <c r="BE625" s="684"/>
      <c r="BF625" s="684"/>
      <c r="BG625" s="684"/>
      <c r="BH625" s="684"/>
      <c r="BI625" s="684"/>
      <c r="BJ625" s="684"/>
      <c r="BK625" s="684"/>
      <c r="BL625" s="684"/>
      <c r="BM625" s="684"/>
      <c r="BN625" s="684"/>
      <c r="BO625" s="684"/>
      <c r="BP625" s="684"/>
      <c r="BQ625" s="684"/>
      <c r="BR625" s="684"/>
      <c r="BS625" s="684"/>
      <c r="BT625" s="684"/>
      <c r="BU625" s="684"/>
      <c r="BV625" s="684"/>
      <c r="BW625" s="684"/>
      <c r="BX625" s="684"/>
      <c r="BY625" s="684"/>
      <c r="BZ625" s="684"/>
      <c r="CA625" s="684"/>
    </row>
    <row r="626" spans="1:79" s="308" customFormat="1" hidden="1" outlineLevel="1" x14ac:dyDescent="0.25">
      <c r="A626" s="656"/>
      <c r="B626" s="571"/>
      <c r="C626" s="571"/>
      <c r="D626" s="571"/>
      <c r="E626" s="40" t="s">
        <v>1340</v>
      </c>
      <c r="F626" s="656" t="s">
        <v>667</v>
      </c>
      <c r="G626" s="40"/>
      <c r="H626" s="719"/>
      <c r="I626" s="719"/>
      <c r="J626" s="719"/>
      <c r="K626" s="719"/>
      <c r="L626" s="719"/>
      <c r="M626" s="719"/>
      <c r="N626" s="719"/>
      <c r="O626" s="719"/>
      <c r="P626" s="716"/>
      <c r="Q626" s="716"/>
      <c r="R626" s="716"/>
      <c r="S626" s="667">
        <v>0</v>
      </c>
      <c r="T626" s="667">
        <v>0</v>
      </c>
      <c r="U626" s="667">
        <v>0</v>
      </c>
      <c r="V626" s="667">
        <v>0</v>
      </c>
      <c r="W626" s="667">
        <v>0</v>
      </c>
      <c r="X626" s="667">
        <v>0</v>
      </c>
      <c r="Y626" s="667">
        <v>0</v>
      </c>
      <c r="Z626" s="667">
        <v>0</v>
      </c>
      <c r="AA626" s="667">
        <v>0</v>
      </c>
      <c r="AB626" s="667">
        <v>0</v>
      </c>
      <c r="AC626" s="666">
        <v>0</v>
      </c>
      <c r="AD626" s="666">
        <v>0</v>
      </c>
      <c r="AE626" s="667">
        <v>0</v>
      </c>
      <c r="AF626" s="716">
        <v>0</v>
      </c>
      <c r="AG626" s="683">
        <v>0</v>
      </c>
      <c r="AH626" s="716"/>
      <c r="AI626" s="716"/>
      <c r="AJ626" s="716"/>
      <c r="AK626" s="716"/>
      <c r="AL626" s="716"/>
      <c r="AM626" s="716"/>
      <c r="AN626" s="716"/>
      <c r="AO626" s="716"/>
      <c r="AP626" s="716"/>
      <c r="AQ626" s="716"/>
      <c r="AR626" s="716"/>
      <c r="AS626" s="716"/>
      <c r="AT626" s="716"/>
      <c r="AU626" s="716"/>
      <c r="AV626" s="716"/>
      <c r="AW626" s="716"/>
      <c r="AX626" s="716"/>
      <c r="AY626" s="716"/>
      <c r="AZ626" s="716"/>
      <c r="BA626" s="716"/>
      <c r="BB626" s="716"/>
      <c r="BC626" s="716"/>
      <c r="BD626" s="716"/>
      <c r="BE626" s="716"/>
      <c r="BF626" s="716"/>
      <c r="BG626" s="716"/>
      <c r="BH626" s="716"/>
      <c r="BI626" s="716"/>
      <c r="BJ626" s="716"/>
      <c r="BK626" s="716"/>
      <c r="BL626" s="716"/>
      <c r="BM626" s="716"/>
      <c r="BN626" s="716"/>
      <c r="BO626" s="716"/>
      <c r="BP626" s="716"/>
      <c r="BQ626" s="716"/>
      <c r="BR626" s="716"/>
      <c r="BS626" s="716"/>
      <c r="BT626" s="716"/>
      <c r="BU626" s="716"/>
      <c r="BV626" s="716"/>
      <c r="BW626" s="716"/>
      <c r="BX626" s="716"/>
      <c r="BY626" s="716"/>
      <c r="BZ626" s="716"/>
      <c r="CA626" s="716"/>
    </row>
    <row r="627" spans="1:79" s="308" customFormat="1" hidden="1" outlineLevel="1" x14ac:dyDescent="0.25">
      <c r="A627" s="656"/>
      <c r="B627" s="571"/>
      <c r="C627" s="571"/>
      <c r="D627" s="571"/>
      <c r="E627" s="40" t="s">
        <v>1340</v>
      </c>
      <c r="F627" s="656" t="s">
        <v>762</v>
      </c>
      <c r="G627" s="40"/>
      <c r="H627" s="719"/>
      <c r="I627" s="719"/>
      <c r="J627" s="719"/>
      <c r="K627" s="719"/>
      <c r="L627" s="719"/>
      <c r="M627" s="719"/>
      <c r="N627" s="719"/>
      <c r="O627" s="719"/>
      <c r="P627" s="716"/>
      <c r="Q627" s="716"/>
      <c r="R627" s="716"/>
      <c r="S627" s="667">
        <v>0</v>
      </c>
      <c r="T627" s="667">
        <v>0</v>
      </c>
      <c r="U627" s="667">
        <v>0</v>
      </c>
      <c r="V627" s="667">
        <v>0</v>
      </c>
      <c r="W627" s="667">
        <v>0</v>
      </c>
      <c r="X627" s="667">
        <v>0</v>
      </c>
      <c r="Y627" s="667">
        <v>0</v>
      </c>
      <c r="Z627" s="667">
        <v>0</v>
      </c>
      <c r="AA627" s="667">
        <v>0</v>
      </c>
      <c r="AB627" s="667">
        <v>0</v>
      </c>
      <c r="AC627" s="666">
        <v>0</v>
      </c>
      <c r="AD627" s="666">
        <v>0</v>
      </c>
      <c r="AE627" s="667">
        <v>0</v>
      </c>
      <c r="AF627" s="716">
        <v>0</v>
      </c>
      <c r="AG627" s="683">
        <v>0</v>
      </c>
      <c r="AH627" s="716"/>
      <c r="AI627" s="716"/>
      <c r="AJ627" s="716"/>
      <c r="AK627" s="716"/>
      <c r="AL627" s="716"/>
      <c r="AM627" s="716"/>
      <c r="AN627" s="716"/>
      <c r="AO627" s="716"/>
      <c r="AP627" s="716"/>
      <c r="AQ627" s="716"/>
      <c r="AR627" s="716"/>
      <c r="AS627" s="716"/>
      <c r="AT627" s="716"/>
      <c r="AU627" s="716"/>
      <c r="AV627" s="716"/>
      <c r="AW627" s="716"/>
      <c r="AX627" s="716"/>
      <c r="AY627" s="716"/>
      <c r="AZ627" s="716"/>
      <c r="BA627" s="716"/>
      <c r="BB627" s="716"/>
      <c r="BC627" s="716"/>
      <c r="BD627" s="716"/>
      <c r="BE627" s="716"/>
      <c r="BF627" s="716"/>
      <c r="BG627" s="716"/>
      <c r="BH627" s="716"/>
      <c r="BI627" s="716"/>
      <c r="BJ627" s="716"/>
      <c r="BK627" s="716"/>
      <c r="BL627" s="716"/>
      <c r="BM627" s="716"/>
      <c r="BN627" s="716"/>
      <c r="BO627" s="716"/>
      <c r="BP627" s="716"/>
      <c r="BQ627" s="716"/>
      <c r="BR627" s="716"/>
      <c r="BS627" s="716"/>
      <c r="BT627" s="716"/>
      <c r="BU627" s="716"/>
      <c r="BV627" s="716"/>
      <c r="BW627" s="716"/>
      <c r="BX627" s="716"/>
      <c r="BY627" s="716"/>
      <c r="BZ627" s="716"/>
      <c r="CA627" s="716"/>
    </row>
    <row r="628" spans="1:79" s="308" customFormat="1" hidden="1" outlineLevel="1" x14ac:dyDescent="0.25">
      <c r="A628" s="656"/>
      <c r="B628" s="571"/>
      <c r="C628" s="571"/>
      <c r="D628" s="571"/>
      <c r="E628" s="40" t="s">
        <v>338</v>
      </c>
      <c r="F628" s="656" t="s">
        <v>624</v>
      </c>
      <c r="G628" s="40"/>
      <c r="H628" s="719"/>
      <c r="I628" s="719"/>
      <c r="J628" s="719"/>
      <c r="K628" s="719"/>
      <c r="L628" s="719"/>
      <c r="M628" s="719"/>
      <c r="N628" s="719"/>
      <c r="O628" s="719">
        <v>81</v>
      </c>
      <c r="P628" s="716">
        <v>296</v>
      </c>
      <c r="Q628" s="716">
        <v>308</v>
      </c>
      <c r="R628" s="716">
        <v>28</v>
      </c>
      <c r="S628" s="667">
        <v>0</v>
      </c>
      <c r="T628" s="667">
        <v>0</v>
      </c>
      <c r="U628" s="667">
        <v>0</v>
      </c>
      <c r="V628" s="667">
        <v>14</v>
      </c>
      <c r="W628" s="667">
        <v>14</v>
      </c>
      <c r="X628" s="667">
        <v>0</v>
      </c>
      <c r="Y628" s="667">
        <v>660</v>
      </c>
      <c r="Z628" s="667">
        <v>0</v>
      </c>
      <c r="AA628" s="667">
        <v>0</v>
      </c>
      <c r="AB628" s="667">
        <v>106</v>
      </c>
      <c r="AC628" s="666">
        <v>0</v>
      </c>
      <c r="AD628" s="666">
        <v>125</v>
      </c>
      <c r="AE628" s="667">
        <v>0</v>
      </c>
      <c r="AF628" s="716">
        <v>150</v>
      </c>
      <c r="AG628" s="666">
        <v>300</v>
      </c>
      <c r="AH628" s="716"/>
      <c r="AI628" s="716"/>
      <c r="AJ628" s="716"/>
      <c r="AK628" s="716"/>
      <c r="AL628" s="716"/>
      <c r="AM628" s="716"/>
      <c r="AN628" s="716"/>
      <c r="AO628" s="716"/>
      <c r="AP628" s="716"/>
      <c r="AQ628" s="716"/>
      <c r="AR628" s="716"/>
      <c r="AS628" s="716"/>
      <c r="AT628" s="716"/>
      <c r="AU628" s="716"/>
      <c r="AV628" s="716"/>
      <c r="AW628" s="716"/>
      <c r="AX628" s="716"/>
      <c r="AY628" s="716"/>
      <c r="AZ628" s="716"/>
      <c r="BA628" s="716"/>
      <c r="BB628" s="716"/>
      <c r="BC628" s="716"/>
      <c r="BD628" s="716"/>
      <c r="BE628" s="716"/>
      <c r="BF628" s="716"/>
      <c r="BG628" s="716"/>
      <c r="BH628" s="716"/>
      <c r="BI628" s="716"/>
      <c r="BJ628" s="716"/>
      <c r="BK628" s="716"/>
      <c r="BL628" s="716"/>
      <c r="BM628" s="716"/>
      <c r="BN628" s="716"/>
      <c r="BO628" s="716"/>
      <c r="BP628" s="716"/>
      <c r="BQ628" s="716"/>
      <c r="BR628" s="716"/>
      <c r="BS628" s="716"/>
      <c r="BT628" s="716"/>
      <c r="BU628" s="716"/>
      <c r="BV628" s="716"/>
      <c r="BW628" s="716"/>
      <c r="BX628" s="716"/>
      <c r="BY628" s="716"/>
      <c r="BZ628" s="716"/>
      <c r="CA628" s="716"/>
    </row>
    <row r="629" spans="1:79" s="741" customFormat="1" hidden="1" outlineLevel="1" x14ac:dyDescent="0.25">
      <c r="A629" s="656"/>
      <c r="B629" s="497"/>
      <c r="C629" s="497"/>
      <c r="D629" s="497"/>
      <c r="E629" s="40" t="s">
        <v>1341</v>
      </c>
      <c r="F629" s="656" t="s">
        <v>651</v>
      </c>
      <c r="G629" s="1218"/>
      <c r="H629" s="724"/>
      <c r="I629" s="724"/>
      <c r="J629" s="724"/>
      <c r="K629" s="724"/>
      <c r="L629" s="724"/>
      <c r="M629" s="724"/>
      <c r="N629" s="724"/>
      <c r="O629" s="724"/>
      <c r="P629" s="725"/>
      <c r="Q629" s="725"/>
      <c r="R629" s="725"/>
      <c r="S629" s="667">
        <v>0</v>
      </c>
      <c r="T629" s="667">
        <v>0</v>
      </c>
      <c r="U629" s="667">
        <v>21</v>
      </c>
      <c r="V629" s="667">
        <v>0</v>
      </c>
      <c r="W629" s="667">
        <v>0</v>
      </c>
      <c r="X629" s="667">
        <v>0</v>
      </c>
      <c r="Y629" s="667">
        <v>0</v>
      </c>
      <c r="Z629" s="667">
        <v>0</v>
      </c>
      <c r="AA629" s="667">
        <v>0</v>
      </c>
      <c r="AB629" s="667">
        <v>0</v>
      </c>
      <c r="AC629" s="666">
        <v>0</v>
      </c>
      <c r="AD629" s="666">
        <v>0</v>
      </c>
      <c r="AE629" s="667">
        <v>0</v>
      </c>
      <c r="AF629" s="716">
        <v>0</v>
      </c>
      <c r="AG629" s="666">
        <v>0</v>
      </c>
      <c r="AH629" s="725"/>
      <c r="AI629" s="725"/>
      <c r="AJ629" s="725"/>
      <c r="AK629" s="725"/>
      <c r="AL629" s="725"/>
      <c r="AM629" s="725"/>
      <c r="AN629" s="725"/>
      <c r="AO629" s="725"/>
      <c r="AP629" s="725"/>
      <c r="AQ629" s="725"/>
      <c r="AR629" s="725"/>
      <c r="AS629" s="725"/>
      <c r="AT629" s="725"/>
      <c r="AU629" s="725"/>
      <c r="AV629" s="725"/>
      <c r="AW629" s="725"/>
      <c r="AX629" s="725"/>
      <c r="AY629" s="725"/>
      <c r="AZ629" s="725"/>
      <c r="BA629" s="725"/>
      <c r="BB629" s="725"/>
      <c r="BC629" s="725"/>
      <c r="BD629" s="725"/>
      <c r="BE629" s="725"/>
      <c r="BF629" s="725"/>
      <c r="BG629" s="725"/>
      <c r="BH629" s="725"/>
      <c r="BI629" s="725"/>
      <c r="BJ629" s="725"/>
      <c r="BK629" s="725"/>
      <c r="BL629" s="725"/>
      <c r="BM629" s="725"/>
      <c r="BN629" s="725"/>
      <c r="BO629" s="725"/>
      <c r="BP629" s="725"/>
      <c r="BQ629" s="725"/>
      <c r="BR629" s="725"/>
      <c r="BS629" s="725"/>
      <c r="BT629" s="725"/>
      <c r="BU629" s="725"/>
      <c r="BV629" s="725"/>
      <c r="BW629" s="725"/>
      <c r="BX629" s="725"/>
      <c r="BY629" s="725"/>
      <c r="BZ629" s="725"/>
      <c r="CA629" s="725"/>
    </row>
    <row r="630" spans="1:79" s="741" customFormat="1" hidden="1" outlineLevel="1" x14ac:dyDescent="0.25">
      <c r="A630" s="656"/>
      <c r="B630" s="497"/>
      <c r="C630" s="497"/>
      <c r="D630" s="497"/>
      <c r="E630" s="40" t="s">
        <v>1340</v>
      </c>
      <c r="F630" s="656" t="s">
        <v>668</v>
      </c>
      <c r="G630" s="724"/>
      <c r="H630" s="724"/>
      <c r="I630" s="724"/>
      <c r="J630" s="724"/>
      <c r="K630" s="724"/>
      <c r="L630" s="724"/>
      <c r="M630" s="724"/>
      <c r="N630" s="724"/>
      <c r="O630" s="724"/>
      <c r="P630" s="725"/>
      <c r="Q630" s="725"/>
      <c r="R630" s="725"/>
      <c r="S630" s="667">
        <v>0</v>
      </c>
      <c r="T630" s="667">
        <v>0</v>
      </c>
      <c r="U630" s="667">
        <v>0</v>
      </c>
      <c r="V630" s="667">
        <v>0</v>
      </c>
      <c r="W630" s="667">
        <v>0</v>
      </c>
      <c r="X630" s="667">
        <v>0</v>
      </c>
      <c r="Y630" s="667">
        <v>0</v>
      </c>
      <c r="Z630" s="667">
        <v>0</v>
      </c>
      <c r="AA630" s="667">
        <v>0</v>
      </c>
      <c r="AB630" s="667">
        <v>0</v>
      </c>
      <c r="AC630" s="666">
        <v>0</v>
      </c>
      <c r="AD630" s="666">
        <v>0</v>
      </c>
      <c r="AE630" s="667">
        <v>0</v>
      </c>
      <c r="AF630" s="716">
        <v>0</v>
      </c>
      <c r="AG630" s="666">
        <v>0</v>
      </c>
      <c r="AH630" s="725"/>
      <c r="AI630" s="725"/>
      <c r="AJ630" s="725"/>
      <c r="AK630" s="725"/>
      <c r="AL630" s="725"/>
      <c r="AM630" s="725"/>
      <c r="AN630" s="725"/>
      <c r="AO630" s="725"/>
      <c r="AP630" s="725"/>
      <c r="AQ630" s="725"/>
      <c r="AR630" s="725"/>
      <c r="AS630" s="725"/>
      <c r="AT630" s="725"/>
      <c r="AU630" s="725"/>
      <c r="AV630" s="725"/>
      <c r="AW630" s="725"/>
      <c r="AX630" s="725"/>
      <c r="AY630" s="725"/>
      <c r="AZ630" s="725"/>
      <c r="BA630" s="725"/>
      <c r="BB630" s="725"/>
      <c r="BC630" s="725"/>
      <c r="BD630" s="725"/>
      <c r="BE630" s="725"/>
      <c r="BF630" s="725"/>
      <c r="BG630" s="725"/>
      <c r="BH630" s="725"/>
      <c r="BI630" s="725"/>
      <c r="BJ630" s="725"/>
      <c r="BK630" s="725"/>
      <c r="BL630" s="725"/>
      <c r="BM630" s="725"/>
      <c r="BN630" s="725"/>
      <c r="BO630" s="725"/>
      <c r="BP630" s="725"/>
      <c r="BQ630" s="725"/>
      <c r="BR630" s="725"/>
      <c r="BS630" s="725"/>
      <c r="BT630" s="725"/>
      <c r="BU630" s="725"/>
      <c r="BV630" s="725"/>
      <c r="BW630" s="725"/>
      <c r="BX630" s="725"/>
      <c r="BY630" s="725"/>
      <c r="BZ630" s="725"/>
      <c r="CA630" s="725"/>
    </row>
    <row r="631" spans="1:79" s="308" customFormat="1" hidden="1" outlineLevel="1" x14ac:dyDescent="0.25">
      <c r="A631" s="657"/>
      <c r="B631" s="29"/>
      <c r="C631" s="29"/>
      <c r="D631" s="29"/>
      <c r="E631" s="40" t="s">
        <v>49</v>
      </c>
      <c r="F631" s="1218" t="s">
        <v>625</v>
      </c>
      <c r="G631" s="1219">
        <f>SUM(G626:G630)</f>
        <v>0</v>
      </c>
      <c r="H631" s="1219">
        <f t="shared" ref="H631:BO631" si="259">SUM(H626:H630)</f>
        <v>0</v>
      </c>
      <c r="I631" s="1219">
        <f t="shared" si="259"/>
        <v>0</v>
      </c>
      <c r="J631" s="1219">
        <f t="shared" si="259"/>
        <v>0</v>
      </c>
      <c r="K631" s="1219">
        <f t="shared" si="259"/>
        <v>0</v>
      </c>
      <c r="L631" s="1219">
        <f t="shared" si="259"/>
        <v>0</v>
      </c>
      <c r="M631" s="1219">
        <f t="shared" si="259"/>
        <v>0</v>
      </c>
      <c r="N631" s="1219">
        <f t="shared" si="259"/>
        <v>0</v>
      </c>
      <c r="O631" s="1219">
        <f t="shared" si="259"/>
        <v>81</v>
      </c>
      <c r="P631" s="1219">
        <f t="shared" si="259"/>
        <v>296</v>
      </c>
      <c r="Q631" s="1219">
        <f t="shared" si="259"/>
        <v>308</v>
      </c>
      <c r="R631" s="1219">
        <f t="shared" si="259"/>
        <v>28</v>
      </c>
      <c r="S631" s="1227">
        <f t="shared" ref="S631:AA631" si="260">ROUND(SUM(S624:S630),5)</f>
        <v>0</v>
      </c>
      <c r="T631" s="1227">
        <f t="shared" si="260"/>
        <v>0</v>
      </c>
      <c r="U631" s="1227">
        <f t="shared" si="260"/>
        <v>21</v>
      </c>
      <c r="V631" s="1227">
        <f t="shared" si="260"/>
        <v>14</v>
      </c>
      <c r="W631" s="1227">
        <f t="shared" si="260"/>
        <v>14</v>
      </c>
      <c r="X631" s="1227">
        <f t="shared" si="260"/>
        <v>0</v>
      </c>
      <c r="Y631" s="1227">
        <f t="shared" si="260"/>
        <v>660</v>
      </c>
      <c r="Z631" s="1227">
        <f t="shared" si="260"/>
        <v>0</v>
      </c>
      <c r="AA631" s="1227">
        <f t="shared" si="260"/>
        <v>0</v>
      </c>
      <c r="AB631" s="1227">
        <f t="shared" ref="AB631:AG631" si="261">ROUND(SUM(AB624:AB630),5)</f>
        <v>106</v>
      </c>
      <c r="AC631" s="1227">
        <f t="shared" si="261"/>
        <v>0</v>
      </c>
      <c r="AD631" s="1227">
        <f t="shared" si="261"/>
        <v>125</v>
      </c>
      <c r="AE631" s="1227">
        <f t="shared" si="261"/>
        <v>0</v>
      </c>
      <c r="AF631" s="664">
        <f t="shared" si="261"/>
        <v>150</v>
      </c>
      <c r="AG631" s="680">
        <f t="shared" si="261"/>
        <v>300</v>
      </c>
      <c r="AH631" s="664">
        <f t="shared" si="259"/>
        <v>0</v>
      </c>
      <c r="AI631" s="664">
        <f t="shared" si="259"/>
        <v>0</v>
      </c>
      <c r="AJ631" s="664">
        <f t="shared" si="259"/>
        <v>0</v>
      </c>
      <c r="AK631" s="664">
        <f t="shared" si="259"/>
        <v>0</v>
      </c>
      <c r="AL631" s="664">
        <f t="shared" si="259"/>
        <v>0</v>
      </c>
      <c r="AM631" s="664">
        <f t="shared" si="259"/>
        <v>0</v>
      </c>
      <c r="AN631" s="664">
        <f t="shared" si="259"/>
        <v>0</v>
      </c>
      <c r="AO631" s="664">
        <f t="shared" si="259"/>
        <v>0</v>
      </c>
      <c r="AP631" s="664">
        <f t="shared" si="259"/>
        <v>0</v>
      </c>
      <c r="AQ631" s="664">
        <f t="shared" si="259"/>
        <v>0</v>
      </c>
      <c r="AR631" s="664">
        <f t="shared" si="259"/>
        <v>0</v>
      </c>
      <c r="AS631" s="664">
        <f t="shared" si="259"/>
        <v>0</v>
      </c>
      <c r="AT631" s="664">
        <f t="shared" si="259"/>
        <v>0</v>
      </c>
      <c r="AU631" s="664">
        <f t="shared" si="259"/>
        <v>0</v>
      </c>
      <c r="AV631" s="664">
        <f t="shared" si="259"/>
        <v>0</v>
      </c>
      <c r="AW631" s="664">
        <f t="shared" si="259"/>
        <v>0</v>
      </c>
      <c r="AX631" s="664">
        <f t="shared" si="259"/>
        <v>0</v>
      </c>
      <c r="AY631" s="664">
        <f t="shared" si="259"/>
        <v>0</v>
      </c>
      <c r="AZ631" s="664">
        <f t="shared" si="259"/>
        <v>0</v>
      </c>
      <c r="BA631" s="664">
        <f t="shared" si="259"/>
        <v>0</v>
      </c>
      <c r="BB631" s="664">
        <f t="shared" si="259"/>
        <v>0</v>
      </c>
      <c r="BC631" s="664">
        <f t="shared" si="259"/>
        <v>0</v>
      </c>
      <c r="BD631" s="664">
        <f t="shared" si="259"/>
        <v>0</v>
      </c>
      <c r="BE631" s="664">
        <f t="shared" si="259"/>
        <v>0</v>
      </c>
      <c r="BF631" s="664">
        <f t="shared" si="259"/>
        <v>0</v>
      </c>
      <c r="BG631" s="664">
        <f t="shared" si="259"/>
        <v>0</v>
      </c>
      <c r="BH631" s="664">
        <f t="shared" si="259"/>
        <v>0</v>
      </c>
      <c r="BI631" s="664">
        <f t="shared" si="259"/>
        <v>0</v>
      </c>
      <c r="BJ631" s="664">
        <f t="shared" si="259"/>
        <v>0</v>
      </c>
      <c r="BK631" s="664">
        <f t="shared" si="259"/>
        <v>0</v>
      </c>
      <c r="BL631" s="664">
        <f t="shared" si="259"/>
        <v>0</v>
      </c>
      <c r="BM631" s="664">
        <f t="shared" si="259"/>
        <v>0</v>
      </c>
      <c r="BN631" s="664">
        <f t="shared" si="259"/>
        <v>0</v>
      </c>
      <c r="BO631" s="664">
        <f t="shared" si="259"/>
        <v>0</v>
      </c>
      <c r="BP631" s="664">
        <f t="shared" ref="BP631:CA631" si="262">SUM(BP626:BP630)</f>
        <v>0</v>
      </c>
      <c r="BQ631" s="664">
        <f t="shared" si="262"/>
        <v>0</v>
      </c>
      <c r="BR631" s="664">
        <f t="shared" si="262"/>
        <v>0</v>
      </c>
      <c r="BS631" s="664">
        <f t="shared" si="262"/>
        <v>0</v>
      </c>
      <c r="BT631" s="664">
        <f t="shared" si="262"/>
        <v>0</v>
      </c>
      <c r="BU631" s="664">
        <f t="shared" si="262"/>
        <v>0</v>
      </c>
      <c r="BV631" s="664">
        <f t="shared" si="262"/>
        <v>0</v>
      </c>
      <c r="BW631" s="664">
        <f t="shared" si="262"/>
        <v>0</v>
      </c>
      <c r="BX631" s="664">
        <f t="shared" si="262"/>
        <v>0</v>
      </c>
      <c r="BY631" s="664">
        <f t="shared" si="262"/>
        <v>0</v>
      </c>
      <c r="BZ631" s="664">
        <f t="shared" si="262"/>
        <v>0</v>
      </c>
      <c r="CA631" s="664">
        <f t="shared" si="262"/>
        <v>0</v>
      </c>
    </row>
    <row r="632" spans="1:79" s="710" customFormat="1" hidden="1" outlineLevel="1" x14ac:dyDescent="0.25">
      <c r="A632" s="691"/>
      <c r="E632" s="40" t="s">
        <v>1342</v>
      </c>
      <c r="F632" s="1216" t="s">
        <v>669</v>
      </c>
      <c r="G632" s="733"/>
      <c r="H632" s="733"/>
      <c r="I632" s="733"/>
      <c r="J632" s="733"/>
      <c r="K632" s="733"/>
      <c r="L632" s="733"/>
      <c r="M632" s="733"/>
      <c r="N632" s="733"/>
      <c r="O632" s="733"/>
      <c r="P632" s="734"/>
      <c r="Q632" s="734"/>
      <c r="R632" s="734"/>
      <c r="S632" s="704"/>
      <c r="T632" s="704"/>
      <c r="U632" s="704"/>
      <c r="V632" s="704"/>
      <c r="W632" s="704"/>
      <c r="X632" s="704"/>
      <c r="Y632" s="704"/>
      <c r="Z632" s="704"/>
      <c r="AA632" s="704"/>
      <c r="AB632" s="704"/>
      <c r="AC632" s="704"/>
      <c r="AD632" s="704"/>
      <c r="AE632" s="704"/>
      <c r="AF632" s="734"/>
      <c r="AG632" s="704"/>
      <c r="AH632" s="734"/>
      <c r="AI632" s="734"/>
      <c r="AJ632" s="734"/>
      <c r="AK632" s="734"/>
      <c r="AL632" s="734"/>
      <c r="AM632" s="734"/>
      <c r="AN632" s="734"/>
      <c r="AO632" s="734"/>
      <c r="AP632" s="734"/>
      <c r="AQ632" s="734"/>
      <c r="AR632" s="734"/>
      <c r="AS632" s="734"/>
      <c r="AT632" s="734"/>
      <c r="AU632" s="734"/>
      <c r="AV632" s="734"/>
      <c r="AW632" s="734"/>
      <c r="AX632" s="734"/>
      <c r="AY632" s="734"/>
      <c r="AZ632" s="734"/>
      <c r="BA632" s="734"/>
      <c r="BB632" s="734"/>
      <c r="BC632" s="734"/>
      <c r="BD632" s="734"/>
      <c r="BE632" s="734"/>
      <c r="BF632" s="734"/>
      <c r="BG632" s="734"/>
      <c r="BH632" s="734"/>
      <c r="BI632" s="734"/>
      <c r="BJ632" s="734"/>
      <c r="BK632" s="734"/>
      <c r="BL632" s="734"/>
      <c r="BM632" s="734"/>
      <c r="BN632" s="734"/>
      <c r="BO632" s="734"/>
      <c r="BP632" s="734"/>
      <c r="BQ632" s="734"/>
      <c r="BR632" s="734"/>
      <c r="BS632" s="734"/>
      <c r="BT632" s="734"/>
      <c r="BU632" s="734"/>
      <c r="BV632" s="734"/>
      <c r="BW632" s="734"/>
      <c r="BX632" s="734"/>
      <c r="BY632" s="734"/>
      <c r="BZ632" s="734"/>
      <c r="CA632" s="734"/>
    </row>
    <row r="633" spans="1:79" s="308" customFormat="1" hidden="1" outlineLevel="1" x14ac:dyDescent="0.25">
      <c r="A633" s="656"/>
      <c r="B633" s="571"/>
      <c r="C633" s="571"/>
      <c r="D633" s="571"/>
      <c r="E633" s="40" t="s">
        <v>1342</v>
      </c>
      <c r="F633" s="656" t="s">
        <v>670</v>
      </c>
      <c r="G633" s="719"/>
      <c r="H633" s="719"/>
      <c r="I633" s="719"/>
      <c r="J633" s="719"/>
      <c r="K633" s="719"/>
      <c r="L633" s="719"/>
      <c r="M633" s="719"/>
      <c r="N633" s="719"/>
      <c r="O633" s="719"/>
      <c r="P633" s="716"/>
      <c r="Q633" s="716"/>
      <c r="R633" s="716"/>
      <c r="S633" s="667">
        <v>0</v>
      </c>
      <c r="T633" s="667">
        <v>0</v>
      </c>
      <c r="U633" s="667">
        <v>0</v>
      </c>
      <c r="V633" s="667">
        <v>0</v>
      </c>
      <c r="W633" s="667">
        <v>0</v>
      </c>
      <c r="X633" s="667">
        <v>0</v>
      </c>
      <c r="Y633" s="667">
        <v>0</v>
      </c>
      <c r="Z633" s="667">
        <v>0</v>
      </c>
      <c r="AA633" s="667">
        <v>0</v>
      </c>
      <c r="AB633" s="667">
        <v>0</v>
      </c>
      <c r="AC633" s="666">
        <v>0</v>
      </c>
      <c r="AD633" s="666">
        <v>0</v>
      </c>
      <c r="AE633" s="667">
        <v>0</v>
      </c>
      <c r="AF633" s="716">
        <v>0</v>
      </c>
      <c r="AG633" s="666">
        <v>0</v>
      </c>
      <c r="AH633" s="716"/>
      <c r="AI633" s="716"/>
      <c r="AJ633" s="716"/>
      <c r="AK633" s="716"/>
      <c r="AL633" s="716"/>
      <c r="AM633" s="716"/>
      <c r="AN633" s="716"/>
      <c r="AO633" s="716"/>
      <c r="AP633" s="716"/>
      <c r="AQ633" s="716"/>
      <c r="AR633" s="716"/>
      <c r="AS633" s="716"/>
      <c r="AT633" s="716"/>
      <c r="AU633" s="716"/>
      <c r="AV633" s="716"/>
      <c r="AW633" s="716"/>
      <c r="AX633" s="716"/>
      <c r="AY633" s="716"/>
      <c r="AZ633" s="716"/>
      <c r="BA633" s="716"/>
      <c r="BB633" s="716"/>
      <c r="BC633" s="716"/>
      <c r="BD633" s="716"/>
      <c r="BE633" s="716"/>
      <c r="BF633" s="716"/>
      <c r="BG633" s="716"/>
      <c r="BH633" s="716"/>
      <c r="BI633" s="716"/>
      <c r="BJ633" s="716"/>
      <c r="BK633" s="716"/>
      <c r="BL633" s="716"/>
      <c r="BM633" s="716"/>
      <c r="BN633" s="716"/>
      <c r="BO633" s="716"/>
      <c r="BP633" s="716"/>
      <c r="BQ633" s="716"/>
      <c r="BR633" s="716"/>
      <c r="BS633" s="716"/>
      <c r="BT633" s="716"/>
      <c r="BU633" s="716"/>
      <c r="BV633" s="716"/>
      <c r="BW633" s="716"/>
      <c r="BX633" s="716"/>
      <c r="BY633" s="716"/>
      <c r="BZ633" s="716"/>
      <c r="CA633" s="716"/>
    </row>
    <row r="634" spans="1:79" s="308" customFormat="1" hidden="1" outlineLevel="1" x14ac:dyDescent="0.25">
      <c r="A634" s="656"/>
      <c r="B634" s="571"/>
      <c r="C634" s="571"/>
      <c r="D634" s="571"/>
      <c r="E634" s="40" t="s">
        <v>1342</v>
      </c>
      <c r="F634" s="656" t="s">
        <v>891</v>
      </c>
      <c r="G634" s="719"/>
      <c r="H634" s="719"/>
      <c r="I634" s="719"/>
      <c r="J634" s="719"/>
      <c r="K634" s="719"/>
      <c r="L634" s="719"/>
      <c r="M634" s="719"/>
      <c r="N634" s="719"/>
      <c r="O634" s="719"/>
      <c r="P634" s="716"/>
      <c r="Q634" s="716"/>
      <c r="R634" s="716"/>
      <c r="S634" s="667">
        <v>0</v>
      </c>
      <c r="T634" s="667">
        <v>0</v>
      </c>
      <c r="U634" s="667">
        <v>0</v>
      </c>
      <c r="V634" s="667">
        <v>0</v>
      </c>
      <c r="W634" s="667">
        <v>0</v>
      </c>
      <c r="X634" s="667">
        <v>0</v>
      </c>
      <c r="Y634" s="667">
        <v>0</v>
      </c>
      <c r="Z634" s="667">
        <v>0</v>
      </c>
      <c r="AA634" s="667">
        <v>0</v>
      </c>
      <c r="AB634" s="667">
        <v>0</v>
      </c>
      <c r="AC634" s="666">
        <v>0</v>
      </c>
      <c r="AD634" s="666">
        <v>0</v>
      </c>
      <c r="AE634" s="667">
        <v>0</v>
      </c>
      <c r="AF634" s="716">
        <v>0</v>
      </c>
      <c r="AG634" s="666">
        <v>0</v>
      </c>
      <c r="AH634" s="716"/>
      <c r="AI634" s="716"/>
      <c r="AJ634" s="716"/>
      <c r="AK634" s="716"/>
      <c r="AL634" s="716"/>
      <c r="AM634" s="716"/>
      <c r="AN634" s="716"/>
      <c r="AO634" s="716"/>
      <c r="AP634" s="716"/>
      <c r="AQ634" s="716"/>
      <c r="AR634" s="716"/>
      <c r="AS634" s="716"/>
      <c r="AT634" s="716"/>
      <c r="AU634" s="716"/>
      <c r="AV634" s="716"/>
      <c r="AW634" s="716"/>
      <c r="AX634" s="716"/>
      <c r="AY634" s="716"/>
      <c r="AZ634" s="716"/>
      <c r="BA634" s="716"/>
      <c r="BB634" s="716"/>
      <c r="BC634" s="716"/>
      <c r="BD634" s="716"/>
      <c r="BE634" s="716"/>
      <c r="BF634" s="716"/>
      <c r="BG634" s="716"/>
      <c r="BH634" s="716"/>
      <c r="BI634" s="716"/>
      <c r="BJ634" s="716"/>
      <c r="BK634" s="716"/>
      <c r="BL634" s="716"/>
      <c r="BM634" s="716"/>
      <c r="BN634" s="716"/>
      <c r="BO634" s="716"/>
      <c r="BP634" s="716"/>
      <c r="BQ634" s="716"/>
      <c r="BR634" s="716"/>
      <c r="BS634" s="716"/>
      <c r="BT634" s="716"/>
      <c r="BU634" s="716"/>
      <c r="BV634" s="716"/>
      <c r="BW634" s="716"/>
      <c r="BX634" s="716"/>
      <c r="BY634" s="716"/>
      <c r="BZ634" s="716"/>
      <c r="CA634" s="716"/>
    </row>
    <row r="635" spans="1:79" s="308" customFormat="1" hidden="1" outlineLevel="1" x14ac:dyDescent="0.25">
      <c r="A635" s="656"/>
      <c r="B635" s="571"/>
      <c r="C635" s="571"/>
      <c r="D635" s="571"/>
      <c r="E635" s="40" t="s">
        <v>1342</v>
      </c>
      <c r="F635" s="656" t="s">
        <v>671</v>
      </c>
      <c r="G635" s="719"/>
      <c r="H635" s="719"/>
      <c r="I635" s="719"/>
      <c r="J635" s="719"/>
      <c r="K635" s="719"/>
      <c r="L635" s="719"/>
      <c r="M635" s="719"/>
      <c r="N635" s="719"/>
      <c r="O635" s="719"/>
      <c r="P635" s="716"/>
      <c r="Q635" s="716"/>
      <c r="R635" s="716"/>
      <c r="S635" s="667">
        <v>0</v>
      </c>
      <c r="T635" s="667">
        <v>0</v>
      </c>
      <c r="U635" s="667">
        <v>0</v>
      </c>
      <c r="V635" s="667">
        <v>0</v>
      </c>
      <c r="W635" s="667">
        <v>0</v>
      </c>
      <c r="X635" s="667">
        <v>0</v>
      </c>
      <c r="Y635" s="667">
        <v>0</v>
      </c>
      <c r="Z635" s="667">
        <v>0</v>
      </c>
      <c r="AA635" s="667">
        <v>0</v>
      </c>
      <c r="AB635" s="667">
        <v>0</v>
      </c>
      <c r="AC635" s="666">
        <v>0</v>
      </c>
      <c r="AD635" s="666">
        <v>0</v>
      </c>
      <c r="AE635" s="667">
        <v>0</v>
      </c>
      <c r="AF635" s="716">
        <v>0</v>
      </c>
      <c r="AG635" s="666">
        <v>0</v>
      </c>
      <c r="AH635" s="716"/>
      <c r="AI635" s="716"/>
      <c r="AJ635" s="716"/>
      <c r="AK635" s="716"/>
      <c r="AL635" s="716"/>
      <c r="AM635" s="716"/>
      <c r="AN635" s="716"/>
      <c r="AO635" s="716"/>
      <c r="AP635" s="716"/>
      <c r="AQ635" s="716"/>
      <c r="AR635" s="716"/>
      <c r="AS635" s="716"/>
      <c r="AT635" s="716"/>
      <c r="AU635" s="716"/>
      <c r="AV635" s="716"/>
      <c r="AW635" s="716"/>
      <c r="AX635" s="716"/>
      <c r="AY635" s="716"/>
      <c r="AZ635" s="716"/>
      <c r="BA635" s="716"/>
      <c r="BB635" s="716"/>
      <c r="BC635" s="716"/>
      <c r="BD635" s="716"/>
      <c r="BE635" s="716"/>
      <c r="BF635" s="716"/>
      <c r="BG635" s="716"/>
      <c r="BH635" s="716"/>
      <c r="BI635" s="716"/>
      <c r="BJ635" s="716"/>
      <c r="BK635" s="716"/>
      <c r="BL635" s="716"/>
      <c r="BM635" s="716"/>
      <c r="BN635" s="716"/>
      <c r="BO635" s="716"/>
      <c r="BP635" s="716"/>
      <c r="BQ635" s="716"/>
      <c r="BR635" s="716"/>
      <c r="BS635" s="716"/>
      <c r="BT635" s="716"/>
      <c r="BU635" s="716"/>
      <c r="BV635" s="716"/>
      <c r="BW635" s="716"/>
      <c r="BX635" s="716"/>
      <c r="BY635" s="716"/>
      <c r="BZ635" s="716"/>
      <c r="CA635" s="716"/>
    </row>
    <row r="636" spans="1:79" s="308" customFormat="1" hidden="1" outlineLevel="1" x14ac:dyDescent="0.25">
      <c r="A636" s="656"/>
      <c r="B636" s="571"/>
      <c r="C636" s="571"/>
      <c r="D636" s="571"/>
      <c r="E636" s="40" t="s">
        <v>1342</v>
      </c>
      <c r="F636" s="656" t="s">
        <v>892</v>
      </c>
      <c r="G636" s="719"/>
      <c r="H636" s="719"/>
      <c r="I636" s="719"/>
      <c r="J636" s="719"/>
      <c r="K636" s="719"/>
      <c r="L636" s="719"/>
      <c r="M636" s="719"/>
      <c r="N636" s="719"/>
      <c r="O636" s="719"/>
      <c r="P636" s="716"/>
      <c r="Q636" s="716"/>
      <c r="R636" s="716"/>
      <c r="S636" s="667">
        <v>0</v>
      </c>
      <c r="T636" s="667">
        <v>0</v>
      </c>
      <c r="U636" s="667">
        <v>0</v>
      </c>
      <c r="V636" s="667">
        <v>0</v>
      </c>
      <c r="W636" s="667">
        <v>0</v>
      </c>
      <c r="X636" s="667">
        <v>0</v>
      </c>
      <c r="Y636" s="667">
        <v>0</v>
      </c>
      <c r="Z636" s="667">
        <v>0</v>
      </c>
      <c r="AA636" s="667">
        <v>0</v>
      </c>
      <c r="AB636" s="667">
        <v>0</v>
      </c>
      <c r="AC636" s="666">
        <v>0</v>
      </c>
      <c r="AD636" s="666">
        <v>0</v>
      </c>
      <c r="AE636" s="667">
        <v>0</v>
      </c>
      <c r="AF636" s="716">
        <v>0</v>
      </c>
      <c r="AG636" s="666">
        <v>0</v>
      </c>
      <c r="AH636" s="716"/>
      <c r="AI636" s="716"/>
      <c r="AJ636" s="716"/>
      <c r="AK636" s="716"/>
      <c r="AL636" s="716"/>
      <c r="AM636" s="716"/>
      <c r="AN636" s="716"/>
      <c r="AO636" s="716"/>
      <c r="AP636" s="716"/>
      <c r="AQ636" s="716"/>
      <c r="AR636" s="716"/>
      <c r="AS636" s="716"/>
      <c r="AT636" s="716"/>
      <c r="AU636" s="716"/>
      <c r="AV636" s="716"/>
      <c r="AW636" s="716"/>
      <c r="AX636" s="716"/>
      <c r="AY636" s="716"/>
      <c r="AZ636" s="716"/>
      <c r="BA636" s="716"/>
      <c r="BB636" s="716"/>
      <c r="BC636" s="716"/>
      <c r="BD636" s="716"/>
      <c r="BE636" s="716"/>
      <c r="BF636" s="716"/>
      <c r="BG636" s="716"/>
      <c r="BH636" s="716"/>
      <c r="BI636" s="716"/>
      <c r="BJ636" s="716"/>
      <c r="BK636" s="716"/>
      <c r="BL636" s="716"/>
      <c r="BM636" s="716"/>
      <c r="BN636" s="716"/>
      <c r="BO636" s="716"/>
      <c r="BP636" s="716"/>
      <c r="BQ636" s="716"/>
      <c r="BR636" s="716"/>
      <c r="BS636" s="716"/>
      <c r="BT636" s="716"/>
      <c r="BU636" s="716"/>
      <c r="BV636" s="716"/>
      <c r="BW636" s="716"/>
      <c r="BX636" s="716"/>
      <c r="BY636" s="716"/>
      <c r="BZ636" s="716"/>
      <c r="CA636" s="716"/>
    </row>
    <row r="637" spans="1:79" s="308" customFormat="1" hidden="1" outlineLevel="1" x14ac:dyDescent="0.25">
      <c r="A637" s="657"/>
      <c r="B637" s="571"/>
      <c r="C637" s="571"/>
      <c r="D637" s="571"/>
      <c r="E637" s="40" t="s">
        <v>49</v>
      </c>
      <c r="F637" s="1218" t="s">
        <v>672</v>
      </c>
      <c r="G637" s="1219">
        <f>SUM(G633:G636)</f>
        <v>0</v>
      </c>
      <c r="H637" s="1219">
        <f t="shared" ref="H637:BO637" si="263">SUM(H633:H636)</f>
        <v>0</v>
      </c>
      <c r="I637" s="1219">
        <f t="shared" si="263"/>
        <v>0</v>
      </c>
      <c r="J637" s="1219">
        <f t="shared" si="263"/>
        <v>0</v>
      </c>
      <c r="K637" s="1219">
        <f t="shared" si="263"/>
        <v>0</v>
      </c>
      <c r="L637" s="1219">
        <f t="shared" si="263"/>
        <v>0</v>
      </c>
      <c r="M637" s="1219">
        <f t="shared" si="263"/>
        <v>0</v>
      </c>
      <c r="N637" s="1219">
        <f t="shared" si="263"/>
        <v>0</v>
      </c>
      <c r="O637" s="1219">
        <f t="shared" si="263"/>
        <v>0</v>
      </c>
      <c r="P637" s="1219">
        <f t="shared" si="263"/>
        <v>0</v>
      </c>
      <c r="Q637" s="1219">
        <f t="shared" si="263"/>
        <v>0</v>
      </c>
      <c r="R637" s="1219">
        <f t="shared" si="263"/>
        <v>0</v>
      </c>
      <c r="S637" s="1227">
        <f t="shared" ref="S637:AA637" si="264">ROUND(SUM(S632:S636),5)</f>
        <v>0</v>
      </c>
      <c r="T637" s="1227">
        <f t="shared" si="264"/>
        <v>0</v>
      </c>
      <c r="U637" s="1227">
        <f t="shared" si="264"/>
        <v>0</v>
      </c>
      <c r="V637" s="1227">
        <f t="shared" si="264"/>
        <v>0</v>
      </c>
      <c r="W637" s="1227">
        <f t="shared" si="264"/>
        <v>0</v>
      </c>
      <c r="X637" s="1227">
        <f t="shared" si="264"/>
        <v>0</v>
      </c>
      <c r="Y637" s="1227">
        <f t="shared" si="264"/>
        <v>0</v>
      </c>
      <c r="Z637" s="1227">
        <f t="shared" si="264"/>
        <v>0</v>
      </c>
      <c r="AA637" s="1227">
        <f t="shared" si="264"/>
        <v>0</v>
      </c>
      <c r="AB637" s="1227">
        <f t="shared" ref="AB637:AG637" si="265">ROUND(SUM(AB632:AB636),5)</f>
        <v>0</v>
      </c>
      <c r="AC637" s="1227">
        <f t="shared" si="265"/>
        <v>0</v>
      </c>
      <c r="AD637" s="1227">
        <f t="shared" si="265"/>
        <v>0</v>
      </c>
      <c r="AE637" s="1227">
        <f t="shared" si="265"/>
        <v>0</v>
      </c>
      <c r="AF637" s="664">
        <f t="shared" si="265"/>
        <v>0</v>
      </c>
      <c r="AG637" s="680">
        <f t="shared" si="265"/>
        <v>0</v>
      </c>
      <c r="AH637" s="664">
        <f t="shared" si="263"/>
        <v>0</v>
      </c>
      <c r="AI637" s="664">
        <f t="shared" si="263"/>
        <v>0</v>
      </c>
      <c r="AJ637" s="664">
        <f t="shared" si="263"/>
        <v>0</v>
      </c>
      <c r="AK637" s="664">
        <f t="shared" si="263"/>
        <v>0</v>
      </c>
      <c r="AL637" s="664">
        <f t="shared" si="263"/>
        <v>0</v>
      </c>
      <c r="AM637" s="664">
        <f t="shared" si="263"/>
        <v>0</v>
      </c>
      <c r="AN637" s="664">
        <f t="shared" si="263"/>
        <v>0</v>
      </c>
      <c r="AO637" s="664">
        <f t="shared" si="263"/>
        <v>0</v>
      </c>
      <c r="AP637" s="664">
        <f t="shared" si="263"/>
        <v>0</v>
      </c>
      <c r="AQ637" s="664">
        <f t="shared" si="263"/>
        <v>0</v>
      </c>
      <c r="AR637" s="664">
        <f t="shared" si="263"/>
        <v>0</v>
      </c>
      <c r="AS637" s="664">
        <f t="shared" si="263"/>
        <v>0</v>
      </c>
      <c r="AT637" s="664">
        <f t="shared" si="263"/>
        <v>0</v>
      </c>
      <c r="AU637" s="664">
        <f t="shared" si="263"/>
        <v>0</v>
      </c>
      <c r="AV637" s="664">
        <f t="shared" si="263"/>
        <v>0</v>
      </c>
      <c r="AW637" s="664">
        <f t="shared" si="263"/>
        <v>0</v>
      </c>
      <c r="AX637" s="664">
        <f t="shared" si="263"/>
        <v>0</v>
      </c>
      <c r="AY637" s="664">
        <f t="shared" si="263"/>
        <v>0</v>
      </c>
      <c r="AZ637" s="664">
        <f t="shared" si="263"/>
        <v>0</v>
      </c>
      <c r="BA637" s="664">
        <f t="shared" si="263"/>
        <v>0</v>
      </c>
      <c r="BB637" s="664">
        <f t="shared" si="263"/>
        <v>0</v>
      </c>
      <c r="BC637" s="664">
        <f t="shared" si="263"/>
        <v>0</v>
      </c>
      <c r="BD637" s="664">
        <f t="shared" si="263"/>
        <v>0</v>
      </c>
      <c r="BE637" s="664">
        <f t="shared" si="263"/>
        <v>0</v>
      </c>
      <c r="BF637" s="664">
        <f t="shared" si="263"/>
        <v>0</v>
      </c>
      <c r="BG637" s="664">
        <f t="shared" si="263"/>
        <v>0</v>
      </c>
      <c r="BH637" s="664">
        <f t="shared" si="263"/>
        <v>0</v>
      </c>
      <c r="BI637" s="664">
        <f t="shared" si="263"/>
        <v>0</v>
      </c>
      <c r="BJ637" s="664">
        <f t="shared" si="263"/>
        <v>0</v>
      </c>
      <c r="BK637" s="664">
        <f t="shared" si="263"/>
        <v>0</v>
      </c>
      <c r="BL637" s="664">
        <f t="shared" si="263"/>
        <v>0</v>
      </c>
      <c r="BM637" s="664">
        <f t="shared" si="263"/>
        <v>0</v>
      </c>
      <c r="BN637" s="664">
        <f t="shared" si="263"/>
        <v>0</v>
      </c>
      <c r="BO637" s="664">
        <f t="shared" si="263"/>
        <v>0</v>
      </c>
      <c r="BP637" s="664">
        <f t="shared" ref="BP637:CA637" si="266">SUM(BP633:BP636)</f>
        <v>0</v>
      </c>
      <c r="BQ637" s="664">
        <f t="shared" si="266"/>
        <v>0</v>
      </c>
      <c r="BR637" s="664">
        <f t="shared" si="266"/>
        <v>0</v>
      </c>
      <c r="BS637" s="664">
        <f t="shared" si="266"/>
        <v>0</v>
      </c>
      <c r="BT637" s="664">
        <f t="shared" si="266"/>
        <v>0</v>
      </c>
      <c r="BU637" s="664">
        <f t="shared" si="266"/>
        <v>0</v>
      </c>
      <c r="BV637" s="664">
        <f t="shared" si="266"/>
        <v>0</v>
      </c>
      <c r="BW637" s="664">
        <f t="shared" si="266"/>
        <v>0</v>
      </c>
      <c r="BX637" s="664">
        <f t="shared" si="266"/>
        <v>0</v>
      </c>
      <c r="BY637" s="664">
        <f t="shared" si="266"/>
        <v>0</v>
      </c>
      <c r="BZ637" s="664">
        <f t="shared" si="266"/>
        <v>0</v>
      </c>
      <c r="CA637" s="664">
        <f t="shared" si="266"/>
        <v>0</v>
      </c>
    </row>
    <row r="638" spans="1:79" s="308" customFormat="1" hidden="1" outlineLevel="1" x14ac:dyDescent="0.25">
      <c r="A638" s="658"/>
      <c r="B638" s="29"/>
      <c r="C638" s="29"/>
      <c r="D638" s="29"/>
      <c r="E638" s="40" t="s">
        <v>1076</v>
      </c>
      <c r="F638" s="626" t="s">
        <v>648</v>
      </c>
      <c r="G638" s="719">
        <v>16.263415523480607</v>
      </c>
      <c r="H638" s="719">
        <v>9.2929221684014873</v>
      </c>
      <c r="I638" s="719">
        <v>5.2124257928414259</v>
      </c>
      <c r="J638" s="719">
        <v>1.5755521772139565</v>
      </c>
      <c r="K638" s="719">
        <v>0.5054320929170838</v>
      </c>
      <c r="L638" s="719">
        <v>1.7239087712586976</v>
      </c>
      <c r="M638" s="719">
        <v>10.314888009943427</v>
      </c>
      <c r="N638" s="719">
        <v>2.6944956453176867</v>
      </c>
      <c r="O638" s="719">
        <v>1.9290857526204614</v>
      </c>
      <c r="P638" s="716">
        <v>1.520891588407423</v>
      </c>
      <c r="Q638" s="716">
        <v>3.1083576616906448</v>
      </c>
      <c r="R638" s="716">
        <v>2.0698798279150323</v>
      </c>
      <c r="S638" s="1228">
        <v>0</v>
      </c>
      <c r="T638" s="1228">
        <v>0</v>
      </c>
      <c r="U638" s="1228">
        <v>0</v>
      </c>
      <c r="V638" s="1228">
        <v>0</v>
      </c>
      <c r="W638" s="1228">
        <v>0</v>
      </c>
      <c r="X638" s="1228">
        <v>0</v>
      </c>
      <c r="Y638" s="1228">
        <v>0</v>
      </c>
      <c r="Z638" s="1228">
        <v>-1.72</v>
      </c>
      <c r="AA638" s="1228">
        <v>0</v>
      </c>
      <c r="AB638" s="1228">
        <v>0</v>
      </c>
      <c r="AC638" s="666">
        <v>0</v>
      </c>
      <c r="AD638" s="666">
        <v>0</v>
      </c>
      <c r="AE638" s="1228">
        <v>253.7</v>
      </c>
      <c r="AF638" s="719">
        <v>0</v>
      </c>
      <c r="AG638" s="666">
        <v>0</v>
      </c>
      <c r="AH638" s="716"/>
      <c r="AI638" s="716"/>
      <c r="AJ638" s="716"/>
      <c r="AK638" s="716"/>
      <c r="AL638" s="716"/>
      <c r="AM638" s="716"/>
      <c r="AN638" s="716"/>
      <c r="AO638" s="716"/>
      <c r="AP638" s="716"/>
      <c r="AQ638" s="716"/>
      <c r="AR638" s="716"/>
      <c r="AS638" s="716"/>
      <c r="AT638" s="716"/>
      <c r="AU638" s="716"/>
      <c r="AV638" s="716"/>
      <c r="AW638" s="716"/>
      <c r="AX638" s="716"/>
      <c r="AY638" s="716"/>
      <c r="AZ638" s="716"/>
      <c r="BA638" s="716"/>
      <c r="BB638" s="716"/>
      <c r="BC638" s="716"/>
      <c r="BD638" s="716"/>
      <c r="BE638" s="716"/>
      <c r="BF638" s="716"/>
      <c r="BG638" s="716"/>
      <c r="BH638" s="716"/>
      <c r="BI638" s="716"/>
      <c r="BJ638" s="716"/>
      <c r="BK638" s="716"/>
      <c r="BL638" s="716"/>
      <c r="BM638" s="716"/>
      <c r="BN638" s="716"/>
      <c r="BO638" s="716"/>
      <c r="BP638" s="716"/>
      <c r="BQ638" s="716"/>
      <c r="BR638" s="716"/>
      <c r="BS638" s="716"/>
      <c r="BT638" s="716"/>
      <c r="BU638" s="716"/>
      <c r="BV638" s="716"/>
      <c r="BW638" s="716"/>
      <c r="BX638" s="716"/>
      <c r="BY638" s="716"/>
      <c r="BZ638" s="716"/>
      <c r="CA638" s="716"/>
    </row>
    <row r="639" spans="1:79" s="308" customFormat="1" hidden="1" outlineLevel="1" x14ac:dyDescent="0.25">
      <c r="A639" s="658"/>
      <c r="B639" s="29"/>
      <c r="C639" s="29"/>
      <c r="D639" s="29"/>
      <c r="E639" s="40" t="s">
        <v>431</v>
      </c>
      <c r="F639" s="626" t="s">
        <v>599</v>
      </c>
      <c r="G639" s="719">
        <v>10.393967486274889</v>
      </c>
      <c r="H639" s="719">
        <v>30.22850310838238</v>
      </c>
      <c r="I639" s="719">
        <v>21.909382112135201</v>
      </c>
      <c r="J639" s="719">
        <v>34.787917454110463</v>
      </c>
      <c r="K639" s="719">
        <v>8.9490822223572462</v>
      </c>
      <c r="L639" s="719">
        <v>26.00941688436674</v>
      </c>
      <c r="M639" s="719">
        <v>14.86005551217214</v>
      </c>
      <c r="N639" s="719">
        <v>74.043608456512857</v>
      </c>
      <c r="O639" s="719">
        <v>91.688460044035168</v>
      </c>
      <c r="P639" s="716">
        <v>87.491379375218841</v>
      </c>
      <c r="Q639" s="716">
        <v>24.231139868680788</v>
      </c>
      <c r="R639" s="716">
        <v>30.119668132164151</v>
      </c>
      <c r="S639" s="667">
        <v>0</v>
      </c>
      <c r="T639" s="667">
        <v>0</v>
      </c>
      <c r="U639" s="667">
        <v>0</v>
      </c>
      <c r="V639" s="667">
        <v>0</v>
      </c>
      <c r="W639" s="667">
        <v>0</v>
      </c>
      <c r="X639" s="667">
        <v>886.6</v>
      </c>
      <c r="Y639" s="667">
        <v>220.23</v>
      </c>
      <c r="Z639" s="667">
        <v>3060.93</v>
      </c>
      <c r="AA639" s="667">
        <v>207.07</v>
      </c>
      <c r="AB639" s="667">
        <v>5293.32</v>
      </c>
      <c r="AC639" s="686">
        <v>2625.87</v>
      </c>
      <c r="AD639" s="686">
        <v>851.01</v>
      </c>
      <c r="AE639" s="667">
        <v>2894.29</v>
      </c>
      <c r="AF639" s="719">
        <v>494.95</v>
      </c>
      <c r="AG639" s="686">
        <v>2654.03</v>
      </c>
      <c r="AH639" s="716"/>
      <c r="AI639" s="716"/>
      <c r="AJ639" s="716"/>
      <c r="AK639" s="716"/>
      <c r="AL639" s="716"/>
      <c r="AM639" s="716"/>
      <c r="AN639" s="716"/>
      <c r="AO639" s="716"/>
      <c r="AP639" s="716"/>
      <c r="AQ639" s="716"/>
      <c r="AR639" s="716"/>
      <c r="AS639" s="716"/>
      <c r="AT639" s="716"/>
      <c r="AU639" s="716"/>
      <c r="AV639" s="716"/>
      <c r="AW639" s="716"/>
      <c r="AX639" s="716"/>
      <c r="AY639" s="716"/>
      <c r="AZ639" s="716"/>
      <c r="BA639" s="716"/>
      <c r="BB639" s="716"/>
      <c r="BC639" s="716"/>
      <c r="BD639" s="716"/>
      <c r="BE639" s="716"/>
      <c r="BF639" s="716"/>
      <c r="BG639" s="716"/>
      <c r="BH639" s="716"/>
      <c r="BI639" s="716"/>
      <c r="BJ639" s="716"/>
      <c r="BK639" s="716"/>
      <c r="BL639" s="716"/>
      <c r="BM639" s="716"/>
      <c r="BN639" s="716"/>
      <c r="BO639" s="716"/>
      <c r="BP639" s="716"/>
      <c r="BQ639" s="716"/>
      <c r="BR639" s="716"/>
      <c r="BS639" s="716"/>
      <c r="BT639" s="716"/>
      <c r="BU639" s="716"/>
      <c r="BV639" s="716"/>
      <c r="BW639" s="716"/>
      <c r="BX639" s="716"/>
      <c r="BY639" s="716"/>
      <c r="BZ639" s="716"/>
      <c r="CA639" s="716"/>
    </row>
    <row r="640" spans="1:79" s="693" customFormat="1" hidden="1" outlineLevel="1" x14ac:dyDescent="0.25">
      <c r="A640" s="691"/>
      <c r="E640" s="40" t="s">
        <v>1343</v>
      </c>
      <c r="F640" s="1216" t="s">
        <v>673</v>
      </c>
      <c r="G640" s="733">
        <v>19.441754268888371</v>
      </c>
      <c r="H640" s="733">
        <v>14.731947202353116</v>
      </c>
      <c r="I640" s="733">
        <v>72.467761042983128</v>
      </c>
      <c r="J640" s="733">
        <v>20.597795728986782</v>
      </c>
      <c r="K640" s="733">
        <v>2.5087105377240233</v>
      </c>
      <c r="L640" s="733">
        <v>25.224997231993008</v>
      </c>
      <c r="M640" s="733">
        <v>42.424224702693159</v>
      </c>
      <c r="N640" s="733">
        <v>31.000455368584277</v>
      </c>
      <c r="O640" s="733">
        <v>17.631984047759531</v>
      </c>
      <c r="P640" s="734">
        <v>29.017936895966134</v>
      </c>
      <c r="Q640" s="734">
        <v>27.646422501719172</v>
      </c>
      <c r="R640" s="734">
        <v>9.5557515581387236</v>
      </c>
      <c r="S640" s="704"/>
      <c r="T640" s="704"/>
      <c r="U640" s="704"/>
      <c r="V640" s="704"/>
      <c r="W640" s="704"/>
      <c r="X640" s="704"/>
      <c r="Y640" s="704"/>
      <c r="Z640" s="704"/>
      <c r="AA640" s="704"/>
      <c r="AB640" s="704"/>
      <c r="AC640" s="703"/>
      <c r="AD640" s="703"/>
      <c r="AE640" s="704"/>
      <c r="AF640" s="733"/>
      <c r="AG640" s="703"/>
      <c r="AH640" s="734"/>
      <c r="AI640" s="734"/>
      <c r="AJ640" s="734"/>
      <c r="AK640" s="734"/>
      <c r="AL640" s="734"/>
      <c r="AM640" s="734"/>
      <c r="AN640" s="734"/>
      <c r="AO640" s="734"/>
      <c r="AP640" s="734"/>
      <c r="AQ640" s="734"/>
      <c r="AR640" s="734"/>
      <c r="AS640" s="734"/>
      <c r="AT640" s="734"/>
      <c r="AU640" s="734"/>
      <c r="AV640" s="734"/>
      <c r="AW640" s="734"/>
      <c r="AX640" s="734"/>
      <c r="AY640" s="734"/>
      <c r="AZ640" s="734"/>
      <c r="BA640" s="734"/>
      <c r="BB640" s="734"/>
      <c r="BC640" s="734"/>
      <c r="BD640" s="734"/>
      <c r="BE640" s="734"/>
      <c r="BF640" s="734"/>
      <c r="BG640" s="734"/>
      <c r="BH640" s="734"/>
      <c r="BI640" s="734"/>
      <c r="BJ640" s="734"/>
      <c r="BK640" s="734"/>
      <c r="BL640" s="734"/>
      <c r="BM640" s="734"/>
      <c r="BN640" s="734"/>
      <c r="BO640" s="734"/>
      <c r="BP640" s="734"/>
      <c r="BQ640" s="734"/>
      <c r="BR640" s="734"/>
      <c r="BS640" s="734"/>
      <c r="BT640" s="734"/>
      <c r="BU640" s="734"/>
      <c r="BV640" s="734"/>
      <c r="BW640" s="734"/>
      <c r="BX640" s="734"/>
      <c r="BY640" s="734"/>
      <c r="BZ640" s="734"/>
      <c r="CA640" s="734"/>
    </row>
    <row r="641" spans="1:79" hidden="1" outlineLevel="1" x14ac:dyDescent="0.25">
      <c r="A641" s="759"/>
      <c r="B641" s="223"/>
      <c r="C641" s="223"/>
      <c r="D641" s="223"/>
      <c r="E641" s="40" t="s">
        <v>1330</v>
      </c>
      <c r="F641" s="759" t="s">
        <v>893</v>
      </c>
      <c r="G641" s="719"/>
      <c r="H641" s="719"/>
      <c r="I641" s="719"/>
      <c r="J641" s="719"/>
      <c r="K641" s="719"/>
      <c r="L641" s="719"/>
      <c r="M641" s="719"/>
      <c r="N641" s="719"/>
      <c r="O641" s="719"/>
      <c r="P641" s="722"/>
      <c r="Q641" s="722"/>
      <c r="R641" s="722"/>
      <c r="S641" s="667">
        <v>0</v>
      </c>
      <c r="T641" s="667">
        <v>0</v>
      </c>
      <c r="U641" s="667">
        <v>0</v>
      </c>
      <c r="V641" s="667">
        <v>0</v>
      </c>
      <c r="W641" s="667">
        <v>0</v>
      </c>
      <c r="X641" s="667">
        <v>0</v>
      </c>
      <c r="Y641" s="667">
        <v>0</v>
      </c>
      <c r="Z641" s="667">
        <v>0</v>
      </c>
      <c r="AA641" s="667">
        <v>0</v>
      </c>
      <c r="AB641" s="667">
        <v>0</v>
      </c>
      <c r="AC641" s="686">
        <v>0</v>
      </c>
      <c r="AD641" s="686">
        <v>0</v>
      </c>
      <c r="AE641" s="667">
        <v>0</v>
      </c>
      <c r="AF641" s="719">
        <v>0</v>
      </c>
      <c r="AG641" s="686">
        <v>0</v>
      </c>
      <c r="AH641" s="722"/>
      <c r="AI641" s="722"/>
      <c r="AJ641" s="722"/>
      <c r="AK641" s="722"/>
      <c r="AL641" s="722"/>
      <c r="AM641" s="722"/>
      <c r="AN641" s="722"/>
      <c r="AO641" s="722"/>
      <c r="AP641" s="722"/>
      <c r="AQ641" s="722"/>
      <c r="AR641" s="722"/>
      <c r="AS641" s="722"/>
      <c r="AT641" s="722"/>
      <c r="AU641" s="722"/>
      <c r="AV641" s="722"/>
      <c r="AW641" s="722"/>
      <c r="AX641" s="722"/>
      <c r="AY641" s="722"/>
      <c r="AZ641" s="722"/>
      <c r="BA641" s="722"/>
      <c r="BB641" s="722"/>
      <c r="BC641" s="722"/>
      <c r="BD641" s="722"/>
      <c r="BE641" s="722"/>
      <c r="BF641" s="722"/>
      <c r="BG641" s="722"/>
      <c r="BH641" s="722"/>
      <c r="BI641" s="722"/>
      <c r="BJ641" s="722"/>
      <c r="BK641" s="722"/>
      <c r="BL641" s="722"/>
      <c r="BM641" s="722"/>
      <c r="BN641" s="722"/>
      <c r="BO641" s="722"/>
      <c r="BP641" s="722"/>
      <c r="BQ641" s="722"/>
      <c r="BR641" s="722"/>
      <c r="BS641" s="722"/>
      <c r="BT641" s="722"/>
      <c r="BU641" s="722"/>
      <c r="BV641" s="722"/>
      <c r="BW641" s="722"/>
      <c r="BX641" s="722"/>
      <c r="BY641" s="722"/>
      <c r="BZ641" s="722"/>
      <c r="CA641" s="722"/>
    </row>
    <row r="642" spans="1:79" hidden="1" outlineLevel="1" x14ac:dyDescent="0.25">
      <c r="A642" s="656"/>
      <c r="B642" s="570"/>
      <c r="C642" s="570"/>
      <c r="D642" s="570"/>
      <c r="E642" s="40" t="s">
        <v>1343</v>
      </c>
      <c r="F642" s="656" t="s">
        <v>674</v>
      </c>
      <c r="G642" s="719"/>
      <c r="H642" s="719"/>
      <c r="I642" s="719"/>
      <c r="J642" s="719"/>
      <c r="K642" s="719"/>
      <c r="L642" s="719"/>
      <c r="M642" s="719"/>
      <c r="N642" s="719"/>
      <c r="O642" s="719"/>
      <c r="P642" s="716"/>
      <c r="Q642" s="716"/>
      <c r="R642" s="716"/>
      <c r="S642" s="667">
        <v>0</v>
      </c>
      <c r="T642" s="667">
        <v>0</v>
      </c>
      <c r="U642" s="667">
        <v>0</v>
      </c>
      <c r="V642" s="667">
        <v>0</v>
      </c>
      <c r="W642" s="667">
        <v>0</v>
      </c>
      <c r="X642" s="667">
        <v>0</v>
      </c>
      <c r="Y642" s="667">
        <v>0</v>
      </c>
      <c r="Z642" s="667">
        <v>958.17</v>
      </c>
      <c r="AA642" s="667">
        <v>0</v>
      </c>
      <c r="AB642" s="667">
        <v>0</v>
      </c>
      <c r="AC642" s="686">
        <v>0</v>
      </c>
      <c r="AD642" s="686">
        <v>0</v>
      </c>
      <c r="AE642" s="667">
        <v>0</v>
      </c>
      <c r="AF642" s="719">
        <v>0</v>
      </c>
      <c r="AG642" s="686">
        <v>0</v>
      </c>
      <c r="AH642" s="716"/>
      <c r="AI642" s="716"/>
      <c r="AJ642" s="716"/>
      <c r="AK642" s="716"/>
      <c r="AL642" s="716"/>
      <c r="AM642" s="716"/>
      <c r="AN642" s="716"/>
      <c r="AO642" s="716"/>
      <c r="AP642" s="716"/>
      <c r="AQ642" s="716"/>
      <c r="AR642" s="716"/>
      <c r="AS642" s="716"/>
      <c r="AT642" s="716"/>
      <c r="AU642" s="716"/>
      <c r="AV642" s="716"/>
      <c r="AW642" s="716"/>
      <c r="AX642" s="716"/>
      <c r="AY642" s="716"/>
      <c r="AZ642" s="716"/>
      <c r="BA642" s="716"/>
      <c r="BB642" s="716"/>
      <c r="BC642" s="716"/>
      <c r="BD642" s="716"/>
      <c r="BE642" s="716"/>
      <c r="BF642" s="716"/>
      <c r="BG642" s="716"/>
      <c r="BH642" s="716"/>
      <c r="BI642" s="716"/>
      <c r="BJ642" s="716"/>
      <c r="BK642" s="716"/>
      <c r="BL642" s="716"/>
      <c r="BM642" s="716"/>
      <c r="BN642" s="716"/>
      <c r="BO642" s="716"/>
      <c r="BP642" s="716"/>
      <c r="BQ642" s="716"/>
      <c r="BR642" s="716"/>
      <c r="BS642" s="716"/>
      <c r="BT642" s="716"/>
      <c r="BU642" s="716"/>
      <c r="BV642" s="716"/>
      <c r="BW642" s="716"/>
      <c r="BX642" s="716"/>
      <c r="BY642" s="716"/>
      <c r="BZ642" s="716"/>
      <c r="CA642" s="716"/>
    </row>
    <row r="643" spans="1:79" hidden="1" outlineLevel="1" x14ac:dyDescent="0.25">
      <c r="A643" s="656"/>
      <c r="B643" s="570"/>
      <c r="C643" s="570"/>
      <c r="D643" s="570"/>
      <c r="E643" s="40" t="s">
        <v>1343</v>
      </c>
      <c r="F643" s="656" t="s">
        <v>894</v>
      </c>
      <c r="G643" s="719"/>
      <c r="H643" s="719"/>
      <c r="I643" s="719"/>
      <c r="J643" s="719"/>
      <c r="K643" s="719"/>
      <c r="L643" s="719"/>
      <c r="M643" s="719"/>
      <c r="N643" s="719"/>
      <c r="O643" s="719"/>
      <c r="P643" s="716"/>
      <c r="Q643" s="716"/>
      <c r="R643" s="716"/>
      <c r="S643" s="667">
        <v>0</v>
      </c>
      <c r="T643" s="667">
        <v>0</v>
      </c>
      <c r="U643" s="667">
        <v>0</v>
      </c>
      <c r="V643" s="667">
        <v>0</v>
      </c>
      <c r="W643" s="667">
        <v>0</v>
      </c>
      <c r="X643" s="667">
        <v>0</v>
      </c>
      <c r="Y643" s="667">
        <v>0</v>
      </c>
      <c r="Z643" s="667">
        <v>0</v>
      </c>
      <c r="AA643" s="667">
        <v>0</v>
      </c>
      <c r="AB643" s="667">
        <v>0</v>
      </c>
      <c r="AC643" s="686">
        <v>0</v>
      </c>
      <c r="AD643" s="686">
        <v>0</v>
      </c>
      <c r="AE643" s="667">
        <v>0</v>
      </c>
      <c r="AF643" s="719">
        <v>0</v>
      </c>
      <c r="AG643" s="686">
        <v>0</v>
      </c>
      <c r="AH643" s="716"/>
      <c r="AI643" s="716"/>
      <c r="AJ643" s="716"/>
      <c r="AK643" s="716"/>
      <c r="AL643" s="716"/>
      <c r="AM643" s="716"/>
      <c r="AN643" s="716"/>
      <c r="AO643" s="716"/>
      <c r="AP643" s="716"/>
      <c r="AQ643" s="716"/>
      <c r="AR643" s="716"/>
      <c r="AS643" s="716"/>
      <c r="AT643" s="716"/>
      <c r="AU643" s="716"/>
      <c r="AV643" s="716"/>
      <c r="AW643" s="716"/>
      <c r="AX643" s="716"/>
      <c r="AY643" s="716"/>
      <c r="AZ643" s="716"/>
      <c r="BA643" s="716"/>
      <c r="BB643" s="716"/>
      <c r="BC643" s="716"/>
      <c r="BD643" s="716"/>
      <c r="BE643" s="716"/>
      <c r="BF643" s="716"/>
      <c r="BG643" s="716"/>
      <c r="BH643" s="716"/>
      <c r="BI643" s="716"/>
      <c r="BJ643" s="716"/>
      <c r="BK643" s="716"/>
      <c r="BL643" s="716"/>
      <c r="BM643" s="716"/>
      <c r="BN643" s="716"/>
      <c r="BO643" s="716"/>
      <c r="BP643" s="716"/>
      <c r="BQ643" s="716"/>
      <c r="BR643" s="716"/>
      <c r="BS643" s="716"/>
      <c r="BT643" s="716"/>
      <c r="BU643" s="716"/>
      <c r="BV643" s="716"/>
      <c r="BW643" s="716"/>
      <c r="BX643" s="716"/>
      <c r="BY643" s="716"/>
      <c r="BZ643" s="716"/>
      <c r="CA643" s="716"/>
    </row>
    <row r="644" spans="1:79" hidden="1" outlineLevel="1" x14ac:dyDescent="0.25">
      <c r="A644" s="656"/>
      <c r="B644" s="570"/>
      <c r="C644" s="570"/>
      <c r="D644" s="570"/>
      <c r="E644" s="40" t="s">
        <v>1343</v>
      </c>
      <c r="F644" s="656" t="s">
        <v>765</v>
      </c>
      <c r="G644" s="719"/>
      <c r="H644" s="719"/>
      <c r="I644" s="719"/>
      <c r="J644" s="719"/>
      <c r="K644" s="719"/>
      <c r="L644" s="719"/>
      <c r="M644" s="719"/>
      <c r="N644" s="719"/>
      <c r="O644" s="719"/>
      <c r="P644" s="716"/>
      <c r="Q644" s="716"/>
      <c r="R644" s="716"/>
      <c r="S644" s="667">
        <v>0</v>
      </c>
      <c r="T644" s="667">
        <v>0</v>
      </c>
      <c r="U644" s="667">
        <v>0</v>
      </c>
      <c r="V644" s="667">
        <v>0</v>
      </c>
      <c r="W644" s="667">
        <v>0</v>
      </c>
      <c r="X644" s="667">
        <v>0</v>
      </c>
      <c r="Y644" s="667">
        <v>0</v>
      </c>
      <c r="Z644" s="667">
        <v>0</v>
      </c>
      <c r="AA644" s="667">
        <v>0</v>
      </c>
      <c r="AB644" s="667">
        <v>0</v>
      </c>
      <c r="AC644" s="686">
        <v>0</v>
      </c>
      <c r="AD644" s="686">
        <v>0</v>
      </c>
      <c r="AE644" s="667">
        <v>0</v>
      </c>
      <c r="AF644" s="719">
        <v>0</v>
      </c>
      <c r="AG644" s="686">
        <v>0</v>
      </c>
      <c r="AH644" s="716"/>
      <c r="AI644" s="716"/>
      <c r="AJ644" s="716"/>
      <c r="AK644" s="716"/>
      <c r="AL644" s="716"/>
      <c r="AM644" s="716"/>
      <c r="AN644" s="716"/>
      <c r="AO644" s="716"/>
      <c r="AP644" s="716"/>
      <c r="AQ644" s="716"/>
      <c r="AR644" s="716"/>
      <c r="AS644" s="716"/>
      <c r="AT644" s="716"/>
      <c r="AU644" s="716"/>
      <c r="AV644" s="716"/>
      <c r="AW644" s="716"/>
      <c r="AX644" s="716"/>
      <c r="AY644" s="716"/>
      <c r="AZ644" s="716"/>
      <c r="BA644" s="716"/>
      <c r="BB644" s="716"/>
      <c r="BC644" s="716"/>
      <c r="BD644" s="716"/>
      <c r="BE644" s="716"/>
      <c r="BF644" s="716"/>
      <c r="BG644" s="716"/>
      <c r="BH644" s="716"/>
      <c r="BI644" s="716"/>
      <c r="BJ644" s="716"/>
      <c r="BK644" s="716"/>
      <c r="BL644" s="716"/>
      <c r="BM644" s="716"/>
      <c r="BN644" s="716"/>
      <c r="BO644" s="716"/>
      <c r="BP644" s="716"/>
      <c r="BQ644" s="716"/>
      <c r="BR644" s="716"/>
      <c r="BS644" s="716"/>
      <c r="BT644" s="716"/>
      <c r="BU644" s="716"/>
      <c r="BV644" s="716"/>
      <c r="BW644" s="716"/>
      <c r="BX644" s="716"/>
      <c r="BY644" s="716"/>
      <c r="BZ644" s="716"/>
      <c r="CA644" s="716"/>
    </row>
    <row r="645" spans="1:79" hidden="1" outlineLevel="1" x14ac:dyDescent="0.25">
      <c r="A645" s="657"/>
      <c r="B645" s="570"/>
      <c r="C645" s="570"/>
      <c r="D645" s="570"/>
      <c r="E645" s="40" t="s">
        <v>49</v>
      </c>
      <c r="F645" s="1218" t="s">
        <v>675</v>
      </c>
      <c r="G645" s="1219">
        <f>SUM(G641:G644)</f>
        <v>0</v>
      </c>
      <c r="H645" s="1219">
        <f t="shared" ref="H645:BO645" si="267">SUM(H641:H644)</f>
        <v>0</v>
      </c>
      <c r="I645" s="1219">
        <f t="shared" si="267"/>
        <v>0</v>
      </c>
      <c r="J645" s="1219">
        <f t="shared" si="267"/>
        <v>0</v>
      </c>
      <c r="K645" s="1219">
        <f t="shared" si="267"/>
        <v>0</v>
      </c>
      <c r="L645" s="1219">
        <f t="shared" si="267"/>
        <v>0</v>
      </c>
      <c r="M645" s="1219">
        <f t="shared" si="267"/>
        <v>0</v>
      </c>
      <c r="N645" s="1219">
        <f t="shared" si="267"/>
        <v>0</v>
      </c>
      <c r="O645" s="1219">
        <f t="shared" si="267"/>
        <v>0</v>
      </c>
      <c r="P645" s="1219">
        <f t="shared" si="267"/>
        <v>0</v>
      </c>
      <c r="Q645" s="1219">
        <f t="shared" si="267"/>
        <v>0</v>
      </c>
      <c r="R645" s="1219">
        <f t="shared" si="267"/>
        <v>0</v>
      </c>
      <c r="S645" s="1226">
        <f t="shared" ref="S645:AA645" si="268">ROUND(SUM(S640:S644),5)</f>
        <v>0</v>
      </c>
      <c r="T645" s="1226">
        <f t="shared" si="268"/>
        <v>0</v>
      </c>
      <c r="U645" s="1226">
        <f t="shared" si="268"/>
        <v>0</v>
      </c>
      <c r="V645" s="1226">
        <f t="shared" si="268"/>
        <v>0</v>
      </c>
      <c r="W645" s="1226">
        <f t="shared" si="268"/>
        <v>0</v>
      </c>
      <c r="X645" s="1226">
        <f t="shared" si="268"/>
        <v>0</v>
      </c>
      <c r="Y645" s="1226">
        <f t="shared" si="268"/>
        <v>0</v>
      </c>
      <c r="Z645" s="1226">
        <f t="shared" si="268"/>
        <v>958.17</v>
      </c>
      <c r="AA645" s="1226">
        <f t="shared" si="268"/>
        <v>0</v>
      </c>
      <c r="AB645" s="1226">
        <f t="shared" ref="AB645:AG645" si="269">ROUND(SUM(AB640:AB644),5)</f>
        <v>0</v>
      </c>
      <c r="AC645" s="1226">
        <f t="shared" si="269"/>
        <v>0</v>
      </c>
      <c r="AD645" s="1226">
        <f t="shared" si="269"/>
        <v>0</v>
      </c>
      <c r="AE645" s="1226">
        <f t="shared" si="269"/>
        <v>0</v>
      </c>
      <c r="AF645" s="664">
        <f t="shared" si="269"/>
        <v>0</v>
      </c>
      <c r="AG645" s="678">
        <f t="shared" si="269"/>
        <v>0</v>
      </c>
      <c r="AH645" s="664">
        <f t="shared" si="267"/>
        <v>0</v>
      </c>
      <c r="AI645" s="664">
        <f t="shared" si="267"/>
        <v>0</v>
      </c>
      <c r="AJ645" s="664">
        <f t="shared" si="267"/>
        <v>0</v>
      </c>
      <c r="AK645" s="664">
        <f t="shared" si="267"/>
        <v>0</v>
      </c>
      <c r="AL645" s="664">
        <f t="shared" si="267"/>
        <v>0</v>
      </c>
      <c r="AM645" s="664">
        <f t="shared" si="267"/>
        <v>0</v>
      </c>
      <c r="AN645" s="664">
        <f t="shared" si="267"/>
        <v>0</v>
      </c>
      <c r="AO645" s="664">
        <f t="shared" si="267"/>
        <v>0</v>
      </c>
      <c r="AP645" s="664">
        <f t="shared" si="267"/>
        <v>0</v>
      </c>
      <c r="AQ645" s="664">
        <f t="shared" si="267"/>
        <v>0</v>
      </c>
      <c r="AR645" s="664">
        <f t="shared" si="267"/>
        <v>0</v>
      </c>
      <c r="AS645" s="664">
        <f t="shared" si="267"/>
        <v>0</v>
      </c>
      <c r="AT645" s="664">
        <f t="shared" si="267"/>
        <v>0</v>
      </c>
      <c r="AU645" s="664">
        <f t="shared" si="267"/>
        <v>0</v>
      </c>
      <c r="AV645" s="664">
        <f t="shared" si="267"/>
        <v>0</v>
      </c>
      <c r="AW645" s="664">
        <f t="shared" si="267"/>
        <v>0</v>
      </c>
      <c r="AX645" s="664">
        <f t="shared" si="267"/>
        <v>0</v>
      </c>
      <c r="AY645" s="664">
        <f t="shared" si="267"/>
        <v>0</v>
      </c>
      <c r="AZ645" s="664">
        <f t="shared" si="267"/>
        <v>0</v>
      </c>
      <c r="BA645" s="664">
        <f t="shared" si="267"/>
        <v>0</v>
      </c>
      <c r="BB645" s="664">
        <f t="shared" si="267"/>
        <v>0</v>
      </c>
      <c r="BC645" s="664">
        <f t="shared" si="267"/>
        <v>0</v>
      </c>
      <c r="BD645" s="664">
        <f t="shared" si="267"/>
        <v>0</v>
      </c>
      <c r="BE645" s="664">
        <f t="shared" si="267"/>
        <v>0</v>
      </c>
      <c r="BF645" s="664">
        <f t="shared" si="267"/>
        <v>0</v>
      </c>
      <c r="BG645" s="664">
        <f t="shared" si="267"/>
        <v>0</v>
      </c>
      <c r="BH645" s="664">
        <f t="shared" si="267"/>
        <v>0</v>
      </c>
      <c r="BI645" s="664">
        <f t="shared" si="267"/>
        <v>0</v>
      </c>
      <c r="BJ645" s="664">
        <f t="shared" si="267"/>
        <v>0</v>
      </c>
      <c r="BK645" s="664">
        <f t="shared" si="267"/>
        <v>0</v>
      </c>
      <c r="BL645" s="664">
        <f t="shared" si="267"/>
        <v>0</v>
      </c>
      <c r="BM645" s="664">
        <f t="shared" si="267"/>
        <v>0</v>
      </c>
      <c r="BN645" s="664">
        <f t="shared" si="267"/>
        <v>0</v>
      </c>
      <c r="BO645" s="664">
        <f t="shared" si="267"/>
        <v>0</v>
      </c>
      <c r="BP645" s="664">
        <f t="shared" ref="BP645:CA645" si="270">SUM(BP641:BP644)</f>
        <v>0</v>
      </c>
      <c r="BQ645" s="664">
        <f t="shared" si="270"/>
        <v>0</v>
      </c>
      <c r="BR645" s="664">
        <f t="shared" si="270"/>
        <v>0</v>
      </c>
      <c r="BS645" s="664">
        <f t="shared" si="270"/>
        <v>0</v>
      </c>
      <c r="BT645" s="664">
        <f t="shared" si="270"/>
        <v>0</v>
      </c>
      <c r="BU645" s="664">
        <f t="shared" si="270"/>
        <v>0</v>
      </c>
      <c r="BV645" s="664">
        <f t="shared" si="270"/>
        <v>0</v>
      </c>
      <c r="BW645" s="664">
        <f t="shared" si="270"/>
        <v>0</v>
      </c>
      <c r="BX645" s="664">
        <f t="shared" si="270"/>
        <v>0</v>
      </c>
      <c r="BY645" s="664">
        <f t="shared" si="270"/>
        <v>0</v>
      </c>
      <c r="BZ645" s="664">
        <f t="shared" si="270"/>
        <v>0</v>
      </c>
      <c r="CA645" s="664">
        <f t="shared" si="270"/>
        <v>0</v>
      </c>
    </row>
    <row r="646" spans="1:79" hidden="1" outlineLevel="1" x14ac:dyDescent="0.25">
      <c r="A646" s="658"/>
      <c r="B646" s="570"/>
      <c r="C646" s="570"/>
      <c r="D646" s="570"/>
      <c r="E646" s="40" t="s">
        <v>921</v>
      </c>
      <c r="F646" s="626" t="s">
        <v>600</v>
      </c>
      <c r="G646" s="719"/>
      <c r="H646" s="719"/>
      <c r="I646" s="719"/>
      <c r="J646" s="719"/>
      <c r="K646" s="719"/>
      <c r="L646" s="719"/>
      <c r="M646" s="719"/>
      <c r="N646" s="719"/>
      <c r="O646" s="719"/>
      <c r="P646" s="716"/>
      <c r="Q646" s="716"/>
      <c r="R646" s="716"/>
      <c r="S646" s="667">
        <v>0</v>
      </c>
      <c r="T646" s="667">
        <v>100</v>
      </c>
      <c r="U646" s="667">
        <v>0</v>
      </c>
      <c r="V646" s="667">
        <v>25.46</v>
      </c>
      <c r="W646" s="667">
        <v>0</v>
      </c>
      <c r="X646" s="667">
        <v>0</v>
      </c>
      <c r="Y646" s="667">
        <v>0</v>
      </c>
      <c r="Z646" s="667">
        <v>161.55000000000001</v>
      </c>
      <c r="AA646" s="667">
        <v>0</v>
      </c>
      <c r="AB646" s="667">
        <v>0</v>
      </c>
      <c r="AC646" s="686">
        <v>198.9</v>
      </c>
      <c r="AD646" s="686">
        <v>0</v>
      </c>
      <c r="AE646" s="667">
        <v>0</v>
      </c>
      <c r="AF646" s="719">
        <v>116.36</v>
      </c>
      <c r="AG646" s="686">
        <v>41.49</v>
      </c>
      <c r="AH646" s="716"/>
      <c r="AI646" s="716"/>
      <c r="AJ646" s="716"/>
      <c r="AK646" s="716"/>
      <c r="AL646" s="716"/>
      <c r="AM646" s="716"/>
      <c r="AN646" s="716"/>
      <c r="AO646" s="716"/>
      <c r="AP646" s="716"/>
      <c r="AQ646" s="716"/>
      <c r="AR646" s="716"/>
      <c r="AS646" s="716"/>
      <c r="AT646" s="716"/>
      <c r="AU646" s="716"/>
      <c r="AV646" s="716"/>
      <c r="AW646" s="716"/>
      <c r="AX646" s="716"/>
      <c r="AY646" s="716"/>
      <c r="AZ646" s="716"/>
      <c r="BA646" s="716"/>
      <c r="BB646" s="716"/>
      <c r="BC646" s="716"/>
      <c r="BD646" s="716"/>
      <c r="BE646" s="716"/>
      <c r="BF646" s="716"/>
      <c r="BG646" s="716"/>
      <c r="BH646" s="716"/>
      <c r="BI646" s="716"/>
      <c r="BJ646" s="716"/>
      <c r="BK646" s="716"/>
      <c r="BL646" s="716"/>
      <c r="BM646" s="716"/>
      <c r="BN646" s="716"/>
      <c r="BO646" s="716"/>
      <c r="BP646" s="716"/>
      <c r="BQ646" s="716"/>
      <c r="BR646" s="716"/>
      <c r="BS646" s="716"/>
      <c r="BT646" s="716"/>
      <c r="BU646" s="716"/>
      <c r="BV646" s="716"/>
      <c r="BW646" s="716"/>
      <c r="BX646" s="716"/>
      <c r="BY646" s="716"/>
      <c r="BZ646" s="716"/>
      <c r="CA646" s="716"/>
    </row>
    <row r="647" spans="1:79" s="710" customFormat="1" hidden="1" outlineLevel="1" x14ac:dyDescent="0.25">
      <c r="A647" s="701"/>
      <c r="E647" s="40" t="s">
        <v>1345</v>
      </c>
      <c r="F647" s="1225" t="s">
        <v>601</v>
      </c>
      <c r="G647" s="733"/>
      <c r="H647" s="733"/>
      <c r="I647" s="733"/>
      <c r="J647" s="733"/>
      <c r="K647" s="733"/>
      <c r="L647" s="733"/>
      <c r="M647" s="733"/>
      <c r="N647" s="733"/>
      <c r="O647" s="733"/>
      <c r="P647" s="734"/>
      <c r="Q647" s="734"/>
      <c r="R647" s="734"/>
      <c r="S647" s="1223"/>
      <c r="T647" s="1223"/>
      <c r="U647" s="1223"/>
      <c r="V647" s="1223"/>
      <c r="W647" s="1223"/>
      <c r="X647" s="1223"/>
      <c r="Y647" s="1223"/>
      <c r="Z647" s="1223"/>
      <c r="AA647" s="1223"/>
      <c r="AB647" s="1223"/>
      <c r="AC647" s="711"/>
      <c r="AD647" s="711"/>
      <c r="AE647" s="1223"/>
      <c r="AF647" s="752"/>
      <c r="AG647" s="711"/>
      <c r="AH647" s="734"/>
      <c r="AI647" s="734"/>
      <c r="AJ647" s="734"/>
      <c r="AK647" s="734"/>
      <c r="AL647" s="734"/>
      <c r="AM647" s="734"/>
      <c r="AN647" s="734"/>
      <c r="AO647" s="734"/>
      <c r="AP647" s="734"/>
      <c r="AQ647" s="734"/>
      <c r="AR647" s="734"/>
      <c r="AS647" s="734"/>
      <c r="AT647" s="734"/>
      <c r="AU647" s="734"/>
      <c r="AV647" s="734"/>
      <c r="AW647" s="734"/>
      <c r="AX647" s="734"/>
      <c r="AY647" s="734"/>
      <c r="AZ647" s="734"/>
      <c r="BA647" s="734"/>
      <c r="BB647" s="734"/>
      <c r="BC647" s="734"/>
      <c r="BD647" s="734"/>
      <c r="BE647" s="734"/>
      <c r="BF647" s="734"/>
      <c r="BG647" s="734"/>
      <c r="BH647" s="734"/>
      <c r="BI647" s="734"/>
      <c r="BJ647" s="734"/>
      <c r="BK647" s="734"/>
      <c r="BL647" s="734"/>
      <c r="BM647" s="734"/>
      <c r="BN647" s="734"/>
      <c r="BO647" s="734"/>
      <c r="BP647" s="734"/>
      <c r="BQ647" s="734"/>
      <c r="BR647" s="734"/>
      <c r="BS647" s="734"/>
      <c r="BT647" s="734"/>
      <c r="BU647" s="734"/>
      <c r="BV647" s="734"/>
      <c r="BW647" s="734"/>
      <c r="BX647" s="734"/>
      <c r="BY647" s="734"/>
      <c r="BZ647" s="734"/>
      <c r="CA647" s="734"/>
    </row>
    <row r="648" spans="1:79" s="308" customFormat="1" hidden="1" outlineLevel="1" x14ac:dyDescent="0.25">
      <c r="A648" s="656"/>
      <c r="B648" s="571"/>
      <c r="C648" s="571"/>
      <c r="D648" s="571"/>
      <c r="E648" s="40" t="s">
        <v>1327</v>
      </c>
      <c r="F648" s="656" t="s">
        <v>895</v>
      </c>
      <c r="G648" s="719"/>
      <c r="H648" s="719"/>
      <c r="I648" s="719"/>
      <c r="J648" s="719"/>
      <c r="K648" s="719"/>
      <c r="L648" s="719"/>
      <c r="M648" s="719"/>
      <c r="N648" s="719"/>
      <c r="O648" s="719"/>
      <c r="P648" s="716"/>
      <c r="Q648" s="716"/>
      <c r="R648" s="716"/>
      <c r="S648" s="676"/>
      <c r="T648" s="676"/>
      <c r="U648" s="676"/>
      <c r="V648" s="676"/>
      <c r="W648" s="676"/>
      <c r="X648" s="676"/>
      <c r="Y648" s="676"/>
      <c r="Z648" s="676"/>
      <c r="AA648" s="676"/>
      <c r="AB648" s="676"/>
      <c r="AC648" s="689"/>
      <c r="AD648" s="689"/>
      <c r="AE648" s="676"/>
      <c r="AF648" s="724"/>
      <c r="AG648" s="689"/>
      <c r="AH648" s="716"/>
      <c r="AI648" s="716"/>
      <c r="AJ648" s="716"/>
      <c r="AK648" s="716"/>
      <c r="AL648" s="716"/>
      <c r="AM648" s="716"/>
      <c r="AN648" s="716"/>
      <c r="AO648" s="716"/>
      <c r="AP648" s="716"/>
      <c r="AQ648" s="716"/>
      <c r="AR648" s="716"/>
      <c r="AS648" s="716"/>
      <c r="AT648" s="716"/>
      <c r="AU648" s="716"/>
      <c r="AV648" s="716"/>
      <c r="AW648" s="716"/>
      <c r="AX648" s="716"/>
      <c r="AY648" s="716"/>
      <c r="AZ648" s="716"/>
      <c r="BA648" s="716"/>
      <c r="BB648" s="716"/>
      <c r="BC648" s="716"/>
      <c r="BD648" s="716"/>
      <c r="BE648" s="716"/>
      <c r="BF648" s="716"/>
      <c r="BG648" s="716"/>
      <c r="BH648" s="716"/>
      <c r="BI648" s="716"/>
      <c r="BJ648" s="716"/>
      <c r="BK648" s="716"/>
      <c r="BL648" s="716"/>
      <c r="BM648" s="716"/>
      <c r="BN648" s="716"/>
      <c r="BO648" s="716"/>
      <c r="BP648" s="716"/>
      <c r="BQ648" s="716"/>
      <c r="BR648" s="716"/>
      <c r="BS648" s="716"/>
      <c r="BT648" s="716"/>
      <c r="BU648" s="716"/>
      <c r="BV648" s="716"/>
      <c r="BW648" s="716"/>
      <c r="BX648" s="716"/>
      <c r="BY648" s="716"/>
      <c r="BZ648" s="716"/>
      <c r="CA648" s="716"/>
    </row>
    <row r="649" spans="1:79" s="308" customFormat="1" hidden="1" outlineLevel="1" x14ac:dyDescent="0.25">
      <c r="A649" s="661"/>
      <c r="B649" s="571"/>
      <c r="C649" s="571"/>
      <c r="D649" s="571"/>
      <c r="E649" s="40" t="s">
        <v>1327</v>
      </c>
      <c r="F649" s="661" t="s">
        <v>906</v>
      </c>
      <c r="G649" s="719"/>
      <c r="H649" s="719"/>
      <c r="I649" s="719"/>
      <c r="J649" s="719"/>
      <c r="K649" s="719"/>
      <c r="L649" s="719"/>
      <c r="M649" s="719"/>
      <c r="N649" s="719"/>
      <c r="O649" s="719"/>
      <c r="P649" s="716"/>
      <c r="Q649" s="716"/>
      <c r="R649" s="716"/>
      <c r="S649" s="676"/>
      <c r="T649" s="676"/>
      <c r="U649" s="676"/>
      <c r="V649" s="676"/>
      <c r="W649" s="676"/>
      <c r="X649" s="676"/>
      <c r="Y649" s="676"/>
      <c r="Z649" s="676"/>
      <c r="AA649" s="676"/>
      <c r="AB649" s="676"/>
      <c r="AC649" s="689"/>
      <c r="AD649" s="689"/>
      <c r="AE649" s="676">
        <v>0</v>
      </c>
      <c r="AF649" s="724">
        <v>0</v>
      </c>
      <c r="AG649" s="689">
        <v>0</v>
      </c>
      <c r="AH649" s="716"/>
      <c r="AI649" s="716"/>
      <c r="AJ649" s="716"/>
      <c r="AK649" s="716"/>
      <c r="AL649" s="716"/>
      <c r="AM649" s="716"/>
      <c r="AN649" s="716"/>
      <c r="AO649" s="716"/>
      <c r="AP649" s="716"/>
      <c r="AQ649" s="716"/>
      <c r="AR649" s="716"/>
      <c r="AS649" s="716"/>
      <c r="AT649" s="716"/>
      <c r="AU649" s="716"/>
      <c r="AV649" s="716"/>
      <c r="AW649" s="716"/>
      <c r="AX649" s="716"/>
      <c r="AY649" s="716"/>
      <c r="AZ649" s="716"/>
      <c r="BA649" s="716"/>
      <c r="BB649" s="716"/>
      <c r="BC649" s="716"/>
      <c r="BD649" s="716"/>
      <c r="BE649" s="716"/>
      <c r="BF649" s="716"/>
      <c r="BG649" s="716"/>
      <c r="BH649" s="716"/>
      <c r="BI649" s="716"/>
      <c r="BJ649" s="716"/>
      <c r="BK649" s="716"/>
      <c r="BL649" s="716"/>
      <c r="BM649" s="716"/>
      <c r="BN649" s="716"/>
      <c r="BO649" s="716"/>
      <c r="BP649" s="716"/>
      <c r="BQ649" s="716"/>
      <c r="BR649" s="716"/>
      <c r="BS649" s="716"/>
      <c r="BT649" s="716"/>
      <c r="BU649" s="716"/>
      <c r="BV649" s="716"/>
      <c r="BW649" s="716"/>
      <c r="BX649" s="716"/>
      <c r="BY649" s="716"/>
      <c r="BZ649" s="716"/>
      <c r="CA649" s="716"/>
    </row>
    <row r="650" spans="1:79" s="308" customFormat="1" hidden="1" outlineLevel="1" x14ac:dyDescent="0.25">
      <c r="A650" s="661"/>
      <c r="B650" s="571"/>
      <c r="C650" s="571"/>
      <c r="D650" s="571"/>
      <c r="E650" s="40" t="s">
        <v>657</v>
      </c>
      <c r="F650" s="661" t="s">
        <v>641</v>
      </c>
      <c r="G650" s="719"/>
      <c r="H650" s="719"/>
      <c r="I650" s="719"/>
      <c r="J650" s="719"/>
      <c r="K650" s="719"/>
      <c r="L650" s="719"/>
      <c r="M650" s="719"/>
      <c r="N650" s="719"/>
      <c r="O650" s="719"/>
      <c r="P650" s="716"/>
      <c r="Q650" s="716"/>
      <c r="R650" s="716"/>
      <c r="S650" s="676"/>
      <c r="T650" s="676"/>
      <c r="U650" s="676"/>
      <c r="V650" s="676"/>
      <c r="W650" s="676"/>
      <c r="X650" s="676"/>
      <c r="Y650" s="676"/>
      <c r="Z650" s="676"/>
      <c r="AA650" s="676"/>
      <c r="AB650" s="676"/>
      <c r="AC650" s="689"/>
      <c r="AD650" s="689"/>
      <c r="AE650" s="676">
        <v>1715.45</v>
      </c>
      <c r="AF650" s="724">
        <v>1715.45</v>
      </c>
      <c r="AG650" s="689">
        <v>1715.45</v>
      </c>
      <c r="AH650" s="716"/>
      <c r="AI650" s="716"/>
      <c r="AJ650" s="716"/>
      <c r="AK650" s="716"/>
      <c r="AL650" s="716"/>
      <c r="AM650" s="716"/>
      <c r="AN650" s="716"/>
      <c r="AO650" s="716"/>
      <c r="AP650" s="716"/>
      <c r="AQ650" s="716"/>
      <c r="AR650" s="716"/>
      <c r="AS650" s="716"/>
      <c r="AT650" s="716"/>
      <c r="AU650" s="716"/>
      <c r="AV650" s="716"/>
      <c r="AW650" s="716"/>
      <c r="AX650" s="716"/>
      <c r="AY650" s="716"/>
      <c r="AZ650" s="716"/>
      <c r="BA650" s="716"/>
      <c r="BB650" s="716"/>
      <c r="BC650" s="716"/>
      <c r="BD650" s="716"/>
      <c r="BE650" s="716"/>
      <c r="BF650" s="716"/>
      <c r="BG650" s="716"/>
      <c r="BH650" s="716"/>
      <c r="BI650" s="716"/>
      <c r="BJ650" s="716"/>
      <c r="BK650" s="716"/>
      <c r="BL650" s="716"/>
      <c r="BM650" s="716"/>
      <c r="BN650" s="716"/>
      <c r="BO650" s="716"/>
      <c r="BP650" s="716"/>
      <c r="BQ650" s="716"/>
      <c r="BR650" s="716"/>
      <c r="BS650" s="716"/>
      <c r="BT650" s="716"/>
      <c r="BU650" s="716"/>
      <c r="BV650" s="716"/>
      <c r="BW650" s="716"/>
      <c r="BX650" s="716"/>
      <c r="BY650" s="716"/>
      <c r="BZ650" s="716"/>
      <c r="CA650" s="716"/>
    </row>
    <row r="651" spans="1:79" s="308" customFormat="1" hidden="1" outlineLevel="1" x14ac:dyDescent="0.25">
      <c r="A651" s="661"/>
      <c r="B651" s="571"/>
      <c r="C651" s="571"/>
      <c r="D651" s="571"/>
      <c r="E651" s="40" t="s">
        <v>657</v>
      </c>
      <c r="F651" s="661" t="s">
        <v>1322</v>
      </c>
      <c r="G651" s="719"/>
      <c r="H651" s="719"/>
      <c r="I651" s="719"/>
      <c r="J651" s="719"/>
      <c r="K651" s="719"/>
      <c r="L651" s="719"/>
      <c r="M651" s="719"/>
      <c r="N651" s="719"/>
      <c r="O651" s="719"/>
      <c r="P651" s="716"/>
      <c r="Q651" s="716"/>
      <c r="R651" s="716"/>
      <c r="S651" s="676"/>
      <c r="T651" s="676"/>
      <c r="U651" s="676"/>
      <c r="V651" s="676"/>
      <c r="W651" s="676"/>
      <c r="X651" s="676"/>
      <c r="Y651" s="676"/>
      <c r="Z651" s="676"/>
      <c r="AA651" s="676"/>
      <c r="AB651" s="676"/>
      <c r="AC651" s="689"/>
      <c r="AD651" s="689"/>
      <c r="AE651" s="676">
        <v>83.18</v>
      </c>
      <c r="AF651" s="724">
        <v>69.739999999999995</v>
      </c>
      <c r="AG651" s="689">
        <v>40.24</v>
      </c>
      <c r="AH651" s="716"/>
      <c r="AI651" s="716"/>
      <c r="AJ651" s="716"/>
      <c r="AK651" s="716"/>
      <c r="AL651" s="716"/>
      <c r="AM651" s="716"/>
      <c r="AN651" s="716"/>
      <c r="AO651" s="716"/>
      <c r="AP651" s="716"/>
      <c r="AQ651" s="716"/>
      <c r="AR651" s="716"/>
      <c r="AS651" s="716"/>
      <c r="AT651" s="716"/>
      <c r="AU651" s="716"/>
      <c r="AV651" s="716"/>
      <c r="AW651" s="716"/>
      <c r="AX651" s="716"/>
      <c r="AY651" s="716"/>
      <c r="AZ651" s="716"/>
      <c r="BA651" s="716"/>
      <c r="BB651" s="716"/>
      <c r="BC651" s="716"/>
      <c r="BD651" s="716"/>
      <c r="BE651" s="716"/>
      <c r="BF651" s="716"/>
      <c r="BG651" s="716"/>
      <c r="BH651" s="716"/>
      <c r="BI651" s="716"/>
      <c r="BJ651" s="716"/>
      <c r="BK651" s="716"/>
      <c r="BL651" s="716"/>
      <c r="BM651" s="716"/>
      <c r="BN651" s="716"/>
      <c r="BO651" s="716"/>
      <c r="BP651" s="716"/>
      <c r="BQ651" s="716"/>
      <c r="BR651" s="716"/>
      <c r="BS651" s="716"/>
      <c r="BT651" s="716"/>
      <c r="BU651" s="716"/>
      <c r="BV651" s="716"/>
      <c r="BW651" s="716"/>
      <c r="BX651" s="716"/>
      <c r="BY651" s="716"/>
      <c r="BZ651" s="716"/>
      <c r="CA651" s="716"/>
    </row>
    <row r="652" spans="1:79" s="308" customFormat="1" ht="15.75" hidden="1" customHeight="1" outlineLevel="1" x14ac:dyDescent="0.25">
      <c r="A652" s="661"/>
      <c r="B652" s="571"/>
      <c r="C652" s="571"/>
      <c r="D652" s="571"/>
      <c r="E652" s="40" t="s">
        <v>1327</v>
      </c>
      <c r="F652" s="661" t="s">
        <v>896</v>
      </c>
      <c r="G652" s="719"/>
      <c r="H652" s="719"/>
      <c r="I652" s="719"/>
      <c r="J652" s="719"/>
      <c r="K652" s="719"/>
      <c r="L652" s="719"/>
      <c r="M652" s="719"/>
      <c r="N652" s="719"/>
      <c r="O652" s="719"/>
      <c r="P652" s="716"/>
      <c r="Q652" s="716"/>
      <c r="R652" s="716"/>
      <c r="S652" s="676">
        <v>0</v>
      </c>
      <c r="T652" s="676">
        <v>0</v>
      </c>
      <c r="U652" s="676">
        <v>0</v>
      </c>
      <c r="V652" s="676">
        <v>0</v>
      </c>
      <c r="W652" s="676">
        <v>0</v>
      </c>
      <c r="X652" s="676">
        <v>0</v>
      </c>
      <c r="Y652" s="676">
        <v>0</v>
      </c>
      <c r="Z652" s="676">
        <v>0</v>
      </c>
      <c r="AA652" s="676">
        <v>0</v>
      </c>
      <c r="AB652" s="676">
        <v>0</v>
      </c>
      <c r="AC652" s="689">
        <v>1403.81</v>
      </c>
      <c r="AD652" s="689">
        <v>0</v>
      </c>
      <c r="AE652" s="676">
        <v>70</v>
      </c>
      <c r="AF652" s="724">
        <v>0</v>
      </c>
      <c r="AG652" s="689">
        <v>70</v>
      </c>
      <c r="AH652" s="716"/>
      <c r="AI652" s="716"/>
      <c r="AJ652" s="716"/>
      <c r="AK652" s="716"/>
      <c r="AL652" s="716"/>
      <c r="AM652" s="716"/>
      <c r="AN652" s="716"/>
      <c r="AO652" s="716"/>
      <c r="AP652" s="716"/>
      <c r="AQ652" s="716"/>
      <c r="AR652" s="716"/>
      <c r="AS652" s="716"/>
      <c r="AT652" s="716"/>
      <c r="AU652" s="716"/>
      <c r="AV652" s="716"/>
      <c r="AW652" s="716"/>
      <c r="AX652" s="716"/>
      <c r="AY652" s="716"/>
      <c r="AZ652" s="716"/>
      <c r="BA652" s="716"/>
      <c r="BB652" s="716"/>
      <c r="BC652" s="716"/>
      <c r="BD652" s="716"/>
      <c r="BE652" s="716"/>
      <c r="BF652" s="716"/>
      <c r="BG652" s="716"/>
      <c r="BH652" s="716"/>
      <c r="BI652" s="716"/>
      <c r="BJ652" s="716"/>
      <c r="BK652" s="716"/>
      <c r="BL652" s="716"/>
      <c r="BM652" s="716"/>
      <c r="BN652" s="716"/>
      <c r="BO652" s="716"/>
      <c r="BP652" s="716"/>
      <c r="BQ652" s="716"/>
      <c r="BR652" s="716"/>
      <c r="BS652" s="716"/>
      <c r="BT652" s="716"/>
      <c r="BU652" s="716"/>
      <c r="BV652" s="716"/>
      <c r="BW652" s="716"/>
      <c r="BX652" s="716"/>
      <c r="BY652" s="716"/>
      <c r="BZ652" s="716"/>
      <c r="CA652" s="716"/>
    </row>
    <row r="653" spans="1:79" s="308" customFormat="1" hidden="1" outlineLevel="1" x14ac:dyDescent="0.25">
      <c r="A653" s="661"/>
      <c r="B653" s="571"/>
      <c r="C653" s="571"/>
      <c r="D653" s="571"/>
      <c r="E653" s="40" t="s">
        <v>1327</v>
      </c>
      <c r="F653" s="661" t="s">
        <v>897</v>
      </c>
      <c r="G653" s="719"/>
      <c r="H653" s="719"/>
      <c r="I653" s="719"/>
      <c r="J653" s="719"/>
      <c r="K653" s="719"/>
      <c r="L653" s="719"/>
      <c r="M653" s="719"/>
      <c r="N653" s="719"/>
      <c r="O653" s="719"/>
      <c r="P653" s="716"/>
      <c r="Q653" s="716"/>
      <c r="R653" s="716"/>
      <c r="S653" s="676">
        <v>0</v>
      </c>
      <c r="T653" s="676">
        <v>0</v>
      </c>
      <c r="U653" s="676">
        <v>0</v>
      </c>
      <c r="V653" s="676">
        <v>0</v>
      </c>
      <c r="W653" s="676">
        <v>0</v>
      </c>
      <c r="X653" s="676">
        <v>0</v>
      </c>
      <c r="Y653" s="676">
        <v>0</v>
      </c>
      <c r="Z653" s="676">
        <v>0</v>
      </c>
      <c r="AA653" s="676">
        <v>0</v>
      </c>
      <c r="AB653" s="676">
        <v>0</v>
      </c>
      <c r="AC653" s="689">
        <v>144.99</v>
      </c>
      <c r="AD653" s="689">
        <v>0</v>
      </c>
      <c r="AE653" s="676">
        <v>0</v>
      </c>
      <c r="AF653" s="724">
        <v>0</v>
      </c>
      <c r="AG653" s="689">
        <v>0</v>
      </c>
      <c r="AH653" s="716"/>
      <c r="AI653" s="716"/>
      <c r="AJ653" s="716"/>
      <c r="AK653" s="716"/>
      <c r="AL653" s="716"/>
      <c r="AM653" s="716"/>
      <c r="AN653" s="716"/>
      <c r="AO653" s="716"/>
      <c r="AP653" s="716"/>
      <c r="AQ653" s="716"/>
      <c r="AR653" s="716"/>
      <c r="AS653" s="716"/>
      <c r="AT653" s="716"/>
      <c r="AU653" s="716"/>
      <c r="AV653" s="716"/>
      <c r="AW653" s="716"/>
      <c r="AX653" s="716"/>
      <c r="AY653" s="716"/>
      <c r="AZ653" s="716"/>
      <c r="BA653" s="716"/>
      <c r="BB653" s="716"/>
      <c r="BC653" s="716"/>
      <c r="BD653" s="716"/>
      <c r="BE653" s="716"/>
      <c r="BF653" s="716"/>
      <c r="BG653" s="716"/>
      <c r="BH653" s="716"/>
      <c r="BI653" s="716"/>
      <c r="BJ653" s="716"/>
      <c r="BK653" s="716"/>
      <c r="BL653" s="716"/>
      <c r="BM653" s="716"/>
      <c r="BN653" s="716"/>
      <c r="BO653" s="716"/>
      <c r="BP653" s="716"/>
      <c r="BQ653" s="716"/>
      <c r="BR653" s="716"/>
      <c r="BS653" s="716"/>
      <c r="BT653" s="716"/>
      <c r="BU653" s="716"/>
      <c r="BV653" s="716"/>
      <c r="BW653" s="716"/>
      <c r="BX653" s="716"/>
      <c r="BY653" s="716"/>
      <c r="BZ653" s="716"/>
      <c r="CA653" s="716"/>
    </row>
    <row r="654" spans="1:79" s="308" customFormat="1" hidden="1" outlineLevel="1" x14ac:dyDescent="0.25">
      <c r="A654" s="661"/>
      <c r="B654" s="571"/>
      <c r="C654" s="571"/>
      <c r="D654" s="571"/>
      <c r="E654" s="40" t="s">
        <v>657</v>
      </c>
      <c r="F654" s="661" t="s">
        <v>898</v>
      </c>
      <c r="G654" s="719"/>
      <c r="H654" s="719"/>
      <c r="I654" s="719"/>
      <c r="J654" s="719"/>
      <c r="K654" s="719"/>
      <c r="L654" s="719"/>
      <c r="M654" s="719"/>
      <c r="N654" s="719"/>
      <c r="O654" s="719"/>
      <c r="P654" s="716"/>
      <c r="Q654" s="716"/>
      <c r="R654" s="716"/>
      <c r="S654" s="676">
        <v>0</v>
      </c>
      <c r="T654" s="676">
        <v>0</v>
      </c>
      <c r="U654" s="676">
        <v>0</v>
      </c>
      <c r="V654" s="676">
        <v>0</v>
      </c>
      <c r="W654" s="676">
        <v>0</v>
      </c>
      <c r="X654" s="676">
        <v>0</v>
      </c>
      <c r="Y654" s="676">
        <v>0</v>
      </c>
      <c r="Z654" s="676">
        <v>0</v>
      </c>
      <c r="AA654" s="676">
        <v>0</v>
      </c>
      <c r="AB654" s="676">
        <v>0</v>
      </c>
      <c r="AC654" s="689">
        <v>0</v>
      </c>
      <c r="AD654" s="689">
        <v>1461.53</v>
      </c>
      <c r="AE654" s="676"/>
      <c r="AF654" s="724"/>
      <c r="AG654" s="689"/>
      <c r="AH654" s="716"/>
      <c r="AI654" s="716"/>
      <c r="AJ654" s="716"/>
      <c r="AK654" s="716"/>
      <c r="AL654" s="716"/>
      <c r="AM654" s="716"/>
      <c r="AN654" s="716"/>
      <c r="AO654" s="716"/>
      <c r="AP654" s="716"/>
      <c r="AQ654" s="716"/>
      <c r="AR654" s="716"/>
      <c r="AS654" s="716"/>
      <c r="AT654" s="716"/>
      <c r="AU654" s="716"/>
      <c r="AV654" s="716"/>
      <c r="AW654" s="716"/>
      <c r="AX654" s="716"/>
      <c r="AY654" s="716"/>
      <c r="AZ654" s="716"/>
      <c r="BA654" s="716"/>
      <c r="BB654" s="716"/>
      <c r="BC654" s="716"/>
      <c r="BD654" s="716"/>
      <c r="BE654" s="716"/>
      <c r="BF654" s="716"/>
      <c r="BG654" s="716"/>
      <c r="BH654" s="716"/>
      <c r="BI654" s="716"/>
      <c r="BJ654" s="716"/>
      <c r="BK654" s="716"/>
      <c r="BL654" s="716"/>
      <c r="BM654" s="716"/>
      <c r="BN654" s="716"/>
      <c r="BO654" s="716"/>
      <c r="BP654" s="716"/>
      <c r="BQ654" s="716"/>
      <c r="BR654" s="716"/>
      <c r="BS654" s="716"/>
      <c r="BT654" s="716"/>
      <c r="BU654" s="716"/>
      <c r="BV654" s="716"/>
      <c r="BW654" s="716"/>
      <c r="BX654" s="716"/>
      <c r="BY654" s="716"/>
      <c r="BZ654" s="716"/>
      <c r="CA654" s="716"/>
    </row>
    <row r="655" spans="1:79" s="308" customFormat="1" hidden="1" outlineLevel="1" x14ac:dyDescent="0.25">
      <c r="A655" s="661"/>
      <c r="B655" s="571"/>
      <c r="C655" s="571"/>
      <c r="D655" s="571"/>
      <c r="E655" s="40" t="s">
        <v>1327</v>
      </c>
      <c r="F655" s="661" t="s">
        <v>899</v>
      </c>
      <c r="G655" s="719"/>
      <c r="H655" s="719"/>
      <c r="I655" s="719"/>
      <c r="J655" s="719"/>
      <c r="K655" s="719"/>
      <c r="L655" s="719"/>
      <c r="M655" s="719"/>
      <c r="N655" s="719"/>
      <c r="O655" s="719"/>
      <c r="P655" s="716"/>
      <c r="Q655" s="716"/>
      <c r="R655" s="716"/>
      <c r="S655" s="676">
        <v>0</v>
      </c>
      <c r="T655" s="676">
        <v>0</v>
      </c>
      <c r="U655" s="676">
        <v>0</v>
      </c>
      <c r="V655" s="676">
        <v>0</v>
      </c>
      <c r="W655" s="676">
        <v>0</v>
      </c>
      <c r="X655" s="676">
        <v>0</v>
      </c>
      <c r="Y655" s="676">
        <v>0</v>
      </c>
      <c r="Z655" s="676">
        <v>0</v>
      </c>
      <c r="AA655" s="676">
        <v>0</v>
      </c>
      <c r="AB655" s="676">
        <v>0</v>
      </c>
      <c r="AC655" s="689">
        <v>0</v>
      </c>
      <c r="AD655" s="689">
        <v>0</v>
      </c>
      <c r="AE655" s="676">
        <v>0</v>
      </c>
      <c r="AF655" s="724">
        <v>0</v>
      </c>
      <c r="AG655" s="689">
        <v>0</v>
      </c>
      <c r="AH655" s="716"/>
      <c r="AI655" s="716"/>
      <c r="AJ655" s="716"/>
      <c r="AK655" s="716"/>
      <c r="AL655" s="716"/>
      <c r="AM655" s="716"/>
      <c r="AN655" s="716"/>
      <c r="AO655" s="716"/>
      <c r="AP655" s="716"/>
      <c r="AQ655" s="716"/>
      <c r="AR655" s="716"/>
      <c r="AS655" s="716"/>
      <c r="AT655" s="716"/>
      <c r="AU655" s="716"/>
      <c r="AV655" s="716"/>
      <c r="AW655" s="716"/>
      <c r="AX655" s="716"/>
      <c r="AY655" s="716"/>
      <c r="AZ655" s="716"/>
      <c r="BA655" s="716"/>
      <c r="BB655" s="716"/>
      <c r="BC655" s="716"/>
      <c r="BD655" s="716"/>
      <c r="BE655" s="716"/>
      <c r="BF655" s="716"/>
      <c r="BG655" s="716"/>
      <c r="BH655" s="716"/>
      <c r="BI655" s="716"/>
      <c r="BJ655" s="716"/>
      <c r="BK655" s="716"/>
      <c r="BL655" s="716"/>
      <c r="BM655" s="716"/>
      <c r="BN655" s="716"/>
      <c r="BO655" s="716"/>
      <c r="BP655" s="716"/>
      <c r="BQ655" s="716"/>
      <c r="BR655" s="716"/>
      <c r="BS655" s="716"/>
      <c r="BT655" s="716"/>
      <c r="BU655" s="716"/>
      <c r="BV655" s="716"/>
      <c r="BW655" s="716"/>
      <c r="BX655" s="716"/>
      <c r="BY655" s="716"/>
      <c r="BZ655" s="716"/>
      <c r="CA655" s="716"/>
    </row>
    <row r="656" spans="1:79" s="308" customFormat="1" hidden="1" outlineLevel="1" x14ac:dyDescent="0.25">
      <c r="A656" s="661"/>
      <c r="B656" s="571"/>
      <c r="C656" s="571"/>
      <c r="D656" s="571"/>
      <c r="E656" s="40" t="s">
        <v>1327</v>
      </c>
      <c r="F656" s="661" t="s">
        <v>900</v>
      </c>
      <c r="G656" s="719"/>
      <c r="H656" s="719"/>
      <c r="I656" s="719"/>
      <c r="J656" s="719"/>
      <c r="K656" s="719"/>
      <c r="L656" s="719"/>
      <c r="M656" s="719"/>
      <c r="N656" s="719"/>
      <c r="O656" s="719"/>
      <c r="P656" s="716"/>
      <c r="Q656" s="716"/>
      <c r="R656" s="716"/>
      <c r="S656" s="676">
        <v>0</v>
      </c>
      <c r="T656" s="676">
        <v>0</v>
      </c>
      <c r="U656" s="676">
        <v>0</v>
      </c>
      <c r="V656" s="676">
        <v>0</v>
      </c>
      <c r="W656" s="676">
        <v>0</v>
      </c>
      <c r="X656" s="676">
        <v>0</v>
      </c>
      <c r="Y656" s="676">
        <v>0</v>
      </c>
      <c r="Z656" s="676">
        <v>0</v>
      </c>
      <c r="AA656" s="676">
        <v>0</v>
      </c>
      <c r="AB656" s="676">
        <v>0</v>
      </c>
      <c r="AC656" s="689">
        <v>0</v>
      </c>
      <c r="AD656" s="689">
        <v>0</v>
      </c>
      <c r="AE656" s="676">
        <v>0</v>
      </c>
      <c r="AF656" s="724">
        <v>0</v>
      </c>
      <c r="AG656" s="689">
        <v>0</v>
      </c>
      <c r="AH656" s="716"/>
      <c r="AI656" s="716"/>
      <c r="AJ656" s="716"/>
      <c r="AK656" s="716"/>
      <c r="AL656" s="716"/>
      <c r="AM656" s="716"/>
      <c r="AN656" s="716"/>
      <c r="AO656" s="716"/>
      <c r="AP656" s="716"/>
      <c r="AQ656" s="716"/>
      <c r="AR656" s="716"/>
      <c r="AS656" s="716"/>
      <c r="AT656" s="716"/>
      <c r="AU656" s="716"/>
      <c r="AV656" s="716"/>
      <c r="AW656" s="716"/>
      <c r="AX656" s="716"/>
      <c r="AY656" s="716"/>
      <c r="AZ656" s="716"/>
      <c r="BA656" s="716"/>
      <c r="BB656" s="716"/>
      <c r="BC656" s="716"/>
      <c r="BD656" s="716"/>
      <c r="BE656" s="716"/>
      <c r="BF656" s="716"/>
      <c r="BG656" s="716"/>
      <c r="BH656" s="716"/>
      <c r="BI656" s="716"/>
      <c r="BJ656" s="716"/>
      <c r="BK656" s="716"/>
      <c r="BL656" s="716"/>
      <c r="BM656" s="716"/>
      <c r="BN656" s="716"/>
      <c r="BO656" s="716"/>
      <c r="BP656" s="716"/>
      <c r="BQ656" s="716"/>
      <c r="BR656" s="716"/>
      <c r="BS656" s="716"/>
      <c r="BT656" s="716"/>
      <c r="BU656" s="716"/>
      <c r="BV656" s="716"/>
      <c r="BW656" s="716"/>
      <c r="BX656" s="716"/>
      <c r="BY656" s="716"/>
      <c r="BZ656" s="716"/>
      <c r="CA656" s="716"/>
    </row>
    <row r="657" spans="1:79" s="308" customFormat="1" hidden="1" outlineLevel="1" x14ac:dyDescent="0.25">
      <c r="A657" s="657"/>
      <c r="B657" s="571"/>
      <c r="C657" s="571"/>
      <c r="D657" s="571"/>
      <c r="E657" s="40" t="s">
        <v>49</v>
      </c>
      <c r="F657" s="1218" t="s">
        <v>901</v>
      </c>
      <c r="G657" s="1219">
        <f t="shared" ref="G657:R657" si="271">SUM(G648:G656)</f>
        <v>0</v>
      </c>
      <c r="H657" s="1219">
        <f t="shared" si="271"/>
        <v>0</v>
      </c>
      <c r="I657" s="1219">
        <f t="shared" si="271"/>
        <v>0</v>
      </c>
      <c r="J657" s="1219">
        <f t="shared" si="271"/>
        <v>0</v>
      </c>
      <c r="K657" s="1219">
        <f t="shared" si="271"/>
        <v>0</v>
      </c>
      <c r="L657" s="1219">
        <f t="shared" si="271"/>
        <v>0</v>
      </c>
      <c r="M657" s="1219">
        <f t="shared" si="271"/>
        <v>0</v>
      </c>
      <c r="N657" s="1219">
        <f t="shared" si="271"/>
        <v>0</v>
      </c>
      <c r="O657" s="1219">
        <f t="shared" si="271"/>
        <v>0</v>
      </c>
      <c r="P657" s="1219">
        <f t="shared" si="271"/>
        <v>0</v>
      </c>
      <c r="Q657" s="1219">
        <f t="shared" si="271"/>
        <v>0</v>
      </c>
      <c r="R657" s="1219">
        <f t="shared" si="271"/>
        <v>0</v>
      </c>
      <c r="S657" s="1224">
        <f t="shared" ref="S657:AB657" si="272">ROUND(SUM(S648:S656),5)</f>
        <v>0</v>
      </c>
      <c r="T657" s="1224">
        <f t="shared" si="272"/>
        <v>0</v>
      </c>
      <c r="U657" s="1224">
        <f t="shared" si="272"/>
        <v>0</v>
      </c>
      <c r="V657" s="1224">
        <f t="shared" si="272"/>
        <v>0</v>
      </c>
      <c r="W657" s="1224">
        <f t="shared" si="272"/>
        <v>0</v>
      </c>
      <c r="X657" s="1224">
        <f t="shared" si="272"/>
        <v>0</v>
      </c>
      <c r="Y657" s="1224">
        <f t="shared" si="272"/>
        <v>0</v>
      </c>
      <c r="Z657" s="1224">
        <f t="shared" si="272"/>
        <v>0</v>
      </c>
      <c r="AA657" s="1224">
        <f t="shared" si="272"/>
        <v>0</v>
      </c>
      <c r="AB657" s="1224">
        <f t="shared" si="272"/>
        <v>0</v>
      </c>
      <c r="AC657" s="1224">
        <f>ROUND(SUM(AC648:AC656),5)</f>
        <v>1548.8</v>
      </c>
      <c r="AD657" s="1224">
        <f>ROUND(SUM(AD648:AD656),5)</f>
        <v>1461.53</v>
      </c>
      <c r="AE657" s="1224">
        <f>ROUND(SUM(AE648:AE656),5)</f>
        <v>1868.63</v>
      </c>
      <c r="AF657" s="664">
        <f>ROUND(SUM(AF648:AF656),5)</f>
        <v>1785.19</v>
      </c>
      <c r="AG657" s="679">
        <f>ROUND(SUM(AG648:AG656),5)</f>
        <v>1825.69</v>
      </c>
      <c r="AH657" s="664">
        <f t="shared" ref="AH657:BJ657" si="273">SUM(AH648:AH656)</f>
        <v>0</v>
      </c>
      <c r="AI657" s="664">
        <f t="shared" si="273"/>
        <v>0</v>
      </c>
      <c r="AJ657" s="664">
        <f t="shared" si="273"/>
        <v>0</v>
      </c>
      <c r="AK657" s="664">
        <f t="shared" si="273"/>
        <v>0</v>
      </c>
      <c r="AL657" s="664">
        <f t="shared" si="273"/>
        <v>0</v>
      </c>
      <c r="AM657" s="664">
        <f t="shared" si="273"/>
        <v>0</v>
      </c>
      <c r="AN657" s="664">
        <f t="shared" si="273"/>
        <v>0</v>
      </c>
      <c r="AO657" s="664">
        <f t="shared" si="273"/>
        <v>0</v>
      </c>
      <c r="AP657" s="664">
        <f t="shared" si="273"/>
        <v>0</v>
      </c>
      <c r="AQ657" s="664">
        <f t="shared" si="273"/>
        <v>0</v>
      </c>
      <c r="AR657" s="664">
        <f t="shared" si="273"/>
        <v>0</v>
      </c>
      <c r="AS657" s="664">
        <f t="shared" si="273"/>
        <v>0</v>
      </c>
      <c r="AT657" s="664">
        <f t="shared" si="273"/>
        <v>0</v>
      </c>
      <c r="AU657" s="664">
        <f t="shared" si="273"/>
        <v>0</v>
      </c>
      <c r="AV657" s="664">
        <f t="shared" si="273"/>
        <v>0</v>
      </c>
      <c r="AW657" s="664">
        <f t="shared" si="273"/>
        <v>0</v>
      </c>
      <c r="AX657" s="664">
        <f t="shared" si="273"/>
        <v>0</v>
      </c>
      <c r="AY657" s="664">
        <f t="shared" si="273"/>
        <v>0</v>
      </c>
      <c r="AZ657" s="664">
        <f t="shared" si="273"/>
        <v>0</v>
      </c>
      <c r="BA657" s="664">
        <f t="shared" si="273"/>
        <v>0</v>
      </c>
      <c r="BB657" s="664">
        <f t="shared" si="273"/>
        <v>0</v>
      </c>
      <c r="BC657" s="664">
        <f t="shared" si="273"/>
        <v>0</v>
      </c>
      <c r="BD657" s="664">
        <f t="shared" si="273"/>
        <v>0</v>
      </c>
      <c r="BE657" s="664">
        <f t="shared" si="273"/>
        <v>0</v>
      </c>
      <c r="BF657" s="664">
        <f t="shared" si="273"/>
        <v>0</v>
      </c>
      <c r="BG657" s="664">
        <f t="shared" si="273"/>
        <v>0</v>
      </c>
      <c r="BH657" s="664">
        <f t="shared" si="273"/>
        <v>0</v>
      </c>
      <c r="BI657" s="664">
        <f t="shared" si="273"/>
        <v>0</v>
      </c>
      <c r="BJ657" s="664">
        <f t="shared" si="273"/>
        <v>0</v>
      </c>
      <c r="BK657" s="664">
        <f t="shared" ref="BK657:CA657" si="274">SUM(BK648:BK656)</f>
        <v>0</v>
      </c>
      <c r="BL657" s="664">
        <f t="shared" si="274"/>
        <v>0</v>
      </c>
      <c r="BM657" s="664">
        <f t="shared" si="274"/>
        <v>0</v>
      </c>
      <c r="BN657" s="664">
        <f t="shared" si="274"/>
        <v>0</v>
      </c>
      <c r="BO657" s="664">
        <f t="shared" si="274"/>
        <v>0</v>
      </c>
      <c r="BP657" s="664">
        <f t="shared" si="274"/>
        <v>0</v>
      </c>
      <c r="BQ657" s="664">
        <f t="shared" si="274"/>
        <v>0</v>
      </c>
      <c r="BR657" s="664">
        <f t="shared" si="274"/>
        <v>0</v>
      </c>
      <c r="BS657" s="664">
        <f t="shared" si="274"/>
        <v>0</v>
      </c>
      <c r="BT657" s="664">
        <f t="shared" si="274"/>
        <v>0</v>
      </c>
      <c r="BU657" s="664">
        <f t="shared" si="274"/>
        <v>0</v>
      </c>
      <c r="BV657" s="664">
        <f t="shared" si="274"/>
        <v>0</v>
      </c>
      <c r="BW657" s="664">
        <f t="shared" si="274"/>
        <v>0</v>
      </c>
      <c r="BX657" s="664">
        <f t="shared" si="274"/>
        <v>0</v>
      </c>
      <c r="BY657" s="664">
        <f t="shared" si="274"/>
        <v>0</v>
      </c>
      <c r="BZ657" s="664">
        <f t="shared" si="274"/>
        <v>0</v>
      </c>
      <c r="CA657" s="664">
        <f t="shared" si="274"/>
        <v>0</v>
      </c>
    </row>
    <row r="658" spans="1:79" s="700" customFormat="1" hidden="1" outlineLevel="1" x14ac:dyDescent="0.25">
      <c r="A658" s="701"/>
      <c r="E658" s="40" t="s">
        <v>1344</v>
      </c>
      <c r="F658" s="1225" t="s">
        <v>626</v>
      </c>
      <c r="G658" s="733"/>
      <c r="H658" s="733"/>
      <c r="I658" s="733"/>
      <c r="J658" s="733"/>
      <c r="K658" s="733"/>
      <c r="L658" s="733"/>
      <c r="M658" s="733"/>
      <c r="N658" s="733"/>
      <c r="O658" s="733"/>
      <c r="P658" s="734"/>
      <c r="Q658" s="734"/>
      <c r="R658" s="734"/>
      <c r="S658" s="1223"/>
      <c r="T658" s="1223"/>
      <c r="U658" s="1223"/>
      <c r="V658" s="1223"/>
      <c r="W658" s="1223"/>
      <c r="X658" s="1223"/>
      <c r="Y658" s="1223"/>
      <c r="Z658" s="1223"/>
      <c r="AA658" s="1223"/>
      <c r="AB658" s="1223"/>
      <c r="AC658" s="712"/>
      <c r="AD658" s="712"/>
      <c r="AE658" s="1223"/>
      <c r="AF658" s="752"/>
      <c r="AG658" s="712"/>
      <c r="AH658" s="734"/>
      <c r="AI658" s="734"/>
      <c r="AJ658" s="734"/>
      <c r="AK658" s="734"/>
      <c r="AL658" s="734"/>
      <c r="AM658" s="734"/>
      <c r="AN658" s="734"/>
      <c r="AO658" s="734"/>
      <c r="AP658" s="734"/>
      <c r="AQ658" s="734"/>
      <c r="AR658" s="734"/>
      <c r="AS658" s="734"/>
      <c r="AT658" s="734"/>
      <c r="AU658" s="734"/>
      <c r="AV658" s="734"/>
      <c r="AW658" s="734"/>
      <c r="AX658" s="734"/>
      <c r="AY658" s="734"/>
      <c r="AZ658" s="734"/>
      <c r="BA658" s="734"/>
      <c r="BB658" s="734"/>
      <c r="BC658" s="734"/>
      <c r="BD658" s="734"/>
      <c r="BE658" s="734"/>
      <c r="BF658" s="734"/>
      <c r="BG658" s="734"/>
      <c r="BH658" s="734"/>
      <c r="BI658" s="734"/>
      <c r="BJ658" s="734"/>
      <c r="BK658" s="734"/>
      <c r="BL658" s="734"/>
      <c r="BM658" s="734"/>
      <c r="BN658" s="734"/>
      <c r="BO658" s="734"/>
      <c r="BP658" s="734"/>
      <c r="BQ658" s="734"/>
      <c r="BR658" s="734"/>
      <c r="BS658" s="734"/>
      <c r="BT658" s="734"/>
      <c r="BU658" s="734"/>
      <c r="BV658" s="734"/>
      <c r="BW658" s="734"/>
      <c r="BX658" s="734"/>
      <c r="BY658" s="734"/>
      <c r="BZ658" s="734"/>
      <c r="CA658" s="734"/>
    </row>
    <row r="659" spans="1:79" s="451" customFormat="1" hidden="1" outlineLevel="1" x14ac:dyDescent="0.25">
      <c r="A659" s="661"/>
      <c r="B659" s="79"/>
      <c r="C659" s="79"/>
      <c r="D659" s="79"/>
      <c r="E659" s="40" t="s">
        <v>1344</v>
      </c>
      <c r="F659" s="661" t="s">
        <v>627</v>
      </c>
      <c r="G659" s="719"/>
      <c r="H659" s="719"/>
      <c r="I659" s="719"/>
      <c r="J659" s="719"/>
      <c r="K659" s="719"/>
      <c r="L659" s="719"/>
      <c r="M659" s="719"/>
      <c r="N659" s="719"/>
      <c r="O659" s="719"/>
      <c r="P659" s="716"/>
      <c r="Q659" s="716"/>
      <c r="R659" s="716"/>
      <c r="S659" s="667">
        <v>5.64</v>
      </c>
      <c r="T659" s="667">
        <v>0</v>
      </c>
      <c r="U659" s="667">
        <v>0</v>
      </c>
      <c r="V659" s="667">
        <v>2.64</v>
      </c>
      <c r="W659" s="667">
        <v>4.2300000000000004</v>
      </c>
      <c r="X659" s="667">
        <v>0.13</v>
      </c>
      <c r="Y659" s="667">
        <v>0</v>
      </c>
      <c r="Z659" s="667">
        <v>0</v>
      </c>
      <c r="AA659" s="667">
        <v>0</v>
      </c>
      <c r="AB659" s="667">
        <v>0</v>
      </c>
      <c r="AC659" s="686">
        <v>0</v>
      </c>
      <c r="AD659" s="686">
        <v>0</v>
      </c>
      <c r="AE659" s="667">
        <v>11.55</v>
      </c>
      <c r="AF659" s="724">
        <v>2.44</v>
      </c>
      <c r="AG659" s="686">
        <v>0</v>
      </c>
      <c r="AH659" s="716"/>
      <c r="AI659" s="716"/>
      <c r="AJ659" s="716"/>
      <c r="AK659" s="716"/>
      <c r="AL659" s="716"/>
      <c r="AM659" s="716"/>
      <c r="AN659" s="716"/>
      <c r="AO659" s="716"/>
      <c r="AP659" s="716"/>
      <c r="AQ659" s="716"/>
      <c r="AR659" s="716"/>
      <c r="AS659" s="716"/>
      <c r="AT659" s="716"/>
      <c r="AU659" s="716"/>
      <c r="AV659" s="716"/>
      <c r="AW659" s="716"/>
      <c r="AX659" s="716"/>
      <c r="AY659" s="716"/>
      <c r="AZ659" s="716"/>
      <c r="BA659" s="716"/>
      <c r="BB659" s="716"/>
      <c r="BC659" s="716"/>
      <c r="BD659" s="716"/>
      <c r="BE659" s="716"/>
      <c r="BF659" s="716"/>
      <c r="BG659" s="716"/>
      <c r="BH659" s="716"/>
      <c r="BI659" s="716"/>
      <c r="BJ659" s="716"/>
      <c r="BK659" s="716"/>
      <c r="BL659" s="716"/>
      <c r="BM659" s="716"/>
      <c r="BN659" s="716"/>
      <c r="BO659" s="716"/>
      <c r="BP659" s="716"/>
      <c r="BQ659" s="716"/>
      <c r="BR659" s="716"/>
      <c r="BS659" s="716"/>
      <c r="BT659" s="716"/>
      <c r="BU659" s="716"/>
      <c r="BV659" s="716"/>
      <c r="BW659" s="716"/>
      <c r="BX659" s="716"/>
      <c r="BY659" s="716"/>
      <c r="BZ659" s="716"/>
      <c r="CA659" s="716"/>
    </row>
    <row r="660" spans="1:79" s="451" customFormat="1" hidden="1" outlineLevel="1" x14ac:dyDescent="0.25">
      <c r="A660" s="661"/>
      <c r="B660" s="79"/>
      <c r="C660" s="79"/>
      <c r="D660" s="79"/>
      <c r="E660" s="40" t="s">
        <v>1344</v>
      </c>
      <c r="F660" s="661" t="s">
        <v>628</v>
      </c>
      <c r="G660" s="719"/>
      <c r="H660" s="719"/>
      <c r="I660" s="719"/>
      <c r="J660" s="719"/>
      <c r="K660" s="719"/>
      <c r="L660" s="719"/>
      <c r="M660" s="719"/>
      <c r="N660" s="719"/>
      <c r="O660" s="719"/>
      <c r="P660" s="716"/>
      <c r="Q660" s="716"/>
      <c r="R660" s="716"/>
      <c r="S660" s="667">
        <v>33.840000000000003</v>
      </c>
      <c r="T660" s="667">
        <v>0</v>
      </c>
      <c r="U660" s="667">
        <v>0</v>
      </c>
      <c r="V660" s="667">
        <v>15.82</v>
      </c>
      <c r="W660" s="667">
        <v>25.44</v>
      </c>
      <c r="X660" s="667">
        <v>0.75</v>
      </c>
      <c r="Y660" s="667">
        <v>0</v>
      </c>
      <c r="Z660" s="667">
        <v>33.42</v>
      </c>
      <c r="AA660" s="667">
        <v>8.58</v>
      </c>
      <c r="AB660" s="667">
        <v>0</v>
      </c>
      <c r="AC660" s="686">
        <v>0</v>
      </c>
      <c r="AD660" s="686">
        <v>0</v>
      </c>
      <c r="AE660" s="667">
        <v>111.32</v>
      </c>
      <c r="AF660" s="724">
        <v>14.69</v>
      </c>
      <c r="AG660" s="686">
        <v>0</v>
      </c>
      <c r="AH660" s="716"/>
      <c r="AI660" s="716"/>
      <c r="AJ660" s="716"/>
      <c r="AK660" s="716"/>
      <c r="AL660" s="716"/>
      <c r="AM660" s="716"/>
      <c r="AN660" s="716"/>
      <c r="AO660" s="716"/>
      <c r="AP660" s="716"/>
      <c r="AQ660" s="716"/>
      <c r="AR660" s="716"/>
      <c r="AS660" s="716"/>
      <c r="AT660" s="716"/>
      <c r="AU660" s="716"/>
      <c r="AV660" s="716"/>
      <c r="AW660" s="716"/>
      <c r="AX660" s="716"/>
      <c r="AY660" s="716"/>
      <c r="AZ660" s="716"/>
      <c r="BA660" s="716"/>
      <c r="BB660" s="716"/>
      <c r="BC660" s="716"/>
      <c r="BD660" s="716"/>
      <c r="BE660" s="716"/>
      <c r="BF660" s="716"/>
      <c r="BG660" s="716"/>
      <c r="BH660" s="716"/>
      <c r="BI660" s="716"/>
      <c r="BJ660" s="716"/>
      <c r="BK660" s="716"/>
      <c r="BL660" s="716"/>
      <c r="BM660" s="716"/>
      <c r="BN660" s="716"/>
      <c r="BO660" s="716"/>
      <c r="BP660" s="716"/>
      <c r="BQ660" s="716"/>
      <c r="BR660" s="716"/>
      <c r="BS660" s="716"/>
      <c r="BT660" s="716"/>
      <c r="BU660" s="716"/>
      <c r="BV660" s="716"/>
      <c r="BW660" s="716"/>
      <c r="BX660" s="716"/>
      <c r="BY660" s="716"/>
      <c r="BZ660" s="716"/>
      <c r="CA660" s="716"/>
    </row>
    <row r="661" spans="1:79" s="451" customFormat="1" hidden="1" outlineLevel="1" x14ac:dyDescent="0.25">
      <c r="A661" s="661"/>
      <c r="B661" s="79"/>
      <c r="C661" s="79"/>
      <c r="D661" s="79"/>
      <c r="E661" s="40" t="s">
        <v>1344</v>
      </c>
      <c r="F661" s="661" t="s">
        <v>629</v>
      </c>
      <c r="G661" s="719"/>
      <c r="H661" s="719"/>
      <c r="I661" s="719"/>
      <c r="J661" s="719"/>
      <c r="K661" s="719"/>
      <c r="L661" s="719"/>
      <c r="M661" s="719"/>
      <c r="N661" s="719"/>
      <c r="O661" s="719"/>
      <c r="P661" s="716"/>
      <c r="Q661" s="716"/>
      <c r="R661" s="716"/>
      <c r="S661" s="667">
        <v>370.25</v>
      </c>
      <c r="T661" s="667">
        <v>345.6</v>
      </c>
      <c r="U661" s="667">
        <v>347.2</v>
      </c>
      <c r="V661" s="667">
        <v>357.71</v>
      </c>
      <c r="W661" s="667">
        <v>491.48</v>
      </c>
      <c r="X661" s="667">
        <v>471.33</v>
      </c>
      <c r="Y661" s="667">
        <v>502.57</v>
      </c>
      <c r="Z661" s="667">
        <v>587.53</v>
      </c>
      <c r="AA661" s="667">
        <v>623.71</v>
      </c>
      <c r="AB661" s="667">
        <v>659.6</v>
      </c>
      <c r="AC661" s="686">
        <v>619.42999999999995</v>
      </c>
      <c r="AD661" s="686">
        <v>-2452.5300000000002</v>
      </c>
      <c r="AE661" s="667">
        <v>413.51</v>
      </c>
      <c r="AF661" s="724">
        <v>366.42</v>
      </c>
      <c r="AG661" s="686">
        <v>383.47</v>
      </c>
      <c r="AH661" s="716"/>
      <c r="AI661" s="716"/>
      <c r="AJ661" s="716"/>
      <c r="AK661" s="716"/>
      <c r="AL661" s="716"/>
      <c r="AM661" s="716"/>
      <c r="AN661" s="716"/>
      <c r="AO661" s="716"/>
      <c r="AP661" s="716"/>
      <c r="AQ661" s="716"/>
      <c r="AR661" s="716"/>
      <c r="AS661" s="716"/>
      <c r="AT661" s="716"/>
      <c r="AU661" s="716"/>
      <c r="AV661" s="716"/>
      <c r="AW661" s="716"/>
      <c r="AX661" s="716"/>
      <c r="AY661" s="716"/>
      <c r="AZ661" s="716"/>
      <c r="BA661" s="716"/>
      <c r="BB661" s="716"/>
      <c r="BC661" s="716"/>
      <c r="BD661" s="716"/>
      <c r="BE661" s="716"/>
      <c r="BF661" s="716"/>
      <c r="BG661" s="716"/>
      <c r="BH661" s="716"/>
      <c r="BI661" s="716"/>
      <c r="BJ661" s="716"/>
      <c r="BK661" s="716"/>
      <c r="BL661" s="716"/>
      <c r="BM661" s="716"/>
      <c r="BN661" s="716"/>
      <c r="BO661" s="716"/>
      <c r="BP661" s="716"/>
      <c r="BQ661" s="716"/>
      <c r="BR661" s="716"/>
      <c r="BS661" s="716"/>
      <c r="BT661" s="716"/>
      <c r="BU661" s="716"/>
      <c r="BV661" s="716"/>
      <c r="BW661" s="716"/>
      <c r="BX661" s="716"/>
      <c r="BY661" s="716"/>
      <c r="BZ661" s="716"/>
      <c r="CA661" s="716"/>
    </row>
    <row r="662" spans="1:79" s="451" customFormat="1" hidden="1" outlineLevel="1" x14ac:dyDescent="0.25">
      <c r="A662" s="661"/>
      <c r="B662" s="79"/>
      <c r="C662" s="79"/>
      <c r="D662" s="79"/>
      <c r="E662" s="40" t="s">
        <v>1344</v>
      </c>
      <c r="F662" s="661" t="s">
        <v>630</v>
      </c>
      <c r="G662" s="716"/>
      <c r="H662" s="716"/>
      <c r="I662" s="716"/>
      <c r="J662" s="716"/>
      <c r="K662" s="716"/>
      <c r="L662" s="716"/>
      <c r="M662" s="716"/>
      <c r="N662" s="716"/>
      <c r="O662" s="716"/>
      <c r="P662" s="716"/>
      <c r="Q662" s="716"/>
      <c r="R662" s="716"/>
      <c r="S662" s="667">
        <v>349.68</v>
      </c>
      <c r="T662" s="667">
        <v>244.28</v>
      </c>
      <c r="U662" s="667">
        <v>251.11</v>
      </c>
      <c r="V662" s="667">
        <v>296.07</v>
      </c>
      <c r="W662" s="667">
        <v>868.07</v>
      </c>
      <c r="X662" s="667">
        <v>781.94</v>
      </c>
      <c r="Y662" s="667">
        <v>915.5</v>
      </c>
      <c r="Z662" s="667">
        <v>1278.78</v>
      </c>
      <c r="AA662" s="667">
        <v>1433.52</v>
      </c>
      <c r="AB662" s="667">
        <v>1586.99</v>
      </c>
      <c r="AC662" s="686">
        <v>1415.21</v>
      </c>
      <c r="AD662" s="686">
        <v>2906.88</v>
      </c>
      <c r="AE662" s="667">
        <v>1520.54</v>
      </c>
      <c r="AF662" s="724">
        <v>1319.2</v>
      </c>
      <c r="AG662" s="686">
        <v>1390.1</v>
      </c>
      <c r="AH662" s="716"/>
      <c r="AI662" s="716"/>
      <c r="AJ662" s="716"/>
      <c r="AK662" s="716"/>
      <c r="AL662" s="716"/>
      <c r="AM662" s="716"/>
      <c r="AN662" s="716"/>
      <c r="AO662" s="716"/>
      <c r="AP662" s="716"/>
      <c r="AQ662" s="716"/>
      <c r="AR662" s="716"/>
      <c r="AS662" s="716"/>
      <c r="AT662" s="716"/>
      <c r="AU662" s="716"/>
      <c r="AV662" s="716"/>
      <c r="AW662" s="716"/>
      <c r="AX662" s="716"/>
      <c r="AY662" s="716"/>
      <c r="AZ662" s="716"/>
      <c r="BA662" s="716"/>
      <c r="BB662" s="716"/>
      <c r="BC662" s="716"/>
      <c r="BD662" s="716"/>
      <c r="BE662" s="716"/>
      <c r="BF662" s="716"/>
      <c r="BG662" s="716"/>
      <c r="BH662" s="716"/>
      <c r="BI662" s="716"/>
      <c r="BJ662" s="716"/>
      <c r="BK662" s="716"/>
      <c r="BL662" s="716"/>
      <c r="BM662" s="716"/>
      <c r="BN662" s="716"/>
      <c r="BO662" s="716"/>
      <c r="BP662" s="716"/>
      <c r="BQ662" s="716"/>
      <c r="BR662" s="716"/>
      <c r="BS662" s="716"/>
      <c r="BT662" s="716"/>
      <c r="BU662" s="716"/>
      <c r="BV662" s="716"/>
      <c r="BW662" s="716"/>
      <c r="BX662" s="716"/>
      <c r="BY662" s="716"/>
      <c r="BZ662" s="716"/>
      <c r="CA662" s="716"/>
    </row>
    <row r="663" spans="1:79" s="451" customFormat="1" hidden="1" outlineLevel="1" x14ac:dyDescent="0.25">
      <c r="A663" s="661"/>
      <c r="B663" s="576"/>
      <c r="C663" s="576"/>
      <c r="D663" s="576"/>
      <c r="E663" s="40" t="s">
        <v>1344</v>
      </c>
      <c r="F663" s="661" t="s">
        <v>631</v>
      </c>
      <c r="G663" s="716"/>
      <c r="H663" s="716"/>
      <c r="I663" s="716"/>
      <c r="J663" s="716"/>
      <c r="K663" s="716"/>
      <c r="L663" s="716"/>
      <c r="M663" s="716"/>
      <c r="N663" s="716"/>
      <c r="O663" s="716"/>
      <c r="P663" s="716"/>
      <c r="Q663" s="716"/>
      <c r="R663" s="716"/>
      <c r="S663" s="667">
        <v>0</v>
      </c>
      <c r="T663" s="667">
        <v>0</v>
      </c>
      <c r="U663" s="667">
        <v>0</v>
      </c>
      <c r="V663" s="667">
        <v>0</v>
      </c>
      <c r="W663" s="667">
        <v>0</v>
      </c>
      <c r="X663" s="667">
        <v>0</v>
      </c>
      <c r="Y663" s="667">
        <v>0</v>
      </c>
      <c r="Z663" s="667">
        <v>31.97</v>
      </c>
      <c r="AA663" s="667">
        <v>47.66</v>
      </c>
      <c r="AB663" s="667">
        <v>50.88</v>
      </c>
      <c r="AC663" s="686">
        <v>24.02</v>
      </c>
      <c r="AD663" s="686">
        <v>0</v>
      </c>
      <c r="AE663" s="667">
        <v>55.3</v>
      </c>
      <c r="AF663" s="724">
        <v>44.24</v>
      </c>
      <c r="AG663" s="686">
        <v>47.01</v>
      </c>
      <c r="AH663" s="716"/>
      <c r="AI663" s="716"/>
      <c r="AJ663" s="716"/>
      <c r="AK663" s="716"/>
      <c r="AL663" s="716"/>
      <c r="AM663" s="716"/>
      <c r="AN663" s="716"/>
      <c r="AO663" s="716"/>
      <c r="AP663" s="716"/>
      <c r="AQ663" s="716"/>
      <c r="AR663" s="716"/>
      <c r="AS663" s="716"/>
      <c r="AT663" s="716"/>
      <c r="AU663" s="716"/>
      <c r="AV663" s="716"/>
      <c r="AW663" s="716"/>
      <c r="AX663" s="716"/>
      <c r="AY663" s="716"/>
      <c r="AZ663" s="716"/>
      <c r="BA663" s="716"/>
      <c r="BB663" s="716"/>
      <c r="BC663" s="716"/>
      <c r="BD663" s="716"/>
      <c r="BE663" s="716"/>
      <c r="BF663" s="716"/>
      <c r="BG663" s="716"/>
      <c r="BH663" s="716"/>
      <c r="BI663" s="716"/>
      <c r="BJ663" s="716"/>
      <c r="BK663" s="716"/>
      <c r="BL663" s="716"/>
      <c r="BM663" s="716"/>
      <c r="BN663" s="716"/>
      <c r="BO663" s="716"/>
      <c r="BP663" s="716"/>
      <c r="BQ663" s="716"/>
      <c r="BR663" s="716"/>
      <c r="BS663" s="716"/>
      <c r="BT663" s="716"/>
      <c r="BU663" s="716"/>
      <c r="BV663" s="716"/>
      <c r="BW663" s="716"/>
      <c r="BX663" s="716"/>
      <c r="BY663" s="716"/>
      <c r="BZ663" s="716"/>
      <c r="CA663" s="716"/>
    </row>
    <row r="664" spans="1:79" s="451" customFormat="1" hidden="1" outlineLevel="1" x14ac:dyDescent="0.25">
      <c r="A664" s="661"/>
      <c r="B664" s="79"/>
      <c r="C664" s="79"/>
      <c r="D664" s="79"/>
      <c r="E664" s="40" t="s">
        <v>1344</v>
      </c>
      <c r="F664" s="661" t="s">
        <v>632</v>
      </c>
      <c r="G664" s="716"/>
      <c r="H664" s="716"/>
      <c r="I664" s="716"/>
      <c r="J664" s="716"/>
      <c r="K664" s="716"/>
      <c r="L664" s="716"/>
      <c r="M664" s="716"/>
      <c r="N664" s="716"/>
      <c r="O664" s="716"/>
      <c r="P664" s="716"/>
      <c r="Q664" s="716"/>
      <c r="R664" s="716"/>
      <c r="S664" s="667">
        <v>225.6</v>
      </c>
      <c r="T664" s="667">
        <v>0</v>
      </c>
      <c r="U664" s="667">
        <v>0</v>
      </c>
      <c r="V664" s="667">
        <v>105.45</v>
      </c>
      <c r="W664" s="667">
        <v>169.53</v>
      </c>
      <c r="X664" s="667">
        <v>5.03</v>
      </c>
      <c r="Y664" s="667">
        <v>0</v>
      </c>
      <c r="Z664" s="667">
        <v>217.32</v>
      </c>
      <c r="AA664" s="667">
        <v>324.08</v>
      </c>
      <c r="AB664" s="667">
        <v>345.9</v>
      </c>
      <c r="AC664" s="686">
        <v>163.33000000000001</v>
      </c>
      <c r="AD664" s="686">
        <v>0</v>
      </c>
      <c r="AE664" s="667">
        <v>838.03</v>
      </c>
      <c r="AF664" s="724">
        <v>398.73</v>
      </c>
      <c r="AG664" s="686">
        <v>319.62</v>
      </c>
      <c r="AH664" s="716"/>
      <c r="AI664" s="716"/>
      <c r="AJ664" s="716"/>
      <c r="AK664" s="716"/>
      <c r="AL664" s="716"/>
      <c r="AM664" s="716"/>
      <c r="AN664" s="716"/>
      <c r="AO664" s="716"/>
      <c r="AP664" s="716"/>
      <c r="AQ664" s="716"/>
      <c r="AR664" s="716"/>
      <c r="AS664" s="716"/>
      <c r="AT664" s="716"/>
      <c r="AU664" s="716"/>
      <c r="AV664" s="716"/>
      <c r="AW664" s="716"/>
      <c r="AX664" s="716"/>
      <c r="AY664" s="716"/>
      <c r="AZ664" s="716"/>
      <c r="BA664" s="716"/>
      <c r="BB664" s="716"/>
      <c r="BC664" s="716"/>
      <c r="BD664" s="716"/>
      <c r="BE664" s="716"/>
      <c r="BF664" s="716"/>
      <c r="BG664" s="716"/>
      <c r="BH664" s="716"/>
      <c r="BI664" s="716"/>
      <c r="BJ664" s="716"/>
      <c r="BK664" s="716"/>
      <c r="BL664" s="716"/>
      <c r="BM664" s="716"/>
      <c r="BN664" s="716"/>
      <c r="BO664" s="716"/>
      <c r="BP664" s="716"/>
      <c r="BQ664" s="716"/>
      <c r="BR664" s="716"/>
      <c r="BS664" s="716"/>
      <c r="BT664" s="716"/>
      <c r="BU664" s="716"/>
      <c r="BV664" s="716"/>
      <c r="BW664" s="716"/>
      <c r="BX664" s="716"/>
      <c r="BY664" s="716"/>
      <c r="BZ664" s="716"/>
      <c r="CA664" s="716"/>
    </row>
    <row r="665" spans="1:79" s="451" customFormat="1" hidden="1" outlineLevel="1" x14ac:dyDescent="0.25">
      <c r="A665" s="661" t="s">
        <v>902</v>
      </c>
      <c r="B665" s="661" t="s">
        <v>902</v>
      </c>
      <c r="C665" s="661" t="s">
        <v>902</v>
      </c>
      <c r="D665" s="661" t="s">
        <v>902</v>
      </c>
      <c r="E665" s="40" t="s">
        <v>1344</v>
      </c>
      <c r="F665" s="661" t="s">
        <v>902</v>
      </c>
      <c r="G665" s="661"/>
      <c r="H665" s="661"/>
      <c r="I665" s="661"/>
      <c r="J665" s="661"/>
      <c r="K665" s="661"/>
      <c r="L665" s="661"/>
      <c r="M665" s="661"/>
      <c r="N665" s="661"/>
      <c r="O665" s="661"/>
      <c r="P665" s="661"/>
      <c r="Q665" s="661"/>
      <c r="R665" s="661"/>
      <c r="S665" s="667">
        <v>0</v>
      </c>
      <c r="T665" s="667">
        <v>0</v>
      </c>
      <c r="U665" s="667">
        <v>0</v>
      </c>
      <c r="V665" s="667">
        <v>0</v>
      </c>
      <c r="W665" s="667">
        <v>0</v>
      </c>
      <c r="X665" s="667">
        <v>0</v>
      </c>
      <c r="Y665" s="667">
        <v>0</v>
      </c>
      <c r="Z665" s="667">
        <v>0</v>
      </c>
      <c r="AA665" s="667">
        <v>0</v>
      </c>
      <c r="AB665" s="667">
        <v>0</v>
      </c>
      <c r="AC665" s="686">
        <v>0</v>
      </c>
      <c r="AD665" s="686">
        <v>0</v>
      </c>
      <c r="AE665" s="667">
        <v>0</v>
      </c>
      <c r="AF665" s="724">
        <v>0</v>
      </c>
      <c r="AG665" s="686">
        <v>0</v>
      </c>
      <c r="AH665" s="661"/>
      <c r="AI665" s="661"/>
      <c r="AJ665" s="661"/>
      <c r="AK665" s="661"/>
      <c r="AL665" s="661"/>
      <c r="AM665" s="661"/>
      <c r="AN665" s="661"/>
      <c r="AO665" s="661"/>
      <c r="AP665" s="661"/>
      <c r="AQ665" s="661"/>
      <c r="AR665" s="661"/>
      <c r="AS665" s="661"/>
      <c r="AT665" s="661"/>
      <c r="AU665" s="661"/>
      <c r="AV665" s="661"/>
      <c r="AW665" s="661"/>
      <c r="AX665" s="661"/>
      <c r="AY665" s="661"/>
      <c r="AZ665" s="661"/>
      <c r="BA665" s="661"/>
      <c r="BB665" s="661"/>
      <c r="BC665" s="661"/>
      <c r="BD665" s="661"/>
      <c r="BE665" s="661"/>
      <c r="BF665" s="661"/>
      <c r="BG665" s="661"/>
      <c r="BH665" s="661"/>
      <c r="BI665" s="661"/>
      <c r="BJ665" s="661"/>
      <c r="BK665" s="661"/>
      <c r="BL665" s="661"/>
      <c r="BM665" s="661"/>
      <c r="BN665" s="661"/>
      <c r="BO665" s="661"/>
      <c r="BP665" s="661"/>
      <c r="BQ665" s="661"/>
      <c r="BR665" s="661"/>
      <c r="BS665" s="661"/>
      <c r="BT665" s="661"/>
      <c r="BU665" s="661"/>
      <c r="BV665" s="661"/>
      <c r="BW665" s="661"/>
      <c r="BX665" s="661"/>
      <c r="BY665" s="661"/>
      <c r="BZ665" s="661"/>
      <c r="CA665" s="661"/>
    </row>
    <row r="666" spans="1:79" s="451" customFormat="1" hidden="1" outlineLevel="1" x14ac:dyDescent="0.25">
      <c r="A666" s="661"/>
      <c r="B666" s="79"/>
      <c r="C666" s="79"/>
      <c r="D666" s="79"/>
      <c r="E666" s="40" t="s">
        <v>1344</v>
      </c>
      <c r="F666" s="661" t="s">
        <v>633</v>
      </c>
      <c r="G666" s="719">
        <v>647.48502524795185</v>
      </c>
      <c r="H666" s="719">
        <v>567.98781123560491</v>
      </c>
      <c r="I666" s="719">
        <v>483.76489939748262</v>
      </c>
      <c r="J666" s="719">
        <v>348.93037782828418</v>
      </c>
      <c r="K666" s="719">
        <v>146.98486452232405</v>
      </c>
      <c r="L666" s="719">
        <v>339.33401443279348</v>
      </c>
      <c r="M666" s="719">
        <v>325.3248696523367</v>
      </c>
      <c r="N666" s="719">
        <v>489.50498386607944</v>
      </c>
      <c r="O666" s="719">
        <v>341.10004171152525</v>
      </c>
      <c r="P666" s="716">
        <v>414.56456151665077</v>
      </c>
      <c r="Q666" s="716">
        <v>679.6212555026276</v>
      </c>
      <c r="R666" s="716">
        <v>456.44717565552685</v>
      </c>
      <c r="S666" s="667">
        <v>0</v>
      </c>
      <c r="T666" s="667">
        <v>0</v>
      </c>
      <c r="U666" s="667">
        <v>166.15</v>
      </c>
      <c r="V666" s="667">
        <v>-166.15</v>
      </c>
      <c r="W666" s="667">
        <v>0</v>
      </c>
      <c r="X666" s="667">
        <v>0</v>
      </c>
      <c r="Y666" s="667">
        <v>0</v>
      </c>
      <c r="Z666" s="667">
        <v>0</v>
      </c>
      <c r="AA666" s="667">
        <v>0</v>
      </c>
      <c r="AB666" s="667">
        <v>0</v>
      </c>
      <c r="AC666" s="686">
        <v>0</v>
      </c>
      <c r="AD666" s="686">
        <v>0</v>
      </c>
      <c r="AE666" s="667">
        <v>0</v>
      </c>
      <c r="AF666" s="724">
        <v>0</v>
      </c>
      <c r="AG666" s="686">
        <v>0</v>
      </c>
      <c r="AH666" s="716"/>
      <c r="AI666" s="716"/>
      <c r="AJ666" s="716"/>
      <c r="AK666" s="716"/>
      <c r="AL666" s="716"/>
      <c r="AM666" s="716"/>
      <c r="AN666" s="716"/>
      <c r="AO666" s="716"/>
      <c r="AP666" s="716"/>
      <c r="AQ666" s="716"/>
      <c r="AR666" s="716"/>
      <c r="AS666" s="716"/>
      <c r="AT666" s="716"/>
      <c r="AU666" s="716"/>
      <c r="AV666" s="716"/>
      <c r="AW666" s="716"/>
      <c r="AX666" s="716"/>
      <c r="AY666" s="716"/>
      <c r="AZ666" s="716"/>
      <c r="BA666" s="716"/>
      <c r="BB666" s="716"/>
      <c r="BC666" s="716"/>
      <c r="BD666" s="716"/>
      <c r="BE666" s="716"/>
      <c r="BF666" s="716"/>
      <c r="BG666" s="716"/>
      <c r="BH666" s="716"/>
      <c r="BI666" s="716"/>
      <c r="BJ666" s="716"/>
      <c r="BK666" s="716"/>
      <c r="BL666" s="716"/>
      <c r="BM666" s="716"/>
      <c r="BN666" s="716"/>
      <c r="BO666" s="716"/>
      <c r="BP666" s="716"/>
      <c r="BQ666" s="716"/>
      <c r="BR666" s="716"/>
      <c r="BS666" s="716"/>
      <c r="BT666" s="716"/>
      <c r="BU666" s="716"/>
      <c r="BV666" s="716"/>
      <c r="BW666" s="716"/>
      <c r="BX666" s="716"/>
      <c r="BY666" s="716"/>
      <c r="BZ666" s="716"/>
      <c r="CA666" s="716"/>
    </row>
    <row r="667" spans="1:79" s="740" customFormat="1" hidden="1" outlineLevel="1" x14ac:dyDescent="0.25">
      <c r="A667" s="657"/>
      <c r="B667" s="503"/>
      <c r="C667" s="503"/>
      <c r="D667" s="503"/>
      <c r="E667" s="40" t="s">
        <v>49</v>
      </c>
      <c r="F667" s="1218" t="s">
        <v>634</v>
      </c>
      <c r="G667" s="1219">
        <f>SUM(G659:G666)</f>
        <v>647.48502524795185</v>
      </c>
      <c r="H667" s="1219">
        <f t="shared" ref="H667:BO667" si="275">SUM(H659:H666)</f>
        <v>567.98781123560491</v>
      </c>
      <c r="I667" s="1219">
        <f t="shared" si="275"/>
        <v>483.76489939748262</v>
      </c>
      <c r="J667" s="1219">
        <f t="shared" si="275"/>
        <v>348.93037782828418</v>
      </c>
      <c r="K667" s="1219">
        <f t="shared" si="275"/>
        <v>146.98486452232405</v>
      </c>
      <c r="L667" s="1219">
        <f t="shared" si="275"/>
        <v>339.33401443279348</v>
      </c>
      <c r="M667" s="1219">
        <f t="shared" si="275"/>
        <v>325.3248696523367</v>
      </c>
      <c r="N667" s="1219">
        <f t="shared" si="275"/>
        <v>489.50498386607944</v>
      </c>
      <c r="O667" s="1219">
        <f t="shared" si="275"/>
        <v>341.10004171152525</v>
      </c>
      <c r="P667" s="1219">
        <f t="shared" si="275"/>
        <v>414.56456151665077</v>
      </c>
      <c r="Q667" s="1219">
        <f t="shared" si="275"/>
        <v>679.6212555026276</v>
      </c>
      <c r="R667" s="1219">
        <f t="shared" si="275"/>
        <v>456.44717565552685</v>
      </c>
      <c r="S667" s="1224">
        <f t="shared" ref="S667:AA667" si="276">ROUND(SUM(S658:S666),5)</f>
        <v>985.01</v>
      </c>
      <c r="T667" s="1224">
        <f t="shared" si="276"/>
        <v>589.88</v>
      </c>
      <c r="U667" s="1224">
        <f t="shared" si="276"/>
        <v>764.46</v>
      </c>
      <c r="V667" s="1224">
        <f t="shared" si="276"/>
        <v>611.54</v>
      </c>
      <c r="W667" s="1224">
        <f t="shared" si="276"/>
        <v>1558.75</v>
      </c>
      <c r="X667" s="1224">
        <f t="shared" si="276"/>
        <v>1259.18</v>
      </c>
      <c r="Y667" s="1224">
        <f t="shared" si="276"/>
        <v>1418.07</v>
      </c>
      <c r="Z667" s="1224">
        <f t="shared" si="276"/>
        <v>2149.02</v>
      </c>
      <c r="AA667" s="1224">
        <f t="shared" si="276"/>
        <v>2437.5500000000002</v>
      </c>
      <c r="AB667" s="1224">
        <f t="shared" ref="AB667:AG667" si="277">ROUND(SUM(AB658:AB666),5)</f>
        <v>2643.37</v>
      </c>
      <c r="AC667" s="1224">
        <f t="shared" si="277"/>
        <v>2221.9899999999998</v>
      </c>
      <c r="AD667" s="1224">
        <f t="shared" si="277"/>
        <v>454.35</v>
      </c>
      <c r="AE667" s="1224">
        <f t="shared" si="277"/>
        <v>2950.25</v>
      </c>
      <c r="AF667" s="664">
        <f t="shared" si="277"/>
        <v>2145.7199999999998</v>
      </c>
      <c r="AG667" s="679">
        <f t="shared" si="277"/>
        <v>2140.1999999999998</v>
      </c>
      <c r="AH667" s="664">
        <f t="shared" si="275"/>
        <v>0</v>
      </c>
      <c r="AI667" s="664">
        <f t="shared" si="275"/>
        <v>0</v>
      </c>
      <c r="AJ667" s="664">
        <f t="shared" si="275"/>
        <v>0</v>
      </c>
      <c r="AK667" s="664">
        <f t="shared" si="275"/>
        <v>0</v>
      </c>
      <c r="AL667" s="664">
        <f t="shared" si="275"/>
        <v>0</v>
      </c>
      <c r="AM667" s="664">
        <f t="shared" si="275"/>
        <v>0</v>
      </c>
      <c r="AN667" s="664">
        <f t="shared" si="275"/>
        <v>0</v>
      </c>
      <c r="AO667" s="664">
        <f t="shared" si="275"/>
        <v>0</v>
      </c>
      <c r="AP667" s="664">
        <f t="shared" si="275"/>
        <v>0</v>
      </c>
      <c r="AQ667" s="664">
        <f t="shared" si="275"/>
        <v>0</v>
      </c>
      <c r="AR667" s="664">
        <f t="shared" si="275"/>
        <v>0</v>
      </c>
      <c r="AS667" s="664">
        <f t="shared" si="275"/>
        <v>0</v>
      </c>
      <c r="AT667" s="664">
        <f t="shared" si="275"/>
        <v>0</v>
      </c>
      <c r="AU667" s="664">
        <f t="shared" si="275"/>
        <v>0</v>
      </c>
      <c r="AV667" s="664">
        <f t="shared" si="275"/>
        <v>0</v>
      </c>
      <c r="AW667" s="664">
        <f t="shared" si="275"/>
        <v>0</v>
      </c>
      <c r="AX667" s="664">
        <f t="shared" si="275"/>
        <v>0</v>
      </c>
      <c r="AY667" s="664">
        <f t="shared" si="275"/>
        <v>0</v>
      </c>
      <c r="AZ667" s="664">
        <f t="shared" si="275"/>
        <v>0</v>
      </c>
      <c r="BA667" s="664">
        <f t="shared" si="275"/>
        <v>0</v>
      </c>
      <c r="BB667" s="664">
        <f t="shared" si="275"/>
        <v>0</v>
      </c>
      <c r="BC667" s="664">
        <f t="shared" si="275"/>
        <v>0</v>
      </c>
      <c r="BD667" s="664">
        <f t="shared" si="275"/>
        <v>0</v>
      </c>
      <c r="BE667" s="664">
        <f t="shared" si="275"/>
        <v>0</v>
      </c>
      <c r="BF667" s="664">
        <f t="shared" si="275"/>
        <v>0</v>
      </c>
      <c r="BG667" s="664">
        <f t="shared" si="275"/>
        <v>0</v>
      </c>
      <c r="BH667" s="664">
        <f t="shared" si="275"/>
        <v>0</v>
      </c>
      <c r="BI667" s="664">
        <f t="shared" si="275"/>
        <v>0</v>
      </c>
      <c r="BJ667" s="664">
        <f t="shared" si="275"/>
        <v>0</v>
      </c>
      <c r="BK667" s="664">
        <f t="shared" si="275"/>
        <v>0</v>
      </c>
      <c r="BL667" s="664">
        <f t="shared" si="275"/>
        <v>0</v>
      </c>
      <c r="BM667" s="664">
        <f t="shared" si="275"/>
        <v>0</v>
      </c>
      <c r="BN667" s="664">
        <f t="shared" si="275"/>
        <v>0</v>
      </c>
      <c r="BO667" s="664">
        <f t="shared" si="275"/>
        <v>0</v>
      </c>
      <c r="BP667" s="664">
        <f t="shared" ref="BP667:CA667" si="278">SUM(BP659:BP666)</f>
        <v>0</v>
      </c>
      <c r="BQ667" s="664">
        <f t="shared" si="278"/>
        <v>0</v>
      </c>
      <c r="BR667" s="664">
        <f t="shared" si="278"/>
        <v>0</v>
      </c>
      <c r="BS667" s="664">
        <f t="shared" si="278"/>
        <v>0</v>
      </c>
      <c r="BT667" s="664">
        <f t="shared" si="278"/>
        <v>0</v>
      </c>
      <c r="BU667" s="664">
        <f t="shared" si="278"/>
        <v>0</v>
      </c>
      <c r="BV667" s="664">
        <f t="shared" si="278"/>
        <v>0</v>
      </c>
      <c r="BW667" s="664">
        <f t="shared" si="278"/>
        <v>0</v>
      </c>
      <c r="BX667" s="664">
        <f t="shared" si="278"/>
        <v>0</v>
      </c>
      <c r="BY667" s="664">
        <f t="shared" si="278"/>
        <v>0</v>
      </c>
      <c r="BZ667" s="664">
        <f t="shared" si="278"/>
        <v>0</v>
      </c>
      <c r="CA667" s="664">
        <f t="shared" si="278"/>
        <v>0</v>
      </c>
    </row>
    <row r="668" spans="1:79" s="700" customFormat="1" hidden="1" outlineLevel="1" x14ac:dyDescent="0.25">
      <c r="A668" s="701"/>
      <c r="E668" s="40" t="s">
        <v>1345</v>
      </c>
      <c r="F668" s="1225" t="s">
        <v>635</v>
      </c>
      <c r="G668" s="733"/>
      <c r="H668" s="733"/>
      <c r="I668" s="733"/>
      <c r="J668" s="733"/>
      <c r="K668" s="733"/>
      <c r="L668" s="733"/>
      <c r="M668" s="733"/>
      <c r="N668" s="733"/>
      <c r="O668" s="733"/>
      <c r="P668" s="734"/>
      <c r="Q668" s="734"/>
      <c r="R668" s="734"/>
      <c r="S668" s="1223"/>
      <c r="T668" s="1223"/>
      <c r="U668" s="1223"/>
      <c r="V668" s="1223"/>
      <c r="W668" s="1223"/>
      <c r="X668" s="1223"/>
      <c r="Y668" s="1223"/>
      <c r="Z668" s="1223"/>
      <c r="AA668" s="1223"/>
      <c r="AB668" s="1223"/>
      <c r="AC668" s="712"/>
      <c r="AD668" s="712"/>
      <c r="AE668" s="1223"/>
      <c r="AF668" s="752"/>
      <c r="AG668" s="712"/>
      <c r="AH668" s="734"/>
      <c r="AI668" s="734"/>
      <c r="AJ668" s="734"/>
      <c r="AK668" s="734"/>
      <c r="AL668" s="734"/>
      <c r="AM668" s="734"/>
      <c r="AN668" s="734"/>
      <c r="AO668" s="734"/>
      <c r="AP668" s="734"/>
      <c r="AQ668" s="734"/>
      <c r="AR668" s="734"/>
      <c r="AS668" s="734"/>
      <c r="AT668" s="734"/>
      <c r="AU668" s="734"/>
      <c r="AV668" s="734"/>
      <c r="AW668" s="734"/>
      <c r="AX668" s="734"/>
      <c r="AY668" s="734"/>
      <c r="AZ668" s="734"/>
      <c r="BA668" s="734"/>
      <c r="BB668" s="734"/>
      <c r="BC668" s="734"/>
      <c r="BD668" s="734"/>
      <c r="BE668" s="734"/>
      <c r="BF668" s="734"/>
      <c r="BG668" s="734"/>
      <c r="BH668" s="734"/>
      <c r="BI668" s="734"/>
      <c r="BJ668" s="734"/>
      <c r="BK668" s="734"/>
      <c r="BL668" s="734"/>
      <c r="BM668" s="734"/>
      <c r="BN668" s="734"/>
      <c r="BO668" s="734"/>
      <c r="BP668" s="734"/>
      <c r="BQ668" s="734"/>
      <c r="BR668" s="734"/>
      <c r="BS668" s="734"/>
      <c r="BT668" s="734"/>
      <c r="BU668" s="734"/>
      <c r="BV668" s="734"/>
      <c r="BW668" s="734"/>
      <c r="BX668" s="734"/>
      <c r="BY668" s="734"/>
      <c r="BZ668" s="734"/>
      <c r="CA668" s="734"/>
    </row>
    <row r="669" spans="1:79" s="451" customFormat="1" hidden="1" outlineLevel="1" x14ac:dyDescent="0.25">
      <c r="A669" s="661"/>
      <c r="B669" s="79"/>
      <c r="C669" s="79"/>
      <c r="D669" s="79"/>
      <c r="E669" s="40" t="s">
        <v>8</v>
      </c>
      <c r="F669" s="661" t="s">
        <v>8</v>
      </c>
      <c r="G669" s="661"/>
      <c r="H669" s="719"/>
      <c r="I669" s="719"/>
      <c r="J669" s="719"/>
      <c r="K669" s="719"/>
      <c r="L669" s="719"/>
      <c r="M669" s="719"/>
      <c r="N669" s="719"/>
      <c r="O669" s="719"/>
      <c r="P669" s="716"/>
      <c r="Q669" s="716"/>
      <c r="R669" s="716"/>
      <c r="S669" s="667">
        <v>3770.83</v>
      </c>
      <c r="T669" s="667">
        <v>3770.83</v>
      </c>
      <c r="U669" s="667">
        <v>4025.97</v>
      </c>
      <c r="V669" s="667">
        <v>4451.74</v>
      </c>
      <c r="W669" s="667">
        <v>3770.83</v>
      </c>
      <c r="X669" s="667">
        <v>3770.83</v>
      </c>
      <c r="Y669" s="667">
        <v>4763.42</v>
      </c>
      <c r="Z669" s="667">
        <v>3770.83</v>
      </c>
      <c r="AA669" s="667">
        <v>4015.82</v>
      </c>
      <c r="AB669" s="667">
        <v>4763.42</v>
      </c>
      <c r="AC669" s="686">
        <v>3815.83</v>
      </c>
      <c r="AD669" s="686">
        <v>-15197.26</v>
      </c>
      <c r="AE669" s="667">
        <v>3994.72</v>
      </c>
      <c r="AF669" s="724">
        <v>3994.72</v>
      </c>
      <c r="AG669" s="686">
        <v>3994.72</v>
      </c>
      <c r="AH669" s="716"/>
      <c r="AI669" s="716"/>
      <c r="AJ669" s="716"/>
      <c r="AK669" s="716"/>
      <c r="AL669" s="716"/>
      <c r="AM669" s="716"/>
      <c r="AN669" s="716"/>
      <c r="AO669" s="716"/>
      <c r="AP669" s="716"/>
      <c r="AQ669" s="716"/>
      <c r="AR669" s="716"/>
      <c r="AS669" s="716"/>
      <c r="AT669" s="716"/>
      <c r="AU669" s="716"/>
      <c r="AV669" s="716"/>
      <c r="AW669" s="716"/>
      <c r="AX669" s="716"/>
      <c r="AY669" s="716"/>
      <c r="AZ669" s="716"/>
      <c r="BA669" s="716"/>
      <c r="BB669" s="716"/>
      <c r="BC669" s="716"/>
      <c r="BD669" s="716"/>
      <c r="BE669" s="716"/>
      <c r="BF669" s="716"/>
      <c r="BG669" s="716"/>
      <c r="BH669" s="716"/>
      <c r="BI669" s="716"/>
      <c r="BJ669" s="716"/>
      <c r="BK669" s="716"/>
      <c r="BL669" s="716"/>
      <c r="BM669" s="716"/>
      <c r="BN669" s="716"/>
      <c r="BO669" s="716"/>
      <c r="BP669" s="716"/>
      <c r="BQ669" s="716"/>
      <c r="BR669" s="716"/>
      <c r="BS669" s="716"/>
      <c r="BT669" s="716"/>
      <c r="BU669" s="716"/>
      <c r="BV669" s="716"/>
      <c r="BW669" s="716"/>
      <c r="BX669" s="716"/>
      <c r="BY669" s="716"/>
      <c r="BZ669" s="716"/>
      <c r="CA669" s="716"/>
    </row>
    <row r="670" spans="1:79" s="451" customFormat="1" hidden="1" outlineLevel="1" x14ac:dyDescent="0.25">
      <c r="A670" s="661"/>
      <c r="B670" s="576"/>
      <c r="C670" s="576"/>
      <c r="D670" s="576"/>
      <c r="E670" s="40" t="s">
        <v>8</v>
      </c>
      <c r="F670" s="661" t="s">
        <v>903</v>
      </c>
      <c r="G670" s="661"/>
      <c r="H670" s="719"/>
      <c r="I670" s="719"/>
      <c r="J670" s="719"/>
      <c r="K670" s="719"/>
      <c r="L670" s="719"/>
      <c r="M670" s="719"/>
      <c r="N670" s="719"/>
      <c r="O670" s="719"/>
      <c r="P670" s="716"/>
      <c r="Q670" s="716"/>
      <c r="R670" s="716"/>
      <c r="S670" s="667">
        <v>0</v>
      </c>
      <c r="T670" s="667">
        <v>0</v>
      </c>
      <c r="U670" s="667">
        <v>0</v>
      </c>
      <c r="V670" s="667">
        <v>0</v>
      </c>
      <c r="W670" s="667">
        <v>0</v>
      </c>
      <c r="X670" s="667">
        <v>0</v>
      </c>
      <c r="Y670" s="667">
        <v>0</v>
      </c>
      <c r="Z670" s="667">
        <v>0</v>
      </c>
      <c r="AA670" s="667">
        <v>0</v>
      </c>
      <c r="AB670" s="667">
        <v>0</v>
      </c>
      <c r="AC670" s="686">
        <v>0</v>
      </c>
      <c r="AD670" s="686">
        <v>0</v>
      </c>
      <c r="AE670" s="667">
        <v>0</v>
      </c>
      <c r="AF670" s="724">
        <v>0</v>
      </c>
      <c r="AG670" s="686">
        <v>0</v>
      </c>
      <c r="AH670" s="716"/>
      <c r="AI670" s="716"/>
      <c r="AJ670" s="716"/>
      <c r="AK670" s="716"/>
      <c r="AL670" s="716"/>
      <c r="AM670" s="716"/>
      <c r="AN670" s="716"/>
      <c r="AO670" s="716"/>
      <c r="AP670" s="716"/>
      <c r="AQ670" s="716"/>
      <c r="AR670" s="716"/>
      <c r="AS670" s="716"/>
      <c r="AT670" s="716"/>
      <c r="AU670" s="716"/>
      <c r="AV670" s="716"/>
      <c r="AW670" s="716"/>
      <c r="AX670" s="716"/>
      <c r="AY670" s="716"/>
      <c r="AZ670" s="716"/>
      <c r="BA670" s="716"/>
      <c r="BB670" s="716"/>
      <c r="BC670" s="716"/>
      <c r="BD670" s="716"/>
      <c r="BE670" s="716"/>
      <c r="BF670" s="716"/>
      <c r="BG670" s="716"/>
      <c r="BH670" s="716"/>
      <c r="BI670" s="716"/>
      <c r="BJ670" s="716"/>
      <c r="BK670" s="716"/>
      <c r="BL670" s="716"/>
      <c r="BM670" s="716"/>
      <c r="BN670" s="716"/>
      <c r="BO670" s="716"/>
      <c r="BP670" s="716"/>
      <c r="BQ670" s="716"/>
      <c r="BR670" s="716"/>
      <c r="BS670" s="716"/>
      <c r="BT670" s="716"/>
      <c r="BU670" s="716"/>
      <c r="BV670" s="716"/>
      <c r="BW670" s="716"/>
      <c r="BX670" s="716"/>
      <c r="BY670" s="716"/>
      <c r="BZ670" s="716"/>
      <c r="CA670" s="716"/>
    </row>
    <row r="671" spans="1:79" s="451" customFormat="1" hidden="1" outlineLevel="1" x14ac:dyDescent="0.25">
      <c r="A671" s="661"/>
      <c r="B671" s="79"/>
      <c r="C671" s="79"/>
      <c r="D671" s="79"/>
      <c r="E671" s="40" t="s">
        <v>1345</v>
      </c>
      <c r="F671" s="661" t="s">
        <v>643</v>
      </c>
      <c r="G671" s="661"/>
      <c r="H671" s="719"/>
      <c r="I671" s="719"/>
      <c r="J671" s="719"/>
      <c r="K671" s="719"/>
      <c r="L671" s="719"/>
      <c r="M671" s="719"/>
      <c r="N671" s="719"/>
      <c r="O671" s="719"/>
      <c r="P671" s="716"/>
      <c r="Q671" s="716"/>
      <c r="R671" s="716"/>
      <c r="S671" s="667">
        <v>5640</v>
      </c>
      <c r="T671" s="667">
        <v>3940</v>
      </c>
      <c r="U671" s="667">
        <v>5967</v>
      </c>
      <c r="V671" s="667">
        <v>-509.5</v>
      </c>
      <c r="W671" s="667">
        <v>712.5</v>
      </c>
      <c r="X671" s="667">
        <v>0</v>
      </c>
      <c r="Y671" s="667">
        <v>0</v>
      </c>
      <c r="Z671" s="667">
        <v>0</v>
      </c>
      <c r="AA671" s="667">
        <v>0</v>
      </c>
      <c r="AB671" s="667">
        <v>0</v>
      </c>
      <c r="AC671" s="686">
        <v>0</v>
      </c>
      <c r="AD671" s="686">
        <v>0</v>
      </c>
      <c r="AE671" s="667">
        <v>0</v>
      </c>
      <c r="AF671" s="724">
        <v>0</v>
      </c>
      <c r="AG671" s="686">
        <v>0</v>
      </c>
      <c r="AH671" s="716"/>
      <c r="AI671" s="716"/>
      <c r="AJ671" s="716"/>
      <c r="AK671" s="716"/>
      <c r="AL671" s="716"/>
      <c r="AM671" s="716"/>
      <c r="AN671" s="716"/>
      <c r="AO671" s="716"/>
      <c r="AP671" s="716"/>
      <c r="AQ671" s="716"/>
      <c r="AR671" s="716"/>
      <c r="AS671" s="716"/>
      <c r="AT671" s="716"/>
      <c r="AU671" s="716"/>
      <c r="AV671" s="716"/>
      <c r="AW671" s="716"/>
      <c r="AX671" s="716"/>
      <c r="AY671" s="716"/>
      <c r="AZ671" s="716"/>
      <c r="BA671" s="716"/>
      <c r="BB671" s="716"/>
      <c r="BC671" s="716"/>
      <c r="BD671" s="716"/>
      <c r="BE671" s="716"/>
      <c r="BF671" s="716"/>
      <c r="BG671" s="716"/>
      <c r="BH671" s="716"/>
      <c r="BI671" s="716"/>
      <c r="BJ671" s="716"/>
      <c r="BK671" s="716"/>
      <c r="BL671" s="716"/>
      <c r="BM671" s="716"/>
      <c r="BN671" s="716"/>
      <c r="BO671" s="716"/>
      <c r="BP671" s="716"/>
      <c r="BQ671" s="716"/>
      <c r="BR671" s="716"/>
      <c r="BS671" s="716"/>
      <c r="BT671" s="716"/>
      <c r="BU671" s="716"/>
      <c r="BV671" s="716"/>
      <c r="BW671" s="716"/>
      <c r="BX671" s="716"/>
      <c r="BY671" s="716"/>
      <c r="BZ671" s="716"/>
      <c r="CA671" s="716"/>
    </row>
    <row r="672" spans="1:79" s="451" customFormat="1" hidden="1" outlineLevel="1" x14ac:dyDescent="0.25">
      <c r="A672" s="661"/>
      <c r="B672" s="576"/>
      <c r="C672" s="576"/>
      <c r="D672" s="576"/>
      <c r="E672" s="40" t="s">
        <v>1345</v>
      </c>
      <c r="F672" s="661" t="s">
        <v>644</v>
      </c>
      <c r="G672" s="661"/>
      <c r="H672" s="719"/>
      <c r="I672" s="719"/>
      <c r="J672" s="719"/>
      <c r="K672" s="719"/>
      <c r="L672" s="719"/>
      <c r="M672" s="719"/>
      <c r="N672" s="719"/>
      <c r="O672" s="719"/>
      <c r="P672" s="716"/>
      <c r="Q672" s="716"/>
      <c r="R672" s="716"/>
      <c r="S672" s="667">
        <v>0</v>
      </c>
      <c r="T672" s="667">
        <v>0</v>
      </c>
      <c r="U672" s="667">
        <v>0</v>
      </c>
      <c r="V672" s="667">
        <v>0</v>
      </c>
      <c r="W672" s="667">
        <v>0</v>
      </c>
      <c r="X672" s="667">
        <v>0</v>
      </c>
      <c r="Y672" s="667">
        <v>0</v>
      </c>
      <c r="Z672" s="667">
        <v>0</v>
      </c>
      <c r="AA672" s="667">
        <v>0</v>
      </c>
      <c r="AB672" s="667">
        <v>0</v>
      </c>
      <c r="AC672" s="686">
        <v>0</v>
      </c>
      <c r="AD672" s="686">
        <v>0</v>
      </c>
      <c r="AE672" s="667">
        <v>0</v>
      </c>
      <c r="AF672" s="724">
        <v>0</v>
      </c>
      <c r="AG672" s="686">
        <v>0</v>
      </c>
      <c r="AH672" s="716"/>
      <c r="AI672" s="716"/>
      <c r="AJ672" s="716"/>
      <c r="AK672" s="716"/>
      <c r="AL672" s="716"/>
      <c r="AM672" s="716"/>
      <c r="AN672" s="716"/>
      <c r="AO672" s="716"/>
      <c r="AP672" s="716"/>
      <c r="AQ672" s="716"/>
      <c r="AR672" s="716"/>
      <c r="AS672" s="716"/>
      <c r="AT672" s="716"/>
      <c r="AU672" s="716"/>
      <c r="AV672" s="716"/>
      <c r="AW672" s="716"/>
      <c r="AX672" s="716"/>
      <c r="AY672" s="716"/>
      <c r="AZ672" s="716"/>
      <c r="BA672" s="716"/>
      <c r="BB672" s="716"/>
      <c r="BC672" s="716"/>
      <c r="BD672" s="716"/>
      <c r="BE672" s="716"/>
      <c r="BF672" s="716"/>
      <c r="BG672" s="716"/>
      <c r="BH672" s="716"/>
      <c r="BI672" s="716"/>
      <c r="BJ672" s="716"/>
      <c r="BK672" s="716"/>
      <c r="BL672" s="716"/>
      <c r="BM672" s="716"/>
      <c r="BN672" s="716"/>
      <c r="BO672" s="716"/>
      <c r="BP672" s="716"/>
      <c r="BQ672" s="716"/>
      <c r="BR672" s="716"/>
      <c r="BS672" s="716"/>
      <c r="BT672" s="716"/>
      <c r="BU672" s="716"/>
      <c r="BV672" s="716"/>
      <c r="BW672" s="716"/>
      <c r="BX672" s="716"/>
      <c r="BY672" s="716"/>
      <c r="BZ672" s="716"/>
      <c r="CA672" s="716"/>
    </row>
    <row r="673" spans="1:79" s="451" customFormat="1" hidden="1" outlineLevel="1" x14ac:dyDescent="0.25">
      <c r="A673" s="661"/>
      <c r="B673" s="79"/>
      <c r="C673" s="79"/>
      <c r="D673" s="79"/>
      <c r="E673" s="40" t="s">
        <v>1345</v>
      </c>
      <c r="F673" s="661" t="s">
        <v>636</v>
      </c>
      <c r="G673" s="661"/>
      <c r="H673" s="719"/>
      <c r="I673" s="719"/>
      <c r="J673" s="719"/>
      <c r="K673" s="719"/>
      <c r="L673" s="719"/>
      <c r="M673" s="719"/>
      <c r="N673" s="719"/>
      <c r="O673" s="719"/>
      <c r="P673" s="716"/>
      <c r="Q673" s="716"/>
      <c r="R673" s="716"/>
      <c r="S673" s="667">
        <v>0</v>
      </c>
      <c r="T673" s="667">
        <v>0</v>
      </c>
      <c r="U673" s="667">
        <v>0</v>
      </c>
      <c r="V673" s="667">
        <v>2692.31</v>
      </c>
      <c r="W673" s="667">
        <v>13269.24</v>
      </c>
      <c r="X673" s="667">
        <v>12692.32</v>
      </c>
      <c r="Y673" s="667">
        <v>14596.17</v>
      </c>
      <c r="Z673" s="667">
        <v>20596.169999999998</v>
      </c>
      <c r="AA673" s="667">
        <v>22615.41</v>
      </c>
      <c r="AB673" s="667">
        <v>24769.24</v>
      </c>
      <c r="AC673" s="686">
        <v>22615.41</v>
      </c>
      <c r="AD673" s="686">
        <v>23692.34</v>
      </c>
      <c r="AE673" s="667">
        <v>24769.24</v>
      </c>
      <c r="AF673" s="724">
        <v>21538.48</v>
      </c>
      <c r="AG673" s="686">
        <v>22615.4</v>
      </c>
      <c r="AH673" s="716"/>
      <c r="AI673" s="716"/>
      <c r="AJ673" s="716"/>
      <c r="AK673" s="716"/>
      <c r="AL673" s="716"/>
      <c r="AM673" s="716"/>
      <c r="AN673" s="716"/>
      <c r="AO673" s="716"/>
      <c r="AP673" s="716"/>
      <c r="AQ673" s="716"/>
      <c r="AR673" s="716"/>
      <c r="AS673" s="716"/>
      <c r="AT673" s="716"/>
      <c r="AU673" s="716"/>
      <c r="AV673" s="716"/>
      <c r="AW673" s="716"/>
      <c r="AX673" s="716"/>
      <c r="AY673" s="716"/>
      <c r="AZ673" s="716"/>
      <c r="BA673" s="716"/>
      <c r="BB673" s="716"/>
      <c r="BC673" s="716"/>
      <c r="BD673" s="716"/>
      <c r="BE673" s="716"/>
      <c r="BF673" s="716"/>
      <c r="BG673" s="716"/>
      <c r="BH673" s="716"/>
      <c r="BI673" s="716"/>
      <c r="BJ673" s="716"/>
      <c r="BK673" s="716"/>
      <c r="BL673" s="716"/>
      <c r="BM673" s="716"/>
      <c r="BN673" s="716"/>
      <c r="BO673" s="716"/>
      <c r="BP673" s="716"/>
      <c r="BQ673" s="716"/>
      <c r="BR673" s="716"/>
      <c r="BS673" s="716"/>
      <c r="BT673" s="716"/>
      <c r="BU673" s="716"/>
      <c r="BV673" s="716"/>
      <c r="BW673" s="716"/>
      <c r="BX673" s="716"/>
      <c r="BY673" s="716"/>
      <c r="BZ673" s="716"/>
      <c r="CA673" s="716"/>
    </row>
    <row r="674" spans="1:79" s="451" customFormat="1" hidden="1" outlineLevel="1" x14ac:dyDescent="0.25">
      <c r="A674" s="661"/>
      <c r="B674" s="79"/>
      <c r="C674" s="79"/>
      <c r="D674" s="79"/>
      <c r="E674" s="40" t="s">
        <v>637</v>
      </c>
      <c r="F674" s="661" t="s">
        <v>637</v>
      </c>
      <c r="G674" s="661"/>
      <c r="H674" s="719"/>
      <c r="I674" s="719"/>
      <c r="J674" s="719"/>
      <c r="K674" s="719"/>
      <c r="L674" s="719"/>
      <c r="M674" s="719"/>
      <c r="N674" s="719"/>
      <c r="O674" s="719"/>
      <c r="P674" s="716"/>
      <c r="Q674" s="716"/>
      <c r="R674" s="716"/>
      <c r="S674" s="667">
        <v>0</v>
      </c>
      <c r="T674" s="667">
        <v>0</v>
      </c>
      <c r="U674" s="667">
        <v>0</v>
      </c>
      <c r="V674" s="667">
        <v>1381.53</v>
      </c>
      <c r="W674" s="667">
        <v>-1256.6600000000001</v>
      </c>
      <c r="X674" s="667">
        <v>703.37</v>
      </c>
      <c r="Y674" s="667">
        <v>726.82</v>
      </c>
      <c r="Z674" s="667">
        <v>84.56</v>
      </c>
      <c r="AA674" s="667">
        <v>682.3</v>
      </c>
      <c r="AB674" s="667">
        <v>-842.47</v>
      </c>
      <c r="AC674" s="686">
        <v>521.6</v>
      </c>
      <c r="AD674" s="686">
        <v>598.27</v>
      </c>
      <c r="AE674" s="667">
        <v>-760.54</v>
      </c>
      <c r="AF674" s="724">
        <v>3217.02</v>
      </c>
      <c r="AG674" s="686">
        <v>1365.43</v>
      </c>
      <c r="AH674" s="716"/>
      <c r="AI674" s="716"/>
      <c r="AJ674" s="716"/>
      <c r="AK674" s="716"/>
      <c r="AL674" s="716"/>
      <c r="AM674" s="716"/>
      <c r="AN674" s="716"/>
      <c r="AO674" s="716"/>
      <c r="AP674" s="716"/>
      <c r="AQ674" s="716"/>
      <c r="AR674" s="716"/>
      <c r="AS674" s="716"/>
      <c r="AT674" s="716"/>
      <c r="AU674" s="716"/>
      <c r="AV674" s="716"/>
      <c r="AW674" s="716"/>
      <c r="AX674" s="716"/>
      <c r="AY674" s="716"/>
      <c r="AZ674" s="716"/>
      <c r="BA674" s="716"/>
      <c r="BB674" s="716"/>
      <c r="BC674" s="716"/>
      <c r="BD674" s="716"/>
      <c r="BE674" s="716"/>
      <c r="BF674" s="716"/>
      <c r="BG674" s="716"/>
      <c r="BH674" s="716"/>
      <c r="BI674" s="716"/>
      <c r="BJ674" s="716"/>
      <c r="BK674" s="716"/>
      <c r="BL674" s="716"/>
      <c r="BM674" s="716"/>
      <c r="BN674" s="716"/>
      <c r="BO674" s="716"/>
      <c r="BP674" s="716"/>
      <c r="BQ674" s="716"/>
      <c r="BR674" s="716"/>
      <c r="BS674" s="716"/>
      <c r="BT674" s="716"/>
      <c r="BU674" s="716"/>
      <c r="BV674" s="716"/>
      <c r="BW674" s="716"/>
      <c r="BX674" s="716"/>
      <c r="BY674" s="716"/>
      <c r="BZ674" s="716"/>
      <c r="CA674" s="716"/>
    </row>
    <row r="675" spans="1:79" s="451" customFormat="1" hidden="1" outlineLevel="1" x14ac:dyDescent="0.25">
      <c r="A675" s="661"/>
      <c r="B675" s="576"/>
      <c r="C675" s="576"/>
      <c r="D675" s="576"/>
      <c r="E675" s="40" t="s">
        <v>1345</v>
      </c>
      <c r="F675" s="661" t="s">
        <v>904</v>
      </c>
      <c r="G675" s="661"/>
      <c r="H675" s="719"/>
      <c r="I675" s="719"/>
      <c r="J675" s="719"/>
      <c r="K675" s="719"/>
      <c r="L675" s="719"/>
      <c r="M675" s="719"/>
      <c r="N675" s="719"/>
      <c r="O675" s="719"/>
      <c r="P675" s="716"/>
      <c r="Q675" s="716"/>
      <c r="R675" s="716"/>
      <c r="S675" s="667">
        <v>0</v>
      </c>
      <c r="T675" s="667">
        <v>0</v>
      </c>
      <c r="U675" s="667">
        <v>0</v>
      </c>
      <c r="V675" s="667">
        <v>0</v>
      </c>
      <c r="W675" s="667">
        <v>0</v>
      </c>
      <c r="X675" s="667">
        <v>0</v>
      </c>
      <c r="Y675" s="667">
        <v>0</v>
      </c>
      <c r="Z675" s="667">
        <v>0</v>
      </c>
      <c r="AA675" s="667">
        <v>0</v>
      </c>
      <c r="AB675" s="667">
        <v>0</v>
      </c>
      <c r="AC675" s="686">
        <v>0</v>
      </c>
      <c r="AD675" s="686">
        <v>0</v>
      </c>
      <c r="AE675" s="667">
        <v>0</v>
      </c>
      <c r="AF675" s="724">
        <v>0</v>
      </c>
      <c r="AG675" s="686">
        <v>0</v>
      </c>
      <c r="AH675" s="716"/>
      <c r="AI675" s="716"/>
      <c r="AJ675" s="716"/>
      <c r="AK675" s="716"/>
      <c r="AL675" s="716"/>
      <c r="AM675" s="716"/>
      <c r="AN675" s="716"/>
      <c r="AO675" s="716"/>
      <c r="AP675" s="716"/>
      <c r="AQ675" s="716"/>
      <c r="AR675" s="716"/>
      <c r="AS675" s="716"/>
      <c r="AT675" s="716"/>
      <c r="AU675" s="716"/>
      <c r="AV675" s="716"/>
      <c r="AW675" s="716"/>
      <c r="AX675" s="716"/>
      <c r="AY675" s="716"/>
      <c r="AZ675" s="716"/>
      <c r="BA675" s="716"/>
      <c r="BB675" s="716"/>
      <c r="BC675" s="716"/>
      <c r="BD675" s="716"/>
      <c r="BE675" s="716"/>
      <c r="BF675" s="716"/>
      <c r="BG675" s="716"/>
      <c r="BH675" s="716"/>
      <c r="BI675" s="716"/>
      <c r="BJ675" s="716"/>
      <c r="BK675" s="716"/>
      <c r="BL675" s="716"/>
      <c r="BM675" s="716"/>
      <c r="BN675" s="716"/>
      <c r="BO675" s="716"/>
      <c r="BP675" s="716"/>
      <c r="BQ675" s="716"/>
      <c r="BR675" s="716"/>
      <c r="BS675" s="716"/>
      <c r="BT675" s="716"/>
      <c r="BU675" s="716"/>
      <c r="BV675" s="716"/>
      <c r="BW675" s="716"/>
      <c r="BX675" s="716"/>
      <c r="BY675" s="716"/>
      <c r="BZ675" s="716"/>
      <c r="CA675" s="716"/>
    </row>
    <row r="676" spans="1:79" s="451" customFormat="1" hidden="1" outlineLevel="1" x14ac:dyDescent="0.25">
      <c r="A676" s="661"/>
      <c r="B676" s="576"/>
      <c r="C676" s="576"/>
      <c r="D676" s="576"/>
      <c r="E676" s="40" t="s">
        <v>1345</v>
      </c>
      <c r="F676" s="661" t="s">
        <v>677</v>
      </c>
      <c r="G676" s="719">
        <v>8393.34</v>
      </c>
      <c r="H676" s="719">
        <v>8393.34</v>
      </c>
      <c r="I676" s="719">
        <v>8503.34</v>
      </c>
      <c r="J676" s="719">
        <v>9153.34</v>
      </c>
      <c r="K676" s="719">
        <v>6460.67</v>
      </c>
      <c r="L676" s="719">
        <v>9833.34</v>
      </c>
      <c r="M676" s="719">
        <v>8893.34</v>
      </c>
      <c r="N676" s="719">
        <v>11018.35</v>
      </c>
      <c r="O676" s="719">
        <v>9073.34</v>
      </c>
      <c r="P676" s="716">
        <v>10033.34</v>
      </c>
      <c r="Q676" s="716">
        <v>13806.810000000001</v>
      </c>
      <c r="R676" s="716">
        <v>11515.74</v>
      </c>
      <c r="S676" s="667">
        <v>0</v>
      </c>
      <c r="T676" s="667">
        <v>0</v>
      </c>
      <c r="U676" s="667">
        <v>0</v>
      </c>
      <c r="V676" s="667">
        <v>0</v>
      </c>
      <c r="W676" s="667">
        <v>0</v>
      </c>
      <c r="X676" s="667">
        <v>0</v>
      </c>
      <c r="Y676" s="667">
        <v>0</v>
      </c>
      <c r="Z676" s="667">
        <v>0</v>
      </c>
      <c r="AA676" s="667">
        <v>0</v>
      </c>
      <c r="AB676" s="667">
        <v>0</v>
      </c>
      <c r="AC676" s="686">
        <v>0</v>
      </c>
      <c r="AD676" s="686">
        <v>0</v>
      </c>
      <c r="AE676" s="667">
        <v>0</v>
      </c>
      <c r="AF676" s="724">
        <v>0</v>
      </c>
      <c r="AG676" s="686">
        <v>0</v>
      </c>
      <c r="AH676" s="716"/>
      <c r="AI676" s="716"/>
      <c r="AJ676" s="716"/>
      <c r="AK676" s="716"/>
      <c r="AL676" s="716"/>
      <c r="AM676" s="716"/>
      <c r="AN676" s="716"/>
      <c r="AO676" s="716"/>
      <c r="AP676" s="716"/>
      <c r="AQ676" s="716"/>
      <c r="AR676" s="716"/>
      <c r="AS676" s="716"/>
      <c r="AT676" s="716"/>
      <c r="AU676" s="716"/>
      <c r="AV676" s="716"/>
      <c r="AW676" s="716"/>
      <c r="AX676" s="716"/>
      <c r="AY676" s="716"/>
      <c r="AZ676" s="716"/>
      <c r="BA676" s="716"/>
      <c r="BB676" s="716"/>
      <c r="BC676" s="716"/>
      <c r="BD676" s="716"/>
      <c r="BE676" s="716"/>
      <c r="BF676" s="716"/>
      <c r="BG676" s="716"/>
      <c r="BH676" s="716"/>
      <c r="BI676" s="716"/>
      <c r="BJ676" s="716"/>
      <c r="BK676" s="716"/>
      <c r="BL676" s="716"/>
      <c r="BM676" s="716"/>
      <c r="BN676" s="716"/>
      <c r="BO676" s="716"/>
      <c r="BP676" s="716"/>
      <c r="BQ676" s="716"/>
      <c r="BR676" s="716"/>
      <c r="BS676" s="716"/>
      <c r="BT676" s="716"/>
      <c r="BU676" s="716"/>
      <c r="BV676" s="716"/>
      <c r="BW676" s="716"/>
      <c r="BX676" s="716"/>
      <c r="BY676" s="716"/>
      <c r="BZ676" s="716"/>
      <c r="CA676" s="716"/>
    </row>
    <row r="677" spans="1:79" s="740" customFormat="1" hidden="1" outlineLevel="1" x14ac:dyDescent="0.25">
      <c r="A677" s="657"/>
      <c r="B677" s="503"/>
      <c r="C677" s="503"/>
      <c r="D677" s="503"/>
      <c r="E677" s="40" t="s">
        <v>49</v>
      </c>
      <c r="F677" s="1218" t="s">
        <v>638</v>
      </c>
      <c r="G677" s="764">
        <f>SUM(G669:G676)</f>
        <v>8393.34</v>
      </c>
      <c r="H677" s="764">
        <f t="shared" ref="H677:BO677" si="279">SUM(H669:H676)</f>
        <v>8393.34</v>
      </c>
      <c r="I677" s="764">
        <f t="shared" si="279"/>
        <v>8503.34</v>
      </c>
      <c r="J677" s="764">
        <f t="shared" si="279"/>
        <v>9153.34</v>
      </c>
      <c r="K677" s="764">
        <f t="shared" si="279"/>
        <v>6460.67</v>
      </c>
      <c r="L677" s="764">
        <f t="shared" si="279"/>
        <v>9833.34</v>
      </c>
      <c r="M677" s="764">
        <f t="shared" si="279"/>
        <v>8893.34</v>
      </c>
      <c r="N677" s="764">
        <f t="shared" si="279"/>
        <v>11018.35</v>
      </c>
      <c r="O677" s="764">
        <f t="shared" si="279"/>
        <v>9073.34</v>
      </c>
      <c r="P677" s="764">
        <f t="shared" si="279"/>
        <v>10033.34</v>
      </c>
      <c r="Q677" s="764">
        <f t="shared" si="279"/>
        <v>13806.810000000001</v>
      </c>
      <c r="R677" s="764">
        <f t="shared" si="279"/>
        <v>11515.74</v>
      </c>
      <c r="S677" s="1224">
        <f t="shared" ref="S677:AA677" si="280">ROUND(SUM(S668:S676),5)</f>
        <v>9410.83</v>
      </c>
      <c r="T677" s="1224">
        <f t="shared" si="280"/>
        <v>7710.83</v>
      </c>
      <c r="U677" s="1224">
        <f t="shared" si="280"/>
        <v>9992.9699999999993</v>
      </c>
      <c r="V677" s="1224">
        <f t="shared" si="280"/>
        <v>8016.08</v>
      </c>
      <c r="W677" s="1224">
        <f t="shared" si="280"/>
        <v>16495.91</v>
      </c>
      <c r="X677" s="1224">
        <f t="shared" si="280"/>
        <v>17166.52</v>
      </c>
      <c r="Y677" s="1224">
        <f t="shared" si="280"/>
        <v>20086.41</v>
      </c>
      <c r="Z677" s="1224">
        <f t="shared" si="280"/>
        <v>24451.56</v>
      </c>
      <c r="AA677" s="1224">
        <f t="shared" si="280"/>
        <v>27313.53</v>
      </c>
      <c r="AB677" s="1224">
        <f t="shared" ref="AB677:AG677" si="281">ROUND(SUM(AB668:AB676),5)</f>
        <v>28690.19</v>
      </c>
      <c r="AC677" s="1224">
        <f t="shared" si="281"/>
        <v>26952.84</v>
      </c>
      <c r="AD677" s="1224">
        <f t="shared" si="281"/>
        <v>9093.35</v>
      </c>
      <c r="AE677" s="1224">
        <f t="shared" si="281"/>
        <v>28003.42</v>
      </c>
      <c r="AF677" s="664">
        <f t="shared" si="281"/>
        <v>28750.22</v>
      </c>
      <c r="AG677" s="679">
        <f t="shared" si="281"/>
        <v>27975.55</v>
      </c>
      <c r="AH677" s="732">
        <f t="shared" si="279"/>
        <v>0</v>
      </c>
      <c r="AI677" s="732">
        <f t="shared" si="279"/>
        <v>0</v>
      </c>
      <c r="AJ677" s="732">
        <f t="shared" si="279"/>
        <v>0</v>
      </c>
      <c r="AK677" s="732">
        <f t="shared" si="279"/>
        <v>0</v>
      </c>
      <c r="AL677" s="732">
        <f t="shared" si="279"/>
        <v>0</v>
      </c>
      <c r="AM677" s="732">
        <f t="shared" si="279"/>
        <v>0</v>
      </c>
      <c r="AN677" s="732">
        <f t="shared" si="279"/>
        <v>0</v>
      </c>
      <c r="AO677" s="732">
        <f t="shared" si="279"/>
        <v>0</v>
      </c>
      <c r="AP677" s="732">
        <f t="shared" si="279"/>
        <v>0</v>
      </c>
      <c r="AQ677" s="732">
        <f t="shared" si="279"/>
        <v>0</v>
      </c>
      <c r="AR677" s="732">
        <f t="shared" si="279"/>
        <v>0</v>
      </c>
      <c r="AS677" s="732">
        <f t="shared" si="279"/>
        <v>0</v>
      </c>
      <c r="AT677" s="732">
        <f t="shared" si="279"/>
        <v>0</v>
      </c>
      <c r="AU677" s="732">
        <f t="shared" si="279"/>
        <v>0</v>
      </c>
      <c r="AV677" s="732">
        <f t="shared" si="279"/>
        <v>0</v>
      </c>
      <c r="AW677" s="732">
        <f t="shared" si="279"/>
        <v>0</v>
      </c>
      <c r="AX677" s="732">
        <f t="shared" si="279"/>
        <v>0</v>
      </c>
      <c r="AY677" s="732">
        <f t="shared" si="279"/>
        <v>0</v>
      </c>
      <c r="AZ677" s="732">
        <f t="shared" si="279"/>
        <v>0</v>
      </c>
      <c r="BA677" s="732">
        <f t="shared" si="279"/>
        <v>0</v>
      </c>
      <c r="BB677" s="732">
        <f t="shared" si="279"/>
        <v>0</v>
      </c>
      <c r="BC677" s="732">
        <f t="shared" si="279"/>
        <v>0</v>
      </c>
      <c r="BD677" s="732">
        <f t="shared" si="279"/>
        <v>0</v>
      </c>
      <c r="BE677" s="732">
        <f t="shared" si="279"/>
        <v>0</v>
      </c>
      <c r="BF677" s="732">
        <f t="shared" si="279"/>
        <v>0</v>
      </c>
      <c r="BG677" s="732">
        <f t="shared" si="279"/>
        <v>0</v>
      </c>
      <c r="BH677" s="732">
        <f t="shared" si="279"/>
        <v>0</v>
      </c>
      <c r="BI677" s="732">
        <f t="shared" si="279"/>
        <v>0</v>
      </c>
      <c r="BJ677" s="732">
        <f t="shared" si="279"/>
        <v>0</v>
      </c>
      <c r="BK677" s="732">
        <f t="shared" si="279"/>
        <v>0</v>
      </c>
      <c r="BL677" s="732">
        <f t="shared" si="279"/>
        <v>0</v>
      </c>
      <c r="BM677" s="732">
        <f t="shared" si="279"/>
        <v>0</v>
      </c>
      <c r="BN677" s="732">
        <f t="shared" si="279"/>
        <v>0</v>
      </c>
      <c r="BO677" s="732">
        <f t="shared" si="279"/>
        <v>0</v>
      </c>
      <c r="BP677" s="732">
        <f t="shared" ref="BP677:CA677" si="282">SUM(BP669:BP676)</f>
        <v>0</v>
      </c>
      <c r="BQ677" s="732">
        <f t="shared" si="282"/>
        <v>0</v>
      </c>
      <c r="BR677" s="732">
        <f t="shared" si="282"/>
        <v>0</v>
      </c>
      <c r="BS677" s="732">
        <f t="shared" si="282"/>
        <v>0</v>
      </c>
      <c r="BT677" s="732">
        <f t="shared" si="282"/>
        <v>0</v>
      </c>
      <c r="BU677" s="732">
        <f t="shared" si="282"/>
        <v>0</v>
      </c>
      <c r="BV677" s="732">
        <f t="shared" si="282"/>
        <v>0</v>
      </c>
      <c r="BW677" s="732">
        <f t="shared" si="282"/>
        <v>0</v>
      </c>
      <c r="BX677" s="732">
        <f t="shared" si="282"/>
        <v>0</v>
      </c>
      <c r="BY677" s="732">
        <f t="shared" si="282"/>
        <v>0</v>
      </c>
      <c r="BZ677" s="732">
        <f t="shared" si="282"/>
        <v>0</v>
      </c>
      <c r="CA677" s="732">
        <f t="shared" si="282"/>
        <v>0</v>
      </c>
    </row>
    <row r="678" spans="1:79" s="451" customFormat="1" hidden="1" outlineLevel="1" x14ac:dyDescent="0.25">
      <c r="A678" s="656"/>
      <c r="B678" s="79"/>
      <c r="C678" s="79"/>
      <c r="D678" s="79"/>
      <c r="E678" s="40" t="s">
        <v>1345</v>
      </c>
      <c r="F678" s="656" t="s">
        <v>639</v>
      </c>
      <c r="G678" s="719"/>
      <c r="H678" s="719"/>
      <c r="I678" s="719"/>
      <c r="J678" s="719"/>
      <c r="K678" s="719"/>
      <c r="L678" s="719"/>
      <c r="M678" s="719"/>
      <c r="N678" s="719"/>
      <c r="O678" s="719"/>
      <c r="P678" s="716"/>
      <c r="Q678" s="716"/>
      <c r="R678" s="716"/>
      <c r="S678" s="676">
        <v>4.4000000000000004</v>
      </c>
      <c r="T678" s="676">
        <v>0</v>
      </c>
      <c r="U678" s="676">
        <v>0</v>
      </c>
      <c r="V678" s="676">
        <v>0</v>
      </c>
      <c r="W678" s="676">
        <v>0</v>
      </c>
      <c r="X678" s="676">
        <v>0</v>
      </c>
      <c r="Y678" s="676">
        <v>0</v>
      </c>
      <c r="Z678" s="676">
        <v>0</v>
      </c>
      <c r="AA678" s="676">
        <v>0</v>
      </c>
      <c r="AB678" s="676">
        <v>0</v>
      </c>
      <c r="AC678" s="715">
        <v>0</v>
      </c>
      <c r="AD678" s="715">
        <v>0</v>
      </c>
      <c r="AE678" s="676">
        <v>0</v>
      </c>
      <c r="AF678" s="724">
        <v>0</v>
      </c>
      <c r="AG678" s="690">
        <v>0</v>
      </c>
      <c r="AH678" s="716"/>
      <c r="AI678" s="716"/>
      <c r="AJ678" s="716"/>
      <c r="AK678" s="716"/>
      <c r="AL678" s="716"/>
      <c r="AM678" s="716"/>
      <c r="AN678" s="716"/>
      <c r="AO678" s="716"/>
      <c r="AP678" s="716"/>
      <c r="AQ678" s="716"/>
      <c r="AR678" s="716"/>
      <c r="AS678" s="716"/>
      <c r="AT678" s="716"/>
      <c r="AU678" s="716"/>
      <c r="AV678" s="716"/>
      <c r="AW678" s="716"/>
      <c r="AX678" s="716"/>
      <c r="AY678" s="716"/>
      <c r="AZ678" s="716"/>
      <c r="BA678" s="716"/>
      <c r="BB678" s="716"/>
      <c r="BC678" s="716"/>
      <c r="BD678" s="716"/>
      <c r="BE678" s="716"/>
      <c r="BF678" s="716"/>
      <c r="BG678" s="716"/>
      <c r="BH678" s="716"/>
      <c r="BI678" s="716"/>
      <c r="BJ678" s="716"/>
      <c r="BK678" s="716"/>
      <c r="BL678" s="716"/>
      <c r="BM678" s="716"/>
      <c r="BN678" s="716"/>
      <c r="BO678" s="716"/>
      <c r="BP678" s="716"/>
      <c r="BQ678" s="716"/>
      <c r="BR678" s="716"/>
      <c r="BS678" s="716"/>
      <c r="BT678" s="716"/>
      <c r="BU678" s="716"/>
      <c r="BV678" s="716"/>
      <c r="BW678" s="716"/>
      <c r="BX678" s="716"/>
      <c r="BY678" s="716"/>
      <c r="BZ678" s="716"/>
      <c r="CA678" s="716"/>
    </row>
    <row r="679" spans="1:79" s="308" customFormat="1" hidden="1" outlineLevel="1" x14ac:dyDescent="0.25">
      <c r="A679" s="659"/>
      <c r="B679" s="29"/>
      <c r="C679" s="29"/>
      <c r="D679" s="29"/>
      <c r="E679" s="40" t="s">
        <v>49</v>
      </c>
      <c r="F679" s="1136" t="s">
        <v>640</v>
      </c>
      <c r="G679" s="764">
        <f>G677+G667</f>
        <v>9040.825025247952</v>
      </c>
      <c r="H679" s="764">
        <f t="shared" ref="H679:BO679" si="283">H677+H667</f>
        <v>8961.3278112356056</v>
      </c>
      <c r="I679" s="764">
        <f t="shared" si="283"/>
        <v>8987.1048993974837</v>
      </c>
      <c r="J679" s="764">
        <f t="shared" si="283"/>
        <v>9502.2703778282848</v>
      </c>
      <c r="K679" s="764">
        <f t="shared" si="283"/>
        <v>6607.6548645223238</v>
      </c>
      <c r="L679" s="764">
        <f t="shared" si="283"/>
        <v>10172.674014432794</v>
      </c>
      <c r="M679" s="764">
        <f t="shared" si="283"/>
        <v>9218.6648696523371</v>
      </c>
      <c r="N679" s="764">
        <f t="shared" si="283"/>
        <v>11507.85498386608</v>
      </c>
      <c r="O679" s="764">
        <f t="shared" si="283"/>
        <v>9414.4400417115248</v>
      </c>
      <c r="P679" s="764">
        <f t="shared" si="283"/>
        <v>10447.904561516651</v>
      </c>
      <c r="Q679" s="764">
        <f t="shared" si="283"/>
        <v>14486.431255502628</v>
      </c>
      <c r="R679" s="764">
        <f t="shared" si="283"/>
        <v>11972.187175655527</v>
      </c>
      <c r="S679" s="1224">
        <f t="shared" ref="S679:AB679" si="284">ROUND(S647+S657+S667+SUM(S677:S678),5)</f>
        <v>10400.24</v>
      </c>
      <c r="T679" s="1224">
        <f t="shared" si="284"/>
        <v>8300.7099999999991</v>
      </c>
      <c r="U679" s="1224">
        <f t="shared" si="284"/>
        <v>10757.43</v>
      </c>
      <c r="V679" s="1224">
        <f t="shared" si="284"/>
        <v>8627.6200000000008</v>
      </c>
      <c r="W679" s="1224">
        <f t="shared" si="284"/>
        <v>18054.66</v>
      </c>
      <c r="X679" s="1224">
        <f t="shared" si="284"/>
        <v>18425.7</v>
      </c>
      <c r="Y679" s="1224">
        <f t="shared" si="284"/>
        <v>21504.48</v>
      </c>
      <c r="Z679" s="1224">
        <f t="shared" si="284"/>
        <v>26600.58</v>
      </c>
      <c r="AA679" s="1224">
        <f t="shared" si="284"/>
        <v>29751.08</v>
      </c>
      <c r="AB679" s="1224">
        <f t="shared" si="284"/>
        <v>31333.56</v>
      </c>
      <c r="AC679" s="1224">
        <f>ROUND(AC647+AC657+AC667+SUM(AC677:AC678),5)</f>
        <v>30723.63</v>
      </c>
      <c r="AD679" s="1224">
        <f>ROUND(AD647+AD657+AD667+SUM(AD677:AD678),5)</f>
        <v>11009.23</v>
      </c>
      <c r="AE679" s="1224">
        <f>ROUND(AE647+AE657+AE667+SUM(AE677:AE678),5)</f>
        <v>32822.300000000003</v>
      </c>
      <c r="AF679" s="679">
        <f>ROUND(AF647+AF657+AF667+SUM(AF677:AF678),5)</f>
        <v>32681.13</v>
      </c>
      <c r="AG679" s="679">
        <f>ROUND(AG647+AG657+AG667+SUM(AG677:AG678),5)</f>
        <v>31941.439999999999</v>
      </c>
      <c r="AH679" s="732">
        <f t="shared" si="283"/>
        <v>0</v>
      </c>
      <c r="AI679" s="732">
        <f t="shared" si="283"/>
        <v>0</v>
      </c>
      <c r="AJ679" s="732">
        <f t="shared" si="283"/>
        <v>0</v>
      </c>
      <c r="AK679" s="732">
        <f t="shared" si="283"/>
        <v>0</v>
      </c>
      <c r="AL679" s="732">
        <f t="shared" si="283"/>
        <v>0</v>
      </c>
      <c r="AM679" s="732">
        <f t="shared" si="283"/>
        <v>0</v>
      </c>
      <c r="AN679" s="732">
        <f t="shared" si="283"/>
        <v>0</v>
      </c>
      <c r="AO679" s="732">
        <f t="shared" si="283"/>
        <v>0</v>
      </c>
      <c r="AP679" s="732">
        <f t="shared" si="283"/>
        <v>0</v>
      </c>
      <c r="AQ679" s="732">
        <f t="shared" si="283"/>
        <v>0</v>
      </c>
      <c r="AR679" s="732">
        <f t="shared" si="283"/>
        <v>0</v>
      </c>
      <c r="AS679" s="732">
        <f t="shared" si="283"/>
        <v>0</v>
      </c>
      <c r="AT679" s="732">
        <f t="shared" si="283"/>
        <v>0</v>
      </c>
      <c r="AU679" s="732">
        <f t="shared" si="283"/>
        <v>0</v>
      </c>
      <c r="AV679" s="732">
        <f t="shared" si="283"/>
        <v>0</v>
      </c>
      <c r="AW679" s="732">
        <f t="shared" si="283"/>
        <v>0</v>
      </c>
      <c r="AX679" s="732">
        <f t="shared" si="283"/>
        <v>0</v>
      </c>
      <c r="AY679" s="732">
        <f t="shared" si="283"/>
        <v>0</v>
      </c>
      <c r="AZ679" s="732">
        <f t="shared" si="283"/>
        <v>0</v>
      </c>
      <c r="BA679" s="732">
        <f t="shared" si="283"/>
        <v>0</v>
      </c>
      <c r="BB679" s="732">
        <f t="shared" si="283"/>
        <v>0</v>
      </c>
      <c r="BC679" s="732">
        <f t="shared" si="283"/>
        <v>0</v>
      </c>
      <c r="BD679" s="732">
        <f t="shared" si="283"/>
        <v>0</v>
      </c>
      <c r="BE679" s="732">
        <f t="shared" si="283"/>
        <v>0</v>
      </c>
      <c r="BF679" s="732">
        <f t="shared" si="283"/>
        <v>0</v>
      </c>
      <c r="BG679" s="732">
        <f t="shared" si="283"/>
        <v>0</v>
      </c>
      <c r="BH679" s="732">
        <f t="shared" si="283"/>
        <v>0</v>
      </c>
      <c r="BI679" s="732">
        <f t="shared" si="283"/>
        <v>0</v>
      </c>
      <c r="BJ679" s="732">
        <f t="shared" si="283"/>
        <v>0</v>
      </c>
      <c r="BK679" s="732">
        <f t="shared" si="283"/>
        <v>0</v>
      </c>
      <c r="BL679" s="732">
        <f t="shared" si="283"/>
        <v>0</v>
      </c>
      <c r="BM679" s="732">
        <f t="shared" si="283"/>
        <v>0</v>
      </c>
      <c r="BN679" s="732">
        <f t="shared" si="283"/>
        <v>0</v>
      </c>
      <c r="BO679" s="732">
        <f t="shared" si="283"/>
        <v>0</v>
      </c>
      <c r="BP679" s="732">
        <f t="shared" ref="BP679:CA679" si="285">BP677+BP667</f>
        <v>0</v>
      </c>
      <c r="BQ679" s="732">
        <f t="shared" si="285"/>
        <v>0</v>
      </c>
      <c r="BR679" s="732">
        <f t="shared" si="285"/>
        <v>0</v>
      </c>
      <c r="BS679" s="732">
        <f t="shared" si="285"/>
        <v>0</v>
      </c>
      <c r="BT679" s="732">
        <f t="shared" si="285"/>
        <v>0</v>
      </c>
      <c r="BU679" s="732">
        <f t="shared" si="285"/>
        <v>0</v>
      </c>
      <c r="BV679" s="732">
        <f t="shared" si="285"/>
        <v>0</v>
      </c>
      <c r="BW679" s="732">
        <f t="shared" si="285"/>
        <v>0</v>
      </c>
      <c r="BX679" s="732">
        <f t="shared" si="285"/>
        <v>0</v>
      </c>
      <c r="BY679" s="732">
        <f t="shared" si="285"/>
        <v>0</v>
      </c>
      <c r="BZ679" s="732">
        <f t="shared" si="285"/>
        <v>0</v>
      </c>
      <c r="CA679" s="732">
        <f t="shared" si="285"/>
        <v>0</v>
      </c>
    </row>
    <row r="680" spans="1:79" s="308" customFormat="1" hidden="1" outlineLevel="1" x14ac:dyDescent="0.25">
      <c r="A680" s="655"/>
      <c r="B680" s="571"/>
      <c r="C680" s="571"/>
      <c r="D680" s="571"/>
      <c r="E680" s="40" t="s">
        <v>918</v>
      </c>
      <c r="F680" s="1215" t="s">
        <v>905</v>
      </c>
      <c r="G680" s="764"/>
      <c r="H680" s="764"/>
      <c r="I680" s="764"/>
      <c r="J680" s="764"/>
      <c r="K680" s="764"/>
      <c r="L680" s="764"/>
      <c r="M680" s="764"/>
      <c r="N680" s="764"/>
      <c r="O680" s="764"/>
      <c r="P680" s="764"/>
      <c r="Q680" s="764"/>
      <c r="R680" s="764"/>
      <c r="S680" s="667">
        <v>0</v>
      </c>
      <c r="T680" s="667">
        <v>0</v>
      </c>
      <c r="U680" s="667">
        <v>0</v>
      </c>
      <c r="V680" s="667">
        <v>0</v>
      </c>
      <c r="W680" s="667">
        <v>0</v>
      </c>
      <c r="X680" s="667">
        <v>0</v>
      </c>
      <c r="Y680" s="667">
        <v>0</v>
      </c>
      <c r="Z680" s="667">
        <v>0</v>
      </c>
      <c r="AA680" s="667">
        <v>0</v>
      </c>
      <c r="AB680" s="667">
        <v>0</v>
      </c>
      <c r="AC680" s="715">
        <v>0</v>
      </c>
      <c r="AD680" s="715">
        <v>0</v>
      </c>
      <c r="AE680" s="667">
        <v>0</v>
      </c>
      <c r="AF680" s="719">
        <v>0</v>
      </c>
      <c r="AG680" s="690">
        <v>0</v>
      </c>
      <c r="AH680" s="732"/>
      <c r="AI680" s="732"/>
      <c r="AJ680" s="732"/>
      <c r="AK680" s="732"/>
      <c r="AL680" s="732"/>
      <c r="AM680" s="732"/>
      <c r="AN680" s="732"/>
      <c r="AO680" s="732"/>
      <c r="AP680" s="732"/>
      <c r="AQ680" s="732"/>
      <c r="AR680" s="732"/>
      <c r="AS680" s="732"/>
      <c r="AT680" s="732"/>
      <c r="AU680" s="732"/>
      <c r="AV680" s="732"/>
      <c r="AW680" s="732"/>
      <c r="AX680" s="732"/>
      <c r="AY680" s="732"/>
      <c r="AZ680" s="732"/>
      <c r="BA680" s="732"/>
      <c r="BB680" s="732"/>
      <c r="BC680" s="732"/>
      <c r="BD680" s="732"/>
      <c r="BE680" s="732"/>
      <c r="BF680" s="732"/>
      <c r="BG680" s="732"/>
      <c r="BH680" s="732"/>
      <c r="BI680" s="732"/>
      <c r="BJ680" s="732"/>
      <c r="BK680" s="732"/>
      <c r="BL680" s="732"/>
      <c r="BM680" s="732"/>
      <c r="BN680" s="732"/>
      <c r="BO680" s="732"/>
      <c r="BP680" s="732"/>
      <c r="BQ680" s="732"/>
      <c r="BR680" s="732"/>
      <c r="BS680" s="732"/>
      <c r="BT680" s="732"/>
      <c r="BU680" s="732"/>
      <c r="BV680" s="732"/>
      <c r="BW680" s="732"/>
      <c r="BX680" s="732"/>
      <c r="BY680" s="732"/>
      <c r="BZ680" s="732"/>
      <c r="CA680" s="732"/>
    </row>
    <row r="681" spans="1:79" s="710" customFormat="1" hidden="1" outlineLevel="1" x14ac:dyDescent="0.25">
      <c r="A681" s="701"/>
      <c r="E681" s="40" t="s">
        <v>1327</v>
      </c>
      <c r="F681" s="1225" t="s">
        <v>602</v>
      </c>
      <c r="G681" s="733"/>
      <c r="H681" s="733"/>
      <c r="I681" s="733"/>
      <c r="J681" s="733"/>
      <c r="K681" s="733"/>
      <c r="L681" s="733"/>
      <c r="M681" s="733"/>
      <c r="N681" s="733"/>
      <c r="O681" s="733"/>
      <c r="P681" s="734"/>
      <c r="Q681" s="734"/>
      <c r="R681" s="734"/>
      <c r="S681" s="1223"/>
      <c r="T681" s="1223"/>
      <c r="U681" s="1223"/>
      <c r="V681" s="1223"/>
      <c r="W681" s="1223"/>
      <c r="X681" s="1223"/>
      <c r="Y681" s="1223"/>
      <c r="Z681" s="1223"/>
      <c r="AA681" s="1223"/>
      <c r="AB681" s="1223"/>
      <c r="AC681" s="1223"/>
      <c r="AD681" s="1223"/>
      <c r="AE681" s="1223"/>
      <c r="AF681" s="733"/>
      <c r="AG681" s="697"/>
      <c r="AH681" s="734"/>
      <c r="AI681" s="734"/>
      <c r="AJ681" s="734"/>
      <c r="AK681" s="734"/>
      <c r="AL681" s="734"/>
      <c r="AM681" s="734"/>
      <c r="AN681" s="734"/>
      <c r="AO681" s="734"/>
      <c r="AP681" s="734"/>
      <c r="AQ681" s="734"/>
      <c r="AR681" s="734"/>
      <c r="AS681" s="734"/>
      <c r="AT681" s="734"/>
      <c r="AU681" s="734"/>
      <c r="AV681" s="734"/>
      <c r="AW681" s="734"/>
      <c r="AX681" s="734"/>
      <c r="AY681" s="734"/>
      <c r="AZ681" s="734"/>
      <c r="BA681" s="734"/>
      <c r="BB681" s="734"/>
      <c r="BC681" s="734"/>
      <c r="BD681" s="734"/>
      <c r="BE681" s="734"/>
      <c r="BF681" s="734"/>
      <c r="BG681" s="734"/>
      <c r="BH681" s="734"/>
      <c r="BI681" s="734"/>
      <c r="BJ681" s="734"/>
      <c r="BK681" s="734"/>
      <c r="BL681" s="734"/>
      <c r="BM681" s="734"/>
      <c r="BN681" s="734"/>
      <c r="BO681" s="734"/>
      <c r="BP681" s="734"/>
      <c r="BQ681" s="734"/>
      <c r="BR681" s="734"/>
      <c r="BS681" s="734"/>
      <c r="BT681" s="734"/>
      <c r="BU681" s="734"/>
      <c r="BV681" s="734"/>
      <c r="BW681" s="734"/>
      <c r="BX681" s="734"/>
      <c r="BY681" s="734"/>
      <c r="BZ681" s="734"/>
      <c r="CA681" s="734"/>
    </row>
    <row r="682" spans="1:79" s="710" customFormat="1" hidden="1" outlineLevel="1" x14ac:dyDescent="0.25">
      <c r="A682" s="701"/>
      <c r="E682" s="40" t="s">
        <v>945</v>
      </c>
      <c r="F682" s="1225"/>
      <c r="G682" s="733"/>
      <c r="H682" s="733"/>
      <c r="I682" s="733"/>
      <c r="J682" s="733"/>
      <c r="K682" s="733"/>
      <c r="L682" s="733"/>
      <c r="M682" s="733"/>
      <c r="N682" s="733"/>
      <c r="O682" s="733"/>
      <c r="P682" s="734"/>
      <c r="Q682" s="734"/>
      <c r="R682" s="734"/>
      <c r="S682" s="1223"/>
      <c r="T682" s="1223"/>
      <c r="U682" s="1223"/>
      <c r="V682" s="1223"/>
      <c r="W682" s="1223"/>
      <c r="X682" s="1223"/>
      <c r="Y682" s="1223"/>
      <c r="Z682" s="1223"/>
      <c r="AA682" s="1223"/>
      <c r="AB682" s="1223"/>
      <c r="AC682" s="1223"/>
      <c r="AD682" s="1223"/>
      <c r="AE682" s="1223">
        <v>0</v>
      </c>
      <c r="AF682" s="733">
        <v>0</v>
      </c>
      <c r="AG682" s="697">
        <v>0</v>
      </c>
      <c r="AH682" s="734"/>
      <c r="AI682" s="734"/>
      <c r="AJ682" s="734"/>
      <c r="AK682" s="734"/>
      <c r="AL682" s="734"/>
      <c r="AM682" s="734"/>
      <c r="AN682" s="734"/>
      <c r="AO682" s="734"/>
      <c r="AP682" s="734"/>
      <c r="AQ682" s="734"/>
      <c r="AR682" s="734"/>
      <c r="AS682" s="734"/>
      <c r="AT682" s="734"/>
      <c r="AU682" s="734"/>
      <c r="AV682" s="734"/>
      <c r="AW682" s="734"/>
      <c r="AX682" s="734"/>
      <c r="AY682" s="734"/>
      <c r="AZ682" s="734"/>
      <c r="BA682" s="734"/>
      <c r="BB682" s="734"/>
      <c r="BC682" s="734"/>
      <c r="BD682" s="734"/>
      <c r="BE682" s="734"/>
      <c r="BF682" s="734"/>
      <c r="BG682" s="734"/>
      <c r="BH682" s="734"/>
      <c r="BI682" s="734"/>
      <c r="BJ682" s="734"/>
      <c r="BK682" s="734"/>
      <c r="BL682" s="734"/>
      <c r="BM682" s="734"/>
      <c r="BN682" s="734"/>
      <c r="BO682" s="734"/>
      <c r="BP682" s="734"/>
      <c r="BQ682" s="734"/>
      <c r="BR682" s="734"/>
      <c r="BS682" s="734"/>
      <c r="BT682" s="734"/>
      <c r="BU682" s="734"/>
      <c r="BV682" s="734"/>
      <c r="BW682" s="734"/>
      <c r="BX682" s="734"/>
      <c r="BY682" s="734"/>
      <c r="BZ682" s="734"/>
      <c r="CA682" s="734"/>
    </row>
    <row r="683" spans="1:79" s="451" customFormat="1" hidden="1" outlineLevel="1" x14ac:dyDescent="0.25">
      <c r="A683" s="656"/>
      <c r="B683" s="79"/>
      <c r="C683" s="79"/>
      <c r="D683" s="79"/>
      <c r="E683" s="40" t="s">
        <v>657</v>
      </c>
      <c r="F683" s="656" t="s">
        <v>641</v>
      </c>
      <c r="G683" s="719">
        <v>79.635799496401887</v>
      </c>
      <c r="H683" s="719">
        <v>47.571414196631828</v>
      </c>
      <c r="I683" s="719">
        <v>67.085710893335957</v>
      </c>
      <c r="J683" s="719">
        <v>-103.00110200944022</v>
      </c>
      <c r="K683" s="719">
        <v>16.603381458639483</v>
      </c>
      <c r="L683" s="719">
        <v>-127.04875876313812</v>
      </c>
      <c r="M683" s="719">
        <v>-50.816661372038567</v>
      </c>
      <c r="N683" s="719">
        <v>-294.42966602875572</v>
      </c>
      <c r="O683" s="719">
        <v>-28.104562373952291</v>
      </c>
      <c r="P683" s="716">
        <v>-69.853372363127178</v>
      </c>
      <c r="Q683" s="716">
        <v>-19.216115292375406</v>
      </c>
      <c r="R683" s="716">
        <v>341.17510993168139</v>
      </c>
      <c r="S683" s="667">
        <v>606.96</v>
      </c>
      <c r="T683" s="667">
        <v>346.91</v>
      </c>
      <c r="U683" s="667">
        <v>346.92</v>
      </c>
      <c r="V683" s="667">
        <v>346.91</v>
      </c>
      <c r="W683" s="667">
        <v>951.81</v>
      </c>
      <c r="X683" s="667">
        <v>1112.57</v>
      </c>
      <c r="Y683" s="667">
        <v>1086.55</v>
      </c>
      <c r="Z683" s="667">
        <v>1038.47</v>
      </c>
      <c r="AA683" s="667">
        <v>1044.44</v>
      </c>
      <c r="AB683" s="667">
        <v>1403.81</v>
      </c>
      <c r="AC683" s="666">
        <v>0</v>
      </c>
      <c r="AD683" s="666">
        <v>0</v>
      </c>
      <c r="AE683" s="667">
        <v>0</v>
      </c>
      <c r="AF683" s="716">
        <v>0</v>
      </c>
      <c r="AG683" s="666">
        <v>0</v>
      </c>
      <c r="AH683" s="716"/>
      <c r="AI683" s="716"/>
      <c r="AJ683" s="716"/>
      <c r="AK683" s="716"/>
      <c r="AL683" s="716"/>
      <c r="AM683" s="716"/>
      <c r="AN683" s="716"/>
      <c r="AO683" s="716"/>
      <c r="AP683" s="716"/>
      <c r="AQ683" s="716"/>
      <c r="AR683" s="716"/>
      <c r="AS683" s="716"/>
      <c r="AT683" s="716"/>
      <c r="AU683" s="716"/>
      <c r="AV683" s="716"/>
      <c r="AW683" s="716"/>
      <c r="AX683" s="716"/>
      <c r="AY683" s="716"/>
      <c r="AZ683" s="716"/>
      <c r="BA683" s="716"/>
      <c r="BB683" s="716"/>
      <c r="BC683" s="716"/>
      <c r="BD683" s="716"/>
      <c r="BE683" s="716"/>
      <c r="BF683" s="716"/>
      <c r="BG683" s="716"/>
      <c r="BH683" s="716"/>
      <c r="BI683" s="716"/>
      <c r="BJ683" s="716"/>
      <c r="BK683" s="716"/>
      <c r="BL683" s="716"/>
      <c r="BM683" s="716"/>
      <c r="BN683" s="716"/>
      <c r="BO683" s="716"/>
      <c r="BP683" s="716"/>
      <c r="BQ683" s="716"/>
      <c r="BR683" s="716"/>
      <c r="BS683" s="716"/>
      <c r="BT683" s="716"/>
      <c r="BU683" s="716"/>
      <c r="BV683" s="716"/>
      <c r="BW683" s="716"/>
      <c r="BX683" s="716"/>
      <c r="BY683" s="716"/>
      <c r="BZ683" s="716"/>
      <c r="CA683" s="716"/>
    </row>
    <row r="684" spans="1:79" s="451" customFormat="1" hidden="1" outlineLevel="1" x14ac:dyDescent="0.25">
      <c r="A684" s="656"/>
      <c r="B684" s="576"/>
      <c r="C684" s="576"/>
      <c r="D684" s="576"/>
      <c r="E684" s="40" t="s">
        <v>1327</v>
      </c>
      <c r="F684" s="656" t="s">
        <v>906</v>
      </c>
      <c r="G684" s="719"/>
      <c r="H684" s="719"/>
      <c r="I684" s="719"/>
      <c r="J684" s="719"/>
      <c r="K684" s="719"/>
      <c r="L684" s="719"/>
      <c r="M684" s="719"/>
      <c r="N684" s="719"/>
      <c r="O684" s="719"/>
      <c r="P684" s="716"/>
      <c r="Q684" s="716"/>
      <c r="R684" s="716"/>
      <c r="S684" s="676">
        <v>0</v>
      </c>
      <c r="T684" s="676">
        <v>0</v>
      </c>
      <c r="U684" s="676">
        <v>0</v>
      </c>
      <c r="V684" s="676">
        <v>0</v>
      </c>
      <c r="W684" s="676">
        <v>0</v>
      </c>
      <c r="X684" s="676">
        <v>0</v>
      </c>
      <c r="Y684" s="676">
        <v>0</v>
      </c>
      <c r="Z684" s="676">
        <v>0</v>
      </c>
      <c r="AA684" s="676">
        <v>0</v>
      </c>
      <c r="AB684" s="676">
        <v>0</v>
      </c>
      <c r="AC684" s="675">
        <v>0</v>
      </c>
      <c r="AD684" s="675">
        <v>0</v>
      </c>
      <c r="AE684" s="676">
        <v>0</v>
      </c>
      <c r="AF684" s="716">
        <v>0</v>
      </c>
      <c r="AG684" s="675">
        <v>0</v>
      </c>
      <c r="AH684" s="716"/>
      <c r="AI684" s="716"/>
      <c r="AJ684" s="716"/>
      <c r="AK684" s="716"/>
      <c r="AL684" s="716"/>
      <c r="AM684" s="716"/>
      <c r="AN684" s="716"/>
      <c r="AO684" s="716"/>
      <c r="AP684" s="716"/>
      <c r="AQ684" s="716"/>
      <c r="AR684" s="716"/>
      <c r="AS684" s="716"/>
      <c r="AT684" s="716"/>
      <c r="AU684" s="716"/>
      <c r="AV684" s="716"/>
      <c r="AW684" s="716"/>
      <c r="AX684" s="716"/>
      <c r="AY684" s="716"/>
      <c r="AZ684" s="716"/>
      <c r="BA684" s="716"/>
      <c r="BB684" s="716"/>
      <c r="BC684" s="716"/>
      <c r="BD684" s="716"/>
      <c r="BE684" s="716"/>
      <c r="BF684" s="716"/>
      <c r="BG684" s="716"/>
      <c r="BH684" s="716"/>
      <c r="BI684" s="716"/>
      <c r="BJ684" s="716"/>
      <c r="BK684" s="716"/>
      <c r="BL684" s="716"/>
      <c r="BM684" s="716"/>
      <c r="BN684" s="716"/>
      <c r="BO684" s="716"/>
      <c r="BP684" s="716"/>
      <c r="BQ684" s="716"/>
      <c r="BR684" s="716"/>
      <c r="BS684" s="716"/>
      <c r="BT684" s="716"/>
      <c r="BU684" s="716"/>
      <c r="BV684" s="716"/>
      <c r="BW684" s="716"/>
      <c r="BX684" s="716"/>
      <c r="BY684" s="716"/>
      <c r="BZ684" s="716"/>
      <c r="CA684" s="716"/>
    </row>
    <row r="685" spans="1:79" s="451" customFormat="1" hidden="1" outlineLevel="1" x14ac:dyDescent="0.25">
      <c r="A685" s="656"/>
      <c r="B685" s="576"/>
      <c r="C685" s="576"/>
      <c r="D685" s="576"/>
      <c r="E685" s="40" t="s">
        <v>1327</v>
      </c>
      <c r="F685" s="656" t="s">
        <v>764</v>
      </c>
      <c r="G685" s="719"/>
      <c r="H685" s="719"/>
      <c r="I685" s="719"/>
      <c r="J685" s="719"/>
      <c r="K685" s="719"/>
      <c r="L685" s="719"/>
      <c r="M685" s="719"/>
      <c r="N685" s="719"/>
      <c r="O685" s="719"/>
      <c r="P685" s="716"/>
      <c r="Q685" s="716"/>
      <c r="R685" s="716"/>
      <c r="S685" s="676">
        <v>0</v>
      </c>
      <c r="T685" s="676">
        <v>0</v>
      </c>
      <c r="U685" s="676">
        <v>0</v>
      </c>
      <c r="V685" s="676">
        <v>0</v>
      </c>
      <c r="W685" s="676">
        <v>0</v>
      </c>
      <c r="X685" s="676">
        <v>0</v>
      </c>
      <c r="Y685" s="676">
        <v>0</v>
      </c>
      <c r="Z685" s="676">
        <v>0</v>
      </c>
      <c r="AA685" s="676">
        <v>0</v>
      </c>
      <c r="AB685" s="676">
        <v>0</v>
      </c>
      <c r="AC685" s="675">
        <v>0</v>
      </c>
      <c r="AD685" s="675">
        <v>0</v>
      </c>
      <c r="AE685" s="676">
        <v>0</v>
      </c>
      <c r="AF685" s="716">
        <v>0</v>
      </c>
      <c r="AG685" s="675">
        <v>0</v>
      </c>
      <c r="AH685" s="716"/>
      <c r="AI685" s="716"/>
      <c r="AJ685" s="716"/>
      <c r="AK685" s="716"/>
      <c r="AL685" s="716"/>
      <c r="AM685" s="716"/>
      <c r="AN685" s="716"/>
      <c r="AO685" s="716"/>
      <c r="AP685" s="716"/>
      <c r="AQ685" s="716"/>
      <c r="AR685" s="716"/>
      <c r="AS685" s="716"/>
      <c r="AT685" s="716"/>
      <c r="AU685" s="716"/>
      <c r="AV685" s="716"/>
      <c r="AW685" s="716"/>
      <c r="AX685" s="716"/>
      <c r="AY685" s="716"/>
      <c r="AZ685" s="716"/>
      <c r="BA685" s="716"/>
      <c r="BB685" s="716"/>
      <c r="BC685" s="716"/>
      <c r="BD685" s="716"/>
      <c r="BE685" s="716"/>
      <c r="BF685" s="716"/>
      <c r="BG685" s="716"/>
      <c r="BH685" s="716"/>
      <c r="BI685" s="716"/>
      <c r="BJ685" s="716"/>
      <c r="BK685" s="716"/>
      <c r="BL685" s="716"/>
      <c r="BM685" s="716"/>
      <c r="BN685" s="716"/>
      <c r="BO685" s="716"/>
      <c r="BP685" s="716"/>
      <c r="BQ685" s="716"/>
      <c r="BR685" s="716"/>
      <c r="BS685" s="716"/>
      <c r="BT685" s="716"/>
      <c r="BU685" s="716"/>
      <c r="BV685" s="716"/>
      <c r="BW685" s="716"/>
      <c r="BX685" s="716"/>
      <c r="BY685" s="716"/>
      <c r="BZ685" s="716"/>
      <c r="CA685" s="716"/>
    </row>
    <row r="686" spans="1:79" s="308" customFormat="1" hidden="1" outlineLevel="1" x14ac:dyDescent="0.25">
      <c r="A686" s="662"/>
      <c r="B686" s="29"/>
      <c r="C686" s="29"/>
      <c r="D686" s="29"/>
      <c r="E686" s="40" t="s">
        <v>49</v>
      </c>
      <c r="F686" s="1229" t="s">
        <v>642</v>
      </c>
      <c r="G686" s="1224">
        <f>SUM(G683:G685)</f>
        <v>79.635799496401887</v>
      </c>
      <c r="H686" s="1224">
        <f t="shared" ref="H686:BO686" si="286">SUM(H683:H685)</f>
        <v>47.571414196631828</v>
      </c>
      <c r="I686" s="1224">
        <f t="shared" si="286"/>
        <v>67.085710893335957</v>
      </c>
      <c r="J686" s="1224">
        <f t="shared" si="286"/>
        <v>-103.00110200944022</v>
      </c>
      <c r="K686" s="1224">
        <f t="shared" si="286"/>
        <v>16.603381458639483</v>
      </c>
      <c r="L686" s="1224">
        <f t="shared" si="286"/>
        <v>-127.04875876313812</v>
      </c>
      <c r="M686" s="1224">
        <f t="shared" si="286"/>
        <v>-50.816661372038567</v>
      </c>
      <c r="N686" s="1224">
        <f t="shared" si="286"/>
        <v>-294.42966602875572</v>
      </c>
      <c r="O686" s="1224">
        <f t="shared" si="286"/>
        <v>-28.104562373952291</v>
      </c>
      <c r="P686" s="1224">
        <f t="shared" si="286"/>
        <v>-69.853372363127178</v>
      </c>
      <c r="Q686" s="1224">
        <f t="shared" si="286"/>
        <v>-19.216115292375406</v>
      </c>
      <c r="R686" s="1224">
        <f t="shared" si="286"/>
        <v>341.17510993168139</v>
      </c>
      <c r="S686" s="1226">
        <f t="shared" ref="S686:AA686" si="287">ROUND(SUM(S681:S685),5)</f>
        <v>606.96</v>
      </c>
      <c r="T686" s="1226">
        <f t="shared" si="287"/>
        <v>346.91</v>
      </c>
      <c r="U686" s="1226">
        <f t="shared" si="287"/>
        <v>346.92</v>
      </c>
      <c r="V686" s="1226">
        <f t="shared" si="287"/>
        <v>346.91</v>
      </c>
      <c r="W686" s="1226">
        <f t="shared" si="287"/>
        <v>951.81</v>
      </c>
      <c r="X686" s="1226">
        <f t="shared" si="287"/>
        <v>1112.57</v>
      </c>
      <c r="Y686" s="1226">
        <f t="shared" si="287"/>
        <v>1086.55</v>
      </c>
      <c r="Z686" s="1226">
        <f t="shared" si="287"/>
        <v>1038.47</v>
      </c>
      <c r="AA686" s="1226">
        <f t="shared" si="287"/>
        <v>1044.44</v>
      </c>
      <c r="AB686" s="1226">
        <f t="shared" ref="AB686:AG686" si="288">ROUND(SUM(AB681:AB685),5)</f>
        <v>1403.81</v>
      </c>
      <c r="AC686" s="1226">
        <f t="shared" si="288"/>
        <v>0</v>
      </c>
      <c r="AD686" s="1226">
        <f t="shared" si="288"/>
        <v>0</v>
      </c>
      <c r="AE686" s="1226">
        <f t="shared" si="288"/>
        <v>0</v>
      </c>
      <c r="AF686" s="664">
        <f t="shared" si="288"/>
        <v>0</v>
      </c>
      <c r="AG686" s="678">
        <f t="shared" si="288"/>
        <v>0</v>
      </c>
      <c r="AH686" s="679">
        <f t="shared" si="286"/>
        <v>0</v>
      </c>
      <c r="AI686" s="679">
        <f t="shared" si="286"/>
        <v>0</v>
      </c>
      <c r="AJ686" s="679">
        <f t="shared" si="286"/>
        <v>0</v>
      </c>
      <c r="AK686" s="679">
        <f t="shared" si="286"/>
        <v>0</v>
      </c>
      <c r="AL686" s="679">
        <f t="shared" si="286"/>
        <v>0</v>
      </c>
      <c r="AM686" s="679">
        <f t="shared" si="286"/>
        <v>0</v>
      </c>
      <c r="AN686" s="679">
        <f t="shared" si="286"/>
        <v>0</v>
      </c>
      <c r="AO686" s="679">
        <f t="shared" si="286"/>
        <v>0</v>
      </c>
      <c r="AP686" s="679">
        <f t="shared" si="286"/>
        <v>0</v>
      </c>
      <c r="AQ686" s="679">
        <f t="shared" si="286"/>
        <v>0</v>
      </c>
      <c r="AR686" s="679">
        <f t="shared" si="286"/>
        <v>0</v>
      </c>
      <c r="AS686" s="679">
        <f t="shared" si="286"/>
        <v>0</v>
      </c>
      <c r="AT686" s="679">
        <f t="shared" si="286"/>
        <v>0</v>
      </c>
      <c r="AU686" s="679">
        <f t="shared" si="286"/>
        <v>0</v>
      </c>
      <c r="AV686" s="679">
        <f t="shared" si="286"/>
        <v>0</v>
      </c>
      <c r="AW686" s="679">
        <f t="shared" si="286"/>
        <v>0</v>
      </c>
      <c r="AX686" s="679">
        <f t="shared" si="286"/>
        <v>0</v>
      </c>
      <c r="AY686" s="679">
        <f t="shared" si="286"/>
        <v>0</v>
      </c>
      <c r="AZ686" s="679">
        <f t="shared" si="286"/>
        <v>0</v>
      </c>
      <c r="BA686" s="679">
        <f t="shared" si="286"/>
        <v>0</v>
      </c>
      <c r="BB686" s="679">
        <f t="shared" si="286"/>
        <v>0</v>
      </c>
      <c r="BC686" s="679">
        <f t="shared" si="286"/>
        <v>0</v>
      </c>
      <c r="BD686" s="679">
        <f t="shared" si="286"/>
        <v>0</v>
      </c>
      <c r="BE686" s="679">
        <f t="shared" si="286"/>
        <v>0</v>
      </c>
      <c r="BF686" s="679">
        <f t="shared" si="286"/>
        <v>0</v>
      </c>
      <c r="BG686" s="679">
        <f t="shared" si="286"/>
        <v>0</v>
      </c>
      <c r="BH686" s="679">
        <f t="shared" si="286"/>
        <v>0</v>
      </c>
      <c r="BI686" s="679">
        <f t="shared" si="286"/>
        <v>0</v>
      </c>
      <c r="BJ686" s="679">
        <f t="shared" si="286"/>
        <v>0</v>
      </c>
      <c r="BK686" s="679">
        <f t="shared" si="286"/>
        <v>0</v>
      </c>
      <c r="BL686" s="679">
        <f t="shared" si="286"/>
        <v>0</v>
      </c>
      <c r="BM686" s="679">
        <f t="shared" si="286"/>
        <v>0</v>
      </c>
      <c r="BN686" s="679">
        <f t="shared" si="286"/>
        <v>0</v>
      </c>
      <c r="BO686" s="679">
        <f t="shared" si="286"/>
        <v>0</v>
      </c>
      <c r="BP686" s="679">
        <f t="shared" ref="BP686:CA686" si="289">SUM(BP683:BP685)</f>
        <v>0</v>
      </c>
      <c r="BQ686" s="679">
        <f t="shared" si="289"/>
        <v>0</v>
      </c>
      <c r="BR686" s="679">
        <f t="shared" si="289"/>
        <v>0</v>
      </c>
      <c r="BS686" s="679">
        <f t="shared" si="289"/>
        <v>0</v>
      </c>
      <c r="BT686" s="679">
        <f t="shared" si="289"/>
        <v>0</v>
      </c>
      <c r="BU686" s="679">
        <f t="shared" si="289"/>
        <v>0</v>
      </c>
      <c r="BV686" s="679">
        <f t="shared" si="289"/>
        <v>0</v>
      </c>
      <c r="BW686" s="679">
        <f t="shared" si="289"/>
        <v>0</v>
      </c>
      <c r="BX686" s="679">
        <f t="shared" si="289"/>
        <v>0</v>
      </c>
      <c r="BY686" s="679">
        <f t="shared" si="289"/>
        <v>0</v>
      </c>
      <c r="BZ686" s="679">
        <f t="shared" si="289"/>
        <v>0</v>
      </c>
      <c r="CA686" s="679">
        <f t="shared" si="289"/>
        <v>0</v>
      </c>
    </row>
    <row r="687" spans="1:79" s="308" customFormat="1" hidden="1" outlineLevel="1" x14ac:dyDescent="0.25">
      <c r="A687" s="658"/>
      <c r="B687" s="29"/>
      <c r="C687" s="29"/>
      <c r="D687" s="29"/>
      <c r="E687" s="40" t="s">
        <v>922</v>
      </c>
      <c r="F687" s="626" t="s">
        <v>603</v>
      </c>
      <c r="G687" s="719"/>
      <c r="H687" s="719">
        <v>4.4213231827025563</v>
      </c>
      <c r="I687" s="719">
        <v>4.675334782793569</v>
      </c>
      <c r="J687" s="719">
        <v>2.9214763159910189</v>
      </c>
      <c r="K687" s="719">
        <v>1.484214413354888</v>
      </c>
      <c r="L687" s="719"/>
      <c r="M687" s="719">
        <v>0.83167142453545451</v>
      </c>
      <c r="N687" s="719"/>
      <c r="O687" s="719"/>
      <c r="P687" s="716">
        <v>0.27843170185046623</v>
      </c>
      <c r="Q687" s="716"/>
      <c r="R687" s="716"/>
      <c r="S687" s="667">
        <v>0</v>
      </c>
      <c r="T687" s="667">
        <v>0</v>
      </c>
      <c r="U687" s="667">
        <v>0</v>
      </c>
      <c r="V687" s="667">
        <v>0</v>
      </c>
      <c r="W687" s="667">
        <v>0</v>
      </c>
      <c r="X687" s="667">
        <v>0</v>
      </c>
      <c r="Y687" s="667">
        <v>0</v>
      </c>
      <c r="Z687" s="667">
        <v>0</v>
      </c>
      <c r="AA687" s="667">
        <v>0</v>
      </c>
      <c r="AB687" s="667">
        <v>0</v>
      </c>
      <c r="AC687" s="666">
        <v>0</v>
      </c>
      <c r="AD687" s="666">
        <v>0</v>
      </c>
      <c r="AE687" s="667">
        <v>458</v>
      </c>
      <c r="AF687" s="716">
        <v>0</v>
      </c>
      <c r="AG687" s="666">
        <v>0</v>
      </c>
      <c r="AH687" s="716"/>
      <c r="AI687" s="716"/>
      <c r="AJ687" s="716"/>
      <c r="AK687" s="716"/>
      <c r="AL687" s="716"/>
      <c r="AM687" s="716"/>
      <c r="AN687" s="716"/>
      <c r="AO687" s="716"/>
      <c r="AP687" s="716"/>
      <c r="AQ687" s="716"/>
      <c r="AR687" s="716"/>
      <c r="AS687" s="716"/>
      <c r="AT687" s="716"/>
      <c r="AU687" s="716"/>
      <c r="AV687" s="716"/>
      <c r="AW687" s="716"/>
      <c r="AX687" s="716"/>
      <c r="AY687" s="716"/>
      <c r="AZ687" s="716"/>
      <c r="BA687" s="716"/>
      <c r="BB687" s="716"/>
      <c r="BC687" s="716"/>
      <c r="BD687" s="716"/>
      <c r="BE687" s="716"/>
      <c r="BF687" s="716"/>
      <c r="BG687" s="716"/>
      <c r="BH687" s="716"/>
      <c r="BI687" s="716"/>
      <c r="BJ687" s="716"/>
      <c r="BK687" s="716"/>
      <c r="BL687" s="716"/>
      <c r="BM687" s="716"/>
      <c r="BN687" s="716"/>
      <c r="BO687" s="716"/>
      <c r="BP687" s="716"/>
      <c r="BQ687" s="716"/>
      <c r="BR687" s="716"/>
      <c r="BS687" s="716"/>
      <c r="BT687" s="716"/>
      <c r="BU687" s="716"/>
      <c r="BV687" s="716"/>
      <c r="BW687" s="716"/>
      <c r="BX687" s="716"/>
      <c r="BY687" s="716"/>
      <c r="BZ687" s="716"/>
      <c r="CA687" s="716"/>
    </row>
    <row r="688" spans="1:79" s="308" customFormat="1" hidden="1" outlineLevel="1" x14ac:dyDescent="0.25">
      <c r="A688" s="658"/>
      <c r="B688" s="29"/>
      <c r="C688" s="29"/>
      <c r="D688" s="29"/>
      <c r="E688" s="40" t="s">
        <v>918</v>
      </c>
      <c r="F688" s="626" t="s">
        <v>604</v>
      </c>
      <c r="G688" s="719">
        <v>26.607454903201837</v>
      </c>
      <c r="H688" s="719">
        <v>4.4410507978255289</v>
      </c>
      <c r="I688" s="719">
        <v>2.8624498670164709</v>
      </c>
      <c r="J688" s="719">
        <v>229.64994950926402</v>
      </c>
      <c r="K688" s="719">
        <v>3.0255139964541948</v>
      </c>
      <c r="L688" s="719">
        <v>156.62940150208703</v>
      </c>
      <c r="M688" s="719">
        <v>199.60031021708457</v>
      </c>
      <c r="N688" s="719">
        <v>354.0390160186235</v>
      </c>
      <c r="O688" s="719">
        <v>1.4973695308665793</v>
      </c>
      <c r="P688" s="716">
        <v>170.93455212005998</v>
      </c>
      <c r="Q688" s="716"/>
      <c r="R688" s="716"/>
      <c r="S688" s="667">
        <v>0</v>
      </c>
      <c r="T688" s="667">
        <v>0</v>
      </c>
      <c r="U688" s="667">
        <v>0</v>
      </c>
      <c r="V688" s="667">
        <v>0</v>
      </c>
      <c r="W688" s="667">
        <v>720.25</v>
      </c>
      <c r="X688" s="667">
        <v>0</v>
      </c>
      <c r="Y688" s="667">
        <v>0</v>
      </c>
      <c r="Z688" s="667">
        <v>0</v>
      </c>
      <c r="AA688" s="667">
        <v>0</v>
      </c>
      <c r="AB688" s="667">
        <v>0</v>
      </c>
      <c r="AC688" s="666">
        <v>0</v>
      </c>
      <c r="AD688" s="666">
        <v>0</v>
      </c>
      <c r="AE688" s="667">
        <v>4722.22</v>
      </c>
      <c r="AF688" s="716">
        <v>4722.2299999999996</v>
      </c>
      <c r="AG688" s="666">
        <v>4781.22</v>
      </c>
      <c r="AH688" s="716"/>
      <c r="AI688" s="716"/>
      <c r="AJ688" s="716"/>
      <c r="AK688" s="716"/>
      <c r="AL688" s="716"/>
      <c r="AM688" s="716"/>
      <c r="AN688" s="716"/>
      <c r="AO688" s="716"/>
      <c r="AP688" s="716"/>
      <c r="AQ688" s="716"/>
      <c r="AR688" s="716"/>
      <c r="AS688" s="716"/>
      <c r="AT688" s="716"/>
      <c r="AU688" s="716"/>
      <c r="AV688" s="716"/>
      <c r="AW688" s="716"/>
      <c r="AX688" s="716"/>
      <c r="AY688" s="716"/>
      <c r="AZ688" s="716"/>
      <c r="BA688" s="716"/>
      <c r="BB688" s="716"/>
      <c r="BC688" s="716"/>
      <c r="BD688" s="716"/>
      <c r="BE688" s="716"/>
      <c r="BF688" s="716"/>
      <c r="BG688" s="716"/>
      <c r="BH688" s="716"/>
      <c r="BI688" s="716"/>
      <c r="BJ688" s="716"/>
      <c r="BK688" s="716"/>
      <c r="BL688" s="716"/>
      <c r="BM688" s="716"/>
      <c r="BN688" s="716"/>
      <c r="BO688" s="716"/>
      <c r="BP688" s="716"/>
      <c r="BQ688" s="716"/>
      <c r="BR688" s="716"/>
      <c r="BS688" s="716"/>
      <c r="BT688" s="716"/>
      <c r="BU688" s="716"/>
      <c r="BV688" s="716"/>
      <c r="BW688" s="716"/>
      <c r="BX688" s="716"/>
      <c r="BY688" s="716"/>
      <c r="BZ688" s="716"/>
      <c r="CA688" s="716"/>
    </row>
    <row r="689" spans="1:79" s="693" customFormat="1" hidden="1" outlineLevel="1" x14ac:dyDescent="0.25">
      <c r="A689" s="701"/>
      <c r="E689" s="40" t="s">
        <v>1341</v>
      </c>
      <c r="F689" s="1225" t="s">
        <v>652</v>
      </c>
      <c r="G689" s="733"/>
      <c r="H689" s="733"/>
      <c r="I689" s="733"/>
      <c r="J689" s="733">
        <v>27.75402500191468</v>
      </c>
      <c r="K689" s="733"/>
      <c r="L689" s="733">
        <v>42.421495443214226</v>
      </c>
      <c r="M689" s="733"/>
      <c r="N689" s="733"/>
      <c r="O689" s="733"/>
      <c r="P689" s="734"/>
      <c r="Q689" s="734"/>
      <c r="R689" s="734">
        <v>43.714463102746194</v>
      </c>
      <c r="S689" s="704"/>
      <c r="T689" s="704"/>
      <c r="U689" s="704"/>
      <c r="V689" s="704"/>
      <c r="W689" s="704"/>
      <c r="X689" s="704"/>
      <c r="Y689" s="704"/>
      <c r="Z689" s="704"/>
      <c r="AA689" s="704"/>
      <c r="AB689" s="704"/>
      <c r="AC689" s="704"/>
      <c r="AD689" s="704"/>
      <c r="AE689" s="704"/>
      <c r="AF689" s="734"/>
      <c r="AG689" s="704"/>
      <c r="AH689" s="734"/>
      <c r="AI689" s="734"/>
      <c r="AJ689" s="734"/>
      <c r="AK689" s="734"/>
      <c r="AL689" s="734"/>
      <c r="AM689" s="734"/>
      <c r="AN689" s="734"/>
      <c r="AO689" s="734"/>
      <c r="AP689" s="734"/>
      <c r="AQ689" s="734"/>
      <c r="AR689" s="734"/>
      <c r="AS689" s="734"/>
      <c r="AT689" s="734"/>
      <c r="AU689" s="734"/>
      <c r="AV689" s="734"/>
      <c r="AW689" s="734"/>
      <c r="AX689" s="734"/>
      <c r="AY689" s="734"/>
      <c r="AZ689" s="734"/>
      <c r="BA689" s="734"/>
      <c r="BB689" s="734"/>
      <c r="BC689" s="734"/>
      <c r="BD689" s="734"/>
      <c r="BE689" s="734"/>
      <c r="BF689" s="734"/>
      <c r="BG689" s="734"/>
      <c r="BH689" s="734"/>
      <c r="BI689" s="734"/>
      <c r="BJ689" s="734"/>
      <c r="BK689" s="734"/>
      <c r="BL689" s="734"/>
      <c r="BM689" s="734"/>
      <c r="BN689" s="734"/>
      <c r="BO689" s="734"/>
      <c r="BP689" s="734"/>
      <c r="BQ689" s="734"/>
      <c r="BR689" s="734"/>
      <c r="BS689" s="734"/>
      <c r="BT689" s="734"/>
      <c r="BU689" s="734"/>
      <c r="BV689" s="734"/>
      <c r="BW689" s="734"/>
      <c r="BX689" s="734"/>
      <c r="BY689" s="734"/>
      <c r="BZ689" s="734"/>
      <c r="CA689" s="734"/>
    </row>
    <row r="690" spans="1:79" hidden="1" outlineLevel="1" x14ac:dyDescent="0.25">
      <c r="A690" s="656"/>
      <c r="E690" s="40" t="s">
        <v>1341</v>
      </c>
      <c r="F690" s="656" t="s">
        <v>653</v>
      </c>
      <c r="G690" s="656"/>
      <c r="H690" s="719"/>
      <c r="I690" s="719">
        <v>-84.289607084078355</v>
      </c>
      <c r="J690" s="719"/>
      <c r="K690" s="719"/>
      <c r="L690" s="719"/>
      <c r="M690" s="719"/>
      <c r="N690" s="719"/>
      <c r="O690" s="719"/>
      <c r="P690" s="716"/>
      <c r="Q690" s="716"/>
      <c r="R690" s="716"/>
      <c r="S690" s="667">
        <v>0</v>
      </c>
      <c r="T690" s="667">
        <v>2375.33</v>
      </c>
      <c r="U690" s="667">
        <v>0</v>
      </c>
      <c r="V690" s="667">
        <v>0</v>
      </c>
      <c r="W690" s="667">
        <v>0</v>
      </c>
      <c r="X690" s="667">
        <v>0</v>
      </c>
      <c r="Y690" s="667">
        <v>0</v>
      </c>
      <c r="Z690" s="667">
        <v>0</v>
      </c>
      <c r="AA690" s="667">
        <v>0</v>
      </c>
      <c r="AB690" s="667">
        <v>0</v>
      </c>
      <c r="AC690" s="666">
        <v>0</v>
      </c>
      <c r="AD690" s="666">
        <v>0</v>
      </c>
      <c r="AE690" s="667">
        <v>0</v>
      </c>
      <c r="AF690" s="716">
        <v>0</v>
      </c>
      <c r="AG690" s="666">
        <v>0</v>
      </c>
      <c r="AH690" s="716"/>
      <c r="AI690" s="716"/>
      <c r="AJ690" s="716"/>
      <c r="AK690" s="716"/>
      <c r="AL690" s="716"/>
      <c r="AM690" s="716"/>
      <c r="AN690" s="716"/>
      <c r="AO690" s="716"/>
      <c r="AP690" s="716"/>
      <c r="AQ690" s="716"/>
      <c r="AR690" s="716"/>
      <c r="AS690" s="716"/>
      <c r="AT690" s="716"/>
      <c r="AU690" s="716"/>
      <c r="AV690" s="716"/>
      <c r="AW690" s="716"/>
      <c r="AX690" s="716"/>
      <c r="AY690" s="716"/>
      <c r="AZ690" s="716"/>
      <c r="BA690" s="716"/>
      <c r="BB690" s="716"/>
      <c r="BC690" s="716"/>
      <c r="BD690" s="716"/>
      <c r="BE690" s="716"/>
      <c r="BF690" s="716"/>
      <c r="BG690" s="716"/>
      <c r="BH690" s="716"/>
      <c r="BI690" s="716"/>
      <c r="BJ690" s="716"/>
      <c r="BK690" s="716"/>
      <c r="BL690" s="716"/>
      <c r="BM690" s="716"/>
      <c r="BN690" s="716"/>
      <c r="BO690" s="716"/>
      <c r="BP690" s="716"/>
      <c r="BQ690" s="716"/>
      <c r="BR690" s="716"/>
      <c r="BS690" s="716"/>
      <c r="BT690" s="716"/>
      <c r="BU690" s="716"/>
      <c r="BV690" s="716"/>
      <c r="BW690" s="716"/>
      <c r="BX690" s="716"/>
      <c r="BY690" s="716"/>
      <c r="BZ690" s="716"/>
      <c r="CA690" s="716"/>
    </row>
    <row r="691" spans="1:79" hidden="1" outlineLevel="1" x14ac:dyDescent="0.25">
      <c r="A691" s="656"/>
      <c r="B691" s="570"/>
      <c r="C691" s="570"/>
      <c r="D691" s="570"/>
      <c r="E691" s="40" t="s">
        <v>1341</v>
      </c>
      <c r="F691" s="656" t="s">
        <v>907</v>
      </c>
      <c r="G691" s="656"/>
      <c r="H691" s="719"/>
      <c r="I691" s="719"/>
      <c r="J691" s="719"/>
      <c r="K691" s="719"/>
      <c r="L691" s="719"/>
      <c r="M691" s="719"/>
      <c r="N691" s="719"/>
      <c r="O691" s="719"/>
      <c r="P691" s="716"/>
      <c r="Q691" s="716"/>
      <c r="R691" s="716"/>
      <c r="S691" s="667">
        <v>0</v>
      </c>
      <c r="T691" s="667">
        <v>0</v>
      </c>
      <c r="U691" s="667">
        <v>0</v>
      </c>
      <c r="V691" s="667">
        <v>0</v>
      </c>
      <c r="W691" s="667">
        <v>0</v>
      </c>
      <c r="X691" s="667">
        <v>0</v>
      </c>
      <c r="Y691" s="667">
        <v>0</v>
      </c>
      <c r="Z691" s="667">
        <v>0</v>
      </c>
      <c r="AA691" s="667">
        <v>0</v>
      </c>
      <c r="AB691" s="667">
        <v>0</v>
      </c>
      <c r="AC691" s="666">
        <v>0</v>
      </c>
      <c r="AD691" s="666">
        <v>0</v>
      </c>
      <c r="AE691" s="667">
        <v>0</v>
      </c>
      <c r="AF691" s="716">
        <v>0</v>
      </c>
      <c r="AG691" s="666">
        <v>0</v>
      </c>
      <c r="AH691" s="716"/>
      <c r="AI691" s="716"/>
      <c r="AJ691" s="716"/>
      <c r="AK691" s="716"/>
      <c r="AL691" s="716"/>
      <c r="AM691" s="716"/>
      <c r="AN691" s="716"/>
      <c r="AO691" s="716"/>
      <c r="AP691" s="716"/>
      <c r="AQ691" s="716"/>
      <c r="AR691" s="716"/>
      <c r="AS691" s="716"/>
      <c r="AT691" s="716"/>
      <c r="AU691" s="716"/>
      <c r="AV691" s="716"/>
      <c r="AW691" s="716"/>
      <c r="AX691" s="716"/>
      <c r="AY691" s="716"/>
      <c r="AZ691" s="716"/>
      <c r="BA691" s="716"/>
      <c r="BB691" s="716"/>
      <c r="BC691" s="716"/>
      <c r="BD691" s="716"/>
      <c r="BE691" s="716"/>
      <c r="BF691" s="716"/>
      <c r="BG691" s="716"/>
      <c r="BH691" s="716"/>
      <c r="BI691" s="716"/>
      <c r="BJ691" s="716"/>
      <c r="BK691" s="716"/>
      <c r="BL691" s="716"/>
      <c r="BM691" s="716"/>
      <c r="BN691" s="716"/>
      <c r="BO691" s="716"/>
      <c r="BP691" s="716"/>
      <c r="BQ691" s="716"/>
      <c r="BR691" s="716"/>
      <c r="BS691" s="716"/>
      <c r="BT691" s="716"/>
      <c r="BU691" s="716"/>
      <c r="BV691" s="716"/>
      <c r="BW691" s="716"/>
      <c r="BX691" s="716"/>
      <c r="BY691" s="716"/>
      <c r="BZ691" s="716"/>
      <c r="CA691" s="716"/>
    </row>
    <row r="692" spans="1:79" hidden="1" outlineLevel="1" x14ac:dyDescent="0.25">
      <c r="A692" s="656"/>
      <c r="B692" s="570"/>
      <c r="C692" s="570"/>
      <c r="D692" s="570"/>
      <c r="E692" s="40" t="s">
        <v>1341</v>
      </c>
      <c r="F692" s="656" t="s">
        <v>908</v>
      </c>
      <c r="G692" s="656"/>
      <c r="H692" s="719"/>
      <c r="I692" s="719"/>
      <c r="J692" s="719"/>
      <c r="K692" s="719"/>
      <c r="L692" s="719"/>
      <c r="M692" s="719"/>
      <c r="N692" s="719"/>
      <c r="O692" s="719"/>
      <c r="P692" s="716"/>
      <c r="Q692" s="716"/>
      <c r="R692" s="716"/>
      <c r="S692" s="667">
        <v>0</v>
      </c>
      <c r="T692" s="667">
        <v>0</v>
      </c>
      <c r="U692" s="667">
        <v>0</v>
      </c>
      <c r="V692" s="667">
        <v>0</v>
      </c>
      <c r="W692" s="667">
        <v>0</v>
      </c>
      <c r="X692" s="667">
        <v>0</v>
      </c>
      <c r="Y692" s="667">
        <v>0</v>
      </c>
      <c r="Z692" s="667">
        <v>0</v>
      </c>
      <c r="AA692" s="667">
        <v>0</v>
      </c>
      <c r="AB692" s="667">
        <v>0</v>
      </c>
      <c r="AC692" s="666">
        <v>0</v>
      </c>
      <c r="AD692" s="666">
        <v>0</v>
      </c>
      <c r="AE692" s="667">
        <v>0</v>
      </c>
      <c r="AF692" s="716">
        <v>0</v>
      </c>
      <c r="AG692" s="666">
        <v>0</v>
      </c>
      <c r="AH692" s="716"/>
      <c r="AI692" s="716"/>
      <c r="AJ692" s="716"/>
      <c r="AK692" s="716"/>
      <c r="AL692" s="716"/>
      <c r="AM692" s="716"/>
      <c r="AN692" s="716"/>
      <c r="AO692" s="716"/>
      <c r="AP692" s="716"/>
      <c r="AQ692" s="716"/>
      <c r="AR692" s="716"/>
      <c r="AS692" s="716"/>
      <c r="AT692" s="716"/>
      <c r="AU692" s="716"/>
      <c r="AV692" s="716"/>
      <c r="AW692" s="716"/>
      <c r="AX692" s="716"/>
      <c r="AY692" s="716"/>
      <c r="AZ692" s="716"/>
      <c r="BA692" s="716"/>
      <c r="BB692" s="716"/>
      <c r="BC692" s="716"/>
      <c r="BD692" s="716"/>
      <c r="BE692" s="716"/>
      <c r="BF692" s="716"/>
      <c r="BG692" s="716"/>
      <c r="BH692" s="716"/>
      <c r="BI692" s="716"/>
      <c r="BJ692" s="716"/>
      <c r="BK692" s="716"/>
      <c r="BL692" s="716"/>
      <c r="BM692" s="716"/>
      <c r="BN692" s="716"/>
      <c r="BO692" s="716"/>
      <c r="BP692" s="716"/>
      <c r="BQ692" s="716"/>
      <c r="BR692" s="716"/>
      <c r="BS692" s="716"/>
      <c r="BT692" s="716"/>
      <c r="BU692" s="716"/>
      <c r="BV692" s="716"/>
      <c r="BW692" s="716"/>
      <c r="BX692" s="716"/>
      <c r="BY692" s="716"/>
      <c r="BZ692" s="716"/>
      <c r="CA692" s="716"/>
    </row>
    <row r="693" spans="1:79" hidden="1" outlineLevel="1" x14ac:dyDescent="0.25">
      <c r="A693" s="656"/>
      <c r="E693" s="40" t="s">
        <v>1341</v>
      </c>
      <c r="F693" s="656" t="s">
        <v>654</v>
      </c>
      <c r="G693" s="656"/>
      <c r="H693" s="719"/>
      <c r="I693" s="719"/>
      <c r="J693" s="719"/>
      <c r="K693" s="719"/>
      <c r="L693" s="719"/>
      <c r="M693" s="719"/>
      <c r="N693" s="719"/>
      <c r="O693" s="719"/>
      <c r="P693" s="716"/>
      <c r="Q693" s="716"/>
      <c r="R693" s="716"/>
      <c r="S693" s="667">
        <v>0</v>
      </c>
      <c r="T693" s="667">
        <v>0</v>
      </c>
      <c r="U693" s="667">
        <v>0</v>
      </c>
      <c r="V693" s="667">
        <v>0</v>
      </c>
      <c r="W693" s="667">
        <v>0</v>
      </c>
      <c r="X693" s="667">
        <v>0</v>
      </c>
      <c r="Y693" s="667">
        <v>0</v>
      </c>
      <c r="Z693" s="667">
        <v>0</v>
      </c>
      <c r="AA693" s="667">
        <v>0</v>
      </c>
      <c r="AB693" s="667">
        <v>0</v>
      </c>
      <c r="AC693" s="666">
        <v>0</v>
      </c>
      <c r="AD693" s="666">
        <v>0</v>
      </c>
      <c r="AE693" s="667">
        <v>0</v>
      </c>
      <c r="AF693" s="716">
        <v>0</v>
      </c>
      <c r="AG693" s="666">
        <v>0</v>
      </c>
      <c r="AH693" s="716"/>
      <c r="AI693" s="716"/>
      <c r="AJ693" s="716"/>
      <c r="AK693" s="716"/>
      <c r="AL693" s="716"/>
      <c r="AM693" s="716"/>
      <c r="AN693" s="716"/>
      <c r="AO693" s="716"/>
      <c r="AP693" s="716"/>
      <c r="AQ693" s="716"/>
      <c r="AR693" s="716"/>
      <c r="AS693" s="716"/>
      <c r="AT693" s="716"/>
      <c r="AU693" s="716"/>
      <c r="AV693" s="716"/>
      <c r="AW693" s="716"/>
      <c r="AX693" s="716"/>
      <c r="AY693" s="716"/>
      <c r="AZ693" s="716"/>
      <c r="BA693" s="716"/>
      <c r="BB693" s="716"/>
      <c r="BC693" s="716"/>
      <c r="BD693" s="716"/>
      <c r="BE693" s="716"/>
      <c r="BF693" s="716"/>
      <c r="BG693" s="716"/>
      <c r="BH693" s="716"/>
      <c r="BI693" s="716"/>
      <c r="BJ693" s="716"/>
      <c r="BK693" s="716"/>
      <c r="BL693" s="716"/>
      <c r="BM693" s="716"/>
      <c r="BN693" s="716"/>
      <c r="BO693" s="716"/>
      <c r="BP693" s="716"/>
      <c r="BQ693" s="716"/>
      <c r="BR693" s="716"/>
      <c r="BS693" s="716"/>
      <c r="BT693" s="716"/>
      <c r="BU693" s="716"/>
      <c r="BV693" s="716"/>
      <c r="BW693" s="716"/>
      <c r="BX693" s="716"/>
      <c r="BY693" s="716"/>
      <c r="BZ693" s="716"/>
      <c r="CA693" s="716"/>
    </row>
    <row r="694" spans="1:79" hidden="1" outlineLevel="1" x14ac:dyDescent="0.25">
      <c r="A694" s="656"/>
      <c r="B694" s="570"/>
      <c r="C694" s="570"/>
      <c r="D694" s="570"/>
      <c r="E694" s="40" t="s">
        <v>1341</v>
      </c>
      <c r="F694" s="656" t="s">
        <v>909</v>
      </c>
      <c r="G694" s="656"/>
      <c r="H694" s="719"/>
      <c r="I694" s="719"/>
      <c r="J694" s="719"/>
      <c r="K694" s="719"/>
      <c r="L694" s="719"/>
      <c r="M694" s="719"/>
      <c r="N694" s="719"/>
      <c r="O694" s="719"/>
      <c r="P694" s="716"/>
      <c r="Q694" s="716"/>
      <c r="R694" s="716"/>
      <c r="S694" s="667">
        <v>0</v>
      </c>
      <c r="T694" s="667">
        <v>0</v>
      </c>
      <c r="U694" s="667">
        <v>0</v>
      </c>
      <c r="V694" s="667">
        <v>0</v>
      </c>
      <c r="W694" s="667">
        <v>0</v>
      </c>
      <c r="X694" s="667">
        <v>0</v>
      </c>
      <c r="Y694" s="667">
        <v>0</v>
      </c>
      <c r="Z694" s="667">
        <v>0</v>
      </c>
      <c r="AA694" s="667">
        <v>0</v>
      </c>
      <c r="AB694" s="667">
        <v>0</v>
      </c>
      <c r="AC694" s="666">
        <v>0</v>
      </c>
      <c r="AD694" s="666">
        <v>0</v>
      </c>
      <c r="AE694" s="667">
        <v>0</v>
      </c>
      <c r="AF694" s="716">
        <v>0</v>
      </c>
      <c r="AG694" s="666">
        <v>0</v>
      </c>
      <c r="AH694" s="716"/>
      <c r="AI694" s="716"/>
      <c r="AJ694" s="716"/>
      <c r="AK694" s="716"/>
      <c r="AL694" s="716"/>
      <c r="AM694" s="716"/>
      <c r="AN694" s="716"/>
      <c r="AO694" s="716"/>
      <c r="AP694" s="716"/>
      <c r="AQ694" s="716"/>
      <c r="AR694" s="716"/>
      <c r="AS694" s="716"/>
      <c r="AT694" s="716"/>
      <c r="AU694" s="716"/>
      <c r="AV694" s="716"/>
      <c r="AW694" s="716"/>
      <c r="AX694" s="716"/>
      <c r="AY694" s="716"/>
      <c r="AZ694" s="716"/>
      <c r="BA694" s="716"/>
      <c r="BB694" s="716"/>
      <c r="BC694" s="716"/>
      <c r="BD694" s="716"/>
      <c r="BE694" s="716"/>
      <c r="BF694" s="716"/>
      <c r="BG694" s="716"/>
      <c r="BH694" s="716"/>
      <c r="BI694" s="716"/>
      <c r="BJ694" s="716"/>
      <c r="BK694" s="716"/>
      <c r="BL694" s="716"/>
      <c r="BM694" s="716"/>
      <c r="BN694" s="716"/>
      <c r="BO694" s="716"/>
      <c r="BP694" s="716"/>
      <c r="BQ694" s="716"/>
      <c r="BR694" s="716"/>
      <c r="BS694" s="716"/>
      <c r="BT694" s="716"/>
      <c r="BU694" s="716"/>
      <c r="BV694" s="716"/>
      <c r="BW694" s="716"/>
      <c r="BX694" s="716"/>
      <c r="BY694" s="716"/>
      <c r="BZ694" s="716"/>
      <c r="CA694" s="716"/>
    </row>
    <row r="695" spans="1:79" hidden="1" outlineLevel="1" x14ac:dyDescent="0.25">
      <c r="A695" s="656"/>
      <c r="B695" s="570"/>
      <c r="C695" s="570"/>
      <c r="D695" s="570"/>
      <c r="E695" s="40" t="s">
        <v>1341</v>
      </c>
      <c r="F695" s="656" t="s">
        <v>910</v>
      </c>
      <c r="G695" s="656"/>
      <c r="H695" s="719"/>
      <c r="I695" s="719"/>
      <c r="J695" s="719"/>
      <c r="K695" s="719"/>
      <c r="L695" s="719"/>
      <c r="M695" s="719"/>
      <c r="N695" s="719"/>
      <c r="O695" s="719"/>
      <c r="P695" s="716"/>
      <c r="Q695" s="716"/>
      <c r="R695" s="716"/>
      <c r="S695" s="667">
        <v>0</v>
      </c>
      <c r="T695" s="667">
        <v>0</v>
      </c>
      <c r="U695" s="667">
        <v>0</v>
      </c>
      <c r="V695" s="667">
        <v>0</v>
      </c>
      <c r="W695" s="667">
        <v>0</v>
      </c>
      <c r="X695" s="667">
        <v>0</v>
      </c>
      <c r="Y695" s="667">
        <v>0</v>
      </c>
      <c r="Z695" s="667">
        <v>0</v>
      </c>
      <c r="AA695" s="667">
        <v>0</v>
      </c>
      <c r="AB695" s="667">
        <v>0</v>
      </c>
      <c r="AC695" s="666">
        <v>0</v>
      </c>
      <c r="AD695" s="666">
        <v>0</v>
      </c>
      <c r="AE695" s="667">
        <v>0</v>
      </c>
      <c r="AF695" s="716">
        <v>0</v>
      </c>
      <c r="AG695" s="666">
        <v>0</v>
      </c>
      <c r="AH695" s="716"/>
      <c r="AI695" s="716"/>
      <c r="AJ695" s="716"/>
      <c r="AK695" s="716"/>
      <c r="AL695" s="716"/>
      <c r="AM695" s="716"/>
      <c r="AN695" s="716"/>
      <c r="AO695" s="716"/>
      <c r="AP695" s="716"/>
      <c r="AQ695" s="716"/>
      <c r="AR695" s="716"/>
      <c r="AS695" s="716"/>
      <c r="AT695" s="716"/>
      <c r="AU695" s="716"/>
      <c r="AV695" s="716"/>
      <c r="AW695" s="716"/>
      <c r="AX695" s="716"/>
      <c r="AY695" s="716"/>
      <c r="AZ695" s="716"/>
      <c r="BA695" s="716"/>
      <c r="BB695" s="716"/>
      <c r="BC695" s="716"/>
      <c r="BD695" s="716"/>
      <c r="BE695" s="716"/>
      <c r="BF695" s="716"/>
      <c r="BG695" s="716"/>
      <c r="BH695" s="716"/>
      <c r="BI695" s="716"/>
      <c r="BJ695" s="716"/>
      <c r="BK695" s="716"/>
      <c r="BL695" s="716"/>
      <c r="BM695" s="716"/>
      <c r="BN695" s="716"/>
      <c r="BO695" s="716"/>
      <c r="BP695" s="716"/>
      <c r="BQ695" s="716"/>
      <c r="BR695" s="716"/>
      <c r="BS695" s="716"/>
      <c r="BT695" s="716"/>
      <c r="BU695" s="716"/>
      <c r="BV695" s="716"/>
      <c r="BW695" s="716"/>
      <c r="BX695" s="716"/>
      <c r="BY695" s="716"/>
      <c r="BZ695" s="716"/>
      <c r="CA695" s="716"/>
    </row>
    <row r="696" spans="1:79" hidden="1" outlineLevel="1" x14ac:dyDescent="0.25">
      <c r="A696" s="656"/>
      <c r="B696" s="570"/>
      <c r="C696" s="570"/>
      <c r="D696" s="570"/>
      <c r="E696" s="40" t="s">
        <v>1341</v>
      </c>
      <c r="F696" s="656" t="s">
        <v>911</v>
      </c>
      <c r="G696" s="656"/>
      <c r="H696" s="719"/>
      <c r="I696" s="719"/>
      <c r="J696" s="719"/>
      <c r="K696" s="719"/>
      <c r="L696" s="719"/>
      <c r="M696" s="719"/>
      <c r="N696" s="719"/>
      <c r="O696" s="719"/>
      <c r="P696" s="716"/>
      <c r="Q696" s="716"/>
      <c r="R696" s="716"/>
      <c r="S696" s="667">
        <v>0</v>
      </c>
      <c r="T696" s="667">
        <v>0</v>
      </c>
      <c r="U696" s="667">
        <v>0</v>
      </c>
      <c r="V696" s="667">
        <v>0</v>
      </c>
      <c r="W696" s="667">
        <v>0</v>
      </c>
      <c r="X696" s="667">
        <v>0</v>
      </c>
      <c r="Y696" s="667">
        <v>0</v>
      </c>
      <c r="Z696" s="667">
        <v>0</v>
      </c>
      <c r="AA696" s="667">
        <v>0</v>
      </c>
      <c r="AB696" s="667">
        <v>0</v>
      </c>
      <c r="AC696" s="666">
        <v>0</v>
      </c>
      <c r="AD696" s="666">
        <v>0</v>
      </c>
      <c r="AE696" s="667">
        <v>0</v>
      </c>
      <c r="AF696" s="716">
        <v>0</v>
      </c>
      <c r="AG696" s="666">
        <v>0</v>
      </c>
      <c r="AH696" s="716"/>
      <c r="AI696" s="716"/>
      <c r="AJ696" s="716"/>
      <c r="AK696" s="716"/>
      <c r="AL696" s="716"/>
      <c r="AM696" s="716"/>
      <c r="AN696" s="716"/>
      <c r="AO696" s="716"/>
      <c r="AP696" s="716"/>
      <c r="AQ696" s="716"/>
      <c r="AR696" s="716"/>
      <c r="AS696" s="716"/>
      <c r="AT696" s="716"/>
      <c r="AU696" s="716"/>
      <c r="AV696" s="716"/>
      <c r="AW696" s="716"/>
      <c r="AX696" s="716"/>
      <c r="AY696" s="716"/>
      <c r="AZ696" s="716"/>
      <c r="BA696" s="716"/>
      <c r="BB696" s="716"/>
      <c r="BC696" s="716"/>
      <c r="BD696" s="716"/>
      <c r="BE696" s="716"/>
      <c r="BF696" s="716"/>
      <c r="BG696" s="716"/>
      <c r="BH696" s="716"/>
      <c r="BI696" s="716"/>
      <c r="BJ696" s="716"/>
      <c r="BK696" s="716"/>
      <c r="BL696" s="716"/>
      <c r="BM696" s="716"/>
      <c r="BN696" s="716"/>
      <c r="BO696" s="716"/>
      <c r="BP696" s="716"/>
      <c r="BQ696" s="716"/>
      <c r="BR696" s="716"/>
      <c r="BS696" s="716"/>
      <c r="BT696" s="716"/>
      <c r="BU696" s="716"/>
      <c r="BV696" s="716"/>
      <c r="BW696" s="716"/>
      <c r="BX696" s="716"/>
      <c r="BY696" s="716"/>
      <c r="BZ696" s="716"/>
      <c r="CA696" s="716"/>
    </row>
    <row r="697" spans="1:79" hidden="1" outlineLevel="1" x14ac:dyDescent="0.25">
      <c r="A697" s="657"/>
      <c r="E697" s="40" t="s">
        <v>49</v>
      </c>
      <c r="F697" s="1218" t="s">
        <v>655</v>
      </c>
      <c r="G697" s="1224">
        <f>SUM(G690:G696)</f>
        <v>0</v>
      </c>
      <c r="H697" s="1224">
        <f t="shared" ref="H697:L697" si="290">SUM(H690:H696)</f>
        <v>0</v>
      </c>
      <c r="I697" s="1224">
        <f t="shared" si="290"/>
        <v>-84.289607084078355</v>
      </c>
      <c r="J697" s="1224">
        <f t="shared" si="290"/>
        <v>0</v>
      </c>
      <c r="K697" s="1224">
        <f t="shared" si="290"/>
        <v>0</v>
      </c>
      <c r="L697" s="1224">
        <f t="shared" si="290"/>
        <v>0</v>
      </c>
      <c r="M697" s="1224">
        <f t="shared" ref="M697:BO697" si="291">SUM(M690:M696)</f>
        <v>0</v>
      </c>
      <c r="N697" s="1224">
        <f t="shared" si="291"/>
        <v>0</v>
      </c>
      <c r="O697" s="1224">
        <f t="shared" si="291"/>
        <v>0</v>
      </c>
      <c r="P697" s="1224">
        <f t="shared" si="291"/>
        <v>0</v>
      </c>
      <c r="Q697" s="1224">
        <f t="shared" si="291"/>
        <v>0</v>
      </c>
      <c r="R697" s="1224">
        <f t="shared" si="291"/>
        <v>0</v>
      </c>
      <c r="S697" s="1226">
        <f t="shared" ref="S697:AA697" si="292">ROUND(SUM(S689:S696),5)</f>
        <v>0</v>
      </c>
      <c r="T697" s="1226">
        <f t="shared" si="292"/>
        <v>2375.33</v>
      </c>
      <c r="U697" s="1226">
        <f t="shared" si="292"/>
        <v>0</v>
      </c>
      <c r="V697" s="1226">
        <f t="shared" si="292"/>
        <v>0</v>
      </c>
      <c r="W697" s="1226">
        <f t="shared" si="292"/>
        <v>0</v>
      </c>
      <c r="X697" s="1226">
        <f t="shared" si="292"/>
        <v>0</v>
      </c>
      <c r="Y697" s="1226">
        <f t="shared" si="292"/>
        <v>0</v>
      </c>
      <c r="Z697" s="1226">
        <f t="shared" si="292"/>
        <v>0</v>
      </c>
      <c r="AA697" s="1226">
        <f t="shared" si="292"/>
        <v>0</v>
      </c>
      <c r="AB697" s="1226">
        <f t="shared" ref="AB697:AG697" si="293">ROUND(SUM(AB689:AB696),5)</f>
        <v>0</v>
      </c>
      <c r="AC697" s="1226">
        <f t="shared" si="293"/>
        <v>0</v>
      </c>
      <c r="AD697" s="1226">
        <f t="shared" si="293"/>
        <v>0</v>
      </c>
      <c r="AE697" s="1226">
        <f t="shared" si="293"/>
        <v>0</v>
      </c>
      <c r="AF697" s="664">
        <f t="shared" si="293"/>
        <v>0</v>
      </c>
      <c r="AG697" s="678">
        <f t="shared" si="293"/>
        <v>0</v>
      </c>
      <c r="AH697" s="679">
        <f t="shared" si="291"/>
        <v>0</v>
      </c>
      <c r="AI697" s="679">
        <f t="shared" si="291"/>
        <v>0</v>
      </c>
      <c r="AJ697" s="679">
        <f t="shared" si="291"/>
        <v>0</v>
      </c>
      <c r="AK697" s="679">
        <f t="shared" si="291"/>
        <v>0</v>
      </c>
      <c r="AL697" s="679">
        <f t="shared" si="291"/>
        <v>0</v>
      </c>
      <c r="AM697" s="679">
        <f t="shared" si="291"/>
        <v>0</v>
      </c>
      <c r="AN697" s="679">
        <f t="shared" si="291"/>
        <v>0</v>
      </c>
      <c r="AO697" s="679">
        <f t="shared" si="291"/>
        <v>0</v>
      </c>
      <c r="AP697" s="679">
        <f t="shared" si="291"/>
        <v>0</v>
      </c>
      <c r="AQ697" s="679">
        <f t="shared" si="291"/>
        <v>0</v>
      </c>
      <c r="AR697" s="679">
        <f t="shared" si="291"/>
        <v>0</v>
      </c>
      <c r="AS697" s="679">
        <f t="shared" si="291"/>
        <v>0</v>
      </c>
      <c r="AT697" s="679">
        <f t="shared" si="291"/>
        <v>0</v>
      </c>
      <c r="AU697" s="679">
        <f t="shared" si="291"/>
        <v>0</v>
      </c>
      <c r="AV697" s="679">
        <f t="shared" si="291"/>
        <v>0</v>
      </c>
      <c r="AW697" s="679">
        <f t="shared" si="291"/>
        <v>0</v>
      </c>
      <c r="AX697" s="679">
        <f t="shared" si="291"/>
        <v>0</v>
      </c>
      <c r="AY697" s="679">
        <f t="shared" si="291"/>
        <v>0</v>
      </c>
      <c r="AZ697" s="679">
        <f t="shared" si="291"/>
        <v>0</v>
      </c>
      <c r="BA697" s="679">
        <f t="shared" si="291"/>
        <v>0</v>
      </c>
      <c r="BB697" s="679">
        <f t="shared" si="291"/>
        <v>0</v>
      </c>
      <c r="BC697" s="679">
        <f t="shared" si="291"/>
        <v>0</v>
      </c>
      <c r="BD697" s="679">
        <f t="shared" si="291"/>
        <v>0</v>
      </c>
      <c r="BE697" s="679">
        <f t="shared" si="291"/>
        <v>0</v>
      </c>
      <c r="BF697" s="679">
        <f t="shared" si="291"/>
        <v>0</v>
      </c>
      <c r="BG697" s="679">
        <f t="shared" si="291"/>
        <v>0</v>
      </c>
      <c r="BH697" s="679">
        <f t="shared" si="291"/>
        <v>0</v>
      </c>
      <c r="BI697" s="679">
        <f t="shared" si="291"/>
        <v>0</v>
      </c>
      <c r="BJ697" s="679">
        <f t="shared" si="291"/>
        <v>0</v>
      </c>
      <c r="BK697" s="679">
        <f t="shared" si="291"/>
        <v>0</v>
      </c>
      <c r="BL697" s="679">
        <f t="shared" si="291"/>
        <v>0</v>
      </c>
      <c r="BM697" s="679">
        <f t="shared" si="291"/>
        <v>0</v>
      </c>
      <c r="BN697" s="679">
        <f t="shared" si="291"/>
        <v>0</v>
      </c>
      <c r="BO697" s="679">
        <f t="shared" si="291"/>
        <v>0</v>
      </c>
      <c r="BP697" s="679">
        <f t="shared" ref="BP697:CA697" si="294">SUM(BP690:BP696)</f>
        <v>0</v>
      </c>
      <c r="BQ697" s="679">
        <f t="shared" si="294"/>
        <v>0</v>
      </c>
      <c r="BR697" s="679">
        <f t="shared" si="294"/>
        <v>0</v>
      </c>
      <c r="BS697" s="679">
        <f t="shared" si="294"/>
        <v>0</v>
      </c>
      <c r="BT697" s="679">
        <f t="shared" si="294"/>
        <v>0</v>
      </c>
      <c r="BU697" s="679">
        <f t="shared" si="294"/>
        <v>0</v>
      </c>
      <c r="BV697" s="679">
        <f t="shared" si="294"/>
        <v>0</v>
      </c>
      <c r="BW697" s="679">
        <f t="shared" si="294"/>
        <v>0</v>
      </c>
      <c r="BX697" s="679">
        <f t="shared" si="294"/>
        <v>0</v>
      </c>
      <c r="BY697" s="679">
        <f t="shared" si="294"/>
        <v>0</v>
      </c>
      <c r="BZ697" s="679">
        <f t="shared" si="294"/>
        <v>0</v>
      </c>
      <c r="CA697" s="679">
        <f t="shared" si="294"/>
        <v>0</v>
      </c>
    </row>
    <row r="698" spans="1:79" hidden="1" outlineLevel="1" x14ac:dyDescent="0.25">
      <c r="A698" s="626"/>
      <c r="E698" s="40" t="s">
        <v>945</v>
      </c>
      <c r="F698" s="626" t="s">
        <v>691</v>
      </c>
      <c r="G698" s="719">
        <v>350.15136637896001</v>
      </c>
      <c r="H698" s="719">
        <v>141.920530196031</v>
      </c>
      <c r="I698" s="719">
        <v>189.18027592355156</v>
      </c>
      <c r="J698" s="719">
        <v>130.09497615084274</v>
      </c>
      <c r="K698" s="719">
        <v>44.456064162790426</v>
      </c>
      <c r="L698" s="719">
        <v>62.946774858891331</v>
      </c>
      <c r="M698" s="719">
        <v>46.734450666664088</v>
      </c>
      <c r="N698" s="719">
        <v>43.016287140970235</v>
      </c>
      <c r="O698" s="719">
        <v>309.27802933323164</v>
      </c>
      <c r="P698" s="716">
        <v>277.066806799593</v>
      </c>
      <c r="Q698" s="716">
        <v>199.52990839475115</v>
      </c>
      <c r="R698" s="716">
        <v>118.93466962073217</v>
      </c>
      <c r="S698" s="667">
        <v>0</v>
      </c>
      <c r="T698" s="667">
        <v>0</v>
      </c>
      <c r="U698" s="667">
        <v>0</v>
      </c>
      <c r="V698" s="667">
        <v>0</v>
      </c>
      <c r="W698" s="667">
        <v>0</v>
      </c>
      <c r="X698" s="667">
        <v>0</v>
      </c>
      <c r="Y698" s="667">
        <v>0</v>
      </c>
      <c r="Z698" s="667">
        <v>0</v>
      </c>
      <c r="AA698" s="667">
        <v>0</v>
      </c>
      <c r="AB698" s="667">
        <v>0</v>
      </c>
      <c r="AC698" s="666">
        <v>0</v>
      </c>
      <c r="AD698" s="666">
        <v>0</v>
      </c>
      <c r="AE698" s="667">
        <v>0</v>
      </c>
      <c r="AF698" s="664">
        <v>0</v>
      </c>
      <c r="AG698" s="666">
        <v>0</v>
      </c>
      <c r="AH698" s="716"/>
      <c r="AI698" s="716"/>
      <c r="AJ698" s="716"/>
      <c r="AK698" s="716"/>
      <c r="AL698" s="716"/>
      <c r="AM698" s="716"/>
      <c r="AN698" s="716"/>
      <c r="AO698" s="716"/>
      <c r="AP698" s="716"/>
      <c r="AQ698" s="716"/>
      <c r="AR698" s="716"/>
      <c r="AS698" s="716"/>
      <c r="AT698" s="716"/>
      <c r="AU698" s="716"/>
      <c r="AV698" s="716"/>
      <c r="AW698" s="716"/>
      <c r="AX698" s="716"/>
      <c r="AY698" s="716"/>
      <c r="AZ698" s="716"/>
      <c r="BA698" s="716"/>
      <c r="BB698" s="716"/>
      <c r="BC698" s="716"/>
      <c r="BD698" s="716"/>
      <c r="BE698" s="716"/>
      <c r="BF698" s="716"/>
      <c r="BG698" s="716"/>
      <c r="BH698" s="716"/>
      <c r="BI698" s="716"/>
      <c r="BJ698" s="716"/>
      <c r="BK698" s="716"/>
      <c r="BL698" s="716"/>
      <c r="BM698" s="716"/>
      <c r="BN698" s="716"/>
      <c r="BO698" s="716"/>
      <c r="BP698" s="716"/>
      <c r="BQ698" s="716"/>
      <c r="BR698" s="716"/>
      <c r="BS698" s="716"/>
      <c r="BT698" s="716"/>
      <c r="BU698" s="716"/>
      <c r="BV698" s="716"/>
      <c r="BW698" s="716"/>
      <c r="BX698" s="716"/>
      <c r="BY698" s="716"/>
      <c r="BZ698" s="716"/>
      <c r="CA698" s="716"/>
    </row>
    <row r="699" spans="1:79" s="868" customFormat="1" ht="15.75" collapsed="1" thickBot="1" x14ac:dyDescent="0.3">
      <c r="A699" s="892"/>
      <c r="B699" s="499"/>
      <c r="C699" s="499"/>
      <c r="D699" s="499"/>
      <c r="E699" s="40"/>
      <c r="F699" s="1230" t="s">
        <v>680</v>
      </c>
      <c r="G699" s="1231">
        <f t="shared" ref="G699:R699" si="295">ROUND(SUM(G528:G536)+SUM(G540:G545)+SUM(G546:G547)+G551+SUM(G555:G557)+SUM(G570:G574)+SUM(G585:G586)+G605+SUM(G609:G612)+G623+G631+SUM(G637:G639)+SUM(G645:G646)+SUM(G679:G680)+SUM(G686:G688)+SUM(G697:G698),5)</f>
        <v>9635.0423499999997</v>
      </c>
      <c r="H699" s="1231">
        <f t="shared" si="295"/>
        <v>9277.1477699999996</v>
      </c>
      <c r="I699" s="1231">
        <f t="shared" si="295"/>
        <v>9308.0311500000007</v>
      </c>
      <c r="J699" s="1231">
        <f t="shared" si="295"/>
        <v>9862.4723699999995</v>
      </c>
      <c r="K699" s="1231">
        <f t="shared" si="295"/>
        <v>6708.4937200000004</v>
      </c>
      <c r="L699" s="1231">
        <f t="shared" si="295"/>
        <v>10477.386780000001</v>
      </c>
      <c r="M699" s="1231">
        <f t="shared" si="295"/>
        <v>9821.2936200000004</v>
      </c>
      <c r="N699" s="1231">
        <f t="shared" si="295"/>
        <v>12153.213589999999</v>
      </c>
      <c r="O699" s="1231">
        <f t="shared" si="295"/>
        <v>10264.047909999999</v>
      </c>
      <c r="P699" s="1231">
        <f t="shared" si="295"/>
        <v>11650.98136</v>
      </c>
      <c r="Q699" s="1231">
        <f t="shared" si="295"/>
        <v>15711.28535</v>
      </c>
      <c r="R699" s="1231">
        <f t="shared" si="295"/>
        <v>12669.161840000001</v>
      </c>
      <c r="S699" s="1231">
        <f t="shared" ref="S699:AD699" si="296">ROUND(SUM(S528:S536)+SUM(S540:S545)+SUM(S546:S547)+S551+SUM(S555:S557)+SUM(S570:S574)+SUM(S585:S586)+S605+SUM(S609:S612)+S623+S631+SUM(S637:S639)+SUM(S645:S646)+SUM(S679:S680)+SUM(S686:S688)+SUM(S697:S698),5)</f>
        <v>18751.82</v>
      </c>
      <c r="T699" s="1231">
        <f t="shared" si="296"/>
        <v>42229.19</v>
      </c>
      <c r="U699" s="1231">
        <f t="shared" si="296"/>
        <v>21295.49</v>
      </c>
      <c r="V699" s="1231">
        <f t="shared" si="296"/>
        <v>13352.83</v>
      </c>
      <c r="W699" s="1231">
        <f t="shared" si="296"/>
        <v>32762.05</v>
      </c>
      <c r="X699" s="1231">
        <f t="shared" si="296"/>
        <v>21728.84</v>
      </c>
      <c r="Y699" s="1231">
        <f t="shared" si="296"/>
        <v>53607.71</v>
      </c>
      <c r="Z699" s="1231">
        <f t="shared" si="296"/>
        <v>51547.13</v>
      </c>
      <c r="AA699" s="1231">
        <f t="shared" si="296"/>
        <v>41961.1</v>
      </c>
      <c r="AB699" s="1231">
        <f t="shared" si="296"/>
        <v>40709.93</v>
      </c>
      <c r="AC699" s="1232">
        <f t="shared" si="296"/>
        <v>43557.17</v>
      </c>
      <c r="AD699" s="1232">
        <f t="shared" si="296"/>
        <v>74841.59</v>
      </c>
      <c r="AE699" s="1231">
        <f>ROUND(SUM(AE529:AE536)+SUM(AE540:AE547)+AE551+SUM(AE555:AE557)+SUM(AE570:AE574)+SUM(AE585:AE586)+AE605+SUM(AE609:AE612)+AE623+AE631+SUM(AE637:AE639)+SUM(AE645:AE646)+SUM(AE679:AE680)+SUM(AE686:AE688)+SUM(AE697:AE698),5)</f>
        <v>49491.91</v>
      </c>
      <c r="AF699" s="1231">
        <f>ROUND(SUM(AF529:AF536)+SUM(AF540:AF547)+AF551+SUM(AF555:AF557)+SUM(AF570:AF574)+SUM(AF585:AF586)+AF605+SUM(AF609:AF612)+AF623+AF631+SUM(AF637:AF639)+SUM(AF645:AF646)+SUM(AF679:AF680)+SUM(AF686:AF688)+SUM(AF697:AF698),5)</f>
        <v>-23751.86</v>
      </c>
      <c r="AG699" s="894">
        <f>ROUND(SUM(AG528:AG536)+SUM(AG540:AG547)+AG551+SUM(AG555:AG557)+SUM(AG570:AG574)+SUM(AG585:AG586)+AG605+SUM(AG609:AG612)+AG623+AG631+SUM(AG637:AG639)+SUM(AG645:AG646)+SUM(AG679:AG680)+SUM(AG686:AG688)+SUM(AG697:AG698),5)</f>
        <v>52990.13</v>
      </c>
      <c r="AH699" s="893"/>
      <c r="AI699" s="893"/>
      <c r="AJ699" s="893"/>
      <c r="AK699" s="893"/>
      <c r="AL699" s="893"/>
      <c r="AM699" s="893"/>
      <c r="AN699" s="893"/>
      <c r="AO699" s="893"/>
      <c r="AP699" s="893"/>
      <c r="AQ699" s="893"/>
      <c r="AR699" s="893"/>
      <c r="AS699" s="893"/>
      <c r="AT699" s="893"/>
      <c r="AU699" s="893"/>
      <c r="AV699" s="893"/>
      <c r="AW699" s="893"/>
      <c r="AX699" s="893"/>
      <c r="AY699" s="893"/>
      <c r="AZ699" s="893"/>
      <c r="BA699" s="893"/>
      <c r="BB699" s="893"/>
      <c r="BC699" s="893"/>
      <c r="BD699" s="893"/>
      <c r="BE699" s="893"/>
      <c r="BF699" s="893"/>
      <c r="BG699" s="893"/>
      <c r="BH699" s="893"/>
      <c r="BI699" s="893"/>
      <c r="BJ699" s="893"/>
      <c r="BK699" s="893"/>
      <c r="BL699" s="893"/>
      <c r="BM699" s="893"/>
      <c r="BN699" s="893"/>
      <c r="BO699" s="893"/>
      <c r="BP699" s="893"/>
      <c r="BQ699" s="893"/>
      <c r="BR699" s="893"/>
      <c r="BS699" s="893"/>
      <c r="BT699" s="893"/>
      <c r="BU699" s="893"/>
      <c r="BV699" s="893"/>
      <c r="BW699" s="893"/>
      <c r="BX699" s="893"/>
      <c r="BY699" s="893"/>
      <c r="BZ699" s="893"/>
      <c r="CA699" s="893"/>
    </row>
    <row r="700" spans="1:79" ht="15.75" thickTop="1" x14ac:dyDescent="0.25">
      <c r="G700" s="761"/>
      <c r="H700" s="761"/>
      <c r="I700" s="761"/>
      <c r="J700" s="761"/>
      <c r="K700" s="761"/>
      <c r="L700" s="761"/>
      <c r="M700" s="761"/>
      <c r="N700" s="761"/>
      <c r="O700" s="761"/>
      <c r="P700" s="761"/>
      <c r="Q700" s="761"/>
      <c r="R700" s="761"/>
      <c r="S700" s="500"/>
      <c r="T700" s="500"/>
      <c r="U700" s="500"/>
      <c r="V700" s="500"/>
      <c r="W700" s="500"/>
      <c r="X700" s="500"/>
      <c r="Y700" s="500"/>
      <c r="Z700" s="500"/>
      <c r="AA700" s="500"/>
      <c r="AB700" s="716"/>
      <c r="AC700" s="716"/>
      <c r="AD700" s="716"/>
      <c r="AE700" s="716"/>
      <c r="AF700" s="716"/>
      <c r="AG700" s="716"/>
      <c r="AH700" s="716"/>
      <c r="AI700" s="716"/>
      <c r="AJ700" s="716"/>
      <c r="AK700" s="716"/>
      <c r="AL700" s="716"/>
      <c r="AM700" s="716"/>
      <c r="AN700" s="716"/>
      <c r="AO700" s="716"/>
      <c r="AP700" s="716"/>
      <c r="AQ700" s="716"/>
      <c r="AR700" s="716"/>
      <c r="AS700" s="716"/>
      <c r="AT700" s="716"/>
      <c r="AU700" s="716"/>
      <c r="AV700" s="716"/>
      <c r="AW700" s="716"/>
      <c r="AX700" s="716"/>
      <c r="AY700" s="716"/>
      <c r="AZ700" s="716"/>
      <c r="BA700" s="716"/>
      <c r="BB700" s="716"/>
      <c r="BC700" s="716"/>
      <c r="BD700" s="716"/>
      <c r="BE700" s="716"/>
      <c r="BF700" s="716"/>
      <c r="BG700" s="716"/>
      <c r="BH700" s="716"/>
      <c r="BI700" s="716"/>
      <c r="BJ700" s="716"/>
      <c r="BK700" s="716"/>
      <c r="BL700" s="716"/>
      <c r="BM700" s="716"/>
      <c r="BN700" s="716"/>
      <c r="BO700" s="716"/>
      <c r="BP700" s="716"/>
      <c r="BQ700" s="716"/>
      <c r="BR700" s="716"/>
      <c r="BS700" s="716"/>
      <c r="BT700" s="716"/>
      <c r="BU700" s="716"/>
      <c r="BV700" s="716"/>
      <c r="BW700" s="716"/>
      <c r="BX700" s="716"/>
      <c r="BY700" s="716"/>
      <c r="BZ700" s="716"/>
      <c r="CA700" s="716"/>
    </row>
    <row r="701" spans="1:79" x14ac:dyDescent="0.25">
      <c r="G701" s="723"/>
      <c r="H701" s="723"/>
      <c r="I701" s="723"/>
      <c r="J701" s="723"/>
      <c r="K701" s="723"/>
      <c r="L701" s="723"/>
      <c r="M701" s="723"/>
      <c r="N701" s="723"/>
      <c r="O701" s="723"/>
      <c r="P701" s="723"/>
      <c r="Q701" s="723"/>
      <c r="R701" s="723"/>
      <c r="S701" s="723"/>
      <c r="T701" s="723"/>
      <c r="U701" s="723"/>
      <c r="V701" s="723"/>
      <c r="W701" s="723"/>
      <c r="X701" s="723"/>
      <c r="Y701" s="723"/>
      <c r="Z701" s="760"/>
      <c r="AA701" s="723"/>
      <c r="AB701" s="716"/>
      <c r="AC701" s="716"/>
      <c r="AD701" s="716"/>
      <c r="AE701" s="716"/>
      <c r="AF701" s="716"/>
      <c r="AG701" s="716"/>
      <c r="AH701" s="716"/>
      <c r="AI701" s="716"/>
      <c r="AJ701" s="716"/>
      <c r="AK701" s="716"/>
      <c r="AL701" s="716"/>
      <c r="AM701" s="716"/>
      <c r="AN701" s="716"/>
      <c r="AO701" s="716"/>
      <c r="AP701" s="716"/>
      <c r="AQ701" s="716"/>
      <c r="AR701" s="716"/>
      <c r="AS701" s="716"/>
      <c r="AT701" s="716"/>
      <c r="AU701" s="716"/>
      <c r="AV701" s="716"/>
      <c r="AW701" s="716"/>
      <c r="AX701" s="716"/>
      <c r="AY701" s="716"/>
      <c r="AZ701" s="716"/>
      <c r="BA701" s="716"/>
      <c r="BB701" s="716"/>
      <c r="BC701" s="716"/>
      <c r="BD701" s="716"/>
      <c r="BE701" s="716"/>
      <c r="BF701" s="716"/>
      <c r="BG701" s="716"/>
      <c r="BH701" s="716"/>
      <c r="BI701" s="716"/>
      <c r="BJ701" s="716"/>
      <c r="BK701" s="716"/>
      <c r="BL701" s="716"/>
      <c r="BM701" s="716"/>
      <c r="BN701" s="716"/>
      <c r="BO701" s="716"/>
      <c r="BP701" s="716"/>
      <c r="BQ701" s="716"/>
      <c r="BR701" s="716"/>
      <c r="BS701" s="716"/>
      <c r="BT701" s="716"/>
      <c r="BU701" s="716"/>
      <c r="BV701" s="716"/>
      <c r="BW701" s="716"/>
      <c r="BX701" s="716"/>
      <c r="BY701" s="716"/>
      <c r="BZ701" s="716"/>
      <c r="CA701" s="716"/>
    </row>
    <row r="702" spans="1:79" s="859" customFormat="1" ht="15.75" thickBot="1" x14ac:dyDescent="0.3">
      <c r="A702" s="863"/>
      <c r="E702" s="863"/>
      <c r="F702" s="863" t="s">
        <v>340</v>
      </c>
      <c r="G702" s="864"/>
      <c r="H702" s="864"/>
      <c r="I702" s="864"/>
      <c r="J702" s="864"/>
      <c r="K702" s="864"/>
      <c r="L702" s="864"/>
      <c r="M702" s="864"/>
      <c r="N702" s="864"/>
      <c r="O702" s="864"/>
      <c r="P702" s="864"/>
      <c r="Q702" s="864"/>
      <c r="R702" s="864"/>
      <c r="S702" s="864"/>
      <c r="T702" s="864"/>
      <c r="U702" s="864"/>
      <c r="V702" s="864"/>
      <c r="W702" s="864"/>
      <c r="X702" s="864"/>
      <c r="Y702" s="864"/>
      <c r="Z702" s="864"/>
      <c r="AA702" s="864"/>
      <c r="AB702" s="864"/>
      <c r="AC702" s="864"/>
      <c r="AD702" s="864"/>
      <c r="AE702" s="864"/>
      <c r="AF702" s="864"/>
      <c r="AG702" s="863"/>
      <c r="AH702" s="864"/>
      <c r="AI702" s="864"/>
      <c r="AJ702" s="864"/>
      <c r="AK702" s="864"/>
      <c r="AL702" s="864"/>
      <c r="AM702" s="864"/>
      <c r="AN702" s="864"/>
      <c r="AO702" s="864"/>
      <c r="AP702" s="864"/>
      <c r="AQ702" s="864"/>
      <c r="AR702" s="864"/>
      <c r="AS702" s="864"/>
      <c r="AT702" s="864"/>
      <c r="AU702" s="864"/>
      <c r="AV702" s="864"/>
      <c r="AW702" s="864"/>
      <c r="AX702" s="864"/>
      <c r="AY702" s="864"/>
      <c r="AZ702" s="864"/>
      <c r="BA702" s="864"/>
      <c r="BB702" s="864"/>
      <c r="BC702" s="864"/>
      <c r="BD702" s="864"/>
      <c r="BE702" s="864"/>
      <c r="BF702" s="864"/>
      <c r="BG702" s="864"/>
      <c r="BH702" s="864"/>
      <c r="BI702" s="864"/>
      <c r="BJ702" s="864"/>
      <c r="BK702" s="864"/>
      <c r="BL702" s="864"/>
      <c r="BM702" s="864"/>
      <c r="BN702" s="864"/>
      <c r="BO702" s="864"/>
      <c r="BP702" s="864"/>
      <c r="BQ702" s="864"/>
      <c r="BR702" s="864"/>
      <c r="BS702" s="864"/>
      <c r="BT702" s="864"/>
      <c r="BU702" s="864"/>
      <c r="BV702" s="864"/>
      <c r="BW702" s="864"/>
      <c r="BX702" s="864"/>
      <c r="BY702" s="864"/>
      <c r="BZ702" s="864"/>
      <c r="CA702" s="864"/>
    </row>
    <row r="703" spans="1:79" hidden="1" outlineLevel="1" x14ac:dyDescent="0.25">
      <c r="A703" s="654"/>
      <c r="B703" s="223"/>
      <c r="C703" s="223"/>
      <c r="D703" s="223"/>
      <c r="E703" s="570" t="s">
        <v>1323</v>
      </c>
      <c r="F703" s="654" t="s">
        <v>1320</v>
      </c>
      <c r="G703" s="663"/>
      <c r="H703" s="663"/>
      <c r="I703" s="663"/>
      <c r="J703" s="663"/>
      <c r="K703" s="663"/>
      <c r="L703" s="663"/>
      <c r="M703" s="663"/>
      <c r="N703" s="663"/>
      <c r="O703" s="663"/>
      <c r="P703" s="663"/>
      <c r="Q703" s="663"/>
      <c r="R703" s="663"/>
      <c r="S703" s="663"/>
      <c r="T703" s="663"/>
      <c r="U703" s="663"/>
      <c r="V703" s="663"/>
      <c r="W703" s="663"/>
      <c r="X703" s="663"/>
      <c r="Y703" s="663"/>
      <c r="Z703" s="663"/>
      <c r="AA703" s="663"/>
      <c r="AB703" s="663"/>
      <c r="AC703" s="663"/>
      <c r="AD703" s="663"/>
      <c r="AE703" s="663">
        <v>0</v>
      </c>
      <c r="AF703" s="663">
        <v>0</v>
      </c>
      <c r="AG703" s="663">
        <v>0</v>
      </c>
      <c r="AH703" s="663"/>
      <c r="AI703" s="663"/>
      <c r="AJ703" s="663"/>
      <c r="AK703" s="663"/>
      <c r="AL703" s="663"/>
      <c r="AM703" s="663"/>
      <c r="AN703" s="663"/>
      <c r="AO703" s="663"/>
      <c r="AP703" s="663"/>
      <c r="AQ703" s="663"/>
      <c r="AR703" s="663"/>
      <c r="AS703" s="663"/>
      <c r="AT703" s="663"/>
      <c r="AU703" s="663"/>
      <c r="AV703" s="663"/>
      <c r="AW703" s="663"/>
      <c r="AX703" s="663"/>
      <c r="AY703" s="663"/>
      <c r="AZ703" s="663"/>
      <c r="BA703" s="663"/>
      <c r="BB703" s="663"/>
      <c r="BC703" s="663"/>
      <c r="BD703" s="663"/>
      <c r="BE703" s="663"/>
      <c r="BF703" s="663"/>
      <c r="BG703" s="663"/>
      <c r="BH703" s="663"/>
      <c r="BI703" s="663"/>
      <c r="BJ703" s="663"/>
      <c r="BK703" s="663"/>
      <c r="BL703" s="663"/>
      <c r="BM703" s="663"/>
      <c r="BN703" s="663"/>
      <c r="BO703" s="663"/>
      <c r="BP703" s="663"/>
      <c r="BQ703" s="663"/>
      <c r="BR703" s="663"/>
      <c r="BS703" s="663"/>
      <c r="BT703" s="663"/>
      <c r="BU703" s="663"/>
      <c r="BV703" s="663"/>
      <c r="BW703" s="663"/>
      <c r="BX703" s="663"/>
      <c r="BY703" s="663"/>
      <c r="BZ703" s="663"/>
      <c r="CA703" s="663"/>
    </row>
    <row r="704" spans="1:79" hidden="1" outlineLevel="1" x14ac:dyDescent="0.25">
      <c r="A704" s="654"/>
      <c r="B704" s="223"/>
      <c r="C704" s="223"/>
      <c r="D704" s="223"/>
      <c r="E704" s="570" t="s">
        <v>1324</v>
      </c>
      <c r="F704" s="654" t="s">
        <v>1321</v>
      </c>
      <c r="G704" s="663"/>
      <c r="H704" s="663"/>
      <c r="I704" s="663"/>
      <c r="J704" s="663"/>
      <c r="K704" s="663"/>
      <c r="L704" s="663"/>
      <c r="M704" s="663"/>
      <c r="N704" s="663"/>
      <c r="O704" s="663"/>
      <c r="P704" s="663"/>
      <c r="Q704" s="663"/>
      <c r="R704" s="663"/>
      <c r="S704" s="663"/>
      <c r="T704" s="663"/>
      <c r="U704" s="663"/>
      <c r="V704" s="663"/>
      <c r="W704" s="663"/>
      <c r="X704" s="663"/>
      <c r="Y704" s="663"/>
      <c r="Z704" s="663"/>
      <c r="AA704" s="663"/>
      <c r="AB704" s="663"/>
      <c r="AC704" s="663"/>
      <c r="AD704" s="663"/>
      <c r="AE704" s="663">
        <v>0</v>
      </c>
      <c r="AF704" s="663">
        <v>0</v>
      </c>
      <c r="AG704" s="663">
        <v>0</v>
      </c>
      <c r="AH704" s="663"/>
      <c r="AI704" s="663"/>
      <c r="AJ704" s="663"/>
      <c r="AK704" s="663"/>
      <c r="AL704" s="663"/>
      <c r="AM704" s="663"/>
      <c r="AN704" s="663"/>
      <c r="AO704" s="663"/>
      <c r="AP704" s="663"/>
      <c r="AQ704" s="663"/>
      <c r="AR704" s="663"/>
      <c r="AS704" s="663"/>
      <c r="AT704" s="663"/>
      <c r="AU704" s="663"/>
      <c r="AV704" s="663"/>
      <c r="AW704" s="663"/>
      <c r="AX704" s="663"/>
      <c r="AY704" s="663"/>
      <c r="AZ704" s="663"/>
      <c r="BA704" s="663"/>
      <c r="BB704" s="663"/>
      <c r="BC704" s="663"/>
      <c r="BD704" s="663"/>
      <c r="BE704" s="663"/>
      <c r="BF704" s="663"/>
      <c r="BG704" s="663"/>
      <c r="BH704" s="663"/>
      <c r="BI704" s="663"/>
      <c r="BJ704" s="663"/>
      <c r="BK704" s="663"/>
      <c r="BL704" s="663"/>
      <c r="BM704" s="663"/>
      <c r="BN704" s="663"/>
      <c r="BO704" s="663"/>
      <c r="BP704" s="663"/>
      <c r="BQ704" s="663"/>
      <c r="BR704" s="663"/>
      <c r="BS704" s="663"/>
      <c r="BT704" s="663"/>
      <c r="BU704" s="663"/>
      <c r="BV704" s="663"/>
      <c r="BW704" s="663"/>
      <c r="BX704" s="663"/>
      <c r="BY704" s="663"/>
      <c r="BZ704" s="663"/>
      <c r="CA704" s="663"/>
    </row>
    <row r="705" spans="1:79" hidden="1" outlineLevel="1" x14ac:dyDescent="0.25">
      <c r="A705" s="654"/>
      <c r="B705" s="223"/>
      <c r="C705" s="223"/>
      <c r="D705" s="223"/>
      <c r="E705" s="570" t="s">
        <v>1325</v>
      </c>
      <c r="F705" s="654" t="s">
        <v>696</v>
      </c>
      <c r="G705" s="663"/>
      <c r="H705" s="663"/>
      <c r="I705" s="663"/>
      <c r="J705" s="663"/>
      <c r="K705" s="663"/>
      <c r="L705" s="663"/>
      <c r="M705" s="663"/>
      <c r="N705" s="663"/>
      <c r="O705" s="663"/>
      <c r="P705" s="663"/>
      <c r="Q705" s="663"/>
      <c r="R705" s="663"/>
      <c r="S705" s="663">
        <v>0</v>
      </c>
      <c r="T705" s="663">
        <v>0</v>
      </c>
      <c r="U705" s="663">
        <v>0</v>
      </c>
      <c r="V705" s="663">
        <v>0</v>
      </c>
      <c r="W705" s="663">
        <v>0</v>
      </c>
      <c r="X705" s="663">
        <v>0</v>
      </c>
      <c r="Y705" s="663">
        <v>0</v>
      </c>
      <c r="Z705" s="663">
        <v>0</v>
      </c>
      <c r="AA705" s="663">
        <v>0</v>
      </c>
      <c r="AB705" s="663">
        <v>0</v>
      </c>
      <c r="AC705" s="663">
        <v>0</v>
      </c>
      <c r="AD705" s="663">
        <v>0</v>
      </c>
      <c r="AE705" s="663">
        <v>0</v>
      </c>
      <c r="AF705" s="663">
        <v>0</v>
      </c>
      <c r="AG705" s="663">
        <v>0</v>
      </c>
      <c r="AH705" s="663"/>
      <c r="AI705" s="663"/>
      <c r="AJ705" s="663"/>
      <c r="AK705" s="663"/>
      <c r="AL705" s="663"/>
      <c r="AM705" s="663"/>
      <c r="AN705" s="663"/>
      <c r="AO705" s="663"/>
      <c r="AP705" s="663"/>
      <c r="AQ705" s="663"/>
      <c r="AR705" s="663"/>
      <c r="AS705" s="663"/>
      <c r="AT705" s="663"/>
      <c r="AU705" s="663"/>
      <c r="AV705" s="663"/>
      <c r="AW705" s="663"/>
      <c r="AX705" s="663"/>
      <c r="AY705" s="663"/>
      <c r="AZ705" s="663"/>
      <c r="BA705" s="663"/>
      <c r="BB705" s="663"/>
      <c r="BC705" s="663"/>
      <c r="BD705" s="663"/>
      <c r="BE705" s="663"/>
      <c r="BF705" s="663"/>
      <c r="BG705" s="663"/>
      <c r="BH705" s="663"/>
      <c r="BI705" s="663"/>
      <c r="BJ705" s="663"/>
      <c r="BK705" s="663"/>
      <c r="BL705" s="663"/>
      <c r="BM705" s="663"/>
      <c r="BN705" s="663"/>
      <c r="BO705" s="663"/>
      <c r="BP705" s="663"/>
      <c r="BQ705" s="663"/>
      <c r="BR705" s="663"/>
      <c r="BS705" s="663"/>
      <c r="BT705" s="663"/>
      <c r="BU705" s="663"/>
      <c r="BV705" s="663"/>
      <c r="BW705" s="663"/>
      <c r="BX705" s="663"/>
      <c r="BY705" s="663"/>
      <c r="BZ705" s="663"/>
      <c r="CA705" s="663"/>
    </row>
    <row r="706" spans="1:79" hidden="1" outlineLevel="1" x14ac:dyDescent="0.25">
      <c r="A706" s="655"/>
      <c r="B706" s="223"/>
      <c r="C706" s="223"/>
      <c r="D706" s="223"/>
      <c r="E706" s="570" t="s">
        <v>1326</v>
      </c>
      <c r="F706" s="655" t="s">
        <v>850</v>
      </c>
      <c r="G706" s="663"/>
      <c r="H706" s="663"/>
      <c r="I706" s="663"/>
      <c r="J706" s="663"/>
      <c r="K706" s="663"/>
      <c r="L706" s="663"/>
      <c r="M706" s="663"/>
      <c r="N706" s="663"/>
      <c r="O706" s="663"/>
      <c r="P706" s="663"/>
      <c r="Q706" s="663"/>
      <c r="R706" s="663"/>
      <c r="S706" s="663">
        <v>0</v>
      </c>
      <c r="T706" s="663">
        <v>0</v>
      </c>
      <c r="U706" s="663">
        <v>0</v>
      </c>
      <c r="V706" s="663">
        <v>0</v>
      </c>
      <c r="W706" s="663">
        <v>0</v>
      </c>
      <c r="X706" s="663">
        <v>0</v>
      </c>
      <c r="Y706" s="663">
        <v>0</v>
      </c>
      <c r="Z706" s="663">
        <v>0</v>
      </c>
      <c r="AA706" s="663">
        <v>0</v>
      </c>
      <c r="AB706" s="663">
        <v>0</v>
      </c>
      <c r="AC706" s="663">
        <v>0</v>
      </c>
      <c r="AD706" s="663">
        <v>0</v>
      </c>
      <c r="AE706" s="663">
        <v>0</v>
      </c>
      <c r="AF706" s="663">
        <v>0</v>
      </c>
      <c r="AG706" s="663">
        <v>0</v>
      </c>
      <c r="AH706" s="663"/>
      <c r="AI706" s="663"/>
      <c r="AJ706" s="663"/>
      <c r="AK706" s="663"/>
      <c r="AL706" s="663"/>
      <c r="AM706" s="663"/>
      <c r="AN706" s="663"/>
      <c r="AO706" s="663"/>
      <c r="AP706" s="663"/>
      <c r="AQ706" s="663"/>
      <c r="AR706" s="663"/>
      <c r="AS706" s="663"/>
      <c r="AT706" s="663"/>
      <c r="AU706" s="663"/>
      <c r="AV706" s="663"/>
      <c r="AW706" s="663"/>
      <c r="AX706" s="663"/>
      <c r="AY706" s="663"/>
      <c r="AZ706" s="663"/>
      <c r="BA706" s="663"/>
      <c r="BB706" s="663"/>
      <c r="BC706" s="663"/>
      <c r="BD706" s="663"/>
      <c r="BE706" s="663"/>
      <c r="BF706" s="663"/>
      <c r="BG706" s="663"/>
      <c r="BH706" s="663"/>
      <c r="BI706" s="663"/>
      <c r="BJ706" s="663"/>
      <c r="BK706" s="663"/>
      <c r="BL706" s="663"/>
      <c r="BM706" s="663"/>
      <c r="BN706" s="663"/>
      <c r="BO706" s="663"/>
      <c r="BP706" s="663"/>
      <c r="BQ706" s="663"/>
      <c r="BR706" s="663"/>
      <c r="BS706" s="663"/>
      <c r="BT706" s="663"/>
      <c r="BU706" s="663"/>
      <c r="BV706" s="663"/>
      <c r="BW706" s="663"/>
      <c r="BX706" s="663"/>
      <c r="BY706" s="663"/>
      <c r="BZ706" s="663"/>
      <c r="CA706" s="663"/>
    </row>
    <row r="707" spans="1:79" hidden="1" outlineLevel="1" x14ac:dyDescent="0.25">
      <c r="A707" s="655"/>
      <c r="B707" s="223"/>
      <c r="C707" s="223"/>
      <c r="D707" s="223"/>
      <c r="E707" s="570" t="s">
        <v>851</v>
      </c>
      <c r="F707" s="655" t="s">
        <v>851</v>
      </c>
      <c r="G707" s="663"/>
      <c r="H707" s="663"/>
      <c r="I707" s="663"/>
      <c r="J707" s="663"/>
      <c r="K707" s="663"/>
      <c r="L707" s="663"/>
      <c r="M707" s="663"/>
      <c r="N707" s="663"/>
      <c r="O707" s="663"/>
      <c r="P707" s="663"/>
      <c r="Q707" s="663"/>
      <c r="R707" s="663"/>
      <c r="S707" s="663">
        <v>0</v>
      </c>
      <c r="T707" s="663">
        <v>0</v>
      </c>
      <c r="U707" s="663">
        <v>0</v>
      </c>
      <c r="V707" s="663">
        <v>0</v>
      </c>
      <c r="W707" s="663">
        <v>0</v>
      </c>
      <c r="X707" s="663">
        <v>0</v>
      </c>
      <c r="Y707" s="663">
        <v>0</v>
      </c>
      <c r="Z707" s="663">
        <v>0</v>
      </c>
      <c r="AA707" s="663">
        <v>0</v>
      </c>
      <c r="AB707" s="663">
        <v>0</v>
      </c>
      <c r="AC707" s="663">
        <v>0</v>
      </c>
      <c r="AD707" s="663">
        <v>0</v>
      </c>
      <c r="AE707" s="663">
        <v>0</v>
      </c>
      <c r="AF707" s="663">
        <v>0</v>
      </c>
      <c r="AG707" s="663">
        <v>0</v>
      </c>
      <c r="AH707" s="663"/>
      <c r="AI707" s="663"/>
      <c r="AJ707" s="663"/>
      <c r="AK707" s="663"/>
      <c r="AL707" s="663"/>
      <c r="AM707" s="663"/>
      <c r="AN707" s="663"/>
      <c r="AO707" s="663"/>
      <c r="AP707" s="663"/>
      <c r="AQ707" s="663"/>
      <c r="AR707" s="663"/>
      <c r="AS707" s="663"/>
      <c r="AT707" s="663"/>
      <c r="AU707" s="663"/>
      <c r="AV707" s="663"/>
      <c r="AW707" s="663"/>
      <c r="AX707" s="663"/>
      <c r="AY707" s="663"/>
      <c r="AZ707" s="663"/>
      <c r="BA707" s="663"/>
      <c r="BB707" s="663"/>
      <c r="BC707" s="663"/>
      <c r="BD707" s="663"/>
      <c r="BE707" s="663"/>
      <c r="BF707" s="663"/>
      <c r="BG707" s="663"/>
      <c r="BH707" s="663"/>
      <c r="BI707" s="663"/>
      <c r="BJ707" s="663"/>
      <c r="BK707" s="663"/>
      <c r="BL707" s="663"/>
      <c r="BM707" s="663"/>
      <c r="BN707" s="663"/>
      <c r="BO707" s="663"/>
      <c r="BP707" s="663"/>
      <c r="BQ707" s="663"/>
      <c r="BR707" s="663"/>
      <c r="BS707" s="663"/>
      <c r="BT707" s="663"/>
      <c r="BU707" s="663"/>
      <c r="BV707" s="663"/>
      <c r="BW707" s="663"/>
      <c r="BX707" s="663"/>
      <c r="BY707" s="663"/>
      <c r="BZ707" s="663"/>
      <c r="CA707" s="663"/>
    </row>
    <row r="708" spans="1:79" hidden="1" outlineLevel="1" x14ac:dyDescent="0.25">
      <c r="A708" s="655"/>
      <c r="B708" s="223"/>
      <c r="C708" s="223"/>
      <c r="D708" s="223"/>
      <c r="E708" s="570" t="s">
        <v>852</v>
      </c>
      <c r="F708" s="655" t="s">
        <v>852</v>
      </c>
      <c r="G708" s="663"/>
      <c r="H708" s="663"/>
      <c r="I708" s="663"/>
      <c r="J708" s="663"/>
      <c r="K708" s="663"/>
      <c r="L708" s="663"/>
      <c r="M708" s="663"/>
      <c r="N708" s="663"/>
      <c r="O708" s="663"/>
      <c r="P708" s="663"/>
      <c r="Q708" s="663"/>
      <c r="R708" s="663"/>
      <c r="S708" s="663">
        <v>0</v>
      </c>
      <c r="T708" s="663">
        <v>0</v>
      </c>
      <c r="U708" s="663">
        <v>0</v>
      </c>
      <c r="V708" s="663">
        <v>0</v>
      </c>
      <c r="W708" s="663">
        <v>0</v>
      </c>
      <c r="X708" s="663">
        <v>0</v>
      </c>
      <c r="Y708" s="663">
        <v>0</v>
      </c>
      <c r="Z708" s="663">
        <v>0</v>
      </c>
      <c r="AA708" s="663">
        <v>0</v>
      </c>
      <c r="AB708" s="663">
        <v>0</v>
      </c>
      <c r="AC708" s="663">
        <v>0</v>
      </c>
      <c r="AD708" s="663">
        <v>0</v>
      </c>
      <c r="AE708" s="663">
        <v>0</v>
      </c>
      <c r="AF708" s="663">
        <v>0</v>
      </c>
      <c r="AG708" s="663">
        <v>0</v>
      </c>
      <c r="AH708" s="663"/>
      <c r="AI708" s="663"/>
      <c r="AJ708" s="663"/>
      <c r="AK708" s="663"/>
      <c r="AL708" s="663"/>
      <c r="AM708" s="663"/>
      <c r="AN708" s="663"/>
      <c r="AO708" s="663"/>
      <c r="AP708" s="663"/>
      <c r="AQ708" s="663"/>
      <c r="AR708" s="663"/>
      <c r="AS708" s="663"/>
      <c r="AT708" s="663"/>
      <c r="AU708" s="663"/>
      <c r="AV708" s="663"/>
      <c r="AW708" s="663"/>
      <c r="AX708" s="663"/>
      <c r="AY708" s="663"/>
      <c r="AZ708" s="663"/>
      <c r="BA708" s="663"/>
      <c r="BB708" s="663"/>
      <c r="BC708" s="663"/>
      <c r="BD708" s="663"/>
      <c r="BE708" s="663"/>
      <c r="BF708" s="663"/>
      <c r="BG708" s="663"/>
      <c r="BH708" s="663"/>
      <c r="BI708" s="663"/>
      <c r="BJ708" s="663"/>
      <c r="BK708" s="663"/>
      <c r="BL708" s="663"/>
      <c r="BM708" s="663"/>
      <c r="BN708" s="663"/>
      <c r="BO708" s="663"/>
      <c r="BP708" s="663"/>
      <c r="BQ708" s="663"/>
      <c r="BR708" s="663"/>
      <c r="BS708" s="663"/>
      <c r="BT708" s="663"/>
      <c r="BU708" s="663"/>
      <c r="BV708" s="663"/>
      <c r="BW708" s="663"/>
      <c r="BX708" s="663"/>
      <c r="BY708" s="663"/>
      <c r="BZ708" s="663"/>
      <c r="CA708" s="663"/>
    </row>
    <row r="709" spans="1:79" hidden="1" outlineLevel="1" x14ac:dyDescent="0.25">
      <c r="A709" s="655"/>
      <c r="B709" s="223"/>
      <c r="C709" s="223"/>
      <c r="D709" s="223"/>
      <c r="E709" s="570" t="s">
        <v>697</v>
      </c>
      <c r="F709" s="655" t="s">
        <v>697</v>
      </c>
      <c r="G709" s="663"/>
      <c r="H709" s="663"/>
      <c r="I709" s="663"/>
      <c r="J709" s="663"/>
      <c r="K709" s="663"/>
      <c r="L709" s="663"/>
      <c r="M709" s="663"/>
      <c r="N709" s="663"/>
      <c r="O709" s="663"/>
      <c r="P709" s="663"/>
      <c r="Q709" s="663"/>
      <c r="R709" s="663"/>
      <c r="S709" s="663">
        <v>0</v>
      </c>
      <c r="T709" s="663">
        <v>0</v>
      </c>
      <c r="U709" s="663">
        <v>0</v>
      </c>
      <c r="V709" s="663">
        <v>0</v>
      </c>
      <c r="W709" s="663">
        <v>0</v>
      </c>
      <c r="X709" s="663">
        <v>0</v>
      </c>
      <c r="Y709" s="663">
        <v>0</v>
      </c>
      <c r="Z709" s="663">
        <v>0</v>
      </c>
      <c r="AA709" s="663">
        <v>0</v>
      </c>
      <c r="AB709" s="663">
        <v>0</v>
      </c>
      <c r="AC709" s="663">
        <v>0</v>
      </c>
      <c r="AD709" s="663">
        <v>0</v>
      </c>
      <c r="AE709" s="663">
        <v>0</v>
      </c>
      <c r="AF709" s="663">
        <v>0</v>
      </c>
      <c r="AG709" s="663">
        <v>0</v>
      </c>
      <c r="AH709" s="663"/>
      <c r="AI709" s="663"/>
      <c r="AJ709" s="663"/>
      <c r="AK709" s="663"/>
      <c r="AL709" s="663"/>
      <c r="AM709" s="663"/>
      <c r="AN709" s="663"/>
      <c r="AO709" s="663"/>
      <c r="AP709" s="663"/>
      <c r="AQ709" s="663"/>
      <c r="AR709" s="663"/>
      <c r="AS709" s="663"/>
      <c r="AT709" s="663"/>
      <c r="AU709" s="663"/>
      <c r="AV709" s="663"/>
      <c r="AW709" s="663"/>
      <c r="AX709" s="663"/>
      <c r="AY709" s="663"/>
      <c r="AZ709" s="663"/>
      <c r="BA709" s="663"/>
      <c r="BB709" s="663"/>
      <c r="BC709" s="663"/>
      <c r="BD709" s="663"/>
      <c r="BE709" s="663"/>
      <c r="BF709" s="663"/>
      <c r="BG709" s="663"/>
      <c r="BH709" s="663"/>
      <c r="BI709" s="663"/>
      <c r="BJ709" s="663"/>
      <c r="BK709" s="663"/>
      <c r="BL709" s="663"/>
      <c r="BM709" s="663"/>
      <c r="BN709" s="663"/>
      <c r="BO709" s="663"/>
      <c r="BP709" s="663"/>
      <c r="BQ709" s="663"/>
      <c r="BR709" s="663"/>
      <c r="BS709" s="663"/>
      <c r="BT709" s="663"/>
      <c r="BU709" s="663"/>
      <c r="BV709" s="663"/>
      <c r="BW709" s="663"/>
      <c r="BX709" s="663"/>
      <c r="BY709" s="663"/>
      <c r="BZ709" s="663"/>
      <c r="CA709" s="663"/>
    </row>
    <row r="710" spans="1:79" hidden="1" outlineLevel="1" x14ac:dyDescent="0.25">
      <c r="A710" s="655"/>
      <c r="B710" s="223"/>
      <c r="C710" s="223"/>
      <c r="D710" s="223"/>
      <c r="E710" s="570" t="s">
        <v>1325</v>
      </c>
      <c r="F710" s="655" t="s">
        <v>853</v>
      </c>
      <c r="G710" s="663"/>
      <c r="H710" s="663"/>
      <c r="I710" s="663"/>
      <c r="J710" s="663"/>
      <c r="K710" s="663"/>
      <c r="L710" s="663"/>
      <c r="M710" s="663"/>
      <c r="N710" s="663"/>
      <c r="O710" s="663"/>
      <c r="P710" s="663"/>
      <c r="Q710" s="663"/>
      <c r="R710" s="663"/>
      <c r="S710" s="663">
        <v>0</v>
      </c>
      <c r="T710" s="663">
        <v>0</v>
      </c>
      <c r="U710" s="663">
        <v>0</v>
      </c>
      <c r="V710" s="663">
        <v>0</v>
      </c>
      <c r="W710" s="663">
        <v>0</v>
      </c>
      <c r="X710" s="663">
        <v>0</v>
      </c>
      <c r="Y710" s="663">
        <v>0</v>
      </c>
      <c r="Z710" s="663">
        <v>0</v>
      </c>
      <c r="AA710" s="663">
        <v>0</v>
      </c>
      <c r="AB710" s="663">
        <v>0</v>
      </c>
      <c r="AC710" s="663">
        <v>0</v>
      </c>
      <c r="AD710" s="663">
        <v>0</v>
      </c>
      <c r="AE710" s="663">
        <v>0</v>
      </c>
      <c r="AF710" s="663">
        <v>0</v>
      </c>
      <c r="AG710" s="663">
        <v>0</v>
      </c>
      <c r="AH710" s="663"/>
      <c r="AI710" s="663"/>
      <c r="AJ710" s="663"/>
      <c r="AK710" s="663"/>
      <c r="AL710" s="663"/>
      <c r="AM710" s="663"/>
      <c r="AN710" s="663"/>
      <c r="AO710" s="663"/>
      <c r="AP710" s="663"/>
      <c r="AQ710" s="663"/>
      <c r="AR710" s="663"/>
      <c r="AS710" s="663"/>
      <c r="AT710" s="663"/>
      <c r="AU710" s="663"/>
      <c r="AV710" s="663"/>
      <c r="AW710" s="663"/>
      <c r="AX710" s="663"/>
      <c r="AY710" s="663"/>
      <c r="AZ710" s="663"/>
      <c r="BA710" s="663"/>
      <c r="BB710" s="663"/>
      <c r="BC710" s="663"/>
      <c r="BD710" s="663"/>
      <c r="BE710" s="663"/>
      <c r="BF710" s="663"/>
      <c r="BG710" s="663"/>
      <c r="BH710" s="663"/>
      <c r="BI710" s="663"/>
      <c r="BJ710" s="663"/>
      <c r="BK710" s="663"/>
      <c r="BL710" s="663"/>
      <c r="BM710" s="663"/>
      <c r="BN710" s="663"/>
      <c r="BO710" s="663"/>
      <c r="BP710" s="663"/>
      <c r="BQ710" s="663"/>
      <c r="BR710" s="663"/>
      <c r="BS710" s="663"/>
      <c r="BT710" s="663"/>
      <c r="BU710" s="663"/>
      <c r="BV710" s="663"/>
      <c r="BW710" s="663"/>
      <c r="BX710" s="663"/>
      <c r="BY710" s="663"/>
      <c r="BZ710" s="663"/>
      <c r="CA710" s="663"/>
    </row>
    <row r="711" spans="1:79" hidden="1" outlineLevel="1" x14ac:dyDescent="0.25">
      <c r="A711" s="691"/>
      <c r="B711" s="693"/>
      <c r="C711" s="693"/>
      <c r="D711" s="693"/>
      <c r="E711" s="570" t="s">
        <v>657</v>
      </c>
      <c r="F711" s="691" t="s">
        <v>657</v>
      </c>
      <c r="G711" s="692"/>
      <c r="H711" s="692"/>
      <c r="I711" s="692"/>
      <c r="J711" s="692"/>
      <c r="K711" s="692"/>
      <c r="L711" s="692"/>
      <c r="M711" s="692"/>
      <c r="N711" s="692"/>
      <c r="O711" s="692"/>
      <c r="P711" s="692"/>
      <c r="Q711" s="692"/>
      <c r="R711" s="692"/>
      <c r="S711" s="692"/>
      <c r="T711" s="692"/>
      <c r="U711" s="692"/>
      <c r="V711" s="692"/>
      <c r="W711" s="692"/>
      <c r="X711" s="692"/>
      <c r="Y711" s="692"/>
      <c r="Z711" s="692"/>
      <c r="AA711" s="692"/>
      <c r="AB711" s="692"/>
      <c r="AC711" s="692"/>
      <c r="AD711" s="692"/>
      <c r="AE711" s="692"/>
      <c r="AF711" s="692"/>
      <c r="AG711" s="692"/>
      <c r="AH711" s="692"/>
      <c r="AI711" s="692"/>
      <c r="AJ711" s="692"/>
      <c r="AK711" s="692"/>
      <c r="AL711" s="692"/>
      <c r="AM711" s="692"/>
      <c r="AN711" s="692"/>
      <c r="AO711" s="692"/>
      <c r="AP711" s="692"/>
      <c r="AQ711" s="692"/>
      <c r="AR711" s="692"/>
      <c r="AS711" s="692"/>
      <c r="AT711" s="692"/>
      <c r="AU711" s="692"/>
      <c r="AV711" s="692"/>
      <c r="AW711" s="692"/>
      <c r="AX711" s="692"/>
      <c r="AY711" s="692"/>
      <c r="AZ711" s="692"/>
      <c r="BA711" s="692"/>
      <c r="BB711" s="692"/>
      <c r="BC711" s="692"/>
      <c r="BD711" s="692"/>
      <c r="BE711" s="692"/>
      <c r="BF711" s="692"/>
      <c r="BG711" s="692"/>
      <c r="BH711" s="692"/>
      <c r="BI711" s="692"/>
      <c r="BJ711" s="692"/>
      <c r="BK711" s="692"/>
      <c r="BL711" s="692"/>
      <c r="BM711" s="692"/>
      <c r="BN711" s="692"/>
      <c r="BO711" s="692"/>
      <c r="BP711" s="692"/>
      <c r="BQ711" s="692"/>
      <c r="BR711" s="692"/>
      <c r="BS711" s="692"/>
      <c r="BT711" s="692"/>
      <c r="BU711" s="692"/>
      <c r="BV711" s="692"/>
      <c r="BW711" s="692"/>
      <c r="BX711" s="692"/>
      <c r="BY711" s="692"/>
      <c r="BZ711" s="692"/>
      <c r="CA711" s="692"/>
    </row>
    <row r="712" spans="1:79" hidden="1" outlineLevel="1" x14ac:dyDescent="0.25">
      <c r="A712" s="656"/>
      <c r="B712" s="223"/>
      <c r="C712" s="223"/>
      <c r="D712" s="223"/>
      <c r="E712" s="570" t="s">
        <v>657</v>
      </c>
      <c r="F712" s="656" t="s">
        <v>658</v>
      </c>
      <c r="G712" s="663"/>
      <c r="H712" s="663"/>
      <c r="I712" s="663"/>
      <c r="J712" s="663"/>
      <c r="K712" s="663"/>
      <c r="L712" s="663"/>
      <c r="M712" s="663"/>
      <c r="N712" s="663"/>
      <c r="O712" s="663"/>
      <c r="P712" s="663"/>
      <c r="Q712" s="663"/>
      <c r="R712" s="663"/>
      <c r="S712" s="663">
        <v>0</v>
      </c>
      <c r="T712" s="663">
        <v>0</v>
      </c>
      <c r="U712" s="663">
        <v>0</v>
      </c>
      <c r="V712" s="663">
        <v>0</v>
      </c>
      <c r="W712" s="663">
        <v>0</v>
      </c>
      <c r="X712" s="663">
        <v>0</v>
      </c>
      <c r="Y712" s="663">
        <v>0</v>
      </c>
      <c r="Z712" s="663">
        <v>0</v>
      </c>
      <c r="AA712" s="663">
        <v>0</v>
      </c>
      <c r="AB712" s="663">
        <v>0</v>
      </c>
      <c r="AC712" s="663">
        <v>0</v>
      </c>
      <c r="AD712" s="663">
        <v>0</v>
      </c>
      <c r="AE712" s="663">
        <v>0</v>
      </c>
      <c r="AF712" s="663">
        <v>0</v>
      </c>
      <c r="AG712" s="663">
        <v>0</v>
      </c>
      <c r="AH712" s="663"/>
      <c r="AI712" s="663"/>
      <c r="AJ712" s="663"/>
      <c r="AK712" s="663"/>
      <c r="AL712" s="663"/>
      <c r="AM712" s="663"/>
      <c r="AN712" s="663"/>
      <c r="AO712" s="663"/>
      <c r="AP712" s="663"/>
      <c r="AQ712" s="663"/>
      <c r="AR712" s="663"/>
      <c r="AS712" s="663"/>
      <c r="AT712" s="663"/>
      <c r="AU712" s="663"/>
      <c r="AV712" s="663"/>
      <c r="AW712" s="663"/>
      <c r="AX712" s="663"/>
      <c r="AY712" s="663"/>
      <c r="AZ712" s="663"/>
      <c r="BA712" s="663"/>
      <c r="BB712" s="663"/>
      <c r="BC712" s="663"/>
      <c r="BD712" s="663"/>
      <c r="BE712" s="663"/>
      <c r="BF712" s="663"/>
      <c r="BG712" s="663"/>
      <c r="BH712" s="663"/>
      <c r="BI712" s="663"/>
      <c r="BJ712" s="663"/>
      <c r="BK712" s="663"/>
      <c r="BL712" s="663"/>
      <c r="BM712" s="663"/>
      <c r="BN712" s="663"/>
      <c r="BO712" s="663"/>
      <c r="BP712" s="663"/>
      <c r="BQ712" s="663"/>
      <c r="BR712" s="663"/>
      <c r="BS712" s="663"/>
      <c r="BT712" s="663"/>
      <c r="BU712" s="663"/>
      <c r="BV712" s="663"/>
      <c r="BW712" s="663"/>
      <c r="BX712" s="663"/>
      <c r="BY712" s="663"/>
      <c r="BZ712" s="663"/>
      <c r="CA712" s="663"/>
    </row>
    <row r="713" spans="1:79" hidden="1" outlineLevel="1" x14ac:dyDescent="0.25">
      <c r="A713" s="656"/>
      <c r="B713" s="223"/>
      <c r="C713" s="223"/>
      <c r="D713" s="223"/>
      <c r="E713" s="570" t="s">
        <v>657</v>
      </c>
      <c r="F713" s="656" t="s">
        <v>854</v>
      </c>
      <c r="G713" s="663"/>
      <c r="H713" s="663"/>
      <c r="I713" s="663"/>
      <c r="J713" s="663"/>
      <c r="K713" s="663"/>
      <c r="L713" s="663"/>
      <c r="M713" s="663"/>
      <c r="N713" s="663"/>
      <c r="O713" s="663"/>
      <c r="P713" s="663"/>
      <c r="Q713" s="663"/>
      <c r="R713" s="663"/>
      <c r="S713" s="663">
        <v>0</v>
      </c>
      <c r="T713" s="663">
        <v>0</v>
      </c>
      <c r="U713" s="663">
        <v>0</v>
      </c>
      <c r="V713" s="663">
        <v>0</v>
      </c>
      <c r="W713" s="663">
        <v>0</v>
      </c>
      <c r="X713" s="663">
        <v>0</v>
      </c>
      <c r="Y713" s="663">
        <v>0</v>
      </c>
      <c r="Z713" s="663">
        <v>0</v>
      </c>
      <c r="AA713" s="663">
        <v>0</v>
      </c>
      <c r="AB713" s="663">
        <v>0</v>
      </c>
      <c r="AC713" s="663">
        <v>0</v>
      </c>
      <c r="AD713" s="663">
        <v>0</v>
      </c>
      <c r="AE713" s="663">
        <v>0</v>
      </c>
      <c r="AF713" s="663">
        <v>0</v>
      </c>
      <c r="AG713" s="663">
        <v>0</v>
      </c>
      <c r="AH713" s="663"/>
      <c r="AI713" s="663"/>
      <c r="AJ713" s="663"/>
      <c r="AK713" s="663"/>
      <c r="AL713" s="663"/>
      <c r="AM713" s="663"/>
      <c r="AN713" s="663"/>
      <c r="AO713" s="663"/>
      <c r="AP713" s="663"/>
      <c r="AQ713" s="663"/>
      <c r="AR713" s="663"/>
      <c r="AS713" s="663"/>
      <c r="AT713" s="663"/>
      <c r="AU713" s="663"/>
      <c r="AV713" s="663"/>
      <c r="AW713" s="663"/>
      <c r="AX713" s="663"/>
      <c r="AY713" s="663"/>
      <c r="AZ713" s="663"/>
      <c r="BA713" s="663"/>
      <c r="BB713" s="663"/>
      <c r="BC713" s="663"/>
      <c r="BD713" s="663"/>
      <c r="BE713" s="663"/>
      <c r="BF713" s="663"/>
      <c r="BG713" s="663"/>
      <c r="BH713" s="663"/>
      <c r="BI713" s="663"/>
      <c r="BJ713" s="663"/>
      <c r="BK713" s="663"/>
      <c r="BL713" s="663"/>
      <c r="BM713" s="663"/>
      <c r="BN713" s="663"/>
      <c r="BO713" s="663"/>
      <c r="BP713" s="663"/>
      <c r="BQ713" s="663"/>
      <c r="BR713" s="663"/>
      <c r="BS713" s="663"/>
      <c r="BT713" s="663"/>
      <c r="BU713" s="663"/>
      <c r="BV713" s="663"/>
      <c r="BW713" s="663"/>
      <c r="BX713" s="663"/>
      <c r="BY713" s="663"/>
      <c r="BZ713" s="663"/>
      <c r="CA713" s="663"/>
    </row>
    <row r="714" spans="1:79" hidden="1" outlineLevel="1" x14ac:dyDescent="0.25">
      <c r="A714" s="657"/>
      <c r="B714" s="223"/>
      <c r="C714" s="223"/>
      <c r="D714" s="223"/>
      <c r="E714" s="570" t="s">
        <v>49</v>
      </c>
      <c r="F714" s="657" t="s">
        <v>659</v>
      </c>
      <c r="G714" s="664">
        <f>SUM(G712:G713)</f>
        <v>0</v>
      </c>
      <c r="H714" s="664">
        <f t="shared" ref="H714:Q714" si="297">SUM(H712:H713)</f>
        <v>0</v>
      </c>
      <c r="I714" s="664">
        <f t="shared" si="297"/>
        <v>0</v>
      </c>
      <c r="J714" s="664">
        <f t="shared" si="297"/>
        <v>0</v>
      </c>
      <c r="K714" s="664">
        <f t="shared" si="297"/>
        <v>0</v>
      </c>
      <c r="L714" s="664">
        <f t="shared" si="297"/>
        <v>0</v>
      </c>
      <c r="M714" s="664">
        <f t="shared" si="297"/>
        <v>0</v>
      </c>
      <c r="N714" s="664">
        <f t="shared" si="297"/>
        <v>0</v>
      </c>
      <c r="O714" s="664">
        <f t="shared" si="297"/>
        <v>0</v>
      </c>
      <c r="P714" s="664">
        <f t="shared" si="297"/>
        <v>0</v>
      </c>
      <c r="Q714" s="664">
        <f t="shared" si="297"/>
        <v>0</v>
      </c>
      <c r="R714" s="664">
        <f>SUM(R712:R713)</f>
        <v>0</v>
      </c>
      <c r="S714" s="664">
        <f t="shared" ref="S714:AA714" si="298">ROUND(SUM(S711:S713),5)</f>
        <v>0</v>
      </c>
      <c r="T714" s="664">
        <f t="shared" si="298"/>
        <v>0</v>
      </c>
      <c r="U714" s="664">
        <f t="shared" si="298"/>
        <v>0</v>
      </c>
      <c r="V714" s="664">
        <f t="shared" si="298"/>
        <v>0</v>
      </c>
      <c r="W714" s="664">
        <f t="shared" si="298"/>
        <v>0</v>
      </c>
      <c r="X714" s="664">
        <f t="shared" si="298"/>
        <v>0</v>
      </c>
      <c r="Y714" s="664">
        <f t="shared" si="298"/>
        <v>0</v>
      </c>
      <c r="Z714" s="664">
        <f t="shared" si="298"/>
        <v>0</v>
      </c>
      <c r="AA714" s="664">
        <f t="shared" si="298"/>
        <v>0</v>
      </c>
      <c r="AB714" s="664">
        <f t="shared" ref="AB714:AG714" si="299">ROUND(SUM(AB711:AB713),5)</f>
        <v>0</v>
      </c>
      <c r="AC714" s="664">
        <f t="shared" si="299"/>
        <v>0</v>
      </c>
      <c r="AD714" s="664">
        <f t="shared" si="299"/>
        <v>0</v>
      </c>
      <c r="AE714" s="664">
        <f t="shared" si="299"/>
        <v>0</v>
      </c>
      <c r="AF714" s="664">
        <f t="shared" si="299"/>
        <v>0</v>
      </c>
      <c r="AG714" s="664">
        <f t="shared" si="299"/>
        <v>0</v>
      </c>
      <c r="AH714" s="664">
        <f t="shared" ref="AH714:BO714" si="300">SUM(AH712:AH713)</f>
        <v>0</v>
      </c>
      <c r="AI714" s="664">
        <f t="shared" si="300"/>
        <v>0</v>
      </c>
      <c r="AJ714" s="664">
        <f t="shared" si="300"/>
        <v>0</v>
      </c>
      <c r="AK714" s="664">
        <f t="shared" si="300"/>
        <v>0</v>
      </c>
      <c r="AL714" s="664">
        <f t="shared" si="300"/>
        <v>0</v>
      </c>
      <c r="AM714" s="664">
        <f t="shared" si="300"/>
        <v>0</v>
      </c>
      <c r="AN714" s="664">
        <f t="shared" si="300"/>
        <v>0</v>
      </c>
      <c r="AO714" s="664">
        <f t="shared" si="300"/>
        <v>0</v>
      </c>
      <c r="AP714" s="664">
        <f t="shared" si="300"/>
        <v>0</v>
      </c>
      <c r="AQ714" s="664">
        <f t="shared" si="300"/>
        <v>0</v>
      </c>
      <c r="AR714" s="664">
        <f t="shared" si="300"/>
        <v>0</v>
      </c>
      <c r="AS714" s="664">
        <f t="shared" si="300"/>
        <v>0</v>
      </c>
      <c r="AT714" s="664">
        <f t="shared" si="300"/>
        <v>0</v>
      </c>
      <c r="AU714" s="664">
        <f t="shared" si="300"/>
        <v>0</v>
      </c>
      <c r="AV714" s="664">
        <f t="shared" si="300"/>
        <v>0</v>
      </c>
      <c r="AW714" s="664">
        <f t="shared" si="300"/>
        <v>0</v>
      </c>
      <c r="AX714" s="664">
        <f t="shared" si="300"/>
        <v>0</v>
      </c>
      <c r="AY714" s="664">
        <f t="shared" si="300"/>
        <v>0</v>
      </c>
      <c r="AZ714" s="664">
        <f t="shared" si="300"/>
        <v>0</v>
      </c>
      <c r="BA714" s="664">
        <f t="shared" si="300"/>
        <v>0</v>
      </c>
      <c r="BB714" s="664">
        <f t="shared" si="300"/>
        <v>0</v>
      </c>
      <c r="BC714" s="664">
        <f t="shared" si="300"/>
        <v>0</v>
      </c>
      <c r="BD714" s="664">
        <f t="shared" si="300"/>
        <v>0</v>
      </c>
      <c r="BE714" s="664">
        <f t="shared" si="300"/>
        <v>0</v>
      </c>
      <c r="BF714" s="664">
        <f t="shared" si="300"/>
        <v>0</v>
      </c>
      <c r="BG714" s="664">
        <f t="shared" si="300"/>
        <v>0</v>
      </c>
      <c r="BH714" s="664">
        <f t="shared" si="300"/>
        <v>0</v>
      </c>
      <c r="BI714" s="664">
        <f t="shared" si="300"/>
        <v>0</v>
      </c>
      <c r="BJ714" s="664">
        <f t="shared" si="300"/>
        <v>0</v>
      </c>
      <c r="BK714" s="664">
        <f t="shared" si="300"/>
        <v>0</v>
      </c>
      <c r="BL714" s="664">
        <f t="shared" si="300"/>
        <v>0</v>
      </c>
      <c r="BM714" s="664">
        <f t="shared" si="300"/>
        <v>0</v>
      </c>
      <c r="BN714" s="664">
        <f t="shared" si="300"/>
        <v>0</v>
      </c>
      <c r="BO714" s="664">
        <f t="shared" si="300"/>
        <v>0</v>
      </c>
      <c r="BP714" s="664">
        <f t="shared" ref="BP714:CA714" si="301">SUM(BP712:BP713)</f>
        <v>0</v>
      </c>
      <c r="BQ714" s="664">
        <f t="shared" si="301"/>
        <v>0</v>
      </c>
      <c r="BR714" s="664">
        <f t="shared" si="301"/>
        <v>0</v>
      </c>
      <c r="BS714" s="664">
        <f t="shared" si="301"/>
        <v>0</v>
      </c>
      <c r="BT714" s="664">
        <f t="shared" si="301"/>
        <v>0</v>
      </c>
      <c r="BU714" s="664">
        <f t="shared" si="301"/>
        <v>0</v>
      </c>
      <c r="BV714" s="664">
        <f t="shared" si="301"/>
        <v>0</v>
      </c>
      <c r="BW714" s="664">
        <f t="shared" si="301"/>
        <v>0</v>
      </c>
      <c r="BX714" s="664">
        <f t="shared" si="301"/>
        <v>0</v>
      </c>
      <c r="BY714" s="664">
        <f t="shared" si="301"/>
        <v>0</v>
      </c>
      <c r="BZ714" s="664">
        <f t="shared" si="301"/>
        <v>0</v>
      </c>
      <c r="CA714" s="664">
        <f t="shared" si="301"/>
        <v>0</v>
      </c>
    </row>
    <row r="715" spans="1:79" hidden="1" outlineLevel="1" x14ac:dyDescent="0.25">
      <c r="A715" s="655"/>
      <c r="B715" s="223"/>
      <c r="C715" s="223"/>
      <c r="D715" s="223"/>
      <c r="E715" s="570" t="s">
        <v>695</v>
      </c>
      <c r="F715" s="655" t="s">
        <v>695</v>
      </c>
      <c r="G715" s="663"/>
      <c r="H715" s="663"/>
      <c r="I715" s="663"/>
      <c r="J715" s="663"/>
      <c r="K715" s="663"/>
      <c r="L715" s="663"/>
      <c r="M715" s="663"/>
      <c r="N715" s="663"/>
      <c r="O715" s="663"/>
      <c r="P715" s="663"/>
      <c r="Q715" s="663"/>
      <c r="R715" s="663"/>
      <c r="S715" s="663">
        <v>0</v>
      </c>
      <c r="T715" s="663">
        <v>0</v>
      </c>
      <c r="U715" s="663">
        <v>0</v>
      </c>
      <c r="V715" s="663">
        <v>0</v>
      </c>
      <c r="W715" s="663">
        <v>0</v>
      </c>
      <c r="X715" s="663">
        <v>0</v>
      </c>
      <c r="Y715" s="663">
        <v>0</v>
      </c>
      <c r="Z715" s="663">
        <v>0</v>
      </c>
      <c r="AA715" s="663">
        <v>0</v>
      </c>
      <c r="AB715" s="663">
        <v>0</v>
      </c>
      <c r="AC715" s="663">
        <v>0</v>
      </c>
      <c r="AD715" s="663">
        <v>0</v>
      </c>
      <c r="AE715" s="663">
        <v>0</v>
      </c>
      <c r="AF715" s="663">
        <v>0</v>
      </c>
      <c r="AG715" s="663">
        <v>0</v>
      </c>
      <c r="AH715" s="663"/>
      <c r="AI715" s="663"/>
      <c r="AJ715" s="663"/>
      <c r="AK715" s="663"/>
      <c r="AL715" s="663"/>
      <c r="AM715" s="663"/>
      <c r="AN715" s="663"/>
      <c r="AO715" s="663"/>
      <c r="AP715" s="663"/>
      <c r="AQ715" s="663"/>
      <c r="AR715" s="663"/>
      <c r="AS715" s="663"/>
      <c r="AT715" s="663"/>
      <c r="AU715" s="663"/>
      <c r="AV715" s="663"/>
      <c r="AW715" s="663"/>
      <c r="AX715" s="663"/>
      <c r="AY715" s="663"/>
      <c r="AZ715" s="663"/>
      <c r="BA715" s="663"/>
      <c r="BB715" s="663"/>
      <c r="BC715" s="663"/>
      <c r="BD715" s="663"/>
      <c r="BE715" s="663"/>
      <c r="BF715" s="663"/>
      <c r="BG715" s="663"/>
      <c r="BH715" s="663"/>
      <c r="BI715" s="663"/>
      <c r="BJ715" s="663"/>
      <c r="BK715" s="663"/>
      <c r="BL715" s="663"/>
      <c r="BM715" s="663"/>
      <c r="BN715" s="663"/>
      <c r="BO715" s="663"/>
      <c r="BP715" s="663"/>
      <c r="BQ715" s="663"/>
      <c r="BR715" s="663"/>
      <c r="BS715" s="663"/>
      <c r="BT715" s="663"/>
      <c r="BU715" s="663"/>
      <c r="BV715" s="663"/>
      <c r="BW715" s="663"/>
      <c r="BX715" s="663"/>
      <c r="BY715" s="663"/>
      <c r="BZ715" s="663"/>
      <c r="CA715" s="663"/>
    </row>
    <row r="716" spans="1:79" hidden="1" outlineLevel="1" x14ac:dyDescent="0.25">
      <c r="A716" s="655"/>
      <c r="B716" s="223"/>
      <c r="C716" s="223"/>
      <c r="D716" s="223"/>
      <c r="E716" s="570" t="s">
        <v>855</v>
      </c>
      <c r="F716" s="655" t="s">
        <v>855</v>
      </c>
      <c r="G716" s="663"/>
      <c r="H716" s="663"/>
      <c r="I716" s="663"/>
      <c r="J716" s="663"/>
      <c r="K716" s="663"/>
      <c r="L716" s="663"/>
      <c r="M716" s="663"/>
      <c r="N716" s="663"/>
      <c r="O716" s="663"/>
      <c r="P716" s="663"/>
      <c r="Q716" s="663"/>
      <c r="R716" s="663"/>
      <c r="S716" s="663">
        <v>0</v>
      </c>
      <c r="T716" s="663">
        <v>0</v>
      </c>
      <c r="U716" s="663">
        <v>0</v>
      </c>
      <c r="V716" s="663">
        <v>0</v>
      </c>
      <c r="W716" s="663">
        <v>0</v>
      </c>
      <c r="X716" s="663">
        <v>0</v>
      </c>
      <c r="Y716" s="663">
        <v>0</v>
      </c>
      <c r="Z716" s="663">
        <v>0</v>
      </c>
      <c r="AA716" s="663">
        <v>0</v>
      </c>
      <c r="AB716" s="663">
        <v>0</v>
      </c>
      <c r="AC716" s="663">
        <v>0</v>
      </c>
      <c r="AD716" s="663">
        <v>0</v>
      </c>
      <c r="AE716" s="663">
        <v>0</v>
      </c>
      <c r="AF716" s="663">
        <v>0</v>
      </c>
      <c r="AG716" s="663">
        <v>0</v>
      </c>
      <c r="AH716" s="663"/>
      <c r="AI716" s="663"/>
      <c r="AJ716" s="663"/>
      <c r="AK716" s="663"/>
      <c r="AL716" s="663"/>
      <c r="AM716" s="663"/>
      <c r="AN716" s="663"/>
      <c r="AO716" s="663"/>
      <c r="AP716" s="663"/>
      <c r="AQ716" s="663"/>
      <c r="AR716" s="663"/>
      <c r="AS716" s="663"/>
      <c r="AT716" s="663"/>
      <c r="AU716" s="663"/>
      <c r="AV716" s="663"/>
      <c r="AW716" s="663"/>
      <c r="AX716" s="663"/>
      <c r="AY716" s="663"/>
      <c r="AZ716" s="663"/>
      <c r="BA716" s="663"/>
      <c r="BB716" s="663"/>
      <c r="BC716" s="663"/>
      <c r="BD716" s="663"/>
      <c r="BE716" s="663"/>
      <c r="BF716" s="663"/>
      <c r="BG716" s="663"/>
      <c r="BH716" s="663"/>
      <c r="BI716" s="663"/>
      <c r="BJ716" s="663"/>
      <c r="BK716" s="663"/>
      <c r="BL716" s="663"/>
      <c r="BM716" s="663"/>
      <c r="BN716" s="663"/>
      <c r="BO716" s="663"/>
      <c r="BP716" s="663"/>
      <c r="BQ716" s="663"/>
      <c r="BR716" s="663"/>
      <c r="BS716" s="663"/>
      <c r="BT716" s="663"/>
      <c r="BU716" s="663"/>
      <c r="BV716" s="663"/>
      <c r="BW716" s="663"/>
      <c r="BX716" s="663"/>
      <c r="BY716" s="663"/>
      <c r="BZ716" s="663"/>
      <c r="CA716" s="663"/>
    </row>
    <row r="717" spans="1:79" hidden="1" outlineLevel="1" x14ac:dyDescent="0.25">
      <c r="A717" s="655"/>
      <c r="B717" s="223"/>
      <c r="C717" s="223"/>
      <c r="D717" s="223"/>
      <c r="E717" s="570" t="s">
        <v>856</v>
      </c>
      <c r="F717" s="655" t="s">
        <v>856</v>
      </c>
      <c r="G717" s="663"/>
      <c r="H717" s="663"/>
      <c r="I717" s="663"/>
      <c r="J717" s="663"/>
      <c r="K717" s="663"/>
      <c r="L717" s="663"/>
      <c r="M717" s="663"/>
      <c r="N717" s="663"/>
      <c r="O717" s="663"/>
      <c r="P717" s="663"/>
      <c r="Q717" s="663"/>
      <c r="R717" s="663"/>
      <c r="S717" s="663">
        <v>0</v>
      </c>
      <c r="T717" s="663">
        <v>0</v>
      </c>
      <c r="U717" s="663">
        <v>0</v>
      </c>
      <c r="V717" s="663">
        <v>0</v>
      </c>
      <c r="W717" s="663">
        <v>0</v>
      </c>
      <c r="X717" s="663">
        <v>0</v>
      </c>
      <c r="Y717" s="663">
        <v>0</v>
      </c>
      <c r="Z717" s="663">
        <v>0</v>
      </c>
      <c r="AA717" s="663">
        <v>0</v>
      </c>
      <c r="AB717" s="663">
        <v>0</v>
      </c>
      <c r="AC717" s="663">
        <v>0</v>
      </c>
      <c r="AD717" s="663">
        <v>0</v>
      </c>
      <c r="AE717" s="663">
        <v>0</v>
      </c>
      <c r="AF717" s="663">
        <v>0</v>
      </c>
      <c r="AG717" s="663">
        <v>0</v>
      </c>
      <c r="AH717" s="663"/>
      <c r="AI717" s="663"/>
      <c r="AJ717" s="663"/>
      <c r="AK717" s="663"/>
      <c r="AL717" s="663"/>
      <c r="AM717" s="663"/>
      <c r="AN717" s="663"/>
      <c r="AO717" s="663"/>
      <c r="AP717" s="663"/>
      <c r="AQ717" s="663"/>
      <c r="AR717" s="663"/>
      <c r="AS717" s="663"/>
      <c r="AT717" s="663"/>
      <c r="AU717" s="663"/>
      <c r="AV717" s="663"/>
      <c r="AW717" s="663"/>
      <c r="AX717" s="663"/>
      <c r="AY717" s="663"/>
      <c r="AZ717" s="663"/>
      <c r="BA717" s="663"/>
      <c r="BB717" s="663"/>
      <c r="BC717" s="663"/>
      <c r="BD717" s="663"/>
      <c r="BE717" s="663"/>
      <c r="BF717" s="663"/>
      <c r="BG717" s="663"/>
      <c r="BH717" s="663"/>
      <c r="BI717" s="663"/>
      <c r="BJ717" s="663"/>
      <c r="BK717" s="663"/>
      <c r="BL717" s="663"/>
      <c r="BM717" s="663"/>
      <c r="BN717" s="663"/>
      <c r="BO717" s="663"/>
      <c r="BP717" s="663"/>
      <c r="BQ717" s="663"/>
      <c r="BR717" s="663"/>
      <c r="BS717" s="663"/>
      <c r="BT717" s="663"/>
      <c r="BU717" s="663"/>
      <c r="BV717" s="663"/>
      <c r="BW717" s="663"/>
      <c r="BX717" s="663"/>
      <c r="BY717" s="663"/>
      <c r="BZ717" s="663"/>
      <c r="CA717" s="663"/>
    </row>
    <row r="718" spans="1:79" hidden="1" outlineLevel="1" x14ac:dyDescent="0.25">
      <c r="A718" s="655"/>
      <c r="B718" s="223"/>
      <c r="C718" s="223"/>
      <c r="D718" s="223"/>
      <c r="E718" s="570" t="s">
        <v>17</v>
      </c>
      <c r="F718" s="655" t="s">
        <v>17</v>
      </c>
      <c r="G718" s="663"/>
      <c r="H718" s="663"/>
      <c r="I718" s="663"/>
      <c r="J718" s="663"/>
      <c r="K718" s="663"/>
      <c r="L718" s="663"/>
      <c r="M718" s="663"/>
      <c r="N718" s="663"/>
      <c r="O718" s="663"/>
      <c r="P718" s="663"/>
      <c r="Q718" s="663"/>
      <c r="R718" s="663"/>
      <c r="S718" s="663">
        <v>0</v>
      </c>
      <c r="T718" s="663">
        <v>0</v>
      </c>
      <c r="U718" s="663">
        <v>0</v>
      </c>
      <c r="V718" s="663">
        <v>0</v>
      </c>
      <c r="W718" s="663">
        <v>0</v>
      </c>
      <c r="X718" s="663">
        <v>0</v>
      </c>
      <c r="Y718" s="663">
        <v>0</v>
      </c>
      <c r="Z718" s="663">
        <v>0</v>
      </c>
      <c r="AA718" s="663">
        <v>0</v>
      </c>
      <c r="AB718" s="663">
        <v>0</v>
      </c>
      <c r="AC718" s="663">
        <v>0</v>
      </c>
      <c r="AD718" s="663">
        <v>0</v>
      </c>
      <c r="AE718" s="663">
        <v>0</v>
      </c>
      <c r="AF718" s="663">
        <v>0</v>
      </c>
      <c r="AG718" s="663">
        <v>0</v>
      </c>
      <c r="AH718" s="663"/>
      <c r="AI718" s="663"/>
      <c r="AJ718" s="663"/>
      <c r="AK718" s="663"/>
      <c r="AL718" s="663"/>
      <c r="AM718" s="663"/>
      <c r="AN718" s="663"/>
      <c r="AO718" s="663"/>
      <c r="AP718" s="663"/>
      <c r="AQ718" s="663"/>
      <c r="AR718" s="663"/>
      <c r="AS718" s="663"/>
      <c r="AT718" s="663"/>
      <c r="AU718" s="663"/>
      <c r="AV718" s="663"/>
      <c r="AW718" s="663"/>
      <c r="AX718" s="663"/>
      <c r="AY718" s="663"/>
      <c r="AZ718" s="663"/>
      <c r="BA718" s="663"/>
      <c r="BB718" s="663"/>
      <c r="BC718" s="663"/>
      <c r="BD718" s="663"/>
      <c r="BE718" s="663"/>
      <c r="BF718" s="663"/>
      <c r="BG718" s="663"/>
      <c r="BH718" s="663"/>
      <c r="BI718" s="663"/>
      <c r="BJ718" s="663"/>
      <c r="BK718" s="663"/>
      <c r="BL718" s="663"/>
      <c r="BM718" s="663"/>
      <c r="BN718" s="663"/>
      <c r="BO718" s="663"/>
      <c r="BP718" s="663"/>
      <c r="BQ718" s="663"/>
      <c r="BR718" s="663"/>
      <c r="BS718" s="663"/>
      <c r="BT718" s="663"/>
      <c r="BU718" s="663"/>
      <c r="BV718" s="663"/>
      <c r="BW718" s="663"/>
      <c r="BX718" s="663"/>
      <c r="BY718" s="663"/>
      <c r="BZ718" s="663"/>
      <c r="CA718" s="663"/>
    </row>
    <row r="719" spans="1:79" hidden="1" outlineLevel="1" x14ac:dyDescent="0.25">
      <c r="A719" s="655"/>
      <c r="B719" s="223"/>
      <c r="C719" s="223"/>
      <c r="D719" s="223"/>
      <c r="E719" s="570" t="s">
        <v>1327</v>
      </c>
      <c r="F719" s="655" t="s">
        <v>857</v>
      </c>
      <c r="G719" s="663"/>
      <c r="H719" s="663"/>
      <c r="I719" s="663"/>
      <c r="J719" s="663"/>
      <c r="K719" s="663"/>
      <c r="L719" s="663"/>
      <c r="M719" s="663"/>
      <c r="N719" s="663"/>
      <c r="O719" s="663"/>
      <c r="P719" s="663"/>
      <c r="Q719" s="663"/>
      <c r="R719" s="663"/>
      <c r="S719" s="663">
        <v>0</v>
      </c>
      <c r="T719" s="663">
        <v>0</v>
      </c>
      <c r="U719" s="663">
        <v>0</v>
      </c>
      <c r="V719" s="663">
        <v>0</v>
      </c>
      <c r="W719" s="663">
        <v>0</v>
      </c>
      <c r="X719" s="663">
        <v>0</v>
      </c>
      <c r="Y719" s="663">
        <v>0</v>
      </c>
      <c r="Z719" s="663">
        <v>0</v>
      </c>
      <c r="AA719" s="663">
        <v>0</v>
      </c>
      <c r="AB719" s="663">
        <v>0</v>
      </c>
      <c r="AC719" s="663">
        <v>0</v>
      </c>
      <c r="AD719" s="663">
        <v>0</v>
      </c>
      <c r="AE719" s="663">
        <v>0</v>
      </c>
      <c r="AF719" s="663">
        <v>0</v>
      </c>
      <c r="AG719" s="663">
        <v>0</v>
      </c>
      <c r="AH719" s="663"/>
      <c r="AI719" s="663"/>
      <c r="AJ719" s="663"/>
      <c r="AK719" s="663"/>
      <c r="AL719" s="663"/>
      <c r="AM719" s="663"/>
      <c r="AN719" s="663"/>
      <c r="AO719" s="663"/>
      <c r="AP719" s="663"/>
      <c r="AQ719" s="663"/>
      <c r="AR719" s="663"/>
      <c r="AS719" s="663"/>
      <c r="AT719" s="663"/>
      <c r="AU719" s="663"/>
      <c r="AV719" s="663"/>
      <c r="AW719" s="663"/>
      <c r="AX719" s="663"/>
      <c r="AY719" s="663"/>
      <c r="AZ719" s="663"/>
      <c r="BA719" s="663"/>
      <c r="BB719" s="663"/>
      <c r="BC719" s="663"/>
      <c r="BD719" s="663"/>
      <c r="BE719" s="663"/>
      <c r="BF719" s="663"/>
      <c r="BG719" s="663"/>
      <c r="BH719" s="663"/>
      <c r="BI719" s="663"/>
      <c r="BJ719" s="663"/>
      <c r="BK719" s="663"/>
      <c r="BL719" s="663"/>
      <c r="BM719" s="663"/>
      <c r="BN719" s="663"/>
      <c r="BO719" s="663"/>
      <c r="BP719" s="663"/>
      <c r="BQ719" s="663"/>
      <c r="BR719" s="663"/>
      <c r="BS719" s="663"/>
      <c r="BT719" s="663"/>
      <c r="BU719" s="663"/>
      <c r="BV719" s="663"/>
      <c r="BW719" s="663"/>
      <c r="BX719" s="663"/>
      <c r="BY719" s="663"/>
      <c r="BZ719" s="663"/>
      <c r="CA719" s="663"/>
    </row>
    <row r="720" spans="1:79" hidden="1" outlineLevel="1" x14ac:dyDescent="0.25">
      <c r="A720" s="655"/>
      <c r="B720" s="570"/>
      <c r="C720" s="570"/>
      <c r="D720" s="570"/>
      <c r="E720" s="570" t="s">
        <v>1330</v>
      </c>
      <c r="F720" s="655" t="s">
        <v>861</v>
      </c>
      <c r="G720" s="716"/>
      <c r="H720" s="716"/>
      <c r="I720" s="716"/>
      <c r="J720" s="716"/>
      <c r="K720" s="716"/>
      <c r="L720" s="716"/>
      <c r="M720" s="716"/>
      <c r="N720" s="716"/>
      <c r="O720" s="716"/>
      <c r="P720" s="716"/>
      <c r="Q720" s="716"/>
      <c r="R720" s="716"/>
      <c r="S720" s="663">
        <v>0</v>
      </c>
      <c r="T720" s="663">
        <v>0</v>
      </c>
      <c r="U720" s="663">
        <v>0</v>
      </c>
      <c r="V720" s="663">
        <v>0</v>
      </c>
      <c r="W720" s="663">
        <v>0</v>
      </c>
      <c r="X720" s="663">
        <v>0</v>
      </c>
      <c r="Y720" s="663">
        <v>0</v>
      </c>
      <c r="Z720" s="663">
        <v>0</v>
      </c>
      <c r="AA720" s="663">
        <v>0</v>
      </c>
      <c r="AB720" s="663">
        <v>0</v>
      </c>
      <c r="AC720" s="663">
        <v>0</v>
      </c>
      <c r="AD720" s="663">
        <v>0</v>
      </c>
      <c r="AE720" s="663">
        <v>0</v>
      </c>
      <c r="AF720" s="716">
        <v>0</v>
      </c>
      <c r="AG720" s="663">
        <v>0</v>
      </c>
      <c r="AH720" s="716"/>
      <c r="AI720" s="716"/>
      <c r="AJ720" s="716"/>
      <c r="AK720" s="716"/>
      <c r="AL720" s="716"/>
      <c r="AM720" s="716"/>
      <c r="AN720" s="716"/>
      <c r="AO720" s="716"/>
      <c r="AP720" s="716"/>
      <c r="AQ720" s="716"/>
      <c r="AR720" s="716"/>
      <c r="AS720" s="716"/>
      <c r="AT720" s="716"/>
      <c r="AU720" s="716"/>
      <c r="AV720" s="716"/>
      <c r="AW720" s="716"/>
      <c r="AX720" s="716"/>
      <c r="AY720" s="716"/>
      <c r="AZ720" s="716"/>
      <c r="BA720" s="716"/>
      <c r="BB720" s="716"/>
      <c r="BC720" s="716"/>
      <c r="BD720" s="716"/>
      <c r="BE720" s="716"/>
      <c r="BF720" s="716"/>
      <c r="BG720" s="716"/>
      <c r="BH720" s="716"/>
      <c r="BI720" s="716"/>
      <c r="BJ720" s="716"/>
      <c r="BK720" s="716"/>
      <c r="BL720" s="716"/>
      <c r="BM720" s="716"/>
      <c r="BN720" s="716"/>
      <c r="BO720" s="716"/>
      <c r="BP720" s="716"/>
      <c r="BQ720" s="716"/>
      <c r="BR720" s="716"/>
      <c r="BS720" s="716"/>
      <c r="BT720" s="716"/>
      <c r="BU720" s="716"/>
      <c r="BV720" s="716"/>
      <c r="BW720" s="716"/>
      <c r="BX720" s="716"/>
      <c r="BY720" s="716"/>
      <c r="BZ720" s="716"/>
      <c r="CA720" s="716"/>
    </row>
    <row r="721" spans="1:79" hidden="1" outlineLevel="1" x14ac:dyDescent="0.25">
      <c r="A721" s="655"/>
      <c r="B721" s="570"/>
      <c r="C721" s="570"/>
      <c r="D721" s="570"/>
      <c r="E721" s="570" t="s">
        <v>1337</v>
      </c>
      <c r="F721" s="655" t="s">
        <v>862</v>
      </c>
      <c r="G721" s="716"/>
      <c r="H721" s="716"/>
      <c r="I721" s="716"/>
      <c r="J721" s="716"/>
      <c r="K721" s="716"/>
      <c r="L721" s="716"/>
      <c r="M721" s="716"/>
      <c r="N721" s="716"/>
      <c r="O721" s="716"/>
      <c r="P721" s="716"/>
      <c r="Q721" s="716"/>
      <c r="R721" s="716"/>
      <c r="S721" s="663">
        <v>0</v>
      </c>
      <c r="T721" s="663">
        <v>0</v>
      </c>
      <c r="U721" s="663">
        <v>0</v>
      </c>
      <c r="V721" s="663">
        <v>0</v>
      </c>
      <c r="W721" s="663">
        <v>0</v>
      </c>
      <c r="X721" s="663">
        <v>0</v>
      </c>
      <c r="Y721" s="663">
        <v>0</v>
      </c>
      <c r="Z721" s="663">
        <v>0</v>
      </c>
      <c r="AA721" s="663">
        <v>0</v>
      </c>
      <c r="AB721" s="663">
        <v>0</v>
      </c>
      <c r="AC721" s="663">
        <v>0</v>
      </c>
      <c r="AD721" s="663">
        <v>0</v>
      </c>
      <c r="AE721" s="663">
        <v>0</v>
      </c>
      <c r="AF721" s="716">
        <v>0</v>
      </c>
      <c r="AG721" s="663">
        <v>0</v>
      </c>
      <c r="AH721" s="716"/>
      <c r="AI721" s="716"/>
      <c r="AJ721" s="716"/>
      <c r="AK721" s="716"/>
      <c r="AL721" s="716"/>
      <c r="AM721" s="716"/>
      <c r="AN721" s="716"/>
      <c r="AO721" s="716"/>
      <c r="AP721" s="716"/>
      <c r="AQ721" s="716"/>
      <c r="AR721" s="716"/>
      <c r="AS721" s="716"/>
      <c r="AT721" s="716"/>
      <c r="AU721" s="716"/>
      <c r="AV721" s="716"/>
      <c r="AW721" s="716"/>
      <c r="AX721" s="716"/>
      <c r="AY721" s="716"/>
      <c r="AZ721" s="716"/>
      <c r="BA721" s="716"/>
      <c r="BB721" s="716"/>
      <c r="BC721" s="716"/>
      <c r="BD721" s="716"/>
      <c r="BE721" s="716"/>
      <c r="BF721" s="716"/>
      <c r="BG721" s="716"/>
      <c r="BH721" s="716"/>
      <c r="BI721" s="716"/>
      <c r="BJ721" s="716"/>
      <c r="BK721" s="716"/>
      <c r="BL721" s="716"/>
      <c r="BM721" s="716"/>
      <c r="BN721" s="716"/>
      <c r="BO721" s="716"/>
      <c r="BP721" s="716"/>
      <c r="BQ721" s="716"/>
      <c r="BR721" s="716"/>
      <c r="BS721" s="716"/>
      <c r="BT721" s="716"/>
      <c r="BU721" s="716"/>
      <c r="BV721" s="716"/>
      <c r="BW721" s="716"/>
      <c r="BX721" s="716"/>
      <c r="BY721" s="716"/>
      <c r="BZ721" s="716"/>
      <c r="CA721" s="716"/>
    </row>
    <row r="722" spans="1:79" s="693" customFormat="1" hidden="1" outlineLevel="1" x14ac:dyDescent="0.25">
      <c r="A722" s="691"/>
      <c r="E722" s="570" t="s">
        <v>338</v>
      </c>
      <c r="F722" s="691" t="s">
        <v>863</v>
      </c>
      <c r="G722" s="734"/>
      <c r="H722" s="734"/>
      <c r="I722" s="734"/>
      <c r="J722" s="734"/>
      <c r="K722" s="734"/>
      <c r="L722" s="734"/>
      <c r="M722" s="734"/>
      <c r="N722" s="734"/>
      <c r="O722" s="734"/>
      <c r="P722" s="734"/>
      <c r="Q722" s="734"/>
      <c r="R722" s="734"/>
      <c r="S722" s="692"/>
      <c r="T722" s="692"/>
      <c r="U722" s="692"/>
      <c r="V722" s="692"/>
      <c r="W722" s="692"/>
      <c r="X722" s="692"/>
      <c r="Y722" s="692"/>
      <c r="Z722" s="692"/>
      <c r="AA722" s="692"/>
      <c r="AB722" s="692"/>
      <c r="AC722" s="692"/>
      <c r="AD722" s="692"/>
      <c r="AE722" s="692"/>
      <c r="AF722" s="734"/>
      <c r="AG722" s="692"/>
      <c r="AH722" s="734"/>
      <c r="AI722" s="734"/>
      <c r="AJ722" s="734"/>
      <c r="AK722" s="734"/>
      <c r="AL722" s="734"/>
      <c r="AM722" s="734"/>
      <c r="AN722" s="734"/>
      <c r="AO722" s="734"/>
      <c r="AP722" s="734"/>
      <c r="AQ722" s="734"/>
      <c r="AR722" s="734"/>
      <c r="AS722" s="734"/>
      <c r="AT722" s="734"/>
      <c r="AU722" s="734"/>
      <c r="AV722" s="734"/>
      <c r="AW722" s="734"/>
      <c r="AX722" s="734"/>
      <c r="AY722" s="734"/>
      <c r="AZ722" s="734"/>
      <c r="BA722" s="734"/>
      <c r="BB722" s="734"/>
      <c r="BC722" s="734"/>
      <c r="BD722" s="734"/>
      <c r="BE722" s="734"/>
      <c r="BF722" s="734"/>
      <c r="BG722" s="734"/>
      <c r="BH722" s="734"/>
      <c r="BI722" s="734"/>
      <c r="BJ722" s="734"/>
      <c r="BK722" s="734"/>
      <c r="BL722" s="734"/>
      <c r="BM722" s="734"/>
      <c r="BN722" s="734"/>
      <c r="BO722" s="734"/>
      <c r="BP722" s="734"/>
      <c r="BQ722" s="734"/>
      <c r="BR722" s="734"/>
      <c r="BS722" s="734"/>
      <c r="BT722" s="734"/>
      <c r="BU722" s="734"/>
      <c r="BV722" s="734"/>
      <c r="BW722" s="734"/>
      <c r="BX722" s="734"/>
      <c r="BY722" s="734"/>
      <c r="BZ722" s="734"/>
      <c r="CA722" s="734"/>
    </row>
    <row r="723" spans="1:79" hidden="1" outlineLevel="1" x14ac:dyDescent="0.25">
      <c r="A723" s="656"/>
      <c r="B723" s="570"/>
      <c r="C723" s="570"/>
      <c r="D723" s="570"/>
      <c r="E723" s="570" t="s">
        <v>338</v>
      </c>
      <c r="F723" s="656" t="s">
        <v>864</v>
      </c>
      <c r="G723" s="716"/>
      <c r="H723" s="716"/>
      <c r="I723" s="716"/>
      <c r="J723" s="716"/>
      <c r="K723" s="716"/>
      <c r="L723" s="716"/>
      <c r="M723" s="716"/>
      <c r="N723" s="716"/>
      <c r="O723" s="716"/>
      <c r="P723" s="716"/>
      <c r="Q723" s="716"/>
      <c r="R723" s="716"/>
      <c r="S723" s="663">
        <v>0</v>
      </c>
      <c r="T723" s="663">
        <v>0</v>
      </c>
      <c r="U723" s="663">
        <v>0</v>
      </c>
      <c r="V723" s="663">
        <v>0</v>
      </c>
      <c r="W723" s="663">
        <v>0</v>
      </c>
      <c r="X723" s="663">
        <v>0</v>
      </c>
      <c r="Y723" s="663">
        <v>0</v>
      </c>
      <c r="Z723" s="663">
        <v>0</v>
      </c>
      <c r="AA723" s="663">
        <v>0</v>
      </c>
      <c r="AB723" s="663">
        <v>0</v>
      </c>
      <c r="AC723" s="663">
        <v>0</v>
      </c>
      <c r="AD723" s="663">
        <v>0</v>
      </c>
      <c r="AE723" s="663">
        <v>0</v>
      </c>
      <c r="AF723" s="716">
        <v>0</v>
      </c>
      <c r="AG723" s="663">
        <v>0</v>
      </c>
      <c r="AH723" s="716"/>
      <c r="AI723" s="716"/>
      <c r="AJ723" s="716"/>
      <c r="AK723" s="716"/>
      <c r="AL723" s="716"/>
      <c r="AM723" s="716"/>
      <c r="AN723" s="716"/>
      <c r="AO723" s="716"/>
      <c r="AP723" s="716"/>
      <c r="AQ723" s="716"/>
      <c r="AR723" s="716"/>
      <c r="AS723" s="716"/>
      <c r="AT723" s="716"/>
      <c r="AU723" s="716"/>
      <c r="AV723" s="716"/>
      <c r="AW723" s="716"/>
      <c r="AX723" s="716"/>
      <c r="AY723" s="716"/>
      <c r="AZ723" s="716"/>
      <c r="BA723" s="716"/>
      <c r="BB723" s="716"/>
      <c r="BC723" s="716"/>
      <c r="BD723" s="716"/>
      <c r="BE723" s="716"/>
      <c r="BF723" s="716"/>
      <c r="BG723" s="716"/>
      <c r="BH723" s="716"/>
      <c r="BI723" s="716"/>
      <c r="BJ723" s="716"/>
      <c r="BK723" s="716"/>
      <c r="BL723" s="716"/>
      <c r="BM723" s="716"/>
      <c r="BN723" s="716"/>
      <c r="BO723" s="716"/>
      <c r="BP723" s="716"/>
      <c r="BQ723" s="716"/>
      <c r="BR723" s="716"/>
      <c r="BS723" s="716"/>
      <c r="BT723" s="716"/>
      <c r="BU723" s="716"/>
      <c r="BV723" s="716"/>
      <c r="BW723" s="716"/>
      <c r="BX723" s="716"/>
      <c r="BY723" s="716"/>
      <c r="BZ723" s="716"/>
      <c r="CA723" s="716"/>
    </row>
    <row r="724" spans="1:79" hidden="1" outlineLevel="1" x14ac:dyDescent="0.25">
      <c r="A724" s="656"/>
      <c r="B724" s="570"/>
      <c r="C724" s="570"/>
      <c r="D724" s="570"/>
      <c r="E724" s="570" t="s">
        <v>338</v>
      </c>
      <c r="F724" s="656" t="s">
        <v>865</v>
      </c>
      <c r="G724" s="716"/>
      <c r="H724" s="716"/>
      <c r="I724" s="716"/>
      <c r="J724" s="716"/>
      <c r="K724" s="716"/>
      <c r="L724" s="716"/>
      <c r="M724" s="716"/>
      <c r="N724" s="716"/>
      <c r="O724" s="716"/>
      <c r="P724" s="716"/>
      <c r="Q724" s="716"/>
      <c r="R724" s="716"/>
      <c r="S724" s="663">
        <v>0</v>
      </c>
      <c r="T724" s="663">
        <v>0</v>
      </c>
      <c r="U724" s="663">
        <v>0</v>
      </c>
      <c r="V724" s="663">
        <v>0</v>
      </c>
      <c r="W724" s="663">
        <v>0</v>
      </c>
      <c r="X724" s="663">
        <v>0</v>
      </c>
      <c r="Y724" s="663">
        <v>0</v>
      </c>
      <c r="Z724" s="663">
        <v>0</v>
      </c>
      <c r="AA724" s="663">
        <v>0</v>
      </c>
      <c r="AB724" s="663">
        <v>0</v>
      </c>
      <c r="AC724" s="663">
        <v>0</v>
      </c>
      <c r="AD724" s="663">
        <v>0</v>
      </c>
      <c r="AE724" s="663">
        <v>0</v>
      </c>
      <c r="AF724" s="716">
        <v>0</v>
      </c>
      <c r="AG724" s="663">
        <v>0</v>
      </c>
      <c r="AH724" s="716"/>
      <c r="AI724" s="716"/>
      <c r="AJ724" s="716"/>
      <c r="AK724" s="716"/>
      <c r="AL724" s="716"/>
      <c r="AM724" s="716"/>
      <c r="AN724" s="716"/>
      <c r="AO724" s="716"/>
      <c r="AP724" s="716"/>
      <c r="AQ724" s="716"/>
      <c r="AR724" s="716"/>
      <c r="AS724" s="716"/>
      <c r="AT724" s="716"/>
      <c r="AU724" s="716"/>
      <c r="AV724" s="716"/>
      <c r="AW724" s="716"/>
      <c r="AX724" s="716"/>
      <c r="AY724" s="716"/>
      <c r="AZ724" s="716"/>
      <c r="BA724" s="716"/>
      <c r="BB724" s="716"/>
      <c r="BC724" s="716"/>
      <c r="BD724" s="716"/>
      <c r="BE724" s="716"/>
      <c r="BF724" s="716"/>
      <c r="BG724" s="716"/>
      <c r="BH724" s="716"/>
      <c r="BI724" s="716"/>
      <c r="BJ724" s="716"/>
      <c r="BK724" s="716"/>
      <c r="BL724" s="716"/>
      <c r="BM724" s="716"/>
      <c r="BN724" s="716"/>
      <c r="BO724" s="716"/>
      <c r="BP724" s="716"/>
      <c r="BQ724" s="716"/>
      <c r="BR724" s="716"/>
      <c r="BS724" s="716"/>
      <c r="BT724" s="716"/>
      <c r="BU724" s="716"/>
      <c r="BV724" s="716"/>
      <c r="BW724" s="716"/>
      <c r="BX724" s="716"/>
      <c r="BY724" s="716"/>
      <c r="BZ724" s="716"/>
      <c r="CA724" s="716"/>
    </row>
    <row r="725" spans="1:79" hidden="1" outlineLevel="1" x14ac:dyDescent="0.25">
      <c r="A725" s="657"/>
      <c r="B725" s="570"/>
      <c r="C725" s="570"/>
      <c r="D725" s="570"/>
      <c r="E725" s="570" t="s">
        <v>49</v>
      </c>
      <c r="F725" s="657" t="s">
        <v>866</v>
      </c>
      <c r="G725" s="664">
        <f>SUM(G723:G724)</f>
        <v>0</v>
      </c>
      <c r="H725" s="664">
        <f t="shared" ref="H725:BO725" si="302">SUM(H723:H724)</f>
        <v>0</v>
      </c>
      <c r="I725" s="664">
        <f t="shared" si="302"/>
        <v>0</v>
      </c>
      <c r="J725" s="664">
        <f t="shared" si="302"/>
        <v>0</v>
      </c>
      <c r="K725" s="664">
        <f t="shared" si="302"/>
        <v>0</v>
      </c>
      <c r="L725" s="664">
        <f t="shared" si="302"/>
        <v>0</v>
      </c>
      <c r="M725" s="664">
        <f t="shared" si="302"/>
        <v>0</v>
      </c>
      <c r="N725" s="664">
        <f t="shared" si="302"/>
        <v>0</v>
      </c>
      <c r="O725" s="664">
        <f t="shared" si="302"/>
        <v>0</v>
      </c>
      <c r="P725" s="664">
        <f t="shared" si="302"/>
        <v>0</v>
      </c>
      <c r="Q725" s="664">
        <f t="shared" si="302"/>
        <v>0</v>
      </c>
      <c r="R725" s="664">
        <f t="shared" si="302"/>
        <v>0</v>
      </c>
      <c r="S725" s="664">
        <f t="shared" ref="S725:AA725" si="303">ROUND(SUM(S722:S724),5)</f>
        <v>0</v>
      </c>
      <c r="T725" s="664">
        <f t="shared" si="303"/>
        <v>0</v>
      </c>
      <c r="U725" s="664">
        <f t="shared" si="303"/>
        <v>0</v>
      </c>
      <c r="V725" s="664">
        <f t="shared" si="303"/>
        <v>0</v>
      </c>
      <c r="W725" s="664">
        <f t="shared" si="303"/>
        <v>0</v>
      </c>
      <c r="X725" s="664">
        <f t="shared" si="303"/>
        <v>0</v>
      </c>
      <c r="Y725" s="664">
        <f t="shared" si="303"/>
        <v>0</v>
      </c>
      <c r="Z725" s="664">
        <f t="shared" si="303"/>
        <v>0</v>
      </c>
      <c r="AA725" s="664">
        <f t="shared" si="303"/>
        <v>0</v>
      </c>
      <c r="AB725" s="664">
        <f t="shared" ref="AB725:AG725" si="304">ROUND(SUM(AB722:AB724),5)</f>
        <v>0</v>
      </c>
      <c r="AC725" s="664">
        <f t="shared" si="304"/>
        <v>0</v>
      </c>
      <c r="AD725" s="664">
        <f t="shared" si="304"/>
        <v>0</v>
      </c>
      <c r="AE725" s="664">
        <f t="shared" si="304"/>
        <v>0</v>
      </c>
      <c r="AF725" s="664">
        <f t="shared" si="304"/>
        <v>0</v>
      </c>
      <c r="AG725" s="664">
        <f t="shared" si="304"/>
        <v>0</v>
      </c>
      <c r="AH725" s="664">
        <f t="shared" si="302"/>
        <v>0</v>
      </c>
      <c r="AI725" s="664">
        <f t="shared" si="302"/>
        <v>0</v>
      </c>
      <c r="AJ725" s="664">
        <f t="shared" si="302"/>
        <v>0</v>
      </c>
      <c r="AK725" s="664">
        <f t="shared" si="302"/>
        <v>0</v>
      </c>
      <c r="AL725" s="664">
        <f t="shared" si="302"/>
        <v>0</v>
      </c>
      <c r="AM725" s="664">
        <f t="shared" si="302"/>
        <v>0</v>
      </c>
      <c r="AN725" s="664">
        <f t="shared" si="302"/>
        <v>0</v>
      </c>
      <c r="AO725" s="664">
        <f t="shared" si="302"/>
        <v>0</v>
      </c>
      <c r="AP725" s="664">
        <f t="shared" si="302"/>
        <v>0</v>
      </c>
      <c r="AQ725" s="664">
        <f t="shared" si="302"/>
        <v>0</v>
      </c>
      <c r="AR725" s="664">
        <f t="shared" si="302"/>
        <v>0</v>
      </c>
      <c r="AS725" s="664">
        <f t="shared" si="302"/>
        <v>0</v>
      </c>
      <c r="AT725" s="664">
        <f t="shared" si="302"/>
        <v>0</v>
      </c>
      <c r="AU725" s="664">
        <f t="shared" si="302"/>
        <v>0</v>
      </c>
      <c r="AV725" s="664">
        <f t="shared" si="302"/>
        <v>0</v>
      </c>
      <c r="AW725" s="664">
        <f t="shared" si="302"/>
        <v>0</v>
      </c>
      <c r="AX725" s="664">
        <f t="shared" si="302"/>
        <v>0</v>
      </c>
      <c r="AY725" s="664">
        <f t="shared" si="302"/>
        <v>0</v>
      </c>
      <c r="AZ725" s="664">
        <f t="shared" si="302"/>
        <v>0</v>
      </c>
      <c r="BA725" s="664">
        <f t="shared" si="302"/>
        <v>0</v>
      </c>
      <c r="BB725" s="664">
        <f t="shared" si="302"/>
        <v>0</v>
      </c>
      <c r="BC725" s="664">
        <f t="shared" si="302"/>
        <v>0</v>
      </c>
      <c r="BD725" s="664">
        <f t="shared" si="302"/>
        <v>0</v>
      </c>
      <c r="BE725" s="664">
        <f t="shared" si="302"/>
        <v>0</v>
      </c>
      <c r="BF725" s="664">
        <f t="shared" si="302"/>
        <v>0</v>
      </c>
      <c r="BG725" s="664">
        <f t="shared" si="302"/>
        <v>0</v>
      </c>
      <c r="BH725" s="664">
        <f t="shared" si="302"/>
        <v>0</v>
      </c>
      <c r="BI725" s="664">
        <f t="shared" si="302"/>
        <v>0</v>
      </c>
      <c r="BJ725" s="664">
        <f t="shared" si="302"/>
        <v>0</v>
      </c>
      <c r="BK725" s="664">
        <f t="shared" si="302"/>
        <v>0</v>
      </c>
      <c r="BL725" s="664">
        <f t="shared" si="302"/>
        <v>0</v>
      </c>
      <c r="BM725" s="664">
        <f t="shared" si="302"/>
        <v>0</v>
      </c>
      <c r="BN725" s="664">
        <f t="shared" si="302"/>
        <v>0</v>
      </c>
      <c r="BO725" s="664">
        <f t="shared" si="302"/>
        <v>0</v>
      </c>
      <c r="BP725" s="664">
        <f t="shared" ref="BP725:CA725" si="305">SUM(BP723:BP724)</f>
        <v>0</v>
      </c>
      <c r="BQ725" s="664">
        <f t="shared" si="305"/>
        <v>0</v>
      </c>
      <c r="BR725" s="664">
        <f t="shared" si="305"/>
        <v>0</v>
      </c>
      <c r="BS725" s="664">
        <f t="shared" si="305"/>
        <v>0</v>
      </c>
      <c r="BT725" s="664">
        <f t="shared" si="305"/>
        <v>0</v>
      </c>
      <c r="BU725" s="664">
        <f t="shared" si="305"/>
        <v>0</v>
      </c>
      <c r="BV725" s="664">
        <f t="shared" si="305"/>
        <v>0</v>
      </c>
      <c r="BW725" s="664">
        <f t="shared" si="305"/>
        <v>0</v>
      </c>
      <c r="BX725" s="664">
        <f t="shared" si="305"/>
        <v>0</v>
      </c>
      <c r="BY725" s="664">
        <f t="shared" si="305"/>
        <v>0</v>
      </c>
      <c r="BZ725" s="664">
        <f t="shared" si="305"/>
        <v>0</v>
      </c>
      <c r="CA725" s="664">
        <f t="shared" si="305"/>
        <v>0</v>
      </c>
    </row>
    <row r="726" spans="1:79" s="693" customFormat="1" hidden="1" outlineLevel="1" x14ac:dyDescent="0.25">
      <c r="A726" s="694"/>
      <c r="E726" s="570" t="s">
        <v>867</v>
      </c>
      <c r="F726" s="694" t="s">
        <v>646</v>
      </c>
      <c r="G726" s="734"/>
      <c r="H726" s="734"/>
      <c r="I726" s="734"/>
      <c r="J726" s="734"/>
      <c r="K726" s="734"/>
      <c r="L726" s="734"/>
      <c r="M726" s="734"/>
      <c r="N726" s="734"/>
      <c r="O726" s="734"/>
      <c r="P726" s="734"/>
      <c r="Q726" s="734"/>
      <c r="R726" s="734"/>
      <c r="S726" s="692"/>
      <c r="T726" s="692"/>
      <c r="U726" s="692"/>
      <c r="V726" s="692"/>
      <c r="W726" s="692"/>
      <c r="X726" s="692"/>
      <c r="Y726" s="692"/>
      <c r="Z726" s="692"/>
      <c r="AA726" s="692"/>
      <c r="AB726" s="692"/>
      <c r="AC726" s="692"/>
      <c r="AD726" s="692"/>
      <c r="AE726" s="692"/>
      <c r="AF726" s="734"/>
      <c r="AG726" s="692"/>
      <c r="AH726" s="734"/>
      <c r="AI726" s="734"/>
      <c r="AJ726" s="734"/>
      <c r="AK726" s="734"/>
      <c r="AL726" s="734"/>
      <c r="AM726" s="734"/>
      <c r="AN726" s="734"/>
      <c r="AO726" s="734"/>
      <c r="AP726" s="734"/>
      <c r="AQ726" s="734"/>
      <c r="AR726" s="734"/>
      <c r="AS726" s="734"/>
      <c r="AT726" s="734"/>
      <c r="AU726" s="734"/>
      <c r="AV726" s="734"/>
      <c r="AW726" s="734"/>
      <c r="AX726" s="734"/>
      <c r="AY726" s="734"/>
      <c r="AZ726" s="734"/>
      <c r="BA726" s="734"/>
      <c r="BB726" s="734"/>
      <c r="BC726" s="734"/>
      <c r="BD726" s="734"/>
      <c r="BE726" s="734"/>
      <c r="BF726" s="734"/>
      <c r="BG726" s="734"/>
      <c r="BH726" s="734"/>
      <c r="BI726" s="734"/>
      <c r="BJ726" s="734"/>
      <c r="BK726" s="734"/>
      <c r="BL726" s="734"/>
      <c r="BM726" s="734"/>
      <c r="BN726" s="734"/>
      <c r="BO726" s="734"/>
      <c r="BP726" s="734"/>
      <c r="BQ726" s="734"/>
      <c r="BR726" s="734"/>
      <c r="BS726" s="734"/>
      <c r="BT726" s="734"/>
      <c r="BU726" s="734"/>
      <c r="BV726" s="734"/>
      <c r="BW726" s="734"/>
      <c r="BX726" s="734"/>
      <c r="BY726" s="734"/>
      <c r="BZ726" s="734"/>
      <c r="CA726" s="734"/>
    </row>
    <row r="727" spans="1:79" hidden="1" outlineLevel="1" x14ac:dyDescent="0.25">
      <c r="A727" s="656"/>
      <c r="B727" s="570"/>
      <c r="C727" s="570"/>
      <c r="D727" s="570"/>
      <c r="E727" s="570" t="s">
        <v>867</v>
      </c>
      <c r="F727" s="656" t="s">
        <v>867</v>
      </c>
      <c r="G727" s="716"/>
      <c r="H727" s="716"/>
      <c r="I727" s="716"/>
      <c r="J727" s="716"/>
      <c r="K727" s="716"/>
      <c r="L727" s="716"/>
      <c r="M727" s="716"/>
      <c r="N727" s="716"/>
      <c r="O727" s="716"/>
      <c r="P727" s="716"/>
      <c r="Q727" s="716"/>
      <c r="R727" s="716"/>
      <c r="S727" s="663">
        <v>0</v>
      </c>
      <c r="T727" s="663">
        <v>0</v>
      </c>
      <c r="U727" s="663">
        <v>0</v>
      </c>
      <c r="V727" s="663">
        <v>0</v>
      </c>
      <c r="W727" s="663">
        <v>0</v>
      </c>
      <c r="X727" s="663">
        <v>0</v>
      </c>
      <c r="Y727" s="663">
        <v>0</v>
      </c>
      <c r="Z727" s="663">
        <v>0</v>
      </c>
      <c r="AA727" s="663">
        <v>0</v>
      </c>
      <c r="AB727" s="663">
        <v>0</v>
      </c>
      <c r="AC727" s="663">
        <v>0</v>
      </c>
      <c r="AD727" s="663">
        <v>0</v>
      </c>
      <c r="AE727" s="663">
        <v>0</v>
      </c>
      <c r="AF727" s="716">
        <v>0</v>
      </c>
      <c r="AG727" s="663">
        <v>0</v>
      </c>
      <c r="AH727" s="716"/>
      <c r="AI727" s="716"/>
      <c r="AJ727" s="716"/>
      <c r="AK727" s="716"/>
      <c r="AL727" s="716"/>
      <c r="AM727" s="716"/>
      <c r="AN727" s="716"/>
      <c r="AO727" s="716"/>
      <c r="AP727" s="716"/>
      <c r="AQ727" s="716"/>
      <c r="AR727" s="716"/>
      <c r="AS727" s="716"/>
      <c r="AT727" s="716"/>
      <c r="AU727" s="716"/>
      <c r="AV727" s="716"/>
      <c r="AW727" s="716"/>
      <c r="AX727" s="716"/>
      <c r="AY727" s="716"/>
      <c r="AZ727" s="716"/>
      <c r="BA727" s="716"/>
      <c r="BB727" s="716"/>
      <c r="BC727" s="716"/>
      <c r="BD727" s="716"/>
      <c r="BE727" s="716"/>
      <c r="BF727" s="716"/>
      <c r="BG727" s="716"/>
      <c r="BH727" s="716"/>
      <c r="BI727" s="716"/>
      <c r="BJ727" s="716"/>
      <c r="BK727" s="716"/>
      <c r="BL727" s="716"/>
      <c r="BM727" s="716"/>
      <c r="BN727" s="716"/>
      <c r="BO727" s="716"/>
      <c r="BP727" s="716"/>
      <c r="BQ727" s="716"/>
      <c r="BR727" s="716"/>
      <c r="BS727" s="716"/>
      <c r="BT727" s="716"/>
      <c r="BU727" s="716"/>
      <c r="BV727" s="716"/>
      <c r="BW727" s="716"/>
      <c r="BX727" s="716"/>
      <c r="BY727" s="716"/>
      <c r="BZ727" s="716"/>
      <c r="CA727" s="716"/>
    </row>
    <row r="728" spans="1:79" hidden="1" outlineLevel="1" x14ac:dyDescent="0.25">
      <c r="A728" s="656"/>
      <c r="E728" s="570" t="s">
        <v>867</v>
      </c>
      <c r="F728" s="656" t="s">
        <v>868</v>
      </c>
      <c r="G728" s="719"/>
      <c r="H728" s="719"/>
      <c r="I728" s="719"/>
      <c r="J728" s="719"/>
      <c r="K728" s="719"/>
      <c r="L728" s="719"/>
      <c r="M728" s="719"/>
      <c r="N728" s="719"/>
      <c r="O728" s="719"/>
      <c r="P728" s="716"/>
      <c r="Q728" s="716"/>
      <c r="R728" s="716"/>
      <c r="S728" s="663">
        <v>0</v>
      </c>
      <c r="T728" s="663">
        <v>69</v>
      </c>
      <c r="U728" s="663">
        <v>0</v>
      </c>
      <c r="V728" s="663">
        <v>0</v>
      </c>
      <c r="W728" s="663">
        <v>0</v>
      </c>
      <c r="X728" s="663">
        <v>0</v>
      </c>
      <c r="Y728" s="663">
        <v>0</v>
      </c>
      <c r="Z728" s="663">
        <v>0</v>
      </c>
      <c r="AA728" s="663">
        <v>0</v>
      </c>
      <c r="AB728" s="663">
        <v>0</v>
      </c>
      <c r="AC728" s="663">
        <v>0</v>
      </c>
      <c r="AD728" s="663">
        <v>1.41</v>
      </c>
      <c r="AE728" s="663">
        <v>0</v>
      </c>
      <c r="AF728" s="719">
        <v>0</v>
      </c>
      <c r="AG728" s="663">
        <v>0</v>
      </c>
      <c r="AH728" s="716"/>
      <c r="AI728" s="716"/>
      <c r="AJ728" s="716"/>
      <c r="AK728" s="716"/>
      <c r="AL728" s="716"/>
      <c r="AM728" s="716"/>
      <c r="AN728" s="716"/>
      <c r="AO728" s="716"/>
      <c r="AP728" s="716"/>
      <c r="AQ728" s="716"/>
      <c r="AR728" s="716"/>
      <c r="AS728" s="716"/>
      <c r="AT728" s="716"/>
      <c r="AU728" s="716"/>
      <c r="AV728" s="716"/>
      <c r="AW728" s="716"/>
      <c r="AX728" s="716"/>
      <c r="AY728" s="716"/>
      <c r="AZ728" s="716"/>
      <c r="BA728" s="716"/>
      <c r="BB728" s="716"/>
      <c r="BC728" s="716"/>
      <c r="BD728" s="716"/>
      <c r="BE728" s="716"/>
      <c r="BF728" s="716"/>
      <c r="BG728" s="716"/>
      <c r="BH728" s="716"/>
      <c r="BI728" s="716"/>
      <c r="BJ728" s="716"/>
      <c r="BK728" s="716"/>
      <c r="BL728" s="716"/>
      <c r="BM728" s="716"/>
      <c r="BN728" s="716"/>
      <c r="BO728" s="716"/>
      <c r="BP728" s="716"/>
      <c r="BQ728" s="716"/>
      <c r="BR728" s="716"/>
      <c r="BS728" s="716"/>
      <c r="BT728" s="716"/>
      <c r="BU728" s="716"/>
      <c r="BV728" s="716"/>
      <c r="BW728" s="716"/>
      <c r="BX728" s="716"/>
      <c r="BY728" s="716"/>
      <c r="BZ728" s="716"/>
      <c r="CA728" s="716"/>
    </row>
    <row r="729" spans="1:79" hidden="1" outlineLevel="1" x14ac:dyDescent="0.25">
      <c r="A729" s="657"/>
      <c r="B729" s="570"/>
      <c r="C729" s="570"/>
      <c r="D729" s="570"/>
      <c r="E729" s="570" t="s">
        <v>49</v>
      </c>
      <c r="F729" s="657" t="s">
        <v>869</v>
      </c>
      <c r="G729" s="664">
        <f>SUM(G727:G728)</f>
        <v>0</v>
      </c>
      <c r="H729" s="664">
        <f t="shared" ref="H729:BO729" si="306">SUM(H727:H728)</f>
        <v>0</v>
      </c>
      <c r="I729" s="664">
        <f t="shared" si="306"/>
        <v>0</v>
      </c>
      <c r="J729" s="664">
        <f t="shared" si="306"/>
        <v>0</v>
      </c>
      <c r="K729" s="664">
        <f t="shared" si="306"/>
        <v>0</v>
      </c>
      <c r="L729" s="664">
        <f t="shared" si="306"/>
        <v>0</v>
      </c>
      <c r="M729" s="664">
        <f t="shared" si="306"/>
        <v>0</v>
      </c>
      <c r="N729" s="664">
        <f t="shared" si="306"/>
        <v>0</v>
      </c>
      <c r="O729" s="664">
        <f t="shared" si="306"/>
        <v>0</v>
      </c>
      <c r="P729" s="664">
        <f t="shared" si="306"/>
        <v>0</v>
      </c>
      <c r="Q729" s="664">
        <f t="shared" si="306"/>
        <v>0</v>
      </c>
      <c r="R729" s="664">
        <f t="shared" si="306"/>
        <v>0</v>
      </c>
      <c r="S729" s="664">
        <f t="shared" ref="S729:AA729" si="307">ROUND(SUM(S726:S728),5)</f>
        <v>0</v>
      </c>
      <c r="T729" s="664">
        <f t="shared" si="307"/>
        <v>69</v>
      </c>
      <c r="U729" s="664">
        <f t="shared" si="307"/>
        <v>0</v>
      </c>
      <c r="V729" s="664">
        <f t="shared" si="307"/>
        <v>0</v>
      </c>
      <c r="W729" s="664">
        <f t="shared" si="307"/>
        <v>0</v>
      </c>
      <c r="X729" s="664">
        <f t="shared" si="307"/>
        <v>0</v>
      </c>
      <c r="Y729" s="664">
        <f t="shared" si="307"/>
        <v>0</v>
      </c>
      <c r="Z729" s="664">
        <f t="shared" si="307"/>
        <v>0</v>
      </c>
      <c r="AA729" s="664">
        <f t="shared" si="307"/>
        <v>0</v>
      </c>
      <c r="AB729" s="664">
        <f t="shared" ref="AB729:AG729" si="308">ROUND(SUM(AB726:AB728),5)</f>
        <v>0</v>
      </c>
      <c r="AC729" s="664">
        <f t="shared" si="308"/>
        <v>0</v>
      </c>
      <c r="AD729" s="664">
        <f t="shared" si="308"/>
        <v>1.41</v>
      </c>
      <c r="AE729" s="664">
        <f t="shared" si="308"/>
        <v>0</v>
      </c>
      <c r="AF729" s="664">
        <f t="shared" si="308"/>
        <v>0</v>
      </c>
      <c r="AG729" s="664">
        <f t="shared" si="308"/>
        <v>0</v>
      </c>
      <c r="AH729" s="664">
        <f t="shared" si="306"/>
        <v>0</v>
      </c>
      <c r="AI729" s="664">
        <f t="shared" si="306"/>
        <v>0</v>
      </c>
      <c r="AJ729" s="664">
        <f t="shared" si="306"/>
        <v>0</v>
      </c>
      <c r="AK729" s="664">
        <f t="shared" si="306"/>
        <v>0</v>
      </c>
      <c r="AL729" s="664">
        <f t="shared" si="306"/>
        <v>0</v>
      </c>
      <c r="AM729" s="664">
        <f t="shared" si="306"/>
        <v>0</v>
      </c>
      <c r="AN729" s="664">
        <f t="shared" si="306"/>
        <v>0</v>
      </c>
      <c r="AO729" s="664">
        <f t="shared" si="306"/>
        <v>0</v>
      </c>
      <c r="AP729" s="664">
        <f t="shared" si="306"/>
        <v>0</v>
      </c>
      <c r="AQ729" s="664">
        <f t="shared" si="306"/>
        <v>0</v>
      </c>
      <c r="AR729" s="664">
        <f t="shared" si="306"/>
        <v>0</v>
      </c>
      <c r="AS729" s="664">
        <f t="shared" si="306"/>
        <v>0</v>
      </c>
      <c r="AT729" s="664">
        <f t="shared" si="306"/>
        <v>0</v>
      </c>
      <c r="AU729" s="664">
        <f t="shared" si="306"/>
        <v>0</v>
      </c>
      <c r="AV729" s="664">
        <f t="shared" si="306"/>
        <v>0</v>
      </c>
      <c r="AW729" s="664">
        <f t="shared" si="306"/>
        <v>0</v>
      </c>
      <c r="AX729" s="664">
        <f t="shared" si="306"/>
        <v>0</v>
      </c>
      <c r="AY729" s="664">
        <f t="shared" si="306"/>
        <v>0</v>
      </c>
      <c r="AZ729" s="664">
        <f t="shared" si="306"/>
        <v>0</v>
      </c>
      <c r="BA729" s="664">
        <f t="shared" si="306"/>
        <v>0</v>
      </c>
      <c r="BB729" s="664">
        <f t="shared" si="306"/>
        <v>0</v>
      </c>
      <c r="BC729" s="664">
        <f t="shared" si="306"/>
        <v>0</v>
      </c>
      <c r="BD729" s="664">
        <f t="shared" si="306"/>
        <v>0</v>
      </c>
      <c r="BE729" s="664">
        <f t="shared" si="306"/>
        <v>0</v>
      </c>
      <c r="BF729" s="664">
        <f t="shared" si="306"/>
        <v>0</v>
      </c>
      <c r="BG729" s="664">
        <f t="shared" si="306"/>
        <v>0</v>
      </c>
      <c r="BH729" s="664">
        <f t="shared" si="306"/>
        <v>0</v>
      </c>
      <c r="BI729" s="664">
        <f t="shared" si="306"/>
        <v>0</v>
      </c>
      <c r="BJ729" s="664">
        <f t="shared" si="306"/>
        <v>0</v>
      </c>
      <c r="BK729" s="664">
        <f t="shared" si="306"/>
        <v>0</v>
      </c>
      <c r="BL729" s="664">
        <f t="shared" si="306"/>
        <v>0</v>
      </c>
      <c r="BM729" s="664">
        <f t="shared" si="306"/>
        <v>0</v>
      </c>
      <c r="BN729" s="664">
        <f t="shared" si="306"/>
        <v>0</v>
      </c>
      <c r="BO729" s="664">
        <f t="shared" si="306"/>
        <v>0</v>
      </c>
      <c r="BP729" s="664">
        <f t="shared" ref="BP729:CA729" si="309">SUM(BP727:BP728)</f>
        <v>0</v>
      </c>
      <c r="BQ729" s="664">
        <f t="shared" si="309"/>
        <v>0</v>
      </c>
      <c r="BR729" s="664">
        <f t="shared" si="309"/>
        <v>0</v>
      </c>
      <c r="BS729" s="664">
        <f t="shared" si="309"/>
        <v>0</v>
      </c>
      <c r="BT729" s="664">
        <f t="shared" si="309"/>
        <v>0</v>
      </c>
      <c r="BU729" s="664">
        <f t="shared" si="309"/>
        <v>0</v>
      </c>
      <c r="BV729" s="664">
        <f t="shared" si="309"/>
        <v>0</v>
      </c>
      <c r="BW729" s="664">
        <f t="shared" si="309"/>
        <v>0</v>
      </c>
      <c r="BX729" s="664">
        <f t="shared" si="309"/>
        <v>0</v>
      </c>
      <c r="BY729" s="664">
        <f t="shared" si="309"/>
        <v>0</v>
      </c>
      <c r="BZ729" s="664">
        <f t="shared" si="309"/>
        <v>0</v>
      </c>
      <c r="CA729" s="664">
        <f t="shared" si="309"/>
        <v>0</v>
      </c>
    </row>
    <row r="730" spans="1:79" hidden="1" outlineLevel="1" x14ac:dyDescent="0.25">
      <c r="A730" s="658"/>
      <c r="E730" s="570" t="s">
        <v>1328</v>
      </c>
      <c r="F730" s="658" t="s">
        <v>589</v>
      </c>
      <c r="G730" s="719"/>
      <c r="H730" s="719">
        <v>8.8334996973265927</v>
      </c>
      <c r="I730" s="719">
        <v>1.6231803078904836</v>
      </c>
      <c r="J730" s="719">
        <v>17.302481279370031</v>
      </c>
      <c r="K730" s="719">
        <v>3.2975361360764506</v>
      </c>
      <c r="L730" s="719">
        <v>27.303806491878245</v>
      </c>
      <c r="M730" s="719">
        <v>0.77826487001260092</v>
      </c>
      <c r="N730" s="719">
        <v>6.5434631486602299</v>
      </c>
      <c r="O730" s="719">
        <v>7.1749156084777184</v>
      </c>
      <c r="P730" s="716">
        <v>41.622404873219068</v>
      </c>
      <c r="Q730" s="716"/>
      <c r="R730" s="716"/>
      <c r="S730" s="667">
        <v>0</v>
      </c>
      <c r="T730" s="667">
        <v>0</v>
      </c>
      <c r="U730" s="667">
        <v>0</v>
      </c>
      <c r="V730" s="667">
        <v>0</v>
      </c>
      <c r="W730" s="667">
        <v>0</v>
      </c>
      <c r="X730" s="667">
        <v>25.51</v>
      </c>
      <c r="Y730" s="667">
        <v>26.99</v>
      </c>
      <c r="Z730" s="667">
        <v>0</v>
      </c>
      <c r="AA730" s="667">
        <v>0</v>
      </c>
      <c r="AB730" s="667">
        <v>0</v>
      </c>
      <c r="AC730" s="665">
        <v>0</v>
      </c>
      <c r="AD730" s="665">
        <v>0</v>
      </c>
      <c r="AE730" s="667">
        <v>25.49</v>
      </c>
      <c r="AF730" s="719">
        <v>25.94</v>
      </c>
      <c r="AG730" s="665">
        <v>0</v>
      </c>
      <c r="AH730" s="716"/>
      <c r="AI730" s="716"/>
      <c r="AJ730" s="716"/>
      <c r="AK730" s="716"/>
      <c r="AL730" s="716"/>
      <c r="AM730" s="716"/>
      <c r="AN730" s="716"/>
      <c r="AO730" s="716"/>
      <c r="AP730" s="716"/>
      <c r="AQ730" s="716"/>
      <c r="AR730" s="716"/>
      <c r="AS730" s="716"/>
      <c r="AT730" s="716"/>
      <c r="AU730" s="716"/>
      <c r="AV730" s="716"/>
      <c r="AW730" s="716"/>
      <c r="AX730" s="716"/>
      <c r="AY730" s="716"/>
      <c r="AZ730" s="716"/>
      <c r="BA730" s="716"/>
      <c r="BB730" s="716"/>
      <c r="BC730" s="716"/>
      <c r="BD730" s="716"/>
      <c r="BE730" s="716"/>
      <c r="BF730" s="716"/>
      <c r="BG730" s="716"/>
      <c r="BH730" s="716"/>
      <c r="BI730" s="716"/>
      <c r="BJ730" s="716"/>
      <c r="BK730" s="716"/>
      <c r="BL730" s="716"/>
      <c r="BM730" s="716"/>
      <c r="BN730" s="716"/>
      <c r="BO730" s="716"/>
      <c r="BP730" s="716"/>
      <c r="BQ730" s="716"/>
      <c r="BR730" s="716"/>
      <c r="BS730" s="716"/>
      <c r="BT730" s="716"/>
      <c r="BU730" s="716"/>
      <c r="BV730" s="716"/>
      <c r="BW730" s="716"/>
      <c r="BX730" s="716"/>
      <c r="BY730" s="716"/>
      <c r="BZ730" s="716"/>
      <c r="CA730" s="716"/>
    </row>
    <row r="731" spans="1:79" hidden="1" outlineLevel="1" x14ac:dyDescent="0.25">
      <c r="A731" s="655"/>
      <c r="B731" s="570"/>
      <c r="C731" s="570"/>
      <c r="D731" s="570"/>
      <c r="E731" s="570" t="s">
        <v>1329</v>
      </c>
      <c r="F731" s="655" t="s">
        <v>870</v>
      </c>
      <c r="G731" s="719"/>
      <c r="H731" s="719"/>
      <c r="I731" s="719"/>
      <c r="J731" s="719"/>
      <c r="K731" s="719"/>
      <c r="L731" s="719"/>
      <c r="M731" s="719"/>
      <c r="N731" s="719"/>
      <c r="O731" s="719"/>
      <c r="P731" s="716"/>
      <c r="Q731" s="716"/>
      <c r="R731" s="716"/>
      <c r="S731" s="667">
        <v>0</v>
      </c>
      <c r="T731" s="667">
        <v>0</v>
      </c>
      <c r="U731" s="667">
        <v>0</v>
      </c>
      <c r="V731" s="667">
        <v>0</v>
      </c>
      <c r="W731" s="667">
        <v>0</v>
      </c>
      <c r="X731" s="667">
        <v>0</v>
      </c>
      <c r="Y731" s="667">
        <v>0</v>
      </c>
      <c r="Z731" s="667">
        <v>0</v>
      </c>
      <c r="AA731" s="667">
        <v>0</v>
      </c>
      <c r="AB731" s="667">
        <v>0</v>
      </c>
      <c r="AC731" s="665">
        <v>0</v>
      </c>
      <c r="AD731" s="665">
        <v>0</v>
      </c>
      <c r="AE731" s="667">
        <v>0</v>
      </c>
      <c r="AF731" s="719">
        <v>0</v>
      </c>
      <c r="AG731" s="665">
        <v>0</v>
      </c>
      <c r="AH731" s="716"/>
      <c r="AI731" s="716"/>
      <c r="AJ731" s="716"/>
      <c r="AK731" s="716"/>
      <c r="AL731" s="716"/>
      <c r="AM731" s="716"/>
      <c r="AN731" s="716"/>
      <c r="AO731" s="716"/>
      <c r="AP731" s="716"/>
      <c r="AQ731" s="716"/>
      <c r="AR731" s="716"/>
      <c r="AS731" s="716"/>
      <c r="AT731" s="716"/>
      <c r="AU731" s="716"/>
      <c r="AV731" s="716"/>
      <c r="AW731" s="716"/>
      <c r="AX731" s="716"/>
      <c r="AY731" s="716"/>
      <c r="AZ731" s="716"/>
      <c r="BA731" s="716"/>
      <c r="BB731" s="716"/>
      <c r="BC731" s="716"/>
      <c r="BD731" s="716"/>
      <c r="BE731" s="716"/>
      <c r="BF731" s="716"/>
      <c r="BG731" s="716"/>
      <c r="BH731" s="716"/>
      <c r="BI731" s="716"/>
      <c r="BJ731" s="716"/>
      <c r="BK731" s="716"/>
      <c r="BL731" s="716"/>
      <c r="BM731" s="716"/>
      <c r="BN731" s="716"/>
      <c r="BO731" s="716"/>
      <c r="BP731" s="716"/>
      <c r="BQ731" s="716"/>
      <c r="BR731" s="716"/>
      <c r="BS731" s="716"/>
      <c r="BT731" s="716"/>
      <c r="BU731" s="716"/>
      <c r="BV731" s="716"/>
      <c r="BW731" s="716"/>
      <c r="BX731" s="716"/>
      <c r="BY731" s="716"/>
      <c r="BZ731" s="716"/>
      <c r="CA731" s="716"/>
    </row>
    <row r="732" spans="1:79" s="700" customFormat="1" hidden="1" outlineLevel="1" x14ac:dyDescent="0.25">
      <c r="A732" s="695"/>
      <c r="E732" s="570" t="s">
        <v>1330</v>
      </c>
      <c r="F732" s="695" t="s">
        <v>590</v>
      </c>
      <c r="G732" s="733"/>
      <c r="H732" s="733"/>
      <c r="I732" s="733"/>
      <c r="J732" s="733"/>
      <c r="K732" s="733"/>
      <c r="L732" s="733"/>
      <c r="M732" s="733"/>
      <c r="N732" s="733"/>
      <c r="O732" s="733"/>
      <c r="P732" s="734"/>
      <c r="Q732" s="734"/>
      <c r="R732" s="734"/>
      <c r="S732" s="697"/>
      <c r="T732" s="697"/>
      <c r="U732" s="697"/>
      <c r="V732" s="697"/>
      <c r="W732" s="697"/>
      <c r="X732" s="697"/>
      <c r="Y732" s="697"/>
      <c r="Z732" s="697"/>
      <c r="AA732" s="697"/>
      <c r="AB732" s="697"/>
      <c r="AC732" s="696"/>
      <c r="AD732" s="696"/>
      <c r="AE732" s="697"/>
      <c r="AF732" s="733"/>
      <c r="AG732" s="696"/>
      <c r="AH732" s="734"/>
      <c r="AI732" s="734"/>
      <c r="AJ732" s="734"/>
      <c r="AK732" s="734"/>
      <c r="AL732" s="734"/>
      <c r="AM732" s="734"/>
      <c r="AN732" s="734"/>
      <c r="AO732" s="734"/>
      <c r="AP732" s="734"/>
      <c r="AQ732" s="734"/>
      <c r="AR732" s="734"/>
      <c r="AS732" s="734"/>
      <c r="AT732" s="734"/>
      <c r="AU732" s="734"/>
      <c r="AV732" s="734"/>
      <c r="AW732" s="734"/>
      <c r="AX732" s="734"/>
      <c r="AY732" s="734"/>
      <c r="AZ732" s="734"/>
      <c r="BA732" s="734"/>
      <c r="BB732" s="734"/>
      <c r="BC732" s="734"/>
      <c r="BD732" s="734"/>
      <c r="BE732" s="734"/>
      <c r="BF732" s="734"/>
      <c r="BG732" s="734"/>
      <c r="BH732" s="734"/>
      <c r="BI732" s="734"/>
      <c r="BJ732" s="734"/>
      <c r="BK732" s="734"/>
      <c r="BL732" s="734"/>
      <c r="BM732" s="734"/>
      <c r="BN732" s="734"/>
      <c r="BO732" s="734"/>
      <c r="BP732" s="734"/>
      <c r="BQ732" s="734"/>
      <c r="BR732" s="734"/>
      <c r="BS732" s="734"/>
      <c r="BT732" s="734"/>
      <c r="BU732" s="734"/>
      <c r="BV732" s="734"/>
      <c r="BW732" s="734"/>
      <c r="BX732" s="734"/>
      <c r="BY732" s="734"/>
      <c r="BZ732" s="734"/>
      <c r="CA732" s="734"/>
    </row>
    <row r="733" spans="1:79" hidden="1" outlineLevel="1" x14ac:dyDescent="0.25">
      <c r="A733" s="691"/>
      <c r="B733" s="693"/>
      <c r="C733" s="693"/>
      <c r="D733" s="693"/>
      <c r="E733" s="570" t="s">
        <v>645</v>
      </c>
      <c r="F733" s="691" t="s">
        <v>645</v>
      </c>
      <c r="G733" s="692"/>
      <c r="H733" s="692"/>
      <c r="I733" s="692"/>
      <c r="J733" s="692"/>
      <c r="K733" s="692"/>
      <c r="L733" s="692"/>
      <c r="M733" s="692"/>
      <c r="N733" s="692"/>
      <c r="O733" s="692"/>
      <c r="P733" s="692"/>
      <c r="Q733" s="692"/>
      <c r="R733" s="692"/>
      <c r="S733" s="692"/>
      <c r="T733" s="692"/>
      <c r="U733" s="692"/>
      <c r="V733" s="692"/>
      <c r="W733" s="692"/>
      <c r="X733" s="692"/>
      <c r="Y733" s="692"/>
      <c r="Z733" s="692"/>
      <c r="AA733" s="692"/>
      <c r="AB733" s="692"/>
      <c r="AC733" s="692"/>
      <c r="AD733" s="692"/>
      <c r="AE733" s="692"/>
      <c r="AF733" s="692"/>
      <c r="AG733" s="692"/>
      <c r="AH733" s="692"/>
      <c r="AI733" s="692"/>
      <c r="AJ733" s="692"/>
      <c r="AK733" s="692"/>
      <c r="AL733" s="692"/>
      <c r="AM733" s="692"/>
      <c r="AN733" s="692"/>
      <c r="AO733" s="692"/>
      <c r="AP733" s="692"/>
      <c r="AQ733" s="692"/>
      <c r="AR733" s="692"/>
      <c r="AS733" s="692"/>
      <c r="AT733" s="692"/>
      <c r="AU733" s="692"/>
      <c r="AV733" s="692"/>
      <c r="AW733" s="692"/>
      <c r="AX733" s="692"/>
      <c r="AY733" s="692"/>
      <c r="AZ733" s="692"/>
      <c r="BA733" s="692"/>
      <c r="BB733" s="692"/>
      <c r="BC733" s="692"/>
      <c r="BD733" s="692"/>
      <c r="BE733" s="692"/>
      <c r="BF733" s="692"/>
      <c r="BG733" s="692"/>
      <c r="BH733" s="692"/>
      <c r="BI733" s="692"/>
      <c r="BJ733" s="692"/>
      <c r="BK733" s="692"/>
      <c r="BL733" s="692"/>
      <c r="BM733" s="692"/>
      <c r="BN733" s="692"/>
      <c r="BO733" s="692"/>
      <c r="BP733" s="692"/>
      <c r="BQ733" s="692"/>
      <c r="BR733" s="692"/>
      <c r="BS733" s="692"/>
      <c r="BT733" s="692"/>
      <c r="BU733" s="692"/>
      <c r="BV733" s="692"/>
      <c r="BW733" s="692"/>
      <c r="BX733" s="692"/>
      <c r="BY733" s="692"/>
      <c r="BZ733" s="692"/>
      <c r="CA733" s="692"/>
    </row>
    <row r="734" spans="1:79" hidden="1" outlineLevel="1" x14ac:dyDescent="0.25">
      <c r="A734" s="656"/>
      <c r="B734" s="223"/>
      <c r="C734" s="223"/>
      <c r="D734" s="223"/>
      <c r="E734" s="570" t="s">
        <v>1330</v>
      </c>
      <c r="F734" s="656" t="s">
        <v>858</v>
      </c>
      <c r="G734" s="663"/>
      <c r="H734" s="663"/>
      <c r="I734" s="663"/>
      <c r="J734" s="663"/>
      <c r="K734" s="663"/>
      <c r="L734" s="663"/>
      <c r="M734" s="663"/>
      <c r="N734" s="663"/>
      <c r="O734" s="663"/>
      <c r="P734" s="663"/>
      <c r="Q734" s="663"/>
      <c r="R734" s="663"/>
      <c r="S734" s="663">
        <v>0</v>
      </c>
      <c r="T734" s="663">
        <v>0</v>
      </c>
      <c r="U734" s="663">
        <v>0</v>
      </c>
      <c r="V734" s="663">
        <v>0</v>
      </c>
      <c r="W734" s="663">
        <v>0</v>
      </c>
      <c r="X734" s="663">
        <v>0</v>
      </c>
      <c r="Y734" s="663">
        <v>0</v>
      </c>
      <c r="Z734" s="663">
        <v>0</v>
      </c>
      <c r="AA734" s="663">
        <v>0</v>
      </c>
      <c r="AB734" s="663">
        <v>0</v>
      </c>
      <c r="AC734" s="663">
        <v>0</v>
      </c>
      <c r="AD734" s="663">
        <v>0</v>
      </c>
      <c r="AE734" s="663">
        <v>0</v>
      </c>
      <c r="AF734" s="663">
        <v>0</v>
      </c>
      <c r="AG734" s="663">
        <v>0</v>
      </c>
      <c r="AH734" s="663"/>
      <c r="AI734" s="663"/>
      <c r="AJ734" s="663"/>
      <c r="AK734" s="663"/>
      <c r="AL734" s="663"/>
      <c r="AM734" s="663"/>
      <c r="AN734" s="663"/>
      <c r="AO734" s="663"/>
      <c r="AP734" s="663"/>
      <c r="AQ734" s="663"/>
      <c r="AR734" s="663"/>
      <c r="AS734" s="663"/>
      <c r="AT734" s="663"/>
      <c r="AU734" s="663"/>
      <c r="AV734" s="663"/>
      <c r="AW734" s="663"/>
      <c r="AX734" s="663"/>
      <c r="AY734" s="663"/>
      <c r="AZ734" s="663"/>
      <c r="BA734" s="663"/>
      <c r="BB734" s="663"/>
      <c r="BC734" s="663"/>
      <c r="BD734" s="663"/>
      <c r="BE734" s="663"/>
      <c r="BF734" s="663"/>
      <c r="BG734" s="663"/>
      <c r="BH734" s="663"/>
      <c r="BI734" s="663"/>
      <c r="BJ734" s="663"/>
      <c r="BK734" s="663"/>
      <c r="BL734" s="663"/>
      <c r="BM734" s="663"/>
      <c r="BN734" s="663"/>
      <c r="BO734" s="663"/>
      <c r="BP734" s="663"/>
      <c r="BQ734" s="663"/>
      <c r="BR734" s="663"/>
      <c r="BS734" s="663"/>
      <c r="BT734" s="663"/>
      <c r="BU734" s="663"/>
      <c r="BV734" s="663"/>
      <c r="BW734" s="663"/>
      <c r="BX734" s="663"/>
      <c r="BY734" s="663"/>
      <c r="BZ734" s="663"/>
      <c r="CA734" s="663"/>
    </row>
    <row r="735" spans="1:79" hidden="1" outlineLevel="1" x14ac:dyDescent="0.25">
      <c r="A735" s="656"/>
      <c r="E735" s="570" t="s">
        <v>645</v>
      </c>
      <c r="F735" s="656" t="s">
        <v>859</v>
      </c>
      <c r="G735" s="716"/>
      <c r="H735" s="716"/>
      <c r="I735" s="716"/>
      <c r="J735" s="716"/>
      <c r="K735" s="716"/>
      <c r="L735" s="716"/>
      <c r="M735" s="716"/>
      <c r="N735" s="716"/>
      <c r="O735" s="716"/>
      <c r="P735" s="716"/>
      <c r="Q735" s="716"/>
      <c r="R735" s="716"/>
      <c r="S735" s="663">
        <v>800</v>
      </c>
      <c r="T735" s="663">
        <v>0</v>
      </c>
      <c r="U735" s="663">
        <v>0</v>
      </c>
      <c r="V735" s="663">
        <v>48.41</v>
      </c>
      <c r="W735" s="663">
        <v>0</v>
      </c>
      <c r="X735" s="663">
        <v>0</v>
      </c>
      <c r="Y735" s="663">
        <v>0</v>
      </c>
      <c r="Z735" s="663">
        <v>0</v>
      </c>
      <c r="AA735" s="663">
        <v>0</v>
      </c>
      <c r="AB735" s="663">
        <v>0</v>
      </c>
      <c r="AC735" s="663">
        <v>0</v>
      </c>
      <c r="AD735" s="663">
        <v>0</v>
      </c>
      <c r="AE735" s="663">
        <v>0</v>
      </c>
      <c r="AF735" s="716">
        <v>0</v>
      </c>
      <c r="AG735" s="663">
        <v>0</v>
      </c>
      <c r="AH735" s="716"/>
      <c r="AI735" s="716"/>
      <c r="AJ735" s="716"/>
      <c r="AK735" s="716"/>
      <c r="AL735" s="716"/>
      <c r="AM735" s="716"/>
      <c r="AN735" s="716"/>
      <c r="AO735" s="716"/>
      <c r="AP735" s="716"/>
      <c r="AQ735" s="716"/>
      <c r="AR735" s="716"/>
      <c r="AS735" s="716"/>
      <c r="AT735" s="716"/>
      <c r="AU735" s="716"/>
      <c r="AV735" s="716"/>
      <c r="AW735" s="716"/>
      <c r="AX735" s="716"/>
      <c r="AY735" s="716"/>
      <c r="AZ735" s="716"/>
      <c r="BA735" s="716"/>
      <c r="BB735" s="716"/>
      <c r="BC735" s="716"/>
      <c r="BD735" s="716"/>
      <c r="BE735" s="716"/>
      <c r="BF735" s="716"/>
      <c r="BG735" s="716"/>
      <c r="BH735" s="716"/>
      <c r="BI735" s="716"/>
      <c r="BJ735" s="716"/>
      <c r="BK735" s="716"/>
      <c r="BL735" s="716"/>
      <c r="BM735" s="716"/>
      <c r="BN735" s="716"/>
      <c r="BO735" s="716"/>
      <c r="BP735" s="716"/>
      <c r="BQ735" s="716"/>
      <c r="BR735" s="716"/>
      <c r="BS735" s="716"/>
      <c r="BT735" s="716"/>
      <c r="BU735" s="716"/>
      <c r="BV735" s="716"/>
      <c r="BW735" s="716"/>
      <c r="BX735" s="716"/>
      <c r="BY735" s="716"/>
      <c r="BZ735" s="716"/>
      <c r="CA735" s="716"/>
    </row>
    <row r="736" spans="1:79" hidden="1" outlineLevel="1" x14ac:dyDescent="0.25">
      <c r="A736" s="657"/>
      <c r="B736" s="570"/>
      <c r="C736" s="570"/>
      <c r="D736" s="570"/>
      <c r="E736" s="570" t="s">
        <v>49</v>
      </c>
      <c r="F736" s="657" t="s">
        <v>860</v>
      </c>
      <c r="G736" s="664">
        <f>SUM(G734:G735)</f>
        <v>0</v>
      </c>
      <c r="H736" s="664">
        <f t="shared" ref="H736:BO736" si="310">SUM(H734:H735)</f>
        <v>0</v>
      </c>
      <c r="I736" s="664">
        <f t="shared" si="310"/>
        <v>0</v>
      </c>
      <c r="J736" s="664">
        <f t="shared" si="310"/>
        <v>0</v>
      </c>
      <c r="K736" s="664">
        <f t="shared" si="310"/>
        <v>0</v>
      </c>
      <c r="L736" s="664">
        <f t="shared" si="310"/>
        <v>0</v>
      </c>
      <c r="M736" s="664">
        <f t="shared" si="310"/>
        <v>0</v>
      </c>
      <c r="N736" s="664">
        <f t="shared" si="310"/>
        <v>0</v>
      </c>
      <c r="O736" s="664">
        <f t="shared" si="310"/>
        <v>0</v>
      </c>
      <c r="P736" s="664">
        <f t="shared" si="310"/>
        <v>0</v>
      </c>
      <c r="Q736" s="664">
        <f t="shared" si="310"/>
        <v>0</v>
      </c>
      <c r="R736" s="664">
        <f t="shared" si="310"/>
        <v>0</v>
      </c>
      <c r="S736" s="664">
        <f t="shared" ref="S736:AA736" si="311">ROUND(SUM(S733:S735),5)</f>
        <v>800</v>
      </c>
      <c r="T736" s="664">
        <f t="shared" si="311"/>
        <v>0</v>
      </c>
      <c r="U736" s="664">
        <f t="shared" si="311"/>
        <v>0</v>
      </c>
      <c r="V736" s="664">
        <f t="shared" si="311"/>
        <v>48.41</v>
      </c>
      <c r="W736" s="664">
        <f t="shared" si="311"/>
        <v>0</v>
      </c>
      <c r="X736" s="664">
        <f t="shared" si="311"/>
        <v>0</v>
      </c>
      <c r="Y736" s="664">
        <f t="shared" si="311"/>
        <v>0</v>
      </c>
      <c r="Z736" s="664">
        <f t="shared" si="311"/>
        <v>0</v>
      </c>
      <c r="AA736" s="664">
        <f t="shared" si="311"/>
        <v>0</v>
      </c>
      <c r="AB736" s="664">
        <f t="shared" ref="AB736:AG736" si="312">ROUND(SUM(AB733:AB735),5)</f>
        <v>0</v>
      </c>
      <c r="AC736" s="664">
        <f t="shared" si="312"/>
        <v>0</v>
      </c>
      <c r="AD736" s="664">
        <f t="shared" si="312"/>
        <v>0</v>
      </c>
      <c r="AE736" s="664">
        <f t="shared" si="312"/>
        <v>0</v>
      </c>
      <c r="AF736" s="664">
        <f t="shared" si="312"/>
        <v>0</v>
      </c>
      <c r="AG736" s="664">
        <f t="shared" si="312"/>
        <v>0</v>
      </c>
      <c r="AH736" s="664">
        <f t="shared" si="310"/>
        <v>0</v>
      </c>
      <c r="AI736" s="664">
        <f t="shared" si="310"/>
        <v>0</v>
      </c>
      <c r="AJ736" s="664">
        <f t="shared" si="310"/>
        <v>0</v>
      </c>
      <c r="AK736" s="664">
        <f t="shared" si="310"/>
        <v>0</v>
      </c>
      <c r="AL736" s="664">
        <f t="shared" si="310"/>
        <v>0</v>
      </c>
      <c r="AM736" s="664">
        <f t="shared" si="310"/>
        <v>0</v>
      </c>
      <c r="AN736" s="664">
        <f t="shared" si="310"/>
        <v>0</v>
      </c>
      <c r="AO736" s="664">
        <f t="shared" si="310"/>
        <v>0</v>
      </c>
      <c r="AP736" s="664">
        <f t="shared" si="310"/>
        <v>0</v>
      </c>
      <c r="AQ736" s="664">
        <f t="shared" si="310"/>
        <v>0</v>
      </c>
      <c r="AR736" s="664">
        <f t="shared" si="310"/>
        <v>0</v>
      </c>
      <c r="AS736" s="664">
        <f t="shared" si="310"/>
        <v>0</v>
      </c>
      <c r="AT736" s="664">
        <f t="shared" si="310"/>
        <v>0</v>
      </c>
      <c r="AU736" s="664">
        <f t="shared" si="310"/>
        <v>0</v>
      </c>
      <c r="AV736" s="664">
        <f t="shared" si="310"/>
        <v>0</v>
      </c>
      <c r="AW736" s="664">
        <f t="shared" si="310"/>
        <v>0</v>
      </c>
      <c r="AX736" s="664">
        <f t="shared" si="310"/>
        <v>0</v>
      </c>
      <c r="AY736" s="664">
        <f t="shared" si="310"/>
        <v>0</v>
      </c>
      <c r="AZ736" s="664">
        <f t="shared" si="310"/>
        <v>0</v>
      </c>
      <c r="BA736" s="664">
        <f t="shared" si="310"/>
        <v>0</v>
      </c>
      <c r="BB736" s="664">
        <f t="shared" si="310"/>
        <v>0</v>
      </c>
      <c r="BC736" s="664">
        <f t="shared" si="310"/>
        <v>0</v>
      </c>
      <c r="BD736" s="664">
        <f t="shared" si="310"/>
        <v>0</v>
      </c>
      <c r="BE736" s="664">
        <f t="shared" si="310"/>
        <v>0</v>
      </c>
      <c r="BF736" s="664">
        <f t="shared" si="310"/>
        <v>0</v>
      </c>
      <c r="BG736" s="664">
        <f t="shared" si="310"/>
        <v>0</v>
      </c>
      <c r="BH736" s="664">
        <f t="shared" si="310"/>
        <v>0</v>
      </c>
      <c r="BI736" s="664">
        <f t="shared" si="310"/>
        <v>0</v>
      </c>
      <c r="BJ736" s="664">
        <f t="shared" si="310"/>
        <v>0</v>
      </c>
      <c r="BK736" s="664">
        <f t="shared" si="310"/>
        <v>0</v>
      </c>
      <c r="BL736" s="664">
        <f t="shared" si="310"/>
        <v>0</v>
      </c>
      <c r="BM736" s="664">
        <f t="shared" si="310"/>
        <v>0</v>
      </c>
      <c r="BN736" s="664">
        <f t="shared" si="310"/>
        <v>0</v>
      </c>
      <c r="BO736" s="664">
        <f t="shared" si="310"/>
        <v>0</v>
      </c>
      <c r="BP736" s="664">
        <f t="shared" ref="BP736:CA736" si="313">SUM(BP734:BP735)</f>
        <v>0</v>
      </c>
      <c r="BQ736" s="664">
        <f t="shared" si="313"/>
        <v>0</v>
      </c>
      <c r="BR736" s="664">
        <f t="shared" si="313"/>
        <v>0</v>
      </c>
      <c r="BS736" s="664">
        <f t="shared" si="313"/>
        <v>0</v>
      </c>
      <c r="BT736" s="664">
        <f t="shared" si="313"/>
        <v>0</v>
      </c>
      <c r="BU736" s="664">
        <f t="shared" si="313"/>
        <v>0</v>
      </c>
      <c r="BV736" s="664">
        <f t="shared" si="313"/>
        <v>0</v>
      </c>
      <c r="BW736" s="664">
        <f t="shared" si="313"/>
        <v>0</v>
      </c>
      <c r="BX736" s="664">
        <f t="shared" si="313"/>
        <v>0</v>
      </c>
      <c r="BY736" s="664">
        <f t="shared" si="313"/>
        <v>0</v>
      </c>
      <c r="BZ736" s="664">
        <f t="shared" si="313"/>
        <v>0</v>
      </c>
      <c r="CA736" s="664">
        <f t="shared" si="313"/>
        <v>0</v>
      </c>
    </row>
    <row r="737" spans="1:79" s="740" customFormat="1" hidden="1" outlineLevel="1" x14ac:dyDescent="0.25">
      <c r="A737" s="656"/>
      <c r="B737" s="503"/>
      <c r="C737" s="503"/>
      <c r="D737" s="503"/>
      <c r="E737" s="570" t="s">
        <v>1330</v>
      </c>
      <c r="F737" s="656" t="s">
        <v>871</v>
      </c>
      <c r="G737" s="719"/>
      <c r="H737" s="719"/>
      <c r="I737" s="719"/>
      <c r="J737" s="719"/>
      <c r="K737" s="719"/>
      <c r="L737" s="719"/>
      <c r="M737" s="719"/>
      <c r="N737" s="719"/>
      <c r="O737" s="719"/>
      <c r="P737" s="716"/>
      <c r="Q737" s="716"/>
      <c r="R737" s="716"/>
      <c r="S737" s="671">
        <v>0</v>
      </c>
      <c r="T737" s="671">
        <v>0</v>
      </c>
      <c r="U737" s="671">
        <v>0</v>
      </c>
      <c r="V737" s="671">
        <v>0</v>
      </c>
      <c r="W737" s="671">
        <v>0</v>
      </c>
      <c r="X737" s="671">
        <v>0</v>
      </c>
      <c r="Y737" s="671">
        <v>0</v>
      </c>
      <c r="Z737" s="671">
        <v>0</v>
      </c>
      <c r="AA737" s="671">
        <v>0</v>
      </c>
      <c r="AB737" s="671">
        <v>0</v>
      </c>
      <c r="AC737" s="669">
        <v>0</v>
      </c>
      <c r="AD737" s="669">
        <v>0</v>
      </c>
      <c r="AE737" s="671">
        <v>0</v>
      </c>
      <c r="AF737" s="719">
        <v>0</v>
      </c>
      <c r="AG737" s="669">
        <v>0</v>
      </c>
      <c r="AH737" s="716"/>
      <c r="AI737" s="716"/>
      <c r="AJ737" s="716"/>
      <c r="AK737" s="716"/>
      <c r="AL737" s="716"/>
      <c r="AM737" s="716"/>
      <c r="AN737" s="716"/>
      <c r="AO737" s="716"/>
      <c r="AP737" s="716"/>
      <c r="AQ737" s="716"/>
      <c r="AR737" s="716"/>
      <c r="AS737" s="716"/>
      <c r="AT737" s="716"/>
      <c r="AU737" s="716"/>
      <c r="AV737" s="716"/>
      <c r="AW737" s="716"/>
      <c r="AX737" s="716"/>
      <c r="AY737" s="716"/>
      <c r="AZ737" s="716"/>
      <c r="BA737" s="716"/>
      <c r="BB737" s="716"/>
      <c r="BC737" s="716"/>
      <c r="BD737" s="716"/>
      <c r="BE737" s="716"/>
      <c r="BF737" s="716"/>
      <c r="BG737" s="716"/>
      <c r="BH737" s="716"/>
      <c r="BI737" s="716"/>
      <c r="BJ737" s="716"/>
      <c r="BK737" s="716"/>
      <c r="BL737" s="716"/>
      <c r="BM737" s="716"/>
      <c r="BN737" s="716"/>
      <c r="BO737" s="716"/>
      <c r="BP737" s="716"/>
      <c r="BQ737" s="716"/>
      <c r="BR737" s="716"/>
      <c r="BS737" s="716"/>
      <c r="BT737" s="716"/>
      <c r="BU737" s="716"/>
      <c r="BV737" s="716"/>
      <c r="BW737" s="716"/>
      <c r="BX737" s="716"/>
      <c r="BY737" s="716"/>
      <c r="BZ737" s="716"/>
      <c r="CA737" s="716"/>
    </row>
    <row r="738" spans="1:79" s="740" customFormat="1" hidden="1" outlineLevel="1" x14ac:dyDescent="0.25">
      <c r="A738" s="656"/>
      <c r="B738" s="503"/>
      <c r="C738" s="503"/>
      <c r="D738" s="503"/>
      <c r="E738" s="570" t="s">
        <v>1076</v>
      </c>
      <c r="F738" s="656" t="s">
        <v>872</v>
      </c>
      <c r="G738" s="719"/>
      <c r="H738" s="719"/>
      <c r="I738" s="719"/>
      <c r="J738" s="719"/>
      <c r="K738" s="719"/>
      <c r="L738" s="719"/>
      <c r="M738" s="719"/>
      <c r="N738" s="719"/>
      <c r="O738" s="719"/>
      <c r="P738" s="716"/>
      <c r="Q738" s="716"/>
      <c r="R738" s="716"/>
      <c r="S738" s="671">
        <v>0</v>
      </c>
      <c r="T738" s="671">
        <v>0</v>
      </c>
      <c r="U738" s="671">
        <v>0</v>
      </c>
      <c r="V738" s="671">
        <v>0</v>
      </c>
      <c r="W738" s="671">
        <v>0</v>
      </c>
      <c r="X738" s="671">
        <v>0</v>
      </c>
      <c r="Y738" s="671">
        <v>0</v>
      </c>
      <c r="Z738" s="671">
        <v>0</v>
      </c>
      <c r="AA738" s="671">
        <v>0</v>
      </c>
      <c r="AB738" s="671">
        <v>0</v>
      </c>
      <c r="AC738" s="669">
        <v>0</v>
      </c>
      <c r="AD738" s="669">
        <v>0</v>
      </c>
      <c r="AE738" s="671">
        <v>0</v>
      </c>
      <c r="AF738" s="719">
        <v>0</v>
      </c>
      <c r="AG738" s="669">
        <v>0</v>
      </c>
      <c r="AH738" s="716"/>
      <c r="AI738" s="716"/>
      <c r="AJ738" s="716"/>
      <c r="AK738" s="716"/>
      <c r="AL738" s="716"/>
      <c r="AM738" s="716"/>
      <c r="AN738" s="716"/>
      <c r="AO738" s="716"/>
      <c r="AP738" s="716"/>
      <c r="AQ738" s="716"/>
      <c r="AR738" s="716"/>
      <c r="AS738" s="716"/>
      <c r="AT738" s="716"/>
      <c r="AU738" s="716"/>
      <c r="AV738" s="716"/>
      <c r="AW738" s="716"/>
      <c r="AX738" s="716"/>
      <c r="AY738" s="716"/>
      <c r="AZ738" s="716"/>
      <c r="BA738" s="716"/>
      <c r="BB738" s="716"/>
      <c r="BC738" s="716"/>
      <c r="BD738" s="716"/>
      <c r="BE738" s="716"/>
      <c r="BF738" s="716"/>
      <c r="BG738" s="716"/>
      <c r="BH738" s="716"/>
      <c r="BI738" s="716"/>
      <c r="BJ738" s="716"/>
      <c r="BK738" s="716"/>
      <c r="BL738" s="716"/>
      <c r="BM738" s="716"/>
      <c r="BN738" s="716"/>
      <c r="BO738" s="716"/>
      <c r="BP738" s="716"/>
      <c r="BQ738" s="716"/>
      <c r="BR738" s="716"/>
      <c r="BS738" s="716"/>
      <c r="BT738" s="716"/>
      <c r="BU738" s="716"/>
      <c r="BV738" s="716"/>
      <c r="BW738" s="716"/>
      <c r="BX738" s="716"/>
      <c r="BY738" s="716"/>
      <c r="BZ738" s="716"/>
      <c r="CA738" s="716"/>
    </row>
    <row r="739" spans="1:79" s="740" customFormat="1" hidden="1" outlineLevel="1" x14ac:dyDescent="0.25">
      <c r="A739" s="656"/>
      <c r="B739" s="503"/>
      <c r="C739" s="503"/>
      <c r="D739" s="503"/>
      <c r="E739" s="570" t="s">
        <v>1331</v>
      </c>
      <c r="F739" s="656" t="s">
        <v>873</v>
      </c>
      <c r="G739" s="719"/>
      <c r="H739" s="719"/>
      <c r="I739" s="719"/>
      <c r="J739" s="719"/>
      <c r="K739" s="719"/>
      <c r="L739" s="719"/>
      <c r="M739" s="719"/>
      <c r="N739" s="719"/>
      <c r="O739" s="719"/>
      <c r="P739" s="716"/>
      <c r="Q739" s="716"/>
      <c r="R739" s="716"/>
      <c r="S739" s="671">
        <v>0</v>
      </c>
      <c r="T739" s="671">
        <v>0</v>
      </c>
      <c r="U739" s="671">
        <v>0</v>
      </c>
      <c r="V739" s="671">
        <v>0</v>
      </c>
      <c r="W739" s="671">
        <v>0</v>
      </c>
      <c r="X739" s="671">
        <v>0</v>
      </c>
      <c r="Y739" s="671">
        <v>0</v>
      </c>
      <c r="Z739" s="671">
        <v>0</v>
      </c>
      <c r="AA739" s="671">
        <v>0</v>
      </c>
      <c r="AB739" s="671">
        <v>0</v>
      </c>
      <c r="AC739" s="669">
        <v>0</v>
      </c>
      <c r="AD739" s="669">
        <v>0</v>
      </c>
      <c r="AE739" s="671">
        <v>0</v>
      </c>
      <c r="AF739" s="719">
        <v>0</v>
      </c>
      <c r="AG739" s="669">
        <v>0</v>
      </c>
      <c r="AH739" s="716"/>
      <c r="AI739" s="716"/>
      <c r="AJ739" s="716"/>
      <c r="AK739" s="716"/>
      <c r="AL739" s="716"/>
      <c r="AM739" s="716"/>
      <c r="AN739" s="716"/>
      <c r="AO739" s="716"/>
      <c r="AP739" s="716"/>
      <c r="AQ739" s="716"/>
      <c r="AR739" s="716"/>
      <c r="AS739" s="716"/>
      <c r="AT739" s="716"/>
      <c r="AU739" s="716"/>
      <c r="AV739" s="716"/>
      <c r="AW739" s="716"/>
      <c r="AX739" s="716"/>
      <c r="AY739" s="716"/>
      <c r="AZ739" s="716"/>
      <c r="BA739" s="716"/>
      <c r="BB739" s="716"/>
      <c r="BC739" s="716"/>
      <c r="BD739" s="716"/>
      <c r="BE739" s="716"/>
      <c r="BF739" s="716"/>
      <c r="BG739" s="716"/>
      <c r="BH739" s="716"/>
      <c r="BI739" s="716"/>
      <c r="BJ739" s="716"/>
      <c r="BK739" s="716"/>
      <c r="BL739" s="716"/>
      <c r="BM739" s="716"/>
      <c r="BN739" s="716"/>
      <c r="BO739" s="716"/>
      <c r="BP739" s="716"/>
      <c r="BQ739" s="716"/>
      <c r="BR739" s="716"/>
      <c r="BS739" s="716"/>
      <c r="BT739" s="716"/>
      <c r="BU739" s="716"/>
      <c r="BV739" s="716"/>
      <c r="BW739" s="716"/>
      <c r="BX739" s="716"/>
      <c r="BY739" s="716"/>
      <c r="BZ739" s="716"/>
      <c r="CA739" s="716"/>
    </row>
    <row r="740" spans="1:79" s="451" customFormat="1" hidden="1" outlineLevel="1" x14ac:dyDescent="0.25">
      <c r="A740" s="656"/>
      <c r="B740" s="79"/>
      <c r="C740" s="79"/>
      <c r="D740" s="79"/>
      <c r="E740" s="570" t="s">
        <v>1357</v>
      </c>
      <c r="F740" s="656" t="s">
        <v>605</v>
      </c>
      <c r="G740" s="719"/>
      <c r="H740" s="719"/>
      <c r="I740" s="719"/>
      <c r="J740" s="719"/>
      <c r="K740" s="719"/>
      <c r="L740" s="719"/>
      <c r="M740" s="719"/>
      <c r="N740" s="719"/>
      <c r="O740" s="719"/>
      <c r="P740" s="716"/>
      <c r="Q740" s="716"/>
      <c r="R740" s="716"/>
      <c r="S740" s="667">
        <v>657.92</v>
      </c>
      <c r="T740" s="667">
        <v>107.98</v>
      </c>
      <c r="U740" s="667">
        <v>526.71</v>
      </c>
      <c r="V740" s="667">
        <v>163.81</v>
      </c>
      <c r="W740" s="667">
        <v>13.68</v>
      </c>
      <c r="X740" s="667">
        <v>987.99</v>
      </c>
      <c r="Y740" s="667">
        <v>861.5</v>
      </c>
      <c r="Z740" s="667">
        <v>473.24</v>
      </c>
      <c r="AA740" s="667">
        <v>643.41999999999996</v>
      </c>
      <c r="AB740" s="667">
        <v>1550.29</v>
      </c>
      <c r="AC740" s="673">
        <v>-9.2799999999999994</v>
      </c>
      <c r="AD740" s="673">
        <v>6851.15</v>
      </c>
      <c r="AE740" s="667">
        <v>2927.58</v>
      </c>
      <c r="AF740" s="719">
        <v>407.91</v>
      </c>
      <c r="AG740" s="673">
        <v>100.73</v>
      </c>
      <c r="AH740" s="716"/>
      <c r="AI740" s="716"/>
      <c r="AJ740" s="716"/>
      <c r="AK740" s="716"/>
      <c r="AL740" s="716"/>
      <c r="AM740" s="716"/>
      <c r="AN740" s="716"/>
      <c r="AO740" s="716"/>
      <c r="AP740" s="716"/>
      <c r="AQ740" s="716"/>
      <c r="AR740" s="716"/>
      <c r="AS740" s="716"/>
      <c r="AT740" s="716"/>
      <c r="AU740" s="716"/>
      <c r="AV740" s="716"/>
      <c r="AW740" s="716"/>
      <c r="AX740" s="716"/>
      <c r="AY740" s="716"/>
      <c r="AZ740" s="716"/>
      <c r="BA740" s="716"/>
      <c r="BB740" s="716"/>
      <c r="BC740" s="716"/>
      <c r="BD740" s="716"/>
      <c r="BE740" s="716"/>
      <c r="BF740" s="716"/>
      <c r="BG740" s="716"/>
      <c r="BH740" s="716"/>
      <c r="BI740" s="716"/>
      <c r="BJ740" s="716"/>
      <c r="BK740" s="716"/>
      <c r="BL740" s="716"/>
      <c r="BM740" s="716"/>
      <c r="BN740" s="716"/>
      <c r="BO740" s="716"/>
      <c r="BP740" s="716"/>
      <c r="BQ740" s="716"/>
      <c r="BR740" s="716"/>
      <c r="BS740" s="716"/>
      <c r="BT740" s="716"/>
      <c r="BU740" s="716"/>
      <c r="BV740" s="716"/>
      <c r="BW740" s="716"/>
      <c r="BX740" s="716"/>
      <c r="BY740" s="716"/>
      <c r="BZ740" s="716"/>
      <c r="CA740" s="716"/>
    </row>
    <row r="741" spans="1:79" s="451" customFormat="1" hidden="1" outlineLevel="1" x14ac:dyDescent="0.25">
      <c r="A741" s="656"/>
      <c r="B741" s="79"/>
      <c r="C741" s="79"/>
      <c r="D741" s="79"/>
      <c r="E741" s="570" t="s">
        <v>645</v>
      </c>
      <c r="F741" s="656" t="s">
        <v>606</v>
      </c>
      <c r="G741" s="719"/>
      <c r="H741" s="719"/>
      <c r="I741" s="719"/>
      <c r="J741" s="719"/>
      <c r="K741" s="719"/>
      <c r="L741" s="719"/>
      <c r="M741" s="719"/>
      <c r="N741" s="719"/>
      <c r="O741" s="719"/>
      <c r="P741" s="716"/>
      <c r="Q741" s="716"/>
      <c r="R741" s="716"/>
      <c r="S741" s="667">
        <v>0</v>
      </c>
      <c r="T741" s="667">
        <v>190.83</v>
      </c>
      <c r="U741" s="667">
        <v>640.95000000000005</v>
      </c>
      <c r="V741" s="667">
        <v>303.72000000000003</v>
      </c>
      <c r="W741" s="667">
        <v>371.28</v>
      </c>
      <c r="X741" s="667">
        <v>735.88</v>
      </c>
      <c r="Y741" s="667">
        <v>698.59</v>
      </c>
      <c r="Z741" s="667">
        <v>574.75</v>
      </c>
      <c r="AA741" s="667">
        <v>2124.12</v>
      </c>
      <c r="AB741" s="667">
        <v>1163.27</v>
      </c>
      <c r="AC741" s="673">
        <v>5178.7</v>
      </c>
      <c r="AD741" s="673">
        <v>639.05999999999995</v>
      </c>
      <c r="AE741" s="667">
        <v>2991.23</v>
      </c>
      <c r="AF741" s="719">
        <v>2977.12</v>
      </c>
      <c r="AG741" s="673">
        <v>4081.68</v>
      </c>
      <c r="AH741" s="716"/>
      <c r="AI741" s="716"/>
      <c r="AJ741" s="716"/>
      <c r="AK741" s="716"/>
      <c r="AL741" s="716"/>
      <c r="AM741" s="716"/>
      <c r="AN741" s="716"/>
      <c r="AO741" s="716"/>
      <c r="AP741" s="716"/>
      <c r="AQ741" s="716"/>
      <c r="AR741" s="716"/>
      <c r="AS741" s="716"/>
      <c r="AT741" s="716"/>
      <c r="AU741" s="716"/>
      <c r="AV741" s="716"/>
      <c r="AW741" s="716"/>
      <c r="AX741" s="716"/>
      <c r="AY741" s="716"/>
      <c r="AZ741" s="716"/>
      <c r="BA741" s="716"/>
      <c r="BB741" s="716"/>
      <c r="BC741" s="716"/>
      <c r="BD741" s="716"/>
      <c r="BE741" s="716"/>
      <c r="BF741" s="716"/>
      <c r="BG741" s="716"/>
      <c r="BH741" s="716"/>
      <c r="BI741" s="716"/>
      <c r="BJ741" s="716"/>
      <c r="BK741" s="716"/>
      <c r="BL741" s="716"/>
      <c r="BM741" s="716"/>
      <c r="BN741" s="716"/>
      <c r="BO741" s="716"/>
      <c r="BP741" s="716"/>
      <c r="BQ741" s="716"/>
      <c r="BR741" s="716"/>
      <c r="BS741" s="716"/>
      <c r="BT741" s="716"/>
      <c r="BU741" s="716"/>
      <c r="BV741" s="716"/>
      <c r="BW741" s="716"/>
      <c r="BX741" s="716"/>
      <c r="BY741" s="716"/>
      <c r="BZ741" s="716"/>
      <c r="CA741" s="716"/>
    </row>
    <row r="742" spans="1:79" s="451" customFormat="1" hidden="1" outlineLevel="1" x14ac:dyDescent="0.25">
      <c r="A742" s="656"/>
      <c r="B742" s="79"/>
      <c r="C742" s="79"/>
      <c r="D742" s="79"/>
      <c r="E742" s="570" t="s">
        <v>1330</v>
      </c>
      <c r="F742" s="656" t="s">
        <v>607</v>
      </c>
      <c r="G742" s="719"/>
      <c r="H742" s="719"/>
      <c r="I742" s="719"/>
      <c r="J742" s="719"/>
      <c r="K742" s="719"/>
      <c r="L742" s="719"/>
      <c r="M742" s="719"/>
      <c r="N742" s="719"/>
      <c r="O742" s="719"/>
      <c r="P742" s="716"/>
      <c r="Q742" s="716"/>
      <c r="R742" s="716"/>
      <c r="S742" s="667">
        <v>0</v>
      </c>
      <c r="T742" s="667">
        <v>0</v>
      </c>
      <c r="U742" s="667">
        <v>40.32</v>
      </c>
      <c r="V742" s="667">
        <v>0</v>
      </c>
      <c r="W742" s="667">
        <v>39.99</v>
      </c>
      <c r="X742" s="667">
        <v>0</v>
      </c>
      <c r="Y742" s="667">
        <v>0</v>
      </c>
      <c r="Z742" s="667">
        <v>14.95</v>
      </c>
      <c r="AA742" s="667">
        <v>0</v>
      </c>
      <c r="AB742" s="667">
        <v>30</v>
      </c>
      <c r="AC742" s="673">
        <v>58.85</v>
      </c>
      <c r="AD742" s="673">
        <v>0</v>
      </c>
      <c r="AE742" s="667">
        <v>0</v>
      </c>
      <c r="AF742" s="719">
        <v>157.31</v>
      </c>
      <c r="AG742" s="673">
        <v>237.88</v>
      </c>
      <c r="AH742" s="716"/>
      <c r="AI742" s="716"/>
      <c r="AJ742" s="716"/>
      <c r="AK742" s="716"/>
      <c r="AL742" s="716"/>
      <c r="AM742" s="716"/>
      <c r="AN742" s="716"/>
      <c r="AO742" s="716"/>
      <c r="AP742" s="716"/>
      <c r="AQ742" s="716"/>
      <c r="AR742" s="716"/>
      <c r="AS742" s="716"/>
      <c r="AT742" s="716"/>
      <c r="AU742" s="716"/>
      <c r="AV742" s="716"/>
      <c r="AW742" s="716"/>
      <c r="AX742" s="716"/>
      <c r="AY742" s="716"/>
      <c r="AZ742" s="716"/>
      <c r="BA742" s="716"/>
      <c r="BB742" s="716"/>
      <c r="BC742" s="716"/>
      <c r="BD742" s="716"/>
      <c r="BE742" s="716"/>
      <c r="BF742" s="716"/>
      <c r="BG742" s="716"/>
      <c r="BH742" s="716"/>
      <c r="BI742" s="716"/>
      <c r="BJ742" s="716"/>
      <c r="BK742" s="716"/>
      <c r="BL742" s="716"/>
      <c r="BM742" s="716"/>
      <c r="BN742" s="716"/>
      <c r="BO742" s="716"/>
      <c r="BP742" s="716"/>
      <c r="BQ742" s="716"/>
      <c r="BR742" s="716"/>
      <c r="BS742" s="716"/>
      <c r="BT742" s="716"/>
      <c r="BU742" s="716"/>
      <c r="BV742" s="716"/>
      <c r="BW742" s="716"/>
      <c r="BX742" s="716"/>
      <c r="BY742" s="716"/>
      <c r="BZ742" s="716"/>
      <c r="CA742" s="716"/>
    </row>
    <row r="743" spans="1:79" s="451" customFormat="1" hidden="1" outlineLevel="1" x14ac:dyDescent="0.25">
      <c r="A743" s="656"/>
      <c r="B743" s="576"/>
      <c r="C743" s="576"/>
      <c r="D743" s="576"/>
      <c r="E743" s="570" t="s">
        <v>1330</v>
      </c>
      <c r="F743" s="656" t="s">
        <v>874</v>
      </c>
      <c r="G743" s="719">
        <v>5427.6807265344432</v>
      </c>
      <c r="H743" s="719">
        <v>5218.9756091181134</v>
      </c>
      <c r="I743" s="719">
        <v>1767.4228703676508</v>
      </c>
      <c r="J743" s="719">
        <v>3826.2188153946104</v>
      </c>
      <c r="K743" s="719">
        <v>3998.5476039058967</v>
      </c>
      <c r="L743" s="719">
        <v>4819.2724324341762</v>
      </c>
      <c r="M743" s="719">
        <v>4735.2149633160625</v>
      </c>
      <c r="N743" s="719">
        <v>4548.2761178546652</v>
      </c>
      <c r="O743" s="719">
        <v>4683.4704629434627</v>
      </c>
      <c r="P743" s="716">
        <v>5081.3954042265459</v>
      </c>
      <c r="Q743" s="716">
        <v>7474.3501257457829</v>
      </c>
      <c r="R743" s="716">
        <v>2644.8572067467021</v>
      </c>
      <c r="S743" s="676">
        <v>0</v>
      </c>
      <c r="T743" s="676">
        <v>0</v>
      </c>
      <c r="U743" s="676">
        <v>0</v>
      </c>
      <c r="V743" s="676">
        <v>0</v>
      </c>
      <c r="W743" s="676">
        <v>0</v>
      </c>
      <c r="X743" s="676">
        <v>0</v>
      </c>
      <c r="Y743" s="676">
        <v>0</v>
      </c>
      <c r="Z743" s="676">
        <v>0</v>
      </c>
      <c r="AA743" s="676">
        <v>0</v>
      </c>
      <c r="AB743" s="676">
        <v>0</v>
      </c>
      <c r="AC743" s="713">
        <v>0</v>
      </c>
      <c r="AD743" s="713">
        <v>0</v>
      </c>
      <c r="AE743" s="676">
        <v>0</v>
      </c>
      <c r="AF743" s="719">
        <v>0</v>
      </c>
      <c r="AG743" s="713">
        <v>0</v>
      </c>
      <c r="AH743" s="716"/>
      <c r="AI743" s="716"/>
      <c r="AJ743" s="716"/>
      <c r="AK743" s="716"/>
      <c r="AL743" s="716"/>
      <c r="AM743" s="716"/>
      <c r="AN743" s="716"/>
      <c r="AO743" s="716"/>
      <c r="AP743" s="716"/>
      <c r="AQ743" s="716"/>
      <c r="AR743" s="716"/>
      <c r="AS743" s="716"/>
      <c r="AT743" s="716"/>
      <c r="AU743" s="716"/>
      <c r="AV743" s="716"/>
      <c r="AW743" s="716"/>
      <c r="AX743" s="716"/>
      <c r="AY743" s="716"/>
      <c r="AZ743" s="716"/>
      <c r="BA743" s="716"/>
      <c r="BB743" s="716"/>
      <c r="BC743" s="716"/>
      <c r="BD743" s="716"/>
      <c r="BE743" s="716"/>
      <c r="BF743" s="716"/>
      <c r="BG743" s="716"/>
      <c r="BH743" s="716"/>
      <c r="BI743" s="716"/>
      <c r="BJ743" s="716"/>
      <c r="BK743" s="716"/>
      <c r="BL743" s="716"/>
      <c r="BM743" s="716"/>
      <c r="BN743" s="716"/>
      <c r="BO743" s="716"/>
      <c r="BP743" s="716"/>
      <c r="BQ743" s="716"/>
      <c r="BR743" s="716"/>
      <c r="BS743" s="716"/>
      <c r="BT743" s="716"/>
      <c r="BU743" s="716"/>
      <c r="BV743" s="716"/>
      <c r="BW743" s="716"/>
      <c r="BX743" s="716"/>
      <c r="BY743" s="716"/>
      <c r="BZ743" s="716"/>
      <c r="CA743" s="716"/>
    </row>
    <row r="744" spans="1:79" s="308" customFormat="1" hidden="1" outlineLevel="1" x14ac:dyDescent="0.25">
      <c r="A744" s="659"/>
      <c r="B744" s="29"/>
      <c r="C744" s="29"/>
      <c r="D744" s="29"/>
      <c r="E744" s="570" t="s">
        <v>49</v>
      </c>
      <c r="F744" s="659" t="s">
        <v>608</v>
      </c>
      <c r="G744" s="664">
        <f>SUM(G737:G743)</f>
        <v>5427.6807265344432</v>
      </c>
      <c r="H744" s="664">
        <f t="shared" ref="H744:BO744" si="314">SUM(H737:H743)</f>
        <v>5218.9756091181134</v>
      </c>
      <c r="I744" s="664">
        <f t="shared" si="314"/>
        <v>1767.4228703676508</v>
      </c>
      <c r="J744" s="664">
        <f t="shared" si="314"/>
        <v>3826.2188153946104</v>
      </c>
      <c r="K744" s="664">
        <f t="shared" si="314"/>
        <v>3998.5476039058967</v>
      </c>
      <c r="L744" s="664">
        <f t="shared" si="314"/>
        <v>4819.2724324341762</v>
      </c>
      <c r="M744" s="664">
        <f t="shared" si="314"/>
        <v>4735.2149633160625</v>
      </c>
      <c r="N744" s="664">
        <f t="shared" si="314"/>
        <v>4548.2761178546652</v>
      </c>
      <c r="O744" s="664">
        <f t="shared" si="314"/>
        <v>4683.4704629434627</v>
      </c>
      <c r="P744" s="664">
        <f t="shared" si="314"/>
        <v>5081.3954042265459</v>
      </c>
      <c r="Q744" s="664">
        <f t="shared" si="314"/>
        <v>7474.3501257457829</v>
      </c>
      <c r="R744" s="664">
        <f t="shared" si="314"/>
        <v>2644.8572067467021</v>
      </c>
      <c r="S744" s="679">
        <f t="shared" ref="S744:AA744" si="315">ROUND(SUM(S732:S743),5)</f>
        <v>2257.92</v>
      </c>
      <c r="T744" s="679">
        <f t="shared" si="315"/>
        <v>298.81</v>
      </c>
      <c r="U744" s="679">
        <f t="shared" si="315"/>
        <v>1207.98</v>
      </c>
      <c r="V744" s="679">
        <f t="shared" si="315"/>
        <v>564.35</v>
      </c>
      <c r="W744" s="679">
        <f t="shared" si="315"/>
        <v>424.95</v>
      </c>
      <c r="X744" s="679">
        <f t="shared" si="315"/>
        <v>1723.87</v>
      </c>
      <c r="Y744" s="679">
        <f t="shared" si="315"/>
        <v>1560.09</v>
      </c>
      <c r="Z744" s="679">
        <f t="shared" si="315"/>
        <v>1062.94</v>
      </c>
      <c r="AA744" s="679">
        <f t="shared" si="315"/>
        <v>2767.54</v>
      </c>
      <c r="AB744" s="679">
        <f>ROUND(SUM(AB732:AB743),5)</f>
        <v>2743.56</v>
      </c>
      <c r="AC744" s="679">
        <f>ROUND(SUM(AC732:AC743),5)</f>
        <v>5228.2700000000004</v>
      </c>
      <c r="AD744" s="679">
        <f>ROUND(SUM(AD732:AD743),5)</f>
        <v>7490.21</v>
      </c>
      <c r="AE744" s="679">
        <f>ROUND(AE732+SUM(AE736:AE743),5)</f>
        <v>5918.81</v>
      </c>
      <c r="AF744" s="664">
        <f>ROUND(AF732+SUM(AF736:AF743),5)</f>
        <v>3542.34</v>
      </c>
      <c r="AG744" s="679">
        <f>ROUND(AG732+SUM(AG736:AG743),5)</f>
        <v>4420.29</v>
      </c>
      <c r="AH744" s="664">
        <f t="shared" si="314"/>
        <v>0</v>
      </c>
      <c r="AI744" s="664">
        <f t="shared" si="314"/>
        <v>0</v>
      </c>
      <c r="AJ744" s="664">
        <f t="shared" si="314"/>
        <v>0</v>
      </c>
      <c r="AK744" s="664">
        <f t="shared" si="314"/>
        <v>0</v>
      </c>
      <c r="AL744" s="664">
        <f t="shared" si="314"/>
        <v>0</v>
      </c>
      <c r="AM744" s="664">
        <f t="shared" si="314"/>
        <v>0</v>
      </c>
      <c r="AN744" s="664">
        <f t="shared" si="314"/>
        <v>0</v>
      </c>
      <c r="AO744" s="664">
        <f t="shared" si="314"/>
        <v>0</v>
      </c>
      <c r="AP744" s="664">
        <f t="shared" si="314"/>
        <v>0</v>
      </c>
      <c r="AQ744" s="664">
        <f t="shared" si="314"/>
        <v>0</v>
      </c>
      <c r="AR744" s="664">
        <f t="shared" si="314"/>
        <v>0</v>
      </c>
      <c r="AS744" s="664">
        <f t="shared" si="314"/>
        <v>0</v>
      </c>
      <c r="AT744" s="664">
        <f t="shared" si="314"/>
        <v>0</v>
      </c>
      <c r="AU744" s="664">
        <f t="shared" si="314"/>
        <v>0</v>
      </c>
      <c r="AV744" s="664">
        <f t="shared" si="314"/>
        <v>0</v>
      </c>
      <c r="AW744" s="664">
        <f t="shared" si="314"/>
        <v>0</v>
      </c>
      <c r="AX744" s="664">
        <f t="shared" si="314"/>
        <v>0</v>
      </c>
      <c r="AY744" s="664">
        <f t="shared" si="314"/>
        <v>0</v>
      </c>
      <c r="AZ744" s="664">
        <f t="shared" si="314"/>
        <v>0</v>
      </c>
      <c r="BA744" s="664">
        <f t="shared" si="314"/>
        <v>0</v>
      </c>
      <c r="BB744" s="664">
        <f t="shared" si="314"/>
        <v>0</v>
      </c>
      <c r="BC744" s="664">
        <f t="shared" si="314"/>
        <v>0</v>
      </c>
      <c r="BD744" s="664">
        <f t="shared" si="314"/>
        <v>0</v>
      </c>
      <c r="BE744" s="664">
        <f t="shared" si="314"/>
        <v>0</v>
      </c>
      <c r="BF744" s="664">
        <f t="shared" si="314"/>
        <v>0</v>
      </c>
      <c r="BG744" s="664">
        <f t="shared" si="314"/>
        <v>0</v>
      </c>
      <c r="BH744" s="664">
        <f t="shared" si="314"/>
        <v>0</v>
      </c>
      <c r="BI744" s="664">
        <f t="shared" si="314"/>
        <v>0</v>
      </c>
      <c r="BJ744" s="664">
        <f t="shared" si="314"/>
        <v>0</v>
      </c>
      <c r="BK744" s="664">
        <f t="shared" si="314"/>
        <v>0</v>
      </c>
      <c r="BL744" s="664">
        <f t="shared" si="314"/>
        <v>0</v>
      </c>
      <c r="BM744" s="664">
        <f t="shared" si="314"/>
        <v>0</v>
      </c>
      <c r="BN744" s="664">
        <f t="shared" si="314"/>
        <v>0</v>
      </c>
      <c r="BO744" s="664">
        <f t="shared" si="314"/>
        <v>0</v>
      </c>
      <c r="BP744" s="664">
        <f t="shared" ref="BP744:CA744" si="316">SUM(BP737:BP743)</f>
        <v>0</v>
      </c>
      <c r="BQ744" s="664">
        <f t="shared" si="316"/>
        <v>0</v>
      </c>
      <c r="BR744" s="664">
        <f t="shared" si="316"/>
        <v>0</v>
      </c>
      <c r="BS744" s="664">
        <f t="shared" si="316"/>
        <v>0</v>
      </c>
      <c r="BT744" s="664">
        <f t="shared" si="316"/>
        <v>0</v>
      </c>
      <c r="BU744" s="664">
        <f t="shared" si="316"/>
        <v>0</v>
      </c>
      <c r="BV744" s="664">
        <f t="shared" si="316"/>
        <v>0</v>
      </c>
      <c r="BW744" s="664">
        <f t="shared" si="316"/>
        <v>0</v>
      </c>
      <c r="BX744" s="664">
        <f t="shared" si="316"/>
        <v>0</v>
      </c>
      <c r="BY744" s="664">
        <f t="shared" si="316"/>
        <v>0</v>
      </c>
      <c r="BZ744" s="664">
        <f t="shared" si="316"/>
        <v>0</v>
      </c>
      <c r="CA744" s="664">
        <f t="shared" si="316"/>
        <v>0</v>
      </c>
    </row>
    <row r="745" spans="1:79" s="308" customFormat="1" hidden="1" outlineLevel="1" x14ac:dyDescent="0.25">
      <c r="A745" s="655"/>
      <c r="B745" s="571"/>
      <c r="C745" s="571"/>
      <c r="D745" s="571"/>
      <c r="E745" s="570" t="s">
        <v>1325</v>
      </c>
      <c r="F745" s="655" t="s">
        <v>875</v>
      </c>
      <c r="G745" s="719"/>
      <c r="H745" s="719"/>
      <c r="I745" s="719"/>
      <c r="J745" s="719"/>
      <c r="K745" s="719"/>
      <c r="L745" s="719"/>
      <c r="M745" s="719"/>
      <c r="N745" s="719"/>
      <c r="O745" s="719"/>
      <c r="P745" s="716"/>
      <c r="Q745" s="716"/>
      <c r="R745" s="716"/>
      <c r="S745" s="684">
        <v>0</v>
      </c>
      <c r="T745" s="684">
        <v>0</v>
      </c>
      <c r="U745" s="684">
        <v>0</v>
      </c>
      <c r="V745" s="684">
        <v>0</v>
      </c>
      <c r="W745" s="684">
        <v>0</v>
      </c>
      <c r="X745" s="684">
        <v>0</v>
      </c>
      <c r="Y745" s="684">
        <v>0</v>
      </c>
      <c r="Z745" s="684">
        <v>0</v>
      </c>
      <c r="AA745" s="684">
        <v>0</v>
      </c>
      <c r="AB745" s="684">
        <v>0</v>
      </c>
      <c r="AC745" s="681">
        <v>0</v>
      </c>
      <c r="AD745" s="681">
        <v>0</v>
      </c>
      <c r="AE745" s="684">
        <v>0</v>
      </c>
      <c r="AF745" s="719">
        <v>0</v>
      </c>
      <c r="AG745" s="681">
        <v>0</v>
      </c>
      <c r="AH745" s="716"/>
      <c r="AI745" s="716"/>
      <c r="AJ745" s="716"/>
      <c r="AK745" s="716"/>
      <c r="AL745" s="716"/>
      <c r="AM745" s="716"/>
      <c r="AN745" s="716"/>
      <c r="AO745" s="716"/>
      <c r="AP745" s="716"/>
      <c r="AQ745" s="716"/>
      <c r="AR745" s="716"/>
      <c r="AS745" s="716"/>
      <c r="AT745" s="716"/>
      <c r="AU745" s="716"/>
      <c r="AV745" s="716"/>
      <c r="AW745" s="716"/>
      <c r="AX745" s="716"/>
      <c r="AY745" s="716"/>
      <c r="AZ745" s="716"/>
      <c r="BA745" s="716"/>
      <c r="BB745" s="716"/>
      <c r="BC745" s="716"/>
      <c r="BD745" s="716"/>
      <c r="BE745" s="716"/>
      <c r="BF745" s="716"/>
      <c r="BG745" s="716"/>
      <c r="BH745" s="716"/>
      <c r="BI745" s="716"/>
      <c r="BJ745" s="716"/>
      <c r="BK745" s="716"/>
      <c r="BL745" s="716"/>
      <c r="BM745" s="716"/>
      <c r="BN745" s="716"/>
      <c r="BO745" s="716"/>
      <c r="BP745" s="716"/>
      <c r="BQ745" s="716"/>
      <c r="BR745" s="716"/>
      <c r="BS745" s="716"/>
      <c r="BT745" s="716"/>
      <c r="BU745" s="716"/>
      <c r="BV745" s="716"/>
      <c r="BW745" s="716"/>
      <c r="BX745" s="716"/>
      <c r="BY745" s="716"/>
      <c r="BZ745" s="716"/>
      <c r="CA745" s="716"/>
    </row>
    <row r="746" spans="1:79" s="308" customFormat="1" hidden="1" outlineLevel="1" x14ac:dyDescent="0.25">
      <c r="A746" s="658"/>
      <c r="B746" s="29"/>
      <c r="C746" s="29"/>
      <c r="D746" s="29"/>
      <c r="E746" s="570" t="s">
        <v>1326</v>
      </c>
      <c r="F746" s="658" t="s">
        <v>591</v>
      </c>
      <c r="G746" s="719"/>
      <c r="H746" s="719"/>
      <c r="I746" s="719"/>
      <c r="J746" s="719"/>
      <c r="K746" s="719"/>
      <c r="L746" s="719"/>
      <c r="M746" s="719">
        <v>71.939264650107916</v>
      </c>
      <c r="N746" s="719"/>
      <c r="O746" s="719">
        <v>49.490709491137906</v>
      </c>
      <c r="P746" s="716">
        <v>52.28431288621605</v>
      </c>
      <c r="Q746" s="716"/>
      <c r="R746" s="716"/>
      <c r="S746" s="667">
        <v>0</v>
      </c>
      <c r="T746" s="667">
        <v>0</v>
      </c>
      <c r="U746" s="667">
        <v>0</v>
      </c>
      <c r="V746" s="667">
        <v>0</v>
      </c>
      <c r="W746" s="667">
        <v>80.12</v>
      </c>
      <c r="X746" s="667">
        <v>0</v>
      </c>
      <c r="Y746" s="667">
        <v>0</v>
      </c>
      <c r="Z746" s="667">
        <v>0</v>
      </c>
      <c r="AA746" s="667">
        <v>0</v>
      </c>
      <c r="AB746" s="667">
        <v>0</v>
      </c>
      <c r="AC746" s="665">
        <v>0</v>
      </c>
      <c r="AD746" s="665">
        <v>0</v>
      </c>
      <c r="AE746" s="667">
        <v>0</v>
      </c>
      <c r="AF746" s="719">
        <v>0</v>
      </c>
      <c r="AG746" s="665">
        <v>0</v>
      </c>
      <c r="AH746" s="716"/>
      <c r="AI746" s="716"/>
      <c r="AJ746" s="716"/>
      <c r="AK746" s="716"/>
      <c r="AL746" s="716"/>
      <c r="AM746" s="716"/>
      <c r="AN746" s="716"/>
      <c r="AO746" s="716"/>
      <c r="AP746" s="716"/>
      <c r="AQ746" s="716"/>
      <c r="AR746" s="716"/>
      <c r="AS746" s="716"/>
      <c r="AT746" s="716"/>
      <c r="AU746" s="716"/>
      <c r="AV746" s="716"/>
      <c r="AW746" s="716"/>
      <c r="AX746" s="716"/>
      <c r="AY746" s="716"/>
      <c r="AZ746" s="716"/>
      <c r="BA746" s="716"/>
      <c r="BB746" s="716"/>
      <c r="BC746" s="716"/>
      <c r="BD746" s="716"/>
      <c r="BE746" s="716"/>
      <c r="BF746" s="716"/>
      <c r="BG746" s="716"/>
      <c r="BH746" s="716"/>
      <c r="BI746" s="716"/>
      <c r="BJ746" s="716"/>
      <c r="BK746" s="716"/>
      <c r="BL746" s="716"/>
      <c r="BM746" s="716"/>
      <c r="BN746" s="716"/>
      <c r="BO746" s="716"/>
      <c r="BP746" s="716"/>
      <c r="BQ746" s="716"/>
      <c r="BR746" s="716"/>
      <c r="BS746" s="716"/>
      <c r="BT746" s="716"/>
      <c r="BU746" s="716"/>
      <c r="BV746" s="716"/>
      <c r="BW746" s="716"/>
      <c r="BX746" s="716"/>
      <c r="BY746" s="716"/>
      <c r="BZ746" s="716"/>
      <c r="CA746" s="716"/>
    </row>
    <row r="747" spans="1:79" hidden="1" outlineLevel="1" x14ac:dyDescent="0.25">
      <c r="A747" s="658"/>
      <c r="E747" s="570" t="s">
        <v>1332</v>
      </c>
      <c r="F747" s="658" t="s">
        <v>592</v>
      </c>
      <c r="G747" s="719">
        <v>14.727084431585991</v>
      </c>
      <c r="H747" s="719">
        <v>22.405427161854536</v>
      </c>
      <c r="I747" s="719">
        <v>3.0198703402613649</v>
      </c>
      <c r="J747" s="719">
        <v>3.2282003397588586</v>
      </c>
      <c r="K747" s="719">
        <v>136.2414862191695</v>
      </c>
      <c r="L747" s="719"/>
      <c r="M747" s="719"/>
      <c r="N747" s="719">
        <v>5.5530854594932793</v>
      </c>
      <c r="O747" s="719"/>
      <c r="P747" s="716">
        <v>109.54298378539447</v>
      </c>
      <c r="Q747" s="716"/>
      <c r="R747" s="716"/>
      <c r="S747" s="667">
        <v>0</v>
      </c>
      <c r="T747" s="667">
        <v>45</v>
      </c>
      <c r="U747" s="667">
        <v>349</v>
      </c>
      <c r="V747" s="667">
        <v>210</v>
      </c>
      <c r="W747" s="667">
        <v>-210</v>
      </c>
      <c r="X747" s="667">
        <v>0</v>
      </c>
      <c r="Y747" s="667">
        <v>136.5</v>
      </c>
      <c r="Z747" s="667">
        <v>0</v>
      </c>
      <c r="AA747" s="667">
        <v>0</v>
      </c>
      <c r="AB747" s="667">
        <v>0</v>
      </c>
      <c r="AC747" s="665">
        <v>0</v>
      </c>
      <c r="AD747" s="665">
        <v>0</v>
      </c>
      <c r="AE747" s="667">
        <v>0</v>
      </c>
      <c r="AF747" s="719">
        <v>45</v>
      </c>
      <c r="AG747" s="665">
        <v>0</v>
      </c>
      <c r="AH747" s="716"/>
      <c r="AI747" s="716"/>
      <c r="AJ747" s="716"/>
      <c r="AK747" s="716"/>
      <c r="AL747" s="716"/>
      <c r="AM747" s="716"/>
      <c r="AN747" s="716"/>
      <c r="AO747" s="716"/>
      <c r="AP747" s="716"/>
      <c r="AQ747" s="716"/>
      <c r="AR747" s="716"/>
      <c r="AS747" s="716"/>
      <c r="AT747" s="716"/>
      <c r="AU747" s="716"/>
      <c r="AV747" s="716"/>
      <c r="AW747" s="716"/>
      <c r="AX747" s="716"/>
      <c r="AY747" s="716"/>
      <c r="AZ747" s="716"/>
      <c r="BA747" s="716"/>
      <c r="BB747" s="716"/>
      <c r="BC747" s="716"/>
      <c r="BD747" s="716"/>
      <c r="BE747" s="716"/>
      <c r="BF747" s="716"/>
      <c r="BG747" s="716"/>
      <c r="BH747" s="716"/>
      <c r="BI747" s="716"/>
      <c r="BJ747" s="716"/>
      <c r="BK747" s="716"/>
      <c r="BL747" s="716"/>
      <c r="BM747" s="716"/>
      <c r="BN747" s="716"/>
      <c r="BO747" s="716"/>
      <c r="BP747" s="716"/>
      <c r="BQ747" s="716"/>
      <c r="BR747" s="716"/>
      <c r="BS747" s="716"/>
      <c r="BT747" s="716"/>
      <c r="BU747" s="716"/>
      <c r="BV747" s="716"/>
      <c r="BW747" s="716"/>
      <c r="BX747" s="716"/>
      <c r="BY747" s="716"/>
      <c r="BZ747" s="716"/>
      <c r="CA747" s="716"/>
    </row>
    <row r="748" spans="1:79" hidden="1" outlineLevel="1" x14ac:dyDescent="0.25">
      <c r="A748" s="655"/>
      <c r="B748" s="570"/>
      <c r="C748" s="570"/>
      <c r="D748" s="570"/>
      <c r="E748" s="570" t="s">
        <v>1333</v>
      </c>
      <c r="F748" s="655" t="s">
        <v>876</v>
      </c>
      <c r="G748" s="719"/>
      <c r="H748" s="719"/>
      <c r="I748" s="719"/>
      <c r="J748" s="719"/>
      <c r="K748" s="719"/>
      <c r="L748" s="719"/>
      <c r="M748" s="719"/>
      <c r="N748" s="719"/>
      <c r="O748" s="719"/>
      <c r="P748" s="716"/>
      <c r="Q748" s="716"/>
      <c r="R748" s="716"/>
      <c r="S748" s="667">
        <v>0</v>
      </c>
      <c r="T748" s="667">
        <v>0</v>
      </c>
      <c r="U748" s="667">
        <v>0</v>
      </c>
      <c r="V748" s="667">
        <v>0</v>
      </c>
      <c r="W748" s="667">
        <v>0</v>
      </c>
      <c r="X748" s="667">
        <v>0</v>
      </c>
      <c r="Y748" s="667">
        <v>0</v>
      </c>
      <c r="Z748" s="667">
        <v>0</v>
      </c>
      <c r="AA748" s="667">
        <v>0</v>
      </c>
      <c r="AB748" s="667">
        <v>0</v>
      </c>
      <c r="AC748" s="665">
        <v>0</v>
      </c>
      <c r="AD748" s="665">
        <v>0</v>
      </c>
      <c r="AE748" s="667">
        <v>0</v>
      </c>
      <c r="AF748" s="719">
        <v>0</v>
      </c>
      <c r="AG748" s="665">
        <v>0</v>
      </c>
      <c r="AH748" s="716"/>
      <c r="AI748" s="716"/>
      <c r="AJ748" s="716"/>
      <c r="AK748" s="716"/>
      <c r="AL748" s="716"/>
      <c r="AM748" s="716"/>
      <c r="AN748" s="716"/>
      <c r="AO748" s="716"/>
      <c r="AP748" s="716"/>
      <c r="AQ748" s="716"/>
      <c r="AR748" s="716"/>
      <c r="AS748" s="716"/>
      <c r="AT748" s="716"/>
      <c r="AU748" s="716"/>
      <c r="AV748" s="716"/>
      <c r="AW748" s="716"/>
      <c r="AX748" s="716"/>
      <c r="AY748" s="716"/>
      <c r="AZ748" s="716"/>
      <c r="BA748" s="716"/>
      <c r="BB748" s="716"/>
      <c r="BC748" s="716"/>
      <c r="BD748" s="716"/>
      <c r="BE748" s="716"/>
      <c r="BF748" s="716"/>
      <c r="BG748" s="716"/>
      <c r="BH748" s="716"/>
      <c r="BI748" s="716"/>
      <c r="BJ748" s="716"/>
      <c r="BK748" s="716"/>
      <c r="BL748" s="716"/>
      <c r="BM748" s="716"/>
      <c r="BN748" s="716"/>
      <c r="BO748" s="716"/>
      <c r="BP748" s="716"/>
      <c r="BQ748" s="716"/>
      <c r="BR748" s="716"/>
      <c r="BS748" s="716"/>
      <c r="BT748" s="716"/>
      <c r="BU748" s="716"/>
      <c r="BV748" s="716"/>
      <c r="BW748" s="716"/>
      <c r="BX748" s="716"/>
      <c r="BY748" s="716"/>
      <c r="BZ748" s="716"/>
      <c r="CA748" s="716"/>
    </row>
    <row r="749" spans="1:79" s="693" customFormat="1" hidden="1" outlineLevel="1" x14ac:dyDescent="0.25">
      <c r="A749" s="701"/>
      <c r="E749" s="570" t="s">
        <v>657</v>
      </c>
      <c r="F749" s="701" t="s">
        <v>761</v>
      </c>
      <c r="G749" s="733"/>
      <c r="H749" s="733"/>
      <c r="I749" s="733"/>
      <c r="J749" s="733"/>
      <c r="K749" s="733"/>
      <c r="L749" s="733"/>
      <c r="M749" s="733"/>
      <c r="N749" s="733"/>
      <c r="O749" s="733"/>
      <c r="P749" s="734"/>
      <c r="Q749" s="734"/>
      <c r="R749" s="734"/>
      <c r="S749" s="704"/>
      <c r="T749" s="704"/>
      <c r="U749" s="704"/>
      <c r="V749" s="704"/>
      <c r="W749" s="704"/>
      <c r="X749" s="704"/>
      <c r="Y749" s="704"/>
      <c r="Z749" s="704"/>
      <c r="AA749" s="704"/>
      <c r="AB749" s="704"/>
      <c r="AC749" s="702"/>
      <c r="AD749" s="702"/>
      <c r="AE749" s="704"/>
      <c r="AF749" s="733"/>
      <c r="AG749" s="702"/>
      <c r="AH749" s="734"/>
      <c r="AI749" s="734"/>
      <c r="AJ749" s="734"/>
      <c r="AK749" s="734"/>
      <c r="AL749" s="734"/>
      <c r="AM749" s="734"/>
      <c r="AN749" s="734"/>
      <c r="AO749" s="734"/>
      <c r="AP749" s="734"/>
      <c r="AQ749" s="734"/>
      <c r="AR749" s="734"/>
      <c r="AS749" s="734"/>
      <c r="AT749" s="734"/>
      <c r="AU749" s="734"/>
      <c r="AV749" s="734"/>
      <c r="AW749" s="734"/>
      <c r="AX749" s="734"/>
      <c r="AY749" s="734"/>
      <c r="AZ749" s="734"/>
      <c r="BA749" s="734"/>
      <c r="BB749" s="734"/>
      <c r="BC749" s="734"/>
      <c r="BD749" s="734"/>
      <c r="BE749" s="734"/>
      <c r="BF749" s="734"/>
      <c r="BG749" s="734"/>
      <c r="BH749" s="734"/>
      <c r="BI749" s="734"/>
      <c r="BJ749" s="734"/>
      <c r="BK749" s="734"/>
      <c r="BL749" s="734"/>
      <c r="BM749" s="734"/>
      <c r="BN749" s="734"/>
      <c r="BO749" s="734"/>
      <c r="BP749" s="734"/>
      <c r="BQ749" s="734"/>
      <c r="BR749" s="734"/>
      <c r="BS749" s="734"/>
      <c r="BT749" s="734"/>
      <c r="BU749" s="734"/>
      <c r="BV749" s="734"/>
      <c r="BW749" s="734"/>
      <c r="BX749" s="734"/>
      <c r="BY749" s="734"/>
      <c r="BZ749" s="734"/>
      <c r="CA749" s="734"/>
    </row>
    <row r="750" spans="1:79" hidden="1" outlineLevel="1" x14ac:dyDescent="0.25">
      <c r="A750" s="656"/>
      <c r="B750" s="570"/>
      <c r="C750" s="570"/>
      <c r="D750" s="570"/>
      <c r="E750" s="570" t="s">
        <v>20</v>
      </c>
      <c r="F750" s="656" t="s">
        <v>877</v>
      </c>
      <c r="G750" s="719"/>
      <c r="H750" s="719"/>
      <c r="I750" s="719"/>
      <c r="J750" s="719"/>
      <c r="K750" s="719"/>
      <c r="L750" s="719"/>
      <c r="M750" s="719"/>
      <c r="N750" s="719"/>
      <c r="O750" s="719"/>
      <c r="P750" s="716"/>
      <c r="Q750" s="716"/>
      <c r="R750" s="716"/>
      <c r="S750" s="667">
        <v>0</v>
      </c>
      <c r="T750" s="667">
        <v>0</v>
      </c>
      <c r="U750" s="667">
        <v>0</v>
      </c>
      <c r="V750" s="667">
        <v>0</v>
      </c>
      <c r="W750" s="667">
        <v>0</v>
      </c>
      <c r="X750" s="667">
        <v>0</v>
      </c>
      <c r="Y750" s="667">
        <v>0</v>
      </c>
      <c r="Z750" s="667">
        <v>0</v>
      </c>
      <c r="AA750" s="667">
        <v>0</v>
      </c>
      <c r="AB750" s="667">
        <v>0</v>
      </c>
      <c r="AC750" s="665">
        <v>0</v>
      </c>
      <c r="AD750" s="665">
        <v>0</v>
      </c>
      <c r="AE750" s="667">
        <v>0</v>
      </c>
      <c r="AF750" s="719">
        <v>0</v>
      </c>
      <c r="AG750" s="665">
        <v>0</v>
      </c>
      <c r="AH750" s="716"/>
      <c r="AI750" s="716"/>
      <c r="AJ750" s="716"/>
      <c r="AK750" s="716"/>
      <c r="AL750" s="716"/>
      <c r="AM750" s="716"/>
      <c r="AN750" s="716"/>
      <c r="AO750" s="716"/>
      <c r="AP750" s="716"/>
      <c r="AQ750" s="716"/>
      <c r="AR750" s="716"/>
      <c r="AS750" s="716"/>
      <c r="AT750" s="716"/>
      <c r="AU750" s="716"/>
      <c r="AV750" s="716"/>
      <c r="AW750" s="716"/>
      <c r="AX750" s="716"/>
      <c r="AY750" s="716"/>
      <c r="AZ750" s="716"/>
      <c r="BA750" s="716"/>
      <c r="BB750" s="716"/>
      <c r="BC750" s="716"/>
      <c r="BD750" s="716"/>
      <c r="BE750" s="716"/>
      <c r="BF750" s="716"/>
      <c r="BG750" s="716"/>
      <c r="BH750" s="716"/>
      <c r="BI750" s="716"/>
      <c r="BJ750" s="716"/>
      <c r="BK750" s="716"/>
      <c r="BL750" s="716"/>
      <c r="BM750" s="716"/>
      <c r="BN750" s="716"/>
      <c r="BO750" s="716"/>
      <c r="BP750" s="716"/>
      <c r="BQ750" s="716"/>
      <c r="BR750" s="716"/>
      <c r="BS750" s="716"/>
      <c r="BT750" s="716"/>
      <c r="BU750" s="716"/>
      <c r="BV750" s="716"/>
      <c r="BW750" s="716"/>
      <c r="BX750" s="716"/>
      <c r="BY750" s="716"/>
      <c r="BZ750" s="716"/>
      <c r="CA750" s="716"/>
    </row>
    <row r="751" spans="1:79" hidden="1" outlineLevel="1" x14ac:dyDescent="0.25">
      <c r="A751" s="656"/>
      <c r="B751" s="570"/>
      <c r="C751" s="570"/>
      <c r="D751" s="570"/>
      <c r="E751" s="570" t="s">
        <v>20</v>
      </c>
      <c r="F751" s="656" t="s">
        <v>878</v>
      </c>
      <c r="G751" s="719"/>
      <c r="H751" s="719"/>
      <c r="I751" s="719"/>
      <c r="J751" s="719"/>
      <c r="K751" s="719"/>
      <c r="L751" s="719"/>
      <c r="M751" s="719"/>
      <c r="N751" s="719"/>
      <c r="O751" s="719"/>
      <c r="P751" s="716"/>
      <c r="Q751" s="716"/>
      <c r="R751" s="716"/>
      <c r="S751" s="667">
        <v>0</v>
      </c>
      <c r="T751" s="667">
        <v>0</v>
      </c>
      <c r="U751" s="667">
        <v>0</v>
      </c>
      <c r="V751" s="667">
        <v>0</v>
      </c>
      <c r="W751" s="667">
        <v>0</v>
      </c>
      <c r="X751" s="667">
        <v>0</v>
      </c>
      <c r="Y751" s="667">
        <v>0</v>
      </c>
      <c r="Z751" s="667">
        <v>0</v>
      </c>
      <c r="AA751" s="667">
        <v>0</v>
      </c>
      <c r="AB751" s="667">
        <v>0</v>
      </c>
      <c r="AC751" s="665">
        <v>0</v>
      </c>
      <c r="AD751" s="665">
        <v>0</v>
      </c>
      <c r="AE751" s="667">
        <v>0</v>
      </c>
      <c r="AF751" s="719">
        <v>0</v>
      </c>
      <c r="AG751" s="665">
        <v>0</v>
      </c>
      <c r="AH751" s="716"/>
      <c r="AI751" s="716"/>
      <c r="AJ751" s="716"/>
      <c r="AK751" s="716"/>
      <c r="AL751" s="716"/>
      <c r="AM751" s="716"/>
      <c r="AN751" s="716"/>
      <c r="AO751" s="716"/>
      <c r="AP751" s="716"/>
      <c r="AQ751" s="716"/>
      <c r="AR751" s="716"/>
      <c r="AS751" s="716"/>
      <c r="AT751" s="716"/>
      <c r="AU751" s="716"/>
      <c r="AV751" s="716"/>
      <c r="AW751" s="716"/>
      <c r="AX751" s="716"/>
      <c r="AY751" s="716"/>
      <c r="AZ751" s="716"/>
      <c r="BA751" s="716"/>
      <c r="BB751" s="716"/>
      <c r="BC751" s="716"/>
      <c r="BD751" s="716"/>
      <c r="BE751" s="716"/>
      <c r="BF751" s="716"/>
      <c r="BG751" s="716"/>
      <c r="BH751" s="716"/>
      <c r="BI751" s="716"/>
      <c r="BJ751" s="716"/>
      <c r="BK751" s="716"/>
      <c r="BL751" s="716"/>
      <c r="BM751" s="716"/>
      <c r="BN751" s="716"/>
      <c r="BO751" s="716"/>
      <c r="BP751" s="716"/>
      <c r="BQ751" s="716"/>
      <c r="BR751" s="716"/>
      <c r="BS751" s="716"/>
      <c r="BT751" s="716"/>
      <c r="BU751" s="716"/>
      <c r="BV751" s="716"/>
      <c r="BW751" s="716"/>
      <c r="BX751" s="716"/>
      <c r="BY751" s="716"/>
      <c r="BZ751" s="716"/>
      <c r="CA751" s="716"/>
    </row>
    <row r="752" spans="1:79" hidden="1" outlineLevel="1" x14ac:dyDescent="0.25">
      <c r="A752" s="656"/>
      <c r="B752" s="570"/>
      <c r="C752" s="570"/>
      <c r="D752" s="570"/>
      <c r="E752" s="570" t="s">
        <v>1334</v>
      </c>
      <c r="F752" s="656" t="s">
        <v>879</v>
      </c>
      <c r="G752" s="719"/>
      <c r="H752" s="719"/>
      <c r="I752" s="719"/>
      <c r="J752" s="719"/>
      <c r="K752" s="719"/>
      <c r="L752" s="719"/>
      <c r="M752" s="719"/>
      <c r="N752" s="719"/>
      <c r="O752" s="719"/>
      <c r="P752" s="716"/>
      <c r="Q752" s="716"/>
      <c r="R752" s="716"/>
      <c r="S752" s="667">
        <v>0</v>
      </c>
      <c r="T752" s="667">
        <v>0</v>
      </c>
      <c r="U752" s="667">
        <v>0</v>
      </c>
      <c r="V752" s="667">
        <v>0</v>
      </c>
      <c r="W752" s="667">
        <v>0</v>
      </c>
      <c r="X752" s="667">
        <v>0</v>
      </c>
      <c r="Y752" s="667">
        <v>0</v>
      </c>
      <c r="Z752" s="667">
        <v>0</v>
      </c>
      <c r="AA752" s="667">
        <v>0</v>
      </c>
      <c r="AB752" s="667">
        <v>0</v>
      </c>
      <c r="AC752" s="665">
        <v>0</v>
      </c>
      <c r="AD752" s="665">
        <v>0</v>
      </c>
      <c r="AE752" s="667">
        <v>0</v>
      </c>
      <c r="AF752" s="719">
        <v>0</v>
      </c>
      <c r="AG752" s="665">
        <v>0</v>
      </c>
      <c r="AH752" s="716"/>
      <c r="AI752" s="716"/>
      <c r="AJ752" s="716"/>
      <c r="AK752" s="716"/>
      <c r="AL752" s="716"/>
      <c r="AM752" s="716"/>
      <c r="AN752" s="716"/>
      <c r="AO752" s="716"/>
      <c r="AP752" s="716"/>
      <c r="AQ752" s="716"/>
      <c r="AR752" s="716"/>
      <c r="AS752" s="716"/>
      <c r="AT752" s="716"/>
      <c r="AU752" s="716"/>
      <c r="AV752" s="716"/>
      <c r="AW752" s="716"/>
      <c r="AX752" s="716"/>
      <c r="AY752" s="716"/>
      <c r="AZ752" s="716"/>
      <c r="BA752" s="716"/>
      <c r="BB752" s="716"/>
      <c r="BC752" s="716"/>
      <c r="BD752" s="716"/>
      <c r="BE752" s="716"/>
      <c r="BF752" s="716"/>
      <c r="BG752" s="716"/>
      <c r="BH752" s="716"/>
      <c r="BI752" s="716"/>
      <c r="BJ752" s="716"/>
      <c r="BK752" s="716"/>
      <c r="BL752" s="716"/>
      <c r="BM752" s="716"/>
      <c r="BN752" s="716"/>
      <c r="BO752" s="716"/>
      <c r="BP752" s="716"/>
      <c r="BQ752" s="716"/>
      <c r="BR752" s="716"/>
      <c r="BS752" s="716"/>
      <c r="BT752" s="716"/>
      <c r="BU752" s="716"/>
      <c r="BV752" s="716"/>
      <c r="BW752" s="716"/>
      <c r="BX752" s="716"/>
      <c r="BY752" s="716"/>
      <c r="BZ752" s="716"/>
      <c r="CA752" s="716"/>
    </row>
    <row r="753" spans="1:79" hidden="1" outlineLevel="1" x14ac:dyDescent="0.25">
      <c r="A753" s="656"/>
      <c r="B753" s="570"/>
      <c r="C753" s="570"/>
      <c r="D753" s="570"/>
      <c r="E753" s="570" t="s">
        <v>1334</v>
      </c>
      <c r="F753" s="656" t="s">
        <v>660</v>
      </c>
      <c r="G753" s="719"/>
      <c r="H753" s="719"/>
      <c r="I753" s="719"/>
      <c r="J753" s="719"/>
      <c r="K753" s="719"/>
      <c r="L753" s="719"/>
      <c r="M753" s="719"/>
      <c r="N753" s="719"/>
      <c r="O753" s="719"/>
      <c r="P753" s="716"/>
      <c r="Q753" s="716"/>
      <c r="R753" s="716"/>
      <c r="S753" s="667">
        <v>0</v>
      </c>
      <c r="T753" s="667">
        <v>0</v>
      </c>
      <c r="U753" s="667">
        <v>0</v>
      </c>
      <c r="V753" s="667">
        <v>0</v>
      </c>
      <c r="W753" s="667">
        <v>0</v>
      </c>
      <c r="X753" s="667">
        <v>0</v>
      </c>
      <c r="Y753" s="667">
        <v>0</v>
      </c>
      <c r="Z753" s="667">
        <v>0</v>
      </c>
      <c r="AA753" s="667">
        <v>0</v>
      </c>
      <c r="AB753" s="667">
        <v>0</v>
      </c>
      <c r="AC753" s="665">
        <v>0</v>
      </c>
      <c r="AD753" s="665">
        <v>0</v>
      </c>
      <c r="AE753" s="667">
        <v>0</v>
      </c>
      <c r="AF753" s="719">
        <v>0</v>
      </c>
      <c r="AG753" s="665">
        <v>0</v>
      </c>
      <c r="AH753" s="716"/>
      <c r="AI753" s="716"/>
      <c r="AJ753" s="716"/>
      <c r="AK753" s="716"/>
      <c r="AL753" s="716"/>
      <c r="AM753" s="716"/>
      <c r="AN753" s="716"/>
      <c r="AO753" s="716"/>
      <c r="AP753" s="716"/>
      <c r="AQ753" s="716"/>
      <c r="AR753" s="716"/>
      <c r="AS753" s="716"/>
      <c r="AT753" s="716"/>
      <c r="AU753" s="716"/>
      <c r="AV753" s="716"/>
      <c r="AW753" s="716"/>
      <c r="AX753" s="716"/>
      <c r="AY753" s="716"/>
      <c r="AZ753" s="716"/>
      <c r="BA753" s="716"/>
      <c r="BB753" s="716"/>
      <c r="BC753" s="716"/>
      <c r="BD753" s="716"/>
      <c r="BE753" s="716"/>
      <c r="BF753" s="716"/>
      <c r="BG753" s="716"/>
      <c r="BH753" s="716"/>
      <c r="BI753" s="716"/>
      <c r="BJ753" s="716"/>
      <c r="BK753" s="716"/>
      <c r="BL753" s="716"/>
      <c r="BM753" s="716"/>
      <c r="BN753" s="716"/>
      <c r="BO753" s="716"/>
      <c r="BP753" s="716"/>
      <c r="BQ753" s="716"/>
      <c r="BR753" s="716"/>
      <c r="BS753" s="716"/>
      <c r="BT753" s="716"/>
      <c r="BU753" s="716"/>
      <c r="BV753" s="716"/>
      <c r="BW753" s="716"/>
      <c r="BX753" s="716"/>
      <c r="BY753" s="716"/>
      <c r="BZ753" s="716"/>
      <c r="CA753" s="716"/>
    </row>
    <row r="754" spans="1:79" hidden="1" outlineLevel="1" x14ac:dyDescent="0.25">
      <c r="A754" s="656"/>
      <c r="B754" s="570"/>
      <c r="C754" s="570"/>
      <c r="D754" s="570"/>
      <c r="E754" s="570" t="s">
        <v>20</v>
      </c>
      <c r="F754" s="656" t="s">
        <v>661</v>
      </c>
      <c r="G754" s="719"/>
      <c r="H754" s="719"/>
      <c r="I754" s="719"/>
      <c r="J754" s="719"/>
      <c r="K754" s="719"/>
      <c r="L754" s="719"/>
      <c r="M754" s="719"/>
      <c r="N754" s="719"/>
      <c r="O754" s="719"/>
      <c r="P754" s="716"/>
      <c r="Q754" s="716"/>
      <c r="R754" s="716"/>
      <c r="S754" s="667">
        <v>0</v>
      </c>
      <c r="T754" s="667">
        <v>0</v>
      </c>
      <c r="U754" s="667">
        <v>0</v>
      </c>
      <c r="V754" s="667">
        <v>0</v>
      </c>
      <c r="W754" s="667">
        <v>0</v>
      </c>
      <c r="X754" s="667">
        <v>0</v>
      </c>
      <c r="Y754" s="667">
        <v>0</v>
      </c>
      <c r="Z754" s="667">
        <v>0</v>
      </c>
      <c r="AA754" s="667">
        <v>0</v>
      </c>
      <c r="AB754" s="667">
        <v>0</v>
      </c>
      <c r="AC754" s="665">
        <v>0</v>
      </c>
      <c r="AD754" s="665">
        <v>0</v>
      </c>
      <c r="AE754" s="667">
        <v>0</v>
      </c>
      <c r="AF754" s="719">
        <v>0</v>
      </c>
      <c r="AG754" s="665">
        <v>0</v>
      </c>
      <c r="AH754" s="716"/>
      <c r="AI754" s="716"/>
      <c r="AJ754" s="716"/>
      <c r="AK754" s="716"/>
      <c r="AL754" s="716"/>
      <c r="AM754" s="716"/>
      <c r="AN754" s="716"/>
      <c r="AO754" s="716"/>
      <c r="AP754" s="716"/>
      <c r="AQ754" s="716"/>
      <c r="AR754" s="716"/>
      <c r="AS754" s="716"/>
      <c r="AT754" s="716"/>
      <c r="AU754" s="716"/>
      <c r="AV754" s="716"/>
      <c r="AW754" s="716"/>
      <c r="AX754" s="716"/>
      <c r="AY754" s="716"/>
      <c r="AZ754" s="716"/>
      <c r="BA754" s="716"/>
      <c r="BB754" s="716"/>
      <c r="BC754" s="716"/>
      <c r="BD754" s="716"/>
      <c r="BE754" s="716"/>
      <c r="BF754" s="716"/>
      <c r="BG754" s="716"/>
      <c r="BH754" s="716"/>
      <c r="BI754" s="716"/>
      <c r="BJ754" s="716"/>
      <c r="BK754" s="716"/>
      <c r="BL754" s="716"/>
      <c r="BM754" s="716"/>
      <c r="BN754" s="716"/>
      <c r="BO754" s="716"/>
      <c r="BP754" s="716"/>
      <c r="BQ754" s="716"/>
      <c r="BR754" s="716"/>
      <c r="BS754" s="716"/>
      <c r="BT754" s="716"/>
      <c r="BU754" s="716"/>
      <c r="BV754" s="716"/>
      <c r="BW754" s="716"/>
      <c r="BX754" s="716"/>
      <c r="BY754" s="716"/>
      <c r="BZ754" s="716"/>
      <c r="CA754" s="716"/>
    </row>
    <row r="755" spans="1:79" hidden="1" outlineLevel="1" x14ac:dyDescent="0.25">
      <c r="A755" s="656"/>
      <c r="B755" s="570"/>
      <c r="C755" s="570"/>
      <c r="D755" s="570"/>
      <c r="E755" s="570" t="s">
        <v>1334</v>
      </c>
      <c r="F755" s="656" t="s">
        <v>880</v>
      </c>
      <c r="G755" s="719"/>
      <c r="H755" s="719"/>
      <c r="I755" s="719"/>
      <c r="J755" s="719"/>
      <c r="K755" s="719"/>
      <c r="L755" s="719"/>
      <c r="M755" s="719"/>
      <c r="N755" s="719"/>
      <c r="O755" s="719"/>
      <c r="P755" s="716"/>
      <c r="Q755" s="716"/>
      <c r="R755" s="716"/>
      <c r="S755" s="667">
        <v>0</v>
      </c>
      <c r="T755" s="667">
        <v>0</v>
      </c>
      <c r="U755" s="667">
        <v>0</v>
      </c>
      <c r="V755" s="667">
        <v>0</v>
      </c>
      <c r="W755" s="667">
        <v>0</v>
      </c>
      <c r="X755" s="667">
        <v>0</v>
      </c>
      <c r="Y755" s="667">
        <v>0</v>
      </c>
      <c r="Z755" s="667">
        <v>0</v>
      </c>
      <c r="AA755" s="667">
        <v>0</v>
      </c>
      <c r="AB755" s="667">
        <v>0</v>
      </c>
      <c r="AC755" s="665">
        <v>0</v>
      </c>
      <c r="AD755" s="665">
        <v>0</v>
      </c>
      <c r="AE755" s="667">
        <v>0</v>
      </c>
      <c r="AF755" s="719">
        <v>0</v>
      </c>
      <c r="AG755" s="665">
        <v>0</v>
      </c>
      <c r="AH755" s="716"/>
      <c r="AI755" s="716"/>
      <c r="AJ755" s="716"/>
      <c r="AK755" s="716"/>
      <c r="AL755" s="716"/>
      <c r="AM755" s="716"/>
      <c r="AN755" s="716"/>
      <c r="AO755" s="716"/>
      <c r="AP755" s="716"/>
      <c r="AQ755" s="716"/>
      <c r="AR755" s="716"/>
      <c r="AS755" s="716"/>
      <c r="AT755" s="716"/>
      <c r="AU755" s="716"/>
      <c r="AV755" s="716"/>
      <c r="AW755" s="716"/>
      <c r="AX755" s="716"/>
      <c r="AY755" s="716"/>
      <c r="AZ755" s="716"/>
      <c r="BA755" s="716"/>
      <c r="BB755" s="716"/>
      <c r="BC755" s="716"/>
      <c r="BD755" s="716"/>
      <c r="BE755" s="716"/>
      <c r="BF755" s="716"/>
      <c r="BG755" s="716"/>
      <c r="BH755" s="716"/>
      <c r="BI755" s="716"/>
      <c r="BJ755" s="716"/>
      <c r="BK755" s="716"/>
      <c r="BL755" s="716"/>
      <c r="BM755" s="716"/>
      <c r="BN755" s="716"/>
      <c r="BO755" s="716"/>
      <c r="BP755" s="716"/>
      <c r="BQ755" s="716"/>
      <c r="BR755" s="716"/>
      <c r="BS755" s="716"/>
      <c r="BT755" s="716"/>
      <c r="BU755" s="716"/>
      <c r="BV755" s="716"/>
      <c r="BW755" s="716"/>
      <c r="BX755" s="716"/>
      <c r="BY755" s="716"/>
      <c r="BZ755" s="716"/>
      <c r="CA755" s="716"/>
    </row>
    <row r="756" spans="1:79" hidden="1" outlineLevel="1" x14ac:dyDescent="0.25">
      <c r="A756" s="656"/>
      <c r="B756" s="570"/>
      <c r="C756" s="570"/>
      <c r="D756" s="570"/>
      <c r="E756" s="570" t="s">
        <v>1335</v>
      </c>
      <c r="F756" s="656" t="s">
        <v>662</v>
      </c>
      <c r="G756" s="719"/>
      <c r="H756" s="719"/>
      <c r="I756" s="719"/>
      <c r="J756" s="719"/>
      <c r="K756" s="719"/>
      <c r="L756" s="719"/>
      <c r="M756" s="719"/>
      <c r="N756" s="719"/>
      <c r="O756" s="719"/>
      <c r="P756" s="716"/>
      <c r="Q756" s="716"/>
      <c r="R756" s="716"/>
      <c r="S756" s="667">
        <v>0</v>
      </c>
      <c r="T756" s="667">
        <v>0</v>
      </c>
      <c r="U756" s="667">
        <v>0</v>
      </c>
      <c r="V756" s="667">
        <v>0</v>
      </c>
      <c r="W756" s="667">
        <v>0</v>
      </c>
      <c r="X756" s="667">
        <v>0</v>
      </c>
      <c r="Y756" s="667">
        <v>0</v>
      </c>
      <c r="Z756" s="667">
        <v>0</v>
      </c>
      <c r="AA756" s="667">
        <v>0</v>
      </c>
      <c r="AB756" s="667">
        <v>0</v>
      </c>
      <c r="AC756" s="665">
        <v>0</v>
      </c>
      <c r="AD756" s="665">
        <v>0</v>
      </c>
      <c r="AE756" s="667">
        <v>0</v>
      </c>
      <c r="AF756" s="719">
        <v>0</v>
      </c>
      <c r="AG756" s="665">
        <v>0</v>
      </c>
      <c r="AH756" s="716"/>
      <c r="AI756" s="716"/>
      <c r="AJ756" s="716"/>
      <c r="AK756" s="716"/>
      <c r="AL756" s="716"/>
      <c r="AM756" s="716"/>
      <c r="AN756" s="716"/>
      <c r="AO756" s="716"/>
      <c r="AP756" s="716"/>
      <c r="AQ756" s="716"/>
      <c r="AR756" s="716"/>
      <c r="AS756" s="716"/>
      <c r="AT756" s="716"/>
      <c r="AU756" s="716"/>
      <c r="AV756" s="716"/>
      <c r="AW756" s="716"/>
      <c r="AX756" s="716"/>
      <c r="AY756" s="716"/>
      <c r="AZ756" s="716"/>
      <c r="BA756" s="716"/>
      <c r="BB756" s="716"/>
      <c r="BC756" s="716"/>
      <c r="BD756" s="716"/>
      <c r="BE756" s="716"/>
      <c r="BF756" s="716"/>
      <c r="BG756" s="716"/>
      <c r="BH756" s="716"/>
      <c r="BI756" s="716"/>
      <c r="BJ756" s="716"/>
      <c r="BK756" s="716"/>
      <c r="BL756" s="716"/>
      <c r="BM756" s="716"/>
      <c r="BN756" s="716"/>
      <c r="BO756" s="716"/>
      <c r="BP756" s="716"/>
      <c r="BQ756" s="716"/>
      <c r="BR756" s="716"/>
      <c r="BS756" s="716"/>
      <c r="BT756" s="716"/>
      <c r="BU756" s="716"/>
      <c r="BV756" s="716"/>
      <c r="BW756" s="716"/>
      <c r="BX756" s="716"/>
      <c r="BY756" s="716"/>
      <c r="BZ756" s="716"/>
      <c r="CA756" s="716"/>
    </row>
    <row r="757" spans="1:79" s="308" customFormat="1" hidden="1" outlineLevel="1" x14ac:dyDescent="0.25">
      <c r="A757" s="660"/>
      <c r="B757" s="571"/>
      <c r="C757" s="571"/>
      <c r="D757" s="571"/>
      <c r="E757" s="570" t="s">
        <v>1334</v>
      </c>
      <c r="F757" s="660" t="s">
        <v>663</v>
      </c>
      <c r="G757" s="716"/>
      <c r="H757" s="716"/>
      <c r="I757" s="716"/>
      <c r="J757" s="716"/>
      <c r="K757" s="716"/>
      <c r="L757" s="716"/>
      <c r="M757" s="716"/>
      <c r="N757" s="716"/>
      <c r="O757" s="716"/>
      <c r="P757" s="716"/>
      <c r="Q757" s="716"/>
      <c r="R757" s="716"/>
      <c r="S757" s="667">
        <v>0</v>
      </c>
      <c r="T757" s="667">
        <v>0</v>
      </c>
      <c r="U757" s="667">
        <v>0</v>
      </c>
      <c r="V757" s="667">
        <v>0</v>
      </c>
      <c r="W757" s="667">
        <v>0</v>
      </c>
      <c r="X757" s="667">
        <v>0</v>
      </c>
      <c r="Y757" s="667">
        <v>0</v>
      </c>
      <c r="Z757" s="667">
        <v>87.37</v>
      </c>
      <c r="AA757" s="667">
        <v>83.25</v>
      </c>
      <c r="AB757" s="667">
        <v>81.150000000000006</v>
      </c>
      <c r="AC757" s="665">
        <v>73.11</v>
      </c>
      <c r="AD757" s="665">
        <v>0</v>
      </c>
      <c r="AE757" s="667">
        <v>39.799999999999997</v>
      </c>
      <c r="AF757" s="716">
        <v>174.42</v>
      </c>
      <c r="AG757" s="665">
        <v>169.18</v>
      </c>
      <c r="AH757" s="716"/>
      <c r="AI757" s="716"/>
      <c r="AJ757" s="716"/>
      <c r="AK757" s="716"/>
      <c r="AL757" s="716"/>
      <c r="AM757" s="716"/>
      <c r="AN757" s="716"/>
      <c r="AO757" s="716"/>
      <c r="AP757" s="716"/>
      <c r="AQ757" s="716"/>
      <c r="AR757" s="716"/>
      <c r="AS757" s="716"/>
      <c r="AT757" s="716"/>
      <c r="AU757" s="716"/>
      <c r="AV757" s="716"/>
      <c r="AW757" s="716"/>
      <c r="AX757" s="716"/>
      <c r="AY757" s="716"/>
      <c r="AZ757" s="716"/>
      <c r="BA757" s="716"/>
      <c r="BB757" s="716"/>
      <c r="BC757" s="716"/>
      <c r="BD757" s="716"/>
      <c r="BE757" s="716"/>
      <c r="BF757" s="716"/>
      <c r="BG757" s="716"/>
      <c r="BH757" s="716"/>
      <c r="BI757" s="716"/>
      <c r="BJ757" s="716"/>
      <c r="BK757" s="716"/>
      <c r="BL757" s="716"/>
      <c r="BM757" s="716"/>
      <c r="BN757" s="716"/>
      <c r="BO757" s="716"/>
      <c r="BP757" s="716"/>
      <c r="BQ757" s="716"/>
      <c r="BR757" s="716"/>
      <c r="BS757" s="716"/>
      <c r="BT757" s="716"/>
      <c r="BU757" s="716"/>
      <c r="BV757" s="716"/>
      <c r="BW757" s="716"/>
      <c r="BX757" s="716"/>
      <c r="BY757" s="716"/>
      <c r="BZ757" s="716"/>
      <c r="CA757" s="716"/>
    </row>
    <row r="758" spans="1:79" hidden="1" outlineLevel="1" x14ac:dyDescent="0.25">
      <c r="A758" s="656"/>
      <c r="B758" s="570"/>
      <c r="C758" s="570"/>
      <c r="D758" s="570"/>
      <c r="E758" s="570" t="s">
        <v>657</v>
      </c>
      <c r="F758" s="656" t="s">
        <v>881</v>
      </c>
      <c r="G758" s="719"/>
      <c r="H758" s="719"/>
      <c r="I758" s="719"/>
      <c r="J758" s="719"/>
      <c r="K758" s="719"/>
      <c r="L758" s="719"/>
      <c r="M758" s="719"/>
      <c r="N758" s="719"/>
      <c r="O758" s="719"/>
      <c r="P758" s="716"/>
      <c r="Q758" s="716"/>
      <c r="R758" s="716"/>
      <c r="S758" s="667">
        <v>0</v>
      </c>
      <c r="T758" s="667">
        <v>0</v>
      </c>
      <c r="U758" s="667">
        <v>0</v>
      </c>
      <c r="V758" s="667">
        <v>0</v>
      </c>
      <c r="W758" s="667">
        <v>0</v>
      </c>
      <c r="X758" s="667">
        <v>0</v>
      </c>
      <c r="Y758" s="667">
        <v>0</v>
      </c>
      <c r="Z758" s="667">
        <v>0</v>
      </c>
      <c r="AA758" s="667">
        <v>0</v>
      </c>
      <c r="AB758" s="667">
        <v>0</v>
      </c>
      <c r="AC758" s="665">
        <v>0</v>
      </c>
      <c r="AD758" s="665">
        <v>0</v>
      </c>
      <c r="AE758" s="667">
        <v>0</v>
      </c>
      <c r="AF758" s="719">
        <v>0</v>
      </c>
      <c r="AG758" s="665">
        <v>0</v>
      </c>
      <c r="AH758" s="716"/>
      <c r="AI758" s="716"/>
      <c r="AJ758" s="716"/>
      <c r="AK758" s="716"/>
      <c r="AL758" s="716"/>
      <c r="AM758" s="716"/>
      <c r="AN758" s="716"/>
      <c r="AO758" s="716"/>
      <c r="AP758" s="716"/>
      <c r="AQ758" s="716"/>
      <c r="AR758" s="716"/>
      <c r="AS758" s="716"/>
      <c r="AT758" s="716"/>
      <c r="AU758" s="716"/>
      <c r="AV758" s="716"/>
      <c r="AW758" s="716"/>
      <c r="AX758" s="716"/>
      <c r="AY758" s="716"/>
      <c r="AZ758" s="716"/>
      <c r="BA758" s="716"/>
      <c r="BB758" s="716"/>
      <c r="BC758" s="716"/>
      <c r="BD758" s="716"/>
      <c r="BE758" s="716"/>
      <c r="BF758" s="716"/>
      <c r="BG758" s="716"/>
      <c r="BH758" s="716"/>
      <c r="BI758" s="716"/>
      <c r="BJ758" s="716"/>
      <c r="BK758" s="716"/>
      <c r="BL758" s="716"/>
      <c r="BM758" s="716"/>
      <c r="BN758" s="716"/>
      <c r="BO758" s="716"/>
      <c r="BP758" s="716"/>
      <c r="BQ758" s="716"/>
      <c r="BR758" s="716"/>
      <c r="BS758" s="716"/>
      <c r="BT758" s="716"/>
      <c r="BU758" s="716"/>
      <c r="BV758" s="716"/>
      <c r="BW758" s="716"/>
      <c r="BX758" s="716"/>
      <c r="BY758" s="716"/>
      <c r="BZ758" s="716"/>
      <c r="CA758" s="716"/>
    </row>
    <row r="759" spans="1:79" hidden="1" outlineLevel="1" x14ac:dyDescent="0.25">
      <c r="A759" s="657"/>
      <c r="B759" s="570"/>
      <c r="C759" s="570"/>
      <c r="D759" s="570"/>
      <c r="E759" s="570" t="s">
        <v>49</v>
      </c>
      <c r="F759" s="657" t="s">
        <v>664</v>
      </c>
      <c r="G759" s="664">
        <f>SUM(G750:G758)</f>
        <v>0</v>
      </c>
      <c r="H759" s="664">
        <f t="shared" ref="H759:BO759" si="317">SUM(H750:H758)</f>
        <v>0</v>
      </c>
      <c r="I759" s="664">
        <f t="shared" si="317"/>
        <v>0</v>
      </c>
      <c r="J759" s="664">
        <f t="shared" si="317"/>
        <v>0</v>
      </c>
      <c r="K759" s="664">
        <f t="shared" si="317"/>
        <v>0</v>
      </c>
      <c r="L759" s="664">
        <f t="shared" si="317"/>
        <v>0</v>
      </c>
      <c r="M759" s="664">
        <f t="shared" si="317"/>
        <v>0</v>
      </c>
      <c r="N759" s="664">
        <f t="shared" si="317"/>
        <v>0</v>
      </c>
      <c r="O759" s="664">
        <f t="shared" si="317"/>
        <v>0</v>
      </c>
      <c r="P759" s="664">
        <f t="shared" si="317"/>
        <v>0</v>
      </c>
      <c r="Q759" s="664">
        <f t="shared" si="317"/>
        <v>0</v>
      </c>
      <c r="R759" s="664">
        <f t="shared" si="317"/>
        <v>0</v>
      </c>
      <c r="S759" s="678">
        <f t="shared" ref="S759:AA759" si="318">ROUND(SUM(S749:S758),5)</f>
        <v>0</v>
      </c>
      <c r="T759" s="678">
        <f t="shared" si="318"/>
        <v>0</v>
      </c>
      <c r="U759" s="678">
        <f t="shared" si="318"/>
        <v>0</v>
      </c>
      <c r="V759" s="678">
        <f t="shared" si="318"/>
        <v>0</v>
      </c>
      <c r="W759" s="678">
        <f t="shared" si="318"/>
        <v>0</v>
      </c>
      <c r="X759" s="678">
        <f t="shared" si="318"/>
        <v>0</v>
      </c>
      <c r="Y759" s="678">
        <f t="shared" si="318"/>
        <v>0</v>
      </c>
      <c r="Z759" s="678">
        <f t="shared" si="318"/>
        <v>87.37</v>
      </c>
      <c r="AA759" s="678">
        <f t="shared" si="318"/>
        <v>83.25</v>
      </c>
      <c r="AB759" s="678">
        <f t="shared" ref="AB759:AG759" si="319">ROUND(SUM(AB749:AB758),5)</f>
        <v>81.150000000000006</v>
      </c>
      <c r="AC759" s="678">
        <f t="shared" si="319"/>
        <v>73.11</v>
      </c>
      <c r="AD759" s="678">
        <f t="shared" si="319"/>
        <v>0</v>
      </c>
      <c r="AE759" s="678">
        <f t="shared" si="319"/>
        <v>39.799999999999997</v>
      </c>
      <c r="AF759" s="664">
        <f t="shared" si="319"/>
        <v>174.42</v>
      </c>
      <c r="AG759" s="678">
        <f t="shared" si="319"/>
        <v>169.18</v>
      </c>
      <c r="AH759" s="664">
        <f t="shared" si="317"/>
        <v>0</v>
      </c>
      <c r="AI759" s="664">
        <f t="shared" si="317"/>
        <v>0</v>
      </c>
      <c r="AJ759" s="664">
        <f t="shared" si="317"/>
        <v>0</v>
      </c>
      <c r="AK759" s="664">
        <f t="shared" si="317"/>
        <v>0</v>
      </c>
      <c r="AL759" s="664">
        <f t="shared" si="317"/>
        <v>0</v>
      </c>
      <c r="AM759" s="664">
        <f t="shared" si="317"/>
        <v>0</v>
      </c>
      <c r="AN759" s="664">
        <f t="shared" si="317"/>
        <v>0</v>
      </c>
      <c r="AO759" s="664">
        <f t="shared" si="317"/>
        <v>0</v>
      </c>
      <c r="AP759" s="664">
        <f t="shared" si="317"/>
        <v>0</v>
      </c>
      <c r="AQ759" s="664">
        <f t="shared" si="317"/>
        <v>0</v>
      </c>
      <c r="AR759" s="664">
        <f t="shared" si="317"/>
        <v>0</v>
      </c>
      <c r="AS759" s="664">
        <f t="shared" si="317"/>
        <v>0</v>
      </c>
      <c r="AT759" s="664">
        <f t="shared" si="317"/>
        <v>0</v>
      </c>
      <c r="AU759" s="664">
        <f t="shared" si="317"/>
        <v>0</v>
      </c>
      <c r="AV759" s="664">
        <f t="shared" si="317"/>
        <v>0</v>
      </c>
      <c r="AW759" s="664">
        <f t="shared" si="317"/>
        <v>0</v>
      </c>
      <c r="AX759" s="664">
        <f t="shared" si="317"/>
        <v>0</v>
      </c>
      <c r="AY759" s="664">
        <f t="shared" si="317"/>
        <v>0</v>
      </c>
      <c r="AZ759" s="664">
        <f t="shared" si="317"/>
        <v>0</v>
      </c>
      <c r="BA759" s="664">
        <f t="shared" si="317"/>
        <v>0</v>
      </c>
      <c r="BB759" s="664">
        <f t="shared" si="317"/>
        <v>0</v>
      </c>
      <c r="BC759" s="664">
        <f t="shared" si="317"/>
        <v>0</v>
      </c>
      <c r="BD759" s="664">
        <f t="shared" si="317"/>
        <v>0</v>
      </c>
      <c r="BE759" s="664">
        <f t="shared" si="317"/>
        <v>0</v>
      </c>
      <c r="BF759" s="664">
        <f t="shared" si="317"/>
        <v>0</v>
      </c>
      <c r="BG759" s="664">
        <f t="shared" si="317"/>
        <v>0</v>
      </c>
      <c r="BH759" s="664">
        <f t="shared" si="317"/>
        <v>0</v>
      </c>
      <c r="BI759" s="664">
        <f t="shared" si="317"/>
        <v>0</v>
      </c>
      <c r="BJ759" s="664">
        <f t="shared" si="317"/>
        <v>0</v>
      </c>
      <c r="BK759" s="664">
        <f t="shared" si="317"/>
        <v>0</v>
      </c>
      <c r="BL759" s="664">
        <f t="shared" si="317"/>
        <v>0</v>
      </c>
      <c r="BM759" s="664">
        <f t="shared" si="317"/>
        <v>0</v>
      </c>
      <c r="BN759" s="664">
        <f t="shared" si="317"/>
        <v>0</v>
      </c>
      <c r="BO759" s="664">
        <f t="shared" si="317"/>
        <v>0</v>
      </c>
      <c r="BP759" s="664">
        <f t="shared" ref="BP759:CA759" si="320">SUM(BP750:BP758)</f>
        <v>0</v>
      </c>
      <c r="BQ759" s="664">
        <f t="shared" si="320"/>
        <v>0</v>
      </c>
      <c r="BR759" s="664">
        <f t="shared" si="320"/>
        <v>0</v>
      </c>
      <c r="BS759" s="664">
        <f t="shared" si="320"/>
        <v>0</v>
      </c>
      <c r="BT759" s="664">
        <f t="shared" si="320"/>
        <v>0</v>
      </c>
      <c r="BU759" s="664">
        <f t="shared" si="320"/>
        <v>0</v>
      </c>
      <c r="BV759" s="664">
        <f t="shared" si="320"/>
        <v>0</v>
      </c>
      <c r="BW759" s="664">
        <f t="shared" si="320"/>
        <v>0</v>
      </c>
      <c r="BX759" s="664">
        <f t="shared" si="320"/>
        <v>0</v>
      </c>
      <c r="BY759" s="664">
        <f t="shared" si="320"/>
        <v>0</v>
      </c>
      <c r="BZ759" s="664">
        <f t="shared" si="320"/>
        <v>0</v>
      </c>
      <c r="CA759" s="664">
        <f t="shared" si="320"/>
        <v>0</v>
      </c>
    </row>
    <row r="760" spans="1:79" hidden="1" outlineLevel="1" x14ac:dyDescent="0.25">
      <c r="A760" s="655"/>
      <c r="B760" s="570"/>
      <c r="C760" s="570"/>
      <c r="D760" s="570"/>
      <c r="E760" s="570" t="s">
        <v>1336</v>
      </c>
      <c r="F760" s="655" t="s">
        <v>665</v>
      </c>
      <c r="G760" s="719"/>
      <c r="H760" s="719"/>
      <c r="I760" s="719"/>
      <c r="J760" s="719"/>
      <c r="K760" s="719"/>
      <c r="L760" s="719"/>
      <c r="M760" s="719"/>
      <c r="N760" s="719"/>
      <c r="O760" s="719"/>
      <c r="P760" s="716"/>
      <c r="Q760" s="716"/>
      <c r="R760" s="716"/>
      <c r="S760" s="667">
        <v>0</v>
      </c>
      <c r="T760" s="667">
        <v>0</v>
      </c>
      <c r="U760" s="667">
        <v>0</v>
      </c>
      <c r="V760" s="667">
        <v>0</v>
      </c>
      <c r="W760" s="667">
        <v>0</v>
      </c>
      <c r="X760" s="667">
        <v>0</v>
      </c>
      <c r="Y760" s="667">
        <v>0</v>
      </c>
      <c r="Z760" s="667">
        <v>0</v>
      </c>
      <c r="AA760" s="667">
        <v>0</v>
      </c>
      <c r="AB760" s="667">
        <v>0</v>
      </c>
      <c r="AC760" s="665">
        <v>0</v>
      </c>
      <c r="AD760" s="665">
        <v>0</v>
      </c>
      <c r="AE760" s="667">
        <v>0</v>
      </c>
      <c r="AF760" s="719">
        <v>0</v>
      </c>
      <c r="AG760" s="665">
        <v>0</v>
      </c>
      <c r="AH760" s="716"/>
      <c r="AI760" s="716"/>
      <c r="AJ760" s="716"/>
      <c r="AK760" s="716"/>
      <c r="AL760" s="716"/>
      <c r="AM760" s="716"/>
      <c r="AN760" s="716"/>
      <c r="AO760" s="716"/>
      <c r="AP760" s="716"/>
      <c r="AQ760" s="716"/>
      <c r="AR760" s="716"/>
      <c r="AS760" s="716"/>
      <c r="AT760" s="716"/>
      <c r="AU760" s="716"/>
      <c r="AV760" s="716"/>
      <c r="AW760" s="716"/>
      <c r="AX760" s="716"/>
      <c r="AY760" s="716"/>
      <c r="AZ760" s="716"/>
      <c r="BA760" s="716"/>
      <c r="BB760" s="716"/>
      <c r="BC760" s="716"/>
      <c r="BD760" s="716"/>
      <c r="BE760" s="716"/>
      <c r="BF760" s="716"/>
      <c r="BG760" s="716"/>
      <c r="BH760" s="716"/>
      <c r="BI760" s="716"/>
      <c r="BJ760" s="716"/>
      <c r="BK760" s="716"/>
      <c r="BL760" s="716"/>
      <c r="BM760" s="716"/>
      <c r="BN760" s="716"/>
      <c r="BO760" s="716"/>
      <c r="BP760" s="716"/>
      <c r="BQ760" s="716"/>
      <c r="BR760" s="716"/>
      <c r="BS760" s="716"/>
      <c r="BT760" s="716"/>
      <c r="BU760" s="716"/>
      <c r="BV760" s="716"/>
      <c r="BW760" s="716"/>
      <c r="BX760" s="716"/>
      <c r="BY760" s="716"/>
      <c r="BZ760" s="716"/>
      <c r="CA760" s="716"/>
    </row>
    <row r="761" spans="1:79" s="693" customFormat="1" hidden="1" outlineLevel="1" x14ac:dyDescent="0.25">
      <c r="A761" s="701"/>
      <c r="E761" s="570" t="s">
        <v>1337</v>
      </c>
      <c r="F761" s="701" t="s">
        <v>593</v>
      </c>
      <c r="G761" s="733"/>
      <c r="H761" s="733"/>
      <c r="I761" s="733"/>
      <c r="J761" s="733"/>
      <c r="K761" s="733"/>
      <c r="L761" s="733"/>
      <c r="M761" s="733"/>
      <c r="N761" s="733"/>
      <c r="O761" s="733"/>
      <c r="P761" s="734"/>
      <c r="Q761" s="734"/>
      <c r="R761" s="734"/>
      <c r="S761" s="697"/>
      <c r="T761" s="697"/>
      <c r="U761" s="697"/>
      <c r="V761" s="697"/>
      <c r="W761" s="697"/>
      <c r="X761" s="697"/>
      <c r="Y761" s="697"/>
      <c r="Z761" s="697"/>
      <c r="AA761" s="697"/>
      <c r="AB761" s="697"/>
      <c r="AC761" s="696"/>
      <c r="AD761" s="696"/>
      <c r="AE761" s="697"/>
      <c r="AF761" s="733"/>
      <c r="AG761" s="696"/>
      <c r="AH761" s="734"/>
      <c r="AI761" s="734"/>
      <c r="AJ761" s="734"/>
      <c r="AK761" s="734"/>
      <c r="AL761" s="734"/>
      <c r="AM761" s="734"/>
      <c r="AN761" s="734"/>
      <c r="AO761" s="734"/>
      <c r="AP761" s="734"/>
      <c r="AQ761" s="734"/>
      <c r="AR761" s="734"/>
      <c r="AS761" s="734"/>
      <c r="AT761" s="734"/>
      <c r="AU761" s="734"/>
      <c r="AV761" s="734"/>
      <c r="AW761" s="734"/>
      <c r="AX761" s="734"/>
      <c r="AY761" s="734"/>
      <c r="AZ761" s="734"/>
      <c r="BA761" s="734"/>
      <c r="BB761" s="734"/>
      <c r="BC761" s="734"/>
      <c r="BD761" s="734"/>
      <c r="BE761" s="734"/>
      <c r="BF761" s="734"/>
      <c r="BG761" s="734"/>
      <c r="BH761" s="734"/>
      <c r="BI761" s="734"/>
      <c r="BJ761" s="734"/>
      <c r="BK761" s="734"/>
      <c r="BL761" s="734"/>
      <c r="BM761" s="734"/>
      <c r="BN761" s="734"/>
      <c r="BO761" s="734"/>
      <c r="BP761" s="734"/>
      <c r="BQ761" s="734"/>
      <c r="BR761" s="734"/>
      <c r="BS761" s="734"/>
      <c r="BT761" s="734"/>
      <c r="BU761" s="734"/>
      <c r="BV761" s="734"/>
      <c r="BW761" s="734"/>
      <c r="BX761" s="734"/>
      <c r="BY761" s="734"/>
      <c r="BZ761" s="734"/>
      <c r="CA761" s="734"/>
    </row>
    <row r="762" spans="1:79" hidden="1" outlineLevel="1" x14ac:dyDescent="0.25">
      <c r="A762" s="656"/>
      <c r="B762" s="570"/>
      <c r="C762" s="570"/>
      <c r="D762" s="570"/>
      <c r="E762" s="570" t="s">
        <v>1337</v>
      </c>
      <c r="F762" s="656" t="s">
        <v>882</v>
      </c>
      <c r="G762" s="719"/>
      <c r="H762" s="719"/>
      <c r="I762" s="719"/>
      <c r="J762" s="719"/>
      <c r="K762" s="719"/>
      <c r="L762" s="719"/>
      <c r="M762" s="719"/>
      <c r="N762" s="719"/>
      <c r="O762" s="719"/>
      <c r="P762" s="716"/>
      <c r="Q762" s="716"/>
      <c r="R762" s="716"/>
      <c r="S762" s="671">
        <v>0</v>
      </c>
      <c r="T762" s="671">
        <v>0</v>
      </c>
      <c r="U762" s="671">
        <v>0</v>
      </c>
      <c r="V762" s="671">
        <v>0</v>
      </c>
      <c r="W762" s="671">
        <v>0</v>
      </c>
      <c r="X762" s="671">
        <v>0</v>
      </c>
      <c r="Y762" s="671">
        <v>0</v>
      </c>
      <c r="Z762" s="671">
        <v>0</v>
      </c>
      <c r="AA762" s="671">
        <v>0</v>
      </c>
      <c r="AB762" s="671">
        <v>0</v>
      </c>
      <c r="AC762" s="669">
        <v>0</v>
      </c>
      <c r="AD762" s="669">
        <v>0</v>
      </c>
      <c r="AE762" s="671">
        <v>0</v>
      </c>
      <c r="AF762" s="719">
        <v>0</v>
      </c>
      <c r="AG762" s="669">
        <v>0</v>
      </c>
      <c r="AH762" s="716"/>
      <c r="AI762" s="716"/>
      <c r="AJ762" s="716"/>
      <c r="AK762" s="716"/>
      <c r="AL762" s="716"/>
      <c r="AM762" s="716"/>
      <c r="AN762" s="716"/>
      <c r="AO762" s="716"/>
      <c r="AP762" s="716"/>
      <c r="AQ762" s="716"/>
      <c r="AR762" s="716"/>
      <c r="AS762" s="716"/>
      <c r="AT762" s="716"/>
      <c r="AU762" s="716"/>
      <c r="AV762" s="716"/>
      <c r="AW762" s="716"/>
      <c r="AX762" s="716"/>
      <c r="AY762" s="716"/>
      <c r="AZ762" s="716"/>
      <c r="BA762" s="716"/>
      <c r="BB762" s="716"/>
      <c r="BC762" s="716"/>
      <c r="BD762" s="716"/>
      <c r="BE762" s="716"/>
      <c r="BF762" s="716"/>
      <c r="BG762" s="716"/>
      <c r="BH762" s="716"/>
      <c r="BI762" s="716"/>
      <c r="BJ762" s="716"/>
      <c r="BK762" s="716"/>
      <c r="BL762" s="716"/>
      <c r="BM762" s="716"/>
      <c r="BN762" s="716"/>
      <c r="BO762" s="716"/>
      <c r="BP762" s="716"/>
      <c r="BQ762" s="716"/>
      <c r="BR762" s="716"/>
      <c r="BS762" s="716"/>
      <c r="BT762" s="716"/>
      <c r="BU762" s="716"/>
      <c r="BV762" s="716"/>
      <c r="BW762" s="716"/>
      <c r="BX762" s="716"/>
      <c r="BY762" s="716"/>
      <c r="BZ762" s="716"/>
      <c r="CA762" s="716"/>
    </row>
    <row r="763" spans="1:79" hidden="1" outlineLevel="1" x14ac:dyDescent="0.25">
      <c r="A763" s="656"/>
      <c r="B763" s="570"/>
      <c r="C763" s="570"/>
      <c r="D763" s="570"/>
      <c r="E763" s="570" t="s">
        <v>941</v>
      </c>
      <c r="F763" s="656" t="s">
        <v>883</v>
      </c>
      <c r="G763" s="719"/>
      <c r="H763" s="719"/>
      <c r="I763" s="719"/>
      <c r="J763" s="719"/>
      <c r="K763" s="719"/>
      <c r="L763" s="719"/>
      <c r="M763" s="719"/>
      <c r="N763" s="719"/>
      <c r="O763" s="719"/>
      <c r="P763" s="716"/>
      <c r="Q763" s="716"/>
      <c r="R763" s="716"/>
      <c r="S763" s="671">
        <v>0</v>
      </c>
      <c r="T763" s="671">
        <v>0</v>
      </c>
      <c r="U763" s="671">
        <v>0</v>
      </c>
      <c r="V763" s="671">
        <v>0</v>
      </c>
      <c r="W763" s="671">
        <v>0</v>
      </c>
      <c r="X763" s="671">
        <v>0</v>
      </c>
      <c r="Y763" s="671">
        <v>0</v>
      </c>
      <c r="Z763" s="671">
        <v>0</v>
      </c>
      <c r="AA763" s="671">
        <v>0</v>
      </c>
      <c r="AB763" s="671">
        <v>0</v>
      </c>
      <c r="AC763" s="669">
        <v>0</v>
      </c>
      <c r="AD763" s="669">
        <v>0</v>
      </c>
      <c r="AE763" s="671">
        <v>0</v>
      </c>
      <c r="AF763" s="719">
        <v>0</v>
      </c>
      <c r="AG763" s="669">
        <v>0</v>
      </c>
      <c r="AH763" s="716"/>
      <c r="AI763" s="716"/>
      <c r="AJ763" s="716"/>
      <c r="AK763" s="716"/>
      <c r="AL763" s="716"/>
      <c r="AM763" s="716"/>
      <c r="AN763" s="716"/>
      <c r="AO763" s="716"/>
      <c r="AP763" s="716"/>
      <c r="AQ763" s="716"/>
      <c r="AR763" s="716"/>
      <c r="AS763" s="716"/>
      <c r="AT763" s="716"/>
      <c r="AU763" s="716"/>
      <c r="AV763" s="716"/>
      <c r="AW763" s="716"/>
      <c r="AX763" s="716"/>
      <c r="AY763" s="716"/>
      <c r="AZ763" s="716"/>
      <c r="BA763" s="716"/>
      <c r="BB763" s="716"/>
      <c r="BC763" s="716"/>
      <c r="BD763" s="716"/>
      <c r="BE763" s="716"/>
      <c r="BF763" s="716"/>
      <c r="BG763" s="716"/>
      <c r="BH763" s="716"/>
      <c r="BI763" s="716"/>
      <c r="BJ763" s="716"/>
      <c r="BK763" s="716"/>
      <c r="BL763" s="716"/>
      <c r="BM763" s="716"/>
      <c r="BN763" s="716"/>
      <c r="BO763" s="716"/>
      <c r="BP763" s="716"/>
      <c r="BQ763" s="716"/>
      <c r="BR763" s="716"/>
      <c r="BS763" s="716"/>
      <c r="BT763" s="716"/>
      <c r="BU763" s="716"/>
      <c r="BV763" s="716"/>
      <c r="BW763" s="716"/>
      <c r="BX763" s="716"/>
      <c r="BY763" s="716"/>
      <c r="BZ763" s="716"/>
      <c r="CA763" s="716"/>
    </row>
    <row r="764" spans="1:79" hidden="1" outlineLevel="1" x14ac:dyDescent="0.25">
      <c r="A764" s="656"/>
      <c r="B764" s="570"/>
      <c r="C764" s="570"/>
      <c r="D764" s="570"/>
      <c r="E764" s="570" t="s">
        <v>11</v>
      </c>
      <c r="F764" s="656" t="s">
        <v>884</v>
      </c>
      <c r="G764" s="719"/>
      <c r="H764" s="719"/>
      <c r="I764" s="719"/>
      <c r="J764" s="719"/>
      <c r="K764" s="719"/>
      <c r="L764" s="719"/>
      <c r="M764" s="719"/>
      <c r="N764" s="719"/>
      <c r="O764" s="719"/>
      <c r="P764" s="716"/>
      <c r="Q764" s="716"/>
      <c r="R764" s="716"/>
      <c r="S764" s="671">
        <v>0</v>
      </c>
      <c r="T764" s="671">
        <v>0</v>
      </c>
      <c r="U764" s="671">
        <v>0</v>
      </c>
      <c r="V764" s="671">
        <v>0</v>
      </c>
      <c r="W764" s="671">
        <v>0</v>
      </c>
      <c r="X764" s="671">
        <v>0</v>
      </c>
      <c r="Y764" s="671">
        <v>0</v>
      </c>
      <c r="Z764" s="671">
        <v>0</v>
      </c>
      <c r="AA764" s="671">
        <v>0</v>
      </c>
      <c r="AB764" s="671">
        <v>0</v>
      </c>
      <c r="AC764" s="669">
        <v>0</v>
      </c>
      <c r="AD764" s="669">
        <v>0</v>
      </c>
      <c r="AE764" s="671">
        <v>0</v>
      </c>
      <c r="AF764" s="719">
        <v>0</v>
      </c>
      <c r="AG764" s="669">
        <v>0</v>
      </c>
      <c r="AH764" s="716"/>
      <c r="AI764" s="716"/>
      <c r="AJ764" s="716"/>
      <c r="AK764" s="716"/>
      <c r="AL764" s="716"/>
      <c r="AM764" s="716"/>
      <c r="AN764" s="716"/>
      <c r="AO764" s="716"/>
      <c r="AP764" s="716"/>
      <c r="AQ764" s="716"/>
      <c r="AR764" s="716"/>
      <c r="AS764" s="716"/>
      <c r="AT764" s="716"/>
      <c r="AU764" s="716"/>
      <c r="AV764" s="716"/>
      <c r="AW764" s="716"/>
      <c r="AX764" s="716"/>
      <c r="AY764" s="716"/>
      <c r="AZ764" s="716"/>
      <c r="BA764" s="716"/>
      <c r="BB764" s="716"/>
      <c r="BC764" s="716"/>
      <c r="BD764" s="716"/>
      <c r="BE764" s="716"/>
      <c r="BF764" s="716"/>
      <c r="BG764" s="716"/>
      <c r="BH764" s="716"/>
      <c r="BI764" s="716"/>
      <c r="BJ764" s="716"/>
      <c r="BK764" s="716"/>
      <c r="BL764" s="716"/>
      <c r="BM764" s="716"/>
      <c r="BN764" s="716"/>
      <c r="BO764" s="716"/>
      <c r="BP764" s="716"/>
      <c r="BQ764" s="716"/>
      <c r="BR764" s="716"/>
      <c r="BS764" s="716"/>
      <c r="BT764" s="716"/>
      <c r="BU764" s="716"/>
      <c r="BV764" s="716"/>
      <c r="BW764" s="716"/>
      <c r="BX764" s="716"/>
      <c r="BY764" s="716"/>
      <c r="BZ764" s="716"/>
      <c r="CA764" s="716"/>
    </row>
    <row r="765" spans="1:79" hidden="1" outlineLevel="1" x14ac:dyDescent="0.25">
      <c r="A765" s="656"/>
      <c r="B765" s="570"/>
      <c r="C765" s="570"/>
      <c r="D765" s="570"/>
      <c r="E765" s="570" t="s">
        <v>1337</v>
      </c>
      <c r="F765" s="656" t="s">
        <v>885</v>
      </c>
      <c r="G765" s="719"/>
      <c r="H765" s="719"/>
      <c r="I765" s="719"/>
      <c r="J765" s="719"/>
      <c r="K765" s="719"/>
      <c r="L765" s="719"/>
      <c r="M765" s="719"/>
      <c r="N765" s="719"/>
      <c r="O765" s="719"/>
      <c r="P765" s="716"/>
      <c r="Q765" s="716"/>
      <c r="R765" s="716"/>
      <c r="S765" s="671">
        <v>0</v>
      </c>
      <c r="T765" s="671">
        <v>0</v>
      </c>
      <c r="U765" s="671">
        <v>0</v>
      </c>
      <c r="V765" s="671">
        <v>0</v>
      </c>
      <c r="W765" s="671">
        <v>0</v>
      </c>
      <c r="X765" s="671">
        <v>0</v>
      </c>
      <c r="Y765" s="671">
        <v>0</v>
      </c>
      <c r="Z765" s="671">
        <v>0</v>
      </c>
      <c r="AA765" s="671">
        <v>0</v>
      </c>
      <c r="AB765" s="671">
        <v>0</v>
      </c>
      <c r="AC765" s="669">
        <v>0</v>
      </c>
      <c r="AD765" s="669">
        <v>0</v>
      </c>
      <c r="AE765" s="671">
        <v>0</v>
      </c>
      <c r="AF765" s="719">
        <v>0</v>
      </c>
      <c r="AG765" s="669">
        <v>0</v>
      </c>
      <c r="AH765" s="716"/>
      <c r="AI765" s="716"/>
      <c r="AJ765" s="716"/>
      <c r="AK765" s="716"/>
      <c r="AL765" s="716"/>
      <c r="AM765" s="716"/>
      <c r="AN765" s="716"/>
      <c r="AO765" s="716"/>
      <c r="AP765" s="716"/>
      <c r="AQ765" s="716"/>
      <c r="AR765" s="716"/>
      <c r="AS765" s="716"/>
      <c r="AT765" s="716"/>
      <c r="AU765" s="716"/>
      <c r="AV765" s="716"/>
      <c r="AW765" s="716"/>
      <c r="AX765" s="716"/>
      <c r="AY765" s="716"/>
      <c r="AZ765" s="716"/>
      <c r="BA765" s="716"/>
      <c r="BB765" s="716"/>
      <c r="BC765" s="716"/>
      <c r="BD765" s="716"/>
      <c r="BE765" s="716"/>
      <c r="BF765" s="716"/>
      <c r="BG765" s="716"/>
      <c r="BH765" s="716"/>
      <c r="BI765" s="716"/>
      <c r="BJ765" s="716"/>
      <c r="BK765" s="716"/>
      <c r="BL765" s="716"/>
      <c r="BM765" s="716"/>
      <c r="BN765" s="716"/>
      <c r="BO765" s="716"/>
      <c r="BP765" s="716"/>
      <c r="BQ765" s="716"/>
      <c r="BR765" s="716"/>
      <c r="BS765" s="716"/>
      <c r="BT765" s="716"/>
      <c r="BU765" s="716"/>
      <c r="BV765" s="716"/>
      <c r="BW765" s="716"/>
      <c r="BX765" s="716"/>
      <c r="BY765" s="716"/>
      <c r="BZ765" s="716"/>
      <c r="CA765" s="716"/>
    </row>
    <row r="766" spans="1:79" hidden="1" outlineLevel="1" x14ac:dyDescent="0.25">
      <c r="A766" s="656"/>
      <c r="B766" s="570"/>
      <c r="C766" s="570"/>
      <c r="D766" s="570"/>
      <c r="E766" s="570" t="s">
        <v>1270</v>
      </c>
      <c r="F766" s="656" t="s">
        <v>818</v>
      </c>
      <c r="G766" s="719"/>
      <c r="H766" s="719"/>
      <c r="I766" s="719"/>
      <c r="J766" s="719"/>
      <c r="K766" s="719"/>
      <c r="L766" s="719"/>
      <c r="M766" s="719"/>
      <c r="N766" s="719"/>
      <c r="O766" s="719"/>
      <c r="P766" s="716"/>
      <c r="Q766" s="716"/>
      <c r="R766" s="716"/>
      <c r="S766" s="671">
        <v>0</v>
      </c>
      <c r="T766" s="671">
        <v>0</v>
      </c>
      <c r="U766" s="671">
        <v>0</v>
      </c>
      <c r="V766" s="671">
        <v>0</v>
      </c>
      <c r="W766" s="671">
        <v>0</v>
      </c>
      <c r="X766" s="671">
        <v>0</v>
      </c>
      <c r="Y766" s="671">
        <v>0</v>
      </c>
      <c r="Z766" s="671">
        <v>0</v>
      </c>
      <c r="AA766" s="671">
        <v>0</v>
      </c>
      <c r="AB766" s="671">
        <v>0</v>
      </c>
      <c r="AC766" s="669">
        <v>0</v>
      </c>
      <c r="AD766" s="669">
        <v>0</v>
      </c>
      <c r="AE766" s="671">
        <v>0</v>
      </c>
      <c r="AF766" s="719">
        <v>0</v>
      </c>
      <c r="AG766" s="669">
        <v>0</v>
      </c>
      <c r="AH766" s="716"/>
      <c r="AI766" s="716"/>
      <c r="AJ766" s="716"/>
      <c r="AK766" s="716"/>
      <c r="AL766" s="716"/>
      <c r="AM766" s="716"/>
      <c r="AN766" s="716"/>
      <c r="AO766" s="716"/>
      <c r="AP766" s="716"/>
      <c r="AQ766" s="716"/>
      <c r="AR766" s="716"/>
      <c r="AS766" s="716"/>
      <c r="AT766" s="716"/>
      <c r="AU766" s="716"/>
      <c r="AV766" s="716"/>
      <c r="AW766" s="716"/>
      <c r="AX766" s="716"/>
      <c r="AY766" s="716"/>
      <c r="AZ766" s="716"/>
      <c r="BA766" s="716"/>
      <c r="BB766" s="716"/>
      <c r="BC766" s="716"/>
      <c r="BD766" s="716"/>
      <c r="BE766" s="716"/>
      <c r="BF766" s="716"/>
      <c r="BG766" s="716"/>
      <c r="BH766" s="716"/>
      <c r="BI766" s="716"/>
      <c r="BJ766" s="716"/>
      <c r="BK766" s="716"/>
      <c r="BL766" s="716"/>
      <c r="BM766" s="716"/>
      <c r="BN766" s="716"/>
      <c r="BO766" s="716"/>
      <c r="BP766" s="716"/>
      <c r="BQ766" s="716"/>
      <c r="BR766" s="716"/>
      <c r="BS766" s="716"/>
      <c r="BT766" s="716"/>
      <c r="BU766" s="716"/>
      <c r="BV766" s="716"/>
      <c r="BW766" s="716"/>
      <c r="BX766" s="716"/>
      <c r="BY766" s="716"/>
      <c r="BZ766" s="716"/>
      <c r="CA766" s="716"/>
    </row>
    <row r="767" spans="1:79" hidden="1" outlineLevel="1" x14ac:dyDescent="0.25">
      <c r="A767" s="656"/>
      <c r="B767" s="570"/>
      <c r="C767" s="570"/>
      <c r="D767" s="570"/>
      <c r="E767" s="570" t="s">
        <v>1260</v>
      </c>
      <c r="F767" s="656" t="s">
        <v>609</v>
      </c>
      <c r="G767" s="719"/>
      <c r="H767" s="719"/>
      <c r="I767" s="719"/>
      <c r="J767" s="719"/>
      <c r="K767" s="719"/>
      <c r="L767" s="719"/>
      <c r="M767" s="719"/>
      <c r="N767" s="719"/>
      <c r="O767" s="719"/>
      <c r="P767" s="716"/>
      <c r="Q767" s="716"/>
      <c r="R767" s="716"/>
      <c r="S767" s="671">
        <v>0</v>
      </c>
      <c r="T767" s="671">
        <v>0</v>
      </c>
      <c r="U767" s="671">
        <v>0</v>
      </c>
      <c r="V767" s="671">
        <v>0</v>
      </c>
      <c r="W767" s="671">
        <v>0</v>
      </c>
      <c r="X767" s="671">
        <v>0</v>
      </c>
      <c r="Y767" s="671">
        <v>0</v>
      </c>
      <c r="Z767" s="671">
        <v>0</v>
      </c>
      <c r="AA767" s="671">
        <v>0</v>
      </c>
      <c r="AB767" s="671">
        <v>0</v>
      </c>
      <c r="AC767" s="669">
        <v>0</v>
      </c>
      <c r="AD767" s="669">
        <v>0</v>
      </c>
      <c r="AE767" s="671">
        <v>0</v>
      </c>
      <c r="AF767" s="719">
        <v>0</v>
      </c>
      <c r="AG767" s="669">
        <v>0</v>
      </c>
      <c r="AH767" s="716"/>
      <c r="AI767" s="716"/>
      <c r="AJ767" s="716"/>
      <c r="AK767" s="716"/>
      <c r="AL767" s="716"/>
      <c r="AM767" s="716"/>
      <c r="AN767" s="716"/>
      <c r="AO767" s="716"/>
      <c r="AP767" s="716"/>
      <c r="AQ767" s="716"/>
      <c r="AR767" s="716"/>
      <c r="AS767" s="716"/>
      <c r="AT767" s="716"/>
      <c r="AU767" s="716"/>
      <c r="AV767" s="716"/>
      <c r="AW767" s="716"/>
      <c r="AX767" s="716"/>
      <c r="AY767" s="716"/>
      <c r="AZ767" s="716"/>
      <c r="BA767" s="716"/>
      <c r="BB767" s="716"/>
      <c r="BC767" s="716"/>
      <c r="BD767" s="716"/>
      <c r="BE767" s="716"/>
      <c r="BF767" s="716"/>
      <c r="BG767" s="716"/>
      <c r="BH767" s="716"/>
      <c r="BI767" s="716"/>
      <c r="BJ767" s="716"/>
      <c r="BK767" s="716"/>
      <c r="BL767" s="716"/>
      <c r="BM767" s="716"/>
      <c r="BN767" s="716"/>
      <c r="BO767" s="716"/>
      <c r="BP767" s="716"/>
      <c r="BQ767" s="716"/>
      <c r="BR767" s="716"/>
      <c r="BS767" s="716"/>
      <c r="BT767" s="716"/>
      <c r="BU767" s="716"/>
      <c r="BV767" s="716"/>
      <c r="BW767" s="716"/>
      <c r="BX767" s="716"/>
      <c r="BY767" s="716"/>
      <c r="BZ767" s="716"/>
      <c r="CA767" s="716"/>
    </row>
    <row r="768" spans="1:79" hidden="1" outlineLevel="1" x14ac:dyDescent="0.25">
      <c r="A768" s="656"/>
      <c r="B768" s="570"/>
      <c r="C768" s="570"/>
      <c r="D768" s="570"/>
      <c r="E768" s="570" t="s">
        <v>1326</v>
      </c>
      <c r="F768" s="656" t="s">
        <v>610</v>
      </c>
      <c r="G768" s="719"/>
      <c r="H768" s="719"/>
      <c r="I768" s="719"/>
      <c r="J768" s="719"/>
      <c r="K768" s="719"/>
      <c r="L768" s="719"/>
      <c r="M768" s="719"/>
      <c r="N768" s="719"/>
      <c r="O768" s="719"/>
      <c r="P768" s="716"/>
      <c r="Q768" s="716"/>
      <c r="R768" s="716"/>
      <c r="S768" s="676">
        <v>0</v>
      </c>
      <c r="T768" s="676">
        <v>0</v>
      </c>
      <c r="U768" s="676">
        <v>0</v>
      </c>
      <c r="V768" s="676">
        <v>0</v>
      </c>
      <c r="W768" s="676">
        <v>0</v>
      </c>
      <c r="X768" s="676">
        <v>0</v>
      </c>
      <c r="Y768" s="676">
        <v>0</v>
      </c>
      <c r="Z768" s="676">
        <v>0</v>
      </c>
      <c r="AA768" s="676">
        <v>0</v>
      </c>
      <c r="AB768" s="676">
        <v>0</v>
      </c>
      <c r="AC768" s="673">
        <v>0</v>
      </c>
      <c r="AD768" s="673">
        <v>0</v>
      </c>
      <c r="AE768" s="676">
        <v>0</v>
      </c>
      <c r="AF768" s="719">
        <v>0</v>
      </c>
      <c r="AG768" s="673">
        <v>0</v>
      </c>
      <c r="AH768" s="716"/>
      <c r="AI768" s="716"/>
      <c r="AJ768" s="716"/>
      <c r="AK768" s="716"/>
      <c r="AL768" s="716"/>
      <c r="AM768" s="716"/>
      <c r="AN768" s="716"/>
      <c r="AO768" s="716"/>
      <c r="AP768" s="716"/>
      <c r="AQ768" s="716"/>
      <c r="AR768" s="716"/>
      <c r="AS768" s="716"/>
      <c r="AT768" s="716"/>
      <c r="AU768" s="716"/>
      <c r="AV768" s="716"/>
      <c r="AW768" s="716"/>
      <c r="AX768" s="716"/>
      <c r="AY768" s="716"/>
      <c r="AZ768" s="716"/>
      <c r="BA768" s="716"/>
      <c r="BB768" s="716"/>
      <c r="BC768" s="716"/>
      <c r="BD768" s="716"/>
      <c r="BE768" s="716"/>
      <c r="BF768" s="716"/>
      <c r="BG768" s="716"/>
      <c r="BH768" s="716"/>
      <c r="BI768" s="716"/>
      <c r="BJ768" s="716"/>
      <c r="BK768" s="716"/>
      <c r="BL768" s="716"/>
      <c r="BM768" s="716"/>
      <c r="BN768" s="716"/>
      <c r="BO768" s="716"/>
      <c r="BP768" s="716"/>
      <c r="BQ768" s="716"/>
      <c r="BR768" s="716"/>
      <c r="BS768" s="716"/>
      <c r="BT768" s="716"/>
      <c r="BU768" s="716"/>
      <c r="BV768" s="716"/>
      <c r="BW768" s="716"/>
      <c r="BX768" s="716"/>
      <c r="BY768" s="716"/>
      <c r="BZ768" s="716"/>
      <c r="CA768" s="716"/>
    </row>
    <row r="769" spans="1:79" hidden="1" outlineLevel="1" x14ac:dyDescent="0.25">
      <c r="A769" s="656"/>
      <c r="B769" s="570"/>
      <c r="C769" s="570"/>
      <c r="D769" s="570"/>
      <c r="E769" s="570" t="s">
        <v>985</v>
      </c>
      <c r="F769" s="656" t="s">
        <v>611</v>
      </c>
      <c r="G769" s="719"/>
      <c r="H769" s="719"/>
      <c r="I769" s="719"/>
      <c r="J769" s="719"/>
      <c r="K769" s="719"/>
      <c r="L769" s="719"/>
      <c r="M769" s="719"/>
      <c r="N769" s="719"/>
      <c r="O769" s="719"/>
      <c r="P769" s="716"/>
      <c r="Q769" s="716"/>
      <c r="R769" s="716"/>
      <c r="S769" s="676">
        <v>0</v>
      </c>
      <c r="T769" s="676">
        <v>0</v>
      </c>
      <c r="U769" s="676">
        <v>0</v>
      </c>
      <c r="V769" s="676">
        <v>0</v>
      </c>
      <c r="W769" s="676">
        <v>0</v>
      </c>
      <c r="X769" s="676">
        <v>0</v>
      </c>
      <c r="Y769" s="676">
        <v>0</v>
      </c>
      <c r="Z769" s="676">
        <v>0</v>
      </c>
      <c r="AA769" s="676">
        <v>0</v>
      </c>
      <c r="AB769" s="676">
        <v>0</v>
      </c>
      <c r="AC769" s="673">
        <v>0</v>
      </c>
      <c r="AD769" s="673">
        <v>0</v>
      </c>
      <c r="AE769" s="676">
        <v>0</v>
      </c>
      <c r="AF769" s="719">
        <v>0</v>
      </c>
      <c r="AG769" s="673">
        <v>0</v>
      </c>
      <c r="AH769" s="716"/>
      <c r="AI769" s="716"/>
      <c r="AJ769" s="716"/>
      <c r="AK769" s="716"/>
      <c r="AL769" s="716"/>
      <c r="AM769" s="716"/>
      <c r="AN769" s="716"/>
      <c r="AO769" s="716"/>
      <c r="AP769" s="716"/>
      <c r="AQ769" s="716"/>
      <c r="AR769" s="716"/>
      <c r="AS769" s="716"/>
      <c r="AT769" s="716"/>
      <c r="AU769" s="716"/>
      <c r="AV769" s="716"/>
      <c r="AW769" s="716"/>
      <c r="AX769" s="716"/>
      <c r="AY769" s="716"/>
      <c r="AZ769" s="716"/>
      <c r="BA769" s="716"/>
      <c r="BB769" s="716"/>
      <c r="BC769" s="716"/>
      <c r="BD769" s="716"/>
      <c r="BE769" s="716"/>
      <c r="BF769" s="716"/>
      <c r="BG769" s="716"/>
      <c r="BH769" s="716"/>
      <c r="BI769" s="716"/>
      <c r="BJ769" s="716"/>
      <c r="BK769" s="716"/>
      <c r="BL769" s="716"/>
      <c r="BM769" s="716"/>
      <c r="BN769" s="716"/>
      <c r="BO769" s="716"/>
      <c r="BP769" s="716"/>
      <c r="BQ769" s="716"/>
      <c r="BR769" s="716"/>
      <c r="BS769" s="716"/>
      <c r="BT769" s="716"/>
      <c r="BU769" s="716"/>
      <c r="BV769" s="716"/>
      <c r="BW769" s="716"/>
      <c r="BX769" s="716"/>
      <c r="BY769" s="716"/>
      <c r="BZ769" s="716"/>
      <c r="CA769" s="716"/>
    </row>
    <row r="770" spans="1:79" hidden="1" outlineLevel="1" x14ac:dyDescent="0.25">
      <c r="A770" s="656"/>
      <c r="B770" s="570"/>
      <c r="C770" s="570"/>
      <c r="D770" s="570"/>
      <c r="E770" s="570" t="s">
        <v>11</v>
      </c>
      <c r="F770" s="656" t="s">
        <v>612</v>
      </c>
      <c r="G770" s="719"/>
      <c r="H770" s="719"/>
      <c r="I770" s="719"/>
      <c r="J770" s="719"/>
      <c r="K770" s="719"/>
      <c r="L770" s="719"/>
      <c r="M770" s="719"/>
      <c r="N770" s="719"/>
      <c r="O770" s="719"/>
      <c r="P770" s="716"/>
      <c r="Q770" s="716"/>
      <c r="R770" s="716"/>
      <c r="S770" s="676">
        <v>0</v>
      </c>
      <c r="T770" s="676">
        <v>0</v>
      </c>
      <c r="U770" s="676">
        <v>0</v>
      </c>
      <c r="V770" s="676">
        <v>0</v>
      </c>
      <c r="W770" s="676">
        <v>0</v>
      </c>
      <c r="X770" s="676">
        <v>0</v>
      </c>
      <c r="Y770" s="676">
        <v>0</v>
      </c>
      <c r="Z770" s="676">
        <v>0</v>
      </c>
      <c r="AA770" s="676">
        <v>0</v>
      </c>
      <c r="AB770" s="676">
        <v>0</v>
      </c>
      <c r="AC770" s="673">
        <v>0</v>
      </c>
      <c r="AD770" s="673">
        <v>0</v>
      </c>
      <c r="AE770" s="676">
        <v>0</v>
      </c>
      <c r="AF770" s="719">
        <v>0</v>
      </c>
      <c r="AG770" s="673">
        <v>0</v>
      </c>
      <c r="AH770" s="716"/>
      <c r="AI770" s="716"/>
      <c r="AJ770" s="716"/>
      <c r="AK770" s="716"/>
      <c r="AL770" s="716"/>
      <c r="AM770" s="716"/>
      <c r="AN770" s="716"/>
      <c r="AO770" s="716"/>
      <c r="AP770" s="716"/>
      <c r="AQ770" s="716"/>
      <c r="AR770" s="716"/>
      <c r="AS770" s="716"/>
      <c r="AT770" s="716"/>
      <c r="AU770" s="716"/>
      <c r="AV770" s="716"/>
      <c r="AW770" s="716"/>
      <c r="AX770" s="716"/>
      <c r="AY770" s="716"/>
      <c r="AZ770" s="716"/>
      <c r="BA770" s="716"/>
      <c r="BB770" s="716"/>
      <c r="BC770" s="716"/>
      <c r="BD770" s="716"/>
      <c r="BE770" s="716"/>
      <c r="BF770" s="716"/>
      <c r="BG770" s="716"/>
      <c r="BH770" s="716"/>
      <c r="BI770" s="716"/>
      <c r="BJ770" s="716"/>
      <c r="BK770" s="716"/>
      <c r="BL770" s="716"/>
      <c r="BM770" s="716"/>
      <c r="BN770" s="716"/>
      <c r="BO770" s="716"/>
      <c r="BP770" s="716"/>
      <c r="BQ770" s="716"/>
      <c r="BR770" s="716"/>
      <c r="BS770" s="716"/>
      <c r="BT770" s="716"/>
      <c r="BU770" s="716"/>
      <c r="BV770" s="716"/>
      <c r="BW770" s="716"/>
      <c r="BX770" s="716"/>
      <c r="BY770" s="716"/>
      <c r="BZ770" s="716"/>
      <c r="CA770" s="716"/>
    </row>
    <row r="771" spans="1:79" hidden="1" outlineLevel="1" x14ac:dyDescent="0.25">
      <c r="A771" s="656"/>
      <c r="B771" s="570"/>
      <c r="C771" s="570"/>
      <c r="D771" s="570"/>
      <c r="E771" s="570" t="s">
        <v>1337</v>
      </c>
      <c r="F771" s="656" t="s">
        <v>886</v>
      </c>
      <c r="G771" s="719"/>
      <c r="H771" s="719"/>
      <c r="I771" s="719"/>
      <c r="J771" s="719"/>
      <c r="K771" s="719"/>
      <c r="L771" s="719"/>
      <c r="M771" s="719"/>
      <c r="N771" s="719"/>
      <c r="O771" s="719"/>
      <c r="P771" s="716"/>
      <c r="Q771" s="716"/>
      <c r="R771" s="716"/>
      <c r="S771" s="676">
        <v>0</v>
      </c>
      <c r="T771" s="676">
        <v>0</v>
      </c>
      <c r="U771" s="676">
        <v>0</v>
      </c>
      <c r="V771" s="676">
        <v>0</v>
      </c>
      <c r="W771" s="676">
        <v>0</v>
      </c>
      <c r="X771" s="676">
        <v>0</v>
      </c>
      <c r="Y771" s="676">
        <v>0</v>
      </c>
      <c r="Z771" s="676">
        <v>0</v>
      </c>
      <c r="AA771" s="676">
        <v>0</v>
      </c>
      <c r="AB771" s="676">
        <v>0</v>
      </c>
      <c r="AC771" s="673">
        <v>0</v>
      </c>
      <c r="AD771" s="673">
        <v>0</v>
      </c>
      <c r="AE771" s="676">
        <v>0</v>
      </c>
      <c r="AF771" s="719">
        <v>0</v>
      </c>
      <c r="AG771" s="673">
        <v>0</v>
      </c>
      <c r="AH771" s="716"/>
      <c r="AI771" s="716"/>
      <c r="AJ771" s="716"/>
      <c r="AK771" s="716"/>
      <c r="AL771" s="716"/>
      <c r="AM771" s="716"/>
      <c r="AN771" s="716"/>
      <c r="AO771" s="716"/>
      <c r="AP771" s="716"/>
      <c r="AQ771" s="716"/>
      <c r="AR771" s="716"/>
      <c r="AS771" s="716"/>
      <c r="AT771" s="716"/>
      <c r="AU771" s="716"/>
      <c r="AV771" s="716"/>
      <c r="AW771" s="716"/>
      <c r="AX771" s="716"/>
      <c r="AY771" s="716"/>
      <c r="AZ771" s="716"/>
      <c r="BA771" s="716"/>
      <c r="BB771" s="716"/>
      <c r="BC771" s="716"/>
      <c r="BD771" s="716"/>
      <c r="BE771" s="716"/>
      <c r="BF771" s="716"/>
      <c r="BG771" s="716"/>
      <c r="BH771" s="716"/>
      <c r="BI771" s="716"/>
      <c r="BJ771" s="716"/>
      <c r="BK771" s="716"/>
      <c r="BL771" s="716"/>
      <c r="BM771" s="716"/>
      <c r="BN771" s="716"/>
      <c r="BO771" s="716"/>
      <c r="BP771" s="716"/>
      <c r="BQ771" s="716"/>
      <c r="BR771" s="716"/>
      <c r="BS771" s="716"/>
      <c r="BT771" s="716"/>
      <c r="BU771" s="716"/>
      <c r="BV771" s="716"/>
      <c r="BW771" s="716"/>
      <c r="BX771" s="716"/>
      <c r="BY771" s="716"/>
      <c r="BZ771" s="716"/>
      <c r="CA771" s="716"/>
    </row>
    <row r="772" spans="1:79" hidden="1" outlineLevel="1" x14ac:dyDescent="0.25">
      <c r="A772" s="656"/>
      <c r="B772" s="570"/>
      <c r="C772" s="570"/>
      <c r="D772" s="570"/>
      <c r="E772" s="570" t="s">
        <v>986</v>
      </c>
      <c r="F772" s="656" t="s">
        <v>763</v>
      </c>
      <c r="G772" s="719"/>
      <c r="H772" s="719"/>
      <c r="I772" s="719"/>
      <c r="J772" s="719"/>
      <c r="K772" s="719"/>
      <c r="L772" s="719"/>
      <c r="M772" s="719"/>
      <c r="N772" s="719"/>
      <c r="O772" s="719"/>
      <c r="P772" s="716"/>
      <c r="Q772" s="716"/>
      <c r="R772" s="716"/>
      <c r="S772" s="676">
        <v>0</v>
      </c>
      <c r="T772" s="676">
        <v>0</v>
      </c>
      <c r="U772" s="676">
        <v>0</v>
      </c>
      <c r="V772" s="676">
        <v>0</v>
      </c>
      <c r="W772" s="676">
        <v>0</v>
      </c>
      <c r="X772" s="676">
        <v>0</v>
      </c>
      <c r="Y772" s="676">
        <v>0</v>
      </c>
      <c r="Z772" s="676">
        <v>0</v>
      </c>
      <c r="AA772" s="676">
        <v>0</v>
      </c>
      <c r="AB772" s="676">
        <v>0</v>
      </c>
      <c r="AC772" s="673">
        <v>0</v>
      </c>
      <c r="AD772" s="673">
        <v>0</v>
      </c>
      <c r="AE772" s="676">
        <v>0</v>
      </c>
      <c r="AF772" s="719">
        <v>0</v>
      </c>
      <c r="AG772" s="673">
        <v>0</v>
      </c>
      <c r="AH772" s="716"/>
      <c r="AI772" s="716"/>
      <c r="AJ772" s="716"/>
      <c r="AK772" s="716"/>
      <c r="AL772" s="716"/>
      <c r="AM772" s="716"/>
      <c r="AN772" s="716"/>
      <c r="AO772" s="716"/>
      <c r="AP772" s="716"/>
      <c r="AQ772" s="716"/>
      <c r="AR772" s="716"/>
      <c r="AS772" s="716"/>
      <c r="AT772" s="716"/>
      <c r="AU772" s="716"/>
      <c r="AV772" s="716"/>
      <c r="AW772" s="716"/>
      <c r="AX772" s="716"/>
      <c r="AY772" s="716"/>
      <c r="AZ772" s="716"/>
      <c r="BA772" s="716"/>
      <c r="BB772" s="716"/>
      <c r="BC772" s="716"/>
      <c r="BD772" s="716"/>
      <c r="BE772" s="716"/>
      <c r="BF772" s="716"/>
      <c r="BG772" s="716"/>
      <c r="BH772" s="716"/>
      <c r="BI772" s="716"/>
      <c r="BJ772" s="716"/>
      <c r="BK772" s="716"/>
      <c r="BL772" s="716"/>
      <c r="BM772" s="716"/>
      <c r="BN772" s="716"/>
      <c r="BO772" s="716"/>
      <c r="BP772" s="716"/>
      <c r="BQ772" s="716"/>
      <c r="BR772" s="716"/>
      <c r="BS772" s="716"/>
      <c r="BT772" s="716"/>
      <c r="BU772" s="716"/>
      <c r="BV772" s="716"/>
      <c r="BW772" s="716"/>
      <c r="BX772" s="716"/>
      <c r="BY772" s="716"/>
      <c r="BZ772" s="716"/>
      <c r="CA772" s="716"/>
    </row>
    <row r="773" spans="1:79" hidden="1" outlineLevel="1" x14ac:dyDescent="0.25">
      <c r="A773" s="656"/>
      <c r="B773" s="570"/>
      <c r="C773" s="570"/>
      <c r="D773" s="570"/>
      <c r="E773" s="570" t="s">
        <v>986</v>
      </c>
      <c r="F773" s="656" t="s">
        <v>779</v>
      </c>
      <c r="G773" s="719"/>
      <c r="H773" s="719"/>
      <c r="I773" s="719"/>
      <c r="J773" s="719"/>
      <c r="K773" s="719"/>
      <c r="L773" s="719"/>
      <c r="M773" s="719"/>
      <c r="N773" s="719"/>
      <c r="O773" s="719"/>
      <c r="P773" s="716"/>
      <c r="Q773" s="716"/>
      <c r="R773" s="716"/>
      <c r="S773" s="676">
        <v>0</v>
      </c>
      <c r="T773" s="676">
        <v>0</v>
      </c>
      <c r="U773" s="676">
        <v>0</v>
      </c>
      <c r="V773" s="676">
        <v>0</v>
      </c>
      <c r="W773" s="676">
        <v>0</v>
      </c>
      <c r="X773" s="676">
        <v>0</v>
      </c>
      <c r="Y773" s="676">
        <v>0</v>
      </c>
      <c r="Z773" s="676">
        <v>0</v>
      </c>
      <c r="AA773" s="676">
        <v>0</v>
      </c>
      <c r="AB773" s="676">
        <v>0</v>
      </c>
      <c r="AC773" s="673">
        <v>0</v>
      </c>
      <c r="AD773" s="673">
        <v>0</v>
      </c>
      <c r="AE773" s="676">
        <v>0</v>
      </c>
      <c r="AF773" s="719">
        <v>0</v>
      </c>
      <c r="AG773" s="673">
        <v>0</v>
      </c>
      <c r="AH773" s="716"/>
      <c r="AI773" s="716"/>
      <c r="AJ773" s="716"/>
      <c r="AK773" s="716"/>
      <c r="AL773" s="716"/>
      <c r="AM773" s="716"/>
      <c r="AN773" s="716"/>
      <c r="AO773" s="716"/>
      <c r="AP773" s="716"/>
      <c r="AQ773" s="716"/>
      <c r="AR773" s="716"/>
      <c r="AS773" s="716"/>
      <c r="AT773" s="716"/>
      <c r="AU773" s="716"/>
      <c r="AV773" s="716"/>
      <c r="AW773" s="716"/>
      <c r="AX773" s="716"/>
      <c r="AY773" s="716"/>
      <c r="AZ773" s="716"/>
      <c r="BA773" s="716"/>
      <c r="BB773" s="716"/>
      <c r="BC773" s="716"/>
      <c r="BD773" s="716"/>
      <c r="BE773" s="716"/>
      <c r="BF773" s="716"/>
      <c r="BG773" s="716"/>
      <c r="BH773" s="716"/>
      <c r="BI773" s="716"/>
      <c r="BJ773" s="716"/>
      <c r="BK773" s="716"/>
      <c r="BL773" s="716"/>
      <c r="BM773" s="716"/>
      <c r="BN773" s="716"/>
      <c r="BO773" s="716"/>
      <c r="BP773" s="716"/>
      <c r="BQ773" s="716"/>
      <c r="BR773" s="716"/>
      <c r="BS773" s="716"/>
      <c r="BT773" s="716"/>
      <c r="BU773" s="716"/>
      <c r="BV773" s="716"/>
      <c r="BW773" s="716"/>
      <c r="BX773" s="716"/>
      <c r="BY773" s="716"/>
      <c r="BZ773" s="716"/>
      <c r="CA773" s="716"/>
    </row>
    <row r="774" spans="1:79" hidden="1" outlineLevel="1" x14ac:dyDescent="0.25">
      <c r="A774" s="656"/>
      <c r="B774" s="570"/>
      <c r="C774" s="570"/>
      <c r="D774" s="570"/>
      <c r="E774" s="570" t="s">
        <v>1270</v>
      </c>
      <c r="F774" s="656" t="s">
        <v>613</v>
      </c>
      <c r="G774" s="719"/>
      <c r="H774" s="719"/>
      <c r="I774" s="719"/>
      <c r="J774" s="719"/>
      <c r="K774" s="719"/>
      <c r="L774" s="719"/>
      <c r="M774" s="719"/>
      <c r="N774" s="719"/>
      <c r="O774" s="719"/>
      <c r="P774" s="716"/>
      <c r="Q774" s="716"/>
      <c r="R774" s="716"/>
      <c r="S774" s="676">
        <v>0</v>
      </c>
      <c r="T774" s="676">
        <v>0</v>
      </c>
      <c r="U774" s="676">
        <v>0</v>
      </c>
      <c r="V774" s="676">
        <v>0</v>
      </c>
      <c r="W774" s="676">
        <v>0</v>
      </c>
      <c r="X774" s="676">
        <v>0</v>
      </c>
      <c r="Y774" s="676">
        <v>0</v>
      </c>
      <c r="Z774" s="676">
        <v>0</v>
      </c>
      <c r="AA774" s="676">
        <v>0</v>
      </c>
      <c r="AB774" s="676">
        <v>0</v>
      </c>
      <c r="AC774" s="673">
        <v>0</v>
      </c>
      <c r="AD774" s="673">
        <v>0</v>
      </c>
      <c r="AE774" s="676">
        <v>0</v>
      </c>
      <c r="AF774" s="719">
        <v>0</v>
      </c>
      <c r="AG774" s="673">
        <v>0</v>
      </c>
      <c r="AH774" s="716"/>
      <c r="AI774" s="716"/>
      <c r="AJ774" s="716"/>
      <c r="AK774" s="716"/>
      <c r="AL774" s="716"/>
      <c r="AM774" s="716"/>
      <c r="AN774" s="716"/>
      <c r="AO774" s="716"/>
      <c r="AP774" s="716"/>
      <c r="AQ774" s="716"/>
      <c r="AR774" s="716"/>
      <c r="AS774" s="716"/>
      <c r="AT774" s="716"/>
      <c r="AU774" s="716"/>
      <c r="AV774" s="716"/>
      <c r="AW774" s="716"/>
      <c r="AX774" s="716"/>
      <c r="AY774" s="716"/>
      <c r="AZ774" s="716"/>
      <c r="BA774" s="716"/>
      <c r="BB774" s="716"/>
      <c r="BC774" s="716"/>
      <c r="BD774" s="716"/>
      <c r="BE774" s="716"/>
      <c r="BF774" s="716"/>
      <c r="BG774" s="716"/>
      <c r="BH774" s="716"/>
      <c r="BI774" s="716"/>
      <c r="BJ774" s="716"/>
      <c r="BK774" s="716"/>
      <c r="BL774" s="716"/>
      <c r="BM774" s="716"/>
      <c r="BN774" s="716"/>
      <c r="BO774" s="716"/>
      <c r="BP774" s="716"/>
      <c r="BQ774" s="716"/>
      <c r="BR774" s="716"/>
      <c r="BS774" s="716"/>
      <c r="BT774" s="716"/>
      <c r="BU774" s="716"/>
      <c r="BV774" s="716"/>
      <c r="BW774" s="716"/>
      <c r="BX774" s="716"/>
      <c r="BY774" s="716"/>
      <c r="BZ774" s="716"/>
      <c r="CA774" s="716"/>
    </row>
    <row r="775" spans="1:79" hidden="1" outlineLevel="1" x14ac:dyDescent="0.25">
      <c r="A775" s="656"/>
      <c r="B775" s="570"/>
      <c r="C775" s="570"/>
      <c r="D775" s="570"/>
      <c r="E775" s="570" t="s">
        <v>1350</v>
      </c>
      <c r="F775" s="656" t="s">
        <v>614</v>
      </c>
      <c r="G775" s="719"/>
      <c r="H775" s="719"/>
      <c r="I775" s="719"/>
      <c r="J775" s="719"/>
      <c r="K775" s="719"/>
      <c r="L775" s="719"/>
      <c r="M775" s="719"/>
      <c r="N775" s="719"/>
      <c r="O775" s="719"/>
      <c r="P775" s="716"/>
      <c r="Q775" s="716"/>
      <c r="R775" s="716"/>
      <c r="S775" s="676">
        <v>0</v>
      </c>
      <c r="T775" s="676">
        <v>0</v>
      </c>
      <c r="U775" s="676">
        <v>0</v>
      </c>
      <c r="V775" s="676">
        <v>0</v>
      </c>
      <c r="W775" s="676">
        <v>0</v>
      </c>
      <c r="X775" s="676">
        <v>0</v>
      </c>
      <c r="Y775" s="676">
        <v>0</v>
      </c>
      <c r="Z775" s="676">
        <v>0</v>
      </c>
      <c r="AA775" s="676">
        <v>0</v>
      </c>
      <c r="AB775" s="676">
        <v>0</v>
      </c>
      <c r="AC775" s="673">
        <v>0</v>
      </c>
      <c r="AD775" s="673">
        <v>0</v>
      </c>
      <c r="AE775" s="676">
        <v>0</v>
      </c>
      <c r="AF775" s="719">
        <v>0</v>
      </c>
      <c r="AG775" s="673">
        <v>0</v>
      </c>
      <c r="AH775" s="716"/>
      <c r="AI775" s="716"/>
      <c r="AJ775" s="716"/>
      <c r="AK775" s="716"/>
      <c r="AL775" s="716"/>
      <c r="AM775" s="716"/>
      <c r="AN775" s="716"/>
      <c r="AO775" s="716"/>
      <c r="AP775" s="716"/>
      <c r="AQ775" s="716"/>
      <c r="AR775" s="716"/>
      <c r="AS775" s="716"/>
      <c r="AT775" s="716"/>
      <c r="AU775" s="716"/>
      <c r="AV775" s="716"/>
      <c r="AW775" s="716"/>
      <c r="AX775" s="716"/>
      <c r="AY775" s="716"/>
      <c r="AZ775" s="716"/>
      <c r="BA775" s="716"/>
      <c r="BB775" s="716"/>
      <c r="BC775" s="716"/>
      <c r="BD775" s="716"/>
      <c r="BE775" s="716"/>
      <c r="BF775" s="716"/>
      <c r="BG775" s="716"/>
      <c r="BH775" s="716"/>
      <c r="BI775" s="716"/>
      <c r="BJ775" s="716"/>
      <c r="BK775" s="716"/>
      <c r="BL775" s="716"/>
      <c r="BM775" s="716"/>
      <c r="BN775" s="716"/>
      <c r="BO775" s="716"/>
      <c r="BP775" s="716"/>
      <c r="BQ775" s="716"/>
      <c r="BR775" s="716"/>
      <c r="BS775" s="716"/>
      <c r="BT775" s="716"/>
      <c r="BU775" s="716"/>
      <c r="BV775" s="716"/>
      <c r="BW775" s="716"/>
      <c r="BX775" s="716"/>
      <c r="BY775" s="716"/>
      <c r="BZ775" s="716"/>
      <c r="CA775" s="716"/>
    </row>
    <row r="776" spans="1:79" hidden="1" outlineLevel="1" x14ac:dyDescent="0.25">
      <c r="A776" s="656"/>
      <c r="B776" s="570"/>
      <c r="C776" s="570"/>
      <c r="D776" s="570"/>
      <c r="E776" s="570" t="s">
        <v>11</v>
      </c>
      <c r="F776" s="656" t="s">
        <v>615</v>
      </c>
      <c r="G776" s="719"/>
      <c r="H776" s="719"/>
      <c r="I776" s="719"/>
      <c r="J776" s="719"/>
      <c r="K776" s="719"/>
      <c r="L776" s="719"/>
      <c r="M776" s="719"/>
      <c r="N776" s="719"/>
      <c r="O776" s="719"/>
      <c r="P776" s="716"/>
      <c r="Q776" s="716"/>
      <c r="R776" s="716"/>
      <c r="S776" s="676">
        <v>0</v>
      </c>
      <c r="T776" s="676">
        <v>0</v>
      </c>
      <c r="U776" s="676">
        <v>0</v>
      </c>
      <c r="V776" s="676">
        <v>0</v>
      </c>
      <c r="W776" s="676">
        <v>0</v>
      </c>
      <c r="X776" s="676">
        <v>0</v>
      </c>
      <c r="Y776" s="676">
        <v>0</v>
      </c>
      <c r="Z776" s="676">
        <v>0</v>
      </c>
      <c r="AA776" s="676">
        <v>0</v>
      </c>
      <c r="AB776" s="676">
        <v>0</v>
      </c>
      <c r="AC776" s="673">
        <v>0</v>
      </c>
      <c r="AD776" s="673">
        <v>0</v>
      </c>
      <c r="AE776" s="676">
        <v>0</v>
      </c>
      <c r="AF776" s="719">
        <v>0</v>
      </c>
      <c r="AG776" s="673">
        <v>0</v>
      </c>
      <c r="AH776" s="716"/>
      <c r="AI776" s="716"/>
      <c r="AJ776" s="716"/>
      <c r="AK776" s="716"/>
      <c r="AL776" s="716"/>
      <c r="AM776" s="716"/>
      <c r="AN776" s="716"/>
      <c r="AO776" s="716"/>
      <c r="AP776" s="716"/>
      <c r="AQ776" s="716"/>
      <c r="AR776" s="716"/>
      <c r="AS776" s="716"/>
      <c r="AT776" s="716"/>
      <c r="AU776" s="716"/>
      <c r="AV776" s="716"/>
      <c r="AW776" s="716"/>
      <c r="AX776" s="716"/>
      <c r="AY776" s="716"/>
      <c r="AZ776" s="716"/>
      <c r="BA776" s="716"/>
      <c r="BB776" s="716"/>
      <c r="BC776" s="716"/>
      <c r="BD776" s="716"/>
      <c r="BE776" s="716"/>
      <c r="BF776" s="716"/>
      <c r="BG776" s="716"/>
      <c r="BH776" s="716"/>
      <c r="BI776" s="716"/>
      <c r="BJ776" s="716"/>
      <c r="BK776" s="716"/>
      <c r="BL776" s="716"/>
      <c r="BM776" s="716"/>
      <c r="BN776" s="716"/>
      <c r="BO776" s="716"/>
      <c r="BP776" s="716"/>
      <c r="BQ776" s="716"/>
      <c r="BR776" s="716"/>
      <c r="BS776" s="716"/>
      <c r="BT776" s="716"/>
      <c r="BU776" s="716"/>
      <c r="BV776" s="716"/>
      <c r="BW776" s="716"/>
      <c r="BX776" s="716"/>
      <c r="BY776" s="716"/>
      <c r="BZ776" s="716"/>
      <c r="CA776" s="716"/>
    </row>
    <row r="777" spans="1:79" hidden="1" outlineLevel="1" x14ac:dyDescent="0.25">
      <c r="A777" s="656"/>
      <c r="B777" s="570"/>
      <c r="C777" s="570"/>
      <c r="D777" s="570"/>
      <c r="E777" s="570" t="s">
        <v>1280</v>
      </c>
      <c r="F777" s="656" t="s">
        <v>887</v>
      </c>
      <c r="G777" s="719"/>
      <c r="H777" s="719"/>
      <c r="I777" s="719"/>
      <c r="J777" s="719"/>
      <c r="K777" s="719"/>
      <c r="L777" s="719"/>
      <c r="M777" s="719"/>
      <c r="N777" s="719"/>
      <c r="O777" s="719"/>
      <c r="P777" s="716"/>
      <c r="Q777" s="716"/>
      <c r="R777" s="716"/>
      <c r="S777" s="676">
        <v>0</v>
      </c>
      <c r="T777" s="676">
        <v>0</v>
      </c>
      <c r="U777" s="676">
        <v>0</v>
      </c>
      <c r="V777" s="676">
        <v>0</v>
      </c>
      <c r="W777" s="676">
        <v>0</v>
      </c>
      <c r="X777" s="676">
        <v>0</v>
      </c>
      <c r="Y777" s="676">
        <v>0</v>
      </c>
      <c r="Z777" s="676">
        <v>0</v>
      </c>
      <c r="AA777" s="676">
        <v>0</v>
      </c>
      <c r="AB777" s="676">
        <v>0</v>
      </c>
      <c r="AC777" s="673">
        <v>0</v>
      </c>
      <c r="AD777" s="673">
        <v>0</v>
      </c>
      <c r="AE777" s="676">
        <v>0</v>
      </c>
      <c r="AF777" s="719">
        <v>0</v>
      </c>
      <c r="AG777" s="673">
        <v>0</v>
      </c>
      <c r="AH777" s="716"/>
      <c r="AI777" s="716"/>
      <c r="AJ777" s="716"/>
      <c r="AK777" s="716"/>
      <c r="AL777" s="716"/>
      <c r="AM777" s="716"/>
      <c r="AN777" s="716"/>
      <c r="AO777" s="716"/>
      <c r="AP777" s="716"/>
      <c r="AQ777" s="716"/>
      <c r="AR777" s="716"/>
      <c r="AS777" s="716"/>
      <c r="AT777" s="716"/>
      <c r="AU777" s="716"/>
      <c r="AV777" s="716"/>
      <c r="AW777" s="716"/>
      <c r="AX777" s="716"/>
      <c r="AY777" s="716"/>
      <c r="AZ777" s="716"/>
      <c r="BA777" s="716"/>
      <c r="BB777" s="716"/>
      <c r="BC777" s="716"/>
      <c r="BD777" s="716"/>
      <c r="BE777" s="716"/>
      <c r="BF777" s="716"/>
      <c r="BG777" s="716"/>
      <c r="BH777" s="716"/>
      <c r="BI777" s="716"/>
      <c r="BJ777" s="716"/>
      <c r="BK777" s="716"/>
      <c r="BL777" s="716"/>
      <c r="BM777" s="716"/>
      <c r="BN777" s="716"/>
      <c r="BO777" s="716"/>
      <c r="BP777" s="716"/>
      <c r="BQ777" s="716"/>
      <c r="BR777" s="716"/>
      <c r="BS777" s="716"/>
      <c r="BT777" s="716"/>
      <c r="BU777" s="716"/>
      <c r="BV777" s="716"/>
      <c r="BW777" s="716"/>
      <c r="BX777" s="716"/>
      <c r="BY777" s="716"/>
      <c r="BZ777" s="716"/>
      <c r="CA777" s="716"/>
    </row>
    <row r="778" spans="1:79" hidden="1" outlineLevel="1" x14ac:dyDescent="0.25">
      <c r="A778" s="656"/>
      <c r="B778" s="570"/>
      <c r="C778" s="570"/>
      <c r="D778" s="570"/>
      <c r="E778" s="570" t="s">
        <v>1337</v>
      </c>
      <c r="F778" s="656" t="s">
        <v>616</v>
      </c>
      <c r="G778" s="719"/>
      <c r="H778" s="719"/>
      <c r="I778" s="719"/>
      <c r="J778" s="719"/>
      <c r="K778" s="719"/>
      <c r="L778" s="719"/>
      <c r="M778" s="719"/>
      <c r="N778" s="719"/>
      <c r="O778" s="719"/>
      <c r="P778" s="716"/>
      <c r="Q778" s="716"/>
      <c r="R778" s="716"/>
      <c r="S778" s="676">
        <v>0</v>
      </c>
      <c r="T778" s="676">
        <v>0</v>
      </c>
      <c r="U778" s="676">
        <v>0</v>
      </c>
      <c r="V778" s="676">
        <v>0</v>
      </c>
      <c r="W778" s="676">
        <v>0</v>
      </c>
      <c r="X778" s="676">
        <v>0</v>
      </c>
      <c r="Y778" s="676">
        <v>0</v>
      </c>
      <c r="Z778" s="676">
        <v>0</v>
      </c>
      <c r="AA778" s="676">
        <v>0</v>
      </c>
      <c r="AB778" s="676">
        <v>0</v>
      </c>
      <c r="AC778" s="673">
        <v>0</v>
      </c>
      <c r="AD778" s="673">
        <v>0</v>
      </c>
      <c r="AE778" s="676">
        <v>0</v>
      </c>
      <c r="AF778" s="719">
        <v>0</v>
      </c>
      <c r="AG778" s="673">
        <v>0</v>
      </c>
      <c r="AH778" s="716"/>
      <c r="AI778" s="716"/>
      <c r="AJ778" s="716"/>
      <c r="AK778" s="716"/>
      <c r="AL778" s="716"/>
      <c r="AM778" s="716"/>
      <c r="AN778" s="716"/>
      <c r="AO778" s="716"/>
      <c r="AP778" s="716"/>
      <c r="AQ778" s="716"/>
      <c r="AR778" s="716"/>
      <c r="AS778" s="716"/>
      <c r="AT778" s="716"/>
      <c r="AU778" s="716"/>
      <c r="AV778" s="716"/>
      <c r="AW778" s="716"/>
      <c r="AX778" s="716"/>
      <c r="AY778" s="716"/>
      <c r="AZ778" s="716"/>
      <c r="BA778" s="716"/>
      <c r="BB778" s="716"/>
      <c r="BC778" s="716"/>
      <c r="BD778" s="716"/>
      <c r="BE778" s="716"/>
      <c r="BF778" s="716"/>
      <c r="BG778" s="716"/>
      <c r="BH778" s="716"/>
      <c r="BI778" s="716"/>
      <c r="BJ778" s="716"/>
      <c r="BK778" s="716"/>
      <c r="BL778" s="716"/>
      <c r="BM778" s="716"/>
      <c r="BN778" s="716"/>
      <c r="BO778" s="716"/>
      <c r="BP778" s="716"/>
      <c r="BQ778" s="716"/>
      <c r="BR778" s="716"/>
      <c r="BS778" s="716"/>
      <c r="BT778" s="716"/>
      <c r="BU778" s="716"/>
      <c r="BV778" s="716"/>
      <c r="BW778" s="716"/>
      <c r="BX778" s="716"/>
      <c r="BY778" s="716"/>
      <c r="BZ778" s="716"/>
      <c r="CA778" s="716"/>
    </row>
    <row r="779" spans="1:79" hidden="1" outlineLevel="1" x14ac:dyDescent="0.25">
      <c r="A779" s="659"/>
      <c r="B779" s="570"/>
      <c r="C779" s="570"/>
      <c r="D779" s="570"/>
      <c r="E779" s="570" t="s">
        <v>49</v>
      </c>
      <c r="F779" s="659" t="s">
        <v>617</v>
      </c>
      <c r="G779" s="664">
        <f>SUM(G762:G778)</f>
        <v>0</v>
      </c>
      <c r="H779" s="664">
        <f t="shared" ref="H779:BO779" si="321">SUM(H762:H778)</f>
        <v>0</v>
      </c>
      <c r="I779" s="664">
        <f t="shared" si="321"/>
        <v>0</v>
      </c>
      <c r="J779" s="664">
        <f t="shared" si="321"/>
        <v>0</v>
      </c>
      <c r="K779" s="664">
        <f t="shared" si="321"/>
        <v>0</v>
      </c>
      <c r="L779" s="664">
        <f t="shared" si="321"/>
        <v>0</v>
      </c>
      <c r="M779" s="664">
        <f t="shared" si="321"/>
        <v>0</v>
      </c>
      <c r="N779" s="664">
        <f t="shared" si="321"/>
        <v>0</v>
      </c>
      <c r="O779" s="664">
        <f t="shared" si="321"/>
        <v>0</v>
      </c>
      <c r="P779" s="664">
        <f t="shared" si="321"/>
        <v>0</v>
      </c>
      <c r="Q779" s="664">
        <f t="shared" si="321"/>
        <v>0</v>
      </c>
      <c r="R779" s="664">
        <f t="shared" si="321"/>
        <v>0</v>
      </c>
      <c r="S779" s="678">
        <f t="shared" ref="S779:AA779" si="322">ROUND(SUM(S761:S778),5)</f>
        <v>0</v>
      </c>
      <c r="T779" s="678">
        <f t="shared" si="322"/>
        <v>0</v>
      </c>
      <c r="U779" s="678">
        <f t="shared" si="322"/>
        <v>0</v>
      </c>
      <c r="V779" s="678">
        <f t="shared" si="322"/>
        <v>0</v>
      </c>
      <c r="W779" s="678">
        <f t="shared" si="322"/>
        <v>0</v>
      </c>
      <c r="X779" s="678">
        <f t="shared" si="322"/>
        <v>0</v>
      </c>
      <c r="Y779" s="678">
        <f t="shared" si="322"/>
        <v>0</v>
      </c>
      <c r="Z779" s="678">
        <f t="shared" si="322"/>
        <v>0</v>
      </c>
      <c r="AA779" s="678">
        <f t="shared" si="322"/>
        <v>0</v>
      </c>
      <c r="AB779" s="678">
        <f>ROUND(SUM(AB761:AB778),5)</f>
        <v>0</v>
      </c>
      <c r="AC779" s="678">
        <f>ROUND(SUM(AC761:AC778),5)</f>
        <v>0</v>
      </c>
      <c r="AD779" s="678">
        <f>ROUND(SUM(AD761:AD778),5)</f>
        <v>0</v>
      </c>
      <c r="AE779" s="678">
        <f>ROUND(SUM(AE761:AE778),5)</f>
        <v>0</v>
      </c>
      <c r="AF779" s="664">
        <f>ROUND(SUM(AF761:AF767)+SUM(AF768:AF770)+SUM(AF771:AF778),5)</f>
        <v>0</v>
      </c>
      <c r="AG779" s="678">
        <f>ROUND(SUM(AG761:AG767)+SUM(AG768:AG770)+SUM(AG771:AG778),5)</f>
        <v>0</v>
      </c>
      <c r="AH779" s="664">
        <f t="shared" si="321"/>
        <v>0</v>
      </c>
      <c r="AI779" s="664">
        <f t="shared" si="321"/>
        <v>0</v>
      </c>
      <c r="AJ779" s="664">
        <f t="shared" si="321"/>
        <v>0</v>
      </c>
      <c r="AK779" s="664">
        <f t="shared" si="321"/>
        <v>0</v>
      </c>
      <c r="AL779" s="664">
        <f t="shared" si="321"/>
        <v>0</v>
      </c>
      <c r="AM779" s="664">
        <f t="shared" si="321"/>
        <v>0</v>
      </c>
      <c r="AN779" s="664">
        <f t="shared" si="321"/>
        <v>0</v>
      </c>
      <c r="AO779" s="664">
        <f t="shared" si="321"/>
        <v>0</v>
      </c>
      <c r="AP779" s="664">
        <f t="shared" si="321"/>
        <v>0</v>
      </c>
      <c r="AQ779" s="664">
        <f t="shared" si="321"/>
        <v>0</v>
      </c>
      <c r="AR779" s="664">
        <f t="shared" si="321"/>
        <v>0</v>
      </c>
      <c r="AS779" s="664">
        <f t="shared" si="321"/>
        <v>0</v>
      </c>
      <c r="AT779" s="664">
        <f t="shared" si="321"/>
        <v>0</v>
      </c>
      <c r="AU779" s="664">
        <f t="shared" si="321"/>
        <v>0</v>
      </c>
      <c r="AV779" s="664">
        <f t="shared" si="321"/>
        <v>0</v>
      </c>
      <c r="AW779" s="664">
        <f t="shared" si="321"/>
        <v>0</v>
      </c>
      <c r="AX779" s="664">
        <f t="shared" si="321"/>
        <v>0</v>
      </c>
      <c r="AY779" s="664">
        <f t="shared" si="321"/>
        <v>0</v>
      </c>
      <c r="AZ779" s="664">
        <f t="shared" si="321"/>
        <v>0</v>
      </c>
      <c r="BA779" s="664">
        <f t="shared" si="321"/>
        <v>0</v>
      </c>
      <c r="BB779" s="664">
        <f t="shared" si="321"/>
        <v>0</v>
      </c>
      <c r="BC779" s="664">
        <f t="shared" si="321"/>
        <v>0</v>
      </c>
      <c r="BD779" s="664">
        <f t="shared" si="321"/>
        <v>0</v>
      </c>
      <c r="BE779" s="664">
        <f t="shared" si="321"/>
        <v>0</v>
      </c>
      <c r="BF779" s="664">
        <f t="shared" si="321"/>
        <v>0</v>
      </c>
      <c r="BG779" s="664">
        <f t="shared" si="321"/>
        <v>0</v>
      </c>
      <c r="BH779" s="664">
        <f t="shared" si="321"/>
        <v>0</v>
      </c>
      <c r="BI779" s="664">
        <f t="shared" si="321"/>
        <v>0</v>
      </c>
      <c r="BJ779" s="664">
        <f t="shared" si="321"/>
        <v>0</v>
      </c>
      <c r="BK779" s="664">
        <f t="shared" si="321"/>
        <v>0</v>
      </c>
      <c r="BL779" s="664">
        <f t="shared" si="321"/>
        <v>0</v>
      </c>
      <c r="BM779" s="664">
        <f t="shared" si="321"/>
        <v>0</v>
      </c>
      <c r="BN779" s="664">
        <f t="shared" si="321"/>
        <v>0</v>
      </c>
      <c r="BO779" s="664">
        <f t="shared" si="321"/>
        <v>0</v>
      </c>
      <c r="BP779" s="664">
        <f t="shared" ref="BP779:CA779" si="323">SUM(BP762:BP778)</f>
        <v>0</v>
      </c>
      <c r="BQ779" s="664">
        <f t="shared" si="323"/>
        <v>0</v>
      </c>
      <c r="BR779" s="664">
        <f t="shared" si="323"/>
        <v>0</v>
      </c>
      <c r="BS779" s="664">
        <f t="shared" si="323"/>
        <v>0</v>
      </c>
      <c r="BT779" s="664">
        <f t="shared" si="323"/>
        <v>0</v>
      </c>
      <c r="BU779" s="664">
        <f t="shared" si="323"/>
        <v>0</v>
      </c>
      <c r="BV779" s="664">
        <f t="shared" si="323"/>
        <v>0</v>
      </c>
      <c r="BW779" s="664">
        <f t="shared" si="323"/>
        <v>0</v>
      </c>
      <c r="BX779" s="664">
        <f t="shared" si="323"/>
        <v>0</v>
      </c>
      <c r="BY779" s="664">
        <f t="shared" si="323"/>
        <v>0</v>
      </c>
      <c r="BZ779" s="664">
        <f t="shared" si="323"/>
        <v>0</v>
      </c>
      <c r="CA779" s="664">
        <f t="shared" si="323"/>
        <v>0</v>
      </c>
    </row>
    <row r="780" spans="1:79" s="693" customFormat="1" hidden="1" outlineLevel="1" x14ac:dyDescent="0.25">
      <c r="A780" s="691"/>
      <c r="E780" s="570" t="s">
        <v>1338</v>
      </c>
      <c r="F780" s="691" t="s">
        <v>594</v>
      </c>
      <c r="G780" s="733"/>
      <c r="H780" s="733"/>
      <c r="I780" s="733"/>
      <c r="J780" s="733"/>
      <c r="K780" s="733"/>
      <c r="L780" s="733"/>
      <c r="M780" s="733"/>
      <c r="N780" s="733"/>
      <c r="O780" s="733"/>
      <c r="P780" s="734"/>
      <c r="Q780" s="734"/>
      <c r="R780" s="734"/>
      <c r="S780" s="708"/>
      <c r="T780" s="708"/>
      <c r="U780" s="708"/>
      <c r="V780" s="708"/>
      <c r="W780" s="708"/>
      <c r="X780" s="708"/>
      <c r="Y780" s="708"/>
      <c r="Z780" s="708"/>
      <c r="AA780" s="708"/>
      <c r="AB780" s="708"/>
      <c r="AC780" s="706"/>
      <c r="AD780" s="706"/>
      <c r="AE780" s="708"/>
      <c r="AF780" s="733"/>
      <c r="AG780" s="706"/>
      <c r="AH780" s="734"/>
      <c r="AI780" s="734"/>
      <c r="AJ780" s="734"/>
      <c r="AK780" s="734"/>
      <c r="AL780" s="734"/>
      <c r="AM780" s="734"/>
      <c r="AN780" s="734"/>
      <c r="AO780" s="734"/>
      <c r="AP780" s="734"/>
      <c r="AQ780" s="734"/>
      <c r="AR780" s="734"/>
      <c r="AS780" s="734"/>
      <c r="AT780" s="734"/>
      <c r="AU780" s="734"/>
      <c r="AV780" s="734"/>
      <c r="AW780" s="734"/>
      <c r="AX780" s="734"/>
      <c r="AY780" s="734"/>
      <c r="AZ780" s="734"/>
      <c r="BA780" s="734"/>
      <c r="BB780" s="734"/>
      <c r="BC780" s="734"/>
      <c r="BD780" s="734"/>
      <c r="BE780" s="734"/>
      <c r="BF780" s="734"/>
      <c r="BG780" s="734"/>
      <c r="BH780" s="734"/>
      <c r="BI780" s="734"/>
      <c r="BJ780" s="734"/>
      <c r="BK780" s="734"/>
      <c r="BL780" s="734"/>
      <c r="BM780" s="734"/>
      <c r="BN780" s="734"/>
      <c r="BO780" s="734"/>
      <c r="BP780" s="734"/>
      <c r="BQ780" s="734"/>
      <c r="BR780" s="734"/>
      <c r="BS780" s="734"/>
      <c r="BT780" s="734"/>
      <c r="BU780" s="734"/>
      <c r="BV780" s="734"/>
      <c r="BW780" s="734"/>
      <c r="BX780" s="734"/>
      <c r="BY780" s="734"/>
      <c r="BZ780" s="734"/>
      <c r="CA780" s="734"/>
    </row>
    <row r="781" spans="1:79" hidden="1" outlineLevel="1" x14ac:dyDescent="0.25">
      <c r="A781" s="656"/>
      <c r="B781" s="570"/>
      <c r="C781" s="570"/>
      <c r="D781" s="570"/>
      <c r="E781" s="570" t="s">
        <v>1338</v>
      </c>
      <c r="F781" s="656" t="s">
        <v>888</v>
      </c>
      <c r="G781" s="719"/>
      <c r="H781" s="719"/>
      <c r="I781" s="719"/>
      <c r="J781" s="719"/>
      <c r="K781" s="719"/>
      <c r="L781" s="719"/>
      <c r="M781" s="719"/>
      <c r="N781" s="719"/>
      <c r="O781" s="719"/>
      <c r="P781" s="716"/>
      <c r="Q781" s="716"/>
      <c r="R781" s="716"/>
      <c r="S781" s="684">
        <v>0</v>
      </c>
      <c r="T781" s="684">
        <v>0</v>
      </c>
      <c r="U781" s="684">
        <v>0</v>
      </c>
      <c r="V781" s="684">
        <v>0</v>
      </c>
      <c r="W781" s="684">
        <v>0</v>
      </c>
      <c r="X781" s="684">
        <v>0</v>
      </c>
      <c r="Y781" s="684">
        <v>0</v>
      </c>
      <c r="Z781" s="684">
        <v>0</v>
      </c>
      <c r="AA781" s="684">
        <v>0</v>
      </c>
      <c r="AB781" s="684">
        <v>0</v>
      </c>
      <c r="AC781" s="681">
        <v>0</v>
      </c>
      <c r="AD781" s="681">
        <v>0</v>
      </c>
      <c r="AE781" s="684">
        <v>0</v>
      </c>
      <c r="AF781" s="719">
        <v>0</v>
      </c>
      <c r="AG781" s="681">
        <v>0</v>
      </c>
      <c r="AH781" s="716"/>
      <c r="AI781" s="716"/>
      <c r="AJ781" s="716"/>
      <c r="AK781" s="716"/>
      <c r="AL781" s="716"/>
      <c r="AM781" s="716"/>
      <c r="AN781" s="716"/>
      <c r="AO781" s="716"/>
      <c r="AP781" s="716"/>
      <c r="AQ781" s="716"/>
      <c r="AR781" s="716"/>
      <c r="AS781" s="716"/>
      <c r="AT781" s="716"/>
      <c r="AU781" s="716"/>
      <c r="AV781" s="716"/>
      <c r="AW781" s="716"/>
      <c r="AX781" s="716"/>
      <c r="AY781" s="716"/>
      <c r="AZ781" s="716"/>
      <c r="BA781" s="716"/>
      <c r="BB781" s="716"/>
      <c r="BC781" s="716"/>
      <c r="BD781" s="716"/>
      <c r="BE781" s="716"/>
      <c r="BF781" s="716"/>
      <c r="BG781" s="716"/>
      <c r="BH781" s="716"/>
      <c r="BI781" s="716"/>
      <c r="BJ781" s="716"/>
      <c r="BK781" s="716"/>
      <c r="BL781" s="716"/>
      <c r="BM781" s="716"/>
      <c r="BN781" s="716"/>
      <c r="BO781" s="716"/>
      <c r="BP781" s="716"/>
      <c r="BQ781" s="716"/>
      <c r="BR781" s="716"/>
      <c r="BS781" s="716"/>
      <c r="BT781" s="716"/>
      <c r="BU781" s="716"/>
      <c r="BV781" s="716"/>
      <c r="BW781" s="716"/>
      <c r="BX781" s="716"/>
      <c r="BY781" s="716"/>
      <c r="BZ781" s="716"/>
      <c r="CA781" s="716"/>
    </row>
    <row r="782" spans="1:79" hidden="1" outlineLevel="1" x14ac:dyDescent="0.25">
      <c r="A782" s="656"/>
      <c r="E782" s="570" t="s">
        <v>1338</v>
      </c>
      <c r="F782" s="656" t="s">
        <v>618</v>
      </c>
      <c r="G782" s="719">
        <v>302.77830672229516</v>
      </c>
      <c r="H782" s="719">
        <v>107.12866927662951</v>
      </c>
      <c r="I782" s="719">
        <v>115.242027022299</v>
      </c>
      <c r="J782" s="719">
        <v>188.05275791701524</v>
      </c>
      <c r="K782" s="719">
        <v>258.32489440135402</v>
      </c>
      <c r="L782" s="719">
        <v>341.19035999850996</v>
      </c>
      <c r="M782" s="719">
        <v>236.31244924632784</v>
      </c>
      <c r="N782" s="719">
        <v>180.88595017619494</v>
      </c>
      <c r="O782" s="719">
        <v>268.66217237424803</v>
      </c>
      <c r="P782" s="716">
        <v>290.95128970301607</v>
      </c>
      <c r="Q782" s="716">
        <v>117.16349856523964</v>
      </c>
      <c r="R782" s="716">
        <v>26.426062591615533</v>
      </c>
      <c r="S782" s="667">
        <v>0</v>
      </c>
      <c r="T782" s="667">
        <v>0</v>
      </c>
      <c r="U782" s="667">
        <v>419.38</v>
      </c>
      <c r="V782" s="667">
        <v>746.4</v>
      </c>
      <c r="W782" s="667">
        <v>226.48</v>
      </c>
      <c r="X782" s="667">
        <v>0</v>
      </c>
      <c r="Y782" s="667">
        <v>0</v>
      </c>
      <c r="Z782" s="667">
        <v>72.69</v>
      </c>
      <c r="AA782" s="667">
        <v>0</v>
      </c>
      <c r="AB782" s="667">
        <v>76.680000000000007</v>
      </c>
      <c r="AC782" s="665">
        <v>1447.77</v>
      </c>
      <c r="AD782" s="665">
        <v>0</v>
      </c>
      <c r="AE782" s="667">
        <v>51.37</v>
      </c>
      <c r="AF782" s="719">
        <v>45.59</v>
      </c>
      <c r="AG782" s="665">
        <v>85.09</v>
      </c>
      <c r="AH782" s="716"/>
      <c r="AI782" s="716"/>
      <c r="AJ782" s="716"/>
      <c r="AK782" s="716"/>
      <c r="AL782" s="716"/>
      <c r="AM782" s="716"/>
      <c r="AN782" s="716"/>
      <c r="AO782" s="716"/>
      <c r="AP782" s="716"/>
      <c r="AQ782" s="716"/>
      <c r="AR782" s="716"/>
      <c r="AS782" s="716"/>
      <c r="AT782" s="716"/>
      <c r="AU782" s="716"/>
      <c r="AV782" s="716"/>
      <c r="AW782" s="716"/>
      <c r="AX782" s="716"/>
      <c r="AY782" s="716"/>
      <c r="AZ782" s="716"/>
      <c r="BA782" s="716"/>
      <c r="BB782" s="716"/>
      <c r="BC782" s="716"/>
      <c r="BD782" s="716"/>
      <c r="BE782" s="716"/>
      <c r="BF782" s="716"/>
      <c r="BG782" s="716"/>
      <c r="BH782" s="716"/>
      <c r="BI782" s="716"/>
      <c r="BJ782" s="716"/>
      <c r="BK782" s="716"/>
      <c r="BL782" s="716"/>
      <c r="BM782" s="716"/>
      <c r="BN782" s="716"/>
      <c r="BO782" s="716"/>
      <c r="BP782" s="716"/>
      <c r="BQ782" s="716"/>
      <c r="BR782" s="716"/>
      <c r="BS782" s="716"/>
      <c r="BT782" s="716"/>
      <c r="BU782" s="716"/>
      <c r="BV782" s="716"/>
      <c r="BW782" s="716"/>
      <c r="BX782" s="716"/>
      <c r="BY782" s="716"/>
      <c r="BZ782" s="716"/>
      <c r="CA782" s="716"/>
    </row>
    <row r="783" spans="1:79" hidden="1" outlineLevel="1" x14ac:dyDescent="0.25">
      <c r="A783" s="657"/>
      <c r="B783" s="570"/>
      <c r="C783" s="570"/>
      <c r="D783" s="570"/>
      <c r="E783" s="570" t="s">
        <v>49</v>
      </c>
      <c r="F783" s="657" t="s">
        <v>619</v>
      </c>
      <c r="G783" s="664">
        <f>SUM(G781:G782)</f>
        <v>302.77830672229516</v>
      </c>
      <c r="H783" s="664">
        <f t="shared" ref="H783:BO783" si="324">SUM(H781:H782)</f>
        <v>107.12866927662951</v>
      </c>
      <c r="I783" s="664">
        <f t="shared" si="324"/>
        <v>115.242027022299</v>
      </c>
      <c r="J783" s="664">
        <f t="shared" si="324"/>
        <v>188.05275791701524</v>
      </c>
      <c r="K783" s="664">
        <f t="shared" si="324"/>
        <v>258.32489440135402</v>
      </c>
      <c r="L783" s="664">
        <f t="shared" si="324"/>
        <v>341.19035999850996</v>
      </c>
      <c r="M783" s="664">
        <f t="shared" si="324"/>
        <v>236.31244924632784</v>
      </c>
      <c r="N783" s="664">
        <f t="shared" si="324"/>
        <v>180.88595017619494</v>
      </c>
      <c r="O783" s="664">
        <f t="shared" si="324"/>
        <v>268.66217237424803</v>
      </c>
      <c r="P783" s="664">
        <f t="shared" si="324"/>
        <v>290.95128970301607</v>
      </c>
      <c r="Q783" s="664">
        <f t="shared" si="324"/>
        <v>117.16349856523964</v>
      </c>
      <c r="R783" s="664">
        <f t="shared" si="324"/>
        <v>26.426062591615533</v>
      </c>
      <c r="S783" s="678">
        <f t="shared" ref="S783:AA783" si="325">ROUND(SUM(S780:S782),5)</f>
        <v>0</v>
      </c>
      <c r="T783" s="678">
        <f t="shared" si="325"/>
        <v>0</v>
      </c>
      <c r="U783" s="678">
        <f t="shared" si="325"/>
        <v>419.38</v>
      </c>
      <c r="V783" s="678">
        <f t="shared" si="325"/>
        <v>746.4</v>
      </c>
      <c r="W783" s="678">
        <f t="shared" si="325"/>
        <v>226.48</v>
      </c>
      <c r="X783" s="678">
        <f t="shared" si="325"/>
        <v>0</v>
      </c>
      <c r="Y783" s="678">
        <f t="shared" si="325"/>
        <v>0</v>
      </c>
      <c r="Z783" s="678">
        <f t="shared" si="325"/>
        <v>72.69</v>
      </c>
      <c r="AA783" s="678">
        <f t="shared" si="325"/>
        <v>0</v>
      </c>
      <c r="AB783" s="678">
        <f t="shared" ref="AB783:AG783" si="326">ROUND(SUM(AB780:AB782),5)</f>
        <v>76.680000000000007</v>
      </c>
      <c r="AC783" s="678">
        <f t="shared" si="326"/>
        <v>1447.77</v>
      </c>
      <c r="AD783" s="678">
        <f t="shared" si="326"/>
        <v>0</v>
      </c>
      <c r="AE783" s="678">
        <f t="shared" si="326"/>
        <v>51.37</v>
      </c>
      <c r="AF783" s="664">
        <f t="shared" si="326"/>
        <v>45.59</v>
      </c>
      <c r="AG783" s="678">
        <f t="shared" si="326"/>
        <v>85.09</v>
      </c>
      <c r="AH783" s="664">
        <f t="shared" si="324"/>
        <v>0</v>
      </c>
      <c r="AI783" s="664">
        <f t="shared" si="324"/>
        <v>0</v>
      </c>
      <c r="AJ783" s="664">
        <f t="shared" si="324"/>
        <v>0</v>
      </c>
      <c r="AK783" s="664">
        <f t="shared" si="324"/>
        <v>0</v>
      </c>
      <c r="AL783" s="664">
        <f t="shared" si="324"/>
        <v>0</v>
      </c>
      <c r="AM783" s="664">
        <f t="shared" si="324"/>
        <v>0</v>
      </c>
      <c r="AN783" s="664">
        <f t="shared" si="324"/>
        <v>0</v>
      </c>
      <c r="AO783" s="664">
        <f t="shared" si="324"/>
        <v>0</v>
      </c>
      <c r="AP783" s="664">
        <f t="shared" si="324"/>
        <v>0</v>
      </c>
      <c r="AQ783" s="664">
        <f t="shared" si="324"/>
        <v>0</v>
      </c>
      <c r="AR783" s="664">
        <f t="shared" si="324"/>
        <v>0</v>
      </c>
      <c r="AS783" s="664">
        <f t="shared" si="324"/>
        <v>0</v>
      </c>
      <c r="AT783" s="664">
        <f t="shared" si="324"/>
        <v>0</v>
      </c>
      <c r="AU783" s="664">
        <f t="shared" si="324"/>
        <v>0</v>
      </c>
      <c r="AV783" s="664">
        <f t="shared" si="324"/>
        <v>0</v>
      </c>
      <c r="AW783" s="664">
        <f t="shared" si="324"/>
        <v>0</v>
      </c>
      <c r="AX783" s="664">
        <f t="shared" si="324"/>
        <v>0</v>
      </c>
      <c r="AY783" s="664">
        <f t="shared" si="324"/>
        <v>0</v>
      </c>
      <c r="AZ783" s="664">
        <f t="shared" si="324"/>
        <v>0</v>
      </c>
      <c r="BA783" s="664">
        <f t="shared" si="324"/>
        <v>0</v>
      </c>
      <c r="BB783" s="664">
        <f t="shared" si="324"/>
        <v>0</v>
      </c>
      <c r="BC783" s="664">
        <f t="shared" si="324"/>
        <v>0</v>
      </c>
      <c r="BD783" s="664">
        <f t="shared" si="324"/>
        <v>0</v>
      </c>
      <c r="BE783" s="664">
        <f t="shared" si="324"/>
        <v>0</v>
      </c>
      <c r="BF783" s="664">
        <f t="shared" si="324"/>
        <v>0</v>
      </c>
      <c r="BG783" s="664">
        <f t="shared" si="324"/>
        <v>0</v>
      </c>
      <c r="BH783" s="664">
        <f t="shared" si="324"/>
        <v>0</v>
      </c>
      <c r="BI783" s="664">
        <f t="shared" si="324"/>
        <v>0</v>
      </c>
      <c r="BJ783" s="664">
        <f t="shared" si="324"/>
        <v>0</v>
      </c>
      <c r="BK783" s="664">
        <f t="shared" si="324"/>
        <v>0</v>
      </c>
      <c r="BL783" s="664">
        <f t="shared" si="324"/>
        <v>0</v>
      </c>
      <c r="BM783" s="664">
        <f t="shared" si="324"/>
        <v>0</v>
      </c>
      <c r="BN783" s="664">
        <f t="shared" si="324"/>
        <v>0</v>
      </c>
      <c r="BO783" s="664">
        <f t="shared" si="324"/>
        <v>0</v>
      </c>
      <c r="BP783" s="664">
        <f t="shared" ref="BP783:CA783" si="327">SUM(BP781:BP782)</f>
        <v>0</v>
      </c>
      <c r="BQ783" s="664">
        <f t="shared" si="327"/>
        <v>0</v>
      </c>
      <c r="BR783" s="664">
        <f t="shared" si="327"/>
        <v>0</v>
      </c>
      <c r="BS783" s="664">
        <f t="shared" si="327"/>
        <v>0</v>
      </c>
      <c r="BT783" s="664">
        <f t="shared" si="327"/>
        <v>0</v>
      </c>
      <c r="BU783" s="664">
        <f t="shared" si="327"/>
        <v>0</v>
      </c>
      <c r="BV783" s="664">
        <f t="shared" si="327"/>
        <v>0</v>
      </c>
      <c r="BW783" s="664">
        <f t="shared" si="327"/>
        <v>0</v>
      </c>
      <c r="BX783" s="664">
        <f t="shared" si="327"/>
        <v>0</v>
      </c>
      <c r="BY783" s="664">
        <f t="shared" si="327"/>
        <v>0</v>
      </c>
      <c r="BZ783" s="664">
        <f t="shared" si="327"/>
        <v>0</v>
      </c>
      <c r="CA783" s="664">
        <f t="shared" si="327"/>
        <v>0</v>
      </c>
    </row>
    <row r="784" spans="1:79" hidden="1" outlineLevel="1" x14ac:dyDescent="0.25">
      <c r="A784" s="658"/>
      <c r="E784" s="570" t="s">
        <v>945</v>
      </c>
      <c r="F784" s="658" t="s">
        <v>595</v>
      </c>
      <c r="G784" s="719">
        <v>0</v>
      </c>
      <c r="H784" s="719"/>
      <c r="I784" s="719"/>
      <c r="J784" s="719"/>
      <c r="K784" s="719">
        <v>8.9619604892281295</v>
      </c>
      <c r="L784" s="719">
        <v>53.4420280841032</v>
      </c>
      <c r="M784" s="719">
        <v>38.017327887725905</v>
      </c>
      <c r="N784" s="719">
        <v>0.44378214341557171</v>
      </c>
      <c r="O784" s="719"/>
      <c r="P784" s="716">
        <v>291.12041808904797</v>
      </c>
      <c r="Q784" s="716">
        <v>39.300972212137147</v>
      </c>
      <c r="R784" s="716">
        <v>204.85342322777717</v>
      </c>
      <c r="S784" s="667">
        <v>0</v>
      </c>
      <c r="T784" s="667">
        <v>21.89</v>
      </c>
      <c r="U784" s="667">
        <v>0</v>
      </c>
      <c r="V784" s="667">
        <v>0</v>
      </c>
      <c r="W784" s="667">
        <v>53.65</v>
      </c>
      <c r="X784" s="667">
        <v>0</v>
      </c>
      <c r="Y784" s="667">
        <v>0</v>
      </c>
      <c r="Z784" s="667">
        <v>84.64</v>
      </c>
      <c r="AA784" s="667">
        <v>0</v>
      </c>
      <c r="AB784" s="667">
        <v>140.4</v>
      </c>
      <c r="AC784" s="665">
        <v>0</v>
      </c>
      <c r="AD784" s="665">
        <v>0</v>
      </c>
      <c r="AE784" s="667">
        <v>0</v>
      </c>
      <c r="AF784" s="719">
        <v>0</v>
      </c>
      <c r="AG784" s="665">
        <v>0</v>
      </c>
      <c r="AH784" s="716"/>
      <c r="AI784" s="716"/>
      <c r="AJ784" s="716"/>
      <c r="AK784" s="716"/>
      <c r="AL784" s="716"/>
      <c r="AM784" s="716"/>
      <c r="AN784" s="716"/>
      <c r="AO784" s="716"/>
      <c r="AP784" s="716"/>
      <c r="AQ784" s="716"/>
      <c r="AR784" s="716"/>
      <c r="AS784" s="716"/>
      <c r="AT784" s="716"/>
      <c r="AU784" s="716"/>
      <c r="AV784" s="716"/>
      <c r="AW784" s="716"/>
      <c r="AX784" s="716"/>
      <c r="AY784" s="716"/>
      <c r="AZ784" s="716"/>
      <c r="BA784" s="716"/>
      <c r="BB784" s="716"/>
      <c r="BC784" s="716"/>
      <c r="BD784" s="716"/>
      <c r="BE784" s="716"/>
      <c r="BF784" s="716"/>
      <c r="BG784" s="716"/>
      <c r="BH784" s="716"/>
      <c r="BI784" s="716"/>
      <c r="BJ784" s="716"/>
      <c r="BK784" s="716"/>
      <c r="BL784" s="716"/>
      <c r="BM784" s="716"/>
      <c r="BN784" s="716"/>
      <c r="BO784" s="716"/>
      <c r="BP784" s="716"/>
      <c r="BQ784" s="716"/>
      <c r="BR784" s="716"/>
      <c r="BS784" s="716"/>
      <c r="BT784" s="716"/>
      <c r="BU784" s="716"/>
      <c r="BV784" s="716"/>
      <c r="BW784" s="716"/>
      <c r="BX784" s="716"/>
      <c r="BY784" s="716"/>
      <c r="BZ784" s="716"/>
      <c r="CA784" s="716"/>
    </row>
    <row r="785" spans="1:79" hidden="1" outlineLevel="1" x14ac:dyDescent="0.25">
      <c r="A785" s="658"/>
      <c r="E785" s="570" t="s">
        <v>941</v>
      </c>
      <c r="F785" s="658" t="s">
        <v>596</v>
      </c>
      <c r="G785" s="719">
        <v>5.6781674878658306</v>
      </c>
      <c r="H785" s="719">
        <v>3.0336948377151041</v>
      </c>
      <c r="I785" s="719"/>
      <c r="J785" s="719">
        <v>4.3836270446975503</v>
      </c>
      <c r="K785" s="719">
        <v>41.958947482725833</v>
      </c>
      <c r="L785" s="719">
        <v>1.4314616995741991</v>
      </c>
      <c r="M785" s="719"/>
      <c r="N785" s="719">
        <v>2.0161882458055622</v>
      </c>
      <c r="O785" s="719">
        <v>0.53140649316109323</v>
      </c>
      <c r="P785" s="716">
        <v>10.018128995198005</v>
      </c>
      <c r="Q785" s="716">
        <v>53.700688283530731</v>
      </c>
      <c r="R785" s="716">
        <v>21.641182316495023</v>
      </c>
      <c r="S785" s="667">
        <v>0</v>
      </c>
      <c r="T785" s="667">
        <v>0</v>
      </c>
      <c r="U785" s="667">
        <v>0</v>
      </c>
      <c r="V785" s="667">
        <v>0</v>
      </c>
      <c r="W785" s="667">
        <v>0</v>
      </c>
      <c r="X785" s="667">
        <v>0</v>
      </c>
      <c r="Y785" s="667">
        <v>0</v>
      </c>
      <c r="Z785" s="667">
        <v>0</v>
      </c>
      <c r="AA785" s="667">
        <v>881.17</v>
      </c>
      <c r="AB785" s="667">
        <v>0</v>
      </c>
      <c r="AC785" s="665">
        <v>47.62</v>
      </c>
      <c r="AD785" s="665">
        <v>0</v>
      </c>
      <c r="AE785" s="667">
        <v>18.14</v>
      </c>
      <c r="AF785" s="719">
        <v>114.81</v>
      </c>
      <c r="AG785" s="665">
        <v>44.87</v>
      </c>
      <c r="AH785" s="716"/>
      <c r="AI785" s="716"/>
      <c r="AJ785" s="716"/>
      <c r="AK785" s="716"/>
      <c r="AL785" s="716"/>
      <c r="AM785" s="716"/>
      <c r="AN785" s="716"/>
      <c r="AO785" s="716"/>
      <c r="AP785" s="716"/>
      <c r="AQ785" s="716"/>
      <c r="AR785" s="716"/>
      <c r="AS785" s="716"/>
      <c r="AT785" s="716"/>
      <c r="AU785" s="716"/>
      <c r="AV785" s="716"/>
      <c r="AW785" s="716"/>
      <c r="AX785" s="716"/>
      <c r="AY785" s="716"/>
      <c r="AZ785" s="716"/>
      <c r="BA785" s="716"/>
      <c r="BB785" s="716"/>
      <c r="BC785" s="716"/>
      <c r="BD785" s="716"/>
      <c r="BE785" s="716"/>
      <c r="BF785" s="716"/>
      <c r="BG785" s="716"/>
      <c r="BH785" s="716"/>
      <c r="BI785" s="716"/>
      <c r="BJ785" s="716"/>
      <c r="BK785" s="716"/>
      <c r="BL785" s="716"/>
      <c r="BM785" s="716"/>
      <c r="BN785" s="716"/>
      <c r="BO785" s="716"/>
      <c r="BP785" s="716"/>
      <c r="BQ785" s="716"/>
      <c r="BR785" s="716"/>
      <c r="BS785" s="716"/>
      <c r="BT785" s="716"/>
      <c r="BU785" s="716"/>
      <c r="BV785" s="716"/>
      <c r="BW785" s="716"/>
      <c r="BX785" s="716"/>
      <c r="BY785" s="716"/>
      <c r="BZ785" s="716"/>
      <c r="CA785" s="716"/>
    </row>
    <row r="786" spans="1:79" hidden="1" outlineLevel="1" x14ac:dyDescent="0.25">
      <c r="A786" s="658"/>
      <c r="E786" s="570" t="s">
        <v>943</v>
      </c>
      <c r="F786" s="658" t="s">
        <v>597</v>
      </c>
      <c r="G786" s="719">
        <v>0</v>
      </c>
      <c r="H786" s="719"/>
      <c r="I786" s="719"/>
      <c r="J786" s="719">
        <v>104.64480418023321</v>
      </c>
      <c r="K786" s="719">
        <v>8.9485376827040728</v>
      </c>
      <c r="L786" s="719"/>
      <c r="M786" s="719"/>
      <c r="N786" s="719"/>
      <c r="O786" s="719">
        <v>7.9339793652980459</v>
      </c>
      <c r="P786" s="716">
        <v>0.18685958779334608</v>
      </c>
      <c r="Q786" s="716">
        <v>19.134696914958475</v>
      </c>
      <c r="R786" s="716"/>
      <c r="S786" s="667">
        <v>0</v>
      </c>
      <c r="T786" s="667">
        <v>0</v>
      </c>
      <c r="U786" s="667">
        <v>33.67</v>
      </c>
      <c r="V786" s="667">
        <v>0</v>
      </c>
      <c r="W786" s="667">
        <v>454.53</v>
      </c>
      <c r="X786" s="667">
        <v>0</v>
      </c>
      <c r="Y786" s="667">
        <v>0</v>
      </c>
      <c r="Z786" s="667">
        <v>0</v>
      </c>
      <c r="AA786" s="667">
        <v>0</v>
      </c>
      <c r="AB786" s="667">
        <v>0</v>
      </c>
      <c r="AC786" s="665">
        <v>0</v>
      </c>
      <c r="AD786" s="665">
        <v>0</v>
      </c>
      <c r="AE786" s="667">
        <v>0</v>
      </c>
      <c r="AF786" s="719">
        <v>0</v>
      </c>
      <c r="AG786" s="665">
        <v>0</v>
      </c>
      <c r="AH786" s="716"/>
      <c r="AI786" s="716"/>
      <c r="AJ786" s="716"/>
      <c r="AK786" s="716"/>
      <c r="AL786" s="716"/>
      <c r="AM786" s="716"/>
      <c r="AN786" s="716"/>
      <c r="AO786" s="716"/>
      <c r="AP786" s="716"/>
      <c r="AQ786" s="716"/>
      <c r="AR786" s="716"/>
      <c r="AS786" s="716"/>
      <c r="AT786" s="716"/>
      <c r="AU786" s="716"/>
      <c r="AV786" s="716"/>
      <c r="AW786" s="716"/>
      <c r="AX786" s="716"/>
      <c r="AY786" s="716"/>
      <c r="AZ786" s="716"/>
      <c r="BA786" s="716"/>
      <c r="BB786" s="716"/>
      <c r="BC786" s="716"/>
      <c r="BD786" s="716"/>
      <c r="BE786" s="716"/>
      <c r="BF786" s="716"/>
      <c r="BG786" s="716"/>
      <c r="BH786" s="716"/>
      <c r="BI786" s="716"/>
      <c r="BJ786" s="716"/>
      <c r="BK786" s="716"/>
      <c r="BL786" s="716"/>
      <c r="BM786" s="716"/>
      <c r="BN786" s="716"/>
      <c r="BO786" s="716"/>
      <c r="BP786" s="716"/>
      <c r="BQ786" s="716"/>
      <c r="BR786" s="716"/>
      <c r="BS786" s="716"/>
      <c r="BT786" s="716"/>
      <c r="BU786" s="716"/>
      <c r="BV786" s="716"/>
      <c r="BW786" s="716"/>
      <c r="BX786" s="716"/>
      <c r="BY786" s="716"/>
      <c r="BZ786" s="716"/>
      <c r="CA786" s="716"/>
    </row>
    <row r="787" spans="1:79" s="700" customFormat="1" hidden="1" outlineLevel="1" x14ac:dyDescent="0.25">
      <c r="A787" s="701"/>
      <c r="E787" s="570" t="s">
        <v>1339</v>
      </c>
      <c r="F787" s="701" t="s">
        <v>598</v>
      </c>
      <c r="G787" s="733"/>
      <c r="H787" s="733"/>
      <c r="I787" s="733"/>
      <c r="J787" s="733"/>
      <c r="K787" s="733"/>
      <c r="L787" s="733"/>
      <c r="M787" s="733"/>
      <c r="N787" s="733"/>
      <c r="O787" s="733"/>
      <c r="P787" s="734"/>
      <c r="Q787" s="734"/>
      <c r="R787" s="734"/>
      <c r="S787" s="697"/>
      <c r="T787" s="697"/>
      <c r="U787" s="697"/>
      <c r="V787" s="697"/>
      <c r="W787" s="697"/>
      <c r="X787" s="697"/>
      <c r="Y787" s="697"/>
      <c r="Z787" s="697"/>
      <c r="AA787" s="697"/>
      <c r="AB787" s="697"/>
      <c r="AC787" s="696"/>
      <c r="AD787" s="696"/>
      <c r="AE787" s="697"/>
      <c r="AF787" s="733"/>
      <c r="AG787" s="696"/>
      <c r="AH787" s="734"/>
      <c r="AI787" s="734"/>
      <c r="AJ787" s="734"/>
      <c r="AK787" s="734"/>
      <c r="AL787" s="734"/>
      <c r="AM787" s="734"/>
      <c r="AN787" s="734"/>
      <c r="AO787" s="734"/>
      <c r="AP787" s="734"/>
      <c r="AQ787" s="734"/>
      <c r="AR787" s="734"/>
      <c r="AS787" s="734"/>
      <c r="AT787" s="734"/>
      <c r="AU787" s="734"/>
      <c r="AV787" s="734"/>
      <c r="AW787" s="734"/>
      <c r="AX787" s="734"/>
      <c r="AY787" s="734"/>
      <c r="AZ787" s="734"/>
      <c r="BA787" s="734"/>
      <c r="BB787" s="734"/>
      <c r="BC787" s="734"/>
      <c r="BD787" s="734"/>
      <c r="BE787" s="734"/>
      <c r="BF787" s="734"/>
      <c r="BG787" s="734"/>
      <c r="BH787" s="734"/>
      <c r="BI787" s="734"/>
      <c r="BJ787" s="734"/>
      <c r="BK787" s="734"/>
      <c r="BL787" s="734"/>
      <c r="BM787" s="734"/>
      <c r="BN787" s="734"/>
      <c r="BO787" s="734"/>
      <c r="BP787" s="734"/>
      <c r="BQ787" s="734"/>
      <c r="BR787" s="734"/>
      <c r="BS787" s="734"/>
      <c r="BT787" s="734"/>
      <c r="BU787" s="734"/>
      <c r="BV787" s="734"/>
      <c r="BW787" s="734"/>
      <c r="BX787" s="734"/>
      <c r="BY787" s="734"/>
      <c r="BZ787" s="734"/>
      <c r="CA787" s="734"/>
    </row>
    <row r="788" spans="1:79" s="740" customFormat="1" hidden="1" outlineLevel="1" x14ac:dyDescent="0.25">
      <c r="A788" s="656"/>
      <c r="B788" s="503"/>
      <c r="C788" s="503"/>
      <c r="D788" s="503"/>
      <c r="E788" s="570" t="s">
        <v>1339</v>
      </c>
      <c r="F788" s="656" t="s">
        <v>649</v>
      </c>
      <c r="G788" s="719"/>
      <c r="H788" s="719"/>
      <c r="I788" s="719"/>
      <c r="J788" s="719"/>
      <c r="K788" s="719"/>
      <c r="L788" s="719"/>
      <c r="M788" s="719"/>
      <c r="N788" s="719"/>
      <c r="O788" s="719"/>
      <c r="P788" s="716"/>
      <c r="Q788" s="716"/>
      <c r="R788" s="716"/>
      <c r="S788" s="676">
        <v>0</v>
      </c>
      <c r="T788" s="676">
        <v>0</v>
      </c>
      <c r="U788" s="676">
        <v>0</v>
      </c>
      <c r="V788" s="676">
        <v>0</v>
      </c>
      <c r="W788" s="676">
        <v>0</v>
      </c>
      <c r="X788" s="676">
        <v>0</v>
      </c>
      <c r="Y788" s="676">
        <v>0</v>
      </c>
      <c r="Z788" s="676">
        <v>0</v>
      </c>
      <c r="AA788" s="676">
        <v>0</v>
      </c>
      <c r="AB788" s="676">
        <v>0</v>
      </c>
      <c r="AC788" s="669">
        <v>0</v>
      </c>
      <c r="AD788" s="669">
        <v>0</v>
      </c>
      <c r="AE788" s="676">
        <v>0</v>
      </c>
      <c r="AF788" s="719">
        <v>0</v>
      </c>
      <c r="AG788" s="669">
        <v>0</v>
      </c>
      <c r="AH788" s="716"/>
      <c r="AI788" s="716"/>
      <c r="AJ788" s="716"/>
      <c r="AK788" s="716"/>
      <c r="AL788" s="716"/>
      <c r="AM788" s="716"/>
      <c r="AN788" s="716"/>
      <c r="AO788" s="716"/>
      <c r="AP788" s="716"/>
      <c r="AQ788" s="716"/>
      <c r="AR788" s="716"/>
      <c r="AS788" s="716"/>
      <c r="AT788" s="716"/>
      <c r="AU788" s="716"/>
      <c r="AV788" s="716"/>
      <c r="AW788" s="716"/>
      <c r="AX788" s="716"/>
      <c r="AY788" s="716"/>
      <c r="AZ788" s="716"/>
      <c r="BA788" s="716"/>
      <c r="BB788" s="716"/>
      <c r="BC788" s="716"/>
      <c r="BD788" s="716"/>
      <c r="BE788" s="716"/>
      <c r="BF788" s="716"/>
      <c r="BG788" s="716"/>
      <c r="BH788" s="716"/>
      <c r="BI788" s="716"/>
      <c r="BJ788" s="716"/>
      <c r="BK788" s="716"/>
      <c r="BL788" s="716"/>
      <c r="BM788" s="716"/>
      <c r="BN788" s="716"/>
      <c r="BO788" s="716"/>
      <c r="BP788" s="716"/>
      <c r="BQ788" s="716"/>
      <c r="BR788" s="716"/>
      <c r="BS788" s="716"/>
      <c r="BT788" s="716"/>
      <c r="BU788" s="716"/>
      <c r="BV788" s="716"/>
      <c r="BW788" s="716"/>
      <c r="BX788" s="716"/>
      <c r="BY788" s="716"/>
      <c r="BZ788" s="716"/>
      <c r="CA788" s="716"/>
    </row>
    <row r="789" spans="1:79" s="740" customFormat="1" hidden="1" outlineLevel="1" x14ac:dyDescent="0.25">
      <c r="A789" s="656"/>
      <c r="B789" s="503"/>
      <c r="C789" s="503"/>
      <c r="D789" s="503"/>
      <c r="E789" s="570" t="s">
        <v>1339</v>
      </c>
      <c r="F789" s="656" t="s">
        <v>620</v>
      </c>
      <c r="G789" s="719"/>
      <c r="H789" s="719"/>
      <c r="I789" s="719"/>
      <c r="J789" s="719"/>
      <c r="K789" s="719"/>
      <c r="L789" s="719"/>
      <c r="M789" s="719"/>
      <c r="N789" s="719"/>
      <c r="O789" s="719"/>
      <c r="P789" s="716"/>
      <c r="Q789" s="716"/>
      <c r="R789" s="716"/>
      <c r="S789" s="667">
        <v>0</v>
      </c>
      <c r="T789" s="667">
        <v>0</v>
      </c>
      <c r="U789" s="667">
        <v>0</v>
      </c>
      <c r="V789" s="667">
        <v>0</v>
      </c>
      <c r="W789" s="667">
        <v>0</v>
      </c>
      <c r="X789" s="667">
        <v>0</v>
      </c>
      <c r="Y789" s="667">
        <v>0</v>
      </c>
      <c r="Z789" s="667">
        <v>0</v>
      </c>
      <c r="AA789" s="667">
        <v>0</v>
      </c>
      <c r="AB789" s="667">
        <v>0</v>
      </c>
      <c r="AC789" s="681">
        <v>0</v>
      </c>
      <c r="AD789" s="681">
        <v>0</v>
      </c>
      <c r="AE789" s="667">
        <v>0</v>
      </c>
      <c r="AF789" s="719">
        <v>0</v>
      </c>
      <c r="AG789" s="681">
        <v>0</v>
      </c>
      <c r="AH789" s="716"/>
      <c r="AI789" s="716"/>
      <c r="AJ789" s="716"/>
      <c r="AK789" s="716"/>
      <c r="AL789" s="716"/>
      <c r="AM789" s="716"/>
      <c r="AN789" s="716"/>
      <c r="AO789" s="716"/>
      <c r="AP789" s="716"/>
      <c r="AQ789" s="716"/>
      <c r="AR789" s="716"/>
      <c r="AS789" s="716"/>
      <c r="AT789" s="716"/>
      <c r="AU789" s="716"/>
      <c r="AV789" s="716"/>
      <c r="AW789" s="716"/>
      <c r="AX789" s="716"/>
      <c r="AY789" s="716"/>
      <c r="AZ789" s="716"/>
      <c r="BA789" s="716"/>
      <c r="BB789" s="716"/>
      <c r="BC789" s="716"/>
      <c r="BD789" s="716"/>
      <c r="BE789" s="716"/>
      <c r="BF789" s="716"/>
      <c r="BG789" s="716"/>
      <c r="BH789" s="716"/>
      <c r="BI789" s="716"/>
      <c r="BJ789" s="716"/>
      <c r="BK789" s="716"/>
      <c r="BL789" s="716"/>
      <c r="BM789" s="716"/>
      <c r="BN789" s="716"/>
      <c r="BO789" s="716"/>
      <c r="BP789" s="716"/>
      <c r="BQ789" s="716"/>
      <c r="BR789" s="716"/>
      <c r="BS789" s="716"/>
      <c r="BT789" s="716"/>
      <c r="BU789" s="716"/>
      <c r="BV789" s="716"/>
      <c r="BW789" s="716"/>
      <c r="BX789" s="716"/>
      <c r="BY789" s="716"/>
      <c r="BZ789" s="716"/>
      <c r="CA789" s="716"/>
    </row>
    <row r="790" spans="1:79" s="740" customFormat="1" hidden="1" outlineLevel="1" x14ac:dyDescent="0.25">
      <c r="A790" s="656"/>
      <c r="B790" s="503"/>
      <c r="C790" s="503"/>
      <c r="D790" s="503"/>
      <c r="E790" s="570" t="s">
        <v>1339</v>
      </c>
      <c r="F790" s="656" t="s">
        <v>666</v>
      </c>
      <c r="G790" s="719"/>
      <c r="H790" s="719"/>
      <c r="I790" s="719"/>
      <c r="J790" s="719"/>
      <c r="K790" s="719"/>
      <c r="L790" s="719"/>
      <c r="M790" s="719"/>
      <c r="N790" s="719"/>
      <c r="O790" s="719"/>
      <c r="P790" s="716"/>
      <c r="Q790" s="716"/>
      <c r="R790" s="716"/>
      <c r="S790" s="667">
        <v>0</v>
      </c>
      <c r="T790" s="667">
        <v>0</v>
      </c>
      <c r="U790" s="667">
        <v>0</v>
      </c>
      <c r="V790" s="667">
        <v>0</v>
      </c>
      <c r="W790" s="667">
        <v>0</v>
      </c>
      <c r="X790" s="667">
        <v>0</v>
      </c>
      <c r="Y790" s="667">
        <v>0</v>
      </c>
      <c r="Z790" s="667">
        <v>0</v>
      </c>
      <c r="AA790" s="667">
        <v>0</v>
      </c>
      <c r="AB790" s="667">
        <v>0</v>
      </c>
      <c r="AC790" s="681">
        <v>0</v>
      </c>
      <c r="AD790" s="681">
        <v>0</v>
      </c>
      <c r="AE790" s="667">
        <v>0</v>
      </c>
      <c r="AF790" s="719">
        <v>0</v>
      </c>
      <c r="AG790" s="681">
        <v>0</v>
      </c>
      <c r="AH790" s="716"/>
      <c r="AI790" s="716"/>
      <c r="AJ790" s="716"/>
      <c r="AK790" s="716"/>
      <c r="AL790" s="716"/>
      <c r="AM790" s="716"/>
      <c r="AN790" s="716"/>
      <c r="AO790" s="716"/>
      <c r="AP790" s="716"/>
      <c r="AQ790" s="716"/>
      <c r="AR790" s="716"/>
      <c r="AS790" s="716"/>
      <c r="AT790" s="716"/>
      <c r="AU790" s="716"/>
      <c r="AV790" s="716"/>
      <c r="AW790" s="716"/>
      <c r="AX790" s="716"/>
      <c r="AY790" s="716"/>
      <c r="AZ790" s="716"/>
      <c r="BA790" s="716"/>
      <c r="BB790" s="716"/>
      <c r="BC790" s="716"/>
      <c r="BD790" s="716"/>
      <c r="BE790" s="716"/>
      <c r="BF790" s="716"/>
      <c r="BG790" s="716"/>
      <c r="BH790" s="716"/>
      <c r="BI790" s="716"/>
      <c r="BJ790" s="716"/>
      <c r="BK790" s="716"/>
      <c r="BL790" s="716"/>
      <c r="BM790" s="716"/>
      <c r="BN790" s="716"/>
      <c r="BO790" s="716"/>
      <c r="BP790" s="716"/>
      <c r="BQ790" s="716"/>
      <c r="BR790" s="716"/>
      <c r="BS790" s="716"/>
      <c r="BT790" s="716"/>
      <c r="BU790" s="716"/>
      <c r="BV790" s="716"/>
      <c r="BW790" s="716"/>
      <c r="BX790" s="716"/>
      <c r="BY790" s="716"/>
      <c r="BZ790" s="716"/>
      <c r="CA790" s="716"/>
    </row>
    <row r="791" spans="1:79" s="451" customFormat="1" hidden="1" outlineLevel="1" x14ac:dyDescent="0.25">
      <c r="A791" s="656"/>
      <c r="B791" s="79"/>
      <c r="C791" s="79"/>
      <c r="D791" s="79"/>
      <c r="E791" s="570" t="s">
        <v>1339</v>
      </c>
      <c r="F791" s="656" t="s">
        <v>621</v>
      </c>
      <c r="G791" s="716">
        <v>1340</v>
      </c>
      <c r="H791" s="716">
        <v>3012.0155061767273</v>
      </c>
      <c r="I791" s="716">
        <v>2304</v>
      </c>
      <c r="J791" s="716">
        <v>3097.5120585789114</v>
      </c>
      <c r="K791" s="716">
        <v>3096.7068686719704</v>
      </c>
      <c r="L791" s="716">
        <v>3372.6806247749187</v>
      </c>
      <c r="M791" s="716">
        <v>3929.6499192621604</v>
      </c>
      <c r="N791" s="716">
        <v>4690.4005373135196</v>
      </c>
      <c r="O791" s="716">
        <v>4166.7970472637262</v>
      </c>
      <c r="P791" s="716">
        <v>4627.4380331497159</v>
      </c>
      <c r="Q791" s="716">
        <v>5233.3314304922224</v>
      </c>
      <c r="R791" s="716">
        <v>5023.6787895708676</v>
      </c>
      <c r="S791" s="667">
        <v>17399.939999999999</v>
      </c>
      <c r="T791" s="667">
        <v>2395</v>
      </c>
      <c r="U791" s="667">
        <v>17262.650000000001</v>
      </c>
      <c r="V791" s="667">
        <v>21845.95</v>
      </c>
      <c r="W791" s="667">
        <v>26398.36</v>
      </c>
      <c r="X791" s="667">
        <v>6000</v>
      </c>
      <c r="Y791" s="667">
        <v>46279.96</v>
      </c>
      <c r="Z791" s="667">
        <v>35001.94</v>
      </c>
      <c r="AA791" s="667">
        <v>32803.440000000002</v>
      </c>
      <c r="AB791" s="667">
        <v>33178.54</v>
      </c>
      <c r="AC791" s="681">
        <v>32840.21</v>
      </c>
      <c r="AD791" s="681">
        <v>40796.839999999997</v>
      </c>
      <c r="AE791" s="667">
        <v>33396.480000000003</v>
      </c>
      <c r="AF791" s="716">
        <v>21048.31</v>
      </c>
      <c r="AG791" s="681">
        <v>27564.91</v>
      </c>
      <c r="AH791" s="716"/>
      <c r="AI791" s="716"/>
      <c r="AJ791" s="716"/>
      <c r="AK791" s="716"/>
      <c r="AL791" s="716"/>
      <c r="AM791" s="716"/>
      <c r="AN791" s="716"/>
      <c r="AO791" s="716"/>
      <c r="AP791" s="716"/>
      <c r="AQ791" s="716"/>
      <c r="AR791" s="716"/>
      <c r="AS791" s="716"/>
      <c r="AT791" s="716"/>
      <c r="AU791" s="716"/>
      <c r="AV791" s="716"/>
      <c r="AW791" s="716"/>
      <c r="AX791" s="716"/>
      <c r="AY791" s="716"/>
      <c r="AZ791" s="716"/>
      <c r="BA791" s="716"/>
      <c r="BB791" s="716"/>
      <c r="BC791" s="716"/>
      <c r="BD791" s="716"/>
      <c r="BE791" s="716"/>
      <c r="BF791" s="716"/>
      <c r="BG791" s="716"/>
      <c r="BH791" s="716"/>
      <c r="BI791" s="716"/>
      <c r="BJ791" s="716"/>
      <c r="BK791" s="716"/>
      <c r="BL791" s="716"/>
      <c r="BM791" s="716"/>
      <c r="BN791" s="716"/>
      <c r="BO791" s="716"/>
      <c r="BP791" s="716"/>
      <c r="BQ791" s="716"/>
      <c r="BR791" s="716"/>
      <c r="BS791" s="716"/>
      <c r="BT791" s="716"/>
      <c r="BU791" s="716"/>
      <c r="BV791" s="716"/>
      <c r="BW791" s="716"/>
      <c r="BX791" s="716"/>
      <c r="BY791" s="716"/>
      <c r="BZ791" s="716"/>
      <c r="CA791" s="716"/>
    </row>
    <row r="792" spans="1:79" s="451" customFormat="1" hidden="1" outlineLevel="1" x14ac:dyDescent="0.25">
      <c r="A792" s="656"/>
      <c r="B792" s="576"/>
      <c r="C792" s="576"/>
      <c r="D792" s="576"/>
      <c r="E792" s="570" t="s">
        <v>1339</v>
      </c>
      <c r="F792" s="656" t="s">
        <v>650</v>
      </c>
      <c r="G792" s="716"/>
      <c r="H792" s="716"/>
      <c r="I792" s="716"/>
      <c r="J792" s="716"/>
      <c r="K792" s="716"/>
      <c r="L792" s="716"/>
      <c r="M792" s="716"/>
      <c r="N792" s="716"/>
      <c r="O792" s="716"/>
      <c r="P792" s="716"/>
      <c r="Q792" s="716"/>
      <c r="R792" s="716"/>
      <c r="S792" s="667">
        <v>0</v>
      </c>
      <c r="T792" s="667">
        <v>0</v>
      </c>
      <c r="U792" s="667">
        <v>0</v>
      </c>
      <c r="V792" s="667">
        <v>0</v>
      </c>
      <c r="W792" s="667">
        <v>0</v>
      </c>
      <c r="X792" s="667">
        <v>0</v>
      </c>
      <c r="Y792" s="667">
        <v>0</v>
      </c>
      <c r="Z792" s="667">
        <v>0</v>
      </c>
      <c r="AA792" s="667">
        <v>0</v>
      </c>
      <c r="AB792" s="667">
        <v>0</v>
      </c>
      <c r="AC792" s="681">
        <v>0</v>
      </c>
      <c r="AD792" s="681">
        <v>0</v>
      </c>
      <c r="AE792" s="667">
        <v>0</v>
      </c>
      <c r="AF792" s="716">
        <v>0</v>
      </c>
      <c r="AG792" s="681">
        <v>0</v>
      </c>
      <c r="AH792" s="716"/>
      <c r="AI792" s="716"/>
      <c r="AJ792" s="716"/>
      <c r="AK792" s="716"/>
      <c r="AL792" s="716"/>
      <c r="AM792" s="716"/>
      <c r="AN792" s="716"/>
      <c r="AO792" s="716"/>
      <c r="AP792" s="716"/>
      <c r="AQ792" s="716"/>
      <c r="AR792" s="716"/>
      <c r="AS792" s="716"/>
      <c r="AT792" s="716"/>
      <c r="AU792" s="716"/>
      <c r="AV792" s="716"/>
      <c r="AW792" s="716"/>
      <c r="AX792" s="716"/>
      <c r="AY792" s="716"/>
      <c r="AZ792" s="716"/>
      <c r="BA792" s="716"/>
      <c r="BB792" s="716"/>
      <c r="BC792" s="716"/>
      <c r="BD792" s="716"/>
      <c r="BE792" s="716"/>
      <c r="BF792" s="716"/>
      <c r="BG792" s="716"/>
      <c r="BH792" s="716"/>
      <c r="BI792" s="716"/>
      <c r="BJ792" s="716"/>
      <c r="BK792" s="716"/>
      <c r="BL792" s="716"/>
      <c r="BM792" s="716"/>
      <c r="BN792" s="716"/>
      <c r="BO792" s="716"/>
      <c r="BP792" s="716"/>
      <c r="BQ792" s="716"/>
      <c r="BR792" s="716"/>
      <c r="BS792" s="716"/>
      <c r="BT792" s="716"/>
      <c r="BU792" s="716"/>
      <c r="BV792" s="716"/>
      <c r="BW792" s="716"/>
      <c r="BX792" s="716"/>
      <c r="BY792" s="716"/>
      <c r="BZ792" s="716"/>
      <c r="CA792" s="716"/>
    </row>
    <row r="793" spans="1:79" s="451" customFormat="1" hidden="1" outlineLevel="1" x14ac:dyDescent="0.25">
      <c r="A793" s="656"/>
      <c r="B793" s="576"/>
      <c r="C793" s="576"/>
      <c r="D793" s="576"/>
      <c r="E793" s="570" t="s">
        <v>1339</v>
      </c>
      <c r="F793" s="656" t="s">
        <v>647</v>
      </c>
      <c r="G793" s="716"/>
      <c r="H793" s="716"/>
      <c r="I793" s="716"/>
      <c r="J793" s="716"/>
      <c r="K793" s="716"/>
      <c r="L793" s="716"/>
      <c r="M793" s="716"/>
      <c r="N793" s="716"/>
      <c r="O793" s="716"/>
      <c r="P793" s="716"/>
      <c r="Q793" s="716"/>
      <c r="R793" s="716"/>
      <c r="S793" s="684">
        <v>0</v>
      </c>
      <c r="T793" s="684">
        <v>0</v>
      </c>
      <c r="U793" s="684">
        <v>0</v>
      </c>
      <c r="V793" s="684">
        <v>0</v>
      </c>
      <c r="W793" s="684">
        <v>0</v>
      </c>
      <c r="X793" s="684">
        <v>0</v>
      </c>
      <c r="Y793" s="684">
        <v>0</v>
      </c>
      <c r="Z793" s="684">
        <v>0</v>
      </c>
      <c r="AA793" s="684">
        <v>0</v>
      </c>
      <c r="AB793" s="684">
        <v>0</v>
      </c>
      <c r="AC793" s="665">
        <v>0</v>
      </c>
      <c r="AD793" s="665">
        <v>0</v>
      </c>
      <c r="AE793" s="684">
        <v>0</v>
      </c>
      <c r="AF793" s="716">
        <v>0</v>
      </c>
      <c r="AG793" s="665">
        <v>0</v>
      </c>
      <c r="AH793" s="716"/>
      <c r="AI793" s="716"/>
      <c r="AJ793" s="716"/>
      <c r="AK793" s="716"/>
      <c r="AL793" s="716"/>
      <c r="AM793" s="716"/>
      <c r="AN793" s="716"/>
      <c r="AO793" s="716"/>
      <c r="AP793" s="716"/>
      <c r="AQ793" s="716"/>
      <c r="AR793" s="716"/>
      <c r="AS793" s="716"/>
      <c r="AT793" s="716"/>
      <c r="AU793" s="716"/>
      <c r="AV793" s="716"/>
      <c r="AW793" s="716"/>
      <c r="AX793" s="716"/>
      <c r="AY793" s="716"/>
      <c r="AZ793" s="716"/>
      <c r="BA793" s="716"/>
      <c r="BB793" s="716"/>
      <c r="BC793" s="716"/>
      <c r="BD793" s="716"/>
      <c r="BE793" s="716"/>
      <c r="BF793" s="716"/>
      <c r="BG793" s="716"/>
      <c r="BH793" s="716"/>
      <c r="BI793" s="716"/>
      <c r="BJ793" s="716"/>
      <c r="BK793" s="716"/>
      <c r="BL793" s="716"/>
      <c r="BM793" s="716"/>
      <c r="BN793" s="716"/>
      <c r="BO793" s="716"/>
      <c r="BP793" s="716"/>
      <c r="BQ793" s="716"/>
      <c r="BR793" s="716"/>
      <c r="BS793" s="716"/>
      <c r="BT793" s="716"/>
      <c r="BU793" s="716"/>
      <c r="BV793" s="716"/>
      <c r="BW793" s="716"/>
      <c r="BX793" s="716"/>
      <c r="BY793" s="716"/>
      <c r="BZ793" s="716"/>
      <c r="CA793" s="716"/>
    </row>
    <row r="794" spans="1:79" s="451" customFormat="1" hidden="1" outlineLevel="1" x14ac:dyDescent="0.25">
      <c r="A794" s="656"/>
      <c r="B794" s="576"/>
      <c r="C794" s="576"/>
      <c r="D794" s="576"/>
      <c r="E794" s="570" t="s">
        <v>1339</v>
      </c>
      <c r="F794" s="656" t="s">
        <v>889</v>
      </c>
      <c r="G794" s="716"/>
      <c r="H794" s="716"/>
      <c r="I794" s="716"/>
      <c r="J794" s="716"/>
      <c r="K794" s="716"/>
      <c r="L794" s="716"/>
      <c r="M794" s="716"/>
      <c r="N794" s="716"/>
      <c r="O794" s="716"/>
      <c r="P794" s="716"/>
      <c r="Q794" s="716"/>
      <c r="R794" s="716"/>
      <c r="S794" s="684">
        <v>0</v>
      </c>
      <c r="T794" s="684">
        <v>0</v>
      </c>
      <c r="U794" s="684">
        <v>0</v>
      </c>
      <c r="V794" s="684">
        <v>0</v>
      </c>
      <c r="W794" s="684">
        <v>0</v>
      </c>
      <c r="X794" s="684">
        <v>0</v>
      </c>
      <c r="Y794" s="684">
        <v>0</v>
      </c>
      <c r="Z794" s="684">
        <v>0</v>
      </c>
      <c r="AA794" s="684">
        <v>0</v>
      </c>
      <c r="AB794" s="684">
        <v>0</v>
      </c>
      <c r="AC794" s="665">
        <v>0</v>
      </c>
      <c r="AD794" s="665">
        <v>0</v>
      </c>
      <c r="AE794" s="684">
        <v>0</v>
      </c>
      <c r="AF794" s="716">
        <v>0</v>
      </c>
      <c r="AG794" s="665">
        <v>0</v>
      </c>
      <c r="AH794" s="716"/>
      <c r="AI794" s="716"/>
      <c r="AJ794" s="716"/>
      <c r="AK794" s="716"/>
      <c r="AL794" s="716"/>
      <c r="AM794" s="716"/>
      <c r="AN794" s="716"/>
      <c r="AO794" s="716"/>
      <c r="AP794" s="716"/>
      <c r="AQ794" s="716"/>
      <c r="AR794" s="716"/>
      <c r="AS794" s="716"/>
      <c r="AT794" s="716"/>
      <c r="AU794" s="716"/>
      <c r="AV794" s="716"/>
      <c r="AW794" s="716"/>
      <c r="AX794" s="716"/>
      <c r="AY794" s="716"/>
      <c r="AZ794" s="716"/>
      <c r="BA794" s="716"/>
      <c r="BB794" s="716"/>
      <c r="BC794" s="716"/>
      <c r="BD794" s="716"/>
      <c r="BE794" s="716"/>
      <c r="BF794" s="716"/>
      <c r="BG794" s="716"/>
      <c r="BH794" s="716"/>
      <c r="BI794" s="716"/>
      <c r="BJ794" s="716"/>
      <c r="BK794" s="716"/>
      <c r="BL794" s="716"/>
      <c r="BM794" s="716"/>
      <c r="BN794" s="716"/>
      <c r="BO794" s="716"/>
      <c r="BP794" s="716"/>
      <c r="BQ794" s="716"/>
      <c r="BR794" s="716"/>
      <c r="BS794" s="716"/>
      <c r="BT794" s="716"/>
      <c r="BU794" s="716"/>
      <c r="BV794" s="716"/>
      <c r="BW794" s="716"/>
      <c r="BX794" s="716"/>
      <c r="BY794" s="716"/>
      <c r="BZ794" s="716"/>
      <c r="CA794" s="716"/>
    </row>
    <row r="795" spans="1:79" s="451" customFormat="1" hidden="1" outlineLevel="1" x14ac:dyDescent="0.25">
      <c r="A795" s="656"/>
      <c r="B795" s="576"/>
      <c r="C795" s="576"/>
      <c r="D795" s="576"/>
      <c r="E795" s="570" t="s">
        <v>1339</v>
      </c>
      <c r="F795" s="656" t="s">
        <v>684</v>
      </c>
      <c r="G795" s="716"/>
      <c r="H795" s="716"/>
      <c r="I795" s="716"/>
      <c r="J795" s="716"/>
      <c r="K795" s="716"/>
      <c r="L795" s="716"/>
      <c r="M795" s="716"/>
      <c r="N795" s="716"/>
      <c r="O795" s="716"/>
      <c r="P795" s="716"/>
      <c r="Q795" s="716"/>
      <c r="R795" s="716"/>
      <c r="S795" s="667">
        <v>0</v>
      </c>
      <c r="T795" s="667">
        <v>0</v>
      </c>
      <c r="U795" s="667">
        <v>0</v>
      </c>
      <c r="V795" s="667">
        <v>0</v>
      </c>
      <c r="W795" s="667">
        <v>0</v>
      </c>
      <c r="X795" s="667">
        <v>0</v>
      </c>
      <c r="Y795" s="667">
        <v>0</v>
      </c>
      <c r="Z795" s="667">
        <v>0</v>
      </c>
      <c r="AA795" s="667">
        <v>0</v>
      </c>
      <c r="AB795" s="667">
        <v>0</v>
      </c>
      <c r="AC795" s="665">
        <v>0</v>
      </c>
      <c r="AD795" s="665">
        <v>0</v>
      </c>
      <c r="AE795" s="667">
        <v>0</v>
      </c>
      <c r="AF795" s="716">
        <v>0</v>
      </c>
      <c r="AG795" s="665">
        <v>0</v>
      </c>
      <c r="AH795" s="716"/>
      <c r="AI795" s="716"/>
      <c r="AJ795" s="716"/>
      <c r="AK795" s="716"/>
      <c r="AL795" s="716"/>
      <c r="AM795" s="716"/>
      <c r="AN795" s="716"/>
      <c r="AO795" s="716"/>
      <c r="AP795" s="716"/>
      <c r="AQ795" s="716"/>
      <c r="AR795" s="716"/>
      <c r="AS795" s="716"/>
      <c r="AT795" s="716"/>
      <c r="AU795" s="716"/>
      <c r="AV795" s="716"/>
      <c r="AW795" s="716"/>
      <c r="AX795" s="716"/>
      <c r="AY795" s="716"/>
      <c r="AZ795" s="716"/>
      <c r="BA795" s="716"/>
      <c r="BB795" s="716"/>
      <c r="BC795" s="716"/>
      <c r="BD795" s="716"/>
      <c r="BE795" s="716"/>
      <c r="BF795" s="716"/>
      <c r="BG795" s="716"/>
      <c r="BH795" s="716"/>
      <c r="BI795" s="716"/>
      <c r="BJ795" s="716"/>
      <c r="BK795" s="716"/>
      <c r="BL795" s="716"/>
      <c r="BM795" s="716"/>
      <c r="BN795" s="716"/>
      <c r="BO795" s="716"/>
      <c r="BP795" s="716"/>
      <c r="BQ795" s="716"/>
      <c r="BR795" s="716"/>
      <c r="BS795" s="716"/>
      <c r="BT795" s="716"/>
      <c r="BU795" s="716"/>
      <c r="BV795" s="716"/>
      <c r="BW795" s="716"/>
      <c r="BX795" s="716"/>
      <c r="BY795" s="716"/>
      <c r="BZ795" s="716"/>
      <c r="CA795" s="716"/>
    </row>
    <row r="796" spans="1:79" s="451" customFormat="1" hidden="1" outlineLevel="1" x14ac:dyDescent="0.25">
      <c r="A796" s="656"/>
      <c r="B796" s="576"/>
      <c r="C796" s="576"/>
      <c r="D796" s="576"/>
      <c r="E796" s="570" t="s">
        <v>1339</v>
      </c>
      <c r="F796" s="656" t="s">
        <v>890</v>
      </c>
      <c r="G796" s="716"/>
      <c r="H796" s="716"/>
      <c r="I796" s="716"/>
      <c r="J796" s="716"/>
      <c r="K796" s="716"/>
      <c r="L796" s="716"/>
      <c r="M796" s="716"/>
      <c r="N796" s="716"/>
      <c r="O796" s="716"/>
      <c r="P796" s="716"/>
      <c r="Q796" s="716"/>
      <c r="R796" s="716"/>
      <c r="S796" s="667">
        <v>0</v>
      </c>
      <c r="T796" s="667">
        <v>0</v>
      </c>
      <c r="U796" s="667">
        <v>0</v>
      </c>
      <c r="V796" s="667">
        <v>0</v>
      </c>
      <c r="W796" s="667">
        <v>0</v>
      </c>
      <c r="X796" s="667">
        <v>0</v>
      </c>
      <c r="Y796" s="667">
        <v>0</v>
      </c>
      <c r="Z796" s="667">
        <v>0</v>
      </c>
      <c r="AA796" s="667">
        <v>0</v>
      </c>
      <c r="AB796" s="667">
        <v>0</v>
      </c>
      <c r="AC796" s="665">
        <v>0</v>
      </c>
      <c r="AD796" s="665">
        <v>0</v>
      </c>
      <c r="AE796" s="667">
        <v>0</v>
      </c>
      <c r="AF796" s="716">
        <v>0</v>
      </c>
      <c r="AG796" s="665">
        <v>0</v>
      </c>
      <c r="AH796" s="716"/>
      <c r="AI796" s="716"/>
      <c r="AJ796" s="716"/>
      <c r="AK796" s="716"/>
      <c r="AL796" s="716"/>
      <c r="AM796" s="716"/>
      <c r="AN796" s="716"/>
      <c r="AO796" s="716"/>
      <c r="AP796" s="716"/>
      <c r="AQ796" s="716"/>
      <c r="AR796" s="716"/>
      <c r="AS796" s="716"/>
      <c r="AT796" s="716"/>
      <c r="AU796" s="716"/>
      <c r="AV796" s="716"/>
      <c r="AW796" s="716"/>
      <c r="AX796" s="716"/>
      <c r="AY796" s="716"/>
      <c r="AZ796" s="716"/>
      <c r="BA796" s="716"/>
      <c r="BB796" s="716"/>
      <c r="BC796" s="716"/>
      <c r="BD796" s="716"/>
      <c r="BE796" s="716"/>
      <c r="BF796" s="716"/>
      <c r="BG796" s="716"/>
      <c r="BH796" s="716"/>
      <c r="BI796" s="716"/>
      <c r="BJ796" s="716"/>
      <c r="BK796" s="716"/>
      <c r="BL796" s="716"/>
      <c r="BM796" s="716"/>
      <c r="BN796" s="716"/>
      <c r="BO796" s="716"/>
      <c r="BP796" s="716"/>
      <c r="BQ796" s="716"/>
      <c r="BR796" s="716"/>
      <c r="BS796" s="716"/>
      <c r="BT796" s="716"/>
      <c r="BU796" s="716"/>
      <c r="BV796" s="716"/>
      <c r="BW796" s="716"/>
      <c r="BX796" s="716"/>
      <c r="BY796" s="716"/>
      <c r="BZ796" s="716"/>
      <c r="CA796" s="716"/>
    </row>
    <row r="797" spans="1:79" s="308" customFormat="1" hidden="1" outlineLevel="1" x14ac:dyDescent="0.25">
      <c r="A797" s="659"/>
      <c r="B797" s="29"/>
      <c r="C797" s="29"/>
      <c r="D797" s="29"/>
      <c r="E797" s="570" t="s">
        <v>49</v>
      </c>
      <c r="F797" s="659" t="s">
        <v>622</v>
      </c>
      <c r="G797" s="664">
        <f>SUM(G788:G796)</f>
        <v>1340</v>
      </c>
      <c r="H797" s="664">
        <f t="shared" ref="H797:BO797" si="328">SUM(H788:H796)</f>
        <v>3012.0155061767273</v>
      </c>
      <c r="I797" s="664">
        <f t="shared" si="328"/>
        <v>2304</v>
      </c>
      <c r="J797" s="664">
        <f t="shared" si="328"/>
        <v>3097.5120585789114</v>
      </c>
      <c r="K797" s="664">
        <f t="shared" si="328"/>
        <v>3096.7068686719704</v>
      </c>
      <c r="L797" s="664">
        <f t="shared" si="328"/>
        <v>3372.6806247749187</v>
      </c>
      <c r="M797" s="664">
        <f t="shared" si="328"/>
        <v>3929.6499192621604</v>
      </c>
      <c r="N797" s="664">
        <f t="shared" si="328"/>
        <v>4690.4005373135196</v>
      </c>
      <c r="O797" s="664">
        <f t="shared" si="328"/>
        <v>4166.7970472637262</v>
      </c>
      <c r="P797" s="664">
        <f t="shared" si="328"/>
        <v>4627.4380331497159</v>
      </c>
      <c r="Q797" s="664">
        <f t="shared" si="328"/>
        <v>5233.3314304922224</v>
      </c>
      <c r="R797" s="664">
        <f t="shared" si="328"/>
        <v>5023.6787895708676</v>
      </c>
      <c r="S797" s="680">
        <f t="shared" ref="S797:AA797" si="329">ROUND(SUM(S787:S796),5)</f>
        <v>17399.939999999999</v>
      </c>
      <c r="T797" s="680">
        <f t="shared" si="329"/>
        <v>2395</v>
      </c>
      <c r="U797" s="680">
        <f t="shared" si="329"/>
        <v>17262.650000000001</v>
      </c>
      <c r="V797" s="680">
        <f t="shared" si="329"/>
        <v>21845.95</v>
      </c>
      <c r="W797" s="680">
        <f t="shared" si="329"/>
        <v>26398.36</v>
      </c>
      <c r="X797" s="680">
        <f t="shared" si="329"/>
        <v>6000</v>
      </c>
      <c r="Y797" s="680">
        <f t="shared" si="329"/>
        <v>46279.96</v>
      </c>
      <c r="Z797" s="680">
        <f t="shared" si="329"/>
        <v>35001.94</v>
      </c>
      <c r="AA797" s="680">
        <f t="shared" si="329"/>
        <v>32803.440000000002</v>
      </c>
      <c r="AB797" s="680">
        <f t="shared" ref="AB797:AG797" si="330">ROUND(SUM(AB787:AB796),5)</f>
        <v>33178.54</v>
      </c>
      <c r="AC797" s="680">
        <f t="shared" si="330"/>
        <v>32840.21</v>
      </c>
      <c r="AD797" s="680">
        <f t="shared" si="330"/>
        <v>40796.839999999997</v>
      </c>
      <c r="AE797" s="680">
        <f t="shared" si="330"/>
        <v>33396.480000000003</v>
      </c>
      <c r="AF797" s="664">
        <f t="shared" si="330"/>
        <v>21048.31</v>
      </c>
      <c r="AG797" s="680">
        <f t="shared" si="330"/>
        <v>27564.91</v>
      </c>
      <c r="AH797" s="664">
        <f t="shared" si="328"/>
        <v>0</v>
      </c>
      <c r="AI797" s="664">
        <f t="shared" si="328"/>
        <v>0</v>
      </c>
      <c r="AJ797" s="664">
        <f t="shared" si="328"/>
        <v>0</v>
      </c>
      <c r="AK797" s="664">
        <f t="shared" si="328"/>
        <v>0</v>
      </c>
      <c r="AL797" s="664">
        <f t="shared" si="328"/>
        <v>0</v>
      </c>
      <c r="AM797" s="664">
        <f t="shared" si="328"/>
        <v>0</v>
      </c>
      <c r="AN797" s="664">
        <f t="shared" si="328"/>
        <v>0</v>
      </c>
      <c r="AO797" s="664">
        <f t="shared" si="328"/>
        <v>0</v>
      </c>
      <c r="AP797" s="664">
        <f t="shared" si="328"/>
        <v>0</v>
      </c>
      <c r="AQ797" s="664">
        <f t="shared" si="328"/>
        <v>0</v>
      </c>
      <c r="AR797" s="664">
        <f t="shared" si="328"/>
        <v>0</v>
      </c>
      <c r="AS797" s="664">
        <f t="shared" si="328"/>
        <v>0</v>
      </c>
      <c r="AT797" s="664">
        <f t="shared" si="328"/>
        <v>0</v>
      </c>
      <c r="AU797" s="664">
        <f t="shared" si="328"/>
        <v>0</v>
      </c>
      <c r="AV797" s="664">
        <f t="shared" si="328"/>
        <v>0</v>
      </c>
      <c r="AW797" s="664">
        <f t="shared" si="328"/>
        <v>0</v>
      </c>
      <c r="AX797" s="664">
        <f t="shared" si="328"/>
        <v>0</v>
      </c>
      <c r="AY797" s="664">
        <f t="shared" si="328"/>
        <v>0</v>
      </c>
      <c r="AZ797" s="664">
        <f t="shared" si="328"/>
        <v>0</v>
      </c>
      <c r="BA797" s="664">
        <f t="shared" si="328"/>
        <v>0</v>
      </c>
      <c r="BB797" s="664">
        <f t="shared" si="328"/>
        <v>0</v>
      </c>
      <c r="BC797" s="664">
        <f t="shared" si="328"/>
        <v>0</v>
      </c>
      <c r="BD797" s="664">
        <f t="shared" si="328"/>
        <v>0</v>
      </c>
      <c r="BE797" s="664">
        <f t="shared" si="328"/>
        <v>0</v>
      </c>
      <c r="BF797" s="664">
        <f t="shared" si="328"/>
        <v>0</v>
      </c>
      <c r="BG797" s="664">
        <f t="shared" si="328"/>
        <v>0</v>
      </c>
      <c r="BH797" s="664">
        <f t="shared" si="328"/>
        <v>0</v>
      </c>
      <c r="BI797" s="664">
        <f t="shared" si="328"/>
        <v>0</v>
      </c>
      <c r="BJ797" s="664">
        <f t="shared" si="328"/>
        <v>0</v>
      </c>
      <c r="BK797" s="664">
        <f t="shared" si="328"/>
        <v>0</v>
      </c>
      <c r="BL797" s="664">
        <f t="shared" si="328"/>
        <v>0</v>
      </c>
      <c r="BM797" s="664">
        <f t="shared" si="328"/>
        <v>0</v>
      </c>
      <c r="BN797" s="664">
        <f t="shared" si="328"/>
        <v>0</v>
      </c>
      <c r="BO797" s="664">
        <f t="shared" si="328"/>
        <v>0</v>
      </c>
      <c r="BP797" s="664">
        <f t="shared" ref="BP797:CA797" si="331">SUM(BP788:BP796)</f>
        <v>0</v>
      </c>
      <c r="BQ797" s="664">
        <f t="shared" si="331"/>
        <v>0</v>
      </c>
      <c r="BR797" s="664">
        <f t="shared" si="331"/>
        <v>0</v>
      </c>
      <c r="BS797" s="664">
        <f t="shared" si="331"/>
        <v>0</v>
      </c>
      <c r="BT797" s="664">
        <f t="shared" si="331"/>
        <v>0</v>
      </c>
      <c r="BU797" s="664">
        <f t="shared" si="331"/>
        <v>0</v>
      </c>
      <c r="BV797" s="664">
        <f t="shared" si="331"/>
        <v>0</v>
      </c>
      <c r="BW797" s="664">
        <f t="shared" si="331"/>
        <v>0</v>
      </c>
      <c r="BX797" s="664">
        <f t="shared" si="331"/>
        <v>0</v>
      </c>
      <c r="BY797" s="664">
        <f t="shared" si="331"/>
        <v>0</v>
      </c>
      <c r="BZ797" s="664">
        <f t="shared" si="331"/>
        <v>0</v>
      </c>
      <c r="CA797" s="664">
        <f t="shared" si="331"/>
        <v>0</v>
      </c>
    </row>
    <row r="798" spans="1:79" s="710" customFormat="1" hidden="1" outlineLevel="1" x14ac:dyDescent="0.25">
      <c r="A798" s="691"/>
      <c r="E798" s="570" t="s">
        <v>1340</v>
      </c>
      <c r="F798" s="691" t="s">
        <v>623</v>
      </c>
      <c r="G798" s="734"/>
      <c r="H798" s="734"/>
      <c r="I798" s="734"/>
      <c r="J798" s="734"/>
      <c r="K798" s="734"/>
      <c r="L798" s="734"/>
      <c r="M798" s="734"/>
      <c r="N798" s="734"/>
      <c r="O798" s="734"/>
      <c r="P798" s="734"/>
      <c r="Q798" s="734"/>
      <c r="R798" s="734"/>
      <c r="S798" s="708"/>
      <c r="T798" s="708"/>
      <c r="U798" s="708"/>
      <c r="V798" s="708"/>
      <c r="W798" s="708"/>
      <c r="X798" s="708"/>
      <c r="Y798" s="708"/>
      <c r="Z798" s="708"/>
      <c r="AA798" s="708"/>
      <c r="AB798" s="708"/>
      <c r="AC798" s="708"/>
      <c r="AD798" s="708"/>
      <c r="AE798" s="708"/>
      <c r="AF798" s="734"/>
      <c r="AG798" s="708"/>
      <c r="AH798" s="734"/>
      <c r="AI798" s="734"/>
      <c r="AJ798" s="734"/>
      <c r="AK798" s="734"/>
      <c r="AL798" s="734"/>
      <c r="AM798" s="734"/>
      <c r="AN798" s="734"/>
      <c r="AO798" s="734"/>
      <c r="AP798" s="734"/>
      <c r="AQ798" s="734"/>
      <c r="AR798" s="734"/>
      <c r="AS798" s="734"/>
      <c r="AT798" s="734"/>
      <c r="AU798" s="734"/>
      <c r="AV798" s="734"/>
      <c r="AW798" s="734"/>
      <c r="AX798" s="734"/>
      <c r="AY798" s="734"/>
      <c r="AZ798" s="734"/>
      <c r="BA798" s="734"/>
      <c r="BB798" s="734"/>
      <c r="BC798" s="734"/>
      <c r="BD798" s="734"/>
      <c r="BE798" s="734"/>
      <c r="BF798" s="734"/>
      <c r="BG798" s="734"/>
      <c r="BH798" s="734"/>
      <c r="BI798" s="734"/>
      <c r="BJ798" s="734"/>
      <c r="BK798" s="734"/>
      <c r="BL798" s="734"/>
      <c r="BM798" s="734"/>
      <c r="BN798" s="734"/>
      <c r="BO798" s="734"/>
      <c r="BP798" s="734"/>
      <c r="BQ798" s="734"/>
      <c r="BR798" s="734"/>
      <c r="BS798" s="734"/>
      <c r="BT798" s="734"/>
      <c r="BU798" s="734"/>
      <c r="BV798" s="734"/>
      <c r="BW798" s="734"/>
      <c r="BX798" s="734"/>
      <c r="BY798" s="734"/>
      <c r="BZ798" s="734"/>
      <c r="CA798" s="734"/>
    </row>
    <row r="799" spans="1:79" s="308" customFormat="1" hidden="1" outlineLevel="1" x14ac:dyDescent="0.25">
      <c r="A799" s="656"/>
      <c r="B799" s="710"/>
      <c r="C799" s="710"/>
      <c r="D799" s="710"/>
      <c r="E799" s="570" t="s">
        <v>1340</v>
      </c>
      <c r="F799" s="656" t="s">
        <v>916</v>
      </c>
      <c r="G799" s="683"/>
      <c r="H799" s="683"/>
      <c r="I799" s="683"/>
      <c r="J799" s="683"/>
      <c r="K799" s="683"/>
      <c r="L799" s="683"/>
      <c r="M799" s="683"/>
      <c r="N799" s="683"/>
      <c r="O799" s="683"/>
      <c r="P799" s="683"/>
      <c r="Q799" s="683"/>
      <c r="R799" s="683"/>
      <c r="S799" s="684"/>
      <c r="T799" s="684"/>
      <c r="U799" s="684"/>
      <c r="V799" s="684"/>
      <c r="W799" s="684"/>
      <c r="X799" s="684"/>
      <c r="Y799" s="684"/>
      <c r="Z799" s="684"/>
      <c r="AA799" s="684"/>
      <c r="AB799" s="684">
        <v>0</v>
      </c>
      <c r="AC799" s="683">
        <v>0</v>
      </c>
      <c r="AD799" s="683">
        <v>0</v>
      </c>
      <c r="AE799" s="684">
        <v>0</v>
      </c>
      <c r="AF799" s="683">
        <v>0</v>
      </c>
      <c r="AG799" s="683">
        <v>0</v>
      </c>
      <c r="AH799" s="684"/>
      <c r="AI799" s="684"/>
      <c r="AJ799" s="684"/>
      <c r="AK799" s="684"/>
      <c r="AL799" s="684"/>
      <c r="AM799" s="684"/>
      <c r="AN799" s="684"/>
      <c r="AO799" s="684"/>
      <c r="AP799" s="684"/>
      <c r="AQ799" s="684"/>
      <c r="AR799" s="684"/>
      <c r="AS799" s="684"/>
      <c r="AT799" s="684"/>
      <c r="AU799" s="684"/>
      <c r="AV799" s="684"/>
      <c r="AW799" s="684"/>
      <c r="AX799" s="684"/>
      <c r="AY799" s="684"/>
      <c r="AZ799" s="684"/>
      <c r="BA799" s="684"/>
      <c r="BB799" s="684"/>
      <c r="BC799" s="684"/>
      <c r="BD799" s="684"/>
      <c r="BE799" s="684"/>
      <c r="BF799" s="684"/>
      <c r="BG799" s="684"/>
      <c r="BH799" s="684"/>
      <c r="BI799" s="684"/>
      <c r="BJ799" s="684"/>
      <c r="BK799" s="684"/>
      <c r="BL799" s="684"/>
      <c r="BM799" s="684"/>
      <c r="BN799" s="684"/>
      <c r="BO799" s="684"/>
      <c r="BP799" s="684"/>
      <c r="BQ799" s="684"/>
      <c r="BR799" s="684"/>
      <c r="BS799" s="684"/>
      <c r="BT799" s="684"/>
      <c r="BU799" s="684"/>
      <c r="BV799" s="684"/>
      <c r="BW799" s="684"/>
      <c r="BX799" s="684"/>
      <c r="BY799" s="684"/>
      <c r="BZ799" s="684"/>
      <c r="CA799" s="684"/>
    </row>
    <row r="800" spans="1:79" s="308" customFormat="1" hidden="1" outlineLevel="1" x14ac:dyDescent="0.25">
      <c r="A800" s="656"/>
      <c r="B800" s="571"/>
      <c r="C800" s="571"/>
      <c r="D800" s="571"/>
      <c r="E800" s="570" t="s">
        <v>1340</v>
      </c>
      <c r="F800" s="656" t="s">
        <v>667</v>
      </c>
      <c r="G800" s="716"/>
      <c r="H800" s="716"/>
      <c r="I800" s="716"/>
      <c r="J800" s="716"/>
      <c r="K800" s="716"/>
      <c r="L800" s="716"/>
      <c r="M800" s="716"/>
      <c r="N800" s="716"/>
      <c r="O800" s="716"/>
      <c r="P800" s="716"/>
      <c r="Q800" s="716"/>
      <c r="R800" s="716"/>
      <c r="S800" s="684">
        <v>0</v>
      </c>
      <c r="T800" s="684">
        <v>0</v>
      </c>
      <c r="U800" s="684">
        <v>0</v>
      </c>
      <c r="V800" s="684">
        <v>0</v>
      </c>
      <c r="W800" s="684">
        <v>0</v>
      </c>
      <c r="X800" s="684">
        <v>0</v>
      </c>
      <c r="Y800" s="684">
        <v>0</v>
      </c>
      <c r="Z800" s="684">
        <v>0</v>
      </c>
      <c r="AA800" s="684">
        <v>0</v>
      </c>
      <c r="AB800" s="684">
        <v>0</v>
      </c>
      <c r="AC800" s="683">
        <v>0</v>
      </c>
      <c r="AD800" s="683">
        <v>0</v>
      </c>
      <c r="AE800" s="684">
        <v>0</v>
      </c>
      <c r="AF800" s="716">
        <v>0</v>
      </c>
      <c r="AG800" s="683">
        <v>0</v>
      </c>
      <c r="AH800" s="716"/>
      <c r="AI800" s="716"/>
      <c r="AJ800" s="716"/>
      <c r="AK800" s="716"/>
      <c r="AL800" s="716"/>
      <c r="AM800" s="716"/>
      <c r="AN800" s="716"/>
      <c r="AO800" s="716"/>
      <c r="AP800" s="716"/>
      <c r="AQ800" s="716"/>
      <c r="AR800" s="716"/>
      <c r="AS800" s="716"/>
      <c r="AT800" s="716"/>
      <c r="AU800" s="716"/>
      <c r="AV800" s="716"/>
      <c r="AW800" s="716"/>
      <c r="AX800" s="716"/>
      <c r="AY800" s="716"/>
      <c r="AZ800" s="716"/>
      <c r="BA800" s="716"/>
      <c r="BB800" s="716"/>
      <c r="BC800" s="716"/>
      <c r="BD800" s="716"/>
      <c r="BE800" s="716"/>
      <c r="BF800" s="716"/>
      <c r="BG800" s="716"/>
      <c r="BH800" s="716"/>
      <c r="BI800" s="716"/>
      <c r="BJ800" s="716"/>
      <c r="BK800" s="716"/>
      <c r="BL800" s="716"/>
      <c r="BM800" s="716"/>
      <c r="BN800" s="716"/>
      <c r="BO800" s="716"/>
      <c r="BP800" s="716"/>
      <c r="BQ800" s="716"/>
      <c r="BR800" s="716"/>
      <c r="BS800" s="716"/>
      <c r="BT800" s="716"/>
      <c r="BU800" s="716"/>
      <c r="BV800" s="716"/>
      <c r="BW800" s="716"/>
      <c r="BX800" s="716"/>
      <c r="BY800" s="716"/>
      <c r="BZ800" s="716"/>
      <c r="CA800" s="716"/>
    </row>
    <row r="801" spans="1:79" s="308" customFormat="1" hidden="1" outlineLevel="1" x14ac:dyDescent="0.25">
      <c r="A801" s="656"/>
      <c r="B801" s="571"/>
      <c r="C801" s="571"/>
      <c r="D801" s="571"/>
      <c r="E801" s="570" t="s">
        <v>1340</v>
      </c>
      <c r="F801" s="656" t="s">
        <v>762</v>
      </c>
      <c r="G801" s="716"/>
      <c r="H801" s="716"/>
      <c r="I801" s="716"/>
      <c r="J801" s="716"/>
      <c r="K801" s="716"/>
      <c r="L801" s="716"/>
      <c r="M801" s="716"/>
      <c r="N801" s="716"/>
      <c r="O801" s="716"/>
      <c r="P801" s="716"/>
      <c r="Q801" s="716"/>
      <c r="R801" s="716"/>
      <c r="S801" s="684">
        <v>0</v>
      </c>
      <c r="T801" s="684">
        <v>0</v>
      </c>
      <c r="U801" s="684">
        <v>0</v>
      </c>
      <c r="V801" s="684">
        <v>0</v>
      </c>
      <c r="W801" s="684">
        <v>0</v>
      </c>
      <c r="X801" s="684">
        <v>0</v>
      </c>
      <c r="Y801" s="684">
        <v>0</v>
      </c>
      <c r="Z801" s="684">
        <v>0</v>
      </c>
      <c r="AA801" s="684">
        <v>0</v>
      </c>
      <c r="AB801" s="684">
        <v>0</v>
      </c>
      <c r="AC801" s="683">
        <v>0</v>
      </c>
      <c r="AD801" s="683">
        <v>0</v>
      </c>
      <c r="AE801" s="684">
        <v>0</v>
      </c>
      <c r="AF801" s="716">
        <v>0</v>
      </c>
      <c r="AG801" s="683">
        <v>0</v>
      </c>
      <c r="AH801" s="716"/>
      <c r="AI801" s="716"/>
      <c r="AJ801" s="716"/>
      <c r="AK801" s="716"/>
      <c r="AL801" s="716"/>
      <c r="AM801" s="716"/>
      <c r="AN801" s="716"/>
      <c r="AO801" s="716"/>
      <c r="AP801" s="716"/>
      <c r="AQ801" s="716"/>
      <c r="AR801" s="716"/>
      <c r="AS801" s="716"/>
      <c r="AT801" s="716"/>
      <c r="AU801" s="716"/>
      <c r="AV801" s="716"/>
      <c r="AW801" s="716"/>
      <c r="AX801" s="716"/>
      <c r="AY801" s="716"/>
      <c r="AZ801" s="716"/>
      <c r="BA801" s="716"/>
      <c r="BB801" s="716"/>
      <c r="BC801" s="716"/>
      <c r="BD801" s="716"/>
      <c r="BE801" s="716"/>
      <c r="BF801" s="716"/>
      <c r="BG801" s="716"/>
      <c r="BH801" s="716"/>
      <c r="BI801" s="716"/>
      <c r="BJ801" s="716"/>
      <c r="BK801" s="716"/>
      <c r="BL801" s="716"/>
      <c r="BM801" s="716"/>
      <c r="BN801" s="716"/>
      <c r="BO801" s="716"/>
      <c r="BP801" s="716"/>
      <c r="BQ801" s="716"/>
      <c r="BR801" s="716"/>
      <c r="BS801" s="716"/>
      <c r="BT801" s="716"/>
      <c r="BU801" s="716"/>
      <c r="BV801" s="716"/>
      <c r="BW801" s="716"/>
      <c r="BX801" s="716"/>
      <c r="BY801" s="716"/>
      <c r="BZ801" s="716"/>
      <c r="CA801" s="716"/>
    </row>
    <row r="802" spans="1:79" s="308" customFormat="1" hidden="1" outlineLevel="1" x14ac:dyDescent="0.25">
      <c r="A802" s="656"/>
      <c r="B802" s="29"/>
      <c r="C802" s="29"/>
      <c r="D802" s="29"/>
      <c r="E802" s="570" t="s">
        <v>338</v>
      </c>
      <c r="F802" s="656" t="s">
        <v>624</v>
      </c>
      <c r="G802" s="716"/>
      <c r="H802" s="716"/>
      <c r="I802" s="716">
        <v>43</v>
      </c>
      <c r="J802" s="716"/>
      <c r="K802" s="716"/>
      <c r="L802" s="716"/>
      <c r="M802" s="716"/>
      <c r="N802" s="716"/>
      <c r="O802" s="716"/>
      <c r="P802" s="716"/>
      <c r="Q802" s="716"/>
      <c r="R802" s="716"/>
      <c r="S802" s="684">
        <v>0</v>
      </c>
      <c r="T802" s="684">
        <v>0</v>
      </c>
      <c r="U802" s="684">
        <v>0</v>
      </c>
      <c r="V802" s="684">
        <v>0</v>
      </c>
      <c r="W802" s="684">
        <v>0</v>
      </c>
      <c r="X802" s="684">
        <v>0</v>
      </c>
      <c r="Y802" s="684">
        <v>0</v>
      </c>
      <c r="Z802" s="684">
        <v>0</v>
      </c>
      <c r="AA802" s="684">
        <v>0</v>
      </c>
      <c r="AB802" s="684">
        <v>0</v>
      </c>
      <c r="AC802" s="666">
        <v>0</v>
      </c>
      <c r="AD802" s="666">
        <v>0</v>
      </c>
      <c r="AE802" s="684">
        <v>0</v>
      </c>
      <c r="AF802" s="716">
        <v>0</v>
      </c>
      <c r="AG802" s="666">
        <v>0</v>
      </c>
      <c r="AH802" s="716"/>
      <c r="AI802" s="716"/>
      <c r="AJ802" s="716"/>
      <c r="AK802" s="716"/>
      <c r="AL802" s="716"/>
      <c r="AM802" s="716"/>
      <c r="AN802" s="716"/>
      <c r="AO802" s="716"/>
      <c r="AP802" s="716"/>
      <c r="AQ802" s="716"/>
      <c r="AR802" s="716"/>
      <c r="AS802" s="716"/>
      <c r="AT802" s="716"/>
      <c r="AU802" s="716"/>
      <c r="AV802" s="716"/>
      <c r="AW802" s="716"/>
      <c r="AX802" s="716"/>
      <c r="AY802" s="716"/>
      <c r="AZ802" s="716"/>
      <c r="BA802" s="716"/>
      <c r="BB802" s="716"/>
      <c r="BC802" s="716"/>
      <c r="BD802" s="716"/>
      <c r="BE802" s="716"/>
      <c r="BF802" s="716"/>
      <c r="BG802" s="716"/>
      <c r="BH802" s="716"/>
      <c r="BI802" s="716"/>
      <c r="BJ802" s="716"/>
      <c r="BK802" s="716"/>
      <c r="BL802" s="716"/>
      <c r="BM802" s="716"/>
      <c r="BN802" s="716"/>
      <c r="BO802" s="716"/>
      <c r="BP802" s="716"/>
      <c r="BQ802" s="716"/>
      <c r="BR802" s="716"/>
      <c r="BS802" s="716"/>
      <c r="BT802" s="716"/>
      <c r="BU802" s="716"/>
      <c r="BV802" s="716"/>
      <c r="BW802" s="716"/>
      <c r="BX802" s="716"/>
      <c r="BY802" s="716"/>
      <c r="BZ802" s="716"/>
      <c r="CA802" s="716"/>
    </row>
    <row r="803" spans="1:79" s="308" customFormat="1" hidden="1" outlineLevel="1" x14ac:dyDescent="0.25">
      <c r="A803" s="656"/>
      <c r="B803" s="571"/>
      <c r="C803" s="571"/>
      <c r="D803" s="571"/>
      <c r="E803" s="570" t="s">
        <v>1341</v>
      </c>
      <c r="F803" s="656" t="s">
        <v>651</v>
      </c>
      <c r="G803" s="716"/>
      <c r="H803" s="716"/>
      <c r="I803" s="716"/>
      <c r="J803" s="716"/>
      <c r="K803" s="716"/>
      <c r="L803" s="716"/>
      <c r="M803" s="716"/>
      <c r="N803" s="716"/>
      <c r="O803" s="716"/>
      <c r="P803" s="716"/>
      <c r="Q803" s="716"/>
      <c r="R803" s="716"/>
      <c r="S803" s="684">
        <v>0</v>
      </c>
      <c r="T803" s="684">
        <v>0</v>
      </c>
      <c r="U803" s="684">
        <v>0</v>
      </c>
      <c r="V803" s="684">
        <v>0</v>
      </c>
      <c r="W803" s="684">
        <v>0</v>
      </c>
      <c r="X803" s="684">
        <v>0</v>
      </c>
      <c r="Y803" s="684">
        <v>0</v>
      </c>
      <c r="Z803" s="684">
        <v>0</v>
      </c>
      <c r="AA803" s="684">
        <v>0</v>
      </c>
      <c r="AB803" s="684">
        <v>0</v>
      </c>
      <c r="AC803" s="666">
        <v>0</v>
      </c>
      <c r="AD803" s="666">
        <v>0</v>
      </c>
      <c r="AE803" s="684">
        <v>0</v>
      </c>
      <c r="AF803" s="716">
        <v>0</v>
      </c>
      <c r="AG803" s="666">
        <v>0</v>
      </c>
      <c r="AH803" s="716"/>
      <c r="AI803" s="716"/>
      <c r="AJ803" s="716"/>
      <c r="AK803" s="716"/>
      <c r="AL803" s="716"/>
      <c r="AM803" s="716"/>
      <c r="AN803" s="716"/>
      <c r="AO803" s="716"/>
      <c r="AP803" s="716"/>
      <c r="AQ803" s="716"/>
      <c r="AR803" s="716"/>
      <c r="AS803" s="716"/>
      <c r="AT803" s="716"/>
      <c r="AU803" s="716"/>
      <c r="AV803" s="716"/>
      <c r="AW803" s="716"/>
      <c r="AX803" s="716"/>
      <c r="AY803" s="716"/>
      <c r="AZ803" s="716"/>
      <c r="BA803" s="716"/>
      <c r="BB803" s="716"/>
      <c r="BC803" s="716"/>
      <c r="BD803" s="716"/>
      <c r="BE803" s="716"/>
      <c r="BF803" s="716"/>
      <c r="BG803" s="716"/>
      <c r="BH803" s="716"/>
      <c r="BI803" s="716"/>
      <c r="BJ803" s="716"/>
      <c r="BK803" s="716"/>
      <c r="BL803" s="716"/>
      <c r="BM803" s="716"/>
      <c r="BN803" s="716"/>
      <c r="BO803" s="716"/>
      <c r="BP803" s="716"/>
      <c r="BQ803" s="716"/>
      <c r="BR803" s="716"/>
      <c r="BS803" s="716"/>
      <c r="BT803" s="716"/>
      <c r="BU803" s="716"/>
      <c r="BV803" s="716"/>
      <c r="BW803" s="716"/>
      <c r="BX803" s="716"/>
      <c r="BY803" s="716"/>
      <c r="BZ803" s="716"/>
      <c r="CA803" s="716"/>
    </row>
    <row r="804" spans="1:79" s="308" customFormat="1" hidden="1" outlineLevel="1" x14ac:dyDescent="0.25">
      <c r="A804" s="656"/>
      <c r="B804" s="571"/>
      <c r="C804" s="571"/>
      <c r="D804" s="571"/>
      <c r="E804" s="570" t="s">
        <v>1340</v>
      </c>
      <c r="F804" s="656" t="s">
        <v>668</v>
      </c>
      <c r="G804" s="716"/>
      <c r="H804" s="716"/>
      <c r="I804" s="716"/>
      <c r="J804" s="716"/>
      <c r="K804" s="716"/>
      <c r="L804" s="716"/>
      <c r="M804" s="716"/>
      <c r="N804" s="716"/>
      <c r="O804" s="716"/>
      <c r="P804" s="716"/>
      <c r="Q804" s="716"/>
      <c r="R804" s="716"/>
      <c r="S804" s="684">
        <v>0</v>
      </c>
      <c r="T804" s="684">
        <v>0</v>
      </c>
      <c r="U804" s="684">
        <v>0</v>
      </c>
      <c r="V804" s="684">
        <v>0</v>
      </c>
      <c r="W804" s="684">
        <v>0</v>
      </c>
      <c r="X804" s="684">
        <v>0</v>
      </c>
      <c r="Y804" s="684">
        <v>0</v>
      </c>
      <c r="Z804" s="684">
        <v>0</v>
      </c>
      <c r="AA804" s="684">
        <v>0</v>
      </c>
      <c r="AB804" s="684">
        <v>0</v>
      </c>
      <c r="AC804" s="666">
        <v>0</v>
      </c>
      <c r="AD804" s="666">
        <v>0</v>
      </c>
      <c r="AE804" s="684">
        <v>0</v>
      </c>
      <c r="AF804" s="716">
        <v>0</v>
      </c>
      <c r="AG804" s="666">
        <v>0</v>
      </c>
      <c r="AH804" s="716"/>
      <c r="AI804" s="716"/>
      <c r="AJ804" s="716"/>
      <c r="AK804" s="716"/>
      <c r="AL804" s="716"/>
      <c r="AM804" s="716"/>
      <c r="AN804" s="716"/>
      <c r="AO804" s="716"/>
      <c r="AP804" s="716"/>
      <c r="AQ804" s="716"/>
      <c r="AR804" s="716"/>
      <c r="AS804" s="716"/>
      <c r="AT804" s="716"/>
      <c r="AU804" s="716"/>
      <c r="AV804" s="716"/>
      <c r="AW804" s="716"/>
      <c r="AX804" s="716"/>
      <c r="AY804" s="716"/>
      <c r="AZ804" s="716"/>
      <c r="BA804" s="716"/>
      <c r="BB804" s="716"/>
      <c r="BC804" s="716"/>
      <c r="BD804" s="716"/>
      <c r="BE804" s="716"/>
      <c r="BF804" s="716"/>
      <c r="BG804" s="716"/>
      <c r="BH804" s="716"/>
      <c r="BI804" s="716"/>
      <c r="BJ804" s="716"/>
      <c r="BK804" s="716"/>
      <c r="BL804" s="716"/>
      <c r="BM804" s="716"/>
      <c r="BN804" s="716"/>
      <c r="BO804" s="716"/>
      <c r="BP804" s="716"/>
      <c r="BQ804" s="716"/>
      <c r="BR804" s="716"/>
      <c r="BS804" s="716"/>
      <c r="BT804" s="716"/>
      <c r="BU804" s="716"/>
      <c r="BV804" s="716"/>
      <c r="BW804" s="716"/>
      <c r="BX804" s="716"/>
      <c r="BY804" s="716"/>
      <c r="BZ804" s="716"/>
      <c r="CA804" s="716"/>
    </row>
    <row r="805" spans="1:79" s="308" customFormat="1" hidden="1" outlineLevel="1" x14ac:dyDescent="0.25">
      <c r="A805" s="657"/>
      <c r="B805" s="571"/>
      <c r="C805" s="571"/>
      <c r="D805" s="571"/>
      <c r="E805" s="570" t="s">
        <v>49</v>
      </c>
      <c r="F805" s="657" t="s">
        <v>625</v>
      </c>
      <c r="G805" s="664">
        <f>SUM(G800:G804)</f>
        <v>0</v>
      </c>
      <c r="H805" s="664">
        <f t="shared" ref="H805:BO805" si="332">SUM(H800:H804)</f>
        <v>0</v>
      </c>
      <c r="I805" s="664">
        <f t="shared" si="332"/>
        <v>43</v>
      </c>
      <c r="J805" s="664">
        <f t="shared" si="332"/>
        <v>0</v>
      </c>
      <c r="K805" s="664">
        <f t="shared" si="332"/>
        <v>0</v>
      </c>
      <c r="L805" s="664">
        <f t="shared" si="332"/>
        <v>0</v>
      </c>
      <c r="M805" s="664">
        <f t="shared" si="332"/>
        <v>0</v>
      </c>
      <c r="N805" s="664">
        <f t="shared" si="332"/>
        <v>0</v>
      </c>
      <c r="O805" s="664">
        <f t="shared" si="332"/>
        <v>0</v>
      </c>
      <c r="P805" s="664">
        <f t="shared" si="332"/>
        <v>0</v>
      </c>
      <c r="Q805" s="664">
        <f t="shared" si="332"/>
        <v>0</v>
      </c>
      <c r="R805" s="664">
        <f t="shared" si="332"/>
        <v>0</v>
      </c>
      <c r="S805" s="680">
        <f t="shared" ref="S805:AA805" si="333">ROUND(SUM(S798:S804),5)</f>
        <v>0</v>
      </c>
      <c r="T805" s="680">
        <f t="shared" si="333"/>
        <v>0</v>
      </c>
      <c r="U805" s="680">
        <f t="shared" si="333"/>
        <v>0</v>
      </c>
      <c r="V805" s="680">
        <f t="shared" si="333"/>
        <v>0</v>
      </c>
      <c r="W805" s="680">
        <f t="shared" si="333"/>
        <v>0</v>
      </c>
      <c r="X805" s="680">
        <f t="shared" si="333"/>
        <v>0</v>
      </c>
      <c r="Y805" s="680">
        <f t="shared" si="333"/>
        <v>0</v>
      </c>
      <c r="Z805" s="680">
        <f t="shared" si="333"/>
        <v>0</v>
      </c>
      <c r="AA805" s="680">
        <f t="shared" si="333"/>
        <v>0</v>
      </c>
      <c r="AB805" s="680">
        <f t="shared" ref="AB805:AG805" si="334">ROUND(SUM(AB798:AB804),5)</f>
        <v>0</v>
      </c>
      <c r="AC805" s="680">
        <f t="shared" si="334"/>
        <v>0</v>
      </c>
      <c r="AD805" s="680">
        <f t="shared" si="334"/>
        <v>0</v>
      </c>
      <c r="AE805" s="680">
        <f t="shared" si="334"/>
        <v>0</v>
      </c>
      <c r="AF805" s="664">
        <f t="shared" si="334"/>
        <v>0</v>
      </c>
      <c r="AG805" s="680">
        <f t="shared" si="334"/>
        <v>0</v>
      </c>
      <c r="AH805" s="664">
        <f t="shared" si="332"/>
        <v>0</v>
      </c>
      <c r="AI805" s="664">
        <f t="shared" si="332"/>
        <v>0</v>
      </c>
      <c r="AJ805" s="664">
        <f t="shared" si="332"/>
        <v>0</v>
      </c>
      <c r="AK805" s="664">
        <f t="shared" si="332"/>
        <v>0</v>
      </c>
      <c r="AL805" s="664">
        <f t="shared" si="332"/>
        <v>0</v>
      </c>
      <c r="AM805" s="664">
        <f t="shared" si="332"/>
        <v>0</v>
      </c>
      <c r="AN805" s="664">
        <f t="shared" si="332"/>
        <v>0</v>
      </c>
      <c r="AO805" s="664">
        <f t="shared" si="332"/>
        <v>0</v>
      </c>
      <c r="AP805" s="664">
        <f t="shared" si="332"/>
        <v>0</v>
      </c>
      <c r="AQ805" s="664">
        <f t="shared" si="332"/>
        <v>0</v>
      </c>
      <c r="AR805" s="664">
        <f t="shared" si="332"/>
        <v>0</v>
      </c>
      <c r="AS805" s="664">
        <f t="shared" si="332"/>
        <v>0</v>
      </c>
      <c r="AT805" s="664">
        <f t="shared" si="332"/>
        <v>0</v>
      </c>
      <c r="AU805" s="664">
        <f t="shared" si="332"/>
        <v>0</v>
      </c>
      <c r="AV805" s="664">
        <f t="shared" si="332"/>
        <v>0</v>
      </c>
      <c r="AW805" s="664">
        <f t="shared" si="332"/>
        <v>0</v>
      </c>
      <c r="AX805" s="664">
        <f t="shared" si="332"/>
        <v>0</v>
      </c>
      <c r="AY805" s="664">
        <f t="shared" si="332"/>
        <v>0</v>
      </c>
      <c r="AZ805" s="664">
        <f t="shared" si="332"/>
        <v>0</v>
      </c>
      <c r="BA805" s="664">
        <f t="shared" si="332"/>
        <v>0</v>
      </c>
      <c r="BB805" s="664">
        <f t="shared" si="332"/>
        <v>0</v>
      </c>
      <c r="BC805" s="664">
        <f t="shared" si="332"/>
        <v>0</v>
      </c>
      <c r="BD805" s="664">
        <f t="shared" si="332"/>
        <v>0</v>
      </c>
      <c r="BE805" s="664">
        <f t="shared" si="332"/>
        <v>0</v>
      </c>
      <c r="BF805" s="664">
        <f t="shared" si="332"/>
        <v>0</v>
      </c>
      <c r="BG805" s="664">
        <f t="shared" si="332"/>
        <v>0</v>
      </c>
      <c r="BH805" s="664">
        <f t="shared" si="332"/>
        <v>0</v>
      </c>
      <c r="BI805" s="664">
        <f t="shared" si="332"/>
        <v>0</v>
      </c>
      <c r="BJ805" s="664">
        <f t="shared" si="332"/>
        <v>0</v>
      </c>
      <c r="BK805" s="664">
        <f t="shared" si="332"/>
        <v>0</v>
      </c>
      <c r="BL805" s="664">
        <f t="shared" si="332"/>
        <v>0</v>
      </c>
      <c r="BM805" s="664">
        <f t="shared" si="332"/>
        <v>0</v>
      </c>
      <c r="BN805" s="664">
        <f t="shared" si="332"/>
        <v>0</v>
      </c>
      <c r="BO805" s="664">
        <f t="shared" si="332"/>
        <v>0</v>
      </c>
      <c r="BP805" s="664">
        <f t="shared" ref="BP805:CA805" si="335">SUM(BP800:BP804)</f>
        <v>0</v>
      </c>
      <c r="BQ805" s="664">
        <f t="shared" si="335"/>
        <v>0</v>
      </c>
      <c r="BR805" s="664">
        <f t="shared" si="335"/>
        <v>0</v>
      </c>
      <c r="BS805" s="664">
        <f t="shared" si="335"/>
        <v>0</v>
      </c>
      <c r="BT805" s="664">
        <f t="shared" si="335"/>
        <v>0</v>
      </c>
      <c r="BU805" s="664">
        <f t="shared" si="335"/>
        <v>0</v>
      </c>
      <c r="BV805" s="664">
        <f t="shared" si="335"/>
        <v>0</v>
      </c>
      <c r="BW805" s="664">
        <f t="shared" si="335"/>
        <v>0</v>
      </c>
      <c r="BX805" s="664">
        <f t="shared" si="335"/>
        <v>0</v>
      </c>
      <c r="BY805" s="664">
        <f t="shared" si="335"/>
        <v>0</v>
      </c>
      <c r="BZ805" s="664">
        <f t="shared" si="335"/>
        <v>0</v>
      </c>
      <c r="CA805" s="664">
        <f t="shared" si="335"/>
        <v>0</v>
      </c>
    </row>
    <row r="806" spans="1:79" s="710" customFormat="1" hidden="1" outlineLevel="1" x14ac:dyDescent="0.25">
      <c r="A806" s="691"/>
      <c r="E806" s="570" t="s">
        <v>1342</v>
      </c>
      <c r="F806" s="691" t="s">
        <v>669</v>
      </c>
      <c r="G806" s="734"/>
      <c r="H806" s="734"/>
      <c r="I806" s="734"/>
      <c r="J806" s="734"/>
      <c r="K806" s="734"/>
      <c r="L806" s="734"/>
      <c r="M806" s="734"/>
      <c r="N806" s="734"/>
      <c r="O806" s="734"/>
      <c r="P806" s="734"/>
      <c r="Q806" s="734"/>
      <c r="R806" s="734"/>
      <c r="S806" s="708"/>
      <c r="T806" s="708"/>
      <c r="U806" s="708"/>
      <c r="V806" s="708"/>
      <c r="W806" s="708"/>
      <c r="X806" s="708"/>
      <c r="Y806" s="708"/>
      <c r="Z806" s="708"/>
      <c r="AA806" s="708"/>
      <c r="AB806" s="708"/>
      <c r="AC806" s="704"/>
      <c r="AD806" s="704"/>
      <c r="AE806" s="708"/>
      <c r="AF806" s="734"/>
      <c r="AG806" s="704"/>
      <c r="AH806" s="734"/>
      <c r="AI806" s="734"/>
      <c r="AJ806" s="734"/>
      <c r="AK806" s="734"/>
      <c r="AL806" s="734"/>
      <c r="AM806" s="734"/>
      <c r="AN806" s="734"/>
      <c r="AO806" s="734"/>
      <c r="AP806" s="734"/>
      <c r="AQ806" s="734"/>
      <c r="AR806" s="734"/>
      <c r="AS806" s="734"/>
      <c r="AT806" s="734"/>
      <c r="AU806" s="734"/>
      <c r="AV806" s="734"/>
      <c r="AW806" s="734"/>
      <c r="AX806" s="734"/>
      <c r="AY806" s="734"/>
      <c r="AZ806" s="734"/>
      <c r="BA806" s="734"/>
      <c r="BB806" s="734"/>
      <c r="BC806" s="734"/>
      <c r="BD806" s="734"/>
      <c r="BE806" s="734"/>
      <c r="BF806" s="734"/>
      <c r="BG806" s="734"/>
      <c r="BH806" s="734"/>
      <c r="BI806" s="734"/>
      <c r="BJ806" s="734"/>
      <c r="BK806" s="734"/>
      <c r="BL806" s="734"/>
      <c r="BM806" s="734"/>
      <c r="BN806" s="734"/>
      <c r="BO806" s="734"/>
      <c r="BP806" s="734"/>
      <c r="BQ806" s="734"/>
      <c r="BR806" s="734"/>
      <c r="BS806" s="734"/>
      <c r="BT806" s="734"/>
      <c r="BU806" s="734"/>
      <c r="BV806" s="734"/>
      <c r="BW806" s="734"/>
      <c r="BX806" s="734"/>
      <c r="BY806" s="734"/>
      <c r="BZ806" s="734"/>
      <c r="CA806" s="734"/>
    </row>
    <row r="807" spans="1:79" s="308" customFormat="1" hidden="1" outlineLevel="1" x14ac:dyDescent="0.25">
      <c r="A807" s="656"/>
      <c r="B807" s="571"/>
      <c r="C807" s="571"/>
      <c r="D807" s="571"/>
      <c r="E807" s="570" t="s">
        <v>1342</v>
      </c>
      <c r="F807" s="656" t="s">
        <v>670</v>
      </c>
      <c r="G807" s="716"/>
      <c r="H807" s="716"/>
      <c r="I807" s="716"/>
      <c r="J807" s="716"/>
      <c r="K807" s="716"/>
      <c r="L807" s="716"/>
      <c r="M807" s="716"/>
      <c r="N807" s="716"/>
      <c r="O807" s="716"/>
      <c r="P807" s="716"/>
      <c r="Q807" s="716"/>
      <c r="R807" s="716"/>
      <c r="S807" s="684">
        <v>0</v>
      </c>
      <c r="T807" s="684">
        <v>0</v>
      </c>
      <c r="U807" s="684">
        <v>0</v>
      </c>
      <c r="V807" s="684">
        <v>0</v>
      </c>
      <c r="W807" s="684">
        <v>0</v>
      </c>
      <c r="X807" s="684">
        <v>0</v>
      </c>
      <c r="Y807" s="684">
        <v>0</v>
      </c>
      <c r="Z807" s="684">
        <v>0</v>
      </c>
      <c r="AA807" s="684">
        <v>0</v>
      </c>
      <c r="AB807" s="684">
        <v>0</v>
      </c>
      <c r="AC807" s="666">
        <v>0</v>
      </c>
      <c r="AD807" s="666">
        <v>0</v>
      </c>
      <c r="AE807" s="684">
        <v>0</v>
      </c>
      <c r="AF807" s="716">
        <v>0</v>
      </c>
      <c r="AG807" s="666">
        <v>0</v>
      </c>
      <c r="AH807" s="716"/>
      <c r="AI807" s="716"/>
      <c r="AJ807" s="716"/>
      <c r="AK807" s="716"/>
      <c r="AL807" s="716"/>
      <c r="AM807" s="716"/>
      <c r="AN807" s="716"/>
      <c r="AO807" s="716"/>
      <c r="AP807" s="716"/>
      <c r="AQ807" s="716"/>
      <c r="AR807" s="716"/>
      <c r="AS807" s="716"/>
      <c r="AT807" s="716"/>
      <c r="AU807" s="716"/>
      <c r="AV807" s="716"/>
      <c r="AW807" s="716"/>
      <c r="AX807" s="716"/>
      <c r="AY807" s="716"/>
      <c r="AZ807" s="716"/>
      <c r="BA807" s="716"/>
      <c r="BB807" s="716"/>
      <c r="BC807" s="716"/>
      <c r="BD807" s="716"/>
      <c r="BE807" s="716"/>
      <c r="BF807" s="716"/>
      <c r="BG807" s="716"/>
      <c r="BH807" s="716"/>
      <c r="BI807" s="716"/>
      <c r="BJ807" s="716"/>
      <c r="BK807" s="716"/>
      <c r="BL807" s="716"/>
      <c r="BM807" s="716"/>
      <c r="BN807" s="716"/>
      <c r="BO807" s="716"/>
      <c r="BP807" s="716"/>
      <c r="BQ807" s="716"/>
      <c r="BR807" s="716"/>
      <c r="BS807" s="716"/>
      <c r="BT807" s="716"/>
      <c r="BU807" s="716"/>
      <c r="BV807" s="716"/>
      <c r="BW807" s="716"/>
      <c r="BX807" s="716"/>
      <c r="BY807" s="716"/>
      <c r="BZ807" s="716"/>
      <c r="CA807" s="716"/>
    </row>
    <row r="808" spans="1:79" s="308" customFormat="1" hidden="1" outlineLevel="1" x14ac:dyDescent="0.25">
      <c r="A808" s="656"/>
      <c r="B808" s="571"/>
      <c r="C808" s="571"/>
      <c r="D808" s="571"/>
      <c r="E808" s="570" t="s">
        <v>1342</v>
      </c>
      <c r="F808" s="656" t="s">
        <v>891</v>
      </c>
      <c r="G808" s="716"/>
      <c r="H808" s="716"/>
      <c r="I808" s="716"/>
      <c r="J808" s="716"/>
      <c r="K808" s="716"/>
      <c r="L808" s="716"/>
      <c r="M808" s="716"/>
      <c r="N808" s="716"/>
      <c r="O808" s="716"/>
      <c r="P808" s="716"/>
      <c r="Q808" s="716"/>
      <c r="R808" s="716"/>
      <c r="S808" s="684">
        <v>0</v>
      </c>
      <c r="T808" s="684">
        <v>0</v>
      </c>
      <c r="U808" s="684">
        <v>0</v>
      </c>
      <c r="V808" s="684">
        <v>0</v>
      </c>
      <c r="W808" s="684">
        <v>0</v>
      </c>
      <c r="X808" s="684">
        <v>0</v>
      </c>
      <c r="Y808" s="684">
        <v>0</v>
      </c>
      <c r="Z808" s="684">
        <v>0</v>
      </c>
      <c r="AA808" s="684">
        <v>0</v>
      </c>
      <c r="AB808" s="684">
        <v>0</v>
      </c>
      <c r="AC808" s="666">
        <v>0</v>
      </c>
      <c r="AD808" s="666">
        <v>0</v>
      </c>
      <c r="AE808" s="684">
        <v>0</v>
      </c>
      <c r="AF808" s="716">
        <v>0</v>
      </c>
      <c r="AG808" s="666">
        <v>0</v>
      </c>
      <c r="AH808" s="716"/>
      <c r="AI808" s="716"/>
      <c r="AJ808" s="716"/>
      <c r="AK808" s="716"/>
      <c r="AL808" s="716"/>
      <c r="AM808" s="716"/>
      <c r="AN808" s="716"/>
      <c r="AO808" s="716"/>
      <c r="AP808" s="716"/>
      <c r="AQ808" s="716"/>
      <c r="AR808" s="716"/>
      <c r="AS808" s="716"/>
      <c r="AT808" s="716"/>
      <c r="AU808" s="716"/>
      <c r="AV808" s="716"/>
      <c r="AW808" s="716"/>
      <c r="AX808" s="716"/>
      <c r="AY808" s="716"/>
      <c r="AZ808" s="716"/>
      <c r="BA808" s="716"/>
      <c r="BB808" s="716"/>
      <c r="BC808" s="716"/>
      <c r="BD808" s="716"/>
      <c r="BE808" s="716"/>
      <c r="BF808" s="716"/>
      <c r="BG808" s="716"/>
      <c r="BH808" s="716"/>
      <c r="BI808" s="716"/>
      <c r="BJ808" s="716"/>
      <c r="BK808" s="716"/>
      <c r="BL808" s="716"/>
      <c r="BM808" s="716"/>
      <c r="BN808" s="716"/>
      <c r="BO808" s="716"/>
      <c r="BP808" s="716"/>
      <c r="BQ808" s="716"/>
      <c r="BR808" s="716"/>
      <c r="BS808" s="716"/>
      <c r="BT808" s="716"/>
      <c r="BU808" s="716"/>
      <c r="BV808" s="716"/>
      <c r="BW808" s="716"/>
      <c r="BX808" s="716"/>
      <c r="BY808" s="716"/>
      <c r="BZ808" s="716"/>
      <c r="CA808" s="716"/>
    </row>
    <row r="809" spans="1:79" s="308" customFormat="1" hidden="1" outlineLevel="1" x14ac:dyDescent="0.25">
      <c r="A809" s="656"/>
      <c r="B809" s="571"/>
      <c r="C809" s="571"/>
      <c r="D809" s="571"/>
      <c r="E809" s="570" t="s">
        <v>1342</v>
      </c>
      <c r="F809" s="656" t="s">
        <v>671</v>
      </c>
      <c r="G809" s="716"/>
      <c r="H809" s="716"/>
      <c r="I809" s="716"/>
      <c r="J809" s="716"/>
      <c r="K809" s="716"/>
      <c r="L809" s="716"/>
      <c r="M809" s="716"/>
      <c r="N809" s="716"/>
      <c r="O809" s="716"/>
      <c r="P809" s="716"/>
      <c r="Q809" s="716"/>
      <c r="R809" s="716"/>
      <c r="S809" s="684">
        <v>0</v>
      </c>
      <c r="T809" s="684">
        <v>0</v>
      </c>
      <c r="U809" s="684">
        <v>0</v>
      </c>
      <c r="V809" s="684">
        <v>0</v>
      </c>
      <c r="W809" s="684">
        <v>0</v>
      </c>
      <c r="X809" s="684">
        <v>0</v>
      </c>
      <c r="Y809" s="684">
        <v>1518.55</v>
      </c>
      <c r="Z809" s="684">
        <v>0</v>
      </c>
      <c r="AA809" s="684">
        <v>0</v>
      </c>
      <c r="AB809" s="684">
        <v>0</v>
      </c>
      <c r="AC809" s="666">
        <v>0</v>
      </c>
      <c r="AD809" s="666">
        <v>0</v>
      </c>
      <c r="AE809" s="684">
        <v>0</v>
      </c>
      <c r="AF809" s="716">
        <v>0</v>
      </c>
      <c r="AG809" s="666">
        <v>0</v>
      </c>
      <c r="AH809" s="716"/>
      <c r="AI809" s="716"/>
      <c r="AJ809" s="716"/>
      <c r="AK809" s="716"/>
      <c r="AL809" s="716"/>
      <c r="AM809" s="716"/>
      <c r="AN809" s="716"/>
      <c r="AO809" s="716"/>
      <c r="AP809" s="716"/>
      <c r="AQ809" s="716"/>
      <c r="AR809" s="716"/>
      <c r="AS809" s="716"/>
      <c r="AT809" s="716"/>
      <c r="AU809" s="716"/>
      <c r="AV809" s="716"/>
      <c r="AW809" s="716"/>
      <c r="AX809" s="716"/>
      <c r="AY809" s="716"/>
      <c r="AZ809" s="716"/>
      <c r="BA809" s="716"/>
      <c r="BB809" s="716"/>
      <c r="BC809" s="716"/>
      <c r="BD809" s="716"/>
      <c r="BE809" s="716"/>
      <c r="BF809" s="716"/>
      <c r="BG809" s="716"/>
      <c r="BH809" s="716"/>
      <c r="BI809" s="716"/>
      <c r="BJ809" s="716"/>
      <c r="BK809" s="716"/>
      <c r="BL809" s="716"/>
      <c r="BM809" s="716"/>
      <c r="BN809" s="716"/>
      <c r="BO809" s="716"/>
      <c r="BP809" s="716"/>
      <c r="BQ809" s="716"/>
      <c r="BR809" s="716"/>
      <c r="BS809" s="716"/>
      <c r="BT809" s="716"/>
      <c r="BU809" s="716"/>
      <c r="BV809" s="716"/>
      <c r="BW809" s="716"/>
      <c r="BX809" s="716"/>
      <c r="BY809" s="716"/>
      <c r="BZ809" s="716"/>
      <c r="CA809" s="716"/>
    </row>
    <row r="810" spans="1:79" s="308" customFormat="1" hidden="1" outlineLevel="1" x14ac:dyDescent="0.25">
      <c r="A810" s="656"/>
      <c r="B810" s="571"/>
      <c r="C810" s="571"/>
      <c r="D810" s="571"/>
      <c r="E810" s="570" t="s">
        <v>1342</v>
      </c>
      <c r="F810" s="656" t="s">
        <v>892</v>
      </c>
      <c r="G810" s="716"/>
      <c r="H810" s="716"/>
      <c r="I810" s="716"/>
      <c r="J810" s="716"/>
      <c r="K810" s="716"/>
      <c r="L810" s="716"/>
      <c r="M810" s="716"/>
      <c r="N810" s="716"/>
      <c r="O810" s="716"/>
      <c r="P810" s="716"/>
      <c r="Q810" s="716"/>
      <c r="R810" s="716"/>
      <c r="S810" s="684">
        <v>0</v>
      </c>
      <c r="T810" s="684">
        <v>0</v>
      </c>
      <c r="U810" s="684">
        <v>0</v>
      </c>
      <c r="V810" s="684">
        <v>0</v>
      </c>
      <c r="W810" s="684">
        <v>0</v>
      </c>
      <c r="X810" s="684">
        <v>0</v>
      </c>
      <c r="Y810" s="684">
        <v>0</v>
      </c>
      <c r="Z810" s="684">
        <v>0</v>
      </c>
      <c r="AA810" s="684">
        <v>0</v>
      </c>
      <c r="AB810" s="684">
        <v>0</v>
      </c>
      <c r="AC810" s="666">
        <v>0</v>
      </c>
      <c r="AD810" s="666">
        <v>0</v>
      </c>
      <c r="AE810" s="684">
        <v>0</v>
      </c>
      <c r="AF810" s="716">
        <v>0</v>
      </c>
      <c r="AG810" s="666">
        <v>0</v>
      </c>
      <c r="AH810" s="716"/>
      <c r="AI810" s="716"/>
      <c r="AJ810" s="716"/>
      <c r="AK810" s="716"/>
      <c r="AL810" s="716"/>
      <c r="AM810" s="716"/>
      <c r="AN810" s="716"/>
      <c r="AO810" s="716"/>
      <c r="AP810" s="716"/>
      <c r="AQ810" s="716"/>
      <c r="AR810" s="716"/>
      <c r="AS810" s="716"/>
      <c r="AT810" s="716"/>
      <c r="AU810" s="716"/>
      <c r="AV810" s="716"/>
      <c r="AW810" s="716"/>
      <c r="AX810" s="716"/>
      <c r="AY810" s="716"/>
      <c r="AZ810" s="716"/>
      <c r="BA810" s="716"/>
      <c r="BB810" s="716"/>
      <c r="BC810" s="716"/>
      <c r="BD810" s="716"/>
      <c r="BE810" s="716"/>
      <c r="BF810" s="716"/>
      <c r="BG810" s="716"/>
      <c r="BH810" s="716"/>
      <c r="BI810" s="716"/>
      <c r="BJ810" s="716"/>
      <c r="BK810" s="716"/>
      <c r="BL810" s="716"/>
      <c r="BM810" s="716"/>
      <c r="BN810" s="716"/>
      <c r="BO810" s="716"/>
      <c r="BP810" s="716"/>
      <c r="BQ810" s="716"/>
      <c r="BR810" s="716"/>
      <c r="BS810" s="716"/>
      <c r="BT810" s="716"/>
      <c r="BU810" s="716"/>
      <c r="BV810" s="716"/>
      <c r="BW810" s="716"/>
      <c r="BX810" s="716"/>
      <c r="BY810" s="716"/>
      <c r="BZ810" s="716"/>
      <c r="CA810" s="716"/>
    </row>
    <row r="811" spans="1:79" s="308" customFormat="1" hidden="1" outlineLevel="1" x14ac:dyDescent="0.25">
      <c r="A811" s="657"/>
      <c r="B811" s="571"/>
      <c r="C811" s="571"/>
      <c r="D811" s="571"/>
      <c r="E811" s="570" t="s">
        <v>49</v>
      </c>
      <c r="F811" s="657" t="s">
        <v>672</v>
      </c>
      <c r="G811" s="664">
        <f>SUM(G807:G810)</f>
        <v>0</v>
      </c>
      <c r="H811" s="664">
        <f t="shared" ref="H811:BO811" si="336">SUM(H807:H810)</f>
        <v>0</v>
      </c>
      <c r="I811" s="664">
        <f t="shared" si="336"/>
        <v>0</v>
      </c>
      <c r="J811" s="664">
        <f t="shared" si="336"/>
        <v>0</v>
      </c>
      <c r="K811" s="664">
        <f t="shared" si="336"/>
        <v>0</v>
      </c>
      <c r="L811" s="664">
        <f t="shared" si="336"/>
        <v>0</v>
      </c>
      <c r="M811" s="664">
        <f t="shared" si="336"/>
        <v>0</v>
      </c>
      <c r="N811" s="664">
        <f t="shared" si="336"/>
        <v>0</v>
      </c>
      <c r="O811" s="664">
        <f t="shared" si="336"/>
        <v>0</v>
      </c>
      <c r="P811" s="664">
        <f t="shared" si="336"/>
        <v>0</v>
      </c>
      <c r="Q811" s="664">
        <f t="shared" si="336"/>
        <v>0</v>
      </c>
      <c r="R811" s="664">
        <f t="shared" si="336"/>
        <v>0</v>
      </c>
      <c r="S811" s="680">
        <f t="shared" ref="S811:AA811" si="337">ROUND(SUM(S806:S810),5)</f>
        <v>0</v>
      </c>
      <c r="T811" s="680">
        <f t="shared" si="337"/>
        <v>0</v>
      </c>
      <c r="U811" s="680">
        <f t="shared" si="337"/>
        <v>0</v>
      </c>
      <c r="V811" s="680">
        <f t="shared" si="337"/>
        <v>0</v>
      </c>
      <c r="W811" s="680">
        <f t="shared" si="337"/>
        <v>0</v>
      </c>
      <c r="X811" s="680">
        <f t="shared" si="337"/>
        <v>0</v>
      </c>
      <c r="Y811" s="680">
        <f t="shared" si="337"/>
        <v>1518.55</v>
      </c>
      <c r="Z811" s="680">
        <f t="shared" si="337"/>
        <v>0</v>
      </c>
      <c r="AA811" s="680">
        <f t="shared" si="337"/>
        <v>0</v>
      </c>
      <c r="AB811" s="680">
        <f t="shared" ref="AB811:AG811" si="338">ROUND(SUM(AB806:AB810),5)</f>
        <v>0</v>
      </c>
      <c r="AC811" s="680">
        <f t="shared" si="338"/>
        <v>0</v>
      </c>
      <c r="AD811" s="680">
        <f t="shared" si="338"/>
        <v>0</v>
      </c>
      <c r="AE811" s="680">
        <f t="shared" si="338"/>
        <v>0</v>
      </c>
      <c r="AF811" s="664">
        <f t="shared" si="338"/>
        <v>0</v>
      </c>
      <c r="AG811" s="680">
        <f t="shared" si="338"/>
        <v>0</v>
      </c>
      <c r="AH811" s="664">
        <f t="shared" si="336"/>
        <v>0</v>
      </c>
      <c r="AI811" s="664">
        <f t="shared" si="336"/>
        <v>0</v>
      </c>
      <c r="AJ811" s="664">
        <f t="shared" si="336"/>
        <v>0</v>
      </c>
      <c r="AK811" s="664">
        <f t="shared" si="336"/>
        <v>0</v>
      </c>
      <c r="AL811" s="664">
        <f t="shared" si="336"/>
        <v>0</v>
      </c>
      <c r="AM811" s="664">
        <f t="shared" si="336"/>
        <v>0</v>
      </c>
      <c r="AN811" s="664">
        <f t="shared" si="336"/>
        <v>0</v>
      </c>
      <c r="AO811" s="664">
        <f t="shared" si="336"/>
        <v>0</v>
      </c>
      <c r="AP811" s="664">
        <f t="shared" si="336"/>
        <v>0</v>
      </c>
      <c r="AQ811" s="664">
        <f t="shared" si="336"/>
        <v>0</v>
      </c>
      <c r="AR811" s="664">
        <f t="shared" si="336"/>
        <v>0</v>
      </c>
      <c r="AS811" s="664">
        <f t="shared" si="336"/>
        <v>0</v>
      </c>
      <c r="AT811" s="664">
        <f t="shared" si="336"/>
        <v>0</v>
      </c>
      <c r="AU811" s="664">
        <f t="shared" si="336"/>
        <v>0</v>
      </c>
      <c r="AV811" s="664">
        <f t="shared" si="336"/>
        <v>0</v>
      </c>
      <c r="AW811" s="664">
        <f t="shared" si="336"/>
        <v>0</v>
      </c>
      <c r="AX811" s="664">
        <f t="shared" si="336"/>
        <v>0</v>
      </c>
      <c r="AY811" s="664">
        <f t="shared" si="336"/>
        <v>0</v>
      </c>
      <c r="AZ811" s="664">
        <f t="shared" si="336"/>
        <v>0</v>
      </c>
      <c r="BA811" s="664">
        <f t="shared" si="336"/>
        <v>0</v>
      </c>
      <c r="BB811" s="664">
        <f t="shared" si="336"/>
        <v>0</v>
      </c>
      <c r="BC811" s="664">
        <f t="shared" si="336"/>
        <v>0</v>
      </c>
      <c r="BD811" s="664">
        <f t="shared" si="336"/>
        <v>0</v>
      </c>
      <c r="BE811" s="664">
        <f t="shared" si="336"/>
        <v>0</v>
      </c>
      <c r="BF811" s="664">
        <f t="shared" si="336"/>
        <v>0</v>
      </c>
      <c r="BG811" s="664">
        <f t="shared" si="336"/>
        <v>0</v>
      </c>
      <c r="BH811" s="664">
        <f t="shared" si="336"/>
        <v>0</v>
      </c>
      <c r="BI811" s="664">
        <f t="shared" si="336"/>
        <v>0</v>
      </c>
      <c r="BJ811" s="664">
        <f t="shared" si="336"/>
        <v>0</v>
      </c>
      <c r="BK811" s="664">
        <f t="shared" si="336"/>
        <v>0</v>
      </c>
      <c r="BL811" s="664">
        <f t="shared" si="336"/>
        <v>0</v>
      </c>
      <c r="BM811" s="664">
        <f t="shared" si="336"/>
        <v>0</v>
      </c>
      <c r="BN811" s="664">
        <f t="shared" si="336"/>
        <v>0</v>
      </c>
      <c r="BO811" s="664">
        <f t="shared" si="336"/>
        <v>0</v>
      </c>
      <c r="BP811" s="664">
        <f t="shared" ref="BP811:CA811" si="339">SUM(BP807:BP810)</f>
        <v>0</v>
      </c>
      <c r="BQ811" s="664">
        <f t="shared" si="339"/>
        <v>0</v>
      </c>
      <c r="BR811" s="664">
        <f t="shared" si="339"/>
        <v>0</v>
      </c>
      <c r="BS811" s="664">
        <f t="shared" si="339"/>
        <v>0</v>
      </c>
      <c r="BT811" s="664">
        <f t="shared" si="339"/>
        <v>0</v>
      </c>
      <c r="BU811" s="664">
        <f t="shared" si="339"/>
        <v>0</v>
      </c>
      <c r="BV811" s="664">
        <f t="shared" si="339"/>
        <v>0</v>
      </c>
      <c r="BW811" s="664">
        <f t="shared" si="339"/>
        <v>0</v>
      </c>
      <c r="BX811" s="664">
        <f t="shared" si="339"/>
        <v>0</v>
      </c>
      <c r="BY811" s="664">
        <f t="shared" si="339"/>
        <v>0</v>
      </c>
      <c r="BZ811" s="664">
        <f t="shared" si="339"/>
        <v>0</v>
      </c>
      <c r="CA811" s="664">
        <f t="shared" si="339"/>
        <v>0</v>
      </c>
    </row>
    <row r="812" spans="1:79" hidden="1" outlineLevel="1" x14ac:dyDescent="0.25">
      <c r="A812" s="658"/>
      <c r="E812" s="570" t="s">
        <v>1076</v>
      </c>
      <c r="F812" s="658" t="s">
        <v>648</v>
      </c>
      <c r="G812" s="719">
        <v>115.93994569937874</v>
      </c>
      <c r="H812" s="719">
        <v>63.627572209296282</v>
      </c>
      <c r="I812" s="719">
        <v>34.369270170445432</v>
      </c>
      <c r="J812" s="719">
        <v>14.50807036026627</v>
      </c>
      <c r="K812" s="719">
        <v>16.506323467221218</v>
      </c>
      <c r="L812" s="719">
        <v>16.239058595169549</v>
      </c>
      <c r="M812" s="719">
        <v>64.56527007905207</v>
      </c>
      <c r="N812" s="719">
        <v>11.947265871428639</v>
      </c>
      <c r="O812" s="719">
        <v>12.251425134531189</v>
      </c>
      <c r="P812" s="716">
        <v>8.9378896263488805</v>
      </c>
      <c r="Q812" s="716">
        <v>19.351111960179498</v>
      </c>
      <c r="R812" s="716">
        <v>16.308837050623847</v>
      </c>
      <c r="S812" s="688">
        <v>97.45</v>
      </c>
      <c r="T812" s="688">
        <v>97.55</v>
      </c>
      <c r="U812" s="688">
        <v>100.54</v>
      </c>
      <c r="V812" s="688">
        <v>137.35</v>
      </c>
      <c r="W812" s="688">
        <v>112.87</v>
      </c>
      <c r="X812" s="688">
        <v>0</v>
      </c>
      <c r="Y812" s="688">
        <v>362.79</v>
      </c>
      <c r="Z812" s="688">
        <v>116.12</v>
      </c>
      <c r="AA812" s="688">
        <v>116.12</v>
      </c>
      <c r="AB812" s="688">
        <v>116.07</v>
      </c>
      <c r="AC812" s="666">
        <v>281.8</v>
      </c>
      <c r="AD812" s="666">
        <v>114.08</v>
      </c>
      <c r="AE812" s="688">
        <v>152.57</v>
      </c>
      <c r="AF812" s="719">
        <v>124.99</v>
      </c>
      <c r="AG812" s="666">
        <v>125.38</v>
      </c>
      <c r="AH812" s="716"/>
      <c r="AI812" s="716"/>
      <c r="AJ812" s="716"/>
      <c r="AK812" s="716"/>
      <c r="AL812" s="716"/>
      <c r="AM812" s="716"/>
      <c r="AN812" s="716"/>
      <c r="AO812" s="716"/>
      <c r="AP812" s="716"/>
      <c r="AQ812" s="716"/>
      <c r="AR812" s="716"/>
      <c r="AS812" s="716"/>
      <c r="AT812" s="716"/>
      <c r="AU812" s="716"/>
      <c r="AV812" s="716"/>
      <c r="AW812" s="716"/>
      <c r="AX812" s="716"/>
      <c r="AY812" s="716"/>
      <c r="AZ812" s="716"/>
      <c r="BA812" s="716"/>
      <c r="BB812" s="716"/>
      <c r="BC812" s="716"/>
      <c r="BD812" s="716"/>
      <c r="BE812" s="716"/>
      <c r="BF812" s="716"/>
      <c r="BG812" s="716"/>
      <c r="BH812" s="716"/>
      <c r="BI812" s="716"/>
      <c r="BJ812" s="716"/>
      <c r="BK812" s="716"/>
      <c r="BL812" s="716"/>
      <c r="BM812" s="716"/>
      <c r="BN812" s="716"/>
      <c r="BO812" s="716"/>
      <c r="BP812" s="716"/>
      <c r="BQ812" s="716"/>
      <c r="BR812" s="716"/>
      <c r="BS812" s="716"/>
      <c r="BT812" s="716"/>
      <c r="BU812" s="716"/>
      <c r="BV812" s="716"/>
      <c r="BW812" s="716"/>
      <c r="BX812" s="716"/>
      <c r="BY812" s="716"/>
      <c r="BZ812" s="716"/>
      <c r="CA812" s="716"/>
    </row>
    <row r="813" spans="1:79" hidden="1" outlineLevel="1" x14ac:dyDescent="0.25">
      <c r="A813" s="658"/>
      <c r="E813" s="570" t="s">
        <v>431</v>
      </c>
      <c r="F813" s="658" t="s">
        <v>599</v>
      </c>
      <c r="G813" s="719">
        <v>74.097352073429349</v>
      </c>
      <c r="H813" s="719">
        <v>206.9710936402239</v>
      </c>
      <c r="I813" s="719">
        <v>144.46430568156146</v>
      </c>
      <c r="J813" s="719">
        <v>320.33566479774646</v>
      </c>
      <c r="K813" s="719">
        <v>292.25774929416787</v>
      </c>
      <c r="L813" s="719">
        <v>285.00626242712076</v>
      </c>
      <c r="M813" s="719">
        <v>93.015406139960859</v>
      </c>
      <c r="N813" s="719">
        <v>328.30584745874495</v>
      </c>
      <c r="O813" s="719">
        <v>582.30397606951681</v>
      </c>
      <c r="P813" s="716">
        <v>514.16438756924765</v>
      </c>
      <c r="Q813" s="716">
        <v>150.8512055419566</v>
      </c>
      <c r="R813" s="716">
        <v>79.734106467475044</v>
      </c>
      <c r="S813" s="667">
        <v>864.12</v>
      </c>
      <c r="T813" s="667">
        <v>0</v>
      </c>
      <c r="U813" s="667">
        <v>1785.46</v>
      </c>
      <c r="V813" s="667">
        <v>183.88</v>
      </c>
      <c r="W813" s="667">
        <v>1777.08</v>
      </c>
      <c r="X813" s="667">
        <v>-889.72</v>
      </c>
      <c r="Y813" s="667">
        <v>13</v>
      </c>
      <c r="Z813" s="667">
        <v>1819.42</v>
      </c>
      <c r="AA813" s="667">
        <v>255.3</v>
      </c>
      <c r="AB813" s="667">
        <v>6401.27</v>
      </c>
      <c r="AC813" s="665">
        <v>4130.91</v>
      </c>
      <c r="AD813" s="665">
        <v>1102.92</v>
      </c>
      <c r="AE813" s="667">
        <v>2540.31</v>
      </c>
      <c r="AF813" s="719">
        <v>2290.86</v>
      </c>
      <c r="AG813" s="665">
        <v>1061.73</v>
      </c>
      <c r="AH813" s="716"/>
      <c r="AI813" s="716"/>
      <c r="AJ813" s="716"/>
      <c r="AK813" s="716"/>
      <c r="AL813" s="716"/>
      <c r="AM813" s="716"/>
      <c r="AN813" s="716"/>
      <c r="AO813" s="716"/>
      <c r="AP813" s="716"/>
      <c r="AQ813" s="716"/>
      <c r="AR813" s="716"/>
      <c r="AS813" s="716"/>
      <c r="AT813" s="716"/>
      <c r="AU813" s="716"/>
      <c r="AV813" s="716"/>
      <c r="AW813" s="716"/>
      <c r="AX813" s="716"/>
      <c r="AY813" s="716"/>
      <c r="AZ813" s="716"/>
      <c r="BA813" s="716"/>
      <c r="BB813" s="716"/>
      <c r="BC813" s="716"/>
      <c r="BD813" s="716"/>
      <c r="BE813" s="716"/>
      <c r="BF813" s="716"/>
      <c r="BG813" s="716"/>
      <c r="BH813" s="716"/>
      <c r="BI813" s="716"/>
      <c r="BJ813" s="716"/>
      <c r="BK813" s="716"/>
      <c r="BL813" s="716"/>
      <c r="BM813" s="716"/>
      <c r="BN813" s="716"/>
      <c r="BO813" s="716"/>
      <c r="BP813" s="716"/>
      <c r="BQ813" s="716"/>
      <c r="BR813" s="716"/>
      <c r="BS813" s="716"/>
      <c r="BT813" s="716"/>
      <c r="BU813" s="716"/>
      <c r="BV813" s="716"/>
      <c r="BW813" s="716"/>
      <c r="BX813" s="716"/>
      <c r="BY813" s="716"/>
      <c r="BZ813" s="716"/>
      <c r="CA813" s="716"/>
    </row>
    <row r="814" spans="1:79" s="693" customFormat="1" hidden="1" outlineLevel="1" x14ac:dyDescent="0.25">
      <c r="A814" s="691"/>
      <c r="E814" s="570" t="s">
        <v>1343</v>
      </c>
      <c r="F814" s="691" t="s">
        <v>673</v>
      </c>
      <c r="G814" s="733"/>
      <c r="H814" s="733"/>
      <c r="I814" s="733"/>
      <c r="J814" s="733"/>
      <c r="K814" s="733"/>
      <c r="L814" s="733"/>
      <c r="M814" s="733"/>
      <c r="N814" s="733"/>
      <c r="O814" s="733"/>
      <c r="P814" s="734"/>
      <c r="Q814" s="734"/>
      <c r="R814" s="734"/>
      <c r="S814" s="704"/>
      <c r="T814" s="704"/>
      <c r="U814" s="704"/>
      <c r="V814" s="704"/>
      <c r="W814" s="704"/>
      <c r="X814" s="704"/>
      <c r="Y814" s="704"/>
      <c r="Z814" s="704"/>
      <c r="AA814" s="704"/>
      <c r="AB814" s="704"/>
      <c r="AC814" s="702"/>
      <c r="AD814" s="702"/>
      <c r="AE814" s="704"/>
      <c r="AF814" s="733"/>
      <c r="AG814" s="702"/>
      <c r="AH814" s="734"/>
      <c r="AI814" s="734"/>
      <c r="AJ814" s="734"/>
      <c r="AK814" s="734"/>
      <c r="AL814" s="734"/>
      <c r="AM814" s="734"/>
      <c r="AN814" s="734"/>
      <c r="AO814" s="734"/>
      <c r="AP814" s="734"/>
      <c r="AQ814" s="734"/>
      <c r="AR814" s="734"/>
      <c r="AS814" s="734"/>
      <c r="AT814" s="734"/>
      <c r="AU814" s="734"/>
      <c r="AV814" s="734"/>
      <c r="AW814" s="734"/>
      <c r="AX814" s="734"/>
      <c r="AY814" s="734"/>
      <c r="AZ814" s="734"/>
      <c r="BA814" s="734"/>
      <c r="BB814" s="734"/>
      <c r="BC814" s="734"/>
      <c r="BD814" s="734"/>
      <c r="BE814" s="734"/>
      <c r="BF814" s="734"/>
      <c r="BG814" s="734"/>
      <c r="BH814" s="734"/>
      <c r="BI814" s="734"/>
      <c r="BJ814" s="734"/>
      <c r="BK814" s="734"/>
      <c r="BL814" s="734"/>
      <c r="BM814" s="734"/>
      <c r="BN814" s="734"/>
      <c r="BO814" s="734"/>
      <c r="BP814" s="734"/>
      <c r="BQ814" s="734"/>
      <c r="BR814" s="734"/>
      <c r="BS814" s="734"/>
      <c r="BT814" s="734"/>
      <c r="BU814" s="734"/>
      <c r="BV814" s="734"/>
      <c r="BW814" s="734"/>
      <c r="BX814" s="734"/>
      <c r="BY814" s="734"/>
      <c r="BZ814" s="734"/>
      <c r="CA814" s="734"/>
    </row>
    <row r="815" spans="1:79" hidden="1" outlineLevel="1" x14ac:dyDescent="0.25">
      <c r="A815" s="656"/>
      <c r="B815" s="570"/>
      <c r="C815" s="570"/>
      <c r="D815" s="570"/>
      <c r="E815" s="570" t="s">
        <v>1330</v>
      </c>
      <c r="F815" s="656" t="s">
        <v>893</v>
      </c>
      <c r="G815" s="719"/>
      <c r="H815" s="719"/>
      <c r="I815" s="719"/>
      <c r="J815" s="719"/>
      <c r="K815" s="719"/>
      <c r="L815" s="719"/>
      <c r="M815" s="719"/>
      <c r="N815" s="719"/>
      <c r="O815" s="719"/>
      <c r="P815" s="716"/>
      <c r="Q815" s="716"/>
      <c r="R815" s="716"/>
      <c r="S815" s="667">
        <v>0</v>
      </c>
      <c r="T815" s="667">
        <v>0</v>
      </c>
      <c r="U815" s="667">
        <v>0</v>
      </c>
      <c r="V815" s="667">
        <v>0</v>
      </c>
      <c r="W815" s="667">
        <v>0</v>
      </c>
      <c r="X815" s="667">
        <v>0</v>
      </c>
      <c r="Y815" s="667">
        <v>0</v>
      </c>
      <c r="Z815" s="667">
        <v>0</v>
      </c>
      <c r="AA815" s="667">
        <v>0</v>
      </c>
      <c r="AB815" s="667">
        <v>0</v>
      </c>
      <c r="AC815" s="665">
        <v>0</v>
      </c>
      <c r="AD815" s="665">
        <v>0</v>
      </c>
      <c r="AE815" s="667">
        <v>0</v>
      </c>
      <c r="AF815" s="719">
        <v>0</v>
      </c>
      <c r="AG815" s="665">
        <v>0</v>
      </c>
      <c r="AH815" s="716"/>
      <c r="AI815" s="716"/>
      <c r="AJ815" s="716"/>
      <c r="AK815" s="716"/>
      <c r="AL815" s="716"/>
      <c r="AM815" s="716"/>
      <c r="AN815" s="716"/>
      <c r="AO815" s="716"/>
      <c r="AP815" s="716"/>
      <c r="AQ815" s="716"/>
      <c r="AR815" s="716"/>
      <c r="AS815" s="716"/>
      <c r="AT815" s="716"/>
      <c r="AU815" s="716"/>
      <c r="AV815" s="716"/>
      <c r="AW815" s="716"/>
      <c r="AX815" s="716"/>
      <c r="AY815" s="716"/>
      <c r="AZ815" s="716"/>
      <c r="BA815" s="716"/>
      <c r="BB815" s="716"/>
      <c r="BC815" s="716"/>
      <c r="BD815" s="716"/>
      <c r="BE815" s="716"/>
      <c r="BF815" s="716"/>
      <c r="BG815" s="716"/>
      <c r="BH815" s="716"/>
      <c r="BI815" s="716"/>
      <c r="BJ815" s="716"/>
      <c r="BK815" s="716"/>
      <c r="BL815" s="716"/>
      <c r="BM815" s="716"/>
      <c r="BN815" s="716"/>
      <c r="BO815" s="716"/>
      <c r="BP815" s="716"/>
      <c r="BQ815" s="716"/>
      <c r="BR815" s="716"/>
      <c r="BS815" s="716"/>
      <c r="BT815" s="716"/>
      <c r="BU815" s="716"/>
      <c r="BV815" s="716"/>
      <c r="BW815" s="716"/>
      <c r="BX815" s="716"/>
      <c r="BY815" s="716"/>
      <c r="BZ815" s="716"/>
      <c r="CA815" s="716"/>
    </row>
    <row r="816" spans="1:79" hidden="1" outlineLevel="1" x14ac:dyDescent="0.25">
      <c r="A816" s="656"/>
      <c r="B816" s="570"/>
      <c r="C816" s="570"/>
      <c r="D816" s="570"/>
      <c r="E816" s="570" t="s">
        <v>1343</v>
      </c>
      <c r="F816" s="656" t="s">
        <v>674</v>
      </c>
      <c r="G816" s="719"/>
      <c r="H816" s="719"/>
      <c r="I816" s="719"/>
      <c r="J816" s="719"/>
      <c r="K816" s="719"/>
      <c r="L816" s="719"/>
      <c r="M816" s="719"/>
      <c r="N816" s="719"/>
      <c r="O816" s="719"/>
      <c r="P816" s="716"/>
      <c r="Q816" s="716"/>
      <c r="R816" s="716"/>
      <c r="S816" s="667">
        <v>0</v>
      </c>
      <c r="T816" s="667">
        <v>0</v>
      </c>
      <c r="U816" s="667">
        <v>0</v>
      </c>
      <c r="V816" s="667">
        <v>0</v>
      </c>
      <c r="W816" s="667">
        <v>0</v>
      </c>
      <c r="X816" s="667">
        <v>0</v>
      </c>
      <c r="Y816" s="667">
        <v>0</v>
      </c>
      <c r="Z816" s="667">
        <v>0</v>
      </c>
      <c r="AA816" s="667">
        <v>0</v>
      </c>
      <c r="AB816" s="667">
        <v>0</v>
      </c>
      <c r="AC816" s="665">
        <v>0</v>
      </c>
      <c r="AD816" s="665">
        <v>0</v>
      </c>
      <c r="AE816" s="667">
        <v>0</v>
      </c>
      <c r="AF816" s="719">
        <v>0</v>
      </c>
      <c r="AG816" s="665">
        <v>0</v>
      </c>
      <c r="AH816" s="716"/>
      <c r="AI816" s="716"/>
      <c r="AJ816" s="716"/>
      <c r="AK816" s="716"/>
      <c r="AL816" s="716"/>
      <c r="AM816" s="716"/>
      <c r="AN816" s="716"/>
      <c r="AO816" s="716"/>
      <c r="AP816" s="716"/>
      <c r="AQ816" s="716"/>
      <c r="AR816" s="716"/>
      <c r="AS816" s="716"/>
      <c r="AT816" s="716"/>
      <c r="AU816" s="716"/>
      <c r="AV816" s="716"/>
      <c r="AW816" s="716"/>
      <c r="AX816" s="716"/>
      <c r="AY816" s="716"/>
      <c r="AZ816" s="716"/>
      <c r="BA816" s="716"/>
      <c r="BB816" s="716"/>
      <c r="BC816" s="716"/>
      <c r="BD816" s="716"/>
      <c r="BE816" s="716"/>
      <c r="BF816" s="716"/>
      <c r="BG816" s="716"/>
      <c r="BH816" s="716"/>
      <c r="BI816" s="716"/>
      <c r="BJ816" s="716"/>
      <c r="BK816" s="716"/>
      <c r="BL816" s="716"/>
      <c r="BM816" s="716"/>
      <c r="BN816" s="716"/>
      <c r="BO816" s="716"/>
      <c r="BP816" s="716"/>
      <c r="BQ816" s="716"/>
      <c r="BR816" s="716"/>
      <c r="BS816" s="716"/>
      <c r="BT816" s="716"/>
      <c r="BU816" s="716"/>
      <c r="BV816" s="716"/>
      <c r="BW816" s="716"/>
      <c r="BX816" s="716"/>
      <c r="BY816" s="716"/>
      <c r="BZ816" s="716"/>
      <c r="CA816" s="716"/>
    </row>
    <row r="817" spans="1:79" hidden="1" outlineLevel="1" x14ac:dyDescent="0.25">
      <c r="A817" s="656"/>
      <c r="B817" s="570"/>
      <c r="C817" s="570"/>
      <c r="D817" s="570"/>
      <c r="E817" s="570" t="s">
        <v>1343</v>
      </c>
      <c r="F817" s="656" t="s">
        <v>894</v>
      </c>
      <c r="G817" s="719"/>
      <c r="H817" s="719"/>
      <c r="I817" s="719"/>
      <c r="J817" s="719"/>
      <c r="K817" s="719"/>
      <c r="L817" s="719"/>
      <c r="M817" s="719"/>
      <c r="N817" s="719"/>
      <c r="O817" s="719"/>
      <c r="P817" s="716"/>
      <c r="Q817" s="716"/>
      <c r="R817" s="716"/>
      <c r="S817" s="667">
        <v>0</v>
      </c>
      <c r="T817" s="667">
        <v>0</v>
      </c>
      <c r="U817" s="667">
        <v>0</v>
      </c>
      <c r="V817" s="667">
        <v>0</v>
      </c>
      <c r="W817" s="667">
        <v>0</v>
      </c>
      <c r="X817" s="667">
        <v>0</v>
      </c>
      <c r="Y817" s="667">
        <v>0</v>
      </c>
      <c r="Z817" s="667">
        <v>0</v>
      </c>
      <c r="AA817" s="667">
        <v>0</v>
      </c>
      <c r="AB817" s="667">
        <v>0</v>
      </c>
      <c r="AC817" s="665">
        <v>0</v>
      </c>
      <c r="AD817" s="665">
        <v>0</v>
      </c>
      <c r="AE817" s="667">
        <v>0</v>
      </c>
      <c r="AF817" s="719">
        <v>0</v>
      </c>
      <c r="AG817" s="665">
        <v>0</v>
      </c>
      <c r="AH817" s="716"/>
      <c r="AI817" s="716"/>
      <c r="AJ817" s="716"/>
      <c r="AK817" s="716"/>
      <c r="AL817" s="716"/>
      <c r="AM817" s="716"/>
      <c r="AN817" s="716"/>
      <c r="AO817" s="716"/>
      <c r="AP817" s="716"/>
      <c r="AQ817" s="716"/>
      <c r="AR817" s="716"/>
      <c r="AS817" s="716"/>
      <c r="AT817" s="716"/>
      <c r="AU817" s="716"/>
      <c r="AV817" s="716"/>
      <c r="AW817" s="716"/>
      <c r="AX817" s="716"/>
      <c r="AY817" s="716"/>
      <c r="AZ817" s="716"/>
      <c r="BA817" s="716"/>
      <c r="BB817" s="716"/>
      <c r="BC817" s="716"/>
      <c r="BD817" s="716"/>
      <c r="BE817" s="716"/>
      <c r="BF817" s="716"/>
      <c r="BG817" s="716"/>
      <c r="BH817" s="716"/>
      <c r="BI817" s="716"/>
      <c r="BJ817" s="716"/>
      <c r="BK817" s="716"/>
      <c r="BL817" s="716"/>
      <c r="BM817" s="716"/>
      <c r="BN817" s="716"/>
      <c r="BO817" s="716"/>
      <c r="BP817" s="716"/>
      <c r="BQ817" s="716"/>
      <c r="BR817" s="716"/>
      <c r="BS817" s="716"/>
      <c r="BT817" s="716"/>
      <c r="BU817" s="716"/>
      <c r="BV817" s="716"/>
      <c r="BW817" s="716"/>
      <c r="BX817" s="716"/>
      <c r="BY817" s="716"/>
      <c r="BZ817" s="716"/>
      <c r="CA817" s="716"/>
    </row>
    <row r="818" spans="1:79" hidden="1" outlineLevel="1" x14ac:dyDescent="0.25">
      <c r="A818" s="656"/>
      <c r="B818" s="570"/>
      <c r="C818" s="570"/>
      <c r="D818" s="570"/>
      <c r="E818" s="570" t="s">
        <v>1343</v>
      </c>
      <c r="F818" s="656" t="s">
        <v>765</v>
      </c>
      <c r="G818" s="719"/>
      <c r="H818" s="719"/>
      <c r="I818" s="719"/>
      <c r="J818" s="719"/>
      <c r="K818" s="719"/>
      <c r="L818" s="719"/>
      <c r="M818" s="719"/>
      <c r="N818" s="719"/>
      <c r="O818" s="719"/>
      <c r="P818" s="716"/>
      <c r="Q818" s="716"/>
      <c r="R818" s="716"/>
      <c r="S818" s="667">
        <v>0</v>
      </c>
      <c r="T818" s="667">
        <v>0</v>
      </c>
      <c r="U818" s="667">
        <v>0</v>
      </c>
      <c r="V818" s="667">
        <v>0</v>
      </c>
      <c r="W818" s="667">
        <v>0</v>
      </c>
      <c r="X818" s="667">
        <v>0</v>
      </c>
      <c r="Y818" s="667">
        <v>0</v>
      </c>
      <c r="Z818" s="667">
        <v>0</v>
      </c>
      <c r="AA818" s="667">
        <v>0</v>
      </c>
      <c r="AB818" s="667">
        <v>0</v>
      </c>
      <c r="AC818" s="665">
        <v>0</v>
      </c>
      <c r="AD818" s="665">
        <v>0</v>
      </c>
      <c r="AE818" s="667">
        <v>0</v>
      </c>
      <c r="AF818" s="719">
        <v>0</v>
      </c>
      <c r="AG818" s="665">
        <v>0</v>
      </c>
      <c r="AH818" s="716"/>
      <c r="AI818" s="716"/>
      <c r="AJ818" s="716"/>
      <c r="AK818" s="716"/>
      <c r="AL818" s="716"/>
      <c r="AM818" s="716"/>
      <c r="AN818" s="716"/>
      <c r="AO818" s="716"/>
      <c r="AP818" s="716"/>
      <c r="AQ818" s="716"/>
      <c r="AR818" s="716"/>
      <c r="AS818" s="716"/>
      <c r="AT818" s="716"/>
      <c r="AU818" s="716"/>
      <c r="AV818" s="716"/>
      <c r="AW818" s="716"/>
      <c r="AX818" s="716"/>
      <c r="AY818" s="716"/>
      <c r="AZ818" s="716"/>
      <c r="BA818" s="716"/>
      <c r="BB818" s="716"/>
      <c r="BC818" s="716"/>
      <c r="BD818" s="716"/>
      <c r="BE818" s="716"/>
      <c r="BF818" s="716"/>
      <c r="BG818" s="716"/>
      <c r="BH818" s="716"/>
      <c r="BI818" s="716"/>
      <c r="BJ818" s="716"/>
      <c r="BK818" s="716"/>
      <c r="BL818" s="716"/>
      <c r="BM818" s="716"/>
      <c r="BN818" s="716"/>
      <c r="BO818" s="716"/>
      <c r="BP818" s="716"/>
      <c r="BQ818" s="716"/>
      <c r="BR818" s="716"/>
      <c r="BS818" s="716"/>
      <c r="BT818" s="716"/>
      <c r="BU818" s="716"/>
      <c r="BV818" s="716"/>
      <c r="BW818" s="716"/>
      <c r="BX818" s="716"/>
      <c r="BY818" s="716"/>
      <c r="BZ818" s="716"/>
      <c r="CA818" s="716"/>
    </row>
    <row r="819" spans="1:79" hidden="1" outlineLevel="1" x14ac:dyDescent="0.25">
      <c r="A819" s="657"/>
      <c r="B819" s="570"/>
      <c r="C819" s="570"/>
      <c r="D819" s="570"/>
      <c r="E819" s="570" t="s">
        <v>49</v>
      </c>
      <c r="F819" s="657" t="s">
        <v>675</v>
      </c>
      <c r="G819" s="664">
        <f>SUM(G815:G818)</f>
        <v>0</v>
      </c>
      <c r="H819" s="664">
        <f t="shared" ref="H819:BO819" si="340">SUM(H815:H818)</f>
        <v>0</v>
      </c>
      <c r="I819" s="664">
        <f t="shared" si="340"/>
        <v>0</v>
      </c>
      <c r="J819" s="664">
        <f t="shared" si="340"/>
        <v>0</v>
      </c>
      <c r="K819" s="664">
        <f t="shared" si="340"/>
        <v>0</v>
      </c>
      <c r="L819" s="664">
        <f t="shared" si="340"/>
        <v>0</v>
      </c>
      <c r="M819" s="664">
        <f t="shared" si="340"/>
        <v>0</v>
      </c>
      <c r="N819" s="664">
        <f t="shared" si="340"/>
        <v>0</v>
      </c>
      <c r="O819" s="664">
        <f t="shared" si="340"/>
        <v>0</v>
      </c>
      <c r="P819" s="664">
        <f t="shared" si="340"/>
        <v>0</v>
      </c>
      <c r="Q819" s="664">
        <f t="shared" si="340"/>
        <v>0</v>
      </c>
      <c r="R819" s="664">
        <f t="shared" si="340"/>
        <v>0</v>
      </c>
      <c r="S819" s="678">
        <f t="shared" ref="S819:AA819" si="341">ROUND(SUM(S814:S818),5)</f>
        <v>0</v>
      </c>
      <c r="T819" s="678">
        <f t="shared" si="341"/>
        <v>0</v>
      </c>
      <c r="U819" s="678">
        <f t="shared" si="341"/>
        <v>0</v>
      </c>
      <c r="V819" s="678">
        <f t="shared" si="341"/>
        <v>0</v>
      </c>
      <c r="W819" s="678">
        <f t="shared" si="341"/>
        <v>0</v>
      </c>
      <c r="X819" s="678">
        <f t="shared" si="341"/>
        <v>0</v>
      </c>
      <c r="Y819" s="678">
        <f t="shared" si="341"/>
        <v>0</v>
      </c>
      <c r="Z819" s="678">
        <f t="shared" si="341"/>
        <v>0</v>
      </c>
      <c r="AA819" s="678">
        <f t="shared" si="341"/>
        <v>0</v>
      </c>
      <c r="AB819" s="678">
        <f t="shared" ref="AB819:AG819" si="342">ROUND(SUM(AB814:AB818),5)</f>
        <v>0</v>
      </c>
      <c r="AC819" s="678">
        <f t="shared" si="342"/>
        <v>0</v>
      </c>
      <c r="AD819" s="678">
        <f t="shared" si="342"/>
        <v>0</v>
      </c>
      <c r="AE819" s="678">
        <f t="shared" si="342"/>
        <v>0</v>
      </c>
      <c r="AF819" s="664">
        <f t="shared" si="342"/>
        <v>0</v>
      </c>
      <c r="AG819" s="678">
        <f t="shared" si="342"/>
        <v>0</v>
      </c>
      <c r="AH819" s="664">
        <f t="shared" si="340"/>
        <v>0</v>
      </c>
      <c r="AI819" s="664">
        <f t="shared" si="340"/>
        <v>0</v>
      </c>
      <c r="AJ819" s="664">
        <f t="shared" si="340"/>
        <v>0</v>
      </c>
      <c r="AK819" s="664">
        <f t="shared" si="340"/>
        <v>0</v>
      </c>
      <c r="AL819" s="664">
        <f t="shared" si="340"/>
        <v>0</v>
      </c>
      <c r="AM819" s="664">
        <f t="shared" si="340"/>
        <v>0</v>
      </c>
      <c r="AN819" s="664">
        <f t="shared" si="340"/>
        <v>0</v>
      </c>
      <c r="AO819" s="664">
        <f t="shared" si="340"/>
        <v>0</v>
      </c>
      <c r="AP819" s="664">
        <f t="shared" si="340"/>
        <v>0</v>
      </c>
      <c r="AQ819" s="664">
        <f t="shared" si="340"/>
        <v>0</v>
      </c>
      <c r="AR819" s="664">
        <f t="shared" si="340"/>
        <v>0</v>
      </c>
      <c r="AS819" s="664">
        <f t="shared" si="340"/>
        <v>0</v>
      </c>
      <c r="AT819" s="664">
        <f t="shared" si="340"/>
        <v>0</v>
      </c>
      <c r="AU819" s="664">
        <f t="shared" si="340"/>
        <v>0</v>
      </c>
      <c r="AV819" s="664">
        <f t="shared" si="340"/>
        <v>0</v>
      </c>
      <c r="AW819" s="664">
        <f t="shared" si="340"/>
        <v>0</v>
      </c>
      <c r="AX819" s="664">
        <f t="shared" si="340"/>
        <v>0</v>
      </c>
      <c r="AY819" s="664">
        <f t="shared" si="340"/>
        <v>0</v>
      </c>
      <c r="AZ819" s="664">
        <f t="shared" si="340"/>
        <v>0</v>
      </c>
      <c r="BA819" s="664">
        <f t="shared" si="340"/>
        <v>0</v>
      </c>
      <c r="BB819" s="664">
        <f t="shared" si="340"/>
        <v>0</v>
      </c>
      <c r="BC819" s="664">
        <f t="shared" si="340"/>
        <v>0</v>
      </c>
      <c r="BD819" s="664">
        <f t="shared" si="340"/>
        <v>0</v>
      </c>
      <c r="BE819" s="664">
        <f t="shared" si="340"/>
        <v>0</v>
      </c>
      <c r="BF819" s="664">
        <f t="shared" si="340"/>
        <v>0</v>
      </c>
      <c r="BG819" s="664">
        <f t="shared" si="340"/>
        <v>0</v>
      </c>
      <c r="BH819" s="664">
        <f t="shared" si="340"/>
        <v>0</v>
      </c>
      <c r="BI819" s="664">
        <f t="shared" si="340"/>
        <v>0</v>
      </c>
      <c r="BJ819" s="664">
        <f t="shared" si="340"/>
        <v>0</v>
      </c>
      <c r="BK819" s="664">
        <f t="shared" si="340"/>
        <v>0</v>
      </c>
      <c r="BL819" s="664">
        <f t="shared" si="340"/>
        <v>0</v>
      </c>
      <c r="BM819" s="664">
        <f t="shared" si="340"/>
        <v>0</v>
      </c>
      <c r="BN819" s="664">
        <f t="shared" si="340"/>
        <v>0</v>
      </c>
      <c r="BO819" s="664">
        <f t="shared" si="340"/>
        <v>0</v>
      </c>
      <c r="BP819" s="664">
        <f t="shared" ref="BP819:CA819" si="343">SUM(BP815:BP818)</f>
        <v>0</v>
      </c>
      <c r="BQ819" s="664">
        <f t="shared" si="343"/>
        <v>0</v>
      </c>
      <c r="BR819" s="664">
        <f t="shared" si="343"/>
        <v>0</v>
      </c>
      <c r="BS819" s="664">
        <f t="shared" si="343"/>
        <v>0</v>
      </c>
      <c r="BT819" s="664">
        <f t="shared" si="343"/>
        <v>0</v>
      </c>
      <c r="BU819" s="664">
        <f t="shared" si="343"/>
        <v>0</v>
      </c>
      <c r="BV819" s="664">
        <f t="shared" si="343"/>
        <v>0</v>
      </c>
      <c r="BW819" s="664">
        <f t="shared" si="343"/>
        <v>0</v>
      </c>
      <c r="BX819" s="664">
        <f t="shared" si="343"/>
        <v>0</v>
      </c>
      <c r="BY819" s="664">
        <f t="shared" si="343"/>
        <v>0</v>
      </c>
      <c r="BZ819" s="664">
        <f t="shared" si="343"/>
        <v>0</v>
      </c>
      <c r="CA819" s="664">
        <f t="shared" si="343"/>
        <v>0</v>
      </c>
    </row>
    <row r="820" spans="1:79" hidden="1" outlineLevel="1" x14ac:dyDescent="0.25">
      <c r="A820" s="658"/>
      <c r="E820" s="570" t="s">
        <v>921</v>
      </c>
      <c r="F820" s="658" t="s">
        <v>600</v>
      </c>
      <c r="G820" s="719">
        <v>138.59794278644722</v>
      </c>
      <c r="H820" s="719">
        <v>100.86795277254559</v>
      </c>
      <c r="I820" s="719">
        <v>202.9264532978753</v>
      </c>
      <c r="J820" s="719">
        <v>189.66954825384448</v>
      </c>
      <c r="K820" s="719">
        <v>81.9290824654707</v>
      </c>
      <c r="L820" s="719">
        <v>277.61710302931868</v>
      </c>
      <c r="M820" s="719">
        <v>265.55126174741662</v>
      </c>
      <c r="N820" s="719">
        <v>137.45454852281497</v>
      </c>
      <c r="O820" s="719">
        <v>111.9789165623859</v>
      </c>
      <c r="P820" s="716">
        <v>170.53096955588128</v>
      </c>
      <c r="Q820" s="716">
        <v>172.11308200556667</v>
      </c>
      <c r="R820" s="716">
        <v>75.290938612078051</v>
      </c>
      <c r="S820" s="667">
        <v>210.45</v>
      </c>
      <c r="T820" s="667">
        <v>0</v>
      </c>
      <c r="U820" s="667">
        <v>0</v>
      </c>
      <c r="V820" s="667">
        <v>0</v>
      </c>
      <c r="W820" s="667">
        <v>163.38</v>
      </c>
      <c r="X820" s="667">
        <v>0</v>
      </c>
      <c r="Y820" s="667">
        <v>224.76</v>
      </c>
      <c r="Z820" s="667">
        <v>33.61</v>
      </c>
      <c r="AA820" s="667">
        <v>0</v>
      </c>
      <c r="AB820" s="667">
        <v>0</v>
      </c>
      <c r="AC820" s="665">
        <v>0</v>
      </c>
      <c r="AD820" s="665">
        <v>57.51</v>
      </c>
      <c r="AE820" s="667">
        <v>1401.77</v>
      </c>
      <c r="AF820" s="719">
        <v>192.96</v>
      </c>
      <c r="AG820" s="665">
        <v>0</v>
      </c>
      <c r="AH820" s="716"/>
      <c r="AI820" s="716"/>
      <c r="AJ820" s="716"/>
      <c r="AK820" s="716"/>
      <c r="AL820" s="716"/>
      <c r="AM820" s="716"/>
      <c r="AN820" s="716"/>
      <c r="AO820" s="716"/>
      <c r="AP820" s="716"/>
      <c r="AQ820" s="716"/>
      <c r="AR820" s="716"/>
      <c r="AS820" s="716"/>
      <c r="AT820" s="716"/>
      <c r="AU820" s="716"/>
      <c r="AV820" s="716"/>
      <c r="AW820" s="716"/>
      <c r="AX820" s="716"/>
      <c r="AY820" s="716"/>
      <c r="AZ820" s="716"/>
      <c r="BA820" s="716"/>
      <c r="BB820" s="716"/>
      <c r="BC820" s="716"/>
      <c r="BD820" s="716"/>
      <c r="BE820" s="716"/>
      <c r="BF820" s="716"/>
      <c r="BG820" s="716"/>
      <c r="BH820" s="716"/>
      <c r="BI820" s="716"/>
      <c r="BJ820" s="716"/>
      <c r="BK820" s="716"/>
      <c r="BL820" s="716"/>
      <c r="BM820" s="716"/>
      <c r="BN820" s="716"/>
      <c r="BO820" s="716"/>
      <c r="BP820" s="716"/>
      <c r="BQ820" s="716"/>
      <c r="BR820" s="716"/>
      <c r="BS820" s="716"/>
      <c r="BT820" s="716"/>
      <c r="BU820" s="716"/>
      <c r="BV820" s="716"/>
      <c r="BW820" s="716"/>
      <c r="BX820" s="716"/>
      <c r="BY820" s="716"/>
      <c r="BZ820" s="716"/>
      <c r="CA820" s="716"/>
    </row>
    <row r="821" spans="1:79" s="751" customFormat="1" hidden="1" outlineLevel="1" x14ac:dyDescent="0.25">
      <c r="A821" s="701"/>
      <c r="E821" s="570" t="s">
        <v>1345</v>
      </c>
      <c r="F821" s="701" t="s">
        <v>601</v>
      </c>
      <c r="G821" s="752"/>
      <c r="H821" s="752"/>
      <c r="I821" s="752"/>
      <c r="J821" s="752"/>
      <c r="K821" s="752"/>
      <c r="L821" s="752"/>
      <c r="M821" s="752"/>
      <c r="N821" s="752"/>
      <c r="O821" s="752"/>
      <c r="P821" s="753"/>
      <c r="Q821" s="753"/>
      <c r="R821" s="753"/>
      <c r="S821" s="697"/>
      <c r="T821" s="697"/>
      <c r="U821" s="697"/>
      <c r="V821" s="697"/>
      <c r="W821" s="697"/>
      <c r="X821" s="697"/>
      <c r="Y821" s="697"/>
      <c r="Z821" s="697"/>
      <c r="AA821" s="697"/>
      <c r="AB821" s="697"/>
      <c r="AC821" s="711"/>
      <c r="AD821" s="711"/>
      <c r="AE821" s="697"/>
      <c r="AF821" s="752"/>
      <c r="AG821" s="711"/>
      <c r="AH821" s="753"/>
      <c r="AI821" s="753"/>
      <c r="AJ821" s="753"/>
      <c r="AK821" s="753"/>
      <c r="AL821" s="753"/>
      <c r="AM821" s="753"/>
      <c r="AN821" s="753"/>
      <c r="AO821" s="753"/>
      <c r="AP821" s="753"/>
      <c r="AQ821" s="753"/>
      <c r="AR821" s="753"/>
      <c r="AS821" s="753"/>
      <c r="AT821" s="753"/>
      <c r="AU821" s="753"/>
      <c r="AV821" s="753"/>
      <c r="AW821" s="753"/>
      <c r="AX821" s="753"/>
      <c r="AY821" s="753"/>
      <c r="AZ821" s="753"/>
      <c r="BA821" s="753"/>
      <c r="BB821" s="753"/>
      <c r="BC821" s="753"/>
      <c r="BD821" s="753"/>
      <c r="BE821" s="753"/>
      <c r="BF821" s="753"/>
      <c r="BG821" s="753"/>
      <c r="BH821" s="753"/>
      <c r="BI821" s="753"/>
      <c r="BJ821" s="753"/>
      <c r="BK821" s="753"/>
      <c r="BL821" s="753"/>
      <c r="BM821" s="753"/>
      <c r="BN821" s="753"/>
      <c r="BO821" s="753"/>
      <c r="BP821" s="753"/>
      <c r="BQ821" s="753"/>
      <c r="BR821" s="753"/>
      <c r="BS821" s="753"/>
      <c r="BT821" s="753"/>
      <c r="BU821" s="753"/>
      <c r="BV821" s="753"/>
      <c r="BW821" s="753"/>
      <c r="BX821" s="753"/>
      <c r="BY821" s="753"/>
      <c r="BZ821" s="753"/>
      <c r="CA821" s="753"/>
    </row>
    <row r="822" spans="1:79" s="743" customFormat="1" hidden="1" outlineLevel="1" x14ac:dyDescent="0.25">
      <c r="A822" s="656"/>
      <c r="B822" s="502"/>
      <c r="C822" s="502"/>
      <c r="D822" s="502"/>
      <c r="E822" s="570" t="s">
        <v>1327</v>
      </c>
      <c r="F822" s="656" t="s">
        <v>895</v>
      </c>
      <c r="G822" s="724"/>
      <c r="H822" s="724"/>
      <c r="I822" s="724"/>
      <c r="J822" s="724"/>
      <c r="K822" s="724"/>
      <c r="L822" s="724"/>
      <c r="M822" s="724"/>
      <c r="N822" s="724"/>
      <c r="O822" s="724"/>
      <c r="P822" s="725"/>
      <c r="Q822" s="725"/>
      <c r="R822" s="725"/>
      <c r="S822" s="671"/>
      <c r="T822" s="671"/>
      <c r="U822" s="671"/>
      <c r="V822" s="671"/>
      <c r="W822" s="671"/>
      <c r="X822" s="671"/>
      <c r="Y822" s="671"/>
      <c r="Z822" s="671"/>
      <c r="AA822" s="671"/>
      <c r="AB822" s="671"/>
      <c r="AC822" s="689"/>
      <c r="AD822" s="689"/>
      <c r="AE822" s="671"/>
      <c r="AF822" s="724"/>
      <c r="AG822" s="689"/>
      <c r="AH822" s="725"/>
      <c r="AI822" s="725"/>
      <c r="AJ822" s="725"/>
      <c r="AK822" s="725"/>
      <c r="AL822" s="725"/>
      <c r="AM822" s="725"/>
      <c r="AN822" s="725"/>
      <c r="AO822" s="725"/>
      <c r="AP822" s="725"/>
      <c r="AQ822" s="725"/>
      <c r="AR822" s="725"/>
      <c r="AS822" s="725"/>
      <c r="AT822" s="725"/>
      <c r="AU822" s="725"/>
      <c r="AV822" s="725"/>
      <c r="AW822" s="725"/>
      <c r="AX822" s="725"/>
      <c r="AY822" s="725"/>
      <c r="AZ822" s="725"/>
      <c r="BA822" s="725"/>
      <c r="BB822" s="725"/>
      <c r="BC822" s="725"/>
      <c r="BD822" s="725"/>
      <c r="BE822" s="725"/>
      <c r="BF822" s="725"/>
      <c r="BG822" s="725"/>
      <c r="BH822" s="725"/>
      <c r="BI822" s="725"/>
      <c r="BJ822" s="725"/>
      <c r="BK822" s="725"/>
      <c r="BL822" s="725"/>
      <c r="BM822" s="725"/>
      <c r="BN822" s="725"/>
      <c r="BO822" s="725"/>
      <c r="BP822" s="725"/>
      <c r="BQ822" s="725"/>
      <c r="BR822" s="725"/>
      <c r="BS822" s="725"/>
      <c r="BT822" s="725"/>
      <c r="BU822" s="725"/>
      <c r="BV822" s="725"/>
      <c r="BW822" s="725"/>
      <c r="BX822" s="725"/>
      <c r="BY822" s="725"/>
      <c r="BZ822" s="725"/>
      <c r="CA822" s="725"/>
    </row>
    <row r="823" spans="1:79" s="743" customFormat="1" hidden="1" outlineLevel="1" x14ac:dyDescent="0.25">
      <c r="A823" s="661"/>
      <c r="B823" s="502"/>
      <c r="C823" s="502"/>
      <c r="D823" s="502"/>
      <c r="E823" s="570" t="s">
        <v>1327</v>
      </c>
      <c r="F823" s="661" t="s">
        <v>906</v>
      </c>
      <c r="G823" s="724"/>
      <c r="H823" s="724"/>
      <c r="I823" s="724"/>
      <c r="J823" s="724"/>
      <c r="K823" s="724"/>
      <c r="L823" s="724"/>
      <c r="M823" s="724"/>
      <c r="N823" s="724"/>
      <c r="O823" s="724"/>
      <c r="P823" s="725"/>
      <c r="Q823" s="725"/>
      <c r="R823" s="725"/>
      <c r="S823" s="671"/>
      <c r="T823" s="671"/>
      <c r="U823" s="671"/>
      <c r="V823" s="671"/>
      <c r="W823" s="671"/>
      <c r="X823" s="671"/>
      <c r="Y823" s="671"/>
      <c r="Z823" s="671"/>
      <c r="AA823" s="671"/>
      <c r="AB823" s="671"/>
      <c r="AC823" s="689"/>
      <c r="AD823" s="689"/>
      <c r="AE823" s="671">
        <v>0</v>
      </c>
      <c r="AF823" s="724">
        <v>0</v>
      </c>
      <c r="AG823" s="689">
        <v>0</v>
      </c>
      <c r="AH823" s="725"/>
      <c r="AI823" s="725"/>
      <c r="AJ823" s="725"/>
      <c r="AK823" s="725"/>
      <c r="AL823" s="725"/>
      <c r="AM823" s="725"/>
      <c r="AN823" s="725"/>
      <c r="AO823" s="725"/>
      <c r="AP823" s="725"/>
      <c r="AQ823" s="725"/>
      <c r="AR823" s="725"/>
      <c r="AS823" s="725"/>
      <c r="AT823" s="725"/>
      <c r="AU823" s="725"/>
      <c r="AV823" s="725"/>
      <c r="AW823" s="725"/>
      <c r="AX823" s="725"/>
      <c r="AY823" s="725"/>
      <c r="AZ823" s="725"/>
      <c r="BA823" s="725"/>
      <c r="BB823" s="725"/>
      <c r="BC823" s="725"/>
      <c r="BD823" s="725"/>
      <c r="BE823" s="725"/>
      <c r="BF823" s="725"/>
      <c r="BG823" s="725"/>
      <c r="BH823" s="725"/>
      <c r="BI823" s="725"/>
      <c r="BJ823" s="725"/>
      <c r="BK823" s="725"/>
      <c r="BL823" s="725"/>
      <c r="BM823" s="725"/>
      <c r="BN823" s="725"/>
      <c r="BO823" s="725"/>
      <c r="BP823" s="725"/>
      <c r="BQ823" s="725"/>
      <c r="BR823" s="725"/>
      <c r="BS823" s="725"/>
      <c r="BT823" s="725"/>
      <c r="BU823" s="725"/>
      <c r="BV823" s="725"/>
      <c r="BW823" s="725"/>
      <c r="BX823" s="725"/>
      <c r="BY823" s="725"/>
      <c r="BZ823" s="725"/>
      <c r="CA823" s="725"/>
    </row>
    <row r="824" spans="1:79" s="743" customFormat="1" hidden="1" outlineLevel="1" x14ac:dyDescent="0.25">
      <c r="A824" s="661"/>
      <c r="B824" s="502"/>
      <c r="C824" s="502"/>
      <c r="D824" s="502"/>
      <c r="E824" s="570" t="s">
        <v>657</v>
      </c>
      <c r="F824" s="661" t="s">
        <v>641</v>
      </c>
      <c r="G824" s="724"/>
      <c r="H824" s="724"/>
      <c r="I824" s="724"/>
      <c r="J824" s="724"/>
      <c r="K824" s="724"/>
      <c r="L824" s="724"/>
      <c r="M824" s="724"/>
      <c r="N824" s="724"/>
      <c r="O824" s="724"/>
      <c r="P824" s="725"/>
      <c r="Q824" s="725"/>
      <c r="R824" s="725"/>
      <c r="S824" s="671"/>
      <c r="T824" s="671"/>
      <c r="U824" s="671"/>
      <c r="V824" s="671"/>
      <c r="W824" s="671"/>
      <c r="X824" s="671"/>
      <c r="Y824" s="671"/>
      <c r="Z824" s="671"/>
      <c r="AA824" s="671"/>
      <c r="AB824" s="671"/>
      <c r="AC824" s="689"/>
      <c r="AD824" s="689"/>
      <c r="AE824" s="671">
        <v>5541.45</v>
      </c>
      <c r="AF824" s="724">
        <v>6148.55</v>
      </c>
      <c r="AG824" s="689">
        <v>6150.68</v>
      </c>
      <c r="AH824" s="725"/>
      <c r="AI824" s="725"/>
      <c r="AJ824" s="725"/>
      <c r="AK824" s="725"/>
      <c r="AL824" s="725"/>
      <c r="AM824" s="725"/>
      <c r="AN824" s="725"/>
      <c r="AO824" s="725"/>
      <c r="AP824" s="725"/>
      <c r="AQ824" s="725"/>
      <c r="AR824" s="725"/>
      <c r="AS824" s="725"/>
      <c r="AT824" s="725"/>
      <c r="AU824" s="725"/>
      <c r="AV824" s="725"/>
      <c r="AW824" s="725"/>
      <c r="AX824" s="725"/>
      <c r="AY824" s="725"/>
      <c r="AZ824" s="725"/>
      <c r="BA824" s="725"/>
      <c r="BB824" s="725"/>
      <c r="BC824" s="725"/>
      <c r="BD824" s="725"/>
      <c r="BE824" s="725"/>
      <c r="BF824" s="725"/>
      <c r="BG824" s="725"/>
      <c r="BH824" s="725"/>
      <c r="BI824" s="725"/>
      <c r="BJ824" s="725"/>
      <c r="BK824" s="725"/>
      <c r="BL824" s="725"/>
      <c r="BM824" s="725"/>
      <c r="BN824" s="725"/>
      <c r="BO824" s="725"/>
      <c r="BP824" s="725"/>
      <c r="BQ824" s="725"/>
      <c r="BR824" s="725"/>
      <c r="BS824" s="725"/>
      <c r="BT824" s="725"/>
      <c r="BU824" s="725"/>
      <c r="BV824" s="725"/>
      <c r="BW824" s="725"/>
      <c r="BX824" s="725"/>
      <c r="BY824" s="725"/>
      <c r="BZ824" s="725"/>
      <c r="CA824" s="725"/>
    </row>
    <row r="825" spans="1:79" s="743" customFormat="1" hidden="1" outlineLevel="1" x14ac:dyDescent="0.25">
      <c r="A825" s="661"/>
      <c r="B825" s="502"/>
      <c r="C825" s="502"/>
      <c r="D825" s="502"/>
      <c r="E825" s="570" t="s">
        <v>657</v>
      </c>
      <c r="F825" s="661" t="s">
        <v>1322</v>
      </c>
      <c r="G825" s="724"/>
      <c r="H825" s="724"/>
      <c r="I825" s="724"/>
      <c r="J825" s="724"/>
      <c r="K825" s="724"/>
      <c r="L825" s="724"/>
      <c r="M825" s="724"/>
      <c r="N825" s="724"/>
      <c r="O825" s="724"/>
      <c r="P825" s="725"/>
      <c r="Q825" s="725"/>
      <c r="R825" s="725"/>
      <c r="S825" s="671"/>
      <c r="T825" s="671"/>
      <c r="U825" s="671"/>
      <c r="V825" s="671"/>
      <c r="W825" s="671"/>
      <c r="X825" s="671"/>
      <c r="Y825" s="671"/>
      <c r="Z825" s="671"/>
      <c r="AA825" s="671"/>
      <c r="AB825" s="671"/>
      <c r="AC825" s="689"/>
      <c r="AD825" s="689"/>
      <c r="AE825" s="671">
        <v>317.35000000000002</v>
      </c>
      <c r="AF825" s="724">
        <v>231.5</v>
      </c>
      <c r="AG825" s="689">
        <v>398.81</v>
      </c>
      <c r="AH825" s="725"/>
      <c r="AI825" s="725"/>
      <c r="AJ825" s="725"/>
      <c r="AK825" s="725"/>
      <c r="AL825" s="725"/>
      <c r="AM825" s="725"/>
      <c r="AN825" s="725"/>
      <c r="AO825" s="725"/>
      <c r="AP825" s="725"/>
      <c r="AQ825" s="725"/>
      <c r="AR825" s="725"/>
      <c r="AS825" s="725"/>
      <c r="AT825" s="725"/>
      <c r="AU825" s="725"/>
      <c r="AV825" s="725"/>
      <c r="AW825" s="725"/>
      <c r="AX825" s="725"/>
      <c r="AY825" s="725"/>
      <c r="AZ825" s="725"/>
      <c r="BA825" s="725"/>
      <c r="BB825" s="725"/>
      <c r="BC825" s="725"/>
      <c r="BD825" s="725"/>
      <c r="BE825" s="725"/>
      <c r="BF825" s="725"/>
      <c r="BG825" s="725"/>
      <c r="BH825" s="725"/>
      <c r="BI825" s="725"/>
      <c r="BJ825" s="725"/>
      <c r="BK825" s="725"/>
      <c r="BL825" s="725"/>
      <c r="BM825" s="725"/>
      <c r="BN825" s="725"/>
      <c r="BO825" s="725"/>
      <c r="BP825" s="725"/>
      <c r="BQ825" s="725"/>
      <c r="BR825" s="725"/>
      <c r="BS825" s="725"/>
      <c r="BT825" s="725"/>
      <c r="BU825" s="725"/>
      <c r="BV825" s="725"/>
      <c r="BW825" s="725"/>
      <c r="BX825" s="725"/>
      <c r="BY825" s="725"/>
      <c r="BZ825" s="725"/>
      <c r="CA825" s="725"/>
    </row>
    <row r="826" spans="1:79" s="743" customFormat="1" hidden="1" outlineLevel="1" x14ac:dyDescent="0.25">
      <c r="A826" s="661"/>
      <c r="B826" s="502"/>
      <c r="C826" s="502"/>
      <c r="D826" s="502"/>
      <c r="E826" s="570" t="s">
        <v>1327</v>
      </c>
      <c r="F826" s="661" t="s">
        <v>896</v>
      </c>
      <c r="G826" s="724"/>
      <c r="H826" s="724"/>
      <c r="I826" s="724"/>
      <c r="J826" s="724"/>
      <c r="K826" s="724"/>
      <c r="L826" s="724"/>
      <c r="M826" s="724"/>
      <c r="N826" s="724"/>
      <c r="O826" s="724"/>
      <c r="P826" s="725"/>
      <c r="Q826" s="725"/>
      <c r="R826" s="725"/>
      <c r="S826" s="671">
        <v>0</v>
      </c>
      <c r="T826" s="671">
        <v>0</v>
      </c>
      <c r="U826" s="671">
        <v>0</v>
      </c>
      <c r="V826" s="671">
        <v>0</v>
      </c>
      <c r="W826" s="671">
        <v>0</v>
      </c>
      <c r="X826" s="671">
        <v>0</v>
      </c>
      <c r="Y826" s="671">
        <v>0</v>
      </c>
      <c r="Z826" s="671">
        <v>0</v>
      </c>
      <c r="AA826" s="671">
        <v>0</v>
      </c>
      <c r="AB826" s="671">
        <v>0</v>
      </c>
      <c r="AC826" s="689">
        <v>2124.66</v>
      </c>
      <c r="AD826" s="689">
        <v>0</v>
      </c>
      <c r="AE826" s="671">
        <v>70</v>
      </c>
      <c r="AF826" s="724">
        <v>0</v>
      </c>
      <c r="AG826" s="689">
        <v>36.04</v>
      </c>
      <c r="AH826" s="725"/>
      <c r="AI826" s="725"/>
      <c r="AJ826" s="725"/>
      <c r="AK826" s="725"/>
      <c r="AL826" s="725"/>
      <c r="AM826" s="725"/>
      <c r="AN826" s="725"/>
      <c r="AO826" s="725"/>
      <c r="AP826" s="725"/>
      <c r="AQ826" s="725"/>
      <c r="AR826" s="725"/>
      <c r="AS826" s="725"/>
      <c r="AT826" s="725"/>
      <c r="AU826" s="725"/>
      <c r="AV826" s="725"/>
      <c r="AW826" s="725"/>
      <c r="AX826" s="725"/>
      <c r="AY826" s="725"/>
      <c r="AZ826" s="725"/>
      <c r="BA826" s="725"/>
      <c r="BB826" s="725"/>
      <c r="BC826" s="725"/>
      <c r="BD826" s="725"/>
      <c r="BE826" s="725"/>
      <c r="BF826" s="725"/>
      <c r="BG826" s="725"/>
      <c r="BH826" s="725"/>
      <c r="BI826" s="725"/>
      <c r="BJ826" s="725"/>
      <c r="BK826" s="725"/>
      <c r="BL826" s="725"/>
      <c r="BM826" s="725"/>
      <c r="BN826" s="725"/>
      <c r="BO826" s="725"/>
      <c r="BP826" s="725"/>
      <c r="BQ826" s="725"/>
      <c r="BR826" s="725"/>
      <c r="BS826" s="725"/>
      <c r="BT826" s="725"/>
      <c r="BU826" s="725"/>
      <c r="BV826" s="725"/>
      <c r="BW826" s="725"/>
      <c r="BX826" s="725"/>
      <c r="BY826" s="725"/>
      <c r="BZ826" s="725"/>
      <c r="CA826" s="725"/>
    </row>
    <row r="827" spans="1:79" s="743" customFormat="1" hidden="1" outlineLevel="1" x14ac:dyDescent="0.25">
      <c r="A827" s="661"/>
      <c r="B827" s="502"/>
      <c r="C827" s="502"/>
      <c r="D827" s="502"/>
      <c r="E827" s="570" t="s">
        <v>1327</v>
      </c>
      <c r="F827" s="661" t="s">
        <v>897</v>
      </c>
      <c r="G827" s="724"/>
      <c r="H827" s="724"/>
      <c r="I827" s="724"/>
      <c r="J827" s="724"/>
      <c r="K827" s="724"/>
      <c r="L827" s="724"/>
      <c r="M827" s="724"/>
      <c r="N827" s="724"/>
      <c r="O827" s="724"/>
      <c r="P827" s="725"/>
      <c r="Q827" s="725"/>
      <c r="R827" s="725"/>
      <c r="S827" s="671">
        <v>0</v>
      </c>
      <c r="T827" s="671">
        <v>0</v>
      </c>
      <c r="U827" s="671">
        <v>0</v>
      </c>
      <c r="V827" s="671">
        <v>0</v>
      </c>
      <c r="W827" s="671">
        <v>0</v>
      </c>
      <c r="X827" s="671">
        <v>0</v>
      </c>
      <c r="Y827" s="671">
        <v>0</v>
      </c>
      <c r="Z827" s="671">
        <v>0</v>
      </c>
      <c r="AA827" s="671">
        <v>0</v>
      </c>
      <c r="AB827" s="671">
        <v>0</v>
      </c>
      <c r="AC827" s="689">
        <v>0</v>
      </c>
      <c r="AD827" s="689">
        <v>0</v>
      </c>
      <c r="AE827" s="671">
        <v>0</v>
      </c>
      <c r="AF827" s="724">
        <v>0</v>
      </c>
      <c r="AG827" s="689">
        <v>0</v>
      </c>
      <c r="AH827" s="725"/>
      <c r="AI827" s="725"/>
      <c r="AJ827" s="725"/>
      <c r="AK827" s="725"/>
      <c r="AL827" s="725"/>
      <c r="AM827" s="725"/>
      <c r="AN827" s="725"/>
      <c r="AO827" s="725"/>
      <c r="AP827" s="725"/>
      <c r="AQ827" s="725"/>
      <c r="AR827" s="725"/>
      <c r="AS827" s="725"/>
      <c r="AT827" s="725"/>
      <c r="AU827" s="725"/>
      <c r="AV827" s="725"/>
      <c r="AW827" s="725"/>
      <c r="AX827" s="725"/>
      <c r="AY827" s="725"/>
      <c r="AZ827" s="725"/>
      <c r="BA827" s="725"/>
      <c r="BB827" s="725"/>
      <c r="BC827" s="725"/>
      <c r="BD827" s="725"/>
      <c r="BE827" s="725"/>
      <c r="BF827" s="725"/>
      <c r="BG827" s="725"/>
      <c r="BH827" s="725"/>
      <c r="BI827" s="725"/>
      <c r="BJ827" s="725"/>
      <c r="BK827" s="725"/>
      <c r="BL827" s="725"/>
      <c r="BM827" s="725"/>
      <c r="BN827" s="725"/>
      <c r="BO827" s="725"/>
      <c r="BP827" s="725"/>
      <c r="BQ827" s="725"/>
      <c r="BR827" s="725"/>
      <c r="BS827" s="725"/>
      <c r="BT827" s="725"/>
      <c r="BU827" s="725"/>
      <c r="BV827" s="725"/>
      <c r="BW827" s="725"/>
      <c r="BX827" s="725"/>
      <c r="BY827" s="725"/>
      <c r="BZ827" s="725"/>
      <c r="CA827" s="725"/>
    </row>
    <row r="828" spans="1:79" s="743" customFormat="1" hidden="1" outlineLevel="1" x14ac:dyDescent="0.25">
      <c r="A828" s="661"/>
      <c r="B828" s="502"/>
      <c r="C828" s="502"/>
      <c r="D828" s="502"/>
      <c r="E828" s="570" t="s">
        <v>657</v>
      </c>
      <c r="F828" s="661" t="s">
        <v>898</v>
      </c>
      <c r="G828" s="724"/>
      <c r="H828" s="724"/>
      <c r="I828" s="724"/>
      <c r="J828" s="724"/>
      <c r="K828" s="724"/>
      <c r="L828" s="724"/>
      <c r="M828" s="724"/>
      <c r="N828" s="724"/>
      <c r="O828" s="724"/>
      <c r="P828" s="725"/>
      <c r="Q828" s="725"/>
      <c r="R828" s="725"/>
      <c r="S828" s="671">
        <v>0</v>
      </c>
      <c r="T828" s="671">
        <v>0</v>
      </c>
      <c r="U828" s="671">
        <v>0</v>
      </c>
      <c r="V828" s="671">
        <v>0</v>
      </c>
      <c r="W828" s="671">
        <v>0</v>
      </c>
      <c r="X828" s="671">
        <v>0</v>
      </c>
      <c r="Y828" s="671">
        <v>0</v>
      </c>
      <c r="Z828" s="671">
        <v>0</v>
      </c>
      <c r="AA828" s="671">
        <v>0</v>
      </c>
      <c r="AB828" s="671">
        <v>0</v>
      </c>
      <c r="AC828" s="689">
        <v>0</v>
      </c>
      <c r="AD828" s="689">
        <v>3358.86</v>
      </c>
      <c r="AE828" s="671"/>
      <c r="AF828" s="724"/>
      <c r="AG828" s="689"/>
      <c r="AH828" s="725"/>
      <c r="AI828" s="725"/>
      <c r="AJ828" s="725"/>
      <c r="AK828" s="725"/>
      <c r="AL828" s="725"/>
      <c r="AM828" s="725"/>
      <c r="AN828" s="725"/>
      <c r="AO828" s="725"/>
      <c r="AP828" s="725"/>
      <c r="AQ828" s="725"/>
      <c r="AR828" s="725"/>
      <c r="AS828" s="725"/>
      <c r="AT828" s="725"/>
      <c r="AU828" s="725"/>
      <c r="AV828" s="725"/>
      <c r="AW828" s="725"/>
      <c r="AX828" s="725"/>
      <c r="AY828" s="725"/>
      <c r="AZ828" s="725"/>
      <c r="BA828" s="725"/>
      <c r="BB828" s="725"/>
      <c r="BC828" s="725"/>
      <c r="BD828" s="725"/>
      <c r="BE828" s="725"/>
      <c r="BF828" s="725"/>
      <c r="BG828" s="725"/>
      <c r="BH828" s="725"/>
      <c r="BI828" s="725"/>
      <c r="BJ828" s="725"/>
      <c r="BK828" s="725"/>
      <c r="BL828" s="725"/>
      <c r="BM828" s="725"/>
      <c r="BN828" s="725"/>
      <c r="BO828" s="725"/>
      <c r="BP828" s="725"/>
      <c r="BQ828" s="725"/>
      <c r="BR828" s="725"/>
      <c r="BS828" s="725"/>
      <c r="BT828" s="725"/>
      <c r="BU828" s="725"/>
      <c r="BV828" s="725"/>
      <c r="BW828" s="725"/>
      <c r="BX828" s="725"/>
      <c r="BY828" s="725"/>
      <c r="BZ828" s="725"/>
      <c r="CA828" s="725"/>
    </row>
    <row r="829" spans="1:79" s="743" customFormat="1" hidden="1" outlineLevel="1" x14ac:dyDescent="0.25">
      <c r="A829" s="661"/>
      <c r="B829" s="502"/>
      <c r="C829" s="502"/>
      <c r="D829" s="502"/>
      <c r="E829" s="570" t="s">
        <v>1327</v>
      </c>
      <c r="F829" s="661" t="s">
        <v>899</v>
      </c>
      <c r="G829" s="724"/>
      <c r="H829" s="724"/>
      <c r="I829" s="724"/>
      <c r="J829" s="724"/>
      <c r="K829" s="724"/>
      <c r="L829" s="724"/>
      <c r="M829" s="724"/>
      <c r="N829" s="724"/>
      <c r="O829" s="724"/>
      <c r="P829" s="725"/>
      <c r="Q829" s="725"/>
      <c r="R829" s="725"/>
      <c r="S829" s="671">
        <v>0</v>
      </c>
      <c r="T829" s="671">
        <v>0</v>
      </c>
      <c r="U829" s="671">
        <v>0</v>
      </c>
      <c r="V829" s="671">
        <v>0</v>
      </c>
      <c r="W829" s="671">
        <v>0</v>
      </c>
      <c r="X829" s="671">
        <v>0</v>
      </c>
      <c r="Y829" s="671">
        <v>0</v>
      </c>
      <c r="Z829" s="671">
        <v>0</v>
      </c>
      <c r="AA829" s="671">
        <v>0</v>
      </c>
      <c r="AB829" s="671">
        <v>0</v>
      </c>
      <c r="AC829" s="689">
        <v>0</v>
      </c>
      <c r="AD829" s="689">
        <v>0</v>
      </c>
      <c r="AE829" s="671">
        <v>0</v>
      </c>
      <c r="AF829" s="724">
        <v>0</v>
      </c>
      <c r="AG829" s="689">
        <v>0</v>
      </c>
      <c r="AH829" s="725"/>
      <c r="AI829" s="725"/>
      <c r="AJ829" s="725"/>
      <c r="AK829" s="725"/>
      <c r="AL829" s="725"/>
      <c r="AM829" s="725"/>
      <c r="AN829" s="725"/>
      <c r="AO829" s="725"/>
      <c r="AP829" s="725"/>
      <c r="AQ829" s="725"/>
      <c r="AR829" s="725"/>
      <c r="AS829" s="725"/>
      <c r="AT829" s="725"/>
      <c r="AU829" s="725"/>
      <c r="AV829" s="725"/>
      <c r="AW829" s="725"/>
      <c r="AX829" s="725"/>
      <c r="AY829" s="725"/>
      <c r="AZ829" s="725"/>
      <c r="BA829" s="725"/>
      <c r="BB829" s="725"/>
      <c r="BC829" s="725"/>
      <c r="BD829" s="725"/>
      <c r="BE829" s="725"/>
      <c r="BF829" s="725"/>
      <c r="BG829" s="725"/>
      <c r="BH829" s="725"/>
      <c r="BI829" s="725"/>
      <c r="BJ829" s="725"/>
      <c r="BK829" s="725"/>
      <c r="BL829" s="725"/>
      <c r="BM829" s="725"/>
      <c r="BN829" s="725"/>
      <c r="BO829" s="725"/>
      <c r="BP829" s="725"/>
      <c r="BQ829" s="725"/>
      <c r="BR829" s="725"/>
      <c r="BS829" s="725"/>
      <c r="BT829" s="725"/>
      <c r="BU829" s="725"/>
      <c r="BV829" s="725"/>
      <c r="BW829" s="725"/>
      <c r="BX829" s="725"/>
      <c r="BY829" s="725"/>
      <c r="BZ829" s="725"/>
      <c r="CA829" s="725"/>
    </row>
    <row r="830" spans="1:79" s="743" customFormat="1" hidden="1" outlineLevel="1" x14ac:dyDescent="0.25">
      <c r="A830" s="661"/>
      <c r="B830" s="502"/>
      <c r="C830" s="502"/>
      <c r="D830" s="502"/>
      <c r="E830" s="570" t="s">
        <v>1327</v>
      </c>
      <c r="F830" s="661" t="s">
        <v>900</v>
      </c>
      <c r="G830" s="724"/>
      <c r="H830" s="724"/>
      <c r="I830" s="724"/>
      <c r="J830" s="724"/>
      <c r="K830" s="724"/>
      <c r="L830" s="724"/>
      <c r="M830" s="724"/>
      <c r="N830" s="724"/>
      <c r="O830" s="724"/>
      <c r="P830" s="725"/>
      <c r="Q830" s="725"/>
      <c r="R830" s="725"/>
      <c r="S830" s="671">
        <v>0</v>
      </c>
      <c r="T830" s="671">
        <v>0</v>
      </c>
      <c r="U830" s="671">
        <v>0</v>
      </c>
      <c r="V830" s="671">
        <v>0</v>
      </c>
      <c r="W830" s="671">
        <v>0</v>
      </c>
      <c r="X830" s="671">
        <v>0</v>
      </c>
      <c r="Y830" s="671">
        <v>0</v>
      </c>
      <c r="Z830" s="671">
        <v>0</v>
      </c>
      <c r="AA830" s="671">
        <v>0</v>
      </c>
      <c r="AB830" s="671">
        <v>0</v>
      </c>
      <c r="AC830" s="689">
        <v>0</v>
      </c>
      <c r="AD830" s="689">
        <v>0</v>
      </c>
      <c r="AE830" s="671">
        <v>0</v>
      </c>
      <c r="AF830" s="724">
        <v>0</v>
      </c>
      <c r="AG830" s="689">
        <v>-127.86</v>
      </c>
      <c r="AH830" s="725"/>
      <c r="AI830" s="725"/>
      <c r="AJ830" s="725"/>
      <c r="AK830" s="725"/>
      <c r="AL830" s="725"/>
      <c r="AM830" s="725"/>
      <c r="AN830" s="725"/>
      <c r="AO830" s="725"/>
      <c r="AP830" s="725"/>
      <c r="AQ830" s="725"/>
      <c r="AR830" s="725"/>
      <c r="AS830" s="725"/>
      <c r="AT830" s="725"/>
      <c r="AU830" s="725"/>
      <c r="AV830" s="725"/>
      <c r="AW830" s="725"/>
      <c r="AX830" s="725"/>
      <c r="AY830" s="725"/>
      <c r="AZ830" s="725"/>
      <c r="BA830" s="725"/>
      <c r="BB830" s="725"/>
      <c r="BC830" s="725"/>
      <c r="BD830" s="725"/>
      <c r="BE830" s="725"/>
      <c r="BF830" s="725"/>
      <c r="BG830" s="725"/>
      <c r="BH830" s="725"/>
      <c r="BI830" s="725"/>
      <c r="BJ830" s="725"/>
      <c r="BK830" s="725"/>
      <c r="BL830" s="725"/>
      <c r="BM830" s="725"/>
      <c r="BN830" s="725"/>
      <c r="BO830" s="725"/>
      <c r="BP830" s="725"/>
      <c r="BQ830" s="725"/>
      <c r="BR830" s="725"/>
      <c r="BS830" s="725"/>
      <c r="BT830" s="725"/>
      <c r="BU830" s="725"/>
      <c r="BV830" s="725"/>
      <c r="BW830" s="725"/>
      <c r="BX830" s="725"/>
      <c r="BY830" s="725"/>
      <c r="BZ830" s="725"/>
      <c r="CA830" s="725"/>
    </row>
    <row r="831" spans="1:79" s="743" customFormat="1" hidden="1" outlineLevel="1" x14ac:dyDescent="0.25">
      <c r="A831" s="657"/>
      <c r="B831" s="502"/>
      <c r="C831" s="502"/>
      <c r="D831" s="502"/>
      <c r="E831" s="570" t="s">
        <v>49</v>
      </c>
      <c r="F831" s="657" t="s">
        <v>901</v>
      </c>
      <c r="G831" s="664">
        <f t="shared" ref="G831:R831" si="344">SUM(G822:G830)</f>
        <v>0</v>
      </c>
      <c r="H831" s="664">
        <f t="shared" si="344"/>
        <v>0</v>
      </c>
      <c r="I831" s="664">
        <f t="shared" si="344"/>
        <v>0</v>
      </c>
      <c r="J831" s="664">
        <f t="shared" si="344"/>
        <v>0</v>
      </c>
      <c r="K831" s="664">
        <f t="shared" si="344"/>
        <v>0</v>
      </c>
      <c r="L831" s="664">
        <f t="shared" si="344"/>
        <v>0</v>
      </c>
      <c r="M831" s="664">
        <f t="shared" si="344"/>
        <v>0</v>
      </c>
      <c r="N831" s="664">
        <f t="shared" si="344"/>
        <v>0</v>
      </c>
      <c r="O831" s="664">
        <f t="shared" si="344"/>
        <v>0</v>
      </c>
      <c r="P831" s="664">
        <f t="shared" si="344"/>
        <v>0</v>
      </c>
      <c r="Q831" s="664">
        <f t="shared" si="344"/>
        <v>0</v>
      </c>
      <c r="R831" s="664">
        <f t="shared" si="344"/>
        <v>0</v>
      </c>
      <c r="S831" s="679">
        <f t="shared" ref="S831:AB831" si="345">ROUND(SUM(S822:S830),5)</f>
        <v>0</v>
      </c>
      <c r="T831" s="679">
        <f t="shared" si="345"/>
        <v>0</v>
      </c>
      <c r="U831" s="679">
        <f t="shared" si="345"/>
        <v>0</v>
      </c>
      <c r="V831" s="679">
        <f t="shared" si="345"/>
        <v>0</v>
      </c>
      <c r="W831" s="679">
        <f t="shared" si="345"/>
        <v>0</v>
      </c>
      <c r="X831" s="679">
        <f t="shared" si="345"/>
        <v>0</v>
      </c>
      <c r="Y831" s="679">
        <f t="shared" si="345"/>
        <v>0</v>
      </c>
      <c r="Z831" s="679">
        <f t="shared" si="345"/>
        <v>0</v>
      </c>
      <c r="AA831" s="679">
        <f t="shared" si="345"/>
        <v>0</v>
      </c>
      <c r="AB831" s="679">
        <f t="shared" si="345"/>
        <v>0</v>
      </c>
      <c r="AC831" s="679">
        <f>ROUND(SUM(AC822:AC830),5)</f>
        <v>2124.66</v>
      </c>
      <c r="AD831" s="679">
        <f>ROUND(SUM(AD822:AD830),5)</f>
        <v>3358.86</v>
      </c>
      <c r="AE831" s="679">
        <f>ROUND(SUM(AE822:AE830),5)</f>
        <v>5928.8</v>
      </c>
      <c r="AF831" s="664">
        <f>ROUND(SUM(AF822:AF830),5)</f>
        <v>6380.05</v>
      </c>
      <c r="AG831" s="679">
        <f>ROUND(SUM(AG822:AG830),5)</f>
        <v>6457.67</v>
      </c>
      <c r="AH831" s="664">
        <f t="shared" ref="AH831:BJ831" si="346">SUM(AH822:AH830)</f>
        <v>0</v>
      </c>
      <c r="AI831" s="664">
        <f t="shared" si="346"/>
        <v>0</v>
      </c>
      <c r="AJ831" s="664">
        <f t="shared" si="346"/>
        <v>0</v>
      </c>
      <c r="AK831" s="664">
        <f t="shared" si="346"/>
        <v>0</v>
      </c>
      <c r="AL831" s="664">
        <f t="shared" si="346"/>
        <v>0</v>
      </c>
      <c r="AM831" s="664">
        <f t="shared" si="346"/>
        <v>0</v>
      </c>
      <c r="AN831" s="664">
        <f t="shared" si="346"/>
        <v>0</v>
      </c>
      <c r="AO831" s="664">
        <f t="shared" si="346"/>
        <v>0</v>
      </c>
      <c r="AP831" s="664">
        <f t="shared" si="346"/>
        <v>0</v>
      </c>
      <c r="AQ831" s="664">
        <f t="shared" si="346"/>
        <v>0</v>
      </c>
      <c r="AR831" s="664">
        <f t="shared" si="346"/>
        <v>0</v>
      </c>
      <c r="AS831" s="664">
        <f t="shared" si="346"/>
        <v>0</v>
      </c>
      <c r="AT831" s="664">
        <f t="shared" si="346"/>
        <v>0</v>
      </c>
      <c r="AU831" s="664">
        <f t="shared" si="346"/>
        <v>0</v>
      </c>
      <c r="AV831" s="664">
        <f t="shared" si="346"/>
        <v>0</v>
      </c>
      <c r="AW831" s="664">
        <f t="shared" si="346"/>
        <v>0</v>
      </c>
      <c r="AX831" s="664">
        <f t="shared" si="346"/>
        <v>0</v>
      </c>
      <c r="AY831" s="664">
        <f t="shared" si="346"/>
        <v>0</v>
      </c>
      <c r="AZ831" s="664">
        <f t="shared" si="346"/>
        <v>0</v>
      </c>
      <c r="BA831" s="664">
        <f t="shared" si="346"/>
        <v>0</v>
      </c>
      <c r="BB831" s="664">
        <f t="shared" si="346"/>
        <v>0</v>
      </c>
      <c r="BC831" s="664">
        <f t="shared" si="346"/>
        <v>0</v>
      </c>
      <c r="BD831" s="664">
        <f t="shared" si="346"/>
        <v>0</v>
      </c>
      <c r="BE831" s="664">
        <f t="shared" si="346"/>
        <v>0</v>
      </c>
      <c r="BF831" s="664">
        <f t="shared" si="346"/>
        <v>0</v>
      </c>
      <c r="BG831" s="664">
        <f t="shared" si="346"/>
        <v>0</v>
      </c>
      <c r="BH831" s="664">
        <f t="shared" si="346"/>
        <v>0</v>
      </c>
      <c r="BI831" s="664">
        <f t="shared" si="346"/>
        <v>0</v>
      </c>
      <c r="BJ831" s="664">
        <f t="shared" si="346"/>
        <v>0</v>
      </c>
      <c r="BK831" s="664">
        <f t="shared" ref="BK831:CA831" si="347">SUM(BK822:BK830)</f>
        <v>0</v>
      </c>
      <c r="BL831" s="664">
        <f t="shared" si="347"/>
        <v>0</v>
      </c>
      <c r="BM831" s="664">
        <f t="shared" si="347"/>
        <v>0</v>
      </c>
      <c r="BN831" s="664">
        <f t="shared" si="347"/>
        <v>0</v>
      </c>
      <c r="BO831" s="664">
        <f t="shared" si="347"/>
        <v>0</v>
      </c>
      <c r="BP831" s="664">
        <f t="shared" si="347"/>
        <v>0</v>
      </c>
      <c r="BQ831" s="664">
        <f t="shared" si="347"/>
        <v>0</v>
      </c>
      <c r="BR831" s="664">
        <f t="shared" si="347"/>
        <v>0</v>
      </c>
      <c r="BS831" s="664">
        <f t="shared" si="347"/>
        <v>0</v>
      </c>
      <c r="BT831" s="664">
        <f t="shared" si="347"/>
        <v>0</v>
      </c>
      <c r="BU831" s="664">
        <f t="shared" si="347"/>
        <v>0</v>
      </c>
      <c r="BV831" s="664">
        <f t="shared" si="347"/>
        <v>0</v>
      </c>
      <c r="BW831" s="664">
        <f t="shared" si="347"/>
        <v>0</v>
      </c>
      <c r="BX831" s="664">
        <f t="shared" si="347"/>
        <v>0</v>
      </c>
      <c r="BY831" s="664">
        <f t="shared" si="347"/>
        <v>0</v>
      </c>
      <c r="BZ831" s="664">
        <f t="shared" si="347"/>
        <v>0</v>
      </c>
      <c r="CA831" s="664">
        <f t="shared" si="347"/>
        <v>0</v>
      </c>
    </row>
    <row r="832" spans="1:79" s="751" customFormat="1" hidden="1" outlineLevel="1" x14ac:dyDescent="0.25">
      <c r="A832" s="701"/>
      <c r="E832" s="570" t="s">
        <v>1344</v>
      </c>
      <c r="F832" s="701" t="s">
        <v>626</v>
      </c>
      <c r="G832" s="752"/>
      <c r="H832" s="752"/>
      <c r="I832" s="752"/>
      <c r="J832" s="752"/>
      <c r="K832" s="752"/>
      <c r="L832" s="752"/>
      <c r="M832" s="752"/>
      <c r="N832" s="752"/>
      <c r="O832" s="752"/>
      <c r="P832" s="753"/>
      <c r="Q832" s="753"/>
      <c r="R832" s="753"/>
      <c r="S832" s="697"/>
      <c r="T832" s="697"/>
      <c r="U832" s="697"/>
      <c r="V832" s="697"/>
      <c r="W832" s="697"/>
      <c r="X832" s="697"/>
      <c r="Y832" s="697"/>
      <c r="Z832" s="697"/>
      <c r="AA832" s="697"/>
      <c r="AB832" s="697"/>
      <c r="AC832" s="712"/>
      <c r="AD832" s="712"/>
      <c r="AE832" s="697"/>
      <c r="AF832" s="752"/>
      <c r="AG832" s="712"/>
      <c r="AH832" s="753"/>
      <c r="AI832" s="753"/>
      <c r="AJ832" s="753"/>
      <c r="AK832" s="753"/>
      <c r="AL832" s="753"/>
      <c r="AM832" s="753"/>
      <c r="AN832" s="753"/>
      <c r="AO832" s="753"/>
      <c r="AP832" s="753"/>
      <c r="AQ832" s="753"/>
      <c r="AR832" s="753"/>
      <c r="AS832" s="753"/>
      <c r="AT832" s="753"/>
      <c r="AU832" s="753"/>
      <c r="AV832" s="753"/>
      <c r="AW832" s="753"/>
      <c r="AX832" s="753"/>
      <c r="AY832" s="753"/>
      <c r="AZ832" s="753"/>
      <c r="BA832" s="753"/>
      <c r="BB832" s="753"/>
      <c r="BC832" s="753"/>
      <c r="BD832" s="753"/>
      <c r="BE832" s="753"/>
      <c r="BF832" s="753"/>
      <c r="BG832" s="753"/>
      <c r="BH832" s="753"/>
      <c r="BI832" s="753"/>
      <c r="BJ832" s="753"/>
      <c r="BK832" s="753"/>
      <c r="BL832" s="753"/>
      <c r="BM832" s="753"/>
      <c r="BN832" s="753"/>
      <c r="BO832" s="753"/>
      <c r="BP832" s="753"/>
      <c r="BQ832" s="753"/>
      <c r="BR832" s="753"/>
      <c r="BS832" s="753"/>
      <c r="BT832" s="753"/>
      <c r="BU832" s="753"/>
      <c r="BV832" s="753"/>
      <c r="BW832" s="753"/>
      <c r="BX832" s="753"/>
      <c r="BY832" s="753"/>
      <c r="BZ832" s="753"/>
      <c r="CA832" s="753"/>
    </row>
    <row r="833" spans="1:79" s="741" customFormat="1" hidden="1" outlineLevel="1" x14ac:dyDescent="0.25">
      <c r="A833" s="661"/>
      <c r="B833" s="497"/>
      <c r="C833" s="497"/>
      <c r="D833" s="497"/>
      <c r="E833" s="570" t="s">
        <v>1344</v>
      </c>
      <c r="F833" s="661" t="s">
        <v>627</v>
      </c>
      <c r="G833" s="724"/>
      <c r="H833" s="724"/>
      <c r="I833" s="724"/>
      <c r="J833" s="724"/>
      <c r="K833" s="724"/>
      <c r="L833" s="724"/>
      <c r="M833" s="724"/>
      <c r="N833" s="724"/>
      <c r="O833" s="724"/>
      <c r="P833" s="725"/>
      <c r="Q833" s="725"/>
      <c r="R833" s="725"/>
      <c r="S833" s="667">
        <v>20.27</v>
      </c>
      <c r="T833" s="667">
        <v>2.38</v>
      </c>
      <c r="U833" s="667">
        <v>0</v>
      </c>
      <c r="V833" s="667">
        <v>0</v>
      </c>
      <c r="W833" s="667">
        <v>2.4500000000000002</v>
      </c>
      <c r="X833" s="667">
        <v>4.04</v>
      </c>
      <c r="Y833" s="667">
        <v>0.51</v>
      </c>
      <c r="Z833" s="667">
        <v>0</v>
      </c>
      <c r="AA833" s="667">
        <v>0</v>
      </c>
      <c r="AB833" s="667">
        <v>0</v>
      </c>
      <c r="AC833" s="686">
        <v>0</v>
      </c>
      <c r="AD833" s="686">
        <v>8.1199999999999992</v>
      </c>
      <c r="AE833" s="667">
        <v>47.81</v>
      </c>
      <c r="AF833" s="724">
        <v>7.07</v>
      </c>
      <c r="AG833" s="686">
        <v>0</v>
      </c>
      <c r="AH833" s="725"/>
      <c r="AI833" s="725"/>
      <c r="AJ833" s="725"/>
      <c r="AK833" s="725"/>
      <c r="AL833" s="725"/>
      <c r="AM833" s="725"/>
      <c r="AN833" s="725"/>
      <c r="AO833" s="725"/>
      <c r="AP833" s="725"/>
      <c r="AQ833" s="725"/>
      <c r="AR833" s="725"/>
      <c r="AS833" s="725"/>
      <c r="AT833" s="725"/>
      <c r="AU833" s="725"/>
      <c r="AV833" s="725"/>
      <c r="AW833" s="725"/>
      <c r="AX833" s="725"/>
      <c r="AY833" s="725"/>
      <c r="AZ833" s="725"/>
      <c r="BA833" s="725"/>
      <c r="BB833" s="725"/>
      <c r="BC833" s="725"/>
      <c r="BD833" s="725"/>
      <c r="BE833" s="725"/>
      <c r="BF833" s="725"/>
      <c r="BG833" s="725"/>
      <c r="BH833" s="725"/>
      <c r="BI833" s="725"/>
      <c r="BJ833" s="725"/>
      <c r="BK833" s="725"/>
      <c r="BL833" s="725"/>
      <c r="BM833" s="725"/>
      <c r="BN833" s="725"/>
      <c r="BO833" s="725"/>
      <c r="BP833" s="725"/>
      <c r="BQ833" s="725"/>
      <c r="BR833" s="725"/>
      <c r="BS833" s="725"/>
      <c r="BT833" s="725"/>
      <c r="BU833" s="725"/>
      <c r="BV833" s="725"/>
      <c r="BW833" s="725"/>
      <c r="BX833" s="725"/>
      <c r="BY833" s="725"/>
      <c r="BZ833" s="725"/>
      <c r="CA833" s="725"/>
    </row>
    <row r="834" spans="1:79" s="741" customFormat="1" hidden="1" outlineLevel="1" x14ac:dyDescent="0.25">
      <c r="A834" s="661"/>
      <c r="B834" s="497"/>
      <c r="C834" s="497"/>
      <c r="D834" s="497"/>
      <c r="E834" s="570" t="s">
        <v>1344</v>
      </c>
      <c r="F834" s="661" t="s">
        <v>628</v>
      </c>
      <c r="G834" s="724"/>
      <c r="H834" s="724"/>
      <c r="I834" s="724"/>
      <c r="J834" s="724"/>
      <c r="K834" s="724"/>
      <c r="L834" s="724"/>
      <c r="M834" s="724"/>
      <c r="N834" s="724"/>
      <c r="O834" s="724"/>
      <c r="P834" s="725"/>
      <c r="Q834" s="725"/>
      <c r="R834" s="725"/>
      <c r="S834" s="667">
        <v>144.07</v>
      </c>
      <c r="T834" s="667">
        <v>14.31</v>
      </c>
      <c r="U834" s="667">
        <v>0</v>
      </c>
      <c r="V834" s="667">
        <v>0</v>
      </c>
      <c r="W834" s="667">
        <v>14.72</v>
      </c>
      <c r="X834" s="667">
        <v>24.22</v>
      </c>
      <c r="Y834" s="667">
        <v>3.06</v>
      </c>
      <c r="Z834" s="667">
        <v>0</v>
      </c>
      <c r="AA834" s="667">
        <v>0</v>
      </c>
      <c r="AB834" s="667">
        <v>0</v>
      </c>
      <c r="AC834" s="686">
        <v>0</v>
      </c>
      <c r="AD834" s="686">
        <v>48.69</v>
      </c>
      <c r="AE834" s="667">
        <v>316.02999999999997</v>
      </c>
      <c r="AF834" s="724">
        <v>55.26</v>
      </c>
      <c r="AG834" s="686">
        <v>0</v>
      </c>
      <c r="AH834" s="725"/>
      <c r="AI834" s="725"/>
      <c r="AJ834" s="725"/>
      <c r="AK834" s="725"/>
      <c r="AL834" s="725"/>
      <c r="AM834" s="725"/>
      <c r="AN834" s="725"/>
      <c r="AO834" s="725"/>
      <c r="AP834" s="725"/>
      <c r="AQ834" s="725"/>
      <c r="AR834" s="725"/>
      <c r="AS834" s="725"/>
      <c r="AT834" s="725"/>
      <c r="AU834" s="725"/>
      <c r="AV834" s="725"/>
      <c r="AW834" s="725"/>
      <c r="AX834" s="725"/>
      <c r="AY834" s="725"/>
      <c r="AZ834" s="725"/>
      <c r="BA834" s="725"/>
      <c r="BB834" s="725"/>
      <c r="BC834" s="725"/>
      <c r="BD834" s="725"/>
      <c r="BE834" s="725"/>
      <c r="BF834" s="725"/>
      <c r="BG834" s="725"/>
      <c r="BH834" s="725"/>
      <c r="BI834" s="725"/>
      <c r="BJ834" s="725"/>
      <c r="BK834" s="725"/>
      <c r="BL834" s="725"/>
      <c r="BM834" s="725"/>
      <c r="BN834" s="725"/>
      <c r="BO834" s="725"/>
      <c r="BP834" s="725"/>
      <c r="BQ834" s="725"/>
      <c r="BR834" s="725"/>
      <c r="BS834" s="725"/>
      <c r="BT834" s="725"/>
      <c r="BU834" s="725"/>
      <c r="BV834" s="725"/>
      <c r="BW834" s="725"/>
      <c r="BX834" s="725"/>
      <c r="BY834" s="725"/>
      <c r="BZ834" s="725"/>
      <c r="CA834" s="725"/>
    </row>
    <row r="835" spans="1:79" s="741" customFormat="1" hidden="1" outlineLevel="1" x14ac:dyDescent="0.25">
      <c r="A835" s="661"/>
      <c r="B835" s="497"/>
      <c r="C835" s="497"/>
      <c r="D835" s="497"/>
      <c r="E835" s="570" t="s">
        <v>1344</v>
      </c>
      <c r="F835" s="661" t="s">
        <v>629</v>
      </c>
      <c r="G835" s="724"/>
      <c r="H835" s="724"/>
      <c r="I835" s="724"/>
      <c r="J835" s="724"/>
      <c r="K835" s="724"/>
      <c r="L835" s="724"/>
      <c r="M835" s="724"/>
      <c r="N835" s="724"/>
      <c r="O835" s="724"/>
      <c r="P835" s="725"/>
      <c r="Q835" s="725"/>
      <c r="R835" s="725"/>
      <c r="S835" s="667">
        <v>652.45000000000005</v>
      </c>
      <c r="T835" s="667">
        <v>495.78</v>
      </c>
      <c r="U835" s="667">
        <v>675.95</v>
      </c>
      <c r="V835" s="667">
        <v>694.47</v>
      </c>
      <c r="W835" s="667">
        <v>1040.52</v>
      </c>
      <c r="X835" s="667">
        <v>1138.08</v>
      </c>
      <c r="Y835" s="667">
        <v>952.26</v>
      </c>
      <c r="Z835" s="667">
        <v>555.41</v>
      </c>
      <c r="AA835" s="667">
        <v>1403.92</v>
      </c>
      <c r="AB835" s="667">
        <v>1001.73</v>
      </c>
      <c r="AC835" s="686">
        <v>934.5</v>
      </c>
      <c r="AD835" s="686">
        <v>-258.52999999999997</v>
      </c>
      <c r="AE835" s="667">
        <v>1508.36</v>
      </c>
      <c r="AF835" s="724">
        <v>1355.87</v>
      </c>
      <c r="AG835" s="686">
        <v>1338.46</v>
      </c>
      <c r="AH835" s="725"/>
      <c r="AI835" s="725"/>
      <c r="AJ835" s="725"/>
      <c r="AK835" s="725"/>
      <c r="AL835" s="725"/>
      <c r="AM835" s="725"/>
      <c r="AN835" s="725"/>
      <c r="AO835" s="725"/>
      <c r="AP835" s="725"/>
      <c r="AQ835" s="725"/>
      <c r="AR835" s="725"/>
      <c r="AS835" s="725"/>
      <c r="AT835" s="725"/>
      <c r="AU835" s="725"/>
      <c r="AV835" s="725"/>
      <c r="AW835" s="725"/>
      <c r="AX835" s="725"/>
      <c r="AY835" s="725"/>
      <c r="AZ835" s="725"/>
      <c r="BA835" s="725"/>
      <c r="BB835" s="725"/>
      <c r="BC835" s="725"/>
      <c r="BD835" s="725"/>
      <c r="BE835" s="725"/>
      <c r="BF835" s="725"/>
      <c r="BG835" s="725"/>
      <c r="BH835" s="725"/>
      <c r="BI835" s="725"/>
      <c r="BJ835" s="725"/>
      <c r="BK835" s="725"/>
      <c r="BL835" s="725"/>
      <c r="BM835" s="725"/>
      <c r="BN835" s="725"/>
      <c r="BO835" s="725"/>
      <c r="BP835" s="725"/>
      <c r="BQ835" s="725"/>
      <c r="BR835" s="725"/>
      <c r="BS835" s="725"/>
      <c r="BT835" s="725"/>
      <c r="BU835" s="725"/>
      <c r="BV835" s="725"/>
      <c r="BW835" s="725"/>
      <c r="BX835" s="725"/>
      <c r="BY835" s="725"/>
      <c r="BZ835" s="725"/>
      <c r="CA835" s="725"/>
    </row>
    <row r="836" spans="1:79" s="741" customFormat="1" hidden="1" outlineLevel="1" x14ac:dyDescent="0.25">
      <c r="A836" s="661"/>
      <c r="B836" s="497"/>
      <c r="C836" s="497"/>
      <c r="D836" s="497"/>
      <c r="E836" s="570" t="s">
        <v>1344</v>
      </c>
      <c r="F836" s="661" t="s">
        <v>630</v>
      </c>
      <c r="G836" s="724"/>
      <c r="H836" s="724"/>
      <c r="I836" s="724"/>
      <c r="J836" s="724"/>
      <c r="K836" s="724"/>
      <c r="L836" s="724"/>
      <c r="M836" s="724"/>
      <c r="N836" s="724"/>
      <c r="O836" s="724"/>
      <c r="P836" s="725"/>
      <c r="Q836" s="725"/>
      <c r="R836" s="725"/>
      <c r="S836" s="667">
        <v>1710.59</v>
      </c>
      <c r="T836" s="667">
        <v>1040.71</v>
      </c>
      <c r="U836" s="667">
        <v>1811.08</v>
      </c>
      <c r="V836" s="667">
        <v>1890.25</v>
      </c>
      <c r="W836" s="667">
        <v>3292.71</v>
      </c>
      <c r="X836" s="667">
        <v>2486.36</v>
      </c>
      <c r="Y836" s="667">
        <v>1509.2</v>
      </c>
      <c r="Z836" s="667">
        <v>2026.93</v>
      </c>
      <c r="AA836" s="667">
        <v>1419.36</v>
      </c>
      <c r="AB836" s="667">
        <v>1720.71</v>
      </c>
      <c r="AC836" s="686">
        <v>1551.51</v>
      </c>
      <c r="AD836" s="686">
        <v>3478.61</v>
      </c>
      <c r="AE836" s="667">
        <v>5564.53</v>
      </c>
      <c r="AF836" s="724">
        <v>4943.07</v>
      </c>
      <c r="AG836" s="686">
        <v>4899.1899999999996</v>
      </c>
      <c r="AH836" s="725"/>
      <c r="AI836" s="725"/>
      <c r="AJ836" s="725"/>
      <c r="AK836" s="725"/>
      <c r="AL836" s="725"/>
      <c r="AM836" s="725"/>
      <c r="AN836" s="725"/>
      <c r="AO836" s="725"/>
      <c r="AP836" s="725"/>
      <c r="AQ836" s="725"/>
      <c r="AR836" s="725"/>
      <c r="AS836" s="725"/>
      <c r="AT836" s="725"/>
      <c r="AU836" s="725"/>
      <c r="AV836" s="725"/>
      <c r="AW836" s="725"/>
      <c r="AX836" s="725"/>
      <c r="AY836" s="725"/>
      <c r="AZ836" s="725"/>
      <c r="BA836" s="725"/>
      <c r="BB836" s="725"/>
      <c r="BC836" s="725"/>
      <c r="BD836" s="725"/>
      <c r="BE836" s="725"/>
      <c r="BF836" s="725"/>
      <c r="BG836" s="725"/>
      <c r="BH836" s="725"/>
      <c r="BI836" s="725"/>
      <c r="BJ836" s="725"/>
      <c r="BK836" s="725"/>
      <c r="BL836" s="725"/>
      <c r="BM836" s="725"/>
      <c r="BN836" s="725"/>
      <c r="BO836" s="725"/>
      <c r="BP836" s="725"/>
      <c r="BQ836" s="725"/>
      <c r="BR836" s="725"/>
      <c r="BS836" s="725"/>
      <c r="BT836" s="725"/>
      <c r="BU836" s="725"/>
      <c r="BV836" s="725"/>
      <c r="BW836" s="725"/>
      <c r="BX836" s="725"/>
      <c r="BY836" s="725"/>
      <c r="BZ836" s="725"/>
      <c r="CA836" s="725"/>
    </row>
    <row r="837" spans="1:79" s="741" customFormat="1" hidden="1" outlineLevel="1" x14ac:dyDescent="0.25">
      <c r="A837" s="661"/>
      <c r="B837" s="497"/>
      <c r="C837" s="497"/>
      <c r="D837" s="497"/>
      <c r="E837" s="570" t="s">
        <v>1344</v>
      </c>
      <c r="F837" s="661" t="s">
        <v>631</v>
      </c>
      <c r="G837" s="724"/>
      <c r="H837" s="724"/>
      <c r="I837" s="724"/>
      <c r="J837" s="724"/>
      <c r="K837" s="724"/>
      <c r="L837" s="724"/>
      <c r="M837" s="724"/>
      <c r="N837" s="724"/>
      <c r="O837" s="724"/>
      <c r="P837" s="725"/>
      <c r="Q837" s="725"/>
      <c r="R837" s="725"/>
      <c r="S837" s="667">
        <v>28.08</v>
      </c>
      <c r="T837" s="667">
        <v>9.6199999999999992</v>
      </c>
      <c r="U837" s="667">
        <v>19.239999999999998</v>
      </c>
      <c r="V837" s="667">
        <v>28.35</v>
      </c>
      <c r="W837" s="667">
        <v>23.15</v>
      </c>
      <c r="X837" s="667">
        <v>19.239999999999998</v>
      </c>
      <c r="Y837" s="667">
        <v>17</v>
      </c>
      <c r="Z837" s="667">
        <v>0</v>
      </c>
      <c r="AA837" s="667">
        <v>0</v>
      </c>
      <c r="AB837" s="667">
        <v>0</v>
      </c>
      <c r="AC837" s="686">
        <v>0</v>
      </c>
      <c r="AD837" s="686">
        <v>0</v>
      </c>
      <c r="AE837" s="667">
        <v>25.97</v>
      </c>
      <c r="AF837" s="724">
        <v>24.04</v>
      </c>
      <c r="AG837" s="686">
        <v>24.23</v>
      </c>
      <c r="AH837" s="725"/>
      <c r="AI837" s="725"/>
      <c r="AJ837" s="725"/>
      <c r="AK837" s="725"/>
      <c r="AL837" s="725"/>
      <c r="AM837" s="725"/>
      <c r="AN837" s="725"/>
      <c r="AO837" s="725"/>
      <c r="AP837" s="725"/>
      <c r="AQ837" s="725"/>
      <c r="AR837" s="725"/>
      <c r="AS837" s="725"/>
      <c r="AT837" s="725"/>
      <c r="AU837" s="725"/>
      <c r="AV837" s="725"/>
      <c r="AW837" s="725"/>
      <c r="AX837" s="725"/>
      <c r="AY837" s="725"/>
      <c r="AZ837" s="725"/>
      <c r="BA837" s="725"/>
      <c r="BB837" s="725"/>
      <c r="BC837" s="725"/>
      <c r="BD837" s="725"/>
      <c r="BE837" s="725"/>
      <c r="BF837" s="725"/>
      <c r="BG837" s="725"/>
      <c r="BH837" s="725"/>
      <c r="BI837" s="725"/>
      <c r="BJ837" s="725"/>
      <c r="BK837" s="725"/>
      <c r="BL837" s="725"/>
      <c r="BM837" s="725"/>
      <c r="BN837" s="725"/>
      <c r="BO837" s="725"/>
      <c r="BP837" s="725"/>
      <c r="BQ837" s="725"/>
      <c r="BR837" s="725"/>
      <c r="BS837" s="725"/>
      <c r="BT837" s="725"/>
      <c r="BU837" s="725"/>
      <c r="BV837" s="725"/>
      <c r="BW837" s="725"/>
      <c r="BX837" s="725"/>
      <c r="BY837" s="725"/>
      <c r="BZ837" s="725"/>
      <c r="CA837" s="725"/>
    </row>
    <row r="838" spans="1:79" s="741" customFormat="1" hidden="1" outlineLevel="1" x14ac:dyDescent="0.25">
      <c r="A838" s="661"/>
      <c r="B838" s="497"/>
      <c r="C838" s="497"/>
      <c r="D838" s="497"/>
      <c r="E838" s="570" t="s">
        <v>1344</v>
      </c>
      <c r="F838" s="661" t="s">
        <v>632</v>
      </c>
      <c r="G838" s="724"/>
      <c r="H838" s="724"/>
      <c r="I838" s="724"/>
      <c r="J838" s="724"/>
      <c r="K838" s="724"/>
      <c r="L838" s="724"/>
      <c r="M838" s="724"/>
      <c r="N838" s="724"/>
      <c r="O838" s="724"/>
      <c r="P838" s="725"/>
      <c r="Q838" s="725"/>
      <c r="R838" s="725"/>
      <c r="S838" s="667">
        <v>933.67</v>
      </c>
      <c r="T838" s="667">
        <v>160.77000000000001</v>
      </c>
      <c r="U838" s="667">
        <v>130.78</v>
      </c>
      <c r="V838" s="667">
        <v>192.76</v>
      </c>
      <c r="W838" s="667">
        <v>255.49</v>
      </c>
      <c r="X838" s="667">
        <v>292.2</v>
      </c>
      <c r="Y838" s="667">
        <v>135.97</v>
      </c>
      <c r="Z838" s="667">
        <v>0</v>
      </c>
      <c r="AA838" s="667">
        <v>0</v>
      </c>
      <c r="AB838" s="667">
        <v>0</v>
      </c>
      <c r="AC838" s="686">
        <v>0</v>
      </c>
      <c r="AD838" s="686">
        <v>324.62</v>
      </c>
      <c r="AE838" s="667">
        <v>2089.23</v>
      </c>
      <c r="AF838" s="724">
        <v>446.14</v>
      </c>
      <c r="AG838" s="686">
        <v>164.77</v>
      </c>
      <c r="AH838" s="725"/>
      <c r="AI838" s="725"/>
      <c r="AJ838" s="725"/>
      <c r="AK838" s="725"/>
      <c r="AL838" s="725"/>
      <c r="AM838" s="725"/>
      <c r="AN838" s="725"/>
      <c r="AO838" s="725"/>
      <c r="AP838" s="725"/>
      <c r="AQ838" s="725"/>
      <c r="AR838" s="725"/>
      <c r="AS838" s="725"/>
      <c r="AT838" s="725"/>
      <c r="AU838" s="725"/>
      <c r="AV838" s="725"/>
      <c r="AW838" s="725"/>
      <c r="AX838" s="725"/>
      <c r="AY838" s="725"/>
      <c r="AZ838" s="725"/>
      <c r="BA838" s="725"/>
      <c r="BB838" s="725"/>
      <c r="BC838" s="725"/>
      <c r="BD838" s="725"/>
      <c r="BE838" s="725"/>
      <c r="BF838" s="725"/>
      <c r="BG838" s="725"/>
      <c r="BH838" s="725"/>
      <c r="BI838" s="725"/>
      <c r="BJ838" s="725"/>
      <c r="BK838" s="725"/>
      <c r="BL838" s="725"/>
      <c r="BM838" s="725"/>
      <c r="BN838" s="725"/>
      <c r="BO838" s="725"/>
      <c r="BP838" s="725"/>
      <c r="BQ838" s="725"/>
      <c r="BR838" s="725"/>
      <c r="BS838" s="725"/>
      <c r="BT838" s="725"/>
      <c r="BU838" s="725"/>
      <c r="BV838" s="725"/>
      <c r="BW838" s="725"/>
      <c r="BX838" s="725"/>
      <c r="BY838" s="725"/>
      <c r="BZ838" s="725"/>
      <c r="CA838" s="725"/>
    </row>
    <row r="839" spans="1:79" s="741" customFormat="1" hidden="1" outlineLevel="1" x14ac:dyDescent="0.25">
      <c r="A839" s="661"/>
      <c r="B839" s="579"/>
      <c r="C839" s="579"/>
      <c r="D839" s="579"/>
      <c r="E839" s="570" t="s">
        <v>1344</v>
      </c>
      <c r="F839" s="661" t="s">
        <v>902</v>
      </c>
      <c r="G839" s="724"/>
      <c r="H839" s="724"/>
      <c r="I839" s="724"/>
      <c r="J839" s="724"/>
      <c r="K839" s="724"/>
      <c r="L839" s="724"/>
      <c r="M839" s="724"/>
      <c r="N839" s="724"/>
      <c r="O839" s="724"/>
      <c r="P839" s="725"/>
      <c r="Q839" s="725"/>
      <c r="R839" s="725"/>
      <c r="S839" s="667">
        <v>0</v>
      </c>
      <c r="T839" s="667">
        <v>0</v>
      </c>
      <c r="U839" s="667">
        <v>0</v>
      </c>
      <c r="V839" s="667">
        <v>0</v>
      </c>
      <c r="W839" s="667">
        <v>0</v>
      </c>
      <c r="X839" s="667">
        <v>0</v>
      </c>
      <c r="Y839" s="667">
        <v>0</v>
      </c>
      <c r="Z839" s="667">
        <v>0</v>
      </c>
      <c r="AA839" s="667">
        <v>0</v>
      </c>
      <c r="AB839" s="667">
        <v>0</v>
      </c>
      <c r="AC839" s="686">
        <v>0</v>
      </c>
      <c r="AD839" s="686">
        <v>0</v>
      </c>
      <c r="AE839" s="667">
        <v>0</v>
      </c>
      <c r="AF839" s="724">
        <v>0</v>
      </c>
      <c r="AG839" s="686">
        <v>0</v>
      </c>
      <c r="AH839" s="725"/>
      <c r="AI839" s="725"/>
      <c r="AJ839" s="725"/>
      <c r="AK839" s="725"/>
      <c r="AL839" s="725"/>
      <c r="AM839" s="725"/>
      <c r="AN839" s="725"/>
      <c r="AO839" s="725"/>
      <c r="AP839" s="725"/>
      <c r="AQ839" s="725"/>
      <c r="AR839" s="725"/>
      <c r="AS839" s="725"/>
      <c r="AT839" s="725"/>
      <c r="AU839" s="725"/>
      <c r="AV839" s="725"/>
      <c r="AW839" s="725"/>
      <c r="AX839" s="725"/>
      <c r="AY839" s="725"/>
      <c r="AZ839" s="725"/>
      <c r="BA839" s="725"/>
      <c r="BB839" s="725"/>
      <c r="BC839" s="725"/>
      <c r="BD839" s="725"/>
      <c r="BE839" s="725"/>
      <c r="BF839" s="725"/>
      <c r="BG839" s="725"/>
      <c r="BH839" s="725"/>
      <c r="BI839" s="725"/>
      <c r="BJ839" s="725"/>
      <c r="BK839" s="725"/>
      <c r="BL839" s="725"/>
      <c r="BM839" s="725"/>
      <c r="BN839" s="725"/>
      <c r="BO839" s="725"/>
      <c r="BP839" s="725"/>
      <c r="BQ839" s="725"/>
      <c r="BR839" s="725"/>
      <c r="BS839" s="725"/>
      <c r="BT839" s="725"/>
      <c r="BU839" s="725"/>
      <c r="BV839" s="725"/>
      <c r="BW839" s="725"/>
      <c r="BX839" s="725"/>
      <c r="BY839" s="725"/>
      <c r="BZ839" s="725"/>
      <c r="CA839" s="725"/>
    </row>
    <row r="840" spans="1:79" s="741" customFormat="1" hidden="1" outlineLevel="1" x14ac:dyDescent="0.25">
      <c r="A840" s="661"/>
      <c r="B840" s="497"/>
      <c r="C840" s="497"/>
      <c r="D840" s="497"/>
      <c r="E840" s="570" t="s">
        <v>1344</v>
      </c>
      <c r="F840" s="661" t="s">
        <v>633</v>
      </c>
      <c r="G840" s="724">
        <v>2451.62</v>
      </c>
      <c r="H840" s="724">
        <v>1630.4499999999998</v>
      </c>
      <c r="I840" s="724">
        <v>1400.55</v>
      </c>
      <c r="J840" s="724">
        <v>1563.8300000000002</v>
      </c>
      <c r="K840" s="724">
        <v>1567.25</v>
      </c>
      <c r="L840" s="724">
        <v>2197.9</v>
      </c>
      <c r="M840" s="724">
        <v>1465.27</v>
      </c>
      <c r="N840" s="724">
        <v>1758.75</v>
      </c>
      <c r="O840" s="724">
        <v>1574.12</v>
      </c>
      <c r="P840" s="725">
        <v>2032.06</v>
      </c>
      <c r="Q840" s="725">
        <v>4050.1600000000003</v>
      </c>
      <c r="R840" s="725">
        <v>3655.92</v>
      </c>
      <c r="S840" s="667">
        <v>0</v>
      </c>
      <c r="T840" s="667">
        <v>0</v>
      </c>
      <c r="U840" s="667">
        <v>638.13</v>
      </c>
      <c r="V840" s="667">
        <v>-638.13</v>
      </c>
      <c r="W840" s="667">
        <v>0</v>
      </c>
      <c r="X840" s="667">
        <v>0</v>
      </c>
      <c r="Y840" s="667">
        <v>0</v>
      </c>
      <c r="Z840" s="667">
        <v>0</v>
      </c>
      <c r="AA840" s="667">
        <v>0</v>
      </c>
      <c r="AB840" s="667">
        <v>0</v>
      </c>
      <c r="AC840" s="686">
        <v>0</v>
      </c>
      <c r="AD840" s="686">
        <v>0</v>
      </c>
      <c r="AE840" s="667">
        <v>0</v>
      </c>
      <c r="AF840" s="724">
        <v>0</v>
      </c>
      <c r="AG840" s="686">
        <v>0</v>
      </c>
      <c r="AH840" s="725"/>
      <c r="AI840" s="725"/>
      <c r="AJ840" s="725"/>
      <c r="AK840" s="725"/>
      <c r="AL840" s="725"/>
      <c r="AM840" s="725"/>
      <c r="AN840" s="725"/>
      <c r="AO840" s="725"/>
      <c r="AP840" s="725"/>
      <c r="AQ840" s="725"/>
      <c r="AR840" s="725"/>
      <c r="AS840" s="725"/>
      <c r="AT840" s="725"/>
      <c r="AU840" s="725"/>
      <c r="AV840" s="725"/>
      <c r="AW840" s="725"/>
      <c r="AX840" s="725"/>
      <c r="AY840" s="725"/>
      <c r="AZ840" s="725"/>
      <c r="BA840" s="725"/>
      <c r="BB840" s="725"/>
      <c r="BC840" s="725"/>
      <c r="BD840" s="725"/>
      <c r="BE840" s="725"/>
      <c r="BF840" s="725"/>
      <c r="BG840" s="725"/>
      <c r="BH840" s="725"/>
      <c r="BI840" s="725"/>
      <c r="BJ840" s="725"/>
      <c r="BK840" s="725"/>
      <c r="BL840" s="725"/>
      <c r="BM840" s="725"/>
      <c r="BN840" s="725"/>
      <c r="BO840" s="725"/>
      <c r="BP840" s="725"/>
      <c r="BQ840" s="725"/>
      <c r="BR840" s="725"/>
      <c r="BS840" s="725"/>
      <c r="BT840" s="725"/>
      <c r="BU840" s="725"/>
      <c r="BV840" s="725"/>
      <c r="BW840" s="725"/>
      <c r="BX840" s="725"/>
      <c r="BY840" s="725"/>
      <c r="BZ840" s="725"/>
      <c r="CA840" s="725"/>
    </row>
    <row r="841" spans="1:79" s="743" customFormat="1" hidden="1" outlineLevel="1" x14ac:dyDescent="0.25">
      <c r="A841" s="657"/>
      <c r="B841" s="502"/>
      <c r="C841" s="502"/>
      <c r="D841" s="502"/>
      <c r="E841" s="570" t="s">
        <v>49</v>
      </c>
      <c r="F841" s="657" t="s">
        <v>634</v>
      </c>
      <c r="G841" s="664">
        <f>SUM(G833:G840)</f>
        <v>2451.62</v>
      </c>
      <c r="H841" s="664">
        <f t="shared" ref="H841:BO841" si="348">SUM(H833:H840)</f>
        <v>1630.4499999999998</v>
      </c>
      <c r="I841" s="664">
        <f t="shared" si="348"/>
        <v>1400.55</v>
      </c>
      <c r="J841" s="664">
        <f t="shared" si="348"/>
        <v>1563.8300000000002</v>
      </c>
      <c r="K841" s="664">
        <f t="shared" si="348"/>
        <v>1567.25</v>
      </c>
      <c r="L841" s="664">
        <f t="shared" si="348"/>
        <v>2197.9</v>
      </c>
      <c r="M841" s="664">
        <f t="shared" si="348"/>
        <v>1465.27</v>
      </c>
      <c r="N841" s="664">
        <f t="shared" si="348"/>
        <v>1758.75</v>
      </c>
      <c r="O841" s="664">
        <f t="shared" si="348"/>
        <v>1574.12</v>
      </c>
      <c r="P841" s="664">
        <f t="shared" si="348"/>
        <v>2032.06</v>
      </c>
      <c r="Q841" s="664">
        <f t="shared" si="348"/>
        <v>4050.1600000000003</v>
      </c>
      <c r="R841" s="664">
        <f t="shared" si="348"/>
        <v>3655.92</v>
      </c>
      <c r="S841" s="679">
        <f t="shared" ref="S841:AA841" si="349">ROUND(SUM(S832:S840),5)</f>
        <v>3489.13</v>
      </c>
      <c r="T841" s="679">
        <f t="shared" si="349"/>
        <v>1723.57</v>
      </c>
      <c r="U841" s="679">
        <f t="shared" si="349"/>
        <v>3275.18</v>
      </c>
      <c r="V841" s="679">
        <f t="shared" si="349"/>
        <v>2167.6999999999998</v>
      </c>
      <c r="W841" s="679">
        <f t="shared" si="349"/>
        <v>4629.04</v>
      </c>
      <c r="X841" s="679">
        <f t="shared" si="349"/>
        <v>3964.14</v>
      </c>
      <c r="Y841" s="679">
        <f t="shared" si="349"/>
        <v>2618</v>
      </c>
      <c r="Z841" s="679">
        <f t="shared" si="349"/>
        <v>2582.34</v>
      </c>
      <c r="AA841" s="679">
        <f t="shared" si="349"/>
        <v>2823.28</v>
      </c>
      <c r="AB841" s="679">
        <f t="shared" ref="AB841:AG841" si="350">ROUND(SUM(AB832:AB840),5)</f>
        <v>2722.44</v>
      </c>
      <c r="AC841" s="679">
        <f t="shared" si="350"/>
        <v>2486.0100000000002</v>
      </c>
      <c r="AD841" s="679">
        <f t="shared" si="350"/>
        <v>3601.51</v>
      </c>
      <c r="AE841" s="679">
        <f t="shared" si="350"/>
        <v>9551.93</v>
      </c>
      <c r="AF841" s="664">
        <f t="shared" si="350"/>
        <v>6831.45</v>
      </c>
      <c r="AG841" s="679">
        <f t="shared" si="350"/>
        <v>6426.65</v>
      </c>
      <c r="AH841" s="664">
        <f t="shared" si="348"/>
        <v>0</v>
      </c>
      <c r="AI841" s="664">
        <f t="shared" si="348"/>
        <v>0</v>
      </c>
      <c r="AJ841" s="664">
        <f t="shared" si="348"/>
        <v>0</v>
      </c>
      <c r="AK841" s="664">
        <f t="shared" si="348"/>
        <v>0</v>
      </c>
      <c r="AL841" s="664">
        <f t="shared" si="348"/>
        <v>0</v>
      </c>
      <c r="AM841" s="664">
        <f t="shared" si="348"/>
        <v>0</v>
      </c>
      <c r="AN841" s="664">
        <f t="shared" si="348"/>
        <v>0</v>
      </c>
      <c r="AO841" s="664">
        <f t="shared" si="348"/>
        <v>0</v>
      </c>
      <c r="AP841" s="664">
        <f t="shared" si="348"/>
        <v>0</v>
      </c>
      <c r="AQ841" s="664">
        <f t="shared" si="348"/>
        <v>0</v>
      </c>
      <c r="AR841" s="664">
        <f t="shared" si="348"/>
        <v>0</v>
      </c>
      <c r="AS841" s="664">
        <f t="shared" si="348"/>
        <v>0</v>
      </c>
      <c r="AT841" s="664">
        <f t="shared" si="348"/>
        <v>0</v>
      </c>
      <c r="AU841" s="664">
        <f t="shared" si="348"/>
        <v>0</v>
      </c>
      <c r="AV841" s="664">
        <f t="shared" si="348"/>
        <v>0</v>
      </c>
      <c r="AW841" s="664">
        <f t="shared" si="348"/>
        <v>0</v>
      </c>
      <c r="AX841" s="664">
        <f t="shared" si="348"/>
        <v>0</v>
      </c>
      <c r="AY841" s="664">
        <f t="shared" si="348"/>
        <v>0</v>
      </c>
      <c r="AZ841" s="664">
        <f t="shared" si="348"/>
        <v>0</v>
      </c>
      <c r="BA841" s="664">
        <f t="shared" si="348"/>
        <v>0</v>
      </c>
      <c r="BB841" s="664">
        <f t="shared" si="348"/>
        <v>0</v>
      </c>
      <c r="BC841" s="664">
        <f t="shared" si="348"/>
        <v>0</v>
      </c>
      <c r="BD841" s="664">
        <f t="shared" si="348"/>
        <v>0</v>
      </c>
      <c r="BE841" s="664">
        <f t="shared" si="348"/>
        <v>0</v>
      </c>
      <c r="BF841" s="664">
        <f t="shared" si="348"/>
        <v>0</v>
      </c>
      <c r="BG841" s="664">
        <f t="shared" si="348"/>
        <v>0</v>
      </c>
      <c r="BH841" s="664">
        <f t="shared" si="348"/>
        <v>0</v>
      </c>
      <c r="BI841" s="664">
        <f t="shared" si="348"/>
        <v>0</v>
      </c>
      <c r="BJ841" s="664">
        <f t="shared" si="348"/>
        <v>0</v>
      </c>
      <c r="BK841" s="664">
        <f t="shared" si="348"/>
        <v>0</v>
      </c>
      <c r="BL841" s="664">
        <f t="shared" si="348"/>
        <v>0</v>
      </c>
      <c r="BM841" s="664">
        <f t="shared" si="348"/>
        <v>0</v>
      </c>
      <c r="BN841" s="664">
        <f t="shared" si="348"/>
        <v>0</v>
      </c>
      <c r="BO841" s="664">
        <f t="shared" si="348"/>
        <v>0</v>
      </c>
      <c r="BP841" s="664">
        <f t="shared" ref="BP841:CA841" si="351">SUM(BP833:BP840)</f>
        <v>0</v>
      </c>
      <c r="BQ841" s="664">
        <f t="shared" si="351"/>
        <v>0</v>
      </c>
      <c r="BR841" s="664">
        <f t="shared" si="351"/>
        <v>0</v>
      </c>
      <c r="BS841" s="664">
        <f t="shared" si="351"/>
        <v>0</v>
      </c>
      <c r="BT841" s="664">
        <f t="shared" si="351"/>
        <v>0</v>
      </c>
      <c r="BU841" s="664">
        <f t="shared" si="351"/>
        <v>0</v>
      </c>
      <c r="BV841" s="664">
        <f t="shared" si="351"/>
        <v>0</v>
      </c>
      <c r="BW841" s="664">
        <f t="shared" si="351"/>
        <v>0</v>
      </c>
      <c r="BX841" s="664">
        <f t="shared" si="351"/>
        <v>0</v>
      </c>
      <c r="BY841" s="664">
        <f t="shared" si="351"/>
        <v>0</v>
      </c>
      <c r="BZ841" s="664">
        <f t="shared" si="351"/>
        <v>0</v>
      </c>
      <c r="CA841" s="664">
        <f t="shared" si="351"/>
        <v>0</v>
      </c>
    </row>
    <row r="842" spans="1:79" s="763" customFormat="1" hidden="1" outlineLevel="1" x14ac:dyDescent="0.25">
      <c r="A842" s="701"/>
      <c r="E842" s="570" t="s">
        <v>1345</v>
      </c>
      <c r="F842" s="701" t="s">
        <v>635</v>
      </c>
      <c r="G842" s="752"/>
      <c r="H842" s="752"/>
      <c r="I842" s="752"/>
      <c r="J842" s="752"/>
      <c r="K842" s="752"/>
      <c r="L842" s="752"/>
      <c r="M842" s="752"/>
      <c r="N842" s="752"/>
      <c r="O842" s="752"/>
      <c r="P842" s="753"/>
      <c r="Q842" s="753"/>
      <c r="R842" s="753"/>
      <c r="S842" s="697"/>
      <c r="T842" s="697"/>
      <c r="U842" s="697"/>
      <c r="V842" s="697"/>
      <c r="W842" s="697"/>
      <c r="X842" s="697"/>
      <c r="Y842" s="697"/>
      <c r="Z842" s="697"/>
      <c r="AA842" s="697"/>
      <c r="AB842" s="697"/>
      <c r="AC842" s="712"/>
      <c r="AD842" s="712"/>
      <c r="AE842" s="697"/>
      <c r="AF842" s="752"/>
      <c r="AG842" s="712"/>
      <c r="AH842" s="753"/>
      <c r="AI842" s="753"/>
      <c r="AJ842" s="753"/>
      <c r="AK842" s="753"/>
      <c r="AL842" s="753"/>
      <c r="AM842" s="753"/>
      <c r="AN842" s="753"/>
      <c r="AO842" s="753"/>
      <c r="AP842" s="753"/>
      <c r="AQ842" s="753"/>
      <c r="AR842" s="753"/>
      <c r="AS842" s="753"/>
      <c r="AT842" s="753"/>
      <c r="AU842" s="753"/>
      <c r="AV842" s="753"/>
      <c r="AW842" s="753"/>
      <c r="AX842" s="753"/>
      <c r="AY842" s="753"/>
      <c r="AZ842" s="753"/>
      <c r="BA842" s="753"/>
      <c r="BB842" s="753"/>
      <c r="BC842" s="753"/>
      <c r="BD842" s="753"/>
      <c r="BE842" s="753"/>
      <c r="BF842" s="753"/>
      <c r="BG842" s="753"/>
      <c r="BH842" s="753"/>
      <c r="BI842" s="753"/>
      <c r="BJ842" s="753"/>
      <c r="BK842" s="753"/>
      <c r="BL842" s="753"/>
      <c r="BM842" s="753"/>
      <c r="BN842" s="753"/>
      <c r="BO842" s="753"/>
      <c r="BP842" s="753"/>
      <c r="BQ842" s="753"/>
      <c r="BR842" s="753"/>
      <c r="BS842" s="753"/>
      <c r="BT842" s="753"/>
      <c r="BU842" s="753"/>
      <c r="BV842" s="753"/>
      <c r="BW842" s="753"/>
      <c r="BX842" s="753"/>
      <c r="BY842" s="753"/>
      <c r="BZ842" s="753"/>
      <c r="CA842" s="753"/>
    </row>
    <row r="843" spans="1:79" s="741" customFormat="1" hidden="1" outlineLevel="1" x14ac:dyDescent="0.25">
      <c r="A843" s="661"/>
      <c r="B843" s="497"/>
      <c r="C843" s="497"/>
      <c r="D843" s="497"/>
      <c r="E843" s="570" t="s">
        <v>8</v>
      </c>
      <c r="F843" s="661" t="s">
        <v>8</v>
      </c>
      <c r="G843" s="724"/>
      <c r="H843" s="724"/>
      <c r="I843" s="724"/>
      <c r="J843" s="724"/>
      <c r="K843" s="724"/>
      <c r="L843" s="724"/>
      <c r="M843" s="724"/>
      <c r="N843" s="724"/>
      <c r="O843" s="724"/>
      <c r="P843" s="725"/>
      <c r="Q843" s="725"/>
      <c r="R843" s="725"/>
      <c r="S843" s="667">
        <v>7052.71</v>
      </c>
      <c r="T843" s="667">
        <v>5779.75</v>
      </c>
      <c r="U843" s="667">
        <v>6034.89</v>
      </c>
      <c r="V843" s="667">
        <v>7141.57</v>
      </c>
      <c r="W843" s="667">
        <v>5779.75</v>
      </c>
      <c r="X843" s="667">
        <v>5779.75</v>
      </c>
      <c r="Y843" s="667">
        <v>7764.93</v>
      </c>
      <c r="Z843" s="667">
        <v>11772.34</v>
      </c>
      <c r="AA843" s="667">
        <v>5779.75</v>
      </c>
      <c r="AB843" s="667">
        <v>8757.52</v>
      </c>
      <c r="AC843" s="686">
        <v>5899.41</v>
      </c>
      <c r="AD843" s="686">
        <v>53436.99</v>
      </c>
      <c r="AE843" s="667">
        <v>14272.81</v>
      </c>
      <c r="AF843" s="724">
        <v>13780.42</v>
      </c>
      <c r="AG843" s="686">
        <v>13288.03</v>
      </c>
      <c r="AH843" s="725"/>
      <c r="AI843" s="730"/>
      <c r="AJ843" s="725"/>
      <c r="AK843" s="725"/>
      <c r="AL843" s="725"/>
      <c r="AM843" s="725"/>
      <c r="AN843" s="725"/>
      <c r="AO843" s="725"/>
      <c r="AP843" s="725"/>
      <c r="AQ843" s="725"/>
      <c r="AR843" s="725"/>
      <c r="AS843" s="725"/>
      <c r="AT843" s="725"/>
      <c r="AU843" s="725"/>
      <c r="AV843" s="725"/>
      <c r="AW843" s="725"/>
      <c r="AX843" s="725"/>
      <c r="AY843" s="725"/>
      <c r="AZ843" s="725"/>
      <c r="BA843" s="725"/>
      <c r="BB843" s="725"/>
      <c r="BC843" s="725"/>
      <c r="BD843" s="725"/>
      <c r="BE843" s="725"/>
      <c r="BF843" s="725"/>
      <c r="BG843" s="725"/>
      <c r="BH843" s="725"/>
      <c r="BI843" s="725"/>
      <c r="BJ843" s="725"/>
      <c r="BK843" s="725"/>
      <c r="BL843" s="725"/>
      <c r="BM843" s="725"/>
      <c r="BN843" s="725"/>
      <c r="BO843" s="725"/>
      <c r="BP843" s="725"/>
      <c r="BQ843" s="725"/>
      <c r="BR843" s="725"/>
      <c r="BS843" s="725"/>
      <c r="BT843" s="725"/>
      <c r="BU843" s="725"/>
      <c r="BV843" s="725"/>
      <c r="BW843" s="725"/>
      <c r="BX843" s="725"/>
      <c r="BY843" s="725"/>
      <c r="BZ843" s="725"/>
      <c r="CA843" s="725"/>
    </row>
    <row r="844" spans="1:79" s="741" customFormat="1" hidden="1" outlineLevel="1" x14ac:dyDescent="0.25">
      <c r="A844" s="661"/>
      <c r="B844" s="579"/>
      <c r="C844" s="579"/>
      <c r="D844" s="579"/>
      <c r="E844" s="570" t="s">
        <v>8</v>
      </c>
      <c r="F844" s="661" t="s">
        <v>903</v>
      </c>
      <c r="G844" s="724"/>
      <c r="H844" s="724"/>
      <c r="I844" s="724"/>
      <c r="J844" s="724"/>
      <c r="K844" s="724"/>
      <c r="L844" s="724"/>
      <c r="M844" s="724"/>
      <c r="N844" s="724"/>
      <c r="O844" s="724"/>
      <c r="P844" s="725"/>
      <c r="Q844" s="725"/>
      <c r="R844" s="725"/>
      <c r="S844" s="667">
        <v>0</v>
      </c>
      <c r="T844" s="667">
        <v>0</v>
      </c>
      <c r="U844" s="667">
        <v>0</v>
      </c>
      <c r="V844" s="667">
        <v>0</v>
      </c>
      <c r="W844" s="667">
        <v>0</v>
      </c>
      <c r="X844" s="667">
        <v>0</v>
      </c>
      <c r="Y844" s="667">
        <v>0</v>
      </c>
      <c r="Z844" s="667">
        <v>0</v>
      </c>
      <c r="AA844" s="667">
        <v>0</v>
      </c>
      <c r="AB844" s="667">
        <v>0</v>
      </c>
      <c r="AC844" s="686">
        <v>0</v>
      </c>
      <c r="AD844" s="686">
        <v>0</v>
      </c>
      <c r="AE844" s="667">
        <v>0</v>
      </c>
      <c r="AF844" s="724">
        <v>0</v>
      </c>
      <c r="AG844" s="686">
        <v>0</v>
      </c>
      <c r="AH844" s="725"/>
      <c r="AI844" s="730"/>
      <c r="AJ844" s="725"/>
      <c r="AK844" s="725"/>
      <c r="AL844" s="725"/>
      <c r="AM844" s="725"/>
      <c r="AN844" s="725"/>
      <c r="AO844" s="725"/>
      <c r="AP844" s="725"/>
      <c r="AQ844" s="725"/>
      <c r="AR844" s="725"/>
      <c r="AS844" s="725"/>
      <c r="AT844" s="725"/>
      <c r="AU844" s="725"/>
      <c r="AV844" s="725"/>
      <c r="AW844" s="725"/>
      <c r="AX844" s="725"/>
      <c r="AY844" s="725"/>
      <c r="AZ844" s="725"/>
      <c r="BA844" s="725"/>
      <c r="BB844" s="725"/>
      <c r="BC844" s="725"/>
      <c r="BD844" s="725"/>
      <c r="BE844" s="725"/>
      <c r="BF844" s="725"/>
      <c r="BG844" s="725"/>
      <c r="BH844" s="725"/>
      <c r="BI844" s="725"/>
      <c r="BJ844" s="725"/>
      <c r="BK844" s="725"/>
      <c r="BL844" s="725"/>
      <c r="BM844" s="725"/>
      <c r="BN844" s="725"/>
      <c r="BO844" s="725"/>
      <c r="BP844" s="725"/>
      <c r="BQ844" s="725"/>
      <c r="BR844" s="725"/>
      <c r="BS844" s="725"/>
      <c r="BT844" s="725"/>
      <c r="BU844" s="725"/>
      <c r="BV844" s="725"/>
      <c r="BW844" s="725"/>
      <c r="BX844" s="725"/>
      <c r="BY844" s="725"/>
      <c r="BZ844" s="725"/>
      <c r="CA844" s="725"/>
    </row>
    <row r="845" spans="1:79" s="741" customFormat="1" hidden="1" outlineLevel="1" x14ac:dyDescent="0.25">
      <c r="A845" s="661"/>
      <c r="B845" s="579"/>
      <c r="C845" s="579"/>
      <c r="D845" s="579"/>
      <c r="E845" s="570" t="s">
        <v>1345</v>
      </c>
      <c r="F845" s="661" t="s">
        <v>643</v>
      </c>
      <c r="G845" s="724"/>
      <c r="H845" s="724"/>
      <c r="I845" s="724"/>
      <c r="J845" s="724"/>
      <c r="K845" s="724"/>
      <c r="L845" s="724"/>
      <c r="M845" s="724"/>
      <c r="N845" s="724"/>
      <c r="O845" s="724"/>
      <c r="P845" s="725"/>
      <c r="Q845" s="725"/>
      <c r="R845" s="725"/>
      <c r="S845" s="667">
        <v>0</v>
      </c>
      <c r="T845" s="667">
        <v>0</v>
      </c>
      <c r="U845" s="667">
        <v>0</v>
      </c>
      <c r="V845" s="667">
        <v>0</v>
      </c>
      <c r="W845" s="667">
        <v>0</v>
      </c>
      <c r="X845" s="667">
        <v>0</v>
      </c>
      <c r="Y845" s="667">
        <v>0</v>
      </c>
      <c r="Z845" s="667">
        <v>0</v>
      </c>
      <c r="AA845" s="667">
        <v>0</v>
      </c>
      <c r="AB845" s="667">
        <v>0</v>
      </c>
      <c r="AC845" s="686">
        <v>0</v>
      </c>
      <c r="AD845" s="686">
        <v>0</v>
      </c>
      <c r="AE845" s="667">
        <v>0</v>
      </c>
      <c r="AF845" s="724">
        <v>0</v>
      </c>
      <c r="AG845" s="686">
        <v>0</v>
      </c>
      <c r="AH845" s="725"/>
      <c r="AI845" s="730"/>
      <c r="AJ845" s="725"/>
      <c r="AK845" s="725"/>
      <c r="AL845" s="725"/>
      <c r="AM845" s="725"/>
      <c r="AN845" s="725"/>
      <c r="AO845" s="725"/>
      <c r="AP845" s="725"/>
      <c r="AQ845" s="725"/>
      <c r="AR845" s="725"/>
      <c r="AS845" s="725"/>
      <c r="AT845" s="725"/>
      <c r="AU845" s="725"/>
      <c r="AV845" s="725"/>
      <c r="AW845" s="725"/>
      <c r="AX845" s="725"/>
      <c r="AY845" s="725"/>
      <c r="AZ845" s="725"/>
      <c r="BA845" s="725"/>
      <c r="BB845" s="725"/>
      <c r="BC845" s="725"/>
      <c r="BD845" s="725"/>
      <c r="BE845" s="725"/>
      <c r="BF845" s="725"/>
      <c r="BG845" s="725"/>
      <c r="BH845" s="725"/>
      <c r="BI845" s="725"/>
      <c r="BJ845" s="725"/>
      <c r="BK845" s="725"/>
      <c r="BL845" s="725"/>
      <c r="BM845" s="725"/>
      <c r="BN845" s="725"/>
      <c r="BO845" s="725"/>
      <c r="BP845" s="725"/>
      <c r="BQ845" s="725"/>
      <c r="BR845" s="725"/>
      <c r="BS845" s="725"/>
      <c r="BT845" s="725"/>
      <c r="BU845" s="725"/>
      <c r="BV845" s="725"/>
      <c r="BW845" s="725"/>
      <c r="BX845" s="725"/>
      <c r="BY845" s="725"/>
      <c r="BZ845" s="725"/>
      <c r="CA845" s="725"/>
    </row>
    <row r="846" spans="1:79" s="741" customFormat="1" hidden="1" outlineLevel="1" x14ac:dyDescent="0.25">
      <c r="A846" s="661"/>
      <c r="B846" s="497"/>
      <c r="C846" s="497"/>
      <c r="D846" s="497"/>
      <c r="E846" s="570" t="s">
        <v>1345</v>
      </c>
      <c r="F846" s="661" t="s">
        <v>644</v>
      </c>
      <c r="G846" s="724"/>
      <c r="H846" s="724"/>
      <c r="I846" s="724"/>
      <c r="J846" s="724"/>
      <c r="K846" s="724"/>
      <c r="L846" s="724"/>
      <c r="M846" s="724"/>
      <c r="N846" s="724"/>
      <c r="O846" s="724"/>
      <c r="P846" s="725"/>
      <c r="Q846" s="725"/>
      <c r="R846" s="725"/>
      <c r="S846" s="667">
        <v>0</v>
      </c>
      <c r="T846" s="667">
        <v>10576.92</v>
      </c>
      <c r="U846" s="667">
        <v>21153.84</v>
      </c>
      <c r="V846" s="667">
        <v>0</v>
      </c>
      <c r="W846" s="667">
        <v>0</v>
      </c>
      <c r="X846" s="667">
        <v>0</v>
      </c>
      <c r="Y846" s="667">
        <v>0</v>
      </c>
      <c r="Z846" s="667">
        <v>0</v>
      </c>
      <c r="AA846" s="667">
        <v>0</v>
      </c>
      <c r="AB846" s="667">
        <v>0</v>
      </c>
      <c r="AC846" s="686">
        <v>0</v>
      </c>
      <c r="AD846" s="686">
        <v>0</v>
      </c>
      <c r="AE846" s="667">
        <v>0</v>
      </c>
      <c r="AF846" s="724">
        <v>0</v>
      </c>
      <c r="AG846" s="686">
        <v>0</v>
      </c>
      <c r="AH846" s="725"/>
      <c r="AI846" s="725"/>
      <c r="AJ846" s="725"/>
      <c r="AK846" s="725"/>
      <c r="AL846" s="725"/>
      <c r="AM846" s="725"/>
      <c r="AN846" s="725"/>
      <c r="AO846" s="725"/>
      <c r="AP846" s="725"/>
      <c r="AQ846" s="725"/>
      <c r="AR846" s="725"/>
      <c r="AS846" s="725"/>
      <c r="AT846" s="725"/>
      <c r="AU846" s="725"/>
      <c r="AV846" s="725"/>
      <c r="AW846" s="725"/>
      <c r="AX846" s="725"/>
      <c r="AY846" s="725"/>
      <c r="AZ846" s="725"/>
      <c r="BA846" s="725"/>
      <c r="BB846" s="725"/>
      <c r="BC846" s="725"/>
      <c r="BD846" s="725"/>
      <c r="BE846" s="725"/>
      <c r="BF846" s="725"/>
      <c r="BG846" s="725"/>
      <c r="BH846" s="725"/>
      <c r="BI846" s="725"/>
      <c r="BJ846" s="725"/>
      <c r="BK846" s="725"/>
      <c r="BL846" s="725"/>
      <c r="BM846" s="725"/>
      <c r="BN846" s="725"/>
      <c r="BO846" s="725"/>
      <c r="BP846" s="725"/>
      <c r="BQ846" s="725"/>
      <c r="BR846" s="725"/>
      <c r="BS846" s="725"/>
      <c r="BT846" s="725"/>
      <c r="BU846" s="725"/>
      <c r="BV846" s="725"/>
      <c r="BW846" s="725"/>
      <c r="BX846" s="725"/>
      <c r="BY846" s="725"/>
      <c r="BZ846" s="725"/>
      <c r="CA846" s="725"/>
    </row>
    <row r="847" spans="1:79" s="741" customFormat="1" hidden="1" outlineLevel="1" x14ac:dyDescent="0.25">
      <c r="A847" s="661"/>
      <c r="B847" s="497"/>
      <c r="C847" s="497"/>
      <c r="D847" s="497"/>
      <c r="E847" s="570" t="s">
        <v>1345</v>
      </c>
      <c r="F847" s="661" t="s">
        <v>636</v>
      </c>
      <c r="G847" s="724"/>
      <c r="H847" s="724"/>
      <c r="I847" s="724"/>
      <c r="J847" s="724"/>
      <c r="K847" s="724"/>
      <c r="L847" s="724"/>
      <c r="M847" s="724"/>
      <c r="N847" s="724"/>
      <c r="O847" s="724"/>
      <c r="P847" s="725"/>
      <c r="Q847" s="725"/>
      <c r="R847" s="725"/>
      <c r="S847" s="667">
        <v>26317.18</v>
      </c>
      <c r="T847" s="667">
        <v>6538.46</v>
      </c>
      <c r="U847" s="667">
        <v>16307.7</v>
      </c>
      <c r="V847" s="667">
        <v>22403.85</v>
      </c>
      <c r="W847" s="667">
        <v>54703.86</v>
      </c>
      <c r="X847" s="667">
        <v>58980.78</v>
      </c>
      <c r="Y847" s="667">
        <v>48919.24</v>
      </c>
      <c r="Z847" s="667">
        <v>49388.480000000003</v>
      </c>
      <c r="AA847" s="667">
        <v>45876.94</v>
      </c>
      <c r="AB847" s="667">
        <v>50246.16</v>
      </c>
      <c r="AC847" s="686">
        <v>47223.09</v>
      </c>
      <c r="AD847" s="686">
        <v>57715.38</v>
      </c>
      <c r="AE847" s="667">
        <v>91948.07</v>
      </c>
      <c r="AF847" s="724">
        <v>81163.44</v>
      </c>
      <c r="AG847" s="686">
        <v>80107.679999999993</v>
      </c>
      <c r="AH847" s="725"/>
      <c r="AI847" s="725"/>
      <c r="AJ847" s="725"/>
      <c r="AK847" s="725"/>
      <c r="AL847" s="725"/>
      <c r="AM847" s="725"/>
      <c r="AN847" s="725"/>
      <c r="AO847" s="725"/>
      <c r="AP847" s="725"/>
      <c r="AQ847" s="725"/>
      <c r="AR847" s="725"/>
      <c r="AS847" s="725"/>
      <c r="AT847" s="725"/>
      <c r="AU847" s="725"/>
      <c r="AV847" s="725"/>
      <c r="AW847" s="725"/>
      <c r="AX847" s="725"/>
      <c r="AY847" s="725"/>
      <c r="AZ847" s="725"/>
      <c r="BA847" s="725"/>
      <c r="BB847" s="725"/>
      <c r="BC847" s="725"/>
      <c r="BD847" s="725"/>
      <c r="BE847" s="725"/>
      <c r="BF847" s="725"/>
      <c r="BG847" s="725"/>
      <c r="BH847" s="725"/>
      <c r="BI847" s="725"/>
      <c r="BJ847" s="725"/>
      <c r="BK847" s="725"/>
      <c r="BL847" s="725"/>
      <c r="BM847" s="725"/>
      <c r="BN847" s="725"/>
      <c r="BO847" s="725"/>
      <c r="BP847" s="725"/>
      <c r="BQ847" s="725"/>
      <c r="BR847" s="725"/>
      <c r="BS847" s="725"/>
      <c r="BT847" s="725"/>
      <c r="BU847" s="725"/>
      <c r="BV847" s="725"/>
      <c r="BW847" s="725"/>
      <c r="BX847" s="725"/>
      <c r="BY847" s="725"/>
      <c r="BZ847" s="725"/>
      <c r="CA847" s="725"/>
    </row>
    <row r="848" spans="1:79" s="741" customFormat="1" hidden="1" outlineLevel="1" x14ac:dyDescent="0.25">
      <c r="A848" s="661"/>
      <c r="B848" s="497"/>
      <c r="C848" s="497"/>
      <c r="D848" s="497"/>
      <c r="E848" s="570" t="s">
        <v>637</v>
      </c>
      <c r="F848" s="661" t="s">
        <v>637</v>
      </c>
      <c r="G848" s="724"/>
      <c r="H848" s="724"/>
      <c r="I848" s="724"/>
      <c r="J848" s="724"/>
      <c r="K848" s="724"/>
      <c r="L848" s="724"/>
      <c r="M848" s="724"/>
      <c r="N848" s="724"/>
      <c r="O848" s="724"/>
      <c r="P848" s="725"/>
      <c r="Q848" s="725"/>
      <c r="R848" s="725"/>
      <c r="S848" s="667">
        <v>2836.53</v>
      </c>
      <c r="T848" s="667">
        <v>2836.54</v>
      </c>
      <c r="U848" s="667">
        <v>1990.39</v>
      </c>
      <c r="V848" s="667">
        <v>2868.59</v>
      </c>
      <c r="W848" s="667">
        <v>-648.13</v>
      </c>
      <c r="X848" s="667">
        <v>2895.8</v>
      </c>
      <c r="Y848" s="667">
        <v>-5302.11</v>
      </c>
      <c r="Z848" s="667">
        <v>149.41999999999999</v>
      </c>
      <c r="AA848" s="667">
        <v>733.93</v>
      </c>
      <c r="AB848" s="667">
        <v>265.05</v>
      </c>
      <c r="AC848" s="686">
        <v>768.17</v>
      </c>
      <c r="AD848" s="686">
        <v>2804.51</v>
      </c>
      <c r="AE848" s="667">
        <v>8013.19</v>
      </c>
      <c r="AF848" s="724">
        <v>1976.72</v>
      </c>
      <c r="AG848" s="686">
        <v>2286.9299999999998</v>
      </c>
      <c r="AH848" s="725"/>
      <c r="AI848" s="725"/>
      <c r="AJ848" s="725"/>
      <c r="AK848" s="725"/>
      <c r="AL848" s="725"/>
      <c r="AM848" s="725"/>
      <c r="AN848" s="725"/>
      <c r="AO848" s="725"/>
      <c r="AP848" s="725"/>
      <c r="AQ848" s="725"/>
      <c r="AR848" s="725"/>
      <c r="AS848" s="725"/>
      <c r="AT848" s="725"/>
      <c r="AU848" s="725"/>
      <c r="AV848" s="725"/>
      <c r="AW848" s="725"/>
      <c r="AX848" s="725"/>
      <c r="AY848" s="725"/>
      <c r="AZ848" s="725"/>
      <c r="BA848" s="725"/>
      <c r="BB848" s="725"/>
      <c r="BC848" s="725"/>
      <c r="BD848" s="725"/>
      <c r="BE848" s="725"/>
      <c r="BF848" s="725"/>
      <c r="BG848" s="725"/>
      <c r="BH848" s="725"/>
      <c r="BI848" s="725"/>
      <c r="BJ848" s="725"/>
      <c r="BK848" s="725"/>
      <c r="BL848" s="725"/>
      <c r="BM848" s="725"/>
      <c r="BN848" s="725"/>
      <c r="BO848" s="725"/>
      <c r="BP848" s="725"/>
      <c r="BQ848" s="725"/>
      <c r="BR848" s="725"/>
      <c r="BS848" s="725"/>
      <c r="BT848" s="725"/>
      <c r="BU848" s="725"/>
      <c r="BV848" s="725"/>
      <c r="BW848" s="725"/>
      <c r="BX848" s="725"/>
      <c r="BY848" s="725"/>
      <c r="BZ848" s="725"/>
      <c r="CA848" s="725"/>
    </row>
    <row r="849" spans="1:79" s="741" customFormat="1" hidden="1" outlineLevel="1" x14ac:dyDescent="0.25">
      <c r="A849" s="661"/>
      <c r="B849" s="579"/>
      <c r="C849" s="579"/>
      <c r="D849" s="579"/>
      <c r="E849" s="570" t="s">
        <v>1345</v>
      </c>
      <c r="F849" s="661" t="s">
        <v>904</v>
      </c>
      <c r="G849" s="724"/>
      <c r="H849" s="724"/>
      <c r="I849" s="724"/>
      <c r="J849" s="724"/>
      <c r="K849" s="724"/>
      <c r="L849" s="724"/>
      <c r="M849" s="724"/>
      <c r="N849" s="724"/>
      <c r="O849" s="724"/>
      <c r="P849" s="725"/>
      <c r="Q849" s="725"/>
      <c r="R849" s="725"/>
      <c r="S849" s="667">
        <v>0</v>
      </c>
      <c r="T849" s="667">
        <v>0</v>
      </c>
      <c r="U849" s="667">
        <v>0</v>
      </c>
      <c r="V849" s="667">
        <v>0</v>
      </c>
      <c r="W849" s="667">
        <v>0</v>
      </c>
      <c r="X849" s="667">
        <v>0</v>
      </c>
      <c r="Y849" s="667">
        <v>0</v>
      </c>
      <c r="Z849" s="667">
        <v>0</v>
      </c>
      <c r="AA849" s="667">
        <v>0</v>
      </c>
      <c r="AB849" s="667">
        <v>0</v>
      </c>
      <c r="AC849" s="686">
        <v>0</v>
      </c>
      <c r="AD849" s="686">
        <v>0</v>
      </c>
      <c r="AE849" s="667">
        <v>0</v>
      </c>
      <c r="AF849" s="724">
        <v>0</v>
      </c>
      <c r="AG849" s="686">
        <v>0</v>
      </c>
      <c r="AH849" s="725"/>
      <c r="AI849" s="725"/>
      <c r="AJ849" s="725"/>
      <c r="AK849" s="725"/>
      <c r="AL849" s="725"/>
      <c r="AM849" s="725"/>
      <c r="AN849" s="725"/>
      <c r="AO849" s="725"/>
      <c r="AP849" s="725"/>
      <c r="AQ849" s="725"/>
      <c r="AR849" s="725"/>
      <c r="AS849" s="725"/>
      <c r="AT849" s="725"/>
      <c r="AU849" s="725"/>
      <c r="AV849" s="725"/>
      <c r="AW849" s="725"/>
      <c r="AX849" s="725"/>
      <c r="AY849" s="725"/>
      <c r="AZ849" s="725"/>
      <c r="BA849" s="725"/>
      <c r="BB849" s="725"/>
      <c r="BC849" s="725"/>
      <c r="BD849" s="725"/>
      <c r="BE849" s="725"/>
      <c r="BF849" s="725"/>
      <c r="BG849" s="725"/>
      <c r="BH849" s="725"/>
      <c r="BI849" s="725"/>
      <c r="BJ849" s="725"/>
      <c r="BK849" s="725"/>
      <c r="BL849" s="725"/>
      <c r="BM849" s="725"/>
      <c r="BN849" s="725"/>
      <c r="BO849" s="725"/>
      <c r="BP849" s="725"/>
      <c r="BQ849" s="725"/>
      <c r="BR849" s="725"/>
      <c r="BS849" s="725"/>
      <c r="BT849" s="725"/>
      <c r="BU849" s="725"/>
      <c r="BV849" s="725"/>
      <c r="BW849" s="725"/>
      <c r="BX849" s="725"/>
      <c r="BY849" s="725"/>
      <c r="BZ849" s="725"/>
      <c r="CA849" s="725"/>
    </row>
    <row r="850" spans="1:79" s="741" customFormat="1" hidden="1" outlineLevel="1" x14ac:dyDescent="0.25">
      <c r="A850" s="661"/>
      <c r="B850" s="579"/>
      <c r="C850" s="579"/>
      <c r="D850" s="579"/>
      <c r="E850" s="570" t="s">
        <v>1345</v>
      </c>
      <c r="F850" s="661" t="s">
        <v>677</v>
      </c>
      <c r="G850" s="724">
        <v>18307.68</v>
      </c>
      <c r="H850" s="724">
        <v>18307.68</v>
      </c>
      <c r="I850" s="724">
        <v>18307.68</v>
      </c>
      <c r="J850" s="724">
        <v>20442.310000000001</v>
      </c>
      <c r="K850" s="724">
        <v>20486.919999999998</v>
      </c>
      <c r="L850" s="724">
        <v>28730.76</v>
      </c>
      <c r="M850" s="724">
        <v>19153.84</v>
      </c>
      <c r="N850" s="724">
        <v>22990.11</v>
      </c>
      <c r="O850" s="724">
        <v>20576.919999999998</v>
      </c>
      <c r="P850" s="725">
        <v>24538.46</v>
      </c>
      <c r="Q850" s="725">
        <v>49386.07</v>
      </c>
      <c r="R850" s="725">
        <v>44541.54</v>
      </c>
      <c r="S850" s="667">
        <v>3216.67</v>
      </c>
      <c r="T850" s="667">
        <v>3216.67</v>
      </c>
      <c r="U850" s="667">
        <v>3216.67</v>
      </c>
      <c r="V850" s="667">
        <v>3216.67</v>
      </c>
      <c r="W850" s="667">
        <v>3216.67</v>
      </c>
      <c r="X850" s="667">
        <v>3216.67</v>
      </c>
      <c r="Y850" s="667">
        <v>3216.67</v>
      </c>
      <c r="Z850" s="667">
        <v>3216.67</v>
      </c>
      <c r="AA850" s="667">
        <v>3216.67</v>
      </c>
      <c r="AB850" s="667">
        <v>3216.67</v>
      </c>
      <c r="AC850" s="686">
        <v>3216.67</v>
      </c>
      <c r="AD850" s="686">
        <v>-35383.370000000003</v>
      </c>
      <c r="AE850" s="667">
        <v>0</v>
      </c>
      <c r="AF850" s="724">
        <v>0</v>
      </c>
      <c r="AG850" s="686">
        <v>0</v>
      </c>
      <c r="AH850" s="725"/>
      <c r="AI850" s="725"/>
      <c r="AJ850" s="725"/>
      <c r="AK850" s="725"/>
      <c r="AL850" s="725"/>
      <c r="AM850" s="725"/>
      <c r="AN850" s="725"/>
      <c r="AO850" s="725"/>
      <c r="AP850" s="725"/>
      <c r="AQ850" s="725"/>
      <c r="AR850" s="725"/>
      <c r="AS850" s="725"/>
      <c r="AT850" s="725"/>
      <c r="AU850" s="725"/>
      <c r="AV850" s="725"/>
      <c r="AW850" s="725"/>
      <c r="AX850" s="725"/>
      <c r="AY850" s="725"/>
      <c r="AZ850" s="725"/>
      <c r="BA850" s="725"/>
      <c r="BB850" s="725"/>
      <c r="BC850" s="725"/>
      <c r="BD850" s="725"/>
      <c r="BE850" s="725"/>
      <c r="BF850" s="725"/>
      <c r="BG850" s="725"/>
      <c r="BH850" s="725"/>
      <c r="BI850" s="725"/>
      <c r="BJ850" s="725"/>
      <c r="BK850" s="725"/>
      <c r="BL850" s="725"/>
      <c r="BM850" s="725"/>
      <c r="BN850" s="725"/>
      <c r="BO850" s="725"/>
      <c r="BP850" s="725"/>
      <c r="BQ850" s="725"/>
      <c r="BR850" s="725"/>
      <c r="BS850" s="725"/>
      <c r="BT850" s="725"/>
      <c r="BU850" s="725"/>
      <c r="BV850" s="725"/>
      <c r="BW850" s="725"/>
      <c r="BX850" s="725"/>
      <c r="BY850" s="725"/>
      <c r="BZ850" s="725"/>
      <c r="CA850" s="725"/>
    </row>
    <row r="851" spans="1:79" s="743" customFormat="1" hidden="1" outlineLevel="1" x14ac:dyDescent="0.25">
      <c r="A851" s="657"/>
      <c r="B851" s="502"/>
      <c r="C851" s="502"/>
      <c r="D851" s="502"/>
      <c r="E851" s="570" t="s">
        <v>49</v>
      </c>
      <c r="F851" s="657" t="s">
        <v>638</v>
      </c>
      <c r="G851" s="664">
        <f>SUM(G843:G850)</f>
        <v>18307.68</v>
      </c>
      <c r="H851" s="664">
        <f t="shared" ref="H851:BO851" si="352">SUM(H843:H850)</f>
        <v>18307.68</v>
      </c>
      <c r="I851" s="664">
        <f t="shared" si="352"/>
        <v>18307.68</v>
      </c>
      <c r="J851" s="664">
        <f t="shared" si="352"/>
        <v>20442.310000000001</v>
      </c>
      <c r="K851" s="664">
        <f t="shared" si="352"/>
        <v>20486.919999999998</v>
      </c>
      <c r="L851" s="664">
        <f t="shared" si="352"/>
        <v>28730.76</v>
      </c>
      <c r="M851" s="664">
        <f t="shared" si="352"/>
        <v>19153.84</v>
      </c>
      <c r="N851" s="664">
        <f t="shared" si="352"/>
        <v>22990.11</v>
      </c>
      <c r="O851" s="664">
        <f t="shared" si="352"/>
        <v>20576.919999999998</v>
      </c>
      <c r="P851" s="664">
        <f t="shared" si="352"/>
        <v>24538.46</v>
      </c>
      <c r="Q851" s="664">
        <f t="shared" si="352"/>
        <v>49386.07</v>
      </c>
      <c r="R851" s="664">
        <f t="shared" si="352"/>
        <v>44541.54</v>
      </c>
      <c r="S851" s="679">
        <f t="shared" ref="S851:AA851" si="353">ROUND(SUM(S842:S850),5)</f>
        <v>39423.089999999997</v>
      </c>
      <c r="T851" s="679">
        <f t="shared" si="353"/>
        <v>28948.34</v>
      </c>
      <c r="U851" s="679">
        <f t="shared" si="353"/>
        <v>48703.49</v>
      </c>
      <c r="V851" s="679">
        <f t="shared" si="353"/>
        <v>35630.68</v>
      </c>
      <c r="W851" s="679">
        <f t="shared" si="353"/>
        <v>63052.15</v>
      </c>
      <c r="X851" s="679">
        <f t="shared" si="353"/>
        <v>70873</v>
      </c>
      <c r="Y851" s="679">
        <f t="shared" si="353"/>
        <v>54598.73</v>
      </c>
      <c r="Z851" s="679">
        <f t="shared" si="353"/>
        <v>64526.91</v>
      </c>
      <c r="AA851" s="679">
        <f t="shared" si="353"/>
        <v>55607.29</v>
      </c>
      <c r="AB851" s="679">
        <f t="shared" ref="AB851:AG851" si="354">ROUND(SUM(AB842:AB850),5)</f>
        <v>62485.4</v>
      </c>
      <c r="AC851" s="679">
        <f t="shared" si="354"/>
        <v>57107.34</v>
      </c>
      <c r="AD851" s="679">
        <f t="shared" si="354"/>
        <v>78573.509999999995</v>
      </c>
      <c r="AE851" s="679">
        <f t="shared" si="354"/>
        <v>114234.07</v>
      </c>
      <c r="AF851" s="664">
        <f t="shared" si="354"/>
        <v>96920.58</v>
      </c>
      <c r="AG851" s="679">
        <f t="shared" si="354"/>
        <v>95682.64</v>
      </c>
      <c r="AH851" s="664">
        <f t="shared" si="352"/>
        <v>0</v>
      </c>
      <c r="AI851" s="664">
        <f t="shared" si="352"/>
        <v>0</v>
      </c>
      <c r="AJ851" s="664">
        <f t="shared" si="352"/>
        <v>0</v>
      </c>
      <c r="AK851" s="664">
        <f t="shared" si="352"/>
        <v>0</v>
      </c>
      <c r="AL851" s="664">
        <f t="shared" si="352"/>
        <v>0</v>
      </c>
      <c r="AM851" s="664">
        <f t="shared" si="352"/>
        <v>0</v>
      </c>
      <c r="AN851" s="664">
        <f t="shared" si="352"/>
        <v>0</v>
      </c>
      <c r="AO851" s="664">
        <f t="shared" si="352"/>
        <v>0</v>
      </c>
      <c r="AP851" s="664">
        <f t="shared" si="352"/>
        <v>0</v>
      </c>
      <c r="AQ851" s="664">
        <f t="shared" si="352"/>
        <v>0</v>
      </c>
      <c r="AR851" s="664">
        <f t="shared" si="352"/>
        <v>0</v>
      </c>
      <c r="AS851" s="664">
        <f t="shared" si="352"/>
        <v>0</v>
      </c>
      <c r="AT851" s="664">
        <f t="shared" si="352"/>
        <v>0</v>
      </c>
      <c r="AU851" s="664">
        <f t="shared" si="352"/>
        <v>0</v>
      </c>
      <c r="AV851" s="664">
        <f t="shared" si="352"/>
        <v>0</v>
      </c>
      <c r="AW851" s="664">
        <f t="shared" si="352"/>
        <v>0</v>
      </c>
      <c r="AX851" s="664">
        <f t="shared" si="352"/>
        <v>0</v>
      </c>
      <c r="AY851" s="664">
        <f t="shared" si="352"/>
        <v>0</v>
      </c>
      <c r="AZ851" s="664">
        <f t="shared" si="352"/>
        <v>0</v>
      </c>
      <c r="BA851" s="664">
        <f t="shared" si="352"/>
        <v>0</v>
      </c>
      <c r="BB851" s="664">
        <f t="shared" si="352"/>
        <v>0</v>
      </c>
      <c r="BC851" s="664">
        <f t="shared" si="352"/>
        <v>0</v>
      </c>
      <c r="BD851" s="664">
        <f t="shared" si="352"/>
        <v>0</v>
      </c>
      <c r="BE851" s="664">
        <f t="shared" si="352"/>
        <v>0</v>
      </c>
      <c r="BF851" s="664">
        <f t="shared" si="352"/>
        <v>0</v>
      </c>
      <c r="BG851" s="664">
        <f t="shared" si="352"/>
        <v>0</v>
      </c>
      <c r="BH851" s="664">
        <f t="shared" si="352"/>
        <v>0</v>
      </c>
      <c r="BI851" s="664">
        <f t="shared" si="352"/>
        <v>0</v>
      </c>
      <c r="BJ851" s="664">
        <f t="shared" si="352"/>
        <v>0</v>
      </c>
      <c r="BK851" s="664">
        <f t="shared" si="352"/>
        <v>0</v>
      </c>
      <c r="BL851" s="664">
        <f t="shared" si="352"/>
        <v>0</v>
      </c>
      <c r="BM851" s="664">
        <f t="shared" si="352"/>
        <v>0</v>
      </c>
      <c r="BN851" s="664">
        <f t="shared" si="352"/>
        <v>0</v>
      </c>
      <c r="BO851" s="664">
        <f t="shared" si="352"/>
        <v>0</v>
      </c>
      <c r="BP851" s="664">
        <f t="shared" ref="BP851:CA851" si="355">SUM(BP843:BP850)</f>
        <v>0</v>
      </c>
      <c r="BQ851" s="664">
        <f t="shared" si="355"/>
        <v>0</v>
      </c>
      <c r="BR851" s="664">
        <f t="shared" si="355"/>
        <v>0</v>
      </c>
      <c r="BS851" s="664">
        <f t="shared" si="355"/>
        <v>0</v>
      </c>
      <c r="BT851" s="664">
        <f t="shared" si="355"/>
        <v>0</v>
      </c>
      <c r="BU851" s="664">
        <f t="shared" si="355"/>
        <v>0</v>
      </c>
      <c r="BV851" s="664">
        <f t="shared" si="355"/>
        <v>0</v>
      </c>
      <c r="BW851" s="664">
        <f t="shared" si="355"/>
        <v>0</v>
      </c>
      <c r="BX851" s="664">
        <f t="shared" si="355"/>
        <v>0</v>
      </c>
      <c r="BY851" s="664">
        <f t="shared" si="355"/>
        <v>0</v>
      </c>
      <c r="BZ851" s="664">
        <f t="shared" si="355"/>
        <v>0</v>
      </c>
      <c r="CA851" s="664">
        <f t="shared" si="355"/>
        <v>0</v>
      </c>
    </row>
    <row r="852" spans="1:79" s="741" customFormat="1" hidden="1" outlineLevel="1" x14ac:dyDescent="0.25">
      <c r="A852" s="656"/>
      <c r="B852" s="497"/>
      <c r="C852" s="497"/>
      <c r="D852" s="497"/>
      <c r="E852" s="570" t="s">
        <v>1345</v>
      </c>
      <c r="F852" s="656" t="s">
        <v>639</v>
      </c>
      <c r="G852" s="724"/>
      <c r="H852" s="724"/>
      <c r="I852" s="724"/>
      <c r="J852" s="724"/>
      <c r="K852" s="724"/>
      <c r="L852" s="724"/>
      <c r="M852" s="724"/>
      <c r="N852" s="724"/>
      <c r="O852" s="724"/>
      <c r="P852" s="725"/>
      <c r="Q852" s="725"/>
      <c r="R852" s="725"/>
      <c r="S852" s="671">
        <v>4.42</v>
      </c>
      <c r="T852" s="671">
        <v>0</v>
      </c>
      <c r="U852" s="671">
        <v>0</v>
      </c>
      <c r="V852" s="671">
        <v>0</v>
      </c>
      <c r="W852" s="671">
        <v>0</v>
      </c>
      <c r="X852" s="671">
        <v>0</v>
      </c>
      <c r="Y852" s="671">
        <v>0</v>
      </c>
      <c r="Z852" s="671">
        <v>0</v>
      </c>
      <c r="AA852" s="671">
        <v>0</v>
      </c>
      <c r="AB852" s="671">
        <v>0</v>
      </c>
      <c r="AC852" s="690">
        <v>0</v>
      </c>
      <c r="AD852" s="690">
        <v>0</v>
      </c>
      <c r="AE852" s="671">
        <v>0</v>
      </c>
      <c r="AF852" s="724">
        <v>0</v>
      </c>
      <c r="AG852" s="690">
        <v>0</v>
      </c>
      <c r="AH852" s="725"/>
      <c r="AI852" s="725"/>
      <c r="AJ852" s="725"/>
      <c r="AK852" s="725"/>
      <c r="AL852" s="725"/>
      <c r="AM852" s="725"/>
      <c r="AN852" s="725"/>
      <c r="AO852" s="725"/>
      <c r="AP852" s="725"/>
      <c r="AQ852" s="725"/>
      <c r="AR852" s="725"/>
      <c r="AS852" s="725"/>
      <c r="AT852" s="725"/>
      <c r="AU852" s="725"/>
      <c r="AV852" s="725"/>
      <c r="AW852" s="725"/>
      <c r="AX852" s="725"/>
      <c r="AY852" s="725"/>
      <c r="AZ852" s="725"/>
      <c r="BA852" s="725"/>
      <c r="BB852" s="725"/>
      <c r="BC852" s="725"/>
      <c r="BD852" s="725"/>
      <c r="BE852" s="725"/>
      <c r="BF852" s="725"/>
      <c r="BG852" s="725"/>
      <c r="BH852" s="725"/>
      <c r="BI852" s="725"/>
      <c r="BJ852" s="725"/>
      <c r="BK852" s="725"/>
      <c r="BL852" s="725"/>
      <c r="BM852" s="725"/>
      <c r="BN852" s="725"/>
      <c r="BO852" s="725"/>
      <c r="BP852" s="725"/>
      <c r="BQ852" s="725"/>
      <c r="BR852" s="725"/>
      <c r="BS852" s="725"/>
      <c r="BT852" s="725"/>
      <c r="BU852" s="725"/>
      <c r="BV852" s="725"/>
      <c r="BW852" s="725"/>
      <c r="BX852" s="725"/>
      <c r="BY852" s="725"/>
      <c r="BZ852" s="725"/>
      <c r="CA852" s="725"/>
    </row>
    <row r="853" spans="1:79" s="308" customFormat="1" hidden="1" outlineLevel="1" x14ac:dyDescent="0.25">
      <c r="A853" s="659"/>
      <c r="B853" s="29"/>
      <c r="C853" s="29"/>
      <c r="D853" s="29"/>
      <c r="E853" s="570" t="s">
        <v>49</v>
      </c>
      <c r="F853" s="659" t="s">
        <v>640</v>
      </c>
      <c r="G853" s="679">
        <f>G851+G841</f>
        <v>20759.3</v>
      </c>
      <c r="H853" s="679">
        <f t="shared" ref="H853:BO853" si="356">H851+H841</f>
        <v>19938.13</v>
      </c>
      <c r="I853" s="679">
        <f t="shared" si="356"/>
        <v>19708.23</v>
      </c>
      <c r="J853" s="679">
        <f t="shared" si="356"/>
        <v>22006.140000000003</v>
      </c>
      <c r="K853" s="679">
        <f t="shared" si="356"/>
        <v>22054.17</v>
      </c>
      <c r="L853" s="679">
        <f t="shared" si="356"/>
        <v>30928.66</v>
      </c>
      <c r="M853" s="679">
        <f t="shared" si="356"/>
        <v>20619.11</v>
      </c>
      <c r="N853" s="679">
        <f t="shared" si="356"/>
        <v>24748.86</v>
      </c>
      <c r="O853" s="679">
        <f t="shared" si="356"/>
        <v>22151.039999999997</v>
      </c>
      <c r="P853" s="679">
        <f t="shared" si="356"/>
        <v>26570.52</v>
      </c>
      <c r="Q853" s="679">
        <f t="shared" si="356"/>
        <v>53436.23</v>
      </c>
      <c r="R853" s="679">
        <f t="shared" si="356"/>
        <v>48197.46</v>
      </c>
      <c r="S853" s="679">
        <f t="shared" ref="S853:AB853" si="357">ROUND(S821+S831+S841+SUM(S851:S852),5)</f>
        <v>42916.639999999999</v>
      </c>
      <c r="T853" s="679">
        <f t="shared" si="357"/>
        <v>30671.91</v>
      </c>
      <c r="U853" s="679">
        <f t="shared" si="357"/>
        <v>51978.67</v>
      </c>
      <c r="V853" s="679">
        <f t="shared" si="357"/>
        <v>37798.379999999997</v>
      </c>
      <c r="W853" s="679">
        <f t="shared" si="357"/>
        <v>67681.19</v>
      </c>
      <c r="X853" s="679">
        <f t="shared" si="357"/>
        <v>74837.14</v>
      </c>
      <c r="Y853" s="679">
        <f t="shared" si="357"/>
        <v>57216.73</v>
      </c>
      <c r="Z853" s="679">
        <f t="shared" si="357"/>
        <v>67109.25</v>
      </c>
      <c r="AA853" s="679">
        <f t="shared" si="357"/>
        <v>58430.57</v>
      </c>
      <c r="AB853" s="679">
        <f t="shared" si="357"/>
        <v>65207.839999999997</v>
      </c>
      <c r="AC853" s="679">
        <f>ROUND(AC821+AC831+AC841+SUM(AC851:AC852),5)</f>
        <v>61718.01</v>
      </c>
      <c r="AD853" s="679">
        <f>ROUND(AD821+AD831+AD841+SUM(AD851:AD852),5)</f>
        <v>85533.88</v>
      </c>
      <c r="AE853" s="679">
        <f>ROUND(AE821+AE831+AE841+SUM(AE851:AE852),5)</f>
        <v>129714.8</v>
      </c>
      <c r="AF853" s="679">
        <f>ROUND(AF821+AF831+AF841+SUM(AF851:AF852),5)</f>
        <v>110132.08</v>
      </c>
      <c r="AG853" s="679">
        <f>ROUND(AG821+AG831+AG841+SUM(AG851:AG852),5)</f>
        <v>108566.96</v>
      </c>
      <c r="AH853" s="679">
        <f t="shared" si="356"/>
        <v>0</v>
      </c>
      <c r="AI853" s="679">
        <f t="shared" si="356"/>
        <v>0</v>
      </c>
      <c r="AJ853" s="679">
        <f t="shared" si="356"/>
        <v>0</v>
      </c>
      <c r="AK853" s="679">
        <f t="shared" si="356"/>
        <v>0</v>
      </c>
      <c r="AL853" s="679">
        <f t="shared" si="356"/>
        <v>0</v>
      </c>
      <c r="AM853" s="679">
        <f t="shared" si="356"/>
        <v>0</v>
      </c>
      <c r="AN853" s="679">
        <f t="shared" si="356"/>
        <v>0</v>
      </c>
      <c r="AO853" s="679">
        <f t="shared" si="356"/>
        <v>0</v>
      </c>
      <c r="AP853" s="679">
        <f t="shared" si="356"/>
        <v>0</v>
      </c>
      <c r="AQ853" s="679">
        <f t="shared" si="356"/>
        <v>0</v>
      </c>
      <c r="AR853" s="679">
        <f t="shared" si="356"/>
        <v>0</v>
      </c>
      <c r="AS853" s="679">
        <f t="shared" si="356"/>
        <v>0</v>
      </c>
      <c r="AT853" s="679">
        <f t="shared" si="356"/>
        <v>0</v>
      </c>
      <c r="AU853" s="679">
        <f t="shared" si="356"/>
        <v>0</v>
      </c>
      <c r="AV853" s="679">
        <f t="shared" si="356"/>
        <v>0</v>
      </c>
      <c r="AW853" s="679">
        <f t="shared" si="356"/>
        <v>0</v>
      </c>
      <c r="AX853" s="679">
        <f t="shared" si="356"/>
        <v>0</v>
      </c>
      <c r="AY853" s="679">
        <f t="shared" si="356"/>
        <v>0</v>
      </c>
      <c r="AZ853" s="679">
        <f t="shared" si="356"/>
        <v>0</v>
      </c>
      <c r="BA853" s="679">
        <f t="shared" si="356"/>
        <v>0</v>
      </c>
      <c r="BB853" s="679">
        <f t="shared" si="356"/>
        <v>0</v>
      </c>
      <c r="BC853" s="679">
        <f t="shared" si="356"/>
        <v>0</v>
      </c>
      <c r="BD853" s="679">
        <f t="shared" si="356"/>
        <v>0</v>
      </c>
      <c r="BE853" s="679">
        <f t="shared" si="356"/>
        <v>0</v>
      </c>
      <c r="BF853" s="679">
        <f t="shared" si="356"/>
        <v>0</v>
      </c>
      <c r="BG853" s="679">
        <f t="shared" si="356"/>
        <v>0</v>
      </c>
      <c r="BH853" s="679">
        <f t="shared" si="356"/>
        <v>0</v>
      </c>
      <c r="BI853" s="679">
        <f t="shared" si="356"/>
        <v>0</v>
      </c>
      <c r="BJ853" s="679">
        <f t="shared" si="356"/>
        <v>0</v>
      </c>
      <c r="BK853" s="679">
        <f t="shared" si="356"/>
        <v>0</v>
      </c>
      <c r="BL853" s="679">
        <f t="shared" si="356"/>
        <v>0</v>
      </c>
      <c r="BM853" s="679">
        <f t="shared" si="356"/>
        <v>0</v>
      </c>
      <c r="BN853" s="679">
        <f t="shared" si="356"/>
        <v>0</v>
      </c>
      <c r="BO853" s="679">
        <f t="shared" si="356"/>
        <v>0</v>
      </c>
      <c r="BP853" s="679">
        <f t="shared" ref="BP853:CA853" si="358">BP851+BP841</f>
        <v>0</v>
      </c>
      <c r="BQ853" s="679">
        <f t="shared" si="358"/>
        <v>0</v>
      </c>
      <c r="BR853" s="679">
        <f t="shared" si="358"/>
        <v>0</v>
      </c>
      <c r="BS853" s="679">
        <f t="shared" si="358"/>
        <v>0</v>
      </c>
      <c r="BT853" s="679">
        <f t="shared" si="358"/>
        <v>0</v>
      </c>
      <c r="BU853" s="679">
        <f t="shared" si="358"/>
        <v>0</v>
      </c>
      <c r="BV853" s="679">
        <f t="shared" si="358"/>
        <v>0</v>
      </c>
      <c r="BW853" s="679">
        <f t="shared" si="358"/>
        <v>0</v>
      </c>
      <c r="BX853" s="679">
        <f t="shared" si="358"/>
        <v>0</v>
      </c>
      <c r="BY853" s="679">
        <f t="shared" si="358"/>
        <v>0</v>
      </c>
      <c r="BZ853" s="679">
        <f t="shared" si="358"/>
        <v>0</v>
      </c>
      <c r="CA853" s="679">
        <f t="shared" si="358"/>
        <v>0</v>
      </c>
    </row>
    <row r="854" spans="1:79" s="308" customFormat="1" hidden="1" outlineLevel="1" x14ac:dyDescent="0.25">
      <c r="A854" s="655"/>
      <c r="B854" s="571"/>
      <c r="C854" s="571"/>
      <c r="D854" s="571"/>
      <c r="E854" s="570" t="s">
        <v>918</v>
      </c>
      <c r="F854" s="655" t="s">
        <v>905</v>
      </c>
      <c r="G854" s="719"/>
      <c r="H854" s="719"/>
      <c r="I854" s="719"/>
      <c r="J854" s="719"/>
      <c r="K854" s="719"/>
      <c r="L854" s="719"/>
      <c r="M854" s="719"/>
      <c r="N854" s="719"/>
      <c r="O854" s="719"/>
      <c r="P854" s="719"/>
      <c r="Q854" s="719"/>
      <c r="R854" s="719"/>
      <c r="S854" s="684">
        <v>0</v>
      </c>
      <c r="T854" s="684">
        <v>0</v>
      </c>
      <c r="U854" s="684">
        <v>0</v>
      </c>
      <c r="V854" s="684">
        <v>0</v>
      </c>
      <c r="W854" s="684">
        <v>0</v>
      </c>
      <c r="X854" s="684">
        <v>0</v>
      </c>
      <c r="Y854" s="684">
        <v>0</v>
      </c>
      <c r="Z854" s="684">
        <v>0</v>
      </c>
      <c r="AA854" s="684">
        <v>0</v>
      </c>
      <c r="AB854" s="684">
        <v>0</v>
      </c>
      <c r="AC854" s="690">
        <v>0</v>
      </c>
      <c r="AD854" s="690">
        <v>0</v>
      </c>
      <c r="AE854" s="684">
        <v>0</v>
      </c>
      <c r="AF854" s="719">
        <v>0</v>
      </c>
      <c r="AG854" s="690">
        <v>0</v>
      </c>
      <c r="AH854" s="716"/>
      <c r="AI854" s="716"/>
      <c r="AJ854" s="716"/>
      <c r="AK854" s="716"/>
      <c r="AL854" s="716"/>
      <c r="AM854" s="716"/>
      <c r="AN854" s="716"/>
      <c r="AO854" s="716"/>
      <c r="AP854" s="716"/>
      <c r="AQ854" s="716"/>
      <c r="AR854" s="716"/>
      <c r="AS854" s="716"/>
      <c r="AT854" s="716"/>
      <c r="AU854" s="716"/>
      <c r="AV854" s="716"/>
      <c r="AW854" s="716"/>
      <c r="AX854" s="716"/>
      <c r="AY854" s="716"/>
      <c r="AZ854" s="716"/>
      <c r="BA854" s="716"/>
      <c r="BB854" s="716"/>
      <c r="BC854" s="716"/>
      <c r="BD854" s="716"/>
      <c r="BE854" s="716"/>
      <c r="BF854" s="716"/>
      <c r="BG854" s="716"/>
      <c r="BH854" s="716"/>
      <c r="BI854" s="716"/>
      <c r="BJ854" s="716"/>
      <c r="BK854" s="716"/>
      <c r="BL854" s="716"/>
      <c r="BM854" s="716"/>
      <c r="BN854" s="716"/>
      <c r="BO854" s="716"/>
      <c r="BP854" s="716"/>
      <c r="BQ854" s="716"/>
      <c r="BR854" s="716"/>
      <c r="BS854" s="716"/>
      <c r="BT854" s="716"/>
      <c r="BU854" s="716"/>
      <c r="BV854" s="716"/>
      <c r="BW854" s="716"/>
      <c r="BX854" s="716"/>
      <c r="BY854" s="716"/>
      <c r="BZ854" s="716"/>
      <c r="CA854" s="716"/>
    </row>
    <row r="855" spans="1:79" s="700" customFormat="1" hidden="1" outlineLevel="1" x14ac:dyDescent="0.25">
      <c r="A855" s="701"/>
      <c r="E855" s="570" t="s">
        <v>1327</v>
      </c>
      <c r="F855" s="701" t="s">
        <v>602</v>
      </c>
      <c r="G855" s="733"/>
      <c r="H855" s="733"/>
      <c r="I855" s="733"/>
      <c r="J855" s="733"/>
      <c r="K855" s="733"/>
      <c r="L855" s="733"/>
      <c r="M855" s="733"/>
      <c r="N855" s="733"/>
      <c r="O855" s="733"/>
      <c r="P855" s="734"/>
      <c r="Q855" s="734"/>
      <c r="R855" s="734"/>
      <c r="S855" s="697"/>
      <c r="T855" s="697"/>
      <c r="U855" s="697"/>
      <c r="V855" s="697"/>
      <c r="W855" s="697"/>
      <c r="X855" s="697"/>
      <c r="Y855" s="697"/>
      <c r="Z855" s="697"/>
      <c r="AA855" s="697"/>
      <c r="AB855" s="697"/>
      <c r="AC855" s="696"/>
      <c r="AD855" s="696"/>
      <c r="AE855" s="697"/>
      <c r="AF855" s="733"/>
      <c r="AG855" s="696"/>
      <c r="AH855" s="734"/>
      <c r="AI855" s="734"/>
      <c r="AJ855" s="734"/>
      <c r="AK855" s="734"/>
      <c r="AL855" s="734"/>
      <c r="AM855" s="734"/>
      <c r="AN855" s="734"/>
      <c r="AO855" s="734"/>
      <c r="AP855" s="734"/>
      <c r="AQ855" s="734"/>
      <c r="AR855" s="734"/>
      <c r="AS855" s="734"/>
      <c r="AT855" s="734"/>
      <c r="AU855" s="734"/>
      <c r="AV855" s="734"/>
      <c r="AW855" s="734"/>
      <c r="AX855" s="734"/>
      <c r="AY855" s="734"/>
      <c r="AZ855" s="734"/>
      <c r="BA855" s="734"/>
      <c r="BB855" s="734"/>
      <c r="BC855" s="734"/>
      <c r="BD855" s="734"/>
      <c r="BE855" s="734"/>
      <c r="BF855" s="734"/>
      <c r="BG855" s="734"/>
      <c r="BH855" s="734"/>
      <c r="BI855" s="734"/>
      <c r="BJ855" s="734"/>
      <c r="BK855" s="734"/>
      <c r="BL855" s="734"/>
      <c r="BM855" s="734"/>
      <c r="BN855" s="734"/>
      <c r="BO855" s="734"/>
      <c r="BP855" s="734"/>
      <c r="BQ855" s="734"/>
      <c r="BR855" s="734"/>
      <c r="BS855" s="734"/>
      <c r="BT855" s="734"/>
      <c r="BU855" s="734"/>
      <c r="BV855" s="734"/>
      <c r="BW855" s="734"/>
      <c r="BX855" s="734"/>
      <c r="BY855" s="734"/>
      <c r="BZ855" s="734"/>
      <c r="CA855" s="734"/>
    </row>
    <row r="856" spans="1:79" s="700" customFormat="1" hidden="1" outlineLevel="1" x14ac:dyDescent="0.25">
      <c r="A856" s="701"/>
      <c r="E856" s="570" t="s">
        <v>945</v>
      </c>
      <c r="F856" s="701"/>
      <c r="G856" s="733"/>
      <c r="H856" s="733"/>
      <c r="I856" s="733"/>
      <c r="J856" s="733"/>
      <c r="K856" s="733"/>
      <c r="L856" s="733"/>
      <c r="M856" s="733"/>
      <c r="N856" s="733"/>
      <c r="O856" s="733"/>
      <c r="P856" s="734"/>
      <c r="Q856" s="734"/>
      <c r="R856" s="734"/>
      <c r="S856" s="697"/>
      <c r="T856" s="697"/>
      <c r="U856" s="697"/>
      <c r="V856" s="697"/>
      <c r="W856" s="697"/>
      <c r="X856" s="697"/>
      <c r="Y856" s="697"/>
      <c r="Z856" s="697"/>
      <c r="AA856" s="697"/>
      <c r="AB856" s="697"/>
      <c r="AC856" s="696"/>
      <c r="AD856" s="696"/>
      <c r="AE856" s="697">
        <v>0</v>
      </c>
      <c r="AF856" s="733">
        <v>0</v>
      </c>
      <c r="AG856" s="696">
        <v>0</v>
      </c>
      <c r="AH856" s="734"/>
      <c r="AI856" s="734"/>
      <c r="AJ856" s="734"/>
      <c r="AK856" s="734"/>
      <c r="AL856" s="734"/>
      <c r="AM856" s="734"/>
      <c r="AN856" s="734"/>
      <c r="AO856" s="734"/>
      <c r="AP856" s="734"/>
      <c r="AQ856" s="734"/>
      <c r="AR856" s="734"/>
      <c r="AS856" s="734"/>
      <c r="AT856" s="734"/>
      <c r="AU856" s="734"/>
      <c r="AV856" s="734"/>
      <c r="AW856" s="734"/>
      <c r="AX856" s="734"/>
      <c r="AY856" s="734"/>
      <c r="AZ856" s="734"/>
      <c r="BA856" s="734"/>
      <c r="BB856" s="734"/>
      <c r="BC856" s="734"/>
      <c r="BD856" s="734"/>
      <c r="BE856" s="734"/>
      <c r="BF856" s="734"/>
      <c r="BG856" s="734"/>
      <c r="BH856" s="734"/>
      <c r="BI856" s="734"/>
      <c r="BJ856" s="734"/>
      <c r="BK856" s="734"/>
      <c r="BL856" s="734"/>
      <c r="BM856" s="734"/>
      <c r="BN856" s="734"/>
      <c r="BO856" s="734"/>
      <c r="BP856" s="734"/>
      <c r="BQ856" s="734"/>
      <c r="BR856" s="734"/>
      <c r="BS856" s="734"/>
      <c r="BT856" s="734"/>
      <c r="BU856" s="734"/>
      <c r="BV856" s="734"/>
      <c r="BW856" s="734"/>
      <c r="BX856" s="734"/>
      <c r="BY856" s="734"/>
      <c r="BZ856" s="734"/>
      <c r="CA856" s="734"/>
    </row>
    <row r="857" spans="1:79" s="451" customFormat="1" hidden="1" outlineLevel="1" x14ac:dyDescent="0.25">
      <c r="A857" s="656"/>
      <c r="B857" s="79"/>
      <c r="C857" s="79"/>
      <c r="D857" s="79"/>
      <c r="E857" s="570" t="s">
        <v>657</v>
      </c>
      <c r="F857" s="656" t="s">
        <v>641</v>
      </c>
      <c r="G857" s="716">
        <v>567.71409769424986</v>
      </c>
      <c r="H857" s="716">
        <v>325.71601666768237</v>
      </c>
      <c r="I857" s="716">
        <v>442.34431604494245</v>
      </c>
      <c r="J857" s="716">
        <v>927.69870393541692</v>
      </c>
      <c r="K857" s="716">
        <v>542.23067519166477</v>
      </c>
      <c r="L857" s="716">
        <v>575.37955142884823</v>
      </c>
      <c r="M857" s="716">
        <v>466.97401878430333</v>
      </c>
      <c r="N857" s="716">
        <v>565.15307443965139</v>
      </c>
      <c r="O857" s="716">
        <v>859.50143992938024</v>
      </c>
      <c r="P857" s="716">
        <v>549.98459765069379</v>
      </c>
      <c r="Q857" s="716">
        <v>897.86724825974136</v>
      </c>
      <c r="R857" s="716">
        <v>4057.3944743069546</v>
      </c>
      <c r="S857" s="667">
        <v>2124.6</v>
      </c>
      <c r="T857" s="667">
        <v>2888.78</v>
      </c>
      <c r="U857" s="667">
        <v>1552.44</v>
      </c>
      <c r="V857" s="667">
        <v>1726.05</v>
      </c>
      <c r="W857" s="667">
        <v>1239.06</v>
      </c>
      <c r="X857" s="667">
        <v>1472.7</v>
      </c>
      <c r="Y857" s="667">
        <v>3953.13</v>
      </c>
      <c r="Z857" s="667">
        <v>2493.44</v>
      </c>
      <c r="AA857" s="667">
        <v>2527.9499999999998</v>
      </c>
      <c r="AB857" s="667">
        <v>2124.66</v>
      </c>
      <c r="AC857" s="665">
        <v>0</v>
      </c>
      <c r="AD857" s="665">
        <v>0</v>
      </c>
      <c r="AE857" s="667">
        <v>0</v>
      </c>
      <c r="AF857" s="716">
        <v>0</v>
      </c>
      <c r="AG857" s="665">
        <v>0</v>
      </c>
      <c r="AH857" s="716"/>
      <c r="AI857" s="716"/>
      <c r="AJ857" s="716"/>
      <c r="AK857" s="716"/>
      <c r="AL857" s="716"/>
      <c r="AM857" s="716"/>
      <c r="AN857" s="716"/>
      <c r="AO857" s="716"/>
      <c r="AP857" s="716"/>
      <c r="AQ857" s="716"/>
      <c r="AR857" s="716"/>
      <c r="AS857" s="716"/>
      <c r="AT857" s="716"/>
      <c r="AU857" s="716"/>
      <c r="AV857" s="716"/>
      <c r="AW857" s="716"/>
      <c r="AX857" s="716"/>
      <c r="AY857" s="716"/>
      <c r="AZ857" s="716"/>
      <c r="BA857" s="716"/>
      <c r="BB857" s="716"/>
      <c r="BC857" s="716"/>
      <c r="BD857" s="716"/>
      <c r="BE857" s="716"/>
      <c r="BF857" s="716"/>
      <c r="BG857" s="716"/>
      <c r="BH857" s="716"/>
      <c r="BI857" s="716"/>
      <c r="BJ857" s="716"/>
      <c r="BK857" s="716"/>
      <c r="BL857" s="716"/>
      <c r="BM857" s="716"/>
      <c r="BN857" s="716"/>
      <c r="BO857" s="716"/>
      <c r="BP857" s="716"/>
      <c r="BQ857" s="716"/>
      <c r="BR857" s="716"/>
      <c r="BS857" s="716"/>
      <c r="BT857" s="716"/>
      <c r="BU857" s="716"/>
      <c r="BV857" s="716"/>
      <c r="BW857" s="716"/>
      <c r="BX857" s="716"/>
      <c r="BY857" s="716"/>
      <c r="BZ857" s="716"/>
      <c r="CA857" s="716"/>
    </row>
    <row r="858" spans="1:79" s="451" customFormat="1" hidden="1" outlineLevel="1" x14ac:dyDescent="0.25">
      <c r="A858" s="656"/>
      <c r="B858" s="576"/>
      <c r="C858" s="576"/>
      <c r="D858" s="576"/>
      <c r="E858" s="570" t="s">
        <v>1327</v>
      </c>
      <c r="F858" s="656" t="s">
        <v>906</v>
      </c>
      <c r="G858" s="716"/>
      <c r="H858" s="716"/>
      <c r="I858" s="716"/>
      <c r="J858" s="716"/>
      <c r="K858" s="716"/>
      <c r="L858" s="716"/>
      <c r="M858" s="716"/>
      <c r="N858" s="716"/>
      <c r="O858" s="716"/>
      <c r="P858" s="716"/>
      <c r="Q858" s="716"/>
      <c r="R858" s="716"/>
      <c r="S858" s="676">
        <v>0</v>
      </c>
      <c r="T858" s="676">
        <v>0</v>
      </c>
      <c r="U858" s="676">
        <v>0</v>
      </c>
      <c r="V858" s="676">
        <v>0</v>
      </c>
      <c r="W858" s="676">
        <v>0</v>
      </c>
      <c r="X858" s="676">
        <v>0</v>
      </c>
      <c r="Y858" s="676">
        <v>0</v>
      </c>
      <c r="Z858" s="676">
        <v>0</v>
      </c>
      <c r="AA858" s="676">
        <v>0</v>
      </c>
      <c r="AB858" s="676">
        <v>0</v>
      </c>
      <c r="AC858" s="673">
        <v>0</v>
      </c>
      <c r="AD858" s="673">
        <v>0</v>
      </c>
      <c r="AE858" s="676">
        <v>0</v>
      </c>
      <c r="AF858" s="716">
        <v>0</v>
      </c>
      <c r="AG858" s="673">
        <v>0</v>
      </c>
      <c r="AH858" s="716"/>
      <c r="AI858" s="716"/>
      <c r="AJ858" s="716"/>
      <c r="AK858" s="716"/>
      <c r="AL858" s="716"/>
      <c r="AM858" s="716"/>
      <c r="AN858" s="716"/>
      <c r="AO858" s="716"/>
      <c r="AP858" s="716"/>
      <c r="AQ858" s="716"/>
      <c r="AR858" s="716"/>
      <c r="AS858" s="716"/>
      <c r="AT858" s="716"/>
      <c r="AU858" s="716"/>
      <c r="AV858" s="716"/>
      <c r="AW858" s="716"/>
      <c r="AX858" s="716"/>
      <c r="AY858" s="716"/>
      <c r="AZ858" s="716"/>
      <c r="BA858" s="716"/>
      <c r="BB858" s="716"/>
      <c r="BC858" s="716"/>
      <c r="BD858" s="716"/>
      <c r="BE858" s="716"/>
      <c r="BF858" s="716"/>
      <c r="BG858" s="716"/>
      <c r="BH858" s="716"/>
      <c r="BI858" s="716"/>
      <c r="BJ858" s="716"/>
      <c r="BK858" s="716"/>
      <c r="BL858" s="716"/>
      <c r="BM858" s="716"/>
      <c r="BN858" s="716"/>
      <c r="BO858" s="716"/>
      <c r="BP858" s="716"/>
      <c r="BQ858" s="716"/>
      <c r="BR858" s="716"/>
      <c r="BS858" s="716"/>
      <c r="BT858" s="716"/>
      <c r="BU858" s="716"/>
      <c r="BV858" s="716"/>
      <c r="BW858" s="716"/>
      <c r="BX858" s="716"/>
      <c r="BY858" s="716"/>
      <c r="BZ858" s="716"/>
      <c r="CA858" s="716"/>
    </row>
    <row r="859" spans="1:79" s="451" customFormat="1" hidden="1" outlineLevel="1" x14ac:dyDescent="0.25">
      <c r="A859" s="656"/>
      <c r="B859" s="576"/>
      <c r="C859" s="576"/>
      <c r="D859" s="576"/>
      <c r="E859" s="570" t="s">
        <v>1327</v>
      </c>
      <c r="F859" s="656" t="s">
        <v>764</v>
      </c>
      <c r="G859" s="716"/>
      <c r="H859" s="716"/>
      <c r="I859" s="716"/>
      <c r="J859" s="716"/>
      <c r="K859" s="716"/>
      <c r="L859" s="716"/>
      <c r="M859" s="716"/>
      <c r="N859" s="716"/>
      <c r="O859" s="716"/>
      <c r="P859" s="716"/>
      <c r="Q859" s="716"/>
      <c r="R859" s="716"/>
      <c r="S859" s="676">
        <v>0</v>
      </c>
      <c r="T859" s="676">
        <v>0</v>
      </c>
      <c r="U859" s="676">
        <v>0</v>
      </c>
      <c r="V859" s="676">
        <v>0</v>
      </c>
      <c r="W859" s="676">
        <v>130</v>
      </c>
      <c r="X859" s="676">
        <v>20</v>
      </c>
      <c r="Y859" s="676">
        <v>20</v>
      </c>
      <c r="Z859" s="676">
        <v>20</v>
      </c>
      <c r="AA859" s="676">
        <v>20</v>
      </c>
      <c r="AB859" s="676">
        <v>20</v>
      </c>
      <c r="AC859" s="673">
        <v>20</v>
      </c>
      <c r="AD859" s="673">
        <v>0</v>
      </c>
      <c r="AE859" s="676">
        <v>0</v>
      </c>
      <c r="AF859" s="716">
        <v>0</v>
      </c>
      <c r="AG859" s="673">
        <v>0</v>
      </c>
      <c r="AH859" s="716"/>
      <c r="AI859" s="716"/>
      <c r="AJ859" s="716"/>
      <c r="AK859" s="716"/>
      <c r="AL859" s="716"/>
      <c r="AM859" s="716"/>
      <c r="AN859" s="716"/>
      <c r="AO859" s="716"/>
      <c r="AP859" s="716"/>
      <c r="AQ859" s="716"/>
      <c r="AR859" s="716"/>
      <c r="AS859" s="716"/>
      <c r="AT859" s="716"/>
      <c r="AU859" s="716"/>
      <c r="AV859" s="716"/>
      <c r="AW859" s="716"/>
      <c r="AX859" s="716"/>
      <c r="AY859" s="716"/>
      <c r="AZ859" s="716"/>
      <c r="BA859" s="716"/>
      <c r="BB859" s="716"/>
      <c r="BC859" s="716"/>
      <c r="BD859" s="716"/>
      <c r="BE859" s="716"/>
      <c r="BF859" s="716"/>
      <c r="BG859" s="716"/>
      <c r="BH859" s="716"/>
      <c r="BI859" s="716"/>
      <c r="BJ859" s="716"/>
      <c r="BK859" s="716"/>
      <c r="BL859" s="716"/>
      <c r="BM859" s="716"/>
      <c r="BN859" s="716"/>
      <c r="BO859" s="716"/>
      <c r="BP859" s="716"/>
      <c r="BQ859" s="716"/>
      <c r="BR859" s="716"/>
      <c r="BS859" s="716"/>
      <c r="BT859" s="716"/>
      <c r="BU859" s="716"/>
      <c r="BV859" s="716"/>
      <c r="BW859" s="716"/>
      <c r="BX859" s="716"/>
      <c r="BY859" s="716"/>
      <c r="BZ859" s="716"/>
      <c r="CA859" s="716"/>
    </row>
    <row r="860" spans="1:79" s="308" customFormat="1" hidden="1" outlineLevel="1" x14ac:dyDescent="0.25">
      <c r="A860" s="662"/>
      <c r="B860" s="29"/>
      <c r="C860" s="29"/>
      <c r="D860" s="29"/>
      <c r="E860" s="570" t="s">
        <v>49</v>
      </c>
      <c r="F860" s="662" t="s">
        <v>642</v>
      </c>
      <c r="G860" s="664">
        <f>SUM(G857:G859)</f>
        <v>567.71409769424986</v>
      </c>
      <c r="H860" s="664">
        <f t="shared" ref="H860:BN860" si="359">SUM(H857:H859)</f>
        <v>325.71601666768237</v>
      </c>
      <c r="I860" s="664">
        <f t="shared" si="359"/>
        <v>442.34431604494245</v>
      </c>
      <c r="J860" s="664">
        <f t="shared" si="359"/>
        <v>927.69870393541692</v>
      </c>
      <c r="K860" s="664">
        <f t="shared" si="359"/>
        <v>542.23067519166477</v>
      </c>
      <c r="L860" s="664">
        <f t="shared" si="359"/>
        <v>575.37955142884823</v>
      </c>
      <c r="M860" s="664">
        <f t="shared" si="359"/>
        <v>466.97401878430333</v>
      </c>
      <c r="N860" s="664">
        <f t="shared" si="359"/>
        <v>565.15307443965139</v>
      </c>
      <c r="O860" s="664">
        <f t="shared" si="359"/>
        <v>859.50143992938024</v>
      </c>
      <c r="P860" s="664">
        <f t="shared" si="359"/>
        <v>549.98459765069379</v>
      </c>
      <c r="Q860" s="664">
        <f t="shared" si="359"/>
        <v>897.86724825974136</v>
      </c>
      <c r="R860" s="664">
        <f t="shared" si="359"/>
        <v>4057.3944743069546</v>
      </c>
      <c r="S860" s="678">
        <f t="shared" ref="S860:AA860" si="360">ROUND(SUM(S855:S859),5)</f>
        <v>2124.6</v>
      </c>
      <c r="T860" s="678">
        <f t="shared" si="360"/>
        <v>2888.78</v>
      </c>
      <c r="U860" s="678">
        <f t="shared" si="360"/>
        <v>1552.44</v>
      </c>
      <c r="V860" s="678">
        <f t="shared" si="360"/>
        <v>1726.05</v>
      </c>
      <c r="W860" s="678">
        <f t="shared" si="360"/>
        <v>1369.06</v>
      </c>
      <c r="X860" s="678">
        <f t="shared" si="360"/>
        <v>1492.7</v>
      </c>
      <c r="Y860" s="678">
        <f t="shared" si="360"/>
        <v>3973.13</v>
      </c>
      <c r="Z860" s="678">
        <f t="shared" si="360"/>
        <v>2513.44</v>
      </c>
      <c r="AA860" s="678">
        <f t="shared" si="360"/>
        <v>2547.9499999999998</v>
      </c>
      <c r="AB860" s="678">
        <f t="shared" ref="AB860:AG860" si="361">ROUND(SUM(AB855:AB859),5)</f>
        <v>2144.66</v>
      </c>
      <c r="AC860" s="678">
        <f t="shared" si="361"/>
        <v>20</v>
      </c>
      <c r="AD860" s="678">
        <f t="shared" si="361"/>
        <v>0</v>
      </c>
      <c r="AE860" s="678">
        <f t="shared" si="361"/>
        <v>0</v>
      </c>
      <c r="AF860" s="664">
        <f t="shared" si="361"/>
        <v>0</v>
      </c>
      <c r="AG860" s="678">
        <f t="shared" si="361"/>
        <v>0</v>
      </c>
      <c r="AH860" s="664">
        <f t="shared" si="359"/>
        <v>0</v>
      </c>
      <c r="AI860" s="664">
        <f t="shared" si="359"/>
        <v>0</v>
      </c>
      <c r="AJ860" s="664">
        <f t="shared" si="359"/>
        <v>0</v>
      </c>
      <c r="AK860" s="664">
        <f t="shared" si="359"/>
        <v>0</v>
      </c>
      <c r="AL860" s="664">
        <f t="shared" si="359"/>
        <v>0</v>
      </c>
      <c r="AM860" s="664">
        <f t="shared" si="359"/>
        <v>0</v>
      </c>
      <c r="AN860" s="664">
        <f t="shared" si="359"/>
        <v>0</v>
      </c>
      <c r="AO860" s="664">
        <f t="shared" si="359"/>
        <v>0</v>
      </c>
      <c r="AP860" s="664">
        <f t="shared" si="359"/>
        <v>0</v>
      </c>
      <c r="AQ860" s="664">
        <f t="shared" si="359"/>
        <v>0</v>
      </c>
      <c r="AR860" s="664">
        <f t="shared" si="359"/>
        <v>0</v>
      </c>
      <c r="AS860" s="664">
        <f t="shared" si="359"/>
        <v>0</v>
      </c>
      <c r="AT860" s="664">
        <f t="shared" si="359"/>
        <v>0</v>
      </c>
      <c r="AU860" s="664">
        <f t="shared" si="359"/>
        <v>0</v>
      </c>
      <c r="AV860" s="664">
        <f t="shared" si="359"/>
        <v>0</v>
      </c>
      <c r="AW860" s="664">
        <f t="shared" si="359"/>
        <v>0</v>
      </c>
      <c r="AX860" s="664">
        <f t="shared" si="359"/>
        <v>0</v>
      </c>
      <c r="AY860" s="664">
        <f t="shared" si="359"/>
        <v>0</v>
      </c>
      <c r="AZ860" s="664">
        <f t="shared" si="359"/>
        <v>0</v>
      </c>
      <c r="BA860" s="664">
        <f t="shared" si="359"/>
        <v>0</v>
      </c>
      <c r="BB860" s="664">
        <f t="shared" si="359"/>
        <v>0</v>
      </c>
      <c r="BC860" s="664">
        <f t="shared" si="359"/>
        <v>0</v>
      </c>
      <c r="BD860" s="664">
        <f t="shared" si="359"/>
        <v>0</v>
      </c>
      <c r="BE860" s="664">
        <f t="shared" si="359"/>
        <v>0</v>
      </c>
      <c r="BF860" s="664">
        <f t="shared" si="359"/>
        <v>0</v>
      </c>
      <c r="BG860" s="664">
        <f t="shared" si="359"/>
        <v>0</v>
      </c>
      <c r="BH860" s="664">
        <f t="shared" si="359"/>
        <v>0</v>
      </c>
      <c r="BI860" s="664">
        <f t="shared" si="359"/>
        <v>0</v>
      </c>
      <c r="BJ860" s="664">
        <f t="shared" si="359"/>
        <v>0</v>
      </c>
      <c r="BK860" s="664">
        <f t="shared" si="359"/>
        <v>0</v>
      </c>
      <c r="BL860" s="664">
        <f t="shared" si="359"/>
        <v>0</v>
      </c>
      <c r="BM860" s="664">
        <f t="shared" si="359"/>
        <v>0</v>
      </c>
      <c r="BN860" s="664">
        <f t="shared" si="359"/>
        <v>0</v>
      </c>
      <c r="BO860" s="664">
        <f>SUM(BO857:BO859)</f>
        <v>0</v>
      </c>
      <c r="BP860" s="664">
        <f t="shared" ref="BP860:BZ860" si="362">SUM(BP857:BP859)</f>
        <v>0</v>
      </c>
      <c r="BQ860" s="664">
        <f t="shared" si="362"/>
        <v>0</v>
      </c>
      <c r="BR860" s="664">
        <f t="shared" si="362"/>
        <v>0</v>
      </c>
      <c r="BS860" s="664">
        <f t="shared" si="362"/>
        <v>0</v>
      </c>
      <c r="BT860" s="664">
        <f t="shared" si="362"/>
        <v>0</v>
      </c>
      <c r="BU860" s="664">
        <f t="shared" si="362"/>
        <v>0</v>
      </c>
      <c r="BV860" s="664">
        <f t="shared" si="362"/>
        <v>0</v>
      </c>
      <c r="BW860" s="664">
        <f t="shared" si="362"/>
        <v>0</v>
      </c>
      <c r="BX860" s="664">
        <f t="shared" si="362"/>
        <v>0</v>
      </c>
      <c r="BY860" s="664">
        <f t="shared" si="362"/>
        <v>0</v>
      </c>
      <c r="BZ860" s="664">
        <f t="shared" si="362"/>
        <v>0</v>
      </c>
      <c r="CA860" s="664">
        <f>SUM(CA857:CA859)</f>
        <v>0</v>
      </c>
    </row>
    <row r="861" spans="1:79" s="308" customFormat="1" hidden="1" outlineLevel="1" x14ac:dyDescent="0.25">
      <c r="A861" s="658"/>
      <c r="B861" s="29"/>
      <c r="C861" s="29"/>
      <c r="D861" s="29"/>
      <c r="E861" s="570" t="s">
        <v>922</v>
      </c>
      <c r="F861" s="658" t="s">
        <v>603</v>
      </c>
      <c r="G861" s="716"/>
      <c r="H861" s="716">
        <v>30.272292715912545</v>
      </c>
      <c r="I861" s="716">
        <v>30.827843056834766</v>
      </c>
      <c r="J861" s="716">
        <v>26.90166949799049</v>
      </c>
      <c r="K861" s="716">
        <v>48.471245781313726</v>
      </c>
      <c r="L861" s="716"/>
      <c r="M861" s="716">
        <v>5.2057850836963269</v>
      </c>
      <c r="N861" s="716">
        <v>400</v>
      </c>
      <c r="O861" s="716"/>
      <c r="P861" s="716">
        <v>1.6362716702390572</v>
      </c>
      <c r="Q861" s="716"/>
      <c r="R861" s="716"/>
      <c r="S861" s="667">
        <v>0</v>
      </c>
      <c r="T861" s="667">
        <v>0</v>
      </c>
      <c r="U861" s="667">
        <v>104.43</v>
      </c>
      <c r="V861" s="667">
        <v>0</v>
      </c>
      <c r="W861" s="667">
        <v>0</v>
      </c>
      <c r="X861" s="667">
        <v>0</v>
      </c>
      <c r="Y861" s="667">
        <v>0</v>
      </c>
      <c r="Z861" s="667">
        <v>978.35</v>
      </c>
      <c r="AA861" s="667">
        <v>0</v>
      </c>
      <c r="AB861" s="667">
        <v>0</v>
      </c>
      <c r="AC861" s="665">
        <v>0</v>
      </c>
      <c r="AD861" s="665">
        <v>0</v>
      </c>
      <c r="AE861" s="667">
        <v>0</v>
      </c>
      <c r="AF861" s="716">
        <v>0</v>
      </c>
      <c r="AG861" s="665">
        <v>1398.6</v>
      </c>
      <c r="AH861" s="716"/>
      <c r="AI861" s="716"/>
      <c r="AJ861" s="716"/>
      <c r="AK861" s="716"/>
      <c r="AL861" s="716"/>
      <c r="AM861" s="716"/>
      <c r="AN861" s="716"/>
      <c r="AO861" s="716"/>
      <c r="AP861" s="716"/>
      <c r="AQ861" s="716"/>
      <c r="AR861" s="716"/>
      <c r="AS861" s="716"/>
      <c r="AT861" s="716"/>
      <c r="AU861" s="716"/>
      <c r="AV861" s="716"/>
      <c r="AW861" s="716"/>
      <c r="AX861" s="716"/>
      <c r="AY861" s="716"/>
      <c r="AZ861" s="716"/>
      <c r="BA861" s="716"/>
      <c r="BB861" s="716"/>
      <c r="BC861" s="716"/>
      <c r="BD861" s="716"/>
      <c r="BE861" s="716"/>
      <c r="BF861" s="716"/>
      <c r="BG861" s="716"/>
      <c r="BH861" s="716"/>
      <c r="BI861" s="716"/>
      <c r="BJ861" s="716"/>
      <c r="BK861" s="716"/>
      <c r="BL861" s="716"/>
      <c r="BM861" s="716"/>
      <c r="BN861" s="716"/>
      <c r="BO861" s="716"/>
      <c r="BP861" s="716"/>
      <c r="BQ861" s="716"/>
      <c r="BR861" s="716"/>
      <c r="BS861" s="716"/>
      <c r="BT861" s="716"/>
      <c r="BU861" s="716"/>
      <c r="BV861" s="716"/>
      <c r="BW861" s="716"/>
      <c r="BX861" s="716"/>
      <c r="BY861" s="716"/>
      <c r="BZ861" s="716"/>
      <c r="CA861" s="716"/>
    </row>
    <row r="862" spans="1:79" s="308" customFormat="1" hidden="1" outlineLevel="1" x14ac:dyDescent="0.25">
      <c r="A862" s="658"/>
      <c r="B862" s="29"/>
      <c r="C862" s="29"/>
      <c r="D862" s="29"/>
      <c r="E862" s="570" t="s">
        <v>918</v>
      </c>
      <c r="F862" s="658" t="s">
        <v>604</v>
      </c>
      <c r="G862" s="716">
        <v>189.68136626787017</v>
      </c>
      <c r="H862" s="716">
        <v>30.40736543394544</v>
      </c>
      <c r="I862" s="716">
        <v>18.87418962663353</v>
      </c>
      <c r="J862" s="716">
        <v>2114.6729850632873</v>
      </c>
      <c r="K862" s="716">
        <v>98.806770246524138</v>
      </c>
      <c r="L862" s="716">
        <v>1475.4342405611192</v>
      </c>
      <c r="M862" s="716">
        <v>1249.383214302035</v>
      </c>
      <c r="N862" s="716">
        <v>1569.7922023306055</v>
      </c>
      <c r="O862" s="716">
        <v>9.5096398287221486</v>
      </c>
      <c r="P862" s="716">
        <v>1004.538503482869</v>
      </c>
      <c r="Q862" s="716"/>
      <c r="R862" s="716"/>
      <c r="S862" s="667">
        <v>0</v>
      </c>
      <c r="T862" s="667">
        <v>0</v>
      </c>
      <c r="U862" s="667">
        <v>0</v>
      </c>
      <c r="V862" s="667">
        <v>0</v>
      </c>
      <c r="W862" s="667">
        <v>0</v>
      </c>
      <c r="X862" s="667">
        <v>0</v>
      </c>
      <c r="Y862" s="667">
        <v>0</v>
      </c>
      <c r="Z862" s="667">
        <v>0</v>
      </c>
      <c r="AA862" s="667">
        <v>0</v>
      </c>
      <c r="AB862" s="667">
        <v>0</v>
      </c>
      <c r="AC862" s="665">
        <v>0</v>
      </c>
      <c r="AD862" s="665">
        <v>0</v>
      </c>
      <c r="AE862" s="667">
        <v>0</v>
      </c>
      <c r="AF862" s="716">
        <v>0</v>
      </c>
      <c r="AG862" s="665">
        <v>0</v>
      </c>
      <c r="AH862" s="716"/>
      <c r="AI862" s="716"/>
      <c r="AJ862" s="716"/>
      <c r="AK862" s="716"/>
      <c r="AL862" s="716"/>
      <c r="AM862" s="716"/>
      <c r="AN862" s="716"/>
      <c r="AO862" s="716"/>
      <c r="AP862" s="716"/>
      <c r="AQ862" s="716"/>
      <c r="AR862" s="716"/>
      <c r="AS862" s="716"/>
      <c r="AT862" s="716"/>
      <c r="AU862" s="716"/>
      <c r="AV862" s="716"/>
      <c r="AW862" s="716"/>
      <c r="AX862" s="716"/>
      <c r="AY862" s="716"/>
      <c r="AZ862" s="716"/>
      <c r="BA862" s="716"/>
      <c r="BB862" s="716"/>
      <c r="BC862" s="716"/>
      <c r="BD862" s="716"/>
      <c r="BE862" s="716"/>
      <c r="BF862" s="716"/>
      <c r="BG862" s="716"/>
      <c r="BH862" s="716"/>
      <c r="BI862" s="716"/>
      <c r="BJ862" s="716"/>
      <c r="BK862" s="716"/>
      <c r="BL862" s="716"/>
      <c r="BM862" s="716"/>
      <c r="BN862" s="716"/>
      <c r="BO862" s="716"/>
      <c r="BP862" s="716"/>
      <c r="BQ862" s="716"/>
      <c r="BR862" s="716"/>
      <c r="BS862" s="716"/>
      <c r="BT862" s="716"/>
      <c r="BU862" s="716"/>
      <c r="BV862" s="716"/>
      <c r="BW862" s="716"/>
      <c r="BX862" s="716"/>
      <c r="BY862" s="716"/>
      <c r="BZ862" s="716"/>
      <c r="CA862" s="716"/>
    </row>
    <row r="863" spans="1:79" s="710" customFormat="1" hidden="1" outlineLevel="1" x14ac:dyDescent="0.25">
      <c r="A863" s="701"/>
      <c r="E863" s="570" t="s">
        <v>1341</v>
      </c>
      <c r="F863" s="701" t="s">
        <v>652</v>
      </c>
      <c r="G863" s="734"/>
      <c r="H863" s="734"/>
      <c r="I863" s="734"/>
      <c r="J863" s="734"/>
      <c r="K863" s="734"/>
      <c r="L863" s="734"/>
      <c r="M863" s="734"/>
      <c r="N863" s="734"/>
      <c r="O863" s="734"/>
      <c r="P863" s="734"/>
      <c r="Q863" s="734"/>
      <c r="R863" s="734"/>
      <c r="S863" s="704"/>
      <c r="T863" s="704"/>
      <c r="U863" s="704"/>
      <c r="V863" s="704"/>
      <c r="W863" s="704"/>
      <c r="X863" s="704"/>
      <c r="Y863" s="704"/>
      <c r="Z863" s="704"/>
      <c r="AA863" s="704"/>
      <c r="AB863" s="704"/>
      <c r="AC863" s="702"/>
      <c r="AD863" s="702"/>
      <c r="AE863" s="704"/>
      <c r="AF863" s="734"/>
      <c r="AG863" s="702"/>
      <c r="AH863" s="734"/>
      <c r="AI863" s="734"/>
      <c r="AJ863" s="734"/>
      <c r="AK863" s="734"/>
      <c r="AL863" s="734"/>
      <c r="AM863" s="734"/>
      <c r="AN863" s="734"/>
      <c r="AO863" s="734"/>
      <c r="AP863" s="734"/>
      <c r="AQ863" s="734"/>
      <c r="AR863" s="734"/>
      <c r="AS863" s="734"/>
      <c r="AT863" s="734"/>
      <c r="AU863" s="734"/>
      <c r="AV863" s="734"/>
      <c r="AW863" s="734"/>
      <c r="AX863" s="734"/>
      <c r="AY863" s="734"/>
      <c r="AZ863" s="734"/>
      <c r="BA863" s="734"/>
      <c r="BB863" s="734"/>
      <c r="BC863" s="734"/>
      <c r="BD863" s="734"/>
      <c r="BE863" s="734"/>
      <c r="BF863" s="734"/>
      <c r="BG863" s="734"/>
      <c r="BH863" s="734"/>
      <c r="BI863" s="734"/>
      <c r="BJ863" s="734"/>
      <c r="BK863" s="734"/>
      <c r="BL863" s="734"/>
      <c r="BM863" s="734"/>
      <c r="BN863" s="734"/>
      <c r="BO863" s="734"/>
      <c r="BP863" s="734"/>
      <c r="BQ863" s="734"/>
      <c r="BR863" s="734"/>
      <c r="BS863" s="734"/>
      <c r="BT863" s="734"/>
      <c r="BU863" s="734"/>
      <c r="BV863" s="734"/>
      <c r="BW863" s="734"/>
      <c r="BX863" s="734"/>
      <c r="BY863" s="734"/>
      <c r="BZ863" s="734"/>
      <c r="CA863" s="734"/>
    </row>
    <row r="864" spans="1:79" s="308" customFormat="1" hidden="1" outlineLevel="1" x14ac:dyDescent="0.25">
      <c r="A864" s="656"/>
      <c r="B864" s="571"/>
      <c r="C864" s="571"/>
      <c r="D864" s="571"/>
      <c r="E864" s="570" t="s">
        <v>1341</v>
      </c>
      <c r="F864" s="656" t="s">
        <v>653</v>
      </c>
      <c r="G864" s="716"/>
      <c r="H864" s="716"/>
      <c r="I864" s="716"/>
      <c r="J864" s="716"/>
      <c r="K864" s="716"/>
      <c r="L864" s="716"/>
      <c r="M864" s="716"/>
      <c r="N864" s="716"/>
      <c r="O864" s="716"/>
      <c r="P864" s="716"/>
      <c r="Q864" s="716"/>
      <c r="R864" s="716"/>
      <c r="S864" s="667">
        <v>0</v>
      </c>
      <c r="T864" s="667">
        <v>0</v>
      </c>
      <c r="U864" s="667">
        <v>0</v>
      </c>
      <c r="V864" s="667">
        <v>0</v>
      </c>
      <c r="W864" s="667">
        <v>0</v>
      </c>
      <c r="X864" s="667">
        <v>0</v>
      </c>
      <c r="Y864" s="667">
        <v>0</v>
      </c>
      <c r="Z864" s="667">
        <v>0</v>
      </c>
      <c r="AA864" s="667">
        <v>0</v>
      </c>
      <c r="AB864" s="667">
        <v>0</v>
      </c>
      <c r="AC864" s="665">
        <v>0</v>
      </c>
      <c r="AD864" s="665">
        <v>0</v>
      </c>
      <c r="AE864" s="667">
        <v>0</v>
      </c>
      <c r="AF864" s="716">
        <v>0</v>
      </c>
      <c r="AG864" s="665">
        <v>0</v>
      </c>
      <c r="AH864" s="716"/>
      <c r="AI864" s="716"/>
      <c r="AJ864" s="716"/>
      <c r="AK864" s="716"/>
      <c r="AL864" s="716"/>
      <c r="AM864" s="716"/>
      <c r="AN864" s="716"/>
      <c r="AO864" s="716"/>
      <c r="AP864" s="716"/>
      <c r="AQ864" s="716"/>
      <c r="AR864" s="716"/>
      <c r="AS864" s="716"/>
      <c r="AT864" s="716"/>
      <c r="AU864" s="716"/>
      <c r="AV864" s="716"/>
      <c r="AW864" s="716"/>
      <c r="AX864" s="716"/>
      <c r="AY864" s="716"/>
      <c r="AZ864" s="716"/>
      <c r="BA864" s="716"/>
      <c r="BB864" s="716"/>
      <c r="BC864" s="716"/>
      <c r="BD864" s="716"/>
      <c r="BE864" s="716"/>
      <c r="BF864" s="716"/>
      <c r="BG864" s="716"/>
      <c r="BH864" s="716"/>
      <c r="BI864" s="716"/>
      <c r="BJ864" s="716"/>
      <c r="BK864" s="716"/>
      <c r="BL864" s="716"/>
      <c r="BM864" s="716"/>
      <c r="BN864" s="716"/>
      <c r="BO864" s="716"/>
      <c r="BP864" s="716"/>
      <c r="BQ864" s="716"/>
      <c r="BR864" s="716"/>
      <c r="BS864" s="716"/>
      <c r="BT864" s="716"/>
      <c r="BU864" s="716"/>
      <c r="BV864" s="716"/>
      <c r="BW864" s="716"/>
      <c r="BX864" s="716"/>
      <c r="BY864" s="716"/>
      <c r="BZ864" s="716"/>
      <c r="CA864" s="716"/>
    </row>
    <row r="865" spans="1:79" s="308" customFormat="1" hidden="1" outlineLevel="1" x14ac:dyDescent="0.25">
      <c r="A865" s="656"/>
      <c r="B865" s="571"/>
      <c r="C865" s="571"/>
      <c r="D865" s="571"/>
      <c r="E865" s="570" t="s">
        <v>1341</v>
      </c>
      <c r="F865" s="656" t="s">
        <v>907</v>
      </c>
      <c r="G865" s="716"/>
      <c r="H865" s="716"/>
      <c r="I865" s="716"/>
      <c r="J865" s="716"/>
      <c r="K865" s="716"/>
      <c r="L865" s="716"/>
      <c r="M865" s="716"/>
      <c r="N865" s="716"/>
      <c r="O865" s="716"/>
      <c r="P865" s="716"/>
      <c r="Q865" s="716"/>
      <c r="R865" s="716"/>
      <c r="S865" s="667">
        <v>0</v>
      </c>
      <c r="T865" s="667">
        <v>0</v>
      </c>
      <c r="U865" s="667">
        <v>0</v>
      </c>
      <c r="V865" s="667">
        <v>0</v>
      </c>
      <c r="W865" s="667">
        <v>0</v>
      </c>
      <c r="X865" s="667">
        <v>0</v>
      </c>
      <c r="Y865" s="667">
        <v>0</v>
      </c>
      <c r="Z865" s="667">
        <v>0</v>
      </c>
      <c r="AA865" s="667">
        <v>0</v>
      </c>
      <c r="AB865" s="667">
        <v>0</v>
      </c>
      <c r="AC865" s="665">
        <v>0</v>
      </c>
      <c r="AD865" s="665">
        <v>0</v>
      </c>
      <c r="AE865" s="667">
        <v>0</v>
      </c>
      <c r="AF865" s="716">
        <v>0</v>
      </c>
      <c r="AG865" s="665">
        <v>0</v>
      </c>
      <c r="AH865" s="716"/>
      <c r="AI865" s="716"/>
      <c r="AJ865" s="716"/>
      <c r="AK865" s="716"/>
      <c r="AL865" s="716"/>
      <c r="AM865" s="716"/>
      <c r="AN865" s="716"/>
      <c r="AO865" s="716"/>
      <c r="AP865" s="716"/>
      <c r="AQ865" s="716"/>
      <c r="AR865" s="716"/>
      <c r="AS865" s="716"/>
      <c r="AT865" s="716"/>
      <c r="AU865" s="716"/>
      <c r="AV865" s="716"/>
      <c r="AW865" s="716"/>
      <c r="AX865" s="716"/>
      <c r="AY865" s="716"/>
      <c r="AZ865" s="716"/>
      <c r="BA865" s="716"/>
      <c r="BB865" s="716"/>
      <c r="BC865" s="716"/>
      <c r="BD865" s="716"/>
      <c r="BE865" s="716"/>
      <c r="BF865" s="716"/>
      <c r="BG865" s="716"/>
      <c r="BH865" s="716"/>
      <c r="BI865" s="716"/>
      <c r="BJ865" s="716"/>
      <c r="BK865" s="716"/>
      <c r="BL865" s="716"/>
      <c r="BM865" s="716"/>
      <c r="BN865" s="716"/>
      <c r="BO865" s="716"/>
      <c r="BP865" s="716"/>
      <c r="BQ865" s="716"/>
      <c r="BR865" s="716"/>
      <c r="BS865" s="716"/>
      <c r="BT865" s="716"/>
      <c r="BU865" s="716"/>
      <c r="BV865" s="716"/>
      <c r="BW865" s="716"/>
      <c r="BX865" s="716"/>
      <c r="BY865" s="716"/>
      <c r="BZ865" s="716"/>
      <c r="CA865" s="716"/>
    </row>
    <row r="866" spans="1:79" s="308" customFormat="1" hidden="1" outlineLevel="1" x14ac:dyDescent="0.25">
      <c r="A866" s="656"/>
      <c r="B866" s="571"/>
      <c r="C866" s="571"/>
      <c r="D866" s="571"/>
      <c r="E866" s="570" t="s">
        <v>1341</v>
      </c>
      <c r="F866" s="656" t="s">
        <v>908</v>
      </c>
      <c r="G866" s="716"/>
      <c r="H866" s="716"/>
      <c r="I866" s="716"/>
      <c r="J866" s="716"/>
      <c r="K866" s="716"/>
      <c r="L866" s="716"/>
      <c r="M866" s="716"/>
      <c r="N866" s="716"/>
      <c r="O866" s="716"/>
      <c r="P866" s="716"/>
      <c r="Q866" s="716"/>
      <c r="R866" s="716"/>
      <c r="S866" s="667">
        <v>0</v>
      </c>
      <c r="T866" s="667">
        <v>0</v>
      </c>
      <c r="U866" s="667">
        <v>0</v>
      </c>
      <c r="V866" s="667">
        <v>0</v>
      </c>
      <c r="W866" s="667">
        <v>0</v>
      </c>
      <c r="X866" s="667">
        <v>0</v>
      </c>
      <c r="Y866" s="667">
        <v>0</v>
      </c>
      <c r="Z866" s="667">
        <v>0</v>
      </c>
      <c r="AA866" s="667">
        <v>0</v>
      </c>
      <c r="AB866" s="667">
        <v>0</v>
      </c>
      <c r="AC866" s="665">
        <v>0</v>
      </c>
      <c r="AD866" s="665">
        <v>0</v>
      </c>
      <c r="AE866" s="667">
        <v>0</v>
      </c>
      <c r="AF866" s="716">
        <v>0</v>
      </c>
      <c r="AG866" s="665">
        <v>0</v>
      </c>
      <c r="AH866" s="716"/>
      <c r="AI866" s="716"/>
      <c r="AJ866" s="716"/>
      <c r="AK866" s="716"/>
      <c r="AL866" s="716"/>
      <c r="AM866" s="716"/>
      <c r="AN866" s="716"/>
      <c r="AO866" s="716"/>
      <c r="AP866" s="716"/>
      <c r="AQ866" s="716"/>
      <c r="AR866" s="716"/>
      <c r="AS866" s="716"/>
      <c r="AT866" s="716"/>
      <c r="AU866" s="716"/>
      <c r="AV866" s="716"/>
      <c r="AW866" s="716"/>
      <c r="AX866" s="716"/>
      <c r="AY866" s="716"/>
      <c r="AZ866" s="716"/>
      <c r="BA866" s="716"/>
      <c r="BB866" s="716"/>
      <c r="BC866" s="716"/>
      <c r="BD866" s="716"/>
      <c r="BE866" s="716"/>
      <c r="BF866" s="716"/>
      <c r="BG866" s="716"/>
      <c r="BH866" s="716"/>
      <c r="BI866" s="716"/>
      <c r="BJ866" s="716"/>
      <c r="BK866" s="716"/>
      <c r="BL866" s="716"/>
      <c r="BM866" s="716"/>
      <c r="BN866" s="716"/>
      <c r="BO866" s="716"/>
      <c r="BP866" s="716"/>
      <c r="BQ866" s="716"/>
      <c r="BR866" s="716"/>
      <c r="BS866" s="716"/>
      <c r="BT866" s="716"/>
      <c r="BU866" s="716"/>
      <c r="BV866" s="716"/>
      <c r="BW866" s="716"/>
      <c r="BX866" s="716"/>
      <c r="BY866" s="716"/>
      <c r="BZ866" s="716"/>
      <c r="CA866" s="716"/>
    </row>
    <row r="867" spans="1:79" s="308" customFormat="1" hidden="1" outlineLevel="1" x14ac:dyDescent="0.25">
      <c r="A867" s="656"/>
      <c r="B867" s="29"/>
      <c r="C867" s="29"/>
      <c r="D867" s="29"/>
      <c r="E867" s="570" t="s">
        <v>1341</v>
      </c>
      <c r="F867" s="656" t="s">
        <v>654</v>
      </c>
      <c r="G867" s="716"/>
      <c r="H867" s="716"/>
      <c r="I867" s="716"/>
      <c r="J867" s="716">
        <v>255.56586023090964</v>
      </c>
      <c r="K867" s="716"/>
      <c r="L867" s="716">
        <v>399.60649988113352</v>
      </c>
      <c r="M867" s="716"/>
      <c r="N867" s="716"/>
      <c r="O867" s="716"/>
      <c r="P867" s="716"/>
      <c r="Q867" s="716"/>
      <c r="R867" s="716">
        <v>344.43161669744131</v>
      </c>
      <c r="S867" s="667">
        <v>0</v>
      </c>
      <c r="T867" s="667">
        <v>0</v>
      </c>
      <c r="U867" s="667">
        <v>0</v>
      </c>
      <c r="V867" s="667">
        <v>0</v>
      </c>
      <c r="W867" s="667">
        <v>0</v>
      </c>
      <c r="X867" s="667">
        <v>0</v>
      </c>
      <c r="Y867" s="667">
        <v>0</v>
      </c>
      <c r="Z867" s="667">
        <v>0</v>
      </c>
      <c r="AA867" s="667">
        <v>0</v>
      </c>
      <c r="AB867" s="667">
        <v>0</v>
      </c>
      <c r="AC867" s="665">
        <v>0</v>
      </c>
      <c r="AD867" s="665">
        <v>0</v>
      </c>
      <c r="AE867" s="667">
        <v>0</v>
      </c>
      <c r="AF867" s="716">
        <v>0</v>
      </c>
      <c r="AG867" s="665">
        <v>0</v>
      </c>
      <c r="AH867" s="716"/>
      <c r="AI867" s="716"/>
      <c r="AJ867" s="716"/>
      <c r="AK867" s="716"/>
      <c r="AL867" s="716"/>
      <c r="AM867" s="716"/>
      <c r="AN867" s="716"/>
      <c r="AO867" s="716"/>
      <c r="AP867" s="716"/>
      <c r="AQ867" s="716"/>
      <c r="AR867" s="716"/>
      <c r="AS867" s="716"/>
      <c r="AT867" s="716"/>
      <c r="AU867" s="716"/>
      <c r="AV867" s="716"/>
      <c r="AW867" s="716"/>
      <c r="AX867" s="716"/>
      <c r="AY867" s="716"/>
      <c r="AZ867" s="716"/>
      <c r="BA867" s="716"/>
      <c r="BB867" s="716"/>
      <c r="BC867" s="716"/>
      <c r="BD867" s="716"/>
      <c r="BE867" s="716"/>
      <c r="BF867" s="716"/>
      <c r="BG867" s="716"/>
      <c r="BH867" s="716"/>
      <c r="BI867" s="716"/>
      <c r="BJ867" s="716"/>
      <c r="BK867" s="716"/>
      <c r="BL867" s="716"/>
      <c r="BM867" s="716"/>
      <c r="BN867" s="716"/>
      <c r="BO867" s="716"/>
      <c r="BP867" s="716"/>
      <c r="BQ867" s="716"/>
      <c r="BR867" s="716"/>
      <c r="BS867" s="716"/>
      <c r="BT867" s="716"/>
      <c r="BU867" s="716"/>
      <c r="BV867" s="716"/>
      <c r="BW867" s="716"/>
      <c r="BX867" s="716"/>
      <c r="BY867" s="716"/>
      <c r="BZ867" s="716"/>
      <c r="CA867" s="716"/>
    </row>
    <row r="868" spans="1:79" s="308" customFormat="1" hidden="1" outlineLevel="1" x14ac:dyDescent="0.25">
      <c r="A868" s="656"/>
      <c r="B868" s="29"/>
      <c r="C868" s="29"/>
      <c r="D868" s="29"/>
      <c r="E868" s="570" t="s">
        <v>1341</v>
      </c>
      <c r="F868" s="656" t="s">
        <v>909</v>
      </c>
      <c r="G868" s="716"/>
      <c r="H868" s="716"/>
      <c r="I868" s="716">
        <v>-555.7819705389353</v>
      </c>
      <c r="J868" s="716"/>
      <c r="K868" s="716"/>
      <c r="L868" s="716"/>
      <c r="M868" s="716"/>
      <c r="N868" s="716"/>
      <c r="O868" s="716"/>
      <c r="P868" s="716"/>
      <c r="Q868" s="716"/>
      <c r="R868" s="716"/>
      <c r="S868" s="667">
        <v>0</v>
      </c>
      <c r="T868" s="667">
        <v>0</v>
      </c>
      <c r="U868" s="667">
        <v>0</v>
      </c>
      <c r="V868" s="667">
        <v>0</v>
      </c>
      <c r="W868" s="667">
        <v>0</v>
      </c>
      <c r="X868" s="667">
        <v>0</v>
      </c>
      <c r="Y868" s="667">
        <v>0</v>
      </c>
      <c r="Z868" s="667">
        <v>0</v>
      </c>
      <c r="AA868" s="667">
        <v>0</v>
      </c>
      <c r="AB868" s="667">
        <v>0</v>
      </c>
      <c r="AC868" s="665">
        <v>0</v>
      </c>
      <c r="AD868" s="665">
        <v>0</v>
      </c>
      <c r="AE868" s="667">
        <v>0</v>
      </c>
      <c r="AF868" s="716">
        <v>0</v>
      </c>
      <c r="AG868" s="665">
        <v>0</v>
      </c>
      <c r="AH868" s="716"/>
      <c r="AI868" s="716"/>
      <c r="AJ868" s="716"/>
      <c r="AK868" s="716"/>
      <c r="AL868" s="716"/>
      <c r="AM868" s="716"/>
      <c r="AN868" s="716"/>
      <c r="AO868" s="716"/>
      <c r="AP868" s="716"/>
      <c r="AQ868" s="716"/>
      <c r="AR868" s="716"/>
      <c r="AS868" s="716"/>
      <c r="AT868" s="716"/>
      <c r="AU868" s="716"/>
      <c r="AV868" s="716"/>
      <c r="AW868" s="716"/>
      <c r="AX868" s="716"/>
      <c r="AY868" s="716"/>
      <c r="AZ868" s="716"/>
      <c r="BA868" s="716"/>
      <c r="BB868" s="716"/>
      <c r="BC868" s="716"/>
      <c r="BD868" s="716"/>
      <c r="BE868" s="716"/>
      <c r="BF868" s="716"/>
      <c r="BG868" s="716"/>
      <c r="BH868" s="716"/>
      <c r="BI868" s="716"/>
      <c r="BJ868" s="716"/>
      <c r="BK868" s="716"/>
      <c r="BL868" s="716"/>
      <c r="BM868" s="716"/>
      <c r="BN868" s="716"/>
      <c r="BO868" s="716"/>
      <c r="BP868" s="716"/>
      <c r="BQ868" s="716"/>
      <c r="BR868" s="716"/>
      <c r="BS868" s="716"/>
      <c r="BT868" s="716"/>
      <c r="BU868" s="716"/>
      <c r="BV868" s="716"/>
      <c r="BW868" s="716"/>
      <c r="BX868" s="716"/>
      <c r="BY868" s="716"/>
      <c r="BZ868" s="716"/>
      <c r="CA868" s="716"/>
    </row>
    <row r="869" spans="1:79" s="308" customFormat="1" hidden="1" outlineLevel="1" x14ac:dyDescent="0.25">
      <c r="A869" s="656"/>
      <c r="B869" s="571"/>
      <c r="C869" s="571"/>
      <c r="D869" s="571"/>
      <c r="E869" s="570" t="s">
        <v>1341</v>
      </c>
      <c r="F869" s="656" t="s">
        <v>910</v>
      </c>
      <c r="G869" s="716"/>
      <c r="H869" s="716"/>
      <c r="I869" s="716"/>
      <c r="J869" s="716"/>
      <c r="K869" s="716"/>
      <c r="L869" s="716"/>
      <c r="M869" s="716"/>
      <c r="N869" s="716"/>
      <c r="O869" s="716"/>
      <c r="P869" s="716"/>
      <c r="Q869" s="716"/>
      <c r="R869" s="716"/>
      <c r="S869" s="667">
        <v>0</v>
      </c>
      <c r="T869" s="667">
        <v>0</v>
      </c>
      <c r="U869" s="667">
        <v>0</v>
      </c>
      <c r="V869" s="667">
        <v>0</v>
      </c>
      <c r="W869" s="667">
        <v>0</v>
      </c>
      <c r="X869" s="667">
        <v>0</v>
      </c>
      <c r="Y869" s="667">
        <v>0</v>
      </c>
      <c r="Z869" s="667">
        <v>0</v>
      </c>
      <c r="AA869" s="667">
        <v>0</v>
      </c>
      <c r="AB869" s="667">
        <v>0</v>
      </c>
      <c r="AC869" s="665">
        <v>0</v>
      </c>
      <c r="AD869" s="665">
        <v>0</v>
      </c>
      <c r="AE869" s="667">
        <v>0</v>
      </c>
      <c r="AF869" s="716">
        <v>0</v>
      </c>
      <c r="AG869" s="665">
        <v>0</v>
      </c>
      <c r="AH869" s="716"/>
      <c r="AI869" s="716"/>
      <c r="AJ869" s="716"/>
      <c r="AK869" s="716"/>
      <c r="AL869" s="716"/>
      <c r="AM869" s="716"/>
      <c r="AN869" s="716"/>
      <c r="AO869" s="716"/>
      <c r="AP869" s="716"/>
      <c r="AQ869" s="716"/>
      <c r="AR869" s="716"/>
      <c r="AS869" s="716"/>
      <c r="AT869" s="716"/>
      <c r="AU869" s="716"/>
      <c r="AV869" s="716"/>
      <c r="AW869" s="716"/>
      <c r="AX869" s="716"/>
      <c r="AY869" s="716"/>
      <c r="AZ869" s="716"/>
      <c r="BA869" s="716"/>
      <c r="BB869" s="716"/>
      <c r="BC869" s="716"/>
      <c r="BD869" s="716"/>
      <c r="BE869" s="716"/>
      <c r="BF869" s="716"/>
      <c r="BG869" s="716"/>
      <c r="BH869" s="716"/>
      <c r="BI869" s="716"/>
      <c r="BJ869" s="716"/>
      <c r="BK869" s="716"/>
      <c r="BL869" s="716"/>
      <c r="BM869" s="716"/>
      <c r="BN869" s="716"/>
      <c r="BO869" s="716"/>
      <c r="BP869" s="716"/>
      <c r="BQ869" s="716"/>
      <c r="BR869" s="716"/>
      <c r="BS869" s="716"/>
      <c r="BT869" s="716"/>
      <c r="BU869" s="716"/>
      <c r="BV869" s="716"/>
      <c r="BW869" s="716"/>
      <c r="BX869" s="716"/>
      <c r="BY869" s="716"/>
      <c r="BZ869" s="716"/>
      <c r="CA869" s="716"/>
    </row>
    <row r="870" spans="1:79" s="308" customFormat="1" hidden="1" outlineLevel="1" x14ac:dyDescent="0.25">
      <c r="A870" s="656"/>
      <c r="B870" s="571"/>
      <c r="C870" s="571"/>
      <c r="D870" s="571"/>
      <c r="E870" s="570" t="s">
        <v>1341</v>
      </c>
      <c r="F870" s="656" t="s">
        <v>911</v>
      </c>
      <c r="G870" s="716"/>
      <c r="H870" s="716"/>
      <c r="I870" s="716"/>
      <c r="J870" s="716"/>
      <c r="K870" s="716"/>
      <c r="L870" s="716"/>
      <c r="M870" s="716"/>
      <c r="N870" s="716"/>
      <c r="O870" s="716"/>
      <c r="P870" s="716"/>
      <c r="Q870" s="716"/>
      <c r="R870" s="716"/>
      <c r="S870" s="667">
        <v>0</v>
      </c>
      <c r="T870" s="667">
        <v>0</v>
      </c>
      <c r="U870" s="667">
        <v>0</v>
      </c>
      <c r="V870" s="667">
        <v>0</v>
      </c>
      <c r="W870" s="667">
        <v>0</v>
      </c>
      <c r="X870" s="667">
        <v>0</v>
      </c>
      <c r="Y870" s="667">
        <v>0</v>
      </c>
      <c r="Z870" s="667">
        <v>0</v>
      </c>
      <c r="AA870" s="667">
        <v>0</v>
      </c>
      <c r="AB870" s="667">
        <v>0</v>
      </c>
      <c r="AC870" s="665">
        <v>0</v>
      </c>
      <c r="AD870" s="665">
        <v>0</v>
      </c>
      <c r="AE870" s="667">
        <v>0</v>
      </c>
      <c r="AF870" s="716">
        <v>0</v>
      </c>
      <c r="AG870" s="665">
        <v>0</v>
      </c>
      <c r="AH870" s="716"/>
      <c r="AI870" s="716"/>
      <c r="AJ870" s="716"/>
      <c r="AK870" s="716"/>
      <c r="AL870" s="716"/>
      <c r="AM870" s="716"/>
      <c r="AN870" s="716"/>
      <c r="AO870" s="716"/>
      <c r="AP870" s="716"/>
      <c r="AQ870" s="716"/>
      <c r="AR870" s="716"/>
      <c r="AS870" s="716"/>
      <c r="AT870" s="716"/>
      <c r="AU870" s="716"/>
      <c r="AV870" s="716"/>
      <c r="AW870" s="716"/>
      <c r="AX870" s="716"/>
      <c r="AY870" s="716"/>
      <c r="AZ870" s="716"/>
      <c r="BA870" s="716"/>
      <c r="BB870" s="716"/>
      <c r="BC870" s="716"/>
      <c r="BD870" s="716"/>
      <c r="BE870" s="716"/>
      <c r="BF870" s="716"/>
      <c r="BG870" s="716"/>
      <c r="BH870" s="716"/>
      <c r="BI870" s="716"/>
      <c r="BJ870" s="716"/>
      <c r="BK870" s="716"/>
      <c r="BL870" s="716"/>
      <c r="BM870" s="716"/>
      <c r="BN870" s="716"/>
      <c r="BO870" s="716"/>
      <c r="BP870" s="716"/>
      <c r="BQ870" s="716"/>
      <c r="BR870" s="716"/>
      <c r="BS870" s="716"/>
      <c r="BT870" s="716"/>
      <c r="BU870" s="716"/>
      <c r="BV870" s="716"/>
      <c r="BW870" s="716"/>
      <c r="BX870" s="716"/>
      <c r="BY870" s="716"/>
      <c r="BZ870" s="716"/>
      <c r="CA870" s="716"/>
    </row>
    <row r="871" spans="1:79" s="308" customFormat="1" hidden="1" outlineLevel="1" x14ac:dyDescent="0.25">
      <c r="A871" s="657"/>
      <c r="B871" s="571"/>
      <c r="C871" s="571"/>
      <c r="D871" s="571"/>
      <c r="E871" s="570" t="s">
        <v>49</v>
      </c>
      <c r="F871" s="657" t="s">
        <v>655</v>
      </c>
      <c r="G871" s="664">
        <f>SUM(G864:G870)</f>
        <v>0</v>
      </c>
      <c r="H871" s="664">
        <f t="shared" ref="H871:BO871" si="363">SUM(H864:H870)</f>
        <v>0</v>
      </c>
      <c r="I871" s="664">
        <f t="shared" si="363"/>
        <v>-555.7819705389353</v>
      </c>
      <c r="J871" s="664">
        <f t="shared" si="363"/>
        <v>255.56586023090964</v>
      </c>
      <c r="K871" s="664">
        <f t="shared" si="363"/>
        <v>0</v>
      </c>
      <c r="L871" s="664">
        <f t="shared" si="363"/>
        <v>399.60649988113352</v>
      </c>
      <c r="M871" s="664">
        <f t="shared" si="363"/>
        <v>0</v>
      </c>
      <c r="N871" s="664">
        <f t="shared" si="363"/>
        <v>0</v>
      </c>
      <c r="O871" s="664">
        <f t="shared" si="363"/>
        <v>0</v>
      </c>
      <c r="P871" s="664">
        <f t="shared" si="363"/>
        <v>0</v>
      </c>
      <c r="Q871" s="664">
        <f t="shared" si="363"/>
        <v>0</v>
      </c>
      <c r="R871" s="664">
        <f t="shared" si="363"/>
        <v>344.43161669744131</v>
      </c>
      <c r="S871" s="678">
        <f t="shared" ref="S871:AA871" si="364">ROUND(SUM(S863:S870),5)</f>
        <v>0</v>
      </c>
      <c r="T871" s="678">
        <f t="shared" si="364"/>
        <v>0</v>
      </c>
      <c r="U871" s="678">
        <f t="shared" si="364"/>
        <v>0</v>
      </c>
      <c r="V871" s="678">
        <f t="shared" si="364"/>
        <v>0</v>
      </c>
      <c r="W871" s="678">
        <f t="shared" si="364"/>
        <v>0</v>
      </c>
      <c r="X871" s="678">
        <f t="shared" si="364"/>
        <v>0</v>
      </c>
      <c r="Y871" s="678">
        <f t="shared" si="364"/>
        <v>0</v>
      </c>
      <c r="Z871" s="678">
        <f t="shared" si="364"/>
        <v>0</v>
      </c>
      <c r="AA871" s="678">
        <f t="shared" si="364"/>
        <v>0</v>
      </c>
      <c r="AB871" s="678">
        <f t="shared" ref="AB871:AG871" si="365">ROUND(SUM(AB863:AB870),5)</f>
        <v>0</v>
      </c>
      <c r="AC871" s="678">
        <f t="shared" si="365"/>
        <v>0</v>
      </c>
      <c r="AD871" s="678">
        <f t="shared" si="365"/>
        <v>0</v>
      </c>
      <c r="AE871" s="678">
        <f t="shared" si="365"/>
        <v>0</v>
      </c>
      <c r="AF871" s="664">
        <f t="shared" si="365"/>
        <v>0</v>
      </c>
      <c r="AG871" s="678">
        <f t="shared" si="365"/>
        <v>0</v>
      </c>
      <c r="AH871" s="664">
        <f t="shared" si="363"/>
        <v>0</v>
      </c>
      <c r="AI871" s="664">
        <f t="shared" si="363"/>
        <v>0</v>
      </c>
      <c r="AJ871" s="664">
        <f t="shared" si="363"/>
        <v>0</v>
      </c>
      <c r="AK871" s="664">
        <f t="shared" si="363"/>
        <v>0</v>
      </c>
      <c r="AL871" s="664">
        <f t="shared" si="363"/>
        <v>0</v>
      </c>
      <c r="AM871" s="664">
        <f t="shared" si="363"/>
        <v>0</v>
      </c>
      <c r="AN871" s="664">
        <f t="shared" si="363"/>
        <v>0</v>
      </c>
      <c r="AO871" s="664">
        <f t="shared" si="363"/>
        <v>0</v>
      </c>
      <c r="AP871" s="664">
        <f t="shared" si="363"/>
        <v>0</v>
      </c>
      <c r="AQ871" s="664">
        <f t="shared" si="363"/>
        <v>0</v>
      </c>
      <c r="AR871" s="664">
        <f t="shared" si="363"/>
        <v>0</v>
      </c>
      <c r="AS871" s="664">
        <f t="shared" si="363"/>
        <v>0</v>
      </c>
      <c r="AT871" s="664">
        <f t="shared" si="363"/>
        <v>0</v>
      </c>
      <c r="AU871" s="664">
        <f t="shared" si="363"/>
        <v>0</v>
      </c>
      <c r="AV871" s="664">
        <f t="shared" si="363"/>
        <v>0</v>
      </c>
      <c r="AW871" s="664">
        <f t="shared" si="363"/>
        <v>0</v>
      </c>
      <c r="AX871" s="664">
        <f t="shared" si="363"/>
        <v>0</v>
      </c>
      <c r="AY871" s="664">
        <f t="shared" si="363"/>
        <v>0</v>
      </c>
      <c r="AZ871" s="664">
        <f t="shared" si="363"/>
        <v>0</v>
      </c>
      <c r="BA871" s="664">
        <f t="shared" si="363"/>
        <v>0</v>
      </c>
      <c r="BB871" s="664">
        <f t="shared" si="363"/>
        <v>0</v>
      </c>
      <c r="BC871" s="664">
        <f t="shared" si="363"/>
        <v>0</v>
      </c>
      <c r="BD871" s="664">
        <f t="shared" si="363"/>
        <v>0</v>
      </c>
      <c r="BE871" s="664">
        <f t="shared" si="363"/>
        <v>0</v>
      </c>
      <c r="BF871" s="664">
        <f t="shared" si="363"/>
        <v>0</v>
      </c>
      <c r="BG871" s="664">
        <f t="shared" si="363"/>
        <v>0</v>
      </c>
      <c r="BH871" s="664">
        <f t="shared" si="363"/>
        <v>0</v>
      </c>
      <c r="BI871" s="664">
        <f t="shared" si="363"/>
        <v>0</v>
      </c>
      <c r="BJ871" s="664">
        <f t="shared" si="363"/>
        <v>0</v>
      </c>
      <c r="BK871" s="664">
        <f t="shared" si="363"/>
        <v>0</v>
      </c>
      <c r="BL871" s="664">
        <f t="shared" si="363"/>
        <v>0</v>
      </c>
      <c r="BM871" s="664">
        <f t="shared" si="363"/>
        <v>0</v>
      </c>
      <c r="BN871" s="664">
        <f t="shared" si="363"/>
        <v>0</v>
      </c>
      <c r="BO871" s="664">
        <f t="shared" si="363"/>
        <v>0</v>
      </c>
      <c r="BP871" s="664">
        <f t="shared" ref="BP871:CA871" si="366">SUM(BP864:BP870)</f>
        <v>0</v>
      </c>
      <c r="BQ871" s="664">
        <f t="shared" si="366"/>
        <v>0</v>
      </c>
      <c r="BR871" s="664">
        <f t="shared" si="366"/>
        <v>0</v>
      </c>
      <c r="BS871" s="664">
        <f t="shared" si="366"/>
        <v>0</v>
      </c>
      <c r="BT871" s="664">
        <f t="shared" si="366"/>
        <v>0</v>
      </c>
      <c r="BU871" s="664">
        <f t="shared" si="366"/>
        <v>0</v>
      </c>
      <c r="BV871" s="664">
        <f t="shared" si="366"/>
        <v>0</v>
      </c>
      <c r="BW871" s="664">
        <f t="shared" si="366"/>
        <v>0</v>
      </c>
      <c r="BX871" s="664">
        <f t="shared" si="366"/>
        <v>0</v>
      </c>
      <c r="BY871" s="664">
        <f t="shared" si="366"/>
        <v>0</v>
      </c>
      <c r="BZ871" s="664">
        <f t="shared" si="366"/>
        <v>0</v>
      </c>
      <c r="CA871" s="664">
        <f t="shared" si="366"/>
        <v>0</v>
      </c>
    </row>
    <row r="872" spans="1:79" s="308" customFormat="1" ht="15.75" hidden="1" outlineLevel="1" thickBot="1" x14ac:dyDescent="0.3">
      <c r="A872" s="657"/>
      <c r="B872" s="571"/>
      <c r="C872" s="571"/>
      <c r="D872" s="571"/>
      <c r="E872" s="570" t="s">
        <v>945</v>
      </c>
      <c r="F872" s="657"/>
      <c r="G872" s="664"/>
      <c r="H872" s="664"/>
      <c r="I872" s="664"/>
      <c r="J872" s="664"/>
      <c r="K872" s="664"/>
      <c r="L872" s="664"/>
      <c r="M872" s="664"/>
      <c r="N872" s="664"/>
      <c r="O872" s="664"/>
      <c r="P872" s="664"/>
      <c r="Q872" s="664"/>
      <c r="R872" s="664"/>
      <c r="S872" s="667">
        <v>0</v>
      </c>
      <c r="T872" s="667">
        <v>0</v>
      </c>
      <c r="U872" s="667">
        <v>0</v>
      </c>
      <c r="V872" s="667">
        <v>0</v>
      </c>
      <c r="W872" s="667">
        <v>0</v>
      </c>
      <c r="X872" s="667">
        <v>0</v>
      </c>
      <c r="Y872" s="667">
        <v>0</v>
      </c>
      <c r="Z872" s="667">
        <v>0</v>
      </c>
      <c r="AA872" s="667">
        <v>0</v>
      </c>
      <c r="AB872" s="667">
        <v>0</v>
      </c>
      <c r="AC872" s="665">
        <v>0</v>
      </c>
      <c r="AD872" s="665">
        <v>0</v>
      </c>
      <c r="AE872" s="667">
        <v>0</v>
      </c>
      <c r="AF872" s="664">
        <v>0</v>
      </c>
      <c r="AG872" s="665">
        <v>0</v>
      </c>
      <c r="AH872" s="664"/>
      <c r="AI872" s="664"/>
      <c r="AJ872" s="664"/>
      <c r="AK872" s="664"/>
      <c r="AL872" s="664"/>
      <c r="AM872" s="664"/>
      <c r="AN872" s="664"/>
      <c r="AO872" s="664"/>
      <c r="AP872" s="664"/>
      <c r="AQ872" s="664"/>
      <c r="AR872" s="664"/>
      <c r="AS872" s="664"/>
      <c r="AT872" s="664"/>
      <c r="AU872" s="664"/>
      <c r="AV872" s="664"/>
      <c r="AW872" s="664"/>
      <c r="AX872" s="664"/>
      <c r="AY872" s="664"/>
      <c r="AZ872" s="664"/>
      <c r="BA872" s="664"/>
      <c r="BB872" s="664"/>
      <c r="BC872" s="664"/>
      <c r="BD872" s="664"/>
      <c r="BE872" s="664"/>
      <c r="BF872" s="664"/>
      <c r="BG872" s="664"/>
      <c r="BH872" s="664"/>
      <c r="BI872" s="664"/>
      <c r="BJ872" s="664"/>
      <c r="BK872" s="664"/>
      <c r="BL872" s="664"/>
      <c r="BM872" s="664"/>
      <c r="BN872" s="664"/>
      <c r="BO872" s="664"/>
      <c r="BP872" s="664"/>
      <c r="BQ872" s="664"/>
      <c r="BR872" s="664"/>
      <c r="BS872" s="664"/>
      <c r="BT872" s="664"/>
      <c r="BU872" s="664"/>
      <c r="BV872" s="664"/>
      <c r="BW872" s="664"/>
      <c r="BX872" s="664"/>
      <c r="BY872" s="664"/>
      <c r="BZ872" s="664"/>
      <c r="CA872" s="664"/>
    </row>
    <row r="873" spans="1:79" s="868" customFormat="1" ht="15.75" collapsed="1" thickBot="1" x14ac:dyDescent="0.3">
      <c r="A873" s="892"/>
      <c r="B873" s="499"/>
      <c r="C873" s="499"/>
      <c r="D873" s="499"/>
      <c r="E873" s="892"/>
      <c r="F873" s="892" t="s">
        <v>681</v>
      </c>
      <c r="G873" s="894">
        <f t="shared" ref="G873:R873" si="367">ROUND(SUM(G702:G710)+SUM(G714:G719)+SUM(G720:G721)+G725+SUM(G729:G731)+SUM(G744:G748)+SUM(G759:G760)+G779+SUM(G783:G786)+G797+G805+SUM(G811:G813)+SUM(G819:G820)+SUM(G853:G854)+SUM(G860:G862)+SUM(G871:G872),5)</f>
        <v>28936.19499</v>
      </c>
      <c r="H873" s="894">
        <f t="shared" si="367"/>
        <v>29068.384699999999</v>
      </c>
      <c r="I873" s="894">
        <f t="shared" si="367"/>
        <v>24260.56236</v>
      </c>
      <c r="J873" s="894">
        <f t="shared" si="367"/>
        <v>33096.835249999996</v>
      </c>
      <c r="K873" s="894">
        <f t="shared" si="367"/>
        <v>30687.359680000001</v>
      </c>
      <c r="L873" s="894">
        <f t="shared" si="367"/>
        <v>42573.263429999999</v>
      </c>
      <c r="M873" s="894">
        <f t="shared" si="367"/>
        <v>31775.71715</v>
      </c>
      <c r="N873" s="894">
        <f t="shared" si="367"/>
        <v>37195.632060000004</v>
      </c>
      <c r="O873" s="894">
        <f t="shared" si="367"/>
        <v>32910.646090000002</v>
      </c>
      <c r="P873" s="894">
        <f t="shared" si="367"/>
        <v>39324.872450000003</v>
      </c>
      <c r="Q873" s="894">
        <f t="shared" si="367"/>
        <v>67613.394060000006</v>
      </c>
      <c r="R873" s="894">
        <f t="shared" si="367"/>
        <v>60692.076639999999</v>
      </c>
      <c r="S873" s="894">
        <f t="shared" ref="S873:AC873" si="368">ROUND(SUM(S702:S710)+SUM(S714:S719)+SUM(S720:S721)+S725+SUM(S729:S731)+SUM(S744:S748)+SUM(S759:S760)+S779+SUM(S783:S786)+S797+S805+SUM(S811:S813)+SUM(S819:S820)+SUM(S853:S854)+SUM(S860:S862)+SUM(S871:S872),5)</f>
        <v>65871.12</v>
      </c>
      <c r="T873" s="894">
        <f t="shared" si="368"/>
        <v>36487.94</v>
      </c>
      <c r="U873" s="894">
        <f t="shared" si="368"/>
        <v>74794.22</v>
      </c>
      <c r="V873" s="894">
        <f t="shared" si="368"/>
        <v>63212.36</v>
      </c>
      <c r="W873" s="894">
        <f t="shared" si="368"/>
        <v>98531.67</v>
      </c>
      <c r="X873" s="894">
        <f t="shared" si="368"/>
        <v>83189.5</v>
      </c>
      <c r="Y873" s="894">
        <f t="shared" si="368"/>
        <v>111312.5</v>
      </c>
      <c r="Z873" s="894">
        <f t="shared" si="368"/>
        <v>108879.77</v>
      </c>
      <c r="AA873" s="894">
        <f t="shared" si="368"/>
        <v>97885.34</v>
      </c>
      <c r="AB873" s="894">
        <f t="shared" si="368"/>
        <v>110090.17</v>
      </c>
      <c r="AC873" s="893">
        <f t="shared" si="368"/>
        <v>105787.7</v>
      </c>
      <c r="AD873" s="894">
        <f>ROUND(SUM(AD703:AD710)+SUM(AD714:AD721)+AD725+SUM(AD729:AD731)+SUM(AD744:AD748)+SUM(AD759:AD760)+AD779+SUM(AD783:AD786)+AD797+AD805+SUM(AD811:AD813)+SUM(AD819:AD820)+SUM(AD853:AD854)+SUM(AD860:AD862)+SUM(AD871:AD872),5)</f>
        <v>135096.85</v>
      </c>
      <c r="AE873" s="894">
        <f>ROUND(SUM(AE703:AE710)+SUM(AE714:AE721)+AE725+SUM(AE729:AE731)+SUM(AE744:AE748)+SUM(AE759:AE760)+AE779+SUM(AE783:AE786)+AE797+AE805+SUM(AE811:AE813)+SUM(AE819:AE820)+SUM(AE853:AE854)+SUM(AE860:AE862)+SUM(AE871:AE872),5)</f>
        <v>173259.54</v>
      </c>
      <c r="AF873" s="1201">
        <f>ROUND(SUM(AF702:AF710)+SUM(AF714:AF721)+AF725+SUM(AF729:AF731)+SUM(AF744:AF748)+SUM(AF759:AF760)+AF779+SUM(AF783:AF786)+AF797+AF805+SUM(AF811:AF813)+SUM(AF819:AF820)+SUM(AF853:AF854)+SUM(AF860:AF862)+SUM(AF871:AF872),5)</f>
        <v>137737.29999999999</v>
      </c>
      <c r="AG873" s="894">
        <f>ROUND(SUM(AG702:AG710)+SUM(AG714:AG721)+AG725+SUM(AG729:AG731)+SUM(AG744:AG748)+SUM(AG759:AG760)+AG779+SUM(AG783:AG786)+AG797+AG805+SUM(AG811:AG813)+SUM(AG819:AG820)+SUM(AG853:AG854)+SUM(AG860:AG862)+SUM(AG871:AG872),5)</f>
        <v>143437.01</v>
      </c>
      <c r="AH873" s="893">
        <f t="shared" ref="AH873:CA873" si="369">SUM(AH705:AH872)-SUM(AH871,AH860,AH853,AH851,AH841,AH831,AH819,AH811,AH805,AH797,AH783,AH779,AH759,AH744,AH729,AH725,AH736,AH714)</f>
        <v>0</v>
      </c>
      <c r="AI873" s="893">
        <f t="shared" si="369"/>
        <v>0</v>
      </c>
      <c r="AJ873" s="893">
        <f t="shared" si="369"/>
        <v>0</v>
      </c>
      <c r="AK873" s="893">
        <f t="shared" si="369"/>
        <v>0</v>
      </c>
      <c r="AL873" s="893">
        <f t="shared" si="369"/>
        <v>0</v>
      </c>
      <c r="AM873" s="893">
        <f t="shared" si="369"/>
        <v>0</v>
      </c>
      <c r="AN873" s="893">
        <f t="shared" si="369"/>
        <v>0</v>
      </c>
      <c r="AO873" s="893">
        <f t="shared" si="369"/>
        <v>0</v>
      </c>
      <c r="AP873" s="893">
        <f t="shared" si="369"/>
        <v>0</v>
      </c>
      <c r="AQ873" s="893">
        <f t="shared" si="369"/>
        <v>0</v>
      </c>
      <c r="AR873" s="893">
        <f t="shared" si="369"/>
        <v>0</v>
      </c>
      <c r="AS873" s="893">
        <f t="shared" si="369"/>
        <v>0</v>
      </c>
      <c r="AT873" s="893">
        <f t="shared" si="369"/>
        <v>0</v>
      </c>
      <c r="AU873" s="893">
        <f t="shared" si="369"/>
        <v>0</v>
      </c>
      <c r="AV873" s="893">
        <f t="shared" si="369"/>
        <v>0</v>
      </c>
      <c r="AW873" s="893">
        <f t="shared" si="369"/>
        <v>0</v>
      </c>
      <c r="AX873" s="893">
        <f t="shared" si="369"/>
        <v>0</v>
      </c>
      <c r="AY873" s="893">
        <f t="shared" si="369"/>
        <v>0</v>
      </c>
      <c r="AZ873" s="893">
        <f t="shared" si="369"/>
        <v>0</v>
      </c>
      <c r="BA873" s="893">
        <f t="shared" si="369"/>
        <v>0</v>
      </c>
      <c r="BB873" s="893">
        <f t="shared" si="369"/>
        <v>0</v>
      </c>
      <c r="BC873" s="893">
        <f t="shared" si="369"/>
        <v>0</v>
      </c>
      <c r="BD873" s="893">
        <f t="shared" si="369"/>
        <v>0</v>
      </c>
      <c r="BE873" s="893">
        <f t="shared" si="369"/>
        <v>0</v>
      </c>
      <c r="BF873" s="893">
        <f t="shared" si="369"/>
        <v>0</v>
      </c>
      <c r="BG873" s="893">
        <f t="shared" si="369"/>
        <v>0</v>
      </c>
      <c r="BH873" s="893">
        <f t="shared" si="369"/>
        <v>0</v>
      </c>
      <c r="BI873" s="893">
        <f t="shared" si="369"/>
        <v>0</v>
      </c>
      <c r="BJ873" s="893">
        <f t="shared" si="369"/>
        <v>0</v>
      </c>
      <c r="BK873" s="893">
        <f t="shared" si="369"/>
        <v>0</v>
      </c>
      <c r="BL873" s="893">
        <f t="shared" si="369"/>
        <v>0</v>
      </c>
      <c r="BM873" s="893">
        <f t="shared" si="369"/>
        <v>0</v>
      </c>
      <c r="BN873" s="893">
        <f t="shared" si="369"/>
        <v>0</v>
      </c>
      <c r="BO873" s="893">
        <f t="shared" si="369"/>
        <v>0</v>
      </c>
      <c r="BP873" s="893">
        <f t="shared" si="369"/>
        <v>0</v>
      </c>
      <c r="BQ873" s="893">
        <f t="shared" si="369"/>
        <v>0</v>
      </c>
      <c r="BR873" s="893">
        <f t="shared" si="369"/>
        <v>0</v>
      </c>
      <c r="BS873" s="893">
        <f t="shared" si="369"/>
        <v>0</v>
      </c>
      <c r="BT873" s="893">
        <f t="shared" si="369"/>
        <v>0</v>
      </c>
      <c r="BU873" s="893">
        <f t="shared" si="369"/>
        <v>0</v>
      </c>
      <c r="BV873" s="893">
        <f t="shared" si="369"/>
        <v>0</v>
      </c>
      <c r="BW873" s="893">
        <f t="shared" si="369"/>
        <v>0</v>
      </c>
      <c r="BX873" s="893">
        <f t="shared" si="369"/>
        <v>0</v>
      </c>
      <c r="BY873" s="893">
        <f t="shared" si="369"/>
        <v>0</v>
      </c>
      <c r="BZ873" s="893">
        <f t="shared" si="369"/>
        <v>0</v>
      </c>
      <c r="CA873" s="893">
        <f t="shared" si="369"/>
        <v>0</v>
      </c>
    </row>
    <row r="874" spans="1:79" s="168" customFormat="1" ht="15.75" thickTop="1" x14ac:dyDescent="0.25">
      <c r="A874" s="156"/>
      <c r="B874" s="156"/>
      <c r="C874" s="156"/>
      <c r="D874" s="156"/>
      <c r="E874" s="156"/>
      <c r="F874" s="156"/>
      <c r="G874" s="761"/>
      <c r="H874" s="761"/>
      <c r="I874" s="761"/>
      <c r="J874" s="761"/>
      <c r="K874" s="761"/>
      <c r="L874" s="761"/>
      <c r="M874" s="761"/>
      <c r="N874" s="761"/>
      <c r="O874" s="761"/>
      <c r="P874" s="761"/>
      <c r="Q874" s="761"/>
      <c r="R874" s="761"/>
      <c r="S874" s="500"/>
      <c r="T874" s="500"/>
      <c r="U874" s="500"/>
      <c r="V874" s="500"/>
      <c r="W874" s="500"/>
      <c r="X874" s="500"/>
      <c r="Y874" s="500"/>
      <c r="Z874" s="500"/>
      <c r="AA874" s="500"/>
      <c r="AB874" s="719"/>
      <c r="AC874" s="719"/>
      <c r="AD874" s="719"/>
      <c r="AE874" s="719"/>
      <c r="AF874" s="719"/>
      <c r="AG874" s="719"/>
      <c r="AH874" s="719"/>
      <c r="AI874" s="719"/>
      <c r="AJ874" s="719"/>
      <c r="AK874" s="719"/>
      <c r="AL874" s="719"/>
      <c r="AM874" s="719"/>
      <c r="AN874" s="719"/>
      <c r="AO874" s="719"/>
      <c r="AP874" s="719"/>
      <c r="AQ874" s="719"/>
      <c r="AR874" s="719"/>
      <c r="AS874" s="719"/>
      <c r="AT874" s="719"/>
      <c r="AU874" s="719"/>
      <c r="AV874" s="719"/>
      <c r="AW874" s="719"/>
      <c r="AX874" s="719"/>
      <c r="AY874" s="719"/>
      <c r="AZ874" s="719"/>
      <c r="BA874" s="719"/>
      <c r="BB874" s="719"/>
      <c r="BC874" s="719"/>
      <c r="BD874" s="719"/>
      <c r="BE874" s="719"/>
      <c r="BF874" s="719"/>
      <c r="BG874" s="719"/>
      <c r="BH874" s="719"/>
      <c r="BI874" s="719"/>
      <c r="BJ874" s="719"/>
      <c r="BK874" s="719"/>
      <c r="BL874" s="719"/>
      <c r="BM874" s="719"/>
      <c r="BN874" s="719"/>
      <c r="BO874" s="719"/>
      <c r="BP874" s="719"/>
      <c r="BQ874" s="719"/>
      <c r="BR874" s="719"/>
      <c r="BS874" s="719"/>
      <c r="BT874" s="719"/>
      <c r="BU874" s="719"/>
      <c r="BV874" s="719"/>
      <c r="BW874" s="719"/>
      <c r="BX874" s="719"/>
      <c r="BY874" s="719"/>
      <c r="BZ874" s="719"/>
      <c r="CA874" s="719"/>
    </row>
    <row r="875" spans="1:79" s="168" customFormat="1" x14ac:dyDescent="0.25">
      <c r="A875" s="156"/>
      <c r="B875" s="156"/>
      <c r="C875" s="156"/>
      <c r="D875" s="156"/>
      <c r="E875" s="156"/>
      <c r="F875" s="156"/>
      <c r="G875" s="723"/>
      <c r="H875" s="723"/>
      <c r="I875" s="723"/>
      <c r="J875" s="723"/>
      <c r="K875" s="723"/>
      <c r="L875" s="723"/>
      <c r="M875" s="723"/>
      <c r="N875" s="723"/>
      <c r="O875" s="723"/>
      <c r="P875" s="723"/>
      <c r="Q875" s="723"/>
      <c r="R875" s="723"/>
      <c r="S875" s="723"/>
      <c r="T875" s="723"/>
      <c r="U875" s="723"/>
      <c r="V875" s="723"/>
      <c r="W875" s="723"/>
      <c r="X875" s="723"/>
      <c r="Y875" s="723"/>
      <c r="Z875" s="723"/>
      <c r="AA875" s="723"/>
      <c r="AB875" s="716"/>
      <c r="AC875" s="716"/>
      <c r="AD875" s="716"/>
      <c r="AE875" s="716"/>
      <c r="AF875" s="716"/>
      <c r="AG875" s="716"/>
      <c r="AH875" s="716"/>
      <c r="AI875" s="716"/>
      <c r="AJ875" s="716"/>
      <c r="AK875" s="716"/>
      <c r="AL875" s="716"/>
      <c r="AM875" s="716"/>
      <c r="AN875" s="716"/>
      <c r="AO875" s="716"/>
      <c r="AP875" s="716"/>
      <c r="AQ875" s="716"/>
      <c r="AR875" s="716"/>
      <c r="AS875" s="716"/>
      <c r="AT875" s="716"/>
      <c r="AU875" s="716"/>
      <c r="AV875" s="716"/>
      <c r="AW875" s="716"/>
      <c r="AX875" s="716"/>
      <c r="AY875" s="716"/>
      <c r="AZ875" s="716"/>
      <c r="BA875" s="716"/>
      <c r="BB875" s="716"/>
      <c r="BC875" s="716"/>
      <c r="BD875" s="716"/>
      <c r="BE875" s="716"/>
      <c r="BF875" s="716"/>
      <c r="BG875" s="716"/>
      <c r="BH875" s="716"/>
      <c r="BI875" s="716"/>
      <c r="BJ875" s="716"/>
      <c r="BK875" s="716"/>
      <c r="BL875" s="716"/>
      <c r="BM875" s="716"/>
      <c r="BN875" s="716"/>
      <c r="BO875" s="716"/>
      <c r="BP875" s="716"/>
      <c r="BQ875" s="716"/>
      <c r="BR875" s="716"/>
      <c r="BS875" s="716"/>
      <c r="BT875" s="716"/>
      <c r="BU875" s="716"/>
      <c r="BV875" s="716"/>
      <c r="BW875" s="716"/>
      <c r="BX875" s="716"/>
      <c r="BY875" s="716"/>
      <c r="BZ875" s="716"/>
      <c r="CA875" s="716"/>
    </row>
    <row r="876" spans="1:79" s="859" customFormat="1" x14ac:dyDescent="0.25">
      <c r="A876" s="863"/>
      <c r="E876" s="863"/>
      <c r="F876" s="863" t="s">
        <v>2</v>
      </c>
      <c r="G876" s="864"/>
      <c r="H876" s="864"/>
      <c r="I876" s="864"/>
      <c r="J876" s="864"/>
      <c r="K876" s="864"/>
      <c r="L876" s="864"/>
      <c r="M876" s="864"/>
      <c r="N876" s="864"/>
      <c r="O876" s="864"/>
      <c r="P876" s="864"/>
      <c r="Q876" s="864"/>
      <c r="R876" s="864"/>
      <c r="S876" s="864"/>
      <c r="T876" s="864"/>
      <c r="U876" s="864"/>
      <c r="V876" s="864"/>
      <c r="W876" s="864"/>
      <c r="X876" s="864"/>
      <c r="Y876" s="864"/>
      <c r="Z876" s="864"/>
      <c r="AA876" s="864"/>
      <c r="AB876" s="864"/>
      <c r="AC876" s="864"/>
      <c r="AD876" s="864"/>
      <c r="AE876" s="864"/>
      <c r="AF876" s="864"/>
      <c r="AG876" s="863"/>
      <c r="AH876" s="864"/>
      <c r="AI876" s="864"/>
      <c r="AJ876" s="864"/>
      <c r="AK876" s="864"/>
      <c r="AL876" s="864"/>
      <c r="AM876" s="864"/>
      <c r="AN876" s="864"/>
      <c r="AO876" s="864"/>
      <c r="AP876" s="864"/>
      <c r="AQ876" s="864"/>
      <c r="AR876" s="864"/>
      <c r="AS876" s="864"/>
      <c r="AT876" s="864"/>
      <c r="AU876" s="864"/>
      <c r="AV876" s="864"/>
      <c r="AW876" s="864"/>
      <c r="AX876" s="864"/>
      <c r="AY876" s="864"/>
      <c r="AZ876" s="864"/>
      <c r="BA876" s="864"/>
      <c r="BB876" s="864"/>
      <c r="BC876" s="864"/>
      <c r="BD876" s="864"/>
      <c r="BE876" s="864"/>
      <c r="BF876" s="864"/>
      <c r="BG876" s="864"/>
      <c r="BH876" s="864"/>
      <c r="BI876" s="864"/>
      <c r="BJ876" s="864"/>
      <c r="BK876" s="864"/>
      <c r="BL876" s="864"/>
      <c r="BM876" s="864"/>
      <c r="BN876" s="864"/>
      <c r="BO876" s="864"/>
      <c r="BP876" s="864"/>
      <c r="BQ876" s="864"/>
      <c r="BR876" s="864"/>
      <c r="BS876" s="864"/>
      <c r="BT876" s="864"/>
      <c r="BU876" s="864"/>
      <c r="BV876" s="864"/>
      <c r="BW876" s="864"/>
      <c r="BX876" s="864"/>
      <c r="BY876" s="864"/>
      <c r="BZ876" s="864"/>
      <c r="CA876" s="864"/>
    </row>
    <row r="877" spans="1:79" hidden="1" outlineLevel="1" x14ac:dyDescent="0.25">
      <c r="A877" s="654"/>
      <c r="B877" s="223"/>
      <c r="C877" s="223"/>
      <c r="D877" s="223"/>
      <c r="E877" s="570" t="s">
        <v>1323</v>
      </c>
      <c r="F877" s="654" t="s">
        <v>1320</v>
      </c>
      <c r="G877" s="663"/>
      <c r="H877" s="663"/>
      <c r="I877" s="663"/>
      <c r="J877" s="663"/>
      <c r="K877" s="663"/>
      <c r="L877" s="663"/>
      <c r="M877" s="663"/>
      <c r="N877" s="663"/>
      <c r="O877" s="663"/>
      <c r="P877" s="663"/>
      <c r="Q877" s="663"/>
      <c r="R877" s="663"/>
      <c r="S877" s="663"/>
      <c r="T877" s="663"/>
      <c r="U877" s="663"/>
      <c r="V877" s="663"/>
      <c r="W877" s="663"/>
      <c r="X877" s="663"/>
      <c r="Y877" s="663"/>
      <c r="Z877" s="663"/>
      <c r="AA877" s="663"/>
      <c r="AB877" s="663"/>
      <c r="AC877" s="663"/>
      <c r="AD877" s="663"/>
      <c r="AE877" s="663">
        <v>0</v>
      </c>
      <c r="AF877" s="663">
        <v>0</v>
      </c>
      <c r="AG877" s="663">
        <v>0</v>
      </c>
      <c r="AH877" s="663"/>
      <c r="AI877" s="663"/>
      <c r="AJ877" s="663"/>
      <c r="AK877" s="663"/>
      <c r="AL877" s="663"/>
      <c r="AM877" s="663"/>
      <c r="AN877" s="663"/>
      <c r="AO877" s="663"/>
      <c r="AP877" s="663"/>
      <c r="AQ877" s="663"/>
      <c r="AR877" s="663"/>
      <c r="AS877" s="663"/>
      <c r="AT877" s="663"/>
      <c r="AU877" s="663"/>
      <c r="AV877" s="663"/>
      <c r="AW877" s="663"/>
      <c r="AX877" s="663"/>
      <c r="AY877" s="663"/>
      <c r="AZ877" s="663"/>
      <c r="BA877" s="663"/>
      <c r="BB877" s="663"/>
      <c r="BC877" s="663"/>
      <c r="BD877" s="663"/>
      <c r="BE877" s="663"/>
      <c r="BF877" s="663"/>
      <c r="BG877" s="663"/>
      <c r="BH877" s="663"/>
      <c r="BI877" s="663"/>
      <c r="BJ877" s="663"/>
      <c r="BK877" s="663"/>
      <c r="BL877" s="663"/>
      <c r="BM877" s="663"/>
      <c r="BN877" s="663"/>
      <c r="BO877" s="663"/>
      <c r="BP877" s="663"/>
      <c r="BQ877" s="663"/>
      <c r="BR877" s="663"/>
      <c r="BS877" s="663"/>
      <c r="BT877" s="663"/>
      <c r="BU877" s="663"/>
      <c r="BV877" s="663"/>
      <c r="BW877" s="663"/>
      <c r="BX877" s="663"/>
      <c r="BY877" s="663"/>
      <c r="BZ877" s="663"/>
      <c r="CA877" s="663"/>
    </row>
    <row r="878" spans="1:79" hidden="1" outlineLevel="1" x14ac:dyDescent="0.25">
      <c r="A878" s="654"/>
      <c r="B878" s="223"/>
      <c r="C878" s="223"/>
      <c r="D878" s="223"/>
      <c r="E878" s="570" t="s">
        <v>1324</v>
      </c>
      <c r="F878" s="654" t="s">
        <v>1321</v>
      </c>
      <c r="G878" s="663"/>
      <c r="H878" s="663"/>
      <c r="I878" s="663"/>
      <c r="J878" s="663"/>
      <c r="K878" s="663"/>
      <c r="L878" s="663"/>
      <c r="M878" s="663"/>
      <c r="N878" s="663"/>
      <c r="O878" s="663"/>
      <c r="P878" s="663"/>
      <c r="Q878" s="663"/>
      <c r="R878" s="663"/>
      <c r="S878" s="663"/>
      <c r="T878" s="663"/>
      <c r="U878" s="663"/>
      <c r="V878" s="663"/>
      <c r="W878" s="663"/>
      <c r="X878" s="663"/>
      <c r="Y878" s="663"/>
      <c r="Z878" s="663"/>
      <c r="AA878" s="663"/>
      <c r="AB878" s="663"/>
      <c r="AC878" s="663"/>
      <c r="AD878" s="663"/>
      <c r="AE878" s="663">
        <v>0</v>
      </c>
      <c r="AF878" s="663">
        <v>0</v>
      </c>
      <c r="AG878" s="663">
        <v>0</v>
      </c>
      <c r="AH878" s="663"/>
      <c r="AI878" s="663"/>
      <c r="AJ878" s="663"/>
      <c r="AK878" s="663"/>
      <c r="AL878" s="663"/>
      <c r="AM878" s="663"/>
      <c r="AN878" s="663"/>
      <c r="AO878" s="663"/>
      <c r="AP878" s="663"/>
      <c r="AQ878" s="663"/>
      <c r="AR878" s="663"/>
      <c r="AS878" s="663"/>
      <c r="AT878" s="663"/>
      <c r="AU878" s="663"/>
      <c r="AV878" s="663"/>
      <c r="AW878" s="663"/>
      <c r="AX878" s="663"/>
      <c r="AY878" s="663"/>
      <c r="AZ878" s="663"/>
      <c r="BA878" s="663"/>
      <c r="BB878" s="663"/>
      <c r="BC878" s="663"/>
      <c r="BD878" s="663"/>
      <c r="BE878" s="663"/>
      <c r="BF878" s="663"/>
      <c r="BG878" s="663"/>
      <c r="BH878" s="663"/>
      <c r="BI878" s="663"/>
      <c r="BJ878" s="663"/>
      <c r="BK878" s="663"/>
      <c r="BL878" s="663"/>
      <c r="BM878" s="663"/>
      <c r="BN878" s="663"/>
      <c r="BO878" s="663"/>
      <c r="BP878" s="663"/>
      <c r="BQ878" s="663"/>
      <c r="BR878" s="663"/>
      <c r="BS878" s="663"/>
      <c r="BT878" s="663"/>
      <c r="BU878" s="663"/>
      <c r="BV878" s="663"/>
      <c r="BW878" s="663"/>
      <c r="BX878" s="663"/>
      <c r="BY878" s="663"/>
      <c r="BZ878" s="663"/>
      <c r="CA878" s="663"/>
    </row>
    <row r="879" spans="1:79" hidden="1" outlineLevel="1" x14ac:dyDescent="0.25">
      <c r="A879" s="654"/>
      <c r="B879" s="223"/>
      <c r="C879" s="223"/>
      <c r="D879" s="223"/>
      <c r="E879" s="570" t="s">
        <v>1325</v>
      </c>
      <c r="F879" s="654" t="s">
        <v>696</v>
      </c>
      <c r="G879" s="663"/>
      <c r="H879" s="663"/>
      <c r="I879" s="663"/>
      <c r="J879" s="663"/>
      <c r="K879" s="663"/>
      <c r="L879" s="663"/>
      <c r="M879" s="663"/>
      <c r="N879" s="663"/>
      <c r="O879" s="663"/>
      <c r="P879" s="663"/>
      <c r="Q879" s="663"/>
      <c r="R879" s="663"/>
      <c r="S879" s="663">
        <v>0</v>
      </c>
      <c r="T879" s="663">
        <v>0</v>
      </c>
      <c r="U879" s="663">
        <v>0</v>
      </c>
      <c r="V879" s="663">
        <v>0</v>
      </c>
      <c r="W879" s="663">
        <v>0</v>
      </c>
      <c r="X879" s="663">
        <v>0</v>
      </c>
      <c r="Y879" s="663">
        <v>0</v>
      </c>
      <c r="Z879" s="663">
        <v>0</v>
      </c>
      <c r="AA879" s="663">
        <v>0</v>
      </c>
      <c r="AB879" s="663">
        <v>0</v>
      </c>
      <c r="AC879" s="663">
        <v>0</v>
      </c>
      <c r="AD879" s="663">
        <v>0</v>
      </c>
      <c r="AE879" s="663">
        <v>0</v>
      </c>
      <c r="AF879" s="663">
        <v>0</v>
      </c>
      <c r="AG879" s="663">
        <v>0</v>
      </c>
      <c r="AH879" s="663"/>
      <c r="AI879" s="663"/>
      <c r="AJ879" s="663"/>
      <c r="AK879" s="663"/>
      <c r="AL879" s="663"/>
      <c r="AM879" s="663"/>
      <c r="AN879" s="663"/>
      <c r="AO879" s="663"/>
      <c r="AP879" s="663"/>
      <c r="AQ879" s="663"/>
      <c r="AR879" s="663"/>
      <c r="AS879" s="663"/>
      <c r="AT879" s="663"/>
      <c r="AU879" s="663"/>
      <c r="AV879" s="663"/>
      <c r="AW879" s="663"/>
      <c r="AX879" s="663"/>
      <c r="AY879" s="663"/>
      <c r="AZ879" s="663"/>
      <c r="BA879" s="663"/>
      <c r="BB879" s="663"/>
      <c r="BC879" s="663"/>
      <c r="BD879" s="663"/>
      <c r="BE879" s="663"/>
      <c r="BF879" s="663"/>
      <c r="BG879" s="663"/>
      <c r="BH879" s="663"/>
      <c r="BI879" s="663"/>
      <c r="BJ879" s="663"/>
      <c r="BK879" s="663"/>
      <c r="BL879" s="663"/>
      <c r="BM879" s="663"/>
      <c r="BN879" s="663"/>
      <c r="BO879" s="663"/>
      <c r="BP879" s="663"/>
      <c r="BQ879" s="663"/>
      <c r="BR879" s="663"/>
      <c r="BS879" s="663"/>
      <c r="BT879" s="663"/>
      <c r="BU879" s="663"/>
      <c r="BV879" s="663"/>
      <c r="BW879" s="663"/>
      <c r="BX879" s="663"/>
      <c r="BY879" s="663"/>
      <c r="BZ879" s="663"/>
      <c r="CA879" s="663"/>
    </row>
    <row r="880" spans="1:79" hidden="1" outlineLevel="1" x14ac:dyDescent="0.25">
      <c r="A880" s="655"/>
      <c r="B880" s="223"/>
      <c r="C880" s="223"/>
      <c r="D880" s="223"/>
      <c r="E880" s="570" t="s">
        <v>1326</v>
      </c>
      <c r="F880" s="655" t="s">
        <v>850</v>
      </c>
      <c r="G880" s="663"/>
      <c r="H880" s="663"/>
      <c r="I880" s="663"/>
      <c r="J880" s="663"/>
      <c r="K880" s="663"/>
      <c r="L880" s="663"/>
      <c r="M880" s="663"/>
      <c r="N880" s="663"/>
      <c r="O880" s="663"/>
      <c r="P880" s="663"/>
      <c r="Q880" s="663"/>
      <c r="R880" s="663"/>
      <c r="S880" s="663">
        <v>0</v>
      </c>
      <c r="T880" s="663">
        <v>0</v>
      </c>
      <c r="U880" s="663">
        <v>0</v>
      </c>
      <c r="V880" s="663">
        <v>0</v>
      </c>
      <c r="W880" s="663">
        <v>0</v>
      </c>
      <c r="X880" s="663">
        <v>0</v>
      </c>
      <c r="Y880" s="663">
        <v>0</v>
      </c>
      <c r="Z880" s="663">
        <v>0</v>
      </c>
      <c r="AA880" s="663">
        <v>0</v>
      </c>
      <c r="AB880" s="663">
        <v>0</v>
      </c>
      <c r="AC880" s="663">
        <v>0</v>
      </c>
      <c r="AD880" s="663">
        <v>0</v>
      </c>
      <c r="AE880" s="663">
        <v>0</v>
      </c>
      <c r="AF880" s="663">
        <v>0</v>
      </c>
      <c r="AG880" s="663">
        <v>0</v>
      </c>
      <c r="AH880" s="663"/>
      <c r="AI880" s="663"/>
      <c r="AJ880" s="663"/>
      <c r="AK880" s="663"/>
      <c r="AL880" s="663"/>
      <c r="AM880" s="663"/>
      <c r="AN880" s="663"/>
      <c r="AO880" s="663"/>
      <c r="AP880" s="663"/>
      <c r="AQ880" s="663"/>
      <c r="AR880" s="663"/>
      <c r="AS880" s="663"/>
      <c r="AT880" s="663"/>
      <c r="AU880" s="663"/>
      <c r="AV880" s="663"/>
      <c r="AW880" s="663"/>
      <c r="AX880" s="663"/>
      <c r="AY880" s="663"/>
      <c r="AZ880" s="663"/>
      <c r="BA880" s="663"/>
      <c r="BB880" s="663"/>
      <c r="BC880" s="663"/>
      <c r="BD880" s="663"/>
      <c r="BE880" s="663"/>
      <c r="BF880" s="663"/>
      <c r="BG880" s="663"/>
      <c r="BH880" s="663"/>
      <c r="BI880" s="663"/>
      <c r="BJ880" s="663"/>
      <c r="BK880" s="663"/>
      <c r="BL880" s="663"/>
      <c r="BM880" s="663"/>
      <c r="BN880" s="663"/>
      <c r="BO880" s="663"/>
      <c r="BP880" s="663"/>
      <c r="BQ880" s="663"/>
      <c r="BR880" s="663"/>
      <c r="BS880" s="663"/>
      <c r="BT880" s="663"/>
      <c r="BU880" s="663"/>
      <c r="BV880" s="663"/>
      <c r="BW880" s="663"/>
      <c r="BX880" s="663"/>
      <c r="BY880" s="663"/>
      <c r="BZ880" s="663"/>
      <c r="CA880" s="663"/>
    </row>
    <row r="881" spans="1:79" hidden="1" outlineLevel="1" x14ac:dyDescent="0.25">
      <c r="A881" s="655"/>
      <c r="B881" s="223"/>
      <c r="C881" s="223"/>
      <c r="D881" s="223"/>
      <c r="E881" s="570" t="s">
        <v>851</v>
      </c>
      <c r="F881" s="655" t="s">
        <v>851</v>
      </c>
      <c r="G881" s="663"/>
      <c r="H881" s="663"/>
      <c r="I881" s="663"/>
      <c r="J881" s="663"/>
      <c r="K881" s="663"/>
      <c r="L881" s="663"/>
      <c r="M881" s="663"/>
      <c r="N881" s="663"/>
      <c r="O881" s="663"/>
      <c r="P881" s="663"/>
      <c r="Q881" s="663"/>
      <c r="R881" s="663"/>
      <c r="S881" s="663">
        <v>0</v>
      </c>
      <c r="T881" s="663">
        <v>0</v>
      </c>
      <c r="U881" s="663">
        <v>0</v>
      </c>
      <c r="V881" s="663">
        <v>0</v>
      </c>
      <c r="W881" s="663">
        <v>0</v>
      </c>
      <c r="X881" s="663">
        <v>0</v>
      </c>
      <c r="Y881" s="663">
        <v>0</v>
      </c>
      <c r="Z881" s="663">
        <v>0</v>
      </c>
      <c r="AA881" s="663">
        <v>0</v>
      </c>
      <c r="AB881" s="663">
        <v>0</v>
      </c>
      <c r="AC881" s="663">
        <v>0</v>
      </c>
      <c r="AD881" s="663">
        <v>0</v>
      </c>
      <c r="AE881" s="663">
        <v>0</v>
      </c>
      <c r="AF881" s="663">
        <v>0</v>
      </c>
      <c r="AG881" s="663">
        <v>0</v>
      </c>
      <c r="AH881" s="663"/>
      <c r="AI881" s="663"/>
      <c r="AJ881" s="663"/>
      <c r="AK881" s="663"/>
      <c r="AL881" s="663"/>
      <c r="AM881" s="663"/>
      <c r="AN881" s="663"/>
      <c r="AO881" s="663"/>
      <c r="AP881" s="663"/>
      <c r="AQ881" s="663"/>
      <c r="AR881" s="663"/>
      <c r="AS881" s="663"/>
      <c r="AT881" s="663"/>
      <c r="AU881" s="663"/>
      <c r="AV881" s="663"/>
      <c r="AW881" s="663"/>
      <c r="AX881" s="663"/>
      <c r="AY881" s="663"/>
      <c r="AZ881" s="663"/>
      <c r="BA881" s="663"/>
      <c r="BB881" s="663"/>
      <c r="BC881" s="663"/>
      <c r="BD881" s="663"/>
      <c r="BE881" s="663"/>
      <c r="BF881" s="663"/>
      <c r="BG881" s="663"/>
      <c r="BH881" s="663"/>
      <c r="BI881" s="663"/>
      <c r="BJ881" s="663"/>
      <c r="BK881" s="663"/>
      <c r="BL881" s="663"/>
      <c r="BM881" s="663"/>
      <c r="BN881" s="663"/>
      <c r="BO881" s="663"/>
      <c r="BP881" s="663"/>
      <c r="BQ881" s="663"/>
      <c r="BR881" s="663"/>
      <c r="BS881" s="663"/>
      <c r="BT881" s="663"/>
      <c r="BU881" s="663"/>
      <c r="BV881" s="663"/>
      <c r="BW881" s="663"/>
      <c r="BX881" s="663"/>
      <c r="BY881" s="663"/>
      <c r="BZ881" s="663"/>
      <c r="CA881" s="663"/>
    </row>
    <row r="882" spans="1:79" hidden="1" outlineLevel="1" x14ac:dyDescent="0.25">
      <c r="A882" s="655"/>
      <c r="B882" s="223"/>
      <c r="C882" s="223"/>
      <c r="D882" s="223"/>
      <c r="E882" s="570" t="s">
        <v>852</v>
      </c>
      <c r="F882" s="655" t="s">
        <v>852</v>
      </c>
      <c r="G882" s="663"/>
      <c r="H882" s="663"/>
      <c r="I882" s="663"/>
      <c r="J882" s="663"/>
      <c r="K882" s="663"/>
      <c r="L882" s="663"/>
      <c r="M882" s="663"/>
      <c r="N882" s="663"/>
      <c r="O882" s="663"/>
      <c r="P882" s="663"/>
      <c r="Q882" s="663"/>
      <c r="R882" s="663"/>
      <c r="S882" s="663">
        <v>0</v>
      </c>
      <c r="T882" s="663">
        <v>0</v>
      </c>
      <c r="U882" s="663">
        <v>0</v>
      </c>
      <c r="V882" s="663">
        <v>0</v>
      </c>
      <c r="W882" s="663">
        <v>0</v>
      </c>
      <c r="X882" s="663">
        <v>0</v>
      </c>
      <c r="Y882" s="663">
        <v>0</v>
      </c>
      <c r="Z882" s="663">
        <v>0</v>
      </c>
      <c r="AA882" s="663">
        <v>0</v>
      </c>
      <c r="AB882" s="663">
        <v>0</v>
      </c>
      <c r="AC882" s="663">
        <v>0</v>
      </c>
      <c r="AD882" s="663">
        <v>0</v>
      </c>
      <c r="AE882" s="663">
        <v>0</v>
      </c>
      <c r="AF882" s="663">
        <v>0</v>
      </c>
      <c r="AG882" s="663">
        <v>0</v>
      </c>
      <c r="AH882" s="663"/>
      <c r="AI882" s="663"/>
      <c r="AJ882" s="663"/>
      <c r="AK882" s="663"/>
      <c r="AL882" s="663"/>
      <c r="AM882" s="663"/>
      <c r="AN882" s="663"/>
      <c r="AO882" s="663"/>
      <c r="AP882" s="663"/>
      <c r="AQ882" s="663"/>
      <c r="AR882" s="663"/>
      <c r="AS882" s="663"/>
      <c r="AT882" s="663"/>
      <c r="AU882" s="663"/>
      <c r="AV882" s="663"/>
      <c r="AW882" s="663"/>
      <c r="AX882" s="663"/>
      <c r="AY882" s="663"/>
      <c r="AZ882" s="663"/>
      <c r="BA882" s="663"/>
      <c r="BB882" s="663"/>
      <c r="BC882" s="663"/>
      <c r="BD882" s="663"/>
      <c r="BE882" s="663"/>
      <c r="BF882" s="663"/>
      <c r="BG882" s="663"/>
      <c r="BH882" s="663"/>
      <c r="BI882" s="663"/>
      <c r="BJ882" s="663"/>
      <c r="BK882" s="663"/>
      <c r="BL882" s="663"/>
      <c r="BM882" s="663"/>
      <c r="BN882" s="663"/>
      <c r="BO882" s="663"/>
      <c r="BP882" s="663"/>
      <c r="BQ882" s="663"/>
      <c r="BR882" s="663"/>
      <c r="BS882" s="663"/>
      <c r="BT882" s="663"/>
      <c r="BU882" s="663"/>
      <c r="BV882" s="663"/>
      <c r="BW882" s="663"/>
      <c r="BX882" s="663"/>
      <c r="BY882" s="663"/>
      <c r="BZ882" s="663"/>
      <c r="CA882" s="663"/>
    </row>
    <row r="883" spans="1:79" hidden="1" outlineLevel="1" x14ac:dyDescent="0.25">
      <c r="A883" s="655"/>
      <c r="B883" s="223"/>
      <c r="C883" s="223"/>
      <c r="D883" s="223"/>
      <c r="E883" s="570" t="s">
        <v>697</v>
      </c>
      <c r="F883" s="655" t="s">
        <v>697</v>
      </c>
      <c r="G883" s="663"/>
      <c r="H883" s="663"/>
      <c r="I883" s="663"/>
      <c r="J883" s="663"/>
      <c r="K883" s="663"/>
      <c r="L883" s="663"/>
      <c r="M883" s="663"/>
      <c r="N883" s="663"/>
      <c r="O883" s="663"/>
      <c r="P883" s="663"/>
      <c r="Q883" s="663"/>
      <c r="R883" s="663"/>
      <c r="S883" s="663">
        <v>0</v>
      </c>
      <c r="T883" s="663">
        <v>0</v>
      </c>
      <c r="U883" s="663">
        <v>0</v>
      </c>
      <c r="V883" s="663">
        <v>0</v>
      </c>
      <c r="W883" s="663">
        <v>0</v>
      </c>
      <c r="X883" s="663">
        <v>0</v>
      </c>
      <c r="Y883" s="663">
        <v>0</v>
      </c>
      <c r="Z883" s="663">
        <v>0</v>
      </c>
      <c r="AA883" s="663">
        <v>0</v>
      </c>
      <c r="AB883" s="663">
        <v>0</v>
      </c>
      <c r="AC883" s="663">
        <v>0</v>
      </c>
      <c r="AD883" s="663">
        <v>0</v>
      </c>
      <c r="AE883" s="663">
        <v>0</v>
      </c>
      <c r="AF883" s="663">
        <v>0</v>
      </c>
      <c r="AG883" s="663">
        <v>0</v>
      </c>
      <c r="AH883" s="663"/>
      <c r="AI883" s="663"/>
      <c r="AJ883" s="663"/>
      <c r="AK883" s="663"/>
      <c r="AL883" s="663"/>
      <c r="AM883" s="663"/>
      <c r="AN883" s="663"/>
      <c r="AO883" s="663"/>
      <c r="AP883" s="663"/>
      <c r="AQ883" s="663"/>
      <c r="AR883" s="663"/>
      <c r="AS883" s="663"/>
      <c r="AT883" s="663"/>
      <c r="AU883" s="663"/>
      <c r="AV883" s="663"/>
      <c r="AW883" s="663"/>
      <c r="AX883" s="663"/>
      <c r="AY883" s="663"/>
      <c r="AZ883" s="663"/>
      <c r="BA883" s="663"/>
      <c r="BB883" s="663"/>
      <c r="BC883" s="663"/>
      <c r="BD883" s="663"/>
      <c r="BE883" s="663"/>
      <c r="BF883" s="663"/>
      <c r="BG883" s="663"/>
      <c r="BH883" s="663"/>
      <c r="BI883" s="663"/>
      <c r="BJ883" s="663"/>
      <c r="BK883" s="663"/>
      <c r="BL883" s="663"/>
      <c r="BM883" s="663"/>
      <c r="BN883" s="663"/>
      <c r="BO883" s="663"/>
      <c r="BP883" s="663"/>
      <c r="BQ883" s="663"/>
      <c r="BR883" s="663"/>
      <c r="BS883" s="663"/>
      <c r="BT883" s="663"/>
      <c r="BU883" s="663"/>
      <c r="BV883" s="663"/>
      <c r="BW883" s="663"/>
      <c r="BX883" s="663"/>
      <c r="BY883" s="663"/>
      <c r="BZ883" s="663"/>
      <c r="CA883" s="663"/>
    </row>
    <row r="884" spans="1:79" hidden="1" outlineLevel="1" x14ac:dyDescent="0.25">
      <c r="A884" s="655"/>
      <c r="B884" s="223"/>
      <c r="C884" s="223"/>
      <c r="D884" s="223"/>
      <c r="E884" s="570" t="s">
        <v>1325</v>
      </c>
      <c r="F884" s="655" t="s">
        <v>853</v>
      </c>
      <c r="G884" s="663"/>
      <c r="H884" s="663"/>
      <c r="I884" s="663"/>
      <c r="J884" s="663"/>
      <c r="K884" s="663"/>
      <c r="L884" s="663"/>
      <c r="M884" s="663"/>
      <c r="N884" s="663"/>
      <c r="O884" s="663"/>
      <c r="P884" s="663"/>
      <c r="Q884" s="663"/>
      <c r="R884" s="663"/>
      <c r="S884" s="663">
        <v>0</v>
      </c>
      <c r="T884" s="663">
        <v>0</v>
      </c>
      <c r="U884" s="663">
        <v>0</v>
      </c>
      <c r="V884" s="663">
        <v>0</v>
      </c>
      <c r="W884" s="663">
        <v>0</v>
      </c>
      <c r="X884" s="663">
        <v>0</v>
      </c>
      <c r="Y884" s="663">
        <v>0</v>
      </c>
      <c r="Z884" s="663">
        <v>0</v>
      </c>
      <c r="AA884" s="663">
        <v>0</v>
      </c>
      <c r="AB884" s="663">
        <v>0</v>
      </c>
      <c r="AC884" s="663">
        <v>0</v>
      </c>
      <c r="AD884" s="663">
        <v>0</v>
      </c>
      <c r="AE884" s="663">
        <v>0</v>
      </c>
      <c r="AF884" s="663">
        <v>0</v>
      </c>
      <c r="AG884" s="663">
        <v>0</v>
      </c>
      <c r="AH884" s="663"/>
      <c r="AI884" s="663"/>
      <c r="AJ884" s="663"/>
      <c r="AK884" s="663"/>
      <c r="AL884" s="663"/>
      <c r="AM884" s="663"/>
      <c r="AN884" s="663"/>
      <c r="AO884" s="663"/>
      <c r="AP884" s="663"/>
      <c r="AQ884" s="663"/>
      <c r="AR884" s="663"/>
      <c r="AS884" s="663"/>
      <c r="AT884" s="663"/>
      <c r="AU884" s="663"/>
      <c r="AV884" s="663"/>
      <c r="AW884" s="663"/>
      <c r="AX884" s="663"/>
      <c r="AY884" s="663"/>
      <c r="AZ884" s="663"/>
      <c r="BA884" s="663"/>
      <c r="BB884" s="663"/>
      <c r="BC884" s="663"/>
      <c r="BD884" s="663"/>
      <c r="BE884" s="663"/>
      <c r="BF884" s="663"/>
      <c r="BG884" s="663"/>
      <c r="BH884" s="663"/>
      <c r="BI884" s="663"/>
      <c r="BJ884" s="663"/>
      <c r="BK884" s="663"/>
      <c r="BL884" s="663"/>
      <c r="BM884" s="663"/>
      <c r="BN884" s="663"/>
      <c r="BO884" s="663"/>
      <c r="BP884" s="663"/>
      <c r="BQ884" s="663"/>
      <c r="BR884" s="663"/>
      <c r="BS884" s="663"/>
      <c r="BT884" s="663"/>
      <c r="BU884" s="663"/>
      <c r="BV884" s="663"/>
      <c r="BW884" s="663"/>
      <c r="BX884" s="663"/>
      <c r="BY884" s="663"/>
      <c r="BZ884" s="663"/>
      <c r="CA884" s="663"/>
    </row>
    <row r="885" spans="1:79" hidden="1" outlineLevel="1" x14ac:dyDescent="0.25">
      <c r="A885" s="691"/>
      <c r="B885" s="693"/>
      <c r="C885" s="693"/>
      <c r="D885" s="693"/>
      <c r="E885" s="570" t="s">
        <v>657</v>
      </c>
      <c r="F885" s="691" t="s">
        <v>657</v>
      </c>
      <c r="G885" s="692"/>
      <c r="H885" s="692"/>
      <c r="I885" s="692"/>
      <c r="J885" s="692"/>
      <c r="K885" s="692"/>
      <c r="L885" s="692"/>
      <c r="M885" s="692"/>
      <c r="N885" s="692"/>
      <c r="O885" s="692"/>
      <c r="P885" s="692"/>
      <c r="Q885" s="692"/>
      <c r="R885" s="692"/>
      <c r="S885" s="692"/>
      <c r="T885" s="692"/>
      <c r="U885" s="692"/>
      <c r="V885" s="692"/>
      <c r="W885" s="692"/>
      <c r="X885" s="692"/>
      <c r="Y885" s="692"/>
      <c r="Z885" s="692"/>
      <c r="AA885" s="692"/>
      <c r="AB885" s="692"/>
      <c r="AC885" s="692"/>
      <c r="AD885" s="692"/>
      <c r="AE885" s="692"/>
      <c r="AF885" s="692"/>
      <c r="AG885" s="692"/>
      <c r="AH885" s="692"/>
      <c r="AI885" s="692"/>
      <c r="AJ885" s="692"/>
      <c r="AK885" s="692"/>
      <c r="AL885" s="692"/>
      <c r="AM885" s="692"/>
      <c r="AN885" s="692"/>
      <c r="AO885" s="692"/>
      <c r="AP885" s="692"/>
      <c r="AQ885" s="692"/>
      <c r="AR885" s="692"/>
      <c r="AS885" s="692"/>
      <c r="AT885" s="692"/>
      <c r="AU885" s="692"/>
      <c r="AV885" s="692"/>
      <c r="AW885" s="692"/>
      <c r="AX885" s="692"/>
      <c r="AY885" s="692"/>
      <c r="AZ885" s="692"/>
      <c r="BA885" s="692"/>
      <c r="BB885" s="692"/>
      <c r="BC885" s="692"/>
      <c r="BD885" s="692"/>
      <c r="BE885" s="692"/>
      <c r="BF885" s="692"/>
      <c r="BG885" s="692"/>
      <c r="BH885" s="692"/>
      <c r="BI885" s="692"/>
      <c r="BJ885" s="692"/>
      <c r="BK885" s="692"/>
      <c r="BL885" s="692"/>
      <c r="BM885" s="692"/>
      <c r="BN885" s="692"/>
      <c r="BO885" s="692"/>
      <c r="BP885" s="692"/>
      <c r="BQ885" s="692"/>
      <c r="BR885" s="692"/>
      <c r="BS885" s="692"/>
      <c r="BT885" s="692"/>
      <c r="BU885" s="692"/>
      <c r="BV885" s="692"/>
      <c r="BW885" s="692"/>
      <c r="BX885" s="692"/>
      <c r="BY885" s="692"/>
      <c r="BZ885" s="692"/>
      <c r="CA885" s="692"/>
    </row>
    <row r="886" spans="1:79" hidden="1" outlineLevel="1" x14ac:dyDescent="0.25">
      <c r="A886" s="656"/>
      <c r="B886" s="223"/>
      <c r="C886" s="223"/>
      <c r="D886" s="223"/>
      <c r="E886" s="570" t="s">
        <v>657</v>
      </c>
      <c r="F886" s="656" t="s">
        <v>658</v>
      </c>
      <c r="G886" s="663"/>
      <c r="H886" s="663"/>
      <c r="I886" s="663"/>
      <c r="J886" s="663"/>
      <c r="K886" s="663"/>
      <c r="L886" s="663"/>
      <c r="M886" s="663"/>
      <c r="N886" s="663"/>
      <c r="O886" s="663"/>
      <c r="P886" s="663"/>
      <c r="Q886" s="663"/>
      <c r="R886" s="663"/>
      <c r="S886" s="663">
        <v>0</v>
      </c>
      <c r="T886" s="663">
        <v>0</v>
      </c>
      <c r="U886" s="663">
        <v>0</v>
      </c>
      <c r="V886" s="663">
        <v>0</v>
      </c>
      <c r="W886" s="663">
        <v>0</v>
      </c>
      <c r="X886" s="663">
        <v>0</v>
      </c>
      <c r="Y886" s="663">
        <v>0</v>
      </c>
      <c r="Z886" s="663">
        <v>0</v>
      </c>
      <c r="AA886" s="663">
        <v>0</v>
      </c>
      <c r="AB886" s="663">
        <v>0</v>
      </c>
      <c r="AC886" s="663">
        <v>0</v>
      </c>
      <c r="AD886" s="663">
        <v>0</v>
      </c>
      <c r="AE886" s="663">
        <v>0</v>
      </c>
      <c r="AF886" s="663">
        <v>0</v>
      </c>
      <c r="AG886" s="663">
        <v>0</v>
      </c>
      <c r="AH886" s="663"/>
      <c r="AI886" s="663"/>
      <c r="AJ886" s="663"/>
      <c r="AK886" s="663"/>
      <c r="AL886" s="663"/>
      <c r="AM886" s="663"/>
      <c r="AN886" s="663"/>
      <c r="AO886" s="663"/>
      <c r="AP886" s="663"/>
      <c r="AQ886" s="663"/>
      <c r="AR886" s="663"/>
      <c r="AS886" s="663"/>
      <c r="AT886" s="663"/>
      <c r="AU886" s="663"/>
      <c r="AV886" s="663"/>
      <c r="AW886" s="663"/>
      <c r="AX886" s="663"/>
      <c r="AY886" s="663"/>
      <c r="AZ886" s="663"/>
      <c r="BA886" s="663"/>
      <c r="BB886" s="663"/>
      <c r="BC886" s="663"/>
      <c r="BD886" s="663"/>
      <c r="BE886" s="663"/>
      <c r="BF886" s="663"/>
      <c r="BG886" s="663"/>
      <c r="BH886" s="663"/>
      <c r="BI886" s="663"/>
      <c r="BJ886" s="663"/>
      <c r="BK886" s="663"/>
      <c r="BL886" s="663"/>
      <c r="BM886" s="663"/>
      <c r="BN886" s="663"/>
      <c r="BO886" s="663"/>
      <c r="BP886" s="663"/>
      <c r="BQ886" s="663"/>
      <c r="BR886" s="663"/>
      <c r="BS886" s="663"/>
      <c r="BT886" s="663"/>
      <c r="BU886" s="663"/>
      <c r="BV886" s="663"/>
      <c r="BW886" s="663"/>
      <c r="BX886" s="663"/>
      <c r="BY886" s="663"/>
      <c r="BZ886" s="663"/>
      <c r="CA886" s="663"/>
    </row>
    <row r="887" spans="1:79" hidden="1" outlineLevel="1" x14ac:dyDescent="0.25">
      <c r="A887" s="656"/>
      <c r="B887" s="223"/>
      <c r="C887" s="223"/>
      <c r="D887" s="223"/>
      <c r="E887" s="570" t="s">
        <v>657</v>
      </c>
      <c r="F887" s="656" t="s">
        <v>854</v>
      </c>
      <c r="G887" s="663"/>
      <c r="H887" s="663"/>
      <c r="I887" s="663"/>
      <c r="J887" s="663"/>
      <c r="K887" s="663"/>
      <c r="L887" s="663"/>
      <c r="M887" s="663"/>
      <c r="N887" s="663"/>
      <c r="O887" s="663"/>
      <c r="P887" s="663"/>
      <c r="Q887" s="663"/>
      <c r="R887" s="663"/>
      <c r="S887" s="663">
        <v>0</v>
      </c>
      <c r="T887" s="663">
        <v>0</v>
      </c>
      <c r="U887" s="663">
        <v>0</v>
      </c>
      <c r="V887" s="663">
        <v>0</v>
      </c>
      <c r="W887" s="663">
        <v>0</v>
      </c>
      <c r="X887" s="663">
        <v>0</v>
      </c>
      <c r="Y887" s="663">
        <v>0</v>
      </c>
      <c r="Z887" s="663">
        <v>0</v>
      </c>
      <c r="AA887" s="663">
        <v>0</v>
      </c>
      <c r="AB887" s="663">
        <v>0</v>
      </c>
      <c r="AC887" s="663">
        <v>0</v>
      </c>
      <c r="AD887" s="663">
        <v>0</v>
      </c>
      <c r="AE887" s="663">
        <v>0</v>
      </c>
      <c r="AF887" s="663">
        <v>0</v>
      </c>
      <c r="AG887" s="663">
        <v>0</v>
      </c>
      <c r="AH887" s="663"/>
      <c r="AI887" s="663"/>
      <c r="AJ887" s="663"/>
      <c r="AK887" s="663"/>
      <c r="AL887" s="663"/>
      <c r="AM887" s="663"/>
      <c r="AN887" s="663"/>
      <c r="AO887" s="663"/>
      <c r="AP887" s="663"/>
      <c r="AQ887" s="663"/>
      <c r="AR887" s="663"/>
      <c r="AS887" s="663"/>
      <c r="AT887" s="663"/>
      <c r="AU887" s="663"/>
      <c r="AV887" s="663"/>
      <c r="AW887" s="663"/>
      <c r="AX887" s="663"/>
      <c r="AY887" s="663"/>
      <c r="AZ887" s="663"/>
      <c r="BA887" s="663"/>
      <c r="BB887" s="663"/>
      <c r="BC887" s="663"/>
      <c r="BD887" s="663"/>
      <c r="BE887" s="663"/>
      <c r="BF887" s="663"/>
      <c r="BG887" s="663"/>
      <c r="BH887" s="663"/>
      <c r="BI887" s="663"/>
      <c r="BJ887" s="663"/>
      <c r="BK887" s="663"/>
      <c r="BL887" s="663"/>
      <c r="BM887" s="663"/>
      <c r="BN887" s="663"/>
      <c r="BO887" s="663"/>
      <c r="BP887" s="663"/>
      <c r="BQ887" s="663"/>
      <c r="BR887" s="663"/>
      <c r="BS887" s="663"/>
      <c r="BT887" s="663"/>
      <c r="BU887" s="663"/>
      <c r="BV887" s="663"/>
      <c r="BW887" s="663"/>
      <c r="BX887" s="663"/>
      <c r="BY887" s="663"/>
      <c r="BZ887" s="663"/>
      <c r="CA887" s="663"/>
    </row>
    <row r="888" spans="1:79" hidden="1" outlineLevel="1" x14ac:dyDescent="0.25">
      <c r="A888" s="657"/>
      <c r="B888" s="223"/>
      <c r="C888" s="223"/>
      <c r="D888" s="223"/>
      <c r="E888" s="570" t="s">
        <v>49</v>
      </c>
      <c r="F888" s="657" t="s">
        <v>659</v>
      </c>
      <c r="G888" s="664">
        <f>SUM(G886:G887)</f>
        <v>0</v>
      </c>
      <c r="H888" s="664">
        <f t="shared" ref="H888:Q888" si="370">SUM(H886:H887)</f>
        <v>0</v>
      </c>
      <c r="I888" s="664">
        <f t="shared" si="370"/>
        <v>0</v>
      </c>
      <c r="J888" s="664">
        <f t="shared" si="370"/>
        <v>0</v>
      </c>
      <c r="K888" s="664">
        <f t="shared" si="370"/>
        <v>0</v>
      </c>
      <c r="L888" s="664">
        <f t="shared" si="370"/>
        <v>0</v>
      </c>
      <c r="M888" s="664">
        <f t="shared" si="370"/>
        <v>0</v>
      </c>
      <c r="N888" s="664">
        <f t="shared" si="370"/>
        <v>0</v>
      </c>
      <c r="O888" s="664">
        <f t="shared" si="370"/>
        <v>0</v>
      </c>
      <c r="P888" s="664">
        <f t="shared" si="370"/>
        <v>0</v>
      </c>
      <c r="Q888" s="664">
        <f t="shared" si="370"/>
        <v>0</v>
      </c>
      <c r="R888" s="664">
        <f>SUM(R886:R887)</f>
        <v>0</v>
      </c>
      <c r="S888" s="664">
        <f t="shared" ref="S888:AA888" si="371">ROUND(SUM(S885:S887),5)</f>
        <v>0</v>
      </c>
      <c r="T888" s="664">
        <f t="shared" si="371"/>
        <v>0</v>
      </c>
      <c r="U888" s="664">
        <f t="shared" si="371"/>
        <v>0</v>
      </c>
      <c r="V888" s="664">
        <f t="shared" si="371"/>
        <v>0</v>
      </c>
      <c r="W888" s="664">
        <f t="shared" si="371"/>
        <v>0</v>
      </c>
      <c r="X888" s="664">
        <f t="shared" si="371"/>
        <v>0</v>
      </c>
      <c r="Y888" s="664">
        <f t="shared" si="371"/>
        <v>0</v>
      </c>
      <c r="Z888" s="664">
        <f t="shared" si="371"/>
        <v>0</v>
      </c>
      <c r="AA888" s="664">
        <f t="shared" si="371"/>
        <v>0</v>
      </c>
      <c r="AB888" s="664">
        <f t="shared" ref="AB888:AG888" si="372">ROUND(SUM(AB885:AB887),5)</f>
        <v>0</v>
      </c>
      <c r="AC888" s="664">
        <f t="shared" si="372"/>
        <v>0</v>
      </c>
      <c r="AD888" s="664">
        <f t="shared" si="372"/>
        <v>0</v>
      </c>
      <c r="AE888" s="664">
        <f t="shared" si="372"/>
        <v>0</v>
      </c>
      <c r="AF888" s="664">
        <f t="shared" si="372"/>
        <v>0</v>
      </c>
      <c r="AG888" s="664">
        <f t="shared" si="372"/>
        <v>0</v>
      </c>
      <c r="AH888" s="664">
        <f t="shared" ref="AH888:BO888" si="373">SUM(AH886:AH887)</f>
        <v>0</v>
      </c>
      <c r="AI888" s="664">
        <f t="shared" si="373"/>
        <v>0</v>
      </c>
      <c r="AJ888" s="664">
        <f t="shared" si="373"/>
        <v>0</v>
      </c>
      <c r="AK888" s="664">
        <f t="shared" si="373"/>
        <v>0</v>
      </c>
      <c r="AL888" s="664">
        <f t="shared" si="373"/>
        <v>0</v>
      </c>
      <c r="AM888" s="664">
        <f t="shared" si="373"/>
        <v>0</v>
      </c>
      <c r="AN888" s="664">
        <f t="shared" si="373"/>
        <v>0</v>
      </c>
      <c r="AO888" s="664">
        <f t="shared" si="373"/>
        <v>0</v>
      </c>
      <c r="AP888" s="664">
        <f t="shared" si="373"/>
        <v>0</v>
      </c>
      <c r="AQ888" s="664">
        <f t="shared" si="373"/>
        <v>0</v>
      </c>
      <c r="AR888" s="664">
        <f t="shared" si="373"/>
        <v>0</v>
      </c>
      <c r="AS888" s="664">
        <f t="shared" si="373"/>
        <v>0</v>
      </c>
      <c r="AT888" s="664">
        <f t="shared" si="373"/>
        <v>0</v>
      </c>
      <c r="AU888" s="664">
        <f t="shared" si="373"/>
        <v>0</v>
      </c>
      <c r="AV888" s="664">
        <f t="shared" si="373"/>
        <v>0</v>
      </c>
      <c r="AW888" s="664">
        <f t="shared" si="373"/>
        <v>0</v>
      </c>
      <c r="AX888" s="664">
        <f t="shared" si="373"/>
        <v>0</v>
      </c>
      <c r="AY888" s="664">
        <f t="shared" si="373"/>
        <v>0</v>
      </c>
      <c r="AZ888" s="664">
        <f t="shared" si="373"/>
        <v>0</v>
      </c>
      <c r="BA888" s="664">
        <f t="shared" si="373"/>
        <v>0</v>
      </c>
      <c r="BB888" s="664">
        <f t="shared" si="373"/>
        <v>0</v>
      </c>
      <c r="BC888" s="664">
        <f t="shared" si="373"/>
        <v>0</v>
      </c>
      <c r="BD888" s="664">
        <f t="shared" si="373"/>
        <v>0</v>
      </c>
      <c r="BE888" s="664">
        <f t="shared" si="373"/>
        <v>0</v>
      </c>
      <c r="BF888" s="664">
        <f t="shared" si="373"/>
        <v>0</v>
      </c>
      <c r="BG888" s="664">
        <f t="shared" si="373"/>
        <v>0</v>
      </c>
      <c r="BH888" s="664">
        <f t="shared" si="373"/>
        <v>0</v>
      </c>
      <c r="BI888" s="664">
        <f t="shared" si="373"/>
        <v>0</v>
      </c>
      <c r="BJ888" s="664">
        <f t="shared" si="373"/>
        <v>0</v>
      </c>
      <c r="BK888" s="664">
        <f t="shared" si="373"/>
        <v>0</v>
      </c>
      <c r="BL888" s="664">
        <f t="shared" si="373"/>
        <v>0</v>
      </c>
      <c r="BM888" s="664">
        <f t="shared" si="373"/>
        <v>0</v>
      </c>
      <c r="BN888" s="664">
        <f t="shared" si="373"/>
        <v>0</v>
      </c>
      <c r="BO888" s="664">
        <f t="shared" si="373"/>
        <v>0</v>
      </c>
      <c r="BP888" s="664">
        <f t="shared" ref="BP888:CA888" si="374">SUM(BP886:BP887)</f>
        <v>0</v>
      </c>
      <c r="BQ888" s="664">
        <f t="shared" si="374"/>
        <v>0</v>
      </c>
      <c r="BR888" s="664">
        <f t="shared" si="374"/>
        <v>0</v>
      </c>
      <c r="BS888" s="664">
        <f t="shared" si="374"/>
        <v>0</v>
      </c>
      <c r="BT888" s="664">
        <f t="shared" si="374"/>
        <v>0</v>
      </c>
      <c r="BU888" s="664">
        <f t="shared" si="374"/>
        <v>0</v>
      </c>
      <c r="BV888" s="664">
        <f t="shared" si="374"/>
        <v>0</v>
      </c>
      <c r="BW888" s="664">
        <f t="shared" si="374"/>
        <v>0</v>
      </c>
      <c r="BX888" s="664">
        <f t="shared" si="374"/>
        <v>0</v>
      </c>
      <c r="BY888" s="664">
        <f t="shared" si="374"/>
        <v>0</v>
      </c>
      <c r="BZ888" s="664">
        <f t="shared" si="374"/>
        <v>0</v>
      </c>
      <c r="CA888" s="664">
        <f t="shared" si="374"/>
        <v>0</v>
      </c>
    </row>
    <row r="889" spans="1:79" hidden="1" outlineLevel="1" x14ac:dyDescent="0.25">
      <c r="A889" s="655"/>
      <c r="B889" s="223"/>
      <c r="C889" s="223"/>
      <c r="D889" s="223"/>
      <c r="E889" s="570" t="s">
        <v>695</v>
      </c>
      <c r="F889" s="655" t="s">
        <v>695</v>
      </c>
      <c r="G889" s="663"/>
      <c r="H889" s="663"/>
      <c r="I889" s="663"/>
      <c r="J889" s="663"/>
      <c r="K889" s="663"/>
      <c r="L889" s="663"/>
      <c r="M889" s="663"/>
      <c r="N889" s="663"/>
      <c r="O889" s="663"/>
      <c r="P889" s="663"/>
      <c r="Q889" s="663"/>
      <c r="R889" s="663"/>
      <c r="S889" s="663">
        <v>0</v>
      </c>
      <c r="T889" s="663">
        <v>0</v>
      </c>
      <c r="U889" s="663">
        <v>0</v>
      </c>
      <c r="V889" s="663">
        <v>0</v>
      </c>
      <c r="W889" s="663">
        <v>0</v>
      </c>
      <c r="X889" s="663">
        <v>0</v>
      </c>
      <c r="Y889" s="663">
        <v>0</v>
      </c>
      <c r="Z889" s="663">
        <v>0</v>
      </c>
      <c r="AA889" s="663">
        <v>0</v>
      </c>
      <c r="AB889" s="663">
        <v>0</v>
      </c>
      <c r="AC889" s="663">
        <v>0</v>
      </c>
      <c r="AD889" s="663">
        <v>0</v>
      </c>
      <c r="AE889" s="663">
        <v>0</v>
      </c>
      <c r="AF889" s="663">
        <v>0</v>
      </c>
      <c r="AG889" s="663">
        <v>0</v>
      </c>
      <c r="AH889" s="663"/>
      <c r="AI889" s="663"/>
      <c r="AJ889" s="663"/>
      <c r="AK889" s="663"/>
      <c r="AL889" s="663"/>
      <c r="AM889" s="663"/>
      <c r="AN889" s="663"/>
      <c r="AO889" s="663"/>
      <c r="AP889" s="663"/>
      <c r="AQ889" s="663"/>
      <c r="AR889" s="663"/>
      <c r="AS889" s="663"/>
      <c r="AT889" s="663"/>
      <c r="AU889" s="663"/>
      <c r="AV889" s="663"/>
      <c r="AW889" s="663"/>
      <c r="AX889" s="663"/>
      <c r="AY889" s="663"/>
      <c r="AZ889" s="663"/>
      <c r="BA889" s="663"/>
      <c r="BB889" s="663"/>
      <c r="BC889" s="663"/>
      <c r="BD889" s="663"/>
      <c r="BE889" s="663"/>
      <c r="BF889" s="663"/>
      <c r="BG889" s="663"/>
      <c r="BH889" s="663"/>
      <c r="BI889" s="663"/>
      <c r="BJ889" s="663"/>
      <c r="BK889" s="663"/>
      <c r="BL889" s="663"/>
      <c r="BM889" s="663"/>
      <c r="BN889" s="663"/>
      <c r="BO889" s="663"/>
      <c r="BP889" s="663"/>
      <c r="BQ889" s="663"/>
      <c r="BR889" s="663"/>
      <c r="BS889" s="663"/>
      <c r="BT889" s="663"/>
      <c r="BU889" s="663"/>
      <c r="BV889" s="663"/>
      <c r="BW889" s="663"/>
      <c r="BX889" s="663"/>
      <c r="BY889" s="663"/>
      <c r="BZ889" s="663"/>
      <c r="CA889" s="663"/>
    </row>
    <row r="890" spans="1:79" hidden="1" outlineLevel="1" x14ac:dyDescent="0.25">
      <c r="A890" s="655"/>
      <c r="B890" s="223"/>
      <c r="C890" s="223"/>
      <c r="D890" s="223"/>
      <c r="E890" s="570" t="s">
        <v>855</v>
      </c>
      <c r="F890" s="655" t="s">
        <v>855</v>
      </c>
      <c r="G890" s="663"/>
      <c r="H890" s="663"/>
      <c r="I890" s="663"/>
      <c r="J890" s="663"/>
      <c r="K890" s="663"/>
      <c r="L890" s="663"/>
      <c r="M890" s="663"/>
      <c r="N890" s="663"/>
      <c r="O890" s="663"/>
      <c r="P890" s="663"/>
      <c r="Q890" s="663"/>
      <c r="R890" s="663"/>
      <c r="S890" s="663">
        <v>0</v>
      </c>
      <c r="T890" s="663">
        <v>0</v>
      </c>
      <c r="U890" s="663">
        <v>0</v>
      </c>
      <c r="V890" s="663">
        <v>0</v>
      </c>
      <c r="W890" s="663">
        <v>0</v>
      </c>
      <c r="X890" s="663">
        <v>0</v>
      </c>
      <c r="Y890" s="663">
        <v>0</v>
      </c>
      <c r="Z890" s="663">
        <v>0</v>
      </c>
      <c r="AA890" s="663">
        <v>0</v>
      </c>
      <c r="AB890" s="663">
        <v>0</v>
      </c>
      <c r="AC890" s="663">
        <v>0</v>
      </c>
      <c r="AD890" s="663">
        <v>0</v>
      </c>
      <c r="AE890" s="663">
        <v>0</v>
      </c>
      <c r="AF890" s="663">
        <v>0</v>
      </c>
      <c r="AG890" s="663">
        <v>0</v>
      </c>
      <c r="AH890" s="663"/>
      <c r="AI890" s="663"/>
      <c r="AJ890" s="663"/>
      <c r="AK890" s="663"/>
      <c r="AL890" s="663"/>
      <c r="AM890" s="663"/>
      <c r="AN890" s="663"/>
      <c r="AO890" s="663"/>
      <c r="AP890" s="663"/>
      <c r="AQ890" s="663"/>
      <c r="AR890" s="663"/>
      <c r="AS890" s="663"/>
      <c r="AT890" s="663"/>
      <c r="AU890" s="663"/>
      <c r="AV890" s="663"/>
      <c r="AW890" s="663"/>
      <c r="AX890" s="663"/>
      <c r="AY890" s="663"/>
      <c r="AZ890" s="663"/>
      <c r="BA890" s="663"/>
      <c r="BB890" s="663"/>
      <c r="BC890" s="663"/>
      <c r="BD890" s="663"/>
      <c r="BE890" s="663"/>
      <c r="BF890" s="663"/>
      <c r="BG890" s="663"/>
      <c r="BH890" s="663"/>
      <c r="BI890" s="663"/>
      <c r="BJ890" s="663"/>
      <c r="BK890" s="663"/>
      <c r="BL890" s="663"/>
      <c r="BM890" s="663"/>
      <c r="BN890" s="663"/>
      <c r="BO890" s="663"/>
      <c r="BP890" s="663"/>
      <c r="BQ890" s="663"/>
      <c r="BR890" s="663"/>
      <c r="BS890" s="663"/>
      <c r="BT890" s="663"/>
      <c r="BU890" s="663"/>
      <c r="BV890" s="663"/>
      <c r="BW890" s="663"/>
      <c r="BX890" s="663"/>
      <c r="BY890" s="663"/>
      <c r="BZ890" s="663"/>
      <c r="CA890" s="663"/>
    </row>
    <row r="891" spans="1:79" hidden="1" outlineLevel="1" x14ac:dyDescent="0.25">
      <c r="A891" s="655"/>
      <c r="B891" s="223"/>
      <c r="C891" s="223"/>
      <c r="D891" s="223"/>
      <c r="E891" s="570" t="s">
        <v>856</v>
      </c>
      <c r="F891" s="655" t="s">
        <v>856</v>
      </c>
      <c r="G891" s="663"/>
      <c r="H891" s="663"/>
      <c r="I891" s="663"/>
      <c r="J891" s="663"/>
      <c r="K891" s="663"/>
      <c r="L891" s="663"/>
      <c r="M891" s="663"/>
      <c r="N891" s="663"/>
      <c r="O891" s="663"/>
      <c r="P891" s="663"/>
      <c r="Q891" s="663"/>
      <c r="R891" s="663"/>
      <c r="S891" s="663">
        <v>0</v>
      </c>
      <c r="T891" s="663">
        <v>0</v>
      </c>
      <c r="U891" s="663">
        <v>0</v>
      </c>
      <c r="V891" s="663">
        <v>0</v>
      </c>
      <c r="W891" s="663">
        <v>0</v>
      </c>
      <c r="X891" s="663">
        <v>0</v>
      </c>
      <c r="Y891" s="663">
        <v>0</v>
      </c>
      <c r="Z891" s="663">
        <v>0</v>
      </c>
      <c r="AA891" s="663">
        <v>0</v>
      </c>
      <c r="AB891" s="663">
        <v>0</v>
      </c>
      <c r="AC891" s="663">
        <v>0</v>
      </c>
      <c r="AD891" s="663">
        <v>0</v>
      </c>
      <c r="AE891" s="663">
        <v>0</v>
      </c>
      <c r="AF891" s="663">
        <v>0</v>
      </c>
      <c r="AG891" s="663">
        <v>0</v>
      </c>
      <c r="AH891" s="663"/>
      <c r="AI891" s="663"/>
      <c r="AJ891" s="663"/>
      <c r="AK891" s="663"/>
      <c r="AL891" s="663"/>
      <c r="AM891" s="663"/>
      <c r="AN891" s="663"/>
      <c r="AO891" s="663"/>
      <c r="AP891" s="663"/>
      <c r="AQ891" s="663"/>
      <c r="AR891" s="663"/>
      <c r="AS891" s="663"/>
      <c r="AT891" s="663"/>
      <c r="AU891" s="663"/>
      <c r="AV891" s="663"/>
      <c r="AW891" s="663"/>
      <c r="AX891" s="663"/>
      <c r="AY891" s="663"/>
      <c r="AZ891" s="663"/>
      <c r="BA891" s="663"/>
      <c r="BB891" s="663"/>
      <c r="BC891" s="663"/>
      <c r="BD891" s="663"/>
      <c r="BE891" s="663"/>
      <c r="BF891" s="663"/>
      <c r="BG891" s="663"/>
      <c r="BH891" s="663"/>
      <c r="BI891" s="663"/>
      <c r="BJ891" s="663"/>
      <c r="BK891" s="663"/>
      <c r="BL891" s="663"/>
      <c r="BM891" s="663"/>
      <c r="BN891" s="663"/>
      <c r="BO891" s="663"/>
      <c r="BP891" s="663"/>
      <c r="BQ891" s="663"/>
      <c r="BR891" s="663"/>
      <c r="BS891" s="663"/>
      <c r="BT891" s="663"/>
      <c r="BU891" s="663"/>
      <c r="BV891" s="663"/>
      <c r="BW891" s="663"/>
      <c r="BX891" s="663"/>
      <c r="BY891" s="663"/>
      <c r="BZ891" s="663"/>
      <c r="CA891" s="663"/>
    </row>
    <row r="892" spans="1:79" hidden="1" outlineLevel="1" x14ac:dyDescent="0.25">
      <c r="A892" s="655"/>
      <c r="B892" s="223"/>
      <c r="C892" s="223"/>
      <c r="D892" s="223"/>
      <c r="E892" s="570" t="s">
        <v>17</v>
      </c>
      <c r="F892" s="655" t="s">
        <v>17</v>
      </c>
      <c r="G892" s="663"/>
      <c r="H892" s="663"/>
      <c r="I892" s="663"/>
      <c r="J892" s="663"/>
      <c r="K892" s="663"/>
      <c r="L892" s="663"/>
      <c r="M892" s="663"/>
      <c r="N892" s="663"/>
      <c r="O892" s="663"/>
      <c r="P892" s="663"/>
      <c r="Q892" s="663"/>
      <c r="R892" s="663"/>
      <c r="S892" s="663">
        <v>0</v>
      </c>
      <c r="T892" s="663">
        <v>0</v>
      </c>
      <c r="U892" s="663">
        <v>0</v>
      </c>
      <c r="V892" s="663">
        <v>0</v>
      </c>
      <c r="W892" s="663">
        <v>0</v>
      </c>
      <c r="X892" s="663">
        <v>0</v>
      </c>
      <c r="Y892" s="663">
        <v>0</v>
      </c>
      <c r="Z892" s="663">
        <v>0</v>
      </c>
      <c r="AA892" s="663">
        <v>0</v>
      </c>
      <c r="AB892" s="663">
        <v>0</v>
      </c>
      <c r="AC892" s="663">
        <v>0</v>
      </c>
      <c r="AD892" s="663">
        <v>0</v>
      </c>
      <c r="AE892" s="663">
        <v>0</v>
      </c>
      <c r="AF892" s="663">
        <v>0</v>
      </c>
      <c r="AG892" s="663">
        <v>0</v>
      </c>
      <c r="AH892" s="663"/>
      <c r="AI892" s="663"/>
      <c r="AJ892" s="663"/>
      <c r="AK892" s="663"/>
      <c r="AL892" s="663"/>
      <c r="AM892" s="663"/>
      <c r="AN892" s="663"/>
      <c r="AO892" s="663"/>
      <c r="AP892" s="663"/>
      <c r="AQ892" s="663"/>
      <c r="AR892" s="663"/>
      <c r="AS892" s="663"/>
      <c r="AT892" s="663"/>
      <c r="AU892" s="663"/>
      <c r="AV892" s="663"/>
      <c r="AW892" s="663"/>
      <c r="AX892" s="663"/>
      <c r="AY892" s="663"/>
      <c r="AZ892" s="663"/>
      <c r="BA892" s="663"/>
      <c r="BB892" s="663"/>
      <c r="BC892" s="663"/>
      <c r="BD892" s="663"/>
      <c r="BE892" s="663"/>
      <c r="BF892" s="663"/>
      <c r="BG892" s="663"/>
      <c r="BH892" s="663"/>
      <c r="BI892" s="663"/>
      <c r="BJ892" s="663"/>
      <c r="BK892" s="663"/>
      <c r="BL892" s="663"/>
      <c r="BM892" s="663"/>
      <c r="BN892" s="663"/>
      <c r="BO892" s="663"/>
      <c r="BP892" s="663"/>
      <c r="BQ892" s="663"/>
      <c r="BR892" s="663"/>
      <c r="BS892" s="663"/>
      <c r="BT892" s="663"/>
      <c r="BU892" s="663"/>
      <c r="BV892" s="663"/>
      <c r="BW892" s="663"/>
      <c r="BX892" s="663"/>
      <c r="BY892" s="663"/>
      <c r="BZ892" s="663"/>
      <c r="CA892" s="663"/>
    </row>
    <row r="893" spans="1:79" hidden="1" outlineLevel="1" x14ac:dyDescent="0.25">
      <c r="A893" s="655"/>
      <c r="B893" s="223"/>
      <c r="C893" s="223"/>
      <c r="D893" s="223"/>
      <c r="E893" s="570" t="s">
        <v>1327</v>
      </c>
      <c r="F893" s="655" t="s">
        <v>857</v>
      </c>
      <c r="G893" s="663"/>
      <c r="H893" s="663"/>
      <c r="I893" s="663"/>
      <c r="J893" s="663"/>
      <c r="K893" s="663"/>
      <c r="L893" s="663"/>
      <c r="M893" s="663"/>
      <c r="N893" s="663"/>
      <c r="O893" s="663"/>
      <c r="P893" s="663"/>
      <c r="Q893" s="663"/>
      <c r="R893" s="663"/>
      <c r="S893" s="663">
        <v>0</v>
      </c>
      <c r="T893" s="663">
        <v>0</v>
      </c>
      <c r="U893" s="663">
        <v>0</v>
      </c>
      <c r="V893" s="663">
        <v>0</v>
      </c>
      <c r="W893" s="663">
        <v>0</v>
      </c>
      <c r="X893" s="663">
        <v>0</v>
      </c>
      <c r="Y893" s="663">
        <v>0</v>
      </c>
      <c r="Z893" s="663">
        <v>0</v>
      </c>
      <c r="AA893" s="663">
        <v>0</v>
      </c>
      <c r="AB893" s="663">
        <v>0</v>
      </c>
      <c r="AC893" s="663">
        <v>0</v>
      </c>
      <c r="AD893" s="663">
        <v>0</v>
      </c>
      <c r="AE893" s="663">
        <v>0</v>
      </c>
      <c r="AF893" s="663">
        <v>0</v>
      </c>
      <c r="AG893" s="663">
        <v>0</v>
      </c>
      <c r="AH893" s="663"/>
      <c r="AI893" s="663"/>
      <c r="AJ893" s="663"/>
      <c r="AK893" s="663"/>
      <c r="AL893" s="663"/>
      <c r="AM893" s="663"/>
      <c r="AN893" s="663"/>
      <c r="AO893" s="663"/>
      <c r="AP893" s="663"/>
      <c r="AQ893" s="663"/>
      <c r="AR893" s="663"/>
      <c r="AS893" s="663"/>
      <c r="AT893" s="663"/>
      <c r="AU893" s="663"/>
      <c r="AV893" s="663"/>
      <c r="AW893" s="663"/>
      <c r="AX893" s="663"/>
      <c r="AY893" s="663"/>
      <c r="AZ893" s="663"/>
      <c r="BA893" s="663"/>
      <c r="BB893" s="663"/>
      <c r="BC893" s="663"/>
      <c r="BD893" s="663"/>
      <c r="BE893" s="663"/>
      <c r="BF893" s="663"/>
      <c r="BG893" s="663"/>
      <c r="BH893" s="663"/>
      <c r="BI893" s="663"/>
      <c r="BJ893" s="663"/>
      <c r="BK893" s="663"/>
      <c r="BL893" s="663"/>
      <c r="BM893" s="663"/>
      <c r="BN893" s="663"/>
      <c r="BO893" s="663"/>
      <c r="BP893" s="663"/>
      <c r="BQ893" s="663"/>
      <c r="BR893" s="663"/>
      <c r="BS893" s="663"/>
      <c r="BT893" s="663"/>
      <c r="BU893" s="663"/>
      <c r="BV893" s="663"/>
      <c r="BW893" s="663"/>
      <c r="BX893" s="663"/>
      <c r="BY893" s="663"/>
      <c r="BZ893" s="663"/>
      <c r="CA893" s="663"/>
    </row>
    <row r="894" spans="1:79" hidden="1" outlineLevel="1" x14ac:dyDescent="0.25">
      <c r="A894" s="655"/>
      <c r="B894" s="223"/>
      <c r="C894" s="223"/>
      <c r="D894" s="223"/>
      <c r="E894" s="570" t="s">
        <v>1330</v>
      </c>
      <c r="F894" s="655" t="s">
        <v>861</v>
      </c>
      <c r="G894" s="664"/>
      <c r="H894" s="664"/>
      <c r="I894" s="664"/>
      <c r="J894" s="664"/>
      <c r="K894" s="664"/>
      <c r="L894" s="664"/>
      <c r="M894" s="664"/>
      <c r="N894" s="664"/>
      <c r="O894" s="664"/>
      <c r="P894" s="664"/>
      <c r="Q894" s="664"/>
      <c r="R894" s="664"/>
      <c r="S894" s="663">
        <v>0</v>
      </c>
      <c r="T894" s="663">
        <v>0</v>
      </c>
      <c r="U894" s="663">
        <v>0</v>
      </c>
      <c r="V894" s="663">
        <v>0</v>
      </c>
      <c r="W894" s="663">
        <v>0</v>
      </c>
      <c r="X894" s="663">
        <v>0</v>
      </c>
      <c r="Y894" s="663">
        <v>0</v>
      </c>
      <c r="Z894" s="663">
        <v>0</v>
      </c>
      <c r="AA894" s="663">
        <v>0</v>
      </c>
      <c r="AB894" s="663">
        <v>0</v>
      </c>
      <c r="AC894" s="663">
        <v>0</v>
      </c>
      <c r="AD894" s="663">
        <v>0</v>
      </c>
      <c r="AE894" s="663">
        <v>0</v>
      </c>
      <c r="AF894" s="716">
        <v>0</v>
      </c>
      <c r="AG894" s="663">
        <v>0</v>
      </c>
      <c r="AH894" s="664"/>
      <c r="AI894" s="664"/>
      <c r="AJ894" s="664"/>
      <c r="AK894" s="664"/>
      <c r="AL894" s="664"/>
      <c r="AM894" s="664"/>
      <c r="AN894" s="664"/>
      <c r="AO894" s="664"/>
      <c r="AP894" s="664"/>
      <c r="AQ894" s="664"/>
      <c r="AR894" s="664"/>
      <c r="AS894" s="664"/>
      <c r="AT894" s="664"/>
      <c r="AU894" s="664"/>
      <c r="AV894" s="664"/>
      <c r="AW894" s="664"/>
      <c r="AX894" s="664"/>
      <c r="AY894" s="664"/>
      <c r="AZ894" s="664"/>
      <c r="BA894" s="664"/>
      <c r="BB894" s="664"/>
      <c r="BC894" s="664"/>
      <c r="BD894" s="664"/>
      <c r="BE894" s="664"/>
      <c r="BF894" s="664"/>
      <c r="BG894" s="664"/>
      <c r="BH894" s="664"/>
      <c r="BI894" s="664"/>
      <c r="BJ894" s="664"/>
      <c r="BK894" s="664"/>
      <c r="BL894" s="664"/>
      <c r="BM894" s="664"/>
      <c r="BN894" s="664"/>
      <c r="BO894" s="664"/>
      <c r="BP894" s="664"/>
      <c r="BQ894" s="664"/>
      <c r="BR894" s="664"/>
      <c r="BS894" s="664"/>
      <c r="BT894" s="664"/>
      <c r="BU894" s="664"/>
      <c r="BV894" s="664"/>
      <c r="BW894" s="664"/>
      <c r="BX894" s="664"/>
      <c r="BY894" s="664"/>
      <c r="BZ894" s="664"/>
      <c r="CA894" s="664"/>
    </row>
    <row r="895" spans="1:79" hidden="1" outlineLevel="1" x14ac:dyDescent="0.25">
      <c r="A895" s="655"/>
      <c r="B895" s="223"/>
      <c r="C895" s="223"/>
      <c r="D895" s="223"/>
      <c r="E895" s="570" t="s">
        <v>1337</v>
      </c>
      <c r="F895" s="655" t="s">
        <v>862</v>
      </c>
      <c r="G895" s="664"/>
      <c r="H895" s="664"/>
      <c r="I895" s="664"/>
      <c r="J895" s="664"/>
      <c r="K895" s="664"/>
      <c r="L895" s="664"/>
      <c r="M895" s="664"/>
      <c r="N895" s="664"/>
      <c r="O895" s="664"/>
      <c r="P895" s="664"/>
      <c r="Q895" s="664"/>
      <c r="R895" s="664"/>
      <c r="S895" s="663">
        <v>0</v>
      </c>
      <c r="T895" s="663">
        <v>0</v>
      </c>
      <c r="U895" s="663">
        <v>0</v>
      </c>
      <c r="V895" s="663">
        <v>0</v>
      </c>
      <c r="W895" s="663">
        <v>0</v>
      </c>
      <c r="X895" s="663">
        <v>0</v>
      </c>
      <c r="Y895" s="663">
        <v>0</v>
      </c>
      <c r="Z895" s="663">
        <v>0</v>
      </c>
      <c r="AA895" s="663">
        <v>0</v>
      </c>
      <c r="AB895" s="663">
        <v>0</v>
      </c>
      <c r="AC895" s="663">
        <v>0</v>
      </c>
      <c r="AD895" s="663">
        <v>0</v>
      </c>
      <c r="AE895" s="663">
        <v>0</v>
      </c>
      <c r="AF895" s="716">
        <v>0</v>
      </c>
      <c r="AG895" s="663">
        <v>0</v>
      </c>
      <c r="AH895" s="664"/>
      <c r="AI895" s="664"/>
      <c r="AJ895" s="664"/>
      <c r="AK895" s="664"/>
      <c r="AL895" s="664"/>
      <c r="AM895" s="664"/>
      <c r="AN895" s="664"/>
      <c r="AO895" s="664"/>
      <c r="AP895" s="664"/>
      <c r="AQ895" s="664"/>
      <c r="AR895" s="664"/>
      <c r="AS895" s="664"/>
      <c r="AT895" s="664"/>
      <c r="AU895" s="664"/>
      <c r="AV895" s="664"/>
      <c r="AW895" s="664"/>
      <c r="AX895" s="664"/>
      <c r="AY895" s="664"/>
      <c r="AZ895" s="664"/>
      <c r="BA895" s="664"/>
      <c r="BB895" s="664"/>
      <c r="BC895" s="664"/>
      <c r="BD895" s="664"/>
      <c r="BE895" s="664"/>
      <c r="BF895" s="664"/>
      <c r="BG895" s="664"/>
      <c r="BH895" s="664"/>
      <c r="BI895" s="664"/>
      <c r="BJ895" s="664"/>
      <c r="BK895" s="664"/>
      <c r="BL895" s="664"/>
      <c r="BM895" s="664"/>
      <c r="BN895" s="664"/>
      <c r="BO895" s="664"/>
      <c r="BP895" s="664"/>
      <c r="BQ895" s="664"/>
      <c r="BR895" s="664"/>
      <c r="BS895" s="664"/>
      <c r="BT895" s="664"/>
      <c r="BU895" s="664"/>
      <c r="BV895" s="664"/>
      <c r="BW895" s="664"/>
      <c r="BX895" s="664"/>
      <c r="BY895" s="664"/>
      <c r="BZ895" s="664"/>
      <c r="CA895" s="664"/>
    </row>
    <row r="896" spans="1:79" s="693" customFormat="1" hidden="1" outlineLevel="1" x14ac:dyDescent="0.25">
      <c r="A896" s="691"/>
      <c r="E896" s="570" t="s">
        <v>338</v>
      </c>
      <c r="F896" s="691" t="s">
        <v>863</v>
      </c>
      <c r="G896" s="746"/>
      <c r="H896" s="746"/>
      <c r="I896" s="746"/>
      <c r="J896" s="746"/>
      <c r="K896" s="746"/>
      <c r="L896" s="746"/>
      <c r="M896" s="746"/>
      <c r="N896" s="746"/>
      <c r="O896" s="746"/>
      <c r="P896" s="746"/>
      <c r="Q896" s="746"/>
      <c r="R896" s="746"/>
      <c r="S896" s="692"/>
      <c r="T896" s="692"/>
      <c r="U896" s="692"/>
      <c r="V896" s="692"/>
      <c r="W896" s="692"/>
      <c r="X896" s="692"/>
      <c r="Y896" s="692"/>
      <c r="Z896" s="692"/>
      <c r="AA896" s="692"/>
      <c r="AB896" s="692"/>
      <c r="AC896" s="692"/>
      <c r="AD896" s="692"/>
      <c r="AE896" s="692"/>
      <c r="AF896" s="734"/>
      <c r="AG896" s="692"/>
      <c r="AH896" s="746"/>
      <c r="AI896" s="746"/>
      <c r="AJ896" s="746"/>
      <c r="AK896" s="746"/>
      <c r="AL896" s="746"/>
      <c r="AM896" s="746"/>
      <c r="AN896" s="746"/>
      <c r="AO896" s="746"/>
      <c r="AP896" s="746"/>
      <c r="AQ896" s="746"/>
      <c r="AR896" s="746"/>
      <c r="AS896" s="746"/>
      <c r="AT896" s="746"/>
      <c r="AU896" s="746"/>
      <c r="AV896" s="746"/>
      <c r="AW896" s="746"/>
      <c r="AX896" s="746"/>
      <c r="AY896" s="746"/>
      <c r="AZ896" s="746"/>
      <c r="BA896" s="746"/>
      <c r="BB896" s="746"/>
      <c r="BC896" s="746"/>
      <c r="BD896" s="746"/>
      <c r="BE896" s="746"/>
      <c r="BF896" s="746"/>
      <c r="BG896" s="746"/>
      <c r="BH896" s="746"/>
      <c r="BI896" s="746"/>
      <c r="BJ896" s="746"/>
      <c r="BK896" s="746"/>
      <c r="BL896" s="746"/>
      <c r="BM896" s="746"/>
      <c r="BN896" s="746"/>
      <c r="BO896" s="746"/>
      <c r="BP896" s="746"/>
      <c r="BQ896" s="746"/>
      <c r="BR896" s="746"/>
      <c r="BS896" s="746"/>
      <c r="BT896" s="746"/>
      <c r="BU896" s="746"/>
      <c r="BV896" s="746"/>
      <c r="BW896" s="746"/>
      <c r="BX896" s="746"/>
      <c r="BY896" s="746"/>
      <c r="BZ896" s="746"/>
      <c r="CA896" s="746"/>
    </row>
    <row r="897" spans="1:79" hidden="1" outlineLevel="1" x14ac:dyDescent="0.25">
      <c r="A897" s="656"/>
      <c r="B897" s="223"/>
      <c r="C897" s="223"/>
      <c r="D897" s="223"/>
      <c r="E897" s="570" t="s">
        <v>338</v>
      </c>
      <c r="F897" s="656" t="s">
        <v>864</v>
      </c>
      <c r="G897" s="664"/>
      <c r="H897" s="664"/>
      <c r="I897" s="664"/>
      <c r="J897" s="664"/>
      <c r="K897" s="664"/>
      <c r="L897" s="664"/>
      <c r="M897" s="664"/>
      <c r="N897" s="664"/>
      <c r="O897" s="664"/>
      <c r="P897" s="664"/>
      <c r="Q897" s="664"/>
      <c r="R897" s="664"/>
      <c r="S897" s="663">
        <v>0</v>
      </c>
      <c r="T897" s="663">
        <v>0</v>
      </c>
      <c r="U897" s="663">
        <v>0</v>
      </c>
      <c r="V897" s="663">
        <v>0</v>
      </c>
      <c r="W897" s="663">
        <v>0</v>
      </c>
      <c r="X897" s="663">
        <v>0</v>
      </c>
      <c r="Y897" s="663">
        <v>0</v>
      </c>
      <c r="Z897" s="663">
        <v>0</v>
      </c>
      <c r="AA897" s="663">
        <v>0</v>
      </c>
      <c r="AB897" s="663">
        <v>0</v>
      </c>
      <c r="AC897" s="663">
        <v>0</v>
      </c>
      <c r="AD897" s="663">
        <v>0</v>
      </c>
      <c r="AE897" s="663">
        <v>0</v>
      </c>
      <c r="AF897" s="716">
        <v>0</v>
      </c>
      <c r="AG897" s="663">
        <v>0</v>
      </c>
      <c r="AH897" s="664"/>
      <c r="AI897" s="664"/>
      <c r="AJ897" s="664"/>
      <c r="AK897" s="664"/>
      <c r="AL897" s="664"/>
      <c r="AM897" s="664"/>
      <c r="AN897" s="664"/>
      <c r="AO897" s="664"/>
      <c r="AP897" s="664"/>
      <c r="AQ897" s="664"/>
      <c r="AR897" s="664"/>
      <c r="AS897" s="664"/>
      <c r="AT897" s="664"/>
      <c r="AU897" s="664"/>
      <c r="AV897" s="664"/>
      <c r="AW897" s="664"/>
      <c r="AX897" s="664"/>
      <c r="AY897" s="664"/>
      <c r="AZ897" s="664"/>
      <c r="BA897" s="664"/>
      <c r="BB897" s="664"/>
      <c r="BC897" s="664"/>
      <c r="BD897" s="664"/>
      <c r="BE897" s="664"/>
      <c r="BF897" s="664"/>
      <c r="BG897" s="664"/>
      <c r="BH897" s="664"/>
      <c r="BI897" s="664"/>
      <c r="BJ897" s="664"/>
      <c r="BK897" s="664"/>
      <c r="BL897" s="664"/>
      <c r="BM897" s="664"/>
      <c r="BN897" s="664"/>
      <c r="BO897" s="664"/>
      <c r="BP897" s="664"/>
      <c r="BQ897" s="664"/>
      <c r="BR897" s="664"/>
      <c r="BS897" s="664"/>
      <c r="BT897" s="664"/>
      <c r="BU897" s="664"/>
      <c r="BV897" s="664"/>
      <c r="BW897" s="664"/>
      <c r="BX897" s="664"/>
      <c r="BY897" s="664"/>
      <c r="BZ897" s="664"/>
      <c r="CA897" s="664"/>
    </row>
    <row r="898" spans="1:79" hidden="1" outlineLevel="1" x14ac:dyDescent="0.25">
      <c r="A898" s="656"/>
      <c r="B898" s="223"/>
      <c r="C898" s="223"/>
      <c r="D898" s="223"/>
      <c r="E898" s="570" t="s">
        <v>338</v>
      </c>
      <c r="F898" s="656" t="s">
        <v>865</v>
      </c>
      <c r="G898" s="664"/>
      <c r="H898" s="664"/>
      <c r="I898" s="664"/>
      <c r="J898" s="664"/>
      <c r="K898" s="664"/>
      <c r="L898" s="664"/>
      <c r="M898" s="664"/>
      <c r="N898" s="664"/>
      <c r="O898" s="664"/>
      <c r="P898" s="664"/>
      <c r="Q898" s="664"/>
      <c r="R898" s="664"/>
      <c r="S898" s="663">
        <v>0</v>
      </c>
      <c r="T898" s="663">
        <v>0</v>
      </c>
      <c r="U898" s="663">
        <v>0</v>
      </c>
      <c r="V898" s="663">
        <v>0</v>
      </c>
      <c r="W898" s="663">
        <v>0</v>
      </c>
      <c r="X898" s="663">
        <v>0</v>
      </c>
      <c r="Y898" s="663">
        <v>0</v>
      </c>
      <c r="Z898" s="663">
        <v>0</v>
      </c>
      <c r="AA898" s="663">
        <v>0</v>
      </c>
      <c r="AB898" s="663">
        <v>0</v>
      </c>
      <c r="AC898" s="663">
        <v>0</v>
      </c>
      <c r="AD898" s="663">
        <v>0</v>
      </c>
      <c r="AE898" s="663">
        <v>0</v>
      </c>
      <c r="AF898" s="716">
        <v>0</v>
      </c>
      <c r="AG898" s="663">
        <v>0</v>
      </c>
      <c r="AH898" s="664"/>
      <c r="AI898" s="664"/>
      <c r="AJ898" s="664"/>
      <c r="AK898" s="664"/>
      <c r="AL898" s="664"/>
      <c r="AM898" s="664"/>
      <c r="AN898" s="664"/>
      <c r="AO898" s="664"/>
      <c r="AP898" s="664"/>
      <c r="AQ898" s="664"/>
      <c r="AR898" s="664"/>
      <c r="AS898" s="664"/>
      <c r="AT898" s="664"/>
      <c r="AU898" s="664"/>
      <c r="AV898" s="664"/>
      <c r="AW898" s="664"/>
      <c r="AX898" s="664"/>
      <c r="AY898" s="664"/>
      <c r="AZ898" s="664"/>
      <c r="BA898" s="664"/>
      <c r="BB898" s="664"/>
      <c r="BC898" s="664"/>
      <c r="BD898" s="664"/>
      <c r="BE898" s="664"/>
      <c r="BF898" s="664"/>
      <c r="BG898" s="664"/>
      <c r="BH898" s="664"/>
      <c r="BI898" s="664"/>
      <c r="BJ898" s="664"/>
      <c r="BK898" s="664"/>
      <c r="BL898" s="664"/>
      <c r="BM898" s="664"/>
      <c r="BN898" s="664"/>
      <c r="BO898" s="664"/>
      <c r="BP898" s="664"/>
      <c r="BQ898" s="664"/>
      <c r="BR898" s="664"/>
      <c r="BS898" s="664"/>
      <c r="BT898" s="664"/>
      <c r="BU898" s="664"/>
      <c r="BV898" s="664"/>
      <c r="BW898" s="664"/>
      <c r="BX898" s="664"/>
      <c r="BY898" s="664"/>
      <c r="BZ898" s="664"/>
      <c r="CA898" s="664"/>
    </row>
    <row r="899" spans="1:79" hidden="1" outlineLevel="1" x14ac:dyDescent="0.25">
      <c r="A899" s="657"/>
      <c r="B899" s="223"/>
      <c r="C899" s="223"/>
      <c r="D899" s="223"/>
      <c r="E899" s="570" t="s">
        <v>49</v>
      </c>
      <c r="F899" s="657" t="s">
        <v>866</v>
      </c>
      <c r="G899" s="664">
        <f>SUM(G897:G898)</f>
        <v>0</v>
      </c>
      <c r="H899" s="664">
        <f t="shared" ref="H899:BO899" si="375">SUM(H897:H898)</f>
        <v>0</v>
      </c>
      <c r="I899" s="664">
        <f t="shared" si="375"/>
        <v>0</v>
      </c>
      <c r="J899" s="664">
        <f t="shared" si="375"/>
        <v>0</v>
      </c>
      <c r="K899" s="664">
        <f t="shared" si="375"/>
        <v>0</v>
      </c>
      <c r="L899" s="664">
        <f t="shared" si="375"/>
        <v>0</v>
      </c>
      <c r="M899" s="664">
        <f t="shared" si="375"/>
        <v>0</v>
      </c>
      <c r="N899" s="664">
        <f t="shared" si="375"/>
        <v>0</v>
      </c>
      <c r="O899" s="664">
        <f t="shared" si="375"/>
        <v>0</v>
      </c>
      <c r="P899" s="664">
        <f t="shared" si="375"/>
        <v>0</v>
      </c>
      <c r="Q899" s="664">
        <f t="shared" si="375"/>
        <v>0</v>
      </c>
      <c r="R899" s="664">
        <f t="shared" si="375"/>
        <v>0</v>
      </c>
      <c r="S899" s="664">
        <f t="shared" ref="S899:AA899" si="376">ROUND(SUM(S896:S898),5)</f>
        <v>0</v>
      </c>
      <c r="T899" s="664">
        <f t="shared" si="376"/>
        <v>0</v>
      </c>
      <c r="U899" s="664">
        <f t="shared" si="376"/>
        <v>0</v>
      </c>
      <c r="V899" s="664">
        <f t="shared" si="376"/>
        <v>0</v>
      </c>
      <c r="W899" s="664">
        <f t="shared" si="376"/>
        <v>0</v>
      </c>
      <c r="X899" s="664">
        <f t="shared" si="376"/>
        <v>0</v>
      </c>
      <c r="Y899" s="664">
        <f t="shared" si="376"/>
        <v>0</v>
      </c>
      <c r="Z899" s="664">
        <f t="shared" si="376"/>
        <v>0</v>
      </c>
      <c r="AA899" s="664">
        <f t="shared" si="376"/>
        <v>0</v>
      </c>
      <c r="AB899" s="664">
        <f t="shared" ref="AB899:AG899" si="377">ROUND(SUM(AB896:AB898),5)</f>
        <v>0</v>
      </c>
      <c r="AC899" s="664">
        <f t="shared" si="377"/>
        <v>0</v>
      </c>
      <c r="AD899" s="664">
        <f t="shared" si="377"/>
        <v>0</v>
      </c>
      <c r="AE899" s="664">
        <f t="shared" si="377"/>
        <v>0</v>
      </c>
      <c r="AF899" s="664">
        <f t="shared" si="377"/>
        <v>0</v>
      </c>
      <c r="AG899" s="664">
        <f t="shared" si="377"/>
        <v>0</v>
      </c>
      <c r="AH899" s="664">
        <f t="shared" si="375"/>
        <v>0</v>
      </c>
      <c r="AI899" s="664">
        <f t="shared" si="375"/>
        <v>0</v>
      </c>
      <c r="AJ899" s="664">
        <f t="shared" si="375"/>
        <v>0</v>
      </c>
      <c r="AK899" s="664">
        <f t="shared" si="375"/>
        <v>0</v>
      </c>
      <c r="AL899" s="664">
        <f t="shared" si="375"/>
        <v>0</v>
      </c>
      <c r="AM899" s="664">
        <f t="shared" si="375"/>
        <v>0</v>
      </c>
      <c r="AN899" s="664">
        <f t="shared" si="375"/>
        <v>0</v>
      </c>
      <c r="AO899" s="664">
        <f t="shared" si="375"/>
        <v>0</v>
      </c>
      <c r="AP899" s="664">
        <f t="shared" si="375"/>
        <v>0</v>
      </c>
      <c r="AQ899" s="664">
        <f t="shared" si="375"/>
        <v>0</v>
      </c>
      <c r="AR899" s="664">
        <f t="shared" si="375"/>
        <v>0</v>
      </c>
      <c r="AS899" s="664">
        <f t="shared" si="375"/>
        <v>0</v>
      </c>
      <c r="AT899" s="664">
        <f t="shared" si="375"/>
        <v>0</v>
      </c>
      <c r="AU899" s="664">
        <f t="shared" si="375"/>
        <v>0</v>
      </c>
      <c r="AV899" s="664">
        <f t="shared" si="375"/>
        <v>0</v>
      </c>
      <c r="AW899" s="664">
        <f t="shared" si="375"/>
        <v>0</v>
      </c>
      <c r="AX899" s="664">
        <f t="shared" si="375"/>
        <v>0</v>
      </c>
      <c r="AY899" s="664">
        <f t="shared" si="375"/>
        <v>0</v>
      </c>
      <c r="AZ899" s="664">
        <f t="shared" si="375"/>
        <v>0</v>
      </c>
      <c r="BA899" s="664">
        <f t="shared" si="375"/>
        <v>0</v>
      </c>
      <c r="BB899" s="664">
        <f t="shared" si="375"/>
        <v>0</v>
      </c>
      <c r="BC899" s="664">
        <f t="shared" si="375"/>
        <v>0</v>
      </c>
      <c r="BD899" s="664">
        <f t="shared" si="375"/>
        <v>0</v>
      </c>
      <c r="BE899" s="664">
        <f t="shared" si="375"/>
        <v>0</v>
      </c>
      <c r="BF899" s="664">
        <f t="shared" si="375"/>
        <v>0</v>
      </c>
      <c r="BG899" s="664">
        <f t="shared" si="375"/>
        <v>0</v>
      </c>
      <c r="BH899" s="664">
        <f t="shared" si="375"/>
        <v>0</v>
      </c>
      <c r="BI899" s="664">
        <f t="shared" si="375"/>
        <v>0</v>
      </c>
      <c r="BJ899" s="664">
        <f t="shared" si="375"/>
        <v>0</v>
      </c>
      <c r="BK899" s="664">
        <f t="shared" si="375"/>
        <v>0</v>
      </c>
      <c r="BL899" s="664">
        <f t="shared" si="375"/>
        <v>0</v>
      </c>
      <c r="BM899" s="664">
        <f t="shared" si="375"/>
        <v>0</v>
      </c>
      <c r="BN899" s="664">
        <f t="shared" si="375"/>
        <v>0</v>
      </c>
      <c r="BO899" s="664">
        <f t="shared" si="375"/>
        <v>0</v>
      </c>
      <c r="BP899" s="664">
        <f t="shared" ref="BP899:CA899" si="378">SUM(BP897:BP898)</f>
        <v>0</v>
      </c>
      <c r="BQ899" s="664">
        <f t="shared" si="378"/>
        <v>0</v>
      </c>
      <c r="BR899" s="664">
        <f t="shared" si="378"/>
        <v>0</v>
      </c>
      <c r="BS899" s="664">
        <f t="shared" si="378"/>
        <v>0</v>
      </c>
      <c r="BT899" s="664">
        <f t="shared" si="378"/>
        <v>0</v>
      </c>
      <c r="BU899" s="664">
        <f t="shared" si="378"/>
        <v>0</v>
      </c>
      <c r="BV899" s="664">
        <f t="shared" si="378"/>
        <v>0</v>
      </c>
      <c r="BW899" s="664">
        <f t="shared" si="378"/>
        <v>0</v>
      </c>
      <c r="BX899" s="664">
        <f t="shared" si="378"/>
        <v>0</v>
      </c>
      <c r="BY899" s="664">
        <f t="shared" si="378"/>
        <v>0</v>
      </c>
      <c r="BZ899" s="664">
        <f t="shared" si="378"/>
        <v>0</v>
      </c>
      <c r="CA899" s="664">
        <f t="shared" si="378"/>
        <v>0</v>
      </c>
    </row>
    <row r="900" spans="1:79" s="693" customFormat="1" hidden="1" outlineLevel="1" x14ac:dyDescent="0.25">
      <c r="A900" s="694"/>
      <c r="E900" s="570" t="s">
        <v>1332</v>
      </c>
      <c r="F900" s="694" t="s">
        <v>646</v>
      </c>
      <c r="G900" s="746"/>
      <c r="H900" s="746"/>
      <c r="I900" s="746"/>
      <c r="J900" s="746"/>
      <c r="K900" s="746"/>
      <c r="L900" s="746"/>
      <c r="M900" s="746"/>
      <c r="N900" s="746"/>
      <c r="O900" s="746"/>
      <c r="P900" s="746"/>
      <c r="Q900" s="746"/>
      <c r="R900" s="746"/>
      <c r="S900" s="692"/>
      <c r="T900" s="692"/>
      <c r="U900" s="692"/>
      <c r="V900" s="692"/>
      <c r="W900" s="692"/>
      <c r="X900" s="692"/>
      <c r="Y900" s="692"/>
      <c r="Z900" s="692"/>
      <c r="AA900" s="692"/>
      <c r="AB900" s="692"/>
      <c r="AC900" s="692"/>
      <c r="AD900" s="692"/>
      <c r="AE900" s="692"/>
      <c r="AF900" s="734"/>
      <c r="AG900" s="692"/>
      <c r="AH900" s="746"/>
      <c r="AI900" s="746"/>
      <c r="AJ900" s="746"/>
      <c r="AK900" s="746"/>
      <c r="AL900" s="746"/>
      <c r="AM900" s="746"/>
      <c r="AN900" s="746"/>
      <c r="AO900" s="746"/>
      <c r="AP900" s="746"/>
      <c r="AQ900" s="746"/>
      <c r="AR900" s="746"/>
      <c r="AS900" s="746"/>
      <c r="AT900" s="746"/>
      <c r="AU900" s="746"/>
      <c r="AV900" s="746"/>
      <c r="AW900" s="746"/>
      <c r="AX900" s="746"/>
      <c r="AY900" s="746"/>
      <c r="AZ900" s="746"/>
      <c r="BA900" s="746"/>
      <c r="BB900" s="746"/>
      <c r="BC900" s="746"/>
      <c r="BD900" s="746"/>
      <c r="BE900" s="746"/>
      <c r="BF900" s="746"/>
      <c r="BG900" s="746"/>
      <c r="BH900" s="746"/>
      <c r="BI900" s="746"/>
      <c r="BJ900" s="746"/>
      <c r="BK900" s="746"/>
      <c r="BL900" s="746"/>
      <c r="BM900" s="746"/>
      <c r="BN900" s="746"/>
      <c r="BO900" s="746"/>
      <c r="BP900" s="746"/>
      <c r="BQ900" s="746"/>
      <c r="BR900" s="746"/>
      <c r="BS900" s="746"/>
      <c r="BT900" s="746"/>
      <c r="BU900" s="746"/>
      <c r="BV900" s="746"/>
      <c r="BW900" s="746"/>
      <c r="BX900" s="746"/>
      <c r="BY900" s="746"/>
      <c r="BZ900" s="746"/>
      <c r="CA900" s="746"/>
    </row>
    <row r="901" spans="1:79" hidden="1" outlineLevel="1" x14ac:dyDescent="0.25">
      <c r="A901" s="656"/>
      <c r="B901" s="223"/>
      <c r="C901" s="223"/>
      <c r="D901" s="223"/>
      <c r="E901" s="570" t="s">
        <v>1332</v>
      </c>
      <c r="F901" s="656" t="s">
        <v>867</v>
      </c>
      <c r="G901" s="664"/>
      <c r="H901" s="664"/>
      <c r="I901" s="664"/>
      <c r="J901" s="664"/>
      <c r="K901" s="664"/>
      <c r="L901" s="664"/>
      <c r="M901" s="664"/>
      <c r="N901" s="664"/>
      <c r="O901" s="664"/>
      <c r="P901" s="664"/>
      <c r="Q901" s="664"/>
      <c r="R901" s="664"/>
      <c r="S901" s="663">
        <v>0</v>
      </c>
      <c r="T901" s="663">
        <v>0</v>
      </c>
      <c r="U901" s="663">
        <v>0</v>
      </c>
      <c r="V901" s="663">
        <v>0</v>
      </c>
      <c r="W901" s="663">
        <v>0</v>
      </c>
      <c r="X901" s="663">
        <v>0</v>
      </c>
      <c r="Y901" s="663">
        <v>0</v>
      </c>
      <c r="Z901" s="663">
        <v>0</v>
      </c>
      <c r="AA901" s="663">
        <v>0</v>
      </c>
      <c r="AB901" s="663">
        <v>0</v>
      </c>
      <c r="AC901" s="663">
        <v>0</v>
      </c>
      <c r="AD901" s="663">
        <v>0</v>
      </c>
      <c r="AE901" s="663">
        <v>0</v>
      </c>
      <c r="AF901" s="716">
        <v>0</v>
      </c>
      <c r="AG901" s="663">
        <v>0</v>
      </c>
      <c r="AH901" s="664"/>
      <c r="AI901" s="664"/>
      <c r="AJ901" s="664"/>
      <c r="AK901" s="664"/>
      <c r="AL901" s="664"/>
      <c r="AM901" s="664"/>
      <c r="AN901" s="664"/>
      <c r="AO901" s="664"/>
      <c r="AP901" s="664"/>
      <c r="AQ901" s="664"/>
      <c r="AR901" s="664"/>
      <c r="AS901" s="664"/>
      <c r="AT901" s="664"/>
      <c r="AU901" s="664"/>
      <c r="AV901" s="664"/>
      <c r="AW901" s="664"/>
      <c r="AX901" s="664"/>
      <c r="AY901" s="664"/>
      <c r="AZ901" s="664"/>
      <c r="BA901" s="664"/>
      <c r="BB901" s="664"/>
      <c r="BC901" s="664"/>
      <c r="BD901" s="664"/>
      <c r="BE901" s="664"/>
      <c r="BF901" s="664"/>
      <c r="BG901" s="664"/>
      <c r="BH901" s="664"/>
      <c r="BI901" s="664"/>
      <c r="BJ901" s="664"/>
      <c r="BK901" s="664"/>
      <c r="BL901" s="664"/>
      <c r="BM901" s="664"/>
      <c r="BN901" s="664"/>
      <c r="BO901" s="664"/>
      <c r="BP901" s="664"/>
      <c r="BQ901" s="664"/>
      <c r="BR901" s="664"/>
      <c r="BS901" s="664"/>
      <c r="BT901" s="664"/>
      <c r="BU901" s="664"/>
      <c r="BV901" s="664"/>
      <c r="BW901" s="664"/>
      <c r="BX901" s="664"/>
      <c r="BY901" s="664"/>
      <c r="BZ901" s="664"/>
      <c r="CA901" s="664"/>
    </row>
    <row r="902" spans="1:79" hidden="1" outlineLevel="1" x14ac:dyDescent="0.25">
      <c r="A902" s="656"/>
      <c r="E902" s="570" t="s">
        <v>1332</v>
      </c>
      <c r="F902" s="656" t="s">
        <v>868</v>
      </c>
      <c r="G902" s="723"/>
      <c r="H902" s="723"/>
      <c r="I902" s="723"/>
      <c r="J902" s="723"/>
      <c r="K902" s="723"/>
      <c r="L902" s="723"/>
      <c r="M902" s="723"/>
      <c r="N902" s="723"/>
      <c r="O902" s="723"/>
      <c r="P902" s="718"/>
      <c r="Q902" s="718"/>
      <c r="R902" s="718"/>
      <c r="S902" s="663">
        <v>0</v>
      </c>
      <c r="T902" s="663">
        <v>17.239999999999998</v>
      </c>
      <c r="U902" s="663">
        <v>0</v>
      </c>
      <c r="V902" s="663">
        <v>0</v>
      </c>
      <c r="W902" s="663">
        <v>0</v>
      </c>
      <c r="X902" s="663">
        <v>0</v>
      </c>
      <c r="Y902" s="663">
        <v>0</v>
      </c>
      <c r="Z902" s="663">
        <v>0</v>
      </c>
      <c r="AA902" s="663">
        <v>0</v>
      </c>
      <c r="AB902" s="663">
        <v>0</v>
      </c>
      <c r="AC902" s="663">
        <v>0</v>
      </c>
      <c r="AD902" s="663">
        <v>0</v>
      </c>
      <c r="AE902" s="663">
        <v>0</v>
      </c>
      <c r="AF902" s="719">
        <v>0</v>
      </c>
      <c r="AG902" s="663">
        <v>0</v>
      </c>
      <c r="AH902" s="716"/>
      <c r="AI902" s="716"/>
      <c r="AJ902" s="716"/>
      <c r="AK902" s="716"/>
      <c r="AL902" s="716"/>
      <c r="AM902" s="716"/>
      <c r="AN902" s="716"/>
      <c r="AO902" s="716"/>
      <c r="AP902" s="716"/>
      <c r="AQ902" s="716"/>
      <c r="AR902" s="716"/>
      <c r="AS902" s="716"/>
      <c r="AT902" s="716"/>
      <c r="AU902" s="716"/>
      <c r="AV902" s="716"/>
      <c r="AW902" s="716"/>
      <c r="AX902" s="716"/>
      <c r="AY902" s="716"/>
      <c r="AZ902" s="716"/>
      <c r="BA902" s="716"/>
      <c r="BB902" s="716"/>
      <c r="BC902" s="716"/>
      <c r="BD902" s="716"/>
      <c r="BE902" s="716"/>
      <c r="BF902" s="716"/>
      <c r="BG902" s="716"/>
      <c r="BH902" s="716"/>
      <c r="BI902" s="716"/>
      <c r="BJ902" s="716"/>
      <c r="BK902" s="716"/>
      <c r="BL902" s="716"/>
      <c r="BM902" s="716"/>
      <c r="BN902" s="716"/>
      <c r="BO902" s="716"/>
      <c r="BP902" s="716"/>
      <c r="BQ902" s="716"/>
      <c r="BR902" s="716"/>
      <c r="BS902" s="716"/>
      <c r="BT902" s="716"/>
      <c r="BU902" s="716"/>
      <c r="BV902" s="716"/>
      <c r="BW902" s="716"/>
      <c r="BX902" s="716"/>
      <c r="BY902" s="716"/>
      <c r="BZ902" s="716"/>
      <c r="CA902" s="716"/>
    </row>
    <row r="903" spans="1:79" hidden="1" outlineLevel="1" x14ac:dyDescent="0.25">
      <c r="A903" s="657"/>
      <c r="B903" s="570"/>
      <c r="C903" s="570"/>
      <c r="D903" s="570"/>
      <c r="E903" s="570" t="s">
        <v>49</v>
      </c>
      <c r="F903" s="657" t="s">
        <v>869</v>
      </c>
      <c r="G903" s="664">
        <f>SUM(G901:G902)</f>
        <v>0</v>
      </c>
      <c r="H903" s="664">
        <f t="shared" ref="H903:BO903" si="379">SUM(H901:H902)</f>
        <v>0</v>
      </c>
      <c r="I903" s="664">
        <f t="shared" si="379"/>
        <v>0</v>
      </c>
      <c r="J903" s="664">
        <f t="shared" si="379"/>
        <v>0</v>
      </c>
      <c r="K903" s="664">
        <f t="shared" si="379"/>
        <v>0</v>
      </c>
      <c r="L903" s="664">
        <f t="shared" si="379"/>
        <v>0</v>
      </c>
      <c r="M903" s="664">
        <f t="shared" si="379"/>
        <v>0</v>
      </c>
      <c r="N903" s="664">
        <f t="shared" si="379"/>
        <v>0</v>
      </c>
      <c r="O903" s="664">
        <f t="shared" si="379"/>
        <v>0</v>
      </c>
      <c r="P903" s="664">
        <f t="shared" si="379"/>
        <v>0</v>
      </c>
      <c r="Q903" s="664">
        <f t="shared" si="379"/>
        <v>0</v>
      </c>
      <c r="R903" s="664">
        <f t="shared" si="379"/>
        <v>0</v>
      </c>
      <c r="S903" s="664">
        <f t="shared" ref="S903:AA903" si="380">ROUND(SUM(S900:S902),5)</f>
        <v>0</v>
      </c>
      <c r="T903" s="664">
        <f t="shared" si="380"/>
        <v>17.239999999999998</v>
      </c>
      <c r="U903" s="664">
        <f t="shared" si="380"/>
        <v>0</v>
      </c>
      <c r="V903" s="664">
        <f t="shared" si="380"/>
        <v>0</v>
      </c>
      <c r="W903" s="664">
        <f t="shared" si="380"/>
        <v>0</v>
      </c>
      <c r="X903" s="664">
        <f t="shared" si="380"/>
        <v>0</v>
      </c>
      <c r="Y903" s="664">
        <f t="shared" si="380"/>
        <v>0</v>
      </c>
      <c r="Z903" s="664">
        <f t="shared" si="380"/>
        <v>0</v>
      </c>
      <c r="AA903" s="664">
        <f t="shared" si="380"/>
        <v>0</v>
      </c>
      <c r="AB903" s="664">
        <f t="shared" ref="AB903:AG903" si="381">ROUND(SUM(AB900:AB902),5)</f>
        <v>0</v>
      </c>
      <c r="AC903" s="664">
        <f t="shared" si="381"/>
        <v>0</v>
      </c>
      <c r="AD903" s="664">
        <f t="shared" si="381"/>
        <v>0</v>
      </c>
      <c r="AE903" s="664">
        <f t="shared" si="381"/>
        <v>0</v>
      </c>
      <c r="AF903" s="664">
        <f t="shared" si="381"/>
        <v>0</v>
      </c>
      <c r="AG903" s="664">
        <f t="shared" si="381"/>
        <v>0</v>
      </c>
      <c r="AH903" s="664">
        <f t="shared" si="379"/>
        <v>0</v>
      </c>
      <c r="AI903" s="664">
        <f t="shared" si="379"/>
        <v>0</v>
      </c>
      <c r="AJ903" s="664">
        <f t="shared" si="379"/>
        <v>0</v>
      </c>
      <c r="AK903" s="664">
        <f t="shared" si="379"/>
        <v>0</v>
      </c>
      <c r="AL903" s="664">
        <f t="shared" si="379"/>
        <v>0</v>
      </c>
      <c r="AM903" s="664">
        <f t="shared" si="379"/>
        <v>0</v>
      </c>
      <c r="AN903" s="664">
        <f t="shared" si="379"/>
        <v>0</v>
      </c>
      <c r="AO903" s="664">
        <f t="shared" si="379"/>
        <v>0</v>
      </c>
      <c r="AP903" s="664">
        <f t="shared" si="379"/>
        <v>0</v>
      </c>
      <c r="AQ903" s="664">
        <f t="shared" si="379"/>
        <v>0</v>
      </c>
      <c r="AR903" s="664">
        <f t="shared" si="379"/>
        <v>0</v>
      </c>
      <c r="AS903" s="664">
        <f t="shared" si="379"/>
        <v>0</v>
      </c>
      <c r="AT903" s="664">
        <f t="shared" si="379"/>
        <v>0</v>
      </c>
      <c r="AU903" s="664">
        <f t="shared" si="379"/>
        <v>0</v>
      </c>
      <c r="AV903" s="664">
        <f t="shared" si="379"/>
        <v>0</v>
      </c>
      <c r="AW903" s="664">
        <f t="shared" si="379"/>
        <v>0</v>
      </c>
      <c r="AX903" s="664">
        <f t="shared" si="379"/>
        <v>0</v>
      </c>
      <c r="AY903" s="664">
        <f t="shared" si="379"/>
        <v>0</v>
      </c>
      <c r="AZ903" s="664">
        <f t="shared" si="379"/>
        <v>0</v>
      </c>
      <c r="BA903" s="664">
        <f t="shared" si="379"/>
        <v>0</v>
      </c>
      <c r="BB903" s="664">
        <f t="shared" si="379"/>
        <v>0</v>
      </c>
      <c r="BC903" s="664">
        <f t="shared" si="379"/>
        <v>0</v>
      </c>
      <c r="BD903" s="664">
        <f t="shared" si="379"/>
        <v>0</v>
      </c>
      <c r="BE903" s="664">
        <f t="shared" si="379"/>
        <v>0</v>
      </c>
      <c r="BF903" s="664">
        <f t="shared" si="379"/>
        <v>0</v>
      </c>
      <c r="BG903" s="664">
        <f t="shared" si="379"/>
        <v>0</v>
      </c>
      <c r="BH903" s="664">
        <f t="shared" si="379"/>
        <v>0</v>
      </c>
      <c r="BI903" s="664">
        <f t="shared" si="379"/>
        <v>0</v>
      </c>
      <c r="BJ903" s="664">
        <f t="shared" si="379"/>
        <v>0</v>
      </c>
      <c r="BK903" s="664">
        <f t="shared" si="379"/>
        <v>0</v>
      </c>
      <c r="BL903" s="664">
        <f t="shared" si="379"/>
        <v>0</v>
      </c>
      <c r="BM903" s="664">
        <f t="shared" si="379"/>
        <v>0</v>
      </c>
      <c r="BN903" s="664">
        <f t="shared" si="379"/>
        <v>0</v>
      </c>
      <c r="BO903" s="664">
        <f t="shared" si="379"/>
        <v>0</v>
      </c>
      <c r="BP903" s="664">
        <f t="shared" ref="BP903:CA903" si="382">SUM(BP901:BP902)</f>
        <v>0</v>
      </c>
      <c r="BQ903" s="664">
        <f t="shared" si="382"/>
        <v>0</v>
      </c>
      <c r="BR903" s="664">
        <f t="shared" si="382"/>
        <v>0</v>
      </c>
      <c r="BS903" s="664">
        <f t="shared" si="382"/>
        <v>0</v>
      </c>
      <c r="BT903" s="664">
        <f t="shared" si="382"/>
        <v>0</v>
      </c>
      <c r="BU903" s="664">
        <f t="shared" si="382"/>
        <v>0</v>
      </c>
      <c r="BV903" s="664">
        <f t="shared" si="382"/>
        <v>0</v>
      </c>
      <c r="BW903" s="664">
        <f t="shared" si="382"/>
        <v>0</v>
      </c>
      <c r="BX903" s="664">
        <f t="shared" si="382"/>
        <v>0</v>
      </c>
      <c r="BY903" s="664">
        <f t="shared" si="382"/>
        <v>0</v>
      </c>
      <c r="BZ903" s="664">
        <f t="shared" si="382"/>
        <v>0</v>
      </c>
      <c r="CA903" s="664">
        <f t="shared" si="382"/>
        <v>0</v>
      </c>
    </row>
    <row r="904" spans="1:79" hidden="1" outlineLevel="1" x14ac:dyDescent="0.25">
      <c r="A904" s="658"/>
      <c r="E904" s="570" t="s">
        <v>1328</v>
      </c>
      <c r="F904" s="658" t="s">
        <v>589</v>
      </c>
      <c r="G904" s="719"/>
      <c r="H904" s="719">
        <v>7.7043848313071734</v>
      </c>
      <c r="I904" s="719">
        <v>1.4322183547532432</v>
      </c>
      <c r="J904" s="719">
        <v>21.957704458447207</v>
      </c>
      <c r="K904" s="719">
        <v>4.6171026177841581</v>
      </c>
      <c r="L904" s="719">
        <v>40.791235357501442</v>
      </c>
      <c r="M904" s="719">
        <v>1.162709207997259</v>
      </c>
      <c r="N904" s="719">
        <v>8.14453329401878</v>
      </c>
      <c r="O904" s="719">
        <v>9.9778275587247993</v>
      </c>
      <c r="P904" s="716">
        <v>48.2548217355506</v>
      </c>
      <c r="Q904" s="716"/>
      <c r="R904" s="716"/>
      <c r="S904" s="667">
        <v>14.95</v>
      </c>
      <c r="T904" s="667">
        <v>14.95</v>
      </c>
      <c r="U904" s="667">
        <v>0</v>
      </c>
      <c r="V904" s="667">
        <v>0</v>
      </c>
      <c r="W904" s="667">
        <v>48.83</v>
      </c>
      <c r="X904" s="667">
        <v>0</v>
      </c>
      <c r="Y904" s="667">
        <v>0</v>
      </c>
      <c r="Z904" s="667">
        <v>14.95</v>
      </c>
      <c r="AA904" s="667">
        <v>14.95</v>
      </c>
      <c r="AB904" s="667">
        <v>14.95</v>
      </c>
      <c r="AC904" s="666">
        <v>14.95</v>
      </c>
      <c r="AD904" s="666">
        <v>14.95</v>
      </c>
      <c r="AE904" s="667">
        <v>14.95</v>
      </c>
      <c r="AF904" s="719">
        <v>14.95</v>
      </c>
      <c r="AG904" s="666">
        <v>14.95</v>
      </c>
      <c r="AH904" s="716"/>
      <c r="AI904" s="716"/>
      <c r="AJ904" s="716"/>
      <c r="AK904" s="716"/>
      <c r="AL904" s="716"/>
      <c r="AM904" s="716"/>
      <c r="AN904" s="716"/>
      <c r="AO904" s="716"/>
      <c r="AP904" s="716"/>
      <c r="AQ904" s="716"/>
      <c r="AR904" s="716"/>
      <c r="AS904" s="716"/>
      <c r="AT904" s="716"/>
      <c r="AU904" s="716"/>
      <c r="AV904" s="716"/>
      <c r="AW904" s="716"/>
      <c r="AX904" s="716"/>
      <c r="AY904" s="716"/>
      <c r="AZ904" s="716"/>
      <c r="BA904" s="716"/>
      <c r="BB904" s="716"/>
      <c r="BC904" s="716"/>
      <c r="BD904" s="716"/>
      <c r="BE904" s="716"/>
      <c r="BF904" s="716"/>
      <c r="BG904" s="716"/>
      <c r="BH904" s="716"/>
      <c r="BI904" s="716"/>
      <c r="BJ904" s="716"/>
      <c r="BK904" s="716"/>
      <c r="BL904" s="716"/>
      <c r="BM904" s="716"/>
      <c r="BN904" s="716"/>
      <c r="BO904" s="716"/>
      <c r="BP904" s="716"/>
      <c r="BQ904" s="716"/>
      <c r="BR904" s="716"/>
      <c r="BS904" s="716"/>
      <c r="BT904" s="716"/>
      <c r="BU904" s="716"/>
      <c r="BV904" s="716"/>
      <c r="BW904" s="716"/>
      <c r="BX904" s="716"/>
      <c r="BY904" s="716"/>
      <c r="BZ904" s="716"/>
      <c r="CA904" s="716"/>
    </row>
    <row r="905" spans="1:79" hidden="1" outlineLevel="1" x14ac:dyDescent="0.25">
      <c r="A905" s="655"/>
      <c r="B905" s="570"/>
      <c r="C905" s="570"/>
      <c r="D905" s="570"/>
      <c r="E905" s="570" t="s">
        <v>1329</v>
      </c>
      <c r="F905" s="655" t="s">
        <v>870</v>
      </c>
      <c r="G905" s="719"/>
      <c r="H905" s="719"/>
      <c r="I905" s="719"/>
      <c r="J905" s="719"/>
      <c r="K905" s="719"/>
      <c r="L905" s="719"/>
      <c r="M905" s="719"/>
      <c r="N905" s="719"/>
      <c r="O905" s="719"/>
      <c r="P905" s="716"/>
      <c r="Q905" s="716"/>
      <c r="R905" s="716"/>
      <c r="S905" s="667">
        <v>0</v>
      </c>
      <c r="T905" s="667">
        <v>0</v>
      </c>
      <c r="U905" s="667">
        <v>0</v>
      </c>
      <c r="V905" s="667">
        <v>0</v>
      </c>
      <c r="W905" s="667">
        <v>0</v>
      </c>
      <c r="X905" s="667">
        <v>0</v>
      </c>
      <c r="Y905" s="667">
        <v>0</v>
      </c>
      <c r="Z905" s="667">
        <v>0</v>
      </c>
      <c r="AA905" s="667">
        <v>0</v>
      </c>
      <c r="AB905" s="667">
        <v>0</v>
      </c>
      <c r="AC905" s="666">
        <v>0</v>
      </c>
      <c r="AD905" s="666">
        <v>0</v>
      </c>
      <c r="AE905" s="667">
        <v>0</v>
      </c>
      <c r="AF905" s="719">
        <v>0</v>
      </c>
      <c r="AG905" s="666">
        <v>0</v>
      </c>
      <c r="AH905" s="716"/>
      <c r="AI905" s="716"/>
      <c r="AJ905" s="716"/>
      <c r="AK905" s="716"/>
      <c r="AL905" s="716"/>
      <c r="AM905" s="716"/>
      <c r="AN905" s="716"/>
      <c r="AO905" s="716"/>
      <c r="AP905" s="716"/>
      <c r="AQ905" s="716"/>
      <c r="AR905" s="716"/>
      <c r="AS905" s="716"/>
      <c r="AT905" s="716"/>
      <c r="AU905" s="716"/>
      <c r="AV905" s="716"/>
      <c r="AW905" s="716"/>
      <c r="AX905" s="716"/>
      <c r="AY905" s="716"/>
      <c r="AZ905" s="716"/>
      <c r="BA905" s="716"/>
      <c r="BB905" s="716"/>
      <c r="BC905" s="716"/>
      <c r="BD905" s="716"/>
      <c r="BE905" s="716"/>
      <c r="BF905" s="716"/>
      <c r="BG905" s="716"/>
      <c r="BH905" s="716"/>
      <c r="BI905" s="716"/>
      <c r="BJ905" s="716"/>
      <c r="BK905" s="716"/>
      <c r="BL905" s="716"/>
      <c r="BM905" s="716"/>
      <c r="BN905" s="716"/>
      <c r="BO905" s="716"/>
      <c r="BP905" s="716"/>
      <c r="BQ905" s="716"/>
      <c r="BR905" s="716"/>
      <c r="BS905" s="716"/>
      <c r="BT905" s="716"/>
      <c r="BU905" s="716"/>
      <c r="BV905" s="716"/>
      <c r="BW905" s="716"/>
      <c r="BX905" s="716"/>
      <c r="BY905" s="716"/>
      <c r="BZ905" s="716"/>
      <c r="CA905" s="716"/>
    </row>
    <row r="906" spans="1:79" s="700" customFormat="1" hidden="1" outlineLevel="1" x14ac:dyDescent="0.25">
      <c r="A906" s="695"/>
      <c r="E906" s="570" t="s">
        <v>1330</v>
      </c>
      <c r="F906" s="695" t="s">
        <v>590</v>
      </c>
      <c r="G906" s="733"/>
      <c r="H906" s="733"/>
      <c r="I906" s="733"/>
      <c r="J906" s="733"/>
      <c r="K906" s="733"/>
      <c r="L906" s="733"/>
      <c r="M906" s="733"/>
      <c r="N906" s="733"/>
      <c r="O906" s="733"/>
      <c r="P906" s="736"/>
      <c r="Q906" s="736"/>
      <c r="R906" s="736"/>
      <c r="S906" s="697"/>
      <c r="T906" s="697"/>
      <c r="U906" s="697"/>
      <c r="V906" s="697"/>
      <c r="W906" s="697"/>
      <c r="X906" s="697"/>
      <c r="Y906" s="697"/>
      <c r="Z906" s="697"/>
      <c r="AA906" s="697"/>
      <c r="AB906" s="697"/>
      <c r="AC906" s="697"/>
      <c r="AD906" s="697"/>
      <c r="AE906" s="697"/>
      <c r="AF906" s="733"/>
      <c r="AG906" s="697"/>
      <c r="AH906" s="734"/>
      <c r="AI906" s="734"/>
      <c r="AJ906" s="734"/>
      <c r="AK906" s="734"/>
      <c r="AL906" s="734"/>
      <c r="AM906" s="734"/>
      <c r="AN906" s="734"/>
      <c r="AO906" s="734"/>
      <c r="AP906" s="734"/>
      <c r="AQ906" s="734"/>
      <c r="AR906" s="734"/>
      <c r="AS906" s="734"/>
      <c r="AT906" s="734"/>
      <c r="AU906" s="734"/>
      <c r="AV906" s="734"/>
      <c r="AW906" s="734"/>
      <c r="AX906" s="734"/>
      <c r="AY906" s="734"/>
      <c r="AZ906" s="734"/>
      <c r="BA906" s="734"/>
      <c r="BB906" s="734"/>
      <c r="BC906" s="734"/>
      <c r="BD906" s="734"/>
      <c r="BE906" s="734"/>
      <c r="BF906" s="734"/>
      <c r="BG906" s="734"/>
      <c r="BH906" s="734"/>
      <c r="BI906" s="734"/>
      <c r="BJ906" s="734"/>
      <c r="BK906" s="734"/>
      <c r="BL906" s="734"/>
      <c r="BM906" s="734"/>
      <c r="BN906" s="734"/>
      <c r="BO906" s="734"/>
      <c r="BP906" s="734"/>
      <c r="BQ906" s="734"/>
      <c r="BR906" s="734"/>
      <c r="BS906" s="734"/>
      <c r="BT906" s="734"/>
      <c r="BU906" s="734"/>
      <c r="BV906" s="734"/>
      <c r="BW906" s="734"/>
      <c r="BX906" s="734"/>
      <c r="BY906" s="734"/>
      <c r="BZ906" s="734"/>
      <c r="CA906" s="734"/>
    </row>
    <row r="907" spans="1:79" hidden="1" outlineLevel="1" x14ac:dyDescent="0.25">
      <c r="A907" s="691"/>
      <c r="B907" s="693"/>
      <c r="C907" s="693"/>
      <c r="D907" s="693"/>
      <c r="E907" s="570" t="s">
        <v>645</v>
      </c>
      <c r="F907" s="691" t="s">
        <v>645</v>
      </c>
      <c r="G907" s="692"/>
      <c r="H907" s="692"/>
      <c r="I907" s="692"/>
      <c r="J907" s="692"/>
      <c r="K907" s="692"/>
      <c r="L907" s="692"/>
      <c r="M907" s="692"/>
      <c r="N907" s="692"/>
      <c r="O907" s="692"/>
      <c r="P907" s="692"/>
      <c r="Q907" s="692"/>
      <c r="R907" s="692"/>
      <c r="S907" s="692"/>
      <c r="T907" s="692"/>
      <c r="U907" s="692"/>
      <c r="V907" s="692"/>
      <c r="W907" s="692"/>
      <c r="X907" s="692"/>
      <c r="Y907" s="692"/>
      <c r="Z907" s="692"/>
      <c r="AA907" s="692"/>
      <c r="AB907" s="692"/>
      <c r="AC907" s="692"/>
      <c r="AD907" s="692"/>
      <c r="AE907" s="692"/>
      <c r="AF907" s="692"/>
      <c r="AG907" s="692"/>
      <c r="AH907" s="692"/>
      <c r="AI907" s="692"/>
      <c r="AJ907" s="692"/>
      <c r="AK907" s="692"/>
      <c r="AL907" s="692"/>
      <c r="AM907" s="692"/>
      <c r="AN907" s="692"/>
      <c r="AO907" s="692"/>
      <c r="AP907" s="692"/>
      <c r="AQ907" s="692"/>
      <c r="AR907" s="692"/>
      <c r="AS907" s="692"/>
      <c r="AT907" s="692"/>
      <c r="AU907" s="692"/>
      <c r="AV907" s="692"/>
      <c r="AW907" s="692"/>
      <c r="AX907" s="692"/>
      <c r="AY907" s="692"/>
      <c r="AZ907" s="692"/>
      <c r="BA907" s="692"/>
      <c r="BB907" s="692"/>
      <c r="BC907" s="692"/>
      <c r="BD907" s="692"/>
      <c r="BE907" s="692"/>
      <c r="BF907" s="692"/>
      <c r="BG907" s="692"/>
      <c r="BH907" s="692"/>
      <c r="BI907" s="692"/>
      <c r="BJ907" s="692"/>
      <c r="BK907" s="692"/>
      <c r="BL907" s="692"/>
      <c r="BM907" s="692"/>
      <c r="BN907" s="692"/>
      <c r="BO907" s="692"/>
      <c r="BP907" s="692"/>
      <c r="BQ907" s="692"/>
      <c r="BR907" s="692"/>
      <c r="BS907" s="692"/>
      <c r="BT907" s="692"/>
      <c r="BU907" s="692"/>
      <c r="BV907" s="692"/>
      <c r="BW907" s="692"/>
      <c r="BX907" s="692"/>
      <c r="BY907" s="692"/>
      <c r="BZ907" s="692"/>
      <c r="CA907" s="692"/>
    </row>
    <row r="908" spans="1:79" hidden="1" outlineLevel="1" x14ac:dyDescent="0.25">
      <c r="A908" s="656"/>
      <c r="B908" s="223"/>
      <c r="C908" s="223"/>
      <c r="D908" s="223"/>
      <c r="E908" s="570" t="s">
        <v>1330</v>
      </c>
      <c r="F908" s="656" t="s">
        <v>858</v>
      </c>
      <c r="G908" s="663"/>
      <c r="H908" s="663"/>
      <c r="I908" s="663"/>
      <c r="J908" s="663"/>
      <c r="K908" s="663"/>
      <c r="L908" s="663"/>
      <c r="M908" s="663"/>
      <c r="N908" s="663"/>
      <c r="O908" s="663"/>
      <c r="P908" s="663"/>
      <c r="Q908" s="663"/>
      <c r="R908" s="663"/>
      <c r="S908" s="663">
        <v>0</v>
      </c>
      <c r="T908" s="663">
        <v>0</v>
      </c>
      <c r="U908" s="663">
        <v>0</v>
      </c>
      <c r="V908" s="663">
        <v>0</v>
      </c>
      <c r="W908" s="663">
        <v>0</v>
      </c>
      <c r="X908" s="663">
        <v>0</v>
      </c>
      <c r="Y908" s="663">
        <v>0</v>
      </c>
      <c r="Z908" s="663">
        <v>0</v>
      </c>
      <c r="AA908" s="663">
        <v>0</v>
      </c>
      <c r="AB908" s="663">
        <v>0</v>
      </c>
      <c r="AC908" s="663">
        <v>0</v>
      </c>
      <c r="AD908" s="663">
        <v>0</v>
      </c>
      <c r="AE908" s="663">
        <v>0</v>
      </c>
      <c r="AF908" s="663">
        <v>0</v>
      </c>
      <c r="AG908" s="663">
        <v>0</v>
      </c>
      <c r="AH908" s="663"/>
      <c r="AI908" s="663"/>
      <c r="AJ908" s="663"/>
      <c r="AK908" s="663"/>
      <c r="AL908" s="663"/>
      <c r="AM908" s="663"/>
      <c r="AN908" s="663"/>
      <c r="AO908" s="663"/>
      <c r="AP908" s="663"/>
      <c r="AQ908" s="663"/>
      <c r="AR908" s="663"/>
      <c r="AS908" s="663"/>
      <c r="AT908" s="663"/>
      <c r="AU908" s="663"/>
      <c r="AV908" s="663"/>
      <c r="AW908" s="663"/>
      <c r="AX908" s="663"/>
      <c r="AY908" s="663"/>
      <c r="AZ908" s="663"/>
      <c r="BA908" s="663"/>
      <c r="BB908" s="663"/>
      <c r="BC908" s="663"/>
      <c r="BD908" s="663"/>
      <c r="BE908" s="663"/>
      <c r="BF908" s="663"/>
      <c r="BG908" s="663"/>
      <c r="BH908" s="663"/>
      <c r="BI908" s="663"/>
      <c r="BJ908" s="663"/>
      <c r="BK908" s="663"/>
      <c r="BL908" s="663"/>
      <c r="BM908" s="663"/>
      <c r="BN908" s="663"/>
      <c r="BO908" s="663"/>
      <c r="BP908" s="663"/>
      <c r="BQ908" s="663"/>
      <c r="BR908" s="663"/>
      <c r="BS908" s="663"/>
      <c r="BT908" s="663"/>
      <c r="BU908" s="663"/>
      <c r="BV908" s="663"/>
      <c r="BW908" s="663"/>
      <c r="BX908" s="663"/>
      <c r="BY908" s="663"/>
      <c r="BZ908" s="663"/>
      <c r="CA908" s="663"/>
    </row>
    <row r="909" spans="1:79" hidden="1" outlineLevel="1" x14ac:dyDescent="0.25">
      <c r="A909" s="656"/>
      <c r="B909" s="570"/>
      <c r="C909" s="570"/>
      <c r="D909" s="570"/>
      <c r="E909" s="570" t="s">
        <v>645</v>
      </c>
      <c r="F909" s="656" t="s">
        <v>859</v>
      </c>
      <c r="G909" s="719"/>
      <c r="H909" s="719"/>
      <c r="I909" s="719"/>
      <c r="J909" s="719"/>
      <c r="K909" s="719"/>
      <c r="L909" s="719"/>
      <c r="M909" s="719"/>
      <c r="N909" s="719"/>
      <c r="O909" s="719"/>
      <c r="P909" s="716"/>
      <c r="Q909" s="716"/>
      <c r="R909" s="716"/>
      <c r="S909" s="663">
        <v>0</v>
      </c>
      <c r="T909" s="663">
        <v>0</v>
      </c>
      <c r="U909" s="663">
        <v>0</v>
      </c>
      <c r="V909" s="663">
        <v>0</v>
      </c>
      <c r="W909" s="663">
        <v>0</v>
      </c>
      <c r="X909" s="663">
        <v>0</v>
      </c>
      <c r="Y909" s="663">
        <v>0</v>
      </c>
      <c r="Z909" s="663">
        <v>0</v>
      </c>
      <c r="AA909" s="663">
        <v>0</v>
      </c>
      <c r="AB909" s="663">
        <v>0</v>
      </c>
      <c r="AC909" s="663">
        <v>0</v>
      </c>
      <c r="AD909" s="663">
        <v>0</v>
      </c>
      <c r="AE909" s="663">
        <v>0</v>
      </c>
      <c r="AF909" s="716">
        <v>0</v>
      </c>
      <c r="AG909" s="663">
        <v>0</v>
      </c>
      <c r="AH909" s="718"/>
      <c r="AI909" s="718"/>
      <c r="AJ909" s="718"/>
      <c r="AK909" s="718"/>
      <c r="AL909" s="718"/>
      <c r="AM909" s="718"/>
      <c r="AN909" s="718"/>
      <c r="AO909" s="718"/>
      <c r="AP909" s="718"/>
      <c r="AQ909" s="718"/>
      <c r="AR909" s="718"/>
      <c r="AS909" s="718"/>
      <c r="AT909" s="718"/>
      <c r="AU909" s="718"/>
      <c r="AV909" s="718"/>
      <c r="AW909" s="718"/>
      <c r="AX909" s="718"/>
      <c r="AY909" s="718"/>
      <c r="AZ909" s="718"/>
      <c r="BA909" s="718"/>
      <c r="BB909" s="718"/>
      <c r="BC909" s="718"/>
      <c r="BD909" s="718"/>
      <c r="BE909" s="718"/>
      <c r="BF909" s="718"/>
      <c r="BG909" s="718"/>
      <c r="BH909" s="718"/>
      <c r="BI909" s="718"/>
      <c r="BJ909" s="718"/>
      <c r="BK909" s="718"/>
      <c r="BL909" s="718"/>
      <c r="BM909" s="718"/>
      <c r="BN909" s="718"/>
      <c r="BO909" s="718"/>
      <c r="BP909" s="718"/>
      <c r="BQ909" s="718"/>
      <c r="BR909" s="718"/>
      <c r="BS909" s="718"/>
      <c r="BT909" s="718"/>
      <c r="BU909" s="718"/>
      <c r="BV909" s="718"/>
      <c r="BW909" s="718"/>
      <c r="BX909" s="718"/>
      <c r="BY909" s="718"/>
      <c r="BZ909" s="718"/>
      <c r="CA909" s="718"/>
    </row>
    <row r="910" spans="1:79" hidden="1" outlineLevel="1" x14ac:dyDescent="0.25">
      <c r="A910" s="657"/>
      <c r="B910" s="223"/>
      <c r="C910" s="223"/>
      <c r="D910" s="223"/>
      <c r="E910" s="570" t="s">
        <v>49</v>
      </c>
      <c r="F910" s="657" t="s">
        <v>860</v>
      </c>
      <c r="G910" s="664">
        <f>SUM(G908:G909)</f>
        <v>0</v>
      </c>
      <c r="H910" s="664">
        <f t="shared" ref="H910:BO910" si="383">SUM(H908:H909)</f>
        <v>0</v>
      </c>
      <c r="I910" s="664">
        <f t="shared" si="383"/>
        <v>0</v>
      </c>
      <c r="J910" s="664">
        <f t="shared" si="383"/>
        <v>0</v>
      </c>
      <c r="K910" s="664">
        <f t="shared" si="383"/>
        <v>0</v>
      </c>
      <c r="L910" s="664">
        <f t="shared" si="383"/>
        <v>0</v>
      </c>
      <c r="M910" s="664">
        <f t="shared" si="383"/>
        <v>0</v>
      </c>
      <c r="N910" s="664">
        <f t="shared" si="383"/>
        <v>0</v>
      </c>
      <c r="O910" s="664">
        <f t="shared" si="383"/>
        <v>0</v>
      </c>
      <c r="P910" s="664">
        <f t="shared" si="383"/>
        <v>0</v>
      </c>
      <c r="Q910" s="664">
        <f t="shared" si="383"/>
        <v>0</v>
      </c>
      <c r="R910" s="664">
        <f t="shared" si="383"/>
        <v>0</v>
      </c>
      <c r="S910" s="664">
        <f t="shared" ref="S910:AA910" si="384">ROUND(SUM(S907:S909),5)</f>
        <v>0</v>
      </c>
      <c r="T910" s="664">
        <f t="shared" si="384"/>
        <v>0</v>
      </c>
      <c r="U910" s="664">
        <f t="shared" si="384"/>
        <v>0</v>
      </c>
      <c r="V910" s="664">
        <f t="shared" si="384"/>
        <v>0</v>
      </c>
      <c r="W910" s="664">
        <f t="shared" si="384"/>
        <v>0</v>
      </c>
      <c r="X910" s="664">
        <f t="shared" si="384"/>
        <v>0</v>
      </c>
      <c r="Y910" s="664">
        <f t="shared" si="384"/>
        <v>0</v>
      </c>
      <c r="Z910" s="664">
        <f t="shared" si="384"/>
        <v>0</v>
      </c>
      <c r="AA910" s="664">
        <f t="shared" si="384"/>
        <v>0</v>
      </c>
      <c r="AB910" s="664">
        <f t="shared" ref="AB910:AG910" si="385">ROUND(SUM(AB907:AB909),5)</f>
        <v>0</v>
      </c>
      <c r="AC910" s="664">
        <f t="shared" si="385"/>
        <v>0</v>
      </c>
      <c r="AD910" s="664">
        <f t="shared" si="385"/>
        <v>0</v>
      </c>
      <c r="AE910" s="664">
        <f t="shared" si="385"/>
        <v>0</v>
      </c>
      <c r="AF910" s="664">
        <f t="shared" si="385"/>
        <v>0</v>
      </c>
      <c r="AG910" s="664">
        <f t="shared" si="385"/>
        <v>0</v>
      </c>
      <c r="AH910" s="664">
        <f t="shared" si="383"/>
        <v>0</v>
      </c>
      <c r="AI910" s="664">
        <f t="shared" si="383"/>
        <v>0</v>
      </c>
      <c r="AJ910" s="664">
        <f t="shared" si="383"/>
        <v>0</v>
      </c>
      <c r="AK910" s="664">
        <f t="shared" si="383"/>
        <v>0</v>
      </c>
      <c r="AL910" s="664">
        <f t="shared" si="383"/>
        <v>0</v>
      </c>
      <c r="AM910" s="664">
        <f t="shared" si="383"/>
        <v>0</v>
      </c>
      <c r="AN910" s="664">
        <f t="shared" si="383"/>
        <v>0</v>
      </c>
      <c r="AO910" s="664">
        <f t="shared" si="383"/>
        <v>0</v>
      </c>
      <c r="AP910" s="664">
        <f t="shared" si="383"/>
        <v>0</v>
      </c>
      <c r="AQ910" s="664">
        <f t="shared" si="383"/>
        <v>0</v>
      </c>
      <c r="AR910" s="664">
        <f t="shared" si="383"/>
        <v>0</v>
      </c>
      <c r="AS910" s="664">
        <f t="shared" si="383"/>
        <v>0</v>
      </c>
      <c r="AT910" s="664">
        <f t="shared" si="383"/>
        <v>0</v>
      </c>
      <c r="AU910" s="664">
        <f t="shared" si="383"/>
        <v>0</v>
      </c>
      <c r="AV910" s="664">
        <f t="shared" si="383"/>
        <v>0</v>
      </c>
      <c r="AW910" s="664">
        <f t="shared" si="383"/>
        <v>0</v>
      </c>
      <c r="AX910" s="664">
        <f t="shared" si="383"/>
        <v>0</v>
      </c>
      <c r="AY910" s="664">
        <f t="shared" si="383"/>
        <v>0</v>
      </c>
      <c r="AZ910" s="664">
        <f t="shared" si="383"/>
        <v>0</v>
      </c>
      <c r="BA910" s="664">
        <f t="shared" si="383"/>
        <v>0</v>
      </c>
      <c r="BB910" s="664">
        <f t="shared" si="383"/>
        <v>0</v>
      </c>
      <c r="BC910" s="664">
        <f t="shared" si="383"/>
        <v>0</v>
      </c>
      <c r="BD910" s="664">
        <f t="shared" si="383"/>
        <v>0</v>
      </c>
      <c r="BE910" s="664">
        <f t="shared" si="383"/>
        <v>0</v>
      </c>
      <c r="BF910" s="664">
        <f t="shared" si="383"/>
        <v>0</v>
      </c>
      <c r="BG910" s="664">
        <f t="shared" si="383"/>
        <v>0</v>
      </c>
      <c r="BH910" s="664">
        <f t="shared" si="383"/>
        <v>0</v>
      </c>
      <c r="BI910" s="664">
        <f t="shared" si="383"/>
        <v>0</v>
      </c>
      <c r="BJ910" s="664">
        <f t="shared" si="383"/>
        <v>0</v>
      </c>
      <c r="BK910" s="664">
        <f t="shared" si="383"/>
        <v>0</v>
      </c>
      <c r="BL910" s="664">
        <f t="shared" si="383"/>
        <v>0</v>
      </c>
      <c r="BM910" s="664">
        <f t="shared" si="383"/>
        <v>0</v>
      </c>
      <c r="BN910" s="664">
        <f t="shared" si="383"/>
        <v>0</v>
      </c>
      <c r="BO910" s="664">
        <f t="shared" si="383"/>
        <v>0</v>
      </c>
      <c r="BP910" s="664">
        <f t="shared" ref="BP910:CA910" si="386">SUM(BP908:BP909)</f>
        <v>0</v>
      </c>
      <c r="BQ910" s="664">
        <f t="shared" si="386"/>
        <v>0</v>
      </c>
      <c r="BR910" s="664">
        <f t="shared" si="386"/>
        <v>0</v>
      </c>
      <c r="BS910" s="664">
        <f t="shared" si="386"/>
        <v>0</v>
      </c>
      <c r="BT910" s="664">
        <f t="shared" si="386"/>
        <v>0</v>
      </c>
      <c r="BU910" s="664">
        <f t="shared" si="386"/>
        <v>0</v>
      </c>
      <c r="BV910" s="664">
        <f t="shared" si="386"/>
        <v>0</v>
      </c>
      <c r="BW910" s="664">
        <f t="shared" si="386"/>
        <v>0</v>
      </c>
      <c r="BX910" s="664">
        <f t="shared" si="386"/>
        <v>0</v>
      </c>
      <c r="BY910" s="664">
        <f t="shared" si="386"/>
        <v>0</v>
      </c>
      <c r="BZ910" s="664">
        <f t="shared" si="386"/>
        <v>0</v>
      </c>
      <c r="CA910" s="664">
        <f t="shared" si="386"/>
        <v>0</v>
      </c>
    </row>
    <row r="911" spans="1:79" s="740" customFormat="1" hidden="1" outlineLevel="1" x14ac:dyDescent="0.25">
      <c r="A911" s="656"/>
      <c r="B911" s="503"/>
      <c r="C911" s="503"/>
      <c r="D911" s="503"/>
      <c r="E911" s="570" t="s">
        <v>1330</v>
      </c>
      <c r="F911" s="656" t="s">
        <v>871</v>
      </c>
      <c r="G911" s="719"/>
      <c r="H911" s="719"/>
      <c r="I911" s="719"/>
      <c r="J911" s="719"/>
      <c r="K911" s="719"/>
      <c r="L911" s="719"/>
      <c r="M911" s="719"/>
      <c r="N911" s="719"/>
      <c r="O911" s="719"/>
      <c r="P911" s="718"/>
      <c r="Q911" s="718"/>
      <c r="R911" s="718"/>
      <c r="S911" s="671">
        <v>0</v>
      </c>
      <c r="T911" s="671">
        <v>0</v>
      </c>
      <c r="U911" s="671">
        <v>0</v>
      </c>
      <c r="V911" s="671">
        <v>0</v>
      </c>
      <c r="W911" s="671">
        <v>0</v>
      </c>
      <c r="X911" s="671">
        <v>0</v>
      </c>
      <c r="Y911" s="671">
        <v>0</v>
      </c>
      <c r="Z911" s="671">
        <v>0</v>
      </c>
      <c r="AA911" s="671">
        <v>0</v>
      </c>
      <c r="AB911" s="671">
        <v>0</v>
      </c>
      <c r="AC911" s="670">
        <v>0</v>
      </c>
      <c r="AD911" s="670">
        <v>0</v>
      </c>
      <c r="AE911" s="671">
        <v>0</v>
      </c>
      <c r="AF911" s="719">
        <v>0</v>
      </c>
      <c r="AG911" s="670">
        <v>0</v>
      </c>
      <c r="AH911" s="716"/>
      <c r="AI911" s="716"/>
      <c r="AJ911" s="716"/>
      <c r="AK911" s="716"/>
      <c r="AL911" s="716"/>
      <c r="AM911" s="716"/>
      <c r="AN911" s="716"/>
      <c r="AO911" s="716"/>
      <c r="AP911" s="716"/>
      <c r="AQ911" s="716"/>
      <c r="AR911" s="716"/>
      <c r="AS911" s="716"/>
      <c r="AT911" s="716"/>
      <c r="AU911" s="716"/>
      <c r="AV911" s="716"/>
      <c r="AW911" s="716"/>
      <c r="AX911" s="716"/>
      <c r="AY911" s="716"/>
      <c r="AZ911" s="716"/>
      <c r="BA911" s="716"/>
      <c r="BB911" s="716"/>
      <c r="BC911" s="716"/>
      <c r="BD911" s="716"/>
      <c r="BE911" s="716"/>
      <c r="BF911" s="716"/>
      <c r="BG911" s="716"/>
      <c r="BH911" s="716"/>
      <c r="BI911" s="716"/>
      <c r="BJ911" s="716"/>
      <c r="BK911" s="716"/>
      <c r="BL911" s="716"/>
      <c r="BM911" s="716"/>
      <c r="BN911" s="716"/>
      <c r="BO911" s="716"/>
      <c r="BP911" s="716"/>
      <c r="BQ911" s="716"/>
      <c r="BR911" s="716"/>
      <c r="BS911" s="716"/>
      <c r="BT911" s="716"/>
      <c r="BU911" s="716"/>
      <c r="BV911" s="716"/>
      <c r="BW911" s="716"/>
      <c r="BX911" s="716"/>
      <c r="BY911" s="716"/>
      <c r="BZ911" s="716"/>
      <c r="CA911" s="716"/>
    </row>
    <row r="912" spans="1:79" s="740" customFormat="1" hidden="1" outlineLevel="1" x14ac:dyDescent="0.25">
      <c r="A912" s="656"/>
      <c r="B912" s="503"/>
      <c r="C912" s="503"/>
      <c r="D912" s="503"/>
      <c r="E912" s="570" t="s">
        <v>1076</v>
      </c>
      <c r="F912" s="656" t="s">
        <v>872</v>
      </c>
      <c r="G912" s="719"/>
      <c r="H912" s="719"/>
      <c r="I912" s="719"/>
      <c r="J912" s="719"/>
      <c r="K912" s="719"/>
      <c r="L912" s="719"/>
      <c r="M912" s="719"/>
      <c r="N912" s="719"/>
      <c r="O912" s="719"/>
      <c r="P912" s="718"/>
      <c r="Q912" s="718"/>
      <c r="R912" s="718"/>
      <c r="S912" s="671">
        <v>0</v>
      </c>
      <c r="T912" s="671">
        <v>0</v>
      </c>
      <c r="U912" s="671">
        <v>0</v>
      </c>
      <c r="V912" s="671">
        <v>0</v>
      </c>
      <c r="W912" s="671">
        <v>0</v>
      </c>
      <c r="X912" s="671">
        <v>0</v>
      </c>
      <c r="Y912" s="671">
        <v>0</v>
      </c>
      <c r="Z912" s="671">
        <v>0</v>
      </c>
      <c r="AA912" s="671">
        <v>0</v>
      </c>
      <c r="AB912" s="671">
        <v>0</v>
      </c>
      <c r="AC912" s="670">
        <v>0</v>
      </c>
      <c r="AD912" s="670">
        <v>0</v>
      </c>
      <c r="AE912" s="671">
        <v>0</v>
      </c>
      <c r="AF912" s="719">
        <v>0</v>
      </c>
      <c r="AG912" s="670">
        <v>0</v>
      </c>
      <c r="AH912" s="716"/>
      <c r="AI912" s="716"/>
      <c r="AJ912" s="716"/>
      <c r="AK912" s="716"/>
      <c r="AL912" s="716"/>
      <c r="AM912" s="716"/>
      <c r="AN912" s="716"/>
      <c r="AO912" s="716"/>
      <c r="AP912" s="716"/>
      <c r="AQ912" s="716"/>
      <c r="AR912" s="716"/>
      <c r="AS912" s="716"/>
      <c r="AT912" s="716"/>
      <c r="AU912" s="716"/>
      <c r="AV912" s="716"/>
      <c r="AW912" s="716"/>
      <c r="AX912" s="716"/>
      <c r="AY912" s="716"/>
      <c r="AZ912" s="716"/>
      <c r="BA912" s="716"/>
      <c r="BB912" s="716"/>
      <c r="BC912" s="716"/>
      <c r="BD912" s="716"/>
      <c r="BE912" s="716"/>
      <c r="BF912" s="716"/>
      <c r="BG912" s="716"/>
      <c r="BH912" s="716"/>
      <c r="BI912" s="716"/>
      <c r="BJ912" s="716"/>
      <c r="BK912" s="716"/>
      <c r="BL912" s="716"/>
      <c r="BM912" s="716"/>
      <c r="BN912" s="716"/>
      <c r="BO912" s="716"/>
      <c r="BP912" s="716"/>
      <c r="BQ912" s="716"/>
      <c r="BR912" s="716"/>
      <c r="BS912" s="716"/>
      <c r="BT912" s="716"/>
      <c r="BU912" s="716"/>
      <c r="BV912" s="716"/>
      <c r="BW912" s="716"/>
      <c r="BX912" s="716"/>
      <c r="BY912" s="716"/>
      <c r="BZ912" s="716"/>
      <c r="CA912" s="716"/>
    </row>
    <row r="913" spans="1:79" s="740" customFormat="1" hidden="1" outlineLevel="1" x14ac:dyDescent="0.25">
      <c r="A913" s="656"/>
      <c r="B913" s="503"/>
      <c r="C913" s="503"/>
      <c r="D913" s="503"/>
      <c r="E913" s="570" t="s">
        <v>1331</v>
      </c>
      <c r="F913" s="656" t="s">
        <v>873</v>
      </c>
      <c r="G913" s="719"/>
      <c r="H913" s="719"/>
      <c r="I913" s="719"/>
      <c r="J913" s="719"/>
      <c r="K913" s="719"/>
      <c r="L913" s="719"/>
      <c r="M913" s="719"/>
      <c r="N913" s="719"/>
      <c r="O913" s="719"/>
      <c r="P913" s="718"/>
      <c r="Q913" s="718"/>
      <c r="R913" s="718"/>
      <c r="S913" s="671">
        <v>0</v>
      </c>
      <c r="T913" s="671">
        <v>0</v>
      </c>
      <c r="U913" s="671">
        <v>0</v>
      </c>
      <c r="V913" s="671">
        <v>0</v>
      </c>
      <c r="W913" s="671">
        <v>0</v>
      </c>
      <c r="X913" s="671">
        <v>0</v>
      </c>
      <c r="Y913" s="671">
        <v>0</v>
      </c>
      <c r="Z913" s="671">
        <v>0</v>
      </c>
      <c r="AA913" s="671">
        <v>0</v>
      </c>
      <c r="AB913" s="671">
        <v>0</v>
      </c>
      <c r="AC913" s="670">
        <v>0</v>
      </c>
      <c r="AD913" s="670">
        <v>0</v>
      </c>
      <c r="AE913" s="671">
        <v>0</v>
      </c>
      <c r="AF913" s="719">
        <v>0</v>
      </c>
      <c r="AG913" s="670">
        <v>0</v>
      </c>
      <c r="AH913" s="716"/>
      <c r="AI913" s="716"/>
      <c r="AJ913" s="716"/>
      <c r="AK913" s="716"/>
      <c r="AL913" s="716"/>
      <c r="AM913" s="716"/>
      <c r="AN913" s="716"/>
      <c r="AO913" s="716"/>
      <c r="AP913" s="716"/>
      <c r="AQ913" s="716"/>
      <c r="AR913" s="716"/>
      <c r="AS913" s="716"/>
      <c r="AT913" s="716"/>
      <c r="AU913" s="716"/>
      <c r="AV913" s="716"/>
      <c r="AW913" s="716"/>
      <c r="AX913" s="716"/>
      <c r="AY913" s="716"/>
      <c r="AZ913" s="716"/>
      <c r="BA913" s="716"/>
      <c r="BB913" s="716"/>
      <c r="BC913" s="716"/>
      <c r="BD913" s="716"/>
      <c r="BE913" s="716"/>
      <c r="BF913" s="716"/>
      <c r="BG913" s="716"/>
      <c r="BH913" s="716"/>
      <c r="BI913" s="716"/>
      <c r="BJ913" s="716"/>
      <c r="BK913" s="716"/>
      <c r="BL913" s="716"/>
      <c r="BM913" s="716"/>
      <c r="BN913" s="716"/>
      <c r="BO913" s="716"/>
      <c r="BP913" s="716"/>
      <c r="BQ913" s="716"/>
      <c r="BR913" s="716"/>
      <c r="BS913" s="716"/>
      <c r="BT913" s="716"/>
      <c r="BU913" s="716"/>
      <c r="BV913" s="716"/>
      <c r="BW913" s="716"/>
      <c r="BX913" s="716"/>
      <c r="BY913" s="716"/>
      <c r="BZ913" s="716"/>
      <c r="CA913" s="716"/>
    </row>
    <row r="914" spans="1:79" s="740" customFormat="1" hidden="1" outlineLevel="1" x14ac:dyDescent="0.25">
      <c r="A914" s="656"/>
      <c r="B914" s="503"/>
      <c r="C914" s="503"/>
      <c r="D914" s="503"/>
      <c r="E914" s="570" t="s">
        <v>1357</v>
      </c>
      <c r="F914" s="656" t="s">
        <v>605</v>
      </c>
      <c r="G914" s="719"/>
      <c r="H914" s="719"/>
      <c r="I914" s="719"/>
      <c r="J914" s="719"/>
      <c r="K914" s="719"/>
      <c r="L914" s="719"/>
      <c r="M914" s="719"/>
      <c r="N914" s="719"/>
      <c r="O914" s="719"/>
      <c r="P914" s="718"/>
      <c r="Q914" s="718"/>
      <c r="R914" s="718"/>
      <c r="S914" s="667">
        <v>0</v>
      </c>
      <c r="T914" s="667">
        <v>0</v>
      </c>
      <c r="U914" s="667">
        <v>0</v>
      </c>
      <c r="V914" s="667">
        <v>0</v>
      </c>
      <c r="W914" s="667">
        <v>0</v>
      </c>
      <c r="X914" s="667">
        <v>447.65</v>
      </c>
      <c r="Y914" s="667">
        <v>0</v>
      </c>
      <c r="Z914" s="667">
        <v>0</v>
      </c>
      <c r="AA914" s="667">
        <v>0</v>
      </c>
      <c r="AB914" s="667">
        <v>837.15</v>
      </c>
      <c r="AC914" s="674">
        <v>0</v>
      </c>
      <c r="AD914" s="674">
        <v>0</v>
      </c>
      <c r="AE914" s="667">
        <v>0</v>
      </c>
      <c r="AF914" s="719">
        <v>0</v>
      </c>
      <c r="AG914" s="674">
        <v>99</v>
      </c>
      <c r="AH914" s="716"/>
      <c r="AI914" s="716"/>
      <c r="AJ914" s="716"/>
      <c r="AK914" s="716"/>
      <c r="AL914" s="716"/>
      <c r="AM914" s="716"/>
      <c r="AN914" s="716"/>
      <c r="AO914" s="716"/>
      <c r="AP914" s="716"/>
      <c r="AQ914" s="716"/>
      <c r="AR914" s="716"/>
      <c r="AS914" s="716"/>
      <c r="AT914" s="716"/>
      <c r="AU914" s="716"/>
      <c r="AV914" s="716"/>
      <c r="AW914" s="716"/>
      <c r="AX914" s="716"/>
      <c r="AY914" s="716"/>
      <c r="AZ914" s="716"/>
      <c r="BA914" s="716"/>
      <c r="BB914" s="716"/>
      <c r="BC914" s="716"/>
      <c r="BD914" s="716"/>
      <c r="BE914" s="716"/>
      <c r="BF914" s="716"/>
      <c r="BG914" s="716"/>
      <c r="BH914" s="716"/>
      <c r="BI914" s="716"/>
      <c r="BJ914" s="716"/>
      <c r="BK914" s="716"/>
      <c r="BL914" s="716"/>
      <c r="BM914" s="716"/>
      <c r="BN914" s="716"/>
      <c r="BO914" s="716"/>
      <c r="BP914" s="716"/>
      <c r="BQ914" s="716"/>
      <c r="BR914" s="716"/>
      <c r="BS914" s="716"/>
      <c r="BT914" s="716"/>
      <c r="BU914" s="716"/>
      <c r="BV914" s="716"/>
      <c r="BW914" s="716"/>
      <c r="BX914" s="716"/>
      <c r="BY914" s="716"/>
      <c r="BZ914" s="716"/>
      <c r="CA914" s="716"/>
    </row>
    <row r="915" spans="1:79" s="451" customFormat="1" hidden="1" outlineLevel="1" x14ac:dyDescent="0.25">
      <c r="A915" s="656"/>
      <c r="B915" s="79"/>
      <c r="C915" s="79"/>
      <c r="D915" s="79"/>
      <c r="E915" s="570" t="s">
        <v>645</v>
      </c>
      <c r="F915" s="656" t="s">
        <v>606</v>
      </c>
      <c r="G915" s="716"/>
      <c r="H915" s="716"/>
      <c r="I915" s="716"/>
      <c r="J915" s="716"/>
      <c r="K915" s="716"/>
      <c r="L915" s="716"/>
      <c r="M915" s="716"/>
      <c r="N915" s="716"/>
      <c r="O915" s="716"/>
      <c r="P915" s="718"/>
      <c r="Q915" s="718"/>
      <c r="R915" s="718"/>
      <c r="S915" s="667">
        <v>0</v>
      </c>
      <c r="T915" s="667">
        <v>69.91</v>
      </c>
      <c r="U915" s="667">
        <v>209.87</v>
      </c>
      <c r="V915" s="667">
        <v>118.77</v>
      </c>
      <c r="W915" s="667">
        <v>68.989999999999995</v>
      </c>
      <c r="X915" s="667">
        <v>82.48</v>
      </c>
      <c r="Y915" s="667">
        <v>49</v>
      </c>
      <c r="Z915" s="667">
        <v>51.49</v>
      </c>
      <c r="AA915" s="667">
        <v>181.47</v>
      </c>
      <c r="AB915" s="667">
        <v>0</v>
      </c>
      <c r="AC915" s="674">
        <v>418.38</v>
      </c>
      <c r="AD915" s="674">
        <v>1064.27</v>
      </c>
      <c r="AE915" s="667">
        <v>108.09</v>
      </c>
      <c r="AF915" s="719">
        <v>98.82</v>
      </c>
      <c r="AG915" s="674">
        <v>577.66999999999996</v>
      </c>
      <c r="AH915" s="716"/>
      <c r="AI915" s="716"/>
      <c r="AJ915" s="716"/>
      <c r="AK915" s="716"/>
      <c r="AL915" s="716"/>
      <c r="AM915" s="716"/>
      <c r="AN915" s="716"/>
      <c r="AO915" s="716"/>
      <c r="AP915" s="716"/>
      <c r="AQ915" s="716"/>
      <c r="AR915" s="716"/>
      <c r="AS915" s="716"/>
      <c r="AT915" s="716"/>
      <c r="AU915" s="716"/>
      <c r="AV915" s="716"/>
      <c r="AW915" s="716"/>
      <c r="AX915" s="716"/>
      <c r="AY915" s="716"/>
      <c r="AZ915" s="716"/>
      <c r="BA915" s="716"/>
      <c r="BB915" s="716"/>
      <c r="BC915" s="716"/>
      <c r="BD915" s="716"/>
      <c r="BE915" s="716"/>
      <c r="BF915" s="716"/>
      <c r="BG915" s="716"/>
      <c r="BH915" s="716"/>
      <c r="BI915" s="716"/>
      <c r="BJ915" s="716"/>
      <c r="BK915" s="716"/>
      <c r="BL915" s="716"/>
      <c r="BM915" s="716"/>
      <c r="BN915" s="716"/>
      <c r="BO915" s="716"/>
      <c r="BP915" s="716"/>
      <c r="BQ915" s="716"/>
      <c r="BR915" s="716"/>
      <c r="BS915" s="716"/>
      <c r="BT915" s="716"/>
      <c r="BU915" s="716"/>
      <c r="BV915" s="716"/>
      <c r="BW915" s="716"/>
      <c r="BX915" s="716"/>
      <c r="BY915" s="716"/>
      <c r="BZ915" s="716"/>
      <c r="CA915" s="716"/>
    </row>
    <row r="916" spans="1:79" s="451" customFormat="1" hidden="1" outlineLevel="1" x14ac:dyDescent="0.25">
      <c r="A916" s="656"/>
      <c r="B916" s="79"/>
      <c r="C916" s="79"/>
      <c r="D916" s="79"/>
      <c r="E916" s="570" t="s">
        <v>1330</v>
      </c>
      <c r="F916" s="656" t="s">
        <v>607</v>
      </c>
      <c r="G916" s="716"/>
      <c r="H916" s="716"/>
      <c r="I916" s="716"/>
      <c r="J916" s="716"/>
      <c r="K916" s="716"/>
      <c r="L916" s="716"/>
      <c r="M916" s="716"/>
      <c r="N916" s="716"/>
      <c r="O916" s="716"/>
      <c r="P916" s="718"/>
      <c r="Q916" s="718"/>
      <c r="R916" s="718"/>
      <c r="S916" s="667">
        <v>169.8</v>
      </c>
      <c r="T916" s="667">
        <v>154.80000000000001</v>
      </c>
      <c r="U916" s="667">
        <v>129.85</v>
      </c>
      <c r="V916" s="667">
        <v>79.900000000000006</v>
      </c>
      <c r="W916" s="667">
        <v>33.96</v>
      </c>
      <c r="X916" s="667">
        <v>67.849999999999994</v>
      </c>
      <c r="Y916" s="667">
        <v>80.849999999999994</v>
      </c>
      <c r="Z916" s="667">
        <v>0</v>
      </c>
      <c r="AA916" s="667">
        <v>0</v>
      </c>
      <c r="AB916" s="667">
        <v>79.8</v>
      </c>
      <c r="AC916" s="674">
        <v>39.950000000000003</v>
      </c>
      <c r="AD916" s="674">
        <v>0</v>
      </c>
      <c r="AE916" s="667">
        <v>135.75</v>
      </c>
      <c r="AF916" s="719">
        <v>18</v>
      </c>
      <c r="AG916" s="674">
        <v>108.75</v>
      </c>
      <c r="AH916" s="716"/>
      <c r="AI916" s="716"/>
      <c r="AJ916" s="716"/>
      <c r="AK916" s="716"/>
      <c r="AL916" s="716"/>
      <c r="AM916" s="716"/>
      <c r="AN916" s="716"/>
      <c r="AO916" s="716"/>
      <c r="AP916" s="716"/>
      <c r="AQ916" s="716"/>
      <c r="AR916" s="716"/>
      <c r="AS916" s="716"/>
      <c r="AT916" s="716"/>
      <c r="AU916" s="716"/>
      <c r="AV916" s="716"/>
      <c r="AW916" s="716"/>
      <c r="AX916" s="716"/>
      <c r="AY916" s="716"/>
      <c r="AZ916" s="716"/>
      <c r="BA916" s="716"/>
      <c r="BB916" s="716"/>
      <c r="BC916" s="716"/>
      <c r="BD916" s="716"/>
      <c r="BE916" s="716"/>
      <c r="BF916" s="716"/>
      <c r="BG916" s="716"/>
      <c r="BH916" s="716"/>
      <c r="BI916" s="716"/>
      <c r="BJ916" s="716"/>
      <c r="BK916" s="716"/>
      <c r="BL916" s="716"/>
      <c r="BM916" s="716"/>
      <c r="BN916" s="716"/>
      <c r="BO916" s="716"/>
      <c r="BP916" s="716"/>
      <c r="BQ916" s="716"/>
      <c r="BR916" s="716"/>
      <c r="BS916" s="716"/>
      <c r="BT916" s="716"/>
      <c r="BU916" s="716"/>
      <c r="BV916" s="716"/>
      <c r="BW916" s="716"/>
      <c r="BX916" s="716"/>
      <c r="BY916" s="716"/>
      <c r="BZ916" s="716"/>
      <c r="CA916" s="716"/>
    </row>
    <row r="917" spans="1:79" s="451" customFormat="1" hidden="1" outlineLevel="1" x14ac:dyDescent="0.25">
      <c r="A917" s="656"/>
      <c r="B917" s="576"/>
      <c r="C917" s="576"/>
      <c r="D917" s="576"/>
      <c r="E917" s="570" t="s">
        <v>1330</v>
      </c>
      <c r="F917" s="656" t="s">
        <v>874</v>
      </c>
      <c r="G917" s="719">
        <v>500.31099895556702</v>
      </c>
      <c r="H917" s="719">
        <v>157.31093118162838</v>
      </c>
      <c r="I917" s="719">
        <v>559.15858526121872</v>
      </c>
      <c r="J917" s="719">
        <v>243.40218237580234</v>
      </c>
      <c r="K917" s="719">
        <v>437.73098119948531</v>
      </c>
      <c r="L917" s="719">
        <v>832.85051128330622</v>
      </c>
      <c r="M917" s="719">
        <v>748.17576586337066</v>
      </c>
      <c r="N917" s="719">
        <v>284.23083656259234</v>
      </c>
      <c r="O917" s="719">
        <v>321.22789071366913</v>
      </c>
      <c r="P917" s="716">
        <v>679.89388226803464</v>
      </c>
      <c r="Q917" s="716">
        <v>361.88399193104539</v>
      </c>
      <c r="R917" s="716">
        <v>32.772615739428673</v>
      </c>
      <c r="S917" s="676">
        <v>0</v>
      </c>
      <c r="T917" s="676">
        <v>0</v>
      </c>
      <c r="U917" s="676">
        <v>0</v>
      </c>
      <c r="V917" s="676">
        <v>0</v>
      </c>
      <c r="W917" s="676">
        <v>0</v>
      </c>
      <c r="X917" s="676">
        <v>0</v>
      </c>
      <c r="Y917" s="676">
        <v>0</v>
      </c>
      <c r="Z917" s="676">
        <v>0</v>
      </c>
      <c r="AA917" s="676">
        <v>0</v>
      </c>
      <c r="AB917" s="676">
        <v>0</v>
      </c>
      <c r="AC917" s="686">
        <v>0</v>
      </c>
      <c r="AD917" s="686">
        <v>0</v>
      </c>
      <c r="AE917" s="676">
        <v>0</v>
      </c>
      <c r="AF917" s="719">
        <v>0</v>
      </c>
      <c r="AG917" s="686">
        <v>0</v>
      </c>
      <c r="AH917" s="716"/>
      <c r="AI917" s="716"/>
      <c r="AJ917" s="716"/>
      <c r="AK917" s="716"/>
      <c r="AL917" s="716"/>
      <c r="AM917" s="716"/>
      <c r="AN917" s="716"/>
      <c r="AO917" s="716"/>
      <c r="AP917" s="716"/>
      <c r="AQ917" s="716"/>
      <c r="AR917" s="716"/>
      <c r="AS917" s="716"/>
      <c r="AT917" s="716"/>
      <c r="AU917" s="716"/>
      <c r="AV917" s="716"/>
      <c r="AW917" s="716"/>
      <c r="AX917" s="716"/>
      <c r="AY917" s="716"/>
      <c r="AZ917" s="716"/>
      <c r="BA917" s="716"/>
      <c r="BB917" s="716"/>
      <c r="BC917" s="716"/>
      <c r="BD917" s="716"/>
      <c r="BE917" s="716"/>
      <c r="BF917" s="716"/>
      <c r="BG917" s="716"/>
      <c r="BH917" s="716"/>
      <c r="BI917" s="716"/>
      <c r="BJ917" s="716"/>
      <c r="BK917" s="716"/>
      <c r="BL917" s="716"/>
      <c r="BM917" s="716"/>
      <c r="BN917" s="716"/>
      <c r="BO917" s="716"/>
      <c r="BP917" s="716"/>
      <c r="BQ917" s="716"/>
      <c r="BR917" s="716"/>
      <c r="BS917" s="716"/>
      <c r="BT917" s="716"/>
      <c r="BU917" s="716"/>
      <c r="BV917" s="716"/>
      <c r="BW917" s="716"/>
      <c r="BX917" s="716"/>
      <c r="BY917" s="716"/>
      <c r="BZ917" s="716"/>
      <c r="CA917" s="716"/>
    </row>
    <row r="918" spans="1:79" s="308" customFormat="1" hidden="1" outlineLevel="1" x14ac:dyDescent="0.25">
      <c r="A918" s="659"/>
      <c r="B918" s="29"/>
      <c r="C918" s="29"/>
      <c r="D918" s="29"/>
      <c r="E918" s="570" t="s">
        <v>49</v>
      </c>
      <c r="F918" s="659" t="s">
        <v>608</v>
      </c>
      <c r="G918" s="664">
        <f>SUM(G911:G917)</f>
        <v>500.31099895556702</v>
      </c>
      <c r="H918" s="664">
        <f t="shared" ref="H918:BO918" si="387">SUM(H911:H917)</f>
        <v>157.31093118162838</v>
      </c>
      <c r="I918" s="664">
        <f t="shared" si="387"/>
        <v>559.15858526121872</v>
      </c>
      <c r="J918" s="664">
        <f t="shared" si="387"/>
        <v>243.40218237580234</v>
      </c>
      <c r="K918" s="664">
        <f t="shared" si="387"/>
        <v>437.73098119948531</v>
      </c>
      <c r="L918" s="664">
        <f t="shared" si="387"/>
        <v>832.85051128330622</v>
      </c>
      <c r="M918" s="664">
        <f t="shared" si="387"/>
        <v>748.17576586337066</v>
      </c>
      <c r="N918" s="664">
        <f t="shared" si="387"/>
        <v>284.23083656259234</v>
      </c>
      <c r="O918" s="664">
        <f t="shared" si="387"/>
        <v>321.22789071366913</v>
      </c>
      <c r="P918" s="664">
        <f t="shared" si="387"/>
        <v>679.89388226803464</v>
      </c>
      <c r="Q918" s="664">
        <f t="shared" si="387"/>
        <v>361.88399193104539</v>
      </c>
      <c r="R918" s="664">
        <f t="shared" si="387"/>
        <v>32.772615739428673</v>
      </c>
      <c r="S918" s="679">
        <f t="shared" ref="S918:AA918" si="388">ROUND(SUM(S906:S917),5)</f>
        <v>169.8</v>
      </c>
      <c r="T918" s="679">
        <f t="shared" si="388"/>
        <v>224.71</v>
      </c>
      <c r="U918" s="679">
        <f t="shared" si="388"/>
        <v>339.72</v>
      </c>
      <c r="V918" s="679">
        <f t="shared" si="388"/>
        <v>198.67</v>
      </c>
      <c r="W918" s="679">
        <f t="shared" si="388"/>
        <v>102.95</v>
      </c>
      <c r="X918" s="679">
        <f t="shared" si="388"/>
        <v>597.98</v>
      </c>
      <c r="Y918" s="679">
        <f t="shared" si="388"/>
        <v>129.85</v>
      </c>
      <c r="Z918" s="679">
        <f t="shared" si="388"/>
        <v>51.49</v>
      </c>
      <c r="AA918" s="679">
        <f t="shared" si="388"/>
        <v>181.47</v>
      </c>
      <c r="AB918" s="679">
        <f>ROUND(SUM(AB906:AB917),5)</f>
        <v>916.95</v>
      </c>
      <c r="AC918" s="679">
        <f>ROUND(SUM(AC906:AC917),5)</f>
        <v>458.33</v>
      </c>
      <c r="AD918" s="679">
        <f>ROUND(SUM(AD906:AD917),5)</f>
        <v>1064.27</v>
      </c>
      <c r="AE918" s="679">
        <f>ROUND(AE906+SUM(AE910:AE917),5)</f>
        <v>243.84</v>
      </c>
      <c r="AF918" s="664">
        <f>ROUND(AF906+SUM(AF910:AF917),5)</f>
        <v>116.82</v>
      </c>
      <c r="AG918" s="679">
        <f>ROUND(AG906+SUM(AG910:AG917),5)</f>
        <v>785.42</v>
      </c>
      <c r="AH918" s="664">
        <f t="shared" si="387"/>
        <v>0</v>
      </c>
      <c r="AI918" s="664">
        <f t="shared" si="387"/>
        <v>0</v>
      </c>
      <c r="AJ918" s="664">
        <f t="shared" si="387"/>
        <v>0</v>
      </c>
      <c r="AK918" s="664">
        <f t="shared" si="387"/>
        <v>0</v>
      </c>
      <c r="AL918" s="664">
        <f t="shared" si="387"/>
        <v>0</v>
      </c>
      <c r="AM918" s="664">
        <f t="shared" si="387"/>
        <v>0</v>
      </c>
      <c r="AN918" s="664">
        <f t="shared" si="387"/>
        <v>0</v>
      </c>
      <c r="AO918" s="664">
        <f t="shared" si="387"/>
        <v>0</v>
      </c>
      <c r="AP918" s="664">
        <f t="shared" si="387"/>
        <v>0</v>
      </c>
      <c r="AQ918" s="664">
        <f t="shared" si="387"/>
        <v>0</v>
      </c>
      <c r="AR918" s="664">
        <f t="shared" si="387"/>
        <v>0</v>
      </c>
      <c r="AS918" s="664">
        <f t="shared" si="387"/>
        <v>0</v>
      </c>
      <c r="AT918" s="664">
        <f t="shared" si="387"/>
        <v>0</v>
      </c>
      <c r="AU918" s="664">
        <f t="shared" si="387"/>
        <v>0</v>
      </c>
      <c r="AV918" s="664">
        <f t="shared" si="387"/>
        <v>0</v>
      </c>
      <c r="AW918" s="664">
        <f t="shared" si="387"/>
        <v>0</v>
      </c>
      <c r="AX918" s="664">
        <f t="shared" si="387"/>
        <v>0</v>
      </c>
      <c r="AY918" s="664">
        <f t="shared" si="387"/>
        <v>0</v>
      </c>
      <c r="AZ918" s="664">
        <f t="shared" si="387"/>
        <v>0</v>
      </c>
      <c r="BA918" s="664">
        <f t="shared" si="387"/>
        <v>0</v>
      </c>
      <c r="BB918" s="664">
        <f t="shared" si="387"/>
        <v>0</v>
      </c>
      <c r="BC918" s="664">
        <f t="shared" si="387"/>
        <v>0</v>
      </c>
      <c r="BD918" s="664">
        <f t="shared" si="387"/>
        <v>0</v>
      </c>
      <c r="BE918" s="664">
        <f t="shared" si="387"/>
        <v>0</v>
      </c>
      <c r="BF918" s="664">
        <f t="shared" si="387"/>
        <v>0</v>
      </c>
      <c r="BG918" s="664">
        <f t="shared" si="387"/>
        <v>0</v>
      </c>
      <c r="BH918" s="664">
        <f t="shared" si="387"/>
        <v>0</v>
      </c>
      <c r="BI918" s="664">
        <f t="shared" si="387"/>
        <v>0</v>
      </c>
      <c r="BJ918" s="664">
        <f t="shared" si="387"/>
        <v>0</v>
      </c>
      <c r="BK918" s="664">
        <f t="shared" si="387"/>
        <v>0</v>
      </c>
      <c r="BL918" s="664">
        <f t="shared" si="387"/>
        <v>0</v>
      </c>
      <c r="BM918" s="664">
        <f t="shared" si="387"/>
        <v>0</v>
      </c>
      <c r="BN918" s="664">
        <f t="shared" si="387"/>
        <v>0</v>
      </c>
      <c r="BO918" s="664">
        <f t="shared" si="387"/>
        <v>0</v>
      </c>
      <c r="BP918" s="664">
        <f t="shared" ref="BP918:CA918" si="389">SUM(BP911:BP917)</f>
        <v>0</v>
      </c>
      <c r="BQ918" s="664">
        <f t="shared" si="389"/>
        <v>0</v>
      </c>
      <c r="BR918" s="664">
        <f t="shared" si="389"/>
        <v>0</v>
      </c>
      <c r="BS918" s="664">
        <f t="shared" si="389"/>
        <v>0</v>
      </c>
      <c r="BT918" s="664">
        <f t="shared" si="389"/>
        <v>0</v>
      </c>
      <c r="BU918" s="664">
        <f t="shared" si="389"/>
        <v>0</v>
      </c>
      <c r="BV918" s="664">
        <f t="shared" si="389"/>
        <v>0</v>
      </c>
      <c r="BW918" s="664">
        <f t="shared" si="389"/>
        <v>0</v>
      </c>
      <c r="BX918" s="664">
        <f t="shared" si="389"/>
        <v>0</v>
      </c>
      <c r="BY918" s="664">
        <f t="shared" si="389"/>
        <v>0</v>
      </c>
      <c r="BZ918" s="664">
        <f t="shared" si="389"/>
        <v>0</v>
      </c>
      <c r="CA918" s="664">
        <f t="shared" si="389"/>
        <v>0</v>
      </c>
    </row>
    <row r="919" spans="1:79" s="308" customFormat="1" hidden="1" outlineLevel="1" x14ac:dyDescent="0.25">
      <c r="A919" s="655"/>
      <c r="B919" s="571"/>
      <c r="C919" s="571"/>
      <c r="D919" s="571"/>
      <c r="E919" s="570" t="s">
        <v>1325</v>
      </c>
      <c r="F919" s="655" t="s">
        <v>875</v>
      </c>
      <c r="G919" s="719"/>
      <c r="H919" s="719"/>
      <c r="I919" s="719"/>
      <c r="J919" s="719"/>
      <c r="K919" s="719"/>
      <c r="L919" s="719"/>
      <c r="M919" s="719"/>
      <c r="N919" s="719"/>
      <c r="O919" s="719"/>
      <c r="P919" s="716"/>
      <c r="Q919" s="716"/>
      <c r="R919" s="716"/>
      <c r="S919" s="684">
        <v>0</v>
      </c>
      <c r="T919" s="684">
        <v>0</v>
      </c>
      <c r="U919" s="684">
        <v>0</v>
      </c>
      <c r="V919" s="684">
        <v>0</v>
      </c>
      <c r="W919" s="684">
        <v>0</v>
      </c>
      <c r="X919" s="684">
        <v>0</v>
      </c>
      <c r="Y919" s="684">
        <v>0</v>
      </c>
      <c r="Z919" s="684">
        <v>0</v>
      </c>
      <c r="AA919" s="684">
        <v>0</v>
      </c>
      <c r="AB919" s="684">
        <v>0</v>
      </c>
      <c r="AC919" s="682">
        <v>0</v>
      </c>
      <c r="AD919" s="682">
        <v>0</v>
      </c>
      <c r="AE919" s="684">
        <v>0</v>
      </c>
      <c r="AF919" s="719">
        <v>0</v>
      </c>
      <c r="AG919" s="682">
        <v>0</v>
      </c>
      <c r="AH919" s="716"/>
      <c r="AI919" s="716"/>
      <c r="AJ919" s="716"/>
      <c r="AK919" s="716"/>
      <c r="AL919" s="716"/>
      <c r="AM919" s="716"/>
      <c r="AN919" s="716"/>
      <c r="AO919" s="716"/>
      <c r="AP919" s="716"/>
      <c r="AQ919" s="716"/>
      <c r="AR919" s="716"/>
      <c r="AS919" s="716"/>
      <c r="AT919" s="716"/>
      <c r="AU919" s="716"/>
      <c r="AV919" s="716"/>
      <c r="AW919" s="716"/>
      <c r="AX919" s="716"/>
      <c r="AY919" s="716"/>
      <c r="AZ919" s="716"/>
      <c r="BA919" s="716"/>
      <c r="BB919" s="716"/>
      <c r="BC919" s="716"/>
      <c r="BD919" s="716"/>
      <c r="BE919" s="716"/>
      <c r="BF919" s="716"/>
      <c r="BG919" s="716"/>
      <c r="BH919" s="716"/>
      <c r="BI919" s="716"/>
      <c r="BJ919" s="716"/>
      <c r="BK919" s="716"/>
      <c r="BL919" s="716"/>
      <c r="BM919" s="716"/>
      <c r="BN919" s="716"/>
      <c r="BO919" s="716"/>
      <c r="BP919" s="716"/>
      <c r="BQ919" s="716"/>
      <c r="BR919" s="716"/>
      <c r="BS919" s="716"/>
      <c r="BT919" s="716"/>
      <c r="BU919" s="716"/>
      <c r="BV919" s="716"/>
      <c r="BW919" s="716"/>
      <c r="BX919" s="716"/>
      <c r="BY919" s="716"/>
      <c r="BZ919" s="716"/>
      <c r="CA919" s="716"/>
    </row>
    <row r="920" spans="1:79" hidden="1" outlineLevel="1" x14ac:dyDescent="0.25">
      <c r="A920" s="658"/>
      <c r="E920" s="570" t="s">
        <v>1326</v>
      </c>
      <c r="F920" s="658" t="s">
        <v>591</v>
      </c>
      <c r="G920" s="719"/>
      <c r="H920" s="719"/>
      <c r="I920" s="719"/>
      <c r="J920" s="719"/>
      <c r="K920" s="719"/>
      <c r="L920" s="719"/>
      <c r="M920" s="719">
        <v>107.47555061026705</v>
      </c>
      <c r="N920" s="719"/>
      <c r="O920" s="719">
        <v>68.824470141229853</v>
      </c>
      <c r="P920" s="716">
        <v>60.615675753840229</v>
      </c>
      <c r="Q920" s="716"/>
      <c r="R920" s="716"/>
      <c r="S920" s="667">
        <v>0</v>
      </c>
      <c r="T920" s="667">
        <v>500</v>
      </c>
      <c r="U920" s="667">
        <v>882</v>
      </c>
      <c r="V920" s="667">
        <v>279</v>
      </c>
      <c r="W920" s="667">
        <v>0</v>
      </c>
      <c r="X920" s="667">
        <v>3250</v>
      </c>
      <c r="Y920" s="667">
        <v>340</v>
      </c>
      <c r="Z920" s="667">
        <v>-100</v>
      </c>
      <c r="AA920" s="667">
        <v>0</v>
      </c>
      <c r="AB920" s="667">
        <v>0</v>
      </c>
      <c r="AC920" s="686">
        <v>525.17999999999995</v>
      </c>
      <c r="AD920" s="686">
        <v>480</v>
      </c>
      <c r="AE920" s="667">
        <v>0</v>
      </c>
      <c r="AF920" s="719">
        <v>45</v>
      </c>
      <c r="AG920" s="686">
        <v>0</v>
      </c>
      <c r="AH920" s="716"/>
      <c r="AI920" s="716"/>
      <c r="AJ920" s="716"/>
      <c r="AK920" s="716"/>
      <c r="AL920" s="716"/>
      <c r="AM920" s="716"/>
      <c r="AN920" s="716"/>
      <c r="AO920" s="716"/>
      <c r="AP920" s="716"/>
      <c r="AQ920" s="716"/>
      <c r="AR920" s="716"/>
      <c r="AS920" s="716"/>
      <c r="AT920" s="716"/>
      <c r="AU920" s="716"/>
      <c r="AV920" s="716"/>
      <c r="AW920" s="716"/>
      <c r="AX920" s="716"/>
      <c r="AY920" s="716"/>
      <c r="AZ920" s="716"/>
      <c r="BA920" s="716"/>
      <c r="BB920" s="716"/>
      <c r="BC920" s="716"/>
      <c r="BD920" s="716"/>
      <c r="BE920" s="716"/>
      <c r="BF920" s="716"/>
      <c r="BG920" s="716"/>
      <c r="BH920" s="716"/>
      <c r="BI920" s="716"/>
      <c r="BJ920" s="716"/>
      <c r="BK920" s="716"/>
      <c r="BL920" s="716"/>
      <c r="BM920" s="716"/>
      <c r="BN920" s="716"/>
      <c r="BO920" s="716"/>
      <c r="BP920" s="716"/>
      <c r="BQ920" s="716"/>
      <c r="BR920" s="716"/>
      <c r="BS920" s="716"/>
      <c r="BT920" s="716"/>
      <c r="BU920" s="716"/>
      <c r="BV920" s="716"/>
      <c r="BW920" s="716"/>
      <c r="BX920" s="716"/>
      <c r="BY920" s="716"/>
      <c r="BZ920" s="716"/>
      <c r="CA920" s="716"/>
    </row>
    <row r="921" spans="1:79" hidden="1" outlineLevel="1" x14ac:dyDescent="0.25">
      <c r="A921" s="658"/>
      <c r="E921" s="570" t="s">
        <v>1332</v>
      </c>
      <c r="F921" s="658" t="s">
        <v>592</v>
      </c>
      <c r="G921" s="719">
        <v>12.94240808108996</v>
      </c>
      <c r="H921" s="719">
        <v>19.541522508569539</v>
      </c>
      <c r="I921" s="719">
        <v>2.6645922879130106</v>
      </c>
      <c r="J921" s="719">
        <v>4.0967458856666763</v>
      </c>
      <c r="K921" s="719">
        <v>190.76088834671319</v>
      </c>
      <c r="L921" s="720">
        <v>262.11</v>
      </c>
      <c r="M921" s="719"/>
      <c r="N921" s="719">
        <v>6.9118276334504687</v>
      </c>
      <c r="O921" s="719"/>
      <c r="P921" s="716">
        <v>98.616448230493674</v>
      </c>
      <c r="Q921" s="716"/>
      <c r="R921" s="716"/>
      <c r="S921" s="667">
        <v>0</v>
      </c>
      <c r="T921" s="667">
        <v>45</v>
      </c>
      <c r="U921" s="667">
        <v>0</v>
      </c>
      <c r="V921" s="667">
        <v>0</v>
      </c>
      <c r="W921" s="667">
        <v>4470.83</v>
      </c>
      <c r="X921" s="667">
        <v>489.17</v>
      </c>
      <c r="Y921" s="667">
        <v>4252.51</v>
      </c>
      <c r="Z921" s="667">
        <v>745.79</v>
      </c>
      <c r="AA921" s="667">
        <v>745.79</v>
      </c>
      <c r="AB921" s="667">
        <v>745.79</v>
      </c>
      <c r="AC921" s="686">
        <v>745.79</v>
      </c>
      <c r="AD921" s="686">
        <v>745.79</v>
      </c>
      <c r="AE921" s="667">
        <v>745.79</v>
      </c>
      <c r="AF921" s="719">
        <v>1790.79</v>
      </c>
      <c r="AG921" s="686">
        <v>770.74</v>
      </c>
      <c r="AH921" s="716"/>
      <c r="AI921" s="716"/>
      <c r="AJ921" s="716"/>
      <c r="AK921" s="716"/>
      <c r="AL921" s="716"/>
      <c r="AM921" s="716"/>
      <c r="AN921" s="716"/>
      <c r="AO921" s="716"/>
      <c r="AP921" s="716"/>
      <c r="AQ921" s="716"/>
      <c r="AR921" s="716"/>
      <c r="AS921" s="716"/>
      <c r="AT921" s="716"/>
      <c r="AU921" s="716"/>
      <c r="AV921" s="716"/>
      <c r="AW921" s="716"/>
      <c r="AX921" s="716"/>
      <c r="AY921" s="716"/>
      <c r="AZ921" s="716"/>
      <c r="BA921" s="716"/>
      <c r="BB921" s="716"/>
      <c r="BC921" s="716"/>
      <c r="BD921" s="716"/>
      <c r="BE921" s="716"/>
      <c r="BF921" s="716"/>
      <c r="BG921" s="716"/>
      <c r="BH921" s="716"/>
      <c r="BI921" s="716"/>
      <c r="BJ921" s="716"/>
      <c r="BK921" s="716"/>
      <c r="BL921" s="716"/>
      <c r="BM921" s="716"/>
      <c r="BN921" s="716"/>
      <c r="BO921" s="716"/>
      <c r="BP921" s="716"/>
      <c r="BQ921" s="716"/>
      <c r="BR921" s="716"/>
      <c r="BS921" s="716"/>
      <c r="BT921" s="716"/>
      <c r="BU921" s="716"/>
      <c r="BV921" s="716"/>
      <c r="BW921" s="716"/>
      <c r="BX921" s="716"/>
      <c r="BY921" s="716"/>
      <c r="BZ921" s="716"/>
      <c r="CA921" s="716"/>
    </row>
    <row r="922" spans="1:79" hidden="1" outlineLevel="1" x14ac:dyDescent="0.25">
      <c r="A922" s="655"/>
      <c r="B922" s="570"/>
      <c r="C922" s="570"/>
      <c r="D922" s="570"/>
      <c r="E922" s="570" t="s">
        <v>1333</v>
      </c>
      <c r="F922" s="655" t="s">
        <v>876</v>
      </c>
      <c r="G922" s="719"/>
      <c r="H922" s="719"/>
      <c r="I922" s="719"/>
      <c r="J922" s="719"/>
      <c r="K922" s="719"/>
      <c r="L922" s="720"/>
      <c r="M922" s="719"/>
      <c r="N922" s="719"/>
      <c r="O922" s="719"/>
      <c r="P922" s="716"/>
      <c r="Q922" s="716"/>
      <c r="R922" s="716"/>
      <c r="S922" s="667">
        <v>0</v>
      </c>
      <c r="T922" s="667">
        <v>0</v>
      </c>
      <c r="U922" s="667">
        <v>0</v>
      </c>
      <c r="V922" s="667">
        <v>0</v>
      </c>
      <c r="W922" s="667">
        <v>0</v>
      </c>
      <c r="X922" s="667">
        <v>0</v>
      </c>
      <c r="Y922" s="667">
        <v>0</v>
      </c>
      <c r="Z922" s="667">
        <v>0</v>
      </c>
      <c r="AA922" s="667">
        <v>0</v>
      </c>
      <c r="AB922" s="667">
        <v>0</v>
      </c>
      <c r="AC922" s="686">
        <v>0</v>
      </c>
      <c r="AD922" s="686">
        <v>0</v>
      </c>
      <c r="AE922" s="667">
        <v>0</v>
      </c>
      <c r="AF922" s="719">
        <v>0</v>
      </c>
      <c r="AG922" s="686">
        <v>0</v>
      </c>
      <c r="AH922" s="716"/>
      <c r="AI922" s="716"/>
      <c r="AJ922" s="716"/>
      <c r="AK922" s="716"/>
      <c r="AL922" s="716"/>
      <c r="AM922" s="716"/>
      <c r="AN922" s="716"/>
      <c r="AO922" s="716"/>
      <c r="AP922" s="716"/>
      <c r="AQ922" s="716"/>
      <c r="AR922" s="716"/>
      <c r="AS922" s="716"/>
      <c r="AT922" s="716"/>
      <c r="AU922" s="716"/>
      <c r="AV922" s="716"/>
      <c r="AW922" s="716"/>
      <c r="AX922" s="716"/>
      <c r="AY922" s="716"/>
      <c r="AZ922" s="716"/>
      <c r="BA922" s="716"/>
      <c r="BB922" s="716"/>
      <c r="BC922" s="716"/>
      <c r="BD922" s="716"/>
      <c r="BE922" s="716"/>
      <c r="BF922" s="716"/>
      <c r="BG922" s="716"/>
      <c r="BH922" s="716"/>
      <c r="BI922" s="716"/>
      <c r="BJ922" s="716"/>
      <c r="BK922" s="716"/>
      <c r="BL922" s="716"/>
      <c r="BM922" s="716"/>
      <c r="BN922" s="716"/>
      <c r="BO922" s="716"/>
      <c r="BP922" s="716"/>
      <c r="BQ922" s="716"/>
      <c r="BR922" s="716"/>
      <c r="BS922" s="716"/>
      <c r="BT922" s="716"/>
      <c r="BU922" s="716"/>
      <c r="BV922" s="716"/>
      <c r="BW922" s="716"/>
      <c r="BX922" s="716"/>
      <c r="BY922" s="716"/>
      <c r="BZ922" s="716"/>
      <c r="CA922" s="716"/>
    </row>
    <row r="923" spans="1:79" s="693" customFormat="1" hidden="1" outlineLevel="1" x14ac:dyDescent="0.25">
      <c r="A923" s="701"/>
      <c r="E923" s="570" t="s">
        <v>657</v>
      </c>
      <c r="F923" s="701" t="s">
        <v>761</v>
      </c>
      <c r="G923" s="733"/>
      <c r="H923" s="733"/>
      <c r="I923" s="733"/>
      <c r="J923" s="733"/>
      <c r="K923" s="733"/>
      <c r="L923" s="735"/>
      <c r="M923" s="733"/>
      <c r="N923" s="733"/>
      <c r="O923" s="733"/>
      <c r="P923" s="734"/>
      <c r="Q923" s="734"/>
      <c r="R923" s="734"/>
      <c r="S923" s="704"/>
      <c r="T923" s="704"/>
      <c r="U923" s="704"/>
      <c r="V923" s="704"/>
      <c r="W923" s="704"/>
      <c r="X923" s="704"/>
      <c r="Y923" s="704"/>
      <c r="Z923" s="704"/>
      <c r="AA923" s="704"/>
      <c r="AB923" s="704"/>
      <c r="AC923" s="703"/>
      <c r="AD923" s="703"/>
      <c r="AE923" s="704"/>
      <c r="AF923" s="733"/>
      <c r="AG923" s="703"/>
      <c r="AH923" s="734"/>
      <c r="AI923" s="734"/>
      <c r="AJ923" s="734"/>
      <c r="AK923" s="734"/>
      <c r="AL923" s="734"/>
      <c r="AM923" s="734"/>
      <c r="AN923" s="734"/>
      <c r="AO923" s="734"/>
      <c r="AP923" s="734"/>
      <c r="AQ923" s="734"/>
      <c r="AR923" s="734"/>
      <c r="AS923" s="734"/>
      <c r="AT923" s="734"/>
      <c r="AU923" s="734"/>
      <c r="AV923" s="734"/>
      <c r="AW923" s="734"/>
      <c r="AX923" s="734"/>
      <c r="AY923" s="734"/>
      <c r="AZ923" s="734"/>
      <c r="BA923" s="734"/>
      <c r="BB923" s="734"/>
      <c r="BC923" s="734"/>
      <c r="BD923" s="734"/>
      <c r="BE923" s="734"/>
      <c r="BF923" s="734"/>
      <c r="BG923" s="734"/>
      <c r="BH923" s="734"/>
      <c r="BI923" s="734"/>
      <c r="BJ923" s="734"/>
      <c r="BK923" s="734"/>
      <c r="BL923" s="734"/>
      <c r="BM923" s="734"/>
      <c r="BN923" s="734"/>
      <c r="BO923" s="734"/>
      <c r="BP923" s="734"/>
      <c r="BQ923" s="734"/>
      <c r="BR923" s="734"/>
      <c r="BS923" s="734"/>
      <c r="BT923" s="734"/>
      <c r="BU923" s="734"/>
      <c r="BV923" s="734"/>
      <c r="BW923" s="734"/>
      <c r="BX923" s="734"/>
      <c r="BY923" s="734"/>
      <c r="BZ923" s="734"/>
      <c r="CA923" s="734"/>
    </row>
    <row r="924" spans="1:79" hidden="1" outlineLevel="1" x14ac:dyDescent="0.25">
      <c r="A924" s="656"/>
      <c r="B924" s="570"/>
      <c r="C924" s="570"/>
      <c r="D924" s="570"/>
      <c r="E924" s="570" t="s">
        <v>20</v>
      </c>
      <c r="F924" s="656" t="s">
        <v>877</v>
      </c>
      <c r="G924" s="719"/>
      <c r="H924" s="719"/>
      <c r="I924" s="719"/>
      <c r="J924" s="719"/>
      <c r="K924" s="719"/>
      <c r="L924" s="720"/>
      <c r="M924" s="719"/>
      <c r="N924" s="719"/>
      <c r="O924" s="719"/>
      <c r="P924" s="716"/>
      <c r="Q924" s="716"/>
      <c r="R924" s="716"/>
      <c r="S924" s="667">
        <v>0</v>
      </c>
      <c r="T924" s="667">
        <v>0</v>
      </c>
      <c r="U924" s="667">
        <v>0</v>
      </c>
      <c r="V924" s="667">
        <v>0</v>
      </c>
      <c r="W924" s="667">
        <v>0</v>
      </c>
      <c r="X924" s="667">
        <v>0</v>
      </c>
      <c r="Y924" s="667">
        <v>0</v>
      </c>
      <c r="Z924" s="667">
        <v>0</v>
      </c>
      <c r="AA924" s="667">
        <v>0</v>
      </c>
      <c r="AB924" s="667">
        <v>0</v>
      </c>
      <c r="AC924" s="686">
        <v>0</v>
      </c>
      <c r="AD924" s="686">
        <v>0</v>
      </c>
      <c r="AE924" s="667">
        <v>0</v>
      </c>
      <c r="AF924" s="719">
        <v>0</v>
      </c>
      <c r="AG924" s="686">
        <v>0</v>
      </c>
      <c r="AH924" s="716"/>
      <c r="AI924" s="716"/>
      <c r="AJ924" s="716"/>
      <c r="AK924" s="716"/>
      <c r="AL924" s="716"/>
      <c r="AM924" s="716"/>
      <c r="AN924" s="716"/>
      <c r="AO924" s="716"/>
      <c r="AP924" s="716"/>
      <c r="AQ924" s="716"/>
      <c r="AR924" s="716"/>
      <c r="AS924" s="716"/>
      <c r="AT924" s="716"/>
      <c r="AU924" s="716"/>
      <c r="AV924" s="716"/>
      <c r="AW924" s="716"/>
      <c r="AX924" s="716"/>
      <c r="AY924" s="716"/>
      <c r="AZ924" s="716"/>
      <c r="BA924" s="716"/>
      <c r="BB924" s="716"/>
      <c r="BC924" s="716"/>
      <c r="BD924" s="716"/>
      <c r="BE924" s="716"/>
      <c r="BF924" s="716"/>
      <c r="BG924" s="716"/>
      <c r="BH924" s="716"/>
      <c r="BI924" s="716"/>
      <c r="BJ924" s="716"/>
      <c r="BK924" s="716"/>
      <c r="BL924" s="716"/>
      <c r="BM924" s="716"/>
      <c r="BN924" s="716"/>
      <c r="BO924" s="716"/>
      <c r="BP924" s="716"/>
      <c r="BQ924" s="716"/>
      <c r="BR924" s="716"/>
      <c r="BS924" s="716"/>
      <c r="BT924" s="716"/>
      <c r="BU924" s="716"/>
      <c r="BV924" s="716"/>
      <c r="BW924" s="716"/>
      <c r="BX924" s="716"/>
      <c r="BY924" s="716"/>
      <c r="BZ924" s="716"/>
      <c r="CA924" s="716"/>
    </row>
    <row r="925" spans="1:79" hidden="1" outlineLevel="1" x14ac:dyDescent="0.25">
      <c r="A925" s="656"/>
      <c r="B925" s="570"/>
      <c r="C925" s="570"/>
      <c r="D925" s="570"/>
      <c r="E925" s="570" t="s">
        <v>20</v>
      </c>
      <c r="F925" s="656" t="s">
        <v>878</v>
      </c>
      <c r="G925" s="719"/>
      <c r="H925" s="719"/>
      <c r="I925" s="719"/>
      <c r="J925" s="719"/>
      <c r="K925" s="719"/>
      <c r="L925" s="720"/>
      <c r="M925" s="719"/>
      <c r="N925" s="719"/>
      <c r="O925" s="719"/>
      <c r="P925" s="716"/>
      <c r="Q925" s="716"/>
      <c r="R925" s="716"/>
      <c r="S925" s="667">
        <v>0</v>
      </c>
      <c r="T925" s="667">
        <v>0</v>
      </c>
      <c r="U925" s="667">
        <v>0</v>
      </c>
      <c r="V925" s="667">
        <v>0</v>
      </c>
      <c r="W925" s="667">
        <v>0</v>
      </c>
      <c r="X925" s="667">
        <v>0</v>
      </c>
      <c r="Y925" s="667">
        <v>0</v>
      </c>
      <c r="Z925" s="667">
        <v>0</v>
      </c>
      <c r="AA925" s="667">
        <v>0</v>
      </c>
      <c r="AB925" s="667">
        <v>0</v>
      </c>
      <c r="AC925" s="686">
        <v>0</v>
      </c>
      <c r="AD925" s="686">
        <v>0</v>
      </c>
      <c r="AE925" s="667">
        <v>0</v>
      </c>
      <c r="AF925" s="719">
        <v>0</v>
      </c>
      <c r="AG925" s="686">
        <v>0</v>
      </c>
      <c r="AH925" s="716"/>
      <c r="AI925" s="716"/>
      <c r="AJ925" s="716"/>
      <c r="AK925" s="716"/>
      <c r="AL925" s="716"/>
      <c r="AM925" s="716"/>
      <c r="AN925" s="716"/>
      <c r="AO925" s="716"/>
      <c r="AP925" s="716"/>
      <c r="AQ925" s="716"/>
      <c r="AR925" s="716"/>
      <c r="AS925" s="716"/>
      <c r="AT925" s="716"/>
      <c r="AU925" s="716"/>
      <c r="AV925" s="716"/>
      <c r="AW925" s="716"/>
      <c r="AX925" s="716"/>
      <c r="AY925" s="716"/>
      <c r="AZ925" s="716"/>
      <c r="BA925" s="716"/>
      <c r="BB925" s="716"/>
      <c r="BC925" s="716"/>
      <c r="BD925" s="716"/>
      <c r="BE925" s="716"/>
      <c r="BF925" s="716"/>
      <c r="BG925" s="716"/>
      <c r="BH925" s="716"/>
      <c r="BI925" s="716"/>
      <c r="BJ925" s="716"/>
      <c r="BK925" s="716"/>
      <c r="BL925" s="716"/>
      <c r="BM925" s="716"/>
      <c r="BN925" s="716"/>
      <c r="BO925" s="716"/>
      <c r="BP925" s="716"/>
      <c r="BQ925" s="716"/>
      <c r="BR925" s="716"/>
      <c r="BS925" s="716"/>
      <c r="BT925" s="716"/>
      <c r="BU925" s="716"/>
      <c r="BV925" s="716"/>
      <c r="BW925" s="716"/>
      <c r="BX925" s="716"/>
      <c r="BY925" s="716"/>
      <c r="BZ925" s="716"/>
      <c r="CA925" s="716"/>
    </row>
    <row r="926" spans="1:79" hidden="1" outlineLevel="1" x14ac:dyDescent="0.25">
      <c r="A926" s="656"/>
      <c r="B926" s="570"/>
      <c r="C926" s="570"/>
      <c r="D926" s="570"/>
      <c r="E926" s="570" t="s">
        <v>1334</v>
      </c>
      <c r="F926" s="656" t="s">
        <v>879</v>
      </c>
      <c r="G926" s="719"/>
      <c r="H926" s="719"/>
      <c r="I926" s="719"/>
      <c r="J926" s="719"/>
      <c r="K926" s="719"/>
      <c r="L926" s="720"/>
      <c r="M926" s="719"/>
      <c r="N926" s="719"/>
      <c r="O926" s="719"/>
      <c r="P926" s="716"/>
      <c r="Q926" s="716"/>
      <c r="R926" s="716"/>
      <c r="S926" s="667">
        <v>0</v>
      </c>
      <c r="T926" s="667">
        <v>0</v>
      </c>
      <c r="U926" s="667">
        <v>0</v>
      </c>
      <c r="V926" s="667">
        <v>0</v>
      </c>
      <c r="W926" s="667">
        <v>0</v>
      </c>
      <c r="X926" s="667">
        <v>0</v>
      </c>
      <c r="Y926" s="667">
        <v>0</v>
      </c>
      <c r="Z926" s="667">
        <v>0</v>
      </c>
      <c r="AA926" s="667">
        <v>0</v>
      </c>
      <c r="AB926" s="667">
        <v>0</v>
      </c>
      <c r="AC926" s="686">
        <v>0</v>
      </c>
      <c r="AD926" s="686">
        <v>0</v>
      </c>
      <c r="AE926" s="667">
        <v>0</v>
      </c>
      <c r="AF926" s="719">
        <v>0</v>
      </c>
      <c r="AG926" s="686">
        <v>0</v>
      </c>
      <c r="AH926" s="716"/>
      <c r="AI926" s="716"/>
      <c r="AJ926" s="716"/>
      <c r="AK926" s="716"/>
      <c r="AL926" s="716"/>
      <c r="AM926" s="716"/>
      <c r="AN926" s="716"/>
      <c r="AO926" s="716"/>
      <c r="AP926" s="716"/>
      <c r="AQ926" s="716"/>
      <c r="AR926" s="716"/>
      <c r="AS926" s="716"/>
      <c r="AT926" s="716"/>
      <c r="AU926" s="716"/>
      <c r="AV926" s="716"/>
      <c r="AW926" s="716"/>
      <c r="AX926" s="716"/>
      <c r="AY926" s="716"/>
      <c r="AZ926" s="716"/>
      <c r="BA926" s="716"/>
      <c r="BB926" s="716"/>
      <c r="BC926" s="716"/>
      <c r="BD926" s="716"/>
      <c r="BE926" s="716"/>
      <c r="BF926" s="716"/>
      <c r="BG926" s="716"/>
      <c r="BH926" s="716"/>
      <c r="BI926" s="716"/>
      <c r="BJ926" s="716"/>
      <c r="BK926" s="716"/>
      <c r="BL926" s="716"/>
      <c r="BM926" s="716"/>
      <c r="BN926" s="716"/>
      <c r="BO926" s="716"/>
      <c r="BP926" s="716"/>
      <c r="BQ926" s="716"/>
      <c r="BR926" s="716"/>
      <c r="BS926" s="716"/>
      <c r="BT926" s="716"/>
      <c r="BU926" s="716"/>
      <c r="BV926" s="716"/>
      <c r="BW926" s="716"/>
      <c r="BX926" s="716"/>
      <c r="BY926" s="716"/>
      <c r="BZ926" s="716"/>
      <c r="CA926" s="716"/>
    </row>
    <row r="927" spans="1:79" hidden="1" outlineLevel="1" x14ac:dyDescent="0.25">
      <c r="A927" s="656"/>
      <c r="B927" s="570"/>
      <c r="C927" s="570"/>
      <c r="D927" s="570"/>
      <c r="E927" s="570" t="s">
        <v>1334</v>
      </c>
      <c r="F927" s="656" t="s">
        <v>660</v>
      </c>
      <c r="G927" s="719"/>
      <c r="H927" s="719"/>
      <c r="I927" s="719"/>
      <c r="J927" s="719"/>
      <c r="K927" s="719"/>
      <c r="L927" s="720"/>
      <c r="M927" s="719"/>
      <c r="N927" s="719"/>
      <c r="O927" s="719"/>
      <c r="P927" s="716"/>
      <c r="Q927" s="716"/>
      <c r="R927" s="716"/>
      <c r="S927" s="667">
        <v>0</v>
      </c>
      <c r="T927" s="667">
        <v>0</v>
      </c>
      <c r="U927" s="667">
        <v>0</v>
      </c>
      <c r="V927" s="667">
        <v>0</v>
      </c>
      <c r="W927" s="667">
        <v>0</v>
      </c>
      <c r="X927" s="667">
        <v>0</v>
      </c>
      <c r="Y927" s="667">
        <v>0</v>
      </c>
      <c r="Z927" s="667">
        <v>0</v>
      </c>
      <c r="AA927" s="667">
        <v>0</v>
      </c>
      <c r="AB927" s="667">
        <v>0</v>
      </c>
      <c r="AC927" s="686">
        <v>0</v>
      </c>
      <c r="AD927" s="686">
        <v>0</v>
      </c>
      <c r="AE927" s="667">
        <v>0</v>
      </c>
      <c r="AF927" s="719">
        <v>0</v>
      </c>
      <c r="AG927" s="686">
        <v>0</v>
      </c>
      <c r="AH927" s="716"/>
      <c r="AI927" s="716"/>
      <c r="AJ927" s="716"/>
      <c r="AK927" s="716"/>
      <c r="AL927" s="716"/>
      <c r="AM927" s="716"/>
      <c r="AN927" s="716"/>
      <c r="AO927" s="716"/>
      <c r="AP927" s="716"/>
      <c r="AQ927" s="716"/>
      <c r="AR927" s="716"/>
      <c r="AS927" s="716"/>
      <c r="AT927" s="716"/>
      <c r="AU927" s="716"/>
      <c r="AV927" s="716"/>
      <c r="AW927" s="716"/>
      <c r="AX927" s="716"/>
      <c r="AY927" s="716"/>
      <c r="AZ927" s="716"/>
      <c r="BA927" s="716"/>
      <c r="BB927" s="716"/>
      <c r="BC927" s="716"/>
      <c r="BD927" s="716"/>
      <c r="BE927" s="716"/>
      <c r="BF927" s="716"/>
      <c r="BG927" s="716"/>
      <c r="BH927" s="716"/>
      <c r="BI927" s="716"/>
      <c r="BJ927" s="716"/>
      <c r="BK927" s="716"/>
      <c r="BL927" s="716"/>
      <c r="BM927" s="716"/>
      <c r="BN927" s="716"/>
      <c r="BO927" s="716"/>
      <c r="BP927" s="716"/>
      <c r="BQ927" s="716"/>
      <c r="BR927" s="716"/>
      <c r="BS927" s="716"/>
      <c r="BT927" s="716"/>
      <c r="BU927" s="716"/>
      <c r="BV927" s="716"/>
      <c r="BW927" s="716"/>
      <c r="BX927" s="716"/>
      <c r="BY927" s="716"/>
      <c r="BZ927" s="716"/>
      <c r="CA927" s="716"/>
    </row>
    <row r="928" spans="1:79" hidden="1" outlineLevel="1" x14ac:dyDescent="0.25">
      <c r="A928" s="656"/>
      <c r="B928" s="570"/>
      <c r="C928" s="570"/>
      <c r="D928" s="570"/>
      <c r="E928" s="570" t="s">
        <v>20</v>
      </c>
      <c r="F928" s="656" t="s">
        <v>661</v>
      </c>
      <c r="G928" s="719"/>
      <c r="H928" s="719"/>
      <c r="I928" s="719"/>
      <c r="J928" s="719"/>
      <c r="K928" s="719"/>
      <c r="L928" s="720"/>
      <c r="M928" s="719"/>
      <c r="N928" s="719"/>
      <c r="O928" s="719"/>
      <c r="P928" s="716"/>
      <c r="Q928" s="716"/>
      <c r="R928" s="716"/>
      <c r="S928" s="667">
        <v>0</v>
      </c>
      <c r="T928" s="667">
        <v>0</v>
      </c>
      <c r="U928" s="667">
        <v>0</v>
      </c>
      <c r="V928" s="667">
        <v>0</v>
      </c>
      <c r="W928" s="667">
        <v>0</v>
      </c>
      <c r="X928" s="667">
        <v>0</v>
      </c>
      <c r="Y928" s="667">
        <v>0</v>
      </c>
      <c r="Z928" s="667">
        <v>0</v>
      </c>
      <c r="AA928" s="667">
        <v>0</v>
      </c>
      <c r="AB928" s="667">
        <v>0</v>
      </c>
      <c r="AC928" s="686">
        <v>0</v>
      </c>
      <c r="AD928" s="686">
        <v>0</v>
      </c>
      <c r="AE928" s="667">
        <v>0</v>
      </c>
      <c r="AF928" s="719">
        <v>0</v>
      </c>
      <c r="AG928" s="686">
        <v>0</v>
      </c>
      <c r="AH928" s="716"/>
      <c r="AI928" s="716"/>
      <c r="AJ928" s="716"/>
      <c r="AK928" s="716"/>
      <c r="AL928" s="716"/>
      <c r="AM928" s="716"/>
      <c r="AN928" s="716"/>
      <c r="AO928" s="716"/>
      <c r="AP928" s="716"/>
      <c r="AQ928" s="716"/>
      <c r="AR928" s="716"/>
      <c r="AS928" s="716"/>
      <c r="AT928" s="716"/>
      <c r="AU928" s="716"/>
      <c r="AV928" s="716"/>
      <c r="AW928" s="716"/>
      <c r="AX928" s="716"/>
      <c r="AY928" s="716"/>
      <c r="AZ928" s="716"/>
      <c r="BA928" s="716"/>
      <c r="BB928" s="716"/>
      <c r="BC928" s="716"/>
      <c r="BD928" s="716"/>
      <c r="BE928" s="716"/>
      <c r="BF928" s="716"/>
      <c r="BG928" s="716"/>
      <c r="BH928" s="716"/>
      <c r="BI928" s="716"/>
      <c r="BJ928" s="716"/>
      <c r="BK928" s="716"/>
      <c r="BL928" s="716"/>
      <c r="BM928" s="716"/>
      <c r="BN928" s="716"/>
      <c r="BO928" s="716"/>
      <c r="BP928" s="716"/>
      <c r="BQ928" s="716"/>
      <c r="BR928" s="716"/>
      <c r="BS928" s="716"/>
      <c r="BT928" s="716"/>
      <c r="BU928" s="716"/>
      <c r="BV928" s="716"/>
      <c r="BW928" s="716"/>
      <c r="BX928" s="716"/>
      <c r="BY928" s="716"/>
      <c r="BZ928" s="716"/>
      <c r="CA928" s="716"/>
    </row>
    <row r="929" spans="1:79" hidden="1" outlineLevel="1" x14ac:dyDescent="0.25">
      <c r="A929" s="656"/>
      <c r="B929" s="570"/>
      <c r="C929" s="570"/>
      <c r="D929" s="570"/>
      <c r="E929" s="570" t="s">
        <v>1334</v>
      </c>
      <c r="F929" s="656" t="s">
        <v>880</v>
      </c>
      <c r="G929" s="719"/>
      <c r="H929" s="719"/>
      <c r="I929" s="719"/>
      <c r="J929" s="719"/>
      <c r="K929" s="719"/>
      <c r="L929" s="720"/>
      <c r="M929" s="719"/>
      <c r="N929" s="719"/>
      <c r="O929" s="719"/>
      <c r="P929" s="716"/>
      <c r="Q929" s="716"/>
      <c r="R929" s="716"/>
      <c r="S929" s="667">
        <v>0</v>
      </c>
      <c r="T929" s="667">
        <v>0</v>
      </c>
      <c r="U929" s="667">
        <v>0</v>
      </c>
      <c r="V929" s="667">
        <v>0</v>
      </c>
      <c r="W929" s="667">
        <v>0</v>
      </c>
      <c r="X929" s="667">
        <v>0</v>
      </c>
      <c r="Y929" s="667">
        <v>0</v>
      </c>
      <c r="Z929" s="667">
        <v>0</v>
      </c>
      <c r="AA929" s="667">
        <v>0</v>
      </c>
      <c r="AB929" s="667">
        <v>0</v>
      </c>
      <c r="AC929" s="686">
        <v>0</v>
      </c>
      <c r="AD929" s="686">
        <v>0</v>
      </c>
      <c r="AE929" s="667">
        <v>0</v>
      </c>
      <c r="AF929" s="719">
        <v>0</v>
      </c>
      <c r="AG929" s="686">
        <v>0</v>
      </c>
      <c r="AH929" s="716"/>
      <c r="AI929" s="716"/>
      <c r="AJ929" s="716"/>
      <c r="AK929" s="716"/>
      <c r="AL929" s="716"/>
      <c r="AM929" s="716"/>
      <c r="AN929" s="716"/>
      <c r="AO929" s="716"/>
      <c r="AP929" s="716"/>
      <c r="AQ929" s="716"/>
      <c r="AR929" s="716"/>
      <c r="AS929" s="716"/>
      <c r="AT929" s="716"/>
      <c r="AU929" s="716"/>
      <c r="AV929" s="716"/>
      <c r="AW929" s="716"/>
      <c r="AX929" s="716"/>
      <c r="AY929" s="716"/>
      <c r="AZ929" s="716"/>
      <c r="BA929" s="716"/>
      <c r="BB929" s="716"/>
      <c r="BC929" s="716"/>
      <c r="BD929" s="716"/>
      <c r="BE929" s="716"/>
      <c r="BF929" s="716"/>
      <c r="BG929" s="716"/>
      <c r="BH929" s="716"/>
      <c r="BI929" s="716"/>
      <c r="BJ929" s="716"/>
      <c r="BK929" s="716"/>
      <c r="BL929" s="716"/>
      <c r="BM929" s="716"/>
      <c r="BN929" s="716"/>
      <c r="BO929" s="716"/>
      <c r="BP929" s="716"/>
      <c r="BQ929" s="716"/>
      <c r="BR929" s="716"/>
      <c r="BS929" s="716"/>
      <c r="BT929" s="716"/>
      <c r="BU929" s="716"/>
      <c r="BV929" s="716"/>
      <c r="BW929" s="716"/>
      <c r="BX929" s="716"/>
      <c r="BY929" s="716"/>
      <c r="BZ929" s="716"/>
      <c r="CA929" s="716"/>
    </row>
    <row r="930" spans="1:79" hidden="1" outlineLevel="1" x14ac:dyDescent="0.25">
      <c r="A930" s="656"/>
      <c r="B930" s="570"/>
      <c r="C930" s="570"/>
      <c r="D930" s="570"/>
      <c r="E930" s="570" t="s">
        <v>1335</v>
      </c>
      <c r="F930" s="656" t="s">
        <v>662</v>
      </c>
      <c r="G930" s="719"/>
      <c r="H930" s="719"/>
      <c r="I930" s="719"/>
      <c r="J930" s="719"/>
      <c r="K930" s="719"/>
      <c r="L930" s="720"/>
      <c r="M930" s="719"/>
      <c r="N930" s="719"/>
      <c r="O930" s="719"/>
      <c r="P930" s="716"/>
      <c r="Q930" s="716"/>
      <c r="R930" s="716"/>
      <c r="S930" s="667">
        <v>0</v>
      </c>
      <c r="T930" s="667">
        <v>0</v>
      </c>
      <c r="U930" s="667">
        <v>0</v>
      </c>
      <c r="V930" s="667">
        <v>0</v>
      </c>
      <c r="W930" s="667">
        <v>0</v>
      </c>
      <c r="X930" s="667">
        <v>0</v>
      </c>
      <c r="Y930" s="667">
        <v>0</v>
      </c>
      <c r="Z930" s="667">
        <v>0</v>
      </c>
      <c r="AA930" s="667">
        <v>0</v>
      </c>
      <c r="AB930" s="667">
        <v>0</v>
      </c>
      <c r="AC930" s="686">
        <v>0</v>
      </c>
      <c r="AD930" s="686">
        <v>0</v>
      </c>
      <c r="AE930" s="667">
        <v>0</v>
      </c>
      <c r="AF930" s="719">
        <v>0</v>
      </c>
      <c r="AG930" s="686">
        <v>0</v>
      </c>
      <c r="AH930" s="716"/>
      <c r="AI930" s="716"/>
      <c r="AJ930" s="716"/>
      <c r="AK930" s="716"/>
      <c r="AL930" s="716"/>
      <c r="AM930" s="716"/>
      <c r="AN930" s="716"/>
      <c r="AO930" s="716"/>
      <c r="AP930" s="716"/>
      <c r="AQ930" s="716"/>
      <c r="AR930" s="716"/>
      <c r="AS930" s="716"/>
      <c r="AT930" s="716"/>
      <c r="AU930" s="716"/>
      <c r="AV930" s="716"/>
      <c r="AW930" s="716"/>
      <c r="AX930" s="716"/>
      <c r="AY930" s="716"/>
      <c r="AZ930" s="716"/>
      <c r="BA930" s="716"/>
      <c r="BB930" s="716"/>
      <c r="BC930" s="716"/>
      <c r="BD930" s="716"/>
      <c r="BE930" s="716"/>
      <c r="BF930" s="716"/>
      <c r="BG930" s="716"/>
      <c r="BH930" s="716"/>
      <c r="BI930" s="716"/>
      <c r="BJ930" s="716"/>
      <c r="BK930" s="716"/>
      <c r="BL930" s="716"/>
      <c r="BM930" s="716"/>
      <c r="BN930" s="716"/>
      <c r="BO930" s="716"/>
      <c r="BP930" s="716"/>
      <c r="BQ930" s="716"/>
      <c r="BR930" s="716"/>
      <c r="BS930" s="716"/>
      <c r="BT930" s="716"/>
      <c r="BU930" s="716"/>
      <c r="BV930" s="716"/>
      <c r="BW930" s="716"/>
      <c r="BX930" s="716"/>
      <c r="BY930" s="716"/>
      <c r="BZ930" s="716"/>
      <c r="CA930" s="716"/>
    </row>
    <row r="931" spans="1:79" hidden="1" outlineLevel="1" x14ac:dyDescent="0.25">
      <c r="A931" s="660"/>
      <c r="B931" s="570"/>
      <c r="C931" s="570"/>
      <c r="D931" s="570"/>
      <c r="E931" s="570" t="s">
        <v>1334</v>
      </c>
      <c r="F931" s="660" t="s">
        <v>663</v>
      </c>
      <c r="G931" s="719"/>
      <c r="H931" s="719"/>
      <c r="I931" s="719"/>
      <c r="J931" s="719"/>
      <c r="K931" s="719"/>
      <c r="L931" s="720"/>
      <c r="M931" s="719"/>
      <c r="N931" s="719"/>
      <c r="O931" s="719"/>
      <c r="P931" s="716"/>
      <c r="Q931" s="716"/>
      <c r="R931" s="716"/>
      <c r="S931" s="667">
        <v>0</v>
      </c>
      <c r="T931" s="667">
        <v>0</v>
      </c>
      <c r="U931" s="667">
        <v>0</v>
      </c>
      <c r="V931" s="667">
        <v>0</v>
      </c>
      <c r="W931" s="667">
        <v>0</v>
      </c>
      <c r="X931" s="667">
        <v>0</v>
      </c>
      <c r="Y931" s="667">
        <v>0</v>
      </c>
      <c r="Z931" s="667">
        <v>0</v>
      </c>
      <c r="AA931" s="667">
        <v>0</v>
      </c>
      <c r="AB931" s="667">
        <v>0</v>
      </c>
      <c r="AC931" s="686">
        <v>0</v>
      </c>
      <c r="AD931" s="686">
        <v>0</v>
      </c>
      <c r="AE931" s="667">
        <v>0</v>
      </c>
      <c r="AF931" s="716">
        <v>0</v>
      </c>
      <c r="AG931" s="686">
        <v>0</v>
      </c>
      <c r="AH931" s="716"/>
      <c r="AI931" s="716"/>
      <c r="AJ931" s="716"/>
      <c r="AK931" s="716"/>
      <c r="AL931" s="716"/>
      <c r="AM931" s="716"/>
      <c r="AN931" s="716"/>
      <c r="AO931" s="716"/>
      <c r="AP931" s="716"/>
      <c r="AQ931" s="716"/>
      <c r="AR931" s="716"/>
      <c r="AS931" s="716"/>
      <c r="AT931" s="716"/>
      <c r="AU931" s="716"/>
      <c r="AV931" s="716"/>
      <c r="AW931" s="716"/>
      <c r="AX931" s="716"/>
      <c r="AY931" s="716"/>
      <c r="AZ931" s="716"/>
      <c r="BA931" s="716"/>
      <c r="BB931" s="716"/>
      <c r="BC931" s="716"/>
      <c r="BD931" s="716"/>
      <c r="BE931" s="716"/>
      <c r="BF931" s="716"/>
      <c r="BG931" s="716"/>
      <c r="BH931" s="716"/>
      <c r="BI931" s="716"/>
      <c r="BJ931" s="716"/>
      <c r="BK931" s="716"/>
      <c r="BL931" s="716"/>
      <c r="BM931" s="716"/>
      <c r="BN931" s="716"/>
      <c r="BO931" s="716"/>
      <c r="BP931" s="716"/>
      <c r="BQ931" s="716"/>
      <c r="BR931" s="716"/>
      <c r="BS931" s="716"/>
      <c r="BT931" s="716"/>
      <c r="BU931" s="716"/>
      <c r="BV931" s="716"/>
      <c r="BW931" s="716"/>
      <c r="BX931" s="716"/>
      <c r="BY931" s="716"/>
      <c r="BZ931" s="716"/>
      <c r="CA931" s="716"/>
    </row>
    <row r="932" spans="1:79" hidden="1" outlineLevel="1" x14ac:dyDescent="0.25">
      <c r="A932" s="656"/>
      <c r="B932" s="570"/>
      <c r="C932" s="570"/>
      <c r="D932" s="570"/>
      <c r="E932" s="570" t="s">
        <v>657</v>
      </c>
      <c r="F932" s="656" t="s">
        <v>881</v>
      </c>
      <c r="G932" s="719"/>
      <c r="H932" s="719"/>
      <c r="I932" s="719"/>
      <c r="J932" s="719"/>
      <c r="K932" s="719"/>
      <c r="L932" s="720"/>
      <c r="M932" s="719"/>
      <c r="N932" s="719"/>
      <c r="O932" s="719"/>
      <c r="P932" s="716"/>
      <c r="Q932" s="716"/>
      <c r="R932" s="716"/>
      <c r="S932" s="667">
        <v>0</v>
      </c>
      <c r="T932" s="667">
        <v>0</v>
      </c>
      <c r="U932" s="667">
        <v>0</v>
      </c>
      <c r="V932" s="667">
        <v>0</v>
      </c>
      <c r="W932" s="667">
        <v>0</v>
      </c>
      <c r="X932" s="667">
        <v>0</v>
      </c>
      <c r="Y932" s="667">
        <v>0</v>
      </c>
      <c r="Z932" s="667">
        <v>0</v>
      </c>
      <c r="AA932" s="667">
        <v>0</v>
      </c>
      <c r="AB932" s="667">
        <v>0</v>
      </c>
      <c r="AC932" s="686">
        <v>0</v>
      </c>
      <c r="AD932" s="686">
        <v>0</v>
      </c>
      <c r="AE932" s="667">
        <v>0</v>
      </c>
      <c r="AF932" s="719">
        <v>0</v>
      </c>
      <c r="AG932" s="686">
        <v>0</v>
      </c>
      <c r="AH932" s="716"/>
      <c r="AI932" s="716"/>
      <c r="AJ932" s="716"/>
      <c r="AK932" s="716"/>
      <c r="AL932" s="716"/>
      <c r="AM932" s="716"/>
      <c r="AN932" s="716"/>
      <c r="AO932" s="716"/>
      <c r="AP932" s="716"/>
      <c r="AQ932" s="716"/>
      <c r="AR932" s="716"/>
      <c r="AS932" s="716"/>
      <c r="AT932" s="716"/>
      <c r="AU932" s="716"/>
      <c r="AV932" s="716"/>
      <c r="AW932" s="716"/>
      <c r="AX932" s="716"/>
      <c r="AY932" s="716"/>
      <c r="AZ932" s="716"/>
      <c r="BA932" s="716"/>
      <c r="BB932" s="716"/>
      <c r="BC932" s="716"/>
      <c r="BD932" s="716"/>
      <c r="BE932" s="716"/>
      <c r="BF932" s="716"/>
      <c r="BG932" s="716"/>
      <c r="BH932" s="716"/>
      <c r="BI932" s="716"/>
      <c r="BJ932" s="716"/>
      <c r="BK932" s="716"/>
      <c r="BL932" s="716"/>
      <c r="BM932" s="716"/>
      <c r="BN932" s="716"/>
      <c r="BO932" s="716"/>
      <c r="BP932" s="716"/>
      <c r="BQ932" s="716"/>
      <c r="BR932" s="716"/>
      <c r="BS932" s="716"/>
      <c r="BT932" s="716"/>
      <c r="BU932" s="716"/>
      <c r="BV932" s="716"/>
      <c r="BW932" s="716"/>
      <c r="BX932" s="716"/>
      <c r="BY932" s="716"/>
      <c r="BZ932" s="716"/>
      <c r="CA932" s="716"/>
    </row>
    <row r="933" spans="1:79" hidden="1" outlineLevel="1" x14ac:dyDescent="0.25">
      <c r="A933" s="657"/>
      <c r="B933" s="570"/>
      <c r="C933" s="570"/>
      <c r="D933" s="570"/>
      <c r="E933" s="570" t="s">
        <v>49</v>
      </c>
      <c r="F933" s="657" t="s">
        <v>664</v>
      </c>
      <c r="G933" s="664">
        <f>SUM(G924:G932)</f>
        <v>0</v>
      </c>
      <c r="H933" s="664">
        <f t="shared" ref="H933:BO933" si="390">SUM(H924:H932)</f>
        <v>0</v>
      </c>
      <c r="I933" s="664">
        <f t="shared" si="390"/>
        <v>0</v>
      </c>
      <c r="J933" s="664">
        <f t="shared" si="390"/>
        <v>0</v>
      </c>
      <c r="K933" s="664">
        <f t="shared" si="390"/>
        <v>0</v>
      </c>
      <c r="L933" s="664">
        <f t="shared" si="390"/>
        <v>0</v>
      </c>
      <c r="M933" s="664">
        <f t="shared" si="390"/>
        <v>0</v>
      </c>
      <c r="N933" s="664">
        <f t="shared" si="390"/>
        <v>0</v>
      </c>
      <c r="O933" s="664">
        <f t="shared" si="390"/>
        <v>0</v>
      </c>
      <c r="P933" s="664">
        <f t="shared" si="390"/>
        <v>0</v>
      </c>
      <c r="Q933" s="664">
        <f t="shared" si="390"/>
        <v>0</v>
      </c>
      <c r="R933" s="664">
        <f t="shared" si="390"/>
        <v>0</v>
      </c>
      <c r="S933" s="678">
        <f t="shared" ref="S933:AA933" si="391">ROUND(SUM(S923:S932),5)</f>
        <v>0</v>
      </c>
      <c r="T933" s="678">
        <f t="shared" si="391"/>
        <v>0</v>
      </c>
      <c r="U933" s="678">
        <f t="shared" si="391"/>
        <v>0</v>
      </c>
      <c r="V933" s="678">
        <f t="shared" si="391"/>
        <v>0</v>
      </c>
      <c r="W933" s="678">
        <f t="shared" si="391"/>
        <v>0</v>
      </c>
      <c r="X933" s="678">
        <f t="shared" si="391"/>
        <v>0</v>
      </c>
      <c r="Y933" s="678">
        <f t="shared" si="391"/>
        <v>0</v>
      </c>
      <c r="Z933" s="678">
        <f t="shared" si="391"/>
        <v>0</v>
      </c>
      <c r="AA933" s="678">
        <f t="shared" si="391"/>
        <v>0</v>
      </c>
      <c r="AB933" s="678">
        <f t="shared" ref="AB933:AG933" si="392">ROUND(SUM(AB923:AB932),5)</f>
        <v>0</v>
      </c>
      <c r="AC933" s="678">
        <f t="shared" si="392"/>
        <v>0</v>
      </c>
      <c r="AD933" s="678">
        <f t="shared" si="392"/>
        <v>0</v>
      </c>
      <c r="AE933" s="678">
        <f t="shared" si="392"/>
        <v>0</v>
      </c>
      <c r="AF933" s="664">
        <f t="shared" si="392"/>
        <v>0</v>
      </c>
      <c r="AG933" s="678">
        <f t="shared" si="392"/>
        <v>0</v>
      </c>
      <c r="AH933" s="664">
        <f t="shared" si="390"/>
        <v>0</v>
      </c>
      <c r="AI933" s="664">
        <f t="shared" si="390"/>
        <v>0</v>
      </c>
      <c r="AJ933" s="664">
        <f t="shared" si="390"/>
        <v>0</v>
      </c>
      <c r="AK933" s="664">
        <f t="shared" si="390"/>
        <v>0</v>
      </c>
      <c r="AL933" s="664">
        <f t="shared" si="390"/>
        <v>0</v>
      </c>
      <c r="AM933" s="664">
        <f t="shared" si="390"/>
        <v>0</v>
      </c>
      <c r="AN933" s="664">
        <f t="shared" si="390"/>
        <v>0</v>
      </c>
      <c r="AO933" s="664">
        <f t="shared" si="390"/>
        <v>0</v>
      </c>
      <c r="AP933" s="664">
        <f t="shared" si="390"/>
        <v>0</v>
      </c>
      <c r="AQ933" s="664">
        <f t="shared" si="390"/>
        <v>0</v>
      </c>
      <c r="AR933" s="664">
        <f t="shared" si="390"/>
        <v>0</v>
      </c>
      <c r="AS933" s="664">
        <f t="shared" si="390"/>
        <v>0</v>
      </c>
      <c r="AT933" s="664">
        <f t="shared" si="390"/>
        <v>0</v>
      </c>
      <c r="AU933" s="664">
        <f t="shared" si="390"/>
        <v>0</v>
      </c>
      <c r="AV933" s="664">
        <f t="shared" si="390"/>
        <v>0</v>
      </c>
      <c r="AW933" s="664">
        <f t="shared" si="390"/>
        <v>0</v>
      </c>
      <c r="AX933" s="664">
        <f t="shared" si="390"/>
        <v>0</v>
      </c>
      <c r="AY933" s="664">
        <f t="shared" si="390"/>
        <v>0</v>
      </c>
      <c r="AZ933" s="664">
        <f t="shared" si="390"/>
        <v>0</v>
      </c>
      <c r="BA933" s="664">
        <f t="shared" si="390"/>
        <v>0</v>
      </c>
      <c r="BB933" s="664">
        <f t="shared" si="390"/>
        <v>0</v>
      </c>
      <c r="BC933" s="664">
        <f t="shared" si="390"/>
        <v>0</v>
      </c>
      <c r="BD933" s="664">
        <f t="shared" si="390"/>
        <v>0</v>
      </c>
      <c r="BE933" s="664">
        <f t="shared" si="390"/>
        <v>0</v>
      </c>
      <c r="BF933" s="664">
        <f t="shared" si="390"/>
        <v>0</v>
      </c>
      <c r="BG933" s="664">
        <f t="shared" si="390"/>
        <v>0</v>
      </c>
      <c r="BH933" s="664">
        <f t="shared" si="390"/>
        <v>0</v>
      </c>
      <c r="BI933" s="664">
        <f t="shared" si="390"/>
        <v>0</v>
      </c>
      <c r="BJ933" s="664">
        <f t="shared" si="390"/>
        <v>0</v>
      </c>
      <c r="BK933" s="664">
        <f t="shared" si="390"/>
        <v>0</v>
      </c>
      <c r="BL933" s="664">
        <f t="shared" si="390"/>
        <v>0</v>
      </c>
      <c r="BM933" s="664">
        <f t="shared" si="390"/>
        <v>0</v>
      </c>
      <c r="BN933" s="664">
        <f t="shared" si="390"/>
        <v>0</v>
      </c>
      <c r="BO933" s="664">
        <f t="shared" si="390"/>
        <v>0</v>
      </c>
      <c r="BP933" s="664">
        <f t="shared" ref="BP933:CA933" si="393">SUM(BP924:BP932)</f>
        <v>0</v>
      </c>
      <c r="BQ933" s="664">
        <f t="shared" si="393"/>
        <v>0</v>
      </c>
      <c r="BR933" s="664">
        <f t="shared" si="393"/>
        <v>0</v>
      </c>
      <c r="BS933" s="664">
        <f t="shared" si="393"/>
        <v>0</v>
      </c>
      <c r="BT933" s="664">
        <f t="shared" si="393"/>
        <v>0</v>
      </c>
      <c r="BU933" s="664">
        <f t="shared" si="393"/>
        <v>0</v>
      </c>
      <c r="BV933" s="664">
        <f t="shared" si="393"/>
        <v>0</v>
      </c>
      <c r="BW933" s="664">
        <f t="shared" si="393"/>
        <v>0</v>
      </c>
      <c r="BX933" s="664">
        <f t="shared" si="393"/>
        <v>0</v>
      </c>
      <c r="BY933" s="664">
        <f t="shared" si="393"/>
        <v>0</v>
      </c>
      <c r="BZ933" s="664">
        <f t="shared" si="393"/>
        <v>0</v>
      </c>
      <c r="CA933" s="664">
        <f t="shared" si="393"/>
        <v>0</v>
      </c>
    </row>
    <row r="934" spans="1:79" hidden="1" outlineLevel="1" x14ac:dyDescent="0.25">
      <c r="A934" s="655"/>
      <c r="B934" s="570"/>
      <c r="C934" s="570"/>
      <c r="D934" s="570"/>
      <c r="E934" s="570" t="s">
        <v>1336</v>
      </c>
      <c r="F934" s="655" t="s">
        <v>665</v>
      </c>
      <c r="G934" s="719"/>
      <c r="H934" s="719"/>
      <c r="I934" s="719"/>
      <c r="J934" s="719"/>
      <c r="K934" s="719"/>
      <c r="L934" s="720"/>
      <c r="M934" s="719"/>
      <c r="N934" s="719"/>
      <c r="O934" s="719"/>
      <c r="P934" s="716"/>
      <c r="Q934" s="716"/>
      <c r="R934" s="716"/>
      <c r="S934" s="667">
        <v>0</v>
      </c>
      <c r="T934" s="667">
        <v>0</v>
      </c>
      <c r="U934" s="667">
        <v>0</v>
      </c>
      <c r="V934" s="667">
        <v>0</v>
      </c>
      <c r="W934" s="667">
        <v>0</v>
      </c>
      <c r="X934" s="667">
        <v>0</v>
      </c>
      <c r="Y934" s="667">
        <v>0</v>
      </c>
      <c r="Z934" s="667">
        <v>0</v>
      </c>
      <c r="AA934" s="667">
        <v>0</v>
      </c>
      <c r="AB934" s="667">
        <v>0</v>
      </c>
      <c r="AC934" s="686">
        <v>0</v>
      </c>
      <c r="AD934" s="686">
        <v>0</v>
      </c>
      <c r="AE934" s="667">
        <v>0</v>
      </c>
      <c r="AF934" s="719">
        <v>0</v>
      </c>
      <c r="AG934" s="686">
        <v>0</v>
      </c>
      <c r="AH934" s="716"/>
      <c r="AI934" s="716"/>
      <c r="AJ934" s="716"/>
      <c r="AK934" s="716"/>
      <c r="AL934" s="716"/>
      <c r="AM934" s="716"/>
      <c r="AN934" s="716"/>
      <c r="AO934" s="716"/>
      <c r="AP934" s="716"/>
      <c r="AQ934" s="716"/>
      <c r="AR934" s="716"/>
      <c r="AS934" s="716"/>
      <c r="AT934" s="716"/>
      <c r="AU934" s="716"/>
      <c r="AV934" s="716"/>
      <c r="AW934" s="716"/>
      <c r="AX934" s="716"/>
      <c r="AY934" s="716"/>
      <c r="AZ934" s="716"/>
      <c r="BA934" s="716"/>
      <c r="BB934" s="716"/>
      <c r="BC934" s="716"/>
      <c r="BD934" s="716"/>
      <c r="BE934" s="716"/>
      <c r="BF934" s="716"/>
      <c r="BG934" s="716"/>
      <c r="BH934" s="716"/>
      <c r="BI934" s="716"/>
      <c r="BJ934" s="716"/>
      <c r="BK934" s="716"/>
      <c r="BL934" s="716"/>
      <c r="BM934" s="716"/>
      <c r="BN934" s="716"/>
      <c r="BO934" s="716"/>
      <c r="BP934" s="716"/>
      <c r="BQ934" s="716"/>
      <c r="BR934" s="716"/>
      <c r="BS934" s="716"/>
      <c r="BT934" s="716"/>
      <c r="BU934" s="716"/>
      <c r="BV934" s="716"/>
      <c r="BW934" s="716"/>
      <c r="BX934" s="716"/>
      <c r="BY934" s="716"/>
      <c r="BZ934" s="716"/>
      <c r="CA934" s="716"/>
    </row>
    <row r="935" spans="1:79" s="693" customFormat="1" hidden="1" outlineLevel="1" x14ac:dyDescent="0.25">
      <c r="A935" s="701"/>
      <c r="E935" s="570" t="s">
        <v>1337</v>
      </c>
      <c r="F935" s="701" t="s">
        <v>593</v>
      </c>
      <c r="G935" s="733"/>
      <c r="H935" s="733"/>
      <c r="I935" s="733"/>
      <c r="J935" s="733"/>
      <c r="K935" s="733"/>
      <c r="L935" s="735"/>
      <c r="M935" s="733"/>
      <c r="N935" s="733"/>
      <c r="O935" s="733"/>
      <c r="P935" s="734"/>
      <c r="Q935" s="734"/>
      <c r="R935" s="734"/>
      <c r="S935" s="697"/>
      <c r="T935" s="697"/>
      <c r="U935" s="697"/>
      <c r="V935" s="697"/>
      <c r="W935" s="697"/>
      <c r="X935" s="697"/>
      <c r="Y935" s="697"/>
      <c r="Z935" s="697"/>
      <c r="AA935" s="697"/>
      <c r="AB935" s="697"/>
      <c r="AC935" s="705"/>
      <c r="AD935" s="705"/>
      <c r="AE935" s="697"/>
      <c r="AF935" s="733"/>
      <c r="AG935" s="705"/>
      <c r="AH935" s="734"/>
      <c r="AI935" s="734"/>
      <c r="AJ935" s="734"/>
      <c r="AK935" s="734"/>
      <c r="AL935" s="734"/>
      <c r="AM935" s="734"/>
      <c r="AN935" s="734"/>
      <c r="AO935" s="734"/>
      <c r="AP935" s="734"/>
      <c r="AQ935" s="734"/>
      <c r="AR935" s="734"/>
      <c r="AS935" s="734"/>
      <c r="AT935" s="734"/>
      <c r="AU935" s="734"/>
      <c r="AV935" s="734"/>
      <c r="AW935" s="734"/>
      <c r="AX935" s="734"/>
      <c r="AY935" s="734"/>
      <c r="AZ935" s="734"/>
      <c r="BA935" s="734"/>
      <c r="BB935" s="734"/>
      <c r="BC935" s="734"/>
      <c r="BD935" s="734"/>
      <c r="BE935" s="734"/>
      <c r="BF935" s="734"/>
      <c r="BG935" s="734"/>
      <c r="BH935" s="734"/>
      <c r="BI935" s="734"/>
      <c r="BJ935" s="734"/>
      <c r="BK935" s="734"/>
      <c r="BL935" s="734"/>
      <c r="BM935" s="734"/>
      <c r="BN935" s="734"/>
      <c r="BO935" s="734"/>
      <c r="BP935" s="734"/>
      <c r="BQ935" s="734"/>
      <c r="BR935" s="734"/>
      <c r="BS935" s="734"/>
      <c r="BT935" s="734"/>
      <c r="BU935" s="734"/>
      <c r="BV935" s="734"/>
      <c r="BW935" s="734"/>
      <c r="BX935" s="734"/>
      <c r="BY935" s="734"/>
      <c r="BZ935" s="734"/>
      <c r="CA935" s="734"/>
    </row>
    <row r="936" spans="1:79" hidden="1" outlineLevel="1" x14ac:dyDescent="0.25">
      <c r="A936" s="656"/>
      <c r="B936" s="570"/>
      <c r="C936" s="570"/>
      <c r="D936" s="570"/>
      <c r="E936" s="570" t="s">
        <v>1337</v>
      </c>
      <c r="F936" s="656" t="s">
        <v>882</v>
      </c>
      <c r="G936" s="719"/>
      <c r="H936" s="719"/>
      <c r="I936" s="719"/>
      <c r="J936" s="719"/>
      <c r="K936" s="719"/>
      <c r="L936" s="720"/>
      <c r="M936" s="719"/>
      <c r="N936" s="719"/>
      <c r="O936" s="719"/>
      <c r="P936" s="716"/>
      <c r="Q936" s="716"/>
      <c r="R936" s="716"/>
      <c r="S936" s="671">
        <v>0</v>
      </c>
      <c r="T936" s="671">
        <v>0</v>
      </c>
      <c r="U936" s="671">
        <v>0</v>
      </c>
      <c r="V936" s="671">
        <v>0</v>
      </c>
      <c r="W936" s="671">
        <v>0</v>
      </c>
      <c r="X936" s="671">
        <v>0</v>
      </c>
      <c r="Y936" s="671">
        <v>0</v>
      </c>
      <c r="Z936" s="671">
        <v>0</v>
      </c>
      <c r="AA936" s="671">
        <v>0</v>
      </c>
      <c r="AB936" s="671">
        <v>0</v>
      </c>
      <c r="AC936" s="687">
        <v>0</v>
      </c>
      <c r="AD936" s="687">
        <v>0</v>
      </c>
      <c r="AE936" s="671">
        <v>0</v>
      </c>
      <c r="AF936" s="719">
        <v>0</v>
      </c>
      <c r="AG936" s="687">
        <v>0</v>
      </c>
      <c r="AH936" s="716"/>
      <c r="AI936" s="716"/>
      <c r="AJ936" s="716"/>
      <c r="AK936" s="716"/>
      <c r="AL936" s="716"/>
      <c r="AM936" s="716"/>
      <c r="AN936" s="716"/>
      <c r="AO936" s="716"/>
      <c r="AP936" s="716"/>
      <c r="AQ936" s="716"/>
      <c r="AR936" s="716"/>
      <c r="AS936" s="716"/>
      <c r="AT936" s="716"/>
      <c r="AU936" s="716"/>
      <c r="AV936" s="716"/>
      <c r="AW936" s="716"/>
      <c r="AX936" s="716"/>
      <c r="AY936" s="716"/>
      <c r="AZ936" s="716"/>
      <c r="BA936" s="716"/>
      <c r="BB936" s="716"/>
      <c r="BC936" s="716"/>
      <c r="BD936" s="716"/>
      <c r="BE936" s="716"/>
      <c r="BF936" s="716"/>
      <c r="BG936" s="716"/>
      <c r="BH936" s="716"/>
      <c r="BI936" s="716"/>
      <c r="BJ936" s="716"/>
      <c r="BK936" s="716"/>
      <c r="BL936" s="716"/>
      <c r="BM936" s="716"/>
      <c r="BN936" s="716"/>
      <c r="BO936" s="716"/>
      <c r="BP936" s="716"/>
      <c r="BQ936" s="716"/>
      <c r="BR936" s="716"/>
      <c r="BS936" s="716"/>
      <c r="BT936" s="716"/>
      <c r="BU936" s="716"/>
      <c r="BV936" s="716"/>
      <c r="BW936" s="716"/>
      <c r="BX936" s="716"/>
      <c r="BY936" s="716"/>
      <c r="BZ936" s="716"/>
      <c r="CA936" s="716"/>
    </row>
    <row r="937" spans="1:79" hidden="1" outlineLevel="1" x14ac:dyDescent="0.25">
      <c r="A937" s="656"/>
      <c r="B937" s="570"/>
      <c r="C937" s="570"/>
      <c r="D937" s="570"/>
      <c r="E937" s="570" t="s">
        <v>941</v>
      </c>
      <c r="F937" s="656" t="s">
        <v>883</v>
      </c>
      <c r="G937" s="719"/>
      <c r="H937" s="719"/>
      <c r="I937" s="719"/>
      <c r="J937" s="719"/>
      <c r="K937" s="719"/>
      <c r="L937" s="720"/>
      <c r="M937" s="719"/>
      <c r="N937" s="719"/>
      <c r="O937" s="719"/>
      <c r="P937" s="716"/>
      <c r="Q937" s="716"/>
      <c r="R937" s="716"/>
      <c r="S937" s="671">
        <v>0</v>
      </c>
      <c r="T937" s="671">
        <v>0</v>
      </c>
      <c r="U937" s="671">
        <v>0</v>
      </c>
      <c r="V937" s="671">
        <v>0</v>
      </c>
      <c r="W937" s="671">
        <v>0</v>
      </c>
      <c r="X937" s="671">
        <v>0</v>
      </c>
      <c r="Y937" s="671">
        <v>0</v>
      </c>
      <c r="Z937" s="671">
        <v>0</v>
      </c>
      <c r="AA937" s="671">
        <v>0</v>
      </c>
      <c r="AB937" s="671">
        <v>0</v>
      </c>
      <c r="AC937" s="687">
        <v>0</v>
      </c>
      <c r="AD937" s="687">
        <v>0</v>
      </c>
      <c r="AE937" s="671">
        <v>0</v>
      </c>
      <c r="AF937" s="719">
        <v>0</v>
      </c>
      <c r="AG937" s="687">
        <v>0</v>
      </c>
      <c r="AH937" s="716"/>
      <c r="AI937" s="716"/>
      <c r="AJ937" s="716"/>
      <c r="AK937" s="716"/>
      <c r="AL937" s="716"/>
      <c r="AM937" s="716"/>
      <c r="AN937" s="716"/>
      <c r="AO937" s="716"/>
      <c r="AP937" s="716"/>
      <c r="AQ937" s="716"/>
      <c r="AR937" s="716"/>
      <c r="AS937" s="716"/>
      <c r="AT937" s="716"/>
      <c r="AU937" s="716"/>
      <c r="AV937" s="716"/>
      <c r="AW937" s="716"/>
      <c r="AX937" s="716"/>
      <c r="AY937" s="716"/>
      <c r="AZ937" s="716"/>
      <c r="BA937" s="716"/>
      <c r="BB937" s="716"/>
      <c r="BC937" s="716"/>
      <c r="BD937" s="716"/>
      <c r="BE937" s="716"/>
      <c r="BF937" s="716"/>
      <c r="BG937" s="716"/>
      <c r="BH937" s="716"/>
      <c r="BI937" s="716"/>
      <c r="BJ937" s="716"/>
      <c r="BK937" s="716"/>
      <c r="BL937" s="716"/>
      <c r="BM937" s="716"/>
      <c r="BN937" s="716"/>
      <c r="BO937" s="716"/>
      <c r="BP937" s="716"/>
      <c r="BQ937" s="716"/>
      <c r="BR937" s="716"/>
      <c r="BS937" s="716"/>
      <c r="BT937" s="716"/>
      <c r="BU937" s="716"/>
      <c r="BV937" s="716"/>
      <c r="BW937" s="716"/>
      <c r="BX937" s="716"/>
      <c r="BY937" s="716"/>
      <c r="BZ937" s="716"/>
      <c r="CA937" s="716"/>
    </row>
    <row r="938" spans="1:79" hidden="1" outlineLevel="1" x14ac:dyDescent="0.25">
      <c r="A938" s="656"/>
      <c r="B938" s="570"/>
      <c r="C938" s="570"/>
      <c r="D938" s="570"/>
      <c r="E938" s="570" t="s">
        <v>11</v>
      </c>
      <c r="F938" s="656" t="s">
        <v>884</v>
      </c>
      <c r="G938" s="719"/>
      <c r="H938" s="719"/>
      <c r="I938" s="719"/>
      <c r="J938" s="719"/>
      <c r="K938" s="719"/>
      <c r="L938" s="720"/>
      <c r="M938" s="719"/>
      <c r="N938" s="719"/>
      <c r="O938" s="719"/>
      <c r="P938" s="716"/>
      <c r="Q938" s="716"/>
      <c r="R938" s="716"/>
      <c r="S938" s="671">
        <v>0</v>
      </c>
      <c r="T938" s="671">
        <v>0</v>
      </c>
      <c r="U938" s="671">
        <v>0</v>
      </c>
      <c r="V938" s="671">
        <v>0</v>
      </c>
      <c r="W938" s="671">
        <v>0</v>
      </c>
      <c r="X938" s="671">
        <v>0</v>
      </c>
      <c r="Y938" s="671">
        <v>0</v>
      </c>
      <c r="Z938" s="671">
        <v>0</v>
      </c>
      <c r="AA938" s="671">
        <v>0</v>
      </c>
      <c r="AB938" s="671">
        <v>0</v>
      </c>
      <c r="AC938" s="687">
        <v>0</v>
      </c>
      <c r="AD938" s="687">
        <v>0</v>
      </c>
      <c r="AE938" s="671">
        <v>0</v>
      </c>
      <c r="AF938" s="719">
        <v>0</v>
      </c>
      <c r="AG938" s="687">
        <v>0</v>
      </c>
      <c r="AH938" s="716"/>
      <c r="AI938" s="716"/>
      <c r="AJ938" s="716"/>
      <c r="AK938" s="716"/>
      <c r="AL938" s="716"/>
      <c r="AM938" s="716"/>
      <c r="AN938" s="716"/>
      <c r="AO938" s="716"/>
      <c r="AP938" s="716"/>
      <c r="AQ938" s="716"/>
      <c r="AR938" s="716"/>
      <c r="AS938" s="716"/>
      <c r="AT938" s="716"/>
      <c r="AU938" s="716"/>
      <c r="AV938" s="716"/>
      <c r="AW938" s="716"/>
      <c r="AX938" s="716"/>
      <c r="AY938" s="716"/>
      <c r="AZ938" s="716"/>
      <c r="BA938" s="716"/>
      <c r="BB938" s="716"/>
      <c r="BC938" s="716"/>
      <c r="BD938" s="716"/>
      <c r="BE938" s="716"/>
      <c r="BF938" s="716"/>
      <c r="BG938" s="716"/>
      <c r="BH938" s="716"/>
      <c r="BI938" s="716"/>
      <c r="BJ938" s="716"/>
      <c r="BK938" s="716"/>
      <c r="BL938" s="716"/>
      <c r="BM938" s="716"/>
      <c r="BN938" s="716"/>
      <c r="BO938" s="716"/>
      <c r="BP938" s="716"/>
      <c r="BQ938" s="716"/>
      <c r="BR938" s="716"/>
      <c r="BS938" s="716"/>
      <c r="BT938" s="716"/>
      <c r="BU938" s="716"/>
      <c r="BV938" s="716"/>
      <c r="BW938" s="716"/>
      <c r="BX938" s="716"/>
      <c r="BY938" s="716"/>
      <c r="BZ938" s="716"/>
      <c r="CA938" s="716"/>
    </row>
    <row r="939" spans="1:79" hidden="1" outlineLevel="1" x14ac:dyDescent="0.25">
      <c r="A939" s="656"/>
      <c r="B939" s="570"/>
      <c r="C939" s="570"/>
      <c r="D939" s="570"/>
      <c r="E939" s="570" t="s">
        <v>1337</v>
      </c>
      <c r="F939" s="656" t="s">
        <v>885</v>
      </c>
      <c r="G939" s="719"/>
      <c r="H939" s="719"/>
      <c r="I939" s="719"/>
      <c r="J939" s="719"/>
      <c r="K939" s="719"/>
      <c r="L939" s="720"/>
      <c r="M939" s="719"/>
      <c r="N939" s="719"/>
      <c r="O939" s="719"/>
      <c r="P939" s="716"/>
      <c r="Q939" s="716"/>
      <c r="R939" s="716"/>
      <c r="S939" s="671">
        <v>0</v>
      </c>
      <c r="T939" s="671">
        <v>0</v>
      </c>
      <c r="U939" s="671">
        <v>0</v>
      </c>
      <c r="V939" s="671">
        <v>0</v>
      </c>
      <c r="W939" s="671">
        <v>0</v>
      </c>
      <c r="X939" s="671">
        <v>0</v>
      </c>
      <c r="Y939" s="671">
        <v>0</v>
      </c>
      <c r="Z939" s="671">
        <v>0</v>
      </c>
      <c r="AA939" s="671">
        <v>0</v>
      </c>
      <c r="AB939" s="671">
        <v>0</v>
      </c>
      <c r="AC939" s="687">
        <v>0</v>
      </c>
      <c r="AD939" s="687">
        <v>0</v>
      </c>
      <c r="AE939" s="671">
        <v>0</v>
      </c>
      <c r="AF939" s="719">
        <v>0</v>
      </c>
      <c r="AG939" s="687">
        <v>0</v>
      </c>
      <c r="AH939" s="716"/>
      <c r="AI939" s="716"/>
      <c r="AJ939" s="716"/>
      <c r="AK939" s="716"/>
      <c r="AL939" s="716"/>
      <c r="AM939" s="716"/>
      <c r="AN939" s="716"/>
      <c r="AO939" s="716"/>
      <c r="AP939" s="716"/>
      <c r="AQ939" s="716"/>
      <c r="AR939" s="716"/>
      <c r="AS939" s="716"/>
      <c r="AT939" s="716"/>
      <c r="AU939" s="716"/>
      <c r="AV939" s="716"/>
      <c r="AW939" s="716"/>
      <c r="AX939" s="716"/>
      <c r="AY939" s="716"/>
      <c r="AZ939" s="716"/>
      <c r="BA939" s="716"/>
      <c r="BB939" s="716"/>
      <c r="BC939" s="716"/>
      <c r="BD939" s="716"/>
      <c r="BE939" s="716"/>
      <c r="BF939" s="716"/>
      <c r="BG939" s="716"/>
      <c r="BH939" s="716"/>
      <c r="BI939" s="716"/>
      <c r="BJ939" s="716"/>
      <c r="BK939" s="716"/>
      <c r="BL939" s="716"/>
      <c r="BM939" s="716"/>
      <c r="BN939" s="716"/>
      <c r="BO939" s="716"/>
      <c r="BP939" s="716"/>
      <c r="BQ939" s="716"/>
      <c r="BR939" s="716"/>
      <c r="BS939" s="716"/>
      <c r="BT939" s="716"/>
      <c r="BU939" s="716"/>
      <c r="BV939" s="716"/>
      <c r="BW939" s="716"/>
      <c r="BX939" s="716"/>
      <c r="BY939" s="716"/>
      <c r="BZ939" s="716"/>
      <c r="CA939" s="716"/>
    </row>
    <row r="940" spans="1:79" hidden="1" outlineLevel="1" x14ac:dyDescent="0.25">
      <c r="A940" s="656"/>
      <c r="B940" s="570"/>
      <c r="C940" s="570"/>
      <c r="D940" s="570"/>
      <c r="E940" s="570" t="s">
        <v>1270</v>
      </c>
      <c r="F940" s="656" t="s">
        <v>818</v>
      </c>
      <c r="G940" s="719"/>
      <c r="H940" s="719"/>
      <c r="I940" s="719"/>
      <c r="J940" s="719"/>
      <c r="K940" s="719"/>
      <c r="L940" s="720"/>
      <c r="M940" s="719"/>
      <c r="N940" s="719"/>
      <c r="O940" s="719"/>
      <c r="P940" s="716"/>
      <c r="Q940" s="716"/>
      <c r="R940" s="716"/>
      <c r="S940" s="671">
        <v>0</v>
      </c>
      <c r="T940" s="671">
        <v>0</v>
      </c>
      <c r="U940" s="671">
        <v>0</v>
      </c>
      <c r="V940" s="671">
        <v>0</v>
      </c>
      <c r="W940" s="671">
        <v>0</v>
      </c>
      <c r="X940" s="671">
        <v>0</v>
      </c>
      <c r="Y940" s="671">
        <v>0</v>
      </c>
      <c r="Z940" s="671">
        <v>0</v>
      </c>
      <c r="AA940" s="671">
        <v>0</v>
      </c>
      <c r="AB940" s="671">
        <v>0</v>
      </c>
      <c r="AC940" s="687">
        <v>0</v>
      </c>
      <c r="AD940" s="687">
        <v>0</v>
      </c>
      <c r="AE940" s="671">
        <v>0</v>
      </c>
      <c r="AF940" s="719">
        <v>0</v>
      </c>
      <c r="AG940" s="687">
        <v>0</v>
      </c>
      <c r="AH940" s="716"/>
      <c r="AI940" s="716"/>
      <c r="AJ940" s="716"/>
      <c r="AK940" s="716"/>
      <c r="AL940" s="716"/>
      <c r="AM940" s="716"/>
      <c r="AN940" s="716"/>
      <c r="AO940" s="716"/>
      <c r="AP940" s="716"/>
      <c r="AQ940" s="716"/>
      <c r="AR940" s="716"/>
      <c r="AS940" s="716"/>
      <c r="AT940" s="716"/>
      <c r="AU940" s="716"/>
      <c r="AV940" s="716"/>
      <c r="AW940" s="716"/>
      <c r="AX940" s="716"/>
      <c r="AY940" s="716"/>
      <c r="AZ940" s="716"/>
      <c r="BA940" s="716"/>
      <c r="BB940" s="716"/>
      <c r="BC940" s="716"/>
      <c r="BD940" s="716"/>
      <c r="BE940" s="716"/>
      <c r="BF940" s="716"/>
      <c r="BG940" s="716"/>
      <c r="BH940" s="716"/>
      <c r="BI940" s="716"/>
      <c r="BJ940" s="716"/>
      <c r="BK940" s="716"/>
      <c r="BL940" s="716"/>
      <c r="BM940" s="716"/>
      <c r="BN940" s="716"/>
      <c r="BO940" s="716"/>
      <c r="BP940" s="716"/>
      <c r="BQ940" s="716"/>
      <c r="BR940" s="716"/>
      <c r="BS940" s="716"/>
      <c r="BT940" s="716"/>
      <c r="BU940" s="716"/>
      <c r="BV940" s="716"/>
      <c r="BW940" s="716"/>
      <c r="BX940" s="716"/>
      <c r="BY940" s="716"/>
      <c r="BZ940" s="716"/>
      <c r="CA940" s="716"/>
    </row>
    <row r="941" spans="1:79" hidden="1" outlineLevel="1" x14ac:dyDescent="0.25">
      <c r="A941" s="656"/>
      <c r="B941" s="570"/>
      <c r="C941" s="570"/>
      <c r="D941" s="570"/>
      <c r="E941" s="570" t="s">
        <v>1260</v>
      </c>
      <c r="F941" s="656" t="s">
        <v>609</v>
      </c>
      <c r="G941" s="719"/>
      <c r="H941" s="719"/>
      <c r="I941" s="719"/>
      <c r="J941" s="719"/>
      <c r="K941" s="719"/>
      <c r="L941" s="720"/>
      <c r="M941" s="719"/>
      <c r="N941" s="719"/>
      <c r="O941" s="719"/>
      <c r="P941" s="716"/>
      <c r="Q941" s="716"/>
      <c r="R941" s="716"/>
      <c r="S941" s="671">
        <v>0</v>
      </c>
      <c r="T941" s="671">
        <v>0</v>
      </c>
      <c r="U941" s="671">
        <v>0</v>
      </c>
      <c r="V941" s="671">
        <v>0</v>
      </c>
      <c r="W941" s="671">
        <v>0</v>
      </c>
      <c r="X941" s="671">
        <v>0</v>
      </c>
      <c r="Y941" s="671">
        <v>0</v>
      </c>
      <c r="Z941" s="671">
        <v>0</v>
      </c>
      <c r="AA941" s="671">
        <v>0</v>
      </c>
      <c r="AB941" s="671">
        <v>0</v>
      </c>
      <c r="AC941" s="687">
        <v>0</v>
      </c>
      <c r="AD941" s="687">
        <v>0</v>
      </c>
      <c r="AE941" s="671">
        <v>0</v>
      </c>
      <c r="AF941" s="719">
        <v>0</v>
      </c>
      <c r="AG941" s="687">
        <v>0</v>
      </c>
      <c r="AH941" s="716"/>
      <c r="AI941" s="716"/>
      <c r="AJ941" s="716"/>
      <c r="AK941" s="716"/>
      <c r="AL941" s="716"/>
      <c r="AM941" s="716"/>
      <c r="AN941" s="716"/>
      <c r="AO941" s="716"/>
      <c r="AP941" s="716"/>
      <c r="AQ941" s="716"/>
      <c r="AR941" s="716"/>
      <c r="AS941" s="716"/>
      <c r="AT941" s="716"/>
      <c r="AU941" s="716"/>
      <c r="AV941" s="716"/>
      <c r="AW941" s="716"/>
      <c r="AX941" s="716"/>
      <c r="AY941" s="716"/>
      <c r="AZ941" s="716"/>
      <c r="BA941" s="716"/>
      <c r="BB941" s="716"/>
      <c r="BC941" s="716"/>
      <c r="BD941" s="716"/>
      <c r="BE941" s="716"/>
      <c r="BF941" s="716"/>
      <c r="BG941" s="716"/>
      <c r="BH941" s="716"/>
      <c r="BI941" s="716"/>
      <c r="BJ941" s="716"/>
      <c r="BK941" s="716"/>
      <c r="BL941" s="716"/>
      <c r="BM941" s="716"/>
      <c r="BN941" s="716"/>
      <c r="BO941" s="716"/>
      <c r="BP941" s="716"/>
      <c r="BQ941" s="716"/>
      <c r="BR941" s="716"/>
      <c r="BS941" s="716"/>
      <c r="BT941" s="716"/>
      <c r="BU941" s="716"/>
      <c r="BV941" s="716"/>
      <c r="BW941" s="716"/>
      <c r="BX941" s="716"/>
      <c r="BY941" s="716"/>
      <c r="BZ941" s="716"/>
      <c r="CA941" s="716"/>
    </row>
    <row r="942" spans="1:79" hidden="1" outlineLevel="1" x14ac:dyDescent="0.25">
      <c r="A942" s="656"/>
      <c r="B942" s="570"/>
      <c r="C942" s="570"/>
      <c r="D942" s="570"/>
      <c r="E942" s="570" t="s">
        <v>1326</v>
      </c>
      <c r="F942" s="656" t="s">
        <v>610</v>
      </c>
      <c r="G942" s="719"/>
      <c r="H942" s="719"/>
      <c r="I942" s="719"/>
      <c r="J942" s="719"/>
      <c r="K942" s="719"/>
      <c r="L942" s="720"/>
      <c r="M942" s="719"/>
      <c r="N942" s="719"/>
      <c r="O942" s="719"/>
      <c r="P942" s="716"/>
      <c r="Q942" s="716"/>
      <c r="R942" s="716"/>
      <c r="S942" s="676">
        <v>0</v>
      </c>
      <c r="T942" s="676">
        <v>0</v>
      </c>
      <c r="U942" s="676">
        <v>0</v>
      </c>
      <c r="V942" s="676">
        <v>0</v>
      </c>
      <c r="W942" s="676">
        <v>0</v>
      </c>
      <c r="X942" s="676">
        <v>0</v>
      </c>
      <c r="Y942" s="676">
        <v>0</v>
      </c>
      <c r="Z942" s="676">
        <v>0</v>
      </c>
      <c r="AA942" s="676">
        <v>0</v>
      </c>
      <c r="AB942" s="676">
        <v>0</v>
      </c>
      <c r="AC942" s="674">
        <v>0</v>
      </c>
      <c r="AD942" s="674">
        <v>0</v>
      </c>
      <c r="AE942" s="676">
        <v>0</v>
      </c>
      <c r="AF942" s="719">
        <v>0</v>
      </c>
      <c r="AG942" s="674">
        <v>0</v>
      </c>
      <c r="AH942" s="716"/>
      <c r="AI942" s="716"/>
      <c r="AJ942" s="716"/>
      <c r="AK942" s="716"/>
      <c r="AL942" s="716"/>
      <c r="AM942" s="716"/>
      <c r="AN942" s="716"/>
      <c r="AO942" s="716"/>
      <c r="AP942" s="716"/>
      <c r="AQ942" s="716"/>
      <c r="AR942" s="716"/>
      <c r="AS942" s="716"/>
      <c r="AT942" s="716"/>
      <c r="AU942" s="716"/>
      <c r="AV942" s="716"/>
      <c r="AW942" s="716"/>
      <c r="AX942" s="716"/>
      <c r="AY942" s="716"/>
      <c r="AZ942" s="716"/>
      <c r="BA942" s="716"/>
      <c r="BB942" s="716"/>
      <c r="BC942" s="716"/>
      <c r="BD942" s="716"/>
      <c r="BE942" s="716"/>
      <c r="BF942" s="716"/>
      <c r="BG942" s="716"/>
      <c r="BH942" s="716"/>
      <c r="BI942" s="716"/>
      <c r="BJ942" s="716"/>
      <c r="BK942" s="716"/>
      <c r="BL942" s="716"/>
      <c r="BM942" s="716"/>
      <c r="BN942" s="716"/>
      <c r="BO942" s="716"/>
      <c r="BP942" s="716"/>
      <c r="BQ942" s="716"/>
      <c r="BR942" s="716"/>
      <c r="BS942" s="716"/>
      <c r="BT942" s="716"/>
      <c r="BU942" s="716"/>
      <c r="BV942" s="716"/>
      <c r="BW942" s="716"/>
      <c r="BX942" s="716"/>
      <c r="BY942" s="716"/>
      <c r="BZ942" s="716"/>
      <c r="CA942" s="716"/>
    </row>
    <row r="943" spans="1:79" hidden="1" outlineLevel="1" x14ac:dyDescent="0.25">
      <c r="A943" s="656"/>
      <c r="B943" s="570"/>
      <c r="C943" s="570"/>
      <c r="D943" s="570"/>
      <c r="E943" s="570" t="s">
        <v>985</v>
      </c>
      <c r="F943" s="656" t="s">
        <v>611</v>
      </c>
      <c r="G943" s="719"/>
      <c r="H943" s="719"/>
      <c r="I943" s="719"/>
      <c r="J943" s="719"/>
      <c r="K943" s="719"/>
      <c r="L943" s="720"/>
      <c r="M943" s="719"/>
      <c r="N943" s="719"/>
      <c r="O943" s="719"/>
      <c r="P943" s="716"/>
      <c r="Q943" s="716"/>
      <c r="R943" s="716"/>
      <c r="S943" s="676">
        <v>0</v>
      </c>
      <c r="T943" s="676">
        <v>0</v>
      </c>
      <c r="U943" s="676">
        <v>0</v>
      </c>
      <c r="V943" s="676">
        <v>0</v>
      </c>
      <c r="W943" s="676">
        <v>0</v>
      </c>
      <c r="X943" s="676">
        <v>0</v>
      </c>
      <c r="Y943" s="676">
        <v>0</v>
      </c>
      <c r="Z943" s="676">
        <v>0</v>
      </c>
      <c r="AA943" s="676">
        <v>0</v>
      </c>
      <c r="AB943" s="676">
        <v>0</v>
      </c>
      <c r="AC943" s="674">
        <v>0</v>
      </c>
      <c r="AD943" s="674">
        <v>0</v>
      </c>
      <c r="AE943" s="676">
        <v>0</v>
      </c>
      <c r="AF943" s="719">
        <v>0</v>
      </c>
      <c r="AG943" s="674">
        <v>0</v>
      </c>
      <c r="AH943" s="716"/>
      <c r="AI943" s="716"/>
      <c r="AJ943" s="716"/>
      <c r="AK943" s="716"/>
      <c r="AL943" s="716"/>
      <c r="AM943" s="716"/>
      <c r="AN943" s="716"/>
      <c r="AO943" s="716"/>
      <c r="AP943" s="716"/>
      <c r="AQ943" s="716"/>
      <c r="AR943" s="716"/>
      <c r="AS943" s="716"/>
      <c r="AT943" s="716"/>
      <c r="AU943" s="716"/>
      <c r="AV943" s="716"/>
      <c r="AW943" s="716"/>
      <c r="AX943" s="716"/>
      <c r="AY943" s="716"/>
      <c r="AZ943" s="716"/>
      <c r="BA943" s="716"/>
      <c r="BB943" s="716"/>
      <c r="BC943" s="716"/>
      <c r="BD943" s="716"/>
      <c r="BE943" s="716"/>
      <c r="BF943" s="716"/>
      <c r="BG943" s="716"/>
      <c r="BH943" s="716"/>
      <c r="BI943" s="716"/>
      <c r="BJ943" s="716"/>
      <c r="BK943" s="716"/>
      <c r="BL943" s="716"/>
      <c r="BM943" s="716"/>
      <c r="BN943" s="716"/>
      <c r="BO943" s="716"/>
      <c r="BP943" s="716"/>
      <c r="BQ943" s="716"/>
      <c r="BR943" s="716"/>
      <c r="BS943" s="716"/>
      <c r="BT943" s="716"/>
      <c r="BU943" s="716"/>
      <c r="BV943" s="716"/>
      <c r="BW943" s="716"/>
      <c r="BX943" s="716"/>
      <c r="BY943" s="716"/>
      <c r="BZ943" s="716"/>
      <c r="CA943" s="716"/>
    </row>
    <row r="944" spans="1:79" hidden="1" outlineLevel="1" x14ac:dyDescent="0.25">
      <c r="A944" s="656"/>
      <c r="B944" s="570"/>
      <c r="C944" s="570"/>
      <c r="D944" s="570"/>
      <c r="E944" s="570" t="s">
        <v>11</v>
      </c>
      <c r="F944" s="656" t="s">
        <v>612</v>
      </c>
      <c r="G944" s="719"/>
      <c r="H944" s="719"/>
      <c r="I944" s="719"/>
      <c r="J944" s="719"/>
      <c r="K944" s="719"/>
      <c r="L944" s="720"/>
      <c r="M944" s="719"/>
      <c r="N944" s="719"/>
      <c r="O944" s="719"/>
      <c r="P944" s="716"/>
      <c r="Q944" s="716"/>
      <c r="R944" s="716"/>
      <c r="S944" s="676">
        <v>0</v>
      </c>
      <c r="T944" s="676">
        <v>0</v>
      </c>
      <c r="U944" s="676">
        <v>0</v>
      </c>
      <c r="V944" s="676">
        <v>0</v>
      </c>
      <c r="W944" s="676">
        <v>0</v>
      </c>
      <c r="X944" s="676">
        <v>0</v>
      </c>
      <c r="Y944" s="676">
        <v>0</v>
      </c>
      <c r="Z944" s="676">
        <v>0</v>
      </c>
      <c r="AA944" s="676">
        <v>0</v>
      </c>
      <c r="AB944" s="676">
        <v>0</v>
      </c>
      <c r="AC944" s="674">
        <v>0</v>
      </c>
      <c r="AD944" s="674">
        <v>0</v>
      </c>
      <c r="AE944" s="676">
        <v>0</v>
      </c>
      <c r="AF944" s="719">
        <v>0</v>
      </c>
      <c r="AG944" s="674">
        <v>0</v>
      </c>
      <c r="AH944" s="716"/>
      <c r="AI944" s="716"/>
      <c r="AJ944" s="716"/>
      <c r="AK944" s="716"/>
      <c r="AL944" s="716"/>
      <c r="AM944" s="716"/>
      <c r="AN944" s="716"/>
      <c r="AO944" s="716"/>
      <c r="AP944" s="716"/>
      <c r="AQ944" s="716"/>
      <c r="AR944" s="716"/>
      <c r="AS944" s="716"/>
      <c r="AT944" s="716"/>
      <c r="AU944" s="716"/>
      <c r="AV944" s="716"/>
      <c r="AW944" s="716"/>
      <c r="AX944" s="716"/>
      <c r="AY944" s="716"/>
      <c r="AZ944" s="716"/>
      <c r="BA944" s="716"/>
      <c r="BB944" s="716"/>
      <c r="BC944" s="716"/>
      <c r="BD944" s="716"/>
      <c r="BE944" s="716"/>
      <c r="BF944" s="716"/>
      <c r="BG944" s="716"/>
      <c r="BH944" s="716"/>
      <c r="BI944" s="716"/>
      <c r="BJ944" s="716"/>
      <c r="BK944" s="716"/>
      <c r="BL944" s="716"/>
      <c r="BM944" s="716"/>
      <c r="BN944" s="716"/>
      <c r="BO944" s="716"/>
      <c r="BP944" s="716"/>
      <c r="BQ944" s="716"/>
      <c r="BR944" s="716"/>
      <c r="BS944" s="716"/>
      <c r="BT944" s="716"/>
      <c r="BU944" s="716"/>
      <c r="BV944" s="716"/>
      <c r="BW944" s="716"/>
      <c r="BX944" s="716"/>
      <c r="BY944" s="716"/>
      <c r="BZ944" s="716"/>
      <c r="CA944" s="716"/>
    </row>
    <row r="945" spans="1:79" hidden="1" outlineLevel="1" x14ac:dyDescent="0.25">
      <c r="A945" s="656"/>
      <c r="B945" s="570"/>
      <c r="C945" s="570"/>
      <c r="D945" s="570"/>
      <c r="E945" s="570" t="s">
        <v>1337</v>
      </c>
      <c r="F945" s="656" t="s">
        <v>886</v>
      </c>
      <c r="G945" s="719"/>
      <c r="H945" s="719"/>
      <c r="I945" s="719"/>
      <c r="J945" s="719"/>
      <c r="K945" s="719"/>
      <c r="L945" s="720"/>
      <c r="M945" s="719"/>
      <c r="N945" s="719"/>
      <c r="O945" s="719"/>
      <c r="P945" s="716"/>
      <c r="Q945" s="716"/>
      <c r="R945" s="716"/>
      <c r="S945" s="676">
        <v>0</v>
      </c>
      <c r="T945" s="676">
        <v>0</v>
      </c>
      <c r="U945" s="676">
        <v>0</v>
      </c>
      <c r="V945" s="676">
        <v>0</v>
      </c>
      <c r="W945" s="676">
        <v>0</v>
      </c>
      <c r="X945" s="676">
        <v>0</v>
      </c>
      <c r="Y945" s="676">
        <v>0</v>
      </c>
      <c r="Z945" s="676">
        <v>0</v>
      </c>
      <c r="AA945" s="676">
        <v>0</v>
      </c>
      <c r="AB945" s="676">
        <v>0</v>
      </c>
      <c r="AC945" s="674">
        <v>0</v>
      </c>
      <c r="AD945" s="674">
        <v>0</v>
      </c>
      <c r="AE945" s="676">
        <v>0</v>
      </c>
      <c r="AF945" s="719">
        <v>0</v>
      </c>
      <c r="AG945" s="674">
        <v>0</v>
      </c>
      <c r="AH945" s="716"/>
      <c r="AI945" s="716"/>
      <c r="AJ945" s="716"/>
      <c r="AK945" s="716"/>
      <c r="AL945" s="716"/>
      <c r="AM945" s="716"/>
      <c r="AN945" s="716"/>
      <c r="AO945" s="716"/>
      <c r="AP945" s="716"/>
      <c r="AQ945" s="716"/>
      <c r="AR945" s="716"/>
      <c r="AS945" s="716"/>
      <c r="AT945" s="716"/>
      <c r="AU945" s="716"/>
      <c r="AV945" s="716"/>
      <c r="AW945" s="716"/>
      <c r="AX945" s="716"/>
      <c r="AY945" s="716"/>
      <c r="AZ945" s="716"/>
      <c r="BA945" s="716"/>
      <c r="BB945" s="716"/>
      <c r="BC945" s="716"/>
      <c r="BD945" s="716"/>
      <c r="BE945" s="716"/>
      <c r="BF945" s="716"/>
      <c r="BG945" s="716"/>
      <c r="BH945" s="716"/>
      <c r="BI945" s="716"/>
      <c r="BJ945" s="716"/>
      <c r="BK945" s="716"/>
      <c r="BL945" s="716"/>
      <c r="BM945" s="716"/>
      <c r="BN945" s="716"/>
      <c r="BO945" s="716"/>
      <c r="BP945" s="716"/>
      <c r="BQ945" s="716"/>
      <c r="BR945" s="716"/>
      <c r="BS945" s="716"/>
      <c r="BT945" s="716"/>
      <c r="BU945" s="716"/>
      <c r="BV945" s="716"/>
      <c r="BW945" s="716"/>
      <c r="BX945" s="716"/>
      <c r="BY945" s="716"/>
      <c r="BZ945" s="716"/>
      <c r="CA945" s="716"/>
    </row>
    <row r="946" spans="1:79" hidden="1" outlineLevel="1" x14ac:dyDescent="0.25">
      <c r="A946" s="656"/>
      <c r="B946" s="570"/>
      <c r="C946" s="570"/>
      <c r="D946" s="570"/>
      <c r="E946" s="570" t="s">
        <v>986</v>
      </c>
      <c r="F946" s="656" t="s">
        <v>763</v>
      </c>
      <c r="G946" s="719"/>
      <c r="H946" s="719"/>
      <c r="I946" s="719"/>
      <c r="J946" s="719"/>
      <c r="K946" s="719"/>
      <c r="L946" s="720"/>
      <c r="M946" s="719"/>
      <c r="N946" s="719"/>
      <c r="O946" s="719"/>
      <c r="P946" s="716"/>
      <c r="Q946" s="716"/>
      <c r="R946" s="716"/>
      <c r="S946" s="676">
        <v>0</v>
      </c>
      <c r="T946" s="676">
        <v>0</v>
      </c>
      <c r="U946" s="676">
        <v>0</v>
      </c>
      <c r="V946" s="676">
        <v>0</v>
      </c>
      <c r="W946" s="676">
        <v>0</v>
      </c>
      <c r="X946" s="676">
        <v>0</v>
      </c>
      <c r="Y946" s="676">
        <v>0</v>
      </c>
      <c r="Z946" s="676">
        <v>0</v>
      </c>
      <c r="AA946" s="676">
        <v>0</v>
      </c>
      <c r="AB946" s="676">
        <v>0</v>
      </c>
      <c r="AC946" s="674">
        <v>0</v>
      </c>
      <c r="AD946" s="674">
        <v>0</v>
      </c>
      <c r="AE946" s="676">
        <v>0</v>
      </c>
      <c r="AF946" s="719">
        <v>0</v>
      </c>
      <c r="AG946" s="674">
        <v>0</v>
      </c>
      <c r="AH946" s="716"/>
      <c r="AI946" s="716"/>
      <c r="AJ946" s="716"/>
      <c r="AK946" s="716"/>
      <c r="AL946" s="716"/>
      <c r="AM946" s="716"/>
      <c r="AN946" s="716"/>
      <c r="AO946" s="716"/>
      <c r="AP946" s="716"/>
      <c r="AQ946" s="716"/>
      <c r="AR946" s="716"/>
      <c r="AS946" s="716"/>
      <c r="AT946" s="716"/>
      <c r="AU946" s="716"/>
      <c r="AV946" s="716"/>
      <c r="AW946" s="716"/>
      <c r="AX946" s="716"/>
      <c r="AY946" s="716"/>
      <c r="AZ946" s="716"/>
      <c r="BA946" s="716"/>
      <c r="BB946" s="716"/>
      <c r="BC946" s="716"/>
      <c r="BD946" s="716"/>
      <c r="BE946" s="716"/>
      <c r="BF946" s="716"/>
      <c r="BG946" s="716"/>
      <c r="BH946" s="716"/>
      <c r="BI946" s="716"/>
      <c r="BJ946" s="716"/>
      <c r="BK946" s="716"/>
      <c r="BL946" s="716"/>
      <c r="BM946" s="716"/>
      <c r="BN946" s="716"/>
      <c r="BO946" s="716"/>
      <c r="BP946" s="716"/>
      <c r="BQ946" s="716"/>
      <c r="BR946" s="716"/>
      <c r="BS946" s="716"/>
      <c r="BT946" s="716"/>
      <c r="BU946" s="716"/>
      <c r="BV946" s="716"/>
      <c r="BW946" s="716"/>
      <c r="BX946" s="716"/>
      <c r="BY946" s="716"/>
      <c r="BZ946" s="716"/>
      <c r="CA946" s="716"/>
    </row>
    <row r="947" spans="1:79" hidden="1" outlineLevel="1" x14ac:dyDescent="0.25">
      <c r="A947" s="656"/>
      <c r="B947" s="570"/>
      <c r="C947" s="570"/>
      <c r="D947" s="570"/>
      <c r="E947" s="570" t="s">
        <v>986</v>
      </c>
      <c r="F947" s="656" t="s">
        <v>779</v>
      </c>
      <c r="G947" s="719"/>
      <c r="H947" s="719"/>
      <c r="I947" s="719"/>
      <c r="J947" s="719"/>
      <c r="K947" s="719"/>
      <c r="L947" s="720"/>
      <c r="M947" s="719"/>
      <c r="N947" s="719"/>
      <c r="O947" s="719"/>
      <c r="P947" s="716"/>
      <c r="Q947" s="716"/>
      <c r="R947" s="716"/>
      <c r="S947" s="676">
        <v>0</v>
      </c>
      <c r="T947" s="676">
        <v>0</v>
      </c>
      <c r="U947" s="676">
        <v>0</v>
      </c>
      <c r="V947" s="676">
        <v>0</v>
      </c>
      <c r="W947" s="676">
        <v>0</v>
      </c>
      <c r="X947" s="676">
        <v>0</v>
      </c>
      <c r="Y947" s="676">
        <v>0</v>
      </c>
      <c r="Z947" s="676">
        <v>0</v>
      </c>
      <c r="AA947" s="676">
        <v>0</v>
      </c>
      <c r="AB947" s="676">
        <v>0</v>
      </c>
      <c r="AC947" s="674">
        <v>0</v>
      </c>
      <c r="AD947" s="674">
        <v>0</v>
      </c>
      <c r="AE947" s="676">
        <v>0</v>
      </c>
      <c r="AF947" s="719">
        <v>0</v>
      </c>
      <c r="AG947" s="674">
        <v>0</v>
      </c>
      <c r="AH947" s="716"/>
      <c r="AI947" s="716"/>
      <c r="AJ947" s="716"/>
      <c r="AK947" s="716"/>
      <c r="AL947" s="716"/>
      <c r="AM947" s="716"/>
      <c r="AN947" s="716"/>
      <c r="AO947" s="716"/>
      <c r="AP947" s="716"/>
      <c r="AQ947" s="716"/>
      <c r="AR947" s="716"/>
      <c r="AS947" s="716"/>
      <c r="AT947" s="716"/>
      <c r="AU947" s="716"/>
      <c r="AV947" s="716"/>
      <c r="AW947" s="716"/>
      <c r="AX947" s="716"/>
      <c r="AY947" s="716"/>
      <c r="AZ947" s="716"/>
      <c r="BA947" s="716"/>
      <c r="BB947" s="716"/>
      <c r="BC947" s="716"/>
      <c r="BD947" s="716"/>
      <c r="BE947" s="716"/>
      <c r="BF947" s="716"/>
      <c r="BG947" s="716"/>
      <c r="BH947" s="716"/>
      <c r="BI947" s="716"/>
      <c r="BJ947" s="716"/>
      <c r="BK947" s="716"/>
      <c r="BL947" s="716"/>
      <c r="BM947" s="716"/>
      <c r="BN947" s="716"/>
      <c r="BO947" s="716"/>
      <c r="BP947" s="716"/>
      <c r="BQ947" s="716"/>
      <c r="BR947" s="716"/>
      <c r="BS947" s="716"/>
      <c r="BT947" s="716"/>
      <c r="BU947" s="716"/>
      <c r="BV947" s="716"/>
      <c r="BW947" s="716"/>
      <c r="BX947" s="716"/>
      <c r="BY947" s="716"/>
      <c r="BZ947" s="716"/>
      <c r="CA947" s="716"/>
    </row>
    <row r="948" spans="1:79" hidden="1" outlineLevel="1" x14ac:dyDescent="0.25">
      <c r="A948" s="656"/>
      <c r="B948" s="570"/>
      <c r="C948" s="570"/>
      <c r="D948" s="570"/>
      <c r="E948" s="570" t="s">
        <v>1270</v>
      </c>
      <c r="F948" s="656" t="s">
        <v>613</v>
      </c>
      <c r="G948" s="719"/>
      <c r="H948" s="719"/>
      <c r="I948" s="719"/>
      <c r="J948" s="719"/>
      <c r="K948" s="719"/>
      <c r="L948" s="720"/>
      <c r="M948" s="719"/>
      <c r="N948" s="719"/>
      <c r="O948" s="719"/>
      <c r="P948" s="716"/>
      <c r="Q948" s="716"/>
      <c r="R948" s="716"/>
      <c r="S948" s="676">
        <v>0</v>
      </c>
      <c r="T948" s="676">
        <v>0</v>
      </c>
      <c r="U948" s="676">
        <v>0</v>
      </c>
      <c r="V948" s="676">
        <v>0</v>
      </c>
      <c r="W948" s="676">
        <v>0</v>
      </c>
      <c r="X948" s="676">
        <v>0</v>
      </c>
      <c r="Y948" s="676">
        <v>0</v>
      </c>
      <c r="Z948" s="676">
        <v>0</v>
      </c>
      <c r="AA948" s="676">
        <v>0</v>
      </c>
      <c r="AB948" s="676">
        <v>0</v>
      </c>
      <c r="AC948" s="674">
        <v>0</v>
      </c>
      <c r="AD948" s="674">
        <v>0</v>
      </c>
      <c r="AE948" s="676">
        <v>0</v>
      </c>
      <c r="AF948" s="719">
        <v>0</v>
      </c>
      <c r="AG948" s="674">
        <v>0</v>
      </c>
      <c r="AH948" s="716"/>
      <c r="AI948" s="716"/>
      <c r="AJ948" s="716"/>
      <c r="AK948" s="716"/>
      <c r="AL948" s="716"/>
      <c r="AM948" s="716"/>
      <c r="AN948" s="716"/>
      <c r="AO948" s="716"/>
      <c r="AP948" s="716"/>
      <c r="AQ948" s="716"/>
      <c r="AR948" s="716"/>
      <c r="AS948" s="716"/>
      <c r="AT948" s="716"/>
      <c r="AU948" s="716"/>
      <c r="AV948" s="716"/>
      <c r="AW948" s="716"/>
      <c r="AX948" s="716"/>
      <c r="AY948" s="716"/>
      <c r="AZ948" s="716"/>
      <c r="BA948" s="716"/>
      <c r="BB948" s="716"/>
      <c r="BC948" s="716"/>
      <c r="BD948" s="716"/>
      <c r="BE948" s="716"/>
      <c r="BF948" s="716"/>
      <c r="BG948" s="716"/>
      <c r="BH948" s="716"/>
      <c r="BI948" s="716"/>
      <c r="BJ948" s="716"/>
      <c r="BK948" s="716"/>
      <c r="BL948" s="716"/>
      <c r="BM948" s="716"/>
      <c r="BN948" s="716"/>
      <c r="BO948" s="716"/>
      <c r="BP948" s="716"/>
      <c r="BQ948" s="716"/>
      <c r="BR948" s="716"/>
      <c r="BS948" s="716"/>
      <c r="BT948" s="716"/>
      <c r="BU948" s="716"/>
      <c r="BV948" s="716"/>
      <c r="BW948" s="716"/>
      <c r="BX948" s="716"/>
      <c r="BY948" s="716"/>
      <c r="BZ948" s="716"/>
      <c r="CA948" s="716"/>
    </row>
    <row r="949" spans="1:79" hidden="1" outlineLevel="1" x14ac:dyDescent="0.25">
      <c r="A949" s="656"/>
      <c r="B949" s="570"/>
      <c r="C949" s="570"/>
      <c r="D949" s="570"/>
      <c r="E949" s="570" t="s">
        <v>1350</v>
      </c>
      <c r="F949" s="656" t="s">
        <v>614</v>
      </c>
      <c r="G949" s="719"/>
      <c r="H949" s="719"/>
      <c r="I949" s="719"/>
      <c r="J949" s="719"/>
      <c r="K949" s="719"/>
      <c r="L949" s="720"/>
      <c r="M949" s="719"/>
      <c r="N949" s="719"/>
      <c r="O949" s="719"/>
      <c r="P949" s="716"/>
      <c r="Q949" s="716"/>
      <c r="R949" s="716"/>
      <c r="S949" s="676">
        <v>0</v>
      </c>
      <c r="T949" s="676">
        <v>0</v>
      </c>
      <c r="U949" s="676">
        <v>0</v>
      </c>
      <c r="V949" s="676">
        <v>0</v>
      </c>
      <c r="W949" s="676">
        <v>0</v>
      </c>
      <c r="X949" s="676">
        <v>0</v>
      </c>
      <c r="Y949" s="676">
        <v>0</v>
      </c>
      <c r="Z949" s="676">
        <v>0</v>
      </c>
      <c r="AA949" s="676">
        <v>0</v>
      </c>
      <c r="AB949" s="676">
        <v>0</v>
      </c>
      <c r="AC949" s="674">
        <v>0</v>
      </c>
      <c r="AD949" s="674">
        <v>0</v>
      </c>
      <c r="AE949" s="676">
        <v>0</v>
      </c>
      <c r="AF949" s="719">
        <v>0</v>
      </c>
      <c r="AG949" s="674">
        <v>0</v>
      </c>
      <c r="AH949" s="716"/>
      <c r="AI949" s="716"/>
      <c r="AJ949" s="716"/>
      <c r="AK949" s="716"/>
      <c r="AL949" s="716"/>
      <c r="AM949" s="716"/>
      <c r="AN949" s="716"/>
      <c r="AO949" s="716"/>
      <c r="AP949" s="716"/>
      <c r="AQ949" s="716"/>
      <c r="AR949" s="716"/>
      <c r="AS949" s="716"/>
      <c r="AT949" s="716"/>
      <c r="AU949" s="716"/>
      <c r="AV949" s="716"/>
      <c r="AW949" s="716"/>
      <c r="AX949" s="716"/>
      <c r="AY949" s="716"/>
      <c r="AZ949" s="716"/>
      <c r="BA949" s="716"/>
      <c r="BB949" s="716"/>
      <c r="BC949" s="716"/>
      <c r="BD949" s="716"/>
      <c r="BE949" s="716"/>
      <c r="BF949" s="716"/>
      <c r="BG949" s="716"/>
      <c r="BH949" s="716"/>
      <c r="BI949" s="716"/>
      <c r="BJ949" s="716"/>
      <c r="BK949" s="716"/>
      <c r="BL949" s="716"/>
      <c r="BM949" s="716"/>
      <c r="BN949" s="716"/>
      <c r="BO949" s="716"/>
      <c r="BP949" s="716"/>
      <c r="BQ949" s="716"/>
      <c r="BR949" s="716"/>
      <c r="BS949" s="716"/>
      <c r="BT949" s="716"/>
      <c r="BU949" s="716"/>
      <c r="BV949" s="716"/>
      <c r="BW949" s="716"/>
      <c r="BX949" s="716"/>
      <c r="BY949" s="716"/>
      <c r="BZ949" s="716"/>
      <c r="CA949" s="716"/>
    </row>
    <row r="950" spans="1:79" hidden="1" outlineLevel="1" x14ac:dyDescent="0.25">
      <c r="A950" s="656"/>
      <c r="B950" s="570"/>
      <c r="C950" s="570"/>
      <c r="D950" s="570"/>
      <c r="E950" s="570" t="s">
        <v>11</v>
      </c>
      <c r="F950" s="656" t="s">
        <v>615</v>
      </c>
      <c r="G950" s="719"/>
      <c r="H950" s="719"/>
      <c r="I950" s="719"/>
      <c r="J950" s="719"/>
      <c r="K950" s="719"/>
      <c r="L950" s="720"/>
      <c r="M950" s="719"/>
      <c r="N950" s="719"/>
      <c r="O950" s="719"/>
      <c r="P950" s="716"/>
      <c r="Q950" s="716"/>
      <c r="R950" s="716"/>
      <c r="S950" s="676">
        <v>0</v>
      </c>
      <c r="T950" s="676">
        <v>0</v>
      </c>
      <c r="U950" s="676">
        <v>0</v>
      </c>
      <c r="V950" s="676">
        <v>0</v>
      </c>
      <c r="W950" s="676">
        <v>0</v>
      </c>
      <c r="X950" s="676">
        <v>0</v>
      </c>
      <c r="Y950" s="676">
        <v>0</v>
      </c>
      <c r="Z950" s="676">
        <v>0</v>
      </c>
      <c r="AA950" s="676">
        <v>0</v>
      </c>
      <c r="AB950" s="676">
        <v>0</v>
      </c>
      <c r="AC950" s="674">
        <v>0</v>
      </c>
      <c r="AD950" s="674">
        <v>0</v>
      </c>
      <c r="AE950" s="676">
        <v>0</v>
      </c>
      <c r="AF950" s="719">
        <v>0</v>
      </c>
      <c r="AG950" s="674">
        <v>0</v>
      </c>
      <c r="AH950" s="716"/>
      <c r="AI950" s="716"/>
      <c r="AJ950" s="716"/>
      <c r="AK950" s="716"/>
      <c r="AL950" s="716"/>
      <c r="AM950" s="716"/>
      <c r="AN950" s="716"/>
      <c r="AO950" s="716"/>
      <c r="AP950" s="716"/>
      <c r="AQ950" s="716"/>
      <c r="AR950" s="716"/>
      <c r="AS950" s="716"/>
      <c r="AT950" s="716"/>
      <c r="AU950" s="716"/>
      <c r="AV950" s="716"/>
      <c r="AW950" s="716"/>
      <c r="AX950" s="716"/>
      <c r="AY950" s="716"/>
      <c r="AZ950" s="716"/>
      <c r="BA950" s="716"/>
      <c r="BB950" s="716"/>
      <c r="BC950" s="716"/>
      <c r="BD950" s="716"/>
      <c r="BE950" s="716"/>
      <c r="BF950" s="716"/>
      <c r="BG950" s="716"/>
      <c r="BH950" s="716"/>
      <c r="BI950" s="716"/>
      <c r="BJ950" s="716"/>
      <c r="BK950" s="716"/>
      <c r="BL950" s="716"/>
      <c r="BM950" s="716"/>
      <c r="BN950" s="716"/>
      <c r="BO950" s="716"/>
      <c r="BP950" s="716"/>
      <c r="BQ950" s="716"/>
      <c r="BR950" s="716"/>
      <c r="BS950" s="716"/>
      <c r="BT950" s="716"/>
      <c r="BU950" s="716"/>
      <c r="BV950" s="716"/>
      <c r="BW950" s="716"/>
      <c r="BX950" s="716"/>
      <c r="BY950" s="716"/>
      <c r="BZ950" s="716"/>
      <c r="CA950" s="716"/>
    </row>
    <row r="951" spans="1:79" hidden="1" outlineLevel="1" x14ac:dyDescent="0.25">
      <c r="A951" s="656"/>
      <c r="B951" s="570"/>
      <c r="C951" s="570"/>
      <c r="D951" s="570"/>
      <c r="E951" s="570" t="s">
        <v>1280</v>
      </c>
      <c r="F951" s="656" t="s">
        <v>887</v>
      </c>
      <c r="G951" s="719"/>
      <c r="H951" s="719"/>
      <c r="I951" s="719"/>
      <c r="J951" s="719"/>
      <c r="K951" s="719"/>
      <c r="L951" s="720"/>
      <c r="M951" s="719"/>
      <c r="N951" s="719"/>
      <c r="O951" s="719"/>
      <c r="P951" s="716"/>
      <c r="Q951" s="716"/>
      <c r="R951" s="716"/>
      <c r="S951" s="676">
        <v>0</v>
      </c>
      <c r="T951" s="676">
        <v>0</v>
      </c>
      <c r="U951" s="676">
        <v>0</v>
      </c>
      <c r="V951" s="676">
        <v>0</v>
      </c>
      <c r="W951" s="676">
        <v>0</v>
      </c>
      <c r="X951" s="676">
        <v>0</v>
      </c>
      <c r="Y951" s="676">
        <v>0</v>
      </c>
      <c r="Z951" s="676">
        <v>0</v>
      </c>
      <c r="AA951" s="676">
        <v>0</v>
      </c>
      <c r="AB951" s="676">
        <v>0</v>
      </c>
      <c r="AC951" s="674">
        <v>0</v>
      </c>
      <c r="AD951" s="674">
        <v>0</v>
      </c>
      <c r="AE951" s="676">
        <v>0</v>
      </c>
      <c r="AF951" s="719">
        <v>0</v>
      </c>
      <c r="AG951" s="674">
        <v>0</v>
      </c>
      <c r="AH951" s="716"/>
      <c r="AI951" s="716"/>
      <c r="AJ951" s="716"/>
      <c r="AK951" s="716"/>
      <c r="AL951" s="716"/>
      <c r="AM951" s="716"/>
      <c r="AN951" s="716"/>
      <c r="AO951" s="716"/>
      <c r="AP951" s="716"/>
      <c r="AQ951" s="716"/>
      <c r="AR951" s="716"/>
      <c r="AS951" s="716"/>
      <c r="AT951" s="716"/>
      <c r="AU951" s="716"/>
      <c r="AV951" s="716"/>
      <c r="AW951" s="716"/>
      <c r="AX951" s="716"/>
      <c r="AY951" s="716"/>
      <c r="AZ951" s="716"/>
      <c r="BA951" s="716"/>
      <c r="BB951" s="716"/>
      <c r="BC951" s="716"/>
      <c r="BD951" s="716"/>
      <c r="BE951" s="716"/>
      <c r="BF951" s="716"/>
      <c r="BG951" s="716"/>
      <c r="BH951" s="716"/>
      <c r="BI951" s="716"/>
      <c r="BJ951" s="716"/>
      <c r="BK951" s="716"/>
      <c r="BL951" s="716"/>
      <c r="BM951" s="716"/>
      <c r="BN951" s="716"/>
      <c r="BO951" s="716"/>
      <c r="BP951" s="716"/>
      <c r="BQ951" s="716"/>
      <c r="BR951" s="716"/>
      <c r="BS951" s="716"/>
      <c r="BT951" s="716"/>
      <c r="BU951" s="716"/>
      <c r="BV951" s="716"/>
      <c r="BW951" s="716"/>
      <c r="BX951" s="716"/>
      <c r="BY951" s="716"/>
      <c r="BZ951" s="716"/>
      <c r="CA951" s="716"/>
    </row>
    <row r="952" spans="1:79" hidden="1" outlineLevel="1" x14ac:dyDescent="0.25">
      <c r="A952" s="656"/>
      <c r="B952" s="570"/>
      <c r="C952" s="570"/>
      <c r="D952" s="570"/>
      <c r="E952" s="570" t="s">
        <v>1337</v>
      </c>
      <c r="F952" s="656" t="s">
        <v>616</v>
      </c>
      <c r="G952" s="719"/>
      <c r="H952" s="719"/>
      <c r="I952" s="719"/>
      <c r="J952" s="719"/>
      <c r="K952" s="719"/>
      <c r="L952" s="720"/>
      <c r="M952" s="719"/>
      <c r="N952" s="719"/>
      <c r="O952" s="719"/>
      <c r="P952" s="716"/>
      <c r="Q952" s="716"/>
      <c r="R952" s="716"/>
      <c r="S952" s="676">
        <v>0</v>
      </c>
      <c r="T952" s="676">
        <v>0</v>
      </c>
      <c r="U952" s="676">
        <v>0</v>
      </c>
      <c r="V952" s="676">
        <v>0</v>
      </c>
      <c r="W952" s="676">
        <v>0</v>
      </c>
      <c r="X952" s="676">
        <v>0</v>
      </c>
      <c r="Y952" s="676">
        <v>0</v>
      </c>
      <c r="Z952" s="676">
        <v>0</v>
      </c>
      <c r="AA952" s="676">
        <v>0</v>
      </c>
      <c r="AB952" s="676">
        <v>0</v>
      </c>
      <c r="AC952" s="674">
        <v>0</v>
      </c>
      <c r="AD952" s="674">
        <v>0</v>
      </c>
      <c r="AE952" s="676">
        <v>0</v>
      </c>
      <c r="AF952" s="719">
        <v>0</v>
      </c>
      <c r="AG952" s="674">
        <v>0</v>
      </c>
      <c r="AH952" s="716"/>
      <c r="AI952" s="716"/>
      <c r="AJ952" s="716"/>
      <c r="AK952" s="716"/>
      <c r="AL952" s="716"/>
      <c r="AM952" s="716"/>
      <c r="AN952" s="716"/>
      <c r="AO952" s="716"/>
      <c r="AP952" s="716"/>
      <c r="AQ952" s="716"/>
      <c r="AR952" s="716"/>
      <c r="AS952" s="716"/>
      <c r="AT952" s="716"/>
      <c r="AU952" s="716"/>
      <c r="AV952" s="716"/>
      <c r="AW952" s="716"/>
      <c r="AX952" s="716"/>
      <c r="AY952" s="716"/>
      <c r="AZ952" s="716"/>
      <c r="BA952" s="716"/>
      <c r="BB952" s="716"/>
      <c r="BC952" s="716"/>
      <c r="BD952" s="716"/>
      <c r="BE952" s="716"/>
      <c r="BF952" s="716"/>
      <c r="BG952" s="716"/>
      <c r="BH952" s="716"/>
      <c r="BI952" s="716"/>
      <c r="BJ952" s="716"/>
      <c r="BK952" s="716"/>
      <c r="BL952" s="716"/>
      <c r="BM952" s="716"/>
      <c r="BN952" s="716"/>
      <c r="BO952" s="716"/>
      <c r="BP952" s="716"/>
      <c r="BQ952" s="716"/>
      <c r="BR952" s="716"/>
      <c r="BS952" s="716"/>
      <c r="BT952" s="716"/>
      <c r="BU952" s="716"/>
      <c r="BV952" s="716"/>
      <c r="BW952" s="716"/>
      <c r="BX952" s="716"/>
      <c r="BY952" s="716"/>
      <c r="BZ952" s="716"/>
      <c r="CA952" s="716"/>
    </row>
    <row r="953" spans="1:79" hidden="1" outlineLevel="1" x14ac:dyDescent="0.25">
      <c r="A953" s="659"/>
      <c r="B953" s="570"/>
      <c r="C953" s="570"/>
      <c r="D953" s="570"/>
      <c r="E953" s="570" t="s">
        <v>49</v>
      </c>
      <c r="F953" s="659" t="s">
        <v>617</v>
      </c>
      <c r="G953" s="664">
        <f>SUM(G936:G952)</f>
        <v>0</v>
      </c>
      <c r="H953" s="664">
        <f t="shared" ref="H953:BO953" si="394">SUM(H936:H952)</f>
        <v>0</v>
      </c>
      <c r="I953" s="664">
        <f t="shared" si="394"/>
        <v>0</v>
      </c>
      <c r="J953" s="664">
        <f t="shared" si="394"/>
        <v>0</v>
      </c>
      <c r="K953" s="664">
        <f t="shared" si="394"/>
        <v>0</v>
      </c>
      <c r="L953" s="664">
        <f t="shared" si="394"/>
        <v>0</v>
      </c>
      <c r="M953" s="664">
        <f t="shared" si="394"/>
        <v>0</v>
      </c>
      <c r="N953" s="664">
        <f t="shared" si="394"/>
        <v>0</v>
      </c>
      <c r="O953" s="664">
        <f t="shared" si="394"/>
        <v>0</v>
      </c>
      <c r="P953" s="664">
        <f t="shared" si="394"/>
        <v>0</v>
      </c>
      <c r="Q953" s="664">
        <f t="shared" si="394"/>
        <v>0</v>
      </c>
      <c r="R953" s="664">
        <f t="shared" si="394"/>
        <v>0</v>
      </c>
      <c r="S953" s="678">
        <f t="shared" ref="S953:AA953" si="395">ROUND(SUM(S935:S952),5)</f>
        <v>0</v>
      </c>
      <c r="T953" s="678">
        <f t="shared" si="395"/>
        <v>0</v>
      </c>
      <c r="U953" s="678">
        <f t="shared" si="395"/>
        <v>0</v>
      </c>
      <c r="V953" s="678">
        <f t="shared" si="395"/>
        <v>0</v>
      </c>
      <c r="W953" s="678">
        <f t="shared" si="395"/>
        <v>0</v>
      </c>
      <c r="X953" s="678">
        <f t="shared" si="395"/>
        <v>0</v>
      </c>
      <c r="Y953" s="678">
        <f t="shared" si="395"/>
        <v>0</v>
      </c>
      <c r="Z953" s="678">
        <f t="shared" si="395"/>
        <v>0</v>
      </c>
      <c r="AA953" s="678">
        <f t="shared" si="395"/>
        <v>0</v>
      </c>
      <c r="AB953" s="678">
        <f>ROUND(SUM(AB935:AB952),5)</f>
        <v>0</v>
      </c>
      <c r="AC953" s="678">
        <f>ROUND(SUM(AC935:AC952),5)</f>
        <v>0</v>
      </c>
      <c r="AD953" s="678">
        <f>ROUND(SUM(AD935:AD952),5)</f>
        <v>0</v>
      </c>
      <c r="AE953" s="678">
        <f>ROUND(SUM(AE935:AE952),5)</f>
        <v>0</v>
      </c>
      <c r="AF953" s="664">
        <f>ROUND(SUM(AF935:AF941)+SUM(AF942:AF944)+SUM(AF945:AF952),5)</f>
        <v>0</v>
      </c>
      <c r="AG953" s="678">
        <f>ROUND(SUM(AG935:AG941)+SUM(AG942:AG944)+SUM(AG945:AG952),5)</f>
        <v>0</v>
      </c>
      <c r="AH953" s="664">
        <f t="shared" si="394"/>
        <v>0</v>
      </c>
      <c r="AI953" s="664">
        <f t="shared" si="394"/>
        <v>0</v>
      </c>
      <c r="AJ953" s="664">
        <f t="shared" si="394"/>
        <v>0</v>
      </c>
      <c r="AK953" s="664">
        <f t="shared" si="394"/>
        <v>0</v>
      </c>
      <c r="AL953" s="664">
        <f t="shared" si="394"/>
        <v>0</v>
      </c>
      <c r="AM953" s="664">
        <f t="shared" si="394"/>
        <v>0</v>
      </c>
      <c r="AN953" s="664">
        <f t="shared" si="394"/>
        <v>0</v>
      </c>
      <c r="AO953" s="664">
        <f t="shared" si="394"/>
        <v>0</v>
      </c>
      <c r="AP953" s="664">
        <f t="shared" si="394"/>
        <v>0</v>
      </c>
      <c r="AQ953" s="664">
        <f t="shared" si="394"/>
        <v>0</v>
      </c>
      <c r="AR953" s="664">
        <f t="shared" si="394"/>
        <v>0</v>
      </c>
      <c r="AS953" s="664">
        <f t="shared" si="394"/>
        <v>0</v>
      </c>
      <c r="AT953" s="664">
        <f t="shared" si="394"/>
        <v>0</v>
      </c>
      <c r="AU953" s="664">
        <f t="shared" si="394"/>
        <v>0</v>
      </c>
      <c r="AV953" s="664">
        <f t="shared" si="394"/>
        <v>0</v>
      </c>
      <c r="AW953" s="664">
        <f t="shared" si="394"/>
        <v>0</v>
      </c>
      <c r="AX953" s="664">
        <f t="shared" si="394"/>
        <v>0</v>
      </c>
      <c r="AY953" s="664">
        <f t="shared" si="394"/>
        <v>0</v>
      </c>
      <c r="AZ953" s="664">
        <f t="shared" si="394"/>
        <v>0</v>
      </c>
      <c r="BA953" s="664">
        <f t="shared" si="394"/>
        <v>0</v>
      </c>
      <c r="BB953" s="664">
        <f t="shared" si="394"/>
        <v>0</v>
      </c>
      <c r="BC953" s="664">
        <f t="shared" si="394"/>
        <v>0</v>
      </c>
      <c r="BD953" s="664">
        <f t="shared" si="394"/>
        <v>0</v>
      </c>
      <c r="BE953" s="664">
        <f t="shared" si="394"/>
        <v>0</v>
      </c>
      <c r="BF953" s="664">
        <f t="shared" si="394"/>
        <v>0</v>
      </c>
      <c r="BG953" s="664">
        <f t="shared" si="394"/>
        <v>0</v>
      </c>
      <c r="BH953" s="664">
        <f t="shared" si="394"/>
        <v>0</v>
      </c>
      <c r="BI953" s="664">
        <f t="shared" si="394"/>
        <v>0</v>
      </c>
      <c r="BJ953" s="664">
        <f t="shared" si="394"/>
        <v>0</v>
      </c>
      <c r="BK953" s="664">
        <f t="shared" si="394"/>
        <v>0</v>
      </c>
      <c r="BL953" s="664">
        <f t="shared" si="394"/>
        <v>0</v>
      </c>
      <c r="BM953" s="664">
        <f t="shared" si="394"/>
        <v>0</v>
      </c>
      <c r="BN953" s="664">
        <f t="shared" si="394"/>
        <v>0</v>
      </c>
      <c r="BO953" s="664">
        <f t="shared" si="394"/>
        <v>0</v>
      </c>
      <c r="BP953" s="664">
        <f t="shared" ref="BP953:CA953" si="396">SUM(BP936:BP952)</f>
        <v>0</v>
      </c>
      <c r="BQ953" s="664">
        <f t="shared" si="396"/>
        <v>0</v>
      </c>
      <c r="BR953" s="664">
        <f t="shared" si="396"/>
        <v>0</v>
      </c>
      <c r="BS953" s="664">
        <f t="shared" si="396"/>
        <v>0</v>
      </c>
      <c r="BT953" s="664">
        <f t="shared" si="396"/>
        <v>0</v>
      </c>
      <c r="BU953" s="664">
        <f t="shared" si="396"/>
        <v>0</v>
      </c>
      <c r="BV953" s="664">
        <f t="shared" si="396"/>
        <v>0</v>
      </c>
      <c r="BW953" s="664">
        <f t="shared" si="396"/>
        <v>0</v>
      </c>
      <c r="BX953" s="664">
        <f t="shared" si="396"/>
        <v>0</v>
      </c>
      <c r="BY953" s="664">
        <f t="shared" si="396"/>
        <v>0</v>
      </c>
      <c r="BZ953" s="664">
        <f t="shared" si="396"/>
        <v>0</v>
      </c>
      <c r="CA953" s="664">
        <f t="shared" si="396"/>
        <v>0</v>
      </c>
    </row>
    <row r="954" spans="1:79" s="693" customFormat="1" hidden="1" outlineLevel="1" x14ac:dyDescent="0.25">
      <c r="A954" s="691"/>
      <c r="E954" s="570" t="s">
        <v>1338</v>
      </c>
      <c r="F954" s="691" t="s">
        <v>594</v>
      </c>
      <c r="G954" s="733"/>
      <c r="H954" s="733"/>
      <c r="I954" s="733"/>
      <c r="J954" s="733"/>
      <c r="K954" s="733"/>
      <c r="L954" s="735"/>
      <c r="M954" s="733"/>
      <c r="N954" s="733"/>
      <c r="O954" s="733"/>
      <c r="P954" s="734"/>
      <c r="Q954" s="734"/>
      <c r="R954" s="734"/>
      <c r="S954" s="708"/>
      <c r="T954" s="708"/>
      <c r="U954" s="708"/>
      <c r="V954" s="708"/>
      <c r="W954" s="708"/>
      <c r="X954" s="708"/>
      <c r="Y954" s="708"/>
      <c r="Z954" s="708"/>
      <c r="AA954" s="708"/>
      <c r="AB954" s="708"/>
      <c r="AC954" s="707"/>
      <c r="AD954" s="707"/>
      <c r="AE954" s="708"/>
      <c r="AF954" s="733"/>
      <c r="AG954" s="707"/>
      <c r="AH954" s="734"/>
      <c r="AI954" s="734"/>
      <c r="AJ954" s="734"/>
      <c r="AK954" s="734"/>
      <c r="AL954" s="734"/>
      <c r="AM954" s="734"/>
      <c r="AN954" s="734"/>
      <c r="AO954" s="734"/>
      <c r="AP954" s="734"/>
      <c r="AQ954" s="734"/>
      <c r="AR954" s="734"/>
      <c r="AS954" s="734"/>
      <c r="AT954" s="734"/>
      <c r="AU954" s="734"/>
      <c r="AV954" s="734"/>
      <c r="AW954" s="734"/>
      <c r="AX954" s="734"/>
      <c r="AY954" s="734"/>
      <c r="AZ954" s="734"/>
      <c r="BA954" s="734"/>
      <c r="BB954" s="734"/>
      <c r="BC954" s="734"/>
      <c r="BD954" s="734"/>
      <c r="BE954" s="734"/>
      <c r="BF954" s="734"/>
      <c r="BG954" s="734"/>
      <c r="BH954" s="734"/>
      <c r="BI954" s="734"/>
      <c r="BJ954" s="734"/>
      <c r="BK954" s="734"/>
      <c r="BL954" s="734"/>
      <c r="BM954" s="734"/>
      <c r="BN954" s="734"/>
      <c r="BO954" s="734"/>
      <c r="BP954" s="734"/>
      <c r="BQ954" s="734"/>
      <c r="BR954" s="734"/>
      <c r="BS954" s="734"/>
      <c r="BT954" s="734"/>
      <c r="BU954" s="734"/>
      <c r="BV954" s="734"/>
      <c r="BW954" s="734"/>
      <c r="BX954" s="734"/>
      <c r="BY954" s="734"/>
      <c r="BZ954" s="734"/>
      <c r="CA954" s="734"/>
    </row>
    <row r="955" spans="1:79" hidden="1" outlineLevel="1" x14ac:dyDescent="0.25">
      <c r="A955" s="656"/>
      <c r="B955" s="570"/>
      <c r="C955" s="570"/>
      <c r="D955" s="570"/>
      <c r="E955" s="570" t="s">
        <v>1338</v>
      </c>
      <c r="F955" s="656" t="s">
        <v>888</v>
      </c>
      <c r="G955" s="719"/>
      <c r="H955" s="719"/>
      <c r="I955" s="719"/>
      <c r="J955" s="719"/>
      <c r="K955" s="719"/>
      <c r="L955" s="720"/>
      <c r="M955" s="719"/>
      <c r="N955" s="719"/>
      <c r="O955" s="719"/>
      <c r="P955" s="716"/>
      <c r="Q955" s="716"/>
      <c r="R955" s="716"/>
      <c r="S955" s="684">
        <v>0</v>
      </c>
      <c r="T955" s="684">
        <v>0</v>
      </c>
      <c r="U955" s="684">
        <v>0</v>
      </c>
      <c r="V955" s="684">
        <v>0</v>
      </c>
      <c r="W955" s="684">
        <v>0</v>
      </c>
      <c r="X955" s="684">
        <v>0</v>
      </c>
      <c r="Y955" s="684">
        <v>0</v>
      </c>
      <c r="Z955" s="684">
        <v>0</v>
      </c>
      <c r="AA955" s="684">
        <v>0</v>
      </c>
      <c r="AB955" s="684">
        <v>0</v>
      </c>
      <c r="AC955" s="682">
        <v>0</v>
      </c>
      <c r="AD955" s="682">
        <v>0</v>
      </c>
      <c r="AE955" s="684">
        <v>0</v>
      </c>
      <c r="AF955" s="719">
        <v>0</v>
      </c>
      <c r="AG955" s="682">
        <v>0</v>
      </c>
      <c r="AH955" s="716"/>
      <c r="AI955" s="716"/>
      <c r="AJ955" s="716"/>
      <c r="AK955" s="716"/>
      <c r="AL955" s="716"/>
      <c r="AM955" s="716"/>
      <c r="AN955" s="716"/>
      <c r="AO955" s="716"/>
      <c r="AP955" s="716"/>
      <c r="AQ955" s="716"/>
      <c r="AR955" s="716"/>
      <c r="AS955" s="716"/>
      <c r="AT955" s="716"/>
      <c r="AU955" s="716"/>
      <c r="AV955" s="716"/>
      <c r="AW955" s="716"/>
      <c r="AX955" s="716"/>
      <c r="AY955" s="716"/>
      <c r="AZ955" s="716"/>
      <c r="BA955" s="716"/>
      <c r="BB955" s="716"/>
      <c r="BC955" s="716"/>
      <c r="BD955" s="716"/>
      <c r="BE955" s="716"/>
      <c r="BF955" s="716"/>
      <c r="BG955" s="716"/>
      <c r="BH955" s="716"/>
      <c r="BI955" s="716"/>
      <c r="BJ955" s="716"/>
      <c r="BK955" s="716"/>
      <c r="BL955" s="716"/>
      <c r="BM955" s="716"/>
      <c r="BN955" s="716"/>
      <c r="BO955" s="716"/>
      <c r="BP955" s="716"/>
      <c r="BQ955" s="716"/>
      <c r="BR955" s="716"/>
      <c r="BS955" s="716"/>
      <c r="BT955" s="716"/>
      <c r="BU955" s="716"/>
      <c r="BV955" s="716"/>
      <c r="BW955" s="716"/>
      <c r="BX955" s="716"/>
      <c r="BY955" s="716"/>
      <c r="BZ955" s="716"/>
      <c r="CA955" s="716"/>
    </row>
    <row r="956" spans="1:79" hidden="1" outlineLevel="1" x14ac:dyDescent="0.25">
      <c r="A956" s="656"/>
      <c r="E956" s="570" t="s">
        <v>1338</v>
      </c>
      <c r="F956" s="656" t="s">
        <v>618</v>
      </c>
      <c r="G956" s="719">
        <v>178.20496703092104</v>
      </c>
      <c r="H956" s="719">
        <v>93.435277393259852</v>
      </c>
      <c r="I956" s="719">
        <v>101.68417244712037</v>
      </c>
      <c r="J956" s="719">
        <v>238.64825017097661</v>
      </c>
      <c r="K956" s="719">
        <v>361.69809729468147</v>
      </c>
      <c r="L956" s="719">
        <v>509.73025612929723</v>
      </c>
      <c r="M956" s="719">
        <v>353.04517946267015</v>
      </c>
      <c r="N956" s="719">
        <v>225.14555521442574</v>
      </c>
      <c r="O956" s="719">
        <v>373.61621707929652</v>
      </c>
      <c r="P956" s="716">
        <v>337.31358534213746</v>
      </c>
      <c r="Q956" s="716">
        <v>116.87684289299979</v>
      </c>
      <c r="R956" s="716">
        <v>16.833784564535641</v>
      </c>
      <c r="S956" s="667">
        <v>1382.26</v>
      </c>
      <c r="T956" s="667">
        <v>3605.49</v>
      </c>
      <c r="U956" s="667">
        <v>1940.98</v>
      </c>
      <c r="V956" s="667">
        <v>1114.97</v>
      </c>
      <c r="W956" s="667">
        <v>113.23</v>
      </c>
      <c r="X956" s="667">
        <v>565.83000000000004</v>
      </c>
      <c r="Y956" s="667">
        <v>1048.0899999999999</v>
      </c>
      <c r="Z956" s="667">
        <v>310.85000000000002</v>
      </c>
      <c r="AA956" s="667">
        <v>17.989999999999998</v>
      </c>
      <c r="AB956" s="667">
        <v>1098.76</v>
      </c>
      <c r="AC956" s="686">
        <v>600.22</v>
      </c>
      <c r="AD956" s="686">
        <v>682.79</v>
      </c>
      <c r="AE956" s="667">
        <v>341.94</v>
      </c>
      <c r="AF956" s="719">
        <v>1016.66</v>
      </c>
      <c r="AG956" s="686">
        <v>775.03</v>
      </c>
      <c r="AH956" s="716"/>
      <c r="AI956" s="716"/>
      <c r="AJ956" s="716"/>
      <c r="AK956" s="716"/>
      <c r="AL956" s="716"/>
      <c r="AM956" s="716"/>
      <c r="AN956" s="716"/>
      <c r="AO956" s="716"/>
      <c r="AP956" s="716"/>
      <c r="AQ956" s="716"/>
      <c r="AR956" s="716"/>
      <c r="AS956" s="716"/>
      <c r="AT956" s="716"/>
      <c r="AU956" s="716"/>
      <c r="AV956" s="716"/>
      <c r="AW956" s="716"/>
      <c r="AX956" s="716"/>
      <c r="AY956" s="716"/>
      <c r="AZ956" s="716"/>
      <c r="BA956" s="716"/>
      <c r="BB956" s="716"/>
      <c r="BC956" s="716"/>
      <c r="BD956" s="716"/>
      <c r="BE956" s="716"/>
      <c r="BF956" s="716"/>
      <c r="BG956" s="716"/>
      <c r="BH956" s="716"/>
      <c r="BI956" s="716"/>
      <c r="BJ956" s="716"/>
      <c r="BK956" s="716"/>
      <c r="BL956" s="716"/>
      <c r="BM956" s="716"/>
      <c r="BN956" s="716"/>
      <c r="BO956" s="716"/>
      <c r="BP956" s="716"/>
      <c r="BQ956" s="716"/>
      <c r="BR956" s="716"/>
      <c r="BS956" s="716"/>
      <c r="BT956" s="716"/>
      <c r="BU956" s="716"/>
      <c r="BV956" s="716"/>
      <c r="BW956" s="716"/>
      <c r="BX956" s="716"/>
      <c r="BY956" s="716"/>
      <c r="BZ956" s="716"/>
      <c r="CA956" s="716"/>
    </row>
    <row r="957" spans="1:79" hidden="1" outlineLevel="1" x14ac:dyDescent="0.25">
      <c r="A957" s="657"/>
      <c r="B957" s="570"/>
      <c r="C957" s="570"/>
      <c r="D957" s="570"/>
      <c r="E957" s="570" t="s">
        <v>49</v>
      </c>
      <c r="F957" s="657" t="s">
        <v>619</v>
      </c>
      <c r="G957" s="664">
        <f>SUM(G955:G956)</f>
        <v>178.20496703092104</v>
      </c>
      <c r="H957" s="664">
        <f t="shared" ref="H957:BO957" si="397">SUM(H955:H956)</f>
        <v>93.435277393259852</v>
      </c>
      <c r="I957" s="664">
        <f t="shared" si="397"/>
        <v>101.68417244712037</v>
      </c>
      <c r="J957" s="664">
        <f t="shared" si="397"/>
        <v>238.64825017097661</v>
      </c>
      <c r="K957" s="664">
        <f t="shared" si="397"/>
        <v>361.69809729468147</v>
      </c>
      <c r="L957" s="664">
        <f t="shared" si="397"/>
        <v>509.73025612929723</v>
      </c>
      <c r="M957" s="664">
        <f t="shared" si="397"/>
        <v>353.04517946267015</v>
      </c>
      <c r="N957" s="664">
        <f t="shared" si="397"/>
        <v>225.14555521442574</v>
      </c>
      <c r="O957" s="664">
        <f t="shared" si="397"/>
        <v>373.61621707929652</v>
      </c>
      <c r="P957" s="664">
        <f t="shared" si="397"/>
        <v>337.31358534213746</v>
      </c>
      <c r="Q957" s="664">
        <f t="shared" si="397"/>
        <v>116.87684289299979</v>
      </c>
      <c r="R957" s="664">
        <f t="shared" si="397"/>
        <v>16.833784564535641</v>
      </c>
      <c r="S957" s="678">
        <f t="shared" ref="S957:AA957" si="398">ROUND(SUM(S954:S956),5)</f>
        <v>1382.26</v>
      </c>
      <c r="T957" s="678">
        <f t="shared" si="398"/>
        <v>3605.49</v>
      </c>
      <c r="U957" s="678">
        <f t="shared" si="398"/>
        <v>1940.98</v>
      </c>
      <c r="V957" s="678">
        <f t="shared" si="398"/>
        <v>1114.97</v>
      </c>
      <c r="W957" s="678">
        <f t="shared" si="398"/>
        <v>113.23</v>
      </c>
      <c r="X957" s="678">
        <f t="shared" si="398"/>
        <v>565.83000000000004</v>
      </c>
      <c r="Y957" s="678">
        <f t="shared" si="398"/>
        <v>1048.0899999999999</v>
      </c>
      <c r="Z957" s="678">
        <f t="shared" si="398"/>
        <v>310.85000000000002</v>
      </c>
      <c r="AA957" s="678">
        <f t="shared" si="398"/>
        <v>17.989999999999998</v>
      </c>
      <c r="AB957" s="678">
        <f t="shared" ref="AB957:AG957" si="399">ROUND(SUM(AB954:AB956),5)</f>
        <v>1098.76</v>
      </c>
      <c r="AC957" s="678">
        <f t="shared" si="399"/>
        <v>600.22</v>
      </c>
      <c r="AD957" s="678">
        <f t="shared" si="399"/>
        <v>682.79</v>
      </c>
      <c r="AE957" s="678">
        <f t="shared" si="399"/>
        <v>341.94</v>
      </c>
      <c r="AF957" s="664">
        <f t="shared" si="399"/>
        <v>1016.66</v>
      </c>
      <c r="AG957" s="678">
        <f t="shared" si="399"/>
        <v>775.03</v>
      </c>
      <c r="AH957" s="664">
        <f t="shared" si="397"/>
        <v>0</v>
      </c>
      <c r="AI957" s="664">
        <f t="shared" si="397"/>
        <v>0</v>
      </c>
      <c r="AJ957" s="664">
        <f t="shared" si="397"/>
        <v>0</v>
      </c>
      <c r="AK957" s="664">
        <f t="shared" si="397"/>
        <v>0</v>
      </c>
      <c r="AL957" s="664">
        <f t="shared" si="397"/>
        <v>0</v>
      </c>
      <c r="AM957" s="664">
        <f t="shared" si="397"/>
        <v>0</v>
      </c>
      <c r="AN957" s="664">
        <f t="shared" si="397"/>
        <v>0</v>
      </c>
      <c r="AO957" s="664">
        <f t="shared" si="397"/>
        <v>0</v>
      </c>
      <c r="AP957" s="664">
        <f t="shared" si="397"/>
        <v>0</v>
      </c>
      <c r="AQ957" s="664">
        <f t="shared" si="397"/>
        <v>0</v>
      </c>
      <c r="AR957" s="664">
        <f t="shared" si="397"/>
        <v>0</v>
      </c>
      <c r="AS957" s="664">
        <f t="shared" si="397"/>
        <v>0</v>
      </c>
      <c r="AT957" s="664">
        <f t="shared" si="397"/>
        <v>0</v>
      </c>
      <c r="AU957" s="664">
        <f t="shared" si="397"/>
        <v>0</v>
      </c>
      <c r="AV957" s="664">
        <f t="shared" si="397"/>
        <v>0</v>
      </c>
      <c r="AW957" s="664">
        <f t="shared" si="397"/>
        <v>0</v>
      </c>
      <c r="AX957" s="664">
        <f t="shared" si="397"/>
        <v>0</v>
      </c>
      <c r="AY957" s="664">
        <f t="shared" si="397"/>
        <v>0</v>
      </c>
      <c r="AZ957" s="664">
        <f t="shared" si="397"/>
        <v>0</v>
      </c>
      <c r="BA957" s="664">
        <f t="shared" si="397"/>
        <v>0</v>
      </c>
      <c r="BB957" s="664">
        <f t="shared" si="397"/>
        <v>0</v>
      </c>
      <c r="BC957" s="664">
        <f t="shared" si="397"/>
        <v>0</v>
      </c>
      <c r="BD957" s="664">
        <f t="shared" si="397"/>
        <v>0</v>
      </c>
      <c r="BE957" s="664">
        <f t="shared" si="397"/>
        <v>0</v>
      </c>
      <c r="BF957" s="664">
        <f t="shared" si="397"/>
        <v>0</v>
      </c>
      <c r="BG957" s="664">
        <f t="shared" si="397"/>
        <v>0</v>
      </c>
      <c r="BH957" s="664">
        <f t="shared" si="397"/>
        <v>0</v>
      </c>
      <c r="BI957" s="664">
        <f t="shared" si="397"/>
        <v>0</v>
      </c>
      <c r="BJ957" s="664">
        <f t="shared" si="397"/>
        <v>0</v>
      </c>
      <c r="BK957" s="664">
        <f t="shared" si="397"/>
        <v>0</v>
      </c>
      <c r="BL957" s="664">
        <f t="shared" si="397"/>
        <v>0</v>
      </c>
      <c r="BM957" s="664">
        <f t="shared" si="397"/>
        <v>0</v>
      </c>
      <c r="BN957" s="664">
        <f t="shared" si="397"/>
        <v>0</v>
      </c>
      <c r="BO957" s="664">
        <f t="shared" si="397"/>
        <v>0</v>
      </c>
      <c r="BP957" s="664">
        <f t="shared" ref="BP957:CA957" si="400">SUM(BP955:BP956)</f>
        <v>0</v>
      </c>
      <c r="BQ957" s="664">
        <f t="shared" si="400"/>
        <v>0</v>
      </c>
      <c r="BR957" s="664">
        <f t="shared" si="400"/>
        <v>0</v>
      </c>
      <c r="BS957" s="664">
        <f t="shared" si="400"/>
        <v>0</v>
      </c>
      <c r="BT957" s="664">
        <f t="shared" si="400"/>
        <v>0</v>
      </c>
      <c r="BU957" s="664">
        <f t="shared" si="400"/>
        <v>0</v>
      </c>
      <c r="BV957" s="664">
        <f t="shared" si="400"/>
        <v>0</v>
      </c>
      <c r="BW957" s="664">
        <f t="shared" si="400"/>
        <v>0</v>
      </c>
      <c r="BX957" s="664">
        <f t="shared" si="400"/>
        <v>0</v>
      </c>
      <c r="BY957" s="664">
        <f t="shared" si="400"/>
        <v>0</v>
      </c>
      <c r="BZ957" s="664">
        <f t="shared" si="400"/>
        <v>0</v>
      </c>
      <c r="CA957" s="664">
        <f t="shared" si="400"/>
        <v>0</v>
      </c>
    </row>
    <row r="958" spans="1:79" hidden="1" outlineLevel="1" x14ac:dyDescent="0.25">
      <c r="A958" s="658"/>
      <c r="E958" s="570" t="s">
        <v>945</v>
      </c>
      <c r="F958" s="658" t="s">
        <v>595</v>
      </c>
      <c r="G958" s="719">
        <v>0</v>
      </c>
      <c r="H958" s="719"/>
      <c r="I958" s="719"/>
      <c r="J958" s="719"/>
      <c r="K958" s="719">
        <v>12.548244970721397</v>
      </c>
      <c r="L958" s="719">
        <v>79.841114688873347</v>
      </c>
      <c r="M958" s="719">
        <v>56.796983779820621</v>
      </c>
      <c r="N958" s="719">
        <v>0.55236781505817556</v>
      </c>
      <c r="O958" s="719"/>
      <c r="P958" s="716">
        <v>337.50966387588028</v>
      </c>
      <c r="Q958" s="716">
        <v>35.380835518952239</v>
      </c>
      <c r="R958" s="716">
        <v>130.49459721699779</v>
      </c>
      <c r="S958" s="667">
        <v>1986.2</v>
      </c>
      <c r="T958" s="667">
        <v>0</v>
      </c>
      <c r="U958" s="667">
        <v>-825</v>
      </c>
      <c r="V958" s="667">
        <v>0</v>
      </c>
      <c r="W958" s="667">
        <v>0</v>
      </c>
      <c r="X958" s="667">
        <v>0</v>
      </c>
      <c r="Y958" s="667">
        <v>0</v>
      </c>
      <c r="Z958" s="667">
        <v>0</v>
      </c>
      <c r="AA958" s="667">
        <v>0</v>
      </c>
      <c r="AB958" s="667">
        <v>0</v>
      </c>
      <c r="AC958" s="686">
        <v>0</v>
      </c>
      <c r="AD958" s="686">
        <v>13200</v>
      </c>
      <c r="AE958" s="667">
        <v>275.42</v>
      </c>
      <c r="AF958" s="719">
        <v>0</v>
      </c>
      <c r="AG958" s="686">
        <v>0</v>
      </c>
      <c r="AH958" s="716"/>
      <c r="AI958" s="716"/>
      <c r="AJ958" s="716"/>
      <c r="AK958" s="716"/>
      <c r="AL958" s="716"/>
      <c r="AM958" s="716"/>
      <c r="AN958" s="716"/>
      <c r="AO958" s="716"/>
      <c r="AP958" s="716"/>
      <c r="AQ958" s="716"/>
      <c r="AR958" s="716"/>
      <c r="AS958" s="716"/>
      <c r="AT958" s="716"/>
      <c r="AU958" s="716"/>
      <c r="AV958" s="716"/>
      <c r="AW958" s="716"/>
      <c r="AX958" s="716"/>
      <c r="AY958" s="716"/>
      <c r="AZ958" s="716"/>
      <c r="BA958" s="716"/>
      <c r="BB958" s="716"/>
      <c r="BC958" s="716"/>
      <c r="BD958" s="716"/>
      <c r="BE958" s="716"/>
      <c r="BF958" s="716"/>
      <c r="BG958" s="716"/>
      <c r="BH958" s="716"/>
      <c r="BI958" s="716"/>
      <c r="BJ958" s="716"/>
      <c r="BK958" s="716"/>
      <c r="BL958" s="716"/>
      <c r="BM958" s="716"/>
      <c r="BN958" s="716"/>
      <c r="BO958" s="716"/>
      <c r="BP958" s="716"/>
      <c r="BQ958" s="716"/>
      <c r="BR958" s="716"/>
      <c r="BS958" s="716"/>
      <c r="BT958" s="716"/>
      <c r="BU958" s="716"/>
      <c r="BV958" s="716"/>
      <c r="BW958" s="716"/>
      <c r="BX958" s="716"/>
      <c r="BY958" s="716"/>
      <c r="BZ958" s="716"/>
      <c r="CA958" s="716"/>
    </row>
    <row r="959" spans="1:79" hidden="1" outlineLevel="1" x14ac:dyDescent="0.25">
      <c r="A959" s="658"/>
      <c r="E959" s="570" t="s">
        <v>941</v>
      </c>
      <c r="F959" s="658" t="s">
        <v>596</v>
      </c>
      <c r="G959" s="719">
        <v>4.9900685449402831</v>
      </c>
      <c r="H959" s="719">
        <v>2.6459221476603156</v>
      </c>
      <c r="I959" s="719"/>
      <c r="J959" s="719">
        <v>5.5630395172448752</v>
      </c>
      <c r="K959" s="719">
        <v>58.749550654649759</v>
      </c>
      <c r="L959" s="719">
        <v>2.1385696206845415</v>
      </c>
      <c r="M959" s="719"/>
      <c r="N959" s="719">
        <v>2.5095139869985958</v>
      </c>
      <c r="O959" s="719">
        <v>0.7390027481414555</v>
      </c>
      <c r="P959" s="716">
        <v>11.61449056726843</v>
      </c>
      <c r="Q959" s="716">
        <v>48.34422948008816</v>
      </c>
      <c r="R959" s="716">
        <v>13.785746536198008</v>
      </c>
      <c r="S959" s="667">
        <v>90</v>
      </c>
      <c r="T959" s="667">
        <v>0</v>
      </c>
      <c r="U959" s="667">
        <v>0</v>
      </c>
      <c r="V959" s="667">
        <v>23.81</v>
      </c>
      <c r="W959" s="667">
        <v>0</v>
      </c>
      <c r="X959" s="667">
        <v>0</v>
      </c>
      <c r="Y959" s="667">
        <v>0</v>
      </c>
      <c r="Z959" s="667">
        <v>0</v>
      </c>
      <c r="AA959" s="667">
        <v>0</v>
      </c>
      <c r="AB959" s="667">
        <v>0</v>
      </c>
      <c r="AC959" s="686">
        <v>140.5</v>
      </c>
      <c r="AD959" s="686">
        <v>0</v>
      </c>
      <c r="AE959" s="667">
        <v>0</v>
      </c>
      <c r="AF959" s="719">
        <v>49</v>
      </c>
      <c r="AG959" s="686">
        <v>0</v>
      </c>
      <c r="AH959" s="716"/>
      <c r="AI959" s="716"/>
      <c r="AJ959" s="716"/>
      <c r="AK959" s="716"/>
      <c r="AL959" s="716"/>
      <c r="AM959" s="716"/>
      <c r="AN959" s="716"/>
      <c r="AO959" s="716"/>
      <c r="AP959" s="716"/>
      <c r="AQ959" s="716"/>
      <c r="AR959" s="716"/>
      <c r="AS959" s="716"/>
      <c r="AT959" s="716"/>
      <c r="AU959" s="716"/>
      <c r="AV959" s="716"/>
      <c r="AW959" s="716"/>
      <c r="AX959" s="716"/>
      <c r="AY959" s="716"/>
      <c r="AZ959" s="716"/>
      <c r="BA959" s="716"/>
      <c r="BB959" s="716"/>
      <c r="BC959" s="716"/>
      <c r="BD959" s="716"/>
      <c r="BE959" s="716"/>
      <c r="BF959" s="716"/>
      <c r="BG959" s="716"/>
      <c r="BH959" s="716"/>
      <c r="BI959" s="716"/>
      <c r="BJ959" s="716"/>
      <c r="BK959" s="716"/>
      <c r="BL959" s="716"/>
      <c r="BM959" s="716"/>
      <c r="BN959" s="716"/>
      <c r="BO959" s="716"/>
      <c r="BP959" s="716"/>
      <c r="BQ959" s="716"/>
      <c r="BR959" s="716"/>
      <c r="BS959" s="716"/>
      <c r="BT959" s="716"/>
      <c r="BU959" s="716"/>
      <c r="BV959" s="716"/>
      <c r="BW959" s="716"/>
      <c r="BX959" s="716"/>
      <c r="BY959" s="716"/>
      <c r="BZ959" s="716"/>
      <c r="CA959" s="716"/>
    </row>
    <row r="960" spans="1:79" hidden="1" outlineLevel="1" x14ac:dyDescent="0.25">
      <c r="A960" s="658"/>
      <c r="E960" s="570" t="s">
        <v>943</v>
      </c>
      <c r="F960" s="658" t="s">
        <v>597</v>
      </c>
      <c r="G960" s="719">
        <v>0</v>
      </c>
      <c r="H960" s="719"/>
      <c r="I960" s="719"/>
      <c r="J960" s="719">
        <v>132.79943183879004</v>
      </c>
      <c r="K960" s="719">
        <v>12.529450794529602</v>
      </c>
      <c r="L960" s="719"/>
      <c r="M960" s="719"/>
      <c r="N960" s="719"/>
      <c r="O960" s="719">
        <v>11.033422869515912</v>
      </c>
      <c r="P960" s="716">
        <v>0.21663515421589857</v>
      </c>
      <c r="Q960" s="716">
        <v>17.226076764688106</v>
      </c>
      <c r="R960" s="716"/>
      <c r="S960" s="667">
        <v>0</v>
      </c>
      <c r="T960" s="667">
        <v>0</v>
      </c>
      <c r="U960" s="667">
        <v>0</v>
      </c>
      <c r="V960" s="667">
        <v>502.62</v>
      </c>
      <c r="W960" s="667">
        <v>0</v>
      </c>
      <c r="X960" s="667">
        <v>0</v>
      </c>
      <c r="Y960" s="667">
        <v>0</v>
      </c>
      <c r="Z960" s="667">
        <v>446.1</v>
      </c>
      <c r="AA960" s="667">
        <v>0</v>
      </c>
      <c r="AB960" s="667">
        <v>0</v>
      </c>
      <c r="AC960" s="665">
        <v>246.6</v>
      </c>
      <c r="AD960" s="665">
        <v>0</v>
      </c>
      <c r="AE960" s="667">
        <v>0</v>
      </c>
      <c r="AF960" s="719">
        <v>0</v>
      </c>
      <c r="AG960" s="665">
        <v>0</v>
      </c>
      <c r="AH960" s="716"/>
      <c r="AI960" s="716"/>
      <c r="AJ960" s="716"/>
      <c r="AK960" s="716"/>
      <c r="AL960" s="716"/>
      <c r="AM960" s="716"/>
      <c r="AN960" s="716"/>
      <c r="AO960" s="716"/>
      <c r="AP960" s="716"/>
      <c r="AQ960" s="716"/>
      <c r="AR960" s="716"/>
      <c r="AS960" s="716"/>
      <c r="AT960" s="716"/>
      <c r="AU960" s="716"/>
      <c r="AV960" s="716"/>
      <c r="AW960" s="716"/>
      <c r="AX960" s="716"/>
      <c r="AY960" s="716"/>
      <c r="AZ960" s="716"/>
      <c r="BA960" s="716"/>
      <c r="BB960" s="716"/>
      <c r="BC960" s="716"/>
      <c r="BD960" s="716"/>
      <c r="BE960" s="716"/>
      <c r="BF960" s="716"/>
      <c r="BG960" s="716"/>
      <c r="BH960" s="716"/>
      <c r="BI960" s="716"/>
      <c r="BJ960" s="716"/>
      <c r="BK960" s="716"/>
      <c r="BL960" s="716"/>
      <c r="BM960" s="716"/>
      <c r="BN960" s="716"/>
      <c r="BO960" s="716"/>
      <c r="BP960" s="716"/>
      <c r="BQ960" s="716"/>
      <c r="BR960" s="716"/>
      <c r="BS960" s="716"/>
      <c r="BT960" s="716"/>
      <c r="BU960" s="716"/>
      <c r="BV960" s="716"/>
      <c r="BW960" s="716"/>
      <c r="BX960" s="716"/>
      <c r="BY960" s="716"/>
      <c r="BZ960" s="716"/>
      <c r="CA960" s="716"/>
    </row>
    <row r="961" spans="1:79" s="693" customFormat="1" hidden="1" outlineLevel="1" x14ac:dyDescent="0.25">
      <c r="A961" s="701"/>
      <c r="E961" s="570" t="s">
        <v>1339</v>
      </c>
      <c r="F961" s="701" t="s">
        <v>598</v>
      </c>
      <c r="G961" s="733"/>
      <c r="H961" s="733"/>
      <c r="I961" s="733"/>
      <c r="J961" s="733"/>
      <c r="K961" s="733"/>
      <c r="L961" s="733"/>
      <c r="M961" s="733"/>
      <c r="N961" s="733"/>
      <c r="O961" s="733"/>
      <c r="P961" s="734"/>
      <c r="Q961" s="734"/>
      <c r="R961" s="734"/>
      <c r="S961" s="697"/>
      <c r="T961" s="697"/>
      <c r="U961" s="697"/>
      <c r="V961" s="697"/>
      <c r="W961" s="697"/>
      <c r="X961" s="697"/>
      <c r="Y961" s="697"/>
      <c r="Z961" s="697"/>
      <c r="AA961" s="697"/>
      <c r="AB961" s="697"/>
      <c r="AC961" s="705"/>
      <c r="AD961" s="705"/>
      <c r="AE961" s="697"/>
      <c r="AF961" s="733"/>
      <c r="AG961" s="705"/>
      <c r="AH961" s="734"/>
      <c r="AI961" s="734"/>
      <c r="AJ961" s="734"/>
      <c r="AK961" s="734"/>
      <c r="AL961" s="734"/>
      <c r="AM961" s="734"/>
      <c r="AN961" s="734"/>
      <c r="AO961" s="734"/>
      <c r="AP961" s="734"/>
      <c r="AQ961" s="734"/>
      <c r="AR961" s="734"/>
      <c r="AS961" s="734"/>
      <c r="AT961" s="734"/>
      <c r="AU961" s="734"/>
      <c r="AV961" s="734"/>
      <c r="AW961" s="734"/>
      <c r="AX961" s="734"/>
      <c r="AY961" s="734"/>
      <c r="AZ961" s="734"/>
      <c r="BA961" s="734"/>
      <c r="BB961" s="734"/>
      <c r="BC961" s="734"/>
      <c r="BD961" s="734"/>
      <c r="BE961" s="734"/>
      <c r="BF961" s="734"/>
      <c r="BG961" s="734"/>
      <c r="BH961" s="734"/>
      <c r="BI961" s="734"/>
      <c r="BJ961" s="734"/>
      <c r="BK961" s="734"/>
      <c r="BL961" s="734"/>
      <c r="BM961" s="734"/>
      <c r="BN961" s="734"/>
      <c r="BO961" s="734"/>
      <c r="BP961" s="734"/>
      <c r="BQ961" s="734"/>
      <c r="BR961" s="734"/>
      <c r="BS961" s="734"/>
      <c r="BT961" s="734"/>
      <c r="BU961" s="734"/>
      <c r="BV961" s="734"/>
      <c r="BW961" s="734"/>
      <c r="BX961" s="734"/>
      <c r="BY961" s="734"/>
      <c r="BZ961" s="734"/>
      <c r="CA961" s="734"/>
    </row>
    <row r="962" spans="1:79" hidden="1" outlineLevel="1" x14ac:dyDescent="0.25">
      <c r="A962" s="656"/>
      <c r="B962" s="570"/>
      <c r="C962" s="570"/>
      <c r="D962" s="570"/>
      <c r="E962" s="570" t="s">
        <v>1339</v>
      </c>
      <c r="F962" s="656" t="s">
        <v>649</v>
      </c>
      <c r="G962" s="719"/>
      <c r="H962" s="719"/>
      <c r="I962" s="719"/>
      <c r="J962" s="719"/>
      <c r="K962" s="719"/>
      <c r="L962" s="719"/>
      <c r="M962" s="719"/>
      <c r="N962" s="719"/>
      <c r="O962" s="719"/>
      <c r="P962" s="716"/>
      <c r="Q962" s="716"/>
      <c r="R962" s="716"/>
      <c r="S962" s="676">
        <v>0</v>
      </c>
      <c r="T962" s="676">
        <v>0</v>
      </c>
      <c r="U962" s="676">
        <v>0</v>
      </c>
      <c r="V962" s="676">
        <v>0</v>
      </c>
      <c r="W962" s="676">
        <v>0</v>
      </c>
      <c r="X962" s="676">
        <v>0</v>
      </c>
      <c r="Y962" s="676">
        <v>0</v>
      </c>
      <c r="Z962" s="676">
        <v>0</v>
      </c>
      <c r="AA962" s="676">
        <v>0</v>
      </c>
      <c r="AB962" s="676">
        <v>0</v>
      </c>
      <c r="AC962" s="687">
        <v>0</v>
      </c>
      <c r="AD962" s="687">
        <v>0</v>
      </c>
      <c r="AE962" s="676">
        <v>0</v>
      </c>
      <c r="AF962" s="719">
        <v>0</v>
      </c>
      <c r="AG962" s="687">
        <v>0</v>
      </c>
      <c r="AH962" s="716"/>
      <c r="AI962" s="716"/>
      <c r="AJ962" s="716"/>
      <c r="AK962" s="716"/>
      <c r="AL962" s="716"/>
      <c r="AM962" s="716"/>
      <c r="AN962" s="716"/>
      <c r="AO962" s="716"/>
      <c r="AP962" s="716"/>
      <c r="AQ962" s="716"/>
      <c r="AR962" s="716"/>
      <c r="AS962" s="716"/>
      <c r="AT962" s="716"/>
      <c r="AU962" s="716"/>
      <c r="AV962" s="716"/>
      <c r="AW962" s="716"/>
      <c r="AX962" s="716"/>
      <c r="AY962" s="716"/>
      <c r="AZ962" s="716"/>
      <c r="BA962" s="716"/>
      <c r="BB962" s="716"/>
      <c r="BC962" s="716"/>
      <c r="BD962" s="716"/>
      <c r="BE962" s="716"/>
      <c r="BF962" s="716"/>
      <c r="BG962" s="716"/>
      <c r="BH962" s="716"/>
      <c r="BI962" s="716"/>
      <c r="BJ962" s="716"/>
      <c r="BK962" s="716"/>
      <c r="BL962" s="716"/>
      <c r="BM962" s="716"/>
      <c r="BN962" s="716"/>
      <c r="BO962" s="716"/>
      <c r="BP962" s="716"/>
      <c r="BQ962" s="716"/>
      <c r="BR962" s="716"/>
      <c r="BS962" s="716"/>
      <c r="BT962" s="716"/>
      <c r="BU962" s="716"/>
      <c r="BV962" s="716"/>
      <c r="BW962" s="716"/>
      <c r="BX962" s="716"/>
      <c r="BY962" s="716"/>
      <c r="BZ962" s="716"/>
      <c r="CA962" s="716"/>
    </row>
    <row r="963" spans="1:79" hidden="1" outlineLevel="1" x14ac:dyDescent="0.25">
      <c r="A963" s="656"/>
      <c r="B963" s="570"/>
      <c r="C963" s="570"/>
      <c r="D963" s="570"/>
      <c r="E963" s="570" t="s">
        <v>1339</v>
      </c>
      <c r="F963" s="656" t="s">
        <v>620</v>
      </c>
      <c r="G963" s="719"/>
      <c r="H963" s="719"/>
      <c r="I963" s="719"/>
      <c r="J963" s="719"/>
      <c r="K963" s="719"/>
      <c r="L963" s="719"/>
      <c r="M963" s="719"/>
      <c r="N963" s="719"/>
      <c r="O963" s="719"/>
      <c r="P963" s="716"/>
      <c r="Q963" s="716"/>
      <c r="R963" s="716"/>
      <c r="S963" s="667">
        <v>0</v>
      </c>
      <c r="T963" s="667">
        <v>0</v>
      </c>
      <c r="U963" s="667">
        <v>0</v>
      </c>
      <c r="V963" s="667">
        <v>0</v>
      </c>
      <c r="W963" s="667">
        <v>0</v>
      </c>
      <c r="X963" s="667">
        <v>0</v>
      </c>
      <c r="Y963" s="667">
        <v>0</v>
      </c>
      <c r="Z963" s="667">
        <v>0</v>
      </c>
      <c r="AA963" s="667">
        <v>0</v>
      </c>
      <c r="AB963" s="667">
        <v>0</v>
      </c>
      <c r="AC963" s="682">
        <v>0</v>
      </c>
      <c r="AD963" s="682">
        <v>0</v>
      </c>
      <c r="AE963" s="667">
        <v>0</v>
      </c>
      <c r="AF963" s="719">
        <v>0</v>
      </c>
      <c r="AG963" s="682">
        <v>0</v>
      </c>
      <c r="AH963" s="716"/>
      <c r="AI963" s="716"/>
      <c r="AJ963" s="716"/>
      <c r="AK963" s="716"/>
      <c r="AL963" s="716"/>
      <c r="AM963" s="716"/>
      <c r="AN963" s="716"/>
      <c r="AO963" s="716"/>
      <c r="AP963" s="716"/>
      <c r="AQ963" s="716"/>
      <c r="AR963" s="716"/>
      <c r="AS963" s="716"/>
      <c r="AT963" s="716"/>
      <c r="AU963" s="716"/>
      <c r="AV963" s="716"/>
      <c r="AW963" s="716"/>
      <c r="AX963" s="716"/>
      <c r="AY963" s="716"/>
      <c r="AZ963" s="716"/>
      <c r="BA963" s="716"/>
      <c r="BB963" s="716"/>
      <c r="BC963" s="716"/>
      <c r="BD963" s="716"/>
      <c r="BE963" s="716"/>
      <c r="BF963" s="716"/>
      <c r="BG963" s="716"/>
      <c r="BH963" s="716"/>
      <c r="BI963" s="716"/>
      <c r="BJ963" s="716"/>
      <c r="BK963" s="716"/>
      <c r="BL963" s="716"/>
      <c r="BM963" s="716"/>
      <c r="BN963" s="716"/>
      <c r="BO963" s="716"/>
      <c r="BP963" s="716"/>
      <c r="BQ963" s="716"/>
      <c r="BR963" s="716"/>
      <c r="BS963" s="716"/>
      <c r="BT963" s="716"/>
      <c r="BU963" s="716"/>
      <c r="BV963" s="716"/>
      <c r="BW963" s="716"/>
      <c r="BX963" s="716"/>
      <c r="BY963" s="716"/>
      <c r="BZ963" s="716"/>
      <c r="CA963" s="716"/>
    </row>
    <row r="964" spans="1:79" hidden="1" outlineLevel="1" x14ac:dyDescent="0.25">
      <c r="A964" s="656"/>
      <c r="B964" s="570"/>
      <c r="C964" s="570"/>
      <c r="D964" s="570"/>
      <c r="E964" s="570" t="s">
        <v>1339</v>
      </c>
      <c r="F964" s="656" t="s">
        <v>666</v>
      </c>
      <c r="G964" s="719"/>
      <c r="H964" s="719"/>
      <c r="I964" s="719"/>
      <c r="J964" s="719"/>
      <c r="K964" s="719"/>
      <c r="L964" s="719"/>
      <c r="M964" s="719"/>
      <c r="N964" s="719"/>
      <c r="O964" s="719"/>
      <c r="P964" s="716"/>
      <c r="Q964" s="716"/>
      <c r="R964" s="716"/>
      <c r="S964" s="667">
        <v>0</v>
      </c>
      <c r="T964" s="667">
        <v>0</v>
      </c>
      <c r="U964" s="667">
        <v>0</v>
      </c>
      <c r="V964" s="667">
        <v>0</v>
      </c>
      <c r="W964" s="667">
        <v>0</v>
      </c>
      <c r="X964" s="667">
        <v>0</v>
      </c>
      <c r="Y964" s="667">
        <v>0</v>
      </c>
      <c r="Z964" s="667">
        <v>0</v>
      </c>
      <c r="AA964" s="667">
        <v>0</v>
      </c>
      <c r="AB964" s="667">
        <v>0</v>
      </c>
      <c r="AC964" s="682">
        <v>11937.5</v>
      </c>
      <c r="AD964" s="682">
        <v>0</v>
      </c>
      <c r="AE964" s="667">
        <v>0</v>
      </c>
      <c r="AF964" s="719">
        <v>6814.5</v>
      </c>
      <c r="AG964" s="682">
        <v>0</v>
      </c>
      <c r="AH964" s="716"/>
      <c r="AI964" s="716"/>
      <c r="AJ964" s="716"/>
      <c r="AK964" s="716"/>
      <c r="AL964" s="716"/>
      <c r="AM964" s="716"/>
      <c r="AN964" s="716"/>
      <c r="AO964" s="716"/>
      <c r="AP964" s="716"/>
      <c r="AQ964" s="716"/>
      <c r="AR964" s="716"/>
      <c r="AS964" s="716"/>
      <c r="AT964" s="716"/>
      <c r="AU964" s="716"/>
      <c r="AV964" s="716"/>
      <c r="AW964" s="716"/>
      <c r="AX964" s="716"/>
      <c r="AY964" s="716"/>
      <c r="AZ964" s="716"/>
      <c r="BA964" s="716"/>
      <c r="BB964" s="716"/>
      <c r="BC964" s="716"/>
      <c r="BD964" s="716"/>
      <c r="BE964" s="716"/>
      <c r="BF964" s="716"/>
      <c r="BG964" s="716"/>
      <c r="BH964" s="716"/>
      <c r="BI964" s="716"/>
      <c r="BJ964" s="716"/>
      <c r="BK964" s="716"/>
      <c r="BL964" s="716"/>
      <c r="BM964" s="716"/>
      <c r="BN964" s="716"/>
      <c r="BO964" s="716"/>
      <c r="BP964" s="716"/>
      <c r="BQ964" s="716"/>
      <c r="BR964" s="716"/>
      <c r="BS964" s="716"/>
      <c r="BT964" s="716"/>
      <c r="BU964" s="716"/>
      <c r="BV964" s="716"/>
      <c r="BW964" s="716"/>
      <c r="BX964" s="716"/>
      <c r="BY964" s="716"/>
      <c r="BZ964" s="716"/>
      <c r="CA964" s="716"/>
    </row>
    <row r="965" spans="1:79" hidden="1" outlineLevel="1" x14ac:dyDescent="0.25">
      <c r="A965" s="656"/>
      <c r="B965" s="570"/>
      <c r="C965" s="570"/>
      <c r="D965" s="570"/>
      <c r="E965" s="570" t="s">
        <v>1339</v>
      </c>
      <c r="F965" s="656" t="s">
        <v>621</v>
      </c>
      <c r="G965" s="719"/>
      <c r="H965" s="719"/>
      <c r="I965" s="719"/>
      <c r="J965" s="719"/>
      <c r="K965" s="719"/>
      <c r="L965" s="719"/>
      <c r="M965" s="719"/>
      <c r="N965" s="719"/>
      <c r="O965" s="719"/>
      <c r="P965" s="716"/>
      <c r="Q965" s="716"/>
      <c r="R965" s="716"/>
      <c r="S965" s="667">
        <v>0</v>
      </c>
      <c r="T965" s="667">
        <v>0</v>
      </c>
      <c r="U965" s="667">
        <v>0</v>
      </c>
      <c r="V965" s="667">
        <v>0</v>
      </c>
      <c r="W965" s="667">
        <v>0</v>
      </c>
      <c r="X965" s="667">
        <v>0</v>
      </c>
      <c r="Y965" s="667">
        <v>0</v>
      </c>
      <c r="Z965" s="667">
        <v>0</v>
      </c>
      <c r="AA965" s="667">
        <v>0</v>
      </c>
      <c r="AB965" s="667">
        <v>0</v>
      </c>
      <c r="AC965" s="682">
        <v>0</v>
      </c>
      <c r="AD965" s="682">
        <v>11564</v>
      </c>
      <c r="AE965" s="667">
        <v>0</v>
      </c>
      <c r="AF965" s="716">
        <v>0</v>
      </c>
      <c r="AG965" s="682">
        <v>0</v>
      </c>
      <c r="AH965" s="716"/>
      <c r="AI965" s="716"/>
      <c r="AJ965" s="716"/>
      <c r="AK965" s="716"/>
      <c r="AL965" s="716"/>
      <c r="AM965" s="716"/>
      <c r="AN965" s="716"/>
      <c r="AO965" s="716"/>
      <c r="AP965" s="716"/>
      <c r="AQ965" s="716"/>
      <c r="AR965" s="716"/>
      <c r="AS965" s="716"/>
      <c r="AT965" s="716"/>
      <c r="AU965" s="716"/>
      <c r="AV965" s="716"/>
      <c r="AW965" s="716"/>
      <c r="AX965" s="716"/>
      <c r="AY965" s="716"/>
      <c r="AZ965" s="716"/>
      <c r="BA965" s="716"/>
      <c r="BB965" s="716"/>
      <c r="BC965" s="716"/>
      <c r="BD965" s="716"/>
      <c r="BE965" s="716"/>
      <c r="BF965" s="716"/>
      <c r="BG965" s="716"/>
      <c r="BH965" s="716"/>
      <c r="BI965" s="716"/>
      <c r="BJ965" s="716"/>
      <c r="BK965" s="716"/>
      <c r="BL965" s="716"/>
      <c r="BM965" s="716"/>
      <c r="BN965" s="716"/>
      <c r="BO965" s="716"/>
      <c r="BP965" s="716"/>
      <c r="BQ965" s="716"/>
      <c r="BR965" s="716"/>
      <c r="BS965" s="716"/>
      <c r="BT965" s="716"/>
      <c r="BU965" s="716"/>
      <c r="BV965" s="716"/>
      <c r="BW965" s="716"/>
      <c r="BX965" s="716"/>
      <c r="BY965" s="716"/>
      <c r="BZ965" s="716"/>
      <c r="CA965" s="716"/>
    </row>
    <row r="966" spans="1:79" hidden="1" outlineLevel="1" x14ac:dyDescent="0.25">
      <c r="A966" s="656"/>
      <c r="B966" s="570"/>
      <c r="C966" s="570"/>
      <c r="D966" s="570"/>
      <c r="E966" s="570" t="s">
        <v>1339</v>
      </c>
      <c r="F966" s="656" t="s">
        <v>650</v>
      </c>
      <c r="G966" s="719"/>
      <c r="H966" s="719"/>
      <c r="I966" s="719"/>
      <c r="J966" s="719"/>
      <c r="K966" s="719"/>
      <c r="L966" s="719"/>
      <c r="M966" s="719"/>
      <c r="N966" s="719"/>
      <c r="O966" s="719"/>
      <c r="P966" s="716"/>
      <c r="Q966" s="716"/>
      <c r="R966" s="716"/>
      <c r="S966" s="667">
        <v>0</v>
      </c>
      <c r="T966" s="667">
        <v>0</v>
      </c>
      <c r="U966" s="667">
        <v>0</v>
      </c>
      <c r="V966" s="667">
        <v>0</v>
      </c>
      <c r="W966" s="667">
        <v>0</v>
      </c>
      <c r="X966" s="667">
        <v>0</v>
      </c>
      <c r="Y966" s="667">
        <v>0</v>
      </c>
      <c r="Z966" s="667">
        <v>0</v>
      </c>
      <c r="AA966" s="667">
        <v>0</v>
      </c>
      <c r="AB966" s="667">
        <v>0</v>
      </c>
      <c r="AC966" s="682">
        <v>0</v>
      </c>
      <c r="AD966" s="682">
        <v>0</v>
      </c>
      <c r="AE966" s="667">
        <v>0</v>
      </c>
      <c r="AF966" s="716">
        <v>0</v>
      </c>
      <c r="AG966" s="682">
        <v>0</v>
      </c>
      <c r="AH966" s="716"/>
      <c r="AI966" s="716"/>
      <c r="AJ966" s="716"/>
      <c r="AK966" s="716"/>
      <c r="AL966" s="716"/>
      <c r="AM966" s="716"/>
      <c r="AN966" s="716"/>
      <c r="AO966" s="716"/>
      <c r="AP966" s="716"/>
      <c r="AQ966" s="716"/>
      <c r="AR966" s="716"/>
      <c r="AS966" s="716"/>
      <c r="AT966" s="716"/>
      <c r="AU966" s="716"/>
      <c r="AV966" s="716"/>
      <c r="AW966" s="716"/>
      <c r="AX966" s="716"/>
      <c r="AY966" s="716"/>
      <c r="AZ966" s="716"/>
      <c r="BA966" s="716"/>
      <c r="BB966" s="716"/>
      <c r="BC966" s="716"/>
      <c r="BD966" s="716"/>
      <c r="BE966" s="716"/>
      <c r="BF966" s="716"/>
      <c r="BG966" s="716"/>
      <c r="BH966" s="716"/>
      <c r="BI966" s="716"/>
      <c r="BJ966" s="716"/>
      <c r="BK966" s="716"/>
      <c r="BL966" s="716"/>
      <c r="BM966" s="716"/>
      <c r="BN966" s="716"/>
      <c r="BO966" s="716"/>
      <c r="BP966" s="716"/>
      <c r="BQ966" s="716"/>
      <c r="BR966" s="716"/>
      <c r="BS966" s="716"/>
      <c r="BT966" s="716"/>
      <c r="BU966" s="716"/>
      <c r="BV966" s="716"/>
      <c r="BW966" s="716"/>
      <c r="BX966" s="716"/>
      <c r="BY966" s="716"/>
      <c r="BZ966" s="716"/>
      <c r="CA966" s="716"/>
    </row>
    <row r="967" spans="1:79" hidden="1" outlineLevel="1" x14ac:dyDescent="0.25">
      <c r="A967" s="656"/>
      <c r="B967" s="570"/>
      <c r="C967" s="570"/>
      <c r="D967" s="570"/>
      <c r="E967" s="570" t="s">
        <v>1339</v>
      </c>
      <c r="F967" s="656" t="s">
        <v>647</v>
      </c>
      <c r="G967" s="719"/>
      <c r="H967" s="719"/>
      <c r="I967" s="719"/>
      <c r="J967" s="719"/>
      <c r="K967" s="719"/>
      <c r="L967" s="719"/>
      <c r="M967" s="719"/>
      <c r="N967" s="719"/>
      <c r="O967" s="719"/>
      <c r="P967" s="716"/>
      <c r="Q967" s="716"/>
      <c r="R967" s="716"/>
      <c r="S967" s="684">
        <v>0</v>
      </c>
      <c r="T967" s="684">
        <v>0</v>
      </c>
      <c r="U967" s="684">
        <v>0</v>
      </c>
      <c r="V967" s="684">
        <v>0</v>
      </c>
      <c r="W967" s="684">
        <v>0</v>
      </c>
      <c r="X967" s="684">
        <v>0</v>
      </c>
      <c r="Y967" s="684">
        <v>0</v>
      </c>
      <c r="Z967" s="684">
        <v>0</v>
      </c>
      <c r="AA967" s="684">
        <v>0</v>
      </c>
      <c r="AB967" s="684">
        <v>0</v>
      </c>
      <c r="AC967" s="686">
        <v>0</v>
      </c>
      <c r="AD967" s="686">
        <v>0</v>
      </c>
      <c r="AE967" s="684">
        <v>0</v>
      </c>
      <c r="AF967" s="716">
        <v>0</v>
      </c>
      <c r="AG967" s="686">
        <v>0</v>
      </c>
      <c r="AH967" s="716"/>
      <c r="AI967" s="716"/>
      <c r="AJ967" s="716"/>
      <c r="AK967" s="716"/>
      <c r="AL967" s="716"/>
      <c r="AM967" s="716"/>
      <c r="AN967" s="716"/>
      <c r="AO967" s="716"/>
      <c r="AP967" s="716"/>
      <c r="AQ967" s="716"/>
      <c r="AR967" s="716"/>
      <c r="AS967" s="716"/>
      <c r="AT967" s="716"/>
      <c r="AU967" s="716"/>
      <c r="AV967" s="716"/>
      <c r="AW967" s="716"/>
      <c r="AX967" s="716"/>
      <c r="AY967" s="716"/>
      <c r="AZ967" s="716"/>
      <c r="BA967" s="716"/>
      <c r="BB967" s="716"/>
      <c r="BC967" s="716"/>
      <c r="BD967" s="716"/>
      <c r="BE967" s="716"/>
      <c r="BF967" s="716"/>
      <c r="BG967" s="716"/>
      <c r="BH967" s="716"/>
      <c r="BI967" s="716"/>
      <c r="BJ967" s="716"/>
      <c r="BK967" s="716"/>
      <c r="BL967" s="716"/>
      <c r="BM967" s="716"/>
      <c r="BN967" s="716"/>
      <c r="BO967" s="716"/>
      <c r="BP967" s="716"/>
      <c r="BQ967" s="716"/>
      <c r="BR967" s="716"/>
      <c r="BS967" s="716"/>
      <c r="BT967" s="716"/>
      <c r="BU967" s="716"/>
      <c r="BV967" s="716"/>
      <c r="BW967" s="716"/>
      <c r="BX967" s="716"/>
      <c r="BY967" s="716"/>
      <c r="BZ967" s="716"/>
      <c r="CA967" s="716"/>
    </row>
    <row r="968" spans="1:79" hidden="1" outlineLevel="1" x14ac:dyDescent="0.25">
      <c r="A968" s="656"/>
      <c r="B968" s="570"/>
      <c r="C968" s="570"/>
      <c r="D968" s="570"/>
      <c r="E968" s="570" t="s">
        <v>1339</v>
      </c>
      <c r="F968" s="656" t="s">
        <v>889</v>
      </c>
      <c r="G968" s="719"/>
      <c r="H968" s="719"/>
      <c r="I968" s="719"/>
      <c r="J968" s="719"/>
      <c r="K968" s="719"/>
      <c r="L968" s="719"/>
      <c r="M968" s="719"/>
      <c r="N968" s="719"/>
      <c r="O968" s="719"/>
      <c r="P968" s="716"/>
      <c r="Q968" s="716"/>
      <c r="R968" s="716"/>
      <c r="S968" s="684">
        <v>0</v>
      </c>
      <c r="T968" s="684">
        <v>0</v>
      </c>
      <c r="U968" s="684">
        <v>0</v>
      </c>
      <c r="V968" s="684">
        <v>0</v>
      </c>
      <c r="W968" s="684">
        <v>0</v>
      </c>
      <c r="X968" s="684">
        <v>0</v>
      </c>
      <c r="Y968" s="684">
        <v>0</v>
      </c>
      <c r="Z968" s="684">
        <v>0</v>
      </c>
      <c r="AA968" s="684">
        <v>0</v>
      </c>
      <c r="AB968" s="684">
        <v>0</v>
      </c>
      <c r="AC968" s="686">
        <v>0</v>
      </c>
      <c r="AD968" s="686">
        <v>0</v>
      </c>
      <c r="AE968" s="684">
        <v>0</v>
      </c>
      <c r="AF968" s="716">
        <v>0</v>
      </c>
      <c r="AG968" s="686">
        <v>0</v>
      </c>
      <c r="AH968" s="716"/>
      <c r="AI968" s="716"/>
      <c r="AJ968" s="716"/>
      <c r="AK968" s="716"/>
      <c r="AL968" s="716"/>
      <c r="AM968" s="716"/>
      <c r="AN968" s="716"/>
      <c r="AO968" s="716"/>
      <c r="AP968" s="716"/>
      <c r="AQ968" s="716"/>
      <c r="AR968" s="716"/>
      <c r="AS968" s="716"/>
      <c r="AT968" s="716"/>
      <c r="AU968" s="716"/>
      <c r="AV968" s="716"/>
      <c r="AW968" s="716"/>
      <c r="AX968" s="716"/>
      <c r="AY968" s="716"/>
      <c r="AZ968" s="716"/>
      <c r="BA968" s="716"/>
      <c r="BB968" s="716"/>
      <c r="BC968" s="716"/>
      <c r="BD968" s="716"/>
      <c r="BE968" s="716"/>
      <c r="BF968" s="716"/>
      <c r="BG968" s="716"/>
      <c r="BH968" s="716"/>
      <c r="BI968" s="716"/>
      <c r="BJ968" s="716"/>
      <c r="BK968" s="716"/>
      <c r="BL968" s="716"/>
      <c r="BM968" s="716"/>
      <c r="BN968" s="716"/>
      <c r="BO968" s="716"/>
      <c r="BP968" s="716"/>
      <c r="BQ968" s="716"/>
      <c r="BR968" s="716"/>
      <c r="BS968" s="716"/>
      <c r="BT968" s="716"/>
      <c r="BU968" s="716"/>
      <c r="BV968" s="716"/>
      <c r="BW968" s="716"/>
      <c r="BX968" s="716"/>
      <c r="BY968" s="716"/>
      <c r="BZ968" s="716"/>
      <c r="CA968" s="716"/>
    </row>
    <row r="969" spans="1:79" hidden="1" outlineLevel="1" x14ac:dyDescent="0.25">
      <c r="A969" s="656"/>
      <c r="B969" s="570"/>
      <c r="C969" s="570"/>
      <c r="D969" s="570"/>
      <c r="E969" s="570" t="s">
        <v>1339</v>
      </c>
      <c r="F969" s="656" t="s">
        <v>684</v>
      </c>
      <c r="G969" s="719"/>
      <c r="H969" s="719"/>
      <c r="I969" s="719"/>
      <c r="J969" s="719"/>
      <c r="K969" s="719"/>
      <c r="L969" s="719"/>
      <c r="M969" s="719"/>
      <c r="N969" s="719"/>
      <c r="O969" s="719"/>
      <c r="P969" s="716"/>
      <c r="Q969" s="716"/>
      <c r="R969" s="716"/>
      <c r="S969" s="667">
        <v>0</v>
      </c>
      <c r="T969" s="667">
        <v>0</v>
      </c>
      <c r="U969" s="667">
        <v>0</v>
      </c>
      <c r="V969" s="667">
        <v>0</v>
      </c>
      <c r="W969" s="667">
        <v>0</v>
      </c>
      <c r="X969" s="667">
        <v>0</v>
      </c>
      <c r="Y969" s="667">
        <v>0</v>
      </c>
      <c r="Z969" s="667">
        <v>0</v>
      </c>
      <c r="AA969" s="667">
        <v>0</v>
      </c>
      <c r="AB969" s="667">
        <v>0</v>
      </c>
      <c r="AC969" s="686">
        <v>0</v>
      </c>
      <c r="AD969" s="686">
        <v>0</v>
      </c>
      <c r="AE969" s="667">
        <v>0</v>
      </c>
      <c r="AF969" s="716">
        <v>0</v>
      </c>
      <c r="AG969" s="686">
        <v>0</v>
      </c>
      <c r="AH969" s="716"/>
      <c r="AI969" s="716"/>
      <c r="AJ969" s="716"/>
      <c r="AK969" s="716"/>
      <c r="AL969" s="716"/>
      <c r="AM969" s="716"/>
      <c r="AN969" s="716"/>
      <c r="AO969" s="716"/>
      <c r="AP969" s="716"/>
      <c r="AQ969" s="716"/>
      <c r="AR969" s="716"/>
      <c r="AS969" s="716"/>
      <c r="AT969" s="716"/>
      <c r="AU969" s="716"/>
      <c r="AV969" s="716"/>
      <c r="AW969" s="716"/>
      <c r="AX969" s="716"/>
      <c r="AY969" s="716"/>
      <c r="AZ969" s="716"/>
      <c r="BA969" s="716"/>
      <c r="BB969" s="716"/>
      <c r="BC969" s="716"/>
      <c r="BD969" s="716"/>
      <c r="BE969" s="716"/>
      <c r="BF969" s="716"/>
      <c r="BG969" s="716"/>
      <c r="BH969" s="716"/>
      <c r="BI969" s="716"/>
      <c r="BJ969" s="716"/>
      <c r="BK969" s="716"/>
      <c r="BL969" s="716"/>
      <c r="BM969" s="716"/>
      <c r="BN969" s="716"/>
      <c r="BO969" s="716"/>
      <c r="BP969" s="716"/>
      <c r="BQ969" s="716"/>
      <c r="BR969" s="716"/>
      <c r="BS969" s="716"/>
      <c r="BT969" s="716"/>
      <c r="BU969" s="716"/>
      <c r="BV969" s="716"/>
      <c r="BW969" s="716"/>
      <c r="BX969" s="716"/>
      <c r="BY969" s="716"/>
      <c r="BZ969" s="716"/>
      <c r="CA969" s="716"/>
    </row>
    <row r="970" spans="1:79" hidden="1" outlineLevel="1" x14ac:dyDescent="0.25">
      <c r="A970" s="656"/>
      <c r="B970" s="570"/>
      <c r="C970" s="570"/>
      <c r="D970" s="570"/>
      <c r="E970" s="570" t="s">
        <v>1339</v>
      </c>
      <c r="F970" s="656" t="s">
        <v>890</v>
      </c>
      <c r="G970" s="719">
        <v>0</v>
      </c>
      <c r="H970" s="719">
        <v>55.832921453055825</v>
      </c>
      <c r="I970" s="719">
        <v>0</v>
      </c>
      <c r="J970" s="719">
        <v>103.44283361308359</v>
      </c>
      <c r="K970" s="719">
        <v>101.80178770555302</v>
      </c>
      <c r="L970" s="719">
        <v>1130.4627970036445</v>
      </c>
      <c r="M970" s="719">
        <v>2297.2124127527545</v>
      </c>
      <c r="N970" s="719">
        <v>2044.2670118808787</v>
      </c>
      <c r="O970" s="719">
        <v>2679.5086837734311</v>
      </c>
      <c r="P970" s="716">
        <v>745.96813139671644</v>
      </c>
      <c r="Q970" s="716">
        <v>3026.0501909467307</v>
      </c>
      <c r="R970" s="716">
        <v>692.86714036847081</v>
      </c>
      <c r="S970" s="667">
        <v>0</v>
      </c>
      <c r="T970" s="667">
        <v>0</v>
      </c>
      <c r="U970" s="667">
        <v>0</v>
      </c>
      <c r="V970" s="667">
        <v>0</v>
      </c>
      <c r="W970" s="667">
        <v>0</v>
      </c>
      <c r="X970" s="667">
        <v>0</v>
      </c>
      <c r="Y970" s="667">
        <v>0</v>
      </c>
      <c r="Z970" s="667">
        <v>0</v>
      </c>
      <c r="AA970" s="667">
        <v>0</v>
      </c>
      <c r="AB970" s="667">
        <v>0</v>
      </c>
      <c r="AC970" s="686">
        <v>0</v>
      </c>
      <c r="AD970" s="686">
        <v>0</v>
      </c>
      <c r="AE970" s="667">
        <v>0</v>
      </c>
      <c r="AF970" s="716">
        <v>0</v>
      </c>
      <c r="AG970" s="686">
        <v>0</v>
      </c>
      <c r="AH970" s="716"/>
      <c r="AI970" s="716"/>
      <c r="AJ970" s="716"/>
      <c r="AK970" s="716"/>
      <c r="AL970" s="716"/>
      <c r="AM970" s="716"/>
      <c r="AN970" s="716"/>
      <c r="AO970" s="716"/>
      <c r="AP970" s="716"/>
      <c r="AQ970" s="716"/>
      <c r="AR970" s="716"/>
      <c r="AS970" s="716"/>
      <c r="AT970" s="716"/>
      <c r="AU970" s="716"/>
      <c r="AV970" s="716"/>
      <c r="AW970" s="716"/>
      <c r="AX970" s="716"/>
      <c r="AY970" s="716"/>
      <c r="AZ970" s="716"/>
      <c r="BA970" s="716"/>
      <c r="BB970" s="716"/>
      <c r="BC970" s="716"/>
      <c r="BD970" s="716"/>
      <c r="BE970" s="716"/>
      <c r="BF970" s="716"/>
      <c r="BG970" s="716"/>
      <c r="BH970" s="716"/>
      <c r="BI970" s="716"/>
      <c r="BJ970" s="716"/>
      <c r="BK970" s="716"/>
      <c r="BL970" s="716"/>
      <c r="BM970" s="716"/>
      <c r="BN970" s="716"/>
      <c r="BO970" s="716"/>
      <c r="BP970" s="716"/>
      <c r="BQ970" s="716"/>
      <c r="BR970" s="716"/>
      <c r="BS970" s="716"/>
      <c r="BT970" s="716"/>
      <c r="BU970" s="716"/>
      <c r="BV970" s="716"/>
      <c r="BW970" s="716"/>
      <c r="BX970" s="716"/>
      <c r="BY970" s="716"/>
      <c r="BZ970" s="716"/>
      <c r="CA970" s="716"/>
    </row>
    <row r="971" spans="1:79" hidden="1" outlineLevel="1" x14ac:dyDescent="0.25">
      <c r="A971" s="659"/>
      <c r="E971" s="570" t="s">
        <v>49</v>
      </c>
      <c r="F971" s="659" t="s">
        <v>622</v>
      </c>
      <c r="G971" s="664">
        <f>SUM(G962:G970)</f>
        <v>0</v>
      </c>
      <c r="H971" s="664">
        <f t="shared" ref="H971:BO971" si="401">SUM(H962:H970)</f>
        <v>55.832921453055825</v>
      </c>
      <c r="I971" s="664">
        <f t="shared" si="401"/>
        <v>0</v>
      </c>
      <c r="J971" s="664">
        <f t="shared" si="401"/>
        <v>103.44283361308359</v>
      </c>
      <c r="K971" s="664">
        <f t="shared" si="401"/>
        <v>101.80178770555302</v>
      </c>
      <c r="L971" s="664">
        <f t="shared" si="401"/>
        <v>1130.4627970036445</v>
      </c>
      <c r="M971" s="664">
        <f t="shared" si="401"/>
        <v>2297.2124127527545</v>
      </c>
      <c r="N971" s="664">
        <f t="shared" si="401"/>
        <v>2044.2670118808787</v>
      </c>
      <c r="O971" s="664">
        <f t="shared" si="401"/>
        <v>2679.5086837734311</v>
      </c>
      <c r="P971" s="664">
        <f t="shared" si="401"/>
        <v>745.96813139671644</v>
      </c>
      <c r="Q971" s="664">
        <f t="shared" si="401"/>
        <v>3026.0501909467307</v>
      </c>
      <c r="R971" s="664">
        <f t="shared" si="401"/>
        <v>692.86714036847081</v>
      </c>
      <c r="S971" s="680">
        <f t="shared" ref="S971:AA971" si="402">ROUND(SUM(S961:S970),5)</f>
        <v>0</v>
      </c>
      <c r="T971" s="680">
        <f t="shared" si="402"/>
        <v>0</v>
      </c>
      <c r="U971" s="680">
        <f t="shared" si="402"/>
        <v>0</v>
      </c>
      <c r="V971" s="680">
        <f t="shared" si="402"/>
        <v>0</v>
      </c>
      <c r="W971" s="680">
        <f t="shared" si="402"/>
        <v>0</v>
      </c>
      <c r="X971" s="680">
        <f t="shared" si="402"/>
        <v>0</v>
      </c>
      <c r="Y971" s="680">
        <f t="shared" si="402"/>
        <v>0</v>
      </c>
      <c r="Z971" s="680">
        <f t="shared" si="402"/>
        <v>0</v>
      </c>
      <c r="AA971" s="680">
        <f t="shared" si="402"/>
        <v>0</v>
      </c>
      <c r="AB971" s="680">
        <f t="shared" ref="AB971:AG971" si="403">ROUND(SUM(AB961:AB970),5)</f>
        <v>0</v>
      </c>
      <c r="AC971" s="680">
        <f t="shared" si="403"/>
        <v>11937.5</v>
      </c>
      <c r="AD971" s="680">
        <f t="shared" si="403"/>
        <v>11564</v>
      </c>
      <c r="AE971" s="680">
        <f t="shared" si="403"/>
        <v>0</v>
      </c>
      <c r="AF971" s="664">
        <f t="shared" si="403"/>
        <v>6814.5</v>
      </c>
      <c r="AG971" s="680">
        <f t="shared" si="403"/>
        <v>0</v>
      </c>
      <c r="AH971" s="664">
        <f t="shared" si="401"/>
        <v>0</v>
      </c>
      <c r="AI971" s="664">
        <f t="shared" si="401"/>
        <v>0</v>
      </c>
      <c r="AJ971" s="664">
        <f t="shared" si="401"/>
        <v>0</v>
      </c>
      <c r="AK971" s="664">
        <f t="shared" si="401"/>
        <v>0</v>
      </c>
      <c r="AL971" s="664">
        <f t="shared" si="401"/>
        <v>0</v>
      </c>
      <c r="AM971" s="664">
        <f t="shared" si="401"/>
        <v>0</v>
      </c>
      <c r="AN971" s="664">
        <f t="shared" si="401"/>
        <v>0</v>
      </c>
      <c r="AO971" s="664">
        <f t="shared" si="401"/>
        <v>0</v>
      </c>
      <c r="AP971" s="664">
        <f t="shared" si="401"/>
        <v>0</v>
      </c>
      <c r="AQ971" s="664">
        <f t="shared" si="401"/>
        <v>0</v>
      </c>
      <c r="AR971" s="664">
        <f t="shared" si="401"/>
        <v>0</v>
      </c>
      <c r="AS971" s="664">
        <f t="shared" si="401"/>
        <v>0</v>
      </c>
      <c r="AT971" s="664">
        <f t="shared" si="401"/>
        <v>0</v>
      </c>
      <c r="AU971" s="664">
        <f t="shared" si="401"/>
        <v>0</v>
      </c>
      <c r="AV971" s="664">
        <f t="shared" si="401"/>
        <v>0</v>
      </c>
      <c r="AW971" s="664">
        <f t="shared" si="401"/>
        <v>0</v>
      </c>
      <c r="AX971" s="664">
        <f t="shared" si="401"/>
        <v>0</v>
      </c>
      <c r="AY971" s="664">
        <f t="shared" si="401"/>
        <v>0</v>
      </c>
      <c r="AZ971" s="664">
        <f t="shared" si="401"/>
        <v>0</v>
      </c>
      <c r="BA971" s="664">
        <f t="shared" si="401"/>
        <v>0</v>
      </c>
      <c r="BB971" s="664">
        <f t="shared" si="401"/>
        <v>0</v>
      </c>
      <c r="BC971" s="664">
        <f t="shared" si="401"/>
        <v>0</v>
      </c>
      <c r="BD971" s="664">
        <f t="shared" si="401"/>
        <v>0</v>
      </c>
      <c r="BE971" s="664">
        <f t="shared" si="401"/>
        <v>0</v>
      </c>
      <c r="BF971" s="664">
        <f t="shared" si="401"/>
        <v>0</v>
      </c>
      <c r="BG971" s="664">
        <f t="shared" si="401"/>
        <v>0</v>
      </c>
      <c r="BH971" s="664">
        <f t="shared" si="401"/>
        <v>0</v>
      </c>
      <c r="BI971" s="664">
        <f t="shared" si="401"/>
        <v>0</v>
      </c>
      <c r="BJ971" s="664">
        <f t="shared" si="401"/>
        <v>0</v>
      </c>
      <c r="BK971" s="664">
        <f t="shared" si="401"/>
        <v>0</v>
      </c>
      <c r="BL971" s="664">
        <f t="shared" si="401"/>
        <v>0</v>
      </c>
      <c r="BM971" s="664">
        <f t="shared" si="401"/>
        <v>0</v>
      </c>
      <c r="BN971" s="664">
        <f t="shared" si="401"/>
        <v>0</v>
      </c>
      <c r="BO971" s="664">
        <f t="shared" si="401"/>
        <v>0</v>
      </c>
      <c r="BP971" s="664">
        <f t="shared" ref="BP971:CA971" si="404">SUM(BP962:BP970)</f>
        <v>0</v>
      </c>
      <c r="BQ971" s="664">
        <f t="shared" si="404"/>
        <v>0</v>
      </c>
      <c r="BR971" s="664">
        <f t="shared" si="404"/>
        <v>0</v>
      </c>
      <c r="BS971" s="664">
        <f t="shared" si="404"/>
        <v>0</v>
      </c>
      <c r="BT971" s="664">
        <f t="shared" si="404"/>
        <v>0</v>
      </c>
      <c r="BU971" s="664">
        <f t="shared" si="404"/>
        <v>0</v>
      </c>
      <c r="BV971" s="664">
        <f t="shared" si="404"/>
        <v>0</v>
      </c>
      <c r="BW971" s="664">
        <f t="shared" si="404"/>
        <v>0</v>
      </c>
      <c r="BX971" s="664">
        <f t="shared" si="404"/>
        <v>0</v>
      </c>
      <c r="BY971" s="664">
        <f t="shared" si="404"/>
        <v>0</v>
      </c>
      <c r="BZ971" s="664">
        <f t="shared" si="404"/>
        <v>0</v>
      </c>
      <c r="CA971" s="664">
        <f t="shared" si="404"/>
        <v>0</v>
      </c>
    </row>
    <row r="972" spans="1:79" s="693" customFormat="1" hidden="1" outlineLevel="1" x14ac:dyDescent="0.25">
      <c r="A972" s="691"/>
      <c r="E972" s="570" t="s">
        <v>1340</v>
      </c>
      <c r="F972" s="691" t="s">
        <v>623</v>
      </c>
      <c r="G972" s="733"/>
      <c r="H972" s="733"/>
      <c r="I972" s="733"/>
      <c r="J972" s="733"/>
      <c r="K972" s="733"/>
      <c r="L972" s="733"/>
      <c r="M972" s="733"/>
      <c r="N972" s="733"/>
      <c r="O972" s="733"/>
      <c r="P972" s="734"/>
      <c r="Q972" s="734"/>
      <c r="R972" s="734"/>
      <c r="S972" s="708"/>
      <c r="T972" s="708"/>
      <c r="U972" s="708"/>
      <c r="V972" s="708"/>
      <c r="W972" s="708"/>
      <c r="X972" s="708"/>
      <c r="Y972" s="708"/>
      <c r="Z972" s="708"/>
      <c r="AA972" s="708"/>
      <c r="AB972" s="708"/>
      <c r="AC972" s="708"/>
      <c r="AD972" s="708"/>
      <c r="AE972" s="708"/>
      <c r="AF972" s="734"/>
      <c r="AG972" s="708"/>
      <c r="AH972" s="734"/>
      <c r="AI972" s="734"/>
      <c r="AJ972" s="734"/>
      <c r="AK972" s="734"/>
      <c r="AL972" s="734"/>
      <c r="AM972" s="734"/>
      <c r="AN972" s="734"/>
      <c r="AO972" s="734"/>
      <c r="AP972" s="734"/>
      <c r="AQ972" s="734"/>
      <c r="AR972" s="734"/>
      <c r="AS972" s="734"/>
      <c r="AT972" s="734"/>
      <c r="AU972" s="734"/>
      <c r="AV972" s="734"/>
      <c r="AW972" s="734"/>
      <c r="AX972" s="734"/>
      <c r="AY972" s="734"/>
      <c r="AZ972" s="734"/>
      <c r="BA972" s="734"/>
      <c r="BB972" s="734"/>
      <c r="BC972" s="734"/>
      <c r="BD972" s="734"/>
      <c r="BE972" s="734"/>
      <c r="BF972" s="734"/>
      <c r="BG972" s="734"/>
      <c r="BH972" s="734"/>
      <c r="BI972" s="734"/>
      <c r="BJ972" s="734"/>
      <c r="BK972" s="734"/>
      <c r="BL972" s="734"/>
      <c r="BM972" s="734"/>
      <c r="BN972" s="734"/>
      <c r="BO972" s="734"/>
      <c r="BP972" s="734"/>
      <c r="BQ972" s="734"/>
      <c r="BR972" s="734"/>
      <c r="BS972" s="734"/>
      <c r="BT972" s="734"/>
      <c r="BU972" s="734"/>
      <c r="BV972" s="734"/>
      <c r="BW972" s="734"/>
      <c r="BX972" s="734"/>
      <c r="BY972" s="734"/>
      <c r="BZ972" s="734"/>
      <c r="CA972" s="734"/>
    </row>
    <row r="973" spans="1:79" s="308" customFormat="1" hidden="1" outlineLevel="1" x14ac:dyDescent="0.25">
      <c r="A973" s="656"/>
      <c r="B973" s="710"/>
      <c r="C973" s="710"/>
      <c r="D973" s="710"/>
      <c r="E973" s="570" t="s">
        <v>1340</v>
      </c>
      <c r="F973" s="656" t="s">
        <v>916</v>
      </c>
      <c r="G973" s="683"/>
      <c r="H973" s="683"/>
      <c r="I973" s="683"/>
      <c r="J973" s="683"/>
      <c r="K973" s="683"/>
      <c r="L973" s="683"/>
      <c r="M973" s="683"/>
      <c r="N973" s="683"/>
      <c r="O973" s="683"/>
      <c r="P973" s="683"/>
      <c r="Q973" s="683"/>
      <c r="R973" s="683"/>
      <c r="S973" s="684"/>
      <c r="T973" s="684"/>
      <c r="U973" s="684"/>
      <c r="V973" s="684"/>
      <c r="W973" s="684"/>
      <c r="X973" s="684"/>
      <c r="Y973" s="684"/>
      <c r="Z973" s="684"/>
      <c r="AA973" s="684"/>
      <c r="AB973" s="684">
        <v>0</v>
      </c>
      <c r="AC973" s="683">
        <v>0</v>
      </c>
      <c r="AD973" s="683">
        <v>0</v>
      </c>
      <c r="AE973" s="684">
        <v>0</v>
      </c>
      <c r="AF973" s="683">
        <v>0</v>
      </c>
      <c r="AG973" s="683">
        <v>0</v>
      </c>
      <c r="AH973" s="684"/>
      <c r="AI973" s="684"/>
      <c r="AJ973" s="684"/>
      <c r="AK973" s="684"/>
      <c r="AL973" s="684"/>
      <c r="AM973" s="684"/>
      <c r="AN973" s="684"/>
      <c r="AO973" s="684"/>
      <c r="AP973" s="684"/>
      <c r="AQ973" s="684"/>
      <c r="AR973" s="684"/>
      <c r="AS973" s="684"/>
      <c r="AT973" s="684"/>
      <c r="AU973" s="684"/>
      <c r="AV973" s="684"/>
      <c r="AW973" s="684"/>
      <c r="AX973" s="684"/>
      <c r="AY973" s="684"/>
      <c r="AZ973" s="684"/>
      <c r="BA973" s="684"/>
      <c r="BB973" s="684"/>
      <c r="BC973" s="684"/>
      <c r="BD973" s="684"/>
      <c r="BE973" s="684"/>
      <c r="BF973" s="684"/>
      <c r="BG973" s="684"/>
      <c r="BH973" s="684"/>
      <c r="BI973" s="684"/>
      <c r="BJ973" s="684"/>
      <c r="BK973" s="684"/>
      <c r="BL973" s="684"/>
      <c r="BM973" s="684"/>
      <c r="BN973" s="684"/>
      <c r="BO973" s="684"/>
      <c r="BP973" s="684"/>
      <c r="BQ973" s="684"/>
      <c r="BR973" s="684"/>
      <c r="BS973" s="684"/>
      <c r="BT973" s="684"/>
      <c r="BU973" s="684"/>
      <c r="BV973" s="684"/>
      <c r="BW973" s="684"/>
      <c r="BX973" s="684"/>
      <c r="BY973" s="684"/>
      <c r="BZ973" s="684"/>
      <c r="CA973" s="684"/>
    </row>
    <row r="974" spans="1:79" hidden="1" outlineLevel="1" x14ac:dyDescent="0.25">
      <c r="A974" s="656"/>
      <c r="B974" s="570"/>
      <c r="C974" s="570"/>
      <c r="D974" s="570"/>
      <c r="E974" s="570" t="s">
        <v>1340</v>
      </c>
      <c r="F974" s="656" t="s">
        <v>667</v>
      </c>
      <c r="G974" s="719"/>
      <c r="H974" s="719"/>
      <c r="I974" s="719"/>
      <c r="J974" s="719"/>
      <c r="K974" s="719"/>
      <c r="L974" s="719"/>
      <c r="M974" s="719"/>
      <c r="N974" s="719"/>
      <c r="O974" s="719"/>
      <c r="P974" s="716"/>
      <c r="Q974" s="716"/>
      <c r="R974" s="716"/>
      <c r="S974" s="684">
        <v>0</v>
      </c>
      <c r="T974" s="684">
        <v>0</v>
      </c>
      <c r="U974" s="684">
        <v>0</v>
      </c>
      <c r="V974" s="684">
        <v>0</v>
      </c>
      <c r="W974" s="684">
        <v>0</v>
      </c>
      <c r="X974" s="684">
        <v>0</v>
      </c>
      <c r="Y974" s="684">
        <v>0</v>
      </c>
      <c r="Z974" s="684">
        <v>0</v>
      </c>
      <c r="AA974" s="684">
        <v>0</v>
      </c>
      <c r="AB974" s="684">
        <v>0</v>
      </c>
      <c r="AC974" s="683">
        <v>0</v>
      </c>
      <c r="AD974" s="683">
        <v>0</v>
      </c>
      <c r="AE974" s="684">
        <v>0</v>
      </c>
      <c r="AF974" s="716">
        <v>0</v>
      </c>
      <c r="AG974" s="683">
        <v>0</v>
      </c>
      <c r="AH974" s="716"/>
      <c r="AI974" s="716"/>
      <c r="AJ974" s="716"/>
      <c r="AK974" s="716"/>
      <c r="AL974" s="716"/>
      <c r="AM974" s="716"/>
      <c r="AN974" s="716"/>
      <c r="AO974" s="716"/>
      <c r="AP974" s="716"/>
      <c r="AQ974" s="716"/>
      <c r="AR974" s="716"/>
      <c r="AS974" s="716"/>
      <c r="AT974" s="716"/>
      <c r="AU974" s="716"/>
      <c r="AV974" s="716"/>
      <c r="AW974" s="716"/>
      <c r="AX974" s="716"/>
      <c r="AY974" s="716"/>
      <c r="AZ974" s="716"/>
      <c r="BA974" s="716"/>
      <c r="BB974" s="716"/>
      <c r="BC974" s="716"/>
      <c r="BD974" s="716"/>
      <c r="BE974" s="716"/>
      <c r="BF974" s="716"/>
      <c r="BG974" s="716"/>
      <c r="BH974" s="716"/>
      <c r="BI974" s="716"/>
      <c r="BJ974" s="716"/>
      <c r="BK974" s="716"/>
      <c r="BL974" s="716"/>
      <c r="BM974" s="716"/>
      <c r="BN974" s="716"/>
      <c r="BO974" s="716"/>
      <c r="BP974" s="716"/>
      <c r="BQ974" s="716"/>
      <c r="BR974" s="716"/>
      <c r="BS974" s="716"/>
      <c r="BT974" s="716"/>
      <c r="BU974" s="716"/>
      <c r="BV974" s="716"/>
      <c r="BW974" s="716"/>
      <c r="BX974" s="716"/>
      <c r="BY974" s="716"/>
      <c r="BZ974" s="716"/>
      <c r="CA974" s="716"/>
    </row>
    <row r="975" spans="1:79" hidden="1" outlineLevel="1" x14ac:dyDescent="0.25">
      <c r="A975" s="656"/>
      <c r="B975" s="570"/>
      <c r="C975" s="570"/>
      <c r="D975" s="570"/>
      <c r="E975" s="570" t="s">
        <v>1340</v>
      </c>
      <c r="F975" s="656" t="s">
        <v>762</v>
      </c>
      <c r="G975" s="719"/>
      <c r="H975" s="719"/>
      <c r="I975" s="719"/>
      <c r="J975" s="719"/>
      <c r="K975" s="719"/>
      <c r="L975" s="719"/>
      <c r="M975" s="719"/>
      <c r="N975" s="719"/>
      <c r="O975" s="719"/>
      <c r="P975" s="716"/>
      <c r="Q975" s="716"/>
      <c r="R975" s="716"/>
      <c r="S975" s="684">
        <v>0</v>
      </c>
      <c r="T975" s="684">
        <v>0</v>
      </c>
      <c r="U975" s="684">
        <v>0</v>
      </c>
      <c r="V975" s="684">
        <v>0</v>
      </c>
      <c r="W975" s="684">
        <v>0</v>
      </c>
      <c r="X975" s="684">
        <v>0</v>
      </c>
      <c r="Y975" s="684">
        <v>0</v>
      </c>
      <c r="Z975" s="684">
        <v>0</v>
      </c>
      <c r="AA975" s="684">
        <v>0</v>
      </c>
      <c r="AB975" s="684">
        <v>0</v>
      </c>
      <c r="AC975" s="683">
        <v>0</v>
      </c>
      <c r="AD975" s="683">
        <v>0</v>
      </c>
      <c r="AE975" s="684">
        <v>0</v>
      </c>
      <c r="AF975" s="716">
        <v>0</v>
      </c>
      <c r="AG975" s="683">
        <v>0</v>
      </c>
      <c r="AH975" s="716"/>
      <c r="AI975" s="716"/>
      <c r="AJ975" s="716"/>
      <c r="AK975" s="716"/>
      <c r="AL975" s="716"/>
      <c r="AM975" s="716"/>
      <c r="AN975" s="716"/>
      <c r="AO975" s="716"/>
      <c r="AP975" s="716"/>
      <c r="AQ975" s="716"/>
      <c r="AR975" s="716"/>
      <c r="AS975" s="716"/>
      <c r="AT975" s="716"/>
      <c r="AU975" s="716"/>
      <c r="AV975" s="716"/>
      <c r="AW975" s="716"/>
      <c r="AX975" s="716"/>
      <c r="AY975" s="716"/>
      <c r="AZ975" s="716"/>
      <c r="BA975" s="716"/>
      <c r="BB975" s="716"/>
      <c r="BC975" s="716"/>
      <c r="BD975" s="716"/>
      <c r="BE975" s="716"/>
      <c r="BF975" s="716"/>
      <c r="BG975" s="716"/>
      <c r="BH975" s="716"/>
      <c r="BI975" s="716"/>
      <c r="BJ975" s="716"/>
      <c r="BK975" s="716"/>
      <c r="BL975" s="716"/>
      <c r="BM975" s="716"/>
      <c r="BN975" s="716"/>
      <c r="BO975" s="716"/>
      <c r="BP975" s="716"/>
      <c r="BQ975" s="716"/>
      <c r="BR975" s="716"/>
      <c r="BS975" s="716"/>
      <c r="BT975" s="716"/>
      <c r="BU975" s="716"/>
      <c r="BV975" s="716"/>
      <c r="BW975" s="716"/>
      <c r="BX975" s="716"/>
      <c r="BY975" s="716"/>
      <c r="BZ975" s="716"/>
      <c r="CA975" s="716"/>
    </row>
    <row r="976" spans="1:79" hidden="1" outlineLevel="1" x14ac:dyDescent="0.25">
      <c r="A976" s="656"/>
      <c r="E976" s="570" t="s">
        <v>338</v>
      </c>
      <c r="F976" s="656" t="s">
        <v>624</v>
      </c>
      <c r="G976" s="719">
        <v>0</v>
      </c>
      <c r="H976" s="719"/>
      <c r="I976" s="719"/>
      <c r="J976" s="719"/>
      <c r="K976" s="719"/>
      <c r="L976" s="719"/>
      <c r="M976" s="719"/>
      <c r="N976" s="719">
        <v>201.4</v>
      </c>
      <c r="O976" s="719"/>
      <c r="P976" s="716"/>
      <c r="Q976" s="716"/>
      <c r="R976" s="716"/>
      <c r="S976" s="684">
        <v>0</v>
      </c>
      <c r="T976" s="684">
        <v>0</v>
      </c>
      <c r="U976" s="684">
        <v>0</v>
      </c>
      <c r="V976" s="684">
        <v>0</v>
      </c>
      <c r="W976" s="684">
        <v>0</v>
      </c>
      <c r="X976" s="684">
        <v>0</v>
      </c>
      <c r="Y976" s="684">
        <v>0</v>
      </c>
      <c r="Z976" s="684">
        <v>0</v>
      </c>
      <c r="AA976" s="684">
        <v>0</v>
      </c>
      <c r="AB976" s="684">
        <v>0</v>
      </c>
      <c r="AC976" s="666">
        <v>0</v>
      </c>
      <c r="AD976" s="666">
        <v>0</v>
      </c>
      <c r="AE976" s="684">
        <v>0</v>
      </c>
      <c r="AF976" s="716">
        <v>0</v>
      </c>
      <c r="AG976" s="666">
        <v>0</v>
      </c>
      <c r="AH976" s="716"/>
      <c r="AI976" s="716"/>
      <c r="AJ976" s="716"/>
      <c r="AK976" s="716"/>
      <c r="AL976" s="716"/>
      <c r="AM976" s="716"/>
      <c r="AN976" s="716"/>
      <c r="AO976" s="716"/>
      <c r="AP976" s="716"/>
      <c r="AQ976" s="716"/>
      <c r="AR976" s="716"/>
      <c r="AS976" s="716"/>
      <c r="AT976" s="716"/>
      <c r="AU976" s="716"/>
      <c r="AV976" s="716"/>
      <c r="AW976" s="716"/>
      <c r="AX976" s="716"/>
      <c r="AY976" s="716"/>
      <c r="AZ976" s="716"/>
      <c r="BA976" s="716"/>
      <c r="BB976" s="716"/>
      <c r="BC976" s="716"/>
      <c r="BD976" s="716"/>
      <c r="BE976" s="716"/>
      <c r="BF976" s="716"/>
      <c r="BG976" s="716"/>
      <c r="BH976" s="716"/>
      <c r="BI976" s="716"/>
      <c r="BJ976" s="716"/>
      <c r="BK976" s="716"/>
      <c r="BL976" s="716"/>
      <c r="BM976" s="716"/>
      <c r="BN976" s="716"/>
      <c r="BO976" s="716"/>
      <c r="BP976" s="716"/>
      <c r="BQ976" s="716"/>
      <c r="BR976" s="716"/>
      <c r="BS976" s="716"/>
      <c r="BT976" s="716"/>
      <c r="BU976" s="716"/>
      <c r="BV976" s="716"/>
      <c r="BW976" s="716"/>
      <c r="BX976" s="716"/>
      <c r="BY976" s="716"/>
      <c r="BZ976" s="716"/>
      <c r="CA976" s="716"/>
    </row>
    <row r="977" spans="1:79" hidden="1" outlineLevel="1" x14ac:dyDescent="0.25">
      <c r="A977" s="656"/>
      <c r="B977" s="570"/>
      <c r="C977" s="570"/>
      <c r="D977" s="570"/>
      <c r="E977" s="570" t="s">
        <v>1341</v>
      </c>
      <c r="F977" s="656" t="s">
        <v>651</v>
      </c>
      <c r="G977" s="719"/>
      <c r="H977" s="719"/>
      <c r="I977" s="719"/>
      <c r="J977" s="719"/>
      <c r="K977" s="719"/>
      <c r="L977" s="719"/>
      <c r="M977" s="719"/>
      <c r="N977" s="719"/>
      <c r="O977" s="719"/>
      <c r="P977" s="716"/>
      <c r="Q977" s="716"/>
      <c r="R977" s="716"/>
      <c r="S977" s="684">
        <v>0</v>
      </c>
      <c r="T977" s="684">
        <v>0</v>
      </c>
      <c r="U977" s="684">
        <v>0</v>
      </c>
      <c r="V977" s="684">
        <v>0</v>
      </c>
      <c r="W977" s="684">
        <v>0</v>
      </c>
      <c r="X977" s="684">
        <v>0</v>
      </c>
      <c r="Y977" s="684">
        <v>0</v>
      </c>
      <c r="Z977" s="684">
        <v>0</v>
      </c>
      <c r="AA977" s="684">
        <v>0</v>
      </c>
      <c r="AB977" s="684">
        <v>0</v>
      </c>
      <c r="AC977" s="666">
        <v>0</v>
      </c>
      <c r="AD977" s="666">
        <v>0</v>
      </c>
      <c r="AE977" s="684">
        <v>0</v>
      </c>
      <c r="AF977" s="716">
        <v>0</v>
      </c>
      <c r="AG977" s="666">
        <v>0</v>
      </c>
      <c r="AH977" s="716"/>
      <c r="AI977" s="716"/>
      <c r="AJ977" s="716"/>
      <c r="AK977" s="716"/>
      <c r="AL977" s="716"/>
      <c r="AM977" s="716"/>
      <c r="AN977" s="716"/>
      <c r="AO977" s="716"/>
      <c r="AP977" s="716"/>
      <c r="AQ977" s="716"/>
      <c r="AR977" s="716"/>
      <c r="AS977" s="716"/>
      <c r="AT977" s="716"/>
      <c r="AU977" s="716"/>
      <c r="AV977" s="716"/>
      <c r="AW977" s="716"/>
      <c r="AX977" s="716"/>
      <c r="AY977" s="716"/>
      <c r="AZ977" s="716"/>
      <c r="BA977" s="716"/>
      <c r="BB977" s="716"/>
      <c r="BC977" s="716"/>
      <c r="BD977" s="716"/>
      <c r="BE977" s="716"/>
      <c r="BF977" s="716"/>
      <c r="BG977" s="716"/>
      <c r="BH977" s="716"/>
      <c r="BI977" s="716"/>
      <c r="BJ977" s="716"/>
      <c r="BK977" s="716"/>
      <c r="BL977" s="716"/>
      <c r="BM977" s="716"/>
      <c r="BN977" s="716"/>
      <c r="BO977" s="716"/>
      <c r="BP977" s="716"/>
      <c r="BQ977" s="716"/>
      <c r="BR977" s="716"/>
      <c r="BS977" s="716"/>
      <c r="BT977" s="716"/>
      <c r="BU977" s="716"/>
      <c r="BV977" s="716"/>
      <c r="BW977" s="716"/>
      <c r="BX977" s="716"/>
      <c r="BY977" s="716"/>
      <c r="BZ977" s="716"/>
      <c r="CA977" s="716"/>
    </row>
    <row r="978" spans="1:79" hidden="1" outlineLevel="1" x14ac:dyDescent="0.25">
      <c r="A978" s="656"/>
      <c r="B978" s="570"/>
      <c r="C978" s="570"/>
      <c r="D978" s="570"/>
      <c r="E978" s="570" t="s">
        <v>1340</v>
      </c>
      <c r="F978" s="656" t="s">
        <v>668</v>
      </c>
      <c r="G978" s="719"/>
      <c r="H978" s="719"/>
      <c r="I978" s="719"/>
      <c r="J978" s="719"/>
      <c r="K978" s="719"/>
      <c r="L978" s="719"/>
      <c r="M978" s="719"/>
      <c r="N978" s="719"/>
      <c r="O978" s="719"/>
      <c r="P978" s="716"/>
      <c r="Q978" s="716"/>
      <c r="R978" s="716"/>
      <c r="S978" s="684">
        <v>0</v>
      </c>
      <c r="T978" s="684">
        <v>0</v>
      </c>
      <c r="U978" s="684">
        <v>0</v>
      </c>
      <c r="V978" s="684">
        <v>0</v>
      </c>
      <c r="W978" s="684">
        <v>0</v>
      </c>
      <c r="X978" s="684">
        <v>0</v>
      </c>
      <c r="Y978" s="684">
        <v>0</v>
      </c>
      <c r="Z978" s="684">
        <v>0</v>
      </c>
      <c r="AA978" s="684">
        <v>0</v>
      </c>
      <c r="AB978" s="684">
        <v>0</v>
      </c>
      <c r="AC978" s="666">
        <v>0</v>
      </c>
      <c r="AD978" s="666">
        <v>0</v>
      </c>
      <c r="AE978" s="684">
        <v>0</v>
      </c>
      <c r="AF978" s="716">
        <v>0</v>
      </c>
      <c r="AG978" s="666">
        <v>0</v>
      </c>
      <c r="AH978" s="716"/>
      <c r="AI978" s="716"/>
      <c r="AJ978" s="716"/>
      <c r="AK978" s="716"/>
      <c r="AL978" s="716"/>
      <c r="AM978" s="716"/>
      <c r="AN978" s="716"/>
      <c r="AO978" s="716"/>
      <c r="AP978" s="716"/>
      <c r="AQ978" s="716"/>
      <c r="AR978" s="716"/>
      <c r="AS978" s="716"/>
      <c r="AT978" s="716"/>
      <c r="AU978" s="716"/>
      <c r="AV978" s="716"/>
      <c r="AW978" s="716"/>
      <c r="AX978" s="716"/>
      <c r="AY978" s="716"/>
      <c r="AZ978" s="716"/>
      <c r="BA978" s="716"/>
      <c r="BB978" s="716"/>
      <c r="BC978" s="716"/>
      <c r="BD978" s="716"/>
      <c r="BE978" s="716"/>
      <c r="BF978" s="716"/>
      <c r="BG978" s="716"/>
      <c r="BH978" s="716"/>
      <c r="BI978" s="716"/>
      <c r="BJ978" s="716"/>
      <c r="BK978" s="716"/>
      <c r="BL978" s="716"/>
      <c r="BM978" s="716"/>
      <c r="BN978" s="716"/>
      <c r="BO978" s="716"/>
      <c r="BP978" s="716"/>
      <c r="BQ978" s="716"/>
      <c r="BR978" s="716"/>
      <c r="BS978" s="716"/>
      <c r="BT978" s="716"/>
      <c r="BU978" s="716"/>
      <c r="BV978" s="716"/>
      <c r="BW978" s="716"/>
      <c r="BX978" s="716"/>
      <c r="BY978" s="716"/>
      <c r="BZ978" s="716"/>
      <c r="CA978" s="716"/>
    </row>
    <row r="979" spans="1:79" hidden="1" outlineLevel="1" x14ac:dyDescent="0.25">
      <c r="A979" s="657"/>
      <c r="B979" s="570"/>
      <c r="C979" s="570"/>
      <c r="D979" s="570"/>
      <c r="E979" s="570" t="s">
        <v>49</v>
      </c>
      <c r="F979" s="657" t="s">
        <v>625</v>
      </c>
      <c r="G979" s="664">
        <f>SUM(G974:G978)</f>
        <v>0</v>
      </c>
      <c r="H979" s="664">
        <f t="shared" ref="H979:BO979" si="405">SUM(H974:H978)</f>
        <v>0</v>
      </c>
      <c r="I979" s="664">
        <f t="shared" si="405"/>
        <v>0</v>
      </c>
      <c r="J979" s="664">
        <f t="shared" si="405"/>
        <v>0</v>
      </c>
      <c r="K979" s="664">
        <f t="shared" si="405"/>
        <v>0</v>
      </c>
      <c r="L979" s="664">
        <f t="shared" si="405"/>
        <v>0</v>
      </c>
      <c r="M979" s="664">
        <f t="shared" si="405"/>
        <v>0</v>
      </c>
      <c r="N979" s="664">
        <f t="shared" si="405"/>
        <v>201.4</v>
      </c>
      <c r="O979" s="664">
        <f t="shared" si="405"/>
        <v>0</v>
      </c>
      <c r="P979" s="664">
        <f t="shared" si="405"/>
        <v>0</v>
      </c>
      <c r="Q979" s="664">
        <f t="shared" si="405"/>
        <v>0</v>
      </c>
      <c r="R979" s="664">
        <f t="shared" si="405"/>
        <v>0</v>
      </c>
      <c r="S979" s="680">
        <f t="shared" ref="S979:AB979" si="406">ROUND(SUM(S972:S978),5)</f>
        <v>0</v>
      </c>
      <c r="T979" s="680">
        <f t="shared" si="406"/>
        <v>0</v>
      </c>
      <c r="U979" s="680">
        <f t="shared" si="406"/>
        <v>0</v>
      </c>
      <c r="V979" s="680">
        <f t="shared" si="406"/>
        <v>0</v>
      </c>
      <c r="W979" s="680">
        <f t="shared" si="406"/>
        <v>0</v>
      </c>
      <c r="X979" s="680">
        <f t="shared" si="406"/>
        <v>0</v>
      </c>
      <c r="Y979" s="680">
        <f t="shared" si="406"/>
        <v>0</v>
      </c>
      <c r="Z979" s="680">
        <f t="shared" si="406"/>
        <v>0</v>
      </c>
      <c r="AA979" s="680">
        <f t="shared" si="406"/>
        <v>0</v>
      </c>
      <c r="AB979" s="680">
        <f t="shared" si="406"/>
        <v>0</v>
      </c>
      <c r="AC979" s="680">
        <f>ROUND(SUM(AC972:AC978),5)</f>
        <v>0</v>
      </c>
      <c r="AD979" s="680">
        <f>ROUND(SUM(AD972:AD978),5)</f>
        <v>0</v>
      </c>
      <c r="AE979" s="680">
        <f>ROUND(SUM(AE972:AE978),5)</f>
        <v>0</v>
      </c>
      <c r="AF979" s="664">
        <f>ROUND(SUM(AF972:AF978),5)</f>
        <v>0</v>
      </c>
      <c r="AG979" s="680">
        <f>ROUND(SUM(AG972:AG978),5)</f>
        <v>0</v>
      </c>
      <c r="AH979" s="664">
        <f t="shared" si="405"/>
        <v>0</v>
      </c>
      <c r="AI979" s="664">
        <f t="shared" si="405"/>
        <v>0</v>
      </c>
      <c r="AJ979" s="664">
        <f t="shared" si="405"/>
        <v>0</v>
      </c>
      <c r="AK979" s="664">
        <f t="shared" si="405"/>
        <v>0</v>
      </c>
      <c r="AL979" s="664">
        <f t="shared" si="405"/>
        <v>0</v>
      </c>
      <c r="AM979" s="664">
        <f t="shared" si="405"/>
        <v>0</v>
      </c>
      <c r="AN979" s="664">
        <f t="shared" si="405"/>
        <v>0</v>
      </c>
      <c r="AO979" s="664">
        <f t="shared" si="405"/>
        <v>0</v>
      </c>
      <c r="AP979" s="664">
        <f t="shared" si="405"/>
        <v>0</v>
      </c>
      <c r="AQ979" s="664">
        <f t="shared" si="405"/>
        <v>0</v>
      </c>
      <c r="AR979" s="664">
        <f t="shared" si="405"/>
        <v>0</v>
      </c>
      <c r="AS979" s="664">
        <f t="shared" si="405"/>
        <v>0</v>
      </c>
      <c r="AT979" s="664">
        <f t="shared" si="405"/>
        <v>0</v>
      </c>
      <c r="AU979" s="664">
        <f t="shared" si="405"/>
        <v>0</v>
      </c>
      <c r="AV979" s="664">
        <f t="shared" si="405"/>
        <v>0</v>
      </c>
      <c r="AW979" s="664">
        <f t="shared" si="405"/>
        <v>0</v>
      </c>
      <c r="AX979" s="664">
        <f t="shared" si="405"/>
        <v>0</v>
      </c>
      <c r="AY979" s="664">
        <f t="shared" si="405"/>
        <v>0</v>
      </c>
      <c r="AZ979" s="664">
        <f t="shared" si="405"/>
        <v>0</v>
      </c>
      <c r="BA979" s="664">
        <f t="shared" si="405"/>
        <v>0</v>
      </c>
      <c r="BB979" s="664">
        <f t="shared" si="405"/>
        <v>0</v>
      </c>
      <c r="BC979" s="664">
        <f t="shared" si="405"/>
        <v>0</v>
      </c>
      <c r="BD979" s="664">
        <f t="shared" si="405"/>
        <v>0</v>
      </c>
      <c r="BE979" s="664">
        <f t="shared" si="405"/>
        <v>0</v>
      </c>
      <c r="BF979" s="664">
        <f t="shared" si="405"/>
        <v>0</v>
      </c>
      <c r="BG979" s="664">
        <f t="shared" si="405"/>
        <v>0</v>
      </c>
      <c r="BH979" s="664">
        <f t="shared" si="405"/>
        <v>0</v>
      </c>
      <c r="BI979" s="664">
        <f t="shared" si="405"/>
        <v>0</v>
      </c>
      <c r="BJ979" s="664">
        <f t="shared" si="405"/>
        <v>0</v>
      </c>
      <c r="BK979" s="664">
        <f t="shared" si="405"/>
        <v>0</v>
      </c>
      <c r="BL979" s="664">
        <f t="shared" si="405"/>
        <v>0</v>
      </c>
      <c r="BM979" s="664">
        <f t="shared" si="405"/>
        <v>0</v>
      </c>
      <c r="BN979" s="664">
        <f t="shared" si="405"/>
        <v>0</v>
      </c>
      <c r="BO979" s="664">
        <f t="shared" si="405"/>
        <v>0</v>
      </c>
      <c r="BP979" s="664">
        <f t="shared" ref="BP979:CA979" si="407">SUM(BP974:BP978)</f>
        <v>0</v>
      </c>
      <c r="BQ979" s="664">
        <f t="shared" si="407"/>
        <v>0</v>
      </c>
      <c r="BR979" s="664">
        <f t="shared" si="407"/>
        <v>0</v>
      </c>
      <c r="BS979" s="664">
        <f t="shared" si="407"/>
        <v>0</v>
      </c>
      <c r="BT979" s="664">
        <f t="shared" si="407"/>
        <v>0</v>
      </c>
      <c r="BU979" s="664">
        <f t="shared" si="407"/>
        <v>0</v>
      </c>
      <c r="BV979" s="664">
        <f t="shared" si="407"/>
        <v>0</v>
      </c>
      <c r="BW979" s="664">
        <f t="shared" si="407"/>
        <v>0</v>
      </c>
      <c r="BX979" s="664">
        <f t="shared" si="407"/>
        <v>0</v>
      </c>
      <c r="BY979" s="664">
        <f t="shared" si="407"/>
        <v>0</v>
      </c>
      <c r="BZ979" s="664">
        <f t="shared" si="407"/>
        <v>0</v>
      </c>
      <c r="CA979" s="664">
        <f t="shared" si="407"/>
        <v>0</v>
      </c>
    </row>
    <row r="980" spans="1:79" s="693" customFormat="1" hidden="1" outlineLevel="1" x14ac:dyDescent="0.25">
      <c r="A980" s="691"/>
      <c r="E980" s="570" t="s">
        <v>1342</v>
      </c>
      <c r="F980" s="691" t="s">
        <v>669</v>
      </c>
      <c r="G980" s="733"/>
      <c r="H980" s="733"/>
      <c r="I980" s="733"/>
      <c r="J980" s="733"/>
      <c r="K980" s="733"/>
      <c r="L980" s="733"/>
      <c r="M980" s="733"/>
      <c r="N980" s="733"/>
      <c r="O980" s="733"/>
      <c r="P980" s="734"/>
      <c r="Q980" s="734"/>
      <c r="R980" s="734"/>
      <c r="S980" s="708"/>
      <c r="T980" s="708"/>
      <c r="U980" s="708"/>
      <c r="V980" s="708"/>
      <c r="W980" s="708"/>
      <c r="X980" s="708"/>
      <c r="Y980" s="708"/>
      <c r="Z980" s="708"/>
      <c r="AA980" s="708"/>
      <c r="AB980" s="708"/>
      <c r="AC980" s="704"/>
      <c r="AD980" s="704"/>
      <c r="AE980" s="708"/>
      <c r="AF980" s="734"/>
      <c r="AG980" s="704"/>
      <c r="AH980" s="734"/>
      <c r="AI980" s="734"/>
      <c r="AJ980" s="734"/>
      <c r="AK980" s="734"/>
      <c r="AL980" s="734"/>
      <c r="AM980" s="734"/>
      <c r="AN980" s="734"/>
      <c r="AO980" s="734"/>
      <c r="AP980" s="734"/>
      <c r="AQ980" s="734"/>
      <c r="AR980" s="734"/>
      <c r="AS980" s="734"/>
      <c r="AT980" s="734"/>
      <c r="AU980" s="734"/>
      <c r="AV980" s="734"/>
      <c r="AW980" s="734"/>
      <c r="AX980" s="734"/>
      <c r="AY980" s="734"/>
      <c r="AZ980" s="734"/>
      <c r="BA980" s="734"/>
      <c r="BB980" s="734"/>
      <c r="BC980" s="734"/>
      <c r="BD980" s="734"/>
      <c r="BE980" s="734"/>
      <c r="BF980" s="734"/>
      <c r="BG980" s="734"/>
      <c r="BH980" s="734"/>
      <c r="BI980" s="734"/>
      <c r="BJ980" s="734"/>
      <c r="BK980" s="734"/>
      <c r="BL980" s="734"/>
      <c r="BM980" s="734"/>
      <c r="BN980" s="734"/>
      <c r="BO980" s="734"/>
      <c r="BP980" s="734"/>
      <c r="BQ980" s="734"/>
      <c r="BR980" s="734"/>
      <c r="BS980" s="734"/>
      <c r="BT980" s="734"/>
      <c r="BU980" s="734"/>
      <c r="BV980" s="734"/>
      <c r="BW980" s="734"/>
      <c r="BX980" s="734"/>
      <c r="BY980" s="734"/>
      <c r="BZ980" s="734"/>
      <c r="CA980" s="734"/>
    </row>
    <row r="981" spans="1:79" hidden="1" outlineLevel="1" x14ac:dyDescent="0.25">
      <c r="A981" s="656"/>
      <c r="B981" s="570"/>
      <c r="C981" s="570"/>
      <c r="D981" s="570"/>
      <c r="E981" s="570" t="s">
        <v>1342</v>
      </c>
      <c r="F981" s="656" t="s">
        <v>670</v>
      </c>
      <c r="G981" s="719"/>
      <c r="H981" s="719"/>
      <c r="I981" s="719"/>
      <c r="J981" s="719"/>
      <c r="K981" s="719"/>
      <c r="L981" s="719"/>
      <c r="M981" s="719"/>
      <c r="N981" s="719"/>
      <c r="O981" s="719"/>
      <c r="P981" s="716"/>
      <c r="Q981" s="716"/>
      <c r="R981" s="716"/>
      <c r="S981" s="684">
        <v>0</v>
      </c>
      <c r="T981" s="684">
        <v>0</v>
      </c>
      <c r="U981" s="684">
        <v>0</v>
      </c>
      <c r="V981" s="684">
        <v>0</v>
      </c>
      <c r="W981" s="684">
        <v>0</v>
      </c>
      <c r="X981" s="684">
        <v>0</v>
      </c>
      <c r="Y981" s="684">
        <v>0</v>
      </c>
      <c r="Z981" s="684">
        <v>0</v>
      </c>
      <c r="AA981" s="684">
        <v>0</v>
      </c>
      <c r="AB981" s="684">
        <v>0</v>
      </c>
      <c r="AC981" s="666">
        <v>0</v>
      </c>
      <c r="AD981" s="666">
        <v>0</v>
      </c>
      <c r="AE981" s="684">
        <v>0</v>
      </c>
      <c r="AF981" s="716">
        <v>0</v>
      </c>
      <c r="AG981" s="666">
        <v>0</v>
      </c>
      <c r="AH981" s="716"/>
      <c r="AI981" s="716"/>
      <c r="AJ981" s="716"/>
      <c r="AK981" s="716"/>
      <c r="AL981" s="716"/>
      <c r="AM981" s="716"/>
      <c r="AN981" s="716"/>
      <c r="AO981" s="716"/>
      <c r="AP981" s="716"/>
      <c r="AQ981" s="716"/>
      <c r="AR981" s="716"/>
      <c r="AS981" s="716"/>
      <c r="AT981" s="716"/>
      <c r="AU981" s="716"/>
      <c r="AV981" s="716"/>
      <c r="AW981" s="716"/>
      <c r="AX981" s="716"/>
      <c r="AY981" s="716"/>
      <c r="AZ981" s="716"/>
      <c r="BA981" s="716"/>
      <c r="BB981" s="716"/>
      <c r="BC981" s="716"/>
      <c r="BD981" s="716"/>
      <c r="BE981" s="716"/>
      <c r="BF981" s="716"/>
      <c r="BG981" s="716"/>
      <c r="BH981" s="716"/>
      <c r="BI981" s="716"/>
      <c r="BJ981" s="716"/>
      <c r="BK981" s="716"/>
      <c r="BL981" s="716"/>
      <c r="BM981" s="716"/>
      <c r="BN981" s="716"/>
      <c r="BO981" s="716"/>
      <c r="BP981" s="716"/>
      <c r="BQ981" s="716"/>
      <c r="BR981" s="716"/>
      <c r="BS981" s="716"/>
      <c r="BT981" s="716"/>
      <c r="BU981" s="716"/>
      <c r="BV981" s="716"/>
      <c r="BW981" s="716"/>
      <c r="BX981" s="716"/>
      <c r="BY981" s="716"/>
      <c r="BZ981" s="716"/>
      <c r="CA981" s="716"/>
    </row>
    <row r="982" spans="1:79" hidden="1" outlineLevel="1" x14ac:dyDescent="0.25">
      <c r="A982" s="656"/>
      <c r="B982" s="570"/>
      <c r="C982" s="570"/>
      <c r="D982" s="570"/>
      <c r="E982" s="570" t="s">
        <v>1342</v>
      </c>
      <c r="F982" s="656" t="s">
        <v>891</v>
      </c>
      <c r="G982" s="719"/>
      <c r="H982" s="719"/>
      <c r="I982" s="719"/>
      <c r="J982" s="719"/>
      <c r="K982" s="719"/>
      <c r="L982" s="719"/>
      <c r="M982" s="719"/>
      <c r="N982" s="719"/>
      <c r="O982" s="719"/>
      <c r="P982" s="716"/>
      <c r="Q982" s="716"/>
      <c r="R982" s="716"/>
      <c r="S982" s="684">
        <v>0</v>
      </c>
      <c r="T982" s="684">
        <v>0</v>
      </c>
      <c r="U982" s="684">
        <v>0</v>
      </c>
      <c r="V982" s="684">
        <v>0</v>
      </c>
      <c r="W982" s="684">
        <v>0</v>
      </c>
      <c r="X982" s="684">
        <v>0</v>
      </c>
      <c r="Y982" s="684">
        <v>0</v>
      </c>
      <c r="Z982" s="684">
        <v>0</v>
      </c>
      <c r="AA982" s="684">
        <v>0</v>
      </c>
      <c r="AB982" s="684">
        <v>0</v>
      </c>
      <c r="AC982" s="666">
        <v>0</v>
      </c>
      <c r="AD982" s="666">
        <v>0</v>
      </c>
      <c r="AE982" s="684">
        <v>0</v>
      </c>
      <c r="AF982" s="716">
        <v>0</v>
      </c>
      <c r="AG982" s="666">
        <v>0</v>
      </c>
      <c r="AH982" s="716"/>
      <c r="AI982" s="716"/>
      <c r="AJ982" s="716"/>
      <c r="AK982" s="716"/>
      <c r="AL982" s="716"/>
      <c r="AM982" s="716"/>
      <c r="AN982" s="716"/>
      <c r="AO982" s="716"/>
      <c r="AP982" s="716"/>
      <c r="AQ982" s="716"/>
      <c r="AR982" s="716"/>
      <c r="AS982" s="716"/>
      <c r="AT982" s="716"/>
      <c r="AU982" s="716"/>
      <c r="AV982" s="716"/>
      <c r="AW982" s="716"/>
      <c r="AX982" s="716"/>
      <c r="AY982" s="716"/>
      <c r="AZ982" s="716"/>
      <c r="BA982" s="716"/>
      <c r="BB982" s="716"/>
      <c r="BC982" s="716"/>
      <c r="BD982" s="716"/>
      <c r="BE982" s="716"/>
      <c r="BF982" s="716"/>
      <c r="BG982" s="716"/>
      <c r="BH982" s="716"/>
      <c r="BI982" s="716"/>
      <c r="BJ982" s="716"/>
      <c r="BK982" s="716"/>
      <c r="BL982" s="716"/>
      <c r="BM982" s="716"/>
      <c r="BN982" s="716"/>
      <c r="BO982" s="716"/>
      <c r="BP982" s="716"/>
      <c r="BQ982" s="716"/>
      <c r="BR982" s="716"/>
      <c r="BS982" s="716"/>
      <c r="BT982" s="716"/>
      <c r="BU982" s="716"/>
      <c r="BV982" s="716"/>
      <c r="BW982" s="716"/>
      <c r="BX982" s="716"/>
      <c r="BY982" s="716"/>
      <c r="BZ982" s="716"/>
      <c r="CA982" s="716"/>
    </row>
    <row r="983" spans="1:79" hidden="1" outlineLevel="1" x14ac:dyDescent="0.25">
      <c r="A983" s="656"/>
      <c r="B983" s="570"/>
      <c r="C983" s="570"/>
      <c r="D983" s="570"/>
      <c r="E983" s="570" t="s">
        <v>1342</v>
      </c>
      <c r="F983" s="656" t="s">
        <v>671</v>
      </c>
      <c r="G983" s="719"/>
      <c r="H983" s="719"/>
      <c r="I983" s="719"/>
      <c r="J983" s="719"/>
      <c r="K983" s="719"/>
      <c r="L983" s="719"/>
      <c r="M983" s="719"/>
      <c r="N983" s="719"/>
      <c r="O983" s="719"/>
      <c r="P983" s="716"/>
      <c r="Q983" s="716"/>
      <c r="R983" s="716"/>
      <c r="S983" s="684">
        <v>0</v>
      </c>
      <c r="T983" s="684">
        <v>0</v>
      </c>
      <c r="U983" s="684">
        <v>0</v>
      </c>
      <c r="V983" s="684">
        <v>0</v>
      </c>
      <c r="W983" s="684">
        <v>0</v>
      </c>
      <c r="X983" s="684">
        <v>0</v>
      </c>
      <c r="Y983" s="684">
        <v>0</v>
      </c>
      <c r="Z983" s="684">
        <v>0</v>
      </c>
      <c r="AA983" s="684">
        <v>0</v>
      </c>
      <c r="AB983" s="684">
        <v>0</v>
      </c>
      <c r="AC983" s="666">
        <v>0</v>
      </c>
      <c r="AD983" s="666">
        <v>0</v>
      </c>
      <c r="AE983" s="684">
        <v>0</v>
      </c>
      <c r="AF983" s="716">
        <v>0</v>
      </c>
      <c r="AG983" s="666">
        <v>238.44</v>
      </c>
      <c r="AH983" s="716"/>
      <c r="AI983" s="716"/>
      <c r="AJ983" s="716"/>
      <c r="AK983" s="716"/>
      <c r="AL983" s="716"/>
      <c r="AM983" s="716"/>
      <c r="AN983" s="716"/>
      <c r="AO983" s="716"/>
      <c r="AP983" s="716"/>
      <c r="AQ983" s="716"/>
      <c r="AR983" s="716"/>
      <c r="AS983" s="716"/>
      <c r="AT983" s="716"/>
      <c r="AU983" s="716"/>
      <c r="AV983" s="716"/>
      <c r="AW983" s="716"/>
      <c r="AX983" s="716"/>
      <c r="AY983" s="716"/>
      <c r="AZ983" s="716"/>
      <c r="BA983" s="716"/>
      <c r="BB983" s="716"/>
      <c r="BC983" s="716"/>
      <c r="BD983" s="716"/>
      <c r="BE983" s="716"/>
      <c r="BF983" s="716"/>
      <c r="BG983" s="716"/>
      <c r="BH983" s="716"/>
      <c r="BI983" s="716"/>
      <c r="BJ983" s="716"/>
      <c r="BK983" s="716"/>
      <c r="BL983" s="716"/>
      <c r="BM983" s="716"/>
      <c r="BN983" s="716"/>
      <c r="BO983" s="716"/>
      <c r="BP983" s="716"/>
      <c r="BQ983" s="716"/>
      <c r="BR983" s="716"/>
      <c r="BS983" s="716"/>
      <c r="BT983" s="716"/>
      <c r="BU983" s="716"/>
      <c r="BV983" s="716"/>
      <c r="BW983" s="716"/>
      <c r="BX983" s="716"/>
      <c r="BY983" s="716"/>
      <c r="BZ983" s="716"/>
      <c r="CA983" s="716"/>
    </row>
    <row r="984" spans="1:79" hidden="1" outlineLevel="1" x14ac:dyDescent="0.25">
      <c r="A984" s="656"/>
      <c r="B984" s="570"/>
      <c r="C984" s="570"/>
      <c r="D984" s="570"/>
      <c r="E984" s="570" t="s">
        <v>1342</v>
      </c>
      <c r="F984" s="656" t="s">
        <v>892</v>
      </c>
      <c r="G984" s="719"/>
      <c r="H984" s="719"/>
      <c r="I984" s="719"/>
      <c r="J984" s="719"/>
      <c r="K984" s="719"/>
      <c r="L984" s="719"/>
      <c r="M984" s="719"/>
      <c r="N984" s="719"/>
      <c r="O984" s="719"/>
      <c r="P984" s="716"/>
      <c r="Q984" s="716"/>
      <c r="R984" s="716"/>
      <c r="S984" s="684">
        <v>0</v>
      </c>
      <c r="T984" s="684">
        <v>0</v>
      </c>
      <c r="U984" s="684">
        <v>0</v>
      </c>
      <c r="V984" s="684">
        <v>0</v>
      </c>
      <c r="W984" s="684">
        <v>0</v>
      </c>
      <c r="X984" s="684">
        <v>0</v>
      </c>
      <c r="Y984" s="684">
        <v>0</v>
      </c>
      <c r="Z984" s="684">
        <v>0</v>
      </c>
      <c r="AA984" s="684">
        <v>0</v>
      </c>
      <c r="AB984" s="684">
        <v>0</v>
      </c>
      <c r="AC984" s="666">
        <v>0</v>
      </c>
      <c r="AD984" s="666">
        <v>0</v>
      </c>
      <c r="AE984" s="684">
        <v>0</v>
      </c>
      <c r="AF984" s="716">
        <v>0</v>
      </c>
      <c r="AG984" s="666">
        <v>0</v>
      </c>
      <c r="AH984" s="716"/>
      <c r="AI984" s="716"/>
      <c r="AJ984" s="716"/>
      <c r="AK984" s="716"/>
      <c r="AL984" s="716"/>
      <c r="AM984" s="716"/>
      <c r="AN984" s="716"/>
      <c r="AO984" s="716"/>
      <c r="AP984" s="716"/>
      <c r="AQ984" s="716"/>
      <c r="AR984" s="716"/>
      <c r="AS984" s="716"/>
      <c r="AT984" s="716"/>
      <c r="AU984" s="716"/>
      <c r="AV984" s="716"/>
      <c r="AW984" s="716"/>
      <c r="AX984" s="716"/>
      <c r="AY984" s="716"/>
      <c r="AZ984" s="716"/>
      <c r="BA984" s="716"/>
      <c r="BB984" s="716"/>
      <c r="BC984" s="716"/>
      <c r="BD984" s="716"/>
      <c r="BE984" s="716"/>
      <c r="BF984" s="716"/>
      <c r="BG984" s="716"/>
      <c r="BH984" s="716"/>
      <c r="BI984" s="716"/>
      <c r="BJ984" s="716"/>
      <c r="BK984" s="716"/>
      <c r="BL984" s="716"/>
      <c r="BM984" s="716"/>
      <c r="BN984" s="716"/>
      <c r="BO984" s="716"/>
      <c r="BP984" s="716"/>
      <c r="BQ984" s="716"/>
      <c r="BR984" s="716"/>
      <c r="BS984" s="716"/>
      <c r="BT984" s="716"/>
      <c r="BU984" s="716"/>
      <c r="BV984" s="716"/>
      <c r="BW984" s="716"/>
      <c r="BX984" s="716"/>
      <c r="BY984" s="716"/>
      <c r="BZ984" s="716"/>
      <c r="CA984" s="716"/>
    </row>
    <row r="985" spans="1:79" hidden="1" outlineLevel="1" x14ac:dyDescent="0.25">
      <c r="A985" s="657"/>
      <c r="B985" s="570"/>
      <c r="C985" s="570"/>
      <c r="D985" s="570"/>
      <c r="E985" s="570" t="s">
        <v>49</v>
      </c>
      <c r="F985" s="657" t="s">
        <v>672</v>
      </c>
      <c r="G985" s="664">
        <f>SUM(G981:G984)</f>
        <v>0</v>
      </c>
      <c r="H985" s="664">
        <f t="shared" ref="H985:BO985" si="408">SUM(H981:H984)</f>
        <v>0</v>
      </c>
      <c r="I985" s="664">
        <f t="shared" si="408"/>
        <v>0</v>
      </c>
      <c r="J985" s="664">
        <f t="shared" si="408"/>
        <v>0</v>
      </c>
      <c r="K985" s="664">
        <f t="shared" si="408"/>
        <v>0</v>
      </c>
      <c r="L985" s="664">
        <f t="shared" si="408"/>
        <v>0</v>
      </c>
      <c r="M985" s="664">
        <f t="shared" si="408"/>
        <v>0</v>
      </c>
      <c r="N985" s="664">
        <f t="shared" si="408"/>
        <v>0</v>
      </c>
      <c r="O985" s="664">
        <f t="shared" si="408"/>
        <v>0</v>
      </c>
      <c r="P985" s="664">
        <f t="shared" si="408"/>
        <v>0</v>
      </c>
      <c r="Q985" s="664">
        <f t="shared" si="408"/>
        <v>0</v>
      </c>
      <c r="R985" s="664">
        <f t="shared" si="408"/>
        <v>0</v>
      </c>
      <c r="S985" s="680">
        <f t="shared" ref="S985:AA985" si="409">ROUND(SUM(S980:S984),5)</f>
        <v>0</v>
      </c>
      <c r="T985" s="680">
        <f t="shared" si="409"/>
        <v>0</v>
      </c>
      <c r="U985" s="680">
        <f t="shared" si="409"/>
        <v>0</v>
      </c>
      <c r="V985" s="680">
        <f t="shared" si="409"/>
        <v>0</v>
      </c>
      <c r="W985" s="680">
        <f t="shared" si="409"/>
        <v>0</v>
      </c>
      <c r="X985" s="680">
        <f t="shared" si="409"/>
        <v>0</v>
      </c>
      <c r="Y985" s="680">
        <f t="shared" si="409"/>
        <v>0</v>
      </c>
      <c r="Z985" s="680">
        <f t="shared" si="409"/>
        <v>0</v>
      </c>
      <c r="AA985" s="680">
        <f t="shared" si="409"/>
        <v>0</v>
      </c>
      <c r="AB985" s="680">
        <f t="shared" ref="AB985:AG985" si="410">ROUND(SUM(AB980:AB984),5)</f>
        <v>0</v>
      </c>
      <c r="AC985" s="680">
        <f t="shared" si="410"/>
        <v>0</v>
      </c>
      <c r="AD985" s="680">
        <f t="shared" si="410"/>
        <v>0</v>
      </c>
      <c r="AE985" s="680">
        <f t="shared" si="410"/>
        <v>0</v>
      </c>
      <c r="AF985" s="664">
        <f t="shared" si="410"/>
        <v>0</v>
      </c>
      <c r="AG985" s="680">
        <f t="shared" si="410"/>
        <v>238.44</v>
      </c>
      <c r="AH985" s="664">
        <f t="shared" si="408"/>
        <v>0</v>
      </c>
      <c r="AI985" s="664">
        <f t="shared" si="408"/>
        <v>0</v>
      </c>
      <c r="AJ985" s="664">
        <f t="shared" si="408"/>
        <v>0</v>
      </c>
      <c r="AK985" s="664">
        <f t="shared" si="408"/>
        <v>0</v>
      </c>
      <c r="AL985" s="664">
        <f t="shared" si="408"/>
        <v>0</v>
      </c>
      <c r="AM985" s="664">
        <f t="shared" si="408"/>
        <v>0</v>
      </c>
      <c r="AN985" s="664">
        <f t="shared" si="408"/>
        <v>0</v>
      </c>
      <c r="AO985" s="664">
        <f t="shared" si="408"/>
        <v>0</v>
      </c>
      <c r="AP985" s="664">
        <f t="shared" si="408"/>
        <v>0</v>
      </c>
      <c r="AQ985" s="664">
        <f t="shared" si="408"/>
        <v>0</v>
      </c>
      <c r="AR985" s="664">
        <f t="shared" si="408"/>
        <v>0</v>
      </c>
      <c r="AS985" s="664">
        <f t="shared" si="408"/>
        <v>0</v>
      </c>
      <c r="AT985" s="664">
        <f t="shared" si="408"/>
        <v>0</v>
      </c>
      <c r="AU985" s="664">
        <f t="shared" si="408"/>
        <v>0</v>
      </c>
      <c r="AV985" s="664">
        <f t="shared" si="408"/>
        <v>0</v>
      </c>
      <c r="AW985" s="664">
        <f t="shared" si="408"/>
        <v>0</v>
      </c>
      <c r="AX985" s="664">
        <f t="shared" si="408"/>
        <v>0</v>
      </c>
      <c r="AY985" s="664">
        <f t="shared" si="408"/>
        <v>0</v>
      </c>
      <c r="AZ985" s="664">
        <f t="shared" si="408"/>
        <v>0</v>
      </c>
      <c r="BA985" s="664">
        <f t="shared" si="408"/>
        <v>0</v>
      </c>
      <c r="BB985" s="664">
        <f t="shared" si="408"/>
        <v>0</v>
      </c>
      <c r="BC985" s="664">
        <f t="shared" si="408"/>
        <v>0</v>
      </c>
      <c r="BD985" s="664">
        <f t="shared" si="408"/>
        <v>0</v>
      </c>
      <c r="BE985" s="664">
        <f t="shared" si="408"/>
        <v>0</v>
      </c>
      <c r="BF985" s="664">
        <f t="shared" si="408"/>
        <v>0</v>
      </c>
      <c r="BG985" s="664">
        <f t="shared" si="408"/>
        <v>0</v>
      </c>
      <c r="BH985" s="664">
        <f t="shared" si="408"/>
        <v>0</v>
      </c>
      <c r="BI985" s="664">
        <f t="shared" si="408"/>
        <v>0</v>
      </c>
      <c r="BJ985" s="664">
        <f t="shared" si="408"/>
        <v>0</v>
      </c>
      <c r="BK985" s="664">
        <f t="shared" si="408"/>
        <v>0</v>
      </c>
      <c r="BL985" s="664">
        <f t="shared" si="408"/>
        <v>0</v>
      </c>
      <c r="BM985" s="664">
        <f t="shared" si="408"/>
        <v>0</v>
      </c>
      <c r="BN985" s="664">
        <f t="shared" si="408"/>
        <v>0</v>
      </c>
      <c r="BO985" s="664">
        <f t="shared" si="408"/>
        <v>0</v>
      </c>
      <c r="BP985" s="664">
        <f t="shared" ref="BP985:CA985" si="411">SUM(BP981:BP984)</f>
        <v>0</v>
      </c>
      <c r="BQ985" s="664">
        <f t="shared" si="411"/>
        <v>0</v>
      </c>
      <c r="BR985" s="664">
        <f t="shared" si="411"/>
        <v>0</v>
      </c>
      <c r="BS985" s="664">
        <f t="shared" si="411"/>
        <v>0</v>
      </c>
      <c r="BT985" s="664">
        <f t="shared" si="411"/>
        <v>0</v>
      </c>
      <c r="BU985" s="664">
        <f t="shared" si="411"/>
        <v>0</v>
      </c>
      <c r="BV985" s="664">
        <f t="shared" si="411"/>
        <v>0</v>
      </c>
      <c r="BW985" s="664">
        <f t="shared" si="411"/>
        <v>0</v>
      </c>
      <c r="BX985" s="664">
        <f t="shared" si="411"/>
        <v>0</v>
      </c>
      <c r="BY985" s="664">
        <f t="shared" si="411"/>
        <v>0</v>
      </c>
      <c r="BZ985" s="664">
        <f t="shared" si="411"/>
        <v>0</v>
      </c>
      <c r="CA985" s="664">
        <f t="shared" si="411"/>
        <v>0</v>
      </c>
    </row>
    <row r="986" spans="1:79" hidden="1" outlineLevel="1" x14ac:dyDescent="0.25">
      <c r="A986" s="658"/>
      <c r="E986" s="570" t="s">
        <v>1076</v>
      </c>
      <c r="F986" s="658" t="s">
        <v>648</v>
      </c>
      <c r="G986" s="719">
        <v>101.88996315675865</v>
      </c>
      <c r="H986" s="719">
        <v>55.494573949050306</v>
      </c>
      <c r="I986" s="719">
        <v>30.325835853416635</v>
      </c>
      <c r="J986" s="719">
        <v>18.41145880116699</v>
      </c>
      <c r="K986" s="719">
        <v>23.111616111409397</v>
      </c>
      <c r="L986" s="719">
        <v>24.260766034100698</v>
      </c>
      <c r="M986" s="719">
        <v>96.458978080981979</v>
      </c>
      <c r="N986" s="719">
        <v>14.870551335231093</v>
      </c>
      <c r="O986" s="719">
        <v>17.037497583461448</v>
      </c>
      <c r="P986" s="716">
        <v>10.362117996910827</v>
      </c>
      <c r="Q986" s="716">
        <v>17.420905154109651</v>
      </c>
      <c r="R986" s="716">
        <v>10.388965380541581</v>
      </c>
      <c r="S986" s="688">
        <v>0</v>
      </c>
      <c r="T986" s="688">
        <v>0</v>
      </c>
      <c r="U986" s="688">
        <v>0</v>
      </c>
      <c r="V986" s="688">
        <v>0</v>
      </c>
      <c r="W986" s="688">
        <v>0</v>
      </c>
      <c r="X986" s="688">
        <v>0</v>
      </c>
      <c r="Y986" s="688">
        <v>0</v>
      </c>
      <c r="Z986" s="688">
        <v>0</v>
      </c>
      <c r="AA986" s="688">
        <v>0</v>
      </c>
      <c r="AB986" s="688">
        <v>0</v>
      </c>
      <c r="AC986" s="666">
        <v>0</v>
      </c>
      <c r="AD986" s="666">
        <v>0</v>
      </c>
      <c r="AE986" s="688">
        <v>0</v>
      </c>
      <c r="AF986" s="719">
        <v>0</v>
      </c>
      <c r="AG986" s="666">
        <v>0</v>
      </c>
      <c r="AH986" s="716"/>
      <c r="AI986" s="716"/>
      <c r="AJ986" s="716"/>
      <c r="AK986" s="716"/>
      <c r="AL986" s="716"/>
      <c r="AM986" s="716"/>
      <c r="AN986" s="716"/>
      <c r="AO986" s="716"/>
      <c r="AP986" s="716"/>
      <c r="AQ986" s="716"/>
      <c r="AR986" s="716"/>
      <c r="AS986" s="716"/>
      <c r="AT986" s="716"/>
      <c r="AU986" s="716"/>
      <c r="AV986" s="716"/>
      <c r="AW986" s="716"/>
      <c r="AX986" s="716"/>
      <c r="AY986" s="716"/>
      <c r="AZ986" s="716"/>
      <c r="BA986" s="716"/>
      <c r="BB986" s="716"/>
      <c r="BC986" s="716"/>
      <c r="BD986" s="716"/>
      <c r="BE986" s="716"/>
      <c r="BF986" s="716"/>
      <c r="BG986" s="716"/>
      <c r="BH986" s="716"/>
      <c r="BI986" s="716"/>
      <c r="BJ986" s="716"/>
      <c r="BK986" s="716"/>
      <c r="BL986" s="716"/>
      <c r="BM986" s="716"/>
      <c r="BN986" s="716"/>
      <c r="BO986" s="716"/>
      <c r="BP986" s="716"/>
      <c r="BQ986" s="716"/>
      <c r="BR986" s="716"/>
      <c r="BS986" s="716"/>
      <c r="BT986" s="716"/>
      <c r="BU986" s="716"/>
      <c r="BV986" s="716"/>
      <c r="BW986" s="716"/>
      <c r="BX986" s="716"/>
      <c r="BY986" s="716"/>
      <c r="BZ986" s="716"/>
      <c r="CA986" s="716"/>
    </row>
    <row r="987" spans="1:79" hidden="1" outlineLevel="1" x14ac:dyDescent="0.25">
      <c r="A987" s="658"/>
      <c r="E987" s="570" t="s">
        <v>431</v>
      </c>
      <c r="F987" s="658" t="s">
        <v>599</v>
      </c>
      <c r="G987" s="719">
        <v>65.117992140094188</v>
      </c>
      <c r="H987" s="719">
        <v>180.51565166673291</v>
      </c>
      <c r="I987" s="719">
        <v>127.46854381982527</v>
      </c>
      <c r="J987" s="719">
        <v>406.52180121215673</v>
      </c>
      <c r="K987" s="719">
        <v>409.20977470753769</v>
      </c>
      <c r="L987" s="719">
        <v>1809.5835095657551</v>
      </c>
      <c r="M987" s="719">
        <v>138.96280478750921</v>
      </c>
      <c r="N987" s="719">
        <v>408.63650401947751</v>
      </c>
      <c r="O987" s="719">
        <v>809.78355384644988</v>
      </c>
      <c r="P987" s="716">
        <v>596.09508245609743</v>
      </c>
      <c r="Q987" s="716">
        <v>273.70431706133076</v>
      </c>
      <c r="R987" s="716">
        <v>50.791780503278034</v>
      </c>
      <c r="S987" s="667">
        <v>15553.65</v>
      </c>
      <c r="T987" s="667">
        <v>2738.56</v>
      </c>
      <c r="U987" s="667">
        <v>945.32</v>
      </c>
      <c r="V987" s="667">
        <v>1546.26</v>
      </c>
      <c r="W987" s="667">
        <v>1394.35</v>
      </c>
      <c r="X987" s="667">
        <v>1880.32</v>
      </c>
      <c r="Y987" s="667">
        <v>1961.7</v>
      </c>
      <c r="Z987" s="667">
        <v>882.14</v>
      </c>
      <c r="AA987" s="667">
        <v>1939.87</v>
      </c>
      <c r="AB987" s="667">
        <v>2982.61</v>
      </c>
      <c r="AC987" s="686">
        <v>-210.73</v>
      </c>
      <c r="AD987" s="686">
        <v>1421.8</v>
      </c>
      <c r="AE987" s="667">
        <v>2268.34</v>
      </c>
      <c r="AF987" s="719">
        <v>2623.28</v>
      </c>
      <c r="AG987" s="686">
        <v>5346.12</v>
      </c>
      <c r="AH987" s="716"/>
      <c r="AI987" s="716"/>
      <c r="AJ987" s="716"/>
      <c r="AK987" s="716"/>
      <c r="AL987" s="716"/>
      <c r="AM987" s="716"/>
      <c r="AN987" s="716"/>
      <c r="AO987" s="716"/>
      <c r="AP987" s="716"/>
      <c r="AQ987" s="716"/>
      <c r="AR987" s="716"/>
      <c r="AS987" s="716"/>
      <c r="AT987" s="716"/>
      <c r="AU987" s="716"/>
      <c r="AV987" s="716"/>
      <c r="AW987" s="716"/>
      <c r="AX987" s="716"/>
      <c r="AY987" s="716"/>
      <c r="AZ987" s="716"/>
      <c r="BA987" s="716"/>
      <c r="BB987" s="716"/>
      <c r="BC987" s="716"/>
      <c r="BD987" s="716"/>
      <c r="BE987" s="716"/>
      <c r="BF987" s="716"/>
      <c r="BG987" s="716"/>
      <c r="BH987" s="716"/>
      <c r="BI987" s="716"/>
      <c r="BJ987" s="716"/>
      <c r="BK987" s="716"/>
      <c r="BL987" s="716"/>
      <c r="BM987" s="716"/>
      <c r="BN987" s="716"/>
      <c r="BO987" s="716"/>
      <c r="BP987" s="716"/>
      <c r="BQ987" s="716"/>
      <c r="BR987" s="716"/>
      <c r="BS987" s="716"/>
      <c r="BT987" s="716"/>
      <c r="BU987" s="716"/>
      <c r="BV987" s="716"/>
      <c r="BW987" s="716"/>
      <c r="BX987" s="716"/>
      <c r="BY987" s="716"/>
      <c r="BZ987" s="716"/>
      <c r="CA987" s="716"/>
    </row>
    <row r="988" spans="1:79" s="693" customFormat="1" hidden="1" outlineLevel="1" x14ac:dyDescent="0.25">
      <c r="A988" s="691"/>
      <c r="E988" s="570" t="s">
        <v>1343</v>
      </c>
      <c r="F988" s="691" t="s">
        <v>673</v>
      </c>
      <c r="G988" s="733"/>
      <c r="H988" s="733"/>
      <c r="I988" s="733"/>
      <c r="J988" s="733"/>
      <c r="K988" s="733"/>
      <c r="L988" s="733"/>
      <c r="M988" s="733"/>
      <c r="N988" s="733"/>
      <c r="O988" s="733"/>
      <c r="P988" s="734"/>
      <c r="Q988" s="734"/>
      <c r="R988" s="734"/>
      <c r="S988" s="704"/>
      <c r="T988" s="704"/>
      <c r="U988" s="704"/>
      <c r="V988" s="704"/>
      <c r="W988" s="704"/>
      <c r="X988" s="704"/>
      <c r="Y988" s="704"/>
      <c r="Z988" s="704"/>
      <c r="AA988" s="704"/>
      <c r="AB988" s="704"/>
      <c r="AC988" s="703"/>
      <c r="AD988" s="703"/>
      <c r="AE988" s="704"/>
      <c r="AF988" s="733"/>
      <c r="AG988" s="703"/>
      <c r="AH988" s="734"/>
      <c r="AI988" s="734"/>
      <c r="AJ988" s="734"/>
      <c r="AK988" s="734"/>
      <c r="AL988" s="734"/>
      <c r="AM988" s="734"/>
      <c r="AN988" s="734"/>
      <c r="AO988" s="734"/>
      <c r="AP988" s="734"/>
      <c r="AQ988" s="734"/>
      <c r="AR988" s="734"/>
      <c r="AS988" s="734"/>
      <c r="AT988" s="734"/>
      <c r="AU988" s="734"/>
      <c r="AV988" s="734"/>
      <c r="AW988" s="734"/>
      <c r="AX988" s="734"/>
      <c r="AY988" s="734"/>
      <c r="AZ988" s="734"/>
      <c r="BA988" s="734"/>
      <c r="BB988" s="734"/>
      <c r="BC988" s="734"/>
      <c r="BD988" s="734"/>
      <c r="BE988" s="734"/>
      <c r="BF988" s="734"/>
      <c r="BG988" s="734"/>
      <c r="BH988" s="734"/>
      <c r="BI988" s="734"/>
      <c r="BJ988" s="734"/>
      <c r="BK988" s="734"/>
      <c r="BL988" s="734"/>
      <c r="BM988" s="734"/>
      <c r="BN988" s="734"/>
      <c r="BO988" s="734"/>
      <c r="BP988" s="734"/>
      <c r="BQ988" s="734"/>
      <c r="BR988" s="734"/>
      <c r="BS988" s="734"/>
      <c r="BT988" s="734"/>
      <c r="BU988" s="734"/>
      <c r="BV988" s="734"/>
      <c r="BW988" s="734"/>
      <c r="BX988" s="734"/>
      <c r="BY988" s="734"/>
      <c r="BZ988" s="734"/>
      <c r="CA988" s="734"/>
    </row>
    <row r="989" spans="1:79" hidden="1" outlineLevel="1" x14ac:dyDescent="0.25">
      <c r="A989" s="656"/>
      <c r="B989" s="570"/>
      <c r="C989" s="570"/>
      <c r="D989" s="570"/>
      <c r="E989" s="570" t="s">
        <v>1330</v>
      </c>
      <c r="F989" s="656" t="s">
        <v>893</v>
      </c>
      <c r="G989" s="719"/>
      <c r="H989" s="719"/>
      <c r="I989" s="719"/>
      <c r="J989" s="719"/>
      <c r="K989" s="719"/>
      <c r="L989" s="719"/>
      <c r="M989" s="719"/>
      <c r="N989" s="719"/>
      <c r="O989" s="719"/>
      <c r="P989" s="716"/>
      <c r="Q989" s="716"/>
      <c r="R989" s="716"/>
      <c r="S989" s="667">
        <v>0</v>
      </c>
      <c r="T989" s="667">
        <v>0</v>
      </c>
      <c r="U989" s="667">
        <v>0</v>
      </c>
      <c r="V989" s="667">
        <v>0</v>
      </c>
      <c r="W989" s="667">
        <v>0</v>
      </c>
      <c r="X989" s="667">
        <v>0</v>
      </c>
      <c r="Y989" s="667">
        <v>0</v>
      </c>
      <c r="Z989" s="667">
        <v>0</v>
      </c>
      <c r="AA989" s="667">
        <v>0</v>
      </c>
      <c r="AB989" s="667">
        <v>0</v>
      </c>
      <c r="AC989" s="686">
        <v>0</v>
      </c>
      <c r="AD989" s="686">
        <v>0</v>
      </c>
      <c r="AE989" s="667">
        <v>0</v>
      </c>
      <c r="AF989" s="719">
        <v>0</v>
      </c>
      <c r="AG989" s="686">
        <v>0</v>
      </c>
      <c r="AH989" s="716"/>
      <c r="AI989" s="716"/>
      <c r="AJ989" s="716"/>
      <c r="AK989" s="716"/>
      <c r="AL989" s="716"/>
      <c r="AM989" s="716"/>
      <c r="AN989" s="716"/>
      <c r="AO989" s="716"/>
      <c r="AP989" s="716"/>
      <c r="AQ989" s="716"/>
      <c r="AR989" s="716"/>
      <c r="AS989" s="716"/>
      <c r="AT989" s="716"/>
      <c r="AU989" s="716"/>
      <c r="AV989" s="716"/>
      <c r="AW989" s="716"/>
      <c r="AX989" s="716"/>
      <c r="AY989" s="716"/>
      <c r="AZ989" s="716"/>
      <c r="BA989" s="716"/>
      <c r="BB989" s="716"/>
      <c r="BC989" s="716"/>
      <c r="BD989" s="716"/>
      <c r="BE989" s="716"/>
      <c r="BF989" s="716"/>
      <c r="BG989" s="716"/>
      <c r="BH989" s="716"/>
      <c r="BI989" s="716"/>
      <c r="BJ989" s="716"/>
      <c r="BK989" s="716"/>
      <c r="BL989" s="716"/>
      <c r="BM989" s="716"/>
      <c r="BN989" s="716"/>
      <c r="BO989" s="716"/>
      <c r="BP989" s="716"/>
      <c r="BQ989" s="716"/>
      <c r="BR989" s="716"/>
      <c r="BS989" s="716"/>
      <c r="BT989" s="716"/>
      <c r="BU989" s="716"/>
      <c r="BV989" s="716"/>
      <c r="BW989" s="716"/>
      <c r="BX989" s="716"/>
      <c r="BY989" s="716"/>
      <c r="BZ989" s="716"/>
      <c r="CA989" s="716"/>
    </row>
    <row r="990" spans="1:79" hidden="1" outlineLevel="1" x14ac:dyDescent="0.25">
      <c r="A990" s="656"/>
      <c r="B990" s="570"/>
      <c r="C990" s="570"/>
      <c r="D990" s="570"/>
      <c r="E990" s="570" t="s">
        <v>1343</v>
      </c>
      <c r="F990" s="656" t="s">
        <v>674</v>
      </c>
      <c r="G990" s="719"/>
      <c r="H990" s="719"/>
      <c r="I990" s="719"/>
      <c r="J990" s="719"/>
      <c r="K990" s="719"/>
      <c r="L990" s="719"/>
      <c r="M990" s="719"/>
      <c r="N990" s="719"/>
      <c r="O990" s="719"/>
      <c r="P990" s="716"/>
      <c r="Q990" s="716"/>
      <c r="R990" s="716"/>
      <c r="S990" s="667">
        <v>0</v>
      </c>
      <c r="T990" s="667">
        <v>0</v>
      </c>
      <c r="U990" s="667">
        <v>0</v>
      </c>
      <c r="V990" s="667">
        <v>0</v>
      </c>
      <c r="W990" s="667">
        <v>0</v>
      </c>
      <c r="X990" s="667">
        <v>0</v>
      </c>
      <c r="Y990" s="667">
        <v>0</v>
      </c>
      <c r="Z990" s="667">
        <v>0</v>
      </c>
      <c r="AA990" s="667">
        <v>0</v>
      </c>
      <c r="AB990" s="667">
        <v>0</v>
      </c>
      <c r="AC990" s="686">
        <v>0</v>
      </c>
      <c r="AD990" s="686">
        <v>0</v>
      </c>
      <c r="AE990" s="667">
        <v>0</v>
      </c>
      <c r="AF990" s="719">
        <v>0</v>
      </c>
      <c r="AG990" s="686">
        <v>0</v>
      </c>
      <c r="AH990" s="716"/>
      <c r="AI990" s="716"/>
      <c r="AJ990" s="716"/>
      <c r="AK990" s="716"/>
      <c r="AL990" s="716"/>
      <c r="AM990" s="716"/>
      <c r="AN990" s="716"/>
      <c r="AO990" s="716"/>
      <c r="AP990" s="716"/>
      <c r="AQ990" s="716"/>
      <c r="AR990" s="716"/>
      <c r="AS990" s="716"/>
      <c r="AT990" s="716"/>
      <c r="AU990" s="716"/>
      <c r="AV990" s="716"/>
      <c r="AW990" s="716"/>
      <c r="AX990" s="716"/>
      <c r="AY990" s="716"/>
      <c r="AZ990" s="716"/>
      <c r="BA990" s="716"/>
      <c r="BB990" s="716"/>
      <c r="BC990" s="716"/>
      <c r="BD990" s="716"/>
      <c r="BE990" s="716"/>
      <c r="BF990" s="716"/>
      <c r="BG990" s="716"/>
      <c r="BH990" s="716"/>
      <c r="BI990" s="716"/>
      <c r="BJ990" s="716"/>
      <c r="BK990" s="716"/>
      <c r="BL990" s="716"/>
      <c r="BM990" s="716"/>
      <c r="BN990" s="716"/>
      <c r="BO990" s="716"/>
      <c r="BP990" s="716"/>
      <c r="BQ990" s="716"/>
      <c r="BR990" s="716"/>
      <c r="BS990" s="716"/>
      <c r="BT990" s="716"/>
      <c r="BU990" s="716"/>
      <c r="BV990" s="716"/>
      <c r="BW990" s="716"/>
      <c r="BX990" s="716"/>
      <c r="BY990" s="716"/>
      <c r="BZ990" s="716"/>
      <c r="CA990" s="716"/>
    </row>
    <row r="991" spans="1:79" hidden="1" outlineLevel="1" x14ac:dyDescent="0.25">
      <c r="A991" s="656"/>
      <c r="B991" s="570"/>
      <c r="C991" s="570"/>
      <c r="D991" s="570"/>
      <c r="E991" s="570" t="s">
        <v>1343</v>
      </c>
      <c r="F991" s="656" t="s">
        <v>894</v>
      </c>
      <c r="G991" s="719"/>
      <c r="H991" s="719"/>
      <c r="I991" s="719"/>
      <c r="J991" s="719"/>
      <c r="K991" s="719"/>
      <c r="L991" s="719"/>
      <c r="M991" s="719"/>
      <c r="N991" s="719"/>
      <c r="O991" s="719"/>
      <c r="P991" s="716"/>
      <c r="Q991" s="716"/>
      <c r="R991" s="716"/>
      <c r="S991" s="667">
        <v>0</v>
      </c>
      <c r="T991" s="667">
        <v>0</v>
      </c>
      <c r="U991" s="667">
        <v>0</v>
      </c>
      <c r="V991" s="667">
        <v>0</v>
      </c>
      <c r="W991" s="667">
        <v>0</v>
      </c>
      <c r="X991" s="667">
        <v>0</v>
      </c>
      <c r="Y991" s="667">
        <v>0</v>
      </c>
      <c r="Z991" s="667">
        <v>0</v>
      </c>
      <c r="AA991" s="667">
        <v>0</v>
      </c>
      <c r="AB991" s="667">
        <v>0</v>
      </c>
      <c r="AC991" s="686">
        <v>0</v>
      </c>
      <c r="AD991" s="686">
        <v>0</v>
      </c>
      <c r="AE991" s="667">
        <v>0</v>
      </c>
      <c r="AF991" s="719">
        <v>0</v>
      </c>
      <c r="AG991" s="686">
        <v>0</v>
      </c>
      <c r="AH991" s="716"/>
      <c r="AI991" s="716"/>
      <c r="AJ991" s="716"/>
      <c r="AK991" s="716"/>
      <c r="AL991" s="716"/>
      <c r="AM991" s="716"/>
      <c r="AN991" s="716"/>
      <c r="AO991" s="716"/>
      <c r="AP991" s="716"/>
      <c r="AQ991" s="716"/>
      <c r="AR991" s="716"/>
      <c r="AS991" s="716"/>
      <c r="AT991" s="716"/>
      <c r="AU991" s="716"/>
      <c r="AV991" s="716"/>
      <c r="AW991" s="716"/>
      <c r="AX991" s="716"/>
      <c r="AY991" s="716"/>
      <c r="AZ991" s="716"/>
      <c r="BA991" s="716"/>
      <c r="BB991" s="716"/>
      <c r="BC991" s="716"/>
      <c r="BD991" s="716"/>
      <c r="BE991" s="716"/>
      <c r="BF991" s="716"/>
      <c r="BG991" s="716"/>
      <c r="BH991" s="716"/>
      <c r="BI991" s="716"/>
      <c r="BJ991" s="716"/>
      <c r="BK991" s="716"/>
      <c r="BL991" s="716"/>
      <c r="BM991" s="716"/>
      <c r="BN991" s="716"/>
      <c r="BO991" s="716"/>
      <c r="BP991" s="716"/>
      <c r="BQ991" s="716"/>
      <c r="BR991" s="716"/>
      <c r="BS991" s="716"/>
      <c r="BT991" s="716"/>
      <c r="BU991" s="716"/>
      <c r="BV991" s="716"/>
      <c r="BW991" s="716"/>
      <c r="BX991" s="716"/>
      <c r="BY991" s="716"/>
      <c r="BZ991" s="716"/>
      <c r="CA991" s="716"/>
    </row>
    <row r="992" spans="1:79" hidden="1" outlineLevel="1" x14ac:dyDescent="0.25">
      <c r="A992" s="656"/>
      <c r="B992" s="570"/>
      <c r="C992" s="570"/>
      <c r="D992" s="570"/>
      <c r="E992" s="570" t="s">
        <v>1343</v>
      </c>
      <c r="F992" s="656" t="s">
        <v>765</v>
      </c>
      <c r="G992" s="719"/>
      <c r="H992" s="719"/>
      <c r="I992" s="719"/>
      <c r="J992" s="719"/>
      <c r="K992" s="719"/>
      <c r="L992" s="719"/>
      <c r="M992" s="719"/>
      <c r="N992" s="719"/>
      <c r="O992" s="719"/>
      <c r="P992" s="716"/>
      <c r="Q992" s="716"/>
      <c r="R992" s="716"/>
      <c r="S992" s="667">
        <v>0</v>
      </c>
      <c r="T992" s="667">
        <v>0</v>
      </c>
      <c r="U992" s="667">
        <v>0</v>
      </c>
      <c r="V992" s="667">
        <v>0</v>
      </c>
      <c r="W992" s="667">
        <v>0</v>
      </c>
      <c r="X992" s="667">
        <v>0</v>
      </c>
      <c r="Y992" s="667">
        <v>0</v>
      </c>
      <c r="Z992" s="667">
        <v>0</v>
      </c>
      <c r="AA992" s="667">
        <v>0</v>
      </c>
      <c r="AB992" s="667">
        <v>0</v>
      </c>
      <c r="AC992" s="686">
        <v>0</v>
      </c>
      <c r="AD992" s="686">
        <v>0</v>
      </c>
      <c r="AE992" s="667">
        <v>0</v>
      </c>
      <c r="AF992" s="719">
        <v>0</v>
      </c>
      <c r="AG992" s="686">
        <v>0</v>
      </c>
      <c r="AH992" s="716"/>
      <c r="AI992" s="716"/>
      <c r="AJ992" s="716"/>
      <c r="AK992" s="716"/>
      <c r="AL992" s="716"/>
      <c r="AM992" s="716"/>
      <c r="AN992" s="716"/>
      <c r="AO992" s="716"/>
      <c r="AP992" s="716"/>
      <c r="AQ992" s="716"/>
      <c r="AR992" s="716"/>
      <c r="AS992" s="716"/>
      <c r="AT992" s="716"/>
      <c r="AU992" s="716"/>
      <c r="AV992" s="716"/>
      <c r="AW992" s="716"/>
      <c r="AX992" s="716"/>
      <c r="AY992" s="716"/>
      <c r="AZ992" s="716"/>
      <c r="BA992" s="716"/>
      <c r="BB992" s="716"/>
      <c r="BC992" s="716"/>
      <c r="BD992" s="716"/>
      <c r="BE992" s="716"/>
      <c r="BF992" s="716"/>
      <c r="BG992" s="716"/>
      <c r="BH992" s="716"/>
      <c r="BI992" s="716"/>
      <c r="BJ992" s="716"/>
      <c r="BK992" s="716"/>
      <c r="BL992" s="716"/>
      <c r="BM992" s="716"/>
      <c r="BN992" s="716"/>
      <c r="BO992" s="716"/>
      <c r="BP992" s="716"/>
      <c r="BQ992" s="716"/>
      <c r="BR992" s="716"/>
      <c r="BS992" s="716"/>
      <c r="BT992" s="716"/>
      <c r="BU992" s="716"/>
      <c r="BV992" s="716"/>
      <c r="BW992" s="716"/>
      <c r="BX992" s="716"/>
      <c r="BY992" s="716"/>
      <c r="BZ992" s="716"/>
      <c r="CA992" s="716"/>
    </row>
    <row r="993" spans="1:79" hidden="1" outlineLevel="1" x14ac:dyDescent="0.25">
      <c r="A993" s="657"/>
      <c r="B993" s="570"/>
      <c r="C993" s="570"/>
      <c r="D993" s="570"/>
      <c r="E993" s="570" t="s">
        <v>49</v>
      </c>
      <c r="F993" s="657" t="s">
        <v>675</v>
      </c>
      <c r="G993" s="664">
        <f>SUM(G989:G992)</f>
        <v>0</v>
      </c>
      <c r="H993" s="664">
        <f t="shared" ref="H993:BO993" si="412">SUM(H989:H992)</f>
        <v>0</v>
      </c>
      <c r="I993" s="664">
        <f t="shared" si="412"/>
        <v>0</v>
      </c>
      <c r="J993" s="664">
        <f t="shared" si="412"/>
        <v>0</v>
      </c>
      <c r="K993" s="664">
        <f t="shared" si="412"/>
        <v>0</v>
      </c>
      <c r="L993" s="664">
        <f t="shared" si="412"/>
        <v>0</v>
      </c>
      <c r="M993" s="664">
        <f t="shared" si="412"/>
        <v>0</v>
      </c>
      <c r="N993" s="664">
        <f t="shared" si="412"/>
        <v>0</v>
      </c>
      <c r="O993" s="664">
        <f t="shared" si="412"/>
        <v>0</v>
      </c>
      <c r="P993" s="664">
        <f t="shared" si="412"/>
        <v>0</v>
      </c>
      <c r="Q993" s="664">
        <f t="shared" si="412"/>
        <v>0</v>
      </c>
      <c r="R993" s="664">
        <f t="shared" si="412"/>
        <v>0</v>
      </c>
      <c r="S993" s="678">
        <f t="shared" ref="S993:AA993" si="413">ROUND(SUM(S988:S992),5)</f>
        <v>0</v>
      </c>
      <c r="T993" s="678">
        <f t="shared" si="413"/>
        <v>0</v>
      </c>
      <c r="U993" s="678">
        <f t="shared" si="413"/>
        <v>0</v>
      </c>
      <c r="V993" s="678">
        <f t="shared" si="413"/>
        <v>0</v>
      </c>
      <c r="W993" s="678">
        <f t="shared" si="413"/>
        <v>0</v>
      </c>
      <c r="X993" s="678">
        <f t="shared" si="413"/>
        <v>0</v>
      </c>
      <c r="Y993" s="678">
        <f t="shared" si="413"/>
        <v>0</v>
      </c>
      <c r="Z993" s="678">
        <f t="shared" si="413"/>
        <v>0</v>
      </c>
      <c r="AA993" s="678">
        <f t="shared" si="413"/>
        <v>0</v>
      </c>
      <c r="AB993" s="678">
        <f t="shared" ref="AB993:AG993" si="414">ROUND(SUM(AB988:AB992),5)</f>
        <v>0</v>
      </c>
      <c r="AC993" s="678">
        <f t="shared" si="414"/>
        <v>0</v>
      </c>
      <c r="AD993" s="678">
        <f t="shared" si="414"/>
        <v>0</v>
      </c>
      <c r="AE993" s="678">
        <f t="shared" si="414"/>
        <v>0</v>
      </c>
      <c r="AF993" s="664">
        <f t="shared" si="414"/>
        <v>0</v>
      </c>
      <c r="AG993" s="678">
        <f t="shared" si="414"/>
        <v>0</v>
      </c>
      <c r="AH993" s="664">
        <f t="shared" si="412"/>
        <v>0</v>
      </c>
      <c r="AI993" s="664">
        <f t="shared" si="412"/>
        <v>0</v>
      </c>
      <c r="AJ993" s="664">
        <f t="shared" si="412"/>
        <v>0</v>
      </c>
      <c r="AK993" s="664">
        <f t="shared" si="412"/>
        <v>0</v>
      </c>
      <c r="AL993" s="664">
        <f t="shared" si="412"/>
        <v>0</v>
      </c>
      <c r="AM993" s="664">
        <f t="shared" si="412"/>
        <v>0</v>
      </c>
      <c r="AN993" s="664">
        <f t="shared" si="412"/>
        <v>0</v>
      </c>
      <c r="AO993" s="664">
        <f t="shared" si="412"/>
        <v>0</v>
      </c>
      <c r="AP993" s="664">
        <f t="shared" si="412"/>
        <v>0</v>
      </c>
      <c r="AQ993" s="664">
        <f t="shared" si="412"/>
        <v>0</v>
      </c>
      <c r="AR993" s="664">
        <f t="shared" si="412"/>
        <v>0</v>
      </c>
      <c r="AS993" s="664">
        <f t="shared" si="412"/>
        <v>0</v>
      </c>
      <c r="AT993" s="664">
        <f t="shared" si="412"/>
        <v>0</v>
      </c>
      <c r="AU993" s="664">
        <f t="shared" si="412"/>
        <v>0</v>
      </c>
      <c r="AV993" s="664">
        <f t="shared" si="412"/>
        <v>0</v>
      </c>
      <c r="AW993" s="664">
        <f t="shared" si="412"/>
        <v>0</v>
      </c>
      <c r="AX993" s="664">
        <f t="shared" si="412"/>
        <v>0</v>
      </c>
      <c r="AY993" s="664">
        <f t="shared" si="412"/>
        <v>0</v>
      </c>
      <c r="AZ993" s="664">
        <f t="shared" si="412"/>
        <v>0</v>
      </c>
      <c r="BA993" s="664">
        <f t="shared" si="412"/>
        <v>0</v>
      </c>
      <c r="BB993" s="664">
        <f t="shared" si="412"/>
        <v>0</v>
      </c>
      <c r="BC993" s="664">
        <f t="shared" si="412"/>
        <v>0</v>
      </c>
      <c r="BD993" s="664">
        <f t="shared" si="412"/>
        <v>0</v>
      </c>
      <c r="BE993" s="664">
        <f t="shared" si="412"/>
        <v>0</v>
      </c>
      <c r="BF993" s="664">
        <f t="shared" si="412"/>
        <v>0</v>
      </c>
      <c r="BG993" s="664">
        <f t="shared" si="412"/>
        <v>0</v>
      </c>
      <c r="BH993" s="664">
        <f t="shared" si="412"/>
        <v>0</v>
      </c>
      <c r="BI993" s="664">
        <f t="shared" si="412"/>
        <v>0</v>
      </c>
      <c r="BJ993" s="664">
        <f t="shared" si="412"/>
        <v>0</v>
      </c>
      <c r="BK993" s="664">
        <f t="shared" si="412"/>
        <v>0</v>
      </c>
      <c r="BL993" s="664">
        <f t="shared" si="412"/>
        <v>0</v>
      </c>
      <c r="BM993" s="664">
        <f t="shared" si="412"/>
        <v>0</v>
      </c>
      <c r="BN993" s="664">
        <f t="shared" si="412"/>
        <v>0</v>
      </c>
      <c r="BO993" s="664">
        <f t="shared" si="412"/>
        <v>0</v>
      </c>
      <c r="BP993" s="664">
        <f t="shared" ref="BP993:CA993" si="415">SUM(BP989:BP992)</f>
        <v>0</v>
      </c>
      <c r="BQ993" s="664">
        <f t="shared" si="415"/>
        <v>0</v>
      </c>
      <c r="BR993" s="664">
        <f t="shared" si="415"/>
        <v>0</v>
      </c>
      <c r="BS993" s="664">
        <f t="shared" si="415"/>
        <v>0</v>
      </c>
      <c r="BT993" s="664">
        <f t="shared" si="415"/>
        <v>0</v>
      </c>
      <c r="BU993" s="664">
        <f t="shared" si="415"/>
        <v>0</v>
      </c>
      <c r="BV993" s="664">
        <f t="shared" si="415"/>
        <v>0</v>
      </c>
      <c r="BW993" s="664">
        <f t="shared" si="415"/>
        <v>0</v>
      </c>
      <c r="BX993" s="664">
        <f t="shared" si="415"/>
        <v>0</v>
      </c>
      <c r="BY993" s="664">
        <f t="shared" si="415"/>
        <v>0</v>
      </c>
      <c r="BZ993" s="664">
        <f t="shared" si="415"/>
        <v>0</v>
      </c>
      <c r="CA993" s="664">
        <f t="shared" si="415"/>
        <v>0</v>
      </c>
    </row>
    <row r="994" spans="1:79" hidden="1" outlineLevel="1" x14ac:dyDescent="0.25">
      <c r="A994" s="658"/>
      <c r="E994" s="570" t="s">
        <v>921</v>
      </c>
      <c r="F994" s="658" t="s">
        <v>600</v>
      </c>
      <c r="G994" s="719">
        <v>121.80218990898943</v>
      </c>
      <c r="H994" s="719">
        <v>87.974817675151002</v>
      </c>
      <c r="I994" s="719">
        <v>122.97926093808516</v>
      </c>
      <c r="J994" s="719">
        <v>240.70003706871469</v>
      </c>
      <c r="K994" s="719">
        <v>114.71443087021532</v>
      </c>
      <c r="L994" s="719">
        <v>367.99428175041402</v>
      </c>
      <c r="M994" s="719">
        <v>396.72727001542864</v>
      </c>
      <c r="N994" s="719">
        <v>171.08725478000193</v>
      </c>
      <c r="O994" s="719">
        <v>155.7239667533002</v>
      </c>
      <c r="P994" s="716">
        <v>197.70461513155792</v>
      </c>
      <c r="Q994" s="716">
        <v>154.94539453704144</v>
      </c>
      <c r="R994" s="716">
        <v>47.961418234872831</v>
      </c>
      <c r="S994" s="667">
        <v>0</v>
      </c>
      <c r="T994" s="667">
        <v>0</v>
      </c>
      <c r="U994" s="667">
        <v>0</v>
      </c>
      <c r="V994" s="667">
        <v>50.9</v>
      </c>
      <c r="W994" s="667">
        <v>100.59</v>
      </c>
      <c r="X994" s="667">
        <v>93.82</v>
      </c>
      <c r="Y994" s="667">
        <v>0</v>
      </c>
      <c r="Z994" s="667">
        <v>0</v>
      </c>
      <c r="AA994" s="667">
        <v>47.03</v>
      </c>
      <c r="AB994" s="667">
        <v>0</v>
      </c>
      <c r="AC994" s="686">
        <v>0</v>
      </c>
      <c r="AD994" s="686">
        <v>245.7</v>
      </c>
      <c r="AE994" s="667">
        <v>1460.12</v>
      </c>
      <c r="AF994" s="719">
        <v>42.79</v>
      </c>
      <c r="AG994" s="686">
        <v>0</v>
      </c>
      <c r="AH994" s="716"/>
      <c r="AI994" s="716"/>
      <c r="AJ994" s="716"/>
      <c r="AK994" s="716"/>
      <c r="AL994" s="716"/>
      <c r="AM994" s="716"/>
      <c r="AN994" s="716"/>
      <c r="AO994" s="716"/>
      <c r="AP994" s="716"/>
      <c r="AQ994" s="716"/>
      <c r="AR994" s="716"/>
      <c r="AS994" s="716"/>
      <c r="AT994" s="716"/>
      <c r="AU994" s="716"/>
      <c r="AV994" s="716"/>
      <c r="AW994" s="716"/>
      <c r="AX994" s="716"/>
      <c r="AY994" s="716"/>
      <c r="AZ994" s="716"/>
      <c r="BA994" s="716"/>
      <c r="BB994" s="716"/>
      <c r="BC994" s="716"/>
      <c r="BD994" s="716"/>
      <c r="BE994" s="716"/>
      <c r="BF994" s="716"/>
      <c r="BG994" s="716"/>
      <c r="BH994" s="716"/>
      <c r="BI994" s="716"/>
      <c r="BJ994" s="716"/>
      <c r="BK994" s="716"/>
      <c r="BL994" s="716"/>
      <c r="BM994" s="716"/>
      <c r="BN994" s="716"/>
      <c r="BO994" s="716"/>
      <c r="BP994" s="716"/>
      <c r="BQ994" s="716"/>
      <c r="BR994" s="716"/>
      <c r="BS994" s="716"/>
      <c r="BT994" s="716"/>
      <c r="BU994" s="716"/>
      <c r="BV994" s="716"/>
      <c r="BW994" s="716"/>
      <c r="BX994" s="716"/>
      <c r="BY994" s="716"/>
      <c r="BZ994" s="716"/>
      <c r="CA994" s="716"/>
    </row>
    <row r="995" spans="1:79" s="700" customFormat="1" hidden="1" outlineLevel="1" x14ac:dyDescent="0.25">
      <c r="A995" s="701"/>
      <c r="E995" s="570" t="s">
        <v>1345</v>
      </c>
      <c r="F995" s="701" t="s">
        <v>601</v>
      </c>
      <c r="G995" s="765"/>
      <c r="H995" s="765"/>
      <c r="I995" s="765"/>
      <c r="J995" s="765"/>
      <c r="K995" s="765"/>
      <c r="L995" s="765"/>
      <c r="M995" s="765"/>
      <c r="N995" s="765"/>
      <c r="O995" s="765"/>
      <c r="P995" s="736"/>
      <c r="Q995" s="736"/>
      <c r="R995" s="736"/>
      <c r="S995" s="697"/>
      <c r="T995" s="697"/>
      <c r="U995" s="697"/>
      <c r="V995" s="697"/>
      <c r="W995" s="697"/>
      <c r="X995" s="697"/>
      <c r="Y995" s="697"/>
      <c r="Z995" s="697"/>
      <c r="AA995" s="697"/>
      <c r="AB995" s="697"/>
      <c r="AC995" s="711"/>
      <c r="AD995" s="711"/>
      <c r="AE995" s="697"/>
      <c r="AF995" s="752"/>
      <c r="AG995" s="711"/>
      <c r="AH995" s="734"/>
      <c r="AI995" s="734"/>
      <c r="AJ995" s="734"/>
      <c r="AK995" s="734"/>
      <c r="AL995" s="734"/>
      <c r="AM995" s="734"/>
      <c r="AN995" s="734"/>
      <c r="AO995" s="734"/>
      <c r="AP995" s="734"/>
      <c r="AQ995" s="734"/>
      <c r="AR995" s="734"/>
      <c r="AS995" s="734"/>
      <c r="AT995" s="734"/>
      <c r="AU995" s="734"/>
      <c r="AV995" s="734"/>
      <c r="AW995" s="734"/>
      <c r="AX995" s="734"/>
      <c r="AY995" s="734"/>
      <c r="AZ995" s="734"/>
      <c r="BA995" s="734"/>
      <c r="BB995" s="734"/>
      <c r="BC995" s="734"/>
      <c r="BD995" s="734"/>
      <c r="BE995" s="734"/>
      <c r="BF995" s="734"/>
      <c r="BG995" s="734"/>
      <c r="BH995" s="734"/>
      <c r="BI995" s="734"/>
      <c r="BJ995" s="734"/>
      <c r="BK995" s="734"/>
      <c r="BL995" s="734"/>
      <c r="BM995" s="734"/>
      <c r="BN995" s="734"/>
      <c r="BO995" s="734"/>
      <c r="BP995" s="734"/>
      <c r="BQ995" s="734"/>
      <c r="BR995" s="734"/>
      <c r="BS995" s="734"/>
      <c r="BT995" s="734"/>
      <c r="BU995" s="734"/>
      <c r="BV995" s="734"/>
      <c r="BW995" s="734"/>
      <c r="BX995" s="734"/>
      <c r="BY995" s="734"/>
      <c r="BZ995" s="734"/>
      <c r="CA995" s="734"/>
    </row>
    <row r="996" spans="1:79" s="740" customFormat="1" hidden="1" outlineLevel="1" x14ac:dyDescent="0.25">
      <c r="A996" s="656"/>
      <c r="B996" s="503"/>
      <c r="C996" s="503"/>
      <c r="D996" s="503"/>
      <c r="E996" s="570" t="s">
        <v>1327</v>
      </c>
      <c r="F996" s="656" t="s">
        <v>895</v>
      </c>
      <c r="G996" s="723"/>
      <c r="H996" s="723"/>
      <c r="I996" s="723"/>
      <c r="J996" s="723"/>
      <c r="K996" s="723"/>
      <c r="L996" s="723"/>
      <c r="M996" s="723"/>
      <c r="N996" s="723"/>
      <c r="O996" s="723"/>
      <c r="P996" s="718"/>
      <c r="Q996" s="718"/>
      <c r="R996" s="718"/>
      <c r="S996" s="671"/>
      <c r="T996" s="671"/>
      <c r="U996" s="671"/>
      <c r="V996" s="671"/>
      <c r="W996" s="671"/>
      <c r="X996" s="671"/>
      <c r="Y996" s="671"/>
      <c r="Z996" s="671"/>
      <c r="AA996" s="671"/>
      <c r="AB996" s="671"/>
      <c r="AC996" s="689"/>
      <c r="AD996" s="689"/>
      <c r="AE996" s="671"/>
      <c r="AF996" s="724"/>
      <c r="AG996" s="689"/>
      <c r="AH996" s="716"/>
      <c r="AI996" s="716"/>
      <c r="AJ996" s="716"/>
      <c r="AK996" s="716"/>
      <c r="AL996" s="716"/>
      <c r="AM996" s="716"/>
      <c r="AN996" s="716"/>
      <c r="AO996" s="716"/>
      <c r="AP996" s="716"/>
      <c r="AQ996" s="716"/>
      <c r="AR996" s="716"/>
      <c r="AS996" s="716"/>
      <c r="AT996" s="716"/>
      <c r="AU996" s="716"/>
      <c r="AV996" s="716"/>
      <c r="AW996" s="716"/>
      <c r="AX996" s="716"/>
      <c r="AY996" s="716"/>
      <c r="AZ996" s="716"/>
      <c r="BA996" s="716"/>
      <c r="BB996" s="716"/>
      <c r="BC996" s="716"/>
      <c r="BD996" s="716"/>
      <c r="BE996" s="716"/>
      <c r="BF996" s="716"/>
      <c r="BG996" s="716"/>
      <c r="BH996" s="716"/>
      <c r="BI996" s="716"/>
      <c r="BJ996" s="716"/>
      <c r="BK996" s="716"/>
      <c r="BL996" s="716"/>
      <c r="BM996" s="716"/>
      <c r="BN996" s="716"/>
      <c r="BO996" s="716"/>
      <c r="BP996" s="716"/>
      <c r="BQ996" s="716"/>
      <c r="BR996" s="716"/>
      <c r="BS996" s="716"/>
      <c r="BT996" s="716"/>
      <c r="BU996" s="716"/>
      <c r="BV996" s="716"/>
      <c r="BW996" s="716"/>
      <c r="BX996" s="716"/>
      <c r="BY996" s="716"/>
      <c r="BZ996" s="716"/>
      <c r="CA996" s="716"/>
    </row>
    <row r="997" spans="1:79" s="740" customFormat="1" hidden="1" outlineLevel="1" x14ac:dyDescent="0.25">
      <c r="A997" s="661"/>
      <c r="B997" s="503"/>
      <c r="C997" s="503"/>
      <c r="D997" s="503"/>
      <c r="E997" s="570" t="s">
        <v>1327</v>
      </c>
      <c r="F997" s="661" t="s">
        <v>906</v>
      </c>
      <c r="G997" s="723"/>
      <c r="H997" s="723"/>
      <c r="I997" s="723"/>
      <c r="J997" s="723"/>
      <c r="K997" s="723"/>
      <c r="L997" s="723"/>
      <c r="M997" s="723"/>
      <c r="N997" s="723"/>
      <c r="O997" s="723"/>
      <c r="P997" s="718"/>
      <c r="Q997" s="718"/>
      <c r="R997" s="718"/>
      <c r="S997" s="671"/>
      <c r="T997" s="671"/>
      <c r="U997" s="671"/>
      <c r="V997" s="671"/>
      <c r="W997" s="671"/>
      <c r="X997" s="671"/>
      <c r="Y997" s="671"/>
      <c r="Z997" s="671"/>
      <c r="AA997" s="671"/>
      <c r="AB997" s="671"/>
      <c r="AC997" s="689"/>
      <c r="AD997" s="689"/>
      <c r="AE997" s="671">
        <v>0</v>
      </c>
      <c r="AF997" s="724">
        <v>0</v>
      </c>
      <c r="AG997" s="689">
        <v>0</v>
      </c>
      <c r="AH997" s="716"/>
      <c r="AI997" s="716"/>
      <c r="AJ997" s="716"/>
      <c r="AK997" s="716"/>
      <c r="AL997" s="716"/>
      <c r="AM997" s="716"/>
      <c r="AN997" s="716"/>
      <c r="AO997" s="716"/>
      <c r="AP997" s="716"/>
      <c r="AQ997" s="716"/>
      <c r="AR997" s="716"/>
      <c r="AS997" s="716"/>
      <c r="AT997" s="716"/>
      <c r="AU997" s="716"/>
      <c r="AV997" s="716"/>
      <c r="AW997" s="716"/>
      <c r="AX997" s="716"/>
      <c r="AY997" s="716"/>
      <c r="AZ997" s="716"/>
      <c r="BA997" s="716"/>
      <c r="BB997" s="716"/>
      <c r="BC997" s="716"/>
      <c r="BD997" s="716"/>
      <c r="BE997" s="716"/>
      <c r="BF997" s="716"/>
      <c r="BG997" s="716"/>
      <c r="BH997" s="716"/>
      <c r="BI997" s="716"/>
      <c r="BJ997" s="716"/>
      <c r="BK997" s="716"/>
      <c r="BL997" s="716"/>
      <c r="BM997" s="716"/>
      <c r="BN997" s="716"/>
      <c r="BO997" s="716"/>
      <c r="BP997" s="716"/>
      <c r="BQ997" s="716"/>
      <c r="BR997" s="716"/>
      <c r="BS997" s="716"/>
      <c r="BT997" s="716"/>
      <c r="BU997" s="716"/>
      <c r="BV997" s="716"/>
      <c r="BW997" s="716"/>
      <c r="BX997" s="716"/>
      <c r="BY997" s="716"/>
      <c r="BZ997" s="716"/>
      <c r="CA997" s="716"/>
    </row>
    <row r="998" spans="1:79" s="740" customFormat="1" hidden="1" outlineLevel="1" x14ac:dyDescent="0.25">
      <c r="A998" s="661"/>
      <c r="B998" s="503"/>
      <c r="C998" s="503"/>
      <c r="D998" s="503"/>
      <c r="E998" s="570" t="s">
        <v>657</v>
      </c>
      <c r="F998" s="661" t="s">
        <v>641</v>
      </c>
      <c r="G998" s="723"/>
      <c r="H998" s="723"/>
      <c r="I998" s="723"/>
      <c r="J998" s="723"/>
      <c r="K998" s="723"/>
      <c r="L998" s="723"/>
      <c r="M998" s="723"/>
      <c r="N998" s="723"/>
      <c r="O998" s="723"/>
      <c r="P998" s="718"/>
      <c r="Q998" s="718"/>
      <c r="R998" s="718"/>
      <c r="S998" s="671"/>
      <c r="T998" s="671"/>
      <c r="U998" s="671"/>
      <c r="V998" s="671"/>
      <c r="W998" s="671"/>
      <c r="X998" s="671"/>
      <c r="Y998" s="671"/>
      <c r="Z998" s="671"/>
      <c r="AA998" s="671"/>
      <c r="AB998" s="671"/>
      <c r="AC998" s="689"/>
      <c r="AD998" s="689"/>
      <c r="AE998" s="671">
        <v>1902.58</v>
      </c>
      <c r="AF998" s="724">
        <v>4483.22</v>
      </c>
      <c r="AG998" s="689">
        <v>3227.67</v>
      </c>
      <c r="AH998" s="716"/>
      <c r="AI998" s="716"/>
      <c r="AJ998" s="716"/>
      <c r="AK998" s="716"/>
      <c r="AL998" s="716"/>
      <c r="AM998" s="716"/>
      <c r="AN998" s="716"/>
      <c r="AO998" s="716"/>
      <c r="AP998" s="716"/>
      <c r="AQ998" s="716"/>
      <c r="AR998" s="716"/>
      <c r="AS998" s="716"/>
      <c r="AT998" s="716"/>
      <c r="AU998" s="716"/>
      <c r="AV998" s="716"/>
      <c r="AW998" s="716"/>
      <c r="AX998" s="716"/>
      <c r="AY998" s="716"/>
      <c r="AZ998" s="716"/>
      <c r="BA998" s="716"/>
      <c r="BB998" s="716"/>
      <c r="BC998" s="716"/>
      <c r="BD998" s="716"/>
      <c r="BE998" s="716"/>
      <c r="BF998" s="716"/>
      <c r="BG998" s="716"/>
      <c r="BH998" s="716"/>
      <c r="BI998" s="716"/>
      <c r="BJ998" s="716"/>
      <c r="BK998" s="716"/>
      <c r="BL998" s="716"/>
      <c r="BM998" s="716"/>
      <c r="BN998" s="716"/>
      <c r="BO998" s="716"/>
      <c r="BP998" s="716"/>
      <c r="BQ998" s="716"/>
      <c r="BR998" s="716"/>
      <c r="BS998" s="716"/>
      <c r="BT998" s="716"/>
      <c r="BU998" s="716"/>
      <c r="BV998" s="716"/>
      <c r="BW998" s="716"/>
      <c r="BX998" s="716"/>
      <c r="BY998" s="716"/>
      <c r="BZ998" s="716"/>
      <c r="CA998" s="716"/>
    </row>
    <row r="999" spans="1:79" s="740" customFormat="1" hidden="1" outlineLevel="1" x14ac:dyDescent="0.25">
      <c r="A999" s="661"/>
      <c r="B999" s="503"/>
      <c r="C999" s="503"/>
      <c r="D999" s="503"/>
      <c r="E999" s="570" t="s">
        <v>657</v>
      </c>
      <c r="F999" s="661" t="s">
        <v>1322</v>
      </c>
      <c r="G999" s="723"/>
      <c r="H999" s="723"/>
      <c r="I999" s="723"/>
      <c r="J999" s="723"/>
      <c r="K999" s="723"/>
      <c r="L999" s="723"/>
      <c r="M999" s="723"/>
      <c r="N999" s="723"/>
      <c r="O999" s="723"/>
      <c r="P999" s="718"/>
      <c r="Q999" s="718"/>
      <c r="R999" s="718"/>
      <c r="S999" s="671"/>
      <c r="T999" s="671"/>
      <c r="U999" s="671"/>
      <c r="V999" s="671"/>
      <c r="W999" s="671"/>
      <c r="X999" s="671"/>
      <c r="Y999" s="671"/>
      <c r="Z999" s="671"/>
      <c r="AA999" s="671"/>
      <c r="AB999" s="671"/>
      <c r="AC999" s="689"/>
      <c r="AD999" s="689"/>
      <c r="AE999" s="671">
        <v>224.47</v>
      </c>
      <c r="AF999" s="724">
        <v>201.97</v>
      </c>
      <c r="AG999" s="689">
        <v>216.97</v>
      </c>
      <c r="AH999" s="716"/>
      <c r="AI999" s="716"/>
      <c r="AJ999" s="716"/>
      <c r="AK999" s="716"/>
      <c r="AL999" s="716"/>
      <c r="AM999" s="716"/>
      <c r="AN999" s="716"/>
      <c r="AO999" s="716"/>
      <c r="AP999" s="716"/>
      <c r="AQ999" s="716"/>
      <c r="AR999" s="716"/>
      <c r="AS999" s="716"/>
      <c r="AT999" s="716"/>
      <c r="AU999" s="716"/>
      <c r="AV999" s="716"/>
      <c r="AW999" s="716"/>
      <c r="AX999" s="716"/>
      <c r="AY999" s="716"/>
      <c r="AZ999" s="716"/>
      <c r="BA999" s="716"/>
      <c r="BB999" s="716"/>
      <c r="BC999" s="716"/>
      <c r="BD999" s="716"/>
      <c r="BE999" s="716"/>
      <c r="BF999" s="716"/>
      <c r="BG999" s="716"/>
      <c r="BH999" s="716"/>
      <c r="BI999" s="716"/>
      <c r="BJ999" s="716"/>
      <c r="BK999" s="716"/>
      <c r="BL999" s="716"/>
      <c r="BM999" s="716"/>
      <c r="BN999" s="716"/>
      <c r="BO999" s="716"/>
      <c r="BP999" s="716"/>
      <c r="BQ999" s="716"/>
      <c r="BR999" s="716"/>
      <c r="BS999" s="716"/>
      <c r="BT999" s="716"/>
      <c r="BU999" s="716"/>
      <c r="BV999" s="716"/>
      <c r="BW999" s="716"/>
      <c r="BX999" s="716"/>
      <c r="BY999" s="716"/>
      <c r="BZ999" s="716"/>
      <c r="CA999" s="716"/>
    </row>
    <row r="1000" spans="1:79" s="740" customFormat="1" hidden="1" outlineLevel="1" x14ac:dyDescent="0.25">
      <c r="A1000" s="661"/>
      <c r="B1000" s="503"/>
      <c r="C1000" s="503"/>
      <c r="D1000" s="503"/>
      <c r="E1000" s="570" t="s">
        <v>1327</v>
      </c>
      <c r="F1000" s="661" t="s">
        <v>896</v>
      </c>
      <c r="G1000" s="723"/>
      <c r="H1000" s="723"/>
      <c r="I1000" s="723"/>
      <c r="J1000" s="723"/>
      <c r="K1000" s="723"/>
      <c r="L1000" s="723"/>
      <c r="M1000" s="723"/>
      <c r="N1000" s="723"/>
      <c r="O1000" s="723"/>
      <c r="P1000" s="718"/>
      <c r="Q1000" s="718"/>
      <c r="R1000" s="718"/>
      <c r="S1000" s="671">
        <v>0</v>
      </c>
      <c r="T1000" s="671">
        <v>0</v>
      </c>
      <c r="U1000" s="671">
        <v>0</v>
      </c>
      <c r="V1000" s="671">
        <v>0</v>
      </c>
      <c r="W1000" s="671">
        <v>0</v>
      </c>
      <c r="X1000" s="671">
        <v>0</v>
      </c>
      <c r="Y1000" s="671">
        <v>0</v>
      </c>
      <c r="Z1000" s="671">
        <v>0</v>
      </c>
      <c r="AA1000" s="671">
        <v>0</v>
      </c>
      <c r="AB1000" s="671">
        <v>0</v>
      </c>
      <c r="AC1000" s="689">
        <v>2808.62</v>
      </c>
      <c r="AD1000" s="689">
        <v>0</v>
      </c>
      <c r="AE1000" s="671">
        <v>0</v>
      </c>
      <c r="AF1000" s="724">
        <v>0</v>
      </c>
      <c r="AG1000" s="689">
        <v>0</v>
      </c>
      <c r="AH1000" s="716"/>
      <c r="AI1000" s="716"/>
      <c r="AJ1000" s="716"/>
      <c r="AK1000" s="716"/>
      <c r="AL1000" s="716"/>
      <c r="AM1000" s="716"/>
      <c r="AN1000" s="716"/>
      <c r="AO1000" s="716"/>
      <c r="AP1000" s="716"/>
      <c r="AQ1000" s="716"/>
      <c r="AR1000" s="716"/>
      <c r="AS1000" s="716"/>
      <c r="AT1000" s="716"/>
      <c r="AU1000" s="716"/>
      <c r="AV1000" s="716"/>
      <c r="AW1000" s="716"/>
      <c r="AX1000" s="716"/>
      <c r="AY1000" s="716"/>
      <c r="AZ1000" s="716"/>
      <c r="BA1000" s="716"/>
      <c r="BB1000" s="716"/>
      <c r="BC1000" s="716"/>
      <c r="BD1000" s="716"/>
      <c r="BE1000" s="716"/>
      <c r="BF1000" s="716"/>
      <c r="BG1000" s="716"/>
      <c r="BH1000" s="716"/>
      <c r="BI1000" s="716"/>
      <c r="BJ1000" s="716"/>
      <c r="BK1000" s="716"/>
      <c r="BL1000" s="716"/>
      <c r="BM1000" s="716"/>
      <c r="BN1000" s="716"/>
      <c r="BO1000" s="716"/>
      <c r="BP1000" s="716"/>
      <c r="BQ1000" s="716"/>
      <c r="BR1000" s="716"/>
      <c r="BS1000" s="716"/>
      <c r="BT1000" s="716"/>
      <c r="BU1000" s="716"/>
      <c r="BV1000" s="716"/>
      <c r="BW1000" s="716"/>
      <c r="BX1000" s="716"/>
      <c r="BY1000" s="716"/>
      <c r="BZ1000" s="716"/>
      <c r="CA1000" s="716"/>
    </row>
    <row r="1001" spans="1:79" s="740" customFormat="1" hidden="1" outlineLevel="1" x14ac:dyDescent="0.25">
      <c r="A1001" s="661"/>
      <c r="B1001" s="503"/>
      <c r="C1001" s="503"/>
      <c r="D1001" s="503"/>
      <c r="E1001" s="570" t="s">
        <v>1327</v>
      </c>
      <c r="F1001" s="661" t="s">
        <v>897</v>
      </c>
      <c r="G1001" s="723"/>
      <c r="H1001" s="723"/>
      <c r="I1001" s="723"/>
      <c r="J1001" s="723"/>
      <c r="K1001" s="723"/>
      <c r="L1001" s="723"/>
      <c r="M1001" s="723"/>
      <c r="N1001" s="723"/>
      <c r="O1001" s="723"/>
      <c r="P1001" s="718"/>
      <c r="Q1001" s="718"/>
      <c r="R1001" s="718"/>
      <c r="S1001" s="671">
        <v>0</v>
      </c>
      <c r="T1001" s="671">
        <v>0</v>
      </c>
      <c r="U1001" s="671">
        <v>0</v>
      </c>
      <c r="V1001" s="671">
        <v>0</v>
      </c>
      <c r="W1001" s="671">
        <v>0</v>
      </c>
      <c r="X1001" s="671">
        <v>0</v>
      </c>
      <c r="Y1001" s="671">
        <v>0</v>
      </c>
      <c r="Z1001" s="671">
        <v>0</v>
      </c>
      <c r="AA1001" s="671">
        <v>0</v>
      </c>
      <c r="AB1001" s="671">
        <v>0</v>
      </c>
      <c r="AC1001" s="689">
        <v>0</v>
      </c>
      <c r="AD1001" s="689">
        <v>0</v>
      </c>
      <c r="AE1001" s="671">
        <v>0</v>
      </c>
      <c r="AF1001" s="724">
        <v>0</v>
      </c>
      <c r="AG1001" s="689">
        <v>0</v>
      </c>
      <c r="AH1001" s="716"/>
      <c r="AI1001" s="716"/>
      <c r="AJ1001" s="716"/>
      <c r="AK1001" s="716"/>
      <c r="AL1001" s="716"/>
      <c r="AM1001" s="716"/>
      <c r="AN1001" s="716"/>
      <c r="AO1001" s="716"/>
      <c r="AP1001" s="716"/>
      <c r="AQ1001" s="716"/>
      <c r="AR1001" s="716"/>
      <c r="AS1001" s="716"/>
      <c r="AT1001" s="716"/>
      <c r="AU1001" s="716"/>
      <c r="AV1001" s="716"/>
      <c r="AW1001" s="716"/>
      <c r="AX1001" s="716"/>
      <c r="AY1001" s="716"/>
      <c r="AZ1001" s="716"/>
      <c r="BA1001" s="716"/>
      <c r="BB1001" s="716"/>
      <c r="BC1001" s="716"/>
      <c r="BD1001" s="716"/>
      <c r="BE1001" s="716"/>
      <c r="BF1001" s="716"/>
      <c r="BG1001" s="716"/>
      <c r="BH1001" s="716"/>
      <c r="BI1001" s="716"/>
      <c r="BJ1001" s="716"/>
      <c r="BK1001" s="716"/>
      <c r="BL1001" s="716"/>
      <c r="BM1001" s="716"/>
      <c r="BN1001" s="716"/>
      <c r="BO1001" s="716"/>
      <c r="BP1001" s="716"/>
      <c r="BQ1001" s="716"/>
      <c r="BR1001" s="716"/>
      <c r="BS1001" s="716"/>
      <c r="BT1001" s="716"/>
      <c r="BU1001" s="716"/>
      <c r="BV1001" s="716"/>
      <c r="BW1001" s="716"/>
      <c r="BX1001" s="716"/>
      <c r="BY1001" s="716"/>
      <c r="BZ1001" s="716"/>
      <c r="CA1001" s="716"/>
    </row>
    <row r="1002" spans="1:79" s="740" customFormat="1" hidden="1" outlineLevel="1" x14ac:dyDescent="0.25">
      <c r="A1002" s="661"/>
      <c r="B1002" s="503"/>
      <c r="C1002" s="503"/>
      <c r="D1002" s="503"/>
      <c r="E1002" s="570" t="s">
        <v>657</v>
      </c>
      <c r="F1002" s="661" t="s">
        <v>898</v>
      </c>
      <c r="G1002" s="723"/>
      <c r="H1002" s="723"/>
      <c r="I1002" s="723"/>
      <c r="J1002" s="723"/>
      <c r="K1002" s="723"/>
      <c r="L1002" s="723"/>
      <c r="M1002" s="723"/>
      <c r="N1002" s="723"/>
      <c r="O1002" s="723"/>
      <c r="P1002" s="718"/>
      <c r="Q1002" s="718"/>
      <c r="R1002" s="718"/>
      <c r="S1002" s="671">
        <v>0</v>
      </c>
      <c r="T1002" s="671">
        <v>0</v>
      </c>
      <c r="U1002" s="671">
        <v>0</v>
      </c>
      <c r="V1002" s="671">
        <v>0</v>
      </c>
      <c r="W1002" s="671">
        <v>0</v>
      </c>
      <c r="X1002" s="671">
        <v>0</v>
      </c>
      <c r="Y1002" s="671">
        <v>0</v>
      </c>
      <c r="Z1002" s="671">
        <v>0</v>
      </c>
      <c r="AA1002" s="671">
        <v>0</v>
      </c>
      <c r="AB1002" s="671">
        <v>0</v>
      </c>
      <c r="AC1002" s="689">
        <v>0</v>
      </c>
      <c r="AD1002" s="689">
        <v>1627.53</v>
      </c>
      <c r="AE1002" s="671"/>
      <c r="AF1002" s="724"/>
      <c r="AG1002" s="689"/>
      <c r="AH1002" s="716"/>
      <c r="AI1002" s="716"/>
      <c r="AJ1002" s="716"/>
      <c r="AK1002" s="716"/>
      <c r="AL1002" s="716"/>
      <c r="AM1002" s="716"/>
      <c r="AN1002" s="716"/>
      <c r="AO1002" s="716"/>
      <c r="AP1002" s="716"/>
      <c r="AQ1002" s="716"/>
      <c r="AR1002" s="716"/>
      <c r="AS1002" s="716"/>
      <c r="AT1002" s="716"/>
      <c r="AU1002" s="716"/>
      <c r="AV1002" s="716"/>
      <c r="AW1002" s="716"/>
      <c r="AX1002" s="716"/>
      <c r="AY1002" s="716"/>
      <c r="AZ1002" s="716"/>
      <c r="BA1002" s="716"/>
      <c r="BB1002" s="716"/>
      <c r="BC1002" s="716"/>
      <c r="BD1002" s="716"/>
      <c r="BE1002" s="716"/>
      <c r="BF1002" s="716"/>
      <c r="BG1002" s="716"/>
      <c r="BH1002" s="716"/>
      <c r="BI1002" s="716"/>
      <c r="BJ1002" s="716"/>
      <c r="BK1002" s="716"/>
      <c r="BL1002" s="716"/>
      <c r="BM1002" s="716"/>
      <c r="BN1002" s="716"/>
      <c r="BO1002" s="716"/>
      <c r="BP1002" s="716"/>
      <c r="BQ1002" s="716"/>
      <c r="BR1002" s="716"/>
      <c r="BS1002" s="716"/>
      <c r="BT1002" s="716"/>
      <c r="BU1002" s="716"/>
      <c r="BV1002" s="716"/>
      <c r="BW1002" s="716"/>
      <c r="BX1002" s="716"/>
      <c r="BY1002" s="716"/>
      <c r="BZ1002" s="716"/>
      <c r="CA1002" s="716"/>
    </row>
    <row r="1003" spans="1:79" s="740" customFormat="1" hidden="1" outlineLevel="1" x14ac:dyDescent="0.25">
      <c r="A1003" s="661"/>
      <c r="B1003" s="503"/>
      <c r="C1003" s="503"/>
      <c r="D1003" s="503"/>
      <c r="E1003" s="570" t="s">
        <v>1327</v>
      </c>
      <c r="F1003" s="661" t="s">
        <v>899</v>
      </c>
      <c r="G1003" s="723"/>
      <c r="H1003" s="723"/>
      <c r="I1003" s="723"/>
      <c r="J1003" s="723"/>
      <c r="K1003" s="723"/>
      <c r="L1003" s="723"/>
      <c r="M1003" s="723"/>
      <c r="N1003" s="723"/>
      <c r="O1003" s="723"/>
      <c r="P1003" s="718"/>
      <c r="Q1003" s="718"/>
      <c r="R1003" s="718"/>
      <c r="S1003" s="671">
        <v>0</v>
      </c>
      <c r="T1003" s="671">
        <v>0</v>
      </c>
      <c r="U1003" s="671">
        <v>0</v>
      </c>
      <c r="V1003" s="671">
        <v>0</v>
      </c>
      <c r="W1003" s="671">
        <v>0</v>
      </c>
      <c r="X1003" s="671">
        <v>0</v>
      </c>
      <c r="Y1003" s="671">
        <v>0</v>
      </c>
      <c r="Z1003" s="671">
        <v>0</v>
      </c>
      <c r="AA1003" s="671">
        <v>0</v>
      </c>
      <c r="AB1003" s="671">
        <v>0</v>
      </c>
      <c r="AC1003" s="689">
        <v>0</v>
      </c>
      <c r="AD1003" s="689">
        <v>0</v>
      </c>
      <c r="AE1003" s="671">
        <v>0</v>
      </c>
      <c r="AF1003" s="724">
        <v>0</v>
      </c>
      <c r="AG1003" s="689">
        <v>0</v>
      </c>
      <c r="AH1003" s="716"/>
      <c r="AI1003" s="716"/>
      <c r="AJ1003" s="716"/>
      <c r="AK1003" s="716"/>
      <c r="AL1003" s="716"/>
      <c r="AM1003" s="716"/>
      <c r="AN1003" s="716"/>
      <c r="AO1003" s="716"/>
      <c r="AP1003" s="716"/>
      <c r="AQ1003" s="716"/>
      <c r="AR1003" s="716"/>
      <c r="AS1003" s="716"/>
      <c r="AT1003" s="716"/>
      <c r="AU1003" s="716"/>
      <c r="AV1003" s="716"/>
      <c r="AW1003" s="716"/>
      <c r="AX1003" s="716"/>
      <c r="AY1003" s="716"/>
      <c r="AZ1003" s="716"/>
      <c r="BA1003" s="716"/>
      <c r="BB1003" s="716"/>
      <c r="BC1003" s="716"/>
      <c r="BD1003" s="716"/>
      <c r="BE1003" s="716"/>
      <c r="BF1003" s="716"/>
      <c r="BG1003" s="716"/>
      <c r="BH1003" s="716"/>
      <c r="BI1003" s="716"/>
      <c r="BJ1003" s="716"/>
      <c r="BK1003" s="716"/>
      <c r="BL1003" s="716"/>
      <c r="BM1003" s="716"/>
      <c r="BN1003" s="716"/>
      <c r="BO1003" s="716"/>
      <c r="BP1003" s="716"/>
      <c r="BQ1003" s="716"/>
      <c r="BR1003" s="716"/>
      <c r="BS1003" s="716"/>
      <c r="BT1003" s="716"/>
      <c r="BU1003" s="716"/>
      <c r="BV1003" s="716"/>
      <c r="BW1003" s="716"/>
      <c r="BX1003" s="716"/>
      <c r="BY1003" s="716"/>
      <c r="BZ1003" s="716"/>
      <c r="CA1003" s="716"/>
    </row>
    <row r="1004" spans="1:79" s="740" customFormat="1" hidden="1" outlineLevel="1" x14ac:dyDescent="0.25">
      <c r="A1004" s="661"/>
      <c r="B1004" s="503"/>
      <c r="C1004" s="503"/>
      <c r="D1004" s="503"/>
      <c r="E1004" s="570" t="s">
        <v>1327</v>
      </c>
      <c r="F1004" s="661" t="s">
        <v>900</v>
      </c>
      <c r="G1004" s="723"/>
      <c r="H1004" s="723"/>
      <c r="I1004" s="723"/>
      <c r="J1004" s="723"/>
      <c r="K1004" s="723"/>
      <c r="L1004" s="723"/>
      <c r="M1004" s="723"/>
      <c r="N1004" s="723"/>
      <c r="O1004" s="723"/>
      <c r="P1004" s="718"/>
      <c r="Q1004" s="718"/>
      <c r="R1004" s="718"/>
      <c r="S1004" s="671">
        <v>0</v>
      </c>
      <c r="T1004" s="671">
        <v>0</v>
      </c>
      <c r="U1004" s="671">
        <v>0</v>
      </c>
      <c r="V1004" s="671">
        <v>0</v>
      </c>
      <c r="W1004" s="671">
        <v>0</v>
      </c>
      <c r="X1004" s="671">
        <v>0</v>
      </c>
      <c r="Y1004" s="671">
        <v>0</v>
      </c>
      <c r="Z1004" s="671">
        <v>0</v>
      </c>
      <c r="AA1004" s="671">
        <v>0</v>
      </c>
      <c r="AB1004" s="671">
        <v>0</v>
      </c>
      <c r="AC1004" s="689">
        <v>0</v>
      </c>
      <c r="AD1004" s="689">
        <v>0</v>
      </c>
      <c r="AE1004" s="671">
        <v>0</v>
      </c>
      <c r="AF1004" s="724">
        <v>0</v>
      </c>
      <c r="AG1004" s="689">
        <v>0</v>
      </c>
      <c r="AH1004" s="716"/>
      <c r="AI1004" s="716"/>
      <c r="AJ1004" s="716"/>
      <c r="AK1004" s="716"/>
      <c r="AL1004" s="716"/>
      <c r="AM1004" s="716"/>
      <c r="AN1004" s="716"/>
      <c r="AO1004" s="716"/>
      <c r="AP1004" s="716"/>
      <c r="AQ1004" s="716"/>
      <c r="AR1004" s="716"/>
      <c r="AS1004" s="716"/>
      <c r="AT1004" s="716"/>
      <c r="AU1004" s="716"/>
      <c r="AV1004" s="716"/>
      <c r="AW1004" s="716"/>
      <c r="AX1004" s="716"/>
      <c r="AY1004" s="716"/>
      <c r="AZ1004" s="716"/>
      <c r="BA1004" s="716"/>
      <c r="BB1004" s="716"/>
      <c r="BC1004" s="716"/>
      <c r="BD1004" s="716"/>
      <c r="BE1004" s="716"/>
      <c r="BF1004" s="716"/>
      <c r="BG1004" s="716"/>
      <c r="BH1004" s="716"/>
      <c r="BI1004" s="716"/>
      <c r="BJ1004" s="716"/>
      <c r="BK1004" s="716"/>
      <c r="BL1004" s="716"/>
      <c r="BM1004" s="716"/>
      <c r="BN1004" s="716"/>
      <c r="BO1004" s="716"/>
      <c r="BP1004" s="716"/>
      <c r="BQ1004" s="716"/>
      <c r="BR1004" s="716"/>
      <c r="BS1004" s="716"/>
      <c r="BT1004" s="716"/>
      <c r="BU1004" s="716"/>
      <c r="BV1004" s="716"/>
      <c r="BW1004" s="716"/>
      <c r="BX1004" s="716"/>
      <c r="BY1004" s="716"/>
      <c r="BZ1004" s="716"/>
      <c r="CA1004" s="716"/>
    </row>
    <row r="1005" spans="1:79" s="740" customFormat="1" hidden="1" outlineLevel="1" x14ac:dyDescent="0.25">
      <c r="A1005" s="657"/>
      <c r="B1005" s="503"/>
      <c r="C1005" s="503"/>
      <c r="D1005" s="503"/>
      <c r="E1005" s="570" t="s">
        <v>49</v>
      </c>
      <c r="F1005" s="657" t="s">
        <v>901</v>
      </c>
      <c r="G1005" s="664">
        <f t="shared" ref="G1005:R1005" si="416">SUM(G996:G1004)</f>
        <v>0</v>
      </c>
      <c r="H1005" s="664">
        <f t="shared" si="416"/>
        <v>0</v>
      </c>
      <c r="I1005" s="664">
        <f t="shared" si="416"/>
        <v>0</v>
      </c>
      <c r="J1005" s="664">
        <f t="shared" si="416"/>
        <v>0</v>
      </c>
      <c r="K1005" s="664">
        <f t="shared" si="416"/>
        <v>0</v>
      </c>
      <c r="L1005" s="664">
        <f t="shared" si="416"/>
        <v>0</v>
      </c>
      <c r="M1005" s="664">
        <f t="shared" si="416"/>
        <v>0</v>
      </c>
      <c r="N1005" s="664">
        <f t="shared" si="416"/>
        <v>0</v>
      </c>
      <c r="O1005" s="664">
        <f t="shared" si="416"/>
        <v>0</v>
      </c>
      <c r="P1005" s="664">
        <f t="shared" si="416"/>
        <v>0</v>
      </c>
      <c r="Q1005" s="664">
        <f t="shared" si="416"/>
        <v>0</v>
      </c>
      <c r="R1005" s="664">
        <f t="shared" si="416"/>
        <v>0</v>
      </c>
      <c r="S1005" s="679">
        <f t="shared" ref="S1005:AB1005" si="417">ROUND(SUM(S996:S1004),5)</f>
        <v>0</v>
      </c>
      <c r="T1005" s="679">
        <f t="shared" si="417"/>
        <v>0</v>
      </c>
      <c r="U1005" s="679">
        <f t="shared" si="417"/>
        <v>0</v>
      </c>
      <c r="V1005" s="679">
        <f t="shared" si="417"/>
        <v>0</v>
      </c>
      <c r="W1005" s="679">
        <f t="shared" si="417"/>
        <v>0</v>
      </c>
      <c r="X1005" s="679">
        <f t="shared" si="417"/>
        <v>0</v>
      </c>
      <c r="Y1005" s="679">
        <f t="shared" si="417"/>
        <v>0</v>
      </c>
      <c r="Z1005" s="679">
        <f t="shared" si="417"/>
        <v>0</v>
      </c>
      <c r="AA1005" s="679">
        <f t="shared" si="417"/>
        <v>0</v>
      </c>
      <c r="AB1005" s="679">
        <f t="shared" si="417"/>
        <v>0</v>
      </c>
      <c r="AC1005" s="679">
        <f>ROUND(SUM(AC996:AC1004),5)</f>
        <v>2808.62</v>
      </c>
      <c r="AD1005" s="679">
        <f>ROUND(SUM(AD996:AD1004),5)</f>
        <v>1627.53</v>
      </c>
      <c r="AE1005" s="679">
        <f>ROUND(SUM(AE996:AE1004),5)</f>
        <v>2127.0500000000002</v>
      </c>
      <c r="AF1005" s="664">
        <f>ROUND(SUM(AF996:AF1004),5)</f>
        <v>4685.1899999999996</v>
      </c>
      <c r="AG1005" s="679">
        <f>ROUND(SUM(AG996:AG1004),5)</f>
        <v>3444.64</v>
      </c>
      <c r="AH1005" s="664">
        <f t="shared" ref="AH1005:BJ1005" si="418">SUM(AH996:AH1004)</f>
        <v>0</v>
      </c>
      <c r="AI1005" s="664">
        <f t="shared" si="418"/>
        <v>0</v>
      </c>
      <c r="AJ1005" s="664">
        <f t="shared" si="418"/>
        <v>0</v>
      </c>
      <c r="AK1005" s="664">
        <f t="shared" si="418"/>
        <v>0</v>
      </c>
      <c r="AL1005" s="664">
        <f t="shared" si="418"/>
        <v>0</v>
      </c>
      <c r="AM1005" s="664">
        <f t="shared" si="418"/>
        <v>0</v>
      </c>
      <c r="AN1005" s="664">
        <f t="shared" si="418"/>
        <v>0</v>
      </c>
      <c r="AO1005" s="664">
        <f t="shared" si="418"/>
        <v>0</v>
      </c>
      <c r="AP1005" s="664">
        <f t="shared" si="418"/>
        <v>0</v>
      </c>
      <c r="AQ1005" s="664">
        <f t="shared" si="418"/>
        <v>0</v>
      </c>
      <c r="AR1005" s="664">
        <f t="shared" si="418"/>
        <v>0</v>
      </c>
      <c r="AS1005" s="664">
        <f t="shared" si="418"/>
        <v>0</v>
      </c>
      <c r="AT1005" s="664">
        <f t="shared" si="418"/>
        <v>0</v>
      </c>
      <c r="AU1005" s="664">
        <f t="shared" si="418"/>
        <v>0</v>
      </c>
      <c r="AV1005" s="664">
        <f t="shared" si="418"/>
        <v>0</v>
      </c>
      <c r="AW1005" s="664">
        <f t="shared" si="418"/>
        <v>0</v>
      </c>
      <c r="AX1005" s="664">
        <f t="shared" si="418"/>
        <v>0</v>
      </c>
      <c r="AY1005" s="664">
        <f t="shared" si="418"/>
        <v>0</v>
      </c>
      <c r="AZ1005" s="664">
        <f t="shared" si="418"/>
        <v>0</v>
      </c>
      <c r="BA1005" s="664">
        <f t="shared" si="418"/>
        <v>0</v>
      </c>
      <c r="BB1005" s="664">
        <f t="shared" si="418"/>
        <v>0</v>
      </c>
      <c r="BC1005" s="664">
        <f t="shared" si="418"/>
        <v>0</v>
      </c>
      <c r="BD1005" s="664">
        <f t="shared" si="418"/>
        <v>0</v>
      </c>
      <c r="BE1005" s="664">
        <f t="shared" si="418"/>
        <v>0</v>
      </c>
      <c r="BF1005" s="664">
        <f t="shared" si="418"/>
        <v>0</v>
      </c>
      <c r="BG1005" s="664">
        <f t="shared" si="418"/>
        <v>0</v>
      </c>
      <c r="BH1005" s="664">
        <f t="shared" si="418"/>
        <v>0</v>
      </c>
      <c r="BI1005" s="664">
        <f t="shared" si="418"/>
        <v>0</v>
      </c>
      <c r="BJ1005" s="664">
        <f t="shared" si="418"/>
        <v>0</v>
      </c>
      <c r="BK1005" s="664">
        <f t="shared" ref="BK1005:CA1005" si="419">SUM(BK996:BK1004)</f>
        <v>0</v>
      </c>
      <c r="BL1005" s="664">
        <f t="shared" si="419"/>
        <v>0</v>
      </c>
      <c r="BM1005" s="664">
        <f t="shared" si="419"/>
        <v>0</v>
      </c>
      <c r="BN1005" s="664">
        <f t="shared" si="419"/>
        <v>0</v>
      </c>
      <c r="BO1005" s="664">
        <f t="shared" si="419"/>
        <v>0</v>
      </c>
      <c r="BP1005" s="664">
        <f t="shared" si="419"/>
        <v>0</v>
      </c>
      <c r="BQ1005" s="664">
        <f t="shared" si="419"/>
        <v>0</v>
      </c>
      <c r="BR1005" s="664">
        <f t="shared" si="419"/>
        <v>0</v>
      </c>
      <c r="BS1005" s="664">
        <f t="shared" si="419"/>
        <v>0</v>
      </c>
      <c r="BT1005" s="664">
        <f t="shared" si="419"/>
        <v>0</v>
      </c>
      <c r="BU1005" s="664">
        <f t="shared" si="419"/>
        <v>0</v>
      </c>
      <c r="BV1005" s="664">
        <f t="shared" si="419"/>
        <v>0</v>
      </c>
      <c r="BW1005" s="664">
        <f t="shared" si="419"/>
        <v>0</v>
      </c>
      <c r="BX1005" s="664">
        <f t="shared" si="419"/>
        <v>0</v>
      </c>
      <c r="BY1005" s="664">
        <f t="shared" si="419"/>
        <v>0</v>
      </c>
      <c r="BZ1005" s="664">
        <f t="shared" si="419"/>
        <v>0</v>
      </c>
      <c r="CA1005" s="664">
        <f t="shared" si="419"/>
        <v>0</v>
      </c>
    </row>
    <row r="1006" spans="1:79" s="700" customFormat="1" hidden="1" outlineLevel="1" x14ac:dyDescent="0.25">
      <c r="A1006" s="701"/>
      <c r="E1006" s="570" t="s">
        <v>1344</v>
      </c>
      <c r="F1006" s="701" t="s">
        <v>626</v>
      </c>
      <c r="G1006" s="765"/>
      <c r="H1006" s="765"/>
      <c r="I1006" s="765"/>
      <c r="J1006" s="765"/>
      <c r="K1006" s="765"/>
      <c r="L1006" s="765"/>
      <c r="M1006" s="765"/>
      <c r="N1006" s="765"/>
      <c r="O1006" s="765"/>
      <c r="P1006" s="736"/>
      <c r="Q1006" s="736"/>
      <c r="R1006" s="736"/>
      <c r="S1006" s="697"/>
      <c r="T1006" s="697"/>
      <c r="U1006" s="697"/>
      <c r="V1006" s="697"/>
      <c r="W1006" s="697"/>
      <c r="X1006" s="697"/>
      <c r="Y1006" s="697"/>
      <c r="Z1006" s="697"/>
      <c r="AA1006" s="697"/>
      <c r="AB1006" s="697"/>
      <c r="AC1006" s="712"/>
      <c r="AD1006" s="712"/>
      <c r="AE1006" s="697"/>
      <c r="AF1006" s="752"/>
      <c r="AG1006" s="712"/>
      <c r="AH1006" s="734"/>
      <c r="AI1006" s="734"/>
      <c r="AJ1006" s="734"/>
      <c r="AK1006" s="734"/>
      <c r="AL1006" s="734"/>
      <c r="AM1006" s="734"/>
      <c r="AN1006" s="734"/>
      <c r="AO1006" s="734"/>
      <c r="AP1006" s="734"/>
      <c r="AQ1006" s="734"/>
      <c r="AR1006" s="734"/>
      <c r="AS1006" s="734"/>
      <c r="AT1006" s="734"/>
      <c r="AU1006" s="734"/>
      <c r="AV1006" s="734"/>
      <c r="AW1006" s="734"/>
      <c r="AX1006" s="734"/>
      <c r="AY1006" s="734"/>
      <c r="AZ1006" s="734"/>
      <c r="BA1006" s="734"/>
      <c r="BB1006" s="734"/>
      <c r="BC1006" s="734"/>
      <c r="BD1006" s="734"/>
      <c r="BE1006" s="734"/>
      <c r="BF1006" s="734"/>
      <c r="BG1006" s="734"/>
      <c r="BH1006" s="734"/>
      <c r="BI1006" s="734"/>
      <c r="BJ1006" s="734"/>
      <c r="BK1006" s="734"/>
      <c r="BL1006" s="734"/>
      <c r="BM1006" s="734"/>
      <c r="BN1006" s="734"/>
      <c r="BO1006" s="734"/>
      <c r="BP1006" s="734"/>
      <c r="BQ1006" s="734"/>
      <c r="BR1006" s="734"/>
      <c r="BS1006" s="734"/>
      <c r="BT1006" s="734"/>
      <c r="BU1006" s="734"/>
      <c r="BV1006" s="734"/>
      <c r="BW1006" s="734"/>
      <c r="BX1006" s="734"/>
      <c r="BY1006" s="734"/>
      <c r="BZ1006" s="734"/>
      <c r="CA1006" s="734"/>
    </row>
    <row r="1007" spans="1:79" s="451" customFormat="1" hidden="1" outlineLevel="1" x14ac:dyDescent="0.25">
      <c r="A1007" s="661"/>
      <c r="B1007" s="79"/>
      <c r="C1007" s="79"/>
      <c r="D1007" s="79"/>
      <c r="E1007" s="570" t="s">
        <v>1344</v>
      </c>
      <c r="F1007" s="661" t="s">
        <v>627</v>
      </c>
      <c r="G1007" s="723"/>
      <c r="H1007" s="723"/>
      <c r="I1007" s="723"/>
      <c r="J1007" s="723"/>
      <c r="K1007" s="723"/>
      <c r="L1007" s="723"/>
      <c r="M1007" s="723"/>
      <c r="N1007" s="723"/>
      <c r="O1007" s="723"/>
      <c r="P1007" s="718"/>
      <c r="Q1007" s="718"/>
      <c r="R1007" s="718"/>
      <c r="S1007" s="667">
        <v>21</v>
      </c>
      <c r="T1007" s="667">
        <v>0</v>
      </c>
      <c r="U1007" s="667">
        <v>0</v>
      </c>
      <c r="V1007" s="667">
        <v>0</v>
      </c>
      <c r="W1007" s="667">
        <v>0</v>
      </c>
      <c r="X1007" s="667">
        <v>0</v>
      </c>
      <c r="Y1007" s="667">
        <v>0</v>
      </c>
      <c r="Z1007" s="667">
        <v>0</v>
      </c>
      <c r="AA1007" s="667">
        <v>0</v>
      </c>
      <c r="AB1007" s="667">
        <v>0</v>
      </c>
      <c r="AC1007" s="686">
        <v>0</v>
      </c>
      <c r="AD1007" s="686">
        <v>0</v>
      </c>
      <c r="AE1007" s="667">
        <v>21</v>
      </c>
      <c r="AF1007" s="724">
        <v>0</v>
      </c>
      <c r="AG1007" s="686">
        <v>0</v>
      </c>
      <c r="AH1007" s="716"/>
      <c r="AI1007" s="716"/>
      <c r="AJ1007" s="716"/>
      <c r="AK1007" s="716"/>
      <c r="AL1007" s="716"/>
      <c r="AM1007" s="716"/>
      <c r="AN1007" s="716"/>
      <c r="AO1007" s="716"/>
      <c r="AP1007" s="716"/>
      <c r="AQ1007" s="716"/>
      <c r="AR1007" s="716"/>
      <c r="AS1007" s="716"/>
      <c r="AT1007" s="716"/>
      <c r="AU1007" s="716"/>
      <c r="AV1007" s="716"/>
      <c r="AW1007" s="716"/>
      <c r="AX1007" s="716"/>
      <c r="AY1007" s="716"/>
      <c r="AZ1007" s="716"/>
      <c r="BA1007" s="716"/>
      <c r="BB1007" s="716"/>
      <c r="BC1007" s="716"/>
      <c r="BD1007" s="716"/>
      <c r="BE1007" s="716"/>
      <c r="BF1007" s="716"/>
      <c r="BG1007" s="716"/>
      <c r="BH1007" s="716"/>
      <c r="BI1007" s="716"/>
      <c r="BJ1007" s="716"/>
      <c r="BK1007" s="716"/>
      <c r="BL1007" s="716"/>
      <c r="BM1007" s="716"/>
      <c r="BN1007" s="716"/>
      <c r="BO1007" s="716"/>
      <c r="BP1007" s="716"/>
      <c r="BQ1007" s="716"/>
      <c r="BR1007" s="716"/>
      <c r="BS1007" s="716"/>
      <c r="BT1007" s="716"/>
      <c r="BU1007" s="716"/>
      <c r="BV1007" s="716"/>
      <c r="BW1007" s="716"/>
      <c r="BX1007" s="716"/>
      <c r="BY1007" s="716"/>
      <c r="BZ1007" s="716"/>
      <c r="CA1007" s="716"/>
    </row>
    <row r="1008" spans="1:79" s="451" customFormat="1" hidden="1" outlineLevel="1" x14ac:dyDescent="0.25">
      <c r="A1008" s="661"/>
      <c r="B1008" s="79"/>
      <c r="C1008" s="79"/>
      <c r="D1008" s="79"/>
      <c r="E1008" s="570" t="s">
        <v>1344</v>
      </c>
      <c r="F1008" s="661" t="s">
        <v>628</v>
      </c>
      <c r="G1008" s="723"/>
      <c r="H1008" s="723"/>
      <c r="I1008" s="723"/>
      <c r="J1008" s="723"/>
      <c r="K1008" s="723"/>
      <c r="L1008" s="723"/>
      <c r="M1008" s="723"/>
      <c r="N1008" s="723"/>
      <c r="O1008" s="723"/>
      <c r="P1008" s="718"/>
      <c r="Q1008" s="718"/>
      <c r="R1008" s="718"/>
      <c r="S1008" s="667">
        <v>168</v>
      </c>
      <c r="T1008" s="667">
        <v>0</v>
      </c>
      <c r="U1008" s="667">
        <v>0</v>
      </c>
      <c r="V1008" s="667">
        <v>0</v>
      </c>
      <c r="W1008" s="667">
        <v>0</v>
      </c>
      <c r="X1008" s="667">
        <v>0</v>
      </c>
      <c r="Y1008" s="667">
        <v>0</v>
      </c>
      <c r="Z1008" s="667">
        <v>0</v>
      </c>
      <c r="AA1008" s="667">
        <v>0</v>
      </c>
      <c r="AB1008" s="667">
        <v>0</v>
      </c>
      <c r="AC1008" s="686">
        <v>0</v>
      </c>
      <c r="AD1008" s="686">
        <v>0</v>
      </c>
      <c r="AE1008" s="667">
        <v>168</v>
      </c>
      <c r="AF1008" s="724">
        <v>0</v>
      </c>
      <c r="AG1008" s="686">
        <v>0</v>
      </c>
      <c r="AH1008" s="716"/>
      <c r="AI1008" s="716"/>
      <c r="AJ1008" s="716"/>
      <c r="AK1008" s="716"/>
      <c r="AL1008" s="716"/>
      <c r="AM1008" s="716"/>
      <c r="AN1008" s="716"/>
      <c r="AO1008" s="716"/>
      <c r="AP1008" s="716"/>
      <c r="AQ1008" s="716"/>
      <c r="AR1008" s="716"/>
      <c r="AS1008" s="716"/>
      <c r="AT1008" s="716"/>
      <c r="AU1008" s="716"/>
      <c r="AV1008" s="716"/>
      <c r="AW1008" s="716"/>
      <c r="AX1008" s="716"/>
      <c r="AY1008" s="716"/>
      <c r="AZ1008" s="716"/>
      <c r="BA1008" s="716"/>
      <c r="BB1008" s="716"/>
      <c r="BC1008" s="716"/>
      <c r="BD1008" s="716"/>
      <c r="BE1008" s="716"/>
      <c r="BF1008" s="716"/>
      <c r="BG1008" s="716"/>
      <c r="BH1008" s="716"/>
      <c r="BI1008" s="716"/>
      <c r="BJ1008" s="716"/>
      <c r="BK1008" s="716"/>
      <c r="BL1008" s="716"/>
      <c r="BM1008" s="716"/>
      <c r="BN1008" s="716"/>
      <c r="BO1008" s="716"/>
      <c r="BP1008" s="716"/>
      <c r="BQ1008" s="716"/>
      <c r="BR1008" s="716"/>
      <c r="BS1008" s="716"/>
      <c r="BT1008" s="716"/>
      <c r="BU1008" s="716"/>
      <c r="BV1008" s="716"/>
      <c r="BW1008" s="716"/>
      <c r="BX1008" s="716"/>
      <c r="BY1008" s="716"/>
      <c r="BZ1008" s="716"/>
      <c r="CA1008" s="716"/>
    </row>
    <row r="1009" spans="1:79" s="451" customFormat="1" hidden="1" outlineLevel="1" x14ac:dyDescent="0.25">
      <c r="A1009" s="661"/>
      <c r="B1009" s="79"/>
      <c r="C1009" s="79"/>
      <c r="D1009" s="79"/>
      <c r="E1009" s="570" t="s">
        <v>1344</v>
      </c>
      <c r="F1009" s="661" t="s">
        <v>629</v>
      </c>
      <c r="G1009" s="723"/>
      <c r="H1009" s="723"/>
      <c r="I1009" s="723"/>
      <c r="J1009" s="723"/>
      <c r="K1009" s="723"/>
      <c r="L1009" s="723"/>
      <c r="M1009" s="723"/>
      <c r="N1009" s="723"/>
      <c r="O1009" s="723"/>
      <c r="P1009" s="718"/>
      <c r="Q1009" s="718"/>
      <c r="R1009" s="718"/>
      <c r="S1009" s="667">
        <v>2559.09</v>
      </c>
      <c r="T1009" s="667">
        <v>2518.6999999999998</v>
      </c>
      <c r="U1009" s="667">
        <v>2050.9</v>
      </c>
      <c r="V1009" s="667">
        <v>2644.89</v>
      </c>
      <c r="W1009" s="667">
        <v>2309.31</v>
      </c>
      <c r="X1009" s="667">
        <v>2135.27</v>
      </c>
      <c r="Y1009" s="667">
        <v>2309.3200000000002</v>
      </c>
      <c r="Z1009" s="667">
        <v>237.38</v>
      </c>
      <c r="AA1009" s="667">
        <v>3836.04</v>
      </c>
      <c r="AB1009" s="667">
        <v>2676.34</v>
      </c>
      <c r="AC1009" s="686">
        <v>2195.85</v>
      </c>
      <c r="AD1009" s="686">
        <v>-4719.04</v>
      </c>
      <c r="AE1009" s="667">
        <v>1877.69</v>
      </c>
      <c r="AF1009" s="724">
        <v>1695.81</v>
      </c>
      <c r="AG1009" s="686">
        <v>1505.47</v>
      </c>
      <c r="AH1009" s="716"/>
      <c r="AI1009" s="716"/>
      <c r="AJ1009" s="716"/>
      <c r="AK1009" s="716"/>
      <c r="AL1009" s="716"/>
      <c r="AM1009" s="716"/>
      <c r="AN1009" s="716"/>
      <c r="AO1009" s="716"/>
      <c r="AP1009" s="716"/>
      <c r="AQ1009" s="716"/>
      <c r="AR1009" s="716"/>
      <c r="AS1009" s="716"/>
      <c r="AT1009" s="716"/>
      <c r="AU1009" s="716"/>
      <c r="AV1009" s="716"/>
      <c r="AW1009" s="716"/>
      <c r="AX1009" s="716"/>
      <c r="AY1009" s="716"/>
      <c r="AZ1009" s="716"/>
      <c r="BA1009" s="716"/>
      <c r="BB1009" s="716"/>
      <c r="BC1009" s="716"/>
      <c r="BD1009" s="716"/>
      <c r="BE1009" s="716"/>
      <c r="BF1009" s="716"/>
      <c r="BG1009" s="716"/>
      <c r="BH1009" s="716"/>
      <c r="BI1009" s="716"/>
      <c r="BJ1009" s="716"/>
      <c r="BK1009" s="716"/>
      <c r="BL1009" s="716"/>
      <c r="BM1009" s="716"/>
      <c r="BN1009" s="716"/>
      <c r="BO1009" s="716"/>
      <c r="BP1009" s="716"/>
      <c r="BQ1009" s="716"/>
      <c r="BR1009" s="716"/>
      <c r="BS1009" s="716"/>
      <c r="BT1009" s="716"/>
      <c r="BU1009" s="716"/>
      <c r="BV1009" s="716"/>
      <c r="BW1009" s="716"/>
      <c r="BX1009" s="716"/>
      <c r="BY1009" s="716"/>
      <c r="BZ1009" s="716"/>
      <c r="CA1009" s="716"/>
    </row>
    <row r="1010" spans="1:79" s="451" customFormat="1" hidden="1" outlineLevel="1" x14ac:dyDescent="0.25">
      <c r="A1010" s="661"/>
      <c r="B1010" s="79"/>
      <c r="C1010" s="79"/>
      <c r="D1010" s="79"/>
      <c r="E1010" s="570" t="s">
        <v>1344</v>
      </c>
      <c r="F1010" s="661" t="s">
        <v>630</v>
      </c>
      <c r="G1010" s="723"/>
      <c r="H1010" s="723"/>
      <c r="I1010" s="723"/>
      <c r="J1010" s="723"/>
      <c r="K1010" s="723"/>
      <c r="L1010" s="723"/>
      <c r="M1010" s="723"/>
      <c r="N1010" s="723"/>
      <c r="O1010" s="723"/>
      <c r="P1010" s="718"/>
      <c r="Q1010" s="718"/>
      <c r="R1010" s="718"/>
      <c r="S1010" s="667">
        <v>7025.72</v>
      </c>
      <c r="T1010" s="667">
        <v>6852.76</v>
      </c>
      <c r="U1010" s="667">
        <v>4852.62</v>
      </c>
      <c r="V1010" s="667">
        <v>7392.38</v>
      </c>
      <c r="W1010" s="667">
        <v>5645.33</v>
      </c>
      <c r="X1010" s="667">
        <v>1008.4</v>
      </c>
      <c r="Y1010" s="667">
        <v>0</v>
      </c>
      <c r="Z1010" s="667">
        <v>0</v>
      </c>
      <c r="AA1010" s="667">
        <v>365.6</v>
      </c>
      <c r="AB1010" s="667">
        <v>-365.6</v>
      </c>
      <c r="AC1010" s="686">
        <v>0</v>
      </c>
      <c r="AD1010" s="686">
        <v>518.42999999999995</v>
      </c>
      <c r="AE1010" s="667">
        <v>5961.97</v>
      </c>
      <c r="AF1010" s="724">
        <v>5184.32</v>
      </c>
      <c r="AG1010" s="686">
        <v>5920.46</v>
      </c>
      <c r="AH1010" s="716"/>
      <c r="AI1010" s="716"/>
      <c r="AJ1010" s="716"/>
      <c r="AK1010" s="716"/>
      <c r="AL1010" s="716"/>
      <c r="AM1010" s="716"/>
      <c r="AN1010" s="716"/>
      <c r="AO1010" s="716"/>
      <c r="AP1010" s="716"/>
      <c r="AQ1010" s="716"/>
      <c r="AR1010" s="716"/>
      <c r="AS1010" s="716"/>
      <c r="AT1010" s="716"/>
      <c r="AU1010" s="716"/>
      <c r="AV1010" s="716"/>
      <c r="AW1010" s="716"/>
      <c r="AX1010" s="716"/>
      <c r="AY1010" s="716"/>
      <c r="AZ1010" s="716"/>
      <c r="BA1010" s="716"/>
      <c r="BB1010" s="716"/>
      <c r="BC1010" s="716"/>
      <c r="BD1010" s="716"/>
      <c r="BE1010" s="716"/>
      <c r="BF1010" s="716"/>
      <c r="BG1010" s="716"/>
      <c r="BH1010" s="716"/>
      <c r="BI1010" s="716"/>
      <c r="BJ1010" s="716"/>
      <c r="BK1010" s="716"/>
      <c r="BL1010" s="716"/>
      <c r="BM1010" s="716"/>
      <c r="BN1010" s="716"/>
      <c r="BO1010" s="716"/>
      <c r="BP1010" s="716"/>
      <c r="BQ1010" s="716"/>
      <c r="BR1010" s="716"/>
      <c r="BS1010" s="716"/>
      <c r="BT1010" s="716"/>
      <c r="BU1010" s="716"/>
      <c r="BV1010" s="716"/>
      <c r="BW1010" s="716"/>
      <c r="BX1010" s="716"/>
      <c r="BY1010" s="716"/>
      <c r="BZ1010" s="716"/>
      <c r="CA1010" s="716"/>
    </row>
    <row r="1011" spans="1:79" s="451" customFormat="1" hidden="1" outlineLevel="1" x14ac:dyDescent="0.25">
      <c r="A1011" s="661"/>
      <c r="B1011" s="79"/>
      <c r="C1011" s="79"/>
      <c r="D1011" s="79"/>
      <c r="E1011" s="570" t="s">
        <v>1344</v>
      </c>
      <c r="F1011" s="661" t="s">
        <v>631</v>
      </c>
      <c r="G1011" s="723"/>
      <c r="H1011" s="723"/>
      <c r="I1011" s="723"/>
      <c r="J1011" s="723"/>
      <c r="K1011" s="723"/>
      <c r="L1011" s="723"/>
      <c r="M1011" s="723"/>
      <c r="N1011" s="723"/>
      <c r="O1011" s="723"/>
      <c r="P1011" s="718"/>
      <c r="Q1011" s="718"/>
      <c r="R1011" s="718"/>
      <c r="S1011" s="667">
        <v>135.94</v>
      </c>
      <c r="T1011" s="667">
        <v>83.71</v>
      </c>
      <c r="U1011" s="667">
        <v>0</v>
      </c>
      <c r="V1011" s="667">
        <v>0</v>
      </c>
      <c r="W1011" s="667">
        <v>0</v>
      </c>
      <c r="X1011" s="667">
        <v>0</v>
      </c>
      <c r="Y1011" s="667">
        <v>0</v>
      </c>
      <c r="Z1011" s="667">
        <v>0</v>
      </c>
      <c r="AA1011" s="667">
        <v>0</v>
      </c>
      <c r="AB1011" s="667">
        <v>0</v>
      </c>
      <c r="AC1011" s="686">
        <v>0</v>
      </c>
      <c r="AD1011" s="686">
        <v>0</v>
      </c>
      <c r="AE1011" s="667">
        <v>131.63</v>
      </c>
      <c r="AF1011" s="724">
        <v>25.86</v>
      </c>
      <c r="AG1011" s="686">
        <v>0</v>
      </c>
      <c r="AH1011" s="716"/>
      <c r="AI1011" s="716"/>
      <c r="AJ1011" s="716"/>
      <c r="AK1011" s="716"/>
      <c r="AL1011" s="716"/>
      <c r="AM1011" s="716"/>
      <c r="AN1011" s="716"/>
      <c r="AO1011" s="716"/>
      <c r="AP1011" s="716"/>
      <c r="AQ1011" s="716"/>
      <c r="AR1011" s="716"/>
      <c r="AS1011" s="716"/>
      <c r="AT1011" s="716"/>
      <c r="AU1011" s="716"/>
      <c r="AV1011" s="716"/>
      <c r="AW1011" s="716"/>
      <c r="AX1011" s="716"/>
      <c r="AY1011" s="716"/>
      <c r="AZ1011" s="716"/>
      <c r="BA1011" s="716"/>
      <c r="BB1011" s="716"/>
      <c r="BC1011" s="716"/>
      <c r="BD1011" s="716"/>
      <c r="BE1011" s="716"/>
      <c r="BF1011" s="716"/>
      <c r="BG1011" s="716"/>
      <c r="BH1011" s="716"/>
      <c r="BI1011" s="716"/>
      <c r="BJ1011" s="716"/>
      <c r="BK1011" s="716"/>
      <c r="BL1011" s="716"/>
      <c r="BM1011" s="716"/>
      <c r="BN1011" s="716"/>
      <c r="BO1011" s="716"/>
      <c r="BP1011" s="716"/>
      <c r="BQ1011" s="716"/>
      <c r="BR1011" s="716"/>
      <c r="BS1011" s="716"/>
      <c r="BT1011" s="716"/>
      <c r="BU1011" s="716"/>
      <c r="BV1011" s="716"/>
      <c r="BW1011" s="716"/>
      <c r="BX1011" s="716"/>
      <c r="BY1011" s="716"/>
      <c r="BZ1011" s="716"/>
      <c r="CA1011" s="716"/>
    </row>
    <row r="1012" spans="1:79" s="451" customFormat="1" hidden="1" outlineLevel="1" x14ac:dyDescent="0.25">
      <c r="A1012" s="661"/>
      <c r="B1012" s="79"/>
      <c r="C1012" s="79"/>
      <c r="D1012" s="79"/>
      <c r="E1012" s="570" t="s">
        <v>1344</v>
      </c>
      <c r="F1012" s="661" t="s">
        <v>632</v>
      </c>
      <c r="G1012" s="723"/>
      <c r="H1012" s="723"/>
      <c r="I1012" s="723"/>
      <c r="J1012" s="723"/>
      <c r="K1012" s="723"/>
      <c r="L1012" s="723"/>
      <c r="M1012" s="723"/>
      <c r="N1012" s="723"/>
      <c r="O1012" s="723"/>
      <c r="P1012" s="718"/>
      <c r="Q1012" s="718"/>
      <c r="R1012" s="718"/>
      <c r="S1012" s="667">
        <v>1434.97</v>
      </c>
      <c r="T1012" s="667">
        <v>425.02</v>
      </c>
      <c r="U1012" s="667">
        <v>0</v>
      </c>
      <c r="V1012" s="667">
        <v>0</v>
      </c>
      <c r="W1012" s="667">
        <v>0</v>
      </c>
      <c r="X1012" s="667">
        <v>0</v>
      </c>
      <c r="Y1012" s="667">
        <v>0</v>
      </c>
      <c r="Z1012" s="667">
        <v>0</v>
      </c>
      <c r="AA1012" s="667">
        <v>0</v>
      </c>
      <c r="AB1012" s="667">
        <v>0</v>
      </c>
      <c r="AC1012" s="686">
        <v>0</v>
      </c>
      <c r="AD1012" s="686">
        <v>0</v>
      </c>
      <c r="AE1012" s="667">
        <v>1735.13</v>
      </c>
      <c r="AF1012" s="724">
        <v>175.89</v>
      </c>
      <c r="AG1012" s="686">
        <v>0</v>
      </c>
      <c r="AH1012" s="716"/>
      <c r="AI1012" s="716"/>
      <c r="AJ1012" s="716"/>
      <c r="AK1012" s="716"/>
      <c r="AL1012" s="716"/>
      <c r="AM1012" s="716"/>
      <c r="AN1012" s="716"/>
      <c r="AO1012" s="716"/>
      <c r="AP1012" s="716"/>
      <c r="AQ1012" s="716"/>
      <c r="AR1012" s="716"/>
      <c r="AS1012" s="716"/>
      <c r="AT1012" s="716"/>
      <c r="AU1012" s="716"/>
      <c r="AV1012" s="716"/>
      <c r="AW1012" s="716"/>
      <c r="AX1012" s="716"/>
      <c r="AY1012" s="716"/>
      <c r="AZ1012" s="716"/>
      <c r="BA1012" s="716"/>
      <c r="BB1012" s="716"/>
      <c r="BC1012" s="716"/>
      <c r="BD1012" s="716"/>
      <c r="BE1012" s="716"/>
      <c r="BF1012" s="716"/>
      <c r="BG1012" s="716"/>
      <c r="BH1012" s="716"/>
      <c r="BI1012" s="716"/>
      <c r="BJ1012" s="716"/>
      <c r="BK1012" s="716"/>
      <c r="BL1012" s="716"/>
      <c r="BM1012" s="716"/>
      <c r="BN1012" s="716"/>
      <c r="BO1012" s="716"/>
      <c r="BP1012" s="716"/>
      <c r="BQ1012" s="716"/>
      <c r="BR1012" s="716"/>
      <c r="BS1012" s="716"/>
      <c r="BT1012" s="716"/>
      <c r="BU1012" s="716"/>
      <c r="BV1012" s="716"/>
      <c r="BW1012" s="716"/>
      <c r="BX1012" s="716"/>
      <c r="BY1012" s="716"/>
      <c r="BZ1012" s="716"/>
      <c r="CA1012" s="716"/>
    </row>
    <row r="1013" spans="1:79" s="451" customFormat="1" hidden="1" outlineLevel="1" x14ac:dyDescent="0.25">
      <c r="A1013" s="661"/>
      <c r="B1013" s="576"/>
      <c r="C1013" s="576"/>
      <c r="D1013" s="576"/>
      <c r="E1013" s="570" t="s">
        <v>1344</v>
      </c>
      <c r="F1013" s="661" t="s">
        <v>902</v>
      </c>
      <c r="G1013" s="723"/>
      <c r="H1013" s="723"/>
      <c r="I1013" s="723"/>
      <c r="J1013" s="723"/>
      <c r="K1013" s="723"/>
      <c r="L1013" s="723"/>
      <c r="M1013" s="723"/>
      <c r="N1013" s="723"/>
      <c r="O1013" s="723"/>
      <c r="P1013" s="718"/>
      <c r="Q1013" s="718"/>
      <c r="R1013" s="718"/>
      <c r="S1013" s="667">
        <v>0</v>
      </c>
      <c r="T1013" s="667">
        <v>0</v>
      </c>
      <c r="U1013" s="667">
        <v>0</v>
      </c>
      <c r="V1013" s="667">
        <v>0</v>
      </c>
      <c r="W1013" s="667">
        <v>0</v>
      </c>
      <c r="X1013" s="667">
        <v>0</v>
      </c>
      <c r="Y1013" s="667">
        <v>0</v>
      </c>
      <c r="Z1013" s="667">
        <v>0</v>
      </c>
      <c r="AA1013" s="667">
        <v>0</v>
      </c>
      <c r="AB1013" s="667">
        <v>0</v>
      </c>
      <c r="AC1013" s="686">
        <v>0</v>
      </c>
      <c r="AD1013" s="686">
        <v>0</v>
      </c>
      <c r="AE1013" s="667">
        <v>0</v>
      </c>
      <c r="AF1013" s="724">
        <v>0</v>
      </c>
      <c r="AG1013" s="686">
        <v>0</v>
      </c>
      <c r="AH1013" s="716"/>
      <c r="AI1013" s="716"/>
      <c r="AJ1013" s="716"/>
      <c r="AK1013" s="716"/>
      <c r="AL1013" s="716"/>
      <c r="AM1013" s="716"/>
      <c r="AN1013" s="716"/>
      <c r="AO1013" s="716"/>
      <c r="AP1013" s="716"/>
      <c r="AQ1013" s="716"/>
      <c r="AR1013" s="716"/>
      <c r="AS1013" s="716"/>
      <c r="AT1013" s="716"/>
      <c r="AU1013" s="716"/>
      <c r="AV1013" s="716"/>
      <c r="AW1013" s="716"/>
      <c r="AX1013" s="716"/>
      <c r="AY1013" s="716"/>
      <c r="AZ1013" s="716"/>
      <c r="BA1013" s="716"/>
      <c r="BB1013" s="716"/>
      <c r="BC1013" s="716"/>
      <c r="BD1013" s="716"/>
      <c r="BE1013" s="716"/>
      <c r="BF1013" s="716"/>
      <c r="BG1013" s="716"/>
      <c r="BH1013" s="716"/>
      <c r="BI1013" s="716"/>
      <c r="BJ1013" s="716"/>
      <c r="BK1013" s="716"/>
      <c r="BL1013" s="716"/>
      <c r="BM1013" s="716"/>
      <c r="BN1013" s="716"/>
      <c r="BO1013" s="716"/>
      <c r="BP1013" s="716"/>
      <c r="BQ1013" s="716"/>
      <c r="BR1013" s="716"/>
      <c r="BS1013" s="716"/>
      <c r="BT1013" s="716"/>
      <c r="BU1013" s="716"/>
      <c r="BV1013" s="716"/>
      <c r="BW1013" s="716"/>
      <c r="BX1013" s="716"/>
      <c r="BY1013" s="716"/>
      <c r="BZ1013" s="716"/>
      <c r="CA1013" s="716"/>
    </row>
    <row r="1014" spans="1:79" s="451" customFormat="1" hidden="1" outlineLevel="1" x14ac:dyDescent="0.25">
      <c r="A1014" s="661"/>
      <c r="B1014" s="79"/>
      <c r="C1014" s="79"/>
      <c r="D1014" s="79"/>
      <c r="E1014" s="570" t="s">
        <v>1344</v>
      </c>
      <c r="F1014" s="661" t="s">
        <v>633</v>
      </c>
      <c r="G1014" s="719">
        <v>3356.1429466478548</v>
      </c>
      <c r="H1014" s="719">
        <v>2161.4209902543175</v>
      </c>
      <c r="I1014" s="719">
        <v>1942.1716186845044</v>
      </c>
      <c r="J1014" s="719">
        <v>2966.7346454745566</v>
      </c>
      <c r="K1014" s="719">
        <v>7780.1290051249052</v>
      </c>
      <c r="L1014" s="719">
        <v>3674.2878019117188</v>
      </c>
      <c r="M1014" s="719">
        <v>7733.5197856818604</v>
      </c>
      <c r="N1014" s="719">
        <v>7361.8760464975157</v>
      </c>
      <c r="O1014" s="719">
        <v>2588.6597220782828</v>
      </c>
      <c r="P1014" s="716">
        <v>7385.2424888848445</v>
      </c>
      <c r="Q1014" s="716">
        <v>5481.6278966708078</v>
      </c>
      <c r="R1014" s="716">
        <v>2133.6796088851474</v>
      </c>
      <c r="S1014" s="667">
        <v>0</v>
      </c>
      <c r="T1014" s="667">
        <v>0</v>
      </c>
      <c r="U1014" s="667">
        <v>1318.27</v>
      </c>
      <c r="V1014" s="667">
        <v>-1318.27</v>
      </c>
      <c r="W1014" s="667">
        <v>0</v>
      </c>
      <c r="X1014" s="667">
        <v>0</v>
      </c>
      <c r="Y1014" s="667">
        <v>0</v>
      </c>
      <c r="Z1014" s="667">
        <v>0</v>
      </c>
      <c r="AA1014" s="667">
        <v>0</v>
      </c>
      <c r="AB1014" s="667">
        <v>0</v>
      </c>
      <c r="AC1014" s="686">
        <v>0</v>
      </c>
      <c r="AD1014" s="686">
        <v>0</v>
      </c>
      <c r="AE1014" s="667">
        <v>0</v>
      </c>
      <c r="AF1014" s="724">
        <v>0</v>
      </c>
      <c r="AG1014" s="686">
        <v>0</v>
      </c>
      <c r="AH1014" s="716"/>
      <c r="AI1014" s="716"/>
      <c r="AJ1014" s="716"/>
      <c r="AK1014" s="716"/>
      <c r="AL1014" s="716"/>
      <c r="AM1014" s="716"/>
      <c r="AN1014" s="716"/>
      <c r="AO1014" s="716"/>
      <c r="AP1014" s="716"/>
      <c r="AQ1014" s="716"/>
      <c r="AR1014" s="716"/>
      <c r="AS1014" s="716"/>
      <c r="AT1014" s="716"/>
      <c r="AU1014" s="716"/>
      <c r="AV1014" s="716"/>
      <c r="AW1014" s="716"/>
      <c r="AX1014" s="716"/>
      <c r="AY1014" s="716"/>
      <c r="AZ1014" s="716"/>
      <c r="BA1014" s="716"/>
      <c r="BB1014" s="716"/>
      <c r="BC1014" s="716"/>
      <c r="BD1014" s="716"/>
      <c r="BE1014" s="716"/>
      <c r="BF1014" s="716"/>
      <c r="BG1014" s="716"/>
      <c r="BH1014" s="716"/>
      <c r="BI1014" s="716"/>
      <c r="BJ1014" s="716"/>
      <c r="BK1014" s="716"/>
      <c r="BL1014" s="716"/>
      <c r="BM1014" s="716"/>
      <c r="BN1014" s="716"/>
      <c r="BO1014" s="716"/>
      <c r="BP1014" s="716"/>
      <c r="BQ1014" s="716"/>
      <c r="BR1014" s="716"/>
      <c r="BS1014" s="716"/>
      <c r="BT1014" s="716"/>
      <c r="BU1014" s="716"/>
      <c r="BV1014" s="716"/>
      <c r="BW1014" s="716"/>
      <c r="BX1014" s="716"/>
      <c r="BY1014" s="716"/>
      <c r="BZ1014" s="716"/>
      <c r="CA1014" s="716"/>
    </row>
    <row r="1015" spans="1:79" s="740" customFormat="1" hidden="1" outlineLevel="1" x14ac:dyDescent="0.25">
      <c r="A1015" s="657"/>
      <c r="B1015" s="503"/>
      <c r="C1015" s="503"/>
      <c r="D1015" s="503"/>
      <c r="E1015" s="570" t="s">
        <v>49</v>
      </c>
      <c r="F1015" s="657" t="s">
        <v>634</v>
      </c>
      <c r="G1015" s="664">
        <f>SUM(G1007:G1014)</f>
        <v>3356.1429466478548</v>
      </c>
      <c r="H1015" s="664">
        <f t="shared" ref="H1015:BO1015" si="420">SUM(H1007:H1014)</f>
        <v>2161.4209902543175</v>
      </c>
      <c r="I1015" s="664">
        <f t="shared" si="420"/>
        <v>1942.1716186845044</v>
      </c>
      <c r="J1015" s="664">
        <f t="shared" si="420"/>
        <v>2966.7346454745566</v>
      </c>
      <c r="K1015" s="664">
        <f t="shared" si="420"/>
        <v>7780.1290051249052</v>
      </c>
      <c r="L1015" s="664">
        <f t="shared" si="420"/>
        <v>3674.2878019117188</v>
      </c>
      <c r="M1015" s="664">
        <f t="shared" si="420"/>
        <v>7733.5197856818604</v>
      </c>
      <c r="N1015" s="664">
        <f t="shared" si="420"/>
        <v>7361.8760464975157</v>
      </c>
      <c r="O1015" s="664">
        <f t="shared" si="420"/>
        <v>2588.6597220782828</v>
      </c>
      <c r="P1015" s="664">
        <f t="shared" si="420"/>
        <v>7385.2424888848445</v>
      </c>
      <c r="Q1015" s="664">
        <f t="shared" si="420"/>
        <v>5481.6278966708078</v>
      </c>
      <c r="R1015" s="664">
        <f t="shared" si="420"/>
        <v>2133.6796088851474</v>
      </c>
      <c r="S1015" s="679">
        <f t="shared" ref="S1015:AA1015" si="421">ROUND(SUM(S1006:S1014),5)</f>
        <v>11344.72</v>
      </c>
      <c r="T1015" s="679">
        <f t="shared" si="421"/>
        <v>9880.19</v>
      </c>
      <c r="U1015" s="679">
        <f t="shared" si="421"/>
        <v>8221.7900000000009</v>
      </c>
      <c r="V1015" s="679">
        <f t="shared" si="421"/>
        <v>8719</v>
      </c>
      <c r="W1015" s="679">
        <f t="shared" si="421"/>
        <v>7954.64</v>
      </c>
      <c r="X1015" s="679">
        <f t="shared" si="421"/>
        <v>3143.67</v>
      </c>
      <c r="Y1015" s="679">
        <f t="shared" si="421"/>
        <v>2309.3200000000002</v>
      </c>
      <c r="Z1015" s="679">
        <f t="shared" si="421"/>
        <v>237.38</v>
      </c>
      <c r="AA1015" s="679">
        <f t="shared" si="421"/>
        <v>4201.6400000000003</v>
      </c>
      <c r="AB1015" s="679">
        <f t="shared" ref="AB1015:AG1015" si="422">ROUND(SUM(AB1006:AB1014),5)</f>
        <v>2310.7399999999998</v>
      </c>
      <c r="AC1015" s="679">
        <f t="shared" si="422"/>
        <v>2195.85</v>
      </c>
      <c r="AD1015" s="679">
        <f t="shared" si="422"/>
        <v>-4200.6099999999997</v>
      </c>
      <c r="AE1015" s="679">
        <f t="shared" si="422"/>
        <v>9895.42</v>
      </c>
      <c r="AF1015" s="664">
        <f t="shared" si="422"/>
        <v>7081.88</v>
      </c>
      <c r="AG1015" s="679">
        <f t="shared" si="422"/>
        <v>7425.93</v>
      </c>
      <c r="AH1015" s="664">
        <f t="shared" si="420"/>
        <v>0</v>
      </c>
      <c r="AI1015" s="664">
        <f t="shared" si="420"/>
        <v>0</v>
      </c>
      <c r="AJ1015" s="664">
        <f t="shared" si="420"/>
        <v>0</v>
      </c>
      <c r="AK1015" s="664">
        <f t="shared" si="420"/>
        <v>0</v>
      </c>
      <c r="AL1015" s="664">
        <f t="shared" si="420"/>
        <v>0</v>
      </c>
      <c r="AM1015" s="664">
        <f t="shared" si="420"/>
        <v>0</v>
      </c>
      <c r="AN1015" s="664">
        <f t="shared" si="420"/>
        <v>0</v>
      </c>
      <c r="AO1015" s="664">
        <f t="shared" si="420"/>
        <v>0</v>
      </c>
      <c r="AP1015" s="664">
        <f t="shared" si="420"/>
        <v>0</v>
      </c>
      <c r="AQ1015" s="664">
        <f t="shared" si="420"/>
        <v>0</v>
      </c>
      <c r="AR1015" s="664">
        <f t="shared" si="420"/>
        <v>0</v>
      </c>
      <c r="AS1015" s="664">
        <f t="shared" si="420"/>
        <v>0</v>
      </c>
      <c r="AT1015" s="664">
        <f t="shared" si="420"/>
        <v>0</v>
      </c>
      <c r="AU1015" s="664">
        <f t="shared" si="420"/>
        <v>0</v>
      </c>
      <c r="AV1015" s="664">
        <f t="shared" si="420"/>
        <v>0</v>
      </c>
      <c r="AW1015" s="664">
        <f t="shared" si="420"/>
        <v>0</v>
      </c>
      <c r="AX1015" s="664">
        <f t="shared" si="420"/>
        <v>0</v>
      </c>
      <c r="AY1015" s="664">
        <f t="shared" si="420"/>
        <v>0</v>
      </c>
      <c r="AZ1015" s="664">
        <f t="shared" si="420"/>
        <v>0</v>
      </c>
      <c r="BA1015" s="664">
        <f t="shared" si="420"/>
        <v>0</v>
      </c>
      <c r="BB1015" s="664">
        <f t="shared" si="420"/>
        <v>0</v>
      </c>
      <c r="BC1015" s="664">
        <f t="shared" si="420"/>
        <v>0</v>
      </c>
      <c r="BD1015" s="664">
        <f t="shared" si="420"/>
        <v>0</v>
      </c>
      <c r="BE1015" s="664">
        <f t="shared" si="420"/>
        <v>0</v>
      </c>
      <c r="BF1015" s="664">
        <f t="shared" si="420"/>
        <v>0</v>
      </c>
      <c r="BG1015" s="664">
        <f t="shared" si="420"/>
        <v>0</v>
      </c>
      <c r="BH1015" s="664">
        <f t="shared" si="420"/>
        <v>0</v>
      </c>
      <c r="BI1015" s="664">
        <f t="shared" si="420"/>
        <v>0</v>
      </c>
      <c r="BJ1015" s="664">
        <f t="shared" si="420"/>
        <v>0</v>
      </c>
      <c r="BK1015" s="664">
        <f t="shared" si="420"/>
        <v>0</v>
      </c>
      <c r="BL1015" s="664">
        <f t="shared" si="420"/>
        <v>0</v>
      </c>
      <c r="BM1015" s="664">
        <f t="shared" si="420"/>
        <v>0</v>
      </c>
      <c r="BN1015" s="664">
        <f t="shared" si="420"/>
        <v>0</v>
      </c>
      <c r="BO1015" s="664">
        <f t="shared" si="420"/>
        <v>0</v>
      </c>
      <c r="BP1015" s="664">
        <f t="shared" ref="BP1015:CA1015" si="423">SUM(BP1007:BP1014)</f>
        <v>0</v>
      </c>
      <c r="BQ1015" s="664">
        <f t="shared" si="423"/>
        <v>0</v>
      </c>
      <c r="BR1015" s="664">
        <f t="shared" si="423"/>
        <v>0</v>
      </c>
      <c r="BS1015" s="664">
        <f t="shared" si="423"/>
        <v>0</v>
      </c>
      <c r="BT1015" s="664">
        <f t="shared" si="423"/>
        <v>0</v>
      </c>
      <c r="BU1015" s="664">
        <f t="shared" si="423"/>
        <v>0</v>
      </c>
      <c r="BV1015" s="664">
        <f t="shared" si="423"/>
        <v>0</v>
      </c>
      <c r="BW1015" s="664">
        <f t="shared" si="423"/>
        <v>0</v>
      </c>
      <c r="BX1015" s="664">
        <f t="shared" si="423"/>
        <v>0</v>
      </c>
      <c r="BY1015" s="664">
        <f t="shared" si="423"/>
        <v>0</v>
      </c>
      <c r="BZ1015" s="664">
        <f t="shared" si="423"/>
        <v>0</v>
      </c>
      <c r="CA1015" s="664">
        <f t="shared" si="423"/>
        <v>0</v>
      </c>
    </row>
    <row r="1016" spans="1:79" s="700" customFormat="1" hidden="1" outlineLevel="1" x14ac:dyDescent="0.25">
      <c r="A1016" s="701"/>
      <c r="E1016" s="570" t="s">
        <v>1345</v>
      </c>
      <c r="F1016" s="701" t="s">
        <v>635</v>
      </c>
      <c r="G1016" s="765"/>
      <c r="H1016" s="765"/>
      <c r="I1016" s="765"/>
      <c r="J1016" s="765"/>
      <c r="K1016" s="765"/>
      <c r="L1016" s="765"/>
      <c r="M1016" s="765"/>
      <c r="N1016" s="765"/>
      <c r="O1016" s="765"/>
      <c r="P1016" s="736"/>
      <c r="Q1016" s="736"/>
      <c r="R1016" s="736"/>
      <c r="S1016" s="697"/>
      <c r="T1016" s="697"/>
      <c r="U1016" s="697"/>
      <c r="V1016" s="697"/>
      <c r="W1016" s="697"/>
      <c r="X1016" s="697"/>
      <c r="Y1016" s="697"/>
      <c r="Z1016" s="697"/>
      <c r="AA1016" s="697"/>
      <c r="AB1016" s="697"/>
      <c r="AC1016" s="712"/>
      <c r="AD1016" s="712"/>
      <c r="AE1016" s="697"/>
      <c r="AF1016" s="752"/>
      <c r="AG1016" s="712"/>
      <c r="AH1016" s="734"/>
      <c r="AI1016" s="734"/>
      <c r="AJ1016" s="734"/>
      <c r="AK1016" s="734"/>
      <c r="AL1016" s="734"/>
      <c r="AM1016" s="734"/>
      <c r="AN1016" s="734"/>
      <c r="AO1016" s="734"/>
      <c r="AP1016" s="734"/>
      <c r="AQ1016" s="734"/>
      <c r="AR1016" s="734"/>
      <c r="AS1016" s="734"/>
      <c r="AT1016" s="734"/>
      <c r="AU1016" s="734"/>
      <c r="AV1016" s="734"/>
      <c r="AW1016" s="734"/>
      <c r="AX1016" s="734"/>
      <c r="AY1016" s="734"/>
      <c r="AZ1016" s="734"/>
      <c r="BA1016" s="734"/>
      <c r="BB1016" s="734"/>
      <c r="BC1016" s="734"/>
      <c r="BD1016" s="734"/>
      <c r="BE1016" s="734"/>
      <c r="BF1016" s="734"/>
      <c r="BG1016" s="734"/>
      <c r="BH1016" s="734"/>
      <c r="BI1016" s="734"/>
      <c r="BJ1016" s="734"/>
      <c r="BK1016" s="734"/>
      <c r="BL1016" s="734"/>
      <c r="BM1016" s="734"/>
      <c r="BN1016" s="734"/>
      <c r="BO1016" s="734"/>
      <c r="BP1016" s="734"/>
      <c r="BQ1016" s="734"/>
      <c r="BR1016" s="734"/>
      <c r="BS1016" s="734"/>
      <c r="BT1016" s="734"/>
      <c r="BU1016" s="734"/>
      <c r="BV1016" s="734"/>
      <c r="BW1016" s="734"/>
      <c r="BX1016" s="734"/>
      <c r="BY1016" s="734"/>
      <c r="BZ1016" s="734"/>
      <c r="CA1016" s="734"/>
    </row>
    <row r="1017" spans="1:79" s="740" customFormat="1" hidden="1" outlineLevel="1" x14ac:dyDescent="0.25">
      <c r="A1017" s="661"/>
      <c r="B1017" s="503"/>
      <c r="C1017" s="503"/>
      <c r="D1017" s="503"/>
      <c r="E1017" s="570" t="s">
        <v>8</v>
      </c>
      <c r="F1017" s="661" t="s">
        <v>8</v>
      </c>
      <c r="G1017" s="723"/>
      <c r="H1017" s="723"/>
      <c r="I1017" s="723"/>
      <c r="J1017" s="723"/>
      <c r="K1017" s="723"/>
      <c r="L1017" s="723"/>
      <c r="M1017" s="723"/>
      <c r="N1017" s="723"/>
      <c r="O1017" s="723"/>
      <c r="P1017" s="718"/>
      <c r="Q1017" s="718"/>
      <c r="R1017" s="718"/>
      <c r="S1017" s="667">
        <v>29892.83</v>
      </c>
      <c r="T1017" s="667">
        <v>29892.83</v>
      </c>
      <c r="U1017" s="667">
        <v>29892.83</v>
      </c>
      <c r="V1017" s="667">
        <v>29892.83</v>
      </c>
      <c r="W1017" s="667">
        <v>29892.83</v>
      </c>
      <c r="X1017" s="667">
        <v>29892.83</v>
      </c>
      <c r="Y1017" s="667">
        <v>29892.83</v>
      </c>
      <c r="Z1017" s="667">
        <v>29892.83</v>
      </c>
      <c r="AA1017" s="667">
        <v>30137.82</v>
      </c>
      <c r="AB1017" s="667">
        <v>29892.83</v>
      </c>
      <c r="AC1017" s="686">
        <v>29892.83</v>
      </c>
      <c r="AD1017" s="686">
        <v>-51357.13</v>
      </c>
      <c r="AE1017" s="667">
        <v>33333.32</v>
      </c>
      <c r="AF1017" s="724">
        <v>33333.32</v>
      </c>
      <c r="AG1017" s="686">
        <v>8333.33</v>
      </c>
      <c r="AH1017" s="716"/>
      <c r="AI1017" s="716"/>
      <c r="AJ1017" s="716"/>
      <c r="AK1017" s="716"/>
      <c r="AL1017" s="716"/>
      <c r="AM1017" s="716"/>
      <c r="AN1017" s="716"/>
      <c r="AO1017" s="716"/>
      <c r="AP1017" s="716"/>
      <c r="AQ1017" s="716"/>
      <c r="AR1017" s="716"/>
      <c r="AS1017" s="716"/>
      <c r="AT1017" s="716"/>
      <c r="AU1017" s="716"/>
      <c r="AV1017" s="716"/>
      <c r="AW1017" s="716"/>
      <c r="AX1017" s="716"/>
      <c r="AY1017" s="716"/>
      <c r="AZ1017" s="716"/>
      <c r="BA1017" s="716"/>
      <c r="BB1017" s="716"/>
      <c r="BC1017" s="716"/>
      <c r="BD1017" s="716"/>
      <c r="BE1017" s="716"/>
      <c r="BF1017" s="716"/>
      <c r="BG1017" s="716"/>
      <c r="BH1017" s="716"/>
      <c r="BI1017" s="716"/>
      <c r="BJ1017" s="716"/>
      <c r="BK1017" s="716"/>
      <c r="BL1017" s="716"/>
      <c r="BM1017" s="716"/>
      <c r="BN1017" s="716"/>
      <c r="BO1017" s="716"/>
      <c r="BP1017" s="716"/>
      <c r="BQ1017" s="716"/>
      <c r="BR1017" s="716"/>
      <c r="BS1017" s="716"/>
      <c r="BT1017" s="716"/>
      <c r="BU1017" s="716"/>
      <c r="BV1017" s="716"/>
      <c r="BW1017" s="716"/>
      <c r="BX1017" s="716"/>
      <c r="BY1017" s="716"/>
      <c r="BZ1017" s="716"/>
      <c r="CA1017" s="716"/>
    </row>
    <row r="1018" spans="1:79" s="740" customFormat="1" hidden="1" outlineLevel="1" x14ac:dyDescent="0.25">
      <c r="A1018" s="661"/>
      <c r="B1018" s="503"/>
      <c r="C1018" s="503"/>
      <c r="D1018" s="503"/>
      <c r="E1018" s="570" t="s">
        <v>8</v>
      </c>
      <c r="F1018" s="661" t="s">
        <v>903</v>
      </c>
      <c r="G1018" s="723"/>
      <c r="H1018" s="723"/>
      <c r="I1018" s="723"/>
      <c r="J1018" s="723"/>
      <c r="K1018" s="723"/>
      <c r="L1018" s="723"/>
      <c r="M1018" s="723"/>
      <c r="N1018" s="723"/>
      <c r="O1018" s="723"/>
      <c r="P1018" s="718"/>
      <c r="Q1018" s="718"/>
      <c r="R1018" s="718"/>
      <c r="S1018" s="667">
        <v>0</v>
      </c>
      <c r="T1018" s="667">
        <v>0</v>
      </c>
      <c r="U1018" s="667">
        <v>0</v>
      </c>
      <c r="V1018" s="667">
        <v>0</v>
      </c>
      <c r="W1018" s="667">
        <v>0</v>
      </c>
      <c r="X1018" s="667">
        <v>0</v>
      </c>
      <c r="Y1018" s="667">
        <v>0</v>
      </c>
      <c r="Z1018" s="667">
        <v>0</v>
      </c>
      <c r="AA1018" s="667">
        <v>0</v>
      </c>
      <c r="AB1018" s="667">
        <v>0</v>
      </c>
      <c r="AC1018" s="686">
        <v>0</v>
      </c>
      <c r="AD1018" s="686">
        <v>0</v>
      </c>
      <c r="AE1018" s="667">
        <v>0</v>
      </c>
      <c r="AF1018" s="724">
        <v>0</v>
      </c>
      <c r="AG1018" s="686">
        <v>0</v>
      </c>
      <c r="AH1018" s="716"/>
      <c r="AI1018" s="716"/>
      <c r="AJ1018" s="716"/>
      <c r="AK1018" s="716"/>
      <c r="AL1018" s="716"/>
      <c r="AM1018" s="716"/>
      <c r="AN1018" s="716"/>
      <c r="AO1018" s="716"/>
      <c r="AP1018" s="716"/>
      <c r="AQ1018" s="716"/>
      <c r="AR1018" s="716"/>
      <c r="AS1018" s="716"/>
      <c r="AT1018" s="716"/>
      <c r="AU1018" s="716"/>
      <c r="AV1018" s="716"/>
      <c r="AW1018" s="716"/>
      <c r="AX1018" s="716"/>
      <c r="AY1018" s="716"/>
      <c r="AZ1018" s="716"/>
      <c r="BA1018" s="716"/>
      <c r="BB1018" s="716"/>
      <c r="BC1018" s="716"/>
      <c r="BD1018" s="716"/>
      <c r="BE1018" s="716"/>
      <c r="BF1018" s="716"/>
      <c r="BG1018" s="716"/>
      <c r="BH1018" s="716"/>
      <c r="BI1018" s="716"/>
      <c r="BJ1018" s="716"/>
      <c r="BK1018" s="716"/>
      <c r="BL1018" s="716"/>
      <c r="BM1018" s="716"/>
      <c r="BN1018" s="716"/>
      <c r="BO1018" s="716"/>
      <c r="BP1018" s="716"/>
      <c r="BQ1018" s="716"/>
      <c r="BR1018" s="716"/>
      <c r="BS1018" s="716"/>
      <c r="BT1018" s="716"/>
      <c r="BU1018" s="716"/>
      <c r="BV1018" s="716"/>
      <c r="BW1018" s="716"/>
      <c r="BX1018" s="716"/>
      <c r="BY1018" s="716"/>
      <c r="BZ1018" s="716"/>
      <c r="CA1018" s="716"/>
    </row>
    <row r="1019" spans="1:79" s="740" customFormat="1" hidden="1" outlineLevel="1" x14ac:dyDescent="0.25">
      <c r="A1019" s="661"/>
      <c r="B1019" s="503"/>
      <c r="C1019" s="503"/>
      <c r="D1019" s="503"/>
      <c r="E1019" s="570" t="s">
        <v>1345</v>
      </c>
      <c r="F1019" s="661" t="s">
        <v>643</v>
      </c>
      <c r="G1019" s="723"/>
      <c r="H1019" s="723"/>
      <c r="I1019" s="723"/>
      <c r="J1019" s="723"/>
      <c r="K1019" s="723"/>
      <c r="L1019" s="723"/>
      <c r="M1019" s="723"/>
      <c r="N1019" s="723"/>
      <c r="O1019" s="723"/>
      <c r="P1019" s="718"/>
      <c r="Q1019" s="718"/>
      <c r="R1019" s="718"/>
      <c r="S1019" s="667">
        <v>0</v>
      </c>
      <c r="T1019" s="667">
        <v>0</v>
      </c>
      <c r="U1019" s="667">
        <v>0</v>
      </c>
      <c r="V1019" s="667">
        <v>0</v>
      </c>
      <c r="W1019" s="667">
        <v>0</v>
      </c>
      <c r="X1019" s="667">
        <v>0</v>
      </c>
      <c r="Y1019" s="667">
        <v>0</v>
      </c>
      <c r="Z1019" s="667">
        <v>0</v>
      </c>
      <c r="AA1019" s="667">
        <v>0</v>
      </c>
      <c r="AB1019" s="667">
        <v>0</v>
      </c>
      <c r="AC1019" s="686">
        <v>0</v>
      </c>
      <c r="AD1019" s="686">
        <v>0</v>
      </c>
      <c r="AE1019" s="667">
        <v>0</v>
      </c>
      <c r="AF1019" s="724">
        <v>0</v>
      </c>
      <c r="AG1019" s="686">
        <v>0</v>
      </c>
      <c r="AH1019" s="716"/>
      <c r="AI1019" s="716"/>
      <c r="AJ1019" s="716"/>
      <c r="AK1019" s="716"/>
      <c r="AL1019" s="716"/>
      <c r="AM1019" s="716"/>
      <c r="AN1019" s="716"/>
      <c r="AO1019" s="716"/>
      <c r="AP1019" s="716"/>
      <c r="AQ1019" s="716"/>
      <c r="AR1019" s="716"/>
      <c r="AS1019" s="716"/>
      <c r="AT1019" s="716"/>
      <c r="AU1019" s="716"/>
      <c r="AV1019" s="716"/>
      <c r="AW1019" s="716"/>
      <c r="AX1019" s="716"/>
      <c r="AY1019" s="716"/>
      <c r="AZ1019" s="716"/>
      <c r="BA1019" s="716"/>
      <c r="BB1019" s="716"/>
      <c r="BC1019" s="716"/>
      <c r="BD1019" s="716"/>
      <c r="BE1019" s="716"/>
      <c r="BF1019" s="716"/>
      <c r="BG1019" s="716"/>
      <c r="BH1019" s="716"/>
      <c r="BI1019" s="716"/>
      <c r="BJ1019" s="716"/>
      <c r="BK1019" s="716"/>
      <c r="BL1019" s="716"/>
      <c r="BM1019" s="716"/>
      <c r="BN1019" s="716"/>
      <c r="BO1019" s="716"/>
      <c r="BP1019" s="716"/>
      <c r="BQ1019" s="716"/>
      <c r="BR1019" s="716"/>
      <c r="BS1019" s="716"/>
      <c r="BT1019" s="716"/>
      <c r="BU1019" s="716"/>
      <c r="BV1019" s="716"/>
      <c r="BW1019" s="716"/>
      <c r="BX1019" s="716"/>
      <c r="BY1019" s="716"/>
      <c r="BZ1019" s="716"/>
      <c r="CA1019" s="716"/>
    </row>
    <row r="1020" spans="1:79" s="451" customFormat="1" hidden="1" outlineLevel="1" x14ac:dyDescent="0.25">
      <c r="A1020" s="661"/>
      <c r="B1020" s="79"/>
      <c r="C1020" s="79"/>
      <c r="D1020" s="79"/>
      <c r="E1020" s="570" t="s">
        <v>1345</v>
      </c>
      <c r="F1020" s="661" t="s">
        <v>644</v>
      </c>
      <c r="G1020" s="723"/>
      <c r="H1020" s="723"/>
      <c r="I1020" s="723"/>
      <c r="J1020" s="723"/>
      <c r="K1020" s="723"/>
      <c r="L1020" s="723"/>
      <c r="M1020" s="723"/>
      <c r="N1020" s="723"/>
      <c r="O1020" s="723"/>
      <c r="P1020" s="718"/>
      <c r="Q1020" s="718"/>
      <c r="R1020" s="718"/>
      <c r="S1020" s="667">
        <v>0</v>
      </c>
      <c r="T1020" s="667">
        <v>39663.449999999997</v>
      </c>
      <c r="U1020" s="667">
        <v>96778.82</v>
      </c>
      <c r="V1020" s="667">
        <v>103384.57</v>
      </c>
      <c r="W1020" s="667">
        <v>97307.68</v>
      </c>
      <c r="X1020" s="667">
        <v>84615.360000000001</v>
      </c>
      <c r="Y1020" s="667">
        <v>97307.66</v>
      </c>
      <c r="Z1020" s="667">
        <v>93076.9</v>
      </c>
      <c r="AA1020" s="667">
        <v>88846.12</v>
      </c>
      <c r="AB1020" s="667">
        <v>97307.68</v>
      </c>
      <c r="AC1020" s="686">
        <v>88846.12</v>
      </c>
      <c r="AD1020" s="686">
        <v>93076.88</v>
      </c>
      <c r="AE1020" s="667">
        <v>97307.68</v>
      </c>
      <c r="AF1020" s="724">
        <v>84615.360000000001</v>
      </c>
      <c r="AG1020" s="686">
        <v>96538.44</v>
      </c>
      <c r="AH1020" s="716"/>
      <c r="AI1020" s="716"/>
      <c r="AJ1020" s="716"/>
      <c r="AK1020" s="716"/>
      <c r="AL1020" s="716"/>
      <c r="AM1020" s="716"/>
      <c r="AN1020" s="716"/>
      <c r="AO1020" s="716"/>
      <c r="AP1020" s="716"/>
      <c r="AQ1020" s="716"/>
      <c r="AR1020" s="716"/>
      <c r="AS1020" s="716"/>
      <c r="AT1020" s="716"/>
      <c r="AU1020" s="716"/>
      <c r="AV1020" s="716"/>
      <c r="AW1020" s="716"/>
      <c r="AX1020" s="716"/>
      <c r="AY1020" s="716"/>
      <c r="AZ1020" s="716"/>
      <c r="BA1020" s="716"/>
      <c r="BB1020" s="716"/>
      <c r="BC1020" s="716"/>
      <c r="BD1020" s="716"/>
      <c r="BE1020" s="716"/>
      <c r="BF1020" s="716"/>
      <c r="BG1020" s="716"/>
      <c r="BH1020" s="716"/>
      <c r="BI1020" s="716"/>
      <c r="BJ1020" s="716"/>
      <c r="BK1020" s="716"/>
      <c r="BL1020" s="716"/>
      <c r="BM1020" s="716"/>
      <c r="BN1020" s="716"/>
      <c r="BO1020" s="716"/>
      <c r="BP1020" s="716"/>
      <c r="BQ1020" s="716"/>
      <c r="BR1020" s="716"/>
      <c r="BS1020" s="716"/>
      <c r="BT1020" s="716"/>
      <c r="BU1020" s="716"/>
      <c r="BV1020" s="716"/>
      <c r="BW1020" s="716"/>
      <c r="BX1020" s="716"/>
      <c r="BY1020" s="716"/>
      <c r="BZ1020" s="716"/>
      <c r="CA1020" s="716"/>
    </row>
    <row r="1021" spans="1:79" s="451" customFormat="1" hidden="1" outlineLevel="1" x14ac:dyDescent="0.25">
      <c r="A1021" s="661"/>
      <c r="B1021" s="79"/>
      <c r="C1021" s="79"/>
      <c r="D1021" s="79"/>
      <c r="E1021" s="570" t="s">
        <v>1345</v>
      </c>
      <c r="F1021" s="661" t="s">
        <v>636</v>
      </c>
      <c r="G1021" s="723"/>
      <c r="H1021" s="723"/>
      <c r="I1021" s="723"/>
      <c r="J1021" s="723"/>
      <c r="K1021" s="723"/>
      <c r="L1021" s="723"/>
      <c r="M1021" s="723"/>
      <c r="N1021" s="723"/>
      <c r="O1021" s="723"/>
      <c r="P1021" s="718"/>
      <c r="Q1021" s="718"/>
      <c r="R1021" s="718"/>
      <c r="S1021" s="667">
        <v>113317.93</v>
      </c>
      <c r="T1021" s="667">
        <v>71394.210000000006</v>
      </c>
      <c r="U1021" s="667">
        <v>0</v>
      </c>
      <c r="V1021" s="667">
        <v>0</v>
      </c>
      <c r="W1021" s="667">
        <v>0</v>
      </c>
      <c r="X1021" s="667">
        <v>0</v>
      </c>
      <c r="Y1021" s="667">
        <v>0</v>
      </c>
      <c r="Z1021" s="667">
        <v>0</v>
      </c>
      <c r="AA1021" s="667">
        <v>0</v>
      </c>
      <c r="AB1021" s="667">
        <v>0</v>
      </c>
      <c r="AC1021" s="686">
        <v>0</v>
      </c>
      <c r="AD1021" s="686">
        <v>0</v>
      </c>
      <c r="AE1021" s="667">
        <v>0</v>
      </c>
      <c r="AF1021" s="724">
        <v>0</v>
      </c>
      <c r="AG1021" s="686">
        <v>0</v>
      </c>
      <c r="AH1021" s="716"/>
      <c r="AI1021" s="716"/>
      <c r="AJ1021" s="716"/>
      <c r="AK1021" s="716"/>
      <c r="AL1021" s="716"/>
      <c r="AM1021" s="716"/>
      <c r="AN1021" s="716"/>
      <c r="AO1021" s="716"/>
      <c r="AP1021" s="716"/>
      <c r="AQ1021" s="716"/>
      <c r="AR1021" s="716"/>
      <c r="AS1021" s="716"/>
      <c r="AT1021" s="716"/>
      <c r="AU1021" s="716"/>
      <c r="AV1021" s="716"/>
      <c r="AW1021" s="716"/>
      <c r="AX1021" s="716"/>
      <c r="AY1021" s="716"/>
      <c r="AZ1021" s="716"/>
      <c r="BA1021" s="716"/>
      <c r="BB1021" s="716"/>
      <c r="BC1021" s="716"/>
      <c r="BD1021" s="716"/>
      <c r="BE1021" s="716"/>
      <c r="BF1021" s="716"/>
      <c r="BG1021" s="716"/>
      <c r="BH1021" s="716"/>
      <c r="BI1021" s="716"/>
      <c r="BJ1021" s="716"/>
      <c r="BK1021" s="716"/>
      <c r="BL1021" s="716"/>
      <c r="BM1021" s="716"/>
      <c r="BN1021" s="716"/>
      <c r="BO1021" s="716"/>
      <c r="BP1021" s="716"/>
      <c r="BQ1021" s="716"/>
      <c r="BR1021" s="716"/>
      <c r="BS1021" s="716"/>
      <c r="BT1021" s="716"/>
      <c r="BU1021" s="716"/>
      <c r="BV1021" s="716"/>
      <c r="BW1021" s="716"/>
      <c r="BX1021" s="716"/>
      <c r="BY1021" s="716"/>
      <c r="BZ1021" s="716"/>
      <c r="CA1021" s="716"/>
    </row>
    <row r="1022" spans="1:79" s="451" customFormat="1" hidden="1" outlineLevel="1" x14ac:dyDescent="0.25">
      <c r="A1022" s="661"/>
      <c r="B1022" s="79"/>
      <c r="C1022" s="79"/>
      <c r="D1022" s="79"/>
      <c r="E1022" s="570" t="s">
        <v>637</v>
      </c>
      <c r="F1022" s="661" t="s">
        <v>637</v>
      </c>
      <c r="G1022" s="723"/>
      <c r="H1022" s="723"/>
      <c r="I1022" s="723"/>
      <c r="J1022" s="723"/>
      <c r="K1022" s="723"/>
      <c r="L1022" s="723"/>
      <c r="M1022" s="723"/>
      <c r="N1022" s="723"/>
      <c r="O1022" s="723"/>
      <c r="P1022" s="718"/>
      <c r="Q1022" s="718"/>
      <c r="R1022" s="718"/>
      <c r="S1022" s="667">
        <v>-44.07</v>
      </c>
      <c r="T1022" s="667">
        <v>6125.8</v>
      </c>
      <c r="U1022" s="667">
        <v>4053.61</v>
      </c>
      <c r="V1022" s="667">
        <v>6875</v>
      </c>
      <c r="W1022" s="667">
        <v>7650.16</v>
      </c>
      <c r="X1022" s="667">
        <v>5708.64</v>
      </c>
      <c r="Y1022" s="667">
        <v>7027.13</v>
      </c>
      <c r="Z1022" s="667">
        <v>-8838.25</v>
      </c>
      <c r="AA1022" s="667">
        <v>7824.03</v>
      </c>
      <c r="AB1022" s="667">
        <v>7389.35</v>
      </c>
      <c r="AC1022" s="686">
        <v>57.96</v>
      </c>
      <c r="AD1022" s="686">
        <v>8084.82</v>
      </c>
      <c r="AE1022" s="667">
        <v>6288.2</v>
      </c>
      <c r="AF1022" s="724">
        <v>4375.66</v>
      </c>
      <c r="AG1022" s="686">
        <v>4491.57</v>
      </c>
      <c r="AH1022" s="716"/>
      <c r="AI1022" s="716"/>
      <c r="AJ1022" s="716"/>
      <c r="AK1022" s="716"/>
      <c r="AL1022" s="716"/>
      <c r="AM1022" s="716"/>
      <c r="AN1022" s="716"/>
      <c r="AO1022" s="716"/>
      <c r="AP1022" s="716"/>
      <c r="AQ1022" s="716"/>
      <c r="AR1022" s="716"/>
      <c r="AS1022" s="716"/>
      <c r="AT1022" s="716"/>
      <c r="AU1022" s="716"/>
      <c r="AV1022" s="716"/>
      <c r="AW1022" s="716"/>
      <c r="AX1022" s="716"/>
      <c r="AY1022" s="716"/>
      <c r="AZ1022" s="716"/>
      <c r="BA1022" s="716"/>
      <c r="BB1022" s="716"/>
      <c r="BC1022" s="716"/>
      <c r="BD1022" s="716"/>
      <c r="BE1022" s="716"/>
      <c r="BF1022" s="716"/>
      <c r="BG1022" s="716"/>
      <c r="BH1022" s="716"/>
      <c r="BI1022" s="716"/>
      <c r="BJ1022" s="716"/>
      <c r="BK1022" s="716"/>
      <c r="BL1022" s="716"/>
      <c r="BM1022" s="716"/>
      <c r="BN1022" s="716"/>
      <c r="BO1022" s="716"/>
      <c r="BP1022" s="716"/>
      <c r="BQ1022" s="716"/>
      <c r="BR1022" s="716"/>
      <c r="BS1022" s="716"/>
      <c r="BT1022" s="716"/>
      <c r="BU1022" s="716"/>
      <c r="BV1022" s="716"/>
      <c r="BW1022" s="716"/>
      <c r="BX1022" s="716"/>
      <c r="BY1022" s="716"/>
      <c r="BZ1022" s="716"/>
      <c r="CA1022" s="716"/>
    </row>
    <row r="1023" spans="1:79" s="451" customFormat="1" hidden="1" outlineLevel="1" x14ac:dyDescent="0.25">
      <c r="A1023" s="661"/>
      <c r="B1023" s="576"/>
      <c r="C1023" s="576"/>
      <c r="D1023" s="576"/>
      <c r="E1023" s="570" t="s">
        <v>1345</v>
      </c>
      <c r="F1023" s="661" t="s">
        <v>904</v>
      </c>
      <c r="G1023" s="723"/>
      <c r="H1023" s="723"/>
      <c r="I1023" s="723"/>
      <c r="J1023" s="723"/>
      <c r="K1023" s="723"/>
      <c r="L1023" s="723"/>
      <c r="M1023" s="723"/>
      <c r="N1023" s="723"/>
      <c r="O1023" s="723"/>
      <c r="P1023" s="718"/>
      <c r="Q1023" s="718"/>
      <c r="R1023" s="718"/>
      <c r="S1023" s="667">
        <v>0</v>
      </c>
      <c r="T1023" s="667">
        <v>0</v>
      </c>
      <c r="U1023" s="667">
        <v>0</v>
      </c>
      <c r="V1023" s="667">
        <v>0</v>
      </c>
      <c r="W1023" s="667">
        <v>0</v>
      </c>
      <c r="X1023" s="667">
        <v>0</v>
      </c>
      <c r="Y1023" s="667">
        <v>0</v>
      </c>
      <c r="Z1023" s="667">
        <v>0</v>
      </c>
      <c r="AA1023" s="667">
        <v>0</v>
      </c>
      <c r="AB1023" s="667">
        <v>0</v>
      </c>
      <c r="AC1023" s="686">
        <v>0</v>
      </c>
      <c r="AD1023" s="686">
        <v>0</v>
      </c>
      <c r="AE1023" s="667">
        <v>0</v>
      </c>
      <c r="AF1023" s="724">
        <v>0</v>
      </c>
      <c r="AG1023" s="686">
        <v>0</v>
      </c>
      <c r="AH1023" s="716"/>
      <c r="AI1023" s="716"/>
      <c r="AJ1023" s="716"/>
      <c r="AK1023" s="716"/>
      <c r="AL1023" s="716"/>
      <c r="AM1023" s="716"/>
      <c r="AN1023" s="716"/>
      <c r="AO1023" s="716"/>
      <c r="AP1023" s="716"/>
      <c r="AQ1023" s="716"/>
      <c r="AR1023" s="716"/>
      <c r="AS1023" s="716"/>
      <c r="AT1023" s="716"/>
      <c r="AU1023" s="716"/>
      <c r="AV1023" s="716"/>
      <c r="AW1023" s="716"/>
      <c r="AX1023" s="716"/>
      <c r="AY1023" s="716"/>
      <c r="AZ1023" s="716"/>
      <c r="BA1023" s="716"/>
      <c r="BB1023" s="716"/>
      <c r="BC1023" s="716"/>
      <c r="BD1023" s="716"/>
      <c r="BE1023" s="716"/>
      <c r="BF1023" s="716"/>
      <c r="BG1023" s="716"/>
      <c r="BH1023" s="716"/>
      <c r="BI1023" s="716"/>
      <c r="BJ1023" s="716"/>
      <c r="BK1023" s="716"/>
      <c r="BL1023" s="716"/>
      <c r="BM1023" s="716"/>
      <c r="BN1023" s="716"/>
      <c r="BO1023" s="716"/>
      <c r="BP1023" s="716"/>
      <c r="BQ1023" s="716"/>
      <c r="BR1023" s="716"/>
      <c r="BS1023" s="716"/>
      <c r="BT1023" s="716"/>
      <c r="BU1023" s="716"/>
      <c r="BV1023" s="716"/>
      <c r="BW1023" s="716"/>
      <c r="BX1023" s="716"/>
      <c r="BY1023" s="716"/>
      <c r="BZ1023" s="716"/>
      <c r="CA1023" s="716"/>
    </row>
    <row r="1024" spans="1:79" s="451" customFormat="1" hidden="1" outlineLevel="1" x14ac:dyDescent="0.25">
      <c r="A1024" s="661"/>
      <c r="B1024" s="576"/>
      <c r="C1024" s="576"/>
      <c r="D1024" s="576"/>
      <c r="E1024" s="570" t="s">
        <v>1345</v>
      </c>
      <c r="F1024" s="661" t="s">
        <v>677</v>
      </c>
      <c r="G1024" s="716">
        <v>41153.839999999997</v>
      </c>
      <c r="H1024" s="716">
        <v>41153.839999999997</v>
      </c>
      <c r="I1024" s="716">
        <v>41153.839999999997</v>
      </c>
      <c r="J1024" s="716">
        <v>50615.39</v>
      </c>
      <c r="K1024" s="716">
        <v>353615.38</v>
      </c>
      <c r="L1024" s="716">
        <v>67923.070000000007</v>
      </c>
      <c r="M1024" s="716">
        <v>352934.04</v>
      </c>
      <c r="N1024" s="716">
        <v>353615.38</v>
      </c>
      <c r="O1024" s="716">
        <v>53615.380000000005</v>
      </c>
      <c r="P1024" s="716">
        <v>372908.71</v>
      </c>
      <c r="Q1024" s="716">
        <v>147512.07</v>
      </c>
      <c r="R1024" s="716">
        <v>75442.22</v>
      </c>
      <c r="S1024" s="667">
        <v>0</v>
      </c>
      <c r="T1024" s="667">
        <v>0</v>
      </c>
      <c r="U1024" s="667">
        <v>0</v>
      </c>
      <c r="V1024" s="667">
        <v>0</v>
      </c>
      <c r="W1024" s="667">
        <v>0</v>
      </c>
      <c r="X1024" s="667">
        <v>0</v>
      </c>
      <c r="Y1024" s="667">
        <v>0</v>
      </c>
      <c r="Z1024" s="667">
        <v>0</v>
      </c>
      <c r="AA1024" s="667">
        <v>0</v>
      </c>
      <c r="AB1024" s="667">
        <v>0</v>
      </c>
      <c r="AC1024" s="686">
        <v>0</v>
      </c>
      <c r="AD1024" s="686">
        <v>0</v>
      </c>
      <c r="AE1024" s="667">
        <v>0</v>
      </c>
      <c r="AF1024" s="724">
        <v>0</v>
      </c>
      <c r="AG1024" s="686">
        <v>0</v>
      </c>
      <c r="AH1024" s="716"/>
      <c r="AI1024" s="716"/>
      <c r="AJ1024" s="716"/>
      <c r="AK1024" s="716"/>
      <c r="AL1024" s="716"/>
      <c r="AM1024" s="716"/>
      <c r="AN1024" s="716"/>
      <c r="AO1024" s="716"/>
      <c r="AP1024" s="716"/>
      <c r="AQ1024" s="716"/>
      <c r="AR1024" s="716"/>
      <c r="AS1024" s="716"/>
      <c r="AT1024" s="716"/>
      <c r="AU1024" s="716"/>
      <c r="AV1024" s="716"/>
      <c r="AW1024" s="716"/>
      <c r="AX1024" s="716"/>
      <c r="AY1024" s="716"/>
      <c r="AZ1024" s="716"/>
      <c r="BA1024" s="716"/>
      <c r="BB1024" s="716"/>
      <c r="BC1024" s="716"/>
      <c r="BD1024" s="716"/>
      <c r="BE1024" s="716"/>
      <c r="BF1024" s="716"/>
      <c r="BG1024" s="716"/>
      <c r="BH1024" s="716"/>
      <c r="BI1024" s="716"/>
      <c r="BJ1024" s="716"/>
      <c r="BK1024" s="716"/>
      <c r="BL1024" s="716"/>
      <c r="BM1024" s="716"/>
      <c r="BN1024" s="716"/>
      <c r="BO1024" s="716"/>
      <c r="BP1024" s="716"/>
      <c r="BQ1024" s="716"/>
      <c r="BR1024" s="716"/>
      <c r="BS1024" s="716"/>
      <c r="BT1024" s="716"/>
      <c r="BU1024" s="716"/>
      <c r="BV1024" s="716"/>
      <c r="BW1024" s="716"/>
      <c r="BX1024" s="716"/>
      <c r="BY1024" s="716"/>
      <c r="BZ1024" s="716"/>
      <c r="CA1024" s="716"/>
    </row>
    <row r="1025" spans="1:79" s="740" customFormat="1" hidden="1" outlineLevel="1" x14ac:dyDescent="0.25">
      <c r="A1025" s="657"/>
      <c r="B1025" s="503"/>
      <c r="C1025" s="503"/>
      <c r="D1025" s="503"/>
      <c r="E1025" s="570" t="s">
        <v>49</v>
      </c>
      <c r="F1025" s="657" t="s">
        <v>638</v>
      </c>
      <c r="G1025" s="664">
        <f>SUM(G1017:G1024)</f>
        <v>41153.839999999997</v>
      </c>
      <c r="H1025" s="664">
        <f t="shared" ref="H1025:BO1025" si="424">SUM(H1017:H1024)</f>
        <v>41153.839999999997</v>
      </c>
      <c r="I1025" s="664">
        <f t="shared" si="424"/>
        <v>41153.839999999997</v>
      </c>
      <c r="J1025" s="664">
        <f t="shared" si="424"/>
        <v>50615.39</v>
      </c>
      <c r="K1025" s="664">
        <f t="shared" si="424"/>
        <v>353615.38</v>
      </c>
      <c r="L1025" s="664">
        <f t="shared" si="424"/>
        <v>67923.070000000007</v>
      </c>
      <c r="M1025" s="664">
        <f t="shared" si="424"/>
        <v>352934.04</v>
      </c>
      <c r="N1025" s="664">
        <f t="shared" si="424"/>
        <v>353615.38</v>
      </c>
      <c r="O1025" s="664">
        <f t="shared" si="424"/>
        <v>53615.380000000005</v>
      </c>
      <c r="P1025" s="664">
        <f t="shared" si="424"/>
        <v>372908.71</v>
      </c>
      <c r="Q1025" s="664">
        <f t="shared" si="424"/>
        <v>147512.07</v>
      </c>
      <c r="R1025" s="664">
        <f t="shared" si="424"/>
        <v>75442.22</v>
      </c>
      <c r="S1025" s="679">
        <f t="shared" ref="S1025:AA1025" si="425">ROUND(SUM(S1016:S1024),5)</f>
        <v>143166.69</v>
      </c>
      <c r="T1025" s="679">
        <f t="shared" si="425"/>
        <v>147076.29</v>
      </c>
      <c r="U1025" s="679">
        <f t="shared" si="425"/>
        <v>130725.26</v>
      </c>
      <c r="V1025" s="679">
        <f t="shared" si="425"/>
        <v>140152.4</v>
      </c>
      <c r="W1025" s="679">
        <f t="shared" si="425"/>
        <v>134850.67000000001</v>
      </c>
      <c r="X1025" s="679">
        <f t="shared" si="425"/>
        <v>120216.83</v>
      </c>
      <c r="Y1025" s="679">
        <f t="shared" si="425"/>
        <v>134227.62</v>
      </c>
      <c r="Z1025" s="679">
        <f t="shared" si="425"/>
        <v>114131.48</v>
      </c>
      <c r="AA1025" s="679">
        <f t="shared" si="425"/>
        <v>126807.97</v>
      </c>
      <c r="AB1025" s="679">
        <f t="shared" ref="AB1025:AG1025" si="426">ROUND(SUM(AB1016:AB1024),5)</f>
        <v>134589.85999999999</v>
      </c>
      <c r="AC1025" s="679">
        <f t="shared" si="426"/>
        <v>118796.91</v>
      </c>
      <c r="AD1025" s="679">
        <f t="shared" si="426"/>
        <v>49804.57</v>
      </c>
      <c r="AE1025" s="679">
        <f t="shared" si="426"/>
        <v>136929.20000000001</v>
      </c>
      <c r="AF1025" s="664">
        <f t="shared" si="426"/>
        <v>122324.34</v>
      </c>
      <c r="AG1025" s="679">
        <f t="shared" si="426"/>
        <v>109363.34</v>
      </c>
      <c r="AH1025" s="664">
        <f t="shared" si="424"/>
        <v>0</v>
      </c>
      <c r="AI1025" s="664">
        <f t="shared" si="424"/>
        <v>0</v>
      </c>
      <c r="AJ1025" s="664">
        <f t="shared" si="424"/>
        <v>0</v>
      </c>
      <c r="AK1025" s="664">
        <f t="shared" si="424"/>
        <v>0</v>
      </c>
      <c r="AL1025" s="664">
        <f t="shared" si="424"/>
        <v>0</v>
      </c>
      <c r="AM1025" s="664">
        <f t="shared" si="424"/>
        <v>0</v>
      </c>
      <c r="AN1025" s="664">
        <f t="shared" si="424"/>
        <v>0</v>
      </c>
      <c r="AO1025" s="664">
        <f t="shared" si="424"/>
        <v>0</v>
      </c>
      <c r="AP1025" s="664">
        <f t="shared" si="424"/>
        <v>0</v>
      </c>
      <c r="AQ1025" s="664">
        <f t="shared" si="424"/>
        <v>0</v>
      </c>
      <c r="AR1025" s="664">
        <f t="shared" si="424"/>
        <v>0</v>
      </c>
      <c r="AS1025" s="664">
        <f t="shared" si="424"/>
        <v>0</v>
      </c>
      <c r="AT1025" s="664">
        <f t="shared" si="424"/>
        <v>0</v>
      </c>
      <c r="AU1025" s="664">
        <f t="shared" si="424"/>
        <v>0</v>
      </c>
      <c r="AV1025" s="664">
        <f t="shared" si="424"/>
        <v>0</v>
      </c>
      <c r="AW1025" s="664">
        <f t="shared" si="424"/>
        <v>0</v>
      </c>
      <c r="AX1025" s="664">
        <f t="shared" si="424"/>
        <v>0</v>
      </c>
      <c r="AY1025" s="664">
        <f t="shared" si="424"/>
        <v>0</v>
      </c>
      <c r="AZ1025" s="664">
        <f t="shared" si="424"/>
        <v>0</v>
      </c>
      <c r="BA1025" s="664">
        <f t="shared" si="424"/>
        <v>0</v>
      </c>
      <c r="BB1025" s="664">
        <f t="shared" si="424"/>
        <v>0</v>
      </c>
      <c r="BC1025" s="664">
        <f t="shared" si="424"/>
        <v>0</v>
      </c>
      <c r="BD1025" s="664">
        <f t="shared" si="424"/>
        <v>0</v>
      </c>
      <c r="BE1025" s="664">
        <f t="shared" si="424"/>
        <v>0</v>
      </c>
      <c r="BF1025" s="664">
        <f t="shared" si="424"/>
        <v>0</v>
      </c>
      <c r="BG1025" s="664">
        <f t="shared" si="424"/>
        <v>0</v>
      </c>
      <c r="BH1025" s="664">
        <f t="shared" si="424"/>
        <v>0</v>
      </c>
      <c r="BI1025" s="664">
        <f t="shared" si="424"/>
        <v>0</v>
      </c>
      <c r="BJ1025" s="664">
        <f t="shared" si="424"/>
        <v>0</v>
      </c>
      <c r="BK1025" s="664">
        <f t="shared" si="424"/>
        <v>0</v>
      </c>
      <c r="BL1025" s="664">
        <f t="shared" si="424"/>
        <v>0</v>
      </c>
      <c r="BM1025" s="664">
        <f t="shared" si="424"/>
        <v>0</v>
      </c>
      <c r="BN1025" s="664">
        <f t="shared" si="424"/>
        <v>0</v>
      </c>
      <c r="BO1025" s="664">
        <f t="shared" si="424"/>
        <v>0</v>
      </c>
      <c r="BP1025" s="664">
        <f t="shared" ref="BP1025:CA1025" si="427">SUM(BP1017:BP1024)</f>
        <v>0</v>
      </c>
      <c r="BQ1025" s="664">
        <f t="shared" si="427"/>
        <v>0</v>
      </c>
      <c r="BR1025" s="664">
        <f t="shared" si="427"/>
        <v>0</v>
      </c>
      <c r="BS1025" s="664">
        <f t="shared" si="427"/>
        <v>0</v>
      </c>
      <c r="BT1025" s="664">
        <f t="shared" si="427"/>
        <v>0</v>
      </c>
      <c r="BU1025" s="664">
        <f t="shared" si="427"/>
        <v>0</v>
      </c>
      <c r="BV1025" s="664">
        <f t="shared" si="427"/>
        <v>0</v>
      </c>
      <c r="BW1025" s="664">
        <f t="shared" si="427"/>
        <v>0</v>
      </c>
      <c r="BX1025" s="664">
        <f t="shared" si="427"/>
        <v>0</v>
      </c>
      <c r="BY1025" s="664">
        <f t="shared" si="427"/>
        <v>0</v>
      </c>
      <c r="BZ1025" s="664">
        <f t="shared" si="427"/>
        <v>0</v>
      </c>
      <c r="CA1025" s="664">
        <f t="shared" si="427"/>
        <v>0</v>
      </c>
    </row>
    <row r="1026" spans="1:79" s="451" customFormat="1" hidden="1" outlineLevel="1" x14ac:dyDescent="0.25">
      <c r="A1026" s="656"/>
      <c r="B1026" s="79"/>
      <c r="C1026" s="79"/>
      <c r="D1026" s="79"/>
      <c r="E1026" s="570" t="s">
        <v>1345</v>
      </c>
      <c r="F1026" s="656" t="s">
        <v>639</v>
      </c>
      <c r="G1026" s="723"/>
      <c r="H1026" s="718"/>
      <c r="I1026" s="718"/>
      <c r="J1026" s="718"/>
      <c r="K1026" s="718"/>
      <c r="L1026" s="718"/>
      <c r="M1026" s="718"/>
      <c r="N1026" s="718"/>
      <c r="O1026" s="718"/>
      <c r="P1026" s="718"/>
      <c r="Q1026" s="718"/>
      <c r="R1026" s="718"/>
      <c r="S1026" s="671">
        <v>21.39</v>
      </c>
      <c r="T1026" s="671">
        <v>9.36</v>
      </c>
      <c r="U1026" s="671">
        <v>0</v>
      </c>
      <c r="V1026" s="671">
        <v>0</v>
      </c>
      <c r="W1026" s="671">
        <v>0</v>
      </c>
      <c r="X1026" s="671">
        <v>0</v>
      </c>
      <c r="Y1026" s="671">
        <v>0</v>
      </c>
      <c r="Z1026" s="671">
        <v>0</v>
      </c>
      <c r="AA1026" s="671">
        <v>0</v>
      </c>
      <c r="AB1026" s="671">
        <v>0</v>
      </c>
      <c r="AC1026" s="690">
        <v>0</v>
      </c>
      <c r="AD1026" s="690">
        <v>0</v>
      </c>
      <c r="AE1026" s="671">
        <v>0</v>
      </c>
      <c r="AF1026" s="724">
        <v>0</v>
      </c>
      <c r="AG1026" s="690">
        <v>0</v>
      </c>
      <c r="AH1026" s="716"/>
      <c r="AI1026" s="716"/>
      <c r="AJ1026" s="716"/>
      <c r="AK1026" s="716"/>
      <c r="AL1026" s="716"/>
      <c r="AM1026" s="716"/>
      <c r="AN1026" s="716"/>
      <c r="AO1026" s="716"/>
      <c r="AP1026" s="716"/>
      <c r="AQ1026" s="716"/>
      <c r="AR1026" s="716"/>
      <c r="AS1026" s="716"/>
      <c r="AT1026" s="716"/>
      <c r="AU1026" s="716"/>
      <c r="AV1026" s="716"/>
      <c r="AW1026" s="716"/>
      <c r="AX1026" s="716"/>
      <c r="AY1026" s="716"/>
      <c r="AZ1026" s="716"/>
      <c r="BA1026" s="716"/>
      <c r="BB1026" s="716"/>
      <c r="BC1026" s="716"/>
      <c r="BD1026" s="716"/>
      <c r="BE1026" s="716"/>
      <c r="BF1026" s="716"/>
      <c r="BG1026" s="716"/>
      <c r="BH1026" s="716"/>
      <c r="BI1026" s="716"/>
      <c r="BJ1026" s="716"/>
      <c r="BK1026" s="716"/>
      <c r="BL1026" s="716"/>
      <c r="BM1026" s="716"/>
      <c r="BN1026" s="716"/>
      <c r="BO1026" s="716"/>
      <c r="BP1026" s="716"/>
      <c r="BQ1026" s="716"/>
      <c r="BR1026" s="716"/>
      <c r="BS1026" s="716"/>
      <c r="BT1026" s="716"/>
      <c r="BU1026" s="716"/>
      <c r="BV1026" s="716"/>
      <c r="BW1026" s="716"/>
      <c r="BX1026" s="716"/>
      <c r="BY1026" s="716"/>
      <c r="BZ1026" s="716"/>
      <c r="CA1026" s="716"/>
    </row>
    <row r="1027" spans="1:79" s="308" customFormat="1" hidden="1" outlineLevel="1" x14ac:dyDescent="0.25">
      <c r="A1027" s="659"/>
      <c r="B1027" s="29"/>
      <c r="C1027" s="29"/>
      <c r="D1027" s="29"/>
      <c r="E1027" s="570" t="s">
        <v>49</v>
      </c>
      <c r="F1027" s="659" t="s">
        <v>640</v>
      </c>
      <c r="G1027" s="664">
        <f>G1025+G1015</f>
        <v>44509.982946647855</v>
      </c>
      <c r="H1027" s="664">
        <f>H1025+H1015</f>
        <v>43315.260990254312</v>
      </c>
      <c r="I1027" s="664">
        <f t="shared" ref="I1027:BO1027" si="428">I1025+I1015</f>
        <v>43096.011618684504</v>
      </c>
      <c r="J1027" s="664">
        <f t="shared" si="428"/>
        <v>53582.124645474556</v>
      </c>
      <c r="K1027" s="664">
        <f t="shared" si="428"/>
        <v>361395.50900512491</v>
      </c>
      <c r="L1027" s="664">
        <f t="shared" si="428"/>
        <v>71597.357801911727</v>
      </c>
      <c r="M1027" s="664">
        <f t="shared" si="428"/>
        <v>360667.55978568183</v>
      </c>
      <c r="N1027" s="664">
        <f t="shared" si="428"/>
        <v>360977.2560464975</v>
      </c>
      <c r="O1027" s="664">
        <f t="shared" si="428"/>
        <v>56204.039722078291</v>
      </c>
      <c r="P1027" s="664">
        <f t="shared" si="428"/>
        <v>380293.95248888485</v>
      </c>
      <c r="Q1027" s="664">
        <f t="shared" si="428"/>
        <v>152993.69789667081</v>
      </c>
      <c r="R1027" s="664">
        <f t="shared" si="428"/>
        <v>77575.899608885142</v>
      </c>
      <c r="S1027" s="679">
        <f t="shared" ref="S1027:AB1027" si="429">ROUND(S995+S1005+S1015+SUM(S1025:S1026),5)</f>
        <v>154532.79999999999</v>
      </c>
      <c r="T1027" s="679">
        <f t="shared" si="429"/>
        <v>156965.84</v>
      </c>
      <c r="U1027" s="679">
        <f t="shared" si="429"/>
        <v>138947.04999999999</v>
      </c>
      <c r="V1027" s="679">
        <f t="shared" si="429"/>
        <v>148871.4</v>
      </c>
      <c r="W1027" s="679">
        <f t="shared" si="429"/>
        <v>142805.31</v>
      </c>
      <c r="X1027" s="679">
        <f t="shared" si="429"/>
        <v>123360.5</v>
      </c>
      <c r="Y1027" s="679">
        <f t="shared" si="429"/>
        <v>136536.94</v>
      </c>
      <c r="Z1027" s="679">
        <f t="shared" si="429"/>
        <v>114368.86</v>
      </c>
      <c r="AA1027" s="679">
        <f t="shared" si="429"/>
        <v>131009.61</v>
      </c>
      <c r="AB1027" s="679">
        <f t="shared" si="429"/>
        <v>136900.6</v>
      </c>
      <c r="AC1027" s="679">
        <f>ROUND(AC995+AC1005+AC1015+SUM(AC1025:AC1026),5)</f>
        <v>123801.38</v>
      </c>
      <c r="AD1027" s="679">
        <f>ROUND(AD995+AD1005+AD1015+SUM(AD1025:AD1026),5)</f>
        <v>47231.49</v>
      </c>
      <c r="AE1027" s="679">
        <f>ROUND(AE995+AE1005+AE1015+SUM(AE1025:AE1026),5)</f>
        <v>148951.67000000001</v>
      </c>
      <c r="AF1027" s="679">
        <f>ROUND(AF995+AF1005+AF1015+SUM(AF1025:AF1026),5)</f>
        <v>134091.41</v>
      </c>
      <c r="AG1027" s="679">
        <f>ROUND(AG995+AG1005+AG1015+SUM(AG1025:AG1026),5)</f>
        <v>120233.91</v>
      </c>
      <c r="AH1027" s="664">
        <f t="shared" si="428"/>
        <v>0</v>
      </c>
      <c r="AI1027" s="664">
        <f t="shared" si="428"/>
        <v>0</v>
      </c>
      <c r="AJ1027" s="664">
        <f t="shared" si="428"/>
        <v>0</v>
      </c>
      <c r="AK1027" s="664">
        <f t="shared" si="428"/>
        <v>0</v>
      </c>
      <c r="AL1027" s="664">
        <f t="shared" si="428"/>
        <v>0</v>
      </c>
      <c r="AM1027" s="664">
        <f t="shared" si="428"/>
        <v>0</v>
      </c>
      <c r="AN1027" s="664">
        <f t="shared" si="428"/>
        <v>0</v>
      </c>
      <c r="AO1027" s="664">
        <f t="shared" si="428"/>
        <v>0</v>
      </c>
      <c r="AP1027" s="664">
        <f t="shared" si="428"/>
        <v>0</v>
      </c>
      <c r="AQ1027" s="664">
        <f t="shared" si="428"/>
        <v>0</v>
      </c>
      <c r="AR1027" s="664">
        <f t="shared" si="428"/>
        <v>0</v>
      </c>
      <c r="AS1027" s="664">
        <f t="shared" si="428"/>
        <v>0</v>
      </c>
      <c r="AT1027" s="664">
        <f t="shared" si="428"/>
        <v>0</v>
      </c>
      <c r="AU1027" s="664">
        <f t="shared" si="428"/>
        <v>0</v>
      </c>
      <c r="AV1027" s="664">
        <f t="shared" si="428"/>
        <v>0</v>
      </c>
      <c r="AW1027" s="664">
        <f t="shared" si="428"/>
        <v>0</v>
      </c>
      <c r="AX1027" s="664">
        <f t="shared" si="428"/>
        <v>0</v>
      </c>
      <c r="AY1027" s="664">
        <f t="shared" si="428"/>
        <v>0</v>
      </c>
      <c r="AZ1027" s="664">
        <f t="shared" si="428"/>
        <v>0</v>
      </c>
      <c r="BA1027" s="664">
        <f t="shared" si="428"/>
        <v>0</v>
      </c>
      <c r="BB1027" s="664">
        <f t="shared" si="428"/>
        <v>0</v>
      </c>
      <c r="BC1027" s="664">
        <f t="shared" si="428"/>
        <v>0</v>
      </c>
      <c r="BD1027" s="664">
        <f t="shared" si="428"/>
        <v>0</v>
      </c>
      <c r="BE1027" s="664">
        <f t="shared" si="428"/>
        <v>0</v>
      </c>
      <c r="BF1027" s="664">
        <f t="shared" si="428"/>
        <v>0</v>
      </c>
      <c r="BG1027" s="664">
        <f t="shared" si="428"/>
        <v>0</v>
      </c>
      <c r="BH1027" s="664">
        <f t="shared" si="428"/>
        <v>0</v>
      </c>
      <c r="BI1027" s="664">
        <f t="shared" si="428"/>
        <v>0</v>
      </c>
      <c r="BJ1027" s="664">
        <f t="shared" si="428"/>
        <v>0</v>
      </c>
      <c r="BK1027" s="664">
        <f t="shared" si="428"/>
        <v>0</v>
      </c>
      <c r="BL1027" s="664">
        <f t="shared" si="428"/>
        <v>0</v>
      </c>
      <c r="BM1027" s="664">
        <f t="shared" si="428"/>
        <v>0</v>
      </c>
      <c r="BN1027" s="664">
        <f t="shared" si="428"/>
        <v>0</v>
      </c>
      <c r="BO1027" s="664">
        <f t="shared" si="428"/>
        <v>0</v>
      </c>
      <c r="BP1027" s="664">
        <f t="shared" ref="BP1027:CA1027" si="430">BP1025+BP1015</f>
        <v>0</v>
      </c>
      <c r="BQ1027" s="664">
        <f t="shared" si="430"/>
        <v>0</v>
      </c>
      <c r="BR1027" s="664">
        <f t="shared" si="430"/>
        <v>0</v>
      </c>
      <c r="BS1027" s="664">
        <f t="shared" si="430"/>
        <v>0</v>
      </c>
      <c r="BT1027" s="664">
        <f t="shared" si="430"/>
        <v>0</v>
      </c>
      <c r="BU1027" s="664">
        <f t="shared" si="430"/>
        <v>0</v>
      </c>
      <c r="BV1027" s="664">
        <f t="shared" si="430"/>
        <v>0</v>
      </c>
      <c r="BW1027" s="664">
        <f t="shared" si="430"/>
        <v>0</v>
      </c>
      <c r="BX1027" s="664">
        <f t="shared" si="430"/>
        <v>0</v>
      </c>
      <c r="BY1027" s="664">
        <f t="shared" si="430"/>
        <v>0</v>
      </c>
      <c r="BZ1027" s="664">
        <f t="shared" si="430"/>
        <v>0</v>
      </c>
      <c r="CA1027" s="664">
        <f t="shared" si="430"/>
        <v>0</v>
      </c>
    </row>
    <row r="1028" spans="1:79" s="308" customFormat="1" hidden="1" outlineLevel="1" x14ac:dyDescent="0.25">
      <c r="A1028" s="655"/>
      <c r="B1028" s="571"/>
      <c r="C1028" s="571"/>
      <c r="D1028" s="571"/>
      <c r="E1028" s="570" t="s">
        <v>918</v>
      </c>
      <c r="F1028" s="655" t="s">
        <v>905</v>
      </c>
      <c r="G1028" s="719"/>
      <c r="H1028" s="719"/>
      <c r="I1028" s="719"/>
      <c r="J1028" s="719"/>
      <c r="K1028" s="719"/>
      <c r="L1028" s="719"/>
      <c r="M1028" s="719"/>
      <c r="N1028" s="719"/>
      <c r="O1028" s="719"/>
      <c r="P1028" s="719"/>
      <c r="Q1028" s="719"/>
      <c r="R1028" s="719"/>
      <c r="S1028" s="684">
        <v>0</v>
      </c>
      <c r="T1028" s="684">
        <v>0</v>
      </c>
      <c r="U1028" s="684">
        <v>0</v>
      </c>
      <c r="V1028" s="684">
        <v>0</v>
      </c>
      <c r="W1028" s="684">
        <v>0</v>
      </c>
      <c r="X1028" s="684">
        <v>0</v>
      </c>
      <c r="Y1028" s="684">
        <v>0</v>
      </c>
      <c r="Z1028" s="684">
        <v>0</v>
      </c>
      <c r="AA1028" s="684">
        <v>0</v>
      </c>
      <c r="AB1028" s="684">
        <v>0</v>
      </c>
      <c r="AC1028" s="690">
        <v>0</v>
      </c>
      <c r="AD1028" s="690">
        <v>0</v>
      </c>
      <c r="AE1028" s="684">
        <v>0</v>
      </c>
      <c r="AF1028" s="719">
        <v>0</v>
      </c>
      <c r="AG1028" s="690">
        <v>0</v>
      </c>
      <c r="AH1028" s="716"/>
      <c r="AI1028" s="716"/>
      <c r="AJ1028" s="716"/>
      <c r="AK1028" s="716"/>
      <c r="AL1028" s="716"/>
      <c r="AM1028" s="716"/>
      <c r="AN1028" s="716"/>
      <c r="AO1028" s="716"/>
      <c r="AP1028" s="716"/>
      <c r="AQ1028" s="716"/>
      <c r="AR1028" s="716"/>
      <c r="AS1028" s="716"/>
      <c r="AT1028" s="716"/>
      <c r="AU1028" s="716"/>
      <c r="AV1028" s="716"/>
      <c r="AW1028" s="716"/>
      <c r="AX1028" s="716"/>
      <c r="AY1028" s="716"/>
      <c r="AZ1028" s="716"/>
      <c r="BA1028" s="716"/>
      <c r="BB1028" s="716"/>
      <c r="BC1028" s="716"/>
      <c r="BD1028" s="716"/>
      <c r="BE1028" s="716"/>
      <c r="BF1028" s="716"/>
      <c r="BG1028" s="716"/>
      <c r="BH1028" s="716"/>
      <c r="BI1028" s="716"/>
      <c r="BJ1028" s="716"/>
      <c r="BK1028" s="716"/>
      <c r="BL1028" s="716"/>
      <c r="BM1028" s="716"/>
      <c r="BN1028" s="716"/>
      <c r="BO1028" s="716"/>
      <c r="BP1028" s="716"/>
      <c r="BQ1028" s="716"/>
      <c r="BR1028" s="716"/>
      <c r="BS1028" s="716"/>
      <c r="BT1028" s="716"/>
      <c r="BU1028" s="716"/>
      <c r="BV1028" s="716"/>
      <c r="BW1028" s="716"/>
      <c r="BX1028" s="716"/>
      <c r="BY1028" s="716"/>
      <c r="BZ1028" s="716"/>
      <c r="CA1028" s="716"/>
    </row>
    <row r="1029" spans="1:79" s="700" customFormat="1" hidden="1" outlineLevel="1" x14ac:dyDescent="0.25">
      <c r="A1029" s="701"/>
      <c r="E1029" s="570" t="s">
        <v>1327</v>
      </c>
      <c r="F1029" s="701" t="s">
        <v>602</v>
      </c>
      <c r="G1029" s="765"/>
      <c r="H1029" s="736"/>
      <c r="I1029" s="736"/>
      <c r="J1029" s="736"/>
      <c r="K1029" s="736"/>
      <c r="L1029" s="736"/>
      <c r="M1029" s="736"/>
      <c r="N1029" s="736"/>
      <c r="O1029" s="736"/>
      <c r="P1029" s="736"/>
      <c r="Q1029" s="736"/>
      <c r="R1029" s="736"/>
      <c r="S1029" s="697"/>
      <c r="T1029" s="697"/>
      <c r="U1029" s="697"/>
      <c r="V1029" s="697"/>
      <c r="W1029" s="697"/>
      <c r="X1029" s="697"/>
      <c r="Y1029" s="697"/>
      <c r="Z1029" s="697"/>
      <c r="AA1029" s="697"/>
      <c r="AB1029" s="697"/>
      <c r="AC1029" s="697"/>
      <c r="AD1029" s="697"/>
      <c r="AE1029" s="697"/>
      <c r="AF1029" s="733"/>
      <c r="AG1029" s="697"/>
      <c r="AH1029" s="734"/>
      <c r="AI1029" s="734"/>
      <c r="AJ1029" s="734"/>
      <c r="AK1029" s="734"/>
      <c r="AL1029" s="734"/>
      <c r="AM1029" s="734"/>
      <c r="AN1029" s="734"/>
      <c r="AO1029" s="734"/>
      <c r="AP1029" s="734"/>
      <c r="AQ1029" s="734"/>
      <c r="AR1029" s="734"/>
      <c r="AS1029" s="734"/>
      <c r="AT1029" s="734"/>
      <c r="AU1029" s="734"/>
      <c r="AV1029" s="734"/>
      <c r="AW1029" s="734"/>
      <c r="AX1029" s="734"/>
      <c r="AY1029" s="734"/>
      <c r="AZ1029" s="734"/>
      <c r="BA1029" s="734"/>
      <c r="BB1029" s="734"/>
      <c r="BC1029" s="734"/>
      <c r="BD1029" s="734"/>
      <c r="BE1029" s="734"/>
      <c r="BF1029" s="734"/>
      <c r="BG1029" s="734"/>
      <c r="BH1029" s="734"/>
      <c r="BI1029" s="734"/>
      <c r="BJ1029" s="734"/>
      <c r="BK1029" s="734"/>
      <c r="BL1029" s="734"/>
      <c r="BM1029" s="734"/>
      <c r="BN1029" s="734"/>
      <c r="BO1029" s="734"/>
      <c r="BP1029" s="734"/>
      <c r="BQ1029" s="734"/>
      <c r="BR1029" s="734"/>
      <c r="BS1029" s="734"/>
      <c r="BT1029" s="734"/>
      <c r="BU1029" s="734"/>
      <c r="BV1029" s="734"/>
      <c r="BW1029" s="734"/>
      <c r="BX1029" s="734"/>
      <c r="BY1029" s="734"/>
      <c r="BZ1029" s="734"/>
      <c r="CA1029" s="734"/>
    </row>
    <row r="1030" spans="1:79" s="700" customFormat="1" hidden="1" outlineLevel="1" x14ac:dyDescent="0.25">
      <c r="A1030" s="701"/>
      <c r="E1030" s="570" t="s">
        <v>945</v>
      </c>
      <c r="F1030" s="701"/>
      <c r="G1030" s="765"/>
      <c r="H1030" s="736"/>
      <c r="I1030" s="736"/>
      <c r="J1030" s="736"/>
      <c r="K1030" s="736"/>
      <c r="L1030" s="736"/>
      <c r="M1030" s="736"/>
      <c r="N1030" s="736"/>
      <c r="O1030" s="736"/>
      <c r="P1030" s="736"/>
      <c r="Q1030" s="736"/>
      <c r="R1030" s="736"/>
      <c r="S1030" s="697"/>
      <c r="T1030" s="697"/>
      <c r="U1030" s="697"/>
      <c r="V1030" s="697"/>
      <c r="W1030" s="697"/>
      <c r="X1030" s="697"/>
      <c r="Y1030" s="697"/>
      <c r="Z1030" s="697"/>
      <c r="AA1030" s="697"/>
      <c r="AB1030" s="697"/>
      <c r="AC1030" s="697"/>
      <c r="AD1030" s="697"/>
      <c r="AE1030" s="697">
        <v>0</v>
      </c>
      <c r="AF1030" s="733">
        <v>0</v>
      </c>
      <c r="AG1030" s="697">
        <v>0</v>
      </c>
      <c r="AH1030" s="734"/>
      <c r="AI1030" s="734"/>
      <c r="AJ1030" s="734"/>
      <c r="AK1030" s="734"/>
      <c r="AL1030" s="734"/>
      <c r="AM1030" s="734"/>
      <c r="AN1030" s="734"/>
      <c r="AO1030" s="734"/>
      <c r="AP1030" s="734"/>
      <c r="AQ1030" s="734"/>
      <c r="AR1030" s="734"/>
      <c r="AS1030" s="734"/>
      <c r="AT1030" s="734"/>
      <c r="AU1030" s="734"/>
      <c r="AV1030" s="734"/>
      <c r="AW1030" s="734"/>
      <c r="AX1030" s="734"/>
      <c r="AY1030" s="734"/>
      <c r="AZ1030" s="734"/>
      <c r="BA1030" s="734"/>
      <c r="BB1030" s="734"/>
      <c r="BC1030" s="734"/>
      <c r="BD1030" s="734"/>
      <c r="BE1030" s="734"/>
      <c r="BF1030" s="734"/>
      <c r="BG1030" s="734"/>
      <c r="BH1030" s="734"/>
      <c r="BI1030" s="734"/>
      <c r="BJ1030" s="734"/>
      <c r="BK1030" s="734"/>
      <c r="BL1030" s="734"/>
      <c r="BM1030" s="734"/>
      <c r="BN1030" s="734"/>
      <c r="BO1030" s="734"/>
      <c r="BP1030" s="734"/>
      <c r="BQ1030" s="734"/>
      <c r="BR1030" s="734"/>
      <c r="BS1030" s="734"/>
      <c r="BT1030" s="734"/>
      <c r="BU1030" s="734"/>
      <c r="BV1030" s="734"/>
      <c r="BW1030" s="734"/>
      <c r="BX1030" s="734"/>
      <c r="BY1030" s="734"/>
      <c r="BZ1030" s="734"/>
      <c r="CA1030" s="734"/>
    </row>
    <row r="1031" spans="1:79" s="451" customFormat="1" hidden="1" outlineLevel="1" x14ac:dyDescent="0.25">
      <c r="A1031" s="656"/>
      <c r="B1031" s="79"/>
      <c r="C1031" s="79"/>
      <c r="D1031" s="79"/>
      <c r="E1031" s="570" t="s">
        <v>657</v>
      </c>
      <c r="F1031" s="656" t="s">
        <v>641</v>
      </c>
      <c r="G1031" s="723"/>
      <c r="H1031" s="718"/>
      <c r="I1031" s="718"/>
      <c r="J1031" s="718"/>
      <c r="K1031" s="718"/>
      <c r="L1031" s="718"/>
      <c r="M1031" s="718"/>
      <c r="N1031" s="718"/>
      <c r="O1031" s="718"/>
      <c r="P1031" s="718"/>
      <c r="Q1031" s="718"/>
      <c r="R1031" s="718"/>
      <c r="S1031" s="667">
        <v>3735.36</v>
      </c>
      <c r="T1031" s="667">
        <v>1589.32</v>
      </c>
      <c r="U1031" s="667">
        <v>2817.71</v>
      </c>
      <c r="V1031" s="667">
        <v>2604.85</v>
      </c>
      <c r="W1031" s="667">
        <v>2282.0300000000002</v>
      </c>
      <c r="X1031" s="667">
        <v>3341.21</v>
      </c>
      <c r="Y1031" s="667">
        <v>2796.62</v>
      </c>
      <c r="Z1031" s="667">
        <v>2756.05</v>
      </c>
      <c r="AA1031" s="667">
        <v>2782.52</v>
      </c>
      <c r="AB1031" s="667">
        <v>2838.62</v>
      </c>
      <c r="AC1031" s="666">
        <v>0</v>
      </c>
      <c r="AD1031" s="666">
        <v>0</v>
      </c>
      <c r="AE1031" s="667">
        <v>0</v>
      </c>
      <c r="AF1031" s="716">
        <v>0</v>
      </c>
      <c r="AG1031" s="666">
        <v>0</v>
      </c>
      <c r="AH1031" s="716"/>
      <c r="AI1031" s="716"/>
      <c r="AJ1031" s="716"/>
      <c r="AK1031" s="716"/>
      <c r="AL1031" s="716"/>
      <c r="AM1031" s="716"/>
      <c r="AN1031" s="716"/>
      <c r="AO1031" s="716"/>
      <c r="AP1031" s="716"/>
      <c r="AQ1031" s="716"/>
      <c r="AR1031" s="716"/>
      <c r="AS1031" s="716"/>
      <c r="AT1031" s="716"/>
      <c r="AU1031" s="716"/>
      <c r="AV1031" s="716"/>
      <c r="AW1031" s="716"/>
      <c r="AX1031" s="716"/>
      <c r="AY1031" s="716"/>
      <c r="AZ1031" s="716"/>
      <c r="BA1031" s="716"/>
      <c r="BB1031" s="716"/>
      <c r="BC1031" s="716"/>
      <c r="BD1031" s="716"/>
      <c r="BE1031" s="716"/>
      <c r="BF1031" s="716"/>
      <c r="BG1031" s="716"/>
      <c r="BH1031" s="716"/>
      <c r="BI1031" s="716"/>
      <c r="BJ1031" s="716"/>
      <c r="BK1031" s="716"/>
      <c r="BL1031" s="716"/>
      <c r="BM1031" s="716"/>
      <c r="BN1031" s="716"/>
      <c r="BO1031" s="716"/>
      <c r="BP1031" s="716"/>
      <c r="BQ1031" s="716"/>
      <c r="BR1031" s="716"/>
      <c r="BS1031" s="716"/>
      <c r="BT1031" s="716"/>
      <c r="BU1031" s="716"/>
      <c r="BV1031" s="716"/>
      <c r="BW1031" s="716"/>
      <c r="BX1031" s="716"/>
      <c r="BY1031" s="716"/>
      <c r="BZ1031" s="716"/>
      <c r="CA1031" s="716"/>
    </row>
    <row r="1032" spans="1:79" s="451" customFormat="1" hidden="1" outlineLevel="1" x14ac:dyDescent="0.25">
      <c r="A1032" s="656"/>
      <c r="B1032" s="576"/>
      <c r="C1032" s="576"/>
      <c r="D1032" s="576"/>
      <c r="E1032" s="570" t="s">
        <v>1327</v>
      </c>
      <c r="F1032" s="656" t="s">
        <v>906</v>
      </c>
      <c r="G1032" s="723"/>
      <c r="H1032" s="718"/>
      <c r="I1032" s="718"/>
      <c r="J1032" s="718"/>
      <c r="K1032" s="718"/>
      <c r="L1032" s="718"/>
      <c r="M1032" s="718"/>
      <c r="N1032" s="718"/>
      <c r="O1032" s="718"/>
      <c r="P1032" s="718"/>
      <c r="Q1032" s="718"/>
      <c r="R1032" s="718"/>
      <c r="S1032" s="676">
        <v>0</v>
      </c>
      <c r="T1032" s="676">
        <v>0</v>
      </c>
      <c r="U1032" s="676">
        <v>0</v>
      </c>
      <c r="V1032" s="676">
        <v>0</v>
      </c>
      <c r="W1032" s="676">
        <v>0</v>
      </c>
      <c r="X1032" s="676">
        <v>0</v>
      </c>
      <c r="Y1032" s="676">
        <v>0</v>
      </c>
      <c r="Z1032" s="676">
        <v>0</v>
      </c>
      <c r="AA1032" s="676">
        <v>0</v>
      </c>
      <c r="AB1032" s="676">
        <v>0</v>
      </c>
      <c r="AC1032" s="675">
        <v>0</v>
      </c>
      <c r="AD1032" s="675">
        <v>0</v>
      </c>
      <c r="AE1032" s="676">
        <v>0</v>
      </c>
      <c r="AF1032" s="716">
        <v>0</v>
      </c>
      <c r="AG1032" s="675">
        <v>0</v>
      </c>
      <c r="AH1032" s="716"/>
      <c r="AI1032" s="716"/>
      <c r="AJ1032" s="716"/>
      <c r="AK1032" s="716"/>
      <c r="AL1032" s="716"/>
      <c r="AM1032" s="716"/>
      <c r="AN1032" s="716"/>
      <c r="AO1032" s="716"/>
      <c r="AP1032" s="716"/>
      <c r="AQ1032" s="716"/>
      <c r="AR1032" s="716"/>
      <c r="AS1032" s="716"/>
      <c r="AT1032" s="716"/>
      <c r="AU1032" s="716"/>
      <c r="AV1032" s="716"/>
      <c r="AW1032" s="716"/>
      <c r="AX1032" s="716"/>
      <c r="AY1032" s="716"/>
      <c r="AZ1032" s="716"/>
      <c r="BA1032" s="716"/>
      <c r="BB1032" s="716"/>
      <c r="BC1032" s="716"/>
      <c r="BD1032" s="716"/>
      <c r="BE1032" s="716"/>
      <c r="BF1032" s="716"/>
      <c r="BG1032" s="716"/>
      <c r="BH1032" s="716"/>
      <c r="BI1032" s="716"/>
      <c r="BJ1032" s="716"/>
      <c r="BK1032" s="716"/>
      <c r="BL1032" s="716"/>
      <c r="BM1032" s="716"/>
      <c r="BN1032" s="716"/>
      <c r="BO1032" s="716"/>
      <c r="BP1032" s="716"/>
      <c r="BQ1032" s="716"/>
      <c r="BR1032" s="716"/>
      <c r="BS1032" s="716"/>
      <c r="BT1032" s="716"/>
      <c r="BU1032" s="716"/>
      <c r="BV1032" s="716"/>
      <c r="BW1032" s="716"/>
      <c r="BX1032" s="716"/>
      <c r="BY1032" s="716"/>
      <c r="BZ1032" s="716"/>
      <c r="CA1032" s="716"/>
    </row>
    <row r="1033" spans="1:79" s="451" customFormat="1" hidden="1" outlineLevel="1" x14ac:dyDescent="0.25">
      <c r="A1033" s="656"/>
      <c r="B1033" s="576"/>
      <c r="C1033" s="576"/>
      <c r="D1033" s="576"/>
      <c r="E1033" s="570" t="s">
        <v>1327</v>
      </c>
      <c r="F1033" s="656" t="s">
        <v>764</v>
      </c>
      <c r="G1033" s="719">
        <v>498.9166429974407</v>
      </c>
      <c r="H1033" s="716">
        <v>284.08237098686425</v>
      </c>
      <c r="I1033" s="716">
        <v>390.30392709956465</v>
      </c>
      <c r="J1033" s="716">
        <v>1704.5009249673008</v>
      </c>
      <c r="K1033" s="716">
        <v>759.21371792732486</v>
      </c>
      <c r="L1033" s="716">
        <v>859.60331974991266</v>
      </c>
      <c r="M1033" s="716">
        <v>697.64807902379493</v>
      </c>
      <c r="N1033" s="716">
        <v>-132.64392549054753</v>
      </c>
      <c r="O1033" s="716">
        <v>777.22941110747843</v>
      </c>
      <c r="P1033" s="716">
        <v>219.58314546146966</v>
      </c>
      <c r="Q1033" s="716">
        <v>390.2680809568779</v>
      </c>
      <c r="R1033" s="716">
        <v>2185.4290380057323</v>
      </c>
      <c r="S1033" s="676">
        <v>0</v>
      </c>
      <c r="T1033" s="676">
        <v>0</v>
      </c>
      <c r="U1033" s="676">
        <v>0</v>
      </c>
      <c r="V1033" s="676">
        <v>0</v>
      </c>
      <c r="W1033" s="676">
        <v>390</v>
      </c>
      <c r="X1033" s="676">
        <v>60</v>
      </c>
      <c r="Y1033" s="676">
        <v>60</v>
      </c>
      <c r="Z1033" s="676">
        <v>60</v>
      </c>
      <c r="AA1033" s="676">
        <v>60</v>
      </c>
      <c r="AB1033" s="676">
        <v>30</v>
      </c>
      <c r="AC1033" s="675">
        <v>60</v>
      </c>
      <c r="AD1033" s="675">
        <v>0</v>
      </c>
      <c r="AE1033" s="676">
        <v>0</v>
      </c>
      <c r="AF1033" s="716">
        <v>0</v>
      </c>
      <c r="AG1033" s="675">
        <v>0</v>
      </c>
      <c r="AH1033" s="716"/>
      <c r="AI1033" s="716"/>
      <c r="AJ1033" s="716"/>
      <c r="AK1033" s="716"/>
      <c r="AL1033" s="716"/>
      <c r="AM1033" s="716"/>
      <c r="AN1033" s="716"/>
      <c r="AO1033" s="716"/>
      <c r="AP1033" s="716"/>
      <c r="AQ1033" s="716"/>
      <c r="AR1033" s="716"/>
      <c r="AS1033" s="716"/>
      <c r="AT1033" s="716"/>
      <c r="AU1033" s="716"/>
      <c r="AV1033" s="716"/>
      <c r="AW1033" s="716"/>
      <c r="AX1033" s="716"/>
      <c r="AY1033" s="716"/>
      <c r="AZ1033" s="716"/>
      <c r="BA1033" s="716"/>
      <c r="BB1033" s="716"/>
      <c r="BC1033" s="716"/>
      <c r="BD1033" s="716"/>
      <c r="BE1033" s="716"/>
      <c r="BF1033" s="716"/>
      <c r="BG1033" s="716"/>
      <c r="BH1033" s="716"/>
      <c r="BI1033" s="716"/>
      <c r="BJ1033" s="716"/>
      <c r="BK1033" s="716"/>
      <c r="BL1033" s="716"/>
      <c r="BM1033" s="716"/>
      <c r="BN1033" s="716"/>
      <c r="BO1033" s="716"/>
      <c r="BP1033" s="716"/>
      <c r="BQ1033" s="716"/>
      <c r="BR1033" s="716"/>
      <c r="BS1033" s="716"/>
      <c r="BT1033" s="716"/>
      <c r="BU1033" s="716"/>
      <c r="BV1033" s="716"/>
      <c r="BW1033" s="716"/>
      <c r="BX1033" s="716"/>
      <c r="BY1033" s="716"/>
      <c r="BZ1033" s="716"/>
      <c r="CA1033" s="716"/>
    </row>
    <row r="1034" spans="1:79" s="308" customFormat="1" hidden="1" outlineLevel="1" x14ac:dyDescent="0.25">
      <c r="A1034" s="662"/>
      <c r="B1034" s="29"/>
      <c r="C1034" s="29"/>
      <c r="D1034" s="29"/>
      <c r="E1034" s="570" t="s">
        <v>49</v>
      </c>
      <c r="F1034" s="662" t="s">
        <v>642</v>
      </c>
      <c r="G1034" s="664">
        <f>SUM(G1031:G1033)</f>
        <v>498.9166429974407</v>
      </c>
      <c r="H1034" s="664">
        <f t="shared" ref="H1034:BO1034" si="431">SUM(H1031:H1033)</f>
        <v>284.08237098686425</v>
      </c>
      <c r="I1034" s="664">
        <f t="shared" si="431"/>
        <v>390.30392709956465</v>
      </c>
      <c r="J1034" s="664">
        <f t="shared" si="431"/>
        <v>1704.5009249673008</v>
      </c>
      <c r="K1034" s="664">
        <f t="shared" si="431"/>
        <v>759.21371792732486</v>
      </c>
      <c r="L1034" s="664">
        <f t="shared" si="431"/>
        <v>859.60331974991266</v>
      </c>
      <c r="M1034" s="664">
        <f t="shared" si="431"/>
        <v>697.64807902379493</v>
      </c>
      <c r="N1034" s="664">
        <f t="shared" si="431"/>
        <v>-132.64392549054753</v>
      </c>
      <c r="O1034" s="664">
        <f t="shared" si="431"/>
        <v>777.22941110747843</v>
      </c>
      <c r="P1034" s="664">
        <f t="shared" si="431"/>
        <v>219.58314546146966</v>
      </c>
      <c r="Q1034" s="664">
        <f t="shared" si="431"/>
        <v>390.2680809568779</v>
      </c>
      <c r="R1034" s="664">
        <f t="shared" si="431"/>
        <v>2185.4290380057323</v>
      </c>
      <c r="S1034" s="678">
        <f t="shared" ref="S1034:AA1034" si="432">ROUND(SUM(S1029:S1033),5)</f>
        <v>3735.36</v>
      </c>
      <c r="T1034" s="678">
        <f t="shared" si="432"/>
        <v>1589.32</v>
      </c>
      <c r="U1034" s="678">
        <f t="shared" si="432"/>
        <v>2817.71</v>
      </c>
      <c r="V1034" s="678">
        <f t="shared" si="432"/>
        <v>2604.85</v>
      </c>
      <c r="W1034" s="678">
        <f t="shared" si="432"/>
        <v>2672.03</v>
      </c>
      <c r="X1034" s="678">
        <f t="shared" si="432"/>
        <v>3401.21</v>
      </c>
      <c r="Y1034" s="678">
        <f t="shared" si="432"/>
        <v>2856.62</v>
      </c>
      <c r="Z1034" s="678">
        <f t="shared" si="432"/>
        <v>2816.05</v>
      </c>
      <c r="AA1034" s="678">
        <f t="shared" si="432"/>
        <v>2842.52</v>
      </c>
      <c r="AB1034" s="678">
        <f t="shared" ref="AB1034:AG1034" si="433">ROUND(SUM(AB1029:AB1033),5)</f>
        <v>2868.62</v>
      </c>
      <c r="AC1034" s="678">
        <f t="shared" si="433"/>
        <v>60</v>
      </c>
      <c r="AD1034" s="678">
        <f t="shared" si="433"/>
        <v>0</v>
      </c>
      <c r="AE1034" s="678">
        <f t="shared" si="433"/>
        <v>0</v>
      </c>
      <c r="AF1034" s="664">
        <f t="shared" si="433"/>
        <v>0</v>
      </c>
      <c r="AG1034" s="678">
        <f t="shared" si="433"/>
        <v>0</v>
      </c>
      <c r="AH1034" s="664">
        <f t="shared" si="431"/>
        <v>0</v>
      </c>
      <c r="AI1034" s="664">
        <f t="shared" si="431"/>
        <v>0</v>
      </c>
      <c r="AJ1034" s="664">
        <f t="shared" si="431"/>
        <v>0</v>
      </c>
      <c r="AK1034" s="664">
        <f t="shared" si="431"/>
        <v>0</v>
      </c>
      <c r="AL1034" s="664">
        <f t="shared" si="431"/>
        <v>0</v>
      </c>
      <c r="AM1034" s="664">
        <f t="shared" si="431"/>
        <v>0</v>
      </c>
      <c r="AN1034" s="664">
        <f t="shared" si="431"/>
        <v>0</v>
      </c>
      <c r="AO1034" s="664">
        <f t="shared" si="431"/>
        <v>0</v>
      </c>
      <c r="AP1034" s="664">
        <f t="shared" si="431"/>
        <v>0</v>
      </c>
      <c r="AQ1034" s="664">
        <f t="shared" si="431"/>
        <v>0</v>
      </c>
      <c r="AR1034" s="664">
        <f t="shared" si="431"/>
        <v>0</v>
      </c>
      <c r="AS1034" s="664">
        <f t="shared" si="431"/>
        <v>0</v>
      </c>
      <c r="AT1034" s="664">
        <f t="shared" si="431"/>
        <v>0</v>
      </c>
      <c r="AU1034" s="664">
        <f t="shared" si="431"/>
        <v>0</v>
      </c>
      <c r="AV1034" s="664">
        <f t="shared" si="431"/>
        <v>0</v>
      </c>
      <c r="AW1034" s="664">
        <f t="shared" si="431"/>
        <v>0</v>
      </c>
      <c r="AX1034" s="664">
        <f t="shared" si="431"/>
        <v>0</v>
      </c>
      <c r="AY1034" s="664">
        <f t="shared" si="431"/>
        <v>0</v>
      </c>
      <c r="AZ1034" s="664">
        <f t="shared" si="431"/>
        <v>0</v>
      </c>
      <c r="BA1034" s="664">
        <f t="shared" si="431"/>
        <v>0</v>
      </c>
      <c r="BB1034" s="664">
        <f t="shared" si="431"/>
        <v>0</v>
      </c>
      <c r="BC1034" s="664">
        <f t="shared" si="431"/>
        <v>0</v>
      </c>
      <c r="BD1034" s="664">
        <f t="shared" si="431"/>
        <v>0</v>
      </c>
      <c r="BE1034" s="664">
        <f t="shared" si="431"/>
        <v>0</v>
      </c>
      <c r="BF1034" s="664">
        <f t="shared" si="431"/>
        <v>0</v>
      </c>
      <c r="BG1034" s="664">
        <f t="shared" si="431"/>
        <v>0</v>
      </c>
      <c r="BH1034" s="664">
        <f t="shared" si="431"/>
        <v>0</v>
      </c>
      <c r="BI1034" s="664">
        <f t="shared" si="431"/>
        <v>0</v>
      </c>
      <c r="BJ1034" s="664">
        <f t="shared" si="431"/>
        <v>0</v>
      </c>
      <c r="BK1034" s="664">
        <f t="shared" si="431"/>
        <v>0</v>
      </c>
      <c r="BL1034" s="664">
        <f t="shared" si="431"/>
        <v>0</v>
      </c>
      <c r="BM1034" s="664">
        <f t="shared" si="431"/>
        <v>0</v>
      </c>
      <c r="BN1034" s="664">
        <f t="shared" si="431"/>
        <v>0</v>
      </c>
      <c r="BO1034" s="664">
        <f t="shared" si="431"/>
        <v>0</v>
      </c>
      <c r="BP1034" s="664">
        <f t="shared" ref="BP1034:CA1034" si="434">SUM(BP1031:BP1033)</f>
        <v>0</v>
      </c>
      <c r="BQ1034" s="664">
        <f t="shared" si="434"/>
        <v>0</v>
      </c>
      <c r="BR1034" s="664">
        <f t="shared" si="434"/>
        <v>0</v>
      </c>
      <c r="BS1034" s="664">
        <f t="shared" si="434"/>
        <v>0</v>
      </c>
      <c r="BT1034" s="664">
        <f t="shared" si="434"/>
        <v>0</v>
      </c>
      <c r="BU1034" s="664">
        <f t="shared" si="434"/>
        <v>0</v>
      </c>
      <c r="BV1034" s="664">
        <f t="shared" si="434"/>
        <v>0</v>
      </c>
      <c r="BW1034" s="664">
        <f t="shared" si="434"/>
        <v>0</v>
      </c>
      <c r="BX1034" s="664">
        <f t="shared" si="434"/>
        <v>0</v>
      </c>
      <c r="BY1034" s="664">
        <f t="shared" si="434"/>
        <v>0</v>
      </c>
      <c r="BZ1034" s="664">
        <f t="shared" si="434"/>
        <v>0</v>
      </c>
      <c r="CA1034" s="664">
        <f t="shared" si="434"/>
        <v>0</v>
      </c>
    </row>
    <row r="1035" spans="1:79" s="308" customFormat="1" hidden="1" outlineLevel="1" x14ac:dyDescent="0.25">
      <c r="A1035" s="658"/>
      <c r="B1035" s="29"/>
      <c r="C1035" s="29"/>
      <c r="D1035" s="29"/>
      <c r="E1035" s="570" t="s">
        <v>922</v>
      </c>
      <c r="F1035" s="658" t="s">
        <v>603</v>
      </c>
      <c r="G1035" s="719"/>
      <c r="H1035" s="716">
        <v>26.402830225935567</v>
      </c>
      <c r="I1035" s="716">
        <v>27.201046272445318</v>
      </c>
      <c r="J1035" s="716">
        <v>34.139549047222303</v>
      </c>
      <c r="K1035" s="716">
        <v>67.867858470368674</v>
      </c>
      <c r="L1035" s="716"/>
      <c r="M1035" s="716">
        <v>7.7773191170385223</v>
      </c>
      <c r="N1035" s="716"/>
      <c r="O1035" s="716"/>
      <c r="P1035" s="716">
        <v>1.8970071046788781</v>
      </c>
      <c r="Q1035" s="716"/>
      <c r="R1035" s="716"/>
      <c r="S1035" s="667">
        <v>0</v>
      </c>
      <c r="T1035" s="667">
        <v>0</v>
      </c>
      <c r="U1035" s="667">
        <v>0</v>
      </c>
      <c r="V1035" s="667">
        <v>0</v>
      </c>
      <c r="W1035" s="667">
        <v>380.41</v>
      </c>
      <c r="X1035" s="667">
        <v>0</v>
      </c>
      <c r="Y1035" s="667">
        <v>0</v>
      </c>
      <c r="Z1035" s="667">
        <v>0</v>
      </c>
      <c r="AA1035" s="667">
        <v>0</v>
      </c>
      <c r="AB1035" s="667">
        <v>0</v>
      </c>
      <c r="AC1035" s="666">
        <v>2017.9</v>
      </c>
      <c r="AD1035" s="666">
        <v>0</v>
      </c>
      <c r="AE1035" s="667">
        <v>0</v>
      </c>
      <c r="AF1035" s="716">
        <v>0</v>
      </c>
      <c r="AG1035" s="666">
        <v>0</v>
      </c>
      <c r="AH1035" s="716"/>
      <c r="AI1035" s="716"/>
      <c r="AJ1035" s="716"/>
      <c r="AK1035" s="716"/>
      <c r="AL1035" s="716"/>
      <c r="AM1035" s="716"/>
      <c r="AN1035" s="716"/>
      <c r="AO1035" s="716"/>
      <c r="AP1035" s="716"/>
      <c r="AQ1035" s="716"/>
      <c r="AR1035" s="716"/>
      <c r="AS1035" s="716"/>
      <c r="AT1035" s="716"/>
      <c r="AU1035" s="716"/>
      <c r="AV1035" s="716"/>
      <c r="AW1035" s="716"/>
      <c r="AX1035" s="716"/>
      <c r="AY1035" s="716"/>
      <c r="AZ1035" s="716"/>
      <c r="BA1035" s="716"/>
      <c r="BB1035" s="716"/>
      <c r="BC1035" s="716"/>
      <c r="BD1035" s="716"/>
      <c r="BE1035" s="716"/>
      <c r="BF1035" s="716"/>
      <c r="BG1035" s="716"/>
      <c r="BH1035" s="716"/>
      <c r="BI1035" s="716"/>
      <c r="BJ1035" s="716"/>
      <c r="BK1035" s="716"/>
      <c r="BL1035" s="716"/>
      <c r="BM1035" s="716"/>
      <c r="BN1035" s="716"/>
      <c r="BO1035" s="716"/>
      <c r="BP1035" s="716"/>
      <c r="BQ1035" s="716"/>
      <c r="BR1035" s="716"/>
      <c r="BS1035" s="716"/>
      <c r="BT1035" s="716"/>
      <c r="BU1035" s="716"/>
      <c r="BV1035" s="716"/>
      <c r="BW1035" s="716"/>
      <c r="BX1035" s="716"/>
      <c r="BY1035" s="716"/>
      <c r="BZ1035" s="716"/>
      <c r="CA1035" s="716"/>
    </row>
    <row r="1036" spans="1:79" s="308" customFormat="1" hidden="1" outlineLevel="1" x14ac:dyDescent="0.25">
      <c r="A1036" s="658"/>
      <c r="B1036" s="29"/>
      <c r="C1036" s="29"/>
      <c r="D1036" s="29"/>
      <c r="E1036" s="570" t="s">
        <v>918</v>
      </c>
      <c r="F1036" s="658" t="s">
        <v>604</v>
      </c>
      <c r="G1036" s="719">
        <v>166.69515673803267</v>
      </c>
      <c r="H1036" s="716">
        <v>26.520637690201514</v>
      </c>
      <c r="I1036" s="716">
        <v>16.653701799456318</v>
      </c>
      <c r="J1036" s="716">
        <v>2683.6246017295275</v>
      </c>
      <c r="K1036" s="716">
        <v>138.34601918959768</v>
      </c>
      <c r="L1036" s="716">
        <v>2204.2635476173446</v>
      </c>
      <c r="M1036" s="716">
        <v>1866.5488107701285</v>
      </c>
      <c r="N1036" s="716">
        <v>1953.8926965899468</v>
      </c>
      <c r="O1036" s="716">
        <v>13.224621937637316</v>
      </c>
      <c r="P1036" s="716">
        <v>1164.6089782585323</v>
      </c>
      <c r="Q1036" s="716"/>
      <c r="R1036" s="716"/>
      <c r="S1036" s="667">
        <v>0</v>
      </c>
      <c r="T1036" s="667">
        <v>0</v>
      </c>
      <c r="U1036" s="667">
        <v>0</v>
      </c>
      <c r="V1036" s="667">
        <v>0</v>
      </c>
      <c r="W1036" s="667">
        <v>0</v>
      </c>
      <c r="X1036" s="667">
        <v>0</v>
      </c>
      <c r="Y1036" s="667">
        <v>0</v>
      </c>
      <c r="Z1036" s="667">
        <v>0</v>
      </c>
      <c r="AA1036" s="667">
        <v>0</v>
      </c>
      <c r="AB1036" s="667">
        <v>0</v>
      </c>
      <c r="AC1036" s="666">
        <v>0</v>
      </c>
      <c r="AD1036" s="666">
        <v>0</v>
      </c>
      <c r="AE1036" s="667">
        <v>0</v>
      </c>
      <c r="AF1036" s="716">
        <v>0</v>
      </c>
      <c r="AG1036" s="666">
        <v>0</v>
      </c>
      <c r="AH1036" s="716"/>
      <c r="AI1036" s="716"/>
      <c r="AJ1036" s="716"/>
      <c r="AK1036" s="716"/>
      <c r="AL1036" s="716"/>
      <c r="AM1036" s="716"/>
      <c r="AN1036" s="716"/>
      <c r="AO1036" s="716"/>
      <c r="AP1036" s="716"/>
      <c r="AQ1036" s="716"/>
      <c r="AR1036" s="716"/>
      <c r="AS1036" s="716"/>
      <c r="AT1036" s="716"/>
      <c r="AU1036" s="716"/>
      <c r="AV1036" s="716"/>
      <c r="AW1036" s="716"/>
      <c r="AX1036" s="716"/>
      <c r="AY1036" s="716"/>
      <c r="AZ1036" s="716"/>
      <c r="BA1036" s="716"/>
      <c r="BB1036" s="716"/>
      <c r="BC1036" s="716"/>
      <c r="BD1036" s="716"/>
      <c r="BE1036" s="716"/>
      <c r="BF1036" s="716"/>
      <c r="BG1036" s="716"/>
      <c r="BH1036" s="716"/>
      <c r="BI1036" s="716"/>
      <c r="BJ1036" s="716"/>
      <c r="BK1036" s="716"/>
      <c r="BL1036" s="716"/>
      <c r="BM1036" s="716"/>
      <c r="BN1036" s="716"/>
      <c r="BO1036" s="716"/>
      <c r="BP1036" s="716"/>
      <c r="BQ1036" s="716"/>
      <c r="BR1036" s="716"/>
      <c r="BS1036" s="716"/>
      <c r="BT1036" s="716"/>
      <c r="BU1036" s="716"/>
      <c r="BV1036" s="716"/>
      <c r="BW1036" s="716"/>
      <c r="BX1036" s="716"/>
      <c r="BY1036" s="716"/>
      <c r="BZ1036" s="716"/>
      <c r="CA1036" s="716"/>
    </row>
    <row r="1037" spans="1:79" s="710" customFormat="1" hidden="1" outlineLevel="1" x14ac:dyDescent="0.25">
      <c r="A1037" s="701"/>
      <c r="E1037" s="570" t="s">
        <v>1341</v>
      </c>
      <c r="F1037" s="701" t="s">
        <v>652</v>
      </c>
      <c r="G1037" s="733"/>
      <c r="H1037" s="734"/>
      <c r="I1037" s="734"/>
      <c r="J1037" s="734"/>
      <c r="K1037" s="734"/>
      <c r="L1037" s="734"/>
      <c r="M1037" s="734"/>
      <c r="N1037" s="734"/>
      <c r="O1037" s="734"/>
      <c r="P1037" s="734"/>
      <c r="Q1037" s="734"/>
      <c r="R1037" s="734"/>
      <c r="S1037" s="704"/>
      <c r="T1037" s="704"/>
      <c r="U1037" s="704"/>
      <c r="V1037" s="704"/>
      <c r="W1037" s="704"/>
      <c r="X1037" s="704"/>
      <c r="Y1037" s="704"/>
      <c r="Z1037" s="704"/>
      <c r="AA1037" s="704"/>
      <c r="AB1037" s="704"/>
      <c r="AC1037" s="704"/>
      <c r="AD1037" s="704"/>
      <c r="AE1037" s="704"/>
      <c r="AF1037" s="734"/>
      <c r="AG1037" s="704"/>
      <c r="AH1037" s="734"/>
      <c r="AI1037" s="734"/>
      <c r="AJ1037" s="734"/>
      <c r="AK1037" s="734"/>
      <c r="AL1037" s="734"/>
      <c r="AM1037" s="734"/>
      <c r="AN1037" s="734"/>
      <c r="AO1037" s="734"/>
      <c r="AP1037" s="734"/>
      <c r="AQ1037" s="734"/>
      <c r="AR1037" s="734"/>
      <c r="AS1037" s="734"/>
      <c r="AT1037" s="734"/>
      <c r="AU1037" s="734"/>
      <c r="AV1037" s="734"/>
      <c r="AW1037" s="734"/>
      <c r="AX1037" s="734"/>
      <c r="AY1037" s="734"/>
      <c r="AZ1037" s="734"/>
      <c r="BA1037" s="734"/>
      <c r="BB1037" s="734"/>
      <c r="BC1037" s="734"/>
      <c r="BD1037" s="734"/>
      <c r="BE1037" s="734"/>
      <c r="BF1037" s="734"/>
      <c r="BG1037" s="734"/>
      <c r="BH1037" s="734"/>
      <c r="BI1037" s="734"/>
      <c r="BJ1037" s="734"/>
      <c r="BK1037" s="734"/>
      <c r="BL1037" s="734"/>
      <c r="BM1037" s="734"/>
      <c r="BN1037" s="734"/>
      <c r="BO1037" s="734"/>
      <c r="BP1037" s="734"/>
      <c r="BQ1037" s="734"/>
      <c r="BR1037" s="734"/>
      <c r="BS1037" s="734"/>
      <c r="BT1037" s="734"/>
      <c r="BU1037" s="734"/>
      <c r="BV1037" s="734"/>
      <c r="BW1037" s="734"/>
      <c r="BX1037" s="734"/>
      <c r="BY1037" s="734"/>
      <c r="BZ1037" s="734"/>
      <c r="CA1037" s="734"/>
    </row>
    <row r="1038" spans="1:79" s="308" customFormat="1" hidden="1" outlineLevel="1" x14ac:dyDescent="0.25">
      <c r="A1038" s="656"/>
      <c r="B1038" s="571"/>
      <c r="C1038" s="571"/>
      <c r="D1038" s="571"/>
      <c r="E1038" s="570" t="s">
        <v>1341</v>
      </c>
      <c r="F1038" s="656" t="s">
        <v>653</v>
      </c>
      <c r="G1038" s="719"/>
      <c r="H1038" s="716"/>
      <c r="I1038" s="716"/>
      <c r="J1038" s="716"/>
      <c r="K1038" s="716"/>
      <c r="L1038" s="716"/>
      <c r="M1038" s="716"/>
      <c r="N1038" s="716"/>
      <c r="O1038" s="716"/>
      <c r="P1038" s="716"/>
      <c r="Q1038" s="716"/>
      <c r="R1038" s="716"/>
      <c r="S1038" s="667">
        <v>0</v>
      </c>
      <c r="T1038" s="667">
        <v>0</v>
      </c>
      <c r="U1038" s="667">
        <v>0</v>
      </c>
      <c r="V1038" s="667">
        <v>0</v>
      </c>
      <c r="W1038" s="667">
        <v>0</v>
      </c>
      <c r="X1038" s="667">
        <v>0</v>
      </c>
      <c r="Y1038" s="667">
        <v>0</v>
      </c>
      <c r="Z1038" s="667">
        <v>0</v>
      </c>
      <c r="AA1038" s="667">
        <v>0</v>
      </c>
      <c r="AB1038" s="667">
        <v>0</v>
      </c>
      <c r="AC1038" s="666">
        <v>0</v>
      </c>
      <c r="AD1038" s="666">
        <v>0</v>
      </c>
      <c r="AE1038" s="667">
        <v>0</v>
      </c>
      <c r="AF1038" s="716">
        <v>0</v>
      </c>
      <c r="AG1038" s="666">
        <v>0</v>
      </c>
      <c r="AH1038" s="716"/>
      <c r="AI1038" s="716"/>
      <c r="AJ1038" s="716"/>
      <c r="AK1038" s="716"/>
      <c r="AL1038" s="716"/>
      <c r="AM1038" s="716"/>
      <c r="AN1038" s="716"/>
      <c r="AO1038" s="716"/>
      <c r="AP1038" s="716"/>
      <c r="AQ1038" s="716"/>
      <c r="AR1038" s="716"/>
      <c r="AS1038" s="716"/>
      <c r="AT1038" s="716"/>
      <c r="AU1038" s="716"/>
      <c r="AV1038" s="716"/>
      <c r="AW1038" s="716"/>
      <c r="AX1038" s="716"/>
      <c r="AY1038" s="716"/>
      <c r="AZ1038" s="716"/>
      <c r="BA1038" s="716"/>
      <c r="BB1038" s="716"/>
      <c r="BC1038" s="716"/>
      <c r="BD1038" s="716"/>
      <c r="BE1038" s="716"/>
      <c r="BF1038" s="716"/>
      <c r="BG1038" s="716"/>
      <c r="BH1038" s="716"/>
      <c r="BI1038" s="716"/>
      <c r="BJ1038" s="716"/>
      <c r="BK1038" s="716"/>
      <c r="BL1038" s="716"/>
      <c r="BM1038" s="716"/>
      <c r="BN1038" s="716"/>
      <c r="BO1038" s="716"/>
      <c r="BP1038" s="716"/>
      <c r="BQ1038" s="716"/>
      <c r="BR1038" s="716"/>
      <c r="BS1038" s="716"/>
      <c r="BT1038" s="716"/>
      <c r="BU1038" s="716"/>
      <c r="BV1038" s="716"/>
      <c r="BW1038" s="716"/>
      <c r="BX1038" s="716"/>
      <c r="BY1038" s="716"/>
      <c r="BZ1038" s="716"/>
      <c r="CA1038" s="716"/>
    </row>
    <row r="1039" spans="1:79" s="308" customFormat="1" hidden="1" outlineLevel="1" x14ac:dyDescent="0.25">
      <c r="A1039" s="656"/>
      <c r="B1039" s="571"/>
      <c r="C1039" s="571"/>
      <c r="D1039" s="571"/>
      <c r="E1039" s="570" t="s">
        <v>1341</v>
      </c>
      <c r="F1039" s="656" t="s">
        <v>907</v>
      </c>
      <c r="G1039" s="719"/>
      <c r="H1039" s="716"/>
      <c r="I1039" s="716"/>
      <c r="J1039" s="716"/>
      <c r="K1039" s="716"/>
      <c r="L1039" s="716"/>
      <c r="M1039" s="716"/>
      <c r="N1039" s="716"/>
      <c r="O1039" s="716"/>
      <c r="P1039" s="716"/>
      <c r="Q1039" s="716"/>
      <c r="R1039" s="716"/>
      <c r="S1039" s="667">
        <v>0</v>
      </c>
      <c r="T1039" s="667">
        <v>0</v>
      </c>
      <c r="U1039" s="667">
        <v>0</v>
      </c>
      <c r="V1039" s="667">
        <v>0</v>
      </c>
      <c r="W1039" s="667">
        <v>0</v>
      </c>
      <c r="X1039" s="667">
        <v>0</v>
      </c>
      <c r="Y1039" s="667">
        <v>0</v>
      </c>
      <c r="Z1039" s="667">
        <v>0</v>
      </c>
      <c r="AA1039" s="667">
        <v>0</v>
      </c>
      <c r="AB1039" s="667">
        <v>0</v>
      </c>
      <c r="AC1039" s="666">
        <v>0</v>
      </c>
      <c r="AD1039" s="666">
        <v>0</v>
      </c>
      <c r="AE1039" s="667">
        <v>0</v>
      </c>
      <c r="AF1039" s="716">
        <v>0</v>
      </c>
      <c r="AG1039" s="666">
        <v>0</v>
      </c>
      <c r="AH1039" s="716"/>
      <c r="AI1039" s="716"/>
      <c r="AJ1039" s="716"/>
      <c r="AK1039" s="716"/>
      <c r="AL1039" s="716"/>
      <c r="AM1039" s="716"/>
      <c r="AN1039" s="716"/>
      <c r="AO1039" s="716"/>
      <c r="AP1039" s="716"/>
      <c r="AQ1039" s="716"/>
      <c r="AR1039" s="716"/>
      <c r="AS1039" s="716"/>
      <c r="AT1039" s="716"/>
      <c r="AU1039" s="716"/>
      <c r="AV1039" s="716"/>
      <c r="AW1039" s="716"/>
      <c r="AX1039" s="716"/>
      <c r="AY1039" s="716"/>
      <c r="AZ1039" s="716"/>
      <c r="BA1039" s="716"/>
      <c r="BB1039" s="716"/>
      <c r="BC1039" s="716"/>
      <c r="BD1039" s="716"/>
      <c r="BE1039" s="716"/>
      <c r="BF1039" s="716"/>
      <c r="BG1039" s="716"/>
      <c r="BH1039" s="716"/>
      <c r="BI1039" s="716"/>
      <c r="BJ1039" s="716"/>
      <c r="BK1039" s="716"/>
      <c r="BL1039" s="716"/>
      <c r="BM1039" s="716"/>
      <c r="BN1039" s="716"/>
      <c r="BO1039" s="716"/>
      <c r="BP1039" s="716"/>
      <c r="BQ1039" s="716"/>
      <c r="BR1039" s="716"/>
      <c r="BS1039" s="716"/>
      <c r="BT1039" s="716"/>
      <c r="BU1039" s="716"/>
      <c r="BV1039" s="716"/>
      <c r="BW1039" s="716"/>
      <c r="BX1039" s="716"/>
      <c r="BY1039" s="716"/>
      <c r="BZ1039" s="716"/>
      <c r="CA1039" s="716"/>
    </row>
    <row r="1040" spans="1:79" s="308" customFormat="1" hidden="1" outlineLevel="1" x14ac:dyDescent="0.25">
      <c r="A1040" s="656"/>
      <c r="B1040" s="571"/>
      <c r="C1040" s="571"/>
      <c r="D1040" s="571"/>
      <c r="E1040" s="570" t="s">
        <v>1341</v>
      </c>
      <c r="F1040" s="656" t="s">
        <v>908</v>
      </c>
      <c r="G1040" s="719"/>
      <c r="H1040" s="716"/>
      <c r="I1040" s="716"/>
      <c r="J1040" s="716"/>
      <c r="K1040" s="716"/>
      <c r="L1040" s="716"/>
      <c r="M1040" s="716"/>
      <c r="N1040" s="716"/>
      <c r="O1040" s="716"/>
      <c r="P1040" s="716"/>
      <c r="Q1040" s="716"/>
      <c r="R1040" s="716"/>
      <c r="S1040" s="667">
        <v>0</v>
      </c>
      <c r="T1040" s="667">
        <v>0</v>
      </c>
      <c r="U1040" s="667">
        <v>0</v>
      </c>
      <c r="V1040" s="667">
        <v>0</v>
      </c>
      <c r="W1040" s="667">
        <v>0</v>
      </c>
      <c r="X1040" s="667">
        <v>0</v>
      </c>
      <c r="Y1040" s="667">
        <v>0</v>
      </c>
      <c r="Z1040" s="667">
        <v>0</v>
      </c>
      <c r="AA1040" s="667">
        <v>0</v>
      </c>
      <c r="AB1040" s="667">
        <v>0</v>
      </c>
      <c r="AC1040" s="666">
        <v>0</v>
      </c>
      <c r="AD1040" s="666">
        <v>0</v>
      </c>
      <c r="AE1040" s="667">
        <v>0</v>
      </c>
      <c r="AF1040" s="716">
        <v>0</v>
      </c>
      <c r="AG1040" s="666">
        <v>0</v>
      </c>
      <c r="AH1040" s="716"/>
      <c r="AI1040" s="716"/>
      <c r="AJ1040" s="716"/>
      <c r="AK1040" s="716"/>
      <c r="AL1040" s="716"/>
      <c r="AM1040" s="716"/>
      <c r="AN1040" s="716"/>
      <c r="AO1040" s="716"/>
      <c r="AP1040" s="716"/>
      <c r="AQ1040" s="716"/>
      <c r="AR1040" s="716"/>
      <c r="AS1040" s="716"/>
      <c r="AT1040" s="716"/>
      <c r="AU1040" s="716"/>
      <c r="AV1040" s="716"/>
      <c r="AW1040" s="716"/>
      <c r="AX1040" s="716"/>
      <c r="AY1040" s="716"/>
      <c r="AZ1040" s="716"/>
      <c r="BA1040" s="716"/>
      <c r="BB1040" s="716"/>
      <c r="BC1040" s="716"/>
      <c r="BD1040" s="716"/>
      <c r="BE1040" s="716"/>
      <c r="BF1040" s="716"/>
      <c r="BG1040" s="716"/>
      <c r="BH1040" s="716"/>
      <c r="BI1040" s="716"/>
      <c r="BJ1040" s="716"/>
      <c r="BK1040" s="716"/>
      <c r="BL1040" s="716"/>
      <c r="BM1040" s="716"/>
      <c r="BN1040" s="716"/>
      <c r="BO1040" s="716"/>
      <c r="BP1040" s="716"/>
      <c r="BQ1040" s="716"/>
      <c r="BR1040" s="716"/>
      <c r="BS1040" s="716"/>
      <c r="BT1040" s="716"/>
      <c r="BU1040" s="716"/>
      <c r="BV1040" s="716"/>
      <c r="BW1040" s="716"/>
      <c r="BX1040" s="716"/>
      <c r="BY1040" s="716"/>
      <c r="BZ1040" s="716"/>
      <c r="CA1040" s="716"/>
    </row>
    <row r="1041" spans="1:79" s="308" customFormat="1" hidden="1" outlineLevel="1" x14ac:dyDescent="0.25">
      <c r="A1041" s="656"/>
      <c r="B1041" s="29"/>
      <c r="C1041" s="29"/>
      <c r="D1041" s="29"/>
      <c r="E1041" s="570" t="s">
        <v>1341</v>
      </c>
      <c r="F1041" s="656" t="s">
        <v>654</v>
      </c>
      <c r="G1041" s="719"/>
      <c r="H1041" s="716"/>
      <c r="I1041" s="716"/>
      <c r="J1041" s="716">
        <v>324.3257159486119</v>
      </c>
      <c r="K1041" s="716"/>
      <c r="L1041" s="716">
        <v>597.0025751496371</v>
      </c>
      <c r="M1041" s="716"/>
      <c r="N1041" s="716"/>
      <c r="O1041" s="716"/>
      <c r="P1041" s="716"/>
      <c r="Q1041" s="716"/>
      <c r="R1041" s="716">
        <v>-179.7820722166509</v>
      </c>
      <c r="S1041" s="667">
        <v>0</v>
      </c>
      <c r="T1041" s="667">
        <v>0</v>
      </c>
      <c r="U1041" s="667">
        <v>0</v>
      </c>
      <c r="V1041" s="667">
        <v>0</v>
      </c>
      <c r="W1041" s="667">
        <v>0</v>
      </c>
      <c r="X1041" s="667">
        <v>0</v>
      </c>
      <c r="Y1041" s="667">
        <v>0</v>
      </c>
      <c r="Z1041" s="667">
        <v>0</v>
      </c>
      <c r="AA1041" s="667">
        <v>0</v>
      </c>
      <c r="AB1041" s="667">
        <v>0</v>
      </c>
      <c r="AC1041" s="666">
        <v>0</v>
      </c>
      <c r="AD1041" s="666">
        <v>0</v>
      </c>
      <c r="AE1041" s="667">
        <v>0</v>
      </c>
      <c r="AF1041" s="716">
        <v>0</v>
      </c>
      <c r="AG1041" s="666">
        <v>0</v>
      </c>
      <c r="AH1041" s="716"/>
      <c r="AI1041" s="716"/>
      <c r="AJ1041" s="716"/>
      <c r="AK1041" s="716"/>
      <c r="AL1041" s="716"/>
      <c r="AM1041" s="716"/>
      <c r="AN1041" s="716"/>
      <c r="AO1041" s="716"/>
      <c r="AP1041" s="716"/>
      <c r="AQ1041" s="716"/>
      <c r="AR1041" s="716"/>
      <c r="AS1041" s="716"/>
      <c r="AT1041" s="716"/>
      <c r="AU1041" s="716"/>
      <c r="AV1041" s="716"/>
      <c r="AW1041" s="716"/>
      <c r="AX1041" s="716"/>
      <c r="AY1041" s="716"/>
      <c r="AZ1041" s="716"/>
      <c r="BA1041" s="716"/>
      <c r="BB1041" s="716"/>
      <c r="BC1041" s="716"/>
      <c r="BD1041" s="716"/>
      <c r="BE1041" s="716"/>
      <c r="BF1041" s="716"/>
      <c r="BG1041" s="716"/>
      <c r="BH1041" s="716"/>
      <c r="BI1041" s="716"/>
      <c r="BJ1041" s="716"/>
      <c r="BK1041" s="716"/>
      <c r="BL1041" s="716"/>
      <c r="BM1041" s="716"/>
      <c r="BN1041" s="716"/>
      <c r="BO1041" s="716"/>
      <c r="BP1041" s="716"/>
      <c r="BQ1041" s="716"/>
      <c r="BR1041" s="716"/>
      <c r="BS1041" s="716"/>
      <c r="BT1041" s="716"/>
      <c r="BU1041" s="716"/>
      <c r="BV1041" s="716"/>
      <c r="BW1041" s="716"/>
      <c r="BX1041" s="716"/>
      <c r="BY1041" s="716"/>
      <c r="BZ1041" s="716"/>
      <c r="CA1041" s="716"/>
    </row>
    <row r="1042" spans="1:79" s="308" customFormat="1" hidden="1" outlineLevel="1" x14ac:dyDescent="0.25">
      <c r="A1042" s="656"/>
      <c r="B1042" s="29"/>
      <c r="C1042" s="29"/>
      <c r="D1042" s="29"/>
      <c r="E1042" s="570" t="s">
        <v>1341</v>
      </c>
      <c r="F1042" s="656" t="s">
        <v>909</v>
      </c>
      <c r="G1042" s="719"/>
      <c r="H1042" s="716"/>
      <c r="I1042" s="716">
        <v>-490.39600565465702</v>
      </c>
      <c r="J1042" s="716"/>
      <c r="K1042" s="716"/>
      <c r="L1042" s="716"/>
      <c r="M1042" s="716"/>
      <c r="N1042" s="716"/>
      <c r="O1042" s="716"/>
      <c r="P1042" s="716"/>
      <c r="Q1042" s="716"/>
      <c r="R1042" s="716"/>
      <c r="S1042" s="667">
        <v>0</v>
      </c>
      <c r="T1042" s="667">
        <v>0</v>
      </c>
      <c r="U1042" s="667">
        <v>0</v>
      </c>
      <c r="V1042" s="667">
        <v>0</v>
      </c>
      <c r="W1042" s="667">
        <v>0</v>
      </c>
      <c r="X1042" s="667">
        <v>0</v>
      </c>
      <c r="Y1042" s="667">
        <v>0</v>
      </c>
      <c r="Z1042" s="667">
        <v>0</v>
      </c>
      <c r="AA1042" s="667">
        <v>0</v>
      </c>
      <c r="AB1042" s="667">
        <v>0</v>
      </c>
      <c r="AC1042" s="666">
        <v>0</v>
      </c>
      <c r="AD1042" s="666">
        <v>0</v>
      </c>
      <c r="AE1042" s="667">
        <v>0</v>
      </c>
      <c r="AF1042" s="716">
        <v>0</v>
      </c>
      <c r="AG1042" s="666">
        <v>0</v>
      </c>
      <c r="AH1042" s="716"/>
      <c r="AI1042" s="716"/>
      <c r="AJ1042" s="716"/>
      <c r="AK1042" s="716"/>
      <c r="AL1042" s="716"/>
      <c r="AM1042" s="716"/>
      <c r="AN1042" s="716"/>
      <c r="AO1042" s="716"/>
      <c r="AP1042" s="716"/>
      <c r="AQ1042" s="716"/>
      <c r="AR1042" s="716"/>
      <c r="AS1042" s="716"/>
      <c r="AT1042" s="716"/>
      <c r="AU1042" s="716"/>
      <c r="AV1042" s="716"/>
      <c r="AW1042" s="716"/>
      <c r="AX1042" s="716"/>
      <c r="AY1042" s="716"/>
      <c r="AZ1042" s="716"/>
      <c r="BA1042" s="716"/>
      <c r="BB1042" s="716"/>
      <c r="BC1042" s="716"/>
      <c r="BD1042" s="716"/>
      <c r="BE1042" s="716"/>
      <c r="BF1042" s="716"/>
      <c r="BG1042" s="716"/>
      <c r="BH1042" s="716"/>
      <c r="BI1042" s="716"/>
      <c r="BJ1042" s="716"/>
      <c r="BK1042" s="716"/>
      <c r="BL1042" s="716"/>
      <c r="BM1042" s="716"/>
      <c r="BN1042" s="716"/>
      <c r="BO1042" s="716"/>
      <c r="BP1042" s="716"/>
      <c r="BQ1042" s="716"/>
      <c r="BR1042" s="716"/>
      <c r="BS1042" s="716"/>
      <c r="BT1042" s="716"/>
      <c r="BU1042" s="716"/>
      <c r="BV1042" s="716"/>
      <c r="BW1042" s="716"/>
      <c r="BX1042" s="716"/>
      <c r="BY1042" s="716"/>
      <c r="BZ1042" s="716"/>
      <c r="CA1042" s="716"/>
    </row>
    <row r="1043" spans="1:79" s="308" customFormat="1" hidden="1" outlineLevel="1" x14ac:dyDescent="0.25">
      <c r="A1043" s="656"/>
      <c r="B1043" s="571"/>
      <c r="C1043" s="571"/>
      <c r="D1043" s="571"/>
      <c r="E1043" s="570" t="s">
        <v>1341</v>
      </c>
      <c r="F1043" s="656" t="s">
        <v>910</v>
      </c>
      <c r="G1043" s="719"/>
      <c r="H1043" s="716"/>
      <c r="I1043" s="716"/>
      <c r="J1043" s="716"/>
      <c r="K1043" s="716"/>
      <c r="L1043" s="716"/>
      <c r="M1043" s="716"/>
      <c r="N1043" s="716"/>
      <c r="O1043" s="716"/>
      <c r="P1043" s="716"/>
      <c r="Q1043" s="716"/>
      <c r="R1043" s="716"/>
      <c r="S1043" s="667">
        <v>0</v>
      </c>
      <c r="T1043" s="667">
        <v>0</v>
      </c>
      <c r="U1043" s="667">
        <v>0</v>
      </c>
      <c r="V1043" s="667">
        <v>0</v>
      </c>
      <c r="W1043" s="667">
        <v>0</v>
      </c>
      <c r="X1043" s="667">
        <v>0</v>
      </c>
      <c r="Y1043" s="667">
        <v>0</v>
      </c>
      <c r="Z1043" s="667">
        <v>0</v>
      </c>
      <c r="AA1043" s="667">
        <v>0</v>
      </c>
      <c r="AB1043" s="667">
        <v>0</v>
      </c>
      <c r="AC1043" s="666">
        <v>0</v>
      </c>
      <c r="AD1043" s="666">
        <v>0</v>
      </c>
      <c r="AE1043" s="667">
        <v>0</v>
      </c>
      <c r="AF1043" s="716">
        <v>0</v>
      </c>
      <c r="AG1043" s="666">
        <v>0</v>
      </c>
      <c r="AH1043" s="716"/>
      <c r="AI1043" s="716"/>
      <c r="AJ1043" s="716"/>
      <c r="AK1043" s="716"/>
      <c r="AL1043" s="716"/>
      <c r="AM1043" s="716"/>
      <c r="AN1043" s="716"/>
      <c r="AO1043" s="716"/>
      <c r="AP1043" s="716"/>
      <c r="AQ1043" s="716"/>
      <c r="AR1043" s="716"/>
      <c r="AS1043" s="716"/>
      <c r="AT1043" s="716"/>
      <c r="AU1043" s="716"/>
      <c r="AV1043" s="716"/>
      <c r="AW1043" s="716"/>
      <c r="AX1043" s="716"/>
      <c r="AY1043" s="716"/>
      <c r="AZ1043" s="716"/>
      <c r="BA1043" s="716"/>
      <c r="BB1043" s="716"/>
      <c r="BC1043" s="716"/>
      <c r="BD1043" s="716"/>
      <c r="BE1043" s="716"/>
      <c r="BF1043" s="716"/>
      <c r="BG1043" s="716"/>
      <c r="BH1043" s="716"/>
      <c r="BI1043" s="716"/>
      <c r="BJ1043" s="716"/>
      <c r="BK1043" s="716"/>
      <c r="BL1043" s="716"/>
      <c r="BM1043" s="716"/>
      <c r="BN1043" s="716"/>
      <c r="BO1043" s="716"/>
      <c r="BP1043" s="716"/>
      <c r="BQ1043" s="716"/>
      <c r="BR1043" s="716"/>
      <c r="BS1043" s="716"/>
      <c r="BT1043" s="716"/>
      <c r="BU1043" s="716"/>
      <c r="BV1043" s="716"/>
      <c r="BW1043" s="716"/>
      <c r="BX1043" s="716"/>
      <c r="BY1043" s="716"/>
      <c r="BZ1043" s="716"/>
      <c r="CA1043" s="716"/>
    </row>
    <row r="1044" spans="1:79" s="308" customFormat="1" hidden="1" outlineLevel="1" x14ac:dyDescent="0.25">
      <c r="A1044" s="656"/>
      <c r="B1044" s="571"/>
      <c r="C1044" s="571"/>
      <c r="D1044" s="571"/>
      <c r="E1044" s="570" t="s">
        <v>1341</v>
      </c>
      <c r="F1044" s="656" t="s">
        <v>911</v>
      </c>
      <c r="G1044" s="719"/>
      <c r="H1044" s="716"/>
      <c r="I1044" s="716"/>
      <c r="J1044" s="716"/>
      <c r="K1044" s="716"/>
      <c r="L1044" s="716"/>
      <c r="M1044" s="716"/>
      <c r="N1044" s="716"/>
      <c r="O1044" s="716"/>
      <c r="P1044" s="716"/>
      <c r="Q1044" s="716"/>
      <c r="R1044" s="716"/>
      <c r="S1044" s="667">
        <v>0</v>
      </c>
      <c r="T1044" s="667">
        <v>0</v>
      </c>
      <c r="U1044" s="667">
        <v>0</v>
      </c>
      <c r="V1044" s="667">
        <v>0</v>
      </c>
      <c r="W1044" s="667">
        <v>0</v>
      </c>
      <c r="X1044" s="667">
        <v>0</v>
      </c>
      <c r="Y1044" s="667">
        <v>0</v>
      </c>
      <c r="Z1044" s="667">
        <v>0</v>
      </c>
      <c r="AA1044" s="667">
        <v>0</v>
      </c>
      <c r="AB1044" s="667">
        <v>0</v>
      </c>
      <c r="AC1044" s="666">
        <v>0</v>
      </c>
      <c r="AD1044" s="666">
        <v>0</v>
      </c>
      <c r="AE1044" s="667">
        <v>0</v>
      </c>
      <c r="AF1044" s="716">
        <v>0</v>
      </c>
      <c r="AG1044" s="666">
        <v>0</v>
      </c>
      <c r="AH1044" s="716"/>
      <c r="AI1044" s="716"/>
      <c r="AJ1044" s="716"/>
      <c r="AK1044" s="716"/>
      <c r="AL1044" s="716"/>
      <c r="AM1044" s="716"/>
      <c r="AN1044" s="716"/>
      <c r="AO1044" s="716"/>
      <c r="AP1044" s="716"/>
      <c r="AQ1044" s="716"/>
      <c r="AR1044" s="716"/>
      <c r="AS1044" s="716"/>
      <c r="AT1044" s="716"/>
      <c r="AU1044" s="716"/>
      <c r="AV1044" s="716"/>
      <c r="AW1044" s="716"/>
      <c r="AX1044" s="716"/>
      <c r="AY1044" s="716"/>
      <c r="AZ1044" s="716"/>
      <c r="BA1044" s="716"/>
      <c r="BB1044" s="716"/>
      <c r="BC1044" s="716"/>
      <c r="BD1044" s="716"/>
      <c r="BE1044" s="716"/>
      <c r="BF1044" s="716"/>
      <c r="BG1044" s="716"/>
      <c r="BH1044" s="716"/>
      <c r="BI1044" s="716"/>
      <c r="BJ1044" s="716"/>
      <c r="BK1044" s="716"/>
      <c r="BL1044" s="716"/>
      <c r="BM1044" s="716"/>
      <c r="BN1044" s="716"/>
      <c r="BO1044" s="716"/>
      <c r="BP1044" s="716"/>
      <c r="BQ1044" s="716"/>
      <c r="BR1044" s="716"/>
      <c r="BS1044" s="716"/>
      <c r="BT1044" s="716"/>
      <c r="BU1044" s="716"/>
      <c r="BV1044" s="716"/>
      <c r="BW1044" s="716"/>
      <c r="BX1044" s="716"/>
      <c r="BY1044" s="716"/>
      <c r="BZ1044" s="716"/>
      <c r="CA1044" s="716"/>
    </row>
    <row r="1045" spans="1:79" s="308" customFormat="1" hidden="1" outlineLevel="1" x14ac:dyDescent="0.25">
      <c r="A1045" s="657"/>
      <c r="B1045" s="571"/>
      <c r="C1045" s="571"/>
      <c r="D1045" s="571"/>
      <c r="E1045" s="570" t="s">
        <v>49</v>
      </c>
      <c r="F1045" s="657" t="s">
        <v>655</v>
      </c>
      <c r="G1045" s="664">
        <f>SUM(G1038:G1044)</f>
        <v>0</v>
      </c>
      <c r="H1045" s="664">
        <f t="shared" ref="H1045:BO1045" si="435">SUM(H1038:H1044)</f>
        <v>0</v>
      </c>
      <c r="I1045" s="664">
        <f t="shared" si="435"/>
        <v>-490.39600565465702</v>
      </c>
      <c r="J1045" s="664">
        <f t="shared" si="435"/>
        <v>324.3257159486119</v>
      </c>
      <c r="K1045" s="664">
        <f t="shared" si="435"/>
        <v>0</v>
      </c>
      <c r="L1045" s="664">
        <f t="shared" si="435"/>
        <v>597.0025751496371</v>
      </c>
      <c r="M1045" s="664">
        <f t="shared" si="435"/>
        <v>0</v>
      </c>
      <c r="N1045" s="664">
        <f t="shared" si="435"/>
        <v>0</v>
      </c>
      <c r="O1045" s="664">
        <f t="shared" si="435"/>
        <v>0</v>
      </c>
      <c r="P1045" s="664">
        <f t="shared" si="435"/>
        <v>0</v>
      </c>
      <c r="Q1045" s="664">
        <f t="shared" si="435"/>
        <v>0</v>
      </c>
      <c r="R1045" s="664">
        <f t="shared" si="435"/>
        <v>-179.7820722166509</v>
      </c>
      <c r="S1045" s="678">
        <f t="shared" ref="S1045:AA1045" si="436">ROUND(SUM(S1037:S1044),5)</f>
        <v>0</v>
      </c>
      <c r="T1045" s="678">
        <f t="shared" si="436"/>
        <v>0</v>
      </c>
      <c r="U1045" s="678">
        <f t="shared" si="436"/>
        <v>0</v>
      </c>
      <c r="V1045" s="678">
        <f t="shared" si="436"/>
        <v>0</v>
      </c>
      <c r="W1045" s="678">
        <f t="shared" si="436"/>
        <v>0</v>
      </c>
      <c r="X1045" s="678">
        <f t="shared" si="436"/>
        <v>0</v>
      </c>
      <c r="Y1045" s="678">
        <f t="shared" si="436"/>
        <v>0</v>
      </c>
      <c r="Z1045" s="678">
        <f t="shared" si="436"/>
        <v>0</v>
      </c>
      <c r="AA1045" s="678">
        <f t="shared" si="436"/>
        <v>0</v>
      </c>
      <c r="AB1045" s="678">
        <f t="shared" ref="AB1045:AG1045" si="437">ROUND(SUM(AB1037:AB1044),5)</f>
        <v>0</v>
      </c>
      <c r="AC1045" s="678">
        <f t="shared" si="437"/>
        <v>0</v>
      </c>
      <c r="AD1045" s="678">
        <f t="shared" si="437"/>
        <v>0</v>
      </c>
      <c r="AE1045" s="678">
        <f t="shared" si="437"/>
        <v>0</v>
      </c>
      <c r="AF1045" s="664">
        <f t="shared" si="437"/>
        <v>0</v>
      </c>
      <c r="AG1045" s="678">
        <f t="shared" si="437"/>
        <v>0</v>
      </c>
      <c r="AH1045" s="664">
        <f t="shared" si="435"/>
        <v>0</v>
      </c>
      <c r="AI1045" s="664">
        <f t="shared" si="435"/>
        <v>0</v>
      </c>
      <c r="AJ1045" s="664">
        <f t="shared" si="435"/>
        <v>0</v>
      </c>
      <c r="AK1045" s="664">
        <f t="shared" si="435"/>
        <v>0</v>
      </c>
      <c r="AL1045" s="664">
        <f t="shared" si="435"/>
        <v>0</v>
      </c>
      <c r="AM1045" s="664">
        <f t="shared" si="435"/>
        <v>0</v>
      </c>
      <c r="AN1045" s="664">
        <f t="shared" si="435"/>
        <v>0</v>
      </c>
      <c r="AO1045" s="664">
        <f t="shared" si="435"/>
        <v>0</v>
      </c>
      <c r="AP1045" s="664">
        <f t="shared" si="435"/>
        <v>0</v>
      </c>
      <c r="AQ1045" s="664">
        <f t="shared" si="435"/>
        <v>0</v>
      </c>
      <c r="AR1045" s="664">
        <f t="shared" si="435"/>
        <v>0</v>
      </c>
      <c r="AS1045" s="664">
        <f t="shared" si="435"/>
        <v>0</v>
      </c>
      <c r="AT1045" s="664">
        <f t="shared" si="435"/>
        <v>0</v>
      </c>
      <c r="AU1045" s="664">
        <f t="shared" si="435"/>
        <v>0</v>
      </c>
      <c r="AV1045" s="664">
        <f t="shared" si="435"/>
        <v>0</v>
      </c>
      <c r="AW1045" s="664">
        <f t="shared" si="435"/>
        <v>0</v>
      </c>
      <c r="AX1045" s="664">
        <f t="shared" si="435"/>
        <v>0</v>
      </c>
      <c r="AY1045" s="664">
        <f t="shared" si="435"/>
        <v>0</v>
      </c>
      <c r="AZ1045" s="664">
        <f t="shared" si="435"/>
        <v>0</v>
      </c>
      <c r="BA1045" s="664">
        <f t="shared" si="435"/>
        <v>0</v>
      </c>
      <c r="BB1045" s="664">
        <f t="shared" si="435"/>
        <v>0</v>
      </c>
      <c r="BC1045" s="664">
        <f t="shared" si="435"/>
        <v>0</v>
      </c>
      <c r="BD1045" s="664">
        <f t="shared" si="435"/>
        <v>0</v>
      </c>
      <c r="BE1045" s="664">
        <f t="shared" si="435"/>
        <v>0</v>
      </c>
      <c r="BF1045" s="664">
        <f t="shared" si="435"/>
        <v>0</v>
      </c>
      <c r="BG1045" s="664">
        <f t="shared" si="435"/>
        <v>0</v>
      </c>
      <c r="BH1045" s="664">
        <f t="shared" si="435"/>
        <v>0</v>
      </c>
      <c r="BI1045" s="664">
        <f t="shared" si="435"/>
        <v>0</v>
      </c>
      <c r="BJ1045" s="664">
        <f t="shared" si="435"/>
        <v>0</v>
      </c>
      <c r="BK1045" s="664">
        <f t="shared" si="435"/>
        <v>0</v>
      </c>
      <c r="BL1045" s="664">
        <f t="shared" si="435"/>
        <v>0</v>
      </c>
      <c r="BM1045" s="664">
        <f t="shared" si="435"/>
        <v>0</v>
      </c>
      <c r="BN1045" s="664">
        <f t="shared" si="435"/>
        <v>0</v>
      </c>
      <c r="BO1045" s="664">
        <f t="shared" si="435"/>
        <v>0</v>
      </c>
      <c r="BP1045" s="664">
        <f t="shared" ref="BP1045:CA1045" si="438">SUM(BP1038:BP1044)</f>
        <v>0</v>
      </c>
      <c r="BQ1045" s="664">
        <f t="shared" si="438"/>
        <v>0</v>
      </c>
      <c r="BR1045" s="664">
        <f t="shared" si="438"/>
        <v>0</v>
      </c>
      <c r="BS1045" s="664">
        <f t="shared" si="438"/>
        <v>0</v>
      </c>
      <c r="BT1045" s="664">
        <f t="shared" si="438"/>
        <v>0</v>
      </c>
      <c r="BU1045" s="664">
        <f t="shared" si="438"/>
        <v>0</v>
      </c>
      <c r="BV1045" s="664">
        <f t="shared" si="438"/>
        <v>0</v>
      </c>
      <c r="BW1045" s="664">
        <f t="shared" si="438"/>
        <v>0</v>
      </c>
      <c r="BX1045" s="664">
        <f t="shared" si="438"/>
        <v>0</v>
      </c>
      <c r="BY1045" s="664">
        <f t="shared" si="438"/>
        <v>0</v>
      </c>
      <c r="BZ1045" s="664">
        <f t="shared" si="438"/>
        <v>0</v>
      </c>
      <c r="CA1045" s="664">
        <f t="shared" si="438"/>
        <v>0</v>
      </c>
    </row>
    <row r="1046" spans="1:79" s="308" customFormat="1" hidden="1" outlineLevel="1" x14ac:dyDescent="0.25">
      <c r="A1046" s="570"/>
      <c r="B1046" s="29"/>
      <c r="C1046" s="29"/>
      <c r="D1046" s="29"/>
      <c r="E1046" s="570" t="s">
        <v>945</v>
      </c>
      <c r="F1046" s="437" t="s">
        <v>693</v>
      </c>
      <c r="G1046" s="719">
        <v>1500.6469980275397</v>
      </c>
      <c r="H1046" s="716">
        <v>677.05795228901479</v>
      </c>
      <c r="I1046" s="716">
        <v>810.771684504718</v>
      </c>
      <c r="J1046" s="716">
        <v>556.98339821380796</v>
      </c>
      <c r="K1046" s="716">
        <v>2629.0848034822848</v>
      </c>
      <c r="L1046" s="716">
        <v>285.40931543398256</v>
      </c>
      <c r="M1046" s="716">
        <v>2798.308600390912</v>
      </c>
      <c r="N1046" s="716">
        <v>2565.3427785977256</v>
      </c>
      <c r="O1046" s="716">
        <v>1391.9578267173238</v>
      </c>
      <c r="P1046" s="716">
        <v>15572.2965093893</v>
      </c>
      <c r="Q1046" s="716">
        <v>912.56544877183478</v>
      </c>
      <c r="R1046" s="716">
        <v>269.37054678963341</v>
      </c>
      <c r="S1046" s="667">
        <v>0</v>
      </c>
      <c r="T1046" s="667">
        <v>0</v>
      </c>
      <c r="U1046" s="667">
        <v>0</v>
      </c>
      <c r="V1046" s="667">
        <v>0</v>
      </c>
      <c r="W1046" s="667">
        <v>0</v>
      </c>
      <c r="X1046" s="667">
        <v>0</v>
      </c>
      <c r="Y1046" s="667">
        <v>0</v>
      </c>
      <c r="Z1046" s="667">
        <v>0</v>
      </c>
      <c r="AA1046" s="667">
        <v>0</v>
      </c>
      <c r="AB1046" s="667">
        <v>0</v>
      </c>
      <c r="AC1046" s="666">
        <v>0</v>
      </c>
      <c r="AD1046" s="666">
        <v>0</v>
      </c>
      <c r="AE1046" s="667">
        <v>0</v>
      </c>
      <c r="AF1046" s="664">
        <v>0</v>
      </c>
      <c r="AG1046" s="666">
        <v>0</v>
      </c>
      <c r="AH1046" s="716"/>
      <c r="AI1046" s="716"/>
      <c r="AJ1046" s="716"/>
      <c r="AK1046" s="716"/>
      <c r="AL1046" s="716"/>
      <c r="AM1046" s="716"/>
      <c r="AN1046" s="716"/>
      <c r="AO1046" s="716"/>
      <c r="AP1046" s="716"/>
      <c r="AQ1046" s="716"/>
      <c r="AR1046" s="716"/>
      <c r="AS1046" s="716"/>
      <c r="AT1046" s="716"/>
      <c r="AU1046" s="716"/>
      <c r="AV1046" s="716"/>
      <c r="AW1046" s="716"/>
      <c r="AX1046" s="716"/>
      <c r="AY1046" s="716"/>
      <c r="AZ1046" s="716"/>
      <c r="BA1046" s="716"/>
      <c r="BB1046" s="716"/>
      <c r="BC1046" s="716"/>
      <c r="BD1046" s="716"/>
      <c r="BE1046" s="716"/>
      <c r="BF1046" s="716"/>
      <c r="BG1046" s="716"/>
      <c r="BH1046" s="716"/>
      <c r="BI1046" s="716"/>
      <c r="BJ1046" s="716"/>
      <c r="BK1046" s="716"/>
      <c r="BL1046" s="716"/>
      <c r="BM1046" s="716"/>
      <c r="BN1046" s="716"/>
      <c r="BO1046" s="716"/>
      <c r="BP1046" s="716"/>
      <c r="BQ1046" s="716"/>
      <c r="BR1046" s="716"/>
      <c r="BS1046" s="716"/>
      <c r="BT1046" s="716"/>
      <c r="BU1046" s="716"/>
      <c r="BV1046" s="716"/>
      <c r="BW1046" s="716"/>
      <c r="BX1046" s="716"/>
      <c r="BY1046" s="716"/>
      <c r="BZ1046" s="716"/>
      <c r="CA1046" s="716"/>
    </row>
    <row r="1047" spans="1:79" s="868" customFormat="1" ht="15.75" collapsed="1" thickBot="1" x14ac:dyDescent="0.3">
      <c r="A1047" s="892"/>
      <c r="B1047" s="499"/>
      <c r="C1047" s="499"/>
      <c r="D1047" s="499"/>
      <c r="E1047" s="892"/>
      <c r="F1047" s="892" t="s">
        <v>1347</v>
      </c>
      <c r="G1047" s="894">
        <f t="shared" ref="G1047:R1047" si="439">ROUND(SUM(G876:G884)+SUM(G888:G893)+SUM(G894:G895)+G899+SUM(G903:G905)+SUM(G918:G922)+SUM(G933:G934)+G953+SUM(G957:G960)+G971+G979+SUM(G985:G987)+SUM(G993:G994)+SUM(G1027:G1028)+SUM(G1034:G1036)+SUM(G1045:G1046),5)</f>
        <v>47661.500330000003</v>
      </c>
      <c r="H1047" s="894">
        <f t="shared" si="439"/>
        <v>44989.780780000001</v>
      </c>
      <c r="I1047" s="894">
        <f t="shared" si="439"/>
        <v>44796.259180000001</v>
      </c>
      <c r="J1047" s="894">
        <f t="shared" si="439"/>
        <v>60301.242319999998</v>
      </c>
      <c r="K1047" s="894">
        <f t="shared" si="439"/>
        <v>366717.49333000003</v>
      </c>
      <c r="L1047" s="894">
        <f t="shared" si="439"/>
        <v>80603.399600000004</v>
      </c>
      <c r="M1047" s="894">
        <f t="shared" si="439"/>
        <v>370233.86025000003</v>
      </c>
      <c r="N1047" s="894">
        <f t="shared" si="439"/>
        <v>368731.60355</v>
      </c>
      <c r="O1047" s="894">
        <f t="shared" si="439"/>
        <v>62833.92411</v>
      </c>
      <c r="P1047" s="894">
        <f t="shared" si="439"/>
        <v>400376.50328</v>
      </c>
      <c r="Q1047" s="894">
        <f t="shared" si="439"/>
        <v>158348.36421</v>
      </c>
      <c r="R1047" s="894">
        <f t="shared" si="439"/>
        <v>80846.813169999994</v>
      </c>
      <c r="S1047" s="894">
        <f t="shared" ref="S1047:AC1047" si="440">ROUND(SUM(S876:S884)+SUM(S888:S893)+SUM(S894:S895)+S899+SUM(S903:S905)+SUM(S918:S922)+SUM(S933:S934)+S953+SUM(S957:S960)+S971+S979+SUM(S985:S987)+SUM(S993:S994)+SUM(S1027:S1028)+SUM(S1034:S1036)+SUM(S1045:S1046),5)</f>
        <v>177465.02</v>
      </c>
      <c r="T1047" s="894">
        <f t="shared" si="440"/>
        <v>165701.10999999999</v>
      </c>
      <c r="U1047" s="894">
        <f t="shared" si="440"/>
        <v>145047.78</v>
      </c>
      <c r="V1047" s="894">
        <f t="shared" si="440"/>
        <v>155192.48000000001</v>
      </c>
      <c r="W1047" s="894">
        <f t="shared" si="440"/>
        <v>152088.53</v>
      </c>
      <c r="X1047" s="894">
        <f t="shared" si="440"/>
        <v>133638.82999999999</v>
      </c>
      <c r="Y1047" s="894">
        <f t="shared" si="440"/>
        <v>147125.71</v>
      </c>
      <c r="Z1047" s="894">
        <f t="shared" si="440"/>
        <v>119536.23</v>
      </c>
      <c r="AA1047" s="894">
        <f t="shared" si="440"/>
        <v>136799.23000000001</v>
      </c>
      <c r="AB1047" s="894">
        <f t="shared" si="440"/>
        <v>145528.28</v>
      </c>
      <c r="AC1047" s="893">
        <f t="shared" si="440"/>
        <v>140337.62</v>
      </c>
      <c r="AD1047" s="894">
        <f>ROUND(SUM(AD877:AD884)+SUM(AD888:AD895)+AD899+SUM(AD903:AD905)+SUM(AD918:AD922)+SUM(AD933:AD934)+AD953+SUM(AD957:AD960)+AD971+AD979+SUM(AD985:AD987)+SUM(AD993:AD994)+SUM(AD1027:AD1028)+SUM(AD1034:AD1036)+SUM(AD1045:AD1046),5)</f>
        <v>76650.789999999994</v>
      </c>
      <c r="AE1047" s="894">
        <f>ROUND(SUM(AE877:AE884)+SUM(AE888:AE895)+AE899+SUM(AE903:AE905)+SUM(AE918:AE922)+SUM(AE933:AE934)+AE953+SUM(AE957:AE960)+AE971+AE979+SUM(AE985:AE987)+SUM(AE993:AE994)+SUM(AE1027:AE1028)+SUM(AE1034:AE1036)+SUM(AE1045:AE1046),5)</f>
        <v>154302.07</v>
      </c>
      <c r="AF1047" s="894">
        <f>ROUND(SUM(AF876:AF884)+SUM(AF888:AF895)+AF899+SUM(AF903:AF905)+SUM(AF918:AF922)+SUM(AF933:AF934)+AF953+SUM(AF957:AF960)+AF971+AF979+SUM(AF985:AF987)+SUM(AF993:AF994)+SUM(AF1027:AF1028)+SUM(AF1034:AF1036)+SUM(AF1045:AF1046),5)</f>
        <v>146605.20000000001</v>
      </c>
      <c r="AG1047" s="894">
        <f>ROUND(SUM(AG876:AG884)+SUM(AG888:AG895)+AG899+SUM(AG903:AG905)+SUM(AG918:AG922)+SUM(AG933:AG934)+AG953+SUM(AG957:AG960)+AG971+AG979+SUM(AG985:AG987)+SUM(AG993:AG994)+SUM(AG1027:AG1028)+SUM(AG1034:AG1036)+SUM(AG1045:AG1046),5)</f>
        <v>128164.61</v>
      </c>
      <c r="AH1047" s="893">
        <f t="shared" ref="AH1047:CA1047" si="441">SUM(AH879:AH1046)-SUM(AH1045,AH1034,AH1027,AH1025,AH1015,AH1005,AH993,AH985,AH979,AH971,AH957,AH953,AH933,AH918,AH903,AH899,AH910,AH888)</f>
        <v>0</v>
      </c>
      <c r="AI1047" s="893">
        <f t="shared" si="441"/>
        <v>0</v>
      </c>
      <c r="AJ1047" s="893">
        <f t="shared" si="441"/>
        <v>0</v>
      </c>
      <c r="AK1047" s="893">
        <f t="shared" si="441"/>
        <v>0</v>
      </c>
      <c r="AL1047" s="893">
        <f t="shared" si="441"/>
        <v>0</v>
      </c>
      <c r="AM1047" s="893">
        <f t="shared" si="441"/>
        <v>0</v>
      </c>
      <c r="AN1047" s="893">
        <f t="shared" si="441"/>
        <v>0</v>
      </c>
      <c r="AO1047" s="893">
        <f t="shared" si="441"/>
        <v>0</v>
      </c>
      <c r="AP1047" s="893">
        <f t="shared" si="441"/>
        <v>0</v>
      </c>
      <c r="AQ1047" s="893">
        <f t="shared" si="441"/>
        <v>0</v>
      </c>
      <c r="AR1047" s="893">
        <f t="shared" si="441"/>
        <v>0</v>
      </c>
      <c r="AS1047" s="893">
        <f t="shared" si="441"/>
        <v>0</v>
      </c>
      <c r="AT1047" s="893">
        <f t="shared" si="441"/>
        <v>0</v>
      </c>
      <c r="AU1047" s="893">
        <f t="shared" si="441"/>
        <v>0</v>
      </c>
      <c r="AV1047" s="893">
        <f t="shared" si="441"/>
        <v>0</v>
      </c>
      <c r="AW1047" s="893">
        <f t="shared" si="441"/>
        <v>0</v>
      </c>
      <c r="AX1047" s="893">
        <f t="shared" si="441"/>
        <v>0</v>
      </c>
      <c r="AY1047" s="893">
        <f t="shared" si="441"/>
        <v>0</v>
      </c>
      <c r="AZ1047" s="893">
        <f t="shared" si="441"/>
        <v>0</v>
      </c>
      <c r="BA1047" s="893">
        <f t="shared" si="441"/>
        <v>0</v>
      </c>
      <c r="BB1047" s="893">
        <f t="shared" si="441"/>
        <v>0</v>
      </c>
      <c r="BC1047" s="893">
        <f t="shared" si="441"/>
        <v>0</v>
      </c>
      <c r="BD1047" s="893">
        <f t="shared" si="441"/>
        <v>0</v>
      </c>
      <c r="BE1047" s="893">
        <f t="shared" si="441"/>
        <v>0</v>
      </c>
      <c r="BF1047" s="893">
        <f t="shared" si="441"/>
        <v>0</v>
      </c>
      <c r="BG1047" s="893">
        <f t="shared" si="441"/>
        <v>0</v>
      </c>
      <c r="BH1047" s="893">
        <f t="shared" si="441"/>
        <v>0</v>
      </c>
      <c r="BI1047" s="893">
        <f t="shared" si="441"/>
        <v>0</v>
      </c>
      <c r="BJ1047" s="893">
        <f t="shared" si="441"/>
        <v>0</v>
      </c>
      <c r="BK1047" s="893">
        <f t="shared" si="441"/>
        <v>0</v>
      </c>
      <c r="BL1047" s="893">
        <f t="shared" si="441"/>
        <v>0</v>
      </c>
      <c r="BM1047" s="893">
        <f t="shared" si="441"/>
        <v>0</v>
      </c>
      <c r="BN1047" s="893">
        <f t="shared" si="441"/>
        <v>0</v>
      </c>
      <c r="BO1047" s="893">
        <f t="shared" si="441"/>
        <v>0</v>
      </c>
      <c r="BP1047" s="893">
        <f t="shared" si="441"/>
        <v>0</v>
      </c>
      <c r="BQ1047" s="893">
        <f t="shared" si="441"/>
        <v>0</v>
      </c>
      <c r="BR1047" s="893">
        <f t="shared" si="441"/>
        <v>0</v>
      </c>
      <c r="BS1047" s="893">
        <f t="shared" si="441"/>
        <v>0</v>
      </c>
      <c r="BT1047" s="893">
        <f t="shared" si="441"/>
        <v>0</v>
      </c>
      <c r="BU1047" s="893">
        <f t="shared" si="441"/>
        <v>0</v>
      </c>
      <c r="BV1047" s="893">
        <f t="shared" si="441"/>
        <v>0</v>
      </c>
      <c r="BW1047" s="893">
        <f t="shared" si="441"/>
        <v>0</v>
      </c>
      <c r="BX1047" s="893">
        <f t="shared" si="441"/>
        <v>0</v>
      </c>
      <c r="BY1047" s="893">
        <f t="shared" si="441"/>
        <v>0</v>
      </c>
      <c r="BZ1047" s="893">
        <f t="shared" si="441"/>
        <v>0</v>
      </c>
      <c r="CA1047" s="893">
        <f t="shared" si="441"/>
        <v>0</v>
      </c>
    </row>
    <row r="1048" spans="1:79" s="308" customFormat="1" ht="15.75" thickTop="1" x14ac:dyDescent="0.25">
      <c r="A1048" s="654"/>
      <c r="B1048" s="29"/>
      <c r="C1048" s="29"/>
      <c r="D1048" s="29"/>
      <c r="E1048" s="654"/>
      <c r="F1048" s="654"/>
      <c r="G1048" s="156"/>
      <c r="H1048" s="156"/>
      <c r="I1048" s="156"/>
      <c r="J1048" s="156"/>
      <c r="K1048" s="156"/>
      <c r="L1048" s="761"/>
      <c r="M1048" s="761"/>
      <c r="N1048" s="761"/>
      <c r="O1048" s="761"/>
      <c r="P1048" s="761"/>
      <c r="Q1048" s="761"/>
      <c r="R1048" s="761"/>
      <c r="S1048" s="761"/>
      <c r="T1048" s="761"/>
      <c r="U1048" s="438"/>
      <c r="V1048" s="761"/>
      <c r="W1048" s="761"/>
      <c r="X1048" s="500"/>
      <c r="Y1048" s="500"/>
      <c r="Z1048" s="500"/>
      <c r="AA1048" s="500"/>
      <c r="AB1048" s="500"/>
      <c r="AC1048" s="500"/>
      <c r="AD1048" s="500"/>
      <c r="AE1048" s="500"/>
      <c r="AF1048" s="500"/>
      <c r="AG1048" s="719"/>
      <c r="AH1048" s="719"/>
      <c r="AI1048" s="719"/>
      <c r="AJ1048" s="719"/>
      <c r="AK1048" s="719"/>
      <c r="AL1048" s="719"/>
      <c r="AM1048" s="719"/>
      <c r="AN1048" s="719"/>
      <c r="AO1048" s="719"/>
      <c r="AP1048" s="719"/>
      <c r="AQ1048" s="719"/>
      <c r="AR1048" s="719"/>
      <c r="AS1048" s="719"/>
      <c r="AT1048" s="719"/>
      <c r="AU1048" s="719"/>
      <c r="AV1048" s="719"/>
      <c r="AW1048" s="719"/>
      <c r="AX1048" s="719"/>
      <c r="AY1048" s="719"/>
      <c r="AZ1048" s="719"/>
      <c r="BA1048" s="719"/>
      <c r="BB1048" s="719"/>
      <c r="BC1048" s="719"/>
      <c r="BD1048" s="719"/>
      <c r="BE1048" s="719"/>
      <c r="BF1048" s="719"/>
      <c r="BG1048" s="719"/>
      <c r="BH1048" s="716"/>
      <c r="BI1048" s="716"/>
      <c r="BJ1048" s="716"/>
      <c r="BK1048" s="716"/>
      <c r="BL1048" s="716"/>
      <c r="BM1048" s="716"/>
      <c r="BN1048" s="716"/>
      <c r="BO1048" s="716"/>
      <c r="BP1048" s="716"/>
      <c r="BQ1048" s="716"/>
      <c r="BR1048" s="716"/>
      <c r="BS1048" s="716"/>
      <c r="BT1048" s="716"/>
      <c r="BU1048" s="716"/>
      <c r="BV1048" s="716"/>
      <c r="BW1048" s="716"/>
      <c r="BX1048" s="716"/>
      <c r="BY1048" s="716"/>
      <c r="BZ1048" s="716"/>
      <c r="CA1048" s="716"/>
    </row>
    <row r="1049" spans="1:79" s="308" customFormat="1" x14ac:dyDescent="0.25">
      <c r="A1049" s="156"/>
      <c r="B1049" s="29"/>
      <c r="C1049" s="29"/>
      <c r="D1049" s="29"/>
      <c r="E1049" s="156"/>
      <c r="F1049" s="156"/>
      <c r="G1049" s="156"/>
      <c r="H1049" s="156"/>
      <c r="I1049" s="156"/>
      <c r="J1049" s="156"/>
      <c r="K1049" s="156"/>
      <c r="L1049" s="723"/>
      <c r="M1049" s="723"/>
      <c r="N1049" s="723"/>
      <c r="O1049" s="723"/>
      <c r="P1049" s="723"/>
      <c r="Q1049" s="723"/>
      <c r="R1049" s="723"/>
      <c r="S1049" s="723"/>
      <c r="T1049" s="723"/>
      <c r="U1049" s="723"/>
      <c r="V1049" s="723"/>
      <c r="W1049" s="723"/>
      <c r="X1049" s="723"/>
      <c r="Y1049" s="723"/>
      <c r="Z1049" s="723"/>
      <c r="AA1049" s="723"/>
      <c r="AB1049" s="723"/>
      <c r="AC1049" s="723"/>
      <c r="AD1049" s="723"/>
      <c r="AE1049" s="723"/>
      <c r="AF1049" s="723"/>
      <c r="AG1049" s="716"/>
      <c r="AH1049" s="716"/>
      <c r="AI1049" s="716"/>
      <c r="AJ1049" s="716"/>
      <c r="AK1049" s="716"/>
      <c r="AL1049" s="716"/>
      <c r="AM1049" s="716"/>
      <c r="AN1049" s="716"/>
      <c r="AO1049" s="716"/>
      <c r="AP1049" s="716"/>
      <c r="AQ1049" s="716"/>
      <c r="AR1049" s="716"/>
      <c r="AS1049" s="716"/>
      <c r="AT1049" s="716"/>
      <c r="AU1049" s="716"/>
      <c r="AV1049" s="716"/>
      <c r="AW1049" s="716"/>
      <c r="AX1049" s="716"/>
      <c r="AY1049" s="716"/>
      <c r="AZ1049" s="716"/>
      <c r="BA1049" s="716"/>
      <c r="BB1049" s="716"/>
      <c r="BC1049" s="716"/>
      <c r="BD1049" s="716"/>
      <c r="BE1049" s="716"/>
      <c r="BF1049" s="716"/>
      <c r="BG1049" s="716"/>
      <c r="BH1049" s="716"/>
      <c r="BI1049" s="716"/>
      <c r="BJ1049" s="716"/>
      <c r="BK1049" s="716"/>
      <c r="BL1049" s="716"/>
      <c r="BM1049" s="716"/>
      <c r="BN1049" s="716"/>
      <c r="BO1049" s="716"/>
      <c r="BP1049" s="716"/>
      <c r="BQ1049" s="716"/>
      <c r="BR1049" s="716"/>
      <c r="BS1049" s="716"/>
      <c r="BT1049" s="716"/>
      <c r="BU1049" s="716"/>
      <c r="BV1049" s="716"/>
      <c r="BW1049" s="716"/>
      <c r="BX1049" s="716"/>
      <c r="BY1049" s="716"/>
      <c r="BZ1049" s="716"/>
      <c r="CA1049" s="716"/>
    </row>
    <row r="1050" spans="1:79" s="803" customFormat="1" x14ac:dyDescent="0.25">
      <c r="A1050" s="863"/>
      <c r="E1050" s="863"/>
      <c r="F1050" s="863" t="s">
        <v>17</v>
      </c>
      <c r="G1050" s="864"/>
      <c r="H1050" s="864"/>
      <c r="I1050" s="864"/>
      <c r="J1050" s="864"/>
      <c r="K1050" s="864"/>
      <c r="L1050" s="864"/>
      <c r="M1050" s="864"/>
      <c r="N1050" s="864"/>
      <c r="O1050" s="864"/>
      <c r="P1050" s="864"/>
      <c r="Q1050" s="864"/>
      <c r="R1050" s="864"/>
      <c r="S1050" s="864"/>
      <c r="T1050" s="864"/>
      <c r="U1050" s="864"/>
      <c r="V1050" s="864"/>
      <c r="W1050" s="864"/>
      <c r="X1050" s="864"/>
      <c r="Y1050" s="864"/>
      <c r="Z1050" s="864"/>
      <c r="AA1050" s="864"/>
      <c r="AB1050" s="864"/>
      <c r="AC1050" s="864"/>
      <c r="AD1050" s="864"/>
      <c r="AE1050" s="864"/>
      <c r="AF1050" s="864"/>
      <c r="AG1050" s="863"/>
      <c r="AH1050" s="864"/>
      <c r="AI1050" s="864"/>
      <c r="AJ1050" s="864"/>
      <c r="AK1050" s="864"/>
      <c r="AL1050" s="864"/>
      <c r="AM1050" s="864"/>
      <c r="AN1050" s="864"/>
      <c r="AO1050" s="864"/>
      <c r="AP1050" s="864"/>
      <c r="AQ1050" s="864"/>
      <c r="AR1050" s="864"/>
      <c r="AS1050" s="864"/>
      <c r="AT1050" s="864"/>
      <c r="AU1050" s="864"/>
      <c r="AV1050" s="864"/>
      <c r="AW1050" s="864"/>
      <c r="AX1050" s="864"/>
      <c r="AY1050" s="864"/>
      <c r="AZ1050" s="864"/>
      <c r="BA1050" s="864"/>
      <c r="BB1050" s="864"/>
      <c r="BC1050" s="864"/>
      <c r="BD1050" s="864"/>
      <c r="BE1050" s="864"/>
      <c r="BF1050" s="864"/>
      <c r="BG1050" s="864"/>
      <c r="BH1050" s="864"/>
      <c r="BI1050" s="864"/>
      <c r="BJ1050" s="864"/>
      <c r="BK1050" s="864"/>
      <c r="BL1050" s="864"/>
      <c r="BM1050" s="864"/>
      <c r="BN1050" s="864"/>
      <c r="BO1050" s="864"/>
      <c r="BP1050" s="864"/>
      <c r="BQ1050" s="864"/>
      <c r="BR1050" s="864"/>
      <c r="BS1050" s="864"/>
      <c r="BT1050" s="864"/>
      <c r="BU1050" s="864"/>
      <c r="BV1050" s="864"/>
      <c r="BW1050" s="864"/>
      <c r="BX1050" s="864"/>
      <c r="BY1050" s="864"/>
      <c r="BZ1050" s="864"/>
      <c r="CA1050" s="864"/>
    </row>
    <row r="1051" spans="1:79" s="308" customFormat="1" hidden="1" outlineLevel="1" x14ac:dyDescent="0.25">
      <c r="A1051" s="654"/>
      <c r="B1051" s="223"/>
      <c r="C1051" s="223"/>
      <c r="D1051" s="223"/>
      <c r="E1051" s="570" t="s">
        <v>1323</v>
      </c>
      <c r="F1051" s="654" t="s">
        <v>1320</v>
      </c>
      <c r="G1051" s="663"/>
      <c r="H1051" s="663"/>
      <c r="I1051" s="663"/>
      <c r="J1051" s="663"/>
      <c r="K1051" s="663"/>
      <c r="L1051" s="663"/>
      <c r="M1051" s="663"/>
      <c r="N1051" s="663"/>
      <c r="O1051" s="663"/>
      <c r="P1051" s="663"/>
      <c r="Q1051" s="663"/>
      <c r="R1051" s="663"/>
      <c r="S1051" s="663"/>
      <c r="T1051" s="663"/>
      <c r="U1051" s="663"/>
      <c r="V1051" s="663"/>
      <c r="W1051" s="663"/>
      <c r="X1051" s="663"/>
      <c r="Y1051" s="663"/>
      <c r="Z1051" s="663"/>
      <c r="AA1051" s="663"/>
      <c r="AB1051" s="663"/>
      <c r="AC1051" s="663"/>
      <c r="AD1051" s="663"/>
      <c r="AE1051" s="663">
        <v>0</v>
      </c>
      <c r="AF1051" s="663">
        <v>0</v>
      </c>
      <c r="AG1051" s="663">
        <v>0</v>
      </c>
      <c r="AH1051" s="663"/>
      <c r="AI1051" s="663"/>
      <c r="AJ1051" s="663"/>
      <c r="AK1051" s="663"/>
      <c r="AL1051" s="663"/>
      <c r="AM1051" s="663"/>
      <c r="AN1051" s="663"/>
      <c r="AO1051" s="663"/>
      <c r="AP1051" s="663"/>
      <c r="AQ1051" s="663"/>
      <c r="AR1051" s="663"/>
      <c r="AS1051" s="663"/>
      <c r="AT1051" s="663"/>
      <c r="AU1051" s="663"/>
      <c r="AV1051" s="663"/>
      <c r="AW1051" s="663"/>
      <c r="AX1051" s="663"/>
      <c r="AY1051" s="663"/>
      <c r="AZ1051" s="663"/>
      <c r="BA1051" s="663"/>
      <c r="BB1051" s="663"/>
      <c r="BC1051" s="663"/>
      <c r="BD1051" s="663"/>
      <c r="BE1051" s="663"/>
      <c r="BF1051" s="663"/>
      <c r="BG1051" s="663"/>
      <c r="BH1051" s="663"/>
      <c r="BI1051" s="663"/>
      <c r="BJ1051" s="663"/>
      <c r="BK1051" s="663"/>
      <c r="BL1051" s="663"/>
      <c r="BM1051" s="663"/>
      <c r="BN1051" s="663"/>
      <c r="BO1051" s="663"/>
      <c r="BP1051" s="663"/>
      <c r="BQ1051" s="663"/>
      <c r="BR1051" s="663"/>
      <c r="BS1051" s="663"/>
      <c r="BT1051" s="663"/>
      <c r="BU1051" s="663"/>
      <c r="BV1051" s="663"/>
      <c r="BW1051" s="663"/>
      <c r="BX1051" s="663"/>
      <c r="BY1051" s="663"/>
      <c r="BZ1051" s="663"/>
      <c r="CA1051" s="663"/>
    </row>
    <row r="1052" spans="1:79" s="740" customFormat="1" hidden="1" outlineLevel="1" x14ac:dyDescent="0.25">
      <c r="A1052" s="654"/>
      <c r="B1052" s="223"/>
      <c r="C1052" s="223"/>
      <c r="D1052" s="223"/>
      <c r="E1052" s="570" t="s">
        <v>1324</v>
      </c>
      <c r="F1052" s="654" t="s">
        <v>1321</v>
      </c>
      <c r="G1052" s="663"/>
      <c r="H1052" s="663"/>
      <c r="I1052" s="663"/>
      <c r="J1052" s="663"/>
      <c r="K1052" s="663"/>
      <c r="L1052" s="663"/>
      <c r="M1052" s="663"/>
      <c r="N1052" s="663"/>
      <c r="O1052" s="663"/>
      <c r="P1052" s="663"/>
      <c r="Q1052" s="663"/>
      <c r="R1052" s="663"/>
      <c r="S1052" s="663"/>
      <c r="T1052" s="663"/>
      <c r="U1052" s="663"/>
      <c r="V1052" s="663"/>
      <c r="W1052" s="663"/>
      <c r="X1052" s="663"/>
      <c r="Y1052" s="663"/>
      <c r="Z1052" s="663"/>
      <c r="AA1052" s="663"/>
      <c r="AB1052" s="663"/>
      <c r="AC1052" s="663"/>
      <c r="AD1052" s="663"/>
      <c r="AE1052" s="663">
        <v>0</v>
      </c>
      <c r="AF1052" s="663">
        <v>0</v>
      </c>
      <c r="AG1052" s="663">
        <v>0</v>
      </c>
      <c r="AH1052" s="663"/>
      <c r="AI1052" s="663"/>
      <c r="AJ1052" s="663"/>
      <c r="AK1052" s="663"/>
      <c r="AL1052" s="663"/>
      <c r="AM1052" s="663"/>
      <c r="AN1052" s="663"/>
      <c r="AO1052" s="663"/>
      <c r="AP1052" s="663"/>
      <c r="AQ1052" s="663"/>
      <c r="AR1052" s="663"/>
      <c r="AS1052" s="663"/>
      <c r="AT1052" s="663"/>
      <c r="AU1052" s="663"/>
      <c r="AV1052" s="663"/>
      <c r="AW1052" s="663"/>
      <c r="AX1052" s="663"/>
      <c r="AY1052" s="663"/>
      <c r="AZ1052" s="663"/>
      <c r="BA1052" s="663"/>
      <c r="BB1052" s="663"/>
      <c r="BC1052" s="663"/>
      <c r="BD1052" s="663"/>
      <c r="BE1052" s="663"/>
      <c r="BF1052" s="663"/>
      <c r="BG1052" s="663"/>
      <c r="BH1052" s="663"/>
      <c r="BI1052" s="663"/>
      <c r="BJ1052" s="663"/>
      <c r="BK1052" s="663"/>
      <c r="BL1052" s="663"/>
      <c r="BM1052" s="663"/>
      <c r="BN1052" s="663"/>
      <c r="BO1052" s="663"/>
      <c r="BP1052" s="663"/>
      <c r="BQ1052" s="663"/>
      <c r="BR1052" s="663"/>
      <c r="BS1052" s="663"/>
      <c r="BT1052" s="663"/>
      <c r="BU1052" s="663"/>
      <c r="BV1052" s="663"/>
      <c r="BW1052" s="663"/>
      <c r="BX1052" s="663"/>
      <c r="BY1052" s="663"/>
      <c r="BZ1052" s="663"/>
      <c r="CA1052" s="663"/>
    </row>
    <row r="1053" spans="1:79" s="308" customFormat="1" hidden="1" outlineLevel="1" x14ac:dyDescent="0.25">
      <c r="A1053" s="654"/>
      <c r="B1053" s="223"/>
      <c r="C1053" s="223"/>
      <c r="D1053" s="223"/>
      <c r="E1053" s="570" t="s">
        <v>1325</v>
      </c>
      <c r="F1053" s="654" t="s">
        <v>696</v>
      </c>
      <c r="G1053" s="663"/>
      <c r="H1053" s="663"/>
      <c r="I1053" s="663"/>
      <c r="J1053" s="663"/>
      <c r="K1053" s="663"/>
      <c r="L1053" s="663"/>
      <c r="M1053" s="663"/>
      <c r="N1053" s="663"/>
      <c r="O1053" s="663"/>
      <c r="P1053" s="663"/>
      <c r="Q1053" s="663"/>
      <c r="R1053" s="663"/>
      <c r="S1053" s="663">
        <v>0</v>
      </c>
      <c r="T1053" s="663">
        <v>0</v>
      </c>
      <c r="U1053" s="663">
        <v>0</v>
      </c>
      <c r="V1053" s="663">
        <v>0</v>
      </c>
      <c r="W1053" s="663">
        <v>0</v>
      </c>
      <c r="X1053" s="663">
        <v>0</v>
      </c>
      <c r="Y1053" s="663">
        <v>0</v>
      </c>
      <c r="Z1053" s="663">
        <v>0</v>
      </c>
      <c r="AA1053" s="663">
        <v>0</v>
      </c>
      <c r="AB1053" s="663">
        <v>0</v>
      </c>
      <c r="AC1053" s="663">
        <v>0</v>
      </c>
      <c r="AD1053" s="663">
        <v>0</v>
      </c>
      <c r="AE1053" s="663">
        <v>0</v>
      </c>
      <c r="AF1053" s="663">
        <v>0</v>
      </c>
      <c r="AG1053" s="663">
        <v>0</v>
      </c>
      <c r="AH1053" s="663"/>
      <c r="AI1053" s="663"/>
      <c r="AJ1053" s="663"/>
      <c r="AK1053" s="663"/>
      <c r="AL1053" s="663"/>
      <c r="AM1053" s="663"/>
      <c r="AN1053" s="663"/>
      <c r="AO1053" s="663"/>
      <c r="AP1053" s="663"/>
      <c r="AQ1053" s="663"/>
      <c r="AR1053" s="663"/>
      <c r="AS1053" s="663"/>
      <c r="AT1053" s="663"/>
      <c r="AU1053" s="663"/>
      <c r="AV1053" s="663"/>
      <c r="AW1053" s="663"/>
      <c r="AX1053" s="663"/>
      <c r="AY1053" s="663"/>
      <c r="AZ1053" s="663"/>
      <c r="BA1053" s="663"/>
      <c r="BB1053" s="663"/>
      <c r="BC1053" s="663"/>
      <c r="BD1053" s="663"/>
      <c r="BE1053" s="663"/>
      <c r="BF1053" s="663"/>
      <c r="BG1053" s="663"/>
      <c r="BH1053" s="663"/>
      <c r="BI1053" s="663"/>
      <c r="BJ1053" s="663"/>
      <c r="BK1053" s="663"/>
      <c r="BL1053" s="663"/>
      <c r="BM1053" s="663"/>
      <c r="BN1053" s="663"/>
      <c r="BO1053" s="663"/>
      <c r="BP1053" s="663"/>
      <c r="BQ1053" s="663"/>
      <c r="BR1053" s="663"/>
      <c r="BS1053" s="663"/>
      <c r="BT1053" s="663"/>
      <c r="BU1053" s="663"/>
      <c r="BV1053" s="663"/>
      <c r="BW1053" s="663"/>
      <c r="BX1053" s="663"/>
      <c r="BY1053" s="663"/>
      <c r="BZ1053" s="663"/>
      <c r="CA1053" s="663"/>
    </row>
    <row r="1054" spans="1:79" s="740" customFormat="1" hidden="1" outlineLevel="1" x14ac:dyDescent="0.25">
      <c r="A1054" s="655"/>
      <c r="B1054" s="223"/>
      <c r="C1054" s="223"/>
      <c r="D1054" s="223"/>
      <c r="E1054" s="570" t="s">
        <v>1326</v>
      </c>
      <c r="F1054" s="655" t="s">
        <v>850</v>
      </c>
      <c r="G1054" s="663"/>
      <c r="H1054" s="663"/>
      <c r="I1054" s="663"/>
      <c r="J1054" s="663"/>
      <c r="K1054" s="663"/>
      <c r="L1054" s="663"/>
      <c r="M1054" s="663"/>
      <c r="N1054" s="663"/>
      <c r="O1054" s="663"/>
      <c r="P1054" s="663"/>
      <c r="Q1054" s="663"/>
      <c r="R1054" s="663"/>
      <c r="S1054" s="663">
        <v>0</v>
      </c>
      <c r="T1054" s="663">
        <v>0</v>
      </c>
      <c r="U1054" s="663">
        <v>0</v>
      </c>
      <c r="V1054" s="663">
        <v>0</v>
      </c>
      <c r="W1054" s="663">
        <v>0</v>
      </c>
      <c r="X1054" s="663">
        <v>0</v>
      </c>
      <c r="Y1054" s="663">
        <v>0</v>
      </c>
      <c r="Z1054" s="663">
        <v>0</v>
      </c>
      <c r="AA1054" s="663">
        <v>0</v>
      </c>
      <c r="AB1054" s="663">
        <v>0</v>
      </c>
      <c r="AC1054" s="663">
        <v>0</v>
      </c>
      <c r="AD1054" s="663">
        <v>0</v>
      </c>
      <c r="AE1054" s="663">
        <v>0</v>
      </c>
      <c r="AF1054" s="663">
        <v>0</v>
      </c>
      <c r="AG1054" s="663">
        <v>0</v>
      </c>
      <c r="AH1054" s="663"/>
      <c r="AI1054" s="663"/>
      <c r="AJ1054" s="663"/>
      <c r="AK1054" s="663"/>
      <c r="AL1054" s="663"/>
      <c r="AM1054" s="663"/>
      <c r="AN1054" s="663"/>
      <c r="AO1054" s="663"/>
      <c r="AP1054" s="663"/>
      <c r="AQ1054" s="663"/>
      <c r="AR1054" s="663"/>
      <c r="AS1054" s="663"/>
      <c r="AT1054" s="663"/>
      <c r="AU1054" s="663"/>
      <c r="AV1054" s="663"/>
      <c r="AW1054" s="663"/>
      <c r="AX1054" s="663"/>
      <c r="AY1054" s="663"/>
      <c r="AZ1054" s="663"/>
      <c r="BA1054" s="663"/>
      <c r="BB1054" s="663"/>
      <c r="BC1054" s="663"/>
      <c r="BD1054" s="663"/>
      <c r="BE1054" s="663"/>
      <c r="BF1054" s="663"/>
      <c r="BG1054" s="663"/>
      <c r="BH1054" s="663"/>
      <c r="BI1054" s="663"/>
      <c r="BJ1054" s="663"/>
      <c r="BK1054" s="663"/>
      <c r="BL1054" s="663"/>
      <c r="BM1054" s="663"/>
      <c r="BN1054" s="663"/>
      <c r="BO1054" s="663"/>
      <c r="BP1054" s="663"/>
      <c r="BQ1054" s="663"/>
      <c r="BR1054" s="663"/>
      <c r="BS1054" s="663"/>
      <c r="BT1054" s="663"/>
      <c r="BU1054" s="663"/>
      <c r="BV1054" s="663"/>
      <c r="BW1054" s="663"/>
      <c r="BX1054" s="663"/>
      <c r="BY1054" s="663"/>
      <c r="BZ1054" s="663"/>
      <c r="CA1054" s="663"/>
    </row>
    <row r="1055" spans="1:79" s="308" customFormat="1" hidden="1" outlineLevel="1" x14ac:dyDescent="0.25">
      <c r="A1055" s="655"/>
      <c r="B1055" s="223"/>
      <c r="C1055" s="223"/>
      <c r="D1055" s="223"/>
      <c r="E1055" s="570" t="s">
        <v>851</v>
      </c>
      <c r="F1055" s="655" t="s">
        <v>851</v>
      </c>
      <c r="G1055" s="663"/>
      <c r="H1055" s="663"/>
      <c r="I1055" s="663"/>
      <c r="J1055" s="663"/>
      <c r="K1055" s="663"/>
      <c r="L1055" s="663"/>
      <c r="M1055" s="663"/>
      <c r="N1055" s="663"/>
      <c r="O1055" s="663"/>
      <c r="P1055" s="663"/>
      <c r="Q1055" s="663"/>
      <c r="R1055" s="663"/>
      <c r="S1055" s="663">
        <v>0</v>
      </c>
      <c r="T1055" s="663">
        <v>0</v>
      </c>
      <c r="U1055" s="663">
        <v>0</v>
      </c>
      <c r="V1055" s="663">
        <v>0</v>
      </c>
      <c r="W1055" s="663">
        <v>0</v>
      </c>
      <c r="X1055" s="663">
        <v>0</v>
      </c>
      <c r="Y1055" s="663">
        <v>0</v>
      </c>
      <c r="Z1055" s="663">
        <v>0</v>
      </c>
      <c r="AA1055" s="663">
        <v>0</v>
      </c>
      <c r="AB1055" s="663">
        <v>0</v>
      </c>
      <c r="AC1055" s="663">
        <v>0</v>
      </c>
      <c r="AD1055" s="663">
        <v>0</v>
      </c>
      <c r="AE1055" s="663">
        <v>0</v>
      </c>
      <c r="AF1055" s="663">
        <v>0</v>
      </c>
      <c r="AG1055" s="663">
        <v>0</v>
      </c>
      <c r="AH1055" s="663"/>
      <c r="AI1055" s="663"/>
      <c r="AJ1055" s="663"/>
      <c r="AK1055" s="663"/>
      <c r="AL1055" s="663"/>
      <c r="AM1055" s="663"/>
      <c r="AN1055" s="663"/>
      <c r="AO1055" s="663"/>
      <c r="AP1055" s="663"/>
      <c r="AQ1055" s="663"/>
      <c r="AR1055" s="663"/>
      <c r="AS1055" s="663"/>
      <c r="AT1055" s="663"/>
      <c r="AU1055" s="663"/>
      <c r="AV1055" s="663"/>
      <c r="AW1055" s="663"/>
      <c r="AX1055" s="663"/>
      <c r="AY1055" s="663"/>
      <c r="AZ1055" s="663"/>
      <c r="BA1055" s="663"/>
      <c r="BB1055" s="663"/>
      <c r="BC1055" s="663"/>
      <c r="BD1055" s="663"/>
      <c r="BE1055" s="663"/>
      <c r="BF1055" s="663"/>
      <c r="BG1055" s="663"/>
      <c r="BH1055" s="663"/>
      <c r="BI1055" s="663"/>
      <c r="BJ1055" s="663"/>
      <c r="BK1055" s="663"/>
      <c r="BL1055" s="663"/>
      <c r="BM1055" s="663"/>
      <c r="BN1055" s="663"/>
      <c r="BO1055" s="663"/>
      <c r="BP1055" s="663"/>
      <c r="BQ1055" s="663"/>
      <c r="BR1055" s="663"/>
      <c r="BS1055" s="663"/>
      <c r="BT1055" s="663"/>
      <c r="BU1055" s="663"/>
      <c r="BV1055" s="663"/>
      <c r="BW1055" s="663"/>
      <c r="BX1055" s="663"/>
      <c r="BY1055" s="663"/>
      <c r="BZ1055" s="663"/>
      <c r="CA1055" s="663"/>
    </row>
    <row r="1056" spans="1:79" s="308" customFormat="1" hidden="1" outlineLevel="1" x14ac:dyDescent="0.25">
      <c r="A1056" s="655"/>
      <c r="B1056" s="223"/>
      <c r="C1056" s="223"/>
      <c r="D1056" s="223"/>
      <c r="E1056" s="570" t="s">
        <v>852</v>
      </c>
      <c r="F1056" s="655" t="s">
        <v>852</v>
      </c>
      <c r="G1056" s="663"/>
      <c r="H1056" s="663"/>
      <c r="I1056" s="663"/>
      <c r="J1056" s="663"/>
      <c r="K1056" s="663"/>
      <c r="L1056" s="663"/>
      <c r="M1056" s="663"/>
      <c r="N1056" s="663"/>
      <c r="O1056" s="663"/>
      <c r="P1056" s="663"/>
      <c r="Q1056" s="663"/>
      <c r="R1056" s="663"/>
      <c r="S1056" s="663">
        <v>0</v>
      </c>
      <c r="T1056" s="663">
        <v>0</v>
      </c>
      <c r="U1056" s="663">
        <v>0</v>
      </c>
      <c r="V1056" s="663">
        <v>0</v>
      </c>
      <c r="W1056" s="663">
        <v>0</v>
      </c>
      <c r="X1056" s="663">
        <v>0</v>
      </c>
      <c r="Y1056" s="663">
        <v>0</v>
      </c>
      <c r="Z1056" s="663">
        <v>0</v>
      </c>
      <c r="AA1056" s="663">
        <v>0</v>
      </c>
      <c r="AB1056" s="663">
        <v>0</v>
      </c>
      <c r="AC1056" s="663">
        <v>0</v>
      </c>
      <c r="AD1056" s="663">
        <v>0</v>
      </c>
      <c r="AE1056" s="663">
        <v>0</v>
      </c>
      <c r="AF1056" s="663">
        <v>0</v>
      </c>
      <c r="AG1056" s="663">
        <v>0</v>
      </c>
      <c r="AH1056" s="663"/>
      <c r="AI1056" s="663"/>
      <c r="AJ1056" s="663"/>
      <c r="AK1056" s="663"/>
      <c r="AL1056" s="663"/>
      <c r="AM1056" s="663"/>
      <c r="AN1056" s="663"/>
      <c r="AO1056" s="663"/>
      <c r="AP1056" s="663"/>
      <c r="AQ1056" s="663"/>
      <c r="AR1056" s="663"/>
      <c r="AS1056" s="663"/>
      <c r="AT1056" s="663"/>
      <c r="AU1056" s="663"/>
      <c r="AV1056" s="663"/>
      <c r="AW1056" s="663"/>
      <c r="AX1056" s="663"/>
      <c r="AY1056" s="663"/>
      <c r="AZ1056" s="663"/>
      <c r="BA1056" s="663"/>
      <c r="BB1056" s="663"/>
      <c r="BC1056" s="663"/>
      <c r="BD1056" s="663"/>
      <c r="BE1056" s="663"/>
      <c r="BF1056" s="663"/>
      <c r="BG1056" s="663"/>
      <c r="BH1056" s="663"/>
      <c r="BI1056" s="663"/>
      <c r="BJ1056" s="663"/>
      <c r="BK1056" s="663"/>
      <c r="BL1056" s="663"/>
      <c r="BM1056" s="663"/>
      <c r="BN1056" s="663"/>
      <c r="BO1056" s="663"/>
      <c r="BP1056" s="663"/>
      <c r="BQ1056" s="663"/>
      <c r="BR1056" s="663"/>
      <c r="BS1056" s="663"/>
      <c r="BT1056" s="663"/>
      <c r="BU1056" s="663"/>
      <c r="BV1056" s="663"/>
      <c r="BW1056" s="663"/>
      <c r="BX1056" s="663"/>
      <c r="BY1056" s="663"/>
      <c r="BZ1056" s="663"/>
      <c r="CA1056" s="663"/>
    </row>
    <row r="1057" spans="1:79" s="308" customFormat="1" hidden="1" outlineLevel="1" x14ac:dyDescent="0.25">
      <c r="A1057" s="655"/>
      <c r="B1057" s="223"/>
      <c r="C1057" s="223"/>
      <c r="D1057" s="223"/>
      <c r="E1057" s="570" t="s">
        <v>697</v>
      </c>
      <c r="F1057" s="655" t="s">
        <v>697</v>
      </c>
      <c r="G1057" s="663"/>
      <c r="H1057" s="663"/>
      <c r="I1057" s="663"/>
      <c r="J1057" s="663"/>
      <c r="K1057" s="663"/>
      <c r="L1057" s="663"/>
      <c r="M1057" s="663"/>
      <c r="N1057" s="663"/>
      <c r="O1057" s="663"/>
      <c r="P1057" s="663"/>
      <c r="Q1057" s="663"/>
      <c r="R1057" s="663"/>
      <c r="S1057" s="663">
        <v>0</v>
      </c>
      <c r="T1057" s="663">
        <v>0</v>
      </c>
      <c r="U1057" s="663">
        <v>0</v>
      </c>
      <c r="V1057" s="663">
        <v>0</v>
      </c>
      <c r="W1057" s="663">
        <v>0</v>
      </c>
      <c r="X1057" s="663">
        <v>0</v>
      </c>
      <c r="Y1057" s="663">
        <v>0</v>
      </c>
      <c r="Z1057" s="663">
        <v>0</v>
      </c>
      <c r="AA1057" s="663">
        <v>0</v>
      </c>
      <c r="AB1057" s="663">
        <v>0</v>
      </c>
      <c r="AC1057" s="663">
        <v>0</v>
      </c>
      <c r="AD1057" s="663">
        <v>0</v>
      </c>
      <c r="AE1057" s="663">
        <v>0</v>
      </c>
      <c r="AF1057" s="663">
        <v>0</v>
      </c>
      <c r="AG1057" s="663">
        <v>0</v>
      </c>
      <c r="AH1057" s="663"/>
      <c r="AI1057" s="663"/>
      <c r="AJ1057" s="663"/>
      <c r="AK1057" s="663"/>
      <c r="AL1057" s="663"/>
      <c r="AM1057" s="663"/>
      <c r="AN1057" s="663"/>
      <c r="AO1057" s="663"/>
      <c r="AP1057" s="663"/>
      <c r="AQ1057" s="663"/>
      <c r="AR1057" s="663"/>
      <c r="AS1057" s="663"/>
      <c r="AT1057" s="663"/>
      <c r="AU1057" s="663"/>
      <c r="AV1057" s="663"/>
      <c r="AW1057" s="663"/>
      <c r="AX1057" s="663"/>
      <c r="AY1057" s="663"/>
      <c r="AZ1057" s="663"/>
      <c r="BA1057" s="663"/>
      <c r="BB1057" s="663"/>
      <c r="BC1057" s="663"/>
      <c r="BD1057" s="663"/>
      <c r="BE1057" s="663"/>
      <c r="BF1057" s="663"/>
      <c r="BG1057" s="663"/>
      <c r="BH1057" s="663"/>
      <c r="BI1057" s="663"/>
      <c r="BJ1057" s="663"/>
      <c r="BK1057" s="663"/>
      <c r="BL1057" s="663"/>
      <c r="BM1057" s="663"/>
      <c r="BN1057" s="663"/>
      <c r="BO1057" s="663"/>
      <c r="BP1057" s="663"/>
      <c r="BQ1057" s="663"/>
      <c r="BR1057" s="663"/>
      <c r="BS1057" s="663"/>
      <c r="BT1057" s="663"/>
      <c r="BU1057" s="663"/>
      <c r="BV1057" s="663"/>
      <c r="BW1057" s="663"/>
      <c r="BX1057" s="663"/>
      <c r="BY1057" s="663"/>
      <c r="BZ1057" s="663"/>
      <c r="CA1057" s="663"/>
    </row>
    <row r="1058" spans="1:79" s="740" customFormat="1" hidden="1" outlineLevel="1" x14ac:dyDescent="0.25">
      <c r="A1058" s="655"/>
      <c r="B1058" s="223"/>
      <c r="C1058" s="223"/>
      <c r="D1058" s="223"/>
      <c r="E1058" s="570" t="s">
        <v>1325</v>
      </c>
      <c r="F1058" s="655" t="s">
        <v>853</v>
      </c>
      <c r="G1058" s="663"/>
      <c r="H1058" s="663"/>
      <c r="I1058" s="663"/>
      <c r="J1058" s="663"/>
      <c r="K1058" s="663"/>
      <c r="L1058" s="663"/>
      <c r="M1058" s="663"/>
      <c r="N1058" s="663"/>
      <c r="O1058" s="663"/>
      <c r="P1058" s="663"/>
      <c r="Q1058" s="663"/>
      <c r="R1058" s="663"/>
      <c r="S1058" s="663">
        <v>0</v>
      </c>
      <c r="T1058" s="663">
        <v>0</v>
      </c>
      <c r="U1058" s="663">
        <v>0</v>
      </c>
      <c r="V1058" s="663">
        <v>0</v>
      </c>
      <c r="W1058" s="663">
        <v>0</v>
      </c>
      <c r="X1058" s="663">
        <v>0</v>
      </c>
      <c r="Y1058" s="663">
        <v>0</v>
      </c>
      <c r="Z1058" s="663">
        <v>0</v>
      </c>
      <c r="AA1058" s="663">
        <v>0</v>
      </c>
      <c r="AB1058" s="663">
        <v>0</v>
      </c>
      <c r="AC1058" s="663">
        <v>0</v>
      </c>
      <c r="AD1058" s="663">
        <v>0</v>
      </c>
      <c r="AE1058" s="663">
        <v>0</v>
      </c>
      <c r="AF1058" s="663">
        <v>0</v>
      </c>
      <c r="AG1058" s="663">
        <v>0</v>
      </c>
      <c r="AH1058" s="663"/>
      <c r="AI1058" s="663"/>
      <c r="AJ1058" s="663"/>
      <c r="AK1058" s="663"/>
      <c r="AL1058" s="663"/>
      <c r="AM1058" s="663"/>
      <c r="AN1058" s="663"/>
      <c r="AO1058" s="663"/>
      <c r="AP1058" s="663"/>
      <c r="AQ1058" s="663"/>
      <c r="AR1058" s="663"/>
      <c r="AS1058" s="663"/>
      <c r="AT1058" s="663"/>
      <c r="AU1058" s="663"/>
      <c r="AV1058" s="663"/>
      <c r="AW1058" s="663"/>
      <c r="AX1058" s="663"/>
      <c r="AY1058" s="663"/>
      <c r="AZ1058" s="663"/>
      <c r="BA1058" s="663"/>
      <c r="BB1058" s="663"/>
      <c r="BC1058" s="663"/>
      <c r="BD1058" s="663"/>
      <c r="BE1058" s="663"/>
      <c r="BF1058" s="663"/>
      <c r="BG1058" s="663"/>
      <c r="BH1058" s="663"/>
      <c r="BI1058" s="663"/>
      <c r="BJ1058" s="663"/>
      <c r="BK1058" s="663"/>
      <c r="BL1058" s="663"/>
      <c r="BM1058" s="663"/>
      <c r="BN1058" s="663"/>
      <c r="BO1058" s="663"/>
      <c r="BP1058" s="663"/>
      <c r="BQ1058" s="663"/>
      <c r="BR1058" s="663"/>
      <c r="BS1058" s="663"/>
      <c r="BT1058" s="663"/>
      <c r="BU1058" s="663"/>
      <c r="BV1058" s="663"/>
      <c r="BW1058" s="663"/>
      <c r="BX1058" s="663"/>
      <c r="BY1058" s="663"/>
      <c r="BZ1058" s="663"/>
      <c r="CA1058" s="663"/>
    </row>
    <row r="1059" spans="1:79" s="740" customFormat="1" hidden="1" outlineLevel="1" x14ac:dyDescent="0.25">
      <c r="A1059" s="691"/>
      <c r="B1059" s="693"/>
      <c r="C1059" s="693"/>
      <c r="D1059" s="693"/>
      <c r="E1059" s="570" t="s">
        <v>657</v>
      </c>
      <c r="F1059" s="691" t="s">
        <v>657</v>
      </c>
      <c r="G1059" s="692"/>
      <c r="H1059" s="692"/>
      <c r="I1059" s="692"/>
      <c r="J1059" s="692"/>
      <c r="K1059" s="692"/>
      <c r="L1059" s="692"/>
      <c r="M1059" s="692"/>
      <c r="N1059" s="692"/>
      <c r="O1059" s="692"/>
      <c r="P1059" s="692"/>
      <c r="Q1059" s="692"/>
      <c r="R1059" s="692"/>
      <c r="S1059" s="692"/>
      <c r="T1059" s="692"/>
      <c r="U1059" s="692"/>
      <c r="V1059" s="692"/>
      <c r="W1059" s="692"/>
      <c r="X1059" s="692"/>
      <c r="Y1059" s="692"/>
      <c r="Z1059" s="692"/>
      <c r="AA1059" s="692"/>
      <c r="AB1059" s="692"/>
      <c r="AC1059" s="692"/>
      <c r="AD1059" s="692"/>
      <c r="AE1059" s="692"/>
      <c r="AF1059" s="692"/>
      <c r="AG1059" s="692"/>
      <c r="AH1059" s="692"/>
      <c r="AI1059" s="692"/>
      <c r="AJ1059" s="692"/>
      <c r="AK1059" s="692"/>
      <c r="AL1059" s="692"/>
      <c r="AM1059" s="692"/>
      <c r="AN1059" s="692"/>
      <c r="AO1059" s="692"/>
      <c r="AP1059" s="692"/>
      <c r="AQ1059" s="692"/>
      <c r="AR1059" s="692"/>
      <c r="AS1059" s="692"/>
      <c r="AT1059" s="692"/>
      <c r="AU1059" s="692"/>
      <c r="AV1059" s="692"/>
      <c r="AW1059" s="692"/>
      <c r="AX1059" s="692"/>
      <c r="AY1059" s="692"/>
      <c r="AZ1059" s="692"/>
      <c r="BA1059" s="692"/>
      <c r="BB1059" s="692"/>
      <c r="BC1059" s="692"/>
      <c r="BD1059" s="692"/>
      <c r="BE1059" s="692"/>
      <c r="BF1059" s="692"/>
      <c r="BG1059" s="692"/>
      <c r="BH1059" s="692"/>
      <c r="BI1059" s="692"/>
      <c r="BJ1059" s="692"/>
      <c r="BK1059" s="692"/>
      <c r="BL1059" s="692"/>
      <c r="BM1059" s="692"/>
      <c r="BN1059" s="692"/>
      <c r="BO1059" s="692"/>
      <c r="BP1059" s="692"/>
      <c r="BQ1059" s="692"/>
      <c r="BR1059" s="692"/>
      <c r="BS1059" s="692"/>
      <c r="BT1059" s="692"/>
      <c r="BU1059" s="692"/>
      <c r="BV1059" s="692"/>
      <c r="BW1059" s="692"/>
      <c r="BX1059" s="692"/>
      <c r="BY1059" s="692"/>
      <c r="BZ1059" s="692"/>
      <c r="CA1059" s="692"/>
    </row>
    <row r="1060" spans="1:79" s="308" customFormat="1" hidden="1" outlineLevel="1" x14ac:dyDescent="0.25">
      <c r="A1060" s="656"/>
      <c r="B1060" s="223"/>
      <c r="C1060" s="223"/>
      <c r="D1060" s="223"/>
      <c r="E1060" s="570" t="s">
        <v>657</v>
      </c>
      <c r="F1060" s="656" t="s">
        <v>658</v>
      </c>
      <c r="G1060" s="663"/>
      <c r="H1060" s="663"/>
      <c r="I1060" s="663"/>
      <c r="J1060" s="663"/>
      <c r="K1060" s="663"/>
      <c r="L1060" s="663"/>
      <c r="M1060" s="663"/>
      <c r="N1060" s="663"/>
      <c r="O1060" s="663"/>
      <c r="P1060" s="663"/>
      <c r="Q1060" s="663"/>
      <c r="R1060" s="663"/>
      <c r="S1060" s="663">
        <v>0</v>
      </c>
      <c r="T1060" s="663">
        <v>0</v>
      </c>
      <c r="U1060" s="663">
        <v>0</v>
      </c>
      <c r="V1060" s="663">
        <v>0</v>
      </c>
      <c r="W1060" s="663">
        <v>0</v>
      </c>
      <c r="X1060" s="663">
        <v>0</v>
      </c>
      <c r="Y1060" s="663">
        <v>0</v>
      </c>
      <c r="Z1060" s="663">
        <v>0</v>
      </c>
      <c r="AA1060" s="663">
        <v>0</v>
      </c>
      <c r="AB1060" s="663">
        <v>0</v>
      </c>
      <c r="AC1060" s="663">
        <v>0</v>
      </c>
      <c r="AD1060" s="663">
        <v>0</v>
      </c>
      <c r="AE1060" s="663">
        <v>0</v>
      </c>
      <c r="AF1060" s="663">
        <v>0</v>
      </c>
      <c r="AG1060" s="663">
        <v>0</v>
      </c>
      <c r="AH1060" s="663"/>
      <c r="AI1060" s="663"/>
      <c r="AJ1060" s="663"/>
      <c r="AK1060" s="663"/>
      <c r="AL1060" s="663"/>
      <c r="AM1060" s="663"/>
      <c r="AN1060" s="663"/>
      <c r="AO1060" s="663"/>
      <c r="AP1060" s="663"/>
      <c r="AQ1060" s="663"/>
      <c r="AR1060" s="663"/>
      <c r="AS1060" s="663"/>
      <c r="AT1060" s="663"/>
      <c r="AU1060" s="663"/>
      <c r="AV1060" s="663"/>
      <c r="AW1060" s="663"/>
      <c r="AX1060" s="663"/>
      <c r="AY1060" s="663"/>
      <c r="AZ1060" s="663"/>
      <c r="BA1060" s="663"/>
      <c r="BB1060" s="663"/>
      <c r="BC1060" s="663"/>
      <c r="BD1060" s="663"/>
      <c r="BE1060" s="663"/>
      <c r="BF1060" s="663"/>
      <c r="BG1060" s="663"/>
      <c r="BH1060" s="663"/>
      <c r="BI1060" s="663"/>
      <c r="BJ1060" s="663"/>
      <c r="BK1060" s="663"/>
      <c r="BL1060" s="663"/>
      <c r="BM1060" s="663"/>
      <c r="BN1060" s="663"/>
      <c r="BO1060" s="663"/>
      <c r="BP1060" s="663"/>
      <c r="BQ1060" s="663"/>
      <c r="BR1060" s="663"/>
      <c r="BS1060" s="663"/>
      <c r="BT1060" s="663"/>
      <c r="BU1060" s="663"/>
      <c r="BV1060" s="663"/>
      <c r="BW1060" s="663"/>
      <c r="BX1060" s="663"/>
      <c r="BY1060" s="663"/>
      <c r="BZ1060" s="663"/>
      <c r="CA1060" s="663"/>
    </row>
    <row r="1061" spans="1:79" s="308" customFormat="1" hidden="1" outlineLevel="1" x14ac:dyDescent="0.25">
      <c r="A1061" s="656"/>
      <c r="B1061" s="223"/>
      <c r="C1061" s="223"/>
      <c r="D1061" s="223"/>
      <c r="E1061" s="570" t="s">
        <v>657</v>
      </c>
      <c r="F1061" s="656" t="s">
        <v>854</v>
      </c>
      <c r="G1061" s="663"/>
      <c r="H1061" s="663"/>
      <c r="I1061" s="663"/>
      <c r="J1061" s="663"/>
      <c r="K1061" s="663"/>
      <c r="L1061" s="663"/>
      <c r="M1061" s="663"/>
      <c r="N1061" s="663"/>
      <c r="O1061" s="663"/>
      <c r="P1061" s="663"/>
      <c r="Q1061" s="663"/>
      <c r="R1061" s="663"/>
      <c r="S1061" s="663">
        <v>0</v>
      </c>
      <c r="T1061" s="663">
        <v>0</v>
      </c>
      <c r="U1061" s="663">
        <v>0</v>
      </c>
      <c r="V1061" s="663">
        <v>0</v>
      </c>
      <c r="W1061" s="663">
        <v>0</v>
      </c>
      <c r="X1061" s="663">
        <v>0</v>
      </c>
      <c r="Y1061" s="663">
        <v>0</v>
      </c>
      <c r="Z1061" s="663">
        <v>0</v>
      </c>
      <c r="AA1061" s="663">
        <v>0</v>
      </c>
      <c r="AB1061" s="663">
        <v>0</v>
      </c>
      <c r="AC1061" s="663">
        <v>0</v>
      </c>
      <c r="AD1061" s="663">
        <v>0</v>
      </c>
      <c r="AE1061" s="663">
        <v>0</v>
      </c>
      <c r="AF1061" s="663">
        <v>0</v>
      </c>
      <c r="AG1061" s="663">
        <v>0</v>
      </c>
      <c r="AH1061" s="663"/>
      <c r="AI1061" s="663"/>
      <c r="AJ1061" s="663"/>
      <c r="AK1061" s="663"/>
      <c r="AL1061" s="663"/>
      <c r="AM1061" s="663"/>
      <c r="AN1061" s="663"/>
      <c r="AO1061" s="663"/>
      <c r="AP1061" s="663"/>
      <c r="AQ1061" s="663"/>
      <c r="AR1061" s="663"/>
      <c r="AS1061" s="663"/>
      <c r="AT1061" s="663"/>
      <c r="AU1061" s="663"/>
      <c r="AV1061" s="663"/>
      <c r="AW1061" s="663"/>
      <c r="AX1061" s="663"/>
      <c r="AY1061" s="663"/>
      <c r="AZ1061" s="663"/>
      <c r="BA1061" s="663"/>
      <c r="BB1061" s="663"/>
      <c r="BC1061" s="663"/>
      <c r="BD1061" s="663"/>
      <c r="BE1061" s="663"/>
      <c r="BF1061" s="663"/>
      <c r="BG1061" s="663"/>
      <c r="BH1061" s="663"/>
      <c r="BI1061" s="663"/>
      <c r="BJ1061" s="663"/>
      <c r="BK1061" s="663"/>
      <c r="BL1061" s="663"/>
      <c r="BM1061" s="663"/>
      <c r="BN1061" s="663"/>
      <c r="BO1061" s="663"/>
      <c r="BP1061" s="663"/>
      <c r="BQ1061" s="663"/>
      <c r="BR1061" s="663"/>
      <c r="BS1061" s="663"/>
      <c r="BT1061" s="663"/>
      <c r="BU1061" s="663"/>
      <c r="BV1061" s="663"/>
      <c r="BW1061" s="663"/>
      <c r="BX1061" s="663"/>
      <c r="BY1061" s="663"/>
      <c r="BZ1061" s="663"/>
      <c r="CA1061" s="663"/>
    </row>
    <row r="1062" spans="1:79" s="308" customFormat="1" hidden="1" outlineLevel="1" x14ac:dyDescent="0.25">
      <c r="A1062" s="657"/>
      <c r="B1062" s="223"/>
      <c r="C1062" s="223"/>
      <c r="D1062" s="223"/>
      <c r="E1062" s="570" t="s">
        <v>49</v>
      </c>
      <c r="F1062" s="657" t="s">
        <v>659</v>
      </c>
      <c r="G1062" s="664">
        <f>SUM(G1060:G1061)</f>
        <v>0</v>
      </c>
      <c r="H1062" s="664">
        <f t="shared" ref="H1062:Q1062" si="442">SUM(H1060:H1061)</f>
        <v>0</v>
      </c>
      <c r="I1062" s="664">
        <f t="shared" si="442"/>
        <v>0</v>
      </c>
      <c r="J1062" s="664">
        <f t="shared" si="442"/>
        <v>0</v>
      </c>
      <c r="K1062" s="664">
        <f t="shared" si="442"/>
        <v>0</v>
      </c>
      <c r="L1062" s="664">
        <f t="shared" si="442"/>
        <v>0</v>
      </c>
      <c r="M1062" s="664">
        <f t="shared" si="442"/>
        <v>0</v>
      </c>
      <c r="N1062" s="664">
        <f t="shared" si="442"/>
        <v>0</v>
      </c>
      <c r="O1062" s="664">
        <f t="shared" si="442"/>
        <v>0</v>
      </c>
      <c r="P1062" s="664">
        <f t="shared" si="442"/>
        <v>0</v>
      </c>
      <c r="Q1062" s="664">
        <f t="shared" si="442"/>
        <v>0</v>
      </c>
      <c r="R1062" s="664">
        <f>SUM(R1060:R1061)</f>
        <v>0</v>
      </c>
      <c r="S1062" s="664">
        <f t="shared" ref="S1062:AA1062" si="443">ROUND(SUM(S1059:S1061),5)</f>
        <v>0</v>
      </c>
      <c r="T1062" s="664">
        <f t="shared" si="443"/>
        <v>0</v>
      </c>
      <c r="U1062" s="664">
        <f t="shared" si="443"/>
        <v>0</v>
      </c>
      <c r="V1062" s="664">
        <f t="shared" si="443"/>
        <v>0</v>
      </c>
      <c r="W1062" s="664">
        <f t="shared" si="443"/>
        <v>0</v>
      </c>
      <c r="X1062" s="664">
        <f t="shared" si="443"/>
        <v>0</v>
      </c>
      <c r="Y1062" s="664">
        <f t="shared" si="443"/>
        <v>0</v>
      </c>
      <c r="Z1062" s="664">
        <f t="shared" si="443"/>
        <v>0</v>
      </c>
      <c r="AA1062" s="664">
        <f t="shared" si="443"/>
        <v>0</v>
      </c>
      <c r="AB1062" s="664">
        <f t="shared" ref="AB1062:AG1062" si="444">ROUND(SUM(AB1059:AB1061),5)</f>
        <v>0</v>
      </c>
      <c r="AC1062" s="664">
        <f t="shared" si="444"/>
        <v>0</v>
      </c>
      <c r="AD1062" s="664">
        <f t="shared" si="444"/>
        <v>0</v>
      </c>
      <c r="AE1062" s="664">
        <f t="shared" si="444"/>
        <v>0</v>
      </c>
      <c r="AF1062" s="664">
        <f t="shared" si="444"/>
        <v>0</v>
      </c>
      <c r="AG1062" s="664">
        <f t="shared" si="444"/>
        <v>0</v>
      </c>
      <c r="AH1062" s="664">
        <f t="shared" ref="AH1062:BO1062" si="445">SUM(AH1060:AH1061)</f>
        <v>0</v>
      </c>
      <c r="AI1062" s="664">
        <f t="shared" si="445"/>
        <v>0</v>
      </c>
      <c r="AJ1062" s="664">
        <f t="shared" si="445"/>
        <v>0</v>
      </c>
      <c r="AK1062" s="664">
        <f t="shared" si="445"/>
        <v>0</v>
      </c>
      <c r="AL1062" s="664">
        <f t="shared" si="445"/>
        <v>0</v>
      </c>
      <c r="AM1062" s="664">
        <f t="shared" si="445"/>
        <v>0</v>
      </c>
      <c r="AN1062" s="664">
        <f t="shared" si="445"/>
        <v>0</v>
      </c>
      <c r="AO1062" s="664">
        <f t="shared" si="445"/>
        <v>0</v>
      </c>
      <c r="AP1062" s="664">
        <f t="shared" si="445"/>
        <v>0</v>
      </c>
      <c r="AQ1062" s="664">
        <f t="shared" si="445"/>
        <v>0</v>
      </c>
      <c r="AR1062" s="664">
        <f t="shared" si="445"/>
        <v>0</v>
      </c>
      <c r="AS1062" s="664">
        <f t="shared" si="445"/>
        <v>0</v>
      </c>
      <c r="AT1062" s="664">
        <f t="shared" si="445"/>
        <v>0</v>
      </c>
      <c r="AU1062" s="664">
        <f t="shared" si="445"/>
        <v>0</v>
      </c>
      <c r="AV1062" s="664">
        <f t="shared" si="445"/>
        <v>0</v>
      </c>
      <c r="AW1062" s="664">
        <f t="shared" si="445"/>
        <v>0</v>
      </c>
      <c r="AX1062" s="664">
        <f t="shared" si="445"/>
        <v>0</v>
      </c>
      <c r="AY1062" s="664">
        <f t="shared" si="445"/>
        <v>0</v>
      </c>
      <c r="AZ1062" s="664">
        <f t="shared" si="445"/>
        <v>0</v>
      </c>
      <c r="BA1062" s="664">
        <f t="shared" si="445"/>
        <v>0</v>
      </c>
      <c r="BB1062" s="664">
        <f t="shared" si="445"/>
        <v>0</v>
      </c>
      <c r="BC1062" s="664">
        <f t="shared" si="445"/>
        <v>0</v>
      </c>
      <c r="BD1062" s="664">
        <f t="shared" si="445"/>
        <v>0</v>
      </c>
      <c r="BE1062" s="664">
        <f t="shared" si="445"/>
        <v>0</v>
      </c>
      <c r="BF1062" s="664">
        <f t="shared" si="445"/>
        <v>0</v>
      </c>
      <c r="BG1062" s="664">
        <f t="shared" si="445"/>
        <v>0</v>
      </c>
      <c r="BH1062" s="664">
        <f t="shared" si="445"/>
        <v>0</v>
      </c>
      <c r="BI1062" s="664">
        <f t="shared" si="445"/>
        <v>0</v>
      </c>
      <c r="BJ1062" s="664">
        <f t="shared" si="445"/>
        <v>0</v>
      </c>
      <c r="BK1062" s="664">
        <f t="shared" si="445"/>
        <v>0</v>
      </c>
      <c r="BL1062" s="664">
        <f t="shared" si="445"/>
        <v>0</v>
      </c>
      <c r="BM1062" s="664">
        <f t="shared" si="445"/>
        <v>0</v>
      </c>
      <c r="BN1062" s="664">
        <f t="shared" si="445"/>
        <v>0</v>
      </c>
      <c r="BO1062" s="664">
        <f t="shared" si="445"/>
        <v>0</v>
      </c>
      <c r="BP1062" s="664">
        <f t="shared" ref="BP1062:CA1062" si="446">SUM(BP1060:BP1061)</f>
        <v>0</v>
      </c>
      <c r="BQ1062" s="664">
        <f t="shared" si="446"/>
        <v>0</v>
      </c>
      <c r="BR1062" s="664">
        <f t="shared" si="446"/>
        <v>0</v>
      </c>
      <c r="BS1062" s="664">
        <f t="shared" si="446"/>
        <v>0</v>
      </c>
      <c r="BT1062" s="664">
        <f t="shared" si="446"/>
        <v>0</v>
      </c>
      <c r="BU1062" s="664">
        <f t="shared" si="446"/>
        <v>0</v>
      </c>
      <c r="BV1062" s="664">
        <f t="shared" si="446"/>
        <v>0</v>
      </c>
      <c r="BW1062" s="664">
        <f t="shared" si="446"/>
        <v>0</v>
      </c>
      <c r="BX1062" s="664">
        <f t="shared" si="446"/>
        <v>0</v>
      </c>
      <c r="BY1062" s="664">
        <f t="shared" si="446"/>
        <v>0</v>
      </c>
      <c r="BZ1062" s="664">
        <f t="shared" si="446"/>
        <v>0</v>
      </c>
      <c r="CA1062" s="664">
        <f t="shared" si="446"/>
        <v>0</v>
      </c>
    </row>
    <row r="1063" spans="1:79" s="740" customFormat="1" hidden="1" outlineLevel="1" x14ac:dyDescent="0.25">
      <c r="A1063" s="655"/>
      <c r="B1063" s="223"/>
      <c r="C1063" s="223"/>
      <c r="D1063" s="223"/>
      <c r="E1063" s="570" t="s">
        <v>695</v>
      </c>
      <c r="F1063" s="655" t="s">
        <v>695</v>
      </c>
      <c r="G1063" s="663"/>
      <c r="H1063" s="663"/>
      <c r="I1063" s="663"/>
      <c r="J1063" s="663"/>
      <c r="K1063" s="663"/>
      <c r="L1063" s="663"/>
      <c r="M1063" s="663"/>
      <c r="N1063" s="663"/>
      <c r="O1063" s="663"/>
      <c r="P1063" s="663"/>
      <c r="Q1063" s="663"/>
      <c r="R1063" s="663"/>
      <c r="S1063" s="663">
        <v>0</v>
      </c>
      <c r="T1063" s="663">
        <v>0</v>
      </c>
      <c r="U1063" s="663">
        <v>0</v>
      </c>
      <c r="V1063" s="663">
        <v>0</v>
      </c>
      <c r="W1063" s="663">
        <v>0</v>
      </c>
      <c r="X1063" s="663">
        <v>0</v>
      </c>
      <c r="Y1063" s="663">
        <v>0</v>
      </c>
      <c r="Z1063" s="663">
        <v>0</v>
      </c>
      <c r="AA1063" s="663">
        <v>0</v>
      </c>
      <c r="AB1063" s="663">
        <v>0</v>
      </c>
      <c r="AC1063" s="663">
        <v>0</v>
      </c>
      <c r="AD1063" s="663">
        <v>0</v>
      </c>
      <c r="AE1063" s="663">
        <v>0</v>
      </c>
      <c r="AF1063" s="663">
        <v>0</v>
      </c>
      <c r="AG1063" s="663">
        <v>0</v>
      </c>
      <c r="AH1063" s="663"/>
      <c r="AI1063" s="663"/>
      <c r="AJ1063" s="663"/>
      <c r="AK1063" s="663"/>
      <c r="AL1063" s="663"/>
      <c r="AM1063" s="663"/>
      <c r="AN1063" s="663"/>
      <c r="AO1063" s="663"/>
      <c r="AP1063" s="663"/>
      <c r="AQ1063" s="663"/>
      <c r="AR1063" s="663"/>
      <c r="AS1063" s="663"/>
      <c r="AT1063" s="663"/>
      <c r="AU1063" s="663"/>
      <c r="AV1063" s="663"/>
      <c r="AW1063" s="663"/>
      <c r="AX1063" s="663"/>
      <c r="AY1063" s="663"/>
      <c r="AZ1063" s="663"/>
      <c r="BA1063" s="663"/>
      <c r="BB1063" s="663"/>
      <c r="BC1063" s="663"/>
      <c r="BD1063" s="663"/>
      <c r="BE1063" s="663"/>
      <c r="BF1063" s="663"/>
      <c r="BG1063" s="663"/>
      <c r="BH1063" s="663"/>
      <c r="BI1063" s="663"/>
      <c r="BJ1063" s="663"/>
      <c r="BK1063" s="663"/>
      <c r="BL1063" s="663"/>
      <c r="BM1063" s="663"/>
      <c r="BN1063" s="663"/>
      <c r="BO1063" s="663"/>
      <c r="BP1063" s="663"/>
      <c r="BQ1063" s="663"/>
      <c r="BR1063" s="663"/>
      <c r="BS1063" s="663"/>
      <c r="BT1063" s="663"/>
      <c r="BU1063" s="663"/>
      <c r="BV1063" s="663"/>
      <c r="BW1063" s="663"/>
      <c r="BX1063" s="663"/>
      <c r="BY1063" s="663"/>
      <c r="BZ1063" s="663"/>
      <c r="CA1063" s="663"/>
    </row>
    <row r="1064" spans="1:79" s="740" customFormat="1" hidden="1" outlineLevel="1" x14ac:dyDescent="0.25">
      <c r="A1064" s="655"/>
      <c r="B1064" s="223"/>
      <c r="C1064" s="223"/>
      <c r="D1064" s="223"/>
      <c r="E1064" s="570" t="s">
        <v>855</v>
      </c>
      <c r="F1064" s="655" t="s">
        <v>855</v>
      </c>
      <c r="G1064" s="663"/>
      <c r="H1064" s="663"/>
      <c r="I1064" s="663"/>
      <c r="J1064" s="663"/>
      <c r="K1064" s="663"/>
      <c r="L1064" s="663"/>
      <c r="M1064" s="663"/>
      <c r="N1064" s="663"/>
      <c r="O1064" s="663"/>
      <c r="P1064" s="663"/>
      <c r="Q1064" s="663"/>
      <c r="R1064" s="663"/>
      <c r="S1064" s="663">
        <v>0</v>
      </c>
      <c r="T1064" s="663">
        <v>0</v>
      </c>
      <c r="U1064" s="663">
        <v>0</v>
      </c>
      <c r="V1064" s="663">
        <v>0</v>
      </c>
      <c r="W1064" s="663">
        <v>0</v>
      </c>
      <c r="X1064" s="663">
        <v>0</v>
      </c>
      <c r="Y1064" s="663">
        <v>0</v>
      </c>
      <c r="Z1064" s="663">
        <v>0</v>
      </c>
      <c r="AA1064" s="663">
        <v>0</v>
      </c>
      <c r="AB1064" s="663">
        <v>0</v>
      </c>
      <c r="AC1064" s="663">
        <v>0</v>
      </c>
      <c r="AD1064" s="663">
        <v>0</v>
      </c>
      <c r="AE1064" s="663">
        <v>0</v>
      </c>
      <c r="AF1064" s="663">
        <v>0</v>
      </c>
      <c r="AG1064" s="663">
        <v>0</v>
      </c>
      <c r="AH1064" s="663"/>
      <c r="AI1064" s="663"/>
      <c r="AJ1064" s="663"/>
      <c r="AK1064" s="663"/>
      <c r="AL1064" s="663"/>
      <c r="AM1064" s="663"/>
      <c r="AN1064" s="663"/>
      <c r="AO1064" s="663"/>
      <c r="AP1064" s="663"/>
      <c r="AQ1064" s="663"/>
      <c r="AR1064" s="663"/>
      <c r="AS1064" s="663"/>
      <c r="AT1064" s="663"/>
      <c r="AU1064" s="663"/>
      <c r="AV1064" s="663"/>
      <c r="AW1064" s="663"/>
      <c r="AX1064" s="663"/>
      <c r="AY1064" s="663"/>
      <c r="AZ1064" s="663"/>
      <c r="BA1064" s="663"/>
      <c r="BB1064" s="663"/>
      <c r="BC1064" s="663"/>
      <c r="BD1064" s="663"/>
      <c r="BE1064" s="663"/>
      <c r="BF1064" s="663"/>
      <c r="BG1064" s="663"/>
      <c r="BH1064" s="663"/>
      <c r="BI1064" s="663"/>
      <c r="BJ1064" s="663"/>
      <c r="BK1064" s="663"/>
      <c r="BL1064" s="663"/>
      <c r="BM1064" s="663"/>
      <c r="BN1064" s="663"/>
      <c r="BO1064" s="663"/>
      <c r="BP1064" s="663"/>
      <c r="BQ1064" s="663"/>
      <c r="BR1064" s="663"/>
      <c r="BS1064" s="663"/>
      <c r="BT1064" s="663"/>
      <c r="BU1064" s="663"/>
      <c r="BV1064" s="663"/>
      <c r="BW1064" s="663"/>
      <c r="BX1064" s="663"/>
      <c r="BY1064" s="663"/>
      <c r="BZ1064" s="663"/>
      <c r="CA1064" s="663"/>
    </row>
    <row r="1065" spans="1:79" s="740" customFormat="1" hidden="1" outlineLevel="1" x14ac:dyDescent="0.25">
      <c r="A1065" s="655"/>
      <c r="B1065" s="223"/>
      <c r="C1065" s="223"/>
      <c r="D1065" s="223"/>
      <c r="E1065" s="570" t="s">
        <v>856</v>
      </c>
      <c r="F1065" s="655" t="s">
        <v>856</v>
      </c>
      <c r="G1065" s="663"/>
      <c r="H1065" s="663"/>
      <c r="I1065" s="663"/>
      <c r="J1065" s="663"/>
      <c r="K1065" s="663"/>
      <c r="L1065" s="663"/>
      <c r="M1065" s="663"/>
      <c r="N1065" s="663"/>
      <c r="O1065" s="663"/>
      <c r="P1065" s="663"/>
      <c r="Q1065" s="663"/>
      <c r="R1065" s="663"/>
      <c r="S1065" s="663">
        <v>0</v>
      </c>
      <c r="T1065" s="663">
        <v>0</v>
      </c>
      <c r="U1065" s="663">
        <v>0</v>
      </c>
      <c r="V1065" s="663">
        <v>0</v>
      </c>
      <c r="W1065" s="663">
        <v>0</v>
      </c>
      <c r="X1065" s="663">
        <v>0</v>
      </c>
      <c r="Y1065" s="663">
        <v>0</v>
      </c>
      <c r="Z1065" s="663">
        <v>0</v>
      </c>
      <c r="AA1065" s="663">
        <v>0</v>
      </c>
      <c r="AB1065" s="663">
        <v>0</v>
      </c>
      <c r="AC1065" s="663">
        <v>0</v>
      </c>
      <c r="AD1065" s="663">
        <v>0</v>
      </c>
      <c r="AE1065" s="663">
        <v>0</v>
      </c>
      <c r="AF1065" s="663">
        <v>0</v>
      </c>
      <c r="AG1065" s="663">
        <v>0</v>
      </c>
      <c r="AH1065" s="663"/>
      <c r="AI1065" s="663"/>
      <c r="AJ1065" s="663"/>
      <c r="AK1065" s="663"/>
      <c r="AL1065" s="663"/>
      <c r="AM1065" s="663"/>
      <c r="AN1065" s="663"/>
      <c r="AO1065" s="663"/>
      <c r="AP1065" s="663"/>
      <c r="AQ1065" s="663"/>
      <c r="AR1065" s="663"/>
      <c r="AS1065" s="663"/>
      <c r="AT1065" s="663"/>
      <c r="AU1065" s="663"/>
      <c r="AV1065" s="663"/>
      <c r="AW1065" s="663"/>
      <c r="AX1065" s="663"/>
      <c r="AY1065" s="663"/>
      <c r="AZ1065" s="663"/>
      <c r="BA1065" s="663"/>
      <c r="BB1065" s="663"/>
      <c r="BC1065" s="663"/>
      <c r="BD1065" s="663"/>
      <c r="BE1065" s="663"/>
      <c r="BF1065" s="663"/>
      <c r="BG1065" s="663"/>
      <c r="BH1065" s="663"/>
      <c r="BI1065" s="663"/>
      <c r="BJ1065" s="663"/>
      <c r="BK1065" s="663"/>
      <c r="BL1065" s="663"/>
      <c r="BM1065" s="663"/>
      <c r="BN1065" s="663"/>
      <c r="BO1065" s="663"/>
      <c r="BP1065" s="663"/>
      <c r="BQ1065" s="663"/>
      <c r="BR1065" s="663"/>
      <c r="BS1065" s="663"/>
      <c r="BT1065" s="663"/>
      <c r="BU1065" s="663"/>
      <c r="BV1065" s="663"/>
      <c r="BW1065" s="663"/>
      <c r="BX1065" s="663"/>
      <c r="BY1065" s="663"/>
      <c r="BZ1065" s="663"/>
      <c r="CA1065" s="663"/>
    </row>
    <row r="1066" spans="1:79" s="640" customFormat="1" hidden="1" outlineLevel="1" x14ac:dyDescent="0.25">
      <c r="A1066" s="655"/>
      <c r="B1066" s="636"/>
      <c r="C1066" s="636"/>
      <c r="D1066" s="636"/>
      <c r="E1066" s="570" t="s">
        <v>17</v>
      </c>
      <c r="F1066" s="655" t="s">
        <v>17</v>
      </c>
      <c r="G1066" s="764"/>
      <c r="H1066" s="764"/>
      <c r="I1066" s="764"/>
      <c r="J1066" s="764"/>
      <c r="K1066" s="764"/>
      <c r="L1066" s="764"/>
      <c r="M1066" s="764"/>
      <c r="N1066" s="764"/>
      <c r="O1066" s="764"/>
      <c r="P1066" s="731"/>
      <c r="Q1066" s="731"/>
      <c r="R1066" s="731"/>
      <c r="S1066" s="663">
        <v>37734.300000000003</v>
      </c>
      <c r="T1066" s="663">
        <v>4969.9399999999996</v>
      </c>
      <c r="U1066" s="663">
        <v>-262.44</v>
      </c>
      <c r="V1066" s="663">
        <v>0</v>
      </c>
      <c r="W1066" s="663">
        <v>0</v>
      </c>
      <c r="X1066" s="663">
        <v>0</v>
      </c>
      <c r="Y1066" s="663">
        <v>0</v>
      </c>
      <c r="Z1066" s="663">
        <v>0</v>
      </c>
      <c r="AA1066" s="663">
        <v>0</v>
      </c>
      <c r="AB1066" s="663">
        <v>0</v>
      </c>
      <c r="AC1066" s="663">
        <v>0</v>
      </c>
      <c r="AD1066" s="663">
        <v>0</v>
      </c>
      <c r="AE1066" s="663">
        <v>0</v>
      </c>
      <c r="AF1066" s="663">
        <v>0</v>
      </c>
      <c r="AG1066" s="663">
        <v>0</v>
      </c>
      <c r="AH1066" s="731"/>
      <c r="AI1066" s="731"/>
      <c r="AJ1066" s="731"/>
      <c r="AK1066" s="731"/>
      <c r="AL1066" s="731"/>
      <c r="AM1066" s="731"/>
      <c r="AN1066" s="731"/>
      <c r="AO1066" s="731"/>
      <c r="AP1066" s="731"/>
      <c r="AQ1066" s="731"/>
      <c r="AR1066" s="731"/>
      <c r="AS1066" s="731"/>
      <c r="AT1066" s="731"/>
      <c r="AU1066" s="731"/>
      <c r="AV1066" s="731"/>
      <c r="AW1066" s="731"/>
      <c r="AX1066" s="731"/>
      <c r="AY1066" s="731"/>
      <c r="AZ1066" s="731"/>
      <c r="BA1066" s="731"/>
      <c r="BB1066" s="731"/>
      <c r="BC1066" s="731"/>
      <c r="BD1066" s="731"/>
      <c r="BE1066" s="731"/>
      <c r="BF1066" s="731"/>
      <c r="BG1066" s="731"/>
      <c r="BH1066" s="731"/>
      <c r="BI1066" s="731"/>
      <c r="BJ1066" s="731"/>
      <c r="BK1066" s="731"/>
      <c r="BL1066" s="731"/>
      <c r="BM1066" s="731"/>
      <c r="BN1066" s="731"/>
      <c r="BO1066" s="731"/>
      <c r="BP1066" s="731"/>
      <c r="BQ1066" s="731"/>
      <c r="BR1066" s="731"/>
      <c r="BS1066" s="731"/>
      <c r="BT1066" s="731"/>
      <c r="BU1066" s="731"/>
      <c r="BV1066" s="731"/>
      <c r="BW1066" s="731"/>
      <c r="BX1066" s="731"/>
      <c r="BY1066" s="731"/>
      <c r="BZ1066" s="731"/>
      <c r="CA1066" s="731"/>
    </row>
    <row r="1067" spans="1:79" s="740" customFormat="1" hidden="1" outlineLevel="1" x14ac:dyDescent="0.25">
      <c r="A1067" s="655"/>
      <c r="B1067" s="223"/>
      <c r="C1067" s="223"/>
      <c r="D1067" s="223"/>
      <c r="E1067" s="570" t="s">
        <v>1327</v>
      </c>
      <c r="F1067" s="655" t="s">
        <v>857</v>
      </c>
      <c r="G1067" s="663"/>
      <c r="H1067" s="663"/>
      <c r="I1067" s="663"/>
      <c r="J1067" s="663"/>
      <c r="K1067" s="663"/>
      <c r="L1067" s="663"/>
      <c r="M1067" s="663"/>
      <c r="N1067" s="663"/>
      <c r="O1067" s="663"/>
      <c r="P1067" s="663"/>
      <c r="Q1067" s="663"/>
      <c r="R1067" s="663"/>
      <c r="S1067" s="663">
        <v>0</v>
      </c>
      <c r="T1067" s="663">
        <v>0</v>
      </c>
      <c r="U1067" s="663">
        <v>0</v>
      </c>
      <c r="V1067" s="663">
        <v>0</v>
      </c>
      <c r="W1067" s="663">
        <v>0</v>
      </c>
      <c r="X1067" s="663">
        <v>0</v>
      </c>
      <c r="Y1067" s="663">
        <v>0</v>
      </c>
      <c r="Z1067" s="663">
        <v>0</v>
      </c>
      <c r="AA1067" s="663">
        <v>0</v>
      </c>
      <c r="AB1067" s="663">
        <v>0</v>
      </c>
      <c r="AC1067" s="663">
        <v>0</v>
      </c>
      <c r="AD1067" s="663">
        <v>0</v>
      </c>
      <c r="AE1067" s="663">
        <v>0</v>
      </c>
      <c r="AF1067" s="663">
        <v>0</v>
      </c>
      <c r="AG1067" s="663">
        <v>0</v>
      </c>
      <c r="AH1067" s="663"/>
      <c r="AI1067" s="663"/>
      <c r="AJ1067" s="663"/>
      <c r="AK1067" s="663"/>
      <c r="AL1067" s="663"/>
      <c r="AM1067" s="663"/>
      <c r="AN1067" s="663"/>
      <c r="AO1067" s="663"/>
      <c r="AP1067" s="663"/>
      <c r="AQ1067" s="663"/>
      <c r="AR1067" s="663"/>
      <c r="AS1067" s="663"/>
      <c r="AT1067" s="663"/>
      <c r="AU1067" s="663"/>
      <c r="AV1067" s="663"/>
      <c r="AW1067" s="663"/>
      <c r="AX1067" s="663"/>
      <c r="AY1067" s="663"/>
      <c r="AZ1067" s="663"/>
      <c r="BA1067" s="663"/>
      <c r="BB1067" s="663"/>
      <c r="BC1067" s="663"/>
      <c r="BD1067" s="663"/>
      <c r="BE1067" s="663"/>
      <c r="BF1067" s="663"/>
      <c r="BG1067" s="663"/>
      <c r="BH1067" s="663"/>
      <c r="BI1067" s="663"/>
      <c r="BJ1067" s="663"/>
      <c r="BK1067" s="663"/>
      <c r="BL1067" s="663"/>
      <c r="BM1067" s="663"/>
      <c r="BN1067" s="663"/>
      <c r="BO1067" s="663"/>
      <c r="BP1067" s="663"/>
      <c r="BQ1067" s="663"/>
      <c r="BR1067" s="663"/>
      <c r="BS1067" s="663"/>
      <c r="BT1067" s="663"/>
      <c r="BU1067" s="663"/>
      <c r="BV1067" s="663"/>
      <c r="BW1067" s="663"/>
      <c r="BX1067" s="663"/>
      <c r="BY1067" s="663"/>
      <c r="BZ1067" s="663"/>
      <c r="CA1067" s="663"/>
    </row>
    <row r="1068" spans="1:79" s="740" customFormat="1" hidden="1" outlineLevel="1" x14ac:dyDescent="0.25">
      <c r="A1068" s="655"/>
      <c r="B1068" s="223"/>
      <c r="C1068" s="223"/>
      <c r="D1068" s="223"/>
      <c r="E1068" s="570" t="s">
        <v>1330</v>
      </c>
      <c r="F1068" s="655" t="s">
        <v>861</v>
      </c>
      <c r="G1068" s="664"/>
      <c r="H1068" s="664"/>
      <c r="I1068" s="664"/>
      <c r="J1068" s="664"/>
      <c r="K1068" s="664"/>
      <c r="L1068" s="664"/>
      <c r="M1068" s="664"/>
      <c r="N1068" s="664"/>
      <c r="O1068" s="664"/>
      <c r="P1068" s="664"/>
      <c r="Q1068" s="664"/>
      <c r="R1068" s="664"/>
      <c r="S1068" s="663">
        <v>0</v>
      </c>
      <c r="T1068" s="663">
        <v>0</v>
      </c>
      <c r="U1068" s="663">
        <v>0</v>
      </c>
      <c r="V1068" s="663">
        <v>0</v>
      </c>
      <c r="W1068" s="663">
        <v>0</v>
      </c>
      <c r="X1068" s="663">
        <v>0</v>
      </c>
      <c r="Y1068" s="663">
        <v>0</v>
      </c>
      <c r="Z1068" s="663">
        <v>0</v>
      </c>
      <c r="AA1068" s="663">
        <v>0</v>
      </c>
      <c r="AB1068" s="663">
        <v>0</v>
      </c>
      <c r="AC1068" s="663">
        <v>0</v>
      </c>
      <c r="AD1068" s="663">
        <v>0</v>
      </c>
      <c r="AE1068" s="663">
        <v>0</v>
      </c>
      <c r="AF1068" s="663">
        <v>0</v>
      </c>
      <c r="AG1068" s="663">
        <v>0</v>
      </c>
      <c r="AH1068" s="664"/>
      <c r="AI1068" s="664"/>
      <c r="AJ1068" s="664"/>
      <c r="AK1068" s="664"/>
      <c r="AL1068" s="664"/>
      <c r="AM1068" s="664"/>
      <c r="AN1068" s="664"/>
      <c r="AO1068" s="664"/>
      <c r="AP1068" s="664"/>
      <c r="AQ1068" s="664"/>
      <c r="AR1068" s="664"/>
      <c r="AS1068" s="664"/>
      <c r="AT1068" s="664"/>
      <c r="AU1068" s="664"/>
      <c r="AV1068" s="664"/>
      <c r="AW1068" s="664"/>
      <c r="AX1068" s="664"/>
      <c r="AY1068" s="664"/>
      <c r="AZ1068" s="664"/>
      <c r="BA1068" s="664"/>
      <c r="BB1068" s="664"/>
      <c r="BC1068" s="664"/>
      <c r="BD1068" s="664"/>
      <c r="BE1068" s="664"/>
      <c r="BF1068" s="664"/>
      <c r="BG1068" s="664"/>
      <c r="BH1068" s="664"/>
      <c r="BI1068" s="664"/>
      <c r="BJ1068" s="664"/>
      <c r="BK1068" s="664"/>
      <c r="BL1068" s="664"/>
      <c r="BM1068" s="664"/>
      <c r="BN1068" s="664"/>
      <c r="BO1068" s="664"/>
      <c r="BP1068" s="664"/>
      <c r="BQ1068" s="664"/>
      <c r="BR1068" s="664"/>
      <c r="BS1068" s="664"/>
      <c r="BT1068" s="664"/>
      <c r="BU1068" s="664"/>
      <c r="BV1068" s="664"/>
      <c r="BW1068" s="664"/>
      <c r="BX1068" s="664"/>
      <c r="BY1068" s="664"/>
      <c r="BZ1068" s="664"/>
      <c r="CA1068" s="664"/>
    </row>
    <row r="1069" spans="1:79" s="740" customFormat="1" hidden="1" outlineLevel="1" x14ac:dyDescent="0.25">
      <c r="A1069" s="655"/>
      <c r="B1069" s="223"/>
      <c r="C1069" s="223"/>
      <c r="D1069" s="223"/>
      <c r="E1069" s="570" t="s">
        <v>1337</v>
      </c>
      <c r="F1069" s="655" t="s">
        <v>862</v>
      </c>
      <c r="G1069" s="664"/>
      <c r="H1069" s="664"/>
      <c r="I1069" s="664"/>
      <c r="J1069" s="664"/>
      <c r="K1069" s="664"/>
      <c r="L1069" s="664"/>
      <c r="M1069" s="664"/>
      <c r="N1069" s="664"/>
      <c r="O1069" s="664"/>
      <c r="P1069" s="664"/>
      <c r="Q1069" s="664"/>
      <c r="R1069" s="664"/>
      <c r="S1069" s="663">
        <v>0</v>
      </c>
      <c r="T1069" s="663">
        <v>0</v>
      </c>
      <c r="U1069" s="663">
        <v>0</v>
      </c>
      <c r="V1069" s="663">
        <v>0</v>
      </c>
      <c r="W1069" s="663">
        <v>0</v>
      </c>
      <c r="X1069" s="663">
        <v>0</v>
      </c>
      <c r="Y1069" s="663">
        <v>0</v>
      </c>
      <c r="Z1069" s="663">
        <v>0</v>
      </c>
      <c r="AA1069" s="663">
        <v>0</v>
      </c>
      <c r="AB1069" s="663">
        <v>0</v>
      </c>
      <c r="AC1069" s="663">
        <v>0</v>
      </c>
      <c r="AD1069" s="663">
        <v>0</v>
      </c>
      <c r="AE1069" s="663">
        <v>0</v>
      </c>
      <c r="AF1069" s="663">
        <v>0</v>
      </c>
      <c r="AG1069" s="663">
        <v>0</v>
      </c>
      <c r="AH1069" s="664"/>
      <c r="AI1069" s="664"/>
      <c r="AJ1069" s="664"/>
      <c r="AK1069" s="664"/>
      <c r="AL1069" s="664"/>
      <c r="AM1069" s="664"/>
      <c r="AN1069" s="664"/>
      <c r="AO1069" s="664"/>
      <c r="AP1069" s="664"/>
      <c r="AQ1069" s="664"/>
      <c r="AR1069" s="664"/>
      <c r="AS1069" s="664"/>
      <c r="AT1069" s="664"/>
      <c r="AU1069" s="664"/>
      <c r="AV1069" s="664"/>
      <c r="AW1069" s="664"/>
      <c r="AX1069" s="664"/>
      <c r="AY1069" s="664"/>
      <c r="AZ1069" s="664"/>
      <c r="BA1069" s="664"/>
      <c r="BB1069" s="664"/>
      <c r="BC1069" s="664"/>
      <c r="BD1069" s="664"/>
      <c r="BE1069" s="664"/>
      <c r="BF1069" s="664"/>
      <c r="BG1069" s="664"/>
      <c r="BH1069" s="664"/>
      <c r="BI1069" s="664"/>
      <c r="BJ1069" s="664"/>
      <c r="BK1069" s="664"/>
      <c r="BL1069" s="664"/>
      <c r="BM1069" s="664"/>
      <c r="BN1069" s="664"/>
      <c r="BO1069" s="664"/>
      <c r="BP1069" s="664"/>
      <c r="BQ1069" s="664"/>
      <c r="BR1069" s="664"/>
      <c r="BS1069" s="664"/>
      <c r="BT1069" s="664"/>
      <c r="BU1069" s="664"/>
      <c r="BV1069" s="664"/>
      <c r="BW1069" s="664"/>
      <c r="BX1069" s="664"/>
      <c r="BY1069" s="664"/>
      <c r="BZ1069" s="664"/>
      <c r="CA1069" s="664"/>
    </row>
    <row r="1070" spans="1:79" s="740" customFormat="1" hidden="1" outlineLevel="1" x14ac:dyDescent="0.25">
      <c r="A1070" s="691"/>
      <c r="B1070" s="693"/>
      <c r="C1070" s="693"/>
      <c r="D1070" s="693"/>
      <c r="E1070" s="570" t="s">
        <v>338</v>
      </c>
      <c r="F1070" s="691" t="s">
        <v>863</v>
      </c>
      <c r="G1070" s="746"/>
      <c r="H1070" s="746"/>
      <c r="I1070" s="746"/>
      <c r="J1070" s="746"/>
      <c r="K1070" s="746"/>
      <c r="L1070" s="746"/>
      <c r="M1070" s="746"/>
      <c r="N1070" s="746"/>
      <c r="O1070" s="746"/>
      <c r="P1070" s="746"/>
      <c r="Q1070" s="746"/>
      <c r="R1070" s="746"/>
      <c r="S1070" s="692"/>
      <c r="T1070" s="692"/>
      <c r="U1070" s="692"/>
      <c r="V1070" s="692"/>
      <c r="W1070" s="692"/>
      <c r="X1070" s="692"/>
      <c r="Y1070" s="692"/>
      <c r="Z1070" s="692"/>
      <c r="AA1070" s="692"/>
      <c r="AB1070" s="692"/>
      <c r="AC1070" s="692"/>
      <c r="AD1070" s="692"/>
      <c r="AE1070" s="692"/>
      <c r="AF1070" s="692"/>
      <c r="AG1070" s="692"/>
      <c r="AH1070" s="746"/>
      <c r="AI1070" s="746"/>
      <c r="AJ1070" s="746"/>
      <c r="AK1070" s="746"/>
      <c r="AL1070" s="746"/>
      <c r="AM1070" s="746"/>
      <c r="AN1070" s="746"/>
      <c r="AO1070" s="746"/>
      <c r="AP1070" s="746"/>
      <c r="AQ1070" s="746"/>
      <c r="AR1070" s="746"/>
      <c r="AS1070" s="746"/>
      <c r="AT1070" s="746"/>
      <c r="AU1070" s="746"/>
      <c r="AV1070" s="746"/>
      <c r="AW1070" s="746"/>
      <c r="AX1070" s="746"/>
      <c r="AY1070" s="746"/>
      <c r="AZ1070" s="746"/>
      <c r="BA1070" s="746"/>
      <c r="BB1070" s="746"/>
      <c r="BC1070" s="746"/>
      <c r="BD1070" s="746"/>
      <c r="BE1070" s="746"/>
      <c r="BF1070" s="746"/>
      <c r="BG1070" s="746"/>
      <c r="BH1070" s="746"/>
      <c r="BI1070" s="746"/>
      <c r="BJ1070" s="746"/>
      <c r="BK1070" s="746"/>
      <c r="BL1070" s="746"/>
      <c r="BM1070" s="746"/>
      <c r="BN1070" s="746"/>
      <c r="BO1070" s="746"/>
      <c r="BP1070" s="746"/>
      <c r="BQ1070" s="746"/>
      <c r="BR1070" s="746"/>
      <c r="BS1070" s="746"/>
      <c r="BT1070" s="746"/>
      <c r="BU1070" s="746"/>
      <c r="BV1070" s="746"/>
      <c r="BW1070" s="746"/>
      <c r="BX1070" s="746"/>
      <c r="BY1070" s="746"/>
      <c r="BZ1070" s="746"/>
      <c r="CA1070" s="746"/>
    </row>
    <row r="1071" spans="1:79" s="740" customFormat="1" hidden="1" outlineLevel="1" x14ac:dyDescent="0.25">
      <c r="A1071" s="656"/>
      <c r="B1071" s="223"/>
      <c r="C1071" s="223"/>
      <c r="D1071" s="223"/>
      <c r="E1071" s="570" t="s">
        <v>338</v>
      </c>
      <c r="F1071" s="656" t="s">
        <v>864</v>
      </c>
      <c r="G1071" s="664"/>
      <c r="H1071" s="664"/>
      <c r="I1071" s="664"/>
      <c r="J1071" s="664"/>
      <c r="K1071" s="664"/>
      <c r="L1071" s="664"/>
      <c r="M1071" s="664"/>
      <c r="N1071" s="664"/>
      <c r="O1071" s="664"/>
      <c r="P1071" s="664"/>
      <c r="Q1071" s="664"/>
      <c r="R1071" s="664"/>
      <c r="S1071" s="663">
        <v>0</v>
      </c>
      <c r="T1071" s="663">
        <v>0</v>
      </c>
      <c r="U1071" s="663">
        <v>0</v>
      </c>
      <c r="V1071" s="663">
        <v>0</v>
      </c>
      <c r="W1071" s="663">
        <v>0</v>
      </c>
      <c r="X1071" s="663">
        <v>0</v>
      </c>
      <c r="Y1071" s="663">
        <v>0</v>
      </c>
      <c r="Z1071" s="663">
        <v>0</v>
      </c>
      <c r="AA1071" s="663">
        <v>0</v>
      </c>
      <c r="AB1071" s="663">
        <v>0</v>
      </c>
      <c r="AC1071" s="663">
        <v>0</v>
      </c>
      <c r="AD1071" s="663">
        <v>0</v>
      </c>
      <c r="AE1071" s="663">
        <v>0</v>
      </c>
      <c r="AF1071" s="663">
        <v>0</v>
      </c>
      <c r="AG1071" s="663">
        <v>0</v>
      </c>
      <c r="AH1071" s="664"/>
      <c r="AI1071" s="664"/>
      <c r="AJ1071" s="664"/>
      <c r="AK1071" s="664"/>
      <c r="AL1071" s="664"/>
      <c r="AM1071" s="664"/>
      <c r="AN1071" s="664"/>
      <c r="AO1071" s="664"/>
      <c r="AP1071" s="664"/>
      <c r="AQ1071" s="664"/>
      <c r="AR1071" s="664"/>
      <c r="AS1071" s="664"/>
      <c r="AT1071" s="664"/>
      <c r="AU1071" s="664"/>
      <c r="AV1071" s="664"/>
      <c r="AW1071" s="664"/>
      <c r="AX1071" s="664"/>
      <c r="AY1071" s="664"/>
      <c r="AZ1071" s="664"/>
      <c r="BA1071" s="664"/>
      <c r="BB1071" s="664"/>
      <c r="BC1071" s="664"/>
      <c r="BD1071" s="664"/>
      <c r="BE1071" s="664"/>
      <c r="BF1071" s="664"/>
      <c r="BG1071" s="664"/>
      <c r="BH1071" s="664"/>
      <c r="BI1071" s="664"/>
      <c r="BJ1071" s="664"/>
      <c r="BK1071" s="664"/>
      <c r="BL1071" s="664"/>
      <c r="BM1071" s="664"/>
      <c r="BN1071" s="664"/>
      <c r="BO1071" s="664"/>
      <c r="BP1071" s="664"/>
      <c r="BQ1071" s="664"/>
      <c r="BR1071" s="664"/>
      <c r="BS1071" s="664"/>
      <c r="BT1071" s="664"/>
      <c r="BU1071" s="664"/>
      <c r="BV1071" s="664"/>
      <c r="BW1071" s="664"/>
      <c r="BX1071" s="664"/>
      <c r="BY1071" s="664"/>
      <c r="BZ1071" s="664"/>
      <c r="CA1071" s="664"/>
    </row>
    <row r="1072" spans="1:79" s="740" customFormat="1" hidden="1" outlineLevel="1" x14ac:dyDescent="0.25">
      <c r="A1072" s="656"/>
      <c r="B1072" s="223"/>
      <c r="C1072" s="223"/>
      <c r="D1072" s="223"/>
      <c r="E1072" s="570" t="s">
        <v>338</v>
      </c>
      <c r="F1072" s="656" t="s">
        <v>865</v>
      </c>
      <c r="G1072" s="664"/>
      <c r="H1072" s="664"/>
      <c r="I1072" s="664"/>
      <c r="J1072" s="664"/>
      <c r="K1072" s="664"/>
      <c r="L1072" s="664"/>
      <c r="M1072" s="664"/>
      <c r="N1072" s="664"/>
      <c r="O1072" s="664"/>
      <c r="P1072" s="664"/>
      <c r="Q1072" s="664"/>
      <c r="R1072" s="664"/>
      <c r="S1072" s="663">
        <v>0</v>
      </c>
      <c r="T1072" s="663">
        <v>0</v>
      </c>
      <c r="U1072" s="663">
        <v>0</v>
      </c>
      <c r="V1072" s="663">
        <v>0</v>
      </c>
      <c r="W1072" s="663">
        <v>0</v>
      </c>
      <c r="X1072" s="663">
        <v>0</v>
      </c>
      <c r="Y1072" s="663">
        <v>0</v>
      </c>
      <c r="Z1072" s="663">
        <v>0</v>
      </c>
      <c r="AA1072" s="663">
        <v>0</v>
      </c>
      <c r="AB1072" s="663">
        <v>0</v>
      </c>
      <c r="AC1072" s="663">
        <v>0</v>
      </c>
      <c r="AD1072" s="663">
        <v>0</v>
      </c>
      <c r="AE1072" s="663">
        <v>0</v>
      </c>
      <c r="AF1072" s="663">
        <v>0</v>
      </c>
      <c r="AG1072" s="663">
        <v>0</v>
      </c>
      <c r="AH1072" s="664"/>
      <c r="AI1072" s="664"/>
      <c r="AJ1072" s="664"/>
      <c r="AK1072" s="664"/>
      <c r="AL1072" s="664"/>
      <c r="AM1072" s="664"/>
      <c r="AN1072" s="664"/>
      <c r="AO1072" s="664"/>
      <c r="AP1072" s="664"/>
      <c r="AQ1072" s="664"/>
      <c r="AR1072" s="664"/>
      <c r="AS1072" s="664"/>
      <c r="AT1072" s="664"/>
      <c r="AU1072" s="664"/>
      <c r="AV1072" s="664"/>
      <c r="AW1072" s="664"/>
      <c r="AX1072" s="664"/>
      <c r="AY1072" s="664"/>
      <c r="AZ1072" s="664"/>
      <c r="BA1072" s="664"/>
      <c r="BB1072" s="664"/>
      <c r="BC1072" s="664"/>
      <c r="BD1072" s="664"/>
      <c r="BE1072" s="664"/>
      <c r="BF1072" s="664"/>
      <c r="BG1072" s="664"/>
      <c r="BH1072" s="664"/>
      <c r="BI1072" s="664"/>
      <c r="BJ1072" s="664"/>
      <c r="BK1072" s="664"/>
      <c r="BL1072" s="664"/>
      <c r="BM1072" s="664"/>
      <c r="BN1072" s="664"/>
      <c r="BO1072" s="664"/>
      <c r="BP1072" s="664"/>
      <c r="BQ1072" s="664"/>
      <c r="BR1072" s="664"/>
      <c r="BS1072" s="664"/>
      <c r="BT1072" s="664"/>
      <c r="BU1072" s="664"/>
      <c r="BV1072" s="664"/>
      <c r="BW1072" s="664"/>
      <c r="BX1072" s="664"/>
      <c r="BY1072" s="664"/>
      <c r="BZ1072" s="664"/>
      <c r="CA1072" s="664"/>
    </row>
    <row r="1073" spans="1:79" s="308" customFormat="1" hidden="1" outlineLevel="1" x14ac:dyDescent="0.25">
      <c r="A1073" s="657"/>
      <c r="B1073" s="223"/>
      <c r="C1073" s="223"/>
      <c r="D1073" s="223"/>
      <c r="E1073" s="570" t="s">
        <v>49</v>
      </c>
      <c r="F1073" s="657" t="s">
        <v>866</v>
      </c>
      <c r="G1073" s="664">
        <f>SUM(G1071:G1072)</f>
        <v>0</v>
      </c>
      <c r="H1073" s="664">
        <f t="shared" ref="H1073:BO1073" si="447">SUM(H1071:H1072)</f>
        <v>0</v>
      </c>
      <c r="I1073" s="664">
        <f t="shared" si="447"/>
        <v>0</v>
      </c>
      <c r="J1073" s="664">
        <f t="shared" si="447"/>
        <v>0</v>
      </c>
      <c r="K1073" s="664">
        <f t="shared" si="447"/>
        <v>0</v>
      </c>
      <c r="L1073" s="664">
        <f t="shared" si="447"/>
        <v>0</v>
      </c>
      <c r="M1073" s="664">
        <f t="shared" si="447"/>
        <v>0</v>
      </c>
      <c r="N1073" s="664">
        <f t="shared" si="447"/>
        <v>0</v>
      </c>
      <c r="O1073" s="664">
        <f t="shared" si="447"/>
        <v>0</v>
      </c>
      <c r="P1073" s="664">
        <f t="shared" si="447"/>
        <v>0</v>
      </c>
      <c r="Q1073" s="664">
        <f t="shared" si="447"/>
        <v>0</v>
      </c>
      <c r="R1073" s="664">
        <f t="shared" si="447"/>
        <v>0</v>
      </c>
      <c r="S1073" s="664">
        <f t="shared" ref="S1073:AA1073" si="448">ROUND(SUM(S1070:S1072),5)</f>
        <v>0</v>
      </c>
      <c r="T1073" s="664">
        <f t="shared" si="448"/>
        <v>0</v>
      </c>
      <c r="U1073" s="664">
        <f t="shared" si="448"/>
        <v>0</v>
      </c>
      <c r="V1073" s="664">
        <f t="shared" si="448"/>
        <v>0</v>
      </c>
      <c r="W1073" s="664">
        <f t="shared" si="448"/>
        <v>0</v>
      </c>
      <c r="X1073" s="664">
        <f t="shared" si="448"/>
        <v>0</v>
      </c>
      <c r="Y1073" s="664">
        <f t="shared" si="448"/>
        <v>0</v>
      </c>
      <c r="Z1073" s="664">
        <f t="shared" si="448"/>
        <v>0</v>
      </c>
      <c r="AA1073" s="664">
        <f t="shared" si="448"/>
        <v>0</v>
      </c>
      <c r="AB1073" s="664">
        <f t="shared" ref="AB1073:AG1073" si="449">ROUND(SUM(AB1070:AB1072),5)</f>
        <v>0</v>
      </c>
      <c r="AC1073" s="664">
        <f t="shared" si="449"/>
        <v>0</v>
      </c>
      <c r="AD1073" s="664">
        <f t="shared" si="449"/>
        <v>0</v>
      </c>
      <c r="AE1073" s="664">
        <f t="shared" si="449"/>
        <v>0</v>
      </c>
      <c r="AF1073" s="664">
        <f t="shared" si="449"/>
        <v>0</v>
      </c>
      <c r="AG1073" s="664">
        <f t="shared" si="449"/>
        <v>0</v>
      </c>
      <c r="AH1073" s="664">
        <f t="shared" si="447"/>
        <v>0</v>
      </c>
      <c r="AI1073" s="664">
        <f t="shared" si="447"/>
        <v>0</v>
      </c>
      <c r="AJ1073" s="664">
        <f t="shared" si="447"/>
        <v>0</v>
      </c>
      <c r="AK1073" s="664">
        <f t="shared" si="447"/>
        <v>0</v>
      </c>
      <c r="AL1073" s="664">
        <f t="shared" si="447"/>
        <v>0</v>
      </c>
      <c r="AM1073" s="664">
        <f t="shared" si="447"/>
        <v>0</v>
      </c>
      <c r="AN1073" s="664">
        <f t="shared" si="447"/>
        <v>0</v>
      </c>
      <c r="AO1073" s="664">
        <f t="shared" si="447"/>
        <v>0</v>
      </c>
      <c r="AP1073" s="664">
        <f t="shared" si="447"/>
        <v>0</v>
      </c>
      <c r="AQ1073" s="664">
        <f t="shared" si="447"/>
        <v>0</v>
      </c>
      <c r="AR1073" s="664">
        <f t="shared" si="447"/>
        <v>0</v>
      </c>
      <c r="AS1073" s="664">
        <f t="shared" si="447"/>
        <v>0</v>
      </c>
      <c r="AT1073" s="664">
        <f t="shared" si="447"/>
        <v>0</v>
      </c>
      <c r="AU1073" s="664">
        <f t="shared" si="447"/>
        <v>0</v>
      </c>
      <c r="AV1073" s="664">
        <f t="shared" si="447"/>
        <v>0</v>
      </c>
      <c r="AW1073" s="664">
        <f t="shared" si="447"/>
        <v>0</v>
      </c>
      <c r="AX1073" s="664">
        <f t="shared" si="447"/>
        <v>0</v>
      </c>
      <c r="AY1073" s="664">
        <f t="shared" si="447"/>
        <v>0</v>
      </c>
      <c r="AZ1073" s="664">
        <f t="shared" si="447"/>
        <v>0</v>
      </c>
      <c r="BA1073" s="664">
        <f t="shared" si="447"/>
        <v>0</v>
      </c>
      <c r="BB1073" s="664">
        <f t="shared" si="447"/>
        <v>0</v>
      </c>
      <c r="BC1073" s="664">
        <f t="shared" si="447"/>
        <v>0</v>
      </c>
      <c r="BD1073" s="664">
        <f t="shared" si="447"/>
        <v>0</v>
      </c>
      <c r="BE1073" s="664">
        <f t="shared" si="447"/>
        <v>0</v>
      </c>
      <c r="BF1073" s="664">
        <f t="shared" si="447"/>
        <v>0</v>
      </c>
      <c r="BG1073" s="664">
        <f t="shared" si="447"/>
        <v>0</v>
      </c>
      <c r="BH1073" s="664">
        <f t="shared" si="447"/>
        <v>0</v>
      </c>
      <c r="BI1073" s="664">
        <f t="shared" si="447"/>
        <v>0</v>
      </c>
      <c r="BJ1073" s="664">
        <f t="shared" si="447"/>
        <v>0</v>
      </c>
      <c r="BK1073" s="664">
        <f t="shared" si="447"/>
        <v>0</v>
      </c>
      <c r="BL1073" s="664">
        <f t="shared" si="447"/>
        <v>0</v>
      </c>
      <c r="BM1073" s="664">
        <f t="shared" si="447"/>
        <v>0</v>
      </c>
      <c r="BN1073" s="664">
        <f t="shared" si="447"/>
        <v>0</v>
      </c>
      <c r="BO1073" s="664">
        <f t="shared" si="447"/>
        <v>0</v>
      </c>
      <c r="BP1073" s="664">
        <f t="shared" ref="BP1073:CA1073" si="450">SUM(BP1071:BP1072)</f>
        <v>0</v>
      </c>
      <c r="BQ1073" s="664">
        <f t="shared" si="450"/>
        <v>0</v>
      </c>
      <c r="BR1073" s="664">
        <f t="shared" si="450"/>
        <v>0</v>
      </c>
      <c r="BS1073" s="664">
        <f t="shared" si="450"/>
        <v>0</v>
      </c>
      <c r="BT1073" s="664">
        <f t="shared" si="450"/>
        <v>0</v>
      </c>
      <c r="BU1073" s="664">
        <f t="shared" si="450"/>
        <v>0</v>
      </c>
      <c r="BV1073" s="664">
        <f t="shared" si="450"/>
        <v>0</v>
      </c>
      <c r="BW1073" s="664">
        <f t="shared" si="450"/>
        <v>0</v>
      </c>
      <c r="BX1073" s="664">
        <f t="shared" si="450"/>
        <v>0</v>
      </c>
      <c r="BY1073" s="664">
        <f t="shared" si="450"/>
        <v>0</v>
      </c>
      <c r="BZ1073" s="664">
        <f t="shared" si="450"/>
        <v>0</v>
      </c>
      <c r="CA1073" s="664">
        <f t="shared" si="450"/>
        <v>0</v>
      </c>
    </row>
    <row r="1074" spans="1:79" s="308" customFormat="1" hidden="1" outlineLevel="1" x14ac:dyDescent="0.25">
      <c r="A1074" s="694"/>
      <c r="B1074" s="693"/>
      <c r="C1074" s="693"/>
      <c r="D1074" s="693"/>
      <c r="E1074" s="570" t="s">
        <v>867</v>
      </c>
      <c r="F1074" s="694" t="s">
        <v>646</v>
      </c>
      <c r="G1074" s="746"/>
      <c r="H1074" s="746"/>
      <c r="I1074" s="746"/>
      <c r="J1074" s="746"/>
      <c r="K1074" s="746"/>
      <c r="L1074" s="746"/>
      <c r="M1074" s="746"/>
      <c r="N1074" s="746"/>
      <c r="O1074" s="746"/>
      <c r="P1074" s="746"/>
      <c r="Q1074" s="746"/>
      <c r="R1074" s="746"/>
      <c r="S1074" s="692"/>
      <c r="T1074" s="692"/>
      <c r="U1074" s="692"/>
      <c r="V1074" s="692"/>
      <c r="W1074" s="692"/>
      <c r="X1074" s="692"/>
      <c r="Y1074" s="692"/>
      <c r="Z1074" s="692"/>
      <c r="AA1074" s="692"/>
      <c r="AB1074" s="692"/>
      <c r="AC1074" s="692"/>
      <c r="AD1074" s="692"/>
      <c r="AE1074" s="692"/>
      <c r="AF1074" s="692"/>
      <c r="AG1074" s="692"/>
      <c r="AH1074" s="746"/>
      <c r="AI1074" s="746"/>
      <c r="AJ1074" s="746"/>
      <c r="AK1074" s="746"/>
      <c r="AL1074" s="746"/>
      <c r="AM1074" s="746"/>
      <c r="AN1074" s="746"/>
      <c r="AO1074" s="746"/>
      <c r="AP1074" s="746"/>
      <c r="AQ1074" s="746"/>
      <c r="AR1074" s="746"/>
      <c r="AS1074" s="746"/>
      <c r="AT1074" s="746"/>
      <c r="AU1074" s="746"/>
      <c r="AV1074" s="746"/>
      <c r="AW1074" s="746"/>
      <c r="AX1074" s="746"/>
      <c r="AY1074" s="746"/>
      <c r="AZ1074" s="746"/>
      <c r="BA1074" s="746"/>
      <c r="BB1074" s="746"/>
      <c r="BC1074" s="746"/>
      <c r="BD1074" s="746"/>
      <c r="BE1074" s="746"/>
      <c r="BF1074" s="746"/>
      <c r="BG1074" s="746"/>
      <c r="BH1074" s="746"/>
      <c r="BI1074" s="746"/>
      <c r="BJ1074" s="746"/>
      <c r="BK1074" s="746"/>
      <c r="BL1074" s="746"/>
      <c r="BM1074" s="746"/>
      <c r="BN1074" s="746"/>
      <c r="BO1074" s="746"/>
      <c r="BP1074" s="746"/>
      <c r="BQ1074" s="746"/>
      <c r="BR1074" s="746"/>
      <c r="BS1074" s="746"/>
      <c r="BT1074" s="746"/>
      <c r="BU1074" s="746"/>
      <c r="BV1074" s="746"/>
      <c r="BW1074" s="746"/>
      <c r="BX1074" s="746"/>
      <c r="BY1074" s="746"/>
      <c r="BZ1074" s="746"/>
      <c r="CA1074" s="746"/>
    </row>
    <row r="1075" spans="1:79" s="308" customFormat="1" hidden="1" outlineLevel="1" x14ac:dyDescent="0.25">
      <c r="A1075" s="656"/>
      <c r="B1075" s="223"/>
      <c r="C1075" s="223"/>
      <c r="D1075" s="223"/>
      <c r="E1075" s="570" t="s">
        <v>867</v>
      </c>
      <c r="F1075" s="656" t="s">
        <v>867</v>
      </c>
      <c r="G1075" s="664"/>
      <c r="H1075" s="664"/>
      <c r="I1075" s="664"/>
      <c r="J1075" s="664"/>
      <c r="K1075" s="664"/>
      <c r="L1075" s="664"/>
      <c r="M1075" s="664"/>
      <c r="N1075" s="664"/>
      <c r="O1075" s="664"/>
      <c r="P1075" s="664"/>
      <c r="Q1075" s="664"/>
      <c r="R1075" s="664"/>
      <c r="S1075" s="663">
        <v>0</v>
      </c>
      <c r="T1075" s="663">
        <v>0</v>
      </c>
      <c r="U1075" s="663">
        <v>0</v>
      </c>
      <c r="V1075" s="663">
        <v>0</v>
      </c>
      <c r="W1075" s="663">
        <v>0</v>
      </c>
      <c r="X1075" s="663">
        <v>0</v>
      </c>
      <c r="Y1075" s="663">
        <v>0</v>
      </c>
      <c r="Z1075" s="663">
        <v>0</v>
      </c>
      <c r="AA1075" s="663">
        <v>0</v>
      </c>
      <c r="AB1075" s="663">
        <v>0</v>
      </c>
      <c r="AC1075" s="663">
        <v>0</v>
      </c>
      <c r="AD1075" s="663">
        <v>0</v>
      </c>
      <c r="AE1075" s="663">
        <v>0</v>
      </c>
      <c r="AF1075" s="663">
        <v>0</v>
      </c>
      <c r="AG1075" s="663">
        <v>0</v>
      </c>
      <c r="AH1075" s="664"/>
      <c r="AI1075" s="664"/>
      <c r="AJ1075" s="664"/>
      <c r="AK1075" s="664"/>
      <c r="AL1075" s="664"/>
      <c r="AM1075" s="664"/>
      <c r="AN1075" s="664"/>
      <c r="AO1075" s="664"/>
      <c r="AP1075" s="664"/>
      <c r="AQ1075" s="664"/>
      <c r="AR1075" s="664"/>
      <c r="AS1075" s="664"/>
      <c r="AT1075" s="664"/>
      <c r="AU1075" s="664"/>
      <c r="AV1075" s="664"/>
      <c r="AW1075" s="664"/>
      <c r="AX1075" s="664"/>
      <c r="AY1075" s="664"/>
      <c r="AZ1075" s="664"/>
      <c r="BA1075" s="664"/>
      <c r="BB1075" s="664"/>
      <c r="BC1075" s="664"/>
      <c r="BD1075" s="664"/>
      <c r="BE1075" s="664"/>
      <c r="BF1075" s="664"/>
      <c r="BG1075" s="664"/>
      <c r="BH1075" s="664"/>
      <c r="BI1075" s="664"/>
      <c r="BJ1075" s="664"/>
      <c r="BK1075" s="664"/>
      <c r="BL1075" s="664"/>
      <c r="BM1075" s="664"/>
      <c r="BN1075" s="664"/>
      <c r="BO1075" s="664"/>
      <c r="BP1075" s="664"/>
      <c r="BQ1075" s="664"/>
      <c r="BR1075" s="664"/>
      <c r="BS1075" s="664"/>
      <c r="BT1075" s="664"/>
      <c r="BU1075" s="664"/>
      <c r="BV1075" s="664"/>
      <c r="BW1075" s="664"/>
      <c r="BX1075" s="664"/>
      <c r="BY1075" s="664"/>
      <c r="BZ1075" s="664"/>
      <c r="CA1075" s="664"/>
    </row>
    <row r="1076" spans="1:79" s="308" customFormat="1" hidden="1" outlineLevel="1" x14ac:dyDescent="0.25">
      <c r="A1076" s="656"/>
      <c r="B1076" s="570"/>
      <c r="C1076" s="570"/>
      <c r="D1076" s="570"/>
      <c r="E1076" s="570" t="s">
        <v>867</v>
      </c>
      <c r="F1076" s="656" t="s">
        <v>868</v>
      </c>
      <c r="G1076" s="723"/>
      <c r="H1076" s="723"/>
      <c r="I1076" s="723"/>
      <c r="J1076" s="723"/>
      <c r="K1076" s="723"/>
      <c r="L1076" s="723"/>
      <c r="M1076" s="723"/>
      <c r="N1076" s="723"/>
      <c r="O1076" s="723"/>
      <c r="P1076" s="718"/>
      <c r="Q1076" s="718"/>
      <c r="R1076" s="718"/>
      <c r="S1076" s="663">
        <v>0</v>
      </c>
      <c r="T1076" s="663">
        <v>0</v>
      </c>
      <c r="U1076" s="663">
        <v>0</v>
      </c>
      <c r="V1076" s="663">
        <v>0</v>
      </c>
      <c r="W1076" s="663">
        <v>0</v>
      </c>
      <c r="X1076" s="663">
        <v>0</v>
      </c>
      <c r="Y1076" s="663">
        <v>0</v>
      </c>
      <c r="Z1076" s="663">
        <v>0</v>
      </c>
      <c r="AA1076" s="663">
        <v>0</v>
      </c>
      <c r="AB1076" s="663">
        <v>0</v>
      </c>
      <c r="AC1076" s="663">
        <v>0</v>
      </c>
      <c r="AD1076" s="663">
        <v>0</v>
      </c>
      <c r="AE1076" s="663">
        <v>0</v>
      </c>
      <c r="AF1076" s="663">
        <v>0</v>
      </c>
      <c r="AG1076" s="663">
        <v>0</v>
      </c>
      <c r="AH1076" s="716"/>
      <c r="AI1076" s="716"/>
      <c r="AJ1076" s="716"/>
      <c r="AK1076" s="716"/>
      <c r="AL1076" s="716"/>
      <c r="AM1076" s="716"/>
      <c r="AN1076" s="716"/>
      <c r="AO1076" s="716"/>
      <c r="AP1076" s="716"/>
      <c r="AQ1076" s="716"/>
      <c r="AR1076" s="716"/>
      <c r="AS1076" s="716"/>
      <c r="AT1076" s="716"/>
      <c r="AU1076" s="716"/>
      <c r="AV1076" s="716"/>
      <c r="AW1076" s="716"/>
      <c r="AX1076" s="716"/>
      <c r="AY1076" s="716"/>
      <c r="AZ1076" s="716"/>
      <c r="BA1076" s="716"/>
      <c r="BB1076" s="716"/>
      <c r="BC1076" s="716"/>
      <c r="BD1076" s="716"/>
      <c r="BE1076" s="716"/>
      <c r="BF1076" s="716"/>
      <c r="BG1076" s="716"/>
      <c r="BH1076" s="716"/>
      <c r="BI1076" s="716"/>
      <c r="BJ1076" s="716"/>
      <c r="BK1076" s="716"/>
      <c r="BL1076" s="716"/>
      <c r="BM1076" s="716"/>
      <c r="BN1076" s="716"/>
      <c r="BO1076" s="716"/>
      <c r="BP1076" s="716"/>
      <c r="BQ1076" s="716"/>
      <c r="BR1076" s="716"/>
      <c r="BS1076" s="716"/>
      <c r="BT1076" s="716"/>
      <c r="BU1076" s="716"/>
      <c r="BV1076" s="716"/>
      <c r="BW1076" s="716"/>
      <c r="BX1076" s="716"/>
      <c r="BY1076" s="716"/>
      <c r="BZ1076" s="716"/>
      <c r="CA1076" s="716"/>
    </row>
    <row r="1077" spans="1:79" s="308" customFormat="1" hidden="1" outlineLevel="1" x14ac:dyDescent="0.25">
      <c r="A1077" s="657"/>
      <c r="B1077" s="570"/>
      <c r="C1077" s="570"/>
      <c r="D1077" s="570"/>
      <c r="E1077" s="570" t="s">
        <v>49</v>
      </c>
      <c r="F1077" s="657" t="s">
        <v>869</v>
      </c>
      <c r="G1077" s="664">
        <f>SUM(G1075:G1076)</f>
        <v>0</v>
      </c>
      <c r="H1077" s="664">
        <f t="shared" ref="H1077:BO1077" si="451">SUM(H1075:H1076)</f>
        <v>0</v>
      </c>
      <c r="I1077" s="664">
        <f t="shared" si="451"/>
        <v>0</v>
      </c>
      <c r="J1077" s="664">
        <f t="shared" si="451"/>
        <v>0</v>
      </c>
      <c r="K1077" s="664">
        <f t="shared" si="451"/>
        <v>0</v>
      </c>
      <c r="L1077" s="664">
        <f t="shared" si="451"/>
        <v>0</v>
      </c>
      <c r="M1077" s="664">
        <f t="shared" si="451"/>
        <v>0</v>
      </c>
      <c r="N1077" s="664">
        <f t="shared" si="451"/>
        <v>0</v>
      </c>
      <c r="O1077" s="664">
        <f t="shared" si="451"/>
        <v>0</v>
      </c>
      <c r="P1077" s="664">
        <f t="shared" si="451"/>
        <v>0</v>
      </c>
      <c r="Q1077" s="664">
        <f t="shared" si="451"/>
        <v>0</v>
      </c>
      <c r="R1077" s="664">
        <f t="shared" si="451"/>
        <v>0</v>
      </c>
      <c r="S1077" s="664">
        <f t="shared" ref="S1077:AA1077" si="452">ROUND(SUM(S1074:S1076),5)</f>
        <v>0</v>
      </c>
      <c r="T1077" s="664">
        <f t="shared" si="452"/>
        <v>0</v>
      </c>
      <c r="U1077" s="664">
        <f t="shared" si="452"/>
        <v>0</v>
      </c>
      <c r="V1077" s="664">
        <f t="shared" si="452"/>
        <v>0</v>
      </c>
      <c r="W1077" s="664">
        <f t="shared" si="452"/>
        <v>0</v>
      </c>
      <c r="X1077" s="664">
        <f t="shared" si="452"/>
        <v>0</v>
      </c>
      <c r="Y1077" s="664">
        <f t="shared" si="452"/>
        <v>0</v>
      </c>
      <c r="Z1077" s="664">
        <f t="shared" si="452"/>
        <v>0</v>
      </c>
      <c r="AA1077" s="664">
        <f t="shared" si="452"/>
        <v>0</v>
      </c>
      <c r="AB1077" s="664">
        <f t="shared" ref="AB1077:AG1077" si="453">ROUND(SUM(AB1074:AB1076),5)</f>
        <v>0</v>
      </c>
      <c r="AC1077" s="664">
        <f t="shared" si="453"/>
        <v>0</v>
      </c>
      <c r="AD1077" s="664">
        <f t="shared" si="453"/>
        <v>0</v>
      </c>
      <c r="AE1077" s="664">
        <f t="shared" si="453"/>
        <v>0</v>
      </c>
      <c r="AF1077" s="664">
        <f t="shared" si="453"/>
        <v>0</v>
      </c>
      <c r="AG1077" s="664">
        <f t="shared" si="453"/>
        <v>0</v>
      </c>
      <c r="AH1077" s="664">
        <f t="shared" si="451"/>
        <v>0</v>
      </c>
      <c r="AI1077" s="664">
        <f t="shared" si="451"/>
        <v>0</v>
      </c>
      <c r="AJ1077" s="664">
        <f t="shared" si="451"/>
        <v>0</v>
      </c>
      <c r="AK1077" s="664">
        <f t="shared" si="451"/>
        <v>0</v>
      </c>
      <c r="AL1077" s="664">
        <f t="shared" si="451"/>
        <v>0</v>
      </c>
      <c r="AM1077" s="664">
        <f t="shared" si="451"/>
        <v>0</v>
      </c>
      <c r="AN1077" s="664">
        <f t="shared" si="451"/>
        <v>0</v>
      </c>
      <c r="AO1077" s="664">
        <f t="shared" si="451"/>
        <v>0</v>
      </c>
      <c r="AP1077" s="664">
        <f t="shared" si="451"/>
        <v>0</v>
      </c>
      <c r="AQ1077" s="664">
        <f t="shared" si="451"/>
        <v>0</v>
      </c>
      <c r="AR1077" s="664">
        <f t="shared" si="451"/>
        <v>0</v>
      </c>
      <c r="AS1077" s="664">
        <f t="shared" si="451"/>
        <v>0</v>
      </c>
      <c r="AT1077" s="664">
        <f t="shared" si="451"/>
        <v>0</v>
      </c>
      <c r="AU1077" s="664">
        <f t="shared" si="451"/>
        <v>0</v>
      </c>
      <c r="AV1077" s="664">
        <f t="shared" si="451"/>
        <v>0</v>
      </c>
      <c r="AW1077" s="664">
        <f t="shared" si="451"/>
        <v>0</v>
      </c>
      <c r="AX1077" s="664">
        <f t="shared" si="451"/>
        <v>0</v>
      </c>
      <c r="AY1077" s="664">
        <f t="shared" si="451"/>
        <v>0</v>
      </c>
      <c r="AZ1077" s="664">
        <f t="shared" si="451"/>
        <v>0</v>
      </c>
      <c r="BA1077" s="664">
        <f t="shared" si="451"/>
        <v>0</v>
      </c>
      <c r="BB1077" s="664">
        <f t="shared" si="451"/>
        <v>0</v>
      </c>
      <c r="BC1077" s="664">
        <f t="shared" si="451"/>
        <v>0</v>
      </c>
      <c r="BD1077" s="664">
        <f t="shared" si="451"/>
        <v>0</v>
      </c>
      <c r="BE1077" s="664">
        <f t="shared" si="451"/>
        <v>0</v>
      </c>
      <c r="BF1077" s="664">
        <f t="shared" si="451"/>
        <v>0</v>
      </c>
      <c r="BG1077" s="664">
        <f t="shared" si="451"/>
        <v>0</v>
      </c>
      <c r="BH1077" s="664">
        <f t="shared" si="451"/>
        <v>0</v>
      </c>
      <c r="BI1077" s="664">
        <f t="shared" si="451"/>
        <v>0</v>
      </c>
      <c r="BJ1077" s="664">
        <f t="shared" si="451"/>
        <v>0</v>
      </c>
      <c r="BK1077" s="664">
        <f t="shared" si="451"/>
        <v>0</v>
      </c>
      <c r="BL1077" s="664">
        <f t="shared" si="451"/>
        <v>0</v>
      </c>
      <c r="BM1077" s="664">
        <f t="shared" si="451"/>
        <v>0</v>
      </c>
      <c r="BN1077" s="664">
        <f t="shared" si="451"/>
        <v>0</v>
      </c>
      <c r="BO1077" s="664">
        <f t="shared" si="451"/>
        <v>0</v>
      </c>
      <c r="BP1077" s="664">
        <f t="shared" ref="BP1077:CA1077" si="454">SUM(BP1075:BP1076)</f>
        <v>0</v>
      </c>
      <c r="BQ1077" s="664">
        <f t="shared" si="454"/>
        <v>0</v>
      </c>
      <c r="BR1077" s="664">
        <f t="shared" si="454"/>
        <v>0</v>
      </c>
      <c r="BS1077" s="664">
        <f t="shared" si="454"/>
        <v>0</v>
      </c>
      <c r="BT1077" s="664">
        <f t="shared" si="454"/>
        <v>0</v>
      </c>
      <c r="BU1077" s="664">
        <f t="shared" si="454"/>
        <v>0</v>
      </c>
      <c r="BV1077" s="664">
        <f t="shared" si="454"/>
        <v>0</v>
      </c>
      <c r="BW1077" s="664">
        <f t="shared" si="454"/>
        <v>0</v>
      </c>
      <c r="BX1077" s="664">
        <f t="shared" si="454"/>
        <v>0</v>
      </c>
      <c r="BY1077" s="664">
        <f t="shared" si="454"/>
        <v>0</v>
      </c>
      <c r="BZ1077" s="664">
        <f t="shared" si="454"/>
        <v>0</v>
      </c>
      <c r="CA1077" s="664">
        <f t="shared" si="454"/>
        <v>0</v>
      </c>
    </row>
    <row r="1078" spans="1:79" s="308" customFormat="1" hidden="1" outlineLevel="1" x14ac:dyDescent="0.25">
      <c r="A1078" s="658"/>
      <c r="B1078" s="570"/>
      <c r="C1078" s="570"/>
      <c r="D1078" s="570"/>
      <c r="E1078" s="570" t="s">
        <v>1328</v>
      </c>
      <c r="F1078" s="658" t="s">
        <v>589</v>
      </c>
      <c r="G1078" s="719"/>
      <c r="H1078" s="719"/>
      <c r="I1078" s="719"/>
      <c r="J1078" s="719"/>
      <c r="K1078" s="719"/>
      <c r="L1078" s="719"/>
      <c r="M1078" s="719"/>
      <c r="N1078" s="719"/>
      <c r="O1078" s="719"/>
      <c r="P1078" s="716"/>
      <c r="Q1078" s="716"/>
      <c r="R1078" s="716"/>
      <c r="S1078" s="667">
        <v>0</v>
      </c>
      <c r="T1078" s="667">
        <v>0</v>
      </c>
      <c r="U1078" s="667">
        <v>0</v>
      </c>
      <c r="V1078" s="667">
        <v>0</v>
      </c>
      <c r="W1078" s="667">
        <v>0</v>
      </c>
      <c r="X1078" s="667">
        <v>0</v>
      </c>
      <c r="Y1078" s="667">
        <v>0</v>
      </c>
      <c r="Z1078" s="667">
        <v>0</v>
      </c>
      <c r="AA1078" s="667">
        <v>0</v>
      </c>
      <c r="AB1078" s="667">
        <v>0</v>
      </c>
      <c r="AC1078" s="667">
        <v>0</v>
      </c>
      <c r="AD1078" s="667">
        <v>0</v>
      </c>
      <c r="AE1078" s="667">
        <v>0</v>
      </c>
      <c r="AF1078" s="667">
        <v>0</v>
      </c>
      <c r="AG1078" s="667">
        <v>0</v>
      </c>
      <c r="AH1078" s="716"/>
      <c r="AI1078" s="716"/>
      <c r="AJ1078" s="716"/>
      <c r="AK1078" s="716"/>
      <c r="AL1078" s="716"/>
      <c r="AM1078" s="716"/>
      <c r="AN1078" s="716"/>
      <c r="AO1078" s="716"/>
      <c r="AP1078" s="716"/>
      <c r="AQ1078" s="716"/>
      <c r="AR1078" s="716"/>
      <c r="AS1078" s="716"/>
      <c r="AT1078" s="716"/>
      <c r="AU1078" s="716"/>
      <c r="AV1078" s="716"/>
      <c r="AW1078" s="716"/>
      <c r="AX1078" s="716"/>
      <c r="AY1078" s="716"/>
      <c r="AZ1078" s="716"/>
      <c r="BA1078" s="716"/>
      <c r="BB1078" s="716"/>
      <c r="BC1078" s="716"/>
      <c r="BD1078" s="716"/>
      <c r="BE1078" s="716"/>
      <c r="BF1078" s="716"/>
      <c r="BG1078" s="716"/>
      <c r="BH1078" s="716"/>
      <c r="BI1078" s="716"/>
      <c r="BJ1078" s="716"/>
      <c r="BK1078" s="716"/>
      <c r="BL1078" s="716"/>
      <c r="BM1078" s="716"/>
      <c r="BN1078" s="716"/>
      <c r="BO1078" s="716"/>
      <c r="BP1078" s="716"/>
      <c r="BQ1078" s="716"/>
      <c r="BR1078" s="716"/>
      <c r="BS1078" s="716"/>
      <c r="BT1078" s="716"/>
      <c r="BU1078" s="716"/>
      <c r="BV1078" s="716"/>
      <c r="BW1078" s="716"/>
      <c r="BX1078" s="716"/>
      <c r="BY1078" s="716"/>
      <c r="BZ1078" s="716"/>
      <c r="CA1078" s="716"/>
    </row>
    <row r="1079" spans="1:79" s="308" customFormat="1" hidden="1" outlineLevel="1" x14ac:dyDescent="0.25">
      <c r="A1079" s="655"/>
      <c r="B1079" s="570"/>
      <c r="C1079" s="570"/>
      <c r="D1079" s="570"/>
      <c r="E1079" s="570" t="s">
        <v>1329</v>
      </c>
      <c r="F1079" s="655" t="s">
        <v>870</v>
      </c>
      <c r="G1079" s="719"/>
      <c r="H1079" s="719"/>
      <c r="I1079" s="719"/>
      <c r="J1079" s="719"/>
      <c r="K1079" s="719"/>
      <c r="L1079" s="719"/>
      <c r="M1079" s="719"/>
      <c r="N1079" s="719"/>
      <c r="O1079" s="719"/>
      <c r="P1079" s="716"/>
      <c r="Q1079" s="716"/>
      <c r="R1079" s="716"/>
      <c r="S1079" s="667">
        <v>0</v>
      </c>
      <c r="T1079" s="667">
        <v>0</v>
      </c>
      <c r="U1079" s="667">
        <v>0</v>
      </c>
      <c r="V1079" s="667">
        <v>0</v>
      </c>
      <c r="W1079" s="667">
        <v>0</v>
      </c>
      <c r="X1079" s="667">
        <v>0</v>
      </c>
      <c r="Y1079" s="667">
        <v>0</v>
      </c>
      <c r="Z1079" s="667">
        <v>0</v>
      </c>
      <c r="AA1079" s="667">
        <v>0</v>
      </c>
      <c r="AB1079" s="667">
        <v>0</v>
      </c>
      <c r="AC1079" s="667">
        <v>0</v>
      </c>
      <c r="AD1079" s="667">
        <v>0</v>
      </c>
      <c r="AE1079" s="667">
        <v>0</v>
      </c>
      <c r="AF1079" s="667">
        <v>0</v>
      </c>
      <c r="AG1079" s="667">
        <v>0</v>
      </c>
      <c r="AH1079" s="716"/>
      <c r="AI1079" s="716"/>
      <c r="AJ1079" s="716"/>
      <c r="AK1079" s="716"/>
      <c r="AL1079" s="716"/>
      <c r="AM1079" s="716"/>
      <c r="AN1079" s="716"/>
      <c r="AO1079" s="716"/>
      <c r="AP1079" s="716"/>
      <c r="AQ1079" s="716"/>
      <c r="AR1079" s="716"/>
      <c r="AS1079" s="716"/>
      <c r="AT1079" s="716"/>
      <c r="AU1079" s="716"/>
      <c r="AV1079" s="716"/>
      <c r="AW1079" s="716"/>
      <c r="AX1079" s="716"/>
      <c r="AY1079" s="716"/>
      <c r="AZ1079" s="716"/>
      <c r="BA1079" s="716"/>
      <c r="BB1079" s="716"/>
      <c r="BC1079" s="716"/>
      <c r="BD1079" s="716"/>
      <c r="BE1079" s="716"/>
      <c r="BF1079" s="716"/>
      <c r="BG1079" s="716"/>
      <c r="BH1079" s="716"/>
      <c r="BI1079" s="716"/>
      <c r="BJ1079" s="716"/>
      <c r="BK1079" s="716"/>
      <c r="BL1079" s="716"/>
      <c r="BM1079" s="716"/>
      <c r="BN1079" s="716"/>
      <c r="BO1079" s="716"/>
      <c r="BP1079" s="716"/>
      <c r="BQ1079" s="716"/>
      <c r="BR1079" s="716"/>
      <c r="BS1079" s="716"/>
      <c r="BT1079" s="716"/>
      <c r="BU1079" s="716"/>
      <c r="BV1079" s="716"/>
      <c r="BW1079" s="716"/>
      <c r="BX1079" s="716"/>
      <c r="BY1079" s="716"/>
      <c r="BZ1079" s="716"/>
      <c r="CA1079" s="716"/>
    </row>
    <row r="1080" spans="1:79" s="308" customFormat="1" hidden="1" outlineLevel="1" x14ac:dyDescent="0.25">
      <c r="A1080" s="695"/>
      <c r="B1080" s="700"/>
      <c r="C1080" s="700"/>
      <c r="D1080" s="700"/>
      <c r="E1080" s="570" t="s">
        <v>1330</v>
      </c>
      <c r="F1080" s="695" t="s">
        <v>590</v>
      </c>
      <c r="G1080" s="733"/>
      <c r="H1080" s="733"/>
      <c r="I1080" s="733"/>
      <c r="J1080" s="733"/>
      <c r="K1080" s="733"/>
      <c r="L1080" s="733"/>
      <c r="M1080" s="733"/>
      <c r="N1080" s="733"/>
      <c r="O1080" s="733"/>
      <c r="P1080" s="736"/>
      <c r="Q1080" s="736"/>
      <c r="R1080" s="736"/>
      <c r="S1080" s="697"/>
      <c r="T1080" s="697"/>
      <c r="U1080" s="697"/>
      <c r="V1080" s="697"/>
      <c r="W1080" s="697"/>
      <c r="X1080" s="697"/>
      <c r="Y1080" s="697"/>
      <c r="Z1080" s="697"/>
      <c r="AA1080" s="697"/>
      <c r="AB1080" s="697"/>
      <c r="AC1080" s="697"/>
      <c r="AD1080" s="697"/>
      <c r="AE1080" s="697"/>
      <c r="AF1080" s="697"/>
      <c r="AG1080" s="697"/>
      <c r="AH1080" s="734"/>
      <c r="AI1080" s="734"/>
      <c r="AJ1080" s="734"/>
      <c r="AK1080" s="734"/>
      <c r="AL1080" s="734"/>
      <c r="AM1080" s="734"/>
      <c r="AN1080" s="734"/>
      <c r="AO1080" s="734"/>
      <c r="AP1080" s="734"/>
      <c r="AQ1080" s="734"/>
      <c r="AR1080" s="734"/>
      <c r="AS1080" s="734"/>
      <c r="AT1080" s="734"/>
      <c r="AU1080" s="734"/>
      <c r="AV1080" s="734"/>
      <c r="AW1080" s="734"/>
      <c r="AX1080" s="734"/>
      <c r="AY1080" s="734"/>
      <c r="AZ1080" s="734"/>
      <c r="BA1080" s="734"/>
      <c r="BB1080" s="734"/>
      <c r="BC1080" s="734"/>
      <c r="BD1080" s="734"/>
      <c r="BE1080" s="734"/>
      <c r="BF1080" s="734"/>
      <c r="BG1080" s="734"/>
      <c r="BH1080" s="734"/>
      <c r="BI1080" s="734"/>
      <c r="BJ1080" s="734"/>
      <c r="BK1080" s="734"/>
      <c r="BL1080" s="734"/>
      <c r="BM1080" s="734"/>
      <c r="BN1080" s="734"/>
      <c r="BO1080" s="734"/>
      <c r="BP1080" s="734"/>
      <c r="BQ1080" s="734"/>
      <c r="BR1080" s="734"/>
      <c r="BS1080" s="734"/>
      <c r="BT1080" s="734"/>
      <c r="BU1080" s="734"/>
      <c r="BV1080" s="734"/>
      <c r="BW1080" s="734"/>
      <c r="BX1080" s="734"/>
      <c r="BY1080" s="734"/>
      <c r="BZ1080" s="734"/>
      <c r="CA1080" s="734"/>
    </row>
    <row r="1081" spans="1:79" s="740" customFormat="1" hidden="1" outlineLevel="1" x14ac:dyDescent="0.25">
      <c r="A1081" s="691"/>
      <c r="B1081" s="693"/>
      <c r="C1081" s="693"/>
      <c r="D1081" s="693"/>
      <c r="E1081" s="570" t="s">
        <v>645</v>
      </c>
      <c r="F1081" s="691" t="s">
        <v>645</v>
      </c>
      <c r="G1081" s="692"/>
      <c r="H1081" s="692"/>
      <c r="I1081" s="692"/>
      <c r="J1081" s="692"/>
      <c r="K1081" s="692"/>
      <c r="L1081" s="692"/>
      <c r="M1081" s="692"/>
      <c r="N1081" s="692"/>
      <c r="O1081" s="692"/>
      <c r="P1081" s="692"/>
      <c r="Q1081" s="692"/>
      <c r="R1081" s="692"/>
      <c r="S1081" s="692"/>
      <c r="T1081" s="692"/>
      <c r="U1081" s="692"/>
      <c r="V1081" s="692"/>
      <c r="W1081" s="692"/>
      <c r="X1081" s="692"/>
      <c r="Y1081" s="692"/>
      <c r="Z1081" s="692"/>
      <c r="AA1081" s="692"/>
      <c r="AB1081" s="692"/>
      <c r="AC1081" s="692"/>
      <c r="AD1081" s="692"/>
      <c r="AE1081" s="692"/>
      <c r="AF1081" s="692"/>
      <c r="AG1081" s="692"/>
      <c r="AH1081" s="692"/>
      <c r="AI1081" s="692"/>
      <c r="AJ1081" s="692"/>
      <c r="AK1081" s="692"/>
      <c r="AL1081" s="692"/>
      <c r="AM1081" s="692"/>
      <c r="AN1081" s="692"/>
      <c r="AO1081" s="692"/>
      <c r="AP1081" s="692"/>
      <c r="AQ1081" s="692"/>
      <c r="AR1081" s="692"/>
      <c r="AS1081" s="692"/>
      <c r="AT1081" s="692"/>
      <c r="AU1081" s="692"/>
      <c r="AV1081" s="692"/>
      <c r="AW1081" s="692"/>
      <c r="AX1081" s="692"/>
      <c r="AY1081" s="692"/>
      <c r="AZ1081" s="692"/>
      <c r="BA1081" s="692"/>
      <c r="BB1081" s="692"/>
      <c r="BC1081" s="692"/>
      <c r="BD1081" s="692"/>
      <c r="BE1081" s="692"/>
      <c r="BF1081" s="692"/>
      <c r="BG1081" s="692"/>
      <c r="BH1081" s="692"/>
      <c r="BI1081" s="692"/>
      <c r="BJ1081" s="692"/>
      <c r="BK1081" s="692"/>
      <c r="BL1081" s="692"/>
      <c r="BM1081" s="692"/>
      <c r="BN1081" s="692"/>
      <c r="BO1081" s="692"/>
      <c r="BP1081" s="692"/>
      <c r="BQ1081" s="692"/>
      <c r="BR1081" s="692"/>
      <c r="BS1081" s="692"/>
      <c r="BT1081" s="692"/>
      <c r="BU1081" s="692"/>
      <c r="BV1081" s="692"/>
      <c r="BW1081" s="692"/>
      <c r="BX1081" s="692"/>
      <c r="BY1081" s="692"/>
      <c r="BZ1081" s="692"/>
      <c r="CA1081" s="692"/>
    </row>
    <row r="1082" spans="1:79" s="740" customFormat="1" hidden="1" outlineLevel="1" x14ac:dyDescent="0.25">
      <c r="A1082" s="656"/>
      <c r="B1082" s="223"/>
      <c r="C1082" s="223"/>
      <c r="D1082" s="223"/>
      <c r="E1082" s="570" t="s">
        <v>1330</v>
      </c>
      <c r="F1082" s="656" t="s">
        <v>858</v>
      </c>
      <c r="G1082" s="663"/>
      <c r="H1082" s="663"/>
      <c r="I1082" s="663"/>
      <c r="J1082" s="663"/>
      <c r="K1082" s="663"/>
      <c r="L1082" s="663"/>
      <c r="M1082" s="663"/>
      <c r="N1082" s="663"/>
      <c r="O1082" s="663"/>
      <c r="P1082" s="663"/>
      <c r="Q1082" s="663"/>
      <c r="R1082" s="663"/>
      <c r="S1082" s="663">
        <v>0</v>
      </c>
      <c r="T1082" s="663">
        <v>0</v>
      </c>
      <c r="U1082" s="663">
        <v>0</v>
      </c>
      <c r="V1082" s="663">
        <v>0</v>
      </c>
      <c r="W1082" s="663">
        <v>0</v>
      </c>
      <c r="X1082" s="663">
        <v>0</v>
      </c>
      <c r="Y1082" s="663">
        <v>0</v>
      </c>
      <c r="Z1082" s="663">
        <v>0</v>
      </c>
      <c r="AA1082" s="663">
        <v>0</v>
      </c>
      <c r="AB1082" s="663">
        <v>0</v>
      </c>
      <c r="AC1082" s="663">
        <v>0</v>
      </c>
      <c r="AD1082" s="663">
        <v>0</v>
      </c>
      <c r="AE1082" s="663">
        <v>0</v>
      </c>
      <c r="AF1082" s="663">
        <v>0</v>
      </c>
      <c r="AG1082" s="663">
        <v>0</v>
      </c>
      <c r="AH1082" s="663"/>
      <c r="AI1082" s="663"/>
      <c r="AJ1082" s="663"/>
      <c r="AK1082" s="663"/>
      <c r="AL1082" s="663"/>
      <c r="AM1082" s="663"/>
      <c r="AN1082" s="663"/>
      <c r="AO1082" s="663"/>
      <c r="AP1082" s="663"/>
      <c r="AQ1082" s="663"/>
      <c r="AR1082" s="663"/>
      <c r="AS1082" s="663"/>
      <c r="AT1082" s="663"/>
      <c r="AU1082" s="663"/>
      <c r="AV1082" s="663"/>
      <c r="AW1082" s="663"/>
      <c r="AX1082" s="663"/>
      <c r="AY1082" s="663"/>
      <c r="AZ1082" s="663"/>
      <c r="BA1082" s="663"/>
      <c r="BB1082" s="663"/>
      <c r="BC1082" s="663"/>
      <c r="BD1082" s="663"/>
      <c r="BE1082" s="663"/>
      <c r="BF1082" s="663"/>
      <c r="BG1082" s="663"/>
      <c r="BH1082" s="663"/>
      <c r="BI1082" s="663"/>
      <c r="BJ1082" s="663"/>
      <c r="BK1082" s="663"/>
      <c r="BL1082" s="663"/>
      <c r="BM1082" s="663"/>
      <c r="BN1082" s="663"/>
      <c r="BO1082" s="663"/>
      <c r="BP1082" s="663"/>
      <c r="BQ1082" s="663"/>
      <c r="BR1082" s="663"/>
      <c r="BS1082" s="663"/>
      <c r="BT1082" s="663"/>
      <c r="BU1082" s="663"/>
      <c r="BV1082" s="663"/>
      <c r="BW1082" s="663"/>
      <c r="BX1082" s="663"/>
      <c r="BY1082" s="663"/>
      <c r="BZ1082" s="663"/>
      <c r="CA1082" s="663"/>
    </row>
    <row r="1083" spans="1:79" s="740" customFormat="1" hidden="1" outlineLevel="1" x14ac:dyDescent="0.25">
      <c r="A1083" s="656"/>
      <c r="B1083" s="570"/>
      <c r="C1083" s="570"/>
      <c r="D1083" s="570"/>
      <c r="E1083" s="570" t="s">
        <v>645</v>
      </c>
      <c r="F1083" s="656" t="s">
        <v>859</v>
      </c>
      <c r="G1083" s="719"/>
      <c r="H1083" s="719"/>
      <c r="I1083" s="719"/>
      <c r="J1083" s="719"/>
      <c r="K1083" s="719"/>
      <c r="L1083" s="719"/>
      <c r="M1083" s="719"/>
      <c r="N1083" s="719"/>
      <c r="O1083" s="719"/>
      <c r="P1083" s="716"/>
      <c r="Q1083" s="716"/>
      <c r="R1083" s="716"/>
      <c r="S1083" s="663">
        <v>0</v>
      </c>
      <c r="T1083" s="663">
        <v>0</v>
      </c>
      <c r="U1083" s="663">
        <v>0</v>
      </c>
      <c r="V1083" s="663">
        <v>0</v>
      </c>
      <c r="W1083" s="663">
        <v>0</v>
      </c>
      <c r="X1083" s="663">
        <v>0</v>
      </c>
      <c r="Y1083" s="663">
        <v>0</v>
      </c>
      <c r="Z1083" s="663">
        <v>0</v>
      </c>
      <c r="AA1083" s="663">
        <v>0</v>
      </c>
      <c r="AB1083" s="663">
        <v>0</v>
      </c>
      <c r="AC1083" s="663">
        <v>0</v>
      </c>
      <c r="AD1083" s="663">
        <v>0</v>
      </c>
      <c r="AE1083" s="663">
        <v>0</v>
      </c>
      <c r="AF1083" s="663">
        <v>0</v>
      </c>
      <c r="AG1083" s="663">
        <v>0</v>
      </c>
      <c r="AH1083" s="718"/>
      <c r="AI1083" s="718"/>
      <c r="AJ1083" s="718"/>
      <c r="AK1083" s="718"/>
      <c r="AL1083" s="718"/>
      <c r="AM1083" s="718"/>
      <c r="AN1083" s="718"/>
      <c r="AO1083" s="718"/>
      <c r="AP1083" s="718"/>
      <c r="AQ1083" s="718"/>
      <c r="AR1083" s="718"/>
      <c r="AS1083" s="718"/>
      <c r="AT1083" s="718"/>
      <c r="AU1083" s="718"/>
      <c r="AV1083" s="718"/>
      <c r="AW1083" s="718"/>
      <c r="AX1083" s="718"/>
      <c r="AY1083" s="718"/>
      <c r="AZ1083" s="718"/>
      <c r="BA1083" s="718"/>
      <c r="BB1083" s="718"/>
      <c r="BC1083" s="718"/>
      <c r="BD1083" s="718"/>
      <c r="BE1083" s="718"/>
      <c r="BF1083" s="718"/>
      <c r="BG1083" s="718"/>
      <c r="BH1083" s="718"/>
      <c r="BI1083" s="718"/>
      <c r="BJ1083" s="718"/>
      <c r="BK1083" s="718"/>
      <c r="BL1083" s="718"/>
      <c r="BM1083" s="718"/>
      <c r="BN1083" s="718"/>
      <c r="BO1083" s="718"/>
      <c r="BP1083" s="718"/>
      <c r="BQ1083" s="718"/>
      <c r="BR1083" s="718"/>
      <c r="BS1083" s="718"/>
      <c r="BT1083" s="718"/>
      <c r="BU1083" s="718"/>
      <c r="BV1083" s="718"/>
      <c r="BW1083" s="718"/>
      <c r="BX1083" s="718"/>
      <c r="BY1083" s="718"/>
      <c r="BZ1083" s="718"/>
      <c r="CA1083" s="718"/>
    </row>
    <row r="1084" spans="1:79" s="740" customFormat="1" hidden="1" outlineLevel="1" x14ac:dyDescent="0.25">
      <c r="A1084" s="657"/>
      <c r="B1084" s="223"/>
      <c r="C1084" s="223"/>
      <c r="D1084" s="223"/>
      <c r="E1084" s="570" t="s">
        <v>49</v>
      </c>
      <c r="F1084" s="657" t="s">
        <v>860</v>
      </c>
      <c r="G1084" s="664">
        <f>SUM(G1082:G1083)</f>
        <v>0</v>
      </c>
      <c r="H1084" s="664">
        <f t="shared" ref="H1084:BO1084" si="455">SUM(H1082:H1083)</f>
        <v>0</v>
      </c>
      <c r="I1084" s="664">
        <f t="shared" si="455"/>
        <v>0</v>
      </c>
      <c r="J1084" s="664">
        <f t="shared" si="455"/>
        <v>0</v>
      </c>
      <c r="K1084" s="664">
        <f t="shared" si="455"/>
        <v>0</v>
      </c>
      <c r="L1084" s="664">
        <f t="shared" si="455"/>
        <v>0</v>
      </c>
      <c r="M1084" s="664">
        <f t="shared" si="455"/>
        <v>0</v>
      </c>
      <c r="N1084" s="664">
        <f t="shared" si="455"/>
        <v>0</v>
      </c>
      <c r="O1084" s="664">
        <f t="shared" si="455"/>
        <v>0</v>
      </c>
      <c r="P1084" s="664">
        <f t="shared" si="455"/>
        <v>0</v>
      </c>
      <c r="Q1084" s="664">
        <f t="shared" si="455"/>
        <v>0</v>
      </c>
      <c r="R1084" s="664">
        <f t="shared" si="455"/>
        <v>0</v>
      </c>
      <c r="S1084" s="664">
        <f t="shared" ref="S1084:AA1084" si="456">ROUND(SUM(S1081:S1083),5)</f>
        <v>0</v>
      </c>
      <c r="T1084" s="664">
        <f t="shared" si="456"/>
        <v>0</v>
      </c>
      <c r="U1084" s="664">
        <f t="shared" si="456"/>
        <v>0</v>
      </c>
      <c r="V1084" s="664">
        <f t="shared" si="456"/>
        <v>0</v>
      </c>
      <c r="W1084" s="664">
        <f t="shared" si="456"/>
        <v>0</v>
      </c>
      <c r="X1084" s="664">
        <f t="shared" si="456"/>
        <v>0</v>
      </c>
      <c r="Y1084" s="664">
        <f t="shared" si="456"/>
        <v>0</v>
      </c>
      <c r="Z1084" s="664">
        <f t="shared" si="456"/>
        <v>0</v>
      </c>
      <c r="AA1084" s="664">
        <f t="shared" si="456"/>
        <v>0</v>
      </c>
      <c r="AB1084" s="664">
        <f t="shared" ref="AB1084:AG1084" si="457">ROUND(SUM(AB1081:AB1083),5)</f>
        <v>0</v>
      </c>
      <c r="AC1084" s="664">
        <f t="shared" si="457"/>
        <v>0</v>
      </c>
      <c r="AD1084" s="664">
        <f t="shared" si="457"/>
        <v>0</v>
      </c>
      <c r="AE1084" s="664">
        <f t="shared" si="457"/>
        <v>0</v>
      </c>
      <c r="AF1084" s="664">
        <f t="shared" si="457"/>
        <v>0</v>
      </c>
      <c r="AG1084" s="664">
        <f t="shared" si="457"/>
        <v>0</v>
      </c>
      <c r="AH1084" s="664">
        <f t="shared" si="455"/>
        <v>0</v>
      </c>
      <c r="AI1084" s="664">
        <f t="shared" si="455"/>
        <v>0</v>
      </c>
      <c r="AJ1084" s="664">
        <f t="shared" si="455"/>
        <v>0</v>
      </c>
      <c r="AK1084" s="664">
        <f t="shared" si="455"/>
        <v>0</v>
      </c>
      <c r="AL1084" s="664">
        <f t="shared" si="455"/>
        <v>0</v>
      </c>
      <c r="AM1084" s="664">
        <f t="shared" si="455"/>
        <v>0</v>
      </c>
      <c r="AN1084" s="664">
        <f t="shared" si="455"/>
        <v>0</v>
      </c>
      <c r="AO1084" s="664">
        <f t="shared" si="455"/>
        <v>0</v>
      </c>
      <c r="AP1084" s="664">
        <f t="shared" si="455"/>
        <v>0</v>
      </c>
      <c r="AQ1084" s="664">
        <f t="shared" si="455"/>
        <v>0</v>
      </c>
      <c r="AR1084" s="664">
        <f t="shared" si="455"/>
        <v>0</v>
      </c>
      <c r="AS1084" s="664">
        <f t="shared" si="455"/>
        <v>0</v>
      </c>
      <c r="AT1084" s="664">
        <f t="shared" si="455"/>
        <v>0</v>
      </c>
      <c r="AU1084" s="664">
        <f t="shared" si="455"/>
        <v>0</v>
      </c>
      <c r="AV1084" s="664">
        <f t="shared" si="455"/>
        <v>0</v>
      </c>
      <c r="AW1084" s="664">
        <f t="shared" si="455"/>
        <v>0</v>
      </c>
      <c r="AX1084" s="664">
        <f t="shared" si="455"/>
        <v>0</v>
      </c>
      <c r="AY1084" s="664">
        <f t="shared" si="455"/>
        <v>0</v>
      </c>
      <c r="AZ1084" s="664">
        <f t="shared" si="455"/>
        <v>0</v>
      </c>
      <c r="BA1084" s="664">
        <f t="shared" si="455"/>
        <v>0</v>
      </c>
      <c r="BB1084" s="664">
        <f t="shared" si="455"/>
        <v>0</v>
      </c>
      <c r="BC1084" s="664">
        <f t="shared" si="455"/>
        <v>0</v>
      </c>
      <c r="BD1084" s="664">
        <f t="shared" si="455"/>
        <v>0</v>
      </c>
      <c r="BE1084" s="664">
        <f t="shared" si="455"/>
        <v>0</v>
      </c>
      <c r="BF1084" s="664">
        <f t="shared" si="455"/>
        <v>0</v>
      </c>
      <c r="BG1084" s="664">
        <f t="shared" si="455"/>
        <v>0</v>
      </c>
      <c r="BH1084" s="664">
        <f t="shared" si="455"/>
        <v>0</v>
      </c>
      <c r="BI1084" s="664">
        <f t="shared" si="455"/>
        <v>0</v>
      </c>
      <c r="BJ1084" s="664">
        <f t="shared" si="455"/>
        <v>0</v>
      </c>
      <c r="BK1084" s="664">
        <f t="shared" si="455"/>
        <v>0</v>
      </c>
      <c r="BL1084" s="664">
        <f t="shared" si="455"/>
        <v>0</v>
      </c>
      <c r="BM1084" s="664">
        <f t="shared" si="455"/>
        <v>0</v>
      </c>
      <c r="BN1084" s="664">
        <f t="shared" si="455"/>
        <v>0</v>
      </c>
      <c r="BO1084" s="664">
        <f t="shared" si="455"/>
        <v>0</v>
      </c>
      <c r="BP1084" s="664">
        <f t="shared" ref="BP1084:CA1084" si="458">SUM(BP1082:BP1083)</f>
        <v>0</v>
      </c>
      <c r="BQ1084" s="664">
        <f t="shared" si="458"/>
        <v>0</v>
      </c>
      <c r="BR1084" s="664">
        <f t="shared" si="458"/>
        <v>0</v>
      </c>
      <c r="BS1084" s="664">
        <f t="shared" si="458"/>
        <v>0</v>
      </c>
      <c r="BT1084" s="664">
        <f t="shared" si="458"/>
        <v>0</v>
      </c>
      <c r="BU1084" s="664">
        <f t="shared" si="458"/>
        <v>0</v>
      </c>
      <c r="BV1084" s="664">
        <f t="shared" si="458"/>
        <v>0</v>
      </c>
      <c r="BW1084" s="664">
        <f t="shared" si="458"/>
        <v>0</v>
      </c>
      <c r="BX1084" s="664">
        <f t="shared" si="458"/>
        <v>0</v>
      </c>
      <c r="BY1084" s="664">
        <f t="shared" si="458"/>
        <v>0</v>
      </c>
      <c r="BZ1084" s="664">
        <f t="shared" si="458"/>
        <v>0</v>
      </c>
      <c r="CA1084" s="664">
        <f t="shared" si="458"/>
        <v>0</v>
      </c>
    </row>
    <row r="1085" spans="1:79" s="308" customFormat="1" hidden="1" outlineLevel="1" x14ac:dyDescent="0.25">
      <c r="A1085" s="656"/>
      <c r="B1085" s="503"/>
      <c r="C1085" s="503"/>
      <c r="D1085" s="503"/>
      <c r="E1085" s="570" t="s">
        <v>1330</v>
      </c>
      <c r="F1085" s="656" t="s">
        <v>871</v>
      </c>
      <c r="G1085" s="719"/>
      <c r="H1085" s="719"/>
      <c r="I1085" s="719"/>
      <c r="J1085" s="719"/>
      <c r="K1085" s="719"/>
      <c r="L1085" s="719"/>
      <c r="M1085" s="719"/>
      <c r="N1085" s="719"/>
      <c r="O1085" s="719"/>
      <c r="P1085" s="718"/>
      <c r="Q1085" s="718"/>
      <c r="R1085" s="718"/>
      <c r="S1085" s="671">
        <v>0</v>
      </c>
      <c r="T1085" s="671">
        <v>0</v>
      </c>
      <c r="U1085" s="671">
        <v>0</v>
      </c>
      <c r="V1085" s="671">
        <v>0</v>
      </c>
      <c r="W1085" s="671">
        <v>0</v>
      </c>
      <c r="X1085" s="671">
        <v>0</v>
      </c>
      <c r="Y1085" s="671">
        <v>0</v>
      </c>
      <c r="Z1085" s="671">
        <v>0</v>
      </c>
      <c r="AA1085" s="671">
        <v>0</v>
      </c>
      <c r="AB1085" s="671">
        <v>0</v>
      </c>
      <c r="AC1085" s="671">
        <v>0</v>
      </c>
      <c r="AD1085" s="671">
        <v>0</v>
      </c>
      <c r="AE1085" s="671">
        <v>0</v>
      </c>
      <c r="AF1085" s="671">
        <v>0</v>
      </c>
      <c r="AG1085" s="671">
        <v>0</v>
      </c>
      <c r="AH1085" s="716"/>
      <c r="AI1085" s="716"/>
      <c r="AJ1085" s="716"/>
      <c r="AK1085" s="716"/>
      <c r="AL1085" s="716"/>
      <c r="AM1085" s="716"/>
      <c r="AN1085" s="716"/>
      <c r="AO1085" s="716"/>
      <c r="AP1085" s="716"/>
      <c r="AQ1085" s="716"/>
      <c r="AR1085" s="716"/>
      <c r="AS1085" s="716"/>
      <c r="AT1085" s="716"/>
      <c r="AU1085" s="716"/>
      <c r="AV1085" s="716"/>
      <c r="AW1085" s="716"/>
      <c r="AX1085" s="716"/>
      <c r="AY1085" s="716"/>
      <c r="AZ1085" s="716"/>
      <c r="BA1085" s="716"/>
      <c r="BB1085" s="716"/>
      <c r="BC1085" s="716"/>
      <c r="BD1085" s="716"/>
      <c r="BE1085" s="716"/>
      <c r="BF1085" s="716"/>
      <c r="BG1085" s="716"/>
      <c r="BH1085" s="716"/>
      <c r="BI1085" s="716"/>
      <c r="BJ1085" s="716"/>
      <c r="BK1085" s="716"/>
      <c r="BL1085" s="716"/>
      <c r="BM1085" s="716"/>
      <c r="BN1085" s="716"/>
      <c r="BO1085" s="716"/>
      <c r="BP1085" s="716"/>
      <c r="BQ1085" s="716"/>
      <c r="BR1085" s="716"/>
      <c r="BS1085" s="716"/>
      <c r="BT1085" s="716"/>
      <c r="BU1085" s="716"/>
      <c r="BV1085" s="716"/>
      <c r="BW1085" s="716"/>
      <c r="BX1085" s="716"/>
      <c r="BY1085" s="716"/>
      <c r="BZ1085" s="716"/>
      <c r="CA1085" s="716"/>
    </row>
    <row r="1086" spans="1:79" s="308" customFormat="1" hidden="1" outlineLevel="1" x14ac:dyDescent="0.25">
      <c r="A1086" s="656"/>
      <c r="B1086" s="503"/>
      <c r="C1086" s="503"/>
      <c r="D1086" s="503"/>
      <c r="E1086" s="570" t="s">
        <v>1076</v>
      </c>
      <c r="F1086" s="656" t="s">
        <v>872</v>
      </c>
      <c r="G1086" s="719"/>
      <c r="H1086" s="719"/>
      <c r="I1086" s="719"/>
      <c r="J1086" s="719"/>
      <c r="K1086" s="719"/>
      <c r="L1086" s="719"/>
      <c r="M1086" s="719"/>
      <c r="N1086" s="719"/>
      <c r="O1086" s="719"/>
      <c r="P1086" s="718"/>
      <c r="Q1086" s="718"/>
      <c r="R1086" s="718"/>
      <c r="S1086" s="671">
        <v>0</v>
      </c>
      <c r="T1086" s="671">
        <v>0</v>
      </c>
      <c r="U1086" s="671">
        <v>0</v>
      </c>
      <c r="V1086" s="671">
        <v>0</v>
      </c>
      <c r="W1086" s="671">
        <v>0</v>
      </c>
      <c r="X1086" s="671">
        <v>0</v>
      </c>
      <c r="Y1086" s="671">
        <v>0</v>
      </c>
      <c r="Z1086" s="671">
        <v>0</v>
      </c>
      <c r="AA1086" s="671">
        <v>0</v>
      </c>
      <c r="AB1086" s="671">
        <v>0</v>
      </c>
      <c r="AC1086" s="671">
        <v>0</v>
      </c>
      <c r="AD1086" s="671">
        <v>0</v>
      </c>
      <c r="AE1086" s="671">
        <v>0</v>
      </c>
      <c r="AF1086" s="671">
        <v>0</v>
      </c>
      <c r="AG1086" s="671">
        <v>0</v>
      </c>
      <c r="AH1086" s="716"/>
      <c r="AI1086" s="716"/>
      <c r="AJ1086" s="716"/>
      <c r="AK1086" s="716"/>
      <c r="AL1086" s="716"/>
      <c r="AM1086" s="716"/>
      <c r="AN1086" s="716"/>
      <c r="AO1086" s="716"/>
      <c r="AP1086" s="716"/>
      <c r="AQ1086" s="716"/>
      <c r="AR1086" s="716"/>
      <c r="AS1086" s="716"/>
      <c r="AT1086" s="716"/>
      <c r="AU1086" s="716"/>
      <c r="AV1086" s="716"/>
      <c r="AW1086" s="716"/>
      <c r="AX1086" s="716"/>
      <c r="AY1086" s="716"/>
      <c r="AZ1086" s="716"/>
      <c r="BA1086" s="716"/>
      <c r="BB1086" s="716"/>
      <c r="BC1086" s="716"/>
      <c r="BD1086" s="716"/>
      <c r="BE1086" s="716"/>
      <c r="BF1086" s="716"/>
      <c r="BG1086" s="716"/>
      <c r="BH1086" s="716"/>
      <c r="BI1086" s="716"/>
      <c r="BJ1086" s="716"/>
      <c r="BK1086" s="716"/>
      <c r="BL1086" s="716"/>
      <c r="BM1086" s="716"/>
      <c r="BN1086" s="716"/>
      <c r="BO1086" s="716"/>
      <c r="BP1086" s="716"/>
      <c r="BQ1086" s="716"/>
      <c r="BR1086" s="716"/>
      <c r="BS1086" s="716"/>
      <c r="BT1086" s="716"/>
      <c r="BU1086" s="716"/>
      <c r="BV1086" s="716"/>
      <c r="BW1086" s="716"/>
      <c r="BX1086" s="716"/>
      <c r="BY1086" s="716"/>
      <c r="BZ1086" s="716"/>
      <c r="CA1086" s="716"/>
    </row>
    <row r="1087" spans="1:79" hidden="1" outlineLevel="1" collapsed="1" x14ac:dyDescent="0.25">
      <c r="A1087" s="656"/>
      <c r="B1087" s="503"/>
      <c r="C1087" s="503"/>
      <c r="D1087" s="503"/>
      <c r="E1087" s="570" t="s">
        <v>1331</v>
      </c>
      <c r="F1087" s="656" t="s">
        <v>873</v>
      </c>
      <c r="G1087" s="719"/>
      <c r="H1087" s="719"/>
      <c r="I1087" s="719"/>
      <c r="J1087" s="719"/>
      <c r="K1087" s="719"/>
      <c r="L1087" s="719"/>
      <c r="M1087" s="719"/>
      <c r="N1087" s="719"/>
      <c r="O1087" s="719"/>
      <c r="P1087" s="718"/>
      <c r="Q1087" s="718"/>
      <c r="R1087" s="718"/>
      <c r="S1087" s="671">
        <v>0</v>
      </c>
      <c r="T1087" s="671">
        <v>0</v>
      </c>
      <c r="U1087" s="671">
        <v>0</v>
      </c>
      <c r="V1087" s="671">
        <v>0</v>
      </c>
      <c r="W1087" s="671">
        <v>0</v>
      </c>
      <c r="X1087" s="671">
        <v>0</v>
      </c>
      <c r="Y1087" s="671">
        <v>0</v>
      </c>
      <c r="Z1087" s="671">
        <v>0</v>
      </c>
      <c r="AA1087" s="671">
        <v>0</v>
      </c>
      <c r="AB1087" s="671">
        <v>0</v>
      </c>
      <c r="AC1087" s="671">
        <v>0</v>
      </c>
      <c r="AD1087" s="671">
        <v>0</v>
      </c>
      <c r="AE1087" s="671">
        <v>0</v>
      </c>
      <c r="AF1087" s="671">
        <v>0</v>
      </c>
      <c r="AG1087" s="671">
        <v>0</v>
      </c>
      <c r="AH1087" s="716"/>
      <c r="AI1087" s="716"/>
      <c r="AJ1087" s="716"/>
      <c r="AK1087" s="716"/>
      <c r="AL1087" s="716"/>
      <c r="AM1087" s="716"/>
      <c r="AN1087" s="716"/>
      <c r="AO1087" s="716"/>
      <c r="AP1087" s="716"/>
      <c r="AQ1087" s="716"/>
      <c r="AR1087" s="716"/>
      <c r="AS1087" s="716"/>
      <c r="AT1087" s="716"/>
      <c r="AU1087" s="716"/>
      <c r="AV1087" s="716"/>
      <c r="AW1087" s="716"/>
      <c r="AX1087" s="716"/>
      <c r="AY1087" s="716"/>
      <c r="AZ1087" s="716"/>
      <c r="BA1087" s="716"/>
      <c r="BB1087" s="716"/>
      <c r="BC1087" s="716"/>
      <c r="BD1087" s="716"/>
      <c r="BE1087" s="716"/>
      <c r="BF1087" s="716"/>
      <c r="BG1087" s="716"/>
      <c r="BH1087" s="716"/>
      <c r="BI1087" s="716"/>
      <c r="BJ1087" s="716"/>
      <c r="BK1087" s="716"/>
      <c r="BL1087" s="716"/>
      <c r="BM1087" s="716"/>
      <c r="BN1087" s="716"/>
      <c r="BO1087" s="716"/>
      <c r="BP1087" s="716"/>
      <c r="BQ1087" s="716"/>
      <c r="BR1087" s="716"/>
      <c r="BS1087" s="716"/>
      <c r="BT1087" s="716"/>
      <c r="BU1087" s="716"/>
      <c r="BV1087" s="716"/>
      <c r="BW1087" s="716"/>
      <c r="BX1087" s="716"/>
      <c r="BY1087" s="716"/>
      <c r="BZ1087" s="716"/>
      <c r="CA1087" s="716"/>
    </row>
    <row r="1088" spans="1:79" s="451" customFormat="1" hidden="1" outlineLevel="1" x14ac:dyDescent="0.25">
      <c r="A1088" s="656"/>
      <c r="B1088" s="503"/>
      <c r="C1088" s="503"/>
      <c r="D1088" s="503"/>
      <c r="E1088" s="570" t="s">
        <v>1357</v>
      </c>
      <c r="F1088" s="656" t="s">
        <v>605</v>
      </c>
      <c r="G1088" s="719"/>
      <c r="H1088" s="719"/>
      <c r="I1088" s="719"/>
      <c r="J1088" s="719"/>
      <c r="K1088" s="719"/>
      <c r="L1088" s="719"/>
      <c r="M1088" s="719"/>
      <c r="N1088" s="719"/>
      <c r="O1088" s="719"/>
      <c r="P1088" s="716"/>
      <c r="Q1088" s="716"/>
      <c r="R1088" s="716"/>
      <c r="S1088" s="667">
        <v>0</v>
      </c>
      <c r="T1088" s="667">
        <v>317.94</v>
      </c>
      <c r="U1088" s="667">
        <v>508.83</v>
      </c>
      <c r="V1088" s="667">
        <v>0</v>
      </c>
      <c r="W1088" s="667">
        <v>258.11</v>
      </c>
      <c r="X1088" s="667">
        <v>1210.21</v>
      </c>
      <c r="Y1088" s="667">
        <v>0</v>
      </c>
      <c r="Z1088" s="667">
        <v>342.77</v>
      </c>
      <c r="AA1088" s="667">
        <v>537.11</v>
      </c>
      <c r="AB1088" s="667">
        <v>668.79</v>
      </c>
      <c r="AC1088" s="667">
        <v>453.64</v>
      </c>
      <c r="AD1088" s="667">
        <v>327.64</v>
      </c>
      <c r="AE1088" s="667">
        <v>866.31</v>
      </c>
      <c r="AF1088" s="667">
        <v>462.24</v>
      </c>
      <c r="AG1088" s="667">
        <v>0</v>
      </c>
      <c r="AH1088" s="716"/>
      <c r="AI1088" s="716"/>
      <c r="AJ1088" s="716"/>
      <c r="AK1088" s="716"/>
      <c r="AL1088" s="716"/>
      <c r="AM1088" s="716"/>
      <c r="AN1088" s="716"/>
      <c r="AO1088" s="716"/>
      <c r="AP1088" s="716"/>
      <c r="AQ1088" s="716"/>
      <c r="AR1088" s="716"/>
      <c r="AS1088" s="716"/>
      <c r="AT1088" s="716"/>
      <c r="AU1088" s="716"/>
      <c r="AV1088" s="716"/>
      <c r="AW1088" s="716"/>
      <c r="AX1088" s="716"/>
      <c r="AY1088" s="716"/>
      <c r="AZ1088" s="716"/>
      <c r="BA1088" s="716"/>
      <c r="BB1088" s="716"/>
      <c r="BC1088" s="716"/>
      <c r="BD1088" s="716"/>
      <c r="BE1088" s="716"/>
      <c r="BF1088" s="716"/>
      <c r="BG1088" s="716"/>
      <c r="BH1088" s="716"/>
      <c r="BI1088" s="716"/>
      <c r="BJ1088" s="716"/>
      <c r="BK1088" s="716"/>
      <c r="BL1088" s="716"/>
      <c r="BM1088" s="716"/>
      <c r="BN1088" s="716"/>
      <c r="BO1088" s="716"/>
      <c r="BP1088" s="716"/>
      <c r="BQ1088" s="716"/>
      <c r="BR1088" s="716"/>
      <c r="BS1088" s="716"/>
      <c r="BT1088" s="716"/>
      <c r="BU1088" s="716"/>
      <c r="BV1088" s="716"/>
      <c r="BW1088" s="716"/>
      <c r="BX1088" s="716"/>
      <c r="BY1088" s="716"/>
      <c r="BZ1088" s="716"/>
      <c r="CA1088" s="716"/>
    </row>
    <row r="1089" spans="1:79" s="451" customFormat="1" hidden="1" outlineLevel="1" x14ac:dyDescent="0.25">
      <c r="A1089" s="656"/>
      <c r="B1089" s="503"/>
      <c r="C1089" s="503"/>
      <c r="D1089" s="503"/>
      <c r="E1089" s="570" t="s">
        <v>645</v>
      </c>
      <c r="F1089" s="656" t="s">
        <v>606</v>
      </c>
      <c r="G1089" s="719"/>
      <c r="H1089" s="719"/>
      <c r="I1089" s="719"/>
      <c r="J1089" s="719"/>
      <c r="K1089" s="719"/>
      <c r="L1089" s="719"/>
      <c r="M1089" s="719"/>
      <c r="N1089" s="719"/>
      <c r="O1089" s="719"/>
      <c r="P1089" s="716"/>
      <c r="Q1089" s="716"/>
      <c r="R1089" s="716"/>
      <c r="S1089" s="667">
        <v>0</v>
      </c>
      <c r="T1089" s="667">
        <v>0</v>
      </c>
      <c r="U1089" s="667">
        <v>0</v>
      </c>
      <c r="V1089" s="667">
        <v>0</v>
      </c>
      <c r="W1089" s="667">
        <v>0</v>
      </c>
      <c r="X1089" s="667">
        <v>0</v>
      </c>
      <c r="Y1089" s="667">
        <v>0</v>
      </c>
      <c r="Z1089" s="667">
        <v>0</v>
      </c>
      <c r="AA1089" s="667">
        <v>0</v>
      </c>
      <c r="AB1089" s="667">
        <v>10</v>
      </c>
      <c r="AC1089" s="667">
        <v>0</v>
      </c>
      <c r="AD1089" s="667">
        <v>0</v>
      </c>
      <c r="AE1089" s="667">
        <v>0</v>
      </c>
      <c r="AF1089" s="667">
        <v>6.88</v>
      </c>
      <c r="AG1089" s="667">
        <v>0</v>
      </c>
      <c r="AH1089" s="716"/>
      <c r="AI1089" s="716"/>
      <c r="AJ1089" s="716"/>
      <c r="AK1089" s="716"/>
      <c r="AL1089" s="716"/>
      <c r="AM1089" s="716"/>
      <c r="AN1089" s="716"/>
      <c r="AO1089" s="716"/>
      <c r="AP1089" s="716"/>
      <c r="AQ1089" s="716"/>
      <c r="AR1089" s="716"/>
      <c r="AS1089" s="716"/>
      <c r="AT1089" s="716"/>
      <c r="AU1089" s="716"/>
      <c r="AV1089" s="716"/>
      <c r="AW1089" s="716"/>
      <c r="AX1089" s="716"/>
      <c r="AY1089" s="716"/>
      <c r="AZ1089" s="716"/>
      <c r="BA1089" s="716"/>
      <c r="BB1089" s="716"/>
      <c r="BC1089" s="716"/>
      <c r="BD1089" s="716"/>
      <c r="BE1089" s="716"/>
      <c r="BF1089" s="716"/>
      <c r="BG1089" s="716"/>
      <c r="BH1089" s="716"/>
      <c r="BI1089" s="716"/>
      <c r="BJ1089" s="716"/>
      <c r="BK1089" s="716"/>
      <c r="BL1089" s="716"/>
      <c r="BM1089" s="716"/>
      <c r="BN1089" s="716"/>
      <c r="BO1089" s="716"/>
      <c r="BP1089" s="716"/>
      <c r="BQ1089" s="716"/>
      <c r="BR1089" s="716"/>
      <c r="BS1089" s="716"/>
      <c r="BT1089" s="716"/>
      <c r="BU1089" s="716"/>
      <c r="BV1089" s="716"/>
      <c r="BW1089" s="716"/>
      <c r="BX1089" s="716"/>
      <c r="BY1089" s="716"/>
      <c r="BZ1089" s="716"/>
      <c r="CA1089" s="716"/>
    </row>
    <row r="1090" spans="1:79" s="451" customFormat="1" hidden="1" outlineLevel="1" x14ac:dyDescent="0.25">
      <c r="A1090" s="656"/>
      <c r="B1090" s="503"/>
      <c r="C1090" s="503"/>
      <c r="D1090" s="503"/>
      <c r="E1090" s="570" t="s">
        <v>1330</v>
      </c>
      <c r="F1090" s="656" t="s">
        <v>607</v>
      </c>
      <c r="G1090" s="719"/>
      <c r="H1090" s="719"/>
      <c r="I1090" s="719"/>
      <c r="J1090" s="719"/>
      <c r="K1090" s="719"/>
      <c r="L1090" s="719"/>
      <c r="M1090" s="719"/>
      <c r="N1090" s="719"/>
      <c r="O1090" s="719"/>
      <c r="P1090" s="716"/>
      <c r="Q1090" s="716"/>
      <c r="R1090" s="716"/>
      <c r="S1090" s="667">
        <v>0</v>
      </c>
      <c r="T1090" s="667">
        <v>0</v>
      </c>
      <c r="U1090" s="667">
        <v>0</v>
      </c>
      <c r="V1090" s="667">
        <v>0</v>
      </c>
      <c r="W1090" s="667">
        <v>0</v>
      </c>
      <c r="X1090" s="667">
        <v>0</v>
      </c>
      <c r="Y1090" s="667">
        <v>0</v>
      </c>
      <c r="Z1090" s="667">
        <v>0</v>
      </c>
      <c r="AA1090" s="667">
        <v>0</v>
      </c>
      <c r="AB1090" s="667">
        <v>0</v>
      </c>
      <c r="AC1090" s="667">
        <v>0</v>
      </c>
      <c r="AD1090" s="667">
        <v>0</v>
      </c>
      <c r="AE1090" s="667">
        <v>0</v>
      </c>
      <c r="AF1090" s="667">
        <v>0</v>
      </c>
      <c r="AG1090" s="667">
        <v>0</v>
      </c>
      <c r="AH1090" s="716"/>
      <c r="AI1090" s="716"/>
      <c r="AJ1090" s="716"/>
      <c r="AK1090" s="716"/>
      <c r="AL1090" s="716"/>
      <c r="AM1090" s="716"/>
      <c r="AN1090" s="716"/>
      <c r="AO1090" s="716"/>
      <c r="AP1090" s="716"/>
      <c r="AQ1090" s="716"/>
      <c r="AR1090" s="716"/>
      <c r="AS1090" s="716"/>
      <c r="AT1090" s="716"/>
      <c r="AU1090" s="716"/>
      <c r="AV1090" s="716"/>
      <c r="AW1090" s="716"/>
      <c r="AX1090" s="716"/>
      <c r="AY1090" s="716"/>
      <c r="AZ1090" s="716"/>
      <c r="BA1090" s="716"/>
      <c r="BB1090" s="716"/>
      <c r="BC1090" s="716"/>
      <c r="BD1090" s="716"/>
      <c r="BE1090" s="716"/>
      <c r="BF1090" s="716"/>
      <c r="BG1090" s="716"/>
      <c r="BH1090" s="716"/>
      <c r="BI1090" s="716"/>
      <c r="BJ1090" s="716"/>
      <c r="BK1090" s="716"/>
      <c r="BL1090" s="716"/>
      <c r="BM1090" s="716"/>
      <c r="BN1090" s="716"/>
      <c r="BO1090" s="716"/>
      <c r="BP1090" s="716"/>
      <c r="BQ1090" s="716"/>
      <c r="BR1090" s="716"/>
      <c r="BS1090" s="716"/>
      <c r="BT1090" s="716"/>
      <c r="BU1090" s="716"/>
      <c r="BV1090" s="716"/>
      <c r="BW1090" s="716"/>
      <c r="BX1090" s="716"/>
      <c r="BY1090" s="716"/>
      <c r="BZ1090" s="716"/>
      <c r="CA1090" s="716"/>
    </row>
    <row r="1091" spans="1:79" s="451" customFormat="1" hidden="1" outlineLevel="1" x14ac:dyDescent="0.25">
      <c r="A1091" s="656"/>
      <c r="B1091" s="503"/>
      <c r="C1091" s="503"/>
      <c r="D1091" s="503"/>
      <c r="E1091" s="570" t="s">
        <v>1330</v>
      </c>
      <c r="F1091" s="656" t="s">
        <v>874</v>
      </c>
      <c r="G1091" s="719"/>
      <c r="H1091" s="719"/>
      <c r="I1091" s="719"/>
      <c r="J1091" s="719"/>
      <c r="K1091" s="719"/>
      <c r="L1091" s="719"/>
      <c r="M1091" s="719"/>
      <c r="N1091" s="719"/>
      <c r="O1091" s="719"/>
      <c r="P1091" s="716"/>
      <c r="Q1091" s="716"/>
      <c r="R1091" s="716"/>
      <c r="S1091" s="676">
        <v>0</v>
      </c>
      <c r="T1091" s="676">
        <v>0</v>
      </c>
      <c r="U1091" s="676">
        <v>0</v>
      </c>
      <c r="V1091" s="676">
        <v>0</v>
      </c>
      <c r="W1091" s="676">
        <v>0</v>
      </c>
      <c r="X1091" s="676">
        <v>117.64</v>
      </c>
      <c r="Y1091" s="676">
        <v>0</v>
      </c>
      <c r="Z1091" s="676">
        <v>0</v>
      </c>
      <c r="AA1091" s="676">
        <v>0</v>
      </c>
      <c r="AB1091" s="676">
        <v>0</v>
      </c>
      <c r="AC1091" s="676">
        <v>0</v>
      </c>
      <c r="AD1091" s="676">
        <v>0</v>
      </c>
      <c r="AE1091" s="676">
        <v>0</v>
      </c>
      <c r="AF1091" s="676">
        <v>0</v>
      </c>
      <c r="AG1091" s="676">
        <v>0</v>
      </c>
      <c r="AH1091" s="716"/>
      <c r="AI1091" s="716"/>
      <c r="AJ1091" s="716"/>
      <c r="AK1091" s="716"/>
      <c r="AL1091" s="716"/>
      <c r="AM1091" s="716"/>
      <c r="AN1091" s="716"/>
      <c r="AO1091" s="716"/>
      <c r="AP1091" s="716"/>
      <c r="AQ1091" s="716"/>
      <c r="AR1091" s="716"/>
      <c r="AS1091" s="716"/>
      <c r="AT1091" s="716"/>
      <c r="AU1091" s="716"/>
      <c r="AV1091" s="716"/>
      <c r="AW1091" s="716"/>
      <c r="AX1091" s="716"/>
      <c r="AY1091" s="716"/>
      <c r="AZ1091" s="716"/>
      <c r="BA1091" s="716"/>
      <c r="BB1091" s="716"/>
      <c r="BC1091" s="716"/>
      <c r="BD1091" s="716"/>
      <c r="BE1091" s="716"/>
      <c r="BF1091" s="716"/>
      <c r="BG1091" s="716"/>
      <c r="BH1091" s="716"/>
      <c r="BI1091" s="716"/>
      <c r="BJ1091" s="716"/>
      <c r="BK1091" s="716"/>
      <c r="BL1091" s="716"/>
      <c r="BM1091" s="716"/>
      <c r="BN1091" s="716"/>
      <c r="BO1091" s="716"/>
      <c r="BP1091" s="716"/>
      <c r="BQ1091" s="716"/>
      <c r="BR1091" s="716"/>
      <c r="BS1091" s="716"/>
      <c r="BT1091" s="716"/>
      <c r="BU1091" s="716"/>
      <c r="BV1091" s="716"/>
      <c r="BW1091" s="716"/>
      <c r="BX1091" s="716"/>
      <c r="BY1091" s="716"/>
      <c r="BZ1091" s="716"/>
      <c r="CA1091" s="716"/>
    </row>
    <row r="1092" spans="1:79" s="308" customFormat="1" hidden="1" outlineLevel="1" x14ac:dyDescent="0.25">
      <c r="A1092" s="659"/>
      <c r="B1092" s="29"/>
      <c r="C1092" s="29"/>
      <c r="D1092" s="29"/>
      <c r="E1092" s="570" t="s">
        <v>49</v>
      </c>
      <c r="F1092" s="659" t="s">
        <v>608</v>
      </c>
      <c r="G1092" s="664">
        <f>SUM(G1085:G1091)</f>
        <v>0</v>
      </c>
      <c r="H1092" s="664">
        <f t="shared" ref="H1092:BO1092" si="459">SUM(H1085:H1091)</f>
        <v>0</v>
      </c>
      <c r="I1092" s="664">
        <f t="shared" si="459"/>
        <v>0</v>
      </c>
      <c r="J1092" s="664">
        <f t="shared" si="459"/>
        <v>0</v>
      </c>
      <c r="K1092" s="664">
        <f t="shared" si="459"/>
        <v>0</v>
      </c>
      <c r="L1092" s="664">
        <f t="shared" si="459"/>
        <v>0</v>
      </c>
      <c r="M1092" s="664">
        <f t="shared" si="459"/>
        <v>0</v>
      </c>
      <c r="N1092" s="664">
        <f t="shared" si="459"/>
        <v>0</v>
      </c>
      <c r="O1092" s="664">
        <f t="shared" si="459"/>
        <v>0</v>
      </c>
      <c r="P1092" s="664">
        <f t="shared" si="459"/>
        <v>0</v>
      </c>
      <c r="Q1092" s="664">
        <f t="shared" si="459"/>
        <v>0</v>
      </c>
      <c r="R1092" s="664">
        <f t="shared" si="459"/>
        <v>0</v>
      </c>
      <c r="S1092" s="679">
        <f t="shared" ref="S1092:AA1092" si="460">ROUND(SUM(S1080:S1091),5)</f>
        <v>0</v>
      </c>
      <c r="T1092" s="679">
        <f t="shared" si="460"/>
        <v>317.94</v>
      </c>
      <c r="U1092" s="679">
        <f t="shared" si="460"/>
        <v>508.83</v>
      </c>
      <c r="V1092" s="679">
        <f t="shared" si="460"/>
        <v>0</v>
      </c>
      <c r="W1092" s="679">
        <f t="shared" si="460"/>
        <v>258.11</v>
      </c>
      <c r="X1092" s="679">
        <f t="shared" si="460"/>
        <v>1327.85</v>
      </c>
      <c r="Y1092" s="679">
        <f t="shared" si="460"/>
        <v>0</v>
      </c>
      <c r="Z1092" s="679">
        <f t="shared" si="460"/>
        <v>342.77</v>
      </c>
      <c r="AA1092" s="679">
        <f t="shared" si="460"/>
        <v>537.11</v>
      </c>
      <c r="AB1092" s="679">
        <f>ROUND(SUM(AB1080:AB1091),5)</f>
        <v>678.79</v>
      </c>
      <c r="AC1092" s="679">
        <f>ROUND(SUM(AC1080:AC1091),5)</f>
        <v>453.64</v>
      </c>
      <c r="AD1092" s="679">
        <f>ROUND(SUM(AD1080:AD1091),5)</f>
        <v>327.64</v>
      </c>
      <c r="AE1092" s="679">
        <f>ROUND(AE1080+SUM(AE1084:AE1091),5)</f>
        <v>866.31</v>
      </c>
      <c r="AF1092" s="679">
        <f>ROUND(AF1080+SUM(AF1084:AF1091),5)</f>
        <v>469.12</v>
      </c>
      <c r="AG1092" s="679">
        <f>ROUND(AG1080+SUM(AG1084:AG1091),5)</f>
        <v>0</v>
      </c>
      <c r="AH1092" s="664">
        <f t="shared" si="459"/>
        <v>0</v>
      </c>
      <c r="AI1092" s="664">
        <f t="shared" si="459"/>
        <v>0</v>
      </c>
      <c r="AJ1092" s="664">
        <f t="shared" si="459"/>
        <v>0</v>
      </c>
      <c r="AK1092" s="664">
        <f t="shared" si="459"/>
        <v>0</v>
      </c>
      <c r="AL1092" s="664">
        <f t="shared" si="459"/>
        <v>0</v>
      </c>
      <c r="AM1092" s="664">
        <f t="shared" si="459"/>
        <v>0</v>
      </c>
      <c r="AN1092" s="664">
        <f t="shared" si="459"/>
        <v>0</v>
      </c>
      <c r="AO1092" s="664">
        <f t="shared" si="459"/>
        <v>0</v>
      </c>
      <c r="AP1092" s="664">
        <f t="shared" si="459"/>
        <v>0</v>
      </c>
      <c r="AQ1092" s="664">
        <f t="shared" si="459"/>
        <v>0</v>
      </c>
      <c r="AR1092" s="664">
        <f t="shared" si="459"/>
        <v>0</v>
      </c>
      <c r="AS1092" s="664">
        <f t="shared" si="459"/>
        <v>0</v>
      </c>
      <c r="AT1092" s="664">
        <f t="shared" si="459"/>
        <v>0</v>
      </c>
      <c r="AU1092" s="664">
        <f t="shared" si="459"/>
        <v>0</v>
      </c>
      <c r="AV1092" s="664">
        <f t="shared" si="459"/>
        <v>0</v>
      </c>
      <c r="AW1092" s="664">
        <f t="shared" si="459"/>
        <v>0</v>
      </c>
      <c r="AX1092" s="664">
        <f t="shared" si="459"/>
        <v>0</v>
      </c>
      <c r="AY1092" s="664">
        <f t="shared" si="459"/>
        <v>0</v>
      </c>
      <c r="AZ1092" s="664">
        <f t="shared" si="459"/>
        <v>0</v>
      </c>
      <c r="BA1092" s="664">
        <f t="shared" si="459"/>
        <v>0</v>
      </c>
      <c r="BB1092" s="664">
        <f t="shared" si="459"/>
        <v>0</v>
      </c>
      <c r="BC1092" s="664">
        <f t="shared" si="459"/>
        <v>0</v>
      </c>
      <c r="BD1092" s="664">
        <f t="shared" si="459"/>
        <v>0</v>
      </c>
      <c r="BE1092" s="664">
        <f t="shared" si="459"/>
        <v>0</v>
      </c>
      <c r="BF1092" s="664">
        <f t="shared" si="459"/>
        <v>0</v>
      </c>
      <c r="BG1092" s="664">
        <f t="shared" si="459"/>
        <v>0</v>
      </c>
      <c r="BH1092" s="664">
        <f t="shared" si="459"/>
        <v>0</v>
      </c>
      <c r="BI1092" s="664">
        <f t="shared" si="459"/>
        <v>0</v>
      </c>
      <c r="BJ1092" s="664">
        <f t="shared" si="459"/>
        <v>0</v>
      </c>
      <c r="BK1092" s="664">
        <f t="shared" si="459"/>
        <v>0</v>
      </c>
      <c r="BL1092" s="664">
        <f t="shared" si="459"/>
        <v>0</v>
      </c>
      <c r="BM1092" s="664">
        <f t="shared" si="459"/>
        <v>0</v>
      </c>
      <c r="BN1092" s="664">
        <f t="shared" si="459"/>
        <v>0</v>
      </c>
      <c r="BO1092" s="664">
        <f t="shared" si="459"/>
        <v>0</v>
      </c>
      <c r="BP1092" s="664">
        <f t="shared" ref="BP1092:CA1092" si="461">SUM(BP1085:BP1091)</f>
        <v>0</v>
      </c>
      <c r="BQ1092" s="664">
        <f t="shared" si="461"/>
        <v>0</v>
      </c>
      <c r="BR1092" s="664">
        <f t="shared" si="461"/>
        <v>0</v>
      </c>
      <c r="BS1092" s="664">
        <f t="shared" si="461"/>
        <v>0</v>
      </c>
      <c r="BT1092" s="664">
        <f t="shared" si="461"/>
        <v>0</v>
      </c>
      <c r="BU1092" s="664">
        <f t="shared" si="461"/>
        <v>0</v>
      </c>
      <c r="BV1092" s="664">
        <f t="shared" si="461"/>
        <v>0</v>
      </c>
      <c r="BW1092" s="664">
        <f t="shared" si="461"/>
        <v>0</v>
      </c>
      <c r="BX1092" s="664">
        <f t="shared" si="461"/>
        <v>0</v>
      </c>
      <c r="BY1092" s="664">
        <f t="shared" si="461"/>
        <v>0</v>
      </c>
      <c r="BZ1092" s="664">
        <f t="shared" si="461"/>
        <v>0</v>
      </c>
      <c r="CA1092" s="664">
        <f t="shared" si="461"/>
        <v>0</v>
      </c>
    </row>
    <row r="1093" spans="1:79" s="308" customFormat="1" hidden="1" outlineLevel="1" x14ac:dyDescent="0.25">
      <c r="A1093" s="655"/>
      <c r="B1093" s="571"/>
      <c r="C1093" s="571"/>
      <c r="D1093" s="571"/>
      <c r="E1093" s="570" t="s">
        <v>1325</v>
      </c>
      <c r="F1093" s="655" t="s">
        <v>875</v>
      </c>
      <c r="G1093" s="719"/>
      <c r="H1093" s="719"/>
      <c r="I1093" s="719"/>
      <c r="J1093" s="719"/>
      <c r="K1093" s="719"/>
      <c r="L1093" s="719"/>
      <c r="M1093" s="719"/>
      <c r="N1093" s="719"/>
      <c r="O1093" s="719"/>
      <c r="P1093" s="716"/>
      <c r="Q1093" s="716"/>
      <c r="R1093" s="716"/>
      <c r="S1093" s="684">
        <v>0</v>
      </c>
      <c r="T1093" s="684">
        <v>0</v>
      </c>
      <c r="U1093" s="684">
        <v>0</v>
      </c>
      <c r="V1093" s="684">
        <v>0</v>
      </c>
      <c r="W1093" s="684">
        <v>0</v>
      </c>
      <c r="X1093" s="684">
        <v>0</v>
      </c>
      <c r="Y1093" s="684">
        <v>0</v>
      </c>
      <c r="Z1093" s="684">
        <v>0</v>
      </c>
      <c r="AA1093" s="684">
        <v>0</v>
      </c>
      <c r="AB1093" s="684">
        <v>0</v>
      </c>
      <c r="AC1093" s="684">
        <v>0</v>
      </c>
      <c r="AD1093" s="684">
        <v>0</v>
      </c>
      <c r="AE1093" s="684">
        <v>0</v>
      </c>
      <c r="AF1093" s="684">
        <v>0</v>
      </c>
      <c r="AG1093" s="684">
        <v>0</v>
      </c>
      <c r="AH1093" s="716"/>
      <c r="AI1093" s="716"/>
      <c r="AJ1093" s="716"/>
      <c r="AK1093" s="716"/>
      <c r="AL1093" s="716"/>
      <c r="AM1093" s="716"/>
      <c r="AN1093" s="716"/>
      <c r="AO1093" s="716"/>
      <c r="AP1093" s="716"/>
      <c r="AQ1093" s="716"/>
      <c r="AR1093" s="716"/>
      <c r="AS1093" s="716"/>
      <c r="AT1093" s="716"/>
      <c r="AU1093" s="716"/>
      <c r="AV1093" s="716"/>
      <c r="AW1093" s="716"/>
      <c r="AX1093" s="716"/>
      <c r="AY1093" s="716"/>
      <c r="AZ1093" s="716"/>
      <c r="BA1093" s="716"/>
      <c r="BB1093" s="716"/>
      <c r="BC1093" s="716"/>
      <c r="BD1093" s="716"/>
      <c r="BE1093" s="716"/>
      <c r="BF1093" s="716"/>
      <c r="BG1093" s="716"/>
      <c r="BH1093" s="716"/>
      <c r="BI1093" s="716"/>
      <c r="BJ1093" s="716"/>
      <c r="BK1093" s="716"/>
      <c r="BL1093" s="716"/>
      <c r="BM1093" s="716"/>
      <c r="BN1093" s="716"/>
      <c r="BO1093" s="716"/>
      <c r="BP1093" s="716"/>
      <c r="BQ1093" s="716"/>
      <c r="BR1093" s="716"/>
      <c r="BS1093" s="716"/>
      <c r="BT1093" s="716"/>
      <c r="BU1093" s="716"/>
      <c r="BV1093" s="716"/>
      <c r="BW1093" s="716"/>
      <c r="BX1093" s="716"/>
      <c r="BY1093" s="716"/>
      <c r="BZ1093" s="716"/>
      <c r="CA1093" s="716"/>
    </row>
    <row r="1094" spans="1:79" s="308" customFormat="1" hidden="1" outlineLevel="1" x14ac:dyDescent="0.25">
      <c r="A1094" s="658"/>
      <c r="B1094" s="571"/>
      <c r="C1094" s="571"/>
      <c r="D1094" s="571"/>
      <c r="E1094" s="570" t="s">
        <v>1326</v>
      </c>
      <c r="F1094" s="658" t="s">
        <v>591</v>
      </c>
      <c r="G1094" s="719"/>
      <c r="H1094" s="719"/>
      <c r="I1094" s="719"/>
      <c r="J1094" s="719"/>
      <c r="K1094" s="719"/>
      <c r="L1094" s="719"/>
      <c r="M1094" s="719"/>
      <c r="N1094" s="719"/>
      <c r="O1094" s="719"/>
      <c r="P1094" s="716"/>
      <c r="Q1094" s="716"/>
      <c r="R1094" s="716"/>
      <c r="S1094" s="667">
        <v>0</v>
      </c>
      <c r="T1094" s="667">
        <v>0</v>
      </c>
      <c r="U1094" s="667">
        <v>0</v>
      </c>
      <c r="V1094" s="667">
        <v>0</v>
      </c>
      <c r="W1094" s="667">
        <v>0</v>
      </c>
      <c r="X1094" s="667">
        <v>0</v>
      </c>
      <c r="Y1094" s="667">
        <v>0</v>
      </c>
      <c r="Z1094" s="667">
        <v>0</v>
      </c>
      <c r="AA1094" s="667">
        <v>0</v>
      </c>
      <c r="AB1094" s="667">
        <v>0</v>
      </c>
      <c r="AC1094" s="667">
        <v>0</v>
      </c>
      <c r="AD1094" s="667">
        <v>0</v>
      </c>
      <c r="AE1094" s="667">
        <v>0</v>
      </c>
      <c r="AF1094" s="667">
        <v>0</v>
      </c>
      <c r="AG1094" s="667">
        <v>0</v>
      </c>
      <c r="AH1094" s="716"/>
      <c r="AI1094" s="716"/>
      <c r="AJ1094" s="716"/>
      <c r="AK1094" s="716"/>
      <c r="AL1094" s="716"/>
      <c r="AM1094" s="716"/>
      <c r="AN1094" s="716"/>
      <c r="AO1094" s="716"/>
      <c r="AP1094" s="716"/>
      <c r="AQ1094" s="716"/>
      <c r="AR1094" s="716"/>
      <c r="AS1094" s="716"/>
      <c r="AT1094" s="716"/>
      <c r="AU1094" s="716"/>
      <c r="AV1094" s="716"/>
      <c r="AW1094" s="716"/>
      <c r="AX1094" s="716"/>
      <c r="AY1094" s="716"/>
      <c r="AZ1094" s="716"/>
      <c r="BA1094" s="716"/>
      <c r="BB1094" s="716"/>
      <c r="BC1094" s="716"/>
      <c r="BD1094" s="716"/>
      <c r="BE1094" s="716"/>
      <c r="BF1094" s="716"/>
      <c r="BG1094" s="716"/>
      <c r="BH1094" s="716"/>
      <c r="BI1094" s="716"/>
      <c r="BJ1094" s="716"/>
      <c r="BK1094" s="716"/>
      <c r="BL1094" s="716"/>
      <c r="BM1094" s="716"/>
      <c r="BN1094" s="716"/>
      <c r="BO1094" s="716"/>
      <c r="BP1094" s="716"/>
      <c r="BQ1094" s="716"/>
      <c r="BR1094" s="716"/>
      <c r="BS1094" s="716"/>
      <c r="BT1094" s="716"/>
      <c r="BU1094" s="716"/>
      <c r="BV1094" s="716"/>
      <c r="BW1094" s="716"/>
      <c r="BX1094" s="716"/>
      <c r="BY1094" s="716"/>
      <c r="BZ1094" s="716"/>
      <c r="CA1094" s="716"/>
    </row>
    <row r="1095" spans="1:79" s="308" customFormat="1" hidden="1" outlineLevel="1" x14ac:dyDescent="0.25">
      <c r="A1095" s="658"/>
      <c r="B1095" s="571"/>
      <c r="C1095" s="571"/>
      <c r="D1095" s="571"/>
      <c r="E1095" s="570" t="s">
        <v>1332</v>
      </c>
      <c r="F1095" s="658" t="s">
        <v>592</v>
      </c>
      <c r="G1095" s="719"/>
      <c r="H1095" s="719"/>
      <c r="I1095" s="719"/>
      <c r="J1095" s="719"/>
      <c r="K1095" s="719"/>
      <c r="L1095" s="719"/>
      <c r="M1095" s="719"/>
      <c r="N1095" s="719"/>
      <c r="O1095" s="719"/>
      <c r="P1095" s="716"/>
      <c r="Q1095" s="716"/>
      <c r="R1095" s="716"/>
      <c r="S1095" s="667">
        <v>0</v>
      </c>
      <c r="T1095" s="667">
        <v>0</v>
      </c>
      <c r="U1095" s="667">
        <v>0</v>
      </c>
      <c r="V1095" s="667">
        <v>0</v>
      </c>
      <c r="W1095" s="667">
        <v>0</v>
      </c>
      <c r="X1095" s="667">
        <v>0</v>
      </c>
      <c r="Y1095" s="667">
        <v>0</v>
      </c>
      <c r="Z1095" s="667">
        <v>0</v>
      </c>
      <c r="AA1095" s="667">
        <v>45</v>
      </c>
      <c r="AB1095" s="667">
        <v>0</v>
      </c>
      <c r="AC1095" s="667">
        <v>0</v>
      </c>
      <c r="AD1095" s="667">
        <v>0</v>
      </c>
      <c r="AE1095" s="667">
        <v>0</v>
      </c>
      <c r="AF1095" s="667">
        <v>0</v>
      </c>
      <c r="AG1095" s="667">
        <v>0</v>
      </c>
      <c r="AH1095" s="716"/>
      <c r="AI1095" s="716"/>
      <c r="AJ1095" s="716"/>
      <c r="AK1095" s="716"/>
      <c r="AL1095" s="716"/>
      <c r="AM1095" s="716"/>
      <c r="AN1095" s="716"/>
      <c r="AO1095" s="716"/>
      <c r="AP1095" s="716"/>
      <c r="AQ1095" s="716"/>
      <c r="AR1095" s="716"/>
      <c r="AS1095" s="716"/>
      <c r="AT1095" s="716"/>
      <c r="AU1095" s="716"/>
      <c r="AV1095" s="716"/>
      <c r="AW1095" s="716"/>
      <c r="AX1095" s="716"/>
      <c r="AY1095" s="716"/>
      <c r="AZ1095" s="716"/>
      <c r="BA1095" s="716"/>
      <c r="BB1095" s="716"/>
      <c r="BC1095" s="716"/>
      <c r="BD1095" s="716"/>
      <c r="BE1095" s="716"/>
      <c r="BF1095" s="716"/>
      <c r="BG1095" s="716"/>
      <c r="BH1095" s="716"/>
      <c r="BI1095" s="716"/>
      <c r="BJ1095" s="716"/>
      <c r="BK1095" s="716"/>
      <c r="BL1095" s="716"/>
      <c r="BM1095" s="716"/>
      <c r="BN1095" s="716"/>
      <c r="BO1095" s="716"/>
      <c r="BP1095" s="716"/>
      <c r="BQ1095" s="716"/>
      <c r="BR1095" s="716"/>
      <c r="BS1095" s="716"/>
      <c r="BT1095" s="716"/>
      <c r="BU1095" s="716"/>
      <c r="BV1095" s="716"/>
      <c r="BW1095" s="716"/>
      <c r="BX1095" s="716"/>
      <c r="BY1095" s="716"/>
      <c r="BZ1095" s="716"/>
      <c r="CA1095" s="716"/>
    </row>
    <row r="1096" spans="1:79" s="308" customFormat="1" hidden="1" outlineLevel="1" x14ac:dyDescent="0.25">
      <c r="A1096" s="655"/>
      <c r="B1096" s="571"/>
      <c r="C1096" s="571"/>
      <c r="D1096" s="571"/>
      <c r="E1096" s="570" t="s">
        <v>1333</v>
      </c>
      <c r="F1096" s="655" t="s">
        <v>876</v>
      </c>
      <c r="G1096" s="719"/>
      <c r="H1096" s="719"/>
      <c r="I1096" s="719"/>
      <c r="J1096" s="719"/>
      <c r="K1096" s="719"/>
      <c r="L1096" s="719"/>
      <c r="M1096" s="719"/>
      <c r="N1096" s="719"/>
      <c r="O1096" s="719"/>
      <c r="P1096" s="716"/>
      <c r="Q1096" s="716"/>
      <c r="R1096" s="716"/>
      <c r="S1096" s="667">
        <v>0</v>
      </c>
      <c r="T1096" s="667">
        <v>0</v>
      </c>
      <c r="U1096" s="667">
        <v>0</v>
      </c>
      <c r="V1096" s="667">
        <v>0</v>
      </c>
      <c r="W1096" s="667">
        <v>0</v>
      </c>
      <c r="X1096" s="667">
        <v>0</v>
      </c>
      <c r="Y1096" s="667">
        <v>0</v>
      </c>
      <c r="Z1096" s="667">
        <v>0</v>
      </c>
      <c r="AA1096" s="667">
        <v>0</v>
      </c>
      <c r="AB1096" s="667">
        <v>0</v>
      </c>
      <c r="AC1096" s="667">
        <v>0</v>
      </c>
      <c r="AD1096" s="667">
        <v>0</v>
      </c>
      <c r="AE1096" s="667">
        <v>0</v>
      </c>
      <c r="AF1096" s="667">
        <v>0</v>
      </c>
      <c r="AG1096" s="667">
        <v>0</v>
      </c>
      <c r="AH1096" s="716"/>
      <c r="AI1096" s="716"/>
      <c r="AJ1096" s="716"/>
      <c r="AK1096" s="716"/>
      <c r="AL1096" s="716"/>
      <c r="AM1096" s="716"/>
      <c r="AN1096" s="716"/>
      <c r="AO1096" s="716"/>
      <c r="AP1096" s="716"/>
      <c r="AQ1096" s="716"/>
      <c r="AR1096" s="716"/>
      <c r="AS1096" s="716"/>
      <c r="AT1096" s="716"/>
      <c r="AU1096" s="716"/>
      <c r="AV1096" s="716"/>
      <c r="AW1096" s="716"/>
      <c r="AX1096" s="716"/>
      <c r="AY1096" s="716"/>
      <c r="AZ1096" s="716"/>
      <c r="BA1096" s="716"/>
      <c r="BB1096" s="716"/>
      <c r="BC1096" s="716"/>
      <c r="BD1096" s="716"/>
      <c r="BE1096" s="716"/>
      <c r="BF1096" s="716"/>
      <c r="BG1096" s="716"/>
      <c r="BH1096" s="716"/>
      <c r="BI1096" s="716"/>
      <c r="BJ1096" s="716"/>
      <c r="BK1096" s="716"/>
      <c r="BL1096" s="716"/>
      <c r="BM1096" s="716"/>
      <c r="BN1096" s="716"/>
      <c r="BO1096" s="716"/>
      <c r="BP1096" s="716"/>
      <c r="BQ1096" s="716"/>
      <c r="BR1096" s="716"/>
      <c r="BS1096" s="716"/>
      <c r="BT1096" s="716"/>
      <c r="BU1096" s="716"/>
      <c r="BV1096" s="716"/>
      <c r="BW1096" s="716"/>
      <c r="BX1096" s="716"/>
      <c r="BY1096" s="716"/>
      <c r="BZ1096" s="716"/>
      <c r="CA1096" s="716"/>
    </row>
    <row r="1097" spans="1:79" s="710" customFormat="1" hidden="1" outlineLevel="1" x14ac:dyDescent="0.25">
      <c r="A1097" s="701"/>
      <c r="E1097" s="570" t="s">
        <v>657</v>
      </c>
      <c r="F1097" s="701" t="s">
        <v>761</v>
      </c>
      <c r="G1097" s="733"/>
      <c r="H1097" s="733"/>
      <c r="I1097" s="733"/>
      <c r="J1097" s="733"/>
      <c r="K1097" s="733"/>
      <c r="L1097" s="733"/>
      <c r="M1097" s="733"/>
      <c r="N1097" s="733"/>
      <c r="O1097" s="733"/>
      <c r="P1097" s="734"/>
      <c r="Q1097" s="734"/>
      <c r="R1097" s="734"/>
      <c r="S1097" s="704"/>
      <c r="T1097" s="704"/>
      <c r="U1097" s="704"/>
      <c r="V1097" s="704"/>
      <c r="W1097" s="704"/>
      <c r="X1097" s="704"/>
      <c r="Y1097" s="704"/>
      <c r="Z1097" s="704"/>
      <c r="AA1097" s="704"/>
      <c r="AB1097" s="704"/>
      <c r="AC1097" s="704"/>
      <c r="AD1097" s="704"/>
      <c r="AE1097" s="704"/>
      <c r="AF1097" s="704"/>
      <c r="AG1097" s="704"/>
      <c r="AH1097" s="734"/>
      <c r="AI1097" s="734"/>
      <c r="AJ1097" s="734"/>
      <c r="AK1097" s="734"/>
      <c r="AL1097" s="734"/>
      <c r="AM1097" s="734"/>
      <c r="AN1097" s="734"/>
      <c r="AO1097" s="734"/>
      <c r="AP1097" s="734"/>
      <c r="AQ1097" s="734"/>
      <c r="AR1097" s="734"/>
      <c r="AS1097" s="734"/>
      <c r="AT1097" s="734"/>
      <c r="AU1097" s="734"/>
      <c r="AV1097" s="734"/>
      <c r="AW1097" s="734"/>
      <c r="AX1097" s="734"/>
      <c r="AY1097" s="734"/>
      <c r="AZ1097" s="734"/>
      <c r="BA1097" s="734"/>
      <c r="BB1097" s="734"/>
      <c r="BC1097" s="734"/>
      <c r="BD1097" s="734"/>
      <c r="BE1097" s="734"/>
      <c r="BF1097" s="734"/>
      <c r="BG1097" s="734"/>
      <c r="BH1097" s="734"/>
      <c r="BI1097" s="734"/>
      <c r="BJ1097" s="734"/>
      <c r="BK1097" s="734"/>
      <c r="BL1097" s="734"/>
      <c r="BM1097" s="734"/>
      <c r="BN1097" s="734"/>
      <c r="BO1097" s="734"/>
      <c r="BP1097" s="734"/>
      <c r="BQ1097" s="734"/>
      <c r="BR1097" s="734"/>
      <c r="BS1097" s="734"/>
      <c r="BT1097" s="734"/>
      <c r="BU1097" s="734"/>
      <c r="BV1097" s="734"/>
      <c r="BW1097" s="734"/>
      <c r="BX1097" s="734"/>
      <c r="BY1097" s="734"/>
      <c r="BZ1097" s="734"/>
      <c r="CA1097" s="734"/>
    </row>
    <row r="1098" spans="1:79" s="308" customFormat="1" hidden="1" outlineLevel="1" x14ac:dyDescent="0.25">
      <c r="A1098" s="656"/>
      <c r="B1098" s="571"/>
      <c r="C1098" s="571"/>
      <c r="D1098" s="571"/>
      <c r="E1098" s="570" t="s">
        <v>20</v>
      </c>
      <c r="F1098" s="656" t="s">
        <v>877</v>
      </c>
      <c r="G1098" s="719"/>
      <c r="H1098" s="719"/>
      <c r="I1098" s="719"/>
      <c r="J1098" s="719"/>
      <c r="K1098" s="719"/>
      <c r="L1098" s="719"/>
      <c r="M1098" s="719"/>
      <c r="N1098" s="719"/>
      <c r="O1098" s="719"/>
      <c r="P1098" s="716"/>
      <c r="Q1098" s="716"/>
      <c r="R1098" s="716"/>
      <c r="S1098" s="667">
        <v>0</v>
      </c>
      <c r="T1098" s="667">
        <v>0</v>
      </c>
      <c r="U1098" s="667">
        <v>0</v>
      </c>
      <c r="V1098" s="667">
        <v>0</v>
      </c>
      <c r="W1098" s="667">
        <v>0</v>
      </c>
      <c r="X1098" s="667">
        <v>0</v>
      </c>
      <c r="Y1098" s="667">
        <v>0</v>
      </c>
      <c r="Z1098" s="667">
        <v>0</v>
      </c>
      <c r="AA1098" s="667">
        <v>0</v>
      </c>
      <c r="AB1098" s="667">
        <v>0</v>
      </c>
      <c r="AC1098" s="667">
        <v>0</v>
      </c>
      <c r="AD1098" s="667">
        <v>0</v>
      </c>
      <c r="AE1098" s="667">
        <v>0</v>
      </c>
      <c r="AF1098" s="667">
        <v>0</v>
      </c>
      <c r="AG1098" s="667">
        <v>0</v>
      </c>
      <c r="AH1098" s="716"/>
      <c r="AI1098" s="716"/>
      <c r="AJ1098" s="716"/>
      <c r="AK1098" s="716"/>
      <c r="AL1098" s="716"/>
      <c r="AM1098" s="716"/>
      <c r="AN1098" s="716"/>
      <c r="AO1098" s="716"/>
      <c r="AP1098" s="716"/>
      <c r="AQ1098" s="716"/>
      <c r="AR1098" s="716"/>
      <c r="AS1098" s="716"/>
      <c r="AT1098" s="716"/>
      <c r="AU1098" s="716"/>
      <c r="AV1098" s="716"/>
      <c r="AW1098" s="716"/>
      <c r="AX1098" s="716"/>
      <c r="AY1098" s="716"/>
      <c r="AZ1098" s="716"/>
      <c r="BA1098" s="716"/>
      <c r="BB1098" s="716"/>
      <c r="BC1098" s="716"/>
      <c r="BD1098" s="716"/>
      <c r="BE1098" s="716"/>
      <c r="BF1098" s="716"/>
      <c r="BG1098" s="716"/>
      <c r="BH1098" s="716"/>
      <c r="BI1098" s="716"/>
      <c r="BJ1098" s="716"/>
      <c r="BK1098" s="716"/>
      <c r="BL1098" s="716"/>
      <c r="BM1098" s="716"/>
      <c r="BN1098" s="716"/>
      <c r="BO1098" s="716"/>
      <c r="BP1098" s="716"/>
      <c r="BQ1098" s="716"/>
      <c r="BR1098" s="716"/>
      <c r="BS1098" s="716"/>
      <c r="BT1098" s="716"/>
      <c r="BU1098" s="716"/>
      <c r="BV1098" s="716"/>
      <c r="BW1098" s="716"/>
      <c r="BX1098" s="716"/>
      <c r="BY1098" s="716"/>
      <c r="BZ1098" s="716"/>
      <c r="CA1098" s="716"/>
    </row>
    <row r="1099" spans="1:79" s="308" customFormat="1" hidden="1" outlineLevel="1" x14ac:dyDescent="0.25">
      <c r="A1099" s="656"/>
      <c r="B1099" s="571"/>
      <c r="C1099" s="571"/>
      <c r="D1099" s="571"/>
      <c r="E1099" s="570" t="s">
        <v>20</v>
      </c>
      <c r="F1099" s="656" t="s">
        <v>878</v>
      </c>
      <c r="G1099" s="719"/>
      <c r="H1099" s="719"/>
      <c r="I1099" s="719"/>
      <c r="J1099" s="719"/>
      <c r="K1099" s="719"/>
      <c r="L1099" s="719"/>
      <c r="M1099" s="719"/>
      <c r="N1099" s="719"/>
      <c r="O1099" s="719"/>
      <c r="P1099" s="716"/>
      <c r="Q1099" s="716"/>
      <c r="R1099" s="716"/>
      <c r="S1099" s="667">
        <v>0</v>
      </c>
      <c r="T1099" s="667">
        <v>0</v>
      </c>
      <c r="U1099" s="667">
        <v>0</v>
      </c>
      <c r="V1099" s="667">
        <v>0</v>
      </c>
      <c r="W1099" s="667">
        <v>0</v>
      </c>
      <c r="X1099" s="667">
        <v>0</v>
      </c>
      <c r="Y1099" s="667">
        <v>0</v>
      </c>
      <c r="Z1099" s="667">
        <v>0</v>
      </c>
      <c r="AA1099" s="667">
        <v>0</v>
      </c>
      <c r="AB1099" s="667">
        <v>0</v>
      </c>
      <c r="AC1099" s="667">
        <v>0</v>
      </c>
      <c r="AD1099" s="667">
        <v>0</v>
      </c>
      <c r="AE1099" s="667">
        <v>0</v>
      </c>
      <c r="AF1099" s="667">
        <v>0</v>
      </c>
      <c r="AG1099" s="667">
        <v>0</v>
      </c>
      <c r="AH1099" s="716"/>
      <c r="AI1099" s="716"/>
      <c r="AJ1099" s="716"/>
      <c r="AK1099" s="716"/>
      <c r="AL1099" s="716"/>
      <c r="AM1099" s="716"/>
      <c r="AN1099" s="716"/>
      <c r="AO1099" s="716"/>
      <c r="AP1099" s="716"/>
      <c r="AQ1099" s="716"/>
      <c r="AR1099" s="716"/>
      <c r="AS1099" s="716"/>
      <c r="AT1099" s="716"/>
      <c r="AU1099" s="716"/>
      <c r="AV1099" s="716"/>
      <c r="AW1099" s="716"/>
      <c r="AX1099" s="716"/>
      <c r="AY1099" s="716"/>
      <c r="AZ1099" s="716"/>
      <c r="BA1099" s="716"/>
      <c r="BB1099" s="716"/>
      <c r="BC1099" s="716"/>
      <c r="BD1099" s="716"/>
      <c r="BE1099" s="716"/>
      <c r="BF1099" s="716"/>
      <c r="BG1099" s="716"/>
      <c r="BH1099" s="716"/>
      <c r="BI1099" s="716"/>
      <c r="BJ1099" s="716"/>
      <c r="BK1099" s="716"/>
      <c r="BL1099" s="716"/>
      <c r="BM1099" s="716"/>
      <c r="BN1099" s="716"/>
      <c r="BO1099" s="716"/>
      <c r="BP1099" s="716"/>
      <c r="BQ1099" s="716"/>
      <c r="BR1099" s="716"/>
      <c r="BS1099" s="716"/>
      <c r="BT1099" s="716"/>
      <c r="BU1099" s="716"/>
      <c r="BV1099" s="716"/>
      <c r="BW1099" s="716"/>
      <c r="BX1099" s="716"/>
      <c r="BY1099" s="716"/>
      <c r="BZ1099" s="716"/>
      <c r="CA1099" s="716"/>
    </row>
    <row r="1100" spans="1:79" s="308" customFormat="1" hidden="1" outlineLevel="1" x14ac:dyDescent="0.25">
      <c r="A1100" s="656"/>
      <c r="B1100" s="571"/>
      <c r="C1100" s="571"/>
      <c r="D1100" s="571"/>
      <c r="E1100" s="570" t="s">
        <v>1334</v>
      </c>
      <c r="F1100" s="656" t="s">
        <v>879</v>
      </c>
      <c r="G1100" s="719"/>
      <c r="H1100" s="719"/>
      <c r="I1100" s="719"/>
      <c r="J1100" s="719"/>
      <c r="K1100" s="719"/>
      <c r="L1100" s="719"/>
      <c r="M1100" s="719"/>
      <c r="N1100" s="719"/>
      <c r="O1100" s="719"/>
      <c r="P1100" s="716"/>
      <c r="Q1100" s="716"/>
      <c r="R1100" s="716"/>
      <c r="S1100" s="667">
        <v>0</v>
      </c>
      <c r="T1100" s="667">
        <v>0</v>
      </c>
      <c r="U1100" s="667">
        <v>0</v>
      </c>
      <c r="V1100" s="667">
        <v>0</v>
      </c>
      <c r="W1100" s="667">
        <v>0</v>
      </c>
      <c r="X1100" s="667">
        <v>0</v>
      </c>
      <c r="Y1100" s="667">
        <v>0</v>
      </c>
      <c r="Z1100" s="667">
        <v>0</v>
      </c>
      <c r="AA1100" s="667">
        <v>0</v>
      </c>
      <c r="AB1100" s="667">
        <v>0</v>
      </c>
      <c r="AC1100" s="667">
        <v>0</v>
      </c>
      <c r="AD1100" s="667">
        <v>0</v>
      </c>
      <c r="AE1100" s="667">
        <v>0</v>
      </c>
      <c r="AF1100" s="667">
        <v>0</v>
      </c>
      <c r="AG1100" s="667">
        <v>0</v>
      </c>
      <c r="AH1100" s="716"/>
      <c r="AI1100" s="716"/>
      <c r="AJ1100" s="716"/>
      <c r="AK1100" s="716"/>
      <c r="AL1100" s="716"/>
      <c r="AM1100" s="716"/>
      <c r="AN1100" s="716"/>
      <c r="AO1100" s="716"/>
      <c r="AP1100" s="716"/>
      <c r="AQ1100" s="716"/>
      <c r="AR1100" s="716"/>
      <c r="AS1100" s="716"/>
      <c r="AT1100" s="716"/>
      <c r="AU1100" s="716"/>
      <c r="AV1100" s="716"/>
      <c r="AW1100" s="716"/>
      <c r="AX1100" s="716"/>
      <c r="AY1100" s="716"/>
      <c r="AZ1100" s="716"/>
      <c r="BA1100" s="716"/>
      <c r="BB1100" s="716"/>
      <c r="BC1100" s="716"/>
      <c r="BD1100" s="716"/>
      <c r="BE1100" s="716"/>
      <c r="BF1100" s="716"/>
      <c r="BG1100" s="716"/>
      <c r="BH1100" s="716"/>
      <c r="BI1100" s="716"/>
      <c r="BJ1100" s="716"/>
      <c r="BK1100" s="716"/>
      <c r="BL1100" s="716"/>
      <c r="BM1100" s="716"/>
      <c r="BN1100" s="716"/>
      <c r="BO1100" s="716"/>
      <c r="BP1100" s="716"/>
      <c r="BQ1100" s="716"/>
      <c r="BR1100" s="716"/>
      <c r="BS1100" s="716"/>
      <c r="BT1100" s="716"/>
      <c r="BU1100" s="716"/>
      <c r="BV1100" s="716"/>
      <c r="BW1100" s="716"/>
      <c r="BX1100" s="716"/>
      <c r="BY1100" s="716"/>
      <c r="BZ1100" s="716"/>
      <c r="CA1100" s="716"/>
    </row>
    <row r="1101" spans="1:79" s="308" customFormat="1" hidden="1" outlineLevel="1" x14ac:dyDescent="0.25">
      <c r="A1101" s="656"/>
      <c r="B1101" s="571"/>
      <c r="C1101" s="571"/>
      <c r="D1101" s="571"/>
      <c r="E1101" s="570" t="s">
        <v>1334</v>
      </c>
      <c r="F1101" s="656" t="s">
        <v>660</v>
      </c>
      <c r="G1101" s="719"/>
      <c r="H1101" s="719"/>
      <c r="I1101" s="719"/>
      <c r="J1101" s="719"/>
      <c r="K1101" s="719"/>
      <c r="L1101" s="719"/>
      <c r="M1101" s="719"/>
      <c r="N1101" s="719"/>
      <c r="O1101" s="719"/>
      <c r="P1101" s="716"/>
      <c r="Q1101" s="716"/>
      <c r="R1101" s="716"/>
      <c r="S1101" s="667">
        <v>0</v>
      </c>
      <c r="T1101" s="667">
        <v>0</v>
      </c>
      <c r="U1101" s="667">
        <v>0</v>
      </c>
      <c r="V1101" s="667">
        <v>0</v>
      </c>
      <c r="W1101" s="667">
        <v>0</v>
      </c>
      <c r="X1101" s="667">
        <v>0</v>
      </c>
      <c r="Y1101" s="667">
        <v>0</v>
      </c>
      <c r="Z1101" s="667">
        <v>0</v>
      </c>
      <c r="AA1101" s="667">
        <v>0</v>
      </c>
      <c r="AB1101" s="667">
        <v>0</v>
      </c>
      <c r="AC1101" s="667">
        <v>0</v>
      </c>
      <c r="AD1101" s="667">
        <v>0</v>
      </c>
      <c r="AE1101" s="667">
        <v>0</v>
      </c>
      <c r="AF1101" s="667">
        <v>0</v>
      </c>
      <c r="AG1101" s="667">
        <v>0</v>
      </c>
      <c r="AH1101" s="716"/>
      <c r="AI1101" s="716"/>
      <c r="AJ1101" s="716"/>
      <c r="AK1101" s="716"/>
      <c r="AL1101" s="716"/>
      <c r="AM1101" s="716"/>
      <c r="AN1101" s="716"/>
      <c r="AO1101" s="716"/>
      <c r="AP1101" s="716"/>
      <c r="AQ1101" s="716"/>
      <c r="AR1101" s="716"/>
      <c r="AS1101" s="716"/>
      <c r="AT1101" s="716"/>
      <c r="AU1101" s="716"/>
      <c r="AV1101" s="716"/>
      <c r="AW1101" s="716"/>
      <c r="AX1101" s="716"/>
      <c r="AY1101" s="716"/>
      <c r="AZ1101" s="716"/>
      <c r="BA1101" s="716"/>
      <c r="BB1101" s="716"/>
      <c r="BC1101" s="716"/>
      <c r="BD1101" s="716"/>
      <c r="BE1101" s="716"/>
      <c r="BF1101" s="716"/>
      <c r="BG1101" s="716"/>
      <c r="BH1101" s="716"/>
      <c r="BI1101" s="716"/>
      <c r="BJ1101" s="716"/>
      <c r="BK1101" s="716"/>
      <c r="BL1101" s="716"/>
      <c r="BM1101" s="716"/>
      <c r="BN1101" s="716"/>
      <c r="BO1101" s="716"/>
      <c r="BP1101" s="716"/>
      <c r="BQ1101" s="716"/>
      <c r="BR1101" s="716"/>
      <c r="BS1101" s="716"/>
      <c r="BT1101" s="716"/>
      <c r="BU1101" s="716"/>
      <c r="BV1101" s="716"/>
      <c r="BW1101" s="716"/>
      <c r="BX1101" s="716"/>
      <c r="BY1101" s="716"/>
      <c r="BZ1101" s="716"/>
      <c r="CA1101" s="716"/>
    </row>
    <row r="1102" spans="1:79" s="308" customFormat="1" hidden="1" outlineLevel="1" x14ac:dyDescent="0.25">
      <c r="A1102" s="656"/>
      <c r="B1102" s="571"/>
      <c r="C1102" s="571"/>
      <c r="D1102" s="571"/>
      <c r="E1102" s="570" t="s">
        <v>20</v>
      </c>
      <c r="F1102" s="656" t="s">
        <v>661</v>
      </c>
      <c r="G1102" s="719"/>
      <c r="H1102" s="719"/>
      <c r="I1102" s="719"/>
      <c r="J1102" s="719"/>
      <c r="K1102" s="719"/>
      <c r="L1102" s="719"/>
      <c r="M1102" s="719"/>
      <c r="N1102" s="719"/>
      <c r="O1102" s="719"/>
      <c r="P1102" s="716"/>
      <c r="Q1102" s="716"/>
      <c r="R1102" s="716"/>
      <c r="S1102" s="667">
        <v>0</v>
      </c>
      <c r="T1102" s="667">
        <v>0</v>
      </c>
      <c r="U1102" s="667">
        <v>0</v>
      </c>
      <c r="V1102" s="667">
        <v>0</v>
      </c>
      <c r="W1102" s="667">
        <v>0</v>
      </c>
      <c r="X1102" s="667">
        <v>0</v>
      </c>
      <c r="Y1102" s="667">
        <v>0</v>
      </c>
      <c r="Z1102" s="667">
        <v>0</v>
      </c>
      <c r="AA1102" s="667">
        <v>0</v>
      </c>
      <c r="AB1102" s="667">
        <v>0</v>
      </c>
      <c r="AC1102" s="667">
        <v>0</v>
      </c>
      <c r="AD1102" s="667">
        <v>0</v>
      </c>
      <c r="AE1102" s="667">
        <v>0</v>
      </c>
      <c r="AF1102" s="667">
        <v>0</v>
      </c>
      <c r="AG1102" s="667">
        <v>0</v>
      </c>
      <c r="AH1102" s="716"/>
      <c r="AI1102" s="716"/>
      <c r="AJ1102" s="716"/>
      <c r="AK1102" s="716"/>
      <c r="AL1102" s="716"/>
      <c r="AM1102" s="716"/>
      <c r="AN1102" s="716"/>
      <c r="AO1102" s="716"/>
      <c r="AP1102" s="716"/>
      <c r="AQ1102" s="716"/>
      <c r="AR1102" s="716"/>
      <c r="AS1102" s="716"/>
      <c r="AT1102" s="716"/>
      <c r="AU1102" s="716"/>
      <c r="AV1102" s="716"/>
      <c r="AW1102" s="716"/>
      <c r="AX1102" s="716"/>
      <c r="AY1102" s="716"/>
      <c r="AZ1102" s="716"/>
      <c r="BA1102" s="716"/>
      <c r="BB1102" s="716"/>
      <c r="BC1102" s="716"/>
      <c r="BD1102" s="716"/>
      <c r="BE1102" s="716"/>
      <c r="BF1102" s="716"/>
      <c r="BG1102" s="716"/>
      <c r="BH1102" s="716"/>
      <c r="BI1102" s="716"/>
      <c r="BJ1102" s="716"/>
      <c r="BK1102" s="716"/>
      <c r="BL1102" s="716"/>
      <c r="BM1102" s="716"/>
      <c r="BN1102" s="716"/>
      <c r="BO1102" s="716"/>
      <c r="BP1102" s="716"/>
      <c r="BQ1102" s="716"/>
      <c r="BR1102" s="716"/>
      <c r="BS1102" s="716"/>
      <c r="BT1102" s="716"/>
      <c r="BU1102" s="716"/>
      <c r="BV1102" s="716"/>
      <c r="BW1102" s="716"/>
      <c r="BX1102" s="716"/>
      <c r="BY1102" s="716"/>
      <c r="BZ1102" s="716"/>
      <c r="CA1102" s="716"/>
    </row>
    <row r="1103" spans="1:79" s="308" customFormat="1" hidden="1" outlineLevel="1" x14ac:dyDescent="0.25">
      <c r="A1103" s="656"/>
      <c r="B1103" s="571"/>
      <c r="C1103" s="571"/>
      <c r="D1103" s="571"/>
      <c r="E1103" s="570" t="s">
        <v>1334</v>
      </c>
      <c r="F1103" s="656" t="s">
        <v>880</v>
      </c>
      <c r="G1103" s="719"/>
      <c r="H1103" s="719"/>
      <c r="I1103" s="719"/>
      <c r="J1103" s="719"/>
      <c r="K1103" s="719"/>
      <c r="L1103" s="719"/>
      <c r="M1103" s="719"/>
      <c r="N1103" s="719"/>
      <c r="O1103" s="719"/>
      <c r="P1103" s="716"/>
      <c r="Q1103" s="716"/>
      <c r="R1103" s="716"/>
      <c r="S1103" s="667">
        <v>0</v>
      </c>
      <c r="T1103" s="667">
        <v>0</v>
      </c>
      <c r="U1103" s="667">
        <v>0</v>
      </c>
      <c r="V1103" s="667">
        <v>0</v>
      </c>
      <c r="W1103" s="667">
        <v>0</v>
      </c>
      <c r="X1103" s="667">
        <v>0</v>
      </c>
      <c r="Y1103" s="667">
        <v>0</v>
      </c>
      <c r="Z1103" s="667">
        <v>0</v>
      </c>
      <c r="AA1103" s="667">
        <v>0</v>
      </c>
      <c r="AB1103" s="667">
        <v>0</v>
      </c>
      <c r="AC1103" s="667">
        <v>0</v>
      </c>
      <c r="AD1103" s="667">
        <v>0</v>
      </c>
      <c r="AE1103" s="667">
        <v>0</v>
      </c>
      <c r="AF1103" s="667">
        <v>0</v>
      </c>
      <c r="AG1103" s="667">
        <v>0</v>
      </c>
      <c r="AH1103" s="716"/>
      <c r="AI1103" s="716"/>
      <c r="AJ1103" s="716"/>
      <c r="AK1103" s="716"/>
      <c r="AL1103" s="716"/>
      <c r="AM1103" s="716"/>
      <c r="AN1103" s="716"/>
      <c r="AO1103" s="716"/>
      <c r="AP1103" s="716"/>
      <c r="AQ1103" s="716"/>
      <c r="AR1103" s="716"/>
      <c r="AS1103" s="716"/>
      <c r="AT1103" s="716"/>
      <c r="AU1103" s="716"/>
      <c r="AV1103" s="716"/>
      <c r="AW1103" s="716"/>
      <c r="AX1103" s="716"/>
      <c r="AY1103" s="716"/>
      <c r="AZ1103" s="716"/>
      <c r="BA1103" s="716"/>
      <c r="BB1103" s="716"/>
      <c r="BC1103" s="716"/>
      <c r="BD1103" s="716"/>
      <c r="BE1103" s="716"/>
      <c r="BF1103" s="716"/>
      <c r="BG1103" s="716"/>
      <c r="BH1103" s="716"/>
      <c r="BI1103" s="716"/>
      <c r="BJ1103" s="716"/>
      <c r="BK1103" s="716"/>
      <c r="BL1103" s="716"/>
      <c r="BM1103" s="716"/>
      <c r="BN1103" s="716"/>
      <c r="BO1103" s="716"/>
      <c r="BP1103" s="716"/>
      <c r="BQ1103" s="716"/>
      <c r="BR1103" s="716"/>
      <c r="BS1103" s="716"/>
      <c r="BT1103" s="716"/>
      <c r="BU1103" s="716"/>
      <c r="BV1103" s="716"/>
      <c r="BW1103" s="716"/>
      <c r="BX1103" s="716"/>
      <c r="BY1103" s="716"/>
      <c r="BZ1103" s="716"/>
      <c r="CA1103" s="716"/>
    </row>
    <row r="1104" spans="1:79" s="308" customFormat="1" hidden="1" outlineLevel="1" x14ac:dyDescent="0.25">
      <c r="A1104" s="656"/>
      <c r="B1104" s="571"/>
      <c r="C1104" s="571"/>
      <c r="D1104" s="571"/>
      <c r="E1104" s="570" t="s">
        <v>1335</v>
      </c>
      <c r="F1104" s="656" t="s">
        <v>662</v>
      </c>
      <c r="G1104" s="719"/>
      <c r="H1104" s="719"/>
      <c r="I1104" s="719"/>
      <c r="J1104" s="719"/>
      <c r="K1104" s="719"/>
      <c r="L1104" s="719"/>
      <c r="M1104" s="719"/>
      <c r="N1104" s="719"/>
      <c r="O1104" s="719"/>
      <c r="P1104" s="716"/>
      <c r="Q1104" s="716"/>
      <c r="R1104" s="716"/>
      <c r="S1104" s="667">
        <v>0</v>
      </c>
      <c r="T1104" s="667">
        <v>0</v>
      </c>
      <c r="U1104" s="667">
        <v>0</v>
      </c>
      <c r="V1104" s="667">
        <v>0</v>
      </c>
      <c r="W1104" s="667">
        <v>0</v>
      </c>
      <c r="X1104" s="667">
        <v>0</v>
      </c>
      <c r="Y1104" s="667">
        <v>0</v>
      </c>
      <c r="Z1104" s="667">
        <v>0</v>
      </c>
      <c r="AA1104" s="667">
        <v>0</v>
      </c>
      <c r="AB1104" s="667">
        <v>0</v>
      </c>
      <c r="AC1104" s="667">
        <v>0</v>
      </c>
      <c r="AD1104" s="667">
        <v>0</v>
      </c>
      <c r="AE1104" s="667">
        <v>0</v>
      </c>
      <c r="AF1104" s="667">
        <v>0</v>
      </c>
      <c r="AG1104" s="667">
        <v>0</v>
      </c>
      <c r="AH1104" s="716"/>
      <c r="AI1104" s="716"/>
      <c r="AJ1104" s="716"/>
      <c r="AK1104" s="716"/>
      <c r="AL1104" s="716"/>
      <c r="AM1104" s="716"/>
      <c r="AN1104" s="716"/>
      <c r="AO1104" s="716"/>
      <c r="AP1104" s="716"/>
      <c r="AQ1104" s="716"/>
      <c r="AR1104" s="716"/>
      <c r="AS1104" s="716"/>
      <c r="AT1104" s="716"/>
      <c r="AU1104" s="716"/>
      <c r="AV1104" s="716"/>
      <c r="AW1104" s="716"/>
      <c r="AX1104" s="716"/>
      <c r="AY1104" s="716"/>
      <c r="AZ1104" s="716"/>
      <c r="BA1104" s="716"/>
      <c r="BB1104" s="716"/>
      <c r="BC1104" s="716"/>
      <c r="BD1104" s="716"/>
      <c r="BE1104" s="716"/>
      <c r="BF1104" s="716"/>
      <c r="BG1104" s="716"/>
      <c r="BH1104" s="716"/>
      <c r="BI1104" s="716"/>
      <c r="BJ1104" s="716"/>
      <c r="BK1104" s="716"/>
      <c r="BL1104" s="716"/>
      <c r="BM1104" s="716"/>
      <c r="BN1104" s="716"/>
      <c r="BO1104" s="716"/>
      <c r="BP1104" s="716"/>
      <c r="BQ1104" s="716"/>
      <c r="BR1104" s="716"/>
      <c r="BS1104" s="716"/>
      <c r="BT1104" s="716"/>
      <c r="BU1104" s="716"/>
      <c r="BV1104" s="716"/>
      <c r="BW1104" s="716"/>
      <c r="BX1104" s="716"/>
      <c r="BY1104" s="716"/>
      <c r="BZ1104" s="716"/>
      <c r="CA1104" s="716"/>
    </row>
    <row r="1105" spans="1:79" s="308" customFormat="1" hidden="1" outlineLevel="1" x14ac:dyDescent="0.25">
      <c r="A1105" s="660"/>
      <c r="B1105" s="571"/>
      <c r="C1105" s="571"/>
      <c r="D1105" s="571"/>
      <c r="E1105" s="570" t="s">
        <v>1334</v>
      </c>
      <c r="F1105" s="660" t="s">
        <v>663</v>
      </c>
      <c r="G1105" s="719"/>
      <c r="H1105" s="719"/>
      <c r="I1105" s="719"/>
      <c r="J1105" s="719"/>
      <c r="K1105" s="719"/>
      <c r="L1105" s="719"/>
      <c r="M1105" s="719"/>
      <c r="N1105" s="719"/>
      <c r="O1105" s="719"/>
      <c r="P1105" s="716"/>
      <c r="Q1105" s="716"/>
      <c r="R1105" s="716"/>
      <c r="S1105" s="667">
        <v>0</v>
      </c>
      <c r="T1105" s="667">
        <v>0</v>
      </c>
      <c r="U1105" s="667">
        <v>0</v>
      </c>
      <c r="V1105" s="667">
        <v>0</v>
      </c>
      <c r="W1105" s="667">
        <v>0</v>
      </c>
      <c r="X1105" s="667">
        <v>0</v>
      </c>
      <c r="Y1105" s="667">
        <v>0</v>
      </c>
      <c r="Z1105" s="667">
        <v>38.619999999999997</v>
      </c>
      <c r="AA1105" s="667">
        <v>46.33</v>
      </c>
      <c r="AB1105" s="667">
        <v>40.99</v>
      </c>
      <c r="AC1105" s="667">
        <v>38.06</v>
      </c>
      <c r="AD1105" s="667">
        <v>0</v>
      </c>
      <c r="AE1105" s="667">
        <v>0</v>
      </c>
      <c r="AF1105" s="667">
        <v>0</v>
      </c>
      <c r="AG1105" s="667">
        <v>0</v>
      </c>
      <c r="AH1105" s="716"/>
      <c r="AI1105" s="716"/>
      <c r="AJ1105" s="716"/>
      <c r="AK1105" s="716"/>
      <c r="AL1105" s="716"/>
      <c r="AM1105" s="716"/>
      <c r="AN1105" s="716"/>
      <c r="AO1105" s="716"/>
      <c r="AP1105" s="716"/>
      <c r="AQ1105" s="716"/>
      <c r="AR1105" s="716"/>
      <c r="AS1105" s="716"/>
      <c r="AT1105" s="716"/>
      <c r="AU1105" s="716"/>
      <c r="AV1105" s="716"/>
      <c r="AW1105" s="716"/>
      <c r="AX1105" s="716"/>
      <c r="AY1105" s="716"/>
      <c r="AZ1105" s="716"/>
      <c r="BA1105" s="716"/>
      <c r="BB1105" s="716"/>
      <c r="BC1105" s="716"/>
      <c r="BD1105" s="716"/>
      <c r="BE1105" s="716"/>
      <c r="BF1105" s="716"/>
      <c r="BG1105" s="716"/>
      <c r="BH1105" s="716"/>
      <c r="BI1105" s="716"/>
      <c r="BJ1105" s="716"/>
      <c r="BK1105" s="716"/>
      <c r="BL1105" s="716"/>
      <c r="BM1105" s="716"/>
      <c r="BN1105" s="716"/>
      <c r="BO1105" s="716"/>
      <c r="BP1105" s="716"/>
      <c r="BQ1105" s="716"/>
      <c r="BR1105" s="716"/>
      <c r="BS1105" s="716"/>
      <c r="BT1105" s="716"/>
      <c r="BU1105" s="716"/>
      <c r="BV1105" s="716"/>
      <c r="BW1105" s="716"/>
      <c r="BX1105" s="716"/>
      <c r="BY1105" s="716"/>
      <c r="BZ1105" s="716"/>
      <c r="CA1105" s="716"/>
    </row>
    <row r="1106" spans="1:79" s="308" customFormat="1" hidden="1" outlineLevel="1" x14ac:dyDescent="0.25">
      <c r="A1106" s="656"/>
      <c r="B1106" s="571"/>
      <c r="C1106" s="571"/>
      <c r="D1106" s="571"/>
      <c r="E1106" s="570" t="s">
        <v>657</v>
      </c>
      <c r="F1106" s="656" t="s">
        <v>881</v>
      </c>
      <c r="G1106" s="719"/>
      <c r="H1106" s="719"/>
      <c r="I1106" s="719"/>
      <c r="J1106" s="719"/>
      <c r="K1106" s="719"/>
      <c r="L1106" s="719"/>
      <c r="M1106" s="719"/>
      <c r="N1106" s="719"/>
      <c r="O1106" s="719"/>
      <c r="P1106" s="716"/>
      <c r="Q1106" s="716"/>
      <c r="R1106" s="716"/>
      <c r="S1106" s="667">
        <v>0</v>
      </c>
      <c r="T1106" s="667">
        <v>0</v>
      </c>
      <c r="U1106" s="667">
        <v>0</v>
      </c>
      <c r="V1106" s="667">
        <v>0</v>
      </c>
      <c r="W1106" s="667">
        <v>0</v>
      </c>
      <c r="X1106" s="667">
        <v>0</v>
      </c>
      <c r="Y1106" s="667">
        <v>0</v>
      </c>
      <c r="Z1106" s="667">
        <v>0</v>
      </c>
      <c r="AA1106" s="667">
        <v>0</v>
      </c>
      <c r="AB1106" s="667">
        <v>0</v>
      </c>
      <c r="AC1106" s="667">
        <v>0</v>
      </c>
      <c r="AD1106" s="667">
        <v>0</v>
      </c>
      <c r="AE1106" s="667">
        <v>0</v>
      </c>
      <c r="AF1106" s="667">
        <v>0</v>
      </c>
      <c r="AG1106" s="667">
        <v>0</v>
      </c>
      <c r="AH1106" s="716"/>
      <c r="AI1106" s="716"/>
      <c r="AJ1106" s="716"/>
      <c r="AK1106" s="716"/>
      <c r="AL1106" s="716"/>
      <c r="AM1106" s="716"/>
      <c r="AN1106" s="716"/>
      <c r="AO1106" s="716"/>
      <c r="AP1106" s="716"/>
      <c r="AQ1106" s="716"/>
      <c r="AR1106" s="716"/>
      <c r="AS1106" s="716"/>
      <c r="AT1106" s="716"/>
      <c r="AU1106" s="716"/>
      <c r="AV1106" s="716"/>
      <c r="AW1106" s="716"/>
      <c r="AX1106" s="716"/>
      <c r="AY1106" s="716"/>
      <c r="AZ1106" s="716"/>
      <c r="BA1106" s="716"/>
      <c r="BB1106" s="716"/>
      <c r="BC1106" s="716"/>
      <c r="BD1106" s="716"/>
      <c r="BE1106" s="716"/>
      <c r="BF1106" s="716"/>
      <c r="BG1106" s="716"/>
      <c r="BH1106" s="716"/>
      <c r="BI1106" s="716"/>
      <c r="BJ1106" s="716"/>
      <c r="BK1106" s="716"/>
      <c r="BL1106" s="716"/>
      <c r="BM1106" s="716"/>
      <c r="BN1106" s="716"/>
      <c r="BO1106" s="716"/>
      <c r="BP1106" s="716"/>
      <c r="BQ1106" s="716"/>
      <c r="BR1106" s="716"/>
      <c r="BS1106" s="716"/>
      <c r="BT1106" s="716"/>
      <c r="BU1106" s="716"/>
      <c r="BV1106" s="716"/>
      <c r="BW1106" s="716"/>
      <c r="BX1106" s="716"/>
      <c r="BY1106" s="716"/>
      <c r="BZ1106" s="716"/>
      <c r="CA1106" s="716"/>
    </row>
    <row r="1107" spans="1:79" s="308" customFormat="1" hidden="1" outlineLevel="1" x14ac:dyDescent="0.25">
      <c r="A1107" s="657"/>
      <c r="B1107" s="571"/>
      <c r="C1107" s="571"/>
      <c r="D1107" s="571"/>
      <c r="E1107" s="570" t="s">
        <v>49</v>
      </c>
      <c r="F1107" s="657" t="s">
        <v>664</v>
      </c>
      <c r="G1107" s="664">
        <f>SUM(G1098:G1106)</f>
        <v>0</v>
      </c>
      <c r="H1107" s="664">
        <f t="shared" ref="H1107:BO1107" si="462">SUM(H1098:H1106)</f>
        <v>0</v>
      </c>
      <c r="I1107" s="664">
        <f t="shared" si="462"/>
        <v>0</v>
      </c>
      <c r="J1107" s="664">
        <f t="shared" si="462"/>
        <v>0</v>
      </c>
      <c r="K1107" s="664">
        <f t="shared" si="462"/>
        <v>0</v>
      </c>
      <c r="L1107" s="664">
        <f t="shared" si="462"/>
        <v>0</v>
      </c>
      <c r="M1107" s="664">
        <f t="shared" si="462"/>
        <v>0</v>
      </c>
      <c r="N1107" s="664">
        <f t="shared" si="462"/>
        <v>0</v>
      </c>
      <c r="O1107" s="664">
        <f t="shared" si="462"/>
        <v>0</v>
      </c>
      <c r="P1107" s="664">
        <f t="shared" si="462"/>
        <v>0</v>
      </c>
      <c r="Q1107" s="664">
        <f t="shared" si="462"/>
        <v>0</v>
      </c>
      <c r="R1107" s="664">
        <f t="shared" si="462"/>
        <v>0</v>
      </c>
      <c r="S1107" s="678">
        <f t="shared" ref="S1107:AA1107" si="463">ROUND(SUM(S1097:S1106),5)</f>
        <v>0</v>
      </c>
      <c r="T1107" s="678">
        <f t="shared" si="463"/>
        <v>0</v>
      </c>
      <c r="U1107" s="678">
        <f t="shared" si="463"/>
        <v>0</v>
      </c>
      <c r="V1107" s="678">
        <f t="shared" si="463"/>
        <v>0</v>
      </c>
      <c r="W1107" s="678">
        <f t="shared" si="463"/>
        <v>0</v>
      </c>
      <c r="X1107" s="678">
        <f t="shared" si="463"/>
        <v>0</v>
      </c>
      <c r="Y1107" s="678">
        <f t="shared" si="463"/>
        <v>0</v>
      </c>
      <c r="Z1107" s="678">
        <f t="shared" si="463"/>
        <v>38.619999999999997</v>
      </c>
      <c r="AA1107" s="678">
        <f t="shared" si="463"/>
        <v>46.33</v>
      </c>
      <c r="AB1107" s="678">
        <f t="shared" ref="AB1107:AG1107" si="464">ROUND(SUM(AB1097:AB1106),5)</f>
        <v>40.99</v>
      </c>
      <c r="AC1107" s="678">
        <f t="shared" si="464"/>
        <v>38.06</v>
      </c>
      <c r="AD1107" s="678">
        <f t="shared" si="464"/>
        <v>0</v>
      </c>
      <c r="AE1107" s="678">
        <f t="shared" si="464"/>
        <v>0</v>
      </c>
      <c r="AF1107" s="678">
        <f t="shared" si="464"/>
        <v>0</v>
      </c>
      <c r="AG1107" s="678">
        <f t="shared" si="464"/>
        <v>0</v>
      </c>
      <c r="AH1107" s="664">
        <f t="shared" si="462"/>
        <v>0</v>
      </c>
      <c r="AI1107" s="664">
        <f t="shared" si="462"/>
        <v>0</v>
      </c>
      <c r="AJ1107" s="664">
        <f t="shared" si="462"/>
        <v>0</v>
      </c>
      <c r="AK1107" s="664">
        <f t="shared" si="462"/>
        <v>0</v>
      </c>
      <c r="AL1107" s="664">
        <f t="shared" si="462"/>
        <v>0</v>
      </c>
      <c r="AM1107" s="664">
        <f t="shared" si="462"/>
        <v>0</v>
      </c>
      <c r="AN1107" s="664">
        <f t="shared" si="462"/>
        <v>0</v>
      </c>
      <c r="AO1107" s="664">
        <f t="shared" si="462"/>
        <v>0</v>
      </c>
      <c r="AP1107" s="664">
        <f t="shared" si="462"/>
        <v>0</v>
      </c>
      <c r="AQ1107" s="664">
        <f t="shared" si="462"/>
        <v>0</v>
      </c>
      <c r="AR1107" s="664">
        <f t="shared" si="462"/>
        <v>0</v>
      </c>
      <c r="AS1107" s="664">
        <f t="shared" si="462"/>
        <v>0</v>
      </c>
      <c r="AT1107" s="664">
        <f t="shared" si="462"/>
        <v>0</v>
      </c>
      <c r="AU1107" s="664">
        <f t="shared" si="462"/>
        <v>0</v>
      </c>
      <c r="AV1107" s="664">
        <f t="shared" si="462"/>
        <v>0</v>
      </c>
      <c r="AW1107" s="664">
        <f t="shared" si="462"/>
        <v>0</v>
      </c>
      <c r="AX1107" s="664">
        <f t="shared" si="462"/>
        <v>0</v>
      </c>
      <c r="AY1107" s="664">
        <f t="shared" si="462"/>
        <v>0</v>
      </c>
      <c r="AZ1107" s="664">
        <f t="shared" si="462"/>
        <v>0</v>
      </c>
      <c r="BA1107" s="664">
        <f t="shared" si="462"/>
        <v>0</v>
      </c>
      <c r="BB1107" s="664">
        <f t="shared" si="462"/>
        <v>0</v>
      </c>
      <c r="BC1107" s="664">
        <f t="shared" si="462"/>
        <v>0</v>
      </c>
      <c r="BD1107" s="664">
        <f t="shared" si="462"/>
        <v>0</v>
      </c>
      <c r="BE1107" s="664">
        <f t="shared" si="462"/>
        <v>0</v>
      </c>
      <c r="BF1107" s="664">
        <f t="shared" si="462"/>
        <v>0</v>
      </c>
      <c r="BG1107" s="664">
        <f t="shared" si="462"/>
        <v>0</v>
      </c>
      <c r="BH1107" s="664">
        <f t="shared" si="462"/>
        <v>0</v>
      </c>
      <c r="BI1107" s="664">
        <f t="shared" si="462"/>
        <v>0</v>
      </c>
      <c r="BJ1107" s="664">
        <f t="shared" si="462"/>
        <v>0</v>
      </c>
      <c r="BK1107" s="664">
        <f t="shared" si="462"/>
        <v>0</v>
      </c>
      <c r="BL1107" s="664">
        <f t="shared" si="462"/>
        <v>0</v>
      </c>
      <c r="BM1107" s="664">
        <f t="shared" si="462"/>
        <v>0</v>
      </c>
      <c r="BN1107" s="664">
        <f t="shared" si="462"/>
        <v>0</v>
      </c>
      <c r="BO1107" s="664">
        <f t="shared" si="462"/>
        <v>0</v>
      </c>
      <c r="BP1107" s="664">
        <f t="shared" ref="BP1107:CA1107" si="465">SUM(BP1098:BP1106)</f>
        <v>0</v>
      </c>
      <c r="BQ1107" s="664">
        <f t="shared" si="465"/>
        <v>0</v>
      </c>
      <c r="BR1107" s="664">
        <f t="shared" si="465"/>
        <v>0</v>
      </c>
      <c r="BS1107" s="664">
        <f t="shared" si="465"/>
        <v>0</v>
      </c>
      <c r="BT1107" s="664">
        <f t="shared" si="465"/>
        <v>0</v>
      </c>
      <c r="BU1107" s="664">
        <f t="shared" si="465"/>
        <v>0</v>
      </c>
      <c r="BV1107" s="664">
        <f t="shared" si="465"/>
        <v>0</v>
      </c>
      <c r="BW1107" s="664">
        <f t="shared" si="465"/>
        <v>0</v>
      </c>
      <c r="BX1107" s="664">
        <f t="shared" si="465"/>
        <v>0</v>
      </c>
      <c r="BY1107" s="664">
        <f t="shared" si="465"/>
        <v>0</v>
      </c>
      <c r="BZ1107" s="664">
        <f t="shared" si="465"/>
        <v>0</v>
      </c>
      <c r="CA1107" s="664">
        <f t="shared" si="465"/>
        <v>0</v>
      </c>
    </row>
    <row r="1108" spans="1:79" s="308" customFormat="1" hidden="1" outlineLevel="1" x14ac:dyDescent="0.25">
      <c r="A1108" s="655"/>
      <c r="B1108" s="571"/>
      <c r="C1108" s="571"/>
      <c r="D1108" s="571"/>
      <c r="E1108" s="570" t="s">
        <v>1336</v>
      </c>
      <c r="F1108" s="655" t="s">
        <v>665</v>
      </c>
      <c r="G1108" s="719"/>
      <c r="H1108" s="719"/>
      <c r="I1108" s="719"/>
      <c r="J1108" s="719"/>
      <c r="K1108" s="719"/>
      <c r="L1108" s="719"/>
      <c r="M1108" s="719"/>
      <c r="N1108" s="719"/>
      <c r="O1108" s="719"/>
      <c r="P1108" s="716"/>
      <c r="Q1108" s="716"/>
      <c r="R1108" s="716"/>
      <c r="S1108" s="667">
        <v>0</v>
      </c>
      <c r="T1108" s="667">
        <v>0</v>
      </c>
      <c r="U1108" s="667">
        <v>0</v>
      </c>
      <c r="V1108" s="667">
        <v>0</v>
      </c>
      <c r="W1108" s="667">
        <v>0</v>
      </c>
      <c r="X1108" s="667">
        <v>0</v>
      </c>
      <c r="Y1108" s="667">
        <v>0</v>
      </c>
      <c r="Z1108" s="667">
        <v>0</v>
      </c>
      <c r="AA1108" s="667">
        <v>0</v>
      </c>
      <c r="AB1108" s="667">
        <v>0</v>
      </c>
      <c r="AC1108" s="667">
        <v>0</v>
      </c>
      <c r="AD1108" s="667">
        <v>0</v>
      </c>
      <c r="AE1108" s="667">
        <v>0</v>
      </c>
      <c r="AF1108" s="667">
        <v>0</v>
      </c>
      <c r="AG1108" s="667">
        <v>0</v>
      </c>
      <c r="AH1108" s="716"/>
      <c r="AI1108" s="716"/>
      <c r="AJ1108" s="716"/>
      <c r="AK1108" s="716"/>
      <c r="AL1108" s="716"/>
      <c r="AM1108" s="716"/>
      <c r="AN1108" s="716"/>
      <c r="AO1108" s="716"/>
      <c r="AP1108" s="716"/>
      <c r="AQ1108" s="716"/>
      <c r="AR1108" s="716"/>
      <c r="AS1108" s="716"/>
      <c r="AT1108" s="716"/>
      <c r="AU1108" s="716"/>
      <c r="AV1108" s="716"/>
      <c r="AW1108" s="716"/>
      <c r="AX1108" s="716"/>
      <c r="AY1108" s="716"/>
      <c r="AZ1108" s="716"/>
      <c r="BA1108" s="716"/>
      <c r="BB1108" s="716"/>
      <c r="BC1108" s="716"/>
      <c r="BD1108" s="716"/>
      <c r="BE1108" s="716"/>
      <c r="BF1108" s="716"/>
      <c r="BG1108" s="716"/>
      <c r="BH1108" s="716"/>
      <c r="BI1108" s="716"/>
      <c r="BJ1108" s="716"/>
      <c r="BK1108" s="716"/>
      <c r="BL1108" s="716"/>
      <c r="BM1108" s="716"/>
      <c r="BN1108" s="716"/>
      <c r="BO1108" s="716"/>
      <c r="BP1108" s="716"/>
      <c r="BQ1108" s="716"/>
      <c r="BR1108" s="716"/>
      <c r="BS1108" s="716"/>
      <c r="BT1108" s="716"/>
      <c r="BU1108" s="716"/>
      <c r="BV1108" s="716"/>
      <c r="BW1108" s="716"/>
      <c r="BX1108" s="716"/>
      <c r="BY1108" s="716"/>
      <c r="BZ1108" s="716"/>
      <c r="CA1108" s="716"/>
    </row>
    <row r="1109" spans="1:79" s="710" customFormat="1" hidden="1" outlineLevel="1" x14ac:dyDescent="0.25">
      <c r="A1109" s="701"/>
      <c r="E1109" s="570" t="s">
        <v>1337</v>
      </c>
      <c r="F1109" s="701" t="s">
        <v>593</v>
      </c>
      <c r="G1109" s="733"/>
      <c r="H1109" s="733"/>
      <c r="I1109" s="733"/>
      <c r="J1109" s="733"/>
      <c r="K1109" s="733"/>
      <c r="L1109" s="733"/>
      <c r="M1109" s="733"/>
      <c r="N1109" s="733"/>
      <c r="O1109" s="733"/>
      <c r="P1109" s="734"/>
      <c r="Q1109" s="734"/>
      <c r="R1109" s="734"/>
      <c r="S1109" s="697"/>
      <c r="T1109" s="697"/>
      <c r="U1109" s="697"/>
      <c r="V1109" s="697"/>
      <c r="W1109" s="697"/>
      <c r="X1109" s="697"/>
      <c r="Y1109" s="697"/>
      <c r="Z1109" s="697"/>
      <c r="AA1109" s="697"/>
      <c r="AB1109" s="697"/>
      <c r="AC1109" s="697"/>
      <c r="AD1109" s="697"/>
      <c r="AE1109" s="697"/>
      <c r="AF1109" s="697"/>
      <c r="AG1109" s="697"/>
      <c r="AH1109" s="734"/>
      <c r="AI1109" s="734"/>
      <c r="AJ1109" s="734"/>
      <c r="AK1109" s="734"/>
      <c r="AL1109" s="734"/>
      <c r="AM1109" s="734"/>
      <c r="AN1109" s="734"/>
      <c r="AO1109" s="734"/>
      <c r="AP1109" s="734"/>
      <c r="AQ1109" s="734"/>
      <c r="AR1109" s="734"/>
      <c r="AS1109" s="734"/>
      <c r="AT1109" s="734"/>
      <c r="AU1109" s="734"/>
      <c r="AV1109" s="734"/>
      <c r="AW1109" s="734"/>
      <c r="AX1109" s="734"/>
      <c r="AY1109" s="734"/>
      <c r="AZ1109" s="734"/>
      <c r="BA1109" s="734"/>
      <c r="BB1109" s="734"/>
      <c r="BC1109" s="734"/>
      <c r="BD1109" s="734"/>
      <c r="BE1109" s="734"/>
      <c r="BF1109" s="734"/>
      <c r="BG1109" s="734"/>
      <c r="BH1109" s="734"/>
      <c r="BI1109" s="734"/>
      <c r="BJ1109" s="734"/>
      <c r="BK1109" s="734"/>
      <c r="BL1109" s="734"/>
      <c r="BM1109" s="734"/>
      <c r="BN1109" s="734"/>
      <c r="BO1109" s="734"/>
      <c r="BP1109" s="734"/>
      <c r="BQ1109" s="734"/>
      <c r="BR1109" s="734"/>
      <c r="BS1109" s="734"/>
      <c r="BT1109" s="734"/>
      <c r="BU1109" s="734"/>
      <c r="BV1109" s="734"/>
      <c r="BW1109" s="734"/>
      <c r="BX1109" s="734"/>
      <c r="BY1109" s="734"/>
      <c r="BZ1109" s="734"/>
      <c r="CA1109" s="734"/>
    </row>
    <row r="1110" spans="1:79" s="308" customFormat="1" hidden="1" outlineLevel="1" x14ac:dyDescent="0.25">
      <c r="A1110" s="656"/>
      <c r="B1110" s="571"/>
      <c r="C1110" s="571"/>
      <c r="D1110" s="571"/>
      <c r="E1110" s="570" t="s">
        <v>1337</v>
      </c>
      <c r="F1110" s="656" t="s">
        <v>882</v>
      </c>
      <c r="G1110" s="719"/>
      <c r="H1110" s="719"/>
      <c r="I1110" s="719"/>
      <c r="J1110" s="719"/>
      <c r="K1110" s="719"/>
      <c r="L1110" s="719"/>
      <c r="M1110" s="719"/>
      <c r="N1110" s="719"/>
      <c r="O1110" s="719"/>
      <c r="P1110" s="716"/>
      <c r="Q1110" s="716"/>
      <c r="R1110" s="716"/>
      <c r="S1110" s="671">
        <v>0</v>
      </c>
      <c r="T1110" s="671">
        <v>0</v>
      </c>
      <c r="U1110" s="671">
        <v>0</v>
      </c>
      <c r="V1110" s="671">
        <v>0</v>
      </c>
      <c r="W1110" s="671">
        <v>0</v>
      </c>
      <c r="X1110" s="671">
        <v>0</v>
      </c>
      <c r="Y1110" s="671">
        <v>0</v>
      </c>
      <c r="Z1110" s="671">
        <v>0</v>
      </c>
      <c r="AA1110" s="671">
        <v>0</v>
      </c>
      <c r="AB1110" s="671">
        <v>0</v>
      </c>
      <c r="AC1110" s="671">
        <v>0</v>
      </c>
      <c r="AD1110" s="671">
        <v>0</v>
      </c>
      <c r="AE1110" s="671">
        <v>0</v>
      </c>
      <c r="AF1110" s="671">
        <v>0</v>
      </c>
      <c r="AG1110" s="671">
        <v>0</v>
      </c>
      <c r="AH1110" s="716"/>
      <c r="AI1110" s="716"/>
      <c r="AJ1110" s="716"/>
      <c r="AK1110" s="716"/>
      <c r="AL1110" s="716"/>
      <c r="AM1110" s="716"/>
      <c r="AN1110" s="716"/>
      <c r="AO1110" s="716"/>
      <c r="AP1110" s="716"/>
      <c r="AQ1110" s="716"/>
      <c r="AR1110" s="716"/>
      <c r="AS1110" s="716"/>
      <c r="AT1110" s="716"/>
      <c r="AU1110" s="716"/>
      <c r="AV1110" s="716"/>
      <c r="AW1110" s="716"/>
      <c r="AX1110" s="716"/>
      <c r="AY1110" s="716"/>
      <c r="AZ1110" s="716"/>
      <c r="BA1110" s="716"/>
      <c r="BB1110" s="716"/>
      <c r="BC1110" s="716"/>
      <c r="BD1110" s="716"/>
      <c r="BE1110" s="716"/>
      <c r="BF1110" s="716"/>
      <c r="BG1110" s="716"/>
      <c r="BH1110" s="716"/>
      <c r="BI1110" s="716"/>
      <c r="BJ1110" s="716"/>
      <c r="BK1110" s="716"/>
      <c r="BL1110" s="716"/>
      <c r="BM1110" s="716"/>
      <c r="BN1110" s="716"/>
      <c r="BO1110" s="716"/>
      <c r="BP1110" s="716"/>
      <c r="BQ1110" s="716"/>
      <c r="BR1110" s="716"/>
      <c r="BS1110" s="716"/>
      <c r="BT1110" s="716"/>
      <c r="BU1110" s="716"/>
      <c r="BV1110" s="716"/>
      <c r="BW1110" s="716"/>
      <c r="BX1110" s="716"/>
      <c r="BY1110" s="716"/>
      <c r="BZ1110" s="716"/>
      <c r="CA1110" s="716"/>
    </row>
    <row r="1111" spans="1:79" s="308" customFormat="1" hidden="1" outlineLevel="1" x14ac:dyDescent="0.25">
      <c r="A1111" s="656"/>
      <c r="B1111" s="571"/>
      <c r="C1111" s="571"/>
      <c r="D1111" s="571"/>
      <c r="E1111" s="570" t="s">
        <v>941</v>
      </c>
      <c r="F1111" s="656" t="s">
        <v>883</v>
      </c>
      <c r="G1111" s="719"/>
      <c r="H1111" s="719"/>
      <c r="I1111" s="719"/>
      <c r="J1111" s="719"/>
      <c r="K1111" s="719"/>
      <c r="L1111" s="719"/>
      <c r="M1111" s="719"/>
      <c r="N1111" s="719"/>
      <c r="O1111" s="719"/>
      <c r="P1111" s="716"/>
      <c r="Q1111" s="716"/>
      <c r="R1111" s="716"/>
      <c r="S1111" s="671">
        <v>0</v>
      </c>
      <c r="T1111" s="671">
        <v>0</v>
      </c>
      <c r="U1111" s="671">
        <v>0</v>
      </c>
      <c r="V1111" s="671">
        <v>0</v>
      </c>
      <c r="W1111" s="671">
        <v>0</v>
      </c>
      <c r="X1111" s="671">
        <v>0</v>
      </c>
      <c r="Y1111" s="671">
        <v>0</v>
      </c>
      <c r="Z1111" s="671">
        <v>0</v>
      </c>
      <c r="AA1111" s="671">
        <v>0</v>
      </c>
      <c r="AB1111" s="671">
        <v>0</v>
      </c>
      <c r="AC1111" s="671">
        <v>0</v>
      </c>
      <c r="AD1111" s="671">
        <v>0</v>
      </c>
      <c r="AE1111" s="671">
        <v>0</v>
      </c>
      <c r="AF1111" s="671">
        <v>0</v>
      </c>
      <c r="AG1111" s="671">
        <v>0</v>
      </c>
      <c r="AH1111" s="716"/>
      <c r="AI1111" s="716"/>
      <c r="AJ1111" s="716"/>
      <c r="AK1111" s="716"/>
      <c r="AL1111" s="716"/>
      <c r="AM1111" s="716"/>
      <c r="AN1111" s="716"/>
      <c r="AO1111" s="716"/>
      <c r="AP1111" s="716"/>
      <c r="AQ1111" s="716"/>
      <c r="AR1111" s="716"/>
      <c r="AS1111" s="716"/>
      <c r="AT1111" s="716"/>
      <c r="AU1111" s="716"/>
      <c r="AV1111" s="716"/>
      <c r="AW1111" s="716"/>
      <c r="AX1111" s="716"/>
      <c r="AY1111" s="716"/>
      <c r="AZ1111" s="716"/>
      <c r="BA1111" s="716"/>
      <c r="BB1111" s="716"/>
      <c r="BC1111" s="716"/>
      <c r="BD1111" s="716"/>
      <c r="BE1111" s="716"/>
      <c r="BF1111" s="716"/>
      <c r="BG1111" s="716"/>
      <c r="BH1111" s="716"/>
      <c r="BI1111" s="716"/>
      <c r="BJ1111" s="716"/>
      <c r="BK1111" s="716"/>
      <c r="BL1111" s="716"/>
      <c r="BM1111" s="716"/>
      <c r="BN1111" s="716"/>
      <c r="BO1111" s="716"/>
      <c r="BP1111" s="716"/>
      <c r="BQ1111" s="716"/>
      <c r="BR1111" s="716"/>
      <c r="BS1111" s="716"/>
      <c r="BT1111" s="716"/>
      <c r="BU1111" s="716"/>
      <c r="BV1111" s="716"/>
      <c r="BW1111" s="716"/>
      <c r="BX1111" s="716"/>
      <c r="BY1111" s="716"/>
      <c r="BZ1111" s="716"/>
      <c r="CA1111" s="716"/>
    </row>
    <row r="1112" spans="1:79" s="308" customFormat="1" hidden="1" outlineLevel="1" x14ac:dyDescent="0.25">
      <c r="A1112" s="656"/>
      <c r="B1112" s="571"/>
      <c r="C1112" s="571"/>
      <c r="D1112" s="571"/>
      <c r="E1112" s="570" t="s">
        <v>11</v>
      </c>
      <c r="F1112" s="656" t="s">
        <v>884</v>
      </c>
      <c r="G1112" s="719"/>
      <c r="H1112" s="719"/>
      <c r="I1112" s="719"/>
      <c r="J1112" s="719"/>
      <c r="K1112" s="719"/>
      <c r="L1112" s="719"/>
      <c r="M1112" s="719"/>
      <c r="N1112" s="719"/>
      <c r="O1112" s="719"/>
      <c r="P1112" s="716"/>
      <c r="Q1112" s="716"/>
      <c r="R1112" s="716"/>
      <c r="S1112" s="671">
        <v>0</v>
      </c>
      <c r="T1112" s="671">
        <v>0</v>
      </c>
      <c r="U1112" s="671">
        <v>0</v>
      </c>
      <c r="V1112" s="671">
        <v>0</v>
      </c>
      <c r="W1112" s="671">
        <v>0</v>
      </c>
      <c r="X1112" s="671">
        <v>0</v>
      </c>
      <c r="Y1112" s="671">
        <v>0</v>
      </c>
      <c r="Z1112" s="671">
        <v>0</v>
      </c>
      <c r="AA1112" s="671">
        <v>0</v>
      </c>
      <c r="AB1112" s="671">
        <v>0</v>
      </c>
      <c r="AC1112" s="671">
        <v>0</v>
      </c>
      <c r="AD1112" s="671">
        <v>0</v>
      </c>
      <c r="AE1112" s="671">
        <v>0</v>
      </c>
      <c r="AF1112" s="671">
        <v>0</v>
      </c>
      <c r="AG1112" s="671">
        <v>0</v>
      </c>
      <c r="AH1112" s="716"/>
      <c r="AI1112" s="716"/>
      <c r="AJ1112" s="716"/>
      <c r="AK1112" s="716"/>
      <c r="AL1112" s="716"/>
      <c r="AM1112" s="716"/>
      <c r="AN1112" s="716"/>
      <c r="AO1112" s="716"/>
      <c r="AP1112" s="716"/>
      <c r="AQ1112" s="716"/>
      <c r="AR1112" s="716"/>
      <c r="AS1112" s="716"/>
      <c r="AT1112" s="716"/>
      <c r="AU1112" s="716"/>
      <c r="AV1112" s="716"/>
      <c r="AW1112" s="716"/>
      <c r="AX1112" s="716"/>
      <c r="AY1112" s="716"/>
      <c r="AZ1112" s="716"/>
      <c r="BA1112" s="716"/>
      <c r="BB1112" s="716"/>
      <c r="BC1112" s="716"/>
      <c r="BD1112" s="716"/>
      <c r="BE1112" s="716"/>
      <c r="BF1112" s="716"/>
      <c r="BG1112" s="716"/>
      <c r="BH1112" s="716"/>
      <c r="BI1112" s="716"/>
      <c r="BJ1112" s="716"/>
      <c r="BK1112" s="716"/>
      <c r="BL1112" s="716"/>
      <c r="BM1112" s="716"/>
      <c r="BN1112" s="716"/>
      <c r="BO1112" s="716"/>
      <c r="BP1112" s="716"/>
      <c r="BQ1112" s="716"/>
      <c r="BR1112" s="716"/>
      <c r="BS1112" s="716"/>
      <c r="BT1112" s="716"/>
      <c r="BU1112" s="716"/>
      <c r="BV1112" s="716"/>
      <c r="BW1112" s="716"/>
      <c r="BX1112" s="716"/>
      <c r="BY1112" s="716"/>
      <c r="BZ1112" s="716"/>
      <c r="CA1112" s="716"/>
    </row>
    <row r="1113" spans="1:79" s="308" customFormat="1" hidden="1" outlineLevel="1" x14ac:dyDescent="0.25">
      <c r="A1113" s="656"/>
      <c r="B1113" s="571"/>
      <c r="C1113" s="571"/>
      <c r="D1113" s="571"/>
      <c r="E1113" s="570" t="s">
        <v>1337</v>
      </c>
      <c r="F1113" s="656" t="s">
        <v>885</v>
      </c>
      <c r="G1113" s="719"/>
      <c r="H1113" s="719"/>
      <c r="I1113" s="719"/>
      <c r="J1113" s="719"/>
      <c r="K1113" s="719"/>
      <c r="L1113" s="719"/>
      <c r="M1113" s="719"/>
      <c r="N1113" s="719"/>
      <c r="O1113" s="719"/>
      <c r="P1113" s="716"/>
      <c r="Q1113" s="716"/>
      <c r="R1113" s="716"/>
      <c r="S1113" s="671">
        <v>0</v>
      </c>
      <c r="T1113" s="671">
        <v>0</v>
      </c>
      <c r="U1113" s="671">
        <v>0</v>
      </c>
      <c r="V1113" s="671">
        <v>0</v>
      </c>
      <c r="W1113" s="671">
        <v>0</v>
      </c>
      <c r="X1113" s="671">
        <v>0</v>
      </c>
      <c r="Y1113" s="671">
        <v>0</v>
      </c>
      <c r="Z1113" s="671">
        <v>0</v>
      </c>
      <c r="AA1113" s="671">
        <v>0</v>
      </c>
      <c r="AB1113" s="671">
        <v>0</v>
      </c>
      <c r="AC1113" s="671">
        <v>0</v>
      </c>
      <c r="AD1113" s="671">
        <v>0</v>
      </c>
      <c r="AE1113" s="671">
        <v>0</v>
      </c>
      <c r="AF1113" s="671">
        <v>0</v>
      </c>
      <c r="AG1113" s="671">
        <v>0</v>
      </c>
      <c r="AH1113" s="716"/>
      <c r="AI1113" s="716"/>
      <c r="AJ1113" s="716"/>
      <c r="AK1113" s="716"/>
      <c r="AL1113" s="716"/>
      <c r="AM1113" s="716"/>
      <c r="AN1113" s="716"/>
      <c r="AO1113" s="716"/>
      <c r="AP1113" s="716"/>
      <c r="AQ1113" s="716"/>
      <c r="AR1113" s="716"/>
      <c r="AS1113" s="716"/>
      <c r="AT1113" s="716"/>
      <c r="AU1113" s="716"/>
      <c r="AV1113" s="716"/>
      <c r="AW1113" s="716"/>
      <c r="AX1113" s="716"/>
      <c r="AY1113" s="716"/>
      <c r="AZ1113" s="716"/>
      <c r="BA1113" s="716"/>
      <c r="BB1113" s="716"/>
      <c r="BC1113" s="716"/>
      <c r="BD1113" s="716"/>
      <c r="BE1113" s="716"/>
      <c r="BF1113" s="716"/>
      <c r="BG1113" s="716"/>
      <c r="BH1113" s="716"/>
      <c r="BI1113" s="716"/>
      <c r="BJ1113" s="716"/>
      <c r="BK1113" s="716"/>
      <c r="BL1113" s="716"/>
      <c r="BM1113" s="716"/>
      <c r="BN1113" s="716"/>
      <c r="BO1113" s="716"/>
      <c r="BP1113" s="716"/>
      <c r="BQ1113" s="716"/>
      <c r="BR1113" s="716"/>
      <c r="BS1113" s="716"/>
      <c r="BT1113" s="716"/>
      <c r="BU1113" s="716"/>
      <c r="BV1113" s="716"/>
      <c r="BW1113" s="716"/>
      <c r="BX1113" s="716"/>
      <c r="BY1113" s="716"/>
      <c r="BZ1113" s="716"/>
      <c r="CA1113" s="716"/>
    </row>
    <row r="1114" spans="1:79" s="308" customFormat="1" hidden="1" outlineLevel="1" x14ac:dyDescent="0.25">
      <c r="A1114" s="656"/>
      <c r="B1114" s="571"/>
      <c r="C1114" s="571"/>
      <c r="D1114" s="571"/>
      <c r="E1114" s="570" t="s">
        <v>1270</v>
      </c>
      <c r="F1114" s="656" t="s">
        <v>818</v>
      </c>
      <c r="G1114" s="719"/>
      <c r="H1114" s="719"/>
      <c r="I1114" s="719"/>
      <c r="J1114" s="719"/>
      <c r="K1114" s="719"/>
      <c r="L1114" s="719"/>
      <c r="M1114" s="719"/>
      <c r="N1114" s="719"/>
      <c r="O1114" s="719"/>
      <c r="P1114" s="716"/>
      <c r="Q1114" s="716"/>
      <c r="R1114" s="716"/>
      <c r="S1114" s="671">
        <v>0</v>
      </c>
      <c r="T1114" s="671">
        <v>0</v>
      </c>
      <c r="U1114" s="671">
        <v>0</v>
      </c>
      <c r="V1114" s="671">
        <v>0</v>
      </c>
      <c r="W1114" s="671">
        <v>0</v>
      </c>
      <c r="X1114" s="671">
        <v>0</v>
      </c>
      <c r="Y1114" s="671">
        <v>0</v>
      </c>
      <c r="Z1114" s="671">
        <v>0</v>
      </c>
      <c r="AA1114" s="671">
        <v>0</v>
      </c>
      <c r="AB1114" s="671">
        <v>0</v>
      </c>
      <c r="AC1114" s="671">
        <v>0</v>
      </c>
      <c r="AD1114" s="671">
        <v>0</v>
      </c>
      <c r="AE1114" s="671">
        <v>0</v>
      </c>
      <c r="AF1114" s="671">
        <v>0</v>
      </c>
      <c r="AG1114" s="671">
        <v>0</v>
      </c>
      <c r="AH1114" s="716"/>
      <c r="AI1114" s="716"/>
      <c r="AJ1114" s="716"/>
      <c r="AK1114" s="716"/>
      <c r="AL1114" s="716"/>
      <c r="AM1114" s="716"/>
      <c r="AN1114" s="716"/>
      <c r="AO1114" s="716"/>
      <c r="AP1114" s="716"/>
      <c r="AQ1114" s="716"/>
      <c r="AR1114" s="716"/>
      <c r="AS1114" s="716"/>
      <c r="AT1114" s="716"/>
      <c r="AU1114" s="716"/>
      <c r="AV1114" s="716"/>
      <c r="AW1114" s="716"/>
      <c r="AX1114" s="716"/>
      <c r="AY1114" s="716"/>
      <c r="AZ1114" s="716"/>
      <c r="BA1114" s="716"/>
      <c r="BB1114" s="716"/>
      <c r="BC1114" s="716"/>
      <c r="BD1114" s="716"/>
      <c r="BE1114" s="716"/>
      <c r="BF1114" s="716"/>
      <c r="BG1114" s="716"/>
      <c r="BH1114" s="716"/>
      <c r="BI1114" s="716"/>
      <c r="BJ1114" s="716"/>
      <c r="BK1114" s="716"/>
      <c r="BL1114" s="716"/>
      <c r="BM1114" s="716"/>
      <c r="BN1114" s="716"/>
      <c r="BO1114" s="716"/>
      <c r="BP1114" s="716"/>
      <c r="BQ1114" s="716"/>
      <c r="BR1114" s="716"/>
      <c r="BS1114" s="716"/>
      <c r="BT1114" s="716"/>
      <c r="BU1114" s="716"/>
      <c r="BV1114" s="716"/>
      <c r="BW1114" s="716"/>
      <c r="BX1114" s="716"/>
      <c r="BY1114" s="716"/>
      <c r="BZ1114" s="716"/>
      <c r="CA1114" s="716"/>
    </row>
    <row r="1115" spans="1:79" s="308" customFormat="1" hidden="1" outlineLevel="1" x14ac:dyDescent="0.25">
      <c r="A1115" s="656"/>
      <c r="B1115" s="571"/>
      <c r="C1115" s="571"/>
      <c r="D1115" s="571"/>
      <c r="E1115" s="570" t="s">
        <v>1260</v>
      </c>
      <c r="F1115" s="656" t="s">
        <v>609</v>
      </c>
      <c r="G1115" s="719"/>
      <c r="H1115" s="719"/>
      <c r="I1115" s="719"/>
      <c r="J1115" s="719"/>
      <c r="K1115" s="719"/>
      <c r="L1115" s="719"/>
      <c r="M1115" s="719"/>
      <c r="N1115" s="719"/>
      <c r="O1115" s="719"/>
      <c r="P1115" s="716"/>
      <c r="Q1115" s="716"/>
      <c r="R1115" s="716"/>
      <c r="S1115" s="671">
        <v>0</v>
      </c>
      <c r="T1115" s="671">
        <v>0</v>
      </c>
      <c r="U1115" s="671">
        <v>0</v>
      </c>
      <c r="V1115" s="671">
        <v>0</v>
      </c>
      <c r="W1115" s="671">
        <v>0</v>
      </c>
      <c r="X1115" s="671">
        <v>0</v>
      </c>
      <c r="Y1115" s="671">
        <v>0</v>
      </c>
      <c r="Z1115" s="671">
        <v>0</v>
      </c>
      <c r="AA1115" s="671">
        <v>0</v>
      </c>
      <c r="AB1115" s="671">
        <v>0</v>
      </c>
      <c r="AC1115" s="671">
        <v>0</v>
      </c>
      <c r="AD1115" s="671">
        <v>0</v>
      </c>
      <c r="AE1115" s="671">
        <v>0</v>
      </c>
      <c r="AF1115" s="671">
        <v>0</v>
      </c>
      <c r="AG1115" s="671">
        <v>0</v>
      </c>
      <c r="AH1115" s="716"/>
      <c r="AI1115" s="716"/>
      <c r="AJ1115" s="716"/>
      <c r="AK1115" s="716"/>
      <c r="AL1115" s="716"/>
      <c r="AM1115" s="716"/>
      <c r="AN1115" s="716"/>
      <c r="AO1115" s="716"/>
      <c r="AP1115" s="716"/>
      <c r="AQ1115" s="716"/>
      <c r="AR1115" s="716"/>
      <c r="AS1115" s="716"/>
      <c r="AT1115" s="716"/>
      <c r="AU1115" s="716"/>
      <c r="AV1115" s="716"/>
      <c r="AW1115" s="716"/>
      <c r="AX1115" s="716"/>
      <c r="AY1115" s="716"/>
      <c r="AZ1115" s="716"/>
      <c r="BA1115" s="716"/>
      <c r="BB1115" s="716"/>
      <c r="BC1115" s="716"/>
      <c r="BD1115" s="716"/>
      <c r="BE1115" s="716"/>
      <c r="BF1115" s="716"/>
      <c r="BG1115" s="716"/>
      <c r="BH1115" s="716"/>
      <c r="BI1115" s="716"/>
      <c r="BJ1115" s="716"/>
      <c r="BK1115" s="716"/>
      <c r="BL1115" s="716"/>
      <c r="BM1115" s="716"/>
      <c r="BN1115" s="716"/>
      <c r="BO1115" s="716"/>
      <c r="BP1115" s="716"/>
      <c r="BQ1115" s="716"/>
      <c r="BR1115" s="716"/>
      <c r="BS1115" s="716"/>
      <c r="BT1115" s="716"/>
      <c r="BU1115" s="716"/>
      <c r="BV1115" s="716"/>
      <c r="BW1115" s="716"/>
      <c r="BX1115" s="716"/>
      <c r="BY1115" s="716"/>
      <c r="BZ1115" s="716"/>
      <c r="CA1115" s="716"/>
    </row>
    <row r="1116" spans="1:79" s="308" customFormat="1" hidden="1" outlineLevel="1" x14ac:dyDescent="0.25">
      <c r="A1116" s="656"/>
      <c r="B1116" s="571"/>
      <c r="C1116" s="571"/>
      <c r="D1116" s="571"/>
      <c r="E1116" s="570" t="s">
        <v>1326</v>
      </c>
      <c r="F1116" s="656" t="s">
        <v>610</v>
      </c>
      <c r="G1116" s="719"/>
      <c r="H1116" s="719"/>
      <c r="I1116" s="719"/>
      <c r="J1116" s="719"/>
      <c r="K1116" s="719"/>
      <c r="L1116" s="719"/>
      <c r="M1116" s="719"/>
      <c r="N1116" s="719"/>
      <c r="O1116" s="719"/>
      <c r="P1116" s="716"/>
      <c r="Q1116" s="716"/>
      <c r="R1116" s="716"/>
      <c r="S1116" s="676">
        <v>0</v>
      </c>
      <c r="T1116" s="676">
        <v>0</v>
      </c>
      <c r="U1116" s="676">
        <v>0</v>
      </c>
      <c r="V1116" s="676">
        <v>0</v>
      </c>
      <c r="W1116" s="676">
        <v>0</v>
      </c>
      <c r="X1116" s="676">
        <v>0</v>
      </c>
      <c r="Y1116" s="676">
        <v>0</v>
      </c>
      <c r="Z1116" s="676">
        <v>0</v>
      </c>
      <c r="AA1116" s="676">
        <v>0</v>
      </c>
      <c r="AB1116" s="676">
        <v>0</v>
      </c>
      <c r="AC1116" s="676">
        <v>0</v>
      </c>
      <c r="AD1116" s="676">
        <v>0</v>
      </c>
      <c r="AE1116" s="676">
        <v>0</v>
      </c>
      <c r="AF1116" s="676">
        <v>0</v>
      </c>
      <c r="AG1116" s="676">
        <v>0</v>
      </c>
      <c r="AH1116" s="716"/>
      <c r="AI1116" s="716"/>
      <c r="AJ1116" s="716"/>
      <c r="AK1116" s="716"/>
      <c r="AL1116" s="716"/>
      <c r="AM1116" s="716"/>
      <c r="AN1116" s="716"/>
      <c r="AO1116" s="716"/>
      <c r="AP1116" s="716"/>
      <c r="AQ1116" s="716"/>
      <c r="AR1116" s="716"/>
      <c r="AS1116" s="716"/>
      <c r="AT1116" s="716"/>
      <c r="AU1116" s="716"/>
      <c r="AV1116" s="716"/>
      <c r="AW1116" s="716"/>
      <c r="AX1116" s="716"/>
      <c r="AY1116" s="716"/>
      <c r="AZ1116" s="716"/>
      <c r="BA1116" s="716"/>
      <c r="BB1116" s="716"/>
      <c r="BC1116" s="716"/>
      <c r="BD1116" s="716"/>
      <c r="BE1116" s="716"/>
      <c r="BF1116" s="716"/>
      <c r="BG1116" s="716"/>
      <c r="BH1116" s="716"/>
      <c r="BI1116" s="716"/>
      <c r="BJ1116" s="716"/>
      <c r="BK1116" s="716"/>
      <c r="BL1116" s="716"/>
      <c r="BM1116" s="716"/>
      <c r="BN1116" s="716"/>
      <c r="BO1116" s="716"/>
      <c r="BP1116" s="716"/>
      <c r="BQ1116" s="716"/>
      <c r="BR1116" s="716"/>
      <c r="BS1116" s="716"/>
      <c r="BT1116" s="716"/>
      <c r="BU1116" s="716"/>
      <c r="BV1116" s="716"/>
      <c r="BW1116" s="716"/>
      <c r="BX1116" s="716"/>
      <c r="BY1116" s="716"/>
      <c r="BZ1116" s="716"/>
      <c r="CA1116" s="716"/>
    </row>
    <row r="1117" spans="1:79" s="308" customFormat="1" hidden="1" outlineLevel="1" x14ac:dyDescent="0.25">
      <c r="A1117" s="656"/>
      <c r="B1117" s="571"/>
      <c r="C1117" s="571"/>
      <c r="D1117" s="571"/>
      <c r="E1117" s="570" t="s">
        <v>985</v>
      </c>
      <c r="F1117" s="656" t="s">
        <v>611</v>
      </c>
      <c r="G1117" s="719"/>
      <c r="H1117" s="719"/>
      <c r="I1117" s="719"/>
      <c r="J1117" s="719"/>
      <c r="K1117" s="719"/>
      <c r="L1117" s="719"/>
      <c r="M1117" s="719"/>
      <c r="N1117" s="719"/>
      <c r="O1117" s="719"/>
      <c r="P1117" s="716"/>
      <c r="Q1117" s="716"/>
      <c r="R1117" s="716"/>
      <c r="S1117" s="676">
        <v>0</v>
      </c>
      <c r="T1117" s="676">
        <v>0</v>
      </c>
      <c r="U1117" s="676">
        <v>0</v>
      </c>
      <c r="V1117" s="676">
        <v>0</v>
      </c>
      <c r="W1117" s="676">
        <v>0</v>
      </c>
      <c r="X1117" s="676">
        <v>0</v>
      </c>
      <c r="Y1117" s="676">
        <v>0</v>
      </c>
      <c r="Z1117" s="676">
        <v>0</v>
      </c>
      <c r="AA1117" s="676">
        <v>0</v>
      </c>
      <c r="AB1117" s="676">
        <v>0</v>
      </c>
      <c r="AC1117" s="676">
        <v>0</v>
      </c>
      <c r="AD1117" s="676">
        <v>0</v>
      </c>
      <c r="AE1117" s="676">
        <v>0</v>
      </c>
      <c r="AF1117" s="676">
        <v>0</v>
      </c>
      <c r="AG1117" s="676">
        <v>0</v>
      </c>
      <c r="AH1117" s="716"/>
      <c r="AI1117" s="716"/>
      <c r="AJ1117" s="716"/>
      <c r="AK1117" s="716"/>
      <c r="AL1117" s="716"/>
      <c r="AM1117" s="716"/>
      <c r="AN1117" s="716"/>
      <c r="AO1117" s="716"/>
      <c r="AP1117" s="716"/>
      <c r="AQ1117" s="716"/>
      <c r="AR1117" s="716"/>
      <c r="AS1117" s="716"/>
      <c r="AT1117" s="716"/>
      <c r="AU1117" s="716"/>
      <c r="AV1117" s="716"/>
      <c r="AW1117" s="716"/>
      <c r="AX1117" s="716"/>
      <c r="AY1117" s="716"/>
      <c r="AZ1117" s="716"/>
      <c r="BA1117" s="716"/>
      <c r="BB1117" s="716"/>
      <c r="BC1117" s="716"/>
      <c r="BD1117" s="716"/>
      <c r="BE1117" s="716"/>
      <c r="BF1117" s="716"/>
      <c r="BG1117" s="716"/>
      <c r="BH1117" s="716"/>
      <c r="BI1117" s="716"/>
      <c r="BJ1117" s="716"/>
      <c r="BK1117" s="716"/>
      <c r="BL1117" s="716"/>
      <c r="BM1117" s="716"/>
      <c r="BN1117" s="716"/>
      <c r="BO1117" s="716"/>
      <c r="BP1117" s="716"/>
      <c r="BQ1117" s="716"/>
      <c r="BR1117" s="716"/>
      <c r="BS1117" s="716"/>
      <c r="BT1117" s="716"/>
      <c r="BU1117" s="716"/>
      <c r="BV1117" s="716"/>
      <c r="BW1117" s="716"/>
      <c r="BX1117" s="716"/>
      <c r="BY1117" s="716"/>
      <c r="BZ1117" s="716"/>
      <c r="CA1117" s="716"/>
    </row>
    <row r="1118" spans="1:79" s="308" customFormat="1" hidden="1" outlineLevel="1" x14ac:dyDescent="0.25">
      <c r="A1118" s="656"/>
      <c r="B1118" s="571"/>
      <c r="C1118" s="571"/>
      <c r="D1118" s="571"/>
      <c r="E1118" s="570" t="s">
        <v>11</v>
      </c>
      <c r="F1118" s="656" t="s">
        <v>612</v>
      </c>
      <c r="G1118" s="719"/>
      <c r="H1118" s="719"/>
      <c r="I1118" s="719"/>
      <c r="J1118" s="719"/>
      <c r="K1118" s="719"/>
      <c r="L1118" s="719"/>
      <c r="M1118" s="719"/>
      <c r="N1118" s="719"/>
      <c r="O1118" s="719"/>
      <c r="P1118" s="716"/>
      <c r="Q1118" s="716"/>
      <c r="R1118" s="716"/>
      <c r="S1118" s="676">
        <v>0</v>
      </c>
      <c r="T1118" s="676">
        <v>0</v>
      </c>
      <c r="U1118" s="676">
        <v>0</v>
      </c>
      <c r="V1118" s="676">
        <v>0</v>
      </c>
      <c r="W1118" s="676">
        <v>0</v>
      </c>
      <c r="X1118" s="676">
        <v>0</v>
      </c>
      <c r="Y1118" s="676">
        <v>0</v>
      </c>
      <c r="Z1118" s="676">
        <v>0</v>
      </c>
      <c r="AA1118" s="676">
        <v>0</v>
      </c>
      <c r="AB1118" s="676">
        <v>0</v>
      </c>
      <c r="AC1118" s="676">
        <v>0</v>
      </c>
      <c r="AD1118" s="676">
        <v>0</v>
      </c>
      <c r="AE1118" s="676">
        <v>0</v>
      </c>
      <c r="AF1118" s="676">
        <v>0</v>
      </c>
      <c r="AG1118" s="676">
        <v>0</v>
      </c>
      <c r="AH1118" s="716"/>
      <c r="AI1118" s="716"/>
      <c r="AJ1118" s="716"/>
      <c r="AK1118" s="716"/>
      <c r="AL1118" s="716"/>
      <c r="AM1118" s="716"/>
      <c r="AN1118" s="716"/>
      <c r="AO1118" s="716"/>
      <c r="AP1118" s="716"/>
      <c r="AQ1118" s="716"/>
      <c r="AR1118" s="716"/>
      <c r="AS1118" s="716"/>
      <c r="AT1118" s="716"/>
      <c r="AU1118" s="716"/>
      <c r="AV1118" s="716"/>
      <c r="AW1118" s="716"/>
      <c r="AX1118" s="716"/>
      <c r="AY1118" s="716"/>
      <c r="AZ1118" s="716"/>
      <c r="BA1118" s="716"/>
      <c r="BB1118" s="716"/>
      <c r="BC1118" s="716"/>
      <c r="BD1118" s="716"/>
      <c r="BE1118" s="716"/>
      <c r="BF1118" s="716"/>
      <c r="BG1118" s="716"/>
      <c r="BH1118" s="716"/>
      <c r="BI1118" s="716"/>
      <c r="BJ1118" s="716"/>
      <c r="BK1118" s="716"/>
      <c r="BL1118" s="716"/>
      <c r="BM1118" s="716"/>
      <c r="BN1118" s="716"/>
      <c r="BO1118" s="716"/>
      <c r="BP1118" s="716"/>
      <c r="BQ1118" s="716"/>
      <c r="BR1118" s="716"/>
      <c r="BS1118" s="716"/>
      <c r="BT1118" s="716"/>
      <c r="BU1118" s="716"/>
      <c r="BV1118" s="716"/>
      <c r="BW1118" s="716"/>
      <c r="BX1118" s="716"/>
      <c r="BY1118" s="716"/>
      <c r="BZ1118" s="716"/>
      <c r="CA1118" s="716"/>
    </row>
    <row r="1119" spans="1:79" s="308" customFormat="1" hidden="1" outlineLevel="1" x14ac:dyDescent="0.25">
      <c r="A1119" s="656"/>
      <c r="B1119" s="571"/>
      <c r="C1119" s="571"/>
      <c r="D1119" s="571"/>
      <c r="E1119" s="570" t="s">
        <v>1337</v>
      </c>
      <c r="F1119" s="656" t="s">
        <v>886</v>
      </c>
      <c r="G1119" s="719"/>
      <c r="H1119" s="719"/>
      <c r="I1119" s="719"/>
      <c r="J1119" s="719"/>
      <c r="K1119" s="719"/>
      <c r="L1119" s="719"/>
      <c r="M1119" s="719"/>
      <c r="N1119" s="719"/>
      <c r="O1119" s="719"/>
      <c r="P1119" s="716"/>
      <c r="Q1119" s="716"/>
      <c r="R1119" s="716"/>
      <c r="S1119" s="676">
        <v>0</v>
      </c>
      <c r="T1119" s="676">
        <v>0</v>
      </c>
      <c r="U1119" s="676">
        <v>0</v>
      </c>
      <c r="V1119" s="676">
        <v>0</v>
      </c>
      <c r="W1119" s="676">
        <v>0</v>
      </c>
      <c r="X1119" s="676">
        <v>0</v>
      </c>
      <c r="Y1119" s="676">
        <v>0</v>
      </c>
      <c r="Z1119" s="676">
        <v>0</v>
      </c>
      <c r="AA1119" s="676">
        <v>0</v>
      </c>
      <c r="AB1119" s="676">
        <v>0</v>
      </c>
      <c r="AC1119" s="676">
        <v>0</v>
      </c>
      <c r="AD1119" s="676">
        <v>0</v>
      </c>
      <c r="AE1119" s="676">
        <v>0</v>
      </c>
      <c r="AF1119" s="676">
        <v>0</v>
      </c>
      <c r="AG1119" s="676">
        <v>0</v>
      </c>
      <c r="AH1119" s="716"/>
      <c r="AI1119" s="716"/>
      <c r="AJ1119" s="716"/>
      <c r="AK1119" s="716"/>
      <c r="AL1119" s="716"/>
      <c r="AM1119" s="716"/>
      <c r="AN1119" s="716"/>
      <c r="AO1119" s="716"/>
      <c r="AP1119" s="716"/>
      <c r="AQ1119" s="716"/>
      <c r="AR1119" s="716"/>
      <c r="AS1119" s="716"/>
      <c r="AT1119" s="716"/>
      <c r="AU1119" s="716"/>
      <c r="AV1119" s="716"/>
      <c r="AW1119" s="716"/>
      <c r="AX1119" s="716"/>
      <c r="AY1119" s="716"/>
      <c r="AZ1119" s="716"/>
      <c r="BA1119" s="716"/>
      <c r="BB1119" s="716"/>
      <c r="BC1119" s="716"/>
      <c r="BD1119" s="716"/>
      <c r="BE1119" s="716"/>
      <c r="BF1119" s="716"/>
      <c r="BG1119" s="716"/>
      <c r="BH1119" s="716"/>
      <c r="BI1119" s="716"/>
      <c r="BJ1119" s="716"/>
      <c r="BK1119" s="716"/>
      <c r="BL1119" s="716"/>
      <c r="BM1119" s="716"/>
      <c r="BN1119" s="716"/>
      <c r="BO1119" s="716"/>
      <c r="BP1119" s="716"/>
      <c r="BQ1119" s="716"/>
      <c r="BR1119" s="716"/>
      <c r="BS1119" s="716"/>
      <c r="BT1119" s="716"/>
      <c r="BU1119" s="716"/>
      <c r="BV1119" s="716"/>
      <c r="BW1119" s="716"/>
      <c r="BX1119" s="716"/>
      <c r="BY1119" s="716"/>
      <c r="BZ1119" s="716"/>
      <c r="CA1119" s="716"/>
    </row>
    <row r="1120" spans="1:79" s="308" customFormat="1" hidden="1" outlineLevel="1" x14ac:dyDescent="0.25">
      <c r="A1120" s="656"/>
      <c r="B1120" s="571"/>
      <c r="C1120" s="571"/>
      <c r="D1120" s="571"/>
      <c r="E1120" s="570" t="s">
        <v>986</v>
      </c>
      <c r="F1120" s="656" t="s">
        <v>763</v>
      </c>
      <c r="G1120" s="719"/>
      <c r="H1120" s="719"/>
      <c r="I1120" s="719"/>
      <c r="J1120" s="719"/>
      <c r="K1120" s="719"/>
      <c r="L1120" s="719"/>
      <c r="M1120" s="719"/>
      <c r="N1120" s="719"/>
      <c r="O1120" s="719"/>
      <c r="P1120" s="716"/>
      <c r="Q1120" s="716"/>
      <c r="R1120" s="716"/>
      <c r="S1120" s="676">
        <v>0</v>
      </c>
      <c r="T1120" s="676">
        <v>0</v>
      </c>
      <c r="U1120" s="676">
        <v>0</v>
      </c>
      <c r="V1120" s="676">
        <v>0</v>
      </c>
      <c r="W1120" s="676">
        <v>0</v>
      </c>
      <c r="X1120" s="676">
        <v>0</v>
      </c>
      <c r="Y1120" s="676">
        <v>0</v>
      </c>
      <c r="Z1120" s="676">
        <v>0</v>
      </c>
      <c r="AA1120" s="676">
        <v>0</v>
      </c>
      <c r="AB1120" s="676">
        <v>0</v>
      </c>
      <c r="AC1120" s="676">
        <v>0</v>
      </c>
      <c r="AD1120" s="676">
        <v>0</v>
      </c>
      <c r="AE1120" s="676">
        <v>0</v>
      </c>
      <c r="AF1120" s="676">
        <v>0</v>
      </c>
      <c r="AG1120" s="676">
        <v>0</v>
      </c>
      <c r="AH1120" s="716"/>
      <c r="AI1120" s="716"/>
      <c r="AJ1120" s="716"/>
      <c r="AK1120" s="716"/>
      <c r="AL1120" s="716"/>
      <c r="AM1120" s="716"/>
      <c r="AN1120" s="716"/>
      <c r="AO1120" s="716"/>
      <c r="AP1120" s="716"/>
      <c r="AQ1120" s="716"/>
      <c r="AR1120" s="716"/>
      <c r="AS1120" s="716"/>
      <c r="AT1120" s="716"/>
      <c r="AU1120" s="716"/>
      <c r="AV1120" s="716"/>
      <c r="AW1120" s="716"/>
      <c r="AX1120" s="716"/>
      <c r="AY1120" s="716"/>
      <c r="AZ1120" s="716"/>
      <c r="BA1120" s="716"/>
      <c r="BB1120" s="716"/>
      <c r="BC1120" s="716"/>
      <c r="BD1120" s="716"/>
      <c r="BE1120" s="716"/>
      <c r="BF1120" s="716"/>
      <c r="BG1120" s="716"/>
      <c r="BH1120" s="716"/>
      <c r="BI1120" s="716"/>
      <c r="BJ1120" s="716"/>
      <c r="BK1120" s="716"/>
      <c r="BL1120" s="716"/>
      <c r="BM1120" s="716"/>
      <c r="BN1120" s="716"/>
      <c r="BO1120" s="716"/>
      <c r="BP1120" s="716"/>
      <c r="BQ1120" s="716"/>
      <c r="BR1120" s="716"/>
      <c r="BS1120" s="716"/>
      <c r="BT1120" s="716"/>
      <c r="BU1120" s="716"/>
      <c r="BV1120" s="716"/>
      <c r="BW1120" s="716"/>
      <c r="BX1120" s="716"/>
      <c r="BY1120" s="716"/>
      <c r="BZ1120" s="716"/>
      <c r="CA1120" s="716"/>
    </row>
    <row r="1121" spans="1:79" s="308" customFormat="1" hidden="1" outlineLevel="1" x14ac:dyDescent="0.25">
      <c r="A1121" s="656"/>
      <c r="B1121" s="571"/>
      <c r="C1121" s="571"/>
      <c r="D1121" s="571"/>
      <c r="E1121" s="570" t="s">
        <v>986</v>
      </c>
      <c r="F1121" s="656" t="s">
        <v>779</v>
      </c>
      <c r="G1121" s="719"/>
      <c r="H1121" s="719"/>
      <c r="I1121" s="719"/>
      <c r="J1121" s="719"/>
      <c r="K1121" s="719"/>
      <c r="L1121" s="719"/>
      <c r="M1121" s="719"/>
      <c r="N1121" s="719"/>
      <c r="O1121" s="719"/>
      <c r="P1121" s="716"/>
      <c r="Q1121" s="716"/>
      <c r="R1121" s="716"/>
      <c r="S1121" s="676">
        <v>0</v>
      </c>
      <c r="T1121" s="676">
        <v>0</v>
      </c>
      <c r="U1121" s="676">
        <v>0</v>
      </c>
      <c r="V1121" s="676">
        <v>0</v>
      </c>
      <c r="W1121" s="676">
        <v>0</v>
      </c>
      <c r="X1121" s="676">
        <v>0</v>
      </c>
      <c r="Y1121" s="676">
        <v>0</v>
      </c>
      <c r="Z1121" s="676">
        <v>0</v>
      </c>
      <c r="AA1121" s="676">
        <v>0</v>
      </c>
      <c r="AB1121" s="676">
        <v>0</v>
      </c>
      <c r="AC1121" s="676">
        <v>0</v>
      </c>
      <c r="AD1121" s="676">
        <v>0</v>
      </c>
      <c r="AE1121" s="676">
        <v>0</v>
      </c>
      <c r="AF1121" s="676">
        <v>0</v>
      </c>
      <c r="AG1121" s="676">
        <v>0</v>
      </c>
      <c r="AH1121" s="716"/>
      <c r="AI1121" s="716"/>
      <c r="AJ1121" s="716"/>
      <c r="AK1121" s="716"/>
      <c r="AL1121" s="716"/>
      <c r="AM1121" s="716"/>
      <c r="AN1121" s="716"/>
      <c r="AO1121" s="716"/>
      <c r="AP1121" s="716"/>
      <c r="AQ1121" s="716"/>
      <c r="AR1121" s="716"/>
      <c r="AS1121" s="716"/>
      <c r="AT1121" s="716"/>
      <c r="AU1121" s="716"/>
      <c r="AV1121" s="716"/>
      <c r="AW1121" s="716"/>
      <c r="AX1121" s="716"/>
      <c r="AY1121" s="716"/>
      <c r="AZ1121" s="716"/>
      <c r="BA1121" s="716"/>
      <c r="BB1121" s="716"/>
      <c r="BC1121" s="716"/>
      <c r="BD1121" s="716"/>
      <c r="BE1121" s="716"/>
      <c r="BF1121" s="716"/>
      <c r="BG1121" s="716"/>
      <c r="BH1121" s="716"/>
      <c r="BI1121" s="716"/>
      <c r="BJ1121" s="716"/>
      <c r="BK1121" s="716"/>
      <c r="BL1121" s="716"/>
      <c r="BM1121" s="716"/>
      <c r="BN1121" s="716"/>
      <c r="BO1121" s="716"/>
      <c r="BP1121" s="716"/>
      <c r="BQ1121" s="716"/>
      <c r="BR1121" s="716"/>
      <c r="BS1121" s="716"/>
      <c r="BT1121" s="716"/>
      <c r="BU1121" s="716"/>
      <c r="BV1121" s="716"/>
      <c r="BW1121" s="716"/>
      <c r="BX1121" s="716"/>
      <c r="BY1121" s="716"/>
      <c r="BZ1121" s="716"/>
      <c r="CA1121" s="716"/>
    </row>
    <row r="1122" spans="1:79" s="308" customFormat="1" hidden="1" outlineLevel="1" x14ac:dyDescent="0.25">
      <c r="A1122" s="656"/>
      <c r="B1122" s="571"/>
      <c r="C1122" s="571"/>
      <c r="D1122" s="571"/>
      <c r="E1122" s="570" t="s">
        <v>1270</v>
      </c>
      <c r="F1122" s="656" t="s">
        <v>613</v>
      </c>
      <c r="G1122" s="719"/>
      <c r="H1122" s="719"/>
      <c r="I1122" s="719"/>
      <c r="J1122" s="719"/>
      <c r="K1122" s="719"/>
      <c r="L1122" s="719"/>
      <c r="M1122" s="719"/>
      <c r="N1122" s="719"/>
      <c r="O1122" s="719"/>
      <c r="P1122" s="716"/>
      <c r="Q1122" s="716"/>
      <c r="R1122" s="716"/>
      <c r="S1122" s="676">
        <v>0</v>
      </c>
      <c r="T1122" s="676">
        <v>0</v>
      </c>
      <c r="U1122" s="676">
        <v>0</v>
      </c>
      <c r="V1122" s="676">
        <v>0</v>
      </c>
      <c r="W1122" s="676">
        <v>0</v>
      </c>
      <c r="X1122" s="676">
        <v>0</v>
      </c>
      <c r="Y1122" s="676">
        <v>0</v>
      </c>
      <c r="Z1122" s="676">
        <v>0</v>
      </c>
      <c r="AA1122" s="676">
        <v>0</v>
      </c>
      <c r="AB1122" s="676">
        <v>0</v>
      </c>
      <c r="AC1122" s="676">
        <v>0</v>
      </c>
      <c r="AD1122" s="676">
        <v>0</v>
      </c>
      <c r="AE1122" s="676">
        <v>0</v>
      </c>
      <c r="AF1122" s="676">
        <v>0</v>
      </c>
      <c r="AG1122" s="676">
        <v>0</v>
      </c>
      <c r="AH1122" s="716"/>
      <c r="AI1122" s="716"/>
      <c r="AJ1122" s="716"/>
      <c r="AK1122" s="716"/>
      <c r="AL1122" s="716"/>
      <c r="AM1122" s="716"/>
      <c r="AN1122" s="716"/>
      <c r="AO1122" s="716"/>
      <c r="AP1122" s="716"/>
      <c r="AQ1122" s="716"/>
      <c r="AR1122" s="716"/>
      <c r="AS1122" s="716"/>
      <c r="AT1122" s="716"/>
      <c r="AU1122" s="716"/>
      <c r="AV1122" s="716"/>
      <c r="AW1122" s="716"/>
      <c r="AX1122" s="716"/>
      <c r="AY1122" s="716"/>
      <c r="AZ1122" s="716"/>
      <c r="BA1122" s="716"/>
      <c r="BB1122" s="716"/>
      <c r="BC1122" s="716"/>
      <c r="BD1122" s="716"/>
      <c r="BE1122" s="716"/>
      <c r="BF1122" s="716"/>
      <c r="BG1122" s="716"/>
      <c r="BH1122" s="716"/>
      <c r="BI1122" s="716"/>
      <c r="BJ1122" s="716"/>
      <c r="BK1122" s="716"/>
      <c r="BL1122" s="716"/>
      <c r="BM1122" s="716"/>
      <c r="BN1122" s="716"/>
      <c r="BO1122" s="716"/>
      <c r="BP1122" s="716"/>
      <c r="BQ1122" s="716"/>
      <c r="BR1122" s="716"/>
      <c r="BS1122" s="716"/>
      <c r="BT1122" s="716"/>
      <c r="BU1122" s="716"/>
      <c r="BV1122" s="716"/>
      <c r="BW1122" s="716"/>
      <c r="BX1122" s="716"/>
      <c r="BY1122" s="716"/>
      <c r="BZ1122" s="716"/>
      <c r="CA1122" s="716"/>
    </row>
    <row r="1123" spans="1:79" s="308" customFormat="1" hidden="1" outlineLevel="1" x14ac:dyDescent="0.25">
      <c r="A1123" s="656"/>
      <c r="B1123" s="571"/>
      <c r="C1123" s="571"/>
      <c r="D1123" s="571"/>
      <c r="E1123" s="570" t="s">
        <v>1350</v>
      </c>
      <c r="F1123" s="656" t="s">
        <v>614</v>
      </c>
      <c r="G1123" s="719"/>
      <c r="H1123" s="719"/>
      <c r="I1123" s="719"/>
      <c r="J1123" s="719"/>
      <c r="K1123" s="719"/>
      <c r="L1123" s="719"/>
      <c r="M1123" s="719"/>
      <c r="N1123" s="719"/>
      <c r="O1123" s="719"/>
      <c r="P1123" s="716"/>
      <c r="Q1123" s="716"/>
      <c r="R1123" s="716"/>
      <c r="S1123" s="676">
        <v>0</v>
      </c>
      <c r="T1123" s="676">
        <v>0</v>
      </c>
      <c r="U1123" s="676">
        <v>0</v>
      </c>
      <c r="V1123" s="676">
        <v>0</v>
      </c>
      <c r="W1123" s="676">
        <v>0</v>
      </c>
      <c r="X1123" s="676">
        <v>0</v>
      </c>
      <c r="Y1123" s="676">
        <v>0</v>
      </c>
      <c r="Z1123" s="676">
        <v>0</v>
      </c>
      <c r="AA1123" s="676">
        <v>0</v>
      </c>
      <c r="AB1123" s="676">
        <v>0</v>
      </c>
      <c r="AC1123" s="676">
        <v>0</v>
      </c>
      <c r="AD1123" s="676">
        <v>0</v>
      </c>
      <c r="AE1123" s="676">
        <v>0</v>
      </c>
      <c r="AF1123" s="676">
        <v>0</v>
      </c>
      <c r="AG1123" s="676">
        <v>0</v>
      </c>
      <c r="AH1123" s="716"/>
      <c r="AI1123" s="716"/>
      <c r="AJ1123" s="716"/>
      <c r="AK1123" s="716"/>
      <c r="AL1123" s="716"/>
      <c r="AM1123" s="716"/>
      <c r="AN1123" s="716"/>
      <c r="AO1123" s="716"/>
      <c r="AP1123" s="716"/>
      <c r="AQ1123" s="716"/>
      <c r="AR1123" s="716"/>
      <c r="AS1123" s="716"/>
      <c r="AT1123" s="716"/>
      <c r="AU1123" s="716"/>
      <c r="AV1123" s="716"/>
      <c r="AW1123" s="716"/>
      <c r="AX1123" s="716"/>
      <c r="AY1123" s="716"/>
      <c r="AZ1123" s="716"/>
      <c r="BA1123" s="716"/>
      <c r="BB1123" s="716"/>
      <c r="BC1123" s="716"/>
      <c r="BD1123" s="716"/>
      <c r="BE1123" s="716"/>
      <c r="BF1123" s="716"/>
      <c r="BG1123" s="716"/>
      <c r="BH1123" s="716"/>
      <c r="BI1123" s="716"/>
      <c r="BJ1123" s="716"/>
      <c r="BK1123" s="716"/>
      <c r="BL1123" s="716"/>
      <c r="BM1123" s="716"/>
      <c r="BN1123" s="716"/>
      <c r="BO1123" s="716"/>
      <c r="BP1123" s="716"/>
      <c r="BQ1123" s="716"/>
      <c r="BR1123" s="716"/>
      <c r="BS1123" s="716"/>
      <c r="BT1123" s="716"/>
      <c r="BU1123" s="716"/>
      <c r="BV1123" s="716"/>
      <c r="BW1123" s="716"/>
      <c r="BX1123" s="716"/>
      <c r="BY1123" s="716"/>
      <c r="BZ1123" s="716"/>
      <c r="CA1123" s="716"/>
    </row>
    <row r="1124" spans="1:79" s="308" customFormat="1" hidden="1" outlineLevel="1" x14ac:dyDescent="0.25">
      <c r="A1124" s="656"/>
      <c r="B1124" s="571"/>
      <c r="C1124" s="571"/>
      <c r="D1124" s="571"/>
      <c r="E1124" s="570" t="s">
        <v>11</v>
      </c>
      <c r="F1124" s="656" t="s">
        <v>615</v>
      </c>
      <c r="G1124" s="719"/>
      <c r="H1124" s="719"/>
      <c r="I1124" s="719"/>
      <c r="J1124" s="719"/>
      <c r="K1124" s="719"/>
      <c r="L1124" s="719"/>
      <c r="M1124" s="719"/>
      <c r="N1124" s="719"/>
      <c r="O1124" s="719"/>
      <c r="P1124" s="716"/>
      <c r="Q1124" s="716"/>
      <c r="R1124" s="716"/>
      <c r="S1124" s="676">
        <v>0</v>
      </c>
      <c r="T1124" s="676">
        <v>0</v>
      </c>
      <c r="U1124" s="676">
        <v>0</v>
      </c>
      <c r="V1124" s="676">
        <v>0</v>
      </c>
      <c r="W1124" s="676">
        <v>0</v>
      </c>
      <c r="X1124" s="676">
        <v>0</v>
      </c>
      <c r="Y1124" s="676">
        <v>0</v>
      </c>
      <c r="Z1124" s="676">
        <v>0</v>
      </c>
      <c r="AA1124" s="676">
        <v>0</v>
      </c>
      <c r="AB1124" s="676">
        <v>0</v>
      </c>
      <c r="AC1124" s="676">
        <v>0</v>
      </c>
      <c r="AD1124" s="676">
        <v>0</v>
      </c>
      <c r="AE1124" s="676">
        <v>0</v>
      </c>
      <c r="AF1124" s="676">
        <v>0</v>
      </c>
      <c r="AG1124" s="676">
        <v>0</v>
      </c>
      <c r="AH1124" s="716"/>
      <c r="AI1124" s="716"/>
      <c r="AJ1124" s="716"/>
      <c r="AK1124" s="716"/>
      <c r="AL1124" s="716"/>
      <c r="AM1124" s="716"/>
      <c r="AN1124" s="716"/>
      <c r="AO1124" s="716"/>
      <c r="AP1124" s="716"/>
      <c r="AQ1124" s="716"/>
      <c r="AR1124" s="716"/>
      <c r="AS1124" s="716"/>
      <c r="AT1124" s="716"/>
      <c r="AU1124" s="716"/>
      <c r="AV1124" s="716"/>
      <c r="AW1124" s="716"/>
      <c r="AX1124" s="716"/>
      <c r="AY1124" s="716"/>
      <c r="AZ1124" s="716"/>
      <c r="BA1124" s="716"/>
      <c r="BB1124" s="716"/>
      <c r="BC1124" s="716"/>
      <c r="BD1124" s="716"/>
      <c r="BE1124" s="716"/>
      <c r="BF1124" s="716"/>
      <c r="BG1124" s="716"/>
      <c r="BH1124" s="716"/>
      <c r="BI1124" s="716"/>
      <c r="BJ1124" s="716"/>
      <c r="BK1124" s="716"/>
      <c r="BL1124" s="716"/>
      <c r="BM1124" s="716"/>
      <c r="BN1124" s="716"/>
      <c r="BO1124" s="716"/>
      <c r="BP1124" s="716"/>
      <c r="BQ1124" s="716"/>
      <c r="BR1124" s="716"/>
      <c r="BS1124" s="716"/>
      <c r="BT1124" s="716"/>
      <c r="BU1124" s="716"/>
      <c r="BV1124" s="716"/>
      <c r="BW1124" s="716"/>
      <c r="BX1124" s="716"/>
      <c r="BY1124" s="716"/>
      <c r="BZ1124" s="716"/>
      <c r="CA1124" s="716"/>
    </row>
    <row r="1125" spans="1:79" s="308" customFormat="1" hidden="1" outlineLevel="1" x14ac:dyDescent="0.25">
      <c r="A1125" s="656"/>
      <c r="B1125" s="571"/>
      <c r="C1125" s="571"/>
      <c r="D1125" s="571"/>
      <c r="E1125" s="570" t="s">
        <v>1280</v>
      </c>
      <c r="F1125" s="656" t="s">
        <v>887</v>
      </c>
      <c r="G1125" s="719"/>
      <c r="H1125" s="719"/>
      <c r="I1125" s="719"/>
      <c r="J1125" s="719"/>
      <c r="K1125" s="719"/>
      <c r="L1125" s="719"/>
      <c r="M1125" s="719"/>
      <c r="N1125" s="719"/>
      <c r="O1125" s="719"/>
      <c r="P1125" s="716"/>
      <c r="Q1125" s="716"/>
      <c r="R1125" s="716"/>
      <c r="S1125" s="676">
        <v>0</v>
      </c>
      <c r="T1125" s="676">
        <v>0</v>
      </c>
      <c r="U1125" s="676">
        <v>0</v>
      </c>
      <c r="V1125" s="676">
        <v>0</v>
      </c>
      <c r="W1125" s="676">
        <v>0</v>
      </c>
      <c r="X1125" s="676">
        <v>0</v>
      </c>
      <c r="Y1125" s="676">
        <v>0</v>
      </c>
      <c r="Z1125" s="676">
        <v>0</v>
      </c>
      <c r="AA1125" s="676">
        <v>0</v>
      </c>
      <c r="AB1125" s="676">
        <v>0</v>
      </c>
      <c r="AC1125" s="676">
        <v>0</v>
      </c>
      <c r="AD1125" s="676">
        <v>0</v>
      </c>
      <c r="AE1125" s="676">
        <v>0</v>
      </c>
      <c r="AF1125" s="676">
        <v>0</v>
      </c>
      <c r="AG1125" s="676">
        <v>0</v>
      </c>
      <c r="AH1125" s="716"/>
      <c r="AI1125" s="716"/>
      <c r="AJ1125" s="716"/>
      <c r="AK1125" s="716"/>
      <c r="AL1125" s="716"/>
      <c r="AM1125" s="716"/>
      <c r="AN1125" s="716"/>
      <c r="AO1125" s="716"/>
      <c r="AP1125" s="716"/>
      <c r="AQ1125" s="716"/>
      <c r="AR1125" s="716"/>
      <c r="AS1125" s="716"/>
      <c r="AT1125" s="716"/>
      <c r="AU1125" s="716"/>
      <c r="AV1125" s="716"/>
      <c r="AW1125" s="716"/>
      <c r="AX1125" s="716"/>
      <c r="AY1125" s="716"/>
      <c r="AZ1125" s="716"/>
      <c r="BA1125" s="716"/>
      <c r="BB1125" s="716"/>
      <c r="BC1125" s="716"/>
      <c r="BD1125" s="716"/>
      <c r="BE1125" s="716"/>
      <c r="BF1125" s="716"/>
      <c r="BG1125" s="716"/>
      <c r="BH1125" s="716"/>
      <c r="BI1125" s="716"/>
      <c r="BJ1125" s="716"/>
      <c r="BK1125" s="716"/>
      <c r="BL1125" s="716"/>
      <c r="BM1125" s="716"/>
      <c r="BN1125" s="716"/>
      <c r="BO1125" s="716"/>
      <c r="BP1125" s="716"/>
      <c r="BQ1125" s="716"/>
      <c r="BR1125" s="716"/>
      <c r="BS1125" s="716"/>
      <c r="BT1125" s="716"/>
      <c r="BU1125" s="716"/>
      <c r="BV1125" s="716"/>
      <c r="BW1125" s="716"/>
      <c r="BX1125" s="716"/>
      <c r="BY1125" s="716"/>
      <c r="BZ1125" s="716"/>
      <c r="CA1125" s="716"/>
    </row>
    <row r="1126" spans="1:79" s="308" customFormat="1" hidden="1" outlineLevel="1" x14ac:dyDescent="0.25">
      <c r="A1126" s="656"/>
      <c r="B1126" s="571"/>
      <c r="C1126" s="571"/>
      <c r="D1126" s="571"/>
      <c r="E1126" s="570" t="s">
        <v>1337</v>
      </c>
      <c r="F1126" s="656" t="s">
        <v>616</v>
      </c>
      <c r="G1126" s="719"/>
      <c r="H1126" s="719"/>
      <c r="I1126" s="719"/>
      <c r="J1126" s="719"/>
      <c r="K1126" s="719"/>
      <c r="L1126" s="719"/>
      <c r="M1126" s="719"/>
      <c r="N1126" s="719"/>
      <c r="O1126" s="719"/>
      <c r="P1126" s="716"/>
      <c r="Q1126" s="716"/>
      <c r="R1126" s="716"/>
      <c r="S1126" s="676">
        <v>0</v>
      </c>
      <c r="T1126" s="676">
        <v>0</v>
      </c>
      <c r="U1126" s="676">
        <v>0</v>
      </c>
      <c r="V1126" s="676">
        <v>0</v>
      </c>
      <c r="W1126" s="676">
        <v>0</v>
      </c>
      <c r="X1126" s="676">
        <v>0</v>
      </c>
      <c r="Y1126" s="676">
        <v>0</v>
      </c>
      <c r="Z1126" s="676">
        <v>0</v>
      </c>
      <c r="AA1126" s="676">
        <v>0</v>
      </c>
      <c r="AB1126" s="676">
        <v>0</v>
      </c>
      <c r="AC1126" s="676">
        <v>0</v>
      </c>
      <c r="AD1126" s="676">
        <v>0</v>
      </c>
      <c r="AE1126" s="676">
        <v>0</v>
      </c>
      <c r="AF1126" s="676">
        <v>0</v>
      </c>
      <c r="AG1126" s="676">
        <v>0</v>
      </c>
      <c r="AH1126" s="716"/>
      <c r="AI1126" s="716"/>
      <c r="AJ1126" s="716"/>
      <c r="AK1126" s="716"/>
      <c r="AL1126" s="716"/>
      <c r="AM1126" s="716"/>
      <c r="AN1126" s="716"/>
      <c r="AO1126" s="716"/>
      <c r="AP1126" s="716"/>
      <c r="AQ1126" s="716"/>
      <c r="AR1126" s="716"/>
      <c r="AS1126" s="716"/>
      <c r="AT1126" s="716"/>
      <c r="AU1126" s="716"/>
      <c r="AV1126" s="716"/>
      <c r="AW1126" s="716"/>
      <c r="AX1126" s="716"/>
      <c r="AY1126" s="716"/>
      <c r="AZ1126" s="716"/>
      <c r="BA1126" s="716"/>
      <c r="BB1126" s="716"/>
      <c r="BC1126" s="716"/>
      <c r="BD1126" s="716"/>
      <c r="BE1126" s="716"/>
      <c r="BF1126" s="716"/>
      <c r="BG1126" s="716"/>
      <c r="BH1126" s="716"/>
      <c r="BI1126" s="716"/>
      <c r="BJ1126" s="716"/>
      <c r="BK1126" s="716"/>
      <c r="BL1126" s="716"/>
      <c r="BM1126" s="716"/>
      <c r="BN1126" s="716"/>
      <c r="BO1126" s="716"/>
      <c r="BP1126" s="716"/>
      <c r="BQ1126" s="716"/>
      <c r="BR1126" s="716"/>
      <c r="BS1126" s="716"/>
      <c r="BT1126" s="716"/>
      <c r="BU1126" s="716"/>
      <c r="BV1126" s="716"/>
      <c r="BW1126" s="716"/>
      <c r="BX1126" s="716"/>
      <c r="BY1126" s="716"/>
      <c r="BZ1126" s="716"/>
      <c r="CA1126" s="716"/>
    </row>
    <row r="1127" spans="1:79" s="308" customFormat="1" hidden="1" outlineLevel="1" x14ac:dyDescent="0.25">
      <c r="A1127" s="659"/>
      <c r="B1127" s="571"/>
      <c r="C1127" s="571"/>
      <c r="D1127" s="571"/>
      <c r="E1127" s="570" t="s">
        <v>49</v>
      </c>
      <c r="F1127" s="659" t="s">
        <v>617</v>
      </c>
      <c r="G1127" s="664">
        <f>SUM(G1110:G1126)</f>
        <v>0</v>
      </c>
      <c r="H1127" s="664">
        <f t="shared" ref="H1127:BO1127" si="466">SUM(H1110:H1126)</f>
        <v>0</v>
      </c>
      <c r="I1127" s="664">
        <f t="shared" si="466"/>
        <v>0</v>
      </c>
      <c r="J1127" s="664">
        <f t="shared" si="466"/>
        <v>0</v>
      </c>
      <c r="K1127" s="664">
        <f t="shared" si="466"/>
        <v>0</v>
      </c>
      <c r="L1127" s="664">
        <f t="shared" si="466"/>
        <v>0</v>
      </c>
      <c r="M1127" s="664">
        <f t="shared" si="466"/>
        <v>0</v>
      </c>
      <c r="N1127" s="664">
        <f t="shared" si="466"/>
        <v>0</v>
      </c>
      <c r="O1127" s="664">
        <f t="shared" si="466"/>
        <v>0</v>
      </c>
      <c r="P1127" s="664">
        <f t="shared" si="466"/>
        <v>0</v>
      </c>
      <c r="Q1127" s="664">
        <f t="shared" si="466"/>
        <v>0</v>
      </c>
      <c r="R1127" s="664">
        <f t="shared" si="466"/>
        <v>0</v>
      </c>
      <c r="S1127" s="678">
        <f t="shared" ref="S1127:AA1127" si="467">ROUND(SUM(S1109:S1126),5)</f>
        <v>0</v>
      </c>
      <c r="T1127" s="678">
        <f t="shared" si="467"/>
        <v>0</v>
      </c>
      <c r="U1127" s="678">
        <f t="shared" si="467"/>
        <v>0</v>
      </c>
      <c r="V1127" s="678">
        <f t="shared" si="467"/>
        <v>0</v>
      </c>
      <c r="W1127" s="678">
        <f t="shared" si="467"/>
        <v>0</v>
      </c>
      <c r="X1127" s="678">
        <f t="shared" si="467"/>
        <v>0</v>
      </c>
      <c r="Y1127" s="678">
        <f t="shared" si="467"/>
        <v>0</v>
      </c>
      <c r="Z1127" s="678">
        <f t="shared" si="467"/>
        <v>0</v>
      </c>
      <c r="AA1127" s="678">
        <f t="shared" si="467"/>
        <v>0</v>
      </c>
      <c r="AB1127" s="678">
        <f>ROUND(SUM(AB1109:AB1126),5)</f>
        <v>0</v>
      </c>
      <c r="AC1127" s="678">
        <f>ROUND(SUM(AC1109:AC1126),5)</f>
        <v>0</v>
      </c>
      <c r="AD1127" s="678">
        <f>ROUND(SUM(AD1109:AD1126),5)</f>
        <v>0</v>
      </c>
      <c r="AE1127" s="678">
        <f>ROUND(SUM(AE1109:AE1126),5)</f>
        <v>0</v>
      </c>
      <c r="AF1127" s="678">
        <f>ROUND(SUM(AF1109:AF1115)+SUM(AF1116:AF1118)+SUM(AF1119:AF1126),5)</f>
        <v>0</v>
      </c>
      <c r="AG1127" s="678">
        <f>ROUND(SUM(AG1109:AG1115)+SUM(AG1116:AG1118)+SUM(AG1119:AG1126),5)</f>
        <v>0</v>
      </c>
      <c r="AH1127" s="664">
        <f t="shared" si="466"/>
        <v>0</v>
      </c>
      <c r="AI1127" s="664">
        <f t="shared" si="466"/>
        <v>0</v>
      </c>
      <c r="AJ1127" s="664">
        <f t="shared" si="466"/>
        <v>0</v>
      </c>
      <c r="AK1127" s="664">
        <f t="shared" si="466"/>
        <v>0</v>
      </c>
      <c r="AL1127" s="664">
        <f t="shared" si="466"/>
        <v>0</v>
      </c>
      <c r="AM1127" s="664">
        <f t="shared" si="466"/>
        <v>0</v>
      </c>
      <c r="AN1127" s="664">
        <f t="shared" si="466"/>
        <v>0</v>
      </c>
      <c r="AO1127" s="664">
        <f t="shared" si="466"/>
        <v>0</v>
      </c>
      <c r="AP1127" s="664">
        <f t="shared" si="466"/>
        <v>0</v>
      </c>
      <c r="AQ1127" s="664">
        <f t="shared" si="466"/>
        <v>0</v>
      </c>
      <c r="AR1127" s="664">
        <f t="shared" si="466"/>
        <v>0</v>
      </c>
      <c r="AS1127" s="664">
        <f t="shared" si="466"/>
        <v>0</v>
      </c>
      <c r="AT1127" s="664">
        <f t="shared" si="466"/>
        <v>0</v>
      </c>
      <c r="AU1127" s="664">
        <f t="shared" si="466"/>
        <v>0</v>
      </c>
      <c r="AV1127" s="664">
        <f t="shared" si="466"/>
        <v>0</v>
      </c>
      <c r="AW1127" s="664">
        <f t="shared" si="466"/>
        <v>0</v>
      </c>
      <c r="AX1127" s="664">
        <f t="shared" si="466"/>
        <v>0</v>
      </c>
      <c r="AY1127" s="664">
        <f t="shared" si="466"/>
        <v>0</v>
      </c>
      <c r="AZ1127" s="664">
        <f t="shared" si="466"/>
        <v>0</v>
      </c>
      <c r="BA1127" s="664">
        <f t="shared" si="466"/>
        <v>0</v>
      </c>
      <c r="BB1127" s="664">
        <f t="shared" si="466"/>
        <v>0</v>
      </c>
      <c r="BC1127" s="664">
        <f t="shared" si="466"/>
        <v>0</v>
      </c>
      <c r="BD1127" s="664">
        <f t="shared" si="466"/>
        <v>0</v>
      </c>
      <c r="BE1127" s="664">
        <f t="shared" si="466"/>
        <v>0</v>
      </c>
      <c r="BF1127" s="664">
        <f t="shared" si="466"/>
        <v>0</v>
      </c>
      <c r="BG1127" s="664">
        <f t="shared" si="466"/>
        <v>0</v>
      </c>
      <c r="BH1127" s="664">
        <f t="shared" si="466"/>
        <v>0</v>
      </c>
      <c r="BI1127" s="664">
        <f t="shared" si="466"/>
        <v>0</v>
      </c>
      <c r="BJ1127" s="664">
        <f t="shared" si="466"/>
        <v>0</v>
      </c>
      <c r="BK1127" s="664">
        <f t="shared" si="466"/>
        <v>0</v>
      </c>
      <c r="BL1127" s="664">
        <f t="shared" si="466"/>
        <v>0</v>
      </c>
      <c r="BM1127" s="664">
        <f t="shared" si="466"/>
        <v>0</v>
      </c>
      <c r="BN1127" s="664">
        <f t="shared" si="466"/>
        <v>0</v>
      </c>
      <c r="BO1127" s="664">
        <f t="shared" si="466"/>
        <v>0</v>
      </c>
      <c r="BP1127" s="664">
        <f t="shared" ref="BP1127:CA1127" si="468">SUM(BP1110:BP1126)</f>
        <v>0</v>
      </c>
      <c r="BQ1127" s="664">
        <f t="shared" si="468"/>
        <v>0</v>
      </c>
      <c r="BR1127" s="664">
        <f t="shared" si="468"/>
        <v>0</v>
      </c>
      <c r="BS1127" s="664">
        <f t="shared" si="468"/>
        <v>0</v>
      </c>
      <c r="BT1127" s="664">
        <f t="shared" si="468"/>
        <v>0</v>
      </c>
      <c r="BU1127" s="664">
        <f t="shared" si="468"/>
        <v>0</v>
      </c>
      <c r="BV1127" s="664">
        <f t="shared" si="468"/>
        <v>0</v>
      </c>
      <c r="BW1127" s="664">
        <f t="shared" si="468"/>
        <v>0</v>
      </c>
      <c r="BX1127" s="664">
        <f t="shared" si="468"/>
        <v>0</v>
      </c>
      <c r="BY1127" s="664">
        <f t="shared" si="468"/>
        <v>0</v>
      </c>
      <c r="BZ1127" s="664">
        <f t="shared" si="468"/>
        <v>0</v>
      </c>
      <c r="CA1127" s="664">
        <f t="shared" si="468"/>
        <v>0</v>
      </c>
    </row>
    <row r="1128" spans="1:79" s="710" customFormat="1" hidden="1" outlineLevel="1" x14ac:dyDescent="0.25">
      <c r="A1128" s="691"/>
      <c r="E1128" s="570" t="s">
        <v>1338</v>
      </c>
      <c r="F1128" s="691" t="s">
        <v>594</v>
      </c>
      <c r="G1128" s="733"/>
      <c r="H1128" s="733"/>
      <c r="I1128" s="733"/>
      <c r="J1128" s="733"/>
      <c r="K1128" s="733"/>
      <c r="L1128" s="733"/>
      <c r="M1128" s="733"/>
      <c r="N1128" s="733"/>
      <c r="O1128" s="733"/>
      <c r="P1128" s="734"/>
      <c r="Q1128" s="734"/>
      <c r="R1128" s="734"/>
      <c r="S1128" s="708"/>
      <c r="T1128" s="708"/>
      <c r="U1128" s="708"/>
      <c r="V1128" s="708"/>
      <c r="W1128" s="708"/>
      <c r="X1128" s="708"/>
      <c r="Y1128" s="708"/>
      <c r="Z1128" s="708"/>
      <c r="AA1128" s="708"/>
      <c r="AB1128" s="708"/>
      <c r="AC1128" s="708"/>
      <c r="AD1128" s="708"/>
      <c r="AE1128" s="708"/>
      <c r="AF1128" s="708"/>
      <c r="AG1128" s="708"/>
      <c r="AH1128" s="734"/>
      <c r="AI1128" s="734"/>
      <c r="AJ1128" s="734"/>
      <c r="AK1128" s="734"/>
      <c r="AL1128" s="734"/>
      <c r="AM1128" s="734"/>
      <c r="AN1128" s="734"/>
      <c r="AO1128" s="734"/>
      <c r="AP1128" s="734"/>
      <c r="AQ1128" s="734"/>
      <c r="AR1128" s="734"/>
      <c r="AS1128" s="734"/>
      <c r="AT1128" s="734"/>
      <c r="AU1128" s="734"/>
      <c r="AV1128" s="734"/>
      <c r="AW1128" s="734"/>
      <c r="AX1128" s="734"/>
      <c r="AY1128" s="734"/>
      <c r="AZ1128" s="734"/>
      <c r="BA1128" s="734"/>
      <c r="BB1128" s="734"/>
      <c r="BC1128" s="734"/>
      <c r="BD1128" s="734"/>
      <c r="BE1128" s="734"/>
      <c r="BF1128" s="734"/>
      <c r="BG1128" s="734"/>
      <c r="BH1128" s="734"/>
      <c r="BI1128" s="734"/>
      <c r="BJ1128" s="734"/>
      <c r="BK1128" s="734"/>
      <c r="BL1128" s="734"/>
      <c r="BM1128" s="734"/>
      <c r="BN1128" s="734"/>
      <c r="BO1128" s="734"/>
      <c r="BP1128" s="734"/>
      <c r="BQ1128" s="734"/>
      <c r="BR1128" s="734"/>
      <c r="BS1128" s="734"/>
      <c r="BT1128" s="734"/>
      <c r="BU1128" s="734"/>
      <c r="BV1128" s="734"/>
      <c r="BW1128" s="734"/>
      <c r="BX1128" s="734"/>
      <c r="BY1128" s="734"/>
      <c r="BZ1128" s="734"/>
      <c r="CA1128" s="734"/>
    </row>
    <row r="1129" spans="1:79" s="308" customFormat="1" hidden="1" outlineLevel="1" x14ac:dyDescent="0.25">
      <c r="A1129" s="656"/>
      <c r="B1129" s="571"/>
      <c r="C1129" s="571"/>
      <c r="D1129" s="571"/>
      <c r="E1129" s="570" t="s">
        <v>1338</v>
      </c>
      <c r="F1129" s="656" t="s">
        <v>888</v>
      </c>
      <c r="G1129" s="719"/>
      <c r="H1129" s="719"/>
      <c r="I1129" s="719"/>
      <c r="J1129" s="719"/>
      <c r="K1129" s="719"/>
      <c r="L1129" s="719"/>
      <c r="M1129" s="719"/>
      <c r="N1129" s="719"/>
      <c r="O1129" s="719"/>
      <c r="P1129" s="716"/>
      <c r="Q1129" s="716"/>
      <c r="R1129" s="716"/>
      <c r="S1129" s="684">
        <v>0</v>
      </c>
      <c r="T1129" s="684">
        <v>0</v>
      </c>
      <c r="U1129" s="684">
        <v>0</v>
      </c>
      <c r="V1129" s="684">
        <v>0</v>
      </c>
      <c r="W1129" s="684">
        <v>0</v>
      </c>
      <c r="X1129" s="684">
        <v>0</v>
      </c>
      <c r="Y1129" s="684">
        <v>0</v>
      </c>
      <c r="Z1129" s="684">
        <v>0</v>
      </c>
      <c r="AA1129" s="684">
        <v>0</v>
      </c>
      <c r="AB1129" s="684">
        <v>0</v>
      </c>
      <c r="AC1129" s="684">
        <v>0</v>
      </c>
      <c r="AD1129" s="684">
        <v>0</v>
      </c>
      <c r="AE1129" s="684">
        <v>0</v>
      </c>
      <c r="AF1129" s="684">
        <v>0</v>
      </c>
      <c r="AG1129" s="684">
        <v>0</v>
      </c>
      <c r="AH1129" s="716"/>
      <c r="AI1129" s="716"/>
      <c r="AJ1129" s="716"/>
      <c r="AK1129" s="716"/>
      <c r="AL1129" s="716"/>
      <c r="AM1129" s="716"/>
      <c r="AN1129" s="716"/>
      <c r="AO1129" s="716"/>
      <c r="AP1129" s="716"/>
      <c r="AQ1129" s="716"/>
      <c r="AR1129" s="716"/>
      <c r="AS1129" s="716"/>
      <c r="AT1129" s="716"/>
      <c r="AU1129" s="716"/>
      <c r="AV1129" s="716"/>
      <c r="AW1129" s="716"/>
      <c r="AX1129" s="716"/>
      <c r="AY1129" s="716"/>
      <c r="AZ1129" s="716"/>
      <c r="BA1129" s="716"/>
      <c r="BB1129" s="716"/>
      <c r="BC1129" s="716"/>
      <c r="BD1129" s="716"/>
      <c r="BE1129" s="716"/>
      <c r="BF1129" s="716"/>
      <c r="BG1129" s="716"/>
      <c r="BH1129" s="716"/>
      <c r="BI1129" s="716"/>
      <c r="BJ1129" s="716"/>
      <c r="BK1129" s="716"/>
      <c r="BL1129" s="716"/>
      <c r="BM1129" s="716"/>
      <c r="BN1129" s="716"/>
      <c r="BO1129" s="716"/>
      <c r="BP1129" s="716"/>
      <c r="BQ1129" s="716"/>
      <c r="BR1129" s="716"/>
      <c r="BS1129" s="716"/>
      <c r="BT1129" s="716"/>
      <c r="BU1129" s="716"/>
      <c r="BV1129" s="716"/>
      <c r="BW1129" s="716"/>
      <c r="BX1129" s="716"/>
      <c r="BY1129" s="716"/>
      <c r="BZ1129" s="716"/>
      <c r="CA1129" s="716"/>
    </row>
    <row r="1130" spans="1:79" s="308" customFormat="1" hidden="1" outlineLevel="1" x14ac:dyDescent="0.25">
      <c r="A1130" s="656"/>
      <c r="B1130" s="571"/>
      <c r="C1130" s="571"/>
      <c r="D1130" s="571"/>
      <c r="E1130" s="570" t="s">
        <v>1338</v>
      </c>
      <c r="F1130" s="656" t="s">
        <v>618</v>
      </c>
      <c r="G1130" s="719"/>
      <c r="H1130" s="719"/>
      <c r="I1130" s="719"/>
      <c r="J1130" s="719"/>
      <c r="K1130" s="719"/>
      <c r="L1130" s="719"/>
      <c r="M1130" s="719"/>
      <c r="N1130" s="719"/>
      <c r="O1130" s="719"/>
      <c r="P1130" s="716"/>
      <c r="Q1130" s="716"/>
      <c r="R1130" s="716"/>
      <c r="S1130" s="667">
        <v>0</v>
      </c>
      <c r="T1130" s="667">
        <v>0</v>
      </c>
      <c r="U1130" s="667">
        <v>0</v>
      </c>
      <c r="V1130" s="667">
        <v>0</v>
      </c>
      <c r="W1130" s="667">
        <v>0</v>
      </c>
      <c r="X1130" s="667">
        <v>0</v>
      </c>
      <c r="Y1130" s="667">
        <v>0</v>
      </c>
      <c r="Z1130" s="667">
        <v>0</v>
      </c>
      <c r="AA1130" s="667">
        <v>0</v>
      </c>
      <c r="AB1130" s="667">
        <v>31.76</v>
      </c>
      <c r="AC1130" s="667">
        <v>0</v>
      </c>
      <c r="AD1130" s="667">
        <v>0</v>
      </c>
      <c r="AE1130" s="667">
        <v>0</v>
      </c>
      <c r="AF1130" s="667">
        <v>0</v>
      </c>
      <c r="AG1130" s="667">
        <v>0</v>
      </c>
      <c r="AH1130" s="716"/>
      <c r="AI1130" s="716"/>
      <c r="AJ1130" s="716"/>
      <c r="AK1130" s="716"/>
      <c r="AL1130" s="716"/>
      <c r="AM1130" s="716"/>
      <c r="AN1130" s="716"/>
      <c r="AO1130" s="716"/>
      <c r="AP1130" s="716"/>
      <c r="AQ1130" s="716"/>
      <c r="AR1130" s="716"/>
      <c r="AS1130" s="716"/>
      <c r="AT1130" s="716"/>
      <c r="AU1130" s="716"/>
      <c r="AV1130" s="716"/>
      <c r="AW1130" s="716"/>
      <c r="AX1130" s="716"/>
      <c r="AY1130" s="716"/>
      <c r="AZ1130" s="716"/>
      <c r="BA1130" s="716"/>
      <c r="BB1130" s="716"/>
      <c r="BC1130" s="716"/>
      <c r="BD1130" s="716"/>
      <c r="BE1130" s="716"/>
      <c r="BF1130" s="716"/>
      <c r="BG1130" s="716"/>
      <c r="BH1130" s="716"/>
      <c r="BI1130" s="716"/>
      <c r="BJ1130" s="716"/>
      <c r="BK1130" s="716"/>
      <c r="BL1130" s="716"/>
      <c r="BM1130" s="716"/>
      <c r="BN1130" s="716"/>
      <c r="BO1130" s="716"/>
      <c r="BP1130" s="716"/>
      <c r="BQ1130" s="716"/>
      <c r="BR1130" s="716"/>
      <c r="BS1130" s="716"/>
      <c r="BT1130" s="716"/>
      <c r="BU1130" s="716"/>
      <c r="BV1130" s="716"/>
      <c r="BW1130" s="716"/>
      <c r="BX1130" s="716"/>
      <c r="BY1130" s="716"/>
      <c r="BZ1130" s="716"/>
      <c r="CA1130" s="716"/>
    </row>
    <row r="1131" spans="1:79" s="308" customFormat="1" hidden="1" outlineLevel="1" x14ac:dyDescent="0.25">
      <c r="A1131" s="657"/>
      <c r="B1131" s="571"/>
      <c r="C1131" s="571"/>
      <c r="D1131" s="571"/>
      <c r="E1131" s="570" t="s">
        <v>49</v>
      </c>
      <c r="F1131" s="657" t="s">
        <v>619</v>
      </c>
      <c r="G1131" s="664">
        <f>SUM(G1129:G1130)</f>
        <v>0</v>
      </c>
      <c r="H1131" s="664">
        <f t="shared" ref="H1131:BO1131" si="469">SUM(H1129:H1130)</f>
        <v>0</v>
      </c>
      <c r="I1131" s="664">
        <f t="shared" si="469"/>
        <v>0</v>
      </c>
      <c r="J1131" s="664">
        <f t="shared" si="469"/>
        <v>0</v>
      </c>
      <c r="K1131" s="664">
        <f t="shared" si="469"/>
        <v>0</v>
      </c>
      <c r="L1131" s="664">
        <f t="shared" si="469"/>
        <v>0</v>
      </c>
      <c r="M1131" s="664">
        <f t="shared" si="469"/>
        <v>0</v>
      </c>
      <c r="N1131" s="664">
        <f t="shared" si="469"/>
        <v>0</v>
      </c>
      <c r="O1131" s="664">
        <f t="shared" si="469"/>
        <v>0</v>
      </c>
      <c r="P1131" s="664">
        <f t="shared" si="469"/>
        <v>0</v>
      </c>
      <c r="Q1131" s="664">
        <f t="shared" si="469"/>
        <v>0</v>
      </c>
      <c r="R1131" s="664">
        <f t="shared" si="469"/>
        <v>0</v>
      </c>
      <c r="S1131" s="678">
        <f t="shared" ref="S1131:AA1131" si="470">ROUND(SUM(S1128:S1130),5)</f>
        <v>0</v>
      </c>
      <c r="T1131" s="678">
        <f t="shared" si="470"/>
        <v>0</v>
      </c>
      <c r="U1131" s="678">
        <f t="shared" si="470"/>
        <v>0</v>
      </c>
      <c r="V1131" s="678">
        <f t="shared" si="470"/>
        <v>0</v>
      </c>
      <c r="W1131" s="678">
        <f t="shared" si="470"/>
        <v>0</v>
      </c>
      <c r="X1131" s="678">
        <f t="shared" si="470"/>
        <v>0</v>
      </c>
      <c r="Y1131" s="678">
        <f t="shared" si="470"/>
        <v>0</v>
      </c>
      <c r="Z1131" s="678">
        <f t="shared" si="470"/>
        <v>0</v>
      </c>
      <c r="AA1131" s="678">
        <f t="shared" si="470"/>
        <v>0</v>
      </c>
      <c r="AB1131" s="678">
        <f t="shared" ref="AB1131:AG1131" si="471">ROUND(SUM(AB1128:AB1130),5)</f>
        <v>31.76</v>
      </c>
      <c r="AC1131" s="678">
        <f t="shared" si="471"/>
        <v>0</v>
      </c>
      <c r="AD1131" s="678">
        <f t="shared" si="471"/>
        <v>0</v>
      </c>
      <c r="AE1131" s="678">
        <f t="shared" si="471"/>
        <v>0</v>
      </c>
      <c r="AF1131" s="678">
        <f t="shared" si="471"/>
        <v>0</v>
      </c>
      <c r="AG1131" s="678">
        <f t="shared" si="471"/>
        <v>0</v>
      </c>
      <c r="AH1131" s="664">
        <f t="shared" si="469"/>
        <v>0</v>
      </c>
      <c r="AI1131" s="664">
        <f t="shared" si="469"/>
        <v>0</v>
      </c>
      <c r="AJ1131" s="664">
        <f t="shared" si="469"/>
        <v>0</v>
      </c>
      <c r="AK1131" s="664">
        <f t="shared" si="469"/>
        <v>0</v>
      </c>
      <c r="AL1131" s="664">
        <f t="shared" si="469"/>
        <v>0</v>
      </c>
      <c r="AM1131" s="664">
        <f t="shared" si="469"/>
        <v>0</v>
      </c>
      <c r="AN1131" s="664">
        <f t="shared" si="469"/>
        <v>0</v>
      </c>
      <c r="AO1131" s="664">
        <f t="shared" si="469"/>
        <v>0</v>
      </c>
      <c r="AP1131" s="664">
        <f t="shared" si="469"/>
        <v>0</v>
      </c>
      <c r="AQ1131" s="664">
        <f t="shared" si="469"/>
        <v>0</v>
      </c>
      <c r="AR1131" s="664">
        <f t="shared" si="469"/>
        <v>0</v>
      </c>
      <c r="AS1131" s="664">
        <f t="shared" si="469"/>
        <v>0</v>
      </c>
      <c r="AT1131" s="664">
        <f t="shared" si="469"/>
        <v>0</v>
      </c>
      <c r="AU1131" s="664">
        <f t="shared" si="469"/>
        <v>0</v>
      </c>
      <c r="AV1131" s="664">
        <f t="shared" si="469"/>
        <v>0</v>
      </c>
      <c r="AW1131" s="664">
        <f t="shared" si="469"/>
        <v>0</v>
      </c>
      <c r="AX1131" s="664">
        <f t="shared" si="469"/>
        <v>0</v>
      </c>
      <c r="AY1131" s="664">
        <f t="shared" si="469"/>
        <v>0</v>
      </c>
      <c r="AZ1131" s="664">
        <f t="shared" si="469"/>
        <v>0</v>
      </c>
      <c r="BA1131" s="664">
        <f t="shared" si="469"/>
        <v>0</v>
      </c>
      <c r="BB1131" s="664">
        <f t="shared" si="469"/>
        <v>0</v>
      </c>
      <c r="BC1131" s="664">
        <f t="shared" si="469"/>
        <v>0</v>
      </c>
      <c r="BD1131" s="664">
        <f t="shared" si="469"/>
        <v>0</v>
      </c>
      <c r="BE1131" s="664">
        <f t="shared" si="469"/>
        <v>0</v>
      </c>
      <c r="BF1131" s="664">
        <f t="shared" si="469"/>
        <v>0</v>
      </c>
      <c r="BG1131" s="664">
        <f t="shared" si="469"/>
        <v>0</v>
      </c>
      <c r="BH1131" s="664">
        <f t="shared" si="469"/>
        <v>0</v>
      </c>
      <c r="BI1131" s="664">
        <f t="shared" si="469"/>
        <v>0</v>
      </c>
      <c r="BJ1131" s="664">
        <f t="shared" si="469"/>
        <v>0</v>
      </c>
      <c r="BK1131" s="664">
        <f t="shared" si="469"/>
        <v>0</v>
      </c>
      <c r="BL1131" s="664">
        <f t="shared" si="469"/>
        <v>0</v>
      </c>
      <c r="BM1131" s="664">
        <f t="shared" si="469"/>
        <v>0</v>
      </c>
      <c r="BN1131" s="664">
        <f t="shared" si="469"/>
        <v>0</v>
      </c>
      <c r="BO1131" s="664">
        <f t="shared" si="469"/>
        <v>0</v>
      </c>
      <c r="BP1131" s="664">
        <f t="shared" ref="BP1131:CA1131" si="472">SUM(BP1129:BP1130)</f>
        <v>0</v>
      </c>
      <c r="BQ1131" s="664">
        <f t="shared" si="472"/>
        <v>0</v>
      </c>
      <c r="BR1131" s="664">
        <f t="shared" si="472"/>
        <v>0</v>
      </c>
      <c r="BS1131" s="664">
        <f t="shared" si="472"/>
        <v>0</v>
      </c>
      <c r="BT1131" s="664">
        <f t="shared" si="472"/>
        <v>0</v>
      </c>
      <c r="BU1131" s="664">
        <f t="shared" si="472"/>
        <v>0</v>
      </c>
      <c r="BV1131" s="664">
        <f t="shared" si="472"/>
        <v>0</v>
      </c>
      <c r="BW1131" s="664">
        <f t="shared" si="472"/>
        <v>0</v>
      </c>
      <c r="BX1131" s="664">
        <f t="shared" si="472"/>
        <v>0</v>
      </c>
      <c r="BY1131" s="664">
        <f t="shared" si="472"/>
        <v>0</v>
      </c>
      <c r="BZ1131" s="664">
        <f t="shared" si="472"/>
        <v>0</v>
      </c>
      <c r="CA1131" s="664">
        <f t="shared" si="472"/>
        <v>0</v>
      </c>
    </row>
    <row r="1132" spans="1:79" s="308" customFormat="1" hidden="1" outlineLevel="1" x14ac:dyDescent="0.25">
      <c r="A1132" s="658"/>
      <c r="B1132" s="571"/>
      <c r="C1132" s="571"/>
      <c r="D1132" s="571"/>
      <c r="E1132" s="570" t="s">
        <v>945</v>
      </c>
      <c r="F1132" s="658" t="s">
        <v>595</v>
      </c>
      <c r="G1132" s="719"/>
      <c r="H1132" s="719"/>
      <c r="I1132" s="719"/>
      <c r="J1132" s="719"/>
      <c r="K1132" s="719"/>
      <c r="L1132" s="719"/>
      <c r="M1132" s="719"/>
      <c r="N1132" s="719"/>
      <c r="O1132" s="719"/>
      <c r="P1132" s="716"/>
      <c r="Q1132" s="716"/>
      <c r="R1132" s="716"/>
      <c r="S1132" s="667">
        <v>0</v>
      </c>
      <c r="T1132" s="667">
        <v>0</v>
      </c>
      <c r="U1132" s="667">
        <v>0</v>
      </c>
      <c r="V1132" s="667">
        <v>0</v>
      </c>
      <c r="W1132" s="667">
        <v>0</v>
      </c>
      <c r="X1132" s="667">
        <v>0</v>
      </c>
      <c r="Y1132" s="667">
        <v>0</v>
      </c>
      <c r="Z1132" s="667">
        <v>0</v>
      </c>
      <c r="AA1132" s="667">
        <v>0</v>
      </c>
      <c r="AB1132" s="667">
        <v>951.25</v>
      </c>
      <c r="AC1132" s="667">
        <v>250</v>
      </c>
      <c r="AD1132" s="667">
        <v>0</v>
      </c>
      <c r="AE1132" s="667">
        <v>0</v>
      </c>
      <c r="AF1132" s="667">
        <v>0</v>
      </c>
      <c r="AG1132" s="667">
        <v>0</v>
      </c>
      <c r="AH1132" s="716"/>
      <c r="AI1132" s="716"/>
      <c r="AJ1132" s="716"/>
      <c r="AK1132" s="716"/>
      <c r="AL1132" s="716"/>
      <c r="AM1132" s="716"/>
      <c r="AN1132" s="716"/>
      <c r="AO1132" s="716"/>
      <c r="AP1132" s="716"/>
      <c r="AQ1132" s="716"/>
      <c r="AR1132" s="716"/>
      <c r="AS1132" s="716"/>
      <c r="AT1132" s="716"/>
      <c r="AU1132" s="716"/>
      <c r="AV1132" s="716"/>
      <c r="AW1132" s="716"/>
      <c r="AX1132" s="716"/>
      <c r="AY1132" s="716"/>
      <c r="AZ1132" s="716"/>
      <c r="BA1132" s="716"/>
      <c r="BB1132" s="716"/>
      <c r="BC1132" s="716"/>
      <c r="BD1132" s="716"/>
      <c r="BE1132" s="716"/>
      <c r="BF1132" s="716"/>
      <c r="BG1132" s="716"/>
      <c r="BH1132" s="716"/>
      <c r="BI1132" s="716"/>
      <c r="BJ1132" s="716"/>
      <c r="BK1132" s="716"/>
      <c r="BL1132" s="716"/>
      <c r="BM1132" s="716"/>
      <c r="BN1132" s="716"/>
      <c r="BO1132" s="716"/>
      <c r="BP1132" s="716"/>
      <c r="BQ1132" s="716"/>
      <c r="BR1132" s="716"/>
      <c r="BS1132" s="716"/>
      <c r="BT1132" s="716"/>
      <c r="BU1132" s="716"/>
      <c r="BV1132" s="716"/>
      <c r="BW1132" s="716"/>
      <c r="BX1132" s="716"/>
      <c r="BY1132" s="716"/>
      <c r="BZ1132" s="716"/>
      <c r="CA1132" s="716"/>
    </row>
    <row r="1133" spans="1:79" s="308" customFormat="1" hidden="1" outlineLevel="1" x14ac:dyDescent="0.25">
      <c r="A1133" s="658"/>
      <c r="B1133" s="29"/>
      <c r="C1133" s="29"/>
      <c r="D1133" s="29"/>
      <c r="E1133" s="570" t="s">
        <v>941</v>
      </c>
      <c r="F1133" s="658" t="s">
        <v>596</v>
      </c>
      <c r="G1133" s="719"/>
      <c r="H1133" s="719"/>
      <c r="I1133" s="719"/>
      <c r="J1133" s="719"/>
      <c r="K1133" s="719"/>
      <c r="L1133" s="719"/>
      <c r="M1133" s="719"/>
      <c r="N1133" s="719"/>
      <c r="O1133" s="719"/>
      <c r="P1133" s="716"/>
      <c r="Q1133" s="716"/>
      <c r="R1133" s="716"/>
      <c r="S1133" s="667">
        <v>0</v>
      </c>
      <c r="T1133" s="667">
        <v>0</v>
      </c>
      <c r="U1133" s="667">
        <v>6.44</v>
      </c>
      <c r="V1133" s="667">
        <v>0</v>
      </c>
      <c r="W1133" s="667">
        <v>27.67</v>
      </c>
      <c r="X1133" s="667">
        <v>0</v>
      </c>
      <c r="Y1133" s="667">
        <v>7.65</v>
      </c>
      <c r="Z1133" s="667">
        <v>113.74</v>
      </c>
      <c r="AA1133" s="667">
        <v>161.62</v>
      </c>
      <c r="AB1133" s="667">
        <v>520.49</v>
      </c>
      <c r="AC1133" s="667">
        <v>102.46</v>
      </c>
      <c r="AD1133" s="667">
        <v>143.44999999999999</v>
      </c>
      <c r="AE1133" s="667">
        <v>0</v>
      </c>
      <c r="AF1133" s="667">
        <v>15.96</v>
      </c>
      <c r="AG1133" s="667">
        <v>5.95</v>
      </c>
      <c r="AH1133" s="716"/>
      <c r="AI1133" s="716"/>
      <c r="AJ1133" s="716"/>
      <c r="AK1133" s="716"/>
      <c r="AL1133" s="716"/>
      <c r="AM1133" s="716"/>
      <c r="AN1133" s="716"/>
      <c r="AO1133" s="716"/>
      <c r="AP1133" s="716"/>
      <c r="AQ1133" s="716"/>
      <c r="AR1133" s="716"/>
      <c r="AS1133" s="716"/>
      <c r="AT1133" s="716"/>
      <c r="AU1133" s="716"/>
      <c r="AV1133" s="716"/>
      <c r="AW1133" s="716"/>
      <c r="AX1133" s="716"/>
      <c r="AY1133" s="716"/>
      <c r="AZ1133" s="716"/>
      <c r="BA1133" s="716"/>
      <c r="BB1133" s="716"/>
      <c r="BC1133" s="716"/>
      <c r="BD1133" s="716"/>
      <c r="BE1133" s="716"/>
      <c r="BF1133" s="716"/>
      <c r="BG1133" s="716"/>
      <c r="BH1133" s="716"/>
      <c r="BI1133" s="716"/>
      <c r="BJ1133" s="716"/>
      <c r="BK1133" s="716"/>
      <c r="BL1133" s="716"/>
      <c r="BM1133" s="716"/>
      <c r="BN1133" s="716"/>
      <c r="BO1133" s="716"/>
      <c r="BP1133" s="716"/>
      <c r="BQ1133" s="716"/>
      <c r="BR1133" s="716"/>
      <c r="BS1133" s="716"/>
      <c r="BT1133" s="716"/>
      <c r="BU1133" s="716"/>
      <c r="BV1133" s="716"/>
      <c r="BW1133" s="716"/>
      <c r="BX1133" s="716"/>
      <c r="BY1133" s="716"/>
      <c r="BZ1133" s="716"/>
      <c r="CA1133" s="716"/>
    </row>
    <row r="1134" spans="1:79" s="308" customFormat="1" hidden="1" outlineLevel="1" x14ac:dyDescent="0.25">
      <c r="A1134" s="658"/>
      <c r="B1134" s="571"/>
      <c r="C1134" s="571"/>
      <c r="D1134" s="571"/>
      <c r="E1134" s="570" t="s">
        <v>943</v>
      </c>
      <c r="F1134" s="658" t="s">
        <v>597</v>
      </c>
      <c r="G1134" s="719"/>
      <c r="H1134" s="719"/>
      <c r="I1134" s="719"/>
      <c r="J1134" s="719"/>
      <c r="K1134" s="719"/>
      <c r="L1134" s="719"/>
      <c r="M1134" s="719"/>
      <c r="N1134" s="719"/>
      <c r="O1134" s="719"/>
      <c r="P1134" s="716"/>
      <c r="Q1134" s="716"/>
      <c r="R1134" s="716"/>
      <c r="S1134" s="667">
        <v>0</v>
      </c>
      <c r="T1134" s="667">
        <v>0</v>
      </c>
      <c r="U1134" s="667">
        <v>0</v>
      </c>
      <c r="V1134" s="667">
        <v>0</v>
      </c>
      <c r="W1134" s="667">
        <v>0</v>
      </c>
      <c r="X1134" s="667">
        <v>0</v>
      </c>
      <c r="Y1134" s="667">
        <v>0</v>
      </c>
      <c r="Z1134" s="667">
        <v>0</v>
      </c>
      <c r="AA1134" s="667">
        <v>0</v>
      </c>
      <c r="AB1134" s="667">
        <v>463.2</v>
      </c>
      <c r="AC1134" s="667">
        <v>846.2</v>
      </c>
      <c r="AD1134" s="667">
        <v>0</v>
      </c>
      <c r="AE1134" s="667">
        <v>0</v>
      </c>
      <c r="AF1134" s="667">
        <v>0</v>
      </c>
      <c r="AG1134" s="667">
        <v>0</v>
      </c>
      <c r="AH1134" s="716"/>
      <c r="AI1134" s="716"/>
      <c r="AJ1134" s="716"/>
      <c r="AK1134" s="716"/>
      <c r="AL1134" s="716"/>
      <c r="AM1134" s="716"/>
      <c r="AN1134" s="716"/>
      <c r="AO1134" s="716"/>
      <c r="AP1134" s="716"/>
      <c r="AQ1134" s="716"/>
      <c r="AR1134" s="716"/>
      <c r="AS1134" s="716"/>
      <c r="AT1134" s="716"/>
      <c r="AU1134" s="716"/>
      <c r="AV1134" s="716"/>
      <c r="AW1134" s="716"/>
      <c r="AX1134" s="716"/>
      <c r="AY1134" s="716"/>
      <c r="AZ1134" s="716"/>
      <c r="BA1134" s="716"/>
      <c r="BB1134" s="716"/>
      <c r="BC1134" s="716"/>
      <c r="BD1134" s="716"/>
      <c r="BE1134" s="716"/>
      <c r="BF1134" s="716"/>
      <c r="BG1134" s="716"/>
      <c r="BH1134" s="716"/>
      <c r="BI1134" s="716"/>
      <c r="BJ1134" s="716"/>
      <c r="BK1134" s="716"/>
      <c r="BL1134" s="716"/>
      <c r="BM1134" s="716"/>
      <c r="BN1134" s="716"/>
      <c r="BO1134" s="716"/>
      <c r="BP1134" s="716"/>
      <c r="BQ1134" s="716"/>
      <c r="BR1134" s="716"/>
      <c r="BS1134" s="716"/>
      <c r="BT1134" s="716"/>
      <c r="BU1134" s="716"/>
      <c r="BV1134" s="716"/>
      <c r="BW1134" s="716"/>
      <c r="BX1134" s="716"/>
      <c r="BY1134" s="716"/>
      <c r="BZ1134" s="716"/>
      <c r="CA1134" s="716"/>
    </row>
    <row r="1135" spans="1:79" s="710" customFormat="1" hidden="1" outlineLevel="1" x14ac:dyDescent="0.25">
      <c r="A1135" s="701"/>
      <c r="E1135" s="570" t="s">
        <v>1339</v>
      </c>
      <c r="F1135" s="701" t="s">
        <v>598</v>
      </c>
      <c r="G1135" s="733"/>
      <c r="H1135" s="733"/>
      <c r="I1135" s="733"/>
      <c r="J1135" s="733"/>
      <c r="K1135" s="733"/>
      <c r="L1135" s="733"/>
      <c r="M1135" s="733"/>
      <c r="N1135" s="733"/>
      <c r="O1135" s="733"/>
      <c r="P1135" s="734"/>
      <c r="Q1135" s="734"/>
      <c r="R1135" s="734"/>
      <c r="S1135" s="697"/>
      <c r="T1135" s="697"/>
      <c r="U1135" s="697"/>
      <c r="V1135" s="697"/>
      <c r="W1135" s="697"/>
      <c r="X1135" s="697"/>
      <c r="Y1135" s="697"/>
      <c r="Z1135" s="697"/>
      <c r="AA1135" s="697"/>
      <c r="AB1135" s="697"/>
      <c r="AC1135" s="697"/>
      <c r="AD1135" s="697"/>
      <c r="AE1135" s="697"/>
      <c r="AF1135" s="697"/>
      <c r="AG1135" s="697"/>
      <c r="AH1135" s="734"/>
      <c r="AI1135" s="734"/>
      <c r="AJ1135" s="734"/>
      <c r="AK1135" s="734"/>
      <c r="AL1135" s="734"/>
      <c r="AM1135" s="734"/>
      <c r="AN1135" s="734"/>
      <c r="AO1135" s="734"/>
      <c r="AP1135" s="734"/>
      <c r="AQ1135" s="734"/>
      <c r="AR1135" s="734"/>
      <c r="AS1135" s="734"/>
      <c r="AT1135" s="734"/>
      <c r="AU1135" s="734"/>
      <c r="AV1135" s="734"/>
      <c r="AW1135" s="734"/>
      <c r="AX1135" s="734"/>
      <c r="AY1135" s="734"/>
      <c r="AZ1135" s="734"/>
      <c r="BA1135" s="734"/>
      <c r="BB1135" s="734"/>
      <c r="BC1135" s="734"/>
      <c r="BD1135" s="734"/>
      <c r="BE1135" s="734"/>
      <c r="BF1135" s="734"/>
      <c r="BG1135" s="734"/>
      <c r="BH1135" s="734"/>
      <c r="BI1135" s="734"/>
      <c r="BJ1135" s="734"/>
      <c r="BK1135" s="734"/>
      <c r="BL1135" s="734"/>
      <c r="BM1135" s="734"/>
      <c r="BN1135" s="734"/>
      <c r="BO1135" s="734"/>
      <c r="BP1135" s="734"/>
      <c r="BQ1135" s="734"/>
      <c r="BR1135" s="734"/>
      <c r="BS1135" s="734"/>
      <c r="BT1135" s="734"/>
      <c r="BU1135" s="734"/>
      <c r="BV1135" s="734"/>
      <c r="BW1135" s="734"/>
      <c r="BX1135" s="734"/>
      <c r="BY1135" s="734"/>
      <c r="BZ1135" s="734"/>
      <c r="CA1135" s="734"/>
    </row>
    <row r="1136" spans="1:79" s="308" customFormat="1" hidden="1" outlineLevel="1" x14ac:dyDescent="0.25">
      <c r="A1136" s="656"/>
      <c r="B1136" s="571"/>
      <c r="C1136" s="571"/>
      <c r="D1136" s="571"/>
      <c r="E1136" s="570" t="s">
        <v>1339</v>
      </c>
      <c r="F1136" s="656" t="s">
        <v>649</v>
      </c>
      <c r="G1136" s="719"/>
      <c r="H1136" s="719"/>
      <c r="I1136" s="719"/>
      <c r="J1136" s="719"/>
      <c r="K1136" s="719"/>
      <c r="L1136" s="719"/>
      <c r="M1136" s="719"/>
      <c r="N1136" s="719"/>
      <c r="O1136" s="719"/>
      <c r="P1136" s="716"/>
      <c r="Q1136" s="716"/>
      <c r="R1136" s="716"/>
      <c r="S1136" s="676">
        <v>0</v>
      </c>
      <c r="T1136" s="676">
        <v>0</v>
      </c>
      <c r="U1136" s="676">
        <v>0</v>
      </c>
      <c r="V1136" s="676">
        <v>0</v>
      </c>
      <c r="W1136" s="676">
        <v>0</v>
      </c>
      <c r="X1136" s="676">
        <v>0</v>
      </c>
      <c r="Y1136" s="676">
        <v>0</v>
      </c>
      <c r="Z1136" s="676">
        <v>0</v>
      </c>
      <c r="AA1136" s="676">
        <v>0</v>
      </c>
      <c r="AB1136" s="676">
        <v>0</v>
      </c>
      <c r="AC1136" s="676">
        <v>0</v>
      </c>
      <c r="AD1136" s="676">
        <v>0</v>
      </c>
      <c r="AE1136" s="676">
        <v>0</v>
      </c>
      <c r="AF1136" s="676">
        <v>0</v>
      </c>
      <c r="AG1136" s="676">
        <v>0</v>
      </c>
      <c r="AH1136" s="716"/>
      <c r="AI1136" s="716"/>
      <c r="AJ1136" s="716"/>
      <c r="AK1136" s="716"/>
      <c r="AL1136" s="716"/>
      <c r="AM1136" s="716"/>
      <c r="AN1136" s="716"/>
      <c r="AO1136" s="716"/>
      <c r="AP1136" s="716"/>
      <c r="AQ1136" s="716"/>
      <c r="AR1136" s="716"/>
      <c r="AS1136" s="716"/>
      <c r="AT1136" s="716"/>
      <c r="AU1136" s="716"/>
      <c r="AV1136" s="716"/>
      <c r="AW1136" s="716"/>
      <c r="AX1136" s="716"/>
      <c r="AY1136" s="716"/>
      <c r="AZ1136" s="716"/>
      <c r="BA1136" s="716"/>
      <c r="BB1136" s="716"/>
      <c r="BC1136" s="716"/>
      <c r="BD1136" s="716"/>
      <c r="BE1136" s="716"/>
      <c r="BF1136" s="716"/>
      <c r="BG1136" s="716"/>
      <c r="BH1136" s="716"/>
      <c r="BI1136" s="716"/>
      <c r="BJ1136" s="716"/>
      <c r="BK1136" s="716"/>
      <c r="BL1136" s="716"/>
      <c r="BM1136" s="716"/>
      <c r="BN1136" s="716"/>
      <c r="BO1136" s="716"/>
      <c r="BP1136" s="716"/>
      <c r="BQ1136" s="716"/>
      <c r="BR1136" s="716"/>
      <c r="BS1136" s="716"/>
      <c r="BT1136" s="716"/>
      <c r="BU1136" s="716"/>
      <c r="BV1136" s="716"/>
      <c r="BW1136" s="716"/>
      <c r="BX1136" s="716"/>
      <c r="BY1136" s="716"/>
      <c r="BZ1136" s="716"/>
      <c r="CA1136" s="716"/>
    </row>
    <row r="1137" spans="1:79" s="308" customFormat="1" hidden="1" outlineLevel="1" x14ac:dyDescent="0.25">
      <c r="A1137" s="656"/>
      <c r="B1137" s="571"/>
      <c r="C1137" s="571"/>
      <c r="D1137" s="571"/>
      <c r="E1137" s="570" t="s">
        <v>1339</v>
      </c>
      <c r="F1137" s="656" t="s">
        <v>620</v>
      </c>
      <c r="G1137" s="719"/>
      <c r="H1137" s="719"/>
      <c r="I1137" s="719"/>
      <c r="J1137" s="719"/>
      <c r="K1137" s="719"/>
      <c r="L1137" s="719"/>
      <c r="M1137" s="719"/>
      <c r="N1137" s="719"/>
      <c r="O1137" s="719"/>
      <c r="P1137" s="716"/>
      <c r="Q1137" s="716"/>
      <c r="R1137" s="716"/>
      <c r="S1137" s="667">
        <v>0</v>
      </c>
      <c r="T1137" s="667">
        <v>0</v>
      </c>
      <c r="U1137" s="667">
        <v>0</v>
      </c>
      <c r="V1137" s="667">
        <v>0</v>
      </c>
      <c r="W1137" s="667">
        <v>0</v>
      </c>
      <c r="X1137" s="667">
        <v>0</v>
      </c>
      <c r="Y1137" s="667">
        <v>0</v>
      </c>
      <c r="Z1137" s="667">
        <v>0</v>
      </c>
      <c r="AA1137" s="667">
        <v>0</v>
      </c>
      <c r="AB1137" s="667">
        <v>0</v>
      </c>
      <c r="AC1137" s="667">
        <v>0</v>
      </c>
      <c r="AD1137" s="667">
        <v>0</v>
      </c>
      <c r="AE1137" s="667">
        <v>0</v>
      </c>
      <c r="AF1137" s="667">
        <v>0</v>
      </c>
      <c r="AG1137" s="667">
        <v>0</v>
      </c>
      <c r="AH1137" s="716"/>
      <c r="AI1137" s="716"/>
      <c r="AJ1137" s="716"/>
      <c r="AK1137" s="716"/>
      <c r="AL1137" s="716"/>
      <c r="AM1137" s="716"/>
      <c r="AN1137" s="716"/>
      <c r="AO1137" s="716"/>
      <c r="AP1137" s="716"/>
      <c r="AQ1137" s="716"/>
      <c r="AR1137" s="716"/>
      <c r="AS1137" s="716"/>
      <c r="AT1137" s="716"/>
      <c r="AU1137" s="716"/>
      <c r="AV1137" s="716"/>
      <c r="AW1137" s="716"/>
      <c r="AX1137" s="716"/>
      <c r="AY1137" s="716"/>
      <c r="AZ1137" s="716"/>
      <c r="BA1137" s="716"/>
      <c r="BB1137" s="716"/>
      <c r="BC1137" s="716"/>
      <c r="BD1137" s="716"/>
      <c r="BE1137" s="716"/>
      <c r="BF1137" s="716"/>
      <c r="BG1137" s="716"/>
      <c r="BH1137" s="716"/>
      <c r="BI1137" s="716"/>
      <c r="BJ1137" s="716"/>
      <c r="BK1137" s="716"/>
      <c r="BL1137" s="716"/>
      <c r="BM1137" s="716"/>
      <c r="BN1137" s="716"/>
      <c r="BO1137" s="716"/>
      <c r="BP1137" s="716"/>
      <c r="BQ1137" s="716"/>
      <c r="BR1137" s="716"/>
      <c r="BS1137" s="716"/>
      <c r="BT1137" s="716"/>
      <c r="BU1137" s="716"/>
      <c r="BV1137" s="716"/>
      <c r="BW1137" s="716"/>
      <c r="BX1137" s="716"/>
      <c r="BY1137" s="716"/>
      <c r="BZ1137" s="716"/>
      <c r="CA1137" s="716"/>
    </row>
    <row r="1138" spans="1:79" hidden="1" outlineLevel="1" x14ac:dyDescent="0.25">
      <c r="A1138" s="656"/>
      <c r="B1138" s="503"/>
      <c r="C1138" s="503"/>
      <c r="D1138" s="503"/>
      <c r="E1138" s="570" t="s">
        <v>1339</v>
      </c>
      <c r="F1138" s="656" t="s">
        <v>666</v>
      </c>
      <c r="G1138" s="719"/>
      <c r="H1138" s="719"/>
      <c r="I1138" s="719"/>
      <c r="J1138" s="719"/>
      <c r="K1138" s="719"/>
      <c r="L1138" s="719"/>
      <c r="M1138" s="719"/>
      <c r="N1138" s="719"/>
      <c r="O1138" s="719"/>
      <c r="P1138" s="716"/>
      <c r="Q1138" s="716"/>
      <c r="R1138" s="716"/>
      <c r="S1138" s="667">
        <v>0</v>
      </c>
      <c r="T1138" s="667">
        <v>0</v>
      </c>
      <c r="U1138" s="667">
        <v>357</v>
      </c>
      <c r="V1138" s="667">
        <v>23086</v>
      </c>
      <c r="W1138" s="667">
        <v>524.1</v>
      </c>
      <c r="X1138" s="667">
        <v>6892.5</v>
      </c>
      <c r="Y1138" s="667">
        <v>0</v>
      </c>
      <c r="Z1138" s="667">
        <v>30011.68</v>
      </c>
      <c r="AA1138" s="667">
        <v>30</v>
      </c>
      <c r="AB1138" s="667">
        <v>3303.5</v>
      </c>
      <c r="AC1138" s="667">
        <v>13519</v>
      </c>
      <c r="AD1138" s="667">
        <v>2976.5</v>
      </c>
      <c r="AE1138" s="667">
        <v>22760.65</v>
      </c>
      <c r="AF1138" s="667">
        <v>18886.5</v>
      </c>
      <c r="AG1138" s="667">
        <v>1531.5</v>
      </c>
      <c r="AH1138" s="716"/>
      <c r="AI1138" s="716"/>
      <c r="AJ1138" s="716"/>
      <c r="AK1138" s="716"/>
      <c r="AL1138" s="716"/>
      <c r="AM1138" s="716"/>
      <c r="AN1138" s="716"/>
      <c r="AO1138" s="716"/>
      <c r="AP1138" s="716"/>
      <c r="AQ1138" s="716"/>
      <c r="AR1138" s="716"/>
      <c r="AS1138" s="716"/>
      <c r="AT1138" s="716"/>
      <c r="AU1138" s="716"/>
      <c r="AV1138" s="716"/>
      <c r="AW1138" s="716"/>
      <c r="AX1138" s="716"/>
      <c r="AY1138" s="716"/>
      <c r="AZ1138" s="716"/>
      <c r="BA1138" s="716"/>
      <c r="BB1138" s="716"/>
      <c r="BC1138" s="716"/>
      <c r="BD1138" s="716"/>
      <c r="BE1138" s="716"/>
      <c r="BF1138" s="716"/>
      <c r="BG1138" s="716"/>
      <c r="BH1138" s="716"/>
      <c r="BI1138" s="716"/>
      <c r="BJ1138" s="716"/>
      <c r="BK1138" s="716"/>
      <c r="BL1138" s="716"/>
      <c r="BM1138" s="716"/>
      <c r="BN1138" s="716"/>
      <c r="BO1138" s="716"/>
      <c r="BP1138" s="716"/>
      <c r="BQ1138" s="716"/>
      <c r="BR1138" s="716"/>
      <c r="BS1138" s="716"/>
      <c r="BT1138" s="716"/>
      <c r="BU1138" s="716"/>
      <c r="BV1138" s="716"/>
      <c r="BW1138" s="716"/>
      <c r="BX1138" s="716"/>
      <c r="BY1138" s="716"/>
      <c r="BZ1138" s="716"/>
      <c r="CA1138" s="716"/>
    </row>
    <row r="1139" spans="1:79" hidden="1" outlineLevel="1" x14ac:dyDescent="0.25">
      <c r="A1139" s="656"/>
      <c r="B1139" s="503"/>
      <c r="C1139" s="503"/>
      <c r="D1139" s="503"/>
      <c r="E1139" s="570" t="s">
        <v>1339</v>
      </c>
      <c r="F1139" s="656" t="s">
        <v>621</v>
      </c>
      <c r="G1139" s="719"/>
      <c r="H1139" s="719"/>
      <c r="I1139" s="719"/>
      <c r="J1139" s="719"/>
      <c r="K1139" s="719"/>
      <c r="L1139" s="719"/>
      <c r="M1139" s="719"/>
      <c r="N1139" s="719"/>
      <c r="O1139" s="719"/>
      <c r="P1139" s="716"/>
      <c r="Q1139" s="716"/>
      <c r="R1139" s="716"/>
      <c r="S1139" s="667">
        <v>10969.8</v>
      </c>
      <c r="T1139" s="667">
        <v>12000</v>
      </c>
      <c r="U1139" s="667">
        <v>16000</v>
      </c>
      <c r="V1139" s="667">
        <v>1860.42</v>
      </c>
      <c r="W1139" s="667">
        <v>7250</v>
      </c>
      <c r="X1139" s="667">
        <v>0</v>
      </c>
      <c r="Y1139" s="667">
        <v>1051.32</v>
      </c>
      <c r="Z1139" s="667">
        <v>0</v>
      </c>
      <c r="AA1139" s="667">
        <v>0</v>
      </c>
      <c r="AB1139" s="667">
        <v>2924.33</v>
      </c>
      <c r="AC1139" s="667">
        <v>0</v>
      </c>
      <c r="AD1139" s="667">
        <v>0</v>
      </c>
      <c r="AE1139" s="667">
        <v>0</v>
      </c>
      <c r="AF1139" s="667">
        <v>0</v>
      </c>
      <c r="AG1139" s="667">
        <v>0</v>
      </c>
      <c r="AH1139" s="716"/>
      <c r="AI1139" s="716"/>
      <c r="AJ1139" s="716"/>
      <c r="AK1139" s="716"/>
      <c r="AL1139" s="716"/>
      <c r="AM1139" s="716"/>
      <c r="AN1139" s="716"/>
      <c r="AO1139" s="716"/>
      <c r="AP1139" s="716"/>
      <c r="AQ1139" s="716"/>
      <c r="AR1139" s="716"/>
      <c r="AS1139" s="716"/>
      <c r="AT1139" s="716"/>
      <c r="AU1139" s="716"/>
      <c r="AV1139" s="716"/>
      <c r="AW1139" s="716"/>
      <c r="AX1139" s="716"/>
      <c r="AY1139" s="716"/>
      <c r="AZ1139" s="716"/>
      <c r="BA1139" s="716"/>
      <c r="BB1139" s="716"/>
      <c r="BC1139" s="716"/>
      <c r="BD1139" s="716"/>
      <c r="BE1139" s="716"/>
      <c r="BF1139" s="716"/>
      <c r="BG1139" s="716"/>
      <c r="BH1139" s="716"/>
      <c r="BI1139" s="716"/>
      <c r="BJ1139" s="716"/>
      <c r="BK1139" s="716"/>
      <c r="BL1139" s="716"/>
      <c r="BM1139" s="716"/>
      <c r="BN1139" s="716"/>
      <c r="BO1139" s="716"/>
      <c r="BP1139" s="716"/>
      <c r="BQ1139" s="716"/>
      <c r="BR1139" s="716"/>
      <c r="BS1139" s="716"/>
      <c r="BT1139" s="716"/>
      <c r="BU1139" s="716"/>
      <c r="BV1139" s="716"/>
      <c r="BW1139" s="716"/>
      <c r="BX1139" s="716"/>
      <c r="BY1139" s="716"/>
      <c r="BZ1139" s="716"/>
      <c r="CA1139" s="716"/>
    </row>
    <row r="1140" spans="1:79" hidden="1" outlineLevel="1" x14ac:dyDescent="0.25">
      <c r="A1140" s="656"/>
      <c r="B1140" s="503"/>
      <c r="C1140" s="503"/>
      <c r="D1140" s="503"/>
      <c r="E1140" s="570" t="s">
        <v>1339</v>
      </c>
      <c r="F1140" s="656" t="s">
        <v>650</v>
      </c>
      <c r="G1140" s="719"/>
      <c r="H1140" s="719"/>
      <c r="I1140" s="719"/>
      <c r="J1140" s="719"/>
      <c r="K1140" s="719"/>
      <c r="L1140" s="719"/>
      <c r="M1140" s="719"/>
      <c r="N1140" s="719"/>
      <c r="O1140" s="719"/>
      <c r="P1140" s="716"/>
      <c r="Q1140" s="716"/>
      <c r="R1140" s="716"/>
      <c r="S1140" s="667">
        <v>0</v>
      </c>
      <c r="T1140" s="667">
        <v>0</v>
      </c>
      <c r="U1140" s="667">
        <v>0</v>
      </c>
      <c r="V1140" s="667">
        <v>0</v>
      </c>
      <c r="W1140" s="667">
        <v>0</v>
      </c>
      <c r="X1140" s="667">
        <v>0</v>
      </c>
      <c r="Y1140" s="667">
        <v>0</v>
      </c>
      <c r="Z1140" s="667">
        <v>0</v>
      </c>
      <c r="AA1140" s="667">
        <v>0</v>
      </c>
      <c r="AB1140" s="667">
        <v>0</v>
      </c>
      <c r="AC1140" s="667">
        <v>0</v>
      </c>
      <c r="AD1140" s="667">
        <v>0</v>
      </c>
      <c r="AE1140" s="667">
        <v>0</v>
      </c>
      <c r="AF1140" s="667">
        <v>0</v>
      </c>
      <c r="AG1140" s="667">
        <v>0</v>
      </c>
      <c r="AH1140" s="716"/>
      <c r="AI1140" s="716"/>
      <c r="AJ1140" s="716"/>
      <c r="AK1140" s="716"/>
      <c r="AL1140" s="716"/>
      <c r="AM1140" s="716"/>
      <c r="AN1140" s="716"/>
      <c r="AO1140" s="716"/>
      <c r="AP1140" s="716"/>
      <c r="AQ1140" s="716"/>
      <c r="AR1140" s="716"/>
      <c r="AS1140" s="716"/>
      <c r="AT1140" s="716"/>
      <c r="AU1140" s="716"/>
      <c r="AV1140" s="716"/>
      <c r="AW1140" s="716"/>
      <c r="AX1140" s="716"/>
      <c r="AY1140" s="716"/>
      <c r="AZ1140" s="716"/>
      <c r="BA1140" s="716"/>
      <c r="BB1140" s="716"/>
      <c r="BC1140" s="716"/>
      <c r="BD1140" s="716"/>
      <c r="BE1140" s="716"/>
      <c r="BF1140" s="716"/>
      <c r="BG1140" s="716"/>
      <c r="BH1140" s="716"/>
      <c r="BI1140" s="716"/>
      <c r="BJ1140" s="716"/>
      <c r="BK1140" s="716"/>
      <c r="BL1140" s="716"/>
      <c r="BM1140" s="716"/>
      <c r="BN1140" s="716"/>
      <c r="BO1140" s="716"/>
      <c r="BP1140" s="716"/>
      <c r="BQ1140" s="716"/>
      <c r="BR1140" s="716"/>
      <c r="BS1140" s="716"/>
      <c r="BT1140" s="716"/>
      <c r="BU1140" s="716"/>
      <c r="BV1140" s="716"/>
      <c r="BW1140" s="716"/>
      <c r="BX1140" s="716"/>
      <c r="BY1140" s="716"/>
      <c r="BZ1140" s="716"/>
      <c r="CA1140" s="716"/>
    </row>
    <row r="1141" spans="1:79" hidden="1" outlineLevel="1" x14ac:dyDescent="0.25">
      <c r="A1141" s="656"/>
      <c r="B1141" s="503"/>
      <c r="C1141" s="503"/>
      <c r="D1141" s="503"/>
      <c r="E1141" s="570" t="s">
        <v>1339</v>
      </c>
      <c r="F1141" s="656" t="s">
        <v>647</v>
      </c>
      <c r="G1141" s="719"/>
      <c r="H1141" s="719"/>
      <c r="I1141" s="719"/>
      <c r="J1141" s="719"/>
      <c r="K1141" s="719"/>
      <c r="L1141" s="719"/>
      <c r="M1141" s="719"/>
      <c r="N1141" s="719"/>
      <c r="O1141" s="719"/>
      <c r="P1141" s="716"/>
      <c r="Q1141" s="716"/>
      <c r="R1141" s="716"/>
      <c r="S1141" s="684">
        <v>0</v>
      </c>
      <c r="T1141" s="684">
        <v>0</v>
      </c>
      <c r="U1141" s="684">
        <v>0</v>
      </c>
      <c r="V1141" s="684">
        <v>0</v>
      </c>
      <c r="W1141" s="684">
        <v>0</v>
      </c>
      <c r="X1141" s="684">
        <v>0</v>
      </c>
      <c r="Y1141" s="684">
        <v>0</v>
      </c>
      <c r="Z1141" s="684">
        <v>0</v>
      </c>
      <c r="AA1141" s="684">
        <v>0</v>
      </c>
      <c r="AB1141" s="684">
        <v>0</v>
      </c>
      <c r="AC1141" s="684">
        <v>0</v>
      </c>
      <c r="AD1141" s="684">
        <v>0</v>
      </c>
      <c r="AE1141" s="684">
        <v>0</v>
      </c>
      <c r="AF1141" s="684">
        <v>0</v>
      </c>
      <c r="AG1141" s="684">
        <v>0</v>
      </c>
      <c r="AH1141" s="716"/>
      <c r="AI1141" s="716"/>
      <c r="AJ1141" s="716"/>
      <c r="AK1141" s="716"/>
      <c r="AL1141" s="716"/>
      <c r="AM1141" s="716"/>
      <c r="AN1141" s="716"/>
      <c r="AO1141" s="716"/>
      <c r="AP1141" s="716"/>
      <c r="AQ1141" s="716"/>
      <c r="AR1141" s="716"/>
      <c r="AS1141" s="716"/>
      <c r="AT1141" s="716"/>
      <c r="AU1141" s="716"/>
      <c r="AV1141" s="716"/>
      <c r="AW1141" s="716"/>
      <c r="AX1141" s="716"/>
      <c r="AY1141" s="716"/>
      <c r="AZ1141" s="716"/>
      <c r="BA1141" s="716"/>
      <c r="BB1141" s="716"/>
      <c r="BC1141" s="716"/>
      <c r="BD1141" s="716"/>
      <c r="BE1141" s="716"/>
      <c r="BF1141" s="716"/>
      <c r="BG1141" s="716"/>
      <c r="BH1141" s="716"/>
      <c r="BI1141" s="716"/>
      <c r="BJ1141" s="716"/>
      <c r="BK1141" s="716"/>
      <c r="BL1141" s="716"/>
      <c r="BM1141" s="716"/>
      <c r="BN1141" s="716"/>
      <c r="BO1141" s="716"/>
      <c r="BP1141" s="716"/>
      <c r="BQ1141" s="716"/>
      <c r="BR1141" s="716"/>
      <c r="BS1141" s="716"/>
      <c r="BT1141" s="716"/>
      <c r="BU1141" s="716"/>
      <c r="BV1141" s="716"/>
      <c r="BW1141" s="716"/>
      <c r="BX1141" s="716"/>
      <c r="BY1141" s="716"/>
      <c r="BZ1141" s="716"/>
      <c r="CA1141" s="716"/>
    </row>
    <row r="1142" spans="1:79" hidden="1" outlineLevel="1" x14ac:dyDescent="0.25">
      <c r="A1142" s="656"/>
      <c r="B1142" s="503"/>
      <c r="C1142" s="503"/>
      <c r="D1142" s="503"/>
      <c r="E1142" s="570" t="s">
        <v>1339</v>
      </c>
      <c r="F1142" s="656" t="s">
        <v>889</v>
      </c>
      <c r="G1142" s="719"/>
      <c r="H1142" s="719"/>
      <c r="I1142" s="719"/>
      <c r="J1142" s="719"/>
      <c r="K1142" s="719"/>
      <c r="L1142" s="719"/>
      <c r="M1142" s="719"/>
      <c r="N1142" s="719"/>
      <c r="O1142" s="719"/>
      <c r="P1142" s="716"/>
      <c r="Q1142" s="716"/>
      <c r="R1142" s="716"/>
      <c r="S1142" s="684">
        <v>0</v>
      </c>
      <c r="T1142" s="684">
        <v>0</v>
      </c>
      <c r="U1142" s="684">
        <v>0</v>
      </c>
      <c r="V1142" s="684">
        <v>0</v>
      </c>
      <c r="W1142" s="684">
        <v>0</v>
      </c>
      <c r="X1142" s="684">
        <v>0</v>
      </c>
      <c r="Y1142" s="684">
        <v>0</v>
      </c>
      <c r="Z1142" s="684">
        <v>0</v>
      </c>
      <c r="AA1142" s="684">
        <v>0</v>
      </c>
      <c r="AB1142" s="684">
        <v>0</v>
      </c>
      <c r="AC1142" s="684">
        <v>0</v>
      </c>
      <c r="AD1142" s="684">
        <v>0</v>
      </c>
      <c r="AE1142" s="684">
        <v>0</v>
      </c>
      <c r="AF1142" s="684">
        <v>0</v>
      </c>
      <c r="AG1142" s="684">
        <v>0</v>
      </c>
      <c r="AH1142" s="716"/>
      <c r="AI1142" s="716"/>
      <c r="AJ1142" s="716"/>
      <c r="AK1142" s="716"/>
      <c r="AL1142" s="716"/>
      <c r="AM1142" s="716"/>
      <c r="AN1142" s="716"/>
      <c r="AO1142" s="716"/>
      <c r="AP1142" s="716"/>
      <c r="AQ1142" s="716"/>
      <c r="AR1142" s="716"/>
      <c r="AS1142" s="716"/>
      <c r="AT1142" s="716"/>
      <c r="AU1142" s="716"/>
      <c r="AV1142" s="716"/>
      <c r="AW1142" s="716"/>
      <c r="AX1142" s="716"/>
      <c r="AY1142" s="716"/>
      <c r="AZ1142" s="716"/>
      <c r="BA1142" s="716"/>
      <c r="BB1142" s="716"/>
      <c r="BC1142" s="716"/>
      <c r="BD1142" s="716"/>
      <c r="BE1142" s="716"/>
      <c r="BF1142" s="716"/>
      <c r="BG1142" s="716"/>
      <c r="BH1142" s="716"/>
      <c r="BI1142" s="716"/>
      <c r="BJ1142" s="716"/>
      <c r="BK1142" s="716"/>
      <c r="BL1142" s="716"/>
      <c r="BM1142" s="716"/>
      <c r="BN1142" s="716"/>
      <c r="BO1142" s="716"/>
      <c r="BP1142" s="716"/>
      <c r="BQ1142" s="716"/>
      <c r="BR1142" s="716"/>
      <c r="BS1142" s="716"/>
      <c r="BT1142" s="716"/>
      <c r="BU1142" s="716"/>
      <c r="BV1142" s="716"/>
      <c r="BW1142" s="716"/>
      <c r="BX1142" s="716"/>
      <c r="BY1142" s="716"/>
      <c r="BZ1142" s="716"/>
      <c r="CA1142" s="716"/>
    </row>
    <row r="1143" spans="1:79" hidden="1" outlineLevel="1" x14ac:dyDescent="0.25">
      <c r="A1143" s="656"/>
      <c r="B1143" s="503"/>
      <c r="C1143" s="503"/>
      <c r="D1143" s="503"/>
      <c r="E1143" s="570" t="s">
        <v>1339</v>
      </c>
      <c r="F1143" s="656" t="s">
        <v>684</v>
      </c>
      <c r="G1143" s="719"/>
      <c r="H1143" s="719"/>
      <c r="I1143" s="719"/>
      <c r="J1143" s="719"/>
      <c r="K1143" s="719"/>
      <c r="L1143" s="719"/>
      <c r="M1143" s="719"/>
      <c r="N1143" s="719"/>
      <c r="O1143" s="719"/>
      <c r="P1143" s="716"/>
      <c r="Q1143" s="716"/>
      <c r="R1143" s="716"/>
      <c r="S1143" s="667">
        <v>0</v>
      </c>
      <c r="T1143" s="667">
        <v>0</v>
      </c>
      <c r="U1143" s="667">
        <v>0</v>
      </c>
      <c r="V1143" s="667">
        <v>0</v>
      </c>
      <c r="W1143" s="667">
        <v>0</v>
      </c>
      <c r="X1143" s="667">
        <v>0</v>
      </c>
      <c r="Y1143" s="667">
        <v>0</v>
      </c>
      <c r="Z1143" s="667">
        <v>0</v>
      </c>
      <c r="AA1143" s="667">
        <v>0</v>
      </c>
      <c r="AB1143" s="667">
        <v>0</v>
      </c>
      <c r="AC1143" s="667">
        <v>0</v>
      </c>
      <c r="AD1143" s="667">
        <v>0</v>
      </c>
      <c r="AE1143" s="667">
        <v>0</v>
      </c>
      <c r="AF1143" s="667">
        <v>0</v>
      </c>
      <c r="AG1143" s="667">
        <v>0</v>
      </c>
      <c r="AH1143" s="716"/>
      <c r="AI1143" s="716"/>
      <c r="AJ1143" s="716"/>
      <c r="AK1143" s="716"/>
      <c r="AL1143" s="716"/>
      <c r="AM1143" s="716"/>
      <c r="AN1143" s="716"/>
      <c r="AO1143" s="716"/>
      <c r="AP1143" s="716"/>
      <c r="AQ1143" s="716"/>
      <c r="AR1143" s="716"/>
      <c r="AS1143" s="716"/>
      <c r="AT1143" s="716"/>
      <c r="AU1143" s="716"/>
      <c r="AV1143" s="716"/>
      <c r="AW1143" s="716"/>
      <c r="AX1143" s="716"/>
      <c r="AY1143" s="716"/>
      <c r="AZ1143" s="716"/>
      <c r="BA1143" s="716"/>
      <c r="BB1143" s="716"/>
      <c r="BC1143" s="716"/>
      <c r="BD1143" s="716"/>
      <c r="BE1143" s="716"/>
      <c r="BF1143" s="716"/>
      <c r="BG1143" s="716"/>
      <c r="BH1143" s="716"/>
      <c r="BI1143" s="716"/>
      <c r="BJ1143" s="716"/>
      <c r="BK1143" s="716"/>
      <c r="BL1143" s="716"/>
      <c r="BM1143" s="716"/>
      <c r="BN1143" s="716"/>
      <c r="BO1143" s="716"/>
      <c r="BP1143" s="716"/>
      <c r="BQ1143" s="716"/>
      <c r="BR1143" s="716"/>
      <c r="BS1143" s="716"/>
      <c r="BT1143" s="716"/>
      <c r="BU1143" s="716"/>
      <c r="BV1143" s="716"/>
      <c r="BW1143" s="716"/>
      <c r="BX1143" s="716"/>
      <c r="BY1143" s="716"/>
      <c r="BZ1143" s="716"/>
      <c r="CA1143" s="716"/>
    </row>
    <row r="1144" spans="1:79" hidden="1" outlineLevel="1" x14ac:dyDescent="0.25">
      <c r="A1144" s="656"/>
      <c r="B1144" s="503"/>
      <c r="C1144" s="503"/>
      <c r="D1144" s="503"/>
      <c r="E1144" s="570" t="s">
        <v>1339</v>
      </c>
      <c r="F1144" s="656" t="s">
        <v>890</v>
      </c>
      <c r="G1144" s="719"/>
      <c r="H1144" s="719"/>
      <c r="I1144" s="719"/>
      <c r="J1144" s="719"/>
      <c r="K1144" s="719"/>
      <c r="L1144" s="719"/>
      <c r="M1144" s="719"/>
      <c r="N1144" s="719"/>
      <c r="O1144" s="719"/>
      <c r="P1144" s="716"/>
      <c r="Q1144" s="716"/>
      <c r="R1144" s="716"/>
      <c r="S1144" s="667">
        <v>0</v>
      </c>
      <c r="T1144" s="667">
        <v>0</v>
      </c>
      <c r="U1144" s="667">
        <v>0</v>
      </c>
      <c r="V1144" s="667">
        <v>0</v>
      </c>
      <c r="W1144" s="667">
        <v>0</v>
      </c>
      <c r="X1144" s="667">
        <v>0</v>
      </c>
      <c r="Y1144" s="667">
        <v>0</v>
      </c>
      <c r="Z1144" s="667">
        <v>0</v>
      </c>
      <c r="AA1144" s="667">
        <v>0</v>
      </c>
      <c r="AB1144" s="667">
        <v>0</v>
      </c>
      <c r="AC1144" s="667">
        <v>0</v>
      </c>
      <c r="AD1144" s="667">
        <v>0</v>
      </c>
      <c r="AE1144" s="667">
        <v>0</v>
      </c>
      <c r="AF1144" s="667">
        <v>0</v>
      </c>
      <c r="AG1144" s="667">
        <v>0</v>
      </c>
      <c r="AH1144" s="716"/>
      <c r="AI1144" s="716"/>
      <c r="AJ1144" s="716"/>
      <c r="AK1144" s="716"/>
      <c r="AL1144" s="716"/>
      <c r="AM1144" s="716"/>
      <c r="AN1144" s="716"/>
      <c r="AO1144" s="716"/>
      <c r="AP1144" s="716"/>
      <c r="AQ1144" s="716"/>
      <c r="AR1144" s="716"/>
      <c r="AS1144" s="716"/>
      <c r="AT1144" s="716"/>
      <c r="AU1144" s="716"/>
      <c r="AV1144" s="716"/>
      <c r="AW1144" s="716"/>
      <c r="AX1144" s="716"/>
      <c r="AY1144" s="716"/>
      <c r="AZ1144" s="716"/>
      <c r="BA1144" s="716"/>
      <c r="BB1144" s="716"/>
      <c r="BC1144" s="716"/>
      <c r="BD1144" s="716"/>
      <c r="BE1144" s="716"/>
      <c r="BF1144" s="716"/>
      <c r="BG1144" s="716"/>
      <c r="BH1144" s="716"/>
      <c r="BI1144" s="716"/>
      <c r="BJ1144" s="716"/>
      <c r="BK1144" s="716"/>
      <c r="BL1144" s="716"/>
      <c r="BM1144" s="716"/>
      <c r="BN1144" s="716"/>
      <c r="BO1144" s="716"/>
      <c r="BP1144" s="716"/>
      <c r="BQ1144" s="716"/>
      <c r="BR1144" s="716"/>
      <c r="BS1144" s="716"/>
      <c r="BT1144" s="716"/>
      <c r="BU1144" s="716"/>
      <c r="BV1144" s="716"/>
      <c r="BW1144" s="716"/>
      <c r="BX1144" s="716"/>
      <c r="BY1144" s="716"/>
      <c r="BZ1144" s="716"/>
      <c r="CA1144" s="716"/>
    </row>
    <row r="1145" spans="1:79" s="740" customFormat="1" hidden="1" outlineLevel="1" x14ac:dyDescent="0.25">
      <c r="A1145" s="659"/>
      <c r="B1145" s="29"/>
      <c r="C1145" s="29"/>
      <c r="D1145" s="29"/>
      <c r="E1145" s="570" t="s">
        <v>49</v>
      </c>
      <c r="F1145" s="659" t="s">
        <v>622</v>
      </c>
      <c r="G1145" s="664">
        <f>SUM(G1136:G1144)</f>
        <v>0</v>
      </c>
      <c r="H1145" s="664">
        <f t="shared" ref="H1145:BO1145" si="473">SUM(H1136:H1144)</f>
        <v>0</v>
      </c>
      <c r="I1145" s="664">
        <f t="shared" si="473"/>
        <v>0</v>
      </c>
      <c r="J1145" s="664">
        <f t="shared" si="473"/>
        <v>0</v>
      </c>
      <c r="K1145" s="664">
        <f t="shared" si="473"/>
        <v>0</v>
      </c>
      <c r="L1145" s="664">
        <f t="shared" si="473"/>
        <v>0</v>
      </c>
      <c r="M1145" s="664">
        <f t="shared" si="473"/>
        <v>0</v>
      </c>
      <c r="N1145" s="664">
        <f t="shared" si="473"/>
        <v>0</v>
      </c>
      <c r="O1145" s="664">
        <f t="shared" si="473"/>
        <v>0</v>
      </c>
      <c r="P1145" s="664">
        <f t="shared" si="473"/>
        <v>0</v>
      </c>
      <c r="Q1145" s="664">
        <f t="shared" si="473"/>
        <v>0</v>
      </c>
      <c r="R1145" s="664">
        <f t="shared" si="473"/>
        <v>0</v>
      </c>
      <c r="S1145" s="680">
        <f t="shared" ref="S1145:AA1145" si="474">ROUND(SUM(S1135:S1144),5)</f>
        <v>10969.8</v>
      </c>
      <c r="T1145" s="680">
        <f t="shared" si="474"/>
        <v>12000</v>
      </c>
      <c r="U1145" s="680">
        <f t="shared" si="474"/>
        <v>16357</v>
      </c>
      <c r="V1145" s="680">
        <f t="shared" si="474"/>
        <v>24946.42</v>
      </c>
      <c r="W1145" s="680">
        <f t="shared" si="474"/>
        <v>7774.1</v>
      </c>
      <c r="X1145" s="680">
        <f t="shared" si="474"/>
        <v>6892.5</v>
      </c>
      <c r="Y1145" s="680">
        <f t="shared" si="474"/>
        <v>1051.32</v>
      </c>
      <c r="Z1145" s="680">
        <f t="shared" si="474"/>
        <v>30011.68</v>
      </c>
      <c r="AA1145" s="680">
        <f t="shared" si="474"/>
        <v>30</v>
      </c>
      <c r="AB1145" s="680">
        <f t="shared" ref="AB1145:AG1145" si="475">ROUND(SUM(AB1135:AB1144),5)</f>
        <v>6227.83</v>
      </c>
      <c r="AC1145" s="680">
        <f t="shared" si="475"/>
        <v>13519</v>
      </c>
      <c r="AD1145" s="680">
        <f t="shared" si="475"/>
        <v>2976.5</v>
      </c>
      <c r="AE1145" s="680">
        <f t="shared" si="475"/>
        <v>22760.65</v>
      </c>
      <c r="AF1145" s="680">
        <f t="shared" si="475"/>
        <v>18886.5</v>
      </c>
      <c r="AG1145" s="680">
        <f t="shared" si="475"/>
        <v>1531.5</v>
      </c>
      <c r="AH1145" s="664">
        <f t="shared" si="473"/>
        <v>0</v>
      </c>
      <c r="AI1145" s="664">
        <f t="shared" si="473"/>
        <v>0</v>
      </c>
      <c r="AJ1145" s="664">
        <f t="shared" si="473"/>
        <v>0</v>
      </c>
      <c r="AK1145" s="664">
        <f t="shared" si="473"/>
        <v>0</v>
      </c>
      <c r="AL1145" s="664">
        <f t="shared" si="473"/>
        <v>0</v>
      </c>
      <c r="AM1145" s="664">
        <f t="shared" si="473"/>
        <v>0</v>
      </c>
      <c r="AN1145" s="664">
        <f t="shared" si="473"/>
        <v>0</v>
      </c>
      <c r="AO1145" s="664">
        <f t="shared" si="473"/>
        <v>0</v>
      </c>
      <c r="AP1145" s="664">
        <f t="shared" si="473"/>
        <v>0</v>
      </c>
      <c r="AQ1145" s="664">
        <f t="shared" si="473"/>
        <v>0</v>
      </c>
      <c r="AR1145" s="664">
        <f t="shared" si="473"/>
        <v>0</v>
      </c>
      <c r="AS1145" s="664">
        <f t="shared" si="473"/>
        <v>0</v>
      </c>
      <c r="AT1145" s="664">
        <f t="shared" si="473"/>
        <v>0</v>
      </c>
      <c r="AU1145" s="664">
        <f t="shared" si="473"/>
        <v>0</v>
      </c>
      <c r="AV1145" s="664">
        <f t="shared" si="473"/>
        <v>0</v>
      </c>
      <c r="AW1145" s="664">
        <f t="shared" si="473"/>
        <v>0</v>
      </c>
      <c r="AX1145" s="664">
        <f t="shared" si="473"/>
        <v>0</v>
      </c>
      <c r="AY1145" s="664">
        <f t="shared" si="473"/>
        <v>0</v>
      </c>
      <c r="AZ1145" s="664">
        <f t="shared" si="473"/>
        <v>0</v>
      </c>
      <c r="BA1145" s="664">
        <f t="shared" si="473"/>
        <v>0</v>
      </c>
      <c r="BB1145" s="664">
        <f t="shared" si="473"/>
        <v>0</v>
      </c>
      <c r="BC1145" s="664">
        <f t="shared" si="473"/>
        <v>0</v>
      </c>
      <c r="BD1145" s="664">
        <f t="shared" si="473"/>
        <v>0</v>
      </c>
      <c r="BE1145" s="664">
        <f t="shared" si="473"/>
        <v>0</v>
      </c>
      <c r="BF1145" s="664">
        <f t="shared" si="473"/>
        <v>0</v>
      </c>
      <c r="BG1145" s="664">
        <f t="shared" si="473"/>
        <v>0</v>
      </c>
      <c r="BH1145" s="664">
        <f t="shared" si="473"/>
        <v>0</v>
      </c>
      <c r="BI1145" s="664">
        <f t="shared" si="473"/>
        <v>0</v>
      </c>
      <c r="BJ1145" s="664">
        <f t="shared" si="473"/>
        <v>0</v>
      </c>
      <c r="BK1145" s="664">
        <f t="shared" si="473"/>
        <v>0</v>
      </c>
      <c r="BL1145" s="664">
        <f t="shared" si="473"/>
        <v>0</v>
      </c>
      <c r="BM1145" s="664">
        <f t="shared" si="473"/>
        <v>0</v>
      </c>
      <c r="BN1145" s="664">
        <f t="shared" si="473"/>
        <v>0</v>
      </c>
      <c r="BO1145" s="664">
        <f t="shared" si="473"/>
        <v>0</v>
      </c>
      <c r="BP1145" s="664">
        <f t="shared" ref="BP1145:CA1145" si="476">SUM(BP1136:BP1144)</f>
        <v>0</v>
      </c>
      <c r="BQ1145" s="664">
        <f t="shared" si="476"/>
        <v>0</v>
      </c>
      <c r="BR1145" s="664">
        <f t="shared" si="476"/>
        <v>0</v>
      </c>
      <c r="BS1145" s="664">
        <f t="shared" si="476"/>
        <v>0</v>
      </c>
      <c r="BT1145" s="664">
        <f t="shared" si="476"/>
        <v>0</v>
      </c>
      <c r="BU1145" s="664">
        <f t="shared" si="476"/>
        <v>0</v>
      </c>
      <c r="BV1145" s="664">
        <f t="shared" si="476"/>
        <v>0</v>
      </c>
      <c r="BW1145" s="664">
        <f t="shared" si="476"/>
        <v>0</v>
      </c>
      <c r="BX1145" s="664">
        <f t="shared" si="476"/>
        <v>0</v>
      </c>
      <c r="BY1145" s="664">
        <f t="shared" si="476"/>
        <v>0</v>
      </c>
      <c r="BZ1145" s="664">
        <f t="shared" si="476"/>
        <v>0</v>
      </c>
      <c r="CA1145" s="664">
        <f t="shared" si="476"/>
        <v>0</v>
      </c>
    </row>
    <row r="1146" spans="1:79" s="700" customFormat="1" hidden="1" outlineLevel="1" x14ac:dyDescent="0.25">
      <c r="A1146" s="691"/>
      <c r="B1146" s="710"/>
      <c r="C1146" s="710"/>
      <c r="D1146" s="710"/>
      <c r="E1146" s="570" t="s">
        <v>1340</v>
      </c>
      <c r="F1146" s="691" t="s">
        <v>623</v>
      </c>
      <c r="G1146" s="733"/>
      <c r="H1146" s="733"/>
      <c r="I1146" s="733"/>
      <c r="J1146" s="733"/>
      <c r="K1146" s="733"/>
      <c r="L1146" s="733"/>
      <c r="M1146" s="733"/>
      <c r="N1146" s="733"/>
      <c r="O1146" s="733"/>
      <c r="P1146" s="734"/>
      <c r="Q1146" s="734"/>
      <c r="R1146" s="734"/>
      <c r="S1146" s="708"/>
      <c r="T1146" s="708"/>
      <c r="U1146" s="708"/>
      <c r="V1146" s="708"/>
      <c r="W1146" s="708"/>
      <c r="X1146" s="708"/>
      <c r="Y1146" s="708"/>
      <c r="Z1146" s="708"/>
      <c r="AA1146" s="708"/>
      <c r="AB1146" s="708"/>
      <c r="AC1146" s="708"/>
      <c r="AD1146" s="708"/>
      <c r="AE1146" s="708"/>
      <c r="AF1146" s="708"/>
      <c r="AG1146" s="708"/>
      <c r="AH1146" s="734"/>
      <c r="AI1146" s="734"/>
      <c r="AJ1146" s="734"/>
      <c r="AK1146" s="734"/>
      <c r="AL1146" s="734"/>
      <c r="AM1146" s="734"/>
      <c r="AN1146" s="734"/>
      <c r="AO1146" s="734"/>
      <c r="AP1146" s="734"/>
      <c r="AQ1146" s="734"/>
      <c r="AR1146" s="734"/>
      <c r="AS1146" s="734"/>
      <c r="AT1146" s="734"/>
      <c r="AU1146" s="734"/>
      <c r="AV1146" s="734"/>
      <c r="AW1146" s="734"/>
      <c r="AX1146" s="734"/>
      <c r="AY1146" s="734"/>
      <c r="AZ1146" s="734"/>
      <c r="BA1146" s="734"/>
      <c r="BB1146" s="734"/>
      <c r="BC1146" s="734"/>
      <c r="BD1146" s="734"/>
      <c r="BE1146" s="734"/>
      <c r="BF1146" s="734"/>
      <c r="BG1146" s="734"/>
      <c r="BH1146" s="734"/>
      <c r="BI1146" s="734"/>
      <c r="BJ1146" s="734"/>
      <c r="BK1146" s="734"/>
      <c r="BL1146" s="734"/>
      <c r="BM1146" s="734"/>
      <c r="BN1146" s="734"/>
      <c r="BO1146" s="734"/>
      <c r="BP1146" s="734"/>
      <c r="BQ1146" s="734"/>
      <c r="BR1146" s="734"/>
      <c r="BS1146" s="734"/>
      <c r="BT1146" s="734"/>
      <c r="BU1146" s="734"/>
      <c r="BV1146" s="734"/>
      <c r="BW1146" s="734"/>
      <c r="BX1146" s="734"/>
      <c r="BY1146" s="734"/>
      <c r="BZ1146" s="734"/>
      <c r="CA1146" s="734"/>
    </row>
    <row r="1147" spans="1:79" s="308" customFormat="1" hidden="1" outlineLevel="1" x14ac:dyDescent="0.25">
      <c r="A1147" s="656"/>
      <c r="B1147" s="710"/>
      <c r="C1147" s="710"/>
      <c r="D1147" s="710"/>
      <c r="E1147" s="570" t="s">
        <v>1340</v>
      </c>
      <c r="F1147" s="656" t="s">
        <v>916</v>
      </c>
      <c r="G1147" s="683"/>
      <c r="H1147" s="683"/>
      <c r="I1147" s="683"/>
      <c r="J1147" s="683"/>
      <c r="K1147" s="683"/>
      <c r="L1147" s="683"/>
      <c r="M1147" s="683"/>
      <c r="N1147" s="683"/>
      <c r="O1147" s="683"/>
      <c r="P1147" s="683"/>
      <c r="Q1147" s="683"/>
      <c r="R1147" s="683"/>
      <c r="S1147" s="684"/>
      <c r="T1147" s="684"/>
      <c r="U1147" s="684"/>
      <c r="V1147" s="684"/>
      <c r="W1147" s="684"/>
      <c r="X1147" s="684"/>
      <c r="Y1147" s="684"/>
      <c r="Z1147" s="684"/>
      <c r="AA1147" s="684"/>
      <c r="AB1147" s="684">
        <v>0</v>
      </c>
      <c r="AC1147" s="684">
        <v>0</v>
      </c>
      <c r="AD1147" s="684">
        <v>0</v>
      </c>
      <c r="AE1147" s="684">
        <v>0</v>
      </c>
      <c r="AF1147" s="684">
        <v>0</v>
      </c>
      <c r="AG1147" s="684">
        <v>0</v>
      </c>
      <c r="AH1147" s="684"/>
      <c r="AI1147" s="684"/>
      <c r="AJ1147" s="684"/>
      <c r="AK1147" s="684"/>
      <c r="AL1147" s="684"/>
      <c r="AM1147" s="684"/>
      <c r="AN1147" s="684"/>
      <c r="AO1147" s="684"/>
      <c r="AP1147" s="684"/>
      <c r="AQ1147" s="684"/>
      <c r="AR1147" s="684"/>
      <c r="AS1147" s="684"/>
      <c r="AT1147" s="684"/>
      <c r="AU1147" s="684"/>
      <c r="AV1147" s="684"/>
      <c r="AW1147" s="684"/>
      <c r="AX1147" s="684"/>
      <c r="AY1147" s="684"/>
      <c r="AZ1147" s="684"/>
      <c r="BA1147" s="684"/>
      <c r="BB1147" s="684"/>
      <c r="BC1147" s="684"/>
      <c r="BD1147" s="684"/>
      <c r="BE1147" s="684"/>
      <c r="BF1147" s="684"/>
      <c r="BG1147" s="684"/>
      <c r="BH1147" s="684"/>
      <c r="BI1147" s="684"/>
      <c r="BJ1147" s="684"/>
      <c r="BK1147" s="684"/>
      <c r="BL1147" s="684"/>
      <c r="BM1147" s="684"/>
      <c r="BN1147" s="684"/>
      <c r="BO1147" s="684"/>
      <c r="BP1147" s="684"/>
      <c r="BQ1147" s="684"/>
      <c r="BR1147" s="684"/>
      <c r="BS1147" s="684"/>
      <c r="BT1147" s="684"/>
      <c r="BU1147" s="684"/>
      <c r="BV1147" s="684"/>
      <c r="BW1147" s="684"/>
      <c r="BX1147" s="684"/>
      <c r="BY1147" s="684"/>
      <c r="BZ1147" s="684"/>
      <c r="CA1147" s="684"/>
    </row>
    <row r="1148" spans="1:79" s="740" customFormat="1" hidden="1" outlineLevel="1" x14ac:dyDescent="0.25">
      <c r="A1148" s="656"/>
      <c r="B1148" s="571"/>
      <c r="C1148" s="571"/>
      <c r="D1148" s="571"/>
      <c r="E1148" s="570" t="s">
        <v>1340</v>
      </c>
      <c r="F1148" s="656" t="s">
        <v>667</v>
      </c>
      <c r="G1148" s="719"/>
      <c r="H1148" s="719"/>
      <c r="I1148" s="719"/>
      <c r="J1148" s="719"/>
      <c r="K1148" s="719"/>
      <c r="L1148" s="719"/>
      <c r="M1148" s="719"/>
      <c r="N1148" s="719"/>
      <c r="O1148" s="719"/>
      <c r="P1148" s="716"/>
      <c r="Q1148" s="716"/>
      <c r="R1148" s="716"/>
      <c r="S1148" s="684">
        <v>0</v>
      </c>
      <c r="T1148" s="684">
        <v>0</v>
      </c>
      <c r="U1148" s="684">
        <v>0</v>
      </c>
      <c r="V1148" s="684">
        <v>0</v>
      </c>
      <c r="W1148" s="684">
        <v>0</v>
      </c>
      <c r="X1148" s="684">
        <v>0</v>
      </c>
      <c r="Y1148" s="684">
        <v>0</v>
      </c>
      <c r="Z1148" s="684">
        <v>0</v>
      </c>
      <c r="AA1148" s="684">
        <v>0</v>
      </c>
      <c r="AB1148" s="684">
        <v>0</v>
      </c>
      <c r="AC1148" s="684">
        <v>0</v>
      </c>
      <c r="AD1148" s="684">
        <v>0</v>
      </c>
      <c r="AE1148" s="684">
        <v>0</v>
      </c>
      <c r="AF1148" s="684">
        <v>0</v>
      </c>
      <c r="AG1148" s="684">
        <v>0</v>
      </c>
      <c r="AH1148" s="716"/>
      <c r="AI1148" s="716"/>
      <c r="AJ1148" s="716"/>
      <c r="AK1148" s="716"/>
      <c r="AL1148" s="716"/>
      <c r="AM1148" s="716"/>
      <c r="AN1148" s="716"/>
      <c r="AO1148" s="716"/>
      <c r="AP1148" s="716"/>
      <c r="AQ1148" s="716"/>
      <c r="AR1148" s="716"/>
      <c r="AS1148" s="716"/>
      <c r="AT1148" s="716"/>
      <c r="AU1148" s="716"/>
      <c r="AV1148" s="716"/>
      <c r="AW1148" s="716"/>
      <c r="AX1148" s="716"/>
      <c r="AY1148" s="716"/>
      <c r="AZ1148" s="716"/>
      <c r="BA1148" s="716"/>
      <c r="BB1148" s="716"/>
      <c r="BC1148" s="716"/>
      <c r="BD1148" s="716"/>
      <c r="BE1148" s="716"/>
      <c r="BF1148" s="716"/>
      <c r="BG1148" s="716"/>
      <c r="BH1148" s="716"/>
      <c r="BI1148" s="716"/>
      <c r="BJ1148" s="716"/>
      <c r="BK1148" s="716"/>
      <c r="BL1148" s="716"/>
      <c r="BM1148" s="716"/>
      <c r="BN1148" s="716"/>
      <c r="BO1148" s="716"/>
      <c r="BP1148" s="716"/>
      <c r="BQ1148" s="716"/>
      <c r="BR1148" s="716"/>
      <c r="BS1148" s="716"/>
      <c r="BT1148" s="716"/>
      <c r="BU1148" s="716"/>
      <c r="BV1148" s="716"/>
      <c r="BW1148" s="716"/>
      <c r="BX1148" s="716"/>
      <c r="BY1148" s="716"/>
      <c r="BZ1148" s="716"/>
      <c r="CA1148" s="716"/>
    </row>
    <row r="1149" spans="1:79" s="740" customFormat="1" hidden="1" outlineLevel="1" x14ac:dyDescent="0.25">
      <c r="A1149" s="656"/>
      <c r="B1149" s="571"/>
      <c r="C1149" s="571"/>
      <c r="D1149" s="571"/>
      <c r="E1149" s="570" t="s">
        <v>1340</v>
      </c>
      <c r="F1149" s="656" t="s">
        <v>762</v>
      </c>
      <c r="G1149" s="719"/>
      <c r="H1149" s="719"/>
      <c r="I1149" s="719"/>
      <c r="J1149" s="719"/>
      <c r="K1149" s="719"/>
      <c r="L1149" s="719"/>
      <c r="M1149" s="719"/>
      <c r="N1149" s="719"/>
      <c r="O1149" s="719"/>
      <c r="P1149" s="716"/>
      <c r="Q1149" s="716"/>
      <c r="R1149" s="716"/>
      <c r="S1149" s="684">
        <v>0</v>
      </c>
      <c r="T1149" s="684">
        <v>0</v>
      </c>
      <c r="U1149" s="684">
        <v>0</v>
      </c>
      <c r="V1149" s="684">
        <v>0</v>
      </c>
      <c r="W1149" s="684">
        <v>0</v>
      </c>
      <c r="X1149" s="684">
        <v>0</v>
      </c>
      <c r="Y1149" s="684">
        <v>0</v>
      </c>
      <c r="Z1149" s="684">
        <v>0</v>
      </c>
      <c r="AA1149" s="684">
        <v>0</v>
      </c>
      <c r="AB1149" s="684">
        <v>0</v>
      </c>
      <c r="AC1149" s="684">
        <v>0</v>
      </c>
      <c r="AD1149" s="684">
        <v>0</v>
      </c>
      <c r="AE1149" s="684">
        <v>0</v>
      </c>
      <c r="AF1149" s="684">
        <v>0</v>
      </c>
      <c r="AG1149" s="684">
        <v>0</v>
      </c>
      <c r="AH1149" s="716"/>
      <c r="AI1149" s="716"/>
      <c r="AJ1149" s="716"/>
      <c r="AK1149" s="716"/>
      <c r="AL1149" s="716"/>
      <c r="AM1149" s="716"/>
      <c r="AN1149" s="716"/>
      <c r="AO1149" s="716"/>
      <c r="AP1149" s="716"/>
      <c r="AQ1149" s="716"/>
      <c r="AR1149" s="716"/>
      <c r="AS1149" s="716"/>
      <c r="AT1149" s="716"/>
      <c r="AU1149" s="716"/>
      <c r="AV1149" s="716"/>
      <c r="AW1149" s="716"/>
      <c r="AX1149" s="716"/>
      <c r="AY1149" s="716"/>
      <c r="AZ1149" s="716"/>
      <c r="BA1149" s="716"/>
      <c r="BB1149" s="716"/>
      <c r="BC1149" s="716"/>
      <c r="BD1149" s="716"/>
      <c r="BE1149" s="716"/>
      <c r="BF1149" s="716"/>
      <c r="BG1149" s="716"/>
      <c r="BH1149" s="716"/>
      <c r="BI1149" s="716"/>
      <c r="BJ1149" s="716"/>
      <c r="BK1149" s="716"/>
      <c r="BL1149" s="716"/>
      <c r="BM1149" s="716"/>
      <c r="BN1149" s="716"/>
      <c r="BO1149" s="716"/>
      <c r="BP1149" s="716"/>
      <c r="BQ1149" s="716"/>
      <c r="BR1149" s="716"/>
      <c r="BS1149" s="716"/>
      <c r="BT1149" s="716"/>
      <c r="BU1149" s="716"/>
      <c r="BV1149" s="716"/>
      <c r="BW1149" s="716"/>
      <c r="BX1149" s="716"/>
      <c r="BY1149" s="716"/>
      <c r="BZ1149" s="716"/>
      <c r="CA1149" s="716"/>
    </row>
    <row r="1150" spans="1:79" s="740" customFormat="1" hidden="1" outlineLevel="1" x14ac:dyDescent="0.25">
      <c r="A1150" s="656"/>
      <c r="B1150" s="571"/>
      <c r="C1150" s="571"/>
      <c r="D1150" s="571"/>
      <c r="E1150" s="570" t="s">
        <v>338</v>
      </c>
      <c r="F1150" s="656" t="s">
        <v>624</v>
      </c>
      <c r="G1150" s="719"/>
      <c r="H1150" s="719"/>
      <c r="I1150" s="719"/>
      <c r="J1150" s="719"/>
      <c r="K1150" s="719"/>
      <c r="L1150" s="719"/>
      <c r="M1150" s="719"/>
      <c r="N1150" s="719"/>
      <c r="O1150" s="719"/>
      <c r="P1150" s="716"/>
      <c r="Q1150" s="716"/>
      <c r="R1150" s="716"/>
      <c r="S1150" s="684">
        <v>0</v>
      </c>
      <c r="T1150" s="684">
        <v>0</v>
      </c>
      <c r="U1150" s="684">
        <v>0</v>
      </c>
      <c r="V1150" s="684">
        <v>0</v>
      </c>
      <c r="W1150" s="684">
        <v>0</v>
      </c>
      <c r="X1150" s="684">
        <v>0</v>
      </c>
      <c r="Y1150" s="684">
        <v>0</v>
      </c>
      <c r="Z1150" s="684">
        <v>0</v>
      </c>
      <c r="AA1150" s="684">
        <v>0</v>
      </c>
      <c r="AB1150" s="684">
        <v>0</v>
      </c>
      <c r="AC1150" s="684">
        <v>0</v>
      </c>
      <c r="AD1150" s="684">
        <v>0</v>
      </c>
      <c r="AE1150" s="684">
        <v>0</v>
      </c>
      <c r="AF1150" s="684">
        <v>0</v>
      </c>
      <c r="AG1150" s="684">
        <v>0</v>
      </c>
      <c r="AH1150" s="716"/>
      <c r="AI1150" s="716"/>
      <c r="AJ1150" s="716"/>
      <c r="AK1150" s="716"/>
      <c r="AL1150" s="716"/>
      <c r="AM1150" s="716"/>
      <c r="AN1150" s="716"/>
      <c r="AO1150" s="716"/>
      <c r="AP1150" s="716"/>
      <c r="AQ1150" s="716"/>
      <c r="AR1150" s="716"/>
      <c r="AS1150" s="716"/>
      <c r="AT1150" s="716"/>
      <c r="AU1150" s="716"/>
      <c r="AV1150" s="716"/>
      <c r="AW1150" s="716"/>
      <c r="AX1150" s="716"/>
      <c r="AY1150" s="716"/>
      <c r="AZ1150" s="716"/>
      <c r="BA1150" s="716"/>
      <c r="BB1150" s="716"/>
      <c r="BC1150" s="716"/>
      <c r="BD1150" s="716"/>
      <c r="BE1150" s="716"/>
      <c r="BF1150" s="716"/>
      <c r="BG1150" s="716"/>
      <c r="BH1150" s="716"/>
      <c r="BI1150" s="716"/>
      <c r="BJ1150" s="716"/>
      <c r="BK1150" s="716"/>
      <c r="BL1150" s="716"/>
      <c r="BM1150" s="716"/>
      <c r="BN1150" s="716"/>
      <c r="BO1150" s="716"/>
      <c r="BP1150" s="716"/>
      <c r="BQ1150" s="716"/>
      <c r="BR1150" s="716"/>
      <c r="BS1150" s="716"/>
      <c r="BT1150" s="716"/>
      <c r="BU1150" s="716"/>
      <c r="BV1150" s="716"/>
      <c r="BW1150" s="716"/>
      <c r="BX1150" s="716"/>
      <c r="BY1150" s="716"/>
      <c r="BZ1150" s="716"/>
      <c r="CA1150" s="716"/>
    </row>
    <row r="1151" spans="1:79" s="740" customFormat="1" hidden="1" outlineLevel="1" x14ac:dyDescent="0.25">
      <c r="A1151" s="656"/>
      <c r="B1151" s="571"/>
      <c r="C1151" s="571"/>
      <c r="D1151" s="571"/>
      <c r="E1151" s="570" t="s">
        <v>1341</v>
      </c>
      <c r="F1151" s="656" t="s">
        <v>651</v>
      </c>
      <c r="G1151" s="719"/>
      <c r="H1151" s="719"/>
      <c r="I1151" s="719"/>
      <c r="J1151" s="719"/>
      <c r="K1151" s="719"/>
      <c r="L1151" s="719"/>
      <c r="M1151" s="719"/>
      <c r="N1151" s="719"/>
      <c r="O1151" s="719"/>
      <c r="P1151" s="716"/>
      <c r="Q1151" s="716"/>
      <c r="R1151" s="716"/>
      <c r="S1151" s="684">
        <v>0</v>
      </c>
      <c r="T1151" s="684">
        <v>0</v>
      </c>
      <c r="U1151" s="684">
        <v>0</v>
      </c>
      <c r="V1151" s="684">
        <v>0</v>
      </c>
      <c r="W1151" s="684">
        <v>0</v>
      </c>
      <c r="X1151" s="684">
        <v>0</v>
      </c>
      <c r="Y1151" s="684">
        <v>0</v>
      </c>
      <c r="Z1151" s="684">
        <v>0</v>
      </c>
      <c r="AA1151" s="684">
        <v>0</v>
      </c>
      <c r="AB1151" s="684">
        <v>0</v>
      </c>
      <c r="AC1151" s="684">
        <v>0</v>
      </c>
      <c r="AD1151" s="684">
        <v>0</v>
      </c>
      <c r="AE1151" s="684">
        <v>0</v>
      </c>
      <c r="AF1151" s="684">
        <v>0</v>
      </c>
      <c r="AG1151" s="684">
        <v>0</v>
      </c>
      <c r="AH1151" s="716"/>
      <c r="AI1151" s="716"/>
      <c r="AJ1151" s="716"/>
      <c r="AK1151" s="716"/>
      <c r="AL1151" s="716"/>
      <c r="AM1151" s="716"/>
      <c r="AN1151" s="716"/>
      <c r="AO1151" s="716"/>
      <c r="AP1151" s="716"/>
      <c r="AQ1151" s="716"/>
      <c r="AR1151" s="716"/>
      <c r="AS1151" s="716"/>
      <c r="AT1151" s="716"/>
      <c r="AU1151" s="716"/>
      <c r="AV1151" s="716"/>
      <c r="AW1151" s="716"/>
      <c r="AX1151" s="716"/>
      <c r="AY1151" s="716"/>
      <c r="AZ1151" s="716"/>
      <c r="BA1151" s="716"/>
      <c r="BB1151" s="716"/>
      <c r="BC1151" s="716"/>
      <c r="BD1151" s="716"/>
      <c r="BE1151" s="716"/>
      <c r="BF1151" s="716"/>
      <c r="BG1151" s="716"/>
      <c r="BH1151" s="716"/>
      <c r="BI1151" s="716"/>
      <c r="BJ1151" s="716"/>
      <c r="BK1151" s="716"/>
      <c r="BL1151" s="716"/>
      <c r="BM1151" s="716"/>
      <c r="BN1151" s="716"/>
      <c r="BO1151" s="716"/>
      <c r="BP1151" s="716"/>
      <c r="BQ1151" s="716"/>
      <c r="BR1151" s="716"/>
      <c r="BS1151" s="716"/>
      <c r="BT1151" s="716"/>
      <c r="BU1151" s="716"/>
      <c r="BV1151" s="716"/>
      <c r="BW1151" s="716"/>
      <c r="BX1151" s="716"/>
      <c r="BY1151" s="716"/>
      <c r="BZ1151" s="716"/>
      <c r="CA1151" s="716"/>
    </row>
    <row r="1152" spans="1:79" s="740" customFormat="1" hidden="1" outlineLevel="1" x14ac:dyDescent="0.25">
      <c r="A1152" s="656"/>
      <c r="B1152" s="571"/>
      <c r="C1152" s="571"/>
      <c r="D1152" s="571"/>
      <c r="E1152" s="570" t="s">
        <v>1340</v>
      </c>
      <c r="F1152" s="656" t="s">
        <v>668</v>
      </c>
      <c r="G1152" s="719"/>
      <c r="H1152" s="719"/>
      <c r="I1152" s="719"/>
      <c r="J1152" s="719"/>
      <c r="K1152" s="719"/>
      <c r="L1152" s="719"/>
      <c r="M1152" s="719"/>
      <c r="N1152" s="719"/>
      <c r="O1152" s="719"/>
      <c r="P1152" s="716"/>
      <c r="Q1152" s="716"/>
      <c r="R1152" s="716"/>
      <c r="S1152" s="684">
        <v>0</v>
      </c>
      <c r="T1152" s="684">
        <v>0</v>
      </c>
      <c r="U1152" s="684">
        <v>0</v>
      </c>
      <c r="V1152" s="684">
        <v>0</v>
      </c>
      <c r="W1152" s="684">
        <v>0</v>
      </c>
      <c r="X1152" s="684">
        <v>0</v>
      </c>
      <c r="Y1152" s="684">
        <v>0</v>
      </c>
      <c r="Z1152" s="684">
        <v>0</v>
      </c>
      <c r="AA1152" s="684">
        <v>0</v>
      </c>
      <c r="AB1152" s="684">
        <v>0</v>
      </c>
      <c r="AC1152" s="684">
        <v>0</v>
      </c>
      <c r="AD1152" s="684">
        <v>0</v>
      </c>
      <c r="AE1152" s="684">
        <v>0</v>
      </c>
      <c r="AF1152" s="684">
        <v>0</v>
      </c>
      <c r="AG1152" s="684">
        <v>0</v>
      </c>
      <c r="AH1152" s="716"/>
      <c r="AI1152" s="716"/>
      <c r="AJ1152" s="716"/>
      <c r="AK1152" s="716"/>
      <c r="AL1152" s="716"/>
      <c r="AM1152" s="716"/>
      <c r="AN1152" s="716"/>
      <c r="AO1152" s="716"/>
      <c r="AP1152" s="716"/>
      <c r="AQ1152" s="716"/>
      <c r="AR1152" s="716"/>
      <c r="AS1152" s="716"/>
      <c r="AT1152" s="716"/>
      <c r="AU1152" s="716"/>
      <c r="AV1152" s="716"/>
      <c r="AW1152" s="716"/>
      <c r="AX1152" s="716"/>
      <c r="AY1152" s="716"/>
      <c r="AZ1152" s="716"/>
      <c r="BA1152" s="716"/>
      <c r="BB1152" s="716"/>
      <c r="BC1152" s="716"/>
      <c r="BD1152" s="716"/>
      <c r="BE1152" s="716"/>
      <c r="BF1152" s="716"/>
      <c r="BG1152" s="716"/>
      <c r="BH1152" s="716"/>
      <c r="BI1152" s="716"/>
      <c r="BJ1152" s="716"/>
      <c r="BK1152" s="716"/>
      <c r="BL1152" s="716"/>
      <c r="BM1152" s="716"/>
      <c r="BN1152" s="716"/>
      <c r="BO1152" s="716"/>
      <c r="BP1152" s="716"/>
      <c r="BQ1152" s="716"/>
      <c r="BR1152" s="716"/>
      <c r="BS1152" s="716"/>
      <c r="BT1152" s="716"/>
      <c r="BU1152" s="716"/>
      <c r="BV1152" s="716"/>
      <c r="BW1152" s="716"/>
      <c r="BX1152" s="716"/>
      <c r="BY1152" s="716"/>
      <c r="BZ1152" s="716"/>
      <c r="CA1152" s="716"/>
    </row>
    <row r="1153" spans="1:79" s="740" customFormat="1" hidden="1" outlineLevel="1" x14ac:dyDescent="0.25">
      <c r="A1153" s="657"/>
      <c r="B1153" s="571"/>
      <c r="C1153" s="571"/>
      <c r="D1153" s="571"/>
      <c r="E1153" s="570" t="s">
        <v>49</v>
      </c>
      <c r="F1153" s="657" t="s">
        <v>625</v>
      </c>
      <c r="G1153" s="664">
        <f>SUM(G1148:G1152)</f>
        <v>0</v>
      </c>
      <c r="H1153" s="664">
        <f t="shared" ref="H1153:BO1153" si="477">SUM(H1148:H1152)</f>
        <v>0</v>
      </c>
      <c r="I1153" s="664">
        <f t="shared" si="477"/>
        <v>0</v>
      </c>
      <c r="J1153" s="664">
        <f t="shared" si="477"/>
        <v>0</v>
      </c>
      <c r="K1153" s="664">
        <f t="shared" si="477"/>
        <v>0</v>
      </c>
      <c r="L1153" s="664">
        <f t="shared" si="477"/>
        <v>0</v>
      </c>
      <c r="M1153" s="664">
        <f t="shared" si="477"/>
        <v>0</v>
      </c>
      <c r="N1153" s="664">
        <f t="shared" si="477"/>
        <v>0</v>
      </c>
      <c r="O1153" s="664">
        <f t="shared" si="477"/>
        <v>0</v>
      </c>
      <c r="P1153" s="664">
        <f t="shared" si="477"/>
        <v>0</v>
      </c>
      <c r="Q1153" s="664">
        <f t="shared" si="477"/>
        <v>0</v>
      </c>
      <c r="R1153" s="664">
        <f t="shared" si="477"/>
        <v>0</v>
      </c>
      <c r="S1153" s="680">
        <f t="shared" ref="S1153:AA1153" si="478">ROUND(SUM(S1146:S1152),5)</f>
        <v>0</v>
      </c>
      <c r="T1153" s="680">
        <f t="shared" si="478"/>
        <v>0</v>
      </c>
      <c r="U1153" s="680">
        <f t="shared" si="478"/>
        <v>0</v>
      </c>
      <c r="V1153" s="680">
        <f t="shared" si="478"/>
        <v>0</v>
      </c>
      <c r="W1153" s="680">
        <f t="shared" si="478"/>
        <v>0</v>
      </c>
      <c r="X1153" s="680">
        <f t="shared" si="478"/>
        <v>0</v>
      </c>
      <c r="Y1153" s="680">
        <f t="shared" si="478"/>
        <v>0</v>
      </c>
      <c r="Z1153" s="680">
        <f t="shared" si="478"/>
        <v>0</v>
      </c>
      <c r="AA1153" s="680">
        <f t="shared" si="478"/>
        <v>0</v>
      </c>
      <c r="AB1153" s="680">
        <f t="shared" ref="AB1153:AG1153" si="479">ROUND(SUM(AB1146:AB1152),5)</f>
        <v>0</v>
      </c>
      <c r="AC1153" s="680">
        <f t="shared" si="479"/>
        <v>0</v>
      </c>
      <c r="AD1153" s="680">
        <f t="shared" si="479"/>
        <v>0</v>
      </c>
      <c r="AE1153" s="680">
        <f t="shared" si="479"/>
        <v>0</v>
      </c>
      <c r="AF1153" s="680">
        <f t="shared" si="479"/>
        <v>0</v>
      </c>
      <c r="AG1153" s="680">
        <f t="shared" si="479"/>
        <v>0</v>
      </c>
      <c r="AH1153" s="664">
        <f t="shared" si="477"/>
        <v>0</v>
      </c>
      <c r="AI1153" s="664">
        <f t="shared" si="477"/>
        <v>0</v>
      </c>
      <c r="AJ1153" s="664">
        <f t="shared" si="477"/>
        <v>0</v>
      </c>
      <c r="AK1153" s="664">
        <f t="shared" si="477"/>
        <v>0</v>
      </c>
      <c r="AL1153" s="664">
        <f t="shared" si="477"/>
        <v>0</v>
      </c>
      <c r="AM1153" s="664">
        <f t="shared" si="477"/>
        <v>0</v>
      </c>
      <c r="AN1153" s="664">
        <f t="shared" si="477"/>
        <v>0</v>
      </c>
      <c r="AO1153" s="664">
        <f t="shared" si="477"/>
        <v>0</v>
      </c>
      <c r="AP1153" s="664">
        <f t="shared" si="477"/>
        <v>0</v>
      </c>
      <c r="AQ1153" s="664">
        <f t="shared" si="477"/>
        <v>0</v>
      </c>
      <c r="AR1153" s="664">
        <f t="shared" si="477"/>
        <v>0</v>
      </c>
      <c r="AS1153" s="664">
        <f t="shared" si="477"/>
        <v>0</v>
      </c>
      <c r="AT1153" s="664">
        <f t="shared" si="477"/>
        <v>0</v>
      </c>
      <c r="AU1153" s="664">
        <f t="shared" si="477"/>
        <v>0</v>
      </c>
      <c r="AV1153" s="664">
        <f t="shared" si="477"/>
        <v>0</v>
      </c>
      <c r="AW1153" s="664">
        <f t="shared" si="477"/>
        <v>0</v>
      </c>
      <c r="AX1153" s="664">
        <f t="shared" si="477"/>
        <v>0</v>
      </c>
      <c r="AY1153" s="664">
        <f t="shared" si="477"/>
        <v>0</v>
      </c>
      <c r="AZ1153" s="664">
        <f t="shared" si="477"/>
        <v>0</v>
      </c>
      <c r="BA1153" s="664">
        <f t="shared" si="477"/>
        <v>0</v>
      </c>
      <c r="BB1153" s="664">
        <f t="shared" si="477"/>
        <v>0</v>
      </c>
      <c r="BC1153" s="664">
        <f t="shared" si="477"/>
        <v>0</v>
      </c>
      <c r="BD1153" s="664">
        <f t="shared" si="477"/>
        <v>0</v>
      </c>
      <c r="BE1153" s="664">
        <f t="shared" si="477"/>
        <v>0</v>
      </c>
      <c r="BF1153" s="664">
        <f t="shared" si="477"/>
        <v>0</v>
      </c>
      <c r="BG1153" s="664">
        <f t="shared" si="477"/>
        <v>0</v>
      </c>
      <c r="BH1153" s="664">
        <f t="shared" si="477"/>
        <v>0</v>
      </c>
      <c r="BI1153" s="664">
        <f t="shared" si="477"/>
        <v>0</v>
      </c>
      <c r="BJ1153" s="664">
        <f t="shared" si="477"/>
        <v>0</v>
      </c>
      <c r="BK1153" s="664">
        <f t="shared" si="477"/>
        <v>0</v>
      </c>
      <c r="BL1153" s="664">
        <f t="shared" si="477"/>
        <v>0</v>
      </c>
      <c r="BM1153" s="664">
        <f t="shared" si="477"/>
        <v>0</v>
      </c>
      <c r="BN1153" s="664">
        <f t="shared" si="477"/>
        <v>0</v>
      </c>
      <c r="BO1153" s="664">
        <f t="shared" si="477"/>
        <v>0</v>
      </c>
      <c r="BP1153" s="664">
        <f t="shared" ref="BP1153:CA1153" si="480">SUM(BP1148:BP1152)</f>
        <v>0</v>
      </c>
      <c r="BQ1153" s="664">
        <f t="shared" si="480"/>
        <v>0</v>
      </c>
      <c r="BR1153" s="664">
        <f t="shared" si="480"/>
        <v>0</v>
      </c>
      <c r="BS1153" s="664">
        <f t="shared" si="480"/>
        <v>0</v>
      </c>
      <c r="BT1153" s="664">
        <f t="shared" si="480"/>
        <v>0</v>
      </c>
      <c r="BU1153" s="664">
        <f t="shared" si="480"/>
        <v>0</v>
      </c>
      <c r="BV1153" s="664">
        <f t="shared" si="480"/>
        <v>0</v>
      </c>
      <c r="BW1153" s="664">
        <f t="shared" si="480"/>
        <v>0</v>
      </c>
      <c r="BX1153" s="664">
        <f t="shared" si="480"/>
        <v>0</v>
      </c>
      <c r="BY1153" s="664">
        <f t="shared" si="480"/>
        <v>0</v>
      </c>
      <c r="BZ1153" s="664">
        <f t="shared" si="480"/>
        <v>0</v>
      </c>
      <c r="CA1153" s="664">
        <f t="shared" si="480"/>
        <v>0</v>
      </c>
    </row>
    <row r="1154" spans="1:79" s="700" customFormat="1" hidden="1" outlineLevel="1" x14ac:dyDescent="0.25">
      <c r="A1154" s="691"/>
      <c r="B1154" s="710"/>
      <c r="C1154" s="710"/>
      <c r="D1154" s="710"/>
      <c r="E1154" s="570" t="s">
        <v>1342</v>
      </c>
      <c r="F1154" s="691" t="s">
        <v>669</v>
      </c>
      <c r="G1154" s="733"/>
      <c r="H1154" s="733"/>
      <c r="I1154" s="733"/>
      <c r="J1154" s="733"/>
      <c r="K1154" s="733"/>
      <c r="L1154" s="733"/>
      <c r="M1154" s="733"/>
      <c r="N1154" s="733"/>
      <c r="O1154" s="733"/>
      <c r="P1154" s="734"/>
      <c r="Q1154" s="734"/>
      <c r="R1154" s="734"/>
      <c r="S1154" s="708"/>
      <c r="T1154" s="708"/>
      <c r="U1154" s="708"/>
      <c r="V1154" s="708"/>
      <c r="W1154" s="708"/>
      <c r="X1154" s="708"/>
      <c r="Y1154" s="708"/>
      <c r="Z1154" s="708"/>
      <c r="AA1154" s="708"/>
      <c r="AB1154" s="708"/>
      <c r="AC1154" s="708"/>
      <c r="AD1154" s="708"/>
      <c r="AE1154" s="708"/>
      <c r="AF1154" s="708"/>
      <c r="AG1154" s="708"/>
      <c r="AH1154" s="734"/>
      <c r="AI1154" s="734"/>
      <c r="AJ1154" s="734"/>
      <c r="AK1154" s="734"/>
      <c r="AL1154" s="734"/>
      <c r="AM1154" s="734"/>
      <c r="AN1154" s="734"/>
      <c r="AO1154" s="734"/>
      <c r="AP1154" s="734"/>
      <c r="AQ1154" s="734"/>
      <c r="AR1154" s="734"/>
      <c r="AS1154" s="734"/>
      <c r="AT1154" s="734"/>
      <c r="AU1154" s="734"/>
      <c r="AV1154" s="734"/>
      <c r="AW1154" s="734"/>
      <c r="AX1154" s="734"/>
      <c r="AY1154" s="734"/>
      <c r="AZ1154" s="734"/>
      <c r="BA1154" s="734"/>
      <c r="BB1154" s="734"/>
      <c r="BC1154" s="734"/>
      <c r="BD1154" s="734"/>
      <c r="BE1154" s="734"/>
      <c r="BF1154" s="734"/>
      <c r="BG1154" s="734"/>
      <c r="BH1154" s="734"/>
      <c r="BI1154" s="734"/>
      <c r="BJ1154" s="734"/>
      <c r="BK1154" s="734"/>
      <c r="BL1154" s="734"/>
      <c r="BM1154" s="734"/>
      <c r="BN1154" s="734"/>
      <c r="BO1154" s="734"/>
      <c r="BP1154" s="734"/>
      <c r="BQ1154" s="734"/>
      <c r="BR1154" s="734"/>
      <c r="BS1154" s="734"/>
      <c r="BT1154" s="734"/>
      <c r="BU1154" s="734"/>
      <c r="BV1154" s="734"/>
      <c r="BW1154" s="734"/>
      <c r="BX1154" s="734"/>
      <c r="BY1154" s="734"/>
      <c r="BZ1154" s="734"/>
      <c r="CA1154" s="734"/>
    </row>
    <row r="1155" spans="1:79" s="740" customFormat="1" hidden="1" outlineLevel="1" x14ac:dyDescent="0.25">
      <c r="A1155" s="656"/>
      <c r="B1155" s="571"/>
      <c r="C1155" s="571"/>
      <c r="D1155" s="571"/>
      <c r="E1155" s="570" t="s">
        <v>1342</v>
      </c>
      <c r="F1155" s="656" t="s">
        <v>670</v>
      </c>
      <c r="G1155" s="719"/>
      <c r="H1155" s="719"/>
      <c r="I1155" s="719"/>
      <c r="J1155" s="719"/>
      <c r="K1155" s="719"/>
      <c r="L1155" s="719"/>
      <c r="M1155" s="719"/>
      <c r="N1155" s="719"/>
      <c r="O1155" s="719"/>
      <c r="P1155" s="716"/>
      <c r="Q1155" s="716"/>
      <c r="R1155" s="716"/>
      <c r="S1155" s="684">
        <v>0</v>
      </c>
      <c r="T1155" s="684">
        <v>0</v>
      </c>
      <c r="U1155" s="684">
        <v>0</v>
      </c>
      <c r="V1155" s="684">
        <v>0</v>
      </c>
      <c r="W1155" s="684">
        <v>0</v>
      </c>
      <c r="X1155" s="684">
        <v>0</v>
      </c>
      <c r="Y1155" s="684">
        <v>0</v>
      </c>
      <c r="Z1155" s="684">
        <v>0</v>
      </c>
      <c r="AA1155" s="684">
        <v>0</v>
      </c>
      <c r="AB1155" s="684">
        <v>0</v>
      </c>
      <c r="AC1155" s="684">
        <v>0</v>
      </c>
      <c r="AD1155" s="684">
        <v>0</v>
      </c>
      <c r="AE1155" s="684">
        <v>0</v>
      </c>
      <c r="AF1155" s="684">
        <v>0</v>
      </c>
      <c r="AG1155" s="684">
        <v>0</v>
      </c>
      <c r="AH1155" s="716"/>
      <c r="AI1155" s="716"/>
      <c r="AJ1155" s="716"/>
      <c r="AK1155" s="716"/>
      <c r="AL1155" s="716"/>
      <c r="AM1155" s="716"/>
      <c r="AN1155" s="716"/>
      <c r="AO1155" s="716"/>
      <c r="AP1155" s="716"/>
      <c r="AQ1155" s="716"/>
      <c r="AR1155" s="716"/>
      <c r="AS1155" s="716"/>
      <c r="AT1155" s="716"/>
      <c r="AU1155" s="716"/>
      <c r="AV1155" s="716"/>
      <c r="AW1155" s="716"/>
      <c r="AX1155" s="716"/>
      <c r="AY1155" s="716"/>
      <c r="AZ1155" s="716"/>
      <c r="BA1155" s="716"/>
      <c r="BB1155" s="716"/>
      <c r="BC1155" s="716"/>
      <c r="BD1155" s="716"/>
      <c r="BE1155" s="716"/>
      <c r="BF1155" s="716"/>
      <c r="BG1155" s="716"/>
      <c r="BH1155" s="716"/>
      <c r="BI1155" s="716"/>
      <c r="BJ1155" s="716"/>
      <c r="BK1155" s="716"/>
      <c r="BL1155" s="716"/>
      <c r="BM1155" s="716"/>
      <c r="BN1155" s="716"/>
      <c r="BO1155" s="716"/>
      <c r="BP1155" s="716"/>
      <c r="BQ1155" s="716"/>
      <c r="BR1155" s="716"/>
      <c r="BS1155" s="716"/>
      <c r="BT1155" s="716"/>
      <c r="BU1155" s="716"/>
      <c r="BV1155" s="716"/>
      <c r="BW1155" s="716"/>
      <c r="BX1155" s="716"/>
      <c r="BY1155" s="716"/>
      <c r="BZ1155" s="716"/>
      <c r="CA1155" s="716"/>
    </row>
    <row r="1156" spans="1:79" s="740" customFormat="1" hidden="1" outlineLevel="1" x14ac:dyDescent="0.25">
      <c r="A1156" s="656"/>
      <c r="B1156" s="571"/>
      <c r="C1156" s="571"/>
      <c r="D1156" s="571"/>
      <c r="E1156" s="570" t="s">
        <v>1342</v>
      </c>
      <c r="F1156" s="656" t="s">
        <v>891</v>
      </c>
      <c r="G1156" s="719"/>
      <c r="H1156" s="719"/>
      <c r="I1156" s="719"/>
      <c r="J1156" s="719"/>
      <c r="K1156" s="719"/>
      <c r="L1156" s="719"/>
      <c r="M1156" s="719"/>
      <c r="N1156" s="719"/>
      <c r="O1156" s="719"/>
      <c r="P1156" s="716"/>
      <c r="Q1156" s="716"/>
      <c r="R1156" s="716"/>
      <c r="S1156" s="684">
        <v>0</v>
      </c>
      <c r="T1156" s="684">
        <v>0</v>
      </c>
      <c r="U1156" s="684">
        <v>0</v>
      </c>
      <c r="V1156" s="684">
        <v>0</v>
      </c>
      <c r="W1156" s="684">
        <v>0</v>
      </c>
      <c r="X1156" s="684">
        <v>0</v>
      </c>
      <c r="Y1156" s="684">
        <v>0</v>
      </c>
      <c r="Z1156" s="684">
        <v>0</v>
      </c>
      <c r="AA1156" s="684">
        <v>0</v>
      </c>
      <c r="AB1156" s="684">
        <v>0</v>
      </c>
      <c r="AC1156" s="684">
        <v>0</v>
      </c>
      <c r="AD1156" s="684">
        <v>0</v>
      </c>
      <c r="AE1156" s="684">
        <v>0</v>
      </c>
      <c r="AF1156" s="684">
        <v>0</v>
      </c>
      <c r="AG1156" s="684">
        <v>0</v>
      </c>
      <c r="AH1156" s="716"/>
      <c r="AI1156" s="716"/>
      <c r="AJ1156" s="716"/>
      <c r="AK1156" s="716"/>
      <c r="AL1156" s="716"/>
      <c r="AM1156" s="716"/>
      <c r="AN1156" s="716"/>
      <c r="AO1156" s="716"/>
      <c r="AP1156" s="716"/>
      <c r="AQ1156" s="716"/>
      <c r="AR1156" s="716"/>
      <c r="AS1156" s="716"/>
      <c r="AT1156" s="716"/>
      <c r="AU1156" s="716"/>
      <c r="AV1156" s="716"/>
      <c r="AW1156" s="716"/>
      <c r="AX1156" s="716"/>
      <c r="AY1156" s="716"/>
      <c r="AZ1156" s="716"/>
      <c r="BA1156" s="716"/>
      <c r="BB1156" s="716"/>
      <c r="BC1156" s="716"/>
      <c r="BD1156" s="716"/>
      <c r="BE1156" s="716"/>
      <c r="BF1156" s="716"/>
      <c r="BG1156" s="716"/>
      <c r="BH1156" s="716"/>
      <c r="BI1156" s="716"/>
      <c r="BJ1156" s="716"/>
      <c r="BK1156" s="716"/>
      <c r="BL1156" s="716"/>
      <c r="BM1156" s="716"/>
      <c r="BN1156" s="716"/>
      <c r="BO1156" s="716"/>
      <c r="BP1156" s="716"/>
      <c r="BQ1156" s="716"/>
      <c r="BR1156" s="716"/>
      <c r="BS1156" s="716"/>
      <c r="BT1156" s="716"/>
      <c r="BU1156" s="716"/>
      <c r="BV1156" s="716"/>
      <c r="BW1156" s="716"/>
      <c r="BX1156" s="716"/>
      <c r="BY1156" s="716"/>
      <c r="BZ1156" s="716"/>
      <c r="CA1156" s="716"/>
    </row>
    <row r="1157" spans="1:79" s="740" customFormat="1" hidden="1" outlineLevel="1" x14ac:dyDescent="0.25">
      <c r="A1157" s="656"/>
      <c r="B1157" s="571"/>
      <c r="C1157" s="571"/>
      <c r="D1157" s="571"/>
      <c r="E1157" s="570" t="s">
        <v>1342</v>
      </c>
      <c r="F1157" s="656" t="s">
        <v>671</v>
      </c>
      <c r="G1157" s="719"/>
      <c r="H1157" s="719"/>
      <c r="I1157" s="719"/>
      <c r="J1157" s="719"/>
      <c r="K1157" s="719"/>
      <c r="L1157" s="719"/>
      <c r="M1157" s="719"/>
      <c r="N1157" s="719"/>
      <c r="O1157" s="719"/>
      <c r="P1157" s="716"/>
      <c r="Q1157" s="716"/>
      <c r="R1157" s="716"/>
      <c r="S1157" s="684">
        <v>0</v>
      </c>
      <c r="T1157" s="684">
        <v>0</v>
      </c>
      <c r="U1157" s="684">
        <v>0</v>
      </c>
      <c r="V1157" s="684">
        <v>0</v>
      </c>
      <c r="W1157" s="684">
        <v>0</v>
      </c>
      <c r="X1157" s="684">
        <v>0</v>
      </c>
      <c r="Y1157" s="684">
        <v>0</v>
      </c>
      <c r="Z1157" s="684">
        <v>0</v>
      </c>
      <c r="AA1157" s="684">
        <v>0</v>
      </c>
      <c r="AB1157" s="684">
        <v>0</v>
      </c>
      <c r="AC1157" s="684">
        <v>0</v>
      </c>
      <c r="AD1157" s="684">
        <v>0</v>
      </c>
      <c r="AE1157" s="684">
        <v>0</v>
      </c>
      <c r="AF1157" s="684">
        <v>0</v>
      </c>
      <c r="AG1157" s="684">
        <v>0</v>
      </c>
      <c r="AH1157" s="716"/>
      <c r="AI1157" s="716"/>
      <c r="AJ1157" s="716"/>
      <c r="AK1157" s="716"/>
      <c r="AL1157" s="716"/>
      <c r="AM1157" s="716"/>
      <c r="AN1157" s="716"/>
      <c r="AO1157" s="716"/>
      <c r="AP1157" s="716"/>
      <c r="AQ1157" s="716"/>
      <c r="AR1157" s="716"/>
      <c r="AS1157" s="716"/>
      <c r="AT1157" s="716"/>
      <c r="AU1157" s="716"/>
      <c r="AV1157" s="716"/>
      <c r="AW1157" s="716"/>
      <c r="AX1157" s="716"/>
      <c r="AY1157" s="716"/>
      <c r="AZ1157" s="716"/>
      <c r="BA1157" s="716"/>
      <c r="BB1157" s="716"/>
      <c r="BC1157" s="716"/>
      <c r="BD1157" s="716"/>
      <c r="BE1157" s="716"/>
      <c r="BF1157" s="716"/>
      <c r="BG1157" s="716"/>
      <c r="BH1157" s="716"/>
      <c r="BI1157" s="716"/>
      <c r="BJ1157" s="716"/>
      <c r="BK1157" s="716"/>
      <c r="BL1157" s="716"/>
      <c r="BM1157" s="716"/>
      <c r="BN1157" s="716"/>
      <c r="BO1157" s="716"/>
      <c r="BP1157" s="716"/>
      <c r="BQ1157" s="716"/>
      <c r="BR1157" s="716"/>
      <c r="BS1157" s="716"/>
      <c r="BT1157" s="716"/>
      <c r="BU1157" s="716"/>
      <c r="BV1157" s="716"/>
      <c r="BW1157" s="716"/>
      <c r="BX1157" s="716"/>
      <c r="BY1157" s="716"/>
      <c r="BZ1157" s="716"/>
      <c r="CA1157" s="716"/>
    </row>
    <row r="1158" spans="1:79" s="740" customFormat="1" hidden="1" outlineLevel="1" x14ac:dyDescent="0.25">
      <c r="A1158" s="656"/>
      <c r="B1158" s="571"/>
      <c r="C1158" s="571"/>
      <c r="D1158" s="571"/>
      <c r="E1158" s="570" t="s">
        <v>1342</v>
      </c>
      <c r="F1158" s="656" t="s">
        <v>892</v>
      </c>
      <c r="G1158" s="719"/>
      <c r="H1158" s="719"/>
      <c r="I1158" s="719"/>
      <c r="J1158" s="719"/>
      <c r="K1158" s="719"/>
      <c r="L1158" s="719"/>
      <c r="M1158" s="719"/>
      <c r="N1158" s="719"/>
      <c r="O1158" s="719"/>
      <c r="P1158" s="716"/>
      <c r="Q1158" s="716"/>
      <c r="R1158" s="716"/>
      <c r="S1158" s="684">
        <v>0</v>
      </c>
      <c r="T1158" s="684">
        <v>0</v>
      </c>
      <c r="U1158" s="684">
        <v>0</v>
      </c>
      <c r="V1158" s="684">
        <v>0</v>
      </c>
      <c r="W1158" s="684">
        <v>0</v>
      </c>
      <c r="X1158" s="684">
        <v>0</v>
      </c>
      <c r="Y1158" s="684">
        <v>0</v>
      </c>
      <c r="Z1158" s="684">
        <v>0</v>
      </c>
      <c r="AA1158" s="684">
        <v>0</v>
      </c>
      <c r="AB1158" s="684">
        <v>0</v>
      </c>
      <c r="AC1158" s="684">
        <v>0</v>
      </c>
      <c r="AD1158" s="684">
        <v>0</v>
      </c>
      <c r="AE1158" s="684">
        <v>0</v>
      </c>
      <c r="AF1158" s="684">
        <v>0</v>
      </c>
      <c r="AG1158" s="684">
        <v>0</v>
      </c>
      <c r="AH1158" s="716"/>
      <c r="AI1158" s="716"/>
      <c r="AJ1158" s="716"/>
      <c r="AK1158" s="716"/>
      <c r="AL1158" s="716"/>
      <c r="AM1158" s="716"/>
      <c r="AN1158" s="716"/>
      <c r="AO1158" s="716"/>
      <c r="AP1158" s="716"/>
      <c r="AQ1158" s="716"/>
      <c r="AR1158" s="716"/>
      <c r="AS1158" s="716"/>
      <c r="AT1158" s="716"/>
      <c r="AU1158" s="716"/>
      <c r="AV1158" s="716"/>
      <c r="AW1158" s="716"/>
      <c r="AX1158" s="716"/>
      <c r="AY1158" s="716"/>
      <c r="AZ1158" s="716"/>
      <c r="BA1158" s="716"/>
      <c r="BB1158" s="716"/>
      <c r="BC1158" s="716"/>
      <c r="BD1158" s="716"/>
      <c r="BE1158" s="716"/>
      <c r="BF1158" s="716"/>
      <c r="BG1158" s="716"/>
      <c r="BH1158" s="716"/>
      <c r="BI1158" s="716"/>
      <c r="BJ1158" s="716"/>
      <c r="BK1158" s="716"/>
      <c r="BL1158" s="716"/>
      <c r="BM1158" s="716"/>
      <c r="BN1158" s="716"/>
      <c r="BO1158" s="716"/>
      <c r="BP1158" s="716"/>
      <c r="BQ1158" s="716"/>
      <c r="BR1158" s="716"/>
      <c r="BS1158" s="716"/>
      <c r="BT1158" s="716"/>
      <c r="BU1158" s="716"/>
      <c r="BV1158" s="716"/>
      <c r="BW1158" s="716"/>
      <c r="BX1158" s="716"/>
      <c r="BY1158" s="716"/>
      <c r="BZ1158" s="716"/>
      <c r="CA1158" s="716"/>
    </row>
    <row r="1159" spans="1:79" s="740" customFormat="1" hidden="1" outlineLevel="1" x14ac:dyDescent="0.25">
      <c r="A1159" s="657"/>
      <c r="B1159" s="571"/>
      <c r="C1159" s="571"/>
      <c r="D1159" s="571"/>
      <c r="E1159" s="570" t="s">
        <v>49</v>
      </c>
      <c r="F1159" s="657" t="s">
        <v>672</v>
      </c>
      <c r="G1159" s="664">
        <f>SUM(G1155:G1158)</f>
        <v>0</v>
      </c>
      <c r="H1159" s="664">
        <f t="shared" ref="H1159:BO1159" si="481">SUM(H1155:H1158)</f>
        <v>0</v>
      </c>
      <c r="I1159" s="664">
        <f t="shared" si="481"/>
        <v>0</v>
      </c>
      <c r="J1159" s="664">
        <f t="shared" si="481"/>
        <v>0</v>
      </c>
      <c r="K1159" s="664">
        <f t="shared" si="481"/>
        <v>0</v>
      </c>
      <c r="L1159" s="664">
        <f t="shared" si="481"/>
        <v>0</v>
      </c>
      <c r="M1159" s="664">
        <f t="shared" si="481"/>
        <v>0</v>
      </c>
      <c r="N1159" s="664">
        <f t="shared" si="481"/>
        <v>0</v>
      </c>
      <c r="O1159" s="664">
        <f t="shared" si="481"/>
        <v>0</v>
      </c>
      <c r="P1159" s="664">
        <f t="shared" si="481"/>
        <v>0</v>
      </c>
      <c r="Q1159" s="664">
        <f t="shared" si="481"/>
        <v>0</v>
      </c>
      <c r="R1159" s="664">
        <f t="shared" si="481"/>
        <v>0</v>
      </c>
      <c r="S1159" s="680">
        <f t="shared" ref="S1159:AA1159" si="482">ROUND(SUM(S1154:S1158),5)</f>
        <v>0</v>
      </c>
      <c r="T1159" s="680">
        <f t="shared" si="482"/>
        <v>0</v>
      </c>
      <c r="U1159" s="680">
        <f t="shared" si="482"/>
        <v>0</v>
      </c>
      <c r="V1159" s="680">
        <f t="shared" si="482"/>
        <v>0</v>
      </c>
      <c r="W1159" s="680">
        <f t="shared" si="482"/>
        <v>0</v>
      </c>
      <c r="X1159" s="680">
        <f t="shared" si="482"/>
        <v>0</v>
      </c>
      <c r="Y1159" s="680">
        <f t="shared" si="482"/>
        <v>0</v>
      </c>
      <c r="Z1159" s="680">
        <f t="shared" si="482"/>
        <v>0</v>
      </c>
      <c r="AA1159" s="680">
        <f t="shared" si="482"/>
        <v>0</v>
      </c>
      <c r="AB1159" s="680">
        <f t="shared" ref="AB1159:AG1159" si="483">ROUND(SUM(AB1154:AB1158),5)</f>
        <v>0</v>
      </c>
      <c r="AC1159" s="680">
        <f t="shared" si="483"/>
        <v>0</v>
      </c>
      <c r="AD1159" s="680">
        <f t="shared" si="483"/>
        <v>0</v>
      </c>
      <c r="AE1159" s="680">
        <f t="shared" si="483"/>
        <v>0</v>
      </c>
      <c r="AF1159" s="680">
        <f t="shared" si="483"/>
        <v>0</v>
      </c>
      <c r="AG1159" s="680">
        <f t="shared" si="483"/>
        <v>0</v>
      </c>
      <c r="AH1159" s="664">
        <f t="shared" si="481"/>
        <v>0</v>
      </c>
      <c r="AI1159" s="664">
        <f t="shared" si="481"/>
        <v>0</v>
      </c>
      <c r="AJ1159" s="664">
        <f t="shared" si="481"/>
        <v>0</v>
      </c>
      <c r="AK1159" s="664">
        <f t="shared" si="481"/>
        <v>0</v>
      </c>
      <c r="AL1159" s="664">
        <f t="shared" si="481"/>
        <v>0</v>
      </c>
      <c r="AM1159" s="664">
        <f t="shared" si="481"/>
        <v>0</v>
      </c>
      <c r="AN1159" s="664">
        <f t="shared" si="481"/>
        <v>0</v>
      </c>
      <c r="AO1159" s="664">
        <f t="shared" si="481"/>
        <v>0</v>
      </c>
      <c r="AP1159" s="664">
        <f t="shared" si="481"/>
        <v>0</v>
      </c>
      <c r="AQ1159" s="664">
        <f t="shared" si="481"/>
        <v>0</v>
      </c>
      <c r="AR1159" s="664">
        <f t="shared" si="481"/>
        <v>0</v>
      </c>
      <c r="AS1159" s="664">
        <f t="shared" si="481"/>
        <v>0</v>
      </c>
      <c r="AT1159" s="664">
        <f t="shared" si="481"/>
        <v>0</v>
      </c>
      <c r="AU1159" s="664">
        <f t="shared" si="481"/>
        <v>0</v>
      </c>
      <c r="AV1159" s="664">
        <f t="shared" si="481"/>
        <v>0</v>
      </c>
      <c r="AW1159" s="664">
        <f t="shared" si="481"/>
        <v>0</v>
      </c>
      <c r="AX1159" s="664">
        <f t="shared" si="481"/>
        <v>0</v>
      </c>
      <c r="AY1159" s="664">
        <f t="shared" si="481"/>
        <v>0</v>
      </c>
      <c r="AZ1159" s="664">
        <f t="shared" si="481"/>
        <v>0</v>
      </c>
      <c r="BA1159" s="664">
        <f t="shared" si="481"/>
        <v>0</v>
      </c>
      <c r="BB1159" s="664">
        <f t="shared" si="481"/>
        <v>0</v>
      </c>
      <c r="BC1159" s="664">
        <f t="shared" si="481"/>
        <v>0</v>
      </c>
      <c r="BD1159" s="664">
        <f t="shared" si="481"/>
        <v>0</v>
      </c>
      <c r="BE1159" s="664">
        <f t="shared" si="481"/>
        <v>0</v>
      </c>
      <c r="BF1159" s="664">
        <f t="shared" si="481"/>
        <v>0</v>
      </c>
      <c r="BG1159" s="664">
        <f t="shared" si="481"/>
        <v>0</v>
      </c>
      <c r="BH1159" s="664">
        <f t="shared" si="481"/>
        <v>0</v>
      </c>
      <c r="BI1159" s="664">
        <f t="shared" si="481"/>
        <v>0</v>
      </c>
      <c r="BJ1159" s="664">
        <f t="shared" si="481"/>
        <v>0</v>
      </c>
      <c r="BK1159" s="664">
        <f t="shared" si="481"/>
        <v>0</v>
      </c>
      <c r="BL1159" s="664">
        <f t="shared" si="481"/>
        <v>0</v>
      </c>
      <c r="BM1159" s="664">
        <f t="shared" si="481"/>
        <v>0</v>
      </c>
      <c r="BN1159" s="664">
        <f t="shared" si="481"/>
        <v>0</v>
      </c>
      <c r="BO1159" s="664">
        <f t="shared" si="481"/>
        <v>0</v>
      </c>
      <c r="BP1159" s="664">
        <f t="shared" ref="BP1159:CA1159" si="484">SUM(BP1155:BP1158)</f>
        <v>0</v>
      </c>
      <c r="BQ1159" s="664">
        <f t="shared" si="484"/>
        <v>0</v>
      </c>
      <c r="BR1159" s="664">
        <f t="shared" si="484"/>
        <v>0</v>
      </c>
      <c r="BS1159" s="664">
        <f t="shared" si="484"/>
        <v>0</v>
      </c>
      <c r="BT1159" s="664">
        <f t="shared" si="484"/>
        <v>0</v>
      </c>
      <c r="BU1159" s="664">
        <f t="shared" si="484"/>
        <v>0</v>
      </c>
      <c r="BV1159" s="664">
        <f t="shared" si="484"/>
        <v>0</v>
      </c>
      <c r="BW1159" s="664">
        <f t="shared" si="484"/>
        <v>0</v>
      </c>
      <c r="BX1159" s="664">
        <f t="shared" si="484"/>
        <v>0</v>
      </c>
      <c r="BY1159" s="664">
        <f t="shared" si="484"/>
        <v>0</v>
      </c>
      <c r="BZ1159" s="664">
        <f t="shared" si="484"/>
        <v>0</v>
      </c>
      <c r="CA1159" s="664">
        <f t="shared" si="484"/>
        <v>0</v>
      </c>
    </row>
    <row r="1160" spans="1:79" s="451" customFormat="1" hidden="1" outlineLevel="1" x14ac:dyDescent="0.25">
      <c r="A1160" s="658"/>
      <c r="B1160" s="571"/>
      <c r="C1160" s="571"/>
      <c r="D1160" s="571"/>
      <c r="E1160" s="570" t="s">
        <v>1076</v>
      </c>
      <c r="F1160" s="658" t="s">
        <v>648</v>
      </c>
      <c r="G1160" s="719"/>
      <c r="H1160" s="719"/>
      <c r="I1160" s="719"/>
      <c r="J1160" s="719"/>
      <c r="K1160" s="719"/>
      <c r="L1160" s="719"/>
      <c r="M1160" s="719"/>
      <c r="N1160" s="719"/>
      <c r="O1160" s="719"/>
      <c r="P1160" s="716"/>
      <c r="Q1160" s="716"/>
      <c r="R1160" s="716"/>
      <c r="S1160" s="688">
        <v>0</v>
      </c>
      <c r="T1160" s="688">
        <v>0</v>
      </c>
      <c r="U1160" s="688">
        <v>0</v>
      </c>
      <c r="V1160" s="688">
        <v>0</v>
      </c>
      <c r="W1160" s="688">
        <v>0</v>
      </c>
      <c r="X1160" s="688">
        <v>44</v>
      </c>
      <c r="Y1160" s="688">
        <v>0</v>
      </c>
      <c r="Z1160" s="688">
        <v>0</v>
      </c>
      <c r="AA1160" s="688">
        <v>0</v>
      </c>
      <c r="AB1160" s="688">
        <v>0</v>
      </c>
      <c r="AC1160" s="688">
        <v>0</v>
      </c>
      <c r="AD1160" s="688">
        <v>0</v>
      </c>
      <c r="AE1160" s="688">
        <v>242.3</v>
      </c>
      <c r="AF1160" s="688">
        <v>158.88</v>
      </c>
      <c r="AG1160" s="688">
        <v>68.45</v>
      </c>
      <c r="AH1160" s="716"/>
      <c r="AI1160" s="716"/>
      <c r="AJ1160" s="716"/>
      <c r="AK1160" s="716"/>
      <c r="AL1160" s="716"/>
      <c r="AM1160" s="716"/>
      <c r="AN1160" s="716"/>
      <c r="AO1160" s="716"/>
      <c r="AP1160" s="716"/>
      <c r="AQ1160" s="716"/>
      <c r="AR1160" s="716"/>
      <c r="AS1160" s="716"/>
      <c r="AT1160" s="716"/>
      <c r="AU1160" s="716"/>
      <c r="AV1160" s="716"/>
      <c r="AW1160" s="716"/>
      <c r="AX1160" s="716"/>
      <c r="AY1160" s="716"/>
      <c r="AZ1160" s="716"/>
      <c r="BA1160" s="716"/>
      <c r="BB1160" s="716"/>
      <c r="BC1160" s="716"/>
      <c r="BD1160" s="716"/>
      <c r="BE1160" s="716"/>
      <c r="BF1160" s="716"/>
      <c r="BG1160" s="716"/>
      <c r="BH1160" s="716"/>
      <c r="BI1160" s="716"/>
      <c r="BJ1160" s="716"/>
      <c r="BK1160" s="716"/>
      <c r="BL1160" s="716"/>
      <c r="BM1160" s="716"/>
      <c r="BN1160" s="716"/>
      <c r="BO1160" s="716"/>
      <c r="BP1160" s="716"/>
      <c r="BQ1160" s="716"/>
      <c r="BR1160" s="716"/>
      <c r="BS1160" s="716"/>
      <c r="BT1160" s="716"/>
      <c r="BU1160" s="716"/>
      <c r="BV1160" s="716"/>
      <c r="BW1160" s="716"/>
      <c r="BX1160" s="716"/>
      <c r="BY1160" s="716"/>
      <c r="BZ1160" s="716"/>
      <c r="CA1160" s="716"/>
    </row>
    <row r="1161" spans="1:79" s="451" customFormat="1" hidden="1" outlineLevel="1" x14ac:dyDescent="0.25">
      <c r="A1161" s="658"/>
      <c r="B1161" s="29"/>
      <c r="C1161" s="29"/>
      <c r="D1161" s="29"/>
      <c r="E1161" s="570" t="s">
        <v>431</v>
      </c>
      <c r="F1161" s="658" t="s">
        <v>599</v>
      </c>
      <c r="G1161" s="719"/>
      <c r="H1161" s="719"/>
      <c r="I1161" s="719"/>
      <c r="J1161" s="719"/>
      <c r="K1161" s="719"/>
      <c r="L1161" s="719"/>
      <c r="M1161" s="719"/>
      <c r="N1161" s="719"/>
      <c r="O1161" s="719"/>
      <c r="P1161" s="716"/>
      <c r="Q1161" s="716"/>
      <c r="R1161" s="716"/>
      <c r="S1161" s="667">
        <v>0</v>
      </c>
      <c r="T1161" s="667">
        <v>0</v>
      </c>
      <c r="U1161" s="667">
        <v>0</v>
      </c>
      <c r="V1161" s="667">
        <v>-380.8</v>
      </c>
      <c r="W1161" s="667">
        <v>0</v>
      </c>
      <c r="X1161" s="667">
        <v>0</v>
      </c>
      <c r="Y1161" s="667">
        <v>0</v>
      </c>
      <c r="Z1161" s="667">
        <v>0</v>
      </c>
      <c r="AA1161" s="667">
        <v>0</v>
      </c>
      <c r="AB1161" s="667">
        <v>0</v>
      </c>
      <c r="AC1161" s="667">
        <v>0</v>
      </c>
      <c r="AD1161" s="667">
        <v>0</v>
      </c>
      <c r="AE1161" s="667">
        <v>0</v>
      </c>
      <c r="AF1161" s="667">
        <v>0</v>
      </c>
      <c r="AG1161" s="667">
        <v>0</v>
      </c>
      <c r="AH1161" s="716"/>
      <c r="AI1161" s="716"/>
      <c r="AJ1161" s="716"/>
      <c r="AK1161" s="716"/>
      <c r="AL1161" s="716"/>
      <c r="AM1161" s="716"/>
      <c r="AN1161" s="716"/>
      <c r="AO1161" s="716"/>
      <c r="AP1161" s="716"/>
      <c r="AQ1161" s="716"/>
      <c r="AR1161" s="716"/>
      <c r="AS1161" s="716"/>
      <c r="AT1161" s="716"/>
      <c r="AU1161" s="716"/>
      <c r="AV1161" s="716"/>
      <c r="AW1161" s="716"/>
      <c r="AX1161" s="716"/>
      <c r="AY1161" s="716"/>
      <c r="AZ1161" s="716"/>
      <c r="BA1161" s="716"/>
      <c r="BB1161" s="716"/>
      <c r="BC1161" s="716"/>
      <c r="BD1161" s="716"/>
      <c r="BE1161" s="716"/>
      <c r="BF1161" s="716"/>
      <c r="BG1161" s="716"/>
      <c r="BH1161" s="716"/>
      <c r="BI1161" s="716"/>
      <c r="BJ1161" s="716"/>
      <c r="BK1161" s="716"/>
      <c r="BL1161" s="716"/>
      <c r="BM1161" s="716"/>
      <c r="BN1161" s="716"/>
      <c r="BO1161" s="716"/>
      <c r="BP1161" s="716"/>
      <c r="BQ1161" s="716"/>
      <c r="BR1161" s="716"/>
      <c r="BS1161" s="716"/>
      <c r="BT1161" s="716"/>
      <c r="BU1161" s="716"/>
      <c r="BV1161" s="716"/>
      <c r="BW1161" s="716"/>
      <c r="BX1161" s="716"/>
      <c r="BY1161" s="716"/>
      <c r="BZ1161" s="716"/>
      <c r="CA1161" s="716"/>
    </row>
    <row r="1162" spans="1:79" s="737" customFormat="1" hidden="1" outlineLevel="1" x14ac:dyDescent="0.25">
      <c r="A1162" s="691"/>
      <c r="B1162" s="710"/>
      <c r="C1162" s="710"/>
      <c r="D1162" s="710"/>
      <c r="E1162" s="570" t="s">
        <v>1343</v>
      </c>
      <c r="F1162" s="691" t="s">
        <v>673</v>
      </c>
      <c r="G1162" s="733"/>
      <c r="H1162" s="733"/>
      <c r="I1162" s="733"/>
      <c r="J1162" s="733"/>
      <c r="K1162" s="733"/>
      <c r="L1162" s="733"/>
      <c r="M1162" s="733"/>
      <c r="N1162" s="733"/>
      <c r="O1162" s="733"/>
      <c r="P1162" s="734"/>
      <c r="Q1162" s="734"/>
      <c r="R1162" s="734"/>
      <c r="S1162" s="704"/>
      <c r="T1162" s="704"/>
      <c r="U1162" s="704"/>
      <c r="V1162" s="704"/>
      <c r="W1162" s="704"/>
      <c r="X1162" s="704"/>
      <c r="Y1162" s="704"/>
      <c r="Z1162" s="704"/>
      <c r="AA1162" s="704"/>
      <c r="AB1162" s="704"/>
      <c r="AC1162" s="704"/>
      <c r="AD1162" s="704"/>
      <c r="AE1162" s="704"/>
      <c r="AF1162" s="704"/>
      <c r="AG1162" s="704"/>
      <c r="AH1162" s="734"/>
      <c r="AI1162" s="734"/>
      <c r="AJ1162" s="734"/>
      <c r="AK1162" s="734"/>
      <c r="AL1162" s="734"/>
      <c r="AM1162" s="734"/>
      <c r="AN1162" s="734"/>
      <c r="AO1162" s="734"/>
      <c r="AP1162" s="734"/>
      <c r="AQ1162" s="734"/>
      <c r="AR1162" s="734"/>
      <c r="AS1162" s="734"/>
      <c r="AT1162" s="734"/>
      <c r="AU1162" s="734"/>
      <c r="AV1162" s="734"/>
      <c r="AW1162" s="734"/>
      <c r="AX1162" s="734"/>
      <c r="AY1162" s="734"/>
      <c r="AZ1162" s="734"/>
      <c r="BA1162" s="734"/>
      <c r="BB1162" s="734"/>
      <c r="BC1162" s="734"/>
      <c r="BD1162" s="734"/>
      <c r="BE1162" s="734"/>
      <c r="BF1162" s="734"/>
      <c r="BG1162" s="734"/>
      <c r="BH1162" s="734"/>
      <c r="BI1162" s="734"/>
      <c r="BJ1162" s="734"/>
      <c r="BK1162" s="734"/>
      <c r="BL1162" s="734"/>
      <c r="BM1162" s="734"/>
      <c r="BN1162" s="734"/>
      <c r="BO1162" s="734"/>
      <c r="BP1162" s="734"/>
      <c r="BQ1162" s="734"/>
      <c r="BR1162" s="734"/>
      <c r="BS1162" s="734"/>
      <c r="BT1162" s="734"/>
      <c r="BU1162" s="734"/>
      <c r="BV1162" s="734"/>
      <c r="BW1162" s="734"/>
      <c r="BX1162" s="734"/>
      <c r="BY1162" s="734"/>
      <c r="BZ1162" s="734"/>
      <c r="CA1162" s="734"/>
    </row>
    <row r="1163" spans="1:79" s="451" customFormat="1" hidden="1" outlineLevel="1" x14ac:dyDescent="0.25">
      <c r="A1163" s="656"/>
      <c r="B1163" s="571"/>
      <c r="C1163" s="571"/>
      <c r="D1163" s="571"/>
      <c r="E1163" s="570" t="s">
        <v>1330</v>
      </c>
      <c r="F1163" s="656" t="s">
        <v>893</v>
      </c>
      <c r="G1163" s="719"/>
      <c r="H1163" s="719"/>
      <c r="I1163" s="719"/>
      <c r="J1163" s="719"/>
      <c r="K1163" s="719"/>
      <c r="L1163" s="719"/>
      <c r="M1163" s="719"/>
      <c r="N1163" s="719"/>
      <c r="O1163" s="719"/>
      <c r="P1163" s="716"/>
      <c r="Q1163" s="716"/>
      <c r="R1163" s="716"/>
      <c r="S1163" s="667">
        <v>0</v>
      </c>
      <c r="T1163" s="667">
        <v>0</v>
      </c>
      <c r="U1163" s="667">
        <v>0</v>
      </c>
      <c r="V1163" s="667">
        <v>0</v>
      </c>
      <c r="W1163" s="667">
        <v>0</v>
      </c>
      <c r="X1163" s="667">
        <v>0</v>
      </c>
      <c r="Y1163" s="667">
        <v>0</v>
      </c>
      <c r="Z1163" s="667">
        <v>0</v>
      </c>
      <c r="AA1163" s="667">
        <v>0</v>
      </c>
      <c r="AB1163" s="667">
        <v>0</v>
      </c>
      <c r="AC1163" s="667">
        <v>0</v>
      </c>
      <c r="AD1163" s="667">
        <v>0</v>
      </c>
      <c r="AE1163" s="667">
        <v>0</v>
      </c>
      <c r="AF1163" s="667">
        <v>0</v>
      </c>
      <c r="AG1163" s="667">
        <v>0</v>
      </c>
      <c r="AH1163" s="716"/>
      <c r="AI1163" s="716"/>
      <c r="AJ1163" s="716"/>
      <c r="AK1163" s="716"/>
      <c r="AL1163" s="716"/>
      <c r="AM1163" s="716"/>
      <c r="AN1163" s="716"/>
      <c r="AO1163" s="716"/>
      <c r="AP1163" s="716"/>
      <c r="AQ1163" s="716"/>
      <c r="AR1163" s="716"/>
      <c r="AS1163" s="716"/>
      <c r="AT1163" s="716"/>
      <c r="AU1163" s="716"/>
      <c r="AV1163" s="716"/>
      <c r="AW1163" s="716"/>
      <c r="AX1163" s="716"/>
      <c r="AY1163" s="716"/>
      <c r="AZ1163" s="716"/>
      <c r="BA1163" s="716"/>
      <c r="BB1163" s="716"/>
      <c r="BC1163" s="716"/>
      <c r="BD1163" s="716"/>
      <c r="BE1163" s="716"/>
      <c r="BF1163" s="716"/>
      <c r="BG1163" s="716"/>
      <c r="BH1163" s="716"/>
      <c r="BI1163" s="716"/>
      <c r="BJ1163" s="716"/>
      <c r="BK1163" s="716"/>
      <c r="BL1163" s="716"/>
      <c r="BM1163" s="716"/>
      <c r="BN1163" s="716"/>
      <c r="BO1163" s="716"/>
      <c r="BP1163" s="716"/>
      <c r="BQ1163" s="716"/>
      <c r="BR1163" s="716"/>
      <c r="BS1163" s="716"/>
      <c r="BT1163" s="716"/>
      <c r="BU1163" s="716"/>
      <c r="BV1163" s="716"/>
      <c r="BW1163" s="716"/>
      <c r="BX1163" s="716"/>
      <c r="BY1163" s="716"/>
      <c r="BZ1163" s="716"/>
      <c r="CA1163" s="716"/>
    </row>
    <row r="1164" spans="1:79" s="451" customFormat="1" hidden="1" outlineLevel="1" x14ac:dyDescent="0.25">
      <c r="A1164" s="656"/>
      <c r="B1164" s="571"/>
      <c r="C1164" s="571"/>
      <c r="D1164" s="571"/>
      <c r="E1164" s="570" t="s">
        <v>1343</v>
      </c>
      <c r="F1164" s="656" t="s">
        <v>674</v>
      </c>
      <c r="G1164" s="719"/>
      <c r="H1164" s="719"/>
      <c r="I1164" s="719"/>
      <c r="J1164" s="719"/>
      <c r="K1164" s="719"/>
      <c r="L1164" s="719"/>
      <c r="M1164" s="719"/>
      <c r="N1164" s="719"/>
      <c r="O1164" s="719"/>
      <c r="P1164" s="716"/>
      <c r="Q1164" s="716"/>
      <c r="R1164" s="716"/>
      <c r="S1164" s="667">
        <v>0</v>
      </c>
      <c r="T1164" s="667">
        <v>0</v>
      </c>
      <c r="U1164" s="667">
        <v>0</v>
      </c>
      <c r="V1164" s="667">
        <v>0</v>
      </c>
      <c r="W1164" s="667">
        <v>0</v>
      </c>
      <c r="X1164" s="667">
        <v>0</v>
      </c>
      <c r="Y1164" s="667">
        <v>0</v>
      </c>
      <c r="Z1164" s="667">
        <v>0</v>
      </c>
      <c r="AA1164" s="667">
        <v>0</v>
      </c>
      <c r="AB1164" s="667">
        <v>0</v>
      </c>
      <c r="AC1164" s="667">
        <v>0</v>
      </c>
      <c r="AD1164" s="667">
        <v>0</v>
      </c>
      <c r="AE1164" s="667">
        <v>0</v>
      </c>
      <c r="AF1164" s="667">
        <v>0</v>
      </c>
      <c r="AG1164" s="667">
        <v>0</v>
      </c>
      <c r="AH1164" s="716"/>
      <c r="AI1164" s="716"/>
      <c r="AJ1164" s="716"/>
      <c r="AK1164" s="716"/>
      <c r="AL1164" s="716"/>
      <c r="AM1164" s="716"/>
      <c r="AN1164" s="716"/>
      <c r="AO1164" s="716"/>
      <c r="AP1164" s="716"/>
      <c r="AQ1164" s="716"/>
      <c r="AR1164" s="716"/>
      <c r="AS1164" s="716"/>
      <c r="AT1164" s="716"/>
      <c r="AU1164" s="716"/>
      <c r="AV1164" s="716"/>
      <c r="AW1164" s="716"/>
      <c r="AX1164" s="716"/>
      <c r="AY1164" s="716"/>
      <c r="AZ1164" s="716"/>
      <c r="BA1164" s="716"/>
      <c r="BB1164" s="716"/>
      <c r="BC1164" s="716"/>
      <c r="BD1164" s="716"/>
      <c r="BE1164" s="716"/>
      <c r="BF1164" s="716"/>
      <c r="BG1164" s="716"/>
      <c r="BH1164" s="716"/>
      <c r="BI1164" s="716"/>
      <c r="BJ1164" s="716"/>
      <c r="BK1164" s="716"/>
      <c r="BL1164" s="716"/>
      <c r="BM1164" s="716"/>
      <c r="BN1164" s="716"/>
      <c r="BO1164" s="716"/>
      <c r="BP1164" s="716"/>
      <c r="BQ1164" s="716"/>
      <c r="BR1164" s="716"/>
      <c r="BS1164" s="716"/>
      <c r="BT1164" s="716"/>
      <c r="BU1164" s="716"/>
      <c r="BV1164" s="716"/>
      <c r="BW1164" s="716"/>
      <c r="BX1164" s="716"/>
      <c r="BY1164" s="716"/>
      <c r="BZ1164" s="716"/>
      <c r="CA1164" s="716"/>
    </row>
    <row r="1165" spans="1:79" s="451" customFormat="1" hidden="1" outlineLevel="1" x14ac:dyDescent="0.25">
      <c r="A1165" s="656"/>
      <c r="B1165" s="571"/>
      <c r="C1165" s="571"/>
      <c r="D1165" s="571"/>
      <c r="E1165" s="570" t="s">
        <v>1343</v>
      </c>
      <c r="F1165" s="656" t="s">
        <v>894</v>
      </c>
      <c r="G1165" s="719"/>
      <c r="H1165" s="719"/>
      <c r="I1165" s="719"/>
      <c r="J1165" s="719"/>
      <c r="K1165" s="719"/>
      <c r="L1165" s="719"/>
      <c r="M1165" s="719"/>
      <c r="N1165" s="719"/>
      <c r="O1165" s="719"/>
      <c r="P1165" s="716"/>
      <c r="Q1165" s="716"/>
      <c r="R1165" s="716"/>
      <c r="S1165" s="667">
        <v>0</v>
      </c>
      <c r="T1165" s="667">
        <v>0</v>
      </c>
      <c r="U1165" s="667">
        <v>0</v>
      </c>
      <c r="V1165" s="667">
        <v>0</v>
      </c>
      <c r="W1165" s="667">
        <v>0</v>
      </c>
      <c r="X1165" s="667">
        <v>0</v>
      </c>
      <c r="Y1165" s="667">
        <v>0</v>
      </c>
      <c r="Z1165" s="667">
        <v>0</v>
      </c>
      <c r="AA1165" s="667">
        <v>0</v>
      </c>
      <c r="AB1165" s="667">
        <v>0</v>
      </c>
      <c r="AC1165" s="667">
        <v>0</v>
      </c>
      <c r="AD1165" s="667">
        <v>0</v>
      </c>
      <c r="AE1165" s="667">
        <v>0</v>
      </c>
      <c r="AF1165" s="667">
        <v>0</v>
      </c>
      <c r="AG1165" s="667">
        <v>0</v>
      </c>
      <c r="AH1165" s="716"/>
      <c r="AI1165" s="716"/>
      <c r="AJ1165" s="716"/>
      <c r="AK1165" s="716"/>
      <c r="AL1165" s="716"/>
      <c r="AM1165" s="716"/>
      <c r="AN1165" s="716"/>
      <c r="AO1165" s="716"/>
      <c r="AP1165" s="716"/>
      <c r="AQ1165" s="716"/>
      <c r="AR1165" s="716"/>
      <c r="AS1165" s="716"/>
      <c r="AT1165" s="716"/>
      <c r="AU1165" s="716"/>
      <c r="AV1165" s="716"/>
      <c r="AW1165" s="716"/>
      <c r="AX1165" s="716"/>
      <c r="AY1165" s="716"/>
      <c r="AZ1165" s="716"/>
      <c r="BA1165" s="716"/>
      <c r="BB1165" s="716"/>
      <c r="BC1165" s="716"/>
      <c r="BD1165" s="716"/>
      <c r="BE1165" s="716"/>
      <c r="BF1165" s="716"/>
      <c r="BG1165" s="716"/>
      <c r="BH1165" s="716"/>
      <c r="BI1165" s="716"/>
      <c r="BJ1165" s="716"/>
      <c r="BK1165" s="716"/>
      <c r="BL1165" s="716"/>
      <c r="BM1165" s="716"/>
      <c r="BN1165" s="716"/>
      <c r="BO1165" s="716"/>
      <c r="BP1165" s="716"/>
      <c r="BQ1165" s="716"/>
      <c r="BR1165" s="716"/>
      <c r="BS1165" s="716"/>
      <c r="BT1165" s="716"/>
      <c r="BU1165" s="716"/>
      <c r="BV1165" s="716"/>
      <c r="BW1165" s="716"/>
      <c r="BX1165" s="716"/>
      <c r="BY1165" s="716"/>
      <c r="BZ1165" s="716"/>
      <c r="CA1165" s="716"/>
    </row>
    <row r="1166" spans="1:79" s="451" customFormat="1" hidden="1" outlineLevel="1" x14ac:dyDescent="0.25">
      <c r="A1166" s="656"/>
      <c r="B1166" s="571"/>
      <c r="C1166" s="571"/>
      <c r="D1166" s="571"/>
      <c r="E1166" s="570" t="s">
        <v>1343</v>
      </c>
      <c r="F1166" s="656" t="s">
        <v>765</v>
      </c>
      <c r="G1166" s="719"/>
      <c r="H1166" s="719"/>
      <c r="I1166" s="719"/>
      <c r="J1166" s="719"/>
      <c r="K1166" s="719"/>
      <c r="L1166" s="719"/>
      <c r="M1166" s="719"/>
      <c r="N1166" s="719"/>
      <c r="O1166" s="719"/>
      <c r="P1166" s="716"/>
      <c r="Q1166" s="716"/>
      <c r="R1166" s="716"/>
      <c r="S1166" s="667">
        <v>0</v>
      </c>
      <c r="T1166" s="667">
        <v>0</v>
      </c>
      <c r="U1166" s="667">
        <v>0</v>
      </c>
      <c r="V1166" s="667">
        <v>0</v>
      </c>
      <c r="W1166" s="667">
        <v>0</v>
      </c>
      <c r="X1166" s="667">
        <v>0</v>
      </c>
      <c r="Y1166" s="667">
        <v>0</v>
      </c>
      <c r="Z1166" s="667">
        <v>0</v>
      </c>
      <c r="AA1166" s="667">
        <v>0</v>
      </c>
      <c r="AB1166" s="667">
        <v>0</v>
      </c>
      <c r="AC1166" s="667">
        <v>0</v>
      </c>
      <c r="AD1166" s="667">
        <v>0</v>
      </c>
      <c r="AE1166" s="667">
        <v>0</v>
      </c>
      <c r="AF1166" s="667">
        <v>0</v>
      </c>
      <c r="AG1166" s="667">
        <v>0</v>
      </c>
      <c r="AH1166" s="716"/>
      <c r="AI1166" s="716"/>
      <c r="AJ1166" s="716"/>
      <c r="AK1166" s="716"/>
      <c r="AL1166" s="716"/>
      <c r="AM1166" s="716"/>
      <c r="AN1166" s="716"/>
      <c r="AO1166" s="716"/>
      <c r="AP1166" s="716"/>
      <c r="AQ1166" s="716"/>
      <c r="AR1166" s="716"/>
      <c r="AS1166" s="716"/>
      <c r="AT1166" s="716"/>
      <c r="AU1166" s="716"/>
      <c r="AV1166" s="716"/>
      <c r="AW1166" s="716"/>
      <c r="AX1166" s="716"/>
      <c r="AY1166" s="716"/>
      <c r="AZ1166" s="716"/>
      <c r="BA1166" s="716"/>
      <c r="BB1166" s="716"/>
      <c r="BC1166" s="716"/>
      <c r="BD1166" s="716"/>
      <c r="BE1166" s="716"/>
      <c r="BF1166" s="716"/>
      <c r="BG1166" s="716"/>
      <c r="BH1166" s="716"/>
      <c r="BI1166" s="716"/>
      <c r="BJ1166" s="716"/>
      <c r="BK1166" s="716"/>
      <c r="BL1166" s="716"/>
      <c r="BM1166" s="716"/>
      <c r="BN1166" s="716"/>
      <c r="BO1166" s="716"/>
      <c r="BP1166" s="716"/>
      <c r="BQ1166" s="716"/>
      <c r="BR1166" s="716"/>
      <c r="BS1166" s="716"/>
      <c r="BT1166" s="716"/>
      <c r="BU1166" s="716"/>
      <c r="BV1166" s="716"/>
      <c r="BW1166" s="716"/>
      <c r="BX1166" s="716"/>
      <c r="BY1166" s="716"/>
      <c r="BZ1166" s="716"/>
      <c r="CA1166" s="716"/>
    </row>
    <row r="1167" spans="1:79" s="451" customFormat="1" hidden="1" outlineLevel="1" x14ac:dyDescent="0.25">
      <c r="A1167" s="657"/>
      <c r="B1167" s="571"/>
      <c r="C1167" s="571"/>
      <c r="D1167" s="571"/>
      <c r="E1167" s="570" t="s">
        <v>49</v>
      </c>
      <c r="F1167" s="657" t="s">
        <v>675</v>
      </c>
      <c r="G1167" s="664">
        <f>SUM(G1163:G1166)</f>
        <v>0</v>
      </c>
      <c r="H1167" s="664">
        <f t="shared" ref="H1167:BO1167" si="485">SUM(H1163:H1166)</f>
        <v>0</v>
      </c>
      <c r="I1167" s="664">
        <f t="shared" si="485"/>
        <v>0</v>
      </c>
      <c r="J1167" s="664">
        <f t="shared" si="485"/>
        <v>0</v>
      </c>
      <c r="K1167" s="664">
        <f t="shared" si="485"/>
        <v>0</v>
      </c>
      <c r="L1167" s="664">
        <f t="shared" si="485"/>
        <v>0</v>
      </c>
      <c r="M1167" s="664">
        <f t="shared" si="485"/>
        <v>0</v>
      </c>
      <c r="N1167" s="664">
        <f t="shared" si="485"/>
        <v>0</v>
      </c>
      <c r="O1167" s="664">
        <f t="shared" si="485"/>
        <v>0</v>
      </c>
      <c r="P1167" s="664">
        <f t="shared" si="485"/>
        <v>0</v>
      </c>
      <c r="Q1167" s="664">
        <f t="shared" si="485"/>
        <v>0</v>
      </c>
      <c r="R1167" s="664">
        <f t="shared" si="485"/>
        <v>0</v>
      </c>
      <c r="S1167" s="678">
        <f t="shared" ref="S1167:AA1167" si="486">ROUND(SUM(S1162:S1166),5)</f>
        <v>0</v>
      </c>
      <c r="T1167" s="678">
        <f t="shared" si="486"/>
        <v>0</v>
      </c>
      <c r="U1167" s="678">
        <f t="shared" si="486"/>
        <v>0</v>
      </c>
      <c r="V1167" s="678">
        <f t="shared" si="486"/>
        <v>0</v>
      </c>
      <c r="W1167" s="678">
        <f t="shared" si="486"/>
        <v>0</v>
      </c>
      <c r="X1167" s="678">
        <f t="shared" si="486"/>
        <v>0</v>
      </c>
      <c r="Y1167" s="678">
        <f t="shared" si="486"/>
        <v>0</v>
      </c>
      <c r="Z1167" s="678">
        <f t="shared" si="486"/>
        <v>0</v>
      </c>
      <c r="AA1167" s="678">
        <f t="shared" si="486"/>
        <v>0</v>
      </c>
      <c r="AB1167" s="678">
        <f t="shared" ref="AB1167:AG1167" si="487">ROUND(SUM(AB1162:AB1166),5)</f>
        <v>0</v>
      </c>
      <c r="AC1167" s="678">
        <f t="shared" si="487"/>
        <v>0</v>
      </c>
      <c r="AD1167" s="678">
        <f t="shared" si="487"/>
        <v>0</v>
      </c>
      <c r="AE1167" s="678">
        <f t="shared" si="487"/>
        <v>0</v>
      </c>
      <c r="AF1167" s="678">
        <f t="shared" si="487"/>
        <v>0</v>
      </c>
      <c r="AG1167" s="678">
        <f t="shared" si="487"/>
        <v>0</v>
      </c>
      <c r="AH1167" s="664">
        <f t="shared" si="485"/>
        <v>0</v>
      </c>
      <c r="AI1167" s="664">
        <f t="shared" si="485"/>
        <v>0</v>
      </c>
      <c r="AJ1167" s="664">
        <f t="shared" si="485"/>
        <v>0</v>
      </c>
      <c r="AK1167" s="664">
        <f t="shared" si="485"/>
        <v>0</v>
      </c>
      <c r="AL1167" s="664">
        <f t="shared" si="485"/>
        <v>0</v>
      </c>
      <c r="AM1167" s="664">
        <f t="shared" si="485"/>
        <v>0</v>
      </c>
      <c r="AN1167" s="664">
        <f t="shared" si="485"/>
        <v>0</v>
      </c>
      <c r="AO1167" s="664">
        <f t="shared" si="485"/>
        <v>0</v>
      </c>
      <c r="AP1167" s="664">
        <f t="shared" si="485"/>
        <v>0</v>
      </c>
      <c r="AQ1167" s="664">
        <f t="shared" si="485"/>
        <v>0</v>
      </c>
      <c r="AR1167" s="664">
        <f t="shared" si="485"/>
        <v>0</v>
      </c>
      <c r="AS1167" s="664">
        <f t="shared" si="485"/>
        <v>0</v>
      </c>
      <c r="AT1167" s="664">
        <f t="shared" si="485"/>
        <v>0</v>
      </c>
      <c r="AU1167" s="664">
        <f t="shared" si="485"/>
        <v>0</v>
      </c>
      <c r="AV1167" s="664">
        <f t="shared" si="485"/>
        <v>0</v>
      </c>
      <c r="AW1167" s="664">
        <f t="shared" si="485"/>
        <v>0</v>
      </c>
      <c r="AX1167" s="664">
        <f t="shared" si="485"/>
        <v>0</v>
      </c>
      <c r="AY1167" s="664">
        <f t="shared" si="485"/>
        <v>0</v>
      </c>
      <c r="AZ1167" s="664">
        <f t="shared" si="485"/>
        <v>0</v>
      </c>
      <c r="BA1167" s="664">
        <f t="shared" si="485"/>
        <v>0</v>
      </c>
      <c r="BB1167" s="664">
        <f t="shared" si="485"/>
        <v>0</v>
      </c>
      <c r="BC1167" s="664">
        <f t="shared" si="485"/>
        <v>0</v>
      </c>
      <c r="BD1167" s="664">
        <f t="shared" si="485"/>
        <v>0</v>
      </c>
      <c r="BE1167" s="664">
        <f t="shared" si="485"/>
        <v>0</v>
      </c>
      <c r="BF1167" s="664">
        <f t="shared" si="485"/>
        <v>0</v>
      </c>
      <c r="BG1167" s="664">
        <f t="shared" si="485"/>
        <v>0</v>
      </c>
      <c r="BH1167" s="664">
        <f t="shared" si="485"/>
        <v>0</v>
      </c>
      <c r="BI1167" s="664">
        <f t="shared" si="485"/>
        <v>0</v>
      </c>
      <c r="BJ1167" s="664">
        <f t="shared" si="485"/>
        <v>0</v>
      </c>
      <c r="BK1167" s="664">
        <f t="shared" si="485"/>
        <v>0</v>
      </c>
      <c r="BL1167" s="664">
        <f t="shared" si="485"/>
        <v>0</v>
      </c>
      <c r="BM1167" s="664">
        <f t="shared" si="485"/>
        <v>0</v>
      </c>
      <c r="BN1167" s="664">
        <f t="shared" si="485"/>
        <v>0</v>
      </c>
      <c r="BO1167" s="664">
        <f t="shared" si="485"/>
        <v>0</v>
      </c>
      <c r="BP1167" s="664">
        <f t="shared" ref="BP1167:CA1167" si="488">SUM(BP1163:BP1166)</f>
        <v>0</v>
      </c>
      <c r="BQ1167" s="664">
        <f t="shared" si="488"/>
        <v>0</v>
      </c>
      <c r="BR1167" s="664">
        <f t="shared" si="488"/>
        <v>0</v>
      </c>
      <c r="BS1167" s="664">
        <f t="shared" si="488"/>
        <v>0</v>
      </c>
      <c r="BT1167" s="664">
        <f t="shared" si="488"/>
        <v>0</v>
      </c>
      <c r="BU1167" s="664">
        <f t="shared" si="488"/>
        <v>0</v>
      </c>
      <c r="BV1167" s="664">
        <f t="shared" si="488"/>
        <v>0</v>
      </c>
      <c r="BW1167" s="664">
        <f t="shared" si="488"/>
        <v>0</v>
      </c>
      <c r="BX1167" s="664">
        <f t="shared" si="488"/>
        <v>0</v>
      </c>
      <c r="BY1167" s="664">
        <f t="shared" si="488"/>
        <v>0</v>
      </c>
      <c r="BZ1167" s="664">
        <f t="shared" si="488"/>
        <v>0</v>
      </c>
      <c r="CA1167" s="664">
        <f t="shared" si="488"/>
        <v>0</v>
      </c>
    </row>
    <row r="1168" spans="1:79" s="451" customFormat="1" hidden="1" outlineLevel="1" x14ac:dyDescent="0.25">
      <c r="A1168" s="658"/>
      <c r="B1168" s="571"/>
      <c r="C1168" s="571"/>
      <c r="D1168" s="571"/>
      <c r="E1168" s="570" t="s">
        <v>921</v>
      </c>
      <c r="F1168" s="658" t="s">
        <v>600</v>
      </c>
      <c r="G1168" s="719"/>
      <c r="H1168" s="719"/>
      <c r="I1168" s="719"/>
      <c r="J1168" s="719"/>
      <c r="K1168" s="719"/>
      <c r="L1168" s="719"/>
      <c r="M1168" s="719"/>
      <c r="N1168" s="719"/>
      <c r="O1168" s="719"/>
      <c r="P1168" s="716"/>
      <c r="Q1168" s="716"/>
      <c r="R1168" s="716"/>
      <c r="S1168" s="667">
        <v>0</v>
      </c>
      <c r="T1168" s="667">
        <v>0</v>
      </c>
      <c r="U1168" s="667">
        <v>0</v>
      </c>
      <c r="V1168" s="667">
        <v>0</v>
      </c>
      <c r="W1168" s="667">
        <v>0</v>
      </c>
      <c r="X1168" s="667">
        <v>0</v>
      </c>
      <c r="Y1168" s="667">
        <v>0</v>
      </c>
      <c r="Z1168" s="667">
        <v>0</v>
      </c>
      <c r="AA1168" s="667">
        <v>0</v>
      </c>
      <c r="AB1168" s="667">
        <v>0</v>
      </c>
      <c r="AC1168" s="667">
        <v>0</v>
      </c>
      <c r="AD1168" s="667">
        <v>0</v>
      </c>
      <c r="AE1168" s="667">
        <v>0</v>
      </c>
      <c r="AF1168" s="667">
        <v>0</v>
      </c>
      <c r="AG1168" s="667">
        <v>0</v>
      </c>
      <c r="AH1168" s="716"/>
      <c r="AI1168" s="716"/>
      <c r="AJ1168" s="716"/>
      <c r="AK1168" s="716"/>
      <c r="AL1168" s="716"/>
      <c r="AM1168" s="716"/>
      <c r="AN1168" s="716"/>
      <c r="AO1168" s="716"/>
      <c r="AP1168" s="716"/>
      <c r="AQ1168" s="716"/>
      <c r="AR1168" s="716"/>
      <c r="AS1168" s="716"/>
      <c r="AT1168" s="716"/>
      <c r="AU1168" s="716"/>
      <c r="AV1168" s="716"/>
      <c r="AW1168" s="716"/>
      <c r="AX1168" s="716"/>
      <c r="AY1168" s="716"/>
      <c r="AZ1168" s="716"/>
      <c r="BA1168" s="716"/>
      <c r="BB1168" s="716"/>
      <c r="BC1168" s="716"/>
      <c r="BD1168" s="716"/>
      <c r="BE1168" s="716"/>
      <c r="BF1168" s="716"/>
      <c r="BG1168" s="716"/>
      <c r="BH1168" s="716"/>
      <c r="BI1168" s="716"/>
      <c r="BJ1168" s="716"/>
      <c r="BK1168" s="716"/>
      <c r="BL1168" s="716"/>
      <c r="BM1168" s="716"/>
      <c r="BN1168" s="716"/>
      <c r="BO1168" s="716"/>
      <c r="BP1168" s="716"/>
      <c r="BQ1168" s="716"/>
      <c r="BR1168" s="716"/>
      <c r="BS1168" s="716"/>
      <c r="BT1168" s="716"/>
      <c r="BU1168" s="716"/>
      <c r="BV1168" s="716"/>
      <c r="BW1168" s="716"/>
      <c r="BX1168" s="716"/>
      <c r="BY1168" s="716"/>
      <c r="BZ1168" s="716"/>
      <c r="CA1168" s="716"/>
    </row>
    <row r="1169" spans="1:79" s="737" customFormat="1" hidden="1" outlineLevel="1" x14ac:dyDescent="0.25">
      <c r="A1169" s="701"/>
      <c r="B1169" s="700"/>
      <c r="C1169" s="700"/>
      <c r="D1169" s="700"/>
      <c r="E1169" s="570" t="s">
        <v>1345</v>
      </c>
      <c r="F1169" s="701" t="s">
        <v>601</v>
      </c>
      <c r="G1169" s="733"/>
      <c r="H1169" s="733"/>
      <c r="I1169" s="733"/>
      <c r="J1169" s="733"/>
      <c r="K1169" s="733"/>
      <c r="L1169" s="733"/>
      <c r="M1169" s="733"/>
      <c r="N1169" s="733"/>
      <c r="O1169" s="733"/>
      <c r="P1169" s="734"/>
      <c r="Q1169" s="734"/>
      <c r="R1169" s="734"/>
      <c r="S1169" s="697"/>
      <c r="T1169" s="697"/>
      <c r="U1169" s="697"/>
      <c r="V1169" s="697"/>
      <c r="W1169" s="697"/>
      <c r="X1169" s="697"/>
      <c r="Y1169" s="697"/>
      <c r="Z1169" s="697"/>
      <c r="AA1169" s="697"/>
      <c r="AB1169" s="697"/>
      <c r="AC1169" s="697"/>
      <c r="AD1169" s="697"/>
      <c r="AE1169" s="697"/>
      <c r="AF1169" s="697"/>
      <c r="AG1169" s="697"/>
      <c r="AH1169" s="734"/>
      <c r="AI1169" s="734"/>
      <c r="AJ1169" s="734"/>
      <c r="AK1169" s="734"/>
      <c r="AL1169" s="734"/>
      <c r="AM1169" s="734"/>
      <c r="AN1169" s="734"/>
      <c r="AO1169" s="734"/>
      <c r="AP1169" s="734"/>
      <c r="AQ1169" s="734"/>
      <c r="AR1169" s="734"/>
      <c r="AS1169" s="734"/>
      <c r="AT1169" s="734"/>
      <c r="AU1169" s="734"/>
      <c r="AV1169" s="734"/>
      <c r="AW1169" s="734"/>
      <c r="AX1169" s="734"/>
      <c r="AY1169" s="734"/>
      <c r="AZ1169" s="734"/>
      <c r="BA1169" s="734"/>
      <c r="BB1169" s="734"/>
      <c r="BC1169" s="734"/>
      <c r="BD1169" s="734"/>
      <c r="BE1169" s="734"/>
      <c r="BF1169" s="734"/>
      <c r="BG1169" s="734"/>
      <c r="BH1169" s="734"/>
      <c r="BI1169" s="734"/>
      <c r="BJ1169" s="734"/>
      <c r="BK1169" s="734"/>
      <c r="BL1169" s="734"/>
      <c r="BM1169" s="734"/>
      <c r="BN1169" s="734"/>
      <c r="BO1169" s="734"/>
      <c r="BP1169" s="734"/>
      <c r="BQ1169" s="734"/>
      <c r="BR1169" s="734"/>
      <c r="BS1169" s="734"/>
      <c r="BT1169" s="734"/>
      <c r="BU1169" s="734"/>
      <c r="BV1169" s="734"/>
      <c r="BW1169" s="734"/>
      <c r="BX1169" s="734"/>
      <c r="BY1169" s="734"/>
      <c r="BZ1169" s="734"/>
      <c r="CA1169" s="734"/>
    </row>
    <row r="1170" spans="1:79" s="451" customFormat="1" hidden="1" outlineLevel="1" x14ac:dyDescent="0.25">
      <c r="A1170" s="656"/>
      <c r="B1170" s="503"/>
      <c r="C1170" s="503"/>
      <c r="D1170" s="503"/>
      <c r="E1170" s="570" t="s">
        <v>1327</v>
      </c>
      <c r="F1170" s="656" t="s">
        <v>895</v>
      </c>
      <c r="G1170" s="719"/>
      <c r="H1170" s="719"/>
      <c r="I1170" s="719"/>
      <c r="J1170" s="719"/>
      <c r="K1170" s="719"/>
      <c r="L1170" s="719"/>
      <c r="M1170" s="719"/>
      <c r="N1170" s="719"/>
      <c r="O1170" s="719"/>
      <c r="P1170" s="716"/>
      <c r="Q1170" s="716"/>
      <c r="R1170" s="716"/>
      <c r="S1170" s="671"/>
      <c r="T1170" s="671"/>
      <c r="U1170" s="671"/>
      <c r="V1170" s="671"/>
      <c r="W1170" s="671"/>
      <c r="X1170" s="671"/>
      <c r="Y1170" s="671"/>
      <c r="Z1170" s="671"/>
      <c r="AA1170" s="671"/>
      <c r="AB1170" s="671"/>
      <c r="AC1170" s="671"/>
      <c r="AD1170" s="671"/>
      <c r="AE1170" s="671"/>
      <c r="AF1170" s="671"/>
      <c r="AG1170" s="671"/>
      <c r="AH1170" s="716"/>
      <c r="AI1170" s="716"/>
      <c r="AJ1170" s="716"/>
      <c r="AK1170" s="716"/>
      <c r="AL1170" s="716"/>
      <c r="AM1170" s="716"/>
      <c r="AN1170" s="716"/>
      <c r="AO1170" s="716"/>
      <c r="AP1170" s="716"/>
      <c r="AQ1170" s="716"/>
      <c r="AR1170" s="716"/>
      <c r="AS1170" s="716"/>
      <c r="AT1170" s="716"/>
      <c r="AU1170" s="716"/>
      <c r="AV1170" s="716"/>
      <c r="AW1170" s="716"/>
      <c r="AX1170" s="716"/>
      <c r="AY1170" s="716"/>
      <c r="AZ1170" s="716"/>
      <c r="BA1170" s="716"/>
      <c r="BB1170" s="716"/>
      <c r="BC1170" s="716"/>
      <c r="BD1170" s="716"/>
      <c r="BE1170" s="716"/>
      <c r="BF1170" s="716"/>
      <c r="BG1170" s="716"/>
      <c r="BH1170" s="716"/>
      <c r="BI1170" s="716"/>
      <c r="BJ1170" s="716"/>
      <c r="BK1170" s="716"/>
      <c r="BL1170" s="716"/>
      <c r="BM1170" s="716"/>
      <c r="BN1170" s="716"/>
      <c r="BO1170" s="716"/>
      <c r="BP1170" s="716"/>
      <c r="BQ1170" s="716"/>
      <c r="BR1170" s="716"/>
      <c r="BS1170" s="716"/>
      <c r="BT1170" s="716"/>
      <c r="BU1170" s="716"/>
      <c r="BV1170" s="716"/>
      <c r="BW1170" s="716"/>
      <c r="BX1170" s="716"/>
      <c r="BY1170" s="716"/>
      <c r="BZ1170" s="716"/>
      <c r="CA1170" s="716"/>
    </row>
    <row r="1171" spans="1:79" s="451" customFormat="1" hidden="1" outlineLevel="1" x14ac:dyDescent="0.25">
      <c r="A1171" s="661"/>
      <c r="B1171" s="503"/>
      <c r="C1171" s="503"/>
      <c r="D1171" s="503"/>
      <c r="E1171" s="570" t="s">
        <v>1327</v>
      </c>
      <c r="F1171" s="661" t="s">
        <v>906</v>
      </c>
      <c r="G1171" s="719"/>
      <c r="H1171" s="719"/>
      <c r="I1171" s="719"/>
      <c r="J1171" s="719"/>
      <c r="K1171" s="719"/>
      <c r="L1171" s="719"/>
      <c r="M1171" s="719"/>
      <c r="N1171" s="719"/>
      <c r="O1171" s="719"/>
      <c r="P1171" s="716"/>
      <c r="Q1171" s="716"/>
      <c r="R1171" s="716"/>
      <c r="S1171" s="671"/>
      <c r="T1171" s="671"/>
      <c r="U1171" s="671"/>
      <c r="V1171" s="671"/>
      <c r="W1171" s="671"/>
      <c r="X1171" s="671"/>
      <c r="Y1171" s="671"/>
      <c r="Z1171" s="671"/>
      <c r="AA1171" s="671"/>
      <c r="AB1171" s="671"/>
      <c r="AC1171" s="671"/>
      <c r="AD1171" s="671"/>
      <c r="AE1171" s="671">
        <v>0</v>
      </c>
      <c r="AF1171" s="671">
        <v>0</v>
      </c>
      <c r="AG1171" s="671">
        <v>0</v>
      </c>
      <c r="AH1171" s="716"/>
      <c r="AI1171" s="716"/>
      <c r="AJ1171" s="716"/>
      <c r="AK1171" s="716"/>
      <c r="AL1171" s="716"/>
      <c r="AM1171" s="716"/>
      <c r="AN1171" s="716"/>
      <c r="AO1171" s="716"/>
      <c r="AP1171" s="716"/>
      <c r="AQ1171" s="716"/>
      <c r="AR1171" s="716"/>
      <c r="AS1171" s="716"/>
      <c r="AT1171" s="716"/>
      <c r="AU1171" s="716"/>
      <c r="AV1171" s="716"/>
      <c r="AW1171" s="716"/>
      <c r="AX1171" s="716"/>
      <c r="AY1171" s="716"/>
      <c r="AZ1171" s="716"/>
      <c r="BA1171" s="716"/>
      <c r="BB1171" s="716"/>
      <c r="BC1171" s="716"/>
      <c r="BD1171" s="716"/>
      <c r="BE1171" s="716"/>
      <c r="BF1171" s="716"/>
      <c r="BG1171" s="716"/>
      <c r="BH1171" s="716"/>
      <c r="BI1171" s="716"/>
      <c r="BJ1171" s="716"/>
      <c r="BK1171" s="716"/>
      <c r="BL1171" s="716"/>
      <c r="BM1171" s="716"/>
      <c r="BN1171" s="716"/>
      <c r="BO1171" s="716"/>
      <c r="BP1171" s="716"/>
      <c r="BQ1171" s="716"/>
      <c r="BR1171" s="716"/>
      <c r="BS1171" s="716"/>
      <c r="BT1171" s="716"/>
      <c r="BU1171" s="716"/>
      <c r="BV1171" s="716"/>
      <c r="BW1171" s="716"/>
      <c r="BX1171" s="716"/>
      <c r="BY1171" s="716"/>
      <c r="BZ1171" s="716"/>
      <c r="CA1171" s="716"/>
    </row>
    <row r="1172" spans="1:79" s="451" customFormat="1" hidden="1" outlineLevel="1" x14ac:dyDescent="0.25">
      <c r="A1172" s="661"/>
      <c r="B1172" s="503"/>
      <c r="C1172" s="503"/>
      <c r="D1172" s="503"/>
      <c r="E1172" s="570" t="s">
        <v>657</v>
      </c>
      <c r="F1172" s="661" t="s">
        <v>641</v>
      </c>
      <c r="G1172" s="719"/>
      <c r="H1172" s="719"/>
      <c r="I1172" s="719"/>
      <c r="J1172" s="719"/>
      <c r="K1172" s="719"/>
      <c r="L1172" s="719"/>
      <c r="M1172" s="719"/>
      <c r="N1172" s="719"/>
      <c r="O1172" s="719"/>
      <c r="P1172" s="716"/>
      <c r="Q1172" s="716"/>
      <c r="R1172" s="716"/>
      <c r="S1172" s="671"/>
      <c r="T1172" s="671"/>
      <c r="U1172" s="671"/>
      <c r="V1172" s="671"/>
      <c r="W1172" s="671"/>
      <c r="X1172" s="671"/>
      <c r="Y1172" s="671"/>
      <c r="Z1172" s="671"/>
      <c r="AA1172" s="671"/>
      <c r="AB1172" s="671"/>
      <c r="AC1172" s="671"/>
      <c r="AD1172" s="671"/>
      <c r="AE1172" s="671">
        <v>0</v>
      </c>
      <c r="AF1172" s="671">
        <v>0</v>
      </c>
      <c r="AG1172" s="671">
        <v>0</v>
      </c>
      <c r="AH1172" s="716"/>
      <c r="AI1172" s="716"/>
      <c r="AJ1172" s="716"/>
      <c r="AK1172" s="716"/>
      <c r="AL1172" s="716"/>
      <c r="AM1172" s="716"/>
      <c r="AN1172" s="716"/>
      <c r="AO1172" s="716"/>
      <c r="AP1172" s="716"/>
      <c r="AQ1172" s="716"/>
      <c r="AR1172" s="716"/>
      <c r="AS1172" s="716"/>
      <c r="AT1172" s="716"/>
      <c r="AU1172" s="716"/>
      <c r="AV1172" s="716"/>
      <c r="AW1172" s="716"/>
      <c r="AX1172" s="716"/>
      <c r="AY1172" s="716"/>
      <c r="AZ1172" s="716"/>
      <c r="BA1172" s="716"/>
      <c r="BB1172" s="716"/>
      <c r="BC1172" s="716"/>
      <c r="BD1172" s="716"/>
      <c r="BE1172" s="716"/>
      <c r="BF1172" s="716"/>
      <c r="BG1172" s="716"/>
      <c r="BH1172" s="716"/>
      <c r="BI1172" s="716"/>
      <c r="BJ1172" s="716"/>
      <c r="BK1172" s="716"/>
      <c r="BL1172" s="716"/>
      <c r="BM1172" s="716"/>
      <c r="BN1172" s="716"/>
      <c r="BO1172" s="716"/>
      <c r="BP1172" s="716"/>
      <c r="BQ1172" s="716"/>
      <c r="BR1172" s="716"/>
      <c r="BS1172" s="716"/>
      <c r="BT1172" s="716"/>
      <c r="BU1172" s="716"/>
      <c r="BV1172" s="716"/>
      <c r="BW1172" s="716"/>
      <c r="BX1172" s="716"/>
      <c r="BY1172" s="716"/>
      <c r="BZ1172" s="716"/>
      <c r="CA1172" s="716"/>
    </row>
    <row r="1173" spans="1:79" s="451" customFormat="1" hidden="1" outlineLevel="1" x14ac:dyDescent="0.25">
      <c r="A1173" s="661"/>
      <c r="B1173" s="503"/>
      <c r="C1173" s="503"/>
      <c r="D1173" s="503"/>
      <c r="E1173" s="570" t="s">
        <v>657</v>
      </c>
      <c r="F1173" s="661" t="s">
        <v>1322</v>
      </c>
      <c r="G1173" s="719"/>
      <c r="H1173" s="719"/>
      <c r="I1173" s="719"/>
      <c r="J1173" s="719"/>
      <c r="K1173" s="719"/>
      <c r="L1173" s="719"/>
      <c r="M1173" s="719"/>
      <c r="N1173" s="719"/>
      <c r="O1173" s="719"/>
      <c r="P1173" s="716"/>
      <c r="Q1173" s="716"/>
      <c r="R1173" s="716"/>
      <c r="S1173" s="671"/>
      <c r="T1173" s="671"/>
      <c r="U1173" s="671"/>
      <c r="V1173" s="671"/>
      <c r="W1173" s="671"/>
      <c r="X1173" s="671"/>
      <c r="Y1173" s="671"/>
      <c r="Z1173" s="671"/>
      <c r="AA1173" s="671"/>
      <c r="AB1173" s="671"/>
      <c r="AC1173" s="671"/>
      <c r="AD1173" s="671"/>
      <c r="AE1173" s="671">
        <v>0</v>
      </c>
      <c r="AF1173" s="671">
        <v>0</v>
      </c>
      <c r="AG1173" s="671">
        <v>0</v>
      </c>
      <c r="AH1173" s="716"/>
      <c r="AI1173" s="716"/>
      <c r="AJ1173" s="716"/>
      <c r="AK1173" s="716"/>
      <c r="AL1173" s="716"/>
      <c r="AM1173" s="716"/>
      <c r="AN1173" s="716"/>
      <c r="AO1173" s="716"/>
      <c r="AP1173" s="716"/>
      <c r="AQ1173" s="716"/>
      <c r="AR1173" s="716"/>
      <c r="AS1173" s="716"/>
      <c r="AT1173" s="716"/>
      <c r="AU1173" s="716"/>
      <c r="AV1173" s="716"/>
      <c r="AW1173" s="716"/>
      <c r="AX1173" s="716"/>
      <c r="AY1173" s="716"/>
      <c r="AZ1173" s="716"/>
      <c r="BA1173" s="716"/>
      <c r="BB1173" s="716"/>
      <c r="BC1173" s="716"/>
      <c r="BD1173" s="716"/>
      <c r="BE1173" s="716"/>
      <c r="BF1173" s="716"/>
      <c r="BG1173" s="716"/>
      <c r="BH1173" s="716"/>
      <c r="BI1173" s="716"/>
      <c r="BJ1173" s="716"/>
      <c r="BK1173" s="716"/>
      <c r="BL1173" s="716"/>
      <c r="BM1173" s="716"/>
      <c r="BN1173" s="716"/>
      <c r="BO1173" s="716"/>
      <c r="BP1173" s="716"/>
      <c r="BQ1173" s="716"/>
      <c r="BR1173" s="716"/>
      <c r="BS1173" s="716"/>
      <c r="BT1173" s="716"/>
      <c r="BU1173" s="716"/>
      <c r="BV1173" s="716"/>
      <c r="BW1173" s="716"/>
      <c r="BX1173" s="716"/>
      <c r="BY1173" s="716"/>
      <c r="BZ1173" s="716"/>
      <c r="CA1173" s="716"/>
    </row>
    <row r="1174" spans="1:79" s="451" customFormat="1" hidden="1" outlineLevel="1" x14ac:dyDescent="0.25">
      <c r="A1174" s="661"/>
      <c r="B1174" s="503"/>
      <c r="C1174" s="503"/>
      <c r="D1174" s="503"/>
      <c r="E1174" s="570" t="s">
        <v>1327</v>
      </c>
      <c r="F1174" s="661" t="s">
        <v>896</v>
      </c>
      <c r="G1174" s="719"/>
      <c r="H1174" s="719"/>
      <c r="I1174" s="719"/>
      <c r="J1174" s="719"/>
      <c r="K1174" s="719"/>
      <c r="L1174" s="719"/>
      <c r="M1174" s="719"/>
      <c r="N1174" s="719"/>
      <c r="O1174" s="719"/>
      <c r="P1174" s="716"/>
      <c r="Q1174" s="716"/>
      <c r="R1174" s="716"/>
      <c r="S1174" s="671">
        <v>0</v>
      </c>
      <c r="T1174" s="671">
        <v>0</v>
      </c>
      <c r="U1174" s="671">
        <v>0</v>
      </c>
      <c r="V1174" s="671">
        <v>0</v>
      </c>
      <c r="W1174" s="671">
        <v>0</v>
      </c>
      <c r="X1174" s="671">
        <v>0</v>
      </c>
      <c r="Y1174" s="671">
        <v>0</v>
      </c>
      <c r="Z1174" s="671">
        <v>0</v>
      </c>
      <c r="AA1174" s="671">
        <v>0</v>
      </c>
      <c r="AB1174" s="671">
        <v>0</v>
      </c>
      <c r="AC1174" s="671">
        <v>986.61</v>
      </c>
      <c r="AD1174" s="671">
        <v>0</v>
      </c>
      <c r="AE1174" s="671">
        <v>0</v>
      </c>
      <c r="AF1174" s="671">
        <v>0</v>
      </c>
      <c r="AG1174" s="671">
        <v>0</v>
      </c>
      <c r="AH1174" s="716"/>
      <c r="AI1174" s="716"/>
      <c r="AJ1174" s="716"/>
      <c r="AK1174" s="716"/>
      <c r="AL1174" s="716"/>
      <c r="AM1174" s="716"/>
      <c r="AN1174" s="716"/>
      <c r="AO1174" s="716"/>
      <c r="AP1174" s="716"/>
      <c r="AQ1174" s="716"/>
      <c r="AR1174" s="716"/>
      <c r="AS1174" s="716"/>
      <c r="AT1174" s="716"/>
      <c r="AU1174" s="716"/>
      <c r="AV1174" s="716"/>
      <c r="AW1174" s="716"/>
      <c r="AX1174" s="716"/>
      <c r="AY1174" s="716"/>
      <c r="AZ1174" s="716"/>
      <c r="BA1174" s="716"/>
      <c r="BB1174" s="716"/>
      <c r="BC1174" s="716"/>
      <c r="BD1174" s="716"/>
      <c r="BE1174" s="716"/>
      <c r="BF1174" s="716"/>
      <c r="BG1174" s="716"/>
      <c r="BH1174" s="716"/>
      <c r="BI1174" s="716"/>
      <c r="BJ1174" s="716"/>
      <c r="BK1174" s="716"/>
      <c r="BL1174" s="716"/>
      <c r="BM1174" s="716"/>
      <c r="BN1174" s="716"/>
      <c r="BO1174" s="716"/>
      <c r="BP1174" s="716"/>
      <c r="BQ1174" s="716"/>
      <c r="BR1174" s="716"/>
      <c r="BS1174" s="716"/>
      <c r="BT1174" s="716"/>
      <c r="BU1174" s="716"/>
      <c r="BV1174" s="716"/>
      <c r="BW1174" s="716"/>
      <c r="BX1174" s="716"/>
      <c r="BY1174" s="716"/>
      <c r="BZ1174" s="716"/>
      <c r="CA1174" s="716"/>
    </row>
    <row r="1175" spans="1:79" s="451" customFormat="1" hidden="1" outlineLevel="1" x14ac:dyDescent="0.25">
      <c r="A1175" s="661"/>
      <c r="B1175" s="503"/>
      <c r="C1175" s="503"/>
      <c r="D1175" s="503"/>
      <c r="E1175" s="570" t="s">
        <v>1327</v>
      </c>
      <c r="F1175" s="661" t="s">
        <v>897</v>
      </c>
      <c r="G1175" s="719"/>
      <c r="H1175" s="719"/>
      <c r="I1175" s="719"/>
      <c r="J1175" s="719"/>
      <c r="K1175" s="719"/>
      <c r="L1175" s="719"/>
      <c r="M1175" s="719"/>
      <c r="N1175" s="719"/>
      <c r="O1175" s="719"/>
      <c r="P1175" s="716"/>
      <c r="Q1175" s="716"/>
      <c r="R1175" s="716"/>
      <c r="S1175" s="671">
        <v>0</v>
      </c>
      <c r="T1175" s="671">
        <v>0</v>
      </c>
      <c r="U1175" s="671">
        <v>0</v>
      </c>
      <c r="V1175" s="671">
        <v>0</v>
      </c>
      <c r="W1175" s="671">
        <v>0</v>
      </c>
      <c r="X1175" s="671">
        <v>0</v>
      </c>
      <c r="Y1175" s="671">
        <v>0</v>
      </c>
      <c r="Z1175" s="671">
        <v>0</v>
      </c>
      <c r="AA1175" s="671">
        <v>0</v>
      </c>
      <c r="AB1175" s="671">
        <v>0</v>
      </c>
      <c r="AC1175" s="671">
        <v>0</v>
      </c>
      <c r="AD1175" s="671">
        <v>0</v>
      </c>
      <c r="AE1175" s="671">
        <v>0</v>
      </c>
      <c r="AF1175" s="671">
        <v>0</v>
      </c>
      <c r="AG1175" s="671">
        <v>0</v>
      </c>
      <c r="AH1175" s="716"/>
      <c r="AI1175" s="716"/>
      <c r="AJ1175" s="716"/>
      <c r="AK1175" s="716"/>
      <c r="AL1175" s="716"/>
      <c r="AM1175" s="716"/>
      <c r="AN1175" s="716"/>
      <c r="AO1175" s="716"/>
      <c r="AP1175" s="716"/>
      <c r="AQ1175" s="716"/>
      <c r="AR1175" s="716"/>
      <c r="AS1175" s="716"/>
      <c r="AT1175" s="716"/>
      <c r="AU1175" s="716"/>
      <c r="AV1175" s="716"/>
      <c r="AW1175" s="716"/>
      <c r="AX1175" s="716"/>
      <c r="AY1175" s="716"/>
      <c r="AZ1175" s="716"/>
      <c r="BA1175" s="716"/>
      <c r="BB1175" s="716"/>
      <c r="BC1175" s="716"/>
      <c r="BD1175" s="716"/>
      <c r="BE1175" s="716"/>
      <c r="BF1175" s="716"/>
      <c r="BG1175" s="716"/>
      <c r="BH1175" s="716"/>
      <c r="BI1175" s="716"/>
      <c r="BJ1175" s="716"/>
      <c r="BK1175" s="716"/>
      <c r="BL1175" s="716"/>
      <c r="BM1175" s="716"/>
      <c r="BN1175" s="716"/>
      <c r="BO1175" s="716"/>
      <c r="BP1175" s="716"/>
      <c r="BQ1175" s="716"/>
      <c r="BR1175" s="716"/>
      <c r="BS1175" s="716"/>
      <c r="BT1175" s="716"/>
      <c r="BU1175" s="716"/>
      <c r="BV1175" s="716"/>
      <c r="BW1175" s="716"/>
      <c r="BX1175" s="716"/>
      <c r="BY1175" s="716"/>
      <c r="BZ1175" s="716"/>
      <c r="CA1175" s="716"/>
    </row>
    <row r="1176" spans="1:79" s="451" customFormat="1" hidden="1" outlineLevel="1" x14ac:dyDescent="0.25">
      <c r="A1176" s="661"/>
      <c r="B1176" s="503"/>
      <c r="C1176" s="503"/>
      <c r="D1176" s="503"/>
      <c r="E1176" s="570" t="s">
        <v>657</v>
      </c>
      <c r="F1176" s="661" t="s">
        <v>898</v>
      </c>
      <c r="G1176" s="719"/>
      <c r="H1176" s="719"/>
      <c r="I1176" s="719"/>
      <c r="J1176" s="719"/>
      <c r="K1176" s="719"/>
      <c r="L1176" s="719"/>
      <c r="M1176" s="719"/>
      <c r="N1176" s="719"/>
      <c r="O1176" s="719"/>
      <c r="P1176" s="716"/>
      <c r="Q1176" s="716"/>
      <c r="R1176" s="716"/>
      <c r="S1176" s="671">
        <v>0</v>
      </c>
      <c r="T1176" s="671">
        <v>0</v>
      </c>
      <c r="U1176" s="671">
        <v>0</v>
      </c>
      <c r="V1176" s="671">
        <v>0</v>
      </c>
      <c r="W1176" s="671">
        <v>0</v>
      </c>
      <c r="X1176" s="671">
        <v>0</v>
      </c>
      <c r="Y1176" s="671">
        <v>0</v>
      </c>
      <c r="Z1176" s="671">
        <v>0</v>
      </c>
      <c r="AA1176" s="671">
        <v>0</v>
      </c>
      <c r="AB1176" s="671">
        <v>0</v>
      </c>
      <c r="AC1176" s="671">
        <v>0</v>
      </c>
      <c r="AD1176" s="671">
        <v>829.53</v>
      </c>
      <c r="AE1176" s="671"/>
      <c r="AF1176" s="671"/>
      <c r="AG1176" s="671"/>
      <c r="AH1176" s="716"/>
      <c r="AI1176" s="716"/>
      <c r="AJ1176" s="716"/>
      <c r="AK1176" s="716"/>
      <c r="AL1176" s="716"/>
      <c r="AM1176" s="716"/>
      <c r="AN1176" s="716"/>
      <c r="AO1176" s="716"/>
      <c r="AP1176" s="716"/>
      <c r="AQ1176" s="716"/>
      <c r="AR1176" s="716"/>
      <c r="AS1176" s="716"/>
      <c r="AT1176" s="716"/>
      <c r="AU1176" s="716"/>
      <c r="AV1176" s="716"/>
      <c r="AW1176" s="716"/>
      <c r="AX1176" s="716"/>
      <c r="AY1176" s="716"/>
      <c r="AZ1176" s="716"/>
      <c r="BA1176" s="716"/>
      <c r="BB1176" s="716"/>
      <c r="BC1176" s="716"/>
      <c r="BD1176" s="716"/>
      <c r="BE1176" s="716"/>
      <c r="BF1176" s="716"/>
      <c r="BG1176" s="716"/>
      <c r="BH1176" s="716"/>
      <c r="BI1176" s="716"/>
      <c r="BJ1176" s="716"/>
      <c r="BK1176" s="716"/>
      <c r="BL1176" s="716"/>
      <c r="BM1176" s="716"/>
      <c r="BN1176" s="716"/>
      <c r="BO1176" s="716"/>
      <c r="BP1176" s="716"/>
      <c r="BQ1176" s="716"/>
      <c r="BR1176" s="716"/>
      <c r="BS1176" s="716"/>
      <c r="BT1176" s="716"/>
      <c r="BU1176" s="716"/>
      <c r="BV1176" s="716"/>
      <c r="BW1176" s="716"/>
      <c r="BX1176" s="716"/>
      <c r="BY1176" s="716"/>
      <c r="BZ1176" s="716"/>
      <c r="CA1176" s="716"/>
    </row>
    <row r="1177" spans="1:79" s="451" customFormat="1" hidden="1" outlineLevel="1" x14ac:dyDescent="0.25">
      <c r="A1177" s="661"/>
      <c r="B1177" s="503"/>
      <c r="C1177" s="503"/>
      <c r="D1177" s="503"/>
      <c r="E1177" s="570" t="s">
        <v>1327</v>
      </c>
      <c r="F1177" s="661" t="s">
        <v>899</v>
      </c>
      <c r="G1177" s="719"/>
      <c r="H1177" s="719"/>
      <c r="I1177" s="719"/>
      <c r="J1177" s="719"/>
      <c r="K1177" s="719"/>
      <c r="L1177" s="719"/>
      <c r="M1177" s="719"/>
      <c r="N1177" s="719"/>
      <c r="O1177" s="719"/>
      <c r="P1177" s="716"/>
      <c r="Q1177" s="716"/>
      <c r="R1177" s="716"/>
      <c r="S1177" s="671">
        <v>0</v>
      </c>
      <c r="T1177" s="671">
        <v>0</v>
      </c>
      <c r="U1177" s="671">
        <v>0</v>
      </c>
      <c r="V1177" s="671">
        <v>0</v>
      </c>
      <c r="W1177" s="671">
        <v>0</v>
      </c>
      <c r="X1177" s="671">
        <v>0</v>
      </c>
      <c r="Y1177" s="671">
        <v>0</v>
      </c>
      <c r="Z1177" s="671">
        <v>0</v>
      </c>
      <c r="AA1177" s="671">
        <v>0</v>
      </c>
      <c r="AB1177" s="671">
        <v>0</v>
      </c>
      <c r="AC1177" s="671">
        <v>0</v>
      </c>
      <c r="AD1177" s="671">
        <v>0</v>
      </c>
      <c r="AE1177" s="671">
        <v>0</v>
      </c>
      <c r="AF1177" s="671">
        <v>0</v>
      </c>
      <c r="AG1177" s="671">
        <v>0</v>
      </c>
      <c r="AH1177" s="716"/>
      <c r="AI1177" s="716"/>
      <c r="AJ1177" s="716"/>
      <c r="AK1177" s="716"/>
      <c r="AL1177" s="716"/>
      <c r="AM1177" s="716"/>
      <c r="AN1177" s="716"/>
      <c r="AO1177" s="716"/>
      <c r="AP1177" s="716"/>
      <c r="AQ1177" s="716"/>
      <c r="AR1177" s="716"/>
      <c r="AS1177" s="716"/>
      <c r="AT1177" s="716"/>
      <c r="AU1177" s="716"/>
      <c r="AV1177" s="716"/>
      <c r="AW1177" s="716"/>
      <c r="AX1177" s="716"/>
      <c r="AY1177" s="716"/>
      <c r="AZ1177" s="716"/>
      <c r="BA1177" s="716"/>
      <c r="BB1177" s="716"/>
      <c r="BC1177" s="716"/>
      <c r="BD1177" s="716"/>
      <c r="BE1177" s="716"/>
      <c r="BF1177" s="716"/>
      <c r="BG1177" s="716"/>
      <c r="BH1177" s="716"/>
      <c r="BI1177" s="716"/>
      <c r="BJ1177" s="716"/>
      <c r="BK1177" s="716"/>
      <c r="BL1177" s="716"/>
      <c r="BM1177" s="716"/>
      <c r="BN1177" s="716"/>
      <c r="BO1177" s="716"/>
      <c r="BP1177" s="716"/>
      <c r="BQ1177" s="716"/>
      <c r="BR1177" s="716"/>
      <c r="BS1177" s="716"/>
      <c r="BT1177" s="716"/>
      <c r="BU1177" s="716"/>
      <c r="BV1177" s="716"/>
      <c r="BW1177" s="716"/>
      <c r="BX1177" s="716"/>
      <c r="BY1177" s="716"/>
      <c r="BZ1177" s="716"/>
      <c r="CA1177" s="716"/>
    </row>
    <row r="1178" spans="1:79" s="451" customFormat="1" hidden="1" outlineLevel="1" x14ac:dyDescent="0.25">
      <c r="A1178" s="661"/>
      <c r="B1178" s="503"/>
      <c r="C1178" s="503"/>
      <c r="D1178" s="503"/>
      <c r="E1178" s="570" t="s">
        <v>1327</v>
      </c>
      <c r="F1178" s="661" t="s">
        <v>900</v>
      </c>
      <c r="G1178" s="719"/>
      <c r="H1178" s="719"/>
      <c r="I1178" s="719"/>
      <c r="J1178" s="719"/>
      <c r="K1178" s="719"/>
      <c r="L1178" s="719"/>
      <c r="M1178" s="719"/>
      <c r="N1178" s="719"/>
      <c r="O1178" s="719"/>
      <c r="P1178" s="716"/>
      <c r="Q1178" s="716"/>
      <c r="R1178" s="716"/>
      <c r="S1178" s="671">
        <v>0</v>
      </c>
      <c r="T1178" s="671">
        <v>0</v>
      </c>
      <c r="U1178" s="671">
        <v>0</v>
      </c>
      <c r="V1178" s="671">
        <v>0</v>
      </c>
      <c r="W1178" s="671">
        <v>0</v>
      </c>
      <c r="X1178" s="671">
        <v>0</v>
      </c>
      <c r="Y1178" s="671">
        <v>0</v>
      </c>
      <c r="Z1178" s="671">
        <v>0</v>
      </c>
      <c r="AA1178" s="671">
        <v>0</v>
      </c>
      <c r="AB1178" s="671">
        <v>0</v>
      </c>
      <c r="AC1178" s="671">
        <v>0</v>
      </c>
      <c r="AD1178" s="671">
        <v>0</v>
      </c>
      <c r="AE1178" s="671">
        <v>0</v>
      </c>
      <c r="AF1178" s="671">
        <v>0</v>
      </c>
      <c r="AG1178" s="671">
        <v>0</v>
      </c>
      <c r="AH1178" s="716"/>
      <c r="AI1178" s="716"/>
      <c r="AJ1178" s="716"/>
      <c r="AK1178" s="716"/>
      <c r="AL1178" s="716"/>
      <c r="AM1178" s="716"/>
      <c r="AN1178" s="716"/>
      <c r="AO1178" s="716"/>
      <c r="AP1178" s="716"/>
      <c r="AQ1178" s="716"/>
      <c r="AR1178" s="716"/>
      <c r="AS1178" s="716"/>
      <c r="AT1178" s="716"/>
      <c r="AU1178" s="716"/>
      <c r="AV1178" s="716"/>
      <c r="AW1178" s="716"/>
      <c r="AX1178" s="716"/>
      <c r="AY1178" s="716"/>
      <c r="AZ1178" s="716"/>
      <c r="BA1178" s="716"/>
      <c r="BB1178" s="716"/>
      <c r="BC1178" s="716"/>
      <c r="BD1178" s="716"/>
      <c r="BE1178" s="716"/>
      <c r="BF1178" s="716"/>
      <c r="BG1178" s="716"/>
      <c r="BH1178" s="716"/>
      <c r="BI1178" s="716"/>
      <c r="BJ1178" s="716"/>
      <c r="BK1178" s="716"/>
      <c r="BL1178" s="716"/>
      <c r="BM1178" s="716"/>
      <c r="BN1178" s="716"/>
      <c r="BO1178" s="716"/>
      <c r="BP1178" s="716"/>
      <c r="BQ1178" s="716"/>
      <c r="BR1178" s="716"/>
      <c r="BS1178" s="716"/>
      <c r="BT1178" s="716"/>
      <c r="BU1178" s="716"/>
      <c r="BV1178" s="716"/>
      <c r="BW1178" s="716"/>
      <c r="BX1178" s="716"/>
      <c r="BY1178" s="716"/>
      <c r="BZ1178" s="716"/>
      <c r="CA1178" s="716"/>
    </row>
    <row r="1179" spans="1:79" s="451" customFormat="1" hidden="1" outlineLevel="1" x14ac:dyDescent="0.25">
      <c r="A1179" s="657"/>
      <c r="B1179" s="503"/>
      <c r="C1179" s="503"/>
      <c r="D1179" s="503"/>
      <c r="E1179" s="570" t="s">
        <v>49</v>
      </c>
      <c r="F1179" s="657" t="s">
        <v>901</v>
      </c>
      <c r="G1179" s="664">
        <f t="shared" ref="G1179:R1179" si="489">SUM(G1170:G1178)</f>
        <v>0</v>
      </c>
      <c r="H1179" s="664">
        <f t="shared" si="489"/>
        <v>0</v>
      </c>
      <c r="I1179" s="664">
        <f t="shared" si="489"/>
        <v>0</v>
      </c>
      <c r="J1179" s="664">
        <f t="shared" si="489"/>
        <v>0</v>
      </c>
      <c r="K1179" s="664">
        <f t="shared" si="489"/>
        <v>0</v>
      </c>
      <c r="L1179" s="664">
        <f t="shared" si="489"/>
        <v>0</v>
      </c>
      <c r="M1179" s="664">
        <f t="shared" si="489"/>
        <v>0</v>
      </c>
      <c r="N1179" s="664">
        <f t="shared" si="489"/>
        <v>0</v>
      </c>
      <c r="O1179" s="664">
        <f t="shared" si="489"/>
        <v>0</v>
      </c>
      <c r="P1179" s="664">
        <f t="shared" si="489"/>
        <v>0</v>
      </c>
      <c r="Q1179" s="664">
        <f t="shared" si="489"/>
        <v>0</v>
      </c>
      <c r="R1179" s="664">
        <f t="shared" si="489"/>
        <v>0</v>
      </c>
      <c r="S1179" s="679">
        <f t="shared" ref="S1179:AB1179" si="490">ROUND(SUM(S1170:S1178),5)</f>
        <v>0</v>
      </c>
      <c r="T1179" s="679">
        <f t="shared" si="490"/>
        <v>0</v>
      </c>
      <c r="U1179" s="679">
        <f t="shared" si="490"/>
        <v>0</v>
      </c>
      <c r="V1179" s="679">
        <f t="shared" si="490"/>
        <v>0</v>
      </c>
      <c r="W1179" s="679">
        <f t="shared" si="490"/>
        <v>0</v>
      </c>
      <c r="X1179" s="679">
        <f t="shared" si="490"/>
        <v>0</v>
      </c>
      <c r="Y1179" s="679">
        <f t="shared" si="490"/>
        <v>0</v>
      </c>
      <c r="Z1179" s="679">
        <f t="shared" si="490"/>
        <v>0</v>
      </c>
      <c r="AA1179" s="679">
        <f t="shared" si="490"/>
        <v>0</v>
      </c>
      <c r="AB1179" s="679">
        <f t="shared" si="490"/>
        <v>0</v>
      </c>
      <c r="AC1179" s="679">
        <f>ROUND(SUM(AC1170:AC1178),5)</f>
        <v>986.61</v>
      </c>
      <c r="AD1179" s="679">
        <f>ROUND(SUM(AD1170:AD1178),5)</f>
        <v>829.53</v>
      </c>
      <c r="AE1179" s="679">
        <f>ROUND(SUM(AE1170:AE1178),5)</f>
        <v>0</v>
      </c>
      <c r="AF1179" s="679">
        <f>ROUND(SUM(AF1170:AF1178),5)</f>
        <v>0</v>
      </c>
      <c r="AG1179" s="679">
        <f>ROUND(SUM(AG1170:AG1178),5)</f>
        <v>0</v>
      </c>
      <c r="AH1179" s="664">
        <f t="shared" ref="AH1179:BJ1179" si="491">SUM(AH1170:AH1178)</f>
        <v>0</v>
      </c>
      <c r="AI1179" s="664">
        <f t="shared" si="491"/>
        <v>0</v>
      </c>
      <c r="AJ1179" s="664">
        <f t="shared" si="491"/>
        <v>0</v>
      </c>
      <c r="AK1179" s="664">
        <f t="shared" si="491"/>
        <v>0</v>
      </c>
      <c r="AL1179" s="664">
        <f t="shared" si="491"/>
        <v>0</v>
      </c>
      <c r="AM1179" s="664">
        <f t="shared" si="491"/>
        <v>0</v>
      </c>
      <c r="AN1179" s="664">
        <f t="shared" si="491"/>
        <v>0</v>
      </c>
      <c r="AO1179" s="664">
        <f t="shared" si="491"/>
        <v>0</v>
      </c>
      <c r="AP1179" s="664">
        <f t="shared" si="491"/>
        <v>0</v>
      </c>
      <c r="AQ1179" s="664">
        <f t="shared" si="491"/>
        <v>0</v>
      </c>
      <c r="AR1179" s="664">
        <f t="shared" si="491"/>
        <v>0</v>
      </c>
      <c r="AS1179" s="664">
        <f t="shared" si="491"/>
        <v>0</v>
      </c>
      <c r="AT1179" s="664">
        <f t="shared" si="491"/>
        <v>0</v>
      </c>
      <c r="AU1179" s="664">
        <f t="shared" si="491"/>
        <v>0</v>
      </c>
      <c r="AV1179" s="664">
        <f t="shared" si="491"/>
        <v>0</v>
      </c>
      <c r="AW1179" s="664">
        <f t="shared" si="491"/>
        <v>0</v>
      </c>
      <c r="AX1179" s="664">
        <f t="shared" si="491"/>
        <v>0</v>
      </c>
      <c r="AY1179" s="664">
        <f t="shared" si="491"/>
        <v>0</v>
      </c>
      <c r="AZ1179" s="664">
        <f t="shared" si="491"/>
        <v>0</v>
      </c>
      <c r="BA1179" s="664">
        <f t="shared" si="491"/>
        <v>0</v>
      </c>
      <c r="BB1179" s="664">
        <f t="shared" si="491"/>
        <v>0</v>
      </c>
      <c r="BC1179" s="664">
        <f t="shared" si="491"/>
        <v>0</v>
      </c>
      <c r="BD1179" s="664">
        <f t="shared" si="491"/>
        <v>0</v>
      </c>
      <c r="BE1179" s="664">
        <f t="shared" si="491"/>
        <v>0</v>
      </c>
      <c r="BF1179" s="664">
        <f t="shared" si="491"/>
        <v>0</v>
      </c>
      <c r="BG1179" s="664">
        <f t="shared" si="491"/>
        <v>0</v>
      </c>
      <c r="BH1179" s="664">
        <f t="shared" si="491"/>
        <v>0</v>
      </c>
      <c r="BI1179" s="664">
        <f t="shared" si="491"/>
        <v>0</v>
      </c>
      <c r="BJ1179" s="664">
        <f t="shared" si="491"/>
        <v>0</v>
      </c>
      <c r="BK1179" s="664">
        <f t="shared" ref="BK1179:CA1179" si="492">SUM(BK1170:BK1178)</f>
        <v>0</v>
      </c>
      <c r="BL1179" s="664">
        <f t="shared" si="492"/>
        <v>0</v>
      </c>
      <c r="BM1179" s="664">
        <f t="shared" si="492"/>
        <v>0</v>
      </c>
      <c r="BN1179" s="664">
        <f t="shared" si="492"/>
        <v>0</v>
      </c>
      <c r="BO1179" s="664">
        <f t="shared" si="492"/>
        <v>0</v>
      </c>
      <c r="BP1179" s="664">
        <f t="shared" si="492"/>
        <v>0</v>
      </c>
      <c r="BQ1179" s="664">
        <f t="shared" si="492"/>
        <v>0</v>
      </c>
      <c r="BR1179" s="664">
        <f t="shared" si="492"/>
        <v>0</v>
      </c>
      <c r="BS1179" s="664">
        <f t="shared" si="492"/>
        <v>0</v>
      </c>
      <c r="BT1179" s="664">
        <f t="shared" si="492"/>
        <v>0</v>
      </c>
      <c r="BU1179" s="664">
        <f t="shared" si="492"/>
        <v>0</v>
      </c>
      <c r="BV1179" s="664">
        <f t="shared" si="492"/>
        <v>0</v>
      </c>
      <c r="BW1179" s="664">
        <f t="shared" si="492"/>
        <v>0</v>
      </c>
      <c r="BX1179" s="664">
        <f t="shared" si="492"/>
        <v>0</v>
      </c>
      <c r="BY1179" s="664">
        <f t="shared" si="492"/>
        <v>0</v>
      </c>
      <c r="BZ1179" s="664">
        <f t="shared" si="492"/>
        <v>0</v>
      </c>
      <c r="CA1179" s="664">
        <f t="shared" si="492"/>
        <v>0</v>
      </c>
    </row>
    <row r="1180" spans="1:79" s="710" customFormat="1" hidden="1" outlineLevel="1" x14ac:dyDescent="0.25">
      <c r="A1180" s="701"/>
      <c r="B1180" s="700"/>
      <c r="C1180" s="700"/>
      <c r="D1180" s="700"/>
      <c r="E1180" s="570" t="s">
        <v>1344</v>
      </c>
      <c r="F1180" s="701" t="s">
        <v>626</v>
      </c>
      <c r="G1180" s="733"/>
      <c r="H1180" s="733"/>
      <c r="I1180" s="733"/>
      <c r="J1180" s="733"/>
      <c r="K1180" s="733"/>
      <c r="L1180" s="733"/>
      <c r="M1180" s="733"/>
      <c r="N1180" s="733"/>
      <c r="O1180" s="733"/>
      <c r="P1180" s="734"/>
      <c r="Q1180" s="734"/>
      <c r="R1180" s="734"/>
      <c r="S1180" s="697"/>
      <c r="T1180" s="697"/>
      <c r="U1180" s="697"/>
      <c r="V1180" s="697"/>
      <c r="W1180" s="697"/>
      <c r="X1180" s="697"/>
      <c r="Y1180" s="697"/>
      <c r="Z1180" s="697"/>
      <c r="AA1180" s="697"/>
      <c r="AB1180" s="697"/>
      <c r="AC1180" s="697"/>
      <c r="AD1180" s="697"/>
      <c r="AE1180" s="697"/>
      <c r="AF1180" s="697"/>
      <c r="AG1180" s="697"/>
      <c r="AH1180" s="734"/>
      <c r="AI1180" s="734"/>
      <c r="AJ1180" s="734"/>
      <c r="AK1180" s="734"/>
      <c r="AL1180" s="734"/>
      <c r="AM1180" s="734"/>
      <c r="AN1180" s="734"/>
      <c r="AO1180" s="734"/>
      <c r="AP1180" s="734"/>
      <c r="AQ1180" s="734"/>
      <c r="AR1180" s="734"/>
      <c r="AS1180" s="734"/>
      <c r="AT1180" s="734"/>
      <c r="AU1180" s="734"/>
      <c r="AV1180" s="734"/>
      <c r="AW1180" s="734"/>
      <c r="AX1180" s="734"/>
      <c r="AY1180" s="734"/>
      <c r="AZ1180" s="734"/>
      <c r="BA1180" s="734"/>
      <c r="BB1180" s="734"/>
      <c r="BC1180" s="734"/>
      <c r="BD1180" s="734"/>
      <c r="BE1180" s="734"/>
      <c r="BF1180" s="734"/>
      <c r="BG1180" s="734"/>
      <c r="BH1180" s="734"/>
      <c r="BI1180" s="734"/>
      <c r="BJ1180" s="734"/>
      <c r="BK1180" s="734"/>
      <c r="BL1180" s="734"/>
      <c r="BM1180" s="734"/>
      <c r="BN1180" s="734"/>
      <c r="BO1180" s="734"/>
      <c r="BP1180" s="734"/>
      <c r="BQ1180" s="734"/>
      <c r="BR1180" s="734"/>
      <c r="BS1180" s="734"/>
      <c r="BT1180" s="734"/>
      <c r="BU1180" s="734"/>
      <c r="BV1180" s="734"/>
      <c r="BW1180" s="734"/>
      <c r="BX1180" s="734"/>
      <c r="BY1180" s="734"/>
      <c r="BZ1180" s="734"/>
      <c r="CA1180" s="734"/>
    </row>
    <row r="1181" spans="1:79" s="308" customFormat="1" hidden="1" outlineLevel="1" x14ac:dyDescent="0.25">
      <c r="A1181" s="661"/>
      <c r="B1181" s="503"/>
      <c r="C1181" s="503"/>
      <c r="D1181" s="503"/>
      <c r="E1181" s="570" t="s">
        <v>1344</v>
      </c>
      <c r="F1181" s="661" t="s">
        <v>627</v>
      </c>
      <c r="G1181" s="719"/>
      <c r="H1181" s="719"/>
      <c r="I1181" s="719"/>
      <c r="J1181" s="719"/>
      <c r="K1181" s="719"/>
      <c r="L1181" s="719"/>
      <c r="M1181" s="719"/>
      <c r="N1181" s="719"/>
      <c r="O1181" s="719"/>
      <c r="P1181" s="716"/>
      <c r="Q1181" s="716"/>
      <c r="R1181" s="716"/>
      <c r="S1181" s="667">
        <v>0</v>
      </c>
      <c r="T1181" s="667">
        <v>0</v>
      </c>
      <c r="U1181" s="667">
        <v>0</v>
      </c>
      <c r="V1181" s="667">
        <v>7</v>
      </c>
      <c r="W1181" s="667">
        <v>0</v>
      </c>
      <c r="X1181" s="667">
        <v>0</v>
      </c>
      <c r="Y1181" s="667">
        <v>0</v>
      </c>
      <c r="Z1181" s="667">
        <v>0</v>
      </c>
      <c r="AA1181" s="667">
        <v>0</v>
      </c>
      <c r="AB1181" s="667">
        <v>0</v>
      </c>
      <c r="AC1181" s="667">
        <v>0</v>
      </c>
      <c r="AD1181" s="667">
        <v>0</v>
      </c>
      <c r="AE1181" s="667">
        <v>0</v>
      </c>
      <c r="AF1181" s="667">
        <v>0</v>
      </c>
      <c r="AG1181" s="667">
        <v>0</v>
      </c>
      <c r="AH1181" s="716"/>
      <c r="AI1181" s="716"/>
      <c r="AJ1181" s="716"/>
      <c r="AK1181" s="716"/>
      <c r="AL1181" s="716"/>
      <c r="AM1181" s="716"/>
      <c r="AN1181" s="716"/>
      <c r="AO1181" s="716"/>
      <c r="AP1181" s="716"/>
      <c r="AQ1181" s="716"/>
      <c r="AR1181" s="716"/>
      <c r="AS1181" s="716"/>
      <c r="AT1181" s="716"/>
      <c r="AU1181" s="716"/>
      <c r="AV1181" s="716"/>
      <c r="AW1181" s="716"/>
      <c r="AX1181" s="716"/>
      <c r="AY1181" s="716"/>
      <c r="AZ1181" s="716"/>
      <c r="BA1181" s="716"/>
      <c r="BB1181" s="716"/>
      <c r="BC1181" s="716"/>
      <c r="BD1181" s="716"/>
      <c r="BE1181" s="716"/>
      <c r="BF1181" s="716"/>
      <c r="BG1181" s="716"/>
      <c r="BH1181" s="716"/>
      <c r="BI1181" s="716"/>
      <c r="BJ1181" s="716"/>
      <c r="BK1181" s="716"/>
      <c r="BL1181" s="716"/>
      <c r="BM1181" s="716"/>
      <c r="BN1181" s="716"/>
      <c r="BO1181" s="716"/>
      <c r="BP1181" s="716"/>
      <c r="BQ1181" s="716"/>
      <c r="BR1181" s="716"/>
      <c r="BS1181" s="716"/>
      <c r="BT1181" s="716"/>
      <c r="BU1181" s="716"/>
      <c r="BV1181" s="716"/>
      <c r="BW1181" s="716"/>
      <c r="BX1181" s="716"/>
      <c r="BY1181" s="716"/>
      <c r="BZ1181" s="716"/>
      <c r="CA1181" s="716"/>
    </row>
    <row r="1182" spans="1:79" s="308" customFormat="1" hidden="1" outlineLevel="1" x14ac:dyDescent="0.25">
      <c r="A1182" s="661"/>
      <c r="B1182" s="503"/>
      <c r="C1182" s="503"/>
      <c r="D1182" s="503"/>
      <c r="E1182" s="570" t="s">
        <v>1344</v>
      </c>
      <c r="F1182" s="661" t="s">
        <v>628</v>
      </c>
      <c r="G1182" s="719"/>
      <c r="H1182" s="719"/>
      <c r="I1182" s="719"/>
      <c r="J1182" s="719"/>
      <c r="K1182" s="719"/>
      <c r="L1182" s="719"/>
      <c r="M1182" s="719"/>
      <c r="N1182" s="719"/>
      <c r="O1182" s="719"/>
      <c r="P1182" s="716"/>
      <c r="Q1182" s="716"/>
      <c r="R1182" s="716"/>
      <c r="S1182" s="667">
        <v>0</v>
      </c>
      <c r="T1182" s="667">
        <v>0</v>
      </c>
      <c r="U1182" s="667">
        <v>0</v>
      </c>
      <c r="V1182" s="667">
        <v>42</v>
      </c>
      <c r="W1182" s="667">
        <v>0</v>
      </c>
      <c r="X1182" s="667">
        <v>0</v>
      </c>
      <c r="Y1182" s="667">
        <v>0</v>
      </c>
      <c r="Z1182" s="667">
        <v>0</v>
      </c>
      <c r="AA1182" s="667">
        <v>0</v>
      </c>
      <c r="AB1182" s="667">
        <v>0</v>
      </c>
      <c r="AC1182" s="667">
        <v>0</v>
      </c>
      <c r="AD1182" s="667">
        <v>0</v>
      </c>
      <c r="AE1182" s="667">
        <v>0</v>
      </c>
      <c r="AF1182" s="667">
        <v>0</v>
      </c>
      <c r="AG1182" s="667">
        <v>0</v>
      </c>
      <c r="AH1182" s="716"/>
      <c r="AI1182" s="716"/>
      <c r="AJ1182" s="716"/>
      <c r="AK1182" s="716"/>
      <c r="AL1182" s="716"/>
      <c r="AM1182" s="716"/>
      <c r="AN1182" s="716"/>
      <c r="AO1182" s="716"/>
      <c r="AP1182" s="716"/>
      <c r="AQ1182" s="716"/>
      <c r="AR1182" s="716"/>
      <c r="AS1182" s="716"/>
      <c r="AT1182" s="716"/>
      <c r="AU1182" s="716"/>
      <c r="AV1182" s="716"/>
      <c r="AW1182" s="716"/>
      <c r="AX1182" s="716"/>
      <c r="AY1182" s="716"/>
      <c r="AZ1182" s="716"/>
      <c r="BA1182" s="716"/>
      <c r="BB1182" s="716"/>
      <c r="BC1182" s="716"/>
      <c r="BD1182" s="716"/>
      <c r="BE1182" s="716"/>
      <c r="BF1182" s="716"/>
      <c r="BG1182" s="716"/>
      <c r="BH1182" s="716"/>
      <c r="BI1182" s="716"/>
      <c r="BJ1182" s="716"/>
      <c r="BK1182" s="716"/>
      <c r="BL1182" s="716"/>
      <c r="BM1182" s="716"/>
      <c r="BN1182" s="716"/>
      <c r="BO1182" s="716"/>
      <c r="BP1182" s="716"/>
      <c r="BQ1182" s="716"/>
      <c r="BR1182" s="716"/>
      <c r="BS1182" s="716"/>
      <c r="BT1182" s="716"/>
      <c r="BU1182" s="716"/>
      <c r="BV1182" s="716"/>
      <c r="BW1182" s="716"/>
      <c r="BX1182" s="716"/>
      <c r="BY1182" s="716"/>
      <c r="BZ1182" s="716"/>
      <c r="CA1182" s="716"/>
    </row>
    <row r="1183" spans="1:79" hidden="1" outlineLevel="1" x14ac:dyDescent="0.25">
      <c r="A1183" s="661"/>
      <c r="B1183" s="503"/>
      <c r="C1183" s="503"/>
      <c r="D1183" s="503"/>
      <c r="E1183" s="570" t="s">
        <v>1344</v>
      </c>
      <c r="F1183" s="661" t="s">
        <v>629</v>
      </c>
      <c r="G1183" s="719"/>
      <c r="H1183" s="719"/>
      <c r="I1183" s="719"/>
      <c r="J1183" s="719"/>
      <c r="K1183" s="719"/>
      <c r="L1183" s="719"/>
      <c r="M1183" s="719"/>
      <c r="N1183" s="719"/>
      <c r="O1183" s="719"/>
      <c r="P1183" s="716"/>
      <c r="Q1183" s="716"/>
      <c r="R1183" s="716"/>
      <c r="S1183" s="667">
        <v>19.329999999999998</v>
      </c>
      <c r="T1183" s="667">
        <v>19.329999999999998</v>
      </c>
      <c r="U1183" s="667">
        <v>19.329999999999998</v>
      </c>
      <c r="V1183" s="667">
        <v>251.91</v>
      </c>
      <c r="W1183" s="667">
        <v>217.45</v>
      </c>
      <c r="X1183" s="667">
        <v>194.7</v>
      </c>
      <c r="Y1183" s="667">
        <v>221.77</v>
      </c>
      <c r="Z1183" s="667">
        <v>218.91</v>
      </c>
      <c r="AA1183" s="667">
        <v>200.22</v>
      </c>
      <c r="AB1183" s="667">
        <v>217.46</v>
      </c>
      <c r="AC1183" s="667">
        <v>203.31</v>
      </c>
      <c r="AD1183" s="667">
        <v>190.23</v>
      </c>
      <c r="AE1183" s="667">
        <v>-16.940000000000001</v>
      </c>
      <c r="AF1183" s="667">
        <v>0</v>
      </c>
      <c r="AG1183" s="667">
        <v>0</v>
      </c>
      <c r="AH1183" s="716"/>
      <c r="AI1183" s="716"/>
      <c r="AJ1183" s="716"/>
      <c r="AK1183" s="716"/>
      <c r="AL1183" s="716"/>
      <c r="AM1183" s="716"/>
      <c r="AN1183" s="716"/>
      <c r="AO1183" s="716"/>
      <c r="AP1183" s="716"/>
      <c r="AQ1183" s="716"/>
      <c r="AR1183" s="716"/>
      <c r="AS1183" s="716"/>
      <c r="AT1183" s="716"/>
      <c r="AU1183" s="716"/>
      <c r="AV1183" s="716"/>
      <c r="AW1183" s="716"/>
      <c r="AX1183" s="716"/>
      <c r="AY1183" s="716"/>
      <c r="AZ1183" s="716"/>
      <c r="BA1183" s="716"/>
      <c r="BB1183" s="716"/>
      <c r="BC1183" s="716"/>
      <c r="BD1183" s="716"/>
      <c r="BE1183" s="716"/>
      <c r="BF1183" s="716"/>
      <c r="BG1183" s="716"/>
      <c r="BH1183" s="716"/>
      <c r="BI1183" s="716"/>
      <c r="BJ1183" s="716"/>
      <c r="BK1183" s="716"/>
      <c r="BL1183" s="716"/>
      <c r="BM1183" s="716"/>
      <c r="BN1183" s="716"/>
      <c r="BO1183" s="716"/>
      <c r="BP1183" s="716"/>
      <c r="BQ1183" s="716"/>
      <c r="BR1183" s="716"/>
      <c r="BS1183" s="716"/>
      <c r="BT1183" s="716"/>
      <c r="BU1183" s="716"/>
      <c r="BV1183" s="716"/>
      <c r="BW1183" s="716"/>
      <c r="BX1183" s="716"/>
      <c r="BY1183" s="716"/>
      <c r="BZ1183" s="716"/>
      <c r="CA1183" s="716"/>
    </row>
    <row r="1184" spans="1:79" s="740" customFormat="1" hidden="1" outlineLevel="1" x14ac:dyDescent="0.25">
      <c r="A1184" s="661"/>
      <c r="B1184" s="503"/>
      <c r="C1184" s="503"/>
      <c r="D1184" s="503"/>
      <c r="E1184" s="570" t="s">
        <v>1344</v>
      </c>
      <c r="F1184" s="661" t="s">
        <v>630</v>
      </c>
      <c r="G1184" s="719"/>
      <c r="H1184" s="719"/>
      <c r="I1184" s="719"/>
      <c r="J1184" s="719"/>
      <c r="K1184" s="719"/>
      <c r="L1184" s="719"/>
      <c r="M1184" s="719"/>
      <c r="N1184" s="719"/>
      <c r="O1184" s="719"/>
      <c r="P1184" s="716"/>
      <c r="Q1184" s="716"/>
      <c r="R1184" s="716"/>
      <c r="S1184" s="667">
        <v>0</v>
      </c>
      <c r="T1184" s="667">
        <v>0</v>
      </c>
      <c r="U1184" s="667">
        <v>0</v>
      </c>
      <c r="V1184" s="667">
        <v>994.5</v>
      </c>
      <c r="W1184" s="667">
        <v>847.16</v>
      </c>
      <c r="X1184" s="667">
        <v>749.87</v>
      </c>
      <c r="Y1184" s="667">
        <v>865.62</v>
      </c>
      <c r="Z1184" s="667">
        <v>853.41</v>
      </c>
      <c r="AA1184" s="667">
        <v>773.49</v>
      </c>
      <c r="AB1184" s="667">
        <v>847.16</v>
      </c>
      <c r="AC1184" s="667">
        <v>786.7</v>
      </c>
      <c r="AD1184" s="667">
        <v>403.9</v>
      </c>
      <c r="AE1184" s="667">
        <v>-72.430000000000007</v>
      </c>
      <c r="AF1184" s="667">
        <v>0</v>
      </c>
      <c r="AG1184" s="667">
        <v>0</v>
      </c>
      <c r="AH1184" s="716"/>
      <c r="AI1184" s="716"/>
      <c r="AJ1184" s="716"/>
      <c r="AK1184" s="716"/>
      <c r="AL1184" s="716"/>
      <c r="AM1184" s="716"/>
      <c r="AN1184" s="716"/>
      <c r="AO1184" s="716"/>
      <c r="AP1184" s="716"/>
      <c r="AQ1184" s="716"/>
      <c r="AR1184" s="716"/>
      <c r="AS1184" s="716"/>
      <c r="AT1184" s="716"/>
      <c r="AU1184" s="716"/>
      <c r="AV1184" s="716"/>
      <c r="AW1184" s="716"/>
      <c r="AX1184" s="716"/>
      <c r="AY1184" s="716"/>
      <c r="AZ1184" s="716"/>
      <c r="BA1184" s="716"/>
      <c r="BB1184" s="716"/>
      <c r="BC1184" s="716"/>
      <c r="BD1184" s="716"/>
      <c r="BE1184" s="716"/>
      <c r="BF1184" s="716"/>
      <c r="BG1184" s="716"/>
      <c r="BH1184" s="716"/>
      <c r="BI1184" s="716"/>
      <c r="BJ1184" s="716"/>
      <c r="BK1184" s="716"/>
      <c r="BL1184" s="716"/>
      <c r="BM1184" s="716"/>
      <c r="BN1184" s="716"/>
      <c r="BO1184" s="716"/>
      <c r="BP1184" s="716"/>
      <c r="BQ1184" s="716"/>
      <c r="BR1184" s="716"/>
      <c r="BS1184" s="716"/>
      <c r="BT1184" s="716"/>
      <c r="BU1184" s="716"/>
      <c r="BV1184" s="716"/>
      <c r="BW1184" s="716"/>
      <c r="BX1184" s="716"/>
      <c r="BY1184" s="716"/>
      <c r="BZ1184" s="716"/>
      <c r="CA1184" s="716"/>
    </row>
    <row r="1185" spans="1:79" s="740" customFormat="1" hidden="1" outlineLevel="1" x14ac:dyDescent="0.25">
      <c r="A1185" s="661"/>
      <c r="B1185" s="503"/>
      <c r="C1185" s="503"/>
      <c r="D1185" s="503"/>
      <c r="E1185" s="570" t="s">
        <v>1344</v>
      </c>
      <c r="F1185" s="661" t="s">
        <v>631</v>
      </c>
      <c r="G1185" s="719"/>
      <c r="H1185" s="719"/>
      <c r="I1185" s="719"/>
      <c r="J1185" s="719"/>
      <c r="K1185" s="719"/>
      <c r="L1185" s="719"/>
      <c r="M1185" s="719"/>
      <c r="N1185" s="719"/>
      <c r="O1185" s="719"/>
      <c r="P1185" s="716"/>
      <c r="Q1185" s="716"/>
      <c r="R1185" s="716"/>
      <c r="S1185" s="667">
        <v>0</v>
      </c>
      <c r="T1185" s="667">
        <v>0</v>
      </c>
      <c r="U1185" s="667">
        <v>0</v>
      </c>
      <c r="V1185" s="667">
        <v>0</v>
      </c>
      <c r="W1185" s="667">
        <v>0</v>
      </c>
      <c r="X1185" s="667">
        <v>0</v>
      </c>
      <c r="Y1185" s="667">
        <v>0</v>
      </c>
      <c r="Z1185" s="667">
        <v>0</v>
      </c>
      <c r="AA1185" s="667">
        <v>0</v>
      </c>
      <c r="AB1185" s="667">
        <v>0</v>
      </c>
      <c r="AC1185" s="667">
        <v>0</v>
      </c>
      <c r="AD1185" s="667">
        <v>0</v>
      </c>
      <c r="AE1185" s="667">
        <v>0</v>
      </c>
      <c r="AF1185" s="667">
        <v>0</v>
      </c>
      <c r="AG1185" s="667">
        <v>0</v>
      </c>
      <c r="AH1185" s="716"/>
      <c r="AI1185" s="716"/>
      <c r="AJ1185" s="716"/>
      <c r="AK1185" s="716"/>
      <c r="AL1185" s="716"/>
      <c r="AM1185" s="716"/>
      <c r="AN1185" s="716"/>
      <c r="AO1185" s="716"/>
      <c r="AP1185" s="716"/>
      <c r="AQ1185" s="716"/>
      <c r="AR1185" s="716"/>
      <c r="AS1185" s="716"/>
      <c r="AT1185" s="716"/>
      <c r="AU1185" s="716"/>
      <c r="AV1185" s="716"/>
      <c r="AW1185" s="716"/>
      <c r="AX1185" s="716"/>
      <c r="AY1185" s="716"/>
      <c r="AZ1185" s="716"/>
      <c r="BA1185" s="716"/>
      <c r="BB1185" s="716"/>
      <c r="BC1185" s="716"/>
      <c r="BD1185" s="716"/>
      <c r="BE1185" s="716"/>
      <c r="BF1185" s="716"/>
      <c r="BG1185" s="716"/>
      <c r="BH1185" s="716"/>
      <c r="BI1185" s="716"/>
      <c r="BJ1185" s="716"/>
      <c r="BK1185" s="716"/>
      <c r="BL1185" s="716"/>
      <c r="BM1185" s="716"/>
      <c r="BN1185" s="716"/>
      <c r="BO1185" s="716"/>
      <c r="BP1185" s="716"/>
      <c r="BQ1185" s="716"/>
      <c r="BR1185" s="716"/>
      <c r="BS1185" s="716"/>
      <c r="BT1185" s="716"/>
      <c r="BU1185" s="716"/>
      <c r="BV1185" s="716"/>
      <c r="BW1185" s="716"/>
      <c r="BX1185" s="716"/>
      <c r="BY1185" s="716"/>
      <c r="BZ1185" s="716"/>
      <c r="CA1185" s="716"/>
    </row>
    <row r="1186" spans="1:79" s="451" customFormat="1" hidden="1" outlineLevel="1" x14ac:dyDescent="0.25">
      <c r="A1186" s="661"/>
      <c r="B1186" s="503"/>
      <c r="C1186" s="503"/>
      <c r="D1186" s="503"/>
      <c r="E1186" s="570" t="s">
        <v>1344</v>
      </c>
      <c r="F1186" s="661" t="s">
        <v>632</v>
      </c>
      <c r="G1186" s="719"/>
      <c r="H1186" s="719"/>
      <c r="I1186" s="719"/>
      <c r="J1186" s="719"/>
      <c r="K1186" s="719"/>
      <c r="L1186" s="719"/>
      <c r="M1186" s="719"/>
      <c r="N1186" s="719"/>
      <c r="O1186" s="719"/>
      <c r="P1186" s="716"/>
      <c r="Q1186" s="716"/>
      <c r="R1186" s="716"/>
      <c r="S1186" s="667">
        <v>0</v>
      </c>
      <c r="T1186" s="667">
        <v>0</v>
      </c>
      <c r="U1186" s="667">
        <v>0</v>
      </c>
      <c r="V1186" s="667">
        <v>280</v>
      </c>
      <c r="W1186" s="667">
        <v>0</v>
      </c>
      <c r="X1186" s="667">
        <v>0</v>
      </c>
      <c r="Y1186" s="667">
        <v>0</v>
      </c>
      <c r="Z1186" s="667">
        <v>0</v>
      </c>
      <c r="AA1186" s="667">
        <v>0</v>
      </c>
      <c r="AB1186" s="667">
        <v>0</v>
      </c>
      <c r="AC1186" s="667">
        <v>0</v>
      </c>
      <c r="AD1186" s="667">
        <v>0</v>
      </c>
      <c r="AE1186" s="667">
        <v>0</v>
      </c>
      <c r="AF1186" s="667">
        <v>0</v>
      </c>
      <c r="AG1186" s="667">
        <v>0</v>
      </c>
      <c r="AH1186" s="716"/>
      <c r="AI1186" s="716"/>
      <c r="AJ1186" s="716"/>
      <c r="AK1186" s="716"/>
      <c r="AL1186" s="716"/>
      <c r="AM1186" s="716"/>
      <c r="AN1186" s="716"/>
      <c r="AO1186" s="716"/>
      <c r="AP1186" s="716"/>
      <c r="AQ1186" s="716"/>
      <c r="AR1186" s="716"/>
      <c r="AS1186" s="716"/>
      <c r="AT1186" s="716"/>
      <c r="AU1186" s="716"/>
      <c r="AV1186" s="716"/>
      <c r="AW1186" s="716"/>
      <c r="AX1186" s="716"/>
      <c r="AY1186" s="716"/>
      <c r="AZ1186" s="716"/>
      <c r="BA1186" s="716"/>
      <c r="BB1186" s="716"/>
      <c r="BC1186" s="716"/>
      <c r="BD1186" s="716"/>
      <c r="BE1186" s="716"/>
      <c r="BF1186" s="716"/>
      <c r="BG1186" s="716"/>
      <c r="BH1186" s="716"/>
      <c r="BI1186" s="716"/>
      <c r="BJ1186" s="716"/>
      <c r="BK1186" s="716"/>
      <c r="BL1186" s="716"/>
      <c r="BM1186" s="716"/>
      <c r="BN1186" s="716"/>
      <c r="BO1186" s="716"/>
      <c r="BP1186" s="716"/>
      <c r="BQ1186" s="716"/>
      <c r="BR1186" s="716"/>
      <c r="BS1186" s="716"/>
      <c r="BT1186" s="716"/>
      <c r="BU1186" s="716"/>
      <c r="BV1186" s="716"/>
      <c r="BW1186" s="716"/>
      <c r="BX1186" s="716"/>
      <c r="BY1186" s="716"/>
      <c r="BZ1186" s="716"/>
      <c r="CA1186" s="716"/>
    </row>
    <row r="1187" spans="1:79" s="451" customFormat="1" hidden="1" outlineLevel="1" x14ac:dyDescent="0.25">
      <c r="A1187" s="661"/>
      <c r="B1187" s="503"/>
      <c r="C1187" s="503"/>
      <c r="D1187" s="503"/>
      <c r="E1187" s="570" t="s">
        <v>1344</v>
      </c>
      <c r="F1187" s="661" t="s">
        <v>902</v>
      </c>
      <c r="G1187" s="719"/>
      <c r="H1187" s="719"/>
      <c r="I1187" s="719"/>
      <c r="J1187" s="719"/>
      <c r="K1187" s="719"/>
      <c r="L1187" s="719"/>
      <c r="M1187" s="719"/>
      <c r="N1187" s="719"/>
      <c r="O1187" s="719"/>
      <c r="P1187" s="716"/>
      <c r="Q1187" s="716"/>
      <c r="R1187" s="716"/>
      <c r="S1187" s="667">
        <v>0</v>
      </c>
      <c r="T1187" s="667">
        <v>0</v>
      </c>
      <c r="U1187" s="667">
        <v>0</v>
      </c>
      <c r="V1187" s="667">
        <v>0</v>
      </c>
      <c r="W1187" s="667">
        <v>0</v>
      </c>
      <c r="X1187" s="667">
        <v>0</v>
      </c>
      <c r="Y1187" s="667">
        <v>0</v>
      </c>
      <c r="Z1187" s="667">
        <v>0</v>
      </c>
      <c r="AA1187" s="667">
        <v>0</v>
      </c>
      <c r="AB1187" s="667">
        <v>0</v>
      </c>
      <c r="AC1187" s="667">
        <v>0</v>
      </c>
      <c r="AD1187" s="667">
        <v>0</v>
      </c>
      <c r="AE1187" s="667">
        <v>0</v>
      </c>
      <c r="AF1187" s="667">
        <v>0</v>
      </c>
      <c r="AG1187" s="667">
        <v>0</v>
      </c>
      <c r="AH1187" s="716"/>
      <c r="AI1187" s="716"/>
      <c r="AJ1187" s="716"/>
      <c r="AK1187" s="716"/>
      <c r="AL1187" s="716"/>
      <c r="AM1187" s="716"/>
      <c r="AN1187" s="716"/>
      <c r="AO1187" s="716"/>
      <c r="AP1187" s="716"/>
      <c r="AQ1187" s="716"/>
      <c r="AR1187" s="716"/>
      <c r="AS1187" s="716"/>
      <c r="AT1187" s="716"/>
      <c r="AU1187" s="716"/>
      <c r="AV1187" s="716"/>
      <c r="AW1187" s="716"/>
      <c r="AX1187" s="716"/>
      <c r="AY1187" s="716"/>
      <c r="AZ1187" s="716"/>
      <c r="BA1187" s="716"/>
      <c r="BB1187" s="716"/>
      <c r="BC1187" s="716"/>
      <c r="BD1187" s="716"/>
      <c r="BE1187" s="716"/>
      <c r="BF1187" s="716"/>
      <c r="BG1187" s="716"/>
      <c r="BH1187" s="716"/>
      <c r="BI1187" s="716"/>
      <c r="BJ1187" s="716"/>
      <c r="BK1187" s="716"/>
      <c r="BL1187" s="716"/>
      <c r="BM1187" s="716"/>
      <c r="BN1187" s="716"/>
      <c r="BO1187" s="716"/>
      <c r="BP1187" s="716"/>
      <c r="BQ1187" s="716"/>
      <c r="BR1187" s="716"/>
      <c r="BS1187" s="716"/>
      <c r="BT1187" s="716"/>
      <c r="BU1187" s="716"/>
      <c r="BV1187" s="716"/>
      <c r="BW1187" s="716"/>
      <c r="BX1187" s="716"/>
      <c r="BY1187" s="716"/>
      <c r="BZ1187" s="716"/>
      <c r="CA1187" s="716"/>
    </row>
    <row r="1188" spans="1:79" s="451" customFormat="1" hidden="1" outlineLevel="1" x14ac:dyDescent="0.25">
      <c r="A1188" s="661"/>
      <c r="B1188" s="503"/>
      <c r="C1188" s="503"/>
      <c r="D1188" s="503"/>
      <c r="E1188" s="570" t="s">
        <v>1344</v>
      </c>
      <c r="F1188" s="661" t="s">
        <v>633</v>
      </c>
      <c r="G1188" s="719"/>
      <c r="H1188" s="719"/>
      <c r="I1188" s="719"/>
      <c r="J1188" s="719"/>
      <c r="K1188" s="719"/>
      <c r="L1188" s="719"/>
      <c r="M1188" s="719"/>
      <c r="N1188" s="719"/>
      <c r="O1188" s="719"/>
      <c r="P1188" s="716"/>
      <c r="Q1188" s="716"/>
      <c r="R1188" s="716"/>
      <c r="S1188" s="667">
        <v>0</v>
      </c>
      <c r="T1188" s="667">
        <v>0</v>
      </c>
      <c r="U1188" s="667">
        <v>455.99</v>
      </c>
      <c r="V1188" s="667">
        <v>-455.99</v>
      </c>
      <c r="W1188" s="667">
        <v>0</v>
      </c>
      <c r="X1188" s="667">
        <v>0</v>
      </c>
      <c r="Y1188" s="667">
        <v>0</v>
      </c>
      <c r="Z1188" s="667">
        <v>0</v>
      </c>
      <c r="AA1188" s="667">
        <v>0</v>
      </c>
      <c r="AB1188" s="667">
        <v>0</v>
      </c>
      <c r="AC1188" s="667">
        <v>0</v>
      </c>
      <c r="AD1188" s="667">
        <v>0</v>
      </c>
      <c r="AE1188" s="667">
        <v>0</v>
      </c>
      <c r="AF1188" s="667">
        <v>0</v>
      </c>
      <c r="AG1188" s="667">
        <v>0</v>
      </c>
      <c r="AH1188" s="716"/>
      <c r="AI1188" s="716"/>
      <c r="AJ1188" s="716"/>
      <c r="AK1188" s="716"/>
      <c r="AL1188" s="716"/>
      <c r="AM1188" s="716"/>
      <c r="AN1188" s="716"/>
      <c r="AO1188" s="716"/>
      <c r="AP1188" s="716"/>
      <c r="AQ1188" s="716"/>
      <c r="AR1188" s="716"/>
      <c r="AS1188" s="716"/>
      <c r="AT1188" s="716"/>
      <c r="AU1188" s="716"/>
      <c r="AV1188" s="716"/>
      <c r="AW1188" s="716"/>
      <c r="AX1188" s="716"/>
      <c r="AY1188" s="716"/>
      <c r="AZ1188" s="716"/>
      <c r="BA1188" s="716"/>
      <c r="BB1188" s="716"/>
      <c r="BC1188" s="716"/>
      <c r="BD1188" s="716"/>
      <c r="BE1188" s="716"/>
      <c r="BF1188" s="716"/>
      <c r="BG1188" s="716"/>
      <c r="BH1188" s="716"/>
      <c r="BI1188" s="716"/>
      <c r="BJ1188" s="716"/>
      <c r="BK1188" s="716"/>
      <c r="BL1188" s="716"/>
      <c r="BM1188" s="716"/>
      <c r="BN1188" s="716"/>
      <c r="BO1188" s="716"/>
      <c r="BP1188" s="716"/>
      <c r="BQ1188" s="716"/>
      <c r="BR1188" s="716"/>
      <c r="BS1188" s="716"/>
      <c r="BT1188" s="716"/>
      <c r="BU1188" s="716"/>
      <c r="BV1188" s="716"/>
      <c r="BW1188" s="716"/>
      <c r="BX1188" s="716"/>
      <c r="BY1188" s="716"/>
      <c r="BZ1188" s="716"/>
      <c r="CA1188" s="716"/>
    </row>
    <row r="1189" spans="1:79" s="451" customFormat="1" hidden="1" outlineLevel="1" x14ac:dyDescent="0.25">
      <c r="A1189" s="657"/>
      <c r="B1189" s="503"/>
      <c r="C1189" s="503"/>
      <c r="D1189" s="503"/>
      <c r="E1189" s="570" t="s">
        <v>49</v>
      </c>
      <c r="F1189" s="657" t="s">
        <v>634</v>
      </c>
      <c r="G1189" s="664">
        <f>SUM(G1181:G1188)</f>
        <v>0</v>
      </c>
      <c r="H1189" s="664">
        <f t="shared" ref="H1189:BO1189" si="493">SUM(H1181:H1188)</f>
        <v>0</v>
      </c>
      <c r="I1189" s="664">
        <f t="shared" si="493"/>
        <v>0</v>
      </c>
      <c r="J1189" s="664">
        <f t="shared" si="493"/>
        <v>0</v>
      </c>
      <c r="K1189" s="664">
        <f t="shared" si="493"/>
        <v>0</v>
      </c>
      <c r="L1189" s="664">
        <f t="shared" si="493"/>
        <v>0</v>
      </c>
      <c r="M1189" s="664">
        <f t="shared" si="493"/>
        <v>0</v>
      </c>
      <c r="N1189" s="664">
        <f t="shared" si="493"/>
        <v>0</v>
      </c>
      <c r="O1189" s="664">
        <f t="shared" si="493"/>
        <v>0</v>
      </c>
      <c r="P1189" s="664">
        <f t="shared" si="493"/>
        <v>0</v>
      </c>
      <c r="Q1189" s="664">
        <f t="shared" si="493"/>
        <v>0</v>
      </c>
      <c r="R1189" s="664">
        <f t="shared" si="493"/>
        <v>0</v>
      </c>
      <c r="S1189" s="679">
        <f t="shared" ref="S1189:AA1189" si="494">ROUND(SUM(S1180:S1188),5)</f>
        <v>19.329999999999998</v>
      </c>
      <c r="T1189" s="679">
        <f t="shared" si="494"/>
        <v>19.329999999999998</v>
      </c>
      <c r="U1189" s="679">
        <f t="shared" si="494"/>
        <v>475.32</v>
      </c>
      <c r="V1189" s="679">
        <f t="shared" si="494"/>
        <v>1119.42</v>
      </c>
      <c r="W1189" s="679">
        <f t="shared" si="494"/>
        <v>1064.6099999999999</v>
      </c>
      <c r="X1189" s="679">
        <f t="shared" si="494"/>
        <v>944.57</v>
      </c>
      <c r="Y1189" s="679">
        <f t="shared" si="494"/>
        <v>1087.3900000000001</v>
      </c>
      <c r="Z1189" s="679">
        <f t="shared" si="494"/>
        <v>1072.32</v>
      </c>
      <c r="AA1189" s="679">
        <f t="shared" si="494"/>
        <v>973.71</v>
      </c>
      <c r="AB1189" s="679">
        <f t="shared" ref="AB1189:AG1189" si="495">ROUND(SUM(AB1180:AB1188),5)</f>
        <v>1064.6199999999999</v>
      </c>
      <c r="AC1189" s="679">
        <f t="shared" si="495"/>
        <v>990.01</v>
      </c>
      <c r="AD1189" s="679">
        <f t="shared" si="495"/>
        <v>594.13</v>
      </c>
      <c r="AE1189" s="679">
        <f t="shared" si="495"/>
        <v>-89.37</v>
      </c>
      <c r="AF1189" s="679">
        <f t="shared" si="495"/>
        <v>0</v>
      </c>
      <c r="AG1189" s="679">
        <f t="shared" si="495"/>
        <v>0</v>
      </c>
      <c r="AH1189" s="664">
        <f t="shared" si="493"/>
        <v>0</v>
      </c>
      <c r="AI1189" s="664">
        <f t="shared" si="493"/>
        <v>0</v>
      </c>
      <c r="AJ1189" s="664">
        <f t="shared" si="493"/>
        <v>0</v>
      </c>
      <c r="AK1189" s="664">
        <f t="shared" si="493"/>
        <v>0</v>
      </c>
      <c r="AL1189" s="664">
        <f t="shared" si="493"/>
        <v>0</v>
      </c>
      <c r="AM1189" s="664">
        <f t="shared" si="493"/>
        <v>0</v>
      </c>
      <c r="AN1189" s="664">
        <f t="shared" si="493"/>
        <v>0</v>
      </c>
      <c r="AO1189" s="664">
        <f t="shared" si="493"/>
        <v>0</v>
      </c>
      <c r="AP1189" s="664">
        <f t="shared" si="493"/>
        <v>0</v>
      </c>
      <c r="AQ1189" s="664">
        <f t="shared" si="493"/>
        <v>0</v>
      </c>
      <c r="AR1189" s="664">
        <f t="shared" si="493"/>
        <v>0</v>
      </c>
      <c r="AS1189" s="664">
        <f t="shared" si="493"/>
        <v>0</v>
      </c>
      <c r="AT1189" s="664">
        <f t="shared" si="493"/>
        <v>0</v>
      </c>
      <c r="AU1189" s="664">
        <f t="shared" si="493"/>
        <v>0</v>
      </c>
      <c r="AV1189" s="664">
        <f t="shared" si="493"/>
        <v>0</v>
      </c>
      <c r="AW1189" s="664">
        <f t="shared" si="493"/>
        <v>0</v>
      </c>
      <c r="AX1189" s="664">
        <f t="shared" si="493"/>
        <v>0</v>
      </c>
      <c r="AY1189" s="664">
        <f t="shared" si="493"/>
        <v>0</v>
      </c>
      <c r="AZ1189" s="664">
        <f t="shared" si="493"/>
        <v>0</v>
      </c>
      <c r="BA1189" s="664">
        <f t="shared" si="493"/>
        <v>0</v>
      </c>
      <c r="BB1189" s="664">
        <f t="shared" si="493"/>
        <v>0</v>
      </c>
      <c r="BC1189" s="664">
        <f t="shared" si="493"/>
        <v>0</v>
      </c>
      <c r="BD1189" s="664">
        <f t="shared" si="493"/>
        <v>0</v>
      </c>
      <c r="BE1189" s="664">
        <f t="shared" si="493"/>
        <v>0</v>
      </c>
      <c r="BF1189" s="664">
        <f t="shared" si="493"/>
        <v>0</v>
      </c>
      <c r="BG1189" s="664">
        <f t="shared" si="493"/>
        <v>0</v>
      </c>
      <c r="BH1189" s="664">
        <f t="shared" si="493"/>
        <v>0</v>
      </c>
      <c r="BI1189" s="664">
        <f t="shared" si="493"/>
        <v>0</v>
      </c>
      <c r="BJ1189" s="664">
        <f t="shared" si="493"/>
        <v>0</v>
      </c>
      <c r="BK1189" s="664">
        <f t="shared" si="493"/>
        <v>0</v>
      </c>
      <c r="BL1189" s="664">
        <f t="shared" si="493"/>
        <v>0</v>
      </c>
      <c r="BM1189" s="664">
        <f t="shared" si="493"/>
        <v>0</v>
      </c>
      <c r="BN1189" s="664">
        <f t="shared" si="493"/>
        <v>0</v>
      </c>
      <c r="BO1189" s="664">
        <f t="shared" si="493"/>
        <v>0</v>
      </c>
      <c r="BP1189" s="664">
        <f t="shared" ref="BP1189:CA1189" si="496">SUM(BP1181:BP1188)</f>
        <v>0</v>
      </c>
      <c r="BQ1189" s="664">
        <f t="shared" si="496"/>
        <v>0</v>
      </c>
      <c r="BR1189" s="664">
        <f t="shared" si="496"/>
        <v>0</v>
      </c>
      <c r="BS1189" s="664">
        <f t="shared" si="496"/>
        <v>0</v>
      </c>
      <c r="BT1189" s="664">
        <f t="shared" si="496"/>
        <v>0</v>
      </c>
      <c r="BU1189" s="664">
        <f t="shared" si="496"/>
        <v>0</v>
      </c>
      <c r="BV1189" s="664">
        <f t="shared" si="496"/>
        <v>0</v>
      </c>
      <c r="BW1189" s="664">
        <f t="shared" si="496"/>
        <v>0</v>
      </c>
      <c r="BX1189" s="664">
        <f t="shared" si="496"/>
        <v>0</v>
      </c>
      <c r="BY1189" s="664">
        <f t="shared" si="496"/>
        <v>0</v>
      </c>
      <c r="BZ1189" s="664">
        <f t="shared" si="496"/>
        <v>0</v>
      </c>
      <c r="CA1189" s="664">
        <f t="shared" si="496"/>
        <v>0</v>
      </c>
    </row>
    <row r="1190" spans="1:79" s="737" customFormat="1" hidden="1" outlineLevel="1" x14ac:dyDescent="0.25">
      <c r="A1190" s="701"/>
      <c r="B1190" s="700"/>
      <c r="C1190" s="700"/>
      <c r="D1190" s="700"/>
      <c r="E1190" s="570" t="s">
        <v>1345</v>
      </c>
      <c r="F1190" s="701" t="s">
        <v>635</v>
      </c>
      <c r="G1190" s="733"/>
      <c r="H1190" s="733"/>
      <c r="I1190" s="733"/>
      <c r="J1190" s="733"/>
      <c r="K1190" s="733"/>
      <c r="L1190" s="733"/>
      <c r="M1190" s="733"/>
      <c r="N1190" s="733"/>
      <c r="O1190" s="733"/>
      <c r="P1190" s="734"/>
      <c r="Q1190" s="734"/>
      <c r="R1190" s="734"/>
      <c r="S1190" s="697"/>
      <c r="T1190" s="697"/>
      <c r="U1190" s="697"/>
      <c r="V1190" s="697"/>
      <c r="W1190" s="697"/>
      <c r="X1190" s="697"/>
      <c r="Y1190" s="697"/>
      <c r="Z1190" s="697"/>
      <c r="AA1190" s="697"/>
      <c r="AB1190" s="697"/>
      <c r="AC1190" s="697"/>
      <c r="AD1190" s="697"/>
      <c r="AE1190" s="697"/>
      <c r="AF1190" s="697"/>
      <c r="AG1190" s="697"/>
      <c r="AH1190" s="734"/>
      <c r="AI1190" s="734"/>
      <c r="AJ1190" s="734"/>
      <c r="AK1190" s="734"/>
      <c r="AL1190" s="734"/>
      <c r="AM1190" s="734"/>
      <c r="AN1190" s="734"/>
      <c r="AO1190" s="734"/>
      <c r="AP1190" s="734"/>
      <c r="AQ1190" s="734"/>
      <c r="AR1190" s="734"/>
      <c r="AS1190" s="734"/>
      <c r="AT1190" s="734"/>
      <c r="AU1190" s="734"/>
      <c r="AV1190" s="734"/>
      <c r="AW1190" s="734"/>
      <c r="AX1190" s="734"/>
      <c r="AY1190" s="734"/>
      <c r="AZ1190" s="734"/>
      <c r="BA1190" s="734"/>
      <c r="BB1190" s="734"/>
      <c r="BC1190" s="734"/>
      <c r="BD1190" s="734"/>
      <c r="BE1190" s="734"/>
      <c r="BF1190" s="734"/>
      <c r="BG1190" s="734"/>
      <c r="BH1190" s="734"/>
      <c r="BI1190" s="734"/>
      <c r="BJ1190" s="734"/>
      <c r="BK1190" s="734"/>
      <c r="BL1190" s="734"/>
      <c r="BM1190" s="734"/>
      <c r="BN1190" s="734"/>
      <c r="BO1190" s="734"/>
      <c r="BP1190" s="734"/>
      <c r="BQ1190" s="734"/>
      <c r="BR1190" s="734"/>
      <c r="BS1190" s="734"/>
      <c r="BT1190" s="734"/>
      <c r="BU1190" s="734"/>
      <c r="BV1190" s="734"/>
      <c r="BW1190" s="734"/>
      <c r="BX1190" s="734"/>
      <c r="BY1190" s="734"/>
      <c r="BZ1190" s="734"/>
      <c r="CA1190" s="734"/>
    </row>
    <row r="1191" spans="1:79" s="308" customFormat="1" hidden="1" outlineLevel="1" x14ac:dyDescent="0.25">
      <c r="A1191" s="661"/>
      <c r="B1191" s="503"/>
      <c r="C1191" s="503"/>
      <c r="D1191" s="503"/>
      <c r="E1191" s="570" t="s">
        <v>8</v>
      </c>
      <c r="F1191" s="661" t="s">
        <v>8</v>
      </c>
      <c r="G1191" s="719"/>
      <c r="H1191" s="719"/>
      <c r="I1191" s="719"/>
      <c r="J1191" s="719"/>
      <c r="K1191" s="719"/>
      <c r="L1191" s="719"/>
      <c r="M1191" s="719"/>
      <c r="N1191" s="719"/>
      <c r="O1191" s="719"/>
      <c r="P1191" s="716"/>
      <c r="Q1191" s="716"/>
      <c r="R1191" s="716"/>
      <c r="S1191" s="667">
        <v>1333.33</v>
      </c>
      <c r="T1191" s="667">
        <v>1333.33</v>
      </c>
      <c r="U1191" s="667">
        <v>1333.33</v>
      </c>
      <c r="V1191" s="667">
        <v>1333.33</v>
      </c>
      <c r="W1191" s="667">
        <v>1333.33</v>
      </c>
      <c r="X1191" s="667">
        <v>1333.33</v>
      </c>
      <c r="Y1191" s="667">
        <v>2325.92</v>
      </c>
      <c r="Z1191" s="667">
        <v>1333.33</v>
      </c>
      <c r="AA1191" s="667">
        <v>1333.33</v>
      </c>
      <c r="AB1191" s="667">
        <v>1333.33</v>
      </c>
      <c r="AC1191" s="667">
        <v>1333.33</v>
      </c>
      <c r="AD1191" s="667">
        <v>167.34</v>
      </c>
      <c r="AE1191" s="667">
        <v>0</v>
      </c>
      <c r="AF1191" s="667">
        <v>0</v>
      </c>
      <c r="AG1191" s="667">
        <v>0</v>
      </c>
      <c r="AH1191" s="716"/>
      <c r="AI1191" s="716"/>
      <c r="AJ1191" s="716"/>
      <c r="AK1191" s="716"/>
      <c r="AL1191" s="716"/>
      <c r="AM1191" s="716"/>
      <c r="AN1191" s="716"/>
      <c r="AO1191" s="716"/>
      <c r="AP1191" s="716"/>
      <c r="AQ1191" s="716"/>
      <c r="AR1191" s="716"/>
      <c r="AS1191" s="716"/>
      <c r="AT1191" s="716"/>
      <c r="AU1191" s="716"/>
      <c r="AV1191" s="716"/>
      <c r="AW1191" s="716"/>
      <c r="AX1191" s="716"/>
      <c r="AY1191" s="716"/>
      <c r="AZ1191" s="716"/>
      <c r="BA1191" s="716"/>
      <c r="BB1191" s="716"/>
      <c r="BC1191" s="716"/>
      <c r="BD1191" s="716"/>
      <c r="BE1191" s="716"/>
      <c r="BF1191" s="716"/>
      <c r="BG1191" s="716"/>
      <c r="BH1191" s="716"/>
      <c r="BI1191" s="716"/>
      <c r="BJ1191" s="716"/>
      <c r="BK1191" s="716"/>
      <c r="BL1191" s="716"/>
      <c r="BM1191" s="716"/>
      <c r="BN1191" s="716"/>
      <c r="BO1191" s="716"/>
      <c r="BP1191" s="716"/>
      <c r="BQ1191" s="716"/>
      <c r="BR1191" s="716"/>
      <c r="BS1191" s="716"/>
      <c r="BT1191" s="716"/>
      <c r="BU1191" s="716"/>
      <c r="BV1191" s="716"/>
      <c r="BW1191" s="716"/>
      <c r="BX1191" s="716"/>
      <c r="BY1191" s="716"/>
      <c r="BZ1191" s="716"/>
      <c r="CA1191" s="716"/>
    </row>
    <row r="1192" spans="1:79" s="308" customFormat="1" hidden="1" outlineLevel="1" x14ac:dyDescent="0.25">
      <c r="A1192" s="661"/>
      <c r="B1192" s="503"/>
      <c r="C1192" s="503"/>
      <c r="D1192" s="503"/>
      <c r="E1192" s="570" t="s">
        <v>8</v>
      </c>
      <c r="F1192" s="661" t="s">
        <v>903</v>
      </c>
      <c r="G1192" s="719"/>
      <c r="H1192" s="719"/>
      <c r="I1192" s="719"/>
      <c r="J1192" s="719"/>
      <c r="K1192" s="719"/>
      <c r="L1192" s="719"/>
      <c r="M1192" s="719"/>
      <c r="N1192" s="719"/>
      <c r="O1192" s="719"/>
      <c r="P1192" s="716"/>
      <c r="Q1192" s="716"/>
      <c r="R1192" s="716"/>
      <c r="S1192" s="667">
        <v>0</v>
      </c>
      <c r="T1192" s="667">
        <v>0</v>
      </c>
      <c r="U1192" s="667">
        <v>0</v>
      </c>
      <c r="V1192" s="667">
        <v>0</v>
      </c>
      <c r="W1192" s="667">
        <v>0</v>
      </c>
      <c r="X1192" s="667">
        <v>0</v>
      </c>
      <c r="Y1192" s="667">
        <v>0</v>
      </c>
      <c r="Z1192" s="667">
        <v>0</v>
      </c>
      <c r="AA1192" s="667">
        <v>0</v>
      </c>
      <c r="AB1192" s="667">
        <v>0</v>
      </c>
      <c r="AC1192" s="667">
        <v>0</v>
      </c>
      <c r="AD1192" s="667">
        <v>0</v>
      </c>
      <c r="AE1192" s="667">
        <v>0</v>
      </c>
      <c r="AF1192" s="667">
        <v>0</v>
      </c>
      <c r="AG1192" s="667">
        <v>0</v>
      </c>
      <c r="AH1192" s="716"/>
      <c r="AI1192" s="716"/>
      <c r="AJ1192" s="716"/>
      <c r="AK1192" s="716"/>
      <c r="AL1192" s="716"/>
      <c r="AM1192" s="716"/>
      <c r="AN1192" s="716"/>
      <c r="AO1192" s="716"/>
      <c r="AP1192" s="716"/>
      <c r="AQ1192" s="716"/>
      <c r="AR1192" s="716"/>
      <c r="AS1192" s="716"/>
      <c r="AT1192" s="716"/>
      <c r="AU1192" s="716"/>
      <c r="AV1192" s="716"/>
      <c r="AW1192" s="716"/>
      <c r="AX1192" s="716"/>
      <c r="AY1192" s="716"/>
      <c r="AZ1192" s="716"/>
      <c r="BA1192" s="716"/>
      <c r="BB1192" s="716"/>
      <c r="BC1192" s="716"/>
      <c r="BD1192" s="716"/>
      <c r="BE1192" s="716"/>
      <c r="BF1192" s="716"/>
      <c r="BG1192" s="716"/>
      <c r="BH1192" s="716"/>
      <c r="BI1192" s="716"/>
      <c r="BJ1192" s="716"/>
      <c r="BK1192" s="716"/>
      <c r="BL1192" s="716"/>
      <c r="BM1192" s="716"/>
      <c r="BN1192" s="716"/>
      <c r="BO1192" s="716"/>
      <c r="BP1192" s="716"/>
      <c r="BQ1192" s="716"/>
      <c r="BR1192" s="716"/>
      <c r="BS1192" s="716"/>
      <c r="BT1192" s="716"/>
      <c r="BU1192" s="716"/>
      <c r="BV1192" s="716"/>
      <c r="BW1192" s="716"/>
      <c r="BX1192" s="716"/>
      <c r="BY1192" s="716"/>
      <c r="BZ1192" s="716"/>
      <c r="CA1192" s="716"/>
    </row>
    <row r="1193" spans="1:79" s="308" customFormat="1" hidden="1" outlineLevel="1" x14ac:dyDescent="0.25">
      <c r="A1193" s="661"/>
      <c r="B1193" s="503"/>
      <c r="C1193" s="503"/>
      <c r="D1193" s="503"/>
      <c r="E1193" s="570" t="s">
        <v>1345</v>
      </c>
      <c r="F1193" s="661" t="s">
        <v>643</v>
      </c>
      <c r="G1193" s="719"/>
      <c r="H1193" s="719"/>
      <c r="I1193" s="719"/>
      <c r="J1193" s="719"/>
      <c r="K1193" s="719"/>
      <c r="L1193" s="719"/>
      <c r="M1193" s="719"/>
      <c r="N1193" s="719"/>
      <c r="O1193" s="719"/>
      <c r="P1193" s="716"/>
      <c r="Q1193" s="716"/>
      <c r="R1193" s="716"/>
      <c r="S1193" s="667">
        <v>0</v>
      </c>
      <c r="T1193" s="667">
        <v>0</v>
      </c>
      <c r="U1193" s="667">
        <v>0</v>
      </c>
      <c r="V1193" s="667">
        <v>0</v>
      </c>
      <c r="W1193" s="667">
        <v>0</v>
      </c>
      <c r="X1193" s="667">
        <v>0</v>
      </c>
      <c r="Y1193" s="667">
        <v>0</v>
      </c>
      <c r="Z1193" s="667">
        <v>0</v>
      </c>
      <c r="AA1193" s="667">
        <v>0</v>
      </c>
      <c r="AB1193" s="667">
        <v>0</v>
      </c>
      <c r="AC1193" s="667">
        <v>0</v>
      </c>
      <c r="AD1193" s="667">
        <v>0</v>
      </c>
      <c r="AE1193" s="667">
        <v>0</v>
      </c>
      <c r="AF1193" s="667">
        <v>0</v>
      </c>
      <c r="AG1193" s="667">
        <v>0</v>
      </c>
      <c r="AH1193" s="716"/>
      <c r="AI1193" s="716"/>
      <c r="AJ1193" s="716"/>
      <c r="AK1193" s="716"/>
      <c r="AL1193" s="716"/>
      <c r="AM1193" s="716"/>
      <c r="AN1193" s="716"/>
      <c r="AO1193" s="716"/>
      <c r="AP1193" s="716"/>
      <c r="AQ1193" s="716"/>
      <c r="AR1193" s="716"/>
      <c r="AS1193" s="716"/>
      <c r="AT1193" s="716"/>
      <c r="AU1193" s="716"/>
      <c r="AV1193" s="716"/>
      <c r="AW1193" s="716"/>
      <c r="AX1193" s="716"/>
      <c r="AY1193" s="716"/>
      <c r="AZ1193" s="716"/>
      <c r="BA1193" s="716"/>
      <c r="BB1193" s="716"/>
      <c r="BC1193" s="716"/>
      <c r="BD1193" s="716"/>
      <c r="BE1193" s="716"/>
      <c r="BF1193" s="716"/>
      <c r="BG1193" s="716"/>
      <c r="BH1193" s="716"/>
      <c r="BI1193" s="716"/>
      <c r="BJ1193" s="716"/>
      <c r="BK1193" s="716"/>
      <c r="BL1193" s="716"/>
      <c r="BM1193" s="716"/>
      <c r="BN1193" s="716"/>
      <c r="BO1193" s="716"/>
      <c r="BP1193" s="716"/>
      <c r="BQ1193" s="716"/>
      <c r="BR1193" s="716"/>
      <c r="BS1193" s="716"/>
      <c r="BT1193" s="716"/>
      <c r="BU1193" s="716"/>
      <c r="BV1193" s="716"/>
      <c r="BW1193" s="716"/>
      <c r="BX1193" s="716"/>
      <c r="BY1193" s="716"/>
      <c r="BZ1193" s="716"/>
      <c r="CA1193" s="716"/>
    </row>
    <row r="1194" spans="1:79" s="308" customFormat="1" hidden="1" outlineLevel="1" x14ac:dyDescent="0.25">
      <c r="A1194" s="661"/>
      <c r="B1194" s="503"/>
      <c r="C1194" s="503"/>
      <c r="D1194" s="503"/>
      <c r="E1194" s="570" t="s">
        <v>1345</v>
      </c>
      <c r="F1194" s="661" t="s">
        <v>644</v>
      </c>
      <c r="G1194" s="719"/>
      <c r="H1194" s="719"/>
      <c r="I1194" s="719"/>
      <c r="J1194" s="719"/>
      <c r="K1194" s="719"/>
      <c r="L1194" s="719"/>
      <c r="M1194" s="719"/>
      <c r="N1194" s="719"/>
      <c r="O1194" s="719"/>
      <c r="P1194" s="716"/>
      <c r="Q1194" s="716"/>
      <c r="R1194" s="716"/>
      <c r="S1194" s="667">
        <v>0</v>
      </c>
      <c r="T1194" s="667">
        <v>0</v>
      </c>
      <c r="U1194" s="667">
        <v>0</v>
      </c>
      <c r="V1194" s="667">
        <v>0</v>
      </c>
      <c r="W1194" s="667">
        <v>0</v>
      </c>
      <c r="X1194" s="667">
        <v>0</v>
      </c>
      <c r="Y1194" s="667">
        <v>0</v>
      </c>
      <c r="Z1194" s="667">
        <v>0</v>
      </c>
      <c r="AA1194" s="667">
        <v>0</v>
      </c>
      <c r="AB1194" s="667">
        <v>0</v>
      </c>
      <c r="AC1194" s="667">
        <v>0</v>
      </c>
      <c r="AD1194" s="667">
        <v>0</v>
      </c>
      <c r="AE1194" s="667">
        <v>0</v>
      </c>
      <c r="AF1194" s="667">
        <v>0</v>
      </c>
      <c r="AG1194" s="667">
        <v>0</v>
      </c>
      <c r="AH1194" s="716"/>
      <c r="AI1194" s="716"/>
      <c r="AJ1194" s="716"/>
      <c r="AK1194" s="716"/>
      <c r="AL1194" s="716"/>
      <c r="AM1194" s="716"/>
      <c r="AN1194" s="716"/>
      <c r="AO1194" s="716"/>
      <c r="AP1194" s="716"/>
      <c r="AQ1194" s="716"/>
      <c r="AR1194" s="716"/>
      <c r="AS1194" s="716"/>
      <c r="AT1194" s="716"/>
      <c r="AU1194" s="716"/>
      <c r="AV1194" s="716"/>
      <c r="AW1194" s="716"/>
      <c r="AX1194" s="716"/>
      <c r="AY1194" s="716"/>
      <c r="AZ1194" s="716"/>
      <c r="BA1194" s="716"/>
      <c r="BB1194" s="716"/>
      <c r="BC1194" s="716"/>
      <c r="BD1194" s="716"/>
      <c r="BE1194" s="716"/>
      <c r="BF1194" s="716"/>
      <c r="BG1194" s="716"/>
      <c r="BH1194" s="716"/>
      <c r="BI1194" s="716"/>
      <c r="BJ1194" s="716"/>
      <c r="BK1194" s="716"/>
      <c r="BL1194" s="716"/>
      <c r="BM1194" s="716"/>
      <c r="BN1194" s="716"/>
      <c r="BO1194" s="716"/>
      <c r="BP1194" s="716"/>
      <c r="BQ1194" s="716"/>
      <c r="BR1194" s="716"/>
      <c r="BS1194" s="716"/>
      <c r="BT1194" s="716"/>
      <c r="BU1194" s="716"/>
      <c r="BV1194" s="716"/>
      <c r="BW1194" s="716"/>
      <c r="BX1194" s="716"/>
      <c r="BY1194" s="716"/>
      <c r="BZ1194" s="716"/>
      <c r="CA1194" s="716"/>
    </row>
    <row r="1195" spans="1:79" s="308" customFormat="1" hidden="1" outlineLevel="1" x14ac:dyDescent="0.25">
      <c r="A1195" s="661"/>
      <c r="B1195" s="503"/>
      <c r="C1195" s="503"/>
      <c r="D1195" s="503"/>
      <c r="E1195" s="570" t="s">
        <v>1345</v>
      </c>
      <c r="F1195" s="661" t="s">
        <v>636</v>
      </c>
      <c r="G1195" s="719"/>
      <c r="H1195" s="719"/>
      <c r="I1195" s="719"/>
      <c r="J1195" s="719"/>
      <c r="K1195" s="719"/>
      <c r="L1195" s="719"/>
      <c r="M1195" s="719"/>
      <c r="N1195" s="719"/>
      <c r="O1195" s="719"/>
      <c r="P1195" s="716"/>
      <c r="Q1195" s="716"/>
      <c r="R1195" s="716"/>
      <c r="S1195" s="667">
        <v>0</v>
      </c>
      <c r="T1195" s="667">
        <v>0</v>
      </c>
      <c r="U1195" s="667">
        <v>3692.31</v>
      </c>
      <c r="V1195" s="667">
        <v>12923.09</v>
      </c>
      <c r="W1195" s="667">
        <v>14153.85</v>
      </c>
      <c r="X1195" s="667">
        <v>12307.7</v>
      </c>
      <c r="Y1195" s="667">
        <v>14153.86</v>
      </c>
      <c r="Z1195" s="667">
        <v>13538.47</v>
      </c>
      <c r="AA1195" s="667">
        <v>12923.08</v>
      </c>
      <c r="AB1195" s="667">
        <v>14153.86</v>
      </c>
      <c r="AC1195" s="667">
        <v>12923.08</v>
      </c>
      <c r="AD1195" s="667">
        <v>13538.47</v>
      </c>
      <c r="AE1195" s="667">
        <v>-1230.77</v>
      </c>
      <c r="AF1195" s="667">
        <v>0</v>
      </c>
      <c r="AG1195" s="667">
        <v>0</v>
      </c>
      <c r="AH1195" s="716"/>
      <c r="AI1195" s="716"/>
      <c r="AJ1195" s="716"/>
      <c r="AK1195" s="716"/>
      <c r="AL1195" s="716"/>
      <c r="AM1195" s="716"/>
      <c r="AN1195" s="716"/>
      <c r="AO1195" s="716"/>
      <c r="AP1195" s="716"/>
      <c r="AQ1195" s="716"/>
      <c r="AR1195" s="716"/>
      <c r="AS1195" s="716"/>
      <c r="AT1195" s="716"/>
      <c r="AU1195" s="716"/>
      <c r="AV1195" s="716"/>
      <c r="AW1195" s="716"/>
      <c r="AX1195" s="716"/>
      <c r="AY1195" s="716"/>
      <c r="AZ1195" s="716"/>
      <c r="BA1195" s="716"/>
      <c r="BB1195" s="716"/>
      <c r="BC1195" s="716"/>
      <c r="BD1195" s="716"/>
      <c r="BE1195" s="716"/>
      <c r="BF1195" s="716"/>
      <c r="BG1195" s="716"/>
      <c r="BH1195" s="716"/>
      <c r="BI1195" s="716"/>
      <c r="BJ1195" s="716"/>
      <c r="BK1195" s="716"/>
      <c r="BL1195" s="716"/>
      <c r="BM1195" s="716"/>
      <c r="BN1195" s="716"/>
      <c r="BO1195" s="716"/>
      <c r="BP1195" s="716"/>
      <c r="BQ1195" s="716"/>
      <c r="BR1195" s="716"/>
      <c r="BS1195" s="716"/>
      <c r="BT1195" s="716"/>
      <c r="BU1195" s="716"/>
      <c r="BV1195" s="716"/>
      <c r="BW1195" s="716"/>
      <c r="BX1195" s="716"/>
      <c r="BY1195" s="716"/>
      <c r="BZ1195" s="716"/>
      <c r="CA1195" s="716"/>
    </row>
    <row r="1196" spans="1:79" hidden="1" outlineLevel="1" x14ac:dyDescent="0.25">
      <c r="A1196" s="661"/>
      <c r="B1196" s="503"/>
      <c r="C1196" s="503"/>
      <c r="D1196" s="503"/>
      <c r="E1196" s="570" t="s">
        <v>637</v>
      </c>
      <c r="F1196" s="661" t="s">
        <v>637</v>
      </c>
      <c r="G1196" s="719"/>
      <c r="H1196" s="719"/>
      <c r="I1196" s="719"/>
      <c r="J1196" s="719"/>
      <c r="K1196" s="719"/>
      <c r="L1196" s="719"/>
      <c r="M1196" s="719"/>
      <c r="N1196" s="719"/>
      <c r="O1196" s="719"/>
      <c r="P1196" s="716"/>
      <c r="Q1196" s="716"/>
      <c r="R1196" s="716"/>
      <c r="S1196" s="667">
        <v>0</v>
      </c>
      <c r="T1196" s="667">
        <v>0</v>
      </c>
      <c r="U1196" s="667">
        <v>118.02</v>
      </c>
      <c r="V1196" s="667">
        <v>512.82000000000005</v>
      </c>
      <c r="W1196" s="667">
        <v>515.63</v>
      </c>
      <c r="X1196" s="667">
        <v>505.8</v>
      </c>
      <c r="Y1196" s="667">
        <v>522.65</v>
      </c>
      <c r="Z1196" s="667">
        <v>-708.11</v>
      </c>
      <c r="AA1196" s="667">
        <v>505.79</v>
      </c>
      <c r="AB1196" s="667">
        <v>-92.73</v>
      </c>
      <c r="AC1196" s="667">
        <v>505.8</v>
      </c>
      <c r="AD1196" s="667">
        <v>-92.73</v>
      </c>
      <c r="AE1196" s="667">
        <v>-2292.94</v>
      </c>
      <c r="AF1196" s="667">
        <v>0</v>
      </c>
      <c r="AG1196" s="667">
        <v>0</v>
      </c>
      <c r="AH1196" s="716"/>
      <c r="AI1196" s="716"/>
      <c r="AJ1196" s="716"/>
      <c r="AK1196" s="716"/>
      <c r="AL1196" s="716"/>
      <c r="AM1196" s="716"/>
      <c r="AN1196" s="716"/>
      <c r="AO1196" s="716"/>
      <c r="AP1196" s="716"/>
      <c r="AQ1196" s="716"/>
      <c r="AR1196" s="716"/>
      <c r="AS1196" s="716"/>
      <c r="AT1196" s="716"/>
      <c r="AU1196" s="716"/>
      <c r="AV1196" s="716"/>
      <c r="AW1196" s="716"/>
      <c r="AX1196" s="716"/>
      <c r="AY1196" s="716"/>
      <c r="AZ1196" s="716"/>
      <c r="BA1196" s="716"/>
      <c r="BB1196" s="716"/>
      <c r="BC1196" s="716"/>
      <c r="BD1196" s="716"/>
      <c r="BE1196" s="716"/>
      <c r="BF1196" s="716"/>
      <c r="BG1196" s="716"/>
      <c r="BH1196" s="716"/>
      <c r="BI1196" s="716"/>
      <c r="BJ1196" s="716"/>
      <c r="BK1196" s="716"/>
      <c r="BL1196" s="716"/>
      <c r="BM1196" s="716"/>
      <c r="BN1196" s="716"/>
      <c r="BO1196" s="716"/>
      <c r="BP1196" s="716"/>
      <c r="BQ1196" s="716"/>
      <c r="BR1196" s="716"/>
      <c r="BS1196" s="716"/>
      <c r="BT1196" s="716"/>
      <c r="BU1196" s="716"/>
      <c r="BV1196" s="716"/>
      <c r="BW1196" s="716"/>
      <c r="BX1196" s="716"/>
      <c r="BY1196" s="716"/>
      <c r="BZ1196" s="716"/>
      <c r="CA1196" s="716"/>
    </row>
    <row r="1197" spans="1:79" hidden="1" outlineLevel="1" x14ac:dyDescent="0.25">
      <c r="A1197" s="661"/>
      <c r="B1197" s="503"/>
      <c r="C1197" s="503"/>
      <c r="D1197" s="503"/>
      <c r="E1197" s="570" t="s">
        <v>1345</v>
      </c>
      <c r="F1197" s="661" t="s">
        <v>904</v>
      </c>
      <c r="G1197" s="719"/>
      <c r="H1197" s="719"/>
      <c r="I1197" s="719"/>
      <c r="J1197" s="719"/>
      <c r="K1197" s="719"/>
      <c r="L1197" s="719"/>
      <c r="M1197" s="719"/>
      <c r="N1197" s="719"/>
      <c r="O1197" s="719"/>
      <c r="P1197" s="716"/>
      <c r="Q1197" s="716"/>
      <c r="R1197" s="716"/>
      <c r="S1197" s="667">
        <v>0</v>
      </c>
      <c r="T1197" s="667">
        <v>0</v>
      </c>
      <c r="U1197" s="667">
        <v>0</v>
      </c>
      <c r="V1197" s="667">
        <v>0</v>
      </c>
      <c r="W1197" s="667">
        <v>0</v>
      </c>
      <c r="X1197" s="667">
        <v>0</v>
      </c>
      <c r="Y1197" s="667">
        <v>0</v>
      </c>
      <c r="Z1197" s="667">
        <v>0</v>
      </c>
      <c r="AA1197" s="667">
        <v>0</v>
      </c>
      <c r="AB1197" s="667">
        <v>0</v>
      </c>
      <c r="AC1197" s="667">
        <v>0</v>
      </c>
      <c r="AD1197" s="667">
        <v>0</v>
      </c>
      <c r="AE1197" s="667">
        <v>0</v>
      </c>
      <c r="AF1197" s="667">
        <v>0</v>
      </c>
      <c r="AG1197" s="667">
        <v>0</v>
      </c>
      <c r="AH1197" s="716"/>
      <c r="AI1197" s="716"/>
      <c r="AJ1197" s="716"/>
      <c r="AK1197" s="716"/>
      <c r="AL1197" s="716"/>
      <c r="AM1197" s="716"/>
      <c r="AN1197" s="716"/>
      <c r="AO1197" s="716"/>
      <c r="AP1197" s="716"/>
      <c r="AQ1197" s="716"/>
      <c r="AR1197" s="716"/>
      <c r="AS1197" s="716"/>
      <c r="AT1197" s="716"/>
      <c r="AU1197" s="716"/>
      <c r="AV1197" s="716"/>
      <c r="AW1197" s="716"/>
      <c r="AX1197" s="716"/>
      <c r="AY1197" s="716"/>
      <c r="AZ1197" s="716"/>
      <c r="BA1197" s="716"/>
      <c r="BB1197" s="716"/>
      <c r="BC1197" s="716"/>
      <c r="BD1197" s="716"/>
      <c r="BE1197" s="716"/>
      <c r="BF1197" s="716"/>
      <c r="BG1197" s="716"/>
      <c r="BH1197" s="716"/>
      <c r="BI1197" s="716"/>
      <c r="BJ1197" s="716"/>
      <c r="BK1197" s="716"/>
      <c r="BL1197" s="716"/>
      <c r="BM1197" s="716"/>
      <c r="BN1197" s="716"/>
      <c r="BO1197" s="716"/>
      <c r="BP1197" s="716"/>
      <c r="BQ1197" s="716"/>
      <c r="BR1197" s="716"/>
      <c r="BS1197" s="716"/>
      <c r="BT1197" s="716"/>
      <c r="BU1197" s="716"/>
      <c r="BV1197" s="716"/>
      <c r="BW1197" s="716"/>
      <c r="BX1197" s="716"/>
      <c r="BY1197" s="716"/>
      <c r="BZ1197" s="716"/>
      <c r="CA1197" s="716"/>
    </row>
    <row r="1198" spans="1:79" s="740" customFormat="1" hidden="1" outlineLevel="1" x14ac:dyDescent="0.25">
      <c r="A1198" s="661"/>
      <c r="B1198" s="503"/>
      <c r="C1198" s="503"/>
      <c r="D1198" s="503"/>
      <c r="E1198" s="570" t="s">
        <v>1345</v>
      </c>
      <c r="F1198" s="661" t="s">
        <v>677</v>
      </c>
      <c r="G1198" s="719"/>
      <c r="H1198" s="719"/>
      <c r="I1198" s="719"/>
      <c r="J1198" s="719"/>
      <c r="K1198" s="719"/>
      <c r="L1198" s="719"/>
      <c r="M1198" s="719"/>
      <c r="N1198" s="719"/>
      <c r="O1198" s="719"/>
      <c r="P1198" s="716"/>
      <c r="Q1198" s="716"/>
      <c r="R1198" s="716"/>
      <c r="S1198" s="667">
        <v>0</v>
      </c>
      <c r="T1198" s="667">
        <v>0</v>
      </c>
      <c r="U1198" s="667">
        <v>0</v>
      </c>
      <c r="V1198" s="667">
        <v>0</v>
      </c>
      <c r="W1198" s="667">
        <v>0</v>
      </c>
      <c r="X1198" s="667">
        <v>0</v>
      </c>
      <c r="Y1198" s="667">
        <v>0</v>
      </c>
      <c r="Z1198" s="667">
        <v>0</v>
      </c>
      <c r="AA1198" s="667">
        <v>0</v>
      </c>
      <c r="AB1198" s="667">
        <v>0</v>
      </c>
      <c r="AC1198" s="667">
        <v>0</v>
      </c>
      <c r="AD1198" s="667">
        <v>0</v>
      </c>
      <c r="AE1198" s="667">
        <v>0</v>
      </c>
      <c r="AF1198" s="667">
        <v>0</v>
      </c>
      <c r="AG1198" s="667">
        <v>0</v>
      </c>
      <c r="AH1198" s="716"/>
      <c r="AI1198" s="716"/>
      <c r="AJ1198" s="716"/>
      <c r="AK1198" s="716"/>
      <c r="AL1198" s="716"/>
      <c r="AM1198" s="716"/>
      <c r="AN1198" s="716"/>
      <c r="AO1198" s="716"/>
      <c r="AP1198" s="716"/>
      <c r="AQ1198" s="716"/>
      <c r="AR1198" s="716"/>
      <c r="AS1198" s="716"/>
      <c r="AT1198" s="716"/>
      <c r="AU1198" s="716"/>
      <c r="AV1198" s="716"/>
      <c r="AW1198" s="716"/>
      <c r="AX1198" s="716"/>
      <c r="AY1198" s="716"/>
      <c r="AZ1198" s="716"/>
      <c r="BA1198" s="716"/>
      <c r="BB1198" s="716"/>
      <c r="BC1198" s="716"/>
      <c r="BD1198" s="716"/>
      <c r="BE1198" s="716"/>
      <c r="BF1198" s="716"/>
      <c r="BG1198" s="716"/>
      <c r="BH1198" s="716"/>
      <c r="BI1198" s="716"/>
      <c r="BJ1198" s="716"/>
      <c r="BK1198" s="716"/>
      <c r="BL1198" s="716"/>
      <c r="BM1198" s="716"/>
      <c r="BN1198" s="716"/>
      <c r="BO1198" s="716"/>
      <c r="BP1198" s="716"/>
      <c r="BQ1198" s="716"/>
      <c r="BR1198" s="716"/>
      <c r="BS1198" s="716"/>
      <c r="BT1198" s="716"/>
      <c r="BU1198" s="716"/>
      <c r="BV1198" s="716"/>
      <c r="BW1198" s="716"/>
      <c r="BX1198" s="716"/>
      <c r="BY1198" s="716"/>
      <c r="BZ1198" s="716"/>
      <c r="CA1198" s="716"/>
    </row>
    <row r="1199" spans="1:79" s="451" customFormat="1" hidden="1" outlineLevel="1" x14ac:dyDescent="0.25">
      <c r="A1199" s="657"/>
      <c r="B1199" s="29"/>
      <c r="C1199" s="29"/>
      <c r="D1199" s="29"/>
      <c r="E1199" s="570" t="s">
        <v>49</v>
      </c>
      <c r="F1199" s="657" t="s">
        <v>638</v>
      </c>
      <c r="G1199" s="664">
        <f>SUM(G1191:G1198)</f>
        <v>0</v>
      </c>
      <c r="H1199" s="664">
        <f t="shared" ref="H1199:BO1199" si="497">SUM(H1191:H1198)</f>
        <v>0</v>
      </c>
      <c r="I1199" s="664">
        <f t="shared" si="497"/>
        <v>0</v>
      </c>
      <c r="J1199" s="664">
        <f t="shared" si="497"/>
        <v>0</v>
      </c>
      <c r="K1199" s="664">
        <f t="shared" si="497"/>
        <v>0</v>
      </c>
      <c r="L1199" s="664">
        <f t="shared" si="497"/>
        <v>0</v>
      </c>
      <c r="M1199" s="664">
        <f t="shared" si="497"/>
        <v>0</v>
      </c>
      <c r="N1199" s="664">
        <f t="shared" si="497"/>
        <v>0</v>
      </c>
      <c r="O1199" s="664">
        <f t="shared" si="497"/>
        <v>0</v>
      </c>
      <c r="P1199" s="664">
        <f t="shared" si="497"/>
        <v>0</v>
      </c>
      <c r="Q1199" s="664">
        <f t="shared" si="497"/>
        <v>0</v>
      </c>
      <c r="R1199" s="664">
        <f t="shared" si="497"/>
        <v>0</v>
      </c>
      <c r="S1199" s="679">
        <f t="shared" ref="S1199:AA1199" si="498">ROUND(SUM(S1190:S1198),5)</f>
        <v>1333.33</v>
      </c>
      <c r="T1199" s="679">
        <f t="shared" si="498"/>
        <v>1333.33</v>
      </c>
      <c r="U1199" s="679">
        <f t="shared" si="498"/>
        <v>5143.66</v>
      </c>
      <c r="V1199" s="679">
        <f t="shared" si="498"/>
        <v>14769.24</v>
      </c>
      <c r="W1199" s="679">
        <f t="shared" si="498"/>
        <v>16002.81</v>
      </c>
      <c r="X1199" s="679">
        <f t="shared" si="498"/>
        <v>14146.83</v>
      </c>
      <c r="Y1199" s="679">
        <f t="shared" si="498"/>
        <v>17002.43</v>
      </c>
      <c r="Z1199" s="679">
        <f t="shared" si="498"/>
        <v>14163.69</v>
      </c>
      <c r="AA1199" s="679">
        <f t="shared" si="498"/>
        <v>14762.2</v>
      </c>
      <c r="AB1199" s="679">
        <f t="shared" ref="AB1199:AG1199" si="499">ROUND(SUM(AB1190:AB1198),5)</f>
        <v>15394.46</v>
      </c>
      <c r="AC1199" s="679">
        <f t="shared" si="499"/>
        <v>14762.21</v>
      </c>
      <c r="AD1199" s="679">
        <f t="shared" si="499"/>
        <v>13613.08</v>
      </c>
      <c r="AE1199" s="679">
        <f t="shared" si="499"/>
        <v>-3523.71</v>
      </c>
      <c r="AF1199" s="679">
        <f t="shared" si="499"/>
        <v>0</v>
      </c>
      <c r="AG1199" s="679">
        <f t="shared" si="499"/>
        <v>0</v>
      </c>
      <c r="AH1199" s="664">
        <f t="shared" si="497"/>
        <v>0</v>
      </c>
      <c r="AI1199" s="664">
        <f t="shared" si="497"/>
        <v>0</v>
      </c>
      <c r="AJ1199" s="664">
        <f t="shared" si="497"/>
        <v>0</v>
      </c>
      <c r="AK1199" s="664">
        <f t="shared" si="497"/>
        <v>0</v>
      </c>
      <c r="AL1199" s="664">
        <f t="shared" si="497"/>
        <v>0</v>
      </c>
      <c r="AM1199" s="664">
        <f t="shared" si="497"/>
        <v>0</v>
      </c>
      <c r="AN1199" s="664">
        <f t="shared" si="497"/>
        <v>0</v>
      </c>
      <c r="AO1199" s="664">
        <f t="shared" si="497"/>
        <v>0</v>
      </c>
      <c r="AP1199" s="664">
        <f t="shared" si="497"/>
        <v>0</v>
      </c>
      <c r="AQ1199" s="664">
        <f t="shared" si="497"/>
        <v>0</v>
      </c>
      <c r="AR1199" s="664">
        <f t="shared" si="497"/>
        <v>0</v>
      </c>
      <c r="AS1199" s="664">
        <f t="shared" si="497"/>
        <v>0</v>
      </c>
      <c r="AT1199" s="664">
        <f t="shared" si="497"/>
        <v>0</v>
      </c>
      <c r="AU1199" s="664">
        <f t="shared" si="497"/>
        <v>0</v>
      </c>
      <c r="AV1199" s="664">
        <f t="shared" si="497"/>
        <v>0</v>
      </c>
      <c r="AW1199" s="664">
        <f t="shared" si="497"/>
        <v>0</v>
      </c>
      <c r="AX1199" s="664">
        <f t="shared" si="497"/>
        <v>0</v>
      </c>
      <c r="AY1199" s="664">
        <f t="shared" si="497"/>
        <v>0</v>
      </c>
      <c r="AZ1199" s="664">
        <f t="shared" si="497"/>
        <v>0</v>
      </c>
      <c r="BA1199" s="664">
        <f t="shared" si="497"/>
        <v>0</v>
      </c>
      <c r="BB1199" s="664">
        <f t="shared" si="497"/>
        <v>0</v>
      </c>
      <c r="BC1199" s="664">
        <f t="shared" si="497"/>
        <v>0</v>
      </c>
      <c r="BD1199" s="664">
        <f t="shared" si="497"/>
        <v>0</v>
      </c>
      <c r="BE1199" s="664">
        <f t="shared" si="497"/>
        <v>0</v>
      </c>
      <c r="BF1199" s="664">
        <f t="shared" si="497"/>
        <v>0</v>
      </c>
      <c r="BG1199" s="664">
        <f t="shared" si="497"/>
        <v>0</v>
      </c>
      <c r="BH1199" s="664">
        <f t="shared" si="497"/>
        <v>0</v>
      </c>
      <c r="BI1199" s="664">
        <f t="shared" si="497"/>
        <v>0</v>
      </c>
      <c r="BJ1199" s="664">
        <f t="shared" si="497"/>
        <v>0</v>
      </c>
      <c r="BK1199" s="664">
        <f t="shared" si="497"/>
        <v>0</v>
      </c>
      <c r="BL1199" s="664">
        <f t="shared" si="497"/>
        <v>0</v>
      </c>
      <c r="BM1199" s="664">
        <f t="shared" si="497"/>
        <v>0</v>
      </c>
      <c r="BN1199" s="664">
        <f t="shared" si="497"/>
        <v>0</v>
      </c>
      <c r="BO1199" s="664">
        <f t="shared" si="497"/>
        <v>0</v>
      </c>
      <c r="BP1199" s="664">
        <f t="shared" ref="BP1199:CA1199" si="500">SUM(BP1191:BP1198)</f>
        <v>0</v>
      </c>
      <c r="BQ1199" s="664">
        <f t="shared" si="500"/>
        <v>0</v>
      </c>
      <c r="BR1199" s="664">
        <f t="shared" si="500"/>
        <v>0</v>
      </c>
      <c r="BS1199" s="664">
        <f t="shared" si="500"/>
        <v>0</v>
      </c>
      <c r="BT1199" s="664">
        <f t="shared" si="500"/>
        <v>0</v>
      </c>
      <c r="BU1199" s="664">
        <f t="shared" si="500"/>
        <v>0</v>
      </c>
      <c r="BV1199" s="664">
        <f t="shared" si="500"/>
        <v>0</v>
      </c>
      <c r="BW1199" s="664">
        <f t="shared" si="500"/>
        <v>0</v>
      </c>
      <c r="BX1199" s="664">
        <f t="shared" si="500"/>
        <v>0</v>
      </c>
      <c r="BY1199" s="664">
        <f t="shared" si="500"/>
        <v>0</v>
      </c>
      <c r="BZ1199" s="664">
        <f t="shared" si="500"/>
        <v>0</v>
      </c>
      <c r="CA1199" s="664">
        <f t="shared" si="500"/>
        <v>0</v>
      </c>
    </row>
    <row r="1200" spans="1:79" s="451" customFormat="1" hidden="1" outlineLevel="1" x14ac:dyDescent="0.25">
      <c r="A1200" s="656"/>
      <c r="B1200" s="571"/>
      <c r="C1200" s="571"/>
      <c r="D1200" s="571"/>
      <c r="E1200" s="570" t="s">
        <v>1345</v>
      </c>
      <c r="F1200" s="656" t="s">
        <v>639</v>
      </c>
      <c r="G1200" s="719"/>
      <c r="H1200" s="719"/>
      <c r="I1200" s="719"/>
      <c r="J1200" s="719"/>
      <c r="K1200" s="719"/>
      <c r="L1200" s="719"/>
      <c r="M1200" s="719"/>
      <c r="N1200" s="719"/>
      <c r="O1200" s="719"/>
      <c r="P1200" s="716"/>
      <c r="Q1200" s="716"/>
      <c r="R1200" s="716"/>
      <c r="S1200" s="671">
        <v>0</v>
      </c>
      <c r="T1200" s="671">
        <v>0</v>
      </c>
      <c r="U1200" s="671">
        <v>0</v>
      </c>
      <c r="V1200" s="671">
        <v>0</v>
      </c>
      <c r="W1200" s="671">
        <v>0</v>
      </c>
      <c r="X1200" s="671">
        <v>0</v>
      </c>
      <c r="Y1200" s="671">
        <v>0</v>
      </c>
      <c r="Z1200" s="671">
        <v>0</v>
      </c>
      <c r="AA1200" s="671">
        <v>0</v>
      </c>
      <c r="AB1200" s="671">
        <v>0</v>
      </c>
      <c r="AC1200" s="671">
        <v>0</v>
      </c>
      <c r="AD1200" s="671">
        <v>0</v>
      </c>
      <c r="AE1200" s="671">
        <v>0</v>
      </c>
      <c r="AF1200" s="671">
        <v>0</v>
      </c>
      <c r="AG1200" s="671">
        <v>0</v>
      </c>
      <c r="AH1200" s="716"/>
      <c r="AI1200" s="716"/>
      <c r="AJ1200" s="716"/>
      <c r="AK1200" s="716"/>
      <c r="AL1200" s="716"/>
      <c r="AM1200" s="716"/>
      <c r="AN1200" s="716"/>
      <c r="AO1200" s="716"/>
      <c r="AP1200" s="716"/>
      <c r="AQ1200" s="716"/>
      <c r="AR1200" s="716"/>
      <c r="AS1200" s="716"/>
      <c r="AT1200" s="716"/>
      <c r="AU1200" s="716"/>
      <c r="AV1200" s="716"/>
      <c r="AW1200" s="716"/>
      <c r="AX1200" s="716"/>
      <c r="AY1200" s="716"/>
      <c r="AZ1200" s="716"/>
      <c r="BA1200" s="716"/>
      <c r="BB1200" s="716"/>
      <c r="BC1200" s="716"/>
      <c r="BD1200" s="716"/>
      <c r="BE1200" s="716"/>
      <c r="BF1200" s="716"/>
      <c r="BG1200" s="716"/>
      <c r="BH1200" s="716"/>
      <c r="BI1200" s="716"/>
      <c r="BJ1200" s="716"/>
      <c r="BK1200" s="716"/>
      <c r="BL1200" s="716"/>
      <c r="BM1200" s="716"/>
      <c r="BN1200" s="716"/>
      <c r="BO1200" s="716"/>
      <c r="BP1200" s="716"/>
      <c r="BQ1200" s="716"/>
      <c r="BR1200" s="716"/>
      <c r="BS1200" s="716"/>
      <c r="BT1200" s="716"/>
      <c r="BU1200" s="716"/>
      <c r="BV1200" s="716"/>
      <c r="BW1200" s="716"/>
      <c r="BX1200" s="716"/>
      <c r="BY1200" s="716"/>
      <c r="BZ1200" s="716"/>
      <c r="CA1200" s="716"/>
    </row>
    <row r="1201" spans="1:79" s="308" customFormat="1" hidden="1" outlineLevel="1" x14ac:dyDescent="0.25">
      <c r="A1201" s="659"/>
      <c r="B1201" s="29"/>
      <c r="C1201" s="29"/>
      <c r="D1201" s="29"/>
      <c r="E1201" s="570" t="s">
        <v>49</v>
      </c>
      <c r="F1201" s="659" t="s">
        <v>640</v>
      </c>
      <c r="G1201" s="664">
        <f>G1199+G1189</f>
        <v>0</v>
      </c>
      <c r="H1201" s="664">
        <f t="shared" ref="H1201:BO1201" si="501">H1199+H1189</f>
        <v>0</v>
      </c>
      <c r="I1201" s="664">
        <f t="shared" si="501"/>
        <v>0</v>
      </c>
      <c r="J1201" s="664">
        <f t="shared" si="501"/>
        <v>0</v>
      </c>
      <c r="K1201" s="664">
        <f t="shared" si="501"/>
        <v>0</v>
      </c>
      <c r="L1201" s="664">
        <f t="shared" si="501"/>
        <v>0</v>
      </c>
      <c r="M1201" s="664">
        <f t="shared" si="501"/>
        <v>0</v>
      </c>
      <c r="N1201" s="664">
        <f t="shared" si="501"/>
        <v>0</v>
      </c>
      <c r="O1201" s="664">
        <f t="shared" si="501"/>
        <v>0</v>
      </c>
      <c r="P1201" s="664">
        <f t="shared" si="501"/>
        <v>0</v>
      </c>
      <c r="Q1201" s="664">
        <f t="shared" si="501"/>
        <v>0</v>
      </c>
      <c r="R1201" s="664">
        <f t="shared" si="501"/>
        <v>0</v>
      </c>
      <c r="S1201" s="679">
        <f t="shared" ref="S1201:AB1201" si="502">ROUND(S1169+S1179+S1189+SUM(S1199:S1200),5)</f>
        <v>1352.66</v>
      </c>
      <c r="T1201" s="679">
        <f t="shared" si="502"/>
        <v>1352.66</v>
      </c>
      <c r="U1201" s="679">
        <f t="shared" si="502"/>
        <v>5618.98</v>
      </c>
      <c r="V1201" s="679">
        <f t="shared" si="502"/>
        <v>15888.66</v>
      </c>
      <c r="W1201" s="679">
        <f t="shared" si="502"/>
        <v>17067.419999999998</v>
      </c>
      <c r="X1201" s="679">
        <f t="shared" si="502"/>
        <v>15091.4</v>
      </c>
      <c r="Y1201" s="679">
        <f t="shared" si="502"/>
        <v>18089.82</v>
      </c>
      <c r="Z1201" s="679">
        <f t="shared" si="502"/>
        <v>15236.01</v>
      </c>
      <c r="AA1201" s="679">
        <f t="shared" si="502"/>
        <v>15735.91</v>
      </c>
      <c r="AB1201" s="679">
        <f t="shared" si="502"/>
        <v>16459.080000000002</v>
      </c>
      <c r="AC1201" s="679">
        <f>ROUND(AC1169+AC1179+AC1189+SUM(AC1199:AC1200),5)</f>
        <v>16738.830000000002</v>
      </c>
      <c r="AD1201" s="679">
        <f>ROUND(AD1169+AD1179+AD1189+SUM(AD1199:AD1200),5)</f>
        <v>15036.74</v>
      </c>
      <c r="AE1201" s="679">
        <f>ROUND(AE1169+AE1179+AE1189+SUM(AE1199:AE1200),5)</f>
        <v>-3613.08</v>
      </c>
      <c r="AF1201" s="679">
        <f>ROUND(AF1169+AF1179+AF1189+SUM(AF1199:AF1200),5)</f>
        <v>0</v>
      </c>
      <c r="AG1201" s="679">
        <f>ROUND(AG1169+AG1179+AG1189+SUM(AG1199:AG1200),5)</f>
        <v>0</v>
      </c>
      <c r="AH1201" s="664">
        <f t="shared" si="501"/>
        <v>0</v>
      </c>
      <c r="AI1201" s="664">
        <f t="shared" si="501"/>
        <v>0</v>
      </c>
      <c r="AJ1201" s="664">
        <f t="shared" si="501"/>
        <v>0</v>
      </c>
      <c r="AK1201" s="664">
        <f t="shared" si="501"/>
        <v>0</v>
      </c>
      <c r="AL1201" s="664">
        <f t="shared" si="501"/>
        <v>0</v>
      </c>
      <c r="AM1201" s="664">
        <f t="shared" si="501"/>
        <v>0</v>
      </c>
      <c r="AN1201" s="664">
        <f t="shared" si="501"/>
        <v>0</v>
      </c>
      <c r="AO1201" s="664">
        <f t="shared" si="501"/>
        <v>0</v>
      </c>
      <c r="AP1201" s="664">
        <f t="shared" si="501"/>
        <v>0</v>
      </c>
      <c r="AQ1201" s="664">
        <f t="shared" si="501"/>
        <v>0</v>
      </c>
      <c r="AR1201" s="664">
        <f t="shared" si="501"/>
        <v>0</v>
      </c>
      <c r="AS1201" s="664">
        <f t="shared" si="501"/>
        <v>0</v>
      </c>
      <c r="AT1201" s="664">
        <f t="shared" si="501"/>
        <v>0</v>
      </c>
      <c r="AU1201" s="664">
        <f t="shared" si="501"/>
        <v>0</v>
      </c>
      <c r="AV1201" s="664">
        <f t="shared" si="501"/>
        <v>0</v>
      </c>
      <c r="AW1201" s="664">
        <f t="shared" si="501"/>
        <v>0</v>
      </c>
      <c r="AX1201" s="664">
        <f t="shared" si="501"/>
        <v>0</v>
      </c>
      <c r="AY1201" s="664">
        <f t="shared" si="501"/>
        <v>0</v>
      </c>
      <c r="AZ1201" s="664">
        <f t="shared" si="501"/>
        <v>0</v>
      </c>
      <c r="BA1201" s="664">
        <f t="shared" si="501"/>
        <v>0</v>
      </c>
      <c r="BB1201" s="664">
        <f t="shared" si="501"/>
        <v>0</v>
      </c>
      <c r="BC1201" s="664">
        <f t="shared" si="501"/>
        <v>0</v>
      </c>
      <c r="BD1201" s="664">
        <f t="shared" si="501"/>
        <v>0</v>
      </c>
      <c r="BE1201" s="664">
        <f t="shared" si="501"/>
        <v>0</v>
      </c>
      <c r="BF1201" s="664">
        <f t="shared" si="501"/>
        <v>0</v>
      </c>
      <c r="BG1201" s="664">
        <f t="shared" si="501"/>
        <v>0</v>
      </c>
      <c r="BH1201" s="664">
        <f t="shared" si="501"/>
        <v>0</v>
      </c>
      <c r="BI1201" s="664">
        <f t="shared" si="501"/>
        <v>0</v>
      </c>
      <c r="BJ1201" s="664">
        <f t="shared" si="501"/>
        <v>0</v>
      </c>
      <c r="BK1201" s="664">
        <f t="shared" si="501"/>
        <v>0</v>
      </c>
      <c r="BL1201" s="664">
        <f t="shared" si="501"/>
        <v>0</v>
      </c>
      <c r="BM1201" s="664">
        <f t="shared" si="501"/>
        <v>0</v>
      </c>
      <c r="BN1201" s="664">
        <f t="shared" si="501"/>
        <v>0</v>
      </c>
      <c r="BO1201" s="664">
        <f t="shared" si="501"/>
        <v>0</v>
      </c>
      <c r="BP1201" s="664">
        <f t="shared" ref="BP1201:CA1201" si="503">BP1199+BP1189</f>
        <v>0</v>
      </c>
      <c r="BQ1201" s="664">
        <f t="shared" si="503"/>
        <v>0</v>
      </c>
      <c r="BR1201" s="664">
        <f t="shared" si="503"/>
        <v>0</v>
      </c>
      <c r="BS1201" s="664">
        <f t="shared" si="503"/>
        <v>0</v>
      </c>
      <c r="BT1201" s="664">
        <f t="shared" si="503"/>
        <v>0</v>
      </c>
      <c r="BU1201" s="664">
        <f t="shared" si="503"/>
        <v>0</v>
      </c>
      <c r="BV1201" s="664">
        <f t="shared" si="503"/>
        <v>0</v>
      </c>
      <c r="BW1201" s="664">
        <f t="shared" si="503"/>
        <v>0</v>
      </c>
      <c r="BX1201" s="664">
        <f t="shared" si="503"/>
        <v>0</v>
      </c>
      <c r="BY1201" s="664">
        <f t="shared" si="503"/>
        <v>0</v>
      </c>
      <c r="BZ1201" s="664">
        <f t="shared" si="503"/>
        <v>0</v>
      </c>
      <c r="CA1201" s="664">
        <f t="shared" si="503"/>
        <v>0</v>
      </c>
    </row>
    <row r="1202" spans="1:79" s="308" customFormat="1" hidden="1" outlineLevel="1" x14ac:dyDescent="0.25">
      <c r="A1202" s="655"/>
      <c r="B1202" s="571"/>
      <c r="C1202" s="571"/>
      <c r="D1202" s="571"/>
      <c r="E1202" s="570" t="s">
        <v>918</v>
      </c>
      <c r="F1202" s="655" t="s">
        <v>905</v>
      </c>
      <c r="G1202" s="719"/>
      <c r="H1202" s="719"/>
      <c r="I1202" s="719"/>
      <c r="J1202" s="719"/>
      <c r="K1202" s="719"/>
      <c r="L1202" s="719"/>
      <c r="M1202" s="719"/>
      <c r="N1202" s="719"/>
      <c r="O1202" s="719"/>
      <c r="P1202" s="716"/>
      <c r="Q1202" s="716"/>
      <c r="R1202" s="716"/>
      <c r="S1202" s="684">
        <v>0</v>
      </c>
      <c r="T1202" s="684">
        <v>0</v>
      </c>
      <c r="U1202" s="684">
        <v>0</v>
      </c>
      <c r="V1202" s="684">
        <v>0</v>
      </c>
      <c r="W1202" s="684">
        <v>0</v>
      </c>
      <c r="X1202" s="684">
        <v>0</v>
      </c>
      <c r="Y1202" s="684">
        <v>0</v>
      </c>
      <c r="Z1202" s="684">
        <v>0</v>
      </c>
      <c r="AA1202" s="684">
        <v>0</v>
      </c>
      <c r="AB1202" s="684">
        <v>0</v>
      </c>
      <c r="AC1202" s="684">
        <v>0</v>
      </c>
      <c r="AD1202" s="684">
        <v>0</v>
      </c>
      <c r="AE1202" s="684">
        <v>0</v>
      </c>
      <c r="AF1202" s="684">
        <v>0</v>
      </c>
      <c r="AG1202" s="684">
        <v>0</v>
      </c>
      <c r="AH1202" s="716"/>
      <c r="AI1202" s="716"/>
      <c r="AJ1202" s="716"/>
      <c r="AK1202" s="716"/>
      <c r="AL1202" s="716"/>
      <c r="AM1202" s="716"/>
      <c r="AN1202" s="716"/>
      <c r="AO1202" s="716"/>
      <c r="AP1202" s="716"/>
      <c r="AQ1202" s="716"/>
      <c r="AR1202" s="716"/>
      <c r="AS1202" s="716"/>
      <c r="AT1202" s="716"/>
      <c r="AU1202" s="716"/>
      <c r="AV1202" s="716"/>
      <c r="AW1202" s="716"/>
      <c r="AX1202" s="716"/>
      <c r="AY1202" s="716"/>
      <c r="AZ1202" s="716"/>
      <c r="BA1202" s="716"/>
      <c r="BB1202" s="716"/>
      <c r="BC1202" s="716"/>
      <c r="BD1202" s="716"/>
      <c r="BE1202" s="716"/>
      <c r="BF1202" s="716"/>
      <c r="BG1202" s="716"/>
      <c r="BH1202" s="716"/>
      <c r="BI1202" s="716"/>
      <c r="BJ1202" s="716"/>
      <c r="BK1202" s="716"/>
      <c r="BL1202" s="716"/>
      <c r="BM1202" s="716"/>
      <c r="BN1202" s="716"/>
      <c r="BO1202" s="716"/>
      <c r="BP1202" s="716"/>
      <c r="BQ1202" s="716"/>
      <c r="BR1202" s="716"/>
      <c r="BS1202" s="716"/>
      <c r="BT1202" s="716"/>
      <c r="BU1202" s="716"/>
      <c r="BV1202" s="716"/>
      <c r="BW1202" s="716"/>
      <c r="BX1202" s="716"/>
      <c r="BY1202" s="716"/>
      <c r="BZ1202" s="716"/>
      <c r="CA1202" s="716"/>
    </row>
    <row r="1203" spans="1:79" s="710" customFormat="1" hidden="1" outlineLevel="1" x14ac:dyDescent="0.25">
      <c r="A1203" s="701"/>
      <c r="E1203" s="570" t="s">
        <v>1327</v>
      </c>
      <c r="F1203" s="701" t="s">
        <v>602</v>
      </c>
      <c r="G1203" s="733"/>
      <c r="H1203" s="733"/>
      <c r="I1203" s="733"/>
      <c r="J1203" s="733"/>
      <c r="K1203" s="733"/>
      <c r="L1203" s="733"/>
      <c r="M1203" s="733"/>
      <c r="N1203" s="733"/>
      <c r="O1203" s="733"/>
      <c r="P1203" s="734"/>
      <c r="Q1203" s="734"/>
      <c r="R1203" s="734"/>
      <c r="S1203" s="697"/>
      <c r="T1203" s="697"/>
      <c r="U1203" s="697"/>
      <c r="V1203" s="697"/>
      <c r="W1203" s="697"/>
      <c r="X1203" s="697"/>
      <c r="Y1203" s="697"/>
      <c r="Z1203" s="697"/>
      <c r="AA1203" s="697"/>
      <c r="AB1203" s="697"/>
      <c r="AC1203" s="697"/>
      <c r="AD1203" s="697"/>
      <c r="AE1203" s="697"/>
      <c r="AF1203" s="697"/>
      <c r="AG1203" s="697"/>
      <c r="AH1203" s="734"/>
      <c r="AI1203" s="734"/>
      <c r="AJ1203" s="734"/>
      <c r="AK1203" s="734"/>
      <c r="AL1203" s="734"/>
      <c r="AM1203" s="734"/>
      <c r="AN1203" s="734"/>
      <c r="AO1203" s="734"/>
      <c r="AP1203" s="734"/>
      <c r="AQ1203" s="734"/>
      <c r="AR1203" s="734"/>
      <c r="AS1203" s="734"/>
      <c r="AT1203" s="734"/>
      <c r="AU1203" s="734"/>
      <c r="AV1203" s="734"/>
      <c r="AW1203" s="734"/>
      <c r="AX1203" s="734"/>
      <c r="AY1203" s="734"/>
      <c r="AZ1203" s="734"/>
      <c r="BA1203" s="734"/>
      <c r="BB1203" s="734"/>
      <c r="BC1203" s="734"/>
      <c r="BD1203" s="734"/>
      <c r="BE1203" s="734"/>
      <c r="BF1203" s="734"/>
      <c r="BG1203" s="734"/>
      <c r="BH1203" s="734"/>
      <c r="BI1203" s="734"/>
      <c r="BJ1203" s="734"/>
      <c r="BK1203" s="734"/>
      <c r="BL1203" s="734"/>
      <c r="BM1203" s="734"/>
      <c r="BN1203" s="734"/>
      <c r="BO1203" s="734"/>
      <c r="BP1203" s="734"/>
      <c r="BQ1203" s="734"/>
      <c r="BR1203" s="734"/>
      <c r="BS1203" s="734"/>
      <c r="BT1203" s="734"/>
      <c r="BU1203" s="734"/>
      <c r="BV1203" s="734"/>
      <c r="BW1203" s="734"/>
      <c r="BX1203" s="734"/>
      <c r="BY1203" s="734"/>
      <c r="BZ1203" s="734"/>
      <c r="CA1203" s="734"/>
    </row>
    <row r="1204" spans="1:79" s="710" customFormat="1" hidden="1" outlineLevel="1" x14ac:dyDescent="0.25">
      <c r="A1204" s="701"/>
      <c r="E1204" s="570" t="s">
        <v>945</v>
      </c>
      <c r="F1204" s="701"/>
      <c r="G1204" s="733"/>
      <c r="H1204" s="733"/>
      <c r="I1204" s="733"/>
      <c r="J1204" s="733"/>
      <c r="K1204" s="733"/>
      <c r="L1204" s="733"/>
      <c r="M1204" s="733"/>
      <c r="N1204" s="733"/>
      <c r="O1204" s="733"/>
      <c r="P1204" s="734"/>
      <c r="Q1204" s="734"/>
      <c r="R1204" s="734"/>
      <c r="S1204" s="697"/>
      <c r="T1204" s="697"/>
      <c r="U1204" s="697"/>
      <c r="V1204" s="697"/>
      <c r="W1204" s="697"/>
      <c r="X1204" s="697"/>
      <c r="Y1204" s="697"/>
      <c r="Z1204" s="697"/>
      <c r="AA1204" s="697"/>
      <c r="AB1204" s="697"/>
      <c r="AC1204" s="697"/>
      <c r="AD1204" s="697"/>
      <c r="AE1204" s="697">
        <v>0</v>
      </c>
      <c r="AF1204" s="697">
        <v>0</v>
      </c>
      <c r="AG1204" s="697">
        <v>0</v>
      </c>
      <c r="AH1204" s="734"/>
      <c r="AI1204" s="734"/>
      <c r="AJ1204" s="734"/>
      <c r="AK1204" s="734"/>
      <c r="AL1204" s="734"/>
      <c r="AM1204" s="734"/>
      <c r="AN1204" s="734"/>
      <c r="AO1204" s="734"/>
      <c r="AP1204" s="734"/>
      <c r="AQ1204" s="734"/>
      <c r="AR1204" s="734"/>
      <c r="AS1204" s="734"/>
      <c r="AT1204" s="734"/>
      <c r="AU1204" s="734"/>
      <c r="AV1204" s="734"/>
      <c r="AW1204" s="734"/>
      <c r="AX1204" s="734"/>
      <c r="AY1204" s="734"/>
      <c r="AZ1204" s="734"/>
      <c r="BA1204" s="734"/>
      <c r="BB1204" s="734"/>
      <c r="BC1204" s="734"/>
      <c r="BD1204" s="734"/>
      <c r="BE1204" s="734"/>
      <c r="BF1204" s="734"/>
      <c r="BG1204" s="734"/>
      <c r="BH1204" s="734"/>
      <c r="BI1204" s="734"/>
      <c r="BJ1204" s="734"/>
      <c r="BK1204" s="734"/>
      <c r="BL1204" s="734"/>
      <c r="BM1204" s="734"/>
      <c r="BN1204" s="734"/>
      <c r="BO1204" s="734"/>
      <c r="BP1204" s="734"/>
      <c r="BQ1204" s="734"/>
      <c r="BR1204" s="734"/>
      <c r="BS1204" s="734"/>
      <c r="BT1204" s="734"/>
      <c r="BU1204" s="734"/>
      <c r="BV1204" s="734"/>
      <c r="BW1204" s="734"/>
      <c r="BX1204" s="734"/>
      <c r="BY1204" s="734"/>
      <c r="BZ1204" s="734"/>
      <c r="CA1204" s="734"/>
    </row>
    <row r="1205" spans="1:79" s="308" customFormat="1" hidden="1" outlineLevel="1" x14ac:dyDescent="0.25">
      <c r="A1205" s="656"/>
      <c r="B1205" s="571"/>
      <c r="C1205" s="571"/>
      <c r="D1205" s="571"/>
      <c r="E1205" s="570" t="s">
        <v>657</v>
      </c>
      <c r="F1205" s="656" t="s">
        <v>641</v>
      </c>
      <c r="G1205" s="719"/>
      <c r="H1205" s="719"/>
      <c r="I1205" s="719"/>
      <c r="J1205" s="719"/>
      <c r="K1205" s="719"/>
      <c r="L1205" s="719"/>
      <c r="M1205" s="719"/>
      <c r="N1205" s="719"/>
      <c r="O1205" s="719"/>
      <c r="P1205" s="716"/>
      <c r="Q1205" s="716"/>
      <c r="R1205" s="716"/>
      <c r="S1205" s="667">
        <v>0</v>
      </c>
      <c r="T1205" s="667">
        <v>0</v>
      </c>
      <c r="U1205" s="667">
        <v>0</v>
      </c>
      <c r="V1205" s="667">
        <v>-426.02</v>
      </c>
      <c r="W1205" s="667">
        <v>2186.21</v>
      </c>
      <c r="X1205" s="667">
        <v>1199.6099999999999</v>
      </c>
      <c r="Y1205" s="667">
        <v>986.64</v>
      </c>
      <c r="Z1205" s="667">
        <v>967.38</v>
      </c>
      <c r="AA1205" s="667">
        <v>977.08</v>
      </c>
      <c r="AB1205" s="667">
        <v>986.61</v>
      </c>
      <c r="AC1205" s="667">
        <v>0</v>
      </c>
      <c r="AD1205" s="667">
        <v>0</v>
      </c>
      <c r="AE1205" s="667">
        <v>0</v>
      </c>
      <c r="AF1205" s="667">
        <v>0</v>
      </c>
      <c r="AG1205" s="667">
        <v>0</v>
      </c>
      <c r="AH1205" s="716"/>
      <c r="AI1205" s="716"/>
      <c r="AJ1205" s="716"/>
      <c r="AK1205" s="716"/>
      <c r="AL1205" s="716"/>
      <c r="AM1205" s="716"/>
      <c r="AN1205" s="716"/>
      <c r="AO1205" s="716"/>
      <c r="AP1205" s="716"/>
      <c r="AQ1205" s="716"/>
      <c r="AR1205" s="716"/>
      <c r="AS1205" s="716"/>
      <c r="AT1205" s="716"/>
      <c r="AU1205" s="716"/>
      <c r="AV1205" s="716"/>
      <c r="AW1205" s="716"/>
      <c r="AX1205" s="716"/>
      <c r="AY1205" s="716"/>
      <c r="AZ1205" s="716"/>
      <c r="BA1205" s="716"/>
      <c r="BB1205" s="716"/>
      <c r="BC1205" s="716"/>
      <c r="BD1205" s="716"/>
      <c r="BE1205" s="716"/>
      <c r="BF1205" s="716"/>
      <c r="BG1205" s="716"/>
      <c r="BH1205" s="716"/>
      <c r="BI1205" s="716"/>
      <c r="BJ1205" s="716"/>
      <c r="BK1205" s="716"/>
      <c r="BL1205" s="716"/>
      <c r="BM1205" s="716"/>
      <c r="BN1205" s="716"/>
      <c r="BO1205" s="716"/>
      <c r="BP1205" s="716"/>
      <c r="BQ1205" s="716"/>
      <c r="BR1205" s="716"/>
      <c r="BS1205" s="716"/>
      <c r="BT1205" s="716"/>
      <c r="BU1205" s="716"/>
      <c r="BV1205" s="716"/>
      <c r="BW1205" s="716"/>
      <c r="BX1205" s="716"/>
      <c r="BY1205" s="716"/>
      <c r="BZ1205" s="716"/>
      <c r="CA1205" s="716"/>
    </row>
    <row r="1206" spans="1:79" s="308" customFormat="1" hidden="1" outlineLevel="1" x14ac:dyDescent="0.25">
      <c r="A1206" s="656"/>
      <c r="B1206" s="571"/>
      <c r="C1206" s="571"/>
      <c r="D1206" s="571"/>
      <c r="E1206" s="570" t="s">
        <v>1327</v>
      </c>
      <c r="F1206" s="656" t="s">
        <v>906</v>
      </c>
      <c r="G1206" s="719"/>
      <c r="H1206" s="719"/>
      <c r="I1206" s="719"/>
      <c r="J1206" s="719"/>
      <c r="K1206" s="719"/>
      <c r="L1206" s="719"/>
      <c r="M1206" s="719"/>
      <c r="N1206" s="719"/>
      <c r="O1206" s="719"/>
      <c r="P1206" s="716"/>
      <c r="Q1206" s="716"/>
      <c r="R1206" s="716"/>
      <c r="S1206" s="676">
        <v>0</v>
      </c>
      <c r="T1206" s="676">
        <v>0</v>
      </c>
      <c r="U1206" s="676">
        <v>0</v>
      </c>
      <c r="V1206" s="676">
        <v>0</v>
      </c>
      <c r="W1206" s="676">
        <v>0</v>
      </c>
      <c r="X1206" s="676">
        <v>0</v>
      </c>
      <c r="Y1206" s="676">
        <v>0</v>
      </c>
      <c r="Z1206" s="676">
        <v>0</v>
      </c>
      <c r="AA1206" s="676">
        <v>0</v>
      </c>
      <c r="AB1206" s="676">
        <v>0</v>
      </c>
      <c r="AC1206" s="676">
        <v>0</v>
      </c>
      <c r="AD1206" s="676">
        <v>0</v>
      </c>
      <c r="AE1206" s="676">
        <v>0</v>
      </c>
      <c r="AF1206" s="676">
        <v>0</v>
      </c>
      <c r="AG1206" s="676">
        <v>0</v>
      </c>
      <c r="AH1206" s="716"/>
      <c r="AI1206" s="716"/>
      <c r="AJ1206" s="716"/>
      <c r="AK1206" s="716"/>
      <c r="AL1206" s="716"/>
      <c r="AM1206" s="716"/>
      <c r="AN1206" s="716"/>
      <c r="AO1206" s="716"/>
      <c r="AP1206" s="716"/>
      <c r="AQ1206" s="716"/>
      <c r="AR1206" s="716"/>
      <c r="AS1206" s="716"/>
      <c r="AT1206" s="716"/>
      <c r="AU1206" s="716"/>
      <c r="AV1206" s="716"/>
      <c r="AW1206" s="716"/>
      <c r="AX1206" s="716"/>
      <c r="AY1206" s="716"/>
      <c r="AZ1206" s="716"/>
      <c r="BA1206" s="716"/>
      <c r="BB1206" s="716"/>
      <c r="BC1206" s="716"/>
      <c r="BD1206" s="716"/>
      <c r="BE1206" s="716"/>
      <c r="BF1206" s="716"/>
      <c r="BG1206" s="716"/>
      <c r="BH1206" s="716"/>
      <c r="BI1206" s="716"/>
      <c r="BJ1206" s="716"/>
      <c r="BK1206" s="716"/>
      <c r="BL1206" s="716"/>
      <c r="BM1206" s="716"/>
      <c r="BN1206" s="716"/>
      <c r="BO1206" s="716"/>
      <c r="BP1206" s="716"/>
      <c r="BQ1206" s="716"/>
      <c r="BR1206" s="716"/>
      <c r="BS1206" s="716"/>
      <c r="BT1206" s="716"/>
      <c r="BU1206" s="716"/>
      <c r="BV1206" s="716"/>
      <c r="BW1206" s="716"/>
      <c r="BX1206" s="716"/>
      <c r="BY1206" s="716"/>
      <c r="BZ1206" s="716"/>
      <c r="CA1206" s="716"/>
    </row>
    <row r="1207" spans="1:79" hidden="1" outlineLevel="1" x14ac:dyDescent="0.25">
      <c r="A1207" s="656"/>
      <c r="B1207" s="29"/>
      <c r="C1207" s="29"/>
      <c r="D1207" s="29"/>
      <c r="E1207" s="570" t="s">
        <v>1327</v>
      </c>
      <c r="F1207" s="656" t="s">
        <v>764</v>
      </c>
      <c r="G1207" s="719"/>
      <c r="H1207" s="719"/>
      <c r="I1207" s="719"/>
      <c r="J1207" s="719"/>
      <c r="K1207" s="719"/>
      <c r="L1207" s="719"/>
      <c r="M1207" s="719"/>
      <c r="N1207" s="719"/>
      <c r="O1207" s="719"/>
      <c r="P1207" s="716"/>
      <c r="Q1207" s="716"/>
      <c r="R1207" s="716"/>
      <c r="S1207" s="676">
        <v>0</v>
      </c>
      <c r="T1207" s="676">
        <v>0</v>
      </c>
      <c r="U1207" s="676">
        <v>0</v>
      </c>
      <c r="V1207" s="676">
        <v>0</v>
      </c>
      <c r="W1207" s="676">
        <v>0</v>
      </c>
      <c r="X1207" s="676">
        <v>0</v>
      </c>
      <c r="Y1207" s="676">
        <v>0</v>
      </c>
      <c r="Z1207" s="676">
        <v>0</v>
      </c>
      <c r="AA1207" s="676">
        <v>0</v>
      </c>
      <c r="AB1207" s="676">
        <v>0</v>
      </c>
      <c r="AC1207" s="676">
        <v>0</v>
      </c>
      <c r="AD1207" s="676">
        <v>0</v>
      </c>
      <c r="AE1207" s="676">
        <v>0</v>
      </c>
      <c r="AF1207" s="676">
        <v>0</v>
      </c>
      <c r="AG1207" s="676">
        <v>0</v>
      </c>
      <c r="AH1207" s="716"/>
      <c r="AI1207" s="716"/>
      <c r="AJ1207" s="716"/>
      <c r="AK1207" s="716"/>
      <c r="AL1207" s="716"/>
      <c r="AM1207" s="716"/>
      <c r="AN1207" s="716"/>
      <c r="AO1207" s="716"/>
      <c r="AP1207" s="716"/>
      <c r="AQ1207" s="716"/>
      <c r="AR1207" s="716"/>
      <c r="AS1207" s="716"/>
      <c r="AT1207" s="716"/>
      <c r="AU1207" s="716"/>
      <c r="AV1207" s="716"/>
      <c r="AW1207" s="716"/>
      <c r="AX1207" s="716"/>
      <c r="AY1207" s="716"/>
      <c r="AZ1207" s="716"/>
      <c r="BA1207" s="716"/>
      <c r="BB1207" s="716"/>
      <c r="BC1207" s="716"/>
      <c r="BD1207" s="716"/>
      <c r="BE1207" s="716"/>
      <c r="BF1207" s="716"/>
      <c r="BG1207" s="716"/>
      <c r="BH1207" s="716"/>
      <c r="BI1207" s="716"/>
      <c r="BJ1207" s="716"/>
      <c r="BK1207" s="716"/>
      <c r="BL1207" s="716"/>
      <c r="BM1207" s="716"/>
      <c r="BN1207" s="716"/>
      <c r="BO1207" s="716"/>
      <c r="BP1207" s="716"/>
      <c r="BQ1207" s="716"/>
      <c r="BR1207" s="716"/>
      <c r="BS1207" s="716"/>
      <c r="BT1207" s="716"/>
      <c r="BU1207" s="716"/>
      <c r="BV1207" s="716"/>
      <c r="BW1207" s="716"/>
      <c r="BX1207" s="716"/>
      <c r="BY1207" s="716"/>
      <c r="BZ1207" s="716"/>
      <c r="CA1207" s="716"/>
    </row>
    <row r="1208" spans="1:79" hidden="1" outlineLevel="1" x14ac:dyDescent="0.25">
      <c r="A1208" s="662"/>
      <c r="B1208" s="571"/>
      <c r="C1208" s="571"/>
      <c r="D1208" s="571"/>
      <c r="E1208" s="570" t="s">
        <v>49</v>
      </c>
      <c r="F1208" s="662" t="s">
        <v>642</v>
      </c>
      <c r="G1208" s="664">
        <f>SUM(G1205:G1207)</f>
        <v>0</v>
      </c>
      <c r="H1208" s="664">
        <f t="shared" ref="H1208:BO1208" si="504">SUM(H1205:H1207)</f>
        <v>0</v>
      </c>
      <c r="I1208" s="664">
        <f t="shared" si="504"/>
        <v>0</v>
      </c>
      <c r="J1208" s="664">
        <f t="shared" si="504"/>
        <v>0</v>
      </c>
      <c r="K1208" s="664">
        <f t="shared" si="504"/>
        <v>0</v>
      </c>
      <c r="L1208" s="664">
        <f t="shared" si="504"/>
        <v>0</v>
      </c>
      <c r="M1208" s="664">
        <f t="shared" si="504"/>
        <v>0</v>
      </c>
      <c r="N1208" s="664">
        <f t="shared" si="504"/>
        <v>0</v>
      </c>
      <c r="O1208" s="664">
        <f t="shared" si="504"/>
        <v>0</v>
      </c>
      <c r="P1208" s="664">
        <f t="shared" si="504"/>
        <v>0</v>
      </c>
      <c r="Q1208" s="664">
        <f t="shared" si="504"/>
        <v>0</v>
      </c>
      <c r="R1208" s="664">
        <f t="shared" si="504"/>
        <v>0</v>
      </c>
      <c r="S1208" s="678">
        <f t="shared" ref="S1208:AA1208" si="505">ROUND(SUM(S1203:S1207),5)</f>
        <v>0</v>
      </c>
      <c r="T1208" s="678">
        <f t="shared" si="505"/>
        <v>0</v>
      </c>
      <c r="U1208" s="678">
        <f t="shared" si="505"/>
        <v>0</v>
      </c>
      <c r="V1208" s="678">
        <f t="shared" si="505"/>
        <v>-426.02</v>
      </c>
      <c r="W1208" s="678">
        <f t="shared" si="505"/>
        <v>2186.21</v>
      </c>
      <c r="X1208" s="678">
        <f t="shared" si="505"/>
        <v>1199.6099999999999</v>
      </c>
      <c r="Y1208" s="678">
        <f t="shared" si="505"/>
        <v>986.64</v>
      </c>
      <c r="Z1208" s="678">
        <f t="shared" si="505"/>
        <v>967.38</v>
      </c>
      <c r="AA1208" s="678">
        <f t="shared" si="505"/>
        <v>977.08</v>
      </c>
      <c r="AB1208" s="678">
        <f t="shared" ref="AB1208:AG1208" si="506">ROUND(SUM(AB1203:AB1207),5)</f>
        <v>986.61</v>
      </c>
      <c r="AC1208" s="678">
        <f t="shared" si="506"/>
        <v>0</v>
      </c>
      <c r="AD1208" s="678">
        <f t="shared" si="506"/>
        <v>0</v>
      </c>
      <c r="AE1208" s="678">
        <f t="shared" si="506"/>
        <v>0</v>
      </c>
      <c r="AF1208" s="678">
        <f t="shared" si="506"/>
        <v>0</v>
      </c>
      <c r="AG1208" s="678">
        <f t="shared" si="506"/>
        <v>0</v>
      </c>
      <c r="AH1208" s="664">
        <f t="shared" si="504"/>
        <v>0</v>
      </c>
      <c r="AI1208" s="664">
        <f t="shared" si="504"/>
        <v>0</v>
      </c>
      <c r="AJ1208" s="664">
        <f t="shared" si="504"/>
        <v>0</v>
      </c>
      <c r="AK1208" s="664">
        <f t="shared" si="504"/>
        <v>0</v>
      </c>
      <c r="AL1208" s="664">
        <f t="shared" si="504"/>
        <v>0</v>
      </c>
      <c r="AM1208" s="664">
        <f t="shared" si="504"/>
        <v>0</v>
      </c>
      <c r="AN1208" s="664">
        <f t="shared" si="504"/>
        <v>0</v>
      </c>
      <c r="AO1208" s="664">
        <f t="shared" si="504"/>
        <v>0</v>
      </c>
      <c r="AP1208" s="664">
        <f t="shared" si="504"/>
        <v>0</v>
      </c>
      <c r="AQ1208" s="664">
        <f t="shared" si="504"/>
        <v>0</v>
      </c>
      <c r="AR1208" s="664">
        <f t="shared" si="504"/>
        <v>0</v>
      </c>
      <c r="AS1208" s="664">
        <f t="shared" si="504"/>
        <v>0</v>
      </c>
      <c r="AT1208" s="664">
        <f t="shared" si="504"/>
        <v>0</v>
      </c>
      <c r="AU1208" s="664">
        <f t="shared" si="504"/>
        <v>0</v>
      </c>
      <c r="AV1208" s="664">
        <f t="shared" si="504"/>
        <v>0</v>
      </c>
      <c r="AW1208" s="664">
        <f t="shared" si="504"/>
        <v>0</v>
      </c>
      <c r="AX1208" s="664">
        <f t="shared" si="504"/>
        <v>0</v>
      </c>
      <c r="AY1208" s="664">
        <f t="shared" si="504"/>
        <v>0</v>
      </c>
      <c r="AZ1208" s="664">
        <f t="shared" si="504"/>
        <v>0</v>
      </c>
      <c r="BA1208" s="664">
        <f t="shared" si="504"/>
        <v>0</v>
      </c>
      <c r="BB1208" s="664">
        <f t="shared" si="504"/>
        <v>0</v>
      </c>
      <c r="BC1208" s="664">
        <f t="shared" si="504"/>
        <v>0</v>
      </c>
      <c r="BD1208" s="664">
        <f t="shared" si="504"/>
        <v>0</v>
      </c>
      <c r="BE1208" s="664">
        <f t="shared" si="504"/>
        <v>0</v>
      </c>
      <c r="BF1208" s="664">
        <f t="shared" si="504"/>
        <v>0</v>
      </c>
      <c r="BG1208" s="664">
        <f t="shared" si="504"/>
        <v>0</v>
      </c>
      <c r="BH1208" s="664">
        <f t="shared" si="504"/>
        <v>0</v>
      </c>
      <c r="BI1208" s="664">
        <f t="shared" si="504"/>
        <v>0</v>
      </c>
      <c r="BJ1208" s="664">
        <f t="shared" si="504"/>
        <v>0</v>
      </c>
      <c r="BK1208" s="664">
        <f t="shared" si="504"/>
        <v>0</v>
      </c>
      <c r="BL1208" s="664">
        <f t="shared" si="504"/>
        <v>0</v>
      </c>
      <c r="BM1208" s="664">
        <f t="shared" si="504"/>
        <v>0</v>
      </c>
      <c r="BN1208" s="664">
        <f t="shared" si="504"/>
        <v>0</v>
      </c>
      <c r="BO1208" s="664">
        <f t="shared" si="504"/>
        <v>0</v>
      </c>
      <c r="BP1208" s="664">
        <f t="shared" ref="BP1208:CA1208" si="507">SUM(BP1205:BP1207)</f>
        <v>0</v>
      </c>
      <c r="BQ1208" s="664">
        <f t="shared" si="507"/>
        <v>0</v>
      </c>
      <c r="BR1208" s="664">
        <f t="shared" si="507"/>
        <v>0</v>
      </c>
      <c r="BS1208" s="664">
        <f t="shared" si="507"/>
        <v>0</v>
      </c>
      <c r="BT1208" s="664">
        <f t="shared" si="507"/>
        <v>0</v>
      </c>
      <c r="BU1208" s="664">
        <f t="shared" si="507"/>
        <v>0</v>
      </c>
      <c r="BV1208" s="664">
        <f t="shared" si="507"/>
        <v>0</v>
      </c>
      <c r="BW1208" s="664">
        <f t="shared" si="507"/>
        <v>0</v>
      </c>
      <c r="BX1208" s="664">
        <f t="shared" si="507"/>
        <v>0</v>
      </c>
      <c r="BY1208" s="664">
        <f t="shared" si="507"/>
        <v>0</v>
      </c>
      <c r="BZ1208" s="664">
        <f t="shared" si="507"/>
        <v>0</v>
      </c>
      <c r="CA1208" s="664">
        <f t="shared" si="507"/>
        <v>0</v>
      </c>
    </row>
    <row r="1209" spans="1:79" hidden="1" outlineLevel="1" x14ac:dyDescent="0.25">
      <c r="A1209" s="658"/>
      <c r="B1209" s="571"/>
      <c r="C1209" s="571"/>
      <c r="D1209" s="571"/>
      <c r="E1209" s="570" t="s">
        <v>922</v>
      </c>
      <c r="F1209" s="658" t="s">
        <v>603</v>
      </c>
      <c r="G1209" s="719"/>
      <c r="H1209" s="719"/>
      <c r="I1209" s="719"/>
      <c r="J1209" s="719"/>
      <c r="K1209" s="719"/>
      <c r="L1209" s="719"/>
      <c r="M1209" s="719"/>
      <c r="N1209" s="719"/>
      <c r="O1209" s="719"/>
      <c r="P1209" s="716"/>
      <c r="Q1209" s="716"/>
      <c r="R1209" s="716"/>
      <c r="S1209" s="667">
        <v>0</v>
      </c>
      <c r="T1209" s="667">
        <v>0</v>
      </c>
      <c r="U1209" s="667">
        <v>0</v>
      </c>
      <c r="V1209" s="667">
        <v>0</v>
      </c>
      <c r="W1209" s="667">
        <v>0</v>
      </c>
      <c r="X1209" s="667">
        <v>0</v>
      </c>
      <c r="Y1209" s="667">
        <v>0</v>
      </c>
      <c r="Z1209" s="667">
        <v>0</v>
      </c>
      <c r="AA1209" s="667">
        <v>0</v>
      </c>
      <c r="AB1209" s="667">
        <v>0</v>
      </c>
      <c r="AC1209" s="667">
        <v>0</v>
      </c>
      <c r="AD1209" s="667">
        <v>0</v>
      </c>
      <c r="AE1209" s="667">
        <v>0</v>
      </c>
      <c r="AF1209" s="667">
        <v>0</v>
      </c>
      <c r="AG1209" s="667">
        <v>0</v>
      </c>
      <c r="AH1209" s="716"/>
      <c r="AI1209" s="716"/>
      <c r="AJ1209" s="716"/>
      <c r="AK1209" s="716"/>
      <c r="AL1209" s="716"/>
      <c r="AM1209" s="716"/>
      <c r="AN1209" s="716"/>
      <c r="AO1209" s="716"/>
      <c r="AP1209" s="716"/>
      <c r="AQ1209" s="716"/>
      <c r="AR1209" s="716"/>
      <c r="AS1209" s="716"/>
      <c r="AT1209" s="716"/>
      <c r="AU1209" s="716"/>
      <c r="AV1209" s="716"/>
      <c r="AW1209" s="716"/>
      <c r="AX1209" s="716"/>
      <c r="AY1209" s="716"/>
      <c r="AZ1209" s="716"/>
      <c r="BA1209" s="716"/>
      <c r="BB1209" s="716"/>
      <c r="BC1209" s="716"/>
      <c r="BD1209" s="716"/>
      <c r="BE1209" s="716"/>
      <c r="BF1209" s="716"/>
      <c r="BG1209" s="716"/>
      <c r="BH1209" s="716"/>
      <c r="BI1209" s="716"/>
      <c r="BJ1209" s="716"/>
      <c r="BK1209" s="716"/>
      <c r="BL1209" s="716"/>
      <c r="BM1209" s="716"/>
      <c r="BN1209" s="716"/>
      <c r="BO1209" s="716"/>
      <c r="BP1209" s="716"/>
      <c r="BQ1209" s="716"/>
      <c r="BR1209" s="716"/>
      <c r="BS1209" s="716"/>
      <c r="BT1209" s="716"/>
      <c r="BU1209" s="716"/>
      <c r="BV1209" s="716"/>
      <c r="BW1209" s="716"/>
      <c r="BX1209" s="716"/>
      <c r="BY1209" s="716"/>
      <c r="BZ1209" s="716"/>
      <c r="CA1209" s="716"/>
    </row>
    <row r="1210" spans="1:79" hidden="1" outlineLevel="1" x14ac:dyDescent="0.25">
      <c r="A1210" s="658"/>
      <c r="B1210" s="571"/>
      <c r="C1210" s="571"/>
      <c r="D1210" s="571"/>
      <c r="E1210" s="570" t="s">
        <v>918</v>
      </c>
      <c r="F1210" s="658" t="s">
        <v>604</v>
      </c>
      <c r="G1210" s="719"/>
      <c r="H1210" s="719"/>
      <c r="I1210" s="719"/>
      <c r="J1210" s="719"/>
      <c r="K1210" s="719"/>
      <c r="L1210" s="719"/>
      <c r="M1210" s="719"/>
      <c r="N1210" s="719"/>
      <c r="O1210" s="719"/>
      <c r="P1210" s="716"/>
      <c r="Q1210" s="716"/>
      <c r="R1210" s="716"/>
      <c r="S1210" s="667">
        <v>0</v>
      </c>
      <c r="T1210" s="667">
        <v>0</v>
      </c>
      <c r="U1210" s="667">
        <v>0</v>
      </c>
      <c r="V1210" s="667">
        <v>0</v>
      </c>
      <c r="W1210" s="667">
        <v>0</v>
      </c>
      <c r="X1210" s="667">
        <v>0</v>
      </c>
      <c r="Y1210" s="667">
        <v>0</v>
      </c>
      <c r="Z1210" s="667">
        <v>0</v>
      </c>
      <c r="AA1210" s="667">
        <v>0</v>
      </c>
      <c r="AB1210" s="667">
        <v>0</v>
      </c>
      <c r="AC1210" s="667">
        <v>0</v>
      </c>
      <c r="AD1210" s="667">
        <v>0</v>
      </c>
      <c r="AE1210" s="667">
        <v>0</v>
      </c>
      <c r="AF1210" s="667">
        <v>0</v>
      </c>
      <c r="AG1210" s="667">
        <v>0</v>
      </c>
      <c r="AH1210" s="716"/>
      <c r="AI1210" s="716"/>
      <c r="AJ1210" s="716"/>
      <c r="AK1210" s="716"/>
      <c r="AL1210" s="716"/>
      <c r="AM1210" s="716"/>
      <c r="AN1210" s="716"/>
      <c r="AO1210" s="716"/>
      <c r="AP1210" s="716"/>
      <c r="AQ1210" s="716"/>
      <c r="AR1210" s="716"/>
      <c r="AS1210" s="716"/>
      <c r="AT1210" s="716"/>
      <c r="AU1210" s="716"/>
      <c r="AV1210" s="716"/>
      <c r="AW1210" s="716"/>
      <c r="AX1210" s="716"/>
      <c r="AY1210" s="716"/>
      <c r="AZ1210" s="716"/>
      <c r="BA1210" s="716"/>
      <c r="BB1210" s="716"/>
      <c r="BC1210" s="716"/>
      <c r="BD1210" s="716"/>
      <c r="BE1210" s="716"/>
      <c r="BF1210" s="716"/>
      <c r="BG1210" s="716"/>
      <c r="BH1210" s="716"/>
      <c r="BI1210" s="716"/>
      <c r="BJ1210" s="716"/>
      <c r="BK1210" s="716"/>
      <c r="BL1210" s="716"/>
      <c r="BM1210" s="716"/>
      <c r="BN1210" s="716"/>
      <c r="BO1210" s="716"/>
      <c r="BP1210" s="716"/>
      <c r="BQ1210" s="716"/>
      <c r="BR1210" s="716"/>
      <c r="BS1210" s="716"/>
      <c r="BT1210" s="716"/>
      <c r="BU1210" s="716"/>
      <c r="BV1210" s="716"/>
      <c r="BW1210" s="716"/>
      <c r="BX1210" s="716"/>
      <c r="BY1210" s="716"/>
      <c r="BZ1210" s="716"/>
      <c r="CA1210" s="716"/>
    </row>
    <row r="1211" spans="1:79" s="693" customFormat="1" hidden="1" outlineLevel="1" x14ac:dyDescent="0.25">
      <c r="A1211" s="701"/>
      <c r="B1211" s="710"/>
      <c r="C1211" s="710"/>
      <c r="D1211" s="710"/>
      <c r="E1211" s="570" t="s">
        <v>1341</v>
      </c>
      <c r="F1211" s="701" t="s">
        <v>652</v>
      </c>
      <c r="G1211" s="733"/>
      <c r="H1211" s="733"/>
      <c r="I1211" s="733"/>
      <c r="J1211" s="733"/>
      <c r="K1211" s="733"/>
      <c r="L1211" s="733"/>
      <c r="M1211" s="733"/>
      <c r="N1211" s="733"/>
      <c r="O1211" s="733"/>
      <c r="P1211" s="734"/>
      <c r="Q1211" s="734"/>
      <c r="R1211" s="734"/>
      <c r="S1211" s="704"/>
      <c r="T1211" s="704"/>
      <c r="U1211" s="704"/>
      <c r="V1211" s="704"/>
      <c r="W1211" s="704"/>
      <c r="X1211" s="704"/>
      <c r="Y1211" s="704"/>
      <c r="Z1211" s="704"/>
      <c r="AA1211" s="704"/>
      <c r="AB1211" s="704"/>
      <c r="AC1211" s="704"/>
      <c r="AD1211" s="704"/>
      <c r="AE1211" s="704"/>
      <c r="AF1211" s="704"/>
      <c r="AG1211" s="704"/>
      <c r="AH1211" s="734"/>
      <c r="AI1211" s="734"/>
      <c r="AJ1211" s="734"/>
      <c r="AK1211" s="734"/>
      <c r="AL1211" s="734"/>
      <c r="AM1211" s="734"/>
      <c r="AN1211" s="734"/>
      <c r="AO1211" s="734"/>
      <c r="AP1211" s="734"/>
      <c r="AQ1211" s="734"/>
      <c r="AR1211" s="734"/>
      <c r="AS1211" s="734"/>
      <c r="AT1211" s="734"/>
      <c r="AU1211" s="734"/>
      <c r="AV1211" s="734"/>
      <c r="AW1211" s="734"/>
      <c r="AX1211" s="734"/>
      <c r="AY1211" s="734"/>
      <c r="AZ1211" s="734"/>
      <c r="BA1211" s="734"/>
      <c r="BB1211" s="734"/>
      <c r="BC1211" s="734"/>
      <c r="BD1211" s="734"/>
      <c r="BE1211" s="734"/>
      <c r="BF1211" s="734"/>
      <c r="BG1211" s="734"/>
      <c r="BH1211" s="734"/>
      <c r="BI1211" s="734"/>
      <c r="BJ1211" s="734"/>
      <c r="BK1211" s="734"/>
      <c r="BL1211" s="734"/>
      <c r="BM1211" s="734"/>
      <c r="BN1211" s="734"/>
      <c r="BO1211" s="734"/>
      <c r="BP1211" s="734"/>
      <c r="BQ1211" s="734"/>
      <c r="BR1211" s="734"/>
      <c r="BS1211" s="734"/>
      <c r="BT1211" s="734"/>
      <c r="BU1211" s="734"/>
      <c r="BV1211" s="734"/>
      <c r="BW1211" s="734"/>
      <c r="BX1211" s="734"/>
      <c r="BY1211" s="734"/>
      <c r="BZ1211" s="734"/>
      <c r="CA1211" s="734"/>
    </row>
    <row r="1212" spans="1:79" hidden="1" outlineLevel="1" x14ac:dyDescent="0.25">
      <c r="A1212" s="656"/>
      <c r="B1212" s="571"/>
      <c r="C1212" s="571"/>
      <c r="D1212" s="571"/>
      <c r="E1212" s="570" t="s">
        <v>1341</v>
      </c>
      <c r="F1212" s="656" t="s">
        <v>653</v>
      </c>
      <c r="G1212" s="719"/>
      <c r="H1212" s="719"/>
      <c r="I1212" s="719"/>
      <c r="J1212" s="719"/>
      <c r="K1212" s="719"/>
      <c r="L1212" s="719"/>
      <c r="M1212" s="719"/>
      <c r="N1212" s="719"/>
      <c r="O1212" s="719"/>
      <c r="P1212" s="716"/>
      <c r="Q1212" s="716"/>
      <c r="R1212" s="716"/>
      <c r="S1212" s="667">
        <v>0</v>
      </c>
      <c r="T1212" s="667">
        <v>0</v>
      </c>
      <c r="U1212" s="667">
        <v>0</v>
      </c>
      <c r="V1212" s="667">
        <v>0</v>
      </c>
      <c r="W1212" s="667">
        <v>0</v>
      </c>
      <c r="X1212" s="667">
        <v>0</v>
      </c>
      <c r="Y1212" s="667">
        <v>0</v>
      </c>
      <c r="Z1212" s="667">
        <v>0</v>
      </c>
      <c r="AA1212" s="667">
        <v>0</v>
      </c>
      <c r="AB1212" s="667">
        <v>0</v>
      </c>
      <c r="AC1212" s="667">
        <v>0</v>
      </c>
      <c r="AD1212" s="667">
        <v>0</v>
      </c>
      <c r="AE1212" s="667">
        <v>0</v>
      </c>
      <c r="AF1212" s="667">
        <v>0</v>
      </c>
      <c r="AG1212" s="667">
        <v>0</v>
      </c>
      <c r="AH1212" s="716"/>
      <c r="AI1212" s="716"/>
      <c r="AJ1212" s="716"/>
      <c r="AK1212" s="716"/>
      <c r="AL1212" s="716"/>
      <c r="AM1212" s="716"/>
      <c r="AN1212" s="716"/>
      <c r="AO1212" s="716"/>
      <c r="AP1212" s="716"/>
      <c r="AQ1212" s="716"/>
      <c r="AR1212" s="716"/>
      <c r="AS1212" s="716"/>
      <c r="AT1212" s="716"/>
      <c r="AU1212" s="716"/>
      <c r="AV1212" s="716"/>
      <c r="AW1212" s="716"/>
      <c r="AX1212" s="716"/>
      <c r="AY1212" s="716"/>
      <c r="AZ1212" s="716"/>
      <c r="BA1212" s="716"/>
      <c r="BB1212" s="716"/>
      <c r="BC1212" s="716"/>
      <c r="BD1212" s="716"/>
      <c r="BE1212" s="716"/>
      <c r="BF1212" s="716"/>
      <c r="BG1212" s="716"/>
      <c r="BH1212" s="716"/>
      <c r="BI1212" s="716"/>
      <c r="BJ1212" s="716"/>
      <c r="BK1212" s="716"/>
      <c r="BL1212" s="716"/>
      <c r="BM1212" s="716"/>
      <c r="BN1212" s="716"/>
      <c r="BO1212" s="716"/>
      <c r="BP1212" s="716"/>
      <c r="BQ1212" s="716"/>
      <c r="BR1212" s="716"/>
      <c r="BS1212" s="716"/>
      <c r="BT1212" s="716"/>
      <c r="BU1212" s="716"/>
      <c r="BV1212" s="716"/>
      <c r="BW1212" s="716"/>
      <c r="BX1212" s="716"/>
      <c r="BY1212" s="716"/>
      <c r="BZ1212" s="716"/>
      <c r="CA1212" s="716"/>
    </row>
    <row r="1213" spans="1:79" hidden="1" outlineLevel="1" x14ac:dyDescent="0.25">
      <c r="A1213" s="656"/>
      <c r="B1213" s="571"/>
      <c r="C1213" s="571"/>
      <c r="D1213" s="571"/>
      <c r="E1213" s="570" t="s">
        <v>1341</v>
      </c>
      <c r="F1213" s="656" t="s">
        <v>907</v>
      </c>
      <c r="G1213" s="719"/>
      <c r="H1213" s="719"/>
      <c r="I1213" s="719"/>
      <c r="J1213" s="719"/>
      <c r="K1213" s="719"/>
      <c r="L1213" s="719"/>
      <c r="M1213" s="719"/>
      <c r="N1213" s="719"/>
      <c r="O1213" s="719"/>
      <c r="P1213" s="716"/>
      <c r="Q1213" s="716"/>
      <c r="R1213" s="716"/>
      <c r="S1213" s="667">
        <v>0</v>
      </c>
      <c r="T1213" s="667">
        <v>0</v>
      </c>
      <c r="U1213" s="667">
        <v>0</v>
      </c>
      <c r="V1213" s="667">
        <v>0</v>
      </c>
      <c r="W1213" s="667">
        <v>0</v>
      </c>
      <c r="X1213" s="667">
        <v>0</v>
      </c>
      <c r="Y1213" s="667">
        <v>0</v>
      </c>
      <c r="Z1213" s="667">
        <v>0</v>
      </c>
      <c r="AA1213" s="667">
        <v>0</v>
      </c>
      <c r="AB1213" s="667">
        <v>0</v>
      </c>
      <c r="AC1213" s="667">
        <v>0</v>
      </c>
      <c r="AD1213" s="667">
        <v>0</v>
      </c>
      <c r="AE1213" s="667">
        <v>0</v>
      </c>
      <c r="AF1213" s="667">
        <v>0</v>
      </c>
      <c r="AG1213" s="667">
        <v>0</v>
      </c>
      <c r="AH1213" s="716"/>
      <c r="AI1213" s="716"/>
      <c r="AJ1213" s="716"/>
      <c r="AK1213" s="716"/>
      <c r="AL1213" s="716"/>
      <c r="AM1213" s="716"/>
      <c r="AN1213" s="716"/>
      <c r="AO1213" s="716"/>
      <c r="AP1213" s="716"/>
      <c r="AQ1213" s="716"/>
      <c r="AR1213" s="716"/>
      <c r="AS1213" s="716"/>
      <c r="AT1213" s="716"/>
      <c r="AU1213" s="716"/>
      <c r="AV1213" s="716"/>
      <c r="AW1213" s="716"/>
      <c r="AX1213" s="716"/>
      <c r="AY1213" s="716"/>
      <c r="AZ1213" s="716"/>
      <c r="BA1213" s="716"/>
      <c r="BB1213" s="716"/>
      <c r="BC1213" s="716"/>
      <c r="BD1213" s="716"/>
      <c r="BE1213" s="716"/>
      <c r="BF1213" s="716"/>
      <c r="BG1213" s="716"/>
      <c r="BH1213" s="716"/>
      <c r="BI1213" s="716"/>
      <c r="BJ1213" s="716"/>
      <c r="BK1213" s="716"/>
      <c r="BL1213" s="716"/>
      <c r="BM1213" s="716"/>
      <c r="BN1213" s="716"/>
      <c r="BO1213" s="716"/>
      <c r="BP1213" s="716"/>
      <c r="BQ1213" s="716"/>
      <c r="BR1213" s="716"/>
      <c r="BS1213" s="716"/>
      <c r="BT1213" s="716"/>
      <c r="BU1213" s="716"/>
      <c r="BV1213" s="716"/>
      <c r="BW1213" s="716"/>
      <c r="BX1213" s="716"/>
      <c r="BY1213" s="716"/>
      <c r="BZ1213" s="716"/>
      <c r="CA1213" s="716"/>
    </row>
    <row r="1214" spans="1:79" hidden="1" outlineLevel="1" x14ac:dyDescent="0.25">
      <c r="A1214" s="656"/>
      <c r="B1214" s="571"/>
      <c r="C1214" s="571"/>
      <c r="D1214" s="571"/>
      <c r="E1214" s="570" t="s">
        <v>1341</v>
      </c>
      <c r="F1214" s="656" t="s">
        <v>908</v>
      </c>
      <c r="G1214" s="719"/>
      <c r="H1214" s="719"/>
      <c r="I1214" s="719"/>
      <c r="J1214" s="719"/>
      <c r="K1214" s="719"/>
      <c r="L1214" s="719"/>
      <c r="M1214" s="719"/>
      <c r="N1214" s="719"/>
      <c r="O1214" s="719"/>
      <c r="P1214" s="716"/>
      <c r="Q1214" s="716"/>
      <c r="R1214" s="716"/>
      <c r="S1214" s="667">
        <v>0</v>
      </c>
      <c r="T1214" s="667">
        <v>0</v>
      </c>
      <c r="U1214" s="667">
        <v>0</v>
      </c>
      <c r="V1214" s="667">
        <v>0</v>
      </c>
      <c r="W1214" s="667">
        <v>0</v>
      </c>
      <c r="X1214" s="667">
        <v>0</v>
      </c>
      <c r="Y1214" s="667">
        <v>0</v>
      </c>
      <c r="Z1214" s="667">
        <v>0</v>
      </c>
      <c r="AA1214" s="667">
        <v>0</v>
      </c>
      <c r="AB1214" s="667">
        <v>0</v>
      </c>
      <c r="AC1214" s="667">
        <v>0</v>
      </c>
      <c r="AD1214" s="667">
        <v>0</v>
      </c>
      <c r="AE1214" s="667">
        <v>0</v>
      </c>
      <c r="AF1214" s="667">
        <v>0</v>
      </c>
      <c r="AG1214" s="667">
        <v>0</v>
      </c>
      <c r="AH1214" s="716"/>
      <c r="AI1214" s="716"/>
      <c r="AJ1214" s="716"/>
      <c r="AK1214" s="716"/>
      <c r="AL1214" s="716"/>
      <c r="AM1214" s="716"/>
      <c r="AN1214" s="716"/>
      <c r="AO1214" s="716"/>
      <c r="AP1214" s="716"/>
      <c r="AQ1214" s="716"/>
      <c r="AR1214" s="716"/>
      <c r="AS1214" s="716"/>
      <c r="AT1214" s="716"/>
      <c r="AU1214" s="716"/>
      <c r="AV1214" s="716"/>
      <c r="AW1214" s="716"/>
      <c r="AX1214" s="716"/>
      <c r="AY1214" s="716"/>
      <c r="AZ1214" s="716"/>
      <c r="BA1214" s="716"/>
      <c r="BB1214" s="716"/>
      <c r="BC1214" s="716"/>
      <c r="BD1214" s="716"/>
      <c r="BE1214" s="716"/>
      <c r="BF1214" s="716"/>
      <c r="BG1214" s="716"/>
      <c r="BH1214" s="716"/>
      <c r="BI1214" s="716"/>
      <c r="BJ1214" s="716"/>
      <c r="BK1214" s="716"/>
      <c r="BL1214" s="716"/>
      <c r="BM1214" s="716"/>
      <c r="BN1214" s="716"/>
      <c r="BO1214" s="716"/>
      <c r="BP1214" s="716"/>
      <c r="BQ1214" s="716"/>
      <c r="BR1214" s="716"/>
      <c r="BS1214" s="716"/>
      <c r="BT1214" s="716"/>
      <c r="BU1214" s="716"/>
      <c r="BV1214" s="716"/>
      <c r="BW1214" s="716"/>
      <c r="BX1214" s="716"/>
      <c r="BY1214" s="716"/>
      <c r="BZ1214" s="716"/>
      <c r="CA1214" s="716"/>
    </row>
    <row r="1215" spans="1:79" hidden="1" outlineLevel="1" x14ac:dyDescent="0.25">
      <c r="A1215" s="656"/>
      <c r="B1215" s="571"/>
      <c r="C1215" s="571"/>
      <c r="D1215" s="571"/>
      <c r="E1215" s="570" t="s">
        <v>1341</v>
      </c>
      <c r="F1215" s="656" t="s">
        <v>654</v>
      </c>
      <c r="G1215" s="719"/>
      <c r="H1215" s="719"/>
      <c r="I1215" s="719"/>
      <c r="J1215" s="719"/>
      <c r="K1215" s="719"/>
      <c r="L1215" s="719"/>
      <c r="M1215" s="719"/>
      <c r="N1215" s="719"/>
      <c r="O1215" s="719"/>
      <c r="P1215" s="716"/>
      <c r="Q1215" s="716"/>
      <c r="R1215" s="716"/>
      <c r="S1215" s="667">
        <v>0</v>
      </c>
      <c r="T1215" s="667">
        <v>0</v>
      </c>
      <c r="U1215" s="667">
        <v>0</v>
      </c>
      <c r="V1215" s="667">
        <v>0</v>
      </c>
      <c r="W1215" s="667">
        <v>0</v>
      </c>
      <c r="X1215" s="667">
        <v>0</v>
      </c>
      <c r="Y1215" s="667">
        <v>0</v>
      </c>
      <c r="Z1215" s="667">
        <v>0</v>
      </c>
      <c r="AA1215" s="667">
        <v>0</v>
      </c>
      <c r="AB1215" s="667">
        <v>0</v>
      </c>
      <c r="AC1215" s="667">
        <v>0</v>
      </c>
      <c r="AD1215" s="667">
        <v>0</v>
      </c>
      <c r="AE1215" s="667">
        <v>0</v>
      </c>
      <c r="AF1215" s="667">
        <v>0</v>
      </c>
      <c r="AG1215" s="667">
        <v>0</v>
      </c>
      <c r="AH1215" s="716"/>
      <c r="AI1215" s="716"/>
      <c r="AJ1215" s="716"/>
      <c r="AK1215" s="716"/>
      <c r="AL1215" s="716"/>
      <c r="AM1215" s="716"/>
      <c r="AN1215" s="716"/>
      <c r="AO1215" s="716"/>
      <c r="AP1215" s="716"/>
      <c r="AQ1215" s="716"/>
      <c r="AR1215" s="716"/>
      <c r="AS1215" s="716"/>
      <c r="AT1215" s="716"/>
      <c r="AU1215" s="716"/>
      <c r="AV1215" s="716"/>
      <c r="AW1215" s="716"/>
      <c r="AX1215" s="716"/>
      <c r="AY1215" s="716"/>
      <c r="AZ1215" s="716"/>
      <c r="BA1215" s="716"/>
      <c r="BB1215" s="716"/>
      <c r="BC1215" s="716"/>
      <c r="BD1215" s="716"/>
      <c r="BE1215" s="716"/>
      <c r="BF1215" s="716"/>
      <c r="BG1215" s="716"/>
      <c r="BH1215" s="716"/>
      <c r="BI1215" s="716"/>
      <c r="BJ1215" s="716"/>
      <c r="BK1215" s="716"/>
      <c r="BL1215" s="716"/>
      <c r="BM1215" s="716"/>
      <c r="BN1215" s="716"/>
      <c r="BO1215" s="716"/>
      <c r="BP1215" s="716"/>
      <c r="BQ1215" s="716"/>
      <c r="BR1215" s="716"/>
      <c r="BS1215" s="716"/>
      <c r="BT1215" s="716"/>
      <c r="BU1215" s="716"/>
      <c r="BV1215" s="716"/>
      <c r="BW1215" s="716"/>
      <c r="BX1215" s="716"/>
      <c r="BY1215" s="716"/>
      <c r="BZ1215" s="716"/>
      <c r="CA1215" s="716"/>
    </row>
    <row r="1216" spans="1:79" hidden="1" outlineLevel="1" x14ac:dyDescent="0.25">
      <c r="A1216" s="656"/>
      <c r="B1216" s="571"/>
      <c r="C1216" s="571"/>
      <c r="D1216" s="571"/>
      <c r="E1216" s="570" t="s">
        <v>1341</v>
      </c>
      <c r="F1216" s="656" t="s">
        <v>909</v>
      </c>
      <c r="G1216" s="719"/>
      <c r="H1216" s="719"/>
      <c r="I1216" s="719"/>
      <c r="J1216" s="719"/>
      <c r="K1216" s="719"/>
      <c r="L1216" s="719"/>
      <c r="M1216" s="719"/>
      <c r="N1216" s="719"/>
      <c r="O1216" s="719"/>
      <c r="P1216" s="716"/>
      <c r="Q1216" s="716"/>
      <c r="R1216" s="716"/>
      <c r="S1216" s="667">
        <v>0</v>
      </c>
      <c r="T1216" s="667">
        <v>0</v>
      </c>
      <c r="U1216" s="667">
        <v>0</v>
      </c>
      <c r="V1216" s="667">
        <v>0</v>
      </c>
      <c r="W1216" s="667">
        <v>0</v>
      </c>
      <c r="X1216" s="667">
        <v>0</v>
      </c>
      <c r="Y1216" s="667">
        <v>0</v>
      </c>
      <c r="Z1216" s="667">
        <v>0</v>
      </c>
      <c r="AA1216" s="667">
        <v>0</v>
      </c>
      <c r="AB1216" s="667">
        <v>0</v>
      </c>
      <c r="AC1216" s="667">
        <v>0</v>
      </c>
      <c r="AD1216" s="667">
        <v>0</v>
      </c>
      <c r="AE1216" s="667">
        <v>0</v>
      </c>
      <c r="AF1216" s="667">
        <v>0</v>
      </c>
      <c r="AG1216" s="667">
        <v>0</v>
      </c>
      <c r="AH1216" s="716"/>
      <c r="AI1216" s="716"/>
      <c r="AJ1216" s="716"/>
      <c r="AK1216" s="716"/>
      <c r="AL1216" s="716"/>
      <c r="AM1216" s="716"/>
      <c r="AN1216" s="716"/>
      <c r="AO1216" s="716"/>
      <c r="AP1216" s="716"/>
      <c r="AQ1216" s="716"/>
      <c r="AR1216" s="716"/>
      <c r="AS1216" s="716"/>
      <c r="AT1216" s="716"/>
      <c r="AU1216" s="716"/>
      <c r="AV1216" s="716"/>
      <c r="AW1216" s="716"/>
      <c r="AX1216" s="716"/>
      <c r="AY1216" s="716"/>
      <c r="AZ1216" s="716"/>
      <c r="BA1216" s="716"/>
      <c r="BB1216" s="716"/>
      <c r="BC1216" s="716"/>
      <c r="BD1216" s="716"/>
      <c r="BE1216" s="716"/>
      <c r="BF1216" s="716"/>
      <c r="BG1216" s="716"/>
      <c r="BH1216" s="716"/>
      <c r="BI1216" s="716"/>
      <c r="BJ1216" s="716"/>
      <c r="BK1216" s="716"/>
      <c r="BL1216" s="716"/>
      <c r="BM1216" s="716"/>
      <c r="BN1216" s="716"/>
      <c r="BO1216" s="716"/>
      <c r="BP1216" s="716"/>
      <c r="BQ1216" s="716"/>
      <c r="BR1216" s="716"/>
      <c r="BS1216" s="716"/>
      <c r="BT1216" s="716"/>
      <c r="BU1216" s="716"/>
      <c r="BV1216" s="716"/>
      <c r="BW1216" s="716"/>
      <c r="BX1216" s="716"/>
      <c r="BY1216" s="716"/>
      <c r="BZ1216" s="716"/>
      <c r="CA1216" s="716"/>
    </row>
    <row r="1217" spans="1:79" hidden="1" outlineLevel="1" x14ac:dyDescent="0.25">
      <c r="A1217" s="656"/>
      <c r="B1217" s="571"/>
      <c r="C1217" s="571"/>
      <c r="D1217" s="571"/>
      <c r="E1217" s="570" t="s">
        <v>1341</v>
      </c>
      <c r="F1217" s="656" t="s">
        <v>910</v>
      </c>
      <c r="G1217" s="719"/>
      <c r="H1217" s="719"/>
      <c r="I1217" s="719"/>
      <c r="J1217" s="719"/>
      <c r="K1217" s="719"/>
      <c r="L1217" s="719"/>
      <c r="M1217" s="719"/>
      <c r="N1217" s="719"/>
      <c r="O1217" s="719"/>
      <c r="P1217" s="716"/>
      <c r="Q1217" s="716"/>
      <c r="R1217" s="716"/>
      <c r="S1217" s="667">
        <v>0</v>
      </c>
      <c r="T1217" s="667">
        <v>0</v>
      </c>
      <c r="U1217" s="667">
        <v>0</v>
      </c>
      <c r="V1217" s="667">
        <v>0</v>
      </c>
      <c r="W1217" s="667">
        <v>0</v>
      </c>
      <c r="X1217" s="667">
        <v>0</v>
      </c>
      <c r="Y1217" s="667">
        <v>0</v>
      </c>
      <c r="Z1217" s="667">
        <v>0</v>
      </c>
      <c r="AA1217" s="667">
        <v>0</v>
      </c>
      <c r="AB1217" s="667">
        <v>0</v>
      </c>
      <c r="AC1217" s="667">
        <v>0</v>
      </c>
      <c r="AD1217" s="667">
        <v>0</v>
      </c>
      <c r="AE1217" s="667">
        <v>0</v>
      </c>
      <c r="AF1217" s="667">
        <v>0</v>
      </c>
      <c r="AG1217" s="667">
        <v>0</v>
      </c>
      <c r="AH1217" s="716"/>
      <c r="AI1217" s="716"/>
      <c r="AJ1217" s="716"/>
      <c r="AK1217" s="716"/>
      <c r="AL1217" s="716"/>
      <c r="AM1217" s="716"/>
      <c r="AN1217" s="716"/>
      <c r="AO1217" s="716"/>
      <c r="AP1217" s="716"/>
      <c r="AQ1217" s="716"/>
      <c r="AR1217" s="716"/>
      <c r="AS1217" s="716"/>
      <c r="AT1217" s="716"/>
      <c r="AU1217" s="716"/>
      <c r="AV1217" s="716"/>
      <c r="AW1217" s="716"/>
      <c r="AX1217" s="716"/>
      <c r="AY1217" s="716"/>
      <c r="AZ1217" s="716"/>
      <c r="BA1217" s="716"/>
      <c r="BB1217" s="716"/>
      <c r="BC1217" s="716"/>
      <c r="BD1217" s="716"/>
      <c r="BE1217" s="716"/>
      <c r="BF1217" s="716"/>
      <c r="BG1217" s="716"/>
      <c r="BH1217" s="716"/>
      <c r="BI1217" s="716"/>
      <c r="BJ1217" s="716"/>
      <c r="BK1217" s="716"/>
      <c r="BL1217" s="716"/>
      <c r="BM1217" s="716"/>
      <c r="BN1217" s="716"/>
      <c r="BO1217" s="716"/>
      <c r="BP1217" s="716"/>
      <c r="BQ1217" s="716"/>
      <c r="BR1217" s="716"/>
      <c r="BS1217" s="716"/>
      <c r="BT1217" s="716"/>
      <c r="BU1217" s="716"/>
      <c r="BV1217" s="716"/>
      <c r="BW1217" s="716"/>
      <c r="BX1217" s="716"/>
      <c r="BY1217" s="716"/>
      <c r="BZ1217" s="716"/>
      <c r="CA1217" s="716"/>
    </row>
    <row r="1218" spans="1:79" hidden="1" outlineLevel="1" x14ac:dyDescent="0.25">
      <c r="A1218" s="656"/>
      <c r="B1218" s="571"/>
      <c r="C1218" s="571"/>
      <c r="D1218" s="571"/>
      <c r="E1218" s="570" t="s">
        <v>1341</v>
      </c>
      <c r="F1218" s="656" t="s">
        <v>911</v>
      </c>
      <c r="G1218" s="719"/>
      <c r="H1218" s="719"/>
      <c r="I1218" s="719"/>
      <c r="J1218" s="719"/>
      <c r="K1218" s="719"/>
      <c r="L1218" s="719"/>
      <c r="M1218" s="719"/>
      <c r="N1218" s="719"/>
      <c r="O1218" s="719"/>
      <c r="P1218" s="716"/>
      <c r="Q1218" s="716"/>
      <c r="R1218" s="716"/>
      <c r="S1218" s="667">
        <v>0</v>
      </c>
      <c r="T1218" s="667">
        <v>0</v>
      </c>
      <c r="U1218" s="667">
        <v>0</v>
      </c>
      <c r="V1218" s="667">
        <v>0</v>
      </c>
      <c r="W1218" s="667">
        <v>0</v>
      </c>
      <c r="X1218" s="667">
        <v>0</v>
      </c>
      <c r="Y1218" s="667">
        <v>0</v>
      </c>
      <c r="Z1218" s="667">
        <v>0</v>
      </c>
      <c r="AA1218" s="667">
        <v>0</v>
      </c>
      <c r="AB1218" s="667">
        <v>0</v>
      </c>
      <c r="AC1218" s="667">
        <v>0</v>
      </c>
      <c r="AD1218" s="667">
        <v>0</v>
      </c>
      <c r="AE1218" s="667">
        <v>0</v>
      </c>
      <c r="AF1218" s="667">
        <v>0</v>
      </c>
      <c r="AG1218" s="667">
        <v>0</v>
      </c>
      <c r="AH1218" s="716"/>
      <c r="AI1218" s="716"/>
      <c r="AJ1218" s="716"/>
      <c r="AK1218" s="716"/>
      <c r="AL1218" s="716"/>
      <c r="AM1218" s="716"/>
      <c r="AN1218" s="716"/>
      <c r="AO1218" s="716"/>
      <c r="AP1218" s="716"/>
      <c r="AQ1218" s="716"/>
      <c r="AR1218" s="716"/>
      <c r="AS1218" s="716"/>
      <c r="AT1218" s="716"/>
      <c r="AU1218" s="716"/>
      <c r="AV1218" s="716"/>
      <c r="AW1218" s="716"/>
      <c r="AX1218" s="716"/>
      <c r="AY1218" s="716"/>
      <c r="AZ1218" s="716"/>
      <c r="BA1218" s="716"/>
      <c r="BB1218" s="716"/>
      <c r="BC1218" s="716"/>
      <c r="BD1218" s="716"/>
      <c r="BE1218" s="716"/>
      <c r="BF1218" s="716"/>
      <c r="BG1218" s="716"/>
      <c r="BH1218" s="716"/>
      <c r="BI1218" s="716"/>
      <c r="BJ1218" s="716"/>
      <c r="BK1218" s="716"/>
      <c r="BL1218" s="716"/>
      <c r="BM1218" s="716"/>
      <c r="BN1218" s="716"/>
      <c r="BO1218" s="716"/>
      <c r="BP1218" s="716"/>
      <c r="BQ1218" s="716"/>
      <c r="BR1218" s="716"/>
      <c r="BS1218" s="716"/>
      <c r="BT1218" s="716"/>
      <c r="BU1218" s="716"/>
      <c r="BV1218" s="716"/>
      <c r="BW1218" s="716"/>
      <c r="BX1218" s="716"/>
      <c r="BY1218" s="716"/>
      <c r="BZ1218" s="716"/>
      <c r="CA1218" s="716"/>
    </row>
    <row r="1219" spans="1:79" hidden="1" outlineLevel="1" x14ac:dyDescent="0.25">
      <c r="A1219" s="657"/>
      <c r="B1219" s="571"/>
      <c r="C1219" s="571"/>
      <c r="D1219" s="571"/>
      <c r="E1219" s="570" t="s">
        <v>49</v>
      </c>
      <c r="F1219" s="657" t="s">
        <v>655</v>
      </c>
      <c r="G1219" s="664">
        <f>SUM(G1212:G1218)</f>
        <v>0</v>
      </c>
      <c r="H1219" s="664">
        <f t="shared" ref="H1219:BO1219" si="508">SUM(H1212:H1218)</f>
        <v>0</v>
      </c>
      <c r="I1219" s="664">
        <f t="shared" si="508"/>
        <v>0</v>
      </c>
      <c r="J1219" s="664">
        <f t="shared" si="508"/>
        <v>0</v>
      </c>
      <c r="K1219" s="664">
        <f t="shared" si="508"/>
        <v>0</v>
      </c>
      <c r="L1219" s="664">
        <f t="shared" si="508"/>
        <v>0</v>
      </c>
      <c r="M1219" s="664">
        <f t="shared" si="508"/>
        <v>0</v>
      </c>
      <c r="N1219" s="664">
        <f t="shared" si="508"/>
        <v>0</v>
      </c>
      <c r="O1219" s="664">
        <f t="shared" si="508"/>
        <v>0</v>
      </c>
      <c r="P1219" s="664">
        <f t="shared" si="508"/>
        <v>0</v>
      </c>
      <c r="Q1219" s="664">
        <f t="shared" si="508"/>
        <v>0</v>
      </c>
      <c r="R1219" s="664">
        <f t="shared" si="508"/>
        <v>0</v>
      </c>
      <c r="S1219" s="678">
        <f t="shared" ref="S1219:AA1219" si="509">ROUND(SUM(S1211:S1218),5)</f>
        <v>0</v>
      </c>
      <c r="T1219" s="678">
        <f t="shared" si="509"/>
        <v>0</v>
      </c>
      <c r="U1219" s="678">
        <f t="shared" si="509"/>
        <v>0</v>
      </c>
      <c r="V1219" s="678">
        <f t="shared" si="509"/>
        <v>0</v>
      </c>
      <c r="W1219" s="678">
        <f t="shared" si="509"/>
        <v>0</v>
      </c>
      <c r="X1219" s="678">
        <f t="shared" si="509"/>
        <v>0</v>
      </c>
      <c r="Y1219" s="678">
        <f t="shared" si="509"/>
        <v>0</v>
      </c>
      <c r="Z1219" s="678">
        <f t="shared" si="509"/>
        <v>0</v>
      </c>
      <c r="AA1219" s="678">
        <f t="shared" si="509"/>
        <v>0</v>
      </c>
      <c r="AB1219" s="678">
        <f t="shared" ref="AB1219:AG1219" si="510">ROUND(SUM(AB1211:AB1218),5)</f>
        <v>0</v>
      </c>
      <c r="AC1219" s="678">
        <f t="shared" si="510"/>
        <v>0</v>
      </c>
      <c r="AD1219" s="678">
        <f t="shared" si="510"/>
        <v>0</v>
      </c>
      <c r="AE1219" s="678">
        <f t="shared" si="510"/>
        <v>0</v>
      </c>
      <c r="AF1219" s="678">
        <f t="shared" si="510"/>
        <v>0</v>
      </c>
      <c r="AG1219" s="678">
        <f t="shared" si="510"/>
        <v>0</v>
      </c>
      <c r="AH1219" s="664">
        <f t="shared" si="508"/>
        <v>0</v>
      </c>
      <c r="AI1219" s="664">
        <f t="shared" si="508"/>
        <v>0</v>
      </c>
      <c r="AJ1219" s="664">
        <f t="shared" si="508"/>
        <v>0</v>
      </c>
      <c r="AK1219" s="664">
        <f t="shared" si="508"/>
        <v>0</v>
      </c>
      <c r="AL1219" s="664">
        <f t="shared" si="508"/>
        <v>0</v>
      </c>
      <c r="AM1219" s="664">
        <f t="shared" si="508"/>
        <v>0</v>
      </c>
      <c r="AN1219" s="664">
        <f t="shared" si="508"/>
        <v>0</v>
      </c>
      <c r="AO1219" s="664">
        <f t="shared" si="508"/>
        <v>0</v>
      </c>
      <c r="AP1219" s="664">
        <f t="shared" si="508"/>
        <v>0</v>
      </c>
      <c r="AQ1219" s="664">
        <f t="shared" si="508"/>
        <v>0</v>
      </c>
      <c r="AR1219" s="664">
        <f t="shared" si="508"/>
        <v>0</v>
      </c>
      <c r="AS1219" s="664">
        <f t="shared" si="508"/>
        <v>0</v>
      </c>
      <c r="AT1219" s="664">
        <f t="shared" si="508"/>
        <v>0</v>
      </c>
      <c r="AU1219" s="664">
        <f t="shared" si="508"/>
        <v>0</v>
      </c>
      <c r="AV1219" s="664">
        <f t="shared" si="508"/>
        <v>0</v>
      </c>
      <c r="AW1219" s="664">
        <f t="shared" si="508"/>
        <v>0</v>
      </c>
      <c r="AX1219" s="664">
        <f t="shared" si="508"/>
        <v>0</v>
      </c>
      <c r="AY1219" s="664">
        <f t="shared" si="508"/>
        <v>0</v>
      </c>
      <c r="AZ1219" s="664">
        <f t="shared" si="508"/>
        <v>0</v>
      </c>
      <c r="BA1219" s="664">
        <f t="shared" si="508"/>
        <v>0</v>
      </c>
      <c r="BB1219" s="664">
        <f t="shared" si="508"/>
        <v>0</v>
      </c>
      <c r="BC1219" s="664">
        <f t="shared" si="508"/>
        <v>0</v>
      </c>
      <c r="BD1219" s="664">
        <f t="shared" si="508"/>
        <v>0</v>
      </c>
      <c r="BE1219" s="664">
        <f t="shared" si="508"/>
        <v>0</v>
      </c>
      <c r="BF1219" s="664">
        <f t="shared" si="508"/>
        <v>0</v>
      </c>
      <c r="BG1219" s="664">
        <f t="shared" si="508"/>
        <v>0</v>
      </c>
      <c r="BH1219" s="664">
        <f t="shared" si="508"/>
        <v>0</v>
      </c>
      <c r="BI1219" s="664">
        <f t="shared" si="508"/>
        <v>0</v>
      </c>
      <c r="BJ1219" s="664">
        <f t="shared" si="508"/>
        <v>0</v>
      </c>
      <c r="BK1219" s="664">
        <f t="shared" si="508"/>
        <v>0</v>
      </c>
      <c r="BL1219" s="664">
        <f t="shared" si="508"/>
        <v>0</v>
      </c>
      <c r="BM1219" s="664">
        <f t="shared" si="508"/>
        <v>0</v>
      </c>
      <c r="BN1219" s="664">
        <f t="shared" si="508"/>
        <v>0</v>
      </c>
      <c r="BO1219" s="664">
        <f t="shared" si="508"/>
        <v>0</v>
      </c>
      <c r="BP1219" s="664">
        <f t="shared" ref="BP1219:CA1219" si="511">SUM(BP1212:BP1218)</f>
        <v>0</v>
      </c>
      <c r="BQ1219" s="664">
        <f t="shared" si="511"/>
        <v>0</v>
      </c>
      <c r="BR1219" s="664">
        <f t="shared" si="511"/>
        <v>0</v>
      </c>
      <c r="BS1219" s="664">
        <f t="shared" si="511"/>
        <v>0</v>
      </c>
      <c r="BT1219" s="664">
        <f t="shared" si="511"/>
        <v>0</v>
      </c>
      <c r="BU1219" s="664">
        <f t="shared" si="511"/>
        <v>0</v>
      </c>
      <c r="BV1219" s="664">
        <f t="shared" si="511"/>
        <v>0</v>
      </c>
      <c r="BW1219" s="664">
        <f t="shared" si="511"/>
        <v>0</v>
      </c>
      <c r="BX1219" s="664">
        <f t="shared" si="511"/>
        <v>0</v>
      </c>
      <c r="BY1219" s="664">
        <f t="shared" si="511"/>
        <v>0</v>
      </c>
      <c r="BZ1219" s="664">
        <f t="shared" si="511"/>
        <v>0</v>
      </c>
      <c r="CA1219" s="664">
        <f t="shared" si="511"/>
        <v>0</v>
      </c>
    </row>
    <row r="1220" spans="1:79" s="740" customFormat="1" hidden="1" outlineLevel="1" x14ac:dyDescent="0.25">
      <c r="A1220" s="570"/>
      <c r="B1220" s="29"/>
      <c r="C1220" s="29"/>
      <c r="D1220" s="29"/>
      <c r="E1220" s="570" t="s">
        <v>945</v>
      </c>
      <c r="F1220" s="570" t="s">
        <v>693</v>
      </c>
      <c r="G1220" s="719"/>
      <c r="H1220" s="719"/>
      <c r="I1220" s="719"/>
      <c r="J1220" s="719"/>
      <c r="K1220" s="719"/>
      <c r="L1220" s="719"/>
      <c r="M1220" s="719"/>
      <c r="N1220" s="719"/>
      <c r="O1220" s="719"/>
      <c r="P1220" s="716"/>
      <c r="Q1220" s="716"/>
      <c r="R1220" s="716"/>
      <c r="S1220" s="667">
        <v>0</v>
      </c>
      <c r="T1220" s="667">
        <v>0</v>
      </c>
      <c r="U1220" s="667">
        <v>0</v>
      </c>
      <c r="V1220" s="667">
        <v>0</v>
      </c>
      <c r="W1220" s="667">
        <v>0</v>
      </c>
      <c r="X1220" s="667">
        <v>0</v>
      </c>
      <c r="Y1220" s="667">
        <v>0</v>
      </c>
      <c r="Z1220" s="667">
        <v>0</v>
      </c>
      <c r="AA1220" s="667">
        <v>0</v>
      </c>
      <c r="AB1220" s="667">
        <v>0</v>
      </c>
      <c r="AC1220" s="667">
        <v>0</v>
      </c>
      <c r="AD1220" s="667">
        <v>0</v>
      </c>
      <c r="AE1220" s="667">
        <v>0</v>
      </c>
      <c r="AF1220" s="667">
        <v>0</v>
      </c>
      <c r="AG1220" s="667">
        <v>0</v>
      </c>
      <c r="AH1220" s="716"/>
      <c r="AI1220" s="716"/>
      <c r="AJ1220" s="716"/>
      <c r="AK1220" s="716"/>
      <c r="AL1220" s="716"/>
      <c r="AM1220" s="716"/>
      <c r="AN1220" s="716"/>
      <c r="AO1220" s="716"/>
      <c r="AP1220" s="716"/>
      <c r="AQ1220" s="716"/>
      <c r="AR1220" s="716"/>
      <c r="AS1220" s="716"/>
      <c r="AT1220" s="716"/>
      <c r="AU1220" s="716"/>
      <c r="AV1220" s="716"/>
      <c r="AW1220" s="716"/>
      <c r="AX1220" s="716"/>
      <c r="AY1220" s="716"/>
      <c r="AZ1220" s="716"/>
      <c r="BA1220" s="716"/>
      <c r="BB1220" s="716"/>
      <c r="BC1220" s="716"/>
      <c r="BD1220" s="716"/>
      <c r="BE1220" s="716"/>
      <c r="BF1220" s="716"/>
      <c r="BG1220" s="716"/>
      <c r="BH1220" s="716"/>
      <c r="BI1220" s="716"/>
      <c r="BJ1220" s="716"/>
      <c r="BK1220" s="716"/>
      <c r="BL1220" s="716"/>
      <c r="BM1220" s="716"/>
      <c r="BN1220" s="716"/>
      <c r="BO1220" s="716"/>
      <c r="BP1220" s="716"/>
      <c r="BQ1220" s="716"/>
      <c r="BR1220" s="716"/>
      <c r="BS1220" s="716"/>
      <c r="BT1220" s="716"/>
      <c r="BU1220" s="716"/>
      <c r="BV1220" s="716"/>
      <c r="BW1220" s="716"/>
      <c r="BX1220" s="716"/>
      <c r="BY1220" s="716"/>
      <c r="BZ1220" s="716"/>
      <c r="CA1220" s="716"/>
    </row>
    <row r="1221" spans="1:79" s="451" customFormat="1" ht="15.75" collapsed="1" thickBot="1" x14ac:dyDescent="0.3">
      <c r="A1221" s="892"/>
      <c r="B1221" s="29"/>
      <c r="C1221" s="29"/>
      <c r="D1221" s="29"/>
      <c r="E1221" s="892"/>
      <c r="F1221" s="892" t="s">
        <v>682</v>
      </c>
      <c r="G1221" s="894">
        <f t="shared" ref="G1221:R1221" si="512">ROUND(SUM(G1050:G1058)+SUM(G1062:G1067)+SUM(G1068:G1069)+G1073+SUM(G1077:G1079)+SUM(G1092:G1096)+SUM(G1107:G1108)+G1127+SUM(G1131:G1134)+G1145+G1153+SUM(G1159:G1161)+SUM(G1167:G1168)+SUM(G1201:G1202)+SUM(G1208:G1210)+SUM(G1219:G1220),5)</f>
        <v>0</v>
      </c>
      <c r="H1221" s="894">
        <f t="shared" si="512"/>
        <v>0</v>
      </c>
      <c r="I1221" s="894">
        <f t="shared" si="512"/>
        <v>0</v>
      </c>
      <c r="J1221" s="894">
        <f t="shared" si="512"/>
        <v>0</v>
      </c>
      <c r="K1221" s="894">
        <f t="shared" si="512"/>
        <v>0</v>
      </c>
      <c r="L1221" s="894">
        <f t="shared" si="512"/>
        <v>0</v>
      </c>
      <c r="M1221" s="894">
        <f t="shared" si="512"/>
        <v>0</v>
      </c>
      <c r="N1221" s="894">
        <f t="shared" si="512"/>
        <v>0</v>
      </c>
      <c r="O1221" s="894">
        <f t="shared" si="512"/>
        <v>0</v>
      </c>
      <c r="P1221" s="894">
        <f t="shared" si="512"/>
        <v>0</v>
      </c>
      <c r="Q1221" s="894">
        <f t="shared" si="512"/>
        <v>0</v>
      </c>
      <c r="R1221" s="894">
        <f t="shared" si="512"/>
        <v>0</v>
      </c>
      <c r="S1221" s="894">
        <f t="shared" ref="S1221:AB1221" si="513">ROUND(SUM(S1050:S1058)+SUM(S1062:S1067)+SUM(S1068:S1069)+S1073+SUM(S1077:S1079)+SUM(S1092:S1096)+SUM(S1107:S1108)+S1127+SUM(S1131:S1134)+S1145+S1153+SUM(S1159:S1161)+SUM(S1167:S1168)+SUM(S1201:S1202)+SUM(S1208:S1210)+SUM(S1219:S1220),5)</f>
        <v>50056.76</v>
      </c>
      <c r="T1221" s="894">
        <f t="shared" si="513"/>
        <v>18640.54</v>
      </c>
      <c r="U1221" s="894">
        <f t="shared" si="513"/>
        <v>22228.81</v>
      </c>
      <c r="V1221" s="894">
        <f t="shared" si="513"/>
        <v>40028.26</v>
      </c>
      <c r="W1221" s="894">
        <f t="shared" si="513"/>
        <v>27313.51</v>
      </c>
      <c r="X1221" s="894">
        <f t="shared" si="513"/>
        <v>24555.360000000001</v>
      </c>
      <c r="Y1221" s="894">
        <f t="shared" si="513"/>
        <v>20135.43</v>
      </c>
      <c r="Z1221" s="894">
        <f t="shared" si="513"/>
        <v>46710.2</v>
      </c>
      <c r="AA1221" s="894">
        <f t="shared" si="513"/>
        <v>17533.05</v>
      </c>
      <c r="AB1221" s="894">
        <f t="shared" si="513"/>
        <v>26360</v>
      </c>
      <c r="AC1221" s="894">
        <f t="shared" ref="AC1221:AD1221" si="514">ROUND(SUM(AC1051:AC1058)+SUM(AC1062:AC1069)+AC1073+SUM(AC1077:AC1079)+SUM(AC1092:AC1096)+SUM(AC1107:AC1108)+AC1127+SUM(AC1131:AC1134)+AC1145+AC1153+SUM(AC1159:AC1161)+SUM(AC1167:AC1168)+SUM(AC1201:AC1202)+SUM(AC1208:AC1210)+SUM(AC1219:AC1220),5)</f>
        <v>31948.19</v>
      </c>
      <c r="AD1221" s="894">
        <f t="shared" si="514"/>
        <v>18484.330000000002</v>
      </c>
      <c r="AE1221" s="894">
        <f>ROUND(SUM(AE1051:AE1058)+SUM(AE1062:AE1069)+AE1073+SUM(AE1077:AE1079)+SUM(AE1092:AE1096)+SUM(AE1107:AE1108)+AE1127+SUM(AE1131:AE1134)+AE1145+AE1153+SUM(AE1159:AE1161)+SUM(AE1167:AE1168)+SUM(AE1201:AE1202)+SUM(AE1208:AE1210)+SUM(AE1219:AE1220),5)</f>
        <v>20256.18</v>
      </c>
      <c r="AF1221" s="894">
        <f>ROUND(SUM(AF1050:AF1058)+SUM(AF1062:AF1069)+AF1073+SUM(AF1077:AF1079)+SUM(AF1092:AF1096)+SUM(AF1107:AF1108)+AF1127+SUM(AF1131:AF1134)+AF1145+AF1153+SUM(AF1159:AF1161)+SUM(AF1167:AF1168)+SUM(AF1201:AF1202)+SUM(AF1208:AF1210)+SUM(AF1219:AF1220),5)</f>
        <v>19530.46</v>
      </c>
      <c r="AG1221" s="894">
        <f>ROUND(SUM(AG1050:AG1058)+SUM(AG1062:AG1069)+AG1073+SUM(AG1077:AG1079)+SUM(AG1092:AG1096)+SUM(AG1107:AG1108)+AG1127+SUM(AG1131:AG1134)+AG1145+AG1153+SUM(AG1159:AG1161)+SUM(AG1167:AG1168)+SUM(AG1201:AG1202)+SUM(AG1208:AG1210)+SUM(AG1219:AG1220),5)</f>
        <v>1605.9</v>
      </c>
      <c r="AH1221" s="893">
        <f t="shared" ref="AH1221:CA1221" si="515">SUM(AH1053:AH1220)-SUM(AH1219,AH1208,AH1201,AH1199,AH1189,AH1179,AH1167,AH1159,AH1153,AH1145,AH1131,AH1127,AH1107,AH1092,AH1077,AH1073,AH1084,AH1062)</f>
        <v>0</v>
      </c>
      <c r="AI1221" s="893">
        <f t="shared" si="515"/>
        <v>0</v>
      </c>
      <c r="AJ1221" s="893">
        <f t="shared" si="515"/>
        <v>0</v>
      </c>
      <c r="AK1221" s="893">
        <f t="shared" si="515"/>
        <v>0</v>
      </c>
      <c r="AL1221" s="893">
        <f t="shared" si="515"/>
        <v>0</v>
      </c>
      <c r="AM1221" s="893">
        <f t="shared" si="515"/>
        <v>0</v>
      </c>
      <c r="AN1221" s="893">
        <f t="shared" si="515"/>
        <v>0</v>
      </c>
      <c r="AO1221" s="893">
        <f t="shared" si="515"/>
        <v>0</v>
      </c>
      <c r="AP1221" s="893">
        <f t="shared" si="515"/>
        <v>0</v>
      </c>
      <c r="AQ1221" s="893">
        <f t="shared" si="515"/>
        <v>0</v>
      </c>
      <c r="AR1221" s="893">
        <f t="shared" si="515"/>
        <v>0</v>
      </c>
      <c r="AS1221" s="893">
        <f t="shared" si="515"/>
        <v>0</v>
      </c>
      <c r="AT1221" s="893">
        <f t="shared" si="515"/>
        <v>0</v>
      </c>
      <c r="AU1221" s="893">
        <f t="shared" si="515"/>
        <v>0</v>
      </c>
      <c r="AV1221" s="893">
        <f t="shared" si="515"/>
        <v>0</v>
      </c>
      <c r="AW1221" s="893">
        <f t="shared" si="515"/>
        <v>0</v>
      </c>
      <c r="AX1221" s="893">
        <f t="shared" si="515"/>
        <v>0</v>
      </c>
      <c r="AY1221" s="893">
        <f t="shared" si="515"/>
        <v>0</v>
      </c>
      <c r="AZ1221" s="893">
        <f t="shared" si="515"/>
        <v>0</v>
      </c>
      <c r="BA1221" s="893">
        <f t="shared" si="515"/>
        <v>0</v>
      </c>
      <c r="BB1221" s="893">
        <f t="shared" si="515"/>
        <v>0</v>
      </c>
      <c r="BC1221" s="893">
        <f t="shared" si="515"/>
        <v>0</v>
      </c>
      <c r="BD1221" s="893">
        <f t="shared" si="515"/>
        <v>0</v>
      </c>
      <c r="BE1221" s="893">
        <f t="shared" si="515"/>
        <v>0</v>
      </c>
      <c r="BF1221" s="893">
        <f t="shared" si="515"/>
        <v>0</v>
      </c>
      <c r="BG1221" s="893">
        <f t="shared" si="515"/>
        <v>0</v>
      </c>
      <c r="BH1221" s="893">
        <f t="shared" si="515"/>
        <v>0</v>
      </c>
      <c r="BI1221" s="893">
        <f t="shared" si="515"/>
        <v>0</v>
      </c>
      <c r="BJ1221" s="893">
        <f t="shared" si="515"/>
        <v>0</v>
      </c>
      <c r="BK1221" s="893">
        <f t="shared" si="515"/>
        <v>0</v>
      </c>
      <c r="BL1221" s="893">
        <f t="shared" si="515"/>
        <v>0</v>
      </c>
      <c r="BM1221" s="893">
        <f t="shared" si="515"/>
        <v>0</v>
      </c>
      <c r="BN1221" s="893">
        <f t="shared" si="515"/>
        <v>0</v>
      </c>
      <c r="BO1221" s="893">
        <f t="shared" si="515"/>
        <v>0</v>
      </c>
      <c r="BP1221" s="893">
        <f t="shared" si="515"/>
        <v>0</v>
      </c>
      <c r="BQ1221" s="893">
        <f t="shared" si="515"/>
        <v>0</v>
      </c>
      <c r="BR1221" s="893">
        <f t="shared" si="515"/>
        <v>0</v>
      </c>
      <c r="BS1221" s="893">
        <f t="shared" si="515"/>
        <v>0</v>
      </c>
      <c r="BT1221" s="893">
        <f t="shared" si="515"/>
        <v>0</v>
      </c>
      <c r="BU1221" s="893">
        <f t="shared" si="515"/>
        <v>0</v>
      </c>
      <c r="BV1221" s="893">
        <f t="shared" si="515"/>
        <v>0</v>
      </c>
      <c r="BW1221" s="893">
        <f t="shared" si="515"/>
        <v>0</v>
      </c>
      <c r="BX1221" s="893">
        <f t="shared" si="515"/>
        <v>0</v>
      </c>
      <c r="BY1221" s="893">
        <f t="shared" si="515"/>
        <v>0</v>
      </c>
      <c r="BZ1221" s="893">
        <f t="shared" si="515"/>
        <v>0</v>
      </c>
      <c r="CA1221" s="893">
        <f t="shared" si="515"/>
        <v>0</v>
      </c>
    </row>
    <row r="1222" spans="1:79" s="451" customFormat="1" ht="15.75" thickTop="1" x14ac:dyDescent="0.25">
      <c r="A1222" s="5"/>
      <c r="B1222" s="29"/>
      <c r="C1222" s="29"/>
      <c r="D1222" s="29"/>
      <c r="E1222" s="5"/>
      <c r="F1222" s="5"/>
      <c r="G1222" s="723"/>
      <c r="H1222" s="723"/>
      <c r="I1222" s="723"/>
      <c r="J1222" s="723"/>
      <c r="K1222" s="723"/>
      <c r="L1222" s="723"/>
      <c r="M1222" s="723"/>
      <c r="N1222" s="723"/>
      <c r="O1222" s="723"/>
      <c r="P1222" s="723"/>
      <c r="Q1222" s="723"/>
      <c r="R1222" s="723"/>
      <c r="S1222" s="723"/>
      <c r="T1222" s="723"/>
      <c r="U1222" s="723"/>
      <c r="V1222" s="723"/>
      <c r="W1222" s="723"/>
      <c r="X1222" s="723"/>
      <c r="Y1222" s="723"/>
      <c r="Z1222" s="723"/>
      <c r="AA1222" s="723"/>
      <c r="AB1222" s="716"/>
      <c r="AC1222" s="716"/>
      <c r="AD1222" s="716"/>
      <c r="AE1222" s="716"/>
      <c r="AF1222" s="716"/>
      <c r="AG1222" s="716"/>
      <c r="AH1222" s="716"/>
      <c r="AI1222" s="716"/>
      <c r="AJ1222" s="716"/>
      <c r="AK1222" s="716"/>
      <c r="AL1222" s="716"/>
      <c r="AM1222" s="716"/>
      <c r="AN1222" s="716"/>
      <c r="AO1222" s="716"/>
      <c r="AP1222" s="716"/>
      <c r="AQ1222" s="716"/>
      <c r="AR1222" s="716"/>
      <c r="AS1222" s="716"/>
      <c r="AT1222" s="716"/>
      <c r="AU1222" s="716"/>
      <c r="AV1222" s="716"/>
      <c r="AW1222" s="716"/>
      <c r="AX1222" s="716"/>
      <c r="AY1222" s="716"/>
      <c r="AZ1222" s="716"/>
      <c r="BA1222" s="716"/>
      <c r="BB1222" s="716"/>
      <c r="BC1222" s="716"/>
      <c r="BD1222" s="716"/>
      <c r="BE1222" s="716"/>
      <c r="BF1222" s="716"/>
      <c r="BG1222" s="716"/>
      <c r="BH1222" s="716"/>
      <c r="BI1222" s="716"/>
      <c r="BJ1222" s="716"/>
      <c r="BK1222" s="716"/>
      <c r="BL1222" s="716"/>
      <c r="BM1222" s="716"/>
      <c r="BN1222" s="716"/>
      <c r="BO1222" s="716"/>
      <c r="BP1222" s="716"/>
      <c r="BQ1222" s="716"/>
      <c r="BR1222" s="716"/>
      <c r="BS1222" s="716"/>
      <c r="BT1222" s="716"/>
      <c r="BU1222" s="716"/>
      <c r="BV1222" s="716"/>
      <c r="BW1222" s="716"/>
      <c r="BX1222" s="716"/>
      <c r="BY1222" s="716"/>
      <c r="BZ1222" s="716"/>
      <c r="CA1222" s="716"/>
    </row>
    <row r="1223" spans="1:79" s="451" customFormat="1" x14ac:dyDescent="0.25">
      <c r="A1223" s="5"/>
      <c r="B1223" s="29"/>
      <c r="C1223" s="29"/>
      <c r="D1223" s="29"/>
      <c r="E1223" s="5"/>
      <c r="F1223" s="5"/>
      <c r="G1223" s="718"/>
      <c r="H1223" s="718"/>
      <c r="I1223" s="718"/>
      <c r="J1223" s="718"/>
      <c r="K1223" s="718"/>
      <c r="L1223" s="718"/>
      <c r="M1223" s="718"/>
      <c r="N1223" s="718"/>
      <c r="O1223" s="718"/>
      <c r="P1223" s="718"/>
      <c r="Q1223" s="718"/>
      <c r="R1223" s="718"/>
      <c r="S1223" s="718"/>
      <c r="T1223" s="718"/>
      <c r="U1223" s="718"/>
      <c r="V1223" s="718"/>
      <c r="W1223" s="718"/>
      <c r="X1223" s="718"/>
      <c r="Y1223" s="718"/>
      <c r="Z1223" s="718"/>
      <c r="AA1223" s="718"/>
      <c r="AB1223" s="716"/>
      <c r="AC1223" s="716"/>
      <c r="AD1223" s="716"/>
      <c r="AE1223" s="716"/>
      <c r="AF1223" s="716"/>
      <c r="AG1223" s="716"/>
      <c r="AH1223" s="716"/>
      <c r="AI1223" s="716"/>
      <c r="AJ1223" s="716"/>
      <c r="AK1223" s="716"/>
      <c r="AL1223" s="716"/>
      <c r="AM1223" s="716"/>
      <c r="AN1223" s="716"/>
      <c r="AO1223" s="716"/>
      <c r="AP1223" s="716"/>
      <c r="AQ1223" s="716"/>
      <c r="AR1223" s="716"/>
      <c r="AS1223" s="716"/>
      <c r="AT1223" s="716"/>
      <c r="AU1223" s="716"/>
      <c r="AV1223" s="716"/>
      <c r="AW1223" s="716"/>
      <c r="AX1223" s="716"/>
      <c r="AY1223" s="716"/>
      <c r="AZ1223" s="716"/>
      <c r="BA1223" s="716"/>
      <c r="BB1223" s="716"/>
      <c r="BC1223" s="716"/>
      <c r="BD1223" s="716"/>
      <c r="BE1223" s="716"/>
      <c r="BF1223" s="716"/>
      <c r="BG1223" s="716"/>
      <c r="BH1223" s="716"/>
      <c r="BI1223" s="716"/>
      <c r="BJ1223" s="716"/>
      <c r="BK1223" s="716"/>
      <c r="BL1223" s="716"/>
      <c r="BM1223" s="716"/>
      <c r="BN1223" s="716"/>
      <c r="BO1223" s="716"/>
      <c r="BP1223" s="716"/>
      <c r="BQ1223" s="716"/>
      <c r="BR1223" s="716"/>
      <c r="BS1223" s="716"/>
      <c r="BT1223" s="716"/>
      <c r="BU1223" s="716"/>
      <c r="BV1223" s="716"/>
      <c r="BW1223" s="716"/>
      <c r="BX1223" s="716"/>
      <c r="BY1223" s="716"/>
      <c r="BZ1223" s="716"/>
      <c r="CA1223" s="716"/>
    </row>
    <row r="1224" spans="1:79" s="803" customFormat="1" x14ac:dyDescent="0.25">
      <c r="A1224" s="863"/>
      <c r="B1224" s="859"/>
      <c r="C1224" s="859"/>
      <c r="D1224" s="859"/>
      <c r="E1224" s="863"/>
      <c r="F1224" s="863" t="s">
        <v>18</v>
      </c>
      <c r="G1224" s="864"/>
      <c r="H1224" s="864"/>
      <c r="I1224" s="864"/>
      <c r="J1224" s="864"/>
      <c r="K1224" s="864"/>
      <c r="L1224" s="864"/>
      <c r="M1224" s="864"/>
      <c r="N1224" s="864"/>
      <c r="O1224" s="864"/>
      <c r="P1224" s="864"/>
      <c r="Q1224" s="864"/>
      <c r="R1224" s="864"/>
      <c r="S1224" s="864"/>
      <c r="T1224" s="864"/>
      <c r="U1224" s="864"/>
      <c r="V1224" s="864"/>
      <c r="W1224" s="864"/>
      <c r="X1224" s="864"/>
      <c r="Y1224" s="864"/>
      <c r="Z1224" s="864"/>
      <c r="AA1224" s="864"/>
      <c r="AB1224" s="864"/>
      <c r="AC1224" s="864"/>
      <c r="AD1224" s="864"/>
      <c r="AE1224" s="864"/>
      <c r="AF1224" s="864"/>
      <c r="AG1224" s="863"/>
      <c r="AH1224" s="864"/>
      <c r="AI1224" s="864"/>
      <c r="AJ1224" s="864"/>
      <c r="AK1224" s="864"/>
      <c r="AL1224" s="864"/>
      <c r="AM1224" s="864"/>
      <c r="AN1224" s="864"/>
      <c r="AO1224" s="864"/>
      <c r="AP1224" s="864"/>
      <c r="AQ1224" s="864"/>
      <c r="AR1224" s="864"/>
      <c r="AS1224" s="864"/>
      <c r="AT1224" s="864"/>
      <c r="AU1224" s="864"/>
      <c r="AV1224" s="864"/>
      <c r="AW1224" s="864"/>
      <c r="AX1224" s="864"/>
      <c r="AY1224" s="864"/>
      <c r="AZ1224" s="864"/>
      <c r="BA1224" s="864"/>
      <c r="BB1224" s="864"/>
      <c r="BC1224" s="864"/>
      <c r="BD1224" s="864"/>
      <c r="BE1224" s="864"/>
      <c r="BF1224" s="864"/>
      <c r="BG1224" s="864"/>
      <c r="BH1224" s="864"/>
      <c r="BI1224" s="864"/>
      <c r="BJ1224" s="864"/>
      <c r="BK1224" s="864"/>
      <c r="BL1224" s="864"/>
      <c r="BM1224" s="864"/>
      <c r="BN1224" s="864"/>
      <c r="BO1224" s="864"/>
      <c r="BP1224" s="864"/>
      <c r="BQ1224" s="864"/>
      <c r="BR1224" s="864"/>
      <c r="BS1224" s="864"/>
      <c r="BT1224" s="864"/>
      <c r="BU1224" s="864"/>
      <c r="BV1224" s="864"/>
      <c r="BW1224" s="864"/>
      <c r="BX1224" s="864"/>
      <c r="BY1224" s="864"/>
      <c r="BZ1224" s="864"/>
      <c r="CA1224" s="864"/>
    </row>
    <row r="1225" spans="1:79" s="451" customFormat="1" hidden="1" outlineLevel="1" x14ac:dyDescent="0.25">
      <c r="A1225" s="654"/>
      <c r="B1225" s="571"/>
      <c r="C1225" s="571"/>
      <c r="D1225" s="571"/>
      <c r="E1225" s="570" t="s">
        <v>1323</v>
      </c>
      <c r="F1225" s="654" t="s">
        <v>1320</v>
      </c>
      <c r="G1225" s="720"/>
      <c r="H1225" s="720"/>
      <c r="I1225" s="720"/>
      <c r="J1225" s="720"/>
      <c r="K1225" s="720"/>
      <c r="L1225" s="720"/>
      <c r="M1225" s="720"/>
      <c r="N1225" s="720"/>
      <c r="O1225" s="720"/>
      <c r="P1225" s="720"/>
      <c r="Q1225" s="720"/>
      <c r="R1225" s="720"/>
      <c r="S1225" s="663"/>
      <c r="T1225" s="663"/>
      <c r="U1225" s="663"/>
      <c r="V1225" s="663"/>
      <c r="W1225" s="663"/>
      <c r="X1225" s="663"/>
      <c r="Y1225" s="663"/>
      <c r="Z1225" s="663"/>
      <c r="AA1225" s="663"/>
      <c r="AB1225" s="663"/>
      <c r="AC1225" s="663"/>
      <c r="AD1225" s="663"/>
      <c r="AE1225" s="663">
        <v>0</v>
      </c>
      <c r="AF1225" s="663">
        <v>0</v>
      </c>
      <c r="AG1225" s="663">
        <v>0</v>
      </c>
      <c r="AH1225" s="720"/>
      <c r="AI1225" s="720"/>
      <c r="AJ1225" s="720"/>
      <c r="AK1225" s="720"/>
      <c r="AL1225" s="720"/>
      <c r="AM1225" s="720"/>
      <c r="AN1225" s="720"/>
      <c r="AO1225" s="720"/>
      <c r="AP1225" s="720"/>
      <c r="AQ1225" s="720"/>
      <c r="AR1225" s="720"/>
      <c r="AS1225" s="720"/>
      <c r="AT1225" s="720"/>
      <c r="AU1225" s="720"/>
      <c r="AV1225" s="720"/>
      <c r="AW1225" s="720"/>
      <c r="AX1225" s="720"/>
      <c r="AY1225" s="720"/>
      <c r="AZ1225" s="720"/>
      <c r="BA1225" s="720"/>
      <c r="BB1225" s="720"/>
      <c r="BC1225" s="720"/>
      <c r="BD1225" s="720"/>
      <c r="BE1225" s="720"/>
      <c r="BF1225" s="720"/>
      <c r="BG1225" s="720"/>
      <c r="BH1225" s="720"/>
      <c r="BI1225" s="720"/>
      <c r="BJ1225" s="720"/>
      <c r="BK1225" s="720"/>
      <c r="BL1225" s="720"/>
      <c r="BM1225" s="720"/>
      <c r="BN1225" s="720"/>
      <c r="BO1225" s="720"/>
      <c r="BP1225" s="720"/>
      <c r="BQ1225" s="720"/>
      <c r="BR1225" s="720"/>
      <c r="BS1225" s="720"/>
      <c r="BT1225" s="720"/>
      <c r="BU1225" s="720"/>
      <c r="BV1225" s="720"/>
      <c r="BW1225" s="720"/>
      <c r="BX1225" s="720"/>
      <c r="BY1225" s="720"/>
      <c r="BZ1225" s="720"/>
      <c r="CA1225" s="720"/>
    </row>
    <row r="1226" spans="1:79" hidden="1" outlineLevel="1" x14ac:dyDescent="0.25">
      <c r="A1226" s="654"/>
      <c r="B1226" s="223"/>
      <c r="C1226" s="223"/>
      <c r="D1226" s="223"/>
      <c r="E1226" s="570" t="s">
        <v>1324</v>
      </c>
      <c r="F1226" s="654" t="s">
        <v>1321</v>
      </c>
      <c r="G1226" s="663"/>
      <c r="H1226" s="663"/>
      <c r="I1226" s="663"/>
      <c r="J1226" s="663"/>
      <c r="K1226" s="663"/>
      <c r="L1226" s="663"/>
      <c r="M1226" s="663"/>
      <c r="N1226" s="663"/>
      <c r="O1226" s="663"/>
      <c r="P1226" s="663"/>
      <c r="Q1226" s="663"/>
      <c r="R1226" s="663"/>
      <c r="S1226" s="663"/>
      <c r="T1226" s="663"/>
      <c r="U1226" s="663"/>
      <c r="V1226" s="663"/>
      <c r="W1226" s="663"/>
      <c r="X1226" s="663"/>
      <c r="Y1226" s="663"/>
      <c r="Z1226" s="663"/>
      <c r="AA1226" s="663"/>
      <c r="AB1226" s="663"/>
      <c r="AC1226" s="663"/>
      <c r="AD1226" s="663"/>
      <c r="AE1226" s="663">
        <v>0</v>
      </c>
      <c r="AF1226" s="663">
        <v>0</v>
      </c>
      <c r="AG1226" s="663">
        <v>0</v>
      </c>
      <c r="AH1226" s="663"/>
      <c r="AI1226" s="663"/>
      <c r="AJ1226" s="663"/>
      <c r="AK1226" s="663"/>
      <c r="AL1226" s="663"/>
      <c r="AM1226" s="663"/>
      <c r="AN1226" s="663"/>
      <c r="AO1226" s="663"/>
      <c r="AP1226" s="663"/>
      <c r="AQ1226" s="663"/>
      <c r="AR1226" s="663"/>
      <c r="AS1226" s="663"/>
      <c r="AT1226" s="663"/>
      <c r="AU1226" s="663"/>
      <c r="AV1226" s="663"/>
      <c r="AW1226" s="663"/>
      <c r="AX1226" s="663"/>
      <c r="AY1226" s="663"/>
      <c r="AZ1226" s="663"/>
      <c r="BA1226" s="663"/>
      <c r="BB1226" s="663"/>
      <c r="BC1226" s="663"/>
      <c r="BD1226" s="663"/>
      <c r="BE1226" s="663"/>
      <c r="BF1226" s="663"/>
      <c r="BG1226" s="663"/>
      <c r="BH1226" s="663"/>
      <c r="BI1226" s="663"/>
      <c r="BJ1226" s="663"/>
      <c r="BK1226" s="663"/>
      <c r="BL1226" s="663"/>
      <c r="BM1226" s="663"/>
      <c r="BN1226" s="663"/>
      <c r="BO1226" s="663"/>
      <c r="BP1226" s="663"/>
      <c r="BQ1226" s="663"/>
      <c r="BR1226" s="663"/>
      <c r="BS1226" s="663"/>
      <c r="BT1226" s="663"/>
      <c r="BU1226" s="663"/>
      <c r="BV1226" s="663"/>
      <c r="BW1226" s="663"/>
      <c r="BX1226" s="663"/>
      <c r="BY1226" s="663"/>
      <c r="BZ1226" s="663"/>
      <c r="CA1226" s="663"/>
    </row>
    <row r="1227" spans="1:79" s="451" customFormat="1" hidden="1" outlineLevel="1" x14ac:dyDescent="0.25">
      <c r="A1227" s="654"/>
      <c r="B1227" s="29"/>
      <c r="C1227" s="29"/>
      <c r="D1227" s="29"/>
      <c r="E1227" s="570" t="s">
        <v>1325</v>
      </c>
      <c r="F1227" s="654" t="s">
        <v>696</v>
      </c>
      <c r="G1227" s="720"/>
      <c r="H1227" s="720"/>
      <c r="I1227" s="720"/>
      <c r="J1227" s="720"/>
      <c r="K1227" s="720"/>
      <c r="L1227" s="720">
        <v>300</v>
      </c>
      <c r="M1227" s="720"/>
      <c r="N1227" s="720"/>
      <c r="O1227" s="720"/>
      <c r="P1227" s="720"/>
      <c r="Q1227" s="720"/>
      <c r="R1227" s="720"/>
      <c r="S1227" s="663">
        <v>0</v>
      </c>
      <c r="T1227" s="663">
        <v>0</v>
      </c>
      <c r="U1227" s="663">
        <v>0</v>
      </c>
      <c r="V1227" s="663">
        <v>0</v>
      </c>
      <c r="W1227" s="663">
        <v>0</v>
      </c>
      <c r="X1227" s="663">
        <v>0</v>
      </c>
      <c r="Y1227" s="663">
        <v>0</v>
      </c>
      <c r="Z1227" s="663">
        <v>0</v>
      </c>
      <c r="AA1227" s="663">
        <v>0</v>
      </c>
      <c r="AB1227" s="663">
        <v>0</v>
      </c>
      <c r="AC1227" s="663">
        <v>0</v>
      </c>
      <c r="AD1227" s="663">
        <v>0</v>
      </c>
      <c r="AE1227" s="663">
        <v>0</v>
      </c>
      <c r="AF1227" s="663">
        <v>0</v>
      </c>
      <c r="AG1227" s="663">
        <v>0</v>
      </c>
      <c r="AH1227" s="720"/>
      <c r="AI1227" s="720"/>
      <c r="AJ1227" s="720"/>
      <c r="AK1227" s="720"/>
      <c r="AL1227" s="720"/>
      <c r="AM1227" s="720"/>
      <c r="AN1227" s="720"/>
      <c r="AO1227" s="720"/>
      <c r="AP1227" s="720"/>
      <c r="AQ1227" s="720"/>
      <c r="AR1227" s="720"/>
      <c r="AS1227" s="720"/>
      <c r="AT1227" s="720"/>
      <c r="AU1227" s="720"/>
      <c r="AV1227" s="720"/>
      <c r="AW1227" s="720"/>
      <c r="AX1227" s="720"/>
      <c r="AY1227" s="720"/>
      <c r="AZ1227" s="720"/>
      <c r="BA1227" s="720"/>
      <c r="BB1227" s="720"/>
      <c r="BC1227" s="720"/>
      <c r="BD1227" s="720"/>
      <c r="BE1227" s="720"/>
      <c r="BF1227" s="720"/>
      <c r="BG1227" s="720"/>
      <c r="BH1227" s="720"/>
      <c r="BI1227" s="720"/>
      <c r="BJ1227" s="720"/>
      <c r="BK1227" s="720"/>
      <c r="BL1227" s="720"/>
      <c r="BM1227" s="720"/>
      <c r="BN1227" s="720"/>
      <c r="BO1227" s="720"/>
      <c r="BP1227" s="720"/>
      <c r="BQ1227" s="720"/>
      <c r="BR1227" s="720"/>
      <c r="BS1227" s="720"/>
      <c r="BT1227" s="720"/>
      <c r="BU1227" s="720"/>
      <c r="BV1227" s="720"/>
      <c r="BW1227" s="720"/>
      <c r="BX1227" s="720"/>
      <c r="BY1227" s="720"/>
      <c r="BZ1227" s="720"/>
      <c r="CA1227" s="720"/>
    </row>
    <row r="1228" spans="1:79" hidden="1" outlineLevel="1" x14ac:dyDescent="0.25">
      <c r="A1228" s="655"/>
      <c r="B1228" s="223"/>
      <c r="C1228" s="223"/>
      <c r="D1228" s="223"/>
      <c r="E1228" s="570" t="s">
        <v>1326</v>
      </c>
      <c r="F1228" s="655" t="s">
        <v>850</v>
      </c>
      <c r="G1228" s="663"/>
      <c r="H1228" s="663"/>
      <c r="I1228" s="663"/>
      <c r="J1228" s="663"/>
      <c r="K1228" s="663"/>
      <c r="L1228" s="663"/>
      <c r="M1228" s="663"/>
      <c r="N1228" s="663"/>
      <c r="O1228" s="663"/>
      <c r="P1228" s="663"/>
      <c r="Q1228" s="663"/>
      <c r="R1228" s="663"/>
      <c r="S1228" s="663">
        <v>0</v>
      </c>
      <c r="T1228" s="663">
        <v>0</v>
      </c>
      <c r="U1228" s="663">
        <v>0</v>
      </c>
      <c r="V1228" s="663">
        <v>0</v>
      </c>
      <c r="W1228" s="663">
        <v>0</v>
      </c>
      <c r="X1228" s="663">
        <v>0</v>
      </c>
      <c r="Y1228" s="663">
        <v>0</v>
      </c>
      <c r="Z1228" s="663">
        <v>0</v>
      </c>
      <c r="AA1228" s="663">
        <v>0</v>
      </c>
      <c r="AB1228" s="663">
        <v>0</v>
      </c>
      <c r="AC1228" s="663">
        <v>0</v>
      </c>
      <c r="AD1228" s="663">
        <v>0</v>
      </c>
      <c r="AE1228" s="663">
        <v>0</v>
      </c>
      <c r="AF1228" s="663">
        <v>0</v>
      </c>
      <c r="AG1228" s="663">
        <v>0</v>
      </c>
      <c r="AH1228" s="663"/>
      <c r="AI1228" s="663"/>
      <c r="AJ1228" s="663"/>
      <c r="AK1228" s="663"/>
      <c r="AL1228" s="663"/>
      <c r="AM1228" s="663"/>
      <c r="AN1228" s="663"/>
      <c r="AO1228" s="663"/>
      <c r="AP1228" s="663"/>
      <c r="AQ1228" s="663"/>
      <c r="AR1228" s="663"/>
      <c r="AS1228" s="663"/>
      <c r="AT1228" s="663"/>
      <c r="AU1228" s="663"/>
      <c r="AV1228" s="663"/>
      <c r="AW1228" s="663"/>
      <c r="AX1228" s="663"/>
      <c r="AY1228" s="663"/>
      <c r="AZ1228" s="663"/>
      <c r="BA1228" s="663"/>
      <c r="BB1228" s="663"/>
      <c r="BC1228" s="663"/>
      <c r="BD1228" s="663"/>
      <c r="BE1228" s="663"/>
      <c r="BF1228" s="663"/>
      <c r="BG1228" s="663"/>
      <c r="BH1228" s="663"/>
      <c r="BI1228" s="663"/>
      <c r="BJ1228" s="663"/>
      <c r="BK1228" s="663"/>
      <c r="BL1228" s="663"/>
      <c r="BM1228" s="663"/>
      <c r="BN1228" s="663"/>
      <c r="BO1228" s="663"/>
      <c r="BP1228" s="663"/>
      <c r="BQ1228" s="663"/>
      <c r="BR1228" s="663"/>
      <c r="BS1228" s="663"/>
      <c r="BT1228" s="663"/>
      <c r="BU1228" s="663"/>
      <c r="BV1228" s="663"/>
      <c r="BW1228" s="663"/>
      <c r="BX1228" s="663"/>
      <c r="BY1228" s="663"/>
      <c r="BZ1228" s="663"/>
      <c r="CA1228" s="663"/>
    </row>
    <row r="1229" spans="1:79" hidden="1" outlineLevel="1" x14ac:dyDescent="0.25">
      <c r="A1229" s="655"/>
      <c r="B1229" s="223"/>
      <c r="C1229" s="223"/>
      <c r="D1229" s="223"/>
      <c r="E1229" s="570" t="s">
        <v>851</v>
      </c>
      <c r="F1229" s="655" t="s">
        <v>851</v>
      </c>
      <c r="G1229" s="663"/>
      <c r="H1229" s="663"/>
      <c r="I1229" s="663"/>
      <c r="J1229" s="663"/>
      <c r="K1229" s="663"/>
      <c r="L1229" s="663"/>
      <c r="M1229" s="663"/>
      <c r="N1229" s="663"/>
      <c r="O1229" s="663"/>
      <c r="P1229" s="663"/>
      <c r="Q1229" s="663"/>
      <c r="R1229" s="663"/>
      <c r="S1229" s="663">
        <v>0</v>
      </c>
      <c r="T1229" s="663">
        <v>0</v>
      </c>
      <c r="U1229" s="663">
        <v>0</v>
      </c>
      <c r="V1229" s="663">
        <v>0</v>
      </c>
      <c r="W1229" s="663">
        <v>0</v>
      </c>
      <c r="X1229" s="663">
        <v>0</v>
      </c>
      <c r="Y1229" s="663">
        <v>0</v>
      </c>
      <c r="Z1229" s="663">
        <v>0</v>
      </c>
      <c r="AA1229" s="663">
        <v>0</v>
      </c>
      <c r="AB1229" s="663">
        <v>0</v>
      </c>
      <c r="AC1229" s="663">
        <v>0</v>
      </c>
      <c r="AD1229" s="663">
        <v>0</v>
      </c>
      <c r="AE1229" s="663">
        <v>0</v>
      </c>
      <c r="AF1229" s="663">
        <v>0</v>
      </c>
      <c r="AG1229" s="663">
        <v>0</v>
      </c>
      <c r="AH1229" s="663"/>
      <c r="AI1229" s="663"/>
      <c r="AJ1229" s="663"/>
      <c r="AK1229" s="663"/>
      <c r="AL1229" s="663"/>
      <c r="AM1229" s="663"/>
      <c r="AN1229" s="663"/>
      <c r="AO1229" s="663"/>
      <c r="AP1229" s="663"/>
      <c r="AQ1229" s="663"/>
      <c r="AR1229" s="663"/>
      <c r="AS1229" s="663"/>
      <c r="AT1229" s="663"/>
      <c r="AU1229" s="663"/>
      <c r="AV1229" s="663"/>
      <c r="AW1229" s="663"/>
      <c r="AX1229" s="663"/>
      <c r="AY1229" s="663"/>
      <c r="AZ1229" s="663"/>
      <c r="BA1229" s="663"/>
      <c r="BB1229" s="663"/>
      <c r="BC1229" s="663"/>
      <c r="BD1229" s="663"/>
      <c r="BE1229" s="663"/>
      <c r="BF1229" s="663"/>
      <c r="BG1229" s="663"/>
      <c r="BH1229" s="663"/>
      <c r="BI1229" s="663"/>
      <c r="BJ1229" s="663"/>
      <c r="BK1229" s="663"/>
      <c r="BL1229" s="663"/>
      <c r="BM1229" s="663"/>
      <c r="BN1229" s="663"/>
      <c r="BO1229" s="663"/>
      <c r="BP1229" s="663"/>
      <c r="BQ1229" s="663"/>
      <c r="BR1229" s="663"/>
      <c r="BS1229" s="663"/>
      <c r="BT1229" s="663"/>
      <c r="BU1229" s="663"/>
      <c r="BV1229" s="663"/>
      <c r="BW1229" s="663"/>
      <c r="BX1229" s="663"/>
      <c r="BY1229" s="663"/>
      <c r="BZ1229" s="663"/>
      <c r="CA1229" s="663"/>
    </row>
    <row r="1230" spans="1:79" hidden="1" outlineLevel="1" x14ac:dyDescent="0.25">
      <c r="A1230" s="655"/>
      <c r="B1230" s="223"/>
      <c r="C1230" s="223"/>
      <c r="D1230" s="223"/>
      <c r="E1230" s="570" t="s">
        <v>852</v>
      </c>
      <c r="F1230" s="655" t="s">
        <v>852</v>
      </c>
      <c r="G1230" s="663"/>
      <c r="H1230" s="663"/>
      <c r="I1230" s="663"/>
      <c r="J1230" s="663"/>
      <c r="K1230" s="663"/>
      <c r="L1230" s="663"/>
      <c r="M1230" s="663"/>
      <c r="N1230" s="663"/>
      <c r="O1230" s="663"/>
      <c r="P1230" s="663"/>
      <c r="Q1230" s="663"/>
      <c r="R1230" s="663"/>
      <c r="S1230" s="663">
        <v>0</v>
      </c>
      <c r="T1230" s="663">
        <v>0</v>
      </c>
      <c r="U1230" s="663">
        <v>0</v>
      </c>
      <c r="V1230" s="663">
        <v>0</v>
      </c>
      <c r="W1230" s="663">
        <v>0</v>
      </c>
      <c r="X1230" s="663">
        <v>0</v>
      </c>
      <c r="Y1230" s="663">
        <v>0</v>
      </c>
      <c r="Z1230" s="663">
        <v>0</v>
      </c>
      <c r="AA1230" s="663">
        <v>0</v>
      </c>
      <c r="AB1230" s="663">
        <v>0</v>
      </c>
      <c r="AC1230" s="663">
        <v>0</v>
      </c>
      <c r="AD1230" s="663">
        <v>0</v>
      </c>
      <c r="AE1230" s="663">
        <v>0</v>
      </c>
      <c r="AF1230" s="663">
        <v>0</v>
      </c>
      <c r="AG1230" s="663">
        <v>0</v>
      </c>
      <c r="AH1230" s="663"/>
      <c r="AI1230" s="663"/>
      <c r="AJ1230" s="663"/>
      <c r="AK1230" s="663"/>
      <c r="AL1230" s="663"/>
      <c r="AM1230" s="663"/>
      <c r="AN1230" s="663"/>
      <c r="AO1230" s="663"/>
      <c r="AP1230" s="663"/>
      <c r="AQ1230" s="663"/>
      <c r="AR1230" s="663"/>
      <c r="AS1230" s="663"/>
      <c r="AT1230" s="663"/>
      <c r="AU1230" s="663"/>
      <c r="AV1230" s="663"/>
      <c r="AW1230" s="663"/>
      <c r="AX1230" s="663"/>
      <c r="AY1230" s="663"/>
      <c r="AZ1230" s="663"/>
      <c r="BA1230" s="663"/>
      <c r="BB1230" s="663"/>
      <c r="BC1230" s="663"/>
      <c r="BD1230" s="663"/>
      <c r="BE1230" s="663"/>
      <c r="BF1230" s="663"/>
      <c r="BG1230" s="663"/>
      <c r="BH1230" s="663"/>
      <c r="BI1230" s="663"/>
      <c r="BJ1230" s="663"/>
      <c r="BK1230" s="663"/>
      <c r="BL1230" s="663"/>
      <c r="BM1230" s="663"/>
      <c r="BN1230" s="663"/>
      <c r="BO1230" s="663"/>
      <c r="BP1230" s="663"/>
      <c r="BQ1230" s="663"/>
      <c r="BR1230" s="663"/>
      <c r="BS1230" s="663"/>
      <c r="BT1230" s="663"/>
      <c r="BU1230" s="663"/>
      <c r="BV1230" s="663"/>
      <c r="BW1230" s="663"/>
      <c r="BX1230" s="663"/>
      <c r="BY1230" s="663"/>
      <c r="BZ1230" s="663"/>
      <c r="CA1230" s="663"/>
    </row>
    <row r="1231" spans="1:79" s="451" customFormat="1" hidden="1" outlineLevel="1" x14ac:dyDescent="0.25">
      <c r="A1231" s="655"/>
      <c r="B1231" s="29"/>
      <c r="C1231" s="29"/>
      <c r="D1231" s="29"/>
      <c r="E1231" s="570" t="s">
        <v>697</v>
      </c>
      <c r="F1231" s="655" t="s">
        <v>697</v>
      </c>
      <c r="G1231" s="720"/>
      <c r="H1231" s="720"/>
      <c r="I1231" s="720"/>
      <c r="J1231" s="720"/>
      <c r="K1231" s="720"/>
      <c r="L1231" s="720"/>
      <c r="M1231" s="720"/>
      <c r="N1231" s="720">
        <v>125</v>
      </c>
      <c r="O1231" s="720"/>
      <c r="P1231" s="720"/>
      <c r="Q1231" s="720"/>
      <c r="R1231" s="720"/>
      <c r="S1231" s="663">
        <v>0</v>
      </c>
      <c r="T1231" s="663">
        <v>0</v>
      </c>
      <c r="U1231" s="663">
        <v>0</v>
      </c>
      <c r="V1231" s="663">
        <v>0</v>
      </c>
      <c r="W1231" s="663">
        <v>0</v>
      </c>
      <c r="X1231" s="663">
        <v>0</v>
      </c>
      <c r="Y1231" s="663">
        <v>0</v>
      </c>
      <c r="Z1231" s="663">
        <v>0</v>
      </c>
      <c r="AA1231" s="663">
        <v>0</v>
      </c>
      <c r="AB1231" s="663">
        <v>0</v>
      </c>
      <c r="AC1231" s="663">
        <v>0</v>
      </c>
      <c r="AD1231" s="663">
        <v>0</v>
      </c>
      <c r="AE1231" s="663">
        <v>0</v>
      </c>
      <c r="AF1231" s="663">
        <v>0</v>
      </c>
      <c r="AG1231" s="663">
        <v>0</v>
      </c>
      <c r="AH1231" s="720"/>
      <c r="AI1231" s="720"/>
      <c r="AJ1231" s="720"/>
      <c r="AK1231" s="720"/>
      <c r="AL1231" s="720"/>
      <c r="AM1231" s="720"/>
      <c r="AN1231" s="720"/>
      <c r="AO1231" s="720"/>
      <c r="AP1231" s="720"/>
      <c r="AQ1231" s="720"/>
      <c r="AR1231" s="720"/>
      <c r="AS1231" s="720"/>
      <c r="AT1231" s="720"/>
      <c r="AU1231" s="720"/>
      <c r="AV1231" s="720"/>
      <c r="AW1231" s="720"/>
      <c r="AX1231" s="720"/>
      <c r="AY1231" s="720"/>
      <c r="AZ1231" s="720"/>
      <c r="BA1231" s="720"/>
      <c r="BB1231" s="720"/>
      <c r="BC1231" s="720"/>
      <c r="BD1231" s="720"/>
      <c r="BE1231" s="720"/>
      <c r="BF1231" s="720"/>
      <c r="BG1231" s="720"/>
      <c r="BH1231" s="720"/>
      <c r="BI1231" s="720"/>
      <c r="BJ1231" s="720"/>
      <c r="BK1231" s="720"/>
      <c r="BL1231" s="720"/>
      <c r="BM1231" s="720"/>
      <c r="BN1231" s="720"/>
      <c r="BO1231" s="720"/>
      <c r="BP1231" s="720"/>
      <c r="BQ1231" s="720"/>
      <c r="BR1231" s="720"/>
      <c r="BS1231" s="720"/>
      <c r="BT1231" s="720"/>
      <c r="BU1231" s="720"/>
      <c r="BV1231" s="720"/>
      <c r="BW1231" s="720"/>
      <c r="BX1231" s="720"/>
      <c r="BY1231" s="720"/>
      <c r="BZ1231" s="720"/>
      <c r="CA1231" s="720"/>
    </row>
    <row r="1232" spans="1:79" hidden="1" outlineLevel="1" x14ac:dyDescent="0.25">
      <c r="A1232" s="655"/>
      <c r="B1232" s="223"/>
      <c r="C1232" s="223"/>
      <c r="D1232" s="223"/>
      <c r="E1232" s="570" t="s">
        <v>1325</v>
      </c>
      <c r="F1232" s="655" t="s">
        <v>853</v>
      </c>
      <c r="G1232" s="663"/>
      <c r="H1232" s="663"/>
      <c r="I1232" s="663"/>
      <c r="J1232" s="663"/>
      <c r="K1232" s="663"/>
      <c r="L1232" s="663"/>
      <c r="M1232" s="663"/>
      <c r="N1232" s="663"/>
      <c r="O1232" s="663"/>
      <c r="P1232" s="663"/>
      <c r="Q1232" s="663"/>
      <c r="R1232" s="663"/>
      <c r="S1232" s="663">
        <v>0</v>
      </c>
      <c r="T1232" s="663">
        <v>0</v>
      </c>
      <c r="U1232" s="663">
        <v>0</v>
      </c>
      <c r="V1232" s="663">
        <v>0</v>
      </c>
      <c r="W1232" s="663">
        <v>0</v>
      </c>
      <c r="X1232" s="663">
        <v>0</v>
      </c>
      <c r="Y1232" s="663">
        <v>0</v>
      </c>
      <c r="Z1232" s="663">
        <v>0</v>
      </c>
      <c r="AA1232" s="663">
        <v>0</v>
      </c>
      <c r="AB1232" s="663">
        <v>0</v>
      </c>
      <c r="AC1232" s="663">
        <v>0</v>
      </c>
      <c r="AD1232" s="663">
        <v>0</v>
      </c>
      <c r="AE1232" s="663">
        <v>0</v>
      </c>
      <c r="AF1232" s="663">
        <v>0</v>
      </c>
      <c r="AG1232" s="663">
        <v>0</v>
      </c>
      <c r="AH1232" s="663"/>
      <c r="AI1232" s="663"/>
      <c r="AJ1232" s="663"/>
      <c r="AK1232" s="663"/>
      <c r="AL1232" s="663"/>
      <c r="AM1232" s="663"/>
      <c r="AN1232" s="663"/>
      <c r="AO1232" s="663"/>
      <c r="AP1232" s="663"/>
      <c r="AQ1232" s="663"/>
      <c r="AR1232" s="663"/>
      <c r="AS1232" s="663"/>
      <c r="AT1232" s="663"/>
      <c r="AU1232" s="663"/>
      <c r="AV1232" s="663"/>
      <c r="AW1232" s="663"/>
      <c r="AX1232" s="663"/>
      <c r="AY1232" s="663"/>
      <c r="AZ1232" s="663"/>
      <c r="BA1232" s="663"/>
      <c r="BB1232" s="663"/>
      <c r="BC1232" s="663"/>
      <c r="BD1232" s="663"/>
      <c r="BE1232" s="663"/>
      <c r="BF1232" s="663"/>
      <c r="BG1232" s="663"/>
      <c r="BH1232" s="663"/>
      <c r="BI1232" s="663"/>
      <c r="BJ1232" s="663"/>
      <c r="BK1232" s="663"/>
      <c r="BL1232" s="663"/>
      <c r="BM1232" s="663"/>
      <c r="BN1232" s="663"/>
      <c r="BO1232" s="663"/>
      <c r="BP1232" s="663"/>
      <c r="BQ1232" s="663"/>
      <c r="BR1232" s="663"/>
      <c r="BS1232" s="663"/>
      <c r="BT1232" s="663"/>
      <c r="BU1232" s="663"/>
      <c r="BV1232" s="663"/>
      <c r="BW1232" s="663"/>
      <c r="BX1232" s="663"/>
      <c r="BY1232" s="663"/>
      <c r="BZ1232" s="663"/>
      <c r="CA1232" s="663"/>
    </row>
    <row r="1233" spans="1:79" hidden="1" outlineLevel="1" x14ac:dyDescent="0.25">
      <c r="A1233" s="691"/>
      <c r="B1233" s="693"/>
      <c r="C1233" s="693"/>
      <c r="D1233" s="693"/>
      <c r="E1233" s="570" t="s">
        <v>657</v>
      </c>
      <c r="F1233" s="691" t="s">
        <v>657</v>
      </c>
      <c r="G1233" s="692"/>
      <c r="H1233" s="692"/>
      <c r="I1233" s="692"/>
      <c r="J1233" s="692"/>
      <c r="K1233" s="692"/>
      <c r="L1233" s="692"/>
      <c r="M1233" s="692"/>
      <c r="N1233" s="692"/>
      <c r="O1233" s="692"/>
      <c r="P1233" s="692"/>
      <c r="Q1233" s="692"/>
      <c r="R1233" s="692"/>
      <c r="S1233" s="692"/>
      <c r="T1233" s="692"/>
      <c r="U1233" s="692"/>
      <c r="V1233" s="692"/>
      <c r="W1233" s="692"/>
      <c r="X1233" s="692"/>
      <c r="Y1233" s="692"/>
      <c r="Z1233" s="692"/>
      <c r="AA1233" s="692"/>
      <c r="AB1233" s="692"/>
      <c r="AC1233" s="692"/>
      <c r="AD1233" s="692"/>
      <c r="AE1233" s="692"/>
      <c r="AF1233" s="692"/>
      <c r="AG1233" s="692"/>
      <c r="AH1233" s="692"/>
      <c r="AI1233" s="692"/>
      <c r="AJ1233" s="692"/>
      <c r="AK1233" s="692"/>
      <c r="AL1233" s="692"/>
      <c r="AM1233" s="692"/>
      <c r="AN1233" s="692"/>
      <c r="AO1233" s="692"/>
      <c r="AP1233" s="692"/>
      <c r="AQ1233" s="692"/>
      <c r="AR1233" s="692"/>
      <c r="AS1233" s="692"/>
      <c r="AT1233" s="692"/>
      <c r="AU1233" s="692"/>
      <c r="AV1233" s="692"/>
      <c r="AW1233" s="692"/>
      <c r="AX1233" s="692"/>
      <c r="AY1233" s="692"/>
      <c r="AZ1233" s="692"/>
      <c r="BA1233" s="692"/>
      <c r="BB1233" s="692"/>
      <c r="BC1233" s="692"/>
      <c r="BD1233" s="692"/>
      <c r="BE1233" s="692"/>
      <c r="BF1233" s="692"/>
      <c r="BG1233" s="692"/>
      <c r="BH1233" s="692"/>
      <c r="BI1233" s="692"/>
      <c r="BJ1233" s="692"/>
      <c r="BK1233" s="692"/>
      <c r="BL1233" s="692"/>
      <c r="BM1233" s="692"/>
      <c r="BN1233" s="692"/>
      <c r="BO1233" s="692"/>
      <c r="BP1233" s="692"/>
      <c r="BQ1233" s="692"/>
      <c r="BR1233" s="692"/>
      <c r="BS1233" s="692"/>
      <c r="BT1233" s="692"/>
      <c r="BU1233" s="692"/>
      <c r="BV1233" s="692"/>
      <c r="BW1233" s="692"/>
      <c r="BX1233" s="692"/>
      <c r="BY1233" s="692"/>
      <c r="BZ1233" s="692"/>
      <c r="CA1233" s="692"/>
    </row>
    <row r="1234" spans="1:79" hidden="1" outlineLevel="1" x14ac:dyDescent="0.25">
      <c r="A1234" s="656"/>
      <c r="B1234" s="223"/>
      <c r="C1234" s="223"/>
      <c r="D1234" s="223"/>
      <c r="E1234" s="570" t="s">
        <v>657</v>
      </c>
      <c r="F1234" s="656" t="s">
        <v>658</v>
      </c>
      <c r="G1234" s="663"/>
      <c r="H1234" s="663"/>
      <c r="I1234" s="663"/>
      <c r="J1234" s="663"/>
      <c r="K1234" s="663"/>
      <c r="L1234" s="663"/>
      <c r="M1234" s="663"/>
      <c r="N1234" s="663"/>
      <c r="O1234" s="663"/>
      <c r="P1234" s="663"/>
      <c r="Q1234" s="663"/>
      <c r="R1234" s="663"/>
      <c r="S1234" s="663">
        <v>0</v>
      </c>
      <c r="T1234" s="663">
        <v>0</v>
      </c>
      <c r="U1234" s="663">
        <v>0</v>
      </c>
      <c r="V1234" s="663">
        <v>0</v>
      </c>
      <c r="W1234" s="663">
        <v>0</v>
      </c>
      <c r="X1234" s="663">
        <v>0</v>
      </c>
      <c r="Y1234" s="663">
        <v>0</v>
      </c>
      <c r="Z1234" s="663">
        <v>0</v>
      </c>
      <c r="AA1234" s="663">
        <v>0</v>
      </c>
      <c r="AB1234" s="663">
        <v>0</v>
      </c>
      <c r="AC1234" s="663">
        <v>0</v>
      </c>
      <c r="AD1234" s="663">
        <v>0</v>
      </c>
      <c r="AE1234" s="663">
        <v>0</v>
      </c>
      <c r="AF1234" s="663">
        <v>0</v>
      </c>
      <c r="AG1234" s="663">
        <v>0</v>
      </c>
      <c r="AH1234" s="663"/>
      <c r="AI1234" s="663"/>
      <c r="AJ1234" s="663"/>
      <c r="AK1234" s="663"/>
      <c r="AL1234" s="663"/>
      <c r="AM1234" s="663"/>
      <c r="AN1234" s="663"/>
      <c r="AO1234" s="663"/>
      <c r="AP1234" s="663"/>
      <c r="AQ1234" s="663"/>
      <c r="AR1234" s="663"/>
      <c r="AS1234" s="663"/>
      <c r="AT1234" s="663"/>
      <c r="AU1234" s="663"/>
      <c r="AV1234" s="663"/>
      <c r="AW1234" s="663"/>
      <c r="AX1234" s="663"/>
      <c r="AY1234" s="663"/>
      <c r="AZ1234" s="663"/>
      <c r="BA1234" s="663"/>
      <c r="BB1234" s="663"/>
      <c r="BC1234" s="663"/>
      <c r="BD1234" s="663"/>
      <c r="BE1234" s="663"/>
      <c r="BF1234" s="663"/>
      <c r="BG1234" s="663"/>
      <c r="BH1234" s="663"/>
      <c r="BI1234" s="663"/>
      <c r="BJ1234" s="663"/>
      <c r="BK1234" s="663"/>
      <c r="BL1234" s="663"/>
      <c r="BM1234" s="663"/>
      <c r="BN1234" s="663"/>
      <c r="BO1234" s="663"/>
      <c r="BP1234" s="663"/>
      <c r="BQ1234" s="663"/>
      <c r="BR1234" s="663"/>
      <c r="BS1234" s="663"/>
      <c r="BT1234" s="663"/>
      <c r="BU1234" s="663"/>
      <c r="BV1234" s="663"/>
      <c r="BW1234" s="663"/>
      <c r="BX1234" s="663"/>
      <c r="BY1234" s="663"/>
      <c r="BZ1234" s="663"/>
      <c r="CA1234" s="663"/>
    </row>
    <row r="1235" spans="1:79" hidden="1" outlineLevel="1" x14ac:dyDescent="0.25">
      <c r="A1235" s="656"/>
      <c r="B1235" s="223"/>
      <c r="C1235" s="223"/>
      <c r="D1235" s="223"/>
      <c r="E1235" s="570" t="s">
        <v>657</v>
      </c>
      <c r="F1235" s="656" t="s">
        <v>854</v>
      </c>
      <c r="G1235" s="663">
        <v>1976.95</v>
      </c>
      <c r="H1235" s="720">
        <v>1976.95</v>
      </c>
      <c r="I1235" s="720">
        <v>3270.17</v>
      </c>
      <c r="J1235" s="720">
        <v>1141.3900000000001</v>
      </c>
      <c r="K1235" s="720">
        <v>2364.37</v>
      </c>
      <c r="L1235" s="720">
        <v>2364.37</v>
      </c>
      <c r="M1235" s="720">
        <v>2572.36</v>
      </c>
      <c r="N1235" s="720">
        <v>2458.9499999999998</v>
      </c>
      <c r="O1235" s="720">
        <v>2458.9499999999998</v>
      </c>
      <c r="P1235" s="720">
        <v>2458.9499999999998</v>
      </c>
      <c r="Q1235" s="720">
        <v>5158.2299999999996</v>
      </c>
      <c r="R1235" s="720">
        <v>1667.45</v>
      </c>
      <c r="S1235" s="663">
        <v>0</v>
      </c>
      <c r="T1235" s="663">
        <v>0</v>
      </c>
      <c r="U1235" s="663">
        <v>0</v>
      </c>
      <c r="V1235" s="663">
        <v>0</v>
      </c>
      <c r="W1235" s="663">
        <v>0</v>
      </c>
      <c r="X1235" s="663">
        <v>0</v>
      </c>
      <c r="Y1235" s="663">
        <v>0</v>
      </c>
      <c r="Z1235" s="663">
        <v>0</v>
      </c>
      <c r="AA1235" s="663">
        <v>0</v>
      </c>
      <c r="AB1235" s="663">
        <v>0</v>
      </c>
      <c r="AC1235" s="663">
        <v>0</v>
      </c>
      <c r="AD1235" s="663">
        <v>0</v>
      </c>
      <c r="AE1235" s="663">
        <v>0</v>
      </c>
      <c r="AF1235" s="663">
        <v>0</v>
      </c>
      <c r="AG1235" s="663">
        <v>0</v>
      </c>
      <c r="AH1235" s="663"/>
      <c r="AI1235" s="663"/>
      <c r="AJ1235" s="663"/>
      <c r="AK1235" s="663"/>
      <c r="AL1235" s="663"/>
      <c r="AM1235" s="663"/>
      <c r="AN1235" s="663"/>
      <c r="AO1235" s="663"/>
      <c r="AP1235" s="663"/>
      <c r="AQ1235" s="663"/>
      <c r="AR1235" s="663"/>
      <c r="AS1235" s="663"/>
      <c r="AT1235" s="663"/>
      <c r="AU1235" s="663"/>
      <c r="AV1235" s="663"/>
      <c r="AW1235" s="663"/>
      <c r="AX1235" s="663"/>
      <c r="AY1235" s="663"/>
      <c r="AZ1235" s="663"/>
      <c r="BA1235" s="663"/>
      <c r="BB1235" s="663"/>
      <c r="BC1235" s="663"/>
      <c r="BD1235" s="663"/>
      <c r="BE1235" s="663"/>
      <c r="BF1235" s="663"/>
      <c r="BG1235" s="663"/>
      <c r="BH1235" s="663"/>
      <c r="BI1235" s="663"/>
      <c r="BJ1235" s="663"/>
      <c r="BK1235" s="663"/>
      <c r="BL1235" s="663"/>
      <c r="BM1235" s="663"/>
      <c r="BN1235" s="663"/>
      <c r="BO1235" s="663"/>
      <c r="BP1235" s="663"/>
      <c r="BQ1235" s="663"/>
      <c r="BR1235" s="663"/>
      <c r="BS1235" s="663"/>
      <c r="BT1235" s="663"/>
      <c r="BU1235" s="663"/>
      <c r="BV1235" s="663"/>
      <c r="BW1235" s="663"/>
      <c r="BX1235" s="663"/>
      <c r="BY1235" s="663"/>
      <c r="BZ1235" s="663"/>
      <c r="CA1235" s="663"/>
    </row>
    <row r="1236" spans="1:79" hidden="1" outlineLevel="1" x14ac:dyDescent="0.25">
      <c r="A1236" s="657"/>
      <c r="B1236" s="223"/>
      <c r="C1236" s="223"/>
      <c r="D1236" s="223"/>
      <c r="E1236" s="570" t="s">
        <v>49</v>
      </c>
      <c r="F1236" s="657" t="s">
        <v>659</v>
      </c>
      <c r="G1236" s="664">
        <f>SUM(G1234:G1235)</f>
        <v>1976.95</v>
      </c>
      <c r="H1236" s="664">
        <f t="shared" ref="H1236:Q1236" si="516">SUM(H1234:H1235)</f>
        <v>1976.95</v>
      </c>
      <c r="I1236" s="664">
        <f t="shared" si="516"/>
        <v>3270.17</v>
      </c>
      <c r="J1236" s="664">
        <f t="shared" si="516"/>
        <v>1141.3900000000001</v>
      </c>
      <c r="K1236" s="664">
        <f t="shared" si="516"/>
        <v>2364.37</v>
      </c>
      <c r="L1236" s="664">
        <f t="shared" si="516"/>
        <v>2364.37</v>
      </c>
      <c r="M1236" s="664">
        <f t="shared" si="516"/>
        <v>2572.36</v>
      </c>
      <c r="N1236" s="664">
        <f t="shared" si="516"/>
        <v>2458.9499999999998</v>
      </c>
      <c r="O1236" s="664">
        <f t="shared" si="516"/>
        <v>2458.9499999999998</v>
      </c>
      <c r="P1236" s="664">
        <f t="shared" si="516"/>
        <v>2458.9499999999998</v>
      </c>
      <c r="Q1236" s="664">
        <f t="shared" si="516"/>
        <v>5158.2299999999996</v>
      </c>
      <c r="R1236" s="664">
        <f>SUM(R1234:R1235)</f>
        <v>1667.45</v>
      </c>
      <c r="S1236" s="664">
        <f t="shared" ref="S1236:AA1236" si="517">ROUND(SUM(S1233:S1235),5)</f>
        <v>0</v>
      </c>
      <c r="T1236" s="664">
        <f t="shared" si="517"/>
        <v>0</v>
      </c>
      <c r="U1236" s="664">
        <f t="shared" si="517"/>
        <v>0</v>
      </c>
      <c r="V1236" s="664">
        <f t="shared" si="517"/>
        <v>0</v>
      </c>
      <c r="W1236" s="664">
        <f t="shared" si="517"/>
        <v>0</v>
      </c>
      <c r="X1236" s="664">
        <f t="shared" si="517"/>
        <v>0</v>
      </c>
      <c r="Y1236" s="664">
        <f t="shared" si="517"/>
        <v>0</v>
      </c>
      <c r="Z1236" s="664">
        <f t="shared" si="517"/>
        <v>0</v>
      </c>
      <c r="AA1236" s="664">
        <f t="shared" si="517"/>
        <v>0</v>
      </c>
      <c r="AB1236" s="664">
        <f t="shared" ref="AB1236:AG1236" si="518">ROUND(SUM(AB1233:AB1235),5)</f>
        <v>0</v>
      </c>
      <c r="AC1236" s="664">
        <f t="shared" si="518"/>
        <v>0</v>
      </c>
      <c r="AD1236" s="664">
        <f t="shared" si="518"/>
        <v>0</v>
      </c>
      <c r="AE1236" s="664">
        <f t="shared" si="518"/>
        <v>0</v>
      </c>
      <c r="AF1236" s="664">
        <f t="shared" si="518"/>
        <v>0</v>
      </c>
      <c r="AG1236" s="664">
        <f t="shared" si="518"/>
        <v>0</v>
      </c>
      <c r="AH1236" s="664">
        <f t="shared" ref="AH1236:BO1236" si="519">SUM(AH1234:AH1235)</f>
        <v>0</v>
      </c>
      <c r="AI1236" s="664">
        <f t="shared" si="519"/>
        <v>0</v>
      </c>
      <c r="AJ1236" s="664">
        <f t="shared" si="519"/>
        <v>0</v>
      </c>
      <c r="AK1236" s="664">
        <f t="shared" si="519"/>
        <v>0</v>
      </c>
      <c r="AL1236" s="664">
        <f t="shared" si="519"/>
        <v>0</v>
      </c>
      <c r="AM1236" s="664">
        <f t="shared" si="519"/>
        <v>0</v>
      </c>
      <c r="AN1236" s="664">
        <f t="shared" si="519"/>
        <v>0</v>
      </c>
      <c r="AO1236" s="664">
        <f t="shared" si="519"/>
        <v>0</v>
      </c>
      <c r="AP1236" s="664">
        <f t="shared" si="519"/>
        <v>0</v>
      </c>
      <c r="AQ1236" s="664">
        <f t="shared" si="519"/>
        <v>0</v>
      </c>
      <c r="AR1236" s="664">
        <f t="shared" si="519"/>
        <v>0</v>
      </c>
      <c r="AS1236" s="664">
        <f t="shared" si="519"/>
        <v>0</v>
      </c>
      <c r="AT1236" s="664">
        <f t="shared" si="519"/>
        <v>0</v>
      </c>
      <c r="AU1236" s="664">
        <f t="shared" si="519"/>
        <v>0</v>
      </c>
      <c r="AV1236" s="664">
        <f t="shared" si="519"/>
        <v>0</v>
      </c>
      <c r="AW1236" s="664">
        <f t="shared" si="519"/>
        <v>0</v>
      </c>
      <c r="AX1236" s="664">
        <f t="shared" si="519"/>
        <v>0</v>
      </c>
      <c r="AY1236" s="664">
        <f t="shared" si="519"/>
        <v>0</v>
      </c>
      <c r="AZ1236" s="664">
        <f t="shared" si="519"/>
        <v>0</v>
      </c>
      <c r="BA1236" s="664">
        <f t="shared" si="519"/>
        <v>0</v>
      </c>
      <c r="BB1236" s="664">
        <f t="shared" si="519"/>
        <v>0</v>
      </c>
      <c r="BC1236" s="664">
        <f t="shared" si="519"/>
        <v>0</v>
      </c>
      <c r="BD1236" s="664">
        <f t="shared" si="519"/>
        <v>0</v>
      </c>
      <c r="BE1236" s="664">
        <f t="shared" si="519"/>
        <v>0</v>
      </c>
      <c r="BF1236" s="664">
        <f t="shared" si="519"/>
        <v>0</v>
      </c>
      <c r="BG1236" s="664">
        <f t="shared" si="519"/>
        <v>0</v>
      </c>
      <c r="BH1236" s="664">
        <f t="shared" si="519"/>
        <v>0</v>
      </c>
      <c r="BI1236" s="664">
        <f t="shared" si="519"/>
        <v>0</v>
      </c>
      <c r="BJ1236" s="664">
        <f t="shared" si="519"/>
        <v>0</v>
      </c>
      <c r="BK1236" s="664">
        <f t="shared" si="519"/>
        <v>0</v>
      </c>
      <c r="BL1236" s="664">
        <f t="shared" si="519"/>
        <v>0</v>
      </c>
      <c r="BM1236" s="664">
        <f t="shared" si="519"/>
        <v>0</v>
      </c>
      <c r="BN1236" s="664">
        <f t="shared" si="519"/>
        <v>0</v>
      </c>
      <c r="BO1236" s="664">
        <f t="shared" si="519"/>
        <v>0</v>
      </c>
      <c r="BP1236" s="664">
        <f t="shared" ref="BP1236:CA1236" si="520">SUM(BP1234:BP1235)</f>
        <v>0</v>
      </c>
      <c r="BQ1236" s="664">
        <f t="shared" si="520"/>
        <v>0</v>
      </c>
      <c r="BR1236" s="664">
        <f t="shared" si="520"/>
        <v>0</v>
      </c>
      <c r="BS1236" s="664">
        <f t="shared" si="520"/>
        <v>0</v>
      </c>
      <c r="BT1236" s="664">
        <f t="shared" si="520"/>
        <v>0</v>
      </c>
      <c r="BU1236" s="664">
        <f t="shared" si="520"/>
        <v>0</v>
      </c>
      <c r="BV1236" s="664">
        <f t="shared" si="520"/>
        <v>0</v>
      </c>
      <c r="BW1236" s="664">
        <f t="shared" si="520"/>
        <v>0</v>
      </c>
      <c r="BX1236" s="664">
        <f t="shared" si="520"/>
        <v>0</v>
      </c>
      <c r="BY1236" s="664">
        <f t="shared" si="520"/>
        <v>0</v>
      </c>
      <c r="BZ1236" s="664">
        <f t="shared" si="520"/>
        <v>0</v>
      </c>
      <c r="CA1236" s="664">
        <f t="shared" si="520"/>
        <v>0</v>
      </c>
    </row>
    <row r="1237" spans="1:79" s="451" customFormat="1" hidden="1" outlineLevel="1" x14ac:dyDescent="0.25">
      <c r="A1237" s="655"/>
      <c r="B1237" s="571"/>
      <c r="C1237" s="571"/>
      <c r="D1237" s="571"/>
      <c r="E1237" s="570" t="s">
        <v>1362</v>
      </c>
      <c r="F1237" s="655" t="s">
        <v>695</v>
      </c>
      <c r="G1237" s="719"/>
      <c r="H1237" s="719"/>
      <c r="I1237" s="719"/>
      <c r="J1237" s="719"/>
      <c r="K1237" s="719"/>
      <c r="L1237" s="719"/>
      <c r="M1237" s="719"/>
      <c r="N1237" s="719"/>
      <c r="O1237" s="719"/>
      <c r="P1237" s="716">
        <v>25000</v>
      </c>
      <c r="Q1237" s="716"/>
      <c r="R1237" s="720"/>
      <c r="S1237" s="663">
        <v>0</v>
      </c>
      <c r="T1237" s="663">
        <v>0</v>
      </c>
      <c r="U1237" s="663">
        <v>0</v>
      </c>
      <c r="V1237" s="663">
        <v>0</v>
      </c>
      <c r="W1237" s="663">
        <v>0</v>
      </c>
      <c r="X1237" s="663">
        <v>0</v>
      </c>
      <c r="Y1237" s="663">
        <v>0</v>
      </c>
      <c r="Z1237" s="663">
        <v>0</v>
      </c>
      <c r="AA1237" s="663">
        <v>0</v>
      </c>
      <c r="AB1237" s="663">
        <v>0</v>
      </c>
      <c r="AC1237" s="663">
        <v>0</v>
      </c>
      <c r="AD1237" s="663">
        <v>0</v>
      </c>
      <c r="AE1237" s="663">
        <v>0</v>
      </c>
      <c r="AF1237" s="663">
        <v>0</v>
      </c>
      <c r="AG1237" s="663">
        <v>0</v>
      </c>
      <c r="AH1237" s="720"/>
      <c r="AI1237" s="720"/>
      <c r="AJ1237" s="720"/>
      <c r="AK1237" s="720"/>
      <c r="AL1237" s="720"/>
      <c r="AM1237" s="720"/>
      <c r="AN1237" s="720"/>
      <c r="AO1237" s="720"/>
      <c r="AP1237" s="720"/>
      <c r="AQ1237" s="720"/>
      <c r="AR1237" s="720"/>
      <c r="AS1237" s="720"/>
      <c r="AT1237" s="720"/>
      <c r="AU1237" s="720"/>
      <c r="AV1237" s="720"/>
      <c r="AW1237" s="720"/>
      <c r="AX1237" s="720"/>
      <c r="AY1237" s="720"/>
      <c r="AZ1237" s="720"/>
      <c r="BA1237" s="720"/>
      <c r="BB1237" s="720"/>
      <c r="BC1237" s="720"/>
      <c r="BD1237" s="720"/>
      <c r="BE1237" s="720"/>
      <c r="BF1237" s="720"/>
      <c r="BG1237" s="720"/>
      <c r="BH1237" s="720"/>
      <c r="BI1237" s="720"/>
      <c r="BJ1237" s="720"/>
      <c r="BK1237" s="720"/>
      <c r="BL1237" s="720"/>
      <c r="BM1237" s="720"/>
      <c r="BN1237" s="720"/>
      <c r="BO1237" s="720"/>
      <c r="BP1237" s="720"/>
      <c r="BQ1237" s="720"/>
      <c r="BR1237" s="720"/>
      <c r="BS1237" s="720"/>
      <c r="BT1237" s="720"/>
      <c r="BU1237" s="720"/>
      <c r="BV1237" s="720"/>
      <c r="BW1237" s="720"/>
      <c r="BX1237" s="720"/>
      <c r="BY1237" s="720"/>
      <c r="BZ1237" s="720"/>
      <c r="CA1237" s="720"/>
    </row>
    <row r="1238" spans="1:79" hidden="1" outlineLevel="1" x14ac:dyDescent="0.25">
      <c r="A1238" s="655"/>
      <c r="B1238" s="223"/>
      <c r="C1238" s="223"/>
      <c r="D1238" s="223"/>
      <c r="E1238" s="570" t="s">
        <v>855</v>
      </c>
      <c r="F1238" s="655" t="s">
        <v>855</v>
      </c>
      <c r="G1238" s="663"/>
      <c r="H1238" s="663"/>
      <c r="I1238" s="663"/>
      <c r="J1238" s="663"/>
      <c r="K1238" s="663"/>
      <c r="L1238" s="663"/>
      <c r="M1238" s="663"/>
      <c r="N1238" s="663"/>
      <c r="O1238" s="663"/>
      <c r="P1238" s="663"/>
      <c r="Q1238" s="663"/>
      <c r="R1238" s="663"/>
      <c r="S1238" s="663">
        <v>0</v>
      </c>
      <c r="T1238" s="663">
        <v>0</v>
      </c>
      <c r="U1238" s="663">
        <v>0</v>
      </c>
      <c r="V1238" s="663">
        <v>0</v>
      </c>
      <c r="W1238" s="663">
        <v>0</v>
      </c>
      <c r="X1238" s="663">
        <v>0</v>
      </c>
      <c r="Y1238" s="663">
        <v>0</v>
      </c>
      <c r="Z1238" s="663">
        <v>0</v>
      </c>
      <c r="AA1238" s="663">
        <v>0</v>
      </c>
      <c r="AB1238" s="663">
        <v>0</v>
      </c>
      <c r="AC1238" s="663">
        <v>0</v>
      </c>
      <c r="AD1238" s="663">
        <v>0</v>
      </c>
      <c r="AE1238" s="663">
        <v>0</v>
      </c>
      <c r="AF1238" s="663">
        <v>0</v>
      </c>
      <c r="AG1238" s="663">
        <v>0</v>
      </c>
      <c r="AH1238" s="663"/>
      <c r="AI1238" s="663"/>
      <c r="AJ1238" s="663"/>
      <c r="AK1238" s="663"/>
      <c r="AL1238" s="663"/>
      <c r="AM1238" s="663"/>
      <c r="AN1238" s="663"/>
      <c r="AO1238" s="663"/>
      <c r="AP1238" s="663"/>
      <c r="AQ1238" s="663"/>
      <c r="AR1238" s="663"/>
      <c r="AS1238" s="663"/>
      <c r="AT1238" s="663"/>
      <c r="AU1238" s="663"/>
      <c r="AV1238" s="663"/>
      <c r="AW1238" s="663"/>
      <c r="AX1238" s="663"/>
      <c r="AY1238" s="663"/>
      <c r="AZ1238" s="663"/>
      <c r="BA1238" s="663"/>
      <c r="BB1238" s="663"/>
      <c r="BC1238" s="663"/>
      <c r="BD1238" s="663"/>
      <c r="BE1238" s="663"/>
      <c r="BF1238" s="663"/>
      <c r="BG1238" s="663"/>
      <c r="BH1238" s="663"/>
      <c r="BI1238" s="663"/>
      <c r="BJ1238" s="663"/>
      <c r="BK1238" s="663"/>
      <c r="BL1238" s="663"/>
      <c r="BM1238" s="663"/>
      <c r="BN1238" s="663"/>
      <c r="BO1238" s="663"/>
      <c r="BP1238" s="663"/>
      <c r="BQ1238" s="663"/>
      <c r="BR1238" s="663"/>
      <c r="BS1238" s="663"/>
      <c r="BT1238" s="663"/>
      <c r="BU1238" s="663"/>
      <c r="BV1238" s="663"/>
      <c r="BW1238" s="663"/>
      <c r="BX1238" s="663"/>
      <c r="BY1238" s="663"/>
      <c r="BZ1238" s="663"/>
      <c r="CA1238" s="663"/>
    </row>
    <row r="1239" spans="1:79" hidden="1" outlineLevel="1" x14ac:dyDescent="0.25">
      <c r="A1239" s="655"/>
      <c r="B1239" s="223"/>
      <c r="C1239" s="223"/>
      <c r="D1239" s="223"/>
      <c r="E1239" s="570" t="s">
        <v>856</v>
      </c>
      <c r="F1239" s="655" t="s">
        <v>856</v>
      </c>
      <c r="G1239" s="663"/>
      <c r="H1239" s="663"/>
      <c r="I1239" s="663"/>
      <c r="J1239" s="663"/>
      <c r="K1239" s="663"/>
      <c r="L1239" s="663"/>
      <c r="M1239" s="663"/>
      <c r="N1239" s="663"/>
      <c r="O1239" s="663"/>
      <c r="P1239" s="663"/>
      <c r="Q1239" s="663"/>
      <c r="R1239" s="663"/>
      <c r="S1239" s="663">
        <v>0</v>
      </c>
      <c r="T1239" s="663">
        <v>0</v>
      </c>
      <c r="U1239" s="663">
        <v>0</v>
      </c>
      <c r="V1239" s="663">
        <v>0</v>
      </c>
      <c r="W1239" s="663">
        <v>0</v>
      </c>
      <c r="X1239" s="663">
        <v>0</v>
      </c>
      <c r="Y1239" s="663">
        <v>0</v>
      </c>
      <c r="Z1239" s="663">
        <v>0</v>
      </c>
      <c r="AA1239" s="663">
        <v>0</v>
      </c>
      <c r="AB1239" s="663">
        <v>0</v>
      </c>
      <c r="AC1239" s="663">
        <v>0</v>
      </c>
      <c r="AD1239" s="663">
        <v>0</v>
      </c>
      <c r="AE1239" s="663">
        <v>0</v>
      </c>
      <c r="AF1239" s="663">
        <v>0</v>
      </c>
      <c r="AG1239" s="663">
        <v>0</v>
      </c>
      <c r="AH1239" s="663"/>
      <c r="AI1239" s="663"/>
      <c r="AJ1239" s="663"/>
      <c r="AK1239" s="663"/>
      <c r="AL1239" s="663"/>
      <c r="AM1239" s="663"/>
      <c r="AN1239" s="663"/>
      <c r="AO1239" s="663"/>
      <c r="AP1239" s="663"/>
      <c r="AQ1239" s="663"/>
      <c r="AR1239" s="663"/>
      <c r="AS1239" s="663"/>
      <c r="AT1239" s="663"/>
      <c r="AU1239" s="663"/>
      <c r="AV1239" s="663"/>
      <c r="AW1239" s="663"/>
      <c r="AX1239" s="663"/>
      <c r="AY1239" s="663"/>
      <c r="AZ1239" s="663"/>
      <c r="BA1239" s="663"/>
      <c r="BB1239" s="663"/>
      <c r="BC1239" s="663"/>
      <c r="BD1239" s="663"/>
      <c r="BE1239" s="663"/>
      <c r="BF1239" s="663"/>
      <c r="BG1239" s="663"/>
      <c r="BH1239" s="663"/>
      <c r="BI1239" s="663"/>
      <c r="BJ1239" s="663"/>
      <c r="BK1239" s="663"/>
      <c r="BL1239" s="663"/>
      <c r="BM1239" s="663"/>
      <c r="BN1239" s="663"/>
      <c r="BO1239" s="663"/>
      <c r="BP1239" s="663"/>
      <c r="BQ1239" s="663"/>
      <c r="BR1239" s="663"/>
      <c r="BS1239" s="663"/>
      <c r="BT1239" s="663"/>
      <c r="BU1239" s="663"/>
      <c r="BV1239" s="663"/>
      <c r="BW1239" s="663"/>
      <c r="BX1239" s="663"/>
      <c r="BY1239" s="663"/>
      <c r="BZ1239" s="663"/>
      <c r="CA1239" s="663"/>
    </row>
    <row r="1240" spans="1:79" hidden="1" outlineLevel="1" x14ac:dyDescent="0.25">
      <c r="A1240" s="655"/>
      <c r="B1240" s="223"/>
      <c r="C1240" s="223"/>
      <c r="D1240" s="223"/>
      <c r="E1240" s="570" t="s">
        <v>17</v>
      </c>
      <c r="F1240" s="655" t="s">
        <v>17</v>
      </c>
      <c r="G1240" s="663"/>
      <c r="H1240" s="663"/>
      <c r="I1240" s="663"/>
      <c r="J1240" s="663"/>
      <c r="K1240" s="663"/>
      <c r="L1240" s="663"/>
      <c r="M1240" s="663"/>
      <c r="N1240" s="663">
        <v>5000</v>
      </c>
      <c r="O1240" s="663">
        <v>2000</v>
      </c>
      <c r="P1240" s="663">
        <v>15685.88171175</v>
      </c>
      <c r="Q1240" s="663">
        <v>43677.5</v>
      </c>
      <c r="R1240" s="663">
        <v>28786.400000000001</v>
      </c>
      <c r="S1240" s="663">
        <v>0</v>
      </c>
      <c r="T1240" s="663">
        <v>0</v>
      </c>
      <c r="U1240" s="663">
        <v>0</v>
      </c>
      <c r="V1240" s="663">
        <v>0</v>
      </c>
      <c r="W1240" s="663">
        <v>0</v>
      </c>
      <c r="X1240" s="663">
        <v>0</v>
      </c>
      <c r="Y1240" s="663">
        <v>0</v>
      </c>
      <c r="Z1240" s="663">
        <v>0</v>
      </c>
      <c r="AA1240" s="663">
        <v>0</v>
      </c>
      <c r="AB1240" s="663">
        <v>0</v>
      </c>
      <c r="AC1240" s="663">
        <v>0</v>
      </c>
      <c r="AD1240" s="663">
        <v>0</v>
      </c>
      <c r="AE1240" s="663">
        <v>0</v>
      </c>
      <c r="AF1240" s="663">
        <v>0</v>
      </c>
      <c r="AG1240" s="663">
        <v>0</v>
      </c>
      <c r="AH1240" s="663"/>
      <c r="AI1240" s="663"/>
      <c r="AJ1240" s="663"/>
      <c r="AK1240" s="663"/>
      <c r="AL1240" s="663"/>
      <c r="AM1240" s="663"/>
      <c r="AN1240" s="663"/>
      <c r="AO1240" s="663"/>
      <c r="AP1240" s="663"/>
      <c r="AQ1240" s="663"/>
      <c r="AR1240" s="663"/>
      <c r="AS1240" s="663"/>
      <c r="AT1240" s="663"/>
      <c r="AU1240" s="663"/>
      <c r="AV1240" s="663"/>
      <c r="AW1240" s="663"/>
      <c r="AX1240" s="663"/>
      <c r="AY1240" s="663"/>
      <c r="AZ1240" s="663"/>
      <c r="BA1240" s="663"/>
      <c r="BB1240" s="663"/>
      <c r="BC1240" s="663"/>
      <c r="BD1240" s="663"/>
      <c r="BE1240" s="663"/>
      <c r="BF1240" s="663"/>
      <c r="BG1240" s="663"/>
      <c r="BH1240" s="663"/>
      <c r="BI1240" s="663"/>
      <c r="BJ1240" s="663"/>
      <c r="BK1240" s="663"/>
      <c r="BL1240" s="663"/>
      <c r="BM1240" s="663"/>
      <c r="BN1240" s="663"/>
      <c r="BO1240" s="663"/>
      <c r="BP1240" s="663"/>
      <c r="BQ1240" s="663"/>
      <c r="BR1240" s="663"/>
      <c r="BS1240" s="663"/>
      <c r="BT1240" s="663"/>
      <c r="BU1240" s="663"/>
      <c r="BV1240" s="663"/>
      <c r="BW1240" s="663"/>
      <c r="BX1240" s="663"/>
      <c r="BY1240" s="663"/>
      <c r="BZ1240" s="663"/>
      <c r="CA1240" s="663"/>
    </row>
    <row r="1241" spans="1:79" hidden="1" outlineLevel="1" x14ac:dyDescent="0.25">
      <c r="A1241" s="655"/>
      <c r="B1241" s="223"/>
      <c r="C1241" s="223"/>
      <c r="D1241" s="223"/>
      <c r="E1241" s="570" t="s">
        <v>1327</v>
      </c>
      <c r="F1241" s="655" t="s">
        <v>857</v>
      </c>
      <c r="G1241" s="663"/>
      <c r="H1241" s="663"/>
      <c r="I1241" s="663"/>
      <c r="J1241" s="663"/>
      <c r="K1241" s="663"/>
      <c r="L1241" s="663"/>
      <c r="M1241" s="663"/>
      <c r="N1241" s="663"/>
      <c r="O1241" s="663"/>
      <c r="P1241" s="663"/>
      <c r="Q1241" s="663"/>
      <c r="R1241" s="663"/>
      <c r="S1241" s="663">
        <v>0</v>
      </c>
      <c r="T1241" s="663">
        <v>0</v>
      </c>
      <c r="U1241" s="663">
        <v>0</v>
      </c>
      <c r="V1241" s="663">
        <v>0</v>
      </c>
      <c r="W1241" s="663">
        <v>0</v>
      </c>
      <c r="X1241" s="663">
        <v>0</v>
      </c>
      <c r="Y1241" s="663">
        <v>0</v>
      </c>
      <c r="Z1241" s="663">
        <v>0</v>
      </c>
      <c r="AA1241" s="663">
        <v>0</v>
      </c>
      <c r="AB1241" s="663">
        <v>0</v>
      </c>
      <c r="AC1241" s="663">
        <v>0</v>
      </c>
      <c r="AD1241" s="663">
        <v>0</v>
      </c>
      <c r="AE1241" s="663">
        <v>0</v>
      </c>
      <c r="AF1241" s="663">
        <v>0</v>
      </c>
      <c r="AG1241" s="663">
        <v>0</v>
      </c>
      <c r="AH1241" s="663"/>
      <c r="AI1241" s="663"/>
      <c r="AJ1241" s="663"/>
      <c r="AK1241" s="663"/>
      <c r="AL1241" s="663"/>
      <c r="AM1241" s="663"/>
      <c r="AN1241" s="663"/>
      <c r="AO1241" s="663"/>
      <c r="AP1241" s="663"/>
      <c r="AQ1241" s="663"/>
      <c r="AR1241" s="663"/>
      <c r="AS1241" s="663"/>
      <c r="AT1241" s="663"/>
      <c r="AU1241" s="663"/>
      <c r="AV1241" s="663"/>
      <c r="AW1241" s="663"/>
      <c r="AX1241" s="663"/>
      <c r="AY1241" s="663"/>
      <c r="AZ1241" s="663"/>
      <c r="BA1241" s="663"/>
      <c r="BB1241" s="663"/>
      <c r="BC1241" s="663"/>
      <c r="BD1241" s="663"/>
      <c r="BE1241" s="663"/>
      <c r="BF1241" s="663"/>
      <c r="BG1241" s="663"/>
      <c r="BH1241" s="663"/>
      <c r="BI1241" s="663"/>
      <c r="BJ1241" s="663"/>
      <c r="BK1241" s="663"/>
      <c r="BL1241" s="663"/>
      <c r="BM1241" s="663"/>
      <c r="BN1241" s="663"/>
      <c r="BO1241" s="663"/>
      <c r="BP1241" s="663"/>
      <c r="BQ1241" s="663"/>
      <c r="BR1241" s="663"/>
      <c r="BS1241" s="663"/>
      <c r="BT1241" s="663"/>
      <c r="BU1241" s="663"/>
      <c r="BV1241" s="663"/>
      <c r="BW1241" s="663"/>
      <c r="BX1241" s="663"/>
      <c r="BY1241" s="663"/>
      <c r="BZ1241" s="663"/>
      <c r="CA1241" s="663"/>
    </row>
    <row r="1242" spans="1:79" hidden="1" outlineLevel="1" x14ac:dyDescent="0.25">
      <c r="A1242" s="655"/>
      <c r="B1242" s="223"/>
      <c r="C1242" s="223"/>
      <c r="D1242" s="223"/>
      <c r="E1242" s="570" t="s">
        <v>1330</v>
      </c>
      <c r="F1242" s="655" t="s">
        <v>861</v>
      </c>
      <c r="G1242" s="664"/>
      <c r="H1242" s="664"/>
      <c r="I1242" s="664"/>
      <c r="J1242" s="664"/>
      <c r="K1242" s="664"/>
      <c r="L1242" s="664"/>
      <c r="M1242" s="664"/>
      <c r="N1242" s="664"/>
      <c r="O1242" s="664"/>
      <c r="P1242" s="664"/>
      <c r="Q1242" s="664"/>
      <c r="R1242" s="664"/>
      <c r="S1242" s="663">
        <v>0</v>
      </c>
      <c r="T1242" s="663">
        <v>0</v>
      </c>
      <c r="U1242" s="663">
        <v>0</v>
      </c>
      <c r="V1242" s="663">
        <v>0</v>
      </c>
      <c r="W1242" s="663">
        <v>0</v>
      </c>
      <c r="X1242" s="663">
        <v>0</v>
      </c>
      <c r="Y1242" s="663">
        <v>0</v>
      </c>
      <c r="Z1242" s="663">
        <v>0</v>
      </c>
      <c r="AA1242" s="663">
        <v>0</v>
      </c>
      <c r="AB1242" s="663">
        <v>0</v>
      </c>
      <c r="AC1242" s="663">
        <v>0</v>
      </c>
      <c r="AD1242" s="663">
        <v>0</v>
      </c>
      <c r="AE1242" s="663">
        <v>0</v>
      </c>
      <c r="AF1242" s="716">
        <v>0</v>
      </c>
      <c r="AG1242" s="663">
        <v>0</v>
      </c>
      <c r="AH1242" s="664"/>
      <c r="AI1242" s="664"/>
      <c r="AJ1242" s="664"/>
      <c r="AK1242" s="664"/>
      <c r="AL1242" s="664"/>
      <c r="AM1242" s="664"/>
      <c r="AN1242" s="664"/>
      <c r="AO1242" s="664"/>
      <c r="AP1242" s="664"/>
      <c r="AQ1242" s="664"/>
      <c r="AR1242" s="664"/>
      <c r="AS1242" s="664"/>
      <c r="AT1242" s="664"/>
      <c r="AU1242" s="664"/>
      <c r="AV1242" s="664"/>
      <c r="AW1242" s="664"/>
      <c r="AX1242" s="664"/>
      <c r="AY1242" s="664"/>
      <c r="AZ1242" s="664"/>
      <c r="BA1242" s="664"/>
      <c r="BB1242" s="664"/>
      <c r="BC1242" s="664"/>
      <c r="BD1242" s="664"/>
      <c r="BE1242" s="664"/>
      <c r="BF1242" s="664"/>
      <c r="BG1242" s="664"/>
      <c r="BH1242" s="664"/>
      <c r="BI1242" s="664"/>
      <c r="BJ1242" s="664"/>
      <c r="BK1242" s="664"/>
      <c r="BL1242" s="664"/>
      <c r="BM1242" s="664"/>
      <c r="BN1242" s="664"/>
      <c r="BO1242" s="664"/>
      <c r="BP1242" s="664"/>
      <c r="BQ1242" s="664"/>
      <c r="BR1242" s="664"/>
      <c r="BS1242" s="664"/>
      <c r="BT1242" s="664"/>
      <c r="BU1242" s="664"/>
      <c r="BV1242" s="664"/>
      <c r="BW1242" s="664"/>
      <c r="BX1242" s="664"/>
      <c r="BY1242" s="664"/>
      <c r="BZ1242" s="664"/>
      <c r="CA1242" s="664"/>
    </row>
    <row r="1243" spans="1:79" hidden="1" outlineLevel="1" x14ac:dyDescent="0.25">
      <c r="A1243" s="655"/>
      <c r="B1243" s="223"/>
      <c r="C1243" s="223"/>
      <c r="D1243" s="223"/>
      <c r="E1243" s="570" t="s">
        <v>1337</v>
      </c>
      <c r="F1243" s="655" t="s">
        <v>862</v>
      </c>
      <c r="G1243" s="664"/>
      <c r="H1243" s="664"/>
      <c r="I1243" s="664"/>
      <c r="J1243" s="664"/>
      <c r="K1243" s="664"/>
      <c r="L1243" s="664"/>
      <c r="M1243" s="664"/>
      <c r="N1243" s="664"/>
      <c r="O1243" s="664"/>
      <c r="P1243" s="664"/>
      <c r="Q1243" s="664"/>
      <c r="R1243" s="664"/>
      <c r="S1243" s="663">
        <v>0</v>
      </c>
      <c r="T1243" s="663">
        <v>0</v>
      </c>
      <c r="U1243" s="663">
        <v>0</v>
      </c>
      <c r="V1243" s="663">
        <v>0</v>
      </c>
      <c r="W1243" s="663">
        <v>0</v>
      </c>
      <c r="X1243" s="663">
        <v>0</v>
      </c>
      <c r="Y1243" s="663">
        <v>0</v>
      </c>
      <c r="Z1243" s="663">
        <v>0</v>
      </c>
      <c r="AA1243" s="663">
        <v>0</v>
      </c>
      <c r="AB1243" s="663">
        <v>0</v>
      </c>
      <c r="AC1243" s="663">
        <v>0</v>
      </c>
      <c r="AD1243" s="663">
        <v>0</v>
      </c>
      <c r="AE1243" s="663">
        <v>0</v>
      </c>
      <c r="AF1243" s="716">
        <v>0</v>
      </c>
      <c r="AG1243" s="663">
        <v>0</v>
      </c>
      <c r="AH1243" s="664"/>
      <c r="AI1243" s="664"/>
      <c r="AJ1243" s="664"/>
      <c r="AK1243" s="664"/>
      <c r="AL1243" s="664"/>
      <c r="AM1243" s="664"/>
      <c r="AN1243" s="664"/>
      <c r="AO1243" s="664"/>
      <c r="AP1243" s="664"/>
      <c r="AQ1243" s="664"/>
      <c r="AR1243" s="664"/>
      <c r="AS1243" s="664"/>
      <c r="AT1243" s="664"/>
      <c r="AU1243" s="664"/>
      <c r="AV1243" s="664"/>
      <c r="AW1243" s="664"/>
      <c r="AX1243" s="664"/>
      <c r="AY1243" s="664"/>
      <c r="AZ1243" s="664"/>
      <c r="BA1243" s="664"/>
      <c r="BB1243" s="664"/>
      <c r="BC1243" s="664"/>
      <c r="BD1243" s="664"/>
      <c r="BE1243" s="664"/>
      <c r="BF1243" s="664"/>
      <c r="BG1243" s="664"/>
      <c r="BH1243" s="664"/>
      <c r="BI1243" s="664"/>
      <c r="BJ1243" s="664"/>
      <c r="BK1243" s="664"/>
      <c r="BL1243" s="664"/>
      <c r="BM1243" s="664"/>
      <c r="BN1243" s="664"/>
      <c r="BO1243" s="664"/>
      <c r="BP1243" s="664"/>
      <c r="BQ1243" s="664"/>
      <c r="BR1243" s="664"/>
      <c r="BS1243" s="664"/>
      <c r="BT1243" s="664"/>
      <c r="BU1243" s="664"/>
      <c r="BV1243" s="664"/>
      <c r="BW1243" s="664"/>
      <c r="BX1243" s="664"/>
      <c r="BY1243" s="664"/>
      <c r="BZ1243" s="664"/>
      <c r="CA1243" s="664"/>
    </row>
    <row r="1244" spans="1:79" s="693" customFormat="1" hidden="1" outlineLevel="1" x14ac:dyDescent="0.25">
      <c r="A1244" s="691"/>
      <c r="E1244" s="570" t="s">
        <v>338</v>
      </c>
      <c r="F1244" s="691" t="s">
        <v>863</v>
      </c>
      <c r="G1244" s="746"/>
      <c r="H1244" s="746"/>
      <c r="I1244" s="746"/>
      <c r="J1244" s="746"/>
      <c r="K1244" s="746"/>
      <c r="L1244" s="746"/>
      <c r="M1244" s="746"/>
      <c r="N1244" s="746"/>
      <c r="O1244" s="746"/>
      <c r="P1244" s="746"/>
      <c r="Q1244" s="746"/>
      <c r="R1244" s="746"/>
      <c r="S1244" s="692"/>
      <c r="T1244" s="692"/>
      <c r="U1244" s="692"/>
      <c r="V1244" s="692"/>
      <c r="W1244" s="692"/>
      <c r="X1244" s="692"/>
      <c r="Y1244" s="692"/>
      <c r="Z1244" s="692"/>
      <c r="AA1244" s="692"/>
      <c r="AB1244" s="692"/>
      <c r="AC1244" s="692"/>
      <c r="AD1244" s="692"/>
      <c r="AE1244" s="692"/>
      <c r="AF1244" s="734"/>
      <c r="AG1244" s="692"/>
      <c r="AH1244" s="746"/>
      <c r="AI1244" s="746"/>
      <c r="AJ1244" s="746"/>
      <c r="AK1244" s="746"/>
      <c r="AL1244" s="746"/>
      <c r="AM1244" s="746"/>
      <c r="AN1244" s="746"/>
      <c r="AO1244" s="746"/>
      <c r="AP1244" s="746"/>
      <c r="AQ1244" s="746"/>
      <c r="AR1244" s="746"/>
      <c r="AS1244" s="746"/>
      <c r="AT1244" s="746"/>
      <c r="AU1244" s="746"/>
      <c r="AV1244" s="746"/>
      <c r="AW1244" s="746"/>
      <c r="AX1244" s="746"/>
      <c r="AY1244" s="746"/>
      <c r="AZ1244" s="746"/>
      <c r="BA1244" s="746"/>
      <c r="BB1244" s="746"/>
      <c r="BC1244" s="746"/>
      <c r="BD1244" s="746"/>
      <c r="BE1244" s="746"/>
      <c r="BF1244" s="746"/>
      <c r="BG1244" s="746"/>
      <c r="BH1244" s="746"/>
      <c r="BI1244" s="746"/>
      <c r="BJ1244" s="746"/>
      <c r="BK1244" s="746"/>
      <c r="BL1244" s="746"/>
      <c r="BM1244" s="746"/>
      <c r="BN1244" s="746"/>
      <c r="BO1244" s="746"/>
      <c r="BP1244" s="746"/>
      <c r="BQ1244" s="746"/>
      <c r="BR1244" s="746"/>
      <c r="BS1244" s="746"/>
      <c r="BT1244" s="746"/>
      <c r="BU1244" s="746"/>
      <c r="BV1244" s="746"/>
      <c r="BW1244" s="746"/>
      <c r="BX1244" s="746"/>
      <c r="BY1244" s="746"/>
      <c r="BZ1244" s="746"/>
      <c r="CA1244" s="746"/>
    </row>
    <row r="1245" spans="1:79" hidden="1" outlineLevel="1" x14ac:dyDescent="0.25">
      <c r="A1245" s="656"/>
      <c r="B1245" s="223"/>
      <c r="C1245" s="223"/>
      <c r="D1245" s="223"/>
      <c r="E1245" s="570" t="s">
        <v>338</v>
      </c>
      <c r="F1245" s="656" t="s">
        <v>864</v>
      </c>
      <c r="G1245" s="664"/>
      <c r="H1245" s="664"/>
      <c r="I1245" s="664"/>
      <c r="J1245" s="664"/>
      <c r="K1245" s="664"/>
      <c r="L1245" s="664"/>
      <c r="M1245" s="664"/>
      <c r="N1245" s="664"/>
      <c r="O1245" s="664"/>
      <c r="P1245" s="664"/>
      <c r="Q1245" s="664"/>
      <c r="R1245" s="664"/>
      <c r="S1245" s="663">
        <v>0</v>
      </c>
      <c r="T1245" s="663">
        <v>0</v>
      </c>
      <c r="U1245" s="663">
        <v>0</v>
      </c>
      <c r="V1245" s="663">
        <v>0</v>
      </c>
      <c r="W1245" s="663">
        <v>0</v>
      </c>
      <c r="X1245" s="663">
        <v>0</v>
      </c>
      <c r="Y1245" s="663">
        <v>0</v>
      </c>
      <c r="Z1245" s="663">
        <v>0</v>
      </c>
      <c r="AA1245" s="663">
        <v>0</v>
      </c>
      <c r="AB1245" s="663">
        <v>0</v>
      </c>
      <c r="AC1245" s="663">
        <v>0</v>
      </c>
      <c r="AD1245" s="663">
        <v>0</v>
      </c>
      <c r="AE1245" s="663">
        <v>0</v>
      </c>
      <c r="AF1245" s="716">
        <v>0</v>
      </c>
      <c r="AG1245" s="663">
        <v>0</v>
      </c>
      <c r="AH1245" s="664"/>
      <c r="AI1245" s="664"/>
      <c r="AJ1245" s="664"/>
      <c r="AK1245" s="664"/>
      <c r="AL1245" s="664"/>
      <c r="AM1245" s="664"/>
      <c r="AN1245" s="664"/>
      <c r="AO1245" s="664"/>
      <c r="AP1245" s="664"/>
      <c r="AQ1245" s="664"/>
      <c r="AR1245" s="664"/>
      <c r="AS1245" s="664"/>
      <c r="AT1245" s="664"/>
      <c r="AU1245" s="664"/>
      <c r="AV1245" s="664"/>
      <c r="AW1245" s="664"/>
      <c r="AX1245" s="664"/>
      <c r="AY1245" s="664"/>
      <c r="AZ1245" s="664"/>
      <c r="BA1245" s="664"/>
      <c r="BB1245" s="664"/>
      <c r="BC1245" s="664"/>
      <c r="BD1245" s="664"/>
      <c r="BE1245" s="664"/>
      <c r="BF1245" s="664"/>
      <c r="BG1245" s="664"/>
      <c r="BH1245" s="664"/>
      <c r="BI1245" s="664"/>
      <c r="BJ1245" s="664"/>
      <c r="BK1245" s="664"/>
      <c r="BL1245" s="664"/>
      <c r="BM1245" s="664"/>
      <c r="BN1245" s="664"/>
      <c r="BO1245" s="664"/>
      <c r="BP1245" s="664"/>
      <c r="BQ1245" s="664"/>
      <c r="BR1245" s="664"/>
      <c r="BS1245" s="664"/>
      <c r="BT1245" s="664"/>
      <c r="BU1245" s="664"/>
      <c r="BV1245" s="664"/>
      <c r="BW1245" s="664"/>
      <c r="BX1245" s="664"/>
      <c r="BY1245" s="664"/>
      <c r="BZ1245" s="664"/>
      <c r="CA1245" s="664"/>
    </row>
    <row r="1246" spans="1:79" hidden="1" outlineLevel="1" x14ac:dyDescent="0.25">
      <c r="A1246" s="656"/>
      <c r="B1246" s="223"/>
      <c r="C1246" s="223"/>
      <c r="D1246" s="223"/>
      <c r="E1246" s="570" t="s">
        <v>338</v>
      </c>
      <c r="F1246" s="656" t="s">
        <v>865</v>
      </c>
      <c r="G1246" s="664"/>
      <c r="H1246" s="664"/>
      <c r="I1246" s="664"/>
      <c r="J1246" s="664"/>
      <c r="K1246" s="664"/>
      <c r="L1246" s="664"/>
      <c r="M1246" s="664"/>
      <c r="N1246" s="664"/>
      <c r="O1246" s="664"/>
      <c r="P1246" s="664"/>
      <c r="Q1246" s="664"/>
      <c r="R1246" s="664"/>
      <c r="S1246" s="663">
        <v>0</v>
      </c>
      <c r="T1246" s="663">
        <v>0</v>
      </c>
      <c r="U1246" s="663">
        <v>0</v>
      </c>
      <c r="V1246" s="663">
        <v>0</v>
      </c>
      <c r="W1246" s="663">
        <v>0</v>
      </c>
      <c r="X1246" s="663">
        <v>0</v>
      </c>
      <c r="Y1246" s="663">
        <v>0</v>
      </c>
      <c r="Z1246" s="663">
        <v>0</v>
      </c>
      <c r="AA1246" s="663">
        <v>0</v>
      </c>
      <c r="AB1246" s="663">
        <v>0</v>
      </c>
      <c r="AC1246" s="663">
        <v>0</v>
      </c>
      <c r="AD1246" s="663">
        <v>0</v>
      </c>
      <c r="AE1246" s="663">
        <v>0</v>
      </c>
      <c r="AF1246" s="716">
        <v>0</v>
      </c>
      <c r="AG1246" s="663">
        <v>0</v>
      </c>
      <c r="AH1246" s="664"/>
      <c r="AI1246" s="664"/>
      <c r="AJ1246" s="664"/>
      <c r="AK1246" s="664"/>
      <c r="AL1246" s="664"/>
      <c r="AM1246" s="664"/>
      <c r="AN1246" s="664"/>
      <c r="AO1246" s="664"/>
      <c r="AP1246" s="664"/>
      <c r="AQ1246" s="664"/>
      <c r="AR1246" s="664"/>
      <c r="AS1246" s="664"/>
      <c r="AT1246" s="664"/>
      <c r="AU1246" s="664"/>
      <c r="AV1246" s="664"/>
      <c r="AW1246" s="664"/>
      <c r="AX1246" s="664"/>
      <c r="AY1246" s="664"/>
      <c r="AZ1246" s="664"/>
      <c r="BA1246" s="664"/>
      <c r="BB1246" s="664"/>
      <c r="BC1246" s="664"/>
      <c r="BD1246" s="664"/>
      <c r="BE1246" s="664"/>
      <c r="BF1246" s="664"/>
      <c r="BG1246" s="664"/>
      <c r="BH1246" s="664"/>
      <c r="BI1246" s="664"/>
      <c r="BJ1246" s="664"/>
      <c r="BK1246" s="664"/>
      <c r="BL1246" s="664"/>
      <c r="BM1246" s="664"/>
      <c r="BN1246" s="664"/>
      <c r="BO1246" s="664"/>
      <c r="BP1246" s="664"/>
      <c r="BQ1246" s="664"/>
      <c r="BR1246" s="664"/>
      <c r="BS1246" s="664"/>
      <c r="BT1246" s="664"/>
      <c r="BU1246" s="664"/>
      <c r="BV1246" s="664"/>
      <c r="BW1246" s="664"/>
      <c r="BX1246" s="664"/>
      <c r="BY1246" s="664"/>
      <c r="BZ1246" s="664"/>
      <c r="CA1246" s="664"/>
    </row>
    <row r="1247" spans="1:79" hidden="1" outlineLevel="1" x14ac:dyDescent="0.25">
      <c r="A1247" s="657"/>
      <c r="B1247" s="223"/>
      <c r="C1247" s="223"/>
      <c r="D1247" s="223"/>
      <c r="E1247" s="570" t="s">
        <v>49</v>
      </c>
      <c r="F1247" s="657" t="s">
        <v>866</v>
      </c>
      <c r="G1247" s="664">
        <f>SUM(G1245:G1246)</f>
        <v>0</v>
      </c>
      <c r="H1247" s="664">
        <f t="shared" ref="H1247:BO1247" si="521">SUM(H1245:H1246)</f>
        <v>0</v>
      </c>
      <c r="I1247" s="664">
        <f t="shared" si="521"/>
        <v>0</v>
      </c>
      <c r="J1247" s="664">
        <f t="shared" si="521"/>
        <v>0</v>
      </c>
      <c r="K1247" s="664">
        <f t="shared" si="521"/>
        <v>0</v>
      </c>
      <c r="L1247" s="664">
        <f t="shared" si="521"/>
        <v>0</v>
      </c>
      <c r="M1247" s="664">
        <f t="shared" si="521"/>
        <v>0</v>
      </c>
      <c r="N1247" s="664">
        <f t="shared" si="521"/>
        <v>0</v>
      </c>
      <c r="O1247" s="664">
        <f t="shared" si="521"/>
        <v>0</v>
      </c>
      <c r="P1247" s="664">
        <f t="shared" si="521"/>
        <v>0</v>
      </c>
      <c r="Q1247" s="664">
        <f t="shared" si="521"/>
        <v>0</v>
      </c>
      <c r="R1247" s="664">
        <f t="shared" si="521"/>
        <v>0</v>
      </c>
      <c r="S1247" s="664">
        <f t="shared" ref="S1247:AA1247" si="522">ROUND(SUM(S1244:S1246),5)</f>
        <v>0</v>
      </c>
      <c r="T1247" s="664">
        <f t="shared" si="522"/>
        <v>0</v>
      </c>
      <c r="U1247" s="664">
        <f t="shared" si="522"/>
        <v>0</v>
      </c>
      <c r="V1247" s="664">
        <f t="shared" si="522"/>
        <v>0</v>
      </c>
      <c r="W1247" s="664">
        <f t="shared" si="522"/>
        <v>0</v>
      </c>
      <c r="X1247" s="664">
        <f t="shared" si="522"/>
        <v>0</v>
      </c>
      <c r="Y1247" s="664">
        <f t="shared" si="522"/>
        <v>0</v>
      </c>
      <c r="Z1247" s="664">
        <f t="shared" si="522"/>
        <v>0</v>
      </c>
      <c r="AA1247" s="664">
        <f t="shared" si="522"/>
        <v>0</v>
      </c>
      <c r="AB1247" s="664">
        <f t="shared" ref="AB1247:AG1247" si="523">ROUND(SUM(AB1244:AB1246),5)</f>
        <v>0</v>
      </c>
      <c r="AC1247" s="664">
        <f t="shared" si="523"/>
        <v>0</v>
      </c>
      <c r="AD1247" s="664">
        <f t="shared" si="523"/>
        <v>0</v>
      </c>
      <c r="AE1247" s="664">
        <f t="shared" si="523"/>
        <v>0</v>
      </c>
      <c r="AF1247" s="664">
        <f t="shared" si="523"/>
        <v>0</v>
      </c>
      <c r="AG1247" s="664">
        <f t="shared" si="523"/>
        <v>0</v>
      </c>
      <c r="AH1247" s="664">
        <f t="shared" si="521"/>
        <v>0</v>
      </c>
      <c r="AI1247" s="664">
        <f t="shared" si="521"/>
        <v>0</v>
      </c>
      <c r="AJ1247" s="664">
        <f t="shared" si="521"/>
        <v>0</v>
      </c>
      <c r="AK1247" s="664">
        <f t="shared" si="521"/>
        <v>0</v>
      </c>
      <c r="AL1247" s="664">
        <f t="shared" si="521"/>
        <v>0</v>
      </c>
      <c r="AM1247" s="664">
        <f t="shared" si="521"/>
        <v>0</v>
      </c>
      <c r="AN1247" s="664">
        <f t="shared" si="521"/>
        <v>0</v>
      </c>
      <c r="AO1247" s="664">
        <f t="shared" si="521"/>
        <v>0</v>
      </c>
      <c r="AP1247" s="664">
        <f t="shared" si="521"/>
        <v>0</v>
      </c>
      <c r="AQ1247" s="664">
        <f t="shared" si="521"/>
        <v>0</v>
      </c>
      <c r="AR1247" s="664">
        <f t="shared" si="521"/>
        <v>0</v>
      </c>
      <c r="AS1247" s="664">
        <f t="shared" si="521"/>
        <v>0</v>
      </c>
      <c r="AT1247" s="664">
        <f t="shared" si="521"/>
        <v>0</v>
      </c>
      <c r="AU1247" s="664">
        <f t="shared" si="521"/>
        <v>0</v>
      </c>
      <c r="AV1247" s="664">
        <f t="shared" si="521"/>
        <v>0</v>
      </c>
      <c r="AW1247" s="664">
        <f t="shared" si="521"/>
        <v>0</v>
      </c>
      <c r="AX1247" s="664">
        <f t="shared" si="521"/>
        <v>0</v>
      </c>
      <c r="AY1247" s="664">
        <f t="shared" si="521"/>
        <v>0</v>
      </c>
      <c r="AZ1247" s="664">
        <f t="shared" si="521"/>
        <v>0</v>
      </c>
      <c r="BA1247" s="664">
        <f t="shared" si="521"/>
        <v>0</v>
      </c>
      <c r="BB1247" s="664">
        <f t="shared" si="521"/>
        <v>0</v>
      </c>
      <c r="BC1247" s="664">
        <f t="shared" si="521"/>
        <v>0</v>
      </c>
      <c r="BD1247" s="664">
        <f t="shared" si="521"/>
        <v>0</v>
      </c>
      <c r="BE1247" s="664">
        <f t="shared" si="521"/>
        <v>0</v>
      </c>
      <c r="BF1247" s="664">
        <f t="shared" si="521"/>
        <v>0</v>
      </c>
      <c r="BG1247" s="664">
        <f t="shared" si="521"/>
        <v>0</v>
      </c>
      <c r="BH1247" s="664">
        <f t="shared" si="521"/>
        <v>0</v>
      </c>
      <c r="BI1247" s="664">
        <f t="shared" si="521"/>
        <v>0</v>
      </c>
      <c r="BJ1247" s="664">
        <f t="shared" si="521"/>
        <v>0</v>
      </c>
      <c r="BK1247" s="664">
        <f t="shared" si="521"/>
        <v>0</v>
      </c>
      <c r="BL1247" s="664">
        <f t="shared" si="521"/>
        <v>0</v>
      </c>
      <c r="BM1247" s="664">
        <f t="shared" si="521"/>
        <v>0</v>
      </c>
      <c r="BN1247" s="664">
        <f t="shared" si="521"/>
        <v>0</v>
      </c>
      <c r="BO1247" s="664">
        <f t="shared" si="521"/>
        <v>0</v>
      </c>
      <c r="BP1247" s="664">
        <f t="shared" ref="BP1247:CA1247" si="524">SUM(BP1245:BP1246)</f>
        <v>0</v>
      </c>
      <c r="BQ1247" s="664">
        <f t="shared" si="524"/>
        <v>0</v>
      </c>
      <c r="BR1247" s="664">
        <f t="shared" si="524"/>
        <v>0</v>
      </c>
      <c r="BS1247" s="664">
        <f t="shared" si="524"/>
        <v>0</v>
      </c>
      <c r="BT1247" s="664">
        <f t="shared" si="524"/>
        <v>0</v>
      </c>
      <c r="BU1247" s="664">
        <f t="shared" si="524"/>
        <v>0</v>
      </c>
      <c r="BV1247" s="664">
        <f t="shared" si="524"/>
        <v>0</v>
      </c>
      <c r="BW1247" s="664">
        <f t="shared" si="524"/>
        <v>0</v>
      </c>
      <c r="BX1247" s="664">
        <f t="shared" si="524"/>
        <v>0</v>
      </c>
      <c r="BY1247" s="664">
        <f t="shared" si="524"/>
        <v>0</v>
      </c>
      <c r="BZ1247" s="664">
        <f t="shared" si="524"/>
        <v>0</v>
      </c>
      <c r="CA1247" s="664">
        <f t="shared" si="524"/>
        <v>0</v>
      </c>
    </row>
    <row r="1248" spans="1:79" s="693" customFormat="1" hidden="1" outlineLevel="1" x14ac:dyDescent="0.25">
      <c r="A1248" s="694"/>
      <c r="E1248" s="570" t="s">
        <v>1362</v>
      </c>
      <c r="F1248" s="694" t="s">
        <v>646</v>
      </c>
      <c r="G1248" s="746"/>
      <c r="H1248" s="746"/>
      <c r="I1248" s="746"/>
      <c r="J1248" s="746"/>
      <c r="K1248" s="746"/>
      <c r="L1248" s="746"/>
      <c r="M1248" s="746"/>
      <c r="N1248" s="746"/>
      <c r="O1248" s="746"/>
      <c r="P1248" s="746"/>
      <c r="Q1248" s="746"/>
      <c r="R1248" s="746"/>
      <c r="S1248" s="692"/>
      <c r="T1248" s="692"/>
      <c r="U1248" s="692"/>
      <c r="V1248" s="692"/>
      <c r="W1248" s="692"/>
      <c r="X1248" s="692"/>
      <c r="Y1248" s="692"/>
      <c r="Z1248" s="692"/>
      <c r="AA1248" s="692"/>
      <c r="AB1248" s="692"/>
      <c r="AC1248" s="692"/>
      <c r="AD1248" s="692"/>
      <c r="AE1248" s="692"/>
      <c r="AF1248" s="734"/>
      <c r="AG1248" s="692"/>
      <c r="AH1248" s="746"/>
      <c r="AI1248" s="746"/>
      <c r="AJ1248" s="746"/>
      <c r="AK1248" s="746"/>
      <c r="AL1248" s="746"/>
      <c r="AM1248" s="746"/>
      <c r="AN1248" s="746"/>
      <c r="AO1248" s="746"/>
      <c r="AP1248" s="746"/>
      <c r="AQ1248" s="746"/>
      <c r="AR1248" s="746"/>
      <c r="AS1248" s="746"/>
      <c r="AT1248" s="746"/>
      <c r="AU1248" s="746"/>
      <c r="AV1248" s="746"/>
      <c r="AW1248" s="746"/>
      <c r="AX1248" s="746"/>
      <c r="AY1248" s="746"/>
      <c r="AZ1248" s="746"/>
      <c r="BA1248" s="746"/>
      <c r="BB1248" s="746"/>
      <c r="BC1248" s="746"/>
      <c r="BD1248" s="746"/>
      <c r="BE1248" s="746"/>
      <c r="BF1248" s="746"/>
      <c r="BG1248" s="746"/>
      <c r="BH1248" s="746"/>
      <c r="BI1248" s="746"/>
      <c r="BJ1248" s="746"/>
      <c r="BK1248" s="746"/>
      <c r="BL1248" s="746"/>
      <c r="BM1248" s="746"/>
      <c r="BN1248" s="746"/>
      <c r="BO1248" s="746"/>
      <c r="BP1248" s="746"/>
      <c r="BQ1248" s="746"/>
      <c r="BR1248" s="746"/>
      <c r="BS1248" s="746"/>
      <c r="BT1248" s="746"/>
      <c r="BU1248" s="746"/>
      <c r="BV1248" s="746"/>
      <c r="BW1248" s="746"/>
      <c r="BX1248" s="746"/>
      <c r="BY1248" s="746"/>
      <c r="BZ1248" s="746"/>
      <c r="CA1248" s="746"/>
    </row>
    <row r="1249" spans="1:79" hidden="1" outlineLevel="1" x14ac:dyDescent="0.25">
      <c r="A1249" s="656"/>
      <c r="B1249" s="223"/>
      <c r="C1249" s="223"/>
      <c r="D1249" s="223"/>
      <c r="E1249" s="570" t="s">
        <v>1362</v>
      </c>
      <c r="F1249" s="656" t="s">
        <v>867</v>
      </c>
      <c r="G1249" s="664"/>
      <c r="H1249" s="664"/>
      <c r="I1249" s="664"/>
      <c r="J1249" s="664"/>
      <c r="K1249" s="664"/>
      <c r="L1249" s="664"/>
      <c r="M1249" s="664"/>
      <c r="N1249" s="664"/>
      <c r="O1249" s="664"/>
      <c r="P1249" s="664"/>
      <c r="Q1249" s="664"/>
      <c r="R1249" s="664"/>
      <c r="S1249" s="663">
        <v>0</v>
      </c>
      <c r="T1249" s="663">
        <v>0</v>
      </c>
      <c r="U1249" s="663">
        <v>0</v>
      </c>
      <c r="V1249" s="663">
        <v>0</v>
      </c>
      <c r="W1249" s="663">
        <v>0</v>
      </c>
      <c r="X1249" s="663">
        <v>0</v>
      </c>
      <c r="Y1249" s="663">
        <v>0</v>
      </c>
      <c r="Z1249" s="663">
        <v>0</v>
      </c>
      <c r="AA1249" s="663">
        <v>0</v>
      </c>
      <c r="AB1249" s="663">
        <v>0</v>
      </c>
      <c r="AC1249" s="663">
        <v>0</v>
      </c>
      <c r="AD1249" s="663">
        <v>0</v>
      </c>
      <c r="AE1249" s="663">
        <v>0</v>
      </c>
      <c r="AF1249" s="716">
        <v>0</v>
      </c>
      <c r="AG1249" s="663">
        <v>0</v>
      </c>
      <c r="AH1249" s="664"/>
      <c r="AI1249" s="664"/>
      <c r="AJ1249" s="664"/>
      <c r="AK1249" s="664"/>
      <c r="AL1249" s="664"/>
      <c r="AM1249" s="664"/>
      <c r="AN1249" s="664"/>
      <c r="AO1249" s="664"/>
      <c r="AP1249" s="664"/>
      <c r="AQ1249" s="664"/>
      <c r="AR1249" s="664"/>
      <c r="AS1249" s="664"/>
      <c r="AT1249" s="664"/>
      <c r="AU1249" s="664"/>
      <c r="AV1249" s="664"/>
      <c r="AW1249" s="664"/>
      <c r="AX1249" s="664"/>
      <c r="AY1249" s="664"/>
      <c r="AZ1249" s="664"/>
      <c r="BA1249" s="664"/>
      <c r="BB1249" s="664"/>
      <c r="BC1249" s="664"/>
      <c r="BD1249" s="664"/>
      <c r="BE1249" s="664"/>
      <c r="BF1249" s="664"/>
      <c r="BG1249" s="664"/>
      <c r="BH1249" s="664"/>
      <c r="BI1249" s="664"/>
      <c r="BJ1249" s="664"/>
      <c r="BK1249" s="664"/>
      <c r="BL1249" s="664"/>
      <c r="BM1249" s="664"/>
      <c r="BN1249" s="664"/>
      <c r="BO1249" s="664"/>
      <c r="BP1249" s="664"/>
      <c r="BQ1249" s="664"/>
      <c r="BR1249" s="664"/>
      <c r="BS1249" s="664"/>
      <c r="BT1249" s="664"/>
      <c r="BU1249" s="664"/>
      <c r="BV1249" s="664"/>
      <c r="BW1249" s="664"/>
      <c r="BX1249" s="664"/>
      <c r="BY1249" s="664"/>
      <c r="BZ1249" s="664"/>
      <c r="CA1249" s="664"/>
    </row>
    <row r="1250" spans="1:79" s="308" customFormat="1" hidden="1" outlineLevel="1" x14ac:dyDescent="0.25">
      <c r="A1250" s="656"/>
      <c r="B1250" s="437"/>
      <c r="C1250" s="437"/>
      <c r="D1250" s="437"/>
      <c r="E1250" s="570" t="s">
        <v>1362</v>
      </c>
      <c r="F1250" s="656" t="s">
        <v>868</v>
      </c>
      <c r="G1250" s="716">
        <v>67.94</v>
      </c>
      <c r="H1250" s="716">
        <v>44.95</v>
      </c>
      <c r="I1250" s="716">
        <v>357.67</v>
      </c>
      <c r="J1250" s="716">
        <v>44.95</v>
      </c>
      <c r="K1250" s="716">
        <v>115</v>
      </c>
      <c r="L1250" s="716">
        <v>15</v>
      </c>
      <c r="M1250" s="716">
        <v>65</v>
      </c>
      <c r="N1250" s="716">
        <v>54.95</v>
      </c>
      <c r="O1250" s="716">
        <v>44.95</v>
      </c>
      <c r="P1250" s="716">
        <v>41.08</v>
      </c>
      <c r="Q1250" s="716">
        <v>40</v>
      </c>
      <c r="R1250" s="720">
        <v>200</v>
      </c>
      <c r="S1250" s="663">
        <v>0</v>
      </c>
      <c r="T1250" s="663">
        <v>0</v>
      </c>
      <c r="U1250" s="663">
        <v>101.52</v>
      </c>
      <c r="V1250" s="663">
        <v>0</v>
      </c>
      <c r="W1250" s="663">
        <v>0</v>
      </c>
      <c r="X1250" s="663">
        <v>90.64</v>
      </c>
      <c r="Y1250" s="663">
        <v>0</v>
      </c>
      <c r="Z1250" s="663">
        <v>0</v>
      </c>
      <c r="AA1250" s="663">
        <v>0</v>
      </c>
      <c r="AB1250" s="663">
        <v>0</v>
      </c>
      <c r="AC1250" s="663">
        <v>-5254.32</v>
      </c>
      <c r="AD1250" s="663">
        <v>150.12</v>
      </c>
      <c r="AE1250" s="663">
        <v>150.12</v>
      </c>
      <c r="AF1250" s="719">
        <v>150.12</v>
      </c>
      <c r="AG1250" s="663">
        <v>150.12</v>
      </c>
      <c r="AH1250" s="720"/>
      <c r="AI1250" s="720"/>
      <c r="AJ1250" s="720"/>
      <c r="AK1250" s="720"/>
      <c r="AL1250" s="720"/>
      <c r="AM1250" s="720"/>
      <c r="AN1250" s="720"/>
      <c r="AO1250" s="720"/>
      <c r="AP1250" s="720"/>
      <c r="AQ1250" s="720"/>
      <c r="AR1250" s="720"/>
      <c r="AS1250" s="720"/>
      <c r="AT1250" s="720"/>
      <c r="AU1250" s="720"/>
      <c r="AV1250" s="720"/>
      <c r="AW1250" s="720"/>
      <c r="AX1250" s="720"/>
      <c r="AY1250" s="720"/>
      <c r="AZ1250" s="720"/>
      <c r="BA1250" s="720"/>
      <c r="BB1250" s="720"/>
      <c r="BC1250" s="720"/>
      <c r="BD1250" s="720"/>
      <c r="BE1250" s="720"/>
      <c r="BF1250" s="720"/>
      <c r="BG1250" s="720"/>
      <c r="BH1250" s="720"/>
      <c r="BI1250" s="720"/>
      <c r="BJ1250" s="720"/>
      <c r="BK1250" s="720"/>
      <c r="BL1250" s="720"/>
      <c r="BM1250" s="720"/>
      <c r="BN1250" s="720"/>
      <c r="BO1250" s="720"/>
      <c r="BP1250" s="720"/>
      <c r="BQ1250" s="720"/>
      <c r="BR1250" s="720"/>
      <c r="BS1250" s="720"/>
      <c r="BT1250" s="720"/>
      <c r="BU1250" s="720"/>
      <c r="BV1250" s="720"/>
      <c r="BW1250" s="720"/>
      <c r="BX1250" s="720"/>
      <c r="BY1250" s="720"/>
      <c r="BZ1250" s="720"/>
      <c r="CA1250" s="720"/>
    </row>
    <row r="1251" spans="1:79" s="308" customFormat="1" hidden="1" outlineLevel="1" x14ac:dyDescent="0.25">
      <c r="A1251" s="657"/>
      <c r="B1251" s="570"/>
      <c r="C1251" s="570"/>
      <c r="D1251" s="570"/>
      <c r="E1251" s="570" t="s">
        <v>49</v>
      </c>
      <c r="F1251" s="657" t="s">
        <v>869</v>
      </c>
      <c r="G1251" s="664">
        <f t="shared" ref="G1251" si="525">SUM(G1249:G1250)</f>
        <v>67.94</v>
      </c>
      <c r="H1251" s="664">
        <f t="shared" ref="H1251" si="526">SUM(H1249:H1250)</f>
        <v>44.95</v>
      </c>
      <c r="I1251" s="664">
        <f t="shared" ref="I1251" si="527">SUM(I1249:I1250)</f>
        <v>357.67</v>
      </c>
      <c r="J1251" s="664">
        <f t="shared" ref="J1251" si="528">SUM(J1249:J1250)</f>
        <v>44.95</v>
      </c>
      <c r="K1251" s="664">
        <f t="shared" ref="K1251" si="529">SUM(K1249:K1250)</f>
        <v>115</v>
      </c>
      <c r="L1251" s="664">
        <f t="shared" ref="L1251" si="530">SUM(L1249:L1250)</f>
        <v>15</v>
      </c>
      <c r="M1251" s="664">
        <f t="shared" ref="M1251" si="531">SUM(M1249:M1250)</f>
        <v>65</v>
      </c>
      <c r="N1251" s="664">
        <f t="shared" ref="N1251" si="532">SUM(N1249:N1250)</f>
        <v>54.95</v>
      </c>
      <c r="O1251" s="664">
        <f t="shared" ref="O1251" si="533">SUM(O1249:O1250)</f>
        <v>44.95</v>
      </c>
      <c r="P1251" s="664">
        <f t="shared" ref="P1251" si="534">SUM(P1249:P1250)</f>
        <v>41.08</v>
      </c>
      <c r="Q1251" s="664">
        <f t="shared" ref="Q1251" si="535">SUM(Q1249:Q1250)</f>
        <v>40</v>
      </c>
      <c r="R1251" s="664">
        <f t="shared" ref="R1251" si="536">SUM(R1249:R1250)</f>
        <v>200</v>
      </c>
      <c r="S1251" s="664">
        <f t="shared" ref="S1251:AA1251" si="537">ROUND(SUM(S1248:S1250),5)</f>
        <v>0</v>
      </c>
      <c r="T1251" s="664">
        <f t="shared" si="537"/>
        <v>0</v>
      </c>
      <c r="U1251" s="664">
        <f t="shared" si="537"/>
        <v>101.52</v>
      </c>
      <c r="V1251" s="664">
        <f t="shared" si="537"/>
        <v>0</v>
      </c>
      <c r="W1251" s="664">
        <f t="shared" si="537"/>
        <v>0</v>
      </c>
      <c r="X1251" s="664">
        <f t="shared" si="537"/>
        <v>90.64</v>
      </c>
      <c r="Y1251" s="664">
        <f t="shared" si="537"/>
        <v>0</v>
      </c>
      <c r="Z1251" s="664">
        <f t="shared" si="537"/>
        <v>0</v>
      </c>
      <c r="AA1251" s="664">
        <f t="shared" si="537"/>
        <v>0</v>
      </c>
      <c r="AB1251" s="664">
        <f t="shared" ref="AB1251:AG1251" si="538">ROUND(SUM(AB1248:AB1250),5)</f>
        <v>0</v>
      </c>
      <c r="AC1251" s="664">
        <f t="shared" si="538"/>
        <v>-5254.32</v>
      </c>
      <c r="AD1251" s="664">
        <f t="shared" si="538"/>
        <v>150.12</v>
      </c>
      <c r="AE1251" s="664">
        <f t="shared" si="538"/>
        <v>150.12</v>
      </c>
      <c r="AF1251" s="664">
        <f t="shared" si="538"/>
        <v>150.12</v>
      </c>
      <c r="AG1251" s="664">
        <f t="shared" si="538"/>
        <v>150.12</v>
      </c>
      <c r="AH1251" s="720"/>
      <c r="AI1251" s="720"/>
      <c r="AJ1251" s="720"/>
      <c r="AK1251" s="720"/>
      <c r="AL1251" s="720"/>
      <c r="AM1251" s="720"/>
      <c r="AN1251" s="720"/>
      <c r="AO1251" s="720"/>
      <c r="AP1251" s="720"/>
      <c r="AQ1251" s="720"/>
      <c r="AR1251" s="720"/>
      <c r="AS1251" s="720"/>
      <c r="AT1251" s="720"/>
      <c r="AU1251" s="720"/>
      <c r="AV1251" s="720"/>
      <c r="AW1251" s="720"/>
      <c r="AX1251" s="720"/>
      <c r="AY1251" s="720"/>
      <c r="AZ1251" s="720"/>
      <c r="BA1251" s="720"/>
      <c r="BB1251" s="720"/>
      <c r="BC1251" s="720"/>
      <c r="BD1251" s="720"/>
      <c r="BE1251" s="720"/>
      <c r="BF1251" s="720"/>
      <c r="BG1251" s="720"/>
      <c r="BH1251" s="720"/>
      <c r="BI1251" s="720"/>
      <c r="BJ1251" s="720"/>
      <c r="BK1251" s="720"/>
      <c r="BL1251" s="720"/>
      <c r="BM1251" s="720"/>
      <c r="BN1251" s="720"/>
      <c r="BO1251" s="720"/>
      <c r="BP1251" s="720"/>
      <c r="BQ1251" s="720"/>
      <c r="BR1251" s="720"/>
      <c r="BS1251" s="720"/>
      <c r="BT1251" s="720"/>
      <c r="BU1251" s="720"/>
      <c r="BV1251" s="720"/>
      <c r="BW1251" s="720"/>
      <c r="BX1251" s="720"/>
      <c r="BY1251" s="720"/>
      <c r="BZ1251" s="720"/>
      <c r="CA1251" s="720"/>
    </row>
    <row r="1252" spans="1:79" s="451" customFormat="1" hidden="1" outlineLevel="1" x14ac:dyDescent="0.25">
      <c r="A1252" s="658"/>
      <c r="B1252" s="437"/>
      <c r="C1252" s="437"/>
      <c r="D1252" s="437"/>
      <c r="E1252" s="570" t="s">
        <v>1328</v>
      </c>
      <c r="F1252" s="658" t="s">
        <v>589</v>
      </c>
      <c r="G1252" s="716"/>
      <c r="H1252" s="716">
        <v>89.000415940110287</v>
      </c>
      <c r="I1252" s="716">
        <v>15.892017291625621</v>
      </c>
      <c r="J1252" s="716">
        <v>148.19924384644727</v>
      </c>
      <c r="K1252" s="716">
        <v>22.580405139952706</v>
      </c>
      <c r="L1252" s="716">
        <v>161.89619960239352</v>
      </c>
      <c r="M1252" s="716">
        <v>8.7562313816351054</v>
      </c>
      <c r="N1252" s="716">
        <v>58.948716450822324</v>
      </c>
      <c r="O1252" s="716">
        <v>56.939484576226789</v>
      </c>
      <c r="P1252" s="716">
        <v>622.58771566760743</v>
      </c>
      <c r="Q1252" s="716"/>
      <c r="R1252" s="720"/>
      <c r="S1252" s="667">
        <v>0</v>
      </c>
      <c r="T1252" s="667">
        <v>0</v>
      </c>
      <c r="U1252" s="667">
        <v>14.95</v>
      </c>
      <c r="V1252" s="667">
        <v>14.95</v>
      </c>
      <c r="W1252" s="667">
        <v>14.95</v>
      </c>
      <c r="X1252" s="667">
        <v>34.94</v>
      </c>
      <c r="Y1252" s="667">
        <v>14.95</v>
      </c>
      <c r="Z1252" s="667">
        <v>0</v>
      </c>
      <c r="AA1252" s="667">
        <v>0</v>
      </c>
      <c r="AB1252" s="667">
        <v>0</v>
      </c>
      <c r="AC1252" s="666">
        <v>0</v>
      </c>
      <c r="AD1252" s="666">
        <v>0</v>
      </c>
      <c r="AE1252" s="667">
        <v>0</v>
      </c>
      <c r="AF1252" s="719">
        <v>0</v>
      </c>
      <c r="AG1252" s="666">
        <v>0</v>
      </c>
      <c r="AH1252" s="720"/>
      <c r="AI1252" s="720"/>
      <c r="AJ1252" s="720"/>
      <c r="AK1252" s="720"/>
      <c r="AL1252" s="720"/>
      <c r="AM1252" s="720"/>
      <c r="AN1252" s="720"/>
      <c r="AO1252" s="720"/>
      <c r="AP1252" s="720"/>
      <c r="AQ1252" s="720"/>
      <c r="AR1252" s="720"/>
      <c r="AS1252" s="720"/>
      <c r="AT1252" s="720"/>
      <c r="AU1252" s="720"/>
      <c r="AV1252" s="720"/>
      <c r="AW1252" s="720"/>
      <c r="AX1252" s="720"/>
      <c r="AY1252" s="720"/>
      <c r="AZ1252" s="720"/>
      <c r="BA1252" s="720"/>
      <c r="BB1252" s="720"/>
      <c r="BC1252" s="720"/>
      <c r="BD1252" s="720"/>
      <c r="BE1252" s="720"/>
      <c r="BF1252" s="720"/>
      <c r="BG1252" s="720"/>
      <c r="BH1252" s="720"/>
      <c r="BI1252" s="720"/>
      <c r="BJ1252" s="720"/>
      <c r="BK1252" s="720"/>
      <c r="BL1252" s="720"/>
      <c r="BM1252" s="720"/>
      <c r="BN1252" s="720"/>
      <c r="BO1252" s="720"/>
      <c r="BP1252" s="720"/>
      <c r="BQ1252" s="720"/>
      <c r="BR1252" s="720"/>
      <c r="BS1252" s="720"/>
      <c r="BT1252" s="720"/>
      <c r="BU1252" s="720"/>
      <c r="BV1252" s="720"/>
      <c r="BW1252" s="720"/>
      <c r="BX1252" s="720"/>
      <c r="BY1252" s="720"/>
      <c r="BZ1252" s="720"/>
      <c r="CA1252" s="720"/>
    </row>
    <row r="1253" spans="1:79" s="451" customFormat="1" hidden="1" outlineLevel="1" x14ac:dyDescent="0.25">
      <c r="A1253" s="655"/>
      <c r="B1253" s="570"/>
      <c r="C1253" s="570"/>
      <c r="D1253" s="570"/>
      <c r="E1253" s="570" t="s">
        <v>1329</v>
      </c>
      <c r="F1253" s="655" t="s">
        <v>870</v>
      </c>
      <c r="G1253" s="716"/>
      <c r="H1253" s="716"/>
      <c r="I1253" s="716"/>
      <c r="J1253" s="716"/>
      <c r="K1253" s="716"/>
      <c r="L1253" s="716"/>
      <c r="M1253" s="716"/>
      <c r="N1253" s="716"/>
      <c r="O1253" s="716"/>
      <c r="P1253" s="716"/>
      <c r="Q1253" s="716"/>
      <c r="R1253" s="720"/>
      <c r="S1253" s="667">
        <v>0</v>
      </c>
      <c r="T1253" s="667">
        <v>0</v>
      </c>
      <c r="U1253" s="667">
        <v>0</v>
      </c>
      <c r="V1253" s="667">
        <v>0</v>
      </c>
      <c r="W1253" s="667">
        <v>0</v>
      </c>
      <c r="X1253" s="667">
        <v>0</v>
      </c>
      <c r="Y1253" s="667">
        <v>0</v>
      </c>
      <c r="Z1253" s="667">
        <v>0</v>
      </c>
      <c r="AA1253" s="667">
        <v>0</v>
      </c>
      <c r="AB1253" s="667">
        <v>0</v>
      </c>
      <c r="AC1253" s="666">
        <v>0</v>
      </c>
      <c r="AD1253" s="666">
        <v>0</v>
      </c>
      <c r="AE1253" s="667">
        <v>0</v>
      </c>
      <c r="AF1253" s="719">
        <v>0</v>
      </c>
      <c r="AG1253" s="666">
        <v>0</v>
      </c>
      <c r="AH1253" s="720"/>
      <c r="AI1253" s="720"/>
      <c r="AJ1253" s="720"/>
      <c r="AK1253" s="720"/>
      <c r="AL1253" s="720"/>
      <c r="AM1253" s="720"/>
      <c r="AN1253" s="720"/>
      <c r="AO1253" s="720"/>
      <c r="AP1253" s="720"/>
      <c r="AQ1253" s="720"/>
      <c r="AR1253" s="720"/>
      <c r="AS1253" s="720"/>
      <c r="AT1253" s="720"/>
      <c r="AU1253" s="720"/>
      <c r="AV1253" s="720"/>
      <c r="AW1253" s="720"/>
      <c r="AX1253" s="720"/>
      <c r="AY1253" s="720"/>
      <c r="AZ1253" s="720"/>
      <c r="BA1253" s="720"/>
      <c r="BB1253" s="720"/>
      <c r="BC1253" s="720"/>
      <c r="BD1253" s="720"/>
      <c r="BE1253" s="720"/>
      <c r="BF1253" s="720"/>
      <c r="BG1253" s="720"/>
      <c r="BH1253" s="720"/>
      <c r="BI1253" s="720"/>
      <c r="BJ1253" s="720"/>
      <c r="BK1253" s="720"/>
      <c r="BL1253" s="720"/>
      <c r="BM1253" s="720"/>
      <c r="BN1253" s="720"/>
      <c r="BO1253" s="720"/>
      <c r="BP1253" s="720"/>
      <c r="BQ1253" s="720"/>
      <c r="BR1253" s="720"/>
      <c r="BS1253" s="720"/>
      <c r="BT1253" s="720"/>
      <c r="BU1253" s="720"/>
      <c r="BV1253" s="720"/>
      <c r="BW1253" s="720"/>
      <c r="BX1253" s="720"/>
      <c r="BY1253" s="720"/>
      <c r="BZ1253" s="720"/>
      <c r="CA1253" s="720"/>
    </row>
    <row r="1254" spans="1:79" s="737" customFormat="1" hidden="1" outlineLevel="1" x14ac:dyDescent="0.25">
      <c r="A1254" s="695"/>
      <c r="B1254" s="700"/>
      <c r="C1254" s="700"/>
      <c r="D1254" s="700"/>
      <c r="E1254" s="570" t="s">
        <v>1330</v>
      </c>
      <c r="F1254" s="695" t="s">
        <v>590</v>
      </c>
      <c r="G1254" s="736"/>
      <c r="H1254" s="736"/>
      <c r="I1254" s="736"/>
      <c r="J1254" s="736"/>
      <c r="K1254" s="736"/>
      <c r="L1254" s="736"/>
      <c r="M1254" s="736"/>
      <c r="N1254" s="736"/>
      <c r="O1254" s="736"/>
      <c r="P1254" s="736"/>
      <c r="Q1254" s="736"/>
      <c r="R1254" s="762"/>
      <c r="S1254" s="697"/>
      <c r="T1254" s="697"/>
      <c r="U1254" s="697"/>
      <c r="V1254" s="697"/>
      <c r="W1254" s="697"/>
      <c r="X1254" s="697"/>
      <c r="Y1254" s="697"/>
      <c r="Z1254" s="697"/>
      <c r="AA1254" s="697"/>
      <c r="AB1254" s="697"/>
      <c r="AC1254" s="697"/>
      <c r="AD1254" s="697"/>
      <c r="AE1254" s="697"/>
      <c r="AF1254" s="733"/>
      <c r="AG1254" s="697"/>
      <c r="AH1254" s="735"/>
      <c r="AI1254" s="735"/>
      <c r="AJ1254" s="735"/>
      <c r="AK1254" s="735"/>
      <c r="AL1254" s="735"/>
      <c r="AM1254" s="735"/>
      <c r="AN1254" s="735"/>
      <c r="AO1254" s="735"/>
      <c r="AP1254" s="735"/>
      <c r="AQ1254" s="735"/>
      <c r="AR1254" s="735"/>
      <c r="AS1254" s="735"/>
      <c r="AT1254" s="735"/>
      <c r="AU1254" s="735"/>
      <c r="AV1254" s="735"/>
      <c r="AW1254" s="735"/>
      <c r="AX1254" s="735"/>
      <c r="AY1254" s="735"/>
      <c r="AZ1254" s="735"/>
      <c r="BA1254" s="735"/>
      <c r="BB1254" s="735"/>
      <c r="BC1254" s="735"/>
      <c r="BD1254" s="735"/>
      <c r="BE1254" s="735"/>
      <c r="BF1254" s="735"/>
      <c r="BG1254" s="735"/>
      <c r="BH1254" s="735"/>
      <c r="BI1254" s="735"/>
      <c r="BJ1254" s="735"/>
      <c r="BK1254" s="735"/>
      <c r="BL1254" s="735"/>
      <c r="BM1254" s="735"/>
      <c r="BN1254" s="735"/>
      <c r="BO1254" s="735"/>
      <c r="BP1254" s="735"/>
      <c r="BQ1254" s="735"/>
      <c r="BR1254" s="735"/>
      <c r="BS1254" s="735"/>
      <c r="BT1254" s="735"/>
      <c r="BU1254" s="735"/>
      <c r="BV1254" s="735"/>
      <c r="BW1254" s="735"/>
      <c r="BX1254" s="735"/>
      <c r="BY1254" s="735"/>
      <c r="BZ1254" s="735"/>
      <c r="CA1254" s="735"/>
    </row>
    <row r="1255" spans="1:79" hidden="1" outlineLevel="1" x14ac:dyDescent="0.25">
      <c r="A1255" s="691"/>
      <c r="B1255" s="693"/>
      <c r="C1255" s="693"/>
      <c r="D1255" s="693"/>
      <c r="E1255" s="570" t="s">
        <v>645</v>
      </c>
      <c r="F1255" s="691" t="s">
        <v>645</v>
      </c>
      <c r="G1255" s="692"/>
      <c r="H1255" s="692"/>
      <c r="I1255" s="692"/>
      <c r="J1255" s="692"/>
      <c r="K1255" s="692"/>
      <c r="L1255" s="692"/>
      <c r="M1255" s="692"/>
      <c r="N1255" s="692"/>
      <c r="O1255" s="692"/>
      <c r="P1255" s="692"/>
      <c r="Q1255" s="692"/>
      <c r="R1255" s="692"/>
      <c r="S1255" s="692"/>
      <c r="T1255" s="692"/>
      <c r="U1255" s="692"/>
      <c r="V1255" s="692"/>
      <c r="W1255" s="692"/>
      <c r="X1255" s="692"/>
      <c r="Y1255" s="692"/>
      <c r="Z1255" s="692"/>
      <c r="AA1255" s="692"/>
      <c r="AB1255" s="692"/>
      <c r="AC1255" s="692"/>
      <c r="AD1255" s="692"/>
      <c r="AE1255" s="692"/>
      <c r="AF1255" s="692"/>
      <c r="AG1255" s="692"/>
      <c r="AH1255" s="692"/>
      <c r="AI1255" s="692"/>
      <c r="AJ1255" s="692"/>
      <c r="AK1255" s="692"/>
      <c r="AL1255" s="692"/>
      <c r="AM1255" s="692"/>
      <c r="AN1255" s="692"/>
      <c r="AO1255" s="692"/>
      <c r="AP1255" s="692"/>
      <c r="AQ1255" s="692"/>
      <c r="AR1255" s="692"/>
      <c r="AS1255" s="692"/>
      <c r="AT1255" s="692"/>
      <c r="AU1255" s="692"/>
      <c r="AV1255" s="692"/>
      <c r="AW1255" s="692"/>
      <c r="AX1255" s="692"/>
      <c r="AY1255" s="692"/>
      <c r="AZ1255" s="692"/>
      <c r="BA1255" s="692"/>
      <c r="BB1255" s="692"/>
      <c r="BC1255" s="692"/>
      <c r="BD1255" s="692"/>
      <c r="BE1255" s="692"/>
      <c r="BF1255" s="692"/>
      <c r="BG1255" s="692"/>
      <c r="BH1255" s="692"/>
      <c r="BI1255" s="692"/>
      <c r="BJ1255" s="692"/>
      <c r="BK1255" s="692"/>
      <c r="BL1255" s="692"/>
      <c r="BM1255" s="692"/>
      <c r="BN1255" s="692"/>
      <c r="BO1255" s="692"/>
      <c r="BP1255" s="692"/>
      <c r="BQ1255" s="692"/>
      <c r="BR1255" s="692"/>
      <c r="BS1255" s="692"/>
      <c r="BT1255" s="692"/>
      <c r="BU1255" s="692"/>
      <c r="BV1255" s="692"/>
      <c r="BW1255" s="692"/>
      <c r="BX1255" s="692"/>
      <c r="BY1255" s="692"/>
      <c r="BZ1255" s="692"/>
      <c r="CA1255" s="692"/>
    </row>
    <row r="1256" spans="1:79" hidden="1" outlineLevel="1" x14ac:dyDescent="0.25">
      <c r="A1256" s="656"/>
      <c r="B1256" s="223"/>
      <c r="C1256" s="223"/>
      <c r="D1256" s="223"/>
      <c r="E1256" s="570" t="s">
        <v>1330</v>
      </c>
      <c r="F1256" s="656" t="s">
        <v>858</v>
      </c>
      <c r="G1256" s="663"/>
      <c r="H1256" s="663"/>
      <c r="I1256" s="663"/>
      <c r="J1256" s="663"/>
      <c r="K1256" s="663"/>
      <c r="L1256" s="663"/>
      <c r="M1256" s="663"/>
      <c r="N1256" s="663"/>
      <c r="O1256" s="663"/>
      <c r="P1256" s="663"/>
      <c r="Q1256" s="663"/>
      <c r="R1256" s="663"/>
      <c r="S1256" s="663">
        <v>0</v>
      </c>
      <c r="T1256" s="663">
        <v>0</v>
      </c>
      <c r="U1256" s="663">
        <v>0</v>
      </c>
      <c r="V1256" s="663">
        <v>0</v>
      </c>
      <c r="W1256" s="663">
        <v>0</v>
      </c>
      <c r="X1256" s="663">
        <v>0</v>
      </c>
      <c r="Y1256" s="663">
        <v>0</v>
      </c>
      <c r="Z1256" s="663">
        <v>0</v>
      </c>
      <c r="AA1256" s="663">
        <v>0</v>
      </c>
      <c r="AB1256" s="663">
        <v>0</v>
      </c>
      <c r="AC1256" s="663">
        <v>0</v>
      </c>
      <c r="AD1256" s="663">
        <v>0</v>
      </c>
      <c r="AE1256" s="663">
        <v>0</v>
      </c>
      <c r="AF1256" s="663">
        <v>0</v>
      </c>
      <c r="AG1256" s="663">
        <v>0</v>
      </c>
      <c r="AH1256" s="663"/>
      <c r="AI1256" s="663"/>
      <c r="AJ1256" s="663"/>
      <c r="AK1256" s="663"/>
      <c r="AL1256" s="663"/>
      <c r="AM1256" s="663"/>
      <c r="AN1256" s="663"/>
      <c r="AO1256" s="663"/>
      <c r="AP1256" s="663"/>
      <c r="AQ1256" s="663"/>
      <c r="AR1256" s="663"/>
      <c r="AS1256" s="663"/>
      <c r="AT1256" s="663"/>
      <c r="AU1256" s="663"/>
      <c r="AV1256" s="663"/>
      <c r="AW1256" s="663"/>
      <c r="AX1256" s="663"/>
      <c r="AY1256" s="663"/>
      <c r="AZ1256" s="663"/>
      <c r="BA1256" s="663"/>
      <c r="BB1256" s="663"/>
      <c r="BC1256" s="663"/>
      <c r="BD1256" s="663"/>
      <c r="BE1256" s="663"/>
      <c r="BF1256" s="663"/>
      <c r="BG1256" s="663"/>
      <c r="BH1256" s="663"/>
      <c r="BI1256" s="663"/>
      <c r="BJ1256" s="663"/>
      <c r="BK1256" s="663"/>
      <c r="BL1256" s="663"/>
      <c r="BM1256" s="663"/>
      <c r="BN1256" s="663"/>
      <c r="BO1256" s="663"/>
      <c r="BP1256" s="663"/>
      <c r="BQ1256" s="663"/>
      <c r="BR1256" s="663"/>
      <c r="BS1256" s="663"/>
      <c r="BT1256" s="663"/>
      <c r="BU1256" s="663"/>
      <c r="BV1256" s="663"/>
      <c r="BW1256" s="663"/>
      <c r="BX1256" s="663"/>
      <c r="BY1256" s="663"/>
      <c r="BZ1256" s="663"/>
      <c r="CA1256" s="663"/>
    </row>
    <row r="1257" spans="1:79" hidden="1" outlineLevel="1" x14ac:dyDescent="0.25">
      <c r="A1257" s="656"/>
      <c r="B1257" s="570"/>
      <c r="C1257" s="570"/>
      <c r="D1257" s="570"/>
      <c r="E1257" s="570" t="s">
        <v>645</v>
      </c>
      <c r="F1257" s="656" t="s">
        <v>859</v>
      </c>
      <c r="G1257" s="719"/>
      <c r="H1257" s="719"/>
      <c r="I1257" s="719"/>
      <c r="J1257" s="719"/>
      <c r="K1257" s="719"/>
      <c r="L1257" s="719"/>
      <c r="M1257" s="719"/>
      <c r="N1257" s="719"/>
      <c r="O1257" s="719"/>
      <c r="P1257" s="716"/>
      <c r="Q1257" s="716"/>
      <c r="R1257" s="716"/>
      <c r="S1257" s="663">
        <v>0</v>
      </c>
      <c r="T1257" s="663">
        <v>0</v>
      </c>
      <c r="U1257" s="663">
        <v>0</v>
      </c>
      <c r="V1257" s="663">
        <v>8.4</v>
      </c>
      <c r="W1257" s="663">
        <v>0</v>
      </c>
      <c r="X1257" s="663">
        <v>0</v>
      </c>
      <c r="Y1257" s="663">
        <v>0</v>
      </c>
      <c r="Z1257" s="663">
        <v>0</v>
      </c>
      <c r="AA1257" s="663">
        <v>0</v>
      </c>
      <c r="AB1257" s="663">
        <v>0</v>
      </c>
      <c r="AC1257" s="663">
        <v>0</v>
      </c>
      <c r="AD1257" s="663">
        <v>0</v>
      </c>
      <c r="AE1257" s="663">
        <v>0</v>
      </c>
      <c r="AF1257" s="716">
        <v>0</v>
      </c>
      <c r="AG1257" s="663">
        <v>0</v>
      </c>
      <c r="AH1257" s="718"/>
      <c r="AI1257" s="718"/>
      <c r="AJ1257" s="718"/>
      <c r="AK1257" s="718"/>
      <c r="AL1257" s="718"/>
      <c r="AM1257" s="718"/>
      <c r="AN1257" s="718"/>
      <c r="AO1257" s="718"/>
      <c r="AP1257" s="718"/>
      <c r="AQ1257" s="718"/>
      <c r="AR1257" s="718"/>
      <c r="AS1257" s="718"/>
      <c r="AT1257" s="718"/>
      <c r="AU1257" s="718"/>
      <c r="AV1257" s="718"/>
      <c r="AW1257" s="718"/>
      <c r="AX1257" s="718"/>
      <c r="AY1257" s="718"/>
      <c r="AZ1257" s="718"/>
      <c r="BA1257" s="718"/>
      <c r="BB1257" s="718"/>
      <c r="BC1257" s="718"/>
      <c r="BD1257" s="718"/>
      <c r="BE1257" s="718"/>
      <c r="BF1257" s="718"/>
      <c r="BG1257" s="718"/>
      <c r="BH1257" s="718"/>
      <c r="BI1257" s="718"/>
      <c r="BJ1257" s="718"/>
      <c r="BK1257" s="718"/>
      <c r="BL1257" s="718"/>
      <c r="BM1257" s="718"/>
      <c r="BN1257" s="718"/>
      <c r="BO1257" s="718"/>
      <c r="BP1257" s="718"/>
      <c r="BQ1257" s="718"/>
      <c r="BR1257" s="718"/>
      <c r="BS1257" s="718"/>
      <c r="BT1257" s="718"/>
      <c r="BU1257" s="718"/>
      <c r="BV1257" s="718"/>
      <c r="BW1257" s="718"/>
      <c r="BX1257" s="718"/>
      <c r="BY1257" s="718"/>
      <c r="BZ1257" s="718"/>
      <c r="CA1257" s="718"/>
    </row>
    <row r="1258" spans="1:79" hidden="1" outlineLevel="1" x14ac:dyDescent="0.25">
      <c r="A1258" s="657"/>
      <c r="B1258" s="223"/>
      <c r="C1258" s="223"/>
      <c r="D1258" s="223"/>
      <c r="E1258" s="570" t="s">
        <v>49</v>
      </c>
      <c r="F1258" s="657" t="s">
        <v>860</v>
      </c>
      <c r="G1258" s="664">
        <f>SUM(G1256:G1257)</f>
        <v>0</v>
      </c>
      <c r="H1258" s="664">
        <f t="shared" ref="H1258:BO1258" si="539">SUM(H1256:H1257)</f>
        <v>0</v>
      </c>
      <c r="I1258" s="664">
        <f t="shared" si="539"/>
        <v>0</v>
      </c>
      <c r="J1258" s="664">
        <f t="shared" si="539"/>
        <v>0</v>
      </c>
      <c r="K1258" s="664">
        <f t="shared" si="539"/>
        <v>0</v>
      </c>
      <c r="L1258" s="664">
        <f t="shared" si="539"/>
        <v>0</v>
      </c>
      <c r="M1258" s="664">
        <f t="shared" si="539"/>
        <v>0</v>
      </c>
      <c r="N1258" s="664">
        <f t="shared" si="539"/>
        <v>0</v>
      </c>
      <c r="O1258" s="664">
        <f t="shared" si="539"/>
        <v>0</v>
      </c>
      <c r="P1258" s="664">
        <f t="shared" si="539"/>
        <v>0</v>
      </c>
      <c r="Q1258" s="664">
        <f t="shared" si="539"/>
        <v>0</v>
      </c>
      <c r="R1258" s="664">
        <f t="shared" si="539"/>
        <v>0</v>
      </c>
      <c r="S1258" s="664">
        <f t="shared" ref="S1258:AA1258" si="540">ROUND(SUM(S1255:S1257),5)</f>
        <v>0</v>
      </c>
      <c r="T1258" s="664">
        <f t="shared" si="540"/>
        <v>0</v>
      </c>
      <c r="U1258" s="664">
        <f t="shared" si="540"/>
        <v>0</v>
      </c>
      <c r="V1258" s="664">
        <f t="shared" si="540"/>
        <v>8.4</v>
      </c>
      <c r="W1258" s="664">
        <f t="shared" si="540"/>
        <v>0</v>
      </c>
      <c r="X1258" s="664">
        <f t="shared" si="540"/>
        <v>0</v>
      </c>
      <c r="Y1258" s="664">
        <f t="shared" si="540"/>
        <v>0</v>
      </c>
      <c r="Z1258" s="664">
        <f t="shared" si="540"/>
        <v>0</v>
      </c>
      <c r="AA1258" s="664">
        <f t="shared" si="540"/>
        <v>0</v>
      </c>
      <c r="AB1258" s="664">
        <f t="shared" ref="AB1258:AG1258" si="541">ROUND(SUM(AB1255:AB1257),5)</f>
        <v>0</v>
      </c>
      <c r="AC1258" s="664">
        <f t="shared" si="541"/>
        <v>0</v>
      </c>
      <c r="AD1258" s="664">
        <f t="shared" si="541"/>
        <v>0</v>
      </c>
      <c r="AE1258" s="664">
        <f t="shared" si="541"/>
        <v>0</v>
      </c>
      <c r="AF1258" s="664">
        <f t="shared" si="541"/>
        <v>0</v>
      </c>
      <c r="AG1258" s="664">
        <f t="shared" si="541"/>
        <v>0</v>
      </c>
      <c r="AH1258" s="664">
        <f t="shared" si="539"/>
        <v>0</v>
      </c>
      <c r="AI1258" s="664">
        <f t="shared" si="539"/>
        <v>0</v>
      </c>
      <c r="AJ1258" s="664">
        <f t="shared" si="539"/>
        <v>0</v>
      </c>
      <c r="AK1258" s="664">
        <f t="shared" si="539"/>
        <v>0</v>
      </c>
      <c r="AL1258" s="664">
        <f t="shared" si="539"/>
        <v>0</v>
      </c>
      <c r="AM1258" s="664">
        <f t="shared" si="539"/>
        <v>0</v>
      </c>
      <c r="AN1258" s="664">
        <f t="shared" si="539"/>
        <v>0</v>
      </c>
      <c r="AO1258" s="664">
        <f t="shared" si="539"/>
        <v>0</v>
      </c>
      <c r="AP1258" s="664">
        <f t="shared" si="539"/>
        <v>0</v>
      </c>
      <c r="AQ1258" s="664">
        <f t="shared" si="539"/>
        <v>0</v>
      </c>
      <c r="AR1258" s="664">
        <f t="shared" si="539"/>
        <v>0</v>
      </c>
      <c r="AS1258" s="664">
        <f t="shared" si="539"/>
        <v>0</v>
      </c>
      <c r="AT1258" s="664">
        <f t="shared" si="539"/>
        <v>0</v>
      </c>
      <c r="AU1258" s="664">
        <f t="shared" si="539"/>
        <v>0</v>
      </c>
      <c r="AV1258" s="664">
        <f t="shared" si="539"/>
        <v>0</v>
      </c>
      <c r="AW1258" s="664">
        <f t="shared" si="539"/>
        <v>0</v>
      </c>
      <c r="AX1258" s="664">
        <f t="shared" si="539"/>
        <v>0</v>
      </c>
      <c r="AY1258" s="664">
        <f t="shared" si="539"/>
        <v>0</v>
      </c>
      <c r="AZ1258" s="664">
        <f t="shared" si="539"/>
        <v>0</v>
      </c>
      <c r="BA1258" s="664">
        <f t="shared" si="539"/>
        <v>0</v>
      </c>
      <c r="BB1258" s="664">
        <f t="shared" si="539"/>
        <v>0</v>
      </c>
      <c r="BC1258" s="664">
        <f t="shared" si="539"/>
        <v>0</v>
      </c>
      <c r="BD1258" s="664">
        <f t="shared" si="539"/>
        <v>0</v>
      </c>
      <c r="BE1258" s="664">
        <f t="shared" si="539"/>
        <v>0</v>
      </c>
      <c r="BF1258" s="664">
        <f t="shared" si="539"/>
        <v>0</v>
      </c>
      <c r="BG1258" s="664">
        <f t="shared" si="539"/>
        <v>0</v>
      </c>
      <c r="BH1258" s="664">
        <f t="shared" si="539"/>
        <v>0</v>
      </c>
      <c r="BI1258" s="664">
        <f t="shared" si="539"/>
        <v>0</v>
      </c>
      <c r="BJ1258" s="664">
        <f t="shared" si="539"/>
        <v>0</v>
      </c>
      <c r="BK1258" s="664">
        <f t="shared" si="539"/>
        <v>0</v>
      </c>
      <c r="BL1258" s="664">
        <f t="shared" si="539"/>
        <v>0</v>
      </c>
      <c r="BM1258" s="664">
        <f t="shared" si="539"/>
        <v>0</v>
      </c>
      <c r="BN1258" s="664">
        <f t="shared" si="539"/>
        <v>0</v>
      </c>
      <c r="BO1258" s="664">
        <f t="shared" si="539"/>
        <v>0</v>
      </c>
      <c r="BP1258" s="664">
        <f t="shared" ref="BP1258:CA1258" si="542">SUM(BP1256:BP1257)</f>
        <v>0</v>
      </c>
      <c r="BQ1258" s="664">
        <f t="shared" si="542"/>
        <v>0</v>
      </c>
      <c r="BR1258" s="664">
        <f t="shared" si="542"/>
        <v>0</v>
      </c>
      <c r="BS1258" s="664">
        <f t="shared" si="542"/>
        <v>0</v>
      </c>
      <c r="BT1258" s="664">
        <f t="shared" si="542"/>
        <v>0</v>
      </c>
      <c r="BU1258" s="664">
        <f t="shared" si="542"/>
        <v>0</v>
      </c>
      <c r="BV1258" s="664">
        <f t="shared" si="542"/>
        <v>0</v>
      </c>
      <c r="BW1258" s="664">
        <f t="shared" si="542"/>
        <v>0</v>
      </c>
      <c r="BX1258" s="664">
        <f t="shared" si="542"/>
        <v>0</v>
      </c>
      <c r="BY1258" s="664">
        <f t="shared" si="542"/>
        <v>0</v>
      </c>
      <c r="BZ1258" s="664">
        <f t="shared" si="542"/>
        <v>0</v>
      </c>
      <c r="CA1258" s="664">
        <f t="shared" si="542"/>
        <v>0</v>
      </c>
    </row>
    <row r="1259" spans="1:79" s="451" customFormat="1" hidden="1" outlineLevel="1" x14ac:dyDescent="0.25">
      <c r="A1259" s="656"/>
      <c r="B1259" s="503"/>
      <c r="C1259" s="503"/>
      <c r="D1259" s="503"/>
      <c r="E1259" s="570" t="s">
        <v>1330</v>
      </c>
      <c r="F1259" s="656" t="s">
        <v>871</v>
      </c>
      <c r="G1259" s="718"/>
      <c r="H1259" s="718"/>
      <c r="I1259" s="718"/>
      <c r="J1259" s="718"/>
      <c r="K1259" s="718"/>
      <c r="L1259" s="718"/>
      <c r="M1259" s="718"/>
      <c r="N1259" s="718"/>
      <c r="O1259" s="718"/>
      <c r="P1259" s="718"/>
      <c r="Q1259" s="718"/>
      <c r="R1259" s="717"/>
      <c r="S1259" s="671">
        <v>0</v>
      </c>
      <c r="T1259" s="671">
        <v>0</v>
      </c>
      <c r="U1259" s="671">
        <v>0</v>
      </c>
      <c r="V1259" s="671">
        <v>0</v>
      </c>
      <c r="W1259" s="671">
        <v>0</v>
      </c>
      <c r="X1259" s="671">
        <v>0</v>
      </c>
      <c r="Y1259" s="671">
        <v>0</v>
      </c>
      <c r="Z1259" s="671">
        <v>0</v>
      </c>
      <c r="AA1259" s="671">
        <v>0</v>
      </c>
      <c r="AB1259" s="671">
        <v>0</v>
      </c>
      <c r="AC1259" s="670">
        <v>0</v>
      </c>
      <c r="AD1259" s="670">
        <v>0</v>
      </c>
      <c r="AE1259" s="671">
        <v>0</v>
      </c>
      <c r="AF1259" s="719">
        <v>0</v>
      </c>
      <c r="AG1259" s="670">
        <v>0</v>
      </c>
      <c r="AH1259" s="720"/>
      <c r="AI1259" s="720"/>
      <c r="AJ1259" s="720"/>
      <c r="AK1259" s="720"/>
      <c r="AL1259" s="720"/>
      <c r="AM1259" s="720"/>
      <c r="AN1259" s="720"/>
      <c r="AO1259" s="720"/>
      <c r="AP1259" s="720"/>
      <c r="AQ1259" s="720"/>
      <c r="AR1259" s="720"/>
      <c r="AS1259" s="720"/>
      <c r="AT1259" s="720"/>
      <c r="AU1259" s="720"/>
      <c r="AV1259" s="720"/>
      <c r="AW1259" s="720"/>
      <c r="AX1259" s="720"/>
      <c r="AY1259" s="720"/>
      <c r="AZ1259" s="720"/>
      <c r="BA1259" s="720"/>
      <c r="BB1259" s="720"/>
      <c r="BC1259" s="720"/>
      <c r="BD1259" s="720"/>
      <c r="BE1259" s="720"/>
      <c r="BF1259" s="720"/>
      <c r="BG1259" s="720"/>
      <c r="BH1259" s="720"/>
      <c r="BI1259" s="720"/>
      <c r="BJ1259" s="720"/>
      <c r="BK1259" s="720"/>
      <c r="BL1259" s="720"/>
      <c r="BM1259" s="720"/>
      <c r="BN1259" s="720"/>
      <c r="BO1259" s="720"/>
      <c r="BP1259" s="720"/>
      <c r="BQ1259" s="720"/>
      <c r="BR1259" s="720"/>
      <c r="BS1259" s="720"/>
      <c r="BT1259" s="720"/>
      <c r="BU1259" s="720"/>
      <c r="BV1259" s="720"/>
      <c r="BW1259" s="720"/>
      <c r="BX1259" s="720"/>
      <c r="BY1259" s="720"/>
      <c r="BZ1259" s="720"/>
      <c r="CA1259" s="720"/>
    </row>
    <row r="1260" spans="1:79" s="451" customFormat="1" hidden="1" outlineLevel="1" x14ac:dyDescent="0.25">
      <c r="A1260" s="656"/>
      <c r="B1260" s="503"/>
      <c r="C1260" s="503"/>
      <c r="D1260" s="503"/>
      <c r="E1260" s="570" t="s">
        <v>1076</v>
      </c>
      <c r="F1260" s="656" t="s">
        <v>872</v>
      </c>
      <c r="G1260" s="718"/>
      <c r="H1260" s="718"/>
      <c r="I1260" s="718"/>
      <c r="J1260" s="718"/>
      <c r="K1260" s="718"/>
      <c r="L1260" s="718"/>
      <c r="M1260" s="718"/>
      <c r="N1260" s="718"/>
      <c r="O1260" s="718"/>
      <c r="P1260" s="718"/>
      <c r="Q1260" s="718"/>
      <c r="R1260" s="717"/>
      <c r="S1260" s="671">
        <v>0</v>
      </c>
      <c r="T1260" s="671">
        <v>0</v>
      </c>
      <c r="U1260" s="671">
        <v>0</v>
      </c>
      <c r="V1260" s="671">
        <v>0</v>
      </c>
      <c r="W1260" s="671">
        <v>0</v>
      </c>
      <c r="X1260" s="671">
        <v>0</v>
      </c>
      <c r="Y1260" s="671">
        <v>0</v>
      </c>
      <c r="Z1260" s="671">
        <v>0</v>
      </c>
      <c r="AA1260" s="671">
        <v>0</v>
      </c>
      <c r="AB1260" s="671">
        <v>0</v>
      </c>
      <c r="AC1260" s="670">
        <v>0</v>
      </c>
      <c r="AD1260" s="670">
        <v>0</v>
      </c>
      <c r="AE1260" s="671">
        <v>0</v>
      </c>
      <c r="AF1260" s="719">
        <v>0</v>
      </c>
      <c r="AG1260" s="670">
        <v>0</v>
      </c>
      <c r="AH1260" s="720"/>
      <c r="AI1260" s="720"/>
      <c r="AJ1260" s="720"/>
      <c r="AK1260" s="720"/>
      <c r="AL1260" s="720"/>
      <c r="AM1260" s="720"/>
      <c r="AN1260" s="720"/>
      <c r="AO1260" s="720"/>
      <c r="AP1260" s="720"/>
      <c r="AQ1260" s="720"/>
      <c r="AR1260" s="720"/>
      <c r="AS1260" s="720"/>
      <c r="AT1260" s="720"/>
      <c r="AU1260" s="720"/>
      <c r="AV1260" s="720"/>
      <c r="AW1260" s="720"/>
      <c r="AX1260" s="720"/>
      <c r="AY1260" s="720"/>
      <c r="AZ1260" s="720"/>
      <c r="BA1260" s="720"/>
      <c r="BB1260" s="720"/>
      <c r="BC1260" s="720"/>
      <c r="BD1260" s="720"/>
      <c r="BE1260" s="720"/>
      <c r="BF1260" s="720"/>
      <c r="BG1260" s="720"/>
      <c r="BH1260" s="720"/>
      <c r="BI1260" s="720"/>
      <c r="BJ1260" s="720"/>
      <c r="BK1260" s="720"/>
      <c r="BL1260" s="720"/>
      <c r="BM1260" s="720"/>
      <c r="BN1260" s="720"/>
      <c r="BO1260" s="720"/>
      <c r="BP1260" s="720"/>
      <c r="BQ1260" s="720"/>
      <c r="BR1260" s="720"/>
      <c r="BS1260" s="720"/>
      <c r="BT1260" s="720"/>
      <c r="BU1260" s="720"/>
      <c r="BV1260" s="720"/>
      <c r="BW1260" s="720"/>
      <c r="BX1260" s="720"/>
      <c r="BY1260" s="720"/>
      <c r="BZ1260" s="720"/>
      <c r="CA1260" s="720"/>
    </row>
    <row r="1261" spans="1:79" s="451" customFormat="1" hidden="1" outlineLevel="1" x14ac:dyDescent="0.25">
      <c r="A1261" s="656"/>
      <c r="B1261" s="503"/>
      <c r="C1261" s="503"/>
      <c r="D1261" s="503"/>
      <c r="E1261" s="570" t="s">
        <v>1331</v>
      </c>
      <c r="F1261" s="656" t="s">
        <v>873</v>
      </c>
      <c r="G1261" s="718"/>
      <c r="H1261" s="718"/>
      <c r="I1261" s="718"/>
      <c r="J1261" s="718"/>
      <c r="K1261" s="718"/>
      <c r="L1261" s="718"/>
      <c r="M1261" s="718"/>
      <c r="N1261" s="718"/>
      <c r="O1261" s="718"/>
      <c r="P1261" s="718"/>
      <c r="Q1261" s="718"/>
      <c r="R1261" s="717"/>
      <c r="S1261" s="671">
        <v>0</v>
      </c>
      <c r="T1261" s="671">
        <v>0</v>
      </c>
      <c r="U1261" s="671">
        <v>0</v>
      </c>
      <c r="V1261" s="671">
        <v>0</v>
      </c>
      <c r="W1261" s="671">
        <v>0</v>
      </c>
      <c r="X1261" s="671">
        <v>0</v>
      </c>
      <c r="Y1261" s="671">
        <v>0</v>
      </c>
      <c r="Z1261" s="671">
        <v>0</v>
      </c>
      <c r="AA1261" s="671">
        <v>0</v>
      </c>
      <c r="AB1261" s="671">
        <v>0</v>
      </c>
      <c r="AC1261" s="670">
        <v>0</v>
      </c>
      <c r="AD1261" s="670">
        <v>0</v>
      </c>
      <c r="AE1261" s="671">
        <v>0</v>
      </c>
      <c r="AF1261" s="719">
        <v>0</v>
      </c>
      <c r="AG1261" s="670">
        <v>0</v>
      </c>
      <c r="AH1261" s="720"/>
      <c r="AI1261" s="720"/>
      <c r="AJ1261" s="720"/>
      <c r="AK1261" s="720"/>
      <c r="AL1261" s="720"/>
      <c r="AM1261" s="720"/>
      <c r="AN1261" s="720"/>
      <c r="AO1261" s="720"/>
      <c r="AP1261" s="720"/>
      <c r="AQ1261" s="720"/>
      <c r="AR1261" s="720"/>
      <c r="AS1261" s="720"/>
      <c r="AT1261" s="720"/>
      <c r="AU1261" s="720"/>
      <c r="AV1261" s="720"/>
      <c r="AW1261" s="720"/>
      <c r="AX1261" s="720"/>
      <c r="AY1261" s="720"/>
      <c r="AZ1261" s="720"/>
      <c r="BA1261" s="720"/>
      <c r="BB1261" s="720"/>
      <c r="BC1261" s="720"/>
      <c r="BD1261" s="720"/>
      <c r="BE1261" s="720"/>
      <c r="BF1261" s="720"/>
      <c r="BG1261" s="720"/>
      <c r="BH1261" s="720"/>
      <c r="BI1261" s="720"/>
      <c r="BJ1261" s="720"/>
      <c r="BK1261" s="720"/>
      <c r="BL1261" s="720"/>
      <c r="BM1261" s="720"/>
      <c r="BN1261" s="720"/>
      <c r="BO1261" s="720"/>
      <c r="BP1261" s="720"/>
      <c r="BQ1261" s="720"/>
      <c r="BR1261" s="720"/>
      <c r="BS1261" s="720"/>
      <c r="BT1261" s="720"/>
      <c r="BU1261" s="720"/>
      <c r="BV1261" s="720"/>
      <c r="BW1261" s="720"/>
      <c r="BX1261" s="720"/>
      <c r="BY1261" s="720"/>
      <c r="BZ1261" s="720"/>
      <c r="CA1261" s="720"/>
    </row>
    <row r="1262" spans="1:79" s="451" customFormat="1" hidden="1" outlineLevel="1" x14ac:dyDescent="0.25">
      <c r="A1262" s="656"/>
      <c r="B1262" s="79"/>
      <c r="C1262" s="79"/>
      <c r="D1262" s="79"/>
      <c r="E1262" s="570" t="s">
        <v>1357</v>
      </c>
      <c r="F1262" s="656" t="s">
        <v>605</v>
      </c>
      <c r="G1262" s="723"/>
      <c r="H1262" s="723"/>
      <c r="I1262" s="723"/>
      <c r="J1262" s="723"/>
      <c r="K1262" s="723"/>
      <c r="L1262" s="723"/>
      <c r="M1262" s="723"/>
      <c r="N1262" s="723"/>
      <c r="O1262" s="723"/>
      <c r="P1262" s="718"/>
      <c r="Q1262" s="718"/>
      <c r="R1262" s="717"/>
      <c r="S1262" s="667">
        <v>343.13</v>
      </c>
      <c r="T1262" s="667">
        <v>402.26</v>
      </c>
      <c r="U1262" s="667">
        <v>84.94</v>
      </c>
      <c r="V1262" s="667">
        <v>1050.51</v>
      </c>
      <c r="W1262" s="667">
        <v>2453.8200000000002</v>
      </c>
      <c r="X1262" s="667">
        <v>0</v>
      </c>
      <c r="Y1262" s="667">
        <v>1354.68</v>
      </c>
      <c r="Z1262" s="667">
        <v>95.98</v>
      </c>
      <c r="AA1262" s="667">
        <v>0</v>
      </c>
      <c r="AB1262" s="667">
        <v>70.83</v>
      </c>
      <c r="AC1262" s="674">
        <v>511.75</v>
      </c>
      <c r="AD1262" s="674">
        <v>414.43</v>
      </c>
      <c r="AE1262" s="667">
        <v>670.47</v>
      </c>
      <c r="AF1262" s="719">
        <v>98.92</v>
      </c>
      <c r="AG1262" s="674">
        <v>31.76</v>
      </c>
      <c r="AH1262" s="720"/>
      <c r="AI1262" s="720"/>
      <c r="AJ1262" s="720"/>
      <c r="AK1262" s="720"/>
      <c r="AL1262" s="720"/>
      <c r="AM1262" s="720"/>
      <c r="AN1262" s="720"/>
      <c r="AO1262" s="720"/>
      <c r="AP1262" s="720"/>
      <c r="AQ1262" s="720"/>
      <c r="AR1262" s="720"/>
      <c r="AS1262" s="720"/>
      <c r="AT1262" s="720"/>
      <c r="AU1262" s="720"/>
      <c r="AV1262" s="720"/>
      <c r="AW1262" s="720"/>
      <c r="AX1262" s="720"/>
      <c r="AY1262" s="720"/>
      <c r="AZ1262" s="720"/>
      <c r="BA1262" s="720"/>
      <c r="BB1262" s="720"/>
      <c r="BC1262" s="720"/>
      <c r="BD1262" s="720"/>
      <c r="BE1262" s="720"/>
      <c r="BF1262" s="720"/>
      <c r="BG1262" s="720"/>
      <c r="BH1262" s="720"/>
      <c r="BI1262" s="720"/>
      <c r="BJ1262" s="720"/>
      <c r="BK1262" s="720"/>
      <c r="BL1262" s="720"/>
      <c r="BM1262" s="720"/>
      <c r="BN1262" s="720"/>
      <c r="BO1262" s="720"/>
      <c r="BP1262" s="720"/>
      <c r="BQ1262" s="720"/>
      <c r="BR1262" s="720"/>
      <c r="BS1262" s="720"/>
      <c r="BT1262" s="720"/>
      <c r="BU1262" s="720"/>
      <c r="BV1262" s="720"/>
      <c r="BW1262" s="720"/>
      <c r="BX1262" s="720"/>
      <c r="BY1262" s="720"/>
      <c r="BZ1262" s="720"/>
      <c r="CA1262" s="720"/>
    </row>
    <row r="1263" spans="1:79" s="308" customFormat="1" hidden="1" outlineLevel="1" x14ac:dyDescent="0.25">
      <c r="A1263" s="656"/>
      <c r="B1263" s="79"/>
      <c r="C1263" s="79"/>
      <c r="D1263" s="79"/>
      <c r="E1263" s="570" t="s">
        <v>645</v>
      </c>
      <c r="F1263" s="656" t="s">
        <v>606</v>
      </c>
      <c r="G1263" s="723"/>
      <c r="H1263" s="723"/>
      <c r="I1263" s="723"/>
      <c r="J1263" s="723"/>
      <c r="K1263" s="723"/>
      <c r="L1263" s="723"/>
      <c r="M1263" s="723"/>
      <c r="N1263" s="723"/>
      <c r="O1263" s="723"/>
      <c r="P1263" s="718"/>
      <c r="Q1263" s="718"/>
      <c r="R1263" s="717"/>
      <c r="S1263" s="667">
        <v>726.5</v>
      </c>
      <c r="T1263" s="667">
        <v>784.73</v>
      </c>
      <c r="U1263" s="667">
        <v>1692.21</v>
      </c>
      <c r="V1263" s="667">
        <v>888.96</v>
      </c>
      <c r="W1263" s="667">
        <v>876.15</v>
      </c>
      <c r="X1263" s="667">
        <v>1253.78</v>
      </c>
      <c r="Y1263" s="667">
        <v>544.95000000000005</v>
      </c>
      <c r="Z1263" s="667">
        <v>706.92</v>
      </c>
      <c r="AA1263" s="667">
        <v>566.85</v>
      </c>
      <c r="AB1263" s="667">
        <v>2023.7</v>
      </c>
      <c r="AC1263" s="674">
        <v>-1380.11</v>
      </c>
      <c r="AD1263" s="674">
        <v>60</v>
      </c>
      <c r="AE1263" s="667">
        <v>247.24</v>
      </c>
      <c r="AF1263" s="719">
        <v>970.37</v>
      </c>
      <c r="AG1263" s="674">
        <v>781.35</v>
      </c>
      <c r="AH1263" s="720"/>
      <c r="AI1263" s="720"/>
      <c r="AJ1263" s="720"/>
      <c r="AK1263" s="720"/>
      <c r="AL1263" s="720"/>
      <c r="AM1263" s="720"/>
      <c r="AN1263" s="720"/>
      <c r="AO1263" s="720"/>
      <c r="AP1263" s="720"/>
      <c r="AQ1263" s="720"/>
      <c r="AR1263" s="720"/>
      <c r="AS1263" s="720"/>
      <c r="AT1263" s="720"/>
      <c r="AU1263" s="720"/>
      <c r="AV1263" s="720"/>
      <c r="AW1263" s="720"/>
      <c r="AX1263" s="720"/>
      <c r="AY1263" s="720"/>
      <c r="AZ1263" s="720"/>
      <c r="BA1263" s="720"/>
      <c r="BB1263" s="720"/>
      <c r="BC1263" s="720"/>
      <c r="BD1263" s="720"/>
      <c r="BE1263" s="720"/>
      <c r="BF1263" s="720"/>
      <c r="BG1263" s="720"/>
      <c r="BH1263" s="720"/>
      <c r="BI1263" s="720"/>
      <c r="BJ1263" s="720"/>
      <c r="BK1263" s="720"/>
      <c r="BL1263" s="720"/>
      <c r="BM1263" s="720"/>
      <c r="BN1263" s="720"/>
      <c r="BO1263" s="720"/>
      <c r="BP1263" s="720"/>
      <c r="BQ1263" s="720"/>
      <c r="BR1263" s="720"/>
      <c r="BS1263" s="720"/>
      <c r="BT1263" s="720"/>
      <c r="BU1263" s="720"/>
      <c r="BV1263" s="720"/>
      <c r="BW1263" s="720"/>
      <c r="BX1263" s="720"/>
      <c r="BY1263" s="720"/>
      <c r="BZ1263" s="720"/>
      <c r="CA1263" s="720"/>
    </row>
    <row r="1264" spans="1:79" hidden="1" outlineLevel="1" x14ac:dyDescent="0.25">
      <c r="A1264" s="656"/>
      <c r="B1264" s="79"/>
      <c r="C1264" s="79"/>
      <c r="D1264" s="79"/>
      <c r="E1264" s="570" t="s">
        <v>1330</v>
      </c>
      <c r="F1264" s="656" t="s">
        <v>607</v>
      </c>
      <c r="G1264" s="723"/>
      <c r="H1264" s="723"/>
      <c r="I1264" s="723"/>
      <c r="J1264" s="723"/>
      <c r="K1264" s="723"/>
      <c r="L1264" s="723"/>
      <c r="M1264" s="723"/>
      <c r="N1264" s="723"/>
      <c r="O1264" s="723"/>
      <c r="P1264" s="718"/>
      <c r="Q1264" s="718"/>
      <c r="R1264" s="717"/>
      <c r="S1264" s="667">
        <v>1146.3499999999999</v>
      </c>
      <c r="T1264" s="667">
        <v>368.7</v>
      </c>
      <c r="U1264" s="667">
        <v>558.65</v>
      </c>
      <c r="V1264" s="667">
        <v>443.7</v>
      </c>
      <c r="W1264" s="667">
        <v>443.7</v>
      </c>
      <c r="X1264" s="667">
        <v>776.78</v>
      </c>
      <c r="Y1264" s="667">
        <v>130.16</v>
      </c>
      <c r="Z1264" s="667">
        <v>1038.3699999999999</v>
      </c>
      <c r="AA1264" s="667">
        <v>782.59</v>
      </c>
      <c r="AB1264" s="667">
        <v>2284.5500000000002</v>
      </c>
      <c r="AC1264" s="674">
        <v>2267.61</v>
      </c>
      <c r="AD1264" s="674">
        <v>-1676.14</v>
      </c>
      <c r="AE1264" s="667">
        <v>2724.85</v>
      </c>
      <c r="AF1264" s="719">
        <v>2525.4</v>
      </c>
      <c r="AG1264" s="674">
        <v>2724.8</v>
      </c>
      <c r="AH1264" s="720"/>
      <c r="AI1264" s="720"/>
      <c r="AJ1264" s="720"/>
      <c r="AK1264" s="720"/>
      <c r="AL1264" s="720"/>
      <c r="AM1264" s="720"/>
      <c r="AN1264" s="720"/>
      <c r="AO1264" s="720"/>
      <c r="AP1264" s="720"/>
      <c r="AQ1264" s="720"/>
      <c r="AR1264" s="720"/>
      <c r="AS1264" s="720"/>
      <c r="AT1264" s="720"/>
      <c r="AU1264" s="720"/>
      <c r="AV1264" s="720"/>
      <c r="AW1264" s="720"/>
      <c r="AX1264" s="720"/>
      <c r="AY1264" s="720"/>
      <c r="AZ1264" s="720"/>
      <c r="BA1264" s="720"/>
      <c r="BB1264" s="720"/>
      <c r="BC1264" s="720"/>
      <c r="BD1264" s="720"/>
      <c r="BE1264" s="720"/>
      <c r="BF1264" s="720"/>
      <c r="BG1264" s="720"/>
      <c r="BH1264" s="720"/>
      <c r="BI1264" s="720"/>
      <c r="BJ1264" s="720"/>
      <c r="BK1264" s="720"/>
      <c r="BL1264" s="720"/>
      <c r="BM1264" s="720"/>
      <c r="BN1264" s="720"/>
      <c r="BO1264" s="720"/>
      <c r="BP1264" s="720"/>
      <c r="BQ1264" s="720"/>
      <c r="BR1264" s="720"/>
      <c r="BS1264" s="720"/>
      <c r="BT1264" s="720"/>
      <c r="BU1264" s="720"/>
      <c r="BV1264" s="720"/>
      <c r="BW1264" s="720"/>
      <c r="BX1264" s="720"/>
      <c r="BY1264" s="720"/>
      <c r="BZ1264" s="720"/>
      <c r="CA1264" s="720"/>
    </row>
    <row r="1265" spans="1:79" hidden="1" outlineLevel="1" x14ac:dyDescent="0.25">
      <c r="A1265" s="656"/>
      <c r="B1265" s="576"/>
      <c r="C1265" s="576"/>
      <c r="D1265" s="576"/>
      <c r="E1265" s="570" t="s">
        <v>1330</v>
      </c>
      <c r="F1265" s="656" t="s">
        <v>874</v>
      </c>
      <c r="G1265" s="719">
        <v>1942.4456099999998</v>
      </c>
      <c r="H1265" s="719">
        <v>1817.2428576254722</v>
      </c>
      <c r="I1265" s="719">
        <v>6204.4714594257539</v>
      </c>
      <c r="J1265" s="719">
        <v>1642.795559386989</v>
      </c>
      <c r="K1265" s="719">
        <v>2140.7674284131463</v>
      </c>
      <c r="L1265" s="719">
        <v>3305.4976499720501</v>
      </c>
      <c r="M1265" s="719">
        <v>5634.4269701931953</v>
      </c>
      <c r="N1265" s="719">
        <v>2057.2133953228386</v>
      </c>
      <c r="O1265" s="719">
        <v>1833.1195263793902</v>
      </c>
      <c r="P1265" s="716">
        <v>8772.0473070525386</v>
      </c>
      <c r="Q1265" s="716">
        <v>2135.9403693925592</v>
      </c>
      <c r="R1265" s="720">
        <v>266.66076207498975</v>
      </c>
      <c r="S1265" s="676">
        <v>0</v>
      </c>
      <c r="T1265" s="676">
        <v>0</v>
      </c>
      <c r="U1265" s="676">
        <v>0</v>
      </c>
      <c r="V1265" s="676">
        <v>0</v>
      </c>
      <c r="W1265" s="676">
        <v>0</v>
      </c>
      <c r="X1265" s="676">
        <v>0</v>
      </c>
      <c r="Y1265" s="676">
        <v>0</v>
      </c>
      <c r="Z1265" s="676">
        <v>0</v>
      </c>
      <c r="AA1265" s="676">
        <v>0</v>
      </c>
      <c r="AB1265" s="676">
        <v>0</v>
      </c>
      <c r="AC1265" s="686">
        <v>0</v>
      </c>
      <c r="AD1265" s="686">
        <v>0</v>
      </c>
      <c r="AE1265" s="676">
        <v>0</v>
      </c>
      <c r="AF1265" s="719">
        <v>0</v>
      </c>
      <c r="AG1265" s="686">
        <v>0</v>
      </c>
      <c r="AH1265" s="720"/>
      <c r="AI1265" s="720"/>
      <c r="AJ1265" s="720"/>
      <c r="AK1265" s="720"/>
      <c r="AL1265" s="720"/>
      <c r="AM1265" s="720"/>
      <c r="AN1265" s="720"/>
      <c r="AO1265" s="720"/>
      <c r="AP1265" s="720"/>
      <c r="AQ1265" s="720"/>
      <c r="AR1265" s="720"/>
      <c r="AS1265" s="720"/>
      <c r="AT1265" s="720"/>
      <c r="AU1265" s="720"/>
      <c r="AV1265" s="720"/>
      <c r="AW1265" s="720"/>
      <c r="AX1265" s="720"/>
      <c r="AY1265" s="720"/>
      <c r="AZ1265" s="720"/>
      <c r="BA1265" s="720"/>
      <c r="BB1265" s="720"/>
      <c r="BC1265" s="720"/>
      <c r="BD1265" s="720"/>
      <c r="BE1265" s="720"/>
      <c r="BF1265" s="720"/>
      <c r="BG1265" s="720"/>
      <c r="BH1265" s="720"/>
      <c r="BI1265" s="720"/>
      <c r="BJ1265" s="720"/>
      <c r="BK1265" s="720"/>
      <c r="BL1265" s="720"/>
      <c r="BM1265" s="720"/>
      <c r="BN1265" s="720"/>
      <c r="BO1265" s="720"/>
      <c r="BP1265" s="720"/>
      <c r="BQ1265" s="720"/>
      <c r="BR1265" s="720"/>
      <c r="BS1265" s="720"/>
      <c r="BT1265" s="720"/>
      <c r="BU1265" s="720"/>
      <c r="BV1265" s="720"/>
      <c r="BW1265" s="720"/>
      <c r="BX1265" s="720"/>
      <c r="BY1265" s="720"/>
      <c r="BZ1265" s="720"/>
      <c r="CA1265" s="720"/>
    </row>
    <row r="1266" spans="1:79" hidden="1" outlineLevel="1" x14ac:dyDescent="0.25">
      <c r="A1266" s="659"/>
      <c r="B1266" s="29"/>
      <c r="C1266" s="29"/>
      <c r="D1266" s="29"/>
      <c r="E1266" s="570" t="s">
        <v>49</v>
      </c>
      <c r="F1266" s="659" t="s">
        <v>608</v>
      </c>
      <c r="G1266" s="664">
        <f>SUM(G1259:G1265)</f>
        <v>1942.4456099999998</v>
      </c>
      <c r="H1266" s="664">
        <f t="shared" ref="H1266:BO1266" si="543">SUM(H1259:H1265)</f>
        <v>1817.2428576254722</v>
      </c>
      <c r="I1266" s="664">
        <f t="shared" si="543"/>
        <v>6204.4714594257539</v>
      </c>
      <c r="J1266" s="664">
        <f t="shared" si="543"/>
        <v>1642.795559386989</v>
      </c>
      <c r="K1266" s="664">
        <f t="shared" si="543"/>
        <v>2140.7674284131463</v>
      </c>
      <c r="L1266" s="664">
        <f t="shared" si="543"/>
        <v>3305.4976499720501</v>
      </c>
      <c r="M1266" s="664">
        <f t="shared" si="543"/>
        <v>5634.4269701931953</v>
      </c>
      <c r="N1266" s="664">
        <f t="shared" si="543"/>
        <v>2057.2133953228386</v>
      </c>
      <c r="O1266" s="664">
        <f t="shared" si="543"/>
        <v>1833.1195263793902</v>
      </c>
      <c r="P1266" s="664">
        <f t="shared" si="543"/>
        <v>8772.0473070525386</v>
      </c>
      <c r="Q1266" s="664">
        <f t="shared" si="543"/>
        <v>2135.9403693925592</v>
      </c>
      <c r="R1266" s="664">
        <f t="shared" si="543"/>
        <v>266.66076207498975</v>
      </c>
      <c r="S1266" s="679">
        <f t="shared" ref="S1266:AA1266" si="544">ROUND(SUM(S1254:S1265),5)</f>
        <v>2215.98</v>
      </c>
      <c r="T1266" s="679">
        <f t="shared" si="544"/>
        <v>1555.69</v>
      </c>
      <c r="U1266" s="679">
        <f t="shared" si="544"/>
        <v>2335.8000000000002</v>
      </c>
      <c r="V1266" s="679">
        <f t="shared" si="544"/>
        <v>2399.9699999999998</v>
      </c>
      <c r="W1266" s="679">
        <f t="shared" si="544"/>
        <v>3773.67</v>
      </c>
      <c r="X1266" s="679">
        <f t="shared" si="544"/>
        <v>2030.56</v>
      </c>
      <c r="Y1266" s="679">
        <f t="shared" si="544"/>
        <v>2029.79</v>
      </c>
      <c r="Z1266" s="679">
        <f t="shared" si="544"/>
        <v>1841.27</v>
      </c>
      <c r="AA1266" s="679">
        <f t="shared" si="544"/>
        <v>1349.44</v>
      </c>
      <c r="AB1266" s="679">
        <f>ROUND(SUM(AB1254:AB1265),5)</f>
        <v>4379.08</v>
      </c>
      <c r="AC1266" s="679">
        <f>ROUND(SUM(AC1254:AC1265),5)</f>
        <v>1399.25</v>
      </c>
      <c r="AD1266" s="679">
        <f>ROUND(SUM(AD1254:AD1265),5)</f>
        <v>-1201.71</v>
      </c>
      <c r="AE1266" s="679">
        <f>ROUND(AE1254+SUM(AE1258:AE1265),5)</f>
        <v>3642.56</v>
      </c>
      <c r="AF1266" s="664">
        <f>ROUND(AF1254+SUM(AF1258:AF1265),5)</f>
        <v>3594.69</v>
      </c>
      <c r="AG1266" s="679">
        <f>ROUND(AG1254+SUM(AG1258:AG1265),5)</f>
        <v>3537.91</v>
      </c>
      <c r="AH1266" s="664">
        <f t="shared" si="543"/>
        <v>0</v>
      </c>
      <c r="AI1266" s="664">
        <f t="shared" si="543"/>
        <v>0</v>
      </c>
      <c r="AJ1266" s="664">
        <f t="shared" si="543"/>
        <v>0</v>
      </c>
      <c r="AK1266" s="664">
        <f t="shared" si="543"/>
        <v>0</v>
      </c>
      <c r="AL1266" s="664">
        <f t="shared" si="543"/>
        <v>0</v>
      </c>
      <c r="AM1266" s="664">
        <f t="shared" si="543"/>
        <v>0</v>
      </c>
      <c r="AN1266" s="664">
        <f t="shared" si="543"/>
        <v>0</v>
      </c>
      <c r="AO1266" s="664">
        <f t="shared" si="543"/>
        <v>0</v>
      </c>
      <c r="AP1266" s="664">
        <f t="shared" si="543"/>
        <v>0</v>
      </c>
      <c r="AQ1266" s="664">
        <f t="shared" si="543"/>
        <v>0</v>
      </c>
      <c r="AR1266" s="664">
        <f t="shared" si="543"/>
        <v>0</v>
      </c>
      <c r="AS1266" s="664">
        <f t="shared" si="543"/>
        <v>0</v>
      </c>
      <c r="AT1266" s="664">
        <f t="shared" si="543"/>
        <v>0</v>
      </c>
      <c r="AU1266" s="664">
        <f t="shared" si="543"/>
        <v>0</v>
      </c>
      <c r="AV1266" s="664">
        <f t="shared" si="543"/>
        <v>0</v>
      </c>
      <c r="AW1266" s="664">
        <f t="shared" si="543"/>
        <v>0</v>
      </c>
      <c r="AX1266" s="664">
        <f t="shared" si="543"/>
        <v>0</v>
      </c>
      <c r="AY1266" s="664">
        <f t="shared" si="543"/>
        <v>0</v>
      </c>
      <c r="AZ1266" s="664">
        <f t="shared" si="543"/>
        <v>0</v>
      </c>
      <c r="BA1266" s="664">
        <f t="shared" si="543"/>
        <v>0</v>
      </c>
      <c r="BB1266" s="664">
        <f t="shared" si="543"/>
        <v>0</v>
      </c>
      <c r="BC1266" s="664">
        <f t="shared" si="543"/>
        <v>0</v>
      </c>
      <c r="BD1266" s="664">
        <f t="shared" si="543"/>
        <v>0</v>
      </c>
      <c r="BE1266" s="664">
        <f t="shared" si="543"/>
        <v>0</v>
      </c>
      <c r="BF1266" s="664">
        <f t="shared" si="543"/>
        <v>0</v>
      </c>
      <c r="BG1266" s="664">
        <f t="shared" si="543"/>
        <v>0</v>
      </c>
      <c r="BH1266" s="664">
        <f t="shared" si="543"/>
        <v>0</v>
      </c>
      <c r="BI1266" s="664">
        <f t="shared" si="543"/>
        <v>0</v>
      </c>
      <c r="BJ1266" s="664">
        <f t="shared" si="543"/>
        <v>0</v>
      </c>
      <c r="BK1266" s="664">
        <f t="shared" si="543"/>
        <v>0</v>
      </c>
      <c r="BL1266" s="664">
        <f t="shared" si="543"/>
        <v>0</v>
      </c>
      <c r="BM1266" s="664">
        <f t="shared" si="543"/>
        <v>0</v>
      </c>
      <c r="BN1266" s="664">
        <f t="shared" si="543"/>
        <v>0</v>
      </c>
      <c r="BO1266" s="664">
        <f t="shared" si="543"/>
        <v>0</v>
      </c>
      <c r="BP1266" s="664">
        <f t="shared" ref="BP1266:CA1266" si="545">SUM(BP1259:BP1265)</f>
        <v>0</v>
      </c>
      <c r="BQ1266" s="664">
        <f t="shared" si="545"/>
        <v>0</v>
      </c>
      <c r="BR1266" s="664">
        <f t="shared" si="545"/>
        <v>0</v>
      </c>
      <c r="BS1266" s="664">
        <f t="shared" si="545"/>
        <v>0</v>
      </c>
      <c r="BT1266" s="664">
        <f t="shared" si="545"/>
        <v>0</v>
      </c>
      <c r="BU1266" s="664">
        <f t="shared" si="545"/>
        <v>0</v>
      </c>
      <c r="BV1266" s="664">
        <f t="shared" si="545"/>
        <v>0</v>
      </c>
      <c r="BW1266" s="664">
        <f t="shared" si="545"/>
        <v>0</v>
      </c>
      <c r="BX1266" s="664">
        <f t="shared" si="545"/>
        <v>0</v>
      </c>
      <c r="BY1266" s="664">
        <f t="shared" si="545"/>
        <v>0</v>
      </c>
      <c r="BZ1266" s="664">
        <f t="shared" si="545"/>
        <v>0</v>
      </c>
      <c r="CA1266" s="664">
        <f t="shared" si="545"/>
        <v>0</v>
      </c>
    </row>
    <row r="1267" spans="1:79" hidden="1" outlineLevel="1" x14ac:dyDescent="0.25">
      <c r="A1267" s="655"/>
      <c r="B1267" s="571"/>
      <c r="C1267" s="571"/>
      <c r="D1267" s="571"/>
      <c r="E1267" s="570" t="s">
        <v>1325</v>
      </c>
      <c r="F1267" s="655" t="s">
        <v>875</v>
      </c>
      <c r="G1267" s="664"/>
      <c r="H1267" s="664"/>
      <c r="I1267" s="664"/>
      <c r="J1267" s="664"/>
      <c r="K1267" s="664"/>
      <c r="L1267" s="664"/>
      <c r="M1267" s="664"/>
      <c r="N1267" s="664"/>
      <c r="O1267" s="664"/>
      <c r="P1267" s="664"/>
      <c r="Q1267" s="664"/>
      <c r="R1267" s="664"/>
      <c r="S1267" s="684">
        <v>0</v>
      </c>
      <c r="T1267" s="684">
        <v>0</v>
      </c>
      <c r="U1267" s="684">
        <v>0</v>
      </c>
      <c r="V1267" s="684">
        <v>0</v>
      </c>
      <c r="W1267" s="684">
        <v>0</v>
      </c>
      <c r="X1267" s="684">
        <v>0</v>
      </c>
      <c r="Y1267" s="684">
        <v>0</v>
      </c>
      <c r="Z1267" s="684">
        <v>0</v>
      </c>
      <c r="AA1267" s="684">
        <v>0</v>
      </c>
      <c r="AB1267" s="684">
        <v>0</v>
      </c>
      <c r="AC1267" s="682">
        <v>0</v>
      </c>
      <c r="AD1267" s="682">
        <v>0</v>
      </c>
      <c r="AE1267" s="684">
        <v>0</v>
      </c>
      <c r="AF1267" s="719">
        <v>0</v>
      </c>
      <c r="AG1267" s="682">
        <v>0</v>
      </c>
      <c r="AH1267" s="664"/>
      <c r="AI1267" s="664"/>
      <c r="AJ1267" s="664"/>
      <c r="AK1267" s="664"/>
      <c r="AL1267" s="664"/>
      <c r="AM1267" s="664"/>
      <c r="AN1267" s="664"/>
      <c r="AO1267" s="664"/>
      <c r="AP1267" s="664"/>
      <c r="AQ1267" s="664"/>
      <c r="AR1267" s="664"/>
      <c r="AS1267" s="664"/>
      <c r="AT1267" s="664"/>
      <c r="AU1267" s="664"/>
      <c r="AV1267" s="664"/>
      <c r="AW1267" s="664"/>
      <c r="AX1267" s="664"/>
      <c r="AY1267" s="664"/>
      <c r="AZ1267" s="664"/>
      <c r="BA1267" s="664"/>
      <c r="BB1267" s="664"/>
      <c r="BC1267" s="664"/>
      <c r="BD1267" s="664"/>
      <c r="BE1267" s="664"/>
      <c r="BF1267" s="664"/>
      <c r="BG1267" s="664"/>
      <c r="BH1267" s="664"/>
      <c r="BI1267" s="664"/>
      <c r="BJ1267" s="664"/>
      <c r="BK1267" s="664"/>
      <c r="BL1267" s="664"/>
      <c r="BM1267" s="664"/>
      <c r="BN1267" s="664"/>
      <c r="BO1267" s="664"/>
      <c r="BP1267" s="664"/>
      <c r="BQ1267" s="664"/>
      <c r="BR1267" s="664"/>
      <c r="BS1267" s="664"/>
      <c r="BT1267" s="664"/>
      <c r="BU1267" s="664"/>
      <c r="BV1267" s="664"/>
      <c r="BW1267" s="664"/>
      <c r="BX1267" s="664"/>
      <c r="BY1267" s="664"/>
      <c r="BZ1267" s="664"/>
      <c r="CA1267" s="664"/>
    </row>
    <row r="1268" spans="1:79" s="308" customFormat="1" hidden="1" outlineLevel="1" x14ac:dyDescent="0.25">
      <c r="A1268" s="658"/>
      <c r="B1268" s="29"/>
      <c r="C1268" s="29"/>
      <c r="D1268" s="29"/>
      <c r="E1268" s="570" t="s">
        <v>1326</v>
      </c>
      <c r="F1268" s="658" t="s">
        <v>591</v>
      </c>
      <c r="G1268" s="719"/>
      <c r="H1268" s="719"/>
      <c r="I1268" s="719"/>
      <c r="J1268" s="719"/>
      <c r="K1268" s="719"/>
      <c r="L1268" s="719"/>
      <c r="M1268" s="719">
        <v>809.38620124383738</v>
      </c>
      <c r="N1268" s="719"/>
      <c r="O1268" s="719">
        <v>392.75381670099529</v>
      </c>
      <c r="P1268" s="716">
        <v>782.06848028678473</v>
      </c>
      <c r="Q1268" s="716"/>
      <c r="R1268" s="720"/>
      <c r="S1268" s="667">
        <v>0</v>
      </c>
      <c r="T1268" s="667">
        <v>0</v>
      </c>
      <c r="U1268" s="667">
        <v>0</v>
      </c>
      <c r="V1268" s="667">
        <v>0</v>
      </c>
      <c r="W1268" s="667">
        <v>0</v>
      </c>
      <c r="X1268" s="667">
        <v>0</v>
      </c>
      <c r="Y1268" s="667">
        <v>0</v>
      </c>
      <c r="Z1268" s="667">
        <v>0</v>
      </c>
      <c r="AA1268" s="667">
        <v>0</v>
      </c>
      <c r="AB1268" s="667">
        <v>0</v>
      </c>
      <c r="AC1268" s="686">
        <v>0</v>
      </c>
      <c r="AD1268" s="686">
        <v>0</v>
      </c>
      <c r="AE1268" s="667">
        <v>0</v>
      </c>
      <c r="AF1268" s="719">
        <v>0</v>
      </c>
      <c r="AG1268" s="686">
        <v>0</v>
      </c>
      <c r="AH1268" s="720"/>
      <c r="AI1268" s="720"/>
      <c r="AJ1268" s="720"/>
      <c r="AK1268" s="720"/>
      <c r="AL1268" s="720"/>
      <c r="AM1268" s="720"/>
      <c r="AN1268" s="720"/>
      <c r="AO1268" s="720"/>
      <c r="AP1268" s="720"/>
      <c r="AQ1268" s="720"/>
      <c r="AR1268" s="720"/>
      <c r="AS1268" s="720"/>
      <c r="AT1268" s="720"/>
      <c r="AU1268" s="720"/>
      <c r="AV1268" s="720"/>
      <c r="AW1268" s="720"/>
      <c r="AX1268" s="720"/>
      <c r="AY1268" s="720"/>
      <c r="AZ1268" s="720"/>
      <c r="BA1268" s="720"/>
      <c r="BB1268" s="720"/>
      <c r="BC1268" s="720"/>
      <c r="BD1268" s="720"/>
      <c r="BE1268" s="720"/>
      <c r="BF1268" s="720"/>
      <c r="BG1268" s="720"/>
      <c r="BH1268" s="720"/>
      <c r="BI1268" s="720"/>
      <c r="BJ1268" s="720"/>
      <c r="BK1268" s="720"/>
      <c r="BL1268" s="720"/>
      <c r="BM1268" s="720"/>
      <c r="BN1268" s="720"/>
      <c r="BO1268" s="720"/>
      <c r="BP1268" s="720"/>
      <c r="BQ1268" s="720"/>
      <c r="BR1268" s="720"/>
      <c r="BS1268" s="720"/>
      <c r="BT1268" s="720"/>
      <c r="BU1268" s="720"/>
      <c r="BV1268" s="720"/>
      <c r="BW1268" s="720"/>
      <c r="BX1268" s="720"/>
      <c r="BY1268" s="720"/>
      <c r="BZ1268" s="720"/>
      <c r="CA1268" s="720"/>
    </row>
    <row r="1269" spans="1:79" s="451" customFormat="1" hidden="1" outlineLevel="1" x14ac:dyDescent="0.25">
      <c r="A1269" s="658"/>
      <c r="B1269" s="437"/>
      <c r="C1269" s="437"/>
      <c r="D1269" s="437"/>
      <c r="E1269" s="570" t="s">
        <v>1332</v>
      </c>
      <c r="F1269" s="658" t="s">
        <v>592</v>
      </c>
      <c r="G1269" s="719">
        <v>50.248593</v>
      </c>
      <c r="H1269" s="719">
        <v>225.74205072134646</v>
      </c>
      <c r="I1269" s="719">
        <v>29.566543798373246</v>
      </c>
      <c r="J1269" s="719">
        <v>27.650187369803977</v>
      </c>
      <c r="K1269" s="719">
        <v>932.935327695468</v>
      </c>
      <c r="L1269" s="719"/>
      <c r="M1269" s="719"/>
      <c r="N1269" s="719">
        <v>50.026607125597991</v>
      </c>
      <c r="O1269" s="719"/>
      <c r="P1269" s="716">
        <v>582.06181416767049</v>
      </c>
      <c r="Q1269" s="716"/>
      <c r="R1269" s="720"/>
      <c r="S1269" s="667">
        <v>115</v>
      </c>
      <c r="T1269" s="667">
        <v>425</v>
      </c>
      <c r="U1269" s="667">
        <v>0</v>
      </c>
      <c r="V1269" s="667">
        <v>458.62</v>
      </c>
      <c r="W1269" s="667">
        <v>533.6</v>
      </c>
      <c r="X1269" s="667">
        <v>560.39</v>
      </c>
      <c r="Y1269" s="667">
        <v>554.32000000000005</v>
      </c>
      <c r="Z1269" s="667">
        <v>659.32</v>
      </c>
      <c r="AA1269" s="667">
        <v>659.01</v>
      </c>
      <c r="AB1269" s="667">
        <v>770.59</v>
      </c>
      <c r="AC1269" s="686">
        <v>692.51</v>
      </c>
      <c r="AD1269" s="686">
        <v>82.92</v>
      </c>
      <c r="AE1269" s="667">
        <v>650.89</v>
      </c>
      <c r="AF1269" s="719">
        <v>861.68</v>
      </c>
      <c r="AG1269" s="686">
        <v>701.57</v>
      </c>
      <c r="AH1269" s="720"/>
      <c r="AI1269" s="720"/>
      <c r="AJ1269" s="720"/>
      <c r="AK1269" s="720"/>
      <c r="AL1269" s="720"/>
      <c r="AM1269" s="720"/>
      <c r="AN1269" s="720"/>
      <c r="AO1269" s="720"/>
      <c r="AP1269" s="720"/>
      <c r="AQ1269" s="720"/>
      <c r="AR1269" s="720"/>
      <c r="AS1269" s="720"/>
      <c r="AT1269" s="720"/>
      <c r="AU1269" s="720"/>
      <c r="AV1269" s="720"/>
      <c r="AW1269" s="720"/>
      <c r="AX1269" s="720"/>
      <c r="AY1269" s="720"/>
      <c r="AZ1269" s="720"/>
      <c r="BA1269" s="720"/>
      <c r="BB1269" s="720"/>
      <c r="BC1269" s="720"/>
      <c r="BD1269" s="720"/>
      <c r="BE1269" s="720"/>
      <c r="BF1269" s="720"/>
      <c r="BG1269" s="720"/>
      <c r="BH1269" s="720"/>
      <c r="BI1269" s="720"/>
      <c r="BJ1269" s="720"/>
      <c r="BK1269" s="720"/>
      <c r="BL1269" s="720"/>
      <c r="BM1269" s="720"/>
      <c r="BN1269" s="720"/>
      <c r="BO1269" s="720"/>
      <c r="BP1269" s="720"/>
      <c r="BQ1269" s="720"/>
      <c r="BR1269" s="720"/>
      <c r="BS1269" s="720"/>
      <c r="BT1269" s="720"/>
      <c r="BU1269" s="720"/>
      <c r="BV1269" s="720"/>
      <c r="BW1269" s="720"/>
      <c r="BX1269" s="720"/>
      <c r="BY1269" s="720"/>
      <c r="BZ1269" s="720"/>
      <c r="CA1269" s="720"/>
    </row>
    <row r="1270" spans="1:79" s="451" customFormat="1" hidden="1" outlineLevel="1" x14ac:dyDescent="0.25">
      <c r="A1270" s="655"/>
      <c r="B1270" s="570"/>
      <c r="C1270" s="570"/>
      <c r="D1270" s="570"/>
      <c r="E1270" s="570" t="s">
        <v>725</v>
      </c>
      <c r="F1270" s="655" t="s">
        <v>876</v>
      </c>
      <c r="G1270" s="719"/>
      <c r="H1270" s="719"/>
      <c r="I1270" s="719"/>
      <c r="J1270" s="719"/>
      <c r="K1270" s="719"/>
      <c r="L1270" s="719"/>
      <c r="M1270" s="719"/>
      <c r="N1270" s="719"/>
      <c r="O1270" s="719"/>
      <c r="P1270" s="716"/>
      <c r="Q1270" s="716"/>
      <c r="R1270" s="720"/>
      <c r="S1270" s="667">
        <v>0</v>
      </c>
      <c r="T1270" s="667">
        <v>0</v>
      </c>
      <c r="U1270" s="667">
        <v>0</v>
      </c>
      <c r="V1270" s="667">
        <v>0</v>
      </c>
      <c r="W1270" s="667">
        <v>0</v>
      </c>
      <c r="X1270" s="667">
        <v>0</v>
      </c>
      <c r="Y1270" s="667">
        <v>0</v>
      </c>
      <c r="Z1270" s="667">
        <v>0</v>
      </c>
      <c r="AA1270" s="667">
        <v>0</v>
      </c>
      <c r="AB1270" s="667">
        <v>0</v>
      </c>
      <c r="AC1270" s="686">
        <v>0</v>
      </c>
      <c r="AD1270" s="686">
        <v>0</v>
      </c>
      <c r="AE1270" s="667">
        <v>0</v>
      </c>
      <c r="AF1270" s="719">
        <v>0</v>
      </c>
      <c r="AG1270" s="686">
        <v>0</v>
      </c>
      <c r="AH1270" s="720"/>
      <c r="AI1270" s="720"/>
      <c r="AJ1270" s="720"/>
      <c r="AK1270" s="720"/>
      <c r="AL1270" s="720"/>
      <c r="AM1270" s="720"/>
      <c r="AN1270" s="720"/>
      <c r="AO1270" s="720"/>
      <c r="AP1270" s="720"/>
      <c r="AQ1270" s="720"/>
      <c r="AR1270" s="720"/>
      <c r="AS1270" s="720"/>
      <c r="AT1270" s="720"/>
      <c r="AU1270" s="720"/>
      <c r="AV1270" s="720"/>
      <c r="AW1270" s="720"/>
      <c r="AX1270" s="720"/>
      <c r="AY1270" s="720"/>
      <c r="AZ1270" s="720"/>
      <c r="BA1270" s="720"/>
      <c r="BB1270" s="720"/>
      <c r="BC1270" s="720"/>
      <c r="BD1270" s="720"/>
      <c r="BE1270" s="720"/>
      <c r="BF1270" s="720"/>
      <c r="BG1270" s="720"/>
      <c r="BH1270" s="720"/>
      <c r="BI1270" s="720"/>
      <c r="BJ1270" s="720"/>
      <c r="BK1270" s="720"/>
      <c r="BL1270" s="720"/>
      <c r="BM1270" s="720"/>
      <c r="BN1270" s="720"/>
      <c r="BO1270" s="720"/>
      <c r="BP1270" s="720"/>
      <c r="BQ1270" s="720"/>
      <c r="BR1270" s="720"/>
      <c r="BS1270" s="720"/>
      <c r="BT1270" s="720"/>
      <c r="BU1270" s="720"/>
      <c r="BV1270" s="720"/>
      <c r="BW1270" s="720"/>
      <c r="BX1270" s="720"/>
      <c r="BY1270" s="720"/>
      <c r="BZ1270" s="720"/>
      <c r="CA1270" s="720"/>
    </row>
    <row r="1271" spans="1:79" s="710" customFormat="1" hidden="1" outlineLevel="1" x14ac:dyDescent="0.25">
      <c r="A1271" s="701"/>
      <c r="B1271" s="700"/>
      <c r="C1271" s="700"/>
      <c r="D1271" s="700"/>
      <c r="E1271" s="570" t="s">
        <v>657</v>
      </c>
      <c r="F1271" s="701" t="s">
        <v>761</v>
      </c>
      <c r="G1271" s="765"/>
      <c r="H1271" s="765"/>
      <c r="I1271" s="765"/>
      <c r="J1271" s="765"/>
      <c r="K1271" s="765"/>
      <c r="L1271" s="765"/>
      <c r="M1271" s="765"/>
      <c r="N1271" s="765"/>
      <c r="O1271" s="765"/>
      <c r="P1271" s="736"/>
      <c r="Q1271" s="736"/>
      <c r="R1271" s="762"/>
      <c r="S1271" s="704"/>
      <c r="T1271" s="704"/>
      <c r="U1271" s="704"/>
      <c r="V1271" s="704"/>
      <c r="W1271" s="704"/>
      <c r="X1271" s="704"/>
      <c r="Y1271" s="704"/>
      <c r="Z1271" s="704"/>
      <c r="AA1271" s="704"/>
      <c r="AB1271" s="704"/>
      <c r="AC1271" s="703"/>
      <c r="AD1271" s="703"/>
      <c r="AE1271" s="704"/>
      <c r="AF1271" s="733"/>
      <c r="AG1271" s="703"/>
      <c r="AH1271" s="735"/>
      <c r="AI1271" s="735"/>
      <c r="AJ1271" s="735"/>
      <c r="AK1271" s="735"/>
      <c r="AL1271" s="735"/>
      <c r="AM1271" s="735"/>
      <c r="AN1271" s="735"/>
      <c r="AO1271" s="735"/>
      <c r="AP1271" s="735"/>
      <c r="AQ1271" s="735"/>
      <c r="AR1271" s="735"/>
      <c r="AS1271" s="735"/>
      <c r="AT1271" s="735"/>
      <c r="AU1271" s="735"/>
      <c r="AV1271" s="735"/>
      <c r="AW1271" s="735"/>
      <c r="AX1271" s="735"/>
      <c r="AY1271" s="735"/>
      <c r="AZ1271" s="735"/>
      <c r="BA1271" s="735"/>
      <c r="BB1271" s="735"/>
      <c r="BC1271" s="735"/>
      <c r="BD1271" s="735"/>
      <c r="BE1271" s="735"/>
      <c r="BF1271" s="735"/>
      <c r="BG1271" s="735"/>
      <c r="BH1271" s="735"/>
      <c r="BI1271" s="735"/>
      <c r="BJ1271" s="735"/>
      <c r="BK1271" s="735"/>
      <c r="BL1271" s="735"/>
      <c r="BM1271" s="735"/>
      <c r="BN1271" s="735"/>
      <c r="BO1271" s="735"/>
      <c r="BP1271" s="735"/>
      <c r="BQ1271" s="735"/>
      <c r="BR1271" s="735"/>
      <c r="BS1271" s="735"/>
      <c r="BT1271" s="735"/>
      <c r="BU1271" s="735"/>
      <c r="BV1271" s="735"/>
      <c r="BW1271" s="735"/>
      <c r="BX1271" s="735"/>
      <c r="BY1271" s="735"/>
      <c r="BZ1271" s="735"/>
      <c r="CA1271" s="735"/>
    </row>
    <row r="1272" spans="1:79" hidden="1" outlineLevel="1" x14ac:dyDescent="0.25">
      <c r="A1272" s="656"/>
      <c r="B1272" s="79"/>
      <c r="C1272" s="79"/>
      <c r="D1272" s="79"/>
      <c r="E1272" s="570" t="s">
        <v>20</v>
      </c>
      <c r="F1272" s="656" t="s">
        <v>877</v>
      </c>
      <c r="G1272" s="723"/>
      <c r="H1272" s="723"/>
      <c r="I1272" s="723"/>
      <c r="J1272" s="723"/>
      <c r="K1272" s="723"/>
      <c r="L1272" s="723"/>
      <c r="M1272" s="723"/>
      <c r="N1272" s="723"/>
      <c r="O1272" s="723"/>
      <c r="P1272" s="718"/>
      <c r="Q1272" s="718"/>
      <c r="R1272" s="717"/>
      <c r="S1272" s="667">
        <v>0</v>
      </c>
      <c r="T1272" s="667">
        <v>0</v>
      </c>
      <c r="U1272" s="667">
        <v>0</v>
      </c>
      <c r="V1272" s="667">
        <v>0</v>
      </c>
      <c r="W1272" s="667">
        <v>0</v>
      </c>
      <c r="X1272" s="667">
        <v>0</v>
      </c>
      <c r="Y1272" s="667">
        <v>0</v>
      </c>
      <c r="Z1272" s="667">
        <v>0</v>
      </c>
      <c r="AA1272" s="667">
        <v>0</v>
      </c>
      <c r="AB1272" s="667">
        <v>0</v>
      </c>
      <c r="AC1272" s="686">
        <v>0</v>
      </c>
      <c r="AD1272" s="686">
        <v>0</v>
      </c>
      <c r="AE1272" s="667">
        <v>0</v>
      </c>
      <c r="AF1272" s="719">
        <v>0</v>
      </c>
      <c r="AG1272" s="686">
        <v>0</v>
      </c>
      <c r="AH1272" s="720"/>
      <c r="AI1272" s="720"/>
      <c r="AJ1272" s="720"/>
      <c r="AK1272" s="720"/>
      <c r="AL1272" s="720"/>
      <c r="AM1272" s="720"/>
      <c r="AN1272" s="720"/>
      <c r="AO1272" s="720"/>
      <c r="AP1272" s="720"/>
      <c r="AQ1272" s="720"/>
      <c r="AR1272" s="720"/>
      <c r="AS1272" s="720"/>
      <c r="AT1272" s="720"/>
      <c r="AU1272" s="720"/>
      <c r="AV1272" s="720"/>
      <c r="AW1272" s="720"/>
      <c r="AX1272" s="720"/>
      <c r="AY1272" s="720"/>
      <c r="AZ1272" s="720"/>
      <c r="BA1272" s="720"/>
      <c r="BB1272" s="720"/>
      <c r="BC1272" s="720"/>
      <c r="BD1272" s="720"/>
      <c r="BE1272" s="720"/>
      <c r="BF1272" s="720"/>
      <c r="BG1272" s="720"/>
      <c r="BH1272" s="720"/>
      <c r="BI1272" s="720"/>
      <c r="BJ1272" s="720"/>
      <c r="BK1272" s="720"/>
      <c r="BL1272" s="720"/>
      <c r="BM1272" s="720"/>
      <c r="BN1272" s="720"/>
      <c r="BO1272" s="720"/>
      <c r="BP1272" s="720"/>
      <c r="BQ1272" s="720"/>
      <c r="BR1272" s="720"/>
      <c r="BS1272" s="720"/>
      <c r="BT1272" s="720"/>
      <c r="BU1272" s="720"/>
      <c r="BV1272" s="720"/>
      <c r="BW1272" s="720"/>
      <c r="BX1272" s="720"/>
      <c r="BY1272" s="720"/>
      <c r="BZ1272" s="720"/>
      <c r="CA1272" s="720"/>
    </row>
    <row r="1273" spans="1:79" hidden="1" outlineLevel="1" x14ac:dyDescent="0.25">
      <c r="A1273" s="656"/>
      <c r="B1273" s="576"/>
      <c r="C1273" s="576"/>
      <c r="D1273" s="576"/>
      <c r="E1273" s="570" t="s">
        <v>20</v>
      </c>
      <c r="F1273" s="656" t="s">
        <v>878</v>
      </c>
      <c r="G1273" s="723"/>
      <c r="H1273" s="723"/>
      <c r="I1273" s="723"/>
      <c r="J1273" s="723"/>
      <c r="K1273" s="723"/>
      <c r="L1273" s="723"/>
      <c r="M1273" s="723"/>
      <c r="N1273" s="723"/>
      <c r="O1273" s="723"/>
      <c r="P1273" s="718"/>
      <c r="Q1273" s="718"/>
      <c r="R1273" s="717"/>
      <c r="S1273" s="667">
        <v>0</v>
      </c>
      <c r="T1273" s="667">
        <v>0</v>
      </c>
      <c r="U1273" s="667">
        <v>0</v>
      </c>
      <c r="V1273" s="667">
        <v>0</v>
      </c>
      <c r="W1273" s="667">
        <v>0</v>
      </c>
      <c r="X1273" s="667">
        <v>0</v>
      </c>
      <c r="Y1273" s="667">
        <v>0</v>
      </c>
      <c r="Z1273" s="667">
        <v>0</v>
      </c>
      <c r="AA1273" s="667">
        <v>0</v>
      </c>
      <c r="AB1273" s="667">
        <v>0</v>
      </c>
      <c r="AC1273" s="686">
        <v>0</v>
      </c>
      <c r="AD1273" s="686">
        <v>0</v>
      </c>
      <c r="AE1273" s="667">
        <v>0</v>
      </c>
      <c r="AF1273" s="719">
        <v>0</v>
      </c>
      <c r="AG1273" s="686">
        <v>0</v>
      </c>
      <c r="AH1273" s="720"/>
      <c r="AI1273" s="720"/>
      <c r="AJ1273" s="720"/>
      <c r="AK1273" s="720"/>
      <c r="AL1273" s="720"/>
      <c r="AM1273" s="720"/>
      <c r="AN1273" s="720"/>
      <c r="AO1273" s="720"/>
      <c r="AP1273" s="720"/>
      <c r="AQ1273" s="720"/>
      <c r="AR1273" s="720"/>
      <c r="AS1273" s="720"/>
      <c r="AT1273" s="720"/>
      <c r="AU1273" s="720"/>
      <c r="AV1273" s="720"/>
      <c r="AW1273" s="720"/>
      <c r="AX1273" s="720"/>
      <c r="AY1273" s="720"/>
      <c r="AZ1273" s="720"/>
      <c r="BA1273" s="720"/>
      <c r="BB1273" s="720"/>
      <c r="BC1273" s="720"/>
      <c r="BD1273" s="720"/>
      <c r="BE1273" s="720"/>
      <c r="BF1273" s="720"/>
      <c r="BG1273" s="720"/>
      <c r="BH1273" s="720"/>
      <c r="BI1273" s="720"/>
      <c r="BJ1273" s="720"/>
      <c r="BK1273" s="720"/>
      <c r="BL1273" s="720"/>
      <c r="BM1273" s="720"/>
      <c r="BN1273" s="720"/>
      <c r="BO1273" s="720"/>
      <c r="BP1273" s="720"/>
      <c r="BQ1273" s="720"/>
      <c r="BR1273" s="720"/>
      <c r="BS1273" s="720"/>
      <c r="BT1273" s="720"/>
      <c r="BU1273" s="720"/>
      <c r="BV1273" s="720"/>
      <c r="BW1273" s="720"/>
      <c r="BX1273" s="720"/>
      <c r="BY1273" s="720"/>
      <c r="BZ1273" s="720"/>
      <c r="CA1273" s="720"/>
    </row>
    <row r="1274" spans="1:79" hidden="1" outlineLevel="1" x14ac:dyDescent="0.25">
      <c r="A1274" s="656"/>
      <c r="B1274" s="576"/>
      <c r="C1274" s="576"/>
      <c r="D1274" s="576"/>
      <c r="E1274" s="570" t="s">
        <v>1334</v>
      </c>
      <c r="F1274" s="656" t="s">
        <v>879</v>
      </c>
      <c r="G1274" s="723"/>
      <c r="H1274" s="723"/>
      <c r="I1274" s="723"/>
      <c r="J1274" s="723"/>
      <c r="K1274" s="723"/>
      <c r="L1274" s="723"/>
      <c r="M1274" s="723"/>
      <c r="N1274" s="723"/>
      <c r="O1274" s="723"/>
      <c r="P1274" s="718"/>
      <c r="Q1274" s="718"/>
      <c r="R1274" s="717"/>
      <c r="S1274" s="667">
        <v>0</v>
      </c>
      <c r="T1274" s="667">
        <v>0</v>
      </c>
      <c r="U1274" s="667">
        <v>0</v>
      </c>
      <c r="V1274" s="667">
        <v>0</v>
      </c>
      <c r="W1274" s="667">
        <v>0</v>
      </c>
      <c r="X1274" s="667">
        <v>0</v>
      </c>
      <c r="Y1274" s="667">
        <v>0</v>
      </c>
      <c r="Z1274" s="667">
        <v>0</v>
      </c>
      <c r="AA1274" s="667">
        <v>0</v>
      </c>
      <c r="AB1274" s="667">
        <v>0</v>
      </c>
      <c r="AC1274" s="686">
        <v>0</v>
      </c>
      <c r="AD1274" s="686">
        <v>0</v>
      </c>
      <c r="AE1274" s="667">
        <v>0</v>
      </c>
      <c r="AF1274" s="719">
        <v>0</v>
      </c>
      <c r="AG1274" s="686">
        <v>0</v>
      </c>
      <c r="AH1274" s="720"/>
      <c r="AI1274" s="720"/>
      <c r="AJ1274" s="720"/>
      <c r="AK1274" s="720"/>
      <c r="AL1274" s="720"/>
      <c r="AM1274" s="720"/>
      <c r="AN1274" s="720"/>
      <c r="AO1274" s="720"/>
      <c r="AP1274" s="720"/>
      <c r="AQ1274" s="720"/>
      <c r="AR1274" s="720"/>
      <c r="AS1274" s="720"/>
      <c r="AT1274" s="720"/>
      <c r="AU1274" s="720"/>
      <c r="AV1274" s="720"/>
      <c r="AW1274" s="720"/>
      <c r="AX1274" s="720"/>
      <c r="AY1274" s="720"/>
      <c r="AZ1274" s="720"/>
      <c r="BA1274" s="720"/>
      <c r="BB1274" s="720"/>
      <c r="BC1274" s="720"/>
      <c r="BD1274" s="720"/>
      <c r="BE1274" s="720"/>
      <c r="BF1274" s="720"/>
      <c r="BG1274" s="720"/>
      <c r="BH1274" s="720"/>
      <c r="BI1274" s="720"/>
      <c r="BJ1274" s="720"/>
      <c r="BK1274" s="720"/>
      <c r="BL1274" s="720"/>
      <c r="BM1274" s="720"/>
      <c r="BN1274" s="720"/>
      <c r="BO1274" s="720"/>
      <c r="BP1274" s="720"/>
      <c r="BQ1274" s="720"/>
      <c r="BR1274" s="720"/>
      <c r="BS1274" s="720"/>
      <c r="BT1274" s="720"/>
      <c r="BU1274" s="720"/>
      <c r="BV1274" s="720"/>
      <c r="BW1274" s="720"/>
      <c r="BX1274" s="720"/>
      <c r="BY1274" s="720"/>
      <c r="BZ1274" s="720"/>
      <c r="CA1274" s="720"/>
    </row>
    <row r="1275" spans="1:79" hidden="1" outlineLevel="1" x14ac:dyDescent="0.25">
      <c r="A1275" s="656"/>
      <c r="B1275" s="576"/>
      <c r="C1275" s="576"/>
      <c r="D1275" s="576"/>
      <c r="E1275" s="570" t="s">
        <v>1334</v>
      </c>
      <c r="F1275" s="656" t="s">
        <v>660</v>
      </c>
      <c r="G1275" s="723"/>
      <c r="H1275" s="723"/>
      <c r="I1275" s="723"/>
      <c r="J1275" s="723"/>
      <c r="K1275" s="723"/>
      <c r="L1275" s="723"/>
      <c r="M1275" s="723"/>
      <c r="N1275" s="723"/>
      <c r="O1275" s="723"/>
      <c r="P1275" s="718"/>
      <c r="Q1275" s="718"/>
      <c r="R1275" s="717"/>
      <c r="S1275" s="667">
        <v>1557.75</v>
      </c>
      <c r="T1275" s="667">
        <v>1407</v>
      </c>
      <c r="U1275" s="667">
        <v>1557.75</v>
      </c>
      <c r="V1275" s="667">
        <v>1507.5</v>
      </c>
      <c r="W1275" s="667">
        <v>1557.75</v>
      </c>
      <c r="X1275" s="667">
        <v>1507.5</v>
      </c>
      <c r="Y1275" s="667">
        <v>1557.75</v>
      </c>
      <c r="Z1275" s="667">
        <v>1557.75</v>
      </c>
      <c r="AA1275" s="667">
        <v>1507.5</v>
      </c>
      <c r="AB1275" s="667">
        <v>1557.75</v>
      </c>
      <c r="AC1275" s="686">
        <v>1507.5</v>
      </c>
      <c r="AD1275" s="686">
        <v>1560.25</v>
      </c>
      <c r="AE1275" s="667">
        <v>1616.34</v>
      </c>
      <c r="AF1275" s="719">
        <v>1459.92</v>
      </c>
      <c r="AG1275" s="686">
        <v>1616.34</v>
      </c>
      <c r="AH1275" s="720"/>
      <c r="AI1275" s="720"/>
      <c r="AJ1275" s="720"/>
      <c r="AK1275" s="720"/>
      <c r="AL1275" s="720"/>
      <c r="AM1275" s="720"/>
      <c r="AN1275" s="720"/>
      <c r="AO1275" s="720"/>
      <c r="AP1275" s="720"/>
      <c r="AQ1275" s="720"/>
      <c r="AR1275" s="720"/>
      <c r="AS1275" s="720"/>
      <c r="AT1275" s="720"/>
      <c r="AU1275" s="720"/>
      <c r="AV1275" s="720"/>
      <c r="AW1275" s="720"/>
      <c r="AX1275" s="720"/>
      <c r="AY1275" s="720"/>
      <c r="AZ1275" s="720"/>
      <c r="BA1275" s="720"/>
      <c r="BB1275" s="720"/>
      <c r="BC1275" s="720"/>
      <c r="BD1275" s="720"/>
      <c r="BE1275" s="720"/>
      <c r="BF1275" s="720"/>
      <c r="BG1275" s="720"/>
      <c r="BH1275" s="720"/>
      <c r="BI1275" s="720"/>
      <c r="BJ1275" s="720"/>
      <c r="BK1275" s="720"/>
      <c r="BL1275" s="720"/>
      <c r="BM1275" s="720"/>
      <c r="BN1275" s="720"/>
      <c r="BO1275" s="720"/>
      <c r="BP1275" s="720"/>
      <c r="BQ1275" s="720"/>
      <c r="BR1275" s="720"/>
      <c r="BS1275" s="720"/>
      <c r="BT1275" s="720"/>
      <c r="BU1275" s="720"/>
      <c r="BV1275" s="720"/>
      <c r="BW1275" s="720"/>
      <c r="BX1275" s="720"/>
      <c r="BY1275" s="720"/>
      <c r="BZ1275" s="720"/>
      <c r="CA1275" s="720"/>
    </row>
    <row r="1276" spans="1:79" s="740" customFormat="1" hidden="1" outlineLevel="1" x14ac:dyDescent="0.25">
      <c r="A1276" s="656"/>
      <c r="B1276" s="79"/>
      <c r="C1276" s="79"/>
      <c r="D1276" s="79"/>
      <c r="E1276" s="570" t="s">
        <v>20</v>
      </c>
      <c r="F1276" s="656" t="s">
        <v>661</v>
      </c>
      <c r="G1276" s="723"/>
      <c r="H1276" s="723"/>
      <c r="I1276" s="723"/>
      <c r="J1276" s="723"/>
      <c r="K1276" s="723"/>
      <c r="L1276" s="723"/>
      <c r="M1276" s="723"/>
      <c r="N1276" s="723"/>
      <c r="O1276" s="723"/>
      <c r="P1276" s="718"/>
      <c r="Q1276" s="718"/>
      <c r="R1276" s="717"/>
      <c r="S1276" s="667">
        <v>324.57</v>
      </c>
      <c r="T1276" s="667">
        <v>293.16000000000003</v>
      </c>
      <c r="U1276" s="667">
        <v>324.57</v>
      </c>
      <c r="V1276" s="667">
        <v>390.73</v>
      </c>
      <c r="W1276" s="667">
        <v>324.57</v>
      </c>
      <c r="X1276" s="667">
        <v>4384.1000000000004</v>
      </c>
      <c r="Y1276" s="667">
        <v>663.74</v>
      </c>
      <c r="Z1276" s="667">
        <v>663.73</v>
      </c>
      <c r="AA1276" s="667">
        <v>653.27</v>
      </c>
      <c r="AB1276" s="667">
        <v>663.74</v>
      </c>
      <c r="AC1276" s="686">
        <v>653.26</v>
      </c>
      <c r="AD1276" s="686">
        <v>663.66</v>
      </c>
      <c r="AE1276" s="667">
        <v>1325.74</v>
      </c>
      <c r="AF1276" s="719">
        <v>1288.32</v>
      </c>
      <c r="AG1276" s="686">
        <v>1325.74</v>
      </c>
      <c r="AH1276" s="720"/>
      <c r="AI1276" s="720"/>
      <c r="AJ1276" s="720"/>
      <c r="AK1276" s="720"/>
      <c r="AL1276" s="720"/>
      <c r="AM1276" s="720"/>
      <c r="AN1276" s="720"/>
      <c r="AO1276" s="720"/>
      <c r="AP1276" s="720"/>
      <c r="AQ1276" s="720"/>
      <c r="AR1276" s="720"/>
      <c r="AS1276" s="720"/>
      <c r="AT1276" s="720"/>
      <c r="AU1276" s="720"/>
      <c r="AV1276" s="720"/>
      <c r="AW1276" s="720"/>
      <c r="AX1276" s="720"/>
      <c r="AY1276" s="720"/>
      <c r="AZ1276" s="720"/>
      <c r="BA1276" s="720"/>
      <c r="BB1276" s="720"/>
      <c r="BC1276" s="720"/>
      <c r="BD1276" s="720"/>
      <c r="BE1276" s="720"/>
      <c r="BF1276" s="720"/>
      <c r="BG1276" s="720"/>
      <c r="BH1276" s="720"/>
      <c r="BI1276" s="720"/>
      <c r="BJ1276" s="720"/>
      <c r="BK1276" s="720"/>
      <c r="BL1276" s="720"/>
      <c r="BM1276" s="720"/>
      <c r="BN1276" s="720"/>
      <c r="BO1276" s="720"/>
      <c r="BP1276" s="720"/>
      <c r="BQ1276" s="720"/>
      <c r="BR1276" s="720"/>
      <c r="BS1276" s="720"/>
      <c r="BT1276" s="720"/>
      <c r="BU1276" s="720"/>
      <c r="BV1276" s="720"/>
      <c r="BW1276" s="720"/>
      <c r="BX1276" s="720"/>
      <c r="BY1276" s="720"/>
      <c r="BZ1276" s="720"/>
      <c r="CA1276" s="720"/>
    </row>
    <row r="1277" spans="1:79" s="740" customFormat="1" hidden="1" outlineLevel="1" x14ac:dyDescent="0.25">
      <c r="A1277" s="656"/>
      <c r="B1277" s="576"/>
      <c r="C1277" s="576"/>
      <c r="D1277" s="576"/>
      <c r="E1277" s="570" t="s">
        <v>1334</v>
      </c>
      <c r="F1277" s="656" t="s">
        <v>880</v>
      </c>
      <c r="G1277" s="723"/>
      <c r="H1277" s="723"/>
      <c r="I1277" s="723"/>
      <c r="J1277" s="723"/>
      <c r="K1277" s="723"/>
      <c r="L1277" s="723"/>
      <c r="M1277" s="723"/>
      <c r="N1277" s="723"/>
      <c r="O1277" s="723"/>
      <c r="P1277" s="718"/>
      <c r="Q1277" s="718"/>
      <c r="R1277" s="717"/>
      <c r="S1277" s="667">
        <v>0</v>
      </c>
      <c r="T1277" s="667">
        <v>0</v>
      </c>
      <c r="U1277" s="667">
        <v>0</v>
      </c>
      <c r="V1277" s="667">
        <v>0</v>
      </c>
      <c r="W1277" s="667">
        <v>0</v>
      </c>
      <c r="X1277" s="667">
        <v>0</v>
      </c>
      <c r="Y1277" s="667">
        <v>0</v>
      </c>
      <c r="Z1277" s="667">
        <v>0</v>
      </c>
      <c r="AA1277" s="667">
        <v>0</v>
      </c>
      <c r="AB1277" s="667">
        <v>0</v>
      </c>
      <c r="AC1277" s="686">
        <v>0</v>
      </c>
      <c r="AD1277" s="686">
        <v>0</v>
      </c>
      <c r="AE1277" s="667">
        <v>0</v>
      </c>
      <c r="AF1277" s="719">
        <v>0</v>
      </c>
      <c r="AG1277" s="686">
        <v>0</v>
      </c>
      <c r="AH1277" s="720"/>
      <c r="AI1277" s="720"/>
      <c r="AJ1277" s="720"/>
      <c r="AK1277" s="720"/>
      <c r="AL1277" s="720"/>
      <c r="AM1277" s="720"/>
      <c r="AN1277" s="720"/>
      <c r="AO1277" s="720"/>
      <c r="AP1277" s="720"/>
      <c r="AQ1277" s="720"/>
      <c r="AR1277" s="720"/>
      <c r="AS1277" s="720"/>
      <c r="AT1277" s="720"/>
      <c r="AU1277" s="720"/>
      <c r="AV1277" s="720"/>
      <c r="AW1277" s="720"/>
      <c r="AX1277" s="720"/>
      <c r="AY1277" s="720"/>
      <c r="AZ1277" s="720"/>
      <c r="BA1277" s="720"/>
      <c r="BB1277" s="720"/>
      <c r="BC1277" s="720"/>
      <c r="BD1277" s="720"/>
      <c r="BE1277" s="720"/>
      <c r="BF1277" s="720"/>
      <c r="BG1277" s="720"/>
      <c r="BH1277" s="720"/>
      <c r="BI1277" s="720"/>
      <c r="BJ1277" s="720"/>
      <c r="BK1277" s="720"/>
      <c r="BL1277" s="720"/>
      <c r="BM1277" s="720"/>
      <c r="BN1277" s="720"/>
      <c r="BO1277" s="720"/>
      <c r="BP1277" s="720"/>
      <c r="BQ1277" s="720"/>
      <c r="BR1277" s="720"/>
      <c r="BS1277" s="720"/>
      <c r="BT1277" s="720"/>
      <c r="BU1277" s="720"/>
      <c r="BV1277" s="720"/>
      <c r="BW1277" s="720"/>
      <c r="BX1277" s="720"/>
      <c r="BY1277" s="720"/>
      <c r="BZ1277" s="720"/>
      <c r="CA1277" s="720"/>
    </row>
    <row r="1278" spans="1:79" s="740" customFormat="1" hidden="1" outlineLevel="1" x14ac:dyDescent="0.25">
      <c r="A1278" s="656"/>
      <c r="B1278" s="79"/>
      <c r="C1278" s="79"/>
      <c r="D1278" s="79"/>
      <c r="E1278" s="570" t="s">
        <v>1335</v>
      </c>
      <c r="F1278" s="656" t="s">
        <v>662</v>
      </c>
      <c r="G1278" s="723"/>
      <c r="H1278" s="723"/>
      <c r="I1278" s="723"/>
      <c r="J1278" s="723"/>
      <c r="K1278" s="723"/>
      <c r="L1278" s="723"/>
      <c r="M1278" s="723"/>
      <c r="N1278" s="723"/>
      <c r="O1278" s="723"/>
      <c r="P1278" s="718"/>
      <c r="Q1278" s="718"/>
      <c r="R1278" s="717"/>
      <c r="S1278" s="667">
        <v>351.54</v>
      </c>
      <c r="T1278" s="667">
        <v>317.52</v>
      </c>
      <c r="U1278" s="667">
        <v>351.54</v>
      </c>
      <c r="V1278" s="667">
        <v>340.2</v>
      </c>
      <c r="W1278" s="667">
        <v>351.54</v>
      </c>
      <c r="X1278" s="667">
        <v>340.2</v>
      </c>
      <c r="Y1278" s="667">
        <v>351.54</v>
      </c>
      <c r="Z1278" s="667">
        <v>351.54</v>
      </c>
      <c r="AA1278" s="667">
        <v>340.2</v>
      </c>
      <c r="AB1278" s="667">
        <v>351.54</v>
      </c>
      <c r="AC1278" s="686">
        <v>340.2</v>
      </c>
      <c r="AD1278" s="686">
        <v>351.91</v>
      </c>
      <c r="AE1278" s="667">
        <v>620.62</v>
      </c>
      <c r="AF1278" s="719">
        <v>560.55999999999995</v>
      </c>
      <c r="AG1278" s="686">
        <v>620.62</v>
      </c>
      <c r="AH1278" s="720"/>
      <c r="AI1278" s="720"/>
      <c r="AJ1278" s="720"/>
      <c r="AK1278" s="720"/>
      <c r="AL1278" s="720"/>
      <c r="AM1278" s="720"/>
      <c r="AN1278" s="720"/>
      <c r="AO1278" s="720"/>
      <c r="AP1278" s="720"/>
      <c r="AQ1278" s="720"/>
      <c r="AR1278" s="720"/>
      <c r="AS1278" s="720"/>
      <c r="AT1278" s="720"/>
      <c r="AU1278" s="720"/>
      <c r="AV1278" s="720"/>
      <c r="AW1278" s="720"/>
      <c r="AX1278" s="720"/>
      <c r="AY1278" s="720"/>
      <c r="AZ1278" s="720"/>
      <c r="BA1278" s="720"/>
      <c r="BB1278" s="720"/>
      <c r="BC1278" s="720"/>
      <c r="BD1278" s="720"/>
      <c r="BE1278" s="720"/>
      <c r="BF1278" s="720"/>
      <c r="BG1278" s="720"/>
      <c r="BH1278" s="720"/>
      <c r="BI1278" s="720"/>
      <c r="BJ1278" s="720"/>
      <c r="BK1278" s="720"/>
      <c r="BL1278" s="720"/>
      <c r="BM1278" s="720"/>
      <c r="BN1278" s="720"/>
      <c r="BO1278" s="720"/>
      <c r="BP1278" s="720"/>
      <c r="BQ1278" s="720"/>
      <c r="BR1278" s="720"/>
      <c r="BS1278" s="720"/>
      <c r="BT1278" s="720"/>
      <c r="BU1278" s="720"/>
      <c r="BV1278" s="720"/>
      <c r="BW1278" s="720"/>
      <c r="BX1278" s="720"/>
      <c r="BY1278" s="720"/>
      <c r="BZ1278" s="720"/>
      <c r="CA1278" s="720"/>
    </row>
    <row r="1279" spans="1:79" s="451" customFormat="1" hidden="1" outlineLevel="1" x14ac:dyDescent="0.25">
      <c r="A1279" s="660"/>
      <c r="B1279" s="79"/>
      <c r="C1279" s="79"/>
      <c r="D1279" s="79"/>
      <c r="E1279" s="570" t="s">
        <v>1334</v>
      </c>
      <c r="F1279" s="660" t="s">
        <v>663</v>
      </c>
      <c r="G1279" s="723"/>
      <c r="H1279" s="723"/>
      <c r="I1279" s="723"/>
      <c r="J1279" s="723"/>
      <c r="K1279" s="723"/>
      <c r="L1279" s="723"/>
      <c r="M1279" s="723"/>
      <c r="N1279" s="723"/>
      <c r="O1279" s="723"/>
      <c r="P1279" s="718"/>
      <c r="Q1279" s="718"/>
      <c r="R1279" s="717"/>
      <c r="S1279" s="667">
        <v>191.89</v>
      </c>
      <c r="T1279" s="667">
        <v>234.64</v>
      </c>
      <c r="U1279" s="667">
        <v>259.77999999999997</v>
      </c>
      <c r="V1279" s="667">
        <v>551.4</v>
      </c>
      <c r="W1279" s="667">
        <v>1242.81</v>
      </c>
      <c r="X1279" s="667">
        <v>1234.43</v>
      </c>
      <c r="Y1279" s="667">
        <v>632.12</v>
      </c>
      <c r="Z1279" s="667">
        <v>0</v>
      </c>
      <c r="AA1279" s="667">
        <v>-201.34</v>
      </c>
      <c r="AB1279" s="667">
        <v>0</v>
      </c>
      <c r="AC1279" s="686">
        <v>0</v>
      </c>
      <c r="AD1279" s="686">
        <v>0</v>
      </c>
      <c r="AE1279" s="667">
        <v>801.45</v>
      </c>
      <c r="AF1279" s="716">
        <v>0</v>
      </c>
      <c r="AG1279" s="686">
        <v>0</v>
      </c>
      <c r="AH1279" s="720"/>
      <c r="AI1279" s="720"/>
      <c r="AJ1279" s="720"/>
      <c r="AK1279" s="720"/>
      <c r="AL1279" s="720"/>
      <c r="AM1279" s="720"/>
      <c r="AN1279" s="720"/>
      <c r="AO1279" s="720"/>
      <c r="AP1279" s="720"/>
      <c r="AQ1279" s="720"/>
      <c r="AR1279" s="720"/>
      <c r="AS1279" s="720"/>
      <c r="AT1279" s="720"/>
      <c r="AU1279" s="720"/>
      <c r="AV1279" s="720"/>
      <c r="AW1279" s="720"/>
      <c r="AX1279" s="720"/>
      <c r="AY1279" s="720"/>
      <c r="AZ1279" s="720"/>
      <c r="BA1279" s="720"/>
      <c r="BB1279" s="720"/>
      <c r="BC1279" s="720"/>
      <c r="BD1279" s="720"/>
      <c r="BE1279" s="720"/>
      <c r="BF1279" s="720"/>
      <c r="BG1279" s="720"/>
      <c r="BH1279" s="720"/>
      <c r="BI1279" s="720"/>
      <c r="BJ1279" s="720"/>
      <c r="BK1279" s="720"/>
      <c r="BL1279" s="720"/>
      <c r="BM1279" s="720"/>
      <c r="BN1279" s="720"/>
      <c r="BO1279" s="720"/>
      <c r="BP1279" s="720"/>
      <c r="BQ1279" s="720"/>
      <c r="BR1279" s="720"/>
      <c r="BS1279" s="720"/>
      <c r="BT1279" s="720"/>
      <c r="BU1279" s="720"/>
      <c r="BV1279" s="720"/>
      <c r="BW1279" s="720"/>
      <c r="BX1279" s="720"/>
      <c r="BY1279" s="720"/>
      <c r="BZ1279" s="720"/>
      <c r="CA1279" s="720"/>
    </row>
    <row r="1280" spans="1:79" s="451" customFormat="1" hidden="1" outlineLevel="1" x14ac:dyDescent="0.25">
      <c r="A1280" s="656"/>
      <c r="B1280" s="576"/>
      <c r="C1280" s="576"/>
      <c r="D1280" s="576"/>
      <c r="E1280" s="570" t="s">
        <v>657</v>
      </c>
      <c r="F1280" s="656" t="s">
        <v>881</v>
      </c>
      <c r="G1280" s="719">
        <v>383</v>
      </c>
      <c r="H1280" s="719">
        <v>0</v>
      </c>
      <c r="I1280" s="719">
        <v>0</v>
      </c>
      <c r="J1280" s="719">
        <v>-1428</v>
      </c>
      <c r="K1280" s="719">
        <v>0</v>
      </c>
      <c r="L1280" s="719">
        <v>759</v>
      </c>
      <c r="M1280" s="719">
        <v>4636.9799999999996</v>
      </c>
      <c r="N1280" s="719">
        <v>0</v>
      </c>
      <c r="O1280" s="719">
        <v>1142.22</v>
      </c>
      <c r="P1280" s="718">
        <v>541.25</v>
      </c>
      <c r="Q1280" s="718">
        <v>0</v>
      </c>
      <c r="R1280" s="717">
        <v>3414.73</v>
      </c>
      <c r="S1280" s="667">
        <v>0</v>
      </c>
      <c r="T1280" s="667">
        <v>0</v>
      </c>
      <c r="U1280" s="667">
        <v>0</v>
      </c>
      <c r="V1280" s="667">
        <v>0</v>
      </c>
      <c r="W1280" s="667">
        <v>0</v>
      </c>
      <c r="X1280" s="667">
        <v>0</v>
      </c>
      <c r="Y1280" s="667">
        <v>0</v>
      </c>
      <c r="Z1280" s="667">
        <v>0</v>
      </c>
      <c r="AA1280" s="667">
        <v>0</v>
      </c>
      <c r="AB1280" s="667">
        <v>0</v>
      </c>
      <c r="AC1280" s="686">
        <v>0</v>
      </c>
      <c r="AD1280" s="686">
        <v>0</v>
      </c>
      <c r="AE1280" s="667">
        <v>0</v>
      </c>
      <c r="AF1280" s="719">
        <v>0</v>
      </c>
      <c r="AG1280" s="686">
        <v>0</v>
      </c>
      <c r="AH1280" s="720"/>
      <c r="AI1280" s="720"/>
      <c r="AJ1280" s="720"/>
      <c r="AK1280" s="720"/>
      <c r="AL1280" s="720"/>
      <c r="AM1280" s="720"/>
      <c r="AN1280" s="720"/>
      <c r="AO1280" s="720"/>
      <c r="AP1280" s="720"/>
      <c r="AQ1280" s="720"/>
      <c r="AR1280" s="720"/>
      <c r="AS1280" s="720"/>
      <c r="AT1280" s="720"/>
      <c r="AU1280" s="720"/>
      <c r="AV1280" s="720"/>
      <c r="AW1280" s="720"/>
      <c r="AX1280" s="720"/>
      <c r="AY1280" s="720"/>
      <c r="AZ1280" s="720"/>
      <c r="BA1280" s="720"/>
      <c r="BB1280" s="720"/>
      <c r="BC1280" s="720"/>
      <c r="BD1280" s="720"/>
      <c r="BE1280" s="720"/>
      <c r="BF1280" s="720"/>
      <c r="BG1280" s="720"/>
      <c r="BH1280" s="720"/>
      <c r="BI1280" s="720"/>
      <c r="BJ1280" s="720"/>
      <c r="BK1280" s="720"/>
      <c r="BL1280" s="720"/>
      <c r="BM1280" s="720"/>
      <c r="BN1280" s="720"/>
      <c r="BO1280" s="720"/>
      <c r="BP1280" s="720"/>
      <c r="BQ1280" s="720"/>
      <c r="BR1280" s="720"/>
      <c r="BS1280" s="720"/>
      <c r="BT1280" s="720"/>
      <c r="BU1280" s="720"/>
      <c r="BV1280" s="720"/>
      <c r="BW1280" s="720"/>
      <c r="BX1280" s="720"/>
      <c r="BY1280" s="720"/>
      <c r="BZ1280" s="720"/>
      <c r="CA1280" s="720"/>
    </row>
    <row r="1281" spans="1:79" s="451" customFormat="1" hidden="1" outlineLevel="1" x14ac:dyDescent="0.25">
      <c r="A1281" s="657"/>
      <c r="B1281" s="29"/>
      <c r="C1281" s="29"/>
      <c r="D1281" s="29"/>
      <c r="E1281" s="570" t="s">
        <v>49</v>
      </c>
      <c r="F1281" s="657" t="s">
        <v>664</v>
      </c>
      <c r="G1281" s="664">
        <f>SUM(G1272:G1280)</f>
        <v>383</v>
      </c>
      <c r="H1281" s="664">
        <f t="shared" ref="H1281:BO1281" si="546">SUM(H1272:H1280)</f>
        <v>0</v>
      </c>
      <c r="I1281" s="664">
        <f t="shared" si="546"/>
        <v>0</v>
      </c>
      <c r="J1281" s="664">
        <f t="shared" si="546"/>
        <v>-1428</v>
      </c>
      <c r="K1281" s="664">
        <f t="shared" si="546"/>
        <v>0</v>
      </c>
      <c r="L1281" s="664">
        <f t="shared" si="546"/>
        <v>759</v>
      </c>
      <c r="M1281" s="664">
        <f t="shared" si="546"/>
        <v>4636.9799999999996</v>
      </c>
      <c r="N1281" s="664">
        <f t="shared" si="546"/>
        <v>0</v>
      </c>
      <c r="O1281" s="664">
        <f t="shared" si="546"/>
        <v>1142.22</v>
      </c>
      <c r="P1281" s="664">
        <f t="shared" si="546"/>
        <v>541.25</v>
      </c>
      <c r="Q1281" s="664">
        <f t="shared" si="546"/>
        <v>0</v>
      </c>
      <c r="R1281" s="664">
        <f t="shared" si="546"/>
        <v>3414.73</v>
      </c>
      <c r="S1281" s="678">
        <f t="shared" ref="S1281:AA1281" si="547">ROUND(SUM(S1271:S1280),5)</f>
        <v>2425.75</v>
      </c>
      <c r="T1281" s="678">
        <f t="shared" si="547"/>
        <v>2252.3200000000002</v>
      </c>
      <c r="U1281" s="678">
        <f t="shared" si="547"/>
        <v>2493.64</v>
      </c>
      <c r="V1281" s="678">
        <f t="shared" si="547"/>
        <v>2789.83</v>
      </c>
      <c r="W1281" s="678">
        <f t="shared" si="547"/>
        <v>3476.67</v>
      </c>
      <c r="X1281" s="678">
        <f t="shared" si="547"/>
        <v>7466.23</v>
      </c>
      <c r="Y1281" s="678">
        <f t="shared" si="547"/>
        <v>3205.15</v>
      </c>
      <c r="Z1281" s="678">
        <f t="shared" si="547"/>
        <v>2573.02</v>
      </c>
      <c r="AA1281" s="678">
        <f t="shared" si="547"/>
        <v>2299.63</v>
      </c>
      <c r="AB1281" s="678">
        <f t="shared" ref="AB1281:AG1281" si="548">ROUND(SUM(AB1271:AB1280),5)</f>
        <v>2573.0300000000002</v>
      </c>
      <c r="AC1281" s="678">
        <f t="shared" si="548"/>
        <v>2500.96</v>
      </c>
      <c r="AD1281" s="678">
        <f t="shared" si="548"/>
        <v>2575.8200000000002</v>
      </c>
      <c r="AE1281" s="678">
        <f t="shared" si="548"/>
        <v>4364.1499999999996</v>
      </c>
      <c r="AF1281" s="664">
        <f t="shared" si="548"/>
        <v>3308.8</v>
      </c>
      <c r="AG1281" s="678">
        <f t="shared" si="548"/>
        <v>3562.7</v>
      </c>
      <c r="AH1281" s="664">
        <f t="shared" si="546"/>
        <v>0</v>
      </c>
      <c r="AI1281" s="664">
        <f t="shared" si="546"/>
        <v>0</v>
      </c>
      <c r="AJ1281" s="664">
        <f t="shared" si="546"/>
        <v>0</v>
      </c>
      <c r="AK1281" s="664">
        <f t="shared" si="546"/>
        <v>0</v>
      </c>
      <c r="AL1281" s="664">
        <f t="shared" si="546"/>
        <v>0</v>
      </c>
      <c r="AM1281" s="664">
        <f t="shared" si="546"/>
        <v>0</v>
      </c>
      <c r="AN1281" s="664">
        <f t="shared" si="546"/>
        <v>0</v>
      </c>
      <c r="AO1281" s="664">
        <f t="shared" si="546"/>
        <v>0</v>
      </c>
      <c r="AP1281" s="664">
        <f t="shared" si="546"/>
        <v>0</v>
      </c>
      <c r="AQ1281" s="664">
        <f t="shared" si="546"/>
        <v>0</v>
      </c>
      <c r="AR1281" s="664">
        <f t="shared" si="546"/>
        <v>0</v>
      </c>
      <c r="AS1281" s="664">
        <f t="shared" si="546"/>
        <v>0</v>
      </c>
      <c r="AT1281" s="664">
        <f t="shared" si="546"/>
        <v>0</v>
      </c>
      <c r="AU1281" s="664">
        <f t="shared" si="546"/>
        <v>0</v>
      </c>
      <c r="AV1281" s="664">
        <f t="shared" si="546"/>
        <v>0</v>
      </c>
      <c r="AW1281" s="664">
        <f t="shared" si="546"/>
        <v>0</v>
      </c>
      <c r="AX1281" s="664">
        <f t="shared" si="546"/>
        <v>0</v>
      </c>
      <c r="AY1281" s="664">
        <f t="shared" si="546"/>
        <v>0</v>
      </c>
      <c r="AZ1281" s="664">
        <f t="shared" si="546"/>
        <v>0</v>
      </c>
      <c r="BA1281" s="664">
        <f t="shared" si="546"/>
        <v>0</v>
      </c>
      <c r="BB1281" s="664">
        <f t="shared" si="546"/>
        <v>0</v>
      </c>
      <c r="BC1281" s="664">
        <f t="shared" si="546"/>
        <v>0</v>
      </c>
      <c r="BD1281" s="664">
        <f t="shared" si="546"/>
        <v>0</v>
      </c>
      <c r="BE1281" s="664">
        <f t="shared" si="546"/>
        <v>0</v>
      </c>
      <c r="BF1281" s="664">
        <f t="shared" si="546"/>
        <v>0</v>
      </c>
      <c r="BG1281" s="664">
        <f t="shared" si="546"/>
        <v>0</v>
      </c>
      <c r="BH1281" s="664">
        <f t="shared" si="546"/>
        <v>0</v>
      </c>
      <c r="BI1281" s="664">
        <f t="shared" si="546"/>
        <v>0</v>
      </c>
      <c r="BJ1281" s="664">
        <f t="shared" si="546"/>
        <v>0</v>
      </c>
      <c r="BK1281" s="664">
        <f t="shared" si="546"/>
        <v>0</v>
      </c>
      <c r="BL1281" s="664">
        <f t="shared" si="546"/>
        <v>0</v>
      </c>
      <c r="BM1281" s="664">
        <f t="shared" si="546"/>
        <v>0</v>
      </c>
      <c r="BN1281" s="664">
        <f t="shared" si="546"/>
        <v>0</v>
      </c>
      <c r="BO1281" s="664">
        <f t="shared" si="546"/>
        <v>0</v>
      </c>
      <c r="BP1281" s="664">
        <f t="shared" ref="BP1281:CA1281" si="549">SUM(BP1272:BP1280)</f>
        <v>0</v>
      </c>
      <c r="BQ1281" s="664">
        <f t="shared" si="549"/>
        <v>0</v>
      </c>
      <c r="BR1281" s="664">
        <f t="shared" si="549"/>
        <v>0</v>
      </c>
      <c r="BS1281" s="664">
        <f t="shared" si="549"/>
        <v>0</v>
      </c>
      <c r="BT1281" s="664">
        <f t="shared" si="549"/>
        <v>0</v>
      </c>
      <c r="BU1281" s="664">
        <f t="shared" si="549"/>
        <v>0</v>
      </c>
      <c r="BV1281" s="664">
        <f t="shared" si="549"/>
        <v>0</v>
      </c>
      <c r="BW1281" s="664">
        <f t="shared" si="549"/>
        <v>0</v>
      </c>
      <c r="BX1281" s="664">
        <f t="shared" si="549"/>
        <v>0</v>
      </c>
      <c r="BY1281" s="664">
        <f t="shared" si="549"/>
        <v>0</v>
      </c>
      <c r="BZ1281" s="664">
        <f t="shared" si="549"/>
        <v>0</v>
      </c>
      <c r="CA1281" s="664">
        <f t="shared" si="549"/>
        <v>0</v>
      </c>
    </row>
    <row r="1282" spans="1:79" s="451" customFormat="1" hidden="1" outlineLevel="1" x14ac:dyDescent="0.25">
      <c r="A1282" s="655"/>
      <c r="B1282" s="437"/>
      <c r="C1282" s="437"/>
      <c r="D1282" s="437"/>
      <c r="E1282" s="570" t="s">
        <v>1336</v>
      </c>
      <c r="F1282" s="655" t="s">
        <v>665</v>
      </c>
      <c r="G1282" s="716">
        <v>54</v>
      </c>
      <c r="H1282" s="716">
        <v>54</v>
      </c>
      <c r="I1282" s="716">
        <v>54</v>
      </c>
      <c r="J1282" s="716">
        <v>54</v>
      </c>
      <c r="K1282" s="716">
        <v>54</v>
      </c>
      <c r="L1282" s="716">
        <v>54</v>
      </c>
      <c r="M1282" s="716">
        <v>54</v>
      </c>
      <c r="N1282" s="716">
        <v>54</v>
      </c>
      <c r="O1282" s="716">
        <v>54</v>
      </c>
      <c r="P1282" s="716">
        <v>54</v>
      </c>
      <c r="Q1282" s="716">
        <v>54</v>
      </c>
      <c r="R1282" s="720">
        <v>3304.45</v>
      </c>
      <c r="S1282" s="667">
        <v>0</v>
      </c>
      <c r="T1282" s="667">
        <v>54</v>
      </c>
      <c r="U1282" s="667">
        <v>54</v>
      </c>
      <c r="V1282" s="667">
        <v>54</v>
      </c>
      <c r="W1282" s="667">
        <v>54</v>
      </c>
      <c r="X1282" s="667">
        <v>0</v>
      </c>
      <c r="Y1282" s="667">
        <v>0</v>
      </c>
      <c r="Z1282" s="667">
        <v>378.14</v>
      </c>
      <c r="AA1282" s="667">
        <v>0</v>
      </c>
      <c r="AB1282" s="667">
        <v>0</v>
      </c>
      <c r="AC1282" s="686">
        <v>0</v>
      </c>
      <c r="AD1282" s="686">
        <v>0</v>
      </c>
      <c r="AE1282" s="667">
        <v>0</v>
      </c>
      <c r="AF1282" s="719">
        <v>0</v>
      </c>
      <c r="AG1282" s="686">
        <v>0</v>
      </c>
      <c r="AH1282" s="720"/>
      <c r="AI1282" s="720"/>
      <c r="AJ1282" s="720"/>
      <c r="AK1282" s="720"/>
      <c r="AL1282" s="720"/>
      <c r="AM1282" s="720"/>
      <c r="AN1282" s="720"/>
      <c r="AO1282" s="720"/>
      <c r="AP1282" s="720"/>
      <c r="AQ1282" s="720"/>
      <c r="AR1282" s="720"/>
      <c r="AS1282" s="720"/>
      <c r="AT1282" s="720"/>
      <c r="AU1282" s="720"/>
      <c r="AV1282" s="720"/>
      <c r="AW1282" s="720"/>
      <c r="AX1282" s="720"/>
      <c r="AY1282" s="720"/>
      <c r="AZ1282" s="720"/>
      <c r="BA1282" s="720"/>
      <c r="BB1282" s="720"/>
      <c r="BC1282" s="720"/>
      <c r="BD1282" s="720"/>
      <c r="BE1282" s="720"/>
      <c r="BF1282" s="720"/>
      <c r="BG1282" s="720"/>
      <c r="BH1282" s="720"/>
      <c r="BI1282" s="720"/>
      <c r="BJ1282" s="720"/>
      <c r="BK1282" s="720"/>
      <c r="BL1282" s="720"/>
      <c r="BM1282" s="720"/>
      <c r="BN1282" s="720"/>
      <c r="BO1282" s="720"/>
      <c r="BP1282" s="720"/>
      <c r="BQ1282" s="720"/>
      <c r="BR1282" s="720"/>
      <c r="BS1282" s="720"/>
      <c r="BT1282" s="720"/>
      <c r="BU1282" s="720"/>
      <c r="BV1282" s="720"/>
      <c r="BW1282" s="720"/>
      <c r="BX1282" s="720"/>
      <c r="BY1282" s="720"/>
      <c r="BZ1282" s="720"/>
      <c r="CA1282" s="720"/>
    </row>
    <row r="1283" spans="1:79" s="737" customFormat="1" hidden="1" outlineLevel="1" x14ac:dyDescent="0.25">
      <c r="A1283" s="701"/>
      <c r="B1283" s="700"/>
      <c r="C1283" s="700"/>
      <c r="D1283" s="700"/>
      <c r="E1283" s="570" t="s">
        <v>1337</v>
      </c>
      <c r="F1283" s="701" t="s">
        <v>593</v>
      </c>
      <c r="G1283" s="736"/>
      <c r="H1283" s="736"/>
      <c r="I1283" s="736"/>
      <c r="J1283" s="736"/>
      <c r="K1283" s="736"/>
      <c r="L1283" s="736"/>
      <c r="M1283" s="736"/>
      <c r="N1283" s="736"/>
      <c r="O1283" s="736"/>
      <c r="P1283" s="736"/>
      <c r="Q1283" s="736"/>
      <c r="R1283" s="762"/>
      <c r="S1283" s="697"/>
      <c r="T1283" s="697"/>
      <c r="U1283" s="697"/>
      <c r="V1283" s="697"/>
      <c r="W1283" s="697"/>
      <c r="X1283" s="697"/>
      <c r="Y1283" s="697"/>
      <c r="Z1283" s="697"/>
      <c r="AA1283" s="697"/>
      <c r="AB1283" s="697"/>
      <c r="AC1283" s="705"/>
      <c r="AD1283" s="705"/>
      <c r="AE1283" s="697"/>
      <c r="AF1283" s="733"/>
      <c r="AG1283" s="705"/>
      <c r="AH1283" s="735"/>
      <c r="AI1283" s="735"/>
      <c r="AJ1283" s="735"/>
      <c r="AK1283" s="735"/>
      <c r="AL1283" s="735"/>
      <c r="AM1283" s="735"/>
      <c r="AN1283" s="735"/>
      <c r="AO1283" s="735"/>
      <c r="AP1283" s="735"/>
      <c r="AQ1283" s="735"/>
      <c r="AR1283" s="735"/>
      <c r="AS1283" s="735"/>
      <c r="AT1283" s="735"/>
      <c r="AU1283" s="735"/>
      <c r="AV1283" s="735"/>
      <c r="AW1283" s="735"/>
      <c r="AX1283" s="735"/>
      <c r="AY1283" s="735"/>
      <c r="AZ1283" s="735"/>
      <c r="BA1283" s="735"/>
      <c r="BB1283" s="735"/>
      <c r="BC1283" s="735"/>
      <c r="BD1283" s="735"/>
      <c r="BE1283" s="735"/>
      <c r="BF1283" s="735"/>
      <c r="BG1283" s="735"/>
      <c r="BH1283" s="735"/>
      <c r="BI1283" s="735"/>
      <c r="BJ1283" s="735"/>
      <c r="BK1283" s="735"/>
      <c r="BL1283" s="735"/>
      <c r="BM1283" s="735"/>
      <c r="BN1283" s="735"/>
      <c r="BO1283" s="735"/>
      <c r="BP1283" s="735"/>
      <c r="BQ1283" s="735"/>
      <c r="BR1283" s="735"/>
      <c r="BS1283" s="735"/>
      <c r="BT1283" s="735"/>
      <c r="BU1283" s="735"/>
      <c r="BV1283" s="735"/>
      <c r="BW1283" s="735"/>
      <c r="BX1283" s="735"/>
      <c r="BY1283" s="735"/>
      <c r="BZ1283" s="735"/>
      <c r="CA1283" s="735"/>
    </row>
    <row r="1284" spans="1:79" s="451" customFormat="1" hidden="1" outlineLevel="1" x14ac:dyDescent="0.25">
      <c r="A1284" s="656"/>
      <c r="B1284" s="503"/>
      <c r="C1284" s="503"/>
      <c r="D1284" s="503"/>
      <c r="E1284" s="570" t="s">
        <v>1337</v>
      </c>
      <c r="F1284" s="656" t="s">
        <v>882</v>
      </c>
      <c r="G1284" s="718"/>
      <c r="H1284" s="718"/>
      <c r="I1284" s="718"/>
      <c r="J1284" s="718"/>
      <c r="K1284" s="718"/>
      <c r="L1284" s="718"/>
      <c r="M1284" s="718"/>
      <c r="N1284" s="718"/>
      <c r="O1284" s="718"/>
      <c r="P1284" s="718"/>
      <c r="Q1284" s="718"/>
      <c r="R1284" s="717"/>
      <c r="S1284" s="671">
        <v>0</v>
      </c>
      <c r="T1284" s="671">
        <v>0</v>
      </c>
      <c r="U1284" s="671">
        <v>0</v>
      </c>
      <c r="V1284" s="671">
        <v>0</v>
      </c>
      <c r="W1284" s="671">
        <v>0</v>
      </c>
      <c r="X1284" s="671">
        <v>0</v>
      </c>
      <c r="Y1284" s="671">
        <v>0</v>
      </c>
      <c r="Z1284" s="671">
        <v>0</v>
      </c>
      <c r="AA1284" s="671">
        <v>0</v>
      </c>
      <c r="AB1284" s="671">
        <v>0</v>
      </c>
      <c r="AC1284" s="687">
        <v>0</v>
      </c>
      <c r="AD1284" s="687">
        <v>0</v>
      </c>
      <c r="AE1284" s="671">
        <v>0</v>
      </c>
      <c r="AF1284" s="719">
        <v>0</v>
      </c>
      <c r="AG1284" s="687">
        <v>0</v>
      </c>
      <c r="AH1284" s="720"/>
      <c r="AI1284" s="720"/>
      <c r="AJ1284" s="720"/>
      <c r="AK1284" s="720"/>
      <c r="AL1284" s="720"/>
      <c r="AM1284" s="720"/>
      <c r="AN1284" s="720"/>
      <c r="AO1284" s="720"/>
      <c r="AP1284" s="720"/>
      <c r="AQ1284" s="720"/>
      <c r="AR1284" s="720"/>
      <c r="AS1284" s="720"/>
      <c r="AT1284" s="720"/>
      <c r="AU1284" s="720"/>
      <c r="AV1284" s="720"/>
      <c r="AW1284" s="720"/>
      <c r="AX1284" s="720"/>
      <c r="AY1284" s="720"/>
      <c r="AZ1284" s="720"/>
      <c r="BA1284" s="720"/>
      <c r="BB1284" s="720"/>
      <c r="BC1284" s="720"/>
      <c r="BD1284" s="720"/>
      <c r="BE1284" s="720"/>
      <c r="BF1284" s="720"/>
      <c r="BG1284" s="720"/>
      <c r="BH1284" s="720"/>
      <c r="BI1284" s="720"/>
      <c r="BJ1284" s="720"/>
      <c r="BK1284" s="720"/>
      <c r="BL1284" s="720"/>
      <c r="BM1284" s="720"/>
      <c r="BN1284" s="720"/>
      <c r="BO1284" s="720"/>
      <c r="BP1284" s="720"/>
      <c r="BQ1284" s="720"/>
      <c r="BR1284" s="720"/>
      <c r="BS1284" s="720"/>
      <c r="BT1284" s="720"/>
      <c r="BU1284" s="720"/>
      <c r="BV1284" s="720"/>
      <c r="BW1284" s="720"/>
      <c r="BX1284" s="720"/>
      <c r="BY1284" s="720"/>
      <c r="BZ1284" s="720"/>
      <c r="CA1284" s="720"/>
    </row>
    <row r="1285" spans="1:79" s="451" customFormat="1" hidden="1" outlineLevel="1" x14ac:dyDescent="0.25">
      <c r="A1285" s="656"/>
      <c r="B1285" s="503"/>
      <c r="C1285" s="503"/>
      <c r="D1285" s="503"/>
      <c r="E1285" s="570" t="s">
        <v>941</v>
      </c>
      <c r="F1285" s="656" t="s">
        <v>883</v>
      </c>
      <c r="G1285" s="718"/>
      <c r="H1285" s="718"/>
      <c r="I1285" s="718"/>
      <c r="J1285" s="718"/>
      <c r="K1285" s="718"/>
      <c r="L1285" s="718"/>
      <c r="M1285" s="718"/>
      <c r="N1285" s="718"/>
      <c r="O1285" s="718"/>
      <c r="P1285" s="718"/>
      <c r="Q1285" s="718"/>
      <c r="R1285" s="717"/>
      <c r="S1285" s="671">
        <v>0</v>
      </c>
      <c r="T1285" s="671">
        <v>0</v>
      </c>
      <c r="U1285" s="671">
        <v>0</v>
      </c>
      <c r="V1285" s="671">
        <v>0</v>
      </c>
      <c r="W1285" s="671">
        <v>0</v>
      </c>
      <c r="X1285" s="671">
        <v>0</v>
      </c>
      <c r="Y1285" s="671">
        <v>0</v>
      </c>
      <c r="Z1285" s="671">
        <v>0</v>
      </c>
      <c r="AA1285" s="671">
        <v>0</v>
      </c>
      <c r="AB1285" s="671">
        <v>0</v>
      </c>
      <c r="AC1285" s="687">
        <v>0</v>
      </c>
      <c r="AD1285" s="687">
        <v>0</v>
      </c>
      <c r="AE1285" s="671">
        <v>0</v>
      </c>
      <c r="AF1285" s="719">
        <v>0</v>
      </c>
      <c r="AG1285" s="687">
        <v>0</v>
      </c>
      <c r="AH1285" s="720"/>
      <c r="AI1285" s="720"/>
      <c r="AJ1285" s="720"/>
      <c r="AK1285" s="720"/>
      <c r="AL1285" s="720"/>
      <c r="AM1285" s="720"/>
      <c r="AN1285" s="720"/>
      <c r="AO1285" s="720"/>
      <c r="AP1285" s="720"/>
      <c r="AQ1285" s="720"/>
      <c r="AR1285" s="720"/>
      <c r="AS1285" s="720"/>
      <c r="AT1285" s="720"/>
      <c r="AU1285" s="720"/>
      <c r="AV1285" s="720"/>
      <c r="AW1285" s="720"/>
      <c r="AX1285" s="720"/>
      <c r="AY1285" s="720"/>
      <c r="AZ1285" s="720"/>
      <c r="BA1285" s="720"/>
      <c r="BB1285" s="720"/>
      <c r="BC1285" s="720"/>
      <c r="BD1285" s="720"/>
      <c r="BE1285" s="720"/>
      <c r="BF1285" s="720"/>
      <c r="BG1285" s="720"/>
      <c r="BH1285" s="720"/>
      <c r="BI1285" s="720"/>
      <c r="BJ1285" s="720"/>
      <c r="BK1285" s="720"/>
      <c r="BL1285" s="720"/>
      <c r="BM1285" s="720"/>
      <c r="BN1285" s="720"/>
      <c r="BO1285" s="720"/>
      <c r="BP1285" s="720"/>
      <c r="BQ1285" s="720"/>
      <c r="BR1285" s="720"/>
      <c r="BS1285" s="720"/>
      <c r="BT1285" s="720"/>
      <c r="BU1285" s="720"/>
      <c r="BV1285" s="720"/>
      <c r="BW1285" s="720"/>
      <c r="BX1285" s="720"/>
      <c r="BY1285" s="720"/>
      <c r="BZ1285" s="720"/>
      <c r="CA1285" s="720"/>
    </row>
    <row r="1286" spans="1:79" s="451" customFormat="1" hidden="1" outlineLevel="1" x14ac:dyDescent="0.25">
      <c r="A1286" s="656"/>
      <c r="B1286" s="503"/>
      <c r="C1286" s="503"/>
      <c r="D1286" s="503"/>
      <c r="E1286" s="570" t="s">
        <v>11</v>
      </c>
      <c r="F1286" s="656" t="s">
        <v>884</v>
      </c>
      <c r="G1286" s="718"/>
      <c r="H1286" s="718"/>
      <c r="I1286" s="718"/>
      <c r="J1286" s="718"/>
      <c r="K1286" s="718"/>
      <c r="L1286" s="718"/>
      <c r="M1286" s="718"/>
      <c r="N1286" s="718"/>
      <c r="O1286" s="718"/>
      <c r="P1286" s="718"/>
      <c r="Q1286" s="718"/>
      <c r="R1286" s="717"/>
      <c r="S1286" s="671">
        <v>0</v>
      </c>
      <c r="T1286" s="671">
        <v>0</v>
      </c>
      <c r="U1286" s="671">
        <v>0</v>
      </c>
      <c r="V1286" s="671">
        <v>0</v>
      </c>
      <c r="W1286" s="671">
        <v>0</v>
      </c>
      <c r="X1286" s="671">
        <v>0</v>
      </c>
      <c r="Y1286" s="671">
        <v>0</v>
      </c>
      <c r="Z1286" s="671">
        <v>0</v>
      </c>
      <c r="AA1286" s="671">
        <v>0</v>
      </c>
      <c r="AB1286" s="671">
        <v>0</v>
      </c>
      <c r="AC1286" s="687">
        <v>0</v>
      </c>
      <c r="AD1286" s="687">
        <v>0</v>
      </c>
      <c r="AE1286" s="671">
        <v>0</v>
      </c>
      <c r="AF1286" s="719">
        <v>0</v>
      </c>
      <c r="AG1286" s="687">
        <v>0</v>
      </c>
      <c r="AH1286" s="720"/>
      <c r="AI1286" s="720"/>
      <c r="AJ1286" s="720"/>
      <c r="AK1286" s="720"/>
      <c r="AL1286" s="720"/>
      <c r="AM1286" s="720"/>
      <c r="AN1286" s="720"/>
      <c r="AO1286" s="720"/>
      <c r="AP1286" s="720"/>
      <c r="AQ1286" s="720"/>
      <c r="AR1286" s="720"/>
      <c r="AS1286" s="720"/>
      <c r="AT1286" s="720"/>
      <c r="AU1286" s="720"/>
      <c r="AV1286" s="720"/>
      <c r="AW1286" s="720"/>
      <c r="AX1286" s="720"/>
      <c r="AY1286" s="720"/>
      <c r="AZ1286" s="720"/>
      <c r="BA1286" s="720"/>
      <c r="BB1286" s="720"/>
      <c r="BC1286" s="720"/>
      <c r="BD1286" s="720"/>
      <c r="BE1286" s="720"/>
      <c r="BF1286" s="720"/>
      <c r="BG1286" s="720"/>
      <c r="BH1286" s="720"/>
      <c r="BI1286" s="720"/>
      <c r="BJ1286" s="720"/>
      <c r="BK1286" s="720"/>
      <c r="BL1286" s="720"/>
      <c r="BM1286" s="720"/>
      <c r="BN1286" s="720"/>
      <c r="BO1286" s="720"/>
      <c r="BP1286" s="720"/>
      <c r="BQ1286" s="720"/>
      <c r="BR1286" s="720"/>
      <c r="BS1286" s="720"/>
      <c r="BT1286" s="720"/>
      <c r="BU1286" s="720"/>
      <c r="BV1286" s="720"/>
      <c r="BW1286" s="720"/>
      <c r="BX1286" s="720"/>
      <c r="BY1286" s="720"/>
      <c r="BZ1286" s="720"/>
      <c r="CA1286" s="720"/>
    </row>
    <row r="1287" spans="1:79" s="451" customFormat="1" hidden="1" outlineLevel="1" x14ac:dyDescent="0.25">
      <c r="A1287" s="656"/>
      <c r="B1287" s="503"/>
      <c r="C1287" s="503"/>
      <c r="D1287" s="503"/>
      <c r="E1287" s="570" t="s">
        <v>1337</v>
      </c>
      <c r="F1287" s="656" t="s">
        <v>885</v>
      </c>
      <c r="G1287" s="718"/>
      <c r="H1287" s="718"/>
      <c r="I1287" s="718"/>
      <c r="J1287" s="718"/>
      <c r="K1287" s="718"/>
      <c r="L1287" s="718"/>
      <c r="M1287" s="718"/>
      <c r="N1287" s="718"/>
      <c r="O1287" s="718"/>
      <c r="P1287" s="718"/>
      <c r="Q1287" s="718"/>
      <c r="R1287" s="717"/>
      <c r="S1287" s="671">
        <v>0</v>
      </c>
      <c r="T1287" s="671">
        <v>0</v>
      </c>
      <c r="U1287" s="671">
        <v>0</v>
      </c>
      <c r="V1287" s="671">
        <v>0</v>
      </c>
      <c r="W1287" s="671">
        <v>0</v>
      </c>
      <c r="X1287" s="671">
        <v>0</v>
      </c>
      <c r="Y1287" s="671">
        <v>0</v>
      </c>
      <c r="Z1287" s="671">
        <v>0</v>
      </c>
      <c r="AA1287" s="671">
        <v>0</v>
      </c>
      <c r="AB1287" s="671">
        <v>0</v>
      </c>
      <c r="AC1287" s="687">
        <v>0</v>
      </c>
      <c r="AD1287" s="687">
        <v>0</v>
      </c>
      <c r="AE1287" s="671">
        <v>0</v>
      </c>
      <c r="AF1287" s="719">
        <v>0</v>
      </c>
      <c r="AG1287" s="687">
        <v>0</v>
      </c>
      <c r="AH1287" s="720"/>
      <c r="AI1287" s="720"/>
      <c r="AJ1287" s="720"/>
      <c r="AK1287" s="720"/>
      <c r="AL1287" s="720"/>
      <c r="AM1287" s="720"/>
      <c r="AN1287" s="720"/>
      <c r="AO1287" s="720"/>
      <c r="AP1287" s="720"/>
      <c r="AQ1287" s="720"/>
      <c r="AR1287" s="720"/>
      <c r="AS1287" s="720"/>
      <c r="AT1287" s="720"/>
      <c r="AU1287" s="720"/>
      <c r="AV1287" s="720"/>
      <c r="AW1287" s="720"/>
      <c r="AX1287" s="720"/>
      <c r="AY1287" s="720"/>
      <c r="AZ1287" s="720"/>
      <c r="BA1287" s="720"/>
      <c r="BB1287" s="720"/>
      <c r="BC1287" s="720"/>
      <c r="BD1287" s="720"/>
      <c r="BE1287" s="720"/>
      <c r="BF1287" s="720"/>
      <c r="BG1287" s="720"/>
      <c r="BH1287" s="720"/>
      <c r="BI1287" s="720"/>
      <c r="BJ1287" s="720"/>
      <c r="BK1287" s="720"/>
      <c r="BL1287" s="720"/>
      <c r="BM1287" s="720"/>
      <c r="BN1287" s="720"/>
      <c r="BO1287" s="720"/>
      <c r="BP1287" s="720"/>
      <c r="BQ1287" s="720"/>
      <c r="BR1287" s="720"/>
      <c r="BS1287" s="720"/>
      <c r="BT1287" s="720"/>
      <c r="BU1287" s="720"/>
      <c r="BV1287" s="720"/>
      <c r="BW1287" s="720"/>
      <c r="BX1287" s="720"/>
      <c r="BY1287" s="720"/>
      <c r="BZ1287" s="720"/>
      <c r="CA1287" s="720"/>
    </row>
    <row r="1288" spans="1:79" s="451" customFormat="1" hidden="1" outlineLevel="1" x14ac:dyDescent="0.25">
      <c r="A1288" s="656"/>
      <c r="B1288" s="503"/>
      <c r="C1288" s="503"/>
      <c r="D1288" s="503"/>
      <c r="E1288" s="570" t="s">
        <v>1270</v>
      </c>
      <c r="F1288" s="656" t="s">
        <v>818</v>
      </c>
      <c r="G1288" s="718"/>
      <c r="H1288" s="718"/>
      <c r="I1288" s="718"/>
      <c r="J1288" s="718"/>
      <c r="K1288" s="718"/>
      <c r="L1288" s="718"/>
      <c r="M1288" s="718"/>
      <c r="N1288" s="718"/>
      <c r="O1288" s="718"/>
      <c r="P1288" s="718"/>
      <c r="Q1288" s="718"/>
      <c r="R1288" s="717"/>
      <c r="S1288" s="671">
        <v>0</v>
      </c>
      <c r="T1288" s="671">
        <v>0</v>
      </c>
      <c r="U1288" s="671">
        <v>0</v>
      </c>
      <c r="V1288" s="671">
        <v>0</v>
      </c>
      <c r="W1288" s="671">
        <v>0</v>
      </c>
      <c r="X1288" s="671">
        <v>0</v>
      </c>
      <c r="Y1288" s="671">
        <v>0</v>
      </c>
      <c r="Z1288" s="671">
        <v>0</v>
      </c>
      <c r="AA1288" s="671">
        <v>0</v>
      </c>
      <c r="AB1288" s="671">
        <v>0</v>
      </c>
      <c r="AC1288" s="687">
        <v>0</v>
      </c>
      <c r="AD1288" s="687">
        <v>0</v>
      </c>
      <c r="AE1288" s="671">
        <v>0</v>
      </c>
      <c r="AF1288" s="719">
        <v>0</v>
      </c>
      <c r="AG1288" s="687">
        <v>0</v>
      </c>
      <c r="AH1288" s="720"/>
      <c r="AI1288" s="720"/>
      <c r="AJ1288" s="720"/>
      <c r="AK1288" s="720"/>
      <c r="AL1288" s="720"/>
      <c r="AM1288" s="720"/>
      <c r="AN1288" s="720"/>
      <c r="AO1288" s="720"/>
      <c r="AP1288" s="720"/>
      <c r="AQ1288" s="720"/>
      <c r="AR1288" s="720"/>
      <c r="AS1288" s="720"/>
      <c r="AT1288" s="720"/>
      <c r="AU1288" s="720"/>
      <c r="AV1288" s="720"/>
      <c r="AW1288" s="720"/>
      <c r="AX1288" s="720"/>
      <c r="AY1288" s="720"/>
      <c r="AZ1288" s="720"/>
      <c r="BA1288" s="720"/>
      <c r="BB1288" s="720"/>
      <c r="BC1288" s="720"/>
      <c r="BD1288" s="720"/>
      <c r="BE1288" s="720"/>
      <c r="BF1288" s="720"/>
      <c r="BG1288" s="720"/>
      <c r="BH1288" s="720"/>
      <c r="BI1288" s="720"/>
      <c r="BJ1288" s="720"/>
      <c r="BK1288" s="720"/>
      <c r="BL1288" s="720"/>
      <c r="BM1288" s="720"/>
      <c r="BN1288" s="720"/>
      <c r="BO1288" s="720"/>
      <c r="BP1288" s="720"/>
      <c r="BQ1288" s="720"/>
      <c r="BR1288" s="720"/>
      <c r="BS1288" s="720"/>
      <c r="BT1288" s="720"/>
      <c r="BU1288" s="720"/>
      <c r="BV1288" s="720"/>
      <c r="BW1288" s="720"/>
      <c r="BX1288" s="720"/>
      <c r="BY1288" s="720"/>
      <c r="BZ1288" s="720"/>
      <c r="CA1288" s="720"/>
    </row>
    <row r="1289" spans="1:79" s="451" customFormat="1" hidden="1" outlineLevel="1" x14ac:dyDescent="0.25">
      <c r="A1289" s="656"/>
      <c r="B1289" s="503"/>
      <c r="C1289" s="503"/>
      <c r="D1289" s="503"/>
      <c r="E1289" s="570" t="s">
        <v>1260</v>
      </c>
      <c r="F1289" s="656" t="s">
        <v>609</v>
      </c>
      <c r="G1289" s="718"/>
      <c r="H1289" s="718"/>
      <c r="I1289" s="718"/>
      <c r="J1289" s="718"/>
      <c r="K1289" s="718"/>
      <c r="L1289" s="718"/>
      <c r="M1289" s="718"/>
      <c r="N1289" s="718"/>
      <c r="O1289" s="718"/>
      <c r="P1289" s="718"/>
      <c r="Q1289" s="718"/>
      <c r="R1289" s="717"/>
      <c r="S1289" s="671">
        <v>0</v>
      </c>
      <c r="T1289" s="671">
        <v>0</v>
      </c>
      <c r="U1289" s="671">
        <v>0</v>
      </c>
      <c r="V1289" s="671">
        <v>0</v>
      </c>
      <c r="W1289" s="671">
        <v>0</v>
      </c>
      <c r="X1289" s="671">
        <v>0</v>
      </c>
      <c r="Y1289" s="671">
        <v>0</v>
      </c>
      <c r="Z1289" s="671">
        <v>0</v>
      </c>
      <c r="AA1289" s="671">
        <v>0</v>
      </c>
      <c r="AB1289" s="671">
        <v>0</v>
      </c>
      <c r="AC1289" s="687">
        <v>0</v>
      </c>
      <c r="AD1289" s="687">
        <v>0</v>
      </c>
      <c r="AE1289" s="671">
        <v>0</v>
      </c>
      <c r="AF1289" s="719">
        <v>0</v>
      </c>
      <c r="AG1289" s="687">
        <v>0</v>
      </c>
      <c r="AH1289" s="720"/>
      <c r="AI1289" s="720"/>
      <c r="AJ1289" s="720"/>
      <c r="AK1289" s="720"/>
      <c r="AL1289" s="720"/>
      <c r="AM1289" s="720"/>
      <c r="AN1289" s="720"/>
      <c r="AO1289" s="720"/>
      <c r="AP1289" s="720"/>
      <c r="AQ1289" s="720"/>
      <c r="AR1289" s="720"/>
      <c r="AS1289" s="720"/>
      <c r="AT1289" s="720"/>
      <c r="AU1289" s="720"/>
      <c r="AV1289" s="720"/>
      <c r="AW1289" s="720"/>
      <c r="AX1289" s="720"/>
      <c r="AY1289" s="720"/>
      <c r="AZ1289" s="720"/>
      <c r="BA1289" s="720"/>
      <c r="BB1289" s="720"/>
      <c r="BC1289" s="720"/>
      <c r="BD1289" s="720"/>
      <c r="BE1289" s="720"/>
      <c r="BF1289" s="720"/>
      <c r="BG1289" s="720"/>
      <c r="BH1289" s="720"/>
      <c r="BI1289" s="720"/>
      <c r="BJ1289" s="720"/>
      <c r="BK1289" s="720"/>
      <c r="BL1289" s="720"/>
      <c r="BM1289" s="720"/>
      <c r="BN1289" s="720"/>
      <c r="BO1289" s="720"/>
      <c r="BP1289" s="720"/>
      <c r="BQ1289" s="720"/>
      <c r="BR1289" s="720"/>
      <c r="BS1289" s="720"/>
      <c r="BT1289" s="720"/>
      <c r="BU1289" s="720"/>
      <c r="BV1289" s="720"/>
      <c r="BW1289" s="720"/>
      <c r="BX1289" s="720"/>
      <c r="BY1289" s="720"/>
      <c r="BZ1289" s="720"/>
      <c r="CA1289" s="720"/>
    </row>
    <row r="1290" spans="1:79" s="451" customFormat="1" hidden="1" outlineLevel="1" x14ac:dyDescent="0.25">
      <c r="A1290" s="656"/>
      <c r="B1290" s="503"/>
      <c r="C1290" s="503"/>
      <c r="D1290" s="503"/>
      <c r="E1290" s="570" t="s">
        <v>1326</v>
      </c>
      <c r="F1290" s="656" t="s">
        <v>610</v>
      </c>
      <c r="G1290" s="718"/>
      <c r="H1290" s="718"/>
      <c r="I1290" s="718"/>
      <c r="J1290" s="718"/>
      <c r="K1290" s="718"/>
      <c r="L1290" s="718"/>
      <c r="M1290" s="718"/>
      <c r="N1290" s="718"/>
      <c r="O1290" s="718"/>
      <c r="P1290" s="718"/>
      <c r="Q1290" s="718"/>
      <c r="R1290" s="717"/>
      <c r="S1290" s="676">
        <v>0</v>
      </c>
      <c r="T1290" s="676">
        <v>0</v>
      </c>
      <c r="U1290" s="676">
        <v>0</v>
      </c>
      <c r="V1290" s="676">
        <v>0</v>
      </c>
      <c r="W1290" s="676">
        <v>0</v>
      </c>
      <c r="X1290" s="676">
        <v>0</v>
      </c>
      <c r="Y1290" s="676">
        <v>0</v>
      </c>
      <c r="Z1290" s="676">
        <v>0</v>
      </c>
      <c r="AA1290" s="676">
        <v>0</v>
      </c>
      <c r="AB1290" s="676">
        <v>0</v>
      </c>
      <c r="AC1290" s="674">
        <v>0</v>
      </c>
      <c r="AD1290" s="674">
        <v>0</v>
      </c>
      <c r="AE1290" s="676">
        <v>0</v>
      </c>
      <c r="AF1290" s="719">
        <v>0</v>
      </c>
      <c r="AG1290" s="674">
        <v>0</v>
      </c>
      <c r="AH1290" s="720"/>
      <c r="AI1290" s="720"/>
      <c r="AJ1290" s="720"/>
      <c r="AK1290" s="720"/>
      <c r="AL1290" s="720"/>
      <c r="AM1290" s="720"/>
      <c r="AN1290" s="720"/>
      <c r="AO1290" s="720"/>
      <c r="AP1290" s="720"/>
      <c r="AQ1290" s="720"/>
      <c r="AR1290" s="720"/>
      <c r="AS1290" s="720"/>
      <c r="AT1290" s="720"/>
      <c r="AU1290" s="720"/>
      <c r="AV1290" s="720"/>
      <c r="AW1290" s="720"/>
      <c r="AX1290" s="720"/>
      <c r="AY1290" s="720"/>
      <c r="AZ1290" s="720"/>
      <c r="BA1290" s="720"/>
      <c r="BB1290" s="720"/>
      <c r="BC1290" s="720"/>
      <c r="BD1290" s="720"/>
      <c r="BE1290" s="720"/>
      <c r="BF1290" s="720"/>
      <c r="BG1290" s="720"/>
      <c r="BH1290" s="720"/>
      <c r="BI1290" s="720"/>
      <c r="BJ1290" s="720"/>
      <c r="BK1290" s="720"/>
      <c r="BL1290" s="720"/>
      <c r="BM1290" s="720"/>
      <c r="BN1290" s="720"/>
      <c r="BO1290" s="720"/>
      <c r="BP1290" s="720"/>
      <c r="BQ1290" s="720"/>
      <c r="BR1290" s="720"/>
      <c r="BS1290" s="720"/>
      <c r="BT1290" s="720"/>
      <c r="BU1290" s="720"/>
      <c r="BV1290" s="720"/>
      <c r="BW1290" s="720"/>
      <c r="BX1290" s="720"/>
      <c r="BY1290" s="720"/>
      <c r="BZ1290" s="720"/>
      <c r="CA1290" s="720"/>
    </row>
    <row r="1291" spans="1:79" s="451" customFormat="1" hidden="1" outlineLevel="1" x14ac:dyDescent="0.25">
      <c r="A1291" s="656"/>
      <c r="B1291" s="79"/>
      <c r="C1291" s="79"/>
      <c r="D1291" s="79"/>
      <c r="E1291" s="570" t="s">
        <v>985</v>
      </c>
      <c r="F1291" s="656" t="s">
        <v>611</v>
      </c>
      <c r="G1291" s="723"/>
      <c r="H1291" s="723"/>
      <c r="I1291" s="723"/>
      <c r="J1291" s="723"/>
      <c r="K1291" s="723"/>
      <c r="L1291" s="723"/>
      <c r="M1291" s="723"/>
      <c r="N1291" s="723"/>
      <c r="O1291" s="723"/>
      <c r="P1291" s="718"/>
      <c r="Q1291" s="718"/>
      <c r="R1291" s="717"/>
      <c r="S1291" s="676">
        <v>0</v>
      </c>
      <c r="T1291" s="676">
        <v>804.3</v>
      </c>
      <c r="U1291" s="676">
        <v>0</v>
      </c>
      <c r="V1291" s="676">
        <v>0</v>
      </c>
      <c r="W1291" s="676">
        <v>0</v>
      </c>
      <c r="X1291" s="676">
        <v>0</v>
      </c>
      <c r="Y1291" s="676">
        <v>0</v>
      </c>
      <c r="Z1291" s="676">
        <v>0</v>
      </c>
      <c r="AA1291" s="676">
        <v>0</v>
      </c>
      <c r="AB1291" s="676">
        <v>0</v>
      </c>
      <c r="AC1291" s="674">
        <v>0</v>
      </c>
      <c r="AD1291" s="674">
        <v>0</v>
      </c>
      <c r="AE1291" s="676">
        <v>0</v>
      </c>
      <c r="AF1291" s="719">
        <v>0</v>
      </c>
      <c r="AG1291" s="674">
        <v>0</v>
      </c>
      <c r="AH1291" s="720"/>
      <c r="AI1291" s="720"/>
      <c r="AJ1291" s="720"/>
      <c r="AK1291" s="720"/>
      <c r="AL1291" s="720"/>
      <c r="AM1291" s="720"/>
      <c r="AN1291" s="720"/>
      <c r="AO1291" s="720"/>
      <c r="AP1291" s="720"/>
      <c r="AQ1291" s="720"/>
      <c r="AR1291" s="720"/>
      <c r="AS1291" s="720"/>
      <c r="AT1291" s="720"/>
      <c r="AU1291" s="720"/>
      <c r="AV1291" s="720"/>
      <c r="AW1291" s="720"/>
      <c r="AX1291" s="720"/>
      <c r="AY1291" s="720"/>
      <c r="AZ1291" s="720"/>
      <c r="BA1291" s="720"/>
      <c r="BB1291" s="720"/>
      <c r="BC1291" s="720"/>
      <c r="BD1291" s="720"/>
      <c r="BE1291" s="720"/>
      <c r="BF1291" s="720"/>
      <c r="BG1291" s="720"/>
      <c r="BH1291" s="720"/>
      <c r="BI1291" s="720"/>
      <c r="BJ1291" s="720"/>
      <c r="BK1291" s="720"/>
      <c r="BL1291" s="720"/>
      <c r="BM1291" s="720"/>
      <c r="BN1291" s="720"/>
      <c r="BO1291" s="720"/>
      <c r="BP1291" s="720"/>
      <c r="BQ1291" s="720"/>
      <c r="BR1291" s="720"/>
      <c r="BS1291" s="720"/>
      <c r="BT1291" s="720"/>
      <c r="BU1291" s="720"/>
      <c r="BV1291" s="720"/>
      <c r="BW1291" s="720"/>
      <c r="BX1291" s="720"/>
      <c r="BY1291" s="720"/>
      <c r="BZ1291" s="720"/>
      <c r="CA1291" s="720"/>
    </row>
    <row r="1292" spans="1:79" s="451" customFormat="1" hidden="1" outlineLevel="1" x14ac:dyDescent="0.25">
      <c r="A1292" s="656"/>
      <c r="B1292" s="576"/>
      <c r="C1292" s="576"/>
      <c r="D1292" s="576"/>
      <c r="E1292" s="570" t="s">
        <v>11</v>
      </c>
      <c r="F1292" s="656" t="s">
        <v>612</v>
      </c>
      <c r="G1292" s="723"/>
      <c r="H1292" s="723"/>
      <c r="I1292" s="723"/>
      <c r="J1292" s="723"/>
      <c r="K1292" s="723"/>
      <c r="L1292" s="723"/>
      <c r="M1292" s="723"/>
      <c r="N1292" s="723"/>
      <c r="O1292" s="723"/>
      <c r="P1292" s="718"/>
      <c r="Q1292" s="718"/>
      <c r="R1292" s="717"/>
      <c r="S1292" s="676">
        <v>0</v>
      </c>
      <c r="T1292" s="676">
        <v>0</v>
      </c>
      <c r="U1292" s="676">
        <v>0</v>
      </c>
      <c r="V1292" s="676">
        <v>0</v>
      </c>
      <c r="W1292" s="676">
        <v>0</v>
      </c>
      <c r="X1292" s="676">
        <v>0</v>
      </c>
      <c r="Y1292" s="676">
        <v>0</v>
      </c>
      <c r="Z1292" s="676">
        <v>0</v>
      </c>
      <c r="AA1292" s="676">
        <v>0</v>
      </c>
      <c r="AB1292" s="676">
        <v>0</v>
      </c>
      <c r="AC1292" s="674">
        <v>0</v>
      </c>
      <c r="AD1292" s="674">
        <v>0</v>
      </c>
      <c r="AE1292" s="676">
        <v>0</v>
      </c>
      <c r="AF1292" s="719">
        <v>0</v>
      </c>
      <c r="AG1292" s="674">
        <v>0</v>
      </c>
      <c r="AH1292" s="720"/>
      <c r="AI1292" s="720"/>
      <c r="AJ1292" s="720"/>
      <c r="AK1292" s="720"/>
      <c r="AL1292" s="720"/>
      <c r="AM1292" s="720"/>
      <c r="AN1292" s="720"/>
      <c r="AO1292" s="720"/>
      <c r="AP1292" s="720"/>
      <c r="AQ1292" s="720"/>
      <c r="AR1292" s="720"/>
      <c r="AS1292" s="720"/>
      <c r="AT1292" s="720"/>
      <c r="AU1292" s="720"/>
      <c r="AV1292" s="720"/>
      <c r="AW1292" s="720"/>
      <c r="AX1292" s="720"/>
      <c r="AY1292" s="720"/>
      <c r="AZ1292" s="720"/>
      <c r="BA1292" s="720"/>
      <c r="BB1292" s="720"/>
      <c r="BC1292" s="720"/>
      <c r="BD1292" s="720"/>
      <c r="BE1292" s="720"/>
      <c r="BF1292" s="720"/>
      <c r="BG1292" s="720"/>
      <c r="BH1292" s="720"/>
      <c r="BI1292" s="720"/>
      <c r="BJ1292" s="720"/>
      <c r="BK1292" s="720"/>
      <c r="BL1292" s="720"/>
      <c r="BM1292" s="720"/>
      <c r="BN1292" s="720"/>
      <c r="BO1292" s="720"/>
      <c r="BP1292" s="720"/>
      <c r="BQ1292" s="720"/>
      <c r="BR1292" s="720"/>
      <c r="BS1292" s="720"/>
      <c r="BT1292" s="720"/>
      <c r="BU1292" s="720"/>
      <c r="BV1292" s="720"/>
      <c r="BW1292" s="720"/>
      <c r="BX1292" s="720"/>
      <c r="BY1292" s="720"/>
      <c r="BZ1292" s="720"/>
      <c r="CA1292" s="720"/>
    </row>
    <row r="1293" spans="1:79" s="451" customFormat="1" hidden="1" outlineLevel="1" x14ac:dyDescent="0.25">
      <c r="A1293" s="656"/>
      <c r="B1293" s="576"/>
      <c r="C1293" s="576"/>
      <c r="D1293" s="576"/>
      <c r="E1293" s="570" t="s">
        <v>1337</v>
      </c>
      <c r="F1293" s="656" t="s">
        <v>886</v>
      </c>
      <c r="G1293" s="723"/>
      <c r="H1293" s="723"/>
      <c r="I1293" s="723"/>
      <c r="J1293" s="723"/>
      <c r="K1293" s="723"/>
      <c r="L1293" s="723"/>
      <c r="M1293" s="723"/>
      <c r="N1293" s="723"/>
      <c r="O1293" s="723"/>
      <c r="P1293" s="718"/>
      <c r="Q1293" s="718"/>
      <c r="R1293" s="717"/>
      <c r="S1293" s="676">
        <v>0</v>
      </c>
      <c r="T1293" s="676">
        <v>0</v>
      </c>
      <c r="U1293" s="676">
        <v>0</v>
      </c>
      <c r="V1293" s="676">
        <v>0</v>
      </c>
      <c r="W1293" s="676">
        <v>0</v>
      </c>
      <c r="X1293" s="676">
        <v>0</v>
      </c>
      <c r="Y1293" s="676">
        <v>0</v>
      </c>
      <c r="Z1293" s="676">
        <v>0</v>
      </c>
      <c r="AA1293" s="676">
        <v>0</v>
      </c>
      <c r="AB1293" s="676">
        <v>0</v>
      </c>
      <c r="AC1293" s="674">
        <v>0</v>
      </c>
      <c r="AD1293" s="674">
        <v>0</v>
      </c>
      <c r="AE1293" s="676">
        <v>0</v>
      </c>
      <c r="AF1293" s="719">
        <v>0</v>
      </c>
      <c r="AG1293" s="674">
        <v>0</v>
      </c>
      <c r="AH1293" s="720"/>
      <c r="AI1293" s="720"/>
      <c r="AJ1293" s="720"/>
      <c r="AK1293" s="720"/>
      <c r="AL1293" s="720"/>
      <c r="AM1293" s="720"/>
      <c r="AN1293" s="720"/>
      <c r="AO1293" s="720"/>
      <c r="AP1293" s="720"/>
      <c r="AQ1293" s="720"/>
      <c r="AR1293" s="720"/>
      <c r="AS1293" s="720"/>
      <c r="AT1293" s="720"/>
      <c r="AU1293" s="720"/>
      <c r="AV1293" s="720"/>
      <c r="AW1293" s="720"/>
      <c r="AX1293" s="720"/>
      <c r="AY1293" s="720"/>
      <c r="AZ1293" s="720"/>
      <c r="BA1293" s="720"/>
      <c r="BB1293" s="720"/>
      <c r="BC1293" s="720"/>
      <c r="BD1293" s="720"/>
      <c r="BE1293" s="720"/>
      <c r="BF1293" s="720"/>
      <c r="BG1293" s="720"/>
      <c r="BH1293" s="720"/>
      <c r="BI1293" s="720"/>
      <c r="BJ1293" s="720"/>
      <c r="BK1293" s="720"/>
      <c r="BL1293" s="720"/>
      <c r="BM1293" s="720"/>
      <c r="BN1293" s="720"/>
      <c r="BO1293" s="720"/>
      <c r="BP1293" s="720"/>
      <c r="BQ1293" s="720"/>
      <c r="BR1293" s="720"/>
      <c r="BS1293" s="720"/>
      <c r="BT1293" s="720"/>
      <c r="BU1293" s="720"/>
      <c r="BV1293" s="720"/>
      <c r="BW1293" s="720"/>
      <c r="BX1293" s="720"/>
      <c r="BY1293" s="720"/>
      <c r="BZ1293" s="720"/>
      <c r="CA1293" s="720"/>
    </row>
    <row r="1294" spans="1:79" s="451" customFormat="1" hidden="1" outlineLevel="1" x14ac:dyDescent="0.25">
      <c r="A1294" s="656"/>
      <c r="B1294" s="576"/>
      <c r="C1294" s="576"/>
      <c r="D1294" s="576"/>
      <c r="E1294" s="570" t="s">
        <v>986</v>
      </c>
      <c r="F1294" s="656" t="s">
        <v>763</v>
      </c>
      <c r="G1294" s="723"/>
      <c r="H1294" s="723"/>
      <c r="I1294" s="723"/>
      <c r="J1294" s="723"/>
      <c r="K1294" s="723"/>
      <c r="L1294" s="723"/>
      <c r="M1294" s="723"/>
      <c r="N1294" s="723"/>
      <c r="O1294" s="723"/>
      <c r="P1294" s="718"/>
      <c r="Q1294" s="718"/>
      <c r="R1294" s="717"/>
      <c r="S1294" s="676">
        <v>0</v>
      </c>
      <c r="T1294" s="676">
        <v>0</v>
      </c>
      <c r="U1294" s="676">
        <v>0</v>
      </c>
      <c r="V1294" s="676">
        <v>0</v>
      </c>
      <c r="W1294" s="676">
        <v>0</v>
      </c>
      <c r="X1294" s="676">
        <v>0</v>
      </c>
      <c r="Y1294" s="676">
        <v>0</v>
      </c>
      <c r="Z1294" s="676">
        <v>0</v>
      </c>
      <c r="AA1294" s="676">
        <v>0</v>
      </c>
      <c r="AB1294" s="676">
        <v>0</v>
      </c>
      <c r="AC1294" s="674">
        <v>0</v>
      </c>
      <c r="AD1294" s="674">
        <v>0</v>
      </c>
      <c r="AE1294" s="676">
        <v>0</v>
      </c>
      <c r="AF1294" s="719">
        <v>0</v>
      </c>
      <c r="AG1294" s="674">
        <v>0</v>
      </c>
      <c r="AH1294" s="720"/>
      <c r="AI1294" s="720"/>
      <c r="AJ1294" s="720"/>
      <c r="AK1294" s="720"/>
      <c r="AL1294" s="720"/>
      <c r="AM1294" s="720"/>
      <c r="AN1294" s="720"/>
      <c r="AO1294" s="720"/>
      <c r="AP1294" s="720"/>
      <c r="AQ1294" s="720"/>
      <c r="AR1294" s="720"/>
      <c r="AS1294" s="720"/>
      <c r="AT1294" s="720"/>
      <c r="AU1294" s="720"/>
      <c r="AV1294" s="720"/>
      <c r="AW1294" s="720"/>
      <c r="AX1294" s="720"/>
      <c r="AY1294" s="720"/>
      <c r="AZ1294" s="720"/>
      <c r="BA1294" s="720"/>
      <c r="BB1294" s="720"/>
      <c r="BC1294" s="720"/>
      <c r="BD1294" s="720"/>
      <c r="BE1294" s="720"/>
      <c r="BF1294" s="720"/>
      <c r="BG1294" s="720"/>
      <c r="BH1294" s="720"/>
      <c r="BI1294" s="720"/>
      <c r="BJ1294" s="720"/>
      <c r="BK1294" s="720"/>
      <c r="BL1294" s="720"/>
      <c r="BM1294" s="720"/>
      <c r="BN1294" s="720"/>
      <c r="BO1294" s="720"/>
      <c r="BP1294" s="720"/>
      <c r="BQ1294" s="720"/>
      <c r="BR1294" s="720"/>
      <c r="BS1294" s="720"/>
      <c r="BT1294" s="720"/>
      <c r="BU1294" s="720"/>
      <c r="BV1294" s="720"/>
      <c r="BW1294" s="720"/>
      <c r="BX1294" s="720"/>
      <c r="BY1294" s="720"/>
      <c r="BZ1294" s="720"/>
      <c r="CA1294" s="720"/>
    </row>
    <row r="1295" spans="1:79" s="451" customFormat="1" hidden="1" outlineLevel="1" x14ac:dyDescent="0.25">
      <c r="A1295" s="656"/>
      <c r="B1295" s="576"/>
      <c r="C1295" s="576"/>
      <c r="D1295" s="576"/>
      <c r="E1295" s="570" t="s">
        <v>986</v>
      </c>
      <c r="F1295" s="656" t="s">
        <v>779</v>
      </c>
      <c r="G1295" s="723"/>
      <c r="H1295" s="723"/>
      <c r="I1295" s="723"/>
      <c r="J1295" s="723"/>
      <c r="K1295" s="723"/>
      <c r="L1295" s="723"/>
      <c r="M1295" s="723"/>
      <c r="N1295" s="723"/>
      <c r="O1295" s="723"/>
      <c r="P1295" s="718"/>
      <c r="Q1295" s="718"/>
      <c r="R1295" s="717"/>
      <c r="S1295" s="676">
        <v>0</v>
      </c>
      <c r="T1295" s="676">
        <v>0</v>
      </c>
      <c r="U1295" s="676">
        <v>0</v>
      </c>
      <c r="V1295" s="676">
        <v>0</v>
      </c>
      <c r="W1295" s="676">
        <v>0</v>
      </c>
      <c r="X1295" s="676">
        <v>0</v>
      </c>
      <c r="Y1295" s="676">
        <v>0</v>
      </c>
      <c r="Z1295" s="676">
        <v>0</v>
      </c>
      <c r="AA1295" s="676">
        <v>0</v>
      </c>
      <c r="AB1295" s="676">
        <v>0</v>
      </c>
      <c r="AC1295" s="674">
        <v>0</v>
      </c>
      <c r="AD1295" s="674">
        <v>0</v>
      </c>
      <c r="AE1295" s="676">
        <v>0</v>
      </c>
      <c r="AF1295" s="719">
        <v>0</v>
      </c>
      <c r="AG1295" s="674">
        <v>0</v>
      </c>
      <c r="AH1295" s="720"/>
      <c r="AI1295" s="720"/>
      <c r="AJ1295" s="720"/>
      <c r="AK1295" s="720"/>
      <c r="AL1295" s="720"/>
      <c r="AM1295" s="720"/>
      <c r="AN1295" s="720"/>
      <c r="AO1295" s="720"/>
      <c r="AP1295" s="720"/>
      <c r="AQ1295" s="720"/>
      <c r="AR1295" s="720"/>
      <c r="AS1295" s="720"/>
      <c r="AT1295" s="720"/>
      <c r="AU1295" s="720"/>
      <c r="AV1295" s="720"/>
      <c r="AW1295" s="720"/>
      <c r="AX1295" s="720"/>
      <c r="AY1295" s="720"/>
      <c r="AZ1295" s="720"/>
      <c r="BA1295" s="720"/>
      <c r="BB1295" s="720"/>
      <c r="BC1295" s="720"/>
      <c r="BD1295" s="720"/>
      <c r="BE1295" s="720"/>
      <c r="BF1295" s="720"/>
      <c r="BG1295" s="720"/>
      <c r="BH1295" s="720"/>
      <c r="BI1295" s="720"/>
      <c r="BJ1295" s="720"/>
      <c r="BK1295" s="720"/>
      <c r="BL1295" s="720"/>
      <c r="BM1295" s="720"/>
      <c r="BN1295" s="720"/>
      <c r="BO1295" s="720"/>
      <c r="BP1295" s="720"/>
      <c r="BQ1295" s="720"/>
      <c r="BR1295" s="720"/>
      <c r="BS1295" s="720"/>
      <c r="BT1295" s="720"/>
      <c r="BU1295" s="720"/>
      <c r="BV1295" s="720"/>
      <c r="BW1295" s="720"/>
      <c r="BX1295" s="720"/>
      <c r="BY1295" s="720"/>
      <c r="BZ1295" s="720"/>
      <c r="CA1295" s="720"/>
    </row>
    <row r="1296" spans="1:79" s="451" customFormat="1" hidden="1" outlineLevel="1" x14ac:dyDescent="0.25">
      <c r="A1296" s="656"/>
      <c r="B1296" s="576"/>
      <c r="C1296" s="576"/>
      <c r="D1296" s="576"/>
      <c r="E1296" s="570" t="s">
        <v>1270</v>
      </c>
      <c r="F1296" s="656" t="s">
        <v>613</v>
      </c>
      <c r="G1296" s="723"/>
      <c r="H1296" s="723"/>
      <c r="I1296" s="723"/>
      <c r="J1296" s="723"/>
      <c r="K1296" s="723"/>
      <c r="L1296" s="723"/>
      <c r="M1296" s="723"/>
      <c r="N1296" s="723"/>
      <c r="O1296" s="723"/>
      <c r="P1296" s="718"/>
      <c r="Q1296" s="718"/>
      <c r="R1296" s="717"/>
      <c r="S1296" s="676">
        <v>0</v>
      </c>
      <c r="T1296" s="676">
        <v>0</v>
      </c>
      <c r="U1296" s="676">
        <v>0</v>
      </c>
      <c r="V1296" s="676">
        <v>0</v>
      </c>
      <c r="W1296" s="676">
        <v>0</v>
      </c>
      <c r="X1296" s="676">
        <v>0</v>
      </c>
      <c r="Y1296" s="676">
        <v>0</v>
      </c>
      <c r="Z1296" s="676">
        <v>0</v>
      </c>
      <c r="AA1296" s="676">
        <v>0</v>
      </c>
      <c r="AB1296" s="676">
        <v>0</v>
      </c>
      <c r="AC1296" s="674">
        <v>0</v>
      </c>
      <c r="AD1296" s="674">
        <v>0</v>
      </c>
      <c r="AE1296" s="676">
        <v>0</v>
      </c>
      <c r="AF1296" s="719">
        <v>0</v>
      </c>
      <c r="AG1296" s="674">
        <v>0</v>
      </c>
      <c r="AH1296" s="720"/>
      <c r="AI1296" s="720"/>
      <c r="AJ1296" s="720"/>
      <c r="AK1296" s="720"/>
      <c r="AL1296" s="720"/>
      <c r="AM1296" s="720"/>
      <c r="AN1296" s="720"/>
      <c r="AO1296" s="720"/>
      <c r="AP1296" s="720"/>
      <c r="AQ1296" s="720"/>
      <c r="AR1296" s="720"/>
      <c r="AS1296" s="720"/>
      <c r="AT1296" s="720"/>
      <c r="AU1296" s="720"/>
      <c r="AV1296" s="720"/>
      <c r="AW1296" s="720"/>
      <c r="AX1296" s="720"/>
      <c r="AY1296" s="720"/>
      <c r="AZ1296" s="720"/>
      <c r="BA1296" s="720"/>
      <c r="BB1296" s="720"/>
      <c r="BC1296" s="720"/>
      <c r="BD1296" s="720"/>
      <c r="BE1296" s="720"/>
      <c r="BF1296" s="720"/>
      <c r="BG1296" s="720"/>
      <c r="BH1296" s="720"/>
      <c r="BI1296" s="720"/>
      <c r="BJ1296" s="720"/>
      <c r="BK1296" s="720"/>
      <c r="BL1296" s="720"/>
      <c r="BM1296" s="720"/>
      <c r="BN1296" s="720"/>
      <c r="BO1296" s="720"/>
      <c r="BP1296" s="720"/>
      <c r="BQ1296" s="720"/>
      <c r="BR1296" s="720"/>
      <c r="BS1296" s="720"/>
      <c r="BT1296" s="720"/>
      <c r="BU1296" s="720"/>
      <c r="BV1296" s="720"/>
      <c r="BW1296" s="720"/>
      <c r="BX1296" s="720"/>
      <c r="BY1296" s="720"/>
      <c r="BZ1296" s="720"/>
      <c r="CA1296" s="720"/>
    </row>
    <row r="1297" spans="1:79" s="451" customFormat="1" hidden="1" outlineLevel="1" x14ac:dyDescent="0.25">
      <c r="A1297" s="656"/>
      <c r="B1297" s="576"/>
      <c r="C1297" s="576"/>
      <c r="D1297" s="576"/>
      <c r="E1297" s="570" t="s">
        <v>1350</v>
      </c>
      <c r="F1297" s="656" t="s">
        <v>614</v>
      </c>
      <c r="G1297" s="723"/>
      <c r="H1297" s="723"/>
      <c r="I1297" s="723"/>
      <c r="J1297" s="723"/>
      <c r="K1297" s="723"/>
      <c r="L1297" s="723"/>
      <c r="M1297" s="723"/>
      <c r="N1297" s="723"/>
      <c r="O1297" s="723"/>
      <c r="P1297" s="718"/>
      <c r="Q1297" s="718"/>
      <c r="R1297" s="717"/>
      <c r="S1297" s="676">
        <v>0</v>
      </c>
      <c r="T1297" s="676">
        <v>0</v>
      </c>
      <c r="U1297" s="676">
        <v>0</v>
      </c>
      <c r="V1297" s="676">
        <v>0</v>
      </c>
      <c r="W1297" s="676">
        <v>0</v>
      </c>
      <c r="X1297" s="676">
        <v>0</v>
      </c>
      <c r="Y1297" s="676">
        <v>0</v>
      </c>
      <c r="Z1297" s="676">
        <v>0</v>
      </c>
      <c r="AA1297" s="676">
        <v>0</v>
      </c>
      <c r="AB1297" s="676">
        <v>0</v>
      </c>
      <c r="AC1297" s="674">
        <v>0</v>
      </c>
      <c r="AD1297" s="674">
        <v>0</v>
      </c>
      <c r="AE1297" s="676">
        <v>0</v>
      </c>
      <c r="AF1297" s="719">
        <v>0</v>
      </c>
      <c r="AG1297" s="674">
        <v>0</v>
      </c>
      <c r="AH1297" s="720"/>
      <c r="AI1297" s="720"/>
      <c r="AJ1297" s="720"/>
      <c r="AK1297" s="720"/>
      <c r="AL1297" s="720"/>
      <c r="AM1297" s="720"/>
      <c r="AN1297" s="720"/>
      <c r="AO1297" s="720"/>
      <c r="AP1297" s="720"/>
      <c r="AQ1297" s="720"/>
      <c r="AR1297" s="720"/>
      <c r="AS1297" s="720"/>
      <c r="AT1297" s="720"/>
      <c r="AU1297" s="720"/>
      <c r="AV1297" s="720"/>
      <c r="AW1297" s="720"/>
      <c r="AX1297" s="720"/>
      <c r="AY1297" s="720"/>
      <c r="AZ1297" s="720"/>
      <c r="BA1297" s="720"/>
      <c r="BB1297" s="720"/>
      <c r="BC1297" s="720"/>
      <c r="BD1297" s="720"/>
      <c r="BE1297" s="720"/>
      <c r="BF1297" s="720"/>
      <c r="BG1297" s="720"/>
      <c r="BH1297" s="720"/>
      <c r="BI1297" s="720"/>
      <c r="BJ1297" s="720"/>
      <c r="BK1297" s="720"/>
      <c r="BL1297" s="720"/>
      <c r="BM1297" s="720"/>
      <c r="BN1297" s="720"/>
      <c r="BO1297" s="720"/>
      <c r="BP1297" s="720"/>
      <c r="BQ1297" s="720"/>
      <c r="BR1297" s="720"/>
      <c r="BS1297" s="720"/>
      <c r="BT1297" s="720"/>
      <c r="BU1297" s="720"/>
      <c r="BV1297" s="720"/>
      <c r="BW1297" s="720"/>
      <c r="BX1297" s="720"/>
      <c r="BY1297" s="720"/>
      <c r="BZ1297" s="720"/>
      <c r="CA1297" s="720"/>
    </row>
    <row r="1298" spans="1:79" s="451" customFormat="1" hidden="1" outlineLevel="1" x14ac:dyDescent="0.25">
      <c r="A1298" s="656"/>
      <c r="B1298" s="576"/>
      <c r="C1298" s="576"/>
      <c r="D1298" s="576"/>
      <c r="E1298" s="570" t="s">
        <v>11</v>
      </c>
      <c r="F1298" s="656" t="s">
        <v>615</v>
      </c>
      <c r="G1298" s="723"/>
      <c r="H1298" s="723"/>
      <c r="I1298" s="723"/>
      <c r="J1298" s="723"/>
      <c r="K1298" s="723"/>
      <c r="L1298" s="723"/>
      <c r="M1298" s="723"/>
      <c r="N1298" s="723"/>
      <c r="O1298" s="723"/>
      <c r="P1298" s="718"/>
      <c r="Q1298" s="718"/>
      <c r="R1298" s="717"/>
      <c r="S1298" s="676">
        <v>0</v>
      </c>
      <c r="T1298" s="676">
        <v>0</v>
      </c>
      <c r="U1298" s="676">
        <v>0</v>
      </c>
      <c r="V1298" s="676">
        <v>0</v>
      </c>
      <c r="W1298" s="676">
        <v>0</v>
      </c>
      <c r="X1298" s="676">
        <v>0</v>
      </c>
      <c r="Y1298" s="676">
        <v>0</v>
      </c>
      <c r="Z1298" s="676">
        <v>0</v>
      </c>
      <c r="AA1298" s="676">
        <v>0</v>
      </c>
      <c r="AB1298" s="676">
        <v>0</v>
      </c>
      <c r="AC1298" s="674">
        <v>0</v>
      </c>
      <c r="AD1298" s="674">
        <v>0</v>
      </c>
      <c r="AE1298" s="676">
        <v>0</v>
      </c>
      <c r="AF1298" s="719">
        <v>0</v>
      </c>
      <c r="AG1298" s="674">
        <v>0</v>
      </c>
      <c r="AH1298" s="720"/>
      <c r="AI1298" s="720"/>
      <c r="AJ1298" s="720"/>
      <c r="AK1298" s="720"/>
      <c r="AL1298" s="720"/>
      <c r="AM1298" s="720"/>
      <c r="AN1298" s="720"/>
      <c r="AO1298" s="720"/>
      <c r="AP1298" s="720"/>
      <c r="AQ1298" s="720"/>
      <c r="AR1298" s="720"/>
      <c r="AS1298" s="720"/>
      <c r="AT1298" s="720"/>
      <c r="AU1298" s="720"/>
      <c r="AV1298" s="720"/>
      <c r="AW1298" s="720"/>
      <c r="AX1298" s="720"/>
      <c r="AY1298" s="720"/>
      <c r="AZ1298" s="720"/>
      <c r="BA1298" s="720"/>
      <c r="BB1298" s="720"/>
      <c r="BC1298" s="720"/>
      <c r="BD1298" s="720"/>
      <c r="BE1298" s="720"/>
      <c r="BF1298" s="720"/>
      <c r="BG1298" s="720"/>
      <c r="BH1298" s="720"/>
      <c r="BI1298" s="720"/>
      <c r="BJ1298" s="720"/>
      <c r="BK1298" s="720"/>
      <c r="BL1298" s="720"/>
      <c r="BM1298" s="720"/>
      <c r="BN1298" s="720"/>
      <c r="BO1298" s="720"/>
      <c r="BP1298" s="720"/>
      <c r="BQ1298" s="720"/>
      <c r="BR1298" s="720"/>
      <c r="BS1298" s="720"/>
      <c r="BT1298" s="720"/>
      <c r="BU1298" s="720"/>
      <c r="BV1298" s="720"/>
      <c r="BW1298" s="720"/>
      <c r="BX1298" s="720"/>
      <c r="BY1298" s="720"/>
      <c r="BZ1298" s="720"/>
      <c r="CA1298" s="720"/>
    </row>
    <row r="1299" spans="1:79" s="451" customFormat="1" hidden="1" outlineLevel="1" x14ac:dyDescent="0.25">
      <c r="A1299" s="656"/>
      <c r="B1299" s="576"/>
      <c r="C1299" s="576"/>
      <c r="D1299" s="576"/>
      <c r="E1299" s="570" t="s">
        <v>1280</v>
      </c>
      <c r="F1299" s="656" t="s">
        <v>887</v>
      </c>
      <c r="G1299" s="723"/>
      <c r="H1299" s="723"/>
      <c r="I1299" s="723"/>
      <c r="J1299" s="723"/>
      <c r="K1299" s="723"/>
      <c r="L1299" s="723"/>
      <c r="M1299" s="723"/>
      <c r="N1299" s="723"/>
      <c r="O1299" s="723"/>
      <c r="P1299" s="718"/>
      <c r="Q1299" s="718"/>
      <c r="R1299" s="717"/>
      <c r="S1299" s="676">
        <v>0</v>
      </c>
      <c r="T1299" s="676">
        <v>0</v>
      </c>
      <c r="U1299" s="676">
        <v>0</v>
      </c>
      <c r="V1299" s="676">
        <v>0</v>
      </c>
      <c r="W1299" s="676">
        <v>0</v>
      </c>
      <c r="X1299" s="676">
        <v>0</v>
      </c>
      <c r="Y1299" s="676">
        <v>0</v>
      </c>
      <c r="Z1299" s="676">
        <v>0</v>
      </c>
      <c r="AA1299" s="676">
        <v>0</v>
      </c>
      <c r="AB1299" s="676">
        <v>0</v>
      </c>
      <c r="AC1299" s="674">
        <v>0</v>
      </c>
      <c r="AD1299" s="674">
        <v>0</v>
      </c>
      <c r="AE1299" s="676">
        <v>0</v>
      </c>
      <c r="AF1299" s="719">
        <v>0</v>
      </c>
      <c r="AG1299" s="674">
        <v>0</v>
      </c>
      <c r="AH1299" s="720"/>
      <c r="AI1299" s="720"/>
      <c r="AJ1299" s="720"/>
      <c r="AK1299" s="720"/>
      <c r="AL1299" s="720"/>
      <c r="AM1299" s="720"/>
      <c r="AN1299" s="720"/>
      <c r="AO1299" s="720"/>
      <c r="AP1299" s="720"/>
      <c r="AQ1299" s="720"/>
      <c r="AR1299" s="720"/>
      <c r="AS1299" s="720"/>
      <c r="AT1299" s="720"/>
      <c r="AU1299" s="720"/>
      <c r="AV1299" s="720"/>
      <c r="AW1299" s="720"/>
      <c r="AX1299" s="720"/>
      <c r="AY1299" s="720"/>
      <c r="AZ1299" s="720"/>
      <c r="BA1299" s="720"/>
      <c r="BB1299" s="720"/>
      <c r="BC1299" s="720"/>
      <c r="BD1299" s="720"/>
      <c r="BE1299" s="720"/>
      <c r="BF1299" s="720"/>
      <c r="BG1299" s="720"/>
      <c r="BH1299" s="720"/>
      <c r="BI1299" s="720"/>
      <c r="BJ1299" s="720"/>
      <c r="BK1299" s="720"/>
      <c r="BL1299" s="720"/>
      <c r="BM1299" s="720"/>
      <c r="BN1299" s="720"/>
      <c r="BO1299" s="720"/>
      <c r="BP1299" s="720"/>
      <c r="BQ1299" s="720"/>
      <c r="BR1299" s="720"/>
      <c r="BS1299" s="720"/>
      <c r="BT1299" s="720"/>
      <c r="BU1299" s="720"/>
      <c r="BV1299" s="720"/>
      <c r="BW1299" s="720"/>
      <c r="BX1299" s="720"/>
      <c r="BY1299" s="720"/>
      <c r="BZ1299" s="720"/>
      <c r="CA1299" s="720"/>
    </row>
    <row r="1300" spans="1:79" s="451" customFormat="1" hidden="1" outlineLevel="1" x14ac:dyDescent="0.25">
      <c r="A1300" s="656"/>
      <c r="B1300" s="576"/>
      <c r="C1300" s="576"/>
      <c r="D1300" s="576"/>
      <c r="E1300" s="570" t="s">
        <v>1337</v>
      </c>
      <c r="F1300" s="656" t="s">
        <v>616</v>
      </c>
      <c r="G1300" s="723"/>
      <c r="H1300" s="723"/>
      <c r="I1300" s="723"/>
      <c r="J1300" s="723"/>
      <c r="K1300" s="723"/>
      <c r="L1300" s="723"/>
      <c r="M1300" s="723"/>
      <c r="N1300" s="723"/>
      <c r="O1300" s="723"/>
      <c r="P1300" s="718"/>
      <c r="Q1300" s="718"/>
      <c r="R1300" s="717"/>
      <c r="S1300" s="676">
        <v>0</v>
      </c>
      <c r="T1300" s="676">
        <v>0</v>
      </c>
      <c r="U1300" s="676">
        <v>0</v>
      </c>
      <c r="V1300" s="676">
        <v>0</v>
      </c>
      <c r="W1300" s="676">
        <v>0</v>
      </c>
      <c r="X1300" s="676">
        <v>0</v>
      </c>
      <c r="Y1300" s="676">
        <v>0</v>
      </c>
      <c r="Z1300" s="676">
        <v>0</v>
      </c>
      <c r="AA1300" s="676">
        <v>0</v>
      </c>
      <c r="AB1300" s="676">
        <v>0</v>
      </c>
      <c r="AC1300" s="674">
        <v>0</v>
      </c>
      <c r="AD1300" s="674">
        <v>0</v>
      </c>
      <c r="AE1300" s="676">
        <v>0</v>
      </c>
      <c r="AF1300" s="719">
        <v>0</v>
      </c>
      <c r="AG1300" s="674">
        <v>0</v>
      </c>
      <c r="AH1300" s="720"/>
      <c r="AI1300" s="720"/>
      <c r="AJ1300" s="720"/>
      <c r="AK1300" s="720"/>
      <c r="AL1300" s="720"/>
      <c r="AM1300" s="720"/>
      <c r="AN1300" s="720"/>
      <c r="AO1300" s="720"/>
      <c r="AP1300" s="720"/>
      <c r="AQ1300" s="720"/>
      <c r="AR1300" s="720"/>
      <c r="AS1300" s="720"/>
      <c r="AT1300" s="720"/>
      <c r="AU1300" s="720"/>
      <c r="AV1300" s="720"/>
      <c r="AW1300" s="720"/>
      <c r="AX1300" s="720"/>
      <c r="AY1300" s="720"/>
      <c r="AZ1300" s="720"/>
      <c r="BA1300" s="720"/>
      <c r="BB1300" s="720"/>
      <c r="BC1300" s="720"/>
      <c r="BD1300" s="720"/>
      <c r="BE1300" s="720"/>
      <c r="BF1300" s="720"/>
      <c r="BG1300" s="720"/>
      <c r="BH1300" s="720"/>
      <c r="BI1300" s="720"/>
      <c r="BJ1300" s="720"/>
      <c r="BK1300" s="720"/>
      <c r="BL1300" s="720"/>
      <c r="BM1300" s="720"/>
      <c r="BN1300" s="720"/>
      <c r="BO1300" s="720"/>
      <c r="BP1300" s="720"/>
      <c r="BQ1300" s="720"/>
      <c r="BR1300" s="720"/>
      <c r="BS1300" s="720"/>
      <c r="BT1300" s="720"/>
      <c r="BU1300" s="720"/>
      <c r="BV1300" s="720"/>
      <c r="BW1300" s="720"/>
      <c r="BX1300" s="720"/>
      <c r="BY1300" s="720"/>
      <c r="BZ1300" s="720"/>
      <c r="CA1300" s="720"/>
    </row>
    <row r="1301" spans="1:79" s="740" customFormat="1" hidden="1" outlineLevel="1" x14ac:dyDescent="0.25">
      <c r="A1301" s="659"/>
      <c r="B1301" s="29"/>
      <c r="C1301" s="29"/>
      <c r="D1301" s="29"/>
      <c r="E1301" s="570" t="s">
        <v>49</v>
      </c>
      <c r="F1301" s="659" t="s">
        <v>617</v>
      </c>
      <c r="G1301" s="664">
        <f>SUM(G1284:G1300)</f>
        <v>0</v>
      </c>
      <c r="H1301" s="664">
        <f t="shared" ref="H1301:BO1301" si="550">SUM(H1284:H1300)</f>
        <v>0</v>
      </c>
      <c r="I1301" s="664">
        <f t="shared" si="550"/>
        <v>0</v>
      </c>
      <c r="J1301" s="664">
        <f t="shared" si="550"/>
        <v>0</v>
      </c>
      <c r="K1301" s="664">
        <f t="shared" si="550"/>
        <v>0</v>
      </c>
      <c r="L1301" s="664">
        <f t="shared" si="550"/>
        <v>0</v>
      </c>
      <c r="M1301" s="664">
        <f t="shared" si="550"/>
        <v>0</v>
      </c>
      <c r="N1301" s="664">
        <f t="shared" si="550"/>
        <v>0</v>
      </c>
      <c r="O1301" s="664">
        <f t="shared" si="550"/>
        <v>0</v>
      </c>
      <c r="P1301" s="664">
        <f t="shared" si="550"/>
        <v>0</v>
      </c>
      <c r="Q1301" s="664">
        <f t="shared" si="550"/>
        <v>0</v>
      </c>
      <c r="R1301" s="664">
        <f t="shared" si="550"/>
        <v>0</v>
      </c>
      <c r="S1301" s="678">
        <f t="shared" ref="S1301:AA1301" si="551">ROUND(SUM(S1283:S1300),5)</f>
        <v>0</v>
      </c>
      <c r="T1301" s="678">
        <f t="shared" si="551"/>
        <v>804.3</v>
      </c>
      <c r="U1301" s="678">
        <f t="shared" si="551"/>
        <v>0</v>
      </c>
      <c r="V1301" s="678">
        <f t="shared" si="551"/>
        <v>0</v>
      </c>
      <c r="W1301" s="678">
        <f t="shared" si="551"/>
        <v>0</v>
      </c>
      <c r="X1301" s="678">
        <f t="shared" si="551"/>
        <v>0</v>
      </c>
      <c r="Y1301" s="678">
        <f t="shared" si="551"/>
        <v>0</v>
      </c>
      <c r="Z1301" s="678">
        <f t="shared" si="551"/>
        <v>0</v>
      </c>
      <c r="AA1301" s="678">
        <f t="shared" si="551"/>
        <v>0</v>
      </c>
      <c r="AB1301" s="678">
        <f>ROUND(SUM(AB1283:AB1300),5)</f>
        <v>0</v>
      </c>
      <c r="AC1301" s="678">
        <f>ROUND(SUM(AC1283:AC1300),5)</f>
        <v>0</v>
      </c>
      <c r="AD1301" s="678">
        <f>ROUND(SUM(AD1283:AD1300),5)</f>
        <v>0</v>
      </c>
      <c r="AE1301" s="678">
        <f>ROUND(SUM(AE1283:AE1300),5)</f>
        <v>0</v>
      </c>
      <c r="AF1301" s="664">
        <f>ROUND(SUM(AF1283:AF1289)+SUM(AF1290:AF1292)+SUM(AF1293:AF1300),5)</f>
        <v>0</v>
      </c>
      <c r="AG1301" s="678">
        <f>ROUND(SUM(AG1283:AG1289)+SUM(AG1290:AG1292)+SUM(AG1293:AG1300),5)</f>
        <v>0</v>
      </c>
      <c r="AH1301" s="664">
        <f t="shared" si="550"/>
        <v>0</v>
      </c>
      <c r="AI1301" s="664">
        <f t="shared" si="550"/>
        <v>0</v>
      </c>
      <c r="AJ1301" s="664">
        <f t="shared" si="550"/>
        <v>0</v>
      </c>
      <c r="AK1301" s="664">
        <f t="shared" si="550"/>
        <v>0</v>
      </c>
      <c r="AL1301" s="664">
        <f t="shared" si="550"/>
        <v>0</v>
      </c>
      <c r="AM1301" s="664">
        <f t="shared" si="550"/>
        <v>0</v>
      </c>
      <c r="AN1301" s="664">
        <f t="shared" si="550"/>
        <v>0</v>
      </c>
      <c r="AO1301" s="664">
        <f t="shared" si="550"/>
        <v>0</v>
      </c>
      <c r="AP1301" s="664">
        <f t="shared" si="550"/>
        <v>0</v>
      </c>
      <c r="AQ1301" s="664">
        <f t="shared" si="550"/>
        <v>0</v>
      </c>
      <c r="AR1301" s="664">
        <f t="shared" si="550"/>
        <v>0</v>
      </c>
      <c r="AS1301" s="664">
        <f t="shared" si="550"/>
        <v>0</v>
      </c>
      <c r="AT1301" s="664">
        <f t="shared" si="550"/>
        <v>0</v>
      </c>
      <c r="AU1301" s="664">
        <f t="shared" si="550"/>
        <v>0</v>
      </c>
      <c r="AV1301" s="664">
        <f t="shared" si="550"/>
        <v>0</v>
      </c>
      <c r="AW1301" s="664">
        <f t="shared" si="550"/>
        <v>0</v>
      </c>
      <c r="AX1301" s="664">
        <f t="shared" si="550"/>
        <v>0</v>
      </c>
      <c r="AY1301" s="664">
        <f t="shared" si="550"/>
        <v>0</v>
      </c>
      <c r="AZ1301" s="664">
        <f t="shared" si="550"/>
        <v>0</v>
      </c>
      <c r="BA1301" s="664">
        <f t="shared" si="550"/>
        <v>0</v>
      </c>
      <c r="BB1301" s="664">
        <f t="shared" si="550"/>
        <v>0</v>
      </c>
      <c r="BC1301" s="664">
        <f t="shared" si="550"/>
        <v>0</v>
      </c>
      <c r="BD1301" s="664">
        <f t="shared" si="550"/>
        <v>0</v>
      </c>
      <c r="BE1301" s="664">
        <f t="shared" si="550"/>
        <v>0</v>
      </c>
      <c r="BF1301" s="664">
        <f t="shared" si="550"/>
        <v>0</v>
      </c>
      <c r="BG1301" s="664">
        <f t="shared" si="550"/>
        <v>0</v>
      </c>
      <c r="BH1301" s="664">
        <f t="shared" si="550"/>
        <v>0</v>
      </c>
      <c r="BI1301" s="664">
        <f t="shared" si="550"/>
        <v>0</v>
      </c>
      <c r="BJ1301" s="664">
        <f t="shared" si="550"/>
        <v>0</v>
      </c>
      <c r="BK1301" s="664">
        <f t="shared" si="550"/>
        <v>0</v>
      </c>
      <c r="BL1301" s="664">
        <f t="shared" si="550"/>
        <v>0</v>
      </c>
      <c r="BM1301" s="664">
        <f t="shared" si="550"/>
        <v>0</v>
      </c>
      <c r="BN1301" s="664">
        <f t="shared" si="550"/>
        <v>0</v>
      </c>
      <c r="BO1301" s="664">
        <f t="shared" si="550"/>
        <v>0</v>
      </c>
      <c r="BP1301" s="664">
        <f t="shared" ref="BP1301:CA1301" si="552">SUM(BP1284:BP1300)</f>
        <v>0</v>
      </c>
      <c r="BQ1301" s="664">
        <f t="shared" si="552"/>
        <v>0</v>
      </c>
      <c r="BR1301" s="664">
        <f t="shared" si="552"/>
        <v>0</v>
      </c>
      <c r="BS1301" s="664">
        <f t="shared" si="552"/>
        <v>0</v>
      </c>
      <c r="BT1301" s="664">
        <f t="shared" si="552"/>
        <v>0</v>
      </c>
      <c r="BU1301" s="664">
        <f t="shared" si="552"/>
        <v>0</v>
      </c>
      <c r="BV1301" s="664">
        <f t="shared" si="552"/>
        <v>0</v>
      </c>
      <c r="BW1301" s="664">
        <f t="shared" si="552"/>
        <v>0</v>
      </c>
      <c r="BX1301" s="664">
        <f t="shared" si="552"/>
        <v>0</v>
      </c>
      <c r="BY1301" s="664">
        <f t="shared" si="552"/>
        <v>0</v>
      </c>
      <c r="BZ1301" s="664">
        <f t="shared" si="552"/>
        <v>0</v>
      </c>
      <c r="CA1301" s="664">
        <f t="shared" si="552"/>
        <v>0</v>
      </c>
    </row>
    <row r="1302" spans="1:79" s="700" customFormat="1" hidden="1" outlineLevel="1" x14ac:dyDescent="0.25">
      <c r="A1302" s="691"/>
      <c r="B1302" s="710"/>
      <c r="C1302" s="710"/>
      <c r="D1302" s="710"/>
      <c r="E1302" s="570" t="s">
        <v>1338</v>
      </c>
      <c r="F1302" s="691" t="s">
        <v>594</v>
      </c>
      <c r="G1302" s="765"/>
      <c r="H1302" s="765"/>
      <c r="I1302" s="765"/>
      <c r="J1302" s="765"/>
      <c r="K1302" s="765"/>
      <c r="L1302" s="765"/>
      <c r="M1302" s="765"/>
      <c r="N1302" s="765"/>
      <c r="O1302" s="765"/>
      <c r="P1302" s="736"/>
      <c r="Q1302" s="736"/>
      <c r="R1302" s="762"/>
      <c r="S1302" s="708"/>
      <c r="T1302" s="708"/>
      <c r="U1302" s="708"/>
      <c r="V1302" s="708"/>
      <c r="W1302" s="708"/>
      <c r="X1302" s="708"/>
      <c r="Y1302" s="708"/>
      <c r="Z1302" s="708"/>
      <c r="AA1302" s="708"/>
      <c r="AB1302" s="708"/>
      <c r="AC1302" s="707"/>
      <c r="AD1302" s="707"/>
      <c r="AE1302" s="708"/>
      <c r="AF1302" s="733"/>
      <c r="AG1302" s="707"/>
      <c r="AH1302" s="735"/>
      <c r="AI1302" s="735"/>
      <c r="AJ1302" s="735"/>
      <c r="AK1302" s="735"/>
      <c r="AL1302" s="735"/>
      <c r="AM1302" s="735"/>
      <c r="AN1302" s="735"/>
      <c r="AO1302" s="735"/>
      <c r="AP1302" s="735"/>
      <c r="AQ1302" s="735"/>
      <c r="AR1302" s="735"/>
      <c r="AS1302" s="735"/>
      <c r="AT1302" s="735"/>
      <c r="AU1302" s="735"/>
      <c r="AV1302" s="735"/>
      <c r="AW1302" s="735"/>
      <c r="AX1302" s="735"/>
      <c r="AY1302" s="735"/>
      <c r="AZ1302" s="735"/>
      <c r="BA1302" s="735"/>
      <c r="BB1302" s="735"/>
      <c r="BC1302" s="735"/>
      <c r="BD1302" s="735"/>
      <c r="BE1302" s="735"/>
      <c r="BF1302" s="735"/>
      <c r="BG1302" s="735"/>
      <c r="BH1302" s="735"/>
      <c r="BI1302" s="735"/>
      <c r="BJ1302" s="735"/>
      <c r="BK1302" s="735"/>
      <c r="BL1302" s="735"/>
      <c r="BM1302" s="735"/>
      <c r="BN1302" s="735"/>
      <c r="BO1302" s="735"/>
      <c r="BP1302" s="735"/>
      <c r="BQ1302" s="735"/>
      <c r="BR1302" s="735"/>
      <c r="BS1302" s="735"/>
      <c r="BT1302" s="735"/>
      <c r="BU1302" s="735"/>
      <c r="BV1302" s="735"/>
      <c r="BW1302" s="735"/>
      <c r="BX1302" s="735"/>
      <c r="BY1302" s="735"/>
      <c r="BZ1302" s="735"/>
      <c r="CA1302" s="735"/>
    </row>
    <row r="1303" spans="1:79" s="740" customFormat="1" hidden="1" outlineLevel="1" x14ac:dyDescent="0.25">
      <c r="A1303" s="656"/>
      <c r="B1303" s="571"/>
      <c r="C1303" s="571"/>
      <c r="D1303" s="571"/>
      <c r="E1303" s="570" t="s">
        <v>1338</v>
      </c>
      <c r="F1303" s="656" t="s">
        <v>888</v>
      </c>
      <c r="G1303" s="723"/>
      <c r="H1303" s="723"/>
      <c r="I1303" s="723"/>
      <c r="J1303" s="723"/>
      <c r="K1303" s="723"/>
      <c r="L1303" s="723"/>
      <c r="M1303" s="723"/>
      <c r="N1303" s="723"/>
      <c r="O1303" s="723"/>
      <c r="P1303" s="718"/>
      <c r="Q1303" s="718"/>
      <c r="R1303" s="717"/>
      <c r="S1303" s="684">
        <v>0</v>
      </c>
      <c r="T1303" s="684">
        <v>0</v>
      </c>
      <c r="U1303" s="684">
        <v>0</v>
      </c>
      <c r="V1303" s="684">
        <v>0</v>
      </c>
      <c r="W1303" s="684">
        <v>0</v>
      </c>
      <c r="X1303" s="684">
        <v>0</v>
      </c>
      <c r="Y1303" s="684">
        <v>0</v>
      </c>
      <c r="Z1303" s="684">
        <v>0</v>
      </c>
      <c r="AA1303" s="684">
        <v>0</v>
      </c>
      <c r="AB1303" s="684">
        <v>0</v>
      </c>
      <c r="AC1303" s="682">
        <v>0</v>
      </c>
      <c r="AD1303" s="682">
        <v>0</v>
      </c>
      <c r="AE1303" s="684">
        <v>0</v>
      </c>
      <c r="AF1303" s="719">
        <v>0</v>
      </c>
      <c r="AG1303" s="682">
        <v>0</v>
      </c>
      <c r="AH1303" s="720"/>
      <c r="AI1303" s="720"/>
      <c r="AJ1303" s="720"/>
      <c r="AK1303" s="720"/>
      <c r="AL1303" s="720"/>
      <c r="AM1303" s="720"/>
      <c r="AN1303" s="720"/>
      <c r="AO1303" s="720"/>
      <c r="AP1303" s="720"/>
      <c r="AQ1303" s="720"/>
      <c r="AR1303" s="720"/>
      <c r="AS1303" s="720"/>
      <c r="AT1303" s="720"/>
      <c r="AU1303" s="720"/>
      <c r="AV1303" s="720"/>
      <c r="AW1303" s="720"/>
      <c r="AX1303" s="720"/>
      <c r="AY1303" s="720"/>
      <c r="AZ1303" s="720"/>
      <c r="BA1303" s="720"/>
      <c r="BB1303" s="720"/>
      <c r="BC1303" s="720"/>
      <c r="BD1303" s="720"/>
      <c r="BE1303" s="720"/>
      <c r="BF1303" s="720"/>
      <c r="BG1303" s="720"/>
      <c r="BH1303" s="720"/>
      <c r="BI1303" s="720"/>
      <c r="BJ1303" s="720"/>
      <c r="BK1303" s="720"/>
      <c r="BL1303" s="720"/>
      <c r="BM1303" s="720"/>
      <c r="BN1303" s="720"/>
      <c r="BO1303" s="720"/>
      <c r="BP1303" s="720"/>
      <c r="BQ1303" s="720"/>
      <c r="BR1303" s="720"/>
      <c r="BS1303" s="720"/>
      <c r="BT1303" s="720"/>
      <c r="BU1303" s="720"/>
      <c r="BV1303" s="720"/>
      <c r="BW1303" s="720"/>
      <c r="BX1303" s="720"/>
      <c r="BY1303" s="720"/>
      <c r="BZ1303" s="720"/>
      <c r="CA1303" s="720"/>
    </row>
    <row r="1304" spans="1:79" s="451" customFormat="1" hidden="1" outlineLevel="1" x14ac:dyDescent="0.25">
      <c r="A1304" s="656"/>
      <c r="B1304" s="437"/>
      <c r="C1304" s="437"/>
      <c r="D1304" s="437"/>
      <c r="E1304" s="570" t="s">
        <v>1338</v>
      </c>
      <c r="F1304" s="656" t="s">
        <v>618</v>
      </c>
      <c r="G1304" s="719">
        <v>691.87656600000003</v>
      </c>
      <c r="H1304" s="719">
        <v>1079.3565915461684</v>
      </c>
      <c r="I1304" s="719">
        <v>1128.2962695256711</v>
      </c>
      <c r="J1304" s="719">
        <v>1610.7098211266123</v>
      </c>
      <c r="K1304" s="719">
        <v>1768.9209557104425</v>
      </c>
      <c r="L1304" s="719">
        <v>2023.0667339794591</v>
      </c>
      <c r="M1304" s="719">
        <v>2658.7432681218752</v>
      </c>
      <c r="N1304" s="719">
        <v>1629.564398029403</v>
      </c>
      <c r="O1304" s="719">
        <v>2132.0788222294791</v>
      </c>
      <c r="P1304" s="716">
        <v>4352.0478785044188</v>
      </c>
      <c r="Q1304" s="716">
        <v>622.55377909659751</v>
      </c>
      <c r="R1304" s="720">
        <v>136.97136219690498</v>
      </c>
      <c r="S1304" s="667">
        <v>2367.1799999999998</v>
      </c>
      <c r="T1304" s="667">
        <v>2724.16</v>
      </c>
      <c r="U1304" s="667">
        <v>2941.28</v>
      </c>
      <c r="V1304" s="667">
        <v>2316</v>
      </c>
      <c r="W1304" s="667">
        <v>2499.16</v>
      </c>
      <c r="X1304" s="667">
        <v>3201.35</v>
      </c>
      <c r="Y1304" s="667">
        <v>2295.84</v>
      </c>
      <c r="Z1304" s="667">
        <v>3095.99</v>
      </c>
      <c r="AA1304" s="667">
        <v>2444.3200000000002</v>
      </c>
      <c r="AB1304" s="667">
        <v>5038.9399999999996</v>
      </c>
      <c r="AC1304" s="686">
        <v>1426.62</v>
      </c>
      <c r="AD1304" s="686">
        <v>2248.34</v>
      </c>
      <c r="AE1304" s="667">
        <v>3410.27</v>
      </c>
      <c r="AF1304" s="719">
        <v>4993.43</v>
      </c>
      <c r="AG1304" s="686">
        <v>2562.64</v>
      </c>
      <c r="AH1304" s="720"/>
      <c r="AI1304" s="720"/>
      <c r="AJ1304" s="720"/>
      <c r="AK1304" s="720"/>
      <c r="AL1304" s="720"/>
      <c r="AM1304" s="720"/>
      <c r="AN1304" s="720"/>
      <c r="AO1304" s="720"/>
      <c r="AP1304" s="720"/>
      <c r="AQ1304" s="720"/>
      <c r="AR1304" s="720"/>
      <c r="AS1304" s="720"/>
      <c r="AT1304" s="720"/>
      <c r="AU1304" s="720"/>
      <c r="AV1304" s="720"/>
      <c r="AW1304" s="720"/>
      <c r="AX1304" s="720"/>
      <c r="AY1304" s="720"/>
      <c r="AZ1304" s="720"/>
      <c r="BA1304" s="720"/>
      <c r="BB1304" s="720"/>
      <c r="BC1304" s="720"/>
      <c r="BD1304" s="720"/>
      <c r="BE1304" s="720"/>
      <c r="BF1304" s="720"/>
      <c r="BG1304" s="720"/>
      <c r="BH1304" s="720"/>
      <c r="BI1304" s="720"/>
      <c r="BJ1304" s="720"/>
      <c r="BK1304" s="720"/>
      <c r="BL1304" s="720"/>
      <c r="BM1304" s="720"/>
      <c r="BN1304" s="720"/>
      <c r="BO1304" s="720"/>
      <c r="BP1304" s="720"/>
      <c r="BQ1304" s="720"/>
      <c r="BR1304" s="720"/>
      <c r="BS1304" s="720"/>
      <c r="BT1304" s="720"/>
      <c r="BU1304" s="720"/>
      <c r="BV1304" s="720"/>
      <c r="BW1304" s="720"/>
      <c r="BX1304" s="720"/>
      <c r="BY1304" s="720"/>
      <c r="BZ1304" s="720"/>
      <c r="CA1304" s="720"/>
    </row>
    <row r="1305" spans="1:79" s="451" customFormat="1" hidden="1" outlineLevel="1" x14ac:dyDescent="0.25">
      <c r="A1305" s="657"/>
      <c r="B1305" s="570"/>
      <c r="C1305" s="570"/>
      <c r="D1305" s="570"/>
      <c r="E1305" s="570" t="s">
        <v>49</v>
      </c>
      <c r="F1305" s="657" t="s">
        <v>619</v>
      </c>
      <c r="G1305" s="664">
        <f>SUM(G1303:G1304)</f>
        <v>691.87656600000003</v>
      </c>
      <c r="H1305" s="664">
        <f t="shared" ref="H1305:BO1305" si="553">SUM(H1303:H1304)</f>
        <v>1079.3565915461684</v>
      </c>
      <c r="I1305" s="664">
        <f t="shared" si="553"/>
        <v>1128.2962695256711</v>
      </c>
      <c r="J1305" s="664">
        <f t="shared" si="553"/>
        <v>1610.7098211266123</v>
      </c>
      <c r="K1305" s="664">
        <f t="shared" si="553"/>
        <v>1768.9209557104425</v>
      </c>
      <c r="L1305" s="664">
        <f t="shared" si="553"/>
        <v>2023.0667339794591</v>
      </c>
      <c r="M1305" s="664">
        <f t="shared" si="553"/>
        <v>2658.7432681218752</v>
      </c>
      <c r="N1305" s="664">
        <f t="shared" si="553"/>
        <v>1629.564398029403</v>
      </c>
      <c r="O1305" s="664">
        <f t="shared" si="553"/>
        <v>2132.0788222294791</v>
      </c>
      <c r="P1305" s="664">
        <f t="shared" si="553"/>
        <v>4352.0478785044188</v>
      </c>
      <c r="Q1305" s="664">
        <f t="shared" si="553"/>
        <v>622.55377909659751</v>
      </c>
      <c r="R1305" s="664">
        <f t="shared" si="553"/>
        <v>136.97136219690498</v>
      </c>
      <c r="S1305" s="678">
        <f t="shared" ref="S1305:AA1305" si="554">ROUND(SUM(S1302:S1304),5)</f>
        <v>2367.1799999999998</v>
      </c>
      <c r="T1305" s="678">
        <f t="shared" si="554"/>
        <v>2724.16</v>
      </c>
      <c r="U1305" s="678">
        <f t="shared" si="554"/>
        <v>2941.28</v>
      </c>
      <c r="V1305" s="678">
        <f t="shared" si="554"/>
        <v>2316</v>
      </c>
      <c r="W1305" s="678">
        <f t="shared" si="554"/>
        <v>2499.16</v>
      </c>
      <c r="X1305" s="678">
        <f t="shared" si="554"/>
        <v>3201.35</v>
      </c>
      <c r="Y1305" s="678">
        <f t="shared" si="554"/>
        <v>2295.84</v>
      </c>
      <c r="Z1305" s="678">
        <f t="shared" si="554"/>
        <v>3095.99</v>
      </c>
      <c r="AA1305" s="678">
        <f t="shared" si="554"/>
        <v>2444.3200000000002</v>
      </c>
      <c r="AB1305" s="678">
        <f t="shared" ref="AB1305:AG1305" si="555">ROUND(SUM(AB1302:AB1304),5)</f>
        <v>5038.9399999999996</v>
      </c>
      <c r="AC1305" s="678">
        <f t="shared" si="555"/>
        <v>1426.62</v>
      </c>
      <c r="AD1305" s="678">
        <f t="shared" si="555"/>
        <v>2248.34</v>
      </c>
      <c r="AE1305" s="678">
        <f t="shared" si="555"/>
        <v>3410.27</v>
      </c>
      <c r="AF1305" s="664">
        <f t="shared" si="555"/>
        <v>4993.43</v>
      </c>
      <c r="AG1305" s="678">
        <f t="shared" si="555"/>
        <v>2562.64</v>
      </c>
      <c r="AH1305" s="664">
        <f t="shared" si="553"/>
        <v>0</v>
      </c>
      <c r="AI1305" s="664">
        <f t="shared" si="553"/>
        <v>0</v>
      </c>
      <c r="AJ1305" s="664">
        <f t="shared" si="553"/>
        <v>0</v>
      </c>
      <c r="AK1305" s="664">
        <f t="shared" si="553"/>
        <v>0</v>
      </c>
      <c r="AL1305" s="664">
        <f t="shared" si="553"/>
        <v>0</v>
      </c>
      <c r="AM1305" s="664">
        <f t="shared" si="553"/>
        <v>0</v>
      </c>
      <c r="AN1305" s="664">
        <f t="shared" si="553"/>
        <v>0</v>
      </c>
      <c r="AO1305" s="664">
        <f t="shared" si="553"/>
        <v>0</v>
      </c>
      <c r="AP1305" s="664">
        <f t="shared" si="553"/>
        <v>0</v>
      </c>
      <c r="AQ1305" s="664">
        <f t="shared" si="553"/>
        <v>0</v>
      </c>
      <c r="AR1305" s="664">
        <f t="shared" si="553"/>
        <v>0</v>
      </c>
      <c r="AS1305" s="664">
        <f t="shared" si="553"/>
        <v>0</v>
      </c>
      <c r="AT1305" s="664">
        <f t="shared" si="553"/>
        <v>0</v>
      </c>
      <c r="AU1305" s="664">
        <f t="shared" si="553"/>
        <v>0</v>
      </c>
      <c r="AV1305" s="664">
        <f t="shared" si="553"/>
        <v>0</v>
      </c>
      <c r="AW1305" s="664">
        <f t="shared" si="553"/>
        <v>0</v>
      </c>
      <c r="AX1305" s="664">
        <f t="shared" si="553"/>
        <v>0</v>
      </c>
      <c r="AY1305" s="664">
        <f t="shared" si="553"/>
        <v>0</v>
      </c>
      <c r="AZ1305" s="664">
        <f t="shared" si="553"/>
        <v>0</v>
      </c>
      <c r="BA1305" s="664">
        <f t="shared" si="553"/>
        <v>0</v>
      </c>
      <c r="BB1305" s="664">
        <f t="shared" si="553"/>
        <v>0</v>
      </c>
      <c r="BC1305" s="664">
        <f t="shared" si="553"/>
        <v>0</v>
      </c>
      <c r="BD1305" s="664">
        <f t="shared" si="553"/>
        <v>0</v>
      </c>
      <c r="BE1305" s="664">
        <f t="shared" si="553"/>
        <v>0</v>
      </c>
      <c r="BF1305" s="664">
        <f t="shared" si="553"/>
        <v>0</v>
      </c>
      <c r="BG1305" s="664">
        <f t="shared" si="553"/>
        <v>0</v>
      </c>
      <c r="BH1305" s="664">
        <f t="shared" si="553"/>
        <v>0</v>
      </c>
      <c r="BI1305" s="664">
        <f t="shared" si="553"/>
        <v>0</v>
      </c>
      <c r="BJ1305" s="664">
        <f t="shared" si="553"/>
        <v>0</v>
      </c>
      <c r="BK1305" s="664">
        <f t="shared" si="553"/>
        <v>0</v>
      </c>
      <c r="BL1305" s="664">
        <f t="shared" si="553"/>
        <v>0</v>
      </c>
      <c r="BM1305" s="664">
        <f t="shared" si="553"/>
        <v>0</v>
      </c>
      <c r="BN1305" s="664">
        <f t="shared" si="553"/>
        <v>0</v>
      </c>
      <c r="BO1305" s="664">
        <f t="shared" si="553"/>
        <v>0</v>
      </c>
      <c r="BP1305" s="664">
        <f t="shared" ref="BP1305:CA1305" si="556">SUM(BP1303:BP1304)</f>
        <v>0</v>
      </c>
      <c r="BQ1305" s="664">
        <f t="shared" si="556"/>
        <v>0</v>
      </c>
      <c r="BR1305" s="664">
        <f t="shared" si="556"/>
        <v>0</v>
      </c>
      <c r="BS1305" s="664">
        <f t="shared" si="556"/>
        <v>0</v>
      </c>
      <c r="BT1305" s="664">
        <f t="shared" si="556"/>
        <v>0</v>
      </c>
      <c r="BU1305" s="664">
        <f t="shared" si="556"/>
        <v>0</v>
      </c>
      <c r="BV1305" s="664">
        <f t="shared" si="556"/>
        <v>0</v>
      </c>
      <c r="BW1305" s="664">
        <f t="shared" si="556"/>
        <v>0</v>
      </c>
      <c r="BX1305" s="664">
        <f t="shared" si="556"/>
        <v>0</v>
      </c>
      <c r="BY1305" s="664">
        <f t="shared" si="556"/>
        <v>0</v>
      </c>
      <c r="BZ1305" s="664">
        <f t="shared" si="556"/>
        <v>0</v>
      </c>
      <c r="CA1305" s="664">
        <f t="shared" si="556"/>
        <v>0</v>
      </c>
    </row>
    <row r="1306" spans="1:79" s="451" customFormat="1" hidden="1" outlineLevel="1" x14ac:dyDescent="0.25">
      <c r="A1306" s="658"/>
      <c r="B1306" s="437"/>
      <c r="C1306" s="437"/>
      <c r="D1306" s="437"/>
      <c r="E1306" s="570" t="s">
        <v>945</v>
      </c>
      <c r="F1306" s="658" t="s">
        <v>595</v>
      </c>
      <c r="G1306" s="719">
        <v>98.42</v>
      </c>
      <c r="H1306" s="719">
        <v>33.42</v>
      </c>
      <c r="I1306" s="719">
        <v>-0.05</v>
      </c>
      <c r="J1306" s="719">
        <v>0.03</v>
      </c>
      <c r="K1306" s="719">
        <v>61.368455217537687</v>
      </c>
      <c r="L1306" s="719">
        <v>316.88113701048695</v>
      </c>
      <c r="M1306" s="719">
        <v>427.73165322369903</v>
      </c>
      <c r="N1306" s="719">
        <v>35.747942243091721</v>
      </c>
      <c r="O1306" s="719">
        <v>277.27</v>
      </c>
      <c r="P1306" s="716">
        <v>4354.5777000232592</v>
      </c>
      <c r="Q1306" s="716">
        <v>208.82757063807301</v>
      </c>
      <c r="R1306" s="720">
        <v>691.03467080768655</v>
      </c>
      <c r="S1306" s="667">
        <v>4652.57</v>
      </c>
      <c r="T1306" s="667">
        <v>57.42</v>
      </c>
      <c r="U1306" s="667">
        <v>111.83</v>
      </c>
      <c r="V1306" s="667">
        <v>463.34</v>
      </c>
      <c r="W1306" s="667">
        <v>217.87</v>
      </c>
      <c r="X1306" s="667">
        <v>1222.82</v>
      </c>
      <c r="Y1306" s="667">
        <v>545</v>
      </c>
      <c r="Z1306" s="667">
        <v>0</v>
      </c>
      <c r="AA1306" s="667">
        <v>-47.23</v>
      </c>
      <c r="AB1306" s="667">
        <v>2508.98</v>
      </c>
      <c r="AC1306" s="686">
        <v>5975</v>
      </c>
      <c r="AD1306" s="686">
        <v>-1799</v>
      </c>
      <c r="AE1306" s="667">
        <v>200</v>
      </c>
      <c r="AF1306" s="719">
        <v>4704.34</v>
      </c>
      <c r="AG1306" s="686">
        <v>100</v>
      </c>
      <c r="AH1306" s="720"/>
      <c r="AI1306" s="720"/>
      <c r="AJ1306" s="720"/>
      <c r="AK1306" s="720"/>
      <c r="AL1306" s="720"/>
      <c r="AM1306" s="720"/>
      <c r="AN1306" s="720"/>
      <c r="AO1306" s="720"/>
      <c r="AP1306" s="720"/>
      <c r="AQ1306" s="720"/>
      <c r="AR1306" s="720"/>
      <c r="AS1306" s="720"/>
      <c r="AT1306" s="720"/>
      <c r="AU1306" s="720"/>
      <c r="AV1306" s="720"/>
      <c r="AW1306" s="720"/>
      <c r="AX1306" s="720"/>
      <c r="AY1306" s="720"/>
      <c r="AZ1306" s="720"/>
      <c r="BA1306" s="720"/>
      <c r="BB1306" s="720"/>
      <c r="BC1306" s="720"/>
      <c r="BD1306" s="720"/>
      <c r="BE1306" s="720"/>
      <c r="BF1306" s="720"/>
      <c r="BG1306" s="720"/>
      <c r="BH1306" s="720"/>
      <c r="BI1306" s="720"/>
      <c r="BJ1306" s="720"/>
      <c r="BK1306" s="720"/>
      <c r="BL1306" s="720"/>
      <c r="BM1306" s="720"/>
      <c r="BN1306" s="720"/>
      <c r="BO1306" s="720"/>
      <c r="BP1306" s="720"/>
      <c r="BQ1306" s="720"/>
      <c r="BR1306" s="720"/>
      <c r="BS1306" s="720"/>
      <c r="BT1306" s="720"/>
      <c r="BU1306" s="720"/>
      <c r="BV1306" s="720"/>
      <c r="BW1306" s="720"/>
      <c r="BX1306" s="720"/>
      <c r="BY1306" s="720"/>
      <c r="BZ1306" s="720"/>
      <c r="CA1306" s="720"/>
    </row>
    <row r="1307" spans="1:79" s="740" customFormat="1" hidden="1" outlineLevel="1" x14ac:dyDescent="0.25">
      <c r="A1307" s="658"/>
      <c r="B1307" s="437"/>
      <c r="C1307" s="437"/>
      <c r="D1307" s="437"/>
      <c r="E1307" s="570" t="s">
        <v>941</v>
      </c>
      <c r="F1307" s="658" t="s">
        <v>596</v>
      </c>
      <c r="G1307" s="719">
        <v>19.373822999999998</v>
      </c>
      <c r="H1307" s="719">
        <v>30.565473667670311</v>
      </c>
      <c r="I1307" s="719"/>
      <c r="J1307" s="719">
        <v>37.546650265912987</v>
      </c>
      <c r="K1307" s="719">
        <v>287.32059158971481</v>
      </c>
      <c r="L1307" s="719">
        <v>8.4877619209021855</v>
      </c>
      <c r="M1307" s="719"/>
      <c r="N1307" s="719">
        <v>18.163426080852577</v>
      </c>
      <c r="O1307" s="719">
        <v>4.2171941068269367</v>
      </c>
      <c r="P1307" s="716">
        <v>149.8511214184287</v>
      </c>
      <c r="Q1307" s="716">
        <v>285.34114157051124</v>
      </c>
      <c r="R1307" s="720">
        <v>112.1704079510651</v>
      </c>
      <c r="S1307" s="667">
        <v>128.16</v>
      </c>
      <c r="T1307" s="667">
        <v>284.20999999999998</v>
      </c>
      <c r="U1307" s="667">
        <v>72.7</v>
      </c>
      <c r="V1307" s="667">
        <v>42.48</v>
      </c>
      <c r="W1307" s="667">
        <v>132.84</v>
      </c>
      <c r="X1307" s="667">
        <v>127.07</v>
      </c>
      <c r="Y1307" s="667">
        <v>0</v>
      </c>
      <c r="Z1307" s="667">
        <v>0</v>
      </c>
      <c r="AA1307" s="667">
        <v>-1.18</v>
      </c>
      <c r="AB1307" s="667">
        <v>722</v>
      </c>
      <c r="AC1307" s="686">
        <v>-90.96</v>
      </c>
      <c r="AD1307" s="686">
        <v>69.52</v>
      </c>
      <c r="AE1307" s="667">
        <v>47.25</v>
      </c>
      <c r="AF1307" s="719">
        <v>187.84</v>
      </c>
      <c r="AG1307" s="686">
        <v>41.99</v>
      </c>
      <c r="AH1307" s="720"/>
      <c r="AI1307" s="720"/>
      <c r="AJ1307" s="720"/>
      <c r="AK1307" s="720"/>
      <c r="AL1307" s="720"/>
      <c r="AM1307" s="720"/>
      <c r="AN1307" s="720"/>
      <c r="AO1307" s="720"/>
      <c r="AP1307" s="720"/>
      <c r="AQ1307" s="720"/>
      <c r="AR1307" s="720"/>
      <c r="AS1307" s="720"/>
      <c r="AT1307" s="720"/>
      <c r="AU1307" s="720"/>
      <c r="AV1307" s="720"/>
      <c r="AW1307" s="720"/>
      <c r="AX1307" s="720"/>
      <c r="AY1307" s="720"/>
      <c r="AZ1307" s="720"/>
      <c r="BA1307" s="720"/>
      <c r="BB1307" s="720"/>
      <c r="BC1307" s="720"/>
      <c r="BD1307" s="720"/>
      <c r="BE1307" s="720"/>
      <c r="BF1307" s="720"/>
      <c r="BG1307" s="720"/>
      <c r="BH1307" s="720"/>
      <c r="BI1307" s="720"/>
      <c r="BJ1307" s="720"/>
      <c r="BK1307" s="720"/>
      <c r="BL1307" s="720"/>
      <c r="BM1307" s="720"/>
      <c r="BN1307" s="720"/>
      <c r="BO1307" s="720"/>
      <c r="BP1307" s="720"/>
      <c r="BQ1307" s="720"/>
      <c r="BR1307" s="720"/>
      <c r="BS1307" s="720"/>
      <c r="BT1307" s="720"/>
      <c r="BU1307" s="720"/>
      <c r="BV1307" s="720"/>
      <c r="BW1307" s="720"/>
      <c r="BX1307" s="720"/>
      <c r="BY1307" s="720"/>
      <c r="BZ1307" s="720"/>
      <c r="CA1307" s="720"/>
    </row>
    <row r="1308" spans="1:79" s="451" customFormat="1" hidden="1" outlineLevel="1" x14ac:dyDescent="0.25">
      <c r="A1308" s="658"/>
      <c r="B1308" s="437"/>
      <c r="C1308" s="437"/>
      <c r="D1308" s="437"/>
      <c r="E1308" s="570" t="s">
        <v>943</v>
      </c>
      <c r="F1308" s="658" t="s">
        <v>597</v>
      </c>
      <c r="G1308" s="719">
        <v>0</v>
      </c>
      <c r="H1308" s="719"/>
      <c r="I1308" s="719"/>
      <c r="J1308" s="719">
        <v>896.30386541500411</v>
      </c>
      <c r="K1308" s="719">
        <v>61.276540406927296</v>
      </c>
      <c r="L1308" s="719"/>
      <c r="M1308" s="719"/>
      <c r="N1308" s="719"/>
      <c r="O1308" s="719">
        <v>62.963346239878305</v>
      </c>
      <c r="P1308" s="716">
        <v>2.7950447425901612</v>
      </c>
      <c r="Q1308" s="716">
        <v>101.6731151096712</v>
      </c>
      <c r="R1308" s="720"/>
      <c r="S1308" s="667">
        <v>0</v>
      </c>
      <c r="T1308" s="667">
        <v>0</v>
      </c>
      <c r="U1308" s="667">
        <v>0</v>
      </c>
      <c r="V1308" s="667">
        <v>0</v>
      </c>
      <c r="W1308" s="667">
        <v>0</v>
      </c>
      <c r="X1308" s="667">
        <v>0</v>
      </c>
      <c r="Y1308" s="667">
        <v>0</v>
      </c>
      <c r="Z1308" s="667">
        <v>0</v>
      </c>
      <c r="AA1308" s="667">
        <v>0</v>
      </c>
      <c r="AB1308" s="667">
        <v>52.8</v>
      </c>
      <c r="AC1308" s="665">
        <v>0</v>
      </c>
      <c r="AD1308" s="665">
        <v>542.79999999999995</v>
      </c>
      <c r="AE1308" s="667">
        <v>3512.01</v>
      </c>
      <c r="AF1308" s="719">
        <v>0</v>
      </c>
      <c r="AG1308" s="665">
        <v>519.75</v>
      </c>
      <c r="AH1308" s="720"/>
      <c r="AI1308" s="720"/>
      <c r="AJ1308" s="720"/>
      <c r="AK1308" s="720"/>
      <c r="AL1308" s="720"/>
      <c r="AM1308" s="720"/>
      <c r="AN1308" s="720"/>
      <c r="AO1308" s="720"/>
      <c r="AP1308" s="720"/>
      <c r="AQ1308" s="720"/>
      <c r="AR1308" s="720"/>
      <c r="AS1308" s="720"/>
      <c r="AT1308" s="720"/>
      <c r="AU1308" s="720"/>
      <c r="AV1308" s="720"/>
      <c r="AW1308" s="720"/>
      <c r="AX1308" s="720"/>
      <c r="AY1308" s="720"/>
      <c r="AZ1308" s="720"/>
      <c r="BA1308" s="720"/>
      <c r="BB1308" s="720"/>
      <c r="BC1308" s="720"/>
      <c r="BD1308" s="720"/>
      <c r="BE1308" s="720"/>
      <c r="BF1308" s="720"/>
      <c r="BG1308" s="720"/>
      <c r="BH1308" s="720"/>
      <c r="BI1308" s="720"/>
      <c r="BJ1308" s="720"/>
      <c r="BK1308" s="720"/>
      <c r="BL1308" s="720"/>
      <c r="BM1308" s="720"/>
      <c r="BN1308" s="720"/>
      <c r="BO1308" s="720"/>
      <c r="BP1308" s="720"/>
      <c r="BQ1308" s="720"/>
      <c r="BR1308" s="720"/>
      <c r="BS1308" s="720"/>
      <c r="BT1308" s="720"/>
      <c r="BU1308" s="720"/>
      <c r="BV1308" s="720"/>
      <c r="BW1308" s="720"/>
      <c r="BX1308" s="720"/>
      <c r="BY1308" s="720"/>
      <c r="BZ1308" s="720"/>
      <c r="CA1308" s="720"/>
    </row>
    <row r="1309" spans="1:79" s="693" customFormat="1" hidden="1" outlineLevel="1" x14ac:dyDescent="0.25">
      <c r="A1309" s="701"/>
      <c r="B1309" s="700"/>
      <c r="C1309" s="700"/>
      <c r="D1309" s="700"/>
      <c r="E1309" s="570" t="s">
        <v>1339</v>
      </c>
      <c r="F1309" s="701" t="s">
        <v>598</v>
      </c>
      <c r="G1309" s="765"/>
      <c r="H1309" s="765"/>
      <c r="I1309" s="765"/>
      <c r="J1309" s="765"/>
      <c r="K1309" s="765"/>
      <c r="L1309" s="765"/>
      <c r="M1309" s="765"/>
      <c r="N1309" s="765"/>
      <c r="O1309" s="765"/>
      <c r="P1309" s="736"/>
      <c r="Q1309" s="736"/>
      <c r="R1309" s="762"/>
      <c r="S1309" s="697"/>
      <c r="T1309" s="697"/>
      <c r="U1309" s="697"/>
      <c r="V1309" s="697"/>
      <c r="W1309" s="697"/>
      <c r="X1309" s="697"/>
      <c r="Y1309" s="697"/>
      <c r="Z1309" s="697"/>
      <c r="AA1309" s="697"/>
      <c r="AB1309" s="697"/>
      <c r="AC1309" s="705"/>
      <c r="AD1309" s="705"/>
      <c r="AE1309" s="697"/>
      <c r="AF1309" s="733"/>
      <c r="AG1309" s="705"/>
      <c r="AH1309" s="735"/>
      <c r="AI1309" s="735"/>
      <c r="AJ1309" s="735"/>
      <c r="AK1309" s="735"/>
      <c r="AL1309" s="735"/>
      <c r="AM1309" s="735"/>
      <c r="AN1309" s="735"/>
      <c r="AO1309" s="735"/>
      <c r="AP1309" s="735"/>
      <c r="AQ1309" s="735"/>
      <c r="AR1309" s="735"/>
      <c r="AS1309" s="735"/>
      <c r="AT1309" s="735"/>
      <c r="AU1309" s="735"/>
      <c r="AV1309" s="735"/>
      <c r="AW1309" s="735"/>
      <c r="AX1309" s="735"/>
      <c r="AY1309" s="735"/>
      <c r="AZ1309" s="735"/>
      <c r="BA1309" s="735"/>
      <c r="BB1309" s="735"/>
      <c r="BC1309" s="735"/>
      <c r="BD1309" s="735"/>
      <c r="BE1309" s="735"/>
      <c r="BF1309" s="735"/>
      <c r="BG1309" s="735"/>
      <c r="BH1309" s="735"/>
      <c r="BI1309" s="735"/>
      <c r="BJ1309" s="735"/>
      <c r="BK1309" s="735"/>
      <c r="BL1309" s="735"/>
      <c r="BM1309" s="735"/>
      <c r="BN1309" s="735"/>
      <c r="BO1309" s="735"/>
      <c r="BP1309" s="735"/>
      <c r="BQ1309" s="735"/>
      <c r="BR1309" s="735"/>
      <c r="BS1309" s="735"/>
      <c r="BT1309" s="735"/>
      <c r="BU1309" s="735"/>
      <c r="BV1309" s="735"/>
      <c r="BW1309" s="735"/>
      <c r="BX1309" s="735"/>
      <c r="BY1309" s="735"/>
      <c r="BZ1309" s="735"/>
      <c r="CA1309" s="735"/>
    </row>
    <row r="1310" spans="1:79" s="740" customFormat="1" hidden="1" outlineLevel="1" x14ac:dyDescent="0.25">
      <c r="A1310" s="656"/>
      <c r="B1310" s="79"/>
      <c r="C1310" s="79"/>
      <c r="D1310" s="79"/>
      <c r="E1310" s="570" t="s">
        <v>1339</v>
      </c>
      <c r="F1310" s="656" t="s">
        <v>649</v>
      </c>
      <c r="G1310" s="723"/>
      <c r="H1310" s="723"/>
      <c r="I1310" s="723"/>
      <c r="J1310" s="723"/>
      <c r="K1310" s="723"/>
      <c r="L1310" s="723"/>
      <c r="M1310" s="723"/>
      <c r="N1310" s="723"/>
      <c r="O1310" s="723"/>
      <c r="P1310" s="718"/>
      <c r="Q1310" s="718"/>
      <c r="R1310" s="717"/>
      <c r="S1310" s="676">
        <v>0</v>
      </c>
      <c r="T1310" s="676">
        <v>0</v>
      </c>
      <c r="U1310" s="676">
        <v>80</v>
      </c>
      <c r="V1310" s="676">
        <v>0</v>
      </c>
      <c r="W1310" s="676">
        <v>0</v>
      </c>
      <c r="X1310" s="676">
        <v>0</v>
      </c>
      <c r="Y1310" s="676">
        <v>0</v>
      </c>
      <c r="Z1310" s="676">
        <v>40</v>
      </c>
      <c r="AA1310" s="676">
        <v>40</v>
      </c>
      <c r="AB1310" s="676">
        <v>264</v>
      </c>
      <c r="AC1310" s="674">
        <v>261.75</v>
      </c>
      <c r="AD1310" s="674">
        <v>40</v>
      </c>
      <c r="AE1310" s="676">
        <v>0</v>
      </c>
      <c r="AF1310" s="719">
        <v>70833.33</v>
      </c>
      <c r="AG1310" s="674">
        <v>5292.37</v>
      </c>
      <c r="AH1310" s="720"/>
      <c r="AI1310" s="720"/>
      <c r="AJ1310" s="720"/>
      <c r="AK1310" s="720"/>
      <c r="AL1310" s="720"/>
      <c r="AM1310" s="720"/>
      <c r="AN1310" s="720"/>
      <c r="AO1310" s="720"/>
      <c r="AP1310" s="720"/>
      <c r="AQ1310" s="720"/>
      <c r="AR1310" s="720"/>
      <c r="AS1310" s="720"/>
      <c r="AT1310" s="720"/>
      <c r="AU1310" s="720"/>
      <c r="AV1310" s="720"/>
      <c r="AW1310" s="720"/>
      <c r="AX1310" s="720"/>
      <c r="AY1310" s="720"/>
      <c r="AZ1310" s="720"/>
      <c r="BA1310" s="720"/>
      <c r="BB1310" s="720"/>
      <c r="BC1310" s="720"/>
      <c r="BD1310" s="720"/>
      <c r="BE1310" s="720"/>
      <c r="BF1310" s="720"/>
      <c r="BG1310" s="720"/>
      <c r="BH1310" s="720"/>
      <c r="BI1310" s="720"/>
      <c r="BJ1310" s="720"/>
      <c r="BK1310" s="720"/>
      <c r="BL1310" s="720"/>
      <c r="BM1310" s="720"/>
      <c r="BN1310" s="720"/>
      <c r="BO1310" s="720"/>
      <c r="BP1310" s="720"/>
      <c r="BQ1310" s="720"/>
      <c r="BR1310" s="720"/>
      <c r="BS1310" s="720"/>
      <c r="BT1310" s="720"/>
      <c r="BU1310" s="720"/>
      <c r="BV1310" s="720"/>
      <c r="BW1310" s="720"/>
      <c r="BX1310" s="720"/>
      <c r="BY1310" s="720"/>
      <c r="BZ1310" s="720"/>
      <c r="CA1310" s="720"/>
    </row>
    <row r="1311" spans="1:79" s="740" customFormat="1" hidden="1" outlineLevel="1" x14ac:dyDescent="0.25">
      <c r="A1311" s="656"/>
      <c r="B1311" s="576"/>
      <c r="C1311" s="576"/>
      <c r="D1311" s="576"/>
      <c r="E1311" s="570" t="s">
        <v>1339</v>
      </c>
      <c r="F1311" s="656" t="s">
        <v>620</v>
      </c>
      <c r="G1311" s="723"/>
      <c r="H1311" s="723"/>
      <c r="I1311" s="723"/>
      <c r="J1311" s="723"/>
      <c r="K1311" s="723"/>
      <c r="L1311" s="723"/>
      <c r="M1311" s="723"/>
      <c r="N1311" s="723"/>
      <c r="O1311" s="723"/>
      <c r="P1311" s="718"/>
      <c r="Q1311" s="718"/>
      <c r="R1311" s="717"/>
      <c r="S1311" s="667">
        <v>0</v>
      </c>
      <c r="T1311" s="667">
        <v>0</v>
      </c>
      <c r="U1311" s="667">
        <v>0</v>
      </c>
      <c r="V1311" s="667">
        <v>0</v>
      </c>
      <c r="W1311" s="667">
        <v>0</v>
      </c>
      <c r="X1311" s="667">
        <v>0</v>
      </c>
      <c r="Y1311" s="667">
        <v>0</v>
      </c>
      <c r="Z1311" s="667">
        <v>0</v>
      </c>
      <c r="AA1311" s="667">
        <v>0</v>
      </c>
      <c r="AB1311" s="667">
        <v>0</v>
      </c>
      <c r="AC1311" s="686">
        <v>0</v>
      </c>
      <c r="AD1311" s="686">
        <v>0</v>
      </c>
      <c r="AE1311" s="667">
        <v>0</v>
      </c>
      <c r="AF1311" s="719">
        <v>0</v>
      </c>
      <c r="AG1311" s="686">
        <v>0</v>
      </c>
      <c r="AH1311" s="720"/>
      <c r="AI1311" s="720"/>
      <c r="AJ1311" s="720"/>
      <c r="AK1311" s="720"/>
      <c r="AL1311" s="720"/>
      <c r="AM1311" s="720"/>
      <c r="AN1311" s="720"/>
      <c r="AO1311" s="720"/>
      <c r="AP1311" s="720"/>
      <c r="AQ1311" s="720"/>
      <c r="AR1311" s="720"/>
      <c r="AS1311" s="720"/>
      <c r="AT1311" s="720"/>
      <c r="AU1311" s="720"/>
      <c r="AV1311" s="720"/>
      <c r="AW1311" s="720"/>
      <c r="AX1311" s="720"/>
      <c r="AY1311" s="720"/>
      <c r="AZ1311" s="720"/>
      <c r="BA1311" s="720"/>
      <c r="BB1311" s="720"/>
      <c r="BC1311" s="720"/>
      <c r="BD1311" s="720"/>
      <c r="BE1311" s="720"/>
      <c r="BF1311" s="720"/>
      <c r="BG1311" s="720"/>
      <c r="BH1311" s="720"/>
      <c r="BI1311" s="720"/>
      <c r="BJ1311" s="720"/>
      <c r="BK1311" s="720"/>
      <c r="BL1311" s="720"/>
      <c r="BM1311" s="720"/>
      <c r="BN1311" s="720"/>
      <c r="BO1311" s="720"/>
      <c r="BP1311" s="720"/>
      <c r="BQ1311" s="720"/>
      <c r="BR1311" s="720"/>
      <c r="BS1311" s="720"/>
      <c r="BT1311" s="720"/>
      <c r="BU1311" s="720"/>
      <c r="BV1311" s="720"/>
      <c r="BW1311" s="720"/>
      <c r="BX1311" s="720"/>
      <c r="BY1311" s="720"/>
      <c r="BZ1311" s="720"/>
      <c r="CA1311" s="720"/>
    </row>
    <row r="1312" spans="1:79" s="451" customFormat="1" hidden="1" outlineLevel="1" x14ac:dyDescent="0.25">
      <c r="A1312" s="656"/>
      <c r="B1312" s="79"/>
      <c r="C1312" s="79"/>
      <c r="D1312" s="79"/>
      <c r="E1312" s="570" t="s">
        <v>1339</v>
      </c>
      <c r="F1312" s="656" t="s">
        <v>666</v>
      </c>
      <c r="G1312" s="723"/>
      <c r="H1312" s="723"/>
      <c r="I1312" s="723"/>
      <c r="J1312" s="723"/>
      <c r="K1312" s="723"/>
      <c r="L1312" s="723"/>
      <c r="M1312" s="723"/>
      <c r="N1312" s="723"/>
      <c r="O1312" s="723"/>
      <c r="P1312" s="718"/>
      <c r="Q1312" s="718"/>
      <c r="R1312" s="717"/>
      <c r="S1312" s="667">
        <v>8274.06</v>
      </c>
      <c r="T1312" s="667">
        <v>5240.5</v>
      </c>
      <c r="U1312" s="667">
        <v>3966.47</v>
      </c>
      <c r="V1312" s="667">
        <v>7818.65</v>
      </c>
      <c r="W1312" s="667">
        <v>10493.85</v>
      </c>
      <c r="X1312" s="667">
        <v>49141.5</v>
      </c>
      <c r="Y1312" s="667">
        <v>50679</v>
      </c>
      <c r="Z1312" s="667">
        <v>30210.400000000001</v>
      </c>
      <c r="AA1312" s="667">
        <v>66000</v>
      </c>
      <c r="AB1312" s="667">
        <v>51201.15</v>
      </c>
      <c r="AC1312" s="686">
        <v>33398.67</v>
      </c>
      <c r="AD1312" s="686">
        <v>46905.67</v>
      </c>
      <c r="AE1312" s="667">
        <v>39073.32</v>
      </c>
      <c r="AF1312" s="719">
        <v>-14209.45</v>
      </c>
      <c r="AG1312" s="686">
        <v>28068.57</v>
      </c>
      <c r="AH1312" s="720"/>
      <c r="AI1312" s="720"/>
      <c r="AJ1312" s="720"/>
      <c r="AK1312" s="720"/>
      <c r="AL1312" s="720"/>
      <c r="AM1312" s="720"/>
      <c r="AN1312" s="720"/>
      <c r="AO1312" s="720"/>
      <c r="AP1312" s="720"/>
      <c r="AQ1312" s="720"/>
      <c r="AR1312" s="720"/>
      <c r="AS1312" s="720"/>
      <c r="AT1312" s="720"/>
      <c r="AU1312" s="720"/>
      <c r="AV1312" s="720"/>
      <c r="AW1312" s="720"/>
      <c r="AX1312" s="720"/>
      <c r="AY1312" s="720"/>
      <c r="AZ1312" s="720"/>
      <c r="BA1312" s="720"/>
      <c r="BB1312" s="720"/>
      <c r="BC1312" s="720"/>
      <c r="BD1312" s="720"/>
      <c r="BE1312" s="720"/>
      <c r="BF1312" s="720"/>
      <c r="BG1312" s="720"/>
      <c r="BH1312" s="720"/>
      <c r="BI1312" s="720"/>
      <c r="BJ1312" s="720"/>
      <c r="BK1312" s="720"/>
      <c r="BL1312" s="720"/>
      <c r="BM1312" s="720"/>
      <c r="BN1312" s="720"/>
      <c r="BO1312" s="720"/>
      <c r="BP1312" s="720"/>
      <c r="BQ1312" s="720"/>
      <c r="BR1312" s="720"/>
      <c r="BS1312" s="720"/>
      <c r="BT1312" s="720"/>
      <c r="BU1312" s="720"/>
      <c r="BV1312" s="720"/>
      <c r="BW1312" s="720"/>
      <c r="BX1312" s="720"/>
      <c r="BY1312" s="720"/>
      <c r="BZ1312" s="720"/>
      <c r="CA1312" s="720"/>
    </row>
    <row r="1313" spans="1:79" s="308" customFormat="1" hidden="1" outlineLevel="1" x14ac:dyDescent="0.25">
      <c r="A1313" s="656"/>
      <c r="B1313" s="79"/>
      <c r="C1313" s="79"/>
      <c r="D1313" s="79"/>
      <c r="E1313" s="570" t="s">
        <v>1339</v>
      </c>
      <c r="F1313" s="656" t="s">
        <v>621</v>
      </c>
      <c r="G1313" s="723"/>
      <c r="H1313" s="723"/>
      <c r="I1313" s="723"/>
      <c r="J1313" s="723"/>
      <c r="K1313" s="723"/>
      <c r="L1313" s="723"/>
      <c r="M1313" s="723"/>
      <c r="N1313" s="723"/>
      <c r="O1313" s="723"/>
      <c r="P1313" s="718"/>
      <c r="Q1313" s="718"/>
      <c r="R1313" s="717"/>
      <c r="S1313" s="667">
        <v>0</v>
      </c>
      <c r="T1313" s="667">
        <v>0</v>
      </c>
      <c r="U1313" s="667">
        <v>115</v>
      </c>
      <c r="V1313" s="667">
        <v>248.75</v>
      </c>
      <c r="W1313" s="667">
        <v>355.75</v>
      </c>
      <c r="X1313" s="667">
        <v>115</v>
      </c>
      <c r="Y1313" s="667">
        <v>115</v>
      </c>
      <c r="Z1313" s="667">
        <v>115</v>
      </c>
      <c r="AA1313" s="667">
        <v>115</v>
      </c>
      <c r="AB1313" s="667">
        <v>5115</v>
      </c>
      <c r="AC1313" s="686">
        <v>10000</v>
      </c>
      <c r="AD1313" s="686">
        <v>3567.6</v>
      </c>
      <c r="AE1313" s="667">
        <v>8101</v>
      </c>
      <c r="AF1313" s="716">
        <v>-123</v>
      </c>
      <c r="AG1313" s="686">
        <v>0</v>
      </c>
      <c r="AH1313" s="720"/>
      <c r="AI1313" s="720"/>
      <c r="AJ1313" s="720"/>
      <c r="AK1313" s="720"/>
      <c r="AL1313" s="720"/>
      <c r="AM1313" s="720"/>
      <c r="AN1313" s="720"/>
      <c r="AO1313" s="720"/>
      <c r="AP1313" s="720"/>
      <c r="AQ1313" s="720"/>
      <c r="AR1313" s="720"/>
      <c r="AS1313" s="720"/>
      <c r="AT1313" s="720"/>
      <c r="AU1313" s="720"/>
      <c r="AV1313" s="720"/>
      <c r="AW1313" s="720"/>
      <c r="AX1313" s="720"/>
      <c r="AY1313" s="720"/>
      <c r="AZ1313" s="720"/>
      <c r="BA1313" s="720"/>
      <c r="BB1313" s="720"/>
      <c r="BC1313" s="720"/>
      <c r="BD1313" s="720"/>
      <c r="BE1313" s="720"/>
      <c r="BF1313" s="720"/>
      <c r="BG1313" s="720"/>
      <c r="BH1313" s="720"/>
      <c r="BI1313" s="720"/>
      <c r="BJ1313" s="720"/>
      <c r="BK1313" s="720"/>
      <c r="BL1313" s="720"/>
      <c r="BM1313" s="720"/>
      <c r="BN1313" s="720"/>
      <c r="BO1313" s="720"/>
      <c r="BP1313" s="720"/>
      <c r="BQ1313" s="720"/>
      <c r="BR1313" s="720"/>
      <c r="BS1313" s="720"/>
      <c r="BT1313" s="720"/>
      <c r="BU1313" s="720"/>
      <c r="BV1313" s="720"/>
      <c r="BW1313" s="720"/>
      <c r="BX1313" s="720"/>
      <c r="BY1313" s="720"/>
      <c r="BZ1313" s="720"/>
      <c r="CA1313" s="720"/>
    </row>
    <row r="1314" spans="1:79" s="308" customFormat="1" hidden="1" outlineLevel="1" x14ac:dyDescent="0.25">
      <c r="A1314" s="656"/>
      <c r="B1314" s="576"/>
      <c r="C1314" s="576"/>
      <c r="D1314" s="576"/>
      <c r="E1314" s="570" t="s">
        <v>1339</v>
      </c>
      <c r="F1314" s="656" t="s">
        <v>650</v>
      </c>
      <c r="G1314" s="723"/>
      <c r="H1314" s="723"/>
      <c r="I1314" s="723"/>
      <c r="J1314" s="723"/>
      <c r="K1314" s="723"/>
      <c r="L1314" s="723"/>
      <c r="M1314" s="723"/>
      <c r="N1314" s="723"/>
      <c r="O1314" s="723"/>
      <c r="P1314" s="718"/>
      <c r="Q1314" s="718"/>
      <c r="R1314" s="717"/>
      <c r="S1314" s="667">
        <v>0</v>
      </c>
      <c r="T1314" s="667">
        <v>0</v>
      </c>
      <c r="U1314" s="667">
        <v>0</v>
      </c>
      <c r="V1314" s="667">
        <v>0</v>
      </c>
      <c r="W1314" s="667">
        <v>0</v>
      </c>
      <c r="X1314" s="667">
        <v>0</v>
      </c>
      <c r="Y1314" s="667">
        <v>0</v>
      </c>
      <c r="Z1314" s="667">
        <v>0</v>
      </c>
      <c r="AA1314" s="667">
        <v>0</v>
      </c>
      <c r="AB1314" s="667">
        <v>0</v>
      </c>
      <c r="AC1314" s="686">
        <v>0</v>
      </c>
      <c r="AD1314" s="686">
        <v>0</v>
      </c>
      <c r="AE1314" s="667">
        <v>682.92</v>
      </c>
      <c r="AF1314" s="716">
        <v>82.92</v>
      </c>
      <c r="AG1314" s="686">
        <v>82.92</v>
      </c>
      <c r="AH1314" s="720"/>
      <c r="AI1314" s="720"/>
      <c r="AJ1314" s="720"/>
      <c r="AK1314" s="720"/>
      <c r="AL1314" s="720"/>
      <c r="AM1314" s="720"/>
      <c r="AN1314" s="720"/>
      <c r="AO1314" s="720"/>
      <c r="AP1314" s="720"/>
      <c r="AQ1314" s="720"/>
      <c r="AR1314" s="720"/>
      <c r="AS1314" s="720"/>
      <c r="AT1314" s="720"/>
      <c r="AU1314" s="720"/>
      <c r="AV1314" s="720"/>
      <c r="AW1314" s="720"/>
      <c r="AX1314" s="720"/>
      <c r="AY1314" s="720"/>
      <c r="AZ1314" s="720"/>
      <c r="BA1314" s="720"/>
      <c r="BB1314" s="720"/>
      <c r="BC1314" s="720"/>
      <c r="BD1314" s="720"/>
      <c r="BE1314" s="720"/>
      <c r="BF1314" s="720"/>
      <c r="BG1314" s="720"/>
      <c r="BH1314" s="720"/>
      <c r="BI1314" s="720"/>
      <c r="BJ1314" s="720"/>
      <c r="BK1314" s="720"/>
      <c r="BL1314" s="720"/>
      <c r="BM1314" s="720"/>
      <c r="BN1314" s="720"/>
      <c r="BO1314" s="720"/>
      <c r="BP1314" s="720"/>
      <c r="BQ1314" s="720"/>
      <c r="BR1314" s="720"/>
      <c r="BS1314" s="720"/>
      <c r="BT1314" s="720"/>
      <c r="BU1314" s="720"/>
      <c r="BV1314" s="720"/>
      <c r="BW1314" s="720"/>
      <c r="BX1314" s="720"/>
      <c r="BY1314" s="720"/>
      <c r="BZ1314" s="720"/>
      <c r="CA1314" s="720"/>
    </row>
    <row r="1315" spans="1:79" s="308" customFormat="1" hidden="1" outlineLevel="1" x14ac:dyDescent="0.25">
      <c r="A1315" s="656"/>
      <c r="B1315" s="576"/>
      <c r="C1315" s="576"/>
      <c r="D1315" s="576"/>
      <c r="E1315" s="570" t="s">
        <v>1339</v>
      </c>
      <c r="F1315" s="656" t="s">
        <v>647</v>
      </c>
      <c r="G1315" s="723"/>
      <c r="H1315" s="723"/>
      <c r="I1315" s="723"/>
      <c r="J1315" s="723"/>
      <c r="K1315" s="723"/>
      <c r="L1315" s="723"/>
      <c r="M1315" s="723"/>
      <c r="N1315" s="723"/>
      <c r="O1315" s="723"/>
      <c r="P1315" s="718"/>
      <c r="Q1315" s="718"/>
      <c r="R1315" s="717"/>
      <c r="S1315" s="684">
        <v>0</v>
      </c>
      <c r="T1315" s="684">
        <v>0</v>
      </c>
      <c r="U1315" s="684">
        <v>0</v>
      </c>
      <c r="V1315" s="684">
        <v>0</v>
      </c>
      <c r="W1315" s="684">
        <v>0</v>
      </c>
      <c r="X1315" s="684">
        <v>0</v>
      </c>
      <c r="Y1315" s="684">
        <v>0</v>
      </c>
      <c r="Z1315" s="684">
        <v>0</v>
      </c>
      <c r="AA1315" s="684">
        <v>0</v>
      </c>
      <c r="AB1315" s="684">
        <v>0</v>
      </c>
      <c r="AC1315" s="686">
        <v>0</v>
      </c>
      <c r="AD1315" s="686">
        <v>0</v>
      </c>
      <c r="AE1315" s="684">
        <v>0</v>
      </c>
      <c r="AF1315" s="716">
        <v>0</v>
      </c>
      <c r="AG1315" s="686">
        <v>0</v>
      </c>
      <c r="AH1315" s="720"/>
      <c r="AI1315" s="720"/>
      <c r="AJ1315" s="720"/>
      <c r="AK1315" s="720"/>
      <c r="AL1315" s="720"/>
      <c r="AM1315" s="720"/>
      <c r="AN1315" s="720"/>
      <c r="AO1315" s="720"/>
      <c r="AP1315" s="720"/>
      <c r="AQ1315" s="720"/>
      <c r="AR1315" s="720"/>
      <c r="AS1315" s="720"/>
      <c r="AT1315" s="720"/>
      <c r="AU1315" s="720"/>
      <c r="AV1315" s="720"/>
      <c r="AW1315" s="720"/>
      <c r="AX1315" s="720"/>
      <c r="AY1315" s="720"/>
      <c r="AZ1315" s="720"/>
      <c r="BA1315" s="720"/>
      <c r="BB1315" s="720"/>
      <c r="BC1315" s="720"/>
      <c r="BD1315" s="720"/>
      <c r="BE1315" s="720"/>
      <c r="BF1315" s="720"/>
      <c r="BG1315" s="720"/>
      <c r="BH1315" s="720"/>
      <c r="BI1315" s="720"/>
      <c r="BJ1315" s="720"/>
      <c r="BK1315" s="720"/>
      <c r="BL1315" s="720"/>
      <c r="BM1315" s="720"/>
      <c r="BN1315" s="720"/>
      <c r="BO1315" s="720"/>
      <c r="BP1315" s="720"/>
      <c r="BQ1315" s="720"/>
      <c r="BR1315" s="720"/>
      <c r="BS1315" s="720"/>
      <c r="BT1315" s="720"/>
      <c r="BU1315" s="720"/>
      <c r="BV1315" s="720"/>
      <c r="BW1315" s="720"/>
      <c r="BX1315" s="720"/>
      <c r="BY1315" s="720"/>
      <c r="BZ1315" s="720"/>
      <c r="CA1315" s="720"/>
    </row>
    <row r="1316" spans="1:79" s="308" customFormat="1" hidden="1" outlineLevel="1" x14ac:dyDescent="0.25">
      <c r="A1316" s="656"/>
      <c r="B1316" s="576"/>
      <c r="C1316" s="576"/>
      <c r="D1316" s="576"/>
      <c r="E1316" s="570" t="s">
        <v>1339</v>
      </c>
      <c r="F1316" s="656" t="s">
        <v>889</v>
      </c>
      <c r="G1316" s="723"/>
      <c r="H1316" s="723"/>
      <c r="I1316" s="723"/>
      <c r="J1316" s="723"/>
      <c r="K1316" s="723"/>
      <c r="L1316" s="723"/>
      <c r="M1316" s="723"/>
      <c r="N1316" s="723"/>
      <c r="O1316" s="723"/>
      <c r="P1316" s="718"/>
      <c r="Q1316" s="718"/>
      <c r="R1316" s="717"/>
      <c r="S1316" s="684">
        <v>0</v>
      </c>
      <c r="T1316" s="684">
        <v>0</v>
      </c>
      <c r="U1316" s="684">
        <v>0</v>
      </c>
      <c r="V1316" s="684">
        <v>0</v>
      </c>
      <c r="W1316" s="684">
        <v>0</v>
      </c>
      <c r="X1316" s="684">
        <v>0</v>
      </c>
      <c r="Y1316" s="684">
        <v>0</v>
      </c>
      <c r="Z1316" s="684">
        <v>0</v>
      </c>
      <c r="AA1316" s="684">
        <v>0</v>
      </c>
      <c r="AB1316" s="684">
        <v>0</v>
      </c>
      <c r="AC1316" s="686">
        <v>0</v>
      </c>
      <c r="AD1316" s="686">
        <v>0</v>
      </c>
      <c r="AE1316" s="684">
        <v>0</v>
      </c>
      <c r="AF1316" s="716">
        <v>0</v>
      </c>
      <c r="AG1316" s="686">
        <v>0</v>
      </c>
      <c r="AH1316" s="720"/>
      <c r="AI1316" s="720"/>
      <c r="AJ1316" s="720"/>
      <c r="AK1316" s="720"/>
      <c r="AL1316" s="720"/>
      <c r="AM1316" s="720"/>
      <c r="AN1316" s="720"/>
      <c r="AO1316" s="720"/>
      <c r="AP1316" s="720"/>
      <c r="AQ1316" s="720"/>
      <c r="AR1316" s="720"/>
      <c r="AS1316" s="720"/>
      <c r="AT1316" s="720"/>
      <c r="AU1316" s="720"/>
      <c r="AV1316" s="720"/>
      <c r="AW1316" s="720"/>
      <c r="AX1316" s="720"/>
      <c r="AY1316" s="720"/>
      <c r="AZ1316" s="720"/>
      <c r="BA1316" s="720"/>
      <c r="BB1316" s="720"/>
      <c r="BC1316" s="720"/>
      <c r="BD1316" s="720"/>
      <c r="BE1316" s="720"/>
      <c r="BF1316" s="720"/>
      <c r="BG1316" s="720"/>
      <c r="BH1316" s="720"/>
      <c r="BI1316" s="720"/>
      <c r="BJ1316" s="720"/>
      <c r="BK1316" s="720"/>
      <c r="BL1316" s="720"/>
      <c r="BM1316" s="720"/>
      <c r="BN1316" s="720"/>
      <c r="BO1316" s="720"/>
      <c r="BP1316" s="720"/>
      <c r="BQ1316" s="720"/>
      <c r="BR1316" s="720"/>
      <c r="BS1316" s="720"/>
      <c r="BT1316" s="720"/>
      <c r="BU1316" s="720"/>
      <c r="BV1316" s="720"/>
      <c r="BW1316" s="720"/>
      <c r="BX1316" s="720"/>
      <c r="BY1316" s="720"/>
      <c r="BZ1316" s="720"/>
      <c r="CA1316" s="720"/>
    </row>
    <row r="1317" spans="1:79" s="308" customFormat="1" hidden="1" outlineLevel="1" x14ac:dyDescent="0.25">
      <c r="A1317" s="656"/>
      <c r="B1317" s="576"/>
      <c r="C1317" s="576"/>
      <c r="D1317" s="576"/>
      <c r="E1317" s="570" t="s">
        <v>1339</v>
      </c>
      <c r="F1317" s="656" t="s">
        <v>684</v>
      </c>
      <c r="G1317" s="723"/>
      <c r="H1317" s="723"/>
      <c r="I1317" s="723"/>
      <c r="J1317" s="723"/>
      <c r="K1317" s="723"/>
      <c r="L1317" s="723"/>
      <c r="M1317" s="723"/>
      <c r="N1317" s="723"/>
      <c r="O1317" s="723"/>
      <c r="P1317" s="718"/>
      <c r="Q1317" s="718"/>
      <c r="R1317" s="717"/>
      <c r="S1317" s="667">
        <v>0</v>
      </c>
      <c r="T1317" s="667">
        <v>0</v>
      </c>
      <c r="U1317" s="667">
        <v>0</v>
      </c>
      <c r="V1317" s="667">
        <v>0</v>
      </c>
      <c r="W1317" s="667">
        <v>360.52</v>
      </c>
      <c r="X1317" s="667">
        <v>0</v>
      </c>
      <c r="Y1317" s="667">
        <v>0</v>
      </c>
      <c r="Z1317" s="667">
        <v>0</v>
      </c>
      <c r="AA1317" s="667">
        <v>0</v>
      </c>
      <c r="AB1317" s="667">
        <v>0</v>
      </c>
      <c r="AC1317" s="686">
        <v>0</v>
      </c>
      <c r="AD1317" s="686">
        <v>0</v>
      </c>
      <c r="AE1317" s="667">
        <v>0</v>
      </c>
      <c r="AF1317" s="716">
        <v>0</v>
      </c>
      <c r="AG1317" s="686">
        <v>0</v>
      </c>
      <c r="AH1317" s="720"/>
      <c r="AI1317" s="720"/>
      <c r="AJ1317" s="720"/>
      <c r="AK1317" s="720"/>
      <c r="AL1317" s="720"/>
      <c r="AM1317" s="720"/>
      <c r="AN1317" s="720"/>
      <c r="AO1317" s="720"/>
      <c r="AP1317" s="720"/>
      <c r="AQ1317" s="720"/>
      <c r="AR1317" s="720"/>
      <c r="AS1317" s="720"/>
      <c r="AT1317" s="720"/>
      <c r="AU1317" s="720"/>
      <c r="AV1317" s="720"/>
      <c r="AW1317" s="720"/>
      <c r="AX1317" s="720"/>
      <c r="AY1317" s="720"/>
      <c r="AZ1317" s="720"/>
      <c r="BA1317" s="720"/>
      <c r="BB1317" s="720"/>
      <c r="BC1317" s="720"/>
      <c r="BD1317" s="720"/>
      <c r="BE1317" s="720"/>
      <c r="BF1317" s="720"/>
      <c r="BG1317" s="720"/>
      <c r="BH1317" s="720"/>
      <c r="BI1317" s="720"/>
      <c r="BJ1317" s="720"/>
      <c r="BK1317" s="720"/>
      <c r="BL1317" s="720"/>
      <c r="BM1317" s="720"/>
      <c r="BN1317" s="720"/>
      <c r="BO1317" s="720"/>
      <c r="BP1317" s="720"/>
      <c r="BQ1317" s="720"/>
      <c r="BR1317" s="720"/>
      <c r="BS1317" s="720"/>
      <c r="BT1317" s="720"/>
      <c r="BU1317" s="720"/>
      <c r="BV1317" s="720"/>
      <c r="BW1317" s="720"/>
      <c r="BX1317" s="720"/>
      <c r="BY1317" s="720"/>
      <c r="BZ1317" s="720"/>
      <c r="CA1317" s="720"/>
    </row>
    <row r="1318" spans="1:79" s="308" customFormat="1" hidden="1" outlineLevel="1" x14ac:dyDescent="0.25">
      <c r="A1318" s="656"/>
      <c r="B1318" s="576"/>
      <c r="C1318" s="576"/>
      <c r="D1318" s="576"/>
      <c r="E1318" s="570" t="s">
        <v>1339</v>
      </c>
      <c r="F1318" s="656" t="s">
        <v>890</v>
      </c>
      <c r="G1318" s="719">
        <v>12184.75</v>
      </c>
      <c r="H1318" s="719">
        <v>78452.977287775269</v>
      </c>
      <c r="I1318" s="719">
        <v>56608.24</v>
      </c>
      <c r="J1318" s="719">
        <v>23152.917231087551</v>
      </c>
      <c r="K1318" s="719">
        <v>33478.371890806287</v>
      </c>
      <c r="L1318" s="719">
        <v>36854.440070128643</v>
      </c>
      <c r="M1318" s="719">
        <v>59257.97654687037</v>
      </c>
      <c r="N1318" s="719">
        <v>38346.469335525973</v>
      </c>
      <c r="O1318" s="719">
        <v>21315.887968711497</v>
      </c>
      <c r="P1318" s="716">
        <v>167154.292754138</v>
      </c>
      <c r="Q1318" s="716">
        <v>73995.983192203857</v>
      </c>
      <c r="R1318" s="720">
        <v>102742.19824682853</v>
      </c>
      <c r="S1318" s="667">
        <v>0</v>
      </c>
      <c r="T1318" s="667">
        <v>0</v>
      </c>
      <c r="U1318" s="667">
        <v>0</v>
      </c>
      <c r="V1318" s="667">
        <v>0</v>
      </c>
      <c r="W1318" s="667">
        <v>0</v>
      </c>
      <c r="X1318" s="667">
        <v>0</v>
      </c>
      <c r="Y1318" s="667">
        <v>0</v>
      </c>
      <c r="Z1318" s="667">
        <v>0</v>
      </c>
      <c r="AA1318" s="667">
        <v>0</v>
      </c>
      <c r="AB1318" s="667">
        <v>0</v>
      </c>
      <c r="AC1318" s="686">
        <v>0</v>
      </c>
      <c r="AD1318" s="686">
        <v>0</v>
      </c>
      <c r="AE1318" s="667">
        <v>0</v>
      </c>
      <c r="AF1318" s="716">
        <v>0</v>
      </c>
      <c r="AG1318" s="686">
        <v>0</v>
      </c>
      <c r="AH1318" s="720"/>
      <c r="AI1318" s="720"/>
      <c r="AJ1318" s="720"/>
      <c r="AK1318" s="720"/>
      <c r="AL1318" s="720"/>
      <c r="AM1318" s="720"/>
      <c r="AN1318" s="720"/>
      <c r="AO1318" s="720"/>
      <c r="AP1318" s="720"/>
      <c r="AQ1318" s="720"/>
      <c r="AR1318" s="720"/>
      <c r="AS1318" s="720"/>
      <c r="AT1318" s="720"/>
      <c r="AU1318" s="720"/>
      <c r="AV1318" s="720"/>
      <c r="AW1318" s="720"/>
      <c r="AX1318" s="720"/>
      <c r="AY1318" s="720"/>
      <c r="AZ1318" s="720"/>
      <c r="BA1318" s="720"/>
      <c r="BB1318" s="720"/>
      <c r="BC1318" s="720"/>
      <c r="BD1318" s="720"/>
      <c r="BE1318" s="720"/>
      <c r="BF1318" s="720"/>
      <c r="BG1318" s="720"/>
      <c r="BH1318" s="720"/>
      <c r="BI1318" s="720"/>
      <c r="BJ1318" s="720"/>
      <c r="BK1318" s="720"/>
      <c r="BL1318" s="720"/>
      <c r="BM1318" s="720"/>
      <c r="BN1318" s="720"/>
      <c r="BO1318" s="720"/>
      <c r="BP1318" s="720"/>
      <c r="BQ1318" s="720"/>
      <c r="BR1318" s="720"/>
      <c r="BS1318" s="720"/>
      <c r="BT1318" s="720"/>
      <c r="BU1318" s="720"/>
      <c r="BV1318" s="720"/>
      <c r="BW1318" s="720"/>
      <c r="BX1318" s="720"/>
      <c r="BY1318" s="720"/>
      <c r="BZ1318" s="720"/>
      <c r="CA1318" s="720"/>
    </row>
    <row r="1319" spans="1:79" hidden="1" outlineLevel="1" x14ac:dyDescent="0.25">
      <c r="A1319" s="659"/>
      <c r="B1319" s="29"/>
      <c r="C1319" s="29"/>
      <c r="D1319" s="29"/>
      <c r="E1319" s="570" t="s">
        <v>49</v>
      </c>
      <c r="F1319" s="659" t="s">
        <v>622</v>
      </c>
      <c r="G1319" s="664">
        <f>SUM(G1310:G1318)</f>
        <v>12184.75</v>
      </c>
      <c r="H1319" s="664">
        <f t="shared" ref="H1319:BO1319" si="557">SUM(H1310:H1318)</f>
        <v>78452.977287775269</v>
      </c>
      <c r="I1319" s="664">
        <f t="shared" si="557"/>
        <v>56608.24</v>
      </c>
      <c r="J1319" s="664">
        <f t="shared" si="557"/>
        <v>23152.917231087551</v>
      </c>
      <c r="K1319" s="664">
        <f t="shared" si="557"/>
        <v>33478.371890806287</v>
      </c>
      <c r="L1319" s="664">
        <f t="shared" si="557"/>
        <v>36854.440070128643</v>
      </c>
      <c r="M1319" s="664">
        <f t="shared" si="557"/>
        <v>59257.97654687037</v>
      </c>
      <c r="N1319" s="664">
        <f t="shared" si="557"/>
        <v>38346.469335525973</v>
      </c>
      <c r="O1319" s="664">
        <f t="shared" si="557"/>
        <v>21315.887968711497</v>
      </c>
      <c r="P1319" s="664">
        <f t="shared" si="557"/>
        <v>167154.292754138</v>
      </c>
      <c r="Q1319" s="664">
        <f t="shared" si="557"/>
        <v>73995.983192203857</v>
      </c>
      <c r="R1319" s="664">
        <f t="shared" si="557"/>
        <v>102742.19824682853</v>
      </c>
      <c r="S1319" s="680">
        <f t="shared" ref="S1319:AA1319" si="558">ROUND(SUM(S1309:S1318),5)</f>
        <v>8274.06</v>
      </c>
      <c r="T1319" s="680">
        <f t="shared" si="558"/>
        <v>5240.5</v>
      </c>
      <c r="U1319" s="680">
        <f t="shared" si="558"/>
        <v>4161.47</v>
      </c>
      <c r="V1319" s="680">
        <f t="shared" si="558"/>
        <v>8067.4</v>
      </c>
      <c r="W1319" s="680">
        <f t="shared" si="558"/>
        <v>11210.12</v>
      </c>
      <c r="X1319" s="680">
        <f t="shared" si="558"/>
        <v>49256.5</v>
      </c>
      <c r="Y1319" s="680">
        <f t="shared" si="558"/>
        <v>50794</v>
      </c>
      <c r="Z1319" s="680">
        <f t="shared" si="558"/>
        <v>30365.4</v>
      </c>
      <c r="AA1319" s="680">
        <f t="shared" si="558"/>
        <v>66155</v>
      </c>
      <c r="AB1319" s="680">
        <f t="shared" ref="AB1319:AG1319" si="559">ROUND(SUM(AB1309:AB1318),5)</f>
        <v>56580.15</v>
      </c>
      <c r="AC1319" s="680">
        <f t="shared" si="559"/>
        <v>43660.42</v>
      </c>
      <c r="AD1319" s="680">
        <f t="shared" si="559"/>
        <v>50513.27</v>
      </c>
      <c r="AE1319" s="680">
        <f t="shared" si="559"/>
        <v>47857.24</v>
      </c>
      <c r="AF1319" s="664">
        <f t="shared" si="559"/>
        <v>56583.8</v>
      </c>
      <c r="AG1319" s="680">
        <f t="shared" si="559"/>
        <v>33443.86</v>
      </c>
      <c r="AH1319" s="664">
        <f t="shared" si="557"/>
        <v>0</v>
      </c>
      <c r="AI1319" s="664">
        <f t="shared" si="557"/>
        <v>0</v>
      </c>
      <c r="AJ1319" s="664">
        <f t="shared" si="557"/>
        <v>0</v>
      </c>
      <c r="AK1319" s="664">
        <f t="shared" si="557"/>
        <v>0</v>
      </c>
      <c r="AL1319" s="664">
        <f t="shared" si="557"/>
        <v>0</v>
      </c>
      <c r="AM1319" s="664">
        <f t="shared" si="557"/>
        <v>0</v>
      </c>
      <c r="AN1319" s="664">
        <f t="shared" si="557"/>
        <v>0</v>
      </c>
      <c r="AO1319" s="664">
        <f t="shared" si="557"/>
        <v>0</v>
      </c>
      <c r="AP1319" s="664">
        <f t="shared" si="557"/>
        <v>0</v>
      </c>
      <c r="AQ1319" s="664">
        <f t="shared" si="557"/>
        <v>0</v>
      </c>
      <c r="AR1319" s="664">
        <f t="shared" si="557"/>
        <v>0</v>
      </c>
      <c r="AS1319" s="664">
        <f t="shared" si="557"/>
        <v>0</v>
      </c>
      <c r="AT1319" s="664">
        <f t="shared" si="557"/>
        <v>0</v>
      </c>
      <c r="AU1319" s="664">
        <f t="shared" si="557"/>
        <v>0</v>
      </c>
      <c r="AV1319" s="664">
        <f t="shared" si="557"/>
        <v>0</v>
      </c>
      <c r="AW1319" s="664">
        <f t="shared" si="557"/>
        <v>0</v>
      </c>
      <c r="AX1319" s="664">
        <f t="shared" si="557"/>
        <v>0</v>
      </c>
      <c r="AY1319" s="664">
        <f t="shared" si="557"/>
        <v>0</v>
      </c>
      <c r="AZ1319" s="664">
        <f t="shared" si="557"/>
        <v>0</v>
      </c>
      <c r="BA1319" s="664">
        <f t="shared" si="557"/>
        <v>0</v>
      </c>
      <c r="BB1319" s="664">
        <f t="shared" si="557"/>
        <v>0</v>
      </c>
      <c r="BC1319" s="664">
        <f t="shared" si="557"/>
        <v>0</v>
      </c>
      <c r="BD1319" s="664">
        <f t="shared" si="557"/>
        <v>0</v>
      </c>
      <c r="BE1319" s="664">
        <f t="shared" si="557"/>
        <v>0</v>
      </c>
      <c r="BF1319" s="664">
        <f t="shared" si="557"/>
        <v>0</v>
      </c>
      <c r="BG1319" s="664">
        <f t="shared" si="557"/>
        <v>0</v>
      </c>
      <c r="BH1319" s="664">
        <f t="shared" si="557"/>
        <v>0</v>
      </c>
      <c r="BI1319" s="664">
        <f t="shared" si="557"/>
        <v>0</v>
      </c>
      <c r="BJ1319" s="664">
        <f t="shared" si="557"/>
        <v>0</v>
      </c>
      <c r="BK1319" s="664">
        <f t="shared" si="557"/>
        <v>0</v>
      </c>
      <c r="BL1319" s="664">
        <f t="shared" si="557"/>
        <v>0</v>
      </c>
      <c r="BM1319" s="664">
        <f t="shared" si="557"/>
        <v>0</v>
      </c>
      <c r="BN1319" s="664">
        <f t="shared" si="557"/>
        <v>0</v>
      </c>
      <c r="BO1319" s="664">
        <f t="shared" si="557"/>
        <v>0</v>
      </c>
      <c r="BP1319" s="664">
        <f t="shared" ref="BP1319:CA1319" si="560">SUM(BP1310:BP1318)</f>
        <v>0</v>
      </c>
      <c r="BQ1319" s="664">
        <f t="shared" si="560"/>
        <v>0</v>
      </c>
      <c r="BR1319" s="664">
        <f t="shared" si="560"/>
        <v>0</v>
      </c>
      <c r="BS1319" s="664">
        <f t="shared" si="560"/>
        <v>0</v>
      </c>
      <c r="BT1319" s="664">
        <f t="shared" si="560"/>
        <v>0</v>
      </c>
      <c r="BU1319" s="664">
        <f t="shared" si="560"/>
        <v>0</v>
      </c>
      <c r="BV1319" s="664">
        <f t="shared" si="560"/>
        <v>0</v>
      </c>
      <c r="BW1319" s="664">
        <f t="shared" si="560"/>
        <v>0</v>
      </c>
      <c r="BX1319" s="664">
        <f t="shared" si="560"/>
        <v>0</v>
      </c>
      <c r="BY1319" s="664">
        <f t="shared" si="560"/>
        <v>0</v>
      </c>
      <c r="BZ1319" s="664">
        <f t="shared" si="560"/>
        <v>0</v>
      </c>
      <c r="CA1319" s="664">
        <f t="shared" si="560"/>
        <v>0</v>
      </c>
    </row>
    <row r="1320" spans="1:79" s="693" customFormat="1" hidden="1" outlineLevel="1" x14ac:dyDescent="0.25">
      <c r="A1320" s="691"/>
      <c r="E1320" s="570" t="s">
        <v>1340</v>
      </c>
      <c r="F1320" s="691" t="s">
        <v>623</v>
      </c>
      <c r="G1320" s="765"/>
      <c r="H1320" s="765"/>
      <c r="I1320" s="765"/>
      <c r="J1320" s="765"/>
      <c r="K1320" s="765"/>
      <c r="L1320" s="765"/>
      <c r="M1320" s="765"/>
      <c r="N1320" s="765"/>
      <c r="O1320" s="765"/>
      <c r="P1320" s="736"/>
      <c r="Q1320" s="736"/>
      <c r="R1320" s="762"/>
      <c r="S1320" s="708"/>
      <c r="T1320" s="708"/>
      <c r="U1320" s="708"/>
      <c r="V1320" s="708"/>
      <c r="W1320" s="708"/>
      <c r="X1320" s="708"/>
      <c r="Y1320" s="708"/>
      <c r="Z1320" s="708"/>
      <c r="AA1320" s="708"/>
      <c r="AB1320" s="708"/>
      <c r="AC1320" s="708"/>
      <c r="AD1320" s="708"/>
      <c r="AE1320" s="708"/>
      <c r="AF1320" s="734"/>
      <c r="AG1320" s="708"/>
      <c r="AH1320" s="735"/>
      <c r="AI1320" s="735"/>
      <c r="AJ1320" s="735"/>
      <c r="AK1320" s="735"/>
      <c r="AL1320" s="735"/>
      <c r="AM1320" s="735"/>
      <c r="AN1320" s="735"/>
      <c r="AO1320" s="735"/>
      <c r="AP1320" s="735"/>
      <c r="AQ1320" s="735"/>
      <c r="AR1320" s="735"/>
      <c r="AS1320" s="735"/>
      <c r="AT1320" s="735"/>
      <c r="AU1320" s="735"/>
      <c r="AV1320" s="735"/>
      <c r="AW1320" s="735"/>
      <c r="AX1320" s="735"/>
      <c r="AY1320" s="735"/>
      <c r="AZ1320" s="735"/>
      <c r="BA1320" s="735"/>
      <c r="BB1320" s="735"/>
      <c r="BC1320" s="735"/>
      <c r="BD1320" s="735"/>
      <c r="BE1320" s="735"/>
      <c r="BF1320" s="735"/>
      <c r="BG1320" s="735"/>
      <c r="BH1320" s="735"/>
      <c r="BI1320" s="735"/>
      <c r="BJ1320" s="735"/>
      <c r="BK1320" s="735"/>
      <c r="BL1320" s="735"/>
      <c r="BM1320" s="735"/>
      <c r="BN1320" s="735"/>
      <c r="BO1320" s="735"/>
      <c r="BP1320" s="735"/>
      <c r="BQ1320" s="735"/>
      <c r="BR1320" s="735"/>
      <c r="BS1320" s="735"/>
      <c r="BT1320" s="735"/>
      <c r="BU1320" s="735"/>
      <c r="BV1320" s="735"/>
      <c r="BW1320" s="735"/>
      <c r="BX1320" s="735"/>
      <c r="BY1320" s="735"/>
      <c r="BZ1320" s="735"/>
      <c r="CA1320" s="735"/>
    </row>
    <row r="1321" spans="1:79" s="308" customFormat="1" hidden="1" outlineLevel="1" x14ac:dyDescent="0.25">
      <c r="A1321" s="656"/>
      <c r="B1321" s="710"/>
      <c r="C1321" s="710"/>
      <c r="D1321" s="710"/>
      <c r="E1321" s="570" t="s">
        <v>1340</v>
      </c>
      <c r="F1321" s="656" t="s">
        <v>916</v>
      </c>
      <c r="G1321" s="683"/>
      <c r="H1321" s="683"/>
      <c r="I1321" s="683"/>
      <c r="J1321" s="683"/>
      <c r="K1321" s="683"/>
      <c r="L1321" s="683"/>
      <c r="M1321" s="683"/>
      <c r="N1321" s="683"/>
      <c r="O1321" s="683"/>
      <c r="P1321" s="683"/>
      <c r="Q1321" s="683"/>
      <c r="R1321" s="683"/>
      <c r="S1321" s="684"/>
      <c r="T1321" s="684"/>
      <c r="U1321" s="684"/>
      <c r="V1321" s="684"/>
      <c r="W1321" s="684"/>
      <c r="X1321" s="684"/>
      <c r="Y1321" s="684"/>
      <c r="Z1321" s="684"/>
      <c r="AA1321" s="684"/>
      <c r="AB1321" s="684">
        <v>211.5</v>
      </c>
      <c r="AC1321" s="683">
        <v>-70.5</v>
      </c>
      <c r="AD1321" s="683">
        <v>-224.9</v>
      </c>
      <c r="AE1321" s="684">
        <v>98.47</v>
      </c>
      <c r="AF1321" s="683">
        <v>98.47</v>
      </c>
      <c r="AG1321" s="683">
        <v>98.47</v>
      </c>
      <c r="AH1321" s="684"/>
      <c r="AI1321" s="684"/>
      <c r="AJ1321" s="684"/>
      <c r="AK1321" s="684"/>
      <c r="AL1321" s="684"/>
      <c r="AM1321" s="684"/>
      <c r="AN1321" s="684"/>
      <c r="AO1321" s="684"/>
      <c r="AP1321" s="684"/>
      <c r="AQ1321" s="684"/>
      <c r="AR1321" s="684"/>
      <c r="AS1321" s="684"/>
      <c r="AT1321" s="684"/>
      <c r="AU1321" s="684"/>
      <c r="AV1321" s="684"/>
      <c r="AW1321" s="684"/>
      <c r="AX1321" s="684"/>
      <c r="AY1321" s="684"/>
      <c r="AZ1321" s="684"/>
      <c r="BA1321" s="684"/>
      <c r="BB1321" s="684"/>
      <c r="BC1321" s="684"/>
      <c r="BD1321" s="684"/>
      <c r="BE1321" s="684"/>
      <c r="BF1321" s="684"/>
      <c r="BG1321" s="684"/>
      <c r="BH1321" s="684"/>
      <c r="BI1321" s="684"/>
      <c r="BJ1321" s="684"/>
      <c r="BK1321" s="684"/>
      <c r="BL1321" s="684"/>
      <c r="BM1321" s="684"/>
      <c r="BN1321" s="684"/>
      <c r="BO1321" s="684"/>
      <c r="BP1321" s="684"/>
      <c r="BQ1321" s="684"/>
      <c r="BR1321" s="684"/>
      <c r="BS1321" s="684"/>
      <c r="BT1321" s="684"/>
      <c r="BU1321" s="684"/>
      <c r="BV1321" s="684"/>
      <c r="BW1321" s="684"/>
      <c r="BX1321" s="684"/>
      <c r="BY1321" s="684"/>
      <c r="BZ1321" s="684"/>
      <c r="CA1321" s="684"/>
    </row>
    <row r="1322" spans="1:79" hidden="1" outlineLevel="1" x14ac:dyDescent="0.25">
      <c r="A1322" s="656"/>
      <c r="B1322" s="79"/>
      <c r="C1322" s="79"/>
      <c r="D1322" s="79"/>
      <c r="E1322" s="570" t="s">
        <v>1340</v>
      </c>
      <c r="F1322" s="656" t="s">
        <v>667</v>
      </c>
      <c r="G1322" s="719">
        <v>940</v>
      </c>
      <c r="H1322" s="719">
        <v>940</v>
      </c>
      <c r="I1322" s="719">
        <v>940</v>
      </c>
      <c r="J1322" s="719">
        <v>940</v>
      </c>
      <c r="K1322" s="719">
        <v>960</v>
      </c>
      <c r="L1322" s="719">
        <v>940</v>
      </c>
      <c r="M1322" s="719">
        <v>1425</v>
      </c>
      <c r="N1322" s="719">
        <v>940</v>
      </c>
      <c r="O1322" s="719">
        <v>969.4</v>
      </c>
      <c r="P1322" s="716">
        <v>1121</v>
      </c>
      <c r="Q1322" s="716">
        <v>1000</v>
      </c>
      <c r="R1322" s="720">
        <v>1269.99</v>
      </c>
      <c r="S1322" s="684">
        <v>775</v>
      </c>
      <c r="T1322" s="684">
        <v>1067.8800000000001</v>
      </c>
      <c r="U1322" s="684">
        <v>1387.97</v>
      </c>
      <c r="V1322" s="684">
        <v>1307.5</v>
      </c>
      <c r="W1322" s="684">
        <v>887.5</v>
      </c>
      <c r="X1322" s="684">
        <v>1448.25</v>
      </c>
      <c r="Y1322" s="684">
        <v>987.5</v>
      </c>
      <c r="Z1322" s="684">
        <v>1394</v>
      </c>
      <c r="AA1322" s="684">
        <v>1247.75</v>
      </c>
      <c r="AB1322" s="684">
        <v>3158.25</v>
      </c>
      <c r="AC1322" s="683">
        <v>3203.25</v>
      </c>
      <c r="AD1322" s="683">
        <v>3158.55</v>
      </c>
      <c r="AE1322" s="684">
        <v>2413.25</v>
      </c>
      <c r="AF1322" s="716">
        <v>3123.25</v>
      </c>
      <c r="AG1322" s="683">
        <v>3123.25</v>
      </c>
      <c r="AH1322" s="720"/>
      <c r="AI1322" s="720"/>
      <c r="AJ1322" s="720"/>
      <c r="AK1322" s="720"/>
      <c r="AL1322" s="720"/>
      <c r="AM1322" s="720"/>
      <c r="AN1322" s="720"/>
      <c r="AO1322" s="720"/>
      <c r="AP1322" s="720"/>
      <c r="AQ1322" s="720"/>
      <c r="AR1322" s="720"/>
      <c r="AS1322" s="720"/>
      <c r="AT1322" s="720"/>
      <c r="AU1322" s="720"/>
      <c r="AV1322" s="720"/>
      <c r="AW1322" s="720"/>
      <c r="AX1322" s="720"/>
      <c r="AY1322" s="720"/>
      <c r="AZ1322" s="720"/>
      <c r="BA1322" s="720"/>
      <c r="BB1322" s="720"/>
      <c r="BC1322" s="720"/>
      <c r="BD1322" s="720"/>
      <c r="BE1322" s="720"/>
      <c r="BF1322" s="720"/>
      <c r="BG1322" s="720"/>
      <c r="BH1322" s="720"/>
      <c r="BI1322" s="720"/>
      <c r="BJ1322" s="720"/>
      <c r="BK1322" s="720"/>
      <c r="BL1322" s="720"/>
      <c r="BM1322" s="720"/>
      <c r="BN1322" s="720"/>
      <c r="BO1322" s="720"/>
      <c r="BP1322" s="720"/>
      <c r="BQ1322" s="720"/>
      <c r="BR1322" s="720"/>
      <c r="BS1322" s="720"/>
      <c r="BT1322" s="720"/>
      <c r="BU1322" s="720"/>
      <c r="BV1322" s="720"/>
      <c r="BW1322" s="720"/>
      <c r="BX1322" s="720"/>
      <c r="BY1322" s="720"/>
      <c r="BZ1322" s="720"/>
      <c r="CA1322" s="720"/>
    </row>
    <row r="1323" spans="1:79" hidden="1" outlineLevel="1" x14ac:dyDescent="0.25">
      <c r="A1323" s="656"/>
      <c r="B1323" s="576"/>
      <c r="C1323" s="576"/>
      <c r="D1323" s="576"/>
      <c r="E1323" s="570" t="s">
        <v>1340</v>
      </c>
      <c r="F1323" s="656" t="s">
        <v>762</v>
      </c>
      <c r="G1323" s="719"/>
      <c r="H1323" s="719"/>
      <c r="I1323" s="719"/>
      <c r="J1323" s="719"/>
      <c r="K1323" s="719"/>
      <c r="L1323" s="719"/>
      <c r="M1323" s="719"/>
      <c r="N1323" s="719"/>
      <c r="O1323" s="719"/>
      <c r="P1323" s="716"/>
      <c r="Q1323" s="716"/>
      <c r="R1323" s="720"/>
      <c r="S1323" s="684">
        <v>0</v>
      </c>
      <c r="T1323" s="684">
        <v>0</v>
      </c>
      <c r="U1323" s="684">
        <v>0</v>
      </c>
      <c r="V1323" s="684">
        <v>0</v>
      </c>
      <c r="W1323" s="684">
        <v>14544.6</v>
      </c>
      <c r="X1323" s="684">
        <v>14525.03</v>
      </c>
      <c r="Y1323" s="684">
        <v>15125.03</v>
      </c>
      <c r="Z1323" s="684">
        <v>14525.03</v>
      </c>
      <c r="AA1323" s="684">
        <v>14525.03</v>
      </c>
      <c r="AB1323" s="684">
        <v>44339.44</v>
      </c>
      <c r="AC1323" s="683">
        <v>45166.23</v>
      </c>
      <c r="AD1323" s="683">
        <v>27511.41</v>
      </c>
      <c r="AE1323" s="684">
        <v>45284.97</v>
      </c>
      <c r="AF1323" s="716">
        <v>46348.37</v>
      </c>
      <c r="AG1323" s="683">
        <v>46348.52</v>
      </c>
      <c r="AH1323" s="720"/>
      <c r="AI1323" s="720"/>
      <c r="AJ1323" s="720"/>
      <c r="AK1323" s="720"/>
      <c r="AL1323" s="720"/>
      <c r="AM1323" s="720"/>
      <c r="AN1323" s="720"/>
      <c r="AO1323" s="720"/>
      <c r="AP1323" s="720"/>
      <c r="AQ1323" s="720"/>
      <c r="AR1323" s="720"/>
      <c r="AS1323" s="720"/>
      <c r="AT1323" s="720"/>
      <c r="AU1323" s="720"/>
      <c r="AV1323" s="720"/>
      <c r="AW1323" s="720"/>
      <c r="AX1323" s="720"/>
      <c r="AY1323" s="720"/>
      <c r="AZ1323" s="720"/>
      <c r="BA1323" s="720"/>
      <c r="BB1323" s="720"/>
      <c r="BC1323" s="720"/>
      <c r="BD1323" s="720"/>
      <c r="BE1323" s="720"/>
      <c r="BF1323" s="720"/>
      <c r="BG1323" s="720"/>
      <c r="BH1323" s="720"/>
      <c r="BI1323" s="720"/>
      <c r="BJ1323" s="720"/>
      <c r="BK1323" s="720"/>
      <c r="BL1323" s="720"/>
      <c r="BM1323" s="720"/>
      <c r="BN1323" s="720"/>
      <c r="BO1323" s="720"/>
      <c r="BP1323" s="720"/>
      <c r="BQ1323" s="720"/>
      <c r="BR1323" s="720"/>
      <c r="BS1323" s="720"/>
      <c r="BT1323" s="720"/>
      <c r="BU1323" s="720"/>
      <c r="BV1323" s="720"/>
      <c r="BW1323" s="720"/>
      <c r="BX1323" s="720"/>
      <c r="BY1323" s="720"/>
      <c r="BZ1323" s="720"/>
      <c r="CA1323" s="720"/>
    </row>
    <row r="1324" spans="1:79" hidden="1" outlineLevel="1" x14ac:dyDescent="0.25">
      <c r="A1324" s="656"/>
      <c r="B1324" s="79"/>
      <c r="C1324" s="79"/>
      <c r="D1324" s="79"/>
      <c r="E1324" s="570" t="s">
        <v>338</v>
      </c>
      <c r="F1324" s="656" t="s">
        <v>624</v>
      </c>
      <c r="G1324" s="719">
        <v>1225</v>
      </c>
      <c r="H1324" s="719">
        <v>1885</v>
      </c>
      <c r="I1324" s="719">
        <v>1969</v>
      </c>
      <c r="J1324" s="719">
        <v>1885</v>
      </c>
      <c r="K1324" s="719">
        <v>1891</v>
      </c>
      <c r="L1324" s="719">
        <v>1900.5</v>
      </c>
      <c r="M1324" s="719">
        <v>1885</v>
      </c>
      <c r="N1324" s="719">
        <v>2598</v>
      </c>
      <c r="O1324" s="719">
        <v>3173</v>
      </c>
      <c r="P1324" s="716">
        <v>3140</v>
      </c>
      <c r="Q1324" s="716">
        <v>3213.5</v>
      </c>
      <c r="R1324" s="720">
        <v>3198.5</v>
      </c>
      <c r="S1324" s="684">
        <v>3764</v>
      </c>
      <c r="T1324" s="684">
        <v>3710</v>
      </c>
      <c r="U1324" s="684">
        <v>3750</v>
      </c>
      <c r="V1324" s="684">
        <v>3124</v>
      </c>
      <c r="W1324" s="684">
        <v>4263</v>
      </c>
      <c r="X1324" s="684">
        <v>3809</v>
      </c>
      <c r="Y1324" s="684">
        <v>3135</v>
      </c>
      <c r="Z1324" s="684">
        <v>4120</v>
      </c>
      <c r="AA1324" s="684">
        <v>3795</v>
      </c>
      <c r="AB1324" s="684">
        <v>4950.41</v>
      </c>
      <c r="AC1324" s="666">
        <v>4031</v>
      </c>
      <c r="AD1324" s="666">
        <v>4192.5</v>
      </c>
      <c r="AE1324" s="684">
        <v>4561</v>
      </c>
      <c r="AF1324" s="716">
        <v>4850.5</v>
      </c>
      <c r="AG1324" s="666">
        <v>3945</v>
      </c>
      <c r="AH1324" s="720"/>
      <c r="AI1324" s="720"/>
      <c r="AJ1324" s="720"/>
      <c r="AK1324" s="720"/>
      <c r="AL1324" s="720"/>
      <c r="AM1324" s="720"/>
      <c r="AN1324" s="720"/>
      <c r="AO1324" s="720"/>
      <c r="AP1324" s="720"/>
      <c r="AQ1324" s="720"/>
      <c r="AR1324" s="720"/>
      <c r="AS1324" s="720"/>
      <c r="AT1324" s="720"/>
      <c r="AU1324" s="720"/>
      <c r="AV1324" s="720"/>
      <c r="AW1324" s="720"/>
      <c r="AX1324" s="720"/>
      <c r="AY1324" s="720"/>
      <c r="AZ1324" s="720"/>
      <c r="BA1324" s="720"/>
      <c r="BB1324" s="720"/>
      <c r="BC1324" s="720"/>
      <c r="BD1324" s="720"/>
      <c r="BE1324" s="720"/>
      <c r="BF1324" s="720"/>
      <c r="BG1324" s="720"/>
      <c r="BH1324" s="720"/>
      <c r="BI1324" s="720"/>
      <c r="BJ1324" s="720"/>
      <c r="BK1324" s="720"/>
      <c r="BL1324" s="720"/>
      <c r="BM1324" s="720"/>
      <c r="BN1324" s="720"/>
      <c r="BO1324" s="720"/>
      <c r="BP1324" s="720"/>
      <c r="BQ1324" s="720"/>
      <c r="BR1324" s="720"/>
      <c r="BS1324" s="720"/>
      <c r="BT1324" s="720"/>
      <c r="BU1324" s="720"/>
      <c r="BV1324" s="720"/>
      <c r="BW1324" s="720"/>
      <c r="BX1324" s="720"/>
      <c r="BY1324" s="720"/>
      <c r="BZ1324" s="720"/>
      <c r="CA1324" s="720"/>
    </row>
    <row r="1325" spans="1:79" hidden="1" outlineLevel="1" x14ac:dyDescent="0.25">
      <c r="A1325" s="656"/>
      <c r="B1325" s="79"/>
      <c r="C1325" s="79"/>
      <c r="D1325" s="79"/>
      <c r="E1325" s="570" t="s">
        <v>1335</v>
      </c>
      <c r="F1325" s="656" t="s">
        <v>651</v>
      </c>
      <c r="G1325" s="719"/>
      <c r="H1325" s="719"/>
      <c r="I1325" s="719"/>
      <c r="J1325" s="719"/>
      <c r="K1325" s="719"/>
      <c r="L1325" s="719"/>
      <c r="M1325" s="719">
        <v>8760.1</v>
      </c>
      <c r="N1325" s="719">
        <v>0</v>
      </c>
      <c r="O1325" s="719"/>
      <c r="P1325" s="716"/>
      <c r="Q1325" s="716"/>
      <c r="R1325" s="720"/>
      <c r="S1325" s="684">
        <v>21</v>
      </c>
      <c r="T1325" s="684">
        <v>21</v>
      </c>
      <c r="U1325" s="684">
        <v>0</v>
      </c>
      <c r="V1325" s="684">
        <v>21</v>
      </c>
      <c r="W1325" s="684">
        <v>21</v>
      </c>
      <c r="X1325" s="684">
        <v>5980.51</v>
      </c>
      <c r="Y1325" s="684">
        <v>747.29</v>
      </c>
      <c r="Z1325" s="684">
        <v>747.28</v>
      </c>
      <c r="AA1325" s="684">
        <v>747.29</v>
      </c>
      <c r="AB1325" s="684">
        <v>747.28</v>
      </c>
      <c r="AC1325" s="666">
        <v>763.31</v>
      </c>
      <c r="AD1325" s="666">
        <v>755.3</v>
      </c>
      <c r="AE1325" s="684">
        <v>1555.29</v>
      </c>
      <c r="AF1325" s="716">
        <v>1555.3</v>
      </c>
      <c r="AG1325" s="666">
        <v>1555.29</v>
      </c>
      <c r="AH1325" s="720"/>
      <c r="AI1325" s="720"/>
      <c r="AJ1325" s="720"/>
      <c r="AK1325" s="720"/>
      <c r="AL1325" s="720"/>
      <c r="AM1325" s="720"/>
      <c r="AN1325" s="720"/>
      <c r="AO1325" s="720"/>
      <c r="AP1325" s="720"/>
      <c r="AQ1325" s="720"/>
      <c r="AR1325" s="720"/>
      <c r="AS1325" s="720"/>
      <c r="AT1325" s="720"/>
      <c r="AU1325" s="720"/>
      <c r="AV1325" s="720"/>
      <c r="AW1325" s="720"/>
      <c r="AX1325" s="720"/>
      <c r="AY1325" s="720"/>
      <c r="AZ1325" s="720"/>
      <c r="BA1325" s="720"/>
      <c r="BB1325" s="720"/>
      <c r="BC1325" s="720"/>
      <c r="BD1325" s="720"/>
      <c r="BE1325" s="720"/>
      <c r="BF1325" s="720"/>
      <c r="BG1325" s="720"/>
      <c r="BH1325" s="720"/>
      <c r="BI1325" s="720"/>
      <c r="BJ1325" s="720"/>
      <c r="BK1325" s="720"/>
      <c r="BL1325" s="720"/>
      <c r="BM1325" s="720"/>
      <c r="BN1325" s="720"/>
      <c r="BO1325" s="720"/>
      <c r="BP1325" s="720"/>
      <c r="BQ1325" s="720"/>
      <c r="BR1325" s="720"/>
      <c r="BS1325" s="720"/>
      <c r="BT1325" s="720"/>
      <c r="BU1325" s="720"/>
      <c r="BV1325" s="720"/>
      <c r="BW1325" s="720"/>
      <c r="BX1325" s="720"/>
      <c r="BY1325" s="720"/>
      <c r="BZ1325" s="720"/>
      <c r="CA1325" s="720"/>
    </row>
    <row r="1326" spans="1:79" hidden="1" outlineLevel="1" x14ac:dyDescent="0.25">
      <c r="A1326" s="656"/>
      <c r="B1326" s="79"/>
      <c r="C1326" s="79"/>
      <c r="D1326" s="79"/>
      <c r="E1326" s="570" t="s">
        <v>1340</v>
      </c>
      <c r="F1326" s="656" t="s">
        <v>668</v>
      </c>
      <c r="G1326" s="719">
        <v>13082</v>
      </c>
      <c r="H1326" s="719">
        <v>13082</v>
      </c>
      <c r="I1326" s="719">
        <v>13082</v>
      </c>
      <c r="J1326" s="719">
        <v>13082</v>
      </c>
      <c r="K1326" s="719">
        <v>13082</v>
      </c>
      <c r="L1326" s="719">
        <v>13603</v>
      </c>
      <c r="M1326" s="719">
        <v>13603</v>
      </c>
      <c r="N1326" s="719">
        <v>13603</v>
      </c>
      <c r="O1326" s="719">
        <v>13603</v>
      </c>
      <c r="P1326" s="716">
        <v>13744</v>
      </c>
      <c r="Q1326" s="716">
        <v>13744</v>
      </c>
      <c r="R1326" s="720">
        <v>13744</v>
      </c>
      <c r="S1326" s="684">
        <v>14235.93</v>
      </c>
      <c r="T1326" s="684">
        <v>14235.93</v>
      </c>
      <c r="U1326" s="684">
        <v>14235.93</v>
      </c>
      <c r="V1326" s="684">
        <v>15392.33</v>
      </c>
      <c r="W1326" s="684">
        <v>0</v>
      </c>
      <c r="X1326" s="684">
        <v>0</v>
      </c>
      <c r="Y1326" s="684">
        <v>0</v>
      </c>
      <c r="Z1326" s="684">
        <v>0</v>
      </c>
      <c r="AA1326" s="684">
        <v>0</v>
      </c>
      <c r="AB1326" s="684">
        <v>37221</v>
      </c>
      <c r="AC1326" s="666">
        <v>-37221</v>
      </c>
      <c r="AD1326" s="666">
        <v>0</v>
      </c>
      <c r="AE1326" s="684">
        <v>0</v>
      </c>
      <c r="AF1326" s="716">
        <v>0</v>
      </c>
      <c r="AG1326" s="666">
        <v>0</v>
      </c>
      <c r="AH1326" s="720"/>
      <c r="AI1326" s="720"/>
      <c r="AJ1326" s="720"/>
      <c r="AK1326" s="720"/>
      <c r="AL1326" s="720"/>
      <c r="AM1326" s="720"/>
      <c r="AN1326" s="720"/>
      <c r="AO1326" s="720"/>
      <c r="AP1326" s="720"/>
      <c r="AQ1326" s="720"/>
      <c r="AR1326" s="720"/>
      <c r="AS1326" s="720"/>
      <c r="AT1326" s="720"/>
      <c r="AU1326" s="720"/>
      <c r="AV1326" s="720"/>
      <c r="AW1326" s="720"/>
      <c r="AX1326" s="720"/>
      <c r="AY1326" s="720"/>
      <c r="AZ1326" s="720"/>
      <c r="BA1326" s="720"/>
      <c r="BB1326" s="720"/>
      <c r="BC1326" s="720"/>
      <c r="BD1326" s="720"/>
      <c r="BE1326" s="720"/>
      <c r="BF1326" s="720"/>
      <c r="BG1326" s="720"/>
      <c r="BH1326" s="720"/>
      <c r="BI1326" s="720"/>
      <c r="BJ1326" s="720"/>
      <c r="BK1326" s="720"/>
      <c r="BL1326" s="720"/>
      <c r="BM1326" s="720"/>
      <c r="BN1326" s="720"/>
      <c r="BO1326" s="720"/>
      <c r="BP1326" s="720"/>
      <c r="BQ1326" s="720"/>
      <c r="BR1326" s="720"/>
      <c r="BS1326" s="720"/>
      <c r="BT1326" s="720"/>
      <c r="BU1326" s="720"/>
      <c r="BV1326" s="720"/>
      <c r="BW1326" s="720"/>
      <c r="BX1326" s="720"/>
      <c r="BY1326" s="720"/>
      <c r="BZ1326" s="720"/>
      <c r="CA1326" s="720"/>
    </row>
    <row r="1327" spans="1:79" hidden="1" outlineLevel="1" x14ac:dyDescent="0.25">
      <c r="A1327" s="657"/>
      <c r="B1327" s="29"/>
      <c r="C1327" s="29"/>
      <c r="D1327" s="29"/>
      <c r="E1327" s="570" t="s">
        <v>49</v>
      </c>
      <c r="F1327" s="657" t="s">
        <v>625</v>
      </c>
      <c r="G1327" s="664">
        <f>SUM(G1322:G1326)</f>
        <v>15247</v>
      </c>
      <c r="H1327" s="664">
        <f t="shared" ref="H1327:BO1327" si="561">SUM(H1322:H1326)</f>
        <v>15907</v>
      </c>
      <c r="I1327" s="664">
        <f t="shared" si="561"/>
        <v>15991</v>
      </c>
      <c r="J1327" s="664">
        <f t="shared" si="561"/>
        <v>15907</v>
      </c>
      <c r="K1327" s="664">
        <f t="shared" si="561"/>
        <v>15933</v>
      </c>
      <c r="L1327" s="664">
        <f t="shared" si="561"/>
        <v>16443.5</v>
      </c>
      <c r="M1327" s="664">
        <f t="shared" si="561"/>
        <v>25673.1</v>
      </c>
      <c r="N1327" s="664">
        <f t="shared" si="561"/>
        <v>17141</v>
      </c>
      <c r="O1327" s="664">
        <f t="shared" si="561"/>
        <v>17745.400000000001</v>
      </c>
      <c r="P1327" s="664">
        <f t="shared" si="561"/>
        <v>18005</v>
      </c>
      <c r="Q1327" s="664">
        <f t="shared" si="561"/>
        <v>17957.5</v>
      </c>
      <c r="R1327" s="664">
        <f t="shared" si="561"/>
        <v>18212.489999999998</v>
      </c>
      <c r="S1327" s="680">
        <f t="shared" ref="S1327:AA1327" si="562">ROUND(SUM(S1320:S1326),5)</f>
        <v>18795.93</v>
      </c>
      <c r="T1327" s="680">
        <f t="shared" si="562"/>
        <v>19034.810000000001</v>
      </c>
      <c r="U1327" s="680">
        <f t="shared" si="562"/>
        <v>19373.900000000001</v>
      </c>
      <c r="V1327" s="680">
        <f t="shared" si="562"/>
        <v>19844.830000000002</v>
      </c>
      <c r="W1327" s="680">
        <f t="shared" si="562"/>
        <v>19716.099999999999</v>
      </c>
      <c r="X1327" s="680">
        <f t="shared" si="562"/>
        <v>25762.79</v>
      </c>
      <c r="Y1327" s="680">
        <f t="shared" si="562"/>
        <v>19994.82</v>
      </c>
      <c r="Z1327" s="680">
        <f t="shared" si="562"/>
        <v>20786.310000000001</v>
      </c>
      <c r="AA1327" s="680">
        <f t="shared" si="562"/>
        <v>20315.07</v>
      </c>
      <c r="AB1327" s="680">
        <f t="shared" ref="AB1327:AG1327" si="563">ROUND(SUM(AB1320:AB1326),5)</f>
        <v>90627.88</v>
      </c>
      <c r="AC1327" s="680">
        <f t="shared" si="563"/>
        <v>15872.29</v>
      </c>
      <c r="AD1327" s="680">
        <f t="shared" si="563"/>
        <v>35392.86</v>
      </c>
      <c r="AE1327" s="680">
        <f t="shared" si="563"/>
        <v>53912.98</v>
      </c>
      <c r="AF1327" s="664">
        <f t="shared" si="563"/>
        <v>55975.89</v>
      </c>
      <c r="AG1327" s="680">
        <f t="shared" si="563"/>
        <v>55070.53</v>
      </c>
      <c r="AH1327" s="664">
        <f t="shared" si="561"/>
        <v>0</v>
      </c>
      <c r="AI1327" s="664">
        <f t="shared" si="561"/>
        <v>0</v>
      </c>
      <c r="AJ1327" s="664">
        <f t="shared" si="561"/>
        <v>0</v>
      </c>
      <c r="AK1327" s="664">
        <f t="shared" si="561"/>
        <v>0</v>
      </c>
      <c r="AL1327" s="664">
        <f t="shared" si="561"/>
        <v>0</v>
      </c>
      <c r="AM1327" s="664">
        <f t="shared" si="561"/>
        <v>0</v>
      </c>
      <c r="AN1327" s="664">
        <f t="shared" si="561"/>
        <v>0</v>
      </c>
      <c r="AO1327" s="664">
        <f t="shared" si="561"/>
        <v>0</v>
      </c>
      <c r="AP1327" s="664">
        <f t="shared" si="561"/>
        <v>0</v>
      </c>
      <c r="AQ1327" s="664">
        <f t="shared" si="561"/>
        <v>0</v>
      </c>
      <c r="AR1327" s="664">
        <f t="shared" si="561"/>
        <v>0</v>
      </c>
      <c r="AS1327" s="664">
        <f t="shared" si="561"/>
        <v>0</v>
      </c>
      <c r="AT1327" s="664">
        <f t="shared" si="561"/>
        <v>0</v>
      </c>
      <c r="AU1327" s="664">
        <f t="shared" si="561"/>
        <v>0</v>
      </c>
      <c r="AV1327" s="664">
        <f t="shared" si="561"/>
        <v>0</v>
      </c>
      <c r="AW1327" s="664">
        <f t="shared" si="561"/>
        <v>0</v>
      </c>
      <c r="AX1327" s="664">
        <f t="shared" si="561"/>
        <v>0</v>
      </c>
      <c r="AY1327" s="664">
        <f t="shared" si="561"/>
        <v>0</v>
      </c>
      <c r="AZ1327" s="664">
        <f t="shared" si="561"/>
        <v>0</v>
      </c>
      <c r="BA1327" s="664">
        <f t="shared" si="561"/>
        <v>0</v>
      </c>
      <c r="BB1327" s="664">
        <f t="shared" si="561"/>
        <v>0</v>
      </c>
      <c r="BC1327" s="664">
        <f t="shared" si="561"/>
        <v>0</v>
      </c>
      <c r="BD1327" s="664">
        <f t="shared" si="561"/>
        <v>0</v>
      </c>
      <c r="BE1327" s="664">
        <f t="shared" si="561"/>
        <v>0</v>
      </c>
      <c r="BF1327" s="664">
        <f t="shared" si="561"/>
        <v>0</v>
      </c>
      <c r="BG1327" s="664">
        <f t="shared" si="561"/>
        <v>0</v>
      </c>
      <c r="BH1327" s="664">
        <f t="shared" si="561"/>
        <v>0</v>
      </c>
      <c r="BI1327" s="664">
        <f t="shared" si="561"/>
        <v>0</v>
      </c>
      <c r="BJ1327" s="664">
        <f t="shared" si="561"/>
        <v>0</v>
      </c>
      <c r="BK1327" s="664">
        <f t="shared" si="561"/>
        <v>0</v>
      </c>
      <c r="BL1327" s="664">
        <f t="shared" si="561"/>
        <v>0</v>
      </c>
      <c r="BM1327" s="664">
        <f t="shared" si="561"/>
        <v>0</v>
      </c>
      <c r="BN1327" s="664">
        <f t="shared" si="561"/>
        <v>0</v>
      </c>
      <c r="BO1327" s="664">
        <f t="shared" si="561"/>
        <v>0</v>
      </c>
      <c r="BP1327" s="664">
        <f t="shared" ref="BP1327:CA1327" si="564">SUM(BP1322:BP1326)</f>
        <v>0</v>
      </c>
      <c r="BQ1327" s="664">
        <f t="shared" si="564"/>
        <v>0</v>
      </c>
      <c r="BR1327" s="664">
        <f t="shared" si="564"/>
        <v>0</v>
      </c>
      <c r="BS1327" s="664">
        <f t="shared" si="564"/>
        <v>0</v>
      </c>
      <c r="BT1327" s="664">
        <f t="shared" si="564"/>
        <v>0</v>
      </c>
      <c r="BU1327" s="664">
        <f t="shared" si="564"/>
        <v>0</v>
      </c>
      <c r="BV1327" s="664">
        <f t="shared" si="564"/>
        <v>0</v>
      </c>
      <c r="BW1327" s="664">
        <f t="shared" si="564"/>
        <v>0</v>
      </c>
      <c r="BX1327" s="664">
        <f t="shared" si="564"/>
        <v>0</v>
      </c>
      <c r="BY1327" s="664">
        <f t="shared" si="564"/>
        <v>0</v>
      </c>
      <c r="BZ1327" s="664">
        <f t="shared" si="564"/>
        <v>0</v>
      </c>
      <c r="CA1327" s="664">
        <f t="shared" si="564"/>
        <v>0</v>
      </c>
    </row>
    <row r="1328" spans="1:79" s="710" customFormat="1" hidden="1" outlineLevel="1" x14ac:dyDescent="0.25">
      <c r="A1328" s="691"/>
      <c r="B1328" s="737"/>
      <c r="C1328" s="737"/>
      <c r="D1328" s="737"/>
      <c r="E1328" s="570" t="s">
        <v>1342</v>
      </c>
      <c r="F1328" s="691" t="s">
        <v>669</v>
      </c>
      <c r="G1328" s="765"/>
      <c r="H1328" s="765"/>
      <c r="I1328" s="765"/>
      <c r="J1328" s="765"/>
      <c r="K1328" s="765"/>
      <c r="L1328" s="765"/>
      <c r="M1328" s="765"/>
      <c r="N1328" s="765"/>
      <c r="O1328" s="765"/>
      <c r="P1328" s="736"/>
      <c r="Q1328" s="736"/>
      <c r="R1328" s="762"/>
      <c r="S1328" s="708"/>
      <c r="T1328" s="708"/>
      <c r="U1328" s="708"/>
      <c r="V1328" s="708"/>
      <c r="W1328" s="708"/>
      <c r="X1328" s="708"/>
      <c r="Y1328" s="708"/>
      <c r="Z1328" s="708"/>
      <c r="AA1328" s="708"/>
      <c r="AB1328" s="708"/>
      <c r="AC1328" s="704"/>
      <c r="AD1328" s="704"/>
      <c r="AE1328" s="708"/>
      <c r="AF1328" s="734"/>
      <c r="AG1328" s="704"/>
      <c r="AH1328" s="735"/>
      <c r="AI1328" s="735"/>
      <c r="AJ1328" s="735"/>
      <c r="AK1328" s="735"/>
      <c r="AL1328" s="735"/>
      <c r="AM1328" s="735"/>
      <c r="AN1328" s="735"/>
      <c r="AO1328" s="735"/>
      <c r="AP1328" s="735"/>
      <c r="AQ1328" s="735"/>
      <c r="AR1328" s="735"/>
      <c r="AS1328" s="735"/>
      <c r="AT1328" s="735"/>
      <c r="AU1328" s="735"/>
      <c r="AV1328" s="735"/>
      <c r="AW1328" s="735"/>
      <c r="AX1328" s="735"/>
      <c r="AY1328" s="735"/>
      <c r="AZ1328" s="735"/>
      <c r="BA1328" s="735"/>
      <c r="BB1328" s="735"/>
      <c r="BC1328" s="735"/>
      <c r="BD1328" s="735"/>
      <c r="BE1328" s="735"/>
      <c r="BF1328" s="735"/>
      <c r="BG1328" s="735"/>
      <c r="BH1328" s="735"/>
      <c r="BI1328" s="735"/>
      <c r="BJ1328" s="735"/>
      <c r="BK1328" s="735"/>
      <c r="BL1328" s="735"/>
      <c r="BM1328" s="735"/>
      <c r="BN1328" s="735"/>
      <c r="BO1328" s="735"/>
      <c r="BP1328" s="735"/>
      <c r="BQ1328" s="735"/>
      <c r="BR1328" s="735"/>
      <c r="BS1328" s="735"/>
      <c r="BT1328" s="735"/>
      <c r="BU1328" s="735"/>
      <c r="BV1328" s="735"/>
      <c r="BW1328" s="735"/>
      <c r="BX1328" s="735"/>
      <c r="BY1328" s="735"/>
      <c r="BZ1328" s="735"/>
      <c r="CA1328" s="735"/>
    </row>
    <row r="1329" spans="1:79" hidden="1" outlineLevel="1" x14ac:dyDescent="0.25">
      <c r="A1329" s="656"/>
      <c r="B1329" s="79"/>
      <c r="C1329" s="79"/>
      <c r="D1329" s="79"/>
      <c r="E1329" s="570" t="s">
        <v>1342</v>
      </c>
      <c r="F1329" s="656" t="s">
        <v>670</v>
      </c>
      <c r="G1329" s="723">
        <v>1400</v>
      </c>
      <c r="H1329" s="723">
        <v>161.91</v>
      </c>
      <c r="I1329" s="723"/>
      <c r="J1329" s="723"/>
      <c r="K1329" s="723"/>
      <c r="L1329" s="723"/>
      <c r="M1329" s="723">
        <v>85</v>
      </c>
      <c r="N1329" s="723">
        <v>146.19</v>
      </c>
      <c r="O1329" s="723"/>
      <c r="P1329" s="718">
        <v>390</v>
      </c>
      <c r="Q1329" s="718"/>
      <c r="R1329" s="717">
        <v>450</v>
      </c>
      <c r="S1329" s="684">
        <v>0</v>
      </c>
      <c r="T1329" s="684">
        <v>750</v>
      </c>
      <c r="U1329" s="684">
        <v>0</v>
      </c>
      <c r="V1329" s="684">
        <v>0</v>
      </c>
      <c r="W1329" s="684">
        <v>120</v>
      </c>
      <c r="X1329" s="684">
        <v>0</v>
      </c>
      <c r="Y1329" s="684">
        <v>0</v>
      </c>
      <c r="Z1329" s="684">
        <v>0</v>
      </c>
      <c r="AA1329" s="684">
        <v>1284</v>
      </c>
      <c r="AB1329" s="684">
        <v>0</v>
      </c>
      <c r="AC1329" s="666">
        <v>0</v>
      </c>
      <c r="AD1329" s="666">
        <v>0</v>
      </c>
      <c r="AE1329" s="684">
        <v>0</v>
      </c>
      <c r="AF1329" s="716">
        <v>0</v>
      </c>
      <c r="AG1329" s="666">
        <v>0</v>
      </c>
      <c r="AH1329" s="720"/>
      <c r="AI1329" s="720"/>
      <c r="AJ1329" s="720"/>
      <c r="AK1329" s="720"/>
      <c r="AL1329" s="720"/>
      <c r="AM1329" s="720"/>
      <c r="AN1329" s="720"/>
      <c r="AO1329" s="720"/>
      <c r="AP1329" s="720"/>
      <c r="AQ1329" s="720"/>
      <c r="AR1329" s="720"/>
      <c r="AS1329" s="720"/>
      <c r="AT1329" s="720"/>
      <c r="AU1329" s="720"/>
      <c r="AV1329" s="720"/>
      <c r="AW1329" s="720"/>
      <c r="AX1329" s="720"/>
      <c r="AY1329" s="720"/>
      <c r="AZ1329" s="720"/>
      <c r="BA1329" s="720"/>
      <c r="BB1329" s="720"/>
      <c r="BC1329" s="720"/>
      <c r="BD1329" s="720"/>
      <c r="BE1329" s="720"/>
      <c r="BF1329" s="720"/>
      <c r="BG1329" s="720"/>
      <c r="BH1329" s="720"/>
      <c r="BI1329" s="720"/>
      <c r="BJ1329" s="720"/>
      <c r="BK1329" s="720"/>
      <c r="BL1329" s="720"/>
      <c r="BM1329" s="720"/>
      <c r="BN1329" s="720"/>
      <c r="BO1329" s="720"/>
      <c r="BP1329" s="720"/>
      <c r="BQ1329" s="720"/>
      <c r="BR1329" s="720"/>
      <c r="BS1329" s="720"/>
      <c r="BT1329" s="720"/>
      <c r="BU1329" s="720"/>
      <c r="BV1329" s="720"/>
      <c r="BW1329" s="720"/>
      <c r="BX1329" s="720"/>
      <c r="BY1329" s="720"/>
      <c r="BZ1329" s="720"/>
      <c r="CA1329" s="720"/>
    </row>
    <row r="1330" spans="1:79" hidden="1" outlineLevel="1" x14ac:dyDescent="0.25">
      <c r="A1330" s="656"/>
      <c r="B1330" s="576"/>
      <c r="C1330" s="576"/>
      <c r="D1330" s="576"/>
      <c r="E1330" s="570" t="s">
        <v>1342</v>
      </c>
      <c r="F1330" s="656" t="s">
        <v>891</v>
      </c>
      <c r="G1330" s="723"/>
      <c r="H1330" s="723"/>
      <c r="I1330" s="723"/>
      <c r="J1330" s="723"/>
      <c r="K1330" s="723"/>
      <c r="L1330" s="723"/>
      <c r="M1330" s="723"/>
      <c r="N1330" s="723"/>
      <c r="O1330" s="723"/>
      <c r="P1330" s="718"/>
      <c r="Q1330" s="718"/>
      <c r="R1330" s="717"/>
      <c r="S1330" s="684">
        <v>0</v>
      </c>
      <c r="T1330" s="684">
        <v>0</v>
      </c>
      <c r="U1330" s="684">
        <v>0</v>
      </c>
      <c r="V1330" s="684">
        <v>0</v>
      </c>
      <c r="W1330" s="684">
        <v>0</v>
      </c>
      <c r="X1330" s="684">
        <v>0</v>
      </c>
      <c r="Y1330" s="684">
        <v>0</v>
      </c>
      <c r="Z1330" s="684">
        <v>0</v>
      </c>
      <c r="AA1330" s="684">
        <v>0</v>
      </c>
      <c r="AB1330" s="684">
        <v>0</v>
      </c>
      <c r="AC1330" s="666">
        <v>0</v>
      </c>
      <c r="AD1330" s="666">
        <v>0</v>
      </c>
      <c r="AE1330" s="684">
        <v>0</v>
      </c>
      <c r="AF1330" s="716">
        <v>0</v>
      </c>
      <c r="AG1330" s="666">
        <v>0</v>
      </c>
      <c r="AH1330" s="720"/>
      <c r="AI1330" s="720"/>
      <c r="AJ1330" s="720"/>
      <c r="AK1330" s="720"/>
      <c r="AL1330" s="720"/>
      <c r="AM1330" s="720"/>
      <c r="AN1330" s="720"/>
      <c r="AO1330" s="720"/>
      <c r="AP1330" s="720"/>
      <c r="AQ1330" s="720"/>
      <c r="AR1330" s="720"/>
      <c r="AS1330" s="720"/>
      <c r="AT1330" s="720"/>
      <c r="AU1330" s="720"/>
      <c r="AV1330" s="720"/>
      <c r="AW1330" s="720"/>
      <c r="AX1330" s="720"/>
      <c r="AY1330" s="720"/>
      <c r="AZ1330" s="720"/>
      <c r="BA1330" s="720"/>
      <c r="BB1330" s="720"/>
      <c r="BC1330" s="720"/>
      <c r="BD1330" s="720"/>
      <c r="BE1330" s="720"/>
      <c r="BF1330" s="720"/>
      <c r="BG1330" s="720"/>
      <c r="BH1330" s="720"/>
      <c r="BI1330" s="720"/>
      <c r="BJ1330" s="720"/>
      <c r="BK1330" s="720"/>
      <c r="BL1330" s="720"/>
      <c r="BM1330" s="720"/>
      <c r="BN1330" s="720"/>
      <c r="BO1330" s="720"/>
      <c r="BP1330" s="720"/>
      <c r="BQ1330" s="720"/>
      <c r="BR1330" s="720"/>
      <c r="BS1330" s="720"/>
      <c r="BT1330" s="720"/>
      <c r="BU1330" s="720"/>
      <c r="BV1330" s="720"/>
      <c r="BW1330" s="720"/>
      <c r="BX1330" s="720"/>
      <c r="BY1330" s="720"/>
      <c r="BZ1330" s="720"/>
      <c r="CA1330" s="720"/>
    </row>
    <row r="1331" spans="1:79" hidden="1" outlineLevel="1" x14ac:dyDescent="0.25">
      <c r="A1331" s="656"/>
      <c r="B1331" s="79"/>
      <c r="C1331" s="79"/>
      <c r="D1331" s="79"/>
      <c r="E1331" s="570" t="s">
        <v>1342</v>
      </c>
      <c r="F1331" s="656" t="s">
        <v>671</v>
      </c>
      <c r="G1331" s="723"/>
      <c r="H1331" s="723"/>
      <c r="I1331" s="723"/>
      <c r="J1331" s="723"/>
      <c r="K1331" s="723"/>
      <c r="L1331" s="723"/>
      <c r="M1331" s="723"/>
      <c r="N1331" s="723"/>
      <c r="O1331" s="723"/>
      <c r="P1331" s="718"/>
      <c r="Q1331" s="718"/>
      <c r="R1331" s="717"/>
      <c r="S1331" s="684">
        <v>2831</v>
      </c>
      <c r="T1331" s="684">
        <v>0</v>
      </c>
      <c r="U1331" s="684">
        <v>0</v>
      </c>
      <c r="V1331" s="684">
        <v>0</v>
      </c>
      <c r="W1331" s="684">
        <v>0</v>
      </c>
      <c r="X1331" s="684">
        <v>0</v>
      </c>
      <c r="Y1331" s="684">
        <v>0</v>
      </c>
      <c r="Z1331" s="684">
        <v>0</v>
      </c>
      <c r="AA1331" s="684">
        <v>147.13</v>
      </c>
      <c r="AB1331" s="684">
        <v>0</v>
      </c>
      <c r="AC1331" s="666">
        <v>0</v>
      </c>
      <c r="AD1331" s="666">
        <v>0</v>
      </c>
      <c r="AE1331" s="684">
        <v>0</v>
      </c>
      <c r="AF1331" s="716">
        <v>0</v>
      </c>
      <c r="AG1331" s="666">
        <v>0</v>
      </c>
      <c r="AH1331" s="720"/>
      <c r="AI1331" s="720"/>
      <c r="AJ1331" s="720"/>
      <c r="AK1331" s="720"/>
      <c r="AL1331" s="720"/>
      <c r="AM1331" s="720"/>
      <c r="AN1331" s="720"/>
      <c r="AO1331" s="720"/>
      <c r="AP1331" s="720"/>
      <c r="AQ1331" s="720"/>
      <c r="AR1331" s="720"/>
      <c r="AS1331" s="720"/>
      <c r="AT1331" s="720"/>
      <c r="AU1331" s="720"/>
      <c r="AV1331" s="720"/>
      <c r="AW1331" s="720"/>
      <c r="AX1331" s="720"/>
      <c r="AY1331" s="720"/>
      <c r="AZ1331" s="720"/>
      <c r="BA1331" s="720"/>
      <c r="BB1331" s="720"/>
      <c r="BC1331" s="720"/>
      <c r="BD1331" s="720"/>
      <c r="BE1331" s="720"/>
      <c r="BF1331" s="720"/>
      <c r="BG1331" s="720"/>
      <c r="BH1331" s="720"/>
      <c r="BI1331" s="720"/>
      <c r="BJ1331" s="720"/>
      <c r="BK1331" s="720"/>
      <c r="BL1331" s="720"/>
      <c r="BM1331" s="720"/>
      <c r="BN1331" s="720"/>
      <c r="BO1331" s="720"/>
      <c r="BP1331" s="720"/>
      <c r="BQ1331" s="720"/>
      <c r="BR1331" s="720"/>
      <c r="BS1331" s="720"/>
      <c r="BT1331" s="720"/>
      <c r="BU1331" s="720"/>
      <c r="BV1331" s="720"/>
      <c r="BW1331" s="720"/>
      <c r="BX1331" s="720"/>
      <c r="BY1331" s="720"/>
      <c r="BZ1331" s="720"/>
      <c r="CA1331" s="720"/>
    </row>
    <row r="1332" spans="1:79" hidden="1" outlineLevel="1" x14ac:dyDescent="0.25">
      <c r="A1332" s="656"/>
      <c r="B1332" s="576"/>
      <c r="C1332" s="576"/>
      <c r="D1332" s="576"/>
      <c r="E1332" s="570" t="s">
        <v>1342</v>
      </c>
      <c r="F1332" s="656" t="s">
        <v>892</v>
      </c>
      <c r="G1332" s="723"/>
      <c r="H1332" s="723"/>
      <c r="I1332" s="723"/>
      <c r="J1332" s="723"/>
      <c r="K1332" s="723"/>
      <c r="L1332" s="723"/>
      <c r="M1332" s="723"/>
      <c r="N1332" s="723"/>
      <c r="O1332" s="723"/>
      <c r="P1332" s="718"/>
      <c r="Q1332" s="718"/>
      <c r="R1332" s="717"/>
      <c r="S1332" s="684">
        <v>0</v>
      </c>
      <c r="T1332" s="684">
        <v>0</v>
      </c>
      <c r="U1332" s="684">
        <v>0</v>
      </c>
      <c r="V1332" s="684">
        <v>0</v>
      </c>
      <c r="W1332" s="684">
        <v>0</v>
      </c>
      <c r="X1332" s="684">
        <v>0</v>
      </c>
      <c r="Y1332" s="684">
        <v>0</v>
      </c>
      <c r="Z1332" s="684">
        <v>0</v>
      </c>
      <c r="AA1332" s="684">
        <v>0</v>
      </c>
      <c r="AB1332" s="684">
        <v>0</v>
      </c>
      <c r="AC1332" s="666">
        <v>0</v>
      </c>
      <c r="AD1332" s="666">
        <v>0</v>
      </c>
      <c r="AE1332" s="684">
        <v>0</v>
      </c>
      <c r="AF1332" s="716">
        <v>0</v>
      </c>
      <c r="AG1332" s="666">
        <v>0</v>
      </c>
      <c r="AH1332" s="720"/>
      <c r="AI1332" s="720"/>
      <c r="AJ1332" s="720"/>
      <c r="AK1332" s="720"/>
      <c r="AL1332" s="720"/>
      <c r="AM1332" s="720"/>
      <c r="AN1332" s="720"/>
      <c r="AO1332" s="720"/>
      <c r="AP1332" s="720"/>
      <c r="AQ1332" s="720"/>
      <c r="AR1332" s="720"/>
      <c r="AS1332" s="720"/>
      <c r="AT1332" s="720"/>
      <c r="AU1332" s="720"/>
      <c r="AV1332" s="720"/>
      <c r="AW1332" s="720"/>
      <c r="AX1332" s="720"/>
      <c r="AY1332" s="720"/>
      <c r="AZ1332" s="720"/>
      <c r="BA1332" s="720"/>
      <c r="BB1332" s="720"/>
      <c r="BC1332" s="720"/>
      <c r="BD1332" s="720"/>
      <c r="BE1332" s="720"/>
      <c r="BF1332" s="720"/>
      <c r="BG1332" s="720"/>
      <c r="BH1332" s="720"/>
      <c r="BI1332" s="720"/>
      <c r="BJ1332" s="720"/>
      <c r="BK1332" s="720"/>
      <c r="BL1332" s="720"/>
      <c r="BM1332" s="720"/>
      <c r="BN1332" s="720"/>
      <c r="BO1332" s="720"/>
      <c r="BP1332" s="720"/>
      <c r="BQ1332" s="720"/>
      <c r="BR1332" s="720"/>
      <c r="BS1332" s="720"/>
      <c r="BT1332" s="720"/>
      <c r="BU1332" s="720"/>
      <c r="BV1332" s="720"/>
      <c r="BW1332" s="720"/>
      <c r="BX1332" s="720"/>
      <c r="BY1332" s="720"/>
      <c r="BZ1332" s="720"/>
      <c r="CA1332" s="720"/>
    </row>
    <row r="1333" spans="1:79" hidden="1" outlineLevel="1" x14ac:dyDescent="0.25">
      <c r="A1333" s="657"/>
      <c r="B1333" s="29"/>
      <c r="C1333" s="29"/>
      <c r="D1333" s="29"/>
      <c r="E1333" s="570" t="s">
        <v>49</v>
      </c>
      <c r="F1333" s="657" t="s">
        <v>672</v>
      </c>
      <c r="G1333" s="664">
        <f>SUM(G1329:G1332)</f>
        <v>1400</v>
      </c>
      <c r="H1333" s="664">
        <f t="shared" ref="H1333:BO1333" si="565">SUM(H1329:H1332)</f>
        <v>161.91</v>
      </c>
      <c r="I1333" s="664">
        <f t="shared" si="565"/>
        <v>0</v>
      </c>
      <c r="J1333" s="664">
        <f t="shared" si="565"/>
        <v>0</v>
      </c>
      <c r="K1333" s="664">
        <f t="shared" si="565"/>
        <v>0</v>
      </c>
      <c r="L1333" s="664">
        <f t="shared" si="565"/>
        <v>0</v>
      </c>
      <c r="M1333" s="664">
        <f t="shared" si="565"/>
        <v>85</v>
      </c>
      <c r="N1333" s="664">
        <f t="shared" si="565"/>
        <v>146.19</v>
      </c>
      <c r="O1333" s="664">
        <f t="shared" si="565"/>
        <v>0</v>
      </c>
      <c r="P1333" s="664">
        <f t="shared" si="565"/>
        <v>390</v>
      </c>
      <c r="Q1333" s="664">
        <f t="shared" si="565"/>
        <v>0</v>
      </c>
      <c r="R1333" s="664">
        <f t="shared" si="565"/>
        <v>450</v>
      </c>
      <c r="S1333" s="680">
        <f t="shared" ref="S1333:AA1333" si="566">ROUND(SUM(S1328:S1332),5)</f>
        <v>2831</v>
      </c>
      <c r="T1333" s="680">
        <f t="shared" si="566"/>
        <v>750</v>
      </c>
      <c r="U1333" s="680">
        <f t="shared" si="566"/>
        <v>0</v>
      </c>
      <c r="V1333" s="680">
        <f t="shared" si="566"/>
        <v>0</v>
      </c>
      <c r="W1333" s="680">
        <f t="shared" si="566"/>
        <v>120</v>
      </c>
      <c r="X1333" s="680">
        <f t="shared" si="566"/>
        <v>0</v>
      </c>
      <c r="Y1333" s="680">
        <f t="shared" si="566"/>
        <v>0</v>
      </c>
      <c r="Z1333" s="680">
        <f t="shared" si="566"/>
        <v>0</v>
      </c>
      <c r="AA1333" s="680">
        <f t="shared" si="566"/>
        <v>1431.13</v>
      </c>
      <c r="AB1333" s="680">
        <f t="shared" ref="AB1333:AG1333" si="567">ROUND(SUM(AB1328:AB1332),5)</f>
        <v>0</v>
      </c>
      <c r="AC1333" s="680">
        <f t="shared" si="567"/>
        <v>0</v>
      </c>
      <c r="AD1333" s="680">
        <f t="shared" si="567"/>
        <v>0</v>
      </c>
      <c r="AE1333" s="680">
        <f t="shared" si="567"/>
        <v>0</v>
      </c>
      <c r="AF1333" s="664">
        <f t="shared" si="567"/>
        <v>0</v>
      </c>
      <c r="AG1333" s="680">
        <f t="shared" si="567"/>
        <v>0</v>
      </c>
      <c r="AH1333" s="664">
        <f t="shared" si="565"/>
        <v>0</v>
      </c>
      <c r="AI1333" s="664">
        <f t="shared" si="565"/>
        <v>0</v>
      </c>
      <c r="AJ1333" s="664">
        <f t="shared" si="565"/>
        <v>0</v>
      </c>
      <c r="AK1333" s="664">
        <f t="shared" si="565"/>
        <v>0</v>
      </c>
      <c r="AL1333" s="664">
        <f t="shared" si="565"/>
        <v>0</v>
      </c>
      <c r="AM1333" s="664">
        <f t="shared" si="565"/>
        <v>0</v>
      </c>
      <c r="AN1333" s="664">
        <f t="shared" si="565"/>
        <v>0</v>
      </c>
      <c r="AO1333" s="664">
        <f t="shared" si="565"/>
        <v>0</v>
      </c>
      <c r="AP1333" s="664">
        <f t="shared" si="565"/>
        <v>0</v>
      </c>
      <c r="AQ1333" s="664">
        <f t="shared" si="565"/>
        <v>0</v>
      </c>
      <c r="AR1333" s="664">
        <f t="shared" si="565"/>
        <v>0</v>
      </c>
      <c r="AS1333" s="664">
        <f t="shared" si="565"/>
        <v>0</v>
      </c>
      <c r="AT1333" s="664">
        <f t="shared" si="565"/>
        <v>0</v>
      </c>
      <c r="AU1333" s="664">
        <f t="shared" si="565"/>
        <v>0</v>
      </c>
      <c r="AV1333" s="664">
        <f t="shared" si="565"/>
        <v>0</v>
      </c>
      <c r="AW1333" s="664">
        <f t="shared" si="565"/>
        <v>0</v>
      </c>
      <c r="AX1333" s="664">
        <f t="shared" si="565"/>
        <v>0</v>
      </c>
      <c r="AY1333" s="664">
        <f t="shared" si="565"/>
        <v>0</v>
      </c>
      <c r="AZ1333" s="664">
        <f t="shared" si="565"/>
        <v>0</v>
      </c>
      <c r="BA1333" s="664">
        <f t="shared" si="565"/>
        <v>0</v>
      </c>
      <c r="BB1333" s="664">
        <f t="shared" si="565"/>
        <v>0</v>
      </c>
      <c r="BC1333" s="664">
        <f t="shared" si="565"/>
        <v>0</v>
      </c>
      <c r="BD1333" s="664">
        <f t="shared" si="565"/>
        <v>0</v>
      </c>
      <c r="BE1333" s="664">
        <f t="shared" si="565"/>
        <v>0</v>
      </c>
      <c r="BF1333" s="664">
        <f t="shared" si="565"/>
        <v>0</v>
      </c>
      <c r="BG1333" s="664">
        <f t="shared" si="565"/>
        <v>0</v>
      </c>
      <c r="BH1333" s="664">
        <f t="shared" si="565"/>
        <v>0</v>
      </c>
      <c r="BI1333" s="664">
        <f t="shared" si="565"/>
        <v>0</v>
      </c>
      <c r="BJ1333" s="664">
        <f t="shared" si="565"/>
        <v>0</v>
      </c>
      <c r="BK1333" s="664">
        <f t="shared" si="565"/>
        <v>0</v>
      </c>
      <c r="BL1333" s="664">
        <f t="shared" si="565"/>
        <v>0</v>
      </c>
      <c r="BM1333" s="664">
        <f t="shared" si="565"/>
        <v>0</v>
      </c>
      <c r="BN1333" s="664">
        <f t="shared" si="565"/>
        <v>0</v>
      </c>
      <c r="BO1333" s="664">
        <f t="shared" si="565"/>
        <v>0</v>
      </c>
      <c r="BP1333" s="664">
        <f t="shared" ref="BP1333:CA1333" si="568">SUM(BP1329:BP1332)</f>
        <v>0</v>
      </c>
      <c r="BQ1333" s="664">
        <f t="shared" si="568"/>
        <v>0</v>
      </c>
      <c r="BR1333" s="664">
        <f t="shared" si="568"/>
        <v>0</v>
      </c>
      <c r="BS1333" s="664">
        <f t="shared" si="568"/>
        <v>0</v>
      </c>
      <c r="BT1333" s="664">
        <f t="shared" si="568"/>
        <v>0</v>
      </c>
      <c r="BU1333" s="664">
        <f t="shared" si="568"/>
        <v>0</v>
      </c>
      <c r="BV1333" s="664">
        <f t="shared" si="568"/>
        <v>0</v>
      </c>
      <c r="BW1333" s="664">
        <f t="shared" si="568"/>
        <v>0</v>
      </c>
      <c r="BX1333" s="664">
        <f t="shared" si="568"/>
        <v>0</v>
      </c>
      <c r="BY1333" s="664">
        <f t="shared" si="568"/>
        <v>0</v>
      </c>
      <c r="BZ1333" s="664">
        <f t="shared" si="568"/>
        <v>0</v>
      </c>
      <c r="CA1333" s="664">
        <f t="shared" si="568"/>
        <v>0</v>
      </c>
    </row>
    <row r="1334" spans="1:79" hidden="1" outlineLevel="1" x14ac:dyDescent="0.25">
      <c r="A1334" s="658"/>
      <c r="E1334" s="570" t="s">
        <v>1076</v>
      </c>
      <c r="F1334" s="658" t="s">
        <v>648</v>
      </c>
      <c r="G1334" s="719">
        <v>395.58536999999995</v>
      </c>
      <c r="H1334" s="719">
        <v>641.06872541135749</v>
      </c>
      <c r="I1334" s="719">
        <v>336.49806690861084</v>
      </c>
      <c r="J1334" s="719">
        <v>124.26455040446071</v>
      </c>
      <c r="K1334" s="719">
        <v>113.02968515894463</v>
      </c>
      <c r="L1334" s="719">
        <v>96.288474372998692</v>
      </c>
      <c r="M1334" s="719">
        <v>726.42164102921447</v>
      </c>
      <c r="N1334" s="719">
        <v>107.63046604176773</v>
      </c>
      <c r="O1334" s="719">
        <v>97.226207324331369</v>
      </c>
      <c r="P1334" s="716">
        <v>133.69290655615566</v>
      </c>
      <c r="Q1334" s="716">
        <v>102.82304666604826</v>
      </c>
      <c r="R1334" s="720">
        <v>84.531837420988211</v>
      </c>
      <c r="S1334" s="688">
        <v>661.47</v>
      </c>
      <c r="T1334" s="688">
        <v>644.41</v>
      </c>
      <c r="U1334" s="688">
        <v>1565.14</v>
      </c>
      <c r="V1334" s="688">
        <v>991.43</v>
      </c>
      <c r="W1334" s="688">
        <v>987.12</v>
      </c>
      <c r="X1334" s="688">
        <v>1100.42</v>
      </c>
      <c r="Y1334" s="688">
        <v>1162.1199999999999</v>
      </c>
      <c r="Z1334" s="688">
        <v>1223.83</v>
      </c>
      <c r="AA1334" s="688">
        <v>1231.43</v>
      </c>
      <c r="AB1334" s="688">
        <v>1401.7</v>
      </c>
      <c r="AC1334" s="666">
        <v>1517.88</v>
      </c>
      <c r="AD1334" s="666">
        <v>1406.65</v>
      </c>
      <c r="AE1334" s="688">
        <v>1007.13</v>
      </c>
      <c r="AF1334" s="719">
        <v>1227.1199999999999</v>
      </c>
      <c r="AG1334" s="666">
        <v>908.61</v>
      </c>
      <c r="AH1334" s="720"/>
      <c r="AI1334" s="720"/>
      <c r="AJ1334" s="720"/>
      <c r="AK1334" s="720"/>
      <c r="AL1334" s="720"/>
      <c r="AM1334" s="720"/>
      <c r="AN1334" s="720"/>
      <c r="AO1334" s="720"/>
      <c r="AP1334" s="720"/>
      <c r="AQ1334" s="720"/>
      <c r="AR1334" s="720"/>
      <c r="AS1334" s="720"/>
      <c r="AT1334" s="720"/>
      <c r="AU1334" s="720"/>
      <c r="AV1334" s="720"/>
      <c r="AW1334" s="720"/>
      <c r="AX1334" s="720"/>
      <c r="AY1334" s="720"/>
      <c r="AZ1334" s="720"/>
      <c r="BA1334" s="720"/>
      <c r="BB1334" s="720"/>
      <c r="BC1334" s="720"/>
      <c r="BD1334" s="720"/>
      <c r="BE1334" s="720"/>
      <c r="BF1334" s="720"/>
      <c r="BG1334" s="720"/>
      <c r="BH1334" s="720"/>
      <c r="BI1334" s="720"/>
      <c r="BJ1334" s="720"/>
      <c r="BK1334" s="720"/>
      <c r="BL1334" s="720"/>
      <c r="BM1334" s="720"/>
      <c r="BN1334" s="720"/>
      <c r="BO1334" s="720"/>
      <c r="BP1334" s="720"/>
      <c r="BQ1334" s="720"/>
      <c r="BR1334" s="720"/>
      <c r="BS1334" s="720"/>
      <c r="BT1334" s="720"/>
      <c r="BU1334" s="720"/>
      <c r="BV1334" s="720"/>
      <c r="BW1334" s="720"/>
      <c r="BX1334" s="720"/>
      <c r="BY1334" s="720"/>
      <c r="BZ1334" s="720"/>
      <c r="CA1334" s="720"/>
    </row>
    <row r="1335" spans="1:79" hidden="1" outlineLevel="1" x14ac:dyDescent="0.25">
      <c r="A1335" s="658"/>
      <c r="E1335" s="570" t="s">
        <v>431</v>
      </c>
      <c r="F1335" s="658" t="s">
        <v>599</v>
      </c>
      <c r="G1335" s="719">
        <v>252.819063</v>
      </c>
      <c r="H1335" s="719">
        <v>2085.3018681977546</v>
      </c>
      <c r="I1335" s="719">
        <v>1414.4018583479294</v>
      </c>
      <c r="J1335" s="719">
        <v>2743.7396136170528</v>
      </c>
      <c r="K1335" s="719">
        <v>2001.2815969335109</v>
      </c>
      <c r="L1335" s="719">
        <v>1452.7491900272742</v>
      </c>
      <c r="M1335" s="719">
        <v>1046.5131468738566</v>
      </c>
      <c r="N1335" s="719">
        <v>2957.6399944966511</v>
      </c>
      <c r="O1335" s="719">
        <v>4621.1119507676576</v>
      </c>
      <c r="P1335" s="716">
        <v>7690.868235735722</v>
      </c>
      <c r="Q1335" s="716">
        <v>801.55499999114079</v>
      </c>
      <c r="R1335" s="720">
        <v>413.27720081417721</v>
      </c>
      <c r="S1335" s="667">
        <v>1131.8</v>
      </c>
      <c r="T1335" s="667">
        <v>4066.46</v>
      </c>
      <c r="U1335" s="667">
        <v>340</v>
      </c>
      <c r="V1335" s="667">
        <v>583</v>
      </c>
      <c r="W1335" s="667">
        <v>652.5</v>
      </c>
      <c r="X1335" s="667">
        <v>651.85</v>
      </c>
      <c r="Y1335" s="667">
        <v>767</v>
      </c>
      <c r="Z1335" s="667">
        <v>907</v>
      </c>
      <c r="AA1335" s="667">
        <v>493</v>
      </c>
      <c r="AB1335" s="667">
        <v>992</v>
      </c>
      <c r="AC1335" s="686">
        <v>851</v>
      </c>
      <c r="AD1335" s="686">
        <v>653</v>
      </c>
      <c r="AE1335" s="667">
        <v>768.5</v>
      </c>
      <c r="AF1335" s="719">
        <v>417.5</v>
      </c>
      <c r="AG1335" s="686">
        <v>684</v>
      </c>
      <c r="AH1335" s="720"/>
      <c r="AI1335" s="720"/>
      <c r="AJ1335" s="720"/>
      <c r="AK1335" s="720"/>
      <c r="AL1335" s="720"/>
      <c r="AM1335" s="720"/>
      <c r="AN1335" s="720"/>
      <c r="AO1335" s="720"/>
      <c r="AP1335" s="720"/>
      <c r="AQ1335" s="720"/>
      <c r="AR1335" s="720"/>
      <c r="AS1335" s="720"/>
      <c r="AT1335" s="720"/>
      <c r="AU1335" s="720"/>
      <c r="AV1335" s="720"/>
      <c r="AW1335" s="720"/>
      <c r="AX1335" s="720"/>
      <c r="AY1335" s="720"/>
      <c r="AZ1335" s="720"/>
      <c r="BA1335" s="720"/>
      <c r="BB1335" s="720"/>
      <c r="BC1335" s="720"/>
      <c r="BD1335" s="720"/>
      <c r="BE1335" s="720"/>
      <c r="BF1335" s="720"/>
      <c r="BG1335" s="720"/>
      <c r="BH1335" s="720"/>
      <c r="BI1335" s="720"/>
      <c r="BJ1335" s="720"/>
      <c r="BK1335" s="720"/>
      <c r="BL1335" s="720"/>
      <c r="BM1335" s="720"/>
      <c r="BN1335" s="720"/>
      <c r="BO1335" s="720"/>
      <c r="BP1335" s="720"/>
      <c r="BQ1335" s="720"/>
      <c r="BR1335" s="720"/>
      <c r="BS1335" s="720"/>
      <c r="BT1335" s="720"/>
      <c r="BU1335" s="720"/>
      <c r="BV1335" s="720"/>
      <c r="BW1335" s="720"/>
      <c r="BX1335" s="720"/>
      <c r="BY1335" s="720"/>
      <c r="BZ1335" s="720"/>
      <c r="CA1335" s="720"/>
    </row>
    <row r="1336" spans="1:79" s="693" customFormat="1" hidden="1" outlineLevel="1" x14ac:dyDescent="0.25">
      <c r="A1336" s="691"/>
      <c r="B1336" s="710"/>
      <c r="C1336" s="710"/>
      <c r="D1336" s="710"/>
      <c r="E1336" s="570" t="s">
        <v>1343</v>
      </c>
      <c r="F1336" s="691" t="s">
        <v>673</v>
      </c>
      <c r="G1336" s="736"/>
      <c r="H1336" s="736"/>
      <c r="I1336" s="736"/>
      <c r="J1336" s="736"/>
      <c r="K1336" s="736"/>
      <c r="L1336" s="736"/>
      <c r="M1336" s="736"/>
      <c r="N1336" s="736"/>
      <c r="O1336" s="736"/>
      <c r="P1336" s="736"/>
      <c r="Q1336" s="736"/>
      <c r="R1336" s="762"/>
      <c r="S1336" s="704"/>
      <c r="T1336" s="704"/>
      <c r="U1336" s="704"/>
      <c r="V1336" s="704"/>
      <c r="W1336" s="704"/>
      <c r="X1336" s="704"/>
      <c r="Y1336" s="704"/>
      <c r="Z1336" s="704"/>
      <c r="AA1336" s="704"/>
      <c r="AB1336" s="704"/>
      <c r="AC1336" s="703"/>
      <c r="AD1336" s="703"/>
      <c r="AE1336" s="704"/>
      <c r="AF1336" s="733"/>
      <c r="AG1336" s="703"/>
      <c r="AH1336" s="735"/>
      <c r="AI1336" s="735"/>
      <c r="AJ1336" s="735"/>
      <c r="AK1336" s="735"/>
      <c r="AL1336" s="735"/>
      <c r="AM1336" s="735"/>
      <c r="AN1336" s="735"/>
      <c r="AO1336" s="735"/>
      <c r="AP1336" s="735"/>
      <c r="AQ1336" s="735"/>
      <c r="AR1336" s="735"/>
      <c r="AS1336" s="735"/>
      <c r="AT1336" s="735"/>
      <c r="AU1336" s="735"/>
      <c r="AV1336" s="735"/>
      <c r="AW1336" s="735"/>
      <c r="AX1336" s="735"/>
      <c r="AY1336" s="735"/>
      <c r="AZ1336" s="735"/>
      <c r="BA1336" s="735"/>
      <c r="BB1336" s="735"/>
      <c r="BC1336" s="735"/>
      <c r="BD1336" s="735"/>
      <c r="BE1336" s="735"/>
      <c r="BF1336" s="735"/>
      <c r="BG1336" s="735"/>
      <c r="BH1336" s="735"/>
      <c r="BI1336" s="735"/>
      <c r="BJ1336" s="735"/>
      <c r="BK1336" s="735"/>
      <c r="BL1336" s="735"/>
      <c r="BM1336" s="735"/>
      <c r="BN1336" s="735"/>
      <c r="BO1336" s="735"/>
      <c r="BP1336" s="735"/>
      <c r="BQ1336" s="735"/>
      <c r="BR1336" s="735"/>
      <c r="BS1336" s="735"/>
      <c r="BT1336" s="735"/>
      <c r="BU1336" s="735"/>
      <c r="BV1336" s="735"/>
      <c r="BW1336" s="735"/>
      <c r="BX1336" s="735"/>
      <c r="BY1336" s="735"/>
      <c r="BZ1336" s="735"/>
      <c r="CA1336" s="735"/>
    </row>
    <row r="1337" spans="1:79" hidden="1" outlineLevel="1" x14ac:dyDescent="0.25">
      <c r="A1337" s="656"/>
      <c r="B1337" s="571"/>
      <c r="C1337" s="571"/>
      <c r="D1337" s="571"/>
      <c r="E1337" s="570" t="s">
        <v>1330</v>
      </c>
      <c r="F1337" s="656" t="s">
        <v>893</v>
      </c>
      <c r="G1337" s="718"/>
      <c r="H1337" s="718"/>
      <c r="I1337" s="718"/>
      <c r="J1337" s="718"/>
      <c r="K1337" s="718"/>
      <c r="L1337" s="718"/>
      <c r="M1337" s="718"/>
      <c r="N1337" s="718"/>
      <c r="O1337" s="718"/>
      <c r="P1337" s="718"/>
      <c r="Q1337" s="718"/>
      <c r="R1337" s="717"/>
      <c r="S1337" s="667">
        <v>0</v>
      </c>
      <c r="T1337" s="667">
        <v>0</v>
      </c>
      <c r="U1337" s="667">
        <v>0</v>
      </c>
      <c r="V1337" s="667">
        <v>0</v>
      </c>
      <c r="W1337" s="667">
        <v>0</v>
      </c>
      <c r="X1337" s="667">
        <v>0</v>
      </c>
      <c r="Y1337" s="667">
        <v>0</v>
      </c>
      <c r="Z1337" s="667">
        <v>0</v>
      </c>
      <c r="AA1337" s="667">
        <v>0</v>
      </c>
      <c r="AB1337" s="667">
        <v>0</v>
      </c>
      <c r="AC1337" s="686">
        <v>0</v>
      </c>
      <c r="AD1337" s="686">
        <v>0</v>
      </c>
      <c r="AE1337" s="667">
        <v>0</v>
      </c>
      <c r="AF1337" s="719">
        <v>0</v>
      </c>
      <c r="AG1337" s="686">
        <v>0</v>
      </c>
      <c r="AH1337" s="720"/>
      <c r="AI1337" s="720"/>
      <c r="AJ1337" s="720"/>
      <c r="AK1337" s="720"/>
      <c r="AL1337" s="720"/>
      <c r="AM1337" s="720"/>
      <c r="AN1337" s="720"/>
      <c r="AO1337" s="720"/>
      <c r="AP1337" s="720"/>
      <c r="AQ1337" s="720"/>
      <c r="AR1337" s="720"/>
      <c r="AS1337" s="720"/>
      <c r="AT1337" s="720"/>
      <c r="AU1337" s="720"/>
      <c r="AV1337" s="720"/>
      <c r="AW1337" s="720"/>
      <c r="AX1337" s="720"/>
      <c r="AY1337" s="720"/>
      <c r="AZ1337" s="720"/>
      <c r="BA1337" s="720"/>
      <c r="BB1337" s="720"/>
      <c r="BC1337" s="720"/>
      <c r="BD1337" s="720"/>
      <c r="BE1337" s="720"/>
      <c r="BF1337" s="720"/>
      <c r="BG1337" s="720"/>
      <c r="BH1337" s="720"/>
      <c r="BI1337" s="720"/>
      <c r="BJ1337" s="720"/>
      <c r="BK1337" s="720"/>
      <c r="BL1337" s="720"/>
      <c r="BM1337" s="720"/>
      <c r="BN1337" s="720"/>
      <c r="BO1337" s="720"/>
      <c r="BP1337" s="720"/>
      <c r="BQ1337" s="720"/>
      <c r="BR1337" s="720"/>
      <c r="BS1337" s="720"/>
      <c r="BT1337" s="720"/>
      <c r="BU1337" s="720"/>
      <c r="BV1337" s="720"/>
      <c r="BW1337" s="720"/>
      <c r="BX1337" s="720"/>
      <c r="BY1337" s="720"/>
      <c r="BZ1337" s="720"/>
      <c r="CA1337" s="720"/>
    </row>
    <row r="1338" spans="1:79" hidden="1" outlineLevel="1" x14ac:dyDescent="0.25">
      <c r="A1338" s="656"/>
      <c r="B1338" s="79"/>
      <c r="C1338" s="79"/>
      <c r="D1338" s="79"/>
      <c r="E1338" s="570" t="s">
        <v>1343</v>
      </c>
      <c r="F1338" s="656" t="s">
        <v>674</v>
      </c>
      <c r="G1338" s="718"/>
      <c r="H1338" s="718"/>
      <c r="I1338" s="718"/>
      <c r="J1338" s="718"/>
      <c r="K1338" s="718"/>
      <c r="L1338" s="718"/>
      <c r="M1338" s="718"/>
      <c r="N1338" s="718"/>
      <c r="O1338" s="718"/>
      <c r="P1338" s="718"/>
      <c r="Q1338" s="718"/>
      <c r="R1338" s="717"/>
      <c r="S1338" s="667">
        <v>684.97</v>
      </c>
      <c r="T1338" s="667">
        <v>1034.31</v>
      </c>
      <c r="U1338" s="667">
        <v>1550.29</v>
      </c>
      <c r="V1338" s="667">
        <v>885.46</v>
      </c>
      <c r="W1338" s="667">
        <v>930.34</v>
      </c>
      <c r="X1338" s="667">
        <v>1048.26</v>
      </c>
      <c r="Y1338" s="667">
        <v>2057.31</v>
      </c>
      <c r="Z1338" s="667">
        <v>749.58</v>
      </c>
      <c r="AA1338" s="667">
        <v>1257.01</v>
      </c>
      <c r="AB1338" s="667">
        <v>2455.41</v>
      </c>
      <c r="AC1338" s="686">
        <v>2603.14</v>
      </c>
      <c r="AD1338" s="686">
        <v>3893.45</v>
      </c>
      <c r="AE1338" s="667">
        <v>2174.08</v>
      </c>
      <c r="AF1338" s="719">
        <v>2191.69</v>
      </c>
      <c r="AG1338" s="686">
        <v>2214.71</v>
      </c>
      <c r="AH1338" s="720"/>
      <c r="AI1338" s="720"/>
      <c r="AJ1338" s="720"/>
      <c r="AK1338" s="720"/>
      <c r="AL1338" s="720"/>
      <c r="AM1338" s="720"/>
      <c r="AN1338" s="720"/>
      <c r="AO1338" s="720"/>
      <c r="AP1338" s="720"/>
      <c r="AQ1338" s="720"/>
      <c r="AR1338" s="720"/>
      <c r="AS1338" s="720"/>
      <c r="AT1338" s="720"/>
      <c r="AU1338" s="720"/>
      <c r="AV1338" s="720"/>
      <c r="AW1338" s="720"/>
      <c r="AX1338" s="720"/>
      <c r="AY1338" s="720"/>
      <c r="AZ1338" s="720"/>
      <c r="BA1338" s="720"/>
      <c r="BB1338" s="720"/>
      <c r="BC1338" s="720"/>
      <c r="BD1338" s="720"/>
      <c r="BE1338" s="720"/>
      <c r="BF1338" s="720"/>
      <c r="BG1338" s="720"/>
      <c r="BH1338" s="720"/>
      <c r="BI1338" s="720"/>
      <c r="BJ1338" s="720"/>
      <c r="BK1338" s="720"/>
      <c r="BL1338" s="720"/>
      <c r="BM1338" s="720"/>
      <c r="BN1338" s="720"/>
      <c r="BO1338" s="720"/>
      <c r="BP1338" s="720"/>
      <c r="BQ1338" s="720"/>
      <c r="BR1338" s="720"/>
      <c r="BS1338" s="720"/>
      <c r="BT1338" s="720"/>
      <c r="BU1338" s="720"/>
      <c r="BV1338" s="720"/>
      <c r="BW1338" s="720"/>
      <c r="BX1338" s="720"/>
      <c r="BY1338" s="720"/>
      <c r="BZ1338" s="720"/>
      <c r="CA1338" s="720"/>
    </row>
    <row r="1339" spans="1:79" hidden="1" outlineLevel="1" x14ac:dyDescent="0.25">
      <c r="A1339" s="656"/>
      <c r="B1339" s="576"/>
      <c r="C1339" s="576"/>
      <c r="D1339" s="576"/>
      <c r="E1339" s="570" t="s">
        <v>1343</v>
      </c>
      <c r="F1339" s="656" t="s">
        <v>894</v>
      </c>
      <c r="G1339" s="718"/>
      <c r="H1339" s="718"/>
      <c r="I1339" s="718"/>
      <c r="J1339" s="718"/>
      <c r="K1339" s="718"/>
      <c r="L1339" s="718"/>
      <c r="M1339" s="718"/>
      <c r="N1339" s="718"/>
      <c r="O1339" s="718"/>
      <c r="P1339" s="718"/>
      <c r="Q1339" s="718"/>
      <c r="R1339" s="717"/>
      <c r="S1339" s="667">
        <v>0</v>
      </c>
      <c r="T1339" s="667">
        <v>0</v>
      </c>
      <c r="U1339" s="667">
        <v>0</v>
      </c>
      <c r="V1339" s="667">
        <v>0</v>
      </c>
      <c r="W1339" s="667">
        <v>0</v>
      </c>
      <c r="X1339" s="667">
        <v>0</v>
      </c>
      <c r="Y1339" s="667">
        <v>0</v>
      </c>
      <c r="Z1339" s="667">
        <v>0</v>
      </c>
      <c r="AA1339" s="667">
        <v>0</v>
      </c>
      <c r="AB1339" s="667">
        <v>0</v>
      </c>
      <c r="AC1339" s="686">
        <v>0</v>
      </c>
      <c r="AD1339" s="686">
        <v>0</v>
      </c>
      <c r="AE1339" s="667">
        <v>0</v>
      </c>
      <c r="AF1339" s="719">
        <v>0</v>
      </c>
      <c r="AG1339" s="686">
        <v>0</v>
      </c>
      <c r="AH1339" s="720"/>
      <c r="AI1339" s="720"/>
      <c r="AJ1339" s="720"/>
      <c r="AK1339" s="720"/>
      <c r="AL1339" s="720"/>
      <c r="AM1339" s="720"/>
      <c r="AN1339" s="720"/>
      <c r="AO1339" s="720"/>
      <c r="AP1339" s="720"/>
      <c r="AQ1339" s="720"/>
      <c r="AR1339" s="720"/>
      <c r="AS1339" s="720"/>
      <c r="AT1339" s="720"/>
      <c r="AU1339" s="720"/>
      <c r="AV1339" s="720"/>
      <c r="AW1339" s="720"/>
      <c r="AX1339" s="720"/>
      <c r="AY1339" s="720"/>
      <c r="AZ1339" s="720"/>
      <c r="BA1339" s="720"/>
      <c r="BB1339" s="720"/>
      <c r="BC1339" s="720"/>
      <c r="BD1339" s="720"/>
      <c r="BE1339" s="720"/>
      <c r="BF1339" s="720"/>
      <c r="BG1339" s="720"/>
      <c r="BH1339" s="720"/>
      <c r="BI1339" s="720"/>
      <c r="BJ1339" s="720"/>
      <c r="BK1339" s="720"/>
      <c r="BL1339" s="720"/>
      <c r="BM1339" s="720"/>
      <c r="BN1339" s="720"/>
      <c r="BO1339" s="720"/>
      <c r="BP1339" s="720"/>
      <c r="BQ1339" s="720"/>
      <c r="BR1339" s="720"/>
      <c r="BS1339" s="720"/>
      <c r="BT1339" s="720"/>
      <c r="BU1339" s="720"/>
      <c r="BV1339" s="720"/>
      <c r="BW1339" s="720"/>
      <c r="BX1339" s="720"/>
      <c r="BY1339" s="720"/>
      <c r="BZ1339" s="720"/>
      <c r="CA1339" s="720"/>
    </row>
    <row r="1340" spans="1:79" hidden="1" outlineLevel="1" x14ac:dyDescent="0.25">
      <c r="A1340" s="656"/>
      <c r="B1340" s="576"/>
      <c r="C1340" s="576"/>
      <c r="D1340" s="576"/>
      <c r="E1340" s="570" t="s">
        <v>1343</v>
      </c>
      <c r="F1340" s="656" t="s">
        <v>765</v>
      </c>
      <c r="G1340" s="719">
        <v>703.56</v>
      </c>
      <c r="H1340" s="716">
        <v>949.16000000000008</v>
      </c>
      <c r="I1340" s="716">
        <v>951.90000000000009</v>
      </c>
      <c r="J1340" s="716">
        <v>827.64</v>
      </c>
      <c r="K1340" s="716">
        <v>791.07999999999993</v>
      </c>
      <c r="L1340" s="716">
        <v>959.01</v>
      </c>
      <c r="M1340" s="716">
        <v>1175.54</v>
      </c>
      <c r="N1340" s="716">
        <v>1201.9299999999998</v>
      </c>
      <c r="O1340" s="716">
        <v>281.18</v>
      </c>
      <c r="P1340" s="716">
        <v>1519.33</v>
      </c>
      <c r="Q1340" s="716">
        <v>1163.28</v>
      </c>
      <c r="R1340" s="720">
        <v>1118.8899999999999</v>
      </c>
      <c r="S1340" s="667">
        <v>0</v>
      </c>
      <c r="T1340" s="667">
        <v>0</v>
      </c>
      <c r="U1340" s="667">
        <v>0</v>
      </c>
      <c r="V1340" s="667">
        <v>0</v>
      </c>
      <c r="W1340" s="667">
        <v>265.36</v>
      </c>
      <c r="X1340" s="667">
        <v>52.43</v>
      </c>
      <c r="Y1340" s="667">
        <v>52.43</v>
      </c>
      <c r="Z1340" s="667">
        <v>52.43</v>
      </c>
      <c r="AA1340" s="667">
        <v>52.43</v>
      </c>
      <c r="AB1340" s="667">
        <v>52.43</v>
      </c>
      <c r="AC1340" s="686">
        <v>0</v>
      </c>
      <c r="AD1340" s="686">
        <v>0</v>
      </c>
      <c r="AE1340" s="667">
        <v>0</v>
      </c>
      <c r="AF1340" s="719">
        <v>311.72000000000003</v>
      </c>
      <c r="AG1340" s="686">
        <v>0</v>
      </c>
      <c r="AH1340" s="720"/>
      <c r="AI1340" s="720"/>
      <c r="AJ1340" s="720"/>
      <c r="AK1340" s="720"/>
      <c r="AL1340" s="720"/>
      <c r="AM1340" s="720"/>
      <c r="AN1340" s="720"/>
      <c r="AO1340" s="720"/>
      <c r="AP1340" s="720"/>
      <c r="AQ1340" s="720"/>
      <c r="AR1340" s="720"/>
      <c r="AS1340" s="720"/>
      <c r="AT1340" s="720"/>
      <c r="AU1340" s="720"/>
      <c r="AV1340" s="720"/>
      <c r="AW1340" s="720"/>
      <c r="AX1340" s="720"/>
      <c r="AY1340" s="720"/>
      <c r="AZ1340" s="720"/>
      <c r="BA1340" s="720"/>
      <c r="BB1340" s="720"/>
      <c r="BC1340" s="720"/>
      <c r="BD1340" s="720"/>
      <c r="BE1340" s="720"/>
      <c r="BF1340" s="720"/>
      <c r="BG1340" s="720"/>
      <c r="BH1340" s="720"/>
      <c r="BI1340" s="720"/>
      <c r="BJ1340" s="720"/>
      <c r="BK1340" s="720"/>
      <c r="BL1340" s="720"/>
      <c r="BM1340" s="720"/>
      <c r="BN1340" s="720"/>
      <c r="BO1340" s="720"/>
      <c r="BP1340" s="720"/>
      <c r="BQ1340" s="720"/>
      <c r="BR1340" s="720"/>
      <c r="BS1340" s="720"/>
      <c r="BT1340" s="720"/>
      <c r="BU1340" s="720"/>
      <c r="BV1340" s="720"/>
      <c r="BW1340" s="720"/>
      <c r="BX1340" s="720"/>
      <c r="BY1340" s="720"/>
      <c r="BZ1340" s="720"/>
      <c r="CA1340" s="720"/>
    </row>
    <row r="1341" spans="1:79" hidden="1" outlineLevel="1" x14ac:dyDescent="0.25">
      <c r="A1341" s="657"/>
      <c r="B1341" s="29"/>
      <c r="C1341" s="29"/>
      <c r="D1341" s="29"/>
      <c r="E1341" s="570" t="s">
        <v>49</v>
      </c>
      <c r="F1341" s="657" t="s">
        <v>675</v>
      </c>
      <c r="G1341" s="664">
        <f>SUM(G1337:G1340)</f>
        <v>703.56</v>
      </c>
      <c r="H1341" s="664">
        <f t="shared" ref="H1341:BO1341" si="569">SUM(H1337:H1340)</f>
        <v>949.16000000000008</v>
      </c>
      <c r="I1341" s="664">
        <f t="shared" si="569"/>
        <v>951.90000000000009</v>
      </c>
      <c r="J1341" s="664">
        <f t="shared" si="569"/>
        <v>827.64</v>
      </c>
      <c r="K1341" s="664">
        <f t="shared" si="569"/>
        <v>791.07999999999993</v>
      </c>
      <c r="L1341" s="664">
        <f t="shared" si="569"/>
        <v>959.01</v>
      </c>
      <c r="M1341" s="664">
        <f t="shared" si="569"/>
        <v>1175.54</v>
      </c>
      <c r="N1341" s="664">
        <f t="shared" si="569"/>
        <v>1201.9299999999998</v>
      </c>
      <c r="O1341" s="664">
        <f t="shared" si="569"/>
        <v>281.18</v>
      </c>
      <c r="P1341" s="664">
        <f t="shared" si="569"/>
        <v>1519.33</v>
      </c>
      <c r="Q1341" s="664">
        <f t="shared" si="569"/>
        <v>1163.28</v>
      </c>
      <c r="R1341" s="664">
        <f t="shared" si="569"/>
        <v>1118.8899999999999</v>
      </c>
      <c r="S1341" s="678">
        <f t="shared" ref="S1341:AA1341" si="570">ROUND(SUM(S1336:S1340),5)</f>
        <v>684.97</v>
      </c>
      <c r="T1341" s="678">
        <f t="shared" si="570"/>
        <v>1034.31</v>
      </c>
      <c r="U1341" s="678">
        <f t="shared" si="570"/>
        <v>1550.29</v>
      </c>
      <c r="V1341" s="678">
        <f t="shared" si="570"/>
        <v>885.46</v>
      </c>
      <c r="W1341" s="678">
        <f t="shared" si="570"/>
        <v>1195.7</v>
      </c>
      <c r="X1341" s="678">
        <f t="shared" si="570"/>
        <v>1100.69</v>
      </c>
      <c r="Y1341" s="678">
        <f t="shared" si="570"/>
        <v>2109.7399999999998</v>
      </c>
      <c r="Z1341" s="678">
        <f t="shared" si="570"/>
        <v>802.01</v>
      </c>
      <c r="AA1341" s="678">
        <f t="shared" si="570"/>
        <v>1309.44</v>
      </c>
      <c r="AB1341" s="678">
        <f t="shared" ref="AB1341:AG1341" si="571">ROUND(SUM(AB1336:AB1340),5)</f>
        <v>2507.84</v>
      </c>
      <c r="AC1341" s="678">
        <f t="shared" si="571"/>
        <v>2603.14</v>
      </c>
      <c r="AD1341" s="678">
        <f t="shared" si="571"/>
        <v>3893.45</v>
      </c>
      <c r="AE1341" s="678">
        <f t="shared" si="571"/>
        <v>2174.08</v>
      </c>
      <c r="AF1341" s="664">
        <f t="shared" si="571"/>
        <v>2503.41</v>
      </c>
      <c r="AG1341" s="678">
        <f t="shared" si="571"/>
        <v>2214.71</v>
      </c>
      <c r="AH1341" s="664">
        <f t="shared" si="569"/>
        <v>0</v>
      </c>
      <c r="AI1341" s="664">
        <f t="shared" si="569"/>
        <v>0</v>
      </c>
      <c r="AJ1341" s="664">
        <f t="shared" si="569"/>
        <v>0</v>
      </c>
      <c r="AK1341" s="664">
        <f t="shared" si="569"/>
        <v>0</v>
      </c>
      <c r="AL1341" s="664">
        <f t="shared" si="569"/>
        <v>0</v>
      </c>
      <c r="AM1341" s="664">
        <f t="shared" si="569"/>
        <v>0</v>
      </c>
      <c r="AN1341" s="664">
        <f t="shared" si="569"/>
        <v>0</v>
      </c>
      <c r="AO1341" s="664">
        <f t="shared" si="569"/>
        <v>0</v>
      </c>
      <c r="AP1341" s="664">
        <f t="shared" si="569"/>
        <v>0</v>
      </c>
      <c r="AQ1341" s="664">
        <f t="shared" si="569"/>
        <v>0</v>
      </c>
      <c r="AR1341" s="664">
        <f t="shared" si="569"/>
        <v>0</v>
      </c>
      <c r="AS1341" s="664">
        <f t="shared" si="569"/>
        <v>0</v>
      </c>
      <c r="AT1341" s="664">
        <f t="shared" si="569"/>
        <v>0</v>
      </c>
      <c r="AU1341" s="664">
        <f t="shared" si="569"/>
        <v>0</v>
      </c>
      <c r="AV1341" s="664">
        <f t="shared" si="569"/>
        <v>0</v>
      </c>
      <c r="AW1341" s="664">
        <f t="shared" si="569"/>
        <v>0</v>
      </c>
      <c r="AX1341" s="664">
        <f t="shared" si="569"/>
        <v>0</v>
      </c>
      <c r="AY1341" s="664">
        <f t="shared" si="569"/>
        <v>0</v>
      </c>
      <c r="AZ1341" s="664">
        <f t="shared" si="569"/>
        <v>0</v>
      </c>
      <c r="BA1341" s="664">
        <f t="shared" si="569"/>
        <v>0</v>
      </c>
      <c r="BB1341" s="664">
        <f t="shared" si="569"/>
        <v>0</v>
      </c>
      <c r="BC1341" s="664">
        <f t="shared" si="569"/>
        <v>0</v>
      </c>
      <c r="BD1341" s="664">
        <f t="shared" si="569"/>
        <v>0</v>
      </c>
      <c r="BE1341" s="664">
        <f t="shared" si="569"/>
        <v>0</v>
      </c>
      <c r="BF1341" s="664">
        <f t="shared" si="569"/>
        <v>0</v>
      </c>
      <c r="BG1341" s="664">
        <f t="shared" si="569"/>
        <v>0</v>
      </c>
      <c r="BH1341" s="664">
        <f t="shared" si="569"/>
        <v>0</v>
      </c>
      <c r="BI1341" s="664">
        <f t="shared" si="569"/>
        <v>0</v>
      </c>
      <c r="BJ1341" s="664">
        <f t="shared" si="569"/>
        <v>0</v>
      </c>
      <c r="BK1341" s="664">
        <f t="shared" si="569"/>
        <v>0</v>
      </c>
      <c r="BL1341" s="664">
        <f t="shared" si="569"/>
        <v>0</v>
      </c>
      <c r="BM1341" s="664">
        <f t="shared" si="569"/>
        <v>0</v>
      </c>
      <c r="BN1341" s="664">
        <f t="shared" si="569"/>
        <v>0</v>
      </c>
      <c r="BO1341" s="664">
        <f t="shared" si="569"/>
        <v>0</v>
      </c>
      <c r="BP1341" s="664">
        <f t="shared" ref="BP1341:CA1341" si="572">SUM(BP1337:BP1340)</f>
        <v>0</v>
      </c>
      <c r="BQ1341" s="664">
        <f t="shared" si="572"/>
        <v>0</v>
      </c>
      <c r="BR1341" s="664">
        <f t="shared" si="572"/>
        <v>0</v>
      </c>
      <c r="BS1341" s="664">
        <f t="shared" si="572"/>
        <v>0</v>
      </c>
      <c r="BT1341" s="664">
        <f t="shared" si="572"/>
        <v>0</v>
      </c>
      <c r="BU1341" s="664">
        <f t="shared" si="572"/>
        <v>0</v>
      </c>
      <c r="BV1341" s="664">
        <f t="shared" si="572"/>
        <v>0</v>
      </c>
      <c r="BW1341" s="664">
        <f t="shared" si="572"/>
        <v>0</v>
      </c>
      <c r="BX1341" s="664">
        <f t="shared" si="572"/>
        <v>0</v>
      </c>
      <c r="BY1341" s="664">
        <f t="shared" si="572"/>
        <v>0</v>
      </c>
      <c r="BZ1341" s="664">
        <f t="shared" si="572"/>
        <v>0</v>
      </c>
      <c r="CA1341" s="664">
        <f t="shared" si="572"/>
        <v>0</v>
      </c>
    </row>
    <row r="1342" spans="1:79" hidden="1" outlineLevel="1" x14ac:dyDescent="0.25">
      <c r="A1342" s="658"/>
      <c r="E1342" s="570" t="s">
        <v>921</v>
      </c>
      <c r="F1342" s="658" t="s">
        <v>600</v>
      </c>
      <c r="G1342" s="716">
        <v>472.89411899999999</v>
      </c>
      <c r="H1342" s="716">
        <v>1016.2778128017463</v>
      </c>
      <c r="I1342" s="716">
        <v>1364.5883917442952</v>
      </c>
      <c r="J1342" s="716">
        <v>1624.5579566343224</v>
      </c>
      <c r="K1342" s="716">
        <v>561.02247207399012</v>
      </c>
      <c r="L1342" s="716">
        <v>1408.9356351254585</v>
      </c>
      <c r="M1342" s="716">
        <v>2987.7081455673047</v>
      </c>
      <c r="N1342" s="716">
        <v>1238.2998148933191</v>
      </c>
      <c r="O1342" s="719">
        <v>888.65460451308934</v>
      </c>
      <c r="P1342" s="716">
        <v>2550.8013558988578</v>
      </c>
      <c r="Q1342" s="716">
        <v>914.53098402370142</v>
      </c>
      <c r="R1342" s="720">
        <v>390.24740772588262</v>
      </c>
      <c r="S1342" s="667">
        <v>5403.93</v>
      </c>
      <c r="T1342" s="667">
        <v>3073.97</v>
      </c>
      <c r="U1342" s="667">
        <v>3613.55</v>
      </c>
      <c r="V1342" s="667">
        <v>4962.79</v>
      </c>
      <c r="W1342" s="667">
        <v>4688.28</v>
      </c>
      <c r="X1342" s="667">
        <v>6223.74</v>
      </c>
      <c r="Y1342" s="667">
        <v>3188.09</v>
      </c>
      <c r="Z1342" s="667">
        <v>5365.85</v>
      </c>
      <c r="AA1342" s="667">
        <v>3488.67</v>
      </c>
      <c r="AB1342" s="667">
        <v>3738.09</v>
      </c>
      <c r="AC1342" s="686">
        <v>5107.43</v>
      </c>
      <c r="AD1342" s="686">
        <v>2940.1</v>
      </c>
      <c r="AE1342" s="667">
        <v>5315.16</v>
      </c>
      <c r="AF1342" s="719">
        <v>3757.13</v>
      </c>
      <c r="AG1342" s="686">
        <v>2837.02</v>
      </c>
      <c r="AH1342" s="720"/>
      <c r="AI1342" s="720"/>
      <c r="AJ1342" s="720"/>
      <c r="AK1342" s="720"/>
      <c r="AL1342" s="720"/>
      <c r="AM1342" s="720"/>
      <c r="AN1342" s="720"/>
      <c r="AO1342" s="720"/>
      <c r="AP1342" s="720"/>
      <c r="AQ1342" s="720"/>
      <c r="AR1342" s="720"/>
      <c r="AS1342" s="720"/>
      <c r="AT1342" s="720"/>
      <c r="AU1342" s="720"/>
      <c r="AV1342" s="720"/>
      <c r="AW1342" s="720"/>
      <c r="AX1342" s="720"/>
      <c r="AY1342" s="720"/>
      <c r="AZ1342" s="720"/>
      <c r="BA1342" s="720"/>
      <c r="BB1342" s="720"/>
      <c r="BC1342" s="720"/>
      <c r="BD1342" s="720"/>
      <c r="BE1342" s="720"/>
      <c r="BF1342" s="720"/>
      <c r="BG1342" s="720"/>
      <c r="BH1342" s="720"/>
      <c r="BI1342" s="720"/>
      <c r="BJ1342" s="720"/>
      <c r="BK1342" s="720"/>
      <c r="BL1342" s="720"/>
      <c r="BM1342" s="720"/>
      <c r="BN1342" s="720"/>
      <c r="BO1342" s="720"/>
      <c r="BP1342" s="720"/>
      <c r="BQ1342" s="720"/>
      <c r="BR1342" s="720"/>
      <c r="BS1342" s="720"/>
      <c r="BT1342" s="720"/>
      <c r="BU1342" s="720"/>
      <c r="BV1342" s="720"/>
      <c r="BW1342" s="720"/>
      <c r="BX1342" s="720"/>
      <c r="BY1342" s="720"/>
      <c r="BZ1342" s="720"/>
      <c r="CA1342" s="720"/>
    </row>
    <row r="1343" spans="1:79" s="693" customFormat="1" hidden="1" outlineLevel="1" x14ac:dyDescent="0.25">
      <c r="A1343" s="701"/>
      <c r="B1343" s="700"/>
      <c r="C1343" s="700"/>
      <c r="D1343" s="700"/>
      <c r="E1343" s="570" t="s">
        <v>1345</v>
      </c>
      <c r="F1343" s="701" t="s">
        <v>601</v>
      </c>
      <c r="G1343" s="733"/>
      <c r="H1343" s="733"/>
      <c r="I1343" s="733"/>
      <c r="J1343" s="733"/>
      <c r="K1343" s="733"/>
      <c r="L1343" s="733"/>
      <c r="M1343" s="733"/>
      <c r="N1343" s="733"/>
      <c r="O1343" s="733"/>
      <c r="P1343" s="736"/>
      <c r="Q1343" s="736"/>
      <c r="R1343" s="762"/>
      <c r="S1343" s="697"/>
      <c r="T1343" s="697"/>
      <c r="U1343" s="697"/>
      <c r="V1343" s="697"/>
      <c r="W1343" s="697"/>
      <c r="X1343" s="697"/>
      <c r="Y1343" s="697"/>
      <c r="Z1343" s="697"/>
      <c r="AA1343" s="697"/>
      <c r="AB1343" s="697"/>
      <c r="AC1343" s="711"/>
      <c r="AD1343" s="711"/>
      <c r="AE1343" s="697"/>
      <c r="AF1343" s="752"/>
      <c r="AG1343" s="711"/>
      <c r="AH1343" s="735"/>
      <c r="AI1343" s="735"/>
      <c r="AJ1343" s="735"/>
      <c r="AK1343" s="735"/>
      <c r="AL1343" s="735"/>
      <c r="AM1343" s="735"/>
      <c r="AN1343" s="735"/>
      <c r="AO1343" s="735"/>
      <c r="AP1343" s="735"/>
      <c r="AQ1343" s="735"/>
      <c r="AR1343" s="735"/>
      <c r="AS1343" s="735"/>
      <c r="AT1343" s="735"/>
      <c r="AU1343" s="735"/>
      <c r="AV1343" s="735"/>
      <c r="AW1343" s="735"/>
      <c r="AX1343" s="735"/>
      <c r="AY1343" s="735"/>
      <c r="AZ1343" s="735"/>
      <c r="BA1343" s="735"/>
      <c r="BB1343" s="735"/>
      <c r="BC1343" s="735"/>
      <c r="BD1343" s="735"/>
      <c r="BE1343" s="735"/>
      <c r="BF1343" s="735"/>
      <c r="BG1343" s="735"/>
      <c r="BH1343" s="735"/>
      <c r="BI1343" s="735"/>
      <c r="BJ1343" s="735"/>
      <c r="BK1343" s="735"/>
      <c r="BL1343" s="735"/>
      <c r="BM1343" s="735"/>
      <c r="BN1343" s="735"/>
      <c r="BO1343" s="735"/>
      <c r="BP1343" s="735"/>
      <c r="BQ1343" s="735"/>
      <c r="BR1343" s="735"/>
      <c r="BS1343" s="735"/>
      <c r="BT1343" s="735"/>
      <c r="BU1343" s="735"/>
      <c r="BV1343" s="735"/>
      <c r="BW1343" s="735"/>
      <c r="BX1343" s="735"/>
      <c r="BY1343" s="735"/>
      <c r="BZ1343" s="735"/>
      <c r="CA1343" s="735"/>
    </row>
    <row r="1344" spans="1:79" hidden="1" outlineLevel="1" x14ac:dyDescent="0.25">
      <c r="A1344" s="656"/>
      <c r="B1344" s="503"/>
      <c r="C1344" s="503"/>
      <c r="D1344" s="503"/>
      <c r="E1344" s="570" t="s">
        <v>1327</v>
      </c>
      <c r="F1344" s="656" t="s">
        <v>895</v>
      </c>
      <c r="G1344" s="719"/>
      <c r="H1344" s="719"/>
      <c r="I1344" s="719"/>
      <c r="J1344" s="719"/>
      <c r="K1344" s="719"/>
      <c r="L1344" s="719"/>
      <c r="M1344" s="719"/>
      <c r="N1344" s="719"/>
      <c r="O1344" s="719"/>
      <c r="P1344" s="718"/>
      <c r="Q1344" s="718"/>
      <c r="R1344" s="717"/>
      <c r="S1344" s="671"/>
      <c r="T1344" s="671"/>
      <c r="U1344" s="671"/>
      <c r="V1344" s="671"/>
      <c r="W1344" s="671"/>
      <c r="X1344" s="671"/>
      <c r="Y1344" s="671"/>
      <c r="Z1344" s="671"/>
      <c r="AA1344" s="671"/>
      <c r="AB1344" s="671"/>
      <c r="AC1344" s="689"/>
      <c r="AD1344" s="689"/>
      <c r="AE1344" s="671"/>
      <c r="AF1344" s="724"/>
      <c r="AG1344" s="689"/>
      <c r="AH1344" s="720"/>
      <c r="AI1344" s="720"/>
      <c r="AJ1344" s="720"/>
      <c r="AK1344" s="720"/>
      <c r="AL1344" s="720"/>
      <c r="AM1344" s="720"/>
      <c r="AN1344" s="720"/>
      <c r="AO1344" s="720"/>
      <c r="AP1344" s="720"/>
      <c r="AQ1344" s="720"/>
      <c r="AR1344" s="720"/>
      <c r="AS1344" s="720"/>
      <c r="AT1344" s="720"/>
      <c r="AU1344" s="720"/>
      <c r="AV1344" s="720"/>
      <c r="AW1344" s="720"/>
      <c r="AX1344" s="720"/>
      <c r="AY1344" s="720"/>
      <c r="AZ1344" s="720"/>
      <c r="BA1344" s="720"/>
      <c r="BB1344" s="720"/>
      <c r="BC1344" s="720"/>
      <c r="BD1344" s="720"/>
      <c r="BE1344" s="720"/>
      <c r="BF1344" s="720"/>
      <c r="BG1344" s="720"/>
      <c r="BH1344" s="720"/>
      <c r="BI1344" s="720"/>
      <c r="BJ1344" s="720"/>
      <c r="BK1344" s="720"/>
      <c r="BL1344" s="720"/>
      <c r="BM1344" s="720"/>
      <c r="BN1344" s="720"/>
      <c r="BO1344" s="720"/>
      <c r="BP1344" s="720"/>
      <c r="BQ1344" s="720"/>
      <c r="BR1344" s="720"/>
      <c r="BS1344" s="720"/>
      <c r="BT1344" s="720"/>
      <c r="BU1344" s="720"/>
      <c r="BV1344" s="720"/>
      <c r="BW1344" s="720"/>
      <c r="BX1344" s="720"/>
      <c r="BY1344" s="720"/>
      <c r="BZ1344" s="720"/>
      <c r="CA1344" s="720"/>
    </row>
    <row r="1345" spans="1:79" hidden="1" outlineLevel="1" x14ac:dyDescent="0.25">
      <c r="A1345" s="661"/>
      <c r="B1345" s="503"/>
      <c r="C1345" s="503"/>
      <c r="D1345" s="503"/>
      <c r="E1345" s="570" t="s">
        <v>1327</v>
      </c>
      <c r="F1345" s="661" t="s">
        <v>906</v>
      </c>
      <c r="G1345" s="719"/>
      <c r="H1345" s="719"/>
      <c r="I1345" s="719"/>
      <c r="J1345" s="719"/>
      <c r="K1345" s="719"/>
      <c r="L1345" s="719"/>
      <c r="M1345" s="719"/>
      <c r="N1345" s="719"/>
      <c r="O1345" s="719"/>
      <c r="P1345" s="718"/>
      <c r="Q1345" s="718"/>
      <c r="R1345" s="717"/>
      <c r="S1345" s="671"/>
      <c r="T1345" s="671"/>
      <c r="U1345" s="671"/>
      <c r="V1345" s="671"/>
      <c r="W1345" s="671"/>
      <c r="X1345" s="671"/>
      <c r="Y1345" s="671"/>
      <c r="Z1345" s="671"/>
      <c r="AA1345" s="671"/>
      <c r="AB1345" s="671"/>
      <c r="AC1345" s="689"/>
      <c r="AD1345" s="689"/>
      <c r="AE1345" s="671">
        <v>0</v>
      </c>
      <c r="AF1345" s="724">
        <v>0</v>
      </c>
      <c r="AG1345" s="689">
        <v>0</v>
      </c>
      <c r="AH1345" s="720"/>
      <c r="AI1345" s="720"/>
      <c r="AJ1345" s="720"/>
      <c r="AK1345" s="720"/>
      <c r="AL1345" s="720"/>
      <c r="AM1345" s="720"/>
      <c r="AN1345" s="720"/>
      <c r="AO1345" s="720"/>
      <c r="AP1345" s="720"/>
      <c r="AQ1345" s="720"/>
      <c r="AR1345" s="720"/>
      <c r="AS1345" s="720"/>
      <c r="AT1345" s="720"/>
      <c r="AU1345" s="720"/>
      <c r="AV1345" s="720"/>
      <c r="AW1345" s="720"/>
      <c r="AX1345" s="720"/>
      <c r="AY1345" s="720"/>
      <c r="AZ1345" s="720"/>
      <c r="BA1345" s="720"/>
      <c r="BB1345" s="720"/>
      <c r="BC1345" s="720"/>
      <c r="BD1345" s="720"/>
      <c r="BE1345" s="720"/>
      <c r="BF1345" s="720"/>
      <c r="BG1345" s="720"/>
      <c r="BH1345" s="720"/>
      <c r="BI1345" s="720"/>
      <c r="BJ1345" s="720"/>
      <c r="BK1345" s="720"/>
      <c r="BL1345" s="720"/>
      <c r="BM1345" s="720"/>
      <c r="BN1345" s="720"/>
      <c r="BO1345" s="720"/>
      <c r="BP1345" s="720"/>
      <c r="BQ1345" s="720"/>
      <c r="BR1345" s="720"/>
      <c r="BS1345" s="720"/>
      <c r="BT1345" s="720"/>
      <c r="BU1345" s="720"/>
      <c r="BV1345" s="720"/>
      <c r="BW1345" s="720"/>
      <c r="BX1345" s="720"/>
      <c r="BY1345" s="720"/>
      <c r="BZ1345" s="720"/>
      <c r="CA1345" s="720"/>
    </row>
    <row r="1346" spans="1:79" hidden="1" outlineLevel="1" x14ac:dyDescent="0.25">
      <c r="A1346" s="661"/>
      <c r="B1346" s="503"/>
      <c r="C1346" s="503"/>
      <c r="D1346" s="503"/>
      <c r="E1346" s="570" t="s">
        <v>657</v>
      </c>
      <c r="F1346" s="661" t="s">
        <v>641</v>
      </c>
      <c r="G1346" s="719"/>
      <c r="H1346" s="719"/>
      <c r="I1346" s="719"/>
      <c r="J1346" s="719"/>
      <c r="K1346" s="719"/>
      <c r="L1346" s="719"/>
      <c r="M1346" s="719"/>
      <c r="N1346" s="719"/>
      <c r="O1346" s="719"/>
      <c r="P1346" s="718"/>
      <c r="Q1346" s="718"/>
      <c r="R1346" s="717"/>
      <c r="S1346" s="671"/>
      <c r="T1346" s="671"/>
      <c r="U1346" s="671"/>
      <c r="V1346" s="671"/>
      <c r="W1346" s="671"/>
      <c r="X1346" s="671"/>
      <c r="Y1346" s="671"/>
      <c r="Z1346" s="671"/>
      <c r="AA1346" s="671"/>
      <c r="AB1346" s="671"/>
      <c r="AC1346" s="689"/>
      <c r="AD1346" s="689"/>
      <c r="AE1346" s="671">
        <v>0</v>
      </c>
      <c r="AF1346" s="724">
        <v>-578.41999999999996</v>
      </c>
      <c r="AG1346" s="689">
        <v>0</v>
      </c>
      <c r="AH1346" s="720"/>
      <c r="AI1346" s="720"/>
      <c r="AJ1346" s="720"/>
      <c r="AK1346" s="720"/>
      <c r="AL1346" s="720"/>
      <c r="AM1346" s="720"/>
      <c r="AN1346" s="720"/>
      <c r="AO1346" s="720"/>
      <c r="AP1346" s="720"/>
      <c r="AQ1346" s="720"/>
      <c r="AR1346" s="720"/>
      <c r="AS1346" s="720"/>
      <c r="AT1346" s="720"/>
      <c r="AU1346" s="720"/>
      <c r="AV1346" s="720"/>
      <c r="AW1346" s="720"/>
      <c r="AX1346" s="720"/>
      <c r="AY1346" s="720"/>
      <c r="AZ1346" s="720"/>
      <c r="BA1346" s="720"/>
      <c r="BB1346" s="720"/>
      <c r="BC1346" s="720"/>
      <c r="BD1346" s="720"/>
      <c r="BE1346" s="720"/>
      <c r="BF1346" s="720"/>
      <c r="BG1346" s="720"/>
      <c r="BH1346" s="720"/>
      <c r="BI1346" s="720"/>
      <c r="BJ1346" s="720"/>
      <c r="BK1346" s="720"/>
      <c r="BL1346" s="720"/>
      <c r="BM1346" s="720"/>
      <c r="BN1346" s="720"/>
      <c r="BO1346" s="720"/>
      <c r="BP1346" s="720"/>
      <c r="BQ1346" s="720"/>
      <c r="BR1346" s="720"/>
      <c r="BS1346" s="720"/>
      <c r="BT1346" s="720"/>
      <c r="BU1346" s="720"/>
      <c r="BV1346" s="720"/>
      <c r="BW1346" s="720"/>
      <c r="BX1346" s="720"/>
      <c r="BY1346" s="720"/>
      <c r="BZ1346" s="720"/>
      <c r="CA1346" s="720"/>
    </row>
    <row r="1347" spans="1:79" hidden="1" outlineLevel="1" x14ac:dyDescent="0.25">
      <c r="A1347" s="661"/>
      <c r="B1347" s="503"/>
      <c r="C1347" s="503"/>
      <c r="D1347" s="503"/>
      <c r="E1347" s="570" t="s">
        <v>657</v>
      </c>
      <c r="F1347" s="661" t="s">
        <v>1322</v>
      </c>
      <c r="G1347" s="719"/>
      <c r="H1347" s="719"/>
      <c r="I1347" s="719"/>
      <c r="J1347" s="719"/>
      <c r="K1347" s="719"/>
      <c r="L1347" s="719"/>
      <c r="M1347" s="719"/>
      <c r="N1347" s="719"/>
      <c r="O1347" s="719"/>
      <c r="P1347" s="718"/>
      <c r="Q1347" s="718"/>
      <c r="R1347" s="717"/>
      <c r="S1347" s="671"/>
      <c r="T1347" s="671"/>
      <c r="U1347" s="671"/>
      <c r="V1347" s="671"/>
      <c r="W1347" s="671"/>
      <c r="X1347" s="671"/>
      <c r="Y1347" s="671"/>
      <c r="Z1347" s="671"/>
      <c r="AA1347" s="671"/>
      <c r="AB1347" s="671"/>
      <c r="AC1347" s="689"/>
      <c r="AD1347" s="689"/>
      <c r="AE1347" s="671">
        <v>0</v>
      </c>
      <c r="AF1347" s="724">
        <v>0</v>
      </c>
      <c r="AG1347" s="689">
        <v>0</v>
      </c>
      <c r="AH1347" s="720"/>
      <c r="AI1347" s="720"/>
      <c r="AJ1347" s="720"/>
      <c r="AK1347" s="720"/>
      <c r="AL1347" s="720"/>
      <c r="AM1347" s="720"/>
      <c r="AN1347" s="720"/>
      <c r="AO1347" s="720"/>
      <c r="AP1347" s="720"/>
      <c r="AQ1347" s="720"/>
      <c r="AR1347" s="720"/>
      <c r="AS1347" s="720"/>
      <c r="AT1347" s="720"/>
      <c r="AU1347" s="720"/>
      <c r="AV1347" s="720"/>
      <c r="AW1347" s="720"/>
      <c r="AX1347" s="720"/>
      <c r="AY1347" s="720"/>
      <c r="AZ1347" s="720"/>
      <c r="BA1347" s="720"/>
      <c r="BB1347" s="720"/>
      <c r="BC1347" s="720"/>
      <c r="BD1347" s="720"/>
      <c r="BE1347" s="720"/>
      <c r="BF1347" s="720"/>
      <c r="BG1347" s="720"/>
      <c r="BH1347" s="720"/>
      <c r="BI1347" s="720"/>
      <c r="BJ1347" s="720"/>
      <c r="BK1347" s="720"/>
      <c r="BL1347" s="720"/>
      <c r="BM1347" s="720"/>
      <c r="BN1347" s="720"/>
      <c r="BO1347" s="720"/>
      <c r="BP1347" s="720"/>
      <c r="BQ1347" s="720"/>
      <c r="BR1347" s="720"/>
      <c r="BS1347" s="720"/>
      <c r="BT1347" s="720"/>
      <c r="BU1347" s="720"/>
      <c r="BV1347" s="720"/>
      <c r="BW1347" s="720"/>
      <c r="BX1347" s="720"/>
      <c r="BY1347" s="720"/>
      <c r="BZ1347" s="720"/>
      <c r="CA1347" s="720"/>
    </row>
    <row r="1348" spans="1:79" hidden="1" outlineLevel="1" x14ac:dyDescent="0.25">
      <c r="A1348" s="661"/>
      <c r="B1348" s="503"/>
      <c r="C1348" s="503"/>
      <c r="D1348" s="503"/>
      <c r="E1348" s="570" t="s">
        <v>1327</v>
      </c>
      <c r="F1348" s="661" t="s">
        <v>896</v>
      </c>
      <c r="G1348" s="719"/>
      <c r="H1348" s="719"/>
      <c r="I1348" s="719"/>
      <c r="J1348" s="719"/>
      <c r="K1348" s="719"/>
      <c r="L1348" s="719"/>
      <c r="M1348" s="719"/>
      <c r="N1348" s="719"/>
      <c r="O1348" s="719"/>
      <c r="P1348" s="718"/>
      <c r="Q1348" s="718"/>
      <c r="R1348" s="717"/>
      <c r="S1348" s="671">
        <v>0</v>
      </c>
      <c r="T1348" s="671">
        <v>0</v>
      </c>
      <c r="U1348" s="671">
        <v>0</v>
      </c>
      <c r="V1348" s="671">
        <v>0</v>
      </c>
      <c r="W1348" s="671">
        <v>0</v>
      </c>
      <c r="X1348" s="671">
        <v>0</v>
      </c>
      <c r="Y1348" s="671">
        <v>0</v>
      </c>
      <c r="Z1348" s="671">
        <v>0</v>
      </c>
      <c r="AA1348" s="671">
        <v>0</v>
      </c>
      <c r="AB1348" s="671">
        <v>0</v>
      </c>
      <c r="AC1348" s="689">
        <v>-185</v>
      </c>
      <c r="AD1348" s="689">
        <v>0</v>
      </c>
      <c r="AE1348" s="671">
        <v>0</v>
      </c>
      <c r="AF1348" s="724">
        <v>0</v>
      </c>
      <c r="AG1348" s="689">
        <v>0</v>
      </c>
      <c r="AH1348" s="720"/>
      <c r="AI1348" s="720"/>
      <c r="AJ1348" s="720"/>
      <c r="AK1348" s="720"/>
      <c r="AL1348" s="720"/>
      <c r="AM1348" s="720"/>
      <c r="AN1348" s="720"/>
      <c r="AO1348" s="720"/>
      <c r="AP1348" s="720"/>
      <c r="AQ1348" s="720"/>
      <c r="AR1348" s="720"/>
      <c r="AS1348" s="720"/>
      <c r="AT1348" s="720"/>
      <c r="AU1348" s="720"/>
      <c r="AV1348" s="720"/>
      <c r="AW1348" s="720"/>
      <c r="AX1348" s="720"/>
      <c r="AY1348" s="720"/>
      <c r="AZ1348" s="720"/>
      <c r="BA1348" s="720"/>
      <c r="BB1348" s="720"/>
      <c r="BC1348" s="720"/>
      <c r="BD1348" s="720"/>
      <c r="BE1348" s="720"/>
      <c r="BF1348" s="720"/>
      <c r="BG1348" s="720"/>
      <c r="BH1348" s="720"/>
      <c r="BI1348" s="720"/>
      <c r="BJ1348" s="720"/>
      <c r="BK1348" s="720"/>
      <c r="BL1348" s="720"/>
      <c r="BM1348" s="720"/>
      <c r="BN1348" s="720"/>
      <c r="BO1348" s="720"/>
      <c r="BP1348" s="720"/>
      <c r="BQ1348" s="720"/>
      <c r="BR1348" s="720"/>
      <c r="BS1348" s="720"/>
      <c r="BT1348" s="720"/>
      <c r="BU1348" s="720"/>
      <c r="BV1348" s="720"/>
      <c r="BW1348" s="720"/>
      <c r="BX1348" s="720"/>
      <c r="BY1348" s="720"/>
      <c r="BZ1348" s="720"/>
      <c r="CA1348" s="720"/>
    </row>
    <row r="1349" spans="1:79" hidden="1" outlineLevel="1" x14ac:dyDescent="0.25">
      <c r="A1349" s="661"/>
      <c r="B1349" s="503"/>
      <c r="C1349" s="503"/>
      <c r="D1349" s="503"/>
      <c r="E1349" s="570" t="s">
        <v>1327</v>
      </c>
      <c r="F1349" s="661" t="s">
        <v>897</v>
      </c>
      <c r="G1349" s="719"/>
      <c r="H1349" s="719"/>
      <c r="I1349" s="719"/>
      <c r="J1349" s="719"/>
      <c r="K1349" s="719"/>
      <c r="L1349" s="719"/>
      <c r="M1349" s="719"/>
      <c r="N1349" s="719"/>
      <c r="O1349" s="719"/>
      <c r="P1349" s="718"/>
      <c r="Q1349" s="718"/>
      <c r="R1349" s="717"/>
      <c r="S1349" s="671">
        <v>0</v>
      </c>
      <c r="T1349" s="671">
        <v>0</v>
      </c>
      <c r="U1349" s="671">
        <v>0</v>
      </c>
      <c r="V1349" s="671">
        <v>0</v>
      </c>
      <c r="W1349" s="671">
        <v>0</v>
      </c>
      <c r="X1349" s="671">
        <v>0</v>
      </c>
      <c r="Y1349" s="671">
        <v>0</v>
      </c>
      <c r="Z1349" s="671">
        <v>0</v>
      </c>
      <c r="AA1349" s="671">
        <v>0</v>
      </c>
      <c r="AB1349" s="671">
        <v>0</v>
      </c>
      <c r="AC1349" s="689">
        <v>0</v>
      </c>
      <c r="AD1349" s="689">
        <v>0</v>
      </c>
      <c r="AE1349" s="671">
        <v>0</v>
      </c>
      <c r="AF1349" s="724">
        <v>0</v>
      </c>
      <c r="AG1349" s="689">
        <v>0</v>
      </c>
      <c r="AH1349" s="720"/>
      <c r="AI1349" s="720"/>
      <c r="AJ1349" s="720"/>
      <c r="AK1349" s="720"/>
      <c r="AL1349" s="720"/>
      <c r="AM1349" s="720"/>
      <c r="AN1349" s="720"/>
      <c r="AO1349" s="720"/>
      <c r="AP1349" s="720"/>
      <c r="AQ1349" s="720"/>
      <c r="AR1349" s="720"/>
      <c r="AS1349" s="720"/>
      <c r="AT1349" s="720"/>
      <c r="AU1349" s="720"/>
      <c r="AV1349" s="720"/>
      <c r="AW1349" s="720"/>
      <c r="AX1349" s="720"/>
      <c r="AY1349" s="720"/>
      <c r="AZ1349" s="720"/>
      <c r="BA1349" s="720"/>
      <c r="BB1349" s="720"/>
      <c r="BC1349" s="720"/>
      <c r="BD1349" s="720"/>
      <c r="BE1349" s="720"/>
      <c r="BF1349" s="720"/>
      <c r="BG1349" s="720"/>
      <c r="BH1349" s="720"/>
      <c r="BI1349" s="720"/>
      <c r="BJ1349" s="720"/>
      <c r="BK1349" s="720"/>
      <c r="BL1349" s="720"/>
      <c r="BM1349" s="720"/>
      <c r="BN1349" s="720"/>
      <c r="BO1349" s="720"/>
      <c r="BP1349" s="720"/>
      <c r="BQ1349" s="720"/>
      <c r="BR1349" s="720"/>
      <c r="BS1349" s="720"/>
      <c r="BT1349" s="720"/>
      <c r="BU1349" s="720"/>
      <c r="BV1349" s="720"/>
      <c r="BW1349" s="720"/>
      <c r="BX1349" s="720"/>
      <c r="BY1349" s="720"/>
      <c r="BZ1349" s="720"/>
      <c r="CA1349" s="720"/>
    </row>
    <row r="1350" spans="1:79" hidden="1" outlineLevel="1" x14ac:dyDescent="0.25">
      <c r="A1350" s="661"/>
      <c r="B1350" s="503"/>
      <c r="C1350" s="503"/>
      <c r="D1350" s="503"/>
      <c r="E1350" s="570" t="s">
        <v>657</v>
      </c>
      <c r="F1350" s="661" t="s">
        <v>898</v>
      </c>
      <c r="G1350" s="719"/>
      <c r="H1350" s="719"/>
      <c r="I1350" s="719"/>
      <c r="J1350" s="719"/>
      <c r="K1350" s="719"/>
      <c r="L1350" s="719"/>
      <c r="M1350" s="719"/>
      <c r="N1350" s="719"/>
      <c r="O1350" s="719"/>
      <c r="P1350" s="718"/>
      <c r="Q1350" s="718"/>
      <c r="R1350" s="717"/>
      <c r="S1350" s="671">
        <v>0</v>
      </c>
      <c r="T1350" s="671">
        <v>0</v>
      </c>
      <c r="U1350" s="671">
        <v>0</v>
      </c>
      <c r="V1350" s="671">
        <v>0</v>
      </c>
      <c r="W1350" s="671">
        <v>0</v>
      </c>
      <c r="X1350" s="671">
        <v>0</v>
      </c>
      <c r="Y1350" s="671">
        <v>0</v>
      </c>
      <c r="Z1350" s="671">
        <v>0</v>
      </c>
      <c r="AA1350" s="671">
        <v>0</v>
      </c>
      <c r="AB1350" s="671">
        <v>0</v>
      </c>
      <c r="AC1350" s="689">
        <v>0</v>
      </c>
      <c r="AD1350" s="689">
        <v>41.83</v>
      </c>
      <c r="AE1350" s="671"/>
      <c r="AF1350" s="724"/>
      <c r="AG1350" s="689"/>
      <c r="AH1350" s="720"/>
      <c r="AI1350" s="720"/>
      <c r="AJ1350" s="720"/>
      <c r="AK1350" s="720"/>
      <c r="AL1350" s="720"/>
      <c r="AM1350" s="720"/>
      <c r="AN1350" s="720"/>
      <c r="AO1350" s="720"/>
      <c r="AP1350" s="720"/>
      <c r="AQ1350" s="720"/>
      <c r="AR1350" s="720"/>
      <c r="AS1350" s="720"/>
      <c r="AT1350" s="720"/>
      <c r="AU1350" s="720"/>
      <c r="AV1350" s="720"/>
      <c r="AW1350" s="720"/>
      <c r="AX1350" s="720"/>
      <c r="AY1350" s="720"/>
      <c r="AZ1350" s="720"/>
      <c r="BA1350" s="720"/>
      <c r="BB1350" s="720"/>
      <c r="BC1350" s="720"/>
      <c r="BD1350" s="720"/>
      <c r="BE1350" s="720"/>
      <c r="BF1350" s="720"/>
      <c r="BG1350" s="720"/>
      <c r="BH1350" s="720"/>
      <c r="BI1350" s="720"/>
      <c r="BJ1350" s="720"/>
      <c r="BK1350" s="720"/>
      <c r="BL1350" s="720"/>
      <c r="BM1350" s="720"/>
      <c r="BN1350" s="720"/>
      <c r="BO1350" s="720"/>
      <c r="BP1350" s="720"/>
      <c r="BQ1350" s="720"/>
      <c r="BR1350" s="720"/>
      <c r="BS1350" s="720"/>
      <c r="BT1350" s="720"/>
      <c r="BU1350" s="720"/>
      <c r="BV1350" s="720"/>
      <c r="BW1350" s="720"/>
      <c r="BX1350" s="720"/>
      <c r="BY1350" s="720"/>
      <c r="BZ1350" s="720"/>
      <c r="CA1350" s="720"/>
    </row>
    <row r="1351" spans="1:79" hidden="1" outlineLevel="1" x14ac:dyDescent="0.25">
      <c r="A1351" s="661"/>
      <c r="B1351" s="503"/>
      <c r="C1351" s="503"/>
      <c r="D1351" s="503"/>
      <c r="E1351" s="570" t="s">
        <v>1327</v>
      </c>
      <c r="F1351" s="661" t="s">
        <v>899</v>
      </c>
      <c r="G1351" s="719"/>
      <c r="H1351" s="719"/>
      <c r="I1351" s="719"/>
      <c r="J1351" s="719"/>
      <c r="K1351" s="719"/>
      <c r="L1351" s="719"/>
      <c r="M1351" s="719"/>
      <c r="N1351" s="719"/>
      <c r="O1351" s="719"/>
      <c r="P1351" s="718"/>
      <c r="Q1351" s="718"/>
      <c r="R1351" s="717"/>
      <c r="S1351" s="671">
        <v>0</v>
      </c>
      <c r="T1351" s="671">
        <v>0</v>
      </c>
      <c r="U1351" s="671">
        <v>0</v>
      </c>
      <c r="V1351" s="671">
        <v>0</v>
      </c>
      <c r="W1351" s="671">
        <v>0</v>
      </c>
      <c r="X1351" s="671">
        <v>0</v>
      </c>
      <c r="Y1351" s="671">
        <v>0</v>
      </c>
      <c r="Z1351" s="671">
        <v>0</v>
      </c>
      <c r="AA1351" s="671">
        <v>0</v>
      </c>
      <c r="AB1351" s="671">
        <v>0</v>
      </c>
      <c r="AC1351" s="689">
        <v>0</v>
      </c>
      <c r="AD1351" s="689">
        <v>0</v>
      </c>
      <c r="AE1351" s="671">
        <v>0</v>
      </c>
      <c r="AF1351" s="724">
        <v>0</v>
      </c>
      <c r="AG1351" s="689">
        <v>0</v>
      </c>
      <c r="AH1351" s="720"/>
      <c r="AI1351" s="720"/>
      <c r="AJ1351" s="720"/>
      <c r="AK1351" s="720"/>
      <c r="AL1351" s="720"/>
      <c r="AM1351" s="720"/>
      <c r="AN1351" s="720"/>
      <c r="AO1351" s="720"/>
      <c r="AP1351" s="720"/>
      <c r="AQ1351" s="720"/>
      <c r="AR1351" s="720"/>
      <c r="AS1351" s="720"/>
      <c r="AT1351" s="720"/>
      <c r="AU1351" s="720"/>
      <c r="AV1351" s="720"/>
      <c r="AW1351" s="720"/>
      <c r="AX1351" s="720"/>
      <c r="AY1351" s="720"/>
      <c r="AZ1351" s="720"/>
      <c r="BA1351" s="720"/>
      <c r="BB1351" s="720"/>
      <c r="BC1351" s="720"/>
      <c r="BD1351" s="720"/>
      <c r="BE1351" s="720"/>
      <c r="BF1351" s="720"/>
      <c r="BG1351" s="720"/>
      <c r="BH1351" s="720"/>
      <c r="BI1351" s="720"/>
      <c r="BJ1351" s="720"/>
      <c r="BK1351" s="720"/>
      <c r="BL1351" s="720"/>
      <c r="BM1351" s="720"/>
      <c r="BN1351" s="720"/>
      <c r="BO1351" s="720"/>
      <c r="BP1351" s="720"/>
      <c r="BQ1351" s="720"/>
      <c r="BR1351" s="720"/>
      <c r="BS1351" s="720"/>
      <c r="BT1351" s="720"/>
      <c r="BU1351" s="720"/>
      <c r="BV1351" s="720"/>
      <c r="BW1351" s="720"/>
      <c r="BX1351" s="720"/>
      <c r="BY1351" s="720"/>
      <c r="BZ1351" s="720"/>
      <c r="CA1351" s="720"/>
    </row>
    <row r="1352" spans="1:79" hidden="1" outlineLevel="1" x14ac:dyDescent="0.25">
      <c r="A1352" s="661"/>
      <c r="B1352" s="503"/>
      <c r="C1352" s="503"/>
      <c r="D1352" s="503"/>
      <c r="E1352" s="570" t="s">
        <v>1327</v>
      </c>
      <c r="F1352" s="661" t="s">
        <v>900</v>
      </c>
      <c r="G1352" s="719"/>
      <c r="H1352" s="719"/>
      <c r="I1352" s="719"/>
      <c r="J1352" s="719"/>
      <c r="K1352" s="719"/>
      <c r="L1352" s="719"/>
      <c r="M1352" s="719"/>
      <c r="N1352" s="719"/>
      <c r="O1352" s="719"/>
      <c r="P1352" s="718"/>
      <c r="Q1352" s="718"/>
      <c r="R1352" s="717"/>
      <c r="S1352" s="671">
        <v>0</v>
      </c>
      <c r="T1352" s="671">
        <v>0</v>
      </c>
      <c r="U1352" s="671">
        <v>0</v>
      </c>
      <c r="V1352" s="671">
        <v>0</v>
      </c>
      <c r="W1352" s="671">
        <v>0</v>
      </c>
      <c r="X1352" s="671">
        <v>0</v>
      </c>
      <c r="Y1352" s="671">
        <v>0</v>
      </c>
      <c r="Z1352" s="671">
        <v>0</v>
      </c>
      <c r="AA1352" s="671">
        <v>0</v>
      </c>
      <c r="AB1352" s="671">
        <v>0</v>
      </c>
      <c r="AC1352" s="689">
        <v>0</v>
      </c>
      <c r="AD1352" s="689">
        <v>0</v>
      </c>
      <c r="AE1352" s="671">
        <v>0</v>
      </c>
      <c r="AF1352" s="724">
        <v>0</v>
      </c>
      <c r="AG1352" s="689">
        <v>0</v>
      </c>
      <c r="AH1352" s="720"/>
      <c r="AI1352" s="720"/>
      <c r="AJ1352" s="720"/>
      <c r="AK1352" s="720"/>
      <c r="AL1352" s="720"/>
      <c r="AM1352" s="720"/>
      <c r="AN1352" s="720"/>
      <c r="AO1352" s="720"/>
      <c r="AP1352" s="720"/>
      <c r="AQ1352" s="720"/>
      <c r="AR1352" s="720"/>
      <c r="AS1352" s="720"/>
      <c r="AT1352" s="720"/>
      <c r="AU1352" s="720"/>
      <c r="AV1352" s="720"/>
      <c r="AW1352" s="720"/>
      <c r="AX1352" s="720"/>
      <c r="AY1352" s="720"/>
      <c r="AZ1352" s="720"/>
      <c r="BA1352" s="720"/>
      <c r="BB1352" s="720"/>
      <c r="BC1352" s="720"/>
      <c r="BD1352" s="720"/>
      <c r="BE1352" s="720"/>
      <c r="BF1352" s="720"/>
      <c r="BG1352" s="720"/>
      <c r="BH1352" s="720"/>
      <c r="BI1352" s="720"/>
      <c r="BJ1352" s="720"/>
      <c r="BK1352" s="720"/>
      <c r="BL1352" s="720"/>
      <c r="BM1352" s="720"/>
      <c r="BN1352" s="720"/>
      <c r="BO1352" s="720"/>
      <c r="BP1352" s="720"/>
      <c r="BQ1352" s="720"/>
      <c r="BR1352" s="720"/>
      <c r="BS1352" s="720"/>
      <c r="BT1352" s="720"/>
      <c r="BU1352" s="720"/>
      <c r="BV1352" s="720"/>
      <c r="BW1352" s="720"/>
      <c r="BX1352" s="720"/>
      <c r="BY1352" s="720"/>
      <c r="BZ1352" s="720"/>
      <c r="CA1352" s="720"/>
    </row>
    <row r="1353" spans="1:79" hidden="1" outlineLevel="1" x14ac:dyDescent="0.25">
      <c r="A1353" s="657"/>
      <c r="B1353" s="503"/>
      <c r="C1353" s="503"/>
      <c r="D1353" s="503"/>
      <c r="E1353" s="570" t="s">
        <v>49</v>
      </c>
      <c r="F1353" s="657" t="s">
        <v>901</v>
      </c>
      <c r="G1353" s="664">
        <f t="shared" ref="G1353:R1353" si="573">SUM(G1344:G1352)</f>
        <v>0</v>
      </c>
      <c r="H1353" s="664">
        <f t="shared" si="573"/>
        <v>0</v>
      </c>
      <c r="I1353" s="664">
        <f t="shared" si="573"/>
        <v>0</v>
      </c>
      <c r="J1353" s="664">
        <f t="shared" si="573"/>
        <v>0</v>
      </c>
      <c r="K1353" s="664">
        <f t="shared" si="573"/>
        <v>0</v>
      </c>
      <c r="L1353" s="664">
        <f t="shared" si="573"/>
        <v>0</v>
      </c>
      <c r="M1353" s="664">
        <f t="shared" si="573"/>
        <v>0</v>
      </c>
      <c r="N1353" s="664">
        <f t="shared" si="573"/>
        <v>0</v>
      </c>
      <c r="O1353" s="664">
        <f t="shared" si="573"/>
        <v>0</v>
      </c>
      <c r="P1353" s="664">
        <f t="shared" si="573"/>
        <v>0</v>
      </c>
      <c r="Q1353" s="664">
        <f t="shared" si="573"/>
        <v>0</v>
      </c>
      <c r="R1353" s="664">
        <f t="shared" si="573"/>
        <v>0</v>
      </c>
      <c r="S1353" s="679">
        <f t="shared" ref="S1353:AB1353" si="574">ROUND(SUM(S1344:S1352),5)</f>
        <v>0</v>
      </c>
      <c r="T1353" s="679">
        <f t="shared" si="574"/>
        <v>0</v>
      </c>
      <c r="U1353" s="679">
        <f t="shared" si="574"/>
        <v>0</v>
      </c>
      <c r="V1353" s="679">
        <f t="shared" si="574"/>
        <v>0</v>
      </c>
      <c r="W1353" s="679">
        <f t="shared" si="574"/>
        <v>0</v>
      </c>
      <c r="X1353" s="679">
        <f t="shared" si="574"/>
        <v>0</v>
      </c>
      <c r="Y1353" s="679">
        <f t="shared" si="574"/>
        <v>0</v>
      </c>
      <c r="Z1353" s="679">
        <f t="shared" si="574"/>
        <v>0</v>
      </c>
      <c r="AA1353" s="679">
        <f t="shared" si="574"/>
        <v>0</v>
      </c>
      <c r="AB1353" s="679">
        <f t="shared" si="574"/>
        <v>0</v>
      </c>
      <c r="AC1353" s="679">
        <f>ROUND(SUM(AC1344:AC1352),5)</f>
        <v>-185</v>
      </c>
      <c r="AD1353" s="679">
        <f>ROUND(SUM(AD1344:AD1352),5)</f>
        <v>41.83</v>
      </c>
      <c r="AE1353" s="679">
        <f>ROUND(SUM(AE1344:AE1352),5)</f>
        <v>0</v>
      </c>
      <c r="AF1353" s="664">
        <f>ROUND(SUM(AF1344:AF1352),5)</f>
        <v>-578.41999999999996</v>
      </c>
      <c r="AG1353" s="679">
        <f>ROUND(SUM(AG1344:AG1352),5)</f>
        <v>0</v>
      </c>
      <c r="AH1353" s="664">
        <f t="shared" ref="AH1353:BJ1353" si="575">SUM(AH1344:AH1352)</f>
        <v>0</v>
      </c>
      <c r="AI1353" s="664">
        <f t="shared" si="575"/>
        <v>0</v>
      </c>
      <c r="AJ1353" s="664">
        <f t="shared" si="575"/>
        <v>0</v>
      </c>
      <c r="AK1353" s="664">
        <f t="shared" si="575"/>
        <v>0</v>
      </c>
      <c r="AL1353" s="664">
        <f t="shared" si="575"/>
        <v>0</v>
      </c>
      <c r="AM1353" s="664">
        <f t="shared" si="575"/>
        <v>0</v>
      </c>
      <c r="AN1353" s="664">
        <f t="shared" si="575"/>
        <v>0</v>
      </c>
      <c r="AO1353" s="664">
        <f t="shared" si="575"/>
        <v>0</v>
      </c>
      <c r="AP1353" s="664">
        <f t="shared" si="575"/>
        <v>0</v>
      </c>
      <c r="AQ1353" s="664">
        <f t="shared" si="575"/>
        <v>0</v>
      </c>
      <c r="AR1353" s="664">
        <f t="shared" si="575"/>
        <v>0</v>
      </c>
      <c r="AS1353" s="664">
        <f t="shared" si="575"/>
        <v>0</v>
      </c>
      <c r="AT1353" s="664">
        <f t="shared" si="575"/>
        <v>0</v>
      </c>
      <c r="AU1353" s="664">
        <f t="shared" si="575"/>
        <v>0</v>
      </c>
      <c r="AV1353" s="664">
        <f t="shared" si="575"/>
        <v>0</v>
      </c>
      <c r="AW1353" s="664">
        <f t="shared" si="575"/>
        <v>0</v>
      </c>
      <c r="AX1353" s="664">
        <f t="shared" si="575"/>
        <v>0</v>
      </c>
      <c r="AY1353" s="664">
        <f t="shared" si="575"/>
        <v>0</v>
      </c>
      <c r="AZ1353" s="664">
        <f t="shared" si="575"/>
        <v>0</v>
      </c>
      <c r="BA1353" s="664">
        <f t="shared" si="575"/>
        <v>0</v>
      </c>
      <c r="BB1353" s="664">
        <f t="shared" si="575"/>
        <v>0</v>
      </c>
      <c r="BC1353" s="664">
        <f t="shared" si="575"/>
        <v>0</v>
      </c>
      <c r="BD1353" s="664">
        <f t="shared" si="575"/>
        <v>0</v>
      </c>
      <c r="BE1353" s="664">
        <f t="shared" si="575"/>
        <v>0</v>
      </c>
      <c r="BF1353" s="664">
        <f t="shared" si="575"/>
        <v>0</v>
      </c>
      <c r="BG1353" s="664">
        <f t="shared" si="575"/>
        <v>0</v>
      </c>
      <c r="BH1353" s="664">
        <f t="shared" si="575"/>
        <v>0</v>
      </c>
      <c r="BI1353" s="664">
        <f t="shared" si="575"/>
        <v>0</v>
      </c>
      <c r="BJ1353" s="664">
        <f t="shared" si="575"/>
        <v>0</v>
      </c>
      <c r="BK1353" s="664">
        <f t="shared" ref="BK1353:CA1353" si="576">SUM(BK1344:BK1352)</f>
        <v>0</v>
      </c>
      <c r="BL1353" s="664">
        <f t="shared" si="576"/>
        <v>0</v>
      </c>
      <c r="BM1353" s="664">
        <f t="shared" si="576"/>
        <v>0</v>
      </c>
      <c r="BN1353" s="664">
        <f t="shared" si="576"/>
        <v>0</v>
      </c>
      <c r="BO1353" s="664">
        <f t="shared" si="576"/>
        <v>0</v>
      </c>
      <c r="BP1353" s="664">
        <f t="shared" si="576"/>
        <v>0</v>
      </c>
      <c r="BQ1353" s="664">
        <f t="shared" si="576"/>
        <v>0</v>
      </c>
      <c r="BR1353" s="664">
        <f t="shared" si="576"/>
        <v>0</v>
      </c>
      <c r="BS1353" s="664">
        <f t="shared" si="576"/>
        <v>0</v>
      </c>
      <c r="BT1353" s="664">
        <f t="shared" si="576"/>
        <v>0</v>
      </c>
      <c r="BU1353" s="664">
        <f t="shared" si="576"/>
        <v>0</v>
      </c>
      <c r="BV1353" s="664">
        <f t="shared" si="576"/>
        <v>0</v>
      </c>
      <c r="BW1353" s="664">
        <f t="shared" si="576"/>
        <v>0</v>
      </c>
      <c r="BX1353" s="664">
        <f t="shared" si="576"/>
        <v>0</v>
      </c>
      <c r="BY1353" s="664">
        <f t="shared" si="576"/>
        <v>0</v>
      </c>
      <c r="BZ1353" s="664">
        <f t="shared" si="576"/>
        <v>0</v>
      </c>
      <c r="CA1353" s="664">
        <f t="shared" si="576"/>
        <v>0</v>
      </c>
    </row>
    <row r="1354" spans="1:79" s="693" customFormat="1" hidden="1" outlineLevel="1" x14ac:dyDescent="0.25">
      <c r="A1354" s="701"/>
      <c r="B1354" s="700"/>
      <c r="C1354" s="700"/>
      <c r="D1354" s="700"/>
      <c r="E1354" s="570" t="s">
        <v>1344</v>
      </c>
      <c r="F1354" s="701" t="s">
        <v>626</v>
      </c>
      <c r="G1354" s="736"/>
      <c r="H1354" s="736"/>
      <c r="I1354" s="736"/>
      <c r="J1354" s="736"/>
      <c r="K1354" s="736"/>
      <c r="L1354" s="736"/>
      <c r="M1354" s="736"/>
      <c r="N1354" s="736"/>
      <c r="O1354" s="733"/>
      <c r="P1354" s="736"/>
      <c r="Q1354" s="736"/>
      <c r="R1354" s="762"/>
      <c r="S1354" s="697"/>
      <c r="T1354" s="697"/>
      <c r="U1354" s="697"/>
      <c r="V1354" s="697"/>
      <c r="W1354" s="697"/>
      <c r="X1354" s="697"/>
      <c r="Y1354" s="697"/>
      <c r="Z1354" s="697"/>
      <c r="AA1354" s="697"/>
      <c r="AB1354" s="697"/>
      <c r="AC1354" s="712"/>
      <c r="AD1354" s="712"/>
      <c r="AE1354" s="697"/>
      <c r="AF1354" s="752"/>
      <c r="AG1354" s="712"/>
      <c r="AH1354" s="735"/>
      <c r="AI1354" s="735"/>
      <c r="AJ1354" s="735"/>
      <c r="AK1354" s="735"/>
      <c r="AL1354" s="735"/>
      <c r="AM1354" s="735"/>
      <c r="AN1354" s="735"/>
      <c r="AO1354" s="735"/>
      <c r="AP1354" s="735"/>
      <c r="AQ1354" s="735"/>
      <c r="AR1354" s="735"/>
      <c r="AS1354" s="735"/>
      <c r="AT1354" s="735"/>
      <c r="AU1354" s="735"/>
      <c r="AV1354" s="735"/>
      <c r="AW1354" s="735"/>
      <c r="AX1354" s="735"/>
      <c r="AY1354" s="735"/>
      <c r="AZ1354" s="735"/>
      <c r="BA1354" s="735"/>
      <c r="BB1354" s="735"/>
      <c r="BC1354" s="735"/>
      <c r="BD1354" s="735"/>
      <c r="BE1354" s="735"/>
      <c r="BF1354" s="735"/>
      <c r="BG1354" s="735"/>
      <c r="BH1354" s="735"/>
      <c r="BI1354" s="735"/>
      <c r="BJ1354" s="735"/>
      <c r="BK1354" s="735"/>
      <c r="BL1354" s="735"/>
      <c r="BM1354" s="735"/>
      <c r="BN1354" s="735"/>
      <c r="BO1354" s="735"/>
      <c r="BP1354" s="735"/>
      <c r="BQ1354" s="735"/>
      <c r="BR1354" s="735"/>
      <c r="BS1354" s="735"/>
      <c r="BT1354" s="735"/>
      <c r="BU1354" s="735"/>
      <c r="BV1354" s="735"/>
      <c r="BW1354" s="735"/>
      <c r="BX1354" s="735"/>
      <c r="BY1354" s="735"/>
      <c r="BZ1354" s="735"/>
      <c r="CA1354" s="735"/>
    </row>
    <row r="1355" spans="1:79" hidden="1" outlineLevel="1" x14ac:dyDescent="0.25">
      <c r="A1355" s="661"/>
      <c r="B1355" s="79"/>
      <c r="C1355" s="79"/>
      <c r="D1355" s="79"/>
      <c r="E1355" s="570" t="s">
        <v>1344</v>
      </c>
      <c r="F1355" s="661" t="s">
        <v>627</v>
      </c>
      <c r="G1355" s="718"/>
      <c r="H1355" s="718"/>
      <c r="I1355" s="718"/>
      <c r="J1355" s="718"/>
      <c r="K1355" s="718"/>
      <c r="L1355" s="718"/>
      <c r="M1355" s="718"/>
      <c r="N1355" s="718"/>
      <c r="O1355" s="719"/>
      <c r="P1355" s="718"/>
      <c r="Q1355" s="718"/>
      <c r="R1355" s="717"/>
      <c r="S1355" s="667">
        <v>-0.13</v>
      </c>
      <c r="T1355" s="667">
        <v>1.38</v>
      </c>
      <c r="U1355" s="667">
        <v>0</v>
      </c>
      <c r="V1355" s="667">
        <v>0</v>
      </c>
      <c r="W1355" s="667">
        <v>0</v>
      </c>
      <c r="X1355" s="667">
        <v>0</v>
      </c>
      <c r="Y1355" s="667">
        <v>0</v>
      </c>
      <c r="Z1355" s="667">
        <v>0</v>
      </c>
      <c r="AA1355" s="667">
        <v>0</v>
      </c>
      <c r="AB1355" s="667">
        <v>0</v>
      </c>
      <c r="AC1355" s="686">
        <v>0</v>
      </c>
      <c r="AD1355" s="686">
        <v>0</v>
      </c>
      <c r="AE1355" s="667">
        <v>0</v>
      </c>
      <c r="AF1355" s="724">
        <v>0</v>
      </c>
      <c r="AG1355" s="686">
        <v>0</v>
      </c>
      <c r="AH1355" s="720"/>
      <c r="AI1355" s="720"/>
      <c r="AJ1355" s="720"/>
      <c r="AK1355" s="720"/>
      <c r="AL1355" s="720"/>
      <c r="AM1355" s="720"/>
      <c r="AN1355" s="720"/>
      <c r="AO1355" s="720"/>
      <c r="AP1355" s="720"/>
      <c r="AQ1355" s="720"/>
      <c r="AR1355" s="720"/>
      <c r="AS1355" s="720"/>
      <c r="AT1355" s="720"/>
      <c r="AU1355" s="720"/>
      <c r="AV1355" s="720"/>
      <c r="AW1355" s="720"/>
      <c r="AX1355" s="720"/>
      <c r="AY1355" s="720"/>
      <c r="AZ1355" s="720"/>
      <c r="BA1355" s="720"/>
      <c r="BB1355" s="720"/>
      <c r="BC1355" s="720"/>
      <c r="BD1355" s="720"/>
      <c r="BE1355" s="720"/>
      <c r="BF1355" s="720"/>
      <c r="BG1355" s="720"/>
      <c r="BH1355" s="720"/>
      <c r="BI1355" s="720"/>
      <c r="BJ1355" s="720"/>
      <c r="BK1355" s="720"/>
      <c r="BL1355" s="720"/>
      <c r="BM1355" s="720"/>
      <c r="BN1355" s="720"/>
      <c r="BO1355" s="720"/>
      <c r="BP1355" s="720"/>
      <c r="BQ1355" s="720"/>
      <c r="BR1355" s="720"/>
      <c r="BS1355" s="720"/>
      <c r="BT1355" s="720"/>
      <c r="BU1355" s="720"/>
      <c r="BV1355" s="720"/>
      <c r="BW1355" s="720"/>
      <c r="BX1355" s="720"/>
      <c r="BY1355" s="720"/>
      <c r="BZ1355" s="720"/>
      <c r="CA1355" s="720"/>
    </row>
    <row r="1356" spans="1:79" hidden="1" outlineLevel="1" x14ac:dyDescent="0.25">
      <c r="A1356" s="661"/>
      <c r="B1356" s="79"/>
      <c r="C1356" s="79"/>
      <c r="D1356" s="79"/>
      <c r="E1356" s="570" t="s">
        <v>1344</v>
      </c>
      <c r="F1356" s="661" t="s">
        <v>628</v>
      </c>
      <c r="G1356" s="718"/>
      <c r="H1356" s="718"/>
      <c r="I1356" s="718"/>
      <c r="J1356" s="718"/>
      <c r="K1356" s="718"/>
      <c r="L1356" s="718"/>
      <c r="M1356" s="718"/>
      <c r="N1356" s="718"/>
      <c r="O1356" s="719"/>
      <c r="P1356" s="718"/>
      <c r="Q1356" s="718"/>
      <c r="R1356" s="717"/>
      <c r="S1356" s="667">
        <v>1313.88</v>
      </c>
      <c r="T1356" s="667">
        <v>8.17</v>
      </c>
      <c r="U1356" s="667">
        <v>0</v>
      </c>
      <c r="V1356" s="667">
        <v>0</v>
      </c>
      <c r="W1356" s="667">
        <v>0</v>
      </c>
      <c r="X1356" s="667">
        <v>0</v>
      </c>
      <c r="Y1356" s="667">
        <v>0</v>
      </c>
      <c r="Z1356" s="667">
        <v>0</v>
      </c>
      <c r="AA1356" s="667">
        <v>0</v>
      </c>
      <c r="AB1356" s="667">
        <v>0</v>
      </c>
      <c r="AC1356" s="686">
        <v>0</v>
      </c>
      <c r="AD1356" s="686">
        <v>0</v>
      </c>
      <c r="AE1356" s="667">
        <v>2787.59</v>
      </c>
      <c r="AF1356" s="724">
        <v>0</v>
      </c>
      <c r="AG1356" s="686">
        <v>0</v>
      </c>
      <c r="AH1356" s="720"/>
      <c r="AI1356" s="720"/>
      <c r="AJ1356" s="720"/>
      <c r="AK1356" s="720"/>
      <c r="AL1356" s="720"/>
      <c r="AM1356" s="720"/>
      <c r="AN1356" s="720"/>
      <c r="AO1356" s="720"/>
      <c r="AP1356" s="720"/>
      <c r="AQ1356" s="720"/>
      <c r="AR1356" s="720"/>
      <c r="AS1356" s="720"/>
      <c r="AT1356" s="720"/>
      <c r="AU1356" s="720"/>
      <c r="AV1356" s="720"/>
      <c r="AW1356" s="720"/>
      <c r="AX1356" s="720"/>
      <c r="AY1356" s="720"/>
      <c r="AZ1356" s="720"/>
      <c r="BA1356" s="720"/>
      <c r="BB1356" s="720"/>
      <c r="BC1356" s="720"/>
      <c r="BD1356" s="720"/>
      <c r="BE1356" s="720"/>
      <c r="BF1356" s="720"/>
      <c r="BG1356" s="720"/>
      <c r="BH1356" s="720"/>
      <c r="BI1356" s="720"/>
      <c r="BJ1356" s="720"/>
      <c r="BK1356" s="720"/>
      <c r="BL1356" s="720"/>
      <c r="BM1356" s="720"/>
      <c r="BN1356" s="720"/>
      <c r="BO1356" s="720"/>
      <c r="BP1356" s="720"/>
      <c r="BQ1356" s="720"/>
      <c r="BR1356" s="720"/>
      <c r="BS1356" s="720"/>
      <c r="BT1356" s="720"/>
      <c r="BU1356" s="720"/>
      <c r="BV1356" s="720"/>
      <c r="BW1356" s="720"/>
      <c r="BX1356" s="720"/>
      <c r="BY1356" s="720"/>
      <c r="BZ1356" s="720"/>
      <c r="CA1356" s="720"/>
    </row>
    <row r="1357" spans="1:79" hidden="1" outlineLevel="1" x14ac:dyDescent="0.25">
      <c r="A1357" s="661"/>
      <c r="B1357" s="79"/>
      <c r="C1357" s="79"/>
      <c r="D1357" s="79"/>
      <c r="E1357" s="570" t="s">
        <v>1344</v>
      </c>
      <c r="F1357" s="661" t="s">
        <v>629</v>
      </c>
      <c r="G1357" s="718"/>
      <c r="H1357" s="718"/>
      <c r="I1357" s="718"/>
      <c r="J1357" s="718"/>
      <c r="K1357" s="718"/>
      <c r="L1357" s="718"/>
      <c r="M1357" s="718"/>
      <c r="N1357" s="718"/>
      <c r="O1357" s="719"/>
      <c r="P1357" s="718"/>
      <c r="Q1357" s="718"/>
      <c r="R1357" s="717"/>
      <c r="S1357" s="667">
        <v>0.03</v>
      </c>
      <c r="T1357" s="667">
        <v>45.86</v>
      </c>
      <c r="U1357" s="667">
        <v>0</v>
      </c>
      <c r="V1357" s="667">
        <v>0</v>
      </c>
      <c r="W1357" s="667">
        <v>0</v>
      </c>
      <c r="X1357" s="667">
        <v>0</v>
      </c>
      <c r="Y1357" s="667">
        <v>0</v>
      </c>
      <c r="Z1357" s="667">
        <v>0</v>
      </c>
      <c r="AA1357" s="667">
        <v>0</v>
      </c>
      <c r="AB1357" s="667">
        <v>0</v>
      </c>
      <c r="AC1357" s="686">
        <v>0</v>
      </c>
      <c r="AD1357" s="686">
        <v>0</v>
      </c>
      <c r="AE1357" s="667">
        <v>0</v>
      </c>
      <c r="AF1357" s="724">
        <v>0</v>
      </c>
      <c r="AG1357" s="686">
        <v>0</v>
      </c>
      <c r="AH1357" s="720"/>
      <c r="AI1357" s="720"/>
      <c r="AJ1357" s="720"/>
      <c r="AK1357" s="720"/>
      <c r="AL1357" s="720"/>
      <c r="AM1357" s="720"/>
      <c r="AN1357" s="720"/>
      <c r="AO1357" s="720"/>
      <c r="AP1357" s="720"/>
      <c r="AQ1357" s="720"/>
      <c r="AR1357" s="720"/>
      <c r="AS1357" s="720"/>
      <c r="AT1357" s="720"/>
      <c r="AU1357" s="720"/>
      <c r="AV1357" s="720"/>
      <c r="AW1357" s="720"/>
      <c r="AX1357" s="720"/>
      <c r="AY1357" s="720"/>
      <c r="AZ1357" s="720"/>
      <c r="BA1357" s="720"/>
      <c r="BB1357" s="720"/>
      <c r="BC1357" s="720"/>
      <c r="BD1357" s="720"/>
      <c r="BE1357" s="720"/>
      <c r="BF1357" s="720"/>
      <c r="BG1357" s="720"/>
      <c r="BH1357" s="720"/>
      <c r="BI1357" s="720"/>
      <c r="BJ1357" s="720"/>
      <c r="BK1357" s="720"/>
      <c r="BL1357" s="720"/>
      <c r="BM1357" s="720"/>
      <c r="BN1357" s="720"/>
      <c r="BO1357" s="720"/>
      <c r="BP1357" s="720"/>
      <c r="BQ1357" s="720"/>
      <c r="BR1357" s="720"/>
      <c r="BS1357" s="720"/>
      <c r="BT1357" s="720"/>
      <c r="BU1357" s="720"/>
      <c r="BV1357" s="720"/>
      <c r="BW1357" s="720"/>
      <c r="BX1357" s="720"/>
      <c r="BY1357" s="720"/>
      <c r="BZ1357" s="720"/>
      <c r="CA1357" s="720"/>
    </row>
    <row r="1358" spans="1:79" hidden="1" outlineLevel="1" x14ac:dyDescent="0.25">
      <c r="A1358" s="661"/>
      <c r="B1358" s="79"/>
      <c r="C1358" s="79"/>
      <c r="D1358" s="79"/>
      <c r="E1358" s="570" t="s">
        <v>1344</v>
      </c>
      <c r="F1358" s="661" t="s">
        <v>630</v>
      </c>
      <c r="G1358" s="718"/>
      <c r="H1358" s="718"/>
      <c r="I1358" s="718"/>
      <c r="J1358" s="718"/>
      <c r="K1358" s="718"/>
      <c r="L1358" s="718"/>
      <c r="M1358" s="718"/>
      <c r="N1358" s="718"/>
      <c r="O1358" s="719"/>
      <c r="P1358" s="718"/>
      <c r="Q1358" s="718"/>
      <c r="R1358" s="717"/>
      <c r="S1358" s="667">
        <v>-0.01</v>
      </c>
      <c r="T1358" s="667">
        <v>196.24</v>
      </c>
      <c r="U1358" s="667">
        <v>0</v>
      </c>
      <c r="V1358" s="667">
        <v>0</v>
      </c>
      <c r="W1358" s="667">
        <v>0</v>
      </c>
      <c r="X1358" s="667">
        <v>0</v>
      </c>
      <c r="Y1358" s="667">
        <v>0</v>
      </c>
      <c r="Z1358" s="667">
        <v>0</v>
      </c>
      <c r="AA1358" s="667">
        <v>0</v>
      </c>
      <c r="AB1358" s="667">
        <v>0</v>
      </c>
      <c r="AC1358" s="686">
        <v>0</v>
      </c>
      <c r="AD1358" s="686">
        <v>0</v>
      </c>
      <c r="AE1358" s="667">
        <v>0</v>
      </c>
      <c r="AF1358" s="724">
        <v>0</v>
      </c>
      <c r="AG1358" s="686">
        <v>0</v>
      </c>
      <c r="AH1358" s="720"/>
      <c r="AI1358" s="720"/>
      <c r="AJ1358" s="720"/>
      <c r="AK1358" s="720"/>
      <c r="AL1358" s="720"/>
      <c r="AM1358" s="720"/>
      <c r="AN1358" s="720"/>
      <c r="AO1358" s="720"/>
      <c r="AP1358" s="720"/>
      <c r="AQ1358" s="720"/>
      <c r="AR1358" s="720"/>
      <c r="AS1358" s="720"/>
      <c r="AT1358" s="720"/>
      <c r="AU1358" s="720"/>
      <c r="AV1358" s="720"/>
      <c r="AW1358" s="720"/>
      <c r="AX1358" s="720"/>
      <c r="AY1358" s="720"/>
      <c r="AZ1358" s="720"/>
      <c r="BA1358" s="720"/>
      <c r="BB1358" s="720"/>
      <c r="BC1358" s="720"/>
      <c r="BD1358" s="720"/>
      <c r="BE1358" s="720"/>
      <c r="BF1358" s="720"/>
      <c r="BG1358" s="720"/>
      <c r="BH1358" s="720"/>
      <c r="BI1358" s="720"/>
      <c r="BJ1358" s="720"/>
      <c r="BK1358" s="720"/>
      <c r="BL1358" s="720"/>
      <c r="BM1358" s="720"/>
      <c r="BN1358" s="720"/>
      <c r="BO1358" s="720"/>
      <c r="BP1358" s="720"/>
      <c r="BQ1358" s="720"/>
      <c r="BR1358" s="720"/>
      <c r="BS1358" s="720"/>
      <c r="BT1358" s="720"/>
      <c r="BU1358" s="720"/>
      <c r="BV1358" s="720"/>
      <c r="BW1358" s="720"/>
      <c r="BX1358" s="720"/>
      <c r="BY1358" s="720"/>
      <c r="BZ1358" s="720"/>
      <c r="CA1358" s="720"/>
    </row>
    <row r="1359" spans="1:79" hidden="1" outlineLevel="1" x14ac:dyDescent="0.25">
      <c r="A1359" s="661"/>
      <c r="B1359" s="79"/>
      <c r="C1359" s="79"/>
      <c r="D1359" s="79"/>
      <c r="E1359" s="570" t="s">
        <v>1344</v>
      </c>
      <c r="F1359" s="661" t="s">
        <v>631</v>
      </c>
      <c r="G1359" s="718"/>
      <c r="H1359" s="718"/>
      <c r="I1359" s="718"/>
      <c r="J1359" s="718"/>
      <c r="K1359" s="718"/>
      <c r="L1359" s="718"/>
      <c r="M1359" s="718"/>
      <c r="N1359" s="718"/>
      <c r="O1359" s="719"/>
      <c r="P1359" s="718"/>
      <c r="Q1359" s="718"/>
      <c r="R1359" s="717"/>
      <c r="S1359" s="667">
        <v>0</v>
      </c>
      <c r="T1359" s="667">
        <v>0</v>
      </c>
      <c r="U1359" s="667">
        <v>0</v>
      </c>
      <c r="V1359" s="667">
        <v>0</v>
      </c>
      <c r="W1359" s="667">
        <v>0</v>
      </c>
      <c r="X1359" s="667">
        <v>0</v>
      </c>
      <c r="Y1359" s="667">
        <v>0</v>
      </c>
      <c r="Z1359" s="667">
        <v>0</v>
      </c>
      <c r="AA1359" s="667">
        <v>0</v>
      </c>
      <c r="AB1359" s="667">
        <v>0</v>
      </c>
      <c r="AC1359" s="686">
        <v>0</v>
      </c>
      <c r="AD1359" s="686">
        <v>0</v>
      </c>
      <c r="AE1359" s="667">
        <v>87.87</v>
      </c>
      <c r="AF1359" s="724">
        <v>0</v>
      </c>
      <c r="AG1359" s="686">
        <v>0</v>
      </c>
      <c r="AH1359" s="720"/>
      <c r="AI1359" s="720"/>
      <c r="AJ1359" s="720"/>
      <c r="AK1359" s="720"/>
      <c r="AL1359" s="720"/>
      <c r="AM1359" s="720"/>
      <c r="AN1359" s="720"/>
      <c r="AO1359" s="720"/>
      <c r="AP1359" s="720"/>
      <c r="AQ1359" s="720"/>
      <c r="AR1359" s="720"/>
      <c r="AS1359" s="720"/>
      <c r="AT1359" s="720"/>
      <c r="AU1359" s="720"/>
      <c r="AV1359" s="720"/>
      <c r="AW1359" s="720"/>
      <c r="AX1359" s="720"/>
      <c r="AY1359" s="720"/>
      <c r="AZ1359" s="720"/>
      <c r="BA1359" s="720"/>
      <c r="BB1359" s="720"/>
      <c r="BC1359" s="720"/>
      <c r="BD1359" s="720"/>
      <c r="BE1359" s="720"/>
      <c r="BF1359" s="720"/>
      <c r="BG1359" s="720"/>
      <c r="BH1359" s="720"/>
      <c r="BI1359" s="720"/>
      <c r="BJ1359" s="720"/>
      <c r="BK1359" s="720"/>
      <c r="BL1359" s="720"/>
      <c r="BM1359" s="720"/>
      <c r="BN1359" s="720"/>
      <c r="BO1359" s="720"/>
      <c r="BP1359" s="720"/>
      <c r="BQ1359" s="720"/>
      <c r="BR1359" s="720"/>
      <c r="BS1359" s="720"/>
      <c r="BT1359" s="720"/>
      <c r="BU1359" s="720"/>
      <c r="BV1359" s="720"/>
      <c r="BW1359" s="720"/>
      <c r="BX1359" s="720"/>
      <c r="BY1359" s="720"/>
      <c r="BZ1359" s="720"/>
      <c r="CA1359" s="720"/>
    </row>
    <row r="1360" spans="1:79" hidden="1" outlineLevel="1" x14ac:dyDescent="0.25">
      <c r="A1360" s="661"/>
      <c r="B1360" s="79"/>
      <c r="C1360" s="79"/>
      <c r="D1360" s="79"/>
      <c r="E1360" s="570" t="s">
        <v>1344</v>
      </c>
      <c r="F1360" s="661" t="s">
        <v>632</v>
      </c>
      <c r="G1360" s="718"/>
      <c r="H1360" s="718"/>
      <c r="I1360" s="718"/>
      <c r="J1360" s="718"/>
      <c r="K1360" s="718"/>
      <c r="L1360" s="718"/>
      <c r="M1360" s="718"/>
      <c r="N1360" s="718"/>
      <c r="O1360" s="719"/>
      <c r="P1360" s="718"/>
      <c r="Q1360" s="718"/>
      <c r="R1360" s="717"/>
      <c r="S1360" s="667">
        <v>0</v>
      </c>
      <c r="T1360" s="667">
        <v>54.41</v>
      </c>
      <c r="U1360" s="667">
        <v>0</v>
      </c>
      <c r="V1360" s="667">
        <v>0</v>
      </c>
      <c r="W1360" s="667">
        <v>0</v>
      </c>
      <c r="X1360" s="667">
        <v>0</v>
      </c>
      <c r="Y1360" s="667">
        <v>0</v>
      </c>
      <c r="Z1360" s="667">
        <v>0</v>
      </c>
      <c r="AA1360" s="667">
        <v>0</v>
      </c>
      <c r="AB1360" s="667">
        <v>0</v>
      </c>
      <c r="AC1360" s="686">
        <v>0</v>
      </c>
      <c r="AD1360" s="686">
        <v>0</v>
      </c>
      <c r="AE1360" s="667">
        <v>-87.7</v>
      </c>
      <c r="AF1360" s="724">
        <v>0</v>
      </c>
      <c r="AG1360" s="686">
        <v>4810</v>
      </c>
      <c r="AH1360" s="720"/>
      <c r="AI1360" s="720"/>
      <c r="AJ1360" s="720"/>
      <c r="AK1360" s="720"/>
      <c r="AL1360" s="720"/>
      <c r="AM1360" s="720"/>
      <c r="AN1360" s="720"/>
      <c r="AO1360" s="720"/>
      <c r="AP1360" s="720"/>
      <c r="AQ1360" s="720"/>
      <c r="AR1360" s="720"/>
      <c r="AS1360" s="720"/>
      <c r="AT1360" s="720"/>
      <c r="AU1360" s="720"/>
      <c r="AV1360" s="720"/>
      <c r="AW1360" s="720"/>
      <c r="AX1360" s="720"/>
      <c r="AY1360" s="720"/>
      <c r="AZ1360" s="720"/>
      <c r="BA1360" s="720"/>
      <c r="BB1360" s="720"/>
      <c r="BC1360" s="720"/>
      <c r="BD1360" s="720"/>
      <c r="BE1360" s="720"/>
      <c r="BF1360" s="720"/>
      <c r="BG1360" s="720"/>
      <c r="BH1360" s="720"/>
      <c r="BI1360" s="720"/>
      <c r="BJ1360" s="720"/>
      <c r="BK1360" s="720"/>
      <c r="BL1360" s="720"/>
      <c r="BM1360" s="720"/>
      <c r="BN1360" s="720"/>
      <c r="BO1360" s="720"/>
      <c r="BP1360" s="720"/>
      <c r="BQ1360" s="720"/>
      <c r="BR1360" s="720"/>
      <c r="BS1360" s="720"/>
      <c r="BT1360" s="720"/>
      <c r="BU1360" s="720"/>
      <c r="BV1360" s="720"/>
      <c r="BW1360" s="720"/>
      <c r="BX1360" s="720"/>
      <c r="BY1360" s="720"/>
      <c r="BZ1360" s="720"/>
      <c r="CA1360" s="720"/>
    </row>
    <row r="1361" spans="1:79" hidden="1" outlineLevel="1" x14ac:dyDescent="0.25">
      <c r="A1361" s="661"/>
      <c r="B1361" s="576"/>
      <c r="C1361" s="576"/>
      <c r="D1361" s="576"/>
      <c r="E1361" s="570" t="s">
        <v>1344</v>
      </c>
      <c r="F1361" s="661" t="s">
        <v>902</v>
      </c>
      <c r="G1361" s="718"/>
      <c r="H1361" s="718"/>
      <c r="I1361" s="718"/>
      <c r="J1361" s="718"/>
      <c r="K1361" s="718"/>
      <c r="L1361" s="718"/>
      <c r="M1361" s="718"/>
      <c r="N1361" s="718"/>
      <c r="O1361" s="719"/>
      <c r="P1361" s="718"/>
      <c r="Q1361" s="718"/>
      <c r="R1361" s="717"/>
      <c r="S1361" s="667">
        <v>0</v>
      </c>
      <c r="T1361" s="667">
        <v>0</v>
      </c>
      <c r="U1361" s="667">
        <v>0</v>
      </c>
      <c r="V1361" s="667">
        <v>0</v>
      </c>
      <c r="W1361" s="667">
        <v>0</v>
      </c>
      <c r="X1361" s="667">
        <v>0</v>
      </c>
      <c r="Y1361" s="667">
        <v>0</v>
      </c>
      <c r="Z1361" s="667">
        <v>0</v>
      </c>
      <c r="AA1361" s="667">
        <v>0</v>
      </c>
      <c r="AB1361" s="667">
        <v>0</v>
      </c>
      <c r="AC1361" s="686">
        <v>0</v>
      </c>
      <c r="AD1361" s="686">
        <v>0</v>
      </c>
      <c r="AE1361" s="667">
        <v>0</v>
      </c>
      <c r="AF1361" s="724">
        <v>0</v>
      </c>
      <c r="AG1361" s="686">
        <v>0</v>
      </c>
      <c r="AH1361" s="720"/>
      <c r="AI1361" s="720"/>
      <c r="AJ1361" s="720"/>
      <c r="AK1361" s="720"/>
      <c r="AL1361" s="720"/>
      <c r="AM1361" s="720"/>
      <c r="AN1361" s="720"/>
      <c r="AO1361" s="720"/>
      <c r="AP1361" s="720"/>
      <c r="AQ1361" s="720"/>
      <c r="AR1361" s="720"/>
      <c r="AS1361" s="720"/>
      <c r="AT1361" s="720"/>
      <c r="AU1361" s="720"/>
      <c r="AV1361" s="720"/>
      <c r="AW1361" s="720"/>
      <c r="AX1361" s="720"/>
      <c r="AY1361" s="720"/>
      <c r="AZ1361" s="720"/>
      <c r="BA1361" s="720"/>
      <c r="BB1361" s="720"/>
      <c r="BC1361" s="720"/>
      <c r="BD1361" s="720"/>
      <c r="BE1361" s="720"/>
      <c r="BF1361" s="720"/>
      <c r="BG1361" s="720"/>
      <c r="BH1361" s="720"/>
      <c r="BI1361" s="720"/>
      <c r="BJ1361" s="720"/>
      <c r="BK1361" s="720"/>
      <c r="BL1361" s="720"/>
      <c r="BM1361" s="720"/>
      <c r="BN1361" s="720"/>
      <c r="BO1361" s="720"/>
      <c r="BP1361" s="720"/>
      <c r="BQ1361" s="720"/>
      <c r="BR1361" s="720"/>
      <c r="BS1361" s="720"/>
      <c r="BT1361" s="720"/>
      <c r="BU1361" s="720"/>
      <c r="BV1361" s="720"/>
      <c r="BW1361" s="720"/>
      <c r="BX1361" s="720"/>
      <c r="BY1361" s="720"/>
      <c r="BZ1361" s="720"/>
      <c r="CA1361" s="720"/>
    </row>
    <row r="1362" spans="1:79" hidden="1" outlineLevel="1" x14ac:dyDescent="0.25">
      <c r="A1362" s="661"/>
      <c r="B1362" s="576"/>
      <c r="C1362" s="576"/>
      <c r="D1362" s="576"/>
      <c r="E1362" s="570" t="s">
        <v>1344</v>
      </c>
      <c r="F1362" s="661" t="s">
        <v>633</v>
      </c>
      <c r="G1362" s="716">
        <v>-704.69</v>
      </c>
      <c r="H1362" s="716">
        <v>0.05</v>
      </c>
      <c r="I1362" s="716">
        <v>-0.03</v>
      </c>
      <c r="J1362" s="716">
        <v>4.9999999999999996E-2</v>
      </c>
      <c r="K1362" s="716">
        <v>0</v>
      </c>
      <c r="L1362" s="716">
        <v>-0.03</v>
      </c>
      <c r="M1362" s="716">
        <v>0.01</v>
      </c>
      <c r="N1362" s="716">
        <v>-0.04</v>
      </c>
      <c r="O1362" s="719">
        <v>6.0000000000000005E-2</v>
      </c>
      <c r="P1362" s="716">
        <v>-0.01</v>
      </c>
      <c r="Q1362" s="716">
        <v>-0.05</v>
      </c>
      <c r="R1362" s="720">
        <v>0.01</v>
      </c>
      <c r="S1362" s="667">
        <v>0</v>
      </c>
      <c r="T1362" s="667">
        <v>0</v>
      </c>
      <c r="U1362" s="667">
        <v>0</v>
      </c>
      <c r="V1362" s="667">
        <v>0</v>
      </c>
      <c r="W1362" s="667">
        <v>0</v>
      </c>
      <c r="X1362" s="667">
        <v>0</v>
      </c>
      <c r="Y1362" s="667">
        <v>0</v>
      </c>
      <c r="Z1362" s="667">
        <v>0</v>
      </c>
      <c r="AA1362" s="667">
        <v>0</v>
      </c>
      <c r="AB1362" s="667">
        <v>0</v>
      </c>
      <c r="AC1362" s="686">
        <v>0</v>
      </c>
      <c r="AD1362" s="686">
        <v>0</v>
      </c>
      <c r="AE1362" s="667">
        <v>0</v>
      </c>
      <c r="AF1362" s="724">
        <v>0</v>
      </c>
      <c r="AG1362" s="686">
        <v>0</v>
      </c>
      <c r="AH1362" s="720"/>
      <c r="AI1362" s="720"/>
      <c r="AJ1362" s="720"/>
      <c r="AK1362" s="720"/>
      <c r="AL1362" s="720"/>
      <c r="AM1362" s="720"/>
      <c r="AN1362" s="720"/>
      <c r="AO1362" s="720"/>
      <c r="AP1362" s="720"/>
      <c r="AQ1362" s="720"/>
      <c r="AR1362" s="720"/>
      <c r="AS1362" s="720"/>
      <c r="AT1362" s="720"/>
      <c r="AU1362" s="720"/>
      <c r="AV1362" s="720"/>
      <c r="AW1362" s="720"/>
      <c r="AX1362" s="720"/>
      <c r="AY1362" s="720"/>
      <c r="AZ1362" s="720"/>
      <c r="BA1362" s="720"/>
      <c r="BB1362" s="720"/>
      <c r="BC1362" s="720"/>
      <c r="BD1362" s="720"/>
      <c r="BE1362" s="720"/>
      <c r="BF1362" s="720"/>
      <c r="BG1362" s="720"/>
      <c r="BH1362" s="720"/>
      <c r="BI1362" s="720"/>
      <c r="BJ1362" s="720"/>
      <c r="BK1362" s="720"/>
      <c r="BL1362" s="720"/>
      <c r="BM1362" s="720"/>
      <c r="BN1362" s="720"/>
      <c r="BO1362" s="720"/>
      <c r="BP1362" s="720"/>
      <c r="BQ1362" s="720"/>
      <c r="BR1362" s="720"/>
      <c r="BS1362" s="720"/>
      <c r="BT1362" s="720"/>
      <c r="BU1362" s="720"/>
      <c r="BV1362" s="720"/>
      <c r="BW1362" s="720"/>
      <c r="BX1362" s="720"/>
      <c r="BY1362" s="720"/>
      <c r="BZ1362" s="720"/>
      <c r="CA1362" s="720"/>
    </row>
    <row r="1363" spans="1:79" hidden="1" outlineLevel="1" x14ac:dyDescent="0.25">
      <c r="A1363" s="657"/>
      <c r="B1363" s="503"/>
      <c r="C1363" s="503"/>
      <c r="D1363" s="503"/>
      <c r="E1363" s="570" t="s">
        <v>49</v>
      </c>
      <c r="F1363" s="657" t="s">
        <v>634</v>
      </c>
      <c r="G1363" s="664">
        <f>SUM(G1355:G1362)</f>
        <v>-704.69</v>
      </c>
      <c r="H1363" s="664">
        <f t="shared" ref="H1363:BO1363" si="577">SUM(H1355:H1362)</f>
        <v>0.05</v>
      </c>
      <c r="I1363" s="664">
        <f t="shared" si="577"/>
        <v>-0.03</v>
      </c>
      <c r="J1363" s="664">
        <f t="shared" si="577"/>
        <v>4.9999999999999996E-2</v>
      </c>
      <c r="K1363" s="664">
        <f t="shared" si="577"/>
        <v>0</v>
      </c>
      <c r="L1363" s="664">
        <f t="shared" si="577"/>
        <v>-0.03</v>
      </c>
      <c r="M1363" s="664">
        <f t="shared" si="577"/>
        <v>0.01</v>
      </c>
      <c r="N1363" s="664">
        <f t="shared" si="577"/>
        <v>-0.04</v>
      </c>
      <c r="O1363" s="664">
        <f t="shared" si="577"/>
        <v>6.0000000000000005E-2</v>
      </c>
      <c r="P1363" s="664">
        <f t="shared" si="577"/>
        <v>-0.01</v>
      </c>
      <c r="Q1363" s="664">
        <f t="shared" si="577"/>
        <v>-0.05</v>
      </c>
      <c r="R1363" s="664">
        <f t="shared" si="577"/>
        <v>0.01</v>
      </c>
      <c r="S1363" s="679">
        <f t="shared" ref="S1363:AA1363" si="578">ROUND(SUM(S1354:S1362),5)</f>
        <v>1313.77</v>
      </c>
      <c r="T1363" s="679">
        <f t="shared" si="578"/>
        <v>306.06</v>
      </c>
      <c r="U1363" s="679">
        <f t="shared" si="578"/>
        <v>0</v>
      </c>
      <c r="V1363" s="679">
        <f t="shared" si="578"/>
        <v>0</v>
      </c>
      <c r="W1363" s="679">
        <f t="shared" si="578"/>
        <v>0</v>
      </c>
      <c r="X1363" s="679">
        <f t="shared" si="578"/>
        <v>0</v>
      </c>
      <c r="Y1363" s="679">
        <f t="shared" si="578"/>
        <v>0</v>
      </c>
      <c r="Z1363" s="679">
        <f t="shared" si="578"/>
        <v>0</v>
      </c>
      <c r="AA1363" s="679">
        <f t="shared" si="578"/>
        <v>0</v>
      </c>
      <c r="AB1363" s="679">
        <f t="shared" ref="AB1363:AG1363" si="579">ROUND(SUM(AB1354:AB1362),5)</f>
        <v>0</v>
      </c>
      <c r="AC1363" s="679">
        <f t="shared" si="579"/>
        <v>0</v>
      </c>
      <c r="AD1363" s="679">
        <f t="shared" si="579"/>
        <v>0</v>
      </c>
      <c r="AE1363" s="679">
        <f t="shared" si="579"/>
        <v>2787.76</v>
      </c>
      <c r="AF1363" s="664">
        <f t="shared" si="579"/>
        <v>0</v>
      </c>
      <c r="AG1363" s="679">
        <f t="shared" si="579"/>
        <v>4810</v>
      </c>
      <c r="AH1363" s="664">
        <f t="shared" si="577"/>
        <v>0</v>
      </c>
      <c r="AI1363" s="664">
        <f t="shared" si="577"/>
        <v>0</v>
      </c>
      <c r="AJ1363" s="664">
        <f t="shared" si="577"/>
        <v>0</v>
      </c>
      <c r="AK1363" s="664">
        <f t="shared" si="577"/>
        <v>0</v>
      </c>
      <c r="AL1363" s="664">
        <f t="shared" si="577"/>
        <v>0</v>
      </c>
      <c r="AM1363" s="664">
        <f t="shared" si="577"/>
        <v>0</v>
      </c>
      <c r="AN1363" s="664">
        <f t="shared" si="577"/>
        <v>0</v>
      </c>
      <c r="AO1363" s="664">
        <f t="shared" si="577"/>
        <v>0</v>
      </c>
      <c r="AP1363" s="664">
        <f t="shared" si="577"/>
        <v>0</v>
      </c>
      <c r="AQ1363" s="664">
        <f t="shared" si="577"/>
        <v>0</v>
      </c>
      <c r="AR1363" s="664">
        <f t="shared" si="577"/>
        <v>0</v>
      </c>
      <c r="AS1363" s="664">
        <f t="shared" si="577"/>
        <v>0</v>
      </c>
      <c r="AT1363" s="664">
        <f t="shared" si="577"/>
        <v>0</v>
      </c>
      <c r="AU1363" s="664">
        <f t="shared" si="577"/>
        <v>0</v>
      </c>
      <c r="AV1363" s="664">
        <f t="shared" si="577"/>
        <v>0</v>
      </c>
      <c r="AW1363" s="664">
        <f t="shared" si="577"/>
        <v>0</v>
      </c>
      <c r="AX1363" s="664">
        <f t="shared" si="577"/>
        <v>0</v>
      </c>
      <c r="AY1363" s="664">
        <f t="shared" si="577"/>
        <v>0</v>
      </c>
      <c r="AZ1363" s="664">
        <f t="shared" si="577"/>
        <v>0</v>
      </c>
      <c r="BA1363" s="664">
        <f t="shared" si="577"/>
        <v>0</v>
      </c>
      <c r="BB1363" s="664">
        <f t="shared" si="577"/>
        <v>0</v>
      </c>
      <c r="BC1363" s="664">
        <f t="shared" si="577"/>
        <v>0</v>
      </c>
      <c r="BD1363" s="664">
        <f t="shared" si="577"/>
        <v>0</v>
      </c>
      <c r="BE1363" s="664">
        <f t="shared" si="577"/>
        <v>0</v>
      </c>
      <c r="BF1363" s="664">
        <f t="shared" si="577"/>
        <v>0</v>
      </c>
      <c r="BG1363" s="664">
        <f t="shared" si="577"/>
        <v>0</v>
      </c>
      <c r="BH1363" s="664">
        <f t="shared" si="577"/>
        <v>0</v>
      </c>
      <c r="BI1363" s="664">
        <f t="shared" si="577"/>
        <v>0</v>
      </c>
      <c r="BJ1363" s="664">
        <f t="shared" si="577"/>
        <v>0</v>
      </c>
      <c r="BK1363" s="664">
        <f t="shared" si="577"/>
        <v>0</v>
      </c>
      <c r="BL1363" s="664">
        <f t="shared" si="577"/>
        <v>0</v>
      </c>
      <c r="BM1363" s="664">
        <f t="shared" si="577"/>
        <v>0</v>
      </c>
      <c r="BN1363" s="664">
        <f t="shared" si="577"/>
        <v>0</v>
      </c>
      <c r="BO1363" s="664">
        <f t="shared" si="577"/>
        <v>0</v>
      </c>
      <c r="BP1363" s="664">
        <f t="shared" ref="BP1363:CA1363" si="580">SUM(BP1355:BP1362)</f>
        <v>0</v>
      </c>
      <c r="BQ1363" s="664">
        <f t="shared" si="580"/>
        <v>0</v>
      </c>
      <c r="BR1363" s="664">
        <f t="shared" si="580"/>
        <v>0</v>
      </c>
      <c r="BS1363" s="664">
        <f t="shared" si="580"/>
        <v>0</v>
      </c>
      <c r="BT1363" s="664">
        <f t="shared" si="580"/>
        <v>0</v>
      </c>
      <c r="BU1363" s="664">
        <f t="shared" si="580"/>
        <v>0</v>
      </c>
      <c r="BV1363" s="664">
        <f t="shared" si="580"/>
        <v>0</v>
      </c>
      <c r="BW1363" s="664">
        <f t="shared" si="580"/>
        <v>0</v>
      </c>
      <c r="BX1363" s="664">
        <f t="shared" si="580"/>
        <v>0</v>
      </c>
      <c r="BY1363" s="664">
        <f t="shared" si="580"/>
        <v>0</v>
      </c>
      <c r="BZ1363" s="664">
        <f t="shared" si="580"/>
        <v>0</v>
      </c>
      <c r="CA1363" s="664">
        <f t="shared" si="580"/>
        <v>0</v>
      </c>
    </row>
    <row r="1364" spans="1:79" s="693" customFormat="1" hidden="1" outlineLevel="1" x14ac:dyDescent="0.25">
      <c r="A1364" s="701"/>
      <c r="B1364" s="737"/>
      <c r="C1364" s="737"/>
      <c r="D1364" s="737"/>
      <c r="E1364" s="570" t="s">
        <v>1345</v>
      </c>
      <c r="F1364" s="701" t="s">
        <v>635</v>
      </c>
      <c r="G1364" s="736"/>
      <c r="H1364" s="736"/>
      <c r="I1364" s="736"/>
      <c r="J1364" s="736"/>
      <c r="K1364" s="736"/>
      <c r="L1364" s="736"/>
      <c r="M1364" s="736"/>
      <c r="N1364" s="736"/>
      <c r="O1364" s="733"/>
      <c r="P1364" s="736"/>
      <c r="Q1364" s="736"/>
      <c r="R1364" s="762"/>
      <c r="S1364" s="697"/>
      <c r="T1364" s="697"/>
      <c r="U1364" s="697"/>
      <c r="V1364" s="697"/>
      <c r="W1364" s="697"/>
      <c r="X1364" s="697"/>
      <c r="Y1364" s="697"/>
      <c r="Z1364" s="697"/>
      <c r="AA1364" s="697"/>
      <c r="AB1364" s="697"/>
      <c r="AC1364" s="712"/>
      <c r="AD1364" s="712"/>
      <c r="AE1364" s="697"/>
      <c r="AF1364" s="752"/>
      <c r="AG1364" s="712"/>
      <c r="AH1364" s="735"/>
      <c r="AI1364" s="735"/>
      <c r="AJ1364" s="735"/>
      <c r="AK1364" s="735"/>
      <c r="AL1364" s="735"/>
      <c r="AM1364" s="735"/>
      <c r="AN1364" s="735"/>
      <c r="AO1364" s="735"/>
      <c r="AP1364" s="735"/>
      <c r="AQ1364" s="735"/>
      <c r="AR1364" s="735"/>
      <c r="AS1364" s="735"/>
      <c r="AT1364" s="735"/>
      <c r="AU1364" s="735"/>
      <c r="AV1364" s="735"/>
      <c r="AW1364" s="735"/>
      <c r="AX1364" s="735"/>
      <c r="AY1364" s="735"/>
      <c r="AZ1364" s="735"/>
      <c r="BA1364" s="735"/>
      <c r="BB1364" s="735"/>
      <c r="BC1364" s="735"/>
      <c r="BD1364" s="735"/>
      <c r="BE1364" s="735"/>
      <c r="BF1364" s="735"/>
      <c r="BG1364" s="735"/>
      <c r="BH1364" s="735"/>
      <c r="BI1364" s="735"/>
      <c r="BJ1364" s="735"/>
      <c r="BK1364" s="735"/>
      <c r="BL1364" s="735"/>
      <c r="BM1364" s="735"/>
      <c r="BN1364" s="735"/>
      <c r="BO1364" s="735"/>
      <c r="BP1364" s="735"/>
      <c r="BQ1364" s="735"/>
      <c r="BR1364" s="735"/>
      <c r="BS1364" s="735"/>
      <c r="BT1364" s="735"/>
      <c r="BU1364" s="735"/>
      <c r="BV1364" s="735"/>
      <c r="BW1364" s="735"/>
      <c r="BX1364" s="735"/>
      <c r="BY1364" s="735"/>
      <c r="BZ1364" s="735"/>
      <c r="CA1364" s="735"/>
    </row>
    <row r="1365" spans="1:79" hidden="1" outlineLevel="1" x14ac:dyDescent="0.25">
      <c r="A1365" s="661"/>
      <c r="B1365" s="576"/>
      <c r="C1365" s="576"/>
      <c r="D1365" s="576"/>
      <c r="E1365" s="570" t="s">
        <v>8</v>
      </c>
      <c r="F1365" s="661" t="s">
        <v>8</v>
      </c>
      <c r="G1365" s="718"/>
      <c r="H1365" s="718"/>
      <c r="I1365" s="718"/>
      <c r="J1365" s="718"/>
      <c r="K1365" s="718"/>
      <c r="L1365" s="718"/>
      <c r="M1365" s="718"/>
      <c r="N1365" s="718"/>
      <c r="O1365" s="719"/>
      <c r="P1365" s="718"/>
      <c r="Q1365" s="718"/>
      <c r="R1365" s="717"/>
      <c r="S1365" s="667">
        <v>0</v>
      </c>
      <c r="T1365" s="667">
        <v>0</v>
      </c>
      <c r="U1365" s="667">
        <v>0</v>
      </c>
      <c r="V1365" s="667">
        <v>0</v>
      </c>
      <c r="W1365" s="667">
        <v>0</v>
      </c>
      <c r="X1365" s="667">
        <v>0</v>
      </c>
      <c r="Y1365" s="667">
        <v>0</v>
      </c>
      <c r="Z1365" s="667">
        <v>0</v>
      </c>
      <c r="AA1365" s="667">
        <v>0</v>
      </c>
      <c r="AB1365" s="667">
        <v>0</v>
      </c>
      <c r="AC1365" s="686">
        <v>0</v>
      </c>
      <c r="AD1365" s="686">
        <v>0</v>
      </c>
      <c r="AE1365" s="667">
        <v>0</v>
      </c>
      <c r="AF1365" s="724">
        <v>0</v>
      </c>
      <c r="AG1365" s="686">
        <v>0</v>
      </c>
      <c r="AH1365" s="720"/>
      <c r="AI1365" s="720"/>
      <c r="AJ1365" s="720"/>
      <c r="AK1365" s="720"/>
      <c r="AL1365" s="720"/>
      <c r="AM1365" s="720"/>
      <c r="AN1365" s="720"/>
      <c r="AO1365" s="720"/>
      <c r="AP1365" s="720"/>
      <c r="AQ1365" s="720"/>
      <c r="AR1365" s="720"/>
      <c r="AS1365" s="720"/>
      <c r="AT1365" s="720"/>
      <c r="AU1365" s="720"/>
      <c r="AV1365" s="720"/>
      <c r="AW1365" s="720"/>
      <c r="AX1365" s="720"/>
      <c r="AY1365" s="720"/>
      <c r="AZ1365" s="720"/>
      <c r="BA1365" s="720"/>
      <c r="BB1365" s="720"/>
      <c r="BC1365" s="720"/>
      <c r="BD1365" s="720"/>
      <c r="BE1365" s="720"/>
      <c r="BF1365" s="720"/>
      <c r="BG1365" s="720"/>
      <c r="BH1365" s="720"/>
      <c r="BI1365" s="720"/>
      <c r="BJ1365" s="720"/>
      <c r="BK1365" s="720"/>
      <c r="BL1365" s="720"/>
      <c r="BM1365" s="720"/>
      <c r="BN1365" s="720"/>
      <c r="BO1365" s="720"/>
      <c r="BP1365" s="720"/>
      <c r="BQ1365" s="720"/>
      <c r="BR1365" s="720"/>
      <c r="BS1365" s="720"/>
      <c r="BT1365" s="720"/>
      <c r="BU1365" s="720"/>
      <c r="BV1365" s="720"/>
      <c r="BW1365" s="720"/>
      <c r="BX1365" s="720"/>
      <c r="BY1365" s="720"/>
      <c r="BZ1365" s="720"/>
      <c r="CA1365" s="720"/>
    </row>
    <row r="1366" spans="1:79" hidden="1" outlineLevel="1" x14ac:dyDescent="0.25">
      <c r="A1366" s="661"/>
      <c r="B1366" s="576"/>
      <c r="C1366" s="576"/>
      <c r="D1366" s="576"/>
      <c r="E1366" s="570" t="s">
        <v>8</v>
      </c>
      <c r="F1366" s="661" t="s">
        <v>903</v>
      </c>
      <c r="G1366" s="718"/>
      <c r="H1366" s="718"/>
      <c r="I1366" s="718"/>
      <c r="J1366" s="718"/>
      <c r="K1366" s="718"/>
      <c r="L1366" s="718"/>
      <c r="M1366" s="718"/>
      <c r="N1366" s="718"/>
      <c r="O1366" s="719"/>
      <c r="P1366" s="718"/>
      <c r="Q1366" s="718"/>
      <c r="R1366" s="717"/>
      <c r="S1366" s="667">
        <v>0</v>
      </c>
      <c r="T1366" s="667">
        <v>0</v>
      </c>
      <c r="U1366" s="667">
        <v>0</v>
      </c>
      <c r="V1366" s="667">
        <v>0</v>
      </c>
      <c r="W1366" s="667">
        <v>0</v>
      </c>
      <c r="X1366" s="667">
        <v>0</v>
      </c>
      <c r="Y1366" s="667">
        <v>0</v>
      </c>
      <c r="Z1366" s="667">
        <v>0</v>
      </c>
      <c r="AA1366" s="667">
        <v>0</v>
      </c>
      <c r="AB1366" s="667">
        <v>0</v>
      </c>
      <c r="AC1366" s="686">
        <v>0</v>
      </c>
      <c r="AD1366" s="686">
        <v>0</v>
      </c>
      <c r="AE1366" s="667">
        <v>0</v>
      </c>
      <c r="AF1366" s="724">
        <v>0</v>
      </c>
      <c r="AG1366" s="686">
        <v>0</v>
      </c>
      <c r="AH1366" s="720"/>
      <c r="AI1366" s="720"/>
      <c r="AJ1366" s="720"/>
      <c r="AK1366" s="720"/>
      <c r="AL1366" s="720"/>
      <c r="AM1366" s="720"/>
      <c r="AN1366" s="720"/>
      <c r="AO1366" s="720"/>
      <c r="AP1366" s="720"/>
      <c r="AQ1366" s="720"/>
      <c r="AR1366" s="720"/>
      <c r="AS1366" s="720"/>
      <c r="AT1366" s="720"/>
      <c r="AU1366" s="720"/>
      <c r="AV1366" s="720"/>
      <c r="AW1366" s="720"/>
      <c r="AX1366" s="720"/>
      <c r="AY1366" s="720"/>
      <c r="AZ1366" s="720"/>
      <c r="BA1366" s="720"/>
      <c r="BB1366" s="720"/>
      <c r="BC1366" s="720"/>
      <c r="BD1366" s="720"/>
      <c r="BE1366" s="720"/>
      <c r="BF1366" s="720"/>
      <c r="BG1366" s="720"/>
      <c r="BH1366" s="720"/>
      <c r="BI1366" s="720"/>
      <c r="BJ1366" s="720"/>
      <c r="BK1366" s="720"/>
      <c r="BL1366" s="720"/>
      <c r="BM1366" s="720"/>
      <c r="BN1366" s="720"/>
      <c r="BO1366" s="720"/>
      <c r="BP1366" s="720"/>
      <c r="BQ1366" s="720"/>
      <c r="BR1366" s="720"/>
      <c r="BS1366" s="720"/>
      <c r="BT1366" s="720"/>
      <c r="BU1366" s="720"/>
      <c r="BV1366" s="720"/>
      <c r="BW1366" s="720"/>
      <c r="BX1366" s="720"/>
      <c r="BY1366" s="720"/>
      <c r="BZ1366" s="720"/>
      <c r="CA1366" s="720"/>
    </row>
    <row r="1367" spans="1:79" hidden="1" outlineLevel="1" x14ac:dyDescent="0.25">
      <c r="A1367" s="661"/>
      <c r="B1367" s="79"/>
      <c r="C1367" s="79"/>
      <c r="D1367" s="79"/>
      <c r="E1367" s="570" t="s">
        <v>1345</v>
      </c>
      <c r="F1367" s="661" t="s">
        <v>643</v>
      </c>
      <c r="G1367" s="718"/>
      <c r="H1367" s="718"/>
      <c r="I1367" s="718"/>
      <c r="J1367" s="718"/>
      <c r="K1367" s="718"/>
      <c r="L1367" s="718"/>
      <c r="M1367" s="718"/>
      <c r="N1367" s="718"/>
      <c r="O1367" s="719"/>
      <c r="P1367" s="719"/>
      <c r="Q1367" s="719"/>
      <c r="R1367" s="719"/>
      <c r="S1367" s="667">
        <v>0</v>
      </c>
      <c r="T1367" s="667">
        <v>3165</v>
      </c>
      <c r="U1367" s="667">
        <v>0</v>
      </c>
      <c r="V1367" s="667">
        <v>0</v>
      </c>
      <c r="W1367" s="667">
        <v>0</v>
      </c>
      <c r="X1367" s="667">
        <v>0</v>
      </c>
      <c r="Y1367" s="667">
        <v>0</v>
      </c>
      <c r="Z1367" s="667">
        <v>0</v>
      </c>
      <c r="AA1367" s="667">
        <v>0</v>
      </c>
      <c r="AB1367" s="667">
        <v>0</v>
      </c>
      <c r="AC1367" s="686">
        <v>0</v>
      </c>
      <c r="AD1367" s="686">
        <v>0</v>
      </c>
      <c r="AE1367" s="667">
        <v>0</v>
      </c>
      <c r="AF1367" s="724">
        <v>0</v>
      </c>
      <c r="AG1367" s="686">
        <v>0</v>
      </c>
      <c r="AH1367" s="720"/>
      <c r="AI1367" s="720"/>
      <c r="AJ1367" s="720"/>
      <c r="AK1367" s="720"/>
      <c r="AL1367" s="720"/>
      <c r="AM1367" s="720"/>
      <c r="AN1367" s="720"/>
      <c r="AO1367" s="720"/>
      <c r="AP1367" s="720"/>
      <c r="AQ1367" s="720"/>
      <c r="AR1367" s="720"/>
      <c r="AS1367" s="720"/>
      <c r="AT1367" s="720"/>
      <c r="AU1367" s="720"/>
      <c r="AV1367" s="720"/>
      <c r="AW1367" s="720"/>
      <c r="AX1367" s="720"/>
      <c r="AY1367" s="720"/>
      <c r="AZ1367" s="720"/>
      <c r="BA1367" s="720"/>
      <c r="BB1367" s="720"/>
      <c r="BC1367" s="720"/>
      <c r="BD1367" s="720"/>
      <c r="BE1367" s="720"/>
      <c r="BF1367" s="720"/>
      <c r="BG1367" s="720"/>
      <c r="BH1367" s="720"/>
      <c r="BI1367" s="720"/>
      <c r="BJ1367" s="720"/>
      <c r="BK1367" s="720"/>
      <c r="BL1367" s="720"/>
      <c r="BM1367" s="720"/>
      <c r="BN1367" s="720"/>
      <c r="BO1367" s="720"/>
      <c r="BP1367" s="720"/>
      <c r="BQ1367" s="720"/>
      <c r="BR1367" s="720"/>
      <c r="BS1367" s="720"/>
      <c r="BT1367" s="720"/>
      <c r="BU1367" s="720"/>
      <c r="BV1367" s="720"/>
      <c r="BW1367" s="720"/>
      <c r="BX1367" s="720"/>
      <c r="BY1367" s="720"/>
      <c r="BZ1367" s="720"/>
      <c r="CA1367" s="720"/>
    </row>
    <row r="1368" spans="1:79" hidden="1" outlineLevel="1" x14ac:dyDescent="0.25">
      <c r="A1368" s="661"/>
      <c r="B1368" s="576"/>
      <c r="C1368" s="576"/>
      <c r="D1368" s="576"/>
      <c r="E1368" s="570" t="s">
        <v>1345</v>
      </c>
      <c r="F1368" s="661" t="s">
        <v>644</v>
      </c>
      <c r="G1368" s="718"/>
      <c r="H1368" s="718"/>
      <c r="I1368" s="718"/>
      <c r="J1368" s="718"/>
      <c r="K1368" s="718"/>
      <c r="L1368" s="718"/>
      <c r="M1368" s="718"/>
      <c r="N1368" s="718"/>
      <c r="O1368" s="719"/>
      <c r="P1368" s="719"/>
      <c r="Q1368" s="719"/>
      <c r="R1368" s="719"/>
      <c r="S1368" s="667">
        <v>0</v>
      </c>
      <c r="T1368" s="667">
        <v>0</v>
      </c>
      <c r="U1368" s="667">
        <v>0</v>
      </c>
      <c r="V1368" s="667">
        <v>0</v>
      </c>
      <c r="W1368" s="667">
        <v>0</v>
      </c>
      <c r="X1368" s="667">
        <v>0</v>
      </c>
      <c r="Y1368" s="667">
        <v>0</v>
      </c>
      <c r="Z1368" s="667">
        <v>0</v>
      </c>
      <c r="AA1368" s="667">
        <v>0</v>
      </c>
      <c r="AB1368" s="667">
        <v>0</v>
      </c>
      <c r="AC1368" s="686">
        <v>0</v>
      </c>
      <c r="AD1368" s="686">
        <v>0</v>
      </c>
      <c r="AE1368" s="667">
        <v>0</v>
      </c>
      <c r="AF1368" s="724">
        <v>0</v>
      </c>
      <c r="AG1368" s="686">
        <v>0</v>
      </c>
      <c r="AH1368" s="720"/>
      <c r="AI1368" s="720"/>
      <c r="AJ1368" s="720"/>
      <c r="AK1368" s="720"/>
      <c r="AL1368" s="720"/>
      <c r="AM1368" s="720"/>
      <c r="AN1368" s="720"/>
      <c r="AO1368" s="720"/>
      <c r="AP1368" s="720"/>
      <c r="AQ1368" s="720"/>
      <c r="AR1368" s="720"/>
      <c r="AS1368" s="720"/>
      <c r="AT1368" s="720"/>
      <c r="AU1368" s="720"/>
      <c r="AV1368" s="720"/>
      <c r="AW1368" s="720"/>
      <c r="AX1368" s="720"/>
      <c r="AY1368" s="720"/>
      <c r="AZ1368" s="720"/>
      <c r="BA1368" s="720"/>
      <c r="BB1368" s="720"/>
      <c r="BC1368" s="720"/>
      <c r="BD1368" s="720"/>
      <c r="BE1368" s="720"/>
      <c r="BF1368" s="720"/>
      <c r="BG1368" s="720"/>
      <c r="BH1368" s="720"/>
      <c r="BI1368" s="720"/>
      <c r="BJ1368" s="720"/>
      <c r="BK1368" s="720"/>
      <c r="BL1368" s="720"/>
      <c r="BM1368" s="720"/>
      <c r="BN1368" s="720"/>
      <c r="BO1368" s="720"/>
      <c r="BP1368" s="720"/>
      <c r="BQ1368" s="720"/>
      <c r="BR1368" s="720"/>
      <c r="BS1368" s="720"/>
      <c r="BT1368" s="720"/>
      <c r="BU1368" s="720"/>
      <c r="BV1368" s="720"/>
      <c r="BW1368" s="720"/>
      <c r="BX1368" s="720"/>
      <c r="BY1368" s="720"/>
      <c r="BZ1368" s="720"/>
      <c r="CA1368" s="720"/>
    </row>
    <row r="1369" spans="1:79" hidden="1" outlineLevel="1" x14ac:dyDescent="0.25">
      <c r="A1369" s="661"/>
      <c r="B1369" s="576"/>
      <c r="C1369" s="576"/>
      <c r="D1369" s="576"/>
      <c r="E1369" s="570" t="s">
        <v>1345</v>
      </c>
      <c r="F1369" s="661" t="s">
        <v>636</v>
      </c>
      <c r="G1369" s="718"/>
      <c r="H1369" s="718"/>
      <c r="I1369" s="718"/>
      <c r="J1369" s="718"/>
      <c r="K1369" s="718"/>
      <c r="L1369" s="718"/>
      <c r="M1369" s="718"/>
      <c r="N1369" s="718"/>
      <c r="O1369" s="719"/>
      <c r="P1369" s="719"/>
      <c r="Q1369" s="719"/>
      <c r="R1369" s="719"/>
      <c r="S1369" s="667">
        <v>0</v>
      </c>
      <c r="T1369" s="667">
        <v>0</v>
      </c>
      <c r="U1369" s="667">
        <v>0</v>
      </c>
      <c r="V1369" s="667">
        <v>0</v>
      </c>
      <c r="W1369" s="667">
        <v>0</v>
      </c>
      <c r="X1369" s="667">
        <v>0</v>
      </c>
      <c r="Y1369" s="667">
        <v>0</v>
      </c>
      <c r="Z1369" s="667">
        <v>0</v>
      </c>
      <c r="AA1369" s="667">
        <v>0</v>
      </c>
      <c r="AB1369" s="667">
        <v>0</v>
      </c>
      <c r="AC1369" s="686">
        <v>0</v>
      </c>
      <c r="AD1369" s="686">
        <v>0</v>
      </c>
      <c r="AE1369" s="667">
        <v>0</v>
      </c>
      <c r="AF1369" s="724">
        <v>0</v>
      </c>
      <c r="AG1369" s="686">
        <v>0</v>
      </c>
      <c r="AH1369" s="720"/>
      <c r="AI1369" s="720"/>
      <c r="AJ1369" s="720"/>
      <c r="AK1369" s="720"/>
      <c r="AL1369" s="720"/>
      <c r="AM1369" s="720"/>
      <c r="AN1369" s="720"/>
      <c r="AO1369" s="720"/>
      <c r="AP1369" s="720"/>
      <c r="AQ1369" s="720"/>
      <c r="AR1369" s="720"/>
      <c r="AS1369" s="720"/>
      <c r="AT1369" s="720"/>
      <c r="AU1369" s="720"/>
      <c r="AV1369" s="720"/>
      <c r="AW1369" s="720"/>
      <c r="AX1369" s="720"/>
      <c r="AY1369" s="720"/>
      <c r="AZ1369" s="720"/>
      <c r="BA1369" s="720"/>
      <c r="BB1369" s="720"/>
      <c r="BC1369" s="720"/>
      <c r="BD1369" s="720"/>
      <c r="BE1369" s="720"/>
      <c r="BF1369" s="720"/>
      <c r="BG1369" s="720"/>
      <c r="BH1369" s="720"/>
      <c r="BI1369" s="720"/>
      <c r="BJ1369" s="720"/>
      <c r="BK1369" s="720"/>
      <c r="BL1369" s="720"/>
      <c r="BM1369" s="720"/>
      <c r="BN1369" s="720"/>
      <c r="BO1369" s="720"/>
      <c r="BP1369" s="720"/>
      <c r="BQ1369" s="720"/>
      <c r="BR1369" s="720"/>
      <c r="BS1369" s="720"/>
      <c r="BT1369" s="720"/>
      <c r="BU1369" s="720"/>
      <c r="BV1369" s="720"/>
      <c r="BW1369" s="720"/>
      <c r="BX1369" s="720"/>
      <c r="BY1369" s="720"/>
      <c r="BZ1369" s="720"/>
      <c r="CA1369" s="720"/>
    </row>
    <row r="1370" spans="1:79" hidden="1" outlineLevel="1" x14ac:dyDescent="0.25">
      <c r="A1370" s="661"/>
      <c r="B1370" s="576"/>
      <c r="C1370" s="576"/>
      <c r="D1370" s="576"/>
      <c r="E1370" s="570" t="s">
        <v>637</v>
      </c>
      <c r="F1370" s="661" t="s">
        <v>637</v>
      </c>
      <c r="G1370" s="718"/>
      <c r="H1370" s="718"/>
      <c r="I1370" s="718"/>
      <c r="J1370" s="718"/>
      <c r="K1370" s="718"/>
      <c r="L1370" s="718"/>
      <c r="M1370" s="718"/>
      <c r="N1370" s="718"/>
      <c r="O1370" s="719"/>
      <c r="P1370" s="719"/>
      <c r="Q1370" s="719"/>
      <c r="R1370" s="719"/>
      <c r="S1370" s="667">
        <v>0</v>
      </c>
      <c r="T1370" s="667">
        <v>0</v>
      </c>
      <c r="U1370" s="667">
        <v>0</v>
      </c>
      <c r="V1370" s="667">
        <v>0</v>
      </c>
      <c r="W1370" s="667">
        <v>0</v>
      </c>
      <c r="X1370" s="667">
        <v>0</v>
      </c>
      <c r="Y1370" s="667">
        <v>0</v>
      </c>
      <c r="Z1370" s="667">
        <v>0</v>
      </c>
      <c r="AA1370" s="667">
        <v>0</v>
      </c>
      <c r="AB1370" s="667">
        <v>0</v>
      </c>
      <c r="AC1370" s="686">
        <v>0</v>
      </c>
      <c r="AD1370" s="686">
        <v>0</v>
      </c>
      <c r="AE1370" s="667">
        <v>0</v>
      </c>
      <c r="AF1370" s="724">
        <v>0</v>
      </c>
      <c r="AG1370" s="686">
        <v>0</v>
      </c>
      <c r="AH1370" s="720"/>
      <c r="AI1370" s="720"/>
      <c r="AJ1370" s="720"/>
      <c r="AK1370" s="720"/>
      <c r="AL1370" s="720"/>
      <c r="AM1370" s="720"/>
      <c r="AN1370" s="720"/>
      <c r="AO1370" s="720"/>
      <c r="AP1370" s="720"/>
      <c r="AQ1370" s="720"/>
      <c r="AR1370" s="720"/>
      <c r="AS1370" s="720"/>
      <c r="AT1370" s="720"/>
      <c r="AU1370" s="720"/>
      <c r="AV1370" s="720"/>
      <c r="AW1370" s="720"/>
      <c r="AX1370" s="720"/>
      <c r="AY1370" s="720"/>
      <c r="AZ1370" s="720"/>
      <c r="BA1370" s="720"/>
      <c r="BB1370" s="720"/>
      <c r="BC1370" s="720"/>
      <c r="BD1370" s="720"/>
      <c r="BE1370" s="720"/>
      <c r="BF1370" s="720"/>
      <c r="BG1370" s="720"/>
      <c r="BH1370" s="720"/>
      <c r="BI1370" s="720"/>
      <c r="BJ1370" s="720"/>
      <c r="BK1370" s="720"/>
      <c r="BL1370" s="720"/>
      <c r="BM1370" s="720"/>
      <c r="BN1370" s="720"/>
      <c r="BO1370" s="720"/>
      <c r="BP1370" s="720"/>
      <c r="BQ1370" s="720"/>
      <c r="BR1370" s="720"/>
      <c r="BS1370" s="720"/>
      <c r="BT1370" s="720"/>
      <c r="BU1370" s="720"/>
      <c r="BV1370" s="720"/>
      <c r="BW1370" s="720"/>
      <c r="BX1370" s="720"/>
      <c r="BY1370" s="720"/>
      <c r="BZ1370" s="720"/>
      <c r="CA1370" s="720"/>
    </row>
    <row r="1371" spans="1:79" hidden="1" outlineLevel="1" x14ac:dyDescent="0.25">
      <c r="A1371" s="661"/>
      <c r="B1371" s="576"/>
      <c r="C1371" s="576"/>
      <c r="D1371" s="576"/>
      <c r="E1371" s="570" t="s">
        <v>1345</v>
      </c>
      <c r="F1371" s="661" t="s">
        <v>904</v>
      </c>
      <c r="G1371" s="718"/>
      <c r="H1371" s="718"/>
      <c r="I1371" s="718"/>
      <c r="J1371" s="718"/>
      <c r="K1371" s="718"/>
      <c r="L1371" s="718"/>
      <c r="M1371" s="718"/>
      <c r="N1371" s="718"/>
      <c r="O1371" s="719"/>
      <c r="P1371" s="719"/>
      <c r="Q1371" s="719"/>
      <c r="R1371" s="719"/>
      <c r="S1371" s="667">
        <v>0</v>
      </c>
      <c r="T1371" s="667">
        <v>0</v>
      </c>
      <c r="U1371" s="667">
        <v>0</v>
      </c>
      <c r="V1371" s="667">
        <v>0</v>
      </c>
      <c r="W1371" s="667">
        <v>0</v>
      </c>
      <c r="X1371" s="667">
        <v>0</v>
      </c>
      <c r="Y1371" s="667">
        <v>0</v>
      </c>
      <c r="Z1371" s="667">
        <v>0</v>
      </c>
      <c r="AA1371" s="667">
        <v>0</v>
      </c>
      <c r="AB1371" s="667">
        <v>0</v>
      </c>
      <c r="AC1371" s="686">
        <v>0</v>
      </c>
      <c r="AD1371" s="686">
        <v>0</v>
      </c>
      <c r="AE1371" s="667">
        <v>0</v>
      </c>
      <c r="AF1371" s="724">
        <v>0</v>
      </c>
      <c r="AG1371" s="686">
        <v>0</v>
      </c>
      <c r="AH1371" s="720"/>
      <c r="AI1371" s="720"/>
      <c r="AJ1371" s="720"/>
      <c r="AK1371" s="720"/>
      <c r="AL1371" s="720"/>
      <c r="AM1371" s="720"/>
      <c r="AN1371" s="720"/>
      <c r="AO1371" s="720"/>
      <c r="AP1371" s="720"/>
      <c r="AQ1371" s="720"/>
      <c r="AR1371" s="720"/>
      <c r="AS1371" s="720"/>
      <c r="AT1371" s="720"/>
      <c r="AU1371" s="720"/>
      <c r="AV1371" s="720"/>
      <c r="AW1371" s="720"/>
      <c r="AX1371" s="720"/>
      <c r="AY1371" s="720"/>
      <c r="AZ1371" s="720"/>
      <c r="BA1371" s="720"/>
      <c r="BB1371" s="720"/>
      <c r="BC1371" s="720"/>
      <c r="BD1371" s="720"/>
      <c r="BE1371" s="720"/>
      <c r="BF1371" s="720"/>
      <c r="BG1371" s="720"/>
      <c r="BH1371" s="720"/>
      <c r="BI1371" s="720"/>
      <c r="BJ1371" s="720"/>
      <c r="BK1371" s="720"/>
      <c r="BL1371" s="720"/>
      <c r="BM1371" s="720"/>
      <c r="BN1371" s="720"/>
      <c r="BO1371" s="720"/>
      <c r="BP1371" s="720"/>
      <c r="BQ1371" s="720"/>
      <c r="BR1371" s="720"/>
      <c r="BS1371" s="720"/>
      <c r="BT1371" s="720"/>
      <c r="BU1371" s="720"/>
      <c r="BV1371" s="720"/>
      <c r="BW1371" s="720"/>
      <c r="BX1371" s="720"/>
      <c r="BY1371" s="720"/>
      <c r="BZ1371" s="720"/>
      <c r="CA1371" s="720"/>
    </row>
    <row r="1372" spans="1:79" hidden="1" outlineLevel="1" x14ac:dyDescent="0.25">
      <c r="A1372" s="661"/>
      <c r="B1372" s="576"/>
      <c r="C1372" s="576"/>
      <c r="D1372" s="576"/>
      <c r="E1372" s="570" t="s">
        <v>1345</v>
      </c>
      <c r="F1372" s="661" t="s">
        <v>677</v>
      </c>
      <c r="G1372" s="718"/>
      <c r="H1372" s="718"/>
      <c r="I1372" s="718"/>
      <c r="J1372" s="718"/>
      <c r="K1372" s="718"/>
      <c r="L1372" s="718"/>
      <c r="M1372" s="718"/>
      <c r="N1372" s="718"/>
      <c r="O1372" s="719"/>
      <c r="P1372" s="719"/>
      <c r="Q1372" s="719"/>
      <c r="R1372" s="719"/>
      <c r="S1372" s="667">
        <v>0</v>
      </c>
      <c r="T1372" s="667">
        <v>0</v>
      </c>
      <c r="U1372" s="667">
        <v>0</v>
      </c>
      <c r="V1372" s="667">
        <v>0</v>
      </c>
      <c r="W1372" s="667">
        <v>0</v>
      </c>
      <c r="X1372" s="667">
        <v>0</v>
      </c>
      <c r="Y1372" s="667">
        <v>0</v>
      </c>
      <c r="Z1372" s="667">
        <v>0</v>
      </c>
      <c r="AA1372" s="667">
        <v>0</v>
      </c>
      <c r="AB1372" s="667">
        <v>0</v>
      </c>
      <c r="AC1372" s="686">
        <v>0</v>
      </c>
      <c r="AD1372" s="686">
        <v>0</v>
      </c>
      <c r="AE1372" s="667">
        <v>0</v>
      </c>
      <c r="AF1372" s="724">
        <v>0</v>
      </c>
      <c r="AG1372" s="686">
        <v>0</v>
      </c>
      <c r="AH1372" s="720"/>
      <c r="AI1372" s="720"/>
      <c r="AJ1372" s="720"/>
      <c r="AK1372" s="720"/>
      <c r="AL1372" s="720"/>
      <c r="AM1372" s="720"/>
      <c r="AN1372" s="720"/>
      <c r="AO1372" s="720"/>
      <c r="AP1372" s="720"/>
      <c r="AQ1372" s="720"/>
      <c r="AR1372" s="720"/>
      <c r="AS1372" s="720"/>
      <c r="AT1372" s="720"/>
      <c r="AU1372" s="720"/>
      <c r="AV1372" s="720"/>
      <c r="AW1372" s="720"/>
      <c r="AX1372" s="720"/>
      <c r="AY1372" s="720"/>
      <c r="AZ1372" s="720"/>
      <c r="BA1372" s="720"/>
      <c r="BB1372" s="720"/>
      <c r="BC1372" s="720"/>
      <c r="BD1372" s="720"/>
      <c r="BE1372" s="720"/>
      <c r="BF1372" s="720"/>
      <c r="BG1372" s="720"/>
      <c r="BH1372" s="720"/>
      <c r="BI1372" s="720"/>
      <c r="BJ1372" s="720"/>
      <c r="BK1372" s="720"/>
      <c r="BL1372" s="720"/>
      <c r="BM1372" s="720"/>
      <c r="BN1372" s="720"/>
      <c r="BO1372" s="720"/>
      <c r="BP1372" s="720"/>
      <c r="BQ1372" s="720"/>
      <c r="BR1372" s="720"/>
      <c r="BS1372" s="720"/>
      <c r="BT1372" s="720"/>
      <c r="BU1372" s="720"/>
      <c r="BV1372" s="720"/>
      <c r="BW1372" s="720"/>
      <c r="BX1372" s="720"/>
      <c r="BY1372" s="720"/>
      <c r="BZ1372" s="720"/>
      <c r="CA1372" s="720"/>
    </row>
    <row r="1373" spans="1:79" hidden="1" outlineLevel="1" x14ac:dyDescent="0.25">
      <c r="A1373" s="657"/>
      <c r="B1373" s="503"/>
      <c r="C1373" s="503"/>
      <c r="D1373" s="503"/>
      <c r="E1373" s="570" t="s">
        <v>49</v>
      </c>
      <c r="F1373" s="657" t="s">
        <v>638</v>
      </c>
      <c r="G1373" s="664">
        <f>SUM(G1365:G1372)</f>
        <v>0</v>
      </c>
      <c r="H1373" s="664">
        <f t="shared" ref="H1373:BO1373" si="581">SUM(H1365:H1372)</f>
        <v>0</v>
      </c>
      <c r="I1373" s="664">
        <f t="shared" si="581"/>
        <v>0</v>
      </c>
      <c r="J1373" s="664">
        <f t="shared" si="581"/>
        <v>0</v>
      </c>
      <c r="K1373" s="664">
        <f t="shared" si="581"/>
        <v>0</v>
      </c>
      <c r="L1373" s="664">
        <f t="shared" si="581"/>
        <v>0</v>
      </c>
      <c r="M1373" s="664">
        <f t="shared" si="581"/>
        <v>0</v>
      </c>
      <c r="N1373" s="664">
        <f t="shared" si="581"/>
        <v>0</v>
      </c>
      <c r="O1373" s="664">
        <f t="shared" si="581"/>
        <v>0</v>
      </c>
      <c r="P1373" s="664">
        <f t="shared" si="581"/>
        <v>0</v>
      </c>
      <c r="Q1373" s="664">
        <f t="shared" si="581"/>
        <v>0</v>
      </c>
      <c r="R1373" s="664">
        <f t="shared" si="581"/>
        <v>0</v>
      </c>
      <c r="S1373" s="679">
        <f t="shared" ref="S1373:AA1373" si="582">ROUND(SUM(S1364:S1372),5)</f>
        <v>0</v>
      </c>
      <c r="T1373" s="679">
        <f t="shared" si="582"/>
        <v>3165</v>
      </c>
      <c r="U1373" s="679">
        <f t="shared" si="582"/>
        <v>0</v>
      </c>
      <c r="V1373" s="679">
        <f t="shared" si="582"/>
        <v>0</v>
      </c>
      <c r="W1373" s="679">
        <f t="shared" si="582"/>
        <v>0</v>
      </c>
      <c r="X1373" s="679">
        <f t="shared" si="582"/>
        <v>0</v>
      </c>
      <c r="Y1373" s="679">
        <f t="shared" si="582"/>
        <v>0</v>
      </c>
      <c r="Z1373" s="679">
        <f t="shared" si="582"/>
        <v>0</v>
      </c>
      <c r="AA1373" s="679">
        <f t="shared" si="582"/>
        <v>0</v>
      </c>
      <c r="AB1373" s="679">
        <f t="shared" ref="AB1373:AG1373" si="583">ROUND(SUM(AB1364:AB1372),5)</f>
        <v>0</v>
      </c>
      <c r="AC1373" s="679">
        <f t="shared" si="583"/>
        <v>0</v>
      </c>
      <c r="AD1373" s="679">
        <f t="shared" si="583"/>
        <v>0</v>
      </c>
      <c r="AE1373" s="679">
        <f t="shared" si="583"/>
        <v>0</v>
      </c>
      <c r="AF1373" s="664">
        <f t="shared" si="583"/>
        <v>0</v>
      </c>
      <c r="AG1373" s="679">
        <f t="shared" si="583"/>
        <v>0</v>
      </c>
      <c r="AH1373" s="664">
        <f t="shared" si="581"/>
        <v>0</v>
      </c>
      <c r="AI1373" s="664">
        <f t="shared" si="581"/>
        <v>0</v>
      </c>
      <c r="AJ1373" s="664">
        <f t="shared" si="581"/>
        <v>0</v>
      </c>
      <c r="AK1373" s="664">
        <f t="shared" si="581"/>
        <v>0</v>
      </c>
      <c r="AL1373" s="664">
        <f t="shared" si="581"/>
        <v>0</v>
      </c>
      <c r="AM1373" s="664">
        <f t="shared" si="581"/>
        <v>0</v>
      </c>
      <c r="AN1373" s="664">
        <f t="shared" si="581"/>
        <v>0</v>
      </c>
      <c r="AO1373" s="664">
        <f t="shared" si="581"/>
        <v>0</v>
      </c>
      <c r="AP1373" s="664">
        <f t="shared" si="581"/>
        <v>0</v>
      </c>
      <c r="AQ1373" s="664">
        <f t="shared" si="581"/>
        <v>0</v>
      </c>
      <c r="AR1373" s="664">
        <f t="shared" si="581"/>
        <v>0</v>
      </c>
      <c r="AS1373" s="664">
        <f t="shared" si="581"/>
        <v>0</v>
      </c>
      <c r="AT1373" s="664">
        <f t="shared" si="581"/>
        <v>0</v>
      </c>
      <c r="AU1373" s="664">
        <f t="shared" si="581"/>
        <v>0</v>
      </c>
      <c r="AV1373" s="664">
        <f t="shared" si="581"/>
        <v>0</v>
      </c>
      <c r="AW1373" s="664">
        <f t="shared" si="581"/>
        <v>0</v>
      </c>
      <c r="AX1373" s="664">
        <f t="shared" si="581"/>
        <v>0</v>
      </c>
      <c r="AY1373" s="664">
        <f t="shared" si="581"/>
        <v>0</v>
      </c>
      <c r="AZ1373" s="664">
        <f t="shared" si="581"/>
        <v>0</v>
      </c>
      <c r="BA1373" s="664">
        <f t="shared" si="581"/>
        <v>0</v>
      </c>
      <c r="BB1373" s="664">
        <f t="shared" si="581"/>
        <v>0</v>
      </c>
      <c r="BC1373" s="664">
        <f t="shared" si="581"/>
        <v>0</v>
      </c>
      <c r="BD1373" s="664">
        <f t="shared" si="581"/>
        <v>0</v>
      </c>
      <c r="BE1373" s="664">
        <f t="shared" si="581"/>
        <v>0</v>
      </c>
      <c r="BF1373" s="664">
        <f t="shared" si="581"/>
        <v>0</v>
      </c>
      <c r="BG1373" s="664">
        <f t="shared" si="581"/>
        <v>0</v>
      </c>
      <c r="BH1373" s="664">
        <f t="shared" si="581"/>
        <v>0</v>
      </c>
      <c r="BI1373" s="664">
        <f t="shared" si="581"/>
        <v>0</v>
      </c>
      <c r="BJ1373" s="664">
        <f t="shared" si="581"/>
        <v>0</v>
      </c>
      <c r="BK1373" s="664">
        <f t="shared" si="581"/>
        <v>0</v>
      </c>
      <c r="BL1373" s="664">
        <f t="shared" si="581"/>
        <v>0</v>
      </c>
      <c r="BM1373" s="664">
        <f t="shared" si="581"/>
        <v>0</v>
      </c>
      <c r="BN1373" s="664">
        <f t="shared" si="581"/>
        <v>0</v>
      </c>
      <c r="BO1373" s="664">
        <f t="shared" si="581"/>
        <v>0</v>
      </c>
      <c r="BP1373" s="664">
        <f t="shared" ref="BP1373:CA1373" si="584">SUM(BP1365:BP1372)</f>
        <v>0</v>
      </c>
      <c r="BQ1373" s="664">
        <f t="shared" si="584"/>
        <v>0</v>
      </c>
      <c r="BR1373" s="664">
        <f t="shared" si="584"/>
        <v>0</v>
      </c>
      <c r="BS1373" s="664">
        <f t="shared" si="584"/>
        <v>0</v>
      </c>
      <c r="BT1373" s="664">
        <f t="shared" si="584"/>
        <v>0</v>
      </c>
      <c r="BU1373" s="664">
        <f t="shared" si="584"/>
        <v>0</v>
      </c>
      <c r="BV1373" s="664">
        <f t="shared" si="584"/>
        <v>0</v>
      </c>
      <c r="BW1373" s="664">
        <f t="shared" si="584"/>
        <v>0</v>
      </c>
      <c r="BX1373" s="664">
        <f t="shared" si="584"/>
        <v>0</v>
      </c>
      <c r="BY1373" s="664">
        <f t="shared" si="584"/>
        <v>0</v>
      </c>
      <c r="BZ1373" s="664">
        <f t="shared" si="584"/>
        <v>0</v>
      </c>
      <c r="CA1373" s="664">
        <f t="shared" si="584"/>
        <v>0</v>
      </c>
    </row>
    <row r="1374" spans="1:79" hidden="1" outlineLevel="1" x14ac:dyDescent="0.25">
      <c r="A1374" s="656"/>
      <c r="B1374" s="79"/>
      <c r="C1374" s="79"/>
      <c r="D1374" s="79"/>
      <c r="E1374" s="570" t="s">
        <v>1345</v>
      </c>
      <c r="F1374" s="656" t="s">
        <v>639</v>
      </c>
      <c r="G1374" s="716">
        <v>-0.03</v>
      </c>
      <c r="H1374" s="716"/>
      <c r="I1374" s="716"/>
      <c r="J1374" s="716"/>
      <c r="K1374" s="716"/>
      <c r="L1374" s="716">
        <v>2.73</v>
      </c>
      <c r="M1374" s="716"/>
      <c r="N1374" s="716"/>
      <c r="O1374" s="716"/>
      <c r="P1374" s="716">
        <v>241.32</v>
      </c>
      <c r="Q1374" s="716">
        <v>370.06</v>
      </c>
      <c r="R1374" s="720">
        <v>74.97</v>
      </c>
      <c r="S1374" s="671">
        <v>0.02</v>
      </c>
      <c r="T1374" s="671">
        <v>-0.02</v>
      </c>
      <c r="U1374" s="671">
        <v>0</v>
      </c>
      <c r="V1374" s="671">
        <v>0</v>
      </c>
      <c r="W1374" s="671">
        <v>0</v>
      </c>
      <c r="X1374" s="671">
        <v>0</v>
      </c>
      <c r="Y1374" s="671">
        <v>0</v>
      </c>
      <c r="Z1374" s="671">
        <v>0</v>
      </c>
      <c r="AA1374" s="671">
        <v>0</v>
      </c>
      <c r="AB1374" s="671">
        <v>0</v>
      </c>
      <c r="AC1374" s="682">
        <v>0</v>
      </c>
      <c r="AD1374" s="682">
        <v>0</v>
      </c>
      <c r="AE1374" s="671">
        <v>0</v>
      </c>
      <c r="AF1374" s="724">
        <v>0</v>
      </c>
      <c r="AG1374" s="682">
        <v>0</v>
      </c>
      <c r="AH1374" s="720"/>
      <c r="AI1374" s="720"/>
      <c r="AJ1374" s="720"/>
      <c r="AK1374" s="720"/>
      <c r="AL1374" s="720"/>
      <c r="AM1374" s="720"/>
      <c r="AN1374" s="720"/>
      <c r="AO1374" s="720"/>
      <c r="AP1374" s="720"/>
      <c r="AQ1374" s="720"/>
      <c r="AR1374" s="720"/>
      <c r="AS1374" s="720"/>
      <c r="AT1374" s="720"/>
      <c r="AU1374" s="720"/>
      <c r="AV1374" s="720"/>
      <c r="AW1374" s="720"/>
      <c r="AX1374" s="720"/>
      <c r="AY1374" s="720"/>
      <c r="AZ1374" s="720"/>
      <c r="BA1374" s="720"/>
      <c r="BB1374" s="720"/>
      <c r="BC1374" s="720"/>
      <c r="BD1374" s="720"/>
      <c r="BE1374" s="720"/>
      <c r="BF1374" s="720"/>
      <c r="BG1374" s="720"/>
      <c r="BH1374" s="720"/>
      <c r="BI1374" s="720"/>
      <c r="BJ1374" s="720"/>
      <c r="BK1374" s="720"/>
      <c r="BL1374" s="720"/>
      <c r="BM1374" s="720"/>
      <c r="BN1374" s="720"/>
      <c r="BO1374" s="720"/>
      <c r="BP1374" s="720"/>
      <c r="BQ1374" s="720"/>
      <c r="BR1374" s="720"/>
      <c r="BS1374" s="720"/>
      <c r="BT1374" s="720"/>
      <c r="BU1374" s="720"/>
      <c r="BV1374" s="720"/>
      <c r="BW1374" s="720"/>
      <c r="BX1374" s="720"/>
      <c r="BY1374" s="720"/>
      <c r="BZ1374" s="720"/>
      <c r="CA1374" s="720"/>
    </row>
    <row r="1375" spans="1:79" hidden="1" outlineLevel="1" x14ac:dyDescent="0.25">
      <c r="A1375" s="659"/>
      <c r="E1375" s="570" t="s">
        <v>49</v>
      </c>
      <c r="F1375" s="659" t="s">
        <v>640</v>
      </c>
      <c r="G1375" s="664">
        <f>SUM(G1363+G1373)</f>
        <v>-704.69</v>
      </c>
      <c r="H1375" s="664">
        <f t="shared" ref="H1375:BO1375" si="585">SUM(H1363+H1373)</f>
        <v>0.05</v>
      </c>
      <c r="I1375" s="664">
        <f t="shared" si="585"/>
        <v>-0.03</v>
      </c>
      <c r="J1375" s="664">
        <f t="shared" si="585"/>
        <v>4.9999999999999996E-2</v>
      </c>
      <c r="K1375" s="664">
        <f t="shared" si="585"/>
        <v>0</v>
      </c>
      <c r="L1375" s="664">
        <f t="shared" si="585"/>
        <v>-0.03</v>
      </c>
      <c r="M1375" s="664">
        <f t="shared" si="585"/>
        <v>0.01</v>
      </c>
      <c r="N1375" s="664">
        <f t="shared" si="585"/>
        <v>-0.04</v>
      </c>
      <c r="O1375" s="664">
        <f t="shared" si="585"/>
        <v>6.0000000000000005E-2</v>
      </c>
      <c r="P1375" s="664">
        <f t="shared" si="585"/>
        <v>-0.01</v>
      </c>
      <c r="Q1375" s="664">
        <f t="shared" si="585"/>
        <v>-0.05</v>
      </c>
      <c r="R1375" s="664">
        <f t="shared" si="585"/>
        <v>0.01</v>
      </c>
      <c r="S1375" s="679">
        <f t="shared" ref="S1375:AB1375" si="586">ROUND(S1343+S1353+S1363+SUM(S1373:S1374),5)</f>
        <v>1313.79</v>
      </c>
      <c r="T1375" s="679">
        <f t="shared" si="586"/>
        <v>3471.04</v>
      </c>
      <c r="U1375" s="679">
        <f t="shared" si="586"/>
        <v>0</v>
      </c>
      <c r="V1375" s="679">
        <f t="shared" si="586"/>
        <v>0</v>
      </c>
      <c r="W1375" s="679">
        <f t="shared" si="586"/>
        <v>0</v>
      </c>
      <c r="X1375" s="679">
        <f t="shared" si="586"/>
        <v>0</v>
      </c>
      <c r="Y1375" s="679">
        <f t="shared" si="586"/>
        <v>0</v>
      </c>
      <c r="Z1375" s="679">
        <f t="shared" si="586"/>
        <v>0</v>
      </c>
      <c r="AA1375" s="679">
        <f t="shared" si="586"/>
        <v>0</v>
      </c>
      <c r="AB1375" s="679">
        <f t="shared" si="586"/>
        <v>0</v>
      </c>
      <c r="AC1375" s="679">
        <f>ROUND(AC1343+AC1353+AC1363+SUM(AC1373:AC1374),5)</f>
        <v>-185</v>
      </c>
      <c r="AD1375" s="679">
        <f>ROUND(AD1343+AD1353+AD1363+SUM(AD1373:AD1374),5)</f>
        <v>41.83</v>
      </c>
      <c r="AE1375" s="679">
        <f>ROUND(AE1343+AE1353+AE1363+SUM(AE1373:AE1374),5)</f>
        <v>2787.76</v>
      </c>
      <c r="AF1375" s="679">
        <f>ROUND(AF1343+AF1353+AF1363+SUM(AF1373:AF1374),5)</f>
        <v>-578.41999999999996</v>
      </c>
      <c r="AG1375" s="679">
        <f>ROUND(AG1343+AG1353+AG1363+SUM(AG1373:AG1374),5)</f>
        <v>4810</v>
      </c>
      <c r="AH1375" s="664">
        <f t="shared" si="585"/>
        <v>0</v>
      </c>
      <c r="AI1375" s="664">
        <f t="shared" si="585"/>
        <v>0</v>
      </c>
      <c r="AJ1375" s="664">
        <f t="shared" si="585"/>
        <v>0</v>
      </c>
      <c r="AK1375" s="664">
        <f t="shared" si="585"/>
        <v>0</v>
      </c>
      <c r="AL1375" s="664">
        <f t="shared" si="585"/>
        <v>0</v>
      </c>
      <c r="AM1375" s="664">
        <f t="shared" si="585"/>
        <v>0</v>
      </c>
      <c r="AN1375" s="664">
        <f t="shared" si="585"/>
        <v>0</v>
      </c>
      <c r="AO1375" s="664">
        <f t="shared" si="585"/>
        <v>0</v>
      </c>
      <c r="AP1375" s="664">
        <f t="shared" si="585"/>
        <v>0</v>
      </c>
      <c r="AQ1375" s="664">
        <f t="shared" si="585"/>
        <v>0</v>
      </c>
      <c r="AR1375" s="664">
        <f t="shared" si="585"/>
        <v>0</v>
      </c>
      <c r="AS1375" s="664">
        <f t="shared" si="585"/>
        <v>0</v>
      </c>
      <c r="AT1375" s="664">
        <f t="shared" si="585"/>
        <v>0</v>
      </c>
      <c r="AU1375" s="664">
        <f t="shared" si="585"/>
        <v>0</v>
      </c>
      <c r="AV1375" s="664">
        <f t="shared" si="585"/>
        <v>0</v>
      </c>
      <c r="AW1375" s="664">
        <f t="shared" si="585"/>
        <v>0</v>
      </c>
      <c r="AX1375" s="664">
        <f t="shared" si="585"/>
        <v>0</v>
      </c>
      <c r="AY1375" s="664">
        <f t="shared" si="585"/>
        <v>0</v>
      </c>
      <c r="AZ1375" s="664">
        <f t="shared" si="585"/>
        <v>0</v>
      </c>
      <c r="BA1375" s="664">
        <f t="shared" si="585"/>
        <v>0</v>
      </c>
      <c r="BB1375" s="664">
        <f t="shared" si="585"/>
        <v>0</v>
      </c>
      <c r="BC1375" s="664">
        <f t="shared" si="585"/>
        <v>0</v>
      </c>
      <c r="BD1375" s="664">
        <f t="shared" si="585"/>
        <v>0</v>
      </c>
      <c r="BE1375" s="664">
        <f t="shared" si="585"/>
        <v>0</v>
      </c>
      <c r="BF1375" s="664">
        <f t="shared" si="585"/>
        <v>0</v>
      </c>
      <c r="BG1375" s="664">
        <f t="shared" si="585"/>
        <v>0</v>
      </c>
      <c r="BH1375" s="664">
        <f t="shared" si="585"/>
        <v>0</v>
      </c>
      <c r="BI1375" s="664">
        <f t="shared" si="585"/>
        <v>0</v>
      </c>
      <c r="BJ1375" s="664">
        <f t="shared" si="585"/>
        <v>0</v>
      </c>
      <c r="BK1375" s="664">
        <f t="shared" si="585"/>
        <v>0</v>
      </c>
      <c r="BL1375" s="664">
        <f t="shared" si="585"/>
        <v>0</v>
      </c>
      <c r="BM1375" s="664">
        <f t="shared" si="585"/>
        <v>0</v>
      </c>
      <c r="BN1375" s="664">
        <f t="shared" si="585"/>
        <v>0</v>
      </c>
      <c r="BO1375" s="664">
        <f t="shared" si="585"/>
        <v>0</v>
      </c>
      <c r="BP1375" s="664">
        <f t="shared" ref="BP1375:CA1375" si="587">SUM(BP1363+BP1373)</f>
        <v>0</v>
      </c>
      <c r="BQ1375" s="664">
        <f t="shared" si="587"/>
        <v>0</v>
      </c>
      <c r="BR1375" s="664">
        <f t="shared" si="587"/>
        <v>0</v>
      </c>
      <c r="BS1375" s="664">
        <f t="shared" si="587"/>
        <v>0</v>
      </c>
      <c r="BT1375" s="664">
        <f t="shared" si="587"/>
        <v>0</v>
      </c>
      <c r="BU1375" s="664">
        <f t="shared" si="587"/>
        <v>0</v>
      </c>
      <c r="BV1375" s="664">
        <f t="shared" si="587"/>
        <v>0</v>
      </c>
      <c r="BW1375" s="664">
        <f t="shared" si="587"/>
        <v>0</v>
      </c>
      <c r="BX1375" s="664">
        <f t="shared" si="587"/>
        <v>0</v>
      </c>
      <c r="BY1375" s="664">
        <f t="shared" si="587"/>
        <v>0</v>
      </c>
      <c r="BZ1375" s="664">
        <f t="shared" si="587"/>
        <v>0</v>
      </c>
      <c r="CA1375" s="664">
        <f t="shared" si="587"/>
        <v>0</v>
      </c>
    </row>
    <row r="1376" spans="1:79" hidden="1" outlineLevel="1" x14ac:dyDescent="0.25">
      <c r="A1376" s="655"/>
      <c r="B1376" s="570"/>
      <c r="C1376" s="570"/>
      <c r="D1376" s="570"/>
      <c r="E1376" s="570" t="s">
        <v>918</v>
      </c>
      <c r="F1376" s="655" t="s">
        <v>905</v>
      </c>
      <c r="G1376" s="716"/>
      <c r="H1376" s="716"/>
      <c r="I1376" s="716"/>
      <c r="J1376" s="716"/>
      <c r="K1376" s="716"/>
      <c r="L1376" s="716"/>
      <c r="M1376" s="716"/>
      <c r="N1376" s="716"/>
      <c r="O1376" s="716"/>
      <c r="P1376" s="716"/>
      <c r="Q1376" s="716"/>
      <c r="R1376" s="720"/>
      <c r="S1376" s="684">
        <v>0</v>
      </c>
      <c r="T1376" s="684">
        <v>0</v>
      </c>
      <c r="U1376" s="684">
        <v>0</v>
      </c>
      <c r="V1376" s="684">
        <v>0</v>
      </c>
      <c r="W1376" s="684">
        <v>0</v>
      </c>
      <c r="X1376" s="684">
        <v>0</v>
      </c>
      <c r="Y1376" s="684">
        <v>0</v>
      </c>
      <c r="Z1376" s="684">
        <v>0</v>
      </c>
      <c r="AA1376" s="684">
        <v>0</v>
      </c>
      <c r="AB1376" s="684">
        <v>0</v>
      </c>
      <c r="AC1376" s="690">
        <v>0</v>
      </c>
      <c r="AD1376" s="690">
        <v>0</v>
      </c>
      <c r="AE1376" s="684">
        <v>0</v>
      </c>
      <c r="AF1376" s="719">
        <v>0</v>
      </c>
      <c r="AG1376" s="690">
        <v>0</v>
      </c>
      <c r="AH1376" s="720"/>
      <c r="AI1376" s="720"/>
      <c r="AJ1376" s="720"/>
      <c r="AK1376" s="720"/>
      <c r="AL1376" s="720"/>
      <c r="AM1376" s="720"/>
      <c r="AN1376" s="720"/>
      <c r="AO1376" s="720"/>
      <c r="AP1376" s="720"/>
      <c r="AQ1376" s="720"/>
      <c r="AR1376" s="720"/>
      <c r="AS1376" s="720"/>
      <c r="AT1376" s="720"/>
      <c r="AU1376" s="720"/>
      <c r="AV1376" s="720"/>
      <c r="AW1376" s="720"/>
      <c r="AX1376" s="720"/>
      <c r="AY1376" s="720"/>
      <c r="AZ1376" s="720"/>
      <c r="BA1376" s="720"/>
      <c r="BB1376" s="720"/>
      <c r="BC1376" s="720"/>
      <c r="BD1376" s="720"/>
      <c r="BE1376" s="720"/>
      <c r="BF1376" s="720"/>
      <c r="BG1376" s="720"/>
      <c r="BH1376" s="720"/>
      <c r="BI1376" s="720"/>
      <c r="BJ1376" s="720"/>
      <c r="BK1376" s="720"/>
      <c r="BL1376" s="720"/>
      <c r="BM1376" s="720"/>
      <c r="BN1376" s="720"/>
      <c r="BO1376" s="720"/>
      <c r="BP1376" s="720"/>
      <c r="BQ1376" s="720"/>
      <c r="BR1376" s="720"/>
      <c r="BS1376" s="720"/>
      <c r="BT1376" s="720"/>
      <c r="BU1376" s="720"/>
      <c r="BV1376" s="720"/>
      <c r="BW1376" s="720"/>
      <c r="BX1376" s="720"/>
      <c r="BY1376" s="720"/>
      <c r="BZ1376" s="720"/>
      <c r="CA1376" s="720"/>
    </row>
    <row r="1377" spans="1:79" s="693" customFormat="1" hidden="1" outlineLevel="1" x14ac:dyDescent="0.25">
      <c r="A1377" s="701"/>
      <c r="B1377" s="700"/>
      <c r="C1377" s="700"/>
      <c r="D1377" s="700"/>
      <c r="E1377" s="570" t="s">
        <v>1327</v>
      </c>
      <c r="F1377" s="701" t="s">
        <v>602</v>
      </c>
      <c r="G1377" s="765"/>
      <c r="H1377" s="765"/>
      <c r="I1377" s="765"/>
      <c r="J1377" s="765"/>
      <c r="K1377" s="765"/>
      <c r="L1377" s="765"/>
      <c r="M1377" s="765"/>
      <c r="N1377" s="765"/>
      <c r="O1377" s="765"/>
      <c r="P1377" s="736"/>
      <c r="Q1377" s="736"/>
      <c r="R1377" s="762"/>
      <c r="S1377" s="697"/>
      <c r="T1377" s="697"/>
      <c r="U1377" s="697"/>
      <c r="V1377" s="697"/>
      <c r="W1377" s="697"/>
      <c r="X1377" s="697"/>
      <c r="Y1377" s="697"/>
      <c r="Z1377" s="697"/>
      <c r="AA1377" s="697"/>
      <c r="AB1377" s="697"/>
      <c r="AC1377" s="697"/>
      <c r="AD1377" s="697"/>
      <c r="AE1377" s="697"/>
      <c r="AF1377" s="733"/>
      <c r="AG1377" s="697"/>
      <c r="AH1377" s="735"/>
      <c r="AI1377" s="735"/>
      <c r="AJ1377" s="735"/>
      <c r="AK1377" s="735"/>
      <c r="AL1377" s="735"/>
      <c r="AM1377" s="735"/>
      <c r="AN1377" s="735"/>
      <c r="AO1377" s="735"/>
      <c r="AP1377" s="735"/>
      <c r="AQ1377" s="735"/>
      <c r="AR1377" s="735"/>
      <c r="AS1377" s="735"/>
      <c r="AT1377" s="735"/>
      <c r="AU1377" s="735"/>
      <c r="AV1377" s="735"/>
      <c r="AW1377" s="735"/>
      <c r="AX1377" s="735"/>
      <c r="AY1377" s="735"/>
      <c r="AZ1377" s="735"/>
      <c r="BA1377" s="735"/>
      <c r="BB1377" s="735"/>
      <c r="BC1377" s="735"/>
      <c r="BD1377" s="735"/>
      <c r="BE1377" s="735"/>
      <c r="BF1377" s="735"/>
      <c r="BG1377" s="735"/>
      <c r="BH1377" s="735"/>
      <c r="BI1377" s="735"/>
      <c r="BJ1377" s="735"/>
      <c r="BK1377" s="735"/>
      <c r="BL1377" s="735"/>
      <c r="BM1377" s="735"/>
      <c r="BN1377" s="735"/>
      <c r="BO1377" s="735"/>
      <c r="BP1377" s="735"/>
      <c r="BQ1377" s="735"/>
      <c r="BR1377" s="735"/>
      <c r="BS1377" s="735"/>
      <c r="BT1377" s="735"/>
      <c r="BU1377" s="735"/>
      <c r="BV1377" s="735"/>
      <c r="BW1377" s="735"/>
      <c r="BX1377" s="735"/>
      <c r="BY1377" s="735"/>
      <c r="BZ1377" s="735"/>
      <c r="CA1377" s="735"/>
    </row>
    <row r="1378" spans="1:79" s="693" customFormat="1" hidden="1" outlineLevel="1" x14ac:dyDescent="0.25">
      <c r="A1378" s="701"/>
      <c r="B1378" s="700"/>
      <c r="C1378" s="700"/>
      <c r="D1378" s="700"/>
      <c r="E1378" s="570" t="s">
        <v>945</v>
      </c>
      <c r="F1378" s="701"/>
      <c r="G1378" s="765"/>
      <c r="H1378" s="765"/>
      <c r="I1378" s="765"/>
      <c r="J1378" s="765"/>
      <c r="K1378" s="765"/>
      <c r="L1378" s="765"/>
      <c r="M1378" s="765"/>
      <c r="N1378" s="765"/>
      <c r="O1378" s="765"/>
      <c r="P1378" s="736"/>
      <c r="Q1378" s="736"/>
      <c r="R1378" s="762"/>
      <c r="S1378" s="697"/>
      <c r="T1378" s="697"/>
      <c r="U1378" s="697"/>
      <c r="V1378" s="697"/>
      <c r="W1378" s="697"/>
      <c r="X1378" s="697"/>
      <c r="Y1378" s="697"/>
      <c r="Z1378" s="697"/>
      <c r="AA1378" s="697"/>
      <c r="AB1378" s="697"/>
      <c r="AC1378" s="697"/>
      <c r="AD1378" s="697"/>
      <c r="AE1378" s="697">
        <v>0</v>
      </c>
      <c r="AF1378" s="733">
        <v>0</v>
      </c>
      <c r="AG1378" s="697">
        <v>0</v>
      </c>
      <c r="AH1378" s="735"/>
      <c r="AI1378" s="735"/>
      <c r="AJ1378" s="735"/>
      <c r="AK1378" s="735"/>
      <c r="AL1378" s="735"/>
      <c r="AM1378" s="735"/>
      <c r="AN1378" s="735"/>
      <c r="AO1378" s="735"/>
      <c r="AP1378" s="735"/>
      <c r="AQ1378" s="735"/>
      <c r="AR1378" s="735"/>
      <c r="AS1378" s="735"/>
      <c r="AT1378" s="735"/>
      <c r="AU1378" s="735"/>
      <c r="AV1378" s="735"/>
      <c r="AW1378" s="735"/>
      <c r="AX1378" s="735"/>
      <c r="AY1378" s="735"/>
      <c r="AZ1378" s="735"/>
      <c r="BA1378" s="735"/>
      <c r="BB1378" s="735"/>
      <c r="BC1378" s="735"/>
      <c r="BD1378" s="735"/>
      <c r="BE1378" s="735"/>
      <c r="BF1378" s="735"/>
      <c r="BG1378" s="735"/>
      <c r="BH1378" s="735"/>
      <c r="BI1378" s="735"/>
      <c r="BJ1378" s="735"/>
      <c r="BK1378" s="735"/>
      <c r="BL1378" s="735"/>
      <c r="BM1378" s="735"/>
      <c r="BN1378" s="735"/>
      <c r="BO1378" s="735"/>
      <c r="BP1378" s="735"/>
      <c r="BQ1378" s="735"/>
      <c r="BR1378" s="735"/>
      <c r="BS1378" s="735"/>
      <c r="BT1378" s="735"/>
      <c r="BU1378" s="735"/>
      <c r="BV1378" s="735"/>
      <c r="BW1378" s="735"/>
      <c r="BX1378" s="735"/>
      <c r="BY1378" s="735"/>
      <c r="BZ1378" s="735"/>
      <c r="CA1378" s="735"/>
    </row>
    <row r="1379" spans="1:79" hidden="1" outlineLevel="1" x14ac:dyDescent="0.25">
      <c r="A1379" s="656"/>
      <c r="B1379" s="79"/>
      <c r="C1379" s="79"/>
      <c r="D1379" s="79"/>
      <c r="E1379" s="570" t="s">
        <v>657</v>
      </c>
      <c r="F1379" s="656" t="s">
        <v>641</v>
      </c>
      <c r="G1379" s="718"/>
      <c r="H1379" s="718"/>
      <c r="I1379" s="718"/>
      <c r="J1379" s="718"/>
      <c r="K1379" s="718"/>
      <c r="L1379" s="718"/>
      <c r="M1379" s="718"/>
      <c r="N1379" s="718"/>
      <c r="O1379" s="718"/>
      <c r="P1379" s="718"/>
      <c r="Q1379" s="718"/>
      <c r="R1379" s="717"/>
      <c r="S1379" s="667">
        <v>-17191.939999999999</v>
      </c>
      <c r="T1379" s="667">
        <v>0</v>
      </c>
      <c r="U1379" s="667">
        <v>0</v>
      </c>
      <c r="V1379" s="667">
        <v>0</v>
      </c>
      <c r="W1379" s="667">
        <v>-185</v>
      </c>
      <c r="X1379" s="667">
        <v>-175</v>
      </c>
      <c r="Y1379" s="667">
        <v>-59.91</v>
      </c>
      <c r="Z1379" s="667">
        <v>0</v>
      </c>
      <c r="AA1379" s="667">
        <v>0</v>
      </c>
      <c r="AB1379" s="667">
        <v>-195</v>
      </c>
      <c r="AC1379" s="666">
        <v>0</v>
      </c>
      <c r="AD1379" s="666">
        <v>0</v>
      </c>
      <c r="AE1379" s="667">
        <v>0</v>
      </c>
      <c r="AF1379" s="716">
        <v>0</v>
      </c>
      <c r="AG1379" s="666">
        <v>0</v>
      </c>
      <c r="AH1379" s="720"/>
      <c r="AI1379" s="720"/>
      <c r="AJ1379" s="720"/>
      <c r="AK1379" s="720"/>
      <c r="AL1379" s="720"/>
      <c r="AM1379" s="720"/>
      <c r="AN1379" s="720"/>
      <c r="AO1379" s="720"/>
      <c r="AP1379" s="720"/>
      <c r="AQ1379" s="720"/>
      <c r="AR1379" s="720"/>
      <c r="AS1379" s="720"/>
      <c r="AT1379" s="720"/>
      <c r="AU1379" s="720"/>
      <c r="AV1379" s="720"/>
      <c r="AW1379" s="720"/>
      <c r="AX1379" s="720"/>
      <c r="AY1379" s="720"/>
      <c r="AZ1379" s="720"/>
      <c r="BA1379" s="720"/>
      <c r="BB1379" s="720"/>
      <c r="BC1379" s="720"/>
      <c r="BD1379" s="720"/>
      <c r="BE1379" s="720"/>
      <c r="BF1379" s="720"/>
      <c r="BG1379" s="720"/>
      <c r="BH1379" s="720"/>
      <c r="BI1379" s="720"/>
      <c r="BJ1379" s="720"/>
      <c r="BK1379" s="720"/>
      <c r="BL1379" s="720"/>
      <c r="BM1379" s="720"/>
      <c r="BN1379" s="720"/>
      <c r="BO1379" s="720"/>
      <c r="BP1379" s="720"/>
      <c r="BQ1379" s="720"/>
      <c r="BR1379" s="720"/>
      <c r="BS1379" s="720"/>
      <c r="BT1379" s="720"/>
      <c r="BU1379" s="720"/>
      <c r="BV1379" s="720"/>
      <c r="BW1379" s="720"/>
      <c r="BX1379" s="720"/>
      <c r="BY1379" s="720"/>
      <c r="BZ1379" s="720"/>
      <c r="CA1379" s="720"/>
    </row>
    <row r="1380" spans="1:79" hidden="1" outlineLevel="1" x14ac:dyDescent="0.25">
      <c r="A1380" s="656"/>
      <c r="B1380" s="576"/>
      <c r="C1380" s="576"/>
      <c r="D1380" s="576"/>
      <c r="E1380" s="570" t="s">
        <v>1327</v>
      </c>
      <c r="F1380" s="656" t="s">
        <v>906</v>
      </c>
      <c r="G1380" s="718"/>
      <c r="H1380" s="718"/>
      <c r="I1380" s="718"/>
      <c r="J1380" s="718"/>
      <c r="K1380" s="718"/>
      <c r="L1380" s="718"/>
      <c r="M1380" s="718"/>
      <c r="N1380" s="718"/>
      <c r="O1380" s="718"/>
      <c r="P1380" s="718"/>
      <c r="Q1380" s="718"/>
      <c r="R1380" s="717"/>
      <c r="S1380" s="676">
        <v>0</v>
      </c>
      <c r="T1380" s="676">
        <v>0</v>
      </c>
      <c r="U1380" s="676">
        <v>0</v>
      </c>
      <c r="V1380" s="676">
        <v>0</v>
      </c>
      <c r="W1380" s="676">
        <v>0</v>
      </c>
      <c r="X1380" s="676">
        <v>0</v>
      </c>
      <c r="Y1380" s="676">
        <v>0</v>
      </c>
      <c r="Z1380" s="676">
        <v>0</v>
      </c>
      <c r="AA1380" s="676">
        <v>0</v>
      </c>
      <c r="AB1380" s="676">
        <v>0</v>
      </c>
      <c r="AC1380" s="675">
        <v>0</v>
      </c>
      <c r="AD1380" s="675">
        <v>0</v>
      </c>
      <c r="AE1380" s="676">
        <v>0</v>
      </c>
      <c r="AF1380" s="716">
        <v>0</v>
      </c>
      <c r="AG1380" s="675">
        <v>0</v>
      </c>
      <c r="AH1380" s="720"/>
      <c r="AI1380" s="720"/>
      <c r="AJ1380" s="720"/>
      <c r="AK1380" s="720"/>
      <c r="AL1380" s="720"/>
      <c r="AM1380" s="720"/>
      <c r="AN1380" s="720"/>
      <c r="AO1380" s="720"/>
      <c r="AP1380" s="720"/>
      <c r="AQ1380" s="720"/>
      <c r="AR1380" s="720"/>
      <c r="AS1380" s="720"/>
      <c r="AT1380" s="720"/>
      <c r="AU1380" s="720"/>
      <c r="AV1380" s="720"/>
      <c r="AW1380" s="720"/>
      <c r="AX1380" s="720"/>
      <c r="AY1380" s="720"/>
      <c r="AZ1380" s="720"/>
      <c r="BA1380" s="720"/>
      <c r="BB1380" s="720"/>
      <c r="BC1380" s="720"/>
      <c r="BD1380" s="720"/>
      <c r="BE1380" s="720"/>
      <c r="BF1380" s="720"/>
      <c r="BG1380" s="720"/>
      <c r="BH1380" s="720"/>
      <c r="BI1380" s="720"/>
      <c r="BJ1380" s="720"/>
      <c r="BK1380" s="720"/>
      <c r="BL1380" s="720"/>
      <c r="BM1380" s="720"/>
      <c r="BN1380" s="720"/>
      <c r="BO1380" s="720"/>
      <c r="BP1380" s="720"/>
      <c r="BQ1380" s="720"/>
      <c r="BR1380" s="720"/>
      <c r="BS1380" s="720"/>
      <c r="BT1380" s="720"/>
      <c r="BU1380" s="720"/>
      <c r="BV1380" s="720"/>
      <c r="BW1380" s="720"/>
      <c r="BX1380" s="720"/>
      <c r="BY1380" s="720"/>
      <c r="BZ1380" s="720"/>
      <c r="CA1380" s="720"/>
    </row>
    <row r="1381" spans="1:79" hidden="1" outlineLevel="1" x14ac:dyDescent="0.25">
      <c r="A1381" s="656"/>
      <c r="B1381" s="576"/>
      <c r="C1381" s="576"/>
      <c r="D1381" s="576"/>
      <c r="E1381" s="570" t="s">
        <v>1327</v>
      </c>
      <c r="F1381" s="656" t="s">
        <v>764</v>
      </c>
      <c r="G1381" s="716">
        <v>1937.0320559999998</v>
      </c>
      <c r="H1381" s="716">
        <v>3281.6960383836245</v>
      </c>
      <c r="I1381" s="716">
        <v>4330.8457386194659</v>
      </c>
      <c r="J1381" s="716">
        <v>1768.18915910905</v>
      </c>
      <c r="K1381" s="716">
        <v>3713.0111149308213</v>
      </c>
      <c r="L1381" s="716">
        <v>3411.6767833440836</v>
      </c>
      <c r="M1381" s="716">
        <v>5253.9086822988347</v>
      </c>
      <c r="N1381" s="716">
        <v>5091.3480491251375</v>
      </c>
      <c r="O1381" s="716">
        <v>6820.9260781099329</v>
      </c>
      <c r="P1381" s="716">
        <v>8226.6667518779377</v>
      </c>
      <c r="Q1381" s="716">
        <v>4770.8599980045465</v>
      </c>
      <c r="R1381" s="720">
        <v>21030.255498310453</v>
      </c>
      <c r="S1381" s="676">
        <v>0</v>
      </c>
      <c r="T1381" s="676">
        <v>0</v>
      </c>
      <c r="U1381" s="676">
        <v>0</v>
      </c>
      <c r="V1381" s="676">
        <v>0</v>
      </c>
      <c r="W1381" s="676">
        <v>0</v>
      </c>
      <c r="X1381" s="676">
        <v>0</v>
      </c>
      <c r="Y1381" s="676">
        <v>0</v>
      </c>
      <c r="Z1381" s="676">
        <v>0</v>
      </c>
      <c r="AA1381" s="676">
        <v>0</v>
      </c>
      <c r="AB1381" s="676">
        <v>0</v>
      </c>
      <c r="AC1381" s="675">
        <v>0</v>
      </c>
      <c r="AD1381" s="675">
        <v>0</v>
      </c>
      <c r="AE1381" s="676">
        <v>0</v>
      </c>
      <c r="AF1381" s="716">
        <v>0</v>
      </c>
      <c r="AG1381" s="675">
        <v>0</v>
      </c>
      <c r="AH1381" s="720"/>
      <c r="AI1381" s="720"/>
      <c r="AJ1381" s="720"/>
      <c r="AK1381" s="720"/>
      <c r="AL1381" s="720"/>
      <c r="AM1381" s="720"/>
      <c r="AN1381" s="720"/>
      <c r="AO1381" s="720"/>
      <c r="AP1381" s="720"/>
      <c r="AQ1381" s="720"/>
      <c r="AR1381" s="720"/>
      <c r="AS1381" s="720"/>
      <c r="AT1381" s="720"/>
      <c r="AU1381" s="720"/>
      <c r="AV1381" s="720"/>
      <c r="AW1381" s="720"/>
      <c r="AX1381" s="720"/>
      <c r="AY1381" s="720"/>
      <c r="AZ1381" s="720"/>
      <c r="BA1381" s="720"/>
      <c r="BB1381" s="720"/>
      <c r="BC1381" s="720"/>
      <c r="BD1381" s="720"/>
      <c r="BE1381" s="720"/>
      <c r="BF1381" s="720"/>
      <c r="BG1381" s="720"/>
      <c r="BH1381" s="720"/>
      <c r="BI1381" s="720"/>
      <c r="BJ1381" s="720"/>
      <c r="BK1381" s="720"/>
      <c r="BL1381" s="720"/>
      <c r="BM1381" s="720"/>
      <c r="BN1381" s="720"/>
      <c r="BO1381" s="720"/>
      <c r="BP1381" s="720"/>
      <c r="BQ1381" s="720"/>
      <c r="BR1381" s="720"/>
      <c r="BS1381" s="720"/>
      <c r="BT1381" s="720"/>
      <c r="BU1381" s="720"/>
      <c r="BV1381" s="720"/>
      <c r="BW1381" s="720"/>
      <c r="BX1381" s="720"/>
      <c r="BY1381" s="720"/>
      <c r="BZ1381" s="720"/>
      <c r="CA1381" s="720"/>
    </row>
    <row r="1382" spans="1:79" hidden="1" outlineLevel="1" x14ac:dyDescent="0.25">
      <c r="A1382" s="662"/>
      <c r="B1382" s="29"/>
      <c r="C1382" s="29"/>
      <c r="D1382" s="29"/>
      <c r="E1382" s="570" t="s">
        <v>49</v>
      </c>
      <c r="F1382" s="662" t="s">
        <v>642</v>
      </c>
      <c r="G1382" s="664">
        <f>SUM(G1379:G1381)</f>
        <v>1937.0320559999998</v>
      </c>
      <c r="H1382" s="664">
        <f>SUM(H1379:H1381)</f>
        <v>3281.6960383836245</v>
      </c>
      <c r="I1382" s="664">
        <f t="shared" ref="I1382:BO1382" si="588">SUM(I1379:I1381)</f>
        <v>4330.8457386194659</v>
      </c>
      <c r="J1382" s="664">
        <f t="shared" si="588"/>
        <v>1768.18915910905</v>
      </c>
      <c r="K1382" s="664">
        <f t="shared" si="588"/>
        <v>3713.0111149308213</v>
      </c>
      <c r="L1382" s="664">
        <f t="shared" si="588"/>
        <v>3411.6767833440836</v>
      </c>
      <c r="M1382" s="664">
        <f t="shared" si="588"/>
        <v>5253.9086822988347</v>
      </c>
      <c r="N1382" s="664">
        <f t="shared" si="588"/>
        <v>5091.3480491251375</v>
      </c>
      <c r="O1382" s="664">
        <f t="shared" si="588"/>
        <v>6820.9260781099329</v>
      </c>
      <c r="P1382" s="664">
        <f t="shared" si="588"/>
        <v>8226.6667518779377</v>
      </c>
      <c r="Q1382" s="664">
        <f t="shared" si="588"/>
        <v>4770.8599980045465</v>
      </c>
      <c r="R1382" s="664">
        <f t="shared" si="588"/>
        <v>21030.255498310453</v>
      </c>
      <c r="S1382" s="678">
        <f t="shared" ref="S1382:AA1382" si="589">ROUND(SUM(S1377:S1381),5)</f>
        <v>-17191.939999999999</v>
      </c>
      <c r="T1382" s="678">
        <f t="shared" si="589"/>
        <v>0</v>
      </c>
      <c r="U1382" s="678">
        <f t="shared" si="589"/>
        <v>0</v>
      </c>
      <c r="V1382" s="678">
        <f t="shared" si="589"/>
        <v>0</v>
      </c>
      <c r="W1382" s="678">
        <f t="shared" si="589"/>
        <v>-185</v>
      </c>
      <c r="X1382" s="678">
        <f t="shared" si="589"/>
        <v>-175</v>
      </c>
      <c r="Y1382" s="678">
        <f t="shared" si="589"/>
        <v>-59.91</v>
      </c>
      <c r="Z1382" s="678">
        <f t="shared" si="589"/>
        <v>0</v>
      </c>
      <c r="AA1382" s="678">
        <f t="shared" si="589"/>
        <v>0</v>
      </c>
      <c r="AB1382" s="678">
        <f t="shared" ref="AB1382:AG1382" si="590">ROUND(SUM(AB1377:AB1381),5)</f>
        <v>-195</v>
      </c>
      <c r="AC1382" s="678">
        <f t="shared" si="590"/>
        <v>0</v>
      </c>
      <c r="AD1382" s="678">
        <f t="shared" si="590"/>
        <v>0</v>
      </c>
      <c r="AE1382" s="678">
        <f t="shared" si="590"/>
        <v>0</v>
      </c>
      <c r="AF1382" s="664">
        <f t="shared" si="590"/>
        <v>0</v>
      </c>
      <c r="AG1382" s="678">
        <f t="shared" si="590"/>
        <v>0</v>
      </c>
      <c r="AH1382" s="664">
        <f t="shared" si="588"/>
        <v>0</v>
      </c>
      <c r="AI1382" s="664">
        <f t="shared" si="588"/>
        <v>0</v>
      </c>
      <c r="AJ1382" s="664">
        <f t="shared" si="588"/>
        <v>0</v>
      </c>
      <c r="AK1382" s="664">
        <f t="shared" si="588"/>
        <v>0</v>
      </c>
      <c r="AL1382" s="664">
        <f t="shared" si="588"/>
        <v>0</v>
      </c>
      <c r="AM1382" s="664">
        <f t="shared" si="588"/>
        <v>0</v>
      </c>
      <c r="AN1382" s="664">
        <f t="shared" si="588"/>
        <v>0</v>
      </c>
      <c r="AO1382" s="664">
        <f t="shared" si="588"/>
        <v>0</v>
      </c>
      <c r="AP1382" s="664">
        <f t="shared" si="588"/>
        <v>0</v>
      </c>
      <c r="AQ1382" s="664">
        <f t="shared" si="588"/>
        <v>0</v>
      </c>
      <c r="AR1382" s="664">
        <f t="shared" si="588"/>
        <v>0</v>
      </c>
      <c r="AS1382" s="664">
        <f t="shared" si="588"/>
        <v>0</v>
      </c>
      <c r="AT1382" s="664">
        <f t="shared" si="588"/>
        <v>0</v>
      </c>
      <c r="AU1382" s="664">
        <f t="shared" si="588"/>
        <v>0</v>
      </c>
      <c r="AV1382" s="664">
        <f t="shared" si="588"/>
        <v>0</v>
      </c>
      <c r="AW1382" s="664">
        <f t="shared" si="588"/>
        <v>0</v>
      </c>
      <c r="AX1382" s="664">
        <f t="shared" si="588"/>
        <v>0</v>
      </c>
      <c r="AY1382" s="664">
        <f t="shared" si="588"/>
        <v>0</v>
      </c>
      <c r="AZ1382" s="664">
        <f t="shared" si="588"/>
        <v>0</v>
      </c>
      <c r="BA1382" s="664">
        <f t="shared" si="588"/>
        <v>0</v>
      </c>
      <c r="BB1382" s="664">
        <f t="shared" si="588"/>
        <v>0</v>
      </c>
      <c r="BC1382" s="664">
        <f t="shared" si="588"/>
        <v>0</v>
      </c>
      <c r="BD1382" s="664">
        <f t="shared" si="588"/>
        <v>0</v>
      </c>
      <c r="BE1382" s="664">
        <f t="shared" si="588"/>
        <v>0</v>
      </c>
      <c r="BF1382" s="664">
        <f t="shared" si="588"/>
        <v>0</v>
      </c>
      <c r="BG1382" s="664">
        <f t="shared" si="588"/>
        <v>0</v>
      </c>
      <c r="BH1382" s="664">
        <f t="shared" si="588"/>
        <v>0</v>
      </c>
      <c r="BI1382" s="664">
        <f t="shared" si="588"/>
        <v>0</v>
      </c>
      <c r="BJ1382" s="664">
        <f t="shared" si="588"/>
        <v>0</v>
      </c>
      <c r="BK1382" s="664">
        <f t="shared" si="588"/>
        <v>0</v>
      </c>
      <c r="BL1382" s="664">
        <f t="shared" si="588"/>
        <v>0</v>
      </c>
      <c r="BM1382" s="664">
        <f t="shared" si="588"/>
        <v>0</v>
      </c>
      <c r="BN1382" s="664">
        <f t="shared" si="588"/>
        <v>0</v>
      </c>
      <c r="BO1382" s="664">
        <f t="shared" si="588"/>
        <v>0</v>
      </c>
      <c r="BP1382" s="664">
        <f t="shared" ref="BP1382:CA1382" si="591">SUM(BP1379:BP1381)</f>
        <v>0</v>
      </c>
      <c r="BQ1382" s="664">
        <f t="shared" si="591"/>
        <v>0</v>
      </c>
      <c r="BR1382" s="664">
        <f t="shared" si="591"/>
        <v>0</v>
      </c>
      <c r="BS1382" s="664">
        <f t="shared" si="591"/>
        <v>0</v>
      </c>
      <c r="BT1382" s="664">
        <f t="shared" si="591"/>
        <v>0</v>
      </c>
      <c r="BU1382" s="664">
        <f t="shared" si="591"/>
        <v>0</v>
      </c>
      <c r="BV1382" s="664">
        <f t="shared" si="591"/>
        <v>0</v>
      </c>
      <c r="BW1382" s="664">
        <f t="shared" si="591"/>
        <v>0</v>
      </c>
      <c r="BX1382" s="664">
        <f t="shared" si="591"/>
        <v>0</v>
      </c>
      <c r="BY1382" s="664">
        <f t="shared" si="591"/>
        <v>0</v>
      </c>
      <c r="BZ1382" s="664">
        <f t="shared" si="591"/>
        <v>0</v>
      </c>
      <c r="CA1382" s="664">
        <f t="shared" si="591"/>
        <v>0</v>
      </c>
    </row>
    <row r="1383" spans="1:79" hidden="1" outlineLevel="1" x14ac:dyDescent="0.25">
      <c r="A1383" s="658"/>
      <c r="E1383" s="570" t="s">
        <v>922</v>
      </c>
      <c r="F1383" s="658" t="s">
        <v>603</v>
      </c>
      <c r="G1383" s="716"/>
      <c r="H1383" s="716">
        <v>305.0033096160501</v>
      </c>
      <c r="I1383" s="716">
        <v>301.82513460839357</v>
      </c>
      <c r="J1383" s="716">
        <v>230.41822808169979</v>
      </c>
      <c r="K1383" s="716">
        <v>331.91459387085615</v>
      </c>
      <c r="L1383" s="716"/>
      <c r="M1383" s="716">
        <v>58.57010957615455</v>
      </c>
      <c r="N1383" s="716"/>
      <c r="O1383" s="716"/>
      <c r="P1383" s="716"/>
      <c r="Q1383" s="716"/>
      <c r="R1383" s="720"/>
      <c r="S1383" s="667">
        <v>36.53</v>
      </c>
      <c r="T1383" s="667">
        <v>0</v>
      </c>
      <c r="U1383" s="667">
        <v>0</v>
      </c>
      <c r="V1383" s="667">
        <v>0</v>
      </c>
      <c r="W1383" s="667">
        <v>0</v>
      </c>
      <c r="X1383" s="667">
        <v>0</v>
      </c>
      <c r="Y1383" s="667">
        <v>0</v>
      </c>
      <c r="Z1383" s="667">
        <v>0</v>
      </c>
      <c r="AA1383" s="667">
        <v>0</v>
      </c>
      <c r="AB1383" s="667">
        <v>0</v>
      </c>
      <c r="AC1383" s="666">
        <v>0</v>
      </c>
      <c r="AD1383" s="666">
        <v>0</v>
      </c>
      <c r="AE1383" s="667">
        <v>0</v>
      </c>
      <c r="AF1383" s="716">
        <v>0</v>
      </c>
      <c r="AG1383" s="666">
        <v>0</v>
      </c>
      <c r="AH1383" s="720"/>
      <c r="AI1383" s="720"/>
      <c r="AJ1383" s="720"/>
      <c r="AK1383" s="720"/>
      <c r="AL1383" s="720"/>
      <c r="AM1383" s="720"/>
      <c r="AN1383" s="720"/>
      <c r="AO1383" s="720"/>
      <c r="AP1383" s="720"/>
      <c r="AQ1383" s="720"/>
      <c r="AR1383" s="720"/>
      <c r="AS1383" s="720"/>
      <c r="AT1383" s="720"/>
      <c r="AU1383" s="720"/>
      <c r="AV1383" s="720"/>
      <c r="AW1383" s="720"/>
      <c r="AX1383" s="720"/>
      <c r="AY1383" s="720"/>
      <c r="AZ1383" s="720"/>
      <c r="BA1383" s="720"/>
      <c r="BB1383" s="720"/>
      <c r="BC1383" s="720"/>
      <c r="BD1383" s="720"/>
      <c r="BE1383" s="720"/>
      <c r="BF1383" s="720"/>
      <c r="BG1383" s="720"/>
      <c r="BH1383" s="720"/>
      <c r="BI1383" s="720"/>
      <c r="BJ1383" s="720"/>
      <c r="BK1383" s="720"/>
      <c r="BL1383" s="720"/>
      <c r="BM1383" s="720"/>
      <c r="BN1383" s="720"/>
      <c r="BO1383" s="720"/>
      <c r="BP1383" s="720"/>
      <c r="BQ1383" s="720"/>
      <c r="BR1383" s="720"/>
      <c r="BS1383" s="720"/>
      <c r="BT1383" s="720"/>
      <c r="BU1383" s="720"/>
      <c r="BV1383" s="720"/>
      <c r="BW1383" s="720"/>
      <c r="BX1383" s="720"/>
      <c r="BY1383" s="720"/>
      <c r="BZ1383" s="720"/>
      <c r="CA1383" s="720"/>
    </row>
    <row r="1384" spans="1:79" hidden="1" outlineLevel="1" x14ac:dyDescent="0.25">
      <c r="A1384" s="658"/>
      <c r="E1384" s="570" t="s">
        <v>918</v>
      </c>
      <c r="F1384" s="658" t="s">
        <v>604</v>
      </c>
      <c r="G1384" s="716">
        <v>647.18999999999994</v>
      </c>
      <c r="H1384" s="716">
        <v>306.36421169325592</v>
      </c>
      <c r="I1384" s="716">
        <v>184.79089873983278</v>
      </c>
      <c r="J1384" s="716">
        <v>18112.600863932217</v>
      </c>
      <c r="K1384" s="716">
        <v>676.59513365982218</v>
      </c>
      <c r="L1384" s="716">
        <v>8748.4943310428898</v>
      </c>
      <c r="M1384" s="716">
        <v>14056.767728167517</v>
      </c>
      <c r="N1384" s="716">
        <v>14141.935748632695</v>
      </c>
      <c r="O1384" s="716">
        <v>75.467645879096239</v>
      </c>
      <c r="P1384" s="716">
        <v>24.475343135235985</v>
      </c>
      <c r="Q1384" s="716"/>
      <c r="R1384" s="720"/>
      <c r="S1384" s="667">
        <v>0</v>
      </c>
      <c r="T1384" s="667">
        <v>0</v>
      </c>
      <c r="U1384" s="667">
        <v>0</v>
      </c>
      <c r="V1384" s="667">
        <v>60</v>
      </c>
      <c r="W1384" s="667">
        <v>0</v>
      </c>
      <c r="X1384" s="667">
        <v>0</v>
      </c>
      <c r="Y1384" s="667">
        <v>0</v>
      </c>
      <c r="Z1384" s="667">
        <v>0</v>
      </c>
      <c r="AA1384" s="667">
        <v>0</v>
      </c>
      <c r="AB1384" s="667">
        <v>0</v>
      </c>
      <c r="AC1384" s="666">
        <v>0</v>
      </c>
      <c r="AD1384" s="666">
        <v>0</v>
      </c>
      <c r="AE1384" s="667">
        <v>0</v>
      </c>
      <c r="AF1384" s="716">
        <v>59</v>
      </c>
      <c r="AG1384" s="666">
        <v>0</v>
      </c>
      <c r="AH1384" s="720"/>
      <c r="AI1384" s="720"/>
      <c r="AJ1384" s="720"/>
      <c r="AK1384" s="720"/>
      <c r="AL1384" s="720"/>
      <c r="AM1384" s="720"/>
      <c r="AN1384" s="720"/>
      <c r="AO1384" s="720"/>
      <c r="AP1384" s="720"/>
      <c r="AQ1384" s="720"/>
      <c r="AR1384" s="720"/>
      <c r="AS1384" s="720"/>
      <c r="AT1384" s="720"/>
      <c r="AU1384" s="720"/>
      <c r="AV1384" s="720"/>
      <c r="AW1384" s="720"/>
      <c r="AX1384" s="720"/>
      <c r="AY1384" s="720"/>
      <c r="AZ1384" s="720"/>
      <c r="BA1384" s="720"/>
      <c r="BB1384" s="720"/>
      <c r="BC1384" s="720"/>
      <c r="BD1384" s="720"/>
      <c r="BE1384" s="720"/>
      <c r="BF1384" s="720"/>
      <c r="BG1384" s="720"/>
      <c r="BH1384" s="720"/>
      <c r="BI1384" s="720"/>
      <c r="BJ1384" s="720"/>
      <c r="BK1384" s="720"/>
      <c r="BL1384" s="720"/>
      <c r="BM1384" s="720"/>
      <c r="BN1384" s="720"/>
      <c r="BO1384" s="720"/>
      <c r="BP1384" s="720"/>
      <c r="BQ1384" s="720"/>
      <c r="BR1384" s="720"/>
      <c r="BS1384" s="720"/>
      <c r="BT1384" s="720"/>
      <c r="BU1384" s="720"/>
      <c r="BV1384" s="720"/>
      <c r="BW1384" s="720"/>
      <c r="BX1384" s="720"/>
      <c r="BY1384" s="720"/>
      <c r="BZ1384" s="720"/>
      <c r="CA1384" s="720"/>
    </row>
    <row r="1385" spans="1:79" s="693" customFormat="1" hidden="1" outlineLevel="1" x14ac:dyDescent="0.25">
      <c r="A1385" s="701"/>
      <c r="E1385" s="570" t="s">
        <v>1341</v>
      </c>
      <c r="F1385" s="701" t="s">
        <v>652</v>
      </c>
      <c r="G1385" s="734"/>
      <c r="H1385" s="734"/>
      <c r="I1385" s="734"/>
      <c r="J1385" s="734"/>
      <c r="K1385" s="734"/>
      <c r="L1385" s="734"/>
      <c r="M1385" s="734"/>
      <c r="N1385" s="734"/>
      <c r="O1385" s="734"/>
      <c r="P1385" s="734"/>
      <c r="Q1385" s="734"/>
      <c r="R1385" s="735"/>
      <c r="S1385" s="704"/>
      <c r="T1385" s="704"/>
      <c r="U1385" s="704"/>
      <c r="V1385" s="704"/>
      <c r="W1385" s="704"/>
      <c r="X1385" s="704"/>
      <c r="Y1385" s="704"/>
      <c r="Z1385" s="704"/>
      <c r="AA1385" s="704"/>
      <c r="AB1385" s="704"/>
      <c r="AC1385" s="704"/>
      <c r="AD1385" s="704"/>
      <c r="AE1385" s="704"/>
      <c r="AF1385" s="734"/>
      <c r="AG1385" s="704"/>
      <c r="AH1385" s="735"/>
      <c r="AI1385" s="735"/>
      <c r="AJ1385" s="735"/>
      <c r="AK1385" s="735"/>
      <c r="AL1385" s="735"/>
      <c r="AM1385" s="735"/>
      <c r="AN1385" s="735"/>
      <c r="AO1385" s="735"/>
      <c r="AP1385" s="735"/>
      <c r="AQ1385" s="735"/>
      <c r="AR1385" s="735"/>
      <c r="AS1385" s="735"/>
      <c r="AT1385" s="735"/>
      <c r="AU1385" s="735"/>
      <c r="AV1385" s="735"/>
      <c r="AW1385" s="735"/>
      <c r="AX1385" s="735"/>
      <c r="AY1385" s="735"/>
      <c r="AZ1385" s="735"/>
      <c r="BA1385" s="735"/>
      <c r="BB1385" s="735"/>
      <c r="BC1385" s="735"/>
      <c r="BD1385" s="735"/>
      <c r="BE1385" s="735"/>
      <c r="BF1385" s="735"/>
      <c r="BG1385" s="735"/>
      <c r="BH1385" s="735"/>
      <c r="BI1385" s="735"/>
      <c r="BJ1385" s="735"/>
      <c r="BK1385" s="735"/>
      <c r="BL1385" s="735"/>
      <c r="BM1385" s="735"/>
      <c r="BN1385" s="735"/>
      <c r="BO1385" s="735"/>
      <c r="BP1385" s="735"/>
      <c r="BQ1385" s="735"/>
      <c r="BR1385" s="735"/>
      <c r="BS1385" s="735"/>
      <c r="BT1385" s="735"/>
      <c r="BU1385" s="735"/>
      <c r="BV1385" s="735"/>
      <c r="BW1385" s="735"/>
      <c r="BX1385" s="735"/>
      <c r="BY1385" s="735"/>
      <c r="BZ1385" s="735"/>
      <c r="CA1385" s="735"/>
    </row>
    <row r="1386" spans="1:79" hidden="1" outlineLevel="1" x14ac:dyDescent="0.25">
      <c r="A1386" s="656"/>
      <c r="B1386" s="570"/>
      <c r="C1386" s="570"/>
      <c r="D1386" s="570"/>
      <c r="E1386" s="570" t="s">
        <v>1341</v>
      </c>
      <c r="F1386" s="656" t="s">
        <v>653</v>
      </c>
      <c r="G1386" s="716"/>
      <c r="H1386" s="716"/>
      <c r="I1386" s="716">
        <v>-5441.4759982256091</v>
      </c>
      <c r="J1386" s="716"/>
      <c r="K1386" s="716">
        <v>0</v>
      </c>
      <c r="L1386" s="716"/>
      <c r="M1386" s="716"/>
      <c r="N1386" s="716"/>
      <c r="O1386" s="716"/>
      <c r="P1386" s="716"/>
      <c r="Q1386" s="716"/>
      <c r="R1386" s="720"/>
      <c r="S1386" s="667">
        <v>0</v>
      </c>
      <c r="T1386" s="667">
        <v>0</v>
      </c>
      <c r="U1386" s="667">
        <v>0</v>
      </c>
      <c r="V1386" s="667">
        <v>2375</v>
      </c>
      <c r="W1386" s="667">
        <v>0</v>
      </c>
      <c r="X1386" s="667">
        <v>0</v>
      </c>
      <c r="Y1386" s="667">
        <v>0</v>
      </c>
      <c r="Z1386" s="667">
        <v>0</v>
      </c>
      <c r="AA1386" s="667">
        <v>0</v>
      </c>
      <c r="AB1386" s="667">
        <v>0</v>
      </c>
      <c r="AC1386" s="666">
        <v>0</v>
      </c>
      <c r="AD1386" s="666">
        <v>0</v>
      </c>
      <c r="AE1386" s="667">
        <v>0</v>
      </c>
      <c r="AF1386" s="716">
        <v>0</v>
      </c>
      <c r="AG1386" s="666">
        <v>0</v>
      </c>
      <c r="AH1386" s="720"/>
      <c r="AI1386" s="720"/>
      <c r="AJ1386" s="720"/>
      <c r="AK1386" s="720"/>
      <c r="AL1386" s="720"/>
      <c r="AM1386" s="720"/>
      <c r="AN1386" s="720"/>
      <c r="AO1386" s="720"/>
      <c r="AP1386" s="720"/>
      <c r="AQ1386" s="720"/>
      <c r="AR1386" s="720"/>
      <c r="AS1386" s="720"/>
      <c r="AT1386" s="720"/>
      <c r="AU1386" s="720"/>
      <c r="AV1386" s="720"/>
      <c r="AW1386" s="720"/>
      <c r="AX1386" s="720"/>
      <c r="AY1386" s="720"/>
      <c r="AZ1386" s="720"/>
      <c r="BA1386" s="720"/>
      <c r="BB1386" s="720"/>
      <c r="BC1386" s="720"/>
      <c r="BD1386" s="720"/>
      <c r="BE1386" s="720"/>
      <c r="BF1386" s="720"/>
      <c r="BG1386" s="720"/>
      <c r="BH1386" s="720"/>
      <c r="BI1386" s="720"/>
      <c r="BJ1386" s="720"/>
      <c r="BK1386" s="720"/>
      <c r="BL1386" s="720"/>
      <c r="BM1386" s="720"/>
      <c r="BN1386" s="720"/>
      <c r="BO1386" s="720"/>
      <c r="BP1386" s="720"/>
      <c r="BQ1386" s="720"/>
      <c r="BR1386" s="720"/>
      <c r="BS1386" s="720"/>
      <c r="BT1386" s="720"/>
      <c r="BU1386" s="720"/>
      <c r="BV1386" s="720"/>
      <c r="BW1386" s="720"/>
      <c r="BX1386" s="720"/>
      <c r="BY1386" s="720"/>
      <c r="BZ1386" s="720"/>
      <c r="CA1386" s="720"/>
    </row>
    <row r="1387" spans="1:79" hidden="1" outlineLevel="1" x14ac:dyDescent="0.25">
      <c r="B1387" s="570"/>
      <c r="C1387" s="570"/>
      <c r="D1387" s="570"/>
      <c r="E1387" s="570" t="s">
        <v>1341</v>
      </c>
      <c r="F1387" s="570" t="s">
        <v>907</v>
      </c>
      <c r="G1387" s="716"/>
      <c r="H1387" s="716"/>
      <c r="I1387" s="716"/>
      <c r="J1387" s="716"/>
      <c r="K1387" s="716"/>
      <c r="L1387" s="716"/>
      <c r="M1387" s="716"/>
      <c r="N1387" s="716"/>
      <c r="O1387" s="716"/>
      <c r="P1387" s="716"/>
      <c r="Q1387" s="716"/>
      <c r="R1387" s="720"/>
      <c r="S1387" s="667">
        <v>0</v>
      </c>
      <c r="T1387" s="667">
        <v>0</v>
      </c>
      <c r="U1387" s="667">
        <v>0</v>
      </c>
      <c r="V1387" s="667">
        <v>0</v>
      </c>
      <c r="W1387" s="667">
        <v>0</v>
      </c>
      <c r="X1387" s="667">
        <v>0</v>
      </c>
      <c r="Y1387" s="667">
        <v>0</v>
      </c>
      <c r="Z1387" s="667">
        <v>0</v>
      </c>
      <c r="AA1387" s="667">
        <v>0</v>
      </c>
      <c r="AB1387" s="667">
        <v>0</v>
      </c>
      <c r="AC1387" s="666">
        <v>0</v>
      </c>
      <c r="AD1387" s="666">
        <v>0</v>
      </c>
      <c r="AE1387" s="667">
        <v>0</v>
      </c>
      <c r="AF1387" s="716">
        <v>0</v>
      </c>
      <c r="AG1387" s="666">
        <v>0</v>
      </c>
      <c r="AH1387" s="720"/>
      <c r="AI1387" s="720"/>
      <c r="AJ1387" s="720"/>
      <c r="AK1387" s="720"/>
      <c r="AL1387" s="720"/>
      <c r="AM1387" s="720"/>
      <c r="AN1387" s="720"/>
      <c r="AO1387" s="720"/>
      <c r="AP1387" s="720"/>
      <c r="AQ1387" s="720"/>
      <c r="AR1387" s="720"/>
      <c r="AS1387" s="720"/>
      <c r="AT1387" s="720"/>
      <c r="AU1387" s="720"/>
      <c r="AV1387" s="720"/>
      <c r="AW1387" s="720"/>
      <c r="AX1387" s="720"/>
      <c r="AY1387" s="720"/>
      <c r="AZ1387" s="720"/>
      <c r="BA1387" s="720"/>
      <c r="BB1387" s="720"/>
      <c r="BC1387" s="720"/>
      <c r="BD1387" s="720"/>
      <c r="BE1387" s="720"/>
      <c r="BF1387" s="720"/>
      <c r="BG1387" s="720"/>
      <c r="BH1387" s="720"/>
      <c r="BI1387" s="720"/>
      <c r="BJ1387" s="720"/>
      <c r="BK1387" s="720"/>
      <c r="BL1387" s="720"/>
      <c r="BM1387" s="720"/>
      <c r="BN1387" s="720"/>
      <c r="BO1387" s="720"/>
      <c r="BP1387" s="720"/>
      <c r="BQ1387" s="720"/>
      <c r="BR1387" s="720"/>
      <c r="BS1387" s="720"/>
      <c r="BT1387" s="720"/>
      <c r="BU1387" s="720"/>
      <c r="BV1387" s="720"/>
      <c r="BW1387" s="720"/>
      <c r="BX1387" s="720"/>
      <c r="BY1387" s="720"/>
      <c r="BZ1387" s="720"/>
      <c r="CA1387" s="720"/>
    </row>
    <row r="1388" spans="1:79" hidden="1" outlineLevel="1" x14ac:dyDescent="0.25">
      <c r="B1388" s="570"/>
      <c r="C1388" s="570"/>
      <c r="D1388" s="570"/>
      <c r="E1388" s="570" t="s">
        <v>1341</v>
      </c>
      <c r="F1388" s="570" t="s">
        <v>908</v>
      </c>
      <c r="G1388" s="716"/>
      <c r="H1388" s="716"/>
      <c r="I1388" s="716"/>
      <c r="J1388" s="716"/>
      <c r="K1388" s="716"/>
      <c r="L1388" s="716"/>
      <c r="M1388" s="716"/>
      <c r="N1388" s="716"/>
      <c r="O1388" s="716"/>
      <c r="P1388" s="716"/>
      <c r="Q1388" s="716"/>
      <c r="R1388" s="720"/>
      <c r="S1388" s="667">
        <v>0</v>
      </c>
      <c r="T1388" s="667">
        <v>0</v>
      </c>
      <c r="U1388" s="667">
        <v>0</v>
      </c>
      <c r="V1388" s="667">
        <v>0</v>
      </c>
      <c r="W1388" s="667">
        <v>0</v>
      </c>
      <c r="X1388" s="667">
        <v>0</v>
      </c>
      <c r="Y1388" s="667">
        <v>0</v>
      </c>
      <c r="Z1388" s="667">
        <v>0</v>
      </c>
      <c r="AA1388" s="667">
        <v>0</v>
      </c>
      <c r="AB1388" s="667">
        <v>0</v>
      </c>
      <c r="AC1388" s="666">
        <v>0</v>
      </c>
      <c r="AD1388" s="666">
        <v>0</v>
      </c>
      <c r="AE1388" s="667">
        <v>0</v>
      </c>
      <c r="AF1388" s="716">
        <v>0</v>
      </c>
      <c r="AG1388" s="666">
        <v>0</v>
      </c>
      <c r="AH1388" s="720"/>
      <c r="AI1388" s="720"/>
      <c r="AJ1388" s="720"/>
      <c r="AK1388" s="720"/>
      <c r="AL1388" s="720"/>
      <c r="AM1388" s="720"/>
      <c r="AN1388" s="720"/>
      <c r="AO1388" s="720"/>
      <c r="AP1388" s="720"/>
      <c r="AQ1388" s="720"/>
      <c r="AR1388" s="720"/>
      <c r="AS1388" s="720"/>
      <c r="AT1388" s="720"/>
      <c r="AU1388" s="720"/>
      <c r="AV1388" s="720"/>
      <c r="AW1388" s="720"/>
      <c r="AX1388" s="720"/>
      <c r="AY1388" s="720"/>
      <c r="AZ1388" s="720"/>
      <c r="BA1388" s="720"/>
      <c r="BB1388" s="720"/>
      <c r="BC1388" s="720"/>
      <c r="BD1388" s="720"/>
      <c r="BE1388" s="720"/>
      <c r="BF1388" s="720"/>
      <c r="BG1388" s="720"/>
      <c r="BH1388" s="720"/>
      <c r="BI1388" s="720"/>
      <c r="BJ1388" s="720"/>
      <c r="BK1388" s="720"/>
      <c r="BL1388" s="720"/>
      <c r="BM1388" s="720"/>
      <c r="BN1388" s="720"/>
      <c r="BO1388" s="720"/>
      <c r="BP1388" s="720"/>
      <c r="BQ1388" s="720"/>
      <c r="BR1388" s="720"/>
      <c r="BS1388" s="720"/>
      <c r="BT1388" s="720"/>
      <c r="BU1388" s="720"/>
      <c r="BV1388" s="720"/>
      <c r="BW1388" s="720"/>
      <c r="BX1388" s="720"/>
      <c r="BY1388" s="720"/>
      <c r="BZ1388" s="720"/>
      <c r="CA1388" s="720"/>
    </row>
    <row r="1389" spans="1:79" hidden="1" outlineLevel="1" x14ac:dyDescent="0.25">
      <c r="B1389" s="570"/>
      <c r="C1389" s="570"/>
      <c r="D1389" s="570"/>
      <c r="E1389" s="570" t="s">
        <v>1341</v>
      </c>
      <c r="F1389" s="570" t="s">
        <v>654</v>
      </c>
      <c r="G1389" s="716"/>
      <c r="H1389" s="716"/>
      <c r="I1389" s="716"/>
      <c r="J1389" s="716"/>
      <c r="K1389" s="716"/>
      <c r="L1389" s="716"/>
      <c r="M1389" s="716"/>
      <c r="N1389" s="716"/>
      <c r="O1389" s="716"/>
      <c r="P1389" s="716"/>
      <c r="Q1389" s="716"/>
      <c r="R1389" s="720"/>
      <c r="S1389" s="667">
        <v>0</v>
      </c>
      <c r="T1389" s="667">
        <v>0</v>
      </c>
      <c r="U1389" s="667">
        <v>0</v>
      </c>
      <c r="V1389" s="667">
        <v>0</v>
      </c>
      <c r="W1389" s="667">
        <v>0</v>
      </c>
      <c r="X1389" s="667">
        <v>0</v>
      </c>
      <c r="Y1389" s="667">
        <v>0</v>
      </c>
      <c r="Z1389" s="667">
        <v>0</v>
      </c>
      <c r="AA1389" s="667">
        <v>0</v>
      </c>
      <c r="AB1389" s="667">
        <v>-8107</v>
      </c>
      <c r="AC1389" s="666">
        <v>0</v>
      </c>
      <c r="AD1389" s="666">
        <v>0</v>
      </c>
      <c r="AE1389" s="667">
        <v>0</v>
      </c>
      <c r="AF1389" s="716">
        <v>-14539.76</v>
      </c>
      <c r="AG1389" s="666">
        <v>0</v>
      </c>
      <c r="AH1389" s="720"/>
      <c r="AI1389" s="720"/>
      <c r="AJ1389" s="720"/>
      <c r="AK1389" s="720"/>
      <c r="AL1389" s="720"/>
      <c r="AM1389" s="720"/>
      <c r="AN1389" s="720"/>
      <c r="AO1389" s="720"/>
      <c r="AP1389" s="720"/>
      <c r="AQ1389" s="720"/>
      <c r="AR1389" s="720"/>
      <c r="AS1389" s="720"/>
      <c r="AT1389" s="720"/>
      <c r="AU1389" s="720"/>
      <c r="AV1389" s="720"/>
      <c r="AW1389" s="720"/>
      <c r="AX1389" s="720"/>
      <c r="AY1389" s="720"/>
      <c r="AZ1389" s="720"/>
      <c r="BA1389" s="720"/>
      <c r="BB1389" s="720"/>
      <c r="BC1389" s="720"/>
      <c r="BD1389" s="720"/>
      <c r="BE1389" s="720"/>
      <c r="BF1389" s="720"/>
      <c r="BG1389" s="720"/>
      <c r="BH1389" s="720"/>
      <c r="BI1389" s="720"/>
      <c r="BJ1389" s="720"/>
      <c r="BK1389" s="720"/>
      <c r="BL1389" s="720"/>
      <c r="BM1389" s="720"/>
      <c r="BN1389" s="720"/>
      <c r="BO1389" s="720"/>
      <c r="BP1389" s="720"/>
      <c r="BQ1389" s="720"/>
      <c r="BR1389" s="720"/>
      <c r="BS1389" s="720"/>
      <c r="BT1389" s="720"/>
      <c r="BU1389" s="720"/>
      <c r="BV1389" s="720"/>
      <c r="BW1389" s="720"/>
      <c r="BX1389" s="720"/>
      <c r="BY1389" s="720"/>
      <c r="BZ1389" s="720"/>
      <c r="CA1389" s="720"/>
    </row>
    <row r="1390" spans="1:79" hidden="1" outlineLevel="1" x14ac:dyDescent="0.25">
      <c r="B1390" s="570"/>
      <c r="C1390" s="570"/>
      <c r="D1390" s="570"/>
      <c r="E1390" s="570" t="s">
        <v>1341</v>
      </c>
      <c r="F1390" s="570" t="s">
        <v>909</v>
      </c>
      <c r="G1390" s="716"/>
      <c r="H1390" s="716"/>
      <c r="I1390" s="716"/>
      <c r="J1390" s="716"/>
      <c r="K1390" s="716"/>
      <c r="L1390" s="716"/>
      <c r="M1390" s="716"/>
      <c r="N1390" s="716"/>
      <c r="O1390" s="716"/>
      <c r="P1390" s="716"/>
      <c r="Q1390" s="716"/>
      <c r="R1390" s="720"/>
      <c r="S1390" s="667">
        <v>0</v>
      </c>
      <c r="T1390" s="667">
        <v>0</v>
      </c>
      <c r="U1390" s="667">
        <v>0</v>
      </c>
      <c r="V1390" s="667">
        <v>0</v>
      </c>
      <c r="W1390" s="667">
        <v>0</v>
      </c>
      <c r="X1390" s="667">
        <v>0</v>
      </c>
      <c r="Y1390" s="667">
        <v>0</v>
      </c>
      <c r="Z1390" s="667">
        <v>0</v>
      </c>
      <c r="AA1390" s="667">
        <v>0</v>
      </c>
      <c r="AB1390" s="667">
        <v>0</v>
      </c>
      <c r="AC1390" s="666">
        <v>0</v>
      </c>
      <c r="AD1390" s="666">
        <v>0</v>
      </c>
      <c r="AE1390" s="667">
        <v>0</v>
      </c>
      <c r="AF1390" s="716">
        <v>0</v>
      </c>
      <c r="AG1390" s="666">
        <v>15200</v>
      </c>
      <c r="AH1390" s="720"/>
      <c r="AI1390" s="720"/>
      <c r="AJ1390" s="720"/>
      <c r="AK1390" s="720"/>
      <c r="AL1390" s="720"/>
      <c r="AM1390" s="720"/>
      <c r="AN1390" s="720"/>
      <c r="AO1390" s="720"/>
      <c r="AP1390" s="720"/>
      <c r="AQ1390" s="720"/>
      <c r="AR1390" s="720"/>
      <c r="AS1390" s="720"/>
      <c r="AT1390" s="720"/>
      <c r="AU1390" s="720"/>
      <c r="AV1390" s="720"/>
      <c r="AW1390" s="720"/>
      <c r="AX1390" s="720"/>
      <c r="AY1390" s="720"/>
      <c r="AZ1390" s="720"/>
      <c r="BA1390" s="720"/>
      <c r="BB1390" s="720"/>
      <c r="BC1390" s="720"/>
      <c r="BD1390" s="720"/>
      <c r="BE1390" s="720"/>
      <c r="BF1390" s="720"/>
      <c r="BG1390" s="720"/>
      <c r="BH1390" s="720"/>
      <c r="BI1390" s="720"/>
      <c r="BJ1390" s="720"/>
      <c r="BK1390" s="720"/>
      <c r="BL1390" s="720"/>
      <c r="BM1390" s="720"/>
      <c r="BN1390" s="720"/>
      <c r="BO1390" s="720"/>
      <c r="BP1390" s="720"/>
      <c r="BQ1390" s="720"/>
      <c r="BR1390" s="720"/>
      <c r="BS1390" s="720"/>
      <c r="BT1390" s="720"/>
      <c r="BU1390" s="720"/>
      <c r="BV1390" s="720"/>
      <c r="BW1390" s="720"/>
      <c r="BX1390" s="720"/>
      <c r="BY1390" s="720"/>
      <c r="BZ1390" s="720"/>
      <c r="CA1390" s="720"/>
    </row>
    <row r="1391" spans="1:79" hidden="1" outlineLevel="1" x14ac:dyDescent="0.25">
      <c r="E1391" s="570" t="s">
        <v>1341</v>
      </c>
      <c r="F1391" s="570" t="s">
        <v>910</v>
      </c>
      <c r="G1391" s="716"/>
      <c r="H1391" s="716"/>
      <c r="I1391" s="716"/>
      <c r="J1391" s="716"/>
      <c r="K1391" s="716"/>
      <c r="L1391" s="716"/>
      <c r="M1391" s="716"/>
      <c r="N1391" s="716"/>
      <c r="O1391" s="716"/>
      <c r="P1391" s="716"/>
      <c r="Q1391" s="716"/>
      <c r="R1391" s="720"/>
      <c r="S1391" s="667">
        <v>0</v>
      </c>
      <c r="T1391" s="667">
        <v>0</v>
      </c>
      <c r="U1391" s="667">
        <v>0</v>
      </c>
      <c r="V1391" s="667">
        <v>0</v>
      </c>
      <c r="W1391" s="667">
        <v>0</v>
      </c>
      <c r="X1391" s="667">
        <v>0</v>
      </c>
      <c r="Y1391" s="667">
        <v>0</v>
      </c>
      <c r="Z1391" s="667">
        <v>0</v>
      </c>
      <c r="AA1391" s="667">
        <v>0</v>
      </c>
      <c r="AB1391" s="667">
        <v>0</v>
      </c>
      <c r="AC1391" s="666">
        <v>0</v>
      </c>
      <c r="AD1391" s="666">
        <v>0</v>
      </c>
      <c r="AE1391" s="667">
        <v>0</v>
      </c>
      <c r="AF1391" s="716">
        <v>0</v>
      </c>
      <c r="AG1391" s="666">
        <v>0</v>
      </c>
      <c r="AH1391" s="720"/>
      <c r="AI1391" s="720"/>
      <c r="AJ1391" s="720"/>
      <c r="AK1391" s="720"/>
      <c r="AL1391" s="720"/>
      <c r="AM1391" s="720"/>
      <c r="AN1391" s="720"/>
      <c r="AO1391" s="720"/>
      <c r="AP1391" s="720"/>
      <c r="AQ1391" s="720"/>
      <c r="AR1391" s="720"/>
      <c r="AS1391" s="720"/>
      <c r="AT1391" s="720"/>
      <c r="AU1391" s="720"/>
      <c r="AV1391" s="720"/>
      <c r="AW1391" s="720"/>
      <c r="AX1391" s="720"/>
      <c r="AY1391" s="720"/>
      <c r="AZ1391" s="720"/>
      <c r="BA1391" s="720"/>
      <c r="BB1391" s="720"/>
      <c r="BC1391" s="720"/>
      <c r="BD1391" s="720"/>
      <c r="BE1391" s="720"/>
      <c r="BF1391" s="720"/>
      <c r="BG1391" s="720"/>
      <c r="BH1391" s="720"/>
      <c r="BI1391" s="720"/>
      <c r="BJ1391" s="720"/>
      <c r="BK1391" s="720"/>
      <c r="BL1391" s="720"/>
      <c r="BM1391" s="720"/>
      <c r="BN1391" s="720"/>
      <c r="BO1391" s="720"/>
      <c r="BP1391" s="720"/>
      <c r="BQ1391" s="720"/>
      <c r="BR1391" s="720"/>
      <c r="BS1391" s="720"/>
      <c r="BT1391" s="720"/>
      <c r="BU1391" s="720"/>
      <c r="BV1391" s="720"/>
      <c r="BW1391" s="720"/>
      <c r="BX1391" s="720"/>
      <c r="BY1391" s="720"/>
      <c r="BZ1391" s="720"/>
      <c r="CA1391" s="720"/>
    </row>
    <row r="1392" spans="1:79" hidden="1" outlineLevel="1" x14ac:dyDescent="0.25">
      <c r="E1392" s="570" t="s">
        <v>1341</v>
      </c>
      <c r="F1392" s="570" t="s">
        <v>911</v>
      </c>
      <c r="G1392" s="716">
        <v>0</v>
      </c>
      <c r="H1392" s="716">
        <v>0</v>
      </c>
      <c r="I1392" s="716">
        <v>0</v>
      </c>
      <c r="J1392" s="716">
        <v>4688.973166776148</v>
      </c>
      <c r="K1392" s="716">
        <v>0</v>
      </c>
      <c r="L1392" s="716">
        <v>2869.4415533751262</v>
      </c>
      <c r="M1392" s="716">
        <v>0</v>
      </c>
      <c r="N1392" s="716">
        <v>0</v>
      </c>
      <c r="O1392" s="716">
        <v>500</v>
      </c>
      <c r="P1392" s="716">
        <v>0</v>
      </c>
      <c r="Q1392" s="716">
        <v>0</v>
      </c>
      <c r="R1392" s="720">
        <v>2285.2552781623699</v>
      </c>
      <c r="S1392" s="667">
        <v>0</v>
      </c>
      <c r="T1392" s="667">
        <v>0</v>
      </c>
      <c r="U1392" s="667">
        <v>0</v>
      </c>
      <c r="V1392" s="667">
        <v>0</v>
      </c>
      <c r="W1392" s="667">
        <v>0</v>
      </c>
      <c r="X1392" s="667">
        <v>0</v>
      </c>
      <c r="Y1392" s="667">
        <v>0</v>
      </c>
      <c r="Z1392" s="667">
        <v>0</v>
      </c>
      <c r="AA1392" s="667">
        <v>0</v>
      </c>
      <c r="AB1392" s="667">
        <v>0</v>
      </c>
      <c r="AC1392" s="666">
        <v>0</v>
      </c>
      <c r="AD1392" s="666">
        <v>0</v>
      </c>
      <c r="AE1392" s="667">
        <v>0</v>
      </c>
      <c r="AF1392" s="716">
        <v>0</v>
      </c>
      <c r="AG1392" s="666">
        <v>0</v>
      </c>
      <c r="AH1392" s="720"/>
      <c r="AI1392" s="720"/>
      <c r="AJ1392" s="720"/>
      <c r="AK1392" s="720"/>
      <c r="AL1392" s="720"/>
      <c r="AM1392" s="720"/>
      <c r="AN1392" s="720"/>
      <c r="AO1392" s="720"/>
      <c r="AP1392" s="720"/>
      <c r="AQ1392" s="720"/>
      <c r="AR1392" s="720"/>
      <c r="AS1392" s="720"/>
      <c r="AT1392" s="720"/>
      <c r="AU1392" s="720"/>
      <c r="AV1392" s="720"/>
      <c r="AW1392" s="720"/>
      <c r="AX1392" s="720"/>
      <c r="AY1392" s="720"/>
      <c r="AZ1392" s="720"/>
      <c r="BA1392" s="720"/>
      <c r="BB1392" s="720"/>
      <c r="BC1392" s="720"/>
      <c r="BD1392" s="720"/>
      <c r="BE1392" s="720"/>
      <c r="BF1392" s="720"/>
      <c r="BG1392" s="720"/>
      <c r="BH1392" s="720"/>
      <c r="BI1392" s="720"/>
      <c r="BJ1392" s="720"/>
      <c r="BK1392" s="720"/>
      <c r="BL1392" s="720"/>
      <c r="BM1392" s="720"/>
      <c r="BN1392" s="720"/>
      <c r="BO1392" s="720"/>
      <c r="BP1392" s="720"/>
      <c r="BQ1392" s="720"/>
      <c r="BR1392" s="720"/>
      <c r="BS1392" s="720"/>
      <c r="BT1392" s="720"/>
      <c r="BU1392" s="720"/>
      <c r="BV1392" s="720"/>
      <c r="BW1392" s="720"/>
      <c r="BX1392" s="720"/>
      <c r="BY1392" s="720"/>
      <c r="BZ1392" s="720"/>
      <c r="CA1392" s="720"/>
    </row>
    <row r="1393" spans="1:79" hidden="1" outlineLevel="1" x14ac:dyDescent="0.25">
      <c r="A1393" s="657"/>
      <c r="E1393" s="570" t="s">
        <v>49</v>
      </c>
      <c r="F1393" s="657" t="s">
        <v>655</v>
      </c>
      <c r="G1393" s="664">
        <f>SUM(G1386:G1392)</f>
        <v>0</v>
      </c>
      <c r="H1393" s="664">
        <f t="shared" ref="H1393:BO1393" si="592">SUM(H1386:H1392)</f>
        <v>0</v>
      </c>
      <c r="I1393" s="664">
        <f t="shared" si="592"/>
        <v>-5441.4759982256091</v>
      </c>
      <c r="J1393" s="664">
        <f t="shared" si="592"/>
        <v>4688.973166776148</v>
      </c>
      <c r="K1393" s="664">
        <f t="shared" si="592"/>
        <v>0</v>
      </c>
      <c r="L1393" s="664">
        <f t="shared" si="592"/>
        <v>2869.4415533751262</v>
      </c>
      <c r="M1393" s="664">
        <f t="shared" si="592"/>
        <v>0</v>
      </c>
      <c r="N1393" s="664">
        <f t="shared" si="592"/>
        <v>0</v>
      </c>
      <c r="O1393" s="664">
        <f t="shared" si="592"/>
        <v>500</v>
      </c>
      <c r="P1393" s="664">
        <f t="shared" si="592"/>
        <v>0</v>
      </c>
      <c r="Q1393" s="664">
        <f t="shared" si="592"/>
        <v>0</v>
      </c>
      <c r="R1393" s="664">
        <f t="shared" si="592"/>
        <v>2285.2552781623699</v>
      </c>
      <c r="S1393" s="678">
        <f t="shared" ref="S1393:AA1393" si="593">ROUND(SUM(S1385:S1392),5)</f>
        <v>0</v>
      </c>
      <c r="T1393" s="678">
        <f t="shared" si="593"/>
        <v>0</v>
      </c>
      <c r="U1393" s="678">
        <f t="shared" si="593"/>
        <v>0</v>
      </c>
      <c r="V1393" s="678">
        <f t="shared" si="593"/>
        <v>2375</v>
      </c>
      <c r="W1393" s="678">
        <f t="shared" si="593"/>
        <v>0</v>
      </c>
      <c r="X1393" s="678">
        <f t="shared" si="593"/>
        <v>0</v>
      </c>
      <c r="Y1393" s="678">
        <f t="shared" si="593"/>
        <v>0</v>
      </c>
      <c r="Z1393" s="678">
        <f t="shared" si="593"/>
        <v>0</v>
      </c>
      <c r="AA1393" s="678">
        <f t="shared" si="593"/>
        <v>0</v>
      </c>
      <c r="AB1393" s="678">
        <f t="shared" ref="AB1393:AG1393" si="594">ROUND(SUM(AB1385:AB1392),5)</f>
        <v>-8107</v>
      </c>
      <c r="AC1393" s="678">
        <f t="shared" si="594"/>
        <v>0</v>
      </c>
      <c r="AD1393" s="678">
        <f t="shared" si="594"/>
        <v>0</v>
      </c>
      <c r="AE1393" s="678">
        <f t="shared" si="594"/>
        <v>0</v>
      </c>
      <c r="AF1393" s="664">
        <f t="shared" si="594"/>
        <v>-14539.76</v>
      </c>
      <c r="AG1393" s="678">
        <f t="shared" si="594"/>
        <v>15200</v>
      </c>
      <c r="AH1393" s="664">
        <f t="shared" si="592"/>
        <v>0</v>
      </c>
      <c r="AI1393" s="664">
        <f t="shared" si="592"/>
        <v>0</v>
      </c>
      <c r="AJ1393" s="664">
        <f t="shared" si="592"/>
        <v>0</v>
      </c>
      <c r="AK1393" s="664">
        <f t="shared" si="592"/>
        <v>0</v>
      </c>
      <c r="AL1393" s="664">
        <f t="shared" si="592"/>
        <v>0</v>
      </c>
      <c r="AM1393" s="664">
        <f t="shared" si="592"/>
        <v>0</v>
      </c>
      <c r="AN1393" s="664">
        <f t="shared" si="592"/>
        <v>0</v>
      </c>
      <c r="AO1393" s="664">
        <f t="shared" si="592"/>
        <v>0</v>
      </c>
      <c r="AP1393" s="664">
        <f t="shared" si="592"/>
        <v>0</v>
      </c>
      <c r="AQ1393" s="664">
        <f t="shared" si="592"/>
        <v>0</v>
      </c>
      <c r="AR1393" s="664">
        <f t="shared" si="592"/>
        <v>0</v>
      </c>
      <c r="AS1393" s="664">
        <f t="shared" si="592"/>
        <v>0</v>
      </c>
      <c r="AT1393" s="664">
        <f t="shared" si="592"/>
        <v>0</v>
      </c>
      <c r="AU1393" s="664">
        <f t="shared" si="592"/>
        <v>0</v>
      </c>
      <c r="AV1393" s="664">
        <f t="shared" si="592"/>
        <v>0</v>
      </c>
      <c r="AW1393" s="664">
        <f t="shared" si="592"/>
        <v>0</v>
      </c>
      <c r="AX1393" s="664">
        <f t="shared" si="592"/>
        <v>0</v>
      </c>
      <c r="AY1393" s="664">
        <f t="shared" si="592"/>
        <v>0</v>
      </c>
      <c r="AZ1393" s="664">
        <f t="shared" si="592"/>
        <v>0</v>
      </c>
      <c r="BA1393" s="664">
        <f t="shared" si="592"/>
        <v>0</v>
      </c>
      <c r="BB1393" s="664">
        <f t="shared" si="592"/>
        <v>0</v>
      </c>
      <c r="BC1393" s="664">
        <f t="shared" si="592"/>
        <v>0</v>
      </c>
      <c r="BD1393" s="664">
        <f t="shared" si="592"/>
        <v>0</v>
      </c>
      <c r="BE1393" s="664">
        <f t="shared" si="592"/>
        <v>0</v>
      </c>
      <c r="BF1393" s="664">
        <f t="shared" si="592"/>
        <v>0</v>
      </c>
      <c r="BG1393" s="664">
        <f t="shared" si="592"/>
        <v>0</v>
      </c>
      <c r="BH1393" s="664">
        <f t="shared" si="592"/>
        <v>0</v>
      </c>
      <c r="BI1393" s="664">
        <f t="shared" si="592"/>
        <v>0</v>
      </c>
      <c r="BJ1393" s="664">
        <f t="shared" si="592"/>
        <v>0</v>
      </c>
      <c r="BK1393" s="664">
        <f t="shared" si="592"/>
        <v>0</v>
      </c>
      <c r="BL1393" s="664">
        <f t="shared" si="592"/>
        <v>0</v>
      </c>
      <c r="BM1393" s="664">
        <f t="shared" si="592"/>
        <v>0</v>
      </c>
      <c r="BN1393" s="664">
        <f t="shared" si="592"/>
        <v>0</v>
      </c>
      <c r="BO1393" s="664">
        <f t="shared" si="592"/>
        <v>0</v>
      </c>
      <c r="BP1393" s="664">
        <f t="shared" ref="BP1393:CA1393" si="595">SUM(BP1386:BP1392)</f>
        <v>0</v>
      </c>
      <c r="BQ1393" s="664">
        <f t="shared" si="595"/>
        <v>0</v>
      </c>
      <c r="BR1393" s="664">
        <f t="shared" si="595"/>
        <v>0</v>
      </c>
      <c r="BS1393" s="664">
        <f t="shared" si="595"/>
        <v>0</v>
      </c>
      <c r="BT1393" s="664">
        <f t="shared" si="595"/>
        <v>0</v>
      </c>
      <c r="BU1393" s="664">
        <f t="shared" si="595"/>
        <v>0</v>
      </c>
      <c r="BV1393" s="664">
        <f t="shared" si="595"/>
        <v>0</v>
      </c>
      <c r="BW1393" s="664">
        <f t="shared" si="595"/>
        <v>0</v>
      </c>
      <c r="BX1393" s="664">
        <f t="shared" si="595"/>
        <v>0</v>
      </c>
      <c r="BY1393" s="664">
        <f t="shared" si="595"/>
        <v>0</v>
      </c>
      <c r="BZ1393" s="664">
        <f t="shared" si="595"/>
        <v>0</v>
      </c>
      <c r="CA1393" s="664">
        <f t="shared" si="595"/>
        <v>0</v>
      </c>
    </row>
    <row r="1394" spans="1:79" hidden="1" outlineLevel="1" x14ac:dyDescent="0.25">
      <c r="E1394" s="570" t="s">
        <v>945</v>
      </c>
      <c r="F1394" s="437" t="s">
        <v>693</v>
      </c>
      <c r="G1394" s="716">
        <v>16335.425988657094</v>
      </c>
      <c r="H1394" s="716">
        <v>8604.8901052027904</v>
      </c>
      <c r="I1394" s="716">
        <v>15335.954285292122</v>
      </c>
      <c r="J1394" s="716">
        <v>15076.595613616642</v>
      </c>
      <c r="K1394" s="716">
        <v>10788.184162267131</v>
      </c>
      <c r="L1394" s="716">
        <v>10591.63790255379</v>
      </c>
      <c r="M1394" s="716">
        <v>9350.0814462789203</v>
      </c>
      <c r="N1394" s="716">
        <v>10854.354767069104</v>
      </c>
      <c r="O1394" s="716">
        <v>13654.408968137614</v>
      </c>
      <c r="P1394" s="716">
        <v>14766.808216499208</v>
      </c>
      <c r="Q1394" s="716">
        <v>11740.381773480614</v>
      </c>
      <c r="R1394" s="720">
        <v>11563.468473819259</v>
      </c>
      <c r="S1394" s="667">
        <v>0</v>
      </c>
      <c r="T1394" s="667">
        <v>0</v>
      </c>
      <c r="U1394" s="667">
        <v>0</v>
      </c>
      <c r="V1394" s="667">
        <v>0</v>
      </c>
      <c r="W1394" s="667">
        <v>0</v>
      </c>
      <c r="X1394" s="667">
        <v>0</v>
      </c>
      <c r="Y1394" s="667">
        <v>0</v>
      </c>
      <c r="Z1394" s="667">
        <v>0</v>
      </c>
      <c r="AA1394" s="667">
        <v>0</v>
      </c>
      <c r="AB1394" s="667">
        <v>0</v>
      </c>
      <c r="AC1394" s="666">
        <v>0</v>
      </c>
      <c r="AD1394" s="666">
        <v>0</v>
      </c>
      <c r="AE1394" s="667">
        <v>0</v>
      </c>
      <c r="AF1394" s="664">
        <v>0</v>
      </c>
      <c r="AG1394" s="666">
        <v>-3.87</v>
      </c>
      <c r="AH1394" s="720"/>
      <c r="AI1394" s="720"/>
      <c r="AJ1394" s="720"/>
      <c r="AK1394" s="720"/>
      <c r="AL1394" s="720"/>
      <c r="AM1394" s="720"/>
      <c r="AN1394" s="720"/>
      <c r="AO1394" s="720"/>
      <c r="AP1394" s="720"/>
      <c r="AQ1394" s="720"/>
      <c r="AR1394" s="720"/>
      <c r="AS1394" s="720"/>
      <c r="AT1394" s="720"/>
      <c r="AU1394" s="720"/>
      <c r="AV1394" s="720"/>
      <c r="AW1394" s="720"/>
      <c r="AX1394" s="720"/>
      <c r="AY1394" s="720"/>
      <c r="AZ1394" s="720"/>
      <c r="BA1394" s="720"/>
      <c r="BB1394" s="720"/>
      <c r="BC1394" s="720"/>
      <c r="BD1394" s="720"/>
      <c r="BE1394" s="720"/>
      <c r="BF1394" s="720"/>
      <c r="BG1394" s="720"/>
      <c r="BH1394" s="720"/>
      <c r="BI1394" s="720"/>
      <c r="BJ1394" s="720"/>
      <c r="BK1394" s="720"/>
      <c r="BL1394" s="720"/>
      <c r="BM1394" s="720"/>
      <c r="BN1394" s="720"/>
      <c r="BO1394" s="720"/>
      <c r="BP1394" s="720"/>
      <c r="BQ1394" s="720"/>
      <c r="BR1394" s="720"/>
      <c r="BS1394" s="720"/>
      <c r="BT1394" s="720"/>
      <c r="BU1394" s="720"/>
      <c r="BV1394" s="720"/>
      <c r="BW1394" s="720"/>
      <c r="BX1394" s="720"/>
      <c r="BY1394" s="720"/>
      <c r="BZ1394" s="720"/>
      <c r="CA1394" s="720"/>
    </row>
    <row r="1395" spans="1:79" s="868" customFormat="1" ht="15.75" collapsed="1" thickBot="1" x14ac:dyDescent="0.3">
      <c r="A1395" s="892"/>
      <c r="B1395" s="499"/>
      <c r="C1395" s="499"/>
      <c r="D1395" s="499"/>
      <c r="E1395" s="892"/>
      <c r="F1395" s="892" t="s">
        <v>683</v>
      </c>
      <c r="G1395" s="894">
        <f t="shared" ref="G1395:R1395" si="596">ROUND(SUM(G1224:G1232)+SUM(G1236:G1241)+SUM(G1242:G1243)+G1247+SUM(G1251:G1253)+SUM(G1266:G1270)+SUM(G1281:G1282)+G1301+SUM(G1305:G1308)+G1319+G1327+SUM(G1333:G1335)+SUM(G1341:G1342)+SUM(G1375:G1376)+SUM(G1382:G1384)+SUM(G1393:G1394),5)</f>
        <v>54155.821190000002</v>
      </c>
      <c r="H1395" s="894">
        <f t="shared" si="596"/>
        <v>117062.92675</v>
      </c>
      <c r="I1395" s="894">
        <f t="shared" si="596"/>
        <v>102438.55467</v>
      </c>
      <c r="J1395" s="894">
        <f t="shared" si="596"/>
        <v>88432.521710000001</v>
      </c>
      <c r="K1395" s="894">
        <f t="shared" si="596"/>
        <v>76196.030350000001</v>
      </c>
      <c r="L1395" s="894">
        <f t="shared" si="596"/>
        <v>92144.343420000005</v>
      </c>
      <c r="M1395" s="894">
        <f t="shared" si="596"/>
        <v>136538.98177000001</v>
      </c>
      <c r="N1395" s="894">
        <f t="shared" si="596"/>
        <v>102769.32266000001</v>
      </c>
      <c r="O1395" s="894">
        <f t="shared" si="596"/>
        <v>76459.785610000006</v>
      </c>
      <c r="P1395" s="894">
        <f t="shared" si="596"/>
        <v>283861.12433999998</v>
      </c>
      <c r="Q1395" s="894">
        <f t="shared" si="596"/>
        <v>163730.92997</v>
      </c>
      <c r="R1395" s="894">
        <f t="shared" si="596"/>
        <v>196870.49114999999</v>
      </c>
      <c r="S1395" s="894">
        <f t="shared" ref="S1395:AC1395" si="597">ROUND(SUM(S1224:S1232)+SUM(S1236:S1241)+SUM(S1242:S1243)+S1247+SUM(S1251:S1253)+SUM(S1266:S1270)+SUM(S1281:S1282)+S1301+SUM(S1305:S1308)+S1319+S1327+SUM(S1333:S1335)+SUM(S1341:S1342)+SUM(S1375:S1376)+SUM(S1382:S1384)+SUM(S1393:S1394),5)</f>
        <v>33846.18</v>
      </c>
      <c r="T1395" s="894">
        <f t="shared" si="597"/>
        <v>45472.6</v>
      </c>
      <c r="U1395" s="894">
        <f t="shared" si="597"/>
        <v>38730.07</v>
      </c>
      <c r="V1395" s="894">
        <f t="shared" si="597"/>
        <v>46309.1</v>
      </c>
      <c r="W1395" s="894">
        <f t="shared" si="597"/>
        <v>49087.58</v>
      </c>
      <c r="X1395" s="894">
        <f t="shared" si="597"/>
        <v>98654.99</v>
      </c>
      <c r="Y1395" s="894">
        <f t="shared" si="597"/>
        <v>86600.91</v>
      </c>
      <c r="Z1395" s="894">
        <f t="shared" si="597"/>
        <v>67998.14</v>
      </c>
      <c r="AA1395" s="894">
        <f t="shared" si="597"/>
        <v>101127.73</v>
      </c>
      <c r="AB1395" s="894">
        <f t="shared" si="597"/>
        <v>163591.07999999999</v>
      </c>
      <c r="AC1395" s="893">
        <f t="shared" si="597"/>
        <v>76076.22</v>
      </c>
      <c r="AD1395" s="894">
        <f>ROUND(SUM(AD1225:AD1232)+SUM(AD1236:AD1243)+AD1247+SUM(AD1251:AD1253)+SUM(AD1266:AD1270)+SUM(AD1281:AD1282)+AD1301+SUM(AD1305:AD1308)+AD1319+AD1327+SUM(AD1333:AD1335)+SUM(AD1341:AD1342)+SUM(AD1375:AD1376)+SUM(AD1382:AD1384)+SUM(AD1393:AD1394),5)</f>
        <v>97509.97</v>
      </c>
      <c r="AE1395" s="894">
        <f>ROUND(SUM(AE1225:AE1232)+SUM(AE1236:AE1243)+AE1247+SUM(AE1251:AE1253)+SUM(AE1266:AE1270)+SUM(AE1281:AE1282)+AE1301+SUM(AE1305:AE1308)+AE1319+AE1327+SUM(AE1333:AE1335)+SUM(AE1341:AE1342)+SUM(AE1375:AE1376)+SUM(AE1382:AE1384)+SUM(AE1393:AE1394),5)</f>
        <v>129800.1</v>
      </c>
      <c r="AF1395" s="894">
        <f>ROUND(SUM(AF1224:AF1232)+SUM(AF1236:AF1243)+AF1247+SUM(AF1251:AF1253)+SUM(AF1266:AF1270)+SUM(AF1281:AF1282)+AF1301+SUM(AF1305:AF1308)+AF1319+AF1327+SUM(AF1333:AF1335)+SUM(AF1341:AF1342)+SUM(AF1375:AF1376)+SUM(AF1382:AF1384)+SUM(AF1393:AF1394),5)</f>
        <v>123206.57</v>
      </c>
      <c r="AG1395" s="894">
        <f>ROUND(SUM(AG1224:AG1232)+SUM(AG1236:AG1243)+AG1247+SUM(AG1251:AG1253)+SUM(AG1266:AG1270)+SUM(AG1281:AG1282)+AG1301+SUM(AG1305:AG1308)+AG1319+AG1327+SUM(AG1333:AG1335)+SUM(AG1341:AG1342)+SUM(AG1375:AG1376)+SUM(AG1382:AG1384)+SUM(AG1393:AG1394),5)</f>
        <v>126341.54</v>
      </c>
      <c r="AH1395" s="893">
        <f t="shared" ref="AH1395:CA1395" si="598">SUM(AH1227:AH1394)-SUM(AH1393,AH1382,AH1375,AH1373,AH1363,AH1353,AH1341,AH1333,AH1327,AH1319,AH1305,AH1301,AH1281,AH1266,AH1251,AH1247,AH1258,AH1236)</f>
        <v>0</v>
      </c>
      <c r="AI1395" s="893">
        <f t="shared" si="598"/>
        <v>0</v>
      </c>
      <c r="AJ1395" s="893">
        <f t="shared" si="598"/>
        <v>0</v>
      </c>
      <c r="AK1395" s="893">
        <f t="shared" si="598"/>
        <v>0</v>
      </c>
      <c r="AL1395" s="893">
        <f t="shared" si="598"/>
        <v>0</v>
      </c>
      <c r="AM1395" s="893">
        <f t="shared" si="598"/>
        <v>0</v>
      </c>
      <c r="AN1395" s="893">
        <f t="shared" si="598"/>
        <v>0</v>
      </c>
      <c r="AO1395" s="893">
        <f t="shared" si="598"/>
        <v>0</v>
      </c>
      <c r="AP1395" s="893">
        <f t="shared" si="598"/>
        <v>0</v>
      </c>
      <c r="AQ1395" s="893">
        <f t="shared" si="598"/>
        <v>0</v>
      </c>
      <c r="AR1395" s="893">
        <f t="shared" si="598"/>
        <v>0</v>
      </c>
      <c r="AS1395" s="893">
        <f t="shared" si="598"/>
        <v>0</v>
      </c>
      <c r="AT1395" s="893">
        <f t="shared" si="598"/>
        <v>0</v>
      </c>
      <c r="AU1395" s="893">
        <f t="shared" si="598"/>
        <v>0</v>
      </c>
      <c r="AV1395" s="893">
        <f t="shared" si="598"/>
        <v>0</v>
      </c>
      <c r="AW1395" s="893">
        <f t="shared" si="598"/>
        <v>0</v>
      </c>
      <c r="AX1395" s="893">
        <f t="shared" si="598"/>
        <v>0</v>
      </c>
      <c r="AY1395" s="893">
        <f t="shared" si="598"/>
        <v>0</v>
      </c>
      <c r="AZ1395" s="893">
        <f t="shared" si="598"/>
        <v>0</v>
      </c>
      <c r="BA1395" s="893">
        <f t="shared" si="598"/>
        <v>0</v>
      </c>
      <c r="BB1395" s="893">
        <f t="shared" si="598"/>
        <v>0</v>
      </c>
      <c r="BC1395" s="893">
        <f t="shared" si="598"/>
        <v>0</v>
      </c>
      <c r="BD1395" s="893">
        <f t="shared" si="598"/>
        <v>0</v>
      </c>
      <c r="BE1395" s="893">
        <f t="shared" si="598"/>
        <v>0</v>
      </c>
      <c r="BF1395" s="893">
        <f t="shared" si="598"/>
        <v>0</v>
      </c>
      <c r="BG1395" s="893">
        <f t="shared" si="598"/>
        <v>0</v>
      </c>
      <c r="BH1395" s="893">
        <f t="shared" si="598"/>
        <v>0</v>
      </c>
      <c r="BI1395" s="893">
        <f t="shared" si="598"/>
        <v>0</v>
      </c>
      <c r="BJ1395" s="893">
        <f t="shared" si="598"/>
        <v>0</v>
      </c>
      <c r="BK1395" s="893">
        <f t="shared" si="598"/>
        <v>0</v>
      </c>
      <c r="BL1395" s="893">
        <f t="shared" si="598"/>
        <v>0</v>
      </c>
      <c r="BM1395" s="893">
        <f t="shared" si="598"/>
        <v>0</v>
      </c>
      <c r="BN1395" s="893">
        <f t="shared" si="598"/>
        <v>0</v>
      </c>
      <c r="BO1395" s="893">
        <f t="shared" si="598"/>
        <v>0</v>
      </c>
      <c r="BP1395" s="893">
        <f t="shared" si="598"/>
        <v>0</v>
      </c>
      <c r="BQ1395" s="893">
        <f t="shared" si="598"/>
        <v>0</v>
      </c>
      <c r="BR1395" s="893">
        <f t="shared" si="598"/>
        <v>0</v>
      </c>
      <c r="BS1395" s="893">
        <f t="shared" si="598"/>
        <v>0</v>
      </c>
      <c r="BT1395" s="893">
        <f t="shared" si="598"/>
        <v>0</v>
      </c>
      <c r="BU1395" s="893">
        <f t="shared" si="598"/>
        <v>0</v>
      </c>
      <c r="BV1395" s="893">
        <f t="shared" si="598"/>
        <v>0</v>
      </c>
      <c r="BW1395" s="893">
        <f t="shared" si="598"/>
        <v>0</v>
      </c>
      <c r="BX1395" s="893">
        <f t="shared" si="598"/>
        <v>0</v>
      </c>
      <c r="BY1395" s="893">
        <f t="shared" si="598"/>
        <v>0</v>
      </c>
      <c r="BZ1395" s="893">
        <f t="shared" si="598"/>
        <v>0</v>
      </c>
      <c r="CA1395" s="893">
        <f t="shared" si="598"/>
        <v>0</v>
      </c>
    </row>
    <row r="1396" spans="1:79" ht="15.75" thickTop="1" x14ac:dyDescent="0.25">
      <c r="G1396" s="723"/>
      <c r="H1396" s="723"/>
      <c r="I1396" s="723"/>
      <c r="J1396" s="723"/>
      <c r="K1396" s="723"/>
      <c r="L1396" s="723"/>
      <c r="M1396" s="723"/>
      <c r="N1396" s="723"/>
      <c r="O1396" s="723"/>
      <c r="P1396" s="723"/>
      <c r="Q1396" s="723"/>
      <c r="R1396" s="723"/>
      <c r="S1396" s="723"/>
      <c r="T1396" s="723"/>
      <c r="U1396" s="723"/>
      <c r="V1396" s="723"/>
      <c r="W1396" s="723"/>
      <c r="X1396" s="723"/>
      <c r="Y1396" s="723"/>
      <c r="Z1396" s="723"/>
      <c r="AA1396" s="723"/>
      <c r="AB1396" s="720"/>
      <c r="AC1396" s="720"/>
      <c r="AD1396" s="720"/>
      <c r="AE1396" s="720"/>
      <c r="AF1396" s="720"/>
      <c r="AG1396" s="720"/>
      <c r="AH1396" s="720"/>
      <c r="AI1396" s="720"/>
      <c r="AJ1396" s="720"/>
      <c r="AK1396" s="720"/>
      <c r="AL1396" s="720"/>
      <c r="AM1396" s="720"/>
      <c r="AN1396" s="720"/>
      <c r="AO1396" s="720"/>
      <c r="AP1396" s="720"/>
      <c r="AQ1396" s="720"/>
      <c r="AR1396" s="720"/>
      <c r="AS1396" s="720"/>
      <c r="AT1396" s="720"/>
      <c r="AU1396" s="720"/>
      <c r="AV1396" s="720"/>
      <c r="AW1396" s="720"/>
      <c r="AX1396" s="720"/>
      <c r="AY1396" s="720"/>
      <c r="AZ1396" s="720"/>
      <c r="BA1396" s="720"/>
      <c r="BB1396" s="720"/>
      <c r="BC1396" s="720"/>
      <c r="BD1396" s="720"/>
      <c r="BE1396" s="720"/>
      <c r="BF1396" s="720"/>
      <c r="BG1396" s="720"/>
      <c r="BH1396" s="720"/>
      <c r="BI1396" s="720"/>
      <c r="BJ1396" s="720"/>
      <c r="BK1396" s="720"/>
      <c r="BL1396" s="720"/>
      <c r="BM1396" s="720"/>
      <c r="BN1396" s="720"/>
      <c r="BO1396" s="720"/>
      <c r="BP1396" s="720"/>
      <c r="BQ1396" s="720"/>
      <c r="BR1396" s="720"/>
      <c r="BS1396" s="720"/>
      <c r="BT1396" s="720"/>
      <c r="BU1396" s="720"/>
      <c r="BV1396" s="720"/>
      <c r="BW1396" s="720"/>
      <c r="BX1396" s="720"/>
      <c r="BY1396" s="720"/>
      <c r="BZ1396" s="720"/>
      <c r="CA1396" s="720"/>
    </row>
    <row r="1397" spans="1:79" s="451" customFormat="1" x14ac:dyDescent="0.25">
      <c r="A1397" s="5"/>
      <c r="B1397" s="571"/>
      <c r="C1397" s="571"/>
      <c r="D1397" s="571"/>
      <c r="E1397" s="5"/>
      <c r="F1397" s="5"/>
      <c r="G1397" s="723"/>
      <c r="H1397" s="723"/>
      <c r="I1397" s="723"/>
      <c r="J1397" s="723"/>
      <c r="K1397" s="723"/>
      <c r="L1397" s="723"/>
      <c r="M1397" s="723"/>
      <c r="N1397" s="723"/>
      <c r="O1397" s="723"/>
      <c r="P1397" s="723"/>
      <c r="Q1397" s="723"/>
      <c r="R1397" s="723"/>
      <c r="S1397" s="723"/>
      <c r="T1397" s="723"/>
      <c r="U1397" s="723"/>
      <c r="V1397" s="723"/>
      <c r="W1397" s="723"/>
      <c r="X1397" s="723"/>
      <c r="Y1397" s="723"/>
      <c r="Z1397" s="723"/>
      <c r="AA1397" s="723"/>
      <c r="AB1397" s="716"/>
      <c r="AC1397" s="716"/>
      <c r="AD1397" s="716"/>
      <c r="AE1397" s="716"/>
      <c r="AF1397" s="716"/>
      <c r="AG1397" s="716"/>
      <c r="AH1397" s="716"/>
      <c r="AI1397" s="716"/>
      <c r="AJ1397" s="716"/>
      <c r="AK1397" s="716"/>
      <c r="AL1397" s="716"/>
      <c r="AM1397" s="716"/>
      <c r="AN1397" s="716"/>
      <c r="AO1397" s="716"/>
      <c r="AP1397" s="716"/>
      <c r="AQ1397" s="716"/>
      <c r="AR1397" s="716"/>
      <c r="AS1397" s="716"/>
      <c r="AT1397" s="716"/>
      <c r="AU1397" s="716"/>
      <c r="AV1397" s="716"/>
      <c r="AW1397" s="716"/>
      <c r="AX1397" s="716"/>
      <c r="AY1397" s="716"/>
      <c r="AZ1397" s="716"/>
      <c r="BA1397" s="716"/>
      <c r="BB1397" s="716"/>
      <c r="BC1397" s="716"/>
      <c r="BD1397" s="716"/>
      <c r="BE1397" s="716"/>
      <c r="BF1397" s="716"/>
      <c r="BG1397" s="716"/>
      <c r="BH1397" s="716"/>
      <c r="BI1397" s="716"/>
      <c r="BJ1397" s="716"/>
      <c r="BK1397" s="716"/>
      <c r="BL1397" s="716"/>
      <c r="BM1397" s="716"/>
      <c r="BN1397" s="716"/>
      <c r="BO1397" s="716"/>
      <c r="BP1397" s="716"/>
      <c r="BQ1397" s="716"/>
      <c r="BR1397" s="716"/>
      <c r="BS1397" s="716"/>
      <c r="BT1397" s="716"/>
      <c r="BU1397" s="716"/>
      <c r="BV1397" s="716"/>
      <c r="BW1397" s="716"/>
      <c r="BX1397" s="716"/>
      <c r="BY1397" s="716"/>
      <c r="BZ1397" s="716"/>
      <c r="CA1397" s="716"/>
    </row>
    <row r="1398" spans="1:79" s="451" customFormat="1" x14ac:dyDescent="0.25">
      <c r="A1398" s="5"/>
      <c r="B1398" s="571"/>
      <c r="C1398" s="571"/>
      <c r="D1398" s="571"/>
      <c r="E1398" s="5"/>
      <c r="F1398" s="5"/>
      <c r="G1398" s="718"/>
      <c r="H1398" s="718"/>
      <c r="I1398" s="718"/>
      <c r="J1398" s="718"/>
      <c r="K1398" s="718"/>
      <c r="L1398" s="718"/>
      <c r="M1398" s="718"/>
      <c r="N1398" s="718"/>
      <c r="O1398" s="718"/>
      <c r="P1398" s="718"/>
      <c r="Q1398" s="718"/>
      <c r="R1398" s="718"/>
      <c r="S1398" s="718"/>
      <c r="T1398" s="718"/>
      <c r="U1398" s="718"/>
      <c r="V1398" s="718"/>
      <c r="W1398" s="718"/>
      <c r="X1398" s="718"/>
      <c r="Y1398" s="718"/>
      <c r="Z1398" s="718"/>
      <c r="AA1398" s="718"/>
      <c r="AB1398" s="716"/>
      <c r="AC1398" s="716"/>
      <c r="AD1398" s="716"/>
      <c r="AE1398" s="716"/>
      <c r="AF1398" s="716"/>
      <c r="AG1398" s="716"/>
      <c r="AH1398" s="716"/>
      <c r="AI1398" s="716"/>
      <c r="AJ1398" s="716"/>
      <c r="AK1398" s="716"/>
      <c r="AL1398" s="716"/>
      <c r="AM1398" s="716"/>
      <c r="AN1398" s="716"/>
      <c r="AO1398" s="716"/>
      <c r="AP1398" s="716"/>
      <c r="AQ1398" s="716"/>
      <c r="AR1398" s="716"/>
      <c r="AS1398" s="716"/>
      <c r="AT1398" s="716"/>
      <c r="AU1398" s="716"/>
      <c r="AV1398" s="716"/>
      <c r="AW1398" s="716"/>
      <c r="AX1398" s="716"/>
      <c r="AY1398" s="716"/>
      <c r="AZ1398" s="716"/>
      <c r="BA1398" s="716"/>
      <c r="BB1398" s="716"/>
      <c r="BC1398" s="716"/>
      <c r="BD1398" s="716"/>
      <c r="BE1398" s="716"/>
      <c r="BF1398" s="716"/>
      <c r="BG1398" s="716"/>
      <c r="BH1398" s="716"/>
      <c r="BI1398" s="716"/>
      <c r="BJ1398" s="716"/>
      <c r="BK1398" s="716"/>
      <c r="BL1398" s="716"/>
      <c r="BM1398" s="716"/>
      <c r="BN1398" s="716"/>
      <c r="BO1398" s="716"/>
      <c r="BP1398" s="716"/>
      <c r="BQ1398" s="716"/>
      <c r="BR1398" s="716"/>
      <c r="BS1398" s="716"/>
      <c r="BT1398" s="716"/>
      <c r="BU1398" s="716"/>
      <c r="BV1398" s="716"/>
      <c r="BW1398" s="716"/>
      <c r="BX1398" s="716"/>
      <c r="BY1398" s="716"/>
      <c r="BZ1398" s="716"/>
      <c r="CA1398" s="716"/>
    </row>
    <row r="1399" spans="1:79" s="803" customFormat="1" x14ac:dyDescent="0.25">
      <c r="A1399" s="863"/>
      <c r="B1399" s="859"/>
      <c r="C1399" s="859"/>
      <c r="D1399" s="859"/>
      <c r="E1399" s="863"/>
      <c r="F1399" s="863" t="s">
        <v>1177</v>
      </c>
      <c r="G1399" s="864"/>
      <c r="H1399" s="864"/>
      <c r="I1399" s="864"/>
      <c r="J1399" s="864"/>
      <c r="K1399" s="864"/>
      <c r="L1399" s="864"/>
      <c r="M1399" s="864"/>
      <c r="N1399" s="864"/>
      <c r="O1399" s="864"/>
      <c r="P1399" s="864"/>
      <c r="Q1399" s="864"/>
      <c r="R1399" s="864"/>
      <c r="S1399" s="864"/>
      <c r="T1399" s="864"/>
      <c r="U1399" s="864"/>
      <c r="V1399" s="864"/>
      <c r="W1399" s="864"/>
      <c r="X1399" s="864"/>
      <c r="Y1399" s="864"/>
      <c r="Z1399" s="864"/>
      <c r="AA1399" s="864"/>
      <c r="AB1399" s="864"/>
      <c r="AC1399" s="864"/>
      <c r="AD1399" s="864"/>
      <c r="AE1399" s="864"/>
      <c r="AF1399" s="864"/>
      <c r="AG1399" s="863"/>
      <c r="AH1399" s="864"/>
      <c r="AI1399" s="864"/>
      <c r="AJ1399" s="864"/>
      <c r="AK1399" s="864"/>
      <c r="AL1399" s="864"/>
      <c r="AM1399" s="864"/>
      <c r="AN1399" s="864"/>
      <c r="AO1399" s="864"/>
      <c r="AP1399" s="864"/>
      <c r="AQ1399" s="864"/>
      <c r="AR1399" s="864"/>
      <c r="AS1399" s="864"/>
      <c r="AT1399" s="864"/>
      <c r="AU1399" s="864"/>
      <c r="AV1399" s="864"/>
      <c r="AW1399" s="864"/>
      <c r="AX1399" s="864"/>
      <c r="AY1399" s="864"/>
      <c r="AZ1399" s="864"/>
      <c r="BA1399" s="864"/>
      <c r="BB1399" s="864"/>
      <c r="BC1399" s="864"/>
      <c r="BD1399" s="864"/>
      <c r="BE1399" s="864"/>
      <c r="BF1399" s="864"/>
      <c r="BG1399" s="864"/>
      <c r="BH1399" s="864"/>
      <c r="BI1399" s="864"/>
      <c r="BJ1399" s="864"/>
      <c r="BK1399" s="864"/>
      <c r="BL1399" s="864"/>
      <c r="BM1399" s="864"/>
      <c r="BN1399" s="864"/>
      <c r="BO1399" s="864"/>
      <c r="BP1399" s="864"/>
      <c r="BQ1399" s="864"/>
      <c r="BR1399" s="864"/>
      <c r="BS1399" s="864"/>
      <c r="BT1399" s="864"/>
      <c r="BU1399" s="864"/>
      <c r="BV1399" s="864"/>
      <c r="BW1399" s="864"/>
      <c r="BX1399" s="864"/>
      <c r="BY1399" s="864"/>
      <c r="BZ1399" s="864"/>
      <c r="CA1399" s="864"/>
    </row>
    <row r="1400" spans="1:79" s="451" customFormat="1" hidden="1" outlineLevel="1" x14ac:dyDescent="0.25">
      <c r="A1400" s="654"/>
      <c r="B1400" s="571"/>
      <c r="C1400" s="571"/>
      <c r="D1400" s="571"/>
      <c r="E1400" s="570" t="s">
        <v>1323</v>
      </c>
      <c r="F1400" s="654" t="s">
        <v>1320</v>
      </c>
      <c r="G1400" s="720"/>
      <c r="H1400" s="720"/>
      <c r="I1400" s="720"/>
      <c r="J1400" s="720"/>
      <c r="K1400" s="720"/>
      <c r="L1400" s="720"/>
      <c r="M1400" s="720"/>
      <c r="N1400" s="720"/>
      <c r="O1400" s="720"/>
      <c r="P1400" s="720"/>
      <c r="Q1400" s="720"/>
      <c r="R1400" s="720"/>
      <c r="S1400" s="663"/>
      <c r="T1400" s="663"/>
      <c r="U1400" s="663"/>
      <c r="V1400" s="663"/>
      <c r="W1400" s="663"/>
      <c r="X1400" s="663"/>
      <c r="Y1400" s="663"/>
      <c r="Z1400" s="663"/>
      <c r="AA1400" s="663"/>
      <c r="AB1400" s="663"/>
      <c r="AC1400" s="663"/>
      <c r="AD1400" s="663"/>
      <c r="AE1400" s="663">
        <v>0</v>
      </c>
      <c r="AF1400" s="663">
        <v>0</v>
      </c>
      <c r="AG1400" s="663">
        <v>0</v>
      </c>
      <c r="AH1400" s="720"/>
      <c r="AI1400" s="720"/>
      <c r="AJ1400" s="720"/>
      <c r="AK1400" s="720"/>
      <c r="AL1400" s="720"/>
      <c r="AM1400" s="720"/>
      <c r="AN1400" s="720"/>
      <c r="AO1400" s="720"/>
      <c r="AP1400" s="720"/>
      <c r="AQ1400" s="720"/>
      <c r="AR1400" s="720"/>
      <c r="AS1400" s="720"/>
      <c r="AT1400" s="720"/>
      <c r="AU1400" s="720"/>
      <c r="AV1400" s="720"/>
      <c r="AW1400" s="720"/>
      <c r="AX1400" s="720"/>
      <c r="AY1400" s="720"/>
      <c r="AZ1400" s="720"/>
      <c r="BA1400" s="720"/>
      <c r="BB1400" s="720"/>
      <c r="BC1400" s="720"/>
      <c r="BD1400" s="720"/>
      <c r="BE1400" s="720"/>
      <c r="BF1400" s="720"/>
      <c r="BG1400" s="720"/>
      <c r="BH1400" s="720"/>
      <c r="BI1400" s="720"/>
      <c r="BJ1400" s="720"/>
      <c r="BK1400" s="720"/>
      <c r="BL1400" s="720"/>
      <c r="BM1400" s="720"/>
      <c r="BN1400" s="720"/>
      <c r="BO1400" s="720"/>
      <c r="BP1400" s="720"/>
      <c r="BQ1400" s="720"/>
      <c r="BR1400" s="720"/>
      <c r="BS1400" s="720"/>
      <c r="BT1400" s="720"/>
      <c r="BU1400" s="720"/>
      <c r="BV1400" s="720"/>
      <c r="BW1400" s="720"/>
      <c r="BX1400" s="720"/>
      <c r="BY1400" s="720"/>
      <c r="BZ1400" s="720"/>
      <c r="CA1400" s="720"/>
    </row>
    <row r="1401" spans="1:79" hidden="1" outlineLevel="1" x14ac:dyDescent="0.25">
      <c r="A1401" s="654"/>
      <c r="B1401" s="223"/>
      <c r="C1401" s="223"/>
      <c r="D1401" s="223"/>
      <c r="E1401" s="570" t="s">
        <v>1324</v>
      </c>
      <c r="F1401" s="654" t="s">
        <v>1321</v>
      </c>
      <c r="G1401" s="663"/>
      <c r="H1401" s="663"/>
      <c r="I1401" s="663"/>
      <c r="J1401" s="663"/>
      <c r="K1401" s="663"/>
      <c r="L1401" s="663"/>
      <c r="M1401" s="663"/>
      <c r="N1401" s="663"/>
      <c r="O1401" s="663"/>
      <c r="P1401" s="663"/>
      <c r="Q1401" s="663"/>
      <c r="R1401" s="663"/>
      <c r="S1401" s="663"/>
      <c r="T1401" s="663"/>
      <c r="U1401" s="663"/>
      <c r="V1401" s="663"/>
      <c r="W1401" s="663"/>
      <c r="X1401" s="663"/>
      <c r="Y1401" s="663"/>
      <c r="Z1401" s="663"/>
      <c r="AA1401" s="663"/>
      <c r="AB1401" s="663"/>
      <c r="AC1401" s="663"/>
      <c r="AD1401" s="663"/>
      <c r="AE1401" s="663">
        <v>0</v>
      </c>
      <c r="AF1401" s="663">
        <v>0</v>
      </c>
      <c r="AG1401" s="663">
        <v>0</v>
      </c>
      <c r="AH1401" s="663"/>
      <c r="AI1401" s="663"/>
      <c r="AJ1401" s="663"/>
      <c r="AK1401" s="663"/>
      <c r="AL1401" s="663"/>
      <c r="AM1401" s="663"/>
      <c r="AN1401" s="663"/>
      <c r="AO1401" s="663"/>
      <c r="AP1401" s="663"/>
      <c r="AQ1401" s="663"/>
      <c r="AR1401" s="663"/>
      <c r="AS1401" s="663"/>
      <c r="AT1401" s="663"/>
      <c r="AU1401" s="663"/>
      <c r="AV1401" s="663"/>
      <c r="AW1401" s="663"/>
      <c r="AX1401" s="663"/>
      <c r="AY1401" s="663"/>
      <c r="AZ1401" s="663"/>
      <c r="BA1401" s="663"/>
      <c r="BB1401" s="663"/>
      <c r="BC1401" s="663"/>
      <c r="BD1401" s="663"/>
      <c r="BE1401" s="663"/>
      <c r="BF1401" s="663"/>
      <c r="BG1401" s="663"/>
      <c r="BH1401" s="663"/>
      <c r="BI1401" s="663"/>
      <c r="BJ1401" s="663"/>
      <c r="BK1401" s="663"/>
      <c r="BL1401" s="663"/>
      <c r="BM1401" s="663"/>
      <c r="BN1401" s="663"/>
      <c r="BO1401" s="663"/>
      <c r="BP1401" s="663"/>
      <c r="BQ1401" s="663"/>
      <c r="BR1401" s="663"/>
      <c r="BS1401" s="663"/>
      <c r="BT1401" s="663"/>
      <c r="BU1401" s="663"/>
      <c r="BV1401" s="663"/>
      <c r="BW1401" s="663"/>
      <c r="BX1401" s="663"/>
      <c r="BY1401" s="663"/>
      <c r="BZ1401" s="663"/>
      <c r="CA1401" s="663"/>
    </row>
    <row r="1402" spans="1:79" s="451" customFormat="1" hidden="1" outlineLevel="1" x14ac:dyDescent="0.25">
      <c r="A1402" s="654"/>
      <c r="B1402" s="571"/>
      <c r="C1402" s="571"/>
      <c r="D1402" s="571"/>
      <c r="E1402" s="570" t="s">
        <v>1325</v>
      </c>
      <c r="F1402" s="654" t="s">
        <v>696</v>
      </c>
      <c r="G1402" s="720"/>
      <c r="H1402" s="720"/>
      <c r="I1402" s="720"/>
      <c r="J1402" s="720"/>
      <c r="K1402" s="720"/>
      <c r="L1402" s="720"/>
      <c r="M1402" s="720"/>
      <c r="N1402" s="720"/>
      <c r="O1402" s="720"/>
      <c r="P1402" s="720"/>
      <c r="Q1402" s="720"/>
      <c r="R1402" s="720"/>
      <c r="S1402" s="663"/>
      <c r="T1402" s="663"/>
      <c r="U1402" s="663"/>
      <c r="V1402" s="663"/>
      <c r="W1402" s="663"/>
      <c r="X1402" s="663"/>
      <c r="Y1402" s="663"/>
      <c r="Z1402" s="663"/>
      <c r="AA1402" s="663"/>
      <c r="AB1402" s="663"/>
      <c r="AC1402" s="663"/>
      <c r="AD1402" s="663"/>
      <c r="AE1402" s="663">
        <v>0</v>
      </c>
      <c r="AF1402" s="663">
        <v>0</v>
      </c>
      <c r="AG1402" s="663">
        <v>0</v>
      </c>
      <c r="AH1402" s="720"/>
      <c r="AI1402" s="720"/>
      <c r="AJ1402" s="720"/>
      <c r="AK1402" s="720"/>
      <c r="AL1402" s="720"/>
      <c r="AM1402" s="720"/>
      <c r="AN1402" s="720"/>
      <c r="AO1402" s="720"/>
      <c r="AP1402" s="720"/>
      <c r="AQ1402" s="720"/>
      <c r="AR1402" s="720"/>
      <c r="AS1402" s="720"/>
      <c r="AT1402" s="720"/>
      <c r="AU1402" s="720"/>
      <c r="AV1402" s="720"/>
      <c r="AW1402" s="720"/>
      <c r="AX1402" s="720"/>
      <c r="AY1402" s="720"/>
      <c r="AZ1402" s="720"/>
      <c r="BA1402" s="720"/>
      <c r="BB1402" s="720"/>
      <c r="BC1402" s="720"/>
      <c r="BD1402" s="720"/>
      <c r="BE1402" s="720"/>
      <c r="BF1402" s="720"/>
      <c r="BG1402" s="720"/>
      <c r="BH1402" s="720"/>
      <c r="BI1402" s="720"/>
      <c r="BJ1402" s="720"/>
      <c r="BK1402" s="720"/>
      <c r="BL1402" s="720"/>
      <c r="BM1402" s="720"/>
      <c r="BN1402" s="720"/>
      <c r="BO1402" s="720"/>
      <c r="BP1402" s="720"/>
      <c r="BQ1402" s="720"/>
      <c r="BR1402" s="720"/>
      <c r="BS1402" s="720"/>
      <c r="BT1402" s="720"/>
      <c r="BU1402" s="720"/>
      <c r="BV1402" s="720"/>
      <c r="BW1402" s="720"/>
      <c r="BX1402" s="720"/>
      <c r="BY1402" s="720"/>
      <c r="BZ1402" s="720"/>
      <c r="CA1402" s="720"/>
    </row>
    <row r="1403" spans="1:79" hidden="1" outlineLevel="1" x14ac:dyDescent="0.25">
      <c r="A1403" s="655"/>
      <c r="B1403" s="223"/>
      <c r="C1403" s="223"/>
      <c r="D1403" s="223"/>
      <c r="E1403" s="570" t="s">
        <v>1326</v>
      </c>
      <c r="F1403" s="655" t="s">
        <v>850</v>
      </c>
      <c r="G1403" s="663"/>
      <c r="H1403" s="663"/>
      <c r="I1403" s="663"/>
      <c r="J1403" s="663"/>
      <c r="K1403" s="663"/>
      <c r="L1403" s="663"/>
      <c r="M1403" s="663"/>
      <c r="N1403" s="663"/>
      <c r="O1403" s="663"/>
      <c r="P1403" s="663"/>
      <c r="Q1403" s="663"/>
      <c r="R1403" s="663"/>
      <c r="S1403" s="663"/>
      <c r="T1403" s="663"/>
      <c r="U1403" s="663"/>
      <c r="V1403" s="663"/>
      <c r="W1403" s="663"/>
      <c r="X1403" s="663"/>
      <c r="Y1403" s="663"/>
      <c r="Z1403" s="663"/>
      <c r="AA1403" s="663"/>
      <c r="AB1403" s="663"/>
      <c r="AC1403" s="663"/>
      <c r="AD1403" s="663"/>
      <c r="AE1403" s="663">
        <v>0</v>
      </c>
      <c r="AF1403" s="663">
        <v>0</v>
      </c>
      <c r="AG1403" s="663">
        <v>0</v>
      </c>
      <c r="AH1403" s="663"/>
      <c r="AI1403" s="663"/>
      <c r="AJ1403" s="663"/>
      <c r="AK1403" s="663"/>
      <c r="AL1403" s="663"/>
      <c r="AM1403" s="663"/>
      <c r="AN1403" s="663"/>
      <c r="AO1403" s="663"/>
      <c r="AP1403" s="663"/>
      <c r="AQ1403" s="663"/>
      <c r="AR1403" s="663"/>
      <c r="AS1403" s="663"/>
      <c r="AT1403" s="663"/>
      <c r="AU1403" s="663"/>
      <c r="AV1403" s="663"/>
      <c r="AW1403" s="663"/>
      <c r="AX1403" s="663"/>
      <c r="AY1403" s="663"/>
      <c r="AZ1403" s="663"/>
      <c r="BA1403" s="663"/>
      <c r="BB1403" s="663"/>
      <c r="BC1403" s="663"/>
      <c r="BD1403" s="663"/>
      <c r="BE1403" s="663"/>
      <c r="BF1403" s="663"/>
      <c r="BG1403" s="663"/>
      <c r="BH1403" s="663"/>
      <c r="BI1403" s="663"/>
      <c r="BJ1403" s="663"/>
      <c r="BK1403" s="663"/>
      <c r="BL1403" s="663"/>
      <c r="BM1403" s="663"/>
      <c r="BN1403" s="663"/>
      <c r="BO1403" s="663"/>
      <c r="BP1403" s="663"/>
      <c r="BQ1403" s="663"/>
      <c r="BR1403" s="663"/>
      <c r="BS1403" s="663"/>
      <c r="BT1403" s="663"/>
      <c r="BU1403" s="663"/>
      <c r="BV1403" s="663"/>
      <c r="BW1403" s="663"/>
      <c r="BX1403" s="663"/>
      <c r="BY1403" s="663"/>
      <c r="BZ1403" s="663"/>
      <c r="CA1403" s="663"/>
    </row>
    <row r="1404" spans="1:79" hidden="1" outlineLevel="1" x14ac:dyDescent="0.25">
      <c r="A1404" s="655"/>
      <c r="B1404" s="223"/>
      <c r="C1404" s="223"/>
      <c r="D1404" s="223"/>
      <c r="E1404" s="570" t="s">
        <v>851</v>
      </c>
      <c r="F1404" s="655" t="s">
        <v>851</v>
      </c>
      <c r="G1404" s="663"/>
      <c r="H1404" s="663"/>
      <c r="I1404" s="663"/>
      <c r="J1404" s="663"/>
      <c r="K1404" s="663"/>
      <c r="L1404" s="663"/>
      <c r="M1404" s="663"/>
      <c r="N1404" s="663"/>
      <c r="O1404" s="663"/>
      <c r="P1404" s="663"/>
      <c r="Q1404" s="663"/>
      <c r="R1404" s="663"/>
      <c r="S1404" s="663"/>
      <c r="T1404" s="663"/>
      <c r="U1404" s="663"/>
      <c r="V1404" s="663"/>
      <c r="W1404" s="663"/>
      <c r="X1404" s="663"/>
      <c r="Y1404" s="663"/>
      <c r="Z1404" s="663"/>
      <c r="AA1404" s="663"/>
      <c r="AB1404" s="663"/>
      <c r="AC1404" s="663"/>
      <c r="AD1404" s="663"/>
      <c r="AE1404" s="663">
        <v>0</v>
      </c>
      <c r="AF1404" s="663">
        <v>0</v>
      </c>
      <c r="AG1404" s="663">
        <v>0</v>
      </c>
      <c r="AH1404" s="663"/>
      <c r="AI1404" s="663"/>
      <c r="AJ1404" s="663"/>
      <c r="AK1404" s="663"/>
      <c r="AL1404" s="663"/>
      <c r="AM1404" s="663"/>
      <c r="AN1404" s="663"/>
      <c r="AO1404" s="663"/>
      <c r="AP1404" s="663"/>
      <c r="AQ1404" s="663"/>
      <c r="AR1404" s="663"/>
      <c r="AS1404" s="663"/>
      <c r="AT1404" s="663"/>
      <c r="AU1404" s="663"/>
      <c r="AV1404" s="663"/>
      <c r="AW1404" s="663"/>
      <c r="AX1404" s="663"/>
      <c r="AY1404" s="663"/>
      <c r="AZ1404" s="663"/>
      <c r="BA1404" s="663"/>
      <c r="BB1404" s="663"/>
      <c r="BC1404" s="663"/>
      <c r="BD1404" s="663"/>
      <c r="BE1404" s="663"/>
      <c r="BF1404" s="663"/>
      <c r="BG1404" s="663"/>
      <c r="BH1404" s="663"/>
      <c r="BI1404" s="663"/>
      <c r="BJ1404" s="663"/>
      <c r="BK1404" s="663"/>
      <c r="BL1404" s="663"/>
      <c r="BM1404" s="663"/>
      <c r="BN1404" s="663"/>
      <c r="BO1404" s="663"/>
      <c r="BP1404" s="663"/>
      <c r="BQ1404" s="663"/>
      <c r="BR1404" s="663"/>
      <c r="BS1404" s="663"/>
      <c r="BT1404" s="663"/>
      <c r="BU1404" s="663"/>
      <c r="BV1404" s="663"/>
      <c r="BW1404" s="663"/>
      <c r="BX1404" s="663"/>
      <c r="BY1404" s="663"/>
      <c r="BZ1404" s="663"/>
      <c r="CA1404" s="663"/>
    </row>
    <row r="1405" spans="1:79" hidden="1" outlineLevel="1" x14ac:dyDescent="0.25">
      <c r="A1405" s="655"/>
      <c r="B1405" s="223"/>
      <c r="C1405" s="223"/>
      <c r="D1405" s="223"/>
      <c r="E1405" s="570" t="s">
        <v>852</v>
      </c>
      <c r="F1405" s="655" t="s">
        <v>852</v>
      </c>
      <c r="G1405" s="663"/>
      <c r="H1405" s="663"/>
      <c r="I1405" s="663"/>
      <c r="J1405" s="663"/>
      <c r="K1405" s="663"/>
      <c r="L1405" s="663"/>
      <c r="M1405" s="663"/>
      <c r="N1405" s="663"/>
      <c r="O1405" s="663"/>
      <c r="P1405" s="663"/>
      <c r="Q1405" s="663"/>
      <c r="R1405" s="663"/>
      <c r="S1405" s="663"/>
      <c r="T1405" s="663"/>
      <c r="U1405" s="663"/>
      <c r="V1405" s="663"/>
      <c r="W1405" s="663"/>
      <c r="X1405" s="663"/>
      <c r="Y1405" s="663"/>
      <c r="Z1405" s="663"/>
      <c r="AA1405" s="663"/>
      <c r="AB1405" s="663"/>
      <c r="AC1405" s="663"/>
      <c r="AD1405" s="663"/>
      <c r="AE1405" s="663">
        <v>0</v>
      </c>
      <c r="AF1405" s="663">
        <v>0</v>
      </c>
      <c r="AG1405" s="663">
        <v>0</v>
      </c>
      <c r="AH1405" s="663"/>
      <c r="AI1405" s="663"/>
      <c r="AJ1405" s="663"/>
      <c r="AK1405" s="663"/>
      <c r="AL1405" s="663"/>
      <c r="AM1405" s="663"/>
      <c r="AN1405" s="663"/>
      <c r="AO1405" s="663"/>
      <c r="AP1405" s="663"/>
      <c r="AQ1405" s="663"/>
      <c r="AR1405" s="663"/>
      <c r="AS1405" s="663"/>
      <c r="AT1405" s="663"/>
      <c r="AU1405" s="663"/>
      <c r="AV1405" s="663"/>
      <c r="AW1405" s="663"/>
      <c r="AX1405" s="663"/>
      <c r="AY1405" s="663"/>
      <c r="AZ1405" s="663"/>
      <c r="BA1405" s="663"/>
      <c r="BB1405" s="663"/>
      <c r="BC1405" s="663"/>
      <c r="BD1405" s="663"/>
      <c r="BE1405" s="663"/>
      <c r="BF1405" s="663"/>
      <c r="BG1405" s="663"/>
      <c r="BH1405" s="663"/>
      <c r="BI1405" s="663"/>
      <c r="BJ1405" s="663"/>
      <c r="BK1405" s="663"/>
      <c r="BL1405" s="663"/>
      <c r="BM1405" s="663"/>
      <c r="BN1405" s="663"/>
      <c r="BO1405" s="663"/>
      <c r="BP1405" s="663"/>
      <c r="BQ1405" s="663"/>
      <c r="BR1405" s="663"/>
      <c r="BS1405" s="663"/>
      <c r="BT1405" s="663"/>
      <c r="BU1405" s="663"/>
      <c r="BV1405" s="663"/>
      <c r="BW1405" s="663"/>
      <c r="BX1405" s="663"/>
      <c r="BY1405" s="663"/>
      <c r="BZ1405" s="663"/>
      <c r="CA1405" s="663"/>
    </row>
    <row r="1406" spans="1:79" s="451" customFormat="1" hidden="1" outlineLevel="1" x14ac:dyDescent="0.25">
      <c r="A1406" s="655"/>
      <c r="B1406" s="571"/>
      <c r="C1406" s="571"/>
      <c r="D1406" s="571"/>
      <c r="E1406" s="570" t="s">
        <v>697</v>
      </c>
      <c r="F1406" s="655" t="s">
        <v>697</v>
      </c>
      <c r="G1406" s="720"/>
      <c r="H1406" s="720"/>
      <c r="I1406" s="720"/>
      <c r="J1406" s="720"/>
      <c r="K1406" s="720"/>
      <c r="L1406" s="720"/>
      <c r="M1406" s="720"/>
      <c r="N1406" s="720"/>
      <c r="O1406" s="720"/>
      <c r="P1406" s="720"/>
      <c r="Q1406" s="720"/>
      <c r="R1406" s="720"/>
      <c r="S1406" s="663"/>
      <c r="T1406" s="663"/>
      <c r="U1406" s="663"/>
      <c r="V1406" s="663"/>
      <c r="W1406" s="663"/>
      <c r="X1406" s="663"/>
      <c r="Y1406" s="663"/>
      <c r="Z1406" s="663"/>
      <c r="AA1406" s="663"/>
      <c r="AB1406" s="663"/>
      <c r="AC1406" s="663"/>
      <c r="AD1406" s="663"/>
      <c r="AE1406" s="663">
        <v>0</v>
      </c>
      <c r="AF1406" s="663">
        <v>0</v>
      </c>
      <c r="AG1406" s="663">
        <v>0</v>
      </c>
      <c r="AH1406" s="720"/>
      <c r="AI1406" s="720"/>
      <c r="AJ1406" s="720"/>
      <c r="AK1406" s="720"/>
      <c r="AL1406" s="720"/>
      <c r="AM1406" s="720"/>
      <c r="AN1406" s="720"/>
      <c r="AO1406" s="720"/>
      <c r="AP1406" s="720"/>
      <c r="AQ1406" s="720"/>
      <c r="AR1406" s="720"/>
      <c r="AS1406" s="720"/>
      <c r="AT1406" s="720"/>
      <c r="AU1406" s="720"/>
      <c r="AV1406" s="720"/>
      <c r="AW1406" s="720"/>
      <c r="AX1406" s="720"/>
      <c r="AY1406" s="720"/>
      <c r="AZ1406" s="720"/>
      <c r="BA1406" s="720"/>
      <c r="BB1406" s="720"/>
      <c r="BC1406" s="720"/>
      <c r="BD1406" s="720"/>
      <c r="BE1406" s="720"/>
      <c r="BF1406" s="720"/>
      <c r="BG1406" s="720"/>
      <c r="BH1406" s="720"/>
      <c r="BI1406" s="720"/>
      <c r="BJ1406" s="720"/>
      <c r="BK1406" s="720"/>
      <c r="BL1406" s="720"/>
      <c r="BM1406" s="720"/>
      <c r="BN1406" s="720"/>
      <c r="BO1406" s="720"/>
      <c r="BP1406" s="720"/>
      <c r="BQ1406" s="720"/>
      <c r="BR1406" s="720"/>
      <c r="BS1406" s="720"/>
      <c r="BT1406" s="720"/>
      <c r="BU1406" s="720"/>
      <c r="BV1406" s="720"/>
      <c r="BW1406" s="720"/>
      <c r="BX1406" s="720"/>
      <c r="BY1406" s="720"/>
      <c r="BZ1406" s="720"/>
      <c r="CA1406" s="720"/>
    </row>
    <row r="1407" spans="1:79" hidden="1" outlineLevel="1" x14ac:dyDescent="0.25">
      <c r="A1407" s="655"/>
      <c r="B1407" s="223"/>
      <c r="C1407" s="223"/>
      <c r="D1407" s="223"/>
      <c r="E1407" s="570" t="s">
        <v>1325</v>
      </c>
      <c r="F1407" s="655" t="s">
        <v>853</v>
      </c>
      <c r="G1407" s="663"/>
      <c r="H1407" s="663"/>
      <c r="I1407" s="663"/>
      <c r="J1407" s="663"/>
      <c r="K1407" s="663"/>
      <c r="L1407" s="663"/>
      <c r="M1407" s="663"/>
      <c r="N1407" s="663"/>
      <c r="O1407" s="663"/>
      <c r="P1407" s="663"/>
      <c r="Q1407" s="663"/>
      <c r="R1407" s="663"/>
      <c r="S1407" s="663"/>
      <c r="T1407" s="663"/>
      <c r="U1407" s="663"/>
      <c r="V1407" s="663"/>
      <c r="W1407" s="663"/>
      <c r="X1407" s="663"/>
      <c r="Y1407" s="663"/>
      <c r="Z1407" s="663"/>
      <c r="AA1407" s="663"/>
      <c r="AB1407" s="663"/>
      <c r="AC1407" s="663"/>
      <c r="AD1407" s="663"/>
      <c r="AE1407" s="663">
        <v>0</v>
      </c>
      <c r="AF1407" s="663">
        <v>0</v>
      </c>
      <c r="AG1407" s="663">
        <v>0</v>
      </c>
      <c r="AH1407" s="663"/>
      <c r="AI1407" s="663"/>
      <c r="AJ1407" s="663"/>
      <c r="AK1407" s="663"/>
      <c r="AL1407" s="663"/>
      <c r="AM1407" s="663"/>
      <c r="AN1407" s="663"/>
      <c r="AO1407" s="663"/>
      <c r="AP1407" s="663"/>
      <c r="AQ1407" s="663"/>
      <c r="AR1407" s="663"/>
      <c r="AS1407" s="663"/>
      <c r="AT1407" s="663"/>
      <c r="AU1407" s="663"/>
      <c r="AV1407" s="663"/>
      <c r="AW1407" s="663"/>
      <c r="AX1407" s="663"/>
      <c r="AY1407" s="663"/>
      <c r="AZ1407" s="663"/>
      <c r="BA1407" s="663"/>
      <c r="BB1407" s="663"/>
      <c r="BC1407" s="663"/>
      <c r="BD1407" s="663"/>
      <c r="BE1407" s="663"/>
      <c r="BF1407" s="663"/>
      <c r="BG1407" s="663"/>
      <c r="BH1407" s="663"/>
      <c r="BI1407" s="663"/>
      <c r="BJ1407" s="663"/>
      <c r="BK1407" s="663"/>
      <c r="BL1407" s="663"/>
      <c r="BM1407" s="663"/>
      <c r="BN1407" s="663"/>
      <c r="BO1407" s="663"/>
      <c r="BP1407" s="663"/>
      <c r="BQ1407" s="663"/>
      <c r="BR1407" s="663"/>
      <c r="BS1407" s="663"/>
      <c r="BT1407" s="663"/>
      <c r="BU1407" s="663"/>
      <c r="BV1407" s="663"/>
      <c r="BW1407" s="663"/>
      <c r="BX1407" s="663"/>
      <c r="BY1407" s="663"/>
      <c r="BZ1407" s="663"/>
      <c r="CA1407" s="663"/>
    </row>
    <row r="1408" spans="1:79" hidden="1" outlineLevel="1" x14ac:dyDescent="0.25">
      <c r="A1408" s="691"/>
      <c r="B1408" s="693"/>
      <c r="C1408" s="693"/>
      <c r="D1408" s="693"/>
      <c r="E1408" s="570" t="s">
        <v>657</v>
      </c>
      <c r="F1408" s="691" t="s">
        <v>657</v>
      </c>
      <c r="G1408" s="692"/>
      <c r="H1408" s="692"/>
      <c r="I1408" s="692"/>
      <c r="J1408" s="692"/>
      <c r="K1408" s="692"/>
      <c r="L1408" s="692"/>
      <c r="M1408" s="692"/>
      <c r="N1408" s="692"/>
      <c r="O1408" s="692"/>
      <c r="P1408" s="692"/>
      <c r="Q1408" s="692"/>
      <c r="R1408" s="692"/>
      <c r="S1408" s="692"/>
      <c r="T1408" s="692"/>
      <c r="U1408" s="692"/>
      <c r="V1408" s="692"/>
      <c r="W1408" s="692"/>
      <c r="X1408" s="692"/>
      <c r="Y1408" s="692"/>
      <c r="Z1408" s="692"/>
      <c r="AA1408" s="692"/>
      <c r="AB1408" s="692"/>
      <c r="AC1408" s="692"/>
      <c r="AD1408" s="692"/>
      <c r="AE1408" s="692"/>
      <c r="AF1408" s="692"/>
      <c r="AG1408" s="692"/>
      <c r="AH1408" s="692"/>
      <c r="AI1408" s="692"/>
      <c r="AJ1408" s="692"/>
      <c r="AK1408" s="692"/>
      <c r="AL1408" s="692"/>
      <c r="AM1408" s="692"/>
      <c r="AN1408" s="692"/>
      <c r="AO1408" s="692"/>
      <c r="AP1408" s="692"/>
      <c r="AQ1408" s="692"/>
      <c r="AR1408" s="692"/>
      <c r="AS1408" s="692"/>
      <c r="AT1408" s="692"/>
      <c r="AU1408" s="692"/>
      <c r="AV1408" s="692"/>
      <c r="AW1408" s="692"/>
      <c r="AX1408" s="692"/>
      <c r="AY1408" s="692"/>
      <c r="AZ1408" s="692"/>
      <c r="BA1408" s="692"/>
      <c r="BB1408" s="692"/>
      <c r="BC1408" s="692"/>
      <c r="BD1408" s="692"/>
      <c r="BE1408" s="692"/>
      <c r="BF1408" s="692"/>
      <c r="BG1408" s="692"/>
      <c r="BH1408" s="692"/>
      <c r="BI1408" s="692"/>
      <c r="BJ1408" s="692"/>
      <c r="BK1408" s="692"/>
      <c r="BL1408" s="692"/>
      <c r="BM1408" s="692"/>
      <c r="BN1408" s="692"/>
      <c r="BO1408" s="692"/>
      <c r="BP1408" s="692"/>
      <c r="BQ1408" s="692"/>
      <c r="BR1408" s="692"/>
      <c r="BS1408" s="692"/>
      <c r="BT1408" s="692"/>
      <c r="BU1408" s="692"/>
      <c r="BV1408" s="692"/>
      <c r="BW1408" s="692"/>
      <c r="BX1408" s="692"/>
      <c r="BY1408" s="692"/>
      <c r="BZ1408" s="692"/>
      <c r="CA1408" s="692"/>
    </row>
    <row r="1409" spans="1:79" hidden="1" outlineLevel="1" x14ac:dyDescent="0.25">
      <c r="A1409" s="656"/>
      <c r="B1409" s="223"/>
      <c r="C1409" s="223"/>
      <c r="D1409" s="223"/>
      <c r="E1409" s="570" t="s">
        <v>657</v>
      </c>
      <c r="F1409" s="656" t="s">
        <v>658</v>
      </c>
      <c r="G1409" s="663"/>
      <c r="H1409" s="663"/>
      <c r="I1409" s="663"/>
      <c r="J1409" s="663"/>
      <c r="K1409" s="663"/>
      <c r="L1409" s="663"/>
      <c r="M1409" s="663"/>
      <c r="N1409" s="663"/>
      <c r="O1409" s="663"/>
      <c r="P1409" s="663"/>
      <c r="Q1409" s="663"/>
      <c r="R1409" s="663"/>
      <c r="S1409" s="663"/>
      <c r="T1409" s="663"/>
      <c r="U1409" s="663"/>
      <c r="V1409" s="663"/>
      <c r="W1409" s="663"/>
      <c r="X1409" s="663"/>
      <c r="Y1409" s="663"/>
      <c r="Z1409" s="663"/>
      <c r="AA1409" s="663"/>
      <c r="AB1409" s="663"/>
      <c r="AC1409" s="663"/>
      <c r="AD1409" s="663"/>
      <c r="AE1409" s="663">
        <v>0</v>
      </c>
      <c r="AF1409" s="663">
        <v>0</v>
      </c>
      <c r="AG1409" s="663">
        <v>0</v>
      </c>
      <c r="AH1409" s="663"/>
      <c r="AI1409" s="663"/>
      <c r="AJ1409" s="663"/>
      <c r="AK1409" s="663"/>
      <c r="AL1409" s="663"/>
      <c r="AM1409" s="663"/>
      <c r="AN1409" s="663"/>
      <c r="AO1409" s="663"/>
      <c r="AP1409" s="663"/>
      <c r="AQ1409" s="663"/>
      <c r="AR1409" s="663"/>
      <c r="AS1409" s="663"/>
      <c r="AT1409" s="663"/>
      <c r="AU1409" s="663"/>
      <c r="AV1409" s="663"/>
      <c r="AW1409" s="663"/>
      <c r="AX1409" s="663"/>
      <c r="AY1409" s="663"/>
      <c r="AZ1409" s="663"/>
      <c r="BA1409" s="663"/>
      <c r="BB1409" s="663"/>
      <c r="BC1409" s="663"/>
      <c r="BD1409" s="663"/>
      <c r="BE1409" s="663"/>
      <c r="BF1409" s="663"/>
      <c r="BG1409" s="663"/>
      <c r="BH1409" s="663"/>
      <c r="BI1409" s="663"/>
      <c r="BJ1409" s="663"/>
      <c r="BK1409" s="663"/>
      <c r="BL1409" s="663"/>
      <c r="BM1409" s="663"/>
      <c r="BN1409" s="663"/>
      <c r="BO1409" s="663"/>
      <c r="BP1409" s="663"/>
      <c r="BQ1409" s="663"/>
      <c r="BR1409" s="663"/>
      <c r="BS1409" s="663"/>
      <c r="BT1409" s="663"/>
      <c r="BU1409" s="663"/>
      <c r="BV1409" s="663"/>
      <c r="BW1409" s="663"/>
      <c r="BX1409" s="663"/>
      <c r="BY1409" s="663"/>
      <c r="BZ1409" s="663"/>
      <c r="CA1409" s="663"/>
    </row>
    <row r="1410" spans="1:79" hidden="1" outlineLevel="1" x14ac:dyDescent="0.25">
      <c r="A1410" s="656"/>
      <c r="B1410" s="223"/>
      <c r="C1410" s="223"/>
      <c r="D1410" s="223"/>
      <c r="E1410" s="570" t="s">
        <v>657</v>
      </c>
      <c r="F1410" s="656" t="s">
        <v>854</v>
      </c>
      <c r="G1410" s="663"/>
      <c r="H1410" s="720"/>
      <c r="I1410" s="720"/>
      <c r="J1410" s="720"/>
      <c r="K1410" s="720"/>
      <c r="L1410" s="720"/>
      <c r="M1410" s="720"/>
      <c r="N1410" s="720"/>
      <c r="O1410" s="720"/>
      <c r="P1410" s="720"/>
      <c r="Q1410" s="720"/>
      <c r="R1410" s="720"/>
      <c r="S1410" s="663"/>
      <c r="T1410" s="663"/>
      <c r="U1410" s="663"/>
      <c r="V1410" s="663"/>
      <c r="W1410" s="663"/>
      <c r="X1410" s="663"/>
      <c r="Y1410" s="663"/>
      <c r="Z1410" s="663"/>
      <c r="AA1410" s="663"/>
      <c r="AB1410" s="663"/>
      <c r="AC1410" s="663"/>
      <c r="AD1410" s="663"/>
      <c r="AE1410" s="663">
        <v>0</v>
      </c>
      <c r="AF1410" s="663">
        <v>0</v>
      </c>
      <c r="AG1410" s="663">
        <v>0</v>
      </c>
      <c r="AH1410" s="663"/>
      <c r="AI1410" s="663"/>
      <c r="AJ1410" s="663"/>
      <c r="AK1410" s="663"/>
      <c r="AL1410" s="663"/>
      <c r="AM1410" s="663"/>
      <c r="AN1410" s="663"/>
      <c r="AO1410" s="663"/>
      <c r="AP1410" s="663"/>
      <c r="AQ1410" s="663"/>
      <c r="AR1410" s="663"/>
      <c r="AS1410" s="663"/>
      <c r="AT1410" s="663"/>
      <c r="AU1410" s="663"/>
      <c r="AV1410" s="663"/>
      <c r="AW1410" s="663"/>
      <c r="AX1410" s="663"/>
      <c r="AY1410" s="663"/>
      <c r="AZ1410" s="663"/>
      <c r="BA1410" s="663"/>
      <c r="BB1410" s="663"/>
      <c r="BC1410" s="663"/>
      <c r="BD1410" s="663"/>
      <c r="BE1410" s="663"/>
      <c r="BF1410" s="663"/>
      <c r="BG1410" s="663"/>
      <c r="BH1410" s="663"/>
      <c r="BI1410" s="663"/>
      <c r="BJ1410" s="663"/>
      <c r="BK1410" s="663"/>
      <c r="BL1410" s="663"/>
      <c r="BM1410" s="663"/>
      <c r="BN1410" s="663"/>
      <c r="BO1410" s="663"/>
      <c r="BP1410" s="663"/>
      <c r="BQ1410" s="663"/>
      <c r="BR1410" s="663"/>
      <c r="BS1410" s="663"/>
      <c r="BT1410" s="663"/>
      <c r="BU1410" s="663"/>
      <c r="BV1410" s="663"/>
      <c r="BW1410" s="663"/>
      <c r="BX1410" s="663"/>
      <c r="BY1410" s="663"/>
      <c r="BZ1410" s="663"/>
      <c r="CA1410" s="663"/>
    </row>
    <row r="1411" spans="1:79" hidden="1" outlineLevel="1" x14ac:dyDescent="0.25">
      <c r="A1411" s="657"/>
      <c r="B1411" s="223"/>
      <c r="C1411" s="223"/>
      <c r="D1411" s="223"/>
      <c r="E1411" s="570" t="s">
        <v>49</v>
      </c>
      <c r="F1411" s="657" t="s">
        <v>659</v>
      </c>
      <c r="G1411" s="664"/>
      <c r="H1411" s="664"/>
      <c r="I1411" s="664"/>
      <c r="J1411" s="664"/>
      <c r="K1411" s="664"/>
      <c r="L1411" s="664"/>
      <c r="M1411" s="664"/>
      <c r="N1411" s="664"/>
      <c r="O1411" s="664"/>
      <c r="P1411" s="664"/>
      <c r="Q1411" s="664"/>
      <c r="R1411" s="664"/>
      <c r="S1411" s="664"/>
      <c r="T1411" s="664"/>
      <c r="U1411" s="664"/>
      <c r="V1411" s="664"/>
      <c r="W1411" s="664"/>
      <c r="X1411" s="664"/>
      <c r="Y1411" s="664"/>
      <c r="Z1411" s="664"/>
      <c r="AA1411" s="664"/>
      <c r="AB1411" s="664"/>
      <c r="AC1411" s="664"/>
      <c r="AD1411" s="664"/>
      <c r="AE1411" s="664">
        <f>ROUND(SUM(AE1408:AE1410),5)</f>
        <v>0</v>
      </c>
      <c r="AF1411" s="664">
        <f>ROUND(SUM(AF1408:AF1410),5)</f>
        <v>0</v>
      </c>
      <c r="AG1411" s="664">
        <f>ROUND(SUM(AG1408:AG1410),5)</f>
        <v>0</v>
      </c>
      <c r="AH1411" s="664">
        <f t="shared" ref="AH1411:BO1411" si="599">SUM(AH1409:AH1410)</f>
        <v>0</v>
      </c>
      <c r="AI1411" s="664">
        <f t="shared" si="599"/>
        <v>0</v>
      </c>
      <c r="AJ1411" s="664">
        <f t="shared" si="599"/>
        <v>0</v>
      </c>
      <c r="AK1411" s="664">
        <f t="shared" si="599"/>
        <v>0</v>
      </c>
      <c r="AL1411" s="664">
        <f t="shared" si="599"/>
        <v>0</v>
      </c>
      <c r="AM1411" s="664">
        <f t="shared" si="599"/>
        <v>0</v>
      </c>
      <c r="AN1411" s="664">
        <f t="shared" si="599"/>
        <v>0</v>
      </c>
      <c r="AO1411" s="664">
        <f t="shared" si="599"/>
        <v>0</v>
      </c>
      <c r="AP1411" s="664">
        <f t="shared" si="599"/>
        <v>0</v>
      </c>
      <c r="AQ1411" s="664">
        <f t="shared" si="599"/>
        <v>0</v>
      </c>
      <c r="AR1411" s="664">
        <f t="shared" si="599"/>
        <v>0</v>
      </c>
      <c r="AS1411" s="664">
        <f t="shared" si="599"/>
        <v>0</v>
      </c>
      <c r="AT1411" s="664">
        <f t="shared" si="599"/>
        <v>0</v>
      </c>
      <c r="AU1411" s="664">
        <f t="shared" si="599"/>
        <v>0</v>
      </c>
      <c r="AV1411" s="664">
        <f t="shared" si="599"/>
        <v>0</v>
      </c>
      <c r="AW1411" s="664">
        <f t="shared" si="599"/>
        <v>0</v>
      </c>
      <c r="AX1411" s="664">
        <f t="shared" si="599"/>
        <v>0</v>
      </c>
      <c r="AY1411" s="664">
        <f t="shared" si="599"/>
        <v>0</v>
      </c>
      <c r="AZ1411" s="664">
        <f t="shared" si="599"/>
        <v>0</v>
      </c>
      <c r="BA1411" s="664">
        <f t="shared" si="599"/>
        <v>0</v>
      </c>
      <c r="BB1411" s="664">
        <f t="shared" si="599"/>
        <v>0</v>
      </c>
      <c r="BC1411" s="664">
        <f t="shared" si="599"/>
        <v>0</v>
      </c>
      <c r="BD1411" s="664">
        <f t="shared" si="599"/>
        <v>0</v>
      </c>
      <c r="BE1411" s="664">
        <f t="shared" si="599"/>
        <v>0</v>
      </c>
      <c r="BF1411" s="664">
        <f t="shared" si="599"/>
        <v>0</v>
      </c>
      <c r="BG1411" s="664">
        <f t="shared" si="599"/>
        <v>0</v>
      </c>
      <c r="BH1411" s="664">
        <f t="shared" si="599"/>
        <v>0</v>
      </c>
      <c r="BI1411" s="664">
        <f t="shared" si="599"/>
        <v>0</v>
      </c>
      <c r="BJ1411" s="664">
        <f t="shared" si="599"/>
        <v>0</v>
      </c>
      <c r="BK1411" s="664">
        <f t="shared" si="599"/>
        <v>0</v>
      </c>
      <c r="BL1411" s="664">
        <f t="shared" si="599"/>
        <v>0</v>
      </c>
      <c r="BM1411" s="664">
        <f t="shared" si="599"/>
        <v>0</v>
      </c>
      <c r="BN1411" s="664">
        <f t="shared" si="599"/>
        <v>0</v>
      </c>
      <c r="BO1411" s="664">
        <f t="shared" si="599"/>
        <v>0</v>
      </c>
      <c r="BP1411" s="664">
        <f t="shared" ref="BP1411:CA1411" si="600">SUM(BP1409:BP1410)</f>
        <v>0</v>
      </c>
      <c r="BQ1411" s="664">
        <f t="shared" si="600"/>
        <v>0</v>
      </c>
      <c r="BR1411" s="664">
        <f t="shared" si="600"/>
        <v>0</v>
      </c>
      <c r="BS1411" s="664">
        <f t="shared" si="600"/>
        <v>0</v>
      </c>
      <c r="BT1411" s="664">
        <f t="shared" si="600"/>
        <v>0</v>
      </c>
      <c r="BU1411" s="664">
        <f t="shared" si="600"/>
        <v>0</v>
      </c>
      <c r="BV1411" s="664">
        <f t="shared" si="600"/>
        <v>0</v>
      </c>
      <c r="BW1411" s="664">
        <f t="shared" si="600"/>
        <v>0</v>
      </c>
      <c r="BX1411" s="664">
        <f t="shared" si="600"/>
        <v>0</v>
      </c>
      <c r="BY1411" s="664">
        <f t="shared" si="600"/>
        <v>0</v>
      </c>
      <c r="BZ1411" s="664">
        <f t="shared" si="600"/>
        <v>0</v>
      </c>
      <c r="CA1411" s="664">
        <f t="shared" si="600"/>
        <v>0</v>
      </c>
    </row>
    <row r="1412" spans="1:79" s="451" customFormat="1" hidden="1" outlineLevel="1" x14ac:dyDescent="0.25">
      <c r="A1412" s="655"/>
      <c r="B1412" s="571"/>
      <c r="C1412" s="571"/>
      <c r="D1412" s="571"/>
      <c r="E1412" s="570" t="s">
        <v>695</v>
      </c>
      <c r="F1412" s="655" t="s">
        <v>695</v>
      </c>
      <c r="G1412" s="719"/>
      <c r="H1412" s="719"/>
      <c r="I1412" s="719"/>
      <c r="J1412" s="719"/>
      <c r="K1412" s="719"/>
      <c r="L1412" s="719"/>
      <c r="M1412" s="719"/>
      <c r="N1412" s="719"/>
      <c r="O1412" s="719"/>
      <c r="P1412" s="716"/>
      <c r="Q1412" s="716"/>
      <c r="R1412" s="720"/>
      <c r="S1412" s="663"/>
      <c r="T1412" s="663"/>
      <c r="U1412" s="663"/>
      <c r="V1412" s="663"/>
      <c r="W1412" s="663"/>
      <c r="X1412" s="663"/>
      <c r="Y1412" s="663"/>
      <c r="Z1412" s="663"/>
      <c r="AA1412" s="663"/>
      <c r="AB1412" s="663"/>
      <c r="AC1412" s="663"/>
      <c r="AD1412" s="663"/>
      <c r="AE1412" s="663">
        <v>0</v>
      </c>
      <c r="AF1412" s="663">
        <v>0</v>
      </c>
      <c r="AG1412" s="663">
        <v>0</v>
      </c>
      <c r="AH1412" s="720"/>
      <c r="AI1412" s="720"/>
      <c r="AJ1412" s="720"/>
      <c r="AK1412" s="720"/>
      <c r="AL1412" s="720"/>
      <c r="AM1412" s="720"/>
      <c r="AN1412" s="720"/>
      <c r="AO1412" s="720"/>
      <c r="AP1412" s="720"/>
      <c r="AQ1412" s="720"/>
      <c r="AR1412" s="720"/>
      <c r="AS1412" s="720"/>
      <c r="AT1412" s="720"/>
      <c r="AU1412" s="720"/>
      <c r="AV1412" s="720"/>
      <c r="AW1412" s="720"/>
      <c r="AX1412" s="720"/>
      <c r="AY1412" s="720"/>
      <c r="AZ1412" s="720"/>
      <c r="BA1412" s="720"/>
      <c r="BB1412" s="720"/>
      <c r="BC1412" s="720"/>
      <c r="BD1412" s="720"/>
      <c r="BE1412" s="720"/>
      <c r="BF1412" s="720"/>
      <c r="BG1412" s="720"/>
      <c r="BH1412" s="720"/>
      <c r="BI1412" s="720"/>
      <c r="BJ1412" s="720"/>
      <c r="BK1412" s="720"/>
      <c r="BL1412" s="720"/>
      <c r="BM1412" s="720"/>
      <c r="BN1412" s="720"/>
      <c r="BO1412" s="720"/>
      <c r="BP1412" s="720"/>
      <c r="BQ1412" s="720"/>
      <c r="BR1412" s="720"/>
      <c r="BS1412" s="720"/>
      <c r="BT1412" s="720"/>
      <c r="BU1412" s="720"/>
      <c r="BV1412" s="720"/>
      <c r="BW1412" s="720"/>
      <c r="BX1412" s="720"/>
      <c r="BY1412" s="720"/>
      <c r="BZ1412" s="720"/>
      <c r="CA1412" s="720"/>
    </row>
    <row r="1413" spans="1:79" hidden="1" outlineLevel="1" x14ac:dyDescent="0.25">
      <c r="A1413" s="655"/>
      <c r="B1413" s="223"/>
      <c r="C1413" s="223"/>
      <c r="D1413" s="223"/>
      <c r="E1413" s="570" t="s">
        <v>855</v>
      </c>
      <c r="F1413" s="655" t="s">
        <v>855</v>
      </c>
      <c r="G1413" s="663"/>
      <c r="H1413" s="663"/>
      <c r="I1413" s="663"/>
      <c r="J1413" s="663"/>
      <c r="K1413" s="663"/>
      <c r="L1413" s="663"/>
      <c r="M1413" s="663"/>
      <c r="N1413" s="663"/>
      <c r="O1413" s="663"/>
      <c r="P1413" s="663"/>
      <c r="Q1413" s="663"/>
      <c r="R1413" s="663"/>
      <c r="S1413" s="663"/>
      <c r="T1413" s="663"/>
      <c r="U1413" s="663"/>
      <c r="V1413" s="663"/>
      <c r="W1413" s="663"/>
      <c r="X1413" s="663"/>
      <c r="Y1413" s="663"/>
      <c r="Z1413" s="663"/>
      <c r="AA1413" s="663"/>
      <c r="AB1413" s="663"/>
      <c r="AC1413" s="663"/>
      <c r="AD1413" s="663"/>
      <c r="AE1413" s="663">
        <v>0</v>
      </c>
      <c r="AF1413" s="663">
        <v>0</v>
      </c>
      <c r="AG1413" s="663">
        <v>0</v>
      </c>
      <c r="AH1413" s="663"/>
      <c r="AI1413" s="663"/>
      <c r="AJ1413" s="663"/>
      <c r="AK1413" s="663"/>
      <c r="AL1413" s="663"/>
      <c r="AM1413" s="663"/>
      <c r="AN1413" s="663"/>
      <c r="AO1413" s="663"/>
      <c r="AP1413" s="663"/>
      <c r="AQ1413" s="663"/>
      <c r="AR1413" s="663"/>
      <c r="AS1413" s="663"/>
      <c r="AT1413" s="663"/>
      <c r="AU1413" s="663"/>
      <c r="AV1413" s="663"/>
      <c r="AW1413" s="663"/>
      <c r="AX1413" s="663"/>
      <c r="AY1413" s="663"/>
      <c r="AZ1413" s="663"/>
      <c r="BA1413" s="663"/>
      <c r="BB1413" s="663"/>
      <c r="BC1413" s="663"/>
      <c r="BD1413" s="663"/>
      <c r="BE1413" s="663"/>
      <c r="BF1413" s="663"/>
      <c r="BG1413" s="663"/>
      <c r="BH1413" s="663"/>
      <c r="BI1413" s="663"/>
      <c r="BJ1413" s="663"/>
      <c r="BK1413" s="663"/>
      <c r="BL1413" s="663"/>
      <c r="BM1413" s="663"/>
      <c r="BN1413" s="663"/>
      <c r="BO1413" s="663"/>
      <c r="BP1413" s="663"/>
      <c r="BQ1413" s="663"/>
      <c r="BR1413" s="663"/>
      <c r="BS1413" s="663"/>
      <c r="BT1413" s="663"/>
      <c r="BU1413" s="663"/>
      <c r="BV1413" s="663"/>
      <c r="BW1413" s="663"/>
      <c r="BX1413" s="663"/>
      <c r="BY1413" s="663"/>
      <c r="BZ1413" s="663"/>
      <c r="CA1413" s="663"/>
    </row>
    <row r="1414" spans="1:79" hidden="1" outlineLevel="1" x14ac:dyDescent="0.25">
      <c r="A1414" s="655"/>
      <c r="B1414" s="223"/>
      <c r="C1414" s="223"/>
      <c r="D1414" s="223"/>
      <c r="E1414" s="570" t="s">
        <v>856</v>
      </c>
      <c r="F1414" s="655" t="s">
        <v>856</v>
      </c>
      <c r="G1414" s="663"/>
      <c r="H1414" s="663"/>
      <c r="I1414" s="663"/>
      <c r="J1414" s="663"/>
      <c r="K1414" s="663"/>
      <c r="L1414" s="663"/>
      <c r="M1414" s="663"/>
      <c r="N1414" s="663"/>
      <c r="O1414" s="663"/>
      <c r="P1414" s="663"/>
      <c r="Q1414" s="663"/>
      <c r="R1414" s="663"/>
      <c r="S1414" s="663"/>
      <c r="T1414" s="663"/>
      <c r="U1414" s="663"/>
      <c r="V1414" s="663"/>
      <c r="W1414" s="663"/>
      <c r="X1414" s="663"/>
      <c r="Y1414" s="663"/>
      <c r="Z1414" s="663"/>
      <c r="AA1414" s="663"/>
      <c r="AB1414" s="663"/>
      <c r="AC1414" s="663"/>
      <c r="AD1414" s="663"/>
      <c r="AE1414" s="663">
        <v>0</v>
      </c>
      <c r="AF1414" s="663">
        <v>0</v>
      </c>
      <c r="AG1414" s="663">
        <v>0</v>
      </c>
      <c r="AH1414" s="663"/>
      <c r="AI1414" s="663"/>
      <c r="AJ1414" s="663"/>
      <c r="AK1414" s="663"/>
      <c r="AL1414" s="663"/>
      <c r="AM1414" s="663"/>
      <c r="AN1414" s="663"/>
      <c r="AO1414" s="663"/>
      <c r="AP1414" s="663"/>
      <c r="AQ1414" s="663"/>
      <c r="AR1414" s="663"/>
      <c r="AS1414" s="663"/>
      <c r="AT1414" s="663"/>
      <c r="AU1414" s="663"/>
      <c r="AV1414" s="663"/>
      <c r="AW1414" s="663"/>
      <c r="AX1414" s="663"/>
      <c r="AY1414" s="663"/>
      <c r="AZ1414" s="663"/>
      <c r="BA1414" s="663"/>
      <c r="BB1414" s="663"/>
      <c r="BC1414" s="663"/>
      <c r="BD1414" s="663"/>
      <c r="BE1414" s="663"/>
      <c r="BF1414" s="663"/>
      <c r="BG1414" s="663"/>
      <c r="BH1414" s="663"/>
      <c r="BI1414" s="663"/>
      <c r="BJ1414" s="663"/>
      <c r="BK1414" s="663"/>
      <c r="BL1414" s="663"/>
      <c r="BM1414" s="663"/>
      <c r="BN1414" s="663"/>
      <c r="BO1414" s="663"/>
      <c r="BP1414" s="663"/>
      <c r="BQ1414" s="663"/>
      <c r="BR1414" s="663"/>
      <c r="BS1414" s="663"/>
      <c r="BT1414" s="663"/>
      <c r="BU1414" s="663"/>
      <c r="BV1414" s="663"/>
      <c r="BW1414" s="663"/>
      <c r="BX1414" s="663"/>
      <c r="BY1414" s="663"/>
      <c r="BZ1414" s="663"/>
      <c r="CA1414" s="663"/>
    </row>
    <row r="1415" spans="1:79" hidden="1" outlineLevel="1" x14ac:dyDescent="0.25">
      <c r="A1415" s="655"/>
      <c r="B1415" s="223"/>
      <c r="C1415" s="223"/>
      <c r="D1415" s="223"/>
      <c r="E1415" s="570" t="s">
        <v>17</v>
      </c>
      <c r="F1415" s="655" t="s">
        <v>17</v>
      </c>
      <c r="G1415" s="663"/>
      <c r="H1415" s="663"/>
      <c r="I1415" s="663"/>
      <c r="J1415" s="663"/>
      <c r="K1415" s="663"/>
      <c r="L1415" s="663"/>
      <c r="M1415" s="663"/>
      <c r="N1415" s="663"/>
      <c r="O1415" s="663"/>
      <c r="P1415" s="663"/>
      <c r="Q1415" s="663"/>
      <c r="R1415" s="663"/>
      <c r="S1415" s="663"/>
      <c r="T1415" s="663"/>
      <c r="U1415" s="663"/>
      <c r="V1415" s="663"/>
      <c r="W1415" s="663"/>
      <c r="X1415" s="663"/>
      <c r="Y1415" s="663"/>
      <c r="Z1415" s="663"/>
      <c r="AA1415" s="663"/>
      <c r="AB1415" s="663"/>
      <c r="AC1415" s="663"/>
      <c r="AD1415" s="663"/>
      <c r="AE1415" s="663">
        <v>0</v>
      </c>
      <c r="AF1415" s="663">
        <v>0</v>
      </c>
      <c r="AG1415" s="663">
        <v>0</v>
      </c>
      <c r="AH1415" s="663"/>
      <c r="AI1415" s="663"/>
      <c r="AJ1415" s="663"/>
      <c r="AK1415" s="663"/>
      <c r="AL1415" s="663"/>
      <c r="AM1415" s="663"/>
      <c r="AN1415" s="663"/>
      <c r="AO1415" s="663"/>
      <c r="AP1415" s="663"/>
      <c r="AQ1415" s="663"/>
      <c r="AR1415" s="663"/>
      <c r="AS1415" s="663"/>
      <c r="AT1415" s="663"/>
      <c r="AU1415" s="663"/>
      <c r="AV1415" s="663"/>
      <c r="AW1415" s="663"/>
      <c r="AX1415" s="663"/>
      <c r="AY1415" s="663"/>
      <c r="AZ1415" s="663"/>
      <c r="BA1415" s="663"/>
      <c r="BB1415" s="663"/>
      <c r="BC1415" s="663"/>
      <c r="BD1415" s="663"/>
      <c r="BE1415" s="663"/>
      <c r="BF1415" s="663"/>
      <c r="BG1415" s="663"/>
      <c r="BH1415" s="663"/>
      <c r="BI1415" s="663"/>
      <c r="BJ1415" s="663"/>
      <c r="BK1415" s="663"/>
      <c r="BL1415" s="663"/>
      <c r="BM1415" s="663"/>
      <c r="BN1415" s="663"/>
      <c r="BO1415" s="663"/>
      <c r="BP1415" s="663"/>
      <c r="BQ1415" s="663"/>
      <c r="BR1415" s="663"/>
      <c r="BS1415" s="663"/>
      <c r="BT1415" s="663"/>
      <c r="BU1415" s="663"/>
      <c r="BV1415" s="663"/>
      <c r="BW1415" s="663"/>
      <c r="BX1415" s="663"/>
      <c r="BY1415" s="663"/>
      <c r="BZ1415" s="663"/>
      <c r="CA1415" s="663"/>
    </row>
    <row r="1416" spans="1:79" hidden="1" outlineLevel="1" x14ac:dyDescent="0.25">
      <c r="A1416" s="655"/>
      <c r="B1416" s="223"/>
      <c r="C1416" s="223"/>
      <c r="D1416" s="223"/>
      <c r="E1416" s="570" t="s">
        <v>1327</v>
      </c>
      <c r="F1416" s="655" t="s">
        <v>857</v>
      </c>
      <c r="G1416" s="663"/>
      <c r="H1416" s="663"/>
      <c r="I1416" s="663"/>
      <c r="J1416" s="663"/>
      <c r="K1416" s="663"/>
      <c r="L1416" s="663"/>
      <c r="M1416" s="663"/>
      <c r="N1416" s="663"/>
      <c r="O1416" s="663"/>
      <c r="P1416" s="663"/>
      <c r="Q1416" s="663"/>
      <c r="R1416" s="663"/>
      <c r="S1416" s="663"/>
      <c r="T1416" s="663"/>
      <c r="U1416" s="663"/>
      <c r="V1416" s="663"/>
      <c r="W1416" s="663"/>
      <c r="X1416" s="663"/>
      <c r="Y1416" s="663"/>
      <c r="Z1416" s="663"/>
      <c r="AA1416" s="663"/>
      <c r="AB1416" s="663"/>
      <c r="AC1416" s="663"/>
      <c r="AD1416" s="663"/>
      <c r="AE1416" s="663">
        <v>0</v>
      </c>
      <c r="AF1416" s="663">
        <v>0</v>
      </c>
      <c r="AG1416" s="663">
        <v>0</v>
      </c>
      <c r="AH1416" s="663"/>
      <c r="AI1416" s="663"/>
      <c r="AJ1416" s="663"/>
      <c r="AK1416" s="663"/>
      <c r="AL1416" s="663"/>
      <c r="AM1416" s="663"/>
      <c r="AN1416" s="663"/>
      <c r="AO1416" s="663"/>
      <c r="AP1416" s="663"/>
      <c r="AQ1416" s="663"/>
      <c r="AR1416" s="663"/>
      <c r="AS1416" s="663"/>
      <c r="AT1416" s="663"/>
      <c r="AU1416" s="663"/>
      <c r="AV1416" s="663"/>
      <c r="AW1416" s="663"/>
      <c r="AX1416" s="663"/>
      <c r="AY1416" s="663"/>
      <c r="AZ1416" s="663"/>
      <c r="BA1416" s="663"/>
      <c r="BB1416" s="663"/>
      <c r="BC1416" s="663"/>
      <c r="BD1416" s="663"/>
      <c r="BE1416" s="663"/>
      <c r="BF1416" s="663"/>
      <c r="BG1416" s="663"/>
      <c r="BH1416" s="663"/>
      <c r="BI1416" s="663"/>
      <c r="BJ1416" s="663"/>
      <c r="BK1416" s="663"/>
      <c r="BL1416" s="663"/>
      <c r="BM1416" s="663"/>
      <c r="BN1416" s="663"/>
      <c r="BO1416" s="663"/>
      <c r="BP1416" s="663"/>
      <c r="BQ1416" s="663"/>
      <c r="BR1416" s="663"/>
      <c r="BS1416" s="663"/>
      <c r="BT1416" s="663"/>
      <c r="BU1416" s="663"/>
      <c r="BV1416" s="663"/>
      <c r="BW1416" s="663"/>
      <c r="BX1416" s="663"/>
      <c r="BY1416" s="663"/>
      <c r="BZ1416" s="663"/>
      <c r="CA1416" s="663"/>
    </row>
    <row r="1417" spans="1:79" hidden="1" outlineLevel="1" x14ac:dyDescent="0.25">
      <c r="A1417" s="655"/>
      <c r="B1417" s="223"/>
      <c r="C1417" s="223"/>
      <c r="D1417" s="223"/>
      <c r="E1417" s="570" t="s">
        <v>1330</v>
      </c>
      <c r="F1417" s="655" t="s">
        <v>861</v>
      </c>
      <c r="G1417" s="664"/>
      <c r="H1417" s="664"/>
      <c r="I1417" s="664"/>
      <c r="J1417" s="664"/>
      <c r="K1417" s="664"/>
      <c r="L1417" s="664"/>
      <c r="M1417" s="664"/>
      <c r="N1417" s="664"/>
      <c r="O1417" s="664"/>
      <c r="P1417" s="664"/>
      <c r="Q1417" s="664"/>
      <c r="R1417" s="664"/>
      <c r="S1417" s="663"/>
      <c r="T1417" s="663"/>
      <c r="U1417" s="663"/>
      <c r="V1417" s="663"/>
      <c r="W1417" s="663"/>
      <c r="X1417" s="663"/>
      <c r="Y1417" s="663"/>
      <c r="Z1417" s="663"/>
      <c r="AA1417" s="663"/>
      <c r="AB1417" s="663"/>
      <c r="AC1417" s="663"/>
      <c r="AD1417" s="663"/>
      <c r="AE1417" s="663">
        <v>0</v>
      </c>
      <c r="AF1417" s="716">
        <v>0</v>
      </c>
      <c r="AG1417" s="663">
        <v>0</v>
      </c>
      <c r="AH1417" s="664"/>
      <c r="AI1417" s="664"/>
      <c r="AJ1417" s="664"/>
      <c r="AK1417" s="664"/>
      <c r="AL1417" s="664"/>
      <c r="AM1417" s="664"/>
      <c r="AN1417" s="664"/>
      <c r="AO1417" s="664"/>
      <c r="AP1417" s="664"/>
      <c r="AQ1417" s="664"/>
      <c r="AR1417" s="664"/>
      <c r="AS1417" s="664"/>
      <c r="AT1417" s="664"/>
      <c r="AU1417" s="664"/>
      <c r="AV1417" s="664"/>
      <c r="AW1417" s="664"/>
      <c r="AX1417" s="664"/>
      <c r="AY1417" s="664"/>
      <c r="AZ1417" s="664"/>
      <c r="BA1417" s="664"/>
      <c r="BB1417" s="664"/>
      <c r="BC1417" s="664"/>
      <c r="BD1417" s="664"/>
      <c r="BE1417" s="664"/>
      <c r="BF1417" s="664"/>
      <c r="BG1417" s="664"/>
      <c r="BH1417" s="664"/>
      <c r="BI1417" s="664"/>
      <c r="BJ1417" s="664"/>
      <c r="BK1417" s="664"/>
      <c r="BL1417" s="664"/>
      <c r="BM1417" s="664"/>
      <c r="BN1417" s="664"/>
      <c r="BO1417" s="664"/>
      <c r="BP1417" s="664"/>
      <c r="BQ1417" s="664"/>
      <c r="BR1417" s="664"/>
      <c r="BS1417" s="664"/>
      <c r="BT1417" s="664"/>
      <c r="BU1417" s="664"/>
      <c r="BV1417" s="664"/>
      <c r="BW1417" s="664"/>
      <c r="BX1417" s="664"/>
      <c r="BY1417" s="664"/>
      <c r="BZ1417" s="664"/>
      <c r="CA1417" s="664"/>
    </row>
    <row r="1418" spans="1:79" hidden="1" outlineLevel="1" x14ac:dyDescent="0.25">
      <c r="A1418" s="655"/>
      <c r="B1418" s="223"/>
      <c r="C1418" s="223"/>
      <c r="D1418" s="223"/>
      <c r="E1418" s="570" t="s">
        <v>1337</v>
      </c>
      <c r="F1418" s="655" t="s">
        <v>862</v>
      </c>
      <c r="G1418" s="664"/>
      <c r="H1418" s="664"/>
      <c r="I1418" s="664"/>
      <c r="J1418" s="664"/>
      <c r="K1418" s="664"/>
      <c r="L1418" s="664"/>
      <c r="M1418" s="664"/>
      <c r="N1418" s="664"/>
      <c r="O1418" s="664"/>
      <c r="P1418" s="664"/>
      <c r="Q1418" s="664"/>
      <c r="R1418" s="664"/>
      <c r="S1418" s="663"/>
      <c r="T1418" s="663"/>
      <c r="U1418" s="663"/>
      <c r="V1418" s="663"/>
      <c r="W1418" s="663"/>
      <c r="X1418" s="663"/>
      <c r="Y1418" s="663"/>
      <c r="Z1418" s="663"/>
      <c r="AA1418" s="663"/>
      <c r="AB1418" s="663"/>
      <c r="AC1418" s="663"/>
      <c r="AD1418" s="663"/>
      <c r="AE1418" s="663">
        <v>0</v>
      </c>
      <c r="AF1418" s="716">
        <v>0</v>
      </c>
      <c r="AG1418" s="663">
        <v>0</v>
      </c>
      <c r="AH1418" s="664"/>
      <c r="AI1418" s="664"/>
      <c r="AJ1418" s="664"/>
      <c r="AK1418" s="664"/>
      <c r="AL1418" s="664"/>
      <c r="AM1418" s="664"/>
      <c r="AN1418" s="664"/>
      <c r="AO1418" s="664"/>
      <c r="AP1418" s="664"/>
      <c r="AQ1418" s="664"/>
      <c r="AR1418" s="664"/>
      <c r="AS1418" s="664"/>
      <c r="AT1418" s="664"/>
      <c r="AU1418" s="664"/>
      <c r="AV1418" s="664"/>
      <c r="AW1418" s="664"/>
      <c r="AX1418" s="664"/>
      <c r="AY1418" s="664"/>
      <c r="AZ1418" s="664"/>
      <c r="BA1418" s="664"/>
      <c r="BB1418" s="664"/>
      <c r="BC1418" s="664"/>
      <c r="BD1418" s="664"/>
      <c r="BE1418" s="664"/>
      <c r="BF1418" s="664"/>
      <c r="BG1418" s="664"/>
      <c r="BH1418" s="664"/>
      <c r="BI1418" s="664"/>
      <c r="BJ1418" s="664"/>
      <c r="BK1418" s="664"/>
      <c r="BL1418" s="664"/>
      <c r="BM1418" s="664"/>
      <c r="BN1418" s="664"/>
      <c r="BO1418" s="664"/>
      <c r="BP1418" s="664"/>
      <c r="BQ1418" s="664"/>
      <c r="BR1418" s="664"/>
      <c r="BS1418" s="664"/>
      <c r="BT1418" s="664"/>
      <c r="BU1418" s="664"/>
      <c r="BV1418" s="664"/>
      <c r="BW1418" s="664"/>
      <c r="BX1418" s="664"/>
      <c r="BY1418" s="664"/>
      <c r="BZ1418" s="664"/>
      <c r="CA1418" s="664"/>
    </row>
    <row r="1419" spans="1:79" s="693" customFormat="1" hidden="1" outlineLevel="1" x14ac:dyDescent="0.25">
      <c r="A1419" s="691"/>
      <c r="E1419" s="570" t="s">
        <v>338</v>
      </c>
      <c r="F1419" s="691" t="s">
        <v>863</v>
      </c>
      <c r="G1419" s="746"/>
      <c r="H1419" s="746"/>
      <c r="I1419" s="746"/>
      <c r="J1419" s="746"/>
      <c r="K1419" s="746"/>
      <c r="L1419" s="746"/>
      <c r="M1419" s="746"/>
      <c r="N1419" s="746"/>
      <c r="O1419" s="746"/>
      <c r="P1419" s="746"/>
      <c r="Q1419" s="746"/>
      <c r="R1419" s="746"/>
      <c r="S1419" s="692"/>
      <c r="T1419" s="692"/>
      <c r="U1419" s="692"/>
      <c r="V1419" s="692"/>
      <c r="W1419" s="692"/>
      <c r="X1419" s="692"/>
      <c r="Y1419" s="692"/>
      <c r="Z1419" s="692"/>
      <c r="AA1419" s="692"/>
      <c r="AB1419" s="692"/>
      <c r="AC1419" s="692"/>
      <c r="AD1419" s="692"/>
      <c r="AE1419" s="692"/>
      <c r="AF1419" s="734"/>
      <c r="AG1419" s="692"/>
      <c r="AH1419" s="746"/>
      <c r="AI1419" s="746"/>
      <c r="AJ1419" s="746"/>
      <c r="AK1419" s="746"/>
      <c r="AL1419" s="746"/>
      <c r="AM1419" s="746"/>
      <c r="AN1419" s="746"/>
      <c r="AO1419" s="746"/>
      <c r="AP1419" s="746"/>
      <c r="AQ1419" s="746"/>
      <c r="AR1419" s="746"/>
      <c r="AS1419" s="746"/>
      <c r="AT1419" s="746"/>
      <c r="AU1419" s="746"/>
      <c r="AV1419" s="746"/>
      <c r="AW1419" s="746"/>
      <c r="AX1419" s="746"/>
      <c r="AY1419" s="746"/>
      <c r="AZ1419" s="746"/>
      <c r="BA1419" s="746"/>
      <c r="BB1419" s="746"/>
      <c r="BC1419" s="746"/>
      <c r="BD1419" s="746"/>
      <c r="BE1419" s="746"/>
      <c r="BF1419" s="746"/>
      <c r="BG1419" s="746"/>
      <c r="BH1419" s="746"/>
      <c r="BI1419" s="746"/>
      <c r="BJ1419" s="746"/>
      <c r="BK1419" s="746"/>
      <c r="BL1419" s="746"/>
      <c r="BM1419" s="746"/>
      <c r="BN1419" s="746"/>
      <c r="BO1419" s="746"/>
      <c r="BP1419" s="746"/>
      <c r="BQ1419" s="746"/>
      <c r="BR1419" s="746"/>
      <c r="BS1419" s="746"/>
      <c r="BT1419" s="746"/>
      <c r="BU1419" s="746"/>
      <c r="BV1419" s="746"/>
      <c r="BW1419" s="746"/>
      <c r="BX1419" s="746"/>
      <c r="BY1419" s="746"/>
      <c r="BZ1419" s="746"/>
      <c r="CA1419" s="746"/>
    </row>
    <row r="1420" spans="1:79" hidden="1" outlineLevel="1" x14ac:dyDescent="0.25">
      <c r="A1420" s="656"/>
      <c r="B1420" s="223"/>
      <c r="C1420" s="223"/>
      <c r="D1420" s="223"/>
      <c r="E1420" s="570" t="s">
        <v>338</v>
      </c>
      <c r="F1420" s="656" t="s">
        <v>864</v>
      </c>
      <c r="G1420" s="664"/>
      <c r="H1420" s="664"/>
      <c r="I1420" s="664"/>
      <c r="J1420" s="664"/>
      <c r="K1420" s="664"/>
      <c r="L1420" s="664"/>
      <c r="M1420" s="664"/>
      <c r="N1420" s="664"/>
      <c r="O1420" s="664"/>
      <c r="P1420" s="664"/>
      <c r="Q1420" s="664"/>
      <c r="R1420" s="664"/>
      <c r="S1420" s="663"/>
      <c r="T1420" s="663"/>
      <c r="U1420" s="663"/>
      <c r="V1420" s="663"/>
      <c r="W1420" s="663"/>
      <c r="X1420" s="663"/>
      <c r="Y1420" s="663"/>
      <c r="Z1420" s="663"/>
      <c r="AA1420" s="663"/>
      <c r="AB1420" s="663"/>
      <c r="AC1420" s="663"/>
      <c r="AD1420" s="663"/>
      <c r="AE1420" s="663">
        <v>0</v>
      </c>
      <c r="AF1420" s="716">
        <v>0</v>
      </c>
      <c r="AG1420" s="663">
        <v>0</v>
      </c>
      <c r="AH1420" s="664"/>
      <c r="AI1420" s="664"/>
      <c r="AJ1420" s="664"/>
      <c r="AK1420" s="664"/>
      <c r="AL1420" s="664"/>
      <c r="AM1420" s="664"/>
      <c r="AN1420" s="664"/>
      <c r="AO1420" s="664"/>
      <c r="AP1420" s="664"/>
      <c r="AQ1420" s="664"/>
      <c r="AR1420" s="664"/>
      <c r="AS1420" s="664"/>
      <c r="AT1420" s="664"/>
      <c r="AU1420" s="664"/>
      <c r="AV1420" s="664"/>
      <c r="AW1420" s="664"/>
      <c r="AX1420" s="664"/>
      <c r="AY1420" s="664"/>
      <c r="AZ1420" s="664"/>
      <c r="BA1420" s="664"/>
      <c r="BB1420" s="664"/>
      <c r="BC1420" s="664"/>
      <c r="BD1420" s="664"/>
      <c r="BE1420" s="664"/>
      <c r="BF1420" s="664"/>
      <c r="BG1420" s="664"/>
      <c r="BH1420" s="664"/>
      <c r="BI1420" s="664"/>
      <c r="BJ1420" s="664"/>
      <c r="BK1420" s="664"/>
      <c r="BL1420" s="664"/>
      <c r="BM1420" s="664"/>
      <c r="BN1420" s="664"/>
      <c r="BO1420" s="664"/>
      <c r="BP1420" s="664"/>
      <c r="BQ1420" s="664"/>
      <c r="BR1420" s="664"/>
      <c r="BS1420" s="664"/>
      <c r="BT1420" s="664"/>
      <c r="BU1420" s="664"/>
      <c r="BV1420" s="664"/>
      <c r="BW1420" s="664"/>
      <c r="BX1420" s="664"/>
      <c r="BY1420" s="664"/>
      <c r="BZ1420" s="664"/>
      <c r="CA1420" s="664"/>
    </row>
    <row r="1421" spans="1:79" hidden="1" outlineLevel="1" x14ac:dyDescent="0.25">
      <c r="A1421" s="656"/>
      <c r="B1421" s="223"/>
      <c r="C1421" s="223"/>
      <c r="D1421" s="223"/>
      <c r="E1421" s="570" t="s">
        <v>338</v>
      </c>
      <c r="F1421" s="656" t="s">
        <v>865</v>
      </c>
      <c r="G1421" s="664"/>
      <c r="H1421" s="664"/>
      <c r="I1421" s="664"/>
      <c r="J1421" s="664"/>
      <c r="K1421" s="664"/>
      <c r="L1421" s="664"/>
      <c r="M1421" s="664"/>
      <c r="N1421" s="664"/>
      <c r="O1421" s="664"/>
      <c r="P1421" s="664"/>
      <c r="Q1421" s="664"/>
      <c r="R1421" s="664"/>
      <c r="S1421" s="663"/>
      <c r="T1421" s="663"/>
      <c r="U1421" s="663"/>
      <c r="V1421" s="663"/>
      <c r="W1421" s="663"/>
      <c r="X1421" s="663"/>
      <c r="Y1421" s="663"/>
      <c r="Z1421" s="663"/>
      <c r="AA1421" s="663"/>
      <c r="AB1421" s="663"/>
      <c r="AC1421" s="663"/>
      <c r="AD1421" s="663"/>
      <c r="AE1421" s="663">
        <v>0</v>
      </c>
      <c r="AF1421" s="716">
        <v>0</v>
      </c>
      <c r="AG1421" s="663">
        <v>0</v>
      </c>
      <c r="AH1421" s="664"/>
      <c r="AI1421" s="664"/>
      <c r="AJ1421" s="664"/>
      <c r="AK1421" s="664"/>
      <c r="AL1421" s="664"/>
      <c r="AM1421" s="664"/>
      <c r="AN1421" s="664"/>
      <c r="AO1421" s="664"/>
      <c r="AP1421" s="664"/>
      <c r="AQ1421" s="664"/>
      <c r="AR1421" s="664"/>
      <c r="AS1421" s="664"/>
      <c r="AT1421" s="664"/>
      <c r="AU1421" s="664"/>
      <c r="AV1421" s="664"/>
      <c r="AW1421" s="664"/>
      <c r="AX1421" s="664"/>
      <c r="AY1421" s="664"/>
      <c r="AZ1421" s="664"/>
      <c r="BA1421" s="664"/>
      <c r="BB1421" s="664"/>
      <c r="BC1421" s="664"/>
      <c r="BD1421" s="664"/>
      <c r="BE1421" s="664"/>
      <c r="BF1421" s="664"/>
      <c r="BG1421" s="664"/>
      <c r="BH1421" s="664"/>
      <c r="BI1421" s="664"/>
      <c r="BJ1421" s="664"/>
      <c r="BK1421" s="664"/>
      <c r="BL1421" s="664"/>
      <c r="BM1421" s="664"/>
      <c r="BN1421" s="664"/>
      <c r="BO1421" s="664"/>
      <c r="BP1421" s="664"/>
      <c r="BQ1421" s="664"/>
      <c r="BR1421" s="664"/>
      <c r="BS1421" s="664"/>
      <c r="BT1421" s="664"/>
      <c r="BU1421" s="664"/>
      <c r="BV1421" s="664"/>
      <c r="BW1421" s="664"/>
      <c r="BX1421" s="664"/>
      <c r="BY1421" s="664"/>
      <c r="BZ1421" s="664"/>
      <c r="CA1421" s="664"/>
    </row>
    <row r="1422" spans="1:79" hidden="1" outlineLevel="1" x14ac:dyDescent="0.25">
      <c r="A1422" s="657"/>
      <c r="B1422" s="223"/>
      <c r="C1422" s="223"/>
      <c r="D1422" s="223"/>
      <c r="E1422" s="570" t="s">
        <v>49</v>
      </c>
      <c r="F1422" s="657" t="s">
        <v>866</v>
      </c>
      <c r="G1422" s="664"/>
      <c r="H1422" s="664"/>
      <c r="I1422" s="664"/>
      <c r="J1422" s="664"/>
      <c r="K1422" s="664"/>
      <c r="L1422" s="664"/>
      <c r="M1422" s="664"/>
      <c r="N1422" s="664"/>
      <c r="O1422" s="664"/>
      <c r="P1422" s="664"/>
      <c r="Q1422" s="664"/>
      <c r="R1422" s="664"/>
      <c r="S1422" s="664"/>
      <c r="T1422" s="664"/>
      <c r="U1422" s="664"/>
      <c r="V1422" s="664"/>
      <c r="W1422" s="664"/>
      <c r="X1422" s="664"/>
      <c r="Y1422" s="664"/>
      <c r="Z1422" s="664"/>
      <c r="AA1422" s="664"/>
      <c r="AB1422" s="664"/>
      <c r="AC1422" s="664"/>
      <c r="AD1422" s="664"/>
      <c r="AE1422" s="664">
        <f>ROUND(SUM(AE1419:AE1421),5)</f>
        <v>0</v>
      </c>
      <c r="AF1422" s="664">
        <f>ROUND(SUM(AF1419:AF1421),5)</f>
        <v>0</v>
      </c>
      <c r="AG1422" s="664">
        <f>ROUND(SUM(AG1419:AG1421),5)</f>
        <v>0</v>
      </c>
      <c r="AH1422" s="664">
        <f t="shared" ref="AH1422:CA1422" si="601">SUM(AH1420:AH1421)</f>
        <v>0</v>
      </c>
      <c r="AI1422" s="664">
        <f t="shared" si="601"/>
        <v>0</v>
      </c>
      <c r="AJ1422" s="664">
        <f t="shared" si="601"/>
        <v>0</v>
      </c>
      <c r="AK1422" s="664">
        <f t="shared" si="601"/>
        <v>0</v>
      </c>
      <c r="AL1422" s="664">
        <f t="shared" si="601"/>
        <v>0</v>
      </c>
      <c r="AM1422" s="664">
        <f t="shared" si="601"/>
        <v>0</v>
      </c>
      <c r="AN1422" s="664">
        <f t="shared" si="601"/>
        <v>0</v>
      </c>
      <c r="AO1422" s="664">
        <f t="shared" si="601"/>
        <v>0</v>
      </c>
      <c r="AP1422" s="664">
        <f t="shared" si="601"/>
        <v>0</v>
      </c>
      <c r="AQ1422" s="664">
        <f t="shared" si="601"/>
        <v>0</v>
      </c>
      <c r="AR1422" s="664">
        <f t="shared" si="601"/>
        <v>0</v>
      </c>
      <c r="AS1422" s="664">
        <f t="shared" si="601"/>
        <v>0</v>
      </c>
      <c r="AT1422" s="664">
        <f t="shared" si="601"/>
        <v>0</v>
      </c>
      <c r="AU1422" s="664">
        <f t="shared" si="601"/>
        <v>0</v>
      </c>
      <c r="AV1422" s="664">
        <f t="shared" si="601"/>
        <v>0</v>
      </c>
      <c r="AW1422" s="664">
        <f t="shared" si="601"/>
        <v>0</v>
      </c>
      <c r="AX1422" s="664">
        <f t="shared" si="601"/>
        <v>0</v>
      </c>
      <c r="AY1422" s="664">
        <f t="shared" si="601"/>
        <v>0</v>
      </c>
      <c r="AZ1422" s="664">
        <f t="shared" si="601"/>
        <v>0</v>
      </c>
      <c r="BA1422" s="664">
        <f t="shared" si="601"/>
        <v>0</v>
      </c>
      <c r="BB1422" s="664">
        <f t="shared" si="601"/>
        <v>0</v>
      </c>
      <c r="BC1422" s="664">
        <f t="shared" si="601"/>
        <v>0</v>
      </c>
      <c r="BD1422" s="664">
        <f t="shared" si="601"/>
        <v>0</v>
      </c>
      <c r="BE1422" s="664">
        <f t="shared" si="601"/>
        <v>0</v>
      </c>
      <c r="BF1422" s="664">
        <f t="shared" si="601"/>
        <v>0</v>
      </c>
      <c r="BG1422" s="664">
        <f t="shared" si="601"/>
        <v>0</v>
      </c>
      <c r="BH1422" s="664">
        <f t="shared" si="601"/>
        <v>0</v>
      </c>
      <c r="BI1422" s="664">
        <f t="shared" si="601"/>
        <v>0</v>
      </c>
      <c r="BJ1422" s="664">
        <f t="shared" si="601"/>
        <v>0</v>
      </c>
      <c r="BK1422" s="664">
        <f t="shared" si="601"/>
        <v>0</v>
      </c>
      <c r="BL1422" s="664">
        <f t="shared" si="601"/>
        <v>0</v>
      </c>
      <c r="BM1422" s="664">
        <f t="shared" si="601"/>
        <v>0</v>
      </c>
      <c r="BN1422" s="664">
        <f t="shared" si="601"/>
        <v>0</v>
      </c>
      <c r="BO1422" s="664">
        <f t="shared" si="601"/>
        <v>0</v>
      </c>
      <c r="BP1422" s="664">
        <f t="shared" si="601"/>
        <v>0</v>
      </c>
      <c r="BQ1422" s="664">
        <f t="shared" si="601"/>
        <v>0</v>
      </c>
      <c r="BR1422" s="664">
        <f t="shared" si="601"/>
        <v>0</v>
      </c>
      <c r="BS1422" s="664">
        <f t="shared" si="601"/>
        <v>0</v>
      </c>
      <c r="BT1422" s="664">
        <f t="shared" si="601"/>
        <v>0</v>
      </c>
      <c r="BU1422" s="664">
        <f t="shared" si="601"/>
        <v>0</v>
      </c>
      <c r="BV1422" s="664">
        <f t="shared" si="601"/>
        <v>0</v>
      </c>
      <c r="BW1422" s="664">
        <f t="shared" si="601"/>
        <v>0</v>
      </c>
      <c r="BX1422" s="664">
        <f t="shared" si="601"/>
        <v>0</v>
      </c>
      <c r="BY1422" s="664">
        <f t="shared" si="601"/>
        <v>0</v>
      </c>
      <c r="BZ1422" s="664">
        <f t="shared" si="601"/>
        <v>0</v>
      </c>
      <c r="CA1422" s="664">
        <f t="shared" si="601"/>
        <v>0</v>
      </c>
    </row>
    <row r="1423" spans="1:79" s="693" customFormat="1" hidden="1" outlineLevel="1" x14ac:dyDescent="0.25">
      <c r="A1423" s="694"/>
      <c r="E1423" s="570" t="s">
        <v>867</v>
      </c>
      <c r="F1423" s="694" t="s">
        <v>646</v>
      </c>
      <c r="G1423" s="746"/>
      <c r="H1423" s="746"/>
      <c r="I1423" s="746"/>
      <c r="J1423" s="746"/>
      <c r="K1423" s="746"/>
      <c r="L1423" s="746"/>
      <c r="M1423" s="746"/>
      <c r="N1423" s="746"/>
      <c r="O1423" s="746"/>
      <c r="P1423" s="746"/>
      <c r="Q1423" s="746"/>
      <c r="R1423" s="746"/>
      <c r="S1423" s="692"/>
      <c r="T1423" s="692"/>
      <c r="U1423" s="692"/>
      <c r="V1423" s="692"/>
      <c r="W1423" s="692"/>
      <c r="X1423" s="692"/>
      <c r="Y1423" s="692"/>
      <c r="Z1423" s="692"/>
      <c r="AA1423" s="692"/>
      <c r="AB1423" s="692"/>
      <c r="AC1423" s="692"/>
      <c r="AD1423" s="692"/>
      <c r="AE1423" s="692"/>
      <c r="AF1423" s="734"/>
      <c r="AG1423" s="692"/>
      <c r="AH1423" s="746"/>
      <c r="AI1423" s="746"/>
      <c r="AJ1423" s="746"/>
      <c r="AK1423" s="746"/>
      <c r="AL1423" s="746"/>
      <c r="AM1423" s="746"/>
      <c r="AN1423" s="746"/>
      <c r="AO1423" s="746"/>
      <c r="AP1423" s="746"/>
      <c r="AQ1423" s="746"/>
      <c r="AR1423" s="746"/>
      <c r="AS1423" s="746"/>
      <c r="AT1423" s="746"/>
      <c r="AU1423" s="746"/>
      <c r="AV1423" s="746"/>
      <c r="AW1423" s="746"/>
      <c r="AX1423" s="746"/>
      <c r="AY1423" s="746"/>
      <c r="AZ1423" s="746"/>
      <c r="BA1423" s="746"/>
      <c r="BB1423" s="746"/>
      <c r="BC1423" s="746"/>
      <c r="BD1423" s="746"/>
      <c r="BE1423" s="746"/>
      <c r="BF1423" s="746"/>
      <c r="BG1423" s="746"/>
      <c r="BH1423" s="746"/>
      <c r="BI1423" s="746"/>
      <c r="BJ1423" s="746"/>
      <c r="BK1423" s="746"/>
      <c r="BL1423" s="746"/>
      <c r="BM1423" s="746"/>
      <c r="BN1423" s="746"/>
      <c r="BO1423" s="746"/>
      <c r="BP1423" s="746"/>
      <c r="BQ1423" s="746"/>
      <c r="BR1423" s="746"/>
      <c r="BS1423" s="746"/>
      <c r="BT1423" s="746"/>
      <c r="BU1423" s="746"/>
      <c r="BV1423" s="746"/>
      <c r="BW1423" s="746"/>
      <c r="BX1423" s="746"/>
      <c r="BY1423" s="746"/>
      <c r="BZ1423" s="746"/>
      <c r="CA1423" s="746"/>
    </row>
    <row r="1424" spans="1:79" hidden="1" outlineLevel="1" x14ac:dyDescent="0.25">
      <c r="A1424" s="656"/>
      <c r="B1424" s="223"/>
      <c r="C1424" s="223"/>
      <c r="D1424" s="223"/>
      <c r="E1424" s="570" t="s">
        <v>867</v>
      </c>
      <c r="F1424" s="656" t="s">
        <v>867</v>
      </c>
      <c r="G1424" s="664"/>
      <c r="H1424" s="664"/>
      <c r="I1424" s="664"/>
      <c r="J1424" s="664"/>
      <c r="K1424" s="664"/>
      <c r="L1424" s="664"/>
      <c r="M1424" s="664"/>
      <c r="N1424" s="664"/>
      <c r="O1424" s="664"/>
      <c r="P1424" s="664"/>
      <c r="Q1424" s="664"/>
      <c r="R1424" s="664"/>
      <c r="S1424" s="663"/>
      <c r="T1424" s="663"/>
      <c r="U1424" s="663"/>
      <c r="V1424" s="663"/>
      <c r="W1424" s="663"/>
      <c r="X1424" s="663"/>
      <c r="Y1424" s="663"/>
      <c r="Z1424" s="663"/>
      <c r="AA1424" s="663"/>
      <c r="AB1424" s="663"/>
      <c r="AC1424" s="663"/>
      <c r="AD1424" s="663"/>
      <c r="AE1424" s="663">
        <v>0</v>
      </c>
      <c r="AF1424" s="716">
        <v>0</v>
      </c>
      <c r="AG1424" s="663">
        <v>0</v>
      </c>
      <c r="AH1424" s="664"/>
      <c r="AI1424" s="664"/>
      <c r="AJ1424" s="664"/>
      <c r="AK1424" s="664"/>
      <c r="AL1424" s="664"/>
      <c r="AM1424" s="664"/>
      <c r="AN1424" s="664"/>
      <c r="AO1424" s="664"/>
      <c r="AP1424" s="664"/>
      <c r="AQ1424" s="664"/>
      <c r="AR1424" s="664"/>
      <c r="AS1424" s="664"/>
      <c r="AT1424" s="664"/>
      <c r="AU1424" s="664"/>
      <c r="AV1424" s="664"/>
      <c r="AW1424" s="664"/>
      <c r="AX1424" s="664"/>
      <c r="AY1424" s="664"/>
      <c r="AZ1424" s="664"/>
      <c r="BA1424" s="664"/>
      <c r="BB1424" s="664"/>
      <c r="BC1424" s="664"/>
      <c r="BD1424" s="664"/>
      <c r="BE1424" s="664"/>
      <c r="BF1424" s="664"/>
      <c r="BG1424" s="664"/>
      <c r="BH1424" s="664"/>
      <c r="BI1424" s="664"/>
      <c r="BJ1424" s="664"/>
      <c r="BK1424" s="664"/>
      <c r="BL1424" s="664"/>
      <c r="BM1424" s="664"/>
      <c r="BN1424" s="664"/>
      <c r="BO1424" s="664"/>
      <c r="BP1424" s="664"/>
      <c r="BQ1424" s="664"/>
      <c r="BR1424" s="664"/>
      <c r="BS1424" s="664"/>
      <c r="BT1424" s="664"/>
      <c r="BU1424" s="664"/>
      <c r="BV1424" s="664"/>
      <c r="BW1424" s="664"/>
      <c r="BX1424" s="664"/>
      <c r="BY1424" s="664"/>
      <c r="BZ1424" s="664"/>
      <c r="CA1424" s="664"/>
    </row>
    <row r="1425" spans="1:79" s="308" customFormat="1" hidden="1" outlineLevel="1" x14ac:dyDescent="0.25">
      <c r="A1425" s="656"/>
      <c r="B1425" s="570"/>
      <c r="C1425" s="570"/>
      <c r="D1425" s="570"/>
      <c r="E1425" s="570" t="s">
        <v>867</v>
      </c>
      <c r="F1425" s="656" t="s">
        <v>868</v>
      </c>
      <c r="G1425" s="716"/>
      <c r="H1425" s="716"/>
      <c r="I1425" s="716"/>
      <c r="J1425" s="716"/>
      <c r="K1425" s="716"/>
      <c r="L1425" s="716"/>
      <c r="M1425" s="716"/>
      <c r="N1425" s="716"/>
      <c r="O1425" s="716"/>
      <c r="P1425" s="716"/>
      <c r="Q1425" s="716"/>
      <c r="R1425" s="720"/>
      <c r="S1425" s="663"/>
      <c r="T1425" s="663"/>
      <c r="U1425" s="663"/>
      <c r="V1425" s="663"/>
      <c r="W1425" s="663"/>
      <c r="X1425" s="663"/>
      <c r="Y1425" s="663"/>
      <c r="Z1425" s="663"/>
      <c r="AA1425" s="663"/>
      <c r="AB1425" s="663"/>
      <c r="AC1425" s="663"/>
      <c r="AD1425" s="663"/>
      <c r="AE1425" s="663">
        <v>0</v>
      </c>
      <c r="AF1425" s="719">
        <v>0</v>
      </c>
      <c r="AG1425" s="663">
        <v>0</v>
      </c>
      <c r="AH1425" s="720"/>
      <c r="AI1425" s="720"/>
      <c r="AJ1425" s="720"/>
      <c r="AK1425" s="720"/>
      <c r="AL1425" s="720"/>
      <c r="AM1425" s="720"/>
      <c r="AN1425" s="720"/>
      <c r="AO1425" s="720"/>
      <c r="AP1425" s="720"/>
      <c r="AQ1425" s="720"/>
      <c r="AR1425" s="720"/>
      <c r="AS1425" s="720"/>
      <c r="AT1425" s="720"/>
      <c r="AU1425" s="720"/>
      <c r="AV1425" s="720"/>
      <c r="AW1425" s="720"/>
      <c r="AX1425" s="720"/>
      <c r="AY1425" s="720"/>
      <c r="AZ1425" s="720"/>
      <c r="BA1425" s="720"/>
      <c r="BB1425" s="720"/>
      <c r="BC1425" s="720"/>
      <c r="BD1425" s="720"/>
      <c r="BE1425" s="720"/>
      <c r="BF1425" s="720"/>
      <c r="BG1425" s="720"/>
      <c r="BH1425" s="720"/>
      <c r="BI1425" s="720"/>
      <c r="BJ1425" s="720"/>
      <c r="BK1425" s="720"/>
      <c r="BL1425" s="720"/>
      <c r="BM1425" s="720"/>
      <c r="BN1425" s="720"/>
      <c r="BO1425" s="720"/>
      <c r="BP1425" s="720"/>
      <c r="BQ1425" s="720"/>
      <c r="BR1425" s="720"/>
      <c r="BS1425" s="720"/>
      <c r="BT1425" s="720"/>
      <c r="BU1425" s="720"/>
      <c r="BV1425" s="720"/>
      <c r="BW1425" s="720"/>
      <c r="BX1425" s="720"/>
      <c r="BY1425" s="720"/>
      <c r="BZ1425" s="720"/>
      <c r="CA1425" s="720"/>
    </row>
    <row r="1426" spans="1:79" s="308" customFormat="1" hidden="1" outlineLevel="1" x14ac:dyDescent="0.25">
      <c r="A1426" s="657"/>
      <c r="B1426" s="570"/>
      <c r="C1426" s="570"/>
      <c r="D1426" s="570"/>
      <c r="E1426" s="570" t="s">
        <v>49</v>
      </c>
      <c r="F1426" s="657" t="s">
        <v>869</v>
      </c>
      <c r="G1426" s="664"/>
      <c r="H1426" s="664"/>
      <c r="I1426" s="664"/>
      <c r="J1426" s="664"/>
      <c r="K1426" s="664"/>
      <c r="L1426" s="664"/>
      <c r="M1426" s="664"/>
      <c r="N1426" s="664"/>
      <c r="O1426" s="664"/>
      <c r="P1426" s="664"/>
      <c r="Q1426" s="664"/>
      <c r="R1426" s="664"/>
      <c r="S1426" s="664"/>
      <c r="T1426" s="664"/>
      <c r="U1426" s="664"/>
      <c r="V1426" s="664"/>
      <c r="W1426" s="664"/>
      <c r="X1426" s="664"/>
      <c r="Y1426" s="664"/>
      <c r="Z1426" s="664"/>
      <c r="AA1426" s="664"/>
      <c r="AB1426" s="664"/>
      <c r="AC1426" s="664"/>
      <c r="AD1426" s="664"/>
      <c r="AE1426" s="664">
        <f>ROUND(SUM(AE1423:AE1425),5)</f>
        <v>0</v>
      </c>
      <c r="AF1426" s="664">
        <f>ROUND(SUM(AF1423:AF1425),5)</f>
        <v>0</v>
      </c>
      <c r="AG1426" s="664">
        <f>ROUND(SUM(AG1423:AG1425),5)</f>
        <v>0</v>
      </c>
      <c r="AH1426" s="720"/>
      <c r="AI1426" s="720"/>
      <c r="AJ1426" s="720"/>
      <c r="AK1426" s="720"/>
      <c r="AL1426" s="720"/>
      <c r="AM1426" s="720"/>
      <c r="AN1426" s="720"/>
      <c r="AO1426" s="720"/>
      <c r="AP1426" s="720"/>
      <c r="AQ1426" s="720"/>
      <c r="AR1426" s="720"/>
      <c r="AS1426" s="720"/>
      <c r="AT1426" s="720"/>
      <c r="AU1426" s="720"/>
      <c r="AV1426" s="720"/>
      <c r="AW1426" s="720"/>
      <c r="AX1426" s="720"/>
      <c r="AY1426" s="720"/>
      <c r="AZ1426" s="720"/>
      <c r="BA1426" s="720"/>
      <c r="BB1426" s="720"/>
      <c r="BC1426" s="720"/>
      <c r="BD1426" s="720"/>
      <c r="BE1426" s="720"/>
      <c r="BF1426" s="720"/>
      <c r="BG1426" s="720"/>
      <c r="BH1426" s="720"/>
      <c r="BI1426" s="720"/>
      <c r="BJ1426" s="720"/>
      <c r="BK1426" s="720"/>
      <c r="BL1426" s="720"/>
      <c r="BM1426" s="720"/>
      <c r="BN1426" s="720"/>
      <c r="BO1426" s="720"/>
      <c r="BP1426" s="720"/>
      <c r="BQ1426" s="720"/>
      <c r="BR1426" s="720"/>
      <c r="BS1426" s="720"/>
      <c r="BT1426" s="720"/>
      <c r="BU1426" s="720"/>
      <c r="BV1426" s="720"/>
      <c r="BW1426" s="720"/>
      <c r="BX1426" s="720"/>
      <c r="BY1426" s="720"/>
      <c r="BZ1426" s="720"/>
      <c r="CA1426" s="720"/>
    </row>
    <row r="1427" spans="1:79" s="451" customFormat="1" hidden="1" outlineLevel="1" x14ac:dyDescent="0.25">
      <c r="A1427" s="658"/>
      <c r="B1427" s="570"/>
      <c r="C1427" s="570"/>
      <c r="D1427" s="570"/>
      <c r="E1427" s="570" t="s">
        <v>1328</v>
      </c>
      <c r="F1427" s="658" t="s">
        <v>589</v>
      </c>
      <c r="G1427" s="716"/>
      <c r="H1427" s="716"/>
      <c r="I1427" s="716"/>
      <c r="J1427" s="716"/>
      <c r="K1427" s="716"/>
      <c r="L1427" s="716"/>
      <c r="M1427" s="716"/>
      <c r="N1427" s="716"/>
      <c r="O1427" s="716"/>
      <c r="P1427" s="716"/>
      <c r="Q1427" s="716"/>
      <c r="R1427" s="720"/>
      <c r="S1427" s="667"/>
      <c r="T1427" s="667"/>
      <c r="U1427" s="667"/>
      <c r="V1427" s="667"/>
      <c r="W1427" s="667"/>
      <c r="X1427" s="667"/>
      <c r="Y1427" s="667"/>
      <c r="Z1427" s="667"/>
      <c r="AA1427" s="667"/>
      <c r="AB1427" s="667"/>
      <c r="AC1427" s="666"/>
      <c r="AD1427" s="666"/>
      <c r="AE1427" s="667">
        <v>0</v>
      </c>
      <c r="AF1427" s="719">
        <v>0</v>
      </c>
      <c r="AG1427" s="665">
        <v>0</v>
      </c>
      <c r="AH1427" s="720"/>
      <c r="AI1427" s="720"/>
      <c r="AJ1427" s="720"/>
      <c r="AK1427" s="720"/>
      <c r="AL1427" s="720"/>
      <c r="AM1427" s="720"/>
      <c r="AN1427" s="720"/>
      <c r="AO1427" s="720"/>
      <c r="AP1427" s="720"/>
      <c r="AQ1427" s="720"/>
      <c r="AR1427" s="720"/>
      <c r="AS1427" s="720"/>
      <c r="AT1427" s="720"/>
      <c r="AU1427" s="720"/>
      <c r="AV1427" s="720"/>
      <c r="AW1427" s="720"/>
      <c r="AX1427" s="720"/>
      <c r="AY1427" s="720"/>
      <c r="AZ1427" s="720"/>
      <c r="BA1427" s="720"/>
      <c r="BB1427" s="720"/>
      <c r="BC1427" s="720"/>
      <c r="BD1427" s="720"/>
      <c r="BE1427" s="720"/>
      <c r="BF1427" s="720"/>
      <c r="BG1427" s="720"/>
      <c r="BH1427" s="720"/>
      <c r="BI1427" s="720"/>
      <c r="BJ1427" s="720"/>
      <c r="BK1427" s="720"/>
      <c r="BL1427" s="720"/>
      <c r="BM1427" s="720"/>
      <c r="BN1427" s="720"/>
      <c r="BO1427" s="720"/>
      <c r="BP1427" s="720"/>
      <c r="BQ1427" s="720"/>
      <c r="BR1427" s="720"/>
      <c r="BS1427" s="720"/>
      <c r="BT1427" s="720"/>
      <c r="BU1427" s="720"/>
      <c r="BV1427" s="720"/>
      <c r="BW1427" s="720"/>
      <c r="BX1427" s="720"/>
      <c r="BY1427" s="720"/>
      <c r="BZ1427" s="720"/>
      <c r="CA1427" s="720"/>
    </row>
    <row r="1428" spans="1:79" s="451" customFormat="1" hidden="1" outlineLevel="1" x14ac:dyDescent="0.25">
      <c r="A1428" s="655"/>
      <c r="B1428" s="570"/>
      <c r="C1428" s="570"/>
      <c r="D1428" s="570"/>
      <c r="E1428" s="570" t="s">
        <v>1329</v>
      </c>
      <c r="F1428" s="655" t="s">
        <v>870</v>
      </c>
      <c r="G1428" s="716"/>
      <c r="H1428" s="716"/>
      <c r="I1428" s="716"/>
      <c r="J1428" s="716"/>
      <c r="K1428" s="716"/>
      <c r="L1428" s="716"/>
      <c r="M1428" s="716"/>
      <c r="N1428" s="716"/>
      <c r="O1428" s="716"/>
      <c r="P1428" s="716"/>
      <c r="Q1428" s="716"/>
      <c r="R1428" s="720"/>
      <c r="S1428" s="667"/>
      <c r="T1428" s="667"/>
      <c r="U1428" s="667"/>
      <c r="V1428" s="667"/>
      <c r="W1428" s="667"/>
      <c r="X1428" s="667"/>
      <c r="Y1428" s="667"/>
      <c r="Z1428" s="667"/>
      <c r="AA1428" s="667"/>
      <c r="AB1428" s="667"/>
      <c r="AC1428" s="666"/>
      <c r="AD1428" s="666"/>
      <c r="AE1428" s="667">
        <v>0</v>
      </c>
      <c r="AF1428" s="719">
        <v>0</v>
      </c>
      <c r="AG1428" s="665">
        <v>0</v>
      </c>
      <c r="AH1428" s="720"/>
      <c r="AI1428" s="720"/>
      <c r="AJ1428" s="720"/>
      <c r="AK1428" s="720"/>
      <c r="AL1428" s="720"/>
      <c r="AM1428" s="720"/>
      <c r="AN1428" s="720"/>
      <c r="AO1428" s="720"/>
      <c r="AP1428" s="720"/>
      <c r="AQ1428" s="720"/>
      <c r="AR1428" s="720"/>
      <c r="AS1428" s="720"/>
      <c r="AT1428" s="720"/>
      <c r="AU1428" s="720"/>
      <c r="AV1428" s="720"/>
      <c r="AW1428" s="720"/>
      <c r="AX1428" s="720"/>
      <c r="AY1428" s="720"/>
      <c r="AZ1428" s="720"/>
      <c r="BA1428" s="720"/>
      <c r="BB1428" s="720"/>
      <c r="BC1428" s="720"/>
      <c r="BD1428" s="720"/>
      <c r="BE1428" s="720"/>
      <c r="BF1428" s="720"/>
      <c r="BG1428" s="720"/>
      <c r="BH1428" s="720"/>
      <c r="BI1428" s="720"/>
      <c r="BJ1428" s="720"/>
      <c r="BK1428" s="720"/>
      <c r="BL1428" s="720"/>
      <c r="BM1428" s="720"/>
      <c r="BN1428" s="720"/>
      <c r="BO1428" s="720"/>
      <c r="BP1428" s="720"/>
      <c r="BQ1428" s="720"/>
      <c r="BR1428" s="720"/>
      <c r="BS1428" s="720"/>
      <c r="BT1428" s="720"/>
      <c r="BU1428" s="720"/>
      <c r="BV1428" s="720"/>
      <c r="BW1428" s="720"/>
      <c r="BX1428" s="720"/>
      <c r="BY1428" s="720"/>
      <c r="BZ1428" s="720"/>
      <c r="CA1428" s="720"/>
    </row>
    <row r="1429" spans="1:79" s="737" customFormat="1" hidden="1" outlineLevel="1" x14ac:dyDescent="0.25">
      <c r="A1429" s="695"/>
      <c r="B1429" s="700"/>
      <c r="C1429" s="700"/>
      <c r="D1429" s="700"/>
      <c r="E1429" s="570" t="s">
        <v>1330</v>
      </c>
      <c r="F1429" s="695" t="s">
        <v>590</v>
      </c>
      <c r="G1429" s="736"/>
      <c r="H1429" s="736"/>
      <c r="I1429" s="736"/>
      <c r="J1429" s="736"/>
      <c r="K1429" s="736"/>
      <c r="L1429" s="736"/>
      <c r="M1429" s="736"/>
      <c r="N1429" s="736"/>
      <c r="O1429" s="736"/>
      <c r="P1429" s="736"/>
      <c r="Q1429" s="736"/>
      <c r="R1429" s="762"/>
      <c r="S1429" s="697"/>
      <c r="T1429" s="697"/>
      <c r="U1429" s="697"/>
      <c r="V1429" s="697"/>
      <c r="W1429" s="697"/>
      <c r="X1429" s="697"/>
      <c r="Y1429" s="697"/>
      <c r="Z1429" s="697"/>
      <c r="AA1429" s="697"/>
      <c r="AB1429" s="697"/>
      <c r="AC1429" s="697"/>
      <c r="AD1429" s="697"/>
      <c r="AE1429" s="697"/>
      <c r="AF1429" s="733"/>
      <c r="AG1429" s="696"/>
      <c r="AH1429" s="735"/>
      <c r="AI1429" s="735"/>
      <c r="AJ1429" s="735"/>
      <c r="AK1429" s="735"/>
      <c r="AL1429" s="735"/>
      <c r="AM1429" s="735"/>
      <c r="AN1429" s="735"/>
      <c r="AO1429" s="735"/>
      <c r="AP1429" s="735"/>
      <c r="AQ1429" s="735"/>
      <c r="AR1429" s="735"/>
      <c r="AS1429" s="735"/>
      <c r="AT1429" s="735"/>
      <c r="AU1429" s="735"/>
      <c r="AV1429" s="735"/>
      <c r="AW1429" s="735"/>
      <c r="AX1429" s="735"/>
      <c r="AY1429" s="735"/>
      <c r="AZ1429" s="735"/>
      <c r="BA1429" s="735"/>
      <c r="BB1429" s="735"/>
      <c r="BC1429" s="735"/>
      <c r="BD1429" s="735"/>
      <c r="BE1429" s="735"/>
      <c r="BF1429" s="735"/>
      <c r="BG1429" s="735"/>
      <c r="BH1429" s="735"/>
      <c r="BI1429" s="735"/>
      <c r="BJ1429" s="735"/>
      <c r="BK1429" s="735"/>
      <c r="BL1429" s="735"/>
      <c r="BM1429" s="735"/>
      <c r="BN1429" s="735"/>
      <c r="BO1429" s="735"/>
      <c r="BP1429" s="735"/>
      <c r="BQ1429" s="735"/>
      <c r="BR1429" s="735"/>
      <c r="BS1429" s="735"/>
      <c r="BT1429" s="735"/>
      <c r="BU1429" s="735"/>
      <c r="BV1429" s="735"/>
      <c r="BW1429" s="735"/>
      <c r="BX1429" s="735"/>
      <c r="BY1429" s="735"/>
      <c r="BZ1429" s="735"/>
      <c r="CA1429" s="735"/>
    </row>
    <row r="1430" spans="1:79" hidden="1" outlineLevel="1" x14ac:dyDescent="0.25">
      <c r="A1430" s="691"/>
      <c r="B1430" s="693"/>
      <c r="C1430" s="693"/>
      <c r="D1430" s="693"/>
      <c r="E1430" s="570" t="s">
        <v>645</v>
      </c>
      <c r="F1430" s="691" t="s">
        <v>645</v>
      </c>
      <c r="G1430" s="692"/>
      <c r="H1430" s="692"/>
      <c r="I1430" s="692"/>
      <c r="J1430" s="692"/>
      <c r="K1430" s="692"/>
      <c r="L1430" s="692"/>
      <c r="M1430" s="692"/>
      <c r="N1430" s="692"/>
      <c r="O1430" s="692"/>
      <c r="P1430" s="692"/>
      <c r="Q1430" s="692"/>
      <c r="R1430" s="692"/>
      <c r="S1430" s="692"/>
      <c r="T1430" s="692"/>
      <c r="U1430" s="692"/>
      <c r="V1430" s="692"/>
      <c r="W1430" s="692"/>
      <c r="X1430" s="692"/>
      <c r="Y1430" s="692"/>
      <c r="Z1430" s="692"/>
      <c r="AA1430" s="692"/>
      <c r="AB1430" s="692"/>
      <c r="AC1430" s="692"/>
      <c r="AD1430" s="692"/>
      <c r="AE1430" s="692"/>
      <c r="AF1430" s="692"/>
      <c r="AG1430" s="692"/>
      <c r="AH1430" s="692"/>
      <c r="AI1430" s="692"/>
      <c r="AJ1430" s="692"/>
      <c r="AK1430" s="692"/>
      <c r="AL1430" s="692"/>
      <c r="AM1430" s="692"/>
      <c r="AN1430" s="692"/>
      <c r="AO1430" s="692"/>
      <c r="AP1430" s="692"/>
      <c r="AQ1430" s="692"/>
      <c r="AR1430" s="692"/>
      <c r="AS1430" s="692"/>
      <c r="AT1430" s="692"/>
      <c r="AU1430" s="692"/>
      <c r="AV1430" s="692"/>
      <c r="AW1430" s="692"/>
      <c r="AX1430" s="692"/>
      <c r="AY1430" s="692"/>
      <c r="AZ1430" s="692"/>
      <c r="BA1430" s="692"/>
      <c r="BB1430" s="692"/>
      <c r="BC1430" s="692"/>
      <c r="BD1430" s="692"/>
      <c r="BE1430" s="692"/>
      <c r="BF1430" s="692"/>
      <c r="BG1430" s="692"/>
      <c r="BH1430" s="692"/>
      <c r="BI1430" s="692"/>
      <c r="BJ1430" s="692"/>
      <c r="BK1430" s="692"/>
      <c r="BL1430" s="692"/>
      <c r="BM1430" s="692"/>
      <c r="BN1430" s="692"/>
      <c r="BO1430" s="692"/>
      <c r="BP1430" s="692"/>
      <c r="BQ1430" s="692"/>
      <c r="BR1430" s="692"/>
      <c r="BS1430" s="692"/>
      <c r="BT1430" s="692"/>
      <c r="BU1430" s="692"/>
      <c r="BV1430" s="692"/>
      <c r="BW1430" s="692"/>
      <c r="BX1430" s="692"/>
      <c r="BY1430" s="692"/>
      <c r="BZ1430" s="692"/>
      <c r="CA1430" s="692"/>
    </row>
    <row r="1431" spans="1:79" hidden="1" outlineLevel="1" x14ac:dyDescent="0.25">
      <c r="A1431" s="656"/>
      <c r="B1431" s="223"/>
      <c r="C1431" s="223"/>
      <c r="D1431" s="223"/>
      <c r="E1431" s="570" t="s">
        <v>1330</v>
      </c>
      <c r="F1431" s="656" t="s">
        <v>858</v>
      </c>
      <c r="G1431" s="663"/>
      <c r="H1431" s="663"/>
      <c r="I1431" s="663"/>
      <c r="J1431" s="663"/>
      <c r="K1431" s="663"/>
      <c r="L1431" s="663"/>
      <c r="M1431" s="663"/>
      <c r="N1431" s="663"/>
      <c r="O1431" s="663"/>
      <c r="P1431" s="663"/>
      <c r="Q1431" s="663"/>
      <c r="R1431" s="663"/>
      <c r="S1431" s="663"/>
      <c r="T1431" s="663"/>
      <c r="U1431" s="663"/>
      <c r="V1431" s="663"/>
      <c r="W1431" s="663"/>
      <c r="X1431" s="663"/>
      <c r="Y1431" s="663"/>
      <c r="Z1431" s="663"/>
      <c r="AA1431" s="663"/>
      <c r="AB1431" s="663"/>
      <c r="AC1431" s="663"/>
      <c r="AD1431" s="663"/>
      <c r="AE1431" s="663">
        <v>0</v>
      </c>
      <c r="AF1431" s="663">
        <v>0</v>
      </c>
      <c r="AG1431" s="663">
        <v>0</v>
      </c>
      <c r="AH1431" s="663"/>
      <c r="AI1431" s="663"/>
      <c r="AJ1431" s="663"/>
      <c r="AK1431" s="663"/>
      <c r="AL1431" s="663"/>
      <c r="AM1431" s="663"/>
      <c r="AN1431" s="663"/>
      <c r="AO1431" s="663"/>
      <c r="AP1431" s="663"/>
      <c r="AQ1431" s="663"/>
      <c r="AR1431" s="663"/>
      <c r="AS1431" s="663"/>
      <c r="AT1431" s="663"/>
      <c r="AU1431" s="663"/>
      <c r="AV1431" s="663"/>
      <c r="AW1431" s="663"/>
      <c r="AX1431" s="663"/>
      <c r="AY1431" s="663"/>
      <c r="AZ1431" s="663"/>
      <c r="BA1431" s="663"/>
      <c r="BB1431" s="663"/>
      <c r="BC1431" s="663"/>
      <c r="BD1431" s="663"/>
      <c r="BE1431" s="663"/>
      <c r="BF1431" s="663"/>
      <c r="BG1431" s="663"/>
      <c r="BH1431" s="663"/>
      <c r="BI1431" s="663"/>
      <c r="BJ1431" s="663"/>
      <c r="BK1431" s="663"/>
      <c r="BL1431" s="663"/>
      <c r="BM1431" s="663"/>
      <c r="BN1431" s="663"/>
      <c r="BO1431" s="663"/>
      <c r="BP1431" s="663"/>
      <c r="BQ1431" s="663"/>
      <c r="BR1431" s="663"/>
      <c r="BS1431" s="663"/>
      <c r="BT1431" s="663"/>
      <c r="BU1431" s="663"/>
      <c r="BV1431" s="663"/>
      <c r="BW1431" s="663"/>
      <c r="BX1431" s="663"/>
      <c r="BY1431" s="663"/>
      <c r="BZ1431" s="663"/>
      <c r="CA1431" s="663"/>
    </row>
    <row r="1432" spans="1:79" hidden="1" outlineLevel="1" x14ac:dyDescent="0.25">
      <c r="A1432" s="656"/>
      <c r="B1432" s="570"/>
      <c r="C1432" s="570"/>
      <c r="D1432" s="570"/>
      <c r="E1432" s="570" t="s">
        <v>645</v>
      </c>
      <c r="F1432" s="656" t="s">
        <v>859</v>
      </c>
      <c r="G1432" s="719"/>
      <c r="H1432" s="719"/>
      <c r="I1432" s="719"/>
      <c r="J1432" s="719"/>
      <c r="K1432" s="719"/>
      <c r="L1432" s="719"/>
      <c r="M1432" s="719"/>
      <c r="N1432" s="719"/>
      <c r="O1432" s="719"/>
      <c r="P1432" s="716"/>
      <c r="Q1432" s="716"/>
      <c r="R1432" s="716"/>
      <c r="S1432" s="663"/>
      <c r="T1432" s="663"/>
      <c r="U1432" s="663"/>
      <c r="V1432" s="663"/>
      <c r="W1432" s="663"/>
      <c r="X1432" s="663"/>
      <c r="Y1432" s="663"/>
      <c r="Z1432" s="663"/>
      <c r="AA1432" s="663"/>
      <c r="AB1432" s="663"/>
      <c r="AC1432" s="663"/>
      <c r="AD1432" s="663"/>
      <c r="AE1432" s="663">
        <v>0</v>
      </c>
      <c r="AF1432" s="716">
        <v>0</v>
      </c>
      <c r="AG1432" s="663">
        <v>0</v>
      </c>
      <c r="AH1432" s="718"/>
      <c r="AI1432" s="718"/>
      <c r="AJ1432" s="718"/>
      <c r="AK1432" s="718"/>
      <c r="AL1432" s="718"/>
      <c r="AM1432" s="718"/>
      <c r="AN1432" s="718"/>
      <c r="AO1432" s="718"/>
      <c r="AP1432" s="718"/>
      <c r="AQ1432" s="718"/>
      <c r="AR1432" s="718"/>
      <c r="AS1432" s="718"/>
      <c r="AT1432" s="718"/>
      <c r="AU1432" s="718"/>
      <c r="AV1432" s="718"/>
      <c r="AW1432" s="718"/>
      <c r="AX1432" s="718"/>
      <c r="AY1432" s="718"/>
      <c r="AZ1432" s="718"/>
      <c r="BA1432" s="718"/>
      <c r="BB1432" s="718"/>
      <c r="BC1432" s="718"/>
      <c r="BD1432" s="718"/>
      <c r="BE1432" s="718"/>
      <c r="BF1432" s="718"/>
      <c r="BG1432" s="718"/>
      <c r="BH1432" s="718"/>
      <c r="BI1432" s="718"/>
      <c r="BJ1432" s="718"/>
      <c r="BK1432" s="718"/>
      <c r="BL1432" s="718"/>
      <c r="BM1432" s="718"/>
      <c r="BN1432" s="718"/>
      <c r="BO1432" s="718"/>
      <c r="BP1432" s="718"/>
      <c r="BQ1432" s="718"/>
      <c r="BR1432" s="718"/>
      <c r="BS1432" s="718"/>
      <c r="BT1432" s="718"/>
      <c r="BU1432" s="718"/>
      <c r="BV1432" s="718"/>
      <c r="BW1432" s="718"/>
      <c r="BX1432" s="718"/>
      <c r="BY1432" s="718"/>
      <c r="BZ1432" s="718"/>
      <c r="CA1432" s="718"/>
    </row>
    <row r="1433" spans="1:79" hidden="1" outlineLevel="1" x14ac:dyDescent="0.25">
      <c r="A1433" s="657"/>
      <c r="B1433" s="223"/>
      <c r="C1433" s="223"/>
      <c r="D1433" s="223"/>
      <c r="E1433" s="570" t="s">
        <v>49</v>
      </c>
      <c r="F1433" s="657" t="s">
        <v>860</v>
      </c>
      <c r="G1433" s="664"/>
      <c r="H1433" s="664"/>
      <c r="I1433" s="664"/>
      <c r="J1433" s="664"/>
      <c r="K1433" s="664"/>
      <c r="L1433" s="664"/>
      <c r="M1433" s="664"/>
      <c r="N1433" s="664"/>
      <c r="O1433" s="664"/>
      <c r="P1433" s="664"/>
      <c r="Q1433" s="664"/>
      <c r="R1433" s="664"/>
      <c r="S1433" s="664"/>
      <c r="T1433" s="664"/>
      <c r="U1433" s="664"/>
      <c r="V1433" s="664"/>
      <c r="W1433" s="664"/>
      <c r="X1433" s="664"/>
      <c r="Y1433" s="664"/>
      <c r="Z1433" s="664"/>
      <c r="AA1433" s="664"/>
      <c r="AB1433" s="664"/>
      <c r="AC1433" s="664"/>
      <c r="AD1433" s="664"/>
      <c r="AE1433" s="664">
        <f>ROUND(SUM(AE1430:AE1432),5)</f>
        <v>0</v>
      </c>
      <c r="AF1433" s="664">
        <f>ROUND(SUM(AF1430:AF1432),5)</f>
        <v>0</v>
      </c>
      <c r="AG1433" s="664">
        <f>ROUND(SUM(AG1430:AG1432),5)</f>
        <v>0</v>
      </c>
      <c r="AH1433" s="664">
        <f t="shared" ref="AH1433:BO1433" si="602">SUM(AH1431:AH1432)</f>
        <v>0</v>
      </c>
      <c r="AI1433" s="664">
        <f t="shared" si="602"/>
        <v>0</v>
      </c>
      <c r="AJ1433" s="664">
        <f t="shared" si="602"/>
        <v>0</v>
      </c>
      <c r="AK1433" s="664">
        <f t="shared" si="602"/>
        <v>0</v>
      </c>
      <c r="AL1433" s="664">
        <f t="shared" si="602"/>
        <v>0</v>
      </c>
      <c r="AM1433" s="664">
        <f t="shared" si="602"/>
        <v>0</v>
      </c>
      <c r="AN1433" s="664">
        <f t="shared" si="602"/>
        <v>0</v>
      </c>
      <c r="AO1433" s="664">
        <f t="shared" si="602"/>
        <v>0</v>
      </c>
      <c r="AP1433" s="664">
        <f t="shared" si="602"/>
        <v>0</v>
      </c>
      <c r="AQ1433" s="664">
        <f t="shared" si="602"/>
        <v>0</v>
      </c>
      <c r="AR1433" s="664">
        <f t="shared" si="602"/>
        <v>0</v>
      </c>
      <c r="AS1433" s="664">
        <f t="shared" si="602"/>
        <v>0</v>
      </c>
      <c r="AT1433" s="664">
        <f t="shared" si="602"/>
        <v>0</v>
      </c>
      <c r="AU1433" s="664">
        <f t="shared" si="602"/>
        <v>0</v>
      </c>
      <c r="AV1433" s="664">
        <f t="shared" si="602"/>
        <v>0</v>
      </c>
      <c r="AW1433" s="664">
        <f t="shared" si="602"/>
        <v>0</v>
      </c>
      <c r="AX1433" s="664">
        <f t="shared" si="602"/>
        <v>0</v>
      </c>
      <c r="AY1433" s="664">
        <f t="shared" si="602"/>
        <v>0</v>
      </c>
      <c r="AZ1433" s="664">
        <f t="shared" si="602"/>
        <v>0</v>
      </c>
      <c r="BA1433" s="664">
        <f t="shared" si="602"/>
        <v>0</v>
      </c>
      <c r="BB1433" s="664">
        <f t="shared" si="602"/>
        <v>0</v>
      </c>
      <c r="BC1433" s="664">
        <f t="shared" si="602"/>
        <v>0</v>
      </c>
      <c r="BD1433" s="664">
        <f t="shared" si="602"/>
        <v>0</v>
      </c>
      <c r="BE1433" s="664">
        <f t="shared" si="602"/>
        <v>0</v>
      </c>
      <c r="BF1433" s="664">
        <f t="shared" si="602"/>
        <v>0</v>
      </c>
      <c r="BG1433" s="664">
        <f t="shared" si="602"/>
        <v>0</v>
      </c>
      <c r="BH1433" s="664">
        <f t="shared" si="602"/>
        <v>0</v>
      </c>
      <c r="BI1433" s="664">
        <f t="shared" si="602"/>
        <v>0</v>
      </c>
      <c r="BJ1433" s="664">
        <f t="shared" si="602"/>
        <v>0</v>
      </c>
      <c r="BK1433" s="664">
        <f t="shared" si="602"/>
        <v>0</v>
      </c>
      <c r="BL1433" s="664">
        <f t="shared" si="602"/>
        <v>0</v>
      </c>
      <c r="BM1433" s="664">
        <f t="shared" si="602"/>
        <v>0</v>
      </c>
      <c r="BN1433" s="664">
        <f t="shared" si="602"/>
        <v>0</v>
      </c>
      <c r="BO1433" s="664">
        <f t="shared" si="602"/>
        <v>0</v>
      </c>
      <c r="BP1433" s="664">
        <f t="shared" ref="BP1433:CA1433" si="603">SUM(BP1431:BP1432)</f>
        <v>0</v>
      </c>
      <c r="BQ1433" s="664">
        <f t="shared" si="603"/>
        <v>0</v>
      </c>
      <c r="BR1433" s="664">
        <f t="shared" si="603"/>
        <v>0</v>
      </c>
      <c r="BS1433" s="664">
        <f t="shared" si="603"/>
        <v>0</v>
      </c>
      <c r="BT1433" s="664">
        <f t="shared" si="603"/>
        <v>0</v>
      </c>
      <c r="BU1433" s="664">
        <f t="shared" si="603"/>
        <v>0</v>
      </c>
      <c r="BV1433" s="664">
        <f t="shared" si="603"/>
        <v>0</v>
      </c>
      <c r="BW1433" s="664">
        <f t="shared" si="603"/>
        <v>0</v>
      </c>
      <c r="BX1433" s="664">
        <f t="shared" si="603"/>
        <v>0</v>
      </c>
      <c r="BY1433" s="664">
        <f t="shared" si="603"/>
        <v>0</v>
      </c>
      <c r="BZ1433" s="664">
        <f t="shared" si="603"/>
        <v>0</v>
      </c>
      <c r="CA1433" s="664">
        <f t="shared" si="603"/>
        <v>0</v>
      </c>
    </row>
    <row r="1434" spans="1:79" s="451" customFormat="1" hidden="1" outlineLevel="1" x14ac:dyDescent="0.25">
      <c r="A1434" s="656"/>
      <c r="B1434" s="503"/>
      <c r="C1434" s="503"/>
      <c r="D1434" s="503"/>
      <c r="E1434" s="570" t="s">
        <v>1330</v>
      </c>
      <c r="F1434" s="656" t="s">
        <v>871</v>
      </c>
      <c r="G1434" s="718"/>
      <c r="H1434" s="718"/>
      <c r="I1434" s="718"/>
      <c r="J1434" s="718"/>
      <c r="K1434" s="718"/>
      <c r="L1434" s="718"/>
      <c r="M1434" s="718"/>
      <c r="N1434" s="718"/>
      <c r="O1434" s="718"/>
      <c r="P1434" s="718"/>
      <c r="Q1434" s="718"/>
      <c r="R1434" s="717"/>
      <c r="S1434" s="671"/>
      <c r="T1434" s="671"/>
      <c r="U1434" s="671"/>
      <c r="V1434" s="671"/>
      <c r="W1434" s="671"/>
      <c r="X1434" s="671"/>
      <c r="Y1434" s="671"/>
      <c r="Z1434" s="671"/>
      <c r="AA1434" s="671"/>
      <c r="AB1434" s="671"/>
      <c r="AC1434" s="670"/>
      <c r="AD1434" s="670"/>
      <c r="AE1434" s="671">
        <v>0</v>
      </c>
      <c r="AF1434" s="719">
        <v>0</v>
      </c>
      <c r="AG1434" s="669">
        <v>0</v>
      </c>
      <c r="AH1434" s="720"/>
      <c r="AI1434" s="720"/>
      <c r="AJ1434" s="720"/>
      <c r="AK1434" s="720"/>
      <c r="AL1434" s="720"/>
      <c r="AM1434" s="720"/>
      <c r="AN1434" s="720"/>
      <c r="AO1434" s="720"/>
      <c r="AP1434" s="720"/>
      <c r="AQ1434" s="720"/>
      <c r="AR1434" s="720"/>
      <c r="AS1434" s="720"/>
      <c r="AT1434" s="720"/>
      <c r="AU1434" s="720"/>
      <c r="AV1434" s="720"/>
      <c r="AW1434" s="720"/>
      <c r="AX1434" s="720"/>
      <c r="AY1434" s="720"/>
      <c r="AZ1434" s="720"/>
      <c r="BA1434" s="720"/>
      <c r="BB1434" s="720"/>
      <c r="BC1434" s="720"/>
      <c r="BD1434" s="720"/>
      <c r="BE1434" s="720"/>
      <c r="BF1434" s="720"/>
      <c r="BG1434" s="720"/>
      <c r="BH1434" s="720"/>
      <c r="BI1434" s="720"/>
      <c r="BJ1434" s="720"/>
      <c r="BK1434" s="720"/>
      <c r="BL1434" s="720"/>
      <c r="BM1434" s="720"/>
      <c r="BN1434" s="720"/>
      <c r="BO1434" s="720"/>
      <c r="BP1434" s="720"/>
      <c r="BQ1434" s="720"/>
      <c r="BR1434" s="720"/>
      <c r="BS1434" s="720"/>
      <c r="BT1434" s="720"/>
      <c r="BU1434" s="720"/>
      <c r="BV1434" s="720"/>
      <c r="BW1434" s="720"/>
      <c r="BX1434" s="720"/>
      <c r="BY1434" s="720"/>
      <c r="BZ1434" s="720"/>
      <c r="CA1434" s="720"/>
    </row>
    <row r="1435" spans="1:79" s="451" customFormat="1" hidden="1" outlineLevel="1" x14ac:dyDescent="0.25">
      <c r="A1435" s="656"/>
      <c r="B1435" s="503"/>
      <c r="C1435" s="503"/>
      <c r="D1435" s="503"/>
      <c r="E1435" s="570" t="s">
        <v>1076</v>
      </c>
      <c r="F1435" s="656" t="s">
        <v>872</v>
      </c>
      <c r="G1435" s="718"/>
      <c r="H1435" s="718"/>
      <c r="I1435" s="718"/>
      <c r="J1435" s="718"/>
      <c r="K1435" s="718"/>
      <c r="L1435" s="718"/>
      <c r="M1435" s="718"/>
      <c r="N1435" s="718"/>
      <c r="O1435" s="718"/>
      <c r="P1435" s="718"/>
      <c r="Q1435" s="718"/>
      <c r="R1435" s="717"/>
      <c r="S1435" s="671"/>
      <c r="T1435" s="671"/>
      <c r="U1435" s="671"/>
      <c r="V1435" s="671"/>
      <c r="W1435" s="671"/>
      <c r="X1435" s="671"/>
      <c r="Y1435" s="671"/>
      <c r="Z1435" s="671"/>
      <c r="AA1435" s="671"/>
      <c r="AB1435" s="671"/>
      <c r="AC1435" s="670"/>
      <c r="AD1435" s="670"/>
      <c r="AE1435" s="671">
        <v>0</v>
      </c>
      <c r="AF1435" s="719">
        <v>0</v>
      </c>
      <c r="AG1435" s="669">
        <v>0</v>
      </c>
      <c r="AH1435" s="720"/>
      <c r="AI1435" s="720"/>
      <c r="AJ1435" s="720"/>
      <c r="AK1435" s="720"/>
      <c r="AL1435" s="720"/>
      <c r="AM1435" s="720"/>
      <c r="AN1435" s="720"/>
      <c r="AO1435" s="720"/>
      <c r="AP1435" s="720"/>
      <c r="AQ1435" s="720"/>
      <c r="AR1435" s="720"/>
      <c r="AS1435" s="720"/>
      <c r="AT1435" s="720"/>
      <c r="AU1435" s="720"/>
      <c r="AV1435" s="720"/>
      <c r="AW1435" s="720"/>
      <c r="AX1435" s="720"/>
      <c r="AY1435" s="720"/>
      <c r="AZ1435" s="720"/>
      <c r="BA1435" s="720"/>
      <c r="BB1435" s="720"/>
      <c r="BC1435" s="720"/>
      <c r="BD1435" s="720"/>
      <c r="BE1435" s="720"/>
      <c r="BF1435" s="720"/>
      <c r="BG1435" s="720"/>
      <c r="BH1435" s="720"/>
      <c r="BI1435" s="720"/>
      <c r="BJ1435" s="720"/>
      <c r="BK1435" s="720"/>
      <c r="BL1435" s="720"/>
      <c r="BM1435" s="720"/>
      <c r="BN1435" s="720"/>
      <c r="BO1435" s="720"/>
      <c r="BP1435" s="720"/>
      <c r="BQ1435" s="720"/>
      <c r="BR1435" s="720"/>
      <c r="BS1435" s="720"/>
      <c r="BT1435" s="720"/>
      <c r="BU1435" s="720"/>
      <c r="BV1435" s="720"/>
      <c r="BW1435" s="720"/>
      <c r="BX1435" s="720"/>
      <c r="BY1435" s="720"/>
      <c r="BZ1435" s="720"/>
      <c r="CA1435" s="720"/>
    </row>
    <row r="1436" spans="1:79" s="451" customFormat="1" hidden="1" outlineLevel="1" x14ac:dyDescent="0.25">
      <c r="A1436" s="656"/>
      <c r="B1436" s="503"/>
      <c r="C1436" s="503"/>
      <c r="D1436" s="503"/>
      <c r="E1436" s="570" t="s">
        <v>1331</v>
      </c>
      <c r="F1436" s="656" t="s">
        <v>873</v>
      </c>
      <c r="G1436" s="718"/>
      <c r="H1436" s="718"/>
      <c r="I1436" s="718"/>
      <c r="J1436" s="718"/>
      <c r="K1436" s="718"/>
      <c r="L1436" s="718"/>
      <c r="M1436" s="718"/>
      <c r="N1436" s="718"/>
      <c r="O1436" s="718"/>
      <c r="P1436" s="718"/>
      <c r="Q1436" s="718"/>
      <c r="R1436" s="717"/>
      <c r="S1436" s="671"/>
      <c r="T1436" s="671"/>
      <c r="U1436" s="671"/>
      <c r="V1436" s="671"/>
      <c r="W1436" s="671"/>
      <c r="X1436" s="671"/>
      <c r="Y1436" s="671"/>
      <c r="Z1436" s="671"/>
      <c r="AA1436" s="671"/>
      <c r="AB1436" s="671"/>
      <c r="AC1436" s="670"/>
      <c r="AD1436" s="670"/>
      <c r="AE1436" s="671">
        <v>0</v>
      </c>
      <c r="AF1436" s="719">
        <v>0</v>
      </c>
      <c r="AG1436" s="669">
        <v>0</v>
      </c>
      <c r="AH1436" s="720"/>
      <c r="AI1436" s="720"/>
      <c r="AJ1436" s="720"/>
      <c r="AK1436" s="720"/>
      <c r="AL1436" s="720"/>
      <c r="AM1436" s="720"/>
      <c r="AN1436" s="720"/>
      <c r="AO1436" s="720"/>
      <c r="AP1436" s="720"/>
      <c r="AQ1436" s="720"/>
      <c r="AR1436" s="720"/>
      <c r="AS1436" s="720"/>
      <c r="AT1436" s="720"/>
      <c r="AU1436" s="720"/>
      <c r="AV1436" s="720"/>
      <c r="AW1436" s="720"/>
      <c r="AX1436" s="720"/>
      <c r="AY1436" s="720"/>
      <c r="AZ1436" s="720"/>
      <c r="BA1436" s="720"/>
      <c r="BB1436" s="720"/>
      <c r="BC1436" s="720"/>
      <c r="BD1436" s="720"/>
      <c r="BE1436" s="720"/>
      <c r="BF1436" s="720"/>
      <c r="BG1436" s="720"/>
      <c r="BH1436" s="720"/>
      <c r="BI1436" s="720"/>
      <c r="BJ1436" s="720"/>
      <c r="BK1436" s="720"/>
      <c r="BL1436" s="720"/>
      <c r="BM1436" s="720"/>
      <c r="BN1436" s="720"/>
      <c r="BO1436" s="720"/>
      <c r="BP1436" s="720"/>
      <c r="BQ1436" s="720"/>
      <c r="BR1436" s="720"/>
      <c r="BS1436" s="720"/>
      <c r="BT1436" s="720"/>
      <c r="BU1436" s="720"/>
      <c r="BV1436" s="720"/>
      <c r="BW1436" s="720"/>
      <c r="BX1436" s="720"/>
      <c r="BY1436" s="720"/>
      <c r="BZ1436" s="720"/>
      <c r="CA1436" s="720"/>
    </row>
    <row r="1437" spans="1:79" s="451" customFormat="1" hidden="1" outlineLevel="1" x14ac:dyDescent="0.25">
      <c r="A1437" s="656"/>
      <c r="B1437" s="576"/>
      <c r="C1437" s="576"/>
      <c r="D1437" s="576"/>
      <c r="E1437" s="570" t="s">
        <v>1357</v>
      </c>
      <c r="F1437" s="656" t="s">
        <v>605</v>
      </c>
      <c r="G1437" s="723"/>
      <c r="H1437" s="723"/>
      <c r="I1437" s="723"/>
      <c r="J1437" s="723"/>
      <c r="K1437" s="723"/>
      <c r="L1437" s="723"/>
      <c r="M1437" s="723"/>
      <c r="N1437" s="723"/>
      <c r="O1437" s="723"/>
      <c r="P1437" s="718"/>
      <c r="Q1437" s="718"/>
      <c r="R1437" s="717"/>
      <c r="S1437" s="667"/>
      <c r="T1437" s="667"/>
      <c r="U1437" s="667"/>
      <c r="V1437" s="667"/>
      <c r="W1437" s="667"/>
      <c r="X1437" s="667"/>
      <c r="Y1437" s="667"/>
      <c r="Z1437" s="667"/>
      <c r="AA1437" s="667"/>
      <c r="AB1437" s="667"/>
      <c r="AC1437" s="674"/>
      <c r="AD1437" s="674"/>
      <c r="AE1437" s="667">
        <v>0</v>
      </c>
      <c r="AF1437" s="719">
        <v>0</v>
      </c>
      <c r="AG1437" s="673">
        <v>99.99</v>
      </c>
      <c r="AH1437" s="720"/>
      <c r="AI1437" s="720"/>
      <c r="AJ1437" s="720"/>
      <c r="AK1437" s="720"/>
      <c r="AL1437" s="720"/>
      <c r="AM1437" s="720"/>
      <c r="AN1437" s="720"/>
      <c r="AO1437" s="720"/>
      <c r="AP1437" s="720"/>
      <c r="AQ1437" s="720"/>
      <c r="AR1437" s="720"/>
      <c r="AS1437" s="720"/>
      <c r="AT1437" s="720"/>
      <c r="AU1437" s="720"/>
      <c r="AV1437" s="720"/>
      <c r="AW1437" s="720"/>
      <c r="AX1437" s="720"/>
      <c r="AY1437" s="720"/>
      <c r="AZ1437" s="720"/>
      <c r="BA1437" s="720"/>
      <c r="BB1437" s="720"/>
      <c r="BC1437" s="720"/>
      <c r="BD1437" s="720"/>
      <c r="BE1437" s="720"/>
      <c r="BF1437" s="720"/>
      <c r="BG1437" s="720"/>
      <c r="BH1437" s="720"/>
      <c r="BI1437" s="720"/>
      <c r="BJ1437" s="720"/>
      <c r="BK1437" s="720"/>
      <c r="BL1437" s="720"/>
      <c r="BM1437" s="720"/>
      <c r="BN1437" s="720"/>
      <c r="BO1437" s="720"/>
      <c r="BP1437" s="720"/>
      <c r="BQ1437" s="720"/>
      <c r="BR1437" s="720"/>
      <c r="BS1437" s="720"/>
      <c r="BT1437" s="720"/>
      <c r="BU1437" s="720"/>
      <c r="BV1437" s="720"/>
      <c r="BW1437" s="720"/>
      <c r="BX1437" s="720"/>
      <c r="BY1437" s="720"/>
      <c r="BZ1437" s="720"/>
      <c r="CA1437" s="720"/>
    </row>
    <row r="1438" spans="1:79" s="308" customFormat="1" hidden="1" outlineLevel="1" x14ac:dyDescent="0.25">
      <c r="A1438" s="656"/>
      <c r="B1438" s="576"/>
      <c r="C1438" s="576"/>
      <c r="D1438" s="576"/>
      <c r="E1438" s="570" t="s">
        <v>645</v>
      </c>
      <c r="F1438" s="656" t="s">
        <v>606</v>
      </c>
      <c r="G1438" s="723"/>
      <c r="H1438" s="723"/>
      <c r="I1438" s="723"/>
      <c r="J1438" s="723"/>
      <c r="K1438" s="723"/>
      <c r="L1438" s="723"/>
      <c r="M1438" s="723"/>
      <c r="N1438" s="723"/>
      <c r="O1438" s="723"/>
      <c r="P1438" s="718"/>
      <c r="Q1438" s="718"/>
      <c r="R1438" s="717"/>
      <c r="S1438" s="667"/>
      <c r="T1438" s="667"/>
      <c r="U1438" s="667"/>
      <c r="V1438" s="667"/>
      <c r="W1438" s="667"/>
      <c r="X1438" s="667"/>
      <c r="Y1438" s="667"/>
      <c r="Z1438" s="667"/>
      <c r="AA1438" s="667"/>
      <c r="AB1438" s="667"/>
      <c r="AC1438" s="674"/>
      <c r="AD1438" s="674"/>
      <c r="AE1438" s="667">
        <v>0</v>
      </c>
      <c r="AF1438" s="719">
        <v>219</v>
      </c>
      <c r="AG1438" s="673">
        <v>1500</v>
      </c>
      <c r="AH1438" s="720"/>
      <c r="AI1438" s="720"/>
      <c r="AJ1438" s="720"/>
      <c r="AK1438" s="720"/>
      <c r="AL1438" s="720"/>
      <c r="AM1438" s="720"/>
      <c r="AN1438" s="720"/>
      <c r="AO1438" s="720"/>
      <c r="AP1438" s="720"/>
      <c r="AQ1438" s="720"/>
      <c r="AR1438" s="720"/>
      <c r="AS1438" s="720"/>
      <c r="AT1438" s="720"/>
      <c r="AU1438" s="720"/>
      <c r="AV1438" s="720"/>
      <c r="AW1438" s="720"/>
      <c r="AX1438" s="720"/>
      <c r="AY1438" s="720"/>
      <c r="AZ1438" s="720"/>
      <c r="BA1438" s="720"/>
      <c r="BB1438" s="720"/>
      <c r="BC1438" s="720"/>
      <c r="BD1438" s="720"/>
      <c r="BE1438" s="720"/>
      <c r="BF1438" s="720"/>
      <c r="BG1438" s="720"/>
      <c r="BH1438" s="720"/>
      <c r="BI1438" s="720"/>
      <c r="BJ1438" s="720"/>
      <c r="BK1438" s="720"/>
      <c r="BL1438" s="720"/>
      <c r="BM1438" s="720"/>
      <c r="BN1438" s="720"/>
      <c r="BO1438" s="720"/>
      <c r="BP1438" s="720"/>
      <c r="BQ1438" s="720"/>
      <c r="BR1438" s="720"/>
      <c r="BS1438" s="720"/>
      <c r="BT1438" s="720"/>
      <c r="BU1438" s="720"/>
      <c r="BV1438" s="720"/>
      <c r="BW1438" s="720"/>
      <c r="BX1438" s="720"/>
      <c r="BY1438" s="720"/>
      <c r="BZ1438" s="720"/>
      <c r="CA1438" s="720"/>
    </row>
    <row r="1439" spans="1:79" hidden="1" outlineLevel="1" x14ac:dyDescent="0.25">
      <c r="A1439" s="656"/>
      <c r="B1439" s="576"/>
      <c r="C1439" s="576"/>
      <c r="D1439" s="576"/>
      <c r="E1439" s="570" t="s">
        <v>1330</v>
      </c>
      <c r="F1439" s="656" t="s">
        <v>607</v>
      </c>
      <c r="G1439" s="723"/>
      <c r="H1439" s="723"/>
      <c r="I1439" s="723"/>
      <c r="J1439" s="723"/>
      <c r="K1439" s="723"/>
      <c r="L1439" s="723"/>
      <c r="M1439" s="723"/>
      <c r="N1439" s="723"/>
      <c r="O1439" s="723"/>
      <c r="P1439" s="718"/>
      <c r="Q1439" s="718"/>
      <c r="R1439" s="717"/>
      <c r="S1439" s="667"/>
      <c r="T1439" s="667"/>
      <c r="U1439" s="667"/>
      <c r="V1439" s="667"/>
      <c r="W1439" s="667"/>
      <c r="X1439" s="667"/>
      <c r="Y1439" s="667"/>
      <c r="Z1439" s="667"/>
      <c r="AA1439" s="667"/>
      <c r="AB1439" s="667"/>
      <c r="AC1439" s="674"/>
      <c r="AD1439" s="674"/>
      <c r="AE1439" s="667">
        <v>0</v>
      </c>
      <c r="AF1439" s="719">
        <v>0</v>
      </c>
      <c r="AG1439" s="673">
        <v>0</v>
      </c>
      <c r="AH1439" s="720"/>
      <c r="AI1439" s="720"/>
      <c r="AJ1439" s="720"/>
      <c r="AK1439" s="720"/>
      <c r="AL1439" s="720"/>
      <c r="AM1439" s="720"/>
      <c r="AN1439" s="720"/>
      <c r="AO1439" s="720"/>
      <c r="AP1439" s="720"/>
      <c r="AQ1439" s="720"/>
      <c r="AR1439" s="720"/>
      <c r="AS1439" s="720"/>
      <c r="AT1439" s="720"/>
      <c r="AU1439" s="720"/>
      <c r="AV1439" s="720"/>
      <c r="AW1439" s="720"/>
      <c r="AX1439" s="720"/>
      <c r="AY1439" s="720"/>
      <c r="AZ1439" s="720"/>
      <c r="BA1439" s="720"/>
      <c r="BB1439" s="720"/>
      <c r="BC1439" s="720"/>
      <c r="BD1439" s="720"/>
      <c r="BE1439" s="720"/>
      <c r="BF1439" s="720"/>
      <c r="BG1439" s="720"/>
      <c r="BH1439" s="720"/>
      <c r="BI1439" s="720"/>
      <c r="BJ1439" s="720"/>
      <c r="BK1439" s="720"/>
      <c r="BL1439" s="720"/>
      <c r="BM1439" s="720"/>
      <c r="BN1439" s="720"/>
      <c r="BO1439" s="720"/>
      <c r="BP1439" s="720"/>
      <c r="BQ1439" s="720"/>
      <c r="BR1439" s="720"/>
      <c r="BS1439" s="720"/>
      <c r="BT1439" s="720"/>
      <c r="BU1439" s="720"/>
      <c r="BV1439" s="720"/>
      <c r="BW1439" s="720"/>
      <c r="BX1439" s="720"/>
      <c r="BY1439" s="720"/>
      <c r="BZ1439" s="720"/>
      <c r="CA1439" s="720"/>
    </row>
    <row r="1440" spans="1:79" hidden="1" outlineLevel="1" x14ac:dyDescent="0.25">
      <c r="A1440" s="656"/>
      <c r="B1440" s="576"/>
      <c r="C1440" s="576"/>
      <c r="D1440" s="576"/>
      <c r="E1440" s="570" t="s">
        <v>1330</v>
      </c>
      <c r="F1440" s="656" t="s">
        <v>874</v>
      </c>
      <c r="G1440" s="719"/>
      <c r="H1440" s="719"/>
      <c r="I1440" s="719"/>
      <c r="J1440" s="719"/>
      <c r="K1440" s="719"/>
      <c r="L1440" s="719"/>
      <c r="M1440" s="719"/>
      <c r="N1440" s="719"/>
      <c r="O1440" s="719"/>
      <c r="P1440" s="716"/>
      <c r="Q1440" s="716"/>
      <c r="R1440" s="720"/>
      <c r="S1440" s="676"/>
      <c r="T1440" s="676"/>
      <c r="U1440" s="676"/>
      <c r="V1440" s="676"/>
      <c r="W1440" s="676"/>
      <c r="X1440" s="676"/>
      <c r="Y1440" s="676"/>
      <c r="Z1440" s="676"/>
      <c r="AA1440" s="676"/>
      <c r="AB1440" s="676"/>
      <c r="AC1440" s="686"/>
      <c r="AD1440" s="686"/>
      <c r="AE1440" s="676">
        <v>0</v>
      </c>
      <c r="AF1440" s="719">
        <v>0</v>
      </c>
      <c r="AG1440" s="713">
        <v>0</v>
      </c>
      <c r="AH1440" s="720"/>
      <c r="AI1440" s="720"/>
      <c r="AJ1440" s="720"/>
      <c r="AK1440" s="720"/>
      <c r="AL1440" s="720"/>
      <c r="AM1440" s="720"/>
      <c r="AN1440" s="720"/>
      <c r="AO1440" s="720"/>
      <c r="AP1440" s="720"/>
      <c r="AQ1440" s="720"/>
      <c r="AR1440" s="720"/>
      <c r="AS1440" s="720"/>
      <c r="AT1440" s="720"/>
      <c r="AU1440" s="720"/>
      <c r="AV1440" s="720"/>
      <c r="AW1440" s="720"/>
      <c r="AX1440" s="720"/>
      <c r="AY1440" s="720"/>
      <c r="AZ1440" s="720"/>
      <c r="BA1440" s="720"/>
      <c r="BB1440" s="720"/>
      <c r="BC1440" s="720"/>
      <c r="BD1440" s="720"/>
      <c r="BE1440" s="720"/>
      <c r="BF1440" s="720"/>
      <c r="BG1440" s="720"/>
      <c r="BH1440" s="720"/>
      <c r="BI1440" s="720"/>
      <c r="BJ1440" s="720"/>
      <c r="BK1440" s="720"/>
      <c r="BL1440" s="720"/>
      <c r="BM1440" s="720"/>
      <c r="BN1440" s="720"/>
      <c r="BO1440" s="720"/>
      <c r="BP1440" s="720"/>
      <c r="BQ1440" s="720"/>
      <c r="BR1440" s="720"/>
      <c r="BS1440" s="720"/>
      <c r="BT1440" s="720"/>
      <c r="BU1440" s="720"/>
      <c r="BV1440" s="720"/>
      <c r="BW1440" s="720"/>
      <c r="BX1440" s="720"/>
      <c r="BY1440" s="720"/>
      <c r="BZ1440" s="720"/>
      <c r="CA1440" s="720"/>
    </row>
    <row r="1441" spans="1:79" hidden="1" outlineLevel="1" x14ac:dyDescent="0.25">
      <c r="A1441" s="659"/>
      <c r="B1441" s="571"/>
      <c r="C1441" s="571"/>
      <c r="D1441" s="571"/>
      <c r="E1441" s="570" t="s">
        <v>49</v>
      </c>
      <c r="F1441" s="659" t="s">
        <v>608</v>
      </c>
      <c r="G1441" s="664"/>
      <c r="H1441" s="664"/>
      <c r="I1441" s="664"/>
      <c r="J1441" s="664"/>
      <c r="K1441" s="664"/>
      <c r="L1441" s="664"/>
      <c r="M1441" s="664"/>
      <c r="N1441" s="664"/>
      <c r="O1441" s="664"/>
      <c r="P1441" s="664"/>
      <c r="Q1441" s="664"/>
      <c r="R1441" s="664"/>
      <c r="S1441" s="679"/>
      <c r="T1441" s="679"/>
      <c r="U1441" s="679"/>
      <c r="V1441" s="679"/>
      <c r="W1441" s="679"/>
      <c r="X1441" s="679"/>
      <c r="Y1441" s="679"/>
      <c r="Z1441" s="679"/>
      <c r="AA1441" s="679"/>
      <c r="AB1441" s="679"/>
      <c r="AC1441" s="679"/>
      <c r="AD1441" s="679"/>
      <c r="AE1441" s="679">
        <f>ROUND(AE1429+SUM(AE1433:AE1440),5)</f>
        <v>0</v>
      </c>
      <c r="AF1441" s="664">
        <f>ROUND(AF1429+SUM(AF1433:AF1440),5)</f>
        <v>219</v>
      </c>
      <c r="AG1441" s="679">
        <f>ROUND(AG1429+SUM(AG1433:AG1440),5)</f>
        <v>1599.99</v>
      </c>
      <c r="AH1441" s="664">
        <f t="shared" ref="AH1441:BO1441" si="604">SUM(AH1434:AH1440)</f>
        <v>0</v>
      </c>
      <c r="AI1441" s="664">
        <f t="shared" si="604"/>
        <v>0</v>
      </c>
      <c r="AJ1441" s="664">
        <f t="shared" si="604"/>
        <v>0</v>
      </c>
      <c r="AK1441" s="664">
        <f t="shared" si="604"/>
        <v>0</v>
      </c>
      <c r="AL1441" s="664">
        <f t="shared" si="604"/>
        <v>0</v>
      </c>
      <c r="AM1441" s="664">
        <f t="shared" si="604"/>
        <v>0</v>
      </c>
      <c r="AN1441" s="664">
        <f t="shared" si="604"/>
        <v>0</v>
      </c>
      <c r="AO1441" s="664">
        <f t="shared" si="604"/>
        <v>0</v>
      </c>
      <c r="AP1441" s="664">
        <f t="shared" si="604"/>
        <v>0</v>
      </c>
      <c r="AQ1441" s="664">
        <f t="shared" si="604"/>
        <v>0</v>
      </c>
      <c r="AR1441" s="664">
        <f t="shared" si="604"/>
        <v>0</v>
      </c>
      <c r="AS1441" s="664">
        <f t="shared" si="604"/>
        <v>0</v>
      </c>
      <c r="AT1441" s="664">
        <f t="shared" si="604"/>
        <v>0</v>
      </c>
      <c r="AU1441" s="664">
        <f t="shared" si="604"/>
        <v>0</v>
      </c>
      <c r="AV1441" s="664">
        <f t="shared" si="604"/>
        <v>0</v>
      </c>
      <c r="AW1441" s="664">
        <f t="shared" si="604"/>
        <v>0</v>
      </c>
      <c r="AX1441" s="664">
        <f t="shared" si="604"/>
        <v>0</v>
      </c>
      <c r="AY1441" s="664">
        <f t="shared" si="604"/>
        <v>0</v>
      </c>
      <c r="AZ1441" s="664">
        <f t="shared" si="604"/>
        <v>0</v>
      </c>
      <c r="BA1441" s="664">
        <f t="shared" si="604"/>
        <v>0</v>
      </c>
      <c r="BB1441" s="664">
        <f t="shared" si="604"/>
        <v>0</v>
      </c>
      <c r="BC1441" s="664">
        <f t="shared" si="604"/>
        <v>0</v>
      </c>
      <c r="BD1441" s="664">
        <f t="shared" si="604"/>
        <v>0</v>
      </c>
      <c r="BE1441" s="664">
        <f t="shared" si="604"/>
        <v>0</v>
      </c>
      <c r="BF1441" s="664">
        <f t="shared" si="604"/>
        <v>0</v>
      </c>
      <c r="BG1441" s="664">
        <f t="shared" si="604"/>
        <v>0</v>
      </c>
      <c r="BH1441" s="664">
        <f t="shared" si="604"/>
        <v>0</v>
      </c>
      <c r="BI1441" s="664">
        <f t="shared" si="604"/>
        <v>0</v>
      </c>
      <c r="BJ1441" s="664">
        <f t="shared" si="604"/>
        <v>0</v>
      </c>
      <c r="BK1441" s="664">
        <f t="shared" si="604"/>
        <v>0</v>
      </c>
      <c r="BL1441" s="664">
        <f t="shared" si="604"/>
        <v>0</v>
      </c>
      <c r="BM1441" s="664">
        <f t="shared" si="604"/>
        <v>0</v>
      </c>
      <c r="BN1441" s="664">
        <f t="shared" si="604"/>
        <v>0</v>
      </c>
      <c r="BO1441" s="664">
        <f t="shared" si="604"/>
        <v>0</v>
      </c>
      <c r="BP1441" s="664">
        <f t="shared" ref="BP1441:CA1441" si="605">SUM(BP1434:BP1440)</f>
        <v>0</v>
      </c>
      <c r="BQ1441" s="664">
        <f t="shared" si="605"/>
        <v>0</v>
      </c>
      <c r="BR1441" s="664">
        <f t="shared" si="605"/>
        <v>0</v>
      </c>
      <c r="BS1441" s="664">
        <f t="shared" si="605"/>
        <v>0</v>
      </c>
      <c r="BT1441" s="664">
        <f t="shared" si="605"/>
        <v>0</v>
      </c>
      <c r="BU1441" s="664">
        <f t="shared" si="605"/>
        <v>0</v>
      </c>
      <c r="BV1441" s="664">
        <f t="shared" si="605"/>
        <v>0</v>
      </c>
      <c r="BW1441" s="664">
        <f t="shared" si="605"/>
        <v>0</v>
      </c>
      <c r="BX1441" s="664">
        <f t="shared" si="605"/>
        <v>0</v>
      </c>
      <c r="BY1441" s="664">
        <f t="shared" si="605"/>
        <v>0</v>
      </c>
      <c r="BZ1441" s="664">
        <f t="shared" si="605"/>
        <v>0</v>
      </c>
      <c r="CA1441" s="664">
        <f t="shared" si="605"/>
        <v>0</v>
      </c>
    </row>
    <row r="1442" spans="1:79" hidden="1" outlineLevel="1" x14ac:dyDescent="0.25">
      <c r="A1442" s="655"/>
      <c r="B1442" s="571"/>
      <c r="C1442" s="571"/>
      <c r="D1442" s="571"/>
      <c r="E1442" s="570" t="s">
        <v>1325</v>
      </c>
      <c r="F1442" s="655" t="s">
        <v>875</v>
      </c>
      <c r="G1442" s="664"/>
      <c r="H1442" s="664"/>
      <c r="I1442" s="664"/>
      <c r="J1442" s="664"/>
      <c r="K1442" s="664"/>
      <c r="L1442" s="664"/>
      <c r="M1442" s="664"/>
      <c r="N1442" s="664"/>
      <c r="O1442" s="664"/>
      <c r="P1442" s="664"/>
      <c r="Q1442" s="664"/>
      <c r="R1442" s="664"/>
      <c r="S1442" s="684"/>
      <c r="T1442" s="684"/>
      <c r="U1442" s="684"/>
      <c r="V1442" s="684"/>
      <c r="W1442" s="684"/>
      <c r="X1442" s="684"/>
      <c r="Y1442" s="684"/>
      <c r="Z1442" s="684"/>
      <c r="AA1442" s="684"/>
      <c r="AB1442" s="684"/>
      <c r="AC1442" s="682"/>
      <c r="AD1442" s="682"/>
      <c r="AE1442" s="684">
        <v>0</v>
      </c>
      <c r="AF1442" s="719">
        <v>0</v>
      </c>
      <c r="AG1442" s="681">
        <v>0</v>
      </c>
      <c r="AH1442" s="664"/>
      <c r="AI1442" s="664"/>
      <c r="AJ1442" s="664"/>
      <c r="AK1442" s="664"/>
      <c r="AL1442" s="664"/>
      <c r="AM1442" s="664"/>
      <c r="AN1442" s="664"/>
      <c r="AO1442" s="664"/>
      <c r="AP1442" s="664"/>
      <c r="AQ1442" s="664"/>
      <c r="AR1442" s="664"/>
      <c r="AS1442" s="664"/>
      <c r="AT1442" s="664"/>
      <c r="AU1442" s="664"/>
      <c r="AV1442" s="664"/>
      <c r="AW1442" s="664"/>
      <c r="AX1442" s="664"/>
      <c r="AY1442" s="664"/>
      <c r="AZ1442" s="664"/>
      <c r="BA1442" s="664"/>
      <c r="BB1442" s="664"/>
      <c r="BC1442" s="664"/>
      <c r="BD1442" s="664"/>
      <c r="BE1442" s="664"/>
      <c r="BF1442" s="664"/>
      <c r="BG1442" s="664"/>
      <c r="BH1442" s="664"/>
      <c r="BI1442" s="664"/>
      <c r="BJ1442" s="664"/>
      <c r="BK1442" s="664"/>
      <c r="BL1442" s="664"/>
      <c r="BM1442" s="664"/>
      <c r="BN1442" s="664"/>
      <c r="BO1442" s="664"/>
      <c r="BP1442" s="664"/>
      <c r="BQ1442" s="664"/>
      <c r="BR1442" s="664"/>
      <c r="BS1442" s="664"/>
      <c r="BT1442" s="664"/>
      <c r="BU1442" s="664"/>
      <c r="BV1442" s="664"/>
      <c r="BW1442" s="664"/>
      <c r="BX1442" s="664"/>
      <c r="BY1442" s="664"/>
      <c r="BZ1442" s="664"/>
      <c r="CA1442" s="664"/>
    </row>
    <row r="1443" spans="1:79" s="308" customFormat="1" hidden="1" outlineLevel="1" x14ac:dyDescent="0.25">
      <c r="A1443" s="658"/>
      <c r="B1443" s="571"/>
      <c r="C1443" s="571"/>
      <c r="D1443" s="571"/>
      <c r="E1443" s="570" t="s">
        <v>1326</v>
      </c>
      <c r="F1443" s="658" t="s">
        <v>591</v>
      </c>
      <c r="G1443" s="719"/>
      <c r="H1443" s="719"/>
      <c r="I1443" s="719"/>
      <c r="J1443" s="719"/>
      <c r="K1443" s="719"/>
      <c r="L1443" s="719"/>
      <c r="M1443" s="719"/>
      <c r="N1443" s="719"/>
      <c r="O1443" s="719"/>
      <c r="P1443" s="716"/>
      <c r="Q1443" s="716"/>
      <c r="R1443" s="720"/>
      <c r="S1443" s="667"/>
      <c r="T1443" s="667"/>
      <c r="U1443" s="667"/>
      <c r="V1443" s="667"/>
      <c r="W1443" s="667"/>
      <c r="X1443" s="667"/>
      <c r="Y1443" s="667"/>
      <c r="Z1443" s="667"/>
      <c r="AA1443" s="667"/>
      <c r="AB1443" s="667"/>
      <c r="AC1443" s="686"/>
      <c r="AD1443" s="686"/>
      <c r="AE1443" s="667">
        <v>0</v>
      </c>
      <c r="AF1443" s="719">
        <v>0</v>
      </c>
      <c r="AG1443" s="665">
        <v>0</v>
      </c>
      <c r="AH1443" s="720"/>
      <c r="AI1443" s="720"/>
      <c r="AJ1443" s="720"/>
      <c r="AK1443" s="720"/>
      <c r="AL1443" s="720"/>
      <c r="AM1443" s="720"/>
      <c r="AN1443" s="720"/>
      <c r="AO1443" s="720"/>
      <c r="AP1443" s="720"/>
      <c r="AQ1443" s="720"/>
      <c r="AR1443" s="720"/>
      <c r="AS1443" s="720"/>
      <c r="AT1443" s="720"/>
      <c r="AU1443" s="720"/>
      <c r="AV1443" s="720"/>
      <c r="AW1443" s="720"/>
      <c r="AX1443" s="720"/>
      <c r="AY1443" s="720"/>
      <c r="AZ1443" s="720"/>
      <c r="BA1443" s="720"/>
      <c r="BB1443" s="720"/>
      <c r="BC1443" s="720"/>
      <c r="BD1443" s="720"/>
      <c r="BE1443" s="720"/>
      <c r="BF1443" s="720"/>
      <c r="BG1443" s="720"/>
      <c r="BH1443" s="720"/>
      <c r="BI1443" s="720"/>
      <c r="BJ1443" s="720"/>
      <c r="BK1443" s="720"/>
      <c r="BL1443" s="720"/>
      <c r="BM1443" s="720"/>
      <c r="BN1443" s="720"/>
      <c r="BO1443" s="720"/>
      <c r="BP1443" s="720"/>
      <c r="BQ1443" s="720"/>
      <c r="BR1443" s="720"/>
      <c r="BS1443" s="720"/>
      <c r="BT1443" s="720"/>
      <c r="BU1443" s="720"/>
      <c r="BV1443" s="720"/>
      <c r="BW1443" s="720"/>
      <c r="BX1443" s="720"/>
      <c r="BY1443" s="720"/>
      <c r="BZ1443" s="720"/>
      <c r="CA1443" s="720"/>
    </row>
    <row r="1444" spans="1:79" s="451" customFormat="1" hidden="1" outlineLevel="1" x14ac:dyDescent="0.25">
      <c r="A1444" s="658"/>
      <c r="B1444" s="570"/>
      <c r="C1444" s="570"/>
      <c r="D1444" s="570"/>
      <c r="E1444" s="570" t="s">
        <v>1332</v>
      </c>
      <c r="F1444" s="658" t="s">
        <v>592</v>
      </c>
      <c r="G1444" s="719"/>
      <c r="H1444" s="719"/>
      <c r="I1444" s="719"/>
      <c r="J1444" s="719"/>
      <c r="K1444" s="719"/>
      <c r="L1444" s="719"/>
      <c r="M1444" s="719"/>
      <c r="N1444" s="719"/>
      <c r="O1444" s="719"/>
      <c r="P1444" s="716"/>
      <c r="Q1444" s="716"/>
      <c r="R1444" s="720"/>
      <c r="S1444" s="667"/>
      <c r="T1444" s="667"/>
      <c r="U1444" s="667"/>
      <c r="V1444" s="667"/>
      <c r="W1444" s="667"/>
      <c r="X1444" s="667"/>
      <c r="Y1444" s="667"/>
      <c r="Z1444" s="667"/>
      <c r="AA1444" s="667"/>
      <c r="AB1444" s="667"/>
      <c r="AC1444" s="686"/>
      <c r="AD1444" s="686"/>
      <c r="AE1444" s="667">
        <v>0</v>
      </c>
      <c r="AF1444" s="719">
        <v>45</v>
      </c>
      <c r="AG1444" s="665">
        <v>0</v>
      </c>
      <c r="AH1444" s="720"/>
      <c r="AI1444" s="720"/>
      <c r="AJ1444" s="720"/>
      <c r="AK1444" s="720"/>
      <c r="AL1444" s="720"/>
      <c r="AM1444" s="720"/>
      <c r="AN1444" s="720"/>
      <c r="AO1444" s="720"/>
      <c r="AP1444" s="720"/>
      <c r="AQ1444" s="720"/>
      <c r="AR1444" s="720"/>
      <c r="AS1444" s="720"/>
      <c r="AT1444" s="720"/>
      <c r="AU1444" s="720"/>
      <c r="AV1444" s="720"/>
      <c r="AW1444" s="720"/>
      <c r="AX1444" s="720"/>
      <c r="AY1444" s="720"/>
      <c r="AZ1444" s="720"/>
      <c r="BA1444" s="720"/>
      <c r="BB1444" s="720"/>
      <c r="BC1444" s="720"/>
      <c r="BD1444" s="720"/>
      <c r="BE1444" s="720"/>
      <c r="BF1444" s="720"/>
      <c r="BG1444" s="720"/>
      <c r="BH1444" s="720"/>
      <c r="BI1444" s="720"/>
      <c r="BJ1444" s="720"/>
      <c r="BK1444" s="720"/>
      <c r="BL1444" s="720"/>
      <c r="BM1444" s="720"/>
      <c r="BN1444" s="720"/>
      <c r="BO1444" s="720"/>
      <c r="BP1444" s="720"/>
      <c r="BQ1444" s="720"/>
      <c r="BR1444" s="720"/>
      <c r="BS1444" s="720"/>
      <c r="BT1444" s="720"/>
      <c r="BU1444" s="720"/>
      <c r="BV1444" s="720"/>
      <c r="BW1444" s="720"/>
      <c r="BX1444" s="720"/>
      <c r="BY1444" s="720"/>
      <c r="BZ1444" s="720"/>
      <c r="CA1444" s="720"/>
    </row>
    <row r="1445" spans="1:79" s="451" customFormat="1" hidden="1" outlineLevel="1" x14ac:dyDescent="0.25">
      <c r="A1445" s="655"/>
      <c r="B1445" s="570"/>
      <c r="C1445" s="570"/>
      <c r="D1445" s="570"/>
      <c r="E1445" s="570" t="s">
        <v>1333</v>
      </c>
      <c r="F1445" s="655" t="s">
        <v>876</v>
      </c>
      <c r="G1445" s="719"/>
      <c r="H1445" s="719"/>
      <c r="I1445" s="719"/>
      <c r="J1445" s="719"/>
      <c r="K1445" s="719"/>
      <c r="L1445" s="719"/>
      <c r="M1445" s="719"/>
      <c r="N1445" s="719"/>
      <c r="O1445" s="719"/>
      <c r="P1445" s="716"/>
      <c r="Q1445" s="716"/>
      <c r="R1445" s="720"/>
      <c r="S1445" s="667"/>
      <c r="T1445" s="667"/>
      <c r="U1445" s="667"/>
      <c r="V1445" s="667"/>
      <c r="W1445" s="667"/>
      <c r="X1445" s="667"/>
      <c r="Y1445" s="667"/>
      <c r="Z1445" s="667"/>
      <c r="AA1445" s="667"/>
      <c r="AB1445" s="667"/>
      <c r="AC1445" s="686"/>
      <c r="AD1445" s="686"/>
      <c r="AE1445" s="667">
        <v>0</v>
      </c>
      <c r="AF1445" s="719">
        <v>0</v>
      </c>
      <c r="AG1445" s="665">
        <v>0</v>
      </c>
      <c r="AH1445" s="720"/>
      <c r="AI1445" s="720"/>
      <c r="AJ1445" s="720"/>
      <c r="AK1445" s="720"/>
      <c r="AL1445" s="720"/>
      <c r="AM1445" s="720"/>
      <c r="AN1445" s="720"/>
      <c r="AO1445" s="720"/>
      <c r="AP1445" s="720"/>
      <c r="AQ1445" s="720"/>
      <c r="AR1445" s="720"/>
      <c r="AS1445" s="720"/>
      <c r="AT1445" s="720"/>
      <c r="AU1445" s="720"/>
      <c r="AV1445" s="720"/>
      <c r="AW1445" s="720"/>
      <c r="AX1445" s="720"/>
      <c r="AY1445" s="720"/>
      <c r="AZ1445" s="720"/>
      <c r="BA1445" s="720"/>
      <c r="BB1445" s="720"/>
      <c r="BC1445" s="720"/>
      <c r="BD1445" s="720"/>
      <c r="BE1445" s="720"/>
      <c r="BF1445" s="720"/>
      <c r="BG1445" s="720"/>
      <c r="BH1445" s="720"/>
      <c r="BI1445" s="720"/>
      <c r="BJ1445" s="720"/>
      <c r="BK1445" s="720"/>
      <c r="BL1445" s="720"/>
      <c r="BM1445" s="720"/>
      <c r="BN1445" s="720"/>
      <c r="BO1445" s="720"/>
      <c r="BP1445" s="720"/>
      <c r="BQ1445" s="720"/>
      <c r="BR1445" s="720"/>
      <c r="BS1445" s="720"/>
      <c r="BT1445" s="720"/>
      <c r="BU1445" s="720"/>
      <c r="BV1445" s="720"/>
      <c r="BW1445" s="720"/>
      <c r="BX1445" s="720"/>
      <c r="BY1445" s="720"/>
      <c r="BZ1445" s="720"/>
      <c r="CA1445" s="720"/>
    </row>
    <row r="1446" spans="1:79" s="710" customFormat="1" hidden="1" outlineLevel="1" x14ac:dyDescent="0.25">
      <c r="A1446" s="701"/>
      <c r="B1446" s="700"/>
      <c r="C1446" s="700"/>
      <c r="D1446" s="700"/>
      <c r="E1446" s="570" t="s">
        <v>657</v>
      </c>
      <c r="F1446" s="701" t="s">
        <v>761</v>
      </c>
      <c r="G1446" s="765"/>
      <c r="H1446" s="765"/>
      <c r="I1446" s="765"/>
      <c r="J1446" s="765"/>
      <c r="K1446" s="765"/>
      <c r="L1446" s="765"/>
      <c r="M1446" s="765"/>
      <c r="N1446" s="765"/>
      <c r="O1446" s="765"/>
      <c r="P1446" s="736"/>
      <c r="Q1446" s="736"/>
      <c r="R1446" s="762"/>
      <c r="S1446" s="704"/>
      <c r="T1446" s="704"/>
      <c r="U1446" s="704"/>
      <c r="V1446" s="704"/>
      <c r="W1446" s="704"/>
      <c r="X1446" s="704"/>
      <c r="Y1446" s="704"/>
      <c r="Z1446" s="704"/>
      <c r="AA1446" s="704"/>
      <c r="AB1446" s="704"/>
      <c r="AC1446" s="703"/>
      <c r="AD1446" s="703"/>
      <c r="AE1446" s="704"/>
      <c r="AF1446" s="733"/>
      <c r="AG1446" s="702"/>
      <c r="AH1446" s="735"/>
      <c r="AI1446" s="735"/>
      <c r="AJ1446" s="735"/>
      <c r="AK1446" s="735"/>
      <c r="AL1446" s="735"/>
      <c r="AM1446" s="735"/>
      <c r="AN1446" s="735"/>
      <c r="AO1446" s="735"/>
      <c r="AP1446" s="735"/>
      <c r="AQ1446" s="735"/>
      <c r="AR1446" s="735"/>
      <c r="AS1446" s="735"/>
      <c r="AT1446" s="735"/>
      <c r="AU1446" s="735"/>
      <c r="AV1446" s="735"/>
      <c r="AW1446" s="735"/>
      <c r="AX1446" s="735"/>
      <c r="AY1446" s="735"/>
      <c r="AZ1446" s="735"/>
      <c r="BA1446" s="735"/>
      <c r="BB1446" s="735"/>
      <c r="BC1446" s="735"/>
      <c r="BD1446" s="735"/>
      <c r="BE1446" s="735"/>
      <c r="BF1446" s="735"/>
      <c r="BG1446" s="735"/>
      <c r="BH1446" s="735"/>
      <c r="BI1446" s="735"/>
      <c r="BJ1446" s="735"/>
      <c r="BK1446" s="735"/>
      <c r="BL1446" s="735"/>
      <c r="BM1446" s="735"/>
      <c r="BN1446" s="735"/>
      <c r="BO1446" s="735"/>
      <c r="BP1446" s="735"/>
      <c r="BQ1446" s="735"/>
      <c r="BR1446" s="735"/>
      <c r="BS1446" s="735"/>
      <c r="BT1446" s="735"/>
      <c r="BU1446" s="735"/>
      <c r="BV1446" s="735"/>
      <c r="BW1446" s="735"/>
      <c r="BX1446" s="735"/>
      <c r="BY1446" s="735"/>
      <c r="BZ1446" s="735"/>
      <c r="CA1446" s="735"/>
    </row>
    <row r="1447" spans="1:79" hidden="1" outlineLevel="1" x14ac:dyDescent="0.25">
      <c r="A1447" s="656"/>
      <c r="B1447" s="576"/>
      <c r="C1447" s="576"/>
      <c r="D1447" s="576"/>
      <c r="E1447" s="570" t="s">
        <v>20</v>
      </c>
      <c r="F1447" s="656" t="s">
        <v>877</v>
      </c>
      <c r="G1447" s="723"/>
      <c r="H1447" s="723"/>
      <c r="I1447" s="723"/>
      <c r="J1447" s="723"/>
      <c r="K1447" s="723"/>
      <c r="L1447" s="723"/>
      <c r="M1447" s="723"/>
      <c r="N1447" s="723"/>
      <c r="O1447" s="723"/>
      <c r="P1447" s="718"/>
      <c r="Q1447" s="718"/>
      <c r="R1447" s="717"/>
      <c r="S1447" s="667"/>
      <c r="T1447" s="667"/>
      <c r="U1447" s="667"/>
      <c r="V1447" s="667"/>
      <c r="W1447" s="667"/>
      <c r="X1447" s="667"/>
      <c r="Y1447" s="667"/>
      <c r="Z1447" s="667"/>
      <c r="AA1447" s="667"/>
      <c r="AB1447" s="667"/>
      <c r="AC1447" s="686"/>
      <c r="AD1447" s="686"/>
      <c r="AE1447" s="667">
        <v>0</v>
      </c>
      <c r="AF1447" s="719">
        <v>0</v>
      </c>
      <c r="AG1447" s="665">
        <v>0</v>
      </c>
      <c r="AH1447" s="720"/>
      <c r="AI1447" s="720"/>
      <c r="AJ1447" s="720"/>
      <c r="AK1447" s="720"/>
      <c r="AL1447" s="720"/>
      <c r="AM1447" s="720"/>
      <c r="AN1447" s="720"/>
      <c r="AO1447" s="720"/>
      <c r="AP1447" s="720"/>
      <c r="AQ1447" s="720"/>
      <c r="AR1447" s="720"/>
      <c r="AS1447" s="720"/>
      <c r="AT1447" s="720"/>
      <c r="AU1447" s="720"/>
      <c r="AV1447" s="720"/>
      <c r="AW1447" s="720"/>
      <c r="AX1447" s="720"/>
      <c r="AY1447" s="720"/>
      <c r="AZ1447" s="720"/>
      <c r="BA1447" s="720"/>
      <c r="BB1447" s="720"/>
      <c r="BC1447" s="720"/>
      <c r="BD1447" s="720"/>
      <c r="BE1447" s="720"/>
      <c r="BF1447" s="720"/>
      <c r="BG1447" s="720"/>
      <c r="BH1447" s="720"/>
      <c r="BI1447" s="720"/>
      <c r="BJ1447" s="720"/>
      <c r="BK1447" s="720"/>
      <c r="BL1447" s="720"/>
      <c r="BM1447" s="720"/>
      <c r="BN1447" s="720"/>
      <c r="BO1447" s="720"/>
      <c r="BP1447" s="720"/>
      <c r="BQ1447" s="720"/>
      <c r="BR1447" s="720"/>
      <c r="BS1447" s="720"/>
      <c r="BT1447" s="720"/>
      <c r="BU1447" s="720"/>
      <c r="BV1447" s="720"/>
      <c r="BW1447" s="720"/>
      <c r="BX1447" s="720"/>
      <c r="BY1447" s="720"/>
      <c r="BZ1447" s="720"/>
      <c r="CA1447" s="720"/>
    </row>
    <row r="1448" spans="1:79" hidden="1" outlineLevel="1" x14ac:dyDescent="0.25">
      <c r="A1448" s="656"/>
      <c r="B1448" s="576"/>
      <c r="C1448" s="576"/>
      <c r="D1448" s="576"/>
      <c r="E1448" s="570" t="s">
        <v>20</v>
      </c>
      <c r="F1448" s="656" t="s">
        <v>878</v>
      </c>
      <c r="G1448" s="723"/>
      <c r="H1448" s="723"/>
      <c r="I1448" s="723"/>
      <c r="J1448" s="723"/>
      <c r="K1448" s="723"/>
      <c r="L1448" s="723"/>
      <c r="M1448" s="723"/>
      <c r="N1448" s="723"/>
      <c r="O1448" s="723"/>
      <c r="P1448" s="718"/>
      <c r="Q1448" s="718"/>
      <c r="R1448" s="717"/>
      <c r="S1448" s="667"/>
      <c r="T1448" s="667"/>
      <c r="U1448" s="667"/>
      <c r="V1448" s="667"/>
      <c r="W1448" s="667"/>
      <c r="X1448" s="667"/>
      <c r="Y1448" s="667"/>
      <c r="Z1448" s="667"/>
      <c r="AA1448" s="667"/>
      <c r="AB1448" s="667"/>
      <c r="AC1448" s="686"/>
      <c r="AD1448" s="686"/>
      <c r="AE1448" s="667">
        <v>0</v>
      </c>
      <c r="AF1448" s="719">
        <v>0</v>
      </c>
      <c r="AG1448" s="665">
        <v>0</v>
      </c>
      <c r="AH1448" s="720"/>
      <c r="AI1448" s="720"/>
      <c r="AJ1448" s="720"/>
      <c r="AK1448" s="720"/>
      <c r="AL1448" s="720"/>
      <c r="AM1448" s="720"/>
      <c r="AN1448" s="720"/>
      <c r="AO1448" s="720"/>
      <c r="AP1448" s="720"/>
      <c r="AQ1448" s="720"/>
      <c r="AR1448" s="720"/>
      <c r="AS1448" s="720"/>
      <c r="AT1448" s="720"/>
      <c r="AU1448" s="720"/>
      <c r="AV1448" s="720"/>
      <c r="AW1448" s="720"/>
      <c r="AX1448" s="720"/>
      <c r="AY1448" s="720"/>
      <c r="AZ1448" s="720"/>
      <c r="BA1448" s="720"/>
      <c r="BB1448" s="720"/>
      <c r="BC1448" s="720"/>
      <c r="BD1448" s="720"/>
      <c r="BE1448" s="720"/>
      <c r="BF1448" s="720"/>
      <c r="BG1448" s="720"/>
      <c r="BH1448" s="720"/>
      <c r="BI1448" s="720"/>
      <c r="BJ1448" s="720"/>
      <c r="BK1448" s="720"/>
      <c r="BL1448" s="720"/>
      <c r="BM1448" s="720"/>
      <c r="BN1448" s="720"/>
      <c r="BO1448" s="720"/>
      <c r="BP1448" s="720"/>
      <c r="BQ1448" s="720"/>
      <c r="BR1448" s="720"/>
      <c r="BS1448" s="720"/>
      <c r="BT1448" s="720"/>
      <c r="BU1448" s="720"/>
      <c r="BV1448" s="720"/>
      <c r="BW1448" s="720"/>
      <c r="BX1448" s="720"/>
      <c r="BY1448" s="720"/>
      <c r="BZ1448" s="720"/>
      <c r="CA1448" s="720"/>
    </row>
    <row r="1449" spans="1:79" hidden="1" outlineLevel="1" x14ac:dyDescent="0.25">
      <c r="A1449" s="656"/>
      <c r="B1449" s="576"/>
      <c r="C1449" s="576"/>
      <c r="D1449" s="576"/>
      <c r="E1449" s="570" t="s">
        <v>1334</v>
      </c>
      <c r="F1449" s="656" t="s">
        <v>879</v>
      </c>
      <c r="G1449" s="723"/>
      <c r="H1449" s="723"/>
      <c r="I1449" s="723"/>
      <c r="J1449" s="723"/>
      <c r="K1449" s="723"/>
      <c r="L1449" s="723"/>
      <c r="M1449" s="723"/>
      <c r="N1449" s="723"/>
      <c r="O1449" s="723"/>
      <c r="P1449" s="718"/>
      <c r="Q1449" s="718"/>
      <c r="R1449" s="717"/>
      <c r="S1449" s="667"/>
      <c r="T1449" s="667"/>
      <c r="U1449" s="667"/>
      <c r="V1449" s="667"/>
      <c r="W1449" s="667"/>
      <c r="X1449" s="667"/>
      <c r="Y1449" s="667"/>
      <c r="Z1449" s="667"/>
      <c r="AA1449" s="667"/>
      <c r="AB1449" s="667"/>
      <c r="AC1449" s="686"/>
      <c r="AD1449" s="686"/>
      <c r="AE1449" s="667">
        <v>0</v>
      </c>
      <c r="AF1449" s="719">
        <v>0</v>
      </c>
      <c r="AG1449" s="665">
        <v>0</v>
      </c>
      <c r="AH1449" s="720"/>
      <c r="AI1449" s="720"/>
      <c r="AJ1449" s="720"/>
      <c r="AK1449" s="720"/>
      <c r="AL1449" s="720"/>
      <c r="AM1449" s="720"/>
      <c r="AN1449" s="720"/>
      <c r="AO1449" s="720"/>
      <c r="AP1449" s="720"/>
      <c r="AQ1449" s="720"/>
      <c r="AR1449" s="720"/>
      <c r="AS1449" s="720"/>
      <c r="AT1449" s="720"/>
      <c r="AU1449" s="720"/>
      <c r="AV1449" s="720"/>
      <c r="AW1449" s="720"/>
      <c r="AX1449" s="720"/>
      <c r="AY1449" s="720"/>
      <c r="AZ1449" s="720"/>
      <c r="BA1449" s="720"/>
      <c r="BB1449" s="720"/>
      <c r="BC1449" s="720"/>
      <c r="BD1449" s="720"/>
      <c r="BE1449" s="720"/>
      <c r="BF1449" s="720"/>
      <c r="BG1449" s="720"/>
      <c r="BH1449" s="720"/>
      <c r="BI1449" s="720"/>
      <c r="BJ1449" s="720"/>
      <c r="BK1449" s="720"/>
      <c r="BL1449" s="720"/>
      <c r="BM1449" s="720"/>
      <c r="BN1449" s="720"/>
      <c r="BO1449" s="720"/>
      <c r="BP1449" s="720"/>
      <c r="BQ1449" s="720"/>
      <c r="BR1449" s="720"/>
      <c r="BS1449" s="720"/>
      <c r="BT1449" s="720"/>
      <c r="BU1449" s="720"/>
      <c r="BV1449" s="720"/>
      <c r="BW1449" s="720"/>
      <c r="BX1449" s="720"/>
      <c r="BY1449" s="720"/>
      <c r="BZ1449" s="720"/>
      <c r="CA1449" s="720"/>
    </row>
    <row r="1450" spans="1:79" hidden="1" outlineLevel="1" x14ac:dyDescent="0.25">
      <c r="A1450" s="656"/>
      <c r="B1450" s="576"/>
      <c r="C1450" s="576"/>
      <c r="D1450" s="576"/>
      <c r="E1450" s="570" t="s">
        <v>1334</v>
      </c>
      <c r="F1450" s="656" t="s">
        <v>660</v>
      </c>
      <c r="G1450" s="723"/>
      <c r="H1450" s="723"/>
      <c r="I1450" s="723"/>
      <c r="J1450" s="723"/>
      <c r="K1450" s="723"/>
      <c r="L1450" s="723"/>
      <c r="M1450" s="723"/>
      <c r="N1450" s="723"/>
      <c r="O1450" s="723"/>
      <c r="P1450" s="718"/>
      <c r="Q1450" s="718"/>
      <c r="R1450" s="717"/>
      <c r="S1450" s="667"/>
      <c r="T1450" s="667"/>
      <c r="U1450" s="667"/>
      <c r="V1450" s="667"/>
      <c r="W1450" s="667"/>
      <c r="X1450" s="667"/>
      <c r="Y1450" s="667"/>
      <c r="Z1450" s="667"/>
      <c r="AA1450" s="667"/>
      <c r="AB1450" s="667"/>
      <c r="AC1450" s="686"/>
      <c r="AD1450" s="686"/>
      <c r="AE1450" s="667">
        <v>0</v>
      </c>
      <c r="AF1450" s="719">
        <v>0</v>
      </c>
      <c r="AG1450" s="665">
        <v>0</v>
      </c>
      <c r="AH1450" s="720"/>
      <c r="AI1450" s="720"/>
      <c r="AJ1450" s="720"/>
      <c r="AK1450" s="720"/>
      <c r="AL1450" s="720"/>
      <c r="AM1450" s="720"/>
      <c r="AN1450" s="720"/>
      <c r="AO1450" s="720"/>
      <c r="AP1450" s="720"/>
      <c r="AQ1450" s="720"/>
      <c r="AR1450" s="720"/>
      <c r="AS1450" s="720"/>
      <c r="AT1450" s="720"/>
      <c r="AU1450" s="720"/>
      <c r="AV1450" s="720"/>
      <c r="AW1450" s="720"/>
      <c r="AX1450" s="720"/>
      <c r="AY1450" s="720"/>
      <c r="AZ1450" s="720"/>
      <c r="BA1450" s="720"/>
      <c r="BB1450" s="720"/>
      <c r="BC1450" s="720"/>
      <c r="BD1450" s="720"/>
      <c r="BE1450" s="720"/>
      <c r="BF1450" s="720"/>
      <c r="BG1450" s="720"/>
      <c r="BH1450" s="720"/>
      <c r="BI1450" s="720"/>
      <c r="BJ1450" s="720"/>
      <c r="BK1450" s="720"/>
      <c r="BL1450" s="720"/>
      <c r="BM1450" s="720"/>
      <c r="BN1450" s="720"/>
      <c r="BO1450" s="720"/>
      <c r="BP1450" s="720"/>
      <c r="BQ1450" s="720"/>
      <c r="BR1450" s="720"/>
      <c r="BS1450" s="720"/>
      <c r="BT1450" s="720"/>
      <c r="BU1450" s="720"/>
      <c r="BV1450" s="720"/>
      <c r="BW1450" s="720"/>
      <c r="BX1450" s="720"/>
      <c r="BY1450" s="720"/>
      <c r="BZ1450" s="720"/>
      <c r="CA1450" s="720"/>
    </row>
    <row r="1451" spans="1:79" s="740" customFormat="1" hidden="1" outlineLevel="1" x14ac:dyDescent="0.25">
      <c r="A1451" s="656"/>
      <c r="B1451" s="576"/>
      <c r="C1451" s="576"/>
      <c r="D1451" s="576"/>
      <c r="E1451" s="570" t="s">
        <v>20</v>
      </c>
      <c r="F1451" s="656" t="s">
        <v>661</v>
      </c>
      <c r="G1451" s="723"/>
      <c r="H1451" s="723"/>
      <c r="I1451" s="723"/>
      <c r="J1451" s="723"/>
      <c r="K1451" s="723"/>
      <c r="L1451" s="723"/>
      <c r="M1451" s="723"/>
      <c r="N1451" s="723"/>
      <c r="O1451" s="723"/>
      <c r="P1451" s="718"/>
      <c r="Q1451" s="718"/>
      <c r="R1451" s="717"/>
      <c r="S1451" s="667"/>
      <c r="T1451" s="667"/>
      <c r="U1451" s="667"/>
      <c r="V1451" s="667"/>
      <c r="W1451" s="667"/>
      <c r="X1451" s="667"/>
      <c r="Y1451" s="667"/>
      <c r="Z1451" s="667"/>
      <c r="AA1451" s="667"/>
      <c r="AB1451" s="667"/>
      <c r="AC1451" s="686"/>
      <c r="AD1451" s="686"/>
      <c r="AE1451" s="667">
        <v>0</v>
      </c>
      <c r="AF1451" s="719">
        <v>0</v>
      </c>
      <c r="AG1451" s="665">
        <v>0</v>
      </c>
      <c r="AH1451" s="720"/>
      <c r="AI1451" s="720"/>
      <c r="AJ1451" s="720"/>
      <c r="AK1451" s="720"/>
      <c r="AL1451" s="720"/>
      <c r="AM1451" s="720"/>
      <c r="AN1451" s="720"/>
      <c r="AO1451" s="720"/>
      <c r="AP1451" s="720"/>
      <c r="AQ1451" s="720"/>
      <c r="AR1451" s="720"/>
      <c r="AS1451" s="720"/>
      <c r="AT1451" s="720"/>
      <c r="AU1451" s="720"/>
      <c r="AV1451" s="720"/>
      <c r="AW1451" s="720"/>
      <c r="AX1451" s="720"/>
      <c r="AY1451" s="720"/>
      <c r="AZ1451" s="720"/>
      <c r="BA1451" s="720"/>
      <c r="BB1451" s="720"/>
      <c r="BC1451" s="720"/>
      <c r="BD1451" s="720"/>
      <c r="BE1451" s="720"/>
      <c r="BF1451" s="720"/>
      <c r="BG1451" s="720"/>
      <c r="BH1451" s="720"/>
      <c r="BI1451" s="720"/>
      <c r="BJ1451" s="720"/>
      <c r="BK1451" s="720"/>
      <c r="BL1451" s="720"/>
      <c r="BM1451" s="720"/>
      <c r="BN1451" s="720"/>
      <c r="BO1451" s="720"/>
      <c r="BP1451" s="720"/>
      <c r="BQ1451" s="720"/>
      <c r="BR1451" s="720"/>
      <c r="BS1451" s="720"/>
      <c r="BT1451" s="720"/>
      <c r="BU1451" s="720"/>
      <c r="BV1451" s="720"/>
      <c r="BW1451" s="720"/>
      <c r="BX1451" s="720"/>
      <c r="BY1451" s="720"/>
      <c r="BZ1451" s="720"/>
      <c r="CA1451" s="720"/>
    </row>
    <row r="1452" spans="1:79" s="740" customFormat="1" hidden="1" outlineLevel="1" x14ac:dyDescent="0.25">
      <c r="A1452" s="656"/>
      <c r="B1452" s="576"/>
      <c r="C1452" s="576"/>
      <c r="D1452" s="576"/>
      <c r="E1452" s="570" t="s">
        <v>1334</v>
      </c>
      <c r="F1452" s="656" t="s">
        <v>880</v>
      </c>
      <c r="G1452" s="723"/>
      <c r="H1452" s="723"/>
      <c r="I1452" s="723"/>
      <c r="J1452" s="723"/>
      <c r="K1452" s="723"/>
      <c r="L1452" s="723"/>
      <c r="M1452" s="723"/>
      <c r="N1452" s="723"/>
      <c r="O1452" s="723"/>
      <c r="P1452" s="718"/>
      <c r="Q1452" s="718"/>
      <c r="R1452" s="717"/>
      <c r="S1452" s="667"/>
      <c r="T1452" s="667"/>
      <c r="U1452" s="667"/>
      <c r="V1452" s="667"/>
      <c r="W1452" s="667"/>
      <c r="X1452" s="667"/>
      <c r="Y1452" s="667"/>
      <c r="Z1452" s="667"/>
      <c r="AA1452" s="667"/>
      <c r="AB1452" s="667"/>
      <c r="AC1452" s="686"/>
      <c r="AD1452" s="686"/>
      <c r="AE1452" s="667">
        <v>0</v>
      </c>
      <c r="AF1452" s="719">
        <v>0</v>
      </c>
      <c r="AG1452" s="665">
        <v>0</v>
      </c>
      <c r="AH1452" s="720"/>
      <c r="AI1452" s="720"/>
      <c r="AJ1452" s="720"/>
      <c r="AK1452" s="720"/>
      <c r="AL1452" s="720"/>
      <c r="AM1452" s="720"/>
      <c r="AN1452" s="720"/>
      <c r="AO1452" s="720"/>
      <c r="AP1452" s="720"/>
      <c r="AQ1452" s="720"/>
      <c r="AR1452" s="720"/>
      <c r="AS1452" s="720"/>
      <c r="AT1452" s="720"/>
      <c r="AU1452" s="720"/>
      <c r="AV1452" s="720"/>
      <c r="AW1452" s="720"/>
      <c r="AX1452" s="720"/>
      <c r="AY1452" s="720"/>
      <c r="AZ1452" s="720"/>
      <c r="BA1452" s="720"/>
      <c r="BB1452" s="720"/>
      <c r="BC1452" s="720"/>
      <c r="BD1452" s="720"/>
      <c r="BE1452" s="720"/>
      <c r="BF1452" s="720"/>
      <c r="BG1452" s="720"/>
      <c r="BH1452" s="720"/>
      <c r="BI1452" s="720"/>
      <c r="BJ1452" s="720"/>
      <c r="BK1452" s="720"/>
      <c r="BL1452" s="720"/>
      <c r="BM1452" s="720"/>
      <c r="BN1452" s="720"/>
      <c r="BO1452" s="720"/>
      <c r="BP1452" s="720"/>
      <c r="BQ1452" s="720"/>
      <c r="BR1452" s="720"/>
      <c r="BS1452" s="720"/>
      <c r="BT1452" s="720"/>
      <c r="BU1452" s="720"/>
      <c r="BV1452" s="720"/>
      <c r="BW1452" s="720"/>
      <c r="BX1452" s="720"/>
      <c r="BY1452" s="720"/>
      <c r="BZ1452" s="720"/>
      <c r="CA1452" s="720"/>
    </row>
    <row r="1453" spans="1:79" s="740" customFormat="1" hidden="1" outlineLevel="1" x14ac:dyDescent="0.25">
      <c r="A1453" s="656"/>
      <c r="B1453" s="576"/>
      <c r="C1453" s="576"/>
      <c r="D1453" s="576"/>
      <c r="E1453" s="570" t="s">
        <v>1335</v>
      </c>
      <c r="F1453" s="656" t="s">
        <v>662</v>
      </c>
      <c r="G1453" s="723"/>
      <c r="H1453" s="723"/>
      <c r="I1453" s="723"/>
      <c r="J1453" s="723"/>
      <c r="K1453" s="723"/>
      <c r="L1453" s="723"/>
      <c r="M1453" s="723"/>
      <c r="N1453" s="723"/>
      <c r="O1453" s="723"/>
      <c r="P1453" s="718"/>
      <c r="Q1453" s="718"/>
      <c r="R1453" s="717"/>
      <c r="S1453" s="667"/>
      <c r="T1453" s="667"/>
      <c r="U1453" s="667"/>
      <c r="V1453" s="667"/>
      <c r="W1453" s="667"/>
      <c r="X1453" s="667"/>
      <c r="Y1453" s="667"/>
      <c r="Z1453" s="667"/>
      <c r="AA1453" s="667"/>
      <c r="AB1453" s="667"/>
      <c r="AC1453" s="686"/>
      <c r="AD1453" s="686"/>
      <c r="AE1453" s="667">
        <v>0</v>
      </c>
      <c r="AF1453" s="719">
        <v>0</v>
      </c>
      <c r="AG1453" s="665">
        <v>0</v>
      </c>
      <c r="AH1453" s="720"/>
      <c r="AI1453" s="720"/>
      <c r="AJ1453" s="720"/>
      <c r="AK1453" s="720"/>
      <c r="AL1453" s="720"/>
      <c r="AM1453" s="720"/>
      <c r="AN1453" s="720"/>
      <c r="AO1453" s="720"/>
      <c r="AP1453" s="720"/>
      <c r="AQ1453" s="720"/>
      <c r="AR1453" s="720"/>
      <c r="AS1453" s="720"/>
      <c r="AT1453" s="720"/>
      <c r="AU1453" s="720"/>
      <c r="AV1453" s="720"/>
      <c r="AW1453" s="720"/>
      <c r="AX1453" s="720"/>
      <c r="AY1453" s="720"/>
      <c r="AZ1453" s="720"/>
      <c r="BA1453" s="720"/>
      <c r="BB1453" s="720"/>
      <c r="BC1453" s="720"/>
      <c r="BD1453" s="720"/>
      <c r="BE1453" s="720"/>
      <c r="BF1453" s="720"/>
      <c r="BG1453" s="720"/>
      <c r="BH1453" s="720"/>
      <c r="BI1453" s="720"/>
      <c r="BJ1453" s="720"/>
      <c r="BK1453" s="720"/>
      <c r="BL1453" s="720"/>
      <c r="BM1453" s="720"/>
      <c r="BN1453" s="720"/>
      <c r="BO1453" s="720"/>
      <c r="BP1453" s="720"/>
      <c r="BQ1453" s="720"/>
      <c r="BR1453" s="720"/>
      <c r="BS1453" s="720"/>
      <c r="BT1453" s="720"/>
      <c r="BU1453" s="720"/>
      <c r="BV1453" s="720"/>
      <c r="BW1453" s="720"/>
      <c r="BX1453" s="720"/>
      <c r="BY1453" s="720"/>
      <c r="BZ1453" s="720"/>
      <c r="CA1453" s="720"/>
    </row>
    <row r="1454" spans="1:79" s="451" customFormat="1" hidden="1" outlineLevel="1" x14ac:dyDescent="0.25">
      <c r="A1454" s="660"/>
      <c r="B1454" s="576"/>
      <c r="C1454" s="576"/>
      <c r="D1454" s="576"/>
      <c r="E1454" s="570" t="s">
        <v>1334</v>
      </c>
      <c r="F1454" s="660" t="s">
        <v>663</v>
      </c>
      <c r="G1454" s="723"/>
      <c r="H1454" s="723"/>
      <c r="I1454" s="723"/>
      <c r="J1454" s="723"/>
      <c r="K1454" s="723"/>
      <c r="L1454" s="723"/>
      <c r="M1454" s="723"/>
      <c r="N1454" s="723"/>
      <c r="O1454" s="723"/>
      <c r="P1454" s="718"/>
      <c r="Q1454" s="718"/>
      <c r="R1454" s="717"/>
      <c r="S1454" s="667"/>
      <c r="T1454" s="667"/>
      <c r="U1454" s="667"/>
      <c r="V1454" s="667"/>
      <c r="W1454" s="667"/>
      <c r="X1454" s="667"/>
      <c r="Y1454" s="667"/>
      <c r="Z1454" s="667"/>
      <c r="AA1454" s="667"/>
      <c r="AB1454" s="667"/>
      <c r="AC1454" s="686"/>
      <c r="AD1454" s="686"/>
      <c r="AE1454" s="667">
        <v>0</v>
      </c>
      <c r="AF1454" s="716">
        <v>34.130000000000003</v>
      </c>
      <c r="AG1454" s="665">
        <v>28.66</v>
      </c>
      <c r="AH1454" s="720"/>
      <c r="AI1454" s="720"/>
      <c r="AJ1454" s="720"/>
      <c r="AK1454" s="720"/>
      <c r="AL1454" s="720"/>
      <c r="AM1454" s="720"/>
      <c r="AN1454" s="720"/>
      <c r="AO1454" s="720"/>
      <c r="AP1454" s="720"/>
      <c r="AQ1454" s="720"/>
      <c r="AR1454" s="720"/>
      <c r="AS1454" s="720"/>
      <c r="AT1454" s="720"/>
      <c r="AU1454" s="720"/>
      <c r="AV1454" s="720"/>
      <c r="AW1454" s="720"/>
      <c r="AX1454" s="720"/>
      <c r="AY1454" s="720"/>
      <c r="AZ1454" s="720"/>
      <c r="BA1454" s="720"/>
      <c r="BB1454" s="720"/>
      <c r="BC1454" s="720"/>
      <c r="BD1454" s="720"/>
      <c r="BE1454" s="720"/>
      <c r="BF1454" s="720"/>
      <c r="BG1454" s="720"/>
      <c r="BH1454" s="720"/>
      <c r="BI1454" s="720"/>
      <c r="BJ1454" s="720"/>
      <c r="BK1454" s="720"/>
      <c r="BL1454" s="720"/>
      <c r="BM1454" s="720"/>
      <c r="BN1454" s="720"/>
      <c r="BO1454" s="720"/>
      <c r="BP1454" s="720"/>
      <c r="BQ1454" s="720"/>
      <c r="BR1454" s="720"/>
      <c r="BS1454" s="720"/>
      <c r="BT1454" s="720"/>
      <c r="BU1454" s="720"/>
      <c r="BV1454" s="720"/>
      <c r="BW1454" s="720"/>
      <c r="BX1454" s="720"/>
      <c r="BY1454" s="720"/>
      <c r="BZ1454" s="720"/>
      <c r="CA1454" s="720"/>
    </row>
    <row r="1455" spans="1:79" s="451" customFormat="1" hidden="1" outlineLevel="1" x14ac:dyDescent="0.25">
      <c r="A1455" s="656"/>
      <c r="B1455" s="576"/>
      <c r="C1455" s="576"/>
      <c r="D1455" s="576"/>
      <c r="E1455" s="570" t="s">
        <v>657</v>
      </c>
      <c r="F1455" s="656" t="s">
        <v>881</v>
      </c>
      <c r="G1455" s="719"/>
      <c r="H1455" s="719"/>
      <c r="I1455" s="719"/>
      <c r="J1455" s="719"/>
      <c r="K1455" s="719"/>
      <c r="L1455" s="719"/>
      <c r="M1455" s="719"/>
      <c r="N1455" s="719"/>
      <c r="O1455" s="719"/>
      <c r="P1455" s="718"/>
      <c r="Q1455" s="718"/>
      <c r="R1455" s="717"/>
      <c r="S1455" s="667"/>
      <c r="T1455" s="667"/>
      <c r="U1455" s="667"/>
      <c r="V1455" s="667"/>
      <c r="W1455" s="667"/>
      <c r="X1455" s="667"/>
      <c r="Y1455" s="667"/>
      <c r="Z1455" s="667"/>
      <c r="AA1455" s="667"/>
      <c r="AB1455" s="667"/>
      <c r="AC1455" s="686"/>
      <c r="AD1455" s="686"/>
      <c r="AE1455" s="667">
        <v>0</v>
      </c>
      <c r="AF1455" s="719">
        <v>0</v>
      </c>
      <c r="AG1455" s="665">
        <v>0</v>
      </c>
      <c r="AH1455" s="720"/>
      <c r="AI1455" s="720"/>
      <c r="AJ1455" s="720"/>
      <c r="AK1455" s="720"/>
      <c r="AL1455" s="720"/>
      <c r="AM1455" s="720"/>
      <c r="AN1455" s="720"/>
      <c r="AO1455" s="720"/>
      <c r="AP1455" s="720"/>
      <c r="AQ1455" s="720"/>
      <c r="AR1455" s="720"/>
      <c r="AS1455" s="720"/>
      <c r="AT1455" s="720"/>
      <c r="AU1455" s="720"/>
      <c r="AV1455" s="720"/>
      <c r="AW1455" s="720"/>
      <c r="AX1455" s="720"/>
      <c r="AY1455" s="720"/>
      <c r="AZ1455" s="720"/>
      <c r="BA1455" s="720"/>
      <c r="BB1455" s="720"/>
      <c r="BC1455" s="720"/>
      <c r="BD1455" s="720"/>
      <c r="BE1455" s="720"/>
      <c r="BF1455" s="720"/>
      <c r="BG1455" s="720"/>
      <c r="BH1455" s="720"/>
      <c r="BI1455" s="720"/>
      <c r="BJ1455" s="720"/>
      <c r="BK1455" s="720"/>
      <c r="BL1455" s="720"/>
      <c r="BM1455" s="720"/>
      <c r="BN1455" s="720"/>
      <c r="BO1455" s="720"/>
      <c r="BP1455" s="720"/>
      <c r="BQ1455" s="720"/>
      <c r="BR1455" s="720"/>
      <c r="BS1455" s="720"/>
      <c r="BT1455" s="720"/>
      <c r="BU1455" s="720"/>
      <c r="BV1455" s="720"/>
      <c r="BW1455" s="720"/>
      <c r="BX1455" s="720"/>
      <c r="BY1455" s="720"/>
      <c r="BZ1455" s="720"/>
      <c r="CA1455" s="720"/>
    </row>
    <row r="1456" spans="1:79" s="451" customFormat="1" hidden="1" outlineLevel="1" x14ac:dyDescent="0.25">
      <c r="A1456" s="657"/>
      <c r="B1456" s="571"/>
      <c r="C1456" s="571"/>
      <c r="D1456" s="571"/>
      <c r="E1456" s="570" t="s">
        <v>49</v>
      </c>
      <c r="F1456" s="657" t="s">
        <v>664</v>
      </c>
      <c r="G1456" s="664"/>
      <c r="H1456" s="664"/>
      <c r="I1456" s="664"/>
      <c r="J1456" s="664"/>
      <c r="K1456" s="664"/>
      <c r="L1456" s="664"/>
      <c r="M1456" s="664"/>
      <c r="N1456" s="664"/>
      <c r="O1456" s="664"/>
      <c r="P1456" s="664"/>
      <c r="Q1456" s="664"/>
      <c r="R1456" s="664"/>
      <c r="S1456" s="678"/>
      <c r="T1456" s="678"/>
      <c r="U1456" s="678"/>
      <c r="V1456" s="678"/>
      <c r="W1456" s="678"/>
      <c r="X1456" s="678"/>
      <c r="Y1456" s="678"/>
      <c r="Z1456" s="678"/>
      <c r="AA1456" s="678"/>
      <c r="AB1456" s="678"/>
      <c r="AC1456" s="678"/>
      <c r="AD1456" s="678"/>
      <c r="AE1456" s="678">
        <f>ROUND(SUM(AE1446:AE1455),5)</f>
        <v>0</v>
      </c>
      <c r="AF1456" s="664">
        <f>ROUND(SUM(AF1446:AF1455),5)</f>
        <v>34.130000000000003</v>
      </c>
      <c r="AG1456" s="678">
        <f>ROUND(SUM(AG1446:AG1455),5)</f>
        <v>28.66</v>
      </c>
      <c r="AH1456" s="664">
        <f t="shared" ref="AH1456:BO1456" si="606">SUM(AH1447:AH1455)</f>
        <v>0</v>
      </c>
      <c r="AI1456" s="664">
        <f t="shared" si="606"/>
        <v>0</v>
      </c>
      <c r="AJ1456" s="664">
        <f t="shared" si="606"/>
        <v>0</v>
      </c>
      <c r="AK1456" s="664">
        <f t="shared" si="606"/>
        <v>0</v>
      </c>
      <c r="AL1456" s="664">
        <f t="shared" si="606"/>
        <v>0</v>
      </c>
      <c r="AM1456" s="664">
        <f t="shared" si="606"/>
        <v>0</v>
      </c>
      <c r="AN1456" s="664">
        <f t="shared" si="606"/>
        <v>0</v>
      </c>
      <c r="AO1456" s="664">
        <f t="shared" si="606"/>
        <v>0</v>
      </c>
      <c r="AP1456" s="664">
        <f t="shared" si="606"/>
        <v>0</v>
      </c>
      <c r="AQ1456" s="664">
        <f t="shared" si="606"/>
        <v>0</v>
      </c>
      <c r="AR1456" s="664">
        <f t="shared" si="606"/>
        <v>0</v>
      </c>
      <c r="AS1456" s="664">
        <f t="shared" si="606"/>
        <v>0</v>
      </c>
      <c r="AT1456" s="664">
        <f t="shared" si="606"/>
        <v>0</v>
      </c>
      <c r="AU1456" s="664">
        <f t="shared" si="606"/>
        <v>0</v>
      </c>
      <c r="AV1456" s="664">
        <f t="shared" si="606"/>
        <v>0</v>
      </c>
      <c r="AW1456" s="664">
        <f t="shared" si="606"/>
        <v>0</v>
      </c>
      <c r="AX1456" s="664">
        <f t="shared" si="606"/>
        <v>0</v>
      </c>
      <c r="AY1456" s="664">
        <f t="shared" si="606"/>
        <v>0</v>
      </c>
      <c r="AZ1456" s="664">
        <f t="shared" si="606"/>
        <v>0</v>
      </c>
      <c r="BA1456" s="664">
        <f t="shared" si="606"/>
        <v>0</v>
      </c>
      <c r="BB1456" s="664">
        <f t="shared" si="606"/>
        <v>0</v>
      </c>
      <c r="BC1456" s="664">
        <f t="shared" si="606"/>
        <v>0</v>
      </c>
      <c r="BD1456" s="664">
        <f t="shared" si="606"/>
        <v>0</v>
      </c>
      <c r="BE1456" s="664">
        <f t="shared" si="606"/>
        <v>0</v>
      </c>
      <c r="BF1456" s="664">
        <f t="shared" si="606"/>
        <v>0</v>
      </c>
      <c r="BG1456" s="664">
        <f t="shared" si="606"/>
        <v>0</v>
      </c>
      <c r="BH1456" s="664">
        <f t="shared" si="606"/>
        <v>0</v>
      </c>
      <c r="BI1456" s="664">
        <f t="shared" si="606"/>
        <v>0</v>
      </c>
      <c r="BJ1456" s="664">
        <f t="shared" si="606"/>
        <v>0</v>
      </c>
      <c r="BK1456" s="664">
        <f t="shared" si="606"/>
        <v>0</v>
      </c>
      <c r="BL1456" s="664">
        <f t="shared" si="606"/>
        <v>0</v>
      </c>
      <c r="BM1456" s="664">
        <f t="shared" si="606"/>
        <v>0</v>
      </c>
      <c r="BN1456" s="664">
        <f t="shared" si="606"/>
        <v>0</v>
      </c>
      <c r="BO1456" s="664">
        <f t="shared" si="606"/>
        <v>0</v>
      </c>
      <c r="BP1456" s="664">
        <f t="shared" ref="BP1456:CA1456" si="607">SUM(BP1447:BP1455)</f>
        <v>0</v>
      </c>
      <c r="BQ1456" s="664">
        <f t="shared" si="607"/>
        <v>0</v>
      </c>
      <c r="BR1456" s="664">
        <f t="shared" si="607"/>
        <v>0</v>
      </c>
      <c r="BS1456" s="664">
        <f t="shared" si="607"/>
        <v>0</v>
      </c>
      <c r="BT1456" s="664">
        <f t="shared" si="607"/>
        <v>0</v>
      </c>
      <c r="BU1456" s="664">
        <f t="shared" si="607"/>
        <v>0</v>
      </c>
      <c r="BV1456" s="664">
        <f t="shared" si="607"/>
        <v>0</v>
      </c>
      <c r="BW1456" s="664">
        <f t="shared" si="607"/>
        <v>0</v>
      </c>
      <c r="BX1456" s="664">
        <f t="shared" si="607"/>
        <v>0</v>
      </c>
      <c r="BY1456" s="664">
        <f t="shared" si="607"/>
        <v>0</v>
      </c>
      <c r="BZ1456" s="664">
        <f t="shared" si="607"/>
        <v>0</v>
      </c>
      <c r="CA1456" s="664">
        <f t="shared" si="607"/>
        <v>0</v>
      </c>
    </row>
    <row r="1457" spans="1:79" s="451" customFormat="1" hidden="1" outlineLevel="1" x14ac:dyDescent="0.25">
      <c r="A1457" s="655"/>
      <c r="B1457" s="570"/>
      <c r="C1457" s="570"/>
      <c r="D1457" s="570"/>
      <c r="E1457" s="570" t="s">
        <v>1336</v>
      </c>
      <c r="F1457" s="655" t="s">
        <v>665</v>
      </c>
      <c r="G1457" s="716"/>
      <c r="H1457" s="716"/>
      <c r="I1457" s="716"/>
      <c r="J1457" s="716"/>
      <c r="K1457" s="716"/>
      <c r="L1457" s="716"/>
      <c r="M1457" s="716"/>
      <c r="N1457" s="716"/>
      <c r="O1457" s="716"/>
      <c r="P1457" s="716"/>
      <c r="Q1457" s="716"/>
      <c r="R1457" s="720"/>
      <c r="S1457" s="667"/>
      <c r="T1457" s="667"/>
      <c r="U1457" s="667"/>
      <c r="V1457" s="667"/>
      <c r="W1457" s="667"/>
      <c r="X1457" s="667"/>
      <c r="Y1457" s="667"/>
      <c r="Z1457" s="667"/>
      <c r="AA1457" s="667"/>
      <c r="AB1457" s="667"/>
      <c r="AC1457" s="686"/>
      <c r="AD1457" s="686"/>
      <c r="AE1457" s="667">
        <v>0</v>
      </c>
      <c r="AF1457" s="719">
        <v>0</v>
      </c>
      <c r="AG1457" s="665">
        <v>0</v>
      </c>
      <c r="AH1457" s="720"/>
      <c r="AI1457" s="720"/>
      <c r="AJ1457" s="720"/>
      <c r="AK1457" s="720"/>
      <c r="AL1457" s="720"/>
      <c r="AM1457" s="720"/>
      <c r="AN1457" s="720"/>
      <c r="AO1457" s="720"/>
      <c r="AP1457" s="720"/>
      <c r="AQ1457" s="720"/>
      <c r="AR1457" s="720"/>
      <c r="AS1457" s="720"/>
      <c r="AT1457" s="720"/>
      <c r="AU1457" s="720"/>
      <c r="AV1457" s="720"/>
      <c r="AW1457" s="720"/>
      <c r="AX1457" s="720"/>
      <c r="AY1457" s="720"/>
      <c r="AZ1457" s="720"/>
      <c r="BA1457" s="720"/>
      <c r="BB1457" s="720"/>
      <c r="BC1457" s="720"/>
      <c r="BD1457" s="720"/>
      <c r="BE1457" s="720"/>
      <c r="BF1457" s="720"/>
      <c r="BG1457" s="720"/>
      <c r="BH1457" s="720"/>
      <c r="BI1457" s="720"/>
      <c r="BJ1457" s="720"/>
      <c r="BK1457" s="720"/>
      <c r="BL1457" s="720"/>
      <c r="BM1457" s="720"/>
      <c r="BN1457" s="720"/>
      <c r="BO1457" s="720"/>
      <c r="BP1457" s="720"/>
      <c r="BQ1457" s="720"/>
      <c r="BR1457" s="720"/>
      <c r="BS1457" s="720"/>
      <c r="BT1457" s="720"/>
      <c r="BU1457" s="720"/>
      <c r="BV1457" s="720"/>
      <c r="BW1457" s="720"/>
      <c r="BX1457" s="720"/>
      <c r="BY1457" s="720"/>
      <c r="BZ1457" s="720"/>
      <c r="CA1457" s="720"/>
    </row>
    <row r="1458" spans="1:79" s="737" customFormat="1" hidden="1" outlineLevel="1" x14ac:dyDescent="0.25">
      <c r="A1458" s="701"/>
      <c r="B1458" s="700"/>
      <c r="C1458" s="700"/>
      <c r="D1458" s="700"/>
      <c r="E1458" s="570" t="s">
        <v>1337</v>
      </c>
      <c r="F1458" s="701" t="s">
        <v>593</v>
      </c>
      <c r="G1458" s="736"/>
      <c r="H1458" s="736"/>
      <c r="I1458" s="736"/>
      <c r="J1458" s="736"/>
      <c r="K1458" s="736"/>
      <c r="L1458" s="736"/>
      <c r="M1458" s="736"/>
      <c r="N1458" s="736"/>
      <c r="O1458" s="736"/>
      <c r="P1458" s="736"/>
      <c r="Q1458" s="736"/>
      <c r="R1458" s="762"/>
      <c r="S1458" s="697"/>
      <c r="T1458" s="697"/>
      <c r="U1458" s="697"/>
      <c r="V1458" s="697"/>
      <c r="W1458" s="697"/>
      <c r="X1458" s="697"/>
      <c r="Y1458" s="697"/>
      <c r="Z1458" s="697"/>
      <c r="AA1458" s="697"/>
      <c r="AB1458" s="697"/>
      <c r="AC1458" s="705"/>
      <c r="AD1458" s="705"/>
      <c r="AE1458" s="697"/>
      <c r="AF1458" s="733"/>
      <c r="AG1458" s="696"/>
      <c r="AH1458" s="735"/>
      <c r="AI1458" s="735"/>
      <c r="AJ1458" s="735"/>
      <c r="AK1458" s="735"/>
      <c r="AL1458" s="735"/>
      <c r="AM1458" s="735"/>
      <c r="AN1458" s="735"/>
      <c r="AO1458" s="735"/>
      <c r="AP1458" s="735"/>
      <c r="AQ1458" s="735"/>
      <c r="AR1458" s="735"/>
      <c r="AS1458" s="735"/>
      <c r="AT1458" s="735"/>
      <c r="AU1458" s="735"/>
      <c r="AV1458" s="735"/>
      <c r="AW1458" s="735"/>
      <c r="AX1458" s="735"/>
      <c r="AY1458" s="735"/>
      <c r="AZ1458" s="735"/>
      <c r="BA1458" s="735"/>
      <c r="BB1458" s="735"/>
      <c r="BC1458" s="735"/>
      <c r="BD1458" s="735"/>
      <c r="BE1458" s="735"/>
      <c r="BF1458" s="735"/>
      <c r="BG1458" s="735"/>
      <c r="BH1458" s="735"/>
      <c r="BI1458" s="735"/>
      <c r="BJ1458" s="735"/>
      <c r="BK1458" s="735"/>
      <c r="BL1458" s="735"/>
      <c r="BM1458" s="735"/>
      <c r="BN1458" s="735"/>
      <c r="BO1458" s="735"/>
      <c r="BP1458" s="735"/>
      <c r="BQ1458" s="735"/>
      <c r="BR1458" s="735"/>
      <c r="BS1458" s="735"/>
      <c r="BT1458" s="735"/>
      <c r="BU1458" s="735"/>
      <c r="BV1458" s="735"/>
      <c r="BW1458" s="735"/>
      <c r="BX1458" s="735"/>
      <c r="BY1458" s="735"/>
      <c r="BZ1458" s="735"/>
      <c r="CA1458" s="735"/>
    </row>
    <row r="1459" spans="1:79" s="451" customFormat="1" hidden="1" outlineLevel="1" x14ac:dyDescent="0.25">
      <c r="A1459" s="656"/>
      <c r="B1459" s="503"/>
      <c r="C1459" s="503"/>
      <c r="D1459" s="503"/>
      <c r="E1459" s="570" t="s">
        <v>1337</v>
      </c>
      <c r="F1459" s="656" t="s">
        <v>882</v>
      </c>
      <c r="G1459" s="718"/>
      <c r="H1459" s="718"/>
      <c r="I1459" s="718"/>
      <c r="J1459" s="718"/>
      <c r="K1459" s="718"/>
      <c r="L1459" s="718"/>
      <c r="M1459" s="718"/>
      <c r="N1459" s="718"/>
      <c r="O1459" s="718"/>
      <c r="P1459" s="718"/>
      <c r="Q1459" s="718"/>
      <c r="R1459" s="717"/>
      <c r="S1459" s="671"/>
      <c r="T1459" s="671"/>
      <c r="U1459" s="671"/>
      <c r="V1459" s="671"/>
      <c r="W1459" s="671"/>
      <c r="X1459" s="671"/>
      <c r="Y1459" s="671"/>
      <c r="Z1459" s="671"/>
      <c r="AA1459" s="671"/>
      <c r="AB1459" s="671"/>
      <c r="AC1459" s="687"/>
      <c r="AD1459" s="687"/>
      <c r="AE1459" s="671">
        <v>0</v>
      </c>
      <c r="AF1459" s="719">
        <v>0</v>
      </c>
      <c r="AG1459" s="669">
        <v>0</v>
      </c>
      <c r="AH1459" s="720"/>
      <c r="AI1459" s="720"/>
      <c r="AJ1459" s="720"/>
      <c r="AK1459" s="720"/>
      <c r="AL1459" s="720"/>
      <c r="AM1459" s="720"/>
      <c r="AN1459" s="720"/>
      <c r="AO1459" s="720"/>
      <c r="AP1459" s="720"/>
      <c r="AQ1459" s="720"/>
      <c r="AR1459" s="720"/>
      <c r="AS1459" s="720"/>
      <c r="AT1459" s="720"/>
      <c r="AU1459" s="720"/>
      <c r="AV1459" s="720"/>
      <c r="AW1459" s="720"/>
      <c r="AX1459" s="720"/>
      <c r="AY1459" s="720"/>
      <c r="AZ1459" s="720"/>
      <c r="BA1459" s="720"/>
      <c r="BB1459" s="720"/>
      <c r="BC1459" s="720"/>
      <c r="BD1459" s="720"/>
      <c r="BE1459" s="720"/>
      <c r="BF1459" s="720"/>
      <c r="BG1459" s="720"/>
      <c r="BH1459" s="720"/>
      <c r="BI1459" s="720"/>
      <c r="BJ1459" s="720"/>
      <c r="BK1459" s="720"/>
      <c r="BL1459" s="720"/>
      <c r="BM1459" s="720"/>
      <c r="BN1459" s="720"/>
      <c r="BO1459" s="720"/>
      <c r="BP1459" s="720"/>
      <c r="BQ1459" s="720"/>
      <c r="BR1459" s="720"/>
      <c r="BS1459" s="720"/>
      <c r="BT1459" s="720"/>
      <c r="BU1459" s="720"/>
      <c r="BV1459" s="720"/>
      <c r="BW1459" s="720"/>
      <c r="BX1459" s="720"/>
      <c r="BY1459" s="720"/>
      <c r="BZ1459" s="720"/>
      <c r="CA1459" s="720"/>
    </row>
    <row r="1460" spans="1:79" s="451" customFormat="1" hidden="1" outlineLevel="1" x14ac:dyDescent="0.25">
      <c r="A1460" s="656"/>
      <c r="B1460" s="503"/>
      <c r="C1460" s="503"/>
      <c r="D1460" s="503"/>
      <c r="E1460" s="570" t="s">
        <v>941</v>
      </c>
      <c r="F1460" s="656" t="s">
        <v>883</v>
      </c>
      <c r="G1460" s="718"/>
      <c r="H1460" s="718"/>
      <c r="I1460" s="718"/>
      <c r="J1460" s="718"/>
      <c r="K1460" s="718"/>
      <c r="L1460" s="718"/>
      <c r="M1460" s="718"/>
      <c r="N1460" s="718"/>
      <c r="O1460" s="718"/>
      <c r="P1460" s="718"/>
      <c r="Q1460" s="718"/>
      <c r="R1460" s="717"/>
      <c r="S1460" s="671"/>
      <c r="T1460" s="671"/>
      <c r="U1460" s="671"/>
      <c r="V1460" s="671"/>
      <c r="W1460" s="671"/>
      <c r="X1460" s="671"/>
      <c r="Y1460" s="671"/>
      <c r="Z1460" s="671"/>
      <c r="AA1460" s="671"/>
      <c r="AB1460" s="671"/>
      <c r="AC1460" s="687"/>
      <c r="AD1460" s="687"/>
      <c r="AE1460" s="671">
        <v>0</v>
      </c>
      <c r="AF1460" s="719">
        <v>0</v>
      </c>
      <c r="AG1460" s="669">
        <v>0</v>
      </c>
      <c r="AH1460" s="720"/>
      <c r="AI1460" s="720"/>
      <c r="AJ1460" s="720"/>
      <c r="AK1460" s="720"/>
      <c r="AL1460" s="720"/>
      <c r="AM1460" s="720"/>
      <c r="AN1460" s="720"/>
      <c r="AO1460" s="720"/>
      <c r="AP1460" s="720"/>
      <c r="AQ1460" s="720"/>
      <c r="AR1460" s="720"/>
      <c r="AS1460" s="720"/>
      <c r="AT1460" s="720"/>
      <c r="AU1460" s="720"/>
      <c r="AV1460" s="720"/>
      <c r="AW1460" s="720"/>
      <c r="AX1460" s="720"/>
      <c r="AY1460" s="720"/>
      <c r="AZ1460" s="720"/>
      <c r="BA1460" s="720"/>
      <c r="BB1460" s="720"/>
      <c r="BC1460" s="720"/>
      <c r="BD1460" s="720"/>
      <c r="BE1460" s="720"/>
      <c r="BF1460" s="720"/>
      <c r="BG1460" s="720"/>
      <c r="BH1460" s="720"/>
      <c r="BI1460" s="720"/>
      <c r="BJ1460" s="720"/>
      <c r="BK1460" s="720"/>
      <c r="BL1460" s="720"/>
      <c r="BM1460" s="720"/>
      <c r="BN1460" s="720"/>
      <c r="BO1460" s="720"/>
      <c r="BP1460" s="720"/>
      <c r="BQ1460" s="720"/>
      <c r="BR1460" s="720"/>
      <c r="BS1460" s="720"/>
      <c r="BT1460" s="720"/>
      <c r="BU1460" s="720"/>
      <c r="BV1460" s="720"/>
      <c r="BW1460" s="720"/>
      <c r="BX1460" s="720"/>
      <c r="BY1460" s="720"/>
      <c r="BZ1460" s="720"/>
      <c r="CA1460" s="720"/>
    </row>
    <row r="1461" spans="1:79" s="451" customFormat="1" hidden="1" outlineLevel="1" x14ac:dyDescent="0.25">
      <c r="A1461" s="656"/>
      <c r="B1461" s="503"/>
      <c r="C1461" s="503"/>
      <c r="D1461" s="503"/>
      <c r="E1461" s="570" t="s">
        <v>11</v>
      </c>
      <c r="F1461" s="656" t="s">
        <v>884</v>
      </c>
      <c r="G1461" s="718"/>
      <c r="H1461" s="718"/>
      <c r="I1461" s="718"/>
      <c r="J1461" s="718"/>
      <c r="K1461" s="718"/>
      <c r="L1461" s="718"/>
      <c r="M1461" s="718"/>
      <c r="N1461" s="718"/>
      <c r="O1461" s="718"/>
      <c r="P1461" s="718"/>
      <c r="Q1461" s="718"/>
      <c r="R1461" s="717"/>
      <c r="S1461" s="671"/>
      <c r="T1461" s="671"/>
      <c r="U1461" s="671"/>
      <c r="V1461" s="671"/>
      <c r="W1461" s="671"/>
      <c r="X1461" s="671"/>
      <c r="Y1461" s="671"/>
      <c r="Z1461" s="671"/>
      <c r="AA1461" s="671"/>
      <c r="AB1461" s="671"/>
      <c r="AC1461" s="687"/>
      <c r="AD1461" s="687"/>
      <c r="AE1461" s="671">
        <v>0</v>
      </c>
      <c r="AF1461" s="719">
        <v>0</v>
      </c>
      <c r="AG1461" s="669">
        <v>0</v>
      </c>
      <c r="AH1461" s="720"/>
      <c r="AI1461" s="720"/>
      <c r="AJ1461" s="720"/>
      <c r="AK1461" s="720"/>
      <c r="AL1461" s="720"/>
      <c r="AM1461" s="720"/>
      <c r="AN1461" s="720"/>
      <c r="AO1461" s="720"/>
      <c r="AP1461" s="720"/>
      <c r="AQ1461" s="720"/>
      <c r="AR1461" s="720"/>
      <c r="AS1461" s="720"/>
      <c r="AT1461" s="720"/>
      <c r="AU1461" s="720"/>
      <c r="AV1461" s="720"/>
      <c r="AW1461" s="720"/>
      <c r="AX1461" s="720"/>
      <c r="AY1461" s="720"/>
      <c r="AZ1461" s="720"/>
      <c r="BA1461" s="720"/>
      <c r="BB1461" s="720"/>
      <c r="BC1461" s="720"/>
      <c r="BD1461" s="720"/>
      <c r="BE1461" s="720"/>
      <c r="BF1461" s="720"/>
      <c r="BG1461" s="720"/>
      <c r="BH1461" s="720"/>
      <c r="BI1461" s="720"/>
      <c r="BJ1461" s="720"/>
      <c r="BK1461" s="720"/>
      <c r="BL1461" s="720"/>
      <c r="BM1461" s="720"/>
      <c r="BN1461" s="720"/>
      <c r="BO1461" s="720"/>
      <c r="BP1461" s="720"/>
      <c r="BQ1461" s="720"/>
      <c r="BR1461" s="720"/>
      <c r="BS1461" s="720"/>
      <c r="BT1461" s="720"/>
      <c r="BU1461" s="720"/>
      <c r="BV1461" s="720"/>
      <c r="BW1461" s="720"/>
      <c r="BX1461" s="720"/>
      <c r="BY1461" s="720"/>
      <c r="BZ1461" s="720"/>
      <c r="CA1461" s="720"/>
    </row>
    <row r="1462" spans="1:79" s="451" customFormat="1" hidden="1" outlineLevel="1" x14ac:dyDescent="0.25">
      <c r="A1462" s="656"/>
      <c r="B1462" s="503"/>
      <c r="C1462" s="503"/>
      <c r="D1462" s="503"/>
      <c r="E1462" s="570" t="s">
        <v>1337</v>
      </c>
      <c r="F1462" s="656" t="s">
        <v>885</v>
      </c>
      <c r="G1462" s="718"/>
      <c r="H1462" s="718"/>
      <c r="I1462" s="718"/>
      <c r="J1462" s="718"/>
      <c r="K1462" s="718"/>
      <c r="L1462" s="718"/>
      <c r="M1462" s="718"/>
      <c r="N1462" s="718"/>
      <c r="O1462" s="718"/>
      <c r="P1462" s="718"/>
      <c r="Q1462" s="718"/>
      <c r="R1462" s="717"/>
      <c r="S1462" s="671"/>
      <c r="T1462" s="671"/>
      <c r="U1462" s="671"/>
      <c r="V1462" s="671"/>
      <c r="W1462" s="671"/>
      <c r="X1462" s="671"/>
      <c r="Y1462" s="671"/>
      <c r="Z1462" s="671"/>
      <c r="AA1462" s="671"/>
      <c r="AB1462" s="671"/>
      <c r="AC1462" s="687"/>
      <c r="AD1462" s="687"/>
      <c r="AE1462" s="671">
        <v>0</v>
      </c>
      <c r="AF1462" s="719">
        <v>0</v>
      </c>
      <c r="AG1462" s="669">
        <v>0</v>
      </c>
      <c r="AH1462" s="720"/>
      <c r="AI1462" s="720"/>
      <c r="AJ1462" s="720"/>
      <c r="AK1462" s="720"/>
      <c r="AL1462" s="720"/>
      <c r="AM1462" s="720"/>
      <c r="AN1462" s="720"/>
      <c r="AO1462" s="720"/>
      <c r="AP1462" s="720"/>
      <c r="AQ1462" s="720"/>
      <c r="AR1462" s="720"/>
      <c r="AS1462" s="720"/>
      <c r="AT1462" s="720"/>
      <c r="AU1462" s="720"/>
      <c r="AV1462" s="720"/>
      <c r="AW1462" s="720"/>
      <c r="AX1462" s="720"/>
      <c r="AY1462" s="720"/>
      <c r="AZ1462" s="720"/>
      <c r="BA1462" s="720"/>
      <c r="BB1462" s="720"/>
      <c r="BC1462" s="720"/>
      <c r="BD1462" s="720"/>
      <c r="BE1462" s="720"/>
      <c r="BF1462" s="720"/>
      <c r="BG1462" s="720"/>
      <c r="BH1462" s="720"/>
      <c r="BI1462" s="720"/>
      <c r="BJ1462" s="720"/>
      <c r="BK1462" s="720"/>
      <c r="BL1462" s="720"/>
      <c r="BM1462" s="720"/>
      <c r="BN1462" s="720"/>
      <c r="BO1462" s="720"/>
      <c r="BP1462" s="720"/>
      <c r="BQ1462" s="720"/>
      <c r="BR1462" s="720"/>
      <c r="BS1462" s="720"/>
      <c r="BT1462" s="720"/>
      <c r="BU1462" s="720"/>
      <c r="BV1462" s="720"/>
      <c r="BW1462" s="720"/>
      <c r="BX1462" s="720"/>
      <c r="BY1462" s="720"/>
      <c r="BZ1462" s="720"/>
      <c r="CA1462" s="720"/>
    </row>
    <row r="1463" spans="1:79" s="451" customFormat="1" hidden="1" outlineLevel="1" x14ac:dyDescent="0.25">
      <c r="A1463" s="656"/>
      <c r="B1463" s="503"/>
      <c r="C1463" s="503"/>
      <c r="D1463" s="503"/>
      <c r="E1463" s="570" t="s">
        <v>1270</v>
      </c>
      <c r="F1463" s="656" t="s">
        <v>818</v>
      </c>
      <c r="G1463" s="718"/>
      <c r="H1463" s="718"/>
      <c r="I1463" s="718"/>
      <c r="J1463" s="718"/>
      <c r="K1463" s="718"/>
      <c r="L1463" s="718"/>
      <c r="M1463" s="718"/>
      <c r="N1463" s="718"/>
      <c r="O1463" s="718"/>
      <c r="P1463" s="718"/>
      <c r="Q1463" s="718"/>
      <c r="R1463" s="717"/>
      <c r="S1463" s="671"/>
      <c r="T1463" s="671"/>
      <c r="U1463" s="671"/>
      <c r="V1463" s="671"/>
      <c r="W1463" s="671"/>
      <c r="X1463" s="671"/>
      <c r="Y1463" s="671"/>
      <c r="Z1463" s="671"/>
      <c r="AA1463" s="671"/>
      <c r="AB1463" s="671"/>
      <c r="AC1463" s="687"/>
      <c r="AD1463" s="687"/>
      <c r="AE1463" s="671">
        <v>0</v>
      </c>
      <c r="AF1463" s="719">
        <v>0</v>
      </c>
      <c r="AG1463" s="669">
        <v>0</v>
      </c>
      <c r="AH1463" s="720"/>
      <c r="AI1463" s="720"/>
      <c r="AJ1463" s="720"/>
      <c r="AK1463" s="720"/>
      <c r="AL1463" s="720"/>
      <c r="AM1463" s="720"/>
      <c r="AN1463" s="720"/>
      <c r="AO1463" s="720"/>
      <c r="AP1463" s="720"/>
      <c r="AQ1463" s="720"/>
      <c r="AR1463" s="720"/>
      <c r="AS1463" s="720"/>
      <c r="AT1463" s="720"/>
      <c r="AU1463" s="720"/>
      <c r="AV1463" s="720"/>
      <c r="AW1463" s="720"/>
      <c r="AX1463" s="720"/>
      <c r="AY1463" s="720"/>
      <c r="AZ1463" s="720"/>
      <c r="BA1463" s="720"/>
      <c r="BB1463" s="720"/>
      <c r="BC1463" s="720"/>
      <c r="BD1463" s="720"/>
      <c r="BE1463" s="720"/>
      <c r="BF1463" s="720"/>
      <c r="BG1463" s="720"/>
      <c r="BH1463" s="720"/>
      <c r="BI1463" s="720"/>
      <c r="BJ1463" s="720"/>
      <c r="BK1463" s="720"/>
      <c r="BL1463" s="720"/>
      <c r="BM1463" s="720"/>
      <c r="BN1463" s="720"/>
      <c r="BO1463" s="720"/>
      <c r="BP1463" s="720"/>
      <c r="BQ1463" s="720"/>
      <c r="BR1463" s="720"/>
      <c r="BS1463" s="720"/>
      <c r="BT1463" s="720"/>
      <c r="BU1463" s="720"/>
      <c r="BV1463" s="720"/>
      <c r="BW1463" s="720"/>
      <c r="BX1463" s="720"/>
      <c r="BY1463" s="720"/>
      <c r="BZ1463" s="720"/>
      <c r="CA1463" s="720"/>
    </row>
    <row r="1464" spans="1:79" s="451" customFormat="1" hidden="1" outlineLevel="1" x14ac:dyDescent="0.25">
      <c r="A1464" s="656"/>
      <c r="B1464" s="503"/>
      <c r="C1464" s="503"/>
      <c r="D1464" s="503"/>
      <c r="E1464" s="570" t="s">
        <v>1260</v>
      </c>
      <c r="F1464" s="656" t="s">
        <v>609</v>
      </c>
      <c r="G1464" s="718"/>
      <c r="H1464" s="718"/>
      <c r="I1464" s="718"/>
      <c r="J1464" s="718"/>
      <c r="K1464" s="718"/>
      <c r="L1464" s="718"/>
      <c r="M1464" s="718"/>
      <c r="N1464" s="718"/>
      <c r="O1464" s="718"/>
      <c r="P1464" s="718"/>
      <c r="Q1464" s="718"/>
      <c r="R1464" s="717"/>
      <c r="S1464" s="671"/>
      <c r="T1464" s="671"/>
      <c r="U1464" s="671"/>
      <c r="V1464" s="671"/>
      <c r="W1464" s="671"/>
      <c r="X1464" s="671"/>
      <c r="Y1464" s="671"/>
      <c r="Z1464" s="671"/>
      <c r="AA1464" s="671"/>
      <c r="AB1464" s="671"/>
      <c r="AC1464" s="687"/>
      <c r="AD1464" s="687"/>
      <c r="AE1464" s="671">
        <v>0</v>
      </c>
      <c r="AF1464" s="719">
        <v>0</v>
      </c>
      <c r="AG1464" s="669">
        <v>0</v>
      </c>
      <c r="AH1464" s="720"/>
      <c r="AI1464" s="720"/>
      <c r="AJ1464" s="720"/>
      <c r="AK1464" s="720"/>
      <c r="AL1464" s="720"/>
      <c r="AM1464" s="720"/>
      <c r="AN1464" s="720"/>
      <c r="AO1464" s="720"/>
      <c r="AP1464" s="720"/>
      <c r="AQ1464" s="720"/>
      <c r="AR1464" s="720"/>
      <c r="AS1464" s="720"/>
      <c r="AT1464" s="720"/>
      <c r="AU1464" s="720"/>
      <c r="AV1464" s="720"/>
      <c r="AW1464" s="720"/>
      <c r="AX1464" s="720"/>
      <c r="AY1464" s="720"/>
      <c r="AZ1464" s="720"/>
      <c r="BA1464" s="720"/>
      <c r="BB1464" s="720"/>
      <c r="BC1464" s="720"/>
      <c r="BD1464" s="720"/>
      <c r="BE1464" s="720"/>
      <c r="BF1464" s="720"/>
      <c r="BG1464" s="720"/>
      <c r="BH1464" s="720"/>
      <c r="BI1464" s="720"/>
      <c r="BJ1464" s="720"/>
      <c r="BK1464" s="720"/>
      <c r="BL1464" s="720"/>
      <c r="BM1464" s="720"/>
      <c r="BN1464" s="720"/>
      <c r="BO1464" s="720"/>
      <c r="BP1464" s="720"/>
      <c r="BQ1464" s="720"/>
      <c r="BR1464" s="720"/>
      <c r="BS1464" s="720"/>
      <c r="BT1464" s="720"/>
      <c r="BU1464" s="720"/>
      <c r="BV1464" s="720"/>
      <c r="BW1464" s="720"/>
      <c r="BX1464" s="720"/>
      <c r="BY1464" s="720"/>
      <c r="BZ1464" s="720"/>
      <c r="CA1464" s="720"/>
    </row>
    <row r="1465" spans="1:79" s="451" customFormat="1" hidden="1" outlineLevel="1" x14ac:dyDescent="0.25">
      <c r="A1465" s="656"/>
      <c r="B1465" s="503"/>
      <c r="C1465" s="503"/>
      <c r="D1465" s="503"/>
      <c r="E1465" s="570" t="s">
        <v>1326</v>
      </c>
      <c r="F1465" s="656" t="s">
        <v>610</v>
      </c>
      <c r="G1465" s="718"/>
      <c r="H1465" s="718"/>
      <c r="I1465" s="718"/>
      <c r="J1465" s="718"/>
      <c r="K1465" s="718"/>
      <c r="L1465" s="718"/>
      <c r="M1465" s="718"/>
      <c r="N1465" s="718"/>
      <c r="O1465" s="718"/>
      <c r="P1465" s="718"/>
      <c r="Q1465" s="718"/>
      <c r="R1465" s="717"/>
      <c r="S1465" s="676"/>
      <c r="T1465" s="676"/>
      <c r="U1465" s="676"/>
      <c r="V1465" s="676"/>
      <c r="W1465" s="676"/>
      <c r="X1465" s="676"/>
      <c r="Y1465" s="676"/>
      <c r="Z1465" s="676"/>
      <c r="AA1465" s="676"/>
      <c r="AB1465" s="676"/>
      <c r="AC1465" s="674"/>
      <c r="AD1465" s="674"/>
      <c r="AE1465" s="676">
        <v>0</v>
      </c>
      <c r="AF1465" s="719">
        <v>0</v>
      </c>
      <c r="AG1465" s="673">
        <v>0</v>
      </c>
      <c r="AH1465" s="720"/>
      <c r="AI1465" s="720"/>
      <c r="AJ1465" s="720"/>
      <c r="AK1465" s="720"/>
      <c r="AL1465" s="720"/>
      <c r="AM1465" s="720"/>
      <c r="AN1465" s="720"/>
      <c r="AO1465" s="720"/>
      <c r="AP1465" s="720"/>
      <c r="AQ1465" s="720"/>
      <c r="AR1465" s="720"/>
      <c r="AS1465" s="720"/>
      <c r="AT1465" s="720"/>
      <c r="AU1465" s="720"/>
      <c r="AV1465" s="720"/>
      <c r="AW1465" s="720"/>
      <c r="AX1465" s="720"/>
      <c r="AY1465" s="720"/>
      <c r="AZ1465" s="720"/>
      <c r="BA1465" s="720"/>
      <c r="BB1465" s="720"/>
      <c r="BC1465" s="720"/>
      <c r="BD1465" s="720"/>
      <c r="BE1465" s="720"/>
      <c r="BF1465" s="720"/>
      <c r="BG1465" s="720"/>
      <c r="BH1465" s="720"/>
      <c r="BI1465" s="720"/>
      <c r="BJ1465" s="720"/>
      <c r="BK1465" s="720"/>
      <c r="BL1465" s="720"/>
      <c r="BM1465" s="720"/>
      <c r="BN1465" s="720"/>
      <c r="BO1465" s="720"/>
      <c r="BP1465" s="720"/>
      <c r="BQ1465" s="720"/>
      <c r="BR1465" s="720"/>
      <c r="BS1465" s="720"/>
      <c r="BT1465" s="720"/>
      <c r="BU1465" s="720"/>
      <c r="BV1465" s="720"/>
      <c r="BW1465" s="720"/>
      <c r="BX1465" s="720"/>
      <c r="BY1465" s="720"/>
      <c r="BZ1465" s="720"/>
      <c r="CA1465" s="720"/>
    </row>
    <row r="1466" spans="1:79" s="451" customFormat="1" hidden="1" outlineLevel="1" x14ac:dyDescent="0.25">
      <c r="A1466" s="656"/>
      <c r="B1466" s="576"/>
      <c r="C1466" s="576"/>
      <c r="D1466" s="576"/>
      <c r="E1466" s="570" t="s">
        <v>985</v>
      </c>
      <c r="F1466" s="656" t="s">
        <v>611</v>
      </c>
      <c r="G1466" s="723"/>
      <c r="H1466" s="723"/>
      <c r="I1466" s="723"/>
      <c r="J1466" s="723"/>
      <c r="K1466" s="723"/>
      <c r="L1466" s="723"/>
      <c r="M1466" s="723"/>
      <c r="N1466" s="723"/>
      <c r="O1466" s="723"/>
      <c r="P1466" s="718"/>
      <c r="Q1466" s="718"/>
      <c r="R1466" s="717"/>
      <c r="S1466" s="676"/>
      <c r="T1466" s="676"/>
      <c r="U1466" s="676"/>
      <c r="V1466" s="676"/>
      <c r="W1466" s="676"/>
      <c r="X1466" s="676"/>
      <c r="Y1466" s="676"/>
      <c r="Z1466" s="676"/>
      <c r="AA1466" s="676"/>
      <c r="AB1466" s="676"/>
      <c r="AC1466" s="674"/>
      <c r="AD1466" s="674"/>
      <c r="AE1466" s="676">
        <v>0</v>
      </c>
      <c r="AF1466" s="719">
        <v>0</v>
      </c>
      <c r="AG1466" s="673">
        <v>0</v>
      </c>
      <c r="AH1466" s="720"/>
      <c r="AI1466" s="720"/>
      <c r="AJ1466" s="720"/>
      <c r="AK1466" s="720"/>
      <c r="AL1466" s="720"/>
      <c r="AM1466" s="720"/>
      <c r="AN1466" s="720"/>
      <c r="AO1466" s="720"/>
      <c r="AP1466" s="720"/>
      <c r="AQ1466" s="720"/>
      <c r="AR1466" s="720"/>
      <c r="AS1466" s="720"/>
      <c r="AT1466" s="720"/>
      <c r="AU1466" s="720"/>
      <c r="AV1466" s="720"/>
      <c r="AW1466" s="720"/>
      <c r="AX1466" s="720"/>
      <c r="AY1466" s="720"/>
      <c r="AZ1466" s="720"/>
      <c r="BA1466" s="720"/>
      <c r="BB1466" s="720"/>
      <c r="BC1466" s="720"/>
      <c r="BD1466" s="720"/>
      <c r="BE1466" s="720"/>
      <c r="BF1466" s="720"/>
      <c r="BG1466" s="720"/>
      <c r="BH1466" s="720"/>
      <c r="BI1466" s="720"/>
      <c r="BJ1466" s="720"/>
      <c r="BK1466" s="720"/>
      <c r="BL1466" s="720"/>
      <c r="BM1466" s="720"/>
      <c r="BN1466" s="720"/>
      <c r="BO1466" s="720"/>
      <c r="BP1466" s="720"/>
      <c r="BQ1466" s="720"/>
      <c r="BR1466" s="720"/>
      <c r="BS1466" s="720"/>
      <c r="BT1466" s="720"/>
      <c r="BU1466" s="720"/>
      <c r="BV1466" s="720"/>
      <c r="BW1466" s="720"/>
      <c r="BX1466" s="720"/>
      <c r="BY1466" s="720"/>
      <c r="BZ1466" s="720"/>
      <c r="CA1466" s="720"/>
    </row>
    <row r="1467" spans="1:79" s="451" customFormat="1" hidden="1" outlineLevel="1" x14ac:dyDescent="0.25">
      <c r="A1467" s="656"/>
      <c r="B1467" s="576"/>
      <c r="C1467" s="576"/>
      <c r="D1467" s="576"/>
      <c r="E1467" s="570" t="s">
        <v>11</v>
      </c>
      <c r="F1467" s="656" t="s">
        <v>612</v>
      </c>
      <c r="G1467" s="723"/>
      <c r="H1467" s="723"/>
      <c r="I1467" s="723"/>
      <c r="J1467" s="723"/>
      <c r="K1467" s="723"/>
      <c r="L1467" s="723"/>
      <c r="M1467" s="723"/>
      <c r="N1467" s="723"/>
      <c r="O1467" s="723"/>
      <c r="P1467" s="718"/>
      <c r="Q1467" s="718"/>
      <c r="R1467" s="717"/>
      <c r="S1467" s="676"/>
      <c r="T1467" s="676"/>
      <c r="U1467" s="676"/>
      <c r="V1467" s="676"/>
      <c r="W1467" s="676"/>
      <c r="X1467" s="676"/>
      <c r="Y1467" s="676"/>
      <c r="Z1467" s="676"/>
      <c r="AA1467" s="676"/>
      <c r="AB1467" s="676"/>
      <c r="AC1467" s="674"/>
      <c r="AD1467" s="674"/>
      <c r="AE1467" s="676">
        <v>0</v>
      </c>
      <c r="AF1467" s="719">
        <v>0</v>
      </c>
      <c r="AG1467" s="673">
        <v>0</v>
      </c>
      <c r="AH1467" s="720"/>
      <c r="AI1467" s="720"/>
      <c r="AJ1467" s="720"/>
      <c r="AK1467" s="720"/>
      <c r="AL1467" s="720"/>
      <c r="AM1467" s="720"/>
      <c r="AN1467" s="720"/>
      <c r="AO1467" s="720"/>
      <c r="AP1467" s="720"/>
      <c r="AQ1467" s="720"/>
      <c r="AR1467" s="720"/>
      <c r="AS1467" s="720"/>
      <c r="AT1467" s="720"/>
      <c r="AU1467" s="720"/>
      <c r="AV1467" s="720"/>
      <c r="AW1467" s="720"/>
      <c r="AX1467" s="720"/>
      <c r="AY1467" s="720"/>
      <c r="AZ1467" s="720"/>
      <c r="BA1467" s="720"/>
      <c r="BB1467" s="720"/>
      <c r="BC1467" s="720"/>
      <c r="BD1467" s="720"/>
      <c r="BE1467" s="720"/>
      <c r="BF1467" s="720"/>
      <c r="BG1467" s="720"/>
      <c r="BH1467" s="720"/>
      <c r="BI1467" s="720"/>
      <c r="BJ1467" s="720"/>
      <c r="BK1467" s="720"/>
      <c r="BL1467" s="720"/>
      <c r="BM1467" s="720"/>
      <c r="BN1467" s="720"/>
      <c r="BO1467" s="720"/>
      <c r="BP1467" s="720"/>
      <c r="BQ1467" s="720"/>
      <c r="BR1467" s="720"/>
      <c r="BS1467" s="720"/>
      <c r="BT1467" s="720"/>
      <c r="BU1467" s="720"/>
      <c r="BV1467" s="720"/>
      <c r="BW1467" s="720"/>
      <c r="BX1467" s="720"/>
      <c r="BY1467" s="720"/>
      <c r="BZ1467" s="720"/>
      <c r="CA1467" s="720"/>
    </row>
    <row r="1468" spans="1:79" s="451" customFormat="1" hidden="1" outlineLevel="1" x14ac:dyDescent="0.25">
      <c r="A1468" s="656"/>
      <c r="B1468" s="576"/>
      <c r="C1468" s="576"/>
      <c r="D1468" s="576"/>
      <c r="E1468" s="570" t="s">
        <v>1337</v>
      </c>
      <c r="F1468" s="656" t="s">
        <v>886</v>
      </c>
      <c r="G1468" s="723"/>
      <c r="H1468" s="723"/>
      <c r="I1468" s="723"/>
      <c r="J1468" s="723"/>
      <c r="K1468" s="723"/>
      <c r="L1468" s="723"/>
      <c r="M1468" s="723"/>
      <c r="N1468" s="723"/>
      <c r="O1468" s="723"/>
      <c r="P1468" s="718"/>
      <c r="Q1468" s="718"/>
      <c r="R1468" s="717"/>
      <c r="S1468" s="676"/>
      <c r="T1468" s="676"/>
      <c r="U1468" s="676"/>
      <c r="V1468" s="676"/>
      <c r="W1468" s="676"/>
      <c r="X1468" s="676"/>
      <c r="Y1468" s="676"/>
      <c r="Z1468" s="676"/>
      <c r="AA1468" s="676"/>
      <c r="AB1468" s="676"/>
      <c r="AC1468" s="674"/>
      <c r="AD1468" s="674"/>
      <c r="AE1468" s="676">
        <v>0</v>
      </c>
      <c r="AF1468" s="719">
        <v>0</v>
      </c>
      <c r="AG1468" s="673">
        <v>0</v>
      </c>
      <c r="AH1468" s="720"/>
      <c r="AI1468" s="720"/>
      <c r="AJ1468" s="720"/>
      <c r="AK1468" s="720"/>
      <c r="AL1468" s="720"/>
      <c r="AM1468" s="720"/>
      <c r="AN1468" s="720"/>
      <c r="AO1468" s="720"/>
      <c r="AP1468" s="720"/>
      <c r="AQ1468" s="720"/>
      <c r="AR1468" s="720"/>
      <c r="AS1468" s="720"/>
      <c r="AT1468" s="720"/>
      <c r="AU1468" s="720"/>
      <c r="AV1468" s="720"/>
      <c r="AW1468" s="720"/>
      <c r="AX1468" s="720"/>
      <c r="AY1468" s="720"/>
      <c r="AZ1468" s="720"/>
      <c r="BA1468" s="720"/>
      <c r="BB1468" s="720"/>
      <c r="BC1468" s="720"/>
      <c r="BD1468" s="720"/>
      <c r="BE1468" s="720"/>
      <c r="BF1468" s="720"/>
      <c r="BG1468" s="720"/>
      <c r="BH1468" s="720"/>
      <c r="BI1468" s="720"/>
      <c r="BJ1468" s="720"/>
      <c r="BK1468" s="720"/>
      <c r="BL1468" s="720"/>
      <c r="BM1468" s="720"/>
      <c r="BN1468" s="720"/>
      <c r="BO1468" s="720"/>
      <c r="BP1468" s="720"/>
      <c r="BQ1468" s="720"/>
      <c r="BR1468" s="720"/>
      <c r="BS1468" s="720"/>
      <c r="BT1468" s="720"/>
      <c r="BU1468" s="720"/>
      <c r="BV1468" s="720"/>
      <c r="BW1468" s="720"/>
      <c r="BX1468" s="720"/>
      <c r="BY1468" s="720"/>
      <c r="BZ1468" s="720"/>
      <c r="CA1468" s="720"/>
    </row>
    <row r="1469" spans="1:79" s="451" customFormat="1" hidden="1" outlineLevel="1" x14ac:dyDescent="0.25">
      <c r="A1469" s="656"/>
      <c r="B1469" s="576"/>
      <c r="C1469" s="576"/>
      <c r="D1469" s="576"/>
      <c r="E1469" s="570" t="s">
        <v>986</v>
      </c>
      <c r="F1469" s="656" t="s">
        <v>763</v>
      </c>
      <c r="G1469" s="723"/>
      <c r="H1469" s="723"/>
      <c r="I1469" s="723"/>
      <c r="J1469" s="723"/>
      <c r="K1469" s="723"/>
      <c r="L1469" s="723"/>
      <c r="M1469" s="723"/>
      <c r="N1469" s="723"/>
      <c r="O1469" s="723"/>
      <c r="P1469" s="718"/>
      <c r="Q1469" s="718"/>
      <c r="R1469" s="717"/>
      <c r="S1469" s="676"/>
      <c r="T1469" s="676"/>
      <c r="U1469" s="676"/>
      <c r="V1469" s="676"/>
      <c r="W1469" s="676"/>
      <c r="X1469" s="676"/>
      <c r="Y1469" s="676"/>
      <c r="Z1469" s="676"/>
      <c r="AA1469" s="676"/>
      <c r="AB1469" s="676"/>
      <c r="AC1469" s="674"/>
      <c r="AD1469" s="674"/>
      <c r="AE1469" s="676">
        <v>0</v>
      </c>
      <c r="AF1469" s="719">
        <v>0</v>
      </c>
      <c r="AG1469" s="673">
        <v>0</v>
      </c>
      <c r="AH1469" s="720"/>
      <c r="AI1469" s="720"/>
      <c r="AJ1469" s="720"/>
      <c r="AK1469" s="720"/>
      <c r="AL1469" s="720"/>
      <c r="AM1469" s="720"/>
      <c r="AN1469" s="720"/>
      <c r="AO1469" s="720"/>
      <c r="AP1469" s="720"/>
      <c r="AQ1469" s="720"/>
      <c r="AR1469" s="720"/>
      <c r="AS1469" s="720"/>
      <c r="AT1469" s="720"/>
      <c r="AU1469" s="720"/>
      <c r="AV1469" s="720"/>
      <c r="AW1469" s="720"/>
      <c r="AX1469" s="720"/>
      <c r="AY1469" s="720"/>
      <c r="AZ1469" s="720"/>
      <c r="BA1469" s="720"/>
      <c r="BB1469" s="720"/>
      <c r="BC1469" s="720"/>
      <c r="BD1469" s="720"/>
      <c r="BE1469" s="720"/>
      <c r="BF1469" s="720"/>
      <c r="BG1469" s="720"/>
      <c r="BH1469" s="720"/>
      <c r="BI1469" s="720"/>
      <c r="BJ1469" s="720"/>
      <c r="BK1469" s="720"/>
      <c r="BL1469" s="720"/>
      <c r="BM1469" s="720"/>
      <c r="BN1469" s="720"/>
      <c r="BO1469" s="720"/>
      <c r="BP1469" s="720"/>
      <c r="BQ1469" s="720"/>
      <c r="BR1469" s="720"/>
      <c r="BS1469" s="720"/>
      <c r="BT1469" s="720"/>
      <c r="BU1469" s="720"/>
      <c r="BV1469" s="720"/>
      <c r="BW1469" s="720"/>
      <c r="BX1469" s="720"/>
      <c r="BY1469" s="720"/>
      <c r="BZ1469" s="720"/>
      <c r="CA1469" s="720"/>
    </row>
    <row r="1470" spans="1:79" s="451" customFormat="1" hidden="1" outlineLevel="1" x14ac:dyDescent="0.25">
      <c r="A1470" s="656"/>
      <c r="B1470" s="576"/>
      <c r="C1470" s="576"/>
      <c r="D1470" s="576"/>
      <c r="E1470" s="570" t="s">
        <v>986</v>
      </c>
      <c r="F1470" s="656" t="s">
        <v>779</v>
      </c>
      <c r="G1470" s="723"/>
      <c r="H1470" s="723"/>
      <c r="I1470" s="723"/>
      <c r="J1470" s="723"/>
      <c r="K1470" s="723"/>
      <c r="L1470" s="723"/>
      <c r="M1470" s="723"/>
      <c r="N1470" s="723"/>
      <c r="O1470" s="723"/>
      <c r="P1470" s="718"/>
      <c r="Q1470" s="718"/>
      <c r="R1470" s="717"/>
      <c r="S1470" s="676"/>
      <c r="T1470" s="676"/>
      <c r="U1470" s="676"/>
      <c r="V1470" s="676"/>
      <c r="W1470" s="676"/>
      <c r="X1470" s="676"/>
      <c r="Y1470" s="676"/>
      <c r="Z1470" s="676"/>
      <c r="AA1470" s="676"/>
      <c r="AB1470" s="676"/>
      <c r="AC1470" s="674"/>
      <c r="AD1470" s="674"/>
      <c r="AE1470" s="676">
        <v>0</v>
      </c>
      <c r="AF1470" s="719">
        <v>0</v>
      </c>
      <c r="AG1470" s="673">
        <v>0</v>
      </c>
      <c r="AH1470" s="720"/>
      <c r="AI1470" s="720"/>
      <c r="AJ1470" s="720"/>
      <c r="AK1470" s="720"/>
      <c r="AL1470" s="720"/>
      <c r="AM1470" s="720"/>
      <c r="AN1470" s="720"/>
      <c r="AO1470" s="720"/>
      <c r="AP1470" s="720"/>
      <c r="AQ1470" s="720"/>
      <c r="AR1470" s="720"/>
      <c r="AS1470" s="720"/>
      <c r="AT1470" s="720"/>
      <c r="AU1470" s="720"/>
      <c r="AV1470" s="720"/>
      <c r="AW1470" s="720"/>
      <c r="AX1470" s="720"/>
      <c r="AY1470" s="720"/>
      <c r="AZ1470" s="720"/>
      <c r="BA1470" s="720"/>
      <c r="BB1470" s="720"/>
      <c r="BC1470" s="720"/>
      <c r="BD1470" s="720"/>
      <c r="BE1470" s="720"/>
      <c r="BF1470" s="720"/>
      <c r="BG1470" s="720"/>
      <c r="BH1470" s="720"/>
      <c r="BI1470" s="720"/>
      <c r="BJ1470" s="720"/>
      <c r="BK1470" s="720"/>
      <c r="BL1470" s="720"/>
      <c r="BM1470" s="720"/>
      <c r="BN1470" s="720"/>
      <c r="BO1470" s="720"/>
      <c r="BP1470" s="720"/>
      <c r="BQ1470" s="720"/>
      <c r="BR1470" s="720"/>
      <c r="BS1470" s="720"/>
      <c r="BT1470" s="720"/>
      <c r="BU1470" s="720"/>
      <c r="BV1470" s="720"/>
      <c r="BW1470" s="720"/>
      <c r="BX1470" s="720"/>
      <c r="BY1470" s="720"/>
      <c r="BZ1470" s="720"/>
      <c r="CA1470" s="720"/>
    </row>
    <row r="1471" spans="1:79" s="451" customFormat="1" hidden="1" outlineLevel="1" x14ac:dyDescent="0.25">
      <c r="A1471" s="656"/>
      <c r="B1471" s="576"/>
      <c r="C1471" s="576"/>
      <c r="D1471" s="576"/>
      <c r="E1471" s="570" t="s">
        <v>1270</v>
      </c>
      <c r="F1471" s="656" t="s">
        <v>613</v>
      </c>
      <c r="G1471" s="723"/>
      <c r="H1471" s="723"/>
      <c r="I1471" s="723"/>
      <c r="J1471" s="723"/>
      <c r="K1471" s="723"/>
      <c r="L1471" s="723"/>
      <c r="M1471" s="723"/>
      <c r="N1471" s="723"/>
      <c r="O1471" s="723"/>
      <c r="P1471" s="718"/>
      <c r="Q1471" s="718"/>
      <c r="R1471" s="717"/>
      <c r="S1471" s="676"/>
      <c r="T1471" s="676"/>
      <c r="U1471" s="676"/>
      <c r="V1471" s="676"/>
      <c r="W1471" s="676"/>
      <c r="X1471" s="676"/>
      <c r="Y1471" s="676"/>
      <c r="Z1471" s="676"/>
      <c r="AA1471" s="676"/>
      <c r="AB1471" s="676"/>
      <c r="AC1471" s="674"/>
      <c r="AD1471" s="674"/>
      <c r="AE1471" s="676">
        <v>0</v>
      </c>
      <c r="AF1471" s="719">
        <v>0</v>
      </c>
      <c r="AG1471" s="673">
        <v>0</v>
      </c>
      <c r="AH1471" s="720"/>
      <c r="AI1471" s="720"/>
      <c r="AJ1471" s="720"/>
      <c r="AK1471" s="720"/>
      <c r="AL1471" s="720"/>
      <c r="AM1471" s="720"/>
      <c r="AN1471" s="720"/>
      <c r="AO1471" s="720"/>
      <c r="AP1471" s="720"/>
      <c r="AQ1471" s="720"/>
      <c r="AR1471" s="720"/>
      <c r="AS1471" s="720"/>
      <c r="AT1471" s="720"/>
      <c r="AU1471" s="720"/>
      <c r="AV1471" s="720"/>
      <c r="AW1471" s="720"/>
      <c r="AX1471" s="720"/>
      <c r="AY1471" s="720"/>
      <c r="AZ1471" s="720"/>
      <c r="BA1471" s="720"/>
      <c r="BB1471" s="720"/>
      <c r="BC1471" s="720"/>
      <c r="BD1471" s="720"/>
      <c r="BE1471" s="720"/>
      <c r="BF1471" s="720"/>
      <c r="BG1471" s="720"/>
      <c r="BH1471" s="720"/>
      <c r="BI1471" s="720"/>
      <c r="BJ1471" s="720"/>
      <c r="BK1471" s="720"/>
      <c r="BL1471" s="720"/>
      <c r="BM1471" s="720"/>
      <c r="BN1471" s="720"/>
      <c r="BO1471" s="720"/>
      <c r="BP1471" s="720"/>
      <c r="BQ1471" s="720"/>
      <c r="BR1471" s="720"/>
      <c r="BS1471" s="720"/>
      <c r="BT1471" s="720"/>
      <c r="BU1471" s="720"/>
      <c r="BV1471" s="720"/>
      <c r="BW1471" s="720"/>
      <c r="BX1471" s="720"/>
      <c r="BY1471" s="720"/>
      <c r="BZ1471" s="720"/>
      <c r="CA1471" s="720"/>
    </row>
    <row r="1472" spans="1:79" s="451" customFormat="1" hidden="1" outlineLevel="1" x14ac:dyDescent="0.25">
      <c r="A1472" s="656"/>
      <c r="B1472" s="576"/>
      <c r="C1472" s="576"/>
      <c r="D1472" s="576"/>
      <c r="E1472" s="570" t="s">
        <v>1350</v>
      </c>
      <c r="F1472" s="656" t="s">
        <v>614</v>
      </c>
      <c r="G1472" s="723"/>
      <c r="H1472" s="723"/>
      <c r="I1472" s="723"/>
      <c r="J1472" s="723"/>
      <c r="K1472" s="723"/>
      <c r="L1472" s="723"/>
      <c r="M1472" s="723"/>
      <c r="N1472" s="723"/>
      <c r="O1472" s="723"/>
      <c r="P1472" s="718"/>
      <c r="Q1472" s="718"/>
      <c r="R1472" s="717"/>
      <c r="S1472" s="676"/>
      <c r="T1472" s="676"/>
      <c r="U1472" s="676"/>
      <c r="V1472" s="676"/>
      <c r="W1472" s="676"/>
      <c r="X1472" s="676"/>
      <c r="Y1472" s="676"/>
      <c r="Z1472" s="676"/>
      <c r="AA1472" s="676"/>
      <c r="AB1472" s="676"/>
      <c r="AC1472" s="674"/>
      <c r="AD1472" s="674"/>
      <c r="AE1472" s="676">
        <v>0</v>
      </c>
      <c r="AF1472" s="719">
        <v>0</v>
      </c>
      <c r="AG1472" s="673">
        <v>0</v>
      </c>
      <c r="AH1472" s="720"/>
      <c r="AI1472" s="720"/>
      <c r="AJ1472" s="720"/>
      <c r="AK1472" s="720"/>
      <c r="AL1472" s="720"/>
      <c r="AM1472" s="720"/>
      <c r="AN1472" s="720"/>
      <c r="AO1472" s="720"/>
      <c r="AP1472" s="720"/>
      <c r="AQ1472" s="720"/>
      <c r="AR1472" s="720"/>
      <c r="AS1472" s="720"/>
      <c r="AT1472" s="720"/>
      <c r="AU1472" s="720"/>
      <c r="AV1472" s="720"/>
      <c r="AW1472" s="720"/>
      <c r="AX1472" s="720"/>
      <c r="AY1472" s="720"/>
      <c r="AZ1472" s="720"/>
      <c r="BA1472" s="720"/>
      <c r="BB1472" s="720"/>
      <c r="BC1472" s="720"/>
      <c r="BD1472" s="720"/>
      <c r="BE1472" s="720"/>
      <c r="BF1472" s="720"/>
      <c r="BG1472" s="720"/>
      <c r="BH1472" s="720"/>
      <c r="BI1472" s="720"/>
      <c r="BJ1472" s="720"/>
      <c r="BK1472" s="720"/>
      <c r="BL1472" s="720"/>
      <c r="BM1472" s="720"/>
      <c r="BN1472" s="720"/>
      <c r="BO1472" s="720"/>
      <c r="BP1472" s="720"/>
      <c r="BQ1472" s="720"/>
      <c r="BR1472" s="720"/>
      <c r="BS1472" s="720"/>
      <c r="BT1472" s="720"/>
      <c r="BU1472" s="720"/>
      <c r="BV1472" s="720"/>
      <c r="BW1472" s="720"/>
      <c r="BX1472" s="720"/>
      <c r="BY1472" s="720"/>
      <c r="BZ1472" s="720"/>
      <c r="CA1472" s="720"/>
    </row>
    <row r="1473" spans="1:79" s="451" customFormat="1" hidden="1" outlineLevel="1" x14ac:dyDescent="0.25">
      <c r="A1473" s="656"/>
      <c r="B1473" s="576"/>
      <c r="C1473" s="576"/>
      <c r="D1473" s="576"/>
      <c r="E1473" s="570" t="s">
        <v>11</v>
      </c>
      <c r="F1473" s="656" t="s">
        <v>615</v>
      </c>
      <c r="G1473" s="723"/>
      <c r="H1473" s="723"/>
      <c r="I1473" s="723"/>
      <c r="J1473" s="723"/>
      <c r="K1473" s="723"/>
      <c r="L1473" s="723"/>
      <c r="M1473" s="723"/>
      <c r="N1473" s="723"/>
      <c r="O1473" s="723"/>
      <c r="P1473" s="718"/>
      <c r="Q1473" s="718"/>
      <c r="R1473" s="717"/>
      <c r="S1473" s="676"/>
      <c r="T1473" s="676"/>
      <c r="U1473" s="676"/>
      <c r="V1473" s="676"/>
      <c r="W1473" s="676"/>
      <c r="X1473" s="676"/>
      <c r="Y1473" s="676"/>
      <c r="Z1473" s="676"/>
      <c r="AA1473" s="676"/>
      <c r="AB1473" s="676"/>
      <c r="AC1473" s="674"/>
      <c r="AD1473" s="674"/>
      <c r="AE1473" s="676">
        <v>0</v>
      </c>
      <c r="AF1473" s="719">
        <v>0</v>
      </c>
      <c r="AG1473" s="673">
        <v>0</v>
      </c>
      <c r="AH1473" s="720"/>
      <c r="AI1473" s="720"/>
      <c r="AJ1473" s="720"/>
      <c r="AK1473" s="720"/>
      <c r="AL1473" s="720"/>
      <c r="AM1473" s="720"/>
      <c r="AN1473" s="720"/>
      <c r="AO1473" s="720"/>
      <c r="AP1473" s="720"/>
      <c r="AQ1473" s="720"/>
      <c r="AR1473" s="720"/>
      <c r="AS1473" s="720"/>
      <c r="AT1473" s="720"/>
      <c r="AU1473" s="720"/>
      <c r="AV1473" s="720"/>
      <c r="AW1473" s="720"/>
      <c r="AX1473" s="720"/>
      <c r="AY1473" s="720"/>
      <c r="AZ1473" s="720"/>
      <c r="BA1473" s="720"/>
      <c r="BB1473" s="720"/>
      <c r="BC1473" s="720"/>
      <c r="BD1473" s="720"/>
      <c r="BE1473" s="720"/>
      <c r="BF1473" s="720"/>
      <c r="BG1473" s="720"/>
      <c r="BH1473" s="720"/>
      <c r="BI1473" s="720"/>
      <c r="BJ1473" s="720"/>
      <c r="BK1473" s="720"/>
      <c r="BL1473" s="720"/>
      <c r="BM1473" s="720"/>
      <c r="BN1473" s="720"/>
      <c r="BO1473" s="720"/>
      <c r="BP1473" s="720"/>
      <c r="BQ1473" s="720"/>
      <c r="BR1473" s="720"/>
      <c r="BS1473" s="720"/>
      <c r="BT1473" s="720"/>
      <c r="BU1473" s="720"/>
      <c r="BV1473" s="720"/>
      <c r="BW1473" s="720"/>
      <c r="BX1473" s="720"/>
      <c r="BY1473" s="720"/>
      <c r="BZ1473" s="720"/>
      <c r="CA1473" s="720"/>
    </row>
    <row r="1474" spans="1:79" s="451" customFormat="1" hidden="1" outlineLevel="1" x14ac:dyDescent="0.25">
      <c r="A1474" s="656"/>
      <c r="B1474" s="576"/>
      <c r="C1474" s="576"/>
      <c r="D1474" s="576"/>
      <c r="E1474" s="570" t="s">
        <v>1280</v>
      </c>
      <c r="F1474" s="656" t="s">
        <v>887</v>
      </c>
      <c r="G1474" s="723"/>
      <c r="H1474" s="723"/>
      <c r="I1474" s="723"/>
      <c r="J1474" s="723"/>
      <c r="K1474" s="723"/>
      <c r="L1474" s="723"/>
      <c r="M1474" s="723"/>
      <c r="N1474" s="723"/>
      <c r="O1474" s="723"/>
      <c r="P1474" s="718"/>
      <c r="Q1474" s="718"/>
      <c r="R1474" s="717"/>
      <c r="S1474" s="676"/>
      <c r="T1474" s="676"/>
      <c r="U1474" s="676"/>
      <c r="V1474" s="676"/>
      <c r="W1474" s="676"/>
      <c r="X1474" s="676"/>
      <c r="Y1474" s="676"/>
      <c r="Z1474" s="676"/>
      <c r="AA1474" s="676"/>
      <c r="AB1474" s="676"/>
      <c r="AC1474" s="674"/>
      <c r="AD1474" s="674"/>
      <c r="AE1474" s="676">
        <v>0</v>
      </c>
      <c r="AF1474" s="719">
        <v>0</v>
      </c>
      <c r="AG1474" s="673">
        <v>0</v>
      </c>
      <c r="AH1474" s="720"/>
      <c r="AI1474" s="720"/>
      <c r="AJ1474" s="720"/>
      <c r="AK1474" s="720"/>
      <c r="AL1474" s="720"/>
      <c r="AM1474" s="720"/>
      <c r="AN1474" s="720"/>
      <c r="AO1474" s="720"/>
      <c r="AP1474" s="720"/>
      <c r="AQ1474" s="720"/>
      <c r="AR1474" s="720"/>
      <c r="AS1474" s="720"/>
      <c r="AT1474" s="720"/>
      <c r="AU1474" s="720"/>
      <c r="AV1474" s="720"/>
      <c r="AW1474" s="720"/>
      <c r="AX1474" s="720"/>
      <c r="AY1474" s="720"/>
      <c r="AZ1474" s="720"/>
      <c r="BA1474" s="720"/>
      <c r="BB1474" s="720"/>
      <c r="BC1474" s="720"/>
      <c r="BD1474" s="720"/>
      <c r="BE1474" s="720"/>
      <c r="BF1474" s="720"/>
      <c r="BG1474" s="720"/>
      <c r="BH1474" s="720"/>
      <c r="BI1474" s="720"/>
      <c r="BJ1474" s="720"/>
      <c r="BK1474" s="720"/>
      <c r="BL1474" s="720"/>
      <c r="BM1474" s="720"/>
      <c r="BN1474" s="720"/>
      <c r="BO1474" s="720"/>
      <c r="BP1474" s="720"/>
      <c r="BQ1474" s="720"/>
      <c r="BR1474" s="720"/>
      <c r="BS1474" s="720"/>
      <c r="BT1474" s="720"/>
      <c r="BU1474" s="720"/>
      <c r="BV1474" s="720"/>
      <c r="BW1474" s="720"/>
      <c r="BX1474" s="720"/>
      <c r="BY1474" s="720"/>
      <c r="BZ1474" s="720"/>
      <c r="CA1474" s="720"/>
    </row>
    <row r="1475" spans="1:79" s="451" customFormat="1" hidden="1" outlineLevel="1" x14ac:dyDescent="0.25">
      <c r="A1475" s="656"/>
      <c r="B1475" s="576"/>
      <c r="C1475" s="576"/>
      <c r="D1475" s="576"/>
      <c r="E1475" s="570" t="s">
        <v>1337</v>
      </c>
      <c r="F1475" s="656" t="s">
        <v>616</v>
      </c>
      <c r="G1475" s="723"/>
      <c r="H1475" s="723"/>
      <c r="I1475" s="723"/>
      <c r="J1475" s="723"/>
      <c r="K1475" s="723"/>
      <c r="L1475" s="723"/>
      <c r="M1475" s="723"/>
      <c r="N1475" s="723"/>
      <c r="O1475" s="723"/>
      <c r="P1475" s="718"/>
      <c r="Q1475" s="718"/>
      <c r="R1475" s="717"/>
      <c r="S1475" s="676"/>
      <c r="T1475" s="676"/>
      <c r="U1475" s="676"/>
      <c r="V1475" s="676"/>
      <c r="W1475" s="676"/>
      <c r="X1475" s="676"/>
      <c r="Y1475" s="676"/>
      <c r="Z1475" s="676"/>
      <c r="AA1475" s="676"/>
      <c r="AB1475" s="676"/>
      <c r="AC1475" s="674"/>
      <c r="AD1475" s="674"/>
      <c r="AE1475" s="676">
        <v>0</v>
      </c>
      <c r="AF1475" s="719">
        <v>0</v>
      </c>
      <c r="AG1475" s="673">
        <v>0</v>
      </c>
      <c r="AH1475" s="720"/>
      <c r="AI1475" s="720"/>
      <c r="AJ1475" s="720"/>
      <c r="AK1475" s="720"/>
      <c r="AL1475" s="720"/>
      <c r="AM1475" s="720"/>
      <c r="AN1475" s="720"/>
      <c r="AO1475" s="720"/>
      <c r="AP1475" s="720"/>
      <c r="AQ1475" s="720"/>
      <c r="AR1475" s="720"/>
      <c r="AS1475" s="720"/>
      <c r="AT1475" s="720"/>
      <c r="AU1475" s="720"/>
      <c r="AV1475" s="720"/>
      <c r="AW1475" s="720"/>
      <c r="AX1475" s="720"/>
      <c r="AY1475" s="720"/>
      <c r="AZ1475" s="720"/>
      <c r="BA1475" s="720"/>
      <c r="BB1475" s="720"/>
      <c r="BC1475" s="720"/>
      <c r="BD1475" s="720"/>
      <c r="BE1475" s="720"/>
      <c r="BF1475" s="720"/>
      <c r="BG1475" s="720"/>
      <c r="BH1475" s="720"/>
      <c r="BI1475" s="720"/>
      <c r="BJ1475" s="720"/>
      <c r="BK1475" s="720"/>
      <c r="BL1475" s="720"/>
      <c r="BM1475" s="720"/>
      <c r="BN1475" s="720"/>
      <c r="BO1475" s="720"/>
      <c r="BP1475" s="720"/>
      <c r="BQ1475" s="720"/>
      <c r="BR1475" s="720"/>
      <c r="BS1475" s="720"/>
      <c r="BT1475" s="720"/>
      <c r="BU1475" s="720"/>
      <c r="BV1475" s="720"/>
      <c r="BW1475" s="720"/>
      <c r="BX1475" s="720"/>
      <c r="BY1475" s="720"/>
      <c r="BZ1475" s="720"/>
      <c r="CA1475" s="720"/>
    </row>
    <row r="1476" spans="1:79" s="740" customFormat="1" hidden="1" outlineLevel="1" x14ac:dyDescent="0.25">
      <c r="A1476" s="659"/>
      <c r="B1476" s="571"/>
      <c r="C1476" s="571"/>
      <c r="D1476" s="571"/>
      <c r="E1476" s="570" t="s">
        <v>49</v>
      </c>
      <c r="F1476" s="659" t="s">
        <v>617</v>
      </c>
      <c r="G1476" s="664"/>
      <c r="H1476" s="664"/>
      <c r="I1476" s="664"/>
      <c r="J1476" s="664"/>
      <c r="K1476" s="664"/>
      <c r="L1476" s="664"/>
      <c r="M1476" s="664"/>
      <c r="N1476" s="664"/>
      <c r="O1476" s="664"/>
      <c r="P1476" s="664"/>
      <c r="Q1476" s="664"/>
      <c r="R1476" s="664"/>
      <c r="S1476" s="678"/>
      <c r="T1476" s="678"/>
      <c r="U1476" s="678"/>
      <c r="V1476" s="678"/>
      <c r="W1476" s="678"/>
      <c r="X1476" s="678"/>
      <c r="Y1476" s="678"/>
      <c r="Z1476" s="678"/>
      <c r="AA1476" s="678"/>
      <c r="AB1476" s="678"/>
      <c r="AC1476" s="678"/>
      <c r="AD1476" s="678"/>
      <c r="AE1476" s="678">
        <f>ROUND(SUM(AE1458:AE1475),5)</f>
        <v>0</v>
      </c>
      <c r="AF1476" s="664">
        <f>ROUND(SUM(AF1458:AF1464)+SUM(AF1465:AF1467)+SUM(AF1468:AF1475),5)</f>
        <v>0</v>
      </c>
      <c r="AG1476" s="678">
        <f>ROUND(SUM(AG1458:AG1464)+SUM(AG1465:AG1467)+SUM(AG1468:AG1475),5)</f>
        <v>0</v>
      </c>
      <c r="AH1476" s="664">
        <f t="shared" ref="AH1476:BO1476" si="608">SUM(AH1459:AH1475)</f>
        <v>0</v>
      </c>
      <c r="AI1476" s="664">
        <f t="shared" si="608"/>
        <v>0</v>
      </c>
      <c r="AJ1476" s="664">
        <f t="shared" si="608"/>
        <v>0</v>
      </c>
      <c r="AK1476" s="664">
        <f t="shared" si="608"/>
        <v>0</v>
      </c>
      <c r="AL1476" s="664">
        <f t="shared" si="608"/>
        <v>0</v>
      </c>
      <c r="AM1476" s="664">
        <f t="shared" si="608"/>
        <v>0</v>
      </c>
      <c r="AN1476" s="664">
        <f t="shared" si="608"/>
        <v>0</v>
      </c>
      <c r="AO1476" s="664">
        <f t="shared" si="608"/>
        <v>0</v>
      </c>
      <c r="AP1476" s="664">
        <f t="shared" si="608"/>
        <v>0</v>
      </c>
      <c r="AQ1476" s="664">
        <f t="shared" si="608"/>
        <v>0</v>
      </c>
      <c r="AR1476" s="664">
        <f t="shared" si="608"/>
        <v>0</v>
      </c>
      <c r="AS1476" s="664">
        <f t="shared" si="608"/>
        <v>0</v>
      </c>
      <c r="AT1476" s="664">
        <f t="shared" si="608"/>
        <v>0</v>
      </c>
      <c r="AU1476" s="664">
        <f t="shared" si="608"/>
        <v>0</v>
      </c>
      <c r="AV1476" s="664">
        <f t="shared" si="608"/>
        <v>0</v>
      </c>
      <c r="AW1476" s="664">
        <f t="shared" si="608"/>
        <v>0</v>
      </c>
      <c r="AX1476" s="664">
        <f t="shared" si="608"/>
        <v>0</v>
      </c>
      <c r="AY1476" s="664">
        <f t="shared" si="608"/>
        <v>0</v>
      </c>
      <c r="AZ1476" s="664">
        <f t="shared" si="608"/>
        <v>0</v>
      </c>
      <c r="BA1476" s="664">
        <f t="shared" si="608"/>
        <v>0</v>
      </c>
      <c r="BB1476" s="664">
        <f t="shared" si="608"/>
        <v>0</v>
      </c>
      <c r="BC1476" s="664">
        <f t="shared" si="608"/>
        <v>0</v>
      </c>
      <c r="BD1476" s="664">
        <f t="shared" si="608"/>
        <v>0</v>
      </c>
      <c r="BE1476" s="664">
        <f t="shared" si="608"/>
        <v>0</v>
      </c>
      <c r="BF1476" s="664">
        <f t="shared" si="608"/>
        <v>0</v>
      </c>
      <c r="BG1476" s="664">
        <f t="shared" si="608"/>
        <v>0</v>
      </c>
      <c r="BH1476" s="664">
        <f t="shared" si="608"/>
        <v>0</v>
      </c>
      <c r="BI1476" s="664">
        <f t="shared" si="608"/>
        <v>0</v>
      </c>
      <c r="BJ1476" s="664">
        <f t="shared" si="608"/>
        <v>0</v>
      </c>
      <c r="BK1476" s="664">
        <f t="shared" si="608"/>
        <v>0</v>
      </c>
      <c r="BL1476" s="664">
        <f t="shared" si="608"/>
        <v>0</v>
      </c>
      <c r="BM1476" s="664">
        <f t="shared" si="608"/>
        <v>0</v>
      </c>
      <c r="BN1476" s="664">
        <f t="shared" si="608"/>
        <v>0</v>
      </c>
      <c r="BO1476" s="664">
        <f t="shared" si="608"/>
        <v>0</v>
      </c>
      <c r="BP1476" s="664">
        <f t="shared" ref="BP1476:CA1476" si="609">SUM(BP1459:BP1475)</f>
        <v>0</v>
      </c>
      <c r="BQ1476" s="664">
        <f t="shared" si="609"/>
        <v>0</v>
      </c>
      <c r="BR1476" s="664">
        <f t="shared" si="609"/>
        <v>0</v>
      </c>
      <c r="BS1476" s="664">
        <f t="shared" si="609"/>
        <v>0</v>
      </c>
      <c r="BT1476" s="664">
        <f t="shared" si="609"/>
        <v>0</v>
      </c>
      <c r="BU1476" s="664">
        <f t="shared" si="609"/>
        <v>0</v>
      </c>
      <c r="BV1476" s="664">
        <f t="shared" si="609"/>
        <v>0</v>
      </c>
      <c r="BW1476" s="664">
        <f t="shared" si="609"/>
        <v>0</v>
      </c>
      <c r="BX1476" s="664">
        <f t="shared" si="609"/>
        <v>0</v>
      </c>
      <c r="BY1476" s="664">
        <f t="shared" si="609"/>
        <v>0</v>
      </c>
      <c r="BZ1476" s="664">
        <f t="shared" si="609"/>
        <v>0</v>
      </c>
      <c r="CA1476" s="664">
        <f t="shared" si="609"/>
        <v>0</v>
      </c>
    </row>
    <row r="1477" spans="1:79" s="700" customFormat="1" hidden="1" outlineLevel="1" x14ac:dyDescent="0.25">
      <c r="A1477" s="691"/>
      <c r="B1477" s="710"/>
      <c r="C1477" s="710"/>
      <c r="D1477" s="710"/>
      <c r="E1477" s="570" t="s">
        <v>1338</v>
      </c>
      <c r="F1477" s="691" t="s">
        <v>594</v>
      </c>
      <c r="G1477" s="765"/>
      <c r="H1477" s="765"/>
      <c r="I1477" s="765"/>
      <c r="J1477" s="765"/>
      <c r="K1477" s="765"/>
      <c r="L1477" s="765"/>
      <c r="M1477" s="765"/>
      <c r="N1477" s="765"/>
      <c r="O1477" s="765"/>
      <c r="P1477" s="736"/>
      <c r="Q1477" s="736"/>
      <c r="R1477" s="762"/>
      <c r="S1477" s="708"/>
      <c r="T1477" s="708"/>
      <c r="U1477" s="708"/>
      <c r="V1477" s="708"/>
      <c r="W1477" s="708"/>
      <c r="X1477" s="708"/>
      <c r="Y1477" s="708"/>
      <c r="Z1477" s="708"/>
      <c r="AA1477" s="708"/>
      <c r="AB1477" s="708"/>
      <c r="AC1477" s="707"/>
      <c r="AD1477" s="707"/>
      <c r="AE1477" s="708"/>
      <c r="AF1477" s="733"/>
      <c r="AG1477" s="706"/>
      <c r="AH1477" s="735"/>
      <c r="AI1477" s="735"/>
      <c r="AJ1477" s="735"/>
      <c r="AK1477" s="735"/>
      <c r="AL1477" s="735"/>
      <c r="AM1477" s="735"/>
      <c r="AN1477" s="735"/>
      <c r="AO1477" s="735"/>
      <c r="AP1477" s="735"/>
      <c r="AQ1477" s="735"/>
      <c r="AR1477" s="735"/>
      <c r="AS1477" s="735"/>
      <c r="AT1477" s="735"/>
      <c r="AU1477" s="735"/>
      <c r="AV1477" s="735"/>
      <c r="AW1477" s="735"/>
      <c r="AX1477" s="735"/>
      <c r="AY1477" s="735"/>
      <c r="AZ1477" s="735"/>
      <c r="BA1477" s="735"/>
      <c r="BB1477" s="735"/>
      <c r="BC1477" s="735"/>
      <c r="BD1477" s="735"/>
      <c r="BE1477" s="735"/>
      <c r="BF1477" s="735"/>
      <c r="BG1477" s="735"/>
      <c r="BH1477" s="735"/>
      <c r="BI1477" s="735"/>
      <c r="BJ1477" s="735"/>
      <c r="BK1477" s="735"/>
      <c r="BL1477" s="735"/>
      <c r="BM1477" s="735"/>
      <c r="BN1477" s="735"/>
      <c r="BO1477" s="735"/>
      <c r="BP1477" s="735"/>
      <c r="BQ1477" s="735"/>
      <c r="BR1477" s="735"/>
      <c r="BS1477" s="735"/>
      <c r="BT1477" s="735"/>
      <c r="BU1477" s="735"/>
      <c r="BV1477" s="735"/>
      <c r="BW1477" s="735"/>
      <c r="BX1477" s="735"/>
      <c r="BY1477" s="735"/>
      <c r="BZ1477" s="735"/>
      <c r="CA1477" s="735"/>
    </row>
    <row r="1478" spans="1:79" s="740" customFormat="1" hidden="1" outlineLevel="1" x14ac:dyDescent="0.25">
      <c r="A1478" s="656"/>
      <c r="B1478" s="571"/>
      <c r="C1478" s="571"/>
      <c r="D1478" s="571"/>
      <c r="E1478" s="570" t="s">
        <v>1338</v>
      </c>
      <c r="F1478" s="656" t="s">
        <v>888</v>
      </c>
      <c r="G1478" s="723"/>
      <c r="H1478" s="723"/>
      <c r="I1478" s="723"/>
      <c r="J1478" s="723"/>
      <c r="K1478" s="723"/>
      <c r="L1478" s="723"/>
      <c r="M1478" s="723"/>
      <c r="N1478" s="723"/>
      <c r="O1478" s="723"/>
      <c r="P1478" s="718"/>
      <c r="Q1478" s="718"/>
      <c r="R1478" s="717"/>
      <c r="S1478" s="684"/>
      <c r="T1478" s="684"/>
      <c r="U1478" s="684"/>
      <c r="V1478" s="684"/>
      <c r="W1478" s="684"/>
      <c r="X1478" s="684"/>
      <c r="Y1478" s="684"/>
      <c r="Z1478" s="684"/>
      <c r="AA1478" s="684"/>
      <c r="AB1478" s="684"/>
      <c r="AC1478" s="682"/>
      <c r="AD1478" s="682"/>
      <c r="AE1478" s="684">
        <v>0</v>
      </c>
      <c r="AF1478" s="719">
        <v>0</v>
      </c>
      <c r="AG1478" s="681">
        <v>0</v>
      </c>
      <c r="AH1478" s="720"/>
      <c r="AI1478" s="720"/>
      <c r="AJ1478" s="720"/>
      <c r="AK1478" s="720"/>
      <c r="AL1478" s="720"/>
      <c r="AM1478" s="720"/>
      <c r="AN1478" s="720"/>
      <c r="AO1478" s="720"/>
      <c r="AP1478" s="720"/>
      <c r="AQ1478" s="720"/>
      <c r="AR1478" s="720"/>
      <c r="AS1478" s="720"/>
      <c r="AT1478" s="720"/>
      <c r="AU1478" s="720"/>
      <c r="AV1478" s="720"/>
      <c r="AW1478" s="720"/>
      <c r="AX1478" s="720"/>
      <c r="AY1478" s="720"/>
      <c r="AZ1478" s="720"/>
      <c r="BA1478" s="720"/>
      <c r="BB1478" s="720"/>
      <c r="BC1478" s="720"/>
      <c r="BD1478" s="720"/>
      <c r="BE1478" s="720"/>
      <c r="BF1478" s="720"/>
      <c r="BG1478" s="720"/>
      <c r="BH1478" s="720"/>
      <c r="BI1478" s="720"/>
      <c r="BJ1478" s="720"/>
      <c r="BK1478" s="720"/>
      <c r="BL1478" s="720"/>
      <c r="BM1478" s="720"/>
      <c r="BN1478" s="720"/>
      <c r="BO1478" s="720"/>
      <c r="BP1478" s="720"/>
      <c r="BQ1478" s="720"/>
      <c r="BR1478" s="720"/>
      <c r="BS1478" s="720"/>
      <c r="BT1478" s="720"/>
      <c r="BU1478" s="720"/>
      <c r="BV1478" s="720"/>
      <c r="BW1478" s="720"/>
      <c r="BX1478" s="720"/>
      <c r="BY1478" s="720"/>
      <c r="BZ1478" s="720"/>
      <c r="CA1478" s="720"/>
    </row>
    <row r="1479" spans="1:79" s="451" customFormat="1" hidden="1" outlineLevel="1" x14ac:dyDescent="0.25">
      <c r="A1479" s="656"/>
      <c r="B1479" s="570"/>
      <c r="C1479" s="570"/>
      <c r="D1479" s="570"/>
      <c r="E1479" s="570" t="s">
        <v>1338</v>
      </c>
      <c r="F1479" s="656" t="s">
        <v>618</v>
      </c>
      <c r="G1479" s="719"/>
      <c r="H1479" s="719"/>
      <c r="I1479" s="719"/>
      <c r="J1479" s="719"/>
      <c r="K1479" s="719"/>
      <c r="L1479" s="719"/>
      <c r="M1479" s="719"/>
      <c r="N1479" s="719"/>
      <c r="O1479" s="719"/>
      <c r="P1479" s="716"/>
      <c r="Q1479" s="716"/>
      <c r="R1479" s="720"/>
      <c r="S1479" s="667"/>
      <c r="T1479" s="667"/>
      <c r="U1479" s="667"/>
      <c r="V1479" s="667"/>
      <c r="W1479" s="667"/>
      <c r="X1479" s="667"/>
      <c r="Y1479" s="667"/>
      <c r="Z1479" s="667"/>
      <c r="AA1479" s="667"/>
      <c r="AB1479" s="667"/>
      <c r="AC1479" s="686"/>
      <c r="AD1479" s="686"/>
      <c r="AE1479" s="667">
        <v>0</v>
      </c>
      <c r="AF1479" s="719">
        <v>0</v>
      </c>
      <c r="AG1479" s="665">
        <v>0</v>
      </c>
      <c r="AH1479" s="720"/>
      <c r="AI1479" s="720"/>
      <c r="AJ1479" s="720"/>
      <c r="AK1479" s="720"/>
      <c r="AL1479" s="720"/>
      <c r="AM1479" s="720"/>
      <c r="AN1479" s="720"/>
      <c r="AO1479" s="720"/>
      <c r="AP1479" s="720"/>
      <c r="AQ1479" s="720"/>
      <c r="AR1479" s="720"/>
      <c r="AS1479" s="720"/>
      <c r="AT1479" s="720"/>
      <c r="AU1479" s="720"/>
      <c r="AV1479" s="720"/>
      <c r="AW1479" s="720"/>
      <c r="AX1479" s="720"/>
      <c r="AY1479" s="720"/>
      <c r="AZ1479" s="720"/>
      <c r="BA1479" s="720"/>
      <c r="BB1479" s="720"/>
      <c r="BC1479" s="720"/>
      <c r="BD1479" s="720"/>
      <c r="BE1479" s="720"/>
      <c r="BF1479" s="720"/>
      <c r="BG1479" s="720"/>
      <c r="BH1479" s="720"/>
      <c r="BI1479" s="720"/>
      <c r="BJ1479" s="720"/>
      <c r="BK1479" s="720"/>
      <c r="BL1479" s="720"/>
      <c r="BM1479" s="720"/>
      <c r="BN1479" s="720"/>
      <c r="BO1479" s="720"/>
      <c r="BP1479" s="720"/>
      <c r="BQ1479" s="720"/>
      <c r="BR1479" s="720"/>
      <c r="BS1479" s="720"/>
      <c r="BT1479" s="720"/>
      <c r="BU1479" s="720"/>
      <c r="BV1479" s="720"/>
      <c r="BW1479" s="720"/>
      <c r="BX1479" s="720"/>
      <c r="BY1479" s="720"/>
      <c r="BZ1479" s="720"/>
      <c r="CA1479" s="720"/>
    </row>
    <row r="1480" spans="1:79" s="451" customFormat="1" hidden="1" outlineLevel="1" x14ac:dyDescent="0.25">
      <c r="A1480" s="657"/>
      <c r="B1480" s="570"/>
      <c r="C1480" s="570"/>
      <c r="D1480" s="570"/>
      <c r="E1480" s="570" t="s">
        <v>49</v>
      </c>
      <c r="F1480" s="657" t="s">
        <v>619</v>
      </c>
      <c r="G1480" s="664"/>
      <c r="H1480" s="664"/>
      <c r="I1480" s="664"/>
      <c r="J1480" s="664"/>
      <c r="K1480" s="664"/>
      <c r="L1480" s="664"/>
      <c r="M1480" s="664"/>
      <c r="N1480" s="664"/>
      <c r="O1480" s="664"/>
      <c r="P1480" s="664"/>
      <c r="Q1480" s="664"/>
      <c r="R1480" s="664"/>
      <c r="S1480" s="678"/>
      <c r="T1480" s="678"/>
      <c r="U1480" s="678"/>
      <c r="V1480" s="678"/>
      <c r="W1480" s="678"/>
      <c r="X1480" s="678"/>
      <c r="Y1480" s="678"/>
      <c r="Z1480" s="678"/>
      <c r="AA1480" s="678"/>
      <c r="AB1480" s="678"/>
      <c r="AC1480" s="678"/>
      <c r="AD1480" s="678"/>
      <c r="AE1480" s="678">
        <f>ROUND(SUM(AE1477:AE1479),5)</f>
        <v>0</v>
      </c>
      <c r="AF1480" s="664">
        <f>ROUND(SUM(AF1477:AF1479),5)</f>
        <v>0</v>
      </c>
      <c r="AG1480" s="678">
        <f>ROUND(SUM(AG1477:AG1479),5)</f>
        <v>0</v>
      </c>
      <c r="AH1480" s="664">
        <f t="shared" ref="AH1480:BO1480" si="610">SUM(AH1478:AH1479)</f>
        <v>0</v>
      </c>
      <c r="AI1480" s="664">
        <f t="shared" si="610"/>
        <v>0</v>
      </c>
      <c r="AJ1480" s="664">
        <f t="shared" si="610"/>
        <v>0</v>
      </c>
      <c r="AK1480" s="664">
        <f t="shared" si="610"/>
        <v>0</v>
      </c>
      <c r="AL1480" s="664">
        <f t="shared" si="610"/>
        <v>0</v>
      </c>
      <c r="AM1480" s="664">
        <f t="shared" si="610"/>
        <v>0</v>
      </c>
      <c r="AN1480" s="664">
        <f t="shared" si="610"/>
        <v>0</v>
      </c>
      <c r="AO1480" s="664">
        <f t="shared" si="610"/>
        <v>0</v>
      </c>
      <c r="AP1480" s="664">
        <f t="shared" si="610"/>
        <v>0</v>
      </c>
      <c r="AQ1480" s="664">
        <f t="shared" si="610"/>
        <v>0</v>
      </c>
      <c r="AR1480" s="664">
        <f t="shared" si="610"/>
        <v>0</v>
      </c>
      <c r="AS1480" s="664">
        <f t="shared" si="610"/>
        <v>0</v>
      </c>
      <c r="AT1480" s="664">
        <f t="shared" si="610"/>
        <v>0</v>
      </c>
      <c r="AU1480" s="664">
        <f t="shared" si="610"/>
        <v>0</v>
      </c>
      <c r="AV1480" s="664">
        <f t="shared" si="610"/>
        <v>0</v>
      </c>
      <c r="AW1480" s="664">
        <f t="shared" si="610"/>
        <v>0</v>
      </c>
      <c r="AX1480" s="664">
        <f t="shared" si="610"/>
        <v>0</v>
      </c>
      <c r="AY1480" s="664">
        <f t="shared" si="610"/>
        <v>0</v>
      </c>
      <c r="AZ1480" s="664">
        <f t="shared" si="610"/>
        <v>0</v>
      </c>
      <c r="BA1480" s="664">
        <f t="shared" si="610"/>
        <v>0</v>
      </c>
      <c r="BB1480" s="664">
        <f t="shared" si="610"/>
        <v>0</v>
      </c>
      <c r="BC1480" s="664">
        <f t="shared" si="610"/>
        <v>0</v>
      </c>
      <c r="BD1480" s="664">
        <f t="shared" si="610"/>
        <v>0</v>
      </c>
      <c r="BE1480" s="664">
        <f t="shared" si="610"/>
        <v>0</v>
      </c>
      <c r="BF1480" s="664">
        <f t="shared" si="610"/>
        <v>0</v>
      </c>
      <c r="BG1480" s="664">
        <f t="shared" si="610"/>
        <v>0</v>
      </c>
      <c r="BH1480" s="664">
        <f t="shared" si="610"/>
        <v>0</v>
      </c>
      <c r="BI1480" s="664">
        <f t="shared" si="610"/>
        <v>0</v>
      </c>
      <c r="BJ1480" s="664">
        <f t="shared" si="610"/>
        <v>0</v>
      </c>
      <c r="BK1480" s="664">
        <f t="shared" si="610"/>
        <v>0</v>
      </c>
      <c r="BL1480" s="664">
        <f t="shared" si="610"/>
        <v>0</v>
      </c>
      <c r="BM1480" s="664">
        <f t="shared" si="610"/>
        <v>0</v>
      </c>
      <c r="BN1480" s="664">
        <f t="shared" si="610"/>
        <v>0</v>
      </c>
      <c r="BO1480" s="664">
        <f t="shared" si="610"/>
        <v>0</v>
      </c>
      <c r="BP1480" s="664">
        <f t="shared" ref="BP1480:CA1480" si="611">SUM(BP1478:BP1479)</f>
        <v>0</v>
      </c>
      <c r="BQ1480" s="664">
        <f t="shared" si="611"/>
        <v>0</v>
      </c>
      <c r="BR1480" s="664">
        <f t="shared" si="611"/>
        <v>0</v>
      </c>
      <c r="BS1480" s="664">
        <f t="shared" si="611"/>
        <v>0</v>
      </c>
      <c r="BT1480" s="664">
        <f t="shared" si="611"/>
        <v>0</v>
      </c>
      <c r="BU1480" s="664">
        <f t="shared" si="611"/>
        <v>0</v>
      </c>
      <c r="BV1480" s="664">
        <f t="shared" si="611"/>
        <v>0</v>
      </c>
      <c r="BW1480" s="664">
        <f t="shared" si="611"/>
        <v>0</v>
      </c>
      <c r="BX1480" s="664">
        <f t="shared" si="611"/>
        <v>0</v>
      </c>
      <c r="BY1480" s="664">
        <f t="shared" si="611"/>
        <v>0</v>
      </c>
      <c r="BZ1480" s="664">
        <f t="shared" si="611"/>
        <v>0</v>
      </c>
      <c r="CA1480" s="664">
        <f t="shared" si="611"/>
        <v>0</v>
      </c>
    </row>
    <row r="1481" spans="1:79" s="451" customFormat="1" hidden="1" outlineLevel="1" x14ac:dyDescent="0.25">
      <c r="A1481" s="658"/>
      <c r="B1481" s="570"/>
      <c r="C1481" s="570"/>
      <c r="D1481" s="570"/>
      <c r="E1481" s="570" t="s">
        <v>945</v>
      </c>
      <c r="F1481" s="658" t="s">
        <v>595</v>
      </c>
      <c r="G1481" s="719"/>
      <c r="H1481" s="719"/>
      <c r="I1481" s="719"/>
      <c r="J1481" s="719"/>
      <c r="K1481" s="719"/>
      <c r="L1481" s="719"/>
      <c r="M1481" s="719"/>
      <c r="N1481" s="719"/>
      <c r="O1481" s="719"/>
      <c r="P1481" s="716"/>
      <c r="Q1481" s="716"/>
      <c r="R1481" s="720"/>
      <c r="S1481" s="667"/>
      <c r="T1481" s="667"/>
      <c r="U1481" s="667"/>
      <c r="V1481" s="667"/>
      <c r="W1481" s="667"/>
      <c r="X1481" s="667"/>
      <c r="Y1481" s="667"/>
      <c r="Z1481" s="667"/>
      <c r="AA1481" s="667"/>
      <c r="AB1481" s="667"/>
      <c r="AC1481" s="686"/>
      <c r="AD1481" s="686"/>
      <c r="AE1481" s="667">
        <v>0</v>
      </c>
      <c r="AF1481" s="719">
        <v>0</v>
      </c>
      <c r="AG1481" s="665">
        <v>0</v>
      </c>
      <c r="AH1481" s="720"/>
      <c r="AI1481" s="720"/>
      <c r="AJ1481" s="720"/>
      <c r="AK1481" s="720"/>
      <c r="AL1481" s="720"/>
      <c r="AM1481" s="720"/>
      <c r="AN1481" s="720"/>
      <c r="AO1481" s="720"/>
      <c r="AP1481" s="720"/>
      <c r="AQ1481" s="720"/>
      <c r="AR1481" s="720"/>
      <c r="AS1481" s="720"/>
      <c r="AT1481" s="720"/>
      <c r="AU1481" s="720"/>
      <c r="AV1481" s="720"/>
      <c r="AW1481" s="720"/>
      <c r="AX1481" s="720"/>
      <c r="AY1481" s="720"/>
      <c r="AZ1481" s="720"/>
      <c r="BA1481" s="720"/>
      <c r="BB1481" s="720"/>
      <c r="BC1481" s="720"/>
      <c r="BD1481" s="720"/>
      <c r="BE1481" s="720"/>
      <c r="BF1481" s="720"/>
      <c r="BG1481" s="720"/>
      <c r="BH1481" s="720"/>
      <c r="BI1481" s="720"/>
      <c r="BJ1481" s="720"/>
      <c r="BK1481" s="720"/>
      <c r="BL1481" s="720"/>
      <c r="BM1481" s="720"/>
      <c r="BN1481" s="720"/>
      <c r="BO1481" s="720"/>
      <c r="BP1481" s="720"/>
      <c r="BQ1481" s="720"/>
      <c r="BR1481" s="720"/>
      <c r="BS1481" s="720"/>
      <c r="BT1481" s="720"/>
      <c r="BU1481" s="720"/>
      <c r="BV1481" s="720"/>
      <c r="BW1481" s="720"/>
      <c r="BX1481" s="720"/>
      <c r="BY1481" s="720"/>
      <c r="BZ1481" s="720"/>
      <c r="CA1481" s="720"/>
    </row>
    <row r="1482" spans="1:79" s="740" customFormat="1" hidden="1" outlineLevel="1" x14ac:dyDescent="0.25">
      <c r="A1482" s="658"/>
      <c r="B1482" s="570"/>
      <c r="C1482" s="570"/>
      <c r="D1482" s="570"/>
      <c r="E1482" s="570" t="s">
        <v>941</v>
      </c>
      <c r="F1482" s="658" t="s">
        <v>596</v>
      </c>
      <c r="G1482" s="719"/>
      <c r="H1482" s="719"/>
      <c r="I1482" s="719"/>
      <c r="J1482" s="719"/>
      <c r="K1482" s="719"/>
      <c r="L1482" s="719"/>
      <c r="M1482" s="719"/>
      <c r="N1482" s="719"/>
      <c r="O1482" s="719"/>
      <c r="P1482" s="716"/>
      <c r="Q1482" s="716"/>
      <c r="R1482" s="720"/>
      <c r="S1482" s="667"/>
      <c r="T1482" s="667"/>
      <c r="U1482" s="667"/>
      <c r="V1482" s="667"/>
      <c r="W1482" s="667"/>
      <c r="X1482" s="667"/>
      <c r="Y1482" s="667"/>
      <c r="Z1482" s="667"/>
      <c r="AA1482" s="667"/>
      <c r="AB1482" s="667"/>
      <c r="AC1482" s="686"/>
      <c r="AD1482" s="686"/>
      <c r="AE1482" s="667">
        <v>0</v>
      </c>
      <c r="AF1482" s="719">
        <v>0</v>
      </c>
      <c r="AG1482" s="665">
        <v>0</v>
      </c>
      <c r="AH1482" s="720"/>
      <c r="AI1482" s="720"/>
      <c r="AJ1482" s="720"/>
      <c r="AK1482" s="720"/>
      <c r="AL1482" s="720"/>
      <c r="AM1482" s="720"/>
      <c r="AN1482" s="720"/>
      <c r="AO1482" s="720"/>
      <c r="AP1482" s="720"/>
      <c r="AQ1482" s="720"/>
      <c r="AR1482" s="720"/>
      <c r="AS1482" s="720"/>
      <c r="AT1482" s="720"/>
      <c r="AU1482" s="720"/>
      <c r="AV1482" s="720"/>
      <c r="AW1482" s="720"/>
      <c r="AX1482" s="720"/>
      <c r="AY1482" s="720"/>
      <c r="AZ1482" s="720"/>
      <c r="BA1482" s="720"/>
      <c r="BB1482" s="720"/>
      <c r="BC1482" s="720"/>
      <c r="BD1482" s="720"/>
      <c r="BE1482" s="720"/>
      <c r="BF1482" s="720"/>
      <c r="BG1482" s="720"/>
      <c r="BH1482" s="720"/>
      <c r="BI1482" s="720"/>
      <c r="BJ1482" s="720"/>
      <c r="BK1482" s="720"/>
      <c r="BL1482" s="720"/>
      <c r="BM1482" s="720"/>
      <c r="BN1482" s="720"/>
      <c r="BO1482" s="720"/>
      <c r="BP1482" s="720"/>
      <c r="BQ1482" s="720"/>
      <c r="BR1482" s="720"/>
      <c r="BS1482" s="720"/>
      <c r="BT1482" s="720"/>
      <c r="BU1482" s="720"/>
      <c r="BV1482" s="720"/>
      <c r="BW1482" s="720"/>
      <c r="BX1482" s="720"/>
      <c r="BY1482" s="720"/>
      <c r="BZ1482" s="720"/>
      <c r="CA1482" s="720"/>
    </row>
    <row r="1483" spans="1:79" s="451" customFormat="1" hidden="1" outlineLevel="1" x14ac:dyDescent="0.25">
      <c r="A1483" s="658"/>
      <c r="B1483" s="570"/>
      <c r="C1483" s="570"/>
      <c r="D1483" s="570"/>
      <c r="E1483" s="570" t="s">
        <v>943</v>
      </c>
      <c r="F1483" s="658" t="s">
        <v>597</v>
      </c>
      <c r="G1483" s="719"/>
      <c r="H1483" s="719"/>
      <c r="I1483" s="719"/>
      <c r="J1483" s="719"/>
      <c r="K1483" s="719"/>
      <c r="L1483" s="719"/>
      <c r="M1483" s="719"/>
      <c r="N1483" s="719"/>
      <c r="O1483" s="719"/>
      <c r="P1483" s="716"/>
      <c r="Q1483" s="716"/>
      <c r="R1483" s="720"/>
      <c r="S1483" s="667"/>
      <c r="T1483" s="667"/>
      <c r="U1483" s="667"/>
      <c r="V1483" s="667"/>
      <c r="W1483" s="667"/>
      <c r="X1483" s="667"/>
      <c r="Y1483" s="667"/>
      <c r="Z1483" s="667"/>
      <c r="AA1483" s="667"/>
      <c r="AB1483" s="667"/>
      <c r="AC1483" s="665"/>
      <c r="AD1483" s="665"/>
      <c r="AE1483" s="667">
        <v>0</v>
      </c>
      <c r="AF1483" s="719">
        <v>0</v>
      </c>
      <c r="AG1483" s="665">
        <v>0</v>
      </c>
      <c r="AH1483" s="720"/>
      <c r="AI1483" s="720"/>
      <c r="AJ1483" s="720"/>
      <c r="AK1483" s="720"/>
      <c r="AL1483" s="720"/>
      <c r="AM1483" s="720"/>
      <c r="AN1483" s="720"/>
      <c r="AO1483" s="720"/>
      <c r="AP1483" s="720"/>
      <c r="AQ1483" s="720"/>
      <c r="AR1483" s="720"/>
      <c r="AS1483" s="720"/>
      <c r="AT1483" s="720"/>
      <c r="AU1483" s="720"/>
      <c r="AV1483" s="720"/>
      <c r="AW1483" s="720"/>
      <c r="AX1483" s="720"/>
      <c r="AY1483" s="720"/>
      <c r="AZ1483" s="720"/>
      <c r="BA1483" s="720"/>
      <c r="BB1483" s="720"/>
      <c r="BC1483" s="720"/>
      <c r="BD1483" s="720"/>
      <c r="BE1483" s="720"/>
      <c r="BF1483" s="720"/>
      <c r="BG1483" s="720"/>
      <c r="BH1483" s="720"/>
      <c r="BI1483" s="720"/>
      <c r="BJ1483" s="720"/>
      <c r="BK1483" s="720"/>
      <c r="BL1483" s="720"/>
      <c r="BM1483" s="720"/>
      <c r="BN1483" s="720"/>
      <c r="BO1483" s="720"/>
      <c r="BP1483" s="720"/>
      <c r="BQ1483" s="720"/>
      <c r="BR1483" s="720"/>
      <c r="BS1483" s="720"/>
      <c r="BT1483" s="720"/>
      <c r="BU1483" s="720"/>
      <c r="BV1483" s="720"/>
      <c r="BW1483" s="720"/>
      <c r="BX1483" s="720"/>
      <c r="BY1483" s="720"/>
      <c r="BZ1483" s="720"/>
      <c r="CA1483" s="720"/>
    </row>
    <row r="1484" spans="1:79" s="693" customFormat="1" hidden="1" outlineLevel="1" x14ac:dyDescent="0.25">
      <c r="A1484" s="701"/>
      <c r="B1484" s="700"/>
      <c r="C1484" s="700"/>
      <c r="D1484" s="700"/>
      <c r="E1484" s="570" t="s">
        <v>1339</v>
      </c>
      <c r="F1484" s="701" t="s">
        <v>598</v>
      </c>
      <c r="G1484" s="765"/>
      <c r="H1484" s="765"/>
      <c r="I1484" s="765"/>
      <c r="J1484" s="765"/>
      <c r="K1484" s="765"/>
      <c r="L1484" s="765"/>
      <c r="M1484" s="765"/>
      <c r="N1484" s="765"/>
      <c r="O1484" s="765"/>
      <c r="P1484" s="736"/>
      <c r="Q1484" s="736"/>
      <c r="R1484" s="762"/>
      <c r="S1484" s="697"/>
      <c r="T1484" s="697"/>
      <c r="U1484" s="697"/>
      <c r="V1484" s="697"/>
      <c r="W1484" s="697"/>
      <c r="X1484" s="697"/>
      <c r="Y1484" s="697"/>
      <c r="Z1484" s="697"/>
      <c r="AA1484" s="697"/>
      <c r="AB1484" s="697"/>
      <c r="AC1484" s="705"/>
      <c r="AD1484" s="705"/>
      <c r="AE1484" s="697"/>
      <c r="AF1484" s="733"/>
      <c r="AG1484" s="696"/>
      <c r="AH1484" s="735"/>
      <c r="AI1484" s="735"/>
      <c r="AJ1484" s="735"/>
      <c r="AK1484" s="735"/>
      <c r="AL1484" s="735"/>
      <c r="AM1484" s="735"/>
      <c r="AN1484" s="735"/>
      <c r="AO1484" s="735"/>
      <c r="AP1484" s="735"/>
      <c r="AQ1484" s="735"/>
      <c r="AR1484" s="735"/>
      <c r="AS1484" s="735"/>
      <c r="AT1484" s="735"/>
      <c r="AU1484" s="735"/>
      <c r="AV1484" s="735"/>
      <c r="AW1484" s="735"/>
      <c r="AX1484" s="735"/>
      <c r="AY1484" s="735"/>
      <c r="AZ1484" s="735"/>
      <c r="BA1484" s="735"/>
      <c r="BB1484" s="735"/>
      <c r="BC1484" s="735"/>
      <c r="BD1484" s="735"/>
      <c r="BE1484" s="735"/>
      <c r="BF1484" s="735"/>
      <c r="BG1484" s="735"/>
      <c r="BH1484" s="735"/>
      <c r="BI1484" s="735"/>
      <c r="BJ1484" s="735"/>
      <c r="BK1484" s="735"/>
      <c r="BL1484" s="735"/>
      <c r="BM1484" s="735"/>
      <c r="BN1484" s="735"/>
      <c r="BO1484" s="735"/>
      <c r="BP1484" s="735"/>
      <c r="BQ1484" s="735"/>
      <c r="BR1484" s="735"/>
      <c r="BS1484" s="735"/>
      <c r="BT1484" s="735"/>
      <c r="BU1484" s="735"/>
      <c r="BV1484" s="735"/>
      <c r="BW1484" s="735"/>
      <c r="BX1484" s="735"/>
      <c r="BY1484" s="735"/>
      <c r="BZ1484" s="735"/>
      <c r="CA1484" s="735"/>
    </row>
    <row r="1485" spans="1:79" s="740" customFormat="1" hidden="1" outlineLevel="1" x14ac:dyDescent="0.25">
      <c r="A1485" s="656"/>
      <c r="B1485" s="576"/>
      <c r="C1485" s="576"/>
      <c r="D1485" s="576"/>
      <c r="E1485" s="570" t="s">
        <v>1339</v>
      </c>
      <c r="F1485" s="656" t="s">
        <v>649</v>
      </c>
      <c r="G1485" s="723"/>
      <c r="H1485" s="723"/>
      <c r="I1485" s="723"/>
      <c r="J1485" s="723"/>
      <c r="K1485" s="723"/>
      <c r="L1485" s="723"/>
      <c r="M1485" s="723"/>
      <c r="N1485" s="723"/>
      <c r="O1485" s="723"/>
      <c r="P1485" s="718"/>
      <c r="Q1485" s="718"/>
      <c r="R1485" s="717"/>
      <c r="S1485" s="676"/>
      <c r="T1485" s="676"/>
      <c r="U1485" s="676"/>
      <c r="V1485" s="676"/>
      <c r="W1485" s="676"/>
      <c r="X1485" s="676"/>
      <c r="Y1485" s="676"/>
      <c r="Z1485" s="676"/>
      <c r="AA1485" s="676"/>
      <c r="AB1485" s="676"/>
      <c r="AC1485" s="674"/>
      <c r="AD1485" s="674"/>
      <c r="AE1485" s="676">
        <v>0</v>
      </c>
      <c r="AF1485" s="719">
        <v>0</v>
      </c>
      <c r="AG1485" s="669">
        <v>0</v>
      </c>
      <c r="AH1485" s="720"/>
      <c r="AI1485" s="720"/>
      <c r="AJ1485" s="720"/>
      <c r="AK1485" s="720"/>
      <c r="AL1485" s="720"/>
      <c r="AM1485" s="720"/>
      <c r="AN1485" s="720"/>
      <c r="AO1485" s="720"/>
      <c r="AP1485" s="720"/>
      <c r="AQ1485" s="720"/>
      <c r="AR1485" s="720"/>
      <c r="AS1485" s="720"/>
      <c r="AT1485" s="720"/>
      <c r="AU1485" s="720"/>
      <c r="AV1485" s="720"/>
      <c r="AW1485" s="720"/>
      <c r="AX1485" s="720"/>
      <c r="AY1485" s="720"/>
      <c r="AZ1485" s="720"/>
      <c r="BA1485" s="720"/>
      <c r="BB1485" s="720"/>
      <c r="BC1485" s="720"/>
      <c r="BD1485" s="720"/>
      <c r="BE1485" s="720"/>
      <c r="BF1485" s="720"/>
      <c r="BG1485" s="720"/>
      <c r="BH1485" s="720"/>
      <c r="BI1485" s="720"/>
      <c r="BJ1485" s="720"/>
      <c r="BK1485" s="720"/>
      <c r="BL1485" s="720"/>
      <c r="BM1485" s="720"/>
      <c r="BN1485" s="720"/>
      <c r="BO1485" s="720"/>
      <c r="BP1485" s="720"/>
      <c r="BQ1485" s="720"/>
      <c r="BR1485" s="720"/>
      <c r="BS1485" s="720"/>
      <c r="BT1485" s="720"/>
      <c r="BU1485" s="720"/>
      <c r="BV1485" s="720"/>
      <c r="BW1485" s="720"/>
      <c r="BX1485" s="720"/>
      <c r="BY1485" s="720"/>
      <c r="BZ1485" s="720"/>
      <c r="CA1485" s="720"/>
    </row>
    <row r="1486" spans="1:79" s="740" customFormat="1" hidden="1" outlineLevel="1" x14ac:dyDescent="0.25">
      <c r="A1486" s="656"/>
      <c r="B1486" s="576"/>
      <c r="C1486" s="576"/>
      <c r="D1486" s="576"/>
      <c r="E1486" s="570" t="s">
        <v>1339</v>
      </c>
      <c r="F1486" s="656" t="s">
        <v>620</v>
      </c>
      <c r="G1486" s="723"/>
      <c r="H1486" s="723"/>
      <c r="I1486" s="723"/>
      <c r="J1486" s="723"/>
      <c r="K1486" s="723"/>
      <c r="L1486" s="723"/>
      <c r="M1486" s="723"/>
      <c r="N1486" s="723"/>
      <c r="O1486" s="723"/>
      <c r="P1486" s="718"/>
      <c r="Q1486" s="718"/>
      <c r="R1486" s="717"/>
      <c r="S1486" s="667"/>
      <c r="T1486" s="667"/>
      <c r="U1486" s="667"/>
      <c r="V1486" s="667"/>
      <c r="W1486" s="667"/>
      <c r="X1486" s="667"/>
      <c r="Y1486" s="667"/>
      <c r="Z1486" s="667"/>
      <c r="AA1486" s="667"/>
      <c r="AB1486" s="667"/>
      <c r="AC1486" s="686"/>
      <c r="AD1486" s="686"/>
      <c r="AE1486" s="667">
        <v>0</v>
      </c>
      <c r="AF1486" s="719">
        <v>0</v>
      </c>
      <c r="AG1486" s="681">
        <v>0</v>
      </c>
      <c r="AH1486" s="720"/>
      <c r="AI1486" s="720"/>
      <c r="AJ1486" s="720"/>
      <c r="AK1486" s="720"/>
      <c r="AL1486" s="720"/>
      <c r="AM1486" s="720"/>
      <c r="AN1486" s="720"/>
      <c r="AO1486" s="720"/>
      <c r="AP1486" s="720"/>
      <c r="AQ1486" s="720"/>
      <c r="AR1486" s="720"/>
      <c r="AS1486" s="720"/>
      <c r="AT1486" s="720"/>
      <c r="AU1486" s="720"/>
      <c r="AV1486" s="720"/>
      <c r="AW1486" s="720"/>
      <c r="AX1486" s="720"/>
      <c r="AY1486" s="720"/>
      <c r="AZ1486" s="720"/>
      <c r="BA1486" s="720"/>
      <c r="BB1486" s="720"/>
      <c r="BC1486" s="720"/>
      <c r="BD1486" s="720"/>
      <c r="BE1486" s="720"/>
      <c r="BF1486" s="720"/>
      <c r="BG1486" s="720"/>
      <c r="BH1486" s="720"/>
      <c r="BI1486" s="720"/>
      <c r="BJ1486" s="720"/>
      <c r="BK1486" s="720"/>
      <c r="BL1486" s="720"/>
      <c r="BM1486" s="720"/>
      <c r="BN1486" s="720"/>
      <c r="BO1486" s="720"/>
      <c r="BP1486" s="720"/>
      <c r="BQ1486" s="720"/>
      <c r="BR1486" s="720"/>
      <c r="BS1486" s="720"/>
      <c r="BT1486" s="720"/>
      <c r="BU1486" s="720"/>
      <c r="BV1486" s="720"/>
      <c r="BW1486" s="720"/>
      <c r="BX1486" s="720"/>
      <c r="BY1486" s="720"/>
      <c r="BZ1486" s="720"/>
      <c r="CA1486" s="720"/>
    </row>
    <row r="1487" spans="1:79" s="451" customFormat="1" hidden="1" outlineLevel="1" x14ac:dyDescent="0.25">
      <c r="A1487" s="656"/>
      <c r="B1487" s="576"/>
      <c r="C1487" s="576"/>
      <c r="D1487" s="576"/>
      <c r="E1487" s="570" t="s">
        <v>1339</v>
      </c>
      <c r="F1487" s="656" t="s">
        <v>666</v>
      </c>
      <c r="G1487" s="723"/>
      <c r="H1487" s="723"/>
      <c r="I1487" s="723"/>
      <c r="J1487" s="723"/>
      <c r="K1487" s="723"/>
      <c r="L1487" s="723"/>
      <c r="M1487" s="723"/>
      <c r="N1487" s="723"/>
      <c r="O1487" s="723"/>
      <c r="P1487" s="718"/>
      <c r="Q1487" s="718"/>
      <c r="R1487" s="717"/>
      <c r="S1487" s="667"/>
      <c r="T1487" s="667"/>
      <c r="U1487" s="667"/>
      <c r="V1487" s="667"/>
      <c r="W1487" s="667"/>
      <c r="X1487" s="667"/>
      <c r="Y1487" s="667"/>
      <c r="Z1487" s="667"/>
      <c r="AA1487" s="667"/>
      <c r="AB1487" s="667"/>
      <c r="AC1487" s="686"/>
      <c r="AD1487" s="686"/>
      <c r="AE1487" s="667">
        <v>0</v>
      </c>
      <c r="AF1487" s="719">
        <v>0</v>
      </c>
      <c r="AG1487" s="681">
        <v>0</v>
      </c>
      <c r="AH1487" s="720"/>
      <c r="AI1487" s="720"/>
      <c r="AJ1487" s="720"/>
      <c r="AK1487" s="720"/>
      <c r="AL1487" s="720"/>
      <c r="AM1487" s="720"/>
      <c r="AN1487" s="720"/>
      <c r="AO1487" s="720"/>
      <c r="AP1487" s="720"/>
      <c r="AQ1487" s="720"/>
      <c r="AR1487" s="720"/>
      <c r="AS1487" s="720"/>
      <c r="AT1487" s="720"/>
      <c r="AU1487" s="720"/>
      <c r="AV1487" s="720"/>
      <c r="AW1487" s="720"/>
      <c r="AX1487" s="720"/>
      <c r="AY1487" s="720"/>
      <c r="AZ1487" s="720"/>
      <c r="BA1487" s="720"/>
      <c r="BB1487" s="720"/>
      <c r="BC1487" s="720"/>
      <c r="BD1487" s="720"/>
      <c r="BE1487" s="720"/>
      <c r="BF1487" s="720"/>
      <c r="BG1487" s="720"/>
      <c r="BH1487" s="720"/>
      <c r="BI1487" s="720"/>
      <c r="BJ1487" s="720"/>
      <c r="BK1487" s="720"/>
      <c r="BL1487" s="720"/>
      <c r="BM1487" s="720"/>
      <c r="BN1487" s="720"/>
      <c r="BO1487" s="720"/>
      <c r="BP1487" s="720"/>
      <c r="BQ1487" s="720"/>
      <c r="BR1487" s="720"/>
      <c r="BS1487" s="720"/>
      <c r="BT1487" s="720"/>
      <c r="BU1487" s="720"/>
      <c r="BV1487" s="720"/>
      <c r="BW1487" s="720"/>
      <c r="BX1487" s="720"/>
      <c r="BY1487" s="720"/>
      <c r="BZ1487" s="720"/>
      <c r="CA1487" s="720"/>
    </row>
    <row r="1488" spans="1:79" s="308" customFormat="1" hidden="1" outlineLevel="1" x14ac:dyDescent="0.25">
      <c r="A1488" s="656"/>
      <c r="B1488" s="576"/>
      <c r="C1488" s="576"/>
      <c r="D1488" s="576"/>
      <c r="E1488" s="570" t="s">
        <v>1339</v>
      </c>
      <c r="F1488" s="656" t="s">
        <v>621</v>
      </c>
      <c r="G1488" s="723"/>
      <c r="H1488" s="723"/>
      <c r="I1488" s="723"/>
      <c r="J1488" s="723"/>
      <c r="K1488" s="723"/>
      <c r="L1488" s="723"/>
      <c r="M1488" s="723"/>
      <c r="N1488" s="723"/>
      <c r="O1488" s="723"/>
      <c r="P1488" s="718"/>
      <c r="Q1488" s="718"/>
      <c r="R1488" s="717"/>
      <c r="S1488" s="667"/>
      <c r="T1488" s="667"/>
      <c r="U1488" s="667"/>
      <c r="V1488" s="667"/>
      <c r="W1488" s="667"/>
      <c r="X1488" s="667"/>
      <c r="Y1488" s="667"/>
      <c r="Z1488" s="667"/>
      <c r="AA1488" s="667"/>
      <c r="AB1488" s="667"/>
      <c r="AC1488" s="686"/>
      <c r="AD1488" s="686"/>
      <c r="AE1488" s="667">
        <v>3904</v>
      </c>
      <c r="AF1488" s="716">
        <v>20024</v>
      </c>
      <c r="AG1488" s="681">
        <v>8720</v>
      </c>
      <c r="AH1488" s="720"/>
      <c r="AI1488" s="720"/>
      <c r="AJ1488" s="720"/>
      <c r="AK1488" s="720"/>
      <c r="AL1488" s="720"/>
      <c r="AM1488" s="720"/>
      <c r="AN1488" s="720"/>
      <c r="AO1488" s="720"/>
      <c r="AP1488" s="720"/>
      <c r="AQ1488" s="720"/>
      <c r="AR1488" s="720"/>
      <c r="AS1488" s="720"/>
      <c r="AT1488" s="720"/>
      <c r="AU1488" s="720"/>
      <c r="AV1488" s="720"/>
      <c r="AW1488" s="720"/>
      <c r="AX1488" s="720"/>
      <c r="AY1488" s="720"/>
      <c r="AZ1488" s="720"/>
      <c r="BA1488" s="720"/>
      <c r="BB1488" s="720"/>
      <c r="BC1488" s="720"/>
      <c r="BD1488" s="720"/>
      <c r="BE1488" s="720"/>
      <c r="BF1488" s="720"/>
      <c r="BG1488" s="720"/>
      <c r="BH1488" s="720"/>
      <c r="BI1488" s="720"/>
      <c r="BJ1488" s="720"/>
      <c r="BK1488" s="720"/>
      <c r="BL1488" s="720"/>
      <c r="BM1488" s="720"/>
      <c r="BN1488" s="720"/>
      <c r="BO1488" s="720"/>
      <c r="BP1488" s="720"/>
      <c r="BQ1488" s="720"/>
      <c r="BR1488" s="720"/>
      <c r="BS1488" s="720"/>
      <c r="BT1488" s="720"/>
      <c r="BU1488" s="720"/>
      <c r="BV1488" s="720"/>
      <c r="BW1488" s="720"/>
      <c r="BX1488" s="720"/>
      <c r="BY1488" s="720"/>
      <c r="BZ1488" s="720"/>
      <c r="CA1488" s="720"/>
    </row>
    <row r="1489" spans="1:79" s="308" customFormat="1" hidden="1" outlineLevel="1" x14ac:dyDescent="0.25">
      <c r="A1489" s="656"/>
      <c r="B1489" s="576"/>
      <c r="C1489" s="576"/>
      <c r="D1489" s="576"/>
      <c r="E1489" s="570" t="s">
        <v>1339</v>
      </c>
      <c r="F1489" s="656" t="s">
        <v>650</v>
      </c>
      <c r="G1489" s="723"/>
      <c r="H1489" s="723"/>
      <c r="I1489" s="723"/>
      <c r="J1489" s="723"/>
      <c r="K1489" s="723"/>
      <c r="L1489" s="723"/>
      <c r="M1489" s="723"/>
      <c r="N1489" s="723"/>
      <c r="O1489" s="723"/>
      <c r="P1489" s="718"/>
      <c r="Q1489" s="718"/>
      <c r="R1489" s="717"/>
      <c r="S1489" s="667"/>
      <c r="T1489" s="667"/>
      <c r="U1489" s="667"/>
      <c r="V1489" s="667"/>
      <c r="W1489" s="667"/>
      <c r="X1489" s="667"/>
      <c r="Y1489" s="667"/>
      <c r="Z1489" s="667"/>
      <c r="AA1489" s="667"/>
      <c r="AB1489" s="667"/>
      <c r="AC1489" s="686"/>
      <c r="AD1489" s="686"/>
      <c r="AE1489" s="667">
        <v>0</v>
      </c>
      <c r="AF1489" s="716">
        <v>0</v>
      </c>
      <c r="AG1489" s="681">
        <v>0</v>
      </c>
      <c r="AH1489" s="720"/>
      <c r="AI1489" s="720"/>
      <c r="AJ1489" s="720"/>
      <c r="AK1489" s="720"/>
      <c r="AL1489" s="720"/>
      <c r="AM1489" s="720"/>
      <c r="AN1489" s="720"/>
      <c r="AO1489" s="720"/>
      <c r="AP1489" s="720"/>
      <c r="AQ1489" s="720"/>
      <c r="AR1489" s="720"/>
      <c r="AS1489" s="720"/>
      <c r="AT1489" s="720"/>
      <c r="AU1489" s="720"/>
      <c r="AV1489" s="720"/>
      <c r="AW1489" s="720"/>
      <c r="AX1489" s="720"/>
      <c r="AY1489" s="720"/>
      <c r="AZ1489" s="720"/>
      <c r="BA1489" s="720"/>
      <c r="BB1489" s="720"/>
      <c r="BC1489" s="720"/>
      <c r="BD1489" s="720"/>
      <c r="BE1489" s="720"/>
      <c r="BF1489" s="720"/>
      <c r="BG1489" s="720"/>
      <c r="BH1489" s="720"/>
      <c r="BI1489" s="720"/>
      <c r="BJ1489" s="720"/>
      <c r="BK1489" s="720"/>
      <c r="BL1489" s="720"/>
      <c r="BM1489" s="720"/>
      <c r="BN1489" s="720"/>
      <c r="BO1489" s="720"/>
      <c r="BP1489" s="720"/>
      <c r="BQ1489" s="720"/>
      <c r="BR1489" s="720"/>
      <c r="BS1489" s="720"/>
      <c r="BT1489" s="720"/>
      <c r="BU1489" s="720"/>
      <c r="BV1489" s="720"/>
      <c r="BW1489" s="720"/>
      <c r="BX1489" s="720"/>
      <c r="BY1489" s="720"/>
      <c r="BZ1489" s="720"/>
      <c r="CA1489" s="720"/>
    </row>
    <row r="1490" spans="1:79" s="308" customFormat="1" hidden="1" outlineLevel="1" x14ac:dyDescent="0.25">
      <c r="A1490" s="656"/>
      <c r="B1490" s="576"/>
      <c r="C1490" s="576"/>
      <c r="D1490" s="576"/>
      <c r="E1490" s="570" t="s">
        <v>1339</v>
      </c>
      <c r="F1490" s="656" t="s">
        <v>647</v>
      </c>
      <c r="G1490" s="723"/>
      <c r="H1490" s="723"/>
      <c r="I1490" s="723"/>
      <c r="J1490" s="723"/>
      <c r="K1490" s="723"/>
      <c r="L1490" s="723"/>
      <c r="M1490" s="723"/>
      <c r="N1490" s="723"/>
      <c r="O1490" s="723"/>
      <c r="P1490" s="718"/>
      <c r="Q1490" s="718"/>
      <c r="R1490" s="717"/>
      <c r="S1490" s="684"/>
      <c r="T1490" s="684"/>
      <c r="U1490" s="684"/>
      <c r="V1490" s="684"/>
      <c r="W1490" s="684"/>
      <c r="X1490" s="684"/>
      <c r="Y1490" s="684"/>
      <c r="Z1490" s="684"/>
      <c r="AA1490" s="684"/>
      <c r="AB1490" s="684"/>
      <c r="AC1490" s="686"/>
      <c r="AD1490" s="686"/>
      <c r="AE1490" s="684">
        <v>0</v>
      </c>
      <c r="AF1490" s="716">
        <v>0</v>
      </c>
      <c r="AG1490" s="665">
        <v>0</v>
      </c>
      <c r="AH1490" s="720"/>
      <c r="AI1490" s="720"/>
      <c r="AJ1490" s="720"/>
      <c r="AK1490" s="720"/>
      <c r="AL1490" s="720"/>
      <c r="AM1490" s="720"/>
      <c r="AN1490" s="720"/>
      <c r="AO1490" s="720"/>
      <c r="AP1490" s="720"/>
      <c r="AQ1490" s="720"/>
      <c r="AR1490" s="720"/>
      <c r="AS1490" s="720"/>
      <c r="AT1490" s="720"/>
      <c r="AU1490" s="720"/>
      <c r="AV1490" s="720"/>
      <c r="AW1490" s="720"/>
      <c r="AX1490" s="720"/>
      <c r="AY1490" s="720"/>
      <c r="AZ1490" s="720"/>
      <c r="BA1490" s="720"/>
      <c r="BB1490" s="720"/>
      <c r="BC1490" s="720"/>
      <c r="BD1490" s="720"/>
      <c r="BE1490" s="720"/>
      <c r="BF1490" s="720"/>
      <c r="BG1490" s="720"/>
      <c r="BH1490" s="720"/>
      <c r="BI1490" s="720"/>
      <c r="BJ1490" s="720"/>
      <c r="BK1490" s="720"/>
      <c r="BL1490" s="720"/>
      <c r="BM1490" s="720"/>
      <c r="BN1490" s="720"/>
      <c r="BO1490" s="720"/>
      <c r="BP1490" s="720"/>
      <c r="BQ1490" s="720"/>
      <c r="BR1490" s="720"/>
      <c r="BS1490" s="720"/>
      <c r="BT1490" s="720"/>
      <c r="BU1490" s="720"/>
      <c r="BV1490" s="720"/>
      <c r="BW1490" s="720"/>
      <c r="BX1490" s="720"/>
      <c r="BY1490" s="720"/>
      <c r="BZ1490" s="720"/>
      <c r="CA1490" s="720"/>
    </row>
    <row r="1491" spans="1:79" s="308" customFormat="1" hidden="1" outlineLevel="1" x14ac:dyDescent="0.25">
      <c r="A1491" s="656"/>
      <c r="B1491" s="576"/>
      <c r="C1491" s="576"/>
      <c r="D1491" s="576"/>
      <c r="E1491" s="570" t="s">
        <v>1339</v>
      </c>
      <c r="F1491" s="656" t="s">
        <v>889</v>
      </c>
      <c r="G1491" s="723"/>
      <c r="H1491" s="723"/>
      <c r="I1491" s="723"/>
      <c r="J1491" s="723"/>
      <c r="K1491" s="723"/>
      <c r="L1491" s="723"/>
      <c r="M1491" s="723"/>
      <c r="N1491" s="723"/>
      <c r="O1491" s="723"/>
      <c r="P1491" s="718"/>
      <c r="Q1491" s="718"/>
      <c r="R1491" s="717"/>
      <c r="S1491" s="684"/>
      <c r="T1491" s="684"/>
      <c r="U1491" s="684"/>
      <c r="V1491" s="684"/>
      <c r="W1491" s="684"/>
      <c r="X1491" s="684"/>
      <c r="Y1491" s="684"/>
      <c r="Z1491" s="684"/>
      <c r="AA1491" s="684"/>
      <c r="AB1491" s="684"/>
      <c r="AC1491" s="686"/>
      <c r="AD1491" s="686"/>
      <c r="AE1491" s="684">
        <v>0</v>
      </c>
      <c r="AF1491" s="716">
        <v>0</v>
      </c>
      <c r="AG1491" s="665">
        <v>0</v>
      </c>
      <c r="AH1491" s="720"/>
      <c r="AI1491" s="720"/>
      <c r="AJ1491" s="720"/>
      <c r="AK1491" s="720"/>
      <c r="AL1491" s="720"/>
      <c r="AM1491" s="720"/>
      <c r="AN1491" s="720"/>
      <c r="AO1491" s="720"/>
      <c r="AP1491" s="720"/>
      <c r="AQ1491" s="720"/>
      <c r="AR1491" s="720"/>
      <c r="AS1491" s="720"/>
      <c r="AT1491" s="720"/>
      <c r="AU1491" s="720"/>
      <c r="AV1491" s="720"/>
      <c r="AW1491" s="720"/>
      <c r="AX1491" s="720"/>
      <c r="AY1491" s="720"/>
      <c r="AZ1491" s="720"/>
      <c r="BA1491" s="720"/>
      <c r="BB1491" s="720"/>
      <c r="BC1491" s="720"/>
      <c r="BD1491" s="720"/>
      <c r="BE1491" s="720"/>
      <c r="BF1491" s="720"/>
      <c r="BG1491" s="720"/>
      <c r="BH1491" s="720"/>
      <c r="BI1491" s="720"/>
      <c r="BJ1491" s="720"/>
      <c r="BK1491" s="720"/>
      <c r="BL1491" s="720"/>
      <c r="BM1491" s="720"/>
      <c r="BN1491" s="720"/>
      <c r="BO1491" s="720"/>
      <c r="BP1491" s="720"/>
      <c r="BQ1491" s="720"/>
      <c r="BR1491" s="720"/>
      <c r="BS1491" s="720"/>
      <c r="BT1491" s="720"/>
      <c r="BU1491" s="720"/>
      <c r="BV1491" s="720"/>
      <c r="BW1491" s="720"/>
      <c r="BX1491" s="720"/>
      <c r="BY1491" s="720"/>
      <c r="BZ1491" s="720"/>
      <c r="CA1491" s="720"/>
    </row>
    <row r="1492" spans="1:79" s="308" customFormat="1" hidden="1" outlineLevel="1" x14ac:dyDescent="0.25">
      <c r="A1492" s="656"/>
      <c r="B1492" s="576"/>
      <c r="C1492" s="576"/>
      <c r="D1492" s="576"/>
      <c r="E1492" s="570" t="s">
        <v>1339</v>
      </c>
      <c r="F1492" s="656" t="s">
        <v>684</v>
      </c>
      <c r="G1492" s="723"/>
      <c r="H1492" s="723"/>
      <c r="I1492" s="723"/>
      <c r="J1492" s="723"/>
      <c r="K1492" s="723"/>
      <c r="L1492" s="723"/>
      <c r="M1492" s="723"/>
      <c r="N1492" s="723"/>
      <c r="O1492" s="723"/>
      <c r="P1492" s="718"/>
      <c r="Q1492" s="718"/>
      <c r="R1492" s="717"/>
      <c r="S1492" s="667"/>
      <c r="T1492" s="667"/>
      <c r="U1492" s="667"/>
      <c r="V1492" s="667"/>
      <c r="W1492" s="667"/>
      <c r="X1492" s="667"/>
      <c r="Y1492" s="667"/>
      <c r="Z1492" s="667"/>
      <c r="AA1492" s="667"/>
      <c r="AB1492" s="667"/>
      <c r="AC1492" s="686"/>
      <c r="AD1492" s="686"/>
      <c r="AE1492" s="667">
        <v>0</v>
      </c>
      <c r="AF1492" s="716">
        <v>0</v>
      </c>
      <c r="AG1492" s="665">
        <v>0</v>
      </c>
      <c r="AH1492" s="720"/>
      <c r="AI1492" s="720"/>
      <c r="AJ1492" s="720"/>
      <c r="AK1492" s="720"/>
      <c r="AL1492" s="720"/>
      <c r="AM1492" s="720"/>
      <c r="AN1492" s="720"/>
      <c r="AO1492" s="720"/>
      <c r="AP1492" s="720"/>
      <c r="AQ1492" s="720"/>
      <c r="AR1492" s="720"/>
      <c r="AS1492" s="720"/>
      <c r="AT1492" s="720"/>
      <c r="AU1492" s="720"/>
      <c r="AV1492" s="720"/>
      <c r="AW1492" s="720"/>
      <c r="AX1492" s="720"/>
      <c r="AY1492" s="720"/>
      <c r="AZ1492" s="720"/>
      <c r="BA1492" s="720"/>
      <c r="BB1492" s="720"/>
      <c r="BC1492" s="720"/>
      <c r="BD1492" s="720"/>
      <c r="BE1492" s="720"/>
      <c r="BF1492" s="720"/>
      <c r="BG1492" s="720"/>
      <c r="BH1492" s="720"/>
      <c r="BI1492" s="720"/>
      <c r="BJ1492" s="720"/>
      <c r="BK1492" s="720"/>
      <c r="BL1492" s="720"/>
      <c r="BM1492" s="720"/>
      <c r="BN1492" s="720"/>
      <c r="BO1492" s="720"/>
      <c r="BP1492" s="720"/>
      <c r="BQ1492" s="720"/>
      <c r="BR1492" s="720"/>
      <c r="BS1492" s="720"/>
      <c r="BT1492" s="720"/>
      <c r="BU1492" s="720"/>
      <c r="BV1492" s="720"/>
      <c r="BW1492" s="720"/>
      <c r="BX1492" s="720"/>
      <c r="BY1492" s="720"/>
      <c r="BZ1492" s="720"/>
      <c r="CA1492" s="720"/>
    </row>
    <row r="1493" spans="1:79" s="308" customFormat="1" hidden="1" outlineLevel="1" x14ac:dyDescent="0.25">
      <c r="A1493" s="656"/>
      <c r="B1493" s="576"/>
      <c r="C1493" s="576"/>
      <c r="D1493" s="576"/>
      <c r="E1493" s="570" t="s">
        <v>1339</v>
      </c>
      <c r="F1493" s="656" t="s">
        <v>890</v>
      </c>
      <c r="G1493" s="719"/>
      <c r="H1493" s="719"/>
      <c r="I1493" s="719"/>
      <c r="J1493" s="719"/>
      <c r="K1493" s="719"/>
      <c r="L1493" s="719"/>
      <c r="M1493" s="719"/>
      <c r="N1493" s="719"/>
      <c r="O1493" s="719"/>
      <c r="P1493" s="716"/>
      <c r="Q1493" s="716"/>
      <c r="R1493" s="720"/>
      <c r="S1493" s="667"/>
      <c r="T1493" s="667"/>
      <c r="U1493" s="667"/>
      <c r="V1493" s="667"/>
      <c r="W1493" s="667"/>
      <c r="X1493" s="667"/>
      <c r="Y1493" s="667"/>
      <c r="Z1493" s="667"/>
      <c r="AA1493" s="667"/>
      <c r="AB1493" s="667"/>
      <c r="AC1493" s="686"/>
      <c r="AD1493" s="686"/>
      <c r="AE1493" s="667">
        <v>0</v>
      </c>
      <c r="AF1493" s="716">
        <v>0</v>
      </c>
      <c r="AG1493" s="665">
        <v>0</v>
      </c>
      <c r="AH1493" s="720"/>
      <c r="AI1493" s="720"/>
      <c r="AJ1493" s="720"/>
      <c r="AK1493" s="720"/>
      <c r="AL1493" s="720"/>
      <c r="AM1493" s="720"/>
      <c r="AN1493" s="720"/>
      <c r="AO1493" s="720"/>
      <c r="AP1493" s="720"/>
      <c r="AQ1493" s="720"/>
      <c r="AR1493" s="720"/>
      <c r="AS1493" s="720"/>
      <c r="AT1493" s="720"/>
      <c r="AU1493" s="720"/>
      <c r="AV1493" s="720"/>
      <c r="AW1493" s="720"/>
      <c r="AX1493" s="720"/>
      <c r="AY1493" s="720"/>
      <c r="AZ1493" s="720"/>
      <c r="BA1493" s="720"/>
      <c r="BB1493" s="720"/>
      <c r="BC1493" s="720"/>
      <c r="BD1493" s="720"/>
      <c r="BE1493" s="720"/>
      <c r="BF1493" s="720"/>
      <c r="BG1493" s="720"/>
      <c r="BH1493" s="720"/>
      <c r="BI1493" s="720"/>
      <c r="BJ1493" s="720"/>
      <c r="BK1493" s="720"/>
      <c r="BL1493" s="720"/>
      <c r="BM1493" s="720"/>
      <c r="BN1493" s="720"/>
      <c r="BO1493" s="720"/>
      <c r="BP1493" s="720"/>
      <c r="BQ1493" s="720"/>
      <c r="BR1493" s="720"/>
      <c r="BS1493" s="720"/>
      <c r="BT1493" s="720"/>
      <c r="BU1493" s="720"/>
      <c r="BV1493" s="720"/>
      <c r="BW1493" s="720"/>
      <c r="BX1493" s="720"/>
      <c r="BY1493" s="720"/>
      <c r="BZ1493" s="720"/>
      <c r="CA1493" s="720"/>
    </row>
    <row r="1494" spans="1:79" hidden="1" outlineLevel="1" x14ac:dyDescent="0.25">
      <c r="A1494" s="659"/>
      <c r="B1494" s="571"/>
      <c r="C1494" s="571"/>
      <c r="D1494" s="571"/>
      <c r="E1494" s="570" t="s">
        <v>49</v>
      </c>
      <c r="F1494" s="659" t="s">
        <v>622</v>
      </c>
      <c r="G1494" s="664"/>
      <c r="H1494" s="664"/>
      <c r="I1494" s="664"/>
      <c r="J1494" s="664"/>
      <c r="K1494" s="664"/>
      <c r="L1494" s="664"/>
      <c r="M1494" s="664"/>
      <c r="N1494" s="664"/>
      <c r="O1494" s="664"/>
      <c r="P1494" s="664"/>
      <c r="Q1494" s="664"/>
      <c r="R1494" s="664"/>
      <c r="S1494" s="680"/>
      <c r="T1494" s="680"/>
      <c r="U1494" s="680"/>
      <c r="V1494" s="680"/>
      <c r="W1494" s="680"/>
      <c r="X1494" s="680"/>
      <c r="Y1494" s="680"/>
      <c r="Z1494" s="680"/>
      <c r="AA1494" s="680"/>
      <c r="AB1494" s="680"/>
      <c r="AC1494" s="680"/>
      <c r="AD1494" s="680"/>
      <c r="AE1494" s="680">
        <f>ROUND(SUM(AE1484:AE1493),5)</f>
        <v>3904</v>
      </c>
      <c r="AF1494" s="664">
        <f>ROUND(SUM(AF1484:AF1493),5)</f>
        <v>20024</v>
      </c>
      <c r="AG1494" s="680">
        <f>ROUND(SUM(AG1484:AG1493),5)</f>
        <v>8720</v>
      </c>
      <c r="AH1494" s="664">
        <f t="shared" ref="AH1494:BO1494" si="612">SUM(AH1485:AH1493)</f>
        <v>0</v>
      </c>
      <c r="AI1494" s="664">
        <f t="shared" si="612"/>
        <v>0</v>
      </c>
      <c r="AJ1494" s="664">
        <f t="shared" si="612"/>
        <v>0</v>
      </c>
      <c r="AK1494" s="664">
        <f t="shared" si="612"/>
        <v>0</v>
      </c>
      <c r="AL1494" s="664">
        <f t="shared" si="612"/>
        <v>0</v>
      </c>
      <c r="AM1494" s="664">
        <f t="shared" si="612"/>
        <v>0</v>
      </c>
      <c r="AN1494" s="664">
        <f t="shared" si="612"/>
        <v>0</v>
      </c>
      <c r="AO1494" s="664">
        <f t="shared" si="612"/>
        <v>0</v>
      </c>
      <c r="AP1494" s="664">
        <f t="shared" si="612"/>
        <v>0</v>
      </c>
      <c r="AQ1494" s="664">
        <f t="shared" si="612"/>
        <v>0</v>
      </c>
      <c r="AR1494" s="664">
        <f t="shared" si="612"/>
        <v>0</v>
      </c>
      <c r="AS1494" s="664">
        <f t="shared" si="612"/>
        <v>0</v>
      </c>
      <c r="AT1494" s="664">
        <f t="shared" si="612"/>
        <v>0</v>
      </c>
      <c r="AU1494" s="664">
        <f t="shared" si="612"/>
        <v>0</v>
      </c>
      <c r="AV1494" s="664">
        <f t="shared" si="612"/>
        <v>0</v>
      </c>
      <c r="AW1494" s="664">
        <f t="shared" si="612"/>
        <v>0</v>
      </c>
      <c r="AX1494" s="664">
        <f t="shared" si="612"/>
        <v>0</v>
      </c>
      <c r="AY1494" s="664">
        <f t="shared" si="612"/>
        <v>0</v>
      </c>
      <c r="AZ1494" s="664">
        <f t="shared" si="612"/>
        <v>0</v>
      </c>
      <c r="BA1494" s="664">
        <f t="shared" si="612"/>
        <v>0</v>
      </c>
      <c r="BB1494" s="664">
        <f t="shared" si="612"/>
        <v>0</v>
      </c>
      <c r="BC1494" s="664">
        <f t="shared" si="612"/>
        <v>0</v>
      </c>
      <c r="BD1494" s="664">
        <f t="shared" si="612"/>
        <v>0</v>
      </c>
      <c r="BE1494" s="664">
        <f t="shared" si="612"/>
        <v>0</v>
      </c>
      <c r="BF1494" s="664">
        <f t="shared" si="612"/>
        <v>0</v>
      </c>
      <c r="BG1494" s="664">
        <f t="shared" si="612"/>
        <v>0</v>
      </c>
      <c r="BH1494" s="664">
        <f t="shared" si="612"/>
        <v>0</v>
      </c>
      <c r="BI1494" s="664">
        <f t="shared" si="612"/>
        <v>0</v>
      </c>
      <c r="BJ1494" s="664">
        <f t="shared" si="612"/>
        <v>0</v>
      </c>
      <c r="BK1494" s="664">
        <f t="shared" si="612"/>
        <v>0</v>
      </c>
      <c r="BL1494" s="664">
        <f t="shared" si="612"/>
        <v>0</v>
      </c>
      <c r="BM1494" s="664">
        <f t="shared" si="612"/>
        <v>0</v>
      </c>
      <c r="BN1494" s="664">
        <f t="shared" si="612"/>
        <v>0</v>
      </c>
      <c r="BO1494" s="664">
        <f t="shared" si="612"/>
        <v>0</v>
      </c>
      <c r="BP1494" s="664">
        <f t="shared" ref="BP1494:CA1494" si="613">SUM(BP1485:BP1493)</f>
        <v>0</v>
      </c>
      <c r="BQ1494" s="664">
        <f t="shared" si="613"/>
        <v>0</v>
      </c>
      <c r="BR1494" s="664">
        <f t="shared" si="613"/>
        <v>0</v>
      </c>
      <c r="BS1494" s="664">
        <f t="shared" si="613"/>
        <v>0</v>
      </c>
      <c r="BT1494" s="664">
        <f t="shared" si="613"/>
        <v>0</v>
      </c>
      <c r="BU1494" s="664">
        <f t="shared" si="613"/>
        <v>0</v>
      </c>
      <c r="BV1494" s="664">
        <f t="shared" si="613"/>
        <v>0</v>
      </c>
      <c r="BW1494" s="664">
        <f t="shared" si="613"/>
        <v>0</v>
      </c>
      <c r="BX1494" s="664">
        <f t="shared" si="613"/>
        <v>0</v>
      </c>
      <c r="BY1494" s="664">
        <f t="shared" si="613"/>
        <v>0</v>
      </c>
      <c r="BZ1494" s="664">
        <f t="shared" si="613"/>
        <v>0</v>
      </c>
      <c r="CA1494" s="664">
        <f t="shared" si="613"/>
        <v>0</v>
      </c>
    </row>
    <row r="1495" spans="1:79" s="693" customFormat="1" hidden="1" outlineLevel="1" x14ac:dyDescent="0.25">
      <c r="A1495" s="691"/>
      <c r="E1495" s="570" t="s">
        <v>1340</v>
      </c>
      <c r="F1495" s="691" t="s">
        <v>623</v>
      </c>
      <c r="G1495" s="765"/>
      <c r="H1495" s="765"/>
      <c r="I1495" s="765"/>
      <c r="J1495" s="765"/>
      <c r="K1495" s="765"/>
      <c r="L1495" s="765"/>
      <c r="M1495" s="765"/>
      <c r="N1495" s="765"/>
      <c r="O1495" s="765"/>
      <c r="P1495" s="736"/>
      <c r="Q1495" s="736"/>
      <c r="R1495" s="762"/>
      <c r="S1495" s="708"/>
      <c r="T1495" s="708"/>
      <c r="U1495" s="708"/>
      <c r="V1495" s="708"/>
      <c r="W1495" s="708"/>
      <c r="X1495" s="708"/>
      <c r="Y1495" s="708"/>
      <c r="Z1495" s="708"/>
      <c r="AA1495" s="708"/>
      <c r="AB1495" s="708"/>
      <c r="AC1495" s="708"/>
      <c r="AD1495" s="708"/>
      <c r="AE1495" s="708"/>
      <c r="AF1495" s="734"/>
      <c r="AG1495" s="708"/>
      <c r="AH1495" s="735"/>
      <c r="AI1495" s="735"/>
      <c r="AJ1495" s="735"/>
      <c r="AK1495" s="735"/>
      <c r="AL1495" s="735"/>
      <c r="AM1495" s="735"/>
      <c r="AN1495" s="735"/>
      <c r="AO1495" s="735"/>
      <c r="AP1495" s="735"/>
      <c r="AQ1495" s="735"/>
      <c r="AR1495" s="735"/>
      <c r="AS1495" s="735"/>
      <c r="AT1495" s="735"/>
      <c r="AU1495" s="735"/>
      <c r="AV1495" s="735"/>
      <c r="AW1495" s="735"/>
      <c r="AX1495" s="735"/>
      <c r="AY1495" s="735"/>
      <c r="AZ1495" s="735"/>
      <c r="BA1495" s="735"/>
      <c r="BB1495" s="735"/>
      <c r="BC1495" s="735"/>
      <c r="BD1495" s="735"/>
      <c r="BE1495" s="735"/>
      <c r="BF1495" s="735"/>
      <c r="BG1495" s="735"/>
      <c r="BH1495" s="735"/>
      <c r="BI1495" s="735"/>
      <c r="BJ1495" s="735"/>
      <c r="BK1495" s="735"/>
      <c r="BL1495" s="735"/>
      <c r="BM1495" s="735"/>
      <c r="BN1495" s="735"/>
      <c r="BO1495" s="735"/>
      <c r="BP1495" s="735"/>
      <c r="BQ1495" s="735"/>
      <c r="BR1495" s="735"/>
      <c r="BS1495" s="735"/>
      <c r="BT1495" s="735"/>
      <c r="BU1495" s="735"/>
      <c r="BV1495" s="735"/>
      <c r="BW1495" s="735"/>
      <c r="BX1495" s="735"/>
      <c r="BY1495" s="735"/>
      <c r="BZ1495" s="735"/>
      <c r="CA1495" s="735"/>
    </row>
    <row r="1496" spans="1:79" s="308" customFormat="1" hidden="1" outlineLevel="1" x14ac:dyDescent="0.25">
      <c r="A1496" s="656"/>
      <c r="B1496" s="710"/>
      <c r="C1496" s="710"/>
      <c r="D1496" s="710"/>
      <c r="E1496" s="570" t="s">
        <v>1340</v>
      </c>
      <c r="F1496" s="656" t="s">
        <v>916</v>
      </c>
      <c r="G1496" s="683"/>
      <c r="H1496" s="683"/>
      <c r="I1496" s="683"/>
      <c r="J1496" s="683"/>
      <c r="K1496" s="683"/>
      <c r="L1496" s="683"/>
      <c r="M1496" s="683"/>
      <c r="N1496" s="683"/>
      <c r="O1496" s="683"/>
      <c r="P1496" s="683"/>
      <c r="Q1496" s="683"/>
      <c r="R1496" s="683"/>
      <c r="S1496" s="684"/>
      <c r="T1496" s="684"/>
      <c r="U1496" s="684"/>
      <c r="V1496" s="684"/>
      <c r="W1496" s="684"/>
      <c r="X1496" s="684"/>
      <c r="Y1496" s="684"/>
      <c r="Z1496" s="684"/>
      <c r="AA1496" s="684"/>
      <c r="AB1496" s="684"/>
      <c r="AC1496" s="683"/>
      <c r="AD1496" s="683"/>
      <c r="AE1496" s="684">
        <v>0</v>
      </c>
      <c r="AF1496" s="683">
        <v>0</v>
      </c>
      <c r="AG1496" s="683">
        <v>0</v>
      </c>
      <c r="AH1496" s="684"/>
      <c r="AI1496" s="684"/>
      <c r="AJ1496" s="684"/>
      <c r="AK1496" s="684"/>
      <c r="AL1496" s="684"/>
      <c r="AM1496" s="684"/>
      <c r="AN1496" s="684"/>
      <c r="AO1496" s="684"/>
      <c r="AP1496" s="684"/>
      <c r="AQ1496" s="684"/>
      <c r="AR1496" s="684"/>
      <c r="AS1496" s="684"/>
      <c r="AT1496" s="684"/>
      <c r="AU1496" s="684"/>
      <c r="AV1496" s="684"/>
      <c r="AW1496" s="684"/>
      <c r="AX1496" s="684"/>
      <c r="AY1496" s="684"/>
      <c r="AZ1496" s="684"/>
      <c r="BA1496" s="684"/>
      <c r="BB1496" s="684"/>
      <c r="BC1496" s="684"/>
      <c r="BD1496" s="684"/>
      <c r="BE1496" s="684"/>
      <c r="BF1496" s="684"/>
      <c r="BG1496" s="684"/>
      <c r="BH1496" s="684"/>
      <c r="BI1496" s="684"/>
      <c r="BJ1496" s="684"/>
      <c r="BK1496" s="684"/>
      <c r="BL1496" s="684"/>
      <c r="BM1496" s="684"/>
      <c r="BN1496" s="684"/>
      <c r="BO1496" s="684"/>
      <c r="BP1496" s="684"/>
      <c r="BQ1496" s="684"/>
      <c r="BR1496" s="684"/>
      <c r="BS1496" s="684"/>
      <c r="BT1496" s="684"/>
      <c r="BU1496" s="684"/>
      <c r="BV1496" s="684"/>
      <c r="BW1496" s="684"/>
      <c r="BX1496" s="684"/>
      <c r="BY1496" s="684"/>
      <c r="BZ1496" s="684"/>
      <c r="CA1496" s="684"/>
    </row>
    <row r="1497" spans="1:79" hidden="1" outlineLevel="1" x14ac:dyDescent="0.25">
      <c r="A1497" s="656"/>
      <c r="B1497" s="576"/>
      <c r="C1497" s="576"/>
      <c r="D1497" s="576"/>
      <c r="E1497" s="570" t="s">
        <v>1340</v>
      </c>
      <c r="F1497" s="656" t="s">
        <v>667</v>
      </c>
      <c r="G1497" s="719"/>
      <c r="H1497" s="719"/>
      <c r="I1497" s="719"/>
      <c r="J1497" s="719"/>
      <c r="K1497" s="719"/>
      <c r="L1497" s="719"/>
      <c r="M1497" s="719"/>
      <c r="N1497" s="719"/>
      <c r="O1497" s="719"/>
      <c r="P1497" s="716"/>
      <c r="Q1497" s="716"/>
      <c r="R1497" s="720"/>
      <c r="S1497" s="684"/>
      <c r="T1497" s="684"/>
      <c r="U1497" s="684"/>
      <c r="V1497" s="684"/>
      <c r="W1497" s="684"/>
      <c r="X1497" s="684"/>
      <c r="Y1497" s="684"/>
      <c r="Z1497" s="684"/>
      <c r="AA1497" s="684"/>
      <c r="AB1497" s="684"/>
      <c r="AC1497" s="683"/>
      <c r="AD1497" s="683"/>
      <c r="AE1497" s="684">
        <v>0</v>
      </c>
      <c r="AF1497" s="716">
        <v>0</v>
      </c>
      <c r="AG1497" s="683">
        <v>0</v>
      </c>
      <c r="AH1497" s="720"/>
      <c r="AI1497" s="720"/>
      <c r="AJ1497" s="720"/>
      <c r="AK1497" s="720"/>
      <c r="AL1497" s="720"/>
      <c r="AM1497" s="720"/>
      <c r="AN1497" s="720"/>
      <c r="AO1497" s="720"/>
      <c r="AP1497" s="720"/>
      <c r="AQ1497" s="720"/>
      <c r="AR1497" s="720"/>
      <c r="AS1497" s="720"/>
      <c r="AT1497" s="720"/>
      <c r="AU1497" s="720"/>
      <c r="AV1497" s="720"/>
      <c r="AW1497" s="720"/>
      <c r="AX1497" s="720"/>
      <c r="AY1497" s="720"/>
      <c r="AZ1497" s="720"/>
      <c r="BA1497" s="720"/>
      <c r="BB1497" s="720"/>
      <c r="BC1497" s="720"/>
      <c r="BD1497" s="720"/>
      <c r="BE1497" s="720"/>
      <c r="BF1497" s="720"/>
      <c r="BG1497" s="720"/>
      <c r="BH1497" s="720"/>
      <c r="BI1497" s="720"/>
      <c r="BJ1497" s="720"/>
      <c r="BK1497" s="720"/>
      <c r="BL1497" s="720"/>
      <c r="BM1497" s="720"/>
      <c r="BN1497" s="720"/>
      <c r="BO1497" s="720"/>
      <c r="BP1497" s="720"/>
      <c r="BQ1497" s="720"/>
      <c r="BR1497" s="720"/>
      <c r="BS1497" s="720"/>
      <c r="BT1497" s="720"/>
      <c r="BU1497" s="720"/>
      <c r="BV1497" s="720"/>
      <c r="BW1497" s="720"/>
      <c r="BX1497" s="720"/>
      <c r="BY1497" s="720"/>
      <c r="BZ1497" s="720"/>
      <c r="CA1497" s="720"/>
    </row>
    <row r="1498" spans="1:79" hidden="1" outlineLevel="1" x14ac:dyDescent="0.25">
      <c r="A1498" s="656"/>
      <c r="B1498" s="576"/>
      <c r="C1498" s="576"/>
      <c r="D1498" s="576"/>
      <c r="E1498" s="570" t="s">
        <v>1340</v>
      </c>
      <c r="F1498" s="656" t="s">
        <v>762</v>
      </c>
      <c r="G1498" s="719"/>
      <c r="H1498" s="719"/>
      <c r="I1498" s="719"/>
      <c r="J1498" s="719"/>
      <c r="K1498" s="719"/>
      <c r="L1498" s="719"/>
      <c r="M1498" s="719"/>
      <c r="N1498" s="719"/>
      <c r="O1498" s="719"/>
      <c r="P1498" s="716"/>
      <c r="Q1498" s="716"/>
      <c r="R1498" s="720"/>
      <c r="S1498" s="684"/>
      <c r="T1498" s="684"/>
      <c r="U1498" s="684"/>
      <c r="V1498" s="684"/>
      <c r="W1498" s="684"/>
      <c r="X1498" s="684"/>
      <c r="Y1498" s="684"/>
      <c r="Z1498" s="684"/>
      <c r="AA1498" s="684"/>
      <c r="AB1498" s="684"/>
      <c r="AC1498" s="683"/>
      <c r="AD1498" s="683"/>
      <c r="AE1498" s="684">
        <v>0</v>
      </c>
      <c r="AF1498" s="716">
        <v>0</v>
      </c>
      <c r="AG1498" s="683">
        <v>0</v>
      </c>
      <c r="AH1498" s="720"/>
      <c r="AI1498" s="720"/>
      <c r="AJ1498" s="720"/>
      <c r="AK1498" s="720"/>
      <c r="AL1498" s="720"/>
      <c r="AM1498" s="720"/>
      <c r="AN1498" s="720"/>
      <c r="AO1498" s="720"/>
      <c r="AP1498" s="720"/>
      <c r="AQ1498" s="720"/>
      <c r="AR1498" s="720"/>
      <c r="AS1498" s="720"/>
      <c r="AT1498" s="720"/>
      <c r="AU1498" s="720"/>
      <c r="AV1498" s="720"/>
      <c r="AW1498" s="720"/>
      <c r="AX1498" s="720"/>
      <c r="AY1498" s="720"/>
      <c r="AZ1498" s="720"/>
      <c r="BA1498" s="720"/>
      <c r="BB1498" s="720"/>
      <c r="BC1498" s="720"/>
      <c r="BD1498" s="720"/>
      <c r="BE1498" s="720"/>
      <c r="BF1498" s="720"/>
      <c r="BG1498" s="720"/>
      <c r="BH1498" s="720"/>
      <c r="BI1498" s="720"/>
      <c r="BJ1498" s="720"/>
      <c r="BK1498" s="720"/>
      <c r="BL1498" s="720"/>
      <c r="BM1498" s="720"/>
      <c r="BN1498" s="720"/>
      <c r="BO1498" s="720"/>
      <c r="BP1498" s="720"/>
      <c r="BQ1498" s="720"/>
      <c r="BR1498" s="720"/>
      <c r="BS1498" s="720"/>
      <c r="BT1498" s="720"/>
      <c r="BU1498" s="720"/>
      <c r="BV1498" s="720"/>
      <c r="BW1498" s="720"/>
      <c r="BX1498" s="720"/>
      <c r="BY1498" s="720"/>
      <c r="BZ1498" s="720"/>
      <c r="CA1498" s="720"/>
    </row>
    <row r="1499" spans="1:79" hidden="1" outlineLevel="1" x14ac:dyDescent="0.25">
      <c r="A1499" s="656"/>
      <c r="B1499" s="576"/>
      <c r="C1499" s="576"/>
      <c r="D1499" s="576"/>
      <c r="E1499" s="570" t="s">
        <v>338</v>
      </c>
      <c r="F1499" s="656" t="s">
        <v>624</v>
      </c>
      <c r="G1499" s="719"/>
      <c r="H1499" s="719"/>
      <c r="I1499" s="719"/>
      <c r="J1499" s="719"/>
      <c r="K1499" s="719"/>
      <c r="L1499" s="719"/>
      <c r="M1499" s="719"/>
      <c r="N1499" s="719"/>
      <c r="O1499" s="719"/>
      <c r="P1499" s="716"/>
      <c r="Q1499" s="716"/>
      <c r="R1499" s="720"/>
      <c r="S1499" s="684"/>
      <c r="T1499" s="684"/>
      <c r="U1499" s="684"/>
      <c r="V1499" s="684"/>
      <c r="W1499" s="684"/>
      <c r="X1499" s="684"/>
      <c r="Y1499" s="684"/>
      <c r="Z1499" s="684"/>
      <c r="AA1499" s="684"/>
      <c r="AB1499" s="684"/>
      <c r="AC1499" s="666"/>
      <c r="AD1499" s="666"/>
      <c r="AE1499" s="684">
        <v>0</v>
      </c>
      <c r="AF1499" s="716">
        <v>20</v>
      </c>
      <c r="AG1499" s="666">
        <v>0</v>
      </c>
      <c r="AH1499" s="720"/>
      <c r="AI1499" s="720"/>
      <c r="AJ1499" s="720"/>
      <c r="AK1499" s="720"/>
      <c r="AL1499" s="720"/>
      <c r="AM1499" s="720"/>
      <c r="AN1499" s="720"/>
      <c r="AO1499" s="720"/>
      <c r="AP1499" s="720"/>
      <c r="AQ1499" s="720"/>
      <c r="AR1499" s="720"/>
      <c r="AS1499" s="720"/>
      <c r="AT1499" s="720"/>
      <c r="AU1499" s="720"/>
      <c r="AV1499" s="720"/>
      <c r="AW1499" s="720"/>
      <c r="AX1499" s="720"/>
      <c r="AY1499" s="720"/>
      <c r="AZ1499" s="720"/>
      <c r="BA1499" s="720"/>
      <c r="BB1499" s="720"/>
      <c r="BC1499" s="720"/>
      <c r="BD1499" s="720"/>
      <c r="BE1499" s="720"/>
      <c r="BF1499" s="720"/>
      <c r="BG1499" s="720"/>
      <c r="BH1499" s="720"/>
      <c r="BI1499" s="720"/>
      <c r="BJ1499" s="720"/>
      <c r="BK1499" s="720"/>
      <c r="BL1499" s="720"/>
      <c r="BM1499" s="720"/>
      <c r="BN1499" s="720"/>
      <c r="BO1499" s="720"/>
      <c r="BP1499" s="720"/>
      <c r="BQ1499" s="720"/>
      <c r="BR1499" s="720"/>
      <c r="BS1499" s="720"/>
      <c r="BT1499" s="720"/>
      <c r="BU1499" s="720"/>
      <c r="BV1499" s="720"/>
      <c r="BW1499" s="720"/>
      <c r="BX1499" s="720"/>
      <c r="BY1499" s="720"/>
      <c r="BZ1499" s="720"/>
      <c r="CA1499" s="720"/>
    </row>
    <row r="1500" spans="1:79" hidden="1" outlineLevel="1" x14ac:dyDescent="0.25">
      <c r="A1500" s="656"/>
      <c r="B1500" s="576"/>
      <c r="C1500" s="576"/>
      <c r="D1500" s="576"/>
      <c r="E1500" s="570" t="s">
        <v>1341</v>
      </c>
      <c r="F1500" s="656" t="s">
        <v>651</v>
      </c>
      <c r="G1500" s="719"/>
      <c r="H1500" s="719"/>
      <c r="I1500" s="719"/>
      <c r="J1500" s="719"/>
      <c r="K1500" s="719"/>
      <c r="L1500" s="719"/>
      <c r="M1500" s="719"/>
      <c r="N1500" s="719"/>
      <c r="O1500" s="719"/>
      <c r="P1500" s="716"/>
      <c r="Q1500" s="716"/>
      <c r="R1500" s="720"/>
      <c r="S1500" s="684"/>
      <c r="T1500" s="684"/>
      <c r="U1500" s="684"/>
      <c r="V1500" s="684"/>
      <c r="W1500" s="684"/>
      <c r="X1500" s="684"/>
      <c r="Y1500" s="684"/>
      <c r="Z1500" s="684"/>
      <c r="AA1500" s="684"/>
      <c r="AB1500" s="684"/>
      <c r="AC1500" s="666"/>
      <c r="AD1500" s="666"/>
      <c r="AE1500" s="684">
        <v>0</v>
      </c>
      <c r="AF1500" s="716">
        <v>0</v>
      </c>
      <c r="AG1500" s="666">
        <v>0</v>
      </c>
      <c r="AH1500" s="720"/>
      <c r="AI1500" s="720"/>
      <c r="AJ1500" s="720"/>
      <c r="AK1500" s="720"/>
      <c r="AL1500" s="720"/>
      <c r="AM1500" s="720"/>
      <c r="AN1500" s="720"/>
      <c r="AO1500" s="720"/>
      <c r="AP1500" s="720"/>
      <c r="AQ1500" s="720"/>
      <c r="AR1500" s="720"/>
      <c r="AS1500" s="720"/>
      <c r="AT1500" s="720"/>
      <c r="AU1500" s="720"/>
      <c r="AV1500" s="720"/>
      <c r="AW1500" s="720"/>
      <c r="AX1500" s="720"/>
      <c r="AY1500" s="720"/>
      <c r="AZ1500" s="720"/>
      <c r="BA1500" s="720"/>
      <c r="BB1500" s="720"/>
      <c r="BC1500" s="720"/>
      <c r="BD1500" s="720"/>
      <c r="BE1500" s="720"/>
      <c r="BF1500" s="720"/>
      <c r="BG1500" s="720"/>
      <c r="BH1500" s="720"/>
      <c r="BI1500" s="720"/>
      <c r="BJ1500" s="720"/>
      <c r="BK1500" s="720"/>
      <c r="BL1500" s="720"/>
      <c r="BM1500" s="720"/>
      <c r="BN1500" s="720"/>
      <c r="BO1500" s="720"/>
      <c r="BP1500" s="720"/>
      <c r="BQ1500" s="720"/>
      <c r="BR1500" s="720"/>
      <c r="BS1500" s="720"/>
      <c r="BT1500" s="720"/>
      <c r="BU1500" s="720"/>
      <c r="BV1500" s="720"/>
      <c r="BW1500" s="720"/>
      <c r="BX1500" s="720"/>
      <c r="BY1500" s="720"/>
      <c r="BZ1500" s="720"/>
      <c r="CA1500" s="720"/>
    </row>
    <row r="1501" spans="1:79" hidden="1" outlineLevel="1" x14ac:dyDescent="0.25">
      <c r="A1501" s="656"/>
      <c r="B1501" s="576"/>
      <c r="C1501" s="576"/>
      <c r="D1501" s="576"/>
      <c r="E1501" s="570" t="s">
        <v>1340</v>
      </c>
      <c r="F1501" s="656" t="s">
        <v>668</v>
      </c>
      <c r="G1501" s="719"/>
      <c r="H1501" s="719"/>
      <c r="I1501" s="719"/>
      <c r="J1501" s="719"/>
      <c r="K1501" s="719"/>
      <c r="L1501" s="719"/>
      <c r="M1501" s="719"/>
      <c r="N1501" s="719"/>
      <c r="O1501" s="719"/>
      <c r="P1501" s="716"/>
      <c r="Q1501" s="716"/>
      <c r="R1501" s="720"/>
      <c r="S1501" s="684"/>
      <c r="T1501" s="684"/>
      <c r="U1501" s="684"/>
      <c r="V1501" s="684"/>
      <c r="W1501" s="684"/>
      <c r="X1501" s="684"/>
      <c r="Y1501" s="684"/>
      <c r="Z1501" s="684"/>
      <c r="AA1501" s="684"/>
      <c r="AB1501" s="684"/>
      <c r="AC1501" s="666"/>
      <c r="AD1501" s="666"/>
      <c r="AE1501" s="684">
        <v>0</v>
      </c>
      <c r="AF1501" s="716">
        <v>0</v>
      </c>
      <c r="AG1501" s="666">
        <v>0</v>
      </c>
      <c r="AH1501" s="720"/>
      <c r="AI1501" s="720"/>
      <c r="AJ1501" s="720"/>
      <c r="AK1501" s="720"/>
      <c r="AL1501" s="720"/>
      <c r="AM1501" s="720"/>
      <c r="AN1501" s="720"/>
      <c r="AO1501" s="720"/>
      <c r="AP1501" s="720"/>
      <c r="AQ1501" s="720"/>
      <c r="AR1501" s="720"/>
      <c r="AS1501" s="720"/>
      <c r="AT1501" s="720"/>
      <c r="AU1501" s="720"/>
      <c r="AV1501" s="720"/>
      <c r="AW1501" s="720"/>
      <c r="AX1501" s="720"/>
      <c r="AY1501" s="720"/>
      <c r="AZ1501" s="720"/>
      <c r="BA1501" s="720"/>
      <c r="BB1501" s="720"/>
      <c r="BC1501" s="720"/>
      <c r="BD1501" s="720"/>
      <c r="BE1501" s="720"/>
      <c r="BF1501" s="720"/>
      <c r="BG1501" s="720"/>
      <c r="BH1501" s="720"/>
      <c r="BI1501" s="720"/>
      <c r="BJ1501" s="720"/>
      <c r="BK1501" s="720"/>
      <c r="BL1501" s="720"/>
      <c r="BM1501" s="720"/>
      <c r="BN1501" s="720"/>
      <c r="BO1501" s="720"/>
      <c r="BP1501" s="720"/>
      <c r="BQ1501" s="720"/>
      <c r="BR1501" s="720"/>
      <c r="BS1501" s="720"/>
      <c r="BT1501" s="720"/>
      <c r="BU1501" s="720"/>
      <c r="BV1501" s="720"/>
      <c r="BW1501" s="720"/>
      <c r="BX1501" s="720"/>
      <c r="BY1501" s="720"/>
      <c r="BZ1501" s="720"/>
      <c r="CA1501" s="720"/>
    </row>
    <row r="1502" spans="1:79" hidden="1" outlineLevel="1" x14ac:dyDescent="0.25">
      <c r="A1502" s="657"/>
      <c r="B1502" s="571"/>
      <c r="C1502" s="571"/>
      <c r="D1502" s="571"/>
      <c r="E1502" s="570" t="s">
        <v>49</v>
      </c>
      <c r="F1502" s="657" t="s">
        <v>625</v>
      </c>
      <c r="G1502" s="664"/>
      <c r="H1502" s="664"/>
      <c r="I1502" s="664"/>
      <c r="J1502" s="664"/>
      <c r="K1502" s="664"/>
      <c r="L1502" s="664"/>
      <c r="M1502" s="664"/>
      <c r="N1502" s="664"/>
      <c r="O1502" s="664"/>
      <c r="P1502" s="664"/>
      <c r="Q1502" s="664"/>
      <c r="R1502" s="664"/>
      <c r="S1502" s="680"/>
      <c r="T1502" s="680"/>
      <c r="U1502" s="680"/>
      <c r="V1502" s="680"/>
      <c r="W1502" s="680"/>
      <c r="X1502" s="680"/>
      <c r="Y1502" s="680"/>
      <c r="Z1502" s="680"/>
      <c r="AA1502" s="680"/>
      <c r="AB1502" s="680"/>
      <c r="AC1502" s="680"/>
      <c r="AD1502" s="680"/>
      <c r="AE1502" s="680">
        <f>ROUND(SUM(AE1495:AE1501),5)</f>
        <v>0</v>
      </c>
      <c r="AF1502" s="664">
        <f>ROUND(SUM(AF1495:AF1501),5)</f>
        <v>20</v>
      </c>
      <c r="AG1502" s="680">
        <f>ROUND(SUM(AG1495:AG1501),5)</f>
        <v>0</v>
      </c>
      <c r="AH1502" s="664">
        <f t="shared" ref="AH1502:BO1502" si="614">SUM(AH1497:AH1501)</f>
        <v>0</v>
      </c>
      <c r="AI1502" s="664">
        <f t="shared" si="614"/>
        <v>0</v>
      </c>
      <c r="AJ1502" s="664">
        <f t="shared" si="614"/>
        <v>0</v>
      </c>
      <c r="AK1502" s="664">
        <f t="shared" si="614"/>
        <v>0</v>
      </c>
      <c r="AL1502" s="664">
        <f t="shared" si="614"/>
        <v>0</v>
      </c>
      <c r="AM1502" s="664">
        <f t="shared" si="614"/>
        <v>0</v>
      </c>
      <c r="AN1502" s="664">
        <f t="shared" si="614"/>
        <v>0</v>
      </c>
      <c r="AO1502" s="664">
        <f t="shared" si="614"/>
        <v>0</v>
      </c>
      <c r="AP1502" s="664">
        <f t="shared" si="614"/>
        <v>0</v>
      </c>
      <c r="AQ1502" s="664">
        <f t="shared" si="614"/>
        <v>0</v>
      </c>
      <c r="AR1502" s="664">
        <f t="shared" si="614"/>
        <v>0</v>
      </c>
      <c r="AS1502" s="664">
        <f t="shared" si="614"/>
        <v>0</v>
      </c>
      <c r="AT1502" s="664">
        <f t="shared" si="614"/>
        <v>0</v>
      </c>
      <c r="AU1502" s="664">
        <f t="shared" si="614"/>
        <v>0</v>
      </c>
      <c r="AV1502" s="664">
        <f t="shared" si="614"/>
        <v>0</v>
      </c>
      <c r="AW1502" s="664">
        <f t="shared" si="614"/>
        <v>0</v>
      </c>
      <c r="AX1502" s="664">
        <f t="shared" si="614"/>
        <v>0</v>
      </c>
      <c r="AY1502" s="664">
        <f t="shared" si="614"/>
        <v>0</v>
      </c>
      <c r="AZ1502" s="664">
        <f t="shared" si="614"/>
        <v>0</v>
      </c>
      <c r="BA1502" s="664">
        <f t="shared" si="614"/>
        <v>0</v>
      </c>
      <c r="BB1502" s="664">
        <f t="shared" si="614"/>
        <v>0</v>
      </c>
      <c r="BC1502" s="664">
        <f t="shared" si="614"/>
        <v>0</v>
      </c>
      <c r="BD1502" s="664">
        <f t="shared" si="614"/>
        <v>0</v>
      </c>
      <c r="BE1502" s="664">
        <f t="shared" si="614"/>
        <v>0</v>
      </c>
      <c r="BF1502" s="664">
        <f t="shared" si="614"/>
        <v>0</v>
      </c>
      <c r="BG1502" s="664">
        <f t="shared" si="614"/>
        <v>0</v>
      </c>
      <c r="BH1502" s="664">
        <f t="shared" si="614"/>
        <v>0</v>
      </c>
      <c r="BI1502" s="664">
        <f t="shared" si="614"/>
        <v>0</v>
      </c>
      <c r="BJ1502" s="664">
        <f t="shared" si="614"/>
        <v>0</v>
      </c>
      <c r="BK1502" s="664">
        <f t="shared" si="614"/>
        <v>0</v>
      </c>
      <c r="BL1502" s="664">
        <f t="shared" si="614"/>
        <v>0</v>
      </c>
      <c r="BM1502" s="664">
        <f t="shared" si="614"/>
        <v>0</v>
      </c>
      <c r="BN1502" s="664">
        <f t="shared" si="614"/>
        <v>0</v>
      </c>
      <c r="BO1502" s="664">
        <f t="shared" si="614"/>
        <v>0</v>
      </c>
      <c r="BP1502" s="664">
        <f t="shared" ref="BP1502:CA1502" si="615">SUM(BP1497:BP1501)</f>
        <v>0</v>
      </c>
      <c r="BQ1502" s="664">
        <f t="shared" si="615"/>
        <v>0</v>
      </c>
      <c r="BR1502" s="664">
        <f t="shared" si="615"/>
        <v>0</v>
      </c>
      <c r="BS1502" s="664">
        <f t="shared" si="615"/>
        <v>0</v>
      </c>
      <c r="BT1502" s="664">
        <f t="shared" si="615"/>
        <v>0</v>
      </c>
      <c r="BU1502" s="664">
        <f t="shared" si="615"/>
        <v>0</v>
      </c>
      <c r="BV1502" s="664">
        <f t="shared" si="615"/>
        <v>0</v>
      </c>
      <c r="BW1502" s="664">
        <f t="shared" si="615"/>
        <v>0</v>
      </c>
      <c r="BX1502" s="664">
        <f t="shared" si="615"/>
        <v>0</v>
      </c>
      <c r="BY1502" s="664">
        <f t="shared" si="615"/>
        <v>0</v>
      </c>
      <c r="BZ1502" s="664">
        <f t="shared" si="615"/>
        <v>0</v>
      </c>
      <c r="CA1502" s="664">
        <f t="shared" si="615"/>
        <v>0</v>
      </c>
    </row>
    <row r="1503" spans="1:79" s="710" customFormat="1" hidden="1" outlineLevel="1" x14ac:dyDescent="0.25">
      <c r="A1503" s="691"/>
      <c r="B1503" s="737"/>
      <c r="C1503" s="737"/>
      <c r="D1503" s="737"/>
      <c r="E1503" s="570" t="s">
        <v>1342</v>
      </c>
      <c r="F1503" s="691" t="s">
        <v>669</v>
      </c>
      <c r="G1503" s="765"/>
      <c r="H1503" s="765"/>
      <c r="I1503" s="765"/>
      <c r="J1503" s="765"/>
      <c r="K1503" s="765"/>
      <c r="L1503" s="765"/>
      <c r="M1503" s="765"/>
      <c r="N1503" s="765"/>
      <c r="O1503" s="765"/>
      <c r="P1503" s="736"/>
      <c r="Q1503" s="736"/>
      <c r="R1503" s="762"/>
      <c r="S1503" s="708"/>
      <c r="T1503" s="708"/>
      <c r="U1503" s="708"/>
      <c r="V1503" s="708"/>
      <c r="W1503" s="708"/>
      <c r="X1503" s="708"/>
      <c r="Y1503" s="708"/>
      <c r="Z1503" s="708"/>
      <c r="AA1503" s="708"/>
      <c r="AB1503" s="708"/>
      <c r="AC1503" s="704"/>
      <c r="AD1503" s="704"/>
      <c r="AE1503" s="708"/>
      <c r="AF1503" s="734"/>
      <c r="AG1503" s="704"/>
      <c r="AH1503" s="735"/>
      <c r="AI1503" s="735"/>
      <c r="AJ1503" s="735"/>
      <c r="AK1503" s="735"/>
      <c r="AL1503" s="735"/>
      <c r="AM1503" s="735"/>
      <c r="AN1503" s="735"/>
      <c r="AO1503" s="735"/>
      <c r="AP1503" s="735"/>
      <c r="AQ1503" s="735"/>
      <c r="AR1503" s="735"/>
      <c r="AS1503" s="735"/>
      <c r="AT1503" s="735"/>
      <c r="AU1503" s="735"/>
      <c r="AV1503" s="735"/>
      <c r="AW1503" s="735"/>
      <c r="AX1503" s="735"/>
      <c r="AY1503" s="735"/>
      <c r="AZ1503" s="735"/>
      <c r="BA1503" s="735"/>
      <c r="BB1503" s="735"/>
      <c r="BC1503" s="735"/>
      <c r="BD1503" s="735"/>
      <c r="BE1503" s="735"/>
      <c r="BF1503" s="735"/>
      <c r="BG1503" s="735"/>
      <c r="BH1503" s="735"/>
      <c r="BI1503" s="735"/>
      <c r="BJ1503" s="735"/>
      <c r="BK1503" s="735"/>
      <c r="BL1503" s="735"/>
      <c r="BM1503" s="735"/>
      <c r="BN1503" s="735"/>
      <c r="BO1503" s="735"/>
      <c r="BP1503" s="735"/>
      <c r="BQ1503" s="735"/>
      <c r="BR1503" s="735"/>
      <c r="BS1503" s="735"/>
      <c r="BT1503" s="735"/>
      <c r="BU1503" s="735"/>
      <c r="BV1503" s="735"/>
      <c r="BW1503" s="735"/>
      <c r="BX1503" s="735"/>
      <c r="BY1503" s="735"/>
      <c r="BZ1503" s="735"/>
      <c r="CA1503" s="735"/>
    </row>
    <row r="1504" spans="1:79" hidden="1" outlineLevel="1" x14ac:dyDescent="0.25">
      <c r="A1504" s="656"/>
      <c r="B1504" s="576"/>
      <c r="C1504" s="576"/>
      <c r="D1504" s="576"/>
      <c r="E1504" s="570" t="s">
        <v>1342</v>
      </c>
      <c r="F1504" s="656" t="s">
        <v>670</v>
      </c>
      <c r="G1504" s="723"/>
      <c r="H1504" s="723"/>
      <c r="I1504" s="723"/>
      <c r="J1504" s="723"/>
      <c r="K1504" s="723"/>
      <c r="L1504" s="723"/>
      <c r="M1504" s="723"/>
      <c r="N1504" s="723"/>
      <c r="O1504" s="723"/>
      <c r="P1504" s="718"/>
      <c r="Q1504" s="718"/>
      <c r="R1504" s="717"/>
      <c r="S1504" s="684"/>
      <c r="T1504" s="684"/>
      <c r="U1504" s="684"/>
      <c r="V1504" s="684"/>
      <c r="W1504" s="684"/>
      <c r="X1504" s="684"/>
      <c r="Y1504" s="684"/>
      <c r="Z1504" s="684"/>
      <c r="AA1504" s="684"/>
      <c r="AB1504" s="684"/>
      <c r="AC1504" s="666"/>
      <c r="AD1504" s="666"/>
      <c r="AE1504" s="684">
        <v>0</v>
      </c>
      <c r="AF1504" s="716">
        <v>0</v>
      </c>
      <c r="AG1504" s="666">
        <v>0</v>
      </c>
      <c r="AH1504" s="720"/>
      <c r="AI1504" s="720"/>
      <c r="AJ1504" s="720"/>
      <c r="AK1504" s="720"/>
      <c r="AL1504" s="720"/>
      <c r="AM1504" s="720"/>
      <c r="AN1504" s="720"/>
      <c r="AO1504" s="720"/>
      <c r="AP1504" s="720"/>
      <c r="AQ1504" s="720"/>
      <c r="AR1504" s="720"/>
      <c r="AS1504" s="720"/>
      <c r="AT1504" s="720"/>
      <c r="AU1504" s="720"/>
      <c r="AV1504" s="720"/>
      <c r="AW1504" s="720"/>
      <c r="AX1504" s="720"/>
      <c r="AY1504" s="720"/>
      <c r="AZ1504" s="720"/>
      <c r="BA1504" s="720"/>
      <c r="BB1504" s="720"/>
      <c r="BC1504" s="720"/>
      <c r="BD1504" s="720"/>
      <c r="BE1504" s="720"/>
      <c r="BF1504" s="720"/>
      <c r="BG1504" s="720"/>
      <c r="BH1504" s="720"/>
      <c r="BI1504" s="720"/>
      <c r="BJ1504" s="720"/>
      <c r="BK1504" s="720"/>
      <c r="BL1504" s="720"/>
      <c r="BM1504" s="720"/>
      <c r="BN1504" s="720"/>
      <c r="BO1504" s="720"/>
      <c r="BP1504" s="720"/>
      <c r="BQ1504" s="720"/>
      <c r="BR1504" s="720"/>
      <c r="BS1504" s="720"/>
      <c r="BT1504" s="720"/>
      <c r="BU1504" s="720"/>
      <c r="BV1504" s="720"/>
      <c r="BW1504" s="720"/>
      <c r="BX1504" s="720"/>
      <c r="BY1504" s="720"/>
      <c r="BZ1504" s="720"/>
      <c r="CA1504" s="720"/>
    </row>
    <row r="1505" spans="1:79" hidden="1" outlineLevel="1" x14ac:dyDescent="0.25">
      <c r="A1505" s="656"/>
      <c r="B1505" s="576"/>
      <c r="C1505" s="576"/>
      <c r="D1505" s="576"/>
      <c r="E1505" s="570" t="s">
        <v>1342</v>
      </c>
      <c r="F1505" s="656" t="s">
        <v>891</v>
      </c>
      <c r="G1505" s="723"/>
      <c r="H1505" s="723"/>
      <c r="I1505" s="723"/>
      <c r="J1505" s="723"/>
      <c r="K1505" s="723"/>
      <c r="L1505" s="723"/>
      <c r="M1505" s="723"/>
      <c r="N1505" s="723"/>
      <c r="O1505" s="723"/>
      <c r="P1505" s="718"/>
      <c r="Q1505" s="718"/>
      <c r="R1505" s="717"/>
      <c r="S1505" s="684"/>
      <c r="T1505" s="684"/>
      <c r="U1505" s="684"/>
      <c r="V1505" s="684"/>
      <c r="W1505" s="684"/>
      <c r="X1505" s="684"/>
      <c r="Y1505" s="684"/>
      <c r="Z1505" s="684"/>
      <c r="AA1505" s="684"/>
      <c r="AB1505" s="684"/>
      <c r="AC1505" s="666"/>
      <c r="AD1505" s="666"/>
      <c r="AE1505" s="684">
        <v>0</v>
      </c>
      <c r="AF1505" s="716">
        <v>0</v>
      </c>
      <c r="AG1505" s="666">
        <v>0</v>
      </c>
      <c r="AH1505" s="720"/>
      <c r="AI1505" s="720"/>
      <c r="AJ1505" s="720"/>
      <c r="AK1505" s="720"/>
      <c r="AL1505" s="720"/>
      <c r="AM1505" s="720"/>
      <c r="AN1505" s="720"/>
      <c r="AO1505" s="720"/>
      <c r="AP1505" s="720"/>
      <c r="AQ1505" s="720"/>
      <c r="AR1505" s="720"/>
      <c r="AS1505" s="720"/>
      <c r="AT1505" s="720"/>
      <c r="AU1505" s="720"/>
      <c r="AV1505" s="720"/>
      <c r="AW1505" s="720"/>
      <c r="AX1505" s="720"/>
      <c r="AY1505" s="720"/>
      <c r="AZ1505" s="720"/>
      <c r="BA1505" s="720"/>
      <c r="BB1505" s="720"/>
      <c r="BC1505" s="720"/>
      <c r="BD1505" s="720"/>
      <c r="BE1505" s="720"/>
      <c r="BF1505" s="720"/>
      <c r="BG1505" s="720"/>
      <c r="BH1505" s="720"/>
      <c r="BI1505" s="720"/>
      <c r="BJ1505" s="720"/>
      <c r="BK1505" s="720"/>
      <c r="BL1505" s="720"/>
      <c r="BM1505" s="720"/>
      <c r="BN1505" s="720"/>
      <c r="BO1505" s="720"/>
      <c r="BP1505" s="720"/>
      <c r="BQ1505" s="720"/>
      <c r="BR1505" s="720"/>
      <c r="BS1505" s="720"/>
      <c r="BT1505" s="720"/>
      <c r="BU1505" s="720"/>
      <c r="BV1505" s="720"/>
      <c r="BW1505" s="720"/>
      <c r="BX1505" s="720"/>
      <c r="BY1505" s="720"/>
      <c r="BZ1505" s="720"/>
      <c r="CA1505" s="720"/>
    </row>
    <row r="1506" spans="1:79" hidden="1" outlineLevel="1" x14ac:dyDescent="0.25">
      <c r="A1506" s="656"/>
      <c r="B1506" s="576"/>
      <c r="C1506" s="576"/>
      <c r="D1506" s="576"/>
      <c r="E1506" s="570" t="s">
        <v>1342</v>
      </c>
      <c r="F1506" s="656" t="s">
        <v>671</v>
      </c>
      <c r="G1506" s="723"/>
      <c r="H1506" s="723"/>
      <c r="I1506" s="723"/>
      <c r="J1506" s="723"/>
      <c r="K1506" s="723"/>
      <c r="L1506" s="723"/>
      <c r="M1506" s="723"/>
      <c r="N1506" s="723"/>
      <c r="O1506" s="723"/>
      <c r="P1506" s="718"/>
      <c r="Q1506" s="718"/>
      <c r="R1506" s="717"/>
      <c r="S1506" s="684"/>
      <c r="T1506" s="684"/>
      <c r="U1506" s="684"/>
      <c r="V1506" s="684"/>
      <c r="W1506" s="684"/>
      <c r="X1506" s="684"/>
      <c r="Y1506" s="684"/>
      <c r="Z1506" s="684"/>
      <c r="AA1506" s="684"/>
      <c r="AB1506" s="684"/>
      <c r="AC1506" s="666"/>
      <c r="AD1506" s="666"/>
      <c r="AE1506" s="684">
        <v>0</v>
      </c>
      <c r="AF1506" s="716">
        <v>0</v>
      </c>
      <c r="AG1506" s="666">
        <v>0</v>
      </c>
      <c r="AH1506" s="720"/>
      <c r="AI1506" s="720"/>
      <c r="AJ1506" s="720"/>
      <c r="AK1506" s="720"/>
      <c r="AL1506" s="720"/>
      <c r="AM1506" s="720"/>
      <c r="AN1506" s="720"/>
      <c r="AO1506" s="720"/>
      <c r="AP1506" s="720"/>
      <c r="AQ1506" s="720"/>
      <c r="AR1506" s="720"/>
      <c r="AS1506" s="720"/>
      <c r="AT1506" s="720"/>
      <c r="AU1506" s="720"/>
      <c r="AV1506" s="720"/>
      <c r="AW1506" s="720"/>
      <c r="AX1506" s="720"/>
      <c r="AY1506" s="720"/>
      <c r="AZ1506" s="720"/>
      <c r="BA1506" s="720"/>
      <c r="BB1506" s="720"/>
      <c r="BC1506" s="720"/>
      <c r="BD1506" s="720"/>
      <c r="BE1506" s="720"/>
      <c r="BF1506" s="720"/>
      <c r="BG1506" s="720"/>
      <c r="BH1506" s="720"/>
      <c r="BI1506" s="720"/>
      <c r="BJ1506" s="720"/>
      <c r="BK1506" s="720"/>
      <c r="BL1506" s="720"/>
      <c r="BM1506" s="720"/>
      <c r="BN1506" s="720"/>
      <c r="BO1506" s="720"/>
      <c r="BP1506" s="720"/>
      <c r="BQ1506" s="720"/>
      <c r="BR1506" s="720"/>
      <c r="BS1506" s="720"/>
      <c r="BT1506" s="720"/>
      <c r="BU1506" s="720"/>
      <c r="BV1506" s="720"/>
      <c r="BW1506" s="720"/>
      <c r="BX1506" s="720"/>
      <c r="BY1506" s="720"/>
      <c r="BZ1506" s="720"/>
      <c r="CA1506" s="720"/>
    </row>
    <row r="1507" spans="1:79" hidden="1" outlineLevel="1" x14ac:dyDescent="0.25">
      <c r="A1507" s="656"/>
      <c r="B1507" s="576"/>
      <c r="C1507" s="576"/>
      <c r="D1507" s="576"/>
      <c r="E1507" s="570" t="s">
        <v>1342</v>
      </c>
      <c r="F1507" s="656" t="s">
        <v>892</v>
      </c>
      <c r="G1507" s="723"/>
      <c r="H1507" s="723"/>
      <c r="I1507" s="723"/>
      <c r="J1507" s="723"/>
      <c r="K1507" s="723"/>
      <c r="L1507" s="723"/>
      <c r="M1507" s="723"/>
      <c r="N1507" s="723"/>
      <c r="O1507" s="723"/>
      <c r="P1507" s="718"/>
      <c r="Q1507" s="718"/>
      <c r="R1507" s="717"/>
      <c r="S1507" s="684"/>
      <c r="T1507" s="684"/>
      <c r="U1507" s="684"/>
      <c r="V1507" s="684"/>
      <c r="W1507" s="684"/>
      <c r="X1507" s="684"/>
      <c r="Y1507" s="684"/>
      <c r="Z1507" s="684"/>
      <c r="AA1507" s="684"/>
      <c r="AB1507" s="684"/>
      <c r="AC1507" s="666"/>
      <c r="AD1507" s="666"/>
      <c r="AE1507" s="684">
        <v>0</v>
      </c>
      <c r="AF1507" s="716">
        <v>0</v>
      </c>
      <c r="AG1507" s="666">
        <v>0</v>
      </c>
      <c r="AH1507" s="720"/>
      <c r="AI1507" s="720"/>
      <c r="AJ1507" s="720"/>
      <c r="AK1507" s="720"/>
      <c r="AL1507" s="720"/>
      <c r="AM1507" s="720"/>
      <c r="AN1507" s="720"/>
      <c r="AO1507" s="720"/>
      <c r="AP1507" s="720"/>
      <c r="AQ1507" s="720"/>
      <c r="AR1507" s="720"/>
      <c r="AS1507" s="720"/>
      <c r="AT1507" s="720"/>
      <c r="AU1507" s="720"/>
      <c r="AV1507" s="720"/>
      <c r="AW1507" s="720"/>
      <c r="AX1507" s="720"/>
      <c r="AY1507" s="720"/>
      <c r="AZ1507" s="720"/>
      <c r="BA1507" s="720"/>
      <c r="BB1507" s="720"/>
      <c r="BC1507" s="720"/>
      <c r="BD1507" s="720"/>
      <c r="BE1507" s="720"/>
      <c r="BF1507" s="720"/>
      <c r="BG1507" s="720"/>
      <c r="BH1507" s="720"/>
      <c r="BI1507" s="720"/>
      <c r="BJ1507" s="720"/>
      <c r="BK1507" s="720"/>
      <c r="BL1507" s="720"/>
      <c r="BM1507" s="720"/>
      <c r="BN1507" s="720"/>
      <c r="BO1507" s="720"/>
      <c r="BP1507" s="720"/>
      <c r="BQ1507" s="720"/>
      <c r="BR1507" s="720"/>
      <c r="BS1507" s="720"/>
      <c r="BT1507" s="720"/>
      <c r="BU1507" s="720"/>
      <c r="BV1507" s="720"/>
      <c r="BW1507" s="720"/>
      <c r="BX1507" s="720"/>
      <c r="BY1507" s="720"/>
      <c r="BZ1507" s="720"/>
      <c r="CA1507" s="720"/>
    </row>
    <row r="1508" spans="1:79" hidden="1" outlineLevel="1" x14ac:dyDescent="0.25">
      <c r="A1508" s="657"/>
      <c r="B1508" s="571"/>
      <c r="C1508" s="571"/>
      <c r="D1508" s="571"/>
      <c r="E1508" s="570" t="s">
        <v>49</v>
      </c>
      <c r="F1508" s="657" t="s">
        <v>672</v>
      </c>
      <c r="G1508" s="664"/>
      <c r="H1508" s="664"/>
      <c r="I1508" s="664"/>
      <c r="J1508" s="664"/>
      <c r="K1508" s="664"/>
      <c r="L1508" s="664"/>
      <c r="M1508" s="664"/>
      <c r="N1508" s="664"/>
      <c r="O1508" s="664"/>
      <c r="P1508" s="664"/>
      <c r="Q1508" s="664"/>
      <c r="R1508" s="664"/>
      <c r="S1508" s="680"/>
      <c r="T1508" s="680"/>
      <c r="U1508" s="680"/>
      <c r="V1508" s="680"/>
      <c r="W1508" s="680"/>
      <c r="X1508" s="680"/>
      <c r="Y1508" s="680"/>
      <c r="Z1508" s="680"/>
      <c r="AA1508" s="680"/>
      <c r="AB1508" s="680"/>
      <c r="AC1508" s="680"/>
      <c r="AD1508" s="680"/>
      <c r="AE1508" s="680">
        <f>ROUND(SUM(AE1503:AE1507),5)</f>
        <v>0</v>
      </c>
      <c r="AF1508" s="664">
        <f>ROUND(SUM(AF1503:AF1507),5)</f>
        <v>0</v>
      </c>
      <c r="AG1508" s="680">
        <f>ROUND(SUM(AG1503:AG1507),5)</f>
        <v>0</v>
      </c>
      <c r="AH1508" s="664">
        <f t="shared" ref="AH1508:BO1508" si="616">SUM(AH1504:AH1507)</f>
        <v>0</v>
      </c>
      <c r="AI1508" s="664">
        <f t="shared" si="616"/>
        <v>0</v>
      </c>
      <c r="AJ1508" s="664">
        <f t="shared" si="616"/>
        <v>0</v>
      </c>
      <c r="AK1508" s="664">
        <f t="shared" si="616"/>
        <v>0</v>
      </c>
      <c r="AL1508" s="664">
        <f t="shared" si="616"/>
        <v>0</v>
      </c>
      <c r="AM1508" s="664">
        <f t="shared" si="616"/>
        <v>0</v>
      </c>
      <c r="AN1508" s="664">
        <f t="shared" si="616"/>
        <v>0</v>
      </c>
      <c r="AO1508" s="664">
        <f t="shared" si="616"/>
        <v>0</v>
      </c>
      <c r="AP1508" s="664">
        <f t="shared" si="616"/>
        <v>0</v>
      </c>
      <c r="AQ1508" s="664">
        <f t="shared" si="616"/>
        <v>0</v>
      </c>
      <c r="AR1508" s="664">
        <f t="shared" si="616"/>
        <v>0</v>
      </c>
      <c r="AS1508" s="664">
        <f t="shared" si="616"/>
        <v>0</v>
      </c>
      <c r="AT1508" s="664">
        <f t="shared" si="616"/>
        <v>0</v>
      </c>
      <c r="AU1508" s="664">
        <f t="shared" si="616"/>
        <v>0</v>
      </c>
      <c r="AV1508" s="664">
        <f t="shared" si="616"/>
        <v>0</v>
      </c>
      <c r="AW1508" s="664">
        <f t="shared" si="616"/>
        <v>0</v>
      </c>
      <c r="AX1508" s="664">
        <f t="shared" si="616"/>
        <v>0</v>
      </c>
      <c r="AY1508" s="664">
        <f t="shared" si="616"/>
        <v>0</v>
      </c>
      <c r="AZ1508" s="664">
        <f t="shared" si="616"/>
        <v>0</v>
      </c>
      <c r="BA1508" s="664">
        <f t="shared" si="616"/>
        <v>0</v>
      </c>
      <c r="BB1508" s="664">
        <f t="shared" si="616"/>
        <v>0</v>
      </c>
      <c r="BC1508" s="664">
        <f t="shared" si="616"/>
        <v>0</v>
      </c>
      <c r="BD1508" s="664">
        <f t="shared" si="616"/>
        <v>0</v>
      </c>
      <c r="BE1508" s="664">
        <f t="shared" si="616"/>
        <v>0</v>
      </c>
      <c r="BF1508" s="664">
        <f t="shared" si="616"/>
        <v>0</v>
      </c>
      <c r="BG1508" s="664">
        <f t="shared" si="616"/>
        <v>0</v>
      </c>
      <c r="BH1508" s="664">
        <f t="shared" si="616"/>
        <v>0</v>
      </c>
      <c r="BI1508" s="664">
        <f t="shared" si="616"/>
        <v>0</v>
      </c>
      <c r="BJ1508" s="664">
        <f t="shared" si="616"/>
        <v>0</v>
      </c>
      <c r="BK1508" s="664">
        <f t="shared" si="616"/>
        <v>0</v>
      </c>
      <c r="BL1508" s="664">
        <f t="shared" si="616"/>
        <v>0</v>
      </c>
      <c r="BM1508" s="664">
        <f t="shared" si="616"/>
        <v>0</v>
      </c>
      <c r="BN1508" s="664">
        <f t="shared" si="616"/>
        <v>0</v>
      </c>
      <c r="BO1508" s="664">
        <f t="shared" si="616"/>
        <v>0</v>
      </c>
      <c r="BP1508" s="664">
        <f t="shared" ref="BP1508:CA1508" si="617">SUM(BP1504:BP1507)</f>
        <v>0</v>
      </c>
      <c r="BQ1508" s="664">
        <f t="shared" si="617"/>
        <v>0</v>
      </c>
      <c r="BR1508" s="664">
        <f t="shared" si="617"/>
        <v>0</v>
      </c>
      <c r="BS1508" s="664">
        <f t="shared" si="617"/>
        <v>0</v>
      </c>
      <c r="BT1508" s="664">
        <f t="shared" si="617"/>
        <v>0</v>
      </c>
      <c r="BU1508" s="664">
        <f t="shared" si="617"/>
        <v>0</v>
      </c>
      <c r="BV1508" s="664">
        <f t="shared" si="617"/>
        <v>0</v>
      </c>
      <c r="BW1508" s="664">
        <f t="shared" si="617"/>
        <v>0</v>
      </c>
      <c r="BX1508" s="664">
        <f t="shared" si="617"/>
        <v>0</v>
      </c>
      <c r="BY1508" s="664">
        <f t="shared" si="617"/>
        <v>0</v>
      </c>
      <c r="BZ1508" s="664">
        <f t="shared" si="617"/>
        <v>0</v>
      </c>
      <c r="CA1508" s="664">
        <f t="shared" si="617"/>
        <v>0</v>
      </c>
    </row>
    <row r="1509" spans="1:79" hidden="1" outlineLevel="1" x14ac:dyDescent="0.25">
      <c r="A1509" s="658"/>
      <c r="B1509" s="570"/>
      <c r="C1509" s="570"/>
      <c r="D1509" s="570"/>
      <c r="E1509" s="570" t="s">
        <v>1076</v>
      </c>
      <c r="F1509" s="658" t="s">
        <v>648</v>
      </c>
      <c r="G1509" s="719"/>
      <c r="H1509" s="719"/>
      <c r="I1509" s="719"/>
      <c r="J1509" s="719"/>
      <c r="K1509" s="719"/>
      <c r="L1509" s="719"/>
      <c r="M1509" s="719"/>
      <c r="N1509" s="719"/>
      <c r="O1509" s="719"/>
      <c r="P1509" s="716"/>
      <c r="Q1509" s="716"/>
      <c r="R1509" s="720"/>
      <c r="S1509" s="688"/>
      <c r="T1509" s="688"/>
      <c r="U1509" s="688"/>
      <c r="V1509" s="688"/>
      <c r="W1509" s="688"/>
      <c r="X1509" s="688"/>
      <c r="Y1509" s="688"/>
      <c r="Z1509" s="688"/>
      <c r="AA1509" s="688"/>
      <c r="AB1509" s="688"/>
      <c r="AC1509" s="666"/>
      <c r="AD1509" s="666"/>
      <c r="AE1509" s="688">
        <v>0</v>
      </c>
      <c r="AF1509" s="719">
        <v>0</v>
      </c>
      <c r="AG1509" s="666">
        <v>0</v>
      </c>
      <c r="AH1509" s="720"/>
      <c r="AI1509" s="720"/>
      <c r="AJ1509" s="720"/>
      <c r="AK1509" s="720"/>
      <c r="AL1509" s="720"/>
      <c r="AM1509" s="720"/>
      <c r="AN1509" s="720"/>
      <c r="AO1509" s="720"/>
      <c r="AP1509" s="720"/>
      <c r="AQ1509" s="720"/>
      <c r="AR1509" s="720"/>
      <c r="AS1509" s="720"/>
      <c r="AT1509" s="720"/>
      <c r="AU1509" s="720"/>
      <c r="AV1509" s="720"/>
      <c r="AW1509" s="720"/>
      <c r="AX1509" s="720"/>
      <c r="AY1509" s="720"/>
      <c r="AZ1509" s="720"/>
      <c r="BA1509" s="720"/>
      <c r="BB1509" s="720"/>
      <c r="BC1509" s="720"/>
      <c r="BD1509" s="720"/>
      <c r="BE1509" s="720"/>
      <c r="BF1509" s="720"/>
      <c r="BG1509" s="720"/>
      <c r="BH1509" s="720"/>
      <c r="BI1509" s="720"/>
      <c r="BJ1509" s="720"/>
      <c r="BK1509" s="720"/>
      <c r="BL1509" s="720"/>
      <c r="BM1509" s="720"/>
      <c r="BN1509" s="720"/>
      <c r="BO1509" s="720"/>
      <c r="BP1509" s="720"/>
      <c r="BQ1509" s="720"/>
      <c r="BR1509" s="720"/>
      <c r="BS1509" s="720"/>
      <c r="BT1509" s="720"/>
      <c r="BU1509" s="720"/>
      <c r="BV1509" s="720"/>
      <c r="BW1509" s="720"/>
      <c r="BX1509" s="720"/>
      <c r="BY1509" s="720"/>
      <c r="BZ1509" s="720"/>
      <c r="CA1509" s="720"/>
    </row>
    <row r="1510" spans="1:79" hidden="1" outlineLevel="1" x14ac:dyDescent="0.25">
      <c r="A1510" s="658"/>
      <c r="B1510" s="570"/>
      <c r="C1510" s="570"/>
      <c r="D1510" s="570"/>
      <c r="E1510" s="570" t="s">
        <v>431</v>
      </c>
      <c r="F1510" s="658" t="s">
        <v>599</v>
      </c>
      <c r="G1510" s="719"/>
      <c r="H1510" s="719"/>
      <c r="I1510" s="719"/>
      <c r="J1510" s="719"/>
      <c r="K1510" s="719"/>
      <c r="L1510" s="719"/>
      <c r="M1510" s="719"/>
      <c r="N1510" s="719"/>
      <c r="O1510" s="719"/>
      <c r="P1510" s="716"/>
      <c r="Q1510" s="716"/>
      <c r="R1510" s="720"/>
      <c r="S1510" s="667"/>
      <c r="T1510" s="667"/>
      <c r="U1510" s="667"/>
      <c r="V1510" s="667"/>
      <c r="W1510" s="667"/>
      <c r="X1510" s="667"/>
      <c r="Y1510" s="667"/>
      <c r="Z1510" s="667"/>
      <c r="AA1510" s="667"/>
      <c r="AB1510" s="667"/>
      <c r="AC1510" s="686"/>
      <c r="AD1510" s="686"/>
      <c r="AE1510" s="667">
        <v>0</v>
      </c>
      <c r="AF1510" s="719">
        <v>0</v>
      </c>
      <c r="AG1510" s="665">
        <v>0</v>
      </c>
      <c r="AH1510" s="720"/>
      <c r="AI1510" s="720"/>
      <c r="AJ1510" s="720"/>
      <c r="AK1510" s="720"/>
      <c r="AL1510" s="720"/>
      <c r="AM1510" s="720"/>
      <c r="AN1510" s="720"/>
      <c r="AO1510" s="720"/>
      <c r="AP1510" s="720"/>
      <c r="AQ1510" s="720"/>
      <c r="AR1510" s="720"/>
      <c r="AS1510" s="720"/>
      <c r="AT1510" s="720"/>
      <c r="AU1510" s="720"/>
      <c r="AV1510" s="720"/>
      <c r="AW1510" s="720"/>
      <c r="AX1510" s="720"/>
      <c r="AY1510" s="720"/>
      <c r="AZ1510" s="720"/>
      <c r="BA1510" s="720"/>
      <c r="BB1510" s="720"/>
      <c r="BC1510" s="720"/>
      <c r="BD1510" s="720"/>
      <c r="BE1510" s="720"/>
      <c r="BF1510" s="720"/>
      <c r="BG1510" s="720"/>
      <c r="BH1510" s="720"/>
      <c r="BI1510" s="720"/>
      <c r="BJ1510" s="720"/>
      <c r="BK1510" s="720"/>
      <c r="BL1510" s="720"/>
      <c r="BM1510" s="720"/>
      <c r="BN1510" s="720"/>
      <c r="BO1510" s="720"/>
      <c r="BP1510" s="720"/>
      <c r="BQ1510" s="720"/>
      <c r="BR1510" s="720"/>
      <c r="BS1510" s="720"/>
      <c r="BT1510" s="720"/>
      <c r="BU1510" s="720"/>
      <c r="BV1510" s="720"/>
      <c r="BW1510" s="720"/>
      <c r="BX1510" s="720"/>
      <c r="BY1510" s="720"/>
      <c r="BZ1510" s="720"/>
      <c r="CA1510" s="720"/>
    </row>
    <row r="1511" spans="1:79" s="693" customFormat="1" hidden="1" outlineLevel="1" x14ac:dyDescent="0.25">
      <c r="A1511" s="691"/>
      <c r="B1511" s="710"/>
      <c r="C1511" s="710"/>
      <c r="D1511" s="710"/>
      <c r="E1511" s="570" t="s">
        <v>1343</v>
      </c>
      <c r="F1511" s="691" t="s">
        <v>673</v>
      </c>
      <c r="G1511" s="736"/>
      <c r="H1511" s="736"/>
      <c r="I1511" s="736"/>
      <c r="J1511" s="736"/>
      <c r="K1511" s="736"/>
      <c r="L1511" s="736"/>
      <c r="M1511" s="736"/>
      <c r="N1511" s="736"/>
      <c r="O1511" s="736"/>
      <c r="P1511" s="736"/>
      <c r="Q1511" s="736"/>
      <c r="R1511" s="762"/>
      <c r="S1511" s="704"/>
      <c r="T1511" s="704"/>
      <c r="U1511" s="704"/>
      <c r="V1511" s="704"/>
      <c r="W1511" s="704"/>
      <c r="X1511" s="704"/>
      <c r="Y1511" s="704"/>
      <c r="Z1511" s="704"/>
      <c r="AA1511" s="704"/>
      <c r="AB1511" s="704"/>
      <c r="AC1511" s="703"/>
      <c r="AD1511" s="703"/>
      <c r="AE1511" s="704"/>
      <c r="AF1511" s="733"/>
      <c r="AG1511" s="702"/>
      <c r="AH1511" s="735"/>
      <c r="AI1511" s="735"/>
      <c r="AJ1511" s="735"/>
      <c r="AK1511" s="735"/>
      <c r="AL1511" s="735"/>
      <c r="AM1511" s="735"/>
      <c r="AN1511" s="735"/>
      <c r="AO1511" s="735"/>
      <c r="AP1511" s="735"/>
      <c r="AQ1511" s="735"/>
      <c r="AR1511" s="735"/>
      <c r="AS1511" s="735"/>
      <c r="AT1511" s="735"/>
      <c r="AU1511" s="735"/>
      <c r="AV1511" s="735"/>
      <c r="AW1511" s="735"/>
      <c r="AX1511" s="735"/>
      <c r="AY1511" s="735"/>
      <c r="AZ1511" s="735"/>
      <c r="BA1511" s="735"/>
      <c r="BB1511" s="735"/>
      <c r="BC1511" s="735"/>
      <c r="BD1511" s="735"/>
      <c r="BE1511" s="735"/>
      <c r="BF1511" s="735"/>
      <c r="BG1511" s="735"/>
      <c r="BH1511" s="735"/>
      <c r="BI1511" s="735"/>
      <c r="BJ1511" s="735"/>
      <c r="BK1511" s="735"/>
      <c r="BL1511" s="735"/>
      <c r="BM1511" s="735"/>
      <c r="BN1511" s="735"/>
      <c r="BO1511" s="735"/>
      <c r="BP1511" s="735"/>
      <c r="BQ1511" s="735"/>
      <c r="BR1511" s="735"/>
      <c r="BS1511" s="735"/>
      <c r="BT1511" s="735"/>
      <c r="BU1511" s="735"/>
      <c r="BV1511" s="735"/>
      <c r="BW1511" s="735"/>
      <c r="BX1511" s="735"/>
      <c r="BY1511" s="735"/>
      <c r="BZ1511" s="735"/>
      <c r="CA1511" s="735"/>
    </row>
    <row r="1512" spans="1:79" hidden="1" outlineLevel="1" x14ac:dyDescent="0.25">
      <c r="A1512" s="656"/>
      <c r="B1512" s="571"/>
      <c r="C1512" s="571"/>
      <c r="D1512" s="571"/>
      <c r="E1512" s="570" t="s">
        <v>1330</v>
      </c>
      <c r="F1512" s="656" t="s">
        <v>893</v>
      </c>
      <c r="G1512" s="718"/>
      <c r="H1512" s="718"/>
      <c r="I1512" s="718"/>
      <c r="J1512" s="718"/>
      <c r="K1512" s="718"/>
      <c r="L1512" s="718"/>
      <c r="M1512" s="718"/>
      <c r="N1512" s="718"/>
      <c r="O1512" s="718"/>
      <c r="P1512" s="718"/>
      <c r="Q1512" s="718"/>
      <c r="R1512" s="717"/>
      <c r="S1512" s="667"/>
      <c r="T1512" s="667"/>
      <c r="U1512" s="667"/>
      <c r="V1512" s="667"/>
      <c r="W1512" s="667"/>
      <c r="X1512" s="667"/>
      <c r="Y1512" s="667"/>
      <c r="Z1512" s="667"/>
      <c r="AA1512" s="667"/>
      <c r="AB1512" s="667"/>
      <c r="AC1512" s="686"/>
      <c r="AD1512" s="686"/>
      <c r="AE1512" s="667">
        <v>0</v>
      </c>
      <c r="AF1512" s="719">
        <v>0</v>
      </c>
      <c r="AG1512" s="665">
        <v>0</v>
      </c>
      <c r="AH1512" s="720"/>
      <c r="AI1512" s="720"/>
      <c r="AJ1512" s="720"/>
      <c r="AK1512" s="720"/>
      <c r="AL1512" s="720"/>
      <c r="AM1512" s="720"/>
      <c r="AN1512" s="720"/>
      <c r="AO1512" s="720"/>
      <c r="AP1512" s="720"/>
      <c r="AQ1512" s="720"/>
      <c r="AR1512" s="720"/>
      <c r="AS1512" s="720"/>
      <c r="AT1512" s="720"/>
      <c r="AU1512" s="720"/>
      <c r="AV1512" s="720"/>
      <c r="AW1512" s="720"/>
      <c r="AX1512" s="720"/>
      <c r="AY1512" s="720"/>
      <c r="AZ1512" s="720"/>
      <c r="BA1512" s="720"/>
      <c r="BB1512" s="720"/>
      <c r="BC1512" s="720"/>
      <c r="BD1512" s="720"/>
      <c r="BE1512" s="720"/>
      <c r="BF1512" s="720"/>
      <c r="BG1512" s="720"/>
      <c r="BH1512" s="720"/>
      <c r="BI1512" s="720"/>
      <c r="BJ1512" s="720"/>
      <c r="BK1512" s="720"/>
      <c r="BL1512" s="720"/>
      <c r="BM1512" s="720"/>
      <c r="BN1512" s="720"/>
      <c r="BO1512" s="720"/>
      <c r="BP1512" s="720"/>
      <c r="BQ1512" s="720"/>
      <c r="BR1512" s="720"/>
      <c r="BS1512" s="720"/>
      <c r="BT1512" s="720"/>
      <c r="BU1512" s="720"/>
      <c r="BV1512" s="720"/>
      <c r="BW1512" s="720"/>
      <c r="BX1512" s="720"/>
      <c r="BY1512" s="720"/>
      <c r="BZ1512" s="720"/>
      <c r="CA1512" s="720"/>
    </row>
    <row r="1513" spans="1:79" hidden="1" outlineLevel="1" x14ac:dyDescent="0.25">
      <c r="A1513" s="656"/>
      <c r="B1513" s="576"/>
      <c r="C1513" s="576"/>
      <c r="D1513" s="576"/>
      <c r="E1513" s="570" t="s">
        <v>1343</v>
      </c>
      <c r="F1513" s="656" t="s">
        <v>674</v>
      </c>
      <c r="G1513" s="718"/>
      <c r="H1513" s="718"/>
      <c r="I1513" s="718"/>
      <c r="J1513" s="718"/>
      <c r="K1513" s="718"/>
      <c r="L1513" s="718"/>
      <c r="M1513" s="718"/>
      <c r="N1513" s="718"/>
      <c r="O1513" s="718"/>
      <c r="P1513" s="718"/>
      <c r="Q1513" s="718"/>
      <c r="R1513" s="717"/>
      <c r="S1513" s="667"/>
      <c r="T1513" s="667"/>
      <c r="U1513" s="667"/>
      <c r="V1513" s="667"/>
      <c r="W1513" s="667"/>
      <c r="X1513" s="667"/>
      <c r="Y1513" s="667"/>
      <c r="Z1513" s="667"/>
      <c r="AA1513" s="667"/>
      <c r="AB1513" s="667"/>
      <c r="AC1513" s="686"/>
      <c r="AD1513" s="686"/>
      <c r="AE1513" s="667">
        <v>0</v>
      </c>
      <c r="AF1513" s="719">
        <v>0</v>
      </c>
      <c r="AG1513" s="665">
        <v>0</v>
      </c>
      <c r="AH1513" s="720"/>
      <c r="AI1513" s="720"/>
      <c r="AJ1513" s="720"/>
      <c r="AK1513" s="720"/>
      <c r="AL1513" s="720"/>
      <c r="AM1513" s="720"/>
      <c r="AN1513" s="720"/>
      <c r="AO1513" s="720"/>
      <c r="AP1513" s="720"/>
      <c r="AQ1513" s="720"/>
      <c r="AR1513" s="720"/>
      <c r="AS1513" s="720"/>
      <c r="AT1513" s="720"/>
      <c r="AU1513" s="720"/>
      <c r="AV1513" s="720"/>
      <c r="AW1513" s="720"/>
      <c r="AX1513" s="720"/>
      <c r="AY1513" s="720"/>
      <c r="AZ1513" s="720"/>
      <c r="BA1513" s="720"/>
      <c r="BB1513" s="720"/>
      <c r="BC1513" s="720"/>
      <c r="BD1513" s="720"/>
      <c r="BE1513" s="720"/>
      <c r="BF1513" s="720"/>
      <c r="BG1513" s="720"/>
      <c r="BH1513" s="720"/>
      <c r="BI1513" s="720"/>
      <c r="BJ1513" s="720"/>
      <c r="BK1513" s="720"/>
      <c r="BL1513" s="720"/>
      <c r="BM1513" s="720"/>
      <c r="BN1513" s="720"/>
      <c r="BO1513" s="720"/>
      <c r="BP1513" s="720"/>
      <c r="BQ1513" s="720"/>
      <c r="BR1513" s="720"/>
      <c r="BS1513" s="720"/>
      <c r="BT1513" s="720"/>
      <c r="BU1513" s="720"/>
      <c r="BV1513" s="720"/>
      <c r="BW1513" s="720"/>
      <c r="BX1513" s="720"/>
      <c r="BY1513" s="720"/>
      <c r="BZ1513" s="720"/>
      <c r="CA1513" s="720"/>
    </row>
    <row r="1514" spans="1:79" hidden="1" outlineLevel="1" x14ac:dyDescent="0.25">
      <c r="A1514" s="656"/>
      <c r="B1514" s="576"/>
      <c r="C1514" s="576"/>
      <c r="D1514" s="576"/>
      <c r="E1514" s="570" t="s">
        <v>1343</v>
      </c>
      <c r="F1514" s="656" t="s">
        <v>894</v>
      </c>
      <c r="G1514" s="718"/>
      <c r="H1514" s="718"/>
      <c r="I1514" s="718"/>
      <c r="J1514" s="718"/>
      <c r="K1514" s="718"/>
      <c r="L1514" s="718"/>
      <c r="M1514" s="718"/>
      <c r="N1514" s="718"/>
      <c r="O1514" s="718"/>
      <c r="P1514" s="718"/>
      <c r="Q1514" s="718"/>
      <c r="R1514" s="717"/>
      <c r="S1514" s="667"/>
      <c r="T1514" s="667"/>
      <c r="U1514" s="667"/>
      <c r="V1514" s="667"/>
      <c r="W1514" s="667"/>
      <c r="X1514" s="667"/>
      <c r="Y1514" s="667"/>
      <c r="Z1514" s="667"/>
      <c r="AA1514" s="667"/>
      <c r="AB1514" s="667"/>
      <c r="AC1514" s="686"/>
      <c r="AD1514" s="686"/>
      <c r="AE1514" s="667">
        <v>0</v>
      </c>
      <c r="AF1514" s="719">
        <v>0</v>
      </c>
      <c r="AG1514" s="665">
        <v>0</v>
      </c>
      <c r="AH1514" s="720"/>
      <c r="AI1514" s="720"/>
      <c r="AJ1514" s="720"/>
      <c r="AK1514" s="720"/>
      <c r="AL1514" s="720"/>
      <c r="AM1514" s="720"/>
      <c r="AN1514" s="720"/>
      <c r="AO1514" s="720"/>
      <c r="AP1514" s="720"/>
      <c r="AQ1514" s="720"/>
      <c r="AR1514" s="720"/>
      <c r="AS1514" s="720"/>
      <c r="AT1514" s="720"/>
      <c r="AU1514" s="720"/>
      <c r="AV1514" s="720"/>
      <c r="AW1514" s="720"/>
      <c r="AX1514" s="720"/>
      <c r="AY1514" s="720"/>
      <c r="AZ1514" s="720"/>
      <c r="BA1514" s="720"/>
      <c r="BB1514" s="720"/>
      <c r="BC1514" s="720"/>
      <c r="BD1514" s="720"/>
      <c r="BE1514" s="720"/>
      <c r="BF1514" s="720"/>
      <c r="BG1514" s="720"/>
      <c r="BH1514" s="720"/>
      <c r="BI1514" s="720"/>
      <c r="BJ1514" s="720"/>
      <c r="BK1514" s="720"/>
      <c r="BL1514" s="720"/>
      <c r="BM1514" s="720"/>
      <c r="BN1514" s="720"/>
      <c r="BO1514" s="720"/>
      <c r="BP1514" s="720"/>
      <c r="BQ1514" s="720"/>
      <c r="BR1514" s="720"/>
      <c r="BS1514" s="720"/>
      <c r="BT1514" s="720"/>
      <c r="BU1514" s="720"/>
      <c r="BV1514" s="720"/>
      <c r="BW1514" s="720"/>
      <c r="BX1514" s="720"/>
      <c r="BY1514" s="720"/>
      <c r="BZ1514" s="720"/>
      <c r="CA1514" s="720"/>
    </row>
    <row r="1515" spans="1:79" hidden="1" outlineLevel="1" x14ac:dyDescent="0.25">
      <c r="A1515" s="656"/>
      <c r="B1515" s="576"/>
      <c r="C1515" s="576"/>
      <c r="D1515" s="576"/>
      <c r="E1515" s="570" t="s">
        <v>1343</v>
      </c>
      <c r="F1515" s="656" t="s">
        <v>765</v>
      </c>
      <c r="G1515" s="719"/>
      <c r="H1515" s="716"/>
      <c r="I1515" s="716"/>
      <c r="J1515" s="716"/>
      <c r="K1515" s="716"/>
      <c r="L1515" s="716"/>
      <c r="M1515" s="716"/>
      <c r="N1515" s="716"/>
      <c r="O1515" s="716"/>
      <c r="P1515" s="716"/>
      <c r="Q1515" s="716"/>
      <c r="R1515" s="720"/>
      <c r="S1515" s="667"/>
      <c r="T1515" s="667"/>
      <c r="U1515" s="667"/>
      <c r="V1515" s="667"/>
      <c r="W1515" s="667"/>
      <c r="X1515" s="667"/>
      <c r="Y1515" s="667"/>
      <c r="Z1515" s="667"/>
      <c r="AA1515" s="667"/>
      <c r="AB1515" s="667"/>
      <c r="AC1515" s="686"/>
      <c r="AD1515" s="686"/>
      <c r="AE1515" s="667">
        <v>0</v>
      </c>
      <c r="AF1515" s="719">
        <v>0</v>
      </c>
      <c r="AG1515" s="665">
        <v>0</v>
      </c>
      <c r="AH1515" s="720"/>
      <c r="AI1515" s="720"/>
      <c r="AJ1515" s="720"/>
      <c r="AK1515" s="720"/>
      <c r="AL1515" s="720"/>
      <c r="AM1515" s="720"/>
      <c r="AN1515" s="720"/>
      <c r="AO1515" s="720"/>
      <c r="AP1515" s="720"/>
      <c r="AQ1515" s="720"/>
      <c r="AR1515" s="720"/>
      <c r="AS1515" s="720"/>
      <c r="AT1515" s="720"/>
      <c r="AU1515" s="720"/>
      <c r="AV1515" s="720"/>
      <c r="AW1515" s="720"/>
      <c r="AX1515" s="720"/>
      <c r="AY1515" s="720"/>
      <c r="AZ1515" s="720"/>
      <c r="BA1515" s="720"/>
      <c r="BB1515" s="720"/>
      <c r="BC1515" s="720"/>
      <c r="BD1515" s="720"/>
      <c r="BE1515" s="720"/>
      <c r="BF1515" s="720"/>
      <c r="BG1515" s="720"/>
      <c r="BH1515" s="720"/>
      <c r="BI1515" s="720"/>
      <c r="BJ1515" s="720"/>
      <c r="BK1515" s="720"/>
      <c r="BL1515" s="720"/>
      <c r="BM1515" s="720"/>
      <c r="BN1515" s="720"/>
      <c r="BO1515" s="720"/>
      <c r="BP1515" s="720"/>
      <c r="BQ1515" s="720"/>
      <c r="BR1515" s="720"/>
      <c r="BS1515" s="720"/>
      <c r="BT1515" s="720"/>
      <c r="BU1515" s="720"/>
      <c r="BV1515" s="720"/>
      <c r="BW1515" s="720"/>
      <c r="BX1515" s="720"/>
      <c r="BY1515" s="720"/>
      <c r="BZ1515" s="720"/>
      <c r="CA1515" s="720"/>
    </row>
    <row r="1516" spans="1:79" hidden="1" outlineLevel="1" x14ac:dyDescent="0.25">
      <c r="A1516" s="657"/>
      <c r="B1516" s="571"/>
      <c r="C1516" s="571"/>
      <c r="D1516" s="571"/>
      <c r="E1516" s="570" t="s">
        <v>49</v>
      </c>
      <c r="F1516" s="657" t="s">
        <v>675</v>
      </c>
      <c r="G1516" s="664"/>
      <c r="H1516" s="664"/>
      <c r="I1516" s="664"/>
      <c r="J1516" s="664"/>
      <c r="K1516" s="664"/>
      <c r="L1516" s="664"/>
      <c r="M1516" s="664"/>
      <c r="N1516" s="664"/>
      <c r="O1516" s="664"/>
      <c r="P1516" s="664"/>
      <c r="Q1516" s="664"/>
      <c r="R1516" s="664"/>
      <c r="S1516" s="678"/>
      <c r="T1516" s="678"/>
      <c r="U1516" s="678"/>
      <c r="V1516" s="678"/>
      <c r="W1516" s="678"/>
      <c r="X1516" s="678"/>
      <c r="Y1516" s="678"/>
      <c r="Z1516" s="678"/>
      <c r="AA1516" s="678"/>
      <c r="AB1516" s="678"/>
      <c r="AC1516" s="678"/>
      <c r="AD1516" s="678"/>
      <c r="AE1516" s="678">
        <f>ROUND(SUM(AE1511:AE1515),5)</f>
        <v>0</v>
      </c>
      <c r="AF1516" s="664">
        <f>ROUND(SUM(AF1511:AF1515),5)</f>
        <v>0</v>
      </c>
      <c r="AG1516" s="678">
        <f>ROUND(SUM(AG1511:AG1515),5)</f>
        <v>0</v>
      </c>
      <c r="AH1516" s="664">
        <f t="shared" ref="AH1516:BO1516" si="618">SUM(AH1512:AH1515)</f>
        <v>0</v>
      </c>
      <c r="AI1516" s="664">
        <f t="shared" si="618"/>
        <v>0</v>
      </c>
      <c r="AJ1516" s="664">
        <f t="shared" si="618"/>
        <v>0</v>
      </c>
      <c r="AK1516" s="664">
        <f t="shared" si="618"/>
        <v>0</v>
      </c>
      <c r="AL1516" s="664">
        <f t="shared" si="618"/>
        <v>0</v>
      </c>
      <c r="AM1516" s="664">
        <f t="shared" si="618"/>
        <v>0</v>
      </c>
      <c r="AN1516" s="664">
        <f t="shared" si="618"/>
        <v>0</v>
      </c>
      <c r="AO1516" s="664">
        <f t="shared" si="618"/>
        <v>0</v>
      </c>
      <c r="AP1516" s="664">
        <f t="shared" si="618"/>
        <v>0</v>
      </c>
      <c r="AQ1516" s="664">
        <f t="shared" si="618"/>
        <v>0</v>
      </c>
      <c r="AR1516" s="664">
        <f t="shared" si="618"/>
        <v>0</v>
      </c>
      <c r="AS1516" s="664">
        <f t="shared" si="618"/>
        <v>0</v>
      </c>
      <c r="AT1516" s="664">
        <f t="shared" si="618"/>
        <v>0</v>
      </c>
      <c r="AU1516" s="664">
        <f t="shared" si="618"/>
        <v>0</v>
      </c>
      <c r="AV1516" s="664">
        <f t="shared" si="618"/>
        <v>0</v>
      </c>
      <c r="AW1516" s="664">
        <f t="shared" si="618"/>
        <v>0</v>
      </c>
      <c r="AX1516" s="664">
        <f t="shared" si="618"/>
        <v>0</v>
      </c>
      <c r="AY1516" s="664">
        <f t="shared" si="618"/>
        <v>0</v>
      </c>
      <c r="AZ1516" s="664">
        <f t="shared" si="618"/>
        <v>0</v>
      </c>
      <c r="BA1516" s="664">
        <f t="shared" si="618"/>
        <v>0</v>
      </c>
      <c r="BB1516" s="664">
        <f t="shared" si="618"/>
        <v>0</v>
      </c>
      <c r="BC1516" s="664">
        <f t="shared" si="618"/>
        <v>0</v>
      </c>
      <c r="BD1516" s="664">
        <f t="shared" si="618"/>
        <v>0</v>
      </c>
      <c r="BE1516" s="664">
        <f t="shared" si="618"/>
        <v>0</v>
      </c>
      <c r="BF1516" s="664">
        <f t="shared" si="618"/>
        <v>0</v>
      </c>
      <c r="BG1516" s="664">
        <f t="shared" si="618"/>
        <v>0</v>
      </c>
      <c r="BH1516" s="664">
        <f t="shared" si="618"/>
        <v>0</v>
      </c>
      <c r="BI1516" s="664">
        <f t="shared" si="618"/>
        <v>0</v>
      </c>
      <c r="BJ1516" s="664">
        <f t="shared" si="618"/>
        <v>0</v>
      </c>
      <c r="BK1516" s="664">
        <f t="shared" si="618"/>
        <v>0</v>
      </c>
      <c r="BL1516" s="664">
        <f t="shared" si="618"/>
        <v>0</v>
      </c>
      <c r="BM1516" s="664">
        <f t="shared" si="618"/>
        <v>0</v>
      </c>
      <c r="BN1516" s="664">
        <f t="shared" si="618"/>
        <v>0</v>
      </c>
      <c r="BO1516" s="664">
        <f t="shared" si="618"/>
        <v>0</v>
      </c>
      <c r="BP1516" s="664">
        <f t="shared" ref="BP1516:CA1516" si="619">SUM(BP1512:BP1515)</f>
        <v>0</v>
      </c>
      <c r="BQ1516" s="664">
        <f t="shared" si="619"/>
        <v>0</v>
      </c>
      <c r="BR1516" s="664">
        <f t="shared" si="619"/>
        <v>0</v>
      </c>
      <c r="BS1516" s="664">
        <f t="shared" si="619"/>
        <v>0</v>
      </c>
      <c r="BT1516" s="664">
        <f t="shared" si="619"/>
        <v>0</v>
      </c>
      <c r="BU1516" s="664">
        <f t="shared" si="619"/>
        <v>0</v>
      </c>
      <c r="BV1516" s="664">
        <f t="shared" si="619"/>
        <v>0</v>
      </c>
      <c r="BW1516" s="664">
        <f t="shared" si="619"/>
        <v>0</v>
      </c>
      <c r="BX1516" s="664">
        <f t="shared" si="619"/>
        <v>0</v>
      </c>
      <c r="BY1516" s="664">
        <f t="shared" si="619"/>
        <v>0</v>
      </c>
      <c r="BZ1516" s="664">
        <f t="shared" si="619"/>
        <v>0</v>
      </c>
      <c r="CA1516" s="664">
        <f t="shared" si="619"/>
        <v>0</v>
      </c>
    </row>
    <row r="1517" spans="1:79" hidden="1" outlineLevel="1" x14ac:dyDescent="0.25">
      <c r="A1517" s="658"/>
      <c r="B1517" s="570"/>
      <c r="C1517" s="570"/>
      <c r="D1517" s="570"/>
      <c r="E1517" s="570" t="s">
        <v>921</v>
      </c>
      <c r="F1517" s="658" t="s">
        <v>600</v>
      </c>
      <c r="G1517" s="716"/>
      <c r="H1517" s="716"/>
      <c r="I1517" s="716"/>
      <c r="J1517" s="716"/>
      <c r="K1517" s="716"/>
      <c r="L1517" s="716"/>
      <c r="M1517" s="716"/>
      <c r="N1517" s="716"/>
      <c r="O1517" s="719"/>
      <c r="P1517" s="716"/>
      <c r="Q1517" s="716"/>
      <c r="R1517" s="720"/>
      <c r="S1517" s="667"/>
      <c r="T1517" s="667"/>
      <c r="U1517" s="667"/>
      <c r="V1517" s="667"/>
      <c r="W1517" s="667"/>
      <c r="X1517" s="667"/>
      <c r="Y1517" s="667"/>
      <c r="Z1517" s="667"/>
      <c r="AA1517" s="667"/>
      <c r="AB1517" s="667"/>
      <c r="AC1517" s="686"/>
      <c r="AD1517" s="686"/>
      <c r="AE1517" s="667">
        <v>0</v>
      </c>
      <c r="AF1517" s="719">
        <v>0</v>
      </c>
      <c r="AG1517" s="665">
        <v>0</v>
      </c>
      <c r="AH1517" s="720"/>
      <c r="AI1517" s="720"/>
      <c r="AJ1517" s="720"/>
      <c r="AK1517" s="720"/>
      <c r="AL1517" s="720"/>
      <c r="AM1517" s="720"/>
      <c r="AN1517" s="720"/>
      <c r="AO1517" s="720"/>
      <c r="AP1517" s="720"/>
      <c r="AQ1517" s="720"/>
      <c r="AR1517" s="720"/>
      <c r="AS1517" s="720"/>
      <c r="AT1517" s="720"/>
      <c r="AU1517" s="720"/>
      <c r="AV1517" s="720"/>
      <c r="AW1517" s="720"/>
      <c r="AX1517" s="720"/>
      <c r="AY1517" s="720"/>
      <c r="AZ1517" s="720"/>
      <c r="BA1517" s="720"/>
      <c r="BB1517" s="720"/>
      <c r="BC1517" s="720"/>
      <c r="BD1517" s="720"/>
      <c r="BE1517" s="720"/>
      <c r="BF1517" s="720"/>
      <c r="BG1517" s="720"/>
      <c r="BH1517" s="720"/>
      <c r="BI1517" s="720"/>
      <c r="BJ1517" s="720"/>
      <c r="BK1517" s="720"/>
      <c r="BL1517" s="720"/>
      <c r="BM1517" s="720"/>
      <c r="BN1517" s="720"/>
      <c r="BO1517" s="720"/>
      <c r="BP1517" s="720"/>
      <c r="BQ1517" s="720"/>
      <c r="BR1517" s="720"/>
      <c r="BS1517" s="720"/>
      <c r="BT1517" s="720"/>
      <c r="BU1517" s="720"/>
      <c r="BV1517" s="720"/>
      <c r="BW1517" s="720"/>
      <c r="BX1517" s="720"/>
      <c r="BY1517" s="720"/>
      <c r="BZ1517" s="720"/>
      <c r="CA1517" s="720"/>
    </row>
    <row r="1518" spans="1:79" s="693" customFormat="1" hidden="1" outlineLevel="1" x14ac:dyDescent="0.25">
      <c r="A1518" s="701"/>
      <c r="B1518" s="700"/>
      <c r="C1518" s="700"/>
      <c r="D1518" s="700"/>
      <c r="E1518" s="570" t="s">
        <v>1345</v>
      </c>
      <c r="F1518" s="701" t="s">
        <v>601</v>
      </c>
      <c r="G1518" s="733"/>
      <c r="H1518" s="733"/>
      <c r="I1518" s="733"/>
      <c r="J1518" s="733"/>
      <c r="K1518" s="733"/>
      <c r="L1518" s="733"/>
      <c r="M1518" s="733"/>
      <c r="N1518" s="733"/>
      <c r="O1518" s="733"/>
      <c r="P1518" s="736"/>
      <c r="Q1518" s="736"/>
      <c r="R1518" s="762"/>
      <c r="S1518" s="697"/>
      <c r="T1518" s="697"/>
      <c r="U1518" s="697"/>
      <c r="V1518" s="697"/>
      <c r="W1518" s="697"/>
      <c r="X1518" s="697"/>
      <c r="Y1518" s="697"/>
      <c r="Z1518" s="697"/>
      <c r="AA1518" s="697"/>
      <c r="AB1518" s="697"/>
      <c r="AC1518" s="711"/>
      <c r="AD1518" s="711"/>
      <c r="AE1518" s="697"/>
      <c r="AF1518" s="752"/>
      <c r="AG1518" s="711"/>
      <c r="AH1518" s="735"/>
      <c r="AI1518" s="735"/>
      <c r="AJ1518" s="735"/>
      <c r="AK1518" s="735"/>
      <c r="AL1518" s="735"/>
      <c r="AM1518" s="735"/>
      <c r="AN1518" s="735"/>
      <c r="AO1518" s="735"/>
      <c r="AP1518" s="735"/>
      <c r="AQ1518" s="735"/>
      <c r="AR1518" s="735"/>
      <c r="AS1518" s="735"/>
      <c r="AT1518" s="735"/>
      <c r="AU1518" s="735"/>
      <c r="AV1518" s="735"/>
      <c r="AW1518" s="735"/>
      <c r="AX1518" s="735"/>
      <c r="AY1518" s="735"/>
      <c r="AZ1518" s="735"/>
      <c r="BA1518" s="735"/>
      <c r="BB1518" s="735"/>
      <c r="BC1518" s="735"/>
      <c r="BD1518" s="735"/>
      <c r="BE1518" s="735"/>
      <c r="BF1518" s="735"/>
      <c r="BG1518" s="735"/>
      <c r="BH1518" s="735"/>
      <c r="BI1518" s="735"/>
      <c r="BJ1518" s="735"/>
      <c r="BK1518" s="735"/>
      <c r="BL1518" s="735"/>
      <c r="BM1518" s="735"/>
      <c r="BN1518" s="735"/>
      <c r="BO1518" s="735"/>
      <c r="BP1518" s="735"/>
      <c r="BQ1518" s="735"/>
      <c r="BR1518" s="735"/>
      <c r="BS1518" s="735"/>
      <c r="BT1518" s="735"/>
      <c r="BU1518" s="735"/>
      <c r="BV1518" s="735"/>
      <c r="BW1518" s="735"/>
      <c r="BX1518" s="735"/>
      <c r="BY1518" s="735"/>
      <c r="BZ1518" s="735"/>
      <c r="CA1518" s="735"/>
    </row>
    <row r="1519" spans="1:79" hidden="1" outlineLevel="1" x14ac:dyDescent="0.25">
      <c r="A1519" s="656"/>
      <c r="B1519" s="503"/>
      <c r="C1519" s="503"/>
      <c r="D1519" s="503"/>
      <c r="E1519" s="570" t="s">
        <v>1327</v>
      </c>
      <c r="F1519" s="656" t="s">
        <v>895</v>
      </c>
      <c r="G1519" s="719"/>
      <c r="H1519" s="719"/>
      <c r="I1519" s="719"/>
      <c r="J1519" s="719"/>
      <c r="K1519" s="719"/>
      <c r="L1519" s="719"/>
      <c r="M1519" s="719"/>
      <c r="N1519" s="719"/>
      <c r="O1519" s="719"/>
      <c r="P1519" s="718"/>
      <c r="Q1519" s="718"/>
      <c r="R1519" s="717"/>
      <c r="S1519" s="671"/>
      <c r="T1519" s="671"/>
      <c r="U1519" s="671"/>
      <c r="V1519" s="671"/>
      <c r="W1519" s="671"/>
      <c r="X1519" s="671"/>
      <c r="Y1519" s="671"/>
      <c r="Z1519" s="671"/>
      <c r="AA1519" s="671"/>
      <c r="AB1519" s="671"/>
      <c r="AC1519" s="689"/>
      <c r="AD1519" s="689"/>
      <c r="AE1519" s="671"/>
      <c r="AF1519" s="724"/>
      <c r="AG1519" s="689"/>
      <c r="AH1519" s="720"/>
      <c r="AI1519" s="720"/>
      <c r="AJ1519" s="720"/>
      <c r="AK1519" s="720"/>
      <c r="AL1519" s="720"/>
      <c r="AM1519" s="720"/>
      <c r="AN1519" s="720"/>
      <c r="AO1519" s="720"/>
      <c r="AP1519" s="720"/>
      <c r="AQ1519" s="720"/>
      <c r="AR1519" s="720"/>
      <c r="AS1519" s="720"/>
      <c r="AT1519" s="720"/>
      <c r="AU1519" s="720"/>
      <c r="AV1519" s="720"/>
      <c r="AW1519" s="720"/>
      <c r="AX1519" s="720"/>
      <c r="AY1519" s="720"/>
      <c r="AZ1519" s="720"/>
      <c r="BA1519" s="720"/>
      <c r="BB1519" s="720"/>
      <c r="BC1519" s="720"/>
      <c r="BD1519" s="720"/>
      <c r="BE1519" s="720"/>
      <c r="BF1519" s="720"/>
      <c r="BG1519" s="720"/>
      <c r="BH1519" s="720"/>
      <c r="BI1519" s="720"/>
      <c r="BJ1519" s="720"/>
      <c r="BK1519" s="720"/>
      <c r="BL1519" s="720"/>
      <c r="BM1519" s="720"/>
      <c r="BN1519" s="720"/>
      <c r="BO1519" s="720"/>
      <c r="BP1519" s="720"/>
      <c r="BQ1519" s="720"/>
      <c r="BR1519" s="720"/>
      <c r="BS1519" s="720"/>
      <c r="BT1519" s="720"/>
      <c r="BU1519" s="720"/>
      <c r="BV1519" s="720"/>
      <c r="BW1519" s="720"/>
      <c r="BX1519" s="720"/>
      <c r="BY1519" s="720"/>
      <c r="BZ1519" s="720"/>
      <c r="CA1519" s="720"/>
    </row>
    <row r="1520" spans="1:79" hidden="1" outlineLevel="1" x14ac:dyDescent="0.25">
      <c r="A1520" s="661"/>
      <c r="B1520" s="503"/>
      <c r="C1520" s="503"/>
      <c r="D1520" s="503"/>
      <c r="E1520" s="570" t="s">
        <v>1327</v>
      </c>
      <c r="F1520" s="661" t="s">
        <v>906</v>
      </c>
      <c r="G1520" s="719"/>
      <c r="H1520" s="719"/>
      <c r="I1520" s="719"/>
      <c r="J1520" s="719"/>
      <c r="K1520" s="719"/>
      <c r="L1520" s="719"/>
      <c r="M1520" s="719"/>
      <c r="N1520" s="719"/>
      <c r="O1520" s="719"/>
      <c r="P1520" s="718"/>
      <c r="Q1520" s="718"/>
      <c r="R1520" s="717"/>
      <c r="S1520" s="671"/>
      <c r="T1520" s="671"/>
      <c r="U1520" s="671"/>
      <c r="V1520" s="671"/>
      <c r="W1520" s="671"/>
      <c r="X1520" s="671"/>
      <c r="Y1520" s="671"/>
      <c r="Z1520" s="671"/>
      <c r="AA1520" s="671"/>
      <c r="AB1520" s="671"/>
      <c r="AC1520" s="689"/>
      <c r="AD1520" s="689"/>
      <c r="AE1520" s="671">
        <v>0</v>
      </c>
      <c r="AF1520" s="724">
        <v>0</v>
      </c>
      <c r="AG1520" s="689">
        <v>0</v>
      </c>
      <c r="AH1520" s="720"/>
      <c r="AI1520" s="720"/>
      <c r="AJ1520" s="720"/>
      <c r="AK1520" s="720"/>
      <c r="AL1520" s="720"/>
      <c r="AM1520" s="720"/>
      <c r="AN1520" s="720"/>
      <c r="AO1520" s="720"/>
      <c r="AP1520" s="720"/>
      <c r="AQ1520" s="720"/>
      <c r="AR1520" s="720"/>
      <c r="AS1520" s="720"/>
      <c r="AT1520" s="720"/>
      <c r="AU1520" s="720"/>
      <c r="AV1520" s="720"/>
      <c r="AW1520" s="720"/>
      <c r="AX1520" s="720"/>
      <c r="AY1520" s="720"/>
      <c r="AZ1520" s="720"/>
      <c r="BA1520" s="720"/>
      <c r="BB1520" s="720"/>
      <c r="BC1520" s="720"/>
      <c r="BD1520" s="720"/>
      <c r="BE1520" s="720"/>
      <c r="BF1520" s="720"/>
      <c r="BG1520" s="720"/>
      <c r="BH1520" s="720"/>
      <c r="BI1520" s="720"/>
      <c r="BJ1520" s="720"/>
      <c r="BK1520" s="720"/>
      <c r="BL1520" s="720"/>
      <c r="BM1520" s="720"/>
      <c r="BN1520" s="720"/>
      <c r="BO1520" s="720"/>
      <c r="BP1520" s="720"/>
      <c r="BQ1520" s="720"/>
      <c r="BR1520" s="720"/>
      <c r="BS1520" s="720"/>
      <c r="BT1520" s="720"/>
      <c r="BU1520" s="720"/>
      <c r="BV1520" s="720"/>
      <c r="BW1520" s="720"/>
      <c r="BX1520" s="720"/>
      <c r="BY1520" s="720"/>
      <c r="BZ1520" s="720"/>
      <c r="CA1520" s="720"/>
    </row>
    <row r="1521" spans="1:79" hidden="1" outlineLevel="1" x14ac:dyDescent="0.25">
      <c r="A1521" s="661"/>
      <c r="B1521" s="503"/>
      <c r="C1521" s="503"/>
      <c r="D1521" s="503"/>
      <c r="E1521" s="570" t="s">
        <v>657</v>
      </c>
      <c r="F1521" s="661" t="s">
        <v>641</v>
      </c>
      <c r="G1521" s="719"/>
      <c r="H1521" s="719"/>
      <c r="I1521" s="719"/>
      <c r="J1521" s="719"/>
      <c r="K1521" s="719"/>
      <c r="L1521" s="719"/>
      <c r="M1521" s="719"/>
      <c r="N1521" s="719"/>
      <c r="O1521" s="719"/>
      <c r="P1521" s="718"/>
      <c r="Q1521" s="718"/>
      <c r="R1521" s="717"/>
      <c r="S1521" s="671"/>
      <c r="T1521" s="671"/>
      <c r="U1521" s="671"/>
      <c r="V1521" s="671"/>
      <c r="W1521" s="671"/>
      <c r="X1521" s="671"/>
      <c r="Y1521" s="671"/>
      <c r="Z1521" s="671"/>
      <c r="AA1521" s="671"/>
      <c r="AB1521" s="671"/>
      <c r="AC1521" s="689"/>
      <c r="AD1521" s="689"/>
      <c r="AE1521" s="671">
        <v>940.65</v>
      </c>
      <c r="AF1521" s="724">
        <v>940.65</v>
      </c>
      <c r="AG1521" s="689">
        <v>1863.77</v>
      </c>
      <c r="AH1521" s="720"/>
      <c r="AI1521" s="720"/>
      <c r="AJ1521" s="720"/>
      <c r="AK1521" s="720"/>
      <c r="AL1521" s="720"/>
      <c r="AM1521" s="720"/>
      <c r="AN1521" s="720"/>
      <c r="AO1521" s="720"/>
      <c r="AP1521" s="720"/>
      <c r="AQ1521" s="720"/>
      <c r="AR1521" s="720"/>
      <c r="AS1521" s="720"/>
      <c r="AT1521" s="720"/>
      <c r="AU1521" s="720"/>
      <c r="AV1521" s="720"/>
      <c r="AW1521" s="720"/>
      <c r="AX1521" s="720"/>
      <c r="AY1521" s="720"/>
      <c r="AZ1521" s="720"/>
      <c r="BA1521" s="720"/>
      <c r="BB1521" s="720"/>
      <c r="BC1521" s="720"/>
      <c r="BD1521" s="720"/>
      <c r="BE1521" s="720"/>
      <c r="BF1521" s="720"/>
      <c r="BG1521" s="720"/>
      <c r="BH1521" s="720"/>
      <c r="BI1521" s="720"/>
      <c r="BJ1521" s="720"/>
      <c r="BK1521" s="720"/>
      <c r="BL1521" s="720"/>
      <c r="BM1521" s="720"/>
      <c r="BN1521" s="720"/>
      <c r="BO1521" s="720"/>
      <c r="BP1521" s="720"/>
      <c r="BQ1521" s="720"/>
      <c r="BR1521" s="720"/>
      <c r="BS1521" s="720"/>
      <c r="BT1521" s="720"/>
      <c r="BU1521" s="720"/>
      <c r="BV1521" s="720"/>
      <c r="BW1521" s="720"/>
      <c r="BX1521" s="720"/>
      <c r="BY1521" s="720"/>
      <c r="BZ1521" s="720"/>
      <c r="CA1521" s="720"/>
    </row>
    <row r="1522" spans="1:79" hidden="1" outlineLevel="1" x14ac:dyDescent="0.25">
      <c r="A1522" s="661"/>
      <c r="B1522" s="503"/>
      <c r="C1522" s="503"/>
      <c r="D1522" s="503"/>
      <c r="E1522" s="570" t="s">
        <v>657</v>
      </c>
      <c r="F1522" s="661" t="s">
        <v>1322</v>
      </c>
      <c r="G1522" s="719"/>
      <c r="H1522" s="719"/>
      <c r="I1522" s="719"/>
      <c r="J1522" s="719"/>
      <c r="K1522" s="719"/>
      <c r="L1522" s="719"/>
      <c r="M1522" s="719"/>
      <c r="N1522" s="719"/>
      <c r="O1522" s="719"/>
      <c r="P1522" s="718"/>
      <c r="Q1522" s="718"/>
      <c r="R1522" s="717"/>
      <c r="S1522" s="671"/>
      <c r="T1522" s="671"/>
      <c r="U1522" s="671"/>
      <c r="V1522" s="671"/>
      <c r="W1522" s="671"/>
      <c r="X1522" s="671"/>
      <c r="Y1522" s="671"/>
      <c r="Z1522" s="671"/>
      <c r="AA1522" s="671"/>
      <c r="AB1522" s="671"/>
      <c r="AC1522" s="689"/>
      <c r="AD1522" s="689"/>
      <c r="AE1522" s="671">
        <v>67.17</v>
      </c>
      <c r="AF1522" s="724">
        <v>67.17</v>
      </c>
      <c r="AG1522" s="689">
        <v>92.41</v>
      </c>
      <c r="AH1522" s="720"/>
      <c r="AI1522" s="720"/>
      <c r="AJ1522" s="720"/>
      <c r="AK1522" s="720"/>
      <c r="AL1522" s="720"/>
      <c r="AM1522" s="720"/>
      <c r="AN1522" s="720"/>
      <c r="AO1522" s="720"/>
      <c r="AP1522" s="720"/>
      <c r="AQ1522" s="720"/>
      <c r="AR1522" s="720"/>
      <c r="AS1522" s="720"/>
      <c r="AT1522" s="720"/>
      <c r="AU1522" s="720"/>
      <c r="AV1522" s="720"/>
      <c r="AW1522" s="720"/>
      <c r="AX1522" s="720"/>
      <c r="AY1522" s="720"/>
      <c r="AZ1522" s="720"/>
      <c r="BA1522" s="720"/>
      <c r="BB1522" s="720"/>
      <c r="BC1522" s="720"/>
      <c r="BD1522" s="720"/>
      <c r="BE1522" s="720"/>
      <c r="BF1522" s="720"/>
      <c r="BG1522" s="720"/>
      <c r="BH1522" s="720"/>
      <c r="BI1522" s="720"/>
      <c r="BJ1522" s="720"/>
      <c r="BK1522" s="720"/>
      <c r="BL1522" s="720"/>
      <c r="BM1522" s="720"/>
      <c r="BN1522" s="720"/>
      <c r="BO1522" s="720"/>
      <c r="BP1522" s="720"/>
      <c r="BQ1522" s="720"/>
      <c r="BR1522" s="720"/>
      <c r="BS1522" s="720"/>
      <c r="BT1522" s="720"/>
      <c r="BU1522" s="720"/>
      <c r="BV1522" s="720"/>
      <c r="BW1522" s="720"/>
      <c r="BX1522" s="720"/>
      <c r="BY1522" s="720"/>
      <c r="BZ1522" s="720"/>
      <c r="CA1522" s="720"/>
    </row>
    <row r="1523" spans="1:79" hidden="1" outlineLevel="1" x14ac:dyDescent="0.25">
      <c r="A1523" s="661"/>
      <c r="B1523" s="503"/>
      <c r="C1523" s="503"/>
      <c r="D1523" s="503"/>
      <c r="E1523" s="570" t="s">
        <v>1327</v>
      </c>
      <c r="F1523" s="661" t="s">
        <v>896</v>
      </c>
      <c r="G1523" s="719"/>
      <c r="H1523" s="719"/>
      <c r="I1523" s="719"/>
      <c r="J1523" s="719"/>
      <c r="K1523" s="719"/>
      <c r="L1523" s="719"/>
      <c r="M1523" s="719"/>
      <c r="N1523" s="719"/>
      <c r="O1523" s="719"/>
      <c r="P1523" s="718"/>
      <c r="Q1523" s="718"/>
      <c r="R1523" s="717"/>
      <c r="S1523" s="671"/>
      <c r="T1523" s="671"/>
      <c r="U1523" s="671"/>
      <c r="V1523" s="671"/>
      <c r="W1523" s="671"/>
      <c r="X1523" s="671"/>
      <c r="Y1523" s="671"/>
      <c r="Z1523" s="671"/>
      <c r="AA1523" s="671"/>
      <c r="AB1523" s="671"/>
      <c r="AC1523" s="689"/>
      <c r="AD1523" s="689"/>
      <c r="AE1523" s="671">
        <v>0</v>
      </c>
      <c r="AF1523" s="724">
        <v>0</v>
      </c>
      <c r="AG1523" s="689">
        <v>0</v>
      </c>
      <c r="AH1523" s="720"/>
      <c r="AI1523" s="720"/>
      <c r="AJ1523" s="720"/>
      <c r="AK1523" s="720"/>
      <c r="AL1523" s="720"/>
      <c r="AM1523" s="720"/>
      <c r="AN1523" s="720"/>
      <c r="AO1523" s="720"/>
      <c r="AP1523" s="720"/>
      <c r="AQ1523" s="720"/>
      <c r="AR1523" s="720"/>
      <c r="AS1523" s="720"/>
      <c r="AT1523" s="720"/>
      <c r="AU1523" s="720"/>
      <c r="AV1523" s="720"/>
      <c r="AW1523" s="720"/>
      <c r="AX1523" s="720"/>
      <c r="AY1523" s="720"/>
      <c r="AZ1523" s="720"/>
      <c r="BA1523" s="720"/>
      <c r="BB1523" s="720"/>
      <c r="BC1523" s="720"/>
      <c r="BD1523" s="720"/>
      <c r="BE1523" s="720"/>
      <c r="BF1523" s="720"/>
      <c r="BG1523" s="720"/>
      <c r="BH1523" s="720"/>
      <c r="BI1523" s="720"/>
      <c r="BJ1523" s="720"/>
      <c r="BK1523" s="720"/>
      <c r="BL1523" s="720"/>
      <c r="BM1523" s="720"/>
      <c r="BN1523" s="720"/>
      <c r="BO1523" s="720"/>
      <c r="BP1523" s="720"/>
      <c r="BQ1523" s="720"/>
      <c r="BR1523" s="720"/>
      <c r="BS1523" s="720"/>
      <c r="BT1523" s="720"/>
      <c r="BU1523" s="720"/>
      <c r="BV1523" s="720"/>
      <c r="BW1523" s="720"/>
      <c r="BX1523" s="720"/>
      <c r="BY1523" s="720"/>
      <c r="BZ1523" s="720"/>
      <c r="CA1523" s="720"/>
    </row>
    <row r="1524" spans="1:79" hidden="1" outlineLevel="1" x14ac:dyDescent="0.25">
      <c r="A1524" s="661"/>
      <c r="B1524" s="503"/>
      <c r="C1524" s="503"/>
      <c r="D1524" s="503"/>
      <c r="E1524" s="570" t="s">
        <v>1327</v>
      </c>
      <c r="F1524" s="661" t="s">
        <v>897</v>
      </c>
      <c r="G1524" s="719"/>
      <c r="H1524" s="719"/>
      <c r="I1524" s="719"/>
      <c r="J1524" s="719"/>
      <c r="K1524" s="719"/>
      <c r="L1524" s="719"/>
      <c r="M1524" s="719"/>
      <c r="N1524" s="719"/>
      <c r="O1524" s="719"/>
      <c r="P1524" s="718"/>
      <c r="Q1524" s="718"/>
      <c r="R1524" s="717"/>
      <c r="S1524" s="671"/>
      <c r="T1524" s="671"/>
      <c r="U1524" s="671"/>
      <c r="V1524" s="671"/>
      <c r="W1524" s="671"/>
      <c r="X1524" s="671"/>
      <c r="Y1524" s="671"/>
      <c r="Z1524" s="671"/>
      <c r="AA1524" s="671"/>
      <c r="AB1524" s="671"/>
      <c r="AC1524" s="689"/>
      <c r="AD1524" s="689"/>
      <c r="AE1524" s="671">
        <v>0</v>
      </c>
      <c r="AF1524" s="724">
        <v>0</v>
      </c>
      <c r="AG1524" s="689">
        <v>0</v>
      </c>
      <c r="AH1524" s="720"/>
      <c r="AI1524" s="720"/>
      <c r="AJ1524" s="720"/>
      <c r="AK1524" s="720"/>
      <c r="AL1524" s="720"/>
      <c r="AM1524" s="720"/>
      <c r="AN1524" s="720"/>
      <c r="AO1524" s="720"/>
      <c r="AP1524" s="720"/>
      <c r="AQ1524" s="720"/>
      <c r="AR1524" s="720"/>
      <c r="AS1524" s="720"/>
      <c r="AT1524" s="720"/>
      <c r="AU1524" s="720"/>
      <c r="AV1524" s="720"/>
      <c r="AW1524" s="720"/>
      <c r="AX1524" s="720"/>
      <c r="AY1524" s="720"/>
      <c r="AZ1524" s="720"/>
      <c r="BA1524" s="720"/>
      <c r="BB1524" s="720"/>
      <c r="BC1524" s="720"/>
      <c r="BD1524" s="720"/>
      <c r="BE1524" s="720"/>
      <c r="BF1524" s="720"/>
      <c r="BG1524" s="720"/>
      <c r="BH1524" s="720"/>
      <c r="BI1524" s="720"/>
      <c r="BJ1524" s="720"/>
      <c r="BK1524" s="720"/>
      <c r="BL1524" s="720"/>
      <c r="BM1524" s="720"/>
      <c r="BN1524" s="720"/>
      <c r="BO1524" s="720"/>
      <c r="BP1524" s="720"/>
      <c r="BQ1524" s="720"/>
      <c r="BR1524" s="720"/>
      <c r="BS1524" s="720"/>
      <c r="BT1524" s="720"/>
      <c r="BU1524" s="720"/>
      <c r="BV1524" s="720"/>
      <c r="BW1524" s="720"/>
      <c r="BX1524" s="720"/>
      <c r="BY1524" s="720"/>
      <c r="BZ1524" s="720"/>
      <c r="CA1524" s="720"/>
    </row>
    <row r="1525" spans="1:79" hidden="1" outlineLevel="1" x14ac:dyDescent="0.25">
      <c r="A1525" s="661"/>
      <c r="B1525" s="503"/>
      <c r="C1525" s="503"/>
      <c r="D1525" s="503"/>
      <c r="E1525" s="570" t="s">
        <v>657</v>
      </c>
      <c r="F1525" s="661" t="s">
        <v>898</v>
      </c>
      <c r="G1525" s="719"/>
      <c r="H1525" s="719"/>
      <c r="I1525" s="719"/>
      <c r="J1525" s="719"/>
      <c r="K1525" s="719"/>
      <c r="L1525" s="719"/>
      <c r="M1525" s="719"/>
      <c r="N1525" s="719"/>
      <c r="O1525" s="719"/>
      <c r="P1525" s="718"/>
      <c r="Q1525" s="718"/>
      <c r="R1525" s="717"/>
      <c r="S1525" s="671"/>
      <c r="T1525" s="671"/>
      <c r="U1525" s="671"/>
      <c r="V1525" s="671"/>
      <c r="W1525" s="671"/>
      <c r="X1525" s="671"/>
      <c r="Y1525" s="671"/>
      <c r="Z1525" s="671"/>
      <c r="AA1525" s="671"/>
      <c r="AB1525" s="671"/>
      <c r="AC1525" s="689"/>
      <c r="AD1525" s="689"/>
      <c r="AE1525" s="671"/>
      <c r="AF1525" s="724"/>
      <c r="AG1525" s="689"/>
      <c r="AH1525" s="720"/>
      <c r="AI1525" s="720"/>
      <c r="AJ1525" s="720"/>
      <c r="AK1525" s="720"/>
      <c r="AL1525" s="720"/>
      <c r="AM1525" s="720"/>
      <c r="AN1525" s="720"/>
      <c r="AO1525" s="720"/>
      <c r="AP1525" s="720"/>
      <c r="AQ1525" s="720"/>
      <c r="AR1525" s="720"/>
      <c r="AS1525" s="720"/>
      <c r="AT1525" s="720"/>
      <c r="AU1525" s="720"/>
      <c r="AV1525" s="720"/>
      <c r="AW1525" s="720"/>
      <c r="AX1525" s="720"/>
      <c r="AY1525" s="720"/>
      <c r="AZ1525" s="720"/>
      <c r="BA1525" s="720"/>
      <c r="BB1525" s="720"/>
      <c r="BC1525" s="720"/>
      <c r="BD1525" s="720"/>
      <c r="BE1525" s="720"/>
      <c r="BF1525" s="720"/>
      <c r="BG1525" s="720"/>
      <c r="BH1525" s="720"/>
      <c r="BI1525" s="720"/>
      <c r="BJ1525" s="720"/>
      <c r="BK1525" s="720"/>
      <c r="BL1525" s="720"/>
      <c r="BM1525" s="720"/>
      <c r="BN1525" s="720"/>
      <c r="BO1525" s="720"/>
      <c r="BP1525" s="720"/>
      <c r="BQ1525" s="720"/>
      <c r="BR1525" s="720"/>
      <c r="BS1525" s="720"/>
      <c r="BT1525" s="720"/>
      <c r="BU1525" s="720"/>
      <c r="BV1525" s="720"/>
      <c r="BW1525" s="720"/>
      <c r="BX1525" s="720"/>
      <c r="BY1525" s="720"/>
      <c r="BZ1525" s="720"/>
      <c r="CA1525" s="720"/>
    </row>
    <row r="1526" spans="1:79" hidden="1" outlineLevel="1" x14ac:dyDescent="0.25">
      <c r="A1526" s="661"/>
      <c r="B1526" s="503"/>
      <c r="C1526" s="503"/>
      <c r="D1526" s="503"/>
      <c r="E1526" s="570" t="s">
        <v>1327</v>
      </c>
      <c r="F1526" s="661" t="s">
        <v>899</v>
      </c>
      <c r="G1526" s="719"/>
      <c r="H1526" s="719"/>
      <c r="I1526" s="719"/>
      <c r="J1526" s="719"/>
      <c r="K1526" s="719"/>
      <c r="L1526" s="719"/>
      <c r="M1526" s="719"/>
      <c r="N1526" s="719"/>
      <c r="O1526" s="719"/>
      <c r="P1526" s="718"/>
      <c r="Q1526" s="718"/>
      <c r="R1526" s="717"/>
      <c r="S1526" s="671"/>
      <c r="T1526" s="671"/>
      <c r="U1526" s="671"/>
      <c r="V1526" s="671"/>
      <c r="W1526" s="671"/>
      <c r="X1526" s="671"/>
      <c r="Y1526" s="671"/>
      <c r="Z1526" s="671"/>
      <c r="AA1526" s="671"/>
      <c r="AB1526" s="671"/>
      <c r="AC1526" s="689"/>
      <c r="AD1526" s="689"/>
      <c r="AE1526" s="671">
        <v>0</v>
      </c>
      <c r="AF1526" s="724">
        <v>0</v>
      </c>
      <c r="AG1526" s="689">
        <v>0</v>
      </c>
      <c r="AH1526" s="720"/>
      <c r="AI1526" s="720"/>
      <c r="AJ1526" s="720"/>
      <c r="AK1526" s="720"/>
      <c r="AL1526" s="720"/>
      <c r="AM1526" s="720"/>
      <c r="AN1526" s="720"/>
      <c r="AO1526" s="720"/>
      <c r="AP1526" s="720"/>
      <c r="AQ1526" s="720"/>
      <c r="AR1526" s="720"/>
      <c r="AS1526" s="720"/>
      <c r="AT1526" s="720"/>
      <c r="AU1526" s="720"/>
      <c r="AV1526" s="720"/>
      <c r="AW1526" s="720"/>
      <c r="AX1526" s="720"/>
      <c r="AY1526" s="720"/>
      <c r="AZ1526" s="720"/>
      <c r="BA1526" s="720"/>
      <c r="BB1526" s="720"/>
      <c r="BC1526" s="720"/>
      <c r="BD1526" s="720"/>
      <c r="BE1526" s="720"/>
      <c r="BF1526" s="720"/>
      <c r="BG1526" s="720"/>
      <c r="BH1526" s="720"/>
      <c r="BI1526" s="720"/>
      <c r="BJ1526" s="720"/>
      <c r="BK1526" s="720"/>
      <c r="BL1526" s="720"/>
      <c r="BM1526" s="720"/>
      <c r="BN1526" s="720"/>
      <c r="BO1526" s="720"/>
      <c r="BP1526" s="720"/>
      <c r="BQ1526" s="720"/>
      <c r="BR1526" s="720"/>
      <c r="BS1526" s="720"/>
      <c r="BT1526" s="720"/>
      <c r="BU1526" s="720"/>
      <c r="BV1526" s="720"/>
      <c r="BW1526" s="720"/>
      <c r="BX1526" s="720"/>
      <c r="BY1526" s="720"/>
      <c r="BZ1526" s="720"/>
      <c r="CA1526" s="720"/>
    </row>
    <row r="1527" spans="1:79" hidden="1" outlineLevel="1" x14ac:dyDescent="0.25">
      <c r="A1527" s="661"/>
      <c r="B1527" s="503"/>
      <c r="C1527" s="503"/>
      <c r="D1527" s="503"/>
      <c r="E1527" s="570" t="s">
        <v>1327</v>
      </c>
      <c r="F1527" s="661" t="s">
        <v>900</v>
      </c>
      <c r="G1527" s="719"/>
      <c r="H1527" s="719"/>
      <c r="I1527" s="719"/>
      <c r="J1527" s="719"/>
      <c r="K1527" s="719"/>
      <c r="L1527" s="719"/>
      <c r="M1527" s="719"/>
      <c r="N1527" s="719"/>
      <c r="O1527" s="719"/>
      <c r="P1527" s="718"/>
      <c r="Q1527" s="718"/>
      <c r="R1527" s="717"/>
      <c r="S1527" s="671"/>
      <c r="T1527" s="671"/>
      <c r="U1527" s="671"/>
      <c r="V1527" s="671"/>
      <c r="W1527" s="671"/>
      <c r="X1527" s="671"/>
      <c r="Y1527" s="671"/>
      <c r="Z1527" s="671"/>
      <c r="AA1527" s="671"/>
      <c r="AB1527" s="671"/>
      <c r="AC1527" s="689"/>
      <c r="AD1527" s="689"/>
      <c r="AE1527" s="671">
        <v>0</v>
      </c>
      <c r="AF1527" s="724">
        <v>0</v>
      </c>
      <c r="AG1527" s="689">
        <v>0</v>
      </c>
      <c r="AH1527" s="720"/>
      <c r="AI1527" s="720"/>
      <c r="AJ1527" s="720"/>
      <c r="AK1527" s="720"/>
      <c r="AL1527" s="720"/>
      <c r="AM1527" s="720"/>
      <c r="AN1527" s="720"/>
      <c r="AO1527" s="720"/>
      <c r="AP1527" s="720"/>
      <c r="AQ1527" s="720"/>
      <c r="AR1527" s="720"/>
      <c r="AS1527" s="720"/>
      <c r="AT1527" s="720"/>
      <c r="AU1527" s="720"/>
      <c r="AV1527" s="720"/>
      <c r="AW1527" s="720"/>
      <c r="AX1527" s="720"/>
      <c r="AY1527" s="720"/>
      <c r="AZ1527" s="720"/>
      <c r="BA1527" s="720"/>
      <c r="BB1527" s="720"/>
      <c r="BC1527" s="720"/>
      <c r="BD1527" s="720"/>
      <c r="BE1527" s="720"/>
      <c r="BF1527" s="720"/>
      <c r="BG1527" s="720"/>
      <c r="BH1527" s="720"/>
      <c r="BI1527" s="720"/>
      <c r="BJ1527" s="720"/>
      <c r="BK1527" s="720"/>
      <c r="BL1527" s="720"/>
      <c r="BM1527" s="720"/>
      <c r="BN1527" s="720"/>
      <c r="BO1527" s="720"/>
      <c r="BP1527" s="720"/>
      <c r="BQ1527" s="720"/>
      <c r="BR1527" s="720"/>
      <c r="BS1527" s="720"/>
      <c r="BT1527" s="720"/>
      <c r="BU1527" s="720"/>
      <c r="BV1527" s="720"/>
      <c r="BW1527" s="720"/>
      <c r="BX1527" s="720"/>
      <c r="BY1527" s="720"/>
      <c r="BZ1527" s="720"/>
      <c r="CA1527" s="720"/>
    </row>
    <row r="1528" spans="1:79" hidden="1" outlineLevel="1" x14ac:dyDescent="0.25">
      <c r="A1528" s="657"/>
      <c r="B1528" s="503"/>
      <c r="C1528" s="503"/>
      <c r="D1528" s="503"/>
      <c r="E1528" s="570" t="s">
        <v>49</v>
      </c>
      <c r="F1528" s="657" t="s">
        <v>901</v>
      </c>
      <c r="G1528" s="664"/>
      <c r="H1528" s="664"/>
      <c r="I1528" s="664"/>
      <c r="J1528" s="664"/>
      <c r="K1528" s="664"/>
      <c r="L1528" s="664"/>
      <c r="M1528" s="664"/>
      <c r="N1528" s="664"/>
      <c r="O1528" s="664"/>
      <c r="P1528" s="664"/>
      <c r="Q1528" s="664"/>
      <c r="R1528" s="664"/>
      <c r="S1528" s="679"/>
      <c r="T1528" s="679"/>
      <c r="U1528" s="679"/>
      <c r="V1528" s="679"/>
      <c r="W1528" s="679"/>
      <c r="X1528" s="679"/>
      <c r="Y1528" s="679"/>
      <c r="Z1528" s="679"/>
      <c r="AA1528" s="679"/>
      <c r="AB1528" s="679"/>
      <c r="AC1528" s="679"/>
      <c r="AD1528" s="679"/>
      <c r="AE1528" s="679">
        <f>ROUND(SUM(AE1519:AE1527),5)</f>
        <v>1007.82</v>
      </c>
      <c r="AF1528" s="664">
        <f>ROUND(SUM(AF1519:AF1527),5)</f>
        <v>1007.82</v>
      </c>
      <c r="AG1528" s="679">
        <f>ROUND(SUM(AG1519:AG1527),5)</f>
        <v>1956.18</v>
      </c>
      <c r="AH1528" s="664">
        <f t="shared" ref="AH1528:BJ1528" si="620">SUM(AH1519:AH1527)</f>
        <v>0</v>
      </c>
      <c r="AI1528" s="664">
        <f t="shared" si="620"/>
        <v>0</v>
      </c>
      <c r="AJ1528" s="664">
        <f t="shared" si="620"/>
        <v>0</v>
      </c>
      <c r="AK1528" s="664">
        <f t="shared" si="620"/>
        <v>0</v>
      </c>
      <c r="AL1528" s="664">
        <f t="shared" si="620"/>
        <v>0</v>
      </c>
      <c r="AM1528" s="664">
        <f t="shared" si="620"/>
        <v>0</v>
      </c>
      <c r="AN1528" s="664">
        <f t="shared" si="620"/>
        <v>0</v>
      </c>
      <c r="AO1528" s="664">
        <f t="shared" si="620"/>
        <v>0</v>
      </c>
      <c r="AP1528" s="664">
        <f t="shared" si="620"/>
        <v>0</v>
      </c>
      <c r="AQ1528" s="664">
        <f t="shared" si="620"/>
        <v>0</v>
      </c>
      <c r="AR1528" s="664">
        <f t="shared" si="620"/>
        <v>0</v>
      </c>
      <c r="AS1528" s="664">
        <f t="shared" si="620"/>
        <v>0</v>
      </c>
      <c r="AT1528" s="664">
        <f t="shared" si="620"/>
        <v>0</v>
      </c>
      <c r="AU1528" s="664">
        <f t="shared" si="620"/>
        <v>0</v>
      </c>
      <c r="AV1528" s="664">
        <f t="shared" si="620"/>
        <v>0</v>
      </c>
      <c r="AW1528" s="664">
        <f t="shared" si="620"/>
        <v>0</v>
      </c>
      <c r="AX1528" s="664">
        <f t="shared" si="620"/>
        <v>0</v>
      </c>
      <c r="AY1528" s="664">
        <f t="shared" si="620"/>
        <v>0</v>
      </c>
      <c r="AZ1528" s="664">
        <f t="shared" si="620"/>
        <v>0</v>
      </c>
      <c r="BA1528" s="664">
        <f t="shared" si="620"/>
        <v>0</v>
      </c>
      <c r="BB1528" s="664">
        <f t="shared" si="620"/>
        <v>0</v>
      </c>
      <c r="BC1528" s="664">
        <f t="shared" si="620"/>
        <v>0</v>
      </c>
      <c r="BD1528" s="664">
        <f t="shared" si="620"/>
        <v>0</v>
      </c>
      <c r="BE1528" s="664">
        <f t="shared" si="620"/>
        <v>0</v>
      </c>
      <c r="BF1528" s="664">
        <f t="shared" si="620"/>
        <v>0</v>
      </c>
      <c r="BG1528" s="664">
        <f t="shared" si="620"/>
        <v>0</v>
      </c>
      <c r="BH1528" s="664">
        <f t="shared" si="620"/>
        <v>0</v>
      </c>
      <c r="BI1528" s="664">
        <f t="shared" si="620"/>
        <v>0</v>
      </c>
      <c r="BJ1528" s="664">
        <f t="shared" si="620"/>
        <v>0</v>
      </c>
      <c r="BK1528" s="664">
        <f t="shared" ref="BK1528:CA1528" si="621">SUM(BK1519:BK1527)</f>
        <v>0</v>
      </c>
      <c r="BL1528" s="664">
        <f t="shared" si="621"/>
        <v>0</v>
      </c>
      <c r="BM1528" s="664">
        <f t="shared" si="621"/>
        <v>0</v>
      </c>
      <c r="BN1528" s="664">
        <f t="shared" si="621"/>
        <v>0</v>
      </c>
      <c r="BO1528" s="664">
        <f t="shared" si="621"/>
        <v>0</v>
      </c>
      <c r="BP1528" s="664">
        <f t="shared" si="621"/>
        <v>0</v>
      </c>
      <c r="BQ1528" s="664">
        <f t="shared" si="621"/>
        <v>0</v>
      </c>
      <c r="BR1528" s="664">
        <f t="shared" si="621"/>
        <v>0</v>
      </c>
      <c r="BS1528" s="664">
        <f t="shared" si="621"/>
        <v>0</v>
      </c>
      <c r="BT1528" s="664">
        <f t="shared" si="621"/>
        <v>0</v>
      </c>
      <c r="BU1528" s="664">
        <f t="shared" si="621"/>
        <v>0</v>
      </c>
      <c r="BV1528" s="664">
        <f t="shared" si="621"/>
        <v>0</v>
      </c>
      <c r="BW1528" s="664">
        <f t="shared" si="621"/>
        <v>0</v>
      </c>
      <c r="BX1528" s="664">
        <f t="shared" si="621"/>
        <v>0</v>
      </c>
      <c r="BY1528" s="664">
        <f t="shared" si="621"/>
        <v>0</v>
      </c>
      <c r="BZ1528" s="664">
        <f t="shared" si="621"/>
        <v>0</v>
      </c>
      <c r="CA1528" s="664">
        <f t="shared" si="621"/>
        <v>0</v>
      </c>
    </row>
    <row r="1529" spans="1:79" s="693" customFormat="1" hidden="1" outlineLevel="1" x14ac:dyDescent="0.25">
      <c r="A1529" s="701"/>
      <c r="B1529" s="700"/>
      <c r="C1529" s="700"/>
      <c r="D1529" s="700"/>
      <c r="E1529" s="570" t="s">
        <v>1344</v>
      </c>
      <c r="F1529" s="701" t="s">
        <v>626</v>
      </c>
      <c r="G1529" s="736"/>
      <c r="H1529" s="736"/>
      <c r="I1529" s="736"/>
      <c r="J1529" s="736"/>
      <c r="K1529" s="736"/>
      <c r="L1529" s="736"/>
      <c r="M1529" s="736"/>
      <c r="N1529" s="736"/>
      <c r="O1529" s="733"/>
      <c r="P1529" s="736"/>
      <c r="Q1529" s="736"/>
      <c r="R1529" s="762"/>
      <c r="S1529" s="697"/>
      <c r="T1529" s="697"/>
      <c r="U1529" s="697"/>
      <c r="V1529" s="697"/>
      <c r="W1529" s="697"/>
      <c r="X1529" s="697"/>
      <c r="Y1529" s="697"/>
      <c r="Z1529" s="697"/>
      <c r="AA1529" s="697"/>
      <c r="AB1529" s="697"/>
      <c r="AC1529" s="712"/>
      <c r="AD1529" s="712"/>
      <c r="AE1529" s="697"/>
      <c r="AF1529" s="752"/>
      <c r="AG1529" s="711"/>
      <c r="AH1529" s="735"/>
      <c r="AI1529" s="735"/>
      <c r="AJ1529" s="735"/>
      <c r="AK1529" s="735"/>
      <c r="AL1529" s="735"/>
      <c r="AM1529" s="735"/>
      <c r="AN1529" s="735"/>
      <c r="AO1529" s="735"/>
      <c r="AP1529" s="735"/>
      <c r="AQ1529" s="735"/>
      <c r="AR1529" s="735"/>
      <c r="AS1529" s="735"/>
      <c r="AT1529" s="735"/>
      <c r="AU1529" s="735"/>
      <c r="AV1529" s="735"/>
      <c r="AW1529" s="735"/>
      <c r="AX1529" s="735"/>
      <c r="AY1529" s="735"/>
      <c r="AZ1529" s="735"/>
      <c r="BA1529" s="735"/>
      <c r="BB1529" s="735"/>
      <c r="BC1529" s="735"/>
      <c r="BD1529" s="735"/>
      <c r="BE1529" s="735"/>
      <c r="BF1529" s="735"/>
      <c r="BG1529" s="735"/>
      <c r="BH1529" s="735"/>
      <c r="BI1529" s="735"/>
      <c r="BJ1529" s="735"/>
      <c r="BK1529" s="735"/>
      <c r="BL1529" s="735"/>
      <c r="BM1529" s="735"/>
      <c r="BN1529" s="735"/>
      <c r="BO1529" s="735"/>
      <c r="BP1529" s="735"/>
      <c r="BQ1529" s="735"/>
      <c r="BR1529" s="735"/>
      <c r="BS1529" s="735"/>
      <c r="BT1529" s="735"/>
      <c r="BU1529" s="735"/>
      <c r="BV1529" s="735"/>
      <c r="BW1529" s="735"/>
      <c r="BX1529" s="735"/>
      <c r="BY1529" s="735"/>
      <c r="BZ1529" s="735"/>
      <c r="CA1529" s="735"/>
    </row>
    <row r="1530" spans="1:79" hidden="1" outlineLevel="1" x14ac:dyDescent="0.25">
      <c r="A1530" s="661"/>
      <c r="B1530" s="576"/>
      <c r="C1530" s="576"/>
      <c r="D1530" s="576"/>
      <c r="E1530" s="570" t="s">
        <v>1344</v>
      </c>
      <c r="F1530" s="661" t="s">
        <v>627</v>
      </c>
      <c r="G1530" s="718"/>
      <c r="H1530" s="718"/>
      <c r="I1530" s="718"/>
      <c r="J1530" s="718"/>
      <c r="K1530" s="718"/>
      <c r="L1530" s="718"/>
      <c r="M1530" s="718"/>
      <c r="N1530" s="718"/>
      <c r="O1530" s="719"/>
      <c r="P1530" s="718"/>
      <c r="Q1530" s="718"/>
      <c r="R1530" s="717"/>
      <c r="S1530" s="667"/>
      <c r="T1530" s="667"/>
      <c r="U1530" s="667"/>
      <c r="V1530" s="667"/>
      <c r="W1530" s="667"/>
      <c r="X1530" s="667"/>
      <c r="Y1530" s="667"/>
      <c r="Z1530" s="667"/>
      <c r="AA1530" s="667"/>
      <c r="AB1530" s="667"/>
      <c r="AC1530" s="686"/>
      <c r="AD1530" s="686"/>
      <c r="AE1530" s="667">
        <v>7</v>
      </c>
      <c r="AF1530" s="724">
        <v>7</v>
      </c>
      <c r="AG1530" s="715">
        <v>0</v>
      </c>
      <c r="AH1530" s="720"/>
      <c r="AI1530" s="720"/>
      <c r="AJ1530" s="720"/>
      <c r="AK1530" s="720"/>
      <c r="AL1530" s="720"/>
      <c r="AM1530" s="720"/>
      <c r="AN1530" s="720"/>
      <c r="AO1530" s="720"/>
      <c r="AP1530" s="720"/>
      <c r="AQ1530" s="720"/>
      <c r="AR1530" s="720"/>
      <c r="AS1530" s="720"/>
      <c r="AT1530" s="720"/>
      <c r="AU1530" s="720"/>
      <c r="AV1530" s="720"/>
      <c r="AW1530" s="720"/>
      <c r="AX1530" s="720"/>
      <c r="AY1530" s="720"/>
      <c r="AZ1530" s="720"/>
      <c r="BA1530" s="720"/>
      <c r="BB1530" s="720"/>
      <c r="BC1530" s="720"/>
      <c r="BD1530" s="720"/>
      <c r="BE1530" s="720"/>
      <c r="BF1530" s="720"/>
      <c r="BG1530" s="720"/>
      <c r="BH1530" s="720"/>
      <c r="BI1530" s="720"/>
      <c r="BJ1530" s="720"/>
      <c r="BK1530" s="720"/>
      <c r="BL1530" s="720"/>
      <c r="BM1530" s="720"/>
      <c r="BN1530" s="720"/>
      <c r="BO1530" s="720"/>
      <c r="BP1530" s="720"/>
      <c r="BQ1530" s="720"/>
      <c r="BR1530" s="720"/>
      <c r="BS1530" s="720"/>
      <c r="BT1530" s="720"/>
      <c r="BU1530" s="720"/>
      <c r="BV1530" s="720"/>
      <c r="BW1530" s="720"/>
      <c r="BX1530" s="720"/>
      <c r="BY1530" s="720"/>
      <c r="BZ1530" s="720"/>
      <c r="CA1530" s="720"/>
    </row>
    <row r="1531" spans="1:79" hidden="1" outlineLevel="1" x14ac:dyDescent="0.25">
      <c r="A1531" s="661"/>
      <c r="B1531" s="576"/>
      <c r="C1531" s="576"/>
      <c r="D1531" s="576"/>
      <c r="E1531" s="570" t="s">
        <v>1344</v>
      </c>
      <c r="F1531" s="661" t="s">
        <v>628</v>
      </c>
      <c r="G1531" s="718"/>
      <c r="H1531" s="718"/>
      <c r="I1531" s="718"/>
      <c r="J1531" s="718"/>
      <c r="K1531" s="718"/>
      <c r="L1531" s="718"/>
      <c r="M1531" s="718"/>
      <c r="N1531" s="718"/>
      <c r="O1531" s="719"/>
      <c r="P1531" s="718"/>
      <c r="Q1531" s="718"/>
      <c r="R1531" s="717"/>
      <c r="S1531" s="667"/>
      <c r="T1531" s="667"/>
      <c r="U1531" s="667"/>
      <c r="V1531" s="667"/>
      <c r="W1531" s="667"/>
      <c r="X1531" s="667"/>
      <c r="Y1531" s="667"/>
      <c r="Z1531" s="667"/>
      <c r="AA1531" s="667"/>
      <c r="AB1531" s="667"/>
      <c r="AC1531" s="686"/>
      <c r="AD1531" s="686"/>
      <c r="AE1531" s="667">
        <v>42</v>
      </c>
      <c r="AF1531" s="724">
        <v>42</v>
      </c>
      <c r="AG1531" s="715">
        <v>0</v>
      </c>
      <c r="AH1531" s="720"/>
      <c r="AI1531" s="720"/>
      <c r="AJ1531" s="720"/>
      <c r="AK1531" s="720"/>
      <c r="AL1531" s="720"/>
      <c r="AM1531" s="720"/>
      <c r="AN1531" s="720"/>
      <c r="AO1531" s="720"/>
      <c r="AP1531" s="720"/>
      <c r="AQ1531" s="720"/>
      <c r="AR1531" s="720"/>
      <c r="AS1531" s="720"/>
      <c r="AT1531" s="720"/>
      <c r="AU1531" s="720"/>
      <c r="AV1531" s="720"/>
      <c r="AW1531" s="720"/>
      <c r="AX1531" s="720"/>
      <c r="AY1531" s="720"/>
      <c r="AZ1531" s="720"/>
      <c r="BA1531" s="720"/>
      <c r="BB1531" s="720"/>
      <c r="BC1531" s="720"/>
      <c r="BD1531" s="720"/>
      <c r="BE1531" s="720"/>
      <c r="BF1531" s="720"/>
      <c r="BG1531" s="720"/>
      <c r="BH1531" s="720"/>
      <c r="BI1531" s="720"/>
      <c r="BJ1531" s="720"/>
      <c r="BK1531" s="720"/>
      <c r="BL1531" s="720"/>
      <c r="BM1531" s="720"/>
      <c r="BN1531" s="720"/>
      <c r="BO1531" s="720"/>
      <c r="BP1531" s="720"/>
      <c r="BQ1531" s="720"/>
      <c r="BR1531" s="720"/>
      <c r="BS1531" s="720"/>
      <c r="BT1531" s="720"/>
      <c r="BU1531" s="720"/>
      <c r="BV1531" s="720"/>
      <c r="BW1531" s="720"/>
      <c r="BX1531" s="720"/>
      <c r="BY1531" s="720"/>
      <c r="BZ1531" s="720"/>
      <c r="CA1531" s="720"/>
    </row>
    <row r="1532" spans="1:79" hidden="1" outlineLevel="1" x14ac:dyDescent="0.25">
      <c r="A1532" s="661"/>
      <c r="B1532" s="576"/>
      <c r="C1532" s="576"/>
      <c r="D1532" s="576"/>
      <c r="E1532" s="570" t="s">
        <v>1344</v>
      </c>
      <c r="F1532" s="661" t="s">
        <v>629</v>
      </c>
      <c r="G1532" s="718"/>
      <c r="H1532" s="718"/>
      <c r="I1532" s="718"/>
      <c r="J1532" s="718"/>
      <c r="K1532" s="718"/>
      <c r="L1532" s="718"/>
      <c r="M1532" s="718"/>
      <c r="N1532" s="718"/>
      <c r="O1532" s="719"/>
      <c r="P1532" s="718"/>
      <c r="Q1532" s="718"/>
      <c r="R1532" s="717"/>
      <c r="S1532" s="667"/>
      <c r="T1532" s="667"/>
      <c r="U1532" s="667"/>
      <c r="V1532" s="667"/>
      <c r="W1532" s="667"/>
      <c r="X1532" s="667"/>
      <c r="Y1532" s="667"/>
      <c r="Z1532" s="667"/>
      <c r="AA1532" s="667"/>
      <c r="AB1532" s="667"/>
      <c r="AC1532" s="686"/>
      <c r="AD1532" s="686"/>
      <c r="AE1532" s="667">
        <v>510.64</v>
      </c>
      <c r="AF1532" s="724">
        <v>600.61</v>
      </c>
      <c r="AG1532" s="715">
        <v>589.21</v>
      </c>
      <c r="AH1532" s="720"/>
      <c r="AI1532" s="720"/>
      <c r="AJ1532" s="720"/>
      <c r="AK1532" s="720"/>
      <c r="AL1532" s="720"/>
      <c r="AM1532" s="720"/>
      <c r="AN1532" s="720"/>
      <c r="AO1532" s="720"/>
      <c r="AP1532" s="720"/>
      <c r="AQ1532" s="720"/>
      <c r="AR1532" s="720"/>
      <c r="AS1532" s="720"/>
      <c r="AT1532" s="720"/>
      <c r="AU1532" s="720"/>
      <c r="AV1532" s="720"/>
      <c r="AW1532" s="720"/>
      <c r="AX1532" s="720"/>
      <c r="AY1532" s="720"/>
      <c r="AZ1532" s="720"/>
      <c r="BA1532" s="720"/>
      <c r="BB1532" s="720"/>
      <c r="BC1532" s="720"/>
      <c r="BD1532" s="720"/>
      <c r="BE1532" s="720"/>
      <c r="BF1532" s="720"/>
      <c r="BG1532" s="720"/>
      <c r="BH1532" s="720"/>
      <c r="BI1532" s="720"/>
      <c r="BJ1532" s="720"/>
      <c r="BK1532" s="720"/>
      <c r="BL1532" s="720"/>
      <c r="BM1532" s="720"/>
      <c r="BN1532" s="720"/>
      <c r="BO1532" s="720"/>
      <c r="BP1532" s="720"/>
      <c r="BQ1532" s="720"/>
      <c r="BR1532" s="720"/>
      <c r="BS1532" s="720"/>
      <c r="BT1532" s="720"/>
      <c r="BU1532" s="720"/>
      <c r="BV1532" s="720"/>
      <c r="BW1532" s="720"/>
      <c r="BX1532" s="720"/>
      <c r="BY1532" s="720"/>
      <c r="BZ1532" s="720"/>
      <c r="CA1532" s="720"/>
    </row>
    <row r="1533" spans="1:79" hidden="1" outlineLevel="1" x14ac:dyDescent="0.25">
      <c r="A1533" s="661"/>
      <c r="B1533" s="576"/>
      <c r="C1533" s="576"/>
      <c r="D1533" s="576"/>
      <c r="E1533" s="570" t="s">
        <v>1344</v>
      </c>
      <c r="F1533" s="661" t="s">
        <v>630</v>
      </c>
      <c r="G1533" s="718"/>
      <c r="H1533" s="718"/>
      <c r="I1533" s="718"/>
      <c r="J1533" s="718"/>
      <c r="K1533" s="718"/>
      <c r="L1533" s="718"/>
      <c r="M1533" s="718"/>
      <c r="N1533" s="718"/>
      <c r="O1533" s="719"/>
      <c r="P1533" s="718"/>
      <c r="Q1533" s="718"/>
      <c r="R1533" s="717"/>
      <c r="S1533" s="667"/>
      <c r="T1533" s="667"/>
      <c r="U1533" s="667"/>
      <c r="V1533" s="667"/>
      <c r="W1533" s="667"/>
      <c r="X1533" s="667"/>
      <c r="Y1533" s="667"/>
      <c r="Z1533" s="667"/>
      <c r="AA1533" s="667"/>
      <c r="AB1533" s="667"/>
      <c r="AC1533" s="686"/>
      <c r="AD1533" s="686"/>
      <c r="AE1533" s="667">
        <v>1603.08</v>
      </c>
      <c r="AF1533" s="724">
        <v>1987.76</v>
      </c>
      <c r="AG1533" s="715">
        <v>1939.03</v>
      </c>
      <c r="AH1533" s="720"/>
      <c r="AI1533" s="720"/>
      <c r="AJ1533" s="720"/>
      <c r="AK1533" s="720"/>
      <c r="AL1533" s="720"/>
      <c r="AM1533" s="720"/>
      <c r="AN1533" s="720"/>
      <c r="AO1533" s="720"/>
      <c r="AP1533" s="720"/>
      <c r="AQ1533" s="720"/>
      <c r="AR1533" s="720"/>
      <c r="AS1533" s="720"/>
      <c r="AT1533" s="720"/>
      <c r="AU1533" s="720"/>
      <c r="AV1533" s="720"/>
      <c r="AW1533" s="720"/>
      <c r="AX1533" s="720"/>
      <c r="AY1533" s="720"/>
      <c r="AZ1533" s="720"/>
      <c r="BA1533" s="720"/>
      <c r="BB1533" s="720"/>
      <c r="BC1533" s="720"/>
      <c r="BD1533" s="720"/>
      <c r="BE1533" s="720"/>
      <c r="BF1533" s="720"/>
      <c r="BG1533" s="720"/>
      <c r="BH1533" s="720"/>
      <c r="BI1533" s="720"/>
      <c r="BJ1533" s="720"/>
      <c r="BK1533" s="720"/>
      <c r="BL1533" s="720"/>
      <c r="BM1533" s="720"/>
      <c r="BN1533" s="720"/>
      <c r="BO1533" s="720"/>
      <c r="BP1533" s="720"/>
      <c r="BQ1533" s="720"/>
      <c r="BR1533" s="720"/>
      <c r="BS1533" s="720"/>
      <c r="BT1533" s="720"/>
      <c r="BU1533" s="720"/>
      <c r="BV1533" s="720"/>
      <c r="BW1533" s="720"/>
      <c r="BX1533" s="720"/>
      <c r="BY1533" s="720"/>
      <c r="BZ1533" s="720"/>
      <c r="CA1533" s="720"/>
    </row>
    <row r="1534" spans="1:79" hidden="1" outlineLevel="1" x14ac:dyDescent="0.25">
      <c r="A1534" s="661"/>
      <c r="B1534" s="576"/>
      <c r="C1534" s="576"/>
      <c r="D1534" s="576"/>
      <c r="E1534" s="570" t="s">
        <v>1344</v>
      </c>
      <c r="F1534" s="661" t="s">
        <v>631</v>
      </c>
      <c r="G1534" s="718"/>
      <c r="H1534" s="718"/>
      <c r="I1534" s="718"/>
      <c r="J1534" s="718"/>
      <c r="K1534" s="718"/>
      <c r="L1534" s="718"/>
      <c r="M1534" s="718"/>
      <c r="N1534" s="718"/>
      <c r="O1534" s="719"/>
      <c r="P1534" s="718"/>
      <c r="Q1534" s="718"/>
      <c r="R1534" s="717"/>
      <c r="S1534" s="667"/>
      <c r="T1534" s="667"/>
      <c r="U1534" s="667"/>
      <c r="V1534" s="667"/>
      <c r="W1534" s="667"/>
      <c r="X1534" s="667"/>
      <c r="Y1534" s="667"/>
      <c r="Z1534" s="667"/>
      <c r="AA1534" s="667"/>
      <c r="AB1534" s="667"/>
      <c r="AC1534" s="686"/>
      <c r="AD1534" s="686"/>
      <c r="AE1534" s="667">
        <v>0</v>
      </c>
      <c r="AF1534" s="724">
        <v>0</v>
      </c>
      <c r="AG1534" s="715">
        <v>0</v>
      </c>
      <c r="AH1534" s="720"/>
      <c r="AI1534" s="720"/>
      <c r="AJ1534" s="720"/>
      <c r="AK1534" s="720"/>
      <c r="AL1534" s="720"/>
      <c r="AM1534" s="720"/>
      <c r="AN1534" s="720"/>
      <c r="AO1534" s="720"/>
      <c r="AP1534" s="720"/>
      <c r="AQ1534" s="720"/>
      <c r="AR1534" s="720"/>
      <c r="AS1534" s="720"/>
      <c r="AT1534" s="720"/>
      <c r="AU1534" s="720"/>
      <c r="AV1534" s="720"/>
      <c r="AW1534" s="720"/>
      <c r="AX1534" s="720"/>
      <c r="AY1534" s="720"/>
      <c r="AZ1534" s="720"/>
      <c r="BA1534" s="720"/>
      <c r="BB1534" s="720"/>
      <c r="BC1534" s="720"/>
      <c r="BD1534" s="720"/>
      <c r="BE1534" s="720"/>
      <c r="BF1534" s="720"/>
      <c r="BG1534" s="720"/>
      <c r="BH1534" s="720"/>
      <c r="BI1534" s="720"/>
      <c r="BJ1534" s="720"/>
      <c r="BK1534" s="720"/>
      <c r="BL1534" s="720"/>
      <c r="BM1534" s="720"/>
      <c r="BN1534" s="720"/>
      <c r="BO1534" s="720"/>
      <c r="BP1534" s="720"/>
      <c r="BQ1534" s="720"/>
      <c r="BR1534" s="720"/>
      <c r="BS1534" s="720"/>
      <c r="BT1534" s="720"/>
      <c r="BU1534" s="720"/>
      <c r="BV1534" s="720"/>
      <c r="BW1534" s="720"/>
      <c r="BX1534" s="720"/>
      <c r="BY1534" s="720"/>
      <c r="BZ1534" s="720"/>
      <c r="CA1534" s="720"/>
    </row>
    <row r="1535" spans="1:79" hidden="1" outlineLevel="1" x14ac:dyDescent="0.25">
      <c r="A1535" s="661"/>
      <c r="B1535" s="576"/>
      <c r="C1535" s="576"/>
      <c r="D1535" s="576"/>
      <c r="E1535" s="570" t="s">
        <v>1344</v>
      </c>
      <c r="F1535" s="661" t="s">
        <v>632</v>
      </c>
      <c r="G1535" s="718"/>
      <c r="H1535" s="718"/>
      <c r="I1535" s="718"/>
      <c r="J1535" s="718"/>
      <c r="K1535" s="718"/>
      <c r="L1535" s="718"/>
      <c r="M1535" s="718"/>
      <c r="N1535" s="718"/>
      <c r="O1535" s="719"/>
      <c r="P1535" s="718"/>
      <c r="Q1535" s="718"/>
      <c r="R1535" s="717"/>
      <c r="S1535" s="667"/>
      <c r="T1535" s="667"/>
      <c r="U1535" s="667"/>
      <c r="V1535" s="667"/>
      <c r="W1535" s="667"/>
      <c r="X1535" s="667"/>
      <c r="Y1535" s="667"/>
      <c r="Z1535" s="667"/>
      <c r="AA1535" s="667"/>
      <c r="AB1535" s="667"/>
      <c r="AC1535" s="686"/>
      <c r="AD1535" s="686"/>
      <c r="AE1535" s="667">
        <v>280</v>
      </c>
      <c r="AF1535" s="724">
        <v>280</v>
      </c>
      <c r="AG1535" s="715">
        <v>0</v>
      </c>
      <c r="AH1535" s="720"/>
      <c r="AI1535" s="720"/>
      <c r="AJ1535" s="720"/>
      <c r="AK1535" s="720"/>
      <c r="AL1535" s="720"/>
      <c r="AM1535" s="720"/>
      <c r="AN1535" s="720"/>
      <c r="AO1535" s="720"/>
      <c r="AP1535" s="720"/>
      <c r="AQ1535" s="720"/>
      <c r="AR1535" s="720"/>
      <c r="AS1535" s="720"/>
      <c r="AT1535" s="720"/>
      <c r="AU1535" s="720"/>
      <c r="AV1535" s="720"/>
      <c r="AW1535" s="720"/>
      <c r="AX1535" s="720"/>
      <c r="AY1535" s="720"/>
      <c r="AZ1535" s="720"/>
      <c r="BA1535" s="720"/>
      <c r="BB1535" s="720"/>
      <c r="BC1535" s="720"/>
      <c r="BD1535" s="720"/>
      <c r="BE1535" s="720"/>
      <c r="BF1535" s="720"/>
      <c r="BG1535" s="720"/>
      <c r="BH1535" s="720"/>
      <c r="BI1535" s="720"/>
      <c r="BJ1535" s="720"/>
      <c r="BK1535" s="720"/>
      <c r="BL1535" s="720"/>
      <c r="BM1535" s="720"/>
      <c r="BN1535" s="720"/>
      <c r="BO1535" s="720"/>
      <c r="BP1535" s="720"/>
      <c r="BQ1535" s="720"/>
      <c r="BR1535" s="720"/>
      <c r="BS1535" s="720"/>
      <c r="BT1535" s="720"/>
      <c r="BU1535" s="720"/>
      <c r="BV1535" s="720"/>
      <c r="BW1535" s="720"/>
      <c r="BX1535" s="720"/>
      <c r="BY1535" s="720"/>
      <c r="BZ1535" s="720"/>
      <c r="CA1535" s="720"/>
    </row>
    <row r="1536" spans="1:79" hidden="1" outlineLevel="1" x14ac:dyDescent="0.25">
      <c r="A1536" s="661"/>
      <c r="B1536" s="576"/>
      <c r="C1536" s="576"/>
      <c r="D1536" s="576"/>
      <c r="E1536" s="570" t="s">
        <v>1344</v>
      </c>
      <c r="F1536" s="661" t="s">
        <v>902</v>
      </c>
      <c r="G1536" s="718"/>
      <c r="H1536" s="718"/>
      <c r="I1536" s="718"/>
      <c r="J1536" s="718"/>
      <c r="K1536" s="718"/>
      <c r="L1536" s="718"/>
      <c r="M1536" s="718"/>
      <c r="N1536" s="718"/>
      <c r="O1536" s="719"/>
      <c r="P1536" s="718"/>
      <c r="Q1536" s="718"/>
      <c r="R1536" s="717"/>
      <c r="S1536" s="667"/>
      <c r="T1536" s="667"/>
      <c r="U1536" s="667"/>
      <c r="V1536" s="667"/>
      <c r="W1536" s="667"/>
      <c r="X1536" s="667"/>
      <c r="Y1536" s="667"/>
      <c r="Z1536" s="667"/>
      <c r="AA1536" s="667"/>
      <c r="AB1536" s="667"/>
      <c r="AC1536" s="686"/>
      <c r="AD1536" s="686"/>
      <c r="AE1536" s="667">
        <v>0</v>
      </c>
      <c r="AF1536" s="724">
        <v>0</v>
      </c>
      <c r="AG1536" s="715">
        <v>0</v>
      </c>
      <c r="AH1536" s="720"/>
      <c r="AI1536" s="720"/>
      <c r="AJ1536" s="720"/>
      <c r="AK1536" s="720"/>
      <c r="AL1536" s="720"/>
      <c r="AM1536" s="720"/>
      <c r="AN1536" s="720"/>
      <c r="AO1536" s="720"/>
      <c r="AP1536" s="720"/>
      <c r="AQ1536" s="720"/>
      <c r="AR1536" s="720"/>
      <c r="AS1536" s="720"/>
      <c r="AT1536" s="720"/>
      <c r="AU1536" s="720"/>
      <c r="AV1536" s="720"/>
      <c r="AW1536" s="720"/>
      <c r="AX1536" s="720"/>
      <c r="AY1536" s="720"/>
      <c r="AZ1536" s="720"/>
      <c r="BA1536" s="720"/>
      <c r="BB1536" s="720"/>
      <c r="BC1536" s="720"/>
      <c r="BD1536" s="720"/>
      <c r="BE1536" s="720"/>
      <c r="BF1536" s="720"/>
      <c r="BG1536" s="720"/>
      <c r="BH1536" s="720"/>
      <c r="BI1536" s="720"/>
      <c r="BJ1536" s="720"/>
      <c r="BK1536" s="720"/>
      <c r="BL1536" s="720"/>
      <c r="BM1536" s="720"/>
      <c r="BN1536" s="720"/>
      <c r="BO1536" s="720"/>
      <c r="BP1536" s="720"/>
      <c r="BQ1536" s="720"/>
      <c r="BR1536" s="720"/>
      <c r="BS1536" s="720"/>
      <c r="BT1536" s="720"/>
      <c r="BU1536" s="720"/>
      <c r="BV1536" s="720"/>
      <c r="BW1536" s="720"/>
      <c r="BX1536" s="720"/>
      <c r="BY1536" s="720"/>
      <c r="BZ1536" s="720"/>
      <c r="CA1536" s="720"/>
    </row>
    <row r="1537" spans="1:79" hidden="1" outlineLevel="1" x14ac:dyDescent="0.25">
      <c r="A1537" s="661"/>
      <c r="B1537" s="576"/>
      <c r="C1537" s="576"/>
      <c r="D1537" s="576"/>
      <c r="E1537" s="570" t="s">
        <v>1344</v>
      </c>
      <c r="F1537" s="661" t="s">
        <v>633</v>
      </c>
      <c r="G1537" s="716"/>
      <c r="H1537" s="716"/>
      <c r="I1537" s="716"/>
      <c r="J1537" s="716"/>
      <c r="K1537" s="716"/>
      <c r="L1537" s="716"/>
      <c r="M1537" s="716"/>
      <c r="N1537" s="716"/>
      <c r="O1537" s="719"/>
      <c r="P1537" s="716"/>
      <c r="Q1537" s="716"/>
      <c r="R1537" s="720"/>
      <c r="S1537" s="667"/>
      <c r="T1537" s="667"/>
      <c r="U1537" s="667"/>
      <c r="V1537" s="667"/>
      <c r="W1537" s="667"/>
      <c r="X1537" s="667"/>
      <c r="Y1537" s="667"/>
      <c r="Z1537" s="667"/>
      <c r="AA1537" s="667"/>
      <c r="AB1537" s="667"/>
      <c r="AC1537" s="686"/>
      <c r="AD1537" s="686"/>
      <c r="AE1537" s="667">
        <v>0</v>
      </c>
      <c r="AF1537" s="724">
        <v>0</v>
      </c>
      <c r="AG1537" s="715">
        <v>0</v>
      </c>
      <c r="AH1537" s="720"/>
      <c r="AI1537" s="720"/>
      <c r="AJ1537" s="720"/>
      <c r="AK1537" s="720"/>
      <c r="AL1537" s="720"/>
      <c r="AM1537" s="720"/>
      <c r="AN1537" s="720"/>
      <c r="AO1537" s="720"/>
      <c r="AP1537" s="720"/>
      <c r="AQ1537" s="720"/>
      <c r="AR1537" s="720"/>
      <c r="AS1537" s="720"/>
      <c r="AT1537" s="720"/>
      <c r="AU1537" s="720"/>
      <c r="AV1537" s="720"/>
      <c r="AW1537" s="720"/>
      <c r="AX1537" s="720"/>
      <c r="AY1537" s="720"/>
      <c r="AZ1537" s="720"/>
      <c r="BA1537" s="720"/>
      <c r="BB1537" s="720"/>
      <c r="BC1537" s="720"/>
      <c r="BD1537" s="720"/>
      <c r="BE1537" s="720"/>
      <c r="BF1537" s="720"/>
      <c r="BG1537" s="720"/>
      <c r="BH1537" s="720"/>
      <c r="BI1537" s="720"/>
      <c r="BJ1537" s="720"/>
      <c r="BK1537" s="720"/>
      <c r="BL1537" s="720"/>
      <c r="BM1537" s="720"/>
      <c r="BN1537" s="720"/>
      <c r="BO1537" s="720"/>
      <c r="BP1537" s="720"/>
      <c r="BQ1537" s="720"/>
      <c r="BR1537" s="720"/>
      <c r="BS1537" s="720"/>
      <c r="BT1537" s="720"/>
      <c r="BU1537" s="720"/>
      <c r="BV1537" s="720"/>
      <c r="BW1537" s="720"/>
      <c r="BX1537" s="720"/>
      <c r="BY1537" s="720"/>
      <c r="BZ1537" s="720"/>
      <c r="CA1537" s="720"/>
    </row>
    <row r="1538" spans="1:79" hidden="1" outlineLevel="1" x14ac:dyDescent="0.25">
      <c r="A1538" s="657"/>
      <c r="B1538" s="503"/>
      <c r="C1538" s="503"/>
      <c r="D1538" s="503"/>
      <c r="E1538" s="570" t="s">
        <v>49</v>
      </c>
      <c r="F1538" s="657" t="s">
        <v>634</v>
      </c>
      <c r="G1538" s="664"/>
      <c r="H1538" s="664"/>
      <c r="I1538" s="664"/>
      <c r="J1538" s="664"/>
      <c r="K1538" s="664"/>
      <c r="L1538" s="664"/>
      <c r="M1538" s="664"/>
      <c r="N1538" s="664"/>
      <c r="O1538" s="664"/>
      <c r="P1538" s="664"/>
      <c r="Q1538" s="664"/>
      <c r="R1538" s="664"/>
      <c r="S1538" s="679"/>
      <c r="T1538" s="679"/>
      <c r="U1538" s="679"/>
      <c r="V1538" s="679"/>
      <c r="W1538" s="679"/>
      <c r="X1538" s="679"/>
      <c r="Y1538" s="679"/>
      <c r="Z1538" s="679"/>
      <c r="AA1538" s="679"/>
      <c r="AB1538" s="679"/>
      <c r="AC1538" s="679"/>
      <c r="AD1538" s="679"/>
      <c r="AE1538" s="679">
        <f>ROUND(SUM(AE1529:AE1537),5)</f>
        <v>2442.7199999999998</v>
      </c>
      <c r="AF1538" s="664">
        <f>ROUND(SUM(AF1529:AF1537),5)</f>
        <v>2917.37</v>
      </c>
      <c r="AG1538" s="679">
        <f>ROUND(SUM(AG1529:AG1537),5)</f>
        <v>2528.2399999999998</v>
      </c>
      <c r="AH1538" s="664">
        <f t="shared" ref="AH1538:BO1538" si="622">SUM(AH1530:AH1537)</f>
        <v>0</v>
      </c>
      <c r="AI1538" s="664">
        <f t="shared" si="622"/>
        <v>0</v>
      </c>
      <c r="AJ1538" s="664">
        <f t="shared" si="622"/>
        <v>0</v>
      </c>
      <c r="AK1538" s="664">
        <f t="shared" si="622"/>
        <v>0</v>
      </c>
      <c r="AL1538" s="664">
        <f t="shared" si="622"/>
        <v>0</v>
      </c>
      <c r="AM1538" s="664">
        <f t="shared" si="622"/>
        <v>0</v>
      </c>
      <c r="AN1538" s="664">
        <f t="shared" si="622"/>
        <v>0</v>
      </c>
      <c r="AO1538" s="664">
        <f t="shared" si="622"/>
        <v>0</v>
      </c>
      <c r="AP1538" s="664">
        <f t="shared" si="622"/>
        <v>0</v>
      </c>
      <c r="AQ1538" s="664">
        <f t="shared" si="622"/>
        <v>0</v>
      </c>
      <c r="AR1538" s="664">
        <f t="shared" si="622"/>
        <v>0</v>
      </c>
      <c r="AS1538" s="664">
        <f t="shared" si="622"/>
        <v>0</v>
      </c>
      <c r="AT1538" s="664">
        <f t="shared" si="622"/>
        <v>0</v>
      </c>
      <c r="AU1538" s="664">
        <f t="shared" si="622"/>
        <v>0</v>
      </c>
      <c r="AV1538" s="664">
        <f t="shared" si="622"/>
        <v>0</v>
      </c>
      <c r="AW1538" s="664">
        <f t="shared" si="622"/>
        <v>0</v>
      </c>
      <c r="AX1538" s="664">
        <f t="shared" si="622"/>
        <v>0</v>
      </c>
      <c r="AY1538" s="664">
        <f t="shared" si="622"/>
        <v>0</v>
      </c>
      <c r="AZ1538" s="664">
        <f t="shared" si="622"/>
        <v>0</v>
      </c>
      <c r="BA1538" s="664">
        <f t="shared" si="622"/>
        <v>0</v>
      </c>
      <c r="BB1538" s="664">
        <f t="shared" si="622"/>
        <v>0</v>
      </c>
      <c r="BC1538" s="664">
        <f t="shared" si="622"/>
        <v>0</v>
      </c>
      <c r="BD1538" s="664">
        <f t="shared" si="622"/>
        <v>0</v>
      </c>
      <c r="BE1538" s="664">
        <f t="shared" si="622"/>
        <v>0</v>
      </c>
      <c r="BF1538" s="664">
        <f t="shared" si="622"/>
        <v>0</v>
      </c>
      <c r="BG1538" s="664">
        <f t="shared" si="622"/>
        <v>0</v>
      </c>
      <c r="BH1538" s="664">
        <f t="shared" si="622"/>
        <v>0</v>
      </c>
      <c r="BI1538" s="664">
        <f t="shared" si="622"/>
        <v>0</v>
      </c>
      <c r="BJ1538" s="664">
        <f t="shared" si="622"/>
        <v>0</v>
      </c>
      <c r="BK1538" s="664">
        <f t="shared" si="622"/>
        <v>0</v>
      </c>
      <c r="BL1538" s="664">
        <f t="shared" si="622"/>
        <v>0</v>
      </c>
      <c r="BM1538" s="664">
        <f t="shared" si="622"/>
        <v>0</v>
      </c>
      <c r="BN1538" s="664">
        <f t="shared" si="622"/>
        <v>0</v>
      </c>
      <c r="BO1538" s="664">
        <f t="shared" si="622"/>
        <v>0</v>
      </c>
      <c r="BP1538" s="664">
        <f t="shared" ref="BP1538:CA1538" si="623">SUM(BP1530:BP1537)</f>
        <v>0</v>
      </c>
      <c r="BQ1538" s="664">
        <f t="shared" si="623"/>
        <v>0</v>
      </c>
      <c r="BR1538" s="664">
        <f t="shared" si="623"/>
        <v>0</v>
      </c>
      <c r="BS1538" s="664">
        <f t="shared" si="623"/>
        <v>0</v>
      </c>
      <c r="BT1538" s="664">
        <f t="shared" si="623"/>
        <v>0</v>
      </c>
      <c r="BU1538" s="664">
        <f t="shared" si="623"/>
        <v>0</v>
      </c>
      <c r="BV1538" s="664">
        <f t="shared" si="623"/>
        <v>0</v>
      </c>
      <c r="BW1538" s="664">
        <f t="shared" si="623"/>
        <v>0</v>
      </c>
      <c r="BX1538" s="664">
        <f t="shared" si="623"/>
        <v>0</v>
      </c>
      <c r="BY1538" s="664">
        <f t="shared" si="623"/>
        <v>0</v>
      </c>
      <c r="BZ1538" s="664">
        <f t="shared" si="623"/>
        <v>0</v>
      </c>
      <c r="CA1538" s="664">
        <f t="shared" si="623"/>
        <v>0</v>
      </c>
    </row>
    <row r="1539" spans="1:79" s="693" customFormat="1" hidden="1" outlineLevel="1" x14ac:dyDescent="0.25">
      <c r="A1539" s="701"/>
      <c r="B1539" s="737"/>
      <c r="C1539" s="737"/>
      <c r="D1539" s="737"/>
      <c r="E1539" s="570" t="s">
        <v>1345</v>
      </c>
      <c r="F1539" s="701" t="s">
        <v>635</v>
      </c>
      <c r="G1539" s="736"/>
      <c r="H1539" s="736"/>
      <c r="I1539" s="736"/>
      <c r="J1539" s="736"/>
      <c r="K1539" s="736"/>
      <c r="L1539" s="736"/>
      <c r="M1539" s="736"/>
      <c r="N1539" s="736"/>
      <c r="O1539" s="733"/>
      <c r="P1539" s="736"/>
      <c r="Q1539" s="736"/>
      <c r="R1539" s="762"/>
      <c r="S1539" s="697"/>
      <c r="T1539" s="697"/>
      <c r="U1539" s="697"/>
      <c r="V1539" s="697"/>
      <c r="W1539" s="697"/>
      <c r="X1539" s="697"/>
      <c r="Y1539" s="697"/>
      <c r="Z1539" s="697"/>
      <c r="AA1539" s="697"/>
      <c r="AB1539" s="697"/>
      <c r="AC1539" s="712"/>
      <c r="AD1539" s="712"/>
      <c r="AE1539" s="697"/>
      <c r="AF1539" s="752"/>
      <c r="AG1539" s="711"/>
      <c r="AH1539" s="735"/>
      <c r="AI1539" s="735"/>
      <c r="AJ1539" s="735"/>
      <c r="AK1539" s="735"/>
      <c r="AL1539" s="735"/>
      <c r="AM1539" s="735"/>
      <c r="AN1539" s="735"/>
      <c r="AO1539" s="735"/>
      <c r="AP1539" s="735"/>
      <c r="AQ1539" s="735"/>
      <c r="AR1539" s="735"/>
      <c r="AS1539" s="735"/>
      <c r="AT1539" s="735"/>
      <c r="AU1539" s="735"/>
      <c r="AV1539" s="735"/>
      <c r="AW1539" s="735"/>
      <c r="AX1539" s="735"/>
      <c r="AY1539" s="735"/>
      <c r="AZ1539" s="735"/>
      <c r="BA1539" s="735"/>
      <c r="BB1539" s="735"/>
      <c r="BC1539" s="735"/>
      <c r="BD1539" s="735"/>
      <c r="BE1539" s="735"/>
      <c r="BF1539" s="735"/>
      <c r="BG1539" s="735"/>
      <c r="BH1539" s="735"/>
      <c r="BI1539" s="735"/>
      <c r="BJ1539" s="735"/>
      <c r="BK1539" s="735"/>
      <c r="BL1539" s="735"/>
      <c r="BM1539" s="735"/>
      <c r="BN1539" s="735"/>
      <c r="BO1539" s="735"/>
      <c r="BP1539" s="735"/>
      <c r="BQ1539" s="735"/>
      <c r="BR1539" s="735"/>
      <c r="BS1539" s="735"/>
      <c r="BT1539" s="735"/>
      <c r="BU1539" s="735"/>
      <c r="BV1539" s="735"/>
      <c r="BW1539" s="735"/>
      <c r="BX1539" s="735"/>
      <c r="BY1539" s="735"/>
      <c r="BZ1539" s="735"/>
      <c r="CA1539" s="735"/>
    </row>
    <row r="1540" spans="1:79" hidden="1" outlineLevel="1" x14ac:dyDescent="0.25">
      <c r="A1540" s="661"/>
      <c r="B1540" s="576"/>
      <c r="C1540" s="576"/>
      <c r="D1540" s="576"/>
      <c r="E1540" s="570" t="s">
        <v>8</v>
      </c>
      <c r="F1540" s="661" t="s">
        <v>8</v>
      </c>
      <c r="G1540" s="718"/>
      <c r="H1540" s="718"/>
      <c r="I1540" s="718"/>
      <c r="J1540" s="718"/>
      <c r="K1540" s="718"/>
      <c r="L1540" s="718"/>
      <c r="M1540" s="718"/>
      <c r="N1540" s="718"/>
      <c r="O1540" s="719"/>
      <c r="P1540" s="718"/>
      <c r="Q1540" s="718"/>
      <c r="R1540" s="717"/>
      <c r="S1540" s="667"/>
      <c r="T1540" s="667"/>
      <c r="U1540" s="667"/>
      <c r="V1540" s="667"/>
      <c r="W1540" s="667"/>
      <c r="X1540" s="667"/>
      <c r="Y1540" s="667"/>
      <c r="Z1540" s="667"/>
      <c r="AA1540" s="667"/>
      <c r="AB1540" s="667"/>
      <c r="AC1540" s="686"/>
      <c r="AD1540" s="686"/>
      <c r="AE1540" s="667">
        <v>9361.11</v>
      </c>
      <c r="AF1540" s="724">
        <v>9448.61</v>
      </c>
      <c r="AG1540" s="715">
        <v>9434.61</v>
      </c>
      <c r="AH1540" s="720"/>
      <c r="AI1540" s="720"/>
      <c r="AJ1540" s="720"/>
      <c r="AK1540" s="720"/>
      <c r="AL1540" s="720"/>
      <c r="AM1540" s="720"/>
      <c r="AN1540" s="720"/>
      <c r="AO1540" s="720"/>
      <c r="AP1540" s="720"/>
      <c r="AQ1540" s="720"/>
      <c r="AR1540" s="720"/>
      <c r="AS1540" s="720"/>
      <c r="AT1540" s="720"/>
      <c r="AU1540" s="720"/>
      <c r="AV1540" s="720"/>
      <c r="AW1540" s="720"/>
      <c r="AX1540" s="720"/>
      <c r="AY1540" s="720"/>
      <c r="AZ1540" s="720"/>
      <c r="BA1540" s="720"/>
      <c r="BB1540" s="720"/>
      <c r="BC1540" s="720"/>
      <c r="BD1540" s="720"/>
      <c r="BE1540" s="720"/>
      <c r="BF1540" s="720"/>
      <c r="BG1540" s="720"/>
      <c r="BH1540" s="720"/>
      <c r="BI1540" s="720"/>
      <c r="BJ1540" s="720"/>
      <c r="BK1540" s="720"/>
      <c r="BL1540" s="720"/>
      <c r="BM1540" s="720"/>
      <c r="BN1540" s="720"/>
      <c r="BO1540" s="720"/>
      <c r="BP1540" s="720"/>
      <c r="BQ1540" s="720"/>
      <c r="BR1540" s="720"/>
      <c r="BS1540" s="720"/>
      <c r="BT1540" s="720"/>
      <c r="BU1540" s="720"/>
      <c r="BV1540" s="720"/>
      <c r="BW1540" s="720"/>
      <c r="BX1540" s="720"/>
      <c r="BY1540" s="720"/>
      <c r="BZ1540" s="720"/>
      <c r="CA1540" s="720"/>
    </row>
    <row r="1541" spans="1:79" hidden="1" outlineLevel="1" x14ac:dyDescent="0.25">
      <c r="A1541" s="661"/>
      <c r="B1541" s="576"/>
      <c r="C1541" s="576"/>
      <c r="D1541" s="576"/>
      <c r="E1541" s="570" t="s">
        <v>8</v>
      </c>
      <c r="F1541" s="661" t="s">
        <v>903</v>
      </c>
      <c r="G1541" s="718"/>
      <c r="H1541" s="718"/>
      <c r="I1541" s="718"/>
      <c r="J1541" s="718"/>
      <c r="K1541" s="718"/>
      <c r="L1541" s="718"/>
      <c r="M1541" s="718"/>
      <c r="N1541" s="718"/>
      <c r="O1541" s="719"/>
      <c r="P1541" s="718"/>
      <c r="Q1541" s="718"/>
      <c r="R1541" s="717"/>
      <c r="S1541" s="667"/>
      <c r="T1541" s="667"/>
      <c r="U1541" s="667"/>
      <c r="V1541" s="667"/>
      <c r="W1541" s="667"/>
      <c r="X1541" s="667"/>
      <c r="Y1541" s="667"/>
      <c r="Z1541" s="667"/>
      <c r="AA1541" s="667"/>
      <c r="AB1541" s="667"/>
      <c r="AC1541" s="686"/>
      <c r="AD1541" s="686"/>
      <c r="AE1541" s="667">
        <v>0</v>
      </c>
      <c r="AF1541" s="724">
        <v>0</v>
      </c>
      <c r="AG1541" s="715">
        <v>0</v>
      </c>
      <c r="AH1541" s="720"/>
      <c r="AI1541" s="720"/>
      <c r="AJ1541" s="720"/>
      <c r="AK1541" s="720"/>
      <c r="AL1541" s="720"/>
      <c r="AM1541" s="720"/>
      <c r="AN1541" s="720"/>
      <c r="AO1541" s="720"/>
      <c r="AP1541" s="720"/>
      <c r="AQ1541" s="720"/>
      <c r="AR1541" s="720"/>
      <c r="AS1541" s="720"/>
      <c r="AT1541" s="720"/>
      <c r="AU1541" s="720"/>
      <c r="AV1541" s="720"/>
      <c r="AW1541" s="720"/>
      <c r="AX1541" s="720"/>
      <c r="AY1541" s="720"/>
      <c r="AZ1541" s="720"/>
      <c r="BA1541" s="720"/>
      <c r="BB1541" s="720"/>
      <c r="BC1541" s="720"/>
      <c r="BD1541" s="720"/>
      <c r="BE1541" s="720"/>
      <c r="BF1541" s="720"/>
      <c r="BG1541" s="720"/>
      <c r="BH1541" s="720"/>
      <c r="BI1541" s="720"/>
      <c r="BJ1541" s="720"/>
      <c r="BK1541" s="720"/>
      <c r="BL1541" s="720"/>
      <c r="BM1541" s="720"/>
      <c r="BN1541" s="720"/>
      <c r="BO1541" s="720"/>
      <c r="BP1541" s="720"/>
      <c r="BQ1541" s="720"/>
      <c r="BR1541" s="720"/>
      <c r="BS1541" s="720"/>
      <c r="BT1541" s="720"/>
      <c r="BU1541" s="720"/>
      <c r="BV1541" s="720"/>
      <c r="BW1541" s="720"/>
      <c r="BX1541" s="720"/>
      <c r="BY1541" s="720"/>
      <c r="BZ1541" s="720"/>
      <c r="CA1541" s="720"/>
    </row>
    <row r="1542" spans="1:79" hidden="1" outlineLevel="1" x14ac:dyDescent="0.25">
      <c r="A1542" s="661"/>
      <c r="B1542" s="576"/>
      <c r="C1542" s="576"/>
      <c r="D1542" s="576"/>
      <c r="E1542" s="570" t="s">
        <v>1345</v>
      </c>
      <c r="F1542" s="661" t="s">
        <v>643</v>
      </c>
      <c r="G1542" s="718"/>
      <c r="H1542" s="718"/>
      <c r="I1542" s="718"/>
      <c r="J1542" s="718"/>
      <c r="K1542" s="718"/>
      <c r="L1542" s="718"/>
      <c r="M1542" s="718"/>
      <c r="N1542" s="718"/>
      <c r="O1542" s="719"/>
      <c r="P1542" s="719"/>
      <c r="Q1542" s="719"/>
      <c r="R1542" s="719"/>
      <c r="S1542" s="667"/>
      <c r="T1542" s="667"/>
      <c r="U1542" s="667"/>
      <c r="V1542" s="667"/>
      <c r="W1542" s="667"/>
      <c r="X1542" s="667"/>
      <c r="Y1542" s="667"/>
      <c r="Z1542" s="667"/>
      <c r="AA1542" s="667"/>
      <c r="AB1542" s="667"/>
      <c r="AC1542" s="686"/>
      <c r="AD1542" s="686"/>
      <c r="AE1542" s="667">
        <v>0</v>
      </c>
      <c r="AF1542" s="724">
        <v>0</v>
      </c>
      <c r="AG1542" s="715">
        <v>0</v>
      </c>
      <c r="AH1542" s="720"/>
      <c r="AI1542" s="720"/>
      <c r="AJ1542" s="720"/>
      <c r="AK1542" s="720"/>
      <c r="AL1542" s="720"/>
      <c r="AM1542" s="720"/>
      <c r="AN1542" s="720"/>
      <c r="AO1542" s="720"/>
      <c r="AP1542" s="720"/>
      <c r="AQ1542" s="720"/>
      <c r="AR1542" s="720"/>
      <c r="AS1542" s="720"/>
      <c r="AT1542" s="720"/>
      <c r="AU1542" s="720"/>
      <c r="AV1542" s="720"/>
      <c r="AW1542" s="720"/>
      <c r="AX1542" s="720"/>
      <c r="AY1542" s="720"/>
      <c r="AZ1542" s="720"/>
      <c r="BA1542" s="720"/>
      <c r="BB1542" s="720"/>
      <c r="BC1542" s="720"/>
      <c r="BD1542" s="720"/>
      <c r="BE1542" s="720"/>
      <c r="BF1542" s="720"/>
      <c r="BG1542" s="720"/>
      <c r="BH1542" s="720"/>
      <c r="BI1542" s="720"/>
      <c r="BJ1542" s="720"/>
      <c r="BK1542" s="720"/>
      <c r="BL1542" s="720"/>
      <c r="BM1542" s="720"/>
      <c r="BN1542" s="720"/>
      <c r="BO1542" s="720"/>
      <c r="BP1542" s="720"/>
      <c r="BQ1542" s="720"/>
      <c r="BR1542" s="720"/>
      <c r="BS1542" s="720"/>
      <c r="BT1542" s="720"/>
      <c r="BU1542" s="720"/>
      <c r="BV1542" s="720"/>
      <c r="BW1542" s="720"/>
      <c r="BX1542" s="720"/>
      <c r="BY1542" s="720"/>
      <c r="BZ1542" s="720"/>
      <c r="CA1542" s="720"/>
    </row>
    <row r="1543" spans="1:79" hidden="1" outlineLevel="1" x14ac:dyDescent="0.25">
      <c r="A1543" s="661"/>
      <c r="B1543" s="576"/>
      <c r="C1543" s="576"/>
      <c r="D1543" s="576"/>
      <c r="E1543" s="570" t="s">
        <v>1345</v>
      </c>
      <c r="F1543" s="661" t="s">
        <v>644</v>
      </c>
      <c r="G1543" s="718"/>
      <c r="H1543" s="718"/>
      <c r="I1543" s="718"/>
      <c r="J1543" s="718"/>
      <c r="K1543" s="718"/>
      <c r="L1543" s="718"/>
      <c r="M1543" s="718"/>
      <c r="N1543" s="718"/>
      <c r="O1543" s="719"/>
      <c r="P1543" s="719"/>
      <c r="Q1543" s="719"/>
      <c r="R1543" s="719"/>
      <c r="S1543" s="667"/>
      <c r="T1543" s="667"/>
      <c r="U1543" s="667"/>
      <c r="V1543" s="667"/>
      <c r="W1543" s="667"/>
      <c r="X1543" s="667"/>
      <c r="Y1543" s="667"/>
      <c r="Z1543" s="667"/>
      <c r="AA1543" s="667"/>
      <c r="AB1543" s="667"/>
      <c r="AC1543" s="686"/>
      <c r="AD1543" s="686"/>
      <c r="AE1543" s="667">
        <v>0</v>
      </c>
      <c r="AF1543" s="724">
        <v>0</v>
      </c>
      <c r="AG1543" s="715">
        <v>0</v>
      </c>
      <c r="AH1543" s="720"/>
      <c r="AI1543" s="720"/>
      <c r="AJ1543" s="720"/>
      <c r="AK1543" s="720"/>
      <c r="AL1543" s="720"/>
      <c r="AM1543" s="720"/>
      <c r="AN1543" s="720"/>
      <c r="AO1543" s="720"/>
      <c r="AP1543" s="720"/>
      <c r="AQ1543" s="720"/>
      <c r="AR1543" s="720"/>
      <c r="AS1543" s="720"/>
      <c r="AT1543" s="720"/>
      <c r="AU1543" s="720"/>
      <c r="AV1543" s="720"/>
      <c r="AW1543" s="720"/>
      <c r="AX1543" s="720"/>
      <c r="AY1543" s="720"/>
      <c r="AZ1543" s="720"/>
      <c r="BA1543" s="720"/>
      <c r="BB1543" s="720"/>
      <c r="BC1543" s="720"/>
      <c r="BD1543" s="720"/>
      <c r="BE1543" s="720"/>
      <c r="BF1543" s="720"/>
      <c r="BG1543" s="720"/>
      <c r="BH1543" s="720"/>
      <c r="BI1543" s="720"/>
      <c r="BJ1543" s="720"/>
      <c r="BK1543" s="720"/>
      <c r="BL1543" s="720"/>
      <c r="BM1543" s="720"/>
      <c r="BN1543" s="720"/>
      <c r="BO1543" s="720"/>
      <c r="BP1543" s="720"/>
      <c r="BQ1543" s="720"/>
      <c r="BR1543" s="720"/>
      <c r="BS1543" s="720"/>
      <c r="BT1543" s="720"/>
      <c r="BU1543" s="720"/>
      <c r="BV1543" s="720"/>
      <c r="BW1543" s="720"/>
      <c r="BX1543" s="720"/>
      <c r="BY1543" s="720"/>
      <c r="BZ1543" s="720"/>
      <c r="CA1543" s="720"/>
    </row>
    <row r="1544" spans="1:79" hidden="1" outlineLevel="1" x14ac:dyDescent="0.25">
      <c r="A1544" s="661"/>
      <c r="B1544" s="576"/>
      <c r="C1544" s="576"/>
      <c r="D1544" s="576"/>
      <c r="E1544" s="570" t="s">
        <v>1345</v>
      </c>
      <c r="F1544" s="661" t="s">
        <v>636</v>
      </c>
      <c r="G1544" s="718"/>
      <c r="H1544" s="718"/>
      <c r="I1544" s="718"/>
      <c r="J1544" s="718"/>
      <c r="K1544" s="718"/>
      <c r="L1544" s="718"/>
      <c r="M1544" s="718"/>
      <c r="N1544" s="718"/>
      <c r="O1544" s="719"/>
      <c r="P1544" s="719"/>
      <c r="Q1544" s="719"/>
      <c r="R1544" s="719"/>
      <c r="S1544" s="667"/>
      <c r="T1544" s="667"/>
      <c r="U1544" s="667"/>
      <c r="V1544" s="667"/>
      <c r="W1544" s="667"/>
      <c r="X1544" s="667"/>
      <c r="Y1544" s="667"/>
      <c r="Z1544" s="667"/>
      <c r="AA1544" s="667"/>
      <c r="AB1544" s="667"/>
      <c r="AC1544" s="686"/>
      <c r="AD1544" s="686"/>
      <c r="AE1544" s="667">
        <v>26442.3</v>
      </c>
      <c r="AF1544" s="724">
        <v>32692.3</v>
      </c>
      <c r="AG1544" s="715">
        <v>31903.83</v>
      </c>
      <c r="AH1544" s="720"/>
      <c r="AI1544" s="720"/>
      <c r="AJ1544" s="720"/>
      <c r="AK1544" s="720"/>
      <c r="AL1544" s="720"/>
      <c r="AM1544" s="720"/>
      <c r="AN1544" s="720"/>
      <c r="AO1544" s="720"/>
      <c r="AP1544" s="720"/>
      <c r="AQ1544" s="720"/>
      <c r="AR1544" s="720"/>
      <c r="AS1544" s="720"/>
      <c r="AT1544" s="720"/>
      <c r="AU1544" s="720"/>
      <c r="AV1544" s="720"/>
      <c r="AW1544" s="720"/>
      <c r="AX1544" s="720"/>
      <c r="AY1544" s="720"/>
      <c r="AZ1544" s="720"/>
      <c r="BA1544" s="720"/>
      <c r="BB1544" s="720"/>
      <c r="BC1544" s="720"/>
      <c r="BD1544" s="720"/>
      <c r="BE1544" s="720"/>
      <c r="BF1544" s="720"/>
      <c r="BG1544" s="720"/>
      <c r="BH1544" s="720"/>
      <c r="BI1544" s="720"/>
      <c r="BJ1544" s="720"/>
      <c r="BK1544" s="720"/>
      <c r="BL1544" s="720"/>
      <c r="BM1544" s="720"/>
      <c r="BN1544" s="720"/>
      <c r="BO1544" s="720"/>
      <c r="BP1544" s="720"/>
      <c r="BQ1544" s="720"/>
      <c r="BR1544" s="720"/>
      <c r="BS1544" s="720"/>
      <c r="BT1544" s="720"/>
      <c r="BU1544" s="720"/>
      <c r="BV1544" s="720"/>
      <c r="BW1544" s="720"/>
      <c r="BX1544" s="720"/>
      <c r="BY1544" s="720"/>
      <c r="BZ1544" s="720"/>
      <c r="CA1544" s="720"/>
    </row>
    <row r="1545" spans="1:79" hidden="1" outlineLevel="1" x14ac:dyDescent="0.25">
      <c r="A1545" s="661"/>
      <c r="B1545" s="576"/>
      <c r="C1545" s="576"/>
      <c r="D1545" s="576"/>
      <c r="E1545" s="570" t="s">
        <v>637</v>
      </c>
      <c r="F1545" s="661" t="s">
        <v>637</v>
      </c>
      <c r="G1545" s="718"/>
      <c r="H1545" s="718"/>
      <c r="I1545" s="718"/>
      <c r="J1545" s="718"/>
      <c r="K1545" s="718"/>
      <c r="L1545" s="718"/>
      <c r="M1545" s="718"/>
      <c r="N1545" s="718"/>
      <c r="O1545" s="719"/>
      <c r="P1545" s="719"/>
      <c r="Q1545" s="719"/>
      <c r="R1545" s="719"/>
      <c r="S1545" s="667"/>
      <c r="T1545" s="667"/>
      <c r="U1545" s="667"/>
      <c r="V1545" s="667"/>
      <c r="W1545" s="667"/>
      <c r="X1545" s="667"/>
      <c r="Y1545" s="667"/>
      <c r="Z1545" s="667"/>
      <c r="AA1545" s="667"/>
      <c r="AB1545" s="667"/>
      <c r="AC1545" s="686"/>
      <c r="AD1545" s="686"/>
      <c r="AE1545" s="667">
        <v>30860.12</v>
      </c>
      <c r="AF1545" s="724">
        <v>-3311.65</v>
      </c>
      <c r="AG1545" s="715">
        <v>2188.62</v>
      </c>
      <c r="AH1545" s="720"/>
      <c r="AI1545" s="720"/>
      <c r="AJ1545" s="720"/>
      <c r="AK1545" s="720"/>
      <c r="AL1545" s="720"/>
      <c r="AM1545" s="720"/>
      <c r="AN1545" s="720"/>
      <c r="AO1545" s="720"/>
      <c r="AP1545" s="720"/>
      <c r="AQ1545" s="720"/>
      <c r="AR1545" s="720"/>
      <c r="AS1545" s="720"/>
      <c r="AT1545" s="720"/>
      <c r="AU1545" s="720"/>
      <c r="AV1545" s="720"/>
      <c r="AW1545" s="720"/>
      <c r="AX1545" s="720"/>
      <c r="AY1545" s="720"/>
      <c r="AZ1545" s="720"/>
      <c r="BA1545" s="720"/>
      <c r="BB1545" s="720"/>
      <c r="BC1545" s="720"/>
      <c r="BD1545" s="720"/>
      <c r="BE1545" s="720"/>
      <c r="BF1545" s="720"/>
      <c r="BG1545" s="720"/>
      <c r="BH1545" s="720"/>
      <c r="BI1545" s="720"/>
      <c r="BJ1545" s="720"/>
      <c r="BK1545" s="720"/>
      <c r="BL1545" s="720"/>
      <c r="BM1545" s="720"/>
      <c r="BN1545" s="720"/>
      <c r="BO1545" s="720"/>
      <c r="BP1545" s="720"/>
      <c r="BQ1545" s="720"/>
      <c r="BR1545" s="720"/>
      <c r="BS1545" s="720"/>
      <c r="BT1545" s="720"/>
      <c r="BU1545" s="720"/>
      <c r="BV1545" s="720"/>
      <c r="BW1545" s="720"/>
      <c r="BX1545" s="720"/>
      <c r="BY1545" s="720"/>
      <c r="BZ1545" s="720"/>
      <c r="CA1545" s="720"/>
    </row>
    <row r="1546" spans="1:79" hidden="1" outlineLevel="1" x14ac:dyDescent="0.25">
      <c r="A1546" s="661"/>
      <c r="B1546" s="576"/>
      <c r="C1546" s="576"/>
      <c r="D1546" s="576"/>
      <c r="E1546" s="570" t="s">
        <v>1345</v>
      </c>
      <c r="F1546" s="661" t="s">
        <v>904</v>
      </c>
      <c r="G1546" s="718"/>
      <c r="H1546" s="718"/>
      <c r="I1546" s="718"/>
      <c r="J1546" s="718"/>
      <c r="K1546" s="718"/>
      <c r="L1546" s="718"/>
      <c r="M1546" s="718"/>
      <c r="N1546" s="718"/>
      <c r="O1546" s="719"/>
      <c r="P1546" s="719"/>
      <c r="Q1546" s="719"/>
      <c r="R1546" s="719"/>
      <c r="S1546" s="667"/>
      <c r="T1546" s="667"/>
      <c r="U1546" s="667"/>
      <c r="V1546" s="667"/>
      <c r="W1546" s="667"/>
      <c r="X1546" s="667"/>
      <c r="Y1546" s="667"/>
      <c r="Z1546" s="667"/>
      <c r="AA1546" s="667"/>
      <c r="AB1546" s="667"/>
      <c r="AC1546" s="686"/>
      <c r="AD1546" s="686"/>
      <c r="AE1546" s="667">
        <v>0</v>
      </c>
      <c r="AF1546" s="724">
        <v>0</v>
      </c>
      <c r="AG1546" s="715">
        <v>0</v>
      </c>
      <c r="AH1546" s="720"/>
      <c r="AI1546" s="720"/>
      <c r="AJ1546" s="720"/>
      <c r="AK1546" s="720"/>
      <c r="AL1546" s="720"/>
      <c r="AM1546" s="720"/>
      <c r="AN1546" s="720"/>
      <c r="AO1546" s="720"/>
      <c r="AP1546" s="720"/>
      <c r="AQ1546" s="720"/>
      <c r="AR1546" s="720"/>
      <c r="AS1546" s="720"/>
      <c r="AT1546" s="720"/>
      <c r="AU1546" s="720"/>
      <c r="AV1546" s="720"/>
      <c r="AW1546" s="720"/>
      <c r="AX1546" s="720"/>
      <c r="AY1546" s="720"/>
      <c r="AZ1546" s="720"/>
      <c r="BA1546" s="720"/>
      <c r="BB1546" s="720"/>
      <c r="BC1546" s="720"/>
      <c r="BD1546" s="720"/>
      <c r="BE1546" s="720"/>
      <c r="BF1546" s="720"/>
      <c r="BG1546" s="720"/>
      <c r="BH1546" s="720"/>
      <c r="BI1546" s="720"/>
      <c r="BJ1546" s="720"/>
      <c r="BK1546" s="720"/>
      <c r="BL1546" s="720"/>
      <c r="BM1546" s="720"/>
      <c r="BN1546" s="720"/>
      <c r="BO1546" s="720"/>
      <c r="BP1546" s="720"/>
      <c r="BQ1546" s="720"/>
      <c r="BR1546" s="720"/>
      <c r="BS1546" s="720"/>
      <c r="BT1546" s="720"/>
      <c r="BU1546" s="720"/>
      <c r="BV1546" s="720"/>
      <c r="BW1546" s="720"/>
      <c r="BX1546" s="720"/>
      <c r="BY1546" s="720"/>
      <c r="BZ1546" s="720"/>
      <c r="CA1546" s="720"/>
    </row>
    <row r="1547" spans="1:79" hidden="1" outlineLevel="1" x14ac:dyDescent="0.25">
      <c r="A1547" s="661"/>
      <c r="B1547" s="576"/>
      <c r="C1547" s="576"/>
      <c r="D1547" s="576"/>
      <c r="E1547" s="570" t="s">
        <v>1345</v>
      </c>
      <c r="F1547" s="661" t="s">
        <v>677</v>
      </c>
      <c r="G1547" s="718"/>
      <c r="H1547" s="718"/>
      <c r="I1547" s="718"/>
      <c r="J1547" s="718"/>
      <c r="K1547" s="718"/>
      <c r="L1547" s="718"/>
      <c r="M1547" s="718"/>
      <c r="N1547" s="718"/>
      <c r="O1547" s="719"/>
      <c r="P1547" s="719"/>
      <c r="Q1547" s="719"/>
      <c r="R1547" s="719"/>
      <c r="S1547" s="667"/>
      <c r="T1547" s="667"/>
      <c r="U1547" s="667"/>
      <c r="V1547" s="667"/>
      <c r="W1547" s="667"/>
      <c r="X1547" s="667"/>
      <c r="Y1547" s="667"/>
      <c r="Z1547" s="667"/>
      <c r="AA1547" s="667"/>
      <c r="AB1547" s="667"/>
      <c r="AC1547" s="686"/>
      <c r="AD1547" s="686"/>
      <c r="AE1547" s="667">
        <v>0</v>
      </c>
      <c r="AF1547" s="724">
        <v>0</v>
      </c>
      <c r="AG1547" s="715">
        <v>0</v>
      </c>
      <c r="AH1547" s="720"/>
      <c r="AI1547" s="720"/>
      <c r="AJ1547" s="720"/>
      <c r="AK1547" s="720"/>
      <c r="AL1547" s="720"/>
      <c r="AM1547" s="720"/>
      <c r="AN1547" s="720"/>
      <c r="AO1547" s="720"/>
      <c r="AP1547" s="720"/>
      <c r="AQ1547" s="720"/>
      <c r="AR1547" s="720"/>
      <c r="AS1547" s="720"/>
      <c r="AT1547" s="720"/>
      <c r="AU1547" s="720"/>
      <c r="AV1547" s="720"/>
      <c r="AW1547" s="720"/>
      <c r="AX1547" s="720"/>
      <c r="AY1547" s="720"/>
      <c r="AZ1547" s="720"/>
      <c r="BA1547" s="720"/>
      <c r="BB1547" s="720"/>
      <c r="BC1547" s="720"/>
      <c r="BD1547" s="720"/>
      <c r="BE1547" s="720"/>
      <c r="BF1547" s="720"/>
      <c r="BG1547" s="720"/>
      <c r="BH1547" s="720"/>
      <c r="BI1547" s="720"/>
      <c r="BJ1547" s="720"/>
      <c r="BK1547" s="720"/>
      <c r="BL1547" s="720"/>
      <c r="BM1547" s="720"/>
      <c r="BN1547" s="720"/>
      <c r="BO1547" s="720"/>
      <c r="BP1547" s="720"/>
      <c r="BQ1547" s="720"/>
      <c r="BR1547" s="720"/>
      <c r="BS1547" s="720"/>
      <c r="BT1547" s="720"/>
      <c r="BU1547" s="720"/>
      <c r="BV1547" s="720"/>
      <c r="BW1547" s="720"/>
      <c r="BX1547" s="720"/>
      <c r="BY1547" s="720"/>
      <c r="BZ1547" s="720"/>
      <c r="CA1547" s="720"/>
    </row>
    <row r="1548" spans="1:79" hidden="1" outlineLevel="1" x14ac:dyDescent="0.25">
      <c r="A1548" s="657"/>
      <c r="B1548" s="503"/>
      <c r="C1548" s="503"/>
      <c r="D1548" s="503"/>
      <c r="E1548" s="570" t="s">
        <v>49</v>
      </c>
      <c r="F1548" s="657" t="s">
        <v>638</v>
      </c>
      <c r="G1548" s="664"/>
      <c r="H1548" s="664"/>
      <c r="I1548" s="664"/>
      <c r="J1548" s="664"/>
      <c r="K1548" s="664"/>
      <c r="L1548" s="664"/>
      <c r="M1548" s="664"/>
      <c r="N1548" s="664"/>
      <c r="O1548" s="664"/>
      <c r="P1548" s="664"/>
      <c r="Q1548" s="664"/>
      <c r="R1548" s="664"/>
      <c r="S1548" s="679"/>
      <c r="T1548" s="679"/>
      <c r="U1548" s="679"/>
      <c r="V1548" s="679"/>
      <c r="W1548" s="679"/>
      <c r="X1548" s="679"/>
      <c r="Y1548" s="679"/>
      <c r="Z1548" s="679"/>
      <c r="AA1548" s="679"/>
      <c r="AB1548" s="679"/>
      <c r="AC1548" s="679"/>
      <c r="AD1548" s="679"/>
      <c r="AE1548" s="679">
        <f>ROUND(SUM(AE1539:AE1547),5)</f>
        <v>66663.53</v>
      </c>
      <c r="AF1548" s="664">
        <f>ROUND(SUM(AF1539:AF1547),5)</f>
        <v>38829.26</v>
      </c>
      <c r="AG1548" s="679">
        <f>ROUND(SUM(AG1539:AG1547),5)</f>
        <v>43527.06</v>
      </c>
      <c r="AH1548" s="664">
        <f t="shared" ref="AH1548:BO1548" si="624">SUM(AH1540:AH1547)</f>
        <v>0</v>
      </c>
      <c r="AI1548" s="664">
        <f t="shared" si="624"/>
        <v>0</v>
      </c>
      <c r="AJ1548" s="664">
        <f t="shared" si="624"/>
        <v>0</v>
      </c>
      <c r="AK1548" s="664">
        <f t="shared" si="624"/>
        <v>0</v>
      </c>
      <c r="AL1548" s="664">
        <f t="shared" si="624"/>
        <v>0</v>
      </c>
      <c r="AM1548" s="664">
        <f t="shared" si="624"/>
        <v>0</v>
      </c>
      <c r="AN1548" s="664">
        <f t="shared" si="624"/>
        <v>0</v>
      </c>
      <c r="AO1548" s="664">
        <f t="shared" si="624"/>
        <v>0</v>
      </c>
      <c r="AP1548" s="664">
        <f t="shared" si="624"/>
        <v>0</v>
      </c>
      <c r="AQ1548" s="664">
        <f t="shared" si="624"/>
        <v>0</v>
      </c>
      <c r="AR1548" s="664">
        <f t="shared" si="624"/>
        <v>0</v>
      </c>
      <c r="AS1548" s="664">
        <f t="shared" si="624"/>
        <v>0</v>
      </c>
      <c r="AT1548" s="664">
        <f t="shared" si="624"/>
        <v>0</v>
      </c>
      <c r="AU1548" s="664">
        <f t="shared" si="624"/>
        <v>0</v>
      </c>
      <c r="AV1548" s="664">
        <f t="shared" si="624"/>
        <v>0</v>
      </c>
      <c r="AW1548" s="664">
        <f t="shared" si="624"/>
        <v>0</v>
      </c>
      <c r="AX1548" s="664">
        <f t="shared" si="624"/>
        <v>0</v>
      </c>
      <c r="AY1548" s="664">
        <f t="shared" si="624"/>
        <v>0</v>
      </c>
      <c r="AZ1548" s="664">
        <f t="shared" si="624"/>
        <v>0</v>
      </c>
      <c r="BA1548" s="664">
        <f t="shared" si="624"/>
        <v>0</v>
      </c>
      <c r="BB1548" s="664">
        <f t="shared" si="624"/>
        <v>0</v>
      </c>
      <c r="BC1548" s="664">
        <f t="shared" si="624"/>
        <v>0</v>
      </c>
      <c r="BD1548" s="664">
        <f t="shared" si="624"/>
        <v>0</v>
      </c>
      <c r="BE1548" s="664">
        <f t="shared" si="624"/>
        <v>0</v>
      </c>
      <c r="BF1548" s="664">
        <f t="shared" si="624"/>
        <v>0</v>
      </c>
      <c r="BG1548" s="664">
        <f t="shared" si="624"/>
        <v>0</v>
      </c>
      <c r="BH1548" s="664">
        <f t="shared" si="624"/>
        <v>0</v>
      </c>
      <c r="BI1548" s="664">
        <f t="shared" si="624"/>
        <v>0</v>
      </c>
      <c r="BJ1548" s="664">
        <f t="shared" si="624"/>
        <v>0</v>
      </c>
      <c r="BK1548" s="664">
        <f t="shared" si="624"/>
        <v>0</v>
      </c>
      <c r="BL1548" s="664">
        <f t="shared" si="624"/>
        <v>0</v>
      </c>
      <c r="BM1548" s="664">
        <f t="shared" si="624"/>
        <v>0</v>
      </c>
      <c r="BN1548" s="664">
        <f t="shared" si="624"/>
        <v>0</v>
      </c>
      <c r="BO1548" s="664">
        <f t="shared" si="624"/>
        <v>0</v>
      </c>
      <c r="BP1548" s="664">
        <f t="shared" ref="BP1548:CA1548" si="625">SUM(BP1540:BP1547)</f>
        <v>0</v>
      </c>
      <c r="BQ1548" s="664">
        <f t="shared" si="625"/>
        <v>0</v>
      </c>
      <c r="BR1548" s="664">
        <f t="shared" si="625"/>
        <v>0</v>
      </c>
      <c r="BS1548" s="664">
        <f t="shared" si="625"/>
        <v>0</v>
      </c>
      <c r="BT1548" s="664">
        <f t="shared" si="625"/>
        <v>0</v>
      </c>
      <c r="BU1548" s="664">
        <f t="shared" si="625"/>
        <v>0</v>
      </c>
      <c r="BV1548" s="664">
        <f t="shared" si="625"/>
        <v>0</v>
      </c>
      <c r="BW1548" s="664">
        <f t="shared" si="625"/>
        <v>0</v>
      </c>
      <c r="BX1548" s="664">
        <f t="shared" si="625"/>
        <v>0</v>
      </c>
      <c r="BY1548" s="664">
        <f t="shared" si="625"/>
        <v>0</v>
      </c>
      <c r="BZ1548" s="664">
        <f t="shared" si="625"/>
        <v>0</v>
      </c>
      <c r="CA1548" s="664">
        <f t="shared" si="625"/>
        <v>0</v>
      </c>
    </row>
    <row r="1549" spans="1:79" hidden="1" outlineLevel="1" x14ac:dyDescent="0.25">
      <c r="A1549" s="656"/>
      <c r="B1549" s="576"/>
      <c r="C1549" s="576"/>
      <c r="D1549" s="576"/>
      <c r="E1549" s="570" t="s">
        <v>1345</v>
      </c>
      <c r="F1549" s="656" t="s">
        <v>639</v>
      </c>
      <c r="G1549" s="716"/>
      <c r="H1549" s="716"/>
      <c r="I1549" s="716"/>
      <c r="J1549" s="716"/>
      <c r="K1549" s="716"/>
      <c r="L1549" s="716"/>
      <c r="M1549" s="716"/>
      <c r="N1549" s="716"/>
      <c r="O1549" s="716"/>
      <c r="P1549" s="716"/>
      <c r="Q1549" s="716"/>
      <c r="R1549" s="720"/>
      <c r="S1549" s="671"/>
      <c r="T1549" s="671"/>
      <c r="U1549" s="671"/>
      <c r="V1549" s="671"/>
      <c r="W1549" s="671"/>
      <c r="X1549" s="671"/>
      <c r="Y1549" s="671"/>
      <c r="Z1549" s="671"/>
      <c r="AA1549" s="671"/>
      <c r="AB1549" s="671"/>
      <c r="AC1549" s="682"/>
      <c r="AD1549" s="682"/>
      <c r="AE1549" s="671">
        <v>0</v>
      </c>
      <c r="AF1549" s="724">
        <v>0</v>
      </c>
      <c r="AG1549" s="690">
        <v>0</v>
      </c>
      <c r="AH1549" s="720"/>
      <c r="AI1549" s="720"/>
      <c r="AJ1549" s="720"/>
      <c r="AK1549" s="720"/>
      <c r="AL1549" s="720"/>
      <c r="AM1549" s="720"/>
      <c r="AN1549" s="720"/>
      <c r="AO1549" s="720"/>
      <c r="AP1549" s="720"/>
      <c r="AQ1549" s="720"/>
      <c r="AR1549" s="720"/>
      <c r="AS1549" s="720"/>
      <c r="AT1549" s="720"/>
      <c r="AU1549" s="720"/>
      <c r="AV1549" s="720"/>
      <c r="AW1549" s="720"/>
      <c r="AX1549" s="720"/>
      <c r="AY1549" s="720"/>
      <c r="AZ1549" s="720"/>
      <c r="BA1549" s="720"/>
      <c r="BB1549" s="720"/>
      <c r="BC1549" s="720"/>
      <c r="BD1549" s="720"/>
      <c r="BE1549" s="720"/>
      <c r="BF1549" s="720"/>
      <c r="BG1549" s="720"/>
      <c r="BH1549" s="720"/>
      <c r="BI1549" s="720"/>
      <c r="BJ1549" s="720"/>
      <c r="BK1549" s="720"/>
      <c r="BL1549" s="720"/>
      <c r="BM1549" s="720"/>
      <c r="BN1549" s="720"/>
      <c r="BO1549" s="720"/>
      <c r="BP1549" s="720"/>
      <c r="BQ1549" s="720"/>
      <c r="BR1549" s="720"/>
      <c r="BS1549" s="720"/>
      <c r="BT1549" s="720"/>
      <c r="BU1549" s="720"/>
      <c r="BV1549" s="720"/>
      <c r="BW1549" s="720"/>
      <c r="BX1549" s="720"/>
      <c r="BY1549" s="720"/>
      <c r="BZ1549" s="720"/>
      <c r="CA1549" s="720"/>
    </row>
    <row r="1550" spans="1:79" hidden="1" outlineLevel="1" x14ac:dyDescent="0.25">
      <c r="A1550" s="659"/>
      <c r="B1550" s="570"/>
      <c r="C1550" s="570"/>
      <c r="D1550" s="570"/>
      <c r="E1550" s="570" t="s">
        <v>49</v>
      </c>
      <c r="F1550" s="659" t="s">
        <v>640</v>
      </c>
      <c r="G1550" s="664"/>
      <c r="H1550" s="664"/>
      <c r="I1550" s="664"/>
      <c r="J1550" s="664"/>
      <c r="K1550" s="664"/>
      <c r="L1550" s="664"/>
      <c r="M1550" s="664"/>
      <c r="N1550" s="664"/>
      <c r="O1550" s="664"/>
      <c r="P1550" s="664"/>
      <c r="Q1550" s="664"/>
      <c r="R1550" s="664"/>
      <c r="S1550" s="679"/>
      <c r="T1550" s="679"/>
      <c r="U1550" s="679"/>
      <c r="V1550" s="679"/>
      <c r="W1550" s="679"/>
      <c r="X1550" s="679"/>
      <c r="Y1550" s="679"/>
      <c r="Z1550" s="679"/>
      <c r="AA1550" s="679"/>
      <c r="AB1550" s="679"/>
      <c r="AC1550" s="679"/>
      <c r="AD1550" s="679"/>
      <c r="AE1550" s="679">
        <f>ROUND(AE1518+AE1528+AE1538+SUM(AE1548:AE1549),5)</f>
        <v>70114.070000000007</v>
      </c>
      <c r="AF1550" s="679">
        <f>ROUND(AF1518+AF1528+AF1538+SUM(AF1548:AF1549),5)</f>
        <v>42754.45</v>
      </c>
      <c r="AG1550" s="679">
        <f>ROUND(AG1518+AG1528+AG1538+SUM(AG1548:AG1549),5)</f>
        <v>48011.48</v>
      </c>
      <c r="AH1550" s="664">
        <f t="shared" ref="AH1550:CA1550" si="626">SUM(AH1538+AH1548)</f>
        <v>0</v>
      </c>
      <c r="AI1550" s="664">
        <f t="shared" si="626"/>
        <v>0</v>
      </c>
      <c r="AJ1550" s="664">
        <f t="shared" si="626"/>
        <v>0</v>
      </c>
      <c r="AK1550" s="664">
        <f t="shared" si="626"/>
        <v>0</v>
      </c>
      <c r="AL1550" s="664">
        <f t="shared" si="626"/>
        <v>0</v>
      </c>
      <c r="AM1550" s="664">
        <f t="shared" si="626"/>
        <v>0</v>
      </c>
      <c r="AN1550" s="664">
        <f t="shared" si="626"/>
        <v>0</v>
      </c>
      <c r="AO1550" s="664">
        <f t="shared" si="626"/>
        <v>0</v>
      </c>
      <c r="AP1550" s="664">
        <f t="shared" si="626"/>
        <v>0</v>
      </c>
      <c r="AQ1550" s="664">
        <f t="shared" si="626"/>
        <v>0</v>
      </c>
      <c r="AR1550" s="664">
        <f t="shared" si="626"/>
        <v>0</v>
      </c>
      <c r="AS1550" s="664">
        <f t="shared" si="626"/>
        <v>0</v>
      </c>
      <c r="AT1550" s="664">
        <f t="shared" si="626"/>
        <v>0</v>
      </c>
      <c r="AU1550" s="664">
        <f t="shared" si="626"/>
        <v>0</v>
      </c>
      <c r="AV1550" s="664">
        <f t="shared" si="626"/>
        <v>0</v>
      </c>
      <c r="AW1550" s="664">
        <f t="shared" si="626"/>
        <v>0</v>
      </c>
      <c r="AX1550" s="664">
        <f t="shared" si="626"/>
        <v>0</v>
      </c>
      <c r="AY1550" s="664">
        <f t="shared" si="626"/>
        <v>0</v>
      </c>
      <c r="AZ1550" s="664">
        <f t="shared" si="626"/>
        <v>0</v>
      </c>
      <c r="BA1550" s="664">
        <f t="shared" si="626"/>
        <v>0</v>
      </c>
      <c r="BB1550" s="664">
        <f t="shared" si="626"/>
        <v>0</v>
      </c>
      <c r="BC1550" s="664">
        <f t="shared" si="626"/>
        <v>0</v>
      </c>
      <c r="BD1550" s="664">
        <f t="shared" si="626"/>
        <v>0</v>
      </c>
      <c r="BE1550" s="664">
        <f t="shared" si="626"/>
        <v>0</v>
      </c>
      <c r="BF1550" s="664">
        <f t="shared" si="626"/>
        <v>0</v>
      </c>
      <c r="BG1550" s="664">
        <f t="shared" si="626"/>
        <v>0</v>
      </c>
      <c r="BH1550" s="664">
        <f t="shared" si="626"/>
        <v>0</v>
      </c>
      <c r="BI1550" s="664">
        <f t="shared" si="626"/>
        <v>0</v>
      </c>
      <c r="BJ1550" s="664">
        <f t="shared" si="626"/>
        <v>0</v>
      </c>
      <c r="BK1550" s="664">
        <f t="shared" si="626"/>
        <v>0</v>
      </c>
      <c r="BL1550" s="664">
        <f t="shared" si="626"/>
        <v>0</v>
      </c>
      <c r="BM1550" s="664">
        <f t="shared" si="626"/>
        <v>0</v>
      </c>
      <c r="BN1550" s="664">
        <f t="shared" si="626"/>
        <v>0</v>
      </c>
      <c r="BO1550" s="664">
        <f t="shared" si="626"/>
        <v>0</v>
      </c>
      <c r="BP1550" s="664">
        <f t="shared" si="626"/>
        <v>0</v>
      </c>
      <c r="BQ1550" s="664">
        <f t="shared" si="626"/>
        <v>0</v>
      </c>
      <c r="BR1550" s="664">
        <f t="shared" si="626"/>
        <v>0</v>
      </c>
      <c r="BS1550" s="664">
        <f t="shared" si="626"/>
        <v>0</v>
      </c>
      <c r="BT1550" s="664">
        <f t="shared" si="626"/>
        <v>0</v>
      </c>
      <c r="BU1550" s="664">
        <f t="shared" si="626"/>
        <v>0</v>
      </c>
      <c r="BV1550" s="664">
        <f t="shared" si="626"/>
        <v>0</v>
      </c>
      <c r="BW1550" s="664">
        <f t="shared" si="626"/>
        <v>0</v>
      </c>
      <c r="BX1550" s="664">
        <f t="shared" si="626"/>
        <v>0</v>
      </c>
      <c r="BY1550" s="664">
        <f t="shared" si="626"/>
        <v>0</v>
      </c>
      <c r="BZ1550" s="664">
        <f t="shared" si="626"/>
        <v>0</v>
      </c>
      <c r="CA1550" s="664">
        <f t="shared" si="626"/>
        <v>0</v>
      </c>
    </row>
    <row r="1551" spans="1:79" hidden="1" outlineLevel="1" x14ac:dyDescent="0.25">
      <c r="A1551" s="655"/>
      <c r="B1551" s="570"/>
      <c r="C1551" s="570"/>
      <c r="D1551" s="570"/>
      <c r="E1551" s="570" t="s">
        <v>918</v>
      </c>
      <c r="F1551" s="655" t="s">
        <v>905</v>
      </c>
      <c r="G1551" s="716"/>
      <c r="H1551" s="716"/>
      <c r="I1551" s="716"/>
      <c r="J1551" s="716"/>
      <c r="K1551" s="716"/>
      <c r="L1551" s="716"/>
      <c r="M1551" s="716"/>
      <c r="N1551" s="716"/>
      <c r="O1551" s="716"/>
      <c r="P1551" s="716"/>
      <c r="Q1551" s="716"/>
      <c r="R1551" s="720"/>
      <c r="S1551" s="684"/>
      <c r="T1551" s="684"/>
      <c r="U1551" s="684"/>
      <c r="V1551" s="684"/>
      <c r="W1551" s="684"/>
      <c r="X1551" s="684"/>
      <c r="Y1551" s="684"/>
      <c r="Z1551" s="684"/>
      <c r="AA1551" s="684"/>
      <c r="AB1551" s="684"/>
      <c r="AC1551" s="690"/>
      <c r="AD1551" s="690"/>
      <c r="AE1551" s="684">
        <v>0</v>
      </c>
      <c r="AF1551" s="719">
        <v>0</v>
      </c>
      <c r="AG1551" s="690">
        <v>0</v>
      </c>
      <c r="AH1551" s="720"/>
      <c r="AI1551" s="720"/>
      <c r="AJ1551" s="720"/>
      <c r="AK1551" s="720"/>
      <c r="AL1551" s="720"/>
      <c r="AM1551" s="720"/>
      <c r="AN1551" s="720"/>
      <c r="AO1551" s="720"/>
      <c r="AP1551" s="720"/>
      <c r="AQ1551" s="720"/>
      <c r="AR1551" s="720"/>
      <c r="AS1551" s="720"/>
      <c r="AT1551" s="720"/>
      <c r="AU1551" s="720"/>
      <c r="AV1551" s="720"/>
      <c r="AW1551" s="720"/>
      <c r="AX1551" s="720"/>
      <c r="AY1551" s="720"/>
      <c r="AZ1551" s="720"/>
      <c r="BA1551" s="720"/>
      <c r="BB1551" s="720"/>
      <c r="BC1551" s="720"/>
      <c r="BD1551" s="720"/>
      <c r="BE1551" s="720"/>
      <c r="BF1551" s="720"/>
      <c r="BG1551" s="720"/>
      <c r="BH1551" s="720"/>
      <c r="BI1551" s="720"/>
      <c r="BJ1551" s="720"/>
      <c r="BK1551" s="720"/>
      <c r="BL1551" s="720"/>
      <c r="BM1551" s="720"/>
      <c r="BN1551" s="720"/>
      <c r="BO1551" s="720"/>
      <c r="BP1551" s="720"/>
      <c r="BQ1551" s="720"/>
      <c r="BR1551" s="720"/>
      <c r="BS1551" s="720"/>
      <c r="BT1551" s="720"/>
      <c r="BU1551" s="720"/>
      <c r="BV1551" s="720"/>
      <c r="BW1551" s="720"/>
      <c r="BX1551" s="720"/>
      <c r="BY1551" s="720"/>
      <c r="BZ1551" s="720"/>
      <c r="CA1551" s="720"/>
    </row>
    <row r="1552" spans="1:79" s="693" customFormat="1" hidden="1" outlineLevel="1" x14ac:dyDescent="0.25">
      <c r="A1552" s="701"/>
      <c r="B1552" s="700"/>
      <c r="C1552" s="700"/>
      <c r="D1552" s="700"/>
      <c r="E1552" s="570" t="s">
        <v>1327</v>
      </c>
      <c r="F1552" s="701" t="s">
        <v>602</v>
      </c>
      <c r="G1552" s="765"/>
      <c r="H1552" s="765"/>
      <c r="I1552" s="765"/>
      <c r="J1552" s="765"/>
      <c r="K1552" s="765"/>
      <c r="L1552" s="765"/>
      <c r="M1552" s="765"/>
      <c r="N1552" s="765"/>
      <c r="O1552" s="765"/>
      <c r="P1552" s="736"/>
      <c r="Q1552" s="736"/>
      <c r="R1552" s="762"/>
      <c r="S1552" s="697"/>
      <c r="T1552" s="697"/>
      <c r="U1552" s="697"/>
      <c r="V1552" s="697"/>
      <c r="W1552" s="697"/>
      <c r="X1552" s="697"/>
      <c r="Y1552" s="697"/>
      <c r="Z1552" s="697"/>
      <c r="AA1552" s="697"/>
      <c r="AB1552" s="697"/>
      <c r="AC1552" s="697"/>
      <c r="AD1552" s="697"/>
      <c r="AE1552" s="697"/>
      <c r="AF1552" s="733"/>
      <c r="AG1552" s="696"/>
      <c r="AH1552" s="735"/>
      <c r="AI1552" s="735"/>
      <c r="AJ1552" s="735"/>
      <c r="AK1552" s="735"/>
      <c r="AL1552" s="735"/>
      <c r="AM1552" s="735"/>
      <c r="AN1552" s="735"/>
      <c r="AO1552" s="735"/>
      <c r="AP1552" s="735"/>
      <c r="AQ1552" s="735"/>
      <c r="AR1552" s="735"/>
      <c r="AS1552" s="735"/>
      <c r="AT1552" s="735"/>
      <c r="AU1552" s="735"/>
      <c r="AV1552" s="735"/>
      <c r="AW1552" s="735"/>
      <c r="AX1552" s="735"/>
      <c r="AY1552" s="735"/>
      <c r="AZ1552" s="735"/>
      <c r="BA1552" s="735"/>
      <c r="BB1552" s="735"/>
      <c r="BC1552" s="735"/>
      <c r="BD1552" s="735"/>
      <c r="BE1552" s="735"/>
      <c r="BF1552" s="735"/>
      <c r="BG1552" s="735"/>
      <c r="BH1552" s="735"/>
      <c r="BI1552" s="735"/>
      <c r="BJ1552" s="735"/>
      <c r="BK1552" s="735"/>
      <c r="BL1552" s="735"/>
      <c r="BM1552" s="735"/>
      <c r="BN1552" s="735"/>
      <c r="BO1552" s="735"/>
      <c r="BP1552" s="735"/>
      <c r="BQ1552" s="735"/>
      <c r="BR1552" s="735"/>
      <c r="BS1552" s="735"/>
      <c r="BT1552" s="735"/>
      <c r="BU1552" s="735"/>
      <c r="BV1552" s="735"/>
      <c r="BW1552" s="735"/>
      <c r="BX1552" s="735"/>
      <c r="BY1552" s="735"/>
      <c r="BZ1552" s="735"/>
      <c r="CA1552" s="735"/>
    </row>
    <row r="1553" spans="1:79" s="693" customFormat="1" hidden="1" outlineLevel="1" x14ac:dyDescent="0.25">
      <c r="A1553" s="701"/>
      <c r="B1553" s="700"/>
      <c r="C1553" s="700"/>
      <c r="D1553" s="700"/>
      <c r="E1553" s="570" t="s">
        <v>945</v>
      </c>
      <c r="F1553" s="701"/>
      <c r="G1553" s="765"/>
      <c r="H1553" s="765"/>
      <c r="I1553" s="765"/>
      <c r="J1553" s="765"/>
      <c r="K1553" s="765"/>
      <c r="L1553" s="765"/>
      <c r="M1553" s="765"/>
      <c r="N1553" s="765"/>
      <c r="O1553" s="765"/>
      <c r="P1553" s="736"/>
      <c r="Q1553" s="736"/>
      <c r="R1553" s="762"/>
      <c r="S1553" s="697"/>
      <c r="T1553" s="697"/>
      <c r="U1553" s="697"/>
      <c r="V1553" s="697"/>
      <c r="W1553" s="697"/>
      <c r="X1553" s="697"/>
      <c r="Y1553" s="697"/>
      <c r="Z1553" s="697"/>
      <c r="AA1553" s="697"/>
      <c r="AB1553" s="697"/>
      <c r="AC1553" s="697"/>
      <c r="AD1553" s="697"/>
      <c r="AE1553" s="697">
        <v>0</v>
      </c>
      <c r="AF1553" s="733">
        <v>0</v>
      </c>
      <c r="AG1553" s="696">
        <v>0</v>
      </c>
      <c r="AH1553" s="735"/>
      <c r="AI1553" s="735"/>
      <c r="AJ1553" s="735"/>
      <c r="AK1553" s="735"/>
      <c r="AL1553" s="735"/>
      <c r="AM1553" s="735"/>
      <c r="AN1553" s="735"/>
      <c r="AO1553" s="735"/>
      <c r="AP1553" s="735"/>
      <c r="AQ1553" s="735"/>
      <c r="AR1553" s="735"/>
      <c r="AS1553" s="735"/>
      <c r="AT1553" s="735"/>
      <c r="AU1553" s="735"/>
      <c r="AV1553" s="735"/>
      <c r="AW1553" s="735"/>
      <c r="AX1553" s="735"/>
      <c r="AY1553" s="735"/>
      <c r="AZ1553" s="735"/>
      <c r="BA1553" s="735"/>
      <c r="BB1553" s="735"/>
      <c r="BC1553" s="735"/>
      <c r="BD1553" s="735"/>
      <c r="BE1553" s="735"/>
      <c r="BF1553" s="735"/>
      <c r="BG1553" s="735"/>
      <c r="BH1553" s="735"/>
      <c r="BI1553" s="735"/>
      <c r="BJ1553" s="735"/>
      <c r="BK1553" s="735"/>
      <c r="BL1553" s="735"/>
      <c r="BM1553" s="735"/>
      <c r="BN1553" s="735"/>
      <c r="BO1553" s="735"/>
      <c r="BP1553" s="735"/>
      <c r="BQ1553" s="735"/>
      <c r="BR1553" s="735"/>
      <c r="BS1553" s="735"/>
      <c r="BT1553" s="735"/>
      <c r="BU1553" s="735"/>
      <c r="BV1553" s="735"/>
      <c r="BW1553" s="735"/>
      <c r="BX1553" s="735"/>
      <c r="BY1553" s="735"/>
      <c r="BZ1553" s="735"/>
      <c r="CA1553" s="735"/>
    </row>
    <row r="1554" spans="1:79" hidden="1" outlineLevel="1" x14ac:dyDescent="0.25">
      <c r="A1554" s="656"/>
      <c r="B1554" s="576"/>
      <c r="C1554" s="576"/>
      <c r="D1554" s="576"/>
      <c r="E1554" s="570" t="s">
        <v>657</v>
      </c>
      <c r="F1554" s="656" t="s">
        <v>641</v>
      </c>
      <c r="G1554" s="718"/>
      <c r="H1554" s="718"/>
      <c r="I1554" s="718"/>
      <c r="J1554" s="718"/>
      <c r="K1554" s="718"/>
      <c r="L1554" s="718"/>
      <c r="M1554" s="718"/>
      <c r="N1554" s="718"/>
      <c r="O1554" s="718"/>
      <c r="P1554" s="718"/>
      <c r="Q1554" s="718"/>
      <c r="R1554" s="717"/>
      <c r="S1554" s="667"/>
      <c r="T1554" s="667"/>
      <c r="U1554" s="667"/>
      <c r="V1554" s="667"/>
      <c r="W1554" s="667"/>
      <c r="X1554" s="667"/>
      <c r="Y1554" s="667"/>
      <c r="Z1554" s="667"/>
      <c r="AA1554" s="667"/>
      <c r="AB1554" s="667"/>
      <c r="AC1554" s="666"/>
      <c r="AD1554" s="666"/>
      <c r="AE1554" s="667">
        <v>0</v>
      </c>
      <c r="AF1554" s="716">
        <v>0</v>
      </c>
      <c r="AG1554" s="665">
        <v>0</v>
      </c>
      <c r="AH1554" s="720"/>
      <c r="AI1554" s="720"/>
      <c r="AJ1554" s="720"/>
      <c r="AK1554" s="720"/>
      <c r="AL1554" s="720"/>
      <c r="AM1554" s="720"/>
      <c r="AN1554" s="720"/>
      <c r="AO1554" s="720"/>
      <c r="AP1554" s="720"/>
      <c r="AQ1554" s="720"/>
      <c r="AR1554" s="720"/>
      <c r="AS1554" s="720"/>
      <c r="AT1554" s="720"/>
      <c r="AU1554" s="720"/>
      <c r="AV1554" s="720"/>
      <c r="AW1554" s="720"/>
      <c r="AX1554" s="720"/>
      <c r="AY1554" s="720"/>
      <c r="AZ1554" s="720"/>
      <c r="BA1554" s="720"/>
      <c r="BB1554" s="720"/>
      <c r="BC1554" s="720"/>
      <c r="BD1554" s="720"/>
      <c r="BE1554" s="720"/>
      <c r="BF1554" s="720"/>
      <c r="BG1554" s="720"/>
      <c r="BH1554" s="720"/>
      <c r="BI1554" s="720"/>
      <c r="BJ1554" s="720"/>
      <c r="BK1554" s="720"/>
      <c r="BL1554" s="720"/>
      <c r="BM1554" s="720"/>
      <c r="BN1554" s="720"/>
      <c r="BO1554" s="720"/>
      <c r="BP1554" s="720"/>
      <c r="BQ1554" s="720"/>
      <c r="BR1554" s="720"/>
      <c r="BS1554" s="720"/>
      <c r="BT1554" s="720"/>
      <c r="BU1554" s="720"/>
      <c r="BV1554" s="720"/>
      <c r="BW1554" s="720"/>
      <c r="BX1554" s="720"/>
      <c r="BY1554" s="720"/>
      <c r="BZ1554" s="720"/>
      <c r="CA1554" s="720"/>
    </row>
    <row r="1555" spans="1:79" hidden="1" outlineLevel="1" x14ac:dyDescent="0.25">
      <c r="A1555" s="656"/>
      <c r="B1555" s="576"/>
      <c r="C1555" s="576"/>
      <c r="D1555" s="576"/>
      <c r="E1555" s="570" t="s">
        <v>1327</v>
      </c>
      <c r="F1555" s="656" t="s">
        <v>906</v>
      </c>
      <c r="G1555" s="718"/>
      <c r="H1555" s="718"/>
      <c r="I1555" s="718"/>
      <c r="J1555" s="718"/>
      <c r="K1555" s="718"/>
      <c r="L1555" s="718"/>
      <c r="M1555" s="718"/>
      <c r="N1555" s="718"/>
      <c r="O1555" s="718"/>
      <c r="P1555" s="718"/>
      <c r="Q1555" s="718"/>
      <c r="R1555" s="717"/>
      <c r="S1555" s="676"/>
      <c r="T1555" s="676"/>
      <c r="U1555" s="676"/>
      <c r="V1555" s="676"/>
      <c r="W1555" s="676"/>
      <c r="X1555" s="676"/>
      <c r="Y1555" s="676"/>
      <c r="Z1555" s="676"/>
      <c r="AA1555" s="676"/>
      <c r="AB1555" s="676"/>
      <c r="AC1555" s="675"/>
      <c r="AD1555" s="675"/>
      <c r="AE1555" s="676">
        <v>0</v>
      </c>
      <c r="AF1555" s="716">
        <v>0</v>
      </c>
      <c r="AG1555" s="673">
        <v>0</v>
      </c>
      <c r="AH1555" s="720"/>
      <c r="AI1555" s="720"/>
      <c r="AJ1555" s="720"/>
      <c r="AK1555" s="720"/>
      <c r="AL1555" s="720"/>
      <c r="AM1555" s="720"/>
      <c r="AN1555" s="720"/>
      <c r="AO1555" s="720"/>
      <c r="AP1555" s="720"/>
      <c r="AQ1555" s="720"/>
      <c r="AR1555" s="720"/>
      <c r="AS1555" s="720"/>
      <c r="AT1555" s="720"/>
      <c r="AU1555" s="720"/>
      <c r="AV1555" s="720"/>
      <c r="AW1555" s="720"/>
      <c r="AX1555" s="720"/>
      <c r="AY1555" s="720"/>
      <c r="AZ1555" s="720"/>
      <c r="BA1555" s="720"/>
      <c r="BB1555" s="720"/>
      <c r="BC1555" s="720"/>
      <c r="BD1555" s="720"/>
      <c r="BE1555" s="720"/>
      <c r="BF1555" s="720"/>
      <c r="BG1555" s="720"/>
      <c r="BH1555" s="720"/>
      <c r="BI1555" s="720"/>
      <c r="BJ1555" s="720"/>
      <c r="BK1555" s="720"/>
      <c r="BL1555" s="720"/>
      <c r="BM1555" s="720"/>
      <c r="BN1555" s="720"/>
      <c r="BO1555" s="720"/>
      <c r="BP1555" s="720"/>
      <c r="BQ1555" s="720"/>
      <c r="BR1555" s="720"/>
      <c r="BS1555" s="720"/>
      <c r="BT1555" s="720"/>
      <c r="BU1555" s="720"/>
      <c r="BV1555" s="720"/>
      <c r="BW1555" s="720"/>
      <c r="BX1555" s="720"/>
      <c r="BY1555" s="720"/>
      <c r="BZ1555" s="720"/>
      <c r="CA1555" s="720"/>
    </row>
    <row r="1556" spans="1:79" hidden="1" outlineLevel="1" x14ac:dyDescent="0.25">
      <c r="A1556" s="656"/>
      <c r="B1556" s="576"/>
      <c r="C1556" s="576"/>
      <c r="D1556" s="576"/>
      <c r="E1556" s="570" t="s">
        <v>1327</v>
      </c>
      <c r="F1556" s="656" t="s">
        <v>764</v>
      </c>
      <c r="G1556" s="716"/>
      <c r="H1556" s="716"/>
      <c r="I1556" s="716"/>
      <c r="J1556" s="716"/>
      <c r="K1556" s="716"/>
      <c r="L1556" s="716"/>
      <c r="M1556" s="716"/>
      <c r="N1556" s="716"/>
      <c r="O1556" s="716"/>
      <c r="P1556" s="716"/>
      <c r="Q1556" s="716"/>
      <c r="R1556" s="720"/>
      <c r="S1556" s="676"/>
      <c r="T1556" s="676"/>
      <c r="U1556" s="676"/>
      <c r="V1556" s="676"/>
      <c r="W1556" s="676"/>
      <c r="X1556" s="676"/>
      <c r="Y1556" s="676"/>
      <c r="Z1556" s="676"/>
      <c r="AA1556" s="676"/>
      <c r="AB1556" s="676"/>
      <c r="AC1556" s="675"/>
      <c r="AD1556" s="675"/>
      <c r="AE1556" s="676">
        <v>0</v>
      </c>
      <c r="AF1556" s="716">
        <v>0</v>
      </c>
      <c r="AG1556" s="673">
        <v>0</v>
      </c>
      <c r="AH1556" s="720"/>
      <c r="AI1556" s="720"/>
      <c r="AJ1556" s="720"/>
      <c r="AK1556" s="720"/>
      <c r="AL1556" s="720"/>
      <c r="AM1556" s="720"/>
      <c r="AN1556" s="720"/>
      <c r="AO1556" s="720"/>
      <c r="AP1556" s="720"/>
      <c r="AQ1556" s="720"/>
      <c r="AR1556" s="720"/>
      <c r="AS1556" s="720"/>
      <c r="AT1556" s="720"/>
      <c r="AU1556" s="720"/>
      <c r="AV1556" s="720"/>
      <c r="AW1556" s="720"/>
      <c r="AX1556" s="720"/>
      <c r="AY1556" s="720"/>
      <c r="AZ1556" s="720"/>
      <c r="BA1556" s="720"/>
      <c r="BB1556" s="720"/>
      <c r="BC1556" s="720"/>
      <c r="BD1556" s="720"/>
      <c r="BE1556" s="720"/>
      <c r="BF1556" s="720"/>
      <c r="BG1556" s="720"/>
      <c r="BH1556" s="720"/>
      <c r="BI1556" s="720"/>
      <c r="BJ1556" s="720"/>
      <c r="BK1556" s="720"/>
      <c r="BL1556" s="720"/>
      <c r="BM1556" s="720"/>
      <c r="BN1556" s="720"/>
      <c r="BO1556" s="720"/>
      <c r="BP1556" s="720"/>
      <c r="BQ1556" s="720"/>
      <c r="BR1556" s="720"/>
      <c r="BS1556" s="720"/>
      <c r="BT1556" s="720"/>
      <c r="BU1556" s="720"/>
      <c r="BV1556" s="720"/>
      <c r="BW1556" s="720"/>
      <c r="BX1556" s="720"/>
      <c r="BY1556" s="720"/>
      <c r="BZ1556" s="720"/>
      <c r="CA1556" s="720"/>
    </row>
    <row r="1557" spans="1:79" hidden="1" outlineLevel="1" x14ac:dyDescent="0.25">
      <c r="A1557" s="662"/>
      <c r="B1557" s="571"/>
      <c r="C1557" s="571"/>
      <c r="D1557" s="571"/>
      <c r="E1557" s="570" t="s">
        <v>49</v>
      </c>
      <c r="F1557" s="662" t="s">
        <v>642</v>
      </c>
      <c r="G1557" s="664"/>
      <c r="H1557" s="664"/>
      <c r="I1557" s="664"/>
      <c r="J1557" s="664"/>
      <c r="K1557" s="664"/>
      <c r="L1557" s="664"/>
      <c r="M1557" s="664"/>
      <c r="N1557" s="664"/>
      <c r="O1557" s="664"/>
      <c r="P1557" s="664"/>
      <c r="Q1557" s="664"/>
      <c r="R1557" s="664"/>
      <c r="S1557" s="678"/>
      <c r="T1557" s="678"/>
      <c r="U1557" s="678"/>
      <c r="V1557" s="678"/>
      <c r="W1557" s="678"/>
      <c r="X1557" s="678"/>
      <c r="Y1557" s="678"/>
      <c r="Z1557" s="678"/>
      <c r="AA1557" s="678"/>
      <c r="AB1557" s="678"/>
      <c r="AC1557" s="678"/>
      <c r="AD1557" s="678"/>
      <c r="AE1557" s="678">
        <f>ROUND(SUM(AE1552:AE1556),5)</f>
        <v>0</v>
      </c>
      <c r="AF1557" s="664">
        <f>ROUND(SUM(AF1552:AF1556),5)</f>
        <v>0</v>
      </c>
      <c r="AG1557" s="678">
        <f>ROUND(SUM(AG1552:AG1556),5)</f>
        <v>0</v>
      </c>
      <c r="AH1557" s="664">
        <f t="shared" ref="AH1557:BO1557" si="627">SUM(AH1554:AH1556)</f>
        <v>0</v>
      </c>
      <c r="AI1557" s="664">
        <f t="shared" si="627"/>
        <v>0</v>
      </c>
      <c r="AJ1557" s="664">
        <f t="shared" si="627"/>
        <v>0</v>
      </c>
      <c r="AK1557" s="664">
        <f t="shared" si="627"/>
        <v>0</v>
      </c>
      <c r="AL1557" s="664">
        <f t="shared" si="627"/>
        <v>0</v>
      </c>
      <c r="AM1557" s="664">
        <f t="shared" si="627"/>
        <v>0</v>
      </c>
      <c r="AN1557" s="664">
        <f t="shared" si="627"/>
        <v>0</v>
      </c>
      <c r="AO1557" s="664">
        <f t="shared" si="627"/>
        <v>0</v>
      </c>
      <c r="AP1557" s="664">
        <f t="shared" si="627"/>
        <v>0</v>
      </c>
      <c r="AQ1557" s="664">
        <f t="shared" si="627"/>
        <v>0</v>
      </c>
      <c r="AR1557" s="664">
        <f t="shared" si="627"/>
        <v>0</v>
      </c>
      <c r="AS1557" s="664">
        <f t="shared" si="627"/>
        <v>0</v>
      </c>
      <c r="AT1557" s="664">
        <f t="shared" si="627"/>
        <v>0</v>
      </c>
      <c r="AU1557" s="664">
        <f t="shared" si="627"/>
        <v>0</v>
      </c>
      <c r="AV1557" s="664">
        <f t="shared" si="627"/>
        <v>0</v>
      </c>
      <c r="AW1557" s="664">
        <f t="shared" si="627"/>
        <v>0</v>
      </c>
      <c r="AX1557" s="664">
        <f t="shared" si="627"/>
        <v>0</v>
      </c>
      <c r="AY1557" s="664">
        <f t="shared" si="627"/>
        <v>0</v>
      </c>
      <c r="AZ1557" s="664">
        <f t="shared" si="627"/>
        <v>0</v>
      </c>
      <c r="BA1557" s="664">
        <f t="shared" si="627"/>
        <v>0</v>
      </c>
      <c r="BB1557" s="664">
        <f t="shared" si="627"/>
        <v>0</v>
      </c>
      <c r="BC1557" s="664">
        <f t="shared" si="627"/>
        <v>0</v>
      </c>
      <c r="BD1557" s="664">
        <f t="shared" si="627"/>
        <v>0</v>
      </c>
      <c r="BE1557" s="664">
        <f t="shared" si="627"/>
        <v>0</v>
      </c>
      <c r="BF1557" s="664">
        <f t="shared" si="627"/>
        <v>0</v>
      </c>
      <c r="BG1557" s="664">
        <f t="shared" si="627"/>
        <v>0</v>
      </c>
      <c r="BH1557" s="664">
        <f t="shared" si="627"/>
        <v>0</v>
      </c>
      <c r="BI1557" s="664">
        <f t="shared" si="627"/>
        <v>0</v>
      </c>
      <c r="BJ1557" s="664">
        <f t="shared" si="627"/>
        <v>0</v>
      </c>
      <c r="BK1557" s="664">
        <f t="shared" si="627"/>
        <v>0</v>
      </c>
      <c r="BL1557" s="664">
        <f t="shared" si="627"/>
        <v>0</v>
      </c>
      <c r="BM1557" s="664">
        <f t="shared" si="627"/>
        <v>0</v>
      </c>
      <c r="BN1557" s="664">
        <f t="shared" si="627"/>
        <v>0</v>
      </c>
      <c r="BO1557" s="664">
        <f t="shared" si="627"/>
        <v>0</v>
      </c>
      <c r="BP1557" s="664">
        <f t="shared" ref="BP1557:CA1557" si="628">SUM(BP1554:BP1556)</f>
        <v>0</v>
      </c>
      <c r="BQ1557" s="664">
        <f t="shared" si="628"/>
        <v>0</v>
      </c>
      <c r="BR1557" s="664">
        <f t="shared" si="628"/>
        <v>0</v>
      </c>
      <c r="BS1557" s="664">
        <f t="shared" si="628"/>
        <v>0</v>
      </c>
      <c r="BT1557" s="664">
        <f t="shared" si="628"/>
        <v>0</v>
      </c>
      <c r="BU1557" s="664">
        <f t="shared" si="628"/>
        <v>0</v>
      </c>
      <c r="BV1557" s="664">
        <f t="shared" si="628"/>
        <v>0</v>
      </c>
      <c r="BW1557" s="664">
        <f t="shared" si="628"/>
        <v>0</v>
      </c>
      <c r="BX1557" s="664">
        <f t="shared" si="628"/>
        <v>0</v>
      </c>
      <c r="BY1557" s="664">
        <f t="shared" si="628"/>
        <v>0</v>
      </c>
      <c r="BZ1557" s="664">
        <f t="shared" si="628"/>
        <v>0</v>
      </c>
      <c r="CA1557" s="664">
        <f t="shared" si="628"/>
        <v>0</v>
      </c>
    </row>
    <row r="1558" spans="1:79" hidden="1" outlineLevel="1" x14ac:dyDescent="0.25">
      <c r="A1558" s="658"/>
      <c r="B1558" s="570"/>
      <c r="C1558" s="570"/>
      <c r="D1558" s="570"/>
      <c r="E1558" s="570" t="s">
        <v>922</v>
      </c>
      <c r="F1558" s="658" t="s">
        <v>603</v>
      </c>
      <c r="G1558" s="716"/>
      <c r="H1558" s="716"/>
      <c r="I1558" s="716"/>
      <c r="J1558" s="716"/>
      <c r="K1558" s="716"/>
      <c r="L1558" s="716"/>
      <c r="M1558" s="716"/>
      <c r="N1558" s="716"/>
      <c r="O1558" s="716"/>
      <c r="P1558" s="716"/>
      <c r="Q1558" s="716"/>
      <c r="R1558" s="720"/>
      <c r="S1558" s="667"/>
      <c r="T1558" s="667"/>
      <c r="U1558" s="667"/>
      <c r="V1558" s="667"/>
      <c r="W1558" s="667"/>
      <c r="X1558" s="667"/>
      <c r="Y1558" s="667"/>
      <c r="Z1558" s="667"/>
      <c r="AA1558" s="667"/>
      <c r="AB1558" s="667"/>
      <c r="AC1558" s="666"/>
      <c r="AD1558" s="666"/>
      <c r="AE1558" s="667">
        <v>0</v>
      </c>
      <c r="AF1558" s="716">
        <v>0</v>
      </c>
      <c r="AG1558" s="665">
        <v>0</v>
      </c>
      <c r="AH1558" s="720"/>
      <c r="AI1558" s="720"/>
      <c r="AJ1558" s="720"/>
      <c r="AK1558" s="720"/>
      <c r="AL1558" s="720"/>
      <c r="AM1558" s="720"/>
      <c r="AN1558" s="720"/>
      <c r="AO1558" s="720"/>
      <c r="AP1558" s="720"/>
      <c r="AQ1558" s="720"/>
      <c r="AR1558" s="720"/>
      <c r="AS1558" s="720"/>
      <c r="AT1558" s="720"/>
      <c r="AU1558" s="720"/>
      <c r="AV1558" s="720"/>
      <c r="AW1558" s="720"/>
      <c r="AX1558" s="720"/>
      <c r="AY1558" s="720"/>
      <c r="AZ1558" s="720"/>
      <c r="BA1558" s="720"/>
      <c r="BB1558" s="720"/>
      <c r="BC1558" s="720"/>
      <c r="BD1558" s="720"/>
      <c r="BE1558" s="720"/>
      <c r="BF1558" s="720"/>
      <c r="BG1558" s="720"/>
      <c r="BH1558" s="720"/>
      <c r="BI1558" s="720"/>
      <c r="BJ1558" s="720"/>
      <c r="BK1558" s="720"/>
      <c r="BL1558" s="720"/>
      <c r="BM1558" s="720"/>
      <c r="BN1558" s="720"/>
      <c r="BO1558" s="720"/>
      <c r="BP1558" s="720"/>
      <c r="BQ1558" s="720"/>
      <c r="BR1558" s="720"/>
      <c r="BS1558" s="720"/>
      <c r="BT1558" s="720"/>
      <c r="BU1558" s="720"/>
      <c r="BV1558" s="720"/>
      <c r="BW1558" s="720"/>
      <c r="BX1558" s="720"/>
      <c r="BY1558" s="720"/>
      <c r="BZ1558" s="720"/>
      <c r="CA1558" s="720"/>
    </row>
    <row r="1559" spans="1:79" hidden="1" outlineLevel="1" x14ac:dyDescent="0.25">
      <c r="A1559" s="658"/>
      <c r="B1559" s="570"/>
      <c r="C1559" s="570"/>
      <c r="D1559" s="570"/>
      <c r="E1559" s="570" t="s">
        <v>918</v>
      </c>
      <c r="F1559" s="658" t="s">
        <v>604</v>
      </c>
      <c r="G1559" s="716"/>
      <c r="H1559" s="716"/>
      <c r="I1559" s="716"/>
      <c r="J1559" s="716"/>
      <c r="K1559" s="716"/>
      <c r="L1559" s="716"/>
      <c r="M1559" s="716"/>
      <c r="N1559" s="716"/>
      <c r="O1559" s="716"/>
      <c r="P1559" s="716"/>
      <c r="Q1559" s="716"/>
      <c r="R1559" s="720"/>
      <c r="S1559" s="667"/>
      <c r="T1559" s="667"/>
      <c r="U1559" s="667"/>
      <c r="V1559" s="667"/>
      <c r="W1559" s="667"/>
      <c r="X1559" s="667"/>
      <c r="Y1559" s="667"/>
      <c r="Z1559" s="667"/>
      <c r="AA1559" s="667"/>
      <c r="AB1559" s="667"/>
      <c r="AC1559" s="666"/>
      <c r="AD1559" s="666"/>
      <c r="AE1559" s="667">
        <v>24000</v>
      </c>
      <c r="AF1559" s="716">
        <v>0</v>
      </c>
      <c r="AG1559" s="665">
        <v>0</v>
      </c>
      <c r="AH1559" s="720"/>
      <c r="AI1559" s="720"/>
      <c r="AJ1559" s="720"/>
      <c r="AK1559" s="720"/>
      <c r="AL1559" s="720"/>
      <c r="AM1559" s="720"/>
      <c r="AN1559" s="720"/>
      <c r="AO1559" s="720"/>
      <c r="AP1559" s="720"/>
      <c r="AQ1559" s="720"/>
      <c r="AR1559" s="720"/>
      <c r="AS1559" s="720"/>
      <c r="AT1559" s="720"/>
      <c r="AU1559" s="720"/>
      <c r="AV1559" s="720"/>
      <c r="AW1559" s="720"/>
      <c r="AX1559" s="720"/>
      <c r="AY1559" s="720"/>
      <c r="AZ1559" s="720"/>
      <c r="BA1559" s="720"/>
      <c r="BB1559" s="720"/>
      <c r="BC1559" s="720"/>
      <c r="BD1559" s="720"/>
      <c r="BE1559" s="720"/>
      <c r="BF1559" s="720"/>
      <c r="BG1559" s="720"/>
      <c r="BH1559" s="720"/>
      <c r="BI1559" s="720"/>
      <c r="BJ1559" s="720"/>
      <c r="BK1559" s="720"/>
      <c r="BL1559" s="720"/>
      <c r="BM1559" s="720"/>
      <c r="BN1559" s="720"/>
      <c r="BO1559" s="720"/>
      <c r="BP1559" s="720"/>
      <c r="BQ1559" s="720"/>
      <c r="BR1559" s="720"/>
      <c r="BS1559" s="720"/>
      <c r="BT1559" s="720"/>
      <c r="BU1559" s="720"/>
      <c r="BV1559" s="720"/>
      <c r="BW1559" s="720"/>
      <c r="BX1559" s="720"/>
      <c r="BY1559" s="720"/>
      <c r="BZ1559" s="720"/>
      <c r="CA1559" s="720"/>
    </row>
    <row r="1560" spans="1:79" s="693" customFormat="1" hidden="1" outlineLevel="1" x14ac:dyDescent="0.25">
      <c r="A1560" s="701"/>
      <c r="E1560" s="570" t="s">
        <v>1341</v>
      </c>
      <c r="F1560" s="701" t="s">
        <v>652</v>
      </c>
      <c r="G1560" s="734"/>
      <c r="H1560" s="734"/>
      <c r="I1560" s="734"/>
      <c r="J1560" s="734"/>
      <c r="K1560" s="734"/>
      <c r="L1560" s="734"/>
      <c r="M1560" s="734"/>
      <c r="N1560" s="734"/>
      <c r="O1560" s="734"/>
      <c r="P1560" s="734"/>
      <c r="Q1560" s="734"/>
      <c r="R1560" s="735"/>
      <c r="S1560" s="704"/>
      <c r="T1560" s="704"/>
      <c r="U1560" s="704"/>
      <c r="V1560" s="704"/>
      <c r="W1560" s="704"/>
      <c r="X1560" s="704"/>
      <c r="Y1560" s="704"/>
      <c r="Z1560" s="704"/>
      <c r="AA1560" s="704"/>
      <c r="AB1560" s="704"/>
      <c r="AC1560" s="704"/>
      <c r="AD1560" s="704"/>
      <c r="AE1560" s="704"/>
      <c r="AF1560" s="734"/>
      <c r="AG1560" s="702"/>
      <c r="AH1560" s="735"/>
      <c r="AI1560" s="735"/>
      <c r="AJ1560" s="735"/>
      <c r="AK1560" s="735"/>
      <c r="AL1560" s="735"/>
      <c r="AM1560" s="735"/>
      <c r="AN1560" s="735"/>
      <c r="AO1560" s="735"/>
      <c r="AP1560" s="735"/>
      <c r="AQ1560" s="735"/>
      <c r="AR1560" s="735"/>
      <c r="AS1560" s="735"/>
      <c r="AT1560" s="735"/>
      <c r="AU1560" s="735"/>
      <c r="AV1560" s="735"/>
      <c r="AW1560" s="735"/>
      <c r="AX1560" s="735"/>
      <c r="AY1560" s="735"/>
      <c r="AZ1560" s="735"/>
      <c r="BA1560" s="735"/>
      <c r="BB1560" s="735"/>
      <c r="BC1560" s="735"/>
      <c r="BD1560" s="735"/>
      <c r="BE1560" s="735"/>
      <c r="BF1560" s="735"/>
      <c r="BG1560" s="735"/>
      <c r="BH1560" s="735"/>
      <c r="BI1560" s="735"/>
      <c r="BJ1560" s="735"/>
      <c r="BK1560" s="735"/>
      <c r="BL1560" s="735"/>
      <c r="BM1560" s="735"/>
      <c r="BN1560" s="735"/>
      <c r="BO1560" s="735"/>
      <c r="BP1560" s="735"/>
      <c r="BQ1560" s="735"/>
      <c r="BR1560" s="735"/>
      <c r="BS1560" s="735"/>
      <c r="BT1560" s="735"/>
      <c r="BU1560" s="735"/>
      <c r="BV1560" s="735"/>
      <c r="BW1560" s="735"/>
      <c r="BX1560" s="735"/>
      <c r="BY1560" s="735"/>
      <c r="BZ1560" s="735"/>
      <c r="CA1560" s="735"/>
    </row>
    <row r="1561" spans="1:79" hidden="1" outlineLevel="1" x14ac:dyDescent="0.25">
      <c r="A1561" s="656"/>
      <c r="B1561" s="570"/>
      <c r="C1561" s="570"/>
      <c r="D1561" s="570"/>
      <c r="E1561" s="570" t="s">
        <v>1341</v>
      </c>
      <c r="F1561" s="656" t="s">
        <v>653</v>
      </c>
      <c r="G1561" s="716"/>
      <c r="H1561" s="716"/>
      <c r="I1561" s="716"/>
      <c r="J1561" s="716"/>
      <c r="K1561" s="716"/>
      <c r="L1561" s="716"/>
      <c r="M1561" s="716"/>
      <c r="N1561" s="716"/>
      <c r="O1561" s="716"/>
      <c r="P1561" s="716"/>
      <c r="Q1561" s="716"/>
      <c r="R1561" s="720"/>
      <c r="S1561" s="667"/>
      <c r="T1561" s="667"/>
      <c r="U1561" s="667"/>
      <c r="V1561" s="667"/>
      <c r="W1561" s="667"/>
      <c r="X1561" s="667"/>
      <c r="Y1561" s="667"/>
      <c r="Z1561" s="667"/>
      <c r="AA1561" s="667"/>
      <c r="AB1561" s="667"/>
      <c r="AC1561" s="666"/>
      <c r="AD1561" s="666"/>
      <c r="AE1561" s="667">
        <v>0</v>
      </c>
      <c r="AF1561" s="716">
        <v>0</v>
      </c>
      <c r="AG1561" s="665">
        <v>0</v>
      </c>
      <c r="AH1561" s="720"/>
      <c r="AI1561" s="720"/>
      <c r="AJ1561" s="720"/>
      <c r="AK1561" s="720"/>
      <c r="AL1561" s="720"/>
      <c r="AM1561" s="720"/>
      <c r="AN1561" s="720"/>
      <c r="AO1561" s="720"/>
      <c r="AP1561" s="720"/>
      <c r="AQ1561" s="720"/>
      <c r="AR1561" s="720"/>
      <c r="AS1561" s="720"/>
      <c r="AT1561" s="720"/>
      <c r="AU1561" s="720"/>
      <c r="AV1561" s="720"/>
      <c r="AW1561" s="720"/>
      <c r="AX1561" s="720"/>
      <c r="AY1561" s="720"/>
      <c r="AZ1561" s="720"/>
      <c r="BA1561" s="720"/>
      <c r="BB1561" s="720"/>
      <c r="BC1561" s="720"/>
      <c r="BD1561" s="720"/>
      <c r="BE1561" s="720"/>
      <c r="BF1561" s="720"/>
      <c r="BG1561" s="720"/>
      <c r="BH1561" s="720"/>
      <c r="BI1561" s="720"/>
      <c r="BJ1561" s="720"/>
      <c r="BK1561" s="720"/>
      <c r="BL1561" s="720"/>
      <c r="BM1561" s="720"/>
      <c r="BN1561" s="720"/>
      <c r="BO1561" s="720"/>
      <c r="BP1561" s="720"/>
      <c r="BQ1561" s="720"/>
      <c r="BR1561" s="720"/>
      <c r="BS1561" s="720"/>
      <c r="BT1561" s="720"/>
      <c r="BU1561" s="720"/>
      <c r="BV1561" s="720"/>
      <c r="BW1561" s="720"/>
      <c r="BX1561" s="720"/>
      <c r="BY1561" s="720"/>
      <c r="BZ1561" s="720"/>
      <c r="CA1561" s="720"/>
    </row>
    <row r="1562" spans="1:79" hidden="1" outlineLevel="1" x14ac:dyDescent="0.25">
      <c r="B1562" s="570"/>
      <c r="C1562" s="570"/>
      <c r="D1562" s="570"/>
      <c r="E1562" s="570" t="s">
        <v>1341</v>
      </c>
      <c r="F1562" s="570" t="s">
        <v>907</v>
      </c>
      <c r="G1562" s="716"/>
      <c r="H1562" s="716"/>
      <c r="I1562" s="716"/>
      <c r="J1562" s="716"/>
      <c r="K1562" s="716"/>
      <c r="L1562" s="716"/>
      <c r="M1562" s="716"/>
      <c r="N1562" s="716"/>
      <c r="O1562" s="716"/>
      <c r="P1562" s="716"/>
      <c r="Q1562" s="716"/>
      <c r="R1562" s="720"/>
      <c r="S1562" s="667"/>
      <c r="T1562" s="667"/>
      <c r="U1562" s="667"/>
      <c r="V1562" s="667"/>
      <c r="W1562" s="667"/>
      <c r="X1562" s="667"/>
      <c r="Y1562" s="667"/>
      <c r="Z1562" s="667"/>
      <c r="AA1562" s="667"/>
      <c r="AB1562" s="667"/>
      <c r="AC1562" s="666"/>
      <c r="AD1562" s="666"/>
      <c r="AE1562" s="667">
        <v>0</v>
      </c>
      <c r="AF1562" s="716">
        <v>0</v>
      </c>
      <c r="AG1562" s="665">
        <v>0</v>
      </c>
      <c r="AH1562" s="720"/>
      <c r="AI1562" s="720"/>
      <c r="AJ1562" s="720"/>
      <c r="AK1562" s="720"/>
      <c r="AL1562" s="720"/>
      <c r="AM1562" s="720"/>
      <c r="AN1562" s="720"/>
      <c r="AO1562" s="720"/>
      <c r="AP1562" s="720"/>
      <c r="AQ1562" s="720"/>
      <c r="AR1562" s="720"/>
      <c r="AS1562" s="720"/>
      <c r="AT1562" s="720"/>
      <c r="AU1562" s="720"/>
      <c r="AV1562" s="720"/>
      <c r="AW1562" s="720"/>
      <c r="AX1562" s="720"/>
      <c r="AY1562" s="720"/>
      <c r="AZ1562" s="720"/>
      <c r="BA1562" s="720"/>
      <c r="BB1562" s="720"/>
      <c r="BC1562" s="720"/>
      <c r="BD1562" s="720"/>
      <c r="BE1562" s="720"/>
      <c r="BF1562" s="720"/>
      <c r="BG1562" s="720"/>
      <c r="BH1562" s="720"/>
      <c r="BI1562" s="720"/>
      <c r="BJ1562" s="720"/>
      <c r="BK1562" s="720"/>
      <c r="BL1562" s="720"/>
      <c r="BM1562" s="720"/>
      <c r="BN1562" s="720"/>
      <c r="BO1562" s="720"/>
      <c r="BP1562" s="720"/>
      <c r="BQ1562" s="720"/>
      <c r="BR1562" s="720"/>
      <c r="BS1562" s="720"/>
      <c r="BT1562" s="720"/>
      <c r="BU1562" s="720"/>
      <c r="BV1562" s="720"/>
      <c r="BW1562" s="720"/>
      <c r="BX1562" s="720"/>
      <c r="BY1562" s="720"/>
      <c r="BZ1562" s="720"/>
      <c r="CA1562" s="720"/>
    </row>
    <row r="1563" spans="1:79" hidden="1" outlineLevel="1" x14ac:dyDescent="0.25">
      <c r="B1563" s="570"/>
      <c r="C1563" s="570"/>
      <c r="D1563" s="570"/>
      <c r="E1563" s="570" t="s">
        <v>1341</v>
      </c>
      <c r="F1563" s="570" t="s">
        <v>908</v>
      </c>
      <c r="G1563" s="716"/>
      <c r="H1563" s="716"/>
      <c r="I1563" s="716"/>
      <c r="J1563" s="716"/>
      <c r="K1563" s="716"/>
      <c r="L1563" s="716"/>
      <c r="M1563" s="716"/>
      <c r="N1563" s="716"/>
      <c r="O1563" s="716"/>
      <c r="P1563" s="716"/>
      <c r="Q1563" s="716"/>
      <c r="R1563" s="720"/>
      <c r="S1563" s="667"/>
      <c r="T1563" s="667"/>
      <c r="U1563" s="667"/>
      <c r="V1563" s="667"/>
      <c r="W1563" s="667"/>
      <c r="X1563" s="667"/>
      <c r="Y1563" s="667"/>
      <c r="Z1563" s="667"/>
      <c r="AA1563" s="667"/>
      <c r="AB1563" s="667"/>
      <c r="AC1563" s="666"/>
      <c r="AD1563" s="666"/>
      <c r="AE1563" s="667">
        <v>0</v>
      </c>
      <c r="AF1563" s="716">
        <v>0</v>
      </c>
      <c r="AG1563" s="665">
        <v>0</v>
      </c>
      <c r="AH1563" s="720"/>
      <c r="AI1563" s="720"/>
      <c r="AJ1563" s="720"/>
      <c r="AK1563" s="720"/>
      <c r="AL1563" s="720"/>
      <c r="AM1563" s="720"/>
      <c r="AN1563" s="720"/>
      <c r="AO1563" s="720"/>
      <c r="AP1563" s="720"/>
      <c r="AQ1563" s="720"/>
      <c r="AR1563" s="720"/>
      <c r="AS1563" s="720"/>
      <c r="AT1563" s="720"/>
      <c r="AU1563" s="720"/>
      <c r="AV1563" s="720"/>
      <c r="AW1563" s="720"/>
      <c r="AX1563" s="720"/>
      <c r="AY1563" s="720"/>
      <c r="AZ1563" s="720"/>
      <c r="BA1563" s="720"/>
      <c r="BB1563" s="720"/>
      <c r="BC1563" s="720"/>
      <c r="BD1563" s="720"/>
      <c r="BE1563" s="720"/>
      <c r="BF1563" s="720"/>
      <c r="BG1563" s="720"/>
      <c r="BH1563" s="720"/>
      <c r="BI1563" s="720"/>
      <c r="BJ1563" s="720"/>
      <c r="BK1563" s="720"/>
      <c r="BL1563" s="720"/>
      <c r="BM1563" s="720"/>
      <c r="BN1563" s="720"/>
      <c r="BO1563" s="720"/>
      <c r="BP1563" s="720"/>
      <c r="BQ1563" s="720"/>
      <c r="BR1563" s="720"/>
      <c r="BS1563" s="720"/>
      <c r="BT1563" s="720"/>
      <c r="BU1563" s="720"/>
      <c r="BV1563" s="720"/>
      <c r="BW1563" s="720"/>
      <c r="BX1563" s="720"/>
      <c r="BY1563" s="720"/>
      <c r="BZ1563" s="720"/>
      <c r="CA1563" s="720"/>
    </row>
    <row r="1564" spans="1:79" hidden="1" outlineLevel="1" x14ac:dyDescent="0.25">
      <c r="B1564" s="570"/>
      <c r="C1564" s="570"/>
      <c r="D1564" s="570"/>
      <c r="E1564" s="570" t="s">
        <v>1341</v>
      </c>
      <c r="F1564" s="570" t="s">
        <v>654</v>
      </c>
      <c r="G1564" s="716"/>
      <c r="H1564" s="716"/>
      <c r="I1564" s="716"/>
      <c r="J1564" s="716"/>
      <c r="K1564" s="716"/>
      <c r="L1564" s="716"/>
      <c r="M1564" s="716"/>
      <c r="N1564" s="716"/>
      <c r="O1564" s="716"/>
      <c r="P1564" s="716"/>
      <c r="Q1564" s="716"/>
      <c r="R1564" s="720"/>
      <c r="S1564" s="667"/>
      <c r="T1564" s="667"/>
      <c r="U1564" s="667"/>
      <c r="V1564" s="667"/>
      <c r="W1564" s="667"/>
      <c r="X1564" s="667"/>
      <c r="Y1564" s="667"/>
      <c r="Z1564" s="667"/>
      <c r="AA1564" s="667"/>
      <c r="AB1564" s="667"/>
      <c r="AC1564" s="666"/>
      <c r="AD1564" s="666"/>
      <c r="AE1564" s="667">
        <v>0</v>
      </c>
      <c r="AF1564" s="716">
        <v>0</v>
      </c>
      <c r="AG1564" s="665">
        <v>0</v>
      </c>
      <c r="AH1564" s="720"/>
      <c r="AI1564" s="720"/>
      <c r="AJ1564" s="720"/>
      <c r="AK1564" s="720"/>
      <c r="AL1564" s="720"/>
      <c r="AM1564" s="720"/>
      <c r="AN1564" s="720"/>
      <c r="AO1564" s="720"/>
      <c r="AP1564" s="720"/>
      <c r="AQ1564" s="720"/>
      <c r="AR1564" s="720"/>
      <c r="AS1564" s="720"/>
      <c r="AT1564" s="720"/>
      <c r="AU1564" s="720"/>
      <c r="AV1564" s="720"/>
      <c r="AW1564" s="720"/>
      <c r="AX1564" s="720"/>
      <c r="AY1564" s="720"/>
      <c r="AZ1564" s="720"/>
      <c r="BA1564" s="720"/>
      <c r="BB1564" s="720"/>
      <c r="BC1564" s="720"/>
      <c r="BD1564" s="720"/>
      <c r="BE1564" s="720"/>
      <c r="BF1564" s="720"/>
      <c r="BG1564" s="720"/>
      <c r="BH1564" s="720"/>
      <c r="BI1564" s="720"/>
      <c r="BJ1564" s="720"/>
      <c r="BK1564" s="720"/>
      <c r="BL1564" s="720"/>
      <c r="BM1564" s="720"/>
      <c r="BN1564" s="720"/>
      <c r="BO1564" s="720"/>
      <c r="BP1564" s="720"/>
      <c r="BQ1564" s="720"/>
      <c r="BR1564" s="720"/>
      <c r="BS1564" s="720"/>
      <c r="BT1564" s="720"/>
      <c r="BU1564" s="720"/>
      <c r="BV1564" s="720"/>
      <c r="BW1564" s="720"/>
      <c r="BX1564" s="720"/>
      <c r="BY1564" s="720"/>
      <c r="BZ1564" s="720"/>
      <c r="CA1564" s="720"/>
    </row>
    <row r="1565" spans="1:79" hidden="1" outlineLevel="1" x14ac:dyDescent="0.25">
      <c r="B1565" s="570"/>
      <c r="C1565" s="570"/>
      <c r="D1565" s="570"/>
      <c r="E1565" s="570" t="s">
        <v>1341</v>
      </c>
      <c r="F1565" s="570" t="s">
        <v>909</v>
      </c>
      <c r="G1565" s="716"/>
      <c r="H1565" s="716"/>
      <c r="I1565" s="716"/>
      <c r="J1565" s="716"/>
      <c r="K1565" s="716"/>
      <c r="L1565" s="716"/>
      <c r="M1565" s="716"/>
      <c r="N1565" s="716"/>
      <c r="O1565" s="716"/>
      <c r="P1565" s="716"/>
      <c r="Q1565" s="716"/>
      <c r="R1565" s="720"/>
      <c r="S1565" s="667"/>
      <c r="T1565" s="667"/>
      <c r="U1565" s="667"/>
      <c r="V1565" s="667"/>
      <c r="W1565" s="667"/>
      <c r="X1565" s="667"/>
      <c r="Y1565" s="667"/>
      <c r="Z1565" s="667"/>
      <c r="AA1565" s="667"/>
      <c r="AB1565" s="667"/>
      <c r="AC1565" s="666"/>
      <c r="AD1565" s="666"/>
      <c r="AE1565" s="667">
        <v>0</v>
      </c>
      <c r="AF1565" s="716">
        <v>0</v>
      </c>
      <c r="AG1565" s="665">
        <v>0</v>
      </c>
      <c r="AH1565" s="720"/>
      <c r="AI1565" s="720"/>
      <c r="AJ1565" s="720"/>
      <c r="AK1565" s="720"/>
      <c r="AL1565" s="720"/>
      <c r="AM1565" s="720"/>
      <c r="AN1565" s="720"/>
      <c r="AO1565" s="720"/>
      <c r="AP1565" s="720"/>
      <c r="AQ1565" s="720"/>
      <c r="AR1565" s="720"/>
      <c r="AS1565" s="720"/>
      <c r="AT1565" s="720"/>
      <c r="AU1565" s="720"/>
      <c r="AV1565" s="720"/>
      <c r="AW1565" s="720"/>
      <c r="AX1565" s="720"/>
      <c r="AY1565" s="720"/>
      <c r="AZ1565" s="720"/>
      <c r="BA1565" s="720"/>
      <c r="BB1565" s="720"/>
      <c r="BC1565" s="720"/>
      <c r="BD1565" s="720"/>
      <c r="BE1565" s="720"/>
      <c r="BF1565" s="720"/>
      <c r="BG1565" s="720"/>
      <c r="BH1565" s="720"/>
      <c r="BI1565" s="720"/>
      <c r="BJ1565" s="720"/>
      <c r="BK1565" s="720"/>
      <c r="BL1565" s="720"/>
      <c r="BM1565" s="720"/>
      <c r="BN1565" s="720"/>
      <c r="BO1565" s="720"/>
      <c r="BP1565" s="720"/>
      <c r="BQ1565" s="720"/>
      <c r="BR1565" s="720"/>
      <c r="BS1565" s="720"/>
      <c r="BT1565" s="720"/>
      <c r="BU1565" s="720"/>
      <c r="BV1565" s="720"/>
      <c r="BW1565" s="720"/>
      <c r="BX1565" s="720"/>
      <c r="BY1565" s="720"/>
      <c r="BZ1565" s="720"/>
      <c r="CA1565" s="720"/>
    </row>
    <row r="1566" spans="1:79" hidden="1" outlineLevel="1" x14ac:dyDescent="0.25">
      <c r="B1566" s="570"/>
      <c r="C1566" s="570"/>
      <c r="D1566" s="570"/>
      <c r="E1566" s="570" t="s">
        <v>1341</v>
      </c>
      <c r="F1566" s="570" t="s">
        <v>910</v>
      </c>
      <c r="G1566" s="716"/>
      <c r="H1566" s="716"/>
      <c r="I1566" s="716"/>
      <c r="J1566" s="716"/>
      <c r="K1566" s="716"/>
      <c r="L1566" s="716"/>
      <c r="M1566" s="716"/>
      <c r="N1566" s="716"/>
      <c r="O1566" s="716"/>
      <c r="P1566" s="716"/>
      <c r="Q1566" s="716"/>
      <c r="R1566" s="720"/>
      <c r="S1566" s="667"/>
      <c r="T1566" s="667"/>
      <c r="U1566" s="667"/>
      <c r="V1566" s="667"/>
      <c r="W1566" s="667"/>
      <c r="X1566" s="667"/>
      <c r="Y1566" s="667"/>
      <c r="Z1566" s="667"/>
      <c r="AA1566" s="667"/>
      <c r="AB1566" s="667"/>
      <c r="AC1566" s="666"/>
      <c r="AD1566" s="666"/>
      <c r="AE1566" s="667">
        <v>0</v>
      </c>
      <c r="AF1566" s="716">
        <v>0</v>
      </c>
      <c r="AG1566" s="665">
        <v>0</v>
      </c>
      <c r="AH1566" s="720"/>
      <c r="AI1566" s="720"/>
      <c r="AJ1566" s="720"/>
      <c r="AK1566" s="720"/>
      <c r="AL1566" s="720"/>
      <c r="AM1566" s="720"/>
      <c r="AN1566" s="720"/>
      <c r="AO1566" s="720"/>
      <c r="AP1566" s="720"/>
      <c r="AQ1566" s="720"/>
      <c r="AR1566" s="720"/>
      <c r="AS1566" s="720"/>
      <c r="AT1566" s="720"/>
      <c r="AU1566" s="720"/>
      <c r="AV1566" s="720"/>
      <c r="AW1566" s="720"/>
      <c r="AX1566" s="720"/>
      <c r="AY1566" s="720"/>
      <c r="AZ1566" s="720"/>
      <c r="BA1566" s="720"/>
      <c r="BB1566" s="720"/>
      <c r="BC1566" s="720"/>
      <c r="BD1566" s="720"/>
      <c r="BE1566" s="720"/>
      <c r="BF1566" s="720"/>
      <c r="BG1566" s="720"/>
      <c r="BH1566" s="720"/>
      <c r="BI1566" s="720"/>
      <c r="BJ1566" s="720"/>
      <c r="BK1566" s="720"/>
      <c r="BL1566" s="720"/>
      <c r="BM1566" s="720"/>
      <c r="BN1566" s="720"/>
      <c r="BO1566" s="720"/>
      <c r="BP1566" s="720"/>
      <c r="BQ1566" s="720"/>
      <c r="BR1566" s="720"/>
      <c r="BS1566" s="720"/>
      <c r="BT1566" s="720"/>
      <c r="BU1566" s="720"/>
      <c r="BV1566" s="720"/>
      <c r="BW1566" s="720"/>
      <c r="BX1566" s="720"/>
      <c r="BY1566" s="720"/>
      <c r="BZ1566" s="720"/>
      <c r="CA1566" s="720"/>
    </row>
    <row r="1567" spans="1:79" hidden="1" outlineLevel="1" x14ac:dyDescent="0.25">
      <c r="B1567" s="570"/>
      <c r="C1567" s="570"/>
      <c r="D1567" s="570"/>
      <c r="E1567" s="570" t="s">
        <v>1341</v>
      </c>
      <c r="F1567" s="570" t="s">
        <v>911</v>
      </c>
      <c r="G1567" s="716"/>
      <c r="H1567" s="716"/>
      <c r="I1567" s="716"/>
      <c r="J1567" s="716"/>
      <c r="K1567" s="716"/>
      <c r="L1567" s="716"/>
      <c r="M1567" s="716"/>
      <c r="N1567" s="716"/>
      <c r="O1567" s="716"/>
      <c r="P1567" s="716"/>
      <c r="Q1567" s="716"/>
      <c r="R1567" s="720"/>
      <c r="S1567" s="667"/>
      <c r="T1567" s="667"/>
      <c r="U1567" s="667"/>
      <c r="V1567" s="667"/>
      <c r="W1567" s="667"/>
      <c r="X1567" s="667"/>
      <c r="Y1567" s="667"/>
      <c r="Z1567" s="667"/>
      <c r="AA1567" s="667"/>
      <c r="AB1567" s="667"/>
      <c r="AC1567" s="666"/>
      <c r="AD1567" s="666"/>
      <c r="AE1567" s="667">
        <v>0</v>
      </c>
      <c r="AF1567" s="716">
        <v>0</v>
      </c>
      <c r="AG1567" s="665">
        <v>0</v>
      </c>
      <c r="AH1567" s="720"/>
      <c r="AI1567" s="720"/>
      <c r="AJ1567" s="720"/>
      <c r="AK1567" s="720"/>
      <c r="AL1567" s="720"/>
      <c r="AM1567" s="720"/>
      <c r="AN1567" s="720"/>
      <c r="AO1567" s="720"/>
      <c r="AP1567" s="720"/>
      <c r="AQ1567" s="720"/>
      <c r="AR1567" s="720"/>
      <c r="AS1567" s="720"/>
      <c r="AT1567" s="720"/>
      <c r="AU1567" s="720"/>
      <c r="AV1567" s="720"/>
      <c r="AW1567" s="720"/>
      <c r="AX1567" s="720"/>
      <c r="AY1567" s="720"/>
      <c r="AZ1567" s="720"/>
      <c r="BA1567" s="720"/>
      <c r="BB1567" s="720"/>
      <c r="BC1567" s="720"/>
      <c r="BD1567" s="720"/>
      <c r="BE1567" s="720"/>
      <c r="BF1567" s="720"/>
      <c r="BG1567" s="720"/>
      <c r="BH1567" s="720"/>
      <c r="BI1567" s="720"/>
      <c r="BJ1567" s="720"/>
      <c r="BK1567" s="720"/>
      <c r="BL1567" s="720"/>
      <c r="BM1567" s="720"/>
      <c r="BN1567" s="720"/>
      <c r="BO1567" s="720"/>
      <c r="BP1567" s="720"/>
      <c r="BQ1567" s="720"/>
      <c r="BR1567" s="720"/>
      <c r="BS1567" s="720"/>
      <c r="BT1567" s="720"/>
      <c r="BU1567" s="720"/>
      <c r="BV1567" s="720"/>
      <c r="BW1567" s="720"/>
      <c r="BX1567" s="720"/>
      <c r="BY1567" s="720"/>
      <c r="BZ1567" s="720"/>
      <c r="CA1567" s="720"/>
    </row>
    <row r="1568" spans="1:79" hidden="1" outlineLevel="1" x14ac:dyDescent="0.25">
      <c r="A1568" s="657"/>
      <c r="B1568" s="570"/>
      <c r="C1568" s="570"/>
      <c r="D1568" s="570"/>
      <c r="E1568" s="570" t="s">
        <v>49</v>
      </c>
      <c r="F1568" s="657" t="s">
        <v>655</v>
      </c>
      <c r="G1568" s="664"/>
      <c r="H1568" s="664"/>
      <c r="I1568" s="664"/>
      <c r="J1568" s="664"/>
      <c r="K1568" s="664"/>
      <c r="L1568" s="664"/>
      <c r="M1568" s="664"/>
      <c r="N1568" s="664"/>
      <c r="O1568" s="664"/>
      <c r="P1568" s="664"/>
      <c r="Q1568" s="664"/>
      <c r="R1568" s="664"/>
      <c r="S1568" s="678"/>
      <c r="T1568" s="678"/>
      <c r="U1568" s="678"/>
      <c r="V1568" s="678"/>
      <c r="W1568" s="678"/>
      <c r="X1568" s="678"/>
      <c r="Y1568" s="678"/>
      <c r="Z1568" s="678"/>
      <c r="AA1568" s="678"/>
      <c r="AB1568" s="678"/>
      <c r="AC1568" s="678"/>
      <c r="AD1568" s="678"/>
      <c r="AE1568" s="678">
        <f>ROUND(SUM(AE1560:AE1567),5)</f>
        <v>0</v>
      </c>
      <c r="AF1568" s="664">
        <f>ROUND(SUM(AF1560:AF1567),5)</f>
        <v>0</v>
      </c>
      <c r="AG1568" s="678">
        <f>ROUND(SUM(AG1560:AG1567),5)</f>
        <v>0</v>
      </c>
      <c r="AH1568" s="664">
        <f t="shared" ref="AH1568:BO1568" si="629">SUM(AH1561:AH1567)</f>
        <v>0</v>
      </c>
      <c r="AI1568" s="664">
        <f t="shared" si="629"/>
        <v>0</v>
      </c>
      <c r="AJ1568" s="664">
        <f t="shared" si="629"/>
        <v>0</v>
      </c>
      <c r="AK1568" s="664">
        <f t="shared" si="629"/>
        <v>0</v>
      </c>
      <c r="AL1568" s="664">
        <f t="shared" si="629"/>
        <v>0</v>
      </c>
      <c r="AM1568" s="664">
        <f t="shared" si="629"/>
        <v>0</v>
      </c>
      <c r="AN1568" s="664">
        <f t="shared" si="629"/>
        <v>0</v>
      </c>
      <c r="AO1568" s="664">
        <f t="shared" si="629"/>
        <v>0</v>
      </c>
      <c r="AP1568" s="664">
        <f t="shared" si="629"/>
        <v>0</v>
      </c>
      <c r="AQ1568" s="664">
        <f t="shared" si="629"/>
        <v>0</v>
      </c>
      <c r="AR1568" s="664">
        <f t="shared" si="629"/>
        <v>0</v>
      </c>
      <c r="AS1568" s="664">
        <f t="shared" si="629"/>
        <v>0</v>
      </c>
      <c r="AT1568" s="664">
        <f t="shared" si="629"/>
        <v>0</v>
      </c>
      <c r="AU1568" s="664">
        <f t="shared" si="629"/>
        <v>0</v>
      </c>
      <c r="AV1568" s="664">
        <f t="shared" si="629"/>
        <v>0</v>
      </c>
      <c r="AW1568" s="664">
        <f t="shared" si="629"/>
        <v>0</v>
      </c>
      <c r="AX1568" s="664">
        <f t="shared" si="629"/>
        <v>0</v>
      </c>
      <c r="AY1568" s="664">
        <f t="shared" si="629"/>
        <v>0</v>
      </c>
      <c r="AZ1568" s="664">
        <f t="shared" si="629"/>
        <v>0</v>
      </c>
      <c r="BA1568" s="664">
        <f t="shared" si="629"/>
        <v>0</v>
      </c>
      <c r="BB1568" s="664">
        <f t="shared" si="629"/>
        <v>0</v>
      </c>
      <c r="BC1568" s="664">
        <f t="shared" si="629"/>
        <v>0</v>
      </c>
      <c r="BD1568" s="664">
        <f t="shared" si="629"/>
        <v>0</v>
      </c>
      <c r="BE1568" s="664">
        <f t="shared" si="629"/>
        <v>0</v>
      </c>
      <c r="BF1568" s="664">
        <f t="shared" si="629"/>
        <v>0</v>
      </c>
      <c r="BG1568" s="664">
        <f t="shared" si="629"/>
        <v>0</v>
      </c>
      <c r="BH1568" s="664">
        <f t="shared" si="629"/>
        <v>0</v>
      </c>
      <c r="BI1568" s="664">
        <f t="shared" si="629"/>
        <v>0</v>
      </c>
      <c r="BJ1568" s="664">
        <f t="shared" si="629"/>
        <v>0</v>
      </c>
      <c r="BK1568" s="664">
        <f t="shared" si="629"/>
        <v>0</v>
      </c>
      <c r="BL1568" s="664">
        <f t="shared" si="629"/>
        <v>0</v>
      </c>
      <c r="BM1568" s="664">
        <f t="shared" si="629"/>
        <v>0</v>
      </c>
      <c r="BN1568" s="664">
        <f t="shared" si="629"/>
        <v>0</v>
      </c>
      <c r="BO1568" s="664">
        <f t="shared" si="629"/>
        <v>0</v>
      </c>
      <c r="BP1568" s="664">
        <f t="shared" ref="BP1568:CA1568" si="630">SUM(BP1561:BP1567)</f>
        <v>0</v>
      </c>
      <c r="BQ1568" s="664">
        <f t="shared" si="630"/>
        <v>0</v>
      </c>
      <c r="BR1568" s="664">
        <f t="shared" si="630"/>
        <v>0</v>
      </c>
      <c r="BS1568" s="664">
        <f t="shared" si="630"/>
        <v>0</v>
      </c>
      <c r="BT1568" s="664">
        <f t="shared" si="630"/>
        <v>0</v>
      </c>
      <c r="BU1568" s="664">
        <f t="shared" si="630"/>
        <v>0</v>
      </c>
      <c r="BV1568" s="664">
        <f t="shared" si="630"/>
        <v>0</v>
      </c>
      <c r="BW1568" s="664">
        <f t="shared" si="630"/>
        <v>0</v>
      </c>
      <c r="BX1568" s="664">
        <f t="shared" si="630"/>
        <v>0</v>
      </c>
      <c r="BY1568" s="664">
        <f t="shared" si="630"/>
        <v>0</v>
      </c>
      <c r="BZ1568" s="664">
        <f t="shared" si="630"/>
        <v>0</v>
      </c>
      <c r="CA1568" s="664">
        <f t="shared" si="630"/>
        <v>0</v>
      </c>
    </row>
    <row r="1569" spans="1:16384" hidden="1" outlineLevel="1" x14ac:dyDescent="0.25">
      <c r="B1569" s="570"/>
      <c r="C1569" s="570"/>
      <c r="D1569" s="570"/>
      <c r="E1569" s="570" t="s">
        <v>945</v>
      </c>
      <c r="F1569" s="570" t="s">
        <v>693</v>
      </c>
      <c r="G1569" s="716"/>
      <c r="H1569" s="716"/>
      <c r="I1569" s="716"/>
      <c r="J1569" s="716"/>
      <c r="K1569" s="716"/>
      <c r="L1569" s="716"/>
      <c r="M1569" s="716"/>
      <c r="N1569" s="716"/>
      <c r="O1569" s="716"/>
      <c r="P1569" s="716"/>
      <c r="Q1569" s="716"/>
      <c r="R1569" s="720"/>
      <c r="S1569" s="667"/>
      <c r="T1569" s="667"/>
      <c r="U1569" s="667"/>
      <c r="V1569" s="667"/>
      <c r="W1569" s="667"/>
      <c r="X1569" s="667"/>
      <c r="Y1569" s="667"/>
      <c r="Z1569" s="667"/>
      <c r="AA1569" s="667"/>
      <c r="AB1569" s="667"/>
      <c r="AC1569" s="666"/>
      <c r="AD1569" s="666"/>
      <c r="AE1569" s="667">
        <v>0</v>
      </c>
      <c r="AF1569" s="664">
        <v>0</v>
      </c>
      <c r="AG1569" s="665">
        <v>0</v>
      </c>
      <c r="AH1569" s="720"/>
      <c r="AI1569" s="720"/>
      <c r="AJ1569" s="720"/>
      <c r="AK1569" s="720"/>
      <c r="AL1569" s="720"/>
      <c r="AM1569" s="720"/>
      <c r="AN1569" s="720"/>
      <c r="AO1569" s="720"/>
      <c r="AP1569" s="720"/>
      <c r="AQ1569" s="720"/>
      <c r="AR1569" s="720"/>
      <c r="AS1569" s="720"/>
      <c r="AT1569" s="720"/>
      <c r="AU1569" s="720"/>
      <c r="AV1569" s="720"/>
      <c r="AW1569" s="720"/>
      <c r="AX1569" s="720"/>
      <c r="AY1569" s="720"/>
      <c r="AZ1569" s="720"/>
      <c r="BA1569" s="720"/>
      <c r="BB1569" s="720"/>
      <c r="BC1569" s="720"/>
      <c r="BD1569" s="720"/>
      <c r="BE1569" s="720"/>
      <c r="BF1569" s="720"/>
      <c r="BG1569" s="720"/>
      <c r="BH1569" s="720"/>
      <c r="BI1569" s="720"/>
      <c r="BJ1569" s="720"/>
      <c r="BK1569" s="720"/>
      <c r="BL1569" s="720"/>
      <c r="BM1569" s="720"/>
      <c r="BN1569" s="720"/>
      <c r="BO1569" s="720"/>
      <c r="BP1569" s="720"/>
      <c r="BQ1569" s="720"/>
      <c r="BR1569" s="720"/>
      <c r="BS1569" s="720"/>
      <c r="BT1569" s="720"/>
      <c r="BU1569" s="720"/>
      <c r="BV1569" s="720"/>
      <c r="BW1569" s="720"/>
      <c r="BX1569" s="720"/>
      <c r="BY1569" s="720"/>
      <c r="BZ1569" s="720"/>
      <c r="CA1569" s="720"/>
    </row>
    <row r="1570" spans="1:16384" s="868" customFormat="1" ht="15.75" collapsed="1" thickBot="1" x14ac:dyDescent="0.3">
      <c r="A1570" s="892"/>
      <c r="B1570" s="499"/>
      <c r="C1570" s="499"/>
      <c r="D1570" s="499"/>
      <c r="E1570" s="892"/>
      <c r="F1570" s="892" t="s">
        <v>1178</v>
      </c>
      <c r="G1570" s="893"/>
      <c r="H1570" s="893"/>
      <c r="I1570" s="893"/>
      <c r="J1570" s="893"/>
      <c r="K1570" s="893"/>
      <c r="L1570" s="893"/>
      <c r="M1570" s="893"/>
      <c r="N1570" s="893"/>
      <c r="O1570" s="893"/>
      <c r="P1570" s="893"/>
      <c r="Q1570" s="893"/>
      <c r="R1570" s="893"/>
      <c r="S1570" s="894"/>
      <c r="T1570" s="894"/>
      <c r="U1570" s="894"/>
      <c r="V1570" s="894"/>
      <c r="W1570" s="894"/>
      <c r="X1570" s="894"/>
      <c r="Y1570" s="894"/>
      <c r="Z1570" s="894"/>
      <c r="AA1570" s="894"/>
      <c r="AB1570" s="894"/>
      <c r="AC1570" s="893"/>
      <c r="AD1570" s="893"/>
      <c r="AE1570" s="894">
        <f>ROUND(SUM(AE1400:AE1407)+SUM(AE1411:AE1418)+AE1422+SUM(AE1426:AE1428)+SUM(AE1441:AE1445)+SUM(AE1456:AE1457)+AE1476+SUM(AE1480:AE1483)+AE1494+AE1502+SUM(AE1508:AE1510)+SUM(AE1516:AE1517)+SUM(AE1550:AE1551)+SUM(AE1557:AE1559)+SUM(AE1568:AE1569),5)</f>
        <v>98018.07</v>
      </c>
      <c r="AF1570" s="894">
        <f>ROUND(SUM(AF1399:AF1407)+SUM(AF1411:AF1418)+AF1422+SUM(AF1426:AF1428)+SUM(AF1441:AF1445)+SUM(AF1456:AF1457)+AF1476+SUM(AF1480:AF1483)+AF1494+AF1502+SUM(AF1508:AF1510)+SUM(AF1516:AF1517)+SUM(AF1550:AF1551)+SUM(AF1557:AF1559)+SUM(AF1568:AF1569),5)</f>
        <v>63096.58</v>
      </c>
      <c r="AG1570" s="894">
        <f>ROUND(SUM(AG1399:AG1407)+SUM(AG1411:AG1418)+AG1422+SUM(AG1426:AG1428)+SUM(AG1441:AG1445)+SUM(AG1456:AG1457)+AG1476+SUM(AG1480:AG1483)+AG1494+AG1502+SUM(AG1508:AG1510)+SUM(AG1516:AG1517)+SUM(AG1550:AG1551)+SUM(AG1557:AG1559)+SUM(AG1568:AG1569),5)</f>
        <v>58360.13</v>
      </c>
      <c r="AH1570" s="893">
        <f t="shared" ref="AH1570:CA1570" si="631">SUM(AH1402:AH1569)-SUM(AH1568,AH1557,AH1550,AH1548,AH1538,AH1528,AH1516,AH1508,AH1502,AH1494,AH1480,AH1476,AH1456,AH1441,AH1426,AH1422,AH1433,AH1411)</f>
        <v>0</v>
      </c>
      <c r="AI1570" s="893">
        <f t="shared" si="631"/>
        <v>0</v>
      </c>
      <c r="AJ1570" s="893">
        <f t="shared" si="631"/>
        <v>0</v>
      </c>
      <c r="AK1570" s="893">
        <f t="shared" si="631"/>
        <v>0</v>
      </c>
      <c r="AL1570" s="893">
        <f t="shared" si="631"/>
        <v>0</v>
      </c>
      <c r="AM1570" s="893">
        <f t="shared" si="631"/>
        <v>0</v>
      </c>
      <c r="AN1570" s="893">
        <f t="shared" si="631"/>
        <v>0</v>
      </c>
      <c r="AO1570" s="893">
        <f t="shared" si="631"/>
        <v>0</v>
      </c>
      <c r="AP1570" s="893">
        <f t="shared" si="631"/>
        <v>0</v>
      </c>
      <c r="AQ1570" s="893">
        <f t="shared" si="631"/>
        <v>0</v>
      </c>
      <c r="AR1570" s="893">
        <f t="shared" si="631"/>
        <v>0</v>
      </c>
      <c r="AS1570" s="893">
        <f t="shared" si="631"/>
        <v>0</v>
      </c>
      <c r="AT1570" s="893">
        <f t="shared" si="631"/>
        <v>0</v>
      </c>
      <c r="AU1570" s="893">
        <f t="shared" si="631"/>
        <v>0</v>
      </c>
      <c r="AV1570" s="893">
        <f t="shared" si="631"/>
        <v>0</v>
      </c>
      <c r="AW1570" s="893">
        <f t="shared" si="631"/>
        <v>0</v>
      </c>
      <c r="AX1570" s="893">
        <f t="shared" si="631"/>
        <v>0</v>
      </c>
      <c r="AY1570" s="893">
        <f t="shared" si="631"/>
        <v>0</v>
      </c>
      <c r="AZ1570" s="893">
        <f t="shared" si="631"/>
        <v>0</v>
      </c>
      <c r="BA1570" s="893">
        <f t="shared" si="631"/>
        <v>0</v>
      </c>
      <c r="BB1570" s="893">
        <f t="shared" si="631"/>
        <v>0</v>
      </c>
      <c r="BC1570" s="893">
        <f t="shared" si="631"/>
        <v>0</v>
      </c>
      <c r="BD1570" s="893">
        <f t="shared" si="631"/>
        <v>0</v>
      </c>
      <c r="BE1570" s="893">
        <f t="shared" si="631"/>
        <v>0</v>
      </c>
      <c r="BF1570" s="893">
        <f t="shared" si="631"/>
        <v>0</v>
      </c>
      <c r="BG1570" s="893">
        <f t="shared" si="631"/>
        <v>0</v>
      </c>
      <c r="BH1570" s="893">
        <f t="shared" si="631"/>
        <v>0</v>
      </c>
      <c r="BI1570" s="893">
        <f t="shared" si="631"/>
        <v>0</v>
      </c>
      <c r="BJ1570" s="893">
        <f t="shared" si="631"/>
        <v>0</v>
      </c>
      <c r="BK1570" s="893">
        <f t="shared" si="631"/>
        <v>0</v>
      </c>
      <c r="BL1570" s="893">
        <f t="shared" si="631"/>
        <v>0</v>
      </c>
      <c r="BM1570" s="893">
        <f t="shared" si="631"/>
        <v>0</v>
      </c>
      <c r="BN1570" s="893">
        <f t="shared" si="631"/>
        <v>0</v>
      </c>
      <c r="BO1570" s="893">
        <f t="shared" si="631"/>
        <v>0</v>
      </c>
      <c r="BP1570" s="893">
        <f t="shared" si="631"/>
        <v>0</v>
      </c>
      <c r="BQ1570" s="893">
        <f t="shared" si="631"/>
        <v>0</v>
      </c>
      <c r="BR1570" s="893">
        <f t="shared" si="631"/>
        <v>0</v>
      </c>
      <c r="BS1570" s="893">
        <f t="shared" si="631"/>
        <v>0</v>
      </c>
      <c r="BT1570" s="893">
        <f t="shared" si="631"/>
        <v>0</v>
      </c>
      <c r="BU1570" s="893">
        <f t="shared" si="631"/>
        <v>0</v>
      </c>
      <c r="BV1570" s="893">
        <f t="shared" si="631"/>
        <v>0</v>
      </c>
      <c r="BW1570" s="893">
        <f t="shared" si="631"/>
        <v>0</v>
      </c>
      <c r="BX1570" s="893">
        <f t="shared" si="631"/>
        <v>0</v>
      </c>
      <c r="BY1570" s="893">
        <f t="shared" si="631"/>
        <v>0</v>
      </c>
      <c r="BZ1570" s="893">
        <f t="shared" si="631"/>
        <v>0</v>
      </c>
      <c r="CA1570" s="893">
        <f t="shared" si="631"/>
        <v>0</v>
      </c>
    </row>
    <row r="1571" spans="1:16384" ht="15.75" thickTop="1" x14ac:dyDescent="0.25">
      <c r="B1571" s="570"/>
      <c r="C1571" s="570"/>
      <c r="D1571" s="570"/>
      <c r="F1571" s="570"/>
      <c r="G1571" s="723"/>
      <c r="H1571" s="723"/>
      <c r="I1571" s="723"/>
      <c r="J1571" s="723"/>
      <c r="K1571" s="723"/>
      <c r="L1571" s="723"/>
      <c r="M1571" s="723"/>
      <c r="N1571" s="723"/>
      <c r="O1571" s="723"/>
      <c r="P1571" s="723"/>
      <c r="Q1571" s="723"/>
      <c r="R1571" s="723"/>
      <c r="S1571" s="723"/>
      <c r="T1571" s="723"/>
      <c r="U1571" s="723"/>
      <c r="V1571" s="723"/>
      <c r="W1571" s="723"/>
      <c r="X1571" s="723"/>
      <c r="Y1571" s="723"/>
      <c r="Z1571" s="723"/>
      <c r="AA1571" s="723"/>
      <c r="AB1571" s="720"/>
      <c r="AC1571" s="720"/>
      <c r="AD1571" s="720"/>
      <c r="AE1571" s="720"/>
      <c r="AF1571" s="720"/>
      <c r="AG1571" s="720"/>
      <c r="AH1571" s="720"/>
      <c r="AI1571" s="720"/>
      <c r="AJ1571" s="720"/>
      <c r="AK1571" s="720"/>
      <c r="AL1571" s="720"/>
      <c r="AM1571" s="720"/>
      <c r="AN1571" s="720"/>
      <c r="AO1571" s="720"/>
      <c r="AP1571" s="720"/>
      <c r="AQ1571" s="720"/>
      <c r="AR1571" s="720"/>
      <c r="AS1571" s="720"/>
      <c r="AT1571" s="720"/>
      <c r="AU1571" s="720"/>
      <c r="AV1571" s="720"/>
      <c r="AW1571" s="720"/>
      <c r="AX1571" s="720"/>
      <c r="AY1571" s="720"/>
      <c r="AZ1571" s="720"/>
      <c r="BA1571" s="720"/>
      <c r="BB1571" s="720"/>
      <c r="BC1571" s="720"/>
      <c r="BD1571" s="720"/>
      <c r="BE1571" s="720"/>
      <c r="BF1571" s="720"/>
      <c r="BG1571" s="720"/>
      <c r="BH1571" s="720"/>
      <c r="BI1571" s="720"/>
      <c r="BJ1571" s="720"/>
      <c r="BK1571" s="720"/>
      <c r="BL1571" s="720"/>
      <c r="BM1571" s="720"/>
      <c r="BN1571" s="720"/>
      <c r="BO1571" s="720"/>
      <c r="BP1571" s="720"/>
      <c r="BQ1571" s="720"/>
      <c r="BR1571" s="720"/>
      <c r="BS1571" s="720"/>
      <c r="BT1571" s="720"/>
      <c r="BU1571" s="720"/>
      <c r="BV1571" s="720"/>
      <c r="BW1571" s="720"/>
      <c r="BX1571" s="720"/>
      <c r="BY1571" s="720"/>
      <c r="BZ1571" s="720"/>
      <c r="CA1571" s="720"/>
    </row>
    <row r="1572" spans="1:16384" x14ac:dyDescent="0.25">
      <c r="B1572" s="570"/>
      <c r="C1572" s="570"/>
      <c r="D1572" s="570"/>
      <c r="F1572" s="570"/>
      <c r="G1572" s="723"/>
      <c r="H1572" s="723"/>
      <c r="I1572" s="723"/>
      <c r="J1572" s="723"/>
      <c r="K1572" s="723"/>
      <c r="L1572" s="723"/>
      <c r="M1572" s="723"/>
      <c r="N1572" s="723"/>
      <c r="O1572" s="723"/>
      <c r="P1572" s="723"/>
      <c r="Q1572" s="723"/>
      <c r="R1572" s="723"/>
      <c r="S1572" s="723"/>
      <c r="T1572" s="723"/>
      <c r="U1572" s="723"/>
      <c r="V1572" s="723"/>
      <c r="W1572" s="723"/>
      <c r="X1572" s="723"/>
      <c r="Y1572" s="723"/>
      <c r="Z1572" s="723"/>
      <c r="AA1572" s="723"/>
      <c r="AB1572" s="723"/>
      <c r="AC1572" s="720"/>
      <c r="AD1572" s="720"/>
      <c r="AE1572" s="720"/>
      <c r="AF1572" s="720"/>
      <c r="AG1572" s="720"/>
      <c r="AH1572" s="720"/>
      <c r="AI1572" s="720"/>
      <c r="AJ1572" s="720"/>
      <c r="AK1572" s="720"/>
      <c r="AL1572" s="720"/>
      <c r="AM1572" s="720"/>
      <c r="AN1572" s="720"/>
      <c r="AO1572" s="720"/>
      <c r="AP1572" s="720"/>
      <c r="AQ1572" s="720"/>
      <c r="AR1572" s="720"/>
      <c r="AS1572" s="720"/>
      <c r="AT1572" s="720"/>
      <c r="AU1572" s="720"/>
      <c r="AV1572" s="720"/>
      <c r="AW1572" s="720"/>
      <c r="AX1572" s="720"/>
      <c r="AY1572" s="720"/>
      <c r="AZ1572" s="720"/>
      <c r="BA1572" s="720"/>
      <c r="BB1572" s="720"/>
      <c r="BC1572" s="720"/>
      <c r="BD1572" s="720"/>
      <c r="BE1572" s="720"/>
      <c r="BF1572" s="720"/>
      <c r="BG1572" s="720"/>
      <c r="BH1572" s="720"/>
      <c r="BI1572" s="720"/>
      <c r="BJ1572" s="720"/>
      <c r="BK1572" s="720"/>
      <c r="BL1572" s="720"/>
      <c r="BM1572" s="720"/>
      <c r="BN1572" s="720"/>
      <c r="BO1572" s="720"/>
      <c r="BP1572" s="720"/>
      <c r="BQ1572" s="720"/>
      <c r="BR1572" s="720"/>
      <c r="BS1572" s="720"/>
      <c r="BT1572" s="720"/>
      <c r="BU1572" s="720"/>
      <c r="BV1572" s="720"/>
      <c r="BW1572" s="720"/>
      <c r="BX1572" s="720"/>
      <c r="BY1572" s="720"/>
      <c r="BZ1572" s="720"/>
      <c r="CA1572" s="720"/>
    </row>
    <row r="1573" spans="1:16384" s="869" customFormat="1" ht="15.75" thickBot="1" x14ac:dyDescent="0.3">
      <c r="A1573" s="892"/>
      <c r="B1573" s="862"/>
      <c r="C1573" s="862"/>
      <c r="D1573" s="862"/>
      <c r="E1573" s="892"/>
      <c r="F1573" s="892" t="s">
        <v>678</v>
      </c>
      <c r="G1573" s="893"/>
      <c r="H1573" s="893"/>
      <c r="I1573" s="893"/>
      <c r="J1573" s="893"/>
      <c r="K1573" s="893"/>
      <c r="L1573" s="893"/>
      <c r="M1573" s="893"/>
      <c r="N1573" s="893"/>
      <c r="O1573" s="893"/>
      <c r="P1573" s="893"/>
      <c r="Q1573" s="893"/>
      <c r="R1573" s="893"/>
      <c r="S1573" s="894">
        <v>48903.23</v>
      </c>
      <c r="T1573" s="894">
        <v>2332.54</v>
      </c>
      <c r="U1573" s="894">
        <v>-73101.11</v>
      </c>
      <c r="V1573" s="894">
        <v>0</v>
      </c>
      <c r="W1573" s="894"/>
      <c r="X1573" s="894"/>
      <c r="Y1573" s="894"/>
      <c r="Z1573" s="894"/>
      <c r="AA1573" s="894"/>
      <c r="AB1573" s="894"/>
      <c r="AC1573" s="893"/>
      <c r="AD1573" s="894">
        <f>36911.44-14803.72</f>
        <v>22107.72</v>
      </c>
      <c r="AE1573" s="893"/>
      <c r="AF1573" s="894">
        <v>-3755</v>
      </c>
      <c r="AG1573" s="893"/>
      <c r="AH1573" s="893"/>
      <c r="AI1573" s="893"/>
      <c r="AJ1573" s="893"/>
      <c r="AK1573" s="893"/>
      <c r="AL1573" s="893"/>
      <c r="AM1573" s="893"/>
      <c r="AN1573" s="893"/>
      <c r="AO1573" s="893"/>
      <c r="AP1573" s="893"/>
      <c r="AQ1573" s="893"/>
      <c r="AR1573" s="893"/>
      <c r="AS1573" s="893"/>
      <c r="AT1573" s="893"/>
      <c r="AU1573" s="893"/>
      <c r="AV1573" s="893"/>
      <c r="AW1573" s="893"/>
      <c r="AX1573" s="893"/>
      <c r="AY1573" s="893"/>
      <c r="AZ1573" s="893"/>
      <c r="BA1573" s="893"/>
      <c r="BB1573" s="893"/>
      <c r="BC1573" s="893"/>
      <c r="BD1573" s="893"/>
      <c r="BE1573" s="893"/>
      <c r="BF1573" s="893"/>
      <c r="BG1573" s="893"/>
      <c r="BH1573" s="893"/>
      <c r="BI1573" s="893"/>
      <c r="BJ1573" s="893"/>
      <c r="BK1573" s="893"/>
      <c r="BL1573" s="893"/>
      <c r="BM1573" s="893"/>
      <c r="BN1573" s="893"/>
      <c r="BO1573" s="893"/>
      <c r="BP1573" s="893"/>
      <c r="BQ1573" s="893"/>
      <c r="BR1573" s="893"/>
      <c r="BS1573" s="893"/>
      <c r="BT1573" s="893"/>
      <c r="BU1573" s="893"/>
      <c r="BV1573" s="893"/>
      <c r="BW1573" s="893"/>
      <c r="BX1573" s="893"/>
      <c r="BY1573" s="893"/>
      <c r="BZ1573" s="893"/>
      <c r="CA1573" s="893"/>
      <c r="CB1573" s="866"/>
      <c r="CC1573" s="866"/>
      <c r="CD1573" s="866"/>
      <c r="CE1573" s="866"/>
      <c r="CF1573" s="866"/>
      <c r="CG1573" s="866"/>
      <c r="CH1573" s="866"/>
      <c r="CI1573" s="866"/>
      <c r="CJ1573" s="866"/>
      <c r="CK1573" s="866"/>
      <c r="CL1573" s="866"/>
      <c r="CM1573" s="866"/>
      <c r="CN1573" s="866"/>
      <c r="CO1573" s="866"/>
      <c r="CP1573" s="866"/>
      <c r="CQ1573" s="866"/>
      <c r="CR1573" s="866"/>
      <c r="CS1573" s="866"/>
      <c r="CT1573" s="866"/>
      <c r="CU1573" s="866"/>
      <c r="CV1573" s="866"/>
      <c r="CW1573" s="866"/>
      <c r="CX1573" s="866"/>
      <c r="CY1573" s="866"/>
      <c r="CZ1573" s="866"/>
      <c r="DA1573" s="866"/>
      <c r="DB1573" s="866"/>
      <c r="DC1573" s="866"/>
      <c r="DD1573" s="866"/>
      <c r="DE1573" s="866"/>
      <c r="DF1573" s="866"/>
      <c r="DG1573" s="866"/>
      <c r="DH1573" s="866"/>
      <c r="DI1573" s="866"/>
      <c r="DJ1573" s="866"/>
      <c r="DK1573" s="866"/>
      <c r="DL1573" s="866"/>
      <c r="DM1573" s="866"/>
      <c r="DN1573" s="866"/>
      <c r="DO1573" s="866"/>
      <c r="DP1573" s="866"/>
      <c r="DQ1573" s="866"/>
      <c r="DR1573" s="866"/>
      <c r="DS1573" s="866"/>
      <c r="DT1573" s="866"/>
      <c r="DU1573" s="866"/>
      <c r="DV1573" s="866"/>
      <c r="DW1573" s="866"/>
      <c r="DX1573" s="866"/>
      <c r="DY1573" s="866"/>
      <c r="DZ1573" s="866"/>
      <c r="EA1573" s="866"/>
      <c r="EB1573" s="866"/>
      <c r="EC1573" s="866"/>
      <c r="ED1573" s="866"/>
      <c r="EE1573" s="866"/>
      <c r="EF1573" s="866"/>
      <c r="EG1573" s="866"/>
      <c r="EH1573" s="866"/>
      <c r="EI1573" s="866"/>
      <c r="EJ1573" s="866"/>
      <c r="EK1573" s="866"/>
      <c r="EL1573" s="866"/>
      <c r="EM1573" s="866"/>
      <c r="EN1573" s="866"/>
      <c r="EO1573" s="866"/>
      <c r="EP1573" s="866"/>
      <c r="EQ1573" s="866"/>
      <c r="ER1573" s="866"/>
      <c r="ES1573" s="866"/>
      <c r="ET1573" s="866"/>
      <c r="EU1573" s="866"/>
      <c r="EV1573" s="866"/>
      <c r="EW1573" s="866"/>
      <c r="EX1573" s="866"/>
      <c r="EY1573" s="866"/>
      <c r="EZ1573" s="866"/>
      <c r="FA1573" s="866"/>
      <c r="FB1573" s="866"/>
      <c r="FC1573" s="866"/>
      <c r="FD1573" s="866"/>
      <c r="FE1573" s="866"/>
      <c r="FF1573" s="866"/>
      <c r="FG1573" s="866"/>
      <c r="FH1573" s="866"/>
      <c r="FI1573" s="866"/>
      <c r="FJ1573" s="866"/>
      <c r="FK1573" s="866"/>
      <c r="FL1573" s="866"/>
      <c r="FM1573" s="866"/>
      <c r="FN1573" s="866"/>
      <c r="FO1573" s="866"/>
      <c r="FP1573" s="866"/>
      <c r="FQ1573" s="866"/>
      <c r="FR1573" s="866"/>
      <c r="FS1573" s="866"/>
      <c r="FT1573" s="866"/>
      <c r="FU1573" s="866"/>
      <c r="FV1573" s="866"/>
      <c r="FW1573" s="866"/>
      <c r="FX1573" s="866"/>
      <c r="FY1573" s="866"/>
      <c r="FZ1573" s="866"/>
      <c r="GA1573" s="866"/>
      <c r="GB1573" s="866"/>
      <c r="GC1573" s="866"/>
      <c r="GD1573" s="866"/>
      <c r="GE1573" s="866"/>
      <c r="GF1573" s="866"/>
      <c r="GG1573" s="866"/>
      <c r="GH1573" s="866"/>
      <c r="GI1573" s="866"/>
      <c r="GJ1573" s="866"/>
      <c r="GK1573" s="866"/>
      <c r="GL1573" s="866"/>
      <c r="GM1573" s="866"/>
      <c r="GN1573" s="866"/>
      <c r="GO1573" s="866"/>
      <c r="GP1573" s="866"/>
      <c r="GQ1573" s="866"/>
      <c r="GR1573" s="866"/>
      <c r="GS1573" s="866"/>
      <c r="GT1573" s="866"/>
      <c r="GU1573" s="866"/>
      <c r="GV1573" s="866"/>
      <c r="GW1573" s="866"/>
      <c r="GX1573" s="866"/>
      <c r="GY1573" s="866"/>
      <c r="GZ1573" s="866"/>
      <c r="HA1573" s="866"/>
      <c r="HB1573" s="866"/>
      <c r="HC1573" s="866"/>
      <c r="HD1573" s="866"/>
      <c r="HE1573" s="866"/>
      <c r="HF1573" s="866"/>
      <c r="HG1573" s="866"/>
      <c r="HH1573" s="866"/>
      <c r="HI1573" s="866"/>
      <c r="HJ1573" s="866"/>
      <c r="HK1573" s="866"/>
      <c r="HL1573" s="866"/>
      <c r="HM1573" s="866"/>
      <c r="HN1573" s="866"/>
      <c r="HO1573" s="866"/>
      <c r="HP1573" s="866"/>
      <c r="HQ1573" s="866"/>
      <c r="HR1573" s="866"/>
      <c r="HS1573" s="866"/>
      <c r="HT1573" s="866"/>
      <c r="HU1573" s="866"/>
      <c r="HV1573" s="866"/>
      <c r="HW1573" s="866"/>
      <c r="HX1573" s="866"/>
      <c r="HY1573" s="866"/>
      <c r="HZ1573" s="866"/>
      <c r="IA1573" s="866"/>
      <c r="IB1573" s="866"/>
      <c r="IC1573" s="866"/>
      <c r="ID1573" s="866"/>
      <c r="IE1573" s="866"/>
      <c r="IF1573" s="866"/>
      <c r="IG1573" s="866"/>
      <c r="IH1573" s="866"/>
      <c r="II1573" s="866"/>
      <c r="IJ1573" s="866"/>
      <c r="IK1573" s="866"/>
      <c r="IL1573" s="866"/>
      <c r="IM1573" s="866"/>
      <c r="IN1573" s="866"/>
      <c r="IO1573" s="866"/>
      <c r="IP1573" s="866"/>
      <c r="IQ1573" s="866"/>
      <c r="IR1573" s="866"/>
      <c r="IS1573" s="866"/>
      <c r="IT1573" s="866"/>
      <c r="IU1573" s="866"/>
      <c r="IV1573" s="866"/>
      <c r="IW1573" s="866"/>
      <c r="IX1573" s="866"/>
      <c r="IY1573" s="866"/>
      <c r="IZ1573" s="866"/>
      <c r="JA1573" s="866"/>
      <c r="JB1573" s="866"/>
      <c r="JC1573" s="866"/>
      <c r="JD1573" s="866"/>
      <c r="JE1573" s="866"/>
      <c r="JF1573" s="866"/>
      <c r="JG1573" s="866"/>
      <c r="JH1573" s="866"/>
      <c r="JI1573" s="866"/>
      <c r="JJ1573" s="866"/>
      <c r="JK1573" s="866"/>
      <c r="JL1573" s="866"/>
      <c r="JM1573" s="866"/>
      <c r="JN1573" s="866"/>
      <c r="JO1573" s="866"/>
      <c r="JP1573" s="866"/>
      <c r="JQ1573" s="866"/>
      <c r="JR1573" s="866"/>
      <c r="JS1573" s="866"/>
      <c r="JT1573" s="866"/>
      <c r="JU1573" s="866"/>
      <c r="JV1573" s="866"/>
      <c r="JW1573" s="866"/>
      <c r="JX1573" s="866"/>
      <c r="JY1573" s="866"/>
      <c r="JZ1573" s="866"/>
      <c r="KA1573" s="866"/>
      <c r="KB1573" s="866"/>
      <c r="KC1573" s="866"/>
      <c r="KD1573" s="866"/>
      <c r="KE1573" s="866"/>
      <c r="KF1573" s="866"/>
      <c r="KG1573" s="866"/>
      <c r="KH1573" s="866"/>
      <c r="KI1573" s="866"/>
      <c r="KJ1573" s="866"/>
      <c r="KK1573" s="866"/>
      <c r="KL1573" s="866"/>
      <c r="KM1573" s="866"/>
      <c r="KN1573" s="866"/>
      <c r="KO1573" s="866"/>
      <c r="KP1573" s="866"/>
      <c r="KQ1573" s="866"/>
      <c r="KR1573" s="866"/>
      <c r="KS1573" s="866"/>
      <c r="KT1573" s="866"/>
      <c r="KU1573" s="866"/>
      <c r="KV1573" s="866"/>
      <c r="KW1573" s="866"/>
      <c r="KX1573" s="866"/>
      <c r="KY1573" s="866"/>
      <c r="KZ1573" s="866"/>
      <c r="LA1573" s="866"/>
      <c r="LB1573" s="866"/>
      <c r="LC1573" s="866"/>
      <c r="LD1573" s="866"/>
      <c r="LE1573" s="866"/>
      <c r="LF1573" s="866"/>
      <c r="LG1573" s="866"/>
      <c r="LH1573" s="866"/>
      <c r="LI1573" s="866"/>
      <c r="LJ1573" s="866"/>
      <c r="LK1573" s="866"/>
      <c r="LL1573" s="866"/>
      <c r="LM1573" s="866"/>
      <c r="LN1573" s="866"/>
      <c r="LO1573" s="866"/>
      <c r="LP1573" s="866"/>
      <c r="LQ1573" s="866"/>
      <c r="LR1573" s="866"/>
      <c r="LS1573" s="866"/>
      <c r="LT1573" s="866"/>
      <c r="LU1573" s="866"/>
      <c r="LV1573" s="866"/>
      <c r="LW1573" s="866"/>
      <c r="LX1573" s="866"/>
      <c r="LY1573" s="866"/>
      <c r="LZ1573" s="866"/>
      <c r="MA1573" s="866"/>
      <c r="MB1573" s="866"/>
      <c r="MC1573" s="866"/>
      <c r="MD1573" s="866"/>
      <c r="ME1573" s="866"/>
      <c r="MF1573" s="866"/>
      <c r="MG1573" s="866"/>
      <c r="MH1573" s="866"/>
      <c r="MI1573" s="866"/>
      <c r="MJ1573" s="866"/>
      <c r="MK1573" s="866"/>
      <c r="ML1573" s="866"/>
      <c r="MM1573" s="866"/>
      <c r="MN1573" s="866"/>
      <c r="MO1573" s="866"/>
      <c r="MP1573" s="866"/>
      <c r="MQ1573" s="866"/>
      <c r="MR1573" s="866"/>
      <c r="MS1573" s="866"/>
      <c r="MT1573" s="866"/>
      <c r="MU1573" s="866"/>
      <c r="MV1573" s="866"/>
      <c r="MW1573" s="866"/>
      <c r="MX1573" s="866"/>
      <c r="MY1573" s="866"/>
      <c r="MZ1573" s="866"/>
      <c r="NA1573" s="866"/>
      <c r="NB1573" s="866"/>
      <c r="NC1573" s="866"/>
      <c r="ND1573" s="866"/>
      <c r="NE1573" s="866"/>
      <c r="NF1573" s="866"/>
      <c r="NG1573" s="866"/>
      <c r="NH1573" s="866"/>
      <c r="NI1573" s="866"/>
      <c r="NJ1573" s="866"/>
      <c r="NK1573" s="866"/>
      <c r="NL1573" s="866"/>
      <c r="NM1573" s="866"/>
      <c r="NN1573" s="866"/>
      <c r="NO1573" s="866"/>
      <c r="NP1573" s="866"/>
      <c r="NQ1573" s="866"/>
      <c r="NR1573" s="866"/>
      <c r="NS1573" s="866"/>
      <c r="NT1573" s="866"/>
      <c r="NU1573" s="866"/>
      <c r="NV1573" s="866"/>
      <c r="NW1573" s="866"/>
      <c r="NX1573" s="866"/>
      <c r="NY1573" s="866"/>
      <c r="NZ1573" s="866"/>
      <c r="OA1573" s="866"/>
      <c r="OB1573" s="866"/>
      <c r="OC1573" s="866"/>
      <c r="OD1573" s="866"/>
      <c r="OE1573" s="866"/>
      <c r="OF1573" s="866"/>
      <c r="OG1573" s="866"/>
      <c r="OH1573" s="866"/>
      <c r="OI1573" s="866"/>
      <c r="OJ1573" s="866"/>
      <c r="OK1573" s="866"/>
      <c r="OL1573" s="866"/>
      <c r="OM1573" s="866"/>
      <c r="ON1573" s="866"/>
      <c r="OO1573" s="866"/>
      <c r="OP1573" s="866"/>
      <c r="OQ1573" s="866"/>
      <c r="OR1573" s="866"/>
      <c r="OS1573" s="866"/>
      <c r="OT1573" s="866"/>
      <c r="OU1573" s="866"/>
      <c r="OV1573" s="866"/>
      <c r="OW1573" s="866"/>
      <c r="OX1573" s="866"/>
      <c r="OY1573" s="866"/>
      <c r="OZ1573" s="866"/>
      <c r="PA1573" s="866"/>
      <c r="PB1573" s="866"/>
      <c r="PC1573" s="866"/>
      <c r="PD1573" s="866"/>
      <c r="PE1573" s="866"/>
      <c r="PF1573" s="866"/>
      <c r="PG1573" s="866"/>
      <c r="PH1573" s="866"/>
      <c r="PI1573" s="866"/>
      <c r="PJ1573" s="866"/>
      <c r="PK1573" s="866"/>
      <c r="PL1573" s="866"/>
      <c r="PM1573" s="866"/>
      <c r="PN1573" s="866"/>
      <c r="PO1573" s="866"/>
      <c r="PP1573" s="866"/>
      <c r="PQ1573" s="866"/>
      <c r="PR1573" s="866"/>
      <c r="PS1573" s="866"/>
      <c r="PT1573" s="866"/>
      <c r="PU1573" s="866"/>
      <c r="PV1573" s="866"/>
      <c r="PW1573" s="866"/>
      <c r="PX1573" s="866"/>
      <c r="PY1573" s="866"/>
      <c r="PZ1573" s="866"/>
      <c r="QA1573" s="866"/>
      <c r="QB1573" s="866"/>
      <c r="QC1573" s="866"/>
      <c r="QD1573" s="866"/>
      <c r="QE1573" s="866"/>
      <c r="QF1573" s="866"/>
      <c r="QG1573" s="866"/>
      <c r="QH1573" s="866"/>
      <c r="QI1573" s="866"/>
      <c r="QJ1573" s="866"/>
      <c r="QK1573" s="866"/>
      <c r="QL1573" s="866"/>
      <c r="QM1573" s="866"/>
      <c r="QN1573" s="866"/>
      <c r="QO1573" s="866"/>
      <c r="QP1573" s="866"/>
      <c r="QQ1573" s="866"/>
      <c r="QR1573" s="866"/>
      <c r="QS1573" s="866"/>
      <c r="QT1573" s="866"/>
      <c r="QU1573" s="866"/>
      <c r="QV1573" s="866"/>
      <c r="QW1573" s="866"/>
      <c r="QX1573" s="866"/>
      <c r="QY1573" s="866"/>
      <c r="QZ1573" s="866"/>
      <c r="RA1573" s="866"/>
      <c r="RB1573" s="866"/>
      <c r="RC1573" s="866"/>
      <c r="RD1573" s="866"/>
      <c r="RE1573" s="866"/>
      <c r="RF1573" s="866"/>
      <c r="RG1573" s="866"/>
      <c r="RH1573" s="866"/>
      <c r="RI1573" s="866"/>
      <c r="RJ1573" s="866"/>
      <c r="RK1573" s="866"/>
      <c r="RL1573" s="866"/>
      <c r="RM1573" s="866"/>
      <c r="RN1573" s="866"/>
      <c r="RO1573" s="866"/>
      <c r="RP1573" s="866"/>
      <c r="RQ1573" s="866"/>
      <c r="RR1573" s="866"/>
      <c r="RS1573" s="866"/>
      <c r="RT1573" s="866"/>
      <c r="RU1573" s="866"/>
      <c r="RV1573" s="866"/>
      <c r="RW1573" s="866"/>
      <c r="RX1573" s="866"/>
      <c r="RY1573" s="866"/>
      <c r="RZ1573" s="866"/>
      <c r="SA1573" s="866"/>
      <c r="SB1573" s="866"/>
      <c r="SC1573" s="866"/>
      <c r="SD1573" s="866"/>
      <c r="SE1573" s="866"/>
      <c r="SF1573" s="866"/>
      <c r="SG1573" s="866"/>
      <c r="SH1573" s="866"/>
      <c r="SI1573" s="866"/>
      <c r="SJ1573" s="866"/>
      <c r="SK1573" s="866"/>
      <c r="SL1573" s="866"/>
      <c r="SM1573" s="866"/>
      <c r="SN1573" s="866"/>
      <c r="SO1573" s="866"/>
      <c r="SP1573" s="866"/>
      <c r="SQ1573" s="866"/>
      <c r="SR1573" s="866"/>
      <c r="SS1573" s="866"/>
      <c r="ST1573" s="866"/>
      <c r="SU1573" s="866"/>
      <c r="SV1573" s="866"/>
      <c r="SW1573" s="866"/>
      <c r="SX1573" s="866"/>
      <c r="SY1573" s="866"/>
      <c r="SZ1573" s="866"/>
      <c r="TA1573" s="866"/>
      <c r="TB1573" s="866"/>
      <c r="TC1573" s="866"/>
      <c r="TD1573" s="866"/>
      <c r="TE1573" s="866"/>
      <c r="TF1573" s="866"/>
      <c r="TG1573" s="866"/>
      <c r="TH1573" s="866"/>
      <c r="TI1573" s="866"/>
      <c r="TJ1573" s="866"/>
      <c r="TK1573" s="866"/>
      <c r="TL1573" s="866"/>
      <c r="TM1573" s="866"/>
      <c r="TN1573" s="866"/>
      <c r="TO1573" s="866"/>
      <c r="TP1573" s="866"/>
      <c r="TQ1573" s="866"/>
      <c r="TR1573" s="866"/>
      <c r="TS1573" s="866"/>
      <c r="TT1573" s="866"/>
      <c r="TU1573" s="866"/>
      <c r="TV1573" s="866"/>
      <c r="TW1573" s="866"/>
      <c r="TX1573" s="866"/>
      <c r="TY1573" s="866"/>
      <c r="TZ1573" s="866"/>
      <c r="UA1573" s="866"/>
      <c r="UB1573" s="866"/>
      <c r="UC1573" s="866"/>
      <c r="UD1573" s="866"/>
      <c r="UE1573" s="866"/>
      <c r="UF1573" s="866"/>
      <c r="UG1573" s="866"/>
      <c r="UH1573" s="866"/>
      <c r="UI1573" s="866"/>
      <c r="UJ1573" s="866"/>
      <c r="UK1573" s="866"/>
      <c r="UL1573" s="866"/>
      <c r="UM1573" s="866"/>
      <c r="UN1573" s="866"/>
      <c r="UO1573" s="866"/>
      <c r="UP1573" s="866"/>
      <c r="UQ1573" s="866"/>
      <c r="UR1573" s="866"/>
      <c r="US1573" s="866"/>
      <c r="UT1573" s="866"/>
      <c r="UU1573" s="866"/>
      <c r="UV1573" s="866"/>
      <c r="UW1573" s="866"/>
      <c r="UX1573" s="866"/>
      <c r="UY1573" s="866"/>
      <c r="UZ1573" s="866"/>
      <c r="VA1573" s="866"/>
      <c r="VB1573" s="866"/>
      <c r="VC1573" s="866"/>
      <c r="VD1573" s="866"/>
      <c r="VE1573" s="866"/>
      <c r="VF1573" s="866"/>
      <c r="VG1573" s="866"/>
      <c r="VH1573" s="866"/>
      <c r="VI1573" s="866"/>
      <c r="VJ1573" s="866"/>
      <c r="VK1573" s="866"/>
      <c r="VL1573" s="866"/>
      <c r="VM1573" s="866"/>
      <c r="VN1573" s="866"/>
      <c r="VO1573" s="866"/>
      <c r="VP1573" s="866"/>
      <c r="VQ1573" s="866"/>
      <c r="VR1573" s="866"/>
      <c r="VS1573" s="866"/>
      <c r="VT1573" s="866"/>
      <c r="VU1573" s="866"/>
      <c r="VV1573" s="866"/>
      <c r="VW1573" s="866"/>
      <c r="VX1573" s="866"/>
      <c r="VY1573" s="866"/>
      <c r="VZ1573" s="866"/>
      <c r="WA1573" s="866"/>
      <c r="WB1573" s="866"/>
      <c r="WC1573" s="866"/>
      <c r="WD1573" s="866"/>
      <c r="WE1573" s="866"/>
      <c r="WF1573" s="866"/>
      <c r="WG1573" s="866"/>
      <c r="WH1573" s="866"/>
      <c r="WI1573" s="866"/>
      <c r="WJ1573" s="866"/>
      <c r="WK1573" s="866"/>
      <c r="WL1573" s="866"/>
      <c r="WM1573" s="866"/>
      <c r="WN1573" s="866"/>
      <c r="WO1573" s="866"/>
      <c r="WP1573" s="866"/>
      <c r="WQ1573" s="866"/>
      <c r="WR1573" s="866"/>
      <c r="WS1573" s="866"/>
      <c r="WT1573" s="866"/>
      <c r="WU1573" s="866"/>
      <c r="WV1573" s="866"/>
      <c r="WW1573" s="866"/>
      <c r="WX1573" s="866"/>
      <c r="WY1573" s="866"/>
      <c r="WZ1573" s="866"/>
      <c r="XA1573" s="866"/>
      <c r="XB1573" s="866"/>
      <c r="XC1573" s="866"/>
      <c r="XD1573" s="866"/>
      <c r="XE1573" s="866"/>
      <c r="XF1573" s="866"/>
      <c r="XG1573" s="866"/>
      <c r="XH1573" s="866"/>
      <c r="XI1573" s="866"/>
      <c r="XJ1573" s="866"/>
      <c r="XK1573" s="866"/>
      <c r="XL1573" s="866"/>
      <c r="XM1573" s="866"/>
      <c r="XN1573" s="866"/>
      <c r="XO1573" s="866"/>
      <c r="XP1573" s="866"/>
      <c r="XQ1573" s="866"/>
      <c r="XR1573" s="866"/>
      <c r="XS1573" s="866"/>
      <c r="XT1573" s="866"/>
      <c r="XU1573" s="866"/>
      <c r="XV1573" s="866"/>
      <c r="XW1573" s="866"/>
      <c r="XX1573" s="866"/>
      <c r="XY1573" s="866"/>
      <c r="XZ1573" s="866"/>
      <c r="YA1573" s="866"/>
      <c r="YB1573" s="866"/>
      <c r="YC1573" s="866"/>
      <c r="YD1573" s="866"/>
      <c r="YE1573" s="866"/>
      <c r="YF1573" s="866"/>
      <c r="YG1573" s="866"/>
      <c r="YH1573" s="866"/>
      <c r="YI1573" s="866"/>
      <c r="YJ1573" s="866"/>
      <c r="YK1573" s="866"/>
      <c r="YL1573" s="866"/>
      <c r="YM1573" s="866"/>
      <c r="YN1573" s="866"/>
      <c r="YO1573" s="866"/>
      <c r="YP1573" s="866"/>
      <c r="YQ1573" s="866"/>
      <c r="YR1573" s="866"/>
      <c r="YS1573" s="866"/>
      <c r="YT1573" s="866"/>
      <c r="YU1573" s="866"/>
      <c r="YV1573" s="866"/>
      <c r="YW1573" s="866"/>
      <c r="YX1573" s="866"/>
      <c r="YY1573" s="866"/>
      <c r="YZ1573" s="866"/>
      <c r="ZA1573" s="866"/>
      <c r="ZB1573" s="866"/>
      <c r="ZC1573" s="866"/>
      <c r="ZD1573" s="866"/>
      <c r="ZE1573" s="866"/>
      <c r="ZF1573" s="866"/>
      <c r="ZG1573" s="866"/>
      <c r="ZH1573" s="866"/>
      <c r="ZI1573" s="866"/>
      <c r="ZJ1573" s="866"/>
      <c r="ZK1573" s="866"/>
      <c r="ZL1573" s="866"/>
      <c r="ZM1573" s="866"/>
      <c r="ZN1573" s="866"/>
      <c r="ZO1573" s="866"/>
      <c r="ZP1573" s="866"/>
      <c r="ZQ1573" s="866"/>
      <c r="ZR1573" s="866"/>
      <c r="ZS1573" s="866"/>
      <c r="ZT1573" s="866"/>
      <c r="ZU1573" s="866"/>
      <c r="ZV1573" s="866"/>
      <c r="ZW1573" s="866"/>
      <c r="ZX1573" s="866"/>
      <c r="ZY1573" s="866"/>
      <c r="ZZ1573" s="866"/>
      <c r="AAA1573" s="866"/>
      <c r="AAB1573" s="866"/>
      <c r="AAC1573" s="866"/>
      <c r="AAD1573" s="866"/>
      <c r="AAE1573" s="866"/>
      <c r="AAF1573" s="866"/>
      <c r="AAG1573" s="866"/>
      <c r="AAH1573" s="866"/>
      <c r="AAI1573" s="866"/>
      <c r="AAJ1573" s="866"/>
      <c r="AAK1573" s="866"/>
      <c r="AAL1573" s="866"/>
      <c r="AAM1573" s="866"/>
      <c r="AAN1573" s="866"/>
      <c r="AAO1573" s="866"/>
      <c r="AAP1573" s="866"/>
      <c r="AAQ1573" s="866"/>
      <c r="AAR1573" s="866"/>
      <c r="AAS1573" s="866"/>
      <c r="AAT1573" s="866"/>
      <c r="AAU1573" s="866"/>
      <c r="AAV1573" s="866"/>
      <c r="AAW1573" s="866"/>
      <c r="AAX1573" s="866"/>
      <c r="AAY1573" s="866"/>
      <c r="AAZ1573" s="866"/>
      <c r="ABA1573" s="866"/>
      <c r="ABB1573" s="866"/>
      <c r="ABC1573" s="866"/>
      <c r="ABD1573" s="866"/>
      <c r="ABE1573" s="866"/>
      <c r="ABF1573" s="866"/>
      <c r="ABG1573" s="866"/>
      <c r="ABH1573" s="866"/>
      <c r="ABI1573" s="866"/>
      <c r="ABJ1573" s="866"/>
      <c r="ABK1573" s="866"/>
      <c r="ABL1573" s="866"/>
      <c r="ABM1573" s="866"/>
      <c r="ABN1573" s="866"/>
      <c r="ABO1573" s="866"/>
      <c r="ABP1573" s="866"/>
      <c r="ABQ1573" s="866"/>
      <c r="ABR1573" s="866"/>
      <c r="ABS1573" s="866"/>
      <c r="ABT1573" s="866"/>
      <c r="ABU1573" s="866"/>
      <c r="ABV1573" s="866"/>
      <c r="ABW1573" s="866"/>
      <c r="ABX1573" s="866"/>
      <c r="ABY1573" s="866"/>
      <c r="ABZ1573" s="866"/>
      <c r="ACA1573" s="866"/>
      <c r="ACB1573" s="866"/>
      <c r="ACC1573" s="866"/>
      <c r="ACD1573" s="866"/>
      <c r="ACE1573" s="866"/>
      <c r="ACF1573" s="866"/>
      <c r="ACG1573" s="866"/>
      <c r="ACH1573" s="866"/>
      <c r="ACI1573" s="866"/>
      <c r="ACJ1573" s="866"/>
      <c r="ACK1573" s="866"/>
      <c r="ACL1573" s="866"/>
      <c r="ACM1573" s="866"/>
      <c r="ACN1573" s="866"/>
      <c r="ACO1573" s="866"/>
      <c r="ACP1573" s="866"/>
      <c r="ACQ1573" s="866"/>
      <c r="ACR1573" s="866"/>
      <c r="ACS1573" s="866"/>
      <c r="ACT1573" s="866"/>
      <c r="ACU1573" s="866"/>
      <c r="ACV1573" s="866"/>
      <c r="ACW1573" s="866"/>
      <c r="ACX1573" s="866"/>
      <c r="ACY1573" s="866"/>
      <c r="ACZ1573" s="866"/>
      <c r="ADA1573" s="866"/>
      <c r="ADB1573" s="866"/>
      <c r="ADC1573" s="866"/>
      <c r="ADD1573" s="866"/>
      <c r="ADE1573" s="866"/>
      <c r="ADF1573" s="866"/>
      <c r="ADG1573" s="866"/>
      <c r="ADH1573" s="866"/>
      <c r="ADI1573" s="866"/>
      <c r="ADJ1573" s="866"/>
      <c r="ADK1573" s="866"/>
      <c r="ADL1573" s="866"/>
      <c r="ADM1573" s="866"/>
      <c r="ADN1573" s="866"/>
      <c r="ADO1573" s="866"/>
      <c r="ADP1573" s="866"/>
      <c r="ADQ1573" s="866"/>
      <c r="ADR1573" s="866"/>
      <c r="ADS1573" s="866"/>
      <c r="ADT1573" s="866"/>
      <c r="ADU1573" s="866"/>
      <c r="ADV1573" s="866"/>
      <c r="ADW1573" s="866"/>
      <c r="ADX1573" s="866"/>
      <c r="ADY1573" s="866"/>
      <c r="ADZ1573" s="866"/>
      <c r="AEA1573" s="866"/>
      <c r="AEB1573" s="866"/>
      <c r="AEC1573" s="866"/>
      <c r="AED1573" s="866"/>
      <c r="AEE1573" s="866"/>
      <c r="AEF1573" s="866"/>
      <c r="AEG1573" s="866"/>
      <c r="AEH1573" s="866"/>
      <c r="AEI1573" s="866"/>
      <c r="AEJ1573" s="866"/>
      <c r="AEK1573" s="866"/>
      <c r="AEL1573" s="866"/>
      <c r="AEM1573" s="866"/>
      <c r="AEN1573" s="866"/>
      <c r="AEO1573" s="866"/>
      <c r="AEP1573" s="866"/>
      <c r="AEQ1573" s="866"/>
      <c r="AER1573" s="866"/>
      <c r="AES1573" s="866"/>
      <c r="AET1573" s="866"/>
      <c r="AEU1573" s="866"/>
      <c r="AEV1573" s="866"/>
      <c r="AEW1573" s="866"/>
      <c r="AEX1573" s="866"/>
      <c r="AEY1573" s="866"/>
      <c r="AEZ1573" s="866"/>
      <c r="AFA1573" s="866"/>
      <c r="AFB1573" s="866"/>
      <c r="AFC1573" s="866"/>
      <c r="AFD1573" s="866"/>
      <c r="AFE1573" s="866"/>
      <c r="AFF1573" s="866"/>
      <c r="AFG1573" s="866"/>
      <c r="AFH1573" s="866"/>
      <c r="AFI1573" s="866"/>
      <c r="AFJ1573" s="866"/>
      <c r="AFK1573" s="866"/>
      <c r="AFL1573" s="866"/>
      <c r="AFM1573" s="866"/>
      <c r="AFN1573" s="866"/>
      <c r="AFO1573" s="866"/>
      <c r="AFP1573" s="866"/>
      <c r="AFQ1573" s="866"/>
      <c r="AFR1573" s="866"/>
      <c r="AFS1573" s="866"/>
      <c r="AFT1573" s="866"/>
      <c r="AFU1573" s="866"/>
      <c r="AFV1573" s="866"/>
      <c r="AFW1573" s="866"/>
      <c r="AFX1573" s="866"/>
      <c r="AFY1573" s="866"/>
      <c r="AFZ1573" s="866"/>
      <c r="AGA1573" s="866"/>
      <c r="AGB1573" s="866"/>
      <c r="AGC1573" s="866"/>
      <c r="AGD1573" s="866"/>
      <c r="AGE1573" s="866"/>
      <c r="AGF1573" s="866"/>
      <c r="AGG1573" s="866"/>
      <c r="AGH1573" s="866"/>
      <c r="AGI1573" s="866"/>
      <c r="AGJ1573" s="866"/>
      <c r="AGK1573" s="866"/>
      <c r="AGL1573" s="866"/>
      <c r="AGM1573" s="866"/>
      <c r="AGN1573" s="866"/>
      <c r="AGO1573" s="866"/>
      <c r="AGP1573" s="866"/>
      <c r="AGQ1573" s="866"/>
      <c r="AGR1573" s="866"/>
      <c r="AGS1573" s="866"/>
      <c r="AGT1573" s="866"/>
      <c r="AGU1573" s="866"/>
      <c r="AGV1573" s="866"/>
      <c r="AGW1573" s="866"/>
      <c r="AGX1573" s="866"/>
      <c r="AGY1573" s="866"/>
      <c r="AGZ1573" s="866"/>
      <c r="AHA1573" s="866"/>
      <c r="AHB1573" s="866"/>
      <c r="AHC1573" s="866"/>
      <c r="AHD1573" s="866"/>
      <c r="AHE1573" s="866"/>
      <c r="AHF1573" s="866"/>
      <c r="AHG1573" s="866"/>
      <c r="AHH1573" s="866"/>
      <c r="AHI1573" s="866"/>
      <c r="AHJ1573" s="866"/>
      <c r="AHK1573" s="866"/>
      <c r="AHL1573" s="866"/>
      <c r="AHM1573" s="866"/>
      <c r="AHN1573" s="866"/>
      <c r="AHO1573" s="866"/>
      <c r="AHP1573" s="866"/>
      <c r="AHQ1573" s="866"/>
      <c r="AHR1573" s="866"/>
      <c r="AHS1573" s="866"/>
      <c r="AHT1573" s="866"/>
      <c r="AHU1573" s="866"/>
      <c r="AHV1573" s="866"/>
      <c r="AHW1573" s="866"/>
      <c r="AHX1573" s="866"/>
      <c r="AHY1573" s="866"/>
      <c r="AHZ1573" s="866"/>
      <c r="AIA1573" s="866"/>
      <c r="AIB1573" s="866"/>
      <c r="AIC1573" s="866"/>
      <c r="AID1573" s="866"/>
      <c r="AIE1573" s="866"/>
      <c r="AIF1573" s="866"/>
      <c r="AIG1573" s="866"/>
      <c r="AIH1573" s="866"/>
      <c r="AII1573" s="866"/>
      <c r="AIJ1573" s="866"/>
      <c r="AIK1573" s="866"/>
      <c r="AIL1573" s="866"/>
      <c r="AIM1573" s="866"/>
      <c r="AIN1573" s="866"/>
      <c r="AIO1573" s="866"/>
      <c r="AIP1573" s="866"/>
      <c r="AIQ1573" s="866"/>
      <c r="AIR1573" s="866"/>
      <c r="AIS1573" s="866"/>
      <c r="AIT1573" s="866"/>
      <c r="AIU1573" s="866"/>
      <c r="AIV1573" s="866"/>
      <c r="AIW1573" s="866"/>
      <c r="AIX1573" s="866"/>
      <c r="AIY1573" s="866"/>
      <c r="AIZ1573" s="866"/>
      <c r="AJA1573" s="866"/>
      <c r="AJB1573" s="866"/>
      <c r="AJC1573" s="866"/>
      <c r="AJD1573" s="866"/>
      <c r="AJE1573" s="866"/>
      <c r="AJF1573" s="866"/>
      <c r="AJG1573" s="866"/>
      <c r="AJH1573" s="866"/>
      <c r="AJI1573" s="866"/>
      <c r="AJJ1573" s="866"/>
      <c r="AJK1573" s="866"/>
      <c r="AJL1573" s="866"/>
      <c r="AJM1573" s="866"/>
      <c r="AJN1573" s="866"/>
      <c r="AJO1573" s="866"/>
      <c r="AJP1573" s="866"/>
      <c r="AJQ1573" s="866"/>
      <c r="AJR1573" s="866"/>
      <c r="AJS1573" s="866"/>
      <c r="AJT1573" s="866"/>
      <c r="AJU1573" s="866"/>
      <c r="AJV1573" s="866"/>
      <c r="AJW1573" s="866"/>
      <c r="AJX1573" s="866"/>
      <c r="AJY1573" s="866"/>
      <c r="AJZ1573" s="866"/>
      <c r="AKA1573" s="866"/>
      <c r="AKB1573" s="866"/>
      <c r="AKC1573" s="866"/>
      <c r="AKD1573" s="866"/>
      <c r="AKE1573" s="866"/>
      <c r="AKF1573" s="866"/>
      <c r="AKG1573" s="866"/>
      <c r="AKH1573" s="866"/>
      <c r="AKI1573" s="866"/>
      <c r="AKJ1573" s="866"/>
      <c r="AKK1573" s="866"/>
      <c r="AKL1573" s="866"/>
      <c r="AKM1573" s="866"/>
      <c r="AKN1573" s="866"/>
      <c r="AKO1573" s="866"/>
      <c r="AKP1573" s="866"/>
      <c r="AKQ1573" s="866"/>
      <c r="AKR1573" s="866"/>
      <c r="AKS1573" s="866"/>
      <c r="AKT1573" s="866"/>
      <c r="AKU1573" s="866"/>
      <c r="AKV1573" s="866"/>
      <c r="AKW1573" s="866"/>
      <c r="AKX1573" s="866"/>
      <c r="AKY1573" s="866"/>
      <c r="AKZ1573" s="866"/>
      <c r="ALA1573" s="866"/>
      <c r="ALB1573" s="866"/>
      <c r="ALC1573" s="866"/>
      <c r="ALD1573" s="866"/>
      <c r="ALE1573" s="866"/>
      <c r="ALF1573" s="866"/>
      <c r="ALG1573" s="866"/>
      <c r="ALH1573" s="866"/>
      <c r="ALI1573" s="866"/>
      <c r="ALJ1573" s="866"/>
      <c r="ALK1573" s="866"/>
      <c r="ALL1573" s="866"/>
      <c r="ALM1573" s="866"/>
      <c r="ALN1573" s="866"/>
      <c r="ALO1573" s="866"/>
      <c r="ALP1573" s="866"/>
      <c r="ALQ1573" s="866"/>
      <c r="ALR1573" s="866"/>
      <c r="ALS1573" s="866"/>
      <c r="ALT1573" s="866"/>
      <c r="ALU1573" s="866"/>
      <c r="ALV1573" s="866"/>
      <c r="ALW1573" s="866"/>
      <c r="ALX1573" s="866"/>
      <c r="ALY1573" s="866"/>
      <c r="ALZ1573" s="866"/>
      <c r="AMA1573" s="866"/>
      <c r="AMB1573" s="866"/>
      <c r="AMC1573" s="866"/>
      <c r="AMD1573" s="866"/>
      <c r="AME1573" s="866"/>
      <c r="AMF1573" s="866"/>
      <c r="AMG1573" s="866"/>
      <c r="AMH1573" s="866"/>
      <c r="AMI1573" s="866"/>
      <c r="AMJ1573" s="866"/>
      <c r="AMK1573" s="866"/>
      <c r="AML1573" s="866"/>
      <c r="AMM1573" s="866"/>
      <c r="AMN1573" s="866"/>
      <c r="AMO1573" s="866"/>
      <c r="AMP1573" s="866"/>
      <c r="AMQ1573" s="866"/>
      <c r="AMR1573" s="866"/>
      <c r="AMS1573" s="866"/>
      <c r="AMT1573" s="866"/>
      <c r="AMU1573" s="866"/>
      <c r="AMV1573" s="866"/>
      <c r="AMW1573" s="866"/>
      <c r="AMX1573" s="866"/>
      <c r="AMY1573" s="866"/>
      <c r="AMZ1573" s="866"/>
      <c r="ANA1573" s="866"/>
      <c r="ANB1573" s="866"/>
      <c r="ANC1573" s="866"/>
      <c r="AND1573" s="866"/>
      <c r="ANE1573" s="866"/>
      <c r="ANF1573" s="866"/>
      <c r="ANG1573" s="866"/>
      <c r="ANH1573" s="866"/>
      <c r="ANI1573" s="866"/>
      <c r="ANJ1573" s="866"/>
      <c r="ANK1573" s="866"/>
      <c r="ANL1573" s="866"/>
      <c r="ANM1573" s="866"/>
      <c r="ANN1573" s="866"/>
      <c r="ANO1573" s="866"/>
      <c r="ANP1573" s="866"/>
      <c r="ANQ1573" s="866"/>
      <c r="ANR1573" s="866"/>
      <c r="ANS1573" s="866"/>
      <c r="ANT1573" s="866"/>
      <c r="ANU1573" s="866"/>
      <c r="ANV1573" s="866"/>
      <c r="ANW1573" s="866"/>
      <c r="ANX1573" s="866"/>
      <c r="ANY1573" s="866"/>
      <c r="ANZ1573" s="866"/>
      <c r="AOA1573" s="866"/>
      <c r="AOB1573" s="866"/>
      <c r="AOC1573" s="866"/>
      <c r="AOD1573" s="866"/>
      <c r="AOE1573" s="866"/>
      <c r="AOF1573" s="866"/>
      <c r="AOG1573" s="866"/>
      <c r="AOH1573" s="866"/>
      <c r="AOI1573" s="866"/>
      <c r="AOJ1573" s="866"/>
      <c r="AOK1573" s="866"/>
      <c r="AOL1573" s="866"/>
      <c r="AOM1573" s="866"/>
      <c r="AON1573" s="866"/>
      <c r="AOO1573" s="866"/>
      <c r="AOP1573" s="866"/>
      <c r="AOQ1573" s="866"/>
      <c r="AOR1573" s="866"/>
      <c r="AOS1573" s="866"/>
      <c r="AOT1573" s="866"/>
      <c r="AOU1573" s="866"/>
      <c r="AOV1573" s="866"/>
      <c r="AOW1573" s="866"/>
      <c r="AOX1573" s="866"/>
      <c r="AOY1573" s="866"/>
      <c r="AOZ1573" s="866"/>
      <c r="APA1573" s="866"/>
      <c r="APB1573" s="866"/>
      <c r="APC1573" s="866"/>
      <c r="APD1573" s="866"/>
      <c r="APE1573" s="866"/>
      <c r="APF1573" s="866"/>
      <c r="APG1573" s="866"/>
      <c r="APH1573" s="866"/>
      <c r="API1573" s="866"/>
      <c r="APJ1573" s="866"/>
      <c r="APK1573" s="866"/>
      <c r="APL1573" s="866"/>
      <c r="APM1573" s="866"/>
      <c r="APN1573" s="866"/>
      <c r="APO1573" s="866"/>
      <c r="APP1573" s="866"/>
      <c r="APQ1573" s="866"/>
      <c r="APR1573" s="866"/>
      <c r="APS1573" s="866"/>
      <c r="APT1573" s="866"/>
      <c r="APU1573" s="866"/>
      <c r="APV1573" s="866"/>
      <c r="APW1573" s="866"/>
      <c r="APX1573" s="866"/>
      <c r="APY1573" s="866"/>
      <c r="APZ1573" s="866"/>
      <c r="AQA1573" s="866"/>
      <c r="AQB1573" s="866"/>
      <c r="AQC1573" s="866"/>
      <c r="AQD1573" s="866"/>
      <c r="AQE1573" s="866"/>
      <c r="AQF1573" s="866"/>
      <c r="AQG1573" s="866"/>
      <c r="AQH1573" s="866"/>
      <c r="AQI1573" s="866"/>
      <c r="AQJ1573" s="866"/>
      <c r="AQK1573" s="866"/>
      <c r="AQL1573" s="866"/>
      <c r="AQM1573" s="866"/>
      <c r="AQN1573" s="866"/>
      <c r="AQO1573" s="866"/>
      <c r="AQP1573" s="866"/>
      <c r="AQQ1573" s="866"/>
      <c r="AQR1573" s="866"/>
      <c r="AQS1573" s="866"/>
      <c r="AQT1573" s="866"/>
      <c r="AQU1573" s="866"/>
      <c r="AQV1573" s="866"/>
      <c r="AQW1573" s="866"/>
      <c r="AQX1573" s="866"/>
      <c r="AQY1573" s="866"/>
      <c r="AQZ1573" s="866"/>
      <c r="ARA1573" s="866"/>
      <c r="ARB1573" s="866"/>
      <c r="ARC1573" s="866"/>
      <c r="ARD1573" s="866"/>
      <c r="ARE1573" s="866"/>
      <c r="ARF1573" s="866"/>
      <c r="ARG1573" s="866"/>
      <c r="ARH1573" s="866"/>
      <c r="ARI1573" s="866"/>
      <c r="ARJ1573" s="866"/>
      <c r="ARK1573" s="866"/>
      <c r="ARL1573" s="866"/>
      <c r="ARM1573" s="866"/>
      <c r="ARN1573" s="866"/>
      <c r="ARO1573" s="866"/>
      <c r="ARP1573" s="866"/>
      <c r="ARQ1573" s="866"/>
      <c r="ARR1573" s="866"/>
      <c r="ARS1573" s="866"/>
      <c r="ART1573" s="866"/>
      <c r="ARU1573" s="866"/>
      <c r="ARV1573" s="866"/>
      <c r="ARW1573" s="866"/>
      <c r="ARX1573" s="866"/>
      <c r="ARY1573" s="866"/>
      <c r="ARZ1573" s="866"/>
      <c r="ASA1573" s="866"/>
      <c r="ASB1573" s="866"/>
      <c r="ASC1573" s="866"/>
      <c r="ASD1573" s="866"/>
      <c r="ASE1573" s="866"/>
      <c r="ASF1573" s="866"/>
      <c r="ASG1573" s="866"/>
      <c r="ASH1573" s="866"/>
      <c r="ASI1573" s="866"/>
      <c r="ASJ1573" s="866"/>
      <c r="ASK1573" s="866"/>
      <c r="ASL1573" s="866"/>
      <c r="ASM1573" s="866"/>
      <c r="ASN1573" s="866"/>
      <c r="ASO1573" s="866"/>
      <c r="ASP1573" s="866"/>
      <c r="ASQ1573" s="866"/>
      <c r="ASR1573" s="866"/>
      <c r="ASS1573" s="866"/>
      <c r="AST1573" s="866"/>
      <c r="ASU1573" s="866"/>
      <c r="ASV1573" s="866"/>
      <c r="ASW1573" s="866"/>
      <c r="ASX1573" s="866"/>
      <c r="ASY1573" s="866"/>
      <c r="ASZ1573" s="866"/>
      <c r="ATA1573" s="866"/>
      <c r="ATB1573" s="866"/>
      <c r="ATC1573" s="866"/>
      <c r="ATD1573" s="866"/>
      <c r="ATE1573" s="866"/>
      <c r="ATF1573" s="866"/>
      <c r="ATG1573" s="866"/>
      <c r="ATH1573" s="866"/>
      <c r="ATI1573" s="866"/>
      <c r="ATJ1573" s="866"/>
      <c r="ATK1573" s="866"/>
      <c r="ATL1573" s="866"/>
      <c r="ATM1573" s="866"/>
      <c r="ATN1573" s="866"/>
      <c r="ATO1573" s="866"/>
      <c r="ATP1573" s="866"/>
      <c r="ATQ1573" s="866"/>
      <c r="ATR1573" s="866"/>
      <c r="ATS1573" s="866"/>
      <c r="ATT1573" s="866"/>
      <c r="ATU1573" s="866"/>
      <c r="ATV1573" s="866"/>
      <c r="ATW1573" s="866"/>
      <c r="ATX1573" s="866"/>
      <c r="ATY1573" s="866"/>
      <c r="ATZ1573" s="866"/>
      <c r="AUA1573" s="866"/>
      <c r="AUB1573" s="866"/>
      <c r="AUC1573" s="866"/>
      <c r="AUD1573" s="866"/>
      <c r="AUE1573" s="866"/>
      <c r="AUF1573" s="866"/>
      <c r="AUG1573" s="866"/>
      <c r="AUH1573" s="866"/>
      <c r="AUI1573" s="866"/>
      <c r="AUJ1573" s="866"/>
      <c r="AUK1573" s="866"/>
      <c r="AUL1573" s="866"/>
      <c r="AUM1573" s="866"/>
      <c r="AUN1573" s="866"/>
      <c r="AUO1573" s="866"/>
      <c r="AUP1573" s="866"/>
      <c r="AUQ1573" s="866"/>
      <c r="AUR1573" s="866"/>
      <c r="AUS1573" s="866"/>
      <c r="AUT1573" s="866"/>
      <c r="AUU1573" s="866"/>
      <c r="AUV1573" s="866"/>
      <c r="AUW1573" s="866"/>
      <c r="AUX1573" s="866"/>
      <c r="AUY1573" s="866"/>
      <c r="AUZ1573" s="866"/>
      <c r="AVA1573" s="866"/>
      <c r="AVB1573" s="866"/>
      <c r="AVC1573" s="866"/>
      <c r="AVD1573" s="866"/>
      <c r="AVE1573" s="866"/>
      <c r="AVF1573" s="866"/>
      <c r="AVG1573" s="866"/>
      <c r="AVH1573" s="866"/>
      <c r="AVI1573" s="866"/>
      <c r="AVJ1573" s="866"/>
      <c r="AVK1573" s="866"/>
      <c r="AVL1573" s="866"/>
      <c r="AVM1573" s="866"/>
      <c r="AVN1573" s="866"/>
      <c r="AVO1573" s="866"/>
      <c r="AVP1573" s="866"/>
      <c r="AVQ1573" s="866"/>
      <c r="AVR1573" s="866"/>
      <c r="AVS1573" s="866"/>
      <c r="AVT1573" s="866"/>
      <c r="AVU1573" s="866"/>
      <c r="AVV1573" s="866"/>
      <c r="AVW1573" s="866"/>
      <c r="AVX1573" s="866"/>
      <c r="AVY1573" s="866"/>
      <c r="AVZ1573" s="866"/>
      <c r="AWA1573" s="866"/>
      <c r="AWB1573" s="866"/>
      <c r="AWC1573" s="866"/>
      <c r="AWD1573" s="866"/>
      <c r="AWE1573" s="866"/>
      <c r="AWF1573" s="866"/>
      <c r="AWG1573" s="866"/>
      <c r="AWH1573" s="866"/>
      <c r="AWI1573" s="866"/>
      <c r="AWJ1573" s="866"/>
      <c r="AWK1573" s="866"/>
      <c r="AWL1573" s="866"/>
      <c r="AWM1573" s="866"/>
      <c r="AWN1573" s="866"/>
      <c r="AWO1573" s="866"/>
      <c r="AWP1573" s="866"/>
      <c r="AWQ1573" s="866"/>
      <c r="AWR1573" s="866"/>
      <c r="AWS1573" s="866"/>
      <c r="AWT1573" s="866"/>
      <c r="AWU1573" s="866"/>
      <c r="AWV1573" s="866"/>
      <c r="AWW1573" s="866"/>
      <c r="AWX1573" s="866"/>
      <c r="AWY1573" s="866"/>
      <c r="AWZ1573" s="866"/>
      <c r="AXA1573" s="866"/>
      <c r="AXB1573" s="866"/>
      <c r="AXC1573" s="866"/>
      <c r="AXD1573" s="866"/>
      <c r="AXE1573" s="866"/>
      <c r="AXF1573" s="866"/>
      <c r="AXG1573" s="866"/>
      <c r="AXH1573" s="866"/>
      <c r="AXI1573" s="866"/>
      <c r="AXJ1573" s="866"/>
      <c r="AXK1573" s="866"/>
      <c r="AXL1573" s="866"/>
      <c r="AXM1573" s="866"/>
      <c r="AXN1573" s="866"/>
      <c r="AXO1573" s="866"/>
      <c r="AXP1573" s="866"/>
      <c r="AXQ1573" s="866"/>
      <c r="AXR1573" s="866"/>
      <c r="AXS1573" s="866"/>
      <c r="AXT1573" s="866"/>
      <c r="AXU1573" s="866"/>
      <c r="AXV1573" s="866"/>
      <c r="AXW1573" s="866"/>
      <c r="AXX1573" s="866"/>
      <c r="AXY1573" s="866"/>
      <c r="AXZ1573" s="866"/>
      <c r="AYA1573" s="866"/>
      <c r="AYB1573" s="866"/>
      <c r="AYC1573" s="866"/>
      <c r="AYD1573" s="866"/>
      <c r="AYE1573" s="866"/>
      <c r="AYF1573" s="866"/>
      <c r="AYG1573" s="866"/>
      <c r="AYH1573" s="866"/>
      <c r="AYI1573" s="866"/>
      <c r="AYJ1573" s="866"/>
      <c r="AYK1573" s="866"/>
      <c r="AYL1573" s="866"/>
      <c r="AYM1573" s="866"/>
      <c r="AYN1573" s="866"/>
      <c r="AYO1573" s="866"/>
      <c r="AYP1573" s="866"/>
      <c r="AYQ1573" s="866"/>
      <c r="AYR1573" s="866"/>
      <c r="AYS1573" s="866"/>
      <c r="AYT1573" s="866"/>
      <c r="AYU1573" s="866"/>
      <c r="AYV1573" s="866"/>
      <c r="AYW1573" s="866"/>
      <c r="AYX1573" s="866"/>
      <c r="AYY1573" s="866"/>
      <c r="AYZ1573" s="866"/>
      <c r="AZA1573" s="866"/>
      <c r="AZB1573" s="866"/>
      <c r="AZC1573" s="866"/>
      <c r="AZD1573" s="866"/>
      <c r="AZE1573" s="866"/>
      <c r="AZF1573" s="866"/>
      <c r="AZG1573" s="866"/>
      <c r="AZH1573" s="866"/>
      <c r="AZI1573" s="866"/>
      <c r="AZJ1573" s="866"/>
      <c r="AZK1573" s="866"/>
      <c r="AZL1573" s="866"/>
      <c r="AZM1573" s="866"/>
      <c r="AZN1573" s="866"/>
      <c r="AZO1573" s="866"/>
      <c r="AZP1573" s="866"/>
      <c r="AZQ1573" s="866"/>
      <c r="AZR1573" s="866"/>
      <c r="AZS1573" s="866"/>
      <c r="AZT1573" s="866"/>
      <c r="AZU1573" s="866"/>
      <c r="AZV1573" s="866"/>
      <c r="AZW1573" s="866"/>
      <c r="AZX1573" s="866"/>
      <c r="AZY1573" s="866"/>
      <c r="AZZ1573" s="866"/>
      <c r="BAA1573" s="866"/>
      <c r="BAB1573" s="866"/>
      <c r="BAC1573" s="866"/>
      <c r="BAD1573" s="866"/>
      <c r="BAE1573" s="866"/>
      <c r="BAF1573" s="866"/>
      <c r="BAG1573" s="866"/>
      <c r="BAH1573" s="866"/>
      <c r="BAI1573" s="866"/>
      <c r="BAJ1573" s="866"/>
      <c r="BAK1573" s="866"/>
      <c r="BAL1573" s="866"/>
      <c r="BAM1573" s="866"/>
      <c r="BAN1573" s="866"/>
      <c r="BAO1573" s="866"/>
      <c r="BAP1573" s="866"/>
      <c r="BAQ1573" s="866"/>
      <c r="BAR1573" s="866"/>
      <c r="BAS1573" s="866"/>
      <c r="BAT1573" s="866"/>
      <c r="BAU1573" s="866"/>
      <c r="BAV1573" s="866"/>
      <c r="BAW1573" s="866"/>
      <c r="BAX1573" s="866"/>
      <c r="BAY1573" s="866"/>
      <c r="BAZ1573" s="866"/>
      <c r="BBA1573" s="866"/>
      <c r="BBB1573" s="866"/>
      <c r="BBC1573" s="866"/>
      <c r="BBD1573" s="866"/>
      <c r="BBE1573" s="866"/>
      <c r="BBF1573" s="866"/>
      <c r="BBG1573" s="866"/>
      <c r="BBH1573" s="866"/>
      <c r="BBI1573" s="866"/>
      <c r="BBJ1573" s="866"/>
      <c r="BBK1573" s="866"/>
      <c r="BBL1573" s="866"/>
      <c r="BBM1573" s="866"/>
      <c r="BBN1573" s="866"/>
      <c r="BBO1573" s="866"/>
      <c r="BBP1573" s="866"/>
      <c r="BBQ1573" s="866"/>
      <c r="BBR1573" s="866"/>
      <c r="BBS1573" s="866"/>
      <c r="BBT1573" s="866"/>
      <c r="BBU1573" s="866"/>
      <c r="BBV1573" s="866"/>
      <c r="BBW1573" s="866"/>
      <c r="BBX1573" s="866"/>
      <c r="BBY1573" s="866"/>
      <c r="BBZ1573" s="866"/>
      <c r="BCA1573" s="866"/>
      <c r="BCB1573" s="866"/>
      <c r="BCC1573" s="866"/>
      <c r="BCD1573" s="866"/>
      <c r="BCE1573" s="866"/>
      <c r="BCF1573" s="866"/>
      <c r="BCG1573" s="866"/>
      <c r="BCH1573" s="866"/>
      <c r="BCI1573" s="866"/>
      <c r="BCJ1573" s="866"/>
      <c r="BCK1573" s="866"/>
      <c r="BCL1573" s="866"/>
      <c r="BCM1573" s="866"/>
      <c r="BCN1573" s="866"/>
      <c r="BCO1573" s="866"/>
      <c r="BCP1573" s="866"/>
      <c r="BCQ1573" s="866"/>
      <c r="BCR1573" s="866"/>
      <c r="BCS1573" s="866"/>
      <c r="BCT1573" s="866"/>
      <c r="BCU1573" s="866"/>
      <c r="BCV1573" s="866"/>
      <c r="BCW1573" s="866"/>
      <c r="BCX1573" s="866"/>
      <c r="BCY1573" s="866"/>
      <c r="BCZ1573" s="866"/>
      <c r="BDA1573" s="866"/>
      <c r="BDB1573" s="866"/>
      <c r="BDC1573" s="866"/>
      <c r="BDD1573" s="866"/>
      <c r="BDE1573" s="866"/>
      <c r="BDF1573" s="866"/>
      <c r="BDG1573" s="866"/>
      <c r="BDH1573" s="866"/>
      <c r="BDI1573" s="866"/>
      <c r="BDJ1573" s="866"/>
      <c r="BDK1573" s="866"/>
      <c r="BDL1573" s="866"/>
      <c r="BDM1573" s="866"/>
      <c r="BDN1573" s="866"/>
      <c r="BDO1573" s="866"/>
      <c r="BDP1573" s="866"/>
      <c r="BDQ1573" s="866"/>
      <c r="BDR1573" s="866"/>
      <c r="BDS1573" s="866"/>
      <c r="BDT1573" s="866"/>
      <c r="BDU1573" s="866"/>
      <c r="BDV1573" s="866"/>
      <c r="BDW1573" s="866"/>
      <c r="BDX1573" s="866"/>
      <c r="BDY1573" s="866"/>
      <c r="BDZ1573" s="866"/>
      <c r="BEA1573" s="866"/>
      <c r="BEB1573" s="866"/>
      <c r="BEC1573" s="866"/>
      <c r="BED1573" s="866"/>
      <c r="BEE1573" s="866"/>
      <c r="BEF1573" s="866"/>
      <c r="BEG1573" s="866"/>
      <c r="BEH1573" s="866"/>
      <c r="BEI1573" s="866"/>
      <c r="BEJ1573" s="866"/>
      <c r="BEK1573" s="866"/>
      <c r="BEL1573" s="866"/>
      <c r="BEM1573" s="866"/>
      <c r="BEN1573" s="866"/>
      <c r="BEO1573" s="866"/>
      <c r="BEP1573" s="866"/>
      <c r="BEQ1573" s="866"/>
      <c r="BER1573" s="866"/>
      <c r="BES1573" s="866"/>
      <c r="BET1573" s="866"/>
      <c r="BEU1573" s="866"/>
      <c r="BEV1573" s="866"/>
      <c r="BEW1573" s="866"/>
      <c r="BEX1573" s="866"/>
      <c r="BEY1573" s="866"/>
      <c r="BEZ1573" s="866"/>
      <c r="BFA1573" s="866"/>
      <c r="BFB1573" s="866"/>
      <c r="BFC1573" s="866"/>
      <c r="BFD1573" s="866"/>
      <c r="BFE1573" s="866"/>
      <c r="BFF1573" s="866"/>
      <c r="BFG1573" s="866"/>
      <c r="BFH1573" s="866"/>
      <c r="BFI1573" s="866"/>
      <c r="BFJ1573" s="866"/>
      <c r="BFK1573" s="866"/>
      <c r="BFL1573" s="866"/>
      <c r="BFM1573" s="866"/>
      <c r="BFN1573" s="866"/>
      <c r="BFO1573" s="866"/>
      <c r="BFP1573" s="866"/>
      <c r="BFQ1573" s="866"/>
      <c r="BFR1573" s="866"/>
      <c r="BFS1573" s="866"/>
      <c r="BFT1573" s="866"/>
      <c r="BFU1573" s="866"/>
      <c r="BFV1573" s="866"/>
      <c r="BFW1573" s="866"/>
      <c r="BFX1573" s="866"/>
      <c r="BFY1573" s="866"/>
      <c r="BFZ1573" s="866"/>
      <c r="BGA1573" s="866"/>
      <c r="BGB1573" s="866"/>
      <c r="BGC1573" s="866"/>
      <c r="BGD1573" s="866"/>
      <c r="BGE1573" s="866"/>
      <c r="BGF1573" s="866"/>
      <c r="BGG1573" s="866"/>
      <c r="BGH1573" s="866"/>
      <c r="BGI1573" s="866"/>
      <c r="BGJ1573" s="866"/>
      <c r="BGK1573" s="866"/>
      <c r="BGL1573" s="866"/>
      <c r="BGM1573" s="866"/>
      <c r="BGN1573" s="866"/>
      <c r="BGO1573" s="866"/>
      <c r="BGP1573" s="866"/>
      <c r="BGQ1573" s="866"/>
      <c r="BGR1573" s="866"/>
      <c r="BGS1573" s="866"/>
      <c r="BGT1573" s="866"/>
      <c r="BGU1573" s="866"/>
      <c r="BGV1573" s="866"/>
      <c r="BGW1573" s="866"/>
      <c r="BGX1573" s="866"/>
      <c r="BGY1573" s="866"/>
      <c r="BGZ1573" s="866"/>
      <c r="BHA1573" s="866"/>
      <c r="BHB1573" s="866"/>
      <c r="BHC1573" s="866"/>
      <c r="BHD1573" s="866"/>
      <c r="BHE1573" s="866"/>
      <c r="BHF1573" s="866"/>
      <c r="BHG1573" s="866"/>
      <c r="BHH1573" s="866"/>
      <c r="BHI1573" s="866"/>
      <c r="BHJ1573" s="866"/>
      <c r="BHK1573" s="866"/>
      <c r="BHL1573" s="866"/>
      <c r="BHM1573" s="866"/>
      <c r="BHN1573" s="866"/>
      <c r="BHO1573" s="866"/>
      <c r="BHP1573" s="866"/>
      <c r="BHQ1573" s="866"/>
      <c r="BHR1573" s="866"/>
      <c r="BHS1573" s="866"/>
      <c r="BHT1573" s="866"/>
      <c r="BHU1573" s="866"/>
      <c r="BHV1573" s="866"/>
      <c r="BHW1573" s="866"/>
      <c r="BHX1573" s="866"/>
      <c r="BHY1573" s="866"/>
      <c r="BHZ1573" s="866"/>
      <c r="BIA1573" s="866"/>
      <c r="BIB1573" s="866"/>
      <c r="BIC1573" s="866"/>
      <c r="BID1573" s="866"/>
      <c r="BIE1573" s="866"/>
      <c r="BIF1573" s="866"/>
      <c r="BIG1573" s="866"/>
      <c r="BIH1573" s="866"/>
      <c r="BII1573" s="866"/>
      <c r="BIJ1573" s="866"/>
      <c r="BIK1573" s="866"/>
      <c r="BIL1573" s="866"/>
      <c r="BIM1573" s="866"/>
      <c r="BIN1573" s="866"/>
      <c r="BIO1573" s="866"/>
      <c r="BIP1573" s="866"/>
      <c r="BIQ1573" s="866"/>
      <c r="BIR1573" s="866"/>
      <c r="BIS1573" s="866"/>
      <c r="BIT1573" s="866"/>
      <c r="BIU1573" s="866"/>
      <c r="BIV1573" s="866"/>
      <c r="BIW1573" s="866"/>
      <c r="BIX1573" s="866"/>
      <c r="BIY1573" s="866"/>
      <c r="BIZ1573" s="866"/>
      <c r="BJA1573" s="866"/>
      <c r="BJB1573" s="866"/>
      <c r="BJC1573" s="866"/>
      <c r="BJD1573" s="866"/>
      <c r="BJE1573" s="866"/>
      <c r="BJF1573" s="866"/>
      <c r="BJG1573" s="866"/>
      <c r="BJH1573" s="866"/>
      <c r="BJI1573" s="866"/>
      <c r="BJJ1573" s="866"/>
      <c r="BJK1573" s="866"/>
      <c r="BJL1573" s="866"/>
      <c r="BJM1573" s="866"/>
      <c r="BJN1573" s="866"/>
      <c r="BJO1573" s="866"/>
      <c r="BJP1573" s="866"/>
      <c r="BJQ1573" s="866"/>
      <c r="BJR1573" s="866"/>
      <c r="BJS1573" s="866"/>
      <c r="BJT1573" s="866"/>
      <c r="BJU1573" s="866"/>
      <c r="BJV1573" s="866"/>
      <c r="BJW1573" s="866"/>
      <c r="BJX1573" s="866"/>
      <c r="BJY1573" s="866"/>
      <c r="BJZ1573" s="866"/>
      <c r="BKA1573" s="866"/>
      <c r="BKB1573" s="866"/>
      <c r="BKC1573" s="866"/>
      <c r="BKD1573" s="866"/>
      <c r="BKE1573" s="866"/>
      <c r="BKF1573" s="866"/>
      <c r="BKG1573" s="866"/>
      <c r="BKH1573" s="866"/>
      <c r="BKI1573" s="866"/>
      <c r="BKJ1573" s="866"/>
      <c r="BKK1573" s="866"/>
      <c r="BKL1573" s="866"/>
      <c r="BKM1573" s="866"/>
      <c r="BKN1573" s="866"/>
      <c r="BKO1573" s="866"/>
      <c r="BKP1573" s="866"/>
      <c r="BKQ1573" s="866"/>
      <c r="BKR1573" s="866"/>
      <c r="BKS1573" s="866"/>
      <c r="BKT1573" s="866"/>
      <c r="BKU1573" s="866"/>
      <c r="BKV1573" s="866"/>
      <c r="BKW1573" s="866"/>
      <c r="BKX1573" s="866"/>
      <c r="BKY1573" s="866"/>
      <c r="BKZ1573" s="866"/>
      <c r="BLA1573" s="866"/>
      <c r="BLB1573" s="866"/>
      <c r="BLC1573" s="866"/>
      <c r="BLD1573" s="866"/>
      <c r="BLE1573" s="866"/>
      <c r="BLF1573" s="866"/>
      <c r="BLG1573" s="866"/>
      <c r="BLH1573" s="866"/>
      <c r="BLI1573" s="866"/>
      <c r="BLJ1573" s="866"/>
      <c r="BLK1573" s="866"/>
      <c r="BLL1573" s="866"/>
      <c r="BLM1573" s="866"/>
      <c r="BLN1573" s="866"/>
      <c r="BLO1573" s="866"/>
      <c r="BLP1573" s="866"/>
      <c r="BLQ1573" s="866"/>
      <c r="BLR1573" s="866"/>
      <c r="BLS1573" s="866"/>
      <c r="BLT1573" s="866"/>
      <c r="BLU1573" s="866"/>
      <c r="BLV1573" s="866"/>
      <c r="BLW1573" s="866"/>
      <c r="BLX1573" s="866"/>
      <c r="BLY1573" s="866"/>
      <c r="BLZ1573" s="866"/>
      <c r="BMA1573" s="866"/>
      <c r="BMB1573" s="866"/>
      <c r="BMC1573" s="866"/>
      <c r="BMD1573" s="866"/>
      <c r="BME1573" s="866"/>
      <c r="BMF1573" s="866"/>
      <c r="BMG1573" s="866"/>
      <c r="BMH1573" s="866"/>
      <c r="BMI1573" s="866"/>
      <c r="BMJ1573" s="866"/>
      <c r="BMK1573" s="866"/>
      <c r="BML1573" s="866"/>
      <c r="BMM1573" s="866"/>
      <c r="BMN1573" s="866"/>
      <c r="BMO1573" s="866"/>
      <c r="BMP1573" s="866"/>
      <c r="BMQ1573" s="866"/>
      <c r="BMR1573" s="866"/>
      <c r="BMS1573" s="866"/>
      <c r="BMT1573" s="866"/>
      <c r="BMU1573" s="866"/>
      <c r="BMV1573" s="866"/>
      <c r="BMW1573" s="866"/>
      <c r="BMX1573" s="866"/>
      <c r="BMY1573" s="866"/>
      <c r="BMZ1573" s="866"/>
      <c r="BNA1573" s="866"/>
      <c r="BNB1573" s="866"/>
      <c r="BNC1573" s="866"/>
      <c r="BND1573" s="866"/>
      <c r="BNE1573" s="866"/>
      <c r="BNF1573" s="866"/>
      <c r="BNG1573" s="866"/>
      <c r="BNH1573" s="866"/>
      <c r="BNI1573" s="866"/>
      <c r="BNJ1573" s="866"/>
      <c r="BNK1573" s="866"/>
      <c r="BNL1573" s="866"/>
      <c r="BNM1573" s="866"/>
      <c r="BNN1573" s="866"/>
      <c r="BNO1573" s="866"/>
      <c r="BNP1573" s="866"/>
      <c r="BNQ1573" s="866"/>
      <c r="BNR1573" s="866"/>
      <c r="BNS1573" s="866"/>
      <c r="BNT1573" s="866"/>
      <c r="BNU1573" s="866"/>
      <c r="BNV1573" s="866"/>
      <c r="BNW1573" s="866"/>
      <c r="BNX1573" s="866"/>
      <c r="BNY1573" s="866"/>
      <c r="BNZ1573" s="866"/>
      <c r="BOA1573" s="866"/>
      <c r="BOB1573" s="866"/>
      <c r="BOC1573" s="866"/>
      <c r="BOD1573" s="866"/>
      <c r="BOE1573" s="866"/>
      <c r="BOF1573" s="866"/>
      <c r="BOG1573" s="866"/>
      <c r="BOH1573" s="866"/>
      <c r="BOI1573" s="866"/>
      <c r="BOJ1573" s="866"/>
      <c r="BOK1573" s="866"/>
      <c r="BOL1573" s="866"/>
      <c r="BOM1573" s="866"/>
      <c r="BON1573" s="866"/>
      <c r="BOO1573" s="866"/>
      <c r="BOP1573" s="866"/>
      <c r="BOQ1573" s="866"/>
      <c r="BOR1573" s="866"/>
      <c r="BOS1573" s="866"/>
      <c r="BOT1573" s="866"/>
      <c r="BOU1573" s="866"/>
      <c r="BOV1573" s="866"/>
      <c r="BOW1573" s="866"/>
      <c r="BOX1573" s="866"/>
      <c r="BOY1573" s="866"/>
      <c r="BOZ1573" s="866"/>
      <c r="BPA1573" s="866"/>
      <c r="BPB1573" s="866"/>
      <c r="BPC1573" s="866"/>
      <c r="BPD1573" s="866"/>
      <c r="BPE1573" s="866"/>
      <c r="BPF1573" s="866"/>
      <c r="BPG1573" s="866"/>
      <c r="BPH1573" s="866"/>
      <c r="BPI1573" s="866"/>
      <c r="BPJ1573" s="866"/>
      <c r="BPK1573" s="866"/>
      <c r="BPL1573" s="866"/>
      <c r="BPM1573" s="866"/>
      <c r="BPN1573" s="866"/>
      <c r="BPO1573" s="866"/>
      <c r="BPP1573" s="866"/>
      <c r="BPQ1573" s="866"/>
      <c r="BPR1573" s="866"/>
      <c r="BPS1573" s="866"/>
      <c r="BPT1573" s="866"/>
      <c r="BPU1573" s="866"/>
      <c r="BPV1573" s="866"/>
      <c r="BPW1573" s="866"/>
      <c r="BPX1573" s="866"/>
      <c r="BPY1573" s="866"/>
      <c r="BPZ1573" s="866"/>
      <c r="BQA1573" s="866"/>
      <c r="BQB1573" s="866"/>
      <c r="BQC1573" s="866"/>
      <c r="BQD1573" s="866"/>
      <c r="BQE1573" s="866"/>
      <c r="BQF1573" s="866"/>
      <c r="BQG1573" s="866"/>
      <c r="BQH1573" s="866"/>
      <c r="BQI1573" s="866"/>
      <c r="BQJ1573" s="866"/>
      <c r="BQK1573" s="866"/>
      <c r="BQL1573" s="866"/>
      <c r="BQM1573" s="866"/>
      <c r="BQN1573" s="866"/>
      <c r="BQO1573" s="866"/>
      <c r="BQP1573" s="866"/>
      <c r="BQQ1573" s="866"/>
      <c r="BQR1573" s="866"/>
      <c r="BQS1573" s="866"/>
      <c r="BQT1573" s="866"/>
      <c r="BQU1573" s="866"/>
      <c r="BQV1573" s="866"/>
      <c r="BQW1573" s="866"/>
      <c r="BQX1573" s="866"/>
      <c r="BQY1573" s="866"/>
      <c r="BQZ1573" s="866"/>
      <c r="BRA1573" s="866"/>
      <c r="BRB1573" s="866"/>
      <c r="BRC1573" s="866"/>
      <c r="BRD1573" s="866"/>
      <c r="BRE1573" s="866"/>
      <c r="BRF1573" s="866"/>
      <c r="BRG1573" s="866"/>
      <c r="BRH1573" s="866"/>
      <c r="BRI1573" s="866"/>
      <c r="BRJ1573" s="866"/>
      <c r="BRK1573" s="866"/>
      <c r="BRL1573" s="866"/>
      <c r="BRM1573" s="866"/>
      <c r="BRN1573" s="866"/>
      <c r="BRO1573" s="866"/>
      <c r="BRP1573" s="866"/>
      <c r="BRQ1573" s="866"/>
      <c r="BRR1573" s="866"/>
      <c r="BRS1573" s="866"/>
      <c r="BRT1573" s="866"/>
      <c r="BRU1573" s="866"/>
      <c r="BRV1573" s="866"/>
      <c r="BRW1573" s="866"/>
      <c r="BRX1573" s="866"/>
      <c r="BRY1573" s="866"/>
      <c r="BRZ1573" s="866"/>
      <c r="BSA1573" s="866"/>
      <c r="BSB1573" s="866"/>
      <c r="BSC1573" s="866"/>
      <c r="BSD1573" s="866"/>
      <c r="BSE1573" s="866"/>
      <c r="BSF1573" s="866"/>
      <c r="BSG1573" s="866"/>
      <c r="BSH1573" s="866"/>
      <c r="BSI1573" s="866"/>
      <c r="BSJ1573" s="866"/>
      <c r="BSK1573" s="866"/>
      <c r="BSL1573" s="866"/>
      <c r="BSM1573" s="866"/>
      <c r="BSN1573" s="866"/>
      <c r="BSO1573" s="866"/>
      <c r="BSP1573" s="866"/>
      <c r="BSQ1573" s="866"/>
      <c r="BSR1573" s="866"/>
      <c r="BSS1573" s="866"/>
      <c r="BST1573" s="866"/>
      <c r="BSU1573" s="866"/>
      <c r="BSV1573" s="866"/>
      <c r="BSW1573" s="866"/>
      <c r="BSX1573" s="866"/>
      <c r="BSY1573" s="866"/>
      <c r="BSZ1573" s="866"/>
      <c r="BTA1573" s="866"/>
      <c r="BTB1573" s="866"/>
      <c r="BTC1573" s="866"/>
      <c r="BTD1573" s="866"/>
      <c r="BTE1573" s="866"/>
      <c r="BTF1573" s="866"/>
      <c r="BTG1573" s="866"/>
      <c r="BTH1573" s="866"/>
      <c r="BTI1573" s="866"/>
      <c r="BTJ1573" s="866"/>
      <c r="BTK1573" s="866"/>
      <c r="BTL1573" s="866"/>
      <c r="BTM1573" s="866"/>
      <c r="BTN1573" s="866"/>
      <c r="BTO1573" s="866"/>
      <c r="BTP1573" s="866"/>
      <c r="BTQ1573" s="866"/>
      <c r="BTR1573" s="866"/>
      <c r="BTS1573" s="866"/>
      <c r="BTT1573" s="866"/>
      <c r="BTU1573" s="866"/>
      <c r="BTV1573" s="866"/>
      <c r="BTW1573" s="866"/>
      <c r="BTX1573" s="866"/>
      <c r="BTY1573" s="866"/>
      <c r="BTZ1573" s="866"/>
      <c r="BUA1573" s="866"/>
      <c r="BUB1573" s="866"/>
      <c r="BUC1573" s="866"/>
      <c r="BUD1573" s="866"/>
      <c r="BUE1573" s="866"/>
      <c r="BUF1573" s="866"/>
      <c r="BUG1573" s="866"/>
      <c r="BUH1573" s="866"/>
      <c r="BUI1573" s="866"/>
      <c r="BUJ1573" s="866"/>
      <c r="BUK1573" s="866"/>
      <c r="BUL1573" s="866"/>
      <c r="BUM1573" s="866"/>
      <c r="BUN1573" s="866"/>
      <c r="BUO1573" s="866"/>
      <c r="BUP1573" s="866"/>
      <c r="BUQ1573" s="866"/>
      <c r="BUR1573" s="866"/>
      <c r="BUS1573" s="866"/>
      <c r="BUT1573" s="866"/>
      <c r="BUU1573" s="866"/>
      <c r="BUV1573" s="866"/>
      <c r="BUW1573" s="866"/>
      <c r="BUX1573" s="866"/>
      <c r="BUY1573" s="866"/>
      <c r="BUZ1573" s="866"/>
      <c r="BVA1573" s="866"/>
      <c r="BVB1573" s="866"/>
      <c r="BVC1573" s="866"/>
      <c r="BVD1573" s="866"/>
      <c r="BVE1573" s="866"/>
      <c r="BVF1573" s="866"/>
      <c r="BVG1573" s="866"/>
      <c r="BVH1573" s="866"/>
      <c r="BVI1573" s="866"/>
      <c r="BVJ1573" s="866"/>
      <c r="BVK1573" s="866"/>
      <c r="BVL1573" s="866"/>
      <c r="BVM1573" s="866"/>
      <c r="BVN1573" s="866"/>
      <c r="BVO1573" s="866"/>
      <c r="BVP1573" s="866"/>
      <c r="BVQ1573" s="866"/>
      <c r="BVR1573" s="866"/>
      <c r="BVS1573" s="866"/>
      <c r="BVT1573" s="866"/>
      <c r="BVU1573" s="866"/>
      <c r="BVV1573" s="866"/>
      <c r="BVW1573" s="866"/>
      <c r="BVX1573" s="866"/>
      <c r="BVY1573" s="866"/>
      <c r="BVZ1573" s="866"/>
      <c r="BWA1573" s="866"/>
      <c r="BWB1573" s="866"/>
      <c r="BWC1573" s="866"/>
      <c r="BWD1573" s="866"/>
      <c r="BWE1573" s="866"/>
      <c r="BWF1573" s="866"/>
      <c r="BWG1573" s="866"/>
      <c r="BWH1573" s="866"/>
      <c r="BWI1573" s="866"/>
      <c r="BWJ1573" s="866"/>
      <c r="BWK1573" s="866"/>
      <c r="BWL1573" s="866"/>
      <c r="BWM1573" s="866"/>
      <c r="BWN1573" s="866"/>
      <c r="BWO1573" s="866"/>
      <c r="BWP1573" s="866"/>
      <c r="BWQ1573" s="866"/>
      <c r="BWR1573" s="866"/>
      <c r="BWS1573" s="866"/>
      <c r="BWT1573" s="866"/>
      <c r="BWU1573" s="866"/>
      <c r="BWV1573" s="866"/>
      <c r="BWW1573" s="866"/>
      <c r="BWX1573" s="866"/>
      <c r="BWY1573" s="866"/>
      <c r="BWZ1573" s="866"/>
      <c r="BXA1573" s="866"/>
      <c r="BXB1573" s="866"/>
      <c r="BXC1573" s="866"/>
      <c r="BXD1573" s="866"/>
      <c r="BXE1573" s="866"/>
      <c r="BXF1573" s="866"/>
      <c r="BXG1573" s="866"/>
      <c r="BXH1573" s="866"/>
      <c r="BXI1573" s="866"/>
      <c r="BXJ1573" s="866"/>
      <c r="BXK1573" s="866"/>
      <c r="BXL1573" s="866"/>
      <c r="BXM1573" s="866"/>
      <c r="BXN1573" s="866"/>
      <c r="BXO1573" s="866"/>
      <c r="BXP1573" s="866"/>
      <c r="BXQ1573" s="866"/>
      <c r="BXR1573" s="866"/>
      <c r="BXS1573" s="866"/>
      <c r="BXT1573" s="866"/>
      <c r="BXU1573" s="866"/>
      <c r="BXV1573" s="866"/>
      <c r="BXW1573" s="866"/>
      <c r="BXX1573" s="866"/>
      <c r="BXY1573" s="866"/>
      <c r="BXZ1573" s="866"/>
      <c r="BYA1573" s="866"/>
      <c r="BYB1573" s="866"/>
      <c r="BYC1573" s="866"/>
      <c r="BYD1573" s="866"/>
      <c r="BYE1573" s="866"/>
      <c r="BYF1573" s="866"/>
      <c r="BYG1573" s="866"/>
      <c r="BYH1573" s="866"/>
      <c r="BYI1573" s="866"/>
      <c r="BYJ1573" s="866"/>
      <c r="BYK1573" s="866"/>
      <c r="BYL1573" s="866"/>
      <c r="BYM1573" s="866"/>
      <c r="BYN1573" s="866"/>
      <c r="BYO1573" s="866"/>
      <c r="BYP1573" s="866"/>
      <c r="BYQ1573" s="866"/>
      <c r="BYR1573" s="866"/>
      <c r="BYS1573" s="866"/>
      <c r="BYT1573" s="866"/>
      <c r="BYU1573" s="866"/>
      <c r="BYV1573" s="866"/>
      <c r="BYW1573" s="866"/>
      <c r="BYX1573" s="866"/>
      <c r="BYY1573" s="866"/>
      <c r="BYZ1573" s="866"/>
      <c r="BZA1573" s="866"/>
      <c r="BZB1573" s="866"/>
      <c r="BZC1573" s="866"/>
      <c r="BZD1573" s="866"/>
      <c r="BZE1573" s="866"/>
      <c r="BZF1573" s="866"/>
      <c r="BZG1573" s="866"/>
      <c r="BZH1573" s="866"/>
      <c r="BZI1573" s="866"/>
      <c r="BZJ1573" s="866"/>
      <c r="BZK1573" s="866"/>
      <c r="BZL1573" s="866"/>
      <c r="BZM1573" s="866"/>
      <c r="BZN1573" s="866"/>
      <c r="BZO1573" s="866"/>
      <c r="BZP1573" s="866"/>
      <c r="BZQ1573" s="866"/>
      <c r="BZR1573" s="866"/>
      <c r="BZS1573" s="866"/>
      <c r="BZT1573" s="866"/>
      <c r="BZU1573" s="866"/>
      <c r="BZV1573" s="866"/>
      <c r="BZW1573" s="866"/>
      <c r="BZX1573" s="866"/>
      <c r="BZY1573" s="866"/>
      <c r="BZZ1573" s="866"/>
      <c r="CAA1573" s="866"/>
      <c r="CAB1573" s="866"/>
      <c r="CAC1573" s="866"/>
      <c r="CAD1573" s="866"/>
      <c r="CAE1573" s="866"/>
      <c r="CAF1573" s="866"/>
      <c r="CAG1573" s="866"/>
      <c r="CAH1573" s="866"/>
      <c r="CAI1573" s="866"/>
      <c r="CAJ1573" s="866"/>
      <c r="CAK1573" s="866"/>
      <c r="CAL1573" s="866"/>
      <c r="CAM1573" s="866"/>
      <c r="CAN1573" s="866"/>
      <c r="CAO1573" s="866"/>
      <c r="CAP1573" s="866"/>
      <c r="CAQ1573" s="866"/>
      <c r="CAR1573" s="866"/>
      <c r="CAS1573" s="866"/>
      <c r="CAT1573" s="866"/>
      <c r="CAU1573" s="866"/>
      <c r="CAV1573" s="866"/>
      <c r="CAW1573" s="866"/>
      <c r="CAX1573" s="866"/>
      <c r="CAY1573" s="866"/>
      <c r="CAZ1573" s="866"/>
      <c r="CBA1573" s="866"/>
      <c r="CBB1573" s="866"/>
      <c r="CBC1573" s="866"/>
      <c r="CBD1573" s="866"/>
      <c r="CBE1573" s="866"/>
      <c r="CBF1573" s="866"/>
      <c r="CBG1573" s="866"/>
      <c r="CBH1573" s="866"/>
      <c r="CBI1573" s="866"/>
      <c r="CBJ1573" s="866"/>
      <c r="CBK1573" s="866"/>
      <c r="CBL1573" s="866"/>
      <c r="CBM1573" s="866"/>
      <c r="CBN1573" s="866"/>
      <c r="CBO1573" s="866"/>
      <c r="CBP1573" s="866"/>
      <c r="CBQ1573" s="866"/>
      <c r="CBR1573" s="866"/>
      <c r="CBS1573" s="866"/>
      <c r="CBT1573" s="866"/>
      <c r="CBU1573" s="866"/>
      <c r="CBV1573" s="866"/>
      <c r="CBW1573" s="866"/>
      <c r="CBX1573" s="866"/>
      <c r="CBY1573" s="866"/>
      <c r="CBZ1573" s="866"/>
      <c r="CCA1573" s="866"/>
      <c r="CCB1573" s="866"/>
      <c r="CCC1573" s="866"/>
      <c r="CCD1573" s="866"/>
      <c r="CCE1573" s="866"/>
      <c r="CCF1573" s="866"/>
      <c r="CCG1573" s="866"/>
      <c r="CCH1573" s="866"/>
      <c r="CCI1573" s="866"/>
      <c r="CCJ1573" s="866"/>
      <c r="CCK1573" s="866"/>
      <c r="CCL1573" s="866"/>
      <c r="CCM1573" s="866"/>
      <c r="CCN1573" s="866"/>
      <c r="CCO1573" s="866"/>
      <c r="CCP1573" s="866"/>
      <c r="CCQ1573" s="866"/>
      <c r="CCR1573" s="866"/>
      <c r="CCS1573" s="866"/>
      <c r="CCT1573" s="866"/>
      <c r="CCU1573" s="866"/>
      <c r="CCV1573" s="866"/>
      <c r="CCW1573" s="866"/>
      <c r="CCX1573" s="866"/>
      <c r="CCY1573" s="866"/>
      <c r="CCZ1573" s="866"/>
      <c r="CDA1573" s="866"/>
      <c r="CDB1573" s="866"/>
      <c r="CDC1573" s="866"/>
      <c r="CDD1573" s="866"/>
      <c r="CDE1573" s="866"/>
      <c r="CDF1573" s="866"/>
      <c r="CDG1573" s="866"/>
      <c r="CDH1573" s="866"/>
      <c r="CDI1573" s="866"/>
      <c r="CDJ1573" s="866"/>
      <c r="CDK1573" s="866"/>
      <c r="CDL1573" s="866"/>
      <c r="CDM1573" s="866"/>
      <c r="CDN1573" s="866"/>
      <c r="CDO1573" s="866"/>
      <c r="CDP1573" s="866"/>
      <c r="CDQ1573" s="866"/>
      <c r="CDR1573" s="866"/>
      <c r="CDS1573" s="866"/>
      <c r="CDT1573" s="866"/>
      <c r="CDU1573" s="866"/>
      <c r="CDV1573" s="866"/>
      <c r="CDW1573" s="866"/>
      <c r="CDX1573" s="866"/>
      <c r="CDY1573" s="866"/>
      <c r="CDZ1573" s="866"/>
      <c r="CEA1573" s="866"/>
      <c r="CEB1573" s="866"/>
      <c r="CEC1573" s="866"/>
      <c r="CED1573" s="866"/>
      <c r="CEE1573" s="866"/>
      <c r="CEF1573" s="866"/>
      <c r="CEG1573" s="866"/>
      <c r="CEH1573" s="866"/>
      <c r="CEI1573" s="866"/>
      <c r="CEJ1573" s="866"/>
      <c r="CEK1573" s="866"/>
      <c r="CEL1573" s="866"/>
      <c r="CEM1573" s="866"/>
      <c r="CEN1573" s="866"/>
      <c r="CEO1573" s="866"/>
      <c r="CEP1573" s="866"/>
      <c r="CEQ1573" s="866"/>
      <c r="CER1573" s="866"/>
      <c r="CES1573" s="866"/>
      <c r="CET1573" s="866"/>
      <c r="CEU1573" s="866"/>
      <c r="CEV1573" s="866"/>
      <c r="CEW1573" s="866"/>
      <c r="CEX1573" s="866"/>
      <c r="CEY1573" s="866"/>
      <c r="CEZ1573" s="866"/>
      <c r="CFA1573" s="866"/>
      <c r="CFB1573" s="866"/>
      <c r="CFC1573" s="866"/>
      <c r="CFD1573" s="866"/>
      <c r="CFE1573" s="866"/>
      <c r="CFF1573" s="866"/>
      <c r="CFG1573" s="866"/>
      <c r="CFH1573" s="866"/>
      <c r="CFI1573" s="866"/>
      <c r="CFJ1573" s="866"/>
      <c r="CFK1573" s="866"/>
      <c r="CFL1573" s="866"/>
      <c r="CFM1573" s="866"/>
      <c r="CFN1573" s="866"/>
      <c r="CFO1573" s="866"/>
      <c r="CFP1573" s="866"/>
      <c r="CFQ1573" s="866"/>
      <c r="CFR1573" s="866"/>
      <c r="CFS1573" s="866"/>
      <c r="CFT1573" s="866"/>
      <c r="CFU1573" s="866"/>
      <c r="CFV1573" s="866"/>
      <c r="CFW1573" s="866"/>
      <c r="CFX1573" s="866"/>
      <c r="CFY1573" s="866"/>
      <c r="CFZ1573" s="866"/>
      <c r="CGA1573" s="866"/>
      <c r="CGB1573" s="866"/>
      <c r="CGC1573" s="866"/>
      <c r="CGD1573" s="866"/>
      <c r="CGE1573" s="866"/>
      <c r="CGF1573" s="866"/>
      <c r="CGG1573" s="866"/>
      <c r="CGH1573" s="866"/>
      <c r="CGI1573" s="866"/>
      <c r="CGJ1573" s="866"/>
      <c r="CGK1573" s="866"/>
      <c r="CGL1573" s="866"/>
      <c r="CGM1573" s="866"/>
      <c r="CGN1573" s="866"/>
      <c r="CGO1573" s="866"/>
      <c r="CGP1573" s="866"/>
      <c r="CGQ1573" s="866"/>
      <c r="CGR1573" s="866"/>
      <c r="CGS1573" s="866"/>
      <c r="CGT1573" s="866"/>
      <c r="CGU1573" s="866"/>
      <c r="CGV1573" s="866"/>
      <c r="CGW1573" s="866"/>
      <c r="CGX1573" s="866"/>
      <c r="CGY1573" s="866"/>
      <c r="CGZ1573" s="866"/>
      <c r="CHA1573" s="866"/>
      <c r="CHB1573" s="866"/>
      <c r="CHC1573" s="866"/>
      <c r="CHD1573" s="866"/>
      <c r="CHE1573" s="866"/>
      <c r="CHF1573" s="866"/>
      <c r="CHG1573" s="866"/>
      <c r="CHH1573" s="866"/>
      <c r="CHI1573" s="866"/>
      <c r="CHJ1573" s="866"/>
      <c r="CHK1573" s="866"/>
      <c r="CHL1573" s="866"/>
      <c r="CHM1573" s="866"/>
      <c r="CHN1573" s="866"/>
      <c r="CHO1573" s="866"/>
      <c r="CHP1573" s="866"/>
      <c r="CHQ1573" s="866"/>
      <c r="CHR1573" s="866"/>
      <c r="CHS1573" s="866"/>
      <c r="CHT1573" s="866"/>
      <c r="CHU1573" s="866"/>
      <c r="CHV1573" s="866"/>
      <c r="CHW1573" s="866"/>
      <c r="CHX1573" s="866"/>
      <c r="CHY1573" s="866"/>
      <c r="CHZ1573" s="866"/>
      <c r="CIA1573" s="866"/>
      <c r="CIB1573" s="866"/>
      <c r="CIC1573" s="866"/>
      <c r="CID1573" s="866"/>
      <c r="CIE1573" s="866"/>
      <c r="CIF1573" s="866"/>
      <c r="CIG1573" s="866"/>
      <c r="CIH1573" s="866"/>
      <c r="CII1573" s="866"/>
      <c r="CIJ1573" s="866"/>
      <c r="CIK1573" s="866"/>
      <c r="CIL1573" s="866"/>
      <c r="CIM1573" s="866"/>
      <c r="CIN1573" s="866"/>
      <c r="CIO1573" s="866"/>
      <c r="CIP1573" s="866"/>
      <c r="CIQ1573" s="866"/>
      <c r="CIR1573" s="866"/>
      <c r="CIS1573" s="866"/>
      <c r="CIT1573" s="866"/>
      <c r="CIU1573" s="866"/>
      <c r="CIV1573" s="866"/>
      <c r="CIW1573" s="866"/>
      <c r="CIX1573" s="866"/>
      <c r="CIY1573" s="866"/>
      <c r="CIZ1573" s="866"/>
      <c r="CJA1573" s="866"/>
      <c r="CJB1573" s="866"/>
      <c r="CJC1573" s="866"/>
      <c r="CJD1573" s="866"/>
      <c r="CJE1573" s="866"/>
      <c r="CJF1573" s="866"/>
      <c r="CJG1573" s="866"/>
      <c r="CJH1573" s="866"/>
      <c r="CJI1573" s="866"/>
      <c r="CJJ1573" s="866"/>
      <c r="CJK1573" s="866"/>
      <c r="CJL1573" s="866"/>
      <c r="CJM1573" s="866"/>
      <c r="CJN1573" s="866"/>
      <c r="CJO1573" s="866"/>
      <c r="CJP1573" s="866"/>
      <c r="CJQ1573" s="866"/>
      <c r="CJR1573" s="866"/>
      <c r="CJS1573" s="866"/>
      <c r="CJT1573" s="866"/>
      <c r="CJU1573" s="866"/>
      <c r="CJV1573" s="866"/>
      <c r="CJW1573" s="866"/>
      <c r="CJX1573" s="866"/>
      <c r="CJY1573" s="866"/>
      <c r="CJZ1573" s="866"/>
      <c r="CKA1573" s="866"/>
      <c r="CKB1573" s="866"/>
      <c r="CKC1573" s="866"/>
      <c r="CKD1573" s="866"/>
      <c r="CKE1573" s="866"/>
      <c r="CKF1573" s="866"/>
      <c r="CKG1573" s="866"/>
      <c r="CKH1573" s="866"/>
      <c r="CKI1573" s="866"/>
      <c r="CKJ1573" s="866"/>
      <c r="CKK1573" s="866"/>
      <c r="CKL1573" s="866"/>
      <c r="CKM1573" s="866"/>
      <c r="CKN1573" s="866"/>
      <c r="CKO1573" s="866"/>
      <c r="CKP1573" s="866"/>
      <c r="CKQ1573" s="866"/>
      <c r="CKR1573" s="866"/>
      <c r="CKS1573" s="866"/>
      <c r="CKT1573" s="866"/>
      <c r="CKU1573" s="866"/>
      <c r="CKV1573" s="866"/>
      <c r="CKW1573" s="866"/>
      <c r="CKX1573" s="866"/>
      <c r="CKY1573" s="866"/>
      <c r="CKZ1573" s="866"/>
      <c r="CLA1573" s="866"/>
      <c r="CLB1573" s="866"/>
      <c r="CLC1573" s="866"/>
      <c r="CLD1573" s="866"/>
      <c r="CLE1573" s="866"/>
      <c r="CLF1573" s="866"/>
      <c r="CLG1573" s="866"/>
      <c r="CLH1573" s="866"/>
      <c r="CLI1573" s="866"/>
      <c r="CLJ1573" s="866"/>
      <c r="CLK1573" s="866"/>
      <c r="CLL1573" s="866"/>
      <c r="CLM1573" s="866"/>
      <c r="CLN1573" s="866"/>
      <c r="CLO1573" s="866"/>
      <c r="CLP1573" s="866"/>
      <c r="CLQ1573" s="866"/>
      <c r="CLR1573" s="866"/>
      <c r="CLS1573" s="866"/>
      <c r="CLT1573" s="866"/>
      <c r="CLU1573" s="866"/>
      <c r="CLV1573" s="866"/>
      <c r="CLW1573" s="866"/>
      <c r="CLX1573" s="866"/>
      <c r="CLY1573" s="866"/>
      <c r="CLZ1573" s="866"/>
      <c r="CMA1573" s="866"/>
      <c r="CMB1573" s="866"/>
      <c r="CMC1573" s="866"/>
      <c r="CMD1573" s="866"/>
      <c r="CME1573" s="866"/>
      <c r="CMF1573" s="866"/>
      <c r="CMG1573" s="866"/>
      <c r="CMH1573" s="866"/>
      <c r="CMI1573" s="866"/>
      <c r="CMJ1573" s="866"/>
      <c r="CMK1573" s="866"/>
      <c r="CML1573" s="866"/>
      <c r="CMM1573" s="866"/>
      <c r="CMN1573" s="866"/>
      <c r="CMO1573" s="866"/>
      <c r="CMP1573" s="866"/>
      <c r="CMQ1573" s="866"/>
      <c r="CMR1573" s="866"/>
      <c r="CMS1573" s="866"/>
      <c r="CMT1573" s="866"/>
      <c r="CMU1573" s="866"/>
      <c r="CMV1573" s="866"/>
      <c r="CMW1573" s="866"/>
      <c r="CMX1573" s="866"/>
      <c r="CMY1573" s="866"/>
      <c r="CMZ1573" s="866"/>
      <c r="CNA1573" s="866"/>
      <c r="CNB1573" s="866"/>
      <c r="CNC1573" s="866"/>
      <c r="CND1573" s="866"/>
      <c r="CNE1573" s="866"/>
      <c r="CNF1573" s="866"/>
      <c r="CNG1573" s="866"/>
      <c r="CNH1573" s="866"/>
      <c r="CNI1573" s="866"/>
      <c r="CNJ1573" s="866"/>
      <c r="CNK1573" s="866"/>
      <c r="CNL1573" s="866"/>
      <c r="CNM1573" s="866"/>
      <c r="CNN1573" s="866"/>
      <c r="CNO1573" s="866"/>
      <c r="CNP1573" s="866"/>
      <c r="CNQ1573" s="866"/>
      <c r="CNR1573" s="866"/>
      <c r="CNS1573" s="866"/>
      <c r="CNT1573" s="866"/>
      <c r="CNU1573" s="866"/>
      <c r="CNV1573" s="866"/>
      <c r="CNW1573" s="866"/>
      <c r="CNX1573" s="866"/>
      <c r="CNY1573" s="866"/>
      <c r="CNZ1573" s="866"/>
      <c r="COA1573" s="866"/>
      <c r="COB1573" s="866"/>
      <c r="COC1573" s="866"/>
      <c r="COD1573" s="866"/>
      <c r="COE1573" s="866"/>
      <c r="COF1573" s="866"/>
      <c r="COG1573" s="866"/>
      <c r="COH1573" s="866"/>
      <c r="COI1573" s="866"/>
      <c r="COJ1573" s="866"/>
      <c r="COK1573" s="866"/>
      <c r="COL1573" s="866"/>
      <c r="COM1573" s="866"/>
      <c r="CON1573" s="866"/>
      <c r="COO1573" s="866"/>
      <c r="COP1573" s="866"/>
      <c r="COQ1573" s="866"/>
      <c r="COR1573" s="866"/>
      <c r="COS1573" s="866"/>
      <c r="COT1573" s="866"/>
      <c r="COU1573" s="866"/>
      <c r="COV1573" s="866"/>
      <c r="COW1573" s="866"/>
      <c r="COX1573" s="866"/>
      <c r="COY1573" s="866"/>
      <c r="COZ1573" s="866"/>
      <c r="CPA1573" s="866"/>
      <c r="CPB1573" s="866"/>
      <c r="CPC1573" s="866"/>
      <c r="CPD1573" s="866"/>
      <c r="CPE1573" s="866"/>
      <c r="CPF1573" s="866"/>
      <c r="CPG1573" s="866"/>
      <c r="CPH1573" s="866"/>
      <c r="CPI1573" s="866"/>
      <c r="CPJ1573" s="866"/>
      <c r="CPK1573" s="866"/>
      <c r="CPL1573" s="866"/>
      <c r="CPM1573" s="866"/>
      <c r="CPN1573" s="866"/>
      <c r="CPO1573" s="866"/>
      <c r="CPP1573" s="866"/>
      <c r="CPQ1573" s="866"/>
      <c r="CPR1573" s="866"/>
      <c r="CPS1573" s="866"/>
      <c r="CPT1573" s="866"/>
      <c r="CPU1573" s="866"/>
      <c r="CPV1573" s="866"/>
      <c r="CPW1573" s="866"/>
      <c r="CPX1573" s="866"/>
      <c r="CPY1573" s="866"/>
      <c r="CPZ1573" s="866"/>
      <c r="CQA1573" s="866"/>
      <c r="CQB1573" s="866"/>
      <c r="CQC1573" s="866"/>
      <c r="CQD1573" s="866"/>
      <c r="CQE1573" s="866"/>
      <c r="CQF1573" s="866"/>
      <c r="CQG1573" s="866"/>
      <c r="CQH1573" s="866"/>
      <c r="CQI1573" s="866"/>
      <c r="CQJ1573" s="866"/>
      <c r="CQK1573" s="866"/>
      <c r="CQL1573" s="866"/>
      <c r="CQM1573" s="866"/>
      <c r="CQN1573" s="866"/>
      <c r="CQO1573" s="866"/>
      <c r="CQP1573" s="866"/>
      <c r="CQQ1573" s="866"/>
      <c r="CQR1573" s="866"/>
      <c r="CQS1573" s="866"/>
      <c r="CQT1573" s="866"/>
      <c r="CQU1573" s="866"/>
      <c r="CQV1573" s="866"/>
      <c r="CQW1573" s="866"/>
      <c r="CQX1573" s="866"/>
      <c r="CQY1573" s="866"/>
      <c r="CQZ1573" s="866"/>
      <c r="CRA1573" s="866"/>
      <c r="CRB1573" s="866"/>
      <c r="CRC1573" s="866"/>
      <c r="CRD1573" s="866"/>
      <c r="CRE1573" s="866"/>
      <c r="CRF1573" s="866"/>
      <c r="CRG1573" s="866"/>
      <c r="CRH1573" s="866"/>
      <c r="CRI1573" s="866"/>
      <c r="CRJ1573" s="866"/>
      <c r="CRK1573" s="866"/>
      <c r="CRL1573" s="866"/>
      <c r="CRM1573" s="866"/>
      <c r="CRN1573" s="866"/>
      <c r="CRO1573" s="866"/>
      <c r="CRP1573" s="866"/>
      <c r="CRQ1573" s="866"/>
      <c r="CRR1573" s="866"/>
      <c r="CRS1573" s="866"/>
      <c r="CRT1573" s="866"/>
      <c r="CRU1573" s="866"/>
      <c r="CRV1573" s="866"/>
      <c r="CRW1573" s="866"/>
      <c r="CRX1573" s="866"/>
      <c r="CRY1573" s="866"/>
      <c r="CRZ1573" s="866"/>
      <c r="CSA1573" s="866"/>
      <c r="CSB1573" s="866"/>
      <c r="CSC1573" s="866"/>
      <c r="CSD1573" s="866"/>
      <c r="CSE1573" s="866"/>
      <c r="CSF1573" s="866"/>
      <c r="CSG1573" s="866"/>
      <c r="CSH1573" s="866"/>
      <c r="CSI1573" s="866"/>
      <c r="CSJ1573" s="866"/>
      <c r="CSK1573" s="866"/>
      <c r="CSL1573" s="866"/>
      <c r="CSM1573" s="866"/>
      <c r="CSN1573" s="866"/>
      <c r="CSO1573" s="866"/>
      <c r="CSP1573" s="866"/>
      <c r="CSQ1573" s="866"/>
      <c r="CSR1573" s="866"/>
      <c r="CSS1573" s="866"/>
      <c r="CST1573" s="866"/>
      <c r="CSU1573" s="866"/>
      <c r="CSV1573" s="866"/>
      <c r="CSW1573" s="866"/>
      <c r="CSX1573" s="866"/>
      <c r="CSY1573" s="866"/>
      <c r="CSZ1573" s="866"/>
      <c r="CTA1573" s="866"/>
      <c r="CTB1573" s="866"/>
      <c r="CTC1573" s="866"/>
      <c r="CTD1573" s="866"/>
      <c r="CTE1573" s="866"/>
      <c r="CTF1573" s="866"/>
      <c r="CTG1573" s="866"/>
      <c r="CTH1573" s="866"/>
      <c r="CTI1573" s="866"/>
      <c r="CTJ1573" s="866"/>
      <c r="CTK1573" s="866"/>
      <c r="CTL1573" s="866"/>
      <c r="CTM1573" s="866"/>
      <c r="CTN1573" s="866"/>
      <c r="CTO1573" s="866"/>
      <c r="CTP1573" s="866"/>
      <c r="CTQ1573" s="866"/>
      <c r="CTR1573" s="866"/>
      <c r="CTS1573" s="866"/>
      <c r="CTT1573" s="866"/>
      <c r="CTU1573" s="866"/>
      <c r="CTV1573" s="866"/>
      <c r="CTW1573" s="866"/>
      <c r="CTX1573" s="866"/>
      <c r="CTY1573" s="866"/>
      <c r="CTZ1573" s="866"/>
      <c r="CUA1573" s="866"/>
      <c r="CUB1573" s="866"/>
      <c r="CUC1573" s="866"/>
      <c r="CUD1573" s="866"/>
      <c r="CUE1573" s="866"/>
      <c r="CUF1573" s="866"/>
      <c r="CUG1573" s="866"/>
      <c r="CUH1573" s="866"/>
      <c r="CUI1573" s="866"/>
      <c r="CUJ1573" s="866"/>
      <c r="CUK1573" s="866"/>
      <c r="CUL1573" s="866"/>
      <c r="CUM1573" s="866"/>
      <c r="CUN1573" s="866"/>
      <c r="CUO1573" s="866"/>
      <c r="CUP1573" s="866"/>
      <c r="CUQ1573" s="866"/>
      <c r="CUR1573" s="866"/>
      <c r="CUS1573" s="866"/>
      <c r="CUT1573" s="866"/>
      <c r="CUU1573" s="866"/>
      <c r="CUV1573" s="866"/>
      <c r="CUW1573" s="866"/>
      <c r="CUX1573" s="866"/>
      <c r="CUY1573" s="866"/>
      <c r="CUZ1573" s="866"/>
      <c r="CVA1573" s="866"/>
      <c r="CVB1573" s="866"/>
      <c r="CVC1573" s="866"/>
      <c r="CVD1573" s="866"/>
      <c r="CVE1573" s="866"/>
      <c r="CVF1573" s="866"/>
      <c r="CVG1573" s="866"/>
      <c r="CVH1573" s="866"/>
      <c r="CVI1573" s="866"/>
      <c r="CVJ1573" s="866"/>
      <c r="CVK1573" s="866"/>
      <c r="CVL1573" s="866"/>
      <c r="CVM1573" s="866"/>
      <c r="CVN1573" s="866"/>
      <c r="CVO1573" s="866"/>
      <c r="CVP1573" s="866"/>
      <c r="CVQ1573" s="866"/>
      <c r="CVR1573" s="866"/>
      <c r="CVS1573" s="866"/>
      <c r="CVT1573" s="866"/>
      <c r="CVU1573" s="866"/>
      <c r="CVV1573" s="866"/>
      <c r="CVW1573" s="866"/>
      <c r="CVX1573" s="866"/>
      <c r="CVY1573" s="866"/>
      <c r="CVZ1573" s="866"/>
      <c r="CWA1573" s="866"/>
      <c r="CWB1573" s="866"/>
      <c r="CWC1573" s="866"/>
      <c r="CWD1573" s="866"/>
      <c r="CWE1573" s="866"/>
      <c r="CWF1573" s="866"/>
      <c r="CWG1573" s="866"/>
      <c r="CWH1573" s="866"/>
      <c r="CWI1573" s="866"/>
      <c r="CWJ1573" s="866"/>
      <c r="CWK1573" s="866"/>
      <c r="CWL1573" s="866"/>
      <c r="CWM1573" s="866"/>
      <c r="CWN1573" s="866"/>
      <c r="CWO1573" s="866"/>
      <c r="CWP1573" s="866"/>
      <c r="CWQ1573" s="866"/>
      <c r="CWR1573" s="866"/>
      <c r="CWS1573" s="866"/>
      <c r="CWT1573" s="866"/>
      <c r="CWU1573" s="866"/>
      <c r="CWV1573" s="866"/>
      <c r="CWW1573" s="866"/>
      <c r="CWX1573" s="866"/>
      <c r="CWY1573" s="866"/>
      <c r="CWZ1573" s="866"/>
      <c r="CXA1573" s="866"/>
      <c r="CXB1573" s="866"/>
      <c r="CXC1573" s="866"/>
      <c r="CXD1573" s="866"/>
      <c r="CXE1573" s="866"/>
      <c r="CXF1573" s="866"/>
      <c r="CXG1573" s="866"/>
      <c r="CXH1573" s="866"/>
      <c r="CXI1573" s="866"/>
      <c r="CXJ1573" s="866"/>
      <c r="CXK1573" s="866"/>
      <c r="CXL1573" s="866"/>
      <c r="CXM1573" s="866"/>
      <c r="CXN1573" s="866"/>
      <c r="CXO1573" s="866"/>
      <c r="CXP1573" s="866"/>
      <c r="CXQ1573" s="866"/>
      <c r="CXR1573" s="866"/>
      <c r="CXS1573" s="866"/>
      <c r="CXT1573" s="866"/>
      <c r="CXU1573" s="866"/>
      <c r="CXV1573" s="866"/>
      <c r="CXW1573" s="866"/>
      <c r="CXX1573" s="866"/>
      <c r="CXY1573" s="866"/>
      <c r="CXZ1573" s="866"/>
      <c r="CYA1573" s="866"/>
      <c r="CYB1573" s="866"/>
      <c r="CYC1573" s="866"/>
      <c r="CYD1573" s="866"/>
      <c r="CYE1573" s="866"/>
      <c r="CYF1573" s="866"/>
      <c r="CYG1573" s="866"/>
      <c r="CYH1573" s="866"/>
      <c r="CYI1573" s="866"/>
      <c r="CYJ1573" s="866"/>
      <c r="CYK1573" s="866"/>
      <c r="CYL1573" s="866"/>
      <c r="CYM1573" s="866"/>
      <c r="CYN1573" s="866"/>
      <c r="CYO1573" s="866"/>
      <c r="CYP1573" s="866"/>
      <c r="CYQ1573" s="866"/>
      <c r="CYR1573" s="866"/>
      <c r="CYS1573" s="866"/>
      <c r="CYT1573" s="866"/>
      <c r="CYU1573" s="866"/>
      <c r="CYV1573" s="866"/>
      <c r="CYW1573" s="866"/>
      <c r="CYX1573" s="866"/>
      <c r="CYY1573" s="866"/>
      <c r="CYZ1573" s="866"/>
      <c r="CZA1573" s="866"/>
      <c r="CZB1573" s="866"/>
      <c r="CZC1573" s="866"/>
      <c r="CZD1573" s="866"/>
      <c r="CZE1573" s="866"/>
      <c r="CZF1573" s="866"/>
      <c r="CZG1573" s="866"/>
      <c r="CZH1573" s="866"/>
      <c r="CZI1573" s="866"/>
      <c r="CZJ1573" s="866"/>
      <c r="CZK1573" s="866"/>
      <c r="CZL1573" s="866"/>
      <c r="CZM1573" s="866"/>
      <c r="CZN1573" s="866"/>
      <c r="CZO1573" s="866"/>
      <c r="CZP1573" s="866"/>
      <c r="CZQ1573" s="866"/>
      <c r="CZR1573" s="866"/>
      <c r="CZS1573" s="866"/>
      <c r="CZT1573" s="866"/>
      <c r="CZU1573" s="866"/>
      <c r="CZV1573" s="866"/>
      <c r="CZW1573" s="866"/>
      <c r="CZX1573" s="866"/>
      <c r="CZY1573" s="866"/>
      <c r="CZZ1573" s="866"/>
      <c r="DAA1573" s="866"/>
      <c r="DAB1573" s="866"/>
      <c r="DAC1573" s="866"/>
      <c r="DAD1573" s="866"/>
      <c r="DAE1573" s="866"/>
      <c r="DAF1573" s="866"/>
      <c r="DAG1573" s="866"/>
      <c r="DAH1573" s="866"/>
      <c r="DAI1573" s="866"/>
      <c r="DAJ1573" s="866"/>
      <c r="DAK1573" s="866"/>
      <c r="DAL1573" s="866"/>
      <c r="DAM1573" s="866"/>
      <c r="DAN1573" s="866"/>
      <c r="DAO1573" s="866"/>
      <c r="DAP1573" s="866"/>
      <c r="DAQ1573" s="866"/>
      <c r="DAR1573" s="866"/>
      <c r="DAS1573" s="866"/>
      <c r="DAT1573" s="866"/>
      <c r="DAU1573" s="866"/>
      <c r="DAV1573" s="866"/>
      <c r="DAW1573" s="866"/>
      <c r="DAX1573" s="866"/>
      <c r="DAY1573" s="866"/>
      <c r="DAZ1573" s="866"/>
      <c r="DBA1573" s="866"/>
      <c r="DBB1573" s="866"/>
      <c r="DBC1573" s="866"/>
      <c r="DBD1573" s="866"/>
      <c r="DBE1573" s="866"/>
      <c r="DBF1573" s="866"/>
      <c r="DBG1573" s="866"/>
      <c r="DBH1573" s="866"/>
      <c r="DBI1573" s="866"/>
      <c r="DBJ1573" s="866"/>
      <c r="DBK1573" s="866"/>
      <c r="DBL1573" s="866"/>
      <c r="DBM1573" s="866"/>
      <c r="DBN1573" s="866"/>
      <c r="DBO1573" s="866"/>
      <c r="DBP1573" s="866"/>
      <c r="DBQ1573" s="866"/>
      <c r="DBR1573" s="866"/>
      <c r="DBS1573" s="866"/>
      <c r="DBT1573" s="866"/>
      <c r="DBU1573" s="866"/>
      <c r="DBV1573" s="866"/>
      <c r="DBW1573" s="866"/>
      <c r="DBX1573" s="866"/>
      <c r="DBY1573" s="866"/>
      <c r="DBZ1573" s="866"/>
      <c r="DCA1573" s="866"/>
      <c r="DCB1573" s="866"/>
      <c r="DCC1573" s="866"/>
      <c r="DCD1573" s="866"/>
      <c r="DCE1573" s="866"/>
      <c r="DCF1573" s="866"/>
      <c r="DCG1573" s="866"/>
      <c r="DCH1573" s="866"/>
      <c r="DCI1573" s="866"/>
      <c r="DCJ1573" s="866"/>
      <c r="DCK1573" s="866"/>
      <c r="DCL1573" s="866"/>
      <c r="DCM1573" s="866"/>
      <c r="DCN1573" s="866"/>
      <c r="DCO1573" s="866"/>
      <c r="DCP1573" s="866"/>
      <c r="DCQ1573" s="866"/>
      <c r="DCR1573" s="866"/>
      <c r="DCS1573" s="866"/>
      <c r="DCT1573" s="866"/>
      <c r="DCU1573" s="866"/>
      <c r="DCV1573" s="866"/>
      <c r="DCW1573" s="866"/>
      <c r="DCX1573" s="866"/>
      <c r="DCY1573" s="866"/>
      <c r="DCZ1573" s="866"/>
      <c r="DDA1573" s="866"/>
      <c r="DDB1573" s="866"/>
      <c r="DDC1573" s="866"/>
      <c r="DDD1573" s="866"/>
      <c r="DDE1573" s="866"/>
      <c r="DDF1573" s="866"/>
      <c r="DDG1573" s="866"/>
      <c r="DDH1573" s="866"/>
      <c r="DDI1573" s="866"/>
      <c r="DDJ1573" s="866"/>
      <c r="DDK1573" s="866"/>
      <c r="DDL1573" s="866"/>
      <c r="DDM1573" s="866"/>
      <c r="DDN1573" s="866"/>
      <c r="DDO1573" s="866"/>
      <c r="DDP1573" s="866"/>
      <c r="DDQ1573" s="866"/>
      <c r="DDR1573" s="866"/>
      <c r="DDS1573" s="866"/>
      <c r="DDT1573" s="866"/>
      <c r="DDU1573" s="866"/>
      <c r="DDV1573" s="866"/>
      <c r="DDW1573" s="866"/>
      <c r="DDX1573" s="866"/>
      <c r="DDY1573" s="866"/>
      <c r="DDZ1573" s="866"/>
      <c r="DEA1573" s="866"/>
      <c r="DEB1573" s="866"/>
      <c r="DEC1573" s="866"/>
      <c r="DED1573" s="866"/>
      <c r="DEE1573" s="866"/>
      <c r="DEF1573" s="866"/>
      <c r="DEG1573" s="866"/>
      <c r="DEH1573" s="866"/>
      <c r="DEI1573" s="866"/>
      <c r="DEJ1573" s="866"/>
      <c r="DEK1573" s="866"/>
      <c r="DEL1573" s="866"/>
      <c r="DEM1573" s="866"/>
      <c r="DEN1573" s="866"/>
      <c r="DEO1573" s="866"/>
      <c r="DEP1573" s="866"/>
      <c r="DEQ1573" s="866"/>
      <c r="DER1573" s="866"/>
      <c r="DES1573" s="866"/>
      <c r="DET1573" s="866"/>
      <c r="DEU1573" s="866"/>
      <c r="DEV1573" s="866"/>
      <c r="DEW1573" s="866"/>
      <c r="DEX1573" s="866"/>
      <c r="DEY1573" s="866"/>
      <c r="DEZ1573" s="866"/>
      <c r="DFA1573" s="866"/>
      <c r="DFB1573" s="866"/>
      <c r="DFC1573" s="866"/>
      <c r="DFD1573" s="866"/>
      <c r="DFE1573" s="866"/>
      <c r="DFF1573" s="866"/>
      <c r="DFG1573" s="866"/>
      <c r="DFH1573" s="866"/>
      <c r="DFI1573" s="866"/>
      <c r="DFJ1573" s="866"/>
      <c r="DFK1573" s="866"/>
      <c r="DFL1573" s="866"/>
      <c r="DFM1573" s="866"/>
      <c r="DFN1573" s="866"/>
      <c r="DFO1573" s="866"/>
      <c r="DFP1573" s="866"/>
      <c r="DFQ1573" s="866"/>
      <c r="DFR1573" s="866"/>
      <c r="DFS1573" s="866"/>
      <c r="DFT1573" s="866"/>
      <c r="DFU1573" s="866"/>
      <c r="DFV1573" s="866"/>
      <c r="DFW1573" s="866"/>
      <c r="DFX1573" s="866"/>
      <c r="DFY1573" s="866"/>
      <c r="DFZ1573" s="866"/>
      <c r="DGA1573" s="866"/>
      <c r="DGB1573" s="866"/>
      <c r="DGC1573" s="866"/>
      <c r="DGD1573" s="866"/>
      <c r="DGE1573" s="866"/>
      <c r="DGF1573" s="866"/>
      <c r="DGG1573" s="866"/>
      <c r="DGH1573" s="866"/>
      <c r="DGI1573" s="866"/>
      <c r="DGJ1573" s="866"/>
      <c r="DGK1573" s="866"/>
      <c r="DGL1573" s="866"/>
      <c r="DGM1573" s="866"/>
      <c r="DGN1573" s="866"/>
      <c r="DGO1573" s="866"/>
      <c r="DGP1573" s="866"/>
      <c r="DGQ1573" s="866"/>
      <c r="DGR1573" s="866"/>
      <c r="DGS1573" s="866"/>
      <c r="DGT1573" s="866"/>
      <c r="DGU1573" s="866"/>
      <c r="DGV1573" s="866"/>
      <c r="DGW1573" s="866"/>
      <c r="DGX1573" s="866"/>
      <c r="DGY1573" s="866"/>
      <c r="DGZ1573" s="866"/>
      <c r="DHA1573" s="866"/>
      <c r="DHB1573" s="866"/>
      <c r="DHC1573" s="866"/>
      <c r="DHD1573" s="866"/>
      <c r="DHE1573" s="866"/>
      <c r="DHF1573" s="866"/>
      <c r="DHG1573" s="866"/>
      <c r="DHH1573" s="866"/>
      <c r="DHI1573" s="866"/>
      <c r="DHJ1573" s="866"/>
      <c r="DHK1573" s="866"/>
      <c r="DHL1573" s="866"/>
      <c r="DHM1573" s="866"/>
      <c r="DHN1573" s="866"/>
      <c r="DHO1573" s="866"/>
      <c r="DHP1573" s="866"/>
      <c r="DHQ1573" s="866"/>
      <c r="DHR1573" s="866"/>
      <c r="DHS1573" s="866"/>
      <c r="DHT1573" s="866"/>
      <c r="DHU1573" s="866"/>
      <c r="DHV1573" s="866"/>
      <c r="DHW1573" s="866"/>
      <c r="DHX1573" s="866"/>
      <c r="DHY1573" s="866"/>
      <c r="DHZ1573" s="866"/>
      <c r="DIA1573" s="866"/>
      <c r="DIB1573" s="866"/>
      <c r="DIC1573" s="866"/>
      <c r="DID1573" s="866"/>
      <c r="DIE1573" s="866"/>
      <c r="DIF1573" s="866"/>
      <c r="DIG1573" s="866"/>
      <c r="DIH1573" s="866"/>
      <c r="DII1573" s="866"/>
      <c r="DIJ1573" s="866"/>
      <c r="DIK1573" s="866"/>
      <c r="DIL1573" s="866"/>
      <c r="DIM1573" s="866"/>
      <c r="DIN1573" s="866"/>
      <c r="DIO1573" s="866"/>
      <c r="DIP1573" s="866"/>
      <c r="DIQ1573" s="866"/>
      <c r="DIR1573" s="866"/>
      <c r="DIS1573" s="866"/>
      <c r="DIT1573" s="866"/>
      <c r="DIU1573" s="866"/>
      <c r="DIV1573" s="866"/>
      <c r="DIW1573" s="866"/>
      <c r="DIX1573" s="866"/>
      <c r="DIY1573" s="866"/>
      <c r="DIZ1573" s="866"/>
      <c r="DJA1573" s="866"/>
      <c r="DJB1573" s="866"/>
      <c r="DJC1573" s="866"/>
      <c r="DJD1573" s="866"/>
      <c r="DJE1573" s="866"/>
      <c r="DJF1573" s="866"/>
      <c r="DJG1573" s="866"/>
      <c r="DJH1573" s="866"/>
      <c r="DJI1573" s="866"/>
      <c r="DJJ1573" s="866"/>
      <c r="DJK1573" s="866"/>
      <c r="DJL1573" s="866"/>
      <c r="DJM1573" s="866"/>
      <c r="DJN1573" s="866"/>
      <c r="DJO1573" s="866"/>
      <c r="DJP1573" s="866"/>
      <c r="DJQ1573" s="866"/>
      <c r="DJR1573" s="866"/>
      <c r="DJS1573" s="866"/>
      <c r="DJT1573" s="866"/>
      <c r="DJU1573" s="866"/>
      <c r="DJV1573" s="866"/>
      <c r="DJW1573" s="866"/>
      <c r="DJX1573" s="866"/>
      <c r="DJY1573" s="866"/>
      <c r="DJZ1573" s="866"/>
      <c r="DKA1573" s="866"/>
      <c r="DKB1573" s="866"/>
      <c r="DKC1573" s="866"/>
      <c r="DKD1573" s="866"/>
      <c r="DKE1573" s="866"/>
      <c r="DKF1573" s="866"/>
      <c r="DKG1573" s="866"/>
      <c r="DKH1573" s="866"/>
      <c r="DKI1573" s="866"/>
      <c r="DKJ1573" s="866"/>
      <c r="DKK1573" s="866"/>
      <c r="DKL1573" s="866"/>
      <c r="DKM1573" s="866"/>
      <c r="DKN1573" s="866"/>
      <c r="DKO1573" s="866"/>
      <c r="DKP1573" s="866"/>
      <c r="DKQ1573" s="866"/>
      <c r="DKR1573" s="866"/>
      <c r="DKS1573" s="866"/>
      <c r="DKT1573" s="866"/>
      <c r="DKU1573" s="866"/>
      <c r="DKV1573" s="866"/>
      <c r="DKW1573" s="866"/>
      <c r="DKX1573" s="866"/>
      <c r="DKY1573" s="866"/>
      <c r="DKZ1573" s="866"/>
      <c r="DLA1573" s="866"/>
      <c r="DLB1573" s="866"/>
      <c r="DLC1573" s="866"/>
      <c r="DLD1573" s="866"/>
      <c r="DLE1573" s="866"/>
      <c r="DLF1573" s="866"/>
      <c r="DLG1573" s="866"/>
      <c r="DLH1573" s="866"/>
      <c r="DLI1573" s="866"/>
      <c r="DLJ1573" s="866"/>
      <c r="DLK1573" s="866"/>
      <c r="DLL1573" s="866"/>
      <c r="DLM1573" s="866"/>
      <c r="DLN1573" s="866"/>
      <c r="DLO1573" s="866"/>
      <c r="DLP1573" s="866"/>
      <c r="DLQ1573" s="866"/>
      <c r="DLR1573" s="866"/>
      <c r="DLS1573" s="866"/>
      <c r="DLT1573" s="866"/>
      <c r="DLU1573" s="866"/>
      <c r="DLV1573" s="866"/>
      <c r="DLW1573" s="866"/>
      <c r="DLX1573" s="866"/>
      <c r="DLY1573" s="866"/>
      <c r="DLZ1573" s="866"/>
      <c r="DMA1573" s="866"/>
      <c r="DMB1573" s="866"/>
      <c r="DMC1573" s="866"/>
      <c r="DMD1573" s="866"/>
      <c r="DME1573" s="866"/>
      <c r="DMF1573" s="866"/>
      <c r="DMG1573" s="866"/>
      <c r="DMH1573" s="866"/>
      <c r="DMI1573" s="866"/>
      <c r="DMJ1573" s="866"/>
      <c r="DMK1573" s="866"/>
      <c r="DML1573" s="866"/>
      <c r="DMM1573" s="866"/>
      <c r="DMN1573" s="866"/>
      <c r="DMO1573" s="866"/>
      <c r="DMP1573" s="866"/>
      <c r="DMQ1573" s="866"/>
      <c r="DMR1573" s="866"/>
      <c r="DMS1573" s="866"/>
      <c r="DMT1573" s="866"/>
      <c r="DMU1573" s="866"/>
      <c r="DMV1573" s="866"/>
      <c r="DMW1573" s="866"/>
      <c r="DMX1573" s="866"/>
      <c r="DMY1573" s="866"/>
      <c r="DMZ1573" s="866"/>
      <c r="DNA1573" s="866"/>
      <c r="DNB1573" s="866"/>
      <c r="DNC1573" s="866"/>
      <c r="DND1573" s="866"/>
      <c r="DNE1573" s="866"/>
      <c r="DNF1573" s="866"/>
      <c r="DNG1573" s="866"/>
      <c r="DNH1573" s="866"/>
      <c r="DNI1573" s="866"/>
      <c r="DNJ1573" s="866"/>
      <c r="DNK1573" s="866"/>
      <c r="DNL1573" s="866"/>
      <c r="DNM1573" s="866"/>
      <c r="DNN1573" s="866"/>
      <c r="DNO1573" s="866"/>
      <c r="DNP1573" s="866"/>
      <c r="DNQ1573" s="866"/>
      <c r="DNR1573" s="866"/>
      <c r="DNS1573" s="866"/>
      <c r="DNT1573" s="866"/>
      <c r="DNU1573" s="866"/>
      <c r="DNV1573" s="866"/>
      <c r="DNW1573" s="866"/>
      <c r="DNX1573" s="866"/>
      <c r="DNY1573" s="866"/>
      <c r="DNZ1573" s="866"/>
      <c r="DOA1573" s="866"/>
      <c r="DOB1573" s="866"/>
      <c r="DOC1573" s="866"/>
      <c r="DOD1573" s="866"/>
      <c r="DOE1573" s="866"/>
      <c r="DOF1573" s="866"/>
      <c r="DOG1573" s="866"/>
      <c r="DOH1573" s="866"/>
      <c r="DOI1573" s="866"/>
      <c r="DOJ1573" s="866"/>
      <c r="DOK1573" s="866"/>
      <c r="DOL1573" s="866"/>
      <c r="DOM1573" s="866"/>
      <c r="DON1573" s="866"/>
      <c r="DOO1573" s="866"/>
      <c r="DOP1573" s="866"/>
      <c r="DOQ1573" s="866"/>
      <c r="DOR1573" s="866"/>
      <c r="DOS1573" s="866"/>
      <c r="DOT1573" s="866"/>
      <c r="DOU1573" s="866"/>
      <c r="DOV1573" s="866"/>
      <c r="DOW1573" s="866"/>
      <c r="DOX1573" s="866"/>
      <c r="DOY1573" s="866"/>
      <c r="DOZ1573" s="866"/>
      <c r="DPA1573" s="866"/>
      <c r="DPB1573" s="866"/>
      <c r="DPC1573" s="866"/>
      <c r="DPD1573" s="866"/>
      <c r="DPE1573" s="866"/>
      <c r="DPF1573" s="866"/>
      <c r="DPG1573" s="866"/>
      <c r="DPH1573" s="866"/>
      <c r="DPI1573" s="866"/>
      <c r="DPJ1573" s="866"/>
      <c r="DPK1573" s="866"/>
      <c r="DPL1573" s="866"/>
      <c r="DPM1573" s="866"/>
      <c r="DPN1573" s="866"/>
      <c r="DPO1573" s="866"/>
      <c r="DPP1573" s="866"/>
      <c r="DPQ1573" s="866"/>
      <c r="DPR1573" s="866"/>
      <c r="DPS1573" s="866"/>
      <c r="DPT1573" s="866"/>
      <c r="DPU1573" s="866"/>
      <c r="DPV1573" s="866"/>
      <c r="DPW1573" s="866"/>
      <c r="DPX1573" s="866"/>
      <c r="DPY1573" s="866"/>
      <c r="DPZ1573" s="866"/>
      <c r="DQA1573" s="866"/>
      <c r="DQB1573" s="866"/>
      <c r="DQC1573" s="866"/>
      <c r="DQD1573" s="866"/>
      <c r="DQE1573" s="866"/>
      <c r="DQF1573" s="866"/>
      <c r="DQG1573" s="866"/>
      <c r="DQH1573" s="866"/>
      <c r="DQI1573" s="866"/>
      <c r="DQJ1573" s="866"/>
      <c r="DQK1573" s="866"/>
      <c r="DQL1573" s="866"/>
      <c r="DQM1573" s="866"/>
      <c r="DQN1573" s="866"/>
      <c r="DQO1573" s="866"/>
      <c r="DQP1573" s="866"/>
      <c r="DQQ1573" s="866"/>
      <c r="DQR1573" s="866"/>
      <c r="DQS1573" s="866"/>
      <c r="DQT1573" s="866"/>
      <c r="DQU1573" s="866"/>
      <c r="DQV1573" s="866"/>
      <c r="DQW1573" s="866"/>
      <c r="DQX1573" s="866"/>
      <c r="DQY1573" s="866"/>
      <c r="DQZ1573" s="866"/>
      <c r="DRA1573" s="866"/>
      <c r="DRB1573" s="866"/>
      <c r="DRC1573" s="866"/>
      <c r="DRD1573" s="866"/>
      <c r="DRE1573" s="866"/>
      <c r="DRF1573" s="866"/>
      <c r="DRG1573" s="866"/>
      <c r="DRH1573" s="866"/>
      <c r="DRI1573" s="866"/>
      <c r="DRJ1573" s="866"/>
      <c r="DRK1573" s="866"/>
      <c r="DRL1573" s="866"/>
      <c r="DRM1573" s="866"/>
      <c r="DRN1573" s="866"/>
      <c r="DRO1573" s="866"/>
      <c r="DRP1573" s="866"/>
      <c r="DRQ1573" s="866"/>
      <c r="DRR1573" s="866"/>
      <c r="DRS1573" s="866"/>
      <c r="DRT1573" s="866"/>
      <c r="DRU1573" s="866"/>
      <c r="DRV1573" s="866"/>
      <c r="DRW1573" s="866"/>
      <c r="DRX1573" s="866"/>
      <c r="DRY1573" s="866"/>
      <c r="DRZ1573" s="866"/>
      <c r="DSA1573" s="866"/>
      <c r="DSB1573" s="866"/>
      <c r="DSC1573" s="866"/>
      <c r="DSD1573" s="866"/>
      <c r="DSE1573" s="866"/>
      <c r="DSF1573" s="866"/>
      <c r="DSG1573" s="866"/>
      <c r="DSH1573" s="866"/>
      <c r="DSI1573" s="866"/>
      <c r="DSJ1573" s="866"/>
      <c r="DSK1573" s="866"/>
      <c r="DSL1573" s="866"/>
      <c r="DSM1573" s="866"/>
      <c r="DSN1573" s="866"/>
      <c r="DSO1573" s="866"/>
      <c r="DSP1573" s="866"/>
      <c r="DSQ1573" s="866"/>
      <c r="DSR1573" s="866"/>
      <c r="DSS1573" s="866"/>
      <c r="DST1573" s="866"/>
      <c r="DSU1573" s="866"/>
      <c r="DSV1573" s="866"/>
      <c r="DSW1573" s="866"/>
      <c r="DSX1573" s="866"/>
      <c r="DSY1573" s="866"/>
      <c r="DSZ1573" s="866"/>
      <c r="DTA1573" s="866"/>
      <c r="DTB1573" s="866"/>
      <c r="DTC1573" s="866"/>
      <c r="DTD1573" s="866"/>
      <c r="DTE1573" s="866"/>
      <c r="DTF1573" s="866"/>
      <c r="DTG1573" s="866"/>
      <c r="DTH1573" s="866"/>
      <c r="DTI1573" s="866"/>
      <c r="DTJ1573" s="866"/>
      <c r="DTK1573" s="866"/>
      <c r="DTL1573" s="866"/>
      <c r="DTM1573" s="866"/>
      <c r="DTN1573" s="866"/>
      <c r="DTO1573" s="866"/>
      <c r="DTP1573" s="866"/>
      <c r="DTQ1573" s="866"/>
      <c r="DTR1573" s="866"/>
      <c r="DTS1573" s="866"/>
      <c r="DTT1573" s="866"/>
      <c r="DTU1573" s="866"/>
      <c r="DTV1573" s="866"/>
      <c r="DTW1573" s="866"/>
      <c r="DTX1573" s="866"/>
      <c r="DTY1573" s="866"/>
      <c r="DTZ1573" s="866"/>
      <c r="DUA1573" s="866"/>
      <c r="DUB1573" s="866"/>
      <c r="DUC1573" s="866"/>
      <c r="DUD1573" s="866"/>
      <c r="DUE1573" s="866"/>
      <c r="DUF1573" s="866"/>
      <c r="DUG1573" s="866"/>
      <c r="DUH1573" s="866"/>
      <c r="DUI1573" s="866"/>
      <c r="DUJ1573" s="866"/>
      <c r="DUK1573" s="866"/>
      <c r="DUL1573" s="866"/>
      <c r="DUM1573" s="866"/>
      <c r="DUN1573" s="866"/>
      <c r="DUO1573" s="866"/>
      <c r="DUP1573" s="866"/>
      <c r="DUQ1573" s="866"/>
      <c r="DUR1573" s="866"/>
      <c r="DUS1573" s="866"/>
      <c r="DUT1573" s="866"/>
      <c r="DUU1573" s="866"/>
      <c r="DUV1573" s="866"/>
      <c r="DUW1573" s="866"/>
      <c r="DUX1573" s="866"/>
      <c r="DUY1573" s="866"/>
      <c r="DUZ1573" s="866"/>
      <c r="DVA1573" s="866"/>
      <c r="DVB1573" s="866"/>
      <c r="DVC1573" s="866"/>
      <c r="DVD1573" s="866"/>
      <c r="DVE1573" s="866"/>
      <c r="DVF1573" s="866"/>
      <c r="DVG1573" s="866"/>
      <c r="DVH1573" s="866"/>
      <c r="DVI1573" s="866"/>
      <c r="DVJ1573" s="866"/>
      <c r="DVK1573" s="866"/>
      <c r="DVL1573" s="866"/>
      <c r="DVM1573" s="866"/>
      <c r="DVN1573" s="866"/>
      <c r="DVO1573" s="866"/>
      <c r="DVP1573" s="866"/>
      <c r="DVQ1573" s="866"/>
      <c r="DVR1573" s="866"/>
      <c r="DVS1573" s="866"/>
      <c r="DVT1573" s="866"/>
      <c r="DVU1573" s="866"/>
      <c r="DVV1573" s="866"/>
      <c r="DVW1573" s="866"/>
      <c r="DVX1573" s="866"/>
      <c r="DVY1573" s="866"/>
      <c r="DVZ1573" s="866"/>
      <c r="DWA1573" s="866"/>
      <c r="DWB1573" s="866"/>
      <c r="DWC1573" s="866"/>
      <c r="DWD1573" s="866"/>
      <c r="DWE1573" s="866"/>
      <c r="DWF1573" s="866"/>
      <c r="DWG1573" s="866"/>
      <c r="DWH1573" s="866"/>
      <c r="DWI1573" s="866"/>
      <c r="DWJ1573" s="866"/>
      <c r="DWK1573" s="866"/>
      <c r="DWL1573" s="866"/>
      <c r="DWM1573" s="866"/>
      <c r="DWN1573" s="866"/>
      <c r="DWO1573" s="866"/>
      <c r="DWP1573" s="866"/>
      <c r="DWQ1573" s="866"/>
      <c r="DWR1573" s="866"/>
      <c r="DWS1573" s="866"/>
      <c r="DWT1573" s="866"/>
      <c r="DWU1573" s="866"/>
      <c r="DWV1573" s="866"/>
      <c r="DWW1573" s="866"/>
      <c r="DWX1573" s="866"/>
      <c r="DWY1573" s="866"/>
      <c r="DWZ1573" s="866"/>
      <c r="DXA1573" s="866"/>
      <c r="DXB1573" s="866"/>
      <c r="DXC1573" s="866"/>
      <c r="DXD1573" s="866"/>
      <c r="DXE1573" s="866"/>
      <c r="DXF1573" s="866"/>
      <c r="DXG1573" s="866"/>
      <c r="DXH1573" s="866"/>
      <c r="DXI1573" s="866"/>
      <c r="DXJ1573" s="866"/>
      <c r="DXK1573" s="866"/>
      <c r="DXL1573" s="866"/>
      <c r="DXM1573" s="866"/>
      <c r="DXN1573" s="866"/>
      <c r="DXO1573" s="866"/>
      <c r="DXP1573" s="866"/>
      <c r="DXQ1573" s="866"/>
      <c r="DXR1573" s="866"/>
      <c r="DXS1573" s="866"/>
      <c r="DXT1573" s="866"/>
      <c r="DXU1573" s="866"/>
      <c r="DXV1573" s="866"/>
      <c r="DXW1573" s="866"/>
      <c r="DXX1573" s="866"/>
      <c r="DXY1573" s="866"/>
      <c r="DXZ1573" s="866"/>
      <c r="DYA1573" s="866"/>
      <c r="DYB1573" s="866"/>
      <c r="DYC1573" s="866"/>
      <c r="DYD1573" s="866"/>
      <c r="DYE1573" s="866"/>
      <c r="DYF1573" s="866"/>
      <c r="DYG1573" s="866"/>
      <c r="DYH1573" s="866"/>
      <c r="DYI1573" s="866"/>
      <c r="DYJ1573" s="866"/>
      <c r="DYK1573" s="866"/>
      <c r="DYL1573" s="866"/>
      <c r="DYM1573" s="866"/>
      <c r="DYN1573" s="866"/>
      <c r="DYO1573" s="866"/>
      <c r="DYP1573" s="866"/>
      <c r="DYQ1573" s="866"/>
      <c r="DYR1573" s="866"/>
      <c r="DYS1573" s="866"/>
      <c r="DYT1573" s="866"/>
      <c r="DYU1573" s="866"/>
      <c r="DYV1573" s="866"/>
      <c r="DYW1573" s="866"/>
      <c r="DYX1573" s="866"/>
      <c r="DYY1573" s="866"/>
      <c r="DYZ1573" s="866"/>
      <c r="DZA1573" s="866"/>
      <c r="DZB1573" s="866"/>
      <c r="DZC1573" s="866"/>
      <c r="DZD1573" s="866"/>
      <c r="DZE1573" s="866"/>
      <c r="DZF1573" s="866"/>
      <c r="DZG1573" s="866"/>
      <c r="DZH1573" s="866"/>
      <c r="DZI1573" s="866"/>
      <c r="DZJ1573" s="866"/>
      <c r="DZK1573" s="866"/>
      <c r="DZL1573" s="866"/>
      <c r="DZM1573" s="866"/>
      <c r="DZN1573" s="866"/>
      <c r="DZO1573" s="866"/>
      <c r="DZP1573" s="866"/>
      <c r="DZQ1573" s="866"/>
      <c r="DZR1573" s="866"/>
      <c r="DZS1573" s="866"/>
      <c r="DZT1573" s="866"/>
      <c r="DZU1573" s="866"/>
      <c r="DZV1573" s="866"/>
      <c r="DZW1573" s="866"/>
      <c r="DZX1573" s="866"/>
      <c r="DZY1573" s="866"/>
      <c r="DZZ1573" s="866"/>
      <c r="EAA1573" s="866"/>
      <c r="EAB1573" s="866"/>
      <c r="EAC1573" s="866"/>
      <c r="EAD1573" s="866"/>
      <c r="EAE1573" s="866"/>
      <c r="EAF1573" s="866"/>
      <c r="EAG1573" s="866"/>
      <c r="EAH1573" s="866"/>
      <c r="EAI1573" s="866"/>
      <c r="EAJ1573" s="866"/>
      <c r="EAK1573" s="866"/>
      <c r="EAL1573" s="866"/>
      <c r="EAM1573" s="866"/>
      <c r="EAN1573" s="866"/>
      <c r="EAO1573" s="866"/>
      <c r="EAP1573" s="866"/>
      <c r="EAQ1573" s="866"/>
      <c r="EAR1573" s="866"/>
      <c r="EAS1573" s="866"/>
      <c r="EAT1573" s="866"/>
      <c r="EAU1573" s="866"/>
      <c r="EAV1573" s="866"/>
      <c r="EAW1573" s="866"/>
      <c r="EAX1573" s="866"/>
      <c r="EAY1573" s="866"/>
      <c r="EAZ1573" s="866"/>
      <c r="EBA1573" s="866"/>
      <c r="EBB1573" s="866"/>
      <c r="EBC1573" s="866"/>
      <c r="EBD1573" s="866"/>
      <c r="EBE1573" s="866"/>
      <c r="EBF1573" s="866"/>
      <c r="EBG1573" s="866"/>
      <c r="EBH1573" s="866"/>
      <c r="EBI1573" s="866"/>
      <c r="EBJ1573" s="866"/>
      <c r="EBK1573" s="866"/>
      <c r="EBL1573" s="866"/>
      <c r="EBM1573" s="866"/>
      <c r="EBN1573" s="866"/>
      <c r="EBO1573" s="866"/>
      <c r="EBP1573" s="866"/>
      <c r="EBQ1573" s="866"/>
      <c r="EBR1573" s="866"/>
      <c r="EBS1573" s="866"/>
      <c r="EBT1573" s="866"/>
      <c r="EBU1573" s="866"/>
      <c r="EBV1573" s="866"/>
      <c r="EBW1573" s="866"/>
      <c r="EBX1573" s="866"/>
      <c r="EBY1573" s="866"/>
      <c r="EBZ1573" s="866"/>
      <c r="ECA1573" s="866"/>
      <c r="ECB1573" s="866"/>
      <c r="ECC1573" s="866"/>
      <c r="ECD1573" s="866"/>
      <c r="ECE1573" s="866"/>
      <c r="ECF1573" s="866"/>
      <c r="ECG1573" s="866"/>
      <c r="ECH1573" s="866"/>
      <c r="ECI1573" s="866"/>
      <c r="ECJ1573" s="866"/>
      <c r="ECK1573" s="866"/>
      <c r="ECL1573" s="866"/>
      <c r="ECM1573" s="866"/>
      <c r="ECN1573" s="866"/>
      <c r="ECO1573" s="866"/>
      <c r="ECP1573" s="866"/>
      <c r="ECQ1573" s="866"/>
      <c r="ECR1573" s="866"/>
      <c r="ECS1573" s="866"/>
      <c r="ECT1573" s="866"/>
      <c r="ECU1573" s="866"/>
      <c r="ECV1573" s="866"/>
      <c r="ECW1573" s="866"/>
      <c r="ECX1573" s="866"/>
      <c r="ECY1573" s="866"/>
      <c r="ECZ1573" s="866"/>
      <c r="EDA1573" s="866"/>
      <c r="EDB1573" s="866"/>
      <c r="EDC1573" s="866"/>
      <c r="EDD1573" s="866"/>
      <c r="EDE1573" s="866"/>
      <c r="EDF1573" s="866"/>
      <c r="EDG1573" s="866"/>
      <c r="EDH1573" s="866"/>
      <c r="EDI1573" s="866"/>
      <c r="EDJ1573" s="866"/>
      <c r="EDK1573" s="866"/>
      <c r="EDL1573" s="866"/>
      <c r="EDM1573" s="866"/>
      <c r="EDN1573" s="866"/>
      <c r="EDO1573" s="866"/>
      <c r="EDP1573" s="866"/>
      <c r="EDQ1573" s="866"/>
      <c r="EDR1573" s="866"/>
      <c r="EDS1573" s="866"/>
      <c r="EDT1573" s="866"/>
      <c r="EDU1573" s="866"/>
      <c r="EDV1573" s="866"/>
      <c r="EDW1573" s="866"/>
      <c r="EDX1573" s="866"/>
      <c r="EDY1573" s="866"/>
      <c r="EDZ1573" s="866"/>
      <c r="EEA1573" s="866"/>
      <c r="EEB1573" s="866"/>
      <c r="EEC1573" s="866"/>
      <c r="EED1573" s="866"/>
      <c r="EEE1573" s="866"/>
      <c r="EEF1573" s="866"/>
      <c r="EEG1573" s="866"/>
      <c r="EEH1573" s="866"/>
      <c r="EEI1573" s="866"/>
      <c r="EEJ1573" s="866"/>
      <c r="EEK1573" s="866"/>
      <c r="EEL1573" s="866"/>
      <c r="EEM1573" s="866"/>
      <c r="EEN1573" s="866"/>
      <c r="EEO1573" s="866"/>
      <c r="EEP1573" s="866"/>
      <c r="EEQ1573" s="866"/>
      <c r="EER1573" s="866"/>
      <c r="EES1573" s="866"/>
      <c r="EET1573" s="866"/>
      <c r="EEU1573" s="866"/>
      <c r="EEV1573" s="866"/>
      <c r="EEW1573" s="866"/>
      <c r="EEX1573" s="866"/>
      <c r="EEY1573" s="866"/>
      <c r="EEZ1573" s="866"/>
      <c r="EFA1573" s="866"/>
      <c r="EFB1573" s="866"/>
      <c r="EFC1573" s="866"/>
      <c r="EFD1573" s="866"/>
      <c r="EFE1573" s="866"/>
      <c r="EFF1573" s="866"/>
      <c r="EFG1573" s="866"/>
      <c r="EFH1573" s="866"/>
      <c r="EFI1573" s="866"/>
      <c r="EFJ1573" s="866"/>
      <c r="EFK1573" s="866"/>
      <c r="EFL1573" s="866"/>
      <c r="EFM1573" s="866"/>
      <c r="EFN1573" s="866"/>
      <c r="EFO1573" s="866"/>
      <c r="EFP1573" s="866"/>
      <c r="EFQ1573" s="866"/>
      <c r="EFR1573" s="866"/>
      <c r="EFS1573" s="866"/>
      <c r="EFT1573" s="866"/>
      <c r="EFU1573" s="866"/>
      <c r="EFV1573" s="866"/>
      <c r="EFW1573" s="866"/>
      <c r="EFX1573" s="866"/>
      <c r="EFY1573" s="866"/>
      <c r="EFZ1573" s="866"/>
      <c r="EGA1573" s="866"/>
      <c r="EGB1573" s="866"/>
      <c r="EGC1573" s="866"/>
      <c r="EGD1573" s="866"/>
      <c r="EGE1573" s="866"/>
      <c r="EGF1573" s="866"/>
      <c r="EGG1573" s="866"/>
      <c r="EGH1573" s="866"/>
      <c r="EGI1573" s="866"/>
      <c r="EGJ1573" s="866"/>
      <c r="EGK1573" s="866"/>
      <c r="EGL1573" s="866"/>
      <c r="EGM1573" s="866"/>
      <c r="EGN1573" s="866"/>
      <c r="EGO1573" s="866"/>
      <c r="EGP1573" s="866"/>
      <c r="EGQ1573" s="866"/>
      <c r="EGR1573" s="866"/>
      <c r="EGS1573" s="866"/>
      <c r="EGT1573" s="866"/>
      <c r="EGU1573" s="866"/>
      <c r="EGV1573" s="866"/>
      <c r="EGW1573" s="866"/>
      <c r="EGX1573" s="866"/>
      <c r="EGY1573" s="866"/>
      <c r="EGZ1573" s="866"/>
      <c r="EHA1573" s="866"/>
      <c r="EHB1573" s="866"/>
      <c r="EHC1573" s="866"/>
      <c r="EHD1573" s="866"/>
      <c r="EHE1573" s="866"/>
      <c r="EHF1573" s="866"/>
      <c r="EHG1573" s="866"/>
      <c r="EHH1573" s="866"/>
      <c r="EHI1573" s="866"/>
      <c r="EHJ1573" s="866"/>
      <c r="EHK1573" s="866"/>
      <c r="EHL1573" s="866"/>
      <c r="EHM1573" s="866"/>
      <c r="EHN1573" s="866"/>
      <c r="EHO1573" s="866"/>
      <c r="EHP1573" s="866"/>
      <c r="EHQ1573" s="866"/>
      <c r="EHR1573" s="866"/>
      <c r="EHS1573" s="866"/>
      <c r="EHT1573" s="866"/>
      <c r="EHU1573" s="866"/>
      <c r="EHV1573" s="866"/>
      <c r="EHW1573" s="866"/>
      <c r="EHX1573" s="866"/>
      <c r="EHY1573" s="866"/>
      <c r="EHZ1573" s="866"/>
      <c r="EIA1573" s="866"/>
      <c r="EIB1573" s="866"/>
      <c r="EIC1573" s="866"/>
      <c r="EID1573" s="866"/>
      <c r="EIE1573" s="866"/>
      <c r="EIF1573" s="866"/>
      <c r="EIG1573" s="866"/>
      <c r="EIH1573" s="866"/>
      <c r="EII1573" s="866"/>
      <c r="EIJ1573" s="866"/>
      <c r="EIK1573" s="866"/>
      <c r="EIL1573" s="866"/>
      <c r="EIM1573" s="866"/>
      <c r="EIN1573" s="866"/>
      <c r="EIO1573" s="866"/>
      <c r="EIP1573" s="866"/>
      <c r="EIQ1573" s="866"/>
      <c r="EIR1573" s="866"/>
      <c r="EIS1573" s="866"/>
      <c r="EIT1573" s="866"/>
      <c r="EIU1573" s="866"/>
      <c r="EIV1573" s="866"/>
      <c r="EIW1573" s="866"/>
      <c r="EIX1573" s="866"/>
      <c r="EIY1573" s="866"/>
      <c r="EIZ1573" s="866"/>
      <c r="EJA1573" s="866"/>
      <c r="EJB1573" s="866"/>
      <c r="EJC1573" s="866"/>
      <c r="EJD1573" s="866"/>
      <c r="EJE1573" s="866"/>
      <c r="EJF1573" s="866"/>
      <c r="EJG1573" s="866"/>
      <c r="EJH1573" s="866"/>
      <c r="EJI1573" s="866"/>
      <c r="EJJ1573" s="866"/>
      <c r="EJK1573" s="866"/>
      <c r="EJL1573" s="866"/>
      <c r="EJM1573" s="866"/>
      <c r="EJN1573" s="866"/>
      <c r="EJO1573" s="866"/>
      <c r="EJP1573" s="866"/>
      <c r="EJQ1573" s="866"/>
      <c r="EJR1573" s="866"/>
      <c r="EJS1573" s="866"/>
      <c r="EJT1573" s="866"/>
      <c r="EJU1573" s="866"/>
      <c r="EJV1573" s="866"/>
      <c r="EJW1573" s="866"/>
      <c r="EJX1573" s="866"/>
      <c r="EJY1573" s="866"/>
      <c r="EJZ1573" s="866"/>
      <c r="EKA1573" s="866"/>
      <c r="EKB1573" s="866"/>
      <c r="EKC1573" s="866"/>
      <c r="EKD1573" s="866"/>
      <c r="EKE1573" s="866"/>
      <c r="EKF1573" s="866"/>
      <c r="EKG1573" s="866"/>
      <c r="EKH1573" s="866"/>
      <c r="EKI1573" s="866"/>
      <c r="EKJ1573" s="866"/>
      <c r="EKK1573" s="866"/>
      <c r="EKL1573" s="866"/>
      <c r="EKM1573" s="866"/>
      <c r="EKN1573" s="866"/>
      <c r="EKO1573" s="866"/>
      <c r="EKP1573" s="866"/>
      <c r="EKQ1573" s="866"/>
      <c r="EKR1573" s="866"/>
      <c r="EKS1573" s="866"/>
      <c r="EKT1573" s="866"/>
      <c r="EKU1573" s="866"/>
      <c r="EKV1573" s="866"/>
      <c r="EKW1573" s="866"/>
      <c r="EKX1573" s="866"/>
      <c r="EKY1573" s="866"/>
      <c r="EKZ1573" s="866"/>
      <c r="ELA1573" s="866"/>
      <c r="ELB1573" s="866"/>
      <c r="ELC1573" s="866"/>
      <c r="ELD1573" s="866"/>
      <c r="ELE1573" s="866"/>
      <c r="ELF1573" s="866"/>
      <c r="ELG1573" s="866"/>
      <c r="ELH1573" s="866"/>
      <c r="ELI1573" s="866"/>
      <c r="ELJ1573" s="866"/>
      <c r="ELK1573" s="866"/>
      <c r="ELL1573" s="866"/>
      <c r="ELM1573" s="866"/>
      <c r="ELN1573" s="866"/>
      <c r="ELO1573" s="866"/>
      <c r="ELP1573" s="866"/>
      <c r="ELQ1573" s="866"/>
      <c r="ELR1573" s="866"/>
      <c r="ELS1573" s="866"/>
      <c r="ELT1573" s="866"/>
      <c r="ELU1573" s="866"/>
      <c r="ELV1573" s="866"/>
      <c r="ELW1573" s="866"/>
      <c r="ELX1573" s="866"/>
      <c r="ELY1573" s="866"/>
      <c r="ELZ1573" s="866"/>
      <c r="EMA1573" s="866"/>
      <c r="EMB1573" s="866"/>
      <c r="EMC1573" s="866"/>
      <c r="EMD1573" s="866"/>
      <c r="EME1573" s="866"/>
      <c r="EMF1573" s="866"/>
      <c r="EMG1573" s="866"/>
      <c r="EMH1573" s="866"/>
      <c r="EMI1573" s="866"/>
      <c r="EMJ1573" s="866"/>
      <c r="EMK1573" s="866"/>
      <c r="EML1573" s="866"/>
      <c r="EMM1573" s="866"/>
      <c r="EMN1573" s="866"/>
      <c r="EMO1573" s="866"/>
      <c r="EMP1573" s="866"/>
      <c r="EMQ1573" s="866"/>
      <c r="EMR1573" s="866"/>
      <c r="EMS1573" s="866"/>
      <c r="EMT1573" s="866"/>
      <c r="EMU1573" s="866"/>
      <c r="EMV1573" s="866"/>
      <c r="EMW1573" s="866"/>
      <c r="EMX1573" s="866"/>
      <c r="EMY1573" s="866"/>
      <c r="EMZ1573" s="866"/>
      <c r="ENA1573" s="866"/>
      <c r="ENB1573" s="866"/>
      <c r="ENC1573" s="866"/>
      <c r="END1573" s="866"/>
      <c r="ENE1573" s="866"/>
      <c r="ENF1573" s="866"/>
      <c r="ENG1573" s="866"/>
      <c r="ENH1573" s="866"/>
      <c r="ENI1573" s="866"/>
      <c r="ENJ1573" s="866"/>
      <c r="ENK1573" s="866"/>
      <c r="ENL1573" s="866"/>
      <c r="ENM1573" s="866"/>
      <c r="ENN1573" s="866"/>
      <c r="ENO1573" s="866"/>
      <c r="ENP1573" s="866"/>
      <c r="ENQ1573" s="866"/>
      <c r="ENR1573" s="866"/>
      <c r="ENS1573" s="866"/>
      <c r="ENT1573" s="866"/>
      <c r="ENU1573" s="866"/>
      <c r="ENV1573" s="866"/>
      <c r="ENW1573" s="866"/>
      <c r="ENX1573" s="866"/>
      <c r="ENY1573" s="866"/>
      <c r="ENZ1573" s="866"/>
      <c r="EOA1573" s="866"/>
      <c r="EOB1573" s="866"/>
      <c r="EOC1573" s="866"/>
      <c r="EOD1573" s="866"/>
      <c r="EOE1573" s="866"/>
      <c r="EOF1573" s="866"/>
      <c r="EOG1573" s="866"/>
      <c r="EOH1573" s="866"/>
      <c r="EOI1573" s="866"/>
      <c r="EOJ1573" s="866"/>
      <c r="EOK1573" s="866"/>
      <c r="EOL1573" s="866"/>
      <c r="EOM1573" s="866"/>
      <c r="EON1573" s="866"/>
      <c r="EOO1573" s="866"/>
      <c r="EOP1573" s="866"/>
      <c r="EOQ1573" s="866"/>
      <c r="EOR1573" s="866"/>
      <c r="EOS1573" s="866"/>
      <c r="EOT1573" s="866"/>
      <c r="EOU1573" s="866"/>
      <c r="EOV1573" s="866"/>
      <c r="EOW1573" s="866"/>
      <c r="EOX1573" s="866"/>
      <c r="EOY1573" s="866"/>
      <c r="EOZ1573" s="866"/>
      <c r="EPA1573" s="866"/>
      <c r="EPB1573" s="866"/>
      <c r="EPC1573" s="866"/>
      <c r="EPD1573" s="866"/>
      <c r="EPE1573" s="866"/>
      <c r="EPF1573" s="866"/>
      <c r="EPG1573" s="866"/>
      <c r="EPH1573" s="866"/>
      <c r="EPI1573" s="866"/>
      <c r="EPJ1573" s="866"/>
      <c r="EPK1573" s="866"/>
      <c r="EPL1573" s="866"/>
      <c r="EPM1573" s="866"/>
      <c r="EPN1573" s="866"/>
      <c r="EPO1573" s="866"/>
      <c r="EPP1573" s="866"/>
      <c r="EPQ1573" s="866"/>
      <c r="EPR1573" s="866"/>
      <c r="EPS1573" s="866"/>
      <c r="EPT1573" s="866"/>
      <c r="EPU1573" s="866"/>
      <c r="EPV1573" s="866"/>
      <c r="EPW1573" s="866"/>
      <c r="EPX1573" s="866"/>
      <c r="EPY1573" s="866"/>
      <c r="EPZ1573" s="866"/>
      <c r="EQA1573" s="866"/>
      <c r="EQB1573" s="866"/>
      <c r="EQC1573" s="866"/>
      <c r="EQD1573" s="866"/>
      <c r="EQE1573" s="866"/>
      <c r="EQF1573" s="866"/>
      <c r="EQG1573" s="866"/>
      <c r="EQH1573" s="866"/>
      <c r="EQI1573" s="866"/>
      <c r="EQJ1573" s="866"/>
      <c r="EQK1573" s="866"/>
      <c r="EQL1573" s="866"/>
      <c r="EQM1573" s="866"/>
      <c r="EQN1573" s="866"/>
      <c r="EQO1573" s="866"/>
      <c r="EQP1573" s="866"/>
      <c r="EQQ1573" s="866"/>
      <c r="EQR1573" s="866"/>
      <c r="EQS1573" s="866"/>
      <c r="EQT1573" s="866"/>
      <c r="EQU1573" s="866"/>
      <c r="EQV1573" s="866"/>
      <c r="EQW1573" s="866"/>
      <c r="EQX1573" s="866"/>
      <c r="EQY1573" s="866"/>
      <c r="EQZ1573" s="866"/>
      <c r="ERA1573" s="866"/>
      <c r="ERB1573" s="866"/>
      <c r="ERC1573" s="866"/>
      <c r="ERD1573" s="866"/>
      <c r="ERE1573" s="866"/>
      <c r="ERF1573" s="866"/>
      <c r="ERG1573" s="866"/>
      <c r="ERH1573" s="866"/>
      <c r="ERI1573" s="866"/>
      <c r="ERJ1573" s="866"/>
      <c r="ERK1573" s="866"/>
      <c r="ERL1573" s="866"/>
      <c r="ERM1573" s="866"/>
      <c r="ERN1573" s="866"/>
      <c r="ERO1573" s="866"/>
      <c r="ERP1573" s="866"/>
      <c r="ERQ1573" s="866"/>
      <c r="ERR1573" s="866"/>
      <c r="ERS1573" s="866"/>
      <c r="ERT1573" s="866"/>
      <c r="ERU1573" s="866"/>
      <c r="ERV1573" s="866"/>
      <c r="ERW1573" s="866"/>
      <c r="ERX1573" s="866"/>
      <c r="ERY1573" s="866"/>
      <c r="ERZ1573" s="866"/>
      <c r="ESA1573" s="866"/>
      <c r="ESB1573" s="866"/>
      <c r="ESC1573" s="866"/>
      <c r="ESD1573" s="866"/>
      <c r="ESE1573" s="866"/>
      <c r="ESF1573" s="866"/>
      <c r="ESG1573" s="866"/>
      <c r="ESH1573" s="866"/>
      <c r="ESI1573" s="866"/>
      <c r="ESJ1573" s="866"/>
      <c r="ESK1573" s="866"/>
      <c r="ESL1573" s="866"/>
      <c r="ESM1573" s="866"/>
      <c r="ESN1573" s="866"/>
      <c r="ESO1573" s="866"/>
      <c r="ESP1573" s="866"/>
      <c r="ESQ1573" s="866"/>
      <c r="ESR1573" s="866"/>
      <c r="ESS1573" s="866"/>
      <c r="EST1573" s="866"/>
      <c r="ESU1573" s="866"/>
      <c r="ESV1573" s="866"/>
      <c r="ESW1573" s="866"/>
      <c r="ESX1573" s="866"/>
      <c r="ESY1573" s="866"/>
      <c r="ESZ1573" s="866"/>
      <c r="ETA1573" s="866"/>
      <c r="ETB1573" s="866"/>
      <c r="ETC1573" s="866"/>
      <c r="ETD1573" s="866"/>
      <c r="ETE1573" s="866"/>
      <c r="ETF1573" s="866"/>
      <c r="ETG1573" s="866"/>
      <c r="ETH1573" s="866"/>
      <c r="ETI1573" s="866"/>
      <c r="ETJ1573" s="866"/>
      <c r="ETK1573" s="866"/>
      <c r="ETL1573" s="866"/>
      <c r="ETM1573" s="866"/>
      <c r="ETN1573" s="866"/>
      <c r="ETO1573" s="866"/>
      <c r="ETP1573" s="866"/>
      <c r="ETQ1573" s="866"/>
      <c r="ETR1573" s="866"/>
      <c r="ETS1573" s="866"/>
      <c r="ETT1573" s="866"/>
      <c r="ETU1573" s="866"/>
      <c r="ETV1573" s="866"/>
      <c r="ETW1573" s="866"/>
      <c r="ETX1573" s="866"/>
      <c r="ETY1573" s="866"/>
      <c r="ETZ1573" s="866"/>
      <c r="EUA1573" s="866"/>
      <c r="EUB1573" s="866"/>
      <c r="EUC1573" s="866"/>
      <c r="EUD1573" s="866"/>
      <c r="EUE1573" s="866"/>
      <c r="EUF1573" s="866"/>
      <c r="EUG1573" s="866"/>
      <c r="EUH1573" s="866"/>
      <c r="EUI1573" s="866"/>
      <c r="EUJ1573" s="866"/>
      <c r="EUK1573" s="866"/>
      <c r="EUL1573" s="866"/>
      <c r="EUM1573" s="866"/>
      <c r="EUN1573" s="866"/>
      <c r="EUO1573" s="866"/>
      <c r="EUP1573" s="866"/>
      <c r="EUQ1573" s="866"/>
      <c r="EUR1573" s="866"/>
      <c r="EUS1573" s="866"/>
      <c r="EUT1573" s="866"/>
      <c r="EUU1573" s="866"/>
      <c r="EUV1573" s="866"/>
      <c r="EUW1573" s="866"/>
      <c r="EUX1573" s="866"/>
      <c r="EUY1573" s="866"/>
      <c r="EUZ1573" s="866"/>
      <c r="EVA1573" s="866"/>
      <c r="EVB1573" s="866"/>
      <c r="EVC1573" s="866"/>
      <c r="EVD1573" s="866"/>
      <c r="EVE1573" s="866"/>
      <c r="EVF1573" s="866"/>
      <c r="EVG1573" s="866"/>
      <c r="EVH1573" s="866"/>
      <c r="EVI1573" s="866"/>
      <c r="EVJ1573" s="866"/>
      <c r="EVK1573" s="866"/>
      <c r="EVL1573" s="866"/>
      <c r="EVM1573" s="866"/>
      <c r="EVN1573" s="866"/>
      <c r="EVO1573" s="866"/>
      <c r="EVP1573" s="866"/>
      <c r="EVQ1573" s="866"/>
      <c r="EVR1573" s="866"/>
      <c r="EVS1573" s="866"/>
      <c r="EVT1573" s="866"/>
      <c r="EVU1573" s="866"/>
      <c r="EVV1573" s="866"/>
      <c r="EVW1573" s="866"/>
      <c r="EVX1573" s="866"/>
      <c r="EVY1573" s="866"/>
      <c r="EVZ1573" s="866"/>
      <c r="EWA1573" s="866"/>
      <c r="EWB1573" s="866"/>
      <c r="EWC1573" s="866"/>
      <c r="EWD1573" s="866"/>
      <c r="EWE1573" s="866"/>
      <c r="EWF1573" s="866"/>
      <c r="EWG1573" s="866"/>
      <c r="EWH1573" s="866"/>
      <c r="EWI1573" s="866"/>
      <c r="EWJ1573" s="866"/>
      <c r="EWK1573" s="866"/>
      <c r="EWL1573" s="866"/>
      <c r="EWM1573" s="866"/>
      <c r="EWN1573" s="866"/>
      <c r="EWO1573" s="866"/>
      <c r="EWP1573" s="866"/>
      <c r="EWQ1573" s="866"/>
      <c r="EWR1573" s="866"/>
      <c r="EWS1573" s="866"/>
      <c r="EWT1573" s="866"/>
      <c r="EWU1573" s="866"/>
      <c r="EWV1573" s="866"/>
      <c r="EWW1573" s="866"/>
      <c r="EWX1573" s="866"/>
      <c r="EWY1573" s="866"/>
      <c r="EWZ1573" s="866"/>
      <c r="EXA1573" s="866"/>
      <c r="EXB1573" s="866"/>
      <c r="EXC1573" s="866"/>
      <c r="EXD1573" s="866"/>
      <c r="EXE1573" s="866"/>
      <c r="EXF1573" s="866"/>
      <c r="EXG1573" s="866"/>
      <c r="EXH1573" s="866"/>
      <c r="EXI1573" s="866"/>
      <c r="EXJ1573" s="866"/>
      <c r="EXK1573" s="866"/>
      <c r="EXL1573" s="866"/>
      <c r="EXM1573" s="866"/>
      <c r="EXN1573" s="866"/>
      <c r="EXO1573" s="866"/>
      <c r="EXP1573" s="866"/>
      <c r="EXQ1573" s="866"/>
      <c r="EXR1573" s="866"/>
      <c r="EXS1573" s="866"/>
      <c r="EXT1573" s="866"/>
      <c r="EXU1573" s="866"/>
      <c r="EXV1573" s="866"/>
      <c r="EXW1573" s="866"/>
      <c r="EXX1573" s="866"/>
      <c r="EXY1573" s="866"/>
      <c r="EXZ1573" s="866"/>
      <c r="EYA1573" s="866"/>
      <c r="EYB1573" s="866"/>
      <c r="EYC1573" s="866"/>
      <c r="EYD1573" s="866"/>
      <c r="EYE1573" s="866"/>
      <c r="EYF1573" s="866"/>
      <c r="EYG1573" s="866"/>
      <c r="EYH1573" s="866"/>
      <c r="EYI1573" s="866"/>
      <c r="EYJ1573" s="866"/>
      <c r="EYK1573" s="866"/>
      <c r="EYL1573" s="866"/>
      <c r="EYM1573" s="866"/>
      <c r="EYN1573" s="866"/>
      <c r="EYO1573" s="866"/>
      <c r="EYP1573" s="866"/>
      <c r="EYQ1573" s="866"/>
      <c r="EYR1573" s="866"/>
      <c r="EYS1573" s="866"/>
      <c r="EYT1573" s="866"/>
      <c r="EYU1573" s="866"/>
      <c r="EYV1573" s="866"/>
      <c r="EYW1573" s="866"/>
      <c r="EYX1573" s="866"/>
      <c r="EYY1573" s="866"/>
      <c r="EYZ1573" s="866"/>
      <c r="EZA1573" s="866"/>
      <c r="EZB1573" s="866"/>
      <c r="EZC1573" s="866"/>
      <c r="EZD1573" s="866"/>
      <c r="EZE1573" s="866"/>
      <c r="EZF1573" s="866"/>
      <c r="EZG1573" s="866"/>
      <c r="EZH1573" s="866"/>
      <c r="EZI1573" s="866"/>
      <c r="EZJ1573" s="866"/>
      <c r="EZK1573" s="866"/>
      <c r="EZL1573" s="866"/>
      <c r="EZM1573" s="866"/>
      <c r="EZN1573" s="866"/>
      <c r="EZO1573" s="866"/>
      <c r="EZP1573" s="866"/>
      <c r="EZQ1573" s="866"/>
      <c r="EZR1573" s="866"/>
      <c r="EZS1573" s="866"/>
      <c r="EZT1573" s="866"/>
      <c r="EZU1573" s="866"/>
      <c r="EZV1573" s="866"/>
      <c r="EZW1573" s="866"/>
      <c r="EZX1573" s="866"/>
      <c r="EZY1573" s="866"/>
      <c r="EZZ1573" s="866"/>
      <c r="FAA1573" s="866"/>
      <c r="FAB1573" s="866"/>
      <c r="FAC1573" s="866"/>
      <c r="FAD1573" s="866"/>
      <c r="FAE1573" s="866"/>
      <c r="FAF1573" s="866"/>
      <c r="FAG1573" s="866"/>
      <c r="FAH1573" s="866"/>
      <c r="FAI1573" s="866"/>
      <c r="FAJ1573" s="866"/>
      <c r="FAK1573" s="866"/>
      <c r="FAL1573" s="866"/>
      <c r="FAM1573" s="866"/>
      <c r="FAN1573" s="866"/>
      <c r="FAO1573" s="866"/>
      <c r="FAP1573" s="866"/>
      <c r="FAQ1573" s="866"/>
      <c r="FAR1573" s="866"/>
      <c r="FAS1573" s="866"/>
      <c r="FAT1573" s="866"/>
      <c r="FAU1573" s="866"/>
      <c r="FAV1573" s="866"/>
      <c r="FAW1573" s="866"/>
      <c r="FAX1573" s="866"/>
      <c r="FAY1573" s="866"/>
      <c r="FAZ1573" s="866"/>
      <c r="FBA1573" s="866"/>
      <c r="FBB1573" s="866"/>
      <c r="FBC1573" s="866"/>
      <c r="FBD1573" s="866"/>
      <c r="FBE1573" s="866"/>
      <c r="FBF1573" s="866"/>
      <c r="FBG1573" s="866"/>
      <c r="FBH1573" s="866"/>
      <c r="FBI1573" s="866"/>
      <c r="FBJ1573" s="866"/>
      <c r="FBK1573" s="866"/>
      <c r="FBL1573" s="866"/>
      <c r="FBM1573" s="866"/>
      <c r="FBN1573" s="866"/>
      <c r="FBO1573" s="866"/>
      <c r="FBP1573" s="866"/>
      <c r="FBQ1573" s="866"/>
      <c r="FBR1573" s="866"/>
      <c r="FBS1573" s="866"/>
      <c r="FBT1573" s="866"/>
      <c r="FBU1573" s="866"/>
      <c r="FBV1573" s="866"/>
      <c r="FBW1573" s="866"/>
      <c r="FBX1573" s="866"/>
      <c r="FBY1573" s="866"/>
      <c r="FBZ1573" s="866"/>
      <c r="FCA1573" s="866"/>
      <c r="FCB1573" s="866"/>
      <c r="FCC1573" s="866"/>
      <c r="FCD1573" s="866"/>
      <c r="FCE1573" s="866"/>
      <c r="FCF1573" s="866"/>
      <c r="FCG1573" s="866"/>
      <c r="FCH1573" s="866"/>
      <c r="FCI1573" s="866"/>
      <c r="FCJ1573" s="866"/>
      <c r="FCK1573" s="866"/>
      <c r="FCL1573" s="866"/>
      <c r="FCM1573" s="866"/>
      <c r="FCN1573" s="866"/>
      <c r="FCO1573" s="866"/>
      <c r="FCP1573" s="866"/>
      <c r="FCQ1573" s="866"/>
      <c r="FCR1573" s="866"/>
      <c r="FCS1573" s="866"/>
      <c r="FCT1573" s="866"/>
      <c r="FCU1573" s="866"/>
      <c r="FCV1573" s="866"/>
      <c r="FCW1573" s="866"/>
      <c r="FCX1573" s="866"/>
      <c r="FCY1573" s="866"/>
      <c r="FCZ1573" s="866"/>
      <c r="FDA1573" s="866"/>
      <c r="FDB1573" s="866"/>
      <c r="FDC1573" s="866"/>
      <c r="FDD1573" s="866"/>
      <c r="FDE1573" s="866"/>
      <c r="FDF1573" s="866"/>
      <c r="FDG1573" s="866"/>
      <c r="FDH1573" s="866"/>
      <c r="FDI1573" s="866"/>
      <c r="FDJ1573" s="866"/>
      <c r="FDK1573" s="866"/>
      <c r="FDL1573" s="866"/>
      <c r="FDM1573" s="866"/>
      <c r="FDN1573" s="866"/>
      <c r="FDO1573" s="866"/>
      <c r="FDP1573" s="866"/>
      <c r="FDQ1573" s="866"/>
      <c r="FDR1573" s="866"/>
      <c r="FDS1573" s="866"/>
      <c r="FDT1573" s="866"/>
      <c r="FDU1573" s="866"/>
      <c r="FDV1573" s="866"/>
      <c r="FDW1573" s="866"/>
      <c r="FDX1573" s="866"/>
      <c r="FDY1573" s="866"/>
      <c r="FDZ1573" s="866"/>
      <c r="FEA1573" s="866"/>
      <c r="FEB1573" s="866"/>
      <c r="FEC1573" s="866"/>
      <c r="FED1573" s="866"/>
      <c r="FEE1573" s="866"/>
      <c r="FEF1573" s="866"/>
      <c r="FEG1573" s="866"/>
      <c r="FEH1573" s="866"/>
      <c r="FEI1573" s="866"/>
      <c r="FEJ1573" s="866"/>
      <c r="FEK1573" s="866"/>
      <c r="FEL1573" s="866"/>
      <c r="FEM1573" s="866"/>
      <c r="FEN1573" s="866"/>
      <c r="FEO1573" s="866"/>
      <c r="FEP1573" s="866"/>
      <c r="FEQ1573" s="866"/>
      <c r="FER1573" s="866"/>
      <c r="FES1573" s="866"/>
      <c r="FET1573" s="866"/>
      <c r="FEU1573" s="866"/>
      <c r="FEV1573" s="866"/>
      <c r="FEW1573" s="866"/>
      <c r="FEX1573" s="866"/>
      <c r="FEY1573" s="866"/>
      <c r="FEZ1573" s="866"/>
      <c r="FFA1573" s="866"/>
      <c r="FFB1573" s="866"/>
      <c r="FFC1573" s="866"/>
      <c r="FFD1573" s="866"/>
      <c r="FFE1573" s="866"/>
      <c r="FFF1573" s="866"/>
      <c r="FFG1573" s="866"/>
      <c r="FFH1573" s="866"/>
      <c r="FFI1573" s="866"/>
      <c r="FFJ1573" s="866"/>
      <c r="FFK1573" s="866"/>
      <c r="FFL1573" s="866"/>
      <c r="FFM1573" s="866"/>
      <c r="FFN1573" s="866"/>
      <c r="FFO1573" s="866"/>
      <c r="FFP1573" s="866"/>
      <c r="FFQ1573" s="866"/>
      <c r="FFR1573" s="866"/>
      <c r="FFS1573" s="866"/>
      <c r="FFT1573" s="866"/>
      <c r="FFU1573" s="866"/>
      <c r="FFV1573" s="866"/>
      <c r="FFW1573" s="866"/>
      <c r="FFX1573" s="866"/>
      <c r="FFY1573" s="866"/>
      <c r="FFZ1573" s="866"/>
      <c r="FGA1573" s="866"/>
      <c r="FGB1573" s="866"/>
      <c r="FGC1573" s="866"/>
      <c r="FGD1573" s="866"/>
      <c r="FGE1573" s="866"/>
      <c r="FGF1573" s="866"/>
      <c r="FGG1573" s="866"/>
      <c r="FGH1573" s="866"/>
      <c r="FGI1573" s="866"/>
      <c r="FGJ1573" s="866"/>
      <c r="FGK1573" s="866"/>
      <c r="FGL1573" s="866"/>
      <c r="FGM1573" s="866"/>
      <c r="FGN1573" s="866"/>
      <c r="FGO1573" s="866"/>
      <c r="FGP1573" s="866"/>
      <c r="FGQ1573" s="866"/>
      <c r="FGR1573" s="866"/>
      <c r="FGS1573" s="866"/>
      <c r="FGT1573" s="866"/>
      <c r="FGU1573" s="866"/>
      <c r="FGV1573" s="866"/>
      <c r="FGW1573" s="866"/>
      <c r="FGX1573" s="866"/>
      <c r="FGY1573" s="866"/>
      <c r="FGZ1573" s="866"/>
      <c r="FHA1573" s="866"/>
      <c r="FHB1573" s="866"/>
      <c r="FHC1573" s="866"/>
      <c r="FHD1573" s="866"/>
      <c r="FHE1573" s="866"/>
      <c r="FHF1573" s="866"/>
      <c r="FHG1573" s="866"/>
      <c r="FHH1573" s="866"/>
      <c r="FHI1573" s="866"/>
      <c r="FHJ1573" s="866"/>
      <c r="FHK1573" s="866"/>
      <c r="FHL1573" s="866"/>
      <c r="FHM1573" s="866"/>
      <c r="FHN1573" s="866"/>
      <c r="FHO1573" s="866"/>
      <c r="FHP1573" s="866"/>
      <c r="FHQ1573" s="866"/>
      <c r="FHR1573" s="866"/>
      <c r="FHS1573" s="866"/>
      <c r="FHT1573" s="866"/>
      <c r="FHU1573" s="866"/>
      <c r="FHV1573" s="866"/>
      <c r="FHW1573" s="866"/>
      <c r="FHX1573" s="866"/>
      <c r="FHY1573" s="866"/>
      <c r="FHZ1573" s="866"/>
      <c r="FIA1573" s="866"/>
      <c r="FIB1573" s="866"/>
      <c r="FIC1573" s="866"/>
      <c r="FID1573" s="866"/>
      <c r="FIE1573" s="866"/>
      <c r="FIF1573" s="866"/>
      <c r="FIG1573" s="866"/>
      <c r="FIH1573" s="866"/>
      <c r="FII1573" s="866"/>
      <c r="FIJ1573" s="866"/>
      <c r="FIK1573" s="866"/>
      <c r="FIL1573" s="866"/>
      <c r="FIM1573" s="866"/>
      <c r="FIN1573" s="866"/>
      <c r="FIO1573" s="866"/>
      <c r="FIP1573" s="866"/>
      <c r="FIQ1573" s="866"/>
      <c r="FIR1573" s="866"/>
      <c r="FIS1573" s="866"/>
      <c r="FIT1573" s="866"/>
      <c r="FIU1573" s="866"/>
      <c r="FIV1573" s="866"/>
      <c r="FIW1573" s="866"/>
      <c r="FIX1573" s="866"/>
      <c r="FIY1573" s="866"/>
      <c r="FIZ1573" s="866"/>
      <c r="FJA1573" s="866"/>
      <c r="FJB1573" s="866"/>
      <c r="FJC1573" s="866"/>
      <c r="FJD1573" s="866"/>
      <c r="FJE1573" s="866"/>
      <c r="FJF1573" s="866"/>
      <c r="FJG1573" s="866"/>
      <c r="FJH1573" s="866"/>
      <c r="FJI1573" s="866"/>
      <c r="FJJ1573" s="866"/>
      <c r="FJK1573" s="866"/>
      <c r="FJL1573" s="866"/>
      <c r="FJM1573" s="866"/>
      <c r="FJN1573" s="866"/>
      <c r="FJO1573" s="866"/>
      <c r="FJP1573" s="866"/>
      <c r="FJQ1573" s="866"/>
      <c r="FJR1573" s="866"/>
      <c r="FJS1573" s="866"/>
      <c r="FJT1573" s="866"/>
      <c r="FJU1573" s="866"/>
      <c r="FJV1573" s="866"/>
      <c r="FJW1573" s="866"/>
      <c r="FJX1573" s="866"/>
      <c r="FJY1573" s="866"/>
      <c r="FJZ1573" s="866"/>
      <c r="FKA1573" s="866"/>
      <c r="FKB1573" s="866"/>
      <c r="FKC1573" s="866"/>
      <c r="FKD1573" s="866"/>
      <c r="FKE1573" s="866"/>
      <c r="FKF1573" s="866"/>
      <c r="FKG1573" s="866"/>
      <c r="FKH1573" s="866"/>
      <c r="FKI1573" s="866"/>
      <c r="FKJ1573" s="866"/>
      <c r="FKK1573" s="866"/>
      <c r="FKL1573" s="866"/>
      <c r="FKM1573" s="866"/>
      <c r="FKN1573" s="866"/>
      <c r="FKO1573" s="866"/>
      <c r="FKP1573" s="866"/>
      <c r="FKQ1573" s="866"/>
      <c r="FKR1573" s="866"/>
      <c r="FKS1573" s="866"/>
      <c r="FKT1573" s="866"/>
      <c r="FKU1573" s="866"/>
      <c r="FKV1573" s="866"/>
      <c r="FKW1573" s="866"/>
      <c r="FKX1573" s="866"/>
      <c r="FKY1573" s="866"/>
      <c r="FKZ1573" s="866"/>
      <c r="FLA1573" s="866"/>
      <c r="FLB1573" s="866"/>
      <c r="FLC1573" s="866"/>
      <c r="FLD1573" s="866"/>
      <c r="FLE1573" s="866"/>
      <c r="FLF1573" s="866"/>
      <c r="FLG1573" s="866"/>
      <c r="FLH1573" s="866"/>
      <c r="FLI1573" s="866"/>
      <c r="FLJ1573" s="866"/>
      <c r="FLK1573" s="866"/>
      <c r="FLL1573" s="866"/>
      <c r="FLM1573" s="866"/>
      <c r="FLN1573" s="866"/>
      <c r="FLO1573" s="866"/>
      <c r="FLP1573" s="866"/>
      <c r="FLQ1573" s="866"/>
      <c r="FLR1573" s="866"/>
      <c r="FLS1573" s="866"/>
      <c r="FLT1573" s="866"/>
      <c r="FLU1573" s="866"/>
      <c r="FLV1573" s="866"/>
      <c r="FLW1573" s="866"/>
      <c r="FLX1573" s="866"/>
      <c r="FLY1573" s="866"/>
      <c r="FLZ1573" s="866"/>
      <c r="FMA1573" s="866"/>
      <c r="FMB1573" s="866"/>
      <c r="FMC1573" s="866"/>
      <c r="FMD1573" s="866"/>
      <c r="FME1573" s="866"/>
      <c r="FMF1573" s="866"/>
      <c r="FMG1573" s="866"/>
      <c r="FMH1573" s="866"/>
      <c r="FMI1573" s="866"/>
      <c r="FMJ1573" s="866"/>
      <c r="FMK1573" s="866"/>
      <c r="FML1573" s="866"/>
      <c r="FMM1573" s="866"/>
      <c r="FMN1573" s="866"/>
      <c r="FMO1573" s="866"/>
      <c r="FMP1573" s="866"/>
      <c r="FMQ1573" s="866"/>
      <c r="FMR1573" s="866"/>
      <c r="FMS1573" s="866"/>
      <c r="FMT1573" s="866"/>
      <c r="FMU1573" s="866"/>
      <c r="FMV1573" s="866"/>
      <c r="FMW1573" s="866"/>
      <c r="FMX1573" s="866"/>
      <c r="FMY1573" s="866"/>
      <c r="FMZ1573" s="866"/>
      <c r="FNA1573" s="866"/>
      <c r="FNB1573" s="866"/>
      <c r="FNC1573" s="866"/>
      <c r="FND1573" s="866"/>
      <c r="FNE1573" s="866"/>
      <c r="FNF1573" s="866"/>
      <c r="FNG1573" s="866"/>
      <c r="FNH1573" s="866"/>
      <c r="FNI1573" s="866"/>
      <c r="FNJ1573" s="866"/>
      <c r="FNK1573" s="866"/>
      <c r="FNL1573" s="866"/>
      <c r="FNM1573" s="866"/>
      <c r="FNN1573" s="866"/>
      <c r="FNO1573" s="866"/>
      <c r="FNP1573" s="866"/>
      <c r="FNQ1573" s="866"/>
      <c r="FNR1573" s="866"/>
      <c r="FNS1573" s="866"/>
      <c r="FNT1573" s="866"/>
      <c r="FNU1573" s="866"/>
      <c r="FNV1573" s="866"/>
      <c r="FNW1573" s="866"/>
      <c r="FNX1573" s="866"/>
      <c r="FNY1573" s="866"/>
      <c r="FNZ1573" s="866"/>
      <c r="FOA1573" s="866"/>
      <c r="FOB1573" s="866"/>
      <c r="FOC1573" s="866"/>
      <c r="FOD1573" s="866"/>
      <c r="FOE1573" s="866"/>
      <c r="FOF1573" s="866"/>
      <c r="FOG1573" s="866"/>
      <c r="FOH1573" s="866"/>
      <c r="FOI1573" s="866"/>
      <c r="FOJ1573" s="866"/>
      <c r="FOK1573" s="866"/>
      <c r="FOL1573" s="866"/>
      <c r="FOM1573" s="866"/>
      <c r="FON1573" s="866"/>
      <c r="FOO1573" s="866"/>
      <c r="FOP1573" s="866"/>
      <c r="FOQ1573" s="866"/>
      <c r="FOR1573" s="866"/>
      <c r="FOS1573" s="866"/>
      <c r="FOT1573" s="866"/>
      <c r="FOU1573" s="866"/>
      <c r="FOV1573" s="866"/>
      <c r="FOW1573" s="866"/>
      <c r="FOX1573" s="866"/>
      <c r="FOY1573" s="866"/>
      <c r="FOZ1573" s="866"/>
      <c r="FPA1573" s="866"/>
      <c r="FPB1573" s="866"/>
      <c r="FPC1573" s="866"/>
      <c r="FPD1573" s="866"/>
      <c r="FPE1573" s="866"/>
      <c r="FPF1573" s="866"/>
      <c r="FPG1573" s="866"/>
      <c r="FPH1573" s="866"/>
      <c r="FPI1573" s="866"/>
      <c r="FPJ1573" s="866"/>
      <c r="FPK1573" s="866"/>
      <c r="FPL1573" s="866"/>
      <c r="FPM1573" s="866"/>
      <c r="FPN1573" s="866"/>
      <c r="FPO1573" s="866"/>
      <c r="FPP1573" s="866"/>
      <c r="FPQ1573" s="866"/>
      <c r="FPR1573" s="866"/>
      <c r="FPS1573" s="866"/>
      <c r="FPT1573" s="866"/>
      <c r="FPU1573" s="866"/>
      <c r="FPV1573" s="866"/>
      <c r="FPW1573" s="866"/>
      <c r="FPX1573" s="866"/>
      <c r="FPY1573" s="866"/>
      <c r="FPZ1573" s="866"/>
      <c r="FQA1573" s="866"/>
      <c r="FQB1573" s="866"/>
      <c r="FQC1573" s="866"/>
      <c r="FQD1573" s="866"/>
      <c r="FQE1573" s="866"/>
      <c r="FQF1573" s="866"/>
      <c r="FQG1573" s="866"/>
      <c r="FQH1573" s="866"/>
      <c r="FQI1573" s="866"/>
      <c r="FQJ1573" s="866"/>
      <c r="FQK1573" s="866"/>
      <c r="FQL1573" s="866"/>
      <c r="FQM1573" s="866"/>
      <c r="FQN1573" s="866"/>
      <c r="FQO1573" s="866"/>
      <c r="FQP1573" s="866"/>
      <c r="FQQ1573" s="866"/>
      <c r="FQR1573" s="866"/>
      <c r="FQS1573" s="866"/>
      <c r="FQT1573" s="866"/>
      <c r="FQU1573" s="866"/>
      <c r="FQV1573" s="866"/>
      <c r="FQW1573" s="866"/>
      <c r="FQX1573" s="866"/>
      <c r="FQY1573" s="866"/>
      <c r="FQZ1573" s="866"/>
      <c r="FRA1573" s="866"/>
      <c r="FRB1573" s="866"/>
      <c r="FRC1573" s="866"/>
      <c r="FRD1573" s="866"/>
      <c r="FRE1573" s="866"/>
      <c r="FRF1573" s="866"/>
      <c r="FRG1573" s="866"/>
      <c r="FRH1573" s="866"/>
      <c r="FRI1573" s="866"/>
      <c r="FRJ1573" s="866"/>
      <c r="FRK1573" s="866"/>
      <c r="FRL1573" s="866"/>
      <c r="FRM1573" s="866"/>
      <c r="FRN1573" s="866"/>
      <c r="FRO1573" s="866"/>
      <c r="FRP1573" s="866"/>
      <c r="FRQ1573" s="866"/>
      <c r="FRR1573" s="866"/>
      <c r="FRS1573" s="866"/>
      <c r="FRT1573" s="866"/>
      <c r="FRU1573" s="866"/>
      <c r="FRV1573" s="866"/>
      <c r="FRW1573" s="866"/>
      <c r="FRX1573" s="866"/>
      <c r="FRY1573" s="866"/>
      <c r="FRZ1573" s="866"/>
      <c r="FSA1573" s="866"/>
      <c r="FSB1573" s="866"/>
      <c r="FSC1573" s="866"/>
      <c r="FSD1573" s="866"/>
      <c r="FSE1573" s="866"/>
      <c r="FSF1573" s="866"/>
      <c r="FSG1573" s="866"/>
      <c r="FSH1573" s="866"/>
      <c r="FSI1573" s="866"/>
      <c r="FSJ1573" s="866"/>
      <c r="FSK1573" s="866"/>
      <c r="FSL1573" s="866"/>
      <c r="FSM1573" s="866"/>
      <c r="FSN1573" s="866"/>
      <c r="FSO1573" s="866"/>
      <c r="FSP1573" s="866"/>
      <c r="FSQ1573" s="866"/>
      <c r="FSR1573" s="866"/>
      <c r="FSS1573" s="866"/>
      <c r="FST1573" s="866"/>
      <c r="FSU1573" s="866"/>
      <c r="FSV1573" s="866"/>
      <c r="FSW1573" s="866"/>
      <c r="FSX1573" s="866"/>
      <c r="FSY1573" s="866"/>
      <c r="FSZ1573" s="866"/>
      <c r="FTA1573" s="866"/>
      <c r="FTB1573" s="866"/>
      <c r="FTC1573" s="866"/>
      <c r="FTD1573" s="866"/>
      <c r="FTE1573" s="866"/>
      <c r="FTF1573" s="866"/>
      <c r="FTG1573" s="866"/>
      <c r="FTH1573" s="866"/>
      <c r="FTI1573" s="866"/>
      <c r="FTJ1573" s="866"/>
      <c r="FTK1573" s="866"/>
      <c r="FTL1573" s="866"/>
      <c r="FTM1573" s="866"/>
      <c r="FTN1573" s="866"/>
      <c r="FTO1573" s="866"/>
      <c r="FTP1573" s="866"/>
      <c r="FTQ1573" s="866"/>
      <c r="FTR1573" s="866"/>
      <c r="FTS1573" s="866"/>
      <c r="FTT1573" s="866"/>
      <c r="FTU1573" s="866"/>
      <c r="FTV1573" s="866"/>
      <c r="FTW1573" s="866"/>
      <c r="FTX1573" s="866"/>
      <c r="FTY1573" s="866"/>
      <c r="FTZ1573" s="866"/>
      <c r="FUA1573" s="866"/>
      <c r="FUB1573" s="866"/>
      <c r="FUC1573" s="866"/>
      <c r="FUD1573" s="866"/>
      <c r="FUE1573" s="866"/>
      <c r="FUF1573" s="866"/>
      <c r="FUG1573" s="866"/>
      <c r="FUH1573" s="866"/>
      <c r="FUI1573" s="866"/>
      <c r="FUJ1573" s="866"/>
      <c r="FUK1573" s="866"/>
      <c r="FUL1573" s="866"/>
      <c r="FUM1573" s="866"/>
      <c r="FUN1573" s="866"/>
      <c r="FUO1573" s="866"/>
      <c r="FUP1573" s="866"/>
      <c r="FUQ1573" s="866"/>
      <c r="FUR1573" s="866"/>
      <c r="FUS1573" s="866"/>
      <c r="FUT1573" s="866"/>
      <c r="FUU1573" s="866"/>
      <c r="FUV1573" s="866"/>
      <c r="FUW1573" s="866"/>
      <c r="FUX1573" s="866"/>
      <c r="FUY1573" s="866"/>
      <c r="FUZ1573" s="866"/>
      <c r="FVA1573" s="866"/>
      <c r="FVB1573" s="866"/>
      <c r="FVC1573" s="866"/>
      <c r="FVD1573" s="866"/>
      <c r="FVE1573" s="866"/>
      <c r="FVF1573" s="866"/>
      <c r="FVG1573" s="866"/>
      <c r="FVH1573" s="866"/>
      <c r="FVI1573" s="866"/>
      <c r="FVJ1573" s="866"/>
      <c r="FVK1573" s="866"/>
      <c r="FVL1573" s="866"/>
      <c r="FVM1573" s="866"/>
      <c r="FVN1573" s="866"/>
      <c r="FVO1573" s="866"/>
      <c r="FVP1573" s="866"/>
      <c r="FVQ1573" s="866"/>
      <c r="FVR1573" s="866"/>
      <c r="FVS1573" s="866"/>
      <c r="FVT1573" s="866"/>
      <c r="FVU1573" s="866"/>
      <c r="FVV1573" s="866"/>
      <c r="FVW1573" s="866"/>
      <c r="FVX1573" s="866"/>
      <c r="FVY1573" s="866"/>
      <c r="FVZ1573" s="866"/>
      <c r="FWA1573" s="866"/>
      <c r="FWB1573" s="866"/>
      <c r="FWC1573" s="866"/>
      <c r="FWD1573" s="866"/>
      <c r="FWE1573" s="866"/>
      <c r="FWF1573" s="866"/>
      <c r="FWG1573" s="866"/>
      <c r="FWH1573" s="866"/>
      <c r="FWI1573" s="866"/>
      <c r="FWJ1573" s="866"/>
      <c r="FWK1573" s="866"/>
      <c r="FWL1573" s="866"/>
      <c r="FWM1573" s="866"/>
      <c r="FWN1573" s="866"/>
      <c r="FWO1573" s="866"/>
      <c r="FWP1573" s="866"/>
      <c r="FWQ1573" s="866"/>
      <c r="FWR1573" s="866"/>
      <c r="FWS1573" s="866"/>
      <c r="FWT1573" s="866"/>
      <c r="FWU1573" s="866"/>
      <c r="FWV1573" s="866"/>
      <c r="FWW1573" s="866"/>
      <c r="FWX1573" s="866"/>
      <c r="FWY1573" s="866"/>
      <c r="FWZ1573" s="866"/>
      <c r="FXA1573" s="866"/>
      <c r="FXB1573" s="866"/>
      <c r="FXC1573" s="866"/>
      <c r="FXD1573" s="866"/>
      <c r="FXE1573" s="866"/>
      <c r="FXF1573" s="866"/>
      <c r="FXG1573" s="866"/>
      <c r="FXH1573" s="866"/>
      <c r="FXI1573" s="866"/>
      <c r="FXJ1573" s="866"/>
      <c r="FXK1573" s="866"/>
      <c r="FXL1573" s="866"/>
      <c r="FXM1573" s="866"/>
      <c r="FXN1573" s="866"/>
      <c r="FXO1573" s="866"/>
      <c r="FXP1573" s="866"/>
      <c r="FXQ1573" s="866"/>
      <c r="FXR1573" s="866"/>
      <c r="FXS1573" s="866"/>
      <c r="FXT1573" s="866"/>
      <c r="FXU1573" s="866"/>
      <c r="FXV1573" s="866"/>
      <c r="FXW1573" s="866"/>
      <c r="FXX1573" s="866"/>
      <c r="FXY1573" s="866"/>
      <c r="FXZ1573" s="866"/>
      <c r="FYA1573" s="866"/>
      <c r="FYB1573" s="866"/>
      <c r="FYC1573" s="866"/>
      <c r="FYD1573" s="866"/>
      <c r="FYE1573" s="866"/>
      <c r="FYF1573" s="866"/>
      <c r="FYG1573" s="866"/>
      <c r="FYH1573" s="866"/>
      <c r="FYI1573" s="866"/>
      <c r="FYJ1573" s="866"/>
      <c r="FYK1573" s="866"/>
      <c r="FYL1573" s="866"/>
      <c r="FYM1573" s="866"/>
      <c r="FYN1573" s="866"/>
      <c r="FYO1573" s="866"/>
      <c r="FYP1573" s="866"/>
      <c r="FYQ1573" s="866"/>
      <c r="FYR1573" s="866"/>
      <c r="FYS1573" s="866"/>
      <c r="FYT1573" s="866"/>
      <c r="FYU1573" s="866"/>
      <c r="FYV1573" s="866"/>
      <c r="FYW1573" s="866"/>
      <c r="FYX1573" s="866"/>
      <c r="FYY1573" s="866"/>
      <c r="FYZ1573" s="866"/>
      <c r="FZA1573" s="866"/>
      <c r="FZB1573" s="866"/>
      <c r="FZC1573" s="866"/>
      <c r="FZD1573" s="866"/>
      <c r="FZE1573" s="866"/>
      <c r="FZF1573" s="866"/>
      <c r="FZG1573" s="866"/>
      <c r="FZH1573" s="866"/>
      <c r="FZI1573" s="866"/>
      <c r="FZJ1573" s="866"/>
      <c r="FZK1573" s="866"/>
      <c r="FZL1573" s="866"/>
      <c r="FZM1573" s="866"/>
      <c r="FZN1573" s="866"/>
      <c r="FZO1573" s="866"/>
      <c r="FZP1573" s="866"/>
      <c r="FZQ1573" s="866"/>
      <c r="FZR1573" s="866"/>
      <c r="FZS1573" s="866"/>
      <c r="FZT1573" s="866"/>
      <c r="FZU1573" s="866"/>
      <c r="FZV1573" s="866"/>
      <c r="FZW1573" s="866"/>
      <c r="FZX1573" s="866"/>
      <c r="FZY1573" s="866"/>
      <c r="FZZ1573" s="866"/>
      <c r="GAA1573" s="866"/>
      <c r="GAB1573" s="866"/>
      <c r="GAC1573" s="866"/>
      <c r="GAD1573" s="866"/>
      <c r="GAE1573" s="866"/>
      <c r="GAF1573" s="866"/>
      <c r="GAG1573" s="866"/>
      <c r="GAH1573" s="866"/>
      <c r="GAI1573" s="866"/>
      <c r="GAJ1573" s="866"/>
      <c r="GAK1573" s="866"/>
      <c r="GAL1573" s="866"/>
      <c r="GAM1573" s="866"/>
      <c r="GAN1573" s="866"/>
      <c r="GAO1573" s="866"/>
      <c r="GAP1573" s="866"/>
      <c r="GAQ1573" s="866"/>
      <c r="GAR1573" s="866"/>
      <c r="GAS1573" s="866"/>
      <c r="GAT1573" s="866"/>
      <c r="GAU1573" s="866"/>
      <c r="GAV1573" s="866"/>
      <c r="GAW1573" s="866"/>
      <c r="GAX1573" s="866"/>
      <c r="GAY1573" s="866"/>
      <c r="GAZ1573" s="866"/>
      <c r="GBA1573" s="866"/>
      <c r="GBB1573" s="866"/>
      <c r="GBC1573" s="866"/>
      <c r="GBD1573" s="866"/>
      <c r="GBE1573" s="866"/>
      <c r="GBF1573" s="866"/>
      <c r="GBG1573" s="866"/>
      <c r="GBH1573" s="866"/>
      <c r="GBI1573" s="866"/>
      <c r="GBJ1573" s="866"/>
      <c r="GBK1573" s="866"/>
      <c r="GBL1573" s="866"/>
      <c r="GBM1573" s="866"/>
      <c r="GBN1573" s="866"/>
      <c r="GBO1573" s="866"/>
      <c r="GBP1573" s="866"/>
      <c r="GBQ1573" s="866"/>
      <c r="GBR1573" s="866"/>
      <c r="GBS1573" s="866"/>
      <c r="GBT1573" s="866"/>
      <c r="GBU1573" s="866"/>
      <c r="GBV1573" s="866"/>
      <c r="GBW1573" s="866"/>
      <c r="GBX1573" s="866"/>
      <c r="GBY1573" s="866"/>
      <c r="GBZ1573" s="866"/>
      <c r="GCA1573" s="866"/>
      <c r="GCB1573" s="866"/>
      <c r="GCC1573" s="866"/>
      <c r="GCD1573" s="866"/>
      <c r="GCE1573" s="866"/>
      <c r="GCF1573" s="866"/>
      <c r="GCG1573" s="866"/>
      <c r="GCH1573" s="866"/>
      <c r="GCI1573" s="866"/>
      <c r="GCJ1573" s="866"/>
      <c r="GCK1573" s="866"/>
      <c r="GCL1573" s="866"/>
      <c r="GCM1573" s="866"/>
      <c r="GCN1573" s="866"/>
      <c r="GCO1573" s="866"/>
      <c r="GCP1573" s="866"/>
      <c r="GCQ1573" s="866"/>
      <c r="GCR1573" s="866"/>
      <c r="GCS1573" s="866"/>
      <c r="GCT1573" s="866"/>
      <c r="GCU1573" s="866"/>
      <c r="GCV1573" s="866"/>
      <c r="GCW1573" s="866"/>
      <c r="GCX1573" s="866"/>
      <c r="GCY1573" s="866"/>
      <c r="GCZ1573" s="866"/>
      <c r="GDA1573" s="866"/>
      <c r="GDB1573" s="866"/>
      <c r="GDC1573" s="866"/>
      <c r="GDD1573" s="866"/>
      <c r="GDE1573" s="866"/>
      <c r="GDF1573" s="866"/>
      <c r="GDG1573" s="866"/>
      <c r="GDH1573" s="866"/>
      <c r="GDI1573" s="866"/>
      <c r="GDJ1573" s="866"/>
      <c r="GDK1573" s="866"/>
      <c r="GDL1573" s="866"/>
      <c r="GDM1573" s="866"/>
      <c r="GDN1573" s="866"/>
      <c r="GDO1573" s="866"/>
      <c r="GDP1573" s="866"/>
      <c r="GDQ1573" s="866"/>
      <c r="GDR1573" s="866"/>
      <c r="GDS1573" s="866"/>
      <c r="GDT1573" s="866"/>
      <c r="GDU1573" s="866"/>
      <c r="GDV1573" s="866"/>
      <c r="GDW1573" s="866"/>
      <c r="GDX1573" s="866"/>
      <c r="GDY1573" s="866"/>
      <c r="GDZ1573" s="866"/>
      <c r="GEA1573" s="866"/>
      <c r="GEB1573" s="866"/>
      <c r="GEC1573" s="866"/>
      <c r="GED1573" s="866"/>
      <c r="GEE1573" s="866"/>
      <c r="GEF1573" s="866"/>
      <c r="GEG1573" s="866"/>
      <c r="GEH1573" s="866"/>
      <c r="GEI1573" s="866"/>
      <c r="GEJ1573" s="866"/>
      <c r="GEK1573" s="866"/>
      <c r="GEL1573" s="866"/>
      <c r="GEM1573" s="866"/>
      <c r="GEN1573" s="866"/>
      <c r="GEO1573" s="866"/>
      <c r="GEP1573" s="866"/>
      <c r="GEQ1573" s="866"/>
      <c r="GER1573" s="866"/>
      <c r="GES1573" s="866"/>
      <c r="GET1573" s="866"/>
      <c r="GEU1573" s="866"/>
      <c r="GEV1573" s="866"/>
      <c r="GEW1573" s="866"/>
      <c r="GEX1573" s="866"/>
      <c r="GEY1573" s="866"/>
      <c r="GEZ1573" s="866"/>
      <c r="GFA1573" s="866"/>
      <c r="GFB1573" s="866"/>
      <c r="GFC1573" s="866"/>
      <c r="GFD1573" s="866"/>
      <c r="GFE1573" s="866"/>
      <c r="GFF1573" s="866"/>
      <c r="GFG1573" s="866"/>
      <c r="GFH1573" s="866"/>
      <c r="GFI1573" s="866"/>
      <c r="GFJ1573" s="866"/>
      <c r="GFK1573" s="866"/>
      <c r="GFL1573" s="866"/>
      <c r="GFM1573" s="866"/>
      <c r="GFN1573" s="866"/>
      <c r="GFO1573" s="866"/>
      <c r="GFP1573" s="866"/>
      <c r="GFQ1573" s="866"/>
      <c r="GFR1573" s="866"/>
      <c r="GFS1573" s="866"/>
      <c r="GFT1573" s="866"/>
      <c r="GFU1573" s="866"/>
      <c r="GFV1573" s="866"/>
      <c r="GFW1573" s="866"/>
      <c r="GFX1573" s="866"/>
      <c r="GFY1573" s="866"/>
      <c r="GFZ1573" s="866"/>
      <c r="GGA1573" s="866"/>
      <c r="GGB1573" s="866"/>
      <c r="GGC1573" s="866"/>
      <c r="GGD1573" s="866"/>
      <c r="GGE1573" s="866"/>
      <c r="GGF1573" s="866"/>
      <c r="GGG1573" s="866"/>
      <c r="GGH1573" s="866"/>
      <c r="GGI1573" s="866"/>
      <c r="GGJ1573" s="866"/>
      <c r="GGK1573" s="866"/>
      <c r="GGL1573" s="866"/>
      <c r="GGM1573" s="866"/>
      <c r="GGN1573" s="866"/>
      <c r="GGO1573" s="866"/>
      <c r="GGP1573" s="866"/>
      <c r="GGQ1573" s="866"/>
      <c r="GGR1573" s="866"/>
      <c r="GGS1573" s="866"/>
      <c r="GGT1573" s="866"/>
      <c r="GGU1573" s="866"/>
      <c r="GGV1573" s="866"/>
      <c r="GGW1573" s="866"/>
      <c r="GGX1573" s="866"/>
      <c r="GGY1573" s="866"/>
      <c r="GGZ1573" s="866"/>
      <c r="GHA1573" s="866"/>
      <c r="GHB1573" s="866"/>
      <c r="GHC1573" s="866"/>
      <c r="GHD1573" s="866"/>
      <c r="GHE1573" s="866"/>
      <c r="GHF1573" s="866"/>
      <c r="GHG1573" s="866"/>
      <c r="GHH1573" s="866"/>
      <c r="GHI1573" s="866"/>
      <c r="GHJ1573" s="866"/>
      <c r="GHK1573" s="866"/>
      <c r="GHL1573" s="866"/>
      <c r="GHM1573" s="866"/>
      <c r="GHN1573" s="866"/>
      <c r="GHO1573" s="866"/>
      <c r="GHP1573" s="866"/>
      <c r="GHQ1573" s="866"/>
      <c r="GHR1573" s="866"/>
      <c r="GHS1573" s="866"/>
      <c r="GHT1573" s="866"/>
      <c r="GHU1573" s="866"/>
      <c r="GHV1573" s="866"/>
      <c r="GHW1573" s="866"/>
      <c r="GHX1573" s="866"/>
      <c r="GHY1573" s="866"/>
      <c r="GHZ1573" s="866"/>
      <c r="GIA1573" s="866"/>
      <c r="GIB1573" s="866"/>
      <c r="GIC1573" s="866"/>
      <c r="GID1573" s="866"/>
      <c r="GIE1573" s="866"/>
      <c r="GIF1573" s="866"/>
      <c r="GIG1573" s="866"/>
      <c r="GIH1573" s="866"/>
      <c r="GII1573" s="866"/>
      <c r="GIJ1573" s="866"/>
      <c r="GIK1573" s="866"/>
      <c r="GIL1573" s="866"/>
      <c r="GIM1573" s="866"/>
      <c r="GIN1573" s="866"/>
      <c r="GIO1573" s="866"/>
      <c r="GIP1573" s="866"/>
      <c r="GIQ1573" s="866"/>
      <c r="GIR1573" s="866"/>
      <c r="GIS1573" s="866"/>
      <c r="GIT1573" s="866"/>
      <c r="GIU1573" s="866"/>
      <c r="GIV1573" s="866"/>
      <c r="GIW1573" s="866"/>
      <c r="GIX1573" s="866"/>
      <c r="GIY1573" s="866"/>
      <c r="GIZ1573" s="866"/>
      <c r="GJA1573" s="866"/>
      <c r="GJB1573" s="866"/>
      <c r="GJC1573" s="866"/>
      <c r="GJD1573" s="866"/>
      <c r="GJE1573" s="866"/>
      <c r="GJF1573" s="866"/>
      <c r="GJG1573" s="866"/>
      <c r="GJH1573" s="866"/>
      <c r="GJI1573" s="866"/>
      <c r="GJJ1573" s="866"/>
      <c r="GJK1573" s="866"/>
      <c r="GJL1573" s="866"/>
      <c r="GJM1573" s="866"/>
      <c r="GJN1573" s="866"/>
      <c r="GJO1573" s="866"/>
      <c r="GJP1573" s="866"/>
      <c r="GJQ1573" s="866"/>
      <c r="GJR1573" s="866"/>
      <c r="GJS1573" s="866"/>
      <c r="GJT1573" s="866"/>
      <c r="GJU1573" s="866"/>
      <c r="GJV1573" s="866"/>
      <c r="GJW1573" s="866"/>
      <c r="GJX1573" s="866"/>
      <c r="GJY1573" s="866"/>
      <c r="GJZ1573" s="866"/>
      <c r="GKA1573" s="866"/>
      <c r="GKB1573" s="866"/>
      <c r="GKC1573" s="866"/>
      <c r="GKD1573" s="866"/>
      <c r="GKE1573" s="866"/>
      <c r="GKF1573" s="866"/>
      <c r="GKG1573" s="866"/>
      <c r="GKH1573" s="866"/>
      <c r="GKI1573" s="866"/>
      <c r="GKJ1573" s="866"/>
      <c r="GKK1573" s="866"/>
      <c r="GKL1573" s="866"/>
      <c r="GKM1573" s="866"/>
      <c r="GKN1573" s="866"/>
      <c r="GKO1573" s="866"/>
      <c r="GKP1573" s="866"/>
      <c r="GKQ1573" s="866"/>
      <c r="GKR1573" s="866"/>
      <c r="GKS1573" s="866"/>
      <c r="GKT1573" s="866"/>
      <c r="GKU1573" s="866"/>
      <c r="GKV1573" s="866"/>
      <c r="GKW1573" s="866"/>
      <c r="GKX1573" s="866"/>
      <c r="GKY1573" s="866"/>
      <c r="GKZ1573" s="866"/>
      <c r="GLA1573" s="866"/>
      <c r="GLB1573" s="866"/>
      <c r="GLC1573" s="866"/>
      <c r="GLD1573" s="866"/>
      <c r="GLE1573" s="866"/>
      <c r="GLF1573" s="866"/>
      <c r="GLG1573" s="866"/>
      <c r="GLH1573" s="866"/>
      <c r="GLI1573" s="866"/>
      <c r="GLJ1573" s="866"/>
      <c r="GLK1573" s="866"/>
      <c r="GLL1573" s="866"/>
      <c r="GLM1573" s="866"/>
      <c r="GLN1573" s="866"/>
      <c r="GLO1573" s="866"/>
      <c r="GLP1573" s="866"/>
      <c r="GLQ1573" s="866"/>
      <c r="GLR1573" s="866"/>
      <c r="GLS1573" s="866"/>
      <c r="GLT1573" s="866"/>
      <c r="GLU1573" s="866"/>
      <c r="GLV1573" s="866"/>
      <c r="GLW1573" s="866"/>
      <c r="GLX1573" s="866"/>
      <c r="GLY1573" s="866"/>
      <c r="GLZ1573" s="866"/>
      <c r="GMA1573" s="866"/>
      <c r="GMB1573" s="866"/>
      <c r="GMC1573" s="866"/>
      <c r="GMD1573" s="866"/>
      <c r="GME1573" s="866"/>
      <c r="GMF1573" s="866"/>
      <c r="GMG1573" s="866"/>
      <c r="GMH1573" s="866"/>
      <c r="GMI1573" s="866"/>
      <c r="GMJ1573" s="866"/>
      <c r="GMK1573" s="866"/>
      <c r="GML1573" s="866"/>
      <c r="GMM1573" s="866"/>
      <c r="GMN1573" s="866"/>
      <c r="GMO1573" s="866"/>
      <c r="GMP1573" s="866"/>
      <c r="GMQ1573" s="866"/>
      <c r="GMR1573" s="866"/>
      <c r="GMS1573" s="866"/>
      <c r="GMT1573" s="866"/>
      <c r="GMU1573" s="866"/>
      <c r="GMV1573" s="866"/>
      <c r="GMW1573" s="866"/>
      <c r="GMX1573" s="866"/>
      <c r="GMY1573" s="866"/>
      <c r="GMZ1573" s="866"/>
      <c r="GNA1573" s="866"/>
      <c r="GNB1573" s="866"/>
      <c r="GNC1573" s="866"/>
      <c r="GND1573" s="866"/>
      <c r="GNE1573" s="866"/>
      <c r="GNF1573" s="866"/>
      <c r="GNG1573" s="866"/>
      <c r="GNH1573" s="866"/>
      <c r="GNI1573" s="866"/>
      <c r="GNJ1573" s="866"/>
      <c r="GNK1573" s="866"/>
      <c r="GNL1573" s="866"/>
      <c r="GNM1573" s="866"/>
      <c r="GNN1573" s="866"/>
      <c r="GNO1573" s="866"/>
      <c r="GNP1573" s="866"/>
      <c r="GNQ1573" s="866"/>
      <c r="GNR1573" s="866"/>
      <c r="GNS1573" s="866"/>
      <c r="GNT1573" s="866"/>
      <c r="GNU1573" s="866"/>
      <c r="GNV1573" s="866"/>
      <c r="GNW1573" s="866"/>
      <c r="GNX1573" s="866"/>
      <c r="GNY1573" s="866"/>
      <c r="GNZ1573" s="866"/>
      <c r="GOA1573" s="866"/>
      <c r="GOB1573" s="866"/>
      <c r="GOC1573" s="866"/>
      <c r="GOD1573" s="866"/>
      <c r="GOE1573" s="866"/>
      <c r="GOF1573" s="866"/>
      <c r="GOG1573" s="866"/>
      <c r="GOH1573" s="866"/>
      <c r="GOI1573" s="866"/>
      <c r="GOJ1573" s="866"/>
      <c r="GOK1573" s="866"/>
      <c r="GOL1573" s="866"/>
      <c r="GOM1573" s="866"/>
      <c r="GON1573" s="866"/>
      <c r="GOO1573" s="866"/>
      <c r="GOP1573" s="866"/>
      <c r="GOQ1573" s="866"/>
      <c r="GOR1573" s="866"/>
      <c r="GOS1573" s="866"/>
      <c r="GOT1573" s="866"/>
      <c r="GOU1573" s="866"/>
      <c r="GOV1573" s="866"/>
      <c r="GOW1573" s="866"/>
      <c r="GOX1573" s="866"/>
      <c r="GOY1573" s="866"/>
      <c r="GOZ1573" s="866"/>
      <c r="GPA1573" s="866"/>
      <c r="GPB1573" s="866"/>
      <c r="GPC1573" s="866"/>
      <c r="GPD1573" s="866"/>
      <c r="GPE1573" s="866"/>
      <c r="GPF1573" s="866"/>
      <c r="GPG1573" s="866"/>
      <c r="GPH1573" s="866"/>
      <c r="GPI1573" s="866"/>
      <c r="GPJ1573" s="866"/>
      <c r="GPK1573" s="866"/>
      <c r="GPL1573" s="866"/>
      <c r="GPM1573" s="866"/>
      <c r="GPN1573" s="866"/>
      <c r="GPO1573" s="866"/>
      <c r="GPP1573" s="866"/>
      <c r="GPQ1573" s="866"/>
      <c r="GPR1573" s="866"/>
      <c r="GPS1573" s="866"/>
      <c r="GPT1573" s="866"/>
      <c r="GPU1573" s="866"/>
      <c r="GPV1573" s="866"/>
      <c r="GPW1573" s="866"/>
      <c r="GPX1573" s="866"/>
      <c r="GPY1573" s="866"/>
      <c r="GPZ1573" s="866"/>
      <c r="GQA1573" s="866"/>
      <c r="GQB1573" s="866"/>
      <c r="GQC1573" s="866"/>
      <c r="GQD1573" s="866"/>
      <c r="GQE1573" s="866"/>
      <c r="GQF1573" s="866"/>
      <c r="GQG1573" s="866"/>
      <c r="GQH1573" s="866"/>
      <c r="GQI1573" s="866"/>
      <c r="GQJ1573" s="866"/>
      <c r="GQK1573" s="866"/>
      <c r="GQL1573" s="866"/>
      <c r="GQM1573" s="866"/>
      <c r="GQN1573" s="866"/>
      <c r="GQO1573" s="866"/>
      <c r="GQP1573" s="866"/>
      <c r="GQQ1573" s="866"/>
      <c r="GQR1573" s="866"/>
      <c r="GQS1573" s="866"/>
      <c r="GQT1573" s="866"/>
      <c r="GQU1573" s="866"/>
      <c r="GQV1573" s="866"/>
      <c r="GQW1573" s="866"/>
      <c r="GQX1573" s="866"/>
      <c r="GQY1573" s="866"/>
      <c r="GQZ1573" s="866"/>
      <c r="GRA1573" s="866"/>
      <c r="GRB1573" s="866"/>
      <c r="GRC1573" s="866"/>
      <c r="GRD1573" s="866"/>
      <c r="GRE1573" s="866"/>
      <c r="GRF1573" s="866"/>
      <c r="GRG1573" s="866"/>
      <c r="GRH1573" s="866"/>
      <c r="GRI1573" s="866"/>
      <c r="GRJ1573" s="866"/>
      <c r="GRK1573" s="866"/>
      <c r="GRL1573" s="866"/>
      <c r="GRM1573" s="866"/>
      <c r="GRN1573" s="866"/>
      <c r="GRO1573" s="866"/>
      <c r="GRP1573" s="866"/>
      <c r="GRQ1573" s="866"/>
      <c r="GRR1573" s="866"/>
      <c r="GRS1573" s="866"/>
      <c r="GRT1573" s="866"/>
      <c r="GRU1573" s="866"/>
      <c r="GRV1573" s="866"/>
      <c r="GRW1573" s="866"/>
      <c r="GRX1573" s="866"/>
      <c r="GRY1573" s="866"/>
      <c r="GRZ1573" s="866"/>
      <c r="GSA1573" s="866"/>
      <c r="GSB1573" s="866"/>
      <c r="GSC1573" s="866"/>
      <c r="GSD1573" s="866"/>
      <c r="GSE1573" s="866"/>
      <c r="GSF1573" s="866"/>
      <c r="GSG1573" s="866"/>
      <c r="GSH1573" s="866"/>
      <c r="GSI1573" s="866"/>
      <c r="GSJ1573" s="866"/>
      <c r="GSK1573" s="866"/>
      <c r="GSL1573" s="866"/>
      <c r="GSM1573" s="866"/>
      <c r="GSN1573" s="866"/>
      <c r="GSO1573" s="866"/>
      <c r="GSP1573" s="866"/>
      <c r="GSQ1573" s="866"/>
      <c r="GSR1573" s="866"/>
      <c r="GSS1573" s="866"/>
      <c r="GST1573" s="866"/>
      <c r="GSU1573" s="866"/>
      <c r="GSV1573" s="866"/>
      <c r="GSW1573" s="866"/>
      <c r="GSX1573" s="866"/>
      <c r="GSY1573" s="866"/>
      <c r="GSZ1573" s="866"/>
      <c r="GTA1573" s="866"/>
      <c r="GTB1573" s="866"/>
      <c r="GTC1573" s="866"/>
      <c r="GTD1573" s="866"/>
      <c r="GTE1573" s="866"/>
      <c r="GTF1573" s="866"/>
      <c r="GTG1573" s="866"/>
      <c r="GTH1573" s="866"/>
      <c r="GTI1573" s="866"/>
      <c r="GTJ1573" s="866"/>
      <c r="GTK1573" s="866"/>
      <c r="GTL1573" s="866"/>
      <c r="GTM1573" s="866"/>
      <c r="GTN1573" s="866"/>
      <c r="GTO1573" s="866"/>
      <c r="GTP1573" s="866"/>
      <c r="GTQ1573" s="866"/>
      <c r="GTR1573" s="866"/>
      <c r="GTS1573" s="866"/>
      <c r="GTT1573" s="866"/>
      <c r="GTU1573" s="866"/>
      <c r="GTV1573" s="866"/>
      <c r="GTW1573" s="866"/>
      <c r="GTX1573" s="866"/>
      <c r="GTY1573" s="866"/>
      <c r="GTZ1573" s="866"/>
      <c r="GUA1573" s="866"/>
      <c r="GUB1573" s="866"/>
      <c r="GUC1573" s="866"/>
      <c r="GUD1573" s="866"/>
      <c r="GUE1573" s="866"/>
      <c r="GUF1573" s="866"/>
      <c r="GUG1573" s="866"/>
      <c r="GUH1573" s="866"/>
      <c r="GUI1573" s="866"/>
      <c r="GUJ1573" s="866"/>
      <c r="GUK1573" s="866"/>
      <c r="GUL1573" s="866"/>
      <c r="GUM1573" s="866"/>
      <c r="GUN1573" s="866"/>
      <c r="GUO1573" s="866"/>
      <c r="GUP1573" s="866"/>
      <c r="GUQ1573" s="866"/>
      <c r="GUR1573" s="866"/>
      <c r="GUS1573" s="866"/>
      <c r="GUT1573" s="866"/>
      <c r="GUU1573" s="866"/>
      <c r="GUV1573" s="866"/>
      <c r="GUW1573" s="866"/>
      <c r="GUX1573" s="866"/>
      <c r="GUY1573" s="866"/>
      <c r="GUZ1573" s="866"/>
      <c r="GVA1573" s="866"/>
      <c r="GVB1573" s="866"/>
      <c r="GVC1573" s="866"/>
      <c r="GVD1573" s="866"/>
      <c r="GVE1573" s="866"/>
      <c r="GVF1573" s="866"/>
      <c r="GVG1573" s="866"/>
      <c r="GVH1573" s="866"/>
      <c r="GVI1573" s="866"/>
      <c r="GVJ1573" s="866"/>
      <c r="GVK1573" s="866"/>
      <c r="GVL1573" s="866"/>
      <c r="GVM1573" s="866"/>
      <c r="GVN1573" s="866"/>
      <c r="GVO1573" s="866"/>
      <c r="GVP1573" s="866"/>
      <c r="GVQ1573" s="866"/>
      <c r="GVR1573" s="866"/>
      <c r="GVS1573" s="866"/>
      <c r="GVT1573" s="866"/>
      <c r="GVU1573" s="866"/>
      <c r="GVV1573" s="866"/>
      <c r="GVW1573" s="866"/>
      <c r="GVX1573" s="866"/>
      <c r="GVY1573" s="866"/>
      <c r="GVZ1573" s="866"/>
      <c r="GWA1573" s="866"/>
      <c r="GWB1573" s="866"/>
      <c r="GWC1573" s="866"/>
      <c r="GWD1573" s="866"/>
      <c r="GWE1573" s="866"/>
      <c r="GWF1573" s="866"/>
      <c r="GWG1573" s="866"/>
      <c r="GWH1573" s="866"/>
      <c r="GWI1573" s="866"/>
      <c r="GWJ1573" s="866"/>
      <c r="GWK1573" s="866"/>
      <c r="GWL1573" s="866"/>
      <c r="GWM1573" s="866"/>
      <c r="GWN1573" s="866"/>
      <c r="GWO1573" s="866"/>
      <c r="GWP1573" s="866"/>
      <c r="GWQ1573" s="866"/>
      <c r="GWR1573" s="866"/>
      <c r="GWS1573" s="866"/>
      <c r="GWT1573" s="866"/>
      <c r="GWU1573" s="866"/>
      <c r="GWV1573" s="866"/>
      <c r="GWW1573" s="866"/>
      <c r="GWX1573" s="866"/>
      <c r="GWY1573" s="866"/>
      <c r="GWZ1573" s="866"/>
      <c r="GXA1573" s="866"/>
      <c r="GXB1573" s="866"/>
      <c r="GXC1573" s="866"/>
      <c r="GXD1573" s="866"/>
      <c r="GXE1573" s="866"/>
      <c r="GXF1573" s="866"/>
      <c r="GXG1573" s="866"/>
      <c r="GXH1573" s="866"/>
      <c r="GXI1573" s="866"/>
      <c r="GXJ1573" s="866"/>
      <c r="GXK1573" s="866"/>
      <c r="GXL1573" s="866"/>
      <c r="GXM1573" s="866"/>
      <c r="GXN1573" s="866"/>
      <c r="GXO1573" s="866"/>
      <c r="GXP1573" s="866"/>
      <c r="GXQ1573" s="866"/>
      <c r="GXR1573" s="866"/>
      <c r="GXS1573" s="866"/>
      <c r="GXT1573" s="866"/>
      <c r="GXU1573" s="866"/>
      <c r="GXV1573" s="866"/>
      <c r="GXW1573" s="866"/>
      <c r="GXX1573" s="866"/>
      <c r="GXY1573" s="866"/>
      <c r="GXZ1573" s="866"/>
      <c r="GYA1573" s="866"/>
      <c r="GYB1573" s="866"/>
      <c r="GYC1573" s="866"/>
      <c r="GYD1573" s="866"/>
      <c r="GYE1573" s="866"/>
      <c r="GYF1573" s="866"/>
      <c r="GYG1573" s="866"/>
      <c r="GYH1573" s="866"/>
      <c r="GYI1573" s="866"/>
      <c r="GYJ1573" s="866"/>
      <c r="GYK1573" s="866"/>
      <c r="GYL1573" s="866"/>
      <c r="GYM1573" s="866"/>
      <c r="GYN1573" s="866"/>
      <c r="GYO1573" s="866"/>
      <c r="GYP1573" s="866"/>
      <c r="GYQ1573" s="866"/>
      <c r="GYR1573" s="866"/>
      <c r="GYS1573" s="866"/>
      <c r="GYT1573" s="866"/>
      <c r="GYU1573" s="866"/>
      <c r="GYV1573" s="866"/>
      <c r="GYW1573" s="866"/>
      <c r="GYX1573" s="866"/>
      <c r="GYY1573" s="866"/>
      <c r="GYZ1573" s="866"/>
      <c r="GZA1573" s="866"/>
      <c r="GZB1573" s="866"/>
      <c r="GZC1573" s="866"/>
      <c r="GZD1573" s="866"/>
      <c r="GZE1573" s="866"/>
      <c r="GZF1573" s="866"/>
      <c r="GZG1573" s="866"/>
      <c r="GZH1573" s="866"/>
      <c r="GZI1573" s="866"/>
      <c r="GZJ1573" s="866"/>
      <c r="GZK1573" s="866"/>
      <c r="GZL1573" s="866"/>
      <c r="GZM1573" s="866"/>
      <c r="GZN1573" s="866"/>
      <c r="GZO1573" s="866"/>
      <c r="GZP1573" s="866"/>
      <c r="GZQ1573" s="866"/>
      <c r="GZR1573" s="866"/>
      <c r="GZS1573" s="866"/>
      <c r="GZT1573" s="866"/>
      <c r="GZU1573" s="866"/>
      <c r="GZV1573" s="866"/>
      <c r="GZW1573" s="866"/>
      <c r="GZX1573" s="866"/>
      <c r="GZY1573" s="866"/>
      <c r="GZZ1573" s="866"/>
      <c r="HAA1573" s="866"/>
      <c r="HAB1573" s="866"/>
      <c r="HAC1573" s="866"/>
      <c r="HAD1573" s="866"/>
      <c r="HAE1573" s="866"/>
      <c r="HAF1573" s="866"/>
      <c r="HAG1573" s="866"/>
      <c r="HAH1573" s="866"/>
      <c r="HAI1573" s="866"/>
      <c r="HAJ1573" s="866"/>
      <c r="HAK1573" s="866"/>
      <c r="HAL1573" s="866"/>
      <c r="HAM1573" s="866"/>
      <c r="HAN1573" s="866"/>
      <c r="HAO1573" s="866"/>
      <c r="HAP1573" s="866"/>
      <c r="HAQ1573" s="866"/>
      <c r="HAR1573" s="866"/>
      <c r="HAS1573" s="866"/>
      <c r="HAT1573" s="866"/>
      <c r="HAU1573" s="866"/>
      <c r="HAV1573" s="866"/>
      <c r="HAW1573" s="866"/>
      <c r="HAX1573" s="866"/>
      <c r="HAY1573" s="866"/>
      <c r="HAZ1573" s="866"/>
      <c r="HBA1573" s="866"/>
      <c r="HBB1573" s="866"/>
      <c r="HBC1573" s="866"/>
      <c r="HBD1573" s="866"/>
      <c r="HBE1573" s="866"/>
      <c r="HBF1573" s="866"/>
      <c r="HBG1573" s="866"/>
      <c r="HBH1573" s="866"/>
      <c r="HBI1573" s="866"/>
      <c r="HBJ1573" s="866"/>
      <c r="HBK1573" s="866"/>
      <c r="HBL1573" s="866"/>
      <c r="HBM1573" s="866"/>
      <c r="HBN1573" s="866"/>
      <c r="HBO1573" s="866"/>
      <c r="HBP1573" s="866"/>
      <c r="HBQ1573" s="866"/>
      <c r="HBR1573" s="866"/>
      <c r="HBS1573" s="866"/>
      <c r="HBT1573" s="866"/>
      <c r="HBU1573" s="866"/>
      <c r="HBV1573" s="866"/>
      <c r="HBW1573" s="866"/>
      <c r="HBX1573" s="866"/>
      <c r="HBY1573" s="866"/>
      <c r="HBZ1573" s="866"/>
      <c r="HCA1573" s="866"/>
      <c r="HCB1573" s="866"/>
      <c r="HCC1573" s="866"/>
      <c r="HCD1573" s="866"/>
      <c r="HCE1573" s="866"/>
      <c r="HCF1573" s="866"/>
      <c r="HCG1573" s="866"/>
      <c r="HCH1573" s="866"/>
      <c r="HCI1573" s="866"/>
      <c r="HCJ1573" s="866"/>
      <c r="HCK1573" s="866"/>
      <c r="HCL1573" s="866"/>
      <c r="HCM1573" s="866"/>
      <c r="HCN1573" s="866"/>
      <c r="HCO1573" s="866"/>
      <c r="HCP1573" s="866"/>
      <c r="HCQ1573" s="866"/>
      <c r="HCR1573" s="866"/>
      <c r="HCS1573" s="866"/>
      <c r="HCT1573" s="866"/>
      <c r="HCU1573" s="866"/>
      <c r="HCV1573" s="866"/>
      <c r="HCW1573" s="866"/>
      <c r="HCX1573" s="866"/>
      <c r="HCY1573" s="866"/>
      <c r="HCZ1573" s="866"/>
      <c r="HDA1573" s="866"/>
      <c r="HDB1573" s="866"/>
      <c r="HDC1573" s="866"/>
      <c r="HDD1573" s="866"/>
      <c r="HDE1573" s="866"/>
      <c r="HDF1573" s="866"/>
      <c r="HDG1573" s="866"/>
      <c r="HDH1573" s="866"/>
      <c r="HDI1573" s="866"/>
      <c r="HDJ1573" s="866"/>
      <c r="HDK1573" s="866"/>
      <c r="HDL1573" s="866"/>
      <c r="HDM1573" s="866"/>
      <c r="HDN1573" s="866"/>
      <c r="HDO1573" s="866"/>
      <c r="HDP1573" s="866"/>
      <c r="HDQ1573" s="866"/>
      <c r="HDR1573" s="866"/>
      <c r="HDS1573" s="866"/>
      <c r="HDT1573" s="866"/>
      <c r="HDU1573" s="866"/>
      <c r="HDV1573" s="866"/>
      <c r="HDW1573" s="866"/>
      <c r="HDX1573" s="866"/>
      <c r="HDY1573" s="866"/>
      <c r="HDZ1573" s="866"/>
      <c r="HEA1573" s="866"/>
      <c r="HEB1573" s="866"/>
      <c r="HEC1573" s="866"/>
      <c r="HED1573" s="866"/>
      <c r="HEE1573" s="866"/>
      <c r="HEF1573" s="866"/>
      <c r="HEG1573" s="866"/>
      <c r="HEH1573" s="866"/>
      <c r="HEI1573" s="866"/>
      <c r="HEJ1573" s="866"/>
      <c r="HEK1573" s="866"/>
      <c r="HEL1573" s="866"/>
      <c r="HEM1573" s="866"/>
      <c r="HEN1573" s="866"/>
      <c r="HEO1573" s="866"/>
      <c r="HEP1573" s="866"/>
      <c r="HEQ1573" s="866"/>
      <c r="HER1573" s="866"/>
      <c r="HES1573" s="866"/>
      <c r="HET1573" s="866"/>
      <c r="HEU1573" s="866"/>
      <c r="HEV1573" s="866"/>
      <c r="HEW1573" s="866"/>
      <c r="HEX1573" s="866"/>
      <c r="HEY1573" s="866"/>
      <c r="HEZ1573" s="866"/>
      <c r="HFA1573" s="866"/>
      <c r="HFB1573" s="866"/>
      <c r="HFC1573" s="866"/>
      <c r="HFD1573" s="866"/>
      <c r="HFE1573" s="866"/>
      <c r="HFF1573" s="866"/>
      <c r="HFG1573" s="866"/>
      <c r="HFH1573" s="866"/>
      <c r="HFI1573" s="866"/>
      <c r="HFJ1573" s="866"/>
      <c r="HFK1573" s="866"/>
      <c r="HFL1573" s="866"/>
      <c r="HFM1573" s="866"/>
      <c r="HFN1573" s="866"/>
      <c r="HFO1573" s="866"/>
      <c r="HFP1573" s="866"/>
      <c r="HFQ1573" s="866"/>
      <c r="HFR1573" s="866"/>
      <c r="HFS1573" s="866"/>
      <c r="HFT1573" s="866"/>
      <c r="HFU1573" s="866"/>
      <c r="HFV1573" s="866"/>
      <c r="HFW1573" s="866"/>
      <c r="HFX1573" s="866"/>
      <c r="HFY1573" s="866"/>
      <c r="HFZ1573" s="866"/>
      <c r="HGA1573" s="866"/>
      <c r="HGB1573" s="866"/>
      <c r="HGC1573" s="866"/>
      <c r="HGD1573" s="866"/>
      <c r="HGE1573" s="866"/>
      <c r="HGF1573" s="866"/>
      <c r="HGG1573" s="866"/>
      <c r="HGH1573" s="866"/>
      <c r="HGI1573" s="866"/>
      <c r="HGJ1573" s="866"/>
      <c r="HGK1573" s="866"/>
      <c r="HGL1573" s="866"/>
      <c r="HGM1573" s="866"/>
      <c r="HGN1573" s="866"/>
      <c r="HGO1573" s="866"/>
      <c r="HGP1573" s="866"/>
      <c r="HGQ1573" s="866"/>
      <c r="HGR1573" s="866"/>
      <c r="HGS1573" s="866"/>
      <c r="HGT1573" s="866"/>
      <c r="HGU1573" s="866"/>
      <c r="HGV1573" s="866"/>
      <c r="HGW1573" s="866"/>
      <c r="HGX1573" s="866"/>
      <c r="HGY1573" s="866"/>
      <c r="HGZ1573" s="866"/>
      <c r="HHA1573" s="866"/>
      <c r="HHB1573" s="866"/>
      <c r="HHC1573" s="866"/>
      <c r="HHD1573" s="866"/>
      <c r="HHE1573" s="866"/>
      <c r="HHF1573" s="866"/>
      <c r="HHG1573" s="866"/>
      <c r="HHH1573" s="866"/>
      <c r="HHI1573" s="866"/>
      <c r="HHJ1573" s="866"/>
      <c r="HHK1573" s="866"/>
      <c r="HHL1573" s="866"/>
      <c r="HHM1573" s="866"/>
      <c r="HHN1573" s="866"/>
      <c r="HHO1573" s="866"/>
      <c r="HHP1573" s="866"/>
      <c r="HHQ1573" s="866"/>
      <c r="HHR1573" s="866"/>
      <c r="HHS1573" s="866"/>
      <c r="HHT1573" s="866"/>
      <c r="HHU1573" s="866"/>
      <c r="HHV1573" s="866"/>
      <c r="HHW1573" s="866"/>
      <c r="HHX1573" s="866"/>
      <c r="HHY1573" s="866"/>
      <c r="HHZ1573" s="866"/>
      <c r="HIA1573" s="866"/>
      <c r="HIB1573" s="866"/>
      <c r="HIC1573" s="866"/>
      <c r="HID1573" s="866"/>
      <c r="HIE1573" s="866"/>
      <c r="HIF1573" s="866"/>
      <c r="HIG1573" s="866"/>
      <c r="HIH1573" s="866"/>
      <c r="HII1573" s="866"/>
      <c r="HIJ1573" s="866"/>
      <c r="HIK1573" s="866"/>
      <c r="HIL1573" s="866"/>
      <c r="HIM1573" s="866"/>
      <c r="HIN1573" s="866"/>
      <c r="HIO1573" s="866"/>
      <c r="HIP1573" s="866"/>
      <c r="HIQ1573" s="866"/>
      <c r="HIR1573" s="866"/>
      <c r="HIS1573" s="866"/>
      <c r="HIT1573" s="866"/>
      <c r="HIU1573" s="866"/>
      <c r="HIV1573" s="866"/>
      <c r="HIW1573" s="866"/>
      <c r="HIX1573" s="866"/>
      <c r="HIY1573" s="866"/>
      <c r="HIZ1573" s="866"/>
      <c r="HJA1573" s="866"/>
      <c r="HJB1573" s="866"/>
      <c r="HJC1573" s="866"/>
      <c r="HJD1573" s="866"/>
      <c r="HJE1573" s="866"/>
      <c r="HJF1573" s="866"/>
      <c r="HJG1573" s="866"/>
      <c r="HJH1573" s="866"/>
      <c r="HJI1573" s="866"/>
      <c r="HJJ1573" s="866"/>
      <c r="HJK1573" s="866"/>
      <c r="HJL1573" s="866"/>
      <c r="HJM1573" s="866"/>
      <c r="HJN1573" s="866"/>
      <c r="HJO1573" s="866"/>
      <c r="HJP1573" s="866"/>
      <c r="HJQ1573" s="866"/>
      <c r="HJR1573" s="866"/>
      <c r="HJS1573" s="866"/>
      <c r="HJT1573" s="866"/>
      <c r="HJU1573" s="866"/>
      <c r="HJV1573" s="866"/>
      <c r="HJW1573" s="866"/>
      <c r="HJX1573" s="866"/>
      <c r="HJY1573" s="866"/>
      <c r="HJZ1573" s="866"/>
      <c r="HKA1573" s="866"/>
      <c r="HKB1573" s="866"/>
      <c r="HKC1573" s="866"/>
      <c r="HKD1573" s="866"/>
      <c r="HKE1573" s="866"/>
      <c r="HKF1573" s="866"/>
      <c r="HKG1573" s="866"/>
      <c r="HKH1573" s="866"/>
      <c r="HKI1573" s="866"/>
      <c r="HKJ1573" s="866"/>
      <c r="HKK1573" s="866"/>
      <c r="HKL1573" s="866"/>
      <c r="HKM1573" s="866"/>
      <c r="HKN1573" s="866"/>
      <c r="HKO1573" s="866"/>
      <c r="HKP1573" s="866"/>
      <c r="HKQ1573" s="866"/>
      <c r="HKR1573" s="866"/>
      <c r="HKS1573" s="866"/>
      <c r="HKT1573" s="866"/>
      <c r="HKU1573" s="866"/>
      <c r="HKV1573" s="866"/>
      <c r="HKW1573" s="866"/>
      <c r="HKX1573" s="866"/>
      <c r="HKY1573" s="866"/>
      <c r="HKZ1573" s="866"/>
      <c r="HLA1573" s="866"/>
      <c r="HLB1573" s="866"/>
      <c r="HLC1573" s="866"/>
      <c r="HLD1573" s="866"/>
      <c r="HLE1573" s="866"/>
      <c r="HLF1573" s="866"/>
      <c r="HLG1573" s="866"/>
      <c r="HLH1573" s="866"/>
      <c r="HLI1573" s="866"/>
      <c r="HLJ1573" s="866"/>
      <c r="HLK1573" s="866"/>
      <c r="HLL1573" s="866"/>
      <c r="HLM1573" s="866"/>
      <c r="HLN1573" s="866"/>
      <c r="HLO1573" s="866"/>
      <c r="HLP1573" s="866"/>
      <c r="HLQ1573" s="866"/>
      <c r="HLR1573" s="866"/>
      <c r="HLS1573" s="866"/>
      <c r="HLT1573" s="866"/>
      <c r="HLU1573" s="866"/>
      <c r="HLV1573" s="866"/>
      <c r="HLW1573" s="866"/>
      <c r="HLX1573" s="866"/>
      <c r="HLY1573" s="866"/>
      <c r="HLZ1573" s="866"/>
      <c r="HMA1573" s="866"/>
      <c r="HMB1573" s="866"/>
      <c r="HMC1573" s="866"/>
      <c r="HMD1573" s="866"/>
      <c r="HME1573" s="866"/>
      <c r="HMF1573" s="866"/>
      <c r="HMG1573" s="866"/>
      <c r="HMH1573" s="866"/>
      <c r="HMI1573" s="866"/>
      <c r="HMJ1573" s="866"/>
      <c r="HMK1573" s="866"/>
      <c r="HML1573" s="866"/>
      <c r="HMM1573" s="866"/>
      <c r="HMN1573" s="866"/>
      <c r="HMO1573" s="866"/>
      <c r="HMP1573" s="866"/>
      <c r="HMQ1573" s="866"/>
      <c r="HMR1573" s="866"/>
      <c r="HMS1573" s="866"/>
      <c r="HMT1573" s="866"/>
      <c r="HMU1573" s="866"/>
      <c r="HMV1573" s="866"/>
      <c r="HMW1573" s="866"/>
      <c r="HMX1573" s="866"/>
      <c r="HMY1573" s="866"/>
      <c r="HMZ1573" s="866"/>
      <c r="HNA1573" s="866"/>
      <c r="HNB1573" s="866"/>
      <c r="HNC1573" s="866"/>
      <c r="HND1573" s="866"/>
      <c r="HNE1573" s="866"/>
      <c r="HNF1573" s="866"/>
      <c r="HNG1573" s="866"/>
      <c r="HNH1573" s="866"/>
      <c r="HNI1573" s="866"/>
      <c r="HNJ1573" s="866"/>
      <c r="HNK1573" s="866"/>
      <c r="HNL1573" s="866"/>
      <c r="HNM1573" s="866"/>
      <c r="HNN1573" s="866"/>
      <c r="HNO1573" s="866"/>
      <c r="HNP1573" s="866"/>
      <c r="HNQ1573" s="866"/>
      <c r="HNR1573" s="866"/>
      <c r="HNS1573" s="866"/>
      <c r="HNT1573" s="866"/>
      <c r="HNU1573" s="866"/>
      <c r="HNV1573" s="866"/>
      <c r="HNW1573" s="866"/>
      <c r="HNX1573" s="866"/>
      <c r="HNY1573" s="866"/>
      <c r="HNZ1573" s="866"/>
      <c r="HOA1573" s="866"/>
      <c r="HOB1573" s="866"/>
      <c r="HOC1573" s="866"/>
      <c r="HOD1573" s="866"/>
      <c r="HOE1573" s="866"/>
      <c r="HOF1573" s="866"/>
      <c r="HOG1573" s="866"/>
      <c r="HOH1573" s="866"/>
      <c r="HOI1573" s="866"/>
      <c r="HOJ1573" s="866"/>
      <c r="HOK1573" s="866"/>
      <c r="HOL1573" s="866"/>
      <c r="HOM1573" s="866"/>
      <c r="HON1573" s="866"/>
      <c r="HOO1573" s="866"/>
      <c r="HOP1573" s="866"/>
      <c r="HOQ1573" s="866"/>
      <c r="HOR1573" s="866"/>
      <c r="HOS1573" s="866"/>
      <c r="HOT1573" s="866"/>
      <c r="HOU1573" s="866"/>
      <c r="HOV1573" s="866"/>
      <c r="HOW1573" s="866"/>
      <c r="HOX1573" s="866"/>
      <c r="HOY1573" s="866"/>
      <c r="HOZ1573" s="866"/>
      <c r="HPA1573" s="866"/>
      <c r="HPB1573" s="866"/>
      <c r="HPC1573" s="866"/>
      <c r="HPD1573" s="866"/>
      <c r="HPE1573" s="866"/>
      <c r="HPF1573" s="866"/>
      <c r="HPG1573" s="866"/>
      <c r="HPH1573" s="866"/>
      <c r="HPI1573" s="866"/>
      <c r="HPJ1573" s="866"/>
      <c r="HPK1573" s="866"/>
      <c r="HPL1573" s="866"/>
      <c r="HPM1573" s="866"/>
      <c r="HPN1573" s="866"/>
      <c r="HPO1573" s="866"/>
      <c r="HPP1573" s="866"/>
      <c r="HPQ1573" s="866"/>
      <c r="HPR1573" s="866"/>
      <c r="HPS1573" s="866"/>
      <c r="HPT1573" s="866"/>
      <c r="HPU1573" s="866"/>
      <c r="HPV1573" s="866"/>
      <c r="HPW1573" s="866"/>
      <c r="HPX1573" s="866"/>
      <c r="HPY1573" s="866"/>
      <c r="HPZ1573" s="866"/>
      <c r="HQA1573" s="866"/>
      <c r="HQB1573" s="866"/>
      <c r="HQC1573" s="866"/>
      <c r="HQD1573" s="866"/>
      <c r="HQE1573" s="866"/>
      <c r="HQF1573" s="866"/>
      <c r="HQG1573" s="866"/>
      <c r="HQH1573" s="866"/>
      <c r="HQI1573" s="866"/>
      <c r="HQJ1573" s="866"/>
      <c r="HQK1573" s="866"/>
      <c r="HQL1573" s="866"/>
      <c r="HQM1573" s="866"/>
      <c r="HQN1573" s="866"/>
      <c r="HQO1573" s="866"/>
      <c r="HQP1573" s="866"/>
      <c r="HQQ1573" s="866"/>
      <c r="HQR1573" s="866"/>
      <c r="HQS1573" s="866"/>
      <c r="HQT1573" s="866"/>
      <c r="HQU1573" s="866"/>
      <c r="HQV1573" s="866"/>
      <c r="HQW1573" s="866"/>
      <c r="HQX1573" s="866"/>
      <c r="HQY1573" s="866"/>
      <c r="HQZ1573" s="866"/>
      <c r="HRA1573" s="866"/>
      <c r="HRB1573" s="866"/>
      <c r="HRC1573" s="866"/>
      <c r="HRD1573" s="866"/>
      <c r="HRE1573" s="866"/>
      <c r="HRF1573" s="866"/>
      <c r="HRG1573" s="866"/>
      <c r="HRH1573" s="866"/>
      <c r="HRI1573" s="866"/>
      <c r="HRJ1573" s="866"/>
      <c r="HRK1573" s="866"/>
      <c r="HRL1573" s="866"/>
      <c r="HRM1573" s="866"/>
      <c r="HRN1573" s="866"/>
      <c r="HRO1573" s="866"/>
      <c r="HRP1573" s="866"/>
      <c r="HRQ1573" s="866"/>
      <c r="HRR1573" s="866"/>
      <c r="HRS1573" s="866"/>
      <c r="HRT1573" s="866"/>
      <c r="HRU1573" s="866"/>
      <c r="HRV1573" s="866"/>
      <c r="HRW1573" s="866"/>
      <c r="HRX1573" s="866"/>
      <c r="HRY1573" s="866"/>
      <c r="HRZ1573" s="866"/>
      <c r="HSA1573" s="866"/>
      <c r="HSB1573" s="866"/>
      <c r="HSC1573" s="866"/>
      <c r="HSD1573" s="866"/>
      <c r="HSE1573" s="866"/>
      <c r="HSF1573" s="866"/>
      <c r="HSG1573" s="866"/>
      <c r="HSH1573" s="866"/>
      <c r="HSI1573" s="866"/>
      <c r="HSJ1573" s="866"/>
      <c r="HSK1573" s="866"/>
      <c r="HSL1573" s="866"/>
      <c r="HSM1573" s="866"/>
      <c r="HSN1573" s="866"/>
      <c r="HSO1573" s="866"/>
      <c r="HSP1573" s="866"/>
      <c r="HSQ1573" s="866"/>
      <c r="HSR1573" s="866"/>
      <c r="HSS1573" s="866"/>
      <c r="HST1573" s="866"/>
      <c r="HSU1573" s="866"/>
      <c r="HSV1573" s="866"/>
      <c r="HSW1573" s="866"/>
      <c r="HSX1573" s="866"/>
      <c r="HSY1573" s="866"/>
      <c r="HSZ1573" s="866"/>
      <c r="HTA1573" s="866"/>
      <c r="HTB1573" s="866"/>
      <c r="HTC1573" s="866"/>
      <c r="HTD1573" s="866"/>
      <c r="HTE1573" s="866"/>
      <c r="HTF1573" s="866"/>
      <c r="HTG1573" s="866"/>
      <c r="HTH1573" s="866"/>
      <c r="HTI1573" s="866"/>
      <c r="HTJ1573" s="866"/>
      <c r="HTK1573" s="866"/>
      <c r="HTL1573" s="866"/>
      <c r="HTM1573" s="866"/>
      <c r="HTN1573" s="866"/>
      <c r="HTO1573" s="866"/>
      <c r="HTP1573" s="866"/>
      <c r="HTQ1573" s="866"/>
      <c r="HTR1573" s="866"/>
      <c r="HTS1573" s="866"/>
      <c r="HTT1573" s="866"/>
      <c r="HTU1573" s="866"/>
      <c r="HTV1573" s="866"/>
      <c r="HTW1573" s="866"/>
      <c r="HTX1573" s="866"/>
      <c r="HTY1573" s="866"/>
      <c r="HTZ1573" s="866"/>
      <c r="HUA1573" s="866"/>
      <c r="HUB1573" s="866"/>
      <c r="HUC1573" s="866"/>
      <c r="HUD1573" s="866"/>
      <c r="HUE1573" s="866"/>
      <c r="HUF1573" s="866"/>
      <c r="HUG1573" s="866"/>
      <c r="HUH1573" s="866"/>
      <c r="HUI1573" s="866"/>
      <c r="HUJ1573" s="866"/>
      <c r="HUK1573" s="866"/>
      <c r="HUL1573" s="866"/>
      <c r="HUM1573" s="866"/>
      <c r="HUN1573" s="866"/>
      <c r="HUO1573" s="866"/>
      <c r="HUP1573" s="866"/>
      <c r="HUQ1573" s="866"/>
      <c r="HUR1573" s="866"/>
      <c r="HUS1573" s="866"/>
      <c r="HUT1573" s="866"/>
      <c r="HUU1573" s="866"/>
      <c r="HUV1573" s="866"/>
      <c r="HUW1573" s="866"/>
      <c r="HUX1573" s="866"/>
      <c r="HUY1573" s="866"/>
      <c r="HUZ1573" s="866"/>
      <c r="HVA1573" s="866"/>
      <c r="HVB1573" s="866"/>
      <c r="HVC1573" s="866"/>
      <c r="HVD1573" s="866"/>
      <c r="HVE1573" s="866"/>
      <c r="HVF1573" s="866"/>
      <c r="HVG1573" s="866"/>
      <c r="HVH1573" s="866"/>
      <c r="HVI1573" s="866"/>
      <c r="HVJ1573" s="866"/>
      <c r="HVK1573" s="866"/>
      <c r="HVL1573" s="866"/>
      <c r="HVM1573" s="866"/>
      <c r="HVN1573" s="866"/>
      <c r="HVO1573" s="866"/>
      <c r="HVP1573" s="866"/>
      <c r="HVQ1573" s="866"/>
      <c r="HVR1573" s="866"/>
      <c r="HVS1573" s="866"/>
      <c r="HVT1573" s="866"/>
      <c r="HVU1573" s="866"/>
      <c r="HVV1573" s="866"/>
      <c r="HVW1573" s="866"/>
      <c r="HVX1573" s="866"/>
      <c r="HVY1573" s="866"/>
      <c r="HVZ1573" s="866"/>
      <c r="HWA1573" s="866"/>
      <c r="HWB1573" s="866"/>
      <c r="HWC1573" s="866"/>
      <c r="HWD1573" s="866"/>
      <c r="HWE1573" s="866"/>
      <c r="HWF1573" s="866"/>
      <c r="HWG1573" s="866"/>
      <c r="HWH1573" s="866"/>
      <c r="HWI1573" s="866"/>
      <c r="HWJ1573" s="866"/>
      <c r="HWK1573" s="866"/>
      <c r="HWL1573" s="866"/>
      <c r="HWM1573" s="866"/>
      <c r="HWN1573" s="866"/>
      <c r="HWO1573" s="866"/>
      <c r="HWP1573" s="866"/>
      <c r="HWQ1573" s="866"/>
      <c r="HWR1573" s="866"/>
      <c r="HWS1573" s="866"/>
      <c r="HWT1573" s="866"/>
      <c r="HWU1573" s="866"/>
      <c r="HWV1573" s="866"/>
      <c r="HWW1573" s="866"/>
      <c r="HWX1573" s="866"/>
      <c r="HWY1573" s="866"/>
      <c r="HWZ1573" s="866"/>
      <c r="HXA1573" s="866"/>
      <c r="HXB1573" s="866"/>
      <c r="HXC1573" s="866"/>
      <c r="HXD1573" s="866"/>
      <c r="HXE1573" s="866"/>
      <c r="HXF1573" s="866"/>
      <c r="HXG1573" s="866"/>
      <c r="HXH1573" s="866"/>
      <c r="HXI1573" s="866"/>
      <c r="HXJ1573" s="866"/>
      <c r="HXK1573" s="866"/>
      <c r="HXL1573" s="866"/>
      <c r="HXM1573" s="866"/>
      <c r="HXN1573" s="866"/>
      <c r="HXO1573" s="866"/>
      <c r="HXP1573" s="866"/>
      <c r="HXQ1573" s="866"/>
      <c r="HXR1573" s="866"/>
      <c r="HXS1573" s="866"/>
      <c r="HXT1573" s="866"/>
      <c r="HXU1573" s="866"/>
      <c r="HXV1573" s="866"/>
      <c r="HXW1573" s="866"/>
      <c r="HXX1573" s="866"/>
      <c r="HXY1573" s="866"/>
      <c r="HXZ1573" s="866"/>
      <c r="HYA1573" s="866"/>
      <c r="HYB1573" s="866"/>
      <c r="HYC1573" s="866"/>
      <c r="HYD1573" s="866"/>
      <c r="HYE1573" s="866"/>
      <c r="HYF1573" s="866"/>
      <c r="HYG1573" s="866"/>
      <c r="HYH1573" s="866"/>
      <c r="HYI1573" s="866"/>
      <c r="HYJ1573" s="866"/>
      <c r="HYK1573" s="866"/>
      <c r="HYL1573" s="866"/>
      <c r="HYM1573" s="866"/>
      <c r="HYN1573" s="866"/>
      <c r="HYO1573" s="866"/>
      <c r="HYP1573" s="866"/>
      <c r="HYQ1573" s="866"/>
      <c r="HYR1573" s="866"/>
      <c r="HYS1573" s="866"/>
      <c r="HYT1573" s="866"/>
      <c r="HYU1573" s="866"/>
      <c r="HYV1573" s="866"/>
      <c r="HYW1573" s="866"/>
      <c r="HYX1573" s="866"/>
      <c r="HYY1573" s="866"/>
      <c r="HYZ1573" s="866"/>
      <c r="HZA1573" s="866"/>
      <c r="HZB1573" s="866"/>
      <c r="HZC1573" s="866"/>
      <c r="HZD1573" s="866"/>
      <c r="HZE1573" s="866"/>
      <c r="HZF1573" s="866"/>
      <c r="HZG1573" s="866"/>
      <c r="HZH1573" s="866"/>
      <c r="HZI1573" s="866"/>
      <c r="HZJ1573" s="866"/>
      <c r="HZK1573" s="866"/>
      <c r="HZL1573" s="866"/>
      <c r="HZM1573" s="866"/>
      <c r="HZN1573" s="866"/>
      <c r="HZO1573" s="866"/>
      <c r="HZP1573" s="866"/>
      <c r="HZQ1573" s="866"/>
      <c r="HZR1573" s="866"/>
      <c r="HZS1573" s="866"/>
      <c r="HZT1573" s="866"/>
      <c r="HZU1573" s="866"/>
      <c r="HZV1573" s="866"/>
      <c r="HZW1573" s="866"/>
      <c r="HZX1573" s="866"/>
      <c r="HZY1573" s="866"/>
      <c r="HZZ1573" s="866"/>
      <c r="IAA1573" s="866"/>
      <c r="IAB1573" s="866"/>
      <c r="IAC1573" s="866"/>
      <c r="IAD1573" s="866"/>
      <c r="IAE1573" s="866"/>
      <c r="IAF1573" s="866"/>
      <c r="IAG1573" s="866"/>
      <c r="IAH1573" s="866"/>
      <c r="IAI1573" s="866"/>
      <c r="IAJ1573" s="866"/>
      <c r="IAK1573" s="866"/>
      <c r="IAL1573" s="866"/>
      <c r="IAM1573" s="866"/>
      <c r="IAN1573" s="866"/>
      <c r="IAO1573" s="866"/>
      <c r="IAP1573" s="866"/>
      <c r="IAQ1573" s="866"/>
      <c r="IAR1573" s="866"/>
      <c r="IAS1573" s="866"/>
      <c r="IAT1573" s="866"/>
      <c r="IAU1573" s="866"/>
      <c r="IAV1573" s="866"/>
      <c r="IAW1573" s="866"/>
      <c r="IAX1573" s="866"/>
      <c r="IAY1573" s="866"/>
      <c r="IAZ1573" s="866"/>
      <c r="IBA1573" s="866"/>
      <c r="IBB1573" s="866"/>
      <c r="IBC1573" s="866"/>
      <c r="IBD1573" s="866"/>
      <c r="IBE1573" s="866"/>
      <c r="IBF1573" s="866"/>
      <c r="IBG1573" s="866"/>
      <c r="IBH1573" s="866"/>
      <c r="IBI1573" s="866"/>
      <c r="IBJ1573" s="866"/>
      <c r="IBK1573" s="866"/>
      <c r="IBL1573" s="866"/>
      <c r="IBM1573" s="866"/>
      <c r="IBN1573" s="866"/>
      <c r="IBO1573" s="866"/>
      <c r="IBP1573" s="866"/>
      <c r="IBQ1573" s="866"/>
      <c r="IBR1573" s="866"/>
      <c r="IBS1573" s="866"/>
      <c r="IBT1573" s="866"/>
      <c r="IBU1573" s="866"/>
      <c r="IBV1573" s="866"/>
      <c r="IBW1573" s="866"/>
      <c r="IBX1573" s="866"/>
      <c r="IBY1573" s="866"/>
      <c r="IBZ1573" s="866"/>
      <c r="ICA1573" s="866"/>
      <c r="ICB1573" s="866"/>
      <c r="ICC1573" s="866"/>
      <c r="ICD1573" s="866"/>
      <c r="ICE1573" s="866"/>
      <c r="ICF1573" s="866"/>
      <c r="ICG1573" s="866"/>
      <c r="ICH1573" s="866"/>
      <c r="ICI1573" s="866"/>
      <c r="ICJ1573" s="866"/>
      <c r="ICK1573" s="866"/>
      <c r="ICL1573" s="866"/>
      <c r="ICM1573" s="866"/>
      <c r="ICN1573" s="866"/>
      <c r="ICO1573" s="866"/>
      <c r="ICP1573" s="866"/>
      <c r="ICQ1573" s="866"/>
      <c r="ICR1573" s="866"/>
      <c r="ICS1573" s="866"/>
      <c r="ICT1573" s="866"/>
      <c r="ICU1573" s="866"/>
      <c r="ICV1573" s="866"/>
      <c r="ICW1573" s="866"/>
      <c r="ICX1573" s="866"/>
      <c r="ICY1573" s="866"/>
      <c r="ICZ1573" s="866"/>
      <c r="IDA1573" s="866"/>
      <c r="IDB1573" s="866"/>
      <c r="IDC1573" s="866"/>
      <c r="IDD1573" s="866"/>
      <c r="IDE1573" s="866"/>
      <c r="IDF1573" s="866"/>
      <c r="IDG1573" s="866"/>
      <c r="IDH1573" s="866"/>
      <c r="IDI1573" s="866"/>
      <c r="IDJ1573" s="866"/>
      <c r="IDK1573" s="866"/>
      <c r="IDL1573" s="866"/>
      <c r="IDM1573" s="866"/>
      <c r="IDN1573" s="866"/>
      <c r="IDO1573" s="866"/>
      <c r="IDP1573" s="866"/>
      <c r="IDQ1573" s="866"/>
      <c r="IDR1573" s="866"/>
      <c r="IDS1573" s="866"/>
      <c r="IDT1573" s="866"/>
      <c r="IDU1573" s="866"/>
      <c r="IDV1573" s="866"/>
      <c r="IDW1573" s="866"/>
      <c r="IDX1573" s="866"/>
      <c r="IDY1573" s="866"/>
      <c r="IDZ1573" s="866"/>
      <c r="IEA1573" s="866"/>
      <c r="IEB1573" s="866"/>
      <c r="IEC1573" s="866"/>
      <c r="IED1573" s="866"/>
      <c r="IEE1573" s="866"/>
      <c r="IEF1573" s="866"/>
      <c r="IEG1573" s="866"/>
      <c r="IEH1573" s="866"/>
      <c r="IEI1573" s="866"/>
      <c r="IEJ1573" s="866"/>
      <c r="IEK1573" s="866"/>
      <c r="IEL1573" s="866"/>
      <c r="IEM1573" s="866"/>
      <c r="IEN1573" s="866"/>
      <c r="IEO1573" s="866"/>
      <c r="IEP1573" s="866"/>
      <c r="IEQ1573" s="866"/>
      <c r="IER1573" s="866"/>
      <c r="IES1573" s="866"/>
      <c r="IET1573" s="866"/>
      <c r="IEU1573" s="866"/>
      <c r="IEV1573" s="866"/>
      <c r="IEW1573" s="866"/>
      <c r="IEX1573" s="866"/>
      <c r="IEY1573" s="866"/>
      <c r="IEZ1573" s="866"/>
      <c r="IFA1573" s="866"/>
      <c r="IFB1573" s="866"/>
      <c r="IFC1573" s="866"/>
      <c r="IFD1573" s="866"/>
      <c r="IFE1573" s="866"/>
      <c r="IFF1573" s="866"/>
      <c r="IFG1573" s="866"/>
      <c r="IFH1573" s="866"/>
      <c r="IFI1573" s="866"/>
      <c r="IFJ1573" s="866"/>
      <c r="IFK1573" s="866"/>
      <c r="IFL1573" s="866"/>
      <c r="IFM1573" s="866"/>
      <c r="IFN1573" s="866"/>
      <c r="IFO1573" s="866"/>
      <c r="IFP1573" s="866"/>
      <c r="IFQ1573" s="866"/>
      <c r="IFR1573" s="866"/>
      <c r="IFS1573" s="866"/>
      <c r="IFT1573" s="866"/>
      <c r="IFU1573" s="866"/>
      <c r="IFV1573" s="866"/>
      <c r="IFW1573" s="866"/>
      <c r="IFX1573" s="866"/>
      <c r="IFY1573" s="866"/>
      <c r="IFZ1573" s="866"/>
      <c r="IGA1573" s="866"/>
      <c r="IGB1573" s="866"/>
      <c r="IGC1573" s="866"/>
      <c r="IGD1573" s="866"/>
      <c r="IGE1573" s="866"/>
      <c r="IGF1573" s="866"/>
      <c r="IGG1573" s="866"/>
      <c r="IGH1573" s="866"/>
      <c r="IGI1573" s="866"/>
      <c r="IGJ1573" s="866"/>
      <c r="IGK1573" s="866"/>
      <c r="IGL1573" s="866"/>
      <c r="IGM1573" s="866"/>
      <c r="IGN1573" s="866"/>
      <c r="IGO1573" s="866"/>
      <c r="IGP1573" s="866"/>
      <c r="IGQ1573" s="866"/>
      <c r="IGR1573" s="866"/>
      <c r="IGS1573" s="866"/>
      <c r="IGT1573" s="866"/>
      <c r="IGU1573" s="866"/>
      <c r="IGV1573" s="866"/>
      <c r="IGW1573" s="866"/>
      <c r="IGX1573" s="866"/>
      <c r="IGY1573" s="866"/>
      <c r="IGZ1573" s="866"/>
      <c r="IHA1573" s="866"/>
      <c r="IHB1573" s="866"/>
      <c r="IHC1573" s="866"/>
      <c r="IHD1573" s="866"/>
      <c r="IHE1573" s="866"/>
      <c r="IHF1573" s="866"/>
      <c r="IHG1573" s="866"/>
      <c r="IHH1573" s="866"/>
      <c r="IHI1573" s="866"/>
      <c r="IHJ1573" s="866"/>
      <c r="IHK1573" s="866"/>
      <c r="IHL1573" s="866"/>
      <c r="IHM1573" s="866"/>
      <c r="IHN1573" s="866"/>
      <c r="IHO1573" s="866"/>
      <c r="IHP1573" s="866"/>
      <c r="IHQ1573" s="866"/>
      <c r="IHR1573" s="866"/>
      <c r="IHS1573" s="866"/>
      <c r="IHT1573" s="866"/>
      <c r="IHU1573" s="866"/>
      <c r="IHV1573" s="866"/>
      <c r="IHW1573" s="866"/>
      <c r="IHX1573" s="866"/>
      <c r="IHY1573" s="866"/>
      <c r="IHZ1573" s="866"/>
      <c r="IIA1573" s="866"/>
      <c r="IIB1573" s="866"/>
      <c r="IIC1573" s="866"/>
      <c r="IID1573" s="866"/>
      <c r="IIE1573" s="866"/>
      <c r="IIF1573" s="866"/>
      <c r="IIG1573" s="866"/>
      <c r="IIH1573" s="866"/>
      <c r="III1573" s="866"/>
      <c r="IIJ1573" s="866"/>
      <c r="IIK1573" s="866"/>
      <c r="IIL1573" s="866"/>
      <c r="IIM1573" s="866"/>
      <c r="IIN1573" s="866"/>
      <c r="IIO1573" s="866"/>
      <c r="IIP1573" s="866"/>
      <c r="IIQ1573" s="866"/>
      <c r="IIR1573" s="866"/>
      <c r="IIS1573" s="866"/>
      <c r="IIT1573" s="866"/>
      <c r="IIU1573" s="866"/>
      <c r="IIV1573" s="866"/>
      <c r="IIW1573" s="866"/>
      <c r="IIX1573" s="866"/>
      <c r="IIY1573" s="866"/>
      <c r="IIZ1573" s="866"/>
      <c r="IJA1573" s="866"/>
      <c r="IJB1573" s="866"/>
      <c r="IJC1573" s="866"/>
      <c r="IJD1573" s="866"/>
      <c r="IJE1573" s="866"/>
      <c r="IJF1573" s="866"/>
      <c r="IJG1573" s="866"/>
      <c r="IJH1573" s="866"/>
      <c r="IJI1573" s="866"/>
      <c r="IJJ1573" s="866"/>
      <c r="IJK1573" s="866"/>
      <c r="IJL1573" s="866"/>
      <c r="IJM1573" s="866"/>
      <c r="IJN1573" s="866"/>
      <c r="IJO1573" s="866"/>
      <c r="IJP1573" s="866"/>
      <c r="IJQ1573" s="866"/>
      <c r="IJR1573" s="866"/>
      <c r="IJS1573" s="866"/>
      <c r="IJT1573" s="866"/>
      <c r="IJU1573" s="866"/>
      <c r="IJV1573" s="866"/>
      <c r="IJW1573" s="866"/>
      <c r="IJX1573" s="866"/>
      <c r="IJY1573" s="866"/>
      <c r="IJZ1573" s="866"/>
      <c r="IKA1573" s="866"/>
      <c r="IKB1573" s="866"/>
      <c r="IKC1573" s="866"/>
      <c r="IKD1573" s="866"/>
      <c r="IKE1573" s="866"/>
      <c r="IKF1573" s="866"/>
      <c r="IKG1573" s="866"/>
      <c r="IKH1573" s="866"/>
      <c r="IKI1573" s="866"/>
      <c r="IKJ1573" s="866"/>
      <c r="IKK1573" s="866"/>
      <c r="IKL1573" s="866"/>
      <c r="IKM1573" s="866"/>
      <c r="IKN1573" s="866"/>
      <c r="IKO1573" s="866"/>
      <c r="IKP1573" s="866"/>
      <c r="IKQ1573" s="866"/>
      <c r="IKR1573" s="866"/>
      <c r="IKS1573" s="866"/>
      <c r="IKT1573" s="866"/>
      <c r="IKU1573" s="866"/>
      <c r="IKV1573" s="866"/>
      <c r="IKW1573" s="866"/>
      <c r="IKX1573" s="866"/>
      <c r="IKY1573" s="866"/>
      <c r="IKZ1573" s="866"/>
      <c r="ILA1573" s="866"/>
      <c r="ILB1573" s="866"/>
      <c r="ILC1573" s="866"/>
      <c r="ILD1573" s="866"/>
      <c r="ILE1573" s="866"/>
      <c r="ILF1573" s="866"/>
      <c r="ILG1573" s="866"/>
      <c r="ILH1573" s="866"/>
      <c r="ILI1573" s="866"/>
      <c r="ILJ1573" s="866"/>
      <c r="ILK1573" s="866"/>
      <c r="ILL1573" s="866"/>
      <c r="ILM1573" s="866"/>
      <c r="ILN1573" s="866"/>
      <c r="ILO1573" s="866"/>
      <c r="ILP1573" s="866"/>
      <c r="ILQ1573" s="866"/>
      <c r="ILR1573" s="866"/>
      <c r="ILS1573" s="866"/>
      <c r="ILT1573" s="866"/>
      <c r="ILU1573" s="866"/>
      <c r="ILV1573" s="866"/>
      <c r="ILW1573" s="866"/>
      <c r="ILX1573" s="866"/>
      <c r="ILY1573" s="866"/>
      <c r="ILZ1573" s="866"/>
      <c r="IMA1573" s="866"/>
      <c r="IMB1573" s="866"/>
      <c r="IMC1573" s="866"/>
      <c r="IMD1573" s="866"/>
      <c r="IME1573" s="866"/>
      <c r="IMF1573" s="866"/>
      <c r="IMG1573" s="866"/>
      <c r="IMH1573" s="866"/>
      <c r="IMI1573" s="866"/>
      <c r="IMJ1573" s="866"/>
      <c r="IMK1573" s="866"/>
      <c r="IML1573" s="866"/>
      <c r="IMM1573" s="866"/>
      <c r="IMN1573" s="866"/>
      <c r="IMO1573" s="866"/>
      <c r="IMP1573" s="866"/>
      <c r="IMQ1573" s="866"/>
      <c r="IMR1573" s="866"/>
      <c r="IMS1573" s="866"/>
      <c r="IMT1573" s="866"/>
      <c r="IMU1573" s="866"/>
      <c r="IMV1573" s="866"/>
      <c r="IMW1573" s="866"/>
      <c r="IMX1573" s="866"/>
      <c r="IMY1573" s="866"/>
      <c r="IMZ1573" s="866"/>
      <c r="INA1573" s="866"/>
      <c r="INB1573" s="866"/>
      <c r="INC1573" s="866"/>
      <c r="IND1573" s="866"/>
      <c r="INE1573" s="866"/>
      <c r="INF1573" s="866"/>
      <c r="ING1573" s="866"/>
      <c r="INH1573" s="866"/>
      <c r="INI1573" s="866"/>
      <c r="INJ1573" s="866"/>
      <c r="INK1573" s="866"/>
      <c r="INL1573" s="866"/>
      <c r="INM1573" s="866"/>
      <c r="INN1573" s="866"/>
      <c r="INO1573" s="866"/>
      <c r="INP1573" s="866"/>
      <c r="INQ1573" s="866"/>
      <c r="INR1573" s="866"/>
      <c r="INS1573" s="866"/>
      <c r="INT1573" s="866"/>
      <c r="INU1573" s="866"/>
      <c r="INV1573" s="866"/>
      <c r="INW1573" s="866"/>
      <c r="INX1573" s="866"/>
      <c r="INY1573" s="866"/>
      <c r="INZ1573" s="866"/>
      <c r="IOA1573" s="866"/>
      <c r="IOB1573" s="866"/>
      <c r="IOC1573" s="866"/>
      <c r="IOD1573" s="866"/>
      <c r="IOE1573" s="866"/>
      <c r="IOF1573" s="866"/>
      <c r="IOG1573" s="866"/>
      <c r="IOH1573" s="866"/>
      <c r="IOI1573" s="866"/>
      <c r="IOJ1573" s="866"/>
      <c r="IOK1573" s="866"/>
      <c r="IOL1573" s="866"/>
      <c r="IOM1573" s="866"/>
      <c r="ION1573" s="866"/>
      <c r="IOO1573" s="866"/>
      <c r="IOP1573" s="866"/>
      <c r="IOQ1573" s="866"/>
      <c r="IOR1573" s="866"/>
      <c r="IOS1573" s="866"/>
      <c r="IOT1573" s="866"/>
      <c r="IOU1573" s="866"/>
      <c r="IOV1573" s="866"/>
      <c r="IOW1573" s="866"/>
      <c r="IOX1573" s="866"/>
      <c r="IOY1573" s="866"/>
      <c r="IOZ1573" s="866"/>
      <c r="IPA1573" s="866"/>
      <c r="IPB1573" s="866"/>
      <c r="IPC1573" s="866"/>
      <c r="IPD1573" s="866"/>
      <c r="IPE1573" s="866"/>
      <c r="IPF1573" s="866"/>
      <c r="IPG1573" s="866"/>
      <c r="IPH1573" s="866"/>
      <c r="IPI1573" s="866"/>
      <c r="IPJ1573" s="866"/>
      <c r="IPK1573" s="866"/>
      <c r="IPL1573" s="866"/>
      <c r="IPM1573" s="866"/>
      <c r="IPN1573" s="866"/>
      <c r="IPO1573" s="866"/>
      <c r="IPP1573" s="866"/>
      <c r="IPQ1573" s="866"/>
      <c r="IPR1573" s="866"/>
      <c r="IPS1573" s="866"/>
      <c r="IPT1573" s="866"/>
      <c r="IPU1573" s="866"/>
      <c r="IPV1573" s="866"/>
      <c r="IPW1573" s="866"/>
      <c r="IPX1573" s="866"/>
      <c r="IPY1573" s="866"/>
      <c r="IPZ1573" s="866"/>
      <c r="IQA1573" s="866"/>
      <c r="IQB1573" s="866"/>
      <c r="IQC1573" s="866"/>
      <c r="IQD1573" s="866"/>
      <c r="IQE1573" s="866"/>
      <c r="IQF1573" s="866"/>
      <c r="IQG1573" s="866"/>
      <c r="IQH1573" s="866"/>
      <c r="IQI1573" s="866"/>
      <c r="IQJ1573" s="866"/>
      <c r="IQK1573" s="866"/>
      <c r="IQL1573" s="866"/>
      <c r="IQM1573" s="866"/>
      <c r="IQN1573" s="866"/>
      <c r="IQO1573" s="866"/>
      <c r="IQP1573" s="866"/>
      <c r="IQQ1573" s="866"/>
      <c r="IQR1573" s="866"/>
      <c r="IQS1573" s="866"/>
      <c r="IQT1573" s="866"/>
      <c r="IQU1573" s="866"/>
      <c r="IQV1573" s="866"/>
      <c r="IQW1573" s="866"/>
      <c r="IQX1573" s="866"/>
      <c r="IQY1573" s="866"/>
      <c r="IQZ1573" s="866"/>
      <c r="IRA1573" s="866"/>
      <c r="IRB1573" s="866"/>
      <c r="IRC1573" s="866"/>
      <c r="IRD1573" s="866"/>
      <c r="IRE1573" s="866"/>
      <c r="IRF1573" s="866"/>
      <c r="IRG1573" s="866"/>
      <c r="IRH1573" s="866"/>
      <c r="IRI1573" s="866"/>
      <c r="IRJ1573" s="866"/>
      <c r="IRK1573" s="866"/>
      <c r="IRL1573" s="866"/>
      <c r="IRM1573" s="866"/>
      <c r="IRN1573" s="866"/>
      <c r="IRO1573" s="866"/>
      <c r="IRP1573" s="866"/>
      <c r="IRQ1573" s="866"/>
      <c r="IRR1573" s="866"/>
      <c r="IRS1573" s="866"/>
      <c r="IRT1573" s="866"/>
      <c r="IRU1573" s="866"/>
      <c r="IRV1573" s="866"/>
      <c r="IRW1573" s="866"/>
      <c r="IRX1573" s="866"/>
      <c r="IRY1573" s="866"/>
      <c r="IRZ1573" s="866"/>
      <c r="ISA1573" s="866"/>
      <c r="ISB1573" s="866"/>
      <c r="ISC1573" s="866"/>
      <c r="ISD1573" s="866"/>
      <c r="ISE1573" s="866"/>
      <c r="ISF1573" s="866"/>
      <c r="ISG1573" s="866"/>
      <c r="ISH1573" s="866"/>
      <c r="ISI1573" s="866"/>
      <c r="ISJ1573" s="866"/>
      <c r="ISK1573" s="866"/>
      <c r="ISL1573" s="866"/>
      <c r="ISM1573" s="866"/>
      <c r="ISN1573" s="866"/>
      <c r="ISO1573" s="866"/>
      <c r="ISP1573" s="866"/>
      <c r="ISQ1573" s="866"/>
      <c r="ISR1573" s="866"/>
      <c r="ISS1573" s="866"/>
      <c r="IST1573" s="866"/>
      <c r="ISU1573" s="866"/>
      <c r="ISV1573" s="866"/>
      <c r="ISW1573" s="866"/>
      <c r="ISX1573" s="866"/>
      <c r="ISY1573" s="866"/>
      <c r="ISZ1573" s="866"/>
      <c r="ITA1573" s="866"/>
      <c r="ITB1573" s="866"/>
      <c r="ITC1573" s="866"/>
      <c r="ITD1573" s="866"/>
      <c r="ITE1573" s="866"/>
      <c r="ITF1573" s="866"/>
      <c r="ITG1573" s="866"/>
      <c r="ITH1573" s="866"/>
      <c r="ITI1573" s="866"/>
      <c r="ITJ1573" s="866"/>
      <c r="ITK1573" s="866"/>
      <c r="ITL1573" s="866"/>
      <c r="ITM1573" s="866"/>
      <c r="ITN1573" s="866"/>
      <c r="ITO1573" s="866"/>
      <c r="ITP1573" s="866"/>
      <c r="ITQ1573" s="866"/>
      <c r="ITR1573" s="866"/>
      <c r="ITS1573" s="866"/>
      <c r="ITT1573" s="866"/>
      <c r="ITU1573" s="866"/>
      <c r="ITV1573" s="866"/>
      <c r="ITW1573" s="866"/>
      <c r="ITX1573" s="866"/>
      <c r="ITY1573" s="866"/>
      <c r="ITZ1573" s="866"/>
      <c r="IUA1573" s="866"/>
      <c r="IUB1573" s="866"/>
      <c r="IUC1573" s="866"/>
      <c r="IUD1573" s="866"/>
      <c r="IUE1573" s="866"/>
      <c r="IUF1573" s="866"/>
      <c r="IUG1573" s="866"/>
      <c r="IUH1573" s="866"/>
      <c r="IUI1573" s="866"/>
      <c r="IUJ1573" s="866"/>
      <c r="IUK1573" s="866"/>
      <c r="IUL1573" s="866"/>
      <c r="IUM1573" s="866"/>
      <c r="IUN1573" s="866"/>
      <c r="IUO1573" s="866"/>
      <c r="IUP1573" s="866"/>
      <c r="IUQ1573" s="866"/>
      <c r="IUR1573" s="866"/>
      <c r="IUS1573" s="866"/>
      <c r="IUT1573" s="866"/>
      <c r="IUU1573" s="866"/>
      <c r="IUV1573" s="866"/>
      <c r="IUW1573" s="866"/>
      <c r="IUX1573" s="866"/>
      <c r="IUY1573" s="866"/>
      <c r="IUZ1573" s="866"/>
      <c r="IVA1573" s="866"/>
      <c r="IVB1573" s="866"/>
      <c r="IVC1573" s="866"/>
      <c r="IVD1573" s="866"/>
      <c r="IVE1573" s="866"/>
      <c r="IVF1573" s="866"/>
      <c r="IVG1573" s="866"/>
      <c r="IVH1573" s="866"/>
      <c r="IVI1573" s="866"/>
      <c r="IVJ1573" s="866"/>
      <c r="IVK1573" s="866"/>
      <c r="IVL1573" s="866"/>
      <c r="IVM1573" s="866"/>
      <c r="IVN1573" s="866"/>
      <c r="IVO1573" s="866"/>
      <c r="IVP1573" s="866"/>
      <c r="IVQ1573" s="866"/>
      <c r="IVR1573" s="866"/>
      <c r="IVS1573" s="866"/>
      <c r="IVT1573" s="866"/>
      <c r="IVU1573" s="866"/>
      <c r="IVV1573" s="866"/>
      <c r="IVW1573" s="866"/>
      <c r="IVX1573" s="866"/>
      <c r="IVY1573" s="866"/>
      <c r="IVZ1573" s="866"/>
      <c r="IWA1573" s="866"/>
      <c r="IWB1573" s="866"/>
      <c r="IWC1573" s="866"/>
      <c r="IWD1573" s="866"/>
      <c r="IWE1573" s="866"/>
      <c r="IWF1573" s="866"/>
      <c r="IWG1573" s="866"/>
      <c r="IWH1573" s="866"/>
      <c r="IWI1573" s="866"/>
      <c r="IWJ1573" s="866"/>
      <c r="IWK1573" s="866"/>
      <c r="IWL1573" s="866"/>
      <c r="IWM1573" s="866"/>
      <c r="IWN1573" s="866"/>
      <c r="IWO1573" s="866"/>
      <c r="IWP1573" s="866"/>
      <c r="IWQ1573" s="866"/>
      <c r="IWR1573" s="866"/>
      <c r="IWS1573" s="866"/>
      <c r="IWT1573" s="866"/>
      <c r="IWU1573" s="866"/>
      <c r="IWV1573" s="866"/>
      <c r="IWW1573" s="866"/>
      <c r="IWX1573" s="866"/>
      <c r="IWY1573" s="866"/>
      <c r="IWZ1573" s="866"/>
      <c r="IXA1573" s="866"/>
      <c r="IXB1573" s="866"/>
      <c r="IXC1573" s="866"/>
      <c r="IXD1573" s="866"/>
      <c r="IXE1573" s="866"/>
      <c r="IXF1573" s="866"/>
      <c r="IXG1573" s="866"/>
      <c r="IXH1573" s="866"/>
      <c r="IXI1573" s="866"/>
      <c r="IXJ1573" s="866"/>
      <c r="IXK1573" s="866"/>
      <c r="IXL1573" s="866"/>
      <c r="IXM1573" s="866"/>
      <c r="IXN1573" s="866"/>
      <c r="IXO1573" s="866"/>
      <c r="IXP1573" s="866"/>
      <c r="IXQ1573" s="866"/>
      <c r="IXR1573" s="866"/>
      <c r="IXS1573" s="866"/>
      <c r="IXT1573" s="866"/>
      <c r="IXU1573" s="866"/>
      <c r="IXV1573" s="866"/>
      <c r="IXW1573" s="866"/>
      <c r="IXX1573" s="866"/>
      <c r="IXY1573" s="866"/>
      <c r="IXZ1573" s="866"/>
      <c r="IYA1573" s="866"/>
      <c r="IYB1573" s="866"/>
      <c r="IYC1573" s="866"/>
      <c r="IYD1573" s="866"/>
      <c r="IYE1573" s="866"/>
      <c r="IYF1573" s="866"/>
      <c r="IYG1573" s="866"/>
      <c r="IYH1573" s="866"/>
      <c r="IYI1573" s="866"/>
      <c r="IYJ1573" s="866"/>
      <c r="IYK1573" s="866"/>
      <c r="IYL1573" s="866"/>
      <c r="IYM1573" s="866"/>
      <c r="IYN1573" s="866"/>
      <c r="IYO1573" s="866"/>
      <c r="IYP1573" s="866"/>
      <c r="IYQ1573" s="866"/>
      <c r="IYR1573" s="866"/>
      <c r="IYS1573" s="866"/>
      <c r="IYT1573" s="866"/>
      <c r="IYU1573" s="866"/>
      <c r="IYV1573" s="866"/>
      <c r="IYW1573" s="866"/>
      <c r="IYX1573" s="866"/>
      <c r="IYY1573" s="866"/>
      <c r="IYZ1573" s="866"/>
      <c r="IZA1573" s="866"/>
      <c r="IZB1573" s="866"/>
      <c r="IZC1573" s="866"/>
      <c r="IZD1573" s="866"/>
      <c r="IZE1573" s="866"/>
      <c r="IZF1573" s="866"/>
      <c r="IZG1573" s="866"/>
      <c r="IZH1573" s="866"/>
      <c r="IZI1573" s="866"/>
      <c r="IZJ1573" s="866"/>
      <c r="IZK1573" s="866"/>
      <c r="IZL1573" s="866"/>
      <c r="IZM1573" s="866"/>
      <c r="IZN1573" s="866"/>
      <c r="IZO1573" s="866"/>
      <c r="IZP1573" s="866"/>
      <c r="IZQ1573" s="866"/>
      <c r="IZR1573" s="866"/>
      <c r="IZS1573" s="866"/>
      <c r="IZT1573" s="866"/>
      <c r="IZU1573" s="866"/>
      <c r="IZV1573" s="866"/>
      <c r="IZW1573" s="866"/>
      <c r="IZX1573" s="866"/>
      <c r="IZY1573" s="866"/>
      <c r="IZZ1573" s="866"/>
      <c r="JAA1573" s="866"/>
      <c r="JAB1573" s="866"/>
      <c r="JAC1573" s="866"/>
      <c r="JAD1573" s="866"/>
      <c r="JAE1573" s="866"/>
      <c r="JAF1573" s="866"/>
      <c r="JAG1573" s="866"/>
      <c r="JAH1573" s="866"/>
      <c r="JAI1573" s="866"/>
      <c r="JAJ1573" s="866"/>
      <c r="JAK1573" s="866"/>
      <c r="JAL1573" s="866"/>
      <c r="JAM1573" s="866"/>
      <c r="JAN1573" s="866"/>
      <c r="JAO1573" s="866"/>
      <c r="JAP1573" s="866"/>
      <c r="JAQ1573" s="866"/>
      <c r="JAR1573" s="866"/>
      <c r="JAS1573" s="866"/>
      <c r="JAT1573" s="866"/>
      <c r="JAU1573" s="866"/>
      <c r="JAV1573" s="866"/>
      <c r="JAW1573" s="866"/>
      <c r="JAX1573" s="866"/>
      <c r="JAY1573" s="866"/>
      <c r="JAZ1573" s="866"/>
      <c r="JBA1573" s="866"/>
      <c r="JBB1573" s="866"/>
      <c r="JBC1573" s="866"/>
      <c r="JBD1573" s="866"/>
      <c r="JBE1573" s="866"/>
      <c r="JBF1573" s="866"/>
      <c r="JBG1573" s="866"/>
      <c r="JBH1573" s="866"/>
      <c r="JBI1573" s="866"/>
      <c r="JBJ1573" s="866"/>
      <c r="JBK1573" s="866"/>
      <c r="JBL1573" s="866"/>
      <c r="JBM1573" s="866"/>
      <c r="JBN1573" s="866"/>
      <c r="JBO1573" s="866"/>
      <c r="JBP1573" s="866"/>
      <c r="JBQ1573" s="866"/>
      <c r="JBR1573" s="866"/>
      <c r="JBS1573" s="866"/>
      <c r="JBT1573" s="866"/>
      <c r="JBU1573" s="866"/>
      <c r="JBV1573" s="866"/>
      <c r="JBW1573" s="866"/>
      <c r="JBX1573" s="866"/>
      <c r="JBY1573" s="866"/>
      <c r="JBZ1573" s="866"/>
      <c r="JCA1573" s="866"/>
      <c r="JCB1573" s="866"/>
      <c r="JCC1573" s="866"/>
      <c r="JCD1573" s="866"/>
      <c r="JCE1573" s="866"/>
      <c r="JCF1573" s="866"/>
      <c r="JCG1573" s="866"/>
      <c r="JCH1573" s="866"/>
      <c r="JCI1573" s="866"/>
      <c r="JCJ1573" s="866"/>
      <c r="JCK1573" s="866"/>
      <c r="JCL1573" s="866"/>
      <c r="JCM1573" s="866"/>
      <c r="JCN1573" s="866"/>
      <c r="JCO1573" s="866"/>
      <c r="JCP1573" s="866"/>
      <c r="JCQ1573" s="866"/>
      <c r="JCR1573" s="866"/>
      <c r="JCS1573" s="866"/>
      <c r="JCT1573" s="866"/>
      <c r="JCU1573" s="866"/>
      <c r="JCV1573" s="866"/>
      <c r="JCW1573" s="866"/>
      <c r="JCX1573" s="866"/>
      <c r="JCY1573" s="866"/>
      <c r="JCZ1573" s="866"/>
      <c r="JDA1573" s="866"/>
      <c r="JDB1573" s="866"/>
      <c r="JDC1573" s="866"/>
      <c r="JDD1573" s="866"/>
      <c r="JDE1573" s="866"/>
      <c r="JDF1573" s="866"/>
      <c r="JDG1573" s="866"/>
      <c r="JDH1573" s="866"/>
      <c r="JDI1573" s="866"/>
      <c r="JDJ1573" s="866"/>
      <c r="JDK1573" s="866"/>
      <c r="JDL1573" s="866"/>
      <c r="JDM1573" s="866"/>
      <c r="JDN1573" s="866"/>
      <c r="JDO1573" s="866"/>
      <c r="JDP1573" s="866"/>
      <c r="JDQ1573" s="866"/>
      <c r="JDR1573" s="866"/>
      <c r="JDS1573" s="866"/>
      <c r="JDT1573" s="866"/>
      <c r="JDU1573" s="866"/>
      <c r="JDV1573" s="866"/>
      <c r="JDW1573" s="866"/>
      <c r="JDX1573" s="866"/>
      <c r="JDY1573" s="866"/>
      <c r="JDZ1573" s="866"/>
      <c r="JEA1573" s="866"/>
      <c r="JEB1573" s="866"/>
      <c r="JEC1573" s="866"/>
      <c r="JED1573" s="866"/>
      <c r="JEE1573" s="866"/>
      <c r="JEF1573" s="866"/>
      <c r="JEG1573" s="866"/>
      <c r="JEH1573" s="866"/>
      <c r="JEI1573" s="866"/>
      <c r="JEJ1573" s="866"/>
      <c r="JEK1573" s="866"/>
      <c r="JEL1573" s="866"/>
      <c r="JEM1573" s="866"/>
      <c r="JEN1573" s="866"/>
      <c r="JEO1573" s="866"/>
      <c r="JEP1573" s="866"/>
      <c r="JEQ1573" s="866"/>
      <c r="JER1573" s="866"/>
      <c r="JES1573" s="866"/>
      <c r="JET1573" s="866"/>
      <c r="JEU1573" s="866"/>
      <c r="JEV1573" s="866"/>
      <c r="JEW1573" s="866"/>
      <c r="JEX1573" s="866"/>
      <c r="JEY1573" s="866"/>
      <c r="JEZ1573" s="866"/>
      <c r="JFA1573" s="866"/>
      <c r="JFB1573" s="866"/>
      <c r="JFC1573" s="866"/>
      <c r="JFD1573" s="866"/>
      <c r="JFE1573" s="866"/>
      <c r="JFF1573" s="866"/>
      <c r="JFG1573" s="866"/>
      <c r="JFH1573" s="866"/>
      <c r="JFI1573" s="866"/>
      <c r="JFJ1573" s="866"/>
      <c r="JFK1573" s="866"/>
      <c r="JFL1573" s="866"/>
      <c r="JFM1573" s="866"/>
      <c r="JFN1573" s="866"/>
      <c r="JFO1573" s="866"/>
      <c r="JFP1573" s="866"/>
      <c r="JFQ1573" s="866"/>
      <c r="JFR1573" s="866"/>
      <c r="JFS1573" s="866"/>
      <c r="JFT1573" s="866"/>
      <c r="JFU1573" s="866"/>
      <c r="JFV1573" s="866"/>
      <c r="JFW1573" s="866"/>
      <c r="JFX1573" s="866"/>
      <c r="JFY1573" s="866"/>
      <c r="JFZ1573" s="866"/>
      <c r="JGA1573" s="866"/>
      <c r="JGB1573" s="866"/>
      <c r="JGC1573" s="866"/>
      <c r="JGD1573" s="866"/>
      <c r="JGE1573" s="866"/>
      <c r="JGF1573" s="866"/>
      <c r="JGG1573" s="866"/>
      <c r="JGH1573" s="866"/>
      <c r="JGI1573" s="866"/>
      <c r="JGJ1573" s="866"/>
      <c r="JGK1573" s="866"/>
      <c r="JGL1573" s="866"/>
      <c r="JGM1573" s="866"/>
      <c r="JGN1573" s="866"/>
      <c r="JGO1573" s="866"/>
      <c r="JGP1573" s="866"/>
      <c r="JGQ1573" s="866"/>
      <c r="JGR1573" s="866"/>
      <c r="JGS1573" s="866"/>
      <c r="JGT1573" s="866"/>
      <c r="JGU1573" s="866"/>
      <c r="JGV1573" s="866"/>
      <c r="JGW1573" s="866"/>
      <c r="JGX1573" s="866"/>
      <c r="JGY1573" s="866"/>
      <c r="JGZ1573" s="866"/>
      <c r="JHA1573" s="866"/>
      <c r="JHB1573" s="866"/>
      <c r="JHC1573" s="866"/>
      <c r="JHD1573" s="866"/>
      <c r="JHE1573" s="866"/>
      <c r="JHF1573" s="866"/>
      <c r="JHG1573" s="866"/>
      <c r="JHH1573" s="866"/>
      <c r="JHI1573" s="866"/>
      <c r="JHJ1573" s="866"/>
      <c r="JHK1573" s="866"/>
      <c r="JHL1573" s="866"/>
      <c r="JHM1573" s="866"/>
      <c r="JHN1573" s="866"/>
      <c r="JHO1573" s="866"/>
      <c r="JHP1573" s="866"/>
      <c r="JHQ1573" s="866"/>
      <c r="JHR1573" s="866"/>
      <c r="JHS1573" s="866"/>
      <c r="JHT1573" s="866"/>
      <c r="JHU1573" s="866"/>
      <c r="JHV1573" s="866"/>
      <c r="JHW1573" s="866"/>
      <c r="JHX1573" s="866"/>
      <c r="JHY1573" s="866"/>
      <c r="JHZ1573" s="866"/>
      <c r="JIA1573" s="866"/>
      <c r="JIB1573" s="866"/>
      <c r="JIC1573" s="866"/>
      <c r="JID1573" s="866"/>
      <c r="JIE1573" s="866"/>
      <c r="JIF1573" s="866"/>
      <c r="JIG1573" s="866"/>
      <c r="JIH1573" s="866"/>
      <c r="JII1573" s="866"/>
      <c r="JIJ1573" s="866"/>
      <c r="JIK1573" s="866"/>
      <c r="JIL1573" s="866"/>
      <c r="JIM1573" s="866"/>
      <c r="JIN1573" s="866"/>
      <c r="JIO1573" s="866"/>
      <c r="JIP1573" s="866"/>
      <c r="JIQ1573" s="866"/>
      <c r="JIR1573" s="866"/>
      <c r="JIS1573" s="866"/>
      <c r="JIT1573" s="866"/>
      <c r="JIU1573" s="866"/>
      <c r="JIV1573" s="866"/>
      <c r="JIW1573" s="866"/>
      <c r="JIX1573" s="866"/>
      <c r="JIY1573" s="866"/>
      <c r="JIZ1573" s="866"/>
      <c r="JJA1573" s="866"/>
      <c r="JJB1573" s="866"/>
      <c r="JJC1573" s="866"/>
      <c r="JJD1573" s="866"/>
      <c r="JJE1573" s="866"/>
      <c r="JJF1573" s="866"/>
      <c r="JJG1573" s="866"/>
      <c r="JJH1573" s="866"/>
      <c r="JJI1573" s="866"/>
      <c r="JJJ1573" s="866"/>
      <c r="JJK1573" s="866"/>
      <c r="JJL1573" s="866"/>
      <c r="JJM1573" s="866"/>
      <c r="JJN1573" s="866"/>
      <c r="JJO1573" s="866"/>
      <c r="JJP1573" s="866"/>
      <c r="JJQ1573" s="866"/>
      <c r="JJR1573" s="866"/>
      <c r="JJS1573" s="866"/>
      <c r="JJT1573" s="866"/>
      <c r="JJU1573" s="866"/>
      <c r="JJV1573" s="866"/>
      <c r="JJW1573" s="866"/>
      <c r="JJX1573" s="866"/>
      <c r="JJY1573" s="866"/>
      <c r="JJZ1573" s="866"/>
      <c r="JKA1573" s="866"/>
      <c r="JKB1573" s="866"/>
      <c r="JKC1573" s="866"/>
      <c r="JKD1573" s="866"/>
      <c r="JKE1573" s="866"/>
      <c r="JKF1573" s="866"/>
      <c r="JKG1573" s="866"/>
      <c r="JKH1573" s="866"/>
      <c r="JKI1573" s="866"/>
      <c r="JKJ1573" s="866"/>
      <c r="JKK1573" s="866"/>
      <c r="JKL1573" s="866"/>
      <c r="JKM1573" s="866"/>
      <c r="JKN1573" s="866"/>
      <c r="JKO1573" s="866"/>
      <c r="JKP1573" s="866"/>
      <c r="JKQ1573" s="866"/>
      <c r="JKR1573" s="866"/>
      <c r="JKS1573" s="866"/>
      <c r="JKT1573" s="866"/>
      <c r="JKU1573" s="866"/>
      <c r="JKV1573" s="866"/>
      <c r="JKW1573" s="866"/>
      <c r="JKX1573" s="866"/>
      <c r="JKY1573" s="866"/>
      <c r="JKZ1573" s="866"/>
      <c r="JLA1573" s="866"/>
      <c r="JLB1573" s="866"/>
      <c r="JLC1573" s="866"/>
      <c r="JLD1573" s="866"/>
      <c r="JLE1573" s="866"/>
      <c r="JLF1573" s="866"/>
      <c r="JLG1573" s="866"/>
      <c r="JLH1573" s="866"/>
      <c r="JLI1573" s="866"/>
      <c r="JLJ1573" s="866"/>
      <c r="JLK1573" s="866"/>
      <c r="JLL1573" s="866"/>
      <c r="JLM1573" s="866"/>
      <c r="JLN1573" s="866"/>
      <c r="JLO1573" s="866"/>
      <c r="JLP1573" s="866"/>
      <c r="JLQ1573" s="866"/>
      <c r="JLR1573" s="866"/>
      <c r="JLS1573" s="866"/>
      <c r="JLT1573" s="866"/>
      <c r="JLU1573" s="866"/>
      <c r="JLV1573" s="866"/>
      <c r="JLW1573" s="866"/>
      <c r="JLX1573" s="866"/>
      <c r="JLY1573" s="866"/>
      <c r="JLZ1573" s="866"/>
      <c r="JMA1573" s="866"/>
      <c r="JMB1573" s="866"/>
      <c r="JMC1573" s="866"/>
      <c r="JMD1573" s="866"/>
      <c r="JME1573" s="866"/>
      <c r="JMF1573" s="866"/>
      <c r="JMG1573" s="866"/>
      <c r="JMH1573" s="866"/>
      <c r="JMI1573" s="866"/>
      <c r="JMJ1573" s="866"/>
      <c r="JMK1573" s="866"/>
      <c r="JML1573" s="866"/>
      <c r="JMM1573" s="866"/>
      <c r="JMN1573" s="866"/>
      <c r="JMO1573" s="866"/>
      <c r="JMP1573" s="866"/>
      <c r="JMQ1573" s="866"/>
      <c r="JMR1573" s="866"/>
      <c r="JMS1573" s="866"/>
      <c r="JMT1573" s="866"/>
      <c r="JMU1573" s="866"/>
      <c r="JMV1573" s="866"/>
      <c r="JMW1573" s="866"/>
      <c r="JMX1573" s="866"/>
      <c r="JMY1573" s="866"/>
      <c r="JMZ1573" s="866"/>
      <c r="JNA1573" s="866"/>
      <c r="JNB1573" s="866"/>
      <c r="JNC1573" s="866"/>
      <c r="JND1573" s="866"/>
      <c r="JNE1573" s="866"/>
      <c r="JNF1573" s="866"/>
      <c r="JNG1573" s="866"/>
      <c r="JNH1573" s="866"/>
      <c r="JNI1573" s="866"/>
      <c r="JNJ1573" s="866"/>
      <c r="JNK1573" s="866"/>
      <c r="JNL1573" s="866"/>
      <c r="JNM1573" s="866"/>
      <c r="JNN1573" s="866"/>
      <c r="JNO1573" s="866"/>
      <c r="JNP1573" s="866"/>
      <c r="JNQ1573" s="866"/>
      <c r="JNR1573" s="866"/>
      <c r="JNS1573" s="866"/>
      <c r="JNT1573" s="866"/>
      <c r="JNU1573" s="866"/>
      <c r="JNV1573" s="866"/>
      <c r="JNW1573" s="866"/>
      <c r="JNX1573" s="866"/>
      <c r="JNY1573" s="866"/>
      <c r="JNZ1573" s="866"/>
      <c r="JOA1573" s="866"/>
      <c r="JOB1573" s="866"/>
      <c r="JOC1573" s="866"/>
      <c r="JOD1573" s="866"/>
      <c r="JOE1573" s="866"/>
      <c r="JOF1573" s="866"/>
      <c r="JOG1573" s="866"/>
      <c r="JOH1573" s="866"/>
      <c r="JOI1573" s="866"/>
      <c r="JOJ1573" s="866"/>
      <c r="JOK1573" s="866"/>
      <c r="JOL1573" s="866"/>
      <c r="JOM1573" s="866"/>
      <c r="JON1573" s="866"/>
      <c r="JOO1573" s="866"/>
      <c r="JOP1573" s="866"/>
      <c r="JOQ1573" s="866"/>
      <c r="JOR1573" s="866"/>
      <c r="JOS1573" s="866"/>
      <c r="JOT1573" s="866"/>
      <c r="JOU1573" s="866"/>
      <c r="JOV1573" s="866"/>
      <c r="JOW1573" s="866"/>
      <c r="JOX1573" s="866"/>
      <c r="JOY1573" s="866"/>
      <c r="JOZ1573" s="866"/>
      <c r="JPA1573" s="866"/>
      <c r="JPB1573" s="866"/>
      <c r="JPC1573" s="866"/>
      <c r="JPD1573" s="866"/>
      <c r="JPE1573" s="866"/>
      <c r="JPF1573" s="866"/>
      <c r="JPG1573" s="866"/>
      <c r="JPH1573" s="866"/>
      <c r="JPI1573" s="866"/>
      <c r="JPJ1573" s="866"/>
      <c r="JPK1573" s="866"/>
      <c r="JPL1573" s="866"/>
      <c r="JPM1573" s="866"/>
      <c r="JPN1573" s="866"/>
      <c r="JPO1573" s="866"/>
      <c r="JPP1573" s="866"/>
      <c r="JPQ1573" s="866"/>
      <c r="JPR1573" s="866"/>
      <c r="JPS1573" s="866"/>
      <c r="JPT1573" s="866"/>
      <c r="JPU1573" s="866"/>
      <c r="JPV1573" s="866"/>
      <c r="JPW1573" s="866"/>
      <c r="JPX1573" s="866"/>
      <c r="JPY1573" s="866"/>
      <c r="JPZ1573" s="866"/>
      <c r="JQA1573" s="866"/>
      <c r="JQB1573" s="866"/>
      <c r="JQC1573" s="866"/>
      <c r="JQD1573" s="866"/>
      <c r="JQE1573" s="866"/>
      <c r="JQF1573" s="866"/>
      <c r="JQG1573" s="866"/>
      <c r="JQH1573" s="866"/>
      <c r="JQI1573" s="866"/>
      <c r="JQJ1573" s="866"/>
      <c r="JQK1573" s="866"/>
      <c r="JQL1573" s="866"/>
      <c r="JQM1573" s="866"/>
      <c r="JQN1573" s="866"/>
      <c r="JQO1573" s="866"/>
      <c r="JQP1573" s="866"/>
      <c r="JQQ1573" s="866"/>
      <c r="JQR1573" s="866"/>
      <c r="JQS1573" s="866"/>
      <c r="JQT1573" s="866"/>
      <c r="JQU1573" s="866"/>
      <c r="JQV1573" s="866"/>
      <c r="JQW1573" s="866"/>
      <c r="JQX1573" s="866"/>
      <c r="JQY1573" s="866"/>
      <c r="JQZ1573" s="866"/>
      <c r="JRA1573" s="866"/>
      <c r="JRB1573" s="866"/>
      <c r="JRC1573" s="866"/>
      <c r="JRD1573" s="866"/>
      <c r="JRE1573" s="866"/>
      <c r="JRF1573" s="866"/>
      <c r="JRG1573" s="866"/>
      <c r="JRH1573" s="866"/>
      <c r="JRI1573" s="866"/>
      <c r="JRJ1573" s="866"/>
      <c r="JRK1573" s="866"/>
      <c r="JRL1573" s="866"/>
      <c r="JRM1573" s="866"/>
      <c r="JRN1573" s="866"/>
      <c r="JRO1573" s="866"/>
      <c r="JRP1573" s="866"/>
      <c r="JRQ1573" s="866"/>
      <c r="JRR1573" s="866"/>
      <c r="JRS1573" s="866"/>
      <c r="JRT1573" s="866"/>
      <c r="JRU1573" s="866"/>
      <c r="JRV1573" s="866"/>
      <c r="JRW1573" s="866"/>
      <c r="JRX1573" s="866"/>
      <c r="JRY1573" s="866"/>
      <c r="JRZ1573" s="866"/>
      <c r="JSA1573" s="866"/>
      <c r="JSB1573" s="866"/>
      <c r="JSC1573" s="866"/>
      <c r="JSD1573" s="866"/>
      <c r="JSE1573" s="866"/>
      <c r="JSF1573" s="866"/>
      <c r="JSG1573" s="866"/>
      <c r="JSH1573" s="866"/>
      <c r="JSI1573" s="866"/>
      <c r="JSJ1573" s="866"/>
      <c r="JSK1573" s="866"/>
      <c r="JSL1573" s="866"/>
      <c r="JSM1573" s="866"/>
      <c r="JSN1573" s="866"/>
      <c r="JSO1573" s="866"/>
      <c r="JSP1573" s="866"/>
      <c r="JSQ1573" s="866"/>
      <c r="JSR1573" s="866"/>
      <c r="JSS1573" s="866"/>
      <c r="JST1573" s="866"/>
      <c r="JSU1573" s="866"/>
      <c r="JSV1573" s="866"/>
      <c r="JSW1573" s="866"/>
      <c r="JSX1573" s="866"/>
      <c r="JSY1573" s="866"/>
      <c r="JSZ1573" s="866"/>
      <c r="JTA1573" s="866"/>
      <c r="JTB1573" s="866"/>
      <c r="JTC1573" s="866"/>
      <c r="JTD1573" s="866"/>
      <c r="JTE1573" s="866"/>
      <c r="JTF1573" s="866"/>
      <c r="JTG1573" s="866"/>
      <c r="JTH1573" s="866"/>
      <c r="JTI1573" s="866"/>
      <c r="JTJ1573" s="866"/>
      <c r="JTK1573" s="866"/>
      <c r="JTL1573" s="866"/>
      <c r="JTM1573" s="866"/>
      <c r="JTN1573" s="866"/>
      <c r="JTO1573" s="866"/>
      <c r="JTP1573" s="866"/>
      <c r="JTQ1573" s="866"/>
      <c r="JTR1573" s="866"/>
      <c r="JTS1573" s="866"/>
      <c r="JTT1573" s="866"/>
      <c r="JTU1573" s="866"/>
      <c r="JTV1573" s="866"/>
      <c r="JTW1573" s="866"/>
      <c r="JTX1573" s="866"/>
      <c r="JTY1573" s="866"/>
      <c r="JTZ1573" s="866"/>
      <c r="JUA1573" s="866"/>
      <c r="JUB1573" s="866"/>
      <c r="JUC1573" s="866"/>
      <c r="JUD1573" s="866"/>
      <c r="JUE1573" s="866"/>
      <c r="JUF1573" s="866"/>
      <c r="JUG1573" s="866"/>
      <c r="JUH1573" s="866"/>
      <c r="JUI1573" s="866"/>
      <c r="JUJ1573" s="866"/>
      <c r="JUK1573" s="866"/>
      <c r="JUL1573" s="866"/>
      <c r="JUM1573" s="866"/>
      <c r="JUN1573" s="866"/>
      <c r="JUO1573" s="866"/>
      <c r="JUP1573" s="866"/>
      <c r="JUQ1573" s="866"/>
      <c r="JUR1573" s="866"/>
      <c r="JUS1573" s="866"/>
      <c r="JUT1573" s="866"/>
      <c r="JUU1573" s="866"/>
      <c r="JUV1573" s="866"/>
      <c r="JUW1573" s="866"/>
      <c r="JUX1573" s="866"/>
      <c r="JUY1573" s="866"/>
      <c r="JUZ1573" s="866"/>
      <c r="JVA1573" s="866"/>
      <c r="JVB1573" s="866"/>
      <c r="JVC1573" s="866"/>
      <c r="JVD1573" s="866"/>
      <c r="JVE1573" s="866"/>
      <c r="JVF1573" s="866"/>
      <c r="JVG1573" s="866"/>
      <c r="JVH1573" s="866"/>
      <c r="JVI1573" s="866"/>
      <c r="JVJ1573" s="866"/>
      <c r="JVK1573" s="866"/>
      <c r="JVL1573" s="866"/>
      <c r="JVM1573" s="866"/>
      <c r="JVN1573" s="866"/>
      <c r="JVO1573" s="866"/>
      <c r="JVP1573" s="866"/>
      <c r="JVQ1573" s="866"/>
      <c r="JVR1573" s="866"/>
      <c r="JVS1573" s="866"/>
      <c r="JVT1573" s="866"/>
      <c r="JVU1573" s="866"/>
      <c r="JVV1573" s="866"/>
      <c r="JVW1573" s="866"/>
      <c r="JVX1573" s="866"/>
      <c r="JVY1573" s="866"/>
      <c r="JVZ1573" s="866"/>
      <c r="JWA1573" s="866"/>
      <c r="JWB1573" s="866"/>
      <c r="JWC1573" s="866"/>
      <c r="JWD1573" s="866"/>
      <c r="JWE1573" s="866"/>
      <c r="JWF1573" s="866"/>
      <c r="JWG1573" s="866"/>
      <c r="JWH1573" s="866"/>
      <c r="JWI1573" s="866"/>
      <c r="JWJ1573" s="866"/>
      <c r="JWK1573" s="866"/>
      <c r="JWL1573" s="866"/>
      <c r="JWM1573" s="866"/>
      <c r="JWN1573" s="866"/>
      <c r="JWO1573" s="866"/>
      <c r="JWP1573" s="866"/>
      <c r="JWQ1573" s="866"/>
      <c r="JWR1573" s="866"/>
      <c r="JWS1573" s="866"/>
      <c r="JWT1573" s="866"/>
      <c r="JWU1573" s="866"/>
      <c r="JWV1573" s="866"/>
      <c r="JWW1573" s="866"/>
      <c r="JWX1573" s="866"/>
      <c r="JWY1573" s="866"/>
      <c r="JWZ1573" s="866"/>
      <c r="JXA1573" s="866"/>
      <c r="JXB1573" s="866"/>
      <c r="JXC1573" s="866"/>
      <c r="JXD1573" s="866"/>
      <c r="JXE1573" s="866"/>
      <c r="JXF1573" s="866"/>
      <c r="JXG1573" s="866"/>
      <c r="JXH1573" s="866"/>
      <c r="JXI1573" s="866"/>
      <c r="JXJ1573" s="866"/>
      <c r="JXK1573" s="866"/>
      <c r="JXL1573" s="866"/>
      <c r="JXM1573" s="866"/>
      <c r="JXN1573" s="866"/>
      <c r="JXO1573" s="866"/>
      <c r="JXP1573" s="866"/>
      <c r="JXQ1573" s="866"/>
      <c r="JXR1573" s="866"/>
      <c r="JXS1573" s="866"/>
      <c r="JXT1573" s="866"/>
      <c r="JXU1573" s="866"/>
      <c r="JXV1573" s="866"/>
      <c r="JXW1573" s="866"/>
      <c r="JXX1573" s="866"/>
      <c r="JXY1573" s="866"/>
      <c r="JXZ1573" s="866"/>
      <c r="JYA1573" s="866"/>
      <c r="JYB1573" s="866"/>
      <c r="JYC1573" s="866"/>
      <c r="JYD1573" s="866"/>
      <c r="JYE1573" s="866"/>
      <c r="JYF1573" s="866"/>
      <c r="JYG1573" s="866"/>
      <c r="JYH1573" s="866"/>
      <c r="JYI1573" s="866"/>
      <c r="JYJ1573" s="866"/>
      <c r="JYK1573" s="866"/>
      <c r="JYL1573" s="866"/>
      <c r="JYM1573" s="866"/>
      <c r="JYN1573" s="866"/>
      <c r="JYO1573" s="866"/>
      <c r="JYP1573" s="866"/>
      <c r="JYQ1573" s="866"/>
      <c r="JYR1573" s="866"/>
      <c r="JYS1573" s="866"/>
      <c r="JYT1573" s="866"/>
      <c r="JYU1573" s="866"/>
      <c r="JYV1573" s="866"/>
      <c r="JYW1573" s="866"/>
      <c r="JYX1573" s="866"/>
      <c r="JYY1573" s="866"/>
      <c r="JYZ1573" s="866"/>
      <c r="JZA1573" s="866"/>
      <c r="JZB1573" s="866"/>
      <c r="JZC1573" s="866"/>
      <c r="JZD1573" s="866"/>
      <c r="JZE1573" s="866"/>
      <c r="JZF1573" s="866"/>
      <c r="JZG1573" s="866"/>
      <c r="JZH1573" s="866"/>
      <c r="JZI1573" s="866"/>
      <c r="JZJ1573" s="866"/>
      <c r="JZK1573" s="866"/>
      <c r="JZL1573" s="866"/>
      <c r="JZM1573" s="866"/>
      <c r="JZN1573" s="866"/>
      <c r="JZO1573" s="866"/>
      <c r="JZP1573" s="866"/>
      <c r="JZQ1573" s="866"/>
      <c r="JZR1573" s="866"/>
      <c r="JZS1573" s="866"/>
      <c r="JZT1573" s="866"/>
      <c r="JZU1573" s="866"/>
      <c r="JZV1573" s="866"/>
      <c r="JZW1573" s="866"/>
      <c r="JZX1573" s="866"/>
      <c r="JZY1573" s="866"/>
      <c r="JZZ1573" s="866"/>
      <c r="KAA1573" s="866"/>
      <c r="KAB1573" s="866"/>
      <c r="KAC1573" s="866"/>
      <c r="KAD1573" s="866"/>
      <c r="KAE1573" s="866"/>
      <c r="KAF1573" s="866"/>
      <c r="KAG1573" s="866"/>
      <c r="KAH1573" s="866"/>
      <c r="KAI1573" s="866"/>
      <c r="KAJ1573" s="866"/>
      <c r="KAK1573" s="866"/>
      <c r="KAL1573" s="866"/>
      <c r="KAM1573" s="866"/>
      <c r="KAN1573" s="866"/>
      <c r="KAO1573" s="866"/>
      <c r="KAP1573" s="866"/>
      <c r="KAQ1573" s="866"/>
      <c r="KAR1573" s="866"/>
      <c r="KAS1573" s="866"/>
      <c r="KAT1573" s="866"/>
      <c r="KAU1573" s="866"/>
      <c r="KAV1573" s="866"/>
      <c r="KAW1573" s="866"/>
      <c r="KAX1573" s="866"/>
      <c r="KAY1573" s="866"/>
      <c r="KAZ1573" s="866"/>
      <c r="KBA1573" s="866"/>
      <c r="KBB1573" s="866"/>
      <c r="KBC1573" s="866"/>
      <c r="KBD1573" s="866"/>
      <c r="KBE1573" s="866"/>
      <c r="KBF1573" s="866"/>
      <c r="KBG1573" s="866"/>
      <c r="KBH1573" s="866"/>
      <c r="KBI1573" s="866"/>
      <c r="KBJ1573" s="866"/>
      <c r="KBK1573" s="866"/>
      <c r="KBL1573" s="866"/>
      <c r="KBM1573" s="866"/>
      <c r="KBN1573" s="866"/>
      <c r="KBO1573" s="866"/>
      <c r="KBP1573" s="866"/>
      <c r="KBQ1573" s="866"/>
      <c r="KBR1573" s="866"/>
      <c r="KBS1573" s="866"/>
      <c r="KBT1573" s="866"/>
      <c r="KBU1573" s="866"/>
      <c r="KBV1573" s="866"/>
      <c r="KBW1573" s="866"/>
      <c r="KBX1573" s="866"/>
      <c r="KBY1573" s="866"/>
      <c r="KBZ1573" s="866"/>
      <c r="KCA1573" s="866"/>
      <c r="KCB1573" s="866"/>
      <c r="KCC1573" s="866"/>
      <c r="KCD1573" s="866"/>
      <c r="KCE1573" s="866"/>
      <c r="KCF1573" s="866"/>
      <c r="KCG1573" s="866"/>
      <c r="KCH1573" s="866"/>
      <c r="KCI1573" s="866"/>
      <c r="KCJ1573" s="866"/>
      <c r="KCK1573" s="866"/>
      <c r="KCL1573" s="866"/>
      <c r="KCM1573" s="866"/>
      <c r="KCN1573" s="866"/>
      <c r="KCO1573" s="866"/>
      <c r="KCP1573" s="866"/>
      <c r="KCQ1573" s="866"/>
      <c r="KCR1573" s="866"/>
      <c r="KCS1573" s="866"/>
      <c r="KCT1573" s="866"/>
      <c r="KCU1573" s="866"/>
      <c r="KCV1573" s="866"/>
      <c r="KCW1573" s="866"/>
      <c r="KCX1573" s="866"/>
      <c r="KCY1573" s="866"/>
      <c r="KCZ1573" s="866"/>
      <c r="KDA1573" s="866"/>
      <c r="KDB1573" s="866"/>
      <c r="KDC1573" s="866"/>
      <c r="KDD1573" s="866"/>
      <c r="KDE1573" s="866"/>
      <c r="KDF1573" s="866"/>
      <c r="KDG1573" s="866"/>
      <c r="KDH1573" s="866"/>
      <c r="KDI1573" s="866"/>
      <c r="KDJ1573" s="866"/>
      <c r="KDK1573" s="866"/>
      <c r="KDL1573" s="866"/>
      <c r="KDM1573" s="866"/>
      <c r="KDN1573" s="866"/>
      <c r="KDO1573" s="866"/>
      <c r="KDP1573" s="866"/>
      <c r="KDQ1573" s="866"/>
      <c r="KDR1573" s="866"/>
      <c r="KDS1573" s="866"/>
      <c r="KDT1573" s="866"/>
      <c r="KDU1573" s="866"/>
      <c r="KDV1573" s="866"/>
      <c r="KDW1573" s="866"/>
      <c r="KDX1573" s="866"/>
      <c r="KDY1573" s="866"/>
      <c r="KDZ1573" s="866"/>
      <c r="KEA1573" s="866"/>
      <c r="KEB1573" s="866"/>
      <c r="KEC1573" s="866"/>
      <c r="KED1573" s="866"/>
      <c r="KEE1573" s="866"/>
      <c r="KEF1573" s="866"/>
      <c r="KEG1573" s="866"/>
      <c r="KEH1573" s="866"/>
      <c r="KEI1573" s="866"/>
      <c r="KEJ1573" s="866"/>
      <c r="KEK1573" s="866"/>
      <c r="KEL1573" s="866"/>
      <c r="KEM1573" s="866"/>
      <c r="KEN1573" s="866"/>
      <c r="KEO1573" s="866"/>
      <c r="KEP1573" s="866"/>
      <c r="KEQ1573" s="866"/>
      <c r="KER1573" s="866"/>
      <c r="KES1573" s="866"/>
      <c r="KET1573" s="866"/>
      <c r="KEU1573" s="866"/>
      <c r="KEV1573" s="866"/>
      <c r="KEW1573" s="866"/>
      <c r="KEX1573" s="866"/>
      <c r="KEY1573" s="866"/>
      <c r="KEZ1573" s="866"/>
      <c r="KFA1573" s="866"/>
      <c r="KFB1573" s="866"/>
      <c r="KFC1573" s="866"/>
      <c r="KFD1573" s="866"/>
      <c r="KFE1573" s="866"/>
      <c r="KFF1573" s="866"/>
      <c r="KFG1573" s="866"/>
      <c r="KFH1573" s="866"/>
      <c r="KFI1573" s="866"/>
      <c r="KFJ1573" s="866"/>
      <c r="KFK1573" s="866"/>
      <c r="KFL1573" s="866"/>
      <c r="KFM1573" s="866"/>
      <c r="KFN1573" s="866"/>
      <c r="KFO1573" s="866"/>
      <c r="KFP1573" s="866"/>
      <c r="KFQ1573" s="866"/>
      <c r="KFR1573" s="866"/>
      <c r="KFS1573" s="866"/>
      <c r="KFT1573" s="866"/>
      <c r="KFU1573" s="866"/>
      <c r="KFV1573" s="866"/>
      <c r="KFW1573" s="866"/>
      <c r="KFX1573" s="866"/>
      <c r="KFY1573" s="866"/>
      <c r="KFZ1573" s="866"/>
      <c r="KGA1573" s="866"/>
      <c r="KGB1573" s="866"/>
      <c r="KGC1573" s="866"/>
      <c r="KGD1573" s="866"/>
      <c r="KGE1573" s="866"/>
      <c r="KGF1573" s="866"/>
      <c r="KGG1573" s="866"/>
      <c r="KGH1573" s="866"/>
      <c r="KGI1573" s="866"/>
      <c r="KGJ1573" s="866"/>
      <c r="KGK1573" s="866"/>
      <c r="KGL1573" s="866"/>
      <c r="KGM1573" s="866"/>
      <c r="KGN1573" s="866"/>
      <c r="KGO1573" s="866"/>
      <c r="KGP1573" s="866"/>
      <c r="KGQ1573" s="866"/>
      <c r="KGR1573" s="866"/>
      <c r="KGS1573" s="866"/>
      <c r="KGT1573" s="866"/>
      <c r="KGU1573" s="866"/>
      <c r="KGV1573" s="866"/>
      <c r="KGW1573" s="866"/>
      <c r="KGX1573" s="866"/>
      <c r="KGY1573" s="866"/>
      <c r="KGZ1573" s="866"/>
      <c r="KHA1573" s="866"/>
      <c r="KHB1573" s="866"/>
      <c r="KHC1573" s="866"/>
      <c r="KHD1573" s="866"/>
      <c r="KHE1573" s="866"/>
      <c r="KHF1573" s="866"/>
      <c r="KHG1573" s="866"/>
      <c r="KHH1573" s="866"/>
      <c r="KHI1573" s="866"/>
      <c r="KHJ1573" s="866"/>
      <c r="KHK1573" s="866"/>
      <c r="KHL1573" s="866"/>
      <c r="KHM1573" s="866"/>
      <c r="KHN1573" s="866"/>
      <c r="KHO1573" s="866"/>
      <c r="KHP1573" s="866"/>
      <c r="KHQ1573" s="866"/>
      <c r="KHR1573" s="866"/>
      <c r="KHS1573" s="866"/>
      <c r="KHT1573" s="866"/>
      <c r="KHU1573" s="866"/>
      <c r="KHV1573" s="866"/>
      <c r="KHW1573" s="866"/>
      <c r="KHX1573" s="866"/>
      <c r="KHY1573" s="866"/>
      <c r="KHZ1573" s="866"/>
      <c r="KIA1573" s="866"/>
      <c r="KIB1573" s="866"/>
      <c r="KIC1573" s="866"/>
      <c r="KID1573" s="866"/>
      <c r="KIE1573" s="866"/>
      <c r="KIF1573" s="866"/>
      <c r="KIG1573" s="866"/>
      <c r="KIH1573" s="866"/>
      <c r="KII1573" s="866"/>
      <c r="KIJ1573" s="866"/>
      <c r="KIK1573" s="866"/>
      <c r="KIL1573" s="866"/>
      <c r="KIM1573" s="866"/>
      <c r="KIN1573" s="866"/>
      <c r="KIO1573" s="866"/>
      <c r="KIP1573" s="866"/>
      <c r="KIQ1573" s="866"/>
      <c r="KIR1573" s="866"/>
      <c r="KIS1573" s="866"/>
      <c r="KIT1573" s="866"/>
      <c r="KIU1573" s="866"/>
      <c r="KIV1573" s="866"/>
      <c r="KIW1573" s="866"/>
      <c r="KIX1573" s="866"/>
      <c r="KIY1573" s="866"/>
      <c r="KIZ1573" s="866"/>
      <c r="KJA1573" s="866"/>
      <c r="KJB1573" s="866"/>
      <c r="KJC1573" s="866"/>
      <c r="KJD1573" s="866"/>
      <c r="KJE1573" s="866"/>
      <c r="KJF1573" s="866"/>
      <c r="KJG1573" s="866"/>
      <c r="KJH1573" s="866"/>
      <c r="KJI1573" s="866"/>
      <c r="KJJ1573" s="866"/>
      <c r="KJK1573" s="866"/>
      <c r="KJL1573" s="866"/>
      <c r="KJM1573" s="866"/>
      <c r="KJN1573" s="866"/>
      <c r="KJO1573" s="866"/>
      <c r="KJP1573" s="866"/>
      <c r="KJQ1573" s="866"/>
      <c r="KJR1573" s="866"/>
      <c r="KJS1573" s="866"/>
      <c r="KJT1573" s="866"/>
      <c r="KJU1573" s="866"/>
      <c r="KJV1573" s="866"/>
      <c r="KJW1573" s="866"/>
      <c r="KJX1573" s="866"/>
      <c r="KJY1573" s="866"/>
      <c r="KJZ1573" s="866"/>
      <c r="KKA1573" s="866"/>
      <c r="KKB1573" s="866"/>
      <c r="KKC1573" s="866"/>
      <c r="KKD1573" s="866"/>
      <c r="KKE1573" s="866"/>
      <c r="KKF1573" s="866"/>
      <c r="KKG1573" s="866"/>
      <c r="KKH1573" s="866"/>
      <c r="KKI1573" s="866"/>
      <c r="KKJ1573" s="866"/>
      <c r="KKK1573" s="866"/>
      <c r="KKL1573" s="866"/>
      <c r="KKM1573" s="866"/>
      <c r="KKN1573" s="866"/>
      <c r="KKO1573" s="866"/>
      <c r="KKP1573" s="866"/>
      <c r="KKQ1573" s="866"/>
      <c r="KKR1573" s="866"/>
      <c r="KKS1573" s="866"/>
      <c r="KKT1573" s="866"/>
      <c r="KKU1573" s="866"/>
      <c r="KKV1573" s="866"/>
      <c r="KKW1573" s="866"/>
      <c r="KKX1573" s="866"/>
      <c r="KKY1573" s="866"/>
      <c r="KKZ1573" s="866"/>
      <c r="KLA1573" s="866"/>
      <c r="KLB1573" s="866"/>
      <c r="KLC1573" s="866"/>
      <c r="KLD1573" s="866"/>
      <c r="KLE1573" s="866"/>
      <c r="KLF1573" s="866"/>
      <c r="KLG1573" s="866"/>
      <c r="KLH1573" s="866"/>
      <c r="KLI1573" s="866"/>
      <c r="KLJ1573" s="866"/>
      <c r="KLK1573" s="866"/>
      <c r="KLL1573" s="866"/>
      <c r="KLM1573" s="866"/>
      <c r="KLN1573" s="866"/>
      <c r="KLO1573" s="866"/>
      <c r="KLP1573" s="866"/>
      <c r="KLQ1573" s="866"/>
      <c r="KLR1573" s="866"/>
      <c r="KLS1573" s="866"/>
      <c r="KLT1573" s="866"/>
      <c r="KLU1573" s="866"/>
      <c r="KLV1573" s="866"/>
      <c r="KLW1573" s="866"/>
      <c r="KLX1573" s="866"/>
      <c r="KLY1573" s="866"/>
      <c r="KLZ1573" s="866"/>
      <c r="KMA1573" s="866"/>
      <c r="KMB1573" s="866"/>
      <c r="KMC1573" s="866"/>
      <c r="KMD1573" s="866"/>
      <c r="KME1573" s="866"/>
      <c r="KMF1573" s="866"/>
      <c r="KMG1573" s="866"/>
      <c r="KMH1573" s="866"/>
      <c r="KMI1573" s="866"/>
      <c r="KMJ1573" s="866"/>
      <c r="KMK1573" s="866"/>
      <c r="KML1573" s="866"/>
      <c r="KMM1573" s="866"/>
      <c r="KMN1573" s="866"/>
      <c r="KMO1573" s="866"/>
      <c r="KMP1573" s="866"/>
      <c r="KMQ1573" s="866"/>
      <c r="KMR1573" s="866"/>
      <c r="KMS1573" s="866"/>
      <c r="KMT1573" s="866"/>
      <c r="KMU1573" s="866"/>
      <c r="KMV1573" s="866"/>
      <c r="KMW1573" s="866"/>
      <c r="KMX1573" s="866"/>
      <c r="KMY1573" s="866"/>
      <c r="KMZ1573" s="866"/>
      <c r="KNA1573" s="866"/>
      <c r="KNB1573" s="866"/>
      <c r="KNC1573" s="866"/>
      <c r="KND1573" s="866"/>
      <c r="KNE1573" s="866"/>
      <c r="KNF1573" s="866"/>
      <c r="KNG1573" s="866"/>
      <c r="KNH1573" s="866"/>
      <c r="KNI1573" s="866"/>
      <c r="KNJ1573" s="866"/>
      <c r="KNK1573" s="866"/>
      <c r="KNL1573" s="866"/>
      <c r="KNM1573" s="866"/>
      <c r="KNN1573" s="866"/>
      <c r="KNO1573" s="866"/>
      <c r="KNP1573" s="866"/>
      <c r="KNQ1573" s="866"/>
      <c r="KNR1573" s="866"/>
      <c r="KNS1573" s="866"/>
      <c r="KNT1573" s="866"/>
      <c r="KNU1573" s="866"/>
      <c r="KNV1573" s="866"/>
      <c r="KNW1573" s="866"/>
      <c r="KNX1573" s="866"/>
      <c r="KNY1573" s="866"/>
      <c r="KNZ1573" s="866"/>
      <c r="KOA1573" s="866"/>
      <c r="KOB1573" s="866"/>
      <c r="KOC1573" s="866"/>
      <c r="KOD1573" s="866"/>
      <c r="KOE1573" s="866"/>
      <c r="KOF1573" s="866"/>
      <c r="KOG1573" s="866"/>
      <c r="KOH1573" s="866"/>
      <c r="KOI1573" s="866"/>
      <c r="KOJ1573" s="866"/>
      <c r="KOK1573" s="866"/>
      <c r="KOL1573" s="866"/>
      <c r="KOM1573" s="866"/>
      <c r="KON1573" s="866"/>
      <c r="KOO1573" s="866"/>
      <c r="KOP1573" s="866"/>
      <c r="KOQ1573" s="866"/>
      <c r="KOR1573" s="866"/>
      <c r="KOS1573" s="866"/>
      <c r="KOT1573" s="866"/>
      <c r="KOU1573" s="866"/>
      <c r="KOV1573" s="866"/>
      <c r="KOW1573" s="866"/>
      <c r="KOX1573" s="866"/>
      <c r="KOY1573" s="866"/>
      <c r="KOZ1573" s="866"/>
      <c r="KPA1573" s="866"/>
      <c r="KPB1573" s="866"/>
      <c r="KPC1573" s="866"/>
      <c r="KPD1573" s="866"/>
      <c r="KPE1573" s="866"/>
      <c r="KPF1573" s="866"/>
      <c r="KPG1573" s="866"/>
      <c r="KPH1573" s="866"/>
      <c r="KPI1573" s="866"/>
      <c r="KPJ1573" s="866"/>
      <c r="KPK1573" s="866"/>
      <c r="KPL1573" s="866"/>
      <c r="KPM1573" s="866"/>
      <c r="KPN1573" s="866"/>
      <c r="KPO1573" s="866"/>
      <c r="KPP1573" s="866"/>
      <c r="KPQ1573" s="866"/>
      <c r="KPR1573" s="866"/>
      <c r="KPS1573" s="866"/>
      <c r="KPT1573" s="866"/>
      <c r="KPU1573" s="866"/>
      <c r="KPV1573" s="866"/>
      <c r="KPW1573" s="866"/>
      <c r="KPX1573" s="866"/>
      <c r="KPY1573" s="866"/>
      <c r="KPZ1573" s="866"/>
      <c r="KQA1573" s="866"/>
      <c r="KQB1573" s="866"/>
      <c r="KQC1573" s="866"/>
      <c r="KQD1573" s="866"/>
      <c r="KQE1573" s="866"/>
      <c r="KQF1573" s="866"/>
      <c r="KQG1573" s="866"/>
      <c r="KQH1573" s="866"/>
      <c r="KQI1573" s="866"/>
      <c r="KQJ1573" s="866"/>
      <c r="KQK1573" s="866"/>
      <c r="KQL1573" s="866"/>
      <c r="KQM1573" s="866"/>
      <c r="KQN1573" s="866"/>
      <c r="KQO1573" s="866"/>
      <c r="KQP1573" s="866"/>
      <c r="KQQ1573" s="866"/>
      <c r="KQR1573" s="866"/>
      <c r="KQS1573" s="866"/>
      <c r="KQT1573" s="866"/>
      <c r="KQU1573" s="866"/>
      <c r="KQV1573" s="866"/>
      <c r="KQW1573" s="866"/>
      <c r="KQX1573" s="866"/>
      <c r="KQY1573" s="866"/>
      <c r="KQZ1573" s="866"/>
      <c r="KRA1573" s="866"/>
      <c r="KRB1573" s="866"/>
      <c r="KRC1573" s="866"/>
      <c r="KRD1573" s="866"/>
      <c r="KRE1573" s="866"/>
      <c r="KRF1573" s="866"/>
      <c r="KRG1573" s="866"/>
      <c r="KRH1573" s="866"/>
      <c r="KRI1573" s="866"/>
      <c r="KRJ1573" s="866"/>
      <c r="KRK1573" s="866"/>
      <c r="KRL1573" s="866"/>
      <c r="KRM1573" s="866"/>
      <c r="KRN1573" s="866"/>
      <c r="KRO1573" s="866"/>
      <c r="KRP1573" s="866"/>
      <c r="KRQ1573" s="866"/>
      <c r="KRR1573" s="866"/>
      <c r="KRS1573" s="866"/>
      <c r="KRT1573" s="866"/>
      <c r="KRU1573" s="866"/>
      <c r="KRV1573" s="866"/>
      <c r="KRW1573" s="866"/>
      <c r="KRX1573" s="866"/>
      <c r="KRY1573" s="866"/>
      <c r="KRZ1573" s="866"/>
      <c r="KSA1573" s="866"/>
      <c r="KSB1573" s="866"/>
      <c r="KSC1573" s="866"/>
      <c r="KSD1573" s="866"/>
      <c r="KSE1573" s="866"/>
      <c r="KSF1573" s="866"/>
      <c r="KSG1573" s="866"/>
      <c r="KSH1573" s="866"/>
      <c r="KSI1573" s="866"/>
      <c r="KSJ1573" s="866"/>
      <c r="KSK1573" s="866"/>
      <c r="KSL1573" s="866"/>
      <c r="KSM1573" s="866"/>
      <c r="KSN1573" s="866"/>
      <c r="KSO1573" s="866"/>
      <c r="KSP1573" s="866"/>
      <c r="KSQ1573" s="866"/>
      <c r="KSR1573" s="866"/>
      <c r="KSS1573" s="866"/>
      <c r="KST1573" s="866"/>
      <c r="KSU1573" s="866"/>
      <c r="KSV1573" s="866"/>
      <c r="KSW1573" s="866"/>
      <c r="KSX1573" s="866"/>
      <c r="KSY1573" s="866"/>
      <c r="KSZ1573" s="866"/>
      <c r="KTA1573" s="866"/>
      <c r="KTB1573" s="866"/>
      <c r="KTC1573" s="866"/>
      <c r="KTD1573" s="866"/>
      <c r="KTE1573" s="866"/>
      <c r="KTF1573" s="866"/>
      <c r="KTG1573" s="866"/>
      <c r="KTH1573" s="866"/>
      <c r="KTI1573" s="866"/>
      <c r="KTJ1573" s="866"/>
      <c r="KTK1573" s="866"/>
      <c r="KTL1573" s="866"/>
      <c r="KTM1573" s="866"/>
      <c r="KTN1573" s="866"/>
      <c r="KTO1573" s="866"/>
      <c r="KTP1573" s="866"/>
      <c r="KTQ1573" s="866"/>
      <c r="KTR1573" s="866"/>
      <c r="KTS1573" s="866"/>
      <c r="KTT1573" s="866"/>
      <c r="KTU1573" s="866"/>
      <c r="KTV1573" s="866"/>
      <c r="KTW1573" s="866"/>
      <c r="KTX1573" s="866"/>
      <c r="KTY1573" s="866"/>
      <c r="KTZ1573" s="866"/>
      <c r="KUA1573" s="866"/>
      <c r="KUB1573" s="866"/>
      <c r="KUC1573" s="866"/>
      <c r="KUD1573" s="866"/>
      <c r="KUE1573" s="866"/>
      <c r="KUF1573" s="866"/>
      <c r="KUG1573" s="866"/>
      <c r="KUH1573" s="866"/>
      <c r="KUI1573" s="866"/>
      <c r="KUJ1573" s="866"/>
      <c r="KUK1573" s="866"/>
      <c r="KUL1573" s="866"/>
      <c r="KUM1573" s="866"/>
      <c r="KUN1573" s="866"/>
      <c r="KUO1573" s="866"/>
      <c r="KUP1573" s="866"/>
      <c r="KUQ1573" s="866"/>
      <c r="KUR1573" s="866"/>
      <c r="KUS1573" s="866"/>
      <c r="KUT1573" s="866"/>
      <c r="KUU1573" s="866"/>
      <c r="KUV1573" s="866"/>
      <c r="KUW1573" s="866"/>
      <c r="KUX1573" s="866"/>
      <c r="KUY1573" s="866"/>
      <c r="KUZ1573" s="866"/>
      <c r="KVA1573" s="866"/>
      <c r="KVB1573" s="866"/>
      <c r="KVC1573" s="866"/>
      <c r="KVD1573" s="866"/>
      <c r="KVE1573" s="866"/>
      <c r="KVF1573" s="866"/>
      <c r="KVG1573" s="866"/>
      <c r="KVH1573" s="866"/>
      <c r="KVI1573" s="866"/>
      <c r="KVJ1573" s="866"/>
      <c r="KVK1573" s="866"/>
      <c r="KVL1573" s="866"/>
      <c r="KVM1573" s="866"/>
      <c r="KVN1573" s="866"/>
      <c r="KVO1573" s="866"/>
      <c r="KVP1573" s="866"/>
      <c r="KVQ1573" s="866"/>
      <c r="KVR1573" s="866"/>
      <c r="KVS1573" s="866"/>
      <c r="KVT1573" s="866"/>
      <c r="KVU1573" s="866"/>
      <c r="KVV1573" s="866"/>
      <c r="KVW1573" s="866"/>
      <c r="KVX1573" s="866"/>
      <c r="KVY1573" s="866"/>
      <c r="KVZ1573" s="866"/>
      <c r="KWA1573" s="866"/>
      <c r="KWB1573" s="866"/>
      <c r="KWC1573" s="866"/>
      <c r="KWD1573" s="866"/>
      <c r="KWE1573" s="866"/>
      <c r="KWF1573" s="866"/>
      <c r="KWG1573" s="866"/>
      <c r="KWH1573" s="866"/>
      <c r="KWI1573" s="866"/>
      <c r="KWJ1573" s="866"/>
      <c r="KWK1573" s="866"/>
      <c r="KWL1573" s="866"/>
      <c r="KWM1573" s="866"/>
      <c r="KWN1573" s="866"/>
      <c r="KWO1573" s="866"/>
      <c r="KWP1573" s="866"/>
      <c r="KWQ1573" s="866"/>
      <c r="KWR1573" s="866"/>
      <c r="KWS1573" s="866"/>
      <c r="KWT1573" s="866"/>
      <c r="KWU1573" s="866"/>
      <c r="KWV1573" s="866"/>
      <c r="KWW1573" s="866"/>
      <c r="KWX1573" s="866"/>
      <c r="KWY1573" s="866"/>
      <c r="KWZ1573" s="866"/>
      <c r="KXA1573" s="866"/>
      <c r="KXB1573" s="866"/>
      <c r="KXC1573" s="866"/>
      <c r="KXD1573" s="866"/>
      <c r="KXE1573" s="866"/>
      <c r="KXF1573" s="866"/>
      <c r="KXG1573" s="866"/>
      <c r="KXH1573" s="866"/>
      <c r="KXI1573" s="866"/>
      <c r="KXJ1573" s="866"/>
      <c r="KXK1573" s="866"/>
      <c r="KXL1573" s="866"/>
      <c r="KXM1573" s="866"/>
      <c r="KXN1573" s="866"/>
      <c r="KXO1573" s="866"/>
      <c r="KXP1573" s="866"/>
      <c r="KXQ1573" s="866"/>
      <c r="KXR1573" s="866"/>
      <c r="KXS1573" s="866"/>
      <c r="KXT1573" s="866"/>
      <c r="KXU1573" s="866"/>
      <c r="KXV1573" s="866"/>
      <c r="KXW1573" s="866"/>
      <c r="KXX1573" s="866"/>
      <c r="KXY1573" s="866"/>
      <c r="KXZ1573" s="866"/>
      <c r="KYA1573" s="866"/>
      <c r="KYB1573" s="866"/>
      <c r="KYC1573" s="866"/>
      <c r="KYD1573" s="866"/>
      <c r="KYE1573" s="866"/>
      <c r="KYF1573" s="866"/>
      <c r="KYG1573" s="866"/>
      <c r="KYH1573" s="866"/>
      <c r="KYI1573" s="866"/>
      <c r="KYJ1573" s="866"/>
      <c r="KYK1573" s="866"/>
      <c r="KYL1573" s="866"/>
      <c r="KYM1573" s="866"/>
      <c r="KYN1573" s="866"/>
      <c r="KYO1573" s="866"/>
      <c r="KYP1573" s="866"/>
      <c r="KYQ1573" s="866"/>
      <c r="KYR1573" s="866"/>
      <c r="KYS1573" s="866"/>
      <c r="KYT1573" s="866"/>
      <c r="KYU1573" s="866"/>
      <c r="KYV1573" s="866"/>
      <c r="KYW1573" s="866"/>
      <c r="KYX1573" s="866"/>
      <c r="KYY1573" s="866"/>
      <c r="KYZ1573" s="866"/>
      <c r="KZA1573" s="866"/>
      <c r="KZB1573" s="866"/>
      <c r="KZC1573" s="866"/>
      <c r="KZD1573" s="866"/>
      <c r="KZE1573" s="866"/>
      <c r="KZF1573" s="866"/>
      <c r="KZG1573" s="866"/>
      <c r="KZH1573" s="866"/>
      <c r="KZI1573" s="866"/>
      <c r="KZJ1573" s="866"/>
      <c r="KZK1573" s="866"/>
      <c r="KZL1573" s="866"/>
      <c r="KZM1573" s="866"/>
      <c r="KZN1573" s="866"/>
      <c r="KZO1573" s="866"/>
      <c r="KZP1573" s="866"/>
      <c r="KZQ1573" s="866"/>
      <c r="KZR1573" s="866"/>
      <c r="KZS1573" s="866"/>
      <c r="KZT1573" s="866"/>
      <c r="KZU1573" s="866"/>
      <c r="KZV1573" s="866"/>
      <c r="KZW1573" s="866"/>
      <c r="KZX1573" s="866"/>
      <c r="KZY1573" s="866"/>
      <c r="KZZ1573" s="866"/>
      <c r="LAA1573" s="866"/>
      <c r="LAB1573" s="866"/>
      <c r="LAC1573" s="866"/>
      <c r="LAD1573" s="866"/>
      <c r="LAE1573" s="866"/>
      <c r="LAF1573" s="866"/>
      <c r="LAG1573" s="866"/>
      <c r="LAH1573" s="866"/>
      <c r="LAI1573" s="866"/>
      <c r="LAJ1573" s="866"/>
      <c r="LAK1573" s="866"/>
      <c r="LAL1573" s="866"/>
      <c r="LAM1573" s="866"/>
      <c r="LAN1573" s="866"/>
      <c r="LAO1573" s="866"/>
      <c r="LAP1573" s="866"/>
      <c r="LAQ1573" s="866"/>
      <c r="LAR1573" s="866"/>
      <c r="LAS1573" s="866"/>
      <c r="LAT1573" s="866"/>
      <c r="LAU1573" s="866"/>
      <c r="LAV1573" s="866"/>
      <c r="LAW1573" s="866"/>
      <c r="LAX1573" s="866"/>
      <c r="LAY1573" s="866"/>
      <c r="LAZ1573" s="866"/>
      <c r="LBA1573" s="866"/>
      <c r="LBB1573" s="866"/>
      <c r="LBC1573" s="866"/>
      <c r="LBD1573" s="866"/>
      <c r="LBE1573" s="866"/>
      <c r="LBF1573" s="866"/>
      <c r="LBG1573" s="866"/>
      <c r="LBH1573" s="866"/>
      <c r="LBI1573" s="866"/>
      <c r="LBJ1573" s="866"/>
      <c r="LBK1573" s="866"/>
      <c r="LBL1573" s="866"/>
      <c r="LBM1573" s="866"/>
      <c r="LBN1573" s="866"/>
      <c r="LBO1573" s="866"/>
      <c r="LBP1573" s="866"/>
      <c r="LBQ1573" s="866"/>
      <c r="LBR1573" s="866"/>
      <c r="LBS1573" s="866"/>
      <c r="LBT1573" s="866"/>
      <c r="LBU1573" s="866"/>
      <c r="LBV1573" s="866"/>
      <c r="LBW1573" s="866"/>
      <c r="LBX1573" s="866"/>
      <c r="LBY1573" s="866"/>
      <c r="LBZ1573" s="866"/>
      <c r="LCA1573" s="866"/>
      <c r="LCB1573" s="866"/>
      <c r="LCC1573" s="866"/>
      <c r="LCD1573" s="866"/>
      <c r="LCE1573" s="866"/>
      <c r="LCF1573" s="866"/>
      <c r="LCG1573" s="866"/>
      <c r="LCH1573" s="866"/>
      <c r="LCI1573" s="866"/>
      <c r="LCJ1573" s="866"/>
      <c r="LCK1573" s="866"/>
      <c r="LCL1573" s="866"/>
      <c r="LCM1573" s="866"/>
      <c r="LCN1573" s="866"/>
      <c r="LCO1573" s="866"/>
      <c r="LCP1573" s="866"/>
      <c r="LCQ1573" s="866"/>
      <c r="LCR1573" s="866"/>
      <c r="LCS1573" s="866"/>
      <c r="LCT1573" s="866"/>
      <c r="LCU1573" s="866"/>
      <c r="LCV1573" s="866"/>
      <c r="LCW1573" s="866"/>
      <c r="LCX1573" s="866"/>
      <c r="LCY1573" s="866"/>
      <c r="LCZ1573" s="866"/>
      <c r="LDA1573" s="866"/>
      <c r="LDB1573" s="866"/>
      <c r="LDC1573" s="866"/>
      <c r="LDD1573" s="866"/>
      <c r="LDE1573" s="866"/>
      <c r="LDF1573" s="866"/>
      <c r="LDG1573" s="866"/>
      <c r="LDH1573" s="866"/>
      <c r="LDI1573" s="866"/>
      <c r="LDJ1573" s="866"/>
      <c r="LDK1573" s="866"/>
      <c r="LDL1573" s="866"/>
      <c r="LDM1573" s="866"/>
      <c r="LDN1573" s="866"/>
      <c r="LDO1573" s="866"/>
      <c r="LDP1573" s="866"/>
      <c r="LDQ1573" s="866"/>
      <c r="LDR1573" s="866"/>
      <c r="LDS1573" s="866"/>
      <c r="LDT1573" s="866"/>
      <c r="LDU1573" s="866"/>
      <c r="LDV1573" s="866"/>
      <c r="LDW1573" s="866"/>
      <c r="LDX1573" s="866"/>
      <c r="LDY1573" s="866"/>
      <c r="LDZ1573" s="866"/>
      <c r="LEA1573" s="866"/>
      <c r="LEB1573" s="866"/>
      <c r="LEC1573" s="866"/>
      <c r="LED1573" s="866"/>
      <c r="LEE1573" s="866"/>
      <c r="LEF1573" s="866"/>
      <c r="LEG1573" s="866"/>
      <c r="LEH1573" s="866"/>
      <c r="LEI1573" s="866"/>
      <c r="LEJ1573" s="866"/>
      <c r="LEK1573" s="866"/>
      <c r="LEL1573" s="866"/>
      <c r="LEM1573" s="866"/>
      <c r="LEN1573" s="866"/>
      <c r="LEO1573" s="866"/>
      <c r="LEP1573" s="866"/>
      <c r="LEQ1573" s="866"/>
      <c r="LER1573" s="866"/>
      <c r="LES1573" s="866"/>
      <c r="LET1573" s="866"/>
      <c r="LEU1573" s="866"/>
      <c r="LEV1573" s="866"/>
      <c r="LEW1573" s="866"/>
      <c r="LEX1573" s="866"/>
      <c r="LEY1573" s="866"/>
      <c r="LEZ1573" s="866"/>
      <c r="LFA1573" s="866"/>
      <c r="LFB1573" s="866"/>
      <c r="LFC1573" s="866"/>
      <c r="LFD1573" s="866"/>
      <c r="LFE1573" s="866"/>
      <c r="LFF1573" s="866"/>
      <c r="LFG1573" s="866"/>
      <c r="LFH1573" s="866"/>
      <c r="LFI1573" s="866"/>
      <c r="LFJ1573" s="866"/>
      <c r="LFK1573" s="866"/>
      <c r="LFL1573" s="866"/>
      <c r="LFM1573" s="866"/>
      <c r="LFN1573" s="866"/>
      <c r="LFO1573" s="866"/>
      <c r="LFP1573" s="866"/>
      <c r="LFQ1573" s="866"/>
      <c r="LFR1573" s="866"/>
      <c r="LFS1573" s="866"/>
      <c r="LFT1573" s="866"/>
      <c r="LFU1573" s="866"/>
      <c r="LFV1573" s="866"/>
      <c r="LFW1573" s="866"/>
      <c r="LFX1573" s="866"/>
      <c r="LFY1573" s="866"/>
      <c r="LFZ1573" s="866"/>
      <c r="LGA1573" s="866"/>
      <c r="LGB1573" s="866"/>
      <c r="LGC1573" s="866"/>
      <c r="LGD1573" s="866"/>
      <c r="LGE1573" s="866"/>
      <c r="LGF1573" s="866"/>
      <c r="LGG1573" s="866"/>
      <c r="LGH1573" s="866"/>
      <c r="LGI1573" s="866"/>
      <c r="LGJ1573" s="866"/>
      <c r="LGK1573" s="866"/>
      <c r="LGL1573" s="866"/>
      <c r="LGM1573" s="866"/>
      <c r="LGN1573" s="866"/>
      <c r="LGO1573" s="866"/>
      <c r="LGP1573" s="866"/>
      <c r="LGQ1573" s="866"/>
      <c r="LGR1573" s="866"/>
      <c r="LGS1573" s="866"/>
      <c r="LGT1573" s="866"/>
      <c r="LGU1573" s="866"/>
      <c r="LGV1573" s="866"/>
      <c r="LGW1573" s="866"/>
      <c r="LGX1573" s="866"/>
      <c r="LGY1573" s="866"/>
      <c r="LGZ1573" s="866"/>
      <c r="LHA1573" s="866"/>
      <c r="LHB1573" s="866"/>
      <c r="LHC1573" s="866"/>
      <c r="LHD1573" s="866"/>
      <c r="LHE1573" s="866"/>
      <c r="LHF1573" s="866"/>
      <c r="LHG1573" s="866"/>
      <c r="LHH1573" s="866"/>
      <c r="LHI1573" s="866"/>
      <c r="LHJ1573" s="866"/>
      <c r="LHK1573" s="866"/>
      <c r="LHL1573" s="866"/>
      <c r="LHM1573" s="866"/>
      <c r="LHN1573" s="866"/>
      <c r="LHO1573" s="866"/>
      <c r="LHP1573" s="866"/>
      <c r="LHQ1573" s="866"/>
      <c r="LHR1573" s="866"/>
      <c r="LHS1573" s="866"/>
      <c r="LHT1573" s="866"/>
      <c r="LHU1573" s="866"/>
      <c r="LHV1573" s="866"/>
      <c r="LHW1573" s="866"/>
      <c r="LHX1573" s="866"/>
      <c r="LHY1573" s="866"/>
      <c r="LHZ1573" s="866"/>
      <c r="LIA1573" s="866"/>
      <c r="LIB1573" s="866"/>
      <c r="LIC1573" s="866"/>
      <c r="LID1573" s="866"/>
      <c r="LIE1573" s="866"/>
      <c r="LIF1573" s="866"/>
      <c r="LIG1573" s="866"/>
      <c r="LIH1573" s="866"/>
      <c r="LII1573" s="866"/>
      <c r="LIJ1573" s="866"/>
      <c r="LIK1573" s="866"/>
      <c r="LIL1573" s="866"/>
      <c r="LIM1573" s="866"/>
      <c r="LIN1573" s="866"/>
      <c r="LIO1573" s="866"/>
      <c r="LIP1573" s="866"/>
      <c r="LIQ1573" s="866"/>
      <c r="LIR1573" s="866"/>
      <c r="LIS1573" s="866"/>
      <c r="LIT1573" s="866"/>
      <c r="LIU1573" s="866"/>
      <c r="LIV1573" s="866"/>
      <c r="LIW1573" s="866"/>
      <c r="LIX1573" s="866"/>
      <c r="LIY1573" s="866"/>
      <c r="LIZ1573" s="866"/>
      <c r="LJA1573" s="866"/>
      <c r="LJB1573" s="866"/>
      <c r="LJC1573" s="866"/>
      <c r="LJD1573" s="866"/>
      <c r="LJE1573" s="866"/>
      <c r="LJF1573" s="866"/>
      <c r="LJG1573" s="866"/>
      <c r="LJH1573" s="866"/>
      <c r="LJI1573" s="866"/>
      <c r="LJJ1573" s="866"/>
      <c r="LJK1573" s="866"/>
      <c r="LJL1573" s="866"/>
      <c r="LJM1573" s="866"/>
      <c r="LJN1573" s="866"/>
      <c r="LJO1573" s="866"/>
      <c r="LJP1573" s="866"/>
      <c r="LJQ1573" s="866"/>
      <c r="LJR1573" s="866"/>
      <c r="LJS1573" s="866"/>
      <c r="LJT1573" s="866"/>
      <c r="LJU1573" s="866"/>
      <c r="LJV1573" s="866"/>
      <c r="LJW1573" s="866"/>
      <c r="LJX1573" s="866"/>
      <c r="LJY1573" s="866"/>
      <c r="LJZ1573" s="866"/>
      <c r="LKA1573" s="866"/>
      <c r="LKB1573" s="866"/>
      <c r="LKC1573" s="866"/>
      <c r="LKD1573" s="866"/>
      <c r="LKE1573" s="866"/>
      <c r="LKF1573" s="866"/>
      <c r="LKG1573" s="866"/>
      <c r="LKH1573" s="866"/>
      <c r="LKI1573" s="866"/>
      <c r="LKJ1573" s="866"/>
      <c r="LKK1573" s="866"/>
      <c r="LKL1573" s="866"/>
      <c r="LKM1573" s="866"/>
      <c r="LKN1573" s="866"/>
      <c r="LKO1573" s="866"/>
      <c r="LKP1573" s="866"/>
      <c r="LKQ1573" s="866"/>
      <c r="LKR1573" s="866"/>
      <c r="LKS1573" s="866"/>
      <c r="LKT1573" s="866"/>
      <c r="LKU1573" s="866"/>
      <c r="LKV1573" s="866"/>
      <c r="LKW1573" s="866"/>
      <c r="LKX1573" s="866"/>
      <c r="LKY1573" s="866"/>
      <c r="LKZ1573" s="866"/>
      <c r="LLA1573" s="866"/>
      <c r="LLB1573" s="866"/>
      <c r="LLC1573" s="866"/>
      <c r="LLD1573" s="866"/>
      <c r="LLE1573" s="866"/>
      <c r="LLF1573" s="866"/>
      <c r="LLG1573" s="866"/>
      <c r="LLH1573" s="866"/>
      <c r="LLI1573" s="866"/>
      <c r="LLJ1573" s="866"/>
      <c r="LLK1573" s="866"/>
      <c r="LLL1573" s="866"/>
      <c r="LLM1573" s="866"/>
      <c r="LLN1573" s="866"/>
      <c r="LLO1573" s="866"/>
      <c r="LLP1573" s="866"/>
      <c r="LLQ1573" s="866"/>
      <c r="LLR1573" s="866"/>
      <c r="LLS1573" s="866"/>
      <c r="LLT1573" s="866"/>
      <c r="LLU1573" s="866"/>
      <c r="LLV1573" s="866"/>
      <c r="LLW1573" s="866"/>
      <c r="LLX1573" s="866"/>
      <c r="LLY1573" s="866"/>
      <c r="LLZ1573" s="866"/>
      <c r="LMA1573" s="866"/>
      <c r="LMB1573" s="866"/>
      <c r="LMC1573" s="866"/>
      <c r="LMD1573" s="866"/>
      <c r="LME1573" s="866"/>
      <c r="LMF1573" s="866"/>
      <c r="LMG1573" s="866"/>
      <c r="LMH1573" s="866"/>
      <c r="LMI1573" s="866"/>
      <c r="LMJ1573" s="866"/>
      <c r="LMK1573" s="866"/>
      <c r="LML1573" s="866"/>
      <c r="LMM1573" s="866"/>
      <c r="LMN1573" s="866"/>
      <c r="LMO1573" s="866"/>
      <c r="LMP1573" s="866"/>
      <c r="LMQ1573" s="866"/>
      <c r="LMR1573" s="866"/>
      <c r="LMS1573" s="866"/>
      <c r="LMT1573" s="866"/>
      <c r="LMU1573" s="866"/>
      <c r="LMV1573" s="866"/>
      <c r="LMW1573" s="866"/>
      <c r="LMX1573" s="866"/>
      <c r="LMY1573" s="866"/>
      <c r="LMZ1573" s="866"/>
      <c r="LNA1573" s="866"/>
      <c r="LNB1573" s="866"/>
      <c r="LNC1573" s="866"/>
      <c r="LND1573" s="866"/>
      <c r="LNE1573" s="866"/>
      <c r="LNF1573" s="866"/>
      <c r="LNG1573" s="866"/>
      <c r="LNH1573" s="866"/>
      <c r="LNI1573" s="866"/>
      <c r="LNJ1573" s="866"/>
      <c r="LNK1573" s="866"/>
      <c r="LNL1573" s="866"/>
      <c r="LNM1573" s="866"/>
      <c r="LNN1573" s="866"/>
      <c r="LNO1573" s="866"/>
      <c r="LNP1573" s="866"/>
      <c r="LNQ1573" s="866"/>
      <c r="LNR1573" s="866"/>
      <c r="LNS1573" s="866"/>
      <c r="LNT1573" s="866"/>
      <c r="LNU1573" s="866"/>
      <c r="LNV1573" s="866"/>
      <c r="LNW1573" s="866"/>
      <c r="LNX1573" s="866"/>
      <c r="LNY1573" s="866"/>
      <c r="LNZ1573" s="866"/>
      <c r="LOA1573" s="866"/>
      <c r="LOB1573" s="866"/>
      <c r="LOC1573" s="866"/>
      <c r="LOD1573" s="866"/>
      <c r="LOE1573" s="866"/>
      <c r="LOF1573" s="866"/>
      <c r="LOG1573" s="866"/>
      <c r="LOH1573" s="866"/>
      <c r="LOI1573" s="866"/>
      <c r="LOJ1573" s="866"/>
      <c r="LOK1573" s="866"/>
      <c r="LOL1573" s="866"/>
      <c r="LOM1573" s="866"/>
      <c r="LON1573" s="866"/>
      <c r="LOO1573" s="866"/>
      <c r="LOP1573" s="866"/>
      <c r="LOQ1573" s="866"/>
      <c r="LOR1573" s="866"/>
      <c r="LOS1573" s="866"/>
      <c r="LOT1573" s="866"/>
      <c r="LOU1573" s="866"/>
      <c r="LOV1573" s="866"/>
      <c r="LOW1573" s="866"/>
      <c r="LOX1573" s="866"/>
      <c r="LOY1573" s="866"/>
      <c r="LOZ1573" s="866"/>
      <c r="LPA1573" s="866"/>
      <c r="LPB1573" s="866"/>
      <c r="LPC1573" s="866"/>
      <c r="LPD1573" s="866"/>
      <c r="LPE1573" s="866"/>
      <c r="LPF1573" s="866"/>
      <c r="LPG1573" s="866"/>
      <c r="LPH1573" s="866"/>
      <c r="LPI1573" s="866"/>
      <c r="LPJ1573" s="866"/>
      <c r="LPK1573" s="866"/>
      <c r="LPL1573" s="866"/>
      <c r="LPM1573" s="866"/>
      <c r="LPN1573" s="866"/>
      <c r="LPO1573" s="866"/>
      <c r="LPP1573" s="866"/>
      <c r="LPQ1573" s="866"/>
      <c r="LPR1573" s="866"/>
      <c r="LPS1573" s="866"/>
      <c r="LPT1573" s="866"/>
      <c r="LPU1573" s="866"/>
      <c r="LPV1573" s="866"/>
      <c r="LPW1573" s="866"/>
      <c r="LPX1573" s="866"/>
      <c r="LPY1573" s="866"/>
      <c r="LPZ1573" s="866"/>
      <c r="LQA1573" s="866"/>
      <c r="LQB1573" s="866"/>
      <c r="LQC1573" s="866"/>
      <c r="LQD1573" s="866"/>
      <c r="LQE1573" s="866"/>
      <c r="LQF1573" s="866"/>
      <c r="LQG1573" s="866"/>
      <c r="LQH1573" s="866"/>
      <c r="LQI1573" s="866"/>
      <c r="LQJ1573" s="866"/>
      <c r="LQK1573" s="866"/>
      <c r="LQL1573" s="866"/>
      <c r="LQM1573" s="866"/>
      <c r="LQN1573" s="866"/>
      <c r="LQO1573" s="866"/>
      <c r="LQP1573" s="866"/>
      <c r="LQQ1573" s="866"/>
      <c r="LQR1573" s="866"/>
      <c r="LQS1573" s="866"/>
      <c r="LQT1573" s="866"/>
      <c r="LQU1573" s="866"/>
      <c r="LQV1573" s="866"/>
      <c r="LQW1573" s="866"/>
      <c r="LQX1573" s="866"/>
      <c r="LQY1573" s="866"/>
      <c r="LQZ1573" s="866"/>
      <c r="LRA1573" s="866"/>
      <c r="LRB1573" s="866"/>
      <c r="LRC1573" s="866"/>
      <c r="LRD1573" s="866"/>
      <c r="LRE1573" s="866"/>
      <c r="LRF1573" s="866"/>
      <c r="LRG1573" s="866"/>
      <c r="LRH1573" s="866"/>
      <c r="LRI1573" s="866"/>
      <c r="LRJ1573" s="866"/>
      <c r="LRK1573" s="866"/>
      <c r="LRL1573" s="866"/>
      <c r="LRM1573" s="866"/>
      <c r="LRN1573" s="866"/>
      <c r="LRO1573" s="866"/>
      <c r="LRP1573" s="866"/>
      <c r="LRQ1573" s="866"/>
      <c r="LRR1573" s="866"/>
      <c r="LRS1573" s="866"/>
      <c r="LRT1573" s="866"/>
      <c r="LRU1573" s="866"/>
      <c r="LRV1573" s="866"/>
      <c r="LRW1573" s="866"/>
      <c r="LRX1573" s="866"/>
      <c r="LRY1573" s="866"/>
      <c r="LRZ1573" s="866"/>
      <c r="LSA1573" s="866"/>
      <c r="LSB1573" s="866"/>
      <c r="LSC1573" s="866"/>
      <c r="LSD1573" s="866"/>
      <c r="LSE1573" s="866"/>
      <c r="LSF1573" s="866"/>
      <c r="LSG1573" s="866"/>
      <c r="LSH1573" s="866"/>
      <c r="LSI1573" s="866"/>
      <c r="LSJ1573" s="866"/>
      <c r="LSK1573" s="866"/>
      <c r="LSL1573" s="866"/>
      <c r="LSM1573" s="866"/>
      <c r="LSN1573" s="866"/>
      <c r="LSO1573" s="866"/>
      <c r="LSP1573" s="866"/>
      <c r="LSQ1573" s="866"/>
      <c r="LSR1573" s="866"/>
      <c r="LSS1573" s="866"/>
      <c r="LST1573" s="866"/>
      <c r="LSU1573" s="866"/>
      <c r="LSV1573" s="866"/>
      <c r="LSW1573" s="866"/>
      <c r="LSX1573" s="866"/>
      <c r="LSY1573" s="866"/>
      <c r="LSZ1573" s="866"/>
      <c r="LTA1573" s="866"/>
      <c r="LTB1573" s="866"/>
      <c r="LTC1573" s="866"/>
      <c r="LTD1573" s="866"/>
      <c r="LTE1573" s="866"/>
      <c r="LTF1573" s="866"/>
      <c r="LTG1573" s="866"/>
      <c r="LTH1573" s="866"/>
      <c r="LTI1573" s="866"/>
      <c r="LTJ1573" s="866"/>
      <c r="LTK1573" s="866"/>
      <c r="LTL1573" s="866"/>
      <c r="LTM1573" s="866"/>
      <c r="LTN1573" s="866"/>
      <c r="LTO1573" s="866"/>
      <c r="LTP1573" s="866"/>
      <c r="LTQ1573" s="866"/>
      <c r="LTR1573" s="866"/>
      <c r="LTS1573" s="866"/>
      <c r="LTT1573" s="866"/>
      <c r="LTU1573" s="866"/>
      <c r="LTV1573" s="866"/>
      <c r="LTW1573" s="866"/>
      <c r="LTX1573" s="866"/>
      <c r="LTY1573" s="866"/>
      <c r="LTZ1573" s="866"/>
      <c r="LUA1573" s="866"/>
      <c r="LUB1573" s="866"/>
      <c r="LUC1573" s="866"/>
      <c r="LUD1573" s="866"/>
      <c r="LUE1573" s="866"/>
      <c r="LUF1573" s="866"/>
      <c r="LUG1573" s="866"/>
      <c r="LUH1573" s="866"/>
      <c r="LUI1573" s="866"/>
      <c r="LUJ1573" s="866"/>
      <c r="LUK1573" s="866"/>
      <c r="LUL1573" s="866"/>
      <c r="LUM1573" s="866"/>
      <c r="LUN1573" s="866"/>
      <c r="LUO1573" s="866"/>
      <c r="LUP1573" s="866"/>
      <c r="LUQ1573" s="866"/>
      <c r="LUR1573" s="866"/>
      <c r="LUS1573" s="866"/>
      <c r="LUT1573" s="866"/>
      <c r="LUU1573" s="866"/>
      <c r="LUV1573" s="866"/>
      <c r="LUW1573" s="866"/>
      <c r="LUX1573" s="866"/>
      <c r="LUY1573" s="866"/>
      <c r="LUZ1573" s="866"/>
      <c r="LVA1573" s="866"/>
      <c r="LVB1573" s="866"/>
      <c r="LVC1573" s="866"/>
      <c r="LVD1573" s="866"/>
      <c r="LVE1573" s="866"/>
      <c r="LVF1573" s="866"/>
      <c r="LVG1573" s="866"/>
      <c r="LVH1573" s="866"/>
      <c r="LVI1573" s="866"/>
      <c r="LVJ1573" s="866"/>
      <c r="LVK1573" s="866"/>
      <c r="LVL1573" s="866"/>
      <c r="LVM1573" s="866"/>
      <c r="LVN1573" s="866"/>
      <c r="LVO1573" s="866"/>
      <c r="LVP1573" s="866"/>
      <c r="LVQ1573" s="866"/>
      <c r="LVR1573" s="866"/>
      <c r="LVS1573" s="866"/>
      <c r="LVT1573" s="866"/>
      <c r="LVU1573" s="866"/>
      <c r="LVV1573" s="866"/>
      <c r="LVW1573" s="866"/>
      <c r="LVX1573" s="866"/>
      <c r="LVY1573" s="866"/>
      <c r="LVZ1573" s="866"/>
      <c r="LWA1573" s="866"/>
      <c r="LWB1573" s="866"/>
      <c r="LWC1573" s="866"/>
      <c r="LWD1573" s="866"/>
      <c r="LWE1573" s="866"/>
      <c r="LWF1573" s="866"/>
      <c r="LWG1573" s="866"/>
      <c r="LWH1573" s="866"/>
      <c r="LWI1573" s="866"/>
      <c r="LWJ1573" s="866"/>
      <c r="LWK1573" s="866"/>
      <c r="LWL1573" s="866"/>
      <c r="LWM1573" s="866"/>
      <c r="LWN1573" s="866"/>
      <c r="LWO1573" s="866"/>
      <c r="LWP1573" s="866"/>
      <c r="LWQ1573" s="866"/>
      <c r="LWR1573" s="866"/>
      <c r="LWS1573" s="866"/>
      <c r="LWT1573" s="866"/>
      <c r="LWU1573" s="866"/>
      <c r="LWV1573" s="866"/>
      <c r="LWW1573" s="866"/>
      <c r="LWX1573" s="866"/>
      <c r="LWY1573" s="866"/>
      <c r="LWZ1573" s="866"/>
      <c r="LXA1573" s="866"/>
      <c r="LXB1573" s="866"/>
      <c r="LXC1573" s="866"/>
      <c r="LXD1573" s="866"/>
      <c r="LXE1573" s="866"/>
      <c r="LXF1573" s="866"/>
      <c r="LXG1573" s="866"/>
      <c r="LXH1573" s="866"/>
      <c r="LXI1573" s="866"/>
      <c r="LXJ1573" s="866"/>
      <c r="LXK1573" s="866"/>
      <c r="LXL1573" s="866"/>
      <c r="LXM1573" s="866"/>
      <c r="LXN1573" s="866"/>
      <c r="LXO1573" s="866"/>
      <c r="LXP1573" s="866"/>
      <c r="LXQ1573" s="866"/>
      <c r="LXR1573" s="866"/>
      <c r="LXS1573" s="866"/>
      <c r="LXT1573" s="866"/>
      <c r="LXU1573" s="866"/>
      <c r="LXV1573" s="866"/>
      <c r="LXW1573" s="866"/>
      <c r="LXX1573" s="866"/>
      <c r="LXY1573" s="866"/>
      <c r="LXZ1573" s="866"/>
      <c r="LYA1573" s="866"/>
      <c r="LYB1573" s="866"/>
      <c r="LYC1573" s="866"/>
      <c r="LYD1573" s="866"/>
      <c r="LYE1573" s="866"/>
      <c r="LYF1573" s="866"/>
      <c r="LYG1573" s="866"/>
      <c r="LYH1573" s="866"/>
      <c r="LYI1573" s="866"/>
      <c r="LYJ1573" s="866"/>
      <c r="LYK1573" s="866"/>
      <c r="LYL1573" s="866"/>
      <c r="LYM1573" s="866"/>
      <c r="LYN1573" s="866"/>
      <c r="LYO1573" s="866"/>
      <c r="LYP1573" s="866"/>
      <c r="LYQ1573" s="866"/>
      <c r="LYR1573" s="866"/>
      <c r="LYS1573" s="866"/>
      <c r="LYT1573" s="866"/>
      <c r="LYU1573" s="866"/>
      <c r="LYV1573" s="866"/>
      <c r="LYW1573" s="866"/>
      <c r="LYX1573" s="866"/>
      <c r="LYY1573" s="866"/>
      <c r="LYZ1573" s="866"/>
      <c r="LZA1573" s="866"/>
      <c r="LZB1573" s="866"/>
      <c r="LZC1573" s="866"/>
      <c r="LZD1573" s="866"/>
      <c r="LZE1573" s="866"/>
      <c r="LZF1573" s="866"/>
      <c r="LZG1573" s="866"/>
      <c r="LZH1573" s="866"/>
      <c r="LZI1573" s="866"/>
      <c r="LZJ1573" s="866"/>
      <c r="LZK1573" s="866"/>
      <c r="LZL1573" s="866"/>
      <c r="LZM1573" s="866"/>
      <c r="LZN1573" s="866"/>
      <c r="LZO1573" s="866"/>
      <c r="LZP1573" s="866"/>
      <c r="LZQ1573" s="866"/>
      <c r="LZR1573" s="866"/>
      <c r="LZS1573" s="866"/>
      <c r="LZT1573" s="866"/>
      <c r="LZU1573" s="866"/>
      <c r="LZV1573" s="866"/>
      <c r="LZW1573" s="866"/>
      <c r="LZX1573" s="866"/>
      <c r="LZY1573" s="866"/>
      <c r="LZZ1573" s="866"/>
      <c r="MAA1573" s="866"/>
      <c r="MAB1573" s="866"/>
      <c r="MAC1573" s="866"/>
      <c r="MAD1573" s="866"/>
      <c r="MAE1573" s="866"/>
      <c r="MAF1573" s="866"/>
      <c r="MAG1573" s="866"/>
      <c r="MAH1573" s="866"/>
      <c r="MAI1573" s="866"/>
      <c r="MAJ1573" s="866"/>
      <c r="MAK1573" s="866"/>
      <c r="MAL1573" s="866"/>
      <c r="MAM1573" s="866"/>
      <c r="MAN1573" s="866"/>
      <c r="MAO1573" s="866"/>
      <c r="MAP1573" s="866"/>
      <c r="MAQ1573" s="866"/>
      <c r="MAR1573" s="866"/>
      <c r="MAS1573" s="866"/>
      <c r="MAT1573" s="866"/>
      <c r="MAU1573" s="866"/>
      <c r="MAV1573" s="866"/>
      <c r="MAW1573" s="866"/>
      <c r="MAX1573" s="866"/>
      <c r="MAY1573" s="866"/>
      <c r="MAZ1573" s="866"/>
      <c r="MBA1573" s="866"/>
      <c r="MBB1573" s="866"/>
      <c r="MBC1573" s="866"/>
      <c r="MBD1573" s="866"/>
      <c r="MBE1573" s="866"/>
      <c r="MBF1573" s="866"/>
      <c r="MBG1573" s="866"/>
      <c r="MBH1573" s="866"/>
      <c r="MBI1573" s="866"/>
      <c r="MBJ1573" s="866"/>
      <c r="MBK1573" s="866"/>
      <c r="MBL1573" s="866"/>
      <c r="MBM1573" s="866"/>
      <c r="MBN1573" s="866"/>
      <c r="MBO1573" s="866"/>
      <c r="MBP1573" s="866"/>
      <c r="MBQ1573" s="866"/>
      <c r="MBR1573" s="866"/>
      <c r="MBS1573" s="866"/>
      <c r="MBT1573" s="866"/>
      <c r="MBU1573" s="866"/>
      <c r="MBV1573" s="866"/>
      <c r="MBW1573" s="866"/>
      <c r="MBX1573" s="866"/>
      <c r="MBY1573" s="866"/>
      <c r="MBZ1573" s="866"/>
      <c r="MCA1573" s="866"/>
      <c r="MCB1573" s="866"/>
      <c r="MCC1573" s="866"/>
      <c r="MCD1573" s="866"/>
      <c r="MCE1573" s="866"/>
      <c r="MCF1573" s="866"/>
      <c r="MCG1573" s="866"/>
      <c r="MCH1573" s="866"/>
      <c r="MCI1573" s="866"/>
      <c r="MCJ1573" s="866"/>
      <c r="MCK1573" s="866"/>
      <c r="MCL1573" s="866"/>
      <c r="MCM1573" s="866"/>
      <c r="MCN1573" s="866"/>
      <c r="MCO1573" s="866"/>
      <c r="MCP1573" s="866"/>
      <c r="MCQ1573" s="866"/>
      <c r="MCR1573" s="866"/>
      <c r="MCS1573" s="866"/>
      <c r="MCT1573" s="866"/>
      <c r="MCU1573" s="866"/>
      <c r="MCV1573" s="866"/>
      <c r="MCW1573" s="866"/>
      <c r="MCX1573" s="866"/>
      <c r="MCY1573" s="866"/>
      <c r="MCZ1573" s="866"/>
      <c r="MDA1573" s="866"/>
      <c r="MDB1573" s="866"/>
      <c r="MDC1573" s="866"/>
      <c r="MDD1573" s="866"/>
      <c r="MDE1573" s="866"/>
      <c r="MDF1573" s="866"/>
      <c r="MDG1573" s="866"/>
      <c r="MDH1573" s="866"/>
      <c r="MDI1573" s="866"/>
      <c r="MDJ1573" s="866"/>
      <c r="MDK1573" s="866"/>
      <c r="MDL1573" s="866"/>
      <c r="MDM1573" s="866"/>
      <c r="MDN1573" s="866"/>
      <c r="MDO1573" s="866"/>
      <c r="MDP1573" s="866"/>
      <c r="MDQ1573" s="866"/>
      <c r="MDR1573" s="866"/>
      <c r="MDS1573" s="866"/>
      <c r="MDT1573" s="866"/>
      <c r="MDU1573" s="866"/>
      <c r="MDV1573" s="866"/>
      <c r="MDW1573" s="866"/>
      <c r="MDX1573" s="866"/>
      <c r="MDY1573" s="866"/>
      <c r="MDZ1573" s="866"/>
      <c r="MEA1573" s="866"/>
      <c r="MEB1573" s="866"/>
      <c r="MEC1573" s="866"/>
      <c r="MED1573" s="866"/>
      <c r="MEE1573" s="866"/>
      <c r="MEF1573" s="866"/>
      <c r="MEG1573" s="866"/>
      <c r="MEH1573" s="866"/>
      <c r="MEI1573" s="866"/>
      <c r="MEJ1573" s="866"/>
      <c r="MEK1573" s="866"/>
      <c r="MEL1573" s="866"/>
      <c r="MEM1573" s="866"/>
      <c r="MEN1573" s="866"/>
      <c r="MEO1573" s="866"/>
      <c r="MEP1573" s="866"/>
      <c r="MEQ1573" s="866"/>
      <c r="MER1573" s="866"/>
      <c r="MES1573" s="866"/>
      <c r="MET1573" s="866"/>
      <c r="MEU1573" s="866"/>
      <c r="MEV1573" s="866"/>
      <c r="MEW1573" s="866"/>
      <c r="MEX1573" s="866"/>
      <c r="MEY1573" s="866"/>
      <c r="MEZ1573" s="866"/>
      <c r="MFA1573" s="866"/>
      <c r="MFB1573" s="866"/>
      <c r="MFC1573" s="866"/>
      <c r="MFD1573" s="866"/>
      <c r="MFE1573" s="866"/>
      <c r="MFF1573" s="866"/>
      <c r="MFG1573" s="866"/>
      <c r="MFH1573" s="866"/>
      <c r="MFI1573" s="866"/>
      <c r="MFJ1573" s="866"/>
      <c r="MFK1573" s="866"/>
      <c r="MFL1573" s="866"/>
      <c r="MFM1573" s="866"/>
      <c r="MFN1573" s="866"/>
      <c r="MFO1573" s="866"/>
      <c r="MFP1573" s="866"/>
      <c r="MFQ1573" s="866"/>
      <c r="MFR1573" s="866"/>
      <c r="MFS1573" s="866"/>
      <c r="MFT1573" s="866"/>
      <c r="MFU1573" s="866"/>
      <c r="MFV1573" s="866"/>
      <c r="MFW1573" s="866"/>
      <c r="MFX1573" s="866"/>
      <c r="MFY1573" s="866"/>
      <c r="MFZ1573" s="866"/>
      <c r="MGA1573" s="866"/>
      <c r="MGB1573" s="866"/>
      <c r="MGC1573" s="866"/>
      <c r="MGD1573" s="866"/>
      <c r="MGE1573" s="866"/>
      <c r="MGF1573" s="866"/>
      <c r="MGG1573" s="866"/>
      <c r="MGH1573" s="866"/>
      <c r="MGI1573" s="866"/>
      <c r="MGJ1573" s="866"/>
      <c r="MGK1573" s="866"/>
      <c r="MGL1573" s="866"/>
      <c r="MGM1573" s="866"/>
      <c r="MGN1573" s="866"/>
      <c r="MGO1573" s="866"/>
      <c r="MGP1573" s="866"/>
      <c r="MGQ1573" s="866"/>
      <c r="MGR1573" s="866"/>
      <c r="MGS1573" s="866"/>
      <c r="MGT1573" s="866"/>
      <c r="MGU1573" s="866"/>
      <c r="MGV1573" s="866"/>
      <c r="MGW1573" s="866"/>
      <c r="MGX1573" s="866"/>
      <c r="MGY1573" s="866"/>
      <c r="MGZ1573" s="866"/>
      <c r="MHA1573" s="866"/>
      <c r="MHB1573" s="866"/>
      <c r="MHC1573" s="866"/>
      <c r="MHD1573" s="866"/>
      <c r="MHE1573" s="866"/>
      <c r="MHF1573" s="866"/>
      <c r="MHG1573" s="866"/>
      <c r="MHH1573" s="866"/>
      <c r="MHI1573" s="866"/>
      <c r="MHJ1573" s="866"/>
      <c r="MHK1573" s="866"/>
      <c r="MHL1573" s="866"/>
      <c r="MHM1573" s="866"/>
      <c r="MHN1573" s="866"/>
      <c r="MHO1573" s="866"/>
      <c r="MHP1573" s="866"/>
      <c r="MHQ1573" s="866"/>
      <c r="MHR1573" s="866"/>
      <c r="MHS1573" s="866"/>
      <c r="MHT1573" s="866"/>
      <c r="MHU1573" s="866"/>
      <c r="MHV1573" s="866"/>
      <c r="MHW1573" s="866"/>
      <c r="MHX1573" s="866"/>
      <c r="MHY1573" s="866"/>
      <c r="MHZ1573" s="866"/>
      <c r="MIA1573" s="866"/>
      <c r="MIB1573" s="866"/>
      <c r="MIC1573" s="866"/>
      <c r="MID1573" s="866"/>
      <c r="MIE1573" s="866"/>
      <c r="MIF1573" s="866"/>
      <c r="MIG1573" s="866"/>
      <c r="MIH1573" s="866"/>
      <c r="MII1573" s="866"/>
      <c r="MIJ1573" s="866"/>
      <c r="MIK1573" s="866"/>
      <c r="MIL1573" s="866"/>
      <c r="MIM1573" s="866"/>
      <c r="MIN1573" s="866"/>
      <c r="MIO1573" s="866"/>
      <c r="MIP1573" s="866"/>
      <c r="MIQ1573" s="866"/>
      <c r="MIR1573" s="866"/>
      <c r="MIS1573" s="866"/>
      <c r="MIT1573" s="866"/>
      <c r="MIU1573" s="866"/>
      <c r="MIV1573" s="866"/>
      <c r="MIW1573" s="866"/>
      <c r="MIX1573" s="866"/>
      <c r="MIY1573" s="866"/>
      <c r="MIZ1573" s="866"/>
      <c r="MJA1573" s="866"/>
      <c r="MJB1573" s="866"/>
      <c r="MJC1573" s="866"/>
      <c r="MJD1573" s="866"/>
      <c r="MJE1573" s="866"/>
      <c r="MJF1573" s="866"/>
      <c r="MJG1573" s="866"/>
      <c r="MJH1573" s="866"/>
      <c r="MJI1573" s="866"/>
      <c r="MJJ1573" s="866"/>
      <c r="MJK1573" s="866"/>
      <c r="MJL1573" s="866"/>
      <c r="MJM1573" s="866"/>
      <c r="MJN1573" s="866"/>
      <c r="MJO1573" s="866"/>
      <c r="MJP1573" s="866"/>
      <c r="MJQ1573" s="866"/>
      <c r="MJR1573" s="866"/>
      <c r="MJS1573" s="866"/>
      <c r="MJT1573" s="866"/>
      <c r="MJU1573" s="866"/>
      <c r="MJV1573" s="866"/>
      <c r="MJW1573" s="866"/>
      <c r="MJX1573" s="866"/>
      <c r="MJY1573" s="866"/>
      <c r="MJZ1573" s="866"/>
      <c r="MKA1573" s="866"/>
      <c r="MKB1573" s="866"/>
      <c r="MKC1573" s="866"/>
      <c r="MKD1573" s="866"/>
      <c r="MKE1573" s="866"/>
      <c r="MKF1573" s="866"/>
      <c r="MKG1573" s="866"/>
      <c r="MKH1573" s="866"/>
      <c r="MKI1573" s="866"/>
      <c r="MKJ1573" s="866"/>
      <c r="MKK1573" s="866"/>
      <c r="MKL1573" s="866"/>
      <c r="MKM1573" s="866"/>
      <c r="MKN1573" s="866"/>
      <c r="MKO1573" s="866"/>
      <c r="MKP1573" s="866"/>
      <c r="MKQ1573" s="866"/>
      <c r="MKR1573" s="866"/>
      <c r="MKS1573" s="866"/>
      <c r="MKT1573" s="866"/>
      <c r="MKU1573" s="866"/>
      <c r="MKV1573" s="866"/>
      <c r="MKW1573" s="866"/>
      <c r="MKX1573" s="866"/>
      <c r="MKY1573" s="866"/>
      <c r="MKZ1573" s="866"/>
      <c r="MLA1573" s="866"/>
      <c r="MLB1573" s="866"/>
      <c r="MLC1573" s="866"/>
      <c r="MLD1573" s="866"/>
      <c r="MLE1573" s="866"/>
      <c r="MLF1573" s="866"/>
      <c r="MLG1573" s="866"/>
      <c r="MLH1573" s="866"/>
      <c r="MLI1573" s="866"/>
      <c r="MLJ1573" s="866"/>
      <c r="MLK1573" s="866"/>
      <c r="MLL1573" s="866"/>
      <c r="MLM1573" s="866"/>
      <c r="MLN1573" s="866"/>
      <c r="MLO1573" s="866"/>
      <c r="MLP1573" s="866"/>
      <c r="MLQ1573" s="866"/>
      <c r="MLR1573" s="866"/>
      <c r="MLS1573" s="866"/>
      <c r="MLT1573" s="866"/>
      <c r="MLU1573" s="866"/>
      <c r="MLV1573" s="866"/>
      <c r="MLW1573" s="866"/>
      <c r="MLX1573" s="866"/>
      <c r="MLY1573" s="866"/>
      <c r="MLZ1573" s="866"/>
      <c r="MMA1573" s="866"/>
      <c r="MMB1573" s="866"/>
      <c r="MMC1573" s="866"/>
      <c r="MMD1573" s="866"/>
      <c r="MME1573" s="866"/>
      <c r="MMF1573" s="866"/>
      <c r="MMG1573" s="866"/>
      <c r="MMH1573" s="866"/>
      <c r="MMI1573" s="866"/>
      <c r="MMJ1573" s="866"/>
      <c r="MMK1573" s="866"/>
      <c r="MML1573" s="866"/>
      <c r="MMM1573" s="866"/>
      <c r="MMN1573" s="866"/>
      <c r="MMO1573" s="866"/>
      <c r="MMP1573" s="866"/>
      <c r="MMQ1573" s="866"/>
      <c r="MMR1573" s="866"/>
      <c r="MMS1573" s="866"/>
      <c r="MMT1573" s="866"/>
      <c r="MMU1573" s="866"/>
      <c r="MMV1573" s="866"/>
      <c r="MMW1573" s="866"/>
      <c r="MMX1573" s="866"/>
      <c r="MMY1573" s="866"/>
      <c r="MMZ1573" s="866"/>
      <c r="MNA1573" s="866"/>
      <c r="MNB1573" s="866"/>
      <c r="MNC1573" s="866"/>
      <c r="MND1573" s="866"/>
      <c r="MNE1573" s="866"/>
      <c r="MNF1573" s="866"/>
      <c r="MNG1573" s="866"/>
      <c r="MNH1573" s="866"/>
      <c r="MNI1573" s="866"/>
      <c r="MNJ1573" s="866"/>
      <c r="MNK1573" s="866"/>
      <c r="MNL1573" s="866"/>
      <c r="MNM1573" s="866"/>
      <c r="MNN1573" s="866"/>
      <c r="MNO1573" s="866"/>
      <c r="MNP1573" s="866"/>
      <c r="MNQ1573" s="866"/>
      <c r="MNR1573" s="866"/>
      <c r="MNS1573" s="866"/>
      <c r="MNT1573" s="866"/>
      <c r="MNU1573" s="866"/>
      <c r="MNV1573" s="866"/>
      <c r="MNW1573" s="866"/>
      <c r="MNX1573" s="866"/>
      <c r="MNY1573" s="866"/>
      <c r="MNZ1573" s="866"/>
      <c r="MOA1573" s="866"/>
      <c r="MOB1573" s="866"/>
      <c r="MOC1573" s="866"/>
      <c r="MOD1573" s="866"/>
      <c r="MOE1573" s="866"/>
      <c r="MOF1573" s="866"/>
      <c r="MOG1573" s="866"/>
      <c r="MOH1573" s="866"/>
      <c r="MOI1573" s="866"/>
      <c r="MOJ1573" s="866"/>
      <c r="MOK1573" s="866"/>
      <c r="MOL1573" s="866"/>
      <c r="MOM1573" s="866"/>
      <c r="MON1573" s="866"/>
      <c r="MOO1573" s="866"/>
      <c r="MOP1573" s="866"/>
      <c r="MOQ1573" s="866"/>
      <c r="MOR1573" s="866"/>
      <c r="MOS1573" s="866"/>
      <c r="MOT1573" s="866"/>
      <c r="MOU1573" s="866"/>
      <c r="MOV1573" s="866"/>
      <c r="MOW1573" s="866"/>
      <c r="MOX1573" s="866"/>
      <c r="MOY1573" s="866"/>
      <c r="MOZ1573" s="866"/>
      <c r="MPA1573" s="866"/>
      <c r="MPB1573" s="866"/>
      <c r="MPC1573" s="866"/>
      <c r="MPD1573" s="866"/>
      <c r="MPE1573" s="866"/>
      <c r="MPF1573" s="866"/>
      <c r="MPG1573" s="866"/>
      <c r="MPH1573" s="866"/>
      <c r="MPI1573" s="866"/>
      <c r="MPJ1573" s="866"/>
      <c r="MPK1573" s="866"/>
      <c r="MPL1573" s="866"/>
      <c r="MPM1573" s="866"/>
      <c r="MPN1573" s="866"/>
      <c r="MPO1573" s="866"/>
      <c r="MPP1573" s="866"/>
      <c r="MPQ1573" s="866"/>
      <c r="MPR1573" s="866"/>
      <c r="MPS1573" s="866"/>
      <c r="MPT1573" s="866"/>
      <c r="MPU1573" s="866"/>
      <c r="MPV1573" s="866"/>
      <c r="MPW1573" s="866"/>
      <c r="MPX1573" s="866"/>
      <c r="MPY1573" s="866"/>
      <c r="MPZ1573" s="866"/>
      <c r="MQA1573" s="866"/>
      <c r="MQB1573" s="866"/>
      <c r="MQC1573" s="866"/>
      <c r="MQD1573" s="866"/>
      <c r="MQE1573" s="866"/>
      <c r="MQF1573" s="866"/>
      <c r="MQG1573" s="866"/>
      <c r="MQH1573" s="866"/>
      <c r="MQI1573" s="866"/>
      <c r="MQJ1573" s="866"/>
      <c r="MQK1573" s="866"/>
      <c r="MQL1573" s="866"/>
      <c r="MQM1573" s="866"/>
      <c r="MQN1573" s="866"/>
      <c r="MQO1573" s="866"/>
      <c r="MQP1573" s="866"/>
      <c r="MQQ1573" s="866"/>
      <c r="MQR1573" s="866"/>
      <c r="MQS1573" s="866"/>
      <c r="MQT1573" s="866"/>
      <c r="MQU1573" s="866"/>
      <c r="MQV1573" s="866"/>
      <c r="MQW1573" s="866"/>
      <c r="MQX1573" s="866"/>
      <c r="MQY1573" s="866"/>
      <c r="MQZ1573" s="866"/>
      <c r="MRA1573" s="866"/>
      <c r="MRB1573" s="866"/>
      <c r="MRC1573" s="866"/>
      <c r="MRD1573" s="866"/>
      <c r="MRE1573" s="866"/>
      <c r="MRF1573" s="866"/>
      <c r="MRG1573" s="866"/>
      <c r="MRH1573" s="866"/>
      <c r="MRI1573" s="866"/>
      <c r="MRJ1573" s="866"/>
      <c r="MRK1573" s="866"/>
      <c r="MRL1573" s="866"/>
      <c r="MRM1573" s="866"/>
      <c r="MRN1573" s="866"/>
      <c r="MRO1573" s="866"/>
      <c r="MRP1573" s="866"/>
      <c r="MRQ1573" s="866"/>
      <c r="MRR1573" s="866"/>
      <c r="MRS1573" s="866"/>
      <c r="MRT1573" s="866"/>
      <c r="MRU1573" s="866"/>
      <c r="MRV1573" s="866"/>
      <c r="MRW1573" s="866"/>
      <c r="MRX1573" s="866"/>
      <c r="MRY1573" s="866"/>
      <c r="MRZ1573" s="866"/>
      <c r="MSA1573" s="866"/>
      <c r="MSB1573" s="866"/>
      <c r="MSC1573" s="866"/>
      <c r="MSD1573" s="866"/>
      <c r="MSE1573" s="866"/>
      <c r="MSF1573" s="866"/>
      <c r="MSG1573" s="866"/>
      <c r="MSH1573" s="866"/>
      <c r="MSI1573" s="866"/>
      <c r="MSJ1573" s="866"/>
      <c r="MSK1573" s="866"/>
      <c r="MSL1573" s="866"/>
      <c r="MSM1573" s="866"/>
      <c r="MSN1573" s="866"/>
      <c r="MSO1573" s="866"/>
      <c r="MSP1573" s="866"/>
      <c r="MSQ1573" s="866"/>
      <c r="MSR1573" s="866"/>
      <c r="MSS1573" s="866"/>
      <c r="MST1573" s="866"/>
      <c r="MSU1573" s="866"/>
      <c r="MSV1573" s="866"/>
      <c r="MSW1573" s="866"/>
      <c r="MSX1573" s="866"/>
      <c r="MSY1573" s="866"/>
      <c r="MSZ1573" s="866"/>
      <c r="MTA1573" s="866"/>
      <c r="MTB1573" s="866"/>
      <c r="MTC1573" s="866"/>
      <c r="MTD1573" s="866"/>
      <c r="MTE1573" s="866"/>
      <c r="MTF1573" s="866"/>
      <c r="MTG1573" s="866"/>
      <c r="MTH1573" s="866"/>
      <c r="MTI1573" s="866"/>
      <c r="MTJ1573" s="866"/>
      <c r="MTK1573" s="866"/>
      <c r="MTL1573" s="866"/>
      <c r="MTM1573" s="866"/>
      <c r="MTN1573" s="866"/>
      <c r="MTO1573" s="866"/>
      <c r="MTP1573" s="866"/>
      <c r="MTQ1573" s="866"/>
      <c r="MTR1573" s="866"/>
      <c r="MTS1573" s="866"/>
      <c r="MTT1573" s="866"/>
      <c r="MTU1573" s="866"/>
      <c r="MTV1573" s="866"/>
      <c r="MTW1573" s="866"/>
      <c r="MTX1573" s="866"/>
      <c r="MTY1573" s="866"/>
      <c r="MTZ1573" s="866"/>
      <c r="MUA1573" s="866"/>
      <c r="MUB1573" s="866"/>
      <c r="MUC1573" s="866"/>
      <c r="MUD1573" s="866"/>
      <c r="MUE1573" s="866"/>
      <c r="MUF1573" s="866"/>
      <c r="MUG1573" s="866"/>
      <c r="MUH1573" s="866"/>
      <c r="MUI1573" s="866"/>
      <c r="MUJ1573" s="866"/>
      <c r="MUK1573" s="866"/>
      <c r="MUL1573" s="866"/>
      <c r="MUM1573" s="866"/>
      <c r="MUN1573" s="866"/>
      <c r="MUO1573" s="866"/>
      <c r="MUP1573" s="866"/>
      <c r="MUQ1573" s="866"/>
      <c r="MUR1573" s="866"/>
      <c r="MUS1573" s="866"/>
      <c r="MUT1573" s="866"/>
      <c r="MUU1573" s="866"/>
      <c r="MUV1573" s="866"/>
      <c r="MUW1573" s="866"/>
      <c r="MUX1573" s="866"/>
      <c r="MUY1573" s="866"/>
      <c r="MUZ1573" s="866"/>
      <c r="MVA1573" s="866"/>
      <c r="MVB1573" s="866"/>
      <c r="MVC1573" s="866"/>
      <c r="MVD1573" s="866"/>
      <c r="MVE1573" s="866"/>
      <c r="MVF1573" s="866"/>
      <c r="MVG1573" s="866"/>
      <c r="MVH1573" s="866"/>
      <c r="MVI1573" s="866"/>
      <c r="MVJ1573" s="866"/>
      <c r="MVK1573" s="866"/>
      <c r="MVL1573" s="866"/>
      <c r="MVM1573" s="866"/>
      <c r="MVN1573" s="866"/>
      <c r="MVO1573" s="866"/>
      <c r="MVP1573" s="866"/>
      <c r="MVQ1573" s="866"/>
      <c r="MVR1573" s="866"/>
      <c r="MVS1573" s="866"/>
      <c r="MVT1573" s="866"/>
      <c r="MVU1573" s="866"/>
      <c r="MVV1573" s="866"/>
      <c r="MVW1573" s="866"/>
      <c r="MVX1573" s="866"/>
      <c r="MVY1573" s="866"/>
      <c r="MVZ1573" s="866"/>
      <c r="MWA1573" s="866"/>
      <c r="MWB1573" s="866"/>
      <c r="MWC1573" s="866"/>
      <c r="MWD1573" s="866"/>
      <c r="MWE1573" s="866"/>
      <c r="MWF1573" s="866"/>
      <c r="MWG1573" s="866"/>
      <c r="MWH1573" s="866"/>
      <c r="MWI1573" s="866"/>
      <c r="MWJ1573" s="866"/>
      <c r="MWK1573" s="866"/>
      <c r="MWL1573" s="866"/>
      <c r="MWM1573" s="866"/>
      <c r="MWN1573" s="866"/>
      <c r="MWO1573" s="866"/>
      <c r="MWP1573" s="866"/>
      <c r="MWQ1573" s="866"/>
      <c r="MWR1573" s="866"/>
      <c r="MWS1573" s="866"/>
      <c r="MWT1573" s="866"/>
      <c r="MWU1573" s="866"/>
      <c r="MWV1573" s="866"/>
      <c r="MWW1573" s="866"/>
      <c r="MWX1573" s="866"/>
      <c r="MWY1573" s="866"/>
      <c r="MWZ1573" s="866"/>
      <c r="MXA1573" s="866"/>
      <c r="MXB1573" s="866"/>
      <c r="MXC1573" s="866"/>
      <c r="MXD1573" s="866"/>
      <c r="MXE1573" s="866"/>
      <c r="MXF1573" s="866"/>
      <c r="MXG1573" s="866"/>
      <c r="MXH1573" s="866"/>
      <c r="MXI1573" s="866"/>
      <c r="MXJ1573" s="866"/>
      <c r="MXK1573" s="866"/>
      <c r="MXL1573" s="866"/>
      <c r="MXM1573" s="866"/>
      <c r="MXN1573" s="866"/>
      <c r="MXO1573" s="866"/>
      <c r="MXP1573" s="866"/>
      <c r="MXQ1573" s="866"/>
      <c r="MXR1573" s="866"/>
      <c r="MXS1573" s="866"/>
      <c r="MXT1573" s="866"/>
      <c r="MXU1573" s="866"/>
      <c r="MXV1573" s="866"/>
      <c r="MXW1573" s="866"/>
      <c r="MXX1573" s="866"/>
      <c r="MXY1573" s="866"/>
      <c r="MXZ1573" s="866"/>
      <c r="MYA1573" s="866"/>
      <c r="MYB1573" s="866"/>
      <c r="MYC1573" s="866"/>
      <c r="MYD1573" s="866"/>
      <c r="MYE1573" s="866"/>
      <c r="MYF1573" s="866"/>
      <c r="MYG1573" s="866"/>
      <c r="MYH1573" s="866"/>
      <c r="MYI1573" s="866"/>
      <c r="MYJ1573" s="866"/>
      <c r="MYK1573" s="866"/>
      <c r="MYL1573" s="866"/>
      <c r="MYM1573" s="866"/>
      <c r="MYN1573" s="866"/>
      <c r="MYO1573" s="866"/>
      <c r="MYP1573" s="866"/>
      <c r="MYQ1573" s="866"/>
      <c r="MYR1573" s="866"/>
      <c r="MYS1573" s="866"/>
      <c r="MYT1573" s="866"/>
      <c r="MYU1573" s="866"/>
      <c r="MYV1573" s="866"/>
      <c r="MYW1573" s="866"/>
      <c r="MYX1573" s="866"/>
      <c r="MYY1573" s="866"/>
      <c r="MYZ1573" s="866"/>
      <c r="MZA1573" s="866"/>
      <c r="MZB1573" s="866"/>
      <c r="MZC1573" s="866"/>
      <c r="MZD1573" s="866"/>
      <c r="MZE1573" s="866"/>
      <c r="MZF1573" s="866"/>
      <c r="MZG1573" s="866"/>
      <c r="MZH1573" s="866"/>
      <c r="MZI1573" s="866"/>
      <c r="MZJ1573" s="866"/>
      <c r="MZK1573" s="866"/>
      <c r="MZL1573" s="866"/>
      <c r="MZM1573" s="866"/>
      <c r="MZN1573" s="866"/>
      <c r="MZO1573" s="866"/>
      <c r="MZP1573" s="866"/>
      <c r="MZQ1573" s="866"/>
      <c r="MZR1573" s="866"/>
      <c r="MZS1573" s="866"/>
      <c r="MZT1573" s="866"/>
      <c r="MZU1573" s="866"/>
      <c r="MZV1573" s="866"/>
      <c r="MZW1573" s="866"/>
      <c r="MZX1573" s="866"/>
      <c r="MZY1573" s="866"/>
      <c r="MZZ1573" s="866"/>
      <c r="NAA1573" s="866"/>
      <c r="NAB1573" s="866"/>
      <c r="NAC1573" s="866"/>
      <c r="NAD1573" s="866"/>
      <c r="NAE1573" s="866"/>
      <c r="NAF1573" s="866"/>
      <c r="NAG1573" s="866"/>
      <c r="NAH1573" s="866"/>
      <c r="NAI1573" s="866"/>
      <c r="NAJ1573" s="866"/>
      <c r="NAK1573" s="866"/>
      <c r="NAL1573" s="866"/>
      <c r="NAM1573" s="866"/>
      <c r="NAN1573" s="866"/>
      <c r="NAO1573" s="866"/>
      <c r="NAP1573" s="866"/>
      <c r="NAQ1573" s="866"/>
      <c r="NAR1573" s="866"/>
      <c r="NAS1573" s="866"/>
      <c r="NAT1573" s="866"/>
      <c r="NAU1573" s="866"/>
      <c r="NAV1573" s="866"/>
      <c r="NAW1573" s="866"/>
      <c r="NAX1573" s="866"/>
      <c r="NAY1573" s="866"/>
      <c r="NAZ1573" s="866"/>
      <c r="NBA1573" s="866"/>
      <c r="NBB1573" s="866"/>
      <c r="NBC1573" s="866"/>
      <c r="NBD1573" s="866"/>
      <c r="NBE1573" s="866"/>
      <c r="NBF1573" s="866"/>
      <c r="NBG1573" s="866"/>
      <c r="NBH1573" s="866"/>
      <c r="NBI1573" s="866"/>
      <c r="NBJ1573" s="866"/>
      <c r="NBK1573" s="866"/>
      <c r="NBL1573" s="866"/>
      <c r="NBM1573" s="866"/>
      <c r="NBN1573" s="866"/>
      <c r="NBO1573" s="866"/>
      <c r="NBP1573" s="866"/>
      <c r="NBQ1573" s="866"/>
      <c r="NBR1573" s="866"/>
      <c r="NBS1573" s="866"/>
      <c r="NBT1573" s="866"/>
      <c r="NBU1573" s="866"/>
      <c r="NBV1573" s="866"/>
      <c r="NBW1573" s="866"/>
      <c r="NBX1573" s="866"/>
      <c r="NBY1573" s="866"/>
      <c r="NBZ1573" s="866"/>
      <c r="NCA1573" s="866"/>
      <c r="NCB1573" s="866"/>
      <c r="NCC1573" s="866"/>
      <c r="NCD1573" s="866"/>
      <c r="NCE1573" s="866"/>
      <c r="NCF1573" s="866"/>
      <c r="NCG1573" s="866"/>
      <c r="NCH1573" s="866"/>
      <c r="NCI1573" s="866"/>
      <c r="NCJ1573" s="866"/>
      <c r="NCK1573" s="866"/>
      <c r="NCL1573" s="866"/>
      <c r="NCM1573" s="866"/>
      <c r="NCN1573" s="866"/>
      <c r="NCO1573" s="866"/>
      <c r="NCP1573" s="866"/>
      <c r="NCQ1573" s="866"/>
      <c r="NCR1573" s="866"/>
      <c r="NCS1573" s="866"/>
      <c r="NCT1573" s="866"/>
      <c r="NCU1573" s="866"/>
      <c r="NCV1573" s="866"/>
      <c r="NCW1573" s="866"/>
      <c r="NCX1573" s="866"/>
      <c r="NCY1573" s="866"/>
      <c r="NCZ1573" s="866"/>
      <c r="NDA1573" s="866"/>
      <c r="NDB1573" s="866"/>
      <c r="NDC1573" s="866"/>
      <c r="NDD1573" s="866"/>
      <c r="NDE1573" s="866"/>
      <c r="NDF1573" s="866"/>
      <c r="NDG1573" s="866"/>
      <c r="NDH1573" s="866"/>
      <c r="NDI1573" s="866"/>
      <c r="NDJ1573" s="866"/>
      <c r="NDK1573" s="866"/>
      <c r="NDL1573" s="866"/>
      <c r="NDM1573" s="866"/>
      <c r="NDN1573" s="866"/>
      <c r="NDO1573" s="866"/>
      <c r="NDP1573" s="866"/>
      <c r="NDQ1573" s="866"/>
      <c r="NDR1573" s="866"/>
      <c r="NDS1573" s="866"/>
      <c r="NDT1573" s="866"/>
      <c r="NDU1573" s="866"/>
      <c r="NDV1573" s="866"/>
      <c r="NDW1573" s="866"/>
      <c r="NDX1573" s="866"/>
      <c r="NDY1573" s="866"/>
      <c r="NDZ1573" s="866"/>
      <c r="NEA1573" s="866"/>
      <c r="NEB1573" s="866"/>
      <c r="NEC1573" s="866"/>
      <c r="NED1573" s="866"/>
      <c r="NEE1573" s="866"/>
      <c r="NEF1573" s="866"/>
      <c r="NEG1573" s="866"/>
      <c r="NEH1573" s="866"/>
      <c r="NEI1573" s="866"/>
      <c r="NEJ1573" s="866"/>
      <c r="NEK1573" s="866"/>
      <c r="NEL1573" s="866"/>
      <c r="NEM1573" s="866"/>
      <c r="NEN1573" s="866"/>
      <c r="NEO1573" s="866"/>
      <c r="NEP1573" s="866"/>
      <c r="NEQ1573" s="866"/>
      <c r="NER1573" s="866"/>
      <c r="NES1573" s="866"/>
      <c r="NET1573" s="866"/>
      <c r="NEU1573" s="866"/>
      <c r="NEV1573" s="866"/>
      <c r="NEW1573" s="866"/>
      <c r="NEX1573" s="866"/>
      <c r="NEY1573" s="866"/>
      <c r="NEZ1573" s="866"/>
      <c r="NFA1573" s="866"/>
      <c r="NFB1573" s="866"/>
      <c r="NFC1573" s="866"/>
      <c r="NFD1573" s="866"/>
      <c r="NFE1573" s="866"/>
      <c r="NFF1573" s="866"/>
      <c r="NFG1573" s="866"/>
      <c r="NFH1573" s="866"/>
      <c r="NFI1573" s="866"/>
      <c r="NFJ1573" s="866"/>
      <c r="NFK1573" s="866"/>
      <c r="NFL1573" s="866"/>
      <c r="NFM1573" s="866"/>
      <c r="NFN1573" s="866"/>
      <c r="NFO1573" s="866"/>
      <c r="NFP1573" s="866"/>
      <c r="NFQ1573" s="866"/>
      <c r="NFR1573" s="866"/>
      <c r="NFS1573" s="866"/>
      <c r="NFT1573" s="866"/>
      <c r="NFU1573" s="866"/>
      <c r="NFV1573" s="866"/>
      <c r="NFW1573" s="866"/>
      <c r="NFX1573" s="866"/>
      <c r="NFY1573" s="866"/>
      <c r="NFZ1573" s="866"/>
      <c r="NGA1573" s="866"/>
      <c r="NGB1573" s="866"/>
      <c r="NGC1573" s="866"/>
      <c r="NGD1573" s="866"/>
      <c r="NGE1573" s="866"/>
      <c r="NGF1573" s="866"/>
      <c r="NGG1573" s="866"/>
      <c r="NGH1573" s="866"/>
      <c r="NGI1573" s="866"/>
      <c r="NGJ1573" s="866"/>
      <c r="NGK1573" s="866"/>
      <c r="NGL1573" s="866"/>
      <c r="NGM1573" s="866"/>
      <c r="NGN1573" s="866"/>
      <c r="NGO1573" s="866"/>
      <c r="NGP1573" s="866"/>
      <c r="NGQ1573" s="866"/>
      <c r="NGR1573" s="866"/>
      <c r="NGS1573" s="866"/>
      <c r="NGT1573" s="866"/>
      <c r="NGU1573" s="866"/>
      <c r="NGV1573" s="866"/>
      <c r="NGW1573" s="866"/>
      <c r="NGX1573" s="866"/>
      <c r="NGY1573" s="866"/>
      <c r="NGZ1573" s="866"/>
      <c r="NHA1573" s="866"/>
      <c r="NHB1573" s="866"/>
      <c r="NHC1573" s="866"/>
      <c r="NHD1573" s="866"/>
      <c r="NHE1573" s="866"/>
      <c r="NHF1573" s="866"/>
      <c r="NHG1573" s="866"/>
      <c r="NHH1573" s="866"/>
      <c r="NHI1573" s="866"/>
      <c r="NHJ1573" s="866"/>
      <c r="NHK1573" s="866"/>
      <c r="NHL1573" s="866"/>
      <c r="NHM1573" s="866"/>
      <c r="NHN1573" s="866"/>
      <c r="NHO1573" s="866"/>
      <c r="NHP1573" s="866"/>
      <c r="NHQ1573" s="866"/>
      <c r="NHR1573" s="866"/>
      <c r="NHS1573" s="866"/>
      <c r="NHT1573" s="866"/>
      <c r="NHU1573" s="866"/>
      <c r="NHV1573" s="866"/>
      <c r="NHW1573" s="866"/>
      <c r="NHX1573" s="866"/>
      <c r="NHY1573" s="866"/>
      <c r="NHZ1573" s="866"/>
      <c r="NIA1573" s="866"/>
      <c r="NIB1573" s="866"/>
      <c r="NIC1573" s="866"/>
      <c r="NID1573" s="866"/>
      <c r="NIE1573" s="866"/>
      <c r="NIF1573" s="866"/>
      <c r="NIG1573" s="866"/>
      <c r="NIH1573" s="866"/>
      <c r="NII1573" s="866"/>
      <c r="NIJ1573" s="866"/>
      <c r="NIK1573" s="866"/>
      <c r="NIL1573" s="866"/>
      <c r="NIM1573" s="866"/>
      <c r="NIN1573" s="866"/>
      <c r="NIO1573" s="866"/>
      <c r="NIP1573" s="866"/>
      <c r="NIQ1573" s="866"/>
      <c r="NIR1573" s="866"/>
      <c r="NIS1573" s="866"/>
      <c r="NIT1573" s="866"/>
      <c r="NIU1573" s="866"/>
      <c r="NIV1573" s="866"/>
      <c r="NIW1573" s="866"/>
      <c r="NIX1573" s="866"/>
      <c r="NIY1573" s="866"/>
      <c r="NIZ1573" s="866"/>
      <c r="NJA1573" s="866"/>
      <c r="NJB1573" s="866"/>
      <c r="NJC1573" s="866"/>
      <c r="NJD1573" s="866"/>
      <c r="NJE1573" s="866"/>
      <c r="NJF1573" s="866"/>
      <c r="NJG1573" s="866"/>
      <c r="NJH1573" s="866"/>
      <c r="NJI1573" s="866"/>
      <c r="NJJ1573" s="866"/>
      <c r="NJK1573" s="866"/>
      <c r="NJL1573" s="866"/>
      <c r="NJM1573" s="866"/>
      <c r="NJN1573" s="866"/>
      <c r="NJO1573" s="866"/>
      <c r="NJP1573" s="866"/>
      <c r="NJQ1573" s="866"/>
      <c r="NJR1573" s="866"/>
      <c r="NJS1573" s="866"/>
      <c r="NJT1573" s="866"/>
      <c r="NJU1573" s="866"/>
      <c r="NJV1573" s="866"/>
      <c r="NJW1573" s="866"/>
      <c r="NJX1573" s="866"/>
      <c r="NJY1573" s="866"/>
      <c r="NJZ1573" s="866"/>
      <c r="NKA1573" s="866"/>
      <c r="NKB1573" s="866"/>
      <c r="NKC1573" s="866"/>
      <c r="NKD1573" s="866"/>
      <c r="NKE1573" s="866"/>
      <c r="NKF1573" s="866"/>
      <c r="NKG1573" s="866"/>
      <c r="NKH1573" s="866"/>
      <c r="NKI1573" s="866"/>
      <c r="NKJ1573" s="866"/>
      <c r="NKK1573" s="866"/>
      <c r="NKL1573" s="866"/>
      <c r="NKM1573" s="866"/>
      <c r="NKN1573" s="866"/>
      <c r="NKO1573" s="866"/>
      <c r="NKP1573" s="866"/>
      <c r="NKQ1573" s="866"/>
      <c r="NKR1573" s="866"/>
      <c r="NKS1573" s="866"/>
      <c r="NKT1573" s="866"/>
      <c r="NKU1573" s="866"/>
      <c r="NKV1573" s="866"/>
      <c r="NKW1573" s="866"/>
      <c r="NKX1573" s="866"/>
      <c r="NKY1573" s="866"/>
      <c r="NKZ1573" s="866"/>
      <c r="NLA1573" s="866"/>
      <c r="NLB1573" s="866"/>
      <c r="NLC1573" s="866"/>
      <c r="NLD1573" s="866"/>
      <c r="NLE1573" s="866"/>
      <c r="NLF1573" s="866"/>
      <c r="NLG1573" s="866"/>
      <c r="NLH1573" s="866"/>
      <c r="NLI1573" s="866"/>
      <c r="NLJ1573" s="866"/>
      <c r="NLK1573" s="866"/>
      <c r="NLL1573" s="866"/>
      <c r="NLM1573" s="866"/>
      <c r="NLN1573" s="866"/>
      <c r="NLO1573" s="866"/>
      <c r="NLP1573" s="866"/>
      <c r="NLQ1573" s="866"/>
      <c r="NLR1573" s="866"/>
      <c r="NLS1573" s="866"/>
      <c r="NLT1573" s="866"/>
      <c r="NLU1573" s="866"/>
      <c r="NLV1573" s="866"/>
      <c r="NLW1573" s="866"/>
      <c r="NLX1573" s="866"/>
      <c r="NLY1573" s="866"/>
      <c r="NLZ1573" s="866"/>
      <c r="NMA1573" s="866"/>
      <c r="NMB1573" s="866"/>
      <c r="NMC1573" s="866"/>
      <c r="NMD1573" s="866"/>
      <c r="NME1573" s="866"/>
      <c r="NMF1573" s="866"/>
      <c r="NMG1573" s="866"/>
      <c r="NMH1573" s="866"/>
      <c r="NMI1573" s="866"/>
      <c r="NMJ1573" s="866"/>
      <c r="NMK1573" s="866"/>
      <c r="NML1573" s="866"/>
      <c r="NMM1573" s="866"/>
      <c r="NMN1573" s="866"/>
      <c r="NMO1573" s="866"/>
      <c r="NMP1573" s="866"/>
      <c r="NMQ1573" s="866"/>
      <c r="NMR1573" s="866"/>
      <c r="NMS1573" s="866"/>
      <c r="NMT1573" s="866"/>
      <c r="NMU1573" s="866"/>
      <c r="NMV1573" s="866"/>
      <c r="NMW1573" s="866"/>
      <c r="NMX1573" s="866"/>
      <c r="NMY1573" s="866"/>
      <c r="NMZ1573" s="866"/>
      <c r="NNA1573" s="866"/>
      <c r="NNB1573" s="866"/>
      <c r="NNC1573" s="866"/>
      <c r="NND1573" s="866"/>
      <c r="NNE1573" s="866"/>
      <c r="NNF1573" s="866"/>
      <c r="NNG1573" s="866"/>
      <c r="NNH1573" s="866"/>
      <c r="NNI1573" s="866"/>
      <c r="NNJ1573" s="866"/>
      <c r="NNK1573" s="866"/>
      <c r="NNL1573" s="866"/>
      <c r="NNM1573" s="866"/>
      <c r="NNN1573" s="866"/>
      <c r="NNO1573" s="866"/>
      <c r="NNP1573" s="866"/>
      <c r="NNQ1573" s="866"/>
      <c r="NNR1573" s="866"/>
      <c r="NNS1573" s="866"/>
      <c r="NNT1573" s="866"/>
      <c r="NNU1573" s="866"/>
      <c r="NNV1573" s="866"/>
      <c r="NNW1573" s="866"/>
      <c r="NNX1573" s="866"/>
      <c r="NNY1573" s="866"/>
      <c r="NNZ1573" s="866"/>
      <c r="NOA1573" s="866"/>
      <c r="NOB1573" s="866"/>
      <c r="NOC1573" s="866"/>
      <c r="NOD1573" s="866"/>
      <c r="NOE1573" s="866"/>
      <c r="NOF1573" s="866"/>
      <c r="NOG1573" s="866"/>
      <c r="NOH1573" s="866"/>
      <c r="NOI1573" s="866"/>
      <c r="NOJ1573" s="866"/>
      <c r="NOK1573" s="866"/>
      <c r="NOL1573" s="866"/>
      <c r="NOM1573" s="866"/>
      <c r="NON1573" s="866"/>
      <c r="NOO1573" s="866"/>
      <c r="NOP1573" s="866"/>
      <c r="NOQ1573" s="866"/>
      <c r="NOR1573" s="866"/>
      <c r="NOS1573" s="866"/>
      <c r="NOT1573" s="866"/>
      <c r="NOU1573" s="866"/>
      <c r="NOV1573" s="866"/>
      <c r="NOW1573" s="866"/>
      <c r="NOX1573" s="866"/>
      <c r="NOY1573" s="866"/>
      <c r="NOZ1573" s="866"/>
      <c r="NPA1573" s="866"/>
      <c r="NPB1573" s="866"/>
      <c r="NPC1573" s="866"/>
      <c r="NPD1573" s="866"/>
      <c r="NPE1573" s="866"/>
      <c r="NPF1573" s="866"/>
      <c r="NPG1573" s="866"/>
      <c r="NPH1573" s="866"/>
      <c r="NPI1573" s="866"/>
      <c r="NPJ1573" s="866"/>
      <c r="NPK1573" s="866"/>
      <c r="NPL1573" s="866"/>
      <c r="NPM1573" s="866"/>
      <c r="NPN1573" s="866"/>
      <c r="NPO1573" s="866"/>
      <c r="NPP1573" s="866"/>
      <c r="NPQ1573" s="866"/>
      <c r="NPR1573" s="866"/>
      <c r="NPS1573" s="866"/>
      <c r="NPT1573" s="866"/>
      <c r="NPU1573" s="866"/>
      <c r="NPV1573" s="866"/>
      <c r="NPW1573" s="866"/>
      <c r="NPX1573" s="866"/>
      <c r="NPY1573" s="866"/>
      <c r="NPZ1573" s="866"/>
      <c r="NQA1573" s="866"/>
      <c r="NQB1573" s="866"/>
      <c r="NQC1573" s="866"/>
      <c r="NQD1573" s="866"/>
      <c r="NQE1573" s="866"/>
      <c r="NQF1573" s="866"/>
      <c r="NQG1573" s="866"/>
      <c r="NQH1573" s="866"/>
      <c r="NQI1573" s="866"/>
      <c r="NQJ1573" s="866"/>
      <c r="NQK1573" s="866"/>
      <c r="NQL1573" s="866"/>
      <c r="NQM1573" s="866"/>
      <c r="NQN1573" s="866"/>
      <c r="NQO1573" s="866"/>
      <c r="NQP1573" s="866"/>
      <c r="NQQ1573" s="866"/>
      <c r="NQR1573" s="866"/>
      <c r="NQS1573" s="866"/>
      <c r="NQT1573" s="866"/>
      <c r="NQU1573" s="866"/>
      <c r="NQV1573" s="866"/>
      <c r="NQW1573" s="866"/>
      <c r="NQX1573" s="866"/>
      <c r="NQY1573" s="866"/>
      <c r="NQZ1573" s="866"/>
      <c r="NRA1573" s="866"/>
      <c r="NRB1573" s="866"/>
      <c r="NRC1573" s="866"/>
      <c r="NRD1573" s="866"/>
      <c r="NRE1573" s="866"/>
      <c r="NRF1573" s="866"/>
      <c r="NRG1573" s="866"/>
      <c r="NRH1573" s="866"/>
      <c r="NRI1573" s="866"/>
      <c r="NRJ1573" s="866"/>
      <c r="NRK1573" s="866"/>
      <c r="NRL1573" s="866"/>
      <c r="NRM1573" s="866"/>
      <c r="NRN1573" s="866"/>
      <c r="NRO1573" s="866"/>
      <c r="NRP1573" s="866"/>
      <c r="NRQ1573" s="866"/>
      <c r="NRR1573" s="866"/>
      <c r="NRS1573" s="866"/>
      <c r="NRT1573" s="866"/>
      <c r="NRU1573" s="866"/>
      <c r="NRV1573" s="866"/>
      <c r="NRW1573" s="866"/>
      <c r="NRX1573" s="866"/>
      <c r="NRY1573" s="866"/>
      <c r="NRZ1573" s="866"/>
      <c r="NSA1573" s="866"/>
      <c r="NSB1573" s="866"/>
      <c r="NSC1573" s="866"/>
      <c r="NSD1573" s="866"/>
      <c r="NSE1573" s="866"/>
      <c r="NSF1573" s="866"/>
      <c r="NSG1573" s="866"/>
      <c r="NSH1573" s="866"/>
      <c r="NSI1573" s="866"/>
      <c r="NSJ1573" s="866"/>
      <c r="NSK1573" s="866"/>
      <c r="NSL1573" s="866"/>
      <c r="NSM1573" s="866"/>
      <c r="NSN1573" s="866"/>
      <c r="NSO1573" s="866"/>
      <c r="NSP1573" s="866"/>
      <c r="NSQ1573" s="866"/>
      <c r="NSR1573" s="866"/>
      <c r="NSS1573" s="866"/>
      <c r="NST1573" s="866"/>
      <c r="NSU1573" s="866"/>
      <c r="NSV1573" s="866"/>
      <c r="NSW1573" s="866"/>
      <c r="NSX1573" s="866"/>
      <c r="NSY1573" s="866"/>
      <c r="NSZ1573" s="866"/>
      <c r="NTA1573" s="866"/>
      <c r="NTB1573" s="866"/>
      <c r="NTC1573" s="866"/>
      <c r="NTD1573" s="866"/>
      <c r="NTE1573" s="866"/>
      <c r="NTF1573" s="866"/>
      <c r="NTG1573" s="866"/>
      <c r="NTH1573" s="866"/>
      <c r="NTI1573" s="866"/>
      <c r="NTJ1573" s="866"/>
      <c r="NTK1573" s="866"/>
      <c r="NTL1573" s="866"/>
      <c r="NTM1573" s="866"/>
      <c r="NTN1573" s="866"/>
      <c r="NTO1573" s="866"/>
      <c r="NTP1573" s="866"/>
      <c r="NTQ1573" s="866"/>
      <c r="NTR1573" s="866"/>
      <c r="NTS1573" s="866"/>
      <c r="NTT1573" s="866"/>
      <c r="NTU1573" s="866"/>
      <c r="NTV1573" s="866"/>
      <c r="NTW1573" s="866"/>
      <c r="NTX1573" s="866"/>
      <c r="NTY1573" s="866"/>
      <c r="NTZ1573" s="866"/>
      <c r="NUA1573" s="866"/>
      <c r="NUB1573" s="866"/>
      <c r="NUC1573" s="866"/>
      <c r="NUD1573" s="866"/>
      <c r="NUE1573" s="866"/>
      <c r="NUF1573" s="866"/>
      <c r="NUG1573" s="866"/>
      <c r="NUH1573" s="866"/>
      <c r="NUI1573" s="866"/>
      <c r="NUJ1573" s="866"/>
      <c r="NUK1573" s="866"/>
      <c r="NUL1573" s="866"/>
      <c r="NUM1573" s="866"/>
      <c r="NUN1573" s="866"/>
      <c r="NUO1573" s="866"/>
      <c r="NUP1573" s="866"/>
      <c r="NUQ1573" s="866"/>
      <c r="NUR1573" s="866"/>
      <c r="NUS1573" s="866"/>
      <c r="NUT1573" s="866"/>
      <c r="NUU1573" s="866"/>
      <c r="NUV1573" s="866"/>
      <c r="NUW1573" s="866"/>
      <c r="NUX1573" s="866"/>
      <c r="NUY1573" s="866"/>
      <c r="NUZ1573" s="866"/>
      <c r="NVA1573" s="866"/>
      <c r="NVB1573" s="866"/>
      <c r="NVC1573" s="866"/>
      <c r="NVD1573" s="866"/>
      <c r="NVE1573" s="866"/>
      <c r="NVF1573" s="866"/>
      <c r="NVG1573" s="866"/>
      <c r="NVH1573" s="866"/>
      <c r="NVI1573" s="866"/>
      <c r="NVJ1573" s="866"/>
      <c r="NVK1573" s="866"/>
      <c r="NVL1573" s="866"/>
      <c r="NVM1573" s="866"/>
      <c r="NVN1573" s="866"/>
      <c r="NVO1573" s="866"/>
      <c r="NVP1573" s="866"/>
      <c r="NVQ1573" s="866"/>
      <c r="NVR1573" s="866"/>
      <c r="NVS1573" s="866"/>
      <c r="NVT1573" s="866"/>
      <c r="NVU1573" s="866"/>
      <c r="NVV1573" s="866"/>
      <c r="NVW1573" s="866"/>
      <c r="NVX1573" s="866"/>
      <c r="NVY1573" s="866"/>
      <c r="NVZ1573" s="866"/>
      <c r="NWA1573" s="866"/>
      <c r="NWB1573" s="866"/>
      <c r="NWC1573" s="866"/>
      <c r="NWD1573" s="866"/>
      <c r="NWE1573" s="866"/>
      <c r="NWF1573" s="866"/>
      <c r="NWG1573" s="866"/>
      <c r="NWH1573" s="866"/>
      <c r="NWI1573" s="866"/>
      <c r="NWJ1573" s="866"/>
      <c r="NWK1573" s="866"/>
      <c r="NWL1573" s="866"/>
      <c r="NWM1573" s="866"/>
      <c r="NWN1573" s="866"/>
      <c r="NWO1573" s="866"/>
      <c r="NWP1573" s="866"/>
      <c r="NWQ1573" s="866"/>
      <c r="NWR1573" s="866"/>
      <c r="NWS1573" s="866"/>
      <c r="NWT1573" s="866"/>
      <c r="NWU1573" s="866"/>
      <c r="NWV1573" s="866"/>
      <c r="NWW1573" s="866"/>
      <c r="NWX1573" s="866"/>
      <c r="NWY1573" s="866"/>
      <c r="NWZ1573" s="866"/>
      <c r="NXA1573" s="866"/>
      <c r="NXB1573" s="866"/>
      <c r="NXC1573" s="866"/>
      <c r="NXD1573" s="866"/>
      <c r="NXE1573" s="866"/>
      <c r="NXF1573" s="866"/>
      <c r="NXG1573" s="866"/>
      <c r="NXH1573" s="866"/>
      <c r="NXI1573" s="866"/>
      <c r="NXJ1573" s="866"/>
      <c r="NXK1573" s="866"/>
      <c r="NXL1573" s="866"/>
      <c r="NXM1573" s="866"/>
      <c r="NXN1573" s="866"/>
      <c r="NXO1573" s="866"/>
      <c r="NXP1573" s="866"/>
      <c r="NXQ1573" s="866"/>
      <c r="NXR1573" s="866"/>
      <c r="NXS1573" s="866"/>
      <c r="NXT1573" s="866"/>
      <c r="NXU1573" s="866"/>
      <c r="NXV1573" s="866"/>
      <c r="NXW1573" s="866"/>
      <c r="NXX1573" s="866"/>
      <c r="NXY1573" s="866"/>
      <c r="NXZ1573" s="866"/>
      <c r="NYA1573" s="866"/>
      <c r="NYB1573" s="866"/>
      <c r="NYC1573" s="866"/>
      <c r="NYD1573" s="866"/>
      <c r="NYE1573" s="866"/>
      <c r="NYF1573" s="866"/>
      <c r="NYG1573" s="866"/>
      <c r="NYH1573" s="866"/>
      <c r="NYI1573" s="866"/>
      <c r="NYJ1573" s="866"/>
      <c r="NYK1573" s="866"/>
      <c r="NYL1573" s="866"/>
      <c r="NYM1573" s="866"/>
      <c r="NYN1573" s="866"/>
      <c r="NYO1573" s="866"/>
      <c r="NYP1573" s="866"/>
      <c r="NYQ1573" s="866"/>
      <c r="NYR1573" s="866"/>
      <c r="NYS1573" s="866"/>
      <c r="NYT1573" s="866"/>
      <c r="NYU1573" s="866"/>
      <c r="NYV1573" s="866"/>
      <c r="NYW1573" s="866"/>
      <c r="NYX1573" s="866"/>
      <c r="NYY1573" s="866"/>
      <c r="NYZ1573" s="866"/>
      <c r="NZA1573" s="866"/>
      <c r="NZB1573" s="866"/>
      <c r="NZC1573" s="866"/>
      <c r="NZD1573" s="866"/>
      <c r="NZE1573" s="866"/>
      <c r="NZF1573" s="866"/>
      <c r="NZG1573" s="866"/>
      <c r="NZH1573" s="866"/>
      <c r="NZI1573" s="866"/>
      <c r="NZJ1573" s="866"/>
      <c r="NZK1573" s="866"/>
      <c r="NZL1573" s="866"/>
      <c r="NZM1573" s="866"/>
      <c r="NZN1573" s="866"/>
      <c r="NZO1573" s="866"/>
      <c r="NZP1573" s="866"/>
      <c r="NZQ1573" s="866"/>
      <c r="NZR1573" s="866"/>
      <c r="NZS1573" s="866"/>
      <c r="NZT1573" s="866"/>
      <c r="NZU1573" s="866"/>
      <c r="NZV1573" s="866"/>
      <c r="NZW1573" s="866"/>
      <c r="NZX1573" s="866"/>
      <c r="NZY1573" s="866"/>
      <c r="NZZ1573" s="866"/>
      <c r="OAA1573" s="866"/>
      <c r="OAB1573" s="866"/>
      <c r="OAC1573" s="866"/>
      <c r="OAD1573" s="866"/>
      <c r="OAE1573" s="866"/>
      <c r="OAF1573" s="866"/>
      <c r="OAG1573" s="866"/>
      <c r="OAH1573" s="866"/>
      <c r="OAI1573" s="866"/>
      <c r="OAJ1573" s="866"/>
      <c r="OAK1573" s="866"/>
      <c r="OAL1573" s="866"/>
      <c r="OAM1573" s="866"/>
      <c r="OAN1573" s="866"/>
      <c r="OAO1573" s="866"/>
      <c r="OAP1573" s="866"/>
      <c r="OAQ1573" s="866"/>
      <c r="OAR1573" s="866"/>
      <c r="OAS1573" s="866"/>
      <c r="OAT1573" s="866"/>
      <c r="OAU1573" s="866"/>
      <c r="OAV1573" s="866"/>
      <c r="OAW1573" s="866"/>
      <c r="OAX1573" s="866"/>
      <c r="OAY1573" s="866"/>
      <c r="OAZ1573" s="866"/>
      <c r="OBA1573" s="866"/>
      <c r="OBB1573" s="866"/>
      <c r="OBC1573" s="866"/>
      <c r="OBD1573" s="866"/>
      <c r="OBE1573" s="866"/>
      <c r="OBF1573" s="866"/>
      <c r="OBG1573" s="866"/>
      <c r="OBH1573" s="866"/>
      <c r="OBI1573" s="866"/>
      <c r="OBJ1573" s="866"/>
      <c r="OBK1573" s="866"/>
      <c r="OBL1573" s="866"/>
      <c r="OBM1573" s="866"/>
      <c r="OBN1573" s="866"/>
      <c r="OBO1573" s="866"/>
      <c r="OBP1573" s="866"/>
      <c r="OBQ1573" s="866"/>
      <c r="OBR1573" s="866"/>
      <c r="OBS1573" s="866"/>
      <c r="OBT1573" s="866"/>
      <c r="OBU1573" s="866"/>
      <c r="OBV1573" s="866"/>
      <c r="OBW1573" s="866"/>
      <c r="OBX1573" s="866"/>
      <c r="OBY1573" s="866"/>
      <c r="OBZ1573" s="866"/>
      <c r="OCA1573" s="866"/>
      <c r="OCB1573" s="866"/>
      <c r="OCC1573" s="866"/>
      <c r="OCD1573" s="866"/>
      <c r="OCE1573" s="866"/>
      <c r="OCF1573" s="866"/>
      <c r="OCG1573" s="866"/>
      <c r="OCH1573" s="866"/>
      <c r="OCI1573" s="866"/>
      <c r="OCJ1573" s="866"/>
      <c r="OCK1573" s="866"/>
      <c r="OCL1573" s="866"/>
      <c r="OCM1573" s="866"/>
      <c r="OCN1573" s="866"/>
      <c r="OCO1573" s="866"/>
      <c r="OCP1573" s="866"/>
      <c r="OCQ1573" s="866"/>
      <c r="OCR1573" s="866"/>
      <c r="OCS1573" s="866"/>
      <c r="OCT1573" s="866"/>
      <c r="OCU1573" s="866"/>
      <c r="OCV1573" s="866"/>
      <c r="OCW1573" s="866"/>
      <c r="OCX1573" s="866"/>
      <c r="OCY1573" s="866"/>
      <c r="OCZ1573" s="866"/>
      <c r="ODA1573" s="866"/>
      <c r="ODB1573" s="866"/>
      <c r="ODC1573" s="866"/>
      <c r="ODD1573" s="866"/>
      <c r="ODE1573" s="866"/>
      <c r="ODF1573" s="866"/>
      <c r="ODG1573" s="866"/>
      <c r="ODH1573" s="866"/>
      <c r="ODI1573" s="866"/>
      <c r="ODJ1573" s="866"/>
      <c r="ODK1573" s="866"/>
      <c r="ODL1573" s="866"/>
      <c r="ODM1573" s="866"/>
      <c r="ODN1573" s="866"/>
      <c r="ODO1573" s="866"/>
      <c r="ODP1573" s="866"/>
      <c r="ODQ1573" s="866"/>
      <c r="ODR1573" s="866"/>
      <c r="ODS1573" s="866"/>
      <c r="ODT1573" s="866"/>
      <c r="ODU1573" s="866"/>
      <c r="ODV1573" s="866"/>
      <c r="ODW1573" s="866"/>
      <c r="ODX1573" s="866"/>
      <c r="ODY1573" s="866"/>
      <c r="ODZ1573" s="866"/>
      <c r="OEA1573" s="866"/>
      <c r="OEB1573" s="866"/>
      <c r="OEC1573" s="866"/>
      <c r="OED1573" s="866"/>
      <c r="OEE1573" s="866"/>
      <c r="OEF1573" s="866"/>
      <c r="OEG1573" s="866"/>
      <c r="OEH1573" s="866"/>
      <c r="OEI1573" s="866"/>
      <c r="OEJ1573" s="866"/>
      <c r="OEK1573" s="866"/>
      <c r="OEL1573" s="866"/>
      <c r="OEM1573" s="866"/>
      <c r="OEN1573" s="866"/>
      <c r="OEO1573" s="866"/>
      <c r="OEP1573" s="866"/>
      <c r="OEQ1573" s="866"/>
      <c r="OER1573" s="866"/>
      <c r="OES1573" s="866"/>
      <c r="OET1573" s="866"/>
      <c r="OEU1573" s="866"/>
      <c r="OEV1573" s="866"/>
      <c r="OEW1573" s="866"/>
      <c r="OEX1573" s="866"/>
      <c r="OEY1573" s="866"/>
      <c r="OEZ1573" s="866"/>
      <c r="OFA1573" s="866"/>
      <c r="OFB1573" s="866"/>
      <c r="OFC1573" s="866"/>
      <c r="OFD1573" s="866"/>
      <c r="OFE1573" s="866"/>
      <c r="OFF1573" s="866"/>
      <c r="OFG1573" s="866"/>
      <c r="OFH1573" s="866"/>
      <c r="OFI1573" s="866"/>
      <c r="OFJ1573" s="866"/>
      <c r="OFK1573" s="866"/>
      <c r="OFL1573" s="866"/>
      <c r="OFM1573" s="866"/>
      <c r="OFN1573" s="866"/>
      <c r="OFO1573" s="866"/>
      <c r="OFP1573" s="866"/>
      <c r="OFQ1573" s="866"/>
      <c r="OFR1573" s="866"/>
      <c r="OFS1573" s="866"/>
      <c r="OFT1573" s="866"/>
      <c r="OFU1573" s="866"/>
      <c r="OFV1573" s="866"/>
      <c r="OFW1573" s="866"/>
      <c r="OFX1573" s="866"/>
      <c r="OFY1573" s="866"/>
      <c r="OFZ1573" s="866"/>
      <c r="OGA1573" s="866"/>
      <c r="OGB1573" s="866"/>
      <c r="OGC1573" s="866"/>
      <c r="OGD1573" s="866"/>
      <c r="OGE1573" s="866"/>
      <c r="OGF1573" s="866"/>
      <c r="OGG1573" s="866"/>
      <c r="OGH1573" s="866"/>
      <c r="OGI1573" s="866"/>
      <c r="OGJ1573" s="866"/>
      <c r="OGK1573" s="866"/>
      <c r="OGL1573" s="866"/>
      <c r="OGM1573" s="866"/>
      <c r="OGN1573" s="866"/>
      <c r="OGO1573" s="866"/>
      <c r="OGP1573" s="866"/>
      <c r="OGQ1573" s="866"/>
      <c r="OGR1573" s="866"/>
      <c r="OGS1573" s="866"/>
      <c r="OGT1573" s="866"/>
      <c r="OGU1573" s="866"/>
      <c r="OGV1573" s="866"/>
      <c r="OGW1573" s="866"/>
      <c r="OGX1573" s="866"/>
      <c r="OGY1573" s="866"/>
      <c r="OGZ1573" s="866"/>
      <c r="OHA1573" s="866"/>
      <c r="OHB1573" s="866"/>
      <c r="OHC1573" s="866"/>
      <c r="OHD1573" s="866"/>
      <c r="OHE1573" s="866"/>
      <c r="OHF1573" s="866"/>
      <c r="OHG1573" s="866"/>
      <c r="OHH1573" s="866"/>
      <c r="OHI1573" s="866"/>
      <c r="OHJ1573" s="866"/>
      <c r="OHK1573" s="866"/>
      <c r="OHL1573" s="866"/>
      <c r="OHM1573" s="866"/>
      <c r="OHN1573" s="866"/>
      <c r="OHO1573" s="866"/>
      <c r="OHP1573" s="866"/>
      <c r="OHQ1573" s="866"/>
      <c r="OHR1573" s="866"/>
      <c r="OHS1573" s="866"/>
      <c r="OHT1573" s="866"/>
      <c r="OHU1573" s="866"/>
      <c r="OHV1573" s="866"/>
      <c r="OHW1573" s="866"/>
      <c r="OHX1573" s="866"/>
      <c r="OHY1573" s="866"/>
      <c r="OHZ1573" s="866"/>
      <c r="OIA1573" s="866"/>
      <c r="OIB1573" s="866"/>
      <c r="OIC1573" s="866"/>
      <c r="OID1573" s="866"/>
      <c r="OIE1573" s="866"/>
      <c r="OIF1573" s="866"/>
      <c r="OIG1573" s="866"/>
      <c r="OIH1573" s="866"/>
      <c r="OII1573" s="866"/>
      <c r="OIJ1573" s="866"/>
      <c r="OIK1573" s="866"/>
      <c r="OIL1573" s="866"/>
      <c r="OIM1573" s="866"/>
      <c r="OIN1573" s="866"/>
      <c r="OIO1573" s="866"/>
      <c r="OIP1573" s="866"/>
      <c r="OIQ1573" s="866"/>
      <c r="OIR1573" s="866"/>
      <c r="OIS1573" s="866"/>
      <c r="OIT1573" s="866"/>
      <c r="OIU1573" s="866"/>
      <c r="OIV1573" s="866"/>
      <c r="OIW1573" s="866"/>
      <c r="OIX1573" s="866"/>
      <c r="OIY1573" s="866"/>
      <c r="OIZ1573" s="866"/>
      <c r="OJA1573" s="866"/>
      <c r="OJB1573" s="866"/>
      <c r="OJC1573" s="866"/>
      <c r="OJD1573" s="866"/>
      <c r="OJE1573" s="866"/>
      <c r="OJF1573" s="866"/>
      <c r="OJG1573" s="866"/>
      <c r="OJH1573" s="866"/>
      <c r="OJI1573" s="866"/>
      <c r="OJJ1573" s="866"/>
      <c r="OJK1573" s="866"/>
      <c r="OJL1573" s="866"/>
      <c r="OJM1573" s="866"/>
      <c r="OJN1573" s="866"/>
      <c r="OJO1573" s="866"/>
      <c r="OJP1573" s="866"/>
      <c r="OJQ1573" s="866"/>
      <c r="OJR1573" s="866"/>
      <c r="OJS1573" s="866"/>
      <c r="OJT1573" s="866"/>
      <c r="OJU1573" s="866"/>
      <c r="OJV1573" s="866"/>
      <c r="OJW1573" s="866"/>
      <c r="OJX1573" s="866"/>
      <c r="OJY1573" s="866"/>
      <c r="OJZ1573" s="866"/>
      <c r="OKA1573" s="866"/>
      <c r="OKB1573" s="866"/>
      <c r="OKC1573" s="866"/>
      <c r="OKD1573" s="866"/>
      <c r="OKE1573" s="866"/>
      <c r="OKF1573" s="866"/>
      <c r="OKG1573" s="866"/>
      <c r="OKH1573" s="866"/>
      <c r="OKI1573" s="866"/>
      <c r="OKJ1573" s="866"/>
      <c r="OKK1573" s="866"/>
      <c r="OKL1573" s="866"/>
      <c r="OKM1573" s="866"/>
      <c r="OKN1573" s="866"/>
      <c r="OKO1573" s="866"/>
      <c r="OKP1573" s="866"/>
      <c r="OKQ1573" s="866"/>
      <c r="OKR1573" s="866"/>
      <c r="OKS1573" s="866"/>
      <c r="OKT1573" s="866"/>
      <c r="OKU1573" s="866"/>
      <c r="OKV1573" s="866"/>
      <c r="OKW1573" s="866"/>
      <c r="OKX1573" s="866"/>
      <c r="OKY1573" s="866"/>
      <c r="OKZ1573" s="866"/>
      <c r="OLA1573" s="866"/>
      <c r="OLB1573" s="866"/>
      <c r="OLC1573" s="866"/>
      <c r="OLD1573" s="866"/>
      <c r="OLE1573" s="866"/>
      <c r="OLF1573" s="866"/>
      <c r="OLG1573" s="866"/>
      <c r="OLH1573" s="866"/>
      <c r="OLI1573" s="866"/>
      <c r="OLJ1573" s="866"/>
      <c r="OLK1573" s="866"/>
      <c r="OLL1573" s="866"/>
      <c r="OLM1573" s="866"/>
      <c r="OLN1573" s="866"/>
      <c r="OLO1573" s="866"/>
      <c r="OLP1573" s="866"/>
      <c r="OLQ1573" s="866"/>
      <c r="OLR1573" s="866"/>
      <c r="OLS1573" s="866"/>
      <c r="OLT1573" s="866"/>
      <c r="OLU1573" s="866"/>
      <c r="OLV1573" s="866"/>
      <c r="OLW1573" s="866"/>
      <c r="OLX1573" s="866"/>
      <c r="OLY1573" s="866"/>
      <c r="OLZ1573" s="866"/>
      <c r="OMA1573" s="866"/>
      <c r="OMB1573" s="866"/>
      <c r="OMC1573" s="866"/>
      <c r="OMD1573" s="866"/>
      <c r="OME1573" s="866"/>
      <c r="OMF1573" s="866"/>
      <c r="OMG1573" s="866"/>
      <c r="OMH1573" s="866"/>
      <c r="OMI1573" s="866"/>
      <c r="OMJ1573" s="866"/>
      <c r="OMK1573" s="866"/>
      <c r="OML1573" s="866"/>
      <c r="OMM1573" s="866"/>
      <c r="OMN1573" s="866"/>
      <c r="OMO1573" s="866"/>
      <c r="OMP1573" s="866"/>
      <c r="OMQ1573" s="866"/>
      <c r="OMR1573" s="866"/>
      <c r="OMS1573" s="866"/>
      <c r="OMT1573" s="866"/>
      <c r="OMU1573" s="866"/>
      <c r="OMV1573" s="866"/>
      <c r="OMW1573" s="866"/>
      <c r="OMX1573" s="866"/>
      <c r="OMY1573" s="866"/>
      <c r="OMZ1573" s="866"/>
      <c r="ONA1573" s="866"/>
      <c r="ONB1573" s="866"/>
      <c r="ONC1573" s="866"/>
      <c r="OND1573" s="866"/>
      <c r="ONE1573" s="866"/>
      <c r="ONF1573" s="866"/>
      <c r="ONG1573" s="866"/>
      <c r="ONH1573" s="866"/>
      <c r="ONI1573" s="866"/>
      <c r="ONJ1573" s="866"/>
      <c r="ONK1573" s="866"/>
      <c r="ONL1573" s="866"/>
      <c r="ONM1573" s="866"/>
      <c r="ONN1573" s="866"/>
      <c r="ONO1573" s="866"/>
      <c r="ONP1573" s="866"/>
      <c r="ONQ1573" s="866"/>
      <c r="ONR1573" s="866"/>
      <c r="ONS1573" s="866"/>
      <c r="ONT1573" s="866"/>
      <c r="ONU1573" s="866"/>
      <c r="ONV1573" s="866"/>
      <c r="ONW1573" s="866"/>
      <c r="ONX1573" s="866"/>
      <c r="ONY1573" s="866"/>
      <c r="ONZ1573" s="866"/>
      <c r="OOA1573" s="866"/>
      <c r="OOB1573" s="866"/>
      <c r="OOC1573" s="866"/>
      <c r="OOD1573" s="866"/>
      <c r="OOE1573" s="866"/>
      <c r="OOF1573" s="866"/>
      <c r="OOG1573" s="866"/>
      <c r="OOH1573" s="866"/>
      <c r="OOI1573" s="866"/>
      <c r="OOJ1573" s="866"/>
      <c r="OOK1573" s="866"/>
      <c r="OOL1573" s="866"/>
      <c r="OOM1573" s="866"/>
      <c r="OON1573" s="866"/>
      <c r="OOO1573" s="866"/>
      <c r="OOP1573" s="866"/>
      <c r="OOQ1573" s="866"/>
      <c r="OOR1573" s="866"/>
      <c r="OOS1573" s="866"/>
      <c r="OOT1573" s="866"/>
      <c r="OOU1573" s="866"/>
      <c r="OOV1573" s="866"/>
      <c r="OOW1573" s="866"/>
      <c r="OOX1573" s="866"/>
      <c r="OOY1573" s="866"/>
      <c r="OOZ1573" s="866"/>
      <c r="OPA1573" s="866"/>
      <c r="OPB1573" s="866"/>
      <c r="OPC1573" s="866"/>
      <c r="OPD1573" s="866"/>
      <c r="OPE1573" s="866"/>
      <c r="OPF1573" s="866"/>
      <c r="OPG1573" s="866"/>
      <c r="OPH1573" s="866"/>
      <c r="OPI1573" s="866"/>
      <c r="OPJ1573" s="866"/>
      <c r="OPK1573" s="866"/>
      <c r="OPL1573" s="866"/>
      <c r="OPM1573" s="866"/>
      <c r="OPN1573" s="866"/>
      <c r="OPO1573" s="866"/>
      <c r="OPP1573" s="866"/>
      <c r="OPQ1573" s="866"/>
      <c r="OPR1573" s="866"/>
      <c r="OPS1573" s="866"/>
      <c r="OPT1573" s="866"/>
      <c r="OPU1573" s="866"/>
      <c r="OPV1573" s="866"/>
      <c r="OPW1573" s="866"/>
      <c r="OPX1573" s="866"/>
      <c r="OPY1573" s="866"/>
      <c r="OPZ1573" s="866"/>
      <c r="OQA1573" s="866"/>
      <c r="OQB1573" s="866"/>
      <c r="OQC1573" s="866"/>
      <c r="OQD1573" s="866"/>
      <c r="OQE1573" s="866"/>
      <c r="OQF1573" s="866"/>
      <c r="OQG1573" s="866"/>
      <c r="OQH1573" s="866"/>
      <c r="OQI1573" s="866"/>
      <c r="OQJ1573" s="866"/>
      <c r="OQK1573" s="866"/>
      <c r="OQL1573" s="866"/>
      <c r="OQM1573" s="866"/>
      <c r="OQN1573" s="866"/>
      <c r="OQO1573" s="866"/>
      <c r="OQP1573" s="866"/>
      <c r="OQQ1573" s="866"/>
      <c r="OQR1573" s="866"/>
      <c r="OQS1573" s="866"/>
      <c r="OQT1573" s="866"/>
      <c r="OQU1573" s="866"/>
      <c r="OQV1573" s="866"/>
      <c r="OQW1573" s="866"/>
      <c r="OQX1573" s="866"/>
      <c r="OQY1573" s="866"/>
      <c r="OQZ1573" s="866"/>
      <c r="ORA1573" s="866"/>
      <c r="ORB1573" s="866"/>
      <c r="ORC1573" s="866"/>
      <c r="ORD1573" s="866"/>
      <c r="ORE1573" s="866"/>
      <c r="ORF1573" s="866"/>
      <c r="ORG1573" s="866"/>
      <c r="ORH1573" s="866"/>
      <c r="ORI1573" s="866"/>
      <c r="ORJ1573" s="866"/>
      <c r="ORK1573" s="866"/>
      <c r="ORL1573" s="866"/>
      <c r="ORM1573" s="866"/>
      <c r="ORN1573" s="866"/>
      <c r="ORO1573" s="866"/>
      <c r="ORP1573" s="866"/>
      <c r="ORQ1573" s="866"/>
      <c r="ORR1573" s="866"/>
      <c r="ORS1573" s="866"/>
      <c r="ORT1573" s="866"/>
      <c r="ORU1573" s="866"/>
      <c r="ORV1573" s="866"/>
      <c r="ORW1573" s="866"/>
      <c r="ORX1573" s="866"/>
      <c r="ORY1573" s="866"/>
      <c r="ORZ1573" s="866"/>
      <c r="OSA1573" s="866"/>
      <c r="OSB1573" s="866"/>
      <c r="OSC1573" s="866"/>
      <c r="OSD1573" s="866"/>
      <c r="OSE1573" s="866"/>
      <c r="OSF1573" s="866"/>
      <c r="OSG1573" s="866"/>
      <c r="OSH1573" s="866"/>
      <c r="OSI1573" s="866"/>
      <c r="OSJ1573" s="866"/>
      <c r="OSK1573" s="866"/>
      <c r="OSL1573" s="866"/>
      <c r="OSM1573" s="866"/>
      <c r="OSN1573" s="866"/>
      <c r="OSO1573" s="866"/>
      <c r="OSP1573" s="866"/>
      <c r="OSQ1573" s="866"/>
      <c r="OSR1573" s="866"/>
      <c r="OSS1573" s="866"/>
      <c r="OST1573" s="866"/>
      <c r="OSU1573" s="866"/>
      <c r="OSV1573" s="866"/>
      <c r="OSW1573" s="866"/>
      <c r="OSX1573" s="866"/>
      <c r="OSY1573" s="866"/>
      <c r="OSZ1573" s="866"/>
      <c r="OTA1573" s="866"/>
      <c r="OTB1573" s="866"/>
      <c r="OTC1573" s="866"/>
      <c r="OTD1573" s="866"/>
      <c r="OTE1573" s="866"/>
      <c r="OTF1573" s="866"/>
      <c r="OTG1573" s="866"/>
      <c r="OTH1573" s="866"/>
      <c r="OTI1573" s="866"/>
      <c r="OTJ1573" s="866"/>
      <c r="OTK1573" s="866"/>
      <c r="OTL1573" s="866"/>
      <c r="OTM1573" s="866"/>
      <c r="OTN1573" s="866"/>
      <c r="OTO1573" s="866"/>
      <c r="OTP1573" s="866"/>
      <c r="OTQ1573" s="866"/>
      <c r="OTR1573" s="866"/>
      <c r="OTS1573" s="866"/>
      <c r="OTT1573" s="866"/>
      <c r="OTU1573" s="866"/>
      <c r="OTV1573" s="866"/>
      <c r="OTW1573" s="866"/>
      <c r="OTX1573" s="866"/>
      <c r="OTY1573" s="866"/>
      <c r="OTZ1573" s="866"/>
      <c r="OUA1573" s="866"/>
      <c r="OUB1573" s="866"/>
      <c r="OUC1573" s="866"/>
      <c r="OUD1573" s="866"/>
      <c r="OUE1573" s="866"/>
      <c r="OUF1573" s="866"/>
      <c r="OUG1573" s="866"/>
      <c r="OUH1573" s="866"/>
      <c r="OUI1573" s="866"/>
      <c r="OUJ1573" s="866"/>
      <c r="OUK1573" s="866"/>
      <c r="OUL1573" s="866"/>
      <c r="OUM1573" s="866"/>
      <c r="OUN1573" s="866"/>
      <c r="OUO1573" s="866"/>
      <c r="OUP1573" s="866"/>
      <c r="OUQ1573" s="866"/>
      <c r="OUR1573" s="866"/>
      <c r="OUS1573" s="866"/>
      <c r="OUT1573" s="866"/>
      <c r="OUU1573" s="866"/>
      <c r="OUV1573" s="866"/>
      <c r="OUW1573" s="866"/>
      <c r="OUX1573" s="866"/>
      <c r="OUY1573" s="866"/>
      <c r="OUZ1573" s="866"/>
      <c r="OVA1573" s="866"/>
      <c r="OVB1573" s="866"/>
      <c r="OVC1573" s="866"/>
      <c r="OVD1573" s="866"/>
      <c r="OVE1573" s="866"/>
      <c r="OVF1573" s="866"/>
      <c r="OVG1573" s="866"/>
      <c r="OVH1573" s="866"/>
      <c r="OVI1573" s="866"/>
      <c r="OVJ1573" s="866"/>
      <c r="OVK1573" s="866"/>
      <c r="OVL1573" s="866"/>
      <c r="OVM1573" s="866"/>
      <c r="OVN1573" s="866"/>
      <c r="OVO1573" s="866"/>
      <c r="OVP1573" s="866"/>
      <c r="OVQ1573" s="866"/>
      <c r="OVR1573" s="866"/>
      <c r="OVS1573" s="866"/>
      <c r="OVT1573" s="866"/>
      <c r="OVU1573" s="866"/>
      <c r="OVV1573" s="866"/>
      <c r="OVW1573" s="866"/>
      <c r="OVX1573" s="866"/>
      <c r="OVY1573" s="866"/>
      <c r="OVZ1573" s="866"/>
      <c r="OWA1573" s="866"/>
      <c r="OWB1573" s="866"/>
      <c r="OWC1573" s="866"/>
      <c r="OWD1573" s="866"/>
      <c r="OWE1573" s="866"/>
      <c r="OWF1573" s="866"/>
      <c r="OWG1573" s="866"/>
      <c r="OWH1573" s="866"/>
      <c r="OWI1573" s="866"/>
      <c r="OWJ1573" s="866"/>
      <c r="OWK1573" s="866"/>
      <c r="OWL1573" s="866"/>
      <c r="OWM1573" s="866"/>
      <c r="OWN1573" s="866"/>
      <c r="OWO1573" s="866"/>
      <c r="OWP1573" s="866"/>
      <c r="OWQ1573" s="866"/>
      <c r="OWR1573" s="866"/>
      <c r="OWS1573" s="866"/>
      <c r="OWT1573" s="866"/>
      <c r="OWU1573" s="866"/>
      <c r="OWV1573" s="866"/>
      <c r="OWW1573" s="866"/>
      <c r="OWX1573" s="866"/>
      <c r="OWY1573" s="866"/>
      <c r="OWZ1573" s="866"/>
      <c r="OXA1573" s="866"/>
      <c r="OXB1573" s="866"/>
      <c r="OXC1573" s="866"/>
      <c r="OXD1573" s="866"/>
      <c r="OXE1573" s="866"/>
      <c r="OXF1573" s="866"/>
      <c r="OXG1573" s="866"/>
      <c r="OXH1573" s="866"/>
      <c r="OXI1573" s="866"/>
      <c r="OXJ1573" s="866"/>
      <c r="OXK1573" s="866"/>
      <c r="OXL1573" s="866"/>
      <c r="OXM1573" s="866"/>
      <c r="OXN1573" s="866"/>
      <c r="OXO1573" s="866"/>
      <c r="OXP1573" s="866"/>
      <c r="OXQ1573" s="866"/>
      <c r="OXR1573" s="866"/>
      <c r="OXS1573" s="866"/>
      <c r="OXT1573" s="866"/>
      <c r="OXU1573" s="866"/>
      <c r="OXV1573" s="866"/>
      <c r="OXW1573" s="866"/>
      <c r="OXX1573" s="866"/>
      <c r="OXY1573" s="866"/>
      <c r="OXZ1573" s="866"/>
      <c r="OYA1573" s="866"/>
      <c r="OYB1573" s="866"/>
      <c r="OYC1573" s="866"/>
      <c r="OYD1573" s="866"/>
      <c r="OYE1573" s="866"/>
      <c r="OYF1573" s="866"/>
      <c r="OYG1573" s="866"/>
      <c r="OYH1573" s="866"/>
      <c r="OYI1573" s="866"/>
      <c r="OYJ1573" s="866"/>
      <c r="OYK1573" s="866"/>
      <c r="OYL1573" s="866"/>
      <c r="OYM1573" s="866"/>
      <c r="OYN1573" s="866"/>
      <c r="OYO1573" s="866"/>
      <c r="OYP1573" s="866"/>
      <c r="OYQ1573" s="866"/>
      <c r="OYR1573" s="866"/>
      <c r="OYS1573" s="866"/>
      <c r="OYT1573" s="866"/>
      <c r="OYU1573" s="866"/>
      <c r="OYV1573" s="866"/>
      <c r="OYW1573" s="866"/>
      <c r="OYX1573" s="866"/>
      <c r="OYY1573" s="866"/>
      <c r="OYZ1573" s="866"/>
      <c r="OZA1573" s="866"/>
      <c r="OZB1573" s="866"/>
      <c r="OZC1573" s="866"/>
      <c r="OZD1573" s="866"/>
      <c r="OZE1573" s="866"/>
      <c r="OZF1573" s="866"/>
      <c r="OZG1573" s="866"/>
      <c r="OZH1573" s="866"/>
      <c r="OZI1573" s="866"/>
      <c r="OZJ1573" s="866"/>
      <c r="OZK1573" s="866"/>
      <c r="OZL1573" s="866"/>
      <c r="OZM1573" s="866"/>
      <c r="OZN1573" s="866"/>
      <c r="OZO1573" s="866"/>
      <c r="OZP1573" s="866"/>
      <c r="OZQ1573" s="866"/>
      <c r="OZR1573" s="866"/>
      <c r="OZS1573" s="866"/>
      <c r="OZT1573" s="866"/>
      <c r="OZU1573" s="866"/>
      <c r="OZV1573" s="866"/>
      <c r="OZW1573" s="866"/>
      <c r="OZX1573" s="866"/>
      <c r="OZY1573" s="866"/>
      <c r="OZZ1573" s="866"/>
      <c r="PAA1573" s="866"/>
      <c r="PAB1573" s="866"/>
      <c r="PAC1573" s="866"/>
      <c r="PAD1573" s="866"/>
      <c r="PAE1573" s="866"/>
      <c r="PAF1573" s="866"/>
      <c r="PAG1573" s="866"/>
      <c r="PAH1573" s="866"/>
      <c r="PAI1573" s="866"/>
      <c r="PAJ1573" s="866"/>
      <c r="PAK1573" s="866"/>
      <c r="PAL1573" s="866"/>
      <c r="PAM1573" s="866"/>
      <c r="PAN1573" s="866"/>
      <c r="PAO1573" s="866"/>
      <c r="PAP1573" s="866"/>
      <c r="PAQ1573" s="866"/>
      <c r="PAR1573" s="866"/>
      <c r="PAS1573" s="866"/>
      <c r="PAT1573" s="866"/>
      <c r="PAU1573" s="866"/>
      <c r="PAV1573" s="866"/>
      <c r="PAW1573" s="866"/>
      <c r="PAX1573" s="866"/>
      <c r="PAY1573" s="866"/>
      <c r="PAZ1573" s="866"/>
      <c r="PBA1573" s="866"/>
      <c r="PBB1573" s="866"/>
      <c r="PBC1573" s="866"/>
      <c r="PBD1573" s="866"/>
      <c r="PBE1573" s="866"/>
      <c r="PBF1573" s="866"/>
      <c r="PBG1573" s="866"/>
      <c r="PBH1573" s="866"/>
      <c r="PBI1573" s="866"/>
      <c r="PBJ1573" s="866"/>
      <c r="PBK1573" s="866"/>
      <c r="PBL1573" s="866"/>
      <c r="PBM1573" s="866"/>
      <c r="PBN1573" s="866"/>
      <c r="PBO1573" s="866"/>
      <c r="PBP1573" s="866"/>
      <c r="PBQ1573" s="866"/>
      <c r="PBR1573" s="866"/>
      <c r="PBS1573" s="866"/>
      <c r="PBT1573" s="866"/>
      <c r="PBU1573" s="866"/>
      <c r="PBV1573" s="866"/>
      <c r="PBW1573" s="866"/>
      <c r="PBX1573" s="866"/>
      <c r="PBY1573" s="866"/>
      <c r="PBZ1573" s="866"/>
      <c r="PCA1573" s="866"/>
      <c r="PCB1573" s="866"/>
      <c r="PCC1573" s="866"/>
      <c r="PCD1573" s="866"/>
      <c r="PCE1573" s="866"/>
      <c r="PCF1573" s="866"/>
      <c r="PCG1573" s="866"/>
      <c r="PCH1573" s="866"/>
      <c r="PCI1573" s="866"/>
      <c r="PCJ1573" s="866"/>
      <c r="PCK1573" s="866"/>
      <c r="PCL1573" s="866"/>
      <c r="PCM1573" s="866"/>
      <c r="PCN1573" s="866"/>
      <c r="PCO1573" s="866"/>
      <c r="PCP1573" s="866"/>
      <c r="PCQ1573" s="866"/>
      <c r="PCR1573" s="866"/>
      <c r="PCS1573" s="866"/>
      <c r="PCT1573" s="866"/>
      <c r="PCU1573" s="866"/>
      <c r="PCV1573" s="866"/>
      <c r="PCW1573" s="866"/>
      <c r="PCX1573" s="866"/>
      <c r="PCY1573" s="866"/>
      <c r="PCZ1573" s="866"/>
      <c r="PDA1573" s="866"/>
      <c r="PDB1573" s="866"/>
      <c r="PDC1573" s="866"/>
      <c r="PDD1573" s="866"/>
      <c r="PDE1573" s="866"/>
      <c r="PDF1573" s="866"/>
      <c r="PDG1573" s="866"/>
      <c r="PDH1573" s="866"/>
      <c r="PDI1573" s="866"/>
      <c r="PDJ1573" s="866"/>
      <c r="PDK1573" s="866"/>
      <c r="PDL1573" s="866"/>
      <c r="PDM1573" s="866"/>
      <c r="PDN1573" s="866"/>
      <c r="PDO1573" s="866"/>
      <c r="PDP1573" s="866"/>
      <c r="PDQ1573" s="866"/>
      <c r="PDR1573" s="866"/>
      <c r="PDS1573" s="866"/>
      <c r="PDT1573" s="866"/>
      <c r="PDU1573" s="866"/>
      <c r="PDV1573" s="866"/>
      <c r="PDW1573" s="866"/>
      <c r="PDX1573" s="866"/>
      <c r="PDY1573" s="866"/>
      <c r="PDZ1573" s="866"/>
      <c r="PEA1573" s="866"/>
      <c r="PEB1573" s="866"/>
      <c r="PEC1573" s="866"/>
      <c r="PED1573" s="866"/>
      <c r="PEE1573" s="866"/>
      <c r="PEF1573" s="866"/>
      <c r="PEG1573" s="866"/>
      <c r="PEH1573" s="866"/>
      <c r="PEI1573" s="866"/>
      <c r="PEJ1573" s="866"/>
      <c r="PEK1573" s="866"/>
      <c r="PEL1573" s="866"/>
      <c r="PEM1573" s="866"/>
      <c r="PEN1573" s="866"/>
      <c r="PEO1573" s="866"/>
      <c r="PEP1573" s="866"/>
      <c r="PEQ1573" s="866"/>
      <c r="PER1573" s="866"/>
      <c r="PES1573" s="866"/>
      <c r="PET1573" s="866"/>
      <c r="PEU1573" s="866"/>
      <c r="PEV1573" s="866"/>
      <c r="PEW1573" s="866"/>
      <c r="PEX1573" s="866"/>
      <c r="PEY1573" s="866"/>
      <c r="PEZ1573" s="866"/>
      <c r="PFA1573" s="866"/>
      <c r="PFB1573" s="866"/>
      <c r="PFC1573" s="866"/>
      <c r="PFD1573" s="866"/>
      <c r="PFE1573" s="866"/>
      <c r="PFF1573" s="866"/>
      <c r="PFG1573" s="866"/>
      <c r="PFH1573" s="866"/>
      <c r="PFI1573" s="866"/>
      <c r="PFJ1573" s="866"/>
      <c r="PFK1573" s="866"/>
      <c r="PFL1573" s="866"/>
      <c r="PFM1573" s="866"/>
      <c r="PFN1573" s="866"/>
      <c r="PFO1573" s="866"/>
      <c r="PFP1573" s="866"/>
      <c r="PFQ1573" s="866"/>
      <c r="PFR1573" s="866"/>
      <c r="PFS1573" s="866"/>
      <c r="PFT1573" s="866"/>
      <c r="PFU1573" s="866"/>
      <c r="PFV1573" s="866"/>
      <c r="PFW1573" s="866"/>
      <c r="PFX1573" s="866"/>
      <c r="PFY1573" s="866"/>
      <c r="PFZ1573" s="866"/>
      <c r="PGA1573" s="866"/>
      <c r="PGB1573" s="866"/>
      <c r="PGC1573" s="866"/>
      <c r="PGD1573" s="866"/>
      <c r="PGE1573" s="866"/>
      <c r="PGF1573" s="866"/>
      <c r="PGG1573" s="866"/>
      <c r="PGH1573" s="866"/>
      <c r="PGI1573" s="866"/>
      <c r="PGJ1573" s="866"/>
      <c r="PGK1573" s="866"/>
      <c r="PGL1573" s="866"/>
      <c r="PGM1573" s="866"/>
      <c r="PGN1573" s="866"/>
      <c r="PGO1573" s="866"/>
      <c r="PGP1573" s="866"/>
      <c r="PGQ1573" s="866"/>
      <c r="PGR1573" s="866"/>
      <c r="PGS1573" s="866"/>
      <c r="PGT1573" s="866"/>
      <c r="PGU1573" s="866"/>
      <c r="PGV1573" s="866"/>
      <c r="PGW1573" s="866"/>
      <c r="PGX1573" s="866"/>
      <c r="PGY1573" s="866"/>
      <c r="PGZ1573" s="866"/>
      <c r="PHA1573" s="866"/>
      <c r="PHB1573" s="866"/>
      <c r="PHC1573" s="866"/>
      <c r="PHD1573" s="866"/>
      <c r="PHE1573" s="866"/>
      <c r="PHF1573" s="866"/>
      <c r="PHG1573" s="866"/>
      <c r="PHH1573" s="866"/>
      <c r="PHI1573" s="866"/>
      <c r="PHJ1573" s="866"/>
      <c r="PHK1573" s="866"/>
      <c r="PHL1573" s="866"/>
      <c r="PHM1573" s="866"/>
      <c r="PHN1573" s="866"/>
      <c r="PHO1573" s="866"/>
      <c r="PHP1573" s="866"/>
      <c r="PHQ1573" s="866"/>
      <c r="PHR1573" s="866"/>
      <c r="PHS1573" s="866"/>
      <c r="PHT1573" s="866"/>
      <c r="PHU1573" s="866"/>
      <c r="PHV1573" s="866"/>
      <c r="PHW1573" s="866"/>
      <c r="PHX1573" s="866"/>
      <c r="PHY1573" s="866"/>
      <c r="PHZ1573" s="866"/>
      <c r="PIA1573" s="866"/>
      <c r="PIB1573" s="866"/>
      <c r="PIC1573" s="866"/>
      <c r="PID1573" s="866"/>
      <c r="PIE1573" s="866"/>
      <c r="PIF1573" s="866"/>
      <c r="PIG1573" s="866"/>
      <c r="PIH1573" s="866"/>
      <c r="PII1573" s="866"/>
      <c r="PIJ1573" s="866"/>
      <c r="PIK1573" s="866"/>
      <c r="PIL1573" s="866"/>
      <c r="PIM1573" s="866"/>
      <c r="PIN1573" s="866"/>
      <c r="PIO1573" s="866"/>
      <c r="PIP1573" s="866"/>
      <c r="PIQ1573" s="866"/>
      <c r="PIR1573" s="866"/>
      <c r="PIS1573" s="866"/>
      <c r="PIT1573" s="866"/>
      <c r="PIU1573" s="866"/>
      <c r="PIV1573" s="866"/>
      <c r="PIW1573" s="866"/>
      <c r="PIX1573" s="866"/>
      <c r="PIY1573" s="866"/>
      <c r="PIZ1573" s="866"/>
      <c r="PJA1573" s="866"/>
      <c r="PJB1573" s="866"/>
      <c r="PJC1573" s="866"/>
      <c r="PJD1573" s="866"/>
      <c r="PJE1573" s="866"/>
      <c r="PJF1573" s="866"/>
      <c r="PJG1573" s="866"/>
      <c r="PJH1573" s="866"/>
      <c r="PJI1573" s="866"/>
      <c r="PJJ1573" s="866"/>
      <c r="PJK1573" s="866"/>
      <c r="PJL1573" s="866"/>
      <c r="PJM1573" s="866"/>
      <c r="PJN1573" s="866"/>
      <c r="PJO1573" s="866"/>
      <c r="PJP1573" s="866"/>
      <c r="PJQ1573" s="866"/>
      <c r="PJR1573" s="866"/>
      <c r="PJS1573" s="866"/>
      <c r="PJT1573" s="866"/>
      <c r="PJU1573" s="866"/>
      <c r="PJV1573" s="866"/>
      <c r="PJW1573" s="866"/>
      <c r="PJX1573" s="866"/>
      <c r="PJY1573" s="866"/>
      <c r="PJZ1573" s="866"/>
      <c r="PKA1573" s="866"/>
      <c r="PKB1573" s="866"/>
      <c r="PKC1573" s="866"/>
      <c r="PKD1573" s="866"/>
      <c r="PKE1573" s="866"/>
      <c r="PKF1573" s="866"/>
      <c r="PKG1573" s="866"/>
      <c r="PKH1573" s="866"/>
      <c r="PKI1573" s="866"/>
      <c r="PKJ1573" s="866"/>
      <c r="PKK1573" s="866"/>
      <c r="PKL1573" s="866"/>
      <c r="PKM1573" s="866"/>
      <c r="PKN1573" s="866"/>
      <c r="PKO1573" s="866"/>
      <c r="PKP1573" s="866"/>
      <c r="PKQ1573" s="866"/>
      <c r="PKR1573" s="866"/>
      <c r="PKS1573" s="866"/>
      <c r="PKT1573" s="866"/>
      <c r="PKU1573" s="866"/>
      <c r="PKV1573" s="866"/>
      <c r="PKW1573" s="866"/>
      <c r="PKX1573" s="866"/>
      <c r="PKY1573" s="866"/>
      <c r="PKZ1573" s="866"/>
      <c r="PLA1573" s="866"/>
      <c r="PLB1573" s="866"/>
      <c r="PLC1573" s="866"/>
      <c r="PLD1573" s="866"/>
      <c r="PLE1573" s="866"/>
      <c r="PLF1573" s="866"/>
      <c r="PLG1573" s="866"/>
      <c r="PLH1573" s="866"/>
      <c r="PLI1573" s="866"/>
      <c r="PLJ1573" s="866"/>
      <c r="PLK1573" s="866"/>
      <c r="PLL1573" s="866"/>
      <c r="PLM1573" s="866"/>
      <c r="PLN1573" s="866"/>
      <c r="PLO1573" s="866"/>
      <c r="PLP1573" s="866"/>
      <c r="PLQ1573" s="866"/>
      <c r="PLR1573" s="866"/>
      <c r="PLS1573" s="866"/>
      <c r="PLT1573" s="866"/>
      <c r="PLU1573" s="866"/>
      <c r="PLV1573" s="866"/>
      <c r="PLW1573" s="866"/>
      <c r="PLX1573" s="866"/>
      <c r="PLY1573" s="866"/>
      <c r="PLZ1573" s="866"/>
      <c r="PMA1573" s="866"/>
      <c r="PMB1573" s="866"/>
      <c r="PMC1573" s="866"/>
      <c r="PMD1573" s="866"/>
      <c r="PME1573" s="866"/>
      <c r="PMF1573" s="866"/>
      <c r="PMG1573" s="866"/>
      <c r="PMH1573" s="866"/>
      <c r="PMI1573" s="866"/>
      <c r="PMJ1573" s="866"/>
      <c r="PMK1573" s="866"/>
      <c r="PML1573" s="866"/>
      <c r="PMM1573" s="866"/>
      <c r="PMN1573" s="866"/>
      <c r="PMO1573" s="866"/>
      <c r="PMP1573" s="866"/>
      <c r="PMQ1573" s="866"/>
      <c r="PMR1573" s="866"/>
      <c r="PMS1573" s="866"/>
      <c r="PMT1573" s="866"/>
      <c r="PMU1573" s="866"/>
      <c r="PMV1573" s="866"/>
      <c r="PMW1573" s="866"/>
      <c r="PMX1573" s="866"/>
      <c r="PMY1573" s="866"/>
      <c r="PMZ1573" s="866"/>
      <c r="PNA1573" s="866"/>
      <c r="PNB1573" s="866"/>
      <c r="PNC1573" s="866"/>
      <c r="PND1573" s="866"/>
      <c r="PNE1573" s="866"/>
      <c r="PNF1573" s="866"/>
      <c r="PNG1573" s="866"/>
      <c r="PNH1573" s="866"/>
      <c r="PNI1573" s="866"/>
      <c r="PNJ1573" s="866"/>
      <c r="PNK1573" s="866"/>
      <c r="PNL1573" s="866"/>
      <c r="PNM1573" s="866"/>
      <c r="PNN1573" s="866"/>
      <c r="PNO1573" s="866"/>
      <c r="PNP1573" s="866"/>
      <c r="PNQ1573" s="866"/>
      <c r="PNR1573" s="866"/>
      <c r="PNS1573" s="866"/>
      <c r="PNT1573" s="866"/>
      <c r="PNU1573" s="866"/>
      <c r="PNV1573" s="866"/>
      <c r="PNW1573" s="866"/>
      <c r="PNX1573" s="866"/>
      <c r="PNY1573" s="866"/>
      <c r="PNZ1573" s="866"/>
      <c r="POA1573" s="866"/>
      <c r="POB1573" s="866"/>
      <c r="POC1573" s="866"/>
      <c r="POD1573" s="866"/>
      <c r="POE1573" s="866"/>
      <c r="POF1573" s="866"/>
      <c r="POG1573" s="866"/>
      <c r="POH1573" s="866"/>
      <c r="POI1573" s="866"/>
      <c r="POJ1573" s="866"/>
      <c r="POK1573" s="866"/>
      <c r="POL1573" s="866"/>
      <c r="POM1573" s="866"/>
      <c r="PON1573" s="866"/>
      <c r="POO1573" s="866"/>
      <c r="POP1573" s="866"/>
      <c r="POQ1573" s="866"/>
      <c r="POR1573" s="866"/>
      <c r="POS1573" s="866"/>
      <c r="POT1573" s="866"/>
      <c r="POU1573" s="866"/>
      <c r="POV1573" s="866"/>
      <c r="POW1573" s="866"/>
      <c r="POX1573" s="866"/>
      <c r="POY1573" s="866"/>
      <c r="POZ1573" s="866"/>
      <c r="PPA1573" s="866"/>
      <c r="PPB1573" s="866"/>
      <c r="PPC1573" s="866"/>
      <c r="PPD1573" s="866"/>
      <c r="PPE1573" s="866"/>
      <c r="PPF1573" s="866"/>
      <c r="PPG1573" s="866"/>
      <c r="PPH1573" s="866"/>
      <c r="PPI1573" s="866"/>
      <c r="PPJ1573" s="866"/>
      <c r="PPK1573" s="866"/>
      <c r="PPL1573" s="866"/>
      <c r="PPM1573" s="866"/>
      <c r="PPN1573" s="866"/>
      <c r="PPO1573" s="866"/>
      <c r="PPP1573" s="866"/>
      <c r="PPQ1573" s="866"/>
      <c r="PPR1573" s="866"/>
      <c r="PPS1573" s="866"/>
      <c r="PPT1573" s="866"/>
      <c r="PPU1573" s="866"/>
      <c r="PPV1573" s="866"/>
      <c r="PPW1573" s="866"/>
      <c r="PPX1573" s="866"/>
      <c r="PPY1573" s="866"/>
      <c r="PPZ1573" s="866"/>
      <c r="PQA1573" s="866"/>
      <c r="PQB1573" s="866"/>
      <c r="PQC1573" s="866"/>
      <c r="PQD1573" s="866"/>
      <c r="PQE1573" s="866"/>
      <c r="PQF1573" s="866"/>
      <c r="PQG1573" s="866"/>
      <c r="PQH1573" s="866"/>
      <c r="PQI1573" s="866"/>
      <c r="PQJ1573" s="866"/>
      <c r="PQK1573" s="866"/>
      <c r="PQL1573" s="866"/>
      <c r="PQM1573" s="866"/>
      <c r="PQN1573" s="866"/>
      <c r="PQO1573" s="866"/>
      <c r="PQP1573" s="866"/>
      <c r="PQQ1573" s="866"/>
      <c r="PQR1573" s="866"/>
      <c r="PQS1573" s="866"/>
      <c r="PQT1573" s="866"/>
      <c r="PQU1573" s="866"/>
      <c r="PQV1573" s="866"/>
      <c r="PQW1573" s="866"/>
      <c r="PQX1573" s="866"/>
      <c r="PQY1573" s="866"/>
      <c r="PQZ1573" s="866"/>
      <c r="PRA1573" s="866"/>
      <c r="PRB1573" s="866"/>
      <c r="PRC1573" s="866"/>
      <c r="PRD1573" s="866"/>
      <c r="PRE1573" s="866"/>
      <c r="PRF1573" s="866"/>
      <c r="PRG1573" s="866"/>
      <c r="PRH1573" s="866"/>
      <c r="PRI1573" s="866"/>
      <c r="PRJ1573" s="866"/>
      <c r="PRK1573" s="866"/>
      <c r="PRL1573" s="866"/>
      <c r="PRM1573" s="866"/>
      <c r="PRN1573" s="866"/>
      <c r="PRO1573" s="866"/>
      <c r="PRP1573" s="866"/>
      <c r="PRQ1573" s="866"/>
      <c r="PRR1573" s="866"/>
      <c r="PRS1573" s="866"/>
      <c r="PRT1573" s="866"/>
      <c r="PRU1573" s="866"/>
      <c r="PRV1573" s="866"/>
      <c r="PRW1573" s="866"/>
      <c r="PRX1573" s="866"/>
      <c r="PRY1573" s="866"/>
      <c r="PRZ1573" s="866"/>
      <c r="PSA1573" s="866"/>
      <c r="PSB1573" s="866"/>
      <c r="PSC1573" s="866"/>
      <c r="PSD1573" s="866"/>
      <c r="PSE1573" s="866"/>
      <c r="PSF1573" s="866"/>
      <c r="PSG1573" s="866"/>
      <c r="PSH1573" s="866"/>
      <c r="PSI1573" s="866"/>
      <c r="PSJ1573" s="866"/>
      <c r="PSK1573" s="866"/>
      <c r="PSL1573" s="866"/>
      <c r="PSM1573" s="866"/>
      <c r="PSN1573" s="866"/>
      <c r="PSO1573" s="866"/>
      <c r="PSP1573" s="866"/>
      <c r="PSQ1573" s="866"/>
      <c r="PSR1573" s="866"/>
      <c r="PSS1573" s="866"/>
      <c r="PST1573" s="866"/>
      <c r="PSU1573" s="866"/>
      <c r="PSV1573" s="866"/>
      <c r="PSW1573" s="866"/>
      <c r="PSX1573" s="866"/>
      <c r="PSY1573" s="866"/>
      <c r="PSZ1573" s="866"/>
      <c r="PTA1573" s="866"/>
      <c r="PTB1573" s="866"/>
      <c r="PTC1573" s="866"/>
      <c r="PTD1573" s="866"/>
      <c r="PTE1573" s="866"/>
      <c r="PTF1573" s="866"/>
      <c r="PTG1573" s="866"/>
      <c r="PTH1573" s="866"/>
      <c r="PTI1573" s="866"/>
      <c r="PTJ1573" s="866"/>
      <c r="PTK1573" s="866"/>
      <c r="PTL1573" s="866"/>
      <c r="PTM1573" s="866"/>
      <c r="PTN1573" s="866"/>
      <c r="PTO1573" s="866"/>
      <c r="PTP1573" s="866"/>
      <c r="PTQ1573" s="866"/>
      <c r="PTR1573" s="866"/>
      <c r="PTS1573" s="866"/>
      <c r="PTT1573" s="866"/>
      <c r="PTU1573" s="866"/>
      <c r="PTV1573" s="866"/>
      <c r="PTW1573" s="866"/>
      <c r="PTX1573" s="866"/>
      <c r="PTY1573" s="866"/>
      <c r="PTZ1573" s="866"/>
      <c r="PUA1573" s="866"/>
      <c r="PUB1573" s="866"/>
      <c r="PUC1573" s="866"/>
      <c r="PUD1573" s="866"/>
      <c r="PUE1573" s="866"/>
      <c r="PUF1573" s="866"/>
      <c r="PUG1573" s="866"/>
      <c r="PUH1573" s="866"/>
      <c r="PUI1573" s="866"/>
      <c r="PUJ1573" s="866"/>
      <c r="PUK1573" s="866"/>
      <c r="PUL1573" s="866"/>
      <c r="PUM1573" s="866"/>
      <c r="PUN1573" s="866"/>
      <c r="PUO1573" s="866"/>
      <c r="PUP1573" s="866"/>
      <c r="PUQ1573" s="866"/>
      <c r="PUR1573" s="866"/>
      <c r="PUS1573" s="866"/>
      <c r="PUT1573" s="866"/>
      <c r="PUU1573" s="866"/>
      <c r="PUV1573" s="866"/>
      <c r="PUW1573" s="866"/>
      <c r="PUX1573" s="866"/>
      <c r="PUY1573" s="866"/>
      <c r="PUZ1573" s="866"/>
      <c r="PVA1573" s="866"/>
      <c r="PVB1573" s="866"/>
      <c r="PVC1573" s="866"/>
      <c r="PVD1573" s="866"/>
      <c r="PVE1573" s="866"/>
      <c r="PVF1573" s="866"/>
      <c r="PVG1573" s="866"/>
      <c r="PVH1573" s="866"/>
      <c r="PVI1573" s="866"/>
      <c r="PVJ1573" s="866"/>
      <c r="PVK1573" s="866"/>
      <c r="PVL1573" s="866"/>
      <c r="PVM1573" s="866"/>
      <c r="PVN1573" s="866"/>
      <c r="PVO1573" s="866"/>
      <c r="PVP1573" s="866"/>
      <c r="PVQ1573" s="866"/>
      <c r="PVR1573" s="866"/>
      <c r="PVS1573" s="866"/>
      <c r="PVT1573" s="866"/>
      <c r="PVU1573" s="866"/>
      <c r="PVV1573" s="866"/>
      <c r="PVW1573" s="866"/>
      <c r="PVX1573" s="866"/>
      <c r="PVY1573" s="866"/>
      <c r="PVZ1573" s="866"/>
      <c r="PWA1573" s="866"/>
      <c r="PWB1573" s="866"/>
      <c r="PWC1573" s="866"/>
      <c r="PWD1573" s="866"/>
      <c r="PWE1573" s="866"/>
      <c r="PWF1573" s="866"/>
      <c r="PWG1573" s="866"/>
      <c r="PWH1573" s="866"/>
      <c r="PWI1573" s="866"/>
      <c r="PWJ1573" s="866"/>
      <c r="PWK1573" s="866"/>
      <c r="PWL1573" s="866"/>
      <c r="PWM1573" s="866"/>
      <c r="PWN1573" s="866"/>
      <c r="PWO1573" s="866"/>
      <c r="PWP1573" s="866"/>
      <c r="PWQ1573" s="866"/>
      <c r="PWR1573" s="866"/>
      <c r="PWS1573" s="866"/>
      <c r="PWT1573" s="866"/>
      <c r="PWU1573" s="866"/>
      <c r="PWV1573" s="866"/>
      <c r="PWW1573" s="866"/>
      <c r="PWX1573" s="866"/>
      <c r="PWY1573" s="866"/>
      <c r="PWZ1573" s="866"/>
      <c r="PXA1573" s="866"/>
      <c r="PXB1573" s="866"/>
      <c r="PXC1573" s="866"/>
      <c r="PXD1573" s="866"/>
      <c r="PXE1573" s="866"/>
      <c r="PXF1573" s="866"/>
      <c r="PXG1573" s="866"/>
      <c r="PXH1573" s="866"/>
      <c r="PXI1573" s="866"/>
      <c r="PXJ1573" s="866"/>
      <c r="PXK1573" s="866"/>
      <c r="PXL1573" s="866"/>
      <c r="PXM1573" s="866"/>
      <c r="PXN1573" s="866"/>
      <c r="PXO1573" s="866"/>
      <c r="PXP1573" s="866"/>
      <c r="PXQ1573" s="866"/>
      <c r="PXR1573" s="866"/>
      <c r="PXS1573" s="866"/>
      <c r="PXT1573" s="866"/>
      <c r="PXU1573" s="866"/>
      <c r="PXV1573" s="866"/>
      <c r="PXW1573" s="866"/>
      <c r="PXX1573" s="866"/>
      <c r="PXY1573" s="866"/>
      <c r="PXZ1573" s="866"/>
      <c r="PYA1573" s="866"/>
      <c r="PYB1573" s="866"/>
      <c r="PYC1573" s="866"/>
      <c r="PYD1573" s="866"/>
      <c r="PYE1573" s="866"/>
      <c r="PYF1573" s="866"/>
      <c r="PYG1573" s="866"/>
      <c r="PYH1573" s="866"/>
      <c r="PYI1573" s="866"/>
      <c r="PYJ1573" s="866"/>
      <c r="PYK1573" s="866"/>
      <c r="PYL1573" s="866"/>
      <c r="PYM1573" s="866"/>
      <c r="PYN1573" s="866"/>
      <c r="PYO1573" s="866"/>
      <c r="PYP1573" s="866"/>
      <c r="PYQ1573" s="866"/>
      <c r="PYR1573" s="866"/>
      <c r="PYS1573" s="866"/>
      <c r="PYT1573" s="866"/>
      <c r="PYU1573" s="866"/>
      <c r="PYV1573" s="866"/>
      <c r="PYW1573" s="866"/>
      <c r="PYX1573" s="866"/>
      <c r="PYY1573" s="866"/>
      <c r="PYZ1573" s="866"/>
      <c r="PZA1573" s="866"/>
      <c r="PZB1573" s="866"/>
      <c r="PZC1573" s="866"/>
      <c r="PZD1573" s="866"/>
      <c r="PZE1573" s="866"/>
      <c r="PZF1573" s="866"/>
      <c r="PZG1573" s="866"/>
      <c r="PZH1573" s="866"/>
      <c r="PZI1573" s="866"/>
      <c r="PZJ1573" s="866"/>
      <c r="PZK1573" s="866"/>
      <c r="PZL1573" s="866"/>
      <c r="PZM1573" s="866"/>
      <c r="PZN1573" s="866"/>
      <c r="PZO1573" s="866"/>
      <c r="PZP1573" s="866"/>
      <c r="PZQ1573" s="866"/>
      <c r="PZR1573" s="866"/>
      <c r="PZS1573" s="866"/>
      <c r="PZT1573" s="866"/>
      <c r="PZU1573" s="866"/>
      <c r="PZV1573" s="866"/>
      <c r="PZW1573" s="866"/>
      <c r="PZX1573" s="866"/>
      <c r="PZY1573" s="866"/>
      <c r="PZZ1573" s="866"/>
      <c r="QAA1573" s="866"/>
      <c r="QAB1573" s="866"/>
      <c r="QAC1573" s="866"/>
      <c r="QAD1573" s="866"/>
      <c r="QAE1573" s="866"/>
      <c r="QAF1573" s="866"/>
      <c r="QAG1573" s="866"/>
      <c r="QAH1573" s="866"/>
      <c r="QAI1573" s="866"/>
      <c r="QAJ1573" s="866"/>
      <c r="QAK1573" s="866"/>
      <c r="QAL1573" s="866"/>
      <c r="QAM1573" s="866"/>
      <c r="QAN1573" s="866"/>
      <c r="QAO1573" s="866"/>
      <c r="QAP1573" s="866"/>
      <c r="QAQ1573" s="866"/>
      <c r="QAR1573" s="866"/>
      <c r="QAS1573" s="866"/>
      <c r="QAT1573" s="866"/>
      <c r="QAU1573" s="866"/>
      <c r="QAV1573" s="866"/>
      <c r="QAW1573" s="866"/>
      <c r="QAX1573" s="866"/>
      <c r="QAY1573" s="866"/>
      <c r="QAZ1573" s="866"/>
      <c r="QBA1573" s="866"/>
      <c r="QBB1573" s="866"/>
      <c r="QBC1573" s="866"/>
      <c r="QBD1573" s="866"/>
      <c r="QBE1573" s="866"/>
      <c r="QBF1573" s="866"/>
      <c r="QBG1573" s="866"/>
      <c r="QBH1573" s="866"/>
      <c r="QBI1573" s="866"/>
      <c r="QBJ1573" s="866"/>
      <c r="QBK1573" s="866"/>
      <c r="QBL1573" s="866"/>
      <c r="QBM1573" s="866"/>
      <c r="QBN1573" s="866"/>
      <c r="QBO1573" s="866"/>
      <c r="QBP1573" s="866"/>
      <c r="QBQ1573" s="866"/>
      <c r="QBR1573" s="866"/>
      <c r="QBS1573" s="866"/>
      <c r="QBT1573" s="866"/>
      <c r="QBU1573" s="866"/>
      <c r="QBV1573" s="866"/>
      <c r="QBW1573" s="866"/>
      <c r="QBX1573" s="866"/>
      <c r="QBY1573" s="866"/>
      <c r="QBZ1573" s="866"/>
      <c r="QCA1573" s="866"/>
      <c r="QCB1573" s="866"/>
      <c r="QCC1573" s="866"/>
      <c r="QCD1573" s="866"/>
      <c r="QCE1573" s="866"/>
      <c r="QCF1573" s="866"/>
      <c r="QCG1573" s="866"/>
      <c r="QCH1573" s="866"/>
      <c r="QCI1573" s="866"/>
      <c r="QCJ1573" s="866"/>
      <c r="QCK1573" s="866"/>
      <c r="QCL1573" s="866"/>
      <c r="QCM1573" s="866"/>
      <c r="QCN1573" s="866"/>
      <c r="QCO1573" s="866"/>
      <c r="QCP1573" s="866"/>
      <c r="QCQ1573" s="866"/>
      <c r="QCR1573" s="866"/>
      <c r="QCS1573" s="866"/>
      <c r="QCT1573" s="866"/>
      <c r="QCU1573" s="866"/>
      <c r="QCV1573" s="866"/>
      <c r="QCW1573" s="866"/>
      <c r="QCX1573" s="866"/>
      <c r="QCY1573" s="866"/>
      <c r="QCZ1573" s="866"/>
      <c r="QDA1573" s="866"/>
      <c r="QDB1573" s="866"/>
      <c r="QDC1573" s="866"/>
      <c r="QDD1573" s="866"/>
      <c r="QDE1573" s="866"/>
      <c r="QDF1573" s="866"/>
      <c r="QDG1573" s="866"/>
      <c r="QDH1573" s="866"/>
      <c r="QDI1573" s="866"/>
      <c r="QDJ1573" s="866"/>
      <c r="QDK1573" s="866"/>
      <c r="QDL1573" s="866"/>
      <c r="QDM1573" s="866"/>
      <c r="QDN1573" s="866"/>
      <c r="QDO1573" s="866"/>
      <c r="QDP1573" s="866"/>
      <c r="QDQ1573" s="866"/>
      <c r="QDR1573" s="866"/>
      <c r="QDS1573" s="866"/>
      <c r="QDT1573" s="866"/>
      <c r="QDU1573" s="866"/>
      <c r="QDV1573" s="866"/>
      <c r="QDW1573" s="866"/>
      <c r="QDX1573" s="866"/>
      <c r="QDY1573" s="866"/>
      <c r="QDZ1573" s="866"/>
      <c r="QEA1573" s="866"/>
      <c r="QEB1573" s="866"/>
      <c r="QEC1573" s="866"/>
      <c r="QED1573" s="866"/>
      <c r="QEE1573" s="866"/>
      <c r="QEF1573" s="866"/>
      <c r="QEG1573" s="866"/>
      <c r="QEH1573" s="866"/>
      <c r="QEI1573" s="866"/>
      <c r="QEJ1573" s="866"/>
      <c r="QEK1573" s="866"/>
      <c r="QEL1573" s="866"/>
      <c r="QEM1573" s="866"/>
      <c r="QEN1573" s="866"/>
      <c r="QEO1573" s="866"/>
      <c r="QEP1573" s="866"/>
      <c r="QEQ1573" s="866"/>
      <c r="QER1573" s="866"/>
      <c r="QES1573" s="866"/>
      <c r="QET1573" s="866"/>
      <c r="QEU1573" s="866"/>
      <c r="QEV1573" s="866"/>
      <c r="QEW1573" s="866"/>
      <c r="QEX1573" s="866"/>
      <c r="QEY1573" s="866"/>
      <c r="QEZ1573" s="866"/>
      <c r="QFA1573" s="866"/>
      <c r="QFB1573" s="866"/>
      <c r="QFC1573" s="866"/>
      <c r="QFD1573" s="866"/>
      <c r="QFE1573" s="866"/>
      <c r="QFF1573" s="866"/>
      <c r="QFG1573" s="866"/>
      <c r="QFH1573" s="866"/>
      <c r="QFI1573" s="866"/>
      <c r="QFJ1573" s="866"/>
      <c r="QFK1573" s="866"/>
      <c r="QFL1573" s="866"/>
      <c r="QFM1573" s="866"/>
      <c r="QFN1573" s="866"/>
      <c r="QFO1573" s="866"/>
      <c r="QFP1573" s="866"/>
      <c r="QFQ1573" s="866"/>
      <c r="QFR1573" s="866"/>
      <c r="QFS1573" s="866"/>
      <c r="QFT1573" s="866"/>
      <c r="QFU1573" s="866"/>
      <c r="QFV1573" s="866"/>
      <c r="QFW1573" s="866"/>
      <c r="QFX1573" s="866"/>
      <c r="QFY1573" s="866"/>
      <c r="QFZ1573" s="866"/>
      <c r="QGA1573" s="866"/>
      <c r="QGB1573" s="866"/>
      <c r="QGC1573" s="866"/>
      <c r="QGD1573" s="866"/>
      <c r="QGE1573" s="866"/>
      <c r="QGF1573" s="866"/>
      <c r="QGG1573" s="866"/>
      <c r="QGH1573" s="866"/>
      <c r="QGI1573" s="866"/>
      <c r="QGJ1573" s="866"/>
      <c r="QGK1573" s="866"/>
      <c r="QGL1573" s="866"/>
      <c r="QGM1573" s="866"/>
      <c r="QGN1573" s="866"/>
      <c r="QGO1573" s="866"/>
      <c r="QGP1573" s="866"/>
      <c r="QGQ1573" s="866"/>
      <c r="QGR1573" s="866"/>
      <c r="QGS1573" s="866"/>
      <c r="QGT1573" s="866"/>
      <c r="QGU1573" s="866"/>
      <c r="QGV1573" s="866"/>
      <c r="QGW1573" s="866"/>
      <c r="QGX1573" s="866"/>
      <c r="QGY1573" s="866"/>
      <c r="QGZ1573" s="866"/>
      <c r="QHA1573" s="866"/>
      <c r="QHB1573" s="866"/>
      <c r="QHC1573" s="866"/>
      <c r="QHD1573" s="866"/>
      <c r="QHE1573" s="866"/>
      <c r="QHF1573" s="866"/>
      <c r="QHG1573" s="866"/>
      <c r="QHH1573" s="866"/>
      <c r="QHI1573" s="866"/>
      <c r="QHJ1573" s="866"/>
      <c r="QHK1573" s="866"/>
      <c r="QHL1573" s="866"/>
      <c r="QHM1573" s="866"/>
      <c r="QHN1573" s="866"/>
      <c r="QHO1573" s="866"/>
      <c r="QHP1573" s="866"/>
      <c r="QHQ1573" s="866"/>
      <c r="QHR1573" s="866"/>
      <c r="QHS1573" s="866"/>
      <c r="QHT1573" s="866"/>
      <c r="QHU1573" s="866"/>
      <c r="QHV1573" s="866"/>
      <c r="QHW1573" s="866"/>
      <c r="QHX1573" s="866"/>
      <c r="QHY1573" s="866"/>
      <c r="QHZ1573" s="866"/>
      <c r="QIA1573" s="866"/>
      <c r="QIB1573" s="866"/>
      <c r="QIC1573" s="866"/>
      <c r="QID1573" s="866"/>
      <c r="QIE1573" s="866"/>
      <c r="QIF1573" s="866"/>
      <c r="QIG1573" s="866"/>
      <c r="QIH1573" s="866"/>
      <c r="QII1573" s="866"/>
      <c r="QIJ1573" s="866"/>
      <c r="QIK1573" s="866"/>
      <c r="QIL1573" s="866"/>
      <c r="QIM1573" s="866"/>
      <c r="QIN1573" s="866"/>
      <c r="QIO1573" s="866"/>
      <c r="QIP1573" s="866"/>
      <c r="QIQ1573" s="866"/>
      <c r="QIR1573" s="866"/>
      <c r="QIS1573" s="866"/>
      <c r="QIT1573" s="866"/>
      <c r="QIU1573" s="866"/>
      <c r="QIV1573" s="866"/>
      <c r="QIW1573" s="866"/>
      <c r="QIX1573" s="866"/>
      <c r="QIY1573" s="866"/>
      <c r="QIZ1573" s="866"/>
      <c r="QJA1573" s="866"/>
      <c r="QJB1573" s="866"/>
      <c r="QJC1573" s="866"/>
      <c r="QJD1573" s="866"/>
      <c r="QJE1573" s="866"/>
      <c r="QJF1573" s="866"/>
      <c r="QJG1573" s="866"/>
      <c r="QJH1573" s="866"/>
      <c r="QJI1573" s="866"/>
      <c r="QJJ1573" s="866"/>
      <c r="QJK1573" s="866"/>
      <c r="QJL1573" s="866"/>
      <c r="QJM1573" s="866"/>
      <c r="QJN1573" s="866"/>
      <c r="QJO1573" s="866"/>
      <c r="QJP1573" s="866"/>
      <c r="QJQ1573" s="866"/>
      <c r="QJR1573" s="866"/>
      <c r="QJS1573" s="866"/>
      <c r="QJT1573" s="866"/>
      <c r="QJU1573" s="866"/>
      <c r="QJV1573" s="866"/>
      <c r="QJW1573" s="866"/>
      <c r="QJX1573" s="866"/>
      <c r="QJY1573" s="866"/>
      <c r="QJZ1573" s="866"/>
      <c r="QKA1573" s="866"/>
      <c r="QKB1573" s="866"/>
      <c r="QKC1573" s="866"/>
      <c r="QKD1573" s="866"/>
      <c r="QKE1573" s="866"/>
      <c r="QKF1573" s="866"/>
      <c r="QKG1573" s="866"/>
      <c r="QKH1573" s="866"/>
      <c r="QKI1573" s="866"/>
      <c r="QKJ1573" s="866"/>
      <c r="QKK1573" s="866"/>
      <c r="QKL1573" s="866"/>
      <c r="QKM1573" s="866"/>
      <c r="QKN1573" s="866"/>
      <c r="QKO1573" s="866"/>
      <c r="QKP1573" s="866"/>
      <c r="QKQ1573" s="866"/>
      <c r="QKR1573" s="866"/>
      <c r="QKS1573" s="866"/>
      <c r="QKT1573" s="866"/>
      <c r="QKU1573" s="866"/>
      <c r="QKV1573" s="866"/>
      <c r="QKW1573" s="866"/>
      <c r="QKX1573" s="866"/>
      <c r="QKY1573" s="866"/>
      <c r="QKZ1573" s="866"/>
      <c r="QLA1573" s="866"/>
      <c r="QLB1573" s="866"/>
      <c r="QLC1573" s="866"/>
      <c r="QLD1573" s="866"/>
      <c r="QLE1573" s="866"/>
      <c r="QLF1573" s="866"/>
      <c r="QLG1573" s="866"/>
      <c r="QLH1573" s="866"/>
      <c r="QLI1573" s="866"/>
      <c r="QLJ1573" s="866"/>
      <c r="QLK1573" s="866"/>
      <c r="QLL1573" s="866"/>
      <c r="QLM1573" s="866"/>
      <c r="QLN1573" s="866"/>
      <c r="QLO1573" s="866"/>
      <c r="QLP1573" s="866"/>
      <c r="QLQ1573" s="866"/>
      <c r="QLR1573" s="866"/>
      <c r="QLS1573" s="866"/>
      <c r="QLT1573" s="866"/>
      <c r="QLU1573" s="866"/>
      <c r="QLV1573" s="866"/>
      <c r="QLW1573" s="866"/>
      <c r="QLX1573" s="866"/>
      <c r="QLY1573" s="866"/>
      <c r="QLZ1573" s="866"/>
      <c r="QMA1573" s="866"/>
      <c r="QMB1573" s="866"/>
      <c r="QMC1573" s="866"/>
      <c r="QMD1573" s="866"/>
      <c r="QME1573" s="866"/>
      <c r="QMF1573" s="866"/>
      <c r="QMG1573" s="866"/>
      <c r="QMH1573" s="866"/>
      <c r="QMI1573" s="866"/>
      <c r="QMJ1573" s="866"/>
      <c r="QMK1573" s="866"/>
      <c r="QML1573" s="866"/>
      <c r="QMM1573" s="866"/>
      <c r="QMN1573" s="866"/>
      <c r="QMO1573" s="866"/>
      <c r="QMP1573" s="866"/>
      <c r="QMQ1573" s="866"/>
      <c r="QMR1573" s="866"/>
      <c r="QMS1573" s="866"/>
      <c r="QMT1573" s="866"/>
      <c r="QMU1573" s="866"/>
      <c r="QMV1573" s="866"/>
      <c r="QMW1573" s="866"/>
      <c r="QMX1573" s="866"/>
      <c r="QMY1573" s="866"/>
      <c r="QMZ1573" s="866"/>
      <c r="QNA1573" s="866"/>
      <c r="QNB1573" s="866"/>
      <c r="QNC1573" s="866"/>
      <c r="QND1573" s="866"/>
      <c r="QNE1573" s="866"/>
      <c r="QNF1573" s="866"/>
      <c r="QNG1573" s="866"/>
      <c r="QNH1573" s="866"/>
      <c r="QNI1573" s="866"/>
      <c r="QNJ1573" s="866"/>
      <c r="QNK1573" s="866"/>
      <c r="QNL1573" s="866"/>
      <c r="QNM1573" s="866"/>
      <c r="QNN1573" s="866"/>
      <c r="QNO1573" s="866"/>
      <c r="QNP1573" s="866"/>
      <c r="QNQ1573" s="866"/>
      <c r="QNR1573" s="866"/>
      <c r="QNS1573" s="866"/>
      <c r="QNT1573" s="866"/>
      <c r="QNU1573" s="866"/>
      <c r="QNV1573" s="866"/>
      <c r="QNW1573" s="866"/>
      <c r="QNX1573" s="866"/>
      <c r="QNY1573" s="866"/>
      <c r="QNZ1573" s="866"/>
      <c r="QOA1573" s="866"/>
      <c r="QOB1573" s="866"/>
      <c r="QOC1573" s="866"/>
      <c r="QOD1573" s="866"/>
      <c r="QOE1573" s="866"/>
      <c r="QOF1573" s="866"/>
      <c r="QOG1573" s="866"/>
      <c r="QOH1573" s="866"/>
      <c r="QOI1573" s="866"/>
      <c r="QOJ1573" s="866"/>
      <c r="QOK1573" s="866"/>
      <c r="QOL1573" s="866"/>
      <c r="QOM1573" s="866"/>
      <c r="QON1573" s="866"/>
      <c r="QOO1573" s="866"/>
      <c r="QOP1573" s="866"/>
      <c r="QOQ1573" s="866"/>
      <c r="QOR1573" s="866"/>
      <c r="QOS1573" s="866"/>
      <c r="QOT1573" s="866"/>
      <c r="QOU1573" s="866"/>
      <c r="QOV1573" s="866"/>
      <c r="QOW1573" s="866"/>
      <c r="QOX1573" s="866"/>
      <c r="QOY1573" s="866"/>
      <c r="QOZ1573" s="866"/>
      <c r="QPA1573" s="866"/>
      <c r="QPB1573" s="866"/>
      <c r="QPC1573" s="866"/>
      <c r="QPD1573" s="866"/>
      <c r="QPE1573" s="866"/>
      <c r="QPF1573" s="866"/>
      <c r="QPG1573" s="866"/>
      <c r="QPH1573" s="866"/>
      <c r="QPI1573" s="866"/>
      <c r="QPJ1573" s="866"/>
      <c r="QPK1573" s="866"/>
      <c r="QPL1573" s="866"/>
      <c r="QPM1573" s="866"/>
      <c r="QPN1573" s="866"/>
      <c r="QPO1573" s="866"/>
      <c r="QPP1573" s="866"/>
      <c r="QPQ1573" s="866"/>
      <c r="QPR1573" s="866"/>
      <c r="QPS1573" s="866"/>
      <c r="QPT1573" s="866"/>
      <c r="QPU1573" s="866"/>
      <c r="QPV1573" s="866"/>
      <c r="QPW1573" s="866"/>
      <c r="QPX1573" s="866"/>
      <c r="QPY1573" s="866"/>
      <c r="QPZ1573" s="866"/>
      <c r="QQA1573" s="866"/>
      <c r="QQB1573" s="866"/>
      <c r="QQC1573" s="866"/>
      <c r="QQD1573" s="866"/>
      <c r="QQE1573" s="866"/>
      <c r="QQF1573" s="866"/>
      <c r="QQG1573" s="866"/>
      <c r="QQH1573" s="866"/>
      <c r="QQI1573" s="866"/>
      <c r="QQJ1573" s="866"/>
      <c r="QQK1573" s="866"/>
      <c r="QQL1573" s="866"/>
      <c r="QQM1573" s="866"/>
      <c r="QQN1573" s="866"/>
      <c r="QQO1573" s="866"/>
      <c r="QQP1573" s="866"/>
      <c r="QQQ1573" s="866"/>
      <c r="QQR1573" s="866"/>
      <c r="QQS1573" s="866"/>
      <c r="QQT1573" s="866"/>
      <c r="QQU1573" s="866"/>
      <c r="QQV1573" s="866"/>
      <c r="QQW1573" s="866"/>
      <c r="QQX1573" s="866"/>
      <c r="QQY1573" s="866"/>
      <c r="QQZ1573" s="866"/>
      <c r="QRA1573" s="866"/>
      <c r="QRB1573" s="866"/>
      <c r="QRC1573" s="866"/>
      <c r="QRD1573" s="866"/>
      <c r="QRE1573" s="866"/>
      <c r="QRF1573" s="866"/>
      <c r="QRG1573" s="866"/>
      <c r="QRH1573" s="866"/>
      <c r="QRI1573" s="866"/>
      <c r="QRJ1573" s="866"/>
      <c r="QRK1573" s="866"/>
      <c r="QRL1573" s="866"/>
      <c r="QRM1573" s="866"/>
      <c r="QRN1573" s="866"/>
      <c r="QRO1573" s="866"/>
      <c r="QRP1573" s="866"/>
      <c r="QRQ1573" s="866"/>
      <c r="QRR1573" s="866"/>
      <c r="QRS1573" s="866"/>
      <c r="QRT1573" s="866"/>
      <c r="QRU1573" s="866"/>
      <c r="QRV1573" s="866"/>
      <c r="QRW1573" s="866"/>
      <c r="QRX1573" s="866"/>
      <c r="QRY1573" s="866"/>
      <c r="QRZ1573" s="866"/>
      <c r="QSA1573" s="866"/>
      <c r="QSB1573" s="866"/>
      <c r="QSC1573" s="866"/>
      <c r="QSD1573" s="866"/>
      <c r="QSE1573" s="866"/>
      <c r="QSF1573" s="866"/>
      <c r="QSG1573" s="866"/>
      <c r="QSH1573" s="866"/>
      <c r="QSI1573" s="866"/>
      <c r="QSJ1573" s="866"/>
      <c r="QSK1573" s="866"/>
      <c r="QSL1573" s="866"/>
      <c r="QSM1573" s="866"/>
      <c r="QSN1573" s="866"/>
      <c r="QSO1573" s="866"/>
      <c r="QSP1573" s="866"/>
      <c r="QSQ1573" s="866"/>
      <c r="QSR1573" s="866"/>
      <c r="QSS1573" s="866"/>
      <c r="QST1573" s="866"/>
      <c r="QSU1573" s="866"/>
      <c r="QSV1573" s="866"/>
      <c r="QSW1573" s="866"/>
      <c r="QSX1573" s="866"/>
      <c r="QSY1573" s="866"/>
      <c r="QSZ1573" s="866"/>
      <c r="QTA1573" s="866"/>
      <c r="QTB1573" s="866"/>
      <c r="QTC1573" s="866"/>
      <c r="QTD1573" s="866"/>
      <c r="QTE1573" s="866"/>
      <c r="QTF1573" s="866"/>
      <c r="QTG1573" s="866"/>
      <c r="QTH1573" s="866"/>
      <c r="QTI1573" s="866"/>
      <c r="QTJ1573" s="866"/>
      <c r="QTK1573" s="866"/>
      <c r="QTL1573" s="866"/>
      <c r="QTM1573" s="866"/>
      <c r="QTN1573" s="866"/>
      <c r="QTO1573" s="866"/>
      <c r="QTP1573" s="866"/>
      <c r="QTQ1573" s="866"/>
      <c r="QTR1573" s="866"/>
      <c r="QTS1573" s="866"/>
      <c r="QTT1573" s="866"/>
      <c r="QTU1573" s="866"/>
      <c r="QTV1573" s="866"/>
      <c r="QTW1573" s="866"/>
      <c r="QTX1573" s="866"/>
      <c r="QTY1573" s="866"/>
      <c r="QTZ1573" s="866"/>
      <c r="QUA1573" s="866"/>
      <c r="QUB1573" s="866"/>
      <c r="QUC1573" s="866"/>
      <c r="QUD1573" s="866"/>
      <c r="QUE1573" s="866"/>
      <c r="QUF1573" s="866"/>
      <c r="QUG1573" s="866"/>
      <c r="QUH1573" s="866"/>
      <c r="QUI1573" s="866"/>
      <c r="QUJ1573" s="866"/>
      <c r="QUK1573" s="866"/>
      <c r="QUL1573" s="866"/>
      <c r="QUM1573" s="866"/>
      <c r="QUN1573" s="866"/>
      <c r="QUO1573" s="866"/>
      <c r="QUP1573" s="866"/>
      <c r="QUQ1573" s="866"/>
      <c r="QUR1573" s="866"/>
      <c r="QUS1573" s="866"/>
      <c r="QUT1573" s="866"/>
      <c r="QUU1573" s="866"/>
      <c r="QUV1573" s="866"/>
      <c r="QUW1573" s="866"/>
      <c r="QUX1573" s="866"/>
      <c r="QUY1573" s="866"/>
      <c r="QUZ1573" s="866"/>
      <c r="QVA1573" s="866"/>
      <c r="QVB1573" s="866"/>
      <c r="QVC1573" s="866"/>
      <c r="QVD1573" s="866"/>
      <c r="QVE1573" s="866"/>
      <c r="QVF1573" s="866"/>
      <c r="QVG1573" s="866"/>
      <c r="QVH1573" s="866"/>
      <c r="QVI1573" s="866"/>
      <c r="QVJ1573" s="866"/>
      <c r="QVK1573" s="866"/>
      <c r="QVL1573" s="866"/>
      <c r="QVM1573" s="866"/>
      <c r="QVN1573" s="866"/>
      <c r="QVO1573" s="866"/>
      <c r="QVP1573" s="866"/>
      <c r="QVQ1573" s="866"/>
      <c r="QVR1573" s="866"/>
      <c r="QVS1573" s="866"/>
      <c r="QVT1573" s="866"/>
      <c r="QVU1573" s="866"/>
      <c r="QVV1573" s="866"/>
      <c r="QVW1573" s="866"/>
      <c r="QVX1573" s="866"/>
      <c r="QVY1573" s="866"/>
      <c r="QVZ1573" s="866"/>
      <c r="QWA1573" s="866"/>
      <c r="QWB1573" s="866"/>
      <c r="QWC1573" s="866"/>
      <c r="QWD1573" s="866"/>
      <c r="QWE1573" s="866"/>
      <c r="QWF1573" s="866"/>
      <c r="QWG1573" s="866"/>
      <c r="QWH1573" s="866"/>
      <c r="QWI1573" s="866"/>
      <c r="QWJ1573" s="866"/>
      <c r="QWK1573" s="866"/>
      <c r="QWL1573" s="866"/>
      <c r="QWM1573" s="866"/>
      <c r="QWN1573" s="866"/>
      <c r="QWO1573" s="866"/>
      <c r="QWP1573" s="866"/>
      <c r="QWQ1573" s="866"/>
      <c r="QWR1573" s="866"/>
      <c r="QWS1573" s="866"/>
      <c r="QWT1573" s="866"/>
      <c r="QWU1573" s="866"/>
      <c r="QWV1573" s="866"/>
      <c r="QWW1573" s="866"/>
      <c r="QWX1573" s="866"/>
      <c r="QWY1573" s="866"/>
      <c r="QWZ1573" s="866"/>
      <c r="QXA1573" s="866"/>
      <c r="QXB1573" s="866"/>
      <c r="QXC1573" s="866"/>
      <c r="QXD1573" s="866"/>
      <c r="QXE1573" s="866"/>
      <c r="QXF1573" s="866"/>
      <c r="QXG1573" s="866"/>
      <c r="QXH1573" s="866"/>
      <c r="QXI1573" s="866"/>
      <c r="QXJ1573" s="866"/>
      <c r="QXK1573" s="866"/>
      <c r="QXL1573" s="866"/>
      <c r="QXM1573" s="866"/>
      <c r="QXN1573" s="866"/>
      <c r="QXO1573" s="866"/>
      <c r="QXP1573" s="866"/>
      <c r="QXQ1573" s="866"/>
      <c r="QXR1573" s="866"/>
      <c r="QXS1573" s="866"/>
      <c r="QXT1573" s="866"/>
      <c r="QXU1573" s="866"/>
      <c r="QXV1573" s="866"/>
      <c r="QXW1573" s="866"/>
      <c r="QXX1573" s="866"/>
      <c r="QXY1573" s="866"/>
      <c r="QXZ1573" s="866"/>
      <c r="QYA1573" s="866"/>
      <c r="QYB1573" s="866"/>
      <c r="QYC1573" s="866"/>
      <c r="QYD1573" s="866"/>
      <c r="QYE1573" s="866"/>
      <c r="QYF1573" s="866"/>
      <c r="QYG1573" s="866"/>
      <c r="QYH1573" s="866"/>
      <c r="QYI1573" s="866"/>
      <c r="QYJ1573" s="866"/>
      <c r="QYK1573" s="866"/>
      <c r="QYL1573" s="866"/>
      <c r="QYM1573" s="866"/>
      <c r="QYN1573" s="866"/>
      <c r="QYO1573" s="866"/>
      <c r="QYP1573" s="866"/>
      <c r="QYQ1573" s="866"/>
      <c r="QYR1573" s="866"/>
      <c r="QYS1573" s="866"/>
      <c r="QYT1573" s="866"/>
      <c r="QYU1573" s="866"/>
      <c r="QYV1573" s="866"/>
      <c r="QYW1573" s="866"/>
      <c r="QYX1573" s="866"/>
      <c r="QYY1573" s="866"/>
      <c r="QYZ1573" s="866"/>
      <c r="QZA1573" s="866"/>
      <c r="QZB1573" s="866"/>
      <c r="QZC1573" s="866"/>
      <c r="QZD1573" s="866"/>
      <c r="QZE1573" s="866"/>
      <c r="QZF1573" s="866"/>
      <c r="QZG1573" s="866"/>
      <c r="QZH1573" s="866"/>
      <c r="QZI1573" s="866"/>
      <c r="QZJ1573" s="866"/>
      <c r="QZK1573" s="866"/>
      <c r="QZL1573" s="866"/>
      <c r="QZM1573" s="866"/>
      <c r="QZN1573" s="866"/>
      <c r="QZO1573" s="866"/>
      <c r="QZP1573" s="866"/>
      <c r="QZQ1573" s="866"/>
      <c r="QZR1573" s="866"/>
      <c r="QZS1573" s="866"/>
      <c r="QZT1573" s="866"/>
      <c r="QZU1573" s="866"/>
      <c r="QZV1573" s="866"/>
      <c r="QZW1573" s="866"/>
      <c r="QZX1573" s="866"/>
      <c r="QZY1573" s="866"/>
      <c r="QZZ1573" s="866"/>
      <c r="RAA1573" s="866"/>
      <c r="RAB1573" s="866"/>
      <c r="RAC1573" s="866"/>
      <c r="RAD1573" s="866"/>
      <c r="RAE1573" s="866"/>
      <c r="RAF1573" s="866"/>
      <c r="RAG1573" s="866"/>
      <c r="RAH1573" s="866"/>
      <c r="RAI1573" s="866"/>
      <c r="RAJ1573" s="866"/>
      <c r="RAK1573" s="866"/>
      <c r="RAL1573" s="866"/>
      <c r="RAM1573" s="866"/>
      <c r="RAN1573" s="866"/>
      <c r="RAO1573" s="866"/>
      <c r="RAP1573" s="866"/>
      <c r="RAQ1573" s="866"/>
      <c r="RAR1573" s="866"/>
      <c r="RAS1573" s="866"/>
      <c r="RAT1573" s="866"/>
      <c r="RAU1573" s="866"/>
      <c r="RAV1573" s="866"/>
      <c r="RAW1573" s="866"/>
      <c r="RAX1573" s="866"/>
      <c r="RAY1573" s="866"/>
      <c r="RAZ1573" s="866"/>
      <c r="RBA1573" s="866"/>
      <c r="RBB1573" s="866"/>
      <c r="RBC1573" s="866"/>
      <c r="RBD1573" s="866"/>
      <c r="RBE1573" s="866"/>
      <c r="RBF1573" s="866"/>
      <c r="RBG1573" s="866"/>
      <c r="RBH1573" s="866"/>
      <c r="RBI1573" s="866"/>
      <c r="RBJ1573" s="866"/>
      <c r="RBK1573" s="866"/>
      <c r="RBL1573" s="866"/>
      <c r="RBM1573" s="866"/>
      <c r="RBN1573" s="866"/>
      <c r="RBO1573" s="866"/>
      <c r="RBP1573" s="866"/>
      <c r="RBQ1573" s="866"/>
      <c r="RBR1573" s="866"/>
      <c r="RBS1573" s="866"/>
      <c r="RBT1573" s="866"/>
      <c r="RBU1573" s="866"/>
      <c r="RBV1573" s="866"/>
      <c r="RBW1573" s="866"/>
      <c r="RBX1573" s="866"/>
      <c r="RBY1573" s="866"/>
      <c r="RBZ1573" s="866"/>
      <c r="RCA1573" s="866"/>
      <c r="RCB1573" s="866"/>
      <c r="RCC1573" s="866"/>
      <c r="RCD1573" s="866"/>
      <c r="RCE1573" s="866"/>
      <c r="RCF1573" s="866"/>
      <c r="RCG1573" s="866"/>
      <c r="RCH1573" s="866"/>
      <c r="RCI1573" s="866"/>
      <c r="RCJ1573" s="866"/>
      <c r="RCK1573" s="866"/>
      <c r="RCL1573" s="866"/>
      <c r="RCM1573" s="866"/>
      <c r="RCN1573" s="866"/>
      <c r="RCO1573" s="866"/>
      <c r="RCP1573" s="866"/>
      <c r="RCQ1573" s="866"/>
      <c r="RCR1573" s="866"/>
      <c r="RCS1573" s="866"/>
      <c r="RCT1573" s="866"/>
      <c r="RCU1573" s="866"/>
      <c r="RCV1573" s="866"/>
      <c r="RCW1573" s="866"/>
      <c r="RCX1573" s="866"/>
      <c r="RCY1573" s="866"/>
      <c r="RCZ1573" s="866"/>
      <c r="RDA1573" s="866"/>
      <c r="RDB1573" s="866"/>
      <c r="RDC1573" s="866"/>
      <c r="RDD1573" s="866"/>
      <c r="RDE1573" s="866"/>
      <c r="RDF1573" s="866"/>
      <c r="RDG1573" s="866"/>
      <c r="RDH1573" s="866"/>
      <c r="RDI1573" s="866"/>
      <c r="RDJ1573" s="866"/>
      <c r="RDK1573" s="866"/>
      <c r="RDL1573" s="866"/>
      <c r="RDM1573" s="866"/>
      <c r="RDN1573" s="866"/>
      <c r="RDO1573" s="866"/>
      <c r="RDP1573" s="866"/>
      <c r="RDQ1573" s="866"/>
      <c r="RDR1573" s="866"/>
      <c r="RDS1573" s="866"/>
      <c r="RDT1573" s="866"/>
      <c r="RDU1573" s="866"/>
      <c r="RDV1573" s="866"/>
      <c r="RDW1573" s="866"/>
      <c r="RDX1573" s="866"/>
      <c r="RDY1573" s="866"/>
      <c r="RDZ1573" s="866"/>
      <c r="REA1573" s="866"/>
      <c r="REB1573" s="866"/>
      <c r="REC1573" s="866"/>
      <c r="RED1573" s="866"/>
      <c r="REE1573" s="866"/>
      <c r="REF1573" s="866"/>
      <c r="REG1573" s="866"/>
      <c r="REH1573" s="866"/>
      <c r="REI1573" s="866"/>
      <c r="REJ1573" s="866"/>
      <c r="REK1573" s="866"/>
      <c r="REL1573" s="866"/>
      <c r="REM1573" s="866"/>
      <c r="REN1573" s="866"/>
      <c r="REO1573" s="866"/>
      <c r="REP1573" s="866"/>
      <c r="REQ1573" s="866"/>
      <c r="RER1573" s="866"/>
      <c r="RES1573" s="866"/>
      <c r="RET1573" s="866"/>
      <c r="REU1573" s="866"/>
      <c r="REV1573" s="866"/>
      <c r="REW1573" s="866"/>
      <c r="REX1573" s="866"/>
      <c r="REY1573" s="866"/>
      <c r="REZ1573" s="866"/>
      <c r="RFA1573" s="866"/>
      <c r="RFB1573" s="866"/>
      <c r="RFC1573" s="866"/>
      <c r="RFD1573" s="866"/>
      <c r="RFE1573" s="866"/>
      <c r="RFF1573" s="866"/>
      <c r="RFG1573" s="866"/>
      <c r="RFH1573" s="866"/>
      <c r="RFI1573" s="866"/>
      <c r="RFJ1573" s="866"/>
      <c r="RFK1573" s="866"/>
      <c r="RFL1573" s="866"/>
      <c r="RFM1573" s="866"/>
      <c r="RFN1573" s="866"/>
      <c r="RFO1573" s="866"/>
      <c r="RFP1573" s="866"/>
      <c r="RFQ1573" s="866"/>
      <c r="RFR1573" s="866"/>
      <c r="RFS1573" s="866"/>
      <c r="RFT1573" s="866"/>
      <c r="RFU1573" s="866"/>
      <c r="RFV1573" s="866"/>
      <c r="RFW1573" s="866"/>
      <c r="RFX1573" s="866"/>
      <c r="RFY1573" s="866"/>
      <c r="RFZ1573" s="866"/>
      <c r="RGA1573" s="866"/>
      <c r="RGB1573" s="866"/>
      <c r="RGC1573" s="866"/>
      <c r="RGD1573" s="866"/>
      <c r="RGE1573" s="866"/>
      <c r="RGF1573" s="866"/>
      <c r="RGG1573" s="866"/>
      <c r="RGH1573" s="866"/>
      <c r="RGI1573" s="866"/>
      <c r="RGJ1573" s="866"/>
      <c r="RGK1573" s="866"/>
      <c r="RGL1573" s="866"/>
      <c r="RGM1573" s="866"/>
      <c r="RGN1573" s="866"/>
      <c r="RGO1573" s="866"/>
      <c r="RGP1573" s="866"/>
      <c r="RGQ1573" s="866"/>
      <c r="RGR1573" s="866"/>
      <c r="RGS1573" s="866"/>
      <c r="RGT1573" s="866"/>
      <c r="RGU1573" s="866"/>
      <c r="RGV1573" s="866"/>
      <c r="RGW1573" s="866"/>
      <c r="RGX1573" s="866"/>
      <c r="RGY1573" s="866"/>
      <c r="RGZ1573" s="866"/>
      <c r="RHA1573" s="866"/>
      <c r="RHB1573" s="866"/>
      <c r="RHC1573" s="866"/>
      <c r="RHD1573" s="866"/>
      <c r="RHE1573" s="866"/>
      <c r="RHF1573" s="866"/>
      <c r="RHG1573" s="866"/>
      <c r="RHH1573" s="866"/>
      <c r="RHI1573" s="866"/>
      <c r="RHJ1573" s="866"/>
      <c r="RHK1573" s="866"/>
      <c r="RHL1573" s="866"/>
      <c r="RHM1573" s="866"/>
      <c r="RHN1573" s="866"/>
      <c r="RHO1573" s="866"/>
      <c r="RHP1573" s="866"/>
      <c r="RHQ1573" s="866"/>
      <c r="RHR1573" s="866"/>
      <c r="RHS1573" s="866"/>
      <c r="RHT1573" s="866"/>
      <c r="RHU1573" s="866"/>
      <c r="RHV1573" s="866"/>
      <c r="RHW1573" s="866"/>
      <c r="RHX1573" s="866"/>
      <c r="RHY1573" s="866"/>
      <c r="RHZ1573" s="866"/>
      <c r="RIA1573" s="866"/>
      <c r="RIB1573" s="866"/>
      <c r="RIC1573" s="866"/>
      <c r="RID1573" s="866"/>
      <c r="RIE1573" s="866"/>
      <c r="RIF1573" s="866"/>
      <c r="RIG1573" s="866"/>
      <c r="RIH1573" s="866"/>
      <c r="RII1573" s="866"/>
      <c r="RIJ1573" s="866"/>
      <c r="RIK1573" s="866"/>
      <c r="RIL1573" s="866"/>
      <c r="RIM1573" s="866"/>
      <c r="RIN1573" s="866"/>
      <c r="RIO1573" s="866"/>
      <c r="RIP1573" s="866"/>
      <c r="RIQ1573" s="866"/>
      <c r="RIR1573" s="866"/>
      <c r="RIS1573" s="866"/>
      <c r="RIT1573" s="866"/>
      <c r="RIU1573" s="866"/>
      <c r="RIV1573" s="866"/>
      <c r="RIW1573" s="866"/>
      <c r="RIX1573" s="866"/>
      <c r="RIY1573" s="866"/>
      <c r="RIZ1573" s="866"/>
      <c r="RJA1573" s="866"/>
      <c r="RJB1573" s="866"/>
      <c r="RJC1573" s="866"/>
      <c r="RJD1573" s="866"/>
      <c r="RJE1573" s="866"/>
      <c r="RJF1573" s="866"/>
      <c r="RJG1573" s="866"/>
      <c r="RJH1573" s="866"/>
      <c r="RJI1573" s="866"/>
      <c r="RJJ1573" s="866"/>
      <c r="RJK1573" s="866"/>
      <c r="RJL1573" s="866"/>
      <c r="RJM1573" s="866"/>
      <c r="RJN1573" s="866"/>
      <c r="RJO1573" s="866"/>
      <c r="RJP1573" s="866"/>
      <c r="RJQ1573" s="866"/>
      <c r="RJR1573" s="866"/>
      <c r="RJS1573" s="866"/>
      <c r="RJT1573" s="866"/>
      <c r="RJU1573" s="866"/>
      <c r="RJV1573" s="866"/>
      <c r="RJW1573" s="866"/>
      <c r="RJX1573" s="866"/>
      <c r="RJY1573" s="866"/>
      <c r="RJZ1573" s="866"/>
      <c r="RKA1573" s="866"/>
      <c r="RKB1573" s="866"/>
      <c r="RKC1573" s="866"/>
      <c r="RKD1573" s="866"/>
      <c r="RKE1573" s="866"/>
      <c r="RKF1573" s="866"/>
      <c r="RKG1573" s="866"/>
      <c r="RKH1573" s="866"/>
      <c r="RKI1573" s="866"/>
      <c r="RKJ1573" s="866"/>
      <c r="RKK1573" s="866"/>
      <c r="RKL1573" s="866"/>
      <c r="RKM1573" s="866"/>
      <c r="RKN1573" s="866"/>
      <c r="RKO1573" s="866"/>
      <c r="RKP1573" s="866"/>
      <c r="RKQ1573" s="866"/>
      <c r="RKR1573" s="866"/>
      <c r="RKS1573" s="866"/>
      <c r="RKT1573" s="866"/>
      <c r="RKU1573" s="866"/>
      <c r="RKV1573" s="866"/>
      <c r="RKW1573" s="866"/>
      <c r="RKX1573" s="866"/>
      <c r="RKY1573" s="866"/>
      <c r="RKZ1573" s="866"/>
      <c r="RLA1573" s="866"/>
      <c r="RLB1573" s="866"/>
      <c r="RLC1573" s="866"/>
      <c r="RLD1573" s="866"/>
      <c r="RLE1573" s="866"/>
      <c r="RLF1573" s="866"/>
      <c r="RLG1573" s="866"/>
      <c r="RLH1573" s="866"/>
      <c r="RLI1573" s="866"/>
      <c r="RLJ1573" s="866"/>
      <c r="RLK1573" s="866"/>
      <c r="RLL1573" s="866"/>
      <c r="RLM1573" s="866"/>
      <c r="RLN1573" s="866"/>
      <c r="RLO1573" s="866"/>
      <c r="RLP1573" s="866"/>
      <c r="RLQ1573" s="866"/>
      <c r="RLR1573" s="866"/>
      <c r="RLS1573" s="866"/>
      <c r="RLT1573" s="866"/>
      <c r="RLU1573" s="866"/>
      <c r="RLV1573" s="866"/>
      <c r="RLW1573" s="866"/>
      <c r="RLX1573" s="866"/>
      <c r="RLY1573" s="866"/>
      <c r="RLZ1573" s="866"/>
      <c r="RMA1573" s="866"/>
      <c r="RMB1573" s="866"/>
      <c r="RMC1573" s="866"/>
      <c r="RMD1573" s="866"/>
      <c r="RME1573" s="866"/>
      <c r="RMF1573" s="866"/>
      <c r="RMG1573" s="866"/>
      <c r="RMH1573" s="866"/>
      <c r="RMI1573" s="866"/>
      <c r="RMJ1573" s="866"/>
      <c r="RMK1573" s="866"/>
      <c r="RML1573" s="866"/>
      <c r="RMM1573" s="866"/>
      <c r="RMN1573" s="866"/>
      <c r="RMO1573" s="866"/>
      <c r="RMP1573" s="866"/>
      <c r="RMQ1573" s="866"/>
      <c r="RMR1573" s="866"/>
      <c r="RMS1573" s="866"/>
      <c r="RMT1573" s="866"/>
      <c r="RMU1573" s="866"/>
      <c r="RMV1573" s="866"/>
      <c r="RMW1573" s="866"/>
      <c r="RMX1573" s="866"/>
      <c r="RMY1573" s="866"/>
      <c r="RMZ1573" s="866"/>
      <c r="RNA1573" s="866"/>
      <c r="RNB1573" s="866"/>
      <c r="RNC1573" s="866"/>
      <c r="RND1573" s="866"/>
      <c r="RNE1573" s="866"/>
      <c r="RNF1573" s="866"/>
      <c r="RNG1573" s="866"/>
      <c r="RNH1573" s="866"/>
      <c r="RNI1573" s="866"/>
      <c r="RNJ1573" s="866"/>
      <c r="RNK1573" s="866"/>
      <c r="RNL1573" s="866"/>
      <c r="RNM1573" s="866"/>
      <c r="RNN1573" s="866"/>
      <c r="RNO1573" s="866"/>
      <c r="RNP1573" s="866"/>
      <c r="RNQ1573" s="866"/>
      <c r="RNR1573" s="866"/>
      <c r="RNS1573" s="866"/>
      <c r="RNT1573" s="866"/>
      <c r="RNU1573" s="866"/>
      <c r="RNV1573" s="866"/>
      <c r="RNW1573" s="866"/>
      <c r="RNX1573" s="866"/>
      <c r="RNY1573" s="866"/>
      <c r="RNZ1573" s="866"/>
      <c r="ROA1573" s="866"/>
      <c r="ROB1573" s="866"/>
      <c r="ROC1573" s="866"/>
      <c r="ROD1573" s="866"/>
      <c r="ROE1573" s="866"/>
      <c r="ROF1573" s="866"/>
      <c r="ROG1573" s="866"/>
      <c r="ROH1573" s="866"/>
      <c r="ROI1573" s="866"/>
      <c r="ROJ1573" s="866"/>
      <c r="ROK1573" s="866"/>
      <c r="ROL1573" s="866"/>
      <c r="ROM1573" s="866"/>
      <c r="RON1573" s="866"/>
      <c r="ROO1573" s="866"/>
      <c r="ROP1573" s="866"/>
      <c r="ROQ1573" s="866"/>
      <c r="ROR1573" s="866"/>
      <c r="ROS1573" s="866"/>
      <c r="ROT1573" s="866"/>
      <c r="ROU1573" s="866"/>
      <c r="ROV1573" s="866"/>
      <c r="ROW1573" s="866"/>
      <c r="ROX1573" s="866"/>
      <c r="ROY1573" s="866"/>
      <c r="ROZ1573" s="866"/>
      <c r="RPA1573" s="866"/>
      <c r="RPB1573" s="866"/>
      <c r="RPC1573" s="866"/>
      <c r="RPD1573" s="866"/>
      <c r="RPE1573" s="866"/>
      <c r="RPF1573" s="866"/>
      <c r="RPG1573" s="866"/>
      <c r="RPH1573" s="866"/>
      <c r="RPI1573" s="866"/>
      <c r="RPJ1573" s="866"/>
      <c r="RPK1573" s="866"/>
      <c r="RPL1573" s="866"/>
      <c r="RPM1573" s="866"/>
      <c r="RPN1573" s="866"/>
      <c r="RPO1573" s="866"/>
      <c r="RPP1573" s="866"/>
      <c r="RPQ1573" s="866"/>
      <c r="RPR1573" s="866"/>
      <c r="RPS1573" s="866"/>
      <c r="RPT1573" s="866"/>
      <c r="RPU1573" s="866"/>
      <c r="RPV1573" s="866"/>
      <c r="RPW1573" s="866"/>
      <c r="RPX1573" s="866"/>
      <c r="RPY1573" s="866"/>
      <c r="RPZ1573" s="866"/>
      <c r="RQA1573" s="866"/>
      <c r="RQB1573" s="866"/>
      <c r="RQC1573" s="866"/>
      <c r="RQD1573" s="866"/>
      <c r="RQE1573" s="866"/>
      <c r="RQF1573" s="866"/>
      <c r="RQG1573" s="866"/>
      <c r="RQH1573" s="866"/>
      <c r="RQI1573" s="866"/>
      <c r="RQJ1573" s="866"/>
      <c r="RQK1573" s="866"/>
      <c r="RQL1573" s="866"/>
      <c r="RQM1573" s="866"/>
      <c r="RQN1573" s="866"/>
      <c r="RQO1573" s="866"/>
      <c r="RQP1573" s="866"/>
      <c r="RQQ1573" s="866"/>
      <c r="RQR1573" s="866"/>
      <c r="RQS1573" s="866"/>
      <c r="RQT1573" s="866"/>
      <c r="RQU1573" s="866"/>
      <c r="RQV1573" s="866"/>
      <c r="RQW1573" s="866"/>
      <c r="RQX1573" s="866"/>
      <c r="RQY1573" s="866"/>
      <c r="RQZ1573" s="866"/>
      <c r="RRA1573" s="866"/>
      <c r="RRB1573" s="866"/>
      <c r="RRC1573" s="866"/>
      <c r="RRD1573" s="866"/>
      <c r="RRE1573" s="866"/>
      <c r="RRF1573" s="866"/>
      <c r="RRG1573" s="866"/>
      <c r="RRH1573" s="866"/>
      <c r="RRI1573" s="866"/>
      <c r="RRJ1573" s="866"/>
      <c r="RRK1573" s="866"/>
      <c r="RRL1573" s="866"/>
      <c r="RRM1573" s="866"/>
      <c r="RRN1573" s="866"/>
      <c r="RRO1573" s="866"/>
      <c r="RRP1573" s="866"/>
      <c r="RRQ1573" s="866"/>
      <c r="RRR1573" s="866"/>
      <c r="RRS1573" s="866"/>
      <c r="RRT1573" s="866"/>
      <c r="RRU1573" s="866"/>
      <c r="RRV1573" s="866"/>
      <c r="RRW1573" s="866"/>
      <c r="RRX1573" s="866"/>
      <c r="RRY1573" s="866"/>
      <c r="RRZ1573" s="866"/>
      <c r="RSA1573" s="866"/>
      <c r="RSB1573" s="866"/>
      <c r="RSC1573" s="866"/>
      <c r="RSD1573" s="866"/>
      <c r="RSE1573" s="866"/>
      <c r="RSF1573" s="866"/>
      <c r="RSG1573" s="866"/>
      <c r="RSH1573" s="866"/>
      <c r="RSI1573" s="866"/>
      <c r="RSJ1573" s="866"/>
      <c r="RSK1573" s="866"/>
      <c r="RSL1573" s="866"/>
      <c r="RSM1573" s="866"/>
      <c r="RSN1573" s="866"/>
      <c r="RSO1573" s="866"/>
      <c r="RSP1573" s="866"/>
      <c r="RSQ1573" s="866"/>
      <c r="RSR1573" s="866"/>
      <c r="RSS1573" s="866"/>
      <c r="RST1573" s="866"/>
      <c r="RSU1573" s="866"/>
      <c r="RSV1573" s="866"/>
      <c r="RSW1573" s="866"/>
      <c r="RSX1573" s="866"/>
      <c r="RSY1573" s="866"/>
      <c r="RSZ1573" s="866"/>
      <c r="RTA1573" s="866"/>
      <c r="RTB1573" s="866"/>
      <c r="RTC1573" s="866"/>
      <c r="RTD1573" s="866"/>
      <c r="RTE1573" s="866"/>
      <c r="RTF1573" s="866"/>
      <c r="RTG1573" s="866"/>
      <c r="RTH1573" s="866"/>
      <c r="RTI1573" s="866"/>
      <c r="RTJ1573" s="866"/>
      <c r="RTK1573" s="866"/>
      <c r="RTL1573" s="866"/>
      <c r="RTM1573" s="866"/>
      <c r="RTN1573" s="866"/>
      <c r="RTO1573" s="866"/>
      <c r="RTP1573" s="866"/>
      <c r="RTQ1573" s="866"/>
      <c r="RTR1573" s="866"/>
      <c r="RTS1573" s="866"/>
      <c r="RTT1573" s="866"/>
      <c r="RTU1573" s="866"/>
      <c r="RTV1573" s="866"/>
      <c r="RTW1573" s="866"/>
      <c r="RTX1573" s="866"/>
      <c r="RTY1573" s="866"/>
      <c r="RTZ1573" s="866"/>
      <c r="RUA1573" s="866"/>
      <c r="RUB1573" s="866"/>
      <c r="RUC1573" s="866"/>
      <c r="RUD1573" s="866"/>
      <c r="RUE1573" s="866"/>
      <c r="RUF1573" s="866"/>
      <c r="RUG1573" s="866"/>
      <c r="RUH1573" s="866"/>
      <c r="RUI1573" s="866"/>
      <c r="RUJ1573" s="866"/>
      <c r="RUK1573" s="866"/>
      <c r="RUL1573" s="866"/>
      <c r="RUM1573" s="866"/>
      <c r="RUN1573" s="866"/>
      <c r="RUO1573" s="866"/>
      <c r="RUP1573" s="866"/>
      <c r="RUQ1573" s="866"/>
      <c r="RUR1573" s="866"/>
      <c r="RUS1573" s="866"/>
      <c r="RUT1573" s="866"/>
      <c r="RUU1573" s="866"/>
      <c r="RUV1573" s="866"/>
      <c r="RUW1573" s="866"/>
      <c r="RUX1573" s="866"/>
      <c r="RUY1573" s="866"/>
      <c r="RUZ1573" s="866"/>
      <c r="RVA1573" s="866"/>
      <c r="RVB1573" s="866"/>
      <c r="RVC1573" s="866"/>
      <c r="RVD1573" s="866"/>
      <c r="RVE1573" s="866"/>
      <c r="RVF1573" s="866"/>
      <c r="RVG1573" s="866"/>
      <c r="RVH1573" s="866"/>
      <c r="RVI1573" s="866"/>
      <c r="RVJ1573" s="866"/>
      <c r="RVK1573" s="866"/>
      <c r="RVL1573" s="866"/>
      <c r="RVM1573" s="866"/>
      <c r="RVN1573" s="866"/>
      <c r="RVO1573" s="866"/>
      <c r="RVP1573" s="866"/>
      <c r="RVQ1573" s="866"/>
      <c r="RVR1573" s="866"/>
      <c r="RVS1573" s="866"/>
      <c r="RVT1573" s="866"/>
      <c r="RVU1573" s="866"/>
      <c r="RVV1573" s="866"/>
      <c r="RVW1573" s="866"/>
      <c r="RVX1573" s="866"/>
      <c r="RVY1573" s="866"/>
      <c r="RVZ1573" s="866"/>
      <c r="RWA1573" s="866"/>
      <c r="RWB1573" s="866"/>
      <c r="RWC1573" s="866"/>
      <c r="RWD1573" s="866"/>
      <c r="RWE1573" s="866"/>
      <c r="RWF1573" s="866"/>
      <c r="RWG1573" s="866"/>
      <c r="RWH1573" s="866"/>
      <c r="RWI1573" s="866"/>
      <c r="RWJ1573" s="866"/>
      <c r="RWK1573" s="866"/>
      <c r="RWL1573" s="866"/>
      <c r="RWM1573" s="866"/>
      <c r="RWN1573" s="866"/>
      <c r="RWO1573" s="866"/>
      <c r="RWP1573" s="866"/>
      <c r="RWQ1573" s="866"/>
      <c r="RWR1573" s="866"/>
      <c r="RWS1573" s="866"/>
      <c r="RWT1573" s="866"/>
      <c r="RWU1573" s="866"/>
      <c r="RWV1573" s="866"/>
      <c r="RWW1573" s="866"/>
      <c r="RWX1573" s="866"/>
      <c r="RWY1573" s="866"/>
      <c r="RWZ1573" s="866"/>
      <c r="RXA1573" s="866"/>
      <c r="RXB1573" s="866"/>
      <c r="RXC1573" s="866"/>
      <c r="RXD1573" s="866"/>
      <c r="RXE1573" s="866"/>
      <c r="RXF1573" s="866"/>
      <c r="RXG1573" s="866"/>
      <c r="RXH1573" s="866"/>
      <c r="RXI1573" s="866"/>
      <c r="RXJ1573" s="866"/>
      <c r="RXK1573" s="866"/>
      <c r="RXL1573" s="866"/>
      <c r="RXM1573" s="866"/>
      <c r="RXN1573" s="866"/>
      <c r="RXO1573" s="866"/>
      <c r="RXP1573" s="866"/>
      <c r="RXQ1573" s="866"/>
      <c r="RXR1573" s="866"/>
      <c r="RXS1573" s="866"/>
      <c r="RXT1573" s="866"/>
      <c r="RXU1573" s="866"/>
      <c r="RXV1573" s="866"/>
      <c r="RXW1573" s="866"/>
      <c r="RXX1573" s="866"/>
      <c r="RXY1573" s="866"/>
      <c r="RXZ1573" s="866"/>
      <c r="RYA1573" s="866"/>
      <c r="RYB1573" s="866"/>
      <c r="RYC1573" s="866"/>
      <c r="RYD1573" s="866"/>
      <c r="RYE1573" s="866"/>
      <c r="RYF1573" s="866"/>
      <c r="RYG1573" s="866"/>
      <c r="RYH1573" s="866"/>
      <c r="RYI1573" s="866"/>
      <c r="RYJ1573" s="866"/>
      <c r="RYK1573" s="866"/>
      <c r="RYL1573" s="866"/>
      <c r="RYM1573" s="866"/>
      <c r="RYN1573" s="866"/>
      <c r="RYO1573" s="866"/>
      <c r="RYP1573" s="866"/>
      <c r="RYQ1573" s="866"/>
      <c r="RYR1573" s="866"/>
      <c r="RYS1573" s="866"/>
      <c r="RYT1573" s="866"/>
      <c r="RYU1573" s="866"/>
      <c r="RYV1573" s="866"/>
      <c r="RYW1573" s="866"/>
      <c r="RYX1573" s="866"/>
      <c r="RYY1573" s="866"/>
      <c r="RYZ1573" s="866"/>
      <c r="RZA1573" s="866"/>
      <c r="RZB1573" s="866"/>
      <c r="RZC1573" s="866"/>
      <c r="RZD1573" s="866"/>
      <c r="RZE1573" s="866"/>
      <c r="RZF1573" s="866"/>
      <c r="RZG1573" s="866"/>
      <c r="RZH1573" s="866"/>
      <c r="RZI1573" s="866"/>
      <c r="RZJ1573" s="866"/>
      <c r="RZK1573" s="866"/>
      <c r="RZL1573" s="866"/>
      <c r="RZM1573" s="866"/>
      <c r="RZN1573" s="866"/>
      <c r="RZO1573" s="866"/>
      <c r="RZP1573" s="866"/>
      <c r="RZQ1573" s="866"/>
      <c r="RZR1573" s="866"/>
      <c r="RZS1573" s="866"/>
      <c r="RZT1573" s="866"/>
      <c r="RZU1573" s="866"/>
      <c r="RZV1573" s="866"/>
      <c r="RZW1573" s="866"/>
      <c r="RZX1573" s="866"/>
      <c r="RZY1573" s="866"/>
      <c r="RZZ1573" s="866"/>
      <c r="SAA1573" s="866"/>
      <c r="SAB1573" s="866"/>
      <c r="SAC1573" s="866"/>
      <c r="SAD1573" s="866"/>
      <c r="SAE1573" s="866"/>
      <c r="SAF1573" s="866"/>
      <c r="SAG1573" s="866"/>
      <c r="SAH1573" s="866"/>
      <c r="SAI1573" s="866"/>
      <c r="SAJ1573" s="866"/>
      <c r="SAK1573" s="866"/>
      <c r="SAL1573" s="866"/>
      <c r="SAM1573" s="866"/>
      <c r="SAN1573" s="866"/>
      <c r="SAO1573" s="866"/>
      <c r="SAP1573" s="866"/>
      <c r="SAQ1573" s="866"/>
      <c r="SAR1573" s="866"/>
      <c r="SAS1573" s="866"/>
      <c r="SAT1573" s="866"/>
      <c r="SAU1573" s="866"/>
      <c r="SAV1573" s="866"/>
      <c r="SAW1573" s="866"/>
      <c r="SAX1573" s="866"/>
      <c r="SAY1573" s="866"/>
      <c r="SAZ1573" s="866"/>
      <c r="SBA1573" s="866"/>
      <c r="SBB1573" s="866"/>
      <c r="SBC1573" s="866"/>
      <c r="SBD1573" s="866"/>
      <c r="SBE1573" s="866"/>
      <c r="SBF1573" s="866"/>
      <c r="SBG1573" s="866"/>
      <c r="SBH1573" s="866"/>
      <c r="SBI1573" s="866"/>
      <c r="SBJ1573" s="866"/>
      <c r="SBK1573" s="866"/>
      <c r="SBL1573" s="866"/>
      <c r="SBM1573" s="866"/>
      <c r="SBN1573" s="866"/>
      <c r="SBO1573" s="866"/>
      <c r="SBP1573" s="866"/>
      <c r="SBQ1573" s="866"/>
      <c r="SBR1573" s="866"/>
      <c r="SBS1573" s="866"/>
      <c r="SBT1573" s="866"/>
      <c r="SBU1573" s="866"/>
      <c r="SBV1573" s="866"/>
      <c r="SBW1573" s="866"/>
      <c r="SBX1573" s="866"/>
      <c r="SBY1573" s="866"/>
      <c r="SBZ1573" s="866"/>
      <c r="SCA1573" s="866"/>
      <c r="SCB1573" s="866"/>
      <c r="SCC1573" s="866"/>
      <c r="SCD1573" s="866"/>
      <c r="SCE1573" s="866"/>
      <c r="SCF1573" s="866"/>
      <c r="SCG1573" s="866"/>
      <c r="SCH1573" s="866"/>
      <c r="SCI1573" s="866"/>
      <c r="SCJ1573" s="866"/>
      <c r="SCK1573" s="866"/>
      <c r="SCL1573" s="866"/>
      <c r="SCM1573" s="866"/>
      <c r="SCN1573" s="866"/>
      <c r="SCO1573" s="866"/>
      <c r="SCP1573" s="866"/>
      <c r="SCQ1573" s="866"/>
      <c r="SCR1573" s="866"/>
      <c r="SCS1573" s="866"/>
      <c r="SCT1573" s="866"/>
      <c r="SCU1573" s="866"/>
      <c r="SCV1573" s="866"/>
      <c r="SCW1573" s="866"/>
      <c r="SCX1573" s="866"/>
      <c r="SCY1573" s="866"/>
      <c r="SCZ1573" s="866"/>
      <c r="SDA1573" s="866"/>
      <c r="SDB1573" s="866"/>
      <c r="SDC1573" s="866"/>
      <c r="SDD1573" s="866"/>
      <c r="SDE1573" s="866"/>
      <c r="SDF1573" s="866"/>
      <c r="SDG1573" s="866"/>
      <c r="SDH1573" s="866"/>
      <c r="SDI1573" s="866"/>
      <c r="SDJ1573" s="866"/>
      <c r="SDK1573" s="866"/>
      <c r="SDL1573" s="866"/>
      <c r="SDM1573" s="866"/>
      <c r="SDN1573" s="866"/>
      <c r="SDO1573" s="866"/>
      <c r="SDP1573" s="866"/>
      <c r="SDQ1573" s="866"/>
      <c r="SDR1573" s="866"/>
      <c r="SDS1573" s="866"/>
      <c r="SDT1573" s="866"/>
      <c r="SDU1573" s="866"/>
      <c r="SDV1573" s="866"/>
      <c r="SDW1573" s="866"/>
      <c r="SDX1573" s="866"/>
      <c r="SDY1573" s="866"/>
      <c r="SDZ1573" s="866"/>
      <c r="SEA1573" s="866"/>
      <c r="SEB1573" s="866"/>
      <c r="SEC1573" s="866"/>
      <c r="SED1573" s="866"/>
      <c r="SEE1573" s="866"/>
      <c r="SEF1573" s="866"/>
      <c r="SEG1573" s="866"/>
      <c r="SEH1573" s="866"/>
      <c r="SEI1573" s="866"/>
      <c r="SEJ1573" s="866"/>
      <c r="SEK1573" s="866"/>
      <c r="SEL1573" s="866"/>
      <c r="SEM1573" s="866"/>
      <c r="SEN1573" s="866"/>
      <c r="SEO1573" s="866"/>
      <c r="SEP1573" s="866"/>
      <c r="SEQ1573" s="866"/>
      <c r="SER1573" s="866"/>
      <c r="SES1573" s="866"/>
      <c r="SET1573" s="866"/>
      <c r="SEU1573" s="866"/>
      <c r="SEV1573" s="866"/>
      <c r="SEW1573" s="866"/>
      <c r="SEX1573" s="866"/>
      <c r="SEY1573" s="866"/>
      <c r="SEZ1573" s="866"/>
      <c r="SFA1573" s="866"/>
      <c r="SFB1573" s="866"/>
      <c r="SFC1573" s="866"/>
      <c r="SFD1573" s="866"/>
      <c r="SFE1573" s="866"/>
      <c r="SFF1573" s="866"/>
      <c r="SFG1573" s="866"/>
      <c r="SFH1573" s="866"/>
      <c r="SFI1573" s="866"/>
      <c r="SFJ1573" s="866"/>
      <c r="SFK1573" s="866"/>
      <c r="SFL1573" s="866"/>
      <c r="SFM1573" s="866"/>
      <c r="SFN1573" s="866"/>
      <c r="SFO1573" s="866"/>
      <c r="SFP1573" s="866"/>
      <c r="SFQ1573" s="866"/>
      <c r="SFR1573" s="866"/>
      <c r="SFS1573" s="866"/>
      <c r="SFT1573" s="866"/>
      <c r="SFU1573" s="866"/>
      <c r="SFV1573" s="866"/>
      <c r="SFW1573" s="866"/>
      <c r="SFX1573" s="866"/>
      <c r="SFY1573" s="866"/>
      <c r="SFZ1573" s="866"/>
      <c r="SGA1573" s="866"/>
      <c r="SGB1573" s="866"/>
      <c r="SGC1573" s="866"/>
      <c r="SGD1573" s="866"/>
      <c r="SGE1573" s="866"/>
      <c r="SGF1573" s="866"/>
      <c r="SGG1573" s="866"/>
      <c r="SGH1573" s="866"/>
      <c r="SGI1573" s="866"/>
      <c r="SGJ1573" s="866"/>
      <c r="SGK1573" s="866"/>
      <c r="SGL1573" s="866"/>
      <c r="SGM1573" s="866"/>
      <c r="SGN1573" s="866"/>
      <c r="SGO1573" s="866"/>
      <c r="SGP1573" s="866"/>
      <c r="SGQ1573" s="866"/>
      <c r="SGR1573" s="866"/>
      <c r="SGS1573" s="866"/>
      <c r="SGT1573" s="866"/>
      <c r="SGU1573" s="866"/>
      <c r="SGV1573" s="866"/>
      <c r="SGW1573" s="866"/>
      <c r="SGX1573" s="866"/>
      <c r="SGY1573" s="866"/>
      <c r="SGZ1573" s="866"/>
      <c r="SHA1573" s="866"/>
      <c r="SHB1573" s="866"/>
      <c r="SHC1573" s="866"/>
      <c r="SHD1573" s="866"/>
      <c r="SHE1573" s="866"/>
      <c r="SHF1573" s="866"/>
      <c r="SHG1573" s="866"/>
      <c r="SHH1573" s="866"/>
      <c r="SHI1573" s="866"/>
      <c r="SHJ1573" s="866"/>
      <c r="SHK1573" s="866"/>
      <c r="SHL1573" s="866"/>
      <c r="SHM1573" s="866"/>
      <c r="SHN1573" s="866"/>
      <c r="SHO1573" s="866"/>
      <c r="SHP1573" s="866"/>
      <c r="SHQ1573" s="866"/>
      <c r="SHR1573" s="866"/>
      <c r="SHS1573" s="866"/>
      <c r="SHT1573" s="866"/>
      <c r="SHU1573" s="866"/>
      <c r="SHV1573" s="866"/>
      <c r="SHW1573" s="866"/>
      <c r="SHX1573" s="866"/>
      <c r="SHY1573" s="866"/>
      <c r="SHZ1573" s="866"/>
      <c r="SIA1573" s="866"/>
      <c r="SIB1573" s="866"/>
      <c r="SIC1573" s="866"/>
      <c r="SID1573" s="866"/>
      <c r="SIE1573" s="866"/>
      <c r="SIF1573" s="866"/>
      <c r="SIG1573" s="866"/>
      <c r="SIH1573" s="866"/>
      <c r="SII1573" s="866"/>
      <c r="SIJ1573" s="866"/>
      <c r="SIK1573" s="866"/>
      <c r="SIL1573" s="866"/>
      <c r="SIM1573" s="866"/>
      <c r="SIN1573" s="866"/>
      <c r="SIO1573" s="866"/>
      <c r="SIP1573" s="866"/>
      <c r="SIQ1573" s="866"/>
      <c r="SIR1573" s="866"/>
      <c r="SIS1573" s="866"/>
      <c r="SIT1573" s="866"/>
      <c r="SIU1573" s="866"/>
      <c r="SIV1573" s="866"/>
      <c r="SIW1573" s="866"/>
      <c r="SIX1573" s="866"/>
      <c r="SIY1573" s="866"/>
      <c r="SIZ1573" s="866"/>
      <c r="SJA1573" s="866"/>
      <c r="SJB1573" s="866"/>
      <c r="SJC1573" s="866"/>
      <c r="SJD1573" s="866"/>
      <c r="SJE1573" s="866"/>
      <c r="SJF1573" s="866"/>
      <c r="SJG1573" s="866"/>
      <c r="SJH1573" s="866"/>
      <c r="SJI1573" s="866"/>
      <c r="SJJ1573" s="866"/>
      <c r="SJK1573" s="866"/>
      <c r="SJL1573" s="866"/>
      <c r="SJM1573" s="866"/>
      <c r="SJN1573" s="866"/>
      <c r="SJO1573" s="866"/>
      <c r="SJP1573" s="866"/>
      <c r="SJQ1573" s="866"/>
      <c r="SJR1573" s="866"/>
      <c r="SJS1573" s="866"/>
      <c r="SJT1573" s="866"/>
      <c r="SJU1573" s="866"/>
      <c r="SJV1573" s="866"/>
      <c r="SJW1573" s="866"/>
      <c r="SJX1573" s="866"/>
      <c r="SJY1573" s="866"/>
      <c r="SJZ1573" s="866"/>
      <c r="SKA1573" s="866"/>
      <c r="SKB1573" s="866"/>
      <c r="SKC1573" s="866"/>
      <c r="SKD1573" s="866"/>
      <c r="SKE1573" s="866"/>
      <c r="SKF1573" s="866"/>
      <c r="SKG1573" s="866"/>
      <c r="SKH1573" s="866"/>
      <c r="SKI1573" s="866"/>
      <c r="SKJ1573" s="866"/>
      <c r="SKK1573" s="866"/>
      <c r="SKL1573" s="866"/>
      <c r="SKM1573" s="866"/>
      <c r="SKN1573" s="866"/>
      <c r="SKO1573" s="866"/>
      <c r="SKP1573" s="866"/>
      <c r="SKQ1573" s="866"/>
      <c r="SKR1573" s="866"/>
      <c r="SKS1573" s="866"/>
      <c r="SKT1573" s="866"/>
      <c r="SKU1573" s="866"/>
      <c r="SKV1573" s="866"/>
      <c r="SKW1573" s="866"/>
      <c r="SKX1573" s="866"/>
      <c r="SKY1573" s="866"/>
      <c r="SKZ1573" s="866"/>
      <c r="SLA1573" s="866"/>
      <c r="SLB1573" s="866"/>
      <c r="SLC1573" s="866"/>
      <c r="SLD1573" s="866"/>
      <c r="SLE1573" s="866"/>
      <c r="SLF1573" s="866"/>
      <c r="SLG1573" s="866"/>
      <c r="SLH1573" s="866"/>
      <c r="SLI1573" s="866"/>
      <c r="SLJ1573" s="866"/>
      <c r="SLK1573" s="866"/>
      <c r="SLL1573" s="866"/>
      <c r="SLM1573" s="866"/>
      <c r="SLN1573" s="866"/>
      <c r="SLO1573" s="866"/>
      <c r="SLP1573" s="866"/>
      <c r="SLQ1573" s="866"/>
      <c r="SLR1573" s="866"/>
      <c r="SLS1573" s="866"/>
      <c r="SLT1573" s="866"/>
      <c r="SLU1573" s="866"/>
      <c r="SLV1573" s="866"/>
      <c r="SLW1573" s="866"/>
      <c r="SLX1573" s="866"/>
      <c r="SLY1573" s="866"/>
      <c r="SLZ1573" s="866"/>
      <c r="SMA1573" s="866"/>
      <c r="SMB1573" s="866"/>
      <c r="SMC1573" s="866"/>
      <c r="SMD1573" s="866"/>
      <c r="SME1573" s="866"/>
      <c r="SMF1573" s="866"/>
      <c r="SMG1573" s="866"/>
      <c r="SMH1573" s="866"/>
      <c r="SMI1573" s="866"/>
      <c r="SMJ1573" s="866"/>
      <c r="SMK1573" s="866"/>
      <c r="SML1573" s="866"/>
      <c r="SMM1573" s="866"/>
      <c r="SMN1573" s="866"/>
      <c r="SMO1573" s="866"/>
      <c r="SMP1573" s="866"/>
      <c r="SMQ1573" s="866"/>
      <c r="SMR1573" s="866"/>
      <c r="SMS1573" s="866"/>
      <c r="SMT1573" s="866"/>
      <c r="SMU1573" s="866"/>
      <c r="SMV1573" s="866"/>
      <c r="SMW1573" s="866"/>
      <c r="SMX1573" s="866"/>
      <c r="SMY1573" s="866"/>
      <c r="SMZ1573" s="866"/>
      <c r="SNA1573" s="866"/>
      <c r="SNB1573" s="866"/>
      <c r="SNC1573" s="866"/>
      <c r="SND1573" s="866"/>
      <c r="SNE1573" s="866"/>
      <c r="SNF1573" s="866"/>
      <c r="SNG1573" s="866"/>
      <c r="SNH1573" s="866"/>
      <c r="SNI1573" s="866"/>
      <c r="SNJ1573" s="866"/>
      <c r="SNK1573" s="866"/>
      <c r="SNL1573" s="866"/>
      <c r="SNM1573" s="866"/>
      <c r="SNN1573" s="866"/>
      <c r="SNO1573" s="866"/>
      <c r="SNP1573" s="866"/>
      <c r="SNQ1573" s="866"/>
      <c r="SNR1573" s="866"/>
      <c r="SNS1573" s="866"/>
      <c r="SNT1573" s="866"/>
      <c r="SNU1573" s="866"/>
      <c r="SNV1573" s="866"/>
      <c r="SNW1573" s="866"/>
      <c r="SNX1573" s="866"/>
      <c r="SNY1573" s="866"/>
      <c r="SNZ1573" s="866"/>
      <c r="SOA1573" s="866"/>
      <c r="SOB1573" s="866"/>
      <c r="SOC1573" s="866"/>
      <c r="SOD1573" s="866"/>
      <c r="SOE1573" s="866"/>
      <c r="SOF1573" s="866"/>
      <c r="SOG1573" s="866"/>
      <c r="SOH1573" s="866"/>
      <c r="SOI1573" s="866"/>
      <c r="SOJ1573" s="866"/>
      <c r="SOK1573" s="866"/>
      <c r="SOL1573" s="866"/>
      <c r="SOM1573" s="866"/>
      <c r="SON1573" s="866"/>
      <c r="SOO1573" s="866"/>
      <c r="SOP1573" s="866"/>
      <c r="SOQ1573" s="866"/>
      <c r="SOR1573" s="866"/>
      <c r="SOS1573" s="866"/>
      <c r="SOT1573" s="866"/>
      <c r="SOU1573" s="866"/>
      <c r="SOV1573" s="866"/>
      <c r="SOW1573" s="866"/>
      <c r="SOX1573" s="866"/>
      <c r="SOY1573" s="866"/>
      <c r="SOZ1573" s="866"/>
      <c r="SPA1573" s="866"/>
      <c r="SPB1573" s="866"/>
      <c r="SPC1573" s="866"/>
      <c r="SPD1573" s="866"/>
      <c r="SPE1573" s="866"/>
      <c r="SPF1573" s="866"/>
      <c r="SPG1573" s="866"/>
      <c r="SPH1573" s="866"/>
      <c r="SPI1573" s="866"/>
      <c r="SPJ1573" s="866"/>
      <c r="SPK1573" s="866"/>
      <c r="SPL1573" s="866"/>
      <c r="SPM1573" s="866"/>
      <c r="SPN1573" s="866"/>
      <c r="SPO1573" s="866"/>
      <c r="SPP1573" s="866"/>
      <c r="SPQ1573" s="866"/>
      <c r="SPR1573" s="866"/>
      <c r="SPS1573" s="866"/>
      <c r="SPT1573" s="866"/>
      <c r="SPU1573" s="866"/>
      <c r="SPV1573" s="866"/>
      <c r="SPW1573" s="866"/>
      <c r="SPX1573" s="866"/>
      <c r="SPY1573" s="866"/>
      <c r="SPZ1573" s="866"/>
      <c r="SQA1573" s="866"/>
      <c r="SQB1573" s="866"/>
      <c r="SQC1573" s="866"/>
      <c r="SQD1573" s="866"/>
      <c r="SQE1573" s="866"/>
      <c r="SQF1573" s="866"/>
      <c r="SQG1573" s="866"/>
      <c r="SQH1573" s="866"/>
      <c r="SQI1573" s="866"/>
      <c r="SQJ1573" s="866"/>
      <c r="SQK1573" s="866"/>
      <c r="SQL1573" s="866"/>
      <c r="SQM1573" s="866"/>
      <c r="SQN1573" s="866"/>
      <c r="SQO1573" s="866"/>
      <c r="SQP1573" s="866"/>
      <c r="SQQ1573" s="866"/>
      <c r="SQR1573" s="866"/>
      <c r="SQS1573" s="866"/>
      <c r="SQT1573" s="866"/>
      <c r="SQU1573" s="866"/>
      <c r="SQV1573" s="866"/>
      <c r="SQW1573" s="866"/>
      <c r="SQX1573" s="866"/>
      <c r="SQY1573" s="866"/>
      <c r="SQZ1573" s="866"/>
      <c r="SRA1573" s="866"/>
      <c r="SRB1573" s="866"/>
      <c r="SRC1573" s="866"/>
      <c r="SRD1573" s="866"/>
      <c r="SRE1573" s="866"/>
      <c r="SRF1573" s="866"/>
      <c r="SRG1573" s="866"/>
      <c r="SRH1573" s="866"/>
      <c r="SRI1573" s="866"/>
      <c r="SRJ1573" s="866"/>
      <c r="SRK1573" s="866"/>
      <c r="SRL1573" s="866"/>
      <c r="SRM1573" s="866"/>
      <c r="SRN1573" s="866"/>
      <c r="SRO1573" s="866"/>
      <c r="SRP1573" s="866"/>
      <c r="SRQ1573" s="866"/>
      <c r="SRR1573" s="866"/>
      <c r="SRS1573" s="866"/>
      <c r="SRT1573" s="866"/>
      <c r="SRU1573" s="866"/>
      <c r="SRV1573" s="866"/>
      <c r="SRW1573" s="866"/>
      <c r="SRX1573" s="866"/>
      <c r="SRY1573" s="866"/>
      <c r="SRZ1573" s="866"/>
      <c r="SSA1573" s="866"/>
      <c r="SSB1573" s="866"/>
      <c r="SSC1573" s="866"/>
      <c r="SSD1573" s="866"/>
      <c r="SSE1573" s="866"/>
      <c r="SSF1573" s="866"/>
      <c r="SSG1573" s="866"/>
      <c r="SSH1573" s="866"/>
      <c r="SSI1573" s="866"/>
      <c r="SSJ1573" s="866"/>
      <c r="SSK1573" s="866"/>
      <c r="SSL1573" s="866"/>
      <c r="SSM1573" s="866"/>
      <c r="SSN1573" s="866"/>
      <c r="SSO1573" s="866"/>
      <c r="SSP1573" s="866"/>
      <c r="SSQ1573" s="866"/>
      <c r="SSR1573" s="866"/>
      <c r="SSS1573" s="866"/>
      <c r="SST1573" s="866"/>
      <c r="SSU1573" s="866"/>
      <c r="SSV1573" s="866"/>
      <c r="SSW1573" s="866"/>
      <c r="SSX1573" s="866"/>
      <c r="SSY1573" s="866"/>
      <c r="SSZ1573" s="866"/>
      <c r="STA1573" s="866"/>
      <c r="STB1573" s="866"/>
      <c r="STC1573" s="866"/>
      <c r="STD1573" s="866"/>
      <c r="STE1573" s="866"/>
      <c r="STF1573" s="866"/>
      <c r="STG1573" s="866"/>
      <c r="STH1573" s="866"/>
      <c r="STI1573" s="866"/>
      <c r="STJ1573" s="866"/>
      <c r="STK1573" s="866"/>
      <c r="STL1573" s="866"/>
      <c r="STM1573" s="866"/>
      <c r="STN1573" s="866"/>
      <c r="STO1573" s="866"/>
      <c r="STP1573" s="866"/>
      <c r="STQ1573" s="866"/>
      <c r="STR1573" s="866"/>
      <c r="STS1573" s="866"/>
      <c r="STT1573" s="866"/>
      <c r="STU1573" s="866"/>
      <c r="STV1573" s="866"/>
      <c r="STW1573" s="866"/>
      <c r="STX1573" s="866"/>
      <c r="STY1573" s="866"/>
      <c r="STZ1573" s="866"/>
      <c r="SUA1573" s="866"/>
      <c r="SUB1573" s="866"/>
      <c r="SUC1573" s="866"/>
      <c r="SUD1573" s="866"/>
      <c r="SUE1573" s="866"/>
      <c r="SUF1573" s="866"/>
      <c r="SUG1573" s="866"/>
      <c r="SUH1573" s="866"/>
      <c r="SUI1573" s="866"/>
      <c r="SUJ1573" s="866"/>
      <c r="SUK1573" s="866"/>
      <c r="SUL1573" s="866"/>
      <c r="SUM1573" s="866"/>
      <c r="SUN1573" s="866"/>
      <c r="SUO1573" s="866"/>
      <c r="SUP1573" s="866"/>
      <c r="SUQ1573" s="866"/>
      <c r="SUR1573" s="866"/>
      <c r="SUS1573" s="866"/>
      <c r="SUT1573" s="866"/>
      <c r="SUU1573" s="866"/>
      <c r="SUV1573" s="866"/>
      <c r="SUW1573" s="866"/>
      <c r="SUX1573" s="866"/>
      <c r="SUY1573" s="866"/>
      <c r="SUZ1573" s="866"/>
      <c r="SVA1573" s="866"/>
      <c r="SVB1573" s="866"/>
      <c r="SVC1573" s="866"/>
      <c r="SVD1573" s="866"/>
      <c r="SVE1573" s="866"/>
      <c r="SVF1573" s="866"/>
      <c r="SVG1573" s="866"/>
      <c r="SVH1573" s="866"/>
      <c r="SVI1573" s="866"/>
      <c r="SVJ1573" s="866"/>
      <c r="SVK1573" s="866"/>
      <c r="SVL1573" s="866"/>
      <c r="SVM1573" s="866"/>
      <c r="SVN1573" s="866"/>
      <c r="SVO1573" s="866"/>
      <c r="SVP1573" s="866"/>
      <c r="SVQ1573" s="866"/>
      <c r="SVR1573" s="866"/>
      <c r="SVS1573" s="866"/>
      <c r="SVT1573" s="866"/>
      <c r="SVU1573" s="866"/>
      <c r="SVV1573" s="866"/>
      <c r="SVW1573" s="866"/>
      <c r="SVX1573" s="866"/>
      <c r="SVY1573" s="866"/>
      <c r="SVZ1573" s="866"/>
      <c r="SWA1573" s="866"/>
      <c r="SWB1573" s="866"/>
      <c r="SWC1573" s="866"/>
      <c r="SWD1573" s="866"/>
      <c r="SWE1573" s="866"/>
      <c r="SWF1573" s="866"/>
      <c r="SWG1573" s="866"/>
      <c r="SWH1573" s="866"/>
      <c r="SWI1573" s="866"/>
      <c r="SWJ1573" s="866"/>
      <c r="SWK1573" s="866"/>
      <c r="SWL1573" s="866"/>
      <c r="SWM1573" s="866"/>
      <c r="SWN1573" s="866"/>
      <c r="SWO1573" s="866"/>
      <c r="SWP1573" s="866"/>
      <c r="SWQ1573" s="866"/>
      <c r="SWR1573" s="866"/>
      <c r="SWS1573" s="866"/>
      <c r="SWT1573" s="866"/>
      <c r="SWU1573" s="866"/>
      <c r="SWV1573" s="866"/>
      <c r="SWW1573" s="866"/>
      <c r="SWX1573" s="866"/>
      <c r="SWY1573" s="866"/>
      <c r="SWZ1573" s="866"/>
      <c r="SXA1573" s="866"/>
      <c r="SXB1573" s="866"/>
      <c r="SXC1573" s="866"/>
      <c r="SXD1573" s="866"/>
      <c r="SXE1573" s="866"/>
      <c r="SXF1573" s="866"/>
      <c r="SXG1573" s="866"/>
      <c r="SXH1573" s="866"/>
      <c r="SXI1573" s="866"/>
      <c r="SXJ1573" s="866"/>
      <c r="SXK1573" s="866"/>
      <c r="SXL1573" s="866"/>
      <c r="SXM1573" s="866"/>
      <c r="SXN1573" s="866"/>
      <c r="SXO1573" s="866"/>
      <c r="SXP1573" s="866"/>
      <c r="SXQ1573" s="866"/>
      <c r="SXR1573" s="866"/>
      <c r="SXS1573" s="866"/>
      <c r="SXT1573" s="866"/>
      <c r="SXU1573" s="866"/>
      <c r="SXV1573" s="866"/>
      <c r="SXW1573" s="866"/>
      <c r="SXX1573" s="866"/>
      <c r="SXY1573" s="866"/>
      <c r="SXZ1573" s="866"/>
      <c r="SYA1573" s="866"/>
      <c r="SYB1573" s="866"/>
      <c r="SYC1573" s="866"/>
      <c r="SYD1573" s="866"/>
      <c r="SYE1573" s="866"/>
      <c r="SYF1573" s="866"/>
      <c r="SYG1573" s="866"/>
      <c r="SYH1573" s="866"/>
      <c r="SYI1573" s="866"/>
      <c r="SYJ1573" s="866"/>
      <c r="SYK1573" s="866"/>
      <c r="SYL1573" s="866"/>
      <c r="SYM1573" s="866"/>
      <c r="SYN1573" s="866"/>
      <c r="SYO1573" s="866"/>
      <c r="SYP1573" s="866"/>
      <c r="SYQ1573" s="866"/>
      <c r="SYR1573" s="866"/>
      <c r="SYS1573" s="866"/>
      <c r="SYT1573" s="866"/>
      <c r="SYU1573" s="866"/>
      <c r="SYV1573" s="866"/>
      <c r="SYW1573" s="866"/>
      <c r="SYX1573" s="866"/>
      <c r="SYY1573" s="866"/>
      <c r="SYZ1573" s="866"/>
      <c r="SZA1573" s="866"/>
      <c r="SZB1573" s="866"/>
      <c r="SZC1573" s="866"/>
      <c r="SZD1573" s="866"/>
      <c r="SZE1573" s="866"/>
      <c r="SZF1573" s="866"/>
      <c r="SZG1573" s="866"/>
      <c r="SZH1573" s="866"/>
      <c r="SZI1573" s="866"/>
      <c r="SZJ1573" s="866"/>
      <c r="SZK1573" s="866"/>
      <c r="SZL1573" s="866"/>
      <c r="SZM1573" s="866"/>
      <c r="SZN1573" s="866"/>
      <c r="SZO1573" s="866"/>
      <c r="SZP1573" s="866"/>
      <c r="SZQ1573" s="866"/>
      <c r="SZR1573" s="866"/>
      <c r="SZS1573" s="866"/>
      <c r="SZT1573" s="866"/>
      <c r="SZU1573" s="866"/>
      <c r="SZV1573" s="866"/>
      <c r="SZW1573" s="866"/>
      <c r="SZX1573" s="866"/>
      <c r="SZY1573" s="866"/>
      <c r="SZZ1573" s="866"/>
      <c r="TAA1573" s="866"/>
      <c r="TAB1573" s="866"/>
      <c r="TAC1573" s="866"/>
      <c r="TAD1573" s="866"/>
      <c r="TAE1573" s="866"/>
      <c r="TAF1573" s="866"/>
      <c r="TAG1573" s="866"/>
      <c r="TAH1573" s="866"/>
      <c r="TAI1573" s="866"/>
      <c r="TAJ1573" s="866"/>
      <c r="TAK1573" s="866"/>
      <c r="TAL1573" s="866"/>
      <c r="TAM1573" s="866"/>
      <c r="TAN1573" s="866"/>
      <c r="TAO1573" s="866"/>
      <c r="TAP1573" s="866"/>
      <c r="TAQ1573" s="866"/>
      <c r="TAR1573" s="866"/>
      <c r="TAS1573" s="866"/>
      <c r="TAT1573" s="866"/>
      <c r="TAU1573" s="866"/>
      <c r="TAV1573" s="866"/>
      <c r="TAW1573" s="866"/>
      <c r="TAX1573" s="866"/>
      <c r="TAY1573" s="866"/>
      <c r="TAZ1573" s="866"/>
      <c r="TBA1573" s="866"/>
      <c r="TBB1573" s="866"/>
      <c r="TBC1573" s="866"/>
      <c r="TBD1573" s="866"/>
      <c r="TBE1573" s="866"/>
      <c r="TBF1573" s="866"/>
      <c r="TBG1573" s="866"/>
      <c r="TBH1573" s="866"/>
      <c r="TBI1573" s="866"/>
      <c r="TBJ1573" s="866"/>
      <c r="TBK1573" s="866"/>
      <c r="TBL1573" s="866"/>
      <c r="TBM1573" s="866"/>
      <c r="TBN1573" s="866"/>
      <c r="TBO1573" s="866"/>
      <c r="TBP1573" s="866"/>
      <c r="TBQ1573" s="866"/>
      <c r="TBR1573" s="866"/>
      <c r="TBS1573" s="866"/>
      <c r="TBT1573" s="866"/>
      <c r="TBU1573" s="866"/>
      <c r="TBV1573" s="866"/>
      <c r="TBW1573" s="866"/>
      <c r="TBX1573" s="866"/>
      <c r="TBY1573" s="866"/>
      <c r="TBZ1573" s="866"/>
      <c r="TCA1573" s="866"/>
      <c r="TCB1573" s="866"/>
      <c r="TCC1573" s="866"/>
      <c r="TCD1573" s="866"/>
      <c r="TCE1573" s="866"/>
      <c r="TCF1573" s="866"/>
      <c r="TCG1573" s="866"/>
      <c r="TCH1573" s="866"/>
      <c r="TCI1573" s="866"/>
      <c r="TCJ1573" s="866"/>
      <c r="TCK1573" s="866"/>
      <c r="TCL1573" s="866"/>
      <c r="TCM1573" s="866"/>
      <c r="TCN1573" s="866"/>
      <c r="TCO1573" s="866"/>
      <c r="TCP1573" s="866"/>
      <c r="TCQ1573" s="866"/>
      <c r="TCR1573" s="866"/>
      <c r="TCS1573" s="866"/>
      <c r="TCT1573" s="866"/>
      <c r="TCU1573" s="866"/>
      <c r="TCV1573" s="866"/>
      <c r="TCW1573" s="866"/>
      <c r="TCX1573" s="866"/>
      <c r="TCY1573" s="866"/>
      <c r="TCZ1573" s="866"/>
      <c r="TDA1573" s="866"/>
      <c r="TDB1573" s="866"/>
      <c r="TDC1573" s="866"/>
      <c r="TDD1573" s="866"/>
      <c r="TDE1573" s="866"/>
      <c r="TDF1573" s="866"/>
      <c r="TDG1573" s="866"/>
      <c r="TDH1573" s="866"/>
      <c r="TDI1573" s="866"/>
      <c r="TDJ1573" s="866"/>
      <c r="TDK1573" s="866"/>
      <c r="TDL1573" s="866"/>
      <c r="TDM1573" s="866"/>
      <c r="TDN1573" s="866"/>
      <c r="TDO1573" s="866"/>
      <c r="TDP1573" s="866"/>
      <c r="TDQ1573" s="866"/>
      <c r="TDR1573" s="866"/>
      <c r="TDS1573" s="866"/>
      <c r="TDT1573" s="866"/>
      <c r="TDU1573" s="866"/>
      <c r="TDV1573" s="866"/>
      <c r="TDW1573" s="866"/>
      <c r="TDX1573" s="866"/>
      <c r="TDY1573" s="866"/>
      <c r="TDZ1573" s="866"/>
      <c r="TEA1573" s="866"/>
      <c r="TEB1573" s="866"/>
      <c r="TEC1573" s="866"/>
      <c r="TED1573" s="866"/>
      <c r="TEE1573" s="866"/>
      <c r="TEF1573" s="866"/>
      <c r="TEG1573" s="866"/>
      <c r="TEH1573" s="866"/>
      <c r="TEI1573" s="866"/>
      <c r="TEJ1573" s="866"/>
      <c r="TEK1573" s="866"/>
      <c r="TEL1573" s="866"/>
      <c r="TEM1573" s="866"/>
      <c r="TEN1573" s="866"/>
      <c r="TEO1573" s="866"/>
      <c r="TEP1573" s="866"/>
      <c r="TEQ1573" s="866"/>
      <c r="TER1573" s="866"/>
      <c r="TES1573" s="866"/>
      <c r="TET1573" s="866"/>
      <c r="TEU1573" s="866"/>
      <c r="TEV1573" s="866"/>
      <c r="TEW1573" s="866"/>
      <c r="TEX1573" s="866"/>
      <c r="TEY1573" s="866"/>
      <c r="TEZ1573" s="866"/>
      <c r="TFA1573" s="866"/>
      <c r="TFB1573" s="866"/>
      <c r="TFC1573" s="866"/>
      <c r="TFD1573" s="866"/>
      <c r="TFE1573" s="866"/>
      <c r="TFF1573" s="866"/>
      <c r="TFG1573" s="866"/>
      <c r="TFH1573" s="866"/>
      <c r="TFI1573" s="866"/>
      <c r="TFJ1573" s="866"/>
      <c r="TFK1573" s="866"/>
      <c r="TFL1573" s="866"/>
      <c r="TFM1573" s="866"/>
      <c r="TFN1573" s="866"/>
      <c r="TFO1573" s="866"/>
      <c r="TFP1573" s="866"/>
      <c r="TFQ1573" s="866"/>
      <c r="TFR1573" s="866"/>
      <c r="TFS1573" s="866"/>
      <c r="TFT1573" s="866"/>
      <c r="TFU1573" s="866"/>
      <c r="TFV1573" s="866"/>
      <c r="TFW1573" s="866"/>
      <c r="TFX1573" s="866"/>
      <c r="TFY1573" s="866"/>
      <c r="TFZ1573" s="866"/>
      <c r="TGA1573" s="866"/>
      <c r="TGB1573" s="866"/>
      <c r="TGC1573" s="866"/>
      <c r="TGD1573" s="866"/>
      <c r="TGE1573" s="866"/>
      <c r="TGF1573" s="866"/>
      <c r="TGG1573" s="866"/>
      <c r="TGH1573" s="866"/>
      <c r="TGI1573" s="866"/>
      <c r="TGJ1573" s="866"/>
      <c r="TGK1573" s="866"/>
      <c r="TGL1573" s="866"/>
      <c r="TGM1573" s="866"/>
      <c r="TGN1573" s="866"/>
      <c r="TGO1573" s="866"/>
      <c r="TGP1573" s="866"/>
      <c r="TGQ1573" s="866"/>
      <c r="TGR1573" s="866"/>
      <c r="TGS1573" s="866"/>
      <c r="TGT1573" s="866"/>
      <c r="TGU1573" s="866"/>
      <c r="TGV1573" s="866"/>
      <c r="TGW1573" s="866"/>
      <c r="TGX1573" s="866"/>
      <c r="TGY1573" s="866"/>
      <c r="TGZ1573" s="866"/>
      <c r="THA1573" s="866"/>
      <c r="THB1573" s="866"/>
      <c r="THC1573" s="866"/>
      <c r="THD1573" s="866"/>
      <c r="THE1573" s="866"/>
      <c r="THF1573" s="866"/>
      <c r="THG1573" s="866"/>
      <c r="THH1573" s="866"/>
      <c r="THI1573" s="866"/>
      <c r="THJ1573" s="866"/>
      <c r="THK1573" s="866"/>
      <c r="THL1573" s="866"/>
      <c r="THM1573" s="866"/>
      <c r="THN1573" s="866"/>
      <c r="THO1573" s="866"/>
      <c r="THP1573" s="866"/>
      <c r="THQ1573" s="866"/>
      <c r="THR1573" s="866"/>
      <c r="THS1573" s="866"/>
      <c r="THT1573" s="866"/>
      <c r="THU1573" s="866"/>
      <c r="THV1573" s="866"/>
      <c r="THW1573" s="866"/>
      <c r="THX1573" s="866"/>
      <c r="THY1573" s="866"/>
      <c r="THZ1573" s="866"/>
      <c r="TIA1573" s="866"/>
      <c r="TIB1573" s="866"/>
      <c r="TIC1573" s="866"/>
      <c r="TID1573" s="866"/>
      <c r="TIE1573" s="866"/>
      <c r="TIF1573" s="866"/>
      <c r="TIG1573" s="866"/>
      <c r="TIH1573" s="866"/>
      <c r="TII1573" s="866"/>
      <c r="TIJ1573" s="866"/>
      <c r="TIK1573" s="866"/>
      <c r="TIL1573" s="866"/>
      <c r="TIM1573" s="866"/>
      <c r="TIN1573" s="866"/>
      <c r="TIO1573" s="866"/>
      <c r="TIP1573" s="866"/>
      <c r="TIQ1573" s="866"/>
      <c r="TIR1573" s="866"/>
      <c r="TIS1573" s="866"/>
      <c r="TIT1573" s="866"/>
      <c r="TIU1573" s="866"/>
      <c r="TIV1573" s="866"/>
      <c r="TIW1573" s="866"/>
      <c r="TIX1573" s="866"/>
      <c r="TIY1573" s="866"/>
      <c r="TIZ1573" s="866"/>
      <c r="TJA1573" s="866"/>
      <c r="TJB1573" s="866"/>
      <c r="TJC1573" s="866"/>
      <c r="TJD1573" s="866"/>
      <c r="TJE1573" s="866"/>
      <c r="TJF1573" s="866"/>
      <c r="TJG1573" s="866"/>
      <c r="TJH1573" s="866"/>
      <c r="TJI1573" s="866"/>
      <c r="TJJ1573" s="866"/>
      <c r="TJK1573" s="866"/>
      <c r="TJL1573" s="866"/>
      <c r="TJM1573" s="866"/>
      <c r="TJN1573" s="866"/>
      <c r="TJO1573" s="866"/>
      <c r="TJP1573" s="866"/>
      <c r="TJQ1573" s="866"/>
      <c r="TJR1573" s="866"/>
      <c r="TJS1573" s="866"/>
      <c r="TJT1573" s="866"/>
      <c r="TJU1573" s="866"/>
      <c r="TJV1573" s="866"/>
      <c r="TJW1573" s="866"/>
      <c r="TJX1573" s="866"/>
      <c r="TJY1573" s="866"/>
      <c r="TJZ1573" s="866"/>
      <c r="TKA1573" s="866"/>
      <c r="TKB1573" s="866"/>
      <c r="TKC1573" s="866"/>
      <c r="TKD1573" s="866"/>
      <c r="TKE1573" s="866"/>
      <c r="TKF1573" s="866"/>
      <c r="TKG1573" s="866"/>
      <c r="TKH1573" s="866"/>
      <c r="TKI1573" s="866"/>
      <c r="TKJ1573" s="866"/>
      <c r="TKK1573" s="866"/>
      <c r="TKL1573" s="866"/>
      <c r="TKM1573" s="866"/>
      <c r="TKN1573" s="866"/>
      <c r="TKO1573" s="866"/>
      <c r="TKP1573" s="866"/>
      <c r="TKQ1573" s="866"/>
      <c r="TKR1573" s="866"/>
      <c r="TKS1573" s="866"/>
      <c r="TKT1573" s="866"/>
      <c r="TKU1573" s="866"/>
      <c r="TKV1573" s="866"/>
      <c r="TKW1573" s="866"/>
      <c r="TKX1573" s="866"/>
      <c r="TKY1573" s="866"/>
      <c r="TKZ1573" s="866"/>
      <c r="TLA1573" s="866"/>
      <c r="TLB1573" s="866"/>
      <c r="TLC1573" s="866"/>
      <c r="TLD1573" s="866"/>
      <c r="TLE1573" s="866"/>
      <c r="TLF1573" s="866"/>
      <c r="TLG1573" s="866"/>
      <c r="TLH1573" s="866"/>
      <c r="TLI1573" s="866"/>
      <c r="TLJ1573" s="866"/>
      <c r="TLK1573" s="866"/>
      <c r="TLL1573" s="866"/>
      <c r="TLM1573" s="866"/>
      <c r="TLN1573" s="866"/>
      <c r="TLO1573" s="866"/>
      <c r="TLP1573" s="866"/>
      <c r="TLQ1573" s="866"/>
      <c r="TLR1573" s="866"/>
      <c r="TLS1573" s="866"/>
      <c r="TLT1573" s="866"/>
      <c r="TLU1573" s="866"/>
      <c r="TLV1573" s="866"/>
      <c r="TLW1573" s="866"/>
      <c r="TLX1573" s="866"/>
      <c r="TLY1573" s="866"/>
      <c r="TLZ1573" s="866"/>
      <c r="TMA1573" s="866"/>
      <c r="TMB1573" s="866"/>
      <c r="TMC1573" s="866"/>
      <c r="TMD1573" s="866"/>
      <c r="TME1573" s="866"/>
      <c r="TMF1573" s="866"/>
      <c r="TMG1573" s="866"/>
      <c r="TMH1573" s="866"/>
      <c r="TMI1573" s="866"/>
      <c r="TMJ1573" s="866"/>
      <c r="TMK1573" s="866"/>
      <c r="TML1573" s="866"/>
      <c r="TMM1573" s="866"/>
      <c r="TMN1573" s="866"/>
      <c r="TMO1573" s="866"/>
      <c r="TMP1573" s="866"/>
      <c r="TMQ1573" s="866"/>
      <c r="TMR1573" s="866"/>
      <c r="TMS1573" s="866"/>
      <c r="TMT1573" s="866"/>
      <c r="TMU1573" s="866"/>
      <c r="TMV1573" s="866"/>
      <c r="TMW1573" s="866"/>
      <c r="TMX1573" s="866"/>
      <c r="TMY1573" s="866"/>
      <c r="TMZ1573" s="866"/>
      <c r="TNA1573" s="866"/>
      <c r="TNB1573" s="866"/>
      <c r="TNC1573" s="866"/>
      <c r="TND1573" s="866"/>
      <c r="TNE1573" s="866"/>
      <c r="TNF1573" s="866"/>
      <c r="TNG1573" s="866"/>
      <c r="TNH1573" s="866"/>
      <c r="TNI1573" s="866"/>
      <c r="TNJ1573" s="866"/>
      <c r="TNK1573" s="866"/>
      <c r="TNL1573" s="866"/>
      <c r="TNM1573" s="866"/>
      <c r="TNN1573" s="866"/>
      <c r="TNO1573" s="866"/>
      <c r="TNP1573" s="866"/>
      <c r="TNQ1573" s="866"/>
      <c r="TNR1573" s="866"/>
      <c r="TNS1573" s="866"/>
      <c r="TNT1573" s="866"/>
      <c r="TNU1573" s="866"/>
      <c r="TNV1573" s="866"/>
      <c r="TNW1573" s="866"/>
      <c r="TNX1573" s="866"/>
      <c r="TNY1573" s="866"/>
      <c r="TNZ1573" s="866"/>
      <c r="TOA1573" s="866"/>
      <c r="TOB1573" s="866"/>
      <c r="TOC1573" s="866"/>
      <c r="TOD1573" s="866"/>
      <c r="TOE1573" s="866"/>
      <c r="TOF1573" s="866"/>
      <c r="TOG1573" s="866"/>
      <c r="TOH1573" s="866"/>
      <c r="TOI1573" s="866"/>
      <c r="TOJ1573" s="866"/>
      <c r="TOK1573" s="866"/>
      <c r="TOL1573" s="866"/>
      <c r="TOM1573" s="866"/>
      <c r="TON1573" s="866"/>
      <c r="TOO1573" s="866"/>
      <c r="TOP1573" s="866"/>
      <c r="TOQ1573" s="866"/>
      <c r="TOR1573" s="866"/>
      <c r="TOS1573" s="866"/>
      <c r="TOT1573" s="866"/>
      <c r="TOU1573" s="866"/>
      <c r="TOV1573" s="866"/>
      <c r="TOW1573" s="866"/>
      <c r="TOX1573" s="866"/>
      <c r="TOY1573" s="866"/>
      <c r="TOZ1573" s="866"/>
      <c r="TPA1573" s="866"/>
      <c r="TPB1573" s="866"/>
      <c r="TPC1573" s="866"/>
      <c r="TPD1573" s="866"/>
      <c r="TPE1573" s="866"/>
      <c r="TPF1573" s="866"/>
      <c r="TPG1573" s="866"/>
      <c r="TPH1573" s="866"/>
      <c r="TPI1573" s="866"/>
      <c r="TPJ1573" s="866"/>
      <c r="TPK1573" s="866"/>
      <c r="TPL1573" s="866"/>
      <c r="TPM1573" s="866"/>
      <c r="TPN1573" s="866"/>
      <c r="TPO1573" s="866"/>
      <c r="TPP1573" s="866"/>
      <c r="TPQ1573" s="866"/>
      <c r="TPR1573" s="866"/>
      <c r="TPS1573" s="866"/>
      <c r="TPT1573" s="866"/>
      <c r="TPU1573" s="866"/>
      <c r="TPV1573" s="866"/>
      <c r="TPW1573" s="866"/>
      <c r="TPX1573" s="866"/>
      <c r="TPY1573" s="866"/>
      <c r="TPZ1573" s="866"/>
      <c r="TQA1573" s="866"/>
      <c r="TQB1573" s="866"/>
      <c r="TQC1573" s="866"/>
      <c r="TQD1573" s="866"/>
      <c r="TQE1573" s="866"/>
      <c r="TQF1573" s="866"/>
      <c r="TQG1573" s="866"/>
      <c r="TQH1573" s="866"/>
      <c r="TQI1573" s="866"/>
      <c r="TQJ1573" s="866"/>
      <c r="TQK1573" s="866"/>
      <c r="TQL1573" s="866"/>
      <c r="TQM1573" s="866"/>
      <c r="TQN1573" s="866"/>
      <c r="TQO1573" s="866"/>
      <c r="TQP1573" s="866"/>
      <c r="TQQ1573" s="866"/>
      <c r="TQR1573" s="866"/>
      <c r="TQS1573" s="866"/>
      <c r="TQT1573" s="866"/>
      <c r="TQU1573" s="866"/>
      <c r="TQV1573" s="866"/>
      <c r="TQW1573" s="866"/>
      <c r="TQX1573" s="866"/>
      <c r="TQY1573" s="866"/>
      <c r="TQZ1573" s="866"/>
      <c r="TRA1573" s="866"/>
      <c r="TRB1573" s="866"/>
      <c r="TRC1573" s="866"/>
      <c r="TRD1573" s="866"/>
      <c r="TRE1573" s="866"/>
      <c r="TRF1573" s="866"/>
      <c r="TRG1573" s="866"/>
      <c r="TRH1573" s="866"/>
      <c r="TRI1573" s="866"/>
      <c r="TRJ1573" s="866"/>
      <c r="TRK1573" s="866"/>
      <c r="TRL1573" s="866"/>
      <c r="TRM1573" s="866"/>
      <c r="TRN1573" s="866"/>
      <c r="TRO1573" s="866"/>
      <c r="TRP1573" s="866"/>
      <c r="TRQ1573" s="866"/>
      <c r="TRR1573" s="866"/>
      <c r="TRS1573" s="866"/>
      <c r="TRT1573" s="866"/>
      <c r="TRU1573" s="866"/>
      <c r="TRV1573" s="866"/>
      <c r="TRW1573" s="866"/>
      <c r="TRX1573" s="866"/>
      <c r="TRY1573" s="866"/>
      <c r="TRZ1573" s="866"/>
      <c r="TSA1573" s="866"/>
      <c r="TSB1573" s="866"/>
      <c r="TSC1573" s="866"/>
      <c r="TSD1573" s="866"/>
      <c r="TSE1573" s="866"/>
      <c r="TSF1573" s="866"/>
      <c r="TSG1573" s="866"/>
      <c r="TSH1573" s="866"/>
      <c r="TSI1573" s="866"/>
      <c r="TSJ1573" s="866"/>
      <c r="TSK1573" s="866"/>
      <c r="TSL1573" s="866"/>
      <c r="TSM1573" s="866"/>
      <c r="TSN1573" s="866"/>
      <c r="TSO1573" s="866"/>
      <c r="TSP1573" s="866"/>
      <c r="TSQ1573" s="866"/>
      <c r="TSR1573" s="866"/>
      <c r="TSS1573" s="866"/>
      <c r="TST1573" s="866"/>
      <c r="TSU1573" s="866"/>
      <c r="TSV1573" s="866"/>
      <c r="TSW1573" s="866"/>
      <c r="TSX1573" s="866"/>
      <c r="TSY1573" s="866"/>
      <c r="TSZ1573" s="866"/>
      <c r="TTA1573" s="866"/>
      <c r="TTB1573" s="866"/>
      <c r="TTC1573" s="866"/>
      <c r="TTD1573" s="866"/>
      <c r="TTE1573" s="866"/>
      <c r="TTF1573" s="866"/>
      <c r="TTG1573" s="866"/>
      <c r="TTH1573" s="866"/>
      <c r="TTI1573" s="866"/>
      <c r="TTJ1573" s="866"/>
      <c r="TTK1573" s="866"/>
      <c r="TTL1573" s="866"/>
      <c r="TTM1573" s="866"/>
      <c r="TTN1573" s="866"/>
      <c r="TTO1573" s="866"/>
      <c r="TTP1573" s="866"/>
      <c r="TTQ1573" s="866"/>
      <c r="TTR1573" s="866"/>
      <c r="TTS1573" s="866"/>
      <c r="TTT1573" s="866"/>
      <c r="TTU1573" s="866"/>
      <c r="TTV1573" s="866"/>
      <c r="TTW1573" s="866"/>
      <c r="TTX1573" s="866"/>
      <c r="TTY1573" s="866"/>
      <c r="TTZ1573" s="866"/>
      <c r="TUA1573" s="866"/>
      <c r="TUB1573" s="866"/>
      <c r="TUC1573" s="866"/>
      <c r="TUD1573" s="866"/>
      <c r="TUE1573" s="866"/>
      <c r="TUF1573" s="866"/>
      <c r="TUG1573" s="866"/>
      <c r="TUH1573" s="866"/>
      <c r="TUI1573" s="866"/>
      <c r="TUJ1573" s="866"/>
      <c r="TUK1573" s="866"/>
      <c r="TUL1573" s="866"/>
      <c r="TUM1573" s="866"/>
      <c r="TUN1573" s="866"/>
      <c r="TUO1573" s="866"/>
      <c r="TUP1573" s="866"/>
      <c r="TUQ1573" s="866"/>
      <c r="TUR1573" s="866"/>
      <c r="TUS1573" s="866"/>
      <c r="TUT1573" s="866"/>
      <c r="TUU1573" s="866"/>
      <c r="TUV1573" s="866"/>
      <c r="TUW1573" s="866"/>
      <c r="TUX1573" s="866"/>
      <c r="TUY1573" s="866"/>
      <c r="TUZ1573" s="866"/>
      <c r="TVA1573" s="866"/>
      <c r="TVB1573" s="866"/>
      <c r="TVC1573" s="866"/>
      <c r="TVD1573" s="866"/>
      <c r="TVE1573" s="866"/>
      <c r="TVF1573" s="866"/>
      <c r="TVG1573" s="866"/>
      <c r="TVH1573" s="866"/>
      <c r="TVI1573" s="866"/>
      <c r="TVJ1573" s="866"/>
      <c r="TVK1573" s="866"/>
      <c r="TVL1573" s="866"/>
      <c r="TVM1573" s="866"/>
      <c r="TVN1573" s="866"/>
      <c r="TVO1573" s="866"/>
      <c r="TVP1573" s="866"/>
      <c r="TVQ1573" s="866"/>
      <c r="TVR1573" s="866"/>
      <c r="TVS1573" s="866"/>
      <c r="TVT1573" s="866"/>
      <c r="TVU1573" s="866"/>
      <c r="TVV1573" s="866"/>
      <c r="TVW1573" s="866"/>
      <c r="TVX1573" s="866"/>
      <c r="TVY1573" s="866"/>
      <c r="TVZ1573" s="866"/>
      <c r="TWA1573" s="866"/>
      <c r="TWB1573" s="866"/>
      <c r="TWC1573" s="866"/>
      <c r="TWD1573" s="866"/>
      <c r="TWE1573" s="866"/>
      <c r="TWF1573" s="866"/>
      <c r="TWG1573" s="866"/>
      <c r="TWH1573" s="866"/>
      <c r="TWI1573" s="866"/>
      <c r="TWJ1573" s="866"/>
      <c r="TWK1573" s="866"/>
      <c r="TWL1573" s="866"/>
      <c r="TWM1573" s="866"/>
      <c r="TWN1573" s="866"/>
      <c r="TWO1573" s="866"/>
      <c r="TWP1573" s="866"/>
      <c r="TWQ1573" s="866"/>
      <c r="TWR1573" s="866"/>
      <c r="TWS1573" s="866"/>
      <c r="TWT1573" s="866"/>
      <c r="TWU1573" s="866"/>
      <c r="TWV1573" s="866"/>
      <c r="TWW1573" s="866"/>
      <c r="TWX1573" s="866"/>
      <c r="TWY1573" s="866"/>
      <c r="TWZ1573" s="866"/>
      <c r="TXA1573" s="866"/>
      <c r="TXB1573" s="866"/>
      <c r="TXC1573" s="866"/>
      <c r="TXD1573" s="866"/>
      <c r="TXE1573" s="866"/>
      <c r="TXF1573" s="866"/>
      <c r="TXG1573" s="866"/>
      <c r="TXH1573" s="866"/>
      <c r="TXI1573" s="866"/>
      <c r="TXJ1573" s="866"/>
      <c r="TXK1573" s="866"/>
      <c r="TXL1573" s="866"/>
      <c r="TXM1573" s="866"/>
      <c r="TXN1573" s="866"/>
      <c r="TXO1573" s="866"/>
      <c r="TXP1573" s="866"/>
      <c r="TXQ1573" s="866"/>
      <c r="TXR1573" s="866"/>
      <c r="TXS1573" s="866"/>
      <c r="TXT1573" s="866"/>
      <c r="TXU1573" s="866"/>
      <c r="TXV1573" s="866"/>
      <c r="TXW1573" s="866"/>
      <c r="TXX1573" s="866"/>
      <c r="TXY1573" s="866"/>
      <c r="TXZ1573" s="866"/>
      <c r="TYA1573" s="866"/>
      <c r="TYB1573" s="866"/>
      <c r="TYC1573" s="866"/>
      <c r="TYD1573" s="866"/>
      <c r="TYE1573" s="866"/>
      <c r="TYF1573" s="866"/>
      <c r="TYG1573" s="866"/>
      <c r="TYH1573" s="866"/>
      <c r="TYI1573" s="866"/>
      <c r="TYJ1573" s="866"/>
      <c r="TYK1573" s="866"/>
      <c r="TYL1573" s="866"/>
      <c r="TYM1573" s="866"/>
      <c r="TYN1573" s="866"/>
      <c r="TYO1573" s="866"/>
      <c r="TYP1573" s="866"/>
      <c r="TYQ1573" s="866"/>
      <c r="TYR1573" s="866"/>
      <c r="TYS1573" s="866"/>
      <c r="TYT1573" s="866"/>
      <c r="TYU1573" s="866"/>
      <c r="TYV1573" s="866"/>
      <c r="TYW1573" s="866"/>
      <c r="TYX1573" s="866"/>
      <c r="TYY1573" s="866"/>
      <c r="TYZ1573" s="866"/>
      <c r="TZA1573" s="866"/>
      <c r="TZB1573" s="866"/>
      <c r="TZC1573" s="866"/>
      <c r="TZD1573" s="866"/>
      <c r="TZE1573" s="866"/>
      <c r="TZF1573" s="866"/>
      <c r="TZG1573" s="866"/>
      <c r="TZH1573" s="866"/>
      <c r="TZI1573" s="866"/>
      <c r="TZJ1573" s="866"/>
      <c r="TZK1573" s="866"/>
      <c r="TZL1573" s="866"/>
      <c r="TZM1573" s="866"/>
      <c r="TZN1573" s="866"/>
      <c r="TZO1573" s="866"/>
      <c r="TZP1573" s="866"/>
      <c r="TZQ1573" s="866"/>
      <c r="TZR1573" s="866"/>
      <c r="TZS1573" s="866"/>
      <c r="TZT1573" s="866"/>
      <c r="TZU1573" s="866"/>
      <c r="TZV1573" s="866"/>
      <c r="TZW1573" s="866"/>
      <c r="TZX1573" s="866"/>
      <c r="TZY1573" s="866"/>
      <c r="TZZ1573" s="866"/>
      <c r="UAA1573" s="866"/>
      <c r="UAB1573" s="866"/>
      <c r="UAC1573" s="866"/>
      <c r="UAD1573" s="866"/>
      <c r="UAE1573" s="866"/>
      <c r="UAF1573" s="866"/>
      <c r="UAG1573" s="866"/>
      <c r="UAH1573" s="866"/>
      <c r="UAI1573" s="866"/>
      <c r="UAJ1573" s="866"/>
      <c r="UAK1573" s="866"/>
      <c r="UAL1573" s="866"/>
      <c r="UAM1573" s="866"/>
      <c r="UAN1573" s="866"/>
      <c r="UAO1573" s="866"/>
      <c r="UAP1573" s="866"/>
      <c r="UAQ1573" s="866"/>
      <c r="UAR1573" s="866"/>
      <c r="UAS1573" s="866"/>
      <c r="UAT1573" s="866"/>
      <c r="UAU1573" s="866"/>
      <c r="UAV1573" s="866"/>
      <c r="UAW1573" s="866"/>
      <c r="UAX1573" s="866"/>
      <c r="UAY1573" s="866"/>
      <c r="UAZ1573" s="866"/>
      <c r="UBA1573" s="866"/>
      <c r="UBB1573" s="866"/>
      <c r="UBC1573" s="866"/>
      <c r="UBD1573" s="866"/>
      <c r="UBE1573" s="866"/>
      <c r="UBF1573" s="866"/>
      <c r="UBG1573" s="866"/>
      <c r="UBH1573" s="866"/>
      <c r="UBI1573" s="866"/>
      <c r="UBJ1573" s="866"/>
      <c r="UBK1573" s="866"/>
      <c r="UBL1573" s="866"/>
      <c r="UBM1573" s="866"/>
      <c r="UBN1573" s="866"/>
      <c r="UBO1573" s="866"/>
      <c r="UBP1573" s="866"/>
      <c r="UBQ1573" s="866"/>
      <c r="UBR1573" s="866"/>
      <c r="UBS1573" s="866"/>
      <c r="UBT1573" s="866"/>
      <c r="UBU1573" s="866"/>
      <c r="UBV1573" s="866"/>
      <c r="UBW1573" s="866"/>
      <c r="UBX1573" s="866"/>
      <c r="UBY1573" s="866"/>
      <c r="UBZ1573" s="866"/>
      <c r="UCA1573" s="866"/>
      <c r="UCB1573" s="866"/>
      <c r="UCC1573" s="866"/>
      <c r="UCD1573" s="866"/>
      <c r="UCE1573" s="866"/>
      <c r="UCF1573" s="866"/>
      <c r="UCG1573" s="866"/>
      <c r="UCH1573" s="866"/>
      <c r="UCI1573" s="866"/>
      <c r="UCJ1573" s="866"/>
      <c r="UCK1573" s="866"/>
      <c r="UCL1573" s="866"/>
      <c r="UCM1573" s="866"/>
      <c r="UCN1573" s="866"/>
      <c r="UCO1573" s="866"/>
      <c r="UCP1573" s="866"/>
      <c r="UCQ1573" s="866"/>
      <c r="UCR1573" s="866"/>
      <c r="UCS1573" s="866"/>
      <c r="UCT1573" s="866"/>
      <c r="UCU1573" s="866"/>
      <c r="UCV1573" s="866"/>
      <c r="UCW1573" s="866"/>
      <c r="UCX1573" s="866"/>
      <c r="UCY1573" s="866"/>
      <c r="UCZ1573" s="866"/>
      <c r="UDA1573" s="866"/>
      <c r="UDB1573" s="866"/>
      <c r="UDC1573" s="866"/>
      <c r="UDD1573" s="866"/>
      <c r="UDE1573" s="866"/>
      <c r="UDF1573" s="866"/>
      <c r="UDG1573" s="866"/>
      <c r="UDH1573" s="866"/>
      <c r="UDI1573" s="866"/>
      <c r="UDJ1573" s="866"/>
      <c r="UDK1573" s="866"/>
      <c r="UDL1573" s="866"/>
      <c r="UDM1573" s="866"/>
      <c r="UDN1573" s="866"/>
      <c r="UDO1573" s="866"/>
      <c r="UDP1573" s="866"/>
      <c r="UDQ1573" s="866"/>
      <c r="UDR1573" s="866"/>
      <c r="UDS1573" s="866"/>
      <c r="UDT1573" s="866"/>
      <c r="UDU1573" s="866"/>
      <c r="UDV1573" s="866"/>
      <c r="UDW1573" s="866"/>
      <c r="UDX1573" s="866"/>
      <c r="UDY1573" s="866"/>
      <c r="UDZ1573" s="866"/>
      <c r="UEA1573" s="866"/>
      <c r="UEB1573" s="866"/>
      <c r="UEC1573" s="866"/>
      <c r="UED1573" s="866"/>
      <c r="UEE1573" s="866"/>
      <c r="UEF1573" s="866"/>
      <c r="UEG1573" s="866"/>
      <c r="UEH1573" s="866"/>
      <c r="UEI1573" s="866"/>
      <c r="UEJ1573" s="866"/>
      <c r="UEK1573" s="866"/>
      <c r="UEL1573" s="866"/>
      <c r="UEM1573" s="866"/>
      <c r="UEN1573" s="866"/>
      <c r="UEO1573" s="866"/>
      <c r="UEP1573" s="866"/>
      <c r="UEQ1573" s="866"/>
      <c r="UER1573" s="866"/>
      <c r="UES1573" s="866"/>
      <c r="UET1573" s="866"/>
      <c r="UEU1573" s="866"/>
      <c r="UEV1573" s="866"/>
      <c r="UEW1573" s="866"/>
      <c r="UEX1573" s="866"/>
      <c r="UEY1573" s="866"/>
      <c r="UEZ1573" s="866"/>
      <c r="UFA1573" s="866"/>
      <c r="UFB1573" s="866"/>
      <c r="UFC1573" s="866"/>
      <c r="UFD1573" s="866"/>
      <c r="UFE1573" s="866"/>
      <c r="UFF1573" s="866"/>
      <c r="UFG1573" s="866"/>
      <c r="UFH1573" s="866"/>
      <c r="UFI1573" s="866"/>
      <c r="UFJ1573" s="866"/>
      <c r="UFK1573" s="866"/>
      <c r="UFL1573" s="866"/>
      <c r="UFM1573" s="866"/>
      <c r="UFN1573" s="866"/>
      <c r="UFO1573" s="866"/>
      <c r="UFP1573" s="866"/>
      <c r="UFQ1573" s="866"/>
      <c r="UFR1573" s="866"/>
      <c r="UFS1573" s="866"/>
      <c r="UFT1573" s="866"/>
      <c r="UFU1573" s="866"/>
      <c r="UFV1573" s="866"/>
      <c r="UFW1573" s="866"/>
      <c r="UFX1573" s="866"/>
      <c r="UFY1573" s="866"/>
      <c r="UFZ1573" s="866"/>
      <c r="UGA1573" s="866"/>
      <c r="UGB1573" s="866"/>
      <c r="UGC1573" s="866"/>
      <c r="UGD1573" s="866"/>
      <c r="UGE1573" s="866"/>
      <c r="UGF1573" s="866"/>
      <c r="UGG1573" s="866"/>
      <c r="UGH1573" s="866"/>
      <c r="UGI1573" s="866"/>
      <c r="UGJ1573" s="866"/>
      <c r="UGK1573" s="866"/>
      <c r="UGL1573" s="866"/>
      <c r="UGM1573" s="866"/>
      <c r="UGN1573" s="866"/>
      <c r="UGO1573" s="866"/>
      <c r="UGP1573" s="866"/>
      <c r="UGQ1573" s="866"/>
      <c r="UGR1573" s="866"/>
      <c r="UGS1573" s="866"/>
      <c r="UGT1573" s="866"/>
      <c r="UGU1573" s="866"/>
      <c r="UGV1573" s="866"/>
      <c r="UGW1573" s="866"/>
      <c r="UGX1573" s="866"/>
      <c r="UGY1573" s="866"/>
      <c r="UGZ1573" s="866"/>
      <c r="UHA1573" s="866"/>
      <c r="UHB1573" s="866"/>
      <c r="UHC1573" s="866"/>
      <c r="UHD1573" s="866"/>
      <c r="UHE1573" s="866"/>
      <c r="UHF1573" s="866"/>
      <c r="UHG1573" s="866"/>
      <c r="UHH1573" s="866"/>
      <c r="UHI1573" s="866"/>
      <c r="UHJ1573" s="866"/>
      <c r="UHK1573" s="866"/>
      <c r="UHL1573" s="866"/>
      <c r="UHM1573" s="866"/>
      <c r="UHN1573" s="866"/>
      <c r="UHO1573" s="866"/>
      <c r="UHP1573" s="866"/>
      <c r="UHQ1573" s="866"/>
      <c r="UHR1573" s="866"/>
      <c r="UHS1573" s="866"/>
      <c r="UHT1573" s="866"/>
      <c r="UHU1573" s="866"/>
      <c r="UHV1573" s="866"/>
      <c r="UHW1573" s="866"/>
      <c r="UHX1573" s="866"/>
      <c r="UHY1573" s="866"/>
      <c r="UHZ1573" s="866"/>
      <c r="UIA1573" s="866"/>
      <c r="UIB1573" s="866"/>
      <c r="UIC1573" s="866"/>
      <c r="UID1573" s="866"/>
      <c r="UIE1573" s="866"/>
      <c r="UIF1573" s="866"/>
      <c r="UIG1573" s="866"/>
      <c r="UIH1573" s="866"/>
      <c r="UII1573" s="866"/>
      <c r="UIJ1573" s="866"/>
      <c r="UIK1573" s="866"/>
      <c r="UIL1573" s="866"/>
      <c r="UIM1573" s="866"/>
      <c r="UIN1573" s="866"/>
      <c r="UIO1573" s="866"/>
      <c r="UIP1573" s="866"/>
      <c r="UIQ1573" s="866"/>
      <c r="UIR1573" s="866"/>
      <c r="UIS1573" s="866"/>
      <c r="UIT1573" s="866"/>
      <c r="UIU1573" s="866"/>
      <c r="UIV1573" s="866"/>
      <c r="UIW1573" s="866"/>
      <c r="UIX1573" s="866"/>
      <c r="UIY1573" s="866"/>
      <c r="UIZ1573" s="866"/>
      <c r="UJA1573" s="866"/>
      <c r="UJB1573" s="866"/>
      <c r="UJC1573" s="866"/>
      <c r="UJD1573" s="866"/>
      <c r="UJE1573" s="866"/>
      <c r="UJF1573" s="866"/>
      <c r="UJG1573" s="866"/>
      <c r="UJH1573" s="866"/>
      <c r="UJI1573" s="866"/>
      <c r="UJJ1573" s="866"/>
      <c r="UJK1573" s="866"/>
      <c r="UJL1573" s="866"/>
      <c r="UJM1573" s="866"/>
      <c r="UJN1573" s="866"/>
      <c r="UJO1573" s="866"/>
      <c r="UJP1573" s="866"/>
      <c r="UJQ1573" s="866"/>
      <c r="UJR1573" s="866"/>
      <c r="UJS1573" s="866"/>
      <c r="UJT1573" s="866"/>
      <c r="UJU1573" s="866"/>
      <c r="UJV1573" s="866"/>
      <c r="UJW1573" s="866"/>
      <c r="UJX1573" s="866"/>
      <c r="UJY1573" s="866"/>
      <c r="UJZ1573" s="866"/>
      <c r="UKA1573" s="866"/>
      <c r="UKB1573" s="866"/>
      <c r="UKC1573" s="866"/>
      <c r="UKD1573" s="866"/>
      <c r="UKE1573" s="866"/>
      <c r="UKF1573" s="866"/>
      <c r="UKG1573" s="866"/>
      <c r="UKH1573" s="866"/>
      <c r="UKI1573" s="866"/>
      <c r="UKJ1573" s="866"/>
      <c r="UKK1573" s="866"/>
      <c r="UKL1573" s="866"/>
      <c r="UKM1573" s="866"/>
      <c r="UKN1573" s="866"/>
      <c r="UKO1573" s="866"/>
      <c r="UKP1573" s="866"/>
      <c r="UKQ1573" s="866"/>
      <c r="UKR1573" s="866"/>
      <c r="UKS1573" s="866"/>
      <c r="UKT1573" s="866"/>
      <c r="UKU1573" s="866"/>
      <c r="UKV1573" s="866"/>
      <c r="UKW1573" s="866"/>
      <c r="UKX1573" s="866"/>
      <c r="UKY1573" s="866"/>
      <c r="UKZ1573" s="866"/>
      <c r="ULA1573" s="866"/>
      <c r="ULB1573" s="866"/>
      <c r="ULC1573" s="866"/>
      <c r="ULD1573" s="866"/>
      <c r="ULE1573" s="866"/>
      <c r="ULF1573" s="866"/>
      <c r="ULG1573" s="866"/>
      <c r="ULH1573" s="866"/>
      <c r="ULI1573" s="866"/>
      <c r="ULJ1573" s="866"/>
      <c r="ULK1573" s="866"/>
      <c r="ULL1573" s="866"/>
      <c r="ULM1573" s="866"/>
      <c r="ULN1573" s="866"/>
      <c r="ULO1573" s="866"/>
      <c r="ULP1573" s="866"/>
      <c r="ULQ1573" s="866"/>
      <c r="ULR1573" s="866"/>
      <c r="ULS1573" s="866"/>
      <c r="ULT1573" s="866"/>
      <c r="ULU1573" s="866"/>
      <c r="ULV1573" s="866"/>
      <c r="ULW1573" s="866"/>
      <c r="ULX1573" s="866"/>
      <c r="ULY1573" s="866"/>
      <c r="ULZ1573" s="866"/>
      <c r="UMA1573" s="866"/>
      <c r="UMB1573" s="866"/>
      <c r="UMC1573" s="866"/>
      <c r="UMD1573" s="866"/>
      <c r="UME1573" s="866"/>
      <c r="UMF1573" s="866"/>
      <c r="UMG1573" s="866"/>
      <c r="UMH1573" s="866"/>
      <c r="UMI1573" s="866"/>
      <c r="UMJ1573" s="866"/>
      <c r="UMK1573" s="866"/>
      <c r="UML1573" s="866"/>
      <c r="UMM1573" s="866"/>
      <c r="UMN1573" s="866"/>
      <c r="UMO1573" s="866"/>
      <c r="UMP1573" s="866"/>
      <c r="UMQ1573" s="866"/>
      <c r="UMR1573" s="866"/>
      <c r="UMS1573" s="866"/>
      <c r="UMT1573" s="866"/>
      <c r="UMU1573" s="866"/>
      <c r="UMV1573" s="866"/>
      <c r="UMW1573" s="866"/>
      <c r="UMX1573" s="866"/>
      <c r="UMY1573" s="866"/>
      <c r="UMZ1573" s="866"/>
      <c r="UNA1573" s="866"/>
      <c r="UNB1573" s="866"/>
      <c r="UNC1573" s="866"/>
      <c r="UND1573" s="866"/>
      <c r="UNE1573" s="866"/>
      <c r="UNF1573" s="866"/>
      <c r="UNG1573" s="866"/>
      <c r="UNH1573" s="866"/>
      <c r="UNI1573" s="866"/>
      <c r="UNJ1573" s="866"/>
      <c r="UNK1573" s="866"/>
      <c r="UNL1573" s="866"/>
      <c r="UNM1573" s="866"/>
      <c r="UNN1573" s="866"/>
      <c r="UNO1573" s="866"/>
      <c r="UNP1573" s="866"/>
      <c r="UNQ1573" s="866"/>
      <c r="UNR1573" s="866"/>
      <c r="UNS1573" s="866"/>
      <c r="UNT1573" s="866"/>
      <c r="UNU1573" s="866"/>
      <c r="UNV1573" s="866"/>
      <c r="UNW1573" s="866"/>
      <c r="UNX1573" s="866"/>
      <c r="UNY1573" s="866"/>
      <c r="UNZ1573" s="866"/>
      <c r="UOA1573" s="866"/>
      <c r="UOB1573" s="866"/>
      <c r="UOC1573" s="866"/>
      <c r="UOD1573" s="866"/>
      <c r="UOE1573" s="866"/>
      <c r="UOF1573" s="866"/>
      <c r="UOG1573" s="866"/>
      <c r="UOH1573" s="866"/>
      <c r="UOI1573" s="866"/>
      <c r="UOJ1573" s="866"/>
      <c r="UOK1573" s="866"/>
      <c r="UOL1573" s="866"/>
      <c r="UOM1573" s="866"/>
      <c r="UON1573" s="866"/>
      <c r="UOO1573" s="866"/>
      <c r="UOP1573" s="866"/>
      <c r="UOQ1573" s="866"/>
      <c r="UOR1573" s="866"/>
      <c r="UOS1573" s="866"/>
      <c r="UOT1573" s="866"/>
      <c r="UOU1573" s="866"/>
      <c r="UOV1573" s="866"/>
      <c r="UOW1573" s="866"/>
      <c r="UOX1573" s="866"/>
      <c r="UOY1573" s="866"/>
      <c r="UOZ1573" s="866"/>
      <c r="UPA1573" s="866"/>
      <c r="UPB1573" s="866"/>
      <c r="UPC1573" s="866"/>
      <c r="UPD1573" s="866"/>
      <c r="UPE1573" s="866"/>
      <c r="UPF1573" s="866"/>
      <c r="UPG1573" s="866"/>
      <c r="UPH1573" s="866"/>
      <c r="UPI1573" s="866"/>
      <c r="UPJ1573" s="866"/>
      <c r="UPK1573" s="866"/>
      <c r="UPL1573" s="866"/>
      <c r="UPM1573" s="866"/>
      <c r="UPN1573" s="866"/>
      <c r="UPO1573" s="866"/>
      <c r="UPP1573" s="866"/>
      <c r="UPQ1573" s="866"/>
      <c r="UPR1573" s="866"/>
      <c r="UPS1573" s="866"/>
      <c r="UPT1573" s="866"/>
      <c r="UPU1573" s="866"/>
      <c r="UPV1573" s="866"/>
      <c r="UPW1573" s="866"/>
      <c r="UPX1573" s="866"/>
      <c r="UPY1573" s="866"/>
      <c r="UPZ1573" s="866"/>
      <c r="UQA1573" s="866"/>
      <c r="UQB1573" s="866"/>
      <c r="UQC1573" s="866"/>
      <c r="UQD1573" s="866"/>
      <c r="UQE1573" s="866"/>
      <c r="UQF1573" s="866"/>
      <c r="UQG1573" s="866"/>
      <c r="UQH1573" s="866"/>
      <c r="UQI1573" s="866"/>
      <c r="UQJ1573" s="866"/>
      <c r="UQK1573" s="866"/>
      <c r="UQL1573" s="866"/>
      <c r="UQM1573" s="866"/>
      <c r="UQN1573" s="866"/>
      <c r="UQO1573" s="866"/>
      <c r="UQP1573" s="866"/>
      <c r="UQQ1573" s="866"/>
      <c r="UQR1573" s="866"/>
      <c r="UQS1573" s="866"/>
      <c r="UQT1573" s="866"/>
      <c r="UQU1573" s="866"/>
      <c r="UQV1573" s="866"/>
      <c r="UQW1573" s="866"/>
      <c r="UQX1573" s="866"/>
      <c r="UQY1573" s="866"/>
      <c r="UQZ1573" s="866"/>
      <c r="URA1573" s="866"/>
      <c r="URB1573" s="866"/>
      <c r="URC1573" s="866"/>
      <c r="URD1573" s="866"/>
      <c r="URE1573" s="866"/>
      <c r="URF1573" s="866"/>
      <c r="URG1573" s="866"/>
      <c r="URH1573" s="866"/>
      <c r="URI1573" s="866"/>
      <c r="URJ1573" s="866"/>
      <c r="URK1573" s="866"/>
      <c r="URL1573" s="866"/>
      <c r="URM1573" s="866"/>
      <c r="URN1573" s="866"/>
      <c r="URO1573" s="866"/>
      <c r="URP1573" s="866"/>
      <c r="URQ1573" s="866"/>
      <c r="URR1573" s="866"/>
      <c r="URS1573" s="866"/>
      <c r="URT1573" s="866"/>
      <c r="URU1573" s="866"/>
      <c r="URV1573" s="866"/>
      <c r="URW1573" s="866"/>
      <c r="URX1573" s="866"/>
      <c r="URY1573" s="866"/>
      <c r="URZ1573" s="866"/>
      <c r="USA1573" s="866"/>
      <c r="USB1573" s="866"/>
      <c r="USC1573" s="866"/>
      <c r="USD1573" s="866"/>
      <c r="USE1573" s="866"/>
      <c r="USF1573" s="866"/>
      <c r="USG1573" s="866"/>
      <c r="USH1573" s="866"/>
      <c r="USI1573" s="866"/>
      <c r="USJ1573" s="866"/>
      <c r="USK1573" s="866"/>
      <c r="USL1573" s="866"/>
      <c r="USM1573" s="866"/>
      <c r="USN1573" s="866"/>
      <c r="USO1573" s="866"/>
      <c r="USP1573" s="866"/>
      <c r="USQ1573" s="866"/>
      <c r="USR1573" s="866"/>
      <c r="USS1573" s="866"/>
      <c r="UST1573" s="866"/>
      <c r="USU1573" s="866"/>
      <c r="USV1573" s="866"/>
      <c r="USW1573" s="866"/>
      <c r="USX1573" s="866"/>
      <c r="USY1573" s="866"/>
      <c r="USZ1573" s="866"/>
      <c r="UTA1573" s="866"/>
      <c r="UTB1573" s="866"/>
      <c r="UTC1573" s="866"/>
      <c r="UTD1573" s="866"/>
      <c r="UTE1573" s="866"/>
      <c r="UTF1573" s="866"/>
      <c r="UTG1573" s="866"/>
      <c r="UTH1573" s="866"/>
      <c r="UTI1573" s="866"/>
      <c r="UTJ1573" s="866"/>
      <c r="UTK1573" s="866"/>
      <c r="UTL1573" s="866"/>
      <c r="UTM1573" s="866"/>
      <c r="UTN1573" s="866"/>
      <c r="UTO1573" s="866"/>
      <c r="UTP1573" s="866"/>
      <c r="UTQ1573" s="866"/>
      <c r="UTR1573" s="866"/>
      <c r="UTS1573" s="866"/>
      <c r="UTT1573" s="866"/>
      <c r="UTU1573" s="866"/>
      <c r="UTV1573" s="866"/>
      <c r="UTW1573" s="866"/>
      <c r="UTX1573" s="866"/>
      <c r="UTY1573" s="866"/>
      <c r="UTZ1573" s="866"/>
      <c r="UUA1573" s="866"/>
      <c r="UUB1573" s="866"/>
      <c r="UUC1573" s="866"/>
      <c r="UUD1573" s="866"/>
      <c r="UUE1573" s="866"/>
      <c r="UUF1573" s="866"/>
      <c r="UUG1573" s="866"/>
      <c r="UUH1573" s="866"/>
      <c r="UUI1573" s="866"/>
      <c r="UUJ1573" s="866"/>
      <c r="UUK1573" s="866"/>
      <c r="UUL1573" s="866"/>
      <c r="UUM1573" s="866"/>
      <c r="UUN1573" s="866"/>
      <c r="UUO1573" s="866"/>
      <c r="UUP1573" s="866"/>
      <c r="UUQ1573" s="866"/>
      <c r="UUR1573" s="866"/>
      <c r="UUS1573" s="866"/>
      <c r="UUT1573" s="866"/>
      <c r="UUU1573" s="866"/>
      <c r="UUV1573" s="866"/>
      <c r="UUW1573" s="866"/>
      <c r="UUX1573" s="866"/>
      <c r="UUY1573" s="866"/>
      <c r="UUZ1573" s="866"/>
      <c r="UVA1573" s="866"/>
      <c r="UVB1573" s="866"/>
      <c r="UVC1573" s="866"/>
      <c r="UVD1573" s="866"/>
      <c r="UVE1573" s="866"/>
      <c r="UVF1573" s="866"/>
      <c r="UVG1573" s="866"/>
      <c r="UVH1573" s="866"/>
      <c r="UVI1573" s="866"/>
      <c r="UVJ1573" s="866"/>
      <c r="UVK1573" s="866"/>
      <c r="UVL1573" s="866"/>
      <c r="UVM1573" s="866"/>
      <c r="UVN1573" s="866"/>
      <c r="UVO1573" s="866"/>
      <c r="UVP1573" s="866"/>
      <c r="UVQ1573" s="866"/>
      <c r="UVR1573" s="866"/>
      <c r="UVS1573" s="866"/>
      <c r="UVT1573" s="866"/>
      <c r="UVU1573" s="866"/>
      <c r="UVV1573" s="866"/>
      <c r="UVW1573" s="866"/>
      <c r="UVX1573" s="866"/>
      <c r="UVY1573" s="866"/>
      <c r="UVZ1573" s="866"/>
      <c r="UWA1573" s="866"/>
      <c r="UWB1573" s="866"/>
      <c r="UWC1573" s="866"/>
      <c r="UWD1573" s="866"/>
      <c r="UWE1573" s="866"/>
      <c r="UWF1573" s="866"/>
      <c r="UWG1573" s="866"/>
      <c r="UWH1573" s="866"/>
      <c r="UWI1573" s="866"/>
      <c r="UWJ1573" s="866"/>
      <c r="UWK1573" s="866"/>
      <c r="UWL1573" s="866"/>
      <c r="UWM1573" s="866"/>
      <c r="UWN1573" s="866"/>
      <c r="UWO1573" s="866"/>
      <c r="UWP1573" s="866"/>
      <c r="UWQ1573" s="866"/>
      <c r="UWR1573" s="866"/>
      <c r="UWS1573" s="866"/>
      <c r="UWT1573" s="866"/>
      <c r="UWU1573" s="866"/>
      <c r="UWV1573" s="866"/>
      <c r="UWW1573" s="866"/>
      <c r="UWX1573" s="866"/>
      <c r="UWY1573" s="866"/>
      <c r="UWZ1573" s="866"/>
      <c r="UXA1573" s="866"/>
      <c r="UXB1573" s="866"/>
      <c r="UXC1573" s="866"/>
      <c r="UXD1573" s="866"/>
      <c r="UXE1573" s="866"/>
      <c r="UXF1573" s="866"/>
      <c r="UXG1573" s="866"/>
      <c r="UXH1573" s="866"/>
      <c r="UXI1573" s="866"/>
      <c r="UXJ1573" s="866"/>
      <c r="UXK1573" s="866"/>
      <c r="UXL1573" s="866"/>
      <c r="UXM1573" s="866"/>
      <c r="UXN1573" s="866"/>
      <c r="UXO1573" s="866"/>
      <c r="UXP1573" s="866"/>
      <c r="UXQ1573" s="866"/>
      <c r="UXR1573" s="866"/>
      <c r="UXS1573" s="866"/>
      <c r="UXT1573" s="866"/>
      <c r="UXU1573" s="866"/>
      <c r="UXV1573" s="866"/>
      <c r="UXW1573" s="866"/>
      <c r="UXX1573" s="866"/>
      <c r="UXY1573" s="866"/>
      <c r="UXZ1573" s="866"/>
      <c r="UYA1573" s="866"/>
      <c r="UYB1573" s="866"/>
      <c r="UYC1573" s="866"/>
      <c r="UYD1573" s="866"/>
      <c r="UYE1573" s="866"/>
      <c r="UYF1573" s="866"/>
      <c r="UYG1573" s="866"/>
      <c r="UYH1573" s="866"/>
      <c r="UYI1573" s="866"/>
      <c r="UYJ1573" s="866"/>
      <c r="UYK1573" s="866"/>
      <c r="UYL1573" s="866"/>
      <c r="UYM1573" s="866"/>
      <c r="UYN1573" s="866"/>
      <c r="UYO1573" s="866"/>
      <c r="UYP1573" s="866"/>
      <c r="UYQ1573" s="866"/>
      <c r="UYR1573" s="866"/>
      <c r="UYS1573" s="866"/>
      <c r="UYT1573" s="866"/>
      <c r="UYU1573" s="866"/>
      <c r="UYV1573" s="866"/>
      <c r="UYW1573" s="866"/>
      <c r="UYX1573" s="866"/>
      <c r="UYY1573" s="866"/>
      <c r="UYZ1573" s="866"/>
      <c r="UZA1573" s="866"/>
      <c r="UZB1573" s="866"/>
      <c r="UZC1573" s="866"/>
      <c r="UZD1573" s="866"/>
      <c r="UZE1573" s="866"/>
      <c r="UZF1573" s="866"/>
      <c r="UZG1573" s="866"/>
      <c r="UZH1573" s="866"/>
      <c r="UZI1573" s="866"/>
      <c r="UZJ1573" s="866"/>
      <c r="UZK1573" s="866"/>
      <c r="UZL1573" s="866"/>
      <c r="UZM1573" s="866"/>
      <c r="UZN1573" s="866"/>
      <c r="UZO1573" s="866"/>
      <c r="UZP1573" s="866"/>
      <c r="UZQ1573" s="866"/>
      <c r="UZR1573" s="866"/>
      <c r="UZS1573" s="866"/>
      <c r="UZT1573" s="866"/>
      <c r="UZU1573" s="866"/>
      <c r="UZV1573" s="866"/>
      <c r="UZW1573" s="866"/>
      <c r="UZX1573" s="866"/>
      <c r="UZY1573" s="866"/>
      <c r="UZZ1573" s="866"/>
      <c r="VAA1573" s="866"/>
      <c r="VAB1573" s="866"/>
      <c r="VAC1573" s="866"/>
      <c r="VAD1573" s="866"/>
      <c r="VAE1573" s="866"/>
      <c r="VAF1573" s="866"/>
      <c r="VAG1573" s="866"/>
      <c r="VAH1573" s="866"/>
      <c r="VAI1573" s="866"/>
      <c r="VAJ1573" s="866"/>
      <c r="VAK1573" s="866"/>
      <c r="VAL1573" s="866"/>
      <c r="VAM1573" s="866"/>
      <c r="VAN1573" s="866"/>
      <c r="VAO1573" s="866"/>
      <c r="VAP1573" s="866"/>
      <c r="VAQ1573" s="866"/>
      <c r="VAR1573" s="866"/>
      <c r="VAS1573" s="866"/>
      <c r="VAT1573" s="866"/>
      <c r="VAU1573" s="866"/>
      <c r="VAV1573" s="866"/>
      <c r="VAW1573" s="866"/>
      <c r="VAX1573" s="866"/>
      <c r="VAY1573" s="866"/>
      <c r="VAZ1573" s="866"/>
      <c r="VBA1573" s="866"/>
      <c r="VBB1573" s="866"/>
      <c r="VBC1573" s="866"/>
      <c r="VBD1573" s="866"/>
      <c r="VBE1573" s="866"/>
      <c r="VBF1573" s="866"/>
      <c r="VBG1573" s="866"/>
      <c r="VBH1573" s="866"/>
      <c r="VBI1573" s="866"/>
      <c r="VBJ1573" s="866"/>
      <c r="VBK1573" s="866"/>
      <c r="VBL1573" s="866"/>
      <c r="VBM1573" s="866"/>
      <c r="VBN1573" s="866"/>
      <c r="VBO1573" s="866"/>
      <c r="VBP1573" s="866"/>
      <c r="VBQ1573" s="866"/>
      <c r="VBR1573" s="866"/>
      <c r="VBS1573" s="866"/>
      <c r="VBT1573" s="866"/>
      <c r="VBU1573" s="866"/>
      <c r="VBV1573" s="866"/>
      <c r="VBW1573" s="866"/>
      <c r="VBX1573" s="866"/>
      <c r="VBY1573" s="866"/>
      <c r="VBZ1573" s="866"/>
      <c r="VCA1573" s="866"/>
      <c r="VCB1573" s="866"/>
      <c r="VCC1573" s="866"/>
      <c r="VCD1573" s="866"/>
      <c r="VCE1573" s="866"/>
      <c r="VCF1573" s="866"/>
      <c r="VCG1573" s="866"/>
      <c r="VCH1573" s="866"/>
      <c r="VCI1573" s="866"/>
      <c r="VCJ1573" s="866"/>
      <c r="VCK1573" s="866"/>
      <c r="VCL1573" s="866"/>
      <c r="VCM1573" s="866"/>
      <c r="VCN1573" s="866"/>
      <c r="VCO1573" s="866"/>
      <c r="VCP1573" s="866"/>
      <c r="VCQ1573" s="866"/>
      <c r="VCR1573" s="866"/>
      <c r="VCS1573" s="866"/>
      <c r="VCT1573" s="866"/>
      <c r="VCU1573" s="866"/>
      <c r="VCV1573" s="866"/>
      <c r="VCW1573" s="866"/>
      <c r="VCX1573" s="866"/>
      <c r="VCY1573" s="866"/>
      <c r="VCZ1573" s="866"/>
      <c r="VDA1573" s="866"/>
      <c r="VDB1573" s="866"/>
      <c r="VDC1573" s="866"/>
      <c r="VDD1573" s="866"/>
      <c r="VDE1573" s="866"/>
      <c r="VDF1573" s="866"/>
      <c r="VDG1573" s="866"/>
      <c r="VDH1573" s="866"/>
      <c r="VDI1573" s="866"/>
      <c r="VDJ1573" s="866"/>
      <c r="VDK1573" s="866"/>
      <c r="VDL1573" s="866"/>
      <c r="VDM1573" s="866"/>
      <c r="VDN1573" s="866"/>
      <c r="VDO1573" s="866"/>
      <c r="VDP1573" s="866"/>
      <c r="VDQ1573" s="866"/>
      <c r="VDR1573" s="866"/>
      <c r="VDS1573" s="866"/>
      <c r="VDT1573" s="866"/>
      <c r="VDU1573" s="866"/>
      <c r="VDV1573" s="866"/>
      <c r="VDW1573" s="866"/>
      <c r="VDX1573" s="866"/>
      <c r="VDY1573" s="866"/>
      <c r="VDZ1573" s="866"/>
      <c r="VEA1573" s="866"/>
      <c r="VEB1573" s="866"/>
      <c r="VEC1573" s="866"/>
      <c r="VED1573" s="866"/>
      <c r="VEE1573" s="866"/>
      <c r="VEF1573" s="866"/>
      <c r="VEG1573" s="866"/>
      <c r="VEH1573" s="866"/>
      <c r="VEI1573" s="866"/>
      <c r="VEJ1573" s="866"/>
      <c r="VEK1573" s="866"/>
      <c r="VEL1573" s="866"/>
      <c r="VEM1573" s="866"/>
      <c r="VEN1573" s="866"/>
      <c r="VEO1573" s="866"/>
      <c r="VEP1573" s="866"/>
      <c r="VEQ1573" s="866"/>
      <c r="VER1573" s="866"/>
      <c r="VES1573" s="866"/>
      <c r="VET1573" s="866"/>
      <c r="VEU1573" s="866"/>
      <c r="VEV1573" s="866"/>
      <c r="VEW1573" s="866"/>
      <c r="VEX1573" s="866"/>
      <c r="VEY1573" s="866"/>
      <c r="VEZ1573" s="866"/>
      <c r="VFA1573" s="866"/>
      <c r="VFB1573" s="866"/>
      <c r="VFC1573" s="866"/>
      <c r="VFD1573" s="866"/>
      <c r="VFE1573" s="866"/>
      <c r="VFF1573" s="866"/>
      <c r="VFG1573" s="866"/>
      <c r="VFH1573" s="866"/>
      <c r="VFI1573" s="866"/>
      <c r="VFJ1573" s="866"/>
      <c r="VFK1573" s="866"/>
      <c r="VFL1573" s="866"/>
      <c r="VFM1573" s="866"/>
      <c r="VFN1573" s="866"/>
      <c r="VFO1573" s="866"/>
      <c r="VFP1573" s="866"/>
      <c r="VFQ1573" s="866"/>
      <c r="VFR1573" s="866"/>
      <c r="VFS1573" s="866"/>
      <c r="VFT1573" s="866"/>
      <c r="VFU1573" s="866"/>
      <c r="VFV1573" s="866"/>
      <c r="VFW1573" s="866"/>
      <c r="VFX1573" s="866"/>
      <c r="VFY1573" s="866"/>
      <c r="VFZ1573" s="866"/>
      <c r="VGA1573" s="866"/>
      <c r="VGB1573" s="866"/>
      <c r="VGC1573" s="866"/>
      <c r="VGD1573" s="866"/>
      <c r="VGE1573" s="866"/>
      <c r="VGF1573" s="866"/>
      <c r="VGG1573" s="866"/>
      <c r="VGH1573" s="866"/>
      <c r="VGI1573" s="866"/>
      <c r="VGJ1573" s="866"/>
      <c r="VGK1573" s="866"/>
      <c r="VGL1573" s="866"/>
      <c r="VGM1573" s="866"/>
      <c r="VGN1573" s="866"/>
      <c r="VGO1573" s="866"/>
      <c r="VGP1573" s="866"/>
      <c r="VGQ1573" s="866"/>
      <c r="VGR1573" s="866"/>
      <c r="VGS1573" s="866"/>
      <c r="VGT1573" s="866"/>
      <c r="VGU1573" s="866"/>
      <c r="VGV1573" s="866"/>
      <c r="VGW1573" s="866"/>
      <c r="VGX1573" s="866"/>
      <c r="VGY1573" s="866"/>
      <c r="VGZ1573" s="866"/>
      <c r="VHA1573" s="866"/>
      <c r="VHB1573" s="866"/>
      <c r="VHC1573" s="866"/>
      <c r="VHD1573" s="866"/>
      <c r="VHE1573" s="866"/>
      <c r="VHF1573" s="866"/>
      <c r="VHG1573" s="866"/>
      <c r="VHH1573" s="866"/>
      <c r="VHI1573" s="866"/>
      <c r="VHJ1573" s="866"/>
      <c r="VHK1573" s="866"/>
      <c r="VHL1573" s="866"/>
      <c r="VHM1573" s="866"/>
      <c r="VHN1573" s="866"/>
      <c r="VHO1573" s="866"/>
      <c r="VHP1573" s="866"/>
      <c r="VHQ1573" s="866"/>
      <c r="VHR1573" s="866"/>
      <c r="VHS1573" s="866"/>
      <c r="VHT1573" s="866"/>
      <c r="VHU1573" s="866"/>
      <c r="VHV1573" s="866"/>
      <c r="VHW1573" s="866"/>
      <c r="VHX1573" s="866"/>
      <c r="VHY1573" s="866"/>
      <c r="VHZ1573" s="866"/>
      <c r="VIA1573" s="866"/>
      <c r="VIB1573" s="866"/>
      <c r="VIC1573" s="866"/>
      <c r="VID1573" s="866"/>
      <c r="VIE1573" s="866"/>
      <c r="VIF1573" s="866"/>
      <c r="VIG1573" s="866"/>
      <c r="VIH1573" s="866"/>
      <c r="VII1573" s="866"/>
      <c r="VIJ1573" s="866"/>
      <c r="VIK1573" s="866"/>
      <c r="VIL1573" s="866"/>
      <c r="VIM1573" s="866"/>
      <c r="VIN1573" s="866"/>
      <c r="VIO1573" s="866"/>
      <c r="VIP1573" s="866"/>
      <c r="VIQ1573" s="866"/>
      <c r="VIR1573" s="866"/>
      <c r="VIS1573" s="866"/>
      <c r="VIT1573" s="866"/>
      <c r="VIU1573" s="866"/>
      <c r="VIV1573" s="866"/>
      <c r="VIW1573" s="866"/>
      <c r="VIX1573" s="866"/>
      <c r="VIY1573" s="866"/>
      <c r="VIZ1573" s="866"/>
      <c r="VJA1573" s="866"/>
      <c r="VJB1573" s="866"/>
      <c r="VJC1573" s="866"/>
      <c r="VJD1573" s="866"/>
      <c r="VJE1573" s="866"/>
      <c r="VJF1573" s="866"/>
      <c r="VJG1573" s="866"/>
      <c r="VJH1573" s="866"/>
      <c r="VJI1573" s="866"/>
      <c r="VJJ1573" s="866"/>
      <c r="VJK1573" s="866"/>
      <c r="VJL1573" s="866"/>
      <c r="VJM1573" s="866"/>
      <c r="VJN1573" s="866"/>
      <c r="VJO1573" s="866"/>
      <c r="VJP1573" s="866"/>
      <c r="VJQ1573" s="866"/>
      <c r="VJR1573" s="866"/>
      <c r="VJS1573" s="866"/>
      <c r="VJT1573" s="866"/>
      <c r="VJU1573" s="866"/>
      <c r="VJV1573" s="866"/>
      <c r="VJW1573" s="866"/>
      <c r="VJX1573" s="866"/>
      <c r="VJY1573" s="866"/>
      <c r="VJZ1573" s="866"/>
      <c r="VKA1573" s="866"/>
      <c r="VKB1573" s="866"/>
      <c r="VKC1573" s="866"/>
      <c r="VKD1573" s="866"/>
      <c r="VKE1573" s="866"/>
      <c r="VKF1573" s="866"/>
      <c r="VKG1573" s="866"/>
      <c r="VKH1573" s="866"/>
      <c r="VKI1573" s="866"/>
      <c r="VKJ1573" s="866"/>
      <c r="VKK1573" s="866"/>
      <c r="VKL1573" s="866"/>
      <c r="VKM1573" s="866"/>
      <c r="VKN1573" s="866"/>
      <c r="VKO1573" s="866"/>
      <c r="VKP1573" s="866"/>
      <c r="VKQ1573" s="866"/>
      <c r="VKR1573" s="866"/>
      <c r="VKS1573" s="866"/>
      <c r="VKT1573" s="866"/>
      <c r="VKU1573" s="866"/>
      <c r="VKV1573" s="866"/>
      <c r="VKW1573" s="866"/>
      <c r="VKX1573" s="866"/>
      <c r="VKY1573" s="866"/>
      <c r="VKZ1573" s="866"/>
      <c r="VLA1573" s="866"/>
      <c r="VLB1573" s="866"/>
      <c r="VLC1573" s="866"/>
      <c r="VLD1573" s="866"/>
      <c r="VLE1573" s="866"/>
      <c r="VLF1573" s="866"/>
      <c r="VLG1573" s="866"/>
      <c r="VLH1573" s="866"/>
      <c r="VLI1573" s="866"/>
      <c r="VLJ1573" s="866"/>
      <c r="VLK1573" s="866"/>
      <c r="VLL1573" s="866"/>
      <c r="VLM1573" s="866"/>
      <c r="VLN1573" s="866"/>
      <c r="VLO1573" s="866"/>
      <c r="VLP1573" s="866"/>
      <c r="VLQ1573" s="866"/>
      <c r="VLR1573" s="866"/>
      <c r="VLS1573" s="866"/>
      <c r="VLT1573" s="866"/>
      <c r="VLU1573" s="866"/>
      <c r="VLV1573" s="866"/>
      <c r="VLW1573" s="866"/>
      <c r="VLX1573" s="866"/>
      <c r="VLY1573" s="866"/>
      <c r="VLZ1573" s="866"/>
      <c r="VMA1573" s="866"/>
      <c r="VMB1573" s="866"/>
      <c r="VMC1573" s="866"/>
      <c r="VMD1573" s="866"/>
      <c r="VME1573" s="866"/>
      <c r="VMF1573" s="866"/>
      <c r="VMG1573" s="866"/>
      <c r="VMH1573" s="866"/>
      <c r="VMI1573" s="866"/>
      <c r="VMJ1573" s="866"/>
      <c r="VMK1573" s="866"/>
      <c r="VML1573" s="866"/>
      <c r="VMM1573" s="866"/>
      <c r="VMN1573" s="866"/>
      <c r="VMO1573" s="866"/>
      <c r="VMP1573" s="866"/>
      <c r="VMQ1573" s="866"/>
      <c r="VMR1573" s="866"/>
      <c r="VMS1573" s="866"/>
      <c r="VMT1573" s="866"/>
      <c r="VMU1573" s="866"/>
      <c r="VMV1573" s="866"/>
      <c r="VMW1573" s="866"/>
      <c r="VMX1573" s="866"/>
      <c r="VMY1573" s="866"/>
      <c r="VMZ1573" s="866"/>
      <c r="VNA1573" s="866"/>
      <c r="VNB1573" s="866"/>
      <c r="VNC1573" s="866"/>
      <c r="VND1573" s="866"/>
      <c r="VNE1573" s="866"/>
      <c r="VNF1573" s="866"/>
      <c r="VNG1573" s="866"/>
      <c r="VNH1573" s="866"/>
      <c r="VNI1573" s="866"/>
      <c r="VNJ1573" s="866"/>
      <c r="VNK1573" s="866"/>
      <c r="VNL1573" s="866"/>
      <c r="VNM1573" s="866"/>
      <c r="VNN1573" s="866"/>
      <c r="VNO1573" s="866"/>
      <c r="VNP1573" s="866"/>
      <c r="VNQ1573" s="866"/>
      <c r="VNR1573" s="866"/>
      <c r="VNS1573" s="866"/>
      <c r="VNT1573" s="866"/>
      <c r="VNU1573" s="866"/>
      <c r="VNV1573" s="866"/>
      <c r="VNW1573" s="866"/>
      <c r="VNX1573" s="866"/>
      <c r="VNY1573" s="866"/>
      <c r="VNZ1573" s="866"/>
      <c r="VOA1573" s="866"/>
      <c r="VOB1573" s="866"/>
      <c r="VOC1573" s="866"/>
      <c r="VOD1573" s="866"/>
      <c r="VOE1573" s="866"/>
      <c r="VOF1573" s="866"/>
      <c r="VOG1573" s="866"/>
      <c r="VOH1573" s="866"/>
      <c r="VOI1573" s="866"/>
      <c r="VOJ1573" s="866"/>
      <c r="VOK1573" s="866"/>
      <c r="VOL1573" s="866"/>
      <c r="VOM1573" s="866"/>
      <c r="VON1573" s="866"/>
      <c r="VOO1573" s="866"/>
      <c r="VOP1573" s="866"/>
      <c r="VOQ1573" s="866"/>
      <c r="VOR1573" s="866"/>
      <c r="VOS1573" s="866"/>
      <c r="VOT1573" s="866"/>
      <c r="VOU1573" s="866"/>
      <c r="VOV1573" s="866"/>
      <c r="VOW1573" s="866"/>
      <c r="VOX1573" s="866"/>
      <c r="VOY1573" s="866"/>
      <c r="VOZ1573" s="866"/>
      <c r="VPA1573" s="866"/>
      <c r="VPB1573" s="866"/>
      <c r="VPC1573" s="866"/>
      <c r="VPD1573" s="866"/>
      <c r="VPE1573" s="866"/>
      <c r="VPF1573" s="866"/>
      <c r="VPG1573" s="866"/>
      <c r="VPH1573" s="866"/>
      <c r="VPI1573" s="866"/>
      <c r="VPJ1573" s="866"/>
      <c r="VPK1573" s="866"/>
      <c r="VPL1573" s="866"/>
      <c r="VPM1573" s="866"/>
      <c r="VPN1573" s="866"/>
      <c r="VPO1573" s="866"/>
      <c r="VPP1573" s="866"/>
      <c r="VPQ1573" s="866"/>
      <c r="VPR1573" s="866"/>
      <c r="VPS1573" s="866"/>
      <c r="VPT1573" s="866"/>
      <c r="VPU1573" s="866"/>
      <c r="VPV1573" s="866"/>
      <c r="VPW1573" s="866"/>
      <c r="VPX1573" s="866"/>
      <c r="VPY1573" s="866"/>
      <c r="VPZ1573" s="866"/>
      <c r="VQA1573" s="866"/>
      <c r="VQB1573" s="866"/>
      <c r="VQC1573" s="866"/>
      <c r="VQD1573" s="866"/>
      <c r="VQE1573" s="866"/>
      <c r="VQF1573" s="866"/>
      <c r="VQG1573" s="866"/>
      <c r="VQH1573" s="866"/>
      <c r="VQI1573" s="866"/>
      <c r="VQJ1573" s="866"/>
      <c r="VQK1573" s="866"/>
      <c r="VQL1573" s="866"/>
      <c r="VQM1573" s="866"/>
      <c r="VQN1573" s="866"/>
      <c r="VQO1573" s="866"/>
      <c r="VQP1573" s="866"/>
      <c r="VQQ1573" s="866"/>
      <c r="VQR1573" s="866"/>
      <c r="VQS1573" s="866"/>
      <c r="VQT1573" s="866"/>
      <c r="VQU1573" s="866"/>
      <c r="VQV1573" s="866"/>
      <c r="VQW1573" s="866"/>
      <c r="VQX1573" s="866"/>
      <c r="VQY1573" s="866"/>
      <c r="VQZ1573" s="866"/>
      <c r="VRA1573" s="866"/>
      <c r="VRB1573" s="866"/>
      <c r="VRC1573" s="866"/>
      <c r="VRD1573" s="866"/>
      <c r="VRE1573" s="866"/>
      <c r="VRF1573" s="866"/>
      <c r="VRG1573" s="866"/>
      <c r="VRH1573" s="866"/>
      <c r="VRI1573" s="866"/>
      <c r="VRJ1573" s="866"/>
      <c r="VRK1573" s="866"/>
      <c r="VRL1573" s="866"/>
      <c r="VRM1573" s="866"/>
      <c r="VRN1573" s="866"/>
      <c r="VRO1573" s="866"/>
      <c r="VRP1573" s="866"/>
      <c r="VRQ1573" s="866"/>
      <c r="VRR1573" s="866"/>
      <c r="VRS1573" s="866"/>
      <c r="VRT1573" s="866"/>
      <c r="VRU1573" s="866"/>
      <c r="VRV1573" s="866"/>
      <c r="VRW1573" s="866"/>
      <c r="VRX1573" s="866"/>
      <c r="VRY1573" s="866"/>
      <c r="VRZ1573" s="866"/>
      <c r="VSA1573" s="866"/>
      <c r="VSB1573" s="866"/>
      <c r="VSC1573" s="866"/>
      <c r="VSD1573" s="866"/>
      <c r="VSE1573" s="866"/>
      <c r="VSF1573" s="866"/>
      <c r="VSG1573" s="866"/>
      <c r="VSH1573" s="866"/>
      <c r="VSI1573" s="866"/>
      <c r="VSJ1573" s="866"/>
      <c r="VSK1573" s="866"/>
      <c r="VSL1573" s="866"/>
      <c r="VSM1573" s="866"/>
      <c r="VSN1573" s="866"/>
      <c r="VSO1573" s="866"/>
      <c r="VSP1573" s="866"/>
      <c r="VSQ1573" s="866"/>
      <c r="VSR1573" s="866"/>
      <c r="VSS1573" s="866"/>
      <c r="VST1573" s="866"/>
      <c r="VSU1573" s="866"/>
      <c r="VSV1573" s="866"/>
      <c r="VSW1573" s="866"/>
      <c r="VSX1573" s="866"/>
      <c r="VSY1573" s="866"/>
      <c r="VSZ1573" s="866"/>
      <c r="VTA1573" s="866"/>
      <c r="VTB1573" s="866"/>
      <c r="VTC1573" s="866"/>
      <c r="VTD1573" s="866"/>
      <c r="VTE1573" s="866"/>
      <c r="VTF1573" s="866"/>
      <c r="VTG1573" s="866"/>
      <c r="VTH1573" s="866"/>
      <c r="VTI1573" s="866"/>
      <c r="VTJ1573" s="866"/>
      <c r="VTK1573" s="866"/>
      <c r="VTL1573" s="866"/>
      <c r="VTM1573" s="866"/>
      <c r="VTN1573" s="866"/>
      <c r="VTO1573" s="866"/>
      <c r="VTP1573" s="866"/>
      <c r="VTQ1573" s="866"/>
      <c r="VTR1573" s="866"/>
      <c r="VTS1573" s="866"/>
      <c r="VTT1573" s="866"/>
      <c r="VTU1573" s="866"/>
      <c r="VTV1573" s="866"/>
      <c r="VTW1573" s="866"/>
      <c r="VTX1573" s="866"/>
      <c r="VTY1573" s="866"/>
      <c r="VTZ1573" s="866"/>
      <c r="VUA1573" s="866"/>
      <c r="VUB1573" s="866"/>
      <c r="VUC1573" s="866"/>
      <c r="VUD1573" s="866"/>
      <c r="VUE1573" s="866"/>
      <c r="VUF1573" s="866"/>
      <c r="VUG1573" s="866"/>
      <c r="VUH1573" s="866"/>
      <c r="VUI1573" s="866"/>
      <c r="VUJ1573" s="866"/>
      <c r="VUK1573" s="866"/>
      <c r="VUL1573" s="866"/>
      <c r="VUM1573" s="866"/>
      <c r="VUN1573" s="866"/>
      <c r="VUO1573" s="866"/>
      <c r="VUP1573" s="866"/>
      <c r="VUQ1573" s="866"/>
      <c r="VUR1573" s="866"/>
      <c r="VUS1573" s="866"/>
      <c r="VUT1573" s="866"/>
      <c r="VUU1573" s="866"/>
      <c r="VUV1573" s="866"/>
      <c r="VUW1573" s="866"/>
      <c r="VUX1573" s="866"/>
      <c r="VUY1573" s="866"/>
      <c r="VUZ1573" s="866"/>
      <c r="VVA1573" s="866"/>
      <c r="VVB1573" s="866"/>
      <c r="VVC1573" s="866"/>
      <c r="VVD1573" s="866"/>
      <c r="VVE1573" s="866"/>
      <c r="VVF1573" s="866"/>
      <c r="VVG1573" s="866"/>
      <c r="VVH1573" s="866"/>
      <c r="VVI1573" s="866"/>
      <c r="VVJ1573" s="866"/>
      <c r="VVK1573" s="866"/>
      <c r="VVL1573" s="866"/>
      <c r="VVM1573" s="866"/>
      <c r="VVN1573" s="866"/>
      <c r="VVO1573" s="866"/>
      <c r="VVP1573" s="866"/>
      <c r="VVQ1573" s="866"/>
      <c r="VVR1573" s="866"/>
      <c r="VVS1573" s="866"/>
      <c r="VVT1573" s="866"/>
      <c r="VVU1573" s="866"/>
      <c r="VVV1573" s="866"/>
      <c r="VVW1573" s="866"/>
      <c r="VVX1573" s="866"/>
      <c r="VVY1573" s="866"/>
      <c r="VVZ1573" s="866"/>
      <c r="VWA1573" s="866"/>
      <c r="VWB1573" s="866"/>
      <c r="VWC1573" s="866"/>
      <c r="VWD1573" s="866"/>
      <c r="VWE1573" s="866"/>
      <c r="VWF1573" s="866"/>
      <c r="VWG1573" s="866"/>
      <c r="VWH1573" s="866"/>
      <c r="VWI1573" s="866"/>
      <c r="VWJ1573" s="866"/>
      <c r="VWK1573" s="866"/>
      <c r="VWL1573" s="866"/>
      <c r="VWM1573" s="866"/>
      <c r="VWN1573" s="866"/>
      <c r="VWO1573" s="866"/>
      <c r="VWP1573" s="866"/>
      <c r="VWQ1573" s="866"/>
      <c r="VWR1573" s="866"/>
      <c r="VWS1573" s="866"/>
      <c r="VWT1573" s="866"/>
      <c r="VWU1573" s="866"/>
      <c r="VWV1573" s="866"/>
      <c r="VWW1573" s="866"/>
      <c r="VWX1573" s="866"/>
      <c r="VWY1573" s="866"/>
      <c r="VWZ1573" s="866"/>
      <c r="VXA1573" s="866"/>
      <c r="VXB1573" s="866"/>
      <c r="VXC1573" s="866"/>
      <c r="VXD1573" s="866"/>
      <c r="VXE1573" s="866"/>
      <c r="VXF1573" s="866"/>
      <c r="VXG1573" s="866"/>
      <c r="VXH1573" s="866"/>
      <c r="VXI1573" s="866"/>
      <c r="VXJ1573" s="866"/>
      <c r="VXK1573" s="866"/>
      <c r="VXL1573" s="866"/>
      <c r="VXM1573" s="866"/>
      <c r="VXN1573" s="866"/>
      <c r="VXO1573" s="866"/>
      <c r="VXP1573" s="866"/>
      <c r="VXQ1573" s="866"/>
      <c r="VXR1573" s="866"/>
      <c r="VXS1573" s="866"/>
      <c r="VXT1573" s="866"/>
      <c r="VXU1573" s="866"/>
      <c r="VXV1573" s="866"/>
      <c r="VXW1573" s="866"/>
      <c r="VXX1573" s="866"/>
      <c r="VXY1573" s="866"/>
      <c r="VXZ1573" s="866"/>
      <c r="VYA1573" s="866"/>
      <c r="VYB1573" s="866"/>
      <c r="VYC1573" s="866"/>
      <c r="VYD1573" s="866"/>
      <c r="VYE1573" s="866"/>
      <c r="VYF1573" s="866"/>
      <c r="VYG1573" s="866"/>
      <c r="VYH1573" s="866"/>
      <c r="VYI1573" s="866"/>
      <c r="VYJ1573" s="866"/>
      <c r="VYK1573" s="866"/>
      <c r="VYL1573" s="866"/>
      <c r="VYM1573" s="866"/>
      <c r="VYN1573" s="866"/>
      <c r="VYO1573" s="866"/>
      <c r="VYP1573" s="866"/>
      <c r="VYQ1573" s="866"/>
      <c r="VYR1573" s="866"/>
      <c r="VYS1573" s="866"/>
      <c r="VYT1573" s="866"/>
      <c r="VYU1573" s="866"/>
      <c r="VYV1573" s="866"/>
      <c r="VYW1573" s="866"/>
      <c r="VYX1573" s="866"/>
      <c r="VYY1573" s="866"/>
      <c r="VYZ1573" s="866"/>
      <c r="VZA1573" s="866"/>
      <c r="VZB1573" s="866"/>
      <c r="VZC1573" s="866"/>
      <c r="VZD1573" s="866"/>
      <c r="VZE1573" s="866"/>
      <c r="VZF1573" s="866"/>
      <c r="VZG1573" s="866"/>
      <c r="VZH1573" s="866"/>
      <c r="VZI1573" s="866"/>
      <c r="VZJ1573" s="866"/>
      <c r="VZK1573" s="866"/>
      <c r="VZL1573" s="866"/>
      <c r="VZM1573" s="866"/>
      <c r="VZN1573" s="866"/>
      <c r="VZO1573" s="866"/>
      <c r="VZP1573" s="866"/>
      <c r="VZQ1573" s="866"/>
      <c r="VZR1573" s="866"/>
      <c r="VZS1573" s="866"/>
      <c r="VZT1573" s="866"/>
      <c r="VZU1573" s="866"/>
      <c r="VZV1573" s="866"/>
      <c r="VZW1573" s="866"/>
      <c r="VZX1573" s="866"/>
      <c r="VZY1573" s="866"/>
      <c r="VZZ1573" s="866"/>
      <c r="WAA1573" s="866"/>
      <c r="WAB1573" s="866"/>
      <c r="WAC1573" s="866"/>
      <c r="WAD1573" s="866"/>
      <c r="WAE1573" s="866"/>
      <c r="WAF1573" s="866"/>
      <c r="WAG1573" s="866"/>
      <c r="WAH1573" s="866"/>
      <c r="WAI1573" s="866"/>
      <c r="WAJ1573" s="866"/>
      <c r="WAK1573" s="866"/>
      <c r="WAL1573" s="866"/>
      <c r="WAM1573" s="866"/>
      <c r="WAN1573" s="866"/>
      <c r="WAO1573" s="866"/>
      <c r="WAP1573" s="866"/>
      <c r="WAQ1573" s="866"/>
      <c r="WAR1573" s="866"/>
      <c r="WAS1573" s="866"/>
      <c r="WAT1573" s="866"/>
      <c r="WAU1573" s="866"/>
      <c r="WAV1573" s="866"/>
      <c r="WAW1573" s="866"/>
      <c r="WAX1573" s="866"/>
      <c r="WAY1573" s="866"/>
      <c r="WAZ1573" s="866"/>
      <c r="WBA1573" s="866"/>
      <c r="WBB1573" s="866"/>
      <c r="WBC1573" s="866"/>
      <c r="WBD1573" s="866"/>
      <c r="WBE1573" s="866"/>
      <c r="WBF1573" s="866"/>
      <c r="WBG1573" s="866"/>
      <c r="WBH1573" s="866"/>
      <c r="WBI1573" s="866"/>
      <c r="WBJ1573" s="866"/>
      <c r="WBK1573" s="866"/>
      <c r="WBL1573" s="866"/>
      <c r="WBM1573" s="866"/>
      <c r="WBN1573" s="866"/>
      <c r="WBO1573" s="866"/>
      <c r="WBP1573" s="866"/>
      <c r="WBQ1573" s="866"/>
      <c r="WBR1573" s="866"/>
      <c r="WBS1573" s="866"/>
      <c r="WBT1573" s="866"/>
      <c r="WBU1573" s="866"/>
      <c r="WBV1573" s="866"/>
      <c r="WBW1573" s="866"/>
      <c r="WBX1573" s="866"/>
      <c r="WBY1573" s="866"/>
      <c r="WBZ1573" s="866"/>
      <c r="WCA1573" s="866"/>
      <c r="WCB1573" s="866"/>
      <c r="WCC1573" s="866"/>
      <c r="WCD1573" s="866"/>
      <c r="WCE1573" s="866"/>
      <c r="WCF1573" s="866"/>
      <c r="WCG1573" s="866"/>
      <c r="WCH1573" s="866"/>
      <c r="WCI1573" s="866"/>
      <c r="WCJ1573" s="866"/>
      <c r="WCK1573" s="866"/>
      <c r="WCL1573" s="866"/>
      <c r="WCM1573" s="866"/>
      <c r="WCN1573" s="866"/>
      <c r="WCO1573" s="866"/>
      <c r="WCP1573" s="866"/>
      <c r="WCQ1573" s="866"/>
      <c r="WCR1573" s="866"/>
      <c r="WCS1573" s="866"/>
      <c r="WCT1573" s="866"/>
      <c r="WCU1573" s="866"/>
      <c r="WCV1573" s="866"/>
      <c r="WCW1573" s="866"/>
      <c r="WCX1573" s="866"/>
      <c r="WCY1573" s="866"/>
      <c r="WCZ1573" s="866"/>
      <c r="WDA1573" s="866"/>
      <c r="WDB1573" s="866"/>
      <c r="WDC1573" s="866"/>
      <c r="WDD1573" s="866"/>
      <c r="WDE1573" s="866"/>
      <c r="WDF1573" s="866"/>
      <c r="WDG1573" s="866"/>
      <c r="WDH1573" s="866"/>
      <c r="WDI1573" s="866"/>
      <c r="WDJ1573" s="866"/>
      <c r="WDK1573" s="866"/>
      <c r="WDL1573" s="866"/>
      <c r="WDM1573" s="866"/>
      <c r="WDN1573" s="866"/>
      <c r="WDO1573" s="866"/>
      <c r="WDP1573" s="866"/>
      <c r="WDQ1573" s="866"/>
      <c r="WDR1573" s="866"/>
      <c r="WDS1573" s="866"/>
      <c r="WDT1573" s="866"/>
      <c r="WDU1573" s="866"/>
      <c r="WDV1573" s="866"/>
      <c r="WDW1573" s="866"/>
      <c r="WDX1573" s="866"/>
      <c r="WDY1573" s="866"/>
      <c r="WDZ1573" s="866"/>
      <c r="WEA1573" s="866"/>
      <c r="WEB1573" s="866"/>
      <c r="WEC1573" s="866"/>
      <c r="WED1573" s="866"/>
      <c r="WEE1573" s="866"/>
      <c r="WEF1573" s="866"/>
      <c r="WEG1573" s="866"/>
      <c r="WEH1573" s="866"/>
      <c r="WEI1573" s="866"/>
      <c r="WEJ1573" s="866"/>
      <c r="WEK1573" s="866"/>
      <c r="WEL1573" s="866"/>
      <c r="WEM1573" s="866"/>
      <c r="WEN1573" s="866"/>
      <c r="WEO1573" s="866"/>
      <c r="WEP1573" s="866"/>
      <c r="WEQ1573" s="866"/>
      <c r="WER1573" s="866"/>
      <c r="WES1573" s="866"/>
      <c r="WET1573" s="866"/>
      <c r="WEU1573" s="866"/>
      <c r="WEV1573" s="866"/>
      <c r="WEW1573" s="866"/>
      <c r="WEX1573" s="866"/>
      <c r="WEY1573" s="866"/>
      <c r="WEZ1573" s="866"/>
      <c r="WFA1573" s="866"/>
      <c r="WFB1573" s="866"/>
      <c r="WFC1573" s="866"/>
      <c r="WFD1573" s="866"/>
      <c r="WFE1573" s="866"/>
      <c r="WFF1573" s="866"/>
      <c r="WFG1573" s="866"/>
      <c r="WFH1573" s="866"/>
      <c r="WFI1573" s="866"/>
      <c r="WFJ1573" s="866"/>
      <c r="WFK1573" s="866"/>
      <c r="WFL1573" s="866"/>
      <c r="WFM1573" s="866"/>
      <c r="WFN1573" s="866"/>
      <c r="WFO1573" s="866"/>
      <c r="WFP1573" s="866"/>
      <c r="WFQ1573" s="866"/>
      <c r="WFR1573" s="866"/>
      <c r="WFS1573" s="866"/>
      <c r="WFT1573" s="866"/>
      <c r="WFU1573" s="866"/>
      <c r="WFV1573" s="866"/>
      <c r="WFW1573" s="866"/>
      <c r="WFX1573" s="866"/>
      <c r="WFY1573" s="866"/>
      <c r="WFZ1573" s="866"/>
      <c r="WGA1573" s="866"/>
      <c r="WGB1573" s="866"/>
      <c r="WGC1573" s="866"/>
      <c r="WGD1573" s="866"/>
      <c r="WGE1573" s="866"/>
      <c r="WGF1573" s="866"/>
      <c r="WGG1573" s="866"/>
      <c r="WGH1573" s="866"/>
      <c r="WGI1573" s="866"/>
      <c r="WGJ1573" s="866"/>
      <c r="WGK1573" s="866"/>
      <c r="WGL1573" s="866"/>
      <c r="WGM1573" s="866"/>
      <c r="WGN1573" s="866"/>
      <c r="WGO1573" s="866"/>
      <c r="WGP1573" s="866"/>
      <c r="WGQ1573" s="866"/>
      <c r="WGR1573" s="866"/>
      <c r="WGS1573" s="866"/>
      <c r="WGT1573" s="866"/>
      <c r="WGU1573" s="866"/>
      <c r="WGV1573" s="866"/>
      <c r="WGW1573" s="866"/>
      <c r="WGX1573" s="866"/>
      <c r="WGY1573" s="866"/>
      <c r="WGZ1573" s="866"/>
      <c r="WHA1573" s="866"/>
      <c r="WHB1573" s="866"/>
      <c r="WHC1573" s="866"/>
      <c r="WHD1573" s="866"/>
      <c r="WHE1573" s="866"/>
      <c r="WHF1573" s="866"/>
      <c r="WHG1573" s="866"/>
      <c r="WHH1573" s="866"/>
      <c r="WHI1573" s="866"/>
      <c r="WHJ1573" s="866"/>
      <c r="WHK1573" s="866"/>
      <c r="WHL1573" s="866"/>
      <c r="WHM1573" s="866"/>
      <c r="WHN1573" s="866"/>
      <c r="WHO1573" s="866"/>
      <c r="WHP1573" s="866"/>
      <c r="WHQ1573" s="866"/>
      <c r="WHR1573" s="866"/>
      <c r="WHS1573" s="866"/>
      <c r="WHT1573" s="866"/>
      <c r="WHU1573" s="866"/>
      <c r="WHV1573" s="866"/>
      <c r="WHW1573" s="866"/>
      <c r="WHX1573" s="866"/>
      <c r="WHY1573" s="866"/>
      <c r="WHZ1573" s="866"/>
      <c r="WIA1573" s="866"/>
      <c r="WIB1573" s="866"/>
      <c r="WIC1573" s="866"/>
      <c r="WID1573" s="866"/>
      <c r="WIE1573" s="866"/>
      <c r="WIF1573" s="866"/>
      <c r="WIG1573" s="866"/>
      <c r="WIH1573" s="866"/>
      <c r="WII1573" s="866"/>
      <c r="WIJ1573" s="866"/>
      <c r="WIK1573" s="866"/>
      <c r="WIL1573" s="866"/>
      <c r="WIM1573" s="866"/>
      <c r="WIN1573" s="866"/>
      <c r="WIO1573" s="866"/>
      <c r="WIP1573" s="866"/>
      <c r="WIQ1573" s="866"/>
      <c r="WIR1573" s="866"/>
      <c r="WIS1573" s="866"/>
      <c r="WIT1573" s="866"/>
      <c r="WIU1573" s="866"/>
      <c r="WIV1573" s="866"/>
      <c r="WIW1573" s="866"/>
      <c r="WIX1573" s="866"/>
      <c r="WIY1573" s="866"/>
      <c r="WIZ1573" s="866"/>
      <c r="WJA1573" s="866"/>
      <c r="WJB1573" s="866"/>
      <c r="WJC1573" s="866"/>
      <c r="WJD1573" s="866"/>
      <c r="WJE1573" s="866"/>
      <c r="WJF1573" s="866"/>
      <c r="WJG1573" s="866"/>
      <c r="WJH1573" s="866"/>
      <c r="WJI1573" s="866"/>
      <c r="WJJ1573" s="866"/>
      <c r="WJK1573" s="866"/>
      <c r="WJL1573" s="866"/>
      <c r="WJM1573" s="866"/>
      <c r="WJN1573" s="866"/>
      <c r="WJO1573" s="866"/>
      <c r="WJP1573" s="866"/>
      <c r="WJQ1573" s="866"/>
      <c r="WJR1573" s="866"/>
      <c r="WJS1573" s="866"/>
      <c r="WJT1573" s="866"/>
      <c r="WJU1573" s="866"/>
      <c r="WJV1573" s="866"/>
      <c r="WJW1573" s="866"/>
      <c r="WJX1573" s="866"/>
      <c r="WJY1573" s="866"/>
      <c r="WJZ1573" s="866"/>
      <c r="WKA1573" s="866"/>
      <c r="WKB1573" s="866"/>
      <c r="WKC1573" s="866"/>
      <c r="WKD1573" s="866"/>
      <c r="WKE1573" s="866"/>
      <c r="WKF1573" s="866"/>
      <c r="WKG1573" s="866"/>
      <c r="WKH1573" s="866"/>
      <c r="WKI1573" s="866"/>
      <c r="WKJ1573" s="866"/>
      <c r="WKK1573" s="866"/>
      <c r="WKL1573" s="866"/>
      <c r="WKM1573" s="866"/>
      <c r="WKN1573" s="866"/>
      <c r="WKO1573" s="866"/>
      <c r="WKP1573" s="866"/>
      <c r="WKQ1573" s="866"/>
      <c r="WKR1573" s="866"/>
      <c r="WKS1573" s="866"/>
      <c r="WKT1573" s="866"/>
      <c r="WKU1573" s="866"/>
      <c r="WKV1573" s="866"/>
      <c r="WKW1573" s="866"/>
      <c r="WKX1573" s="866"/>
      <c r="WKY1573" s="866"/>
      <c r="WKZ1573" s="866"/>
      <c r="WLA1573" s="866"/>
      <c r="WLB1573" s="866"/>
      <c r="WLC1573" s="866"/>
      <c r="WLD1573" s="866"/>
      <c r="WLE1573" s="866"/>
      <c r="WLF1573" s="866"/>
      <c r="WLG1573" s="866"/>
      <c r="WLH1573" s="866"/>
      <c r="WLI1573" s="866"/>
      <c r="WLJ1573" s="866"/>
      <c r="WLK1573" s="866"/>
      <c r="WLL1573" s="866"/>
      <c r="WLM1573" s="866"/>
      <c r="WLN1573" s="866"/>
      <c r="WLO1573" s="866"/>
      <c r="WLP1573" s="866"/>
      <c r="WLQ1573" s="866"/>
      <c r="WLR1573" s="866"/>
      <c r="WLS1573" s="866"/>
      <c r="WLT1573" s="866"/>
      <c r="WLU1573" s="866"/>
      <c r="WLV1573" s="866"/>
      <c r="WLW1573" s="866"/>
      <c r="WLX1573" s="866"/>
      <c r="WLY1573" s="866"/>
      <c r="WLZ1573" s="866"/>
      <c r="WMA1573" s="866"/>
      <c r="WMB1573" s="866"/>
      <c r="WMC1573" s="866"/>
      <c r="WMD1573" s="866"/>
      <c r="WME1573" s="866"/>
      <c r="WMF1573" s="866"/>
      <c r="WMG1573" s="866"/>
      <c r="WMH1573" s="866"/>
      <c r="WMI1573" s="866"/>
      <c r="WMJ1573" s="866"/>
      <c r="WMK1573" s="866"/>
      <c r="WML1573" s="866"/>
      <c r="WMM1573" s="866"/>
      <c r="WMN1573" s="866"/>
      <c r="WMO1573" s="866"/>
      <c r="WMP1573" s="866"/>
      <c r="WMQ1573" s="866"/>
      <c r="WMR1573" s="866"/>
      <c r="WMS1573" s="866"/>
      <c r="WMT1573" s="866"/>
      <c r="WMU1573" s="866"/>
      <c r="WMV1573" s="866"/>
      <c r="WMW1573" s="866"/>
      <c r="WMX1573" s="866"/>
      <c r="WMY1573" s="866"/>
      <c r="WMZ1573" s="866"/>
      <c r="WNA1573" s="866"/>
      <c r="WNB1573" s="866"/>
      <c r="WNC1573" s="866"/>
      <c r="WND1573" s="866"/>
      <c r="WNE1573" s="866"/>
      <c r="WNF1573" s="866"/>
      <c r="WNG1573" s="866"/>
      <c r="WNH1573" s="866"/>
      <c r="WNI1573" s="866"/>
      <c r="WNJ1573" s="866"/>
      <c r="WNK1573" s="866"/>
      <c r="WNL1573" s="866"/>
      <c r="WNM1573" s="866"/>
      <c r="WNN1573" s="866"/>
      <c r="WNO1573" s="866"/>
      <c r="WNP1573" s="866"/>
      <c r="WNQ1573" s="866"/>
      <c r="WNR1573" s="866"/>
      <c r="WNS1573" s="866"/>
      <c r="WNT1573" s="866"/>
      <c r="WNU1573" s="866"/>
      <c r="WNV1573" s="866"/>
      <c r="WNW1573" s="866"/>
      <c r="WNX1573" s="866"/>
      <c r="WNY1573" s="866"/>
      <c r="WNZ1573" s="866"/>
      <c r="WOA1573" s="866"/>
      <c r="WOB1573" s="866"/>
      <c r="WOC1573" s="866"/>
      <c r="WOD1573" s="866"/>
      <c r="WOE1573" s="866"/>
      <c r="WOF1573" s="866"/>
      <c r="WOG1573" s="866"/>
      <c r="WOH1573" s="866"/>
      <c r="WOI1573" s="866"/>
      <c r="WOJ1573" s="866"/>
      <c r="WOK1573" s="866"/>
      <c r="WOL1573" s="866"/>
      <c r="WOM1573" s="866"/>
      <c r="WON1573" s="866"/>
      <c r="WOO1573" s="866"/>
      <c r="WOP1573" s="866"/>
      <c r="WOQ1573" s="866"/>
      <c r="WOR1573" s="866"/>
      <c r="WOS1573" s="866"/>
      <c r="WOT1573" s="866"/>
      <c r="WOU1573" s="866"/>
      <c r="WOV1573" s="866"/>
      <c r="WOW1573" s="866"/>
      <c r="WOX1573" s="866"/>
      <c r="WOY1573" s="866"/>
      <c r="WOZ1573" s="866"/>
      <c r="WPA1573" s="866"/>
      <c r="WPB1573" s="866"/>
      <c r="WPC1573" s="866"/>
      <c r="WPD1573" s="866"/>
      <c r="WPE1573" s="866"/>
      <c r="WPF1573" s="866"/>
      <c r="WPG1573" s="866"/>
      <c r="WPH1573" s="866"/>
      <c r="WPI1573" s="866"/>
      <c r="WPJ1573" s="866"/>
      <c r="WPK1573" s="866"/>
      <c r="WPL1573" s="866"/>
      <c r="WPM1573" s="866"/>
      <c r="WPN1573" s="866"/>
      <c r="WPO1573" s="866"/>
      <c r="WPP1573" s="866"/>
      <c r="WPQ1573" s="866"/>
      <c r="WPR1573" s="866"/>
      <c r="WPS1573" s="866"/>
      <c r="WPT1573" s="866"/>
      <c r="WPU1573" s="866"/>
      <c r="WPV1573" s="866"/>
      <c r="WPW1573" s="866"/>
      <c r="WPX1573" s="866"/>
      <c r="WPY1573" s="866"/>
      <c r="WPZ1573" s="866"/>
      <c r="WQA1573" s="866"/>
      <c r="WQB1573" s="866"/>
      <c r="WQC1573" s="866"/>
      <c r="WQD1573" s="866"/>
      <c r="WQE1573" s="866"/>
      <c r="WQF1573" s="866"/>
      <c r="WQG1573" s="866"/>
      <c r="WQH1573" s="866"/>
      <c r="WQI1573" s="866"/>
      <c r="WQJ1573" s="866"/>
      <c r="WQK1573" s="866"/>
      <c r="WQL1573" s="866"/>
      <c r="WQM1573" s="866"/>
      <c r="WQN1573" s="866"/>
      <c r="WQO1573" s="866"/>
      <c r="WQP1573" s="866"/>
      <c r="WQQ1573" s="866"/>
      <c r="WQR1573" s="866"/>
      <c r="WQS1573" s="866"/>
      <c r="WQT1573" s="866"/>
      <c r="WQU1573" s="866"/>
      <c r="WQV1573" s="866"/>
      <c r="WQW1573" s="866"/>
      <c r="WQX1573" s="866"/>
      <c r="WQY1573" s="866"/>
      <c r="WQZ1573" s="866"/>
      <c r="WRA1573" s="866"/>
      <c r="WRB1573" s="866"/>
      <c r="WRC1573" s="866"/>
      <c r="WRD1573" s="866"/>
      <c r="WRE1573" s="866"/>
      <c r="WRF1573" s="866"/>
      <c r="WRG1573" s="866"/>
      <c r="WRH1573" s="866"/>
      <c r="WRI1573" s="866"/>
      <c r="WRJ1573" s="866"/>
      <c r="WRK1573" s="866"/>
      <c r="WRL1573" s="866"/>
      <c r="WRM1573" s="866"/>
      <c r="WRN1573" s="866"/>
      <c r="WRO1573" s="866"/>
      <c r="WRP1573" s="866"/>
      <c r="WRQ1573" s="866"/>
      <c r="WRR1573" s="866"/>
      <c r="WRS1573" s="866"/>
      <c r="WRT1573" s="866"/>
      <c r="WRU1573" s="866"/>
      <c r="WRV1573" s="866"/>
      <c r="WRW1573" s="866"/>
      <c r="WRX1573" s="866"/>
      <c r="WRY1573" s="866"/>
      <c r="WRZ1573" s="866"/>
      <c r="WSA1573" s="866"/>
      <c r="WSB1573" s="866"/>
      <c r="WSC1573" s="866"/>
      <c r="WSD1573" s="866"/>
      <c r="WSE1573" s="866"/>
      <c r="WSF1573" s="866"/>
      <c r="WSG1573" s="866"/>
      <c r="WSH1573" s="866"/>
      <c r="WSI1573" s="866"/>
      <c r="WSJ1573" s="866"/>
      <c r="WSK1573" s="866"/>
      <c r="WSL1573" s="866"/>
      <c r="WSM1573" s="866"/>
      <c r="WSN1573" s="866"/>
      <c r="WSO1573" s="866"/>
      <c r="WSP1573" s="866"/>
      <c r="WSQ1573" s="866"/>
      <c r="WSR1573" s="866"/>
      <c r="WSS1573" s="866"/>
      <c r="WST1573" s="866"/>
      <c r="WSU1573" s="866"/>
      <c r="WSV1573" s="866"/>
      <c r="WSW1573" s="866"/>
      <c r="WSX1573" s="866"/>
      <c r="WSY1573" s="866"/>
      <c r="WSZ1573" s="866"/>
      <c r="WTA1573" s="866"/>
      <c r="WTB1573" s="866"/>
      <c r="WTC1573" s="866"/>
      <c r="WTD1573" s="866"/>
      <c r="WTE1573" s="866"/>
      <c r="WTF1573" s="866"/>
      <c r="WTG1573" s="866"/>
      <c r="WTH1573" s="866"/>
      <c r="WTI1573" s="866"/>
      <c r="WTJ1573" s="866"/>
      <c r="WTK1573" s="866"/>
      <c r="WTL1573" s="866"/>
      <c r="WTM1573" s="866"/>
      <c r="WTN1573" s="866"/>
      <c r="WTO1573" s="866"/>
      <c r="WTP1573" s="866"/>
      <c r="WTQ1573" s="866"/>
      <c r="WTR1573" s="866"/>
      <c r="WTS1573" s="866"/>
      <c r="WTT1573" s="866"/>
      <c r="WTU1573" s="866"/>
      <c r="WTV1573" s="866"/>
      <c r="WTW1573" s="866"/>
      <c r="WTX1573" s="866"/>
      <c r="WTY1573" s="866"/>
      <c r="WTZ1573" s="866"/>
      <c r="WUA1573" s="866"/>
      <c r="WUB1573" s="866"/>
      <c r="WUC1573" s="866"/>
      <c r="WUD1573" s="866"/>
      <c r="WUE1573" s="866"/>
      <c r="WUF1573" s="866"/>
      <c r="WUG1573" s="866"/>
      <c r="WUH1573" s="866"/>
      <c r="WUI1573" s="866"/>
      <c r="WUJ1573" s="866"/>
      <c r="WUK1573" s="866"/>
      <c r="WUL1573" s="866"/>
      <c r="WUM1573" s="866"/>
      <c r="WUN1573" s="866"/>
      <c r="WUO1573" s="866"/>
      <c r="WUP1573" s="866"/>
      <c r="WUQ1573" s="866"/>
      <c r="WUR1573" s="866"/>
      <c r="WUS1573" s="866"/>
      <c r="WUT1573" s="866"/>
      <c r="WUU1573" s="866"/>
      <c r="WUV1573" s="866"/>
      <c r="WUW1573" s="866"/>
      <c r="WUX1573" s="866"/>
      <c r="WUY1573" s="866"/>
      <c r="WUZ1573" s="866"/>
      <c r="WVA1573" s="866"/>
      <c r="WVB1573" s="866"/>
      <c r="WVC1573" s="866"/>
      <c r="WVD1573" s="866"/>
      <c r="WVE1573" s="866"/>
      <c r="WVF1573" s="866"/>
      <c r="WVG1573" s="866"/>
      <c r="WVH1573" s="866"/>
      <c r="WVI1573" s="866"/>
      <c r="WVJ1573" s="866"/>
      <c r="WVK1573" s="866"/>
      <c r="WVL1573" s="866"/>
      <c r="WVM1573" s="866"/>
      <c r="WVN1573" s="866"/>
      <c r="WVO1573" s="866"/>
      <c r="WVP1573" s="866"/>
      <c r="WVQ1573" s="866"/>
      <c r="WVR1573" s="866"/>
      <c r="WVS1573" s="866"/>
      <c r="WVT1573" s="866"/>
      <c r="WVU1573" s="866"/>
      <c r="WVV1573" s="866"/>
      <c r="WVW1573" s="866"/>
      <c r="WVX1573" s="866"/>
      <c r="WVY1573" s="866"/>
      <c r="WVZ1573" s="866"/>
      <c r="WWA1573" s="866"/>
      <c r="WWB1573" s="866"/>
      <c r="WWC1573" s="866"/>
      <c r="WWD1573" s="866"/>
      <c r="WWE1573" s="866"/>
      <c r="WWF1573" s="866"/>
      <c r="WWG1573" s="866"/>
      <c r="WWH1573" s="866"/>
      <c r="WWI1573" s="866"/>
      <c r="WWJ1573" s="866"/>
      <c r="WWK1573" s="866"/>
      <c r="WWL1573" s="866"/>
      <c r="WWM1573" s="866"/>
      <c r="WWN1573" s="866"/>
      <c r="WWO1573" s="866"/>
      <c r="WWP1573" s="866"/>
      <c r="WWQ1573" s="866"/>
      <c r="WWR1573" s="866"/>
      <c r="WWS1573" s="866"/>
      <c r="WWT1573" s="866"/>
      <c r="WWU1573" s="866"/>
      <c r="WWV1573" s="866"/>
      <c r="WWW1573" s="866"/>
      <c r="WWX1573" s="866"/>
      <c r="WWY1573" s="866"/>
      <c r="WWZ1573" s="866"/>
      <c r="WXA1573" s="866"/>
      <c r="WXB1573" s="866"/>
      <c r="WXC1573" s="866"/>
      <c r="WXD1573" s="866"/>
      <c r="WXE1573" s="866"/>
      <c r="WXF1573" s="866"/>
      <c r="WXG1573" s="866"/>
      <c r="WXH1573" s="866"/>
      <c r="WXI1573" s="866"/>
      <c r="WXJ1573" s="866"/>
      <c r="WXK1573" s="866"/>
      <c r="WXL1573" s="866"/>
      <c r="WXM1573" s="866"/>
      <c r="WXN1573" s="866"/>
      <c r="WXO1573" s="866"/>
      <c r="WXP1573" s="866"/>
      <c r="WXQ1573" s="866"/>
      <c r="WXR1573" s="866"/>
      <c r="WXS1573" s="866"/>
      <c r="WXT1573" s="866"/>
      <c r="WXU1573" s="866"/>
      <c r="WXV1573" s="866"/>
      <c r="WXW1573" s="866"/>
      <c r="WXX1573" s="866"/>
      <c r="WXY1573" s="866"/>
      <c r="WXZ1573" s="866"/>
      <c r="WYA1573" s="866"/>
      <c r="WYB1573" s="866"/>
      <c r="WYC1573" s="866"/>
      <c r="WYD1573" s="866"/>
      <c r="WYE1573" s="866"/>
      <c r="WYF1573" s="866"/>
      <c r="WYG1573" s="866"/>
      <c r="WYH1573" s="866"/>
      <c r="WYI1573" s="866"/>
      <c r="WYJ1573" s="866"/>
      <c r="WYK1573" s="866"/>
      <c r="WYL1573" s="866"/>
      <c r="WYM1573" s="866"/>
      <c r="WYN1573" s="866"/>
      <c r="WYO1573" s="866"/>
      <c r="WYP1573" s="866"/>
      <c r="WYQ1573" s="866"/>
      <c r="WYR1573" s="866"/>
      <c r="WYS1573" s="866"/>
      <c r="WYT1573" s="866"/>
      <c r="WYU1573" s="866"/>
      <c r="WYV1573" s="866"/>
      <c r="WYW1573" s="866"/>
      <c r="WYX1573" s="866"/>
      <c r="WYY1573" s="866"/>
      <c r="WYZ1573" s="866"/>
      <c r="WZA1573" s="866"/>
      <c r="WZB1573" s="866"/>
      <c r="WZC1573" s="866"/>
      <c r="WZD1573" s="866"/>
      <c r="WZE1573" s="866"/>
      <c r="WZF1573" s="866"/>
      <c r="WZG1573" s="866"/>
      <c r="WZH1573" s="866"/>
      <c r="WZI1573" s="866"/>
      <c r="WZJ1573" s="866"/>
      <c r="WZK1573" s="866"/>
      <c r="WZL1573" s="866"/>
      <c r="WZM1573" s="866"/>
      <c r="WZN1573" s="866"/>
      <c r="WZO1573" s="866"/>
      <c r="WZP1573" s="866"/>
      <c r="WZQ1573" s="866"/>
      <c r="WZR1573" s="866"/>
      <c r="WZS1573" s="866"/>
      <c r="WZT1573" s="866"/>
      <c r="WZU1573" s="866"/>
      <c r="WZV1573" s="866"/>
      <c r="WZW1573" s="866"/>
      <c r="WZX1573" s="866"/>
      <c r="WZY1573" s="866"/>
      <c r="WZZ1573" s="866"/>
      <c r="XAA1573" s="866"/>
      <c r="XAB1573" s="866"/>
      <c r="XAC1573" s="866"/>
      <c r="XAD1573" s="866"/>
      <c r="XAE1573" s="866"/>
      <c r="XAF1573" s="866"/>
      <c r="XAG1573" s="866"/>
      <c r="XAH1573" s="866"/>
      <c r="XAI1573" s="866"/>
      <c r="XAJ1573" s="866"/>
      <c r="XAK1573" s="866"/>
      <c r="XAL1573" s="866"/>
      <c r="XAM1573" s="866"/>
      <c r="XAN1573" s="866"/>
      <c r="XAO1573" s="866"/>
      <c r="XAP1573" s="866"/>
      <c r="XAQ1573" s="866"/>
      <c r="XAR1573" s="866"/>
      <c r="XAS1573" s="866"/>
      <c r="XAT1573" s="866"/>
      <c r="XAU1573" s="866"/>
      <c r="XAV1573" s="866"/>
      <c r="XAW1573" s="866"/>
      <c r="XAX1573" s="866"/>
      <c r="XAY1573" s="866"/>
      <c r="XAZ1573" s="866"/>
      <c r="XBA1573" s="866"/>
      <c r="XBB1573" s="866"/>
      <c r="XBC1573" s="866"/>
      <c r="XBD1573" s="866"/>
      <c r="XBE1573" s="866"/>
      <c r="XBF1573" s="866"/>
      <c r="XBG1573" s="866"/>
      <c r="XBH1573" s="866"/>
      <c r="XBI1573" s="866"/>
      <c r="XBJ1573" s="866"/>
      <c r="XBK1573" s="866"/>
      <c r="XBL1573" s="866"/>
      <c r="XBM1573" s="866"/>
      <c r="XBN1573" s="866"/>
      <c r="XBO1573" s="866"/>
      <c r="XBP1573" s="866"/>
      <c r="XBQ1573" s="866"/>
      <c r="XBR1573" s="866"/>
      <c r="XBS1573" s="866"/>
      <c r="XBT1573" s="866"/>
      <c r="XBU1573" s="866"/>
      <c r="XBV1573" s="866"/>
      <c r="XBW1573" s="866"/>
      <c r="XBX1573" s="866"/>
      <c r="XBY1573" s="866"/>
      <c r="XBZ1573" s="866"/>
      <c r="XCA1573" s="866"/>
      <c r="XCB1573" s="866"/>
      <c r="XCC1573" s="866"/>
      <c r="XCD1573" s="866"/>
      <c r="XCE1573" s="866"/>
      <c r="XCF1573" s="866"/>
      <c r="XCG1573" s="866"/>
      <c r="XCH1573" s="866"/>
      <c r="XCI1573" s="866"/>
      <c r="XCJ1573" s="866"/>
      <c r="XCK1573" s="866"/>
      <c r="XCL1573" s="866"/>
      <c r="XCM1573" s="866"/>
      <c r="XCN1573" s="866"/>
      <c r="XCO1573" s="866"/>
      <c r="XCP1573" s="866"/>
      <c r="XCQ1573" s="866"/>
      <c r="XCR1573" s="866"/>
      <c r="XCS1573" s="866"/>
      <c r="XCT1573" s="866"/>
      <c r="XCU1573" s="866"/>
      <c r="XCV1573" s="866"/>
      <c r="XCW1573" s="866"/>
      <c r="XCX1573" s="866"/>
      <c r="XCY1573" s="866"/>
      <c r="XCZ1573" s="866"/>
      <c r="XDA1573" s="866"/>
      <c r="XDB1573" s="866"/>
      <c r="XDC1573" s="866"/>
      <c r="XDD1573" s="866"/>
      <c r="XDE1573" s="866"/>
      <c r="XDF1573" s="866"/>
      <c r="XDG1573" s="866"/>
      <c r="XDH1573" s="866"/>
      <c r="XDI1573" s="866"/>
      <c r="XDJ1573" s="866"/>
      <c r="XDK1573" s="866"/>
      <c r="XDL1573" s="866"/>
      <c r="XDM1573" s="866"/>
      <c r="XDN1573" s="866"/>
      <c r="XDO1573" s="866"/>
      <c r="XDP1573" s="866"/>
      <c r="XDQ1573" s="866"/>
      <c r="XDR1573" s="866"/>
      <c r="XDS1573" s="866"/>
      <c r="XDT1573" s="866"/>
      <c r="XDU1573" s="866"/>
      <c r="XDV1573" s="866"/>
      <c r="XDW1573" s="866"/>
      <c r="XDX1573" s="866"/>
      <c r="XDY1573" s="866"/>
      <c r="XDZ1573" s="866"/>
      <c r="XEA1573" s="866"/>
      <c r="XEB1573" s="866"/>
      <c r="XEC1573" s="866"/>
      <c r="XED1573" s="866"/>
      <c r="XEE1573" s="866"/>
      <c r="XEF1573" s="866"/>
      <c r="XEG1573" s="866"/>
      <c r="XEH1573" s="866"/>
      <c r="XEI1573" s="866"/>
      <c r="XEJ1573" s="866"/>
      <c r="XEK1573" s="866"/>
      <c r="XEL1573" s="866"/>
      <c r="XEM1573" s="866"/>
      <c r="XEN1573" s="866"/>
      <c r="XEO1573" s="866"/>
      <c r="XEP1573" s="866"/>
      <c r="XEQ1573" s="866"/>
      <c r="XER1573" s="866"/>
      <c r="XES1573" s="866"/>
      <c r="XET1573" s="866"/>
      <c r="XEU1573" s="866"/>
      <c r="XEV1573" s="866"/>
      <c r="XEW1573" s="866"/>
      <c r="XEX1573" s="866"/>
      <c r="XEY1573" s="866"/>
      <c r="XEZ1573" s="866"/>
      <c r="XFA1573" s="866"/>
      <c r="XFB1573" s="866"/>
      <c r="XFC1573" s="866"/>
      <c r="XFD1573" s="866"/>
    </row>
    <row r="1574" spans="1:16384" ht="15.75" thickTop="1" x14ac:dyDescent="0.25">
      <c r="G1574" s="717"/>
      <c r="H1574" s="717"/>
      <c r="I1574" s="717"/>
      <c r="J1574" s="717"/>
      <c r="K1574" s="717"/>
      <c r="L1574" s="717"/>
      <c r="M1574" s="717"/>
      <c r="N1574" s="717"/>
      <c r="O1574" s="717"/>
      <c r="P1574" s="717"/>
      <c r="Q1574" s="717"/>
      <c r="R1574" s="717"/>
      <c r="S1574" s="720"/>
      <c r="T1574" s="720"/>
      <c r="U1574" s="720"/>
      <c r="V1574" s="717"/>
      <c r="W1574" s="720"/>
      <c r="X1574" s="720"/>
      <c r="Y1574" s="720"/>
      <c r="Z1574" s="720"/>
      <c r="AA1574" s="720"/>
      <c r="AB1574" s="720"/>
      <c r="AC1574" s="720"/>
      <c r="AD1574" s="720"/>
      <c r="AE1574" s="720"/>
      <c r="AF1574" s="720"/>
      <c r="AG1574" s="720"/>
      <c r="AH1574" s="720"/>
      <c r="AI1574" s="720"/>
      <c r="AJ1574" s="720"/>
      <c r="AK1574" s="720"/>
      <c r="AL1574" s="720"/>
      <c r="AM1574" s="720"/>
      <c r="AN1574" s="720"/>
      <c r="AO1574" s="720"/>
      <c r="AP1574" s="720"/>
      <c r="AQ1574" s="720"/>
      <c r="AR1574" s="720"/>
      <c r="AS1574" s="720"/>
      <c r="AT1574" s="720"/>
      <c r="AU1574" s="720"/>
      <c r="AV1574" s="720"/>
      <c r="AW1574" s="720"/>
      <c r="AX1574" s="720"/>
      <c r="AY1574" s="720"/>
      <c r="AZ1574" s="720"/>
      <c r="BA1574" s="720"/>
      <c r="BB1574" s="720"/>
      <c r="BC1574" s="720"/>
      <c r="BD1574" s="720"/>
      <c r="BE1574" s="720"/>
      <c r="BF1574" s="720"/>
      <c r="BG1574" s="720"/>
      <c r="BH1574" s="720"/>
      <c r="BI1574" s="720"/>
      <c r="BJ1574" s="720"/>
      <c r="BK1574" s="720"/>
      <c r="BL1574" s="720"/>
      <c r="BM1574" s="720"/>
      <c r="BN1574" s="720"/>
      <c r="BO1574" s="720"/>
      <c r="BP1574" s="720"/>
      <c r="BQ1574" s="720"/>
      <c r="BR1574" s="720"/>
      <c r="BS1574" s="720"/>
      <c r="BT1574" s="720"/>
      <c r="BU1574" s="720"/>
      <c r="BV1574" s="720"/>
      <c r="BW1574" s="720"/>
      <c r="BX1574" s="720"/>
      <c r="BY1574" s="720"/>
      <c r="BZ1574" s="720"/>
      <c r="CA1574" s="720"/>
    </row>
    <row r="1575" spans="1:16384" x14ac:dyDescent="0.25">
      <c r="F1575" s="437" t="s">
        <v>60</v>
      </c>
      <c r="G1575" s="720">
        <v>12910</v>
      </c>
      <c r="H1575" s="720">
        <v>12910</v>
      </c>
      <c r="I1575" s="720">
        <v>12910</v>
      </c>
      <c r="J1575" s="720">
        <v>12910</v>
      </c>
      <c r="K1575" s="720">
        <v>12910</v>
      </c>
      <c r="L1575" s="720">
        <v>12910</v>
      </c>
      <c r="M1575" s="720">
        <v>12910</v>
      </c>
      <c r="N1575" s="720">
        <v>12910</v>
      </c>
      <c r="O1575" s="720">
        <v>12910</v>
      </c>
      <c r="P1575" s="720">
        <v>12910</v>
      </c>
      <c r="Q1575" s="720">
        <v>12910</v>
      </c>
      <c r="R1575" s="720">
        <v>30496.77</v>
      </c>
      <c r="S1575" s="438">
        <v>236350</v>
      </c>
      <c r="T1575" s="438">
        <v>236350</v>
      </c>
      <c r="U1575" s="438">
        <v>236350</v>
      </c>
      <c r="V1575" s="438">
        <v>236350</v>
      </c>
      <c r="W1575" s="438">
        <v>236350</v>
      </c>
      <c r="X1575" s="438">
        <v>236350</v>
      </c>
      <c r="Y1575" s="438">
        <v>236350</v>
      </c>
      <c r="Z1575" s="438">
        <v>236350</v>
      </c>
      <c r="AA1575" s="438">
        <v>236350</v>
      </c>
      <c r="AB1575" s="720">
        <v>236350</v>
      </c>
      <c r="AC1575" s="720">
        <v>236350</v>
      </c>
      <c r="AD1575" s="720">
        <v>236350</v>
      </c>
      <c r="AE1575" s="720">
        <v>236350</v>
      </c>
      <c r="AF1575" s="720">
        <v>236350</v>
      </c>
      <c r="AG1575" s="720">
        <v>236350</v>
      </c>
      <c r="AH1575" s="720"/>
      <c r="AI1575" s="720"/>
      <c r="AJ1575" s="720"/>
      <c r="AK1575" s="720"/>
      <c r="AL1575" s="720"/>
      <c r="AM1575" s="720"/>
      <c r="AN1575" s="720"/>
      <c r="AO1575" s="720"/>
      <c r="AP1575" s="720"/>
      <c r="AQ1575" s="720"/>
      <c r="AR1575" s="720"/>
      <c r="AS1575" s="720"/>
      <c r="AT1575" s="720"/>
      <c r="AU1575" s="720"/>
      <c r="AV1575" s="720"/>
      <c r="AW1575" s="720"/>
      <c r="AX1575" s="720"/>
      <c r="AY1575" s="720"/>
      <c r="AZ1575" s="720"/>
      <c r="BA1575" s="720"/>
      <c r="BB1575" s="720"/>
      <c r="BC1575" s="720"/>
      <c r="BD1575" s="720"/>
      <c r="BE1575" s="720"/>
      <c r="BF1575" s="720"/>
      <c r="BG1575" s="720"/>
      <c r="BH1575" s="720"/>
      <c r="BI1575" s="720"/>
      <c r="BJ1575" s="720"/>
      <c r="BK1575" s="720"/>
      <c r="BL1575" s="720"/>
      <c r="BM1575" s="720"/>
      <c r="BN1575" s="720"/>
      <c r="BO1575" s="720"/>
      <c r="BP1575" s="720"/>
      <c r="BQ1575" s="720"/>
      <c r="BR1575" s="720"/>
      <c r="BS1575" s="720"/>
      <c r="BT1575" s="720"/>
      <c r="BU1575" s="720"/>
      <c r="BV1575" s="720"/>
      <c r="BW1575" s="720"/>
      <c r="BX1575" s="720"/>
      <c r="BY1575" s="720"/>
      <c r="BZ1575" s="720"/>
      <c r="CA1575" s="720"/>
    </row>
    <row r="1576" spans="1:16384" x14ac:dyDescent="0.25">
      <c r="F1576" s="437" t="s">
        <v>712</v>
      </c>
      <c r="G1576" s="720">
        <v>0</v>
      </c>
      <c r="H1576" s="720">
        <v>0</v>
      </c>
      <c r="I1576" s="720">
        <v>0</v>
      </c>
      <c r="J1576" s="720">
        <v>0</v>
      </c>
      <c r="K1576" s="720">
        <v>0</v>
      </c>
      <c r="L1576" s="720">
        <v>0</v>
      </c>
      <c r="M1576" s="720">
        <v>0</v>
      </c>
      <c r="N1576" s="720">
        <v>0</v>
      </c>
      <c r="O1576" s="720">
        <v>0</v>
      </c>
      <c r="P1576" s="720">
        <v>0</v>
      </c>
      <c r="Q1576" s="720">
        <v>0</v>
      </c>
      <c r="R1576" s="720">
        <v>99934.56</v>
      </c>
      <c r="S1576" s="438">
        <v>10137.33</v>
      </c>
      <c r="T1576" s="438">
        <v>10939.5</v>
      </c>
      <c r="U1576" s="438">
        <v>11371.76</v>
      </c>
      <c r="V1576" s="438">
        <v>11707</v>
      </c>
      <c r="W1576" s="438">
        <v>11870.5</v>
      </c>
      <c r="X1576" s="438">
        <v>11953.5</v>
      </c>
      <c r="Y1576" s="438">
        <v>12004.17</v>
      </c>
      <c r="Z1576" s="438">
        <v>12125.74</v>
      </c>
      <c r="AA1576" s="438">
        <v>12194.33</v>
      </c>
      <c r="AB1576" s="720">
        <v>12434.33</v>
      </c>
      <c r="AC1576" s="720">
        <v>12534.25</v>
      </c>
      <c r="AD1576" s="720">
        <v>11216</v>
      </c>
      <c r="AE1576" s="720"/>
      <c r="AF1576" s="438">
        <v>15928</v>
      </c>
      <c r="AG1576" s="1004">
        <v>15928</v>
      </c>
      <c r="AH1576" s="720"/>
      <c r="AI1576" s="720"/>
      <c r="AJ1576" s="720"/>
      <c r="AK1576" s="720"/>
      <c r="AL1576" s="720"/>
      <c r="AM1576" s="720"/>
      <c r="AN1576" s="720"/>
      <c r="AO1576" s="720"/>
      <c r="AP1576" s="720"/>
      <c r="AQ1576" s="720"/>
      <c r="AR1576" s="720"/>
      <c r="AS1576" s="720"/>
      <c r="AT1576" s="720"/>
      <c r="AU1576" s="720"/>
      <c r="AV1576" s="720"/>
      <c r="AW1576" s="720"/>
      <c r="AX1576" s="720"/>
      <c r="AY1576" s="720"/>
      <c r="AZ1576" s="720"/>
      <c r="BA1576" s="720"/>
      <c r="BB1576" s="720"/>
      <c r="BC1576" s="720"/>
      <c r="BD1576" s="720"/>
      <c r="BE1576" s="720"/>
      <c r="BF1576" s="720"/>
      <c r="BG1576" s="720"/>
      <c r="BH1576" s="720"/>
      <c r="BI1576" s="720"/>
      <c r="BJ1576" s="720"/>
      <c r="BK1576" s="720"/>
      <c r="BL1576" s="720"/>
      <c r="BM1576" s="720"/>
      <c r="BN1576" s="720"/>
      <c r="BO1576" s="720"/>
      <c r="BP1576" s="720"/>
      <c r="BQ1576" s="720"/>
      <c r="BR1576" s="720"/>
      <c r="BS1576" s="720"/>
      <c r="BT1576" s="720"/>
      <c r="BU1576" s="720"/>
      <c r="BV1576" s="720"/>
      <c r="BW1576" s="720"/>
      <c r="BX1576" s="720"/>
      <c r="BY1576" s="720"/>
      <c r="BZ1576" s="720"/>
      <c r="CA1576" s="720"/>
    </row>
    <row r="1577" spans="1:16384" x14ac:dyDescent="0.25">
      <c r="F1577" s="437" t="s">
        <v>713</v>
      </c>
      <c r="G1577" s="720">
        <f>SUM(G1575:G1576)</f>
        <v>12910</v>
      </c>
      <c r="H1577" s="720">
        <f t="shared" ref="H1577:R1577" si="632">SUM(H1575:H1576)</f>
        <v>12910</v>
      </c>
      <c r="I1577" s="720">
        <f t="shared" si="632"/>
        <v>12910</v>
      </c>
      <c r="J1577" s="720">
        <f t="shared" si="632"/>
        <v>12910</v>
      </c>
      <c r="K1577" s="720">
        <f t="shared" si="632"/>
        <v>12910</v>
      </c>
      <c r="L1577" s="720">
        <f t="shared" si="632"/>
        <v>12910</v>
      </c>
      <c r="M1577" s="720">
        <f t="shared" si="632"/>
        <v>12910</v>
      </c>
      <c r="N1577" s="720">
        <f t="shared" si="632"/>
        <v>12910</v>
      </c>
      <c r="O1577" s="720">
        <f t="shared" si="632"/>
        <v>12910</v>
      </c>
      <c r="P1577" s="720">
        <f t="shared" si="632"/>
        <v>12910</v>
      </c>
      <c r="Q1577" s="720">
        <f t="shared" si="632"/>
        <v>12910</v>
      </c>
      <c r="R1577" s="720">
        <f t="shared" si="632"/>
        <v>130431.33</v>
      </c>
      <c r="S1577" s="720">
        <f>SUM(S1575:S1576)</f>
        <v>246487.33</v>
      </c>
      <c r="T1577" s="720">
        <f t="shared" ref="T1577:AB1577" si="633">SUM(T1575:T1576)</f>
        <v>247289.5</v>
      </c>
      <c r="U1577" s="720">
        <f t="shared" si="633"/>
        <v>247721.76</v>
      </c>
      <c r="V1577" s="720">
        <f t="shared" si="633"/>
        <v>248057</v>
      </c>
      <c r="W1577" s="766">
        <f>SUM(W1575:W1576)+75000</f>
        <v>323220.5</v>
      </c>
      <c r="X1577" s="720">
        <f t="shared" si="633"/>
        <v>248303.5</v>
      </c>
      <c r="Y1577" s="720">
        <f t="shared" si="633"/>
        <v>248354.17</v>
      </c>
      <c r="Z1577" s="720">
        <f t="shared" si="633"/>
        <v>248475.74</v>
      </c>
      <c r="AA1577" s="720">
        <f t="shared" si="633"/>
        <v>248544.33</v>
      </c>
      <c r="AB1577" s="720">
        <f t="shared" si="633"/>
        <v>248784.33</v>
      </c>
      <c r="AC1577" s="720">
        <f t="shared" ref="AC1577:AG1577" si="634">SUM(AC1575:AC1576)</f>
        <v>248884.25</v>
      </c>
      <c r="AD1577" s="720">
        <f t="shared" si="634"/>
        <v>247566</v>
      </c>
      <c r="AE1577" s="720">
        <f t="shared" si="634"/>
        <v>236350</v>
      </c>
      <c r="AF1577" s="720">
        <f t="shared" si="634"/>
        <v>252278</v>
      </c>
      <c r="AG1577" s="720">
        <f t="shared" si="634"/>
        <v>252278</v>
      </c>
      <c r="AH1577" s="720"/>
      <c r="AI1577" s="720"/>
      <c r="AJ1577" s="720"/>
      <c r="AK1577" s="720"/>
      <c r="AL1577" s="720"/>
      <c r="AM1577" s="720"/>
      <c r="AN1577" s="720"/>
      <c r="AO1577" s="720"/>
      <c r="AP1577" s="720"/>
      <c r="AQ1577" s="720"/>
      <c r="AR1577" s="720"/>
      <c r="AS1577" s="720"/>
      <c r="AT1577" s="720"/>
      <c r="AU1577" s="720"/>
      <c r="AV1577" s="720"/>
      <c r="AW1577" s="720"/>
      <c r="AX1577" s="720"/>
      <c r="AY1577" s="720"/>
      <c r="AZ1577" s="720"/>
      <c r="BA1577" s="720"/>
      <c r="BB1577" s="720"/>
      <c r="BC1577" s="720"/>
      <c r="BD1577" s="720"/>
      <c r="BE1577" s="720"/>
      <c r="BF1577" s="720"/>
      <c r="BG1577" s="720"/>
      <c r="BH1577" s="720"/>
      <c r="BI1577" s="720"/>
      <c r="BJ1577" s="720"/>
      <c r="BK1577" s="720"/>
      <c r="BL1577" s="720"/>
      <c r="BM1577" s="720"/>
      <c r="BN1577" s="720"/>
      <c r="BO1577" s="720"/>
      <c r="BP1577" s="720"/>
      <c r="BQ1577" s="720"/>
      <c r="BR1577" s="720"/>
      <c r="BS1577" s="720"/>
      <c r="BT1577" s="720"/>
      <c r="BU1577" s="720"/>
      <c r="BV1577" s="720"/>
      <c r="BW1577" s="720"/>
      <c r="BX1577" s="720"/>
      <c r="BY1577" s="720"/>
      <c r="BZ1577" s="720"/>
      <c r="CA1577" s="720"/>
    </row>
    <row r="1578" spans="1:16384" x14ac:dyDescent="0.25">
      <c r="G1578" s="717"/>
      <c r="H1578" s="717"/>
      <c r="I1578" s="717"/>
      <c r="J1578" s="717"/>
      <c r="K1578" s="717"/>
      <c r="L1578" s="717"/>
      <c r="M1578" s="717"/>
      <c r="N1578" s="717"/>
      <c r="O1578" s="717"/>
      <c r="P1578" s="717"/>
      <c r="Q1578" s="717"/>
      <c r="R1578" s="717"/>
      <c r="S1578" s="720"/>
      <c r="T1578" s="720"/>
      <c r="U1578" s="720"/>
      <c r="V1578" s="720"/>
      <c r="W1578" s="720"/>
      <c r="X1578" s="720"/>
      <c r="Y1578" s="720"/>
      <c r="Z1578" s="720"/>
      <c r="AA1578" s="720"/>
      <c r="AB1578" s="720"/>
      <c r="AC1578" s="720"/>
      <c r="AD1578" s="720"/>
      <c r="AE1578" s="720"/>
      <c r="AF1578" s="720"/>
      <c r="AG1578" s="720"/>
      <c r="AH1578" s="720"/>
      <c r="AI1578" s="720"/>
      <c r="AJ1578" s="720"/>
      <c r="AK1578" s="720"/>
      <c r="AL1578" s="720"/>
      <c r="AM1578" s="720"/>
      <c r="AN1578" s="720"/>
      <c r="AO1578" s="720"/>
      <c r="AP1578" s="720"/>
      <c r="AQ1578" s="720"/>
      <c r="AR1578" s="720"/>
      <c r="AS1578" s="720"/>
      <c r="AT1578" s="720"/>
      <c r="AU1578" s="720"/>
      <c r="AV1578" s="720"/>
      <c r="AW1578" s="720"/>
      <c r="AX1578" s="720"/>
      <c r="AY1578" s="720"/>
      <c r="AZ1578" s="720"/>
      <c r="BA1578" s="720"/>
      <c r="BB1578" s="720"/>
      <c r="BC1578" s="720"/>
      <c r="BD1578" s="720"/>
      <c r="BE1578" s="720"/>
      <c r="BF1578" s="720"/>
      <c r="BG1578" s="720"/>
      <c r="BH1578" s="720"/>
      <c r="BI1578" s="720"/>
      <c r="BJ1578" s="720"/>
      <c r="BK1578" s="720"/>
      <c r="BL1578" s="720"/>
      <c r="BM1578" s="720"/>
      <c r="BN1578" s="720"/>
      <c r="BO1578" s="720"/>
      <c r="BP1578" s="720"/>
      <c r="BQ1578" s="720"/>
      <c r="BR1578" s="720"/>
      <c r="BS1578" s="720"/>
      <c r="BT1578" s="720"/>
      <c r="BU1578" s="720"/>
      <c r="BV1578" s="720"/>
      <c r="BW1578" s="720"/>
      <c r="BX1578" s="720"/>
      <c r="BY1578" s="720"/>
      <c r="BZ1578" s="720"/>
      <c r="CA1578" s="720"/>
    </row>
    <row r="1579" spans="1:16384" s="868" customFormat="1" ht="15.75" thickBot="1" x14ac:dyDescent="0.3">
      <c r="A1579" s="870"/>
      <c r="B1579" s="499"/>
      <c r="C1579" s="499"/>
      <c r="D1579" s="499"/>
      <c r="E1579" s="870"/>
      <c r="F1579" s="870" t="s">
        <v>676</v>
      </c>
      <c r="G1579" s="867"/>
      <c r="H1579" s="867"/>
      <c r="I1579" s="867"/>
      <c r="J1579" s="871">
        <f t="shared" ref="J1579:AD1579" si="635">J1395+J1047+J873+J699+J525+J351+J177+J1221+J1573</f>
        <v>498850.41801999998</v>
      </c>
      <c r="K1579" s="871">
        <f t="shared" si="635"/>
        <v>749016.54052000004</v>
      </c>
      <c r="L1579" s="871">
        <f t="shared" si="635"/>
        <v>560903.18685000006</v>
      </c>
      <c r="M1579" s="871">
        <f t="shared" si="635"/>
        <v>864776.72257999994</v>
      </c>
      <c r="N1579" s="871">
        <f t="shared" si="635"/>
        <v>887729.38361000002</v>
      </c>
      <c r="O1579" s="871">
        <f t="shared" si="635"/>
        <v>534239.78561000002</v>
      </c>
      <c r="P1579" s="871">
        <f t="shared" si="635"/>
        <v>1095345.8528199999</v>
      </c>
      <c r="Q1579" s="871">
        <f t="shared" si="635"/>
        <v>773580.77111999993</v>
      </c>
      <c r="R1579" s="871">
        <f t="shared" si="635"/>
        <v>727407.32186000003</v>
      </c>
      <c r="S1579" s="871">
        <f t="shared" si="635"/>
        <v>973397.98999999987</v>
      </c>
      <c r="T1579" s="871">
        <f t="shared" si="635"/>
        <v>807103.91</v>
      </c>
      <c r="U1579" s="871">
        <f t="shared" si="635"/>
        <v>913057.89</v>
      </c>
      <c r="V1579" s="871">
        <f t="shared" si="635"/>
        <v>975798.84000000008</v>
      </c>
      <c r="W1579" s="871">
        <f t="shared" si="635"/>
        <v>1020863.09</v>
      </c>
      <c r="X1579" s="871">
        <f t="shared" si="635"/>
        <v>1146498.1500000001</v>
      </c>
      <c r="Y1579" s="871">
        <f t="shared" si="635"/>
        <v>1572423.93</v>
      </c>
      <c r="Z1579" s="871">
        <f t="shared" si="635"/>
        <v>1455333.01</v>
      </c>
      <c r="AA1579" s="871">
        <f t="shared" si="635"/>
        <v>1248307.32</v>
      </c>
      <c r="AB1579" s="871">
        <f t="shared" si="635"/>
        <v>1340691.69</v>
      </c>
      <c r="AC1579" s="871">
        <f>AC1395+AC1047+AC873+AC699+AC525+AC351+AC177+AC1221+AC1573</f>
        <v>1242208.8099999998</v>
      </c>
      <c r="AD1579" s="871">
        <f t="shared" si="635"/>
        <v>1154997.06</v>
      </c>
      <c r="AE1579" s="871">
        <f>AE1395+AE1047+AE873+AE699+AE525+AE351+AE177+AE1221+AE1573+AE1570</f>
        <v>1395356.6</v>
      </c>
      <c r="AF1579" s="871">
        <f>AF1395+AF1047+AF873+AF699+AF525+AF351+AF177+AF1221+AF1573+AF1570</f>
        <v>1227087.5600000003</v>
      </c>
      <c r="AG1579" s="871">
        <f>AG1395+AG1047+AG873+AG699+AG525+AG351+AG177+AG1221+AG1573+AG1570</f>
        <v>1524230.8599999999</v>
      </c>
      <c r="AH1579" s="871">
        <f t="shared" ref="AH1579:CA1579" si="636">AH1395+AH1047+AH873+AH699+AH525+AH351+AH177+AH1221+AH1573+AH1570</f>
        <v>0</v>
      </c>
      <c r="AI1579" s="871">
        <f t="shared" si="636"/>
        <v>0</v>
      </c>
      <c r="AJ1579" s="871">
        <f t="shared" si="636"/>
        <v>0</v>
      </c>
      <c r="AK1579" s="871">
        <f t="shared" si="636"/>
        <v>0</v>
      </c>
      <c r="AL1579" s="871">
        <f t="shared" si="636"/>
        <v>0</v>
      </c>
      <c r="AM1579" s="871">
        <f t="shared" si="636"/>
        <v>0</v>
      </c>
      <c r="AN1579" s="871">
        <f t="shared" si="636"/>
        <v>0</v>
      </c>
      <c r="AO1579" s="871">
        <f t="shared" si="636"/>
        <v>0</v>
      </c>
      <c r="AP1579" s="871">
        <f t="shared" si="636"/>
        <v>0</v>
      </c>
      <c r="AQ1579" s="871">
        <f t="shared" si="636"/>
        <v>0</v>
      </c>
      <c r="AR1579" s="871">
        <f t="shared" si="636"/>
        <v>0</v>
      </c>
      <c r="AS1579" s="871">
        <f t="shared" si="636"/>
        <v>0</v>
      </c>
      <c r="AT1579" s="871">
        <f t="shared" si="636"/>
        <v>0</v>
      </c>
      <c r="AU1579" s="871">
        <f t="shared" si="636"/>
        <v>0</v>
      </c>
      <c r="AV1579" s="871">
        <f t="shared" si="636"/>
        <v>0</v>
      </c>
      <c r="AW1579" s="871">
        <f t="shared" si="636"/>
        <v>0</v>
      </c>
      <c r="AX1579" s="871">
        <f t="shared" si="636"/>
        <v>0</v>
      </c>
      <c r="AY1579" s="871">
        <f t="shared" si="636"/>
        <v>0</v>
      </c>
      <c r="AZ1579" s="871">
        <f t="shared" si="636"/>
        <v>0</v>
      </c>
      <c r="BA1579" s="871">
        <f t="shared" si="636"/>
        <v>0</v>
      </c>
      <c r="BB1579" s="871">
        <f t="shared" si="636"/>
        <v>0</v>
      </c>
      <c r="BC1579" s="871">
        <f t="shared" si="636"/>
        <v>0</v>
      </c>
      <c r="BD1579" s="871">
        <f t="shared" si="636"/>
        <v>0</v>
      </c>
      <c r="BE1579" s="871">
        <f t="shared" si="636"/>
        <v>0</v>
      </c>
      <c r="BF1579" s="871">
        <f t="shared" si="636"/>
        <v>0</v>
      </c>
      <c r="BG1579" s="871">
        <f t="shared" si="636"/>
        <v>0</v>
      </c>
      <c r="BH1579" s="871">
        <f t="shared" si="636"/>
        <v>0</v>
      </c>
      <c r="BI1579" s="871">
        <f t="shared" si="636"/>
        <v>0</v>
      </c>
      <c r="BJ1579" s="871">
        <f t="shared" si="636"/>
        <v>0</v>
      </c>
      <c r="BK1579" s="871">
        <f t="shared" si="636"/>
        <v>0</v>
      </c>
      <c r="BL1579" s="871">
        <f t="shared" si="636"/>
        <v>0</v>
      </c>
      <c r="BM1579" s="871">
        <f t="shared" si="636"/>
        <v>0</v>
      </c>
      <c r="BN1579" s="871">
        <f t="shared" si="636"/>
        <v>0</v>
      </c>
      <c r="BO1579" s="871">
        <f t="shared" si="636"/>
        <v>0</v>
      </c>
      <c r="BP1579" s="871">
        <f t="shared" si="636"/>
        <v>0</v>
      </c>
      <c r="BQ1579" s="871">
        <f t="shared" si="636"/>
        <v>0</v>
      </c>
      <c r="BR1579" s="871">
        <f t="shared" si="636"/>
        <v>0</v>
      </c>
      <c r="BS1579" s="871">
        <f t="shared" si="636"/>
        <v>0</v>
      </c>
      <c r="BT1579" s="871">
        <f t="shared" si="636"/>
        <v>0</v>
      </c>
      <c r="BU1579" s="871">
        <f t="shared" si="636"/>
        <v>0</v>
      </c>
      <c r="BV1579" s="871">
        <f t="shared" si="636"/>
        <v>0</v>
      </c>
      <c r="BW1579" s="871">
        <f t="shared" si="636"/>
        <v>0</v>
      </c>
      <c r="BX1579" s="871">
        <f t="shared" si="636"/>
        <v>0</v>
      </c>
      <c r="BY1579" s="871">
        <f t="shared" si="636"/>
        <v>0</v>
      </c>
      <c r="BZ1579" s="871">
        <f t="shared" si="636"/>
        <v>0</v>
      </c>
      <c r="CA1579" s="871">
        <f t="shared" si="636"/>
        <v>0</v>
      </c>
    </row>
    <row r="1580" spans="1:16384" ht="16.5" thickTop="1" thickBot="1" x14ac:dyDescent="0.3">
      <c r="A1580" s="5"/>
      <c r="E1580" s="5"/>
      <c r="F1580" s="5"/>
      <c r="G1580" s="5"/>
      <c r="H1580" s="5"/>
      <c r="I1580" s="5"/>
      <c r="J1580" s="5"/>
      <c r="K1580" s="5"/>
      <c r="L1580" s="5"/>
      <c r="M1580" s="5"/>
      <c r="N1580" s="5"/>
      <c r="O1580" s="5"/>
      <c r="P1580" s="5"/>
      <c r="Q1580" s="5"/>
      <c r="R1580" s="567"/>
      <c r="S1580" s="500"/>
      <c r="T1580" s="500"/>
      <c r="U1580" s="500"/>
      <c r="V1580" s="500"/>
      <c r="W1580" s="500"/>
      <c r="X1580" s="500"/>
      <c r="Y1580" s="500"/>
      <c r="Z1580" s="500"/>
      <c r="AA1580" s="500"/>
      <c r="AB1580" s="500"/>
      <c r="AC1580" s="500"/>
      <c r="AD1580" s="500"/>
      <c r="AE1580" s="500"/>
      <c r="AF1580" s="500"/>
      <c r="AG1580" s="500"/>
      <c r="AH1580" s="500"/>
      <c r="AI1580" s="500"/>
      <c r="AJ1580" s="500"/>
      <c r="AK1580" s="500"/>
      <c r="AL1580" s="500"/>
      <c r="AM1580" s="500"/>
      <c r="AN1580" s="500"/>
      <c r="AO1580" s="500"/>
      <c r="AP1580" s="500"/>
      <c r="AQ1580" s="500"/>
      <c r="AR1580" s="500"/>
      <c r="AS1580" s="500"/>
      <c r="AT1580" s="500"/>
      <c r="AU1580" s="500"/>
      <c r="AV1580" s="500"/>
      <c r="AW1580" s="500"/>
      <c r="AX1580" s="500"/>
      <c r="AY1580" s="500"/>
      <c r="AZ1580" s="500"/>
      <c r="BA1580" s="500"/>
      <c r="BB1580" s="500"/>
      <c r="BC1580" s="500"/>
      <c r="BD1580" s="500"/>
      <c r="BE1580" s="500"/>
      <c r="BF1580" s="500"/>
      <c r="BG1580" s="500"/>
      <c r="BH1580" s="500"/>
      <c r="BI1580" s="500"/>
      <c r="BJ1580" s="500"/>
      <c r="BK1580" s="500"/>
      <c r="BL1580" s="500"/>
      <c r="BM1580" s="500"/>
      <c r="BN1580" s="500"/>
      <c r="BO1580" s="500"/>
      <c r="BP1580" s="500"/>
      <c r="BQ1580" s="500"/>
      <c r="BR1580" s="500"/>
      <c r="BS1580" s="500"/>
      <c r="BT1580" s="500"/>
      <c r="BU1580" s="500"/>
      <c r="BV1580" s="500"/>
      <c r="BW1580" s="500"/>
      <c r="BX1580" s="500"/>
      <c r="BY1580" s="500"/>
      <c r="BZ1580" s="500"/>
      <c r="CA1580" s="500"/>
    </row>
    <row r="1581" spans="1:16384" ht="15.75" thickBot="1" x14ac:dyDescent="0.3">
      <c r="A1581" s="5"/>
      <c r="E1581" s="5"/>
      <c r="F1581" s="5" t="s">
        <v>912</v>
      </c>
      <c r="G1581" s="5"/>
      <c r="H1581" s="5"/>
      <c r="I1581" s="5"/>
      <c r="J1581" s="5"/>
      <c r="K1581" s="5"/>
      <c r="L1581" s="5"/>
      <c r="M1581" s="5"/>
      <c r="N1581" s="5"/>
      <c r="O1581" s="5"/>
      <c r="P1581" s="5"/>
      <c r="Q1581" s="5"/>
      <c r="R1581" s="5"/>
      <c r="S1581" s="437">
        <v>972598.99</v>
      </c>
      <c r="T1581" s="500">
        <v>806303.91</v>
      </c>
      <c r="U1581" s="500">
        <v>914657.89</v>
      </c>
      <c r="V1581" s="500">
        <v>975742.03</v>
      </c>
      <c r="W1581" s="500">
        <v>1020863.09</v>
      </c>
      <c r="X1581" s="500">
        <v>1146498.1499999999</v>
      </c>
      <c r="Y1581" s="500">
        <v>1572423.93</v>
      </c>
      <c r="Z1581" s="500">
        <v>1455333.01</v>
      </c>
      <c r="AA1581" s="500">
        <v>1248307.32</v>
      </c>
      <c r="AB1581" s="500">
        <v>1340691.69</v>
      </c>
      <c r="AC1581" s="500">
        <v>1242208.81</v>
      </c>
      <c r="AD1581" s="500">
        <v>1154997.06</v>
      </c>
      <c r="AE1581" s="1201">
        <v>1394482.6</v>
      </c>
      <c r="AF1581" s="1201">
        <v>1230212.56</v>
      </c>
      <c r="AG1581" s="500">
        <v>1524230.86</v>
      </c>
      <c r="AH1581" s="500"/>
      <c r="AI1581" s="500"/>
      <c r="AJ1581" s="500"/>
      <c r="AK1581" s="500"/>
      <c r="AL1581" s="500"/>
      <c r="AM1581" s="500"/>
      <c r="AN1581" s="500"/>
      <c r="AO1581" s="500"/>
      <c r="AP1581" s="500"/>
      <c r="AQ1581" s="500"/>
      <c r="AR1581" s="500"/>
      <c r="AS1581" s="500"/>
      <c r="AT1581" s="500"/>
      <c r="AU1581" s="500"/>
      <c r="AV1581" s="500"/>
      <c r="AW1581" s="500"/>
      <c r="AX1581" s="500"/>
      <c r="AY1581" s="500"/>
      <c r="AZ1581" s="500"/>
      <c r="BA1581" s="500"/>
      <c r="BB1581" s="500"/>
      <c r="BC1581" s="500"/>
      <c r="BD1581" s="500"/>
      <c r="BE1581" s="500"/>
      <c r="BF1581" s="500"/>
      <c r="BG1581" s="500"/>
      <c r="BH1581" s="500"/>
      <c r="BI1581" s="500"/>
      <c r="BJ1581" s="500"/>
      <c r="BK1581" s="500"/>
      <c r="BL1581" s="500"/>
      <c r="BM1581" s="500"/>
      <c r="BN1581" s="500"/>
      <c r="BO1581" s="500"/>
      <c r="BP1581" s="500"/>
      <c r="BQ1581" s="500"/>
      <c r="BR1581" s="500"/>
      <c r="BS1581" s="500"/>
      <c r="BT1581" s="500"/>
      <c r="BU1581" s="500"/>
      <c r="BV1581" s="500"/>
      <c r="BW1581" s="500"/>
      <c r="BX1581" s="500"/>
      <c r="BY1581" s="500"/>
      <c r="BZ1581" s="500"/>
      <c r="CA1581" s="500"/>
    </row>
    <row r="1582" spans="1:16384" x14ac:dyDescent="0.25">
      <c r="A1582" s="5"/>
      <c r="B1582" s="570"/>
      <c r="C1582" s="570"/>
      <c r="D1582" s="570"/>
      <c r="E1582" s="5"/>
      <c r="F1582" s="5" t="s">
        <v>913</v>
      </c>
      <c r="G1582" s="5"/>
      <c r="H1582" s="5"/>
      <c r="I1582" s="5"/>
      <c r="J1582" s="5"/>
      <c r="K1582" s="5"/>
      <c r="L1582" s="5"/>
      <c r="M1582" s="5"/>
      <c r="N1582" s="5"/>
      <c r="O1582" s="5"/>
      <c r="P1582" s="5"/>
      <c r="Q1582" s="5"/>
      <c r="R1582" s="5"/>
      <c r="S1582" s="405">
        <f>S1581-S1579</f>
        <v>-798.99999999988358</v>
      </c>
      <c r="T1582" s="405">
        <f t="shared" ref="T1582:AG1582" si="637">T1581-T1579</f>
        <v>-800</v>
      </c>
      <c r="U1582" s="405">
        <f t="shared" si="637"/>
        <v>1600</v>
      </c>
      <c r="V1582" s="405">
        <f t="shared" si="637"/>
        <v>-56.810000000055879</v>
      </c>
      <c r="W1582" s="405">
        <f t="shared" si="637"/>
        <v>0</v>
      </c>
      <c r="X1582" s="405">
        <f t="shared" si="637"/>
        <v>0</v>
      </c>
      <c r="Y1582" s="405">
        <f t="shared" si="637"/>
        <v>0</v>
      </c>
      <c r="Z1582" s="405">
        <f t="shared" si="637"/>
        <v>0</v>
      </c>
      <c r="AA1582" s="405">
        <f t="shared" si="637"/>
        <v>0</v>
      </c>
      <c r="AB1582" s="405">
        <f t="shared" si="637"/>
        <v>0</v>
      </c>
      <c r="AC1582" s="405">
        <f t="shared" si="637"/>
        <v>0</v>
      </c>
      <c r="AD1582" s="405">
        <f t="shared" si="637"/>
        <v>0</v>
      </c>
      <c r="AE1582" s="405">
        <f t="shared" si="637"/>
        <v>-874</v>
      </c>
      <c r="AF1582" s="405">
        <f t="shared" si="637"/>
        <v>3124.9999999997672</v>
      </c>
      <c r="AG1582" s="405">
        <f t="shared" si="637"/>
        <v>0</v>
      </c>
      <c r="AH1582" s="500"/>
      <c r="AI1582" s="500"/>
      <c r="AJ1582" s="500"/>
      <c r="AK1582" s="500"/>
      <c r="AL1582" s="500"/>
      <c r="AM1582" s="500"/>
      <c r="AN1582" s="500"/>
      <c r="AO1582" s="500"/>
      <c r="AP1582" s="500"/>
      <c r="AQ1582" s="500"/>
      <c r="AR1582" s="500"/>
      <c r="AS1582" s="500"/>
      <c r="AT1582" s="500"/>
      <c r="AU1582" s="500"/>
      <c r="AV1582" s="500"/>
      <c r="AW1582" s="500"/>
      <c r="AX1582" s="500"/>
      <c r="AY1582" s="500"/>
      <c r="AZ1582" s="500"/>
      <c r="BA1582" s="500"/>
      <c r="BB1582" s="500"/>
      <c r="BC1582" s="500"/>
      <c r="BD1582" s="500"/>
      <c r="BE1582" s="500"/>
      <c r="BF1582" s="500"/>
      <c r="BG1582" s="500"/>
      <c r="BH1582" s="500"/>
      <c r="BI1582" s="500"/>
      <c r="BJ1582" s="500"/>
      <c r="BK1582" s="500"/>
      <c r="BL1582" s="500"/>
      <c r="BM1582" s="500"/>
      <c r="BN1582" s="500"/>
      <c r="BO1582" s="500"/>
      <c r="BP1582" s="500"/>
      <c r="BQ1582" s="500"/>
      <c r="BR1582" s="500"/>
      <c r="BS1582" s="500"/>
      <c r="BT1582" s="500"/>
      <c r="BU1582" s="500"/>
      <c r="BV1582" s="500"/>
      <c r="BW1582" s="500"/>
      <c r="BX1582" s="500"/>
      <c r="BY1582" s="500"/>
      <c r="BZ1582" s="500"/>
      <c r="CA1582" s="500"/>
    </row>
    <row r="1583" spans="1:16384" x14ac:dyDescent="0.25">
      <c r="A1583" s="5"/>
      <c r="B1583" s="570"/>
      <c r="C1583" s="570"/>
      <c r="D1583" s="570"/>
      <c r="E1583" s="5"/>
      <c r="F1583" s="5"/>
      <c r="G1583" s="5"/>
      <c r="H1583" s="5"/>
      <c r="I1583" s="5"/>
      <c r="J1583" s="5"/>
      <c r="K1583" s="5"/>
      <c r="L1583" s="5"/>
      <c r="M1583" s="5"/>
      <c r="N1583" s="5"/>
      <c r="O1583" s="5"/>
      <c r="P1583" s="5"/>
      <c r="Q1583" s="5"/>
      <c r="R1583" s="5"/>
      <c r="S1583" s="570"/>
      <c r="T1583" s="500"/>
      <c r="U1583" s="500"/>
      <c r="V1583" s="500"/>
      <c r="W1583" s="500"/>
      <c r="X1583" s="500"/>
      <c r="Y1583" s="500"/>
      <c r="Z1583" s="500"/>
      <c r="AA1583" s="500"/>
      <c r="AB1583" s="500"/>
      <c r="AC1583" s="500"/>
      <c r="AD1583" s="500"/>
      <c r="AE1583" s="500"/>
      <c r="AF1583" s="500"/>
      <c r="AG1583" s="500"/>
      <c r="AH1583" s="500"/>
      <c r="AI1583" s="500"/>
      <c r="AJ1583" s="500"/>
      <c r="AK1583" s="500"/>
      <c r="AL1583" s="500"/>
      <c r="AM1583" s="500"/>
      <c r="AN1583" s="500"/>
      <c r="AO1583" s="500"/>
      <c r="AP1583" s="500"/>
      <c r="AQ1583" s="500"/>
      <c r="AR1583" s="500"/>
      <c r="AS1583" s="500"/>
      <c r="AT1583" s="500"/>
      <c r="AU1583" s="500"/>
      <c r="AV1583" s="500"/>
      <c r="AW1583" s="500"/>
      <c r="AX1583" s="500"/>
      <c r="AY1583" s="500"/>
      <c r="AZ1583" s="500"/>
      <c r="BA1583" s="500"/>
      <c r="BB1583" s="500"/>
      <c r="BC1583" s="500"/>
      <c r="BD1583" s="500"/>
      <c r="BE1583" s="500"/>
      <c r="BF1583" s="500"/>
      <c r="BG1583" s="500"/>
      <c r="BH1583" s="500"/>
      <c r="BI1583" s="500"/>
      <c r="BJ1583" s="500"/>
      <c r="BK1583" s="500"/>
      <c r="BL1583" s="500"/>
      <c r="BM1583" s="500"/>
      <c r="BN1583" s="500"/>
      <c r="BO1583" s="500"/>
      <c r="BP1583" s="500"/>
      <c r="BQ1583" s="500"/>
      <c r="BR1583" s="500"/>
      <c r="BS1583" s="500"/>
      <c r="BT1583" s="500"/>
      <c r="BU1583" s="500"/>
      <c r="BV1583" s="500"/>
      <c r="BW1583" s="500"/>
      <c r="BX1583" s="500"/>
      <c r="BY1583" s="500"/>
      <c r="BZ1583" s="500"/>
      <c r="CA1583" s="500"/>
    </row>
    <row r="1584" spans="1:16384" x14ac:dyDescent="0.25">
      <c r="S1584" s="234"/>
      <c r="T1584" s="234"/>
      <c r="U1584" s="234"/>
      <c r="V1584" s="234"/>
      <c r="W1584" s="234"/>
      <c r="X1584" s="234"/>
      <c r="Y1584" s="234"/>
      <c r="Z1584" s="234"/>
      <c r="AA1584" s="234"/>
      <c r="AB1584" s="234"/>
      <c r="AC1584" s="234"/>
      <c r="AD1584" s="234"/>
      <c r="AE1584" s="234"/>
      <c r="AF1584" s="234"/>
      <c r="AG1584" s="234"/>
      <c r="AH1584" s="234"/>
      <c r="AI1584" s="234"/>
      <c r="AJ1584" s="234"/>
      <c r="AK1584" s="234"/>
      <c r="AL1584" s="234"/>
      <c r="AM1584" s="234"/>
      <c r="AN1584" s="234"/>
      <c r="AO1584" s="234"/>
      <c r="AP1584" s="234"/>
      <c r="AQ1584" s="234"/>
      <c r="AR1584" s="234"/>
      <c r="AS1584" s="234"/>
      <c r="AT1584" s="234"/>
      <c r="AU1584" s="234"/>
      <c r="AV1584" s="234"/>
      <c r="AW1584" s="234"/>
      <c r="AX1584" s="234"/>
      <c r="AY1584" s="234"/>
      <c r="AZ1584" s="234"/>
      <c r="BA1584" s="234"/>
      <c r="BB1584" s="234"/>
      <c r="BC1584" s="234"/>
      <c r="BD1584" s="234"/>
      <c r="BE1584" s="234"/>
      <c r="BF1584" s="234"/>
      <c r="BG1584" s="234"/>
      <c r="BH1584" s="234"/>
      <c r="BI1584" s="234"/>
      <c r="BJ1584" s="234"/>
      <c r="BK1584" s="234"/>
      <c r="BL1584" s="234"/>
      <c r="BM1584" s="234"/>
      <c r="BN1584" s="234"/>
      <c r="BO1584" s="234"/>
      <c r="BP1584" s="234"/>
      <c r="BQ1584" s="234"/>
      <c r="BR1584" s="234"/>
      <c r="BS1584" s="234"/>
      <c r="BT1584" s="234"/>
      <c r="BU1584" s="234"/>
      <c r="BV1584" s="234"/>
      <c r="BW1584" s="234"/>
      <c r="BX1584" s="234"/>
      <c r="BY1584" s="234"/>
      <c r="BZ1584" s="234"/>
      <c r="CA1584" s="234"/>
    </row>
    <row r="1586" spans="7:14" x14ac:dyDescent="0.25">
      <c r="G1586" s="437">
        <v>337322.41</v>
      </c>
      <c r="H1586" s="437">
        <v>453751.67</v>
      </c>
      <c r="I1586" s="437">
        <v>444013.47</v>
      </c>
      <c r="J1586" s="437">
        <v>506628.27</v>
      </c>
      <c r="K1586" s="437">
        <v>703748.23</v>
      </c>
      <c r="L1586" s="437">
        <v>593664.24</v>
      </c>
      <c r="M1586" s="437">
        <v>798937.66</v>
      </c>
      <c r="N1586" s="437">
        <v>904935.72</v>
      </c>
    </row>
    <row r="1587" spans="7:14" x14ac:dyDescent="0.25">
      <c r="G1587" s="437">
        <v>337322.41</v>
      </c>
      <c r="H1587" s="437">
        <v>463751.67000000004</v>
      </c>
      <c r="I1587" s="437">
        <v>444013.47000000003</v>
      </c>
      <c r="J1587" s="437">
        <v>506628.27</v>
      </c>
      <c r="K1587" s="437">
        <v>703264.76</v>
      </c>
      <c r="L1587" s="437">
        <v>593619.24</v>
      </c>
      <c r="M1587" s="437">
        <v>798937.62</v>
      </c>
      <c r="N1587" s="437">
        <v>904935.78999999992</v>
      </c>
    </row>
    <row r="1588" spans="7:14" x14ac:dyDescent="0.25">
      <c r="G1588" s="437">
        <f>G1586-G1587</f>
        <v>0</v>
      </c>
      <c r="H1588" s="437">
        <f t="shared" ref="H1588:N1588" si="638">H1586-H1587</f>
        <v>-10000.000000000058</v>
      </c>
      <c r="I1588" s="437">
        <f t="shared" si="638"/>
        <v>0</v>
      </c>
      <c r="J1588" s="437">
        <f t="shared" si="638"/>
        <v>0</v>
      </c>
      <c r="K1588" s="437">
        <f t="shared" si="638"/>
        <v>483.46999999997206</v>
      </c>
      <c r="L1588" s="437">
        <f t="shared" si="638"/>
        <v>45</v>
      </c>
      <c r="M1588" s="437">
        <f t="shared" si="638"/>
        <v>4.0000000037252903E-2</v>
      </c>
      <c r="N1588" s="437">
        <f t="shared" si="638"/>
        <v>-6.9999999948777258E-2</v>
      </c>
    </row>
  </sheetData>
  <conditionalFormatting sqref="BP4:CA4 AC4:AD4">
    <cfRule type="expression" dxfId="119" priority="37">
      <formula>AC$4="actual"</formula>
    </cfRule>
  </conditionalFormatting>
  <conditionalFormatting sqref="AE4 AH4:AP4">
    <cfRule type="expression" dxfId="118" priority="36">
      <formula>AE$4="actual"</formula>
    </cfRule>
  </conditionalFormatting>
  <conditionalFormatting sqref="AQ4:BB4">
    <cfRule type="expression" dxfId="117" priority="35">
      <formula>AQ$4="actual"</formula>
    </cfRule>
  </conditionalFormatting>
  <conditionalFormatting sqref="BC4:BN4">
    <cfRule type="expression" dxfId="116" priority="34">
      <formula>BC$4="actual"</formula>
    </cfRule>
  </conditionalFormatting>
  <conditionalFormatting sqref="BO4">
    <cfRule type="expression" dxfId="115" priority="33">
      <formula>BO$4="actual"</formula>
    </cfRule>
  </conditionalFormatting>
  <conditionalFormatting sqref="G4:AB4">
    <cfRule type="containsText" dxfId="114" priority="19" operator="containsText" text="actual">
      <formula>NOT(ISERROR(SEARCH("actual",G4)))</formula>
    </cfRule>
  </conditionalFormatting>
  <conditionalFormatting sqref="G4:AE4 AH4:CA4">
    <cfRule type="containsText" dxfId="113" priority="17" operator="containsText" text="Actual">
      <formula>NOT(ISERROR(SEARCH("Actual",G4)))</formula>
    </cfRule>
    <cfRule type="containsText" dxfId="112" priority="18" operator="containsText" text="Actual">
      <formula>NOT(ISERROR(SEARCH("Actual",G4)))</formula>
    </cfRule>
    <cfRule type="containsText" dxfId="111" priority="20" operator="containsText" text="forecast">
      <formula>NOT(ISERROR(SEARCH("forecast",G4)))</formula>
    </cfRule>
  </conditionalFormatting>
  <conditionalFormatting sqref="AC4">
    <cfRule type="containsText" dxfId="110" priority="16" operator="containsText" text="actual">
      <formula>NOT(ISERROR(SEARCH("actual",AC4)))</formula>
    </cfRule>
  </conditionalFormatting>
  <conditionalFormatting sqref="AD4">
    <cfRule type="containsText" dxfId="109" priority="15" operator="containsText" text="actual">
      <formula>NOT(ISERROR(SEARCH("actual",AD4)))</formula>
    </cfRule>
  </conditionalFormatting>
  <conditionalFormatting sqref="AE4">
    <cfRule type="expression" dxfId="108" priority="14">
      <formula>AE$4="actual"</formula>
    </cfRule>
  </conditionalFormatting>
  <conditionalFormatting sqref="AE4">
    <cfRule type="containsText" dxfId="107" priority="13" operator="containsText" text="actual">
      <formula>NOT(ISERROR(SEARCH("actual",AE4)))</formula>
    </cfRule>
  </conditionalFormatting>
  <conditionalFormatting sqref="AF4">
    <cfRule type="expression" dxfId="106" priority="12">
      <formula>AF$4="actual"</formula>
    </cfRule>
  </conditionalFormatting>
  <conditionalFormatting sqref="AF4">
    <cfRule type="containsText" dxfId="105" priority="9" operator="containsText" text="Actual">
      <formula>NOT(ISERROR(SEARCH("Actual",AF4)))</formula>
    </cfRule>
    <cfRule type="containsText" dxfId="104" priority="10" operator="containsText" text="Actual">
      <formula>NOT(ISERROR(SEARCH("Actual",AF4)))</formula>
    </cfRule>
    <cfRule type="containsText" dxfId="103" priority="11" operator="containsText" text="forecast">
      <formula>NOT(ISERROR(SEARCH("forecast",AF4)))</formula>
    </cfRule>
  </conditionalFormatting>
  <conditionalFormatting sqref="AF4">
    <cfRule type="expression" dxfId="102" priority="8">
      <formula>AF$4="actual"</formula>
    </cfRule>
  </conditionalFormatting>
  <conditionalFormatting sqref="AF4">
    <cfRule type="containsText" dxfId="101" priority="7" operator="containsText" text="actual">
      <formula>NOT(ISERROR(SEARCH("actual",AF4)))</formula>
    </cfRule>
  </conditionalFormatting>
  <conditionalFormatting sqref="AG4">
    <cfRule type="expression" dxfId="100" priority="6">
      <formula>AG$4="actual"</formula>
    </cfRule>
  </conditionalFormatting>
  <conditionalFormatting sqref="AG4">
    <cfRule type="containsText" dxfId="99" priority="3" operator="containsText" text="Actual">
      <formula>NOT(ISERROR(SEARCH("Actual",AG4)))</formula>
    </cfRule>
    <cfRule type="containsText" dxfId="98" priority="4" operator="containsText" text="Actual">
      <formula>NOT(ISERROR(SEARCH("Actual",AG4)))</formula>
    </cfRule>
    <cfRule type="containsText" dxfId="97" priority="5" operator="containsText" text="forecast">
      <formula>NOT(ISERROR(SEARCH("forecast",AG4)))</formula>
    </cfRule>
  </conditionalFormatting>
  <conditionalFormatting sqref="AG4">
    <cfRule type="expression" dxfId="96" priority="2">
      <formula>AG$4="actual"</formula>
    </cfRule>
  </conditionalFormatting>
  <conditionalFormatting sqref="AG4">
    <cfRule type="containsText" dxfId="95" priority="1" operator="containsText" text="actual">
      <formula>NOT(ISERROR(SEARCH("actual",AG4)))</formula>
    </cfRule>
  </conditionalFormatting>
  <pageMargins left="0.2" right="0.2" top="0.25" bottom="0.25" header="0.3" footer="0.3"/>
  <pageSetup scale="10" orientation="landscape" r:id="rId1"/>
  <ignoredErrors>
    <ignoredError sqref="G645:R645 R697 AH645:BO645" formulaRange="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9"/>
  <sheetViews>
    <sheetView workbookViewId="0">
      <selection activeCell="A4" sqref="A4:A9"/>
    </sheetView>
  </sheetViews>
  <sheetFormatPr defaultRowHeight="15" x14ac:dyDescent="0.25"/>
  <sheetData>
    <row r="1" spans="1:6" x14ac:dyDescent="0.25">
      <c r="A1" t="s">
        <v>1351</v>
      </c>
    </row>
    <row r="4" spans="1:6" x14ac:dyDescent="0.25">
      <c r="A4" t="s">
        <v>1363</v>
      </c>
    </row>
    <row r="5" spans="1:6" x14ac:dyDescent="0.25">
      <c r="A5" t="s">
        <v>1375</v>
      </c>
    </row>
    <row r="6" spans="1:6" x14ac:dyDescent="0.25">
      <c r="A6" t="s">
        <v>1352</v>
      </c>
    </row>
    <row r="7" spans="1:6" x14ac:dyDescent="0.25">
      <c r="A7" t="s">
        <v>1353</v>
      </c>
    </row>
    <row r="8" spans="1:6" x14ac:dyDescent="0.25">
      <c r="A8" t="s">
        <v>1355</v>
      </c>
      <c r="F8" t="s">
        <v>1358</v>
      </c>
    </row>
    <row r="9" spans="1:6" x14ac:dyDescent="0.25">
      <c r="A9" t="s">
        <v>1354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3" tint="0.39997558519241921"/>
  </sheetPr>
  <dimension ref="A2:BT81"/>
  <sheetViews>
    <sheetView zoomScale="75" zoomScaleNormal="75" workbookViewId="0">
      <pane xSplit="2" ySplit="3" topLeftCell="C15" activePane="bottomRight" state="frozen"/>
      <selection activeCell="C20" sqref="C20"/>
      <selection pane="topRight" activeCell="C20" sqref="C20"/>
      <selection pane="bottomLeft" activeCell="C20" sqref="C20"/>
      <selection pane="bottomRight" activeCell="L40" sqref="L40"/>
    </sheetView>
  </sheetViews>
  <sheetFormatPr defaultColWidth="13.140625" defaultRowHeight="15" x14ac:dyDescent="0.25"/>
  <cols>
    <col min="1" max="1" width="3.42578125" style="16" customWidth="1"/>
    <col min="2" max="2" width="40.7109375" style="40" bestFit="1" customWidth="1"/>
    <col min="3" max="3" width="14.42578125" style="16" bestFit="1" customWidth="1"/>
    <col min="4" max="10" width="14.5703125" style="16" bestFit="1" customWidth="1"/>
    <col min="11" max="23" width="13.42578125" style="16" bestFit="1" customWidth="1"/>
    <col min="24" max="48" width="13.140625" style="168"/>
    <col min="49" max="16384" width="13.140625" style="16"/>
  </cols>
  <sheetData>
    <row r="2" spans="2:71" s="2" customFormat="1" x14ac:dyDescent="0.25">
      <c r="B2" s="999" t="s">
        <v>924</v>
      </c>
      <c r="C2" s="865" t="s">
        <v>30</v>
      </c>
      <c r="D2" s="865" t="s">
        <v>31</v>
      </c>
      <c r="E2" s="865" t="s">
        <v>32</v>
      </c>
      <c r="F2" s="865" t="s">
        <v>33</v>
      </c>
      <c r="G2" s="865" t="s">
        <v>34</v>
      </c>
      <c r="H2" s="865" t="s">
        <v>35</v>
      </c>
      <c r="I2" s="865" t="s">
        <v>36</v>
      </c>
      <c r="J2" s="865" t="s">
        <v>37</v>
      </c>
      <c r="K2" s="865" t="s">
        <v>38</v>
      </c>
      <c r="L2" s="865" t="s">
        <v>39</v>
      </c>
      <c r="M2" s="865" t="s">
        <v>40</v>
      </c>
      <c r="N2" s="865" t="s">
        <v>41</v>
      </c>
      <c r="O2" s="865" t="s">
        <v>42</v>
      </c>
      <c r="P2" s="865" t="s">
        <v>43</v>
      </c>
      <c r="Q2" s="865" t="s">
        <v>44</v>
      </c>
      <c r="R2" s="865" t="s">
        <v>45</v>
      </c>
      <c r="S2" s="865" t="s">
        <v>46</v>
      </c>
      <c r="T2" s="865" t="s">
        <v>187</v>
      </c>
      <c r="U2" s="865" t="s">
        <v>188</v>
      </c>
      <c r="V2" s="865" t="s">
        <v>189</v>
      </c>
      <c r="W2" s="865" t="s">
        <v>1103</v>
      </c>
      <c r="X2" s="865" t="s">
        <v>1104</v>
      </c>
      <c r="Y2" s="865" t="s">
        <v>1105</v>
      </c>
      <c r="Z2" s="865" t="s">
        <v>1106</v>
      </c>
      <c r="AA2" s="36"/>
      <c r="AB2" s="36"/>
      <c r="AC2" s="36"/>
      <c r="AD2" s="36"/>
      <c r="AE2" s="36"/>
      <c r="AF2" s="36"/>
      <c r="AG2" s="36"/>
      <c r="AH2" s="36"/>
      <c r="AI2" s="36"/>
      <c r="AJ2" s="36"/>
      <c r="AK2" s="36"/>
      <c r="AL2" s="36"/>
      <c r="AM2" s="36"/>
      <c r="AN2" s="199"/>
      <c r="AO2" s="199"/>
      <c r="AP2" s="199"/>
      <c r="AQ2" s="199"/>
      <c r="AR2" s="199"/>
      <c r="AS2" s="199"/>
      <c r="AT2" s="199"/>
      <c r="AU2" s="199"/>
      <c r="AV2" s="199"/>
      <c r="AW2" s="55"/>
      <c r="AX2" s="55"/>
      <c r="AY2" s="55"/>
      <c r="AZ2" s="55"/>
      <c r="BA2" s="55"/>
      <c r="BB2" s="55"/>
      <c r="BC2" s="55"/>
      <c r="BD2" s="55"/>
      <c r="BE2" s="55"/>
      <c r="BF2" s="55"/>
      <c r="BG2" s="55"/>
      <c r="BH2" s="55"/>
      <c r="BI2" s="55"/>
      <c r="BJ2" s="55"/>
      <c r="BK2" s="55"/>
      <c r="BL2" s="55"/>
      <c r="BM2" s="55"/>
      <c r="BN2" s="55"/>
      <c r="BO2" s="55"/>
      <c r="BP2" s="55"/>
      <c r="BQ2" s="55"/>
      <c r="BR2" s="55"/>
      <c r="BS2" s="55"/>
    </row>
    <row r="3" spans="2:71" s="2" customFormat="1" x14ac:dyDescent="0.25">
      <c r="B3" s="998" t="s">
        <v>1107</v>
      </c>
      <c r="C3" s="54" t="str">
        <f>IF(COUNTIFS('P&amp;L - Monthly'!2:2,C2,'P&amp;L - Monthly'!4:4,"actual")=3,"Actual","Forecast")</f>
        <v>Actual</v>
      </c>
      <c r="D3" s="54" t="str">
        <f>IF(COUNTIFS('P&amp;L - Monthly'!2:2,D2,'P&amp;L - Monthly'!4:4,"actual")=3,"Actual","Forecast")</f>
        <v>Actual</v>
      </c>
      <c r="E3" s="54" t="str">
        <f>IF(COUNTIFS('P&amp;L - Monthly'!2:2,E2,'P&amp;L - Monthly'!4:4,"actual")=3,"Actual","Forecast")</f>
        <v>Actual</v>
      </c>
      <c r="F3" s="54" t="str">
        <f>IF(COUNTIFS('P&amp;L - Monthly'!2:2,F2,'P&amp;L - Monthly'!4:4,"actual")=3,"Actual","Forecast")</f>
        <v>Actual</v>
      </c>
      <c r="G3" s="54" t="str">
        <f>IF(COUNTIFS('P&amp;L - Monthly'!2:2,G2,'P&amp;L - Monthly'!4:4,"actual")=3,"Actual","Forecast")</f>
        <v>Actual</v>
      </c>
      <c r="H3" s="54" t="str">
        <f>IF(COUNTIFS('P&amp;L - Monthly'!2:2,H2,'P&amp;L - Monthly'!4:4,"actual")=3,"Actual","Forecast")</f>
        <v>Actual</v>
      </c>
      <c r="I3" s="54" t="str">
        <f>IF(COUNTIFS('P&amp;L - Monthly'!2:2,I2,'P&amp;L - Monthly'!4:4,"actual")=3,"Actual","Forecast")</f>
        <v>Actual</v>
      </c>
      <c r="J3" s="54" t="str">
        <f>IF(COUNTIFS('P&amp;L - Monthly'!2:2,J2,'P&amp;L - Monthly'!4:4,"actual")=3,"Actual","Forecast")</f>
        <v>Actual</v>
      </c>
      <c r="K3" s="54" t="str">
        <f>IF(COUNTIFS('P&amp;L - Monthly'!2:2,K2,'P&amp;L - Monthly'!4:4,"actual")=3,"Actual","Forecast")</f>
        <v>Actual</v>
      </c>
      <c r="L3" s="54" t="str">
        <f>IF(COUNTIFS('P&amp;L - Monthly'!2:2,L2,'P&amp;L - Monthly'!4:4,"actual")=3,"Actual","Forecast")</f>
        <v>Forecast</v>
      </c>
      <c r="M3" s="54" t="str">
        <f>IF(COUNTIFS('P&amp;L - Monthly'!2:2,M2,'P&amp;L - Monthly'!4:4,"actual")=3,"Actual","Forecast")</f>
        <v>Forecast</v>
      </c>
      <c r="N3" s="54" t="str">
        <f>IF(COUNTIFS('P&amp;L - Monthly'!2:2,N2,'P&amp;L - Monthly'!4:4,"actual")=3,"Actual","Forecast")</f>
        <v>Forecast</v>
      </c>
      <c r="O3" s="54" t="str">
        <f>IF(COUNTIFS('P&amp;L - Monthly'!2:2,O2,'P&amp;L - Monthly'!4:4,"actual")=3,"Actual","Forecast")</f>
        <v>Forecast</v>
      </c>
      <c r="P3" s="54" t="str">
        <f>IF(COUNTIFS('P&amp;L - Monthly'!2:2,P2,'P&amp;L - Monthly'!4:4,"actual")=3,"Actual","Forecast")</f>
        <v>Forecast</v>
      </c>
      <c r="Q3" s="54" t="str">
        <f>IF(COUNTIFS('P&amp;L - Monthly'!2:2,Q2,'P&amp;L - Monthly'!4:4,"actual")=3,"Actual","Forecast")</f>
        <v>Forecast</v>
      </c>
      <c r="R3" s="54" t="str">
        <f>IF(COUNTIFS('P&amp;L - Monthly'!2:2,R2,'P&amp;L - Monthly'!4:4,"actual")=3,"Actual","Forecast")</f>
        <v>Forecast</v>
      </c>
      <c r="S3" s="54" t="str">
        <f>IF(COUNTIFS('P&amp;L - Monthly'!2:2,S2,'P&amp;L - Monthly'!4:4,"actual")=3,"Actual","Forecast")</f>
        <v>Forecast</v>
      </c>
      <c r="T3" s="54" t="str">
        <f>IF(COUNTIFS('P&amp;L - Monthly'!2:2,T2,'P&amp;L - Monthly'!4:4,"actual")=3,"Actual","Forecast")</f>
        <v>Forecast</v>
      </c>
      <c r="U3" s="54" t="str">
        <f>IF(COUNTIFS('P&amp;L - Monthly'!2:2,U2,'P&amp;L - Monthly'!4:4,"actual")=3,"Actual","Forecast")</f>
        <v>Forecast</v>
      </c>
      <c r="V3" s="54" t="str">
        <f>IF(COUNTIFS('P&amp;L - Monthly'!2:2,V2,'P&amp;L - Monthly'!4:4,"actual")=3,"Actual","Forecast")</f>
        <v>Forecast</v>
      </c>
      <c r="W3" s="227" t="str">
        <f>IF(COUNTIFS('P&amp;L - Monthly'!2:2,W2,'P&amp;L - Monthly'!4:4,"actual")=3,"Actual","Forecast")</f>
        <v>Forecast</v>
      </c>
      <c r="X3" s="227" t="str">
        <f>IF(COUNTIFS('P&amp;L - Monthly'!2:2,X2,'P&amp;L - Monthly'!4:4,"actual")=3,"Actual","Forecast")</f>
        <v>Forecast</v>
      </c>
      <c r="Y3" s="227" t="str">
        <f>IF(COUNTIFS('P&amp;L - Monthly'!2:2,Y2,'P&amp;L - Monthly'!4:4,"actual")=3,"Actual","Forecast")</f>
        <v>Forecast</v>
      </c>
      <c r="Z3" s="227" t="str">
        <f>IF(COUNTIFS('P&amp;L - Monthly'!2:2,Z2,'P&amp;L - Monthly'!4:4,"actual")=3,"Actual","Forecast")</f>
        <v>Forecast</v>
      </c>
      <c r="AA3" s="200"/>
      <c r="AB3" s="200"/>
      <c r="AC3" s="200"/>
      <c r="AD3" s="200"/>
      <c r="AE3" s="200"/>
      <c r="AF3" s="200"/>
      <c r="AG3" s="200"/>
      <c r="AH3" s="200"/>
      <c r="AI3" s="199"/>
      <c r="AJ3" s="199"/>
      <c r="AK3" s="199"/>
      <c r="AL3" s="199"/>
      <c r="AM3" s="199"/>
      <c r="AN3" s="199"/>
      <c r="AO3" s="199"/>
      <c r="AP3" s="199"/>
      <c r="AQ3" s="199"/>
      <c r="AR3" s="199"/>
      <c r="AS3" s="199"/>
      <c r="AT3" s="199"/>
      <c r="AU3" s="199"/>
      <c r="AV3" s="199"/>
      <c r="AW3" s="55"/>
      <c r="AX3" s="55"/>
      <c r="AY3" s="55"/>
      <c r="AZ3" s="55"/>
      <c r="BA3" s="55"/>
      <c r="BB3" s="55"/>
      <c r="BC3" s="55"/>
      <c r="BD3" s="55"/>
      <c r="BE3" s="55"/>
      <c r="BF3" s="55"/>
      <c r="BG3" s="55"/>
      <c r="BH3" s="55"/>
      <c r="BI3" s="55"/>
      <c r="BJ3" s="55"/>
      <c r="BK3" s="55"/>
      <c r="BL3" s="55"/>
      <c r="BM3" s="55"/>
      <c r="BN3" s="55"/>
      <c r="BO3" s="55"/>
      <c r="BP3" s="55"/>
      <c r="BQ3" s="55"/>
      <c r="BR3" s="55"/>
      <c r="BS3" s="55"/>
    </row>
    <row r="4" spans="2:71" s="133" customFormat="1" x14ac:dyDescent="0.25">
      <c r="B4" s="571" t="s">
        <v>1064</v>
      </c>
      <c r="W4" s="570"/>
      <c r="X4" s="570"/>
      <c r="Y4" s="570"/>
      <c r="Z4" s="570"/>
      <c r="AA4" s="168"/>
      <c r="AB4" s="168"/>
      <c r="AC4" s="168"/>
      <c r="AD4" s="168"/>
      <c r="AE4" s="168"/>
      <c r="AF4" s="168"/>
      <c r="AG4" s="168"/>
      <c r="AH4" s="168"/>
      <c r="AI4" s="168"/>
      <c r="AJ4" s="168"/>
      <c r="AK4" s="168"/>
      <c r="AL4" s="168"/>
      <c r="AM4" s="168"/>
      <c r="AN4" s="168"/>
      <c r="AO4" s="168"/>
      <c r="AP4" s="168"/>
      <c r="AQ4" s="168"/>
      <c r="AR4" s="168"/>
      <c r="AS4" s="168"/>
      <c r="AT4" s="168"/>
      <c r="AU4" s="168"/>
      <c r="AV4" s="168"/>
    </row>
    <row r="5" spans="2:71" x14ac:dyDescent="0.25">
      <c r="B5" s="29" t="s">
        <v>220</v>
      </c>
      <c r="W5" s="570"/>
      <c r="X5" s="570"/>
      <c r="Y5" s="570"/>
      <c r="Z5" s="570"/>
    </row>
    <row r="6" spans="2:71" x14ac:dyDescent="0.25">
      <c r="B6" s="1131" t="s">
        <v>222</v>
      </c>
      <c r="C6" s="21">
        <f>SUMIF('P&amp;L - Monthly'!$2:$2,'P&amp;L - Qtrly'!C$2,'P&amp;L - Monthly'!11:11)</f>
        <v>0</v>
      </c>
      <c r="D6" s="21">
        <f>SUMIF('P&amp;L - Monthly'!$2:$2,'P&amp;L - Qtrly'!D$2,'P&amp;L - Monthly'!11:11)</f>
        <v>0</v>
      </c>
      <c r="E6" s="21">
        <f>SUMIF('P&amp;L - Monthly'!$2:$2,'P&amp;L - Qtrly'!E$2,'P&amp;L - Monthly'!11:11)</f>
        <v>0</v>
      </c>
      <c r="F6" s="21">
        <f>SUMIF('P&amp;L - Monthly'!$2:$2,'P&amp;L - Qtrly'!F$2,'P&amp;L - Monthly'!11:11)</f>
        <v>0</v>
      </c>
      <c r="G6" s="21">
        <f>SUMIF('P&amp;L - Monthly'!$2:$2,'P&amp;L - Qtrly'!G$2,'P&amp;L - Monthly'!11:11)</f>
        <v>240852.06999999998</v>
      </c>
      <c r="H6" s="21">
        <f>SUMIF('P&amp;L - Monthly'!$2:$2,'P&amp;L - Qtrly'!H$2,'P&amp;L - Monthly'!11:11)</f>
        <v>324709.91000000003</v>
      </c>
      <c r="I6" s="21">
        <f>SUMIF('P&amp;L - Monthly'!$2:$2,'P&amp;L - Qtrly'!I$2,'P&amp;L - Monthly'!11:11)</f>
        <v>372917.1</v>
      </c>
      <c r="J6" s="21">
        <f>SUMIF('P&amp;L - Monthly'!$2:$2,'P&amp;L - Qtrly'!J$2,'P&amp;L - Monthly'!11:11)</f>
        <v>787981.17999999993</v>
      </c>
      <c r="K6" s="21">
        <f>SUMIF('P&amp;L - Monthly'!$2:$2,'P&amp;L - Qtrly'!K$2,'P&amp;L - Monthly'!11:11)</f>
        <v>1617384.62</v>
      </c>
      <c r="L6" s="21">
        <f>SUMIF('P&amp;L - Monthly'!$2:$2,'P&amp;L - Qtrly'!L$2,'P&amp;L - Monthly'!11:11)</f>
        <v>1138784.0003999998</v>
      </c>
      <c r="M6" s="21">
        <f>SUMIF('P&amp;L - Monthly'!$2:$2,'P&amp;L - Qtrly'!M$2,'P&amp;L - Monthly'!11:11)</f>
        <v>1345478.2992</v>
      </c>
      <c r="N6" s="21">
        <f>SUMIF('P&amp;L - Monthly'!$2:$2,'P&amp;L - Qtrly'!N$2,'P&amp;L - Monthly'!11:11)</f>
        <v>1584892.9766739262</v>
      </c>
      <c r="O6" s="21">
        <f>SUMIF('P&amp;L - Monthly'!$2:$2,'P&amp;L - Qtrly'!O$2,'P&amp;L - Monthly'!11:11)</f>
        <v>1853160.3094108887</v>
      </c>
      <c r="P6" s="21">
        <f>SUMIF('P&amp;L - Monthly'!$2:$2,'P&amp;L - Qtrly'!P$2,'P&amp;L - Monthly'!11:11)</f>
        <v>2121419.9164108885</v>
      </c>
      <c r="Q6" s="21">
        <f>SUMIF('P&amp;L - Monthly'!$2:$2,'P&amp;L - Qtrly'!Q$2,'P&amp;L - Monthly'!11:11)</f>
        <v>2389679.5234108884</v>
      </c>
      <c r="R6" s="21">
        <f>SUMIF('P&amp;L - Monthly'!$2:$2,'P&amp;L - Qtrly'!R$2,'P&amp;L - Monthly'!11:11)</f>
        <v>2657939.1304108882</v>
      </c>
      <c r="S6" s="21">
        <f>SUMIF('P&amp;L - Monthly'!$2:$2,'P&amp;L - Qtrly'!S$2,'P&amp;L - Monthly'!11:11)</f>
        <v>0</v>
      </c>
      <c r="T6" s="21">
        <f>SUMIF('P&amp;L - Monthly'!$2:$2,'P&amp;L - Qtrly'!T$2,'P&amp;L - Monthly'!11:11)</f>
        <v>0</v>
      </c>
      <c r="U6" s="21">
        <f>SUMIF('P&amp;L - Monthly'!$2:$2,'P&amp;L - Qtrly'!U$2,'P&amp;L - Monthly'!11:11)</f>
        <v>0</v>
      </c>
      <c r="V6" s="21">
        <f>SUMIF('P&amp;L - Monthly'!$2:$2,'P&amp;L - Qtrly'!V$2,'P&amp;L - Monthly'!11:11)</f>
        <v>0</v>
      </c>
      <c r="W6" s="21">
        <f>SUMIF('P&amp;L - Monthly'!$2:$2,'P&amp;L - Qtrly'!W$2,'P&amp;L - Monthly'!11:11)</f>
        <v>0</v>
      </c>
      <c r="X6" s="21">
        <f>SUMIF('P&amp;L - Monthly'!$2:$2,'P&amp;L - Qtrly'!X$2,'P&amp;L - Monthly'!11:11)</f>
        <v>0</v>
      </c>
      <c r="Y6" s="21">
        <f>SUMIF('P&amp;L - Monthly'!$2:$2,'P&amp;L - Qtrly'!Y$2,'P&amp;L - Monthly'!11:11)</f>
        <v>0</v>
      </c>
      <c r="Z6" s="21">
        <f>SUMIF('P&amp;L - Monthly'!$2:$2,'P&amp;L - Qtrly'!Z$2,'P&amp;L - Monthly'!11:11)</f>
        <v>0</v>
      </c>
    </row>
    <row r="7" spans="2:71" s="304" customFormat="1" x14ac:dyDescent="0.25">
      <c r="B7" s="1131" t="s">
        <v>1162</v>
      </c>
      <c r="C7" s="21">
        <f>SUMIF('P&amp;L - Monthly'!$2:$2,'P&amp;L - Qtrly'!C$2,'P&amp;L - Monthly'!12:12)</f>
        <v>3269458.4664017661</v>
      </c>
      <c r="D7" s="21">
        <f>SUMIF('P&amp;L - Monthly'!$2:$2,'P&amp;L - Qtrly'!D$2,'P&amp;L - Monthly'!12:12)</f>
        <v>3627187.7350404416</v>
      </c>
      <c r="E7" s="21">
        <f>SUMIF('P&amp;L - Monthly'!$2:$2,'P&amp;L - Qtrly'!E$2,'P&amp;L - Monthly'!12:12)</f>
        <v>3582771.8416368566</v>
      </c>
      <c r="F7" s="21">
        <f>SUMIF('P&amp;L - Monthly'!$2:$2,'P&amp;L - Qtrly'!F$2,'P&amp;L - Monthly'!12:12)</f>
        <v>4324633.2051690742</v>
      </c>
      <c r="G7" s="21">
        <f>SUMIF('P&amp;L - Monthly'!$2:$2,'P&amp;L - Qtrly'!G$2,'P&amp;L - Monthly'!12:12)</f>
        <v>3622862.4699999997</v>
      </c>
      <c r="H7" s="21">
        <f>SUMIF('P&amp;L - Monthly'!$2:$2,'P&amp;L - Qtrly'!H$2,'P&amp;L - Monthly'!12:12)</f>
        <v>3887859.8600000003</v>
      </c>
      <c r="I7" s="21">
        <f>SUMIF('P&amp;L - Monthly'!$2:$2,'P&amp;L - Qtrly'!I$2,'P&amp;L - Monthly'!12:12)</f>
        <v>3720482.2</v>
      </c>
      <c r="J7" s="21">
        <f>SUMIF('P&amp;L - Monthly'!$2:$2,'P&amp;L - Qtrly'!J$2,'P&amp;L - Monthly'!12:12)</f>
        <v>3869442.5</v>
      </c>
      <c r="K7" s="21">
        <f>SUMIF('P&amp;L - Monthly'!$2:$2,'P&amp;L - Qtrly'!K$2,'P&amp;L - Monthly'!12:12)</f>
        <v>2921985.42</v>
      </c>
      <c r="L7" s="21">
        <f>SUMIF('P&amp;L - Monthly'!$2:$2,'P&amp;L - Qtrly'!L$2,'P&amp;L - Monthly'!12:12)</f>
        <v>4413277.1266880436</v>
      </c>
      <c r="M7" s="21">
        <f>SUMIF('P&amp;L - Monthly'!$2:$2,'P&amp;L - Qtrly'!M$2,'P&amp;L - Monthly'!12:12)</f>
        <v>5030423.0061723944</v>
      </c>
      <c r="N7" s="21">
        <f>SUMIF('P&amp;L - Monthly'!$2:$2,'P&amp;L - Qtrly'!N$2,'P&amp;L - Monthly'!12:12)</f>
        <v>5865919.2816220764</v>
      </c>
      <c r="O7" s="21">
        <f>SUMIF('P&amp;L - Monthly'!$2:$2,'P&amp;L - Qtrly'!O$2,'P&amp;L - Monthly'!12:12)</f>
        <v>7066761.5884464663</v>
      </c>
      <c r="P7" s="21">
        <f>SUMIF('P&amp;L - Monthly'!$2:$2,'P&amp;L - Qtrly'!P$2,'P&amp;L - Monthly'!12:12)</f>
        <v>8079482.5457024835</v>
      </c>
      <c r="Q7" s="21">
        <f>SUMIF('P&amp;L - Monthly'!$2:$2,'P&amp;L - Qtrly'!Q$2,'P&amp;L - Monthly'!12:12)</f>
        <v>9038193.294400733</v>
      </c>
      <c r="R7" s="21">
        <f>SUMIF('P&amp;L - Monthly'!$2:$2,'P&amp;L - Qtrly'!R$2,'P&amp;L - Monthly'!12:12)</f>
        <v>9998780.4042370841</v>
      </c>
      <c r="S7" s="21">
        <f>SUMIF('P&amp;L - Monthly'!$2:$2,'P&amp;L - Qtrly'!S$2,'P&amp;L - Monthly'!12:12)</f>
        <v>0</v>
      </c>
      <c r="T7" s="21">
        <f>SUMIF('P&amp;L - Monthly'!$2:$2,'P&amp;L - Qtrly'!T$2,'P&amp;L - Monthly'!12:12)</f>
        <v>0</v>
      </c>
      <c r="U7" s="21">
        <f>SUMIF('P&amp;L - Monthly'!$2:$2,'P&amp;L - Qtrly'!U$2,'P&amp;L - Monthly'!12:12)</f>
        <v>0</v>
      </c>
      <c r="V7" s="21">
        <f>SUMIF('P&amp;L - Monthly'!$2:$2,'P&amp;L - Qtrly'!V$2,'P&amp;L - Monthly'!12:12)</f>
        <v>0</v>
      </c>
      <c r="W7" s="21">
        <f>SUMIF('P&amp;L - Monthly'!$2:$2,'P&amp;L - Qtrly'!W$2,'P&amp;L - Monthly'!12:12)</f>
        <v>0</v>
      </c>
      <c r="X7" s="21">
        <f>SUMIF('P&amp;L - Monthly'!$2:$2,'P&amp;L - Qtrly'!X$2,'P&amp;L - Monthly'!12:12)</f>
        <v>0</v>
      </c>
      <c r="Y7" s="21">
        <f>SUMIF('P&amp;L - Monthly'!$2:$2,'P&amp;L - Qtrly'!Y$2,'P&amp;L - Monthly'!12:12)</f>
        <v>0</v>
      </c>
      <c r="Z7" s="21">
        <f>SUMIF('P&amp;L - Monthly'!$2:$2,'P&amp;L - Qtrly'!Z$2,'P&amp;L - Monthly'!12:12)</f>
        <v>0</v>
      </c>
      <c r="AA7" s="168"/>
      <c r="AB7" s="168"/>
      <c r="AC7" s="168"/>
      <c r="AD7" s="168"/>
      <c r="AE7" s="168"/>
      <c r="AF7" s="168"/>
      <c r="AG7" s="168"/>
      <c r="AH7" s="168"/>
      <c r="AI7" s="168"/>
      <c r="AJ7" s="168"/>
      <c r="AK7" s="168"/>
      <c r="AL7" s="168"/>
      <c r="AM7" s="168"/>
      <c r="AN7" s="168"/>
      <c r="AO7" s="168"/>
      <c r="AP7" s="168"/>
      <c r="AQ7" s="168"/>
      <c r="AR7" s="168"/>
      <c r="AS7" s="168"/>
      <c r="AT7" s="168"/>
      <c r="AU7" s="168"/>
      <c r="AV7" s="168"/>
    </row>
    <row r="8" spans="2:71" x14ac:dyDescent="0.25">
      <c r="B8" s="1131" t="s">
        <v>1165</v>
      </c>
      <c r="C8" s="21">
        <f>SUMIF('P&amp;L - Monthly'!$2:$2,'P&amp;L - Qtrly'!C$2,'P&amp;L - Monthly'!13:13)</f>
        <v>0</v>
      </c>
      <c r="D8" s="21">
        <f>SUMIF('P&amp;L - Monthly'!$2:$2,'P&amp;L - Qtrly'!D$2,'P&amp;L - Monthly'!13:13)</f>
        <v>0</v>
      </c>
      <c r="E8" s="21">
        <f>SUMIF('P&amp;L - Monthly'!$2:$2,'P&amp;L - Qtrly'!E$2,'P&amp;L - Monthly'!13:13)</f>
        <v>0</v>
      </c>
      <c r="F8" s="21">
        <f>SUMIF('P&amp;L - Monthly'!$2:$2,'P&amp;L - Qtrly'!F$2,'P&amp;L - Monthly'!13:13)</f>
        <v>0</v>
      </c>
      <c r="G8" s="21">
        <f>SUMIF('P&amp;L - Monthly'!$2:$2,'P&amp;L - Qtrly'!G$2,'P&amp;L - Monthly'!13:13)</f>
        <v>0</v>
      </c>
      <c r="H8" s="21">
        <f>SUMIF('P&amp;L - Monthly'!$2:$2,'P&amp;L - Qtrly'!H$2,'P&amp;L - Monthly'!13:13)</f>
        <v>0</v>
      </c>
      <c r="I8" s="21">
        <f>SUMIF('P&amp;L - Monthly'!$2:$2,'P&amp;L - Qtrly'!I$2,'P&amp;L - Monthly'!13:13)</f>
        <v>0</v>
      </c>
      <c r="J8" s="21">
        <f>SUMIF('P&amp;L - Monthly'!$2:$2,'P&amp;L - Qtrly'!J$2,'P&amp;L - Monthly'!13:13)</f>
        <v>0</v>
      </c>
      <c r="K8" s="21">
        <f>SUMIF('P&amp;L - Monthly'!$2:$2,'P&amp;L - Qtrly'!K$2,'P&amp;L - Monthly'!13:13)</f>
        <v>0</v>
      </c>
      <c r="L8" s="21">
        <f>SUMIF('P&amp;L - Monthly'!$2:$2,'P&amp;L - Qtrly'!L$2,'P&amp;L - Monthly'!13:13)</f>
        <v>0</v>
      </c>
      <c r="M8" s="21">
        <f>SUMIF('P&amp;L - Monthly'!$2:$2,'P&amp;L - Qtrly'!M$2,'P&amp;L - Monthly'!13:13)</f>
        <v>0</v>
      </c>
      <c r="N8" s="21">
        <f>SUMIF('P&amp;L - Monthly'!$2:$2,'P&amp;L - Qtrly'!N$2,'P&amp;L - Monthly'!13:13)</f>
        <v>0</v>
      </c>
      <c r="O8" s="21">
        <f>SUMIF('P&amp;L - Monthly'!$2:$2,'P&amp;L - Qtrly'!O$2,'P&amp;L - Monthly'!13:13)</f>
        <v>0</v>
      </c>
      <c r="P8" s="21">
        <f>SUMIF('P&amp;L - Monthly'!$2:$2,'P&amp;L - Qtrly'!P$2,'P&amp;L - Monthly'!13:13)</f>
        <v>0</v>
      </c>
      <c r="Q8" s="21">
        <f>SUMIF('P&amp;L - Monthly'!$2:$2,'P&amp;L - Qtrly'!Q$2,'P&amp;L - Monthly'!13:13)</f>
        <v>0</v>
      </c>
      <c r="R8" s="21">
        <f>SUMIF('P&amp;L - Monthly'!$2:$2,'P&amp;L - Qtrly'!R$2,'P&amp;L - Monthly'!13:13)</f>
        <v>0</v>
      </c>
      <c r="S8" s="21">
        <f>SUMIF('P&amp;L - Monthly'!$2:$2,'P&amp;L - Qtrly'!S$2,'P&amp;L - Monthly'!13:13)</f>
        <v>0</v>
      </c>
      <c r="T8" s="21">
        <f>SUMIF('P&amp;L - Monthly'!$2:$2,'P&amp;L - Qtrly'!T$2,'P&amp;L - Monthly'!13:13)</f>
        <v>0</v>
      </c>
      <c r="U8" s="21">
        <f>SUMIF('P&amp;L - Monthly'!$2:$2,'P&amp;L - Qtrly'!U$2,'P&amp;L - Monthly'!13:13)</f>
        <v>0</v>
      </c>
      <c r="V8" s="21">
        <f>SUMIF('P&amp;L - Monthly'!$2:$2,'P&amp;L - Qtrly'!V$2,'P&amp;L - Monthly'!13:13)</f>
        <v>0</v>
      </c>
      <c r="W8" s="21">
        <f>SUMIF('P&amp;L - Monthly'!$2:$2,'P&amp;L - Qtrly'!W$2,'P&amp;L - Monthly'!13:13)</f>
        <v>0</v>
      </c>
      <c r="X8" s="21">
        <f>SUMIF('P&amp;L - Monthly'!$2:$2,'P&amp;L - Qtrly'!X$2,'P&amp;L - Monthly'!13:13)</f>
        <v>0</v>
      </c>
      <c r="Y8" s="21">
        <f>SUMIF('P&amp;L - Monthly'!$2:$2,'P&amp;L - Qtrly'!Y$2,'P&amp;L - Monthly'!13:13)</f>
        <v>0</v>
      </c>
      <c r="Z8" s="21">
        <f>SUMIF('P&amp;L - Monthly'!$2:$2,'P&amp;L - Qtrly'!Z$2,'P&amp;L - Monthly'!13:13)</f>
        <v>0</v>
      </c>
    </row>
    <row r="9" spans="2:71" s="570" customFormat="1" x14ac:dyDescent="0.25">
      <c r="B9" s="1131" t="s">
        <v>1166</v>
      </c>
      <c r="C9" s="21">
        <f>SUMIF('P&amp;L - Monthly'!$2:$2,'P&amp;L - Qtrly'!C$2,'P&amp;L - Monthly'!14:14)</f>
        <v>0</v>
      </c>
      <c r="D9" s="21">
        <f>SUMIF('P&amp;L - Monthly'!$2:$2,'P&amp;L - Qtrly'!D$2,'P&amp;L - Monthly'!14:14)</f>
        <v>0</v>
      </c>
      <c r="E9" s="21">
        <f>SUMIF('P&amp;L - Monthly'!$2:$2,'P&amp;L - Qtrly'!E$2,'P&amp;L - Monthly'!14:14)</f>
        <v>0</v>
      </c>
      <c r="F9" s="21">
        <f>SUMIF('P&amp;L - Monthly'!$2:$2,'P&amp;L - Qtrly'!F$2,'P&amp;L - Monthly'!14:14)</f>
        <v>0</v>
      </c>
      <c r="G9" s="21">
        <f>SUMIF('P&amp;L - Monthly'!$2:$2,'P&amp;L - Qtrly'!G$2,'P&amp;L - Monthly'!14:14)</f>
        <v>-1237.2199999999998</v>
      </c>
      <c r="H9" s="21">
        <f>SUMIF('P&amp;L - Monthly'!$2:$2,'P&amp;L - Qtrly'!H$2,'P&amp;L - Monthly'!14:14)</f>
        <v>21.599999999999994</v>
      </c>
      <c r="I9" s="21">
        <f>SUMIF('P&amp;L - Monthly'!$2:$2,'P&amp;L - Qtrly'!I$2,'P&amp;L - Monthly'!14:14)</f>
        <v>22355.200000000001</v>
      </c>
      <c r="J9" s="21">
        <f>SUMIF('P&amp;L - Monthly'!$2:$2,'P&amp;L - Qtrly'!J$2,'P&amp;L - Monthly'!14:14)</f>
        <v>3000</v>
      </c>
      <c r="K9" s="21">
        <f>SUMIF('P&amp;L - Monthly'!$2:$2,'P&amp;L - Qtrly'!K$2,'P&amp;L - Monthly'!14:14)</f>
        <v>2989.5</v>
      </c>
      <c r="L9" s="21">
        <f>SUMIF('P&amp;L - Monthly'!$2:$2,'P&amp;L - Qtrly'!L$2,'P&amp;L - Monthly'!14:14)</f>
        <v>0</v>
      </c>
      <c r="M9" s="21">
        <f>SUMIF('P&amp;L - Monthly'!$2:$2,'P&amp;L - Qtrly'!M$2,'P&amp;L - Monthly'!14:14)</f>
        <v>0</v>
      </c>
      <c r="N9" s="21">
        <f>SUMIF('P&amp;L - Monthly'!$2:$2,'P&amp;L - Qtrly'!N$2,'P&amp;L - Monthly'!14:14)</f>
        <v>0</v>
      </c>
      <c r="O9" s="21">
        <f>SUMIF('P&amp;L - Monthly'!$2:$2,'P&amp;L - Qtrly'!O$2,'P&amp;L - Monthly'!14:14)</f>
        <v>0</v>
      </c>
      <c r="P9" s="21">
        <f>SUMIF('P&amp;L - Monthly'!$2:$2,'P&amp;L - Qtrly'!P$2,'P&amp;L - Monthly'!14:14)</f>
        <v>0</v>
      </c>
      <c r="Q9" s="21">
        <f>SUMIF('P&amp;L - Monthly'!$2:$2,'P&amp;L - Qtrly'!Q$2,'P&amp;L - Monthly'!14:14)</f>
        <v>0</v>
      </c>
      <c r="R9" s="21">
        <f>SUMIF('P&amp;L - Monthly'!$2:$2,'P&amp;L - Qtrly'!R$2,'P&amp;L - Monthly'!14:14)</f>
        <v>0</v>
      </c>
      <c r="S9" s="21">
        <f>SUMIF('P&amp;L - Monthly'!$2:$2,'P&amp;L - Qtrly'!S$2,'P&amp;L - Monthly'!14:14)</f>
        <v>0</v>
      </c>
      <c r="T9" s="21">
        <f>SUMIF('P&amp;L - Monthly'!$2:$2,'P&amp;L - Qtrly'!T$2,'P&amp;L - Monthly'!14:14)</f>
        <v>0</v>
      </c>
      <c r="U9" s="21">
        <f>SUMIF('P&amp;L - Monthly'!$2:$2,'P&amp;L - Qtrly'!U$2,'P&amp;L - Monthly'!14:14)</f>
        <v>0</v>
      </c>
      <c r="V9" s="21">
        <f>SUMIF('P&amp;L - Monthly'!$2:$2,'P&amp;L - Qtrly'!V$2,'P&amp;L - Monthly'!14:14)</f>
        <v>0</v>
      </c>
      <c r="W9" s="21">
        <f>SUMIF('P&amp;L - Monthly'!$2:$2,'P&amp;L - Qtrly'!W$2,'P&amp;L - Monthly'!14:14)</f>
        <v>0</v>
      </c>
      <c r="X9" s="21">
        <f>SUMIF('P&amp;L - Monthly'!$2:$2,'P&amp;L - Qtrly'!X$2,'P&amp;L - Monthly'!14:14)</f>
        <v>0</v>
      </c>
      <c r="Y9" s="21">
        <f>SUMIF('P&amp;L - Monthly'!$2:$2,'P&amp;L - Qtrly'!Y$2,'P&amp;L - Monthly'!14:14)</f>
        <v>0</v>
      </c>
      <c r="Z9" s="21">
        <f>SUMIF('P&amp;L - Monthly'!$2:$2,'P&amp;L - Qtrly'!Z$2,'P&amp;L - Monthly'!14:14)</f>
        <v>0</v>
      </c>
      <c r="AA9" s="168"/>
      <c r="AB9" s="168"/>
      <c r="AC9" s="168"/>
      <c r="AD9" s="168"/>
      <c r="AE9" s="168"/>
      <c r="AF9" s="168"/>
      <c r="AG9" s="168"/>
      <c r="AH9" s="168"/>
      <c r="AI9" s="168"/>
      <c r="AJ9" s="168"/>
      <c r="AK9" s="168"/>
      <c r="AL9" s="168"/>
      <c r="AM9" s="168"/>
      <c r="AN9" s="168"/>
      <c r="AO9" s="168"/>
      <c r="AP9" s="168"/>
      <c r="AQ9" s="168"/>
      <c r="AR9" s="168"/>
      <c r="AS9" s="168"/>
      <c r="AT9" s="168"/>
      <c r="AU9" s="168"/>
      <c r="AV9" s="168"/>
    </row>
    <row r="10" spans="2:71" s="570" customFormat="1" x14ac:dyDescent="0.25">
      <c r="B10" s="1131" t="s">
        <v>1168</v>
      </c>
      <c r="C10" s="21">
        <f>SUMIF('P&amp;L - Monthly'!$2:$2,'P&amp;L - Qtrly'!C$2,'P&amp;L - Monthly'!15:15)</f>
        <v>0</v>
      </c>
      <c r="D10" s="21">
        <f>SUMIF('P&amp;L - Monthly'!$2:$2,'P&amp;L - Qtrly'!D$2,'P&amp;L - Monthly'!15:15)</f>
        <v>0</v>
      </c>
      <c r="E10" s="21">
        <f>SUMIF('P&amp;L - Monthly'!$2:$2,'P&amp;L - Qtrly'!E$2,'P&amp;L - Monthly'!15:15)</f>
        <v>0</v>
      </c>
      <c r="F10" s="21">
        <f>SUMIF('P&amp;L - Monthly'!$2:$2,'P&amp;L - Qtrly'!F$2,'P&amp;L - Monthly'!15:15)</f>
        <v>0</v>
      </c>
      <c r="G10" s="21">
        <f>SUMIF('P&amp;L - Monthly'!$2:$2,'P&amp;L - Qtrly'!G$2,'P&amp;L - Monthly'!15:15)</f>
        <v>0</v>
      </c>
      <c r="H10" s="21">
        <f>SUMIF('P&amp;L - Monthly'!$2:$2,'P&amp;L - Qtrly'!H$2,'P&amp;L - Monthly'!15:15)</f>
        <v>5000</v>
      </c>
      <c r="I10" s="21">
        <f>SUMIF('P&amp;L - Monthly'!$2:$2,'P&amp;L - Qtrly'!I$2,'P&amp;L - Monthly'!15:15)</f>
        <v>9600</v>
      </c>
      <c r="J10" s="21">
        <f>SUMIF('P&amp;L - Monthly'!$2:$2,'P&amp;L - Qtrly'!J$2,'P&amp;L - Monthly'!15:15)</f>
        <v>0</v>
      </c>
      <c r="K10" s="21">
        <f>SUMIF('P&amp;L - Monthly'!$2:$2,'P&amp;L - Qtrly'!K$2,'P&amp;L - Monthly'!15:15)</f>
        <v>9200</v>
      </c>
      <c r="L10" s="21">
        <f>SUMIF('P&amp;L - Monthly'!$2:$2,'P&amp;L - Qtrly'!L$2,'P&amp;L - Monthly'!15:15)</f>
        <v>0</v>
      </c>
      <c r="M10" s="21">
        <f>SUMIF('P&amp;L - Monthly'!$2:$2,'P&amp;L - Qtrly'!M$2,'P&amp;L - Monthly'!15:15)</f>
        <v>0</v>
      </c>
      <c r="N10" s="21">
        <f>SUMIF('P&amp;L - Monthly'!$2:$2,'P&amp;L - Qtrly'!N$2,'P&amp;L - Monthly'!15:15)</f>
        <v>0</v>
      </c>
      <c r="O10" s="21">
        <f>SUMIF('P&amp;L - Monthly'!$2:$2,'P&amp;L - Qtrly'!O$2,'P&amp;L - Monthly'!15:15)</f>
        <v>0</v>
      </c>
      <c r="P10" s="21">
        <f>SUMIF('P&amp;L - Monthly'!$2:$2,'P&amp;L - Qtrly'!P$2,'P&amp;L - Monthly'!15:15)</f>
        <v>0</v>
      </c>
      <c r="Q10" s="21">
        <f>SUMIF('P&amp;L - Monthly'!$2:$2,'P&amp;L - Qtrly'!Q$2,'P&amp;L - Monthly'!15:15)</f>
        <v>0</v>
      </c>
      <c r="R10" s="21">
        <f>SUMIF('P&amp;L - Monthly'!$2:$2,'P&amp;L - Qtrly'!R$2,'P&amp;L - Monthly'!15:15)</f>
        <v>0</v>
      </c>
      <c r="S10" s="21">
        <f>SUMIF('P&amp;L - Monthly'!$2:$2,'P&amp;L - Qtrly'!S$2,'P&amp;L - Monthly'!15:15)</f>
        <v>0</v>
      </c>
      <c r="T10" s="21">
        <f>SUMIF('P&amp;L - Monthly'!$2:$2,'P&amp;L - Qtrly'!T$2,'P&amp;L - Monthly'!15:15)</f>
        <v>0</v>
      </c>
      <c r="U10" s="21">
        <f>SUMIF('P&amp;L - Monthly'!$2:$2,'P&amp;L - Qtrly'!U$2,'P&amp;L - Monthly'!15:15)</f>
        <v>0</v>
      </c>
      <c r="V10" s="21">
        <f>SUMIF('P&amp;L - Monthly'!$2:$2,'P&amp;L - Qtrly'!V$2,'P&amp;L - Monthly'!15:15)</f>
        <v>0</v>
      </c>
      <c r="W10" s="21">
        <f>SUMIF('P&amp;L - Monthly'!$2:$2,'P&amp;L - Qtrly'!W$2,'P&amp;L - Monthly'!15:15)</f>
        <v>0</v>
      </c>
      <c r="X10" s="21">
        <f>SUMIF('P&amp;L - Monthly'!$2:$2,'P&amp;L - Qtrly'!X$2,'P&amp;L - Monthly'!15:15)</f>
        <v>0</v>
      </c>
      <c r="Y10" s="21">
        <f>SUMIF('P&amp;L - Monthly'!$2:$2,'P&amp;L - Qtrly'!Y$2,'P&amp;L - Monthly'!15:15)</f>
        <v>0</v>
      </c>
      <c r="Z10" s="21">
        <f>SUMIF('P&amp;L - Monthly'!$2:$2,'P&amp;L - Qtrly'!Z$2,'P&amp;L - Monthly'!15:15)</f>
        <v>0</v>
      </c>
      <c r="AA10" s="168"/>
      <c r="AB10" s="168"/>
      <c r="AC10" s="168"/>
      <c r="AD10" s="168"/>
      <c r="AE10" s="168"/>
      <c r="AF10" s="168"/>
      <c r="AG10" s="168"/>
      <c r="AH10" s="168"/>
      <c r="AI10" s="168"/>
      <c r="AJ10" s="168"/>
      <c r="AK10" s="168"/>
      <c r="AL10" s="168"/>
      <c r="AM10" s="168"/>
      <c r="AN10" s="168"/>
      <c r="AO10" s="168"/>
      <c r="AP10" s="168"/>
      <c r="AQ10" s="168"/>
      <c r="AR10" s="168"/>
      <c r="AS10" s="168"/>
      <c r="AT10" s="168"/>
      <c r="AU10" s="168"/>
      <c r="AV10" s="168"/>
    </row>
    <row r="11" spans="2:71" s="437" customFormat="1" x14ac:dyDescent="0.25">
      <c r="B11" s="1131" t="s">
        <v>1167</v>
      </c>
      <c r="C11" s="9">
        <f>SUMIF('P&amp;L - Monthly'!$2:$2,'P&amp;L - Qtrly'!C$2,'P&amp;L - Monthly'!16:16)</f>
        <v>75117.964999999997</v>
      </c>
      <c r="D11" s="9">
        <f>SUMIF('P&amp;L - Monthly'!$2:$2,'P&amp;L - Qtrly'!D$2,'P&amp;L - Monthly'!16:16)</f>
        <v>75117.964999999997</v>
      </c>
      <c r="E11" s="9">
        <f>SUMIF('P&amp;L - Monthly'!$2:$2,'P&amp;L - Qtrly'!E$2,'P&amp;L - Monthly'!16:16)</f>
        <v>75117.964999999997</v>
      </c>
      <c r="F11" s="9">
        <f>SUMIF('P&amp;L - Monthly'!$2:$2,'P&amp;L - Qtrly'!F$2,'P&amp;L - Monthly'!16:16)</f>
        <v>75117.964999999997</v>
      </c>
      <c r="G11" s="9">
        <f>SUMIF('P&amp;L - Monthly'!$2:$2,'P&amp;L - Qtrly'!G$2,'P&amp;L - Monthly'!16:16)</f>
        <v>1802.5</v>
      </c>
      <c r="H11" s="9">
        <f>SUMIF('P&amp;L - Monthly'!$2:$2,'P&amp;L - Qtrly'!H$2,'P&amp;L - Monthly'!16:16)</f>
        <v>1500</v>
      </c>
      <c r="I11" s="9">
        <f>SUMIF('P&amp;L - Monthly'!$2:$2,'P&amp;L - Qtrly'!I$2,'P&amp;L - Monthly'!16:16)</f>
        <v>1500</v>
      </c>
      <c r="J11" s="9">
        <f>SUMIF('P&amp;L - Monthly'!$2:$2,'P&amp;L - Qtrly'!J$2,'P&amp;L - Monthly'!16:16)</f>
        <v>1573.1799999999998</v>
      </c>
      <c r="K11" s="9">
        <f>SUMIF('P&amp;L - Monthly'!$2:$2,'P&amp;L - Qtrly'!K$2,'P&amp;L - Monthly'!16:16)</f>
        <v>45975</v>
      </c>
      <c r="L11" s="9">
        <f>SUMIF('P&amp;L - Monthly'!$2:$2,'P&amp;L - Qtrly'!L$2,'P&amp;L - Monthly'!16:16)</f>
        <v>0</v>
      </c>
      <c r="M11" s="9">
        <f>SUMIF('P&amp;L - Monthly'!$2:$2,'P&amp;L - Qtrly'!M$2,'P&amp;L - Monthly'!16:16)</f>
        <v>0</v>
      </c>
      <c r="N11" s="9">
        <f>SUMIF('P&amp;L - Monthly'!$2:$2,'P&amp;L - Qtrly'!N$2,'P&amp;L - Monthly'!16:16)</f>
        <v>0</v>
      </c>
      <c r="O11" s="9">
        <f>SUMIF('P&amp;L - Monthly'!$2:$2,'P&amp;L - Qtrly'!O$2,'P&amp;L - Monthly'!16:16)</f>
        <v>0</v>
      </c>
      <c r="P11" s="9">
        <f>SUMIF('P&amp;L - Monthly'!$2:$2,'P&amp;L - Qtrly'!P$2,'P&amp;L - Monthly'!16:16)</f>
        <v>0</v>
      </c>
      <c r="Q11" s="9">
        <f>SUMIF('P&amp;L - Monthly'!$2:$2,'P&amp;L - Qtrly'!Q$2,'P&amp;L - Monthly'!16:16)</f>
        <v>0</v>
      </c>
      <c r="R11" s="9">
        <f>SUMIF('P&amp;L - Monthly'!$2:$2,'P&amp;L - Qtrly'!R$2,'P&amp;L - Monthly'!16:16)</f>
        <v>0</v>
      </c>
      <c r="S11" s="9">
        <f>SUMIF('P&amp;L - Monthly'!$2:$2,'P&amp;L - Qtrly'!S$2,'P&amp;L - Monthly'!16:16)</f>
        <v>0</v>
      </c>
      <c r="T11" s="9">
        <f>SUMIF('P&amp;L - Monthly'!$2:$2,'P&amp;L - Qtrly'!T$2,'P&amp;L - Monthly'!16:16)</f>
        <v>0</v>
      </c>
      <c r="U11" s="9">
        <f>SUMIF('P&amp;L - Monthly'!$2:$2,'P&amp;L - Qtrly'!U$2,'P&amp;L - Monthly'!16:16)</f>
        <v>0</v>
      </c>
      <c r="V11" s="9">
        <f>SUMIF('P&amp;L - Monthly'!$2:$2,'P&amp;L - Qtrly'!V$2,'P&amp;L - Monthly'!16:16)</f>
        <v>0</v>
      </c>
      <c r="W11" s="9">
        <f>SUMIF('P&amp;L - Monthly'!$2:$2,'P&amp;L - Qtrly'!W$2,'P&amp;L - Monthly'!16:16)</f>
        <v>0</v>
      </c>
      <c r="X11" s="9">
        <f>SUMIF('P&amp;L - Monthly'!$2:$2,'P&amp;L - Qtrly'!X$2,'P&amp;L - Monthly'!16:16)</f>
        <v>0</v>
      </c>
      <c r="Y11" s="9">
        <f>SUMIF('P&amp;L - Monthly'!$2:$2,'P&amp;L - Qtrly'!Y$2,'P&amp;L - Monthly'!16:16)</f>
        <v>0</v>
      </c>
      <c r="Z11" s="9">
        <f>SUMIF('P&amp;L - Monthly'!$2:$2,'P&amp;L - Qtrly'!Z$2,'P&amp;L - Monthly'!16:16)</f>
        <v>0</v>
      </c>
      <c r="AA11" s="168"/>
      <c r="AB11" s="168"/>
      <c r="AC11" s="168"/>
      <c r="AD11" s="168"/>
      <c r="AE11" s="168"/>
      <c r="AF11" s="168"/>
      <c r="AG11" s="168"/>
      <c r="AH11" s="168"/>
      <c r="AI11" s="168"/>
      <c r="AJ11" s="168"/>
      <c r="AK11" s="168"/>
      <c r="AL11" s="168"/>
      <c r="AM11" s="168"/>
      <c r="AN11" s="168"/>
      <c r="AO11" s="168"/>
      <c r="AP11" s="168"/>
      <c r="AQ11" s="168"/>
      <c r="AR11" s="168"/>
      <c r="AS11" s="168"/>
      <c r="AT11" s="168"/>
      <c r="AU11" s="168"/>
      <c r="AV11" s="168"/>
    </row>
    <row r="12" spans="2:71" x14ac:dyDescent="0.25">
      <c r="B12" s="39" t="s">
        <v>221</v>
      </c>
      <c r="C12" s="8">
        <f>SUM(C6:C10)</f>
        <v>3269458.4664017661</v>
      </c>
      <c r="D12" s="165">
        <f t="shared" ref="D12:F12" si="0">SUM(D6:D10)</f>
        <v>3627187.7350404416</v>
      </c>
      <c r="E12" s="165">
        <f t="shared" si="0"/>
        <v>3582771.8416368566</v>
      </c>
      <c r="F12" s="165">
        <f t="shared" si="0"/>
        <v>4324633.2051690742</v>
      </c>
      <c r="G12" s="165">
        <f t="shared" ref="G12:Z12" si="1">SUM(G6:G11)</f>
        <v>3864279.8199999994</v>
      </c>
      <c r="H12" s="165">
        <f t="shared" si="1"/>
        <v>4219091.37</v>
      </c>
      <c r="I12" s="165">
        <f t="shared" si="1"/>
        <v>4126854.5000000005</v>
      </c>
      <c r="J12" s="165">
        <f t="shared" si="1"/>
        <v>4661996.8599999994</v>
      </c>
      <c r="K12" s="165">
        <f t="shared" si="1"/>
        <v>4597534.54</v>
      </c>
      <c r="L12" s="165">
        <f t="shared" si="1"/>
        <v>5552061.1270880438</v>
      </c>
      <c r="M12" s="165">
        <f t="shared" si="1"/>
        <v>6375901.3053723946</v>
      </c>
      <c r="N12" s="165">
        <f t="shared" si="1"/>
        <v>7450812.2582960026</v>
      </c>
      <c r="O12" s="165">
        <f t="shared" si="1"/>
        <v>8919921.897857355</v>
      </c>
      <c r="P12" s="165">
        <f t="shared" si="1"/>
        <v>10200902.462113373</v>
      </c>
      <c r="Q12" s="165">
        <f t="shared" si="1"/>
        <v>11427872.817811621</v>
      </c>
      <c r="R12" s="165">
        <f t="shared" si="1"/>
        <v>12656719.534647971</v>
      </c>
      <c r="S12" s="165">
        <f t="shared" si="1"/>
        <v>0</v>
      </c>
      <c r="T12" s="165">
        <f t="shared" si="1"/>
        <v>0</v>
      </c>
      <c r="U12" s="165">
        <f t="shared" si="1"/>
        <v>0</v>
      </c>
      <c r="V12" s="165">
        <f t="shared" si="1"/>
        <v>0</v>
      </c>
      <c r="W12" s="165">
        <f t="shared" si="1"/>
        <v>0</v>
      </c>
      <c r="X12" s="165">
        <f t="shared" si="1"/>
        <v>0</v>
      </c>
      <c r="Y12" s="165">
        <f t="shared" si="1"/>
        <v>0</v>
      </c>
      <c r="Z12" s="165">
        <f t="shared" si="1"/>
        <v>0</v>
      </c>
      <c r="AA12" s="201"/>
      <c r="AB12" s="201"/>
      <c r="AC12" s="201"/>
      <c r="AD12" s="201"/>
      <c r="AE12" s="201"/>
      <c r="AF12" s="201"/>
      <c r="AG12" s="201"/>
      <c r="AH12" s="201"/>
    </row>
    <row r="13" spans="2:71" x14ac:dyDescent="0.25">
      <c r="S13" s="570"/>
      <c r="T13" s="570"/>
      <c r="U13" s="570"/>
      <c r="V13" s="570"/>
      <c r="W13" s="570"/>
      <c r="X13" s="570"/>
      <c r="Y13" s="570"/>
      <c r="Z13" s="570"/>
    </row>
    <row r="14" spans="2:71" x14ac:dyDescent="0.25">
      <c r="B14" s="29" t="s">
        <v>148</v>
      </c>
      <c r="C14" s="17">
        <f>SUMIF('P&amp;L - Monthly'!$2:$2,'P&amp;L - Qtrly'!C$2,'P&amp;L - Monthly'!19:19)</f>
        <v>0</v>
      </c>
      <c r="D14" s="17">
        <f>SUMIF('P&amp;L - Monthly'!$2:$2,'P&amp;L - Qtrly'!D$2,'P&amp;L - Monthly'!19:19)</f>
        <v>0</v>
      </c>
      <c r="E14" s="17">
        <f>SUMIF('P&amp;L - Monthly'!$2:$2,'P&amp;L - Qtrly'!E$2,'P&amp;L - Monthly'!19:19)</f>
        <v>0</v>
      </c>
      <c r="F14" s="17">
        <f>SUMIF('P&amp;L - Monthly'!$2:$2,'P&amp;L - Qtrly'!F$2,'P&amp;L - Monthly'!19:19)</f>
        <v>0</v>
      </c>
      <c r="G14" s="17">
        <f>SUMIF('P&amp;L - Monthly'!$2:$2,'P&amp;L - Qtrly'!G$2,'P&amp;L - Monthly'!19:19)</f>
        <v>0</v>
      </c>
      <c r="H14" s="17">
        <f>SUMIF('P&amp;L - Monthly'!$2:$2,'P&amp;L - Qtrly'!H$2,'P&amp;L - Monthly'!19:19)</f>
        <v>0</v>
      </c>
      <c r="I14" s="17">
        <f>SUMIF('P&amp;L - Monthly'!$2:$2,'P&amp;L - Qtrly'!I$2,'P&amp;L - Monthly'!19:19)</f>
        <v>0</v>
      </c>
      <c r="J14" s="17">
        <f>SUMIF('P&amp;L - Monthly'!$2:$2,'P&amp;L - Qtrly'!J$2,'P&amp;L - Monthly'!19:19)</f>
        <v>0</v>
      </c>
      <c r="K14" s="17">
        <f>SUMIF('P&amp;L - Monthly'!$2:$2,'P&amp;L - Qtrly'!K$2,'P&amp;L - Monthly'!19:19)</f>
        <v>0</v>
      </c>
      <c r="L14" s="17">
        <f>SUMIF('P&amp;L - Monthly'!$2:$2,'P&amp;L - Qtrly'!L$2,'P&amp;L - Monthly'!19:19)</f>
        <v>0</v>
      </c>
      <c r="M14" s="17">
        <f>SUMIF('P&amp;L - Monthly'!$2:$2,'P&amp;L - Qtrly'!M$2,'P&amp;L - Monthly'!19:19)</f>
        <v>0</v>
      </c>
      <c r="N14" s="17">
        <f>SUMIF('P&amp;L - Monthly'!$2:$2,'P&amp;L - Qtrly'!N$2,'P&amp;L - Monthly'!19:19)</f>
        <v>0</v>
      </c>
      <c r="O14" s="17">
        <f>SUMIF('P&amp;L - Monthly'!$2:$2,'P&amp;L - Qtrly'!O$2,'P&amp;L - Monthly'!19:19)</f>
        <v>0</v>
      </c>
      <c r="P14" s="17">
        <f>SUMIF('P&amp;L - Monthly'!$2:$2,'P&amp;L - Qtrly'!P$2,'P&amp;L - Monthly'!19:19)</f>
        <v>0</v>
      </c>
      <c r="Q14" s="17">
        <f>SUMIF('P&amp;L - Monthly'!$2:$2,'P&amp;L - Qtrly'!Q$2,'P&amp;L - Monthly'!19:19)</f>
        <v>0</v>
      </c>
      <c r="R14" s="17">
        <f>SUMIF('P&amp;L - Monthly'!$2:$2,'P&amp;L - Qtrly'!R$2,'P&amp;L - Monthly'!19:19)</f>
        <v>0</v>
      </c>
      <c r="S14" s="575">
        <f>SUMIF('P&amp;L - Monthly'!$2:$2,'P&amp;L - Qtrly'!S$2,'P&amp;L - Monthly'!19:19)</f>
        <v>0</v>
      </c>
      <c r="T14" s="575">
        <f>SUMIF('P&amp;L - Monthly'!$2:$2,'P&amp;L - Qtrly'!T$2,'P&amp;L - Monthly'!19:19)</f>
        <v>0</v>
      </c>
      <c r="U14" s="575">
        <f>SUMIF('P&amp;L - Monthly'!$2:$2,'P&amp;L - Qtrly'!U$2,'P&amp;L - Monthly'!19:19)</f>
        <v>0</v>
      </c>
      <c r="V14" s="575">
        <f>SUMIF('P&amp;L - Monthly'!$2:$2,'P&amp;L - Qtrly'!V$2,'P&amp;L - Monthly'!19:19)</f>
        <v>0</v>
      </c>
      <c r="W14" s="575">
        <f>SUMIF('P&amp;L - Monthly'!$2:$2,'P&amp;L - Qtrly'!W$2,'P&amp;L - Monthly'!19:19)</f>
        <v>0</v>
      </c>
      <c r="X14" s="575">
        <f>SUMIF('P&amp;L - Monthly'!$2:$2,'P&amp;L - Qtrly'!X$2,'P&amp;L - Monthly'!19:19)</f>
        <v>0</v>
      </c>
      <c r="Y14" s="575">
        <f>SUMIF('P&amp;L - Monthly'!$2:$2,'P&amp;L - Qtrly'!Y$2,'P&amp;L - Monthly'!19:19)</f>
        <v>0</v>
      </c>
      <c r="Z14" s="575">
        <f>SUMIF('P&amp;L - Monthly'!$2:$2,'P&amp;L - Qtrly'!Z$2,'P&amp;L - Monthly'!19:19)</f>
        <v>0</v>
      </c>
    </row>
    <row r="15" spans="2:71" x14ac:dyDescent="0.25">
      <c r="B15" s="31" t="s">
        <v>537</v>
      </c>
      <c r="C15" s="17">
        <f>SUMIF('P&amp;L - Monthly'!$2:$2,'P&amp;L - Qtrly'!C$2,'P&amp;L - Monthly'!20:20)</f>
        <v>0</v>
      </c>
      <c r="D15" s="17">
        <f>SUMIF('P&amp;L - Monthly'!$2:$2,'P&amp;L - Qtrly'!D$2,'P&amp;L - Monthly'!20:20)</f>
        <v>0</v>
      </c>
      <c r="E15" s="17">
        <f>SUMIF('P&amp;L - Monthly'!$2:$2,'P&amp;L - Qtrly'!E$2,'P&amp;L - Monthly'!20:20)</f>
        <v>0</v>
      </c>
      <c r="F15" s="17">
        <f>SUMIF('P&amp;L - Monthly'!$2:$2,'P&amp;L - Qtrly'!F$2,'P&amp;L - Monthly'!20:20)</f>
        <v>0</v>
      </c>
      <c r="G15" s="17">
        <f>SUMIF('P&amp;L - Monthly'!$2:$2,'P&amp;L - Qtrly'!G$2,'P&amp;L - Monthly'!20:20)</f>
        <v>0</v>
      </c>
      <c r="H15" s="17">
        <f>SUMIF('P&amp;L - Monthly'!$2:$2,'P&amp;L - Qtrly'!H$2,'P&amp;L - Monthly'!20:20)</f>
        <v>0</v>
      </c>
      <c r="I15" s="17">
        <f>SUMIF('P&amp;L - Monthly'!$2:$2,'P&amp;L - Qtrly'!I$2,'P&amp;L - Monthly'!20:20)</f>
        <v>0</v>
      </c>
      <c r="J15" s="17">
        <f>SUMIF('P&amp;L - Monthly'!$2:$2,'P&amp;L - Qtrly'!J$2,'P&amp;L - Monthly'!20:20)</f>
        <v>0</v>
      </c>
      <c r="K15" s="17">
        <f>SUMIF('P&amp;L - Monthly'!$2:$2,'P&amp;L - Qtrly'!K$2,'P&amp;L - Monthly'!20:20)</f>
        <v>0</v>
      </c>
      <c r="L15" s="17">
        <f>SUMIF('P&amp;L - Monthly'!$2:$2,'P&amp;L - Qtrly'!L$2,'P&amp;L - Monthly'!20:20)</f>
        <v>22743.378070880441</v>
      </c>
      <c r="M15" s="17">
        <f>SUMIF('P&amp;L - Monthly'!$2:$2,'P&amp;L - Qtrly'!M$2,'P&amp;L - Monthly'!20:20)</f>
        <v>24704.563353723941</v>
      </c>
      <c r="N15" s="17">
        <f>SUMIF('P&amp;L - Monthly'!$2:$2,'P&amp;L - Qtrly'!N$2,'P&amp;L - Monthly'!20:20)</f>
        <v>28198.68265647742</v>
      </c>
      <c r="O15" s="17">
        <f>SUMIF('P&amp;L - Monthly'!$2:$2,'P&amp;L - Qtrly'!O$2,'P&amp;L - Monthly'!20:20)</f>
        <v>34760.465938849651</v>
      </c>
      <c r="P15" s="17">
        <f>SUMIF('P&amp;L - Monthly'!$2:$2,'P&amp;L - Qtrly'!P$2,'P&amp;L - Monthly'!20:20)</f>
        <v>39441.192581409821</v>
      </c>
      <c r="Q15" s="17">
        <f>SUMIF('P&amp;L - Monthly'!$2:$2,'P&amp;L - Qtrly'!Q$2,'P&amp;L - Monthly'!20:20)</f>
        <v>43581.817138392304</v>
      </c>
      <c r="R15" s="17">
        <f>SUMIF('P&amp;L - Monthly'!$2:$2,'P&amp;L - Qtrly'!R$2,'P&amp;L - Monthly'!20:20)</f>
        <v>47741.205306755837</v>
      </c>
      <c r="S15" s="575">
        <f>SUMIF('P&amp;L - Monthly'!$2:$2,'P&amp;L - Qtrly'!S$2,'P&amp;L - Monthly'!20:20)</f>
        <v>0</v>
      </c>
      <c r="T15" s="575">
        <f>SUMIF('P&amp;L - Monthly'!$2:$2,'P&amp;L - Qtrly'!T$2,'P&amp;L - Monthly'!20:20)</f>
        <v>0</v>
      </c>
      <c r="U15" s="575">
        <f>SUMIF('P&amp;L - Monthly'!$2:$2,'P&amp;L - Qtrly'!U$2,'P&amp;L - Monthly'!20:20)</f>
        <v>0</v>
      </c>
      <c r="V15" s="575">
        <f>SUMIF('P&amp;L - Monthly'!$2:$2,'P&amp;L - Qtrly'!V$2,'P&amp;L - Monthly'!20:20)</f>
        <v>0</v>
      </c>
      <c r="W15" s="575">
        <f>SUMIF('P&amp;L - Monthly'!$2:$2,'P&amp;L - Qtrly'!W$2,'P&amp;L - Monthly'!20:20)</f>
        <v>0</v>
      </c>
      <c r="X15" s="575">
        <f>SUMIF('P&amp;L - Monthly'!$2:$2,'P&amp;L - Qtrly'!X$2,'P&amp;L - Monthly'!20:20)</f>
        <v>0</v>
      </c>
      <c r="Y15" s="575">
        <f>SUMIF('P&amp;L - Monthly'!$2:$2,'P&amp;L - Qtrly'!Y$2,'P&amp;L - Monthly'!20:20)</f>
        <v>0</v>
      </c>
      <c r="Z15" s="575">
        <f>SUMIF('P&amp;L - Monthly'!$2:$2,'P&amp;L - Qtrly'!Z$2,'P&amp;L - Monthly'!20:20)</f>
        <v>0</v>
      </c>
    </row>
    <row r="16" spans="2:71" x14ac:dyDescent="0.25">
      <c r="B16" s="16"/>
      <c r="S16" s="570"/>
      <c r="T16" s="570"/>
      <c r="U16" s="570"/>
      <c r="V16" s="570"/>
      <c r="W16" s="570"/>
      <c r="X16" s="570"/>
      <c r="Y16" s="570"/>
      <c r="Z16" s="570"/>
    </row>
    <row r="17" spans="2:34" x14ac:dyDescent="0.25">
      <c r="B17" s="3" t="s">
        <v>71</v>
      </c>
      <c r="C17" s="46">
        <f>C12+C14-C15</f>
        <v>3269458.4664017661</v>
      </c>
      <c r="D17" s="46">
        <f t="shared" ref="D17:E17" si="2">D12+D14-D15</f>
        <v>3627187.7350404416</v>
      </c>
      <c r="E17" s="46">
        <f t="shared" si="2"/>
        <v>3582771.8416368566</v>
      </c>
      <c r="F17" s="46">
        <f>F12+F14-F15</f>
        <v>4324633.2051690742</v>
      </c>
      <c r="G17" s="46">
        <f t="shared" ref="G17:Z17" si="3">G12+G14-G15</f>
        <v>3864279.8199999994</v>
      </c>
      <c r="H17" s="46">
        <f t="shared" si="3"/>
        <v>4219091.37</v>
      </c>
      <c r="I17" s="46">
        <f t="shared" si="3"/>
        <v>4126854.5000000005</v>
      </c>
      <c r="J17" s="46">
        <f t="shared" si="3"/>
        <v>4661996.8599999994</v>
      </c>
      <c r="K17" s="46">
        <f t="shared" si="3"/>
        <v>4597534.54</v>
      </c>
      <c r="L17" s="46">
        <f t="shared" si="3"/>
        <v>5529317.7490171632</v>
      </c>
      <c r="M17" s="46">
        <f t="shared" si="3"/>
        <v>6351196.7420186708</v>
      </c>
      <c r="N17" s="46">
        <f t="shared" si="3"/>
        <v>7422613.5756395254</v>
      </c>
      <c r="O17" s="46">
        <f t="shared" si="3"/>
        <v>8885161.4319185056</v>
      </c>
      <c r="P17" s="46">
        <f t="shared" si="3"/>
        <v>10161461.269531963</v>
      </c>
      <c r="Q17" s="46">
        <f t="shared" si="3"/>
        <v>11384291.000673229</v>
      </c>
      <c r="R17" s="46">
        <f t="shared" si="3"/>
        <v>12608978.329341216</v>
      </c>
      <c r="S17" s="46">
        <f t="shared" si="3"/>
        <v>0</v>
      </c>
      <c r="T17" s="46">
        <f t="shared" si="3"/>
        <v>0</v>
      </c>
      <c r="U17" s="46">
        <f t="shared" si="3"/>
        <v>0</v>
      </c>
      <c r="V17" s="46">
        <f t="shared" si="3"/>
        <v>0</v>
      </c>
      <c r="W17" s="46">
        <f t="shared" si="3"/>
        <v>0</v>
      </c>
      <c r="X17" s="46">
        <f t="shared" si="3"/>
        <v>0</v>
      </c>
      <c r="Y17" s="46">
        <f t="shared" si="3"/>
        <v>0</v>
      </c>
      <c r="Z17" s="46">
        <f t="shared" si="3"/>
        <v>0</v>
      </c>
      <c r="AA17" s="38"/>
      <c r="AB17" s="38"/>
      <c r="AC17" s="38"/>
      <c r="AD17" s="38"/>
      <c r="AE17" s="38"/>
      <c r="AF17" s="38"/>
      <c r="AG17" s="38"/>
      <c r="AH17" s="38"/>
    </row>
    <row r="18" spans="2:34" x14ac:dyDescent="0.25">
      <c r="S18" s="570"/>
      <c r="T18" s="570"/>
      <c r="U18" s="570"/>
      <c r="V18" s="570"/>
      <c r="W18" s="570"/>
      <c r="X18" s="570"/>
      <c r="Y18" s="570"/>
      <c r="Z18" s="570"/>
    </row>
    <row r="19" spans="2:34" x14ac:dyDescent="0.25">
      <c r="S19" s="570"/>
      <c r="T19" s="570"/>
      <c r="U19" s="570"/>
      <c r="V19" s="570"/>
      <c r="W19" s="570"/>
      <c r="X19" s="570"/>
      <c r="Y19" s="570"/>
      <c r="Z19" s="570"/>
    </row>
    <row r="20" spans="2:34" x14ac:dyDescent="0.25">
      <c r="B20" s="44" t="s">
        <v>72</v>
      </c>
      <c r="S20" s="570"/>
      <c r="T20" s="570"/>
      <c r="U20" s="570"/>
      <c r="V20" s="570"/>
      <c r="W20" s="570"/>
      <c r="X20" s="570"/>
      <c r="Y20" s="570"/>
      <c r="Z20" s="570"/>
    </row>
    <row r="21" spans="2:34" x14ac:dyDescent="0.25">
      <c r="B21" s="43" t="str">
        <f>'P&amp;L - Monthly'!C26</f>
        <v>Telecom Voice &amp; VOIP</v>
      </c>
      <c r="C21" s="17">
        <f>SUMIF('P&amp;L - Monthly'!$2:$2,'P&amp;L - Qtrly'!C$2,'P&amp;L - Monthly'!26:26)</f>
        <v>422757.61</v>
      </c>
      <c r="D21" s="17">
        <f>SUMIF('P&amp;L - Monthly'!$2:$2,'P&amp;L - Qtrly'!D$2,'P&amp;L - Monthly'!26:26)</f>
        <v>466744.88</v>
      </c>
      <c r="E21" s="17">
        <f>SUMIF('P&amp;L - Monthly'!$2:$2,'P&amp;L - Qtrly'!E$2,'P&amp;L - Monthly'!26:26)</f>
        <v>263864.05</v>
      </c>
      <c r="F21" s="17">
        <f>SUMIF('P&amp;L - Monthly'!$2:$2,'P&amp;L - Qtrly'!F$2,'P&amp;L - Monthly'!26:26)</f>
        <v>436594.1</v>
      </c>
      <c r="G21" s="17">
        <f>SUMIF('P&amp;L - Monthly'!$2:$2,'P&amp;L - Qtrly'!G$2,'P&amp;L - Monthly'!26:26)</f>
        <v>243622.65000000002</v>
      </c>
      <c r="H21" s="17">
        <f>SUMIF('P&amp;L - Monthly'!$2:$2,'P&amp;L - Qtrly'!H$2,'P&amp;L - Monthly'!26:26)</f>
        <v>271990.76</v>
      </c>
      <c r="I21" s="17">
        <f>SUMIF('P&amp;L - Monthly'!$2:$2,'P&amp;L - Qtrly'!I$2,'P&amp;L - Monthly'!26:26)</f>
        <v>288230.11</v>
      </c>
      <c r="J21" s="17">
        <f>SUMIF('P&amp;L - Monthly'!$2:$2,'P&amp;L - Qtrly'!J$2,'P&amp;L - Monthly'!26:26)</f>
        <v>338800.9</v>
      </c>
      <c r="K21" s="17">
        <f>SUMIF('P&amp;L - Monthly'!$2:$2,'P&amp;L - Qtrly'!K$2,'P&amp;L - Monthly'!26:26)</f>
        <v>280488.38999999996</v>
      </c>
      <c r="L21" s="17">
        <f>SUMIF('P&amp;L - Monthly'!$2:$2,'P&amp;L - Qtrly'!L$2,'P&amp;L - Monthly'!26:26)</f>
        <v>341150.67106320662</v>
      </c>
      <c r="M21" s="17">
        <f>SUMIF('P&amp;L - Monthly'!$2:$2,'P&amp;L - Qtrly'!M$2,'P&amp;L - Monthly'!26:26)</f>
        <v>370568.45030585909</v>
      </c>
      <c r="N21" s="17">
        <f>SUMIF('P&amp;L - Monthly'!$2:$2,'P&amp;L - Qtrly'!N$2,'P&amp;L - Monthly'!26:26)</f>
        <v>422980.23984716128</v>
      </c>
      <c r="O21" s="17">
        <f>SUMIF('P&amp;L - Monthly'!$2:$2,'P&amp;L - Qtrly'!O$2,'P&amp;L - Monthly'!26:26)</f>
        <v>521406.98908274464</v>
      </c>
      <c r="P21" s="17">
        <f>SUMIF('P&amp;L - Monthly'!$2:$2,'P&amp;L - Qtrly'!P$2,'P&amp;L - Monthly'!26:26)</f>
        <v>591617.8887211472</v>
      </c>
      <c r="Q21" s="17">
        <f>SUMIF('P&amp;L - Monthly'!$2:$2,'P&amp;L - Qtrly'!Q$2,'P&amp;L - Monthly'!26:26)</f>
        <v>653727.2570758845</v>
      </c>
      <c r="R21" s="17">
        <f>SUMIF('P&amp;L - Monthly'!$2:$2,'P&amp;L - Qtrly'!R$2,'P&amp;L - Monthly'!26:26)</f>
        <v>716118.07960133755</v>
      </c>
      <c r="S21" s="575">
        <f>SUMIF('P&amp;L - Monthly'!$2:$2,'P&amp;L - Qtrly'!S$2,'P&amp;L - Monthly'!26:26)</f>
        <v>0</v>
      </c>
      <c r="T21" s="575">
        <f>SUMIF('P&amp;L - Monthly'!$2:$2,'P&amp;L - Qtrly'!T$2,'P&amp;L - Monthly'!26:26)</f>
        <v>0</v>
      </c>
      <c r="U21" s="575">
        <f>SUMIF('P&amp;L - Monthly'!$2:$2,'P&amp;L - Qtrly'!U$2,'P&amp;L - Monthly'!26:26)</f>
        <v>0</v>
      </c>
      <c r="V21" s="575">
        <f>SUMIF('P&amp;L - Monthly'!$2:$2,'P&amp;L - Qtrly'!V$2,'P&amp;L - Monthly'!26:26)</f>
        <v>0</v>
      </c>
      <c r="W21" s="575">
        <f>SUMIF('P&amp;L - Monthly'!$2:$2,'P&amp;L - Qtrly'!W$2,'P&amp;L - Monthly'!26:26)</f>
        <v>0</v>
      </c>
      <c r="X21" s="575">
        <f>SUMIF('P&amp;L - Monthly'!$2:$2,'P&amp;L - Qtrly'!X$2,'P&amp;L - Monthly'!26:26)</f>
        <v>0</v>
      </c>
      <c r="Y21" s="575">
        <f>SUMIF('P&amp;L - Monthly'!$2:$2,'P&amp;L - Qtrly'!Y$2,'P&amp;L - Monthly'!26:26)</f>
        <v>0</v>
      </c>
      <c r="Z21" s="575">
        <f>SUMIF('P&amp;L - Monthly'!$2:$2,'P&amp;L - Qtrly'!Z$2,'P&amp;L - Monthly'!26:26)</f>
        <v>0</v>
      </c>
    </row>
    <row r="22" spans="2:34" x14ac:dyDescent="0.25">
      <c r="B22" s="43" t="s">
        <v>1</v>
      </c>
      <c r="C22" s="17">
        <f>SUMIF('P&amp;L - Monthly'!$2:$2,'P&amp;L - Qtrly'!C$2,'P&amp;L - Monthly'!27:27)</f>
        <v>94842.240000000005</v>
      </c>
      <c r="D22" s="17">
        <f>SUMIF('P&amp;L - Monthly'!$2:$2,'P&amp;L - Qtrly'!D$2,'P&amp;L - Monthly'!27:27)</f>
        <v>140554.01</v>
      </c>
      <c r="E22" s="17">
        <f>SUMIF('P&amp;L - Monthly'!$2:$2,'P&amp;L - Qtrly'!E$2,'P&amp;L - Monthly'!27:27)</f>
        <v>121604.28000000001</v>
      </c>
      <c r="F22" s="17">
        <f>SUMIF('P&amp;L - Monthly'!$2:$2,'P&amp;L - Qtrly'!F$2,'P&amp;L - Monthly'!27:27)</f>
        <v>160900.32</v>
      </c>
      <c r="G22" s="17">
        <f>SUMIF('P&amp;L - Monthly'!$2:$2,'P&amp;L - Qtrly'!G$2,'P&amp;L - Monthly'!27:27)</f>
        <v>91895.03</v>
      </c>
      <c r="H22" s="17">
        <f>SUMIF('P&amp;L - Monthly'!$2:$2,'P&amp;L - Qtrly'!H$2,'P&amp;L - Monthly'!27:27)</f>
        <v>148231.18</v>
      </c>
      <c r="I22" s="17">
        <f>SUMIF('P&amp;L - Monthly'!$2:$2,'P&amp;L - Qtrly'!I$2,'P&amp;L - Monthly'!27:27)</f>
        <v>149262.72</v>
      </c>
      <c r="J22" s="17">
        <f>SUMIF('P&amp;L - Monthly'!$2:$2,'P&amp;L - Qtrly'!J$2,'P&amp;L - Monthly'!27:27)</f>
        <v>170091.47</v>
      </c>
      <c r="K22" s="17">
        <f>SUMIF('P&amp;L - Monthly'!$2:$2,'P&amp;L - Qtrly'!K$2,'P&amp;L - Monthly'!27:27)</f>
        <v>163347.21</v>
      </c>
      <c r="L22" s="17">
        <f>SUMIF('P&amp;L - Monthly'!$2:$2,'P&amp;L - Qtrly'!L$2,'P&amp;L - Monthly'!27:27)</f>
        <v>297396.6324</v>
      </c>
      <c r="M22" s="17">
        <f>SUMIF('P&amp;L - Monthly'!$2:$2,'P&amp;L - Qtrly'!M$2,'P&amp;L - Monthly'!27:27)</f>
        <v>341337.14790000004</v>
      </c>
      <c r="N22" s="17">
        <f>SUMIF('P&amp;L - Monthly'!$2:$2,'P&amp;L - Qtrly'!N$2,'P&amp;L - Monthly'!27:27)</f>
        <v>392122.07948537829</v>
      </c>
      <c r="O22" s="17">
        <f>SUMIF('P&amp;L - Monthly'!$2:$2,'P&amp;L - Qtrly'!O$2,'P&amp;L - Monthly'!27:27)</f>
        <v>449027.27127806738</v>
      </c>
      <c r="P22" s="17">
        <f>SUMIF('P&amp;L - Monthly'!$2:$2,'P&amp;L - Qtrly'!P$2,'P&amp;L - Monthly'!27:27)</f>
        <v>505930.82427806733</v>
      </c>
      <c r="Q22" s="17">
        <f>SUMIF('P&amp;L - Monthly'!$2:$2,'P&amp;L - Qtrly'!Q$2,'P&amp;L - Monthly'!27:27)</f>
        <v>562834.3772780674</v>
      </c>
      <c r="R22" s="17">
        <f>SUMIF('P&amp;L - Monthly'!$2:$2,'P&amp;L - Qtrly'!R$2,'P&amp;L - Monthly'!27:27)</f>
        <v>619737.93027806724</v>
      </c>
      <c r="S22" s="575">
        <f>SUMIF('P&amp;L - Monthly'!$2:$2,'P&amp;L - Qtrly'!S$2,'P&amp;L - Monthly'!27:27)</f>
        <v>67956</v>
      </c>
      <c r="T22" s="575">
        <f>SUMIF('P&amp;L - Monthly'!$2:$2,'P&amp;L - Qtrly'!T$2,'P&amp;L - Monthly'!27:27)</f>
        <v>0</v>
      </c>
      <c r="U22" s="575">
        <f>SUMIF('P&amp;L - Monthly'!$2:$2,'P&amp;L - Qtrly'!U$2,'P&amp;L - Monthly'!27:27)</f>
        <v>0</v>
      </c>
      <c r="V22" s="575">
        <f>SUMIF('P&amp;L - Monthly'!$2:$2,'P&amp;L - Qtrly'!V$2,'P&amp;L - Monthly'!27:27)</f>
        <v>0</v>
      </c>
      <c r="W22" s="575">
        <f>SUMIF('P&amp;L - Monthly'!$2:$2,'P&amp;L - Qtrly'!W$2,'P&amp;L - Monthly'!27:27)</f>
        <v>0</v>
      </c>
      <c r="X22" s="575">
        <f>SUMIF('P&amp;L - Monthly'!$2:$2,'P&amp;L - Qtrly'!X$2,'P&amp;L - Monthly'!27:27)</f>
        <v>0</v>
      </c>
      <c r="Y22" s="575">
        <f>SUMIF('P&amp;L - Monthly'!$2:$2,'P&amp;L - Qtrly'!Y$2,'P&amp;L - Monthly'!27:27)</f>
        <v>0</v>
      </c>
      <c r="Z22" s="575">
        <f>SUMIF('P&amp;L - Monthly'!$2:$2,'P&amp;L - Qtrly'!Z$2,'P&amp;L - Monthly'!27:27)</f>
        <v>0</v>
      </c>
    </row>
    <row r="23" spans="2:34" x14ac:dyDescent="0.25">
      <c r="B23" s="43" t="s">
        <v>180</v>
      </c>
      <c r="C23" s="17">
        <f>SUMIF('P&amp;L - Monthly'!$2:$2,'P&amp;L - Qtrly'!C$2,'P&amp;L - Monthly'!28:28)</f>
        <v>55277.67</v>
      </c>
      <c r="D23" s="17">
        <f>SUMIF('P&amp;L - Monthly'!$2:$2,'P&amp;L - Qtrly'!D$2,'P&amp;L - Monthly'!28:28)</f>
        <v>71270.53</v>
      </c>
      <c r="E23" s="17">
        <f>SUMIF('P&amp;L - Monthly'!$2:$2,'P&amp;L - Qtrly'!E$2,'P&amp;L - Monthly'!28:28)</f>
        <v>68420.7</v>
      </c>
      <c r="F23" s="17">
        <f>SUMIF('P&amp;L - Monthly'!$2:$2,'P&amp;L - Qtrly'!F$2,'P&amp;L - Monthly'!28:28)</f>
        <v>83684.319999999992</v>
      </c>
      <c r="G23" s="17">
        <f>SUMIF('P&amp;L - Monthly'!$2:$2,'P&amp;L - Qtrly'!G$2,'P&amp;L - Monthly'!28:28)</f>
        <v>84916.06</v>
      </c>
      <c r="H23" s="17">
        <f>SUMIF('P&amp;L - Monthly'!$2:$2,'P&amp;L - Qtrly'!H$2,'P&amp;L - Monthly'!28:28)</f>
        <v>91308.63</v>
      </c>
      <c r="I23" s="17">
        <f>SUMIF('P&amp;L - Monthly'!$2:$2,'P&amp;L - Qtrly'!I$2,'P&amp;L - Monthly'!28:28)</f>
        <v>104812.09</v>
      </c>
      <c r="J23" s="17">
        <f>SUMIF('P&amp;L - Monthly'!$2:$2,'P&amp;L - Qtrly'!J$2,'P&amp;L - Monthly'!28:28)</f>
        <v>117492.81</v>
      </c>
      <c r="K23" s="17">
        <f>SUMIF('P&amp;L - Monthly'!$2:$2,'P&amp;L - Qtrly'!K$2,'P&amp;L - Monthly'!28:28)</f>
        <v>115141.28</v>
      </c>
      <c r="L23" s="17">
        <f>SUMIF('P&amp;L - Monthly'!$2:$2,'P&amp;L - Qtrly'!L$2,'P&amp;L - Monthly'!28:28)</f>
        <v>76050</v>
      </c>
      <c r="M23" s="17">
        <f>SUMIF('P&amp;L - Monthly'!$2:$2,'P&amp;L - Qtrly'!M$2,'P&amp;L - Monthly'!28:28)</f>
        <v>76050</v>
      </c>
      <c r="N23" s="17">
        <f>SUMIF('P&amp;L - Monthly'!$2:$2,'P&amp;L - Qtrly'!N$2,'P&amp;L - Monthly'!28:28)</f>
        <v>76050</v>
      </c>
      <c r="O23" s="17">
        <f>SUMIF('P&amp;L - Monthly'!$2:$2,'P&amp;L - Qtrly'!O$2,'P&amp;L - Monthly'!28:28)</f>
        <v>76050</v>
      </c>
      <c r="P23" s="17">
        <f>SUMIF('P&amp;L - Monthly'!$2:$2,'P&amp;L - Qtrly'!P$2,'P&amp;L - Monthly'!28:28)</f>
        <v>76050</v>
      </c>
      <c r="Q23" s="17">
        <f>SUMIF('P&amp;L - Monthly'!$2:$2,'P&amp;L - Qtrly'!Q$2,'P&amp;L - Monthly'!28:28)</f>
        <v>76050</v>
      </c>
      <c r="R23" s="17">
        <f>SUMIF('P&amp;L - Monthly'!$2:$2,'P&amp;L - Qtrly'!R$2,'P&amp;L - Monthly'!28:28)</f>
        <v>76050</v>
      </c>
      <c r="S23" s="575">
        <f>SUMIF('P&amp;L - Monthly'!$2:$2,'P&amp;L - Qtrly'!S$2,'P&amp;L - Monthly'!28:28)</f>
        <v>76050</v>
      </c>
      <c r="T23" s="575">
        <f>SUMIF('P&amp;L - Monthly'!$2:$2,'P&amp;L - Qtrly'!T$2,'P&amp;L - Monthly'!28:28)</f>
        <v>76050</v>
      </c>
      <c r="U23" s="575">
        <f>SUMIF('P&amp;L - Monthly'!$2:$2,'P&amp;L - Qtrly'!U$2,'P&amp;L - Monthly'!28:28)</f>
        <v>76050</v>
      </c>
      <c r="V23" s="575">
        <f>SUMIF('P&amp;L - Monthly'!$2:$2,'P&amp;L - Qtrly'!V$2,'P&amp;L - Monthly'!28:28)</f>
        <v>76050</v>
      </c>
      <c r="W23" s="575">
        <f>SUMIF('P&amp;L - Monthly'!$2:$2,'P&amp;L - Qtrly'!W$2,'P&amp;L - Monthly'!28:28)</f>
        <v>76050</v>
      </c>
      <c r="X23" s="575">
        <f>SUMIF('P&amp;L - Monthly'!$2:$2,'P&amp;L - Qtrly'!X$2,'P&amp;L - Monthly'!28:28)</f>
        <v>76050</v>
      </c>
      <c r="Y23" s="575">
        <f>SUMIF('P&amp;L - Monthly'!$2:$2,'P&amp;L - Qtrly'!Y$2,'P&amp;L - Monthly'!28:28)</f>
        <v>76050</v>
      </c>
      <c r="Z23" s="575">
        <f>SUMIF('P&amp;L - Monthly'!$2:$2,'P&amp;L - Qtrly'!Z$2,'P&amp;L - Monthly'!28:28)</f>
        <v>76050</v>
      </c>
    </row>
    <row r="24" spans="2:34" x14ac:dyDescent="0.25">
      <c r="B24" s="43" t="s">
        <v>73</v>
      </c>
      <c r="C24" s="17">
        <f>SUMIF('P&amp;L - Monthly'!$2:$2,'P&amp;L - Qtrly'!C$2,'P&amp;L - Monthly'!29:29)</f>
        <v>61039.31</v>
      </c>
      <c r="D24" s="17">
        <f>SUMIF('P&amp;L - Monthly'!$2:$2,'P&amp;L - Qtrly'!D$2,'P&amp;L - Monthly'!29:29)</f>
        <v>81137.17</v>
      </c>
      <c r="E24" s="17">
        <f>SUMIF('P&amp;L - Monthly'!$2:$2,'P&amp;L - Qtrly'!E$2,'P&amp;L - Monthly'!29:29)</f>
        <v>80404.83</v>
      </c>
      <c r="F24" s="17">
        <f>SUMIF('P&amp;L - Monthly'!$2:$2,'P&amp;L - Qtrly'!F$2,'P&amp;L - Monthly'!29:29)</f>
        <v>95305.48000000001</v>
      </c>
      <c r="G24" s="17">
        <f>SUMIF('P&amp;L - Monthly'!$2:$2,'P&amp;L - Qtrly'!G$2,'P&amp;L - Monthly'!29:29)</f>
        <v>72073.34</v>
      </c>
      <c r="H24" s="17">
        <f>SUMIF('P&amp;L - Monthly'!$2:$2,'P&amp;L - Qtrly'!H$2,'P&amp;L - Monthly'!29:29)</f>
        <v>99074.09</v>
      </c>
      <c r="I24" s="17">
        <f>SUMIF('P&amp;L - Monthly'!$2:$2,'P&amp;L - Qtrly'!I$2,'P&amp;L - Monthly'!29:29)</f>
        <v>103628.16</v>
      </c>
      <c r="J24" s="17">
        <f>SUMIF('P&amp;L - Monthly'!$2:$2,'P&amp;L - Qtrly'!J$2,'P&amp;L - Monthly'!29:29)</f>
        <v>114144.27</v>
      </c>
      <c r="K24" s="17">
        <f>SUMIF('P&amp;L - Monthly'!$2:$2,'P&amp;L - Qtrly'!K$2,'P&amp;L - Monthly'!29:29)</f>
        <v>105471.4</v>
      </c>
      <c r="L24" s="17">
        <f>SUMIF('P&amp;L - Monthly'!$2:$2,'P&amp;L - Qtrly'!L$2,'P&amp;L - Monthly'!29:29)</f>
        <v>138801.52817720111</v>
      </c>
      <c r="M24" s="17">
        <f>SUMIF('P&amp;L - Monthly'!$2:$2,'P&amp;L - Qtrly'!M$2,'P&amp;L - Monthly'!29:29)</f>
        <v>159397.53263430984</v>
      </c>
      <c r="N24" s="17">
        <f>SUMIF('P&amp;L - Monthly'!$2:$2,'P&amp;L - Qtrly'!N$2,'P&amp;L - Monthly'!29:29)</f>
        <v>186270.30645740006</v>
      </c>
      <c r="O24" s="17">
        <f>SUMIF('P&amp;L - Monthly'!$2:$2,'P&amp;L - Qtrly'!O$2,'P&amp;L - Monthly'!29:29)</f>
        <v>222998.04744643386</v>
      </c>
      <c r="P24" s="17">
        <f>SUMIF('P&amp;L - Monthly'!$2:$2,'P&amp;L - Qtrly'!P$2,'P&amp;L - Monthly'!29:29)</f>
        <v>255022.56155283429</v>
      </c>
      <c r="Q24" s="17">
        <f>SUMIF('P&amp;L - Monthly'!$2:$2,'P&amp;L - Qtrly'!Q$2,'P&amp;L - Monthly'!29:29)</f>
        <v>285696.82044529048</v>
      </c>
      <c r="R24" s="17">
        <f>SUMIF('P&amp;L - Monthly'!$2:$2,'P&amp;L - Qtrly'!R$2,'P&amp;L - Monthly'!29:29)</f>
        <v>316417.98836619931</v>
      </c>
      <c r="S24" s="575">
        <f>SUMIF('P&amp;L - Monthly'!$2:$2,'P&amp;L - Qtrly'!S$2,'P&amp;L - Monthly'!29:29)</f>
        <v>0</v>
      </c>
      <c r="T24" s="575">
        <f>SUMIF('P&amp;L - Monthly'!$2:$2,'P&amp;L - Qtrly'!T$2,'P&amp;L - Monthly'!29:29)</f>
        <v>0</v>
      </c>
      <c r="U24" s="575">
        <f>SUMIF('P&amp;L - Monthly'!$2:$2,'P&amp;L - Qtrly'!U$2,'P&amp;L - Monthly'!29:29)</f>
        <v>0</v>
      </c>
      <c r="V24" s="575">
        <f>SUMIF('P&amp;L - Monthly'!$2:$2,'P&amp;L - Qtrly'!V$2,'P&amp;L - Monthly'!29:29)</f>
        <v>0</v>
      </c>
      <c r="W24" s="575">
        <f>SUMIF('P&amp;L - Monthly'!$2:$2,'P&amp;L - Qtrly'!W$2,'P&amp;L - Monthly'!29:29)</f>
        <v>0</v>
      </c>
      <c r="X24" s="575">
        <f>SUMIF('P&amp;L - Monthly'!$2:$2,'P&amp;L - Qtrly'!X$2,'P&amp;L - Monthly'!29:29)</f>
        <v>0</v>
      </c>
      <c r="Y24" s="575">
        <f>SUMIF('P&amp;L - Monthly'!$2:$2,'P&amp;L - Qtrly'!Y$2,'P&amp;L - Monthly'!29:29)</f>
        <v>0</v>
      </c>
      <c r="Z24" s="575">
        <f>SUMIF('P&amp;L - Monthly'!$2:$2,'P&amp;L - Qtrly'!Z$2,'P&amp;L - Monthly'!29:29)</f>
        <v>0</v>
      </c>
    </row>
    <row r="25" spans="2:34" x14ac:dyDescent="0.25">
      <c r="B25" s="47" t="s">
        <v>72</v>
      </c>
      <c r="C25" s="7">
        <f t="shared" ref="C25:R25" si="4">SUM(C22:C24)+C21</f>
        <v>633916.82999999996</v>
      </c>
      <c r="D25" s="7">
        <f t="shared" si="4"/>
        <v>759706.59000000008</v>
      </c>
      <c r="E25" s="7">
        <f t="shared" si="4"/>
        <v>534293.86</v>
      </c>
      <c r="F25" s="7">
        <f t="shared" si="4"/>
        <v>776484.22</v>
      </c>
      <c r="G25" s="7">
        <f t="shared" si="4"/>
        <v>492507.08</v>
      </c>
      <c r="H25" s="7">
        <f t="shared" si="4"/>
        <v>610604.66</v>
      </c>
      <c r="I25" s="7">
        <f t="shared" si="4"/>
        <v>645933.07999999996</v>
      </c>
      <c r="J25" s="7">
        <f t="shared" si="4"/>
        <v>740529.45000000007</v>
      </c>
      <c r="K25" s="7">
        <f t="shared" si="4"/>
        <v>664448.28</v>
      </c>
      <c r="L25" s="7">
        <f t="shared" si="4"/>
        <v>853398.83164040768</v>
      </c>
      <c r="M25" s="7">
        <f t="shared" si="4"/>
        <v>947353.13084016903</v>
      </c>
      <c r="N25" s="7">
        <f t="shared" si="4"/>
        <v>1077422.6257899397</v>
      </c>
      <c r="O25" s="7">
        <f t="shared" si="4"/>
        <v>1269482.3078072458</v>
      </c>
      <c r="P25" s="7">
        <f t="shared" si="4"/>
        <v>1428621.2745520486</v>
      </c>
      <c r="Q25" s="7">
        <f t="shared" si="4"/>
        <v>1578308.4547992423</v>
      </c>
      <c r="R25" s="7">
        <f t="shared" si="4"/>
        <v>1728323.9982456041</v>
      </c>
      <c r="S25" s="7">
        <f t="shared" ref="S25:Z25" si="5">SUM(S22:S24)+S21</f>
        <v>144006</v>
      </c>
      <c r="T25" s="7">
        <f t="shared" si="5"/>
        <v>76050</v>
      </c>
      <c r="U25" s="7">
        <f t="shared" si="5"/>
        <v>76050</v>
      </c>
      <c r="V25" s="7">
        <f t="shared" si="5"/>
        <v>76050</v>
      </c>
      <c r="W25" s="7">
        <f t="shared" si="5"/>
        <v>76050</v>
      </c>
      <c r="X25" s="7">
        <f t="shared" si="5"/>
        <v>76050</v>
      </c>
      <c r="Y25" s="7">
        <f t="shared" si="5"/>
        <v>76050</v>
      </c>
      <c r="Z25" s="7">
        <f t="shared" si="5"/>
        <v>76050</v>
      </c>
      <c r="AA25" s="201"/>
      <c r="AB25" s="201"/>
      <c r="AC25" s="201"/>
      <c r="AD25" s="201"/>
      <c r="AE25" s="201"/>
      <c r="AF25" s="201"/>
      <c r="AG25" s="201"/>
      <c r="AH25" s="201"/>
    </row>
    <row r="26" spans="2:34" x14ac:dyDescent="0.25">
      <c r="B26" s="44"/>
      <c r="W26" s="570"/>
      <c r="X26" s="570"/>
      <c r="Y26" s="570"/>
      <c r="Z26" s="570"/>
    </row>
    <row r="27" spans="2:34" x14ac:dyDescent="0.25">
      <c r="B27" s="44"/>
      <c r="W27" s="570"/>
      <c r="X27" s="570"/>
      <c r="Y27" s="570"/>
      <c r="Z27" s="570"/>
    </row>
    <row r="28" spans="2:34" ht="15.75" thickBot="1" x14ac:dyDescent="0.3">
      <c r="B28" s="50" t="s">
        <v>75</v>
      </c>
      <c r="C28" s="52">
        <f t="shared" ref="C28:V28" si="6">C17-C25</f>
        <v>2635541.636401766</v>
      </c>
      <c r="D28" s="52">
        <f t="shared" si="6"/>
        <v>2867481.1450404413</v>
      </c>
      <c r="E28" s="52">
        <f t="shared" si="6"/>
        <v>3048477.9816368567</v>
      </c>
      <c r="F28" s="52">
        <f t="shared" si="6"/>
        <v>3548148.9851690745</v>
      </c>
      <c r="G28" s="52">
        <f t="shared" si="6"/>
        <v>3371772.7399999993</v>
      </c>
      <c r="H28" s="52">
        <f t="shared" si="6"/>
        <v>3608486.71</v>
      </c>
      <c r="I28" s="52">
        <f t="shared" si="6"/>
        <v>3480921.4200000004</v>
      </c>
      <c r="J28" s="52">
        <f t="shared" si="6"/>
        <v>3921467.4099999992</v>
      </c>
      <c r="K28" s="52">
        <f t="shared" si="6"/>
        <v>3933086.26</v>
      </c>
      <c r="L28" s="52">
        <f t="shared" si="6"/>
        <v>4675918.9173767557</v>
      </c>
      <c r="M28" s="52">
        <f t="shared" si="6"/>
        <v>5403843.6111785015</v>
      </c>
      <c r="N28" s="52">
        <f t="shared" si="6"/>
        <v>6345190.949849586</v>
      </c>
      <c r="O28" s="52">
        <f t="shared" si="6"/>
        <v>7615679.1241112594</v>
      </c>
      <c r="P28" s="52">
        <f t="shared" si="6"/>
        <v>8732839.9949799143</v>
      </c>
      <c r="Q28" s="52">
        <f t="shared" si="6"/>
        <v>9805982.5458739866</v>
      </c>
      <c r="R28" s="52">
        <f t="shared" si="6"/>
        <v>10880654.331095612</v>
      </c>
      <c r="S28" s="52">
        <f t="shared" si="6"/>
        <v>-144006</v>
      </c>
      <c r="T28" s="52">
        <f t="shared" si="6"/>
        <v>-76050</v>
      </c>
      <c r="U28" s="52">
        <f t="shared" si="6"/>
        <v>-76050</v>
      </c>
      <c r="V28" s="52">
        <f t="shared" si="6"/>
        <v>-76050</v>
      </c>
      <c r="W28" s="52">
        <f t="shared" ref="W28:Z28" si="7">W17-W25</f>
        <v>-76050</v>
      </c>
      <c r="X28" s="52">
        <f t="shared" si="7"/>
        <v>-76050</v>
      </c>
      <c r="Y28" s="52">
        <f t="shared" si="7"/>
        <v>-76050</v>
      </c>
      <c r="Z28" s="52">
        <f t="shared" si="7"/>
        <v>-76050</v>
      </c>
      <c r="AA28" s="38"/>
      <c r="AB28" s="38"/>
      <c r="AC28" s="38"/>
      <c r="AD28" s="38"/>
      <c r="AE28" s="38"/>
      <c r="AF28" s="38"/>
      <c r="AG28" s="38"/>
      <c r="AH28" s="38"/>
    </row>
    <row r="29" spans="2:34" x14ac:dyDescent="0.25">
      <c r="B29" s="79" t="s">
        <v>145</v>
      </c>
      <c r="C29" s="124">
        <f t="shared" ref="C29:V29" si="8">C28/C17</f>
        <v>0.80610953265980367</v>
      </c>
      <c r="D29" s="124">
        <f t="shared" si="8"/>
        <v>0.79055217278641077</v>
      </c>
      <c r="E29" s="124">
        <f t="shared" si="8"/>
        <v>0.8508713689800862</v>
      </c>
      <c r="F29" s="124">
        <f t="shared" si="8"/>
        <v>0.82045084908660071</v>
      </c>
      <c r="G29" s="124">
        <f t="shared" si="8"/>
        <v>0.87254880522601486</v>
      </c>
      <c r="H29" s="124">
        <f t="shared" si="8"/>
        <v>0.85527579128963016</v>
      </c>
      <c r="I29" s="124">
        <f t="shared" si="8"/>
        <v>0.8434805297836403</v>
      </c>
      <c r="J29" s="124">
        <f t="shared" si="8"/>
        <v>0.84115616714508035</v>
      </c>
      <c r="K29" s="124">
        <f t="shared" si="8"/>
        <v>0.85547726195005369</v>
      </c>
      <c r="L29" s="124">
        <f t="shared" si="8"/>
        <v>0.84565928919673694</v>
      </c>
      <c r="M29" s="124">
        <f t="shared" si="8"/>
        <v>0.85083864201960435</v>
      </c>
      <c r="N29" s="124">
        <f t="shared" si="8"/>
        <v>0.85484592255671754</v>
      </c>
      <c r="O29" s="124">
        <f t="shared" si="8"/>
        <v>0.85712332662332547</v>
      </c>
      <c r="P29" s="124">
        <f t="shared" si="8"/>
        <v>0.85940789059191569</v>
      </c>
      <c r="Q29" s="124">
        <f t="shared" si="8"/>
        <v>0.86136084761836229</v>
      </c>
      <c r="R29" s="124">
        <f t="shared" si="8"/>
        <v>0.86292910074848983</v>
      </c>
      <c r="S29" s="124" t="e">
        <f t="shared" si="8"/>
        <v>#DIV/0!</v>
      </c>
      <c r="T29" s="124" t="e">
        <f t="shared" si="8"/>
        <v>#DIV/0!</v>
      </c>
      <c r="U29" s="124" t="e">
        <f t="shared" si="8"/>
        <v>#DIV/0!</v>
      </c>
      <c r="V29" s="124" t="e">
        <f t="shared" si="8"/>
        <v>#DIV/0!</v>
      </c>
      <c r="W29" s="124" t="e">
        <f t="shared" ref="W29:Z29" si="9">W28/W17</f>
        <v>#DIV/0!</v>
      </c>
      <c r="X29" s="124" t="e">
        <f t="shared" si="9"/>
        <v>#DIV/0!</v>
      </c>
      <c r="Y29" s="124" t="e">
        <f t="shared" si="9"/>
        <v>#DIV/0!</v>
      </c>
      <c r="Z29" s="124" t="e">
        <f t="shared" si="9"/>
        <v>#DIV/0!</v>
      </c>
    </row>
    <row r="30" spans="2:34" x14ac:dyDescent="0.25">
      <c r="W30" s="570"/>
      <c r="X30" s="570"/>
      <c r="Y30" s="570"/>
      <c r="Z30" s="570"/>
    </row>
    <row r="31" spans="2:34" x14ac:dyDescent="0.25">
      <c r="B31" s="29" t="s">
        <v>15</v>
      </c>
      <c r="W31" s="570"/>
      <c r="X31" s="570"/>
      <c r="Y31" s="570"/>
      <c r="Z31" s="570"/>
    </row>
    <row r="32" spans="2:34" x14ac:dyDescent="0.25">
      <c r="B32" s="29" t="s">
        <v>16</v>
      </c>
      <c r="W32" s="570"/>
      <c r="X32" s="570"/>
      <c r="Y32" s="570"/>
      <c r="Z32" s="570"/>
    </row>
    <row r="33" spans="1:71" x14ac:dyDescent="0.25">
      <c r="B33" s="883" t="s">
        <v>223</v>
      </c>
      <c r="C33" s="17">
        <f>SUMIF('P&amp;L - Monthly'!$2:$2,'P&amp;L - Qtrly'!C$2,'P&amp;L - Monthly'!38:38)</f>
        <v>99413.562929999985</v>
      </c>
      <c r="D33" s="17">
        <f>SUMIF('P&amp;L - Monthly'!$2:$2,'P&amp;L - Qtrly'!D$2,'P&amp;L - Monthly'!38:38)</f>
        <v>132648.76605999999</v>
      </c>
      <c r="E33" s="17">
        <f>SUMIF('P&amp;L - Monthly'!$2:$2,'P&amp;L - Qtrly'!E$2,'P&amp;L - Monthly'!38:38)</f>
        <v>162861.72969000001</v>
      </c>
      <c r="F33" s="17">
        <f>SUMIF('P&amp;L - Monthly'!$2:$2,'P&amp;L - Qtrly'!F$2,'P&amp;L - Monthly'!38:38)</f>
        <v>181837.33012999999</v>
      </c>
      <c r="G33" s="17">
        <f>SUMIF('P&amp;L - Monthly'!$2:$2,'P&amp;L - Qtrly'!G$2,'P&amp;L - Monthly'!38:38)</f>
        <v>345145.85</v>
      </c>
      <c r="H33" s="17">
        <f>SUMIF('P&amp;L - Monthly'!$2:$2,'P&amp;L - Qtrly'!H$2,'P&amp;L - Monthly'!38:38)</f>
        <v>344299.07</v>
      </c>
      <c r="I33" s="17">
        <f>SUMIF('P&amp;L - Monthly'!$2:$2,'P&amp;L - Qtrly'!I$2,'P&amp;L - Monthly'!38:38)</f>
        <v>380139.58</v>
      </c>
      <c r="J33" s="17">
        <f>SUMIF('P&amp;L - Monthly'!$2:$2,'P&amp;L - Qtrly'!J$2,'P&amp;L - Monthly'!38:38)</f>
        <v>429935.62</v>
      </c>
      <c r="K33" s="17">
        <f>SUMIF('P&amp;L - Monthly'!$2:$2,'P&amp;L - Qtrly'!K$2,'P&amp;L - Monthly'!38:38)</f>
        <v>408488.86</v>
      </c>
      <c r="L33" s="17">
        <f>SUMIF('P&amp;L - Monthly'!$2:$2,'P&amp;L - Qtrly'!L$2,'P&amp;L - Monthly'!38:38)</f>
        <v>623227.72941106977</v>
      </c>
      <c r="M33" s="17">
        <f>SUMIF('P&amp;L - Monthly'!$2:$2,'P&amp;L - Qtrly'!M$2,'P&amp;L - Monthly'!38:38)</f>
        <v>627931.95042237069</v>
      </c>
      <c r="N33" s="17">
        <f>SUMIF('P&amp;L - Monthly'!$2:$2,'P&amp;L - Qtrly'!N$2,'P&amp;L - Monthly'!38:38)</f>
        <v>639212.82653217937</v>
      </c>
      <c r="O33" s="17">
        <f>SUMIF('P&amp;L - Monthly'!$2:$2,'P&amp;L - Qtrly'!O$2,'P&amp;L - Monthly'!38:38)</f>
        <v>657208.28195186774</v>
      </c>
      <c r="P33" s="17">
        <f>SUMIF('P&amp;L - Monthly'!$2:$2,'P&amp;L - Qtrly'!P$2,'P&amp;L - Monthly'!38:38)</f>
        <v>667303.18703202205</v>
      </c>
      <c r="Q33" s="17">
        <f>SUMIF('P&amp;L - Monthly'!$2:$2,'P&amp;L - Qtrly'!Q$2,'P&amp;L - Monthly'!38:38)</f>
        <v>680006.19845801755</v>
      </c>
      <c r="R33" s="17">
        <f>SUMIF('P&amp;L - Monthly'!$2:$2,'P&amp;L - Qtrly'!R$2,'P&amp;L - Monthly'!38:38)</f>
        <v>697862.03641674866</v>
      </c>
      <c r="S33" s="17">
        <f>SUMIF('P&amp;L - Monthly'!$2:$2,'P&amp;L - Qtrly'!S$2,'P&amp;L - Monthly'!38:38)</f>
        <v>725770.44573670649</v>
      </c>
      <c r="T33" s="17">
        <f>SUMIF('P&amp;L - Monthly'!$2:$2,'P&amp;L - Qtrly'!T$2,'P&amp;L - Monthly'!38:38)</f>
        <v>736230.85016283218</v>
      </c>
      <c r="U33" s="17">
        <f>SUMIF('P&amp;L - Monthly'!$2:$2,'P&amp;L - Qtrly'!U$2,'P&amp;L - Monthly'!38:38)</f>
        <v>750773.71415036183</v>
      </c>
      <c r="V33" s="17">
        <f>SUMIF('P&amp;L - Monthly'!$2:$2,'P&amp;L - Qtrly'!V$2,'P&amp;L - Monthly'!38:38)</f>
        <v>771153.58840734279</v>
      </c>
      <c r="W33" s="575">
        <f>SUMIF('P&amp;L - Monthly'!$2:$2,'P&amp;L - Qtrly'!W$2,'P&amp;L - Monthly'!38:38)</f>
        <v>801549.81444794242</v>
      </c>
      <c r="X33" s="575">
        <f>SUMIF('P&amp;L - Monthly'!$2:$2,'P&amp;L - Qtrly'!X$2,'P&amp;L - Monthly'!38:38)</f>
        <v>814185.66391211364</v>
      </c>
      <c r="Y33" s="575">
        <f>SUMIF('P&amp;L - Monthly'!$2:$2,'P&amp;L - Qtrly'!Y$2,'P&amp;L - Monthly'!38:38)</f>
        <v>831472.84282076405</v>
      </c>
      <c r="Z33" s="575" t="e">
        <f>SUMIF('P&amp;L - Monthly'!$2:$2,'P&amp;L - Qtrly'!Z$2,'P&amp;L - Monthly'!38:38)</f>
        <v>#REF!</v>
      </c>
      <c r="AA33" s="37"/>
      <c r="AB33" s="37"/>
      <c r="AC33" s="37"/>
      <c r="AD33" s="37"/>
      <c r="AE33" s="37"/>
      <c r="AF33" s="37"/>
      <c r="AG33" s="37"/>
      <c r="AH33" s="37"/>
    </row>
    <row r="34" spans="1:71" ht="15.75" thickBot="1" x14ac:dyDescent="0.3">
      <c r="B34" s="993" t="s">
        <v>4</v>
      </c>
      <c r="C34" s="20">
        <f>SUMIF('P&amp;L - Monthly'!$2:$2,'P&amp;L - Qtrly'!C$2,'P&amp;L - Monthly'!39:39)</f>
        <v>481584.05604</v>
      </c>
      <c r="D34" s="20">
        <f>SUMIF('P&amp;L - Monthly'!$2:$2,'P&amp;L - Qtrly'!D$2,'P&amp;L - Monthly'!39:39)</f>
        <v>505262.72282999998</v>
      </c>
      <c r="E34" s="20">
        <f>SUMIF('P&amp;L - Monthly'!$2:$2,'P&amp;L - Qtrly'!E$2,'P&amp;L - Monthly'!39:39)</f>
        <v>489574.46995</v>
      </c>
      <c r="F34" s="20">
        <f>SUMIF('P&amp;L - Monthly'!$2:$2,'P&amp;L - Qtrly'!F$2,'P&amp;L - Monthly'!39:39)</f>
        <v>399079.16579999996</v>
      </c>
      <c r="G34" s="20">
        <f>SUMIF('P&amp;L - Monthly'!$2:$2,'P&amp;L - Qtrly'!G$2,'P&amp;L - Monthly'!39:39)</f>
        <v>806365.06</v>
      </c>
      <c r="H34" s="20">
        <f>SUMIF('P&amp;L - Monthly'!$2:$2,'P&amp;L - Qtrly'!H$2,'P&amp;L - Monthly'!39:39)</f>
        <v>1075524.28</v>
      </c>
      <c r="I34" s="20">
        <f>SUMIF('P&amp;L - Monthly'!$2:$2,'P&amp;L - Qtrly'!I$2,'P&amp;L - Monthly'!39:39)</f>
        <v>1908095.02</v>
      </c>
      <c r="J34" s="20">
        <f>SUMIF('P&amp;L - Monthly'!$2:$2,'P&amp;L - Qtrly'!J$2,'P&amp;L - Monthly'!39:39)</f>
        <v>1274001.23</v>
      </c>
      <c r="K34" s="20">
        <f>SUMIF('P&amp;L - Monthly'!$2:$2,'P&amp;L - Qtrly'!K$2,'P&amp;L - Monthly'!39:39)</f>
        <v>1462213.44</v>
      </c>
      <c r="L34" s="20">
        <f>SUMIF('P&amp;L - Monthly'!$2:$2,'P&amp;L - Qtrly'!L$2,'P&amp;L - Monthly'!39:39)</f>
        <v>2766537.5160351703</v>
      </c>
      <c r="M34" s="20">
        <f>SUMIF('P&amp;L - Monthly'!$2:$2,'P&amp;L - Qtrly'!M$2,'P&amp;L - Monthly'!39:39)</f>
        <v>2442485.5470861709</v>
      </c>
      <c r="N34" s="20">
        <f>SUMIF('P&amp;L - Monthly'!$2:$2,'P&amp;L - Qtrly'!N$2,'P&amp;L - Monthly'!39:39)</f>
        <v>2291359.9141440429</v>
      </c>
      <c r="O34" s="20">
        <f>SUMIF('P&amp;L - Monthly'!$2:$2,'P&amp;L - Qtrly'!O$2,'P&amp;L - Monthly'!39:39)</f>
        <v>7946887.2264851574</v>
      </c>
      <c r="P34" s="20">
        <f>SUMIF('P&amp;L - Monthly'!$2:$2,'P&amp;L - Qtrly'!P$2,'P&amp;L - Monthly'!39:39)</f>
        <v>434740.61778093339</v>
      </c>
      <c r="Q34" s="20">
        <f>SUMIF('P&amp;L - Monthly'!$2:$2,'P&amp;L - Qtrly'!Q$2,'P&amp;L - Monthly'!39:39)</f>
        <v>439657.46853856102</v>
      </c>
      <c r="R34" s="20">
        <f>SUMIF('P&amp;L - Monthly'!$2:$2,'P&amp;L - Qtrly'!R$2,'P&amp;L - Monthly'!39:39)</f>
        <v>444890.69945244654</v>
      </c>
      <c r="S34" s="20">
        <f>SUMIF('P&amp;L - Monthly'!$2:$2,'P&amp;L - Qtrly'!S$2,'P&amp;L - Monthly'!39:39)</f>
        <v>1259577.3376908537</v>
      </c>
      <c r="T34" s="20">
        <f>SUMIF('P&amp;L - Monthly'!$2:$2,'P&amp;L - Qtrly'!T$2,'P&amp;L - Monthly'!39:39)</f>
        <v>1667360.1675796527</v>
      </c>
      <c r="U34" s="20">
        <f>SUMIF('P&amp;L - Monthly'!$2:$2,'P&amp;L - Qtrly'!U$2,'P&amp;L - Monthly'!39:39)</f>
        <v>1673321.5114293839</v>
      </c>
      <c r="V34" s="20">
        <f>SUMIF('P&amp;L - Monthly'!$2:$2,'P&amp;L - Qtrly'!V$2,'P&amp;L - Monthly'!39:39)</f>
        <v>1679578.4261245443</v>
      </c>
      <c r="W34" s="225">
        <f>SUMIF('P&amp;L - Monthly'!$2:$2,'P&amp;L - Qtrly'!W$2,'P&amp;L - Monthly'!39:39)</f>
        <v>495697.95994693239</v>
      </c>
      <c r="X34" s="225">
        <f>SUMIF('P&amp;L - Monthly'!$2:$2,'P&amp;L - Qtrly'!X$2,'P&amp;L - Monthly'!39:39)</f>
        <v>504898.89374750142</v>
      </c>
      <c r="Y34" s="225">
        <f>SUMIF('P&amp;L - Monthly'!$2:$2,'P&amp;L - Qtrly'!Y$2,'P&amp;L - Monthly'!39:39)</f>
        <v>512311.16412581818</v>
      </c>
      <c r="Z34" s="225">
        <f>SUMIF('P&amp;L - Monthly'!$2:$2,'P&amp;L - Qtrly'!Z$2,'P&amp;L - Monthly'!39:39)</f>
        <v>520162.58041740203</v>
      </c>
      <c r="AA34" s="37"/>
      <c r="AB34" s="37"/>
      <c r="AC34" s="37"/>
      <c r="AD34" s="37"/>
      <c r="AE34" s="37"/>
      <c r="AF34" s="37"/>
      <c r="AG34" s="37"/>
      <c r="AH34" s="37"/>
    </row>
    <row r="35" spans="1:71" ht="15.75" thickTop="1" x14ac:dyDescent="0.25">
      <c r="A35" s="29"/>
      <c r="B35" s="29" t="s">
        <v>16</v>
      </c>
      <c r="C35" s="8">
        <f t="shared" ref="C35:V35" si="10">SUM(C33:C34)</f>
        <v>580997.61896999995</v>
      </c>
      <c r="D35" s="8">
        <f t="shared" si="10"/>
        <v>637911.48888999992</v>
      </c>
      <c r="E35" s="8">
        <f t="shared" si="10"/>
        <v>652436.19964000001</v>
      </c>
      <c r="F35" s="8">
        <f t="shared" si="10"/>
        <v>580916.49592999998</v>
      </c>
      <c r="G35" s="8">
        <f t="shared" si="10"/>
        <v>1151510.9100000001</v>
      </c>
      <c r="H35" s="8">
        <f t="shared" si="10"/>
        <v>1419823.35</v>
      </c>
      <c r="I35" s="8">
        <f t="shared" si="10"/>
        <v>2288234.6</v>
      </c>
      <c r="J35" s="8">
        <f t="shared" si="10"/>
        <v>1703936.85</v>
      </c>
      <c r="K35" s="8">
        <f t="shared" si="10"/>
        <v>1870702.2999999998</v>
      </c>
      <c r="L35" s="8">
        <f t="shared" si="10"/>
        <v>3389765.2454462401</v>
      </c>
      <c r="M35" s="8">
        <f t="shared" si="10"/>
        <v>3070417.4975085417</v>
      </c>
      <c r="N35" s="8">
        <f t="shared" si="10"/>
        <v>2930572.7406762224</v>
      </c>
      <c r="O35" s="8">
        <f t="shared" si="10"/>
        <v>8604095.5084370244</v>
      </c>
      <c r="P35" s="8">
        <f t="shared" si="10"/>
        <v>1102043.8048129554</v>
      </c>
      <c r="Q35" s="8">
        <f t="shared" si="10"/>
        <v>1119663.6669965787</v>
      </c>
      <c r="R35" s="8">
        <f t="shared" si="10"/>
        <v>1142752.7358691953</v>
      </c>
      <c r="S35" s="8">
        <f t="shared" si="10"/>
        <v>1985347.7834275602</v>
      </c>
      <c r="T35" s="8">
        <f t="shared" si="10"/>
        <v>2403591.0177424848</v>
      </c>
      <c r="U35" s="8">
        <f t="shared" si="10"/>
        <v>2424095.2255797456</v>
      </c>
      <c r="V35" s="8">
        <f t="shared" si="10"/>
        <v>2450732.0145318871</v>
      </c>
      <c r="W35" s="165">
        <f t="shared" ref="W35:Z35" si="11">SUM(W33:W34)</f>
        <v>1297247.7743948749</v>
      </c>
      <c r="X35" s="165">
        <f t="shared" si="11"/>
        <v>1319084.5576596151</v>
      </c>
      <c r="Y35" s="165">
        <f t="shared" si="11"/>
        <v>1343784.0069465823</v>
      </c>
      <c r="Z35" s="165" t="e">
        <f t="shared" si="11"/>
        <v>#REF!</v>
      </c>
      <c r="AA35" s="201"/>
      <c r="AB35" s="201"/>
      <c r="AC35" s="201"/>
      <c r="AD35" s="201"/>
      <c r="AE35" s="201"/>
      <c r="AF35" s="201"/>
      <c r="AG35" s="201"/>
      <c r="AH35" s="201"/>
      <c r="AI35" s="33"/>
      <c r="AJ35" s="33"/>
      <c r="AK35" s="33"/>
      <c r="AL35" s="33"/>
      <c r="AM35" s="33"/>
      <c r="AN35" s="33"/>
      <c r="AO35" s="33"/>
      <c r="AP35" s="33"/>
      <c r="AQ35" s="33"/>
      <c r="AR35" s="33"/>
      <c r="AS35" s="33"/>
      <c r="AT35" s="33"/>
      <c r="AU35" s="33"/>
      <c r="AV35" s="33"/>
      <c r="AW35" s="29"/>
      <c r="AX35" s="29"/>
      <c r="AY35" s="29"/>
      <c r="AZ35" s="29"/>
      <c r="BA35" s="29"/>
      <c r="BB35" s="29"/>
      <c r="BC35" s="29"/>
      <c r="BD35" s="29"/>
      <c r="BE35" s="29"/>
      <c r="BF35" s="29"/>
      <c r="BG35" s="29"/>
      <c r="BH35" s="29"/>
      <c r="BI35" s="29"/>
      <c r="BJ35" s="29"/>
      <c r="BK35" s="29"/>
      <c r="BL35" s="29"/>
      <c r="BM35" s="29"/>
      <c r="BN35" s="29"/>
      <c r="BO35" s="29"/>
      <c r="BP35" s="29"/>
      <c r="BQ35" s="29"/>
      <c r="BR35" s="29"/>
      <c r="BS35" s="29"/>
    </row>
    <row r="36" spans="1:71" x14ac:dyDescent="0.25">
      <c r="C36" s="17"/>
      <c r="D36" s="17"/>
      <c r="E36" s="17"/>
      <c r="F36" s="17"/>
      <c r="G36" s="17"/>
      <c r="H36" s="17"/>
      <c r="I36" s="17"/>
      <c r="J36" s="17"/>
      <c r="K36" s="17"/>
      <c r="L36" s="17"/>
      <c r="M36" s="17"/>
      <c r="N36" s="17"/>
      <c r="O36" s="17"/>
      <c r="P36" s="17"/>
      <c r="Q36" s="17"/>
      <c r="R36" s="17"/>
      <c r="S36" s="17"/>
      <c r="T36" s="17"/>
      <c r="U36" s="17"/>
      <c r="V36" s="17"/>
      <c r="W36" s="575"/>
      <c r="X36" s="575"/>
      <c r="Y36" s="575"/>
      <c r="Z36" s="575"/>
      <c r="AA36" s="37"/>
      <c r="AB36" s="37"/>
      <c r="AC36" s="37"/>
      <c r="AD36" s="37"/>
      <c r="AE36" s="37"/>
      <c r="AF36" s="37"/>
      <c r="AG36" s="37"/>
      <c r="AH36" s="37"/>
    </row>
    <row r="37" spans="1:71" x14ac:dyDescent="0.25">
      <c r="B37" s="29" t="s">
        <v>17</v>
      </c>
      <c r="C37" s="17"/>
      <c r="D37" s="17"/>
      <c r="E37" s="17"/>
      <c r="F37" s="17"/>
      <c r="G37" s="17"/>
      <c r="H37" s="17"/>
      <c r="I37" s="17"/>
      <c r="J37" s="17"/>
      <c r="K37" s="17"/>
      <c r="L37" s="17"/>
      <c r="M37" s="17"/>
      <c r="N37" s="17"/>
      <c r="O37" s="17"/>
      <c r="P37" s="17"/>
      <c r="Q37" s="17"/>
      <c r="R37" s="17"/>
      <c r="S37" s="17"/>
      <c r="T37" s="17"/>
      <c r="U37" s="17"/>
      <c r="V37" s="17"/>
      <c r="W37" s="575"/>
      <c r="X37" s="575"/>
      <c r="Y37" s="575"/>
      <c r="Z37" s="575"/>
      <c r="AA37" s="37"/>
      <c r="AB37" s="37"/>
      <c r="AC37" s="37"/>
      <c r="AD37" s="37"/>
      <c r="AE37" s="37"/>
      <c r="AF37" s="37"/>
      <c r="AG37" s="37"/>
      <c r="AH37" s="37"/>
    </row>
    <row r="38" spans="1:71" s="150" customFormat="1" x14ac:dyDescent="0.25">
      <c r="B38" s="994" t="s">
        <v>340</v>
      </c>
      <c r="C38" s="17">
        <f>SUMIF('P&amp;L - Monthly'!$2:$2,'P&amp;L - Qtrly'!C$2,'P&amp;L - Monthly'!43:43)</f>
        <v>82265.142049999995</v>
      </c>
      <c r="D38" s="17">
        <f>SUMIF('P&amp;L - Monthly'!$2:$2,'P&amp;L - Qtrly'!D$2,'P&amp;L - Monthly'!43:43)</f>
        <v>106357.45835999999</v>
      </c>
      <c r="E38" s="17">
        <f>SUMIF('P&amp;L - Monthly'!$2:$2,'P&amp;L - Qtrly'!E$2,'P&amp;L - Monthly'!43:43)</f>
        <v>101881.99530000001</v>
      </c>
      <c r="F38" s="17">
        <f>SUMIF('P&amp;L - Monthly'!$2:$2,'P&amp;L - Qtrly'!F$2,'P&amp;L - Monthly'!43:43)</f>
        <v>167630.34315000003</v>
      </c>
      <c r="G38" s="17">
        <f>SUMIF('P&amp;L - Monthly'!$2:$2,'P&amp;L - Qtrly'!G$2,'P&amp;L - Monthly'!43:43)</f>
        <v>177153.28</v>
      </c>
      <c r="H38" s="17">
        <f>SUMIF('P&amp;L - Monthly'!$2:$2,'P&amp;L - Qtrly'!H$2,'P&amp;L - Monthly'!43:43)</f>
        <v>244933.53</v>
      </c>
      <c r="I38" s="17">
        <f>SUMIF('P&amp;L - Monthly'!$2:$2,'P&amp;L - Qtrly'!I$2,'P&amp;L - Monthly'!43:43)</f>
        <v>318077.61</v>
      </c>
      <c r="J38" s="17">
        <f>SUMIF('P&amp;L - Monthly'!$2:$2,'P&amp;L - Qtrly'!J$2,'P&amp;L - Monthly'!43:43)</f>
        <v>350974.71999999997</v>
      </c>
      <c r="K38" s="17">
        <f>SUMIF('P&amp;L - Monthly'!$2:$2,'P&amp;L - Qtrly'!K$2,'P&amp;L - Monthly'!43:43)</f>
        <v>454433.85</v>
      </c>
      <c r="L38" s="17">
        <f>SUMIF('P&amp;L - Monthly'!$2:$2,'P&amp;L - Qtrly'!L$2,'P&amp;L - Monthly'!43:43)</f>
        <v>744588.96482137556</v>
      </c>
      <c r="M38" s="17">
        <f>SUMIF('P&amp;L - Monthly'!$2:$2,'P&amp;L - Qtrly'!M$2,'P&amp;L - Monthly'!43:43)</f>
        <v>757065.26485049212</v>
      </c>
      <c r="N38" s="17">
        <f>SUMIF('P&amp;L - Monthly'!$2:$2,'P&amp;L - Qtrly'!N$2,'P&amp;L - Monthly'!43:43)</f>
        <v>759668.2183650824</v>
      </c>
      <c r="O38" s="17">
        <f>SUMIF('P&amp;L - Monthly'!$2:$2,'P&amp;L - Qtrly'!O$2,'P&amp;L - Monthly'!43:43)</f>
        <v>673467.00036235293</v>
      </c>
      <c r="P38" s="17">
        <f>SUMIF('P&amp;L - Monthly'!$2:$2,'P&amp;L - Qtrly'!P$2,'P&amp;L - Monthly'!43:43)</f>
        <v>647948.37049441738</v>
      </c>
      <c r="Q38" s="17">
        <f>SUMIF('P&amp;L - Monthly'!$2:$2,'P&amp;L - Qtrly'!Q$2,'P&amp;L - Monthly'!43:43)</f>
        <v>656170.44301571138</v>
      </c>
      <c r="R38" s="17">
        <f>SUMIF('P&amp;L - Monthly'!$2:$2,'P&amp;L - Qtrly'!R$2,'P&amp;L - Monthly'!43:43)</f>
        <v>664326.30004979495</v>
      </c>
      <c r="S38" s="17">
        <f>SUMIF('P&amp;L - Monthly'!$2:$2,'P&amp;L - Qtrly'!S$2,'P&amp;L - Monthly'!43:43)</f>
        <v>664721.81383551355</v>
      </c>
      <c r="T38" s="17">
        <f>SUMIF('P&amp;L - Monthly'!$2:$2,'P&amp;L - Qtrly'!T$2,'P&amp;L - Monthly'!43:43)</f>
        <v>677606.59354286047</v>
      </c>
      <c r="U38" s="17">
        <f>SUMIF('P&amp;L - Monthly'!$2:$2,'P&amp;L - Qtrly'!U$2,'P&amp;L - Monthly'!43:43)</f>
        <v>686596.43971584109</v>
      </c>
      <c r="V38" s="17">
        <f>SUMIF('P&amp;L - Monthly'!$2:$2,'P&amp;L - Qtrly'!V$2,'P&amp;L - Monthly'!43:43)</f>
        <v>695810.84197063837</v>
      </c>
      <c r="W38" s="575">
        <f>SUMIF('P&amp;L - Monthly'!$2:$2,'P&amp;L - Qtrly'!W$2,'P&amp;L - Monthly'!43:43)</f>
        <v>718241.38317872141</v>
      </c>
      <c r="X38" s="575">
        <f>SUMIF('P&amp;L - Monthly'!$2:$2,'P&amp;L - Qtrly'!X$2,'P&amp;L - Monthly'!43:43)</f>
        <v>732567.64442586363</v>
      </c>
      <c r="Y38" s="575">
        <f>SUMIF('P&amp;L - Monthly'!$2:$2,'P&amp;L - Qtrly'!Y$2,'P&amp;L - Monthly'!43:43)</f>
        <v>742916.73288416164</v>
      </c>
      <c r="Z38" s="575">
        <f>SUMIF('P&amp;L - Monthly'!$2:$2,'P&amp;L - Qtrly'!Z$2,'P&amp;L - Monthly'!43:43)</f>
        <v>753659.45782421436</v>
      </c>
      <c r="AA38" s="37"/>
      <c r="AB38" s="37"/>
      <c r="AC38" s="37"/>
      <c r="AD38" s="37"/>
      <c r="AE38" s="37"/>
      <c r="AF38" s="37"/>
      <c r="AG38" s="37"/>
      <c r="AH38" s="37"/>
      <c r="AI38" s="168"/>
      <c r="AJ38" s="168"/>
      <c r="AK38" s="168"/>
      <c r="AL38" s="168"/>
      <c r="AM38" s="168"/>
      <c r="AN38" s="168"/>
      <c r="AO38" s="168"/>
      <c r="AP38" s="168"/>
      <c r="AQ38" s="168"/>
      <c r="AR38" s="168"/>
      <c r="AS38" s="168"/>
      <c r="AT38" s="168"/>
      <c r="AU38" s="168"/>
      <c r="AV38" s="168"/>
    </row>
    <row r="39" spans="1:71" x14ac:dyDescent="0.25">
      <c r="B39" s="883" t="s">
        <v>66</v>
      </c>
      <c r="C39" s="17">
        <f>SUMIF('P&amp;L - Monthly'!$2:$2,'P&amp;L - Qtrly'!C$2,'P&amp;L - Monthly'!44:44)</f>
        <v>192401.23859999998</v>
      </c>
      <c r="D39" s="17">
        <f>SUMIF('P&amp;L - Monthly'!$2:$2,'P&amp;L - Qtrly'!D$2,'P&amp;L - Monthly'!44:44)</f>
        <v>273057.81453999999</v>
      </c>
      <c r="E39" s="17">
        <f>SUMIF('P&amp;L - Monthly'!$2:$2,'P&amp;L - Qtrly'!E$2,'P&amp;L - Monthly'!44:44)</f>
        <v>382621.66379000002</v>
      </c>
      <c r="F39" s="17">
        <f>SUMIF('P&amp;L - Monthly'!$2:$2,'P&amp;L - Qtrly'!F$2,'P&amp;L - Monthly'!44:44)</f>
        <v>523721.45205000002</v>
      </c>
      <c r="G39" s="17">
        <f>SUMIF('P&amp;L - Monthly'!$2:$2,'P&amp;L - Qtrly'!G$2,'P&amp;L - Monthly'!44:44)</f>
        <v>796239.75</v>
      </c>
      <c r="H39" s="17">
        <f>SUMIF('P&amp;L - Monthly'!$2:$2,'P&amp;L - Qtrly'!H$2,'P&amp;L - Monthly'!44:44)</f>
        <v>775587.97</v>
      </c>
      <c r="I39" s="17">
        <f>SUMIF('P&amp;L - Monthly'!$2:$2,'P&amp;L - Qtrly'!I$2,'P&amp;L - Monthly'!44:44)</f>
        <v>863448.15999999992</v>
      </c>
      <c r="J39" s="17">
        <f>SUMIF('P&amp;L - Monthly'!$2:$2,'P&amp;L - Qtrly'!J$2,'P&amp;L - Monthly'!44:44)</f>
        <v>802075.62</v>
      </c>
      <c r="K39" s="17">
        <f>SUMIF('P&amp;L - Monthly'!$2:$2,'P&amp;L - Qtrly'!K$2,'P&amp;L - Monthly'!44:44)</f>
        <v>938143.60000000009</v>
      </c>
      <c r="L39" s="17">
        <f>SUMIF('P&amp;L - Monthly'!$2:$2,'P&amp;L - Qtrly'!L$2,'P&amp;L - Monthly'!44:44)</f>
        <v>987827.82300732692</v>
      </c>
      <c r="M39" s="17">
        <f>SUMIF('P&amp;L - Monthly'!$2:$2,'P&amp;L - Qtrly'!M$2,'P&amp;L - Monthly'!44:44)</f>
        <v>1026227.6804371868</v>
      </c>
      <c r="N39" s="17">
        <f>SUMIF('P&amp;L - Monthly'!$2:$2,'P&amp;L - Qtrly'!N$2,'P&amp;L - Monthly'!44:44)</f>
        <v>1072327.015538764</v>
      </c>
      <c r="O39" s="17">
        <f>SUMIF('P&amp;L - Monthly'!$2:$2,'P&amp;L - Qtrly'!O$2,'P&amp;L - Monthly'!44:44)</f>
        <v>1100457.025533377</v>
      </c>
      <c r="P39" s="17">
        <f>SUMIF('P&amp;L - Monthly'!$2:$2,'P&amp;L - Qtrly'!P$2,'P&amp;L - Monthly'!44:44)</f>
        <v>1118575.5234037107</v>
      </c>
      <c r="Q39" s="17">
        <f>SUMIF('P&amp;L - Monthly'!$2:$2,'P&amp;L - Qtrly'!Q$2,'P&amp;L - Monthly'!44:44)</f>
        <v>1132654.3304609947</v>
      </c>
      <c r="R39" s="17">
        <f>SUMIF('P&amp;L - Monthly'!$2:$2,'P&amp;L - Qtrly'!R$2,'P&amp;L - Monthly'!44:44)</f>
        <v>1147713.9169693263</v>
      </c>
      <c r="S39" s="17">
        <f>SUMIF('P&amp;L - Monthly'!$2:$2,'P&amp;L - Qtrly'!S$2,'P&amp;L - Monthly'!44:44)</f>
        <v>1184865.4887652935</v>
      </c>
      <c r="T39" s="17">
        <f>SUMIF('P&amp;L - Monthly'!$2:$2,'P&amp;L - Qtrly'!T$2,'P&amp;L - Monthly'!44:44)</f>
        <v>1208655.6350027062</v>
      </c>
      <c r="U39" s="17">
        <f>SUMIF('P&amp;L - Monthly'!$2:$2,'P&amp;L - Qtrly'!U$2,'P&amp;L - Monthly'!44:44)</f>
        <v>1226341.4131705812</v>
      </c>
      <c r="V39" s="17">
        <f>SUMIF('P&amp;L - Monthly'!$2:$2,'P&amp;L - Qtrly'!V$2,'P&amp;L - Monthly'!44:44)</f>
        <v>1245125.9024437245</v>
      </c>
      <c r="W39" s="575">
        <f>SUMIF('P&amp;L - Monthly'!$2:$2,'P&amp;L - Qtrly'!W$2,'P&amp;L - Monthly'!44:44)</f>
        <v>1287225.6052683061</v>
      </c>
      <c r="X39" s="575">
        <f>SUMIF('P&amp;L - Monthly'!$2:$2,'P&amp;L - Qtrly'!X$2,'P&amp;L - Monthly'!44:44)</f>
        <v>1316395.8959749355</v>
      </c>
      <c r="Y39" s="575">
        <f>SUMIF('P&amp;L - Monthly'!$2:$2,'P&amp;L - Qtrly'!Y$2,'P&amp;L - Monthly'!44:44)</f>
        <v>1339673.0506903348</v>
      </c>
      <c r="Z39" s="575">
        <f>SUMIF('P&amp;L - Monthly'!$2:$2,'P&amp;L - Qtrly'!Z$2,'P&amp;L - Monthly'!44:44)</f>
        <v>1364752.4014109483</v>
      </c>
      <c r="AA39" s="37"/>
      <c r="AB39" s="37"/>
      <c r="AC39" s="37"/>
      <c r="AD39" s="37"/>
      <c r="AE39" s="37"/>
      <c r="AF39" s="37"/>
      <c r="AG39" s="37"/>
      <c r="AH39" s="37"/>
    </row>
    <row r="40" spans="1:71" x14ac:dyDescent="0.25">
      <c r="A40" s="29"/>
      <c r="B40" s="29" t="s">
        <v>17</v>
      </c>
      <c r="C40" s="8">
        <f t="shared" ref="C40:V40" si="12">SUM(C38:C39)</f>
        <v>274666.38064999995</v>
      </c>
      <c r="D40" s="8">
        <f t="shared" si="12"/>
        <v>379415.27289999998</v>
      </c>
      <c r="E40" s="8">
        <f t="shared" si="12"/>
        <v>484503.65909000003</v>
      </c>
      <c r="F40" s="8">
        <f t="shared" si="12"/>
        <v>691351.79520000005</v>
      </c>
      <c r="G40" s="8">
        <f t="shared" si="12"/>
        <v>973393.03</v>
      </c>
      <c r="H40" s="8">
        <f t="shared" si="12"/>
        <v>1020521.5</v>
      </c>
      <c r="I40" s="8">
        <f t="shared" si="12"/>
        <v>1181525.77</v>
      </c>
      <c r="J40" s="8">
        <f t="shared" si="12"/>
        <v>1153050.3399999999</v>
      </c>
      <c r="K40" s="8">
        <f t="shared" si="12"/>
        <v>1392577.4500000002</v>
      </c>
      <c r="L40" s="8">
        <f t="shared" si="12"/>
        <v>1732416.7878287025</v>
      </c>
      <c r="M40" s="8">
        <f t="shared" si="12"/>
        <v>1783292.9452876789</v>
      </c>
      <c r="N40" s="8">
        <f t="shared" si="12"/>
        <v>1831995.2339038462</v>
      </c>
      <c r="O40" s="8">
        <f t="shared" si="12"/>
        <v>1773924.0258957299</v>
      </c>
      <c r="P40" s="8">
        <f t="shared" si="12"/>
        <v>1766523.8938981281</v>
      </c>
      <c r="Q40" s="8">
        <f t="shared" si="12"/>
        <v>1788824.7734767061</v>
      </c>
      <c r="R40" s="8">
        <f t="shared" si="12"/>
        <v>1812040.2170191212</v>
      </c>
      <c r="S40" s="8">
        <f t="shared" si="12"/>
        <v>1849587.302600807</v>
      </c>
      <c r="T40" s="8">
        <f t="shared" si="12"/>
        <v>1886262.2285455666</v>
      </c>
      <c r="U40" s="8">
        <f t="shared" si="12"/>
        <v>1912937.8528864223</v>
      </c>
      <c r="V40" s="8">
        <f t="shared" si="12"/>
        <v>1940936.7444143628</v>
      </c>
      <c r="W40" s="165">
        <f t="shared" ref="W40:Z40" si="13">SUM(W38:W39)</f>
        <v>2005466.9884470275</v>
      </c>
      <c r="X40" s="165">
        <f t="shared" si="13"/>
        <v>2048963.5404007991</v>
      </c>
      <c r="Y40" s="165">
        <f t="shared" si="13"/>
        <v>2082589.7835744964</v>
      </c>
      <c r="Z40" s="165">
        <f t="shared" si="13"/>
        <v>2118411.8592351628</v>
      </c>
      <c r="AA40" s="201"/>
      <c r="AB40" s="201"/>
      <c r="AC40" s="201"/>
      <c r="AD40" s="201"/>
      <c r="AE40" s="201"/>
      <c r="AF40" s="201"/>
      <c r="AG40" s="201"/>
      <c r="AH40" s="201"/>
      <c r="AI40" s="33"/>
      <c r="AJ40" s="33"/>
      <c r="AK40" s="33"/>
      <c r="AL40" s="33"/>
      <c r="AM40" s="33"/>
      <c r="AN40" s="33"/>
      <c r="AO40" s="33"/>
      <c r="AP40" s="33"/>
      <c r="AQ40" s="33"/>
      <c r="AR40" s="33"/>
      <c r="AS40" s="33"/>
      <c r="AT40" s="33"/>
      <c r="AU40" s="33"/>
      <c r="AV40" s="33"/>
      <c r="AW40" s="29"/>
      <c r="AX40" s="29"/>
      <c r="AY40" s="29"/>
      <c r="AZ40" s="29"/>
      <c r="BA40" s="29"/>
      <c r="BB40" s="29"/>
      <c r="BC40" s="29"/>
      <c r="BD40" s="29"/>
      <c r="BE40" s="29"/>
      <c r="BF40" s="29"/>
      <c r="BG40" s="29"/>
      <c r="BH40" s="29"/>
      <c r="BI40" s="29"/>
      <c r="BJ40" s="29"/>
      <c r="BK40" s="29"/>
      <c r="BL40" s="29"/>
      <c r="BM40" s="29"/>
      <c r="BN40" s="29"/>
      <c r="BO40" s="29"/>
      <c r="BP40" s="29"/>
      <c r="BQ40" s="29"/>
      <c r="BR40" s="29"/>
      <c r="BS40" s="29"/>
    </row>
    <row r="41" spans="1:71" x14ac:dyDescent="0.25">
      <c r="C41" s="17"/>
      <c r="D41" s="17"/>
      <c r="E41" s="17"/>
      <c r="F41" s="17"/>
      <c r="G41" s="17"/>
      <c r="H41" s="17"/>
      <c r="I41" s="17"/>
      <c r="J41" s="17"/>
      <c r="K41" s="17"/>
      <c r="L41" s="17"/>
      <c r="M41" s="17"/>
      <c r="N41" s="17"/>
      <c r="O41" s="17"/>
      <c r="P41" s="17"/>
      <c r="Q41" s="17"/>
      <c r="R41" s="17"/>
      <c r="S41" s="17"/>
      <c r="T41" s="17"/>
      <c r="U41" s="17"/>
      <c r="V41" s="17"/>
      <c r="W41" s="575"/>
      <c r="X41" s="575"/>
      <c r="Y41" s="575"/>
      <c r="Z41" s="575"/>
      <c r="AA41" s="37"/>
      <c r="AB41" s="37"/>
      <c r="AC41" s="37"/>
      <c r="AD41" s="37"/>
      <c r="AE41" s="37"/>
      <c r="AF41" s="37"/>
      <c r="AG41" s="37"/>
      <c r="AH41" s="37"/>
    </row>
    <row r="42" spans="1:71" x14ac:dyDescent="0.25">
      <c r="B42" s="29" t="s">
        <v>18</v>
      </c>
      <c r="C42" s="17"/>
      <c r="D42" s="17"/>
      <c r="E42" s="17"/>
      <c r="F42" s="17"/>
      <c r="G42" s="17"/>
      <c r="H42" s="17"/>
      <c r="I42" s="17"/>
      <c r="J42" s="17"/>
      <c r="K42" s="17"/>
      <c r="L42" s="17"/>
      <c r="M42" s="17"/>
      <c r="N42" s="17"/>
      <c r="O42" s="17"/>
      <c r="P42" s="17"/>
      <c r="Q42" s="17"/>
      <c r="R42" s="17"/>
      <c r="S42" s="17"/>
      <c r="T42" s="17"/>
      <c r="U42" s="17"/>
      <c r="V42" s="17"/>
      <c r="W42" s="575"/>
      <c r="X42" s="575"/>
      <c r="Y42" s="575"/>
      <c r="Z42" s="575"/>
      <c r="AA42" s="37"/>
      <c r="AB42" s="37"/>
      <c r="AC42" s="37"/>
      <c r="AD42" s="37"/>
      <c r="AE42" s="37"/>
      <c r="AF42" s="37"/>
      <c r="AG42" s="37"/>
      <c r="AH42" s="37"/>
    </row>
    <row r="43" spans="1:71" x14ac:dyDescent="0.25">
      <c r="B43" s="883" t="s">
        <v>3</v>
      </c>
      <c r="C43" s="17">
        <f>SUMIF('P&amp;L - Monthly'!$2:$2,'P&amp;L - Qtrly'!C$2,'P&amp;L - Monthly'!48:48)</f>
        <v>28220.221270000002</v>
      </c>
      <c r="D43" s="17">
        <f>SUMIF('P&amp;L - Monthly'!$2:$2,'P&amp;L - Qtrly'!D$2,'P&amp;L - Monthly'!48:48)</f>
        <v>27048.352870000002</v>
      </c>
      <c r="E43" s="17">
        <f>SUMIF('P&amp;L - Monthly'!$2:$2,'P&amp;L - Qtrly'!E$2,'P&amp;L - Monthly'!48:48)</f>
        <v>32238.555119999997</v>
      </c>
      <c r="F43" s="17">
        <f>SUMIF('P&amp;L - Monthly'!$2:$2,'P&amp;L - Qtrly'!F$2,'P&amp;L - Monthly'!48:48)</f>
        <v>40031.428549999997</v>
      </c>
      <c r="G43" s="17">
        <f>SUMIF('P&amp;L - Monthly'!$2:$2,'P&amp;L - Qtrly'!G$2,'P&amp;L - Monthly'!48:48)</f>
        <v>82276.5</v>
      </c>
      <c r="H43" s="17">
        <f>SUMIF('P&amp;L - Monthly'!$2:$2,'P&amp;L - Qtrly'!H$2,'P&amp;L - Monthly'!48:48)</f>
        <v>67843.72</v>
      </c>
      <c r="I43" s="17">
        <f>SUMIF('P&amp;L - Monthly'!$2:$2,'P&amp;L - Qtrly'!I$2,'P&amp;L - Monthly'!48:48)</f>
        <v>147115.94</v>
      </c>
      <c r="J43" s="17">
        <f>SUMIF('P&amp;L - Monthly'!$2:$2,'P&amp;L - Qtrly'!J$2,'P&amp;L - Monthly'!48:48)</f>
        <v>159108.69</v>
      </c>
      <c r="K43" s="17">
        <f>SUMIF('P&amp;L - Monthly'!$2:$2,'P&amp;L - Qtrly'!K$2,'P&amp;L - Monthly'!48:48)</f>
        <v>78730.179999999993</v>
      </c>
      <c r="L43" s="17">
        <f ca="1">SUMIF('P&amp;L - Monthly'!$2:$2,'P&amp;L - Qtrly'!L$2,'P&amp;L - Monthly'!48:48)</f>
        <v>271529.86057841504</v>
      </c>
      <c r="M43" s="17">
        <f ca="1">SUMIF('P&amp;L - Monthly'!$2:$2,'P&amp;L - Qtrly'!M$2,'P&amp;L - Monthly'!48:48)</f>
        <v>290972.18700414745</v>
      </c>
      <c r="N43" s="17">
        <f ca="1">SUMIF('P&amp;L - Monthly'!$2:$2,'P&amp;L - Qtrly'!N$2,'P&amp;L - Monthly'!48:48)</f>
        <v>293613.35565219598</v>
      </c>
      <c r="O43" s="17">
        <f ca="1">SUMIF('P&amp;L - Monthly'!$2:$2,'P&amp;L - Qtrly'!O$2,'P&amp;L - Monthly'!48:48)</f>
        <v>297833.97958952643</v>
      </c>
      <c r="P43" s="17">
        <f ca="1">SUMIF('P&amp;L - Monthly'!$2:$2,'P&amp;L - Qtrly'!P$2,'P&amp;L - Monthly'!48:48)</f>
        <v>317200.06477990857</v>
      </c>
      <c r="Q43" s="17">
        <f ca="1">SUMIF('P&amp;L - Monthly'!$2:$2,'P&amp;L - Qtrly'!Q$2,'P&amp;L - Monthly'!48:48)</f>
        <v>322739.71439382446</v>
      </c>
      <c r="R43" s="17">
        <f ca="1">SUMIF('P&amp;L - Monthly'!$2:$2,'P&amp;L - Qtrly'!R$2,'P&amp;L - Monthly'!48:48)</f>
        <v>329511.47925079847</v>
      </c>
      <c r="S43" s="17">
        <f ca="1">SUMIF('P&amp;L - Monthly'!$2:$2,'P&amp;L - Qtrly'!S$2,'P&amp;L - Monthly'!48:48)</f>
        <v>344207.10980155616</v>
      </c>
      <c r="T43" s="17">
        <f ca="1">SUMIF('P&amp;L - Monthly'!$2:$2,'P&amp;L - Qtrly'!T$2,'P&amp;L - Monthly'!48:48)</f>
        <v>353871.91724589816</v>
      </c>
      <c r="U43" s="17">
        <f ca="1">SUMIF('P&amp;L - Monthly'!$2:$2,'P&amp;L - Qtrly'!U$2,'P&amp;L - Monthly'!48:48)</f>
        <v>361412.6169147974</v>
      </c>
      <c r="V43" s="17">
        <f ca="1">SUMIF('P&amp;L - Monthly'!$2:$2,'P&amp;L - Qtrly'!V$2,'P&amp;L - Monthly'!48:48)</f>
        <v>369399.41776552377</v>
      </c>
      <c r="W43" s="575">
        <f ca="1">SUMIF('P&amp;L - Monthly'!$2:$2,'P&amp;L - Qtrly'!W$2,'P&amp;L - Monthly'!48:48)</f>
        <v>384091.70635003789</v>
      </c>
      <c r="X43" s="575">
        <f ca="1">SUMIF('P&amp;L - Monthly'!$2:$2,'P&amp;L - Qtrly'!X$2,'P&amp;L - Monthly'!48:48)</f>
        <v>393187.09470945952</v>
      </c>
      <c r="Y43" s="575">
        <f ca="1">SUMIF('P&amp;L - Monthly'!$2:$2,'P&amp;L - Qtrly'!Y$2,'P&amp;L - Monthly'!48:48)</f>
        <v>401221.45016099472</v>
      </c>
      <c r="Z43" s="575">
        <f ca="1">SUMIF('P&amp;L - Monthly'!$2:$2,'P&amp;L - Qtrly'!Z$2,'P&amp;L - Monthly'!48:48)</f>
        <v>409330.72437424964</v>
      </c>
      <c r="AA43" s="37"/>
      <c r="AB43" s="37"/>
      <c r="AC43" s="37"/>
      <c r="AD43" s="37"/>
      <c r="AE43" s="37"/>
      <c r="AF43" s="37"/>
      <c r="AG43" s="37"/>
      <c r="AH43" s="37"/>
    </row>
    <row r="44" spans="1:71" x14ac:dyDescent="0.25">
      <c r="B44" s="883" t="s">
        <v>2</v>
      </c>
      <c r="C44" s="17">
        <f>SUMIF('P&amp;L - Monthly'!$2:$2,'P&amp;L - Qtrly'!C$2,'P&amp;L - Monthly'!49:49)</f>
        <v>137447.54029</v>
      </c>
      <c r="D44" s="17">
        <f>SUMIF('P&amp;L - Monthly'!$2:$2,'P&amp;L - Qtrly'!D$2,'P&amp;L - Monthly'!49:49)</f>
        <v>507622.13525000005</v>
      </c>
      <c r="E44" s="17">
        <f>SUMIF('P&amp;L - Monthly'!$2:$2,'P&amp;L - Qtrly'!E$2,'P&amp;L - Monthly'!49:49)</f>
        <v>801799.38791000005</v>
      </c>
      <c r="F44" s="17">
        <f>SUMIF('P&amp;L - Monthly'!$2:$2,'P&amp;L - Qtrly'!F$2,'P&amp;L - Monthly'!49:49)</f>
        <v>639571.68065999995</v>
      </c>
      <c r="G44" s="17">
        <f>SUMIF('P&amp;L - Monthly'!$2:$2,'P&amp;L - Qtrly'!G$2,'P&amp;L - Monthly'!49:49)</f>
        <v>488213.91000000003</v>
      </c>
      <c r="H44" s="17">
        <f>SUMIF('P&amp;L - Monthly'!$2:$2,'P&amp;L - Qtrly'!H$2,'P&amp;L - Monthly'!49:49)</f>
        <v>440919.83999999997</v>
      </c>
      <c r="I44" s="17">
        <f>SUMIF('P&amp;L - Monthly'!$2:$2,'P&amp;L - Qtrly'!I$2,'P&amp;L - Monthly'!49:49)</f>
        <v>403461.17000000004</v>
      </c>
      <c r="J44" s="17">
        <f>SUMIF('P&amp;L - Monthly'!$2:$2,'P&amp;L - Qtrly'!J$2,'P&amp;L - Monthly'!49:49)</f>
        <v>362516.69</v>
      </c>
      <c r="K44" s="17">
        <f>SUMIF('P&amp;L - Monthly'!$2:$2,'P&amp;L - Qtrly'!K$2,'P&amp;L - Monthly'!49:49)</f>
        <v>429071.88</v>
      </c>
      <c r="L44" s="17">
        <f>SUMIF('P&amp;L - Monthly'!$2:$2,'P&amp;L - Qtrly'!L$2,'P&amp;L - Monthly'!49:49)</f>
        <v>376503.30850148387</v>
      </c>
      <c r="M44" s="17">
        <f>SUMIF('P&amp;L - Monthly'!$2:$2,'P&amp;L - Qtrly'!M$2,'P&amp;L - Monthly'!49:49)</f>
        <v>383975.16551474779</v>
      </c>
      <c r="N44" s="17">
        <f>SUMIF('P&amp;L - Monthly'!$2:$2,'P&amp;L - Qtrly'!N$2,'P&amp;L - Monthly'!49:49)</f>
        <v>367783.83254626085</v>
      </c>
      <c r="O44" s="17">
        <f>SUMIF('P&amp;L - Monthly'!$2:$2,'P&amp;L - Qtrly'!O$2,'P&amp;L - Monthly'!49:49)</f>
        <v>323428.03096967738</v>
      </c>
      <c r="P44" s="17">
        <f>SUMIF('P&amp;L - Monthly'!$2:$2,'P&amp;L - Qtrly'!P$2,'P&amp;L - Monthly'!49:49)</f>
        <v>332461.62788362661</v>
      </c>
      <c r="Q44" s="17">
        <f>SUMIF('P&amp;L - Monthly'!$2:$2,'P&amp;L - Qtrly'!Q$2,'P&amp;L - Monthly'!49:49)</f>
        <v>339991.84069055092</v>
      </c>
      <c r="R44" s="17">
        <f>SUMIF('P&amp;L - Monthly'!$2:$2,'P&amp;L - Qtrly'!R$2,'P&amp;L - Monthly'!49:49)</f>
        <v>347568.33923164807</v>
      </c>
      <c r="S44" s="17">
        <f>SUMIF('P&amp;L - Monthly'!$2:$2,'P&amp;L - Qtrly'!S$2,'P&amp;L - Monthly'!49:49)</f>
        <v>356931.77486947202</v>
      </c>
      <c r="T44" s="17">
        <f>SUMIF('P&amp;L - Monthly'!$2:$2,'P&amp;L - Qtrly'!T$2,'P&amp;L - Monthly'!49:49)</f>
        <v>364808.87320400984</v>
      </c>
      <c r="U44" s="17">
        <f>SUMIF('P&amp;L - Monthly'!$2:$2,'P&amp;L - Qtrly'!U$2,'P&amp;L - Monthly'!49:49)</f>
        <v>372536.7171454496</v>
      </c>
      <c r="V44" s="17">
        <f>SUMIF('P&amp;L - Monthly'!$2:$2,'P&amp;L - Qtrly'!V$2,'P&amp;L - Monthly'!49:49)</f>
        <v>380306.1876258743</v>
      </c>
      <c r="W44" s="575">
        <f>SUMIF('P&amp;L - Monthly'!$2:$2,'P&amp;L - Qtrly'!W$2,'P&amp;L - Monthly'!49:49)</f>
        <v>389972.34496925661</v>
      </c>
      <c r="X44" s="575">
        <f>SUMIF('P&amp;L - Monthly'!$2:$2,'P&amp;L - Qtrly'!X$2,'P&amp;L - Monthly'!49:49)</f>
        <v>397853.24172031734</v>
      </c>
      <c r="Y44" s="575">
        <f>SUMIF('P&amp;L - Monthly'!$2:$2,'P&amp;L - Qtrly'!Y$2,'P&amp;L - Monthly'!49:49)</f>
        <v>405766.17779902299</v>
      </c>
      <c r="Z44" s="575">
        <f>SUMIF('P&amp;L - Monthly'!$2:$2,'P&amp;L - Qtrly'!Z$2,'P&amp;L - Monthly'!49:49)</f>
        <v>413735.74103609088</v>
      </c>
      <c r="AA44" s="37"/>
      <c r="AB44" s="37"/>
      <c r="AC44" s="37"/>
      <c r="AD44" s="37"/>
      <c r="AE44" s="37"/>
      <c r="AF44" s="37"/>
      <c r="AG44" s="37"/>
      <c r="AH44" s="37"/>
    </row>
    <row r="45" spans="1:71" x14ac:dyDescent="0.25">
      <c r="B45" s="883" t="s">
        <v>19</v>
      </c>
      <c r="C45" s="17">
        <f>SUMIF('P&amp;L - Monthly'!$2:$2,'P&amp;L - Qtrly'!C$2,'P&amp;L - Monthly'!50:50)</f>
        <v>0</v>
      </c>
      <c r="D45" s="17">
        <f>SUMIF('P&amp;L - Monthly'!$2:$2,'P&amp;L - Qtrly'!D$2,'P&amp;L - Monthly'!50:50)</f>
        <v>0</v>
      </c>
      <c r="E45" s="17">
        <f>SUMIF('P&amp;L - Monthly'!$2:$2,'P&amp;L - Qtrly'!E$2,'P&amp;L - Monthly'!50:50)</f>
        <v>0</v>
      </c>
      <c r="F45" s="17">
        <f>SUMIF('P&amp;L - Monthly'!$2:$2,'P&amp;L - Qtrly'!F$2,'P&amp;L - Monthly'!50:50)</f>
        <v>0</v>
      </c>
      <c r="G45" s="17">
        <f>SUMIF('P&amp;L - Monthly'!$2:$2,'P&amp;L - Qtrly'!G$2,'P&amp;L - Monthly'!50:50)</f>
        <v>0</v>
      </c>
      <c r="H45" s="17">
        <f>SUMIF('P&amp;L - Monthly'!$2:$2,'P&amp;L - Qtrly'!H$2,'P&amp;L - Monthly'!50:50)</f>
        <v>0</v>
      </c>
      <c r="I45" s="17">
        <f>SUMIF('P&amp;L - Monthly'!$2:$2,'P&amp;L - Qtrly'!I$2,'P&amp;L - Monthly'!50:50)</f>
        <v>0</v>
      </c>
      <c r="J45" s="17">
        <f>SUMIF('P&amp;L - Monthly'!$2:$2,'P&amp;L - Qtrly'!J$2,'P&amp;L - Monthly'!50:50)</f>
        <v>0</v>
      </c>
      <c r="K45" s="17">
        <f>SUMIF('P&amp;L - Monthly'!$2:$2,'P&amp;L - Qtrly'!K$2,'P&amp;L - Monthly'!50:50)</f>
        <v>0</v>
      </c>
      <c r="L45" s="17">
        <f>SUMIF('P&amp;L - Monthly'!$2:$2,'P&amp;L - Qtrly'!L$2,'P&amp;L - Monthly'!50:50)</f>
        <v>21750</v>
      </c>
      <c r="M45" s="17">
        <f>SUMIF('P&amp;L - Monthly'!$2:$2,'P&amp;L - Qtrly'!M$2,'P&amp;L - Monthly'!50:50)</f>
        <v>21750</v>
      </c>
      <c r="N45" s="17">
        <f>SUMIF('P&amp;L - Monthly'!$2:$2,'P&amp;L - Qtrly'!N$2,'P&amp;L - Monthly'!50:50)</f>
        <v>21750</v>
      </c>
      <c r="O45" s="17">
        <f>SUMIF('P&amp;L - Monthly'!$2:$2,'P&amp;L - Qtrly'!O$2,'P&amp;L - Monthly'!50:50)</f>
        <v>21750</v>
      </c>
      <c r="P45" s="17">
        <f>SUMIF('P&amp;L - Monthly'!$2:$2,'P&amp;L - Qtrly'!P$2,'P&amp;L - Monthly'!50:50)</f>
        <v>21750</v>
      </c>
      <c r="Q45" s="17">
        <f>SUMIF('P&amp;L - Monthly'!$2:$2,'P&amp;L - Qtrly'!Q$2,'P&amp;L - Monthly'!50:50)</f>
        <v>21750</v>
      </c>
      <c r="R45" s="17">
        <f>SUMIF('P&amp;L - Monthly'!$2:$2,'P&amp;L - Qtrly'!R$2,'P&amp;L - Monthly'!50:50)</f>
        <v>21750</v>
      </c>
      <c r="S45" s="17">
        <f>SUMIF('P&amp;L - Monthly'!$2:$2,'P&amp;L - Qtrly'!S$2,'P&amp;L - Monthly'!50:50)</f>
        <v>3000</v>
      </c>
      <c r="T45" s="17">
        <f>SUMIF('P&amp;L - Monthly'!$2:$2,'P&amp;L - Qtrly'!T$2,'P&amp;L - Monthly'!50:50)</f>
        <v>3000</v>
      </c>
      <c r="U45" s="17">
        <f>SUMIF('P&amp;L - Monthly'!$2:$2,'P&amp;L - Qtrly'!U$2,'P&amp;L - Monthly'!50:50)</f>
        <v>3000</v>
      </c>
      <c r="V45" s="17">
        <f>SUMIF('P&amp;L - Monthly'!$2:$2,'P&amp;L - Qtrly'!V$2,'P&amp;L - Monthly'!50:50)</f>
        <v>3000</v>
      </c>
      <c r="W45" s="575">
        <f>SUMIF('P&amp;L - Monthly'!$2:$2,'P&amp;L - Qtrly'!W$2,'P&amp;L - Monthly'!50:50)</f>
        <v>3000</v>
      </c>
      <c r="X45" s="575">
        <f>SUMIF('P&amp;L - Monthly'!$2:$2,'P&amp;L - Qtrly'!X$2,'P&amp;L - Monthly'!50:50)</f>
        <v>3000</v>
      </c>
      <c r="Y45" s="575">
        <f>SUMIF('P&amp;L - Monthly'!$2:$2,'P&amp;L - Qtrly'!Y$2,'P&amp;L - Monthly'!50:50)</f>
        <v>3000</v>
      </c>
      <c r="Z45" s="575">
        <f>SUMIF('P&amp;L - Monthly'!$2:$2,'P&amp;L - Qtrly'!Z$2,'P&amp;L - Monthly'!50:50)</f>
        <v>3000</v>
      </c>
      <c r="AA45" s="37"/>
      <c r="AB45" s="37"/>
      <c r="AC45" s="37"/>
      <c r="AD45" s="37"/>
      <c r="AE45" s="37"/>
      <c r="AF45" s="37"/>
      <c r="AG45" s="37"/>
      <c r="AH45" s="37"/>
    </row>
    <row r="46" spans="1:71" x14ac:dyDescent="0.25">
      <c r="B46" s="883" t="s">
        <v>20</v>
      </c>
      <c r="C46" s="17">
        <f>SUMIF('P&amp;L - Monthly'!$2:$2,'P&amp;L - Qtrly'!C$2,'P&amp;L - Monthly'!51:51)</f>
        <v>0</v>
      </c>
      <c r="D46" s="17">
        <f>SUMIF('P&amp;L - Monthly'!$2:$2,'P&amp;L - Qtrly'!D$2,'P&amp;L - Monthly'!51:51)</f>
        <v>0</v>
      </c>
      <c r="E46" s="17">
        <f>SUMIF('P&amp;L - Monthly'!$2:$2,'P&amp;L - Qtrly'!E$2,'P&amp;L - Monthly'!51:51)</f>
        <v>0</v>
      </c>
      <c r="F46" s="17">
        <f>SUMIF('P&amp;L - Monthly'!$2:$2,'P&amp;L - Qtrly'!F$2,'P&amp;L - Monthly'!51:51)</f>
        <v>0</v>
      </c>
      <c r="G46" s="17">
        <f>SUMIF('P&amp;L - Monthly'!$2:$2,'P&amp;L - Qtrly'!G$2,'P&amp;L - Monthly'!51:51)</f>
        <v>0</v>
      </c>
      <c r="H46" s="17">
        <f>SUMIF('P&amp;L - Monthly'!$2:$2,'P&amp;L - Qtrly'!H$2,'P&amp;L - Monthly'!51:51)</f>
        <v>0</v>
      </c>
      <c r="I46" s="17">
        <f>SUMIF('P&amp;L - Monthly'!$2:$2,'P&amp;L - Qtrly'!I$2,'P&amp;L - Monthly'!51:51)</f>
        <v>0</v>
      </c>
      <c r="J46" s="17">
        <f>SUMIF('P&amp;L - Monthly'!$2:$2,'P&amp;L - Qtrly'!J$2,'P&amp;L - Monthly'!51:51)</f>
        <v>0</v>
      </c>
      <c r="K46" s="17">
        <f>SUMIF('P&amp;L - Monthly'!$2:$2,'P&amp;L - Qtrly'!K$2,'P&amp;L - Monthly'!51:51)</f>
        <v>0</v>
      </c>
      <c r="L46" s="17">
        <f>SUMIF('P&amp;L - Monthly'!$2:$2,'P&amp;L - Qtrly'!L$2,'P&amp;L - Monthly'!51:51)</f>
        <v>24000</v>
      </c>
      <c r="M46" s="17">
        <f>SUMIF('P&amp;L - Monthly'!$2:$2,'P&amp;L - Qtrly'!M$2,'P&amp;L - Monthly'!51:51)</f>
        <v>24000</v>
      </c>
      <c r="N46" s="17">
        <f>SUMIF('P&amp;L - Monthly'!$2:$2,'P&amp;L - Qtrly'!N$2,'P&amp;L - Monthly'!51:51)</f>
        <v>24000</v>
      </c>
      <c r="O46" s="17">
        <f>SUMIF('P&amp;L - Monthly'!$2:$2,'P&amp;L - Qtrly'!O$2,'P&amp;L - Monthly'!51:51)</f>
        <v>24000</v>
      </c>
      <c r="P46" s="17">
        <f>SUMIF('P&amp;L - Monthly'!$2:$2,'P&amp;L - Qtrly'!P$2,'P&amp;L - Monthly'!51:51)</f>
        <v>24000</v>
      </c>
      <c r="Q46" s="17">
        <f>SUMIF('P&amp;L - Monthly'!$2:$2,'P&amp;L - Qtrly'!Q$2,'P&amp;L - Monthly'!51:51)</f>
        <v>24000</v>
      </c>
      <c r="R46" s="17">
        <f>SUMIF('P&amp;L - Monthly'!$2:$2,'P&amp;L - Qtrly'!R$2,'P&amp;L - Monthly'!51:51)</f>
        <v>24000</v>
      </c>
      <c r="S46" s="17">
        <f>SUMIF('P&amp;L - Monthly'!$2:$2,'P&amp;L - Qtrly'!S$2,'P&amp;L - Monthly'!51:51)</f>
        <v>24000</v>
      </c>
      <c r="T46" s="17">
        <f>SUMIF('P&amp;L - Monthly'!$2:$2,'P&amp;L - Qtrly'!T$2,'P&amp;L - Monthly'!51:51)</f>
        <v>24000</v>
      </c>
      <c r="U46" s="17">
        <f>SUMIF('P&amp;L - Monthly'!$2:$2,'P&amp;L - Qtrly'!U$2,'P&amp;L - Monthly'!51:51)</f>
        <v>24000</v>
      </c>
      <c r="V46" s="17">
        <f>SUMIF('P&amp;L - Monthly'!$2:$2,'P&amp;L - Qtrly'!V$2,'P&amp;L - Monthly'!51:51)</f>
        <v>24000</v>
      </c>
      <c r="W46" s="575">
        <f>SUMIF('P&amp;L - Monthly'!$2:$2,'P&amp;L - Qtrly'!W$2,'P&amp;L - Monthly'!51:51)</f>
        <v>24000</v>
      </c>
      <c r="X46" s="575">
        <f>SUMIF('P&amp;L - Monthly'!$2:$2,'P&amp;L - Qtrly'!X$2,'P&amp;L - Monthly'!51:51)</f>
        <v>24000</v>
      </c>
      <c r="Y46" s="575">
        <f>SUMIF('P&amp;L - Monthly'!$2:$2,'P&amp;L - Qtrly'!Y$2,'P&amp;L - Monthly'!51:51)</f>
        <v>24000</v>
      </c>
      <c r="Z46" s="575">
        <f>SUMIF('P&amp;L - Monthly'!$2:$2,'P&amp;L - Qtrly'!Z$2,'P&amp;L - Monthly'!51:51)</f>
        <v>24000</v>
      </c>
      <c r="AA46" s="37"/>
      <c r="AB46" s="37"/>
      <c r="AC46" s="37"/>
      <c r="AD46" s="37"/>
      <c r="AE46" s="37"/>
      <c r="AF46" s="37"/>
      <c r="AG46" s="37"/>
      <c r="AH46" s="37"/>
    </row>
    <row r="47" spans="1:71" x14ac:dyDescent="0.25">
      <c r="B47" s="883" t="s">
        <v>21</v>
      </c>
      <c r="C47" s="17">
        <f>SUMIF('P&amp;L - Monthly'!$2:$2,'P&amp;L - Qtrly'!C$2,'P&amp;L - Monthly'!52:52)</f>
        <v>0</v>
      </c>
      <c r="D47" s="17">
        <f>SUMIF('P&amp;L - Monthly'!$2:$2,'P&amp;L - Qtrly'!D$2,'P&amp;L - Monthly'!52:52)</f>
        <v>0</v>
      </c>
      <c r="E47" s="17">
        <f>SUMIF('P&amp;L - Monthly'!$2:$2,'P&amp;L - Qtrly'!E$2,'P&amp;L - Monthly'!52:52)</f>
        <v>0</v>
      </c>
      <c r="F47" s="17">
        <f>SUMIF('P&amp;L - Monthly'!$2:$2,'P&amp;L - Qtrly'!F$2,'P&amp;L - Monthly'!52:52)</f>
        <v>0</v>
      </c>
      <c r="G47" s="17">
        <f>SUMIF('P&amp;L - Monthly'!$2:$2,'P&amp;L - Qtrly'!G$2,'P&amp;L - Monthly'!52:52)</f>
        <v>0</v>
      </c>
      <c r="H47" s="17">
        <f>SUMIF('P&amp;L - Monthly'!$2:$2,'P&amp;L - Qtrly'!H$2,'P&amp;L - Monthly'!52:52)</f>
        <v>0</v>
      </c>
      <c r="I47" s="17">
        <f>SUMIF('P&amp;L - Monthly'!$2:$2,'P&amp;L - Qtrly'!I$2,'P&amp;L - Monthly'!52:52)</f>
        <v>0</v>
      </c>
      <c r="J47" s="17">
        <f>SUMIF('P&amp;L - Monthly'!$2:$2,'P&amp;L - Qtrly'!J$2,'P&amp;L - Monthly'!52:52)</f>
        <v>0</v>
      </c>
      <c r="K47" s="17">
        <f>SUMIF('P&amp;L - Monthly'!$2:$2,'P&amp;L - Qtrly'!K$2,'P&amp;L - Monthly'!52:52)</f>
        <v>0</v>
      </c>
      <c r="L47" s="17">
        <f>SUMIF('P&amp;L - Monthly'!$2:$2,'P&amp;L - Qtrly'!L$2,'P&amp;L - Monthly'!52:52)</f>
        <v>0</v>
      </c>
      <c r="M47" s="17">
        <f>SUMIF('P&amp;L - Monthly'!$2:$2,'P&amp;L - Qtrly'!M$2,'P&amp;L - Monthly'!52:52)</f>
        <v>0</v>
      </c>
      <c r="N47" s="17">
        <f>SUMIF('P&amp;L - Monthly'!$2:$2,'P&amp;L - Qtrly'!N$2,'P&amp;L - Monthly'!52:52)</f>
        <v>0</v>
      </c>
      <c r="O47" s="17">
        <f>SUMIF('P&amp;L - Monthly'!$2:$2,'P&amp;L - Qtrly'!O$2,'P&amp;L - Monthly'!52:52)</f>
        <v>0</v>
      </c>
      <c r="P47" s="17">
        <f>SUMIF('P&amp;L - Monthly'!$2:$2,'P&amp;L - Qtrly'!P$2,'P&amp;L - Monthly'!52:52)</f>
        <v>0</v>
      </c>
      <c r="Q47" s="17">
        <f>SUMIF('P&amp;L - Monthly'!$2:$2,'P&amp;L - Qtrly'!Q$2,'P&amp;L - Monthly'!52:52)</f>
        <v>0</v>
      </c>
      <c r="R47" s="17">
        <f>SUMIF('P&amp;L - Monthly'!$2:$2,'P&amp;L - Qtrly'!R$2,'P&amp;L - Monthly'!52:52)</f>
        <v>0</v>
      </c>
      <c r="S47" s="17">
        <f>SUMIF('P&amp;L - Monthly'!$2:$2,'P&amp;L - Qtrly'!S$2,'P&amp;L - Monthly'!52:52)</f>
        <v>0</v>
      </c>
      <c r="T47" s="17">
        <f>SUMIF('P&amp;L - Monthly'!$2:$2,'P&amp;L - Qtrly'!T$2,'P&amp;L - Monthly'!52:52)</f>
        <v>0</v>
      </c>
      <c r="U47" s="17">
        <f>SUMIF('P&amp;L - Monthly'!$2:$2,'P&amp;L - Qtrly'!U$2,'P&amp;L - Monthly'!52:52)</f>
        <v>0</v>
      </c>
      <c r="V47" s="17">
        <f>SUMIF('P&amp;L - Monthly'!$2:$2,'P&amp;L - Qtrly'!V$2,'P&amp;L - Monthly'!52:52)</f>
        <v>0</v>
      </c>
      <c r="W47" s="575">
        <f>SUMIF('P&amp;L - Monthly'!$2:$2,'P&amp;L - Qtrly'!W$2,'P&amp;L - Monthly'!52:52)</f>
        <v>0</v>
      </c>
      <c r="X47" s="575">
        <f>SUMIF('P&amp;L - Monthly'!$2:$2,'P&amp;L - Qtrly'!X$2,'P&amp;L - Monthly'!52:52)</f>
        <v>0</v>
      </c>
      <c r="Y47" s="575">
        <f>SUMIF('P&amp;L - Monthly'!$2:$2,'P&amp;L - Qtrly'!Y$2,'P&amp;L - Monthly'!52:52)</f>
        <v>0</v>
      </c>
      <c r="Z47" s="575">
        <f>SUMIF('P&amp;L - Monthly'!$2:$2,'P&amp;L - Qtrly'!Z$2,'P&amp;L - Monthly'!52:52)</f>
        <v>0</v>
      </c>
      <c r="AA47" s="37"/>
      <c r="AB47" s="37"/>
      <c r="AC47" s="37"/>
      <c r="AD47" s="37"/>
      <c r="AE47" s="37"/>
      <c r="AF47" s="37"/>
      <c r="AG47" s="37"/>
      <c r="AH47" s="37"/>
    </row>
    <row r="48" spans="1:71" x14ac:dyDescent="0.25">
      <c r="B48" s="883" t="s">
        <v>22</v>
      </c>
      <c r="C48" s="17">
        <f>SUMIF('P&amp;L - Monthly'!$2:$2,'P&amp;L - Qtrly'!C$2,'P&amp;L - Monthly'!53:53)</f>
        <v>0</v>
      </c>
      <c r="D48" s="17">
        <f>SUMIF('P&amp;L - Monthly'!$2:$2,'P&amp;L - Qtrly'!D$2,'P&amp;L - Monthly'!53:53)</f>
        <v>0</v>
      </c>
      <c r="E48" s="17">
        <f>SUMIF('P&amp;L - Monthly'!$2:$2,'P&amp;L - Qtrly'!E$2,'P&amp;L - Monthly'!53:53)</f>
        <v>0</v>
      </c>
      <c r="F48" s="17">
        <f>SUMIF('P&amp;L - Monthly'!$2:$2,'P&amp;L - Qtrly'!F$2,'P&amp;L - Monthly'!53:53)</f>
        <v>0</v>
      </c>
      <c r="G48" s="17">
        <f>SUMIF('P&amp;L - Monthly'!$2:$2,'P&amp;L - Qtrly'!G$2,'P&amp;L - Monthly'!53:53)</f>
        <v>0</v>
      </c>
      <c r="H48" s="17">
        <f>SUMIF('P&amp;L - Monthly'!$2:$2,'P&amp;L - Qtrly'!H$2,'P&amp;L - Monthly'!53:53)</f>
        <v>0</v>
      </c>
      <c r="I48" s="17">
        <f>SUMIF('P&amp;L - Monthly'!$2:$2,'P&amp;L - Qtrly'!I$2,'P&amp;L - Monthly'!53:53)</f>
        <v>0</v>
      </c>
      <c r="J48" s="17">
        <f>SUMIF('P&amp;L - Monthly'!$2:$2,'P&amp;L - Qtrly'!J$2,'P&amp;L - Monthly'!53:53)</f>
        <v>0</v>
      </c>
      <c r="K48" s="17">
        <f>SUMIF('P&amp;L - Monthly'!$2:$2,'P&amp;L - Qtrly'!K$2,'P&amp;L - Monthly'!53:53)</f>
        <v>0</v>
      </c>
      <c r="L48" s="17">
        <f>SUMIF('P&amp;L - Monthly'!$2:$2,'P&amp;L - Qtrly'!L$2,'P&amp;L - Monthly'!53:53)</f>
        <v>1500</v>
      </c>
      <c r="M48" s="17">
        <f>SUMIF('P&amp;L - Monthly'!$2:$2,'P&amp;L - Qtrly'!M$2,'P&amp;L - Monthly'!53:53)</f>
        <v>1500</v>
      </c>
      <c r="N48" s="17">
        <f>SUMIF('P&amp;L - Monthly'!$2:$2,'P&amp;L - Qtrly'!N$2,'P&amp;L - Monthly'!53:53)</f>
        <v>1500</v>
      </c>
      <c r="O48" s="17">
        <f>SUMIF('P&amp;L - Monthly'!$2:$2,'P&amp;L - Qtrly'!O$2,'P&amp;L - Monthly'!53:53)</f>
        <v>1500</v>
      </c>
      <c r="P48" s="17">
        <f>SUMIF('P&amp;L - Monthly'!$2:$2,'P&amp;L - Qtrly'!P$2,'P&amp;L - Monthly'!53:53)</f>
        <v>1500</v>
      </c>
      <c r="Q48" s="17">
        <f>SUMIF('P&amp;L - Monthly'!$2:$2,'P&amp;L - Qtrly'!Q$2,'P&amp;L - Monthly'!53:53)</f>
        <v>1500</v>
      </c>
      <c r="R48" s="17">
        <f>SUMIF('P&amp;L - Monthly'!$2:$2,'P&amp;L - Qtrly'!R$2,'P&amp;L - Monthly'!53:53)</f>
        <v>1500</v>
      </c>
      <c r="S48" s="17">
        <f>SUMIF('P&amp;L - Monthly'!$2:$2,'P&amp;L - Qtrly'!S$2,'P&amp;L - Monthly'!53:53)</f>
        <v>1500</v>
      </c>
      <c r="T48" s="17">
        <f>SUMIF('P&amp;L - Monthly'!$2:$2,'P&amp;L - Qtrly'!T$2,'P&amp;L - Monthly'!53:53)</f>
        <v>1500</v>
      </c>
      <c r="U48" s="17">
        <f>SUMIF('P&amp;L - Monthly'!$2:$2,'P&amp;L - Qtrly'!U$2,'P&amp;L - Monthly'!53:53)</f>
        <v>1500</v>
      </c>
      <c r="V48" s="17">
        <f>SUMIF('P&amp;L - Monthly'!$2:$2,'P&amp;L - Qtrly'!V$2,'P&amp;L - Monthly'!53:53)</f>
        <v>1500</v>
      </c>
      <c r="W48" s="575">
        <f>SUMIF('P&amp;L - Monthly'!$2:$2,'P&amp;L - Qtrly'!W$2,'P&amp;L - Monthly'!53:53)</f>
        <v>1500</v>
      </c>
      <c r="X48" s="575">
        <f>SUMIF('P&amp;L - Monthly'!$2:$2,'P&amp;L - Qtrly'!X$2,'P&amp;L - Monthly'!53:53)</f>
        <v>1500</v>
      </c>
      <c r="Y48" s="575">
        <f>SUMIF('P&amp;L - Monthly'!$2:$2,'P&amp;L - Qtrly'!Y$2,'P&amp;L - Monthly'!53:53)</f>
        <v>1500</v>
      </c>
      <c r="Z48" s="575">
        <f>SUMIF('P&amp;L - Monthly'!$2:$2,'P&amp;L - Qtrly'!Z$2,'P&amp;L - Monthly'!53:53)</f>
        <v>1500</v>
      </c>
      <c r="AA48" s="37"/>
      <c r="AB48" s="37"/>
      <c r="AC48" s="37"/>
      <c r="AD48" s="37"/>
      <c r="AE48" s="37"/>
      <c r="AF48" s="37"/>
      <c r="AG48" s="37"/>
      <c r="AH48" s="37"/>
    </row>
    <row r="49" spans="1:72" x14ac:dyDescent="0.25">
      <c r="B49" s="883" t="s">
        <v>23</v>
      </c>
      <c r="C49" s="17">
        <f>SUMIF('P&amp;L - Monthly'!$2:$2,'P&amp;L - Qtrly'!C$2,'P&amp;L - Monthly'!54:54)</f>
        <v>0</v>
      </c>
      <c r="D49" s="17">
        <f>SUMIF('P&amp;L - Monthly'!$2:$2,'P&amp;L - Qtrly'!D$2,'P&amp;L - Monthly'!54:54)</f>
        <v>0</v>
      </c>
      <c r="E49" s="17">
        <f>SUMIF('P&amp;L - Monthly'!$2:$2,'P&amp;L - Qtrly'!E$2,'P&amp;L - Monthly'!54:54)</f>
        <v>0</v>
      </c>
      <c r="F49" s="17">
        <f>SUMIF('P&amp;L - Monthly'!$2:$2,'P&amp;L - Qtrly'!F$2,'P&amp;L - Monthly'!54:54)</f>
        <v>0</v>
      </c>
      <c r="G49" s="17">
        <f>SUMIF('P&amp;L - Monthly'!$2:$2,'P&amp;L - Qtrly'!G$2,'P&amp;L - Monthly'!54:54)</f>
        <v>0</v>
      </c>
      <c r="H49" s="17">
        <f>SUMIF('P&amp;L - Monthly'!$2:$2,'P&amp;L - Qtrly'!H$2,'P&amp;L - Monthly'!54:54)</f>
        <v>0</v>
      </c>
      <c r="I49" s="17">
        <f>SUMIF('P&amp;L - Monthly'!$2:$2,'P&amp;L - Qtrly'!I$2,'P&amp;L - Monthly'!54:54)</f>
        <v>0</v>
      </c>
      <c r="J49" s="17">
        <f>SUMIF('P&amp;L - Monthly'!$2:$2,'P&amp;L - Qtrly'!J$2,'P&amp;L - Monthly'!54:54)</f>
        <v>0</v>
      </c>
      <c r="K49" s="17">
        <f>SUMIF('P&amp;L - Monthly'!$2:$2,'P&amp;L - Qtrly'!K$2,'P&amp;L - Monthly'!54:54)</f>
        <v>0</v>
      </c>
      <c r="L49" s="17">
        <f>SUMIF('P&amp;L - Monthly'!$2:$2,'P&amp;L - Qtrly'!L$2,'P&amp;L - Monthly'!54:54)</f>
        <v>6000</v>
      </c>
      <c r="M49" s="17">
        <f>SUMIF('P&amp;L - Monthly'!$2:$2,'P&amp;L - Qtrly'!M$2,'P&amp;L - Monthly'!54:54)</f>
        <v>6000</v>
      </c>
      <c r="N49" s="17">
        <f>SUMIF('P&amp;L - Monthly'!$2:$2,'P&amp;L - Qtrly'!N$2,'P&amp;L - Monthly'!54:54)</f>
        <v>6000</v>
      </c>
      <c r="O49" s="17">
        <f>SUMIF('P&amp;L - Monthly'!$2:$2,'P&amp;L - Qtrly'!O$2,'P&amp;L - Monthly'!54:54)</f>
        <v>6000</v>
      </c>
      <c r="P49" s="17">
        <f>SUMIF('P&amp;L - Monthly'!$2:$2,'P&amp;L - Qtrly'!P$2,'P&amp;L - Monthly'!54:54)</f>
        <v>6000</v>
      </c>
      <c r="Q49" s="17">
        <f>SUMIF('P&amp;L - Monthly'!$2:$2,'P&amp;L - Qtrly'!Q$2,'P&amp;L - Monthly'!54:54)</f>
        <v>6000</v>
      </c>
      <c r="R49" s="17">
        <f>SUMIF('P&amp;L - Monthly'!$2:$2,'P&amp;L - Qtrly'!R$2,'P&amp;L - Monthly'!54:54)</f>
        <v>6000</v>
      </c>
      <c r="S49" s="17">
        <f>SUMIF('P&amp;L - Monthly'!$2:$2,'P&amp;L - Qtrly'!S$2,'P&amp;L - Monthly'!54:54)</f>
        <v>6000</v>
      </c>
      <c r="T49" s="17">
        <f>SUMIF('P&amp;L - Monthly'!$2:$2,'P&amp;L - Qtrly'!T$2,'P&amp;L - Monthly'!54:54)</f>
        <v>6000</v>
      </c>
      <c r="U49" s="17">
        <f>SUMIF('P&amp;L - Monthly'!$2:$2,'P&amp;L - Qtrly'!U$2,'P&amp;L - Monthly'!54:54)</f>
        <v>6000</v>
      </c>
      <c r="V49" s="17">
        <f>SUMIF('P&amp;L - Monthly'!$2:$2,'P&amp;L - Qtrly'!V$2,'P&amp;L - Monthly'!54:54)</f>
        <v>6000</v>
      </c>
      <c r="W49" s="575">
        <f>SUMIF('P&amp;L - Monthly'!$2:$2,'P&amp;L - Qtrly'!W$2,'P&amp;L - Monthly'!54:54)</f>
        <v>6000</v>
      </c>
      <c r="X49" s="575">
        <f>SUMIF('P&amp;L - Monthly'!$2:$2,'P&amp;L - Qtrly'!X$2,'P&amp;L - Monthly'!54:54)</f>
        <v>6000</v>
      </c>
      <c r="Y49" s="575">
        <f>SUMIF('P&amp;L - Monthly'!$2:$2,'P&amp;L - Qtrly'!Y$2,'P&amp;L - Monthly'!54:54)</f>
        <v>6000</v>
      </c>
      <c r="Z49" s="575">
        <f>SUMIF('P&amp;L - Monthly'!$2:$2,'P&amp;L - Qtrly'!Z$2,'P&amp;L - Monthly'!54:54)</f>
        <v>6000</v>
      </c>
      <c r="AA49" s="37"/>
      <c r="AB49" s="37"/>
      <c r="AC49" s="37"/>
      <c r="AD49" s="37"/>
      <c r="AE49" s="37"/>
      <c r="AF49" s="37"/>
      <c r="AG49" s="37"/>
      <c r="AH49" s="37"/>
    </row>
    <row r="50" spans="1:72" x14ac:dyDescent="0.25">
      <c r="B50" s="883" t="s">
        <v>24</v>
      </c>
      <c r="C50" s="17">
        <f>SUMIF('P&amp;L - Monthly'!$2:$2,'P&amp;L - Qtrly'!C$2,'P&amp;L - Monthly'!55:55)</f>
        <v>0</v>
      </c>
      <c r="D50" s="17">
        <f>SUMIF('P&amp;L - Monthly'!$2:$2,'P&amp;L - Qtrly'!D$2,'P&amp;L - Monthly'!55:55)</f>
        <v>0</v>
      </c>
      <c r="E50" s="17">
        <f>SUMIF('P&amp;L - Monthly'!$2:$2,'P&amp;L - Qtrly'!E$2,'P&amp;L - Monthly'!55:55)</f>
        <v>0</v>
      </c>
      <c r="F50" s="17">
        <f>SUMIF('P&amp;L - Monthly'!$2:$2,'P&amp;L - Qtrly'!F$2,'P&amp;L - Monthly'!55:55)</f>
        <v>0</v>
      </c>
      <c r="G50" s="17">
        <f>SUMIF('P&amp;L - Monthly'!$2:$2,'P&amp;L - Qtrly'!G$2,'P&amp;L - Monthly'!55:55)</f>
        <v>0</v>
      </c>
      <c r="H50" s="17">
        <f>SUMIF('P&amp;L - Monthly'!$2:$2,'P&amp;L - Qtrly'!H$2,'P&amp;L - Monthly'!55:55)</f>
        <v>0</v>
      </c>
      <c r="I50" s="17">
        <f>SUMIF('P&amp;L - Monthly'!$2:$2,'P&amp;L - Qtrly'!I$2,'P&amp;L - Monthly'!55:55)</f>
        <v>0</v>
      </c>
      <c r="J50" s="17">
        <f>SUMIF('P&amp;L - Monthly'!$2:$2,'P&amp;L - Qtrly'!J$2,'P&amp;L - Monthly'!55:55)</f>
        <v>0</v>
      </c>
      <c r="K50" s="17">
        <f>SUMIF('P&amp;L - Monthly'!$2:$2,'P&amp;L - Qtrly'!K$2,'P&amp;L - Monthly'!55:55)</f>
        <v>0</v>
      </c>
      <c r="L50" s="17">
        <f>SUMIF('P&amp;L - Monthly'!$2:$2,'P&amp;L - Qtrly'!L$2,'P&amp;L - Monthly'!55:55)</f>
        <v>60000</v>
      </c>
      <c r="M50" s="17">
        <f>SUMIF('P&amp;L - Monthly'!$2:$2,'P&amp;L - Qtrly'!M$2,'P&amp;L - Monthly'!55:55)</f>
        <v>60000</v>
      </c>
      <c r="N50" s="17">
        <f>SUMIF('P&amp;L - Monthly'!$2:$2,'P&amp;L - Qtrly'!N$2,'P&amp;L - Monthly'!55:55)</f>
        <v>60000</v>
      </c>
      <c r="O50" s="17">
        <f>SUMIF('P&amp;L - Monthly'!$2:$2,'P&amp;L - Qtrly'!O$2,'P&amp;L - Monthly'!55:55)</f>
        <v>30000</v>
      </c>
      <c r="P50" s="17">
        <f>SUMIF('P&amp;L - Monthly'!$2:$2,'P&amp;L - Qtrly'!P$2,'P&amp;L - Monthly'!55:55)</f>
        <v>30000</v>
      </c>
      <c r="Q50" s="17">
        <f>SUMIF('P&amp;L - Monthly'!$2:$2,'P&amp;L - Qtrly'!Q$2,'P&amp;L - Monthly'!55:55)</f>
        <v>30000</v>
      </c>
      <c r="R50" s="17">
        <f>SUMIF('P&amp;L - Monthly'!$2:$2,'P&amp;L - Qtrly'!R$2,'P&amp;L - Monthly'!55:55)</f>
        <v>30000</v>
      </c>
      <c r="S50" s="17">
        <f>SUMIF('P&amp;L - Monthly'!$2:$2,'P&amp;L - Qtrly'!S$2,'P&amp;L - Monthly'!55:55)</f>
        <v>30000</v>
      </c>
      <c r="T50" s="17">
        <f>SUMIF('P&amp;L - Monthly'!$2:$2,'P&amp;L - Qtrly'!T$2,'P&amp;L - Monthly'!55:55)</f>
        <v>30000</v>
      </c>
      <c r="U50" s="17">
        <f>SUMIF('P&amp;L - Monthly'!$2:$2,'P&amp;L - Qtrly'!U$2,'P&amp;L - Monthly'!55:55)</f>
        <v>30000</v>
      </c>
      <c r="V50" s="17">
        <f>SUMIF('P&amp;L - Monthly'!$2:$2,'P&amp;L - Qtrly'!V$2,'P&amp;L - Monthly'!55:55)</f>
        <v>30000</v>
      </c>
      <c r="W50" s="575">
        <f>SUMIF('P&amp;L - Monthly'!$2:$2,'P&amp;L - Qtrly'!W$2,'P&amp;L - Monthly'!55:55)</f>
        <v>30000</v>
      </c>
      <c r="X50" s="575">
        <f>SUMIF('P&amp;L - Monthly'!$2:$2,'P&amp;L - Qtrly'!X$2,'P&amp;L - Monthly'!55:55)</f>
        <v>30000</v>
      </c>
      <c r="Y50" s="575">
        <f>SUMIF('P&amp;L - Monthly'!$2:$2,'P&amp;L - Qtrly'!Y$2,'P&amp;L - Monthly'!55:55)</f>
        <v>30000</v>
      </c>
      <c r="Z50" s="575">
        <f>SUMIF('P&amp;L - Monthly'!$2:$2,'P&amp;L - Qtrly'!Z$2,'P&amp;L - Monthly'!55:55)</f>
        <v>30000</v>
      </c>
      <c r="AA50" s="37"/>
      <c r="AB50" s="37"/>
      <c r="AC50" s="37"/>
      <c r="AD50" s="37"/>
      <c r="AE50" s="37"/>
      <c r="AF50" s="37"/>
      <c r="AG50" s="37"/>
      <c r="AH50" s="37"/>
    </row>
    <row r="51" spans="1:72" x14ac:dyDescent="0.25">
      <c r="B51" s="883" t="s">
        <v>25</v>
      </c>
      <c r="C51" s="17">
        <f>SUMIF('P&amp;L - Monthly'!$2:$2,'P&amp;L - Qtrly'!C$2,'P&amp;L - Monthly'!56:56)</f>
        <v>0</v>
      </c>
      <c r="D51" s="17">
        <f>SUMIF('P&amp;L - Monthly'!$2:$2,'P&amp;L - Qtrly'!D$2,'P&amp;L - Monthly'!56:56)</f>
        <v>0</v>
      </c>
      <c r="E51" s="17">
        <f>SUMIF('P&amp;L - Monthly'!$2:$2,'P&amp;L - Qtrly'!E$2,'P&amp;L - Monthly'!56:56)</f>
        <v>0</v>
      </c>
      <c r="F51" s="17">
        <f>SUMIF('P&amp;L - Monthly'!$2:$2,'P&amp;L - Qtrly'!F$2,'P&amp;L - Monthly'!56:56)</f>
        <v>0</v>
      </c>
      <c r="G51" s="17">
        <f>SUMIF('P&amp;L - Monthly'!$2:$2,'P&amp;L - Qtrly'!G$2,'P&amp;L - Monthly'!56:56)</f>
        <v>0</v>
      </c>
      <c r="H51" s="17">
        <f>SUMIF('P&amp;L - Monthly'!$2:$2,'P&amp;L - Qtrly'!H$2,'P&amp;L - Monthly'!56:56)</f>
        <v>0</v>
      </c>
      <c r="I51" s="17">
        <f>SUMIF('P&amp;L - Monthly'!$2:$2,'P&amp;L - Qtrly'!I$2,'P&amp;L - Monthly'!56:56)</f>
        <v>0</v>
      </c>
      <c r="J51" s="17">
        <f>SUMIF('P&amp;L - Monthly'!$2:$2,'P&amp;L - Qtrly'!J$2,'P&amp;L - Monthly'!56:56)</f>
        <v>0</v>
      </c>
      <c r="K51" s="17">
        <f>SUMIF('P&amp;L - Monthly'!$2:$2,'P&amp;L - Qtrly'!K$2,'P&amp;L - Monthly'!56:56)</f>
        <v>0</v>
      </c>
      <c r="L51" s="17">
        <f>SUMIF('P&amp;L - Monthly'!$2:$2,'P&amp;L - Qtrly'!L$2,'P&amp;L - Monthly'!56:56)</f>
        <v>18315</v>
      </c>
      <c r="M51" s="17">
        <f>SUMIF('P&amp;L - Monthly'!$2:$2,'P&amp;L - Qtrly'!M$2,'P&amp;L - Monthly'!56:56)</f>
        <v>18315</v>
      </c>
      <c r="N51" s="17">
        <f>SUMIF('P&amp;L - Monthly'!$2:$2,'P&amp;L - Qtrly'!N$2,'P&amp;L - Monthly'!56:56)</f>
        <v>18315</v>
      </c>
      <c r="O51" s="17">
        <f>SUMIF('P&amp;L - Monthly'!$2:$2,'P&amp;L - Qtrly'!O$2,'P&amp;L - Monthly'!56:56)</f>
        <v>18315</v>
      </c>
      <c r="P51" s="17">
        <f>SUMIF('P&amp;L - Monthly'!$2:$2,'P&amp;L - Qtrly'!P$2,'P&amp;L - Monthly'!56:56)</f>
        <v>18315</v>
      </c>
      <c r="Q51" s="17">
        <f>SUMIF('P&amp;L - Monthly'!$2:$2,'P&amp;L - Qtrly'!Q$2,'P&amp;L - Monthly'!56:56)</f>
        <v>18315</v>
      </c>
      <c r="R51" s="17">
        <f>SUMIF('P&amp;L - Monthly'!$2:$2,'P&amp;L - Qtrly'!R$2,'P&amp;L - Monthly'!56:56)</f>
        <v>18315</v>
      </c>
      <c r="S51" s="17">
        <f>SUMIF('P&amp;L - Monthly'!$2:$2,'P&amp;L - Qtrly'!S$2,'P&amp;L - Monthly'!56:56)</f>
        <v>18315</v>
      </c>
      <c r="T51" s="17">
        <f>SUMIF('P&amp;L - Monthly'!$2:$2,'P&amp;L - Qtrly'!T$2,'P&amp;L - Monthly'!56:56)</f>
        <v>18315</v>
      </c>
      <c r="U51" s="17">
        <f>SUMIF('P&amp;L - Monthly'!$2:$2,'P&amp;L - Qtrly'!U$2,'P&amp;L - Monthly'!56:56)</f>
        <v>18315</v>
      </c>
      <c r="V51" s="17">
        <f>SUMIF('P&amp;L - Monthly'!$2:$2,'P&amp;L - Qtrly'!V$2,'P&amp;L - Monthly'!56:56)</f>
        <v>18315</v>
      </c>
      <c r="W51" s="575">
        <f>SUMIF('P&amp;L - Monthly'!$2:$2,'P&amp;L - Qtrly'!W$2,'P&amp;L - Monthly'!56:56)</f>
        <v>18315</v>
      </c>
      <c r="X51" s="575">
        <f>SUMIF('P&amp;L - Monthly'!$2:$2,'P&amp;L - Qtrly'!X$2,'P&amp;L - Monthly'!56:56)</f>
        <v>18315</v>
      </c>
      <c r="Y51" s="575">
        <f>SUMIF('P&amp;L - Monthly'!$2:$2,'P&amp;L - Qtrly'!Y$2,'P&amp;L - Monthly'!56:56)</f>
        <v>18315</v>
      </c>
      <c r="Z51" s="575">
        <f>SUMIF('P&amp;L - Monthly'!$2:$2,'P&amp;L - Qtrly'!Z$2,'P&amp;L - Monthly'!56:56)</f>
        <v>18315</v>
      </c>
      <c r="AA51" s="37"/>
      <c r="AB51" s="37"/>
      <c r="AC51" s="37"/>
      <c r="AD51" s="37"/>
      <c r="AE51" s="37"/>
      <c r="AF51" s="37"/>
      <c r="AG51" s="37"/>
      <c r="AH51" s="37"/>
    </row>
    <row r="52" spans="1:72" x14ac:dyDescent="0.25">
      <c r="B52" s="883" t="s">
        <v>26</v>
      </c>
      <c r="C52" s="17">
        <f>SUMIF('P&amp;L - Monthly'!$2:$2,'P&amp;L - Qtrly'!C$2,'P&amp;L - Monthly'!57:57)</f>
        <v>0</v>
      </c>
      <c r="D52" s="17">
        <f>SUMIF('P&amp;L - Monthly'!$2:$2,'P&amp;L - Qtrly'!D$2,'P&amp;L - Monthly'!57:57)</f>
        <v>0</v>
      </c>
      <c r="E52" s="17">
        <f>SUMIF('P&amp;L - Monthly'!$2:$2,'P&amp;L - Qtrly'!E$2,'P&amp;L - Monthly'!57:57)</f>
        <v>0</v>
      </c>
      <c r="F52" s="17">
        <f>SUMIF('P&amp;L - Monthly'!$2:$2,'P&amp;L - Qtrly'!F$2,'P&amp;L - Monthly'!57:57)</f>
        <v>0</v>
      </c>
      <c r="G52" s="17">
        <f>SUMIF('P&amp;L - Monthly'!$2:$2,'P&amp;L - Qtrly'!G$2,'P&amp;L - Monthly'!57:57)</f>
        <v>0</v>
      </c>
      <c r="H52" s="17">
        <f>SUMIF('P&amp;L - Monthly'!$2:$2,'P&amp;L - Qtrly'!H$2,'P&amp;L - Monthly'!57:57)</f>
        <v>0</v>
      </c>
      <c r="I52" s="17">
        <f>SUMIF('P&amp;L - Monthly'!$2:$2,'P&amp;L - Qtrly'!I$2,'P&amp;L - Monthly'!57:57)</f>
        <v>0</v>
      </c>
      <c r="J52" s="17">
        <f>SUMIF('P&amp;L - Monthly'!$2:$2,'P&amp;L - Qtrly'!J$2,'P&amp;L - Monthly'!57:57)</f>
        <v>0</v>
      </c>
      <c r="K52" s="17">
        <f>SUMIF('P&amp;L - Monthly'!$2:$2,'P&amp;L - Qtrly'!K$2,'P&amp;L - Monthly'!57:57)</f>
        <v>0</v>
      </c>
      <c r="L52" s="17">
        <f>SUMIF('P&amp;L - Monthly'!$2:$2,'P&amp;L - Qtrly'!L$2,'P&amp;L - Monthly'!57:57)</f>
        <v>9300</v>
      </c>
      <c r="M52" s="17">
        <f>SUMIF('P&amp;L - Monthly'!$2:$2,'P&amp;L - Qtrly'!M$2,'P&amp;L - Monthly'!57:57)</f>
        <v>9300</v>
      </c>
      <c r="N52" s="17">
        <f>SUMIF('P&amp;L - Monthly'!$2:$2,'P&amp;L - Qtrly'!N$2,'P&amp;L - Monthly'!57:57)</f>
        <v>9300</v>
      </c>
      <c r="O52" s="17">
        <f>SUMIF('P&amp;L - Monthly'!$2:$2,'P&amp;L - Qtrly'!O$2,'P&amp;L - Monthly'!57:57)</f>
        <v>9300</v>
      </c>
      <c r="P52" s="17">
        <f>SUMIF('P&amp;L - Monthly'!$2:$2,'P&amp;L - Qtrly'!P$2,'P&amp;L - Monthly'!57:57)</f>
        <v>9300</v>
      </c>
      <c r="Q52" s="17">
        <f>SUMIF('P&amp;L - Monthly'!$2:$2,'P&amp;L - Qtrly'!Q$2,'P&amp;L - Monthly'!57:57)</f>
        <v>9300</v>
      </c>
      <c r="R52" s="17">
        <f>SUMIF('P&amp;L - Monthly'!$2:$2,'P&amp;L - Qtrly'!R$2,'P&amp;L - Monthly'!57:57)</f>
        <v>9300</v>
      </c>
      <c r="S52" s="17">
        <f>SUMIF('P&amp;L - Monthly'!$2:$2,'P&amp;L - Qtrly'!S$2,'P&amp;L - Monthly'!57:57)</f>
        <v>9300</v>
      </c>
      <c r="T52" s="17">
        <f>SUMIF('P&amp;L - Monthly'!$2:$2,'P&amp;L - Qtrly'!T$2,'P&amp;L - Monthly'!57:57)</f>
        <v>9300</v>
      </c>
      <c r="U52" s="17">
        <f>SUMIF('P&amp;L - Monthly'!$2:$2,'P&amp;L - Qtrly'!U$2,'P&amp;L - Monthly'!57:57)</f>
        <v>9300</v>
      </c>
      <c r="V52" s="17">
        <f>SUMIF('P&amp;L - Monthly'!$2:$2,'P&amp;L - Qtrly'!V$2,'P&amp;L - Monthly'!57:57)</f>
        <v>9300</v>
      </c>
      <c r="W52" s="575">
        <f>SUMIF('P&amp;L - Monthly'!$2:$2,'P&amp;L - Qtrly'!W$2,'P&amp;L - Monthly'!57:57)</f>
        <v>9300</v>
      </c>
      <c r="X52" s="575">
        <f>SUMIF('P&amp;L - Monthly'!$2:$2,'P&amp;L - Qtrly'!X$2,'P&amp;L - Monthly'!57:57)</f>
        <v>9300</v>
      </c>
      <c r="Y52" s="575">
        <f>SUMIF('P&amp;L - Monthly'!$2:$2,'P&amp;L - Qtrly'!Y$2,'P&amp;L - Monthly'!57:57)</f>
        <v>9300</v>
      </c>
      <c r="Z52" s="575">
        <f>SUMIF('P&amp;L - Monthly'!$2:$2,'P&amp;L - Qtrly'!Z$2,'P&amp;L - Monthly'!57:57)</f>
        <v>9300</v>
      </c>
      <c r="AA52" s="37"/>
      <c r="AB52" s="37"/>
      <c r="AC52" s="37"/>
      <c r="AD52" s="37"/>
      <c r="AE52" s="37"/>
      <c r="AF52" s="37"/>
      <c r="AG52" s="37"/>
      <c r="AH52" s="37"/>
    </row>
    <row r="53" spans="1:72" x14ac:dyDescent="0.25">
      <c r="B53" s="994" t="s">
        <v>27</v>
      </c>
      <c r="C53" s="17">
        <f>SUMIF('P&amp;L - Monthly'!$2:$2,'P&amp;L - Qtrly'!C$2,'P&amp;L - Monthly'!58:58)</f>
        <v>0</v>
      </c>
      <c r="D53" s="17">
        <f>SUMIF('P&amp;L - Monthly'!$2:$2,'P&amp;L - Qtrly'!D$2,'P&amp;L - Monthly'!58:58)</f>
        <v>0</v>
      </c>
      <c r="E53" s="17">
        <f>SUMIF('P&amp;L - Monthly'!$2:$2,'P&amp;L - Qtrly'!E$2,'P&amp;L - Monthly'!58:58)</f>
        <v>0</v>
      </c>
      <c r="F53" s="17">
        <f>SUMIF('P&amp;L - Monthly'!$2:$2,'P&amp;L - Qtrly'!F$2,'P&amp;L - Monthly'!58:58)</f>
        <v>0</v>
      </c>
      <c r="G53" s="17">
        <f>SUMIF('P&amp;L - Monthly'!$2:$2,'P&amp;L - Qtrly'!G$2,'P&amp;L - Monthly'!58:58)</f>
        <v>0</v>
      </c>
      <c r="H53" s="17">
        <f>SUMIF('P&amp;L - Monthly'!$2:$2,'P&amp;L - Qtrly'!H$2,'P&amp;L - Monthly'!58:58)</f>
        <v>0</v>
      </c>
      <c r="I53" s="17">
        <f>SUMIF('P&amp;L - Monthly'!$2:$2,'P&amp;L - Qtrly'!I$2,'P&amp;L - Monthly'!58:58)</f>
        <v>0</v>
      </c>
      <c r="J53" s="17">
        <f>SUMIF('P&amp;L - Monthly'!$2:$2,'P&amp;L - Qtrly'!J$2,'P&amp;L - Monthly'!58:58)</f>
        <v>0</v>
      </c>
      <c r="K53" s="17">
        <f>SUMIF('P&amp;L - Monthly'!$2:$2,'P&amp;L - Qtrly'!K$2,'P&amp;L - Monthly'!58:58)</f>
        <v>0</v>
      </c>
      <c r="L53" s="17">
        <f>SUMIF('P&amp;L - Monthly'!$2:$2,'P&amp;L - Qtrly'!L$2,'P&amp;L - Monthly'!58:58)</f>
        <v>3000</v>
      </c>
      <c r="M53" s="17">
        <f>SUMIF('P&amp;L - Monthly'!$2:$2,'P&amp;L - Qtrly'!M$2,'P&amp;L - Monthly'!58:58)</f>
        <v>3000</v>
      </c>
      <c r="N53" s="17">
        <f>SUMIF('P&amp;L - Monthly'!$2:$2,'P&amp;L - Qtrly'!N$2,'P&amp;L - Monthly'!58:58)</f>
        <v>3000</v>
      </c>
      <c r="O53" s="17">
        <f>SUMIF('P&amp;L - Monthly'!$2:$2,'P&amp;L - Qtrly'!O$2,'P&amp;L - Monthly'!58:58)</f>
        <v>3000</v>
      </c>
      <c r="P53" s="17">
        <f>SUMIF('P&amp;L - Monthly'!$2:$2,'P&amp;L - Qtrly'!P$2,'P&amp;L - Monthly'!58:58)</f>
        <v>3000</v>
      </c>
      <c r="Q53" s="17">
        <f>SUMIF('P&amp;L - Monthly'!$2:$2,'P&amp;L - Qtrly'!Q$2,'P&amp;L - Monthly'!58:58)</f>
        <v>3000</v>
      </c>
      <c r="R53" s="17">
        <f>SUMIF('P&amp;L - Monthly'!$2:$2,'P&amp;L - Qtrly'!R$2,'P&amp;L - Monthly'!58:58)</f>
        <v>3000</v>
      </c>
      <c r="S53" s="17">
        <f>SUMIF('P&amp;L - Monthly'!$2:$2,'P&amp;L - Qtrly'!S$2,'P&amp;L - Monthly'!58:58)</f>
        <v>3000</v>
      </c>
      <c r="T53" s="17">
        <f>SUMIF('P&amp;L - Monthly'!$2:$2,'P&amp;L - Qtrly'!T$2,'P&amp;L - Monthly'!58:58)</f>
        <v>3000</v>
      </c>
      <c r="U53" s="17">
        <f>SUMIF('P&amp;L - Monthly'!$2:$2,'P&amp;L - Qtrly'!U$2,'P&amp;L - Monthly'!58:58)</f>
        <v>3000</v>
      </c>
      <c r="V53" s="17">
        <f>SUMIF('P&amp;L - Monthly'!$2:$2,'P&amp;L - Qtrly'!V$2,'P&amp;L - Monthly'!58:58)</f>
        <v>3000</v>
      </c>
      <c r="W53" s="575">
        <f>SUMIF('P&amp;L - Monthly'!$2:$2,'P&amp;L - Qtrly'!W$2,'P&amp;L - Monthly'!58:58)</f>
        <v>3000</v>
      </c>
      <c r="X53" s="575">
        <f>SUMIF('P&amp;L - Monthly'!$2:$2,'P&amp;L - Qtrly'!X$2,'P&amp;L - Monthly'!58:58)</f>
        <v>3000</v>
      </c>
      <c r="Y53" s="575">
        <f>SUMIF('P&amp;L - Monthly'!$2:$2,'P&amp;L - Qtrly'!Y$2,'P&amp;L - Monthly'!58:58)</f>
        <v>3000</v>
      </c>
      <c r="Z53" s="575">
        <f>SUMIF('P&amp;L - Monthly'!$2:$2,'P&amp;L - Qtrly'!Z$2,'P&amp;L - Monthly'!58:58)</f>
        <v>3000</v>
      </c>
      <c r="AA53" s="37"/>
      <c r="AB53" s="37"/>
      <c r="AC53" s="37"/>
      <c r="AD53" s="37"/>
      <c r="AE53" s="37"/>
      <c r="AF53" s="37"/>
      <c r="AG53" s="37"/>
      <c r="AH53" s="37"/>
    </row>
    <row r="54" spans="1:72" x14ac:dyDescent="0.25">
      <c r="B54" s="883" t="s">
        <v>47</v>
      </c>
      <c r="C54" s="17">
        <f>SUMIF('P&amp;L - Monthly'!$2:$2,'P&amp;L - Qtrly'!C$2,'P&amp;L - Monthly'!59:59)</f>
        <v>0</v>
      </c>
      <c r="D54" s="17">
        <f>SUMIF('P&amp;L - Monthly'!$2:$2,'P&amp;L - Qtrly'!D$2,'P&amp;L - Monthly'!59:59)</f>
        <v>0</v>
      </c>
      <c r="E54" s="17">
        <f>SUMIF('P&amp;L - Monthly'!$2:$2,'P&amp;L - Qtrly'!E$2,'P&amp;L - Monthly'!59:59)</f>
        <v>0</v>
      </c>
      <c r="F54" s="17">
        <f>SUMIF('P&amp;L - Monthly'!$2:$2,'P&amp;L - Qtrly'!F$2,'P&amp;L - Monthly'!59:59)</f>
        <v>0</v>
      </c>
      <c r="G54" s="17">
        <f>SUMIF('P&amp;L - Monthly'!$2:$2,'P&amp;L - Qtrly'!G$2,'P&amp;L - Monthly'!59:59)</f>
        <v>0</v>
      </c>
      <c r="H54" s="17">
        <f>SUMIF('P&amp;L - Monthly'!$2:$2,'P&amp;L - Qtrly'!H$2,'P&amp;L - Monthly'!59:59)</f>
        <v>0</v>
      </c>
      <c r="I54" s="17">
        <f>SUMIF('P&amp;L - Monthly'!$2:$2,'P&amp;L - Qtrly'!I$2,'P&amp;L - Monthly'!59:59)</f>
        <v>0</v>
      </c>
      <c r="J54" s="17">
        <f>SUMIF('P&amp;L - Monthly'!$2:$2,'P&amp;L - Qtrly'!J$2,'P&amp;L - Monthly'!59:59)</f>
        <v>0</v>
      </c>
      <c r="K54" s="17">
        <f>SUMIF('P&amp;L - Monthly'!$2:$2,'P&amp;L - Qtrly'!K$2,'P&amp;L - Monthly'!59:59)</f>
        <v>0</v>
      </c>
      <c r="L54" s="17">
        <f>SUMIF('P&amp;L - Monthly'!$2:$2,'P&amp;L - Qtrly'!L$2,'P&amp;L - Monthly'!59:59)</f>
        <v>129000</v>
      </c>
      <c r="M54" s="17">
        <f>SUMIF('P&amp;L - Monthly'!$2:$2,'P&amp;L - Qtrly'!M$2,'P&amp;L - Monthly'!59:59)</f>
        <v>129000</v>
      </c>
      <c r="N54" s="17">
        <f>SUMIF('P&amp;L - Monthly'!$2:$2,'P&amp;L - Qtrly'!N$2,'P&amp;L - Monthly'!59:59)</f>
        <v>129000</v>
      </c>
      <c r="O54" s="17">
        <f>SUMIF('P&amp;L - Monthly'!$2:$2,'P&amp;L - Qtrly'!O$2,'P&amp;L - Monthly'!59:59)</f>
        <v>129000</v>
      </c>
      <c r="P54" s="17">
        <f>SUMIF('P&amp;L - Monthly'!$2:$2,'P&amp;L - Qtrly'!P$2,'P&amp;L - Monthly'!59:59)</f>
        <v>129000</v>
      </c>
      <c r="Q54" s="17">
        <f>SUMIF('P&amp;L - Monthly'!$2:$2,'P&amp;L - Qtrly'!Q$2,'P&amp;L - Monthly'!59:59)</f>
        <v>129000</v>
      </c>
      <c r="R54" s="17">
        <f>SUMIF('P&amp;L - Monthly'!$2:$2,'P&amp;L - Qtrly'!R$2,'P&amp;L - Monthly'!59:59)</f>
        <v>129000</v>
      </c>
      <c r="S54" s="17">
        <f>SUMIF('P&amp;L - Monthly'!$2:$2,'P&amp;L - Qtrly'!S$2,'P&amp;L - Monthly'!59:59)</f>
        <v>129000</v>
      </c>
      <c r="T54" s="17">
        <f>SUMIF('P&amp;L - Monthly'!$2:$2,'P&amp;L - Qtrly'!T$2,'P&amp;L - Monthly'!59:59)</f>
        <v>129000</v>
      </c>
      <c r="U54" s="17">
        <f>SUMIF('P&amp;L - Monthly'!$2:$2,'P&amp;L - Qtrly'!U$2,'P&amp;L - Monthly'!59:59)</f>
        <v>129000</v>
      </c>
      <c r="V54" s="17">
        <f>SUMIF('P&amp;L - Monthly'!$2:$2,'P&amp;L - Qtrly'!V$2,'P&amp;L - Monthly'!59:59)</f>
        <v>129000</v>
      </c>
      <c r="W54" s="575">
        <f>SUMIF('P&amp;L - Monthly'!$2:$2,'P&amp;L - Qtrly'!W$2,'P&amp;L - Monthly'!59:59)</f>
        <v>129000</v>
      </c>
      <c r="X54" s="575">
        <f>SUMIF('P&amp;L - Monthly'!$2:$2,'P&amp;L - Qtrly'!X$2,'P&amp;L - Monthly'!59:59)</f>
        <v>129000</v>
      </c>
      <c r="Y54" s="575">
        <f>SUMIF('P&amp;L - Monthly'!$2:$2,'P&amp;L - Qtrly'!Y$2,'P&amp;L - Monthly'!59:59)</f>
        <v>129000</v>
      </c>
      <c r="Z54" s="575">
        <f>SUMIF('P&amp;L - Monthly'!$2:$2,'P&amp;L - Qtrly'!Z$2,'P&amp;L - Monthly'!59:59)</f>
        <v>129000</v>
      </c>
      <c r="AA54" s="37"/>
      <c r="AB54" s="37"/>
      <c r="AC54" s="37"/>
      <c r="AD54" s="37"/>
      <c r="AE54" s="37"/>
      <c r="AF54" s="37"/>
      <c r="AG54" s="37"/>
      <c r="AH54" s="37"/>
    </row>
    <row r="55" spans="1:72" ht="15.75" thickBot="1" x14ac:dyDescent="0.3">
      <c r="B55" s="993" t="s">
        <v>28</v>
      </c>
      <c r="C55" s="20">
        <f>SUMIF('P&amp;L - Monthly'!$2:$2,'P&amp;L - Qtrly'!C$2,'P&amp;L - Monthly'!60:60)</f>
        <v>273069.30261000001</v>
      </c>
      <c r="D55" s="20">
        <f>SUMIF('P&amp;L - Monthly'!$2:$2,'P&amp;L - Qtrly'!D$2,'P&amp;L - Monthly'!60:60)</f>
        <v>257046.89548000001</v>
      </c>
      <c r="E55" s="20">
        <f>SUMIF('P&amp;L - Monthly'!$2:$2,'P&amp;L - Qtrly'!E$2,'P&amp;L - Monthly'!60:60)</f>
        <v>315768.09004000004</v>
      </c>
      <c r="F55" s="20">
        <f>SUMIF('P&amp;L - Monthly'!$2:$2,'P&amp;L - Qtrly'!F$2,'P&amp;L - Monthly'!60:60)</f>
        <v>977041.54545999994</v>
      </c>
      <c r="G55" s="20">
        <f>SUMIF('P&amp;L - Monthly'!$2:$2,'P&amp;L - Qtrly'!G$2,'P&amp;L - Monthly'!60:60)</f>
        <v>96183.510000000009</v>
      </c>
      <c r="H55" s="20">
        <f>SUMIF('P&amp;L - Monthly'!$2:$2,'P&amp;L - Qtrly'!H$2,'P&amp;L - Monthly'!60:60)</f>
        <v>194051.66999999998</v>
      </c>
      <c r="I55" s="20">
        <f>SUMIF('P&amp;L - Monthly'!$2:$2,'P&amp;L - Qtrly'!I$2,'P&amp;L - Monthly'!60:60)</f>
        <v>255726.77999999997</v>
      </c>
      <c r="J55" s="20">
        <f>SUMIF('P&amp;L - Monthly'!$2:$2,'P&amp;L - Qtrly'!J$2,'P&amp;L - Monthly'!60:60)</f>
        <v>359284.99</v>
      </c>
      <c r="K55" s="20">
        <f>SUMIF('P&amp;L - Monthly'!$2:$2,'P&amp;L - Qtrly'!K$2,'P&amp;L - Monthly'!60:60)</f>
        <v>375593.21</v>
      </c>
      <c r="L55" s="20">
        <f>SUMIF('P&amp;L - Monthly'!$2:$2,'P&amp;L - Qtrly'!L$2,'P&amp;L - Monthly'!60:60)</f>
        <v>55000.000000000007</v>
      </c>
      <c r="M55" s="20">
        <f>SUMIF('P&amp;L - Monthly'!$2:$2,'P&amp;L - Qtrly'!M$2,'P&amp;L - Monthly'!60:60)</f>
        <v>55000.000000000007</v>
      </c>
      <c r="N55" s="20">
        <f>SUMIF('P&amp;L - Monthly'!$2:$2,'P&amp;L - Qtrly'!N$2,'P&amp;L - Monthly'!60:60)</f>
        <v>55000.000000000007</v>
      </c>
      <c r="O55" s="20">
        <f>SUMIF('P&amp;L - Monthly'!$2:$2,'P&amp;L - Qtrly'!O$2,'P&amp;L - Monthly'!60:60)</f>
        <v>55000.000000000007</v>
      </c>
      <c r="P55" s="20">
        <f>SUMIF('P&amp;L - Monthly'!$2:$2,'P&amp;L - Qtrly'!P$2,'P&amp;L - Monthly'!60:60)</f>
        <v>55000.000000000007</v>
      </c>
      <c r="Q55" s="20">
        <f>SUMIF('P&amp;L - Monthly'!$2:$2,'P&amp;L - Qtrly'!Q$2,'P&amp;L - Monthly'!60:60)</f>
        <v>55000.000000000007</v>
      </c>
      <c r="R55" s="20">
        <f>SUMIF('P&amp;L - Monthly'!$2:$2,'P&amp;L - Qtrly'!R$2,'P&amp;L - Monthly'!60:60)</f>
        <v>55000.000000000007</v>
      </c>
      <c r="S55" s="20">
        <f>SUMIF('P&amp;L - Monthly'!$2:$2,'P&amp;L - Qtrly'!S$2,'P&amp;L - Monthly'!60:60)</f>
        <v>55000.000000000007</v>
      </c>
      <c r="T55" s="20">
        <f>SUMIF('P&amp;L - Monthly'!$2:$2,'P&amp;L - Qtrly'!T$2,'P&amp;L - Monthly'!60:60)</f>
        <v>55000.000000000007</v>
      </c>
      <c r="U55" s="20">
        <f>SUMIF('P&amp;L - Monthly'!$2:$2,'P&amp;L - Qtrly'!U$2,'P&amp;L - Monthly'!60:60)</f>
        <v>55000.000000000007</v>
      </c>
      <c r="V55" s="20">
        <f>SUMIF('P&amp;L - Monthly'!$2:$2,'P&amp;L - Qtrly'!V$2,'P&amp;L - Monthly'!60:60)</f>
        <v>55000.000000000007</v>
      </c>
      <c r="W55" s="225">
        <f>SUMIF('P&amp;L - Monthly'!$2:$2,'P&amp;L - Qtrly'!W$2,'P&amp;L - Monthly'!60:60)</f>
        <v>55000.000000000007</v>
      </c>
      <c r="X55" s="225">
        <f>SUMIF('P&amp;L - Monthly'!$2:$2,'P&amp;L - Qtrly'!X$2,'P&amp;L - Monthly'!60:60)</f>
        <v>55000.000000000007</v>
      </c>
      <c r="Y55" s="225">
        <f>SUMIF('P&amp;L - Monthly'!$2:$2,'P&amp;L - Qtrly'!Y$2,'P&amp;L - Monthly'!60:60)</f>
        <v>55000.000000000007</v>
      </c>
      <c r="Z55" s="225">
        <f>SUMIF('P&amp;L - Monthly'!$2:$2,'P&amp;L - Qtrly'!Z$2,'P&amp;L - Monthly'!60:60)</f>
        <v>55000.000000000007</v>
      </c>
      <c r="AA55" s="37"/>
      <c r="AB55" s="37"/>
      <c r="AC55" s="37"/>
      <c r="AD55" s="37"/>
      <c r="AE55" s="37"/>
      <c r="AF55" s="37"/>
      <c r="AG55" s="37"/>
      <c r="AH55" s="37"/>
    </row>
    <row r="56" spans="1:72" ht="15.75" thickTop="1" x14ac:dyDescent="0.25">
      <c r="A56" s="29"/>
      <c r="B56" s="29" t="s">
        <v>18</v>
      </c>
      <c r="C56" s="8">
        <f t="shared" ref="C56:V56" si="14">SUM(C43:C55)</f>
        <v>438737.06417000003</v>
      </c>
      <c r="D56" s="8">
        <f t="shared" si="14"/>
        <v>791717.38360000006</v>
      </c>
      <c r="E56" s="8">
        <f t="shared" si="14"/>
        <v>1149806.0330700001</v>
      </c>
      <c r="F56" s="8">
        <f t="shared" si="14"/>
        <v>1656644.6546699998</v>
      </c>
      <c r="G56" s="8">
        <f t="shared" si="14"/>
        <v>666673.92000000004</v>
      </c>
      <c r="H56" s="8">
        <f t="shared" si="14"/>
        <v>702815.23</v>
      </c>
      <c r="I56" s="8">
        <f t="shared" si="14"/>
        <v>806303.89000000013</v>
      </c>
      <c r="J56" s="8">
        <f t="shared" si="14"/>
        <v>880910.37</v>
      </c>
      <c r="K56" s="8">
        <f t="shared" si="14"/>
        <v>883395.27</v>
      </c>
      <c r="L56" s="8">
        <f t="shared" ca="1" si="14"/>
        <v>975898.16907989886</v>
      </c>
      <c r="M56" s="8">
        <f t="shared" ca="1" si="14"/>
        <v>1002812.3525188952</v>
      </c>
      <c r="N56" s="8">
        <f t="shared" ca="1" si="14"/>
        <v>989262.18819845677</v>
      </c>
      <c r="O56" s="8">
        <f t="shared" ca="1" si="14"/>
        <v>919127.0105592038</v>
      </c>
      <c r="P56" s="8">
        <f t="shared" ca="1" si="14"/>
        <v>947526.69266353524</v>
      </c>
      <c r="Q56" s="8">
        <f t="shared" ca="1" si="14"/>
        <v>960596.55508437543</v>
      </c>
      <c r="R56" s="8">
        <f t="shared" ca="1" si="14"/>
        <v>974944.81848244648</v>
      </c>
      <c r="S56" s="8">
        <f t="shared" ca="1" si="14"/>
        <v>980253.88467102824</v>
      </c>
      <c r="T56" s="8">
        <f t="shared" ca="1" si="14"/>
        <v>997795.790449908</v>
      </c>
      <c r="U56" s="8">
        <f t="shared" ca="1" si="14"/>
        <v>1013064.3340602471</v>
      </c>
      <c r="V56" s="8">
        <f t="shared" ca="1" si="14"/>
        <v>1028820.6053913981</v>
      </c>
      <c r="W56" s="165">
        <f t="shared" ref="W56:Z56" ca="1" si="15">SUM(W43:W55)</f>
        <v>1053179.0513192946</v>
      </c>
      <c r="X56" s="165">
        <f t="shared" ca="1" si="15"/>
        <v>1070155.3364297769</v>
      </c>
      <c r="Y56" s="165">
        <f t="shared" ca="1" si="15"/>
        <v>1086102.6279600176</v>
      </c>
      <c r="Z56" s="165">
        <f t="shared" ca="1" si="15"/>
        <v>1102181.4654103406</v>
      </c>
      <c r="AA56" s="201"/>
      <c r="AB56" s="201"/>
      <c r="AC56" s="201"/>
      <c r="AD56" s="201"/>
      <c r="AE56" s="201"/>
      <c r="AF56" s="201"/>
      <c r="AG56" s="201"/>
      <c r="AH56" s="201"/>
      <c r="AI56" s="33"/>
      <c r="AJ56" s="33"/>
      <c r="AK56" s="33"/>
      <c r="AL56" s="33"/>
      <c r="AM56" s="33"/>
      <c r="AN56" s="33"/>
      <c r="AO56" s="33"/>
      <c r="AP56" s="33"/>
      <c r="AQ56" s="33"/>
      <c r="AR56" s="33"/>
      <c r="AS56" s="33"/>
      <c r="AT56" s="33"/>
      <c r="AU56" s="33"/>
      <c r="AV56" s="33"/>
      <c r="AW56" s="29"/>
      <c r="AX56" s="29"/>
      <c r="AY56" s="29"/>
      <c r="AZ56" s="29"/>
      <c r="BA56" s="29"/>
      <c r="BB56" s="29"/>
      <c r="BC56" s="29"/>
      <c r="BD56" s="29"/>
      <c r="BE56" s="29"/>
      <c r="BF56" s="29"/>
      <c r="BG56" s="29"/>
      <c r="BH56" s="29"/>
      <c r="BI56" s="29"/>
      <c r="BJ56" s="29"/>
      <c r="BK56" s="29"/>
      <c r="BL56" s="29"/>
      <c r="BM56" s="29"/>
      <c r="BN56" s="29"/>
      <c r="BO56" s="29"/>
      <c r="BP56" s="29"/>
      <c r="BQ56" s="29"/>
      <c r="BR56" s="29"/>
      <c r="BS56" s="29"/>
    </row>
    <row r="57" spans="1:72" x14ac:dyDescent="0.25">
      <c r="W57" s="570"/>
      <c r="X57" s="570"/>
      <c r="Y57" s="570"/>
      <c r="Z57" s="570"/>
    </row>
    <row r="58" spans="1:72" x14ac:dyDescent="0.25">
      <c r="B58" s="29" t="s">
        <v>144</v>
      </c>
      <c r="C58" s="17">
        <f>SUMIF('P&amp;L - Monthly'!$2:$2,'P&amp;L - Qtrly'!C$2,'P&amp;L - Monthly'!63:63)</f>
        <v>1294401.06379</v>
      </c>
      <c r="D58" s="17">
        <f>SUMIF('P&amp;L - Monthly'!$2:$2,'P&amp;L - Qtrly'!D$2,'P&amp;L - Monthly'!63:63)</f>
        <v>1809044.14539</v>
      </c>
      <c r="E58" s="17">
        <f>SUMIF('P&amp;L - Monthly'!$2:$2,'P&amp;L - Qtrly'!E$2,'P&amp;L - Monthly'!63:63)</f>
        <v>2286745.8918000003</v>
      </c>
      <c r="F58" s="17">
        <f>SUMIF('P&amp;L - Monthly'!$2:$2,'P&amp;L - Qtrly'!F$2,'P&amp;L - Monthly'!63:63)</f>
        <v>2928912.9458000003</v>
      </c>
      <c r="G58" s="17">
        <f>SUMIF('P&amp;L - Monthly'!$2:$2,'P&amp;L - Qtrly'!G$2,'P&amp;L - Monthly'!63:63)</f>
        <v>2791577.86</v>
      </c>
      <c r="H58" s="17">
        <f>SUMIF('P&amp;L - Monthly'!$2:$2,'P&amp;L - Qtrly'!H$2,'P&amp;L - Monthly'!63:63)</f>
        <v>3143160.0799999996</v>
      </c>
      <c r="I58" s="17">
        <f>SUMIF('P&amp;L - Monthly'!$2:$2,'P&amp;L - Qtrly'!I$2,'P&amp;L - Monthly'!63:63)</f>
        <v>4276064.26</v>
      </c>
      <c r="J58" s="17">
        <f>SUMIF('P&amp;L - Monthly'!$2:$2,'P&amp;L - Qtrly'!J$2,'P&amp;L - Monthly'!63:63)</f>
        <v>3737897.56</v>
      </c>
      <c r="K58" s="17">
        <f>SUMIF('P&amp;L - Monthly'!$2:$2,'P&amp;L - Qtrly'!K$2,'P&amp;L - Monthly'!63:63)</f>
        <v>4146675.0200000005</v>
      </c>
      <c r="L58" s="17">
        <f ca="1">SUMIF('P&amp;L - Monthly'!$2:$2,'P&amp;L - Qtrly'!L$2,'P&amp;L - Monthly'!63:63)</f>
        <v>6098080.2023548409</v>
      </c>
      <c r="M58" s="17">
        <f ca="1">SUMIF('P&amp;L - Monthly'!$2:$2,'P&amp;L - Qtrly'!M$2,'P&amp;L - Monthly'!63:63)</f>
        <v>5856522.7953151148</v>
      </c>
      <c r="N58" s="17">
        <f ca="1">SUMIF('P&amp;L - Monthly'!$2:$2,'P&amp;L - Qtrly'!N$2,'P&amp;L - Monthly'!63:63)</f>
        <v>5751830.1627785247</v>
      </c>
      <c r="O58" s="17">
        <f ca="1">SUMIF('P&amp;L - Monthly'!$2:$2,'P&amp;L - Qtrly'!O$2,'P&amp;L - Monthly'!63:63)</f>
        <v>11297146.544891959</v>
      </c>
      <c r="P58" s="17">
        <f ca="1">SUMIF('P&amp;L - Monthly'!$2:$2,'P&amp;L - Qtrly'!P$2,'P&amp;L - Monthly'!63:63)</f>
        <v>3816094.3913746183</v>
      </c>
      <c r="Q58" s="17">
        <f ca="1">SUMIF('P&amp;L - Monthly'!$2:$2,'P&amp;L - Qtrly'!Q$2,'P&amp;L - Monthly'!63:63)</f>
        <v>3869084.9955576598</v>
      </c>
      <c r="R58" s="17">
        <f ca="1">SUMIF('P&amp;L - Monthly'!$2:$2,'P&amp;L - Qtrly'!R$2,'P&amp;L - Monthly'!63:63)</f>
        <v>3929737.771370763</v>
      </c>
      <c r="S58" s="17">
        <f ca="1">SUMIF('P&amp;L - Monthly'!$2:$2,'P&amp;L - Qtrly'!S$2,'P&amp;L - Monthly'!63:63)</f>
        <v>4815188.970699396</v>
      </c>
      <c r="T58" s="17">
        <f ca="1">SUMIF('P&amp;L - Monthly'!$2:$2,'P&amp;L - Qtrly'!T$2,'P&amp;L - Monthly'!63:63)</f>
        <v>5287649.0367379598</v>
      </c>
      <c r="U58" s="17">
        <f ca="1">SUMIF('P&amp;L - Monthly'!$2:$2,'P&amp;L - Qtrly'!U$2,'P&amp;L - Monthly'!63:63)</f>
        <v>5350097.4125264157</v>
      </c>
      <c r="V58" s="17">
        <f ca="1">SUMIF('P&amp;L - Monthly'!$2:$2,'P&amp;L - Qtrly'!V$2,'P&amp;L - Monthly'!63:63)</f>
        <v>5420489.3643376473</v>
      </c>
      <c r="W58" s="575">
        <f ca="1">SUMIF('P&amp;L - Monthly'!$2:$2,'P&amp;L - Qtrly'!W$2,'P&amp;L - Monthly'!63:63)</f>
        <v>4355893.8141611964</v>
      </c>
      <c r="X58" s="575">
        <f ca="1">SUMIF('P&amp;L - Monthly'!$2:$2,'P&amp;L - Qtrly'!X$2,'P&amp;L - Monthly'!63:63)</f>
        <v>4438203.4344901908</v>
      </c>
      <c r="Y58" s="575">
        <f ca="1">SUMIF('P&amp;L - Monthly'!$2:$2,'P&amp;L - Qtrly'!Y$2,'P&amp;L - Monthly'!63:63)</f>
        <v>4512476.4184810966</v>
      </c>
      <c r="Z58" s="575" t="e">
        <f ca="1">SUMIF('P&amp;L - Monthly'!$2:$2,'P&amp;L - Qtrly'!Z$2,'P&amp;L - Monthly'!63:63)</f>
        <v>#REF!</v>
      </c>
      <c r="AA58" s="37"/>
      <c r="AB58" s="37"/>
      <c r="AC58" s="37"/>
      <c r="AD58" s="37"/>
      <c r="AE58" s="37"/>
      <c r="AF58" s="37"/>
      <c r="AG58" s="37"/>
      <c r="AH58" s="37"/>
    </row>
    <row r="59" spans="1:72" x14ac:dyDescent="0.25">
      <c r="W59" s="570"/>
      <c r="X59" s="570"/>
      <c r="Y59" s="570"/>
      <c r="Z59" s="570"/>
    </row>
    <row r="60" spans="1:72" ht="15.75" thickBot="1" x14ac:dyDescent="0.3">
      <c r="B60" s="50" t="s">
        <v>76</v>
      </c>
      <c r="C60" s="53">
        <f t="shared" ref="C60:V60" si="16">C28-C35-C40-C56</f>
        <v>1341140.5726117659</v>
      </c>
      <c r="D60" s="53">
        <f t="shared" si="16"/>
        <v>1058436.9996504416</v>
      </c>
      <c r="E60" s="53">
        <f t="shared" si="16"/>
        <v>761732.08983685635</v>
      </c>
      <c r="F60" s="53">
        <f t="shared" si="16"/>
        <v>619236.03936907439</v>
      </c>
      <c r="G60" s="53">
        <f t="shared" si="16"/>
        <v>580194.87999999907</v>
      </c>
      <c r="H60" s="53">
        <f t="shared" si="16"/>
        <v>465326.62999999989</v>
      </c>
      <c r="I60" s="53">
        <f t="shared" si="16"/>
        <v>-795142.83999999985</v>
      </c>
      <c r="J60" s="53">
        <f t="shared" si="16"/>
        <v>183569.84999999928</v>
      </c>
      <c r="K60" s="53">
        <f t="shared" si="16"/>
        <v>-213588.76000000024</v>
      </c>
      <c r="L60" s="53">
        <f t="shared" ca="1" si="16"/>
        <v>-1422161.2849780857</v>
      </c>
      <c r="M60" s="53">
        <f t="shared" ca="1" si="16"/>
        <v>-452679.1841366142</v>
      </c>
      <c r="N60" s="53">
        <f t="shared" ca="1" si="16"/>
        <v>593360.78707106062</v>
      </c>
      <c r="O60" s="53">
        <f t="shared" ca="1" si="16"/>
        <v>-3681467.4207806988</v>
      </c>
      <c r="P60" s="53">
        <f t="shared" ca="1" si="16"/>
        <v>4916745.6036052946</v>
      </c>
      <c r="Q60" s="53">
        <f t="shared" ca="1" si="16"/>
        <v>5936897.5503163273</v>
      </c>
      <c r="R60" s="53">
        <f t="shared" ca="1" si="16"/>
        <v>6950916.5597248487</v>
      </c>
      <c r="S60" s="53">
        <f t="shared" ca="1" si="16"/>
        <v>-4959194.970699396</v>
      </c>
      <c r="T60" s="53">
        <f t="shared" ca="1" si="16"/>
        <v>-5363699.0367379598</v>
      </c>
      <c r="U60" s="53">
        <f t="shared" ca="1" si="16"/>
        <v>-5426147.4125264147</v>
      </c>
      <c r="V60" s="53">
        <f t="shared" ca="1" si="16"/>
        <v>-5496539.3643376483</v>
      </c>
      <c r="W60" s="577">
        <f t="shared" ref="W60:Z60" ca="1" si="17">W28-W35-W40-W56</f>
        <v>-4431943.8141611973</v>
      </c>
      <c r="X60" s="577">
        <f t="shared" ca="1" si="17"/>
        <v>-4514253.4344901908</v>
      </c>
      <c r="Y60" s="577">
        <f t="shared" ca="1" si="17"/>
        <v>-4588526.4184810966</v>
      </c>
      <c r="Z60" s="577" t="e">
        <f t="shared" ca="1" si="17"/>
        <v>#REF!</v>
      </c>
      <c r="AA60" s="201"/>
      <c r="AB60" s="201"/>
      <c r="AC60" s="201"/>
      <c r="AD60" s="201"/>
      <c r="AE60" s="201"/>
      <c r="AF60" s="201"/>
      <c r="AG60" s="201"/>
      <c r="AH60" s="201"/>
    </row>
    <row r="61" spans="1:72" x14ac:dyDescent="0.25">
      <c r="B61" s="128"/>
      <c r="C61" s="84"/>
      <c r="D61" s="84"/>
      <c r="E61" s="84"/>
      <c r="F61" s="84"/>
      <c r="G61" s="84"/>
      <c r="H61" s="84"/>
      <c r="I61" s="84"/>
      <c r="J61" s="84"/>
      <c r="K61" s="84"/>
      <c r="L61" s="84"/>
      <c r="M61" s="84"/>
      <c r="N61" s="84"/>
      <c r="O61" s="84"/>
      <c r="P61" s="84"/>
      <c r="Q61" s="84"/>
      <c r="R61" s="84"/>
      <c r="S61" s="84"/>
      <c r="T61" s="84"/>
      <c r="U61" s="84"/>
      <c r="V61" s="84"/>
      <c r="W61" s="84"/>
      <c r="X61" s="84"/>
      <c r="Y61" s="84"/>
      <c r="Z61" s="84"/>
      <c r="AA61" s="201"/>
      <c r="AB61" s="201"/>
      <c r="AC61" s="201"/>
      <c r="AD61" s="201"/>
      <c r="AE61" s="201"/>
      <c r="AF61" s="201"/>
      <c r="AG61" s="201"/>
      <c r="AH61" s="201"/>
    </row>
    <row r="62" spans="1:72" x14ac:dyDescent="0.25">
      <c r="B62" s="125" t="s">
        <v>146</v>
      </c>
      <c r="C62" s="126">
        <f t="shared" ref="C62:V62" si="18">C60/C17</f>
        <v>0.41020266395608052</v>
      </c>
      <c r="D62" s="126">
        <f t="shared" si="18"/>
        <v>0.29180651153658593</v>
      </c>
      <c r="E62" s="126">
        <f t="shared" si="18"/>
        <v>0.21260971211854918</v>
      </c>
      <c r="F62" s="126">
        <f t="shared" si="18"/>
        <v>0.14318810636447143</v>
      </c>
      <c r="G62" s="126">
        <f t="shared" si="18"/>
        <v>0.15014308151214556</v>
      </c>
      <c r="H62" s="126">
        <f t="shared" si="18"/>
        <v>0.1102907211985788</v>
      </c>
      <c r="I62" s="126">
        <f t="shared" si="18"/>
        <v>-0.19267527847177549</v>
      </c>
      <c r="J62" s="126">
        <f t="shared" si="18"/>
        <v>3.9375798721580285E-2</v>
      </c>
      <c r="K62" s="126">
        <f t="shared" si="18"/>
        <v>-4.6457238796513804E-2</v>
      </c>
      <c r="L62" s="126">
        <f t="shared" ca="1" si="18"/>
        <v>-0.25720375451942057</v>
      </c>
      <c r="M62" s="126">
        <f t="shared" ca="1" si="18"/>
        <v>-7.1274627841671018E-2</v>
      </c>
      <c r="N62" s="126">
        <f t="shared" ca="1" si="18"/>
        <v>7.9939603621348054E-2</v>
      </c>
      <c r="O62" s="126">
        <f t="shared" ca="1" si="18"/>
        <v>-0.41433883323218218</v>
      </c>
      <c r="P62" s="126">
        <f t="shared" ca="1" si="18"/>
        <v>0.48386206207837662</v>
      </c>
      <c r="Q62" s="126">
        <f t="shared" ca="1" si="18"/>
        <v>0.52149910345450934</v>
      </c>
      <c r="R62" s="126">
        <f t="shared" ca="1" si="18"/>
        <v>0.55126723023625146</v>
      </c>
      <c r="S62" s="126" t="e">
        <f t="shared" ca="1" si="18"/>
        <v>#DIV/0!</v>
      </c>
      <c r="T62" s="126" t="e">
        <f t="shared" ca="1" si="18"/>
        <v>#DIV/0!</v>
      </c>
      <c r="U62" s="126" t="e">
        <f t="shared" ca="1" si="18"/>
        <v>#DIV/0!</v>
      </c>
      <c r="V62" s="126" t="e">
        <f t="shared" ca="1" si="18"/>
        <v>#DIV/0!</v>
      </c>
      <c r="W62" s="126" t="e">
        <f t="shared" ref="W62:Z62" ca="1" si="19">W60/W17</f>
        <v>#DIV/0!</v>
      </c>
      <c r="X62" s="126" t="e">
        <f t="shared" ca="1" si="19"/>
        <v>#DIV/0!</v>
      </c>
      <c r="Y62" s="126" t="e">
        <f t="shared" ca="1" si="19"/>
        <v>#DIV/0!</v>
      </c>
      <c r="Z62" s="126" t="e">
        <f t="shared" ca="1" si="19"/>
        <v>#REF!</v>
      </c>
      <c r="AA62" s="202"/>
      <c r="AB62" s="202"/>
      <c r="AC62" s="202"/>
      <c r="AD62" s="202"/>
      <c r="AE62" s="202"/>
      <c r="AF62" s="202"/>
      <c r="AG62" s="202"/>
      <c r="AH62" s="202"/>
      <c r="AI62" s="202"/>
      <c r="AJ62" s="202"/>
      <c r="AK62" s="202"/>
      <c r="AL62" s="202"/>
      <c r="AM62" s="202"/>
      <c r="AN62" s="202"/>
      <c r="AO62" s="202"/>
      <c r="AP62" s="202"/>
      <c r="AQ62" s="202"/>
      <c r="AR62" s="202"/>
      <c r="AS62" s="202"/>
      <c r="AT62" s="202"/>
      <c r="AU62" s="202"/>
      <c r="AV62" s="202"/>
      <c r="AW62" s="126"/>
      <c r="AX62" s="126"/>
      <c r="AY62" s="126"/>
      <c r="AZ62" s="126"/>
      <c r="BA62" s="126"/>
      <c r="BB62" s="126"/>
      <c r="BC62" s="126"/>
      <c r="BD62" s="126"/>
      <c r="BE62" s="126"/>
      <c r="BF62" s="126"/>
      <c r="BG62" s="126"/>
      <c r="BH62" s="126"/>
      <c r="BI62" s="126"/>
      <c r="BJ62" s="126"/>
      <c r="BK62" s="126"/>
      <c r="BL62" s="126"/>
      <c r="BM62" s="126"/>
      <c r="BN62" s="126"/>
      <c r="BO62" s="126"/>
      <c r="BP62" s="126"/>
      <c r="BQ62" s="126"/>
      <c r="BR62" s="126"/>
      <c r="BS62" s="84"/>
      <c r="BT62" s="156"/>
    </row>
    <row r="63" spans="1:72" x14ac:dyDescent="0.25">
      <c r="W63" s="570"/>
      <c r="X63" s="570"/>
      <c r="Y63" s="570"/>
      <c r="Z63" s="570"/>
      <c r="AW63" s="156"/>
      <c r="AX63" s="156"/>
      <c r="AY63" s="156"/>
      <c r="AZ63" s="156"/>
      <c r="BA63" s="156"/>
      <c r="BB63" s="156"/>
      <c r="BC63" s="156"/>
      <c r="BD63" s="156"/>
      <c r="BE63" s="156"/>
      <c r="BF63" s="156"/>
      <c r="BG63" s="156"/>
      <c r="BH63" s="156"/>
      <c r="BI63" s="156"/>
      <c r="BJ63" s="156"/>
      <c r="BK63" s="156"/>
      <c r="BL63" s="156"/>
      <c r="BM63" s="156"/>
      <c r="BN63" s="156"/>
      <c r="BO63" s="156"/>
      <c r="BP63" s="156"/>
      <c r="BQ63" s="156"/>
      <c r="BR63" s="156"/>
      <c r="BS63" s="156"/>
      <c r="BT63" s="156"/>
    </row>
    <row r="64" spans="1:72" x14ac:dyDescent="0.25">
      <c r="B64" s="40" t="s">
        <v>138</v>
      </c>
      <c r="C64" s="17">
        <f>SUMIF('P&amp;L - Monthly'!$2:$2,'P&amp;L - Qtrly'!C$2,'P&amp;L - Monthly'!71:71)</f>
        <v>0</v>
      </c>
      <c r="D64" s="17">
        <f>SUMIF('P&amp;L - Monthly'!$2:$2,'P&amp;L - Qtrly'!D$2,'P&amp;L - Monthly'!71:71)</f>
        <v>0</v>
      </c>
      <c r="E64" s="17">
        <f>SUMIF('P&amp;L - Monthly'!$2:$2,'P&amp;L - Qtrly'!E$2,'P&amp;L - Monthly'!71:71)</f>
        <v>0</v>
      </c>
      <c r="F64" s="17">
        <f>SUMIF('P&amp;L - Monthly'!$2:$2,'P&amp;L - Qtrly'!F$2,'P&amp;L - Monthly'!71:71)</f>
        <v>0</v>
      </c>
      <c r="G64" s="17">
        <f>SUMIF('P&amp;L - Monthly'!$2:$2,'P&amp;L - Qtrly'!G$2,'P&amp;L - Monthly'!71:71)</f>
        <v>0</v>
      </c>
      <c r="H64" s="17">
        <f>SUMIF('P&amp;L - Monthly'!$2:$2,'P&amp;L - Qtrly'!H$2,'P&amp;L - Monthly'!71:71)</f>
        <v>0</v>
      </c>
      <c r="I64" s="17">
        <f>SUMIF('P&amp;L - Monthly'!$2:$2,'P&amp;L - Qtrly'!I$2,'P&amp;L - Monthly'!71:71)</f>
        <v>0</v>
      </c>
      <c r="J64" s="17">
        <f>SUMIF('P&amp;L - Monthly'!$2:$2,'P&amp;L - Qtrly'!J$2,'P&amp;L - Monthly'!71:71)</f>
        <v>0</v>
      </c>
      <c r="K64" s="17">
        <f>SUMIF('P&amp;L - Monthly'!$2:$2,'P&amp;L - Qtrly'!K$2,'P&amp;L - Monthly'!71:71)</f>
        <v>0</v>
      </c>
      <c r="L64" s="17">
        <f>SUMIF('P&amp;L - Monthly'!$2:$2,'P&amp;L - Qtrly'!L$2,'P&amp;L - Monthly'!71:71)</f>
        <v>0</v>
      </c>
      <c r="M64" s="17">
        <f>SUMIF('P&amp;L - Monthly'!$2:$2,'P&amp;L - Qtrly'!M$2,'P&amp;L - Monthly'!71:71)</f>
        <v>0</v>
      </c>
      <c r="N64" s="17">
        <f>SUMIF('P&amp;L - Monthly'!$2:$2,'P&amp;L - Qtrly'!N$2,'P&amp;L - Monthly'!71:71)</f>
        <v>0</v>
      </c>
      <c r="O64" s="17">
        <f>SUMIF('P&amp;L - Monthly'!$2:$2,'P&amp;L - Qtrly'!O$2,'P&amp;L - Monthly'!71:71)</f>
        <v>0</v>
      </c>
      <c r="P64" s="17">
        <f>SUMIF('P&amp;L - Monthly'!$2:$2,'P&amp;L - Qtrly'!P$2,'P&amp;L - Monthly'!71:71)</f>
        <v>0</v>
      </c>
      <c r="Q64" s="17">
        <f>SUMIF('P&amp;L - Monthly'!$2:$2,'P&amp;L - Qtrly'!Q$2,'P&amp;L - Monthly'!71:71)</f>
        <v>0</v>
      </c>
      <c r="R64" s="17">
        <f>SUMIF('P&amp;L - Monthly'!$2:$2,'P&amp;L - Qtrly'!R$2,'P&amp;L - Monthly'!71:71)</f>
        <v>0</v>
      </c>
      <c r="S64" s="17">
        <f>SUMIF('P&amp;L - Monthly'!$2:$2,'P&amp;L - Qtrly'!S$2,'P&amp;L - Monthly'!71:71)</f>
        <v>0</v>
      </c>
      <c r="T64" s="17">
        <f>SUMIF('P&amp;L - Monthly'!$2:$2,'P&amp;L - Qtrly'!T$2,'P&amp;L - Monthly'!71:71)</f>
        <v>0</v>
      </c>
      <c r="U64" s="17">
        <f>SUMIF('P&amp;L - Monthly'!$2:$2,'P&amp;L - Qtrly'!U$2,'P&amp;L - Monthly'!71:71)</f>
        <v>0</v>
      </c>
      <c r="V64" s="17">
        <f>SUMIF('P&amp;L - Monthly'!$2:$2,'P&amp;L - Qtrly'!V$2,'P&amp;L - Monthly'!71:71)</f>
        <v>0</v>
      </c>
      <c r="W64" s="575">
        <f>SUMIF('P&amp;L - Monthly'!$2:$2,'P&amp;L - Qtrly'!W$2,'P&amp;L - Monthly'!71:71)</f>
        <v>0</v>
      </c>
      <c r="X64" s="575">
        <f>SUMIF('P&amp;L - Monthly'!$2:$2,'P&amp;L - Qtrly'!X$2,'P&amp;L - Monthly'!71:71)</f>
        <v>0</v>
      </c>
      <c r="Y64" s="575">
        <f>SUMIF('P&amp;L - Monthly'!$2:$2,'P&amp;L - Qtrly'!Y$2,'P&amp;L - Monthly'!71:71)</f>
        <v>0</v>
      </c>
      <c r="Z64" s="575">
        <f>SUMIF('P&amp;L - Monthly'!$2:$2,'P&amp;L - Qtrly'!Z$2,'P&amp;L - Monthly'!71:71)</f>
        <v>0</v>
      </c>
      <c r="AA64" s="37"/>
      <c r="AB64" s="37"/>
      <c r="AC64" s="37"/>
      <c r="AD64" s="37"/>
      <c r="AE64" s="37"/>
      <c r="AF64" s="37"/>
      <c r="AG64" s="37"/>
      <c r="AH64" s="37"/>
      <c r="AW64" s="156"/>
      <c r="AX64" s="156"/>
      <c r="AY64" s="156"/>
      <c r="AZ64" s="156"/>
      <c r="BA64" s="156"/>
      <c r="BB64" s="156"/>
      <c r="BC64" s="156"/>
      <c r="BD64" s="156"/>
      <c r="BE64" s="156"/>
      <c r="BF64" s="156"/>
      <c r="BG64" s="156"/>
      <c r="BH64" s="156"/>
      <c r="BI64" s="156"/>
      <c r="BJ64" s="156"/>
      <c r="BK64" s="156"/>
      <c r="BL64" s="156"/>
      <c r="BM64" s="156"/>
      <c r="BN64" s="156"/>
      <c r="BO64" s="156"/>
      <c r="BP64" s="156"/>
      <c r="BQ64" s="156"/>
      <c r="BR64" s="156"/>
      <c r="BS64" s="156"/>
      <c r="BT64" s="156"/>
    </row>
    <row r="65" spans="2:72" x14ac:dyDescent="0.25">
      <c r="B65" s="40" t="s">
        <v>139</v>
      </c>
      <c r="C65" s="17">
        <f>SUMIF('P&amp;L - Monthly'!$2:$2,'P&amp;L - Qtrly'!C$2,'P&amp;L - Monthly'!72:72)</f>
        <v>38729.999999999971</v>
      </c>
      <c r="D65" s="17">
        <f>SUMIF('P&amp;L - Monthly'!$2:$2,'P&amp;L - Qtrly'!D$2,'P&amp;L - Monthly'!72:72)</f>
        <v>38730</v>
      </c>
      <c r="E65" s="17">
        <f>SUMIF('P&amp;L - Monthly'!$2:$2,'P&amp;L - Qtrly'!E$2,'P&amp;L - Monthly'!72:72)</f>
        <v>38730</v>
      </c>
      <c r="F65" s="17">
        <f>SUMIF('P&amp;L - Monthly'!$2:$2,'P&amp;L - Qtrly'!F$2,'P&amp;L - Monthly'!72:72)</f>
        <v>-605101.57999999996</v>
      </c>
      <c r="G65" s="17">
        <f>SUMIF('P&amp;L - Monthly'!$2:$2,'P&amp;L - Qtrly'!G$2,'P&amp;L - Monthly'!72:72)</f>
        <v>741498.59000000008</v>
      </c>
      <c r="H65" s="17">
        <f>SUMIF('P&amp;L - Monthly'!$2:$2,'P&amp;L - Qtrly'!H$2,'P&amp;L - Monthly'!72:72)</f>
        <v>744581</v>
      </c>
      <c r="I65" s="17">
        <f>SUMIF('P&amp;L - Monthly'!$2:$2,'P&amp;L - Qtrly'!I$2,'P&amp;L - Monthly'!72:72)</f>
        <v>745374.24</v>
      </c>
      <c r="J65" s="17">
        <f>SUMIF('P&amp;L - Monthly'!$2:$2,'P&amp;L - Qtrly'!J$2,'P&amp;L - Monthly'!72:72)</f>
        <v>745234.58000000007</v>
      </c>
      <c r="K65" s="17">
        <f>SUMIF('P&amp;L - Monthly'!$2:$2,'P&amp;L - Qtrly'!K$2,'P&amp;L - Monthly'!72:72)</f>
        <v>756834</v>
      </c>
      <c r="L65" s="17">
        <f>SUMIF('P&amp;L - Monthly'!$2:$2,'P&amp;L - Qtrly'!L$2,'P&amp;L - Monthly'!72:72)</f>
        <v>758237.03714999999</v>
      </c>
      <c r="M65" s="17">
        <f>SUMIF('P&amp;L - Monthly'!$2:$2,'P&amp;L - Qtrly'!M$2,'P&amp;L - Monthly'!72:72)</f>
        <v>762798.00354380812</v>
      </c>
      <c r="N65" s="17">
        <f>SUMIF('P&amp;L - Monthly'!$2:$2,'P&amp;L - Qtrly'!N$2,'P&amp;L - Monthly'!72:72)</f>
        <v>767781.89466841472</v>
      </c>
      <c r="O65" s="17">
        <f>SUMIF('P&amp;L - Monthly'!$2:$2,'P&amp;L - Qtrly'!O$2,'P&amp;L - Monthly'!72:72)</f>
        <v>773227.92706533289</v>
      </c>
      <c r="P65" s="17">
        <f>SUMIF('P&amp;L - Monthly'!$2:$2,'P&amp;L - Qtrly'!P$2,'P&amp;L - Monthly'!72:72)</f>
        <v>779178.95370831992</v>
      </c>
      <c r="Q65" s="17">
        <f>SUMIF('P&amp;L - Monthly'!$2:$2,'P&amp;L - Qtrly'!Q$2,'P&amp;L - Monthly'!72:72)</f>
        <v>785681.80119883129</v>
      </c>
      <c r="R65" s="17">
        <f>SUMIF('P&amp;L - Monthly'!$2:$2,'P&amp;L - Qtrly'!R$2,'P&amp;L - Monthly'!72:72)</f>
        <v>792787.63822859537</v>
      </c>
      <c r="S65" s="17">
        <f>SUMIF('P&amp;L - Monthly'!$2:$2,'P&amp;L - Qtrly'!S$2,'P&amp;L - Monthly'!72:72)</f>
        <v>738653.79766689916</v>
      </c>
      <c r="T65" s="17">
        <f>SUMIF('P&amp;L - Monthly'!$2:$2,'P&amp;L - Qtrly'!T$2,'P&amp;L - Monthly'!72:72)</f>
        <v>709050</v>
      </c>
      <c r="U65" s="17">
        <f>SUMIF('P&amp;L - Monthly'!$2:$2,'P&amp;L - Qtrly'!U$2,'P&amp;L - Monthly'!72:72)</f>
        <v>709050</v>
      </c>
      <c r="V65" s="17">
        <f>SUMIF('P&amp;L - Monthly'!$2:$2,'P&amp;L - Qtrly'!V$2,'P&amp;L - Monthly'!72:72)</f>
        <v>709050</v>
      </c>
      <c r="W65" s="575">
        <f>SUMIF('P&amp;L - Monthly'!$2:$2,'P&amp;L - Qtrly'!W$2,'P&amp;L - Monthly'!72:72)</f>
        <v>709050</v>
      </c>
      <c r="X65" s="575">
        <f>SUMIF('P&amp;L - Monthly'!$2:$2,'P&amp;L - Qtrly'!X$2,'P&amp;L - Monthly'!72:72)</f>
        <v>709050</v>
      </c>
      <c r="Y65" s="575">
        <f>SUMIF('P&amp;L - Monthly'!$2:$2,'P&amp;L - Qtrly'!Y$2,'P&amp;L - Monthly'!72:72)</f>
        <v>709050</v>
      </c>
      <c r="Z65" s="575">
        <f>SUMIF('P&amp;L - Monthly'!$2:$2,'P&amp;L - Qtrly'!Z$2,'P&amp;L - Monthly'!72:72)</f>
        <v>709050</v>
      </c>
      <c r="AA65" s="37"/>
      <c r="AB65" s="37"/>
      <c r="AC65" s="37"/>
      <c r="AD65" s="37"/>
      <c r="AE65" s="37"/>
      <c r="AF65" s="37"/>
      <c r="AG65" s="37"/>
      <c r="AH65" s="37"/>
      <c r="AW65" s="156"/>
      <c r="AX65" s="156"/>
      <c r="AY65" s="156"/>
      <c r="AZ65" s="156"/>
      <c r="BA65" s="156"/>
      <c r="BB65" s="156"/>
      <c r="BC65" s="156"/>
      <c r="BD65" s="156"/>
      <c r="BE65" s="156"/>
      <c r="BF65" s="156"/>
      <c r="BG65" s="156"/>
      <c r="BH65" s="156"/>
      <c r="BI65" s="156"/>
      <c r="BJ65" s="156"/>
      <c r="BK65" s="156"/>
      <c r="BL65" s="156"/>
      <c r="BM65" s="156"/>
      <c r="BN65" s="156"/>
      <c r="BO65" s="156"/>
      <c r="BP65" s="156"/>
      <c r="BQ65" s="156"/>
      <c r="BR65" s="156"/>
      <c r="BS65" s="156"/>
      <c r="BT65" s="156"/>
    </row>
    <row r="66" spans="2:72" x14ac:dyDescent="0.25">
      <c r="W66" s="570"/>
      <c r="X66" s="570"/>
      <c r="Y66" s="570"/>
      <c r="Z66" s="570"/>
      <c r="AW66" s="156"/>
      <c r="AX66" s="156"/>
      <c r="AY66" s="156"/>
      <c r="AZ66" s="156"/>
      <c r="BA66" s="156"/>
      <c r="BB66" s="156"/>
      <c r="BC66" s="156"/>
      <c r="BD66" s="156"/>
      <c r="BE66" s="156"/>
      <c r="BF66" s="156"/>
      <c r="BG66" s="156"/>
      <c r="BH66" s="156"/>
      <c r="BI66" s="156"/>
      <c r="BJ66" s="156"/>
      <c r="BK66" s="156"/>
      <c r="BL66" s="156"/>
      <c r="BM66" s="156"/>
      <c r="BN66" s="156"/>
      <c r="BO66" s="156"/>
      <c r="BP66" s="156"/>
      <c r="BQ66" s="156"/>
      <c r="BR66" s="156"/>
      <c r="BS66" s="156"/>
      <c r="BT66" s="156"/>
    </row>
    <row r="67" spans="2:72" ht="15.75" thickBot="1" x14ac:dyDescent="0.3">
      <c r="B67" s="50" t="s">
        <v>140</v>
      </c>
      <c r="C67" s="53">
        <f>SUMIF('P&amp;L - Monthly'!$2:$2,'P&amp;L - Qtrly'!C$2,'P&amp;L - Monthly'!74:74)</f>
        <v>1377528.5376117663</v>
      </c>
      <c r="D67" s="53">
        <f>SUMIF('P&amp;L - Monthly'!$2:$2,'P&amp;L - Qtrly'!D$2,'P&amp;L - Monthly'!74:74)</f>
        <v>1094824.9646504417</v>
      </c>
      <c r="E67" s="53">
        <f>SUMIF('P&amp;L - Monthly'!$2:$2,'P&amp;L - Qtrly'!E$2,'P&amp;L - Monthly'!74:74)</f>
        <v>798120.05483685713</v>
      </c>
      <c r="F67" s="53">
        <f>SUMIF('P&amp;L - Monthly'!$2:$2,'P&amp;L - Qtrly'!F$2,'P&amp;L - Monthly'!74:74)</f>
        <v>1299455.5843690746</v>
      </c>
      <c r="G67" s="53">
        <f>SUMIF('P&amp;L - Monthly'!$2:$2,'P&amp;L - Qtrly'!G$2,'P&amp;L - Monthly'!74:74)</f>
        <v>-161303.71000000031</v>
      </c>
      <c r="H67" s="53">
        <f>SUMIF('P&amp;L - Monthly'!$2:$2,'P&amp;L - Qtrly'!H$2,'P&amp;L - Monthly'!74:74)</f>
        <v>-279254.36999999924</v>
      </c>
      <c r="I67" s="53">
        <f>SUMIF('P&amp;L - Monthly'!$2:$2,'P&amp;L - Qtrly'!I$2,'P&amp;L - Monthly'!74:74)</f>
        <v>-1540517.0799999994</v>
      </c>
      <c r="J67" s="53">
        <f>SUMIF('P&amp;L - Monthly'!$2:$2,'P&amp;L - Qtrly'!J$2,'P&amp;L - Monthly'!74:74)</f>
        <v>-561664.73</v>
      </c>
      <c r="K67" s="53">
        <f>SUMIF('P&amp;L - Monthly'!$2:$2,'P&amp;L - Qtrly'!K$2,'P&amp;L - Monthly'!74:74)</f>
        <v>-970422.76000000024</v>
      </c>
      <c r="L67" s="53">
        <f ca="1">SUMIF('P&amp;L - Monthly'!$2:$2,'P&amp;L - Qtrly'!L$2,'P&amp;L - Monthly'!74:74)</f>
        <v>-2180398.3221280864</v>
      </c>
      <c r="M67" s="53">
        <f ca="1">SUMIF('P&amp;L - Monthly'!$2:$2,'P&amp;L - Qtrly'!M$2,'P&amp;L - Monthly'!74:74)</f>
        <v>-1215477.1876804226</v>
      </c>
      <c r="N67" s="53">
        <f ca="1">SUMIF('P&amp;L - Monthly'!$2:$2,'P&amp;L - Qtrly'!N$2,'P&amp;L - Monthly'!74:74)</f>
        <v>-174421.10759735387</v>
      </c>
      <c r="O67" s="53">
        <f ca="1">SUMIF('P&amp;L - Monthly'!$2:$2,'P&amp;L - Qtrly'!O$2,'P&amp;L - Monthly'!74:74)</f>
        <v>-4454695.3478460331</v>
      </c>
      <c r="P67" s="53">
        <f ca="1">SUMIF('P&amp;L - Monthly'!$2:$2,'P&amp;L - Qtrly'!P$2,'P&amp;L - Monthly'!74:74)</f>
        <v>4137566.6498969747</v>
      </c>
      <c r="Q67" s="53">
        <f ca="1">SUMIF('P&amp;L - Monthly'!$2:$2,'P&amp;L - Qtrly'!Q$2,'P&amp;L - Monthly'!74:74)</f>
        <v>5151215.7491174936</v>
      </c>
      <c r="R67" s="53">
        <f ca="1">SUMIF('P&amp;L - Monthly'!$2:$2,'P&amp;L - Qtrly'!R$2,'P&amp;L - Monthly'!74:74)</f>
        <v>6158128.9214962535</v>
      </c>
      <c r="S67" s="53">
        <f ca="1">SUMIF('P&amp;L - Monthly'!$2:$2,'P&amp;L - Qtrly'!S$2,'P&amp;L - Monthly'!74:74)</f>
        <v>-5697848.768366294</v>
      </c>
      <c r="T67" s="53">
        <f ca="1">SUMIF('P&amp;L - Monthly'!$2:$2,'P&amp;L - Qtrly'!T$2,'P&amp;L - Monthly'!74:74)</f>
        <v>-6072749.0367379598</v>
      </c>
      <c r="U67" s="53">
        <f ca="1">SUMIF('P&amp;L - Monthly'!$2:$2,'P&amp;L - Qtrly'!U$2,'P&amp;L - Monthly'!74:74)</f>
        <v>-6135197.4125264157</v>
      </c>
      <c r="V67" s="53">
        <f ca="1">SUMIF('P&amp;L - Monthly'!$2:$2,'P&amp;L - Qtrly'!V$2,'P&amp;L - Monthly'!74:74)</f>
        <v>-6205589.3643376473</v>
      </c>
      <c r="W67" s="577">
        <f ca="1">SUMIF('P&amp;L - Monthly'!$2:$2,'P&amp;L - Qtrly'!W$2,'P&amp;L - Monthly'!74:74)</f>
        <v>-5140993.8141611964</v>
      </c>
      <c r="X67" s="577">
        <f ca="1">SUMIF('P&amp;L - Monthly'!$2:$2,'P&amp;L - Qtrly'!X$2,'P&amp;L - Monthly'!74:74)</f>
        <v>-5223303.4344901908</v>
      </c>
      <c r="Y67" s="577">
        <f ca="1">SUMIF('P&amp;L - Monthly'!$2:$2,'P&amp;L - Qtrly'!Y$2,'P&amp;L - Monthly'!74:74)</f>
        <v>-5297576.4184810966</v>
      </c>
      <c r="Z67" s="577" t="e">
        <f ca="1">SUMIF('P&amp;L - Monthly'!$2:$2,'P&amp;L - Qtrly'!Z$2,'P&amp;L - Monthly'!74:74)</f>
        <v>#REF!</v>
      </c>
      <c r="AA67" s="201"/>
      <c r="AB67" s="201"/>
      <c r="AC67" s="201"/>
      <c r="AD67" s="201"/>
      <c r="AE67" s="201"/>
      <c r="AF67" s="201"/>
      <c r="AG67" s="201"/>
      <c r="AH67" s="201"/>
      <c r="AI67" s="201"/>
      <c r="AJ67" s="201"/>
      <c r="AK67" s="201"/>
      <c r="AL67" s="201"/>
      <c r="AM67" s="201"/>
      <c r="AN67" s="201"/>
      <c r="AO67" s="201"/>
      <c r="AP67" s="201"/>
      <c r="AQ67" s="201"/>
      <c r="AR67" s="201"/>
      <c r="AS67" s="201"/>
      <c r="AT67" s="201"/>
      <c r="AU67" s="201"/>
      <c r="AV67" s="201"/>
      <c r="AW67" s="84"/>
      <c r="AX67" s="84"/>
      <c r="AY67" s="84"/>
      <c r="AZ67" s="84"/>
      <c r="BA67" s="84"/>
      <c r="BB67" s="84"/>
      <c r="BC67" s="84"/>
      <c r="BD67" s="84"/>
      <c r="BE67" s="84"/>
      <c r="BF67" s="84"/>
      <c r="BG67" s="84"/>
      <c r="BH67" s="84"/>
      <c r="BI67" s="84"/>
      <c r="BJ67" s="84"/>
      <c r="BK67" s="84"/>
      <c r="BL67" s="84"/>
      <c r="BM67" s="84"/>
      <c r="BN67" s="84"/>
      <c r="BO67" s="84"/>
      <c r="BP67" s="84"/>
      <c r="BQ67" s="84"/>
      <c r="BR67" s="84"/>
      <c r="BS67" s="84"/>
      <c r="BT67" s="156"/>
    </row>
    <row r="68" spans="2:72" x14ac:dyDescent="0.25">
      <c r="W68" s="570"/>
      <c r="X68" s="570"/>
      <c r="Y68" s="570"/>
      <c r="Z68" s="570"/>
      <c r="AW68" s="156"/>
      <c r="AX68" s="156"/>
      <c r="AY68" s="156"/>
      <c r="AZ68" s="156"/>
      <c r="BA68" s="156"/>
      <c r="BB68" s="156"/>
      <c r="BC68" s="156"/>
      <c r="BD68" s="156"/>
      <c r="BE68" s="156"/>
      <c r="BF68" s="156"/>
      <c r="BG68" s="156"/>
      <c r="BH68" s="156"/>
      <c r="BI68" s="156"/>
      <c r="BJ68" s="156"/>
      <c r="BK68" s="156"/>
      <c r="BL68" s="156"/>
      <c r="BM68" s="156"/>
      <c r="BN68" s="156"/>
      <c r="BO68" s="156"/>
      <c r="BP68" s="156"/>
      <c r="BQ68" s="156"/>
      <c r="BR68" s="156"/>
      <c r="BS68" s="156"/>
      <c r="BT68" s="156"/>
    </row>
    <row r="69" spans="2:72" x14ac:dyDescent="0.25">
      <c r="B69" s="150" t="s">
        <v>173</v>
      </c>
      <c r="C69" s="17">
        <f>SUMIF('P&amp;L - Monthly'!$2:$2,'P&amp;L - Qtrly'!C$2,'P&amp;L - Monthly'!76:76)</f>
        <v>-1068</v>
      </c>
      <c r="D69" s="17">
        <f>SUMIF('P&amp;L - Monthly'!$2:$2,'P&amp;L - Qtrly'!D$2,'P&amp;L - Monthly'!76:76)</f>
        <v>37556</v>
      </c>
      <c r="E69" s="17">
        <f>SUMIF('P&amp;L - Monthly'!$2:$2,'P&amp;L - Qtrly'!E$2,'P&amp;L - Monthly'!76:76)</f>
        <v>440</v>
      </c>
      <c r="F69" s="17">
        <f>SUMIF('P&amp;L - Monthly'!$2:$2,'P&amp;L - Qtrly'!F$2,'P&amp;L - Monthly'!76:76)</f>
        <v>121</v>
      </c>
      <c r="G69" s="17">
        <f>SUMIF('P&amp;L - Monthly'!$2:$2,'P&amp;L - Qtrly'!G$2,'P&amp;L - Monthly'!76:76)</f>
        <v>288712.58999999997</v>
      </c>
      <c r="H69" s="17">
        <f>SUMIF('P&amp;L - Monthly'!$2:$2,'P&amp;L - Qtrly'!H$2,'P&amp;L - Monthly'!76:76)</f>
        <v>393427.06999999995</v>
      </c>
      <c r="I69" s="17">
        <f>SUMIF('P&amp;L - Monthly'!$2:$2,'P&amp;L - Qtrly'!I$2,'P&amp;L - Monthly'!76:76)</f>
        <v>286899.39</v>
      </c>
      <c r="J69" s="17">
        <f>SUMIF('P&amp;L - Monthly'!$2:$2,'P&amp;L - Qtrly'!J$2,'P&amp;L - Monthly'!76:76)</f>
        <v>286174.87</v>
      </c>
      <c r="K69" s="17">
        <f>SUMIF('P&amp;L - Monthly'!$2:$2,'P&amp;L - Qtrly'!K$2,'P&amp;L - Monthly'!76:76)</f>
        <v>367268.07</v>
      </c>
      <c r="L69" s="17">
        <f>SUMIF('P&amp;L - Monthly'!$2:$2,'P&amp;L - Qtrly'!L$2,'P&amp;L - Monthly'!76:76)</f>
        <v>291941.87063146912</v>
      </c>
      <c r="M69" s="17">
        <f>SUMIF('P&amp;L - Monthly'!$2:$2,'P&amp;L - Qtrly'!M$2,'P&amp;L - Monthly'!76:76)</f>
        <v>287102.71386506659</v>
      </c>
      <c r="N69" s="17">
        <f>SUMIF('P&amp;L - Monthly'!$2:$2,'P&amp;L - Qtrly'!N$2,'P&amp;L - Monthly'!76:76)</f>
        <v>282190.60630727297</v>
      </c>
      <c r="O69" s="17">
        <f>SUMIF('P&amp;L - Monthly'!$2:$2,'P&amp;L - Qtrly'!O$2,'P&amp;L - Monthly'!76:76)</f>
        <v>293277.26239396911</v>
      </c>
      <c r="P69" s="17">
        <f>SUMIF('P&amp;L - Monthly'!$2:$2,'P&amp;L - Qtrly'!P$2,'P&amp;L - Monthly'!76:76)</f>
        <v>288438.11237756658</v>
      </c>
      <c r="Q69" s="17">
        <f>SUMIF('P&amp;L - Monthly'!$2:$2,'P&amp;L - Qtrly'!Q$2,'P&amp;L - Monthly'!76:76)</f>
        <v>283526.01156977296</v>
      </c>
      <c r="R69" s="17">
        <f>SUMIF('P&amp;L - Monthly'!$2:$2,'P&amp;L - Qtrly'!R$2,'P&amp;L - Monthly'!76:76)</f>
        <v>293277.26239396911</v>
      </c>
      <c r="S69" s="17">
        <f>SUMIF('P&amp;L - Monthly'!$2:$2,'P&amp;L - Qtrly'!S$2,'P&amp;L - Monthly'!76:76)</f>
        <v>291409.48564877757</v>
      </c>
      <c r="T69" s="17">
        <f>SUMIF('P&amp;L - Monthly'!$2:$2,'P&amp;L - Qtrly'!T$2,'P&amp;L - Monthly'!76:76)</f>
        <v>290874.47947742243</v>
      </c>
      <c r="U69" s="17">
        <f>SUMIF('P&amp;L - Monthly'!$2:$2,'P&amp;L - Qtrly'!U$2,'P&amp;L - Monthly'!76:76)</f>
        <v>291409.47214877751</v>
      </c>
      <c r="V69" s="17">
        <f>SUMIF('P&amp;L - Monthly'!$2:$2,'P&amp;L - Qtrly'!V$2,'P&amp;L - Monthly'!76:76)</f>
        <v>290874.46597742249</v>
      </c>
      <c r="W69" s="575">
        <f>SUMIF('P&amp;L - Monthly'!$2:$2,'P&amp;L - Qtrly'!W$2,'P&amp;L - Monthly'!76:76)</f>
        <v>291854.61323627754</v>
      </c>
      <c r="X69" s="575">
        <f>SUMIF('P&amp;L - Monthly'!$2:$2,'P&amp;L - Qtrly'!X$2,'P&amp;L - Monthly'!76:76)</f>
        <v>290874.45247742243</v>
      </c>
      <c r="Y69" s="575">
        <f>SUMIF('P&amp;L - Monthly'!$2:$2,'P&amp;L - Qtrly'!Y$2,'P&amp;L - Monthly'!76:76)</f>
        <v>291409.44514877751</v>
      </c>
      <c r="Z69" s="575">
        <f>SUMIF('P&amp;L - Monthly'!$2:$2,'P&amp;L - Qtrly'!Z$2,'P&amp;L - Monthly'!76:76)</f>
        <v>97314.81335671086</v>
      </c>
      <c r="AA69" s="37"/>
      <c r="AB69" s="37"/>
      <c r="AC69" s="37"/>
      <c r="AD69" s="37"/>
      <c r="AE69" s="37"/>
      <c r="AF69" s="37"/>
      <c r="AG69" s="37"/>
      <c r="AH69" s="37"/>
      <c r="AW69" s="156"/>
      <c r="AX69" s="156"/>
      <c r="AY69" s="156"/>
      <c r="AZ69" s="156"/>
      <c r="BA69" s="156"/>
      <c r="BB69" s="156"/>
      <c r="BC69" s="156"/>
      <c r="BD69" s="156"/>
      <c r="BE69" s="156"/>
      <c r="BF69" s="156"/>
      <c r="BG69" s="156"/>
      <c r="BH69" s="156"/>
      <c r="BI69" s="156"/>
      <c r="BJ69" s="156"/>
      <c r="BK69" s="156"/>
      <c r="BL69" s="156"/>
      <c r="BM69" s="156"/>
      <c r="BN69" s="156"/>
      <c r="BO69" s="156"/>
      <c r="BP69" s="156"/>
      <c r="BQ69" s="156"/>
      <c r="BR69" s="156"/>
      <c r="BS69" s="156"/>
      <c r="BT69" s="156"/>
    </row>
    <row r="70" spans="2:72" x14ac:dyDescent="0.25">
      <c r="W70" s="570"/>
      <c r="X70" s="570"/>
      <c r="Y70" s="570"/>
      <c r="Z70" s="570"/>
      <c r="AW70" s="156"/>
      <c r="AX70" s="156"/>
      <c r="AY70" s="156"/>
      <c r="AZ70" s="156"/>
      <c r="BA70" s="156"/>
      <c r="BB70" s="156"/>
      <c r="BC70" s="156"/>
      <c r="BD70" s="156"/>
      <c r="BE70" s="156"/>
      <c r="BF70" s="156"/>
      <c r="BG70" s="156"/>
      <c r="BH70" s="156"/>
      <c r="BI70" s="156"/>
      <c r="BJ70" s="156"/>
      <c r="BK70" s="156"/>
      <c r="BL70" s="156"/>
      <c r="BM70" s="156"/>
      <c r="BN70" s="156"/>
      <c r="BO70" s="156"/>
      <c r="BP70" s="156"/>
      <c r="BQ70" s="156"/>
      <c r="BR70" s="156"/>
      <c r="BS70" s="156"/>
      <c r="BT70" s="156"/>
    </row>
    <row r="71" spans="2:72" ht="15.75" thickBot="1" x14ac:dyDescent="0.3">
      <c r="B71" s="50" t="s">
        <v>141</v>
      </c>
      <c r="C71" s="53">
        <f>SUMIF('P&amp;L - Monthly'!$2:$2,'P&amp;L - Qtrly'!C$2,'P&amp;L - Monthly'!78:78)</f>
        <v>1376460.5376117663</v>
      </c>
      <c r="D71" s="53">
        <f>SUMIF('P&amp;L - Monthly'!$2:$2,'P&amp;L - Qtrly'!D$2,'P&amp;L - Monthly'!78:78)</f>
        <v>1132380.9646504417</v>
      </c>
      <c r="E71" s="53">
        <f>SUMIF('P&amp;L - Monthly'!$2:$2,'P&amp;L - Qtrly'!E$2,'P&amp;L - Monthly'!78:78)</f>
        <v>798560.05483685713</v>
      </c>
      <c r="F71" s="53">
        <f>SUMIF('P&amp;L - Monthly'!$2:$2,'P&amp;L - Qtrly'!F$2,'P&amp;L - Monthly'!78:78)</f>
        <v>1299576.5843690746</v>
      </c>
      <c r="G71" s="53">
        <f>SUMIF('P&amp;L - Monthly'!$2:$2,'P&amp;L - Qtrly'!G$2,'P&amp;L - Monthly'!78:78)</f>
        <v>-450016.30000000028</v>
      </c>
      <c r="H71" s="53">
        <f>SUMIF('P&amp;L - Monthly'!$2:$2,'P&amp;L - Qtrly'!H$2,'P&amp;L - Monthly'!78:78)</f>
        <v>-672681.43999999925</v>
      </c>
      <c r="I71" s="53">
        <f>SUMIF('P&amp;L - Monthly'!$2:$2,'P&amp;L - Qtrly'!I$2,'P&amp;L - Monthly'!78:78)</f>
        <v>-1827416.4699999993</v>
      </c>
      <c r="J71" s="53">
        <f>SUMIF('P&amp;L - Monthly'!$2:$2,'P&amp;L - Qtrly'!J$2,'P&amp;L - Monthly'!78:78)</f>
        <v>-847839.6</v>
      </c>
      <c r="K71" s="53">
        <f>SUMIF('P&amp;L - Monthly'!$2:$2,'P&amp;L - Qtrly'!K$2,'P&amp;L - Monthly'!78:78)</f>
        <v>-1337690.8300000003</v>
      </c>
      <c r="L71" s="53">
        <f ca="1">SUMIF('P&amp;L - Monthly'!$2:$2,'P&amp;L - Qtrly'!L$2,'P&amp;L - Monthly'!78:78)</f>
        <v>-2472340.1927595548</v>
      </c>
      <c r="M71" s="53">
        <f ca="1">SUMIF('P&amp;L - Monthly'!$2:$2,'P&amp;L - Qtrly'!M$2,'P&amp;L - Monthly'!78:78)</f>
        <v>-1502579.901545489</v>
      </c>
      <c r="N71" s="53">
        <f ca="1">SUMIF('P&amp;L - Monthly'!$2:$2,'P&amp;L - Qtrly'!N$2,'P&amp;L - Monthly'!78:78)</f>
        <v>-456611.71390462684</v>
      </c>
      <c r="O71" s="53">
        <f ca="1">SUMIF('P&amp;L - Monthly'!$2:$2,'P&amp;L - Qtrly'!O$2,'P&amp;L - Monthly'!78:78)</f>
        <v>-4747972.6102400022</v>
      </c>
      <c r="P71" s="53">
        <f ca="1">SUMIF('P&amp;L - Monthly'!$2:$2,'P&amp;L - Qtrly'!P$2,'P&amp;L - Monthly'!78:78)</f>
        <v>3849128.5375194079</v>
      </c>
      <c r="Q71" s="53">
        <f ca="1">SUMIF('P&amp;L - Monthly'!$2:$2,'P&amp;L - Qtrly'!Q$2,'P&amp;L - Monthly'!78:78)</f>
        <v>4867689.7375477208</v>
      </c>
      <c r="R71" s="53">
        <f ca="1">SUMIF('P&amp;L - Monthly'!$2:$2,'P&amp;L - Qtrly'!R$2,'P&amp;L - Monthly'!78:78)</f>
        <v>5864851.6591022843</v>
      </c>
      <c r="S71" s="53">
        <f ca="1">SUMIF('P&amp;L - Monthly'!$2:$2,'P&amp;L - Qtrly'!S$2,'P&amp;L - Monthly'!78:78)</f>
        <v>-5989258.2540150722</v>
      </c>
      <c r="T71" s="53">
        <f ca="1">SUMIF('P&amp;L - Monthly'!$2:$2,'P&amp;L - Qtrly'!T$2,'P&amp;L - Monthly'!78:78)</f>
        <v>-6363623.5162153821</v>
      </c>
      <c r="U71" s="53">
        <f ca="1">SUMIF('P&amp;L - Monthly'!$2:$2,'P&amp;L - Qtrly'!U$2,'P&amp;L - Monthly'!78:78)</f>
        <v>-6426606.8846751926</v>
      </c>
      <c r="V71" s="53">
        <f ca="1">SUMIF('P&amp;L - Monthly'!$2:$2,'P&amp;L - Qtrly'!V$2,'P&amp;L - Monthly'!78:78)</f>
        <v>-6496463.8303150702</v>
      </c>
      <c r="W71" s="577">
        <f ca="1">SUMIF('P&amp;L - Monthly'!$2:$2,'P&amp;L - Qtrly'!W$2,'P&amp;L - Monthly'!78:78)</f>
        <v>-5432848.4273974737</v>
      </c>
      <c r="X71" s="577">
        <f ca="1">SUMIF('P&amp;L - Monthly'!$2:$2,'P&amp;L - Qtrly'!X$2,'P&amp;L - Monthly'!78:78)</f>
        <v>-5514177.8869676134</v>
      </c>
      <c r="Y71" s="577">
        <f ca="1">SUMIF('P&amp;L - Monthly'!$2:$2,'P&amp;L - Qtrly'!Y$2,'P&amp;L - Monthly'!78:78)</f>
        <v>-5588985.8636298738</v>
      </c>
      <c r="Z71" s="577" t="e">
        <f ca="1">SUMIF('P&amp;L - Monthly'!$2:$2,'P&amp;L - Qtrly'!Z$2,'P&amp;L - Monthly'!78:78)</f>
        <v>#REF!</v>
      </c>
      <c r="AA71" s="201"/>
      <c r="AB71" s="201"/>
      <c r="AC71" s="201"/>
      <c r="AD71" s="201"/>
      <c r="AE71" s="201"/>
      <c r="AF71" s="201"/>
      <c r="AG71" s="201"/>
      <c r="AH71" s="201"/>
      <c r="AI71" s="201"/>
      <c r="AJ71" s="201"/>
      <c r="AK71" s="201"/>
      <c r="AL71" s="201"/>
      <c r="AM71" s="201"/>
      <c r="AN71" s="201"/>
      <c r="AO71" s="201"/>
      <c r="AP71" s="201"/>
      <c r="AQ71" s="201"/>
      <c r="AR71" s="201"/>
      <c r="AS71" s="201"/>
      <c r="AT71" s="201"/>
      <c r="AU71" s="201"/>
      <c r="AV71" s="201"/>
      <c r="AW71" s="84"/>
      <c r="AX71" s="84"/>
      <c r="AY71" s="84"/>
      <c r="AZ71" s="84"/>
      <c r="BA71" s="84"/>
      <c r="BB71" s="84"/>
      <c r="BC71" s="84"/>
      <c r="BD71" s="84"/>
      <c r="BE71" s="84"/>
      <c r="BF71" s="84"/>
      <c r="BG71" s="84"/>
      <c r="BH71" s="84"/>
      <c r="BI71" s="84"/>
      <c r="BJ71" s="84"/>
      <c r="BK71" s="84"/>
      <c r="BL71" s="84"/>
      <c r="BM71" s="84"/>
      <c r="BN71" s="84"/>
      <c r="BO71" s="84"/>
      <c r="BP71" s="84"/>
      <c r="BQ71" s="84"/>
      <c r="BR71" s="84"/>
      <c r="BS71" s="84"/>
      <c r="BT71" s="156"/>
    </row>
    <row r="72" spans="2:72" x14ac:dyDescent="0.25">
      <c r="W72" s="570"/>
      <c r="X72" s="570"/>
      <c r="Y72" s="570"/>
      <c r="Z72" s="570"/>
      <c r="AW72" s="156"/>
      <c r="AX72" s="156"/>
      <c r="AY72" s="156"/>
      <c r="AZ72" s="156"/>
      <c r="BA72" s="156"/>
      <c r="BB72" s="156"/>
      <c r="BC72" s="156"/>
      <c r="BD72" s="156"/>
      <c r="BE72" s="156"/>
      <c r="BF72" s="156"/>
      <c r="BG72" s="156"/>
      <c r="BH72" s="156"/>
      <c r="BI72" s="156"/>
      <c r="BJ72" s="156"/>
      <c r="BK72" s="156"/>
      <c r="BL72" s="156"/>
      <c r="BM72" s="156"/>
      <c r="BN72" s="156"/>
      <c r="BO72" s="156"/>
      <c r="BP72" s="156"/>
      <c r="BQ72" s="156"/>
      <c r="BR72" s="156"/>
      <c r="BS72" s="156"/>
      <c r="BT72" s="156"/>
    </row>
    <row r="73" spans="2:72" x14ac:dyDescent="0.25">
      <c r="B73" s="40" t="s">
        <v>142</v>
      </c>
      <c r="C73" s="17">
        <f>SUMIF('P&amp;L - Monthly'!$2:$2,'P&amp;L - Qtrly'!C$2,'P&amp;L - Monthly'!80:80)</f>
        <v>0</v>
      </c>
      <c r="D73" s="17">
        <f>SUMIF('P&amp;L - Monthly'!$2:$2,'P&amp;L - Qtrly'!D$2,'P&amp;L - Monthly'!80:80)</f>
        <v>0</v>
      </c>
      <c r="E73" s="17">
        <f>SUMIF('P&amp;L - Monthly'!$2:$2,'P&amp;L - Qtrly'!E$2,'P&amp;L - Monthly'!80:80)</f>
        <v>0</v>
      </c>
      <c r="F73" s="17">
        <f>SUMIF('P&amp;L - Monthly'!$2:$2,'P&amp;L - Qtrly'!F$2,'P&amp;L - Monthly'!80:80)</f>
        <v>0</v>
      </c>
      <c r="G73" s="17">
        <f>SUMIF('P&amp;L - Monthly'!$2:$2,'P&amp;L - Qtrly'!G$2,'P&amp;L - Monthly'!80:80)</f>
        <v>0</v>
      </c>
      <c r="H73" s="17">
        <f>SUMIF('P&amp;L - Monthly'!$2:$2,'P&amp;L - Qtrly'!H$2,'P&amp;L - Monthly'!80:80)</f>
        <v>0</v>
      </c>
      <c r="I73" s="17">
        <f>SUMIF('P&amp;L - Monthly'!$2:$2,'P&amp;L - Qtrly'!I$2,'P&amp;L - Monthly'!80:80)</f>
        <v>0</v>
      </c>
      <c r="J73" s="17">
        <f>SUMIF('P&amp;L - Monthly'!$2:$2,'P&amp;L - Qtrly'!J$2,'P&amp;L - Monthly'!80:80)</f>
        <v>0</v>
      </c>
      <c r="K73" s="17">
        <f>SUMIF('P&amp;L - Monthly'!$2:$2,'P&amp;L - Qtrly'!K$2,'P&amp;L - Monthly'!80:80)</f>
        <v>0</v>
      </c>
      <c r="L73" s="17">
        <f>SUMIF('P&amp;L - Monthly'!$2:$2,'P&amp;L - Qtrly'!L$2,'P&amp;L - Monthly'!80:80)</f>
        <v>0</v>
      </c>
      <c r="M73" s="17">
        <f>SUMIF('P&amp;L - Monthly'!$2:$2,'P&amp;L - Qtrly'!M$2,'P&amp;L - Monthly'!80:80)</f>
        <v>0</v>
      </c>
      <c r="N73" s="17">
        <f>SUMIF('P&amp;L - Monthly'!$2:$2,'P&amp;L - Qtrly'!N$2,'P&amp;L - Monthly'!80:80)</f>
        <v>0</v>
      </c>
      <c r="O73" s="17">
        <f>SUMIF('P&amp;L - Monthly'!$2:$2,'P&amp;L - Qtrly'!O$2,'P&amp;L - Monthly'!80:80)</f>
        <v>0</v>
      </c>
      <c r="P73" s="17">
        <f>SUMIF('P&amp;L - Monthly'!$2:$2,'P&amp;L - Qtrly'!P$2,'P&amp;L - Monthly'!80:80)</f>
        <v>0</v>
      </c>
      <c r="Q73" s="17">
        <f>SUMIF('P&amp;L - Monthly'!$2:$2,'P&amp;L - Qtrly'!Q$2,'P&amp;L - Monthly'!80:80)</f>
        <v>0</v>
      </c>
      <c r="R73" s="17">
        <f>SUMIF('P&amp;L - Monthly'!$2:$2,'P&amp;L - Qtrly'!R$2,'P&amp;L - Monthly'!80:80)</f>
        <v>0</v>
      </c>
      <c r="S73" s="17">
        <f>SUMIF('P&amp;L - Monthly'!$2:$2,'P&amp;L - Qtrly'!S$2,'P&amp;L - Monthly'!80:80)</f>
        <v>0</v>
      </c>
      <c r="T73" s="17">
        <f>SUMIF('P&amp;L - Monthly'!$2:$2,'P&amp;L - Qtrly'!T$2,'P&amp;L - Monthly'!80:80)</f>
        <v>0</v>
      </c>
      <c r="U73" s="17">
        <f>SUMIF('P&amp;L - Monthly'!$2:$2,'P&amp;L - Qtrly'!U$2,'P&amp;L - Monthly'!80:80)</f>
        <v>0</v>
      </c>
      <c r="V73" s="17">
        <f>SUMIF('P&amp;L - Monthly'!$2:$2,'P&amp;L - Qtrly'!V$2,'P&amp;L - Monthly'!80:80)</f>
        <v>0</v>
      </c>
      <c r="W73" s="575">
        <f>SUMIF('P&amp;L - Monthly'!$2:$2,'P&amp;L - Qtrly'!W$2,'P&amp;L - Monthly'!80:80)</f>
        <v>0</v>
      </c>
      <c r="X73" s="575">
        <f>SUMIF('P&amp;L - Monthly'!$2:$2,'P&amp;L - Qtrly'!X$2,'P&amp;L - Monthly'!80:80)</f>
        <v>0</v>
      </c>
      <c r="Y73" s="575">
        <f>SUMIF('P&amp;L - Monthly'!$2:$2,'P&amp;L - Qtrly'!Y$2,'P&amp;L - Monthly'!80:80)</f>
        <v>0</v>
      </c>
      <c r="Z73" s="575">
        <f>SUMIF('P&amp;L - Monthly'!$2:$2,'P&amp;L - Qtrly'!Z$2,'P&amp;L - Monthly'!80:80)</f>
        <v>0</v>
      </c>
      <c r="AA73" s="37"/>
      <c r="AB73" s="37"/>
      <c r="AC73" s="37"/>
      <c r="AD73" s="37"/>
      <c r="AE73" s="37"/>
      <c r="AF73" s="37"/>
      <c r="AG73" s="37"/>
      <c r="AH73" s="37"/>
      <c r="AW73" s="156"/>
      <c r="AX73" s="156"/>
      <c r="AY73" s="156"/>
      <c r="AZ73" s="156"/>
      <c r="BA73" s="156"/>
      <c r="BB73" s="156"/>
      <c r="BC73" s="156"/>
      <c r="BD73" s="156"/>
      <c r="BE73" s="156"/>
      <c r="BF73" s="156"/>
      <c r="BG73" s="156"/>
      <c r="BH73" s="156"/>
      <c r="BI73" s="156"/>
      <c r="BJ73" s="156"/>
      <c r="BK73" s="156"/>
      <c r="BL73" s="156"/>
      <c r="BM73" s="156"/>
      <c r="BN73" s="156"/>
      <c r="BO73" s="156"/>
      <c r="BP73" s="156"/>
      <c r="BQ73" s="156"/>
      <c r="BR73" s="156"/>
      <c r="BS73" s="156"/>
      <c r="BT73" s="156"/>
    </row>
    <row r="74" spans="2:72" x14ac:dyDescent="0.25">
      <c r="W74" s="570"/>
      <c r="X74" s="570"/>
      <c r="Y74" s="570"/>
      <c r="Z74" s="570"/>
      <c r="AW74" s="156"/>
      <c r="AX74" s="156"/>
      <c r="AY74" s="156"/>
      <c r="AZ74" s="156"/>
      <c r="BA74" s="156"/>
      <c r="BB74" s="156"/>
      <c r="BC74" s="156"/>
      <c r="BD74" s="156"/>
      <c r="BE74" s="156"/>
      <c r="BF74" s="156"/>
      <c r="BG74" s="156"/>
      <c r="BH74" s="156"/>
      <c r="BI74" s="156"/>
      <c r="BJ74" s="156"/>
      <c r="BK74" s="156"/>
      <c r="BL74" s="156"/>
      <c r="BM74" s="156"/>
      <c r="BN74" s="156"/>
      <c r="BO74" s="156"/>
      <c r="BP74" s="156"/>
      <c r="BQ74" s="156"/>
      <c r="BR74" s="156"/>
      <c r="BS74" s="156"/>
      <c r="BT74" s="156"/>
    </row>
    <row r="75" spans="2:72" ht="15.75" thickBot="1" x14ac:dyDescent="0.3">
      <c r="B75" s="50" t="s">
        <v>112</v>
      </c>
      <c r="C75" s="53">
        <f>SUMIF('P&amp;L - Monthly'!$2:$2,'P&amp;L - Qtrly'!C$2,'P&amp;L - Monthly'!82:82)</f>
        <v>1376460.5376117663</v>
      </c>
      <c r="D75" s="53">
        <f>SUMIF('P&amp;L - Monthly'!$2:$2,'P&amp;L - Qtrly'!D$2,'P&amp;L - Monthly'!82:82)</f>
        <v>1132380.9646504417</v>
      </c>
      <c r="E75" s="53">
        <f>SUMIF('P&amp;L - Monthly'!$2:$2,'P&amp;L - Qtrly'!E$2,'P&amp;L - Monthly'!82:82)</f>
        <v>798560.05483685713</v>
      </c>
      <c r="F75" s="53">
        <f>SUMIF('P&amp;L - Monthly'!$2:$2,'P&amp;L - Qtrly'!F$2,'P&amp;L - Monthly'!82:82)</f>
        <v>1299576.5843690746</v>
      </c>
      <c r="G75" s="53">
        <f>SUMIF('P&amp;L - Monthly'!$2:$2,'P&amp;L - Qtrly'!G$2,'P&amp;L - Monthly'!82:82)</f>
        <v>-450016.30000000028</v>
      </c>
      <c r="H75" s="53">
        <f>SUMIF('P&amp;L - Monthly'!$2:$2,'P&amp;L - Qtrly'!H$2,'P&amp;L - Monthly'!82:82)</f>
        <v>-672681.43999999925</v>
      </c>
      <c r="I75" s="53">
        <f>SUMIF('P&amp;L - Monthly'!$2:$2,'P&amp;L - Qtrly'!I$2,'P&amp;L - Monthly'!82:82)</f>
        <v>-1827416.4699999993</v>
      </c>
      <c r="J75" s="53">
        <f>SUMIF('P&amp;L - Monthly'!$2:$2,'P&amp;L - Qtrly'!J$2,'P&amp;L - Monthly'!82:82)</f>
        <v>-847839.6</v>
      </c>
      <c r="K75" s="53">
        <f>SUMIF('P&amp;L - Monthly'!$2:$2,'P&amp;L - Qtrly'!K$2,'P&amp;L - Monthly'!82:82)</f>
        <v>-1337690.8300000003</v>
      </c>
      <c r="L75" s="53">
        <f ca="1">SUMIF('P&amp;L - Monthly'!$2:$2,'P&amp;L - Qtrly'!L$2,'P&amp;L - Monthly'!82:82)</f>
        <v>-2472340.1927595548</v>
      </c>
      <c r="M75" s="53">
        <f ca="1">SUMIF('P&amp;L - Monthly'!$2:$2,'P&amp;L - Qtrly'!M$2,'P&amp;L - Monthly'!82:82)</f>
        <v>-1502579.901545489</v>
      </c>
      <c r="N75" s="53">
        <f ca="1">SUMIF('P&amp;L - Monthly'!$2:$2,'P&amp;L - Qtrly'!N$2,'P&amp;L - Monthly'!82:82)</f>
        <v>-456611.71390462684</v>
      </c>
      <c r="O75" s="53">
        <f ca="1">SUMIF('P&amp;L - Monthly'!$2:$2,'P&amp;L - Qtrly'!O$2,'P&amp;L - Monthly'!82:82)</f>
        <v>-4747972.6102400022</v>
      </c>
      <c r="P75" s="53">
        <f ca="1">SUMIF('P&amp;L - Monthly'!$2:$2,'P&amp;L - Qtrly'!P$2,'P&amp;L - Monthly'!82:82)</f>
        <v>3849128.5375194079</v>
      </c>
      <c r="Q75" s="53">
        <f ca="1">SUMIF('P&amp;L - Monthly'!$2:$2,'P&amp;L - Qtrly'!Q$2,'P&amp;L - Monthly'!82:82)</f>
        <v>4867689.7375477208</v>
      </c>
      <c r="R75" s="53">
        <f ca="1">SUMIF('P&amp;L - Monthly'!$2:$2,'P&amp;L - Qtrly'!R$2,'P&amp;L - Monthly'!82:82)</f>
        <v>5864851.6591022843</v>
      </c>
      <c r="S75" s="53">
        <f ca="1">SUMIF('P&amp;L - Monthly'!$2:$2,'P&amp;L - Qtrly'!S$2,'P&amp;L - Monthly'!82:82)</f>
        <v>-5989258.2540150722</v>
      </c>
      <c r="T75" s="53">
        <f ca="1">SUMIF('P&amp;L - Monthly'!$2:$2,'P&amp;L - Qtrly'!T$2,'P&amp;L - Monthly'!82:82)</f>
        <v>-6363623.5162153821</v>
      </c>
      <c r="U75" s="53">
        <f ca="1">SUMIF('P&amp;L - Monthly'!$2:$2,'P&amp;L - Qtrly'!U$2,'P&amp;L - Monthly'!82:82)</f>
        <v>-6426606.8846751926</v>
      </c>
      <c r="V75" s="53">
        <f ca="1">SUMIF('P&amp;L - Monthly'!$2:$2,'P&amp;L - Qtrly'!V$2,'P&amp;L - Monthly'!82:82)</f>
        <v>-6496463.8303150702</v>
      </c>
      <c r="W75" s="577">
        <f ca="1">SUMIF('P&amp;L - Monthly'!$2:$2,'P&amp;L - Qtrly'!W$2,'P&amp;L - Monthly'!82:82)</f>
        <v>-5432848.4273974737</v>
      </c>
      <c r="X75" s="577">
        <f ca="1">SUMIF('P&amp;L - Monthly'!$2:$2,'P&amp;L - Qtrly'!X$2,'P&amp;L - Monthly'!82:82)</f>
        <v>-5514177.8869676134</v>
      </c>
      <c r="Y75" s="577">
        <f ca="1">SUMIF('P&amp;L - Monthly'!$2:$2,'P&amp;L - Qtrly'!Y$2,'P&amp;L - Monthly'!82:82)</f>
        <v>-5588985.8636298738</v>
      </c>
      <c r="Z75" s="577" t="e">
        <f ca="1">SUMIF('P&amp;L - Monthly'!$2:$2,'P&amp;L - Qtrly'!Z$2,'P&amp;L - Monthly'!82:82)</f>
        <v>#REF!</v>
      </c>
      <c r="AA75" s="201"/>
      <c r="AB75" s="201"/>
      <c r="AC75" s="201"/>
      <c r="AD75" s="201"/>
      <c r="AE75" s="201"/>
      <c r="AF75" s="201"/>
      <c r="AG75" s="201"/>
      <c r="AH75" s="201"/>
      <c r="AI75" s="201"/>
      <c r="AJ75" s="201"/>
      <c r="AK75" s="201"/>
      <c r="AL75" s="201"/>
      <c r="AM75" s="201"/>
      <c r="AN75" s="201"/>
      <c r="AO75" s="201"/>
      <c r="AP75" s="201"/>
      <c r="AQ75" s="201"/>
      <c r="AR75" s="201"/>
      <c r="AS75" s="201"/>
      <c r="AT75" s="201"/>
      <c r="AU75" s="201"/>
      <c r="AV75" s="201"/>
      <c r="AW75" s="84"/>
      <c r="AX75" s="84"/>
      <c r="AY75" s="84"/>
      <c r="AZ75" s="84"/>
      <c r="BA75" s="84"/>
      <c r="BB75" s="84"/>
      <c r="BC75" s="84"/>
      <c r="BD75" s="84"/>
      <c r="BE75" s="84"/>
      <c r="BF75" s="84"/>
      <c r="BG75" s="84"/>
      <c r="BH75" s="84"/>
      <c r="BI75" s="84"/>
      <c r="BJ75" s="84"/>
      <c r="BK75" s="84"/>
      <c r="BL75" s="84"/>
      <c r="BM75" s="84"/>
      <c r="BN75" s="84"/>
      <c r="BO75" s="84"/>
      <c r="BP75" s="84"/>
      <c r="BQ75" s="84"/>
      <c r="BR75" s="84"/>
      <c r="BS75" s="84"/>
      <c r="BT75" s="156"/>
    </row>
    <row r="76" spans="2:72" x14ac:dyDescent="0.25">
      <c r="AW76" s="156"/>
      <c r="AX76" s="156"/>
      <c r="AY76" s="156"/>
      <c r="AZ76" s="156"/>
      <c r="BA76" s="156"/>
      <c r="BB76" s="156"/>
      <c r="BC76" s="156"/>
      <c r="BD76" s="156"/>
      <c r="BE76" s="156"/>
      <c r="BF76" s="156"/>
      <c r="BG76" s="156"/>
      <c r="BH76" s="156"/>
      <c r="BI76" s="156"/>
      <c r="BJ76" s="156"/>
      <c r="BK76" s="156"/>
      <c r="BL76" s="156"/>
      <c r="BM76" s="156"/>
      <c r="BN76" s="156"/>
      <c r="BO76" s="156"/>
      <c r="BP76" s="156"/>
      <c r="BQ76" s="156"/>
      <c r="BR76" s="156"/>
      <c r="BS76" s="156"/>
      <c r="BT76" s="156"/>
    </row>
    <row r="77" spans="2:72" x14ac:dyDescent="0.25">
      <c r="AW77" s="156"/>
      <c r="AX77" s="156"/>
      <c r="AY77" s="156"/>
      <c r="AZ77" s="156"/>
      <c r="BA77" s="156"/>
      <c r="BB77" s="156"/>
      <c r="BC77" s="156"/>
      <c r="BD77" s="156"/>
      <c r="BE77" s="156"/>
      <c r="BF77" s="156"/>
      <c r="BG77" s="156"/>
      <c r="BH77" s="156"/>
      <c r="BI77" s="156"/>
      <c r="BJ77" s="156"/>
      <c r="BK77" s="156"/>
      <c r="BL77" s="156"/>
      <c r="BM77" s="156"/>
      <c r="BN77" s="156"/>
      <c r="BO77" s="156"/>
      <c r="BP77" s="156"/>
      <c r="BQ77" s="156"/>
      <c r="BR77" s="156"/>
      <c r="BS77" s="156"/>
      <c r="BT77" s="156"/>
    </row>
    <row r="78" spans="2:72" x14ac:dyDescent="0.25">
      <c r="AW78" s="156"/>
      <c r="AX78" s="156"/>
      <c r="AY78" s="156"/>
      <c r="AZ78" s="156"/>
      <c r="BA78" s="156"/>
      <c r="BB78" s="156"/>
      <c r="BC78" s="156"/>
      <c r="BD78" s="156"/>
      <c r="BE78" s="156"/>
      <c r="BF78" s="156"/>
      <c r="BG78" s="156"/>
      <c r="BH78" s="156"/>
      <c r="BI78" s="156"/>
      <c r="BJ78" s="156"/>
      <c r="BK78" s="156"/>
      <c r="BL78" s="156"/>
      <c r="BM78" s="156"/>
      <c r="BN78" s="156"/>
      <c r="BO78" s="156"/>
      <c r="BP78" s="156"/>
      <c r="BQ78" s="156"/>
      <c r="BR78" s="156"/>
      <c r="BS78" s="156"/>
      <c r="BT78" s="156"/>
    </row>
    <row r="79" spans="2:72" x14ac:dyDescent="0.25">
      <c r="AW79" s="156"/>
      <c r="AX79" s="156"/>
      <c r="AY79" s="156"/>
      <c r="AZ79" s="156"/>
      <c r="BA79" s="156"/>
      <c r="BB79" s="156"/>
      <c r="BC79" s="156"/>
      <c r="BD79" s="156"/>
      <c r="BE79" s="156"/>
      <c r="BF79" s="156"/>
      <c r="BG79" s="156"/>
      <c r="BH79" s="156"/>
      <c r="BI79" s="156"/>
      <c r="BJ79" s="156"/>
      <c r="BK79" s="156"/>
      <c r="BL79" s="156"/>
      <c r="BM79" s="156"/>
      <c r="BN79" s="156"/>
      <c r="BO79" s="156"/>
      <c r="BP79" s="156"/>
      <c r="BQ79" s="156"/>
      <c r="BR79" s="156"/>
      <c r="BS79" s="156"/>
      <c r="BT79" s="156"/>
    </row>
    <row r="80" spans="2:72" x14ac:dyDescent="0.25">
      <c r="AW80" s="156"/>
      <c r="AX80" s="156"/>
      <c r="AY80" s="156"/>
      <c r="AZ80" s="156"/>
      <c r="BA80" s="156"/>
      <c r="BB80" s="156"/>
      <c r="BC80" s="156"/>
      <c r="BD80" s="156"/>
      <c r="BE80" s="156"/>
      <c r="BF80" s="156"/>
      <c r="BG80" s="156"/>
      <c r="BH80" s="156"/>
      <c r="BI80" s="156"/>
      <c r="BJ80" s="156"/>
      <c r="BK80" s="156"/>
      <c r="BL80" s="156"/>
      <c r="BM80" s="156"/>
      <c r="BN80" s="156"/>
      <c r="BO80" s="156"/>
      <c r="BP80" s="156"/>
      <c r="BQ80" s="156"/>
      <c r="BR80" s="156"/>
      <c r="BS80" s="156"/>
      <c r="BT80" s="156"/>
    </row>
    <row r="81" spans="49:72" x14ac:dyDescent="0.25">
      <c r="AW81" s="156"/>
      <c r="AX81" s="156"/>
      <c r="AY81" s="156"/>
      <c r="AZ81" s="156"/>
      <c r="BA81" s="156"/>
      <c r="BB81" s="156"/>
      <c r="BC81" s="156"/>
      <c r="BD81" s="156"/>
      <c r="BE81" s="156"/>
      <c r="BF81" s="156"/>
      <c r="BG81" s="156"/>
      <c r="BH81" s="156"/>
      <c r="BI81" s="156"/>
      <c r="BJ81" s="156"/>
      <c r="BK81" s="156"/>
      <c r="BL81" s="156"/>
      <c r="BM81" s="156"/>
      <c r="BN81" s="156"/>
      <c r="BO81" s="156"/>
      <c r="BP81" s="156"/>
      <c r="BQ81" s="156"/>
      <c r="BR81" s="156"/>
      <c r="BS81" s="156"/>
      <c r="BT81" s="156"/>
    </row>
  </sheetData>
  <conditionalFormatting sqref="C3:Z3 C58:Z58 C64:Z65 C69:Z69 C73:Z73 C38:Z39 C33:Z34 C43:Z55 C14:Z15 C21:Z24 C6:Z11">
    <cfRule type="expression" dxfId="94" priority="34">
      <formula>C$3="Actual"</formula>
    </cfRule>
  </conditionalFormatting>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3" tint="0.39997558519241921"/>
  </sheetPr>
  <dimension ref="A1:BX79"/>
  <sheetViews>
    <sheetView zoomScale="80" zoomScaleNormal="80" workbookViewId="0">
      <pane xSplit="3" ySplit="6" topLeftCell="D7" activePane="bottomRight" state="frozen"/>
      <selection activeCell="C20" sqref="C20"/>
      <selection pane="topRight" activeCell="C20" sqref="C20"/>
      <selection pane="bottomLeft" activeCell="C20" sqref="C20"/>
      <selection pane="bottomRight" activeCell="Y15" sqref="Y15"/>
    </sheetView>
  </sheetViews>
  <sheetFormatPr defaultColWidth="13.140625" defaultRowHeight="15" outlineLevelRow="2" x14ac:dyDescent="0.25"/>
  <cols>
    <col min="1" max="1" width="3.42578125" style="16" customWidth="1"/>
    <col min="2" max="2" width="12.28515625" style="16" customWidth="1"/>
    <col min="3" max="3" width="33" style="40" customWidth="1"/>
    <col min="4" max="4" width="13.42578125" style="16" bestFit="1" customWidth="1"/>
    <col min="5" max="5" width="13.42578125" style="16" customWidth="1"/>
    <col min="6" max="6" width="13.42578125" style="16" hidden="1" customWidth="1"/>
    <col min="7" max="7" width="14.42578125" style="16" hidden="1" customWidth="1"/>
    <col min="8" max="9" width="14.5703125" style="16" hidden="1" customWidth="1"/>
    <col min="10" max="10" width="14.5703125" hidden="1" customWidth="1"/>
    <col min="11" max="11" width="2.5703125" style="133" hidden="1" customWidth="1"/>
    <col min="12" max="14" width="14.5703125" style="133" hidden="1" customWidth="1"/>
    <col min="15" max="15" width="2.5703125" hidden="1" customWidth="1"/>
    <col min="16" max="18" width="14.5703125" style="133" hidden="1" customWidth="1"/>
    <col min="19" max="25" width="13.42578125" bestFit="1" customWidth="1"/>
    <col min="28" max="28" width="19.140625" bestFit="1" customWidth="1"/>
    <col min="66" max="16384" width="13.140625" style="16"/>
  </cols>
  <sheetData>
    <row r="1" spans="1:73" s="156" customFormat="1" x14ac:dyDescent="0.25">
      <c r="A1" s="16"/>
      <c r="B1" s="16"/>
      <c r="C1" s="40"/>
      <c r="D1" s="16"/>
      <c r="E1" s="16"/>
      <c r="F1" s="16"/>
      <c r="G1" s="16"/>
      <c r="H1" s="16"/>
      <c r="I1" s="16"/>
      <c r="J1"/>
      <c r="K1" s="133"/>
      <c r="L1" s="133"/>
      <c r="M1" s="133"/>
      <c r="N1" s="133"/>
      <c r="O1"/>
      <c r="P1" s="133"/>
      <c r="Q1" s="133"/>
      <c r="R1" s="133"/>
    </row>
    <row r="2" spans="1:73" s="156" customFormat="1" x14ac:dyDescent="0.25">
      <c r="A2" s="16"/>
      <c r="B2" s="16"/>
      <c r="C2" s="40"/>
      <c r="D2" s="16"/>
      <c r="E2" s="16"/>
      <c r="F2" s="16"/>
      <c r="G2" s="16"/>
      <c r="H2" s="16"/>
      <c r="I2" s="16"/>
      <c r="J2"/>
      <c r="K2" s="133"/>
      <c r="L2" s="133"/>
      <c r="M2" s="133"/>
      <c r="N2" s="133"/>
      <c r="O2"/>
      <c r="P2" s="133"/>
      <c r="Q2" s="133"/>
      <c r="R2" s="133"/>
    </row>
    <row r="3" spans="1:73" s="168" customFormat="1" x14ac:dyDescent="0.25">
      <c r="A3" s="2"/>
      <c r="B3" s="2"/>
      <c r="C3" s="42"/>
      <c r="D3" s="56"/>
      <c r="E3" s="56"/>
      <c r="F3" s="56"/>
      <c r="G3" s="56"/>
      <c r="H3" s="56"/>
      <c r="I3" s="56"/>
      <c r="J3"/>
      <c r="K3" s="133"/>
      <c r="L3" s="133"/>
      <c r="M3" s="133"/>
      <c r="N3" s="133"/>
      <c r="O3"/>
      <c r="P3" s="133"/>
      <c r="Q3" s="133"/>
      <c r="R3" s="133"/>
      <c r="S3" s="156"/>
      <c r="T3" s="156"/>
      <c r="U3" s="156"/>
      <c r="V3" s="156"/>
      <c r="W3" s="156"/>
      <c r="X3" s="156"/>
      <c r="Y3" s="156"/>
      <c r="Z3" s="156"/>
      <c r="AA3" s="156"/>
      <c r="AB3" s="156"/>
      <c r="AC3" s="156"/>
      <c r="AD3" s="156"/>
      <c r="AE3" s="156"/>
      <c r="AF3" s="156"/>
      <c r="AG3" s="156"/>
      <c r="AH3" s="156"/>
      <c r="AI3" s="156"/>
      <c r="AJ3" s="156"/>
      <c r="AK3" s="156"/>
      <c r="AL3" s="156"/>
      <c r="AM3" s="156"/>
      <c r="AN3" s="156"/>
      <c r="AO3" s="156"/>
      <c r="AP3" s="156"/>
      <c r="AQ3" s="156"/>
      <c r="AR3" s="156"/>
      <c r="AS3" s="156"/>
      <c r="AT3" s="156"/>
      <c r="AU3" s="156"/>
      <c r="AV3" s="156"/>
      <c r="AW3" s="156"/>
      <c r="AX3" s="156"/>
      <c r="AY3" s="156"/>
      <c r="AZ3" s="156"/>
      <c r="BA3" s="156"/>
      <c r="BB3" s="156"/>
      <c r="BC3" s="156"/>
      <c r="BD3" s="156"/>
      <c r="BE3" s="156"/>
      <c r="BF3" s="156"/>
      <c r="BG3" s="156"/>
      <c r="BH3" s="156"/>
      <c r="BI3" s="156"/>
      <c r="BJ3" s="156"/>
      <c r="BK3" s="156"/>
      <c r="BL3" s="156"/>
      <c r="BM3" s="156"/>
      <c r="BN3" s="36"/>
      <c r="BO3" s="36"/>
      <c r="BP3" s="36"/>
      <c r="BQ3" s="36"/>
      <c r="BR3" s="36"/>
      <c r="BS3" s="36"/>
      <c r="BT3" s="36"/>
      <c r="BU3" s="36"/>
    </row>
    <row r="4" spans="1:73" s="168" customFormat="1" x14ac:dyDescent="0.25">
      <c r="A4" s="2"/>
      <c r="B4" s="2"/>
      <c r="C4" s="42"/>
      <c r="D4"/>
      <c r="E4" s="56"/>
      <c r="F4" s="56"/>
      <c r="G4" s="56"/>
      <c r="H4" s="56"/>
      <c r="I4" s="56"/>
      <c r="J4"/>
      <c r="K4" s="133"/>
      <c r="L4" s="139" t="s">
        <v>169</v>
      </c>
      <c r="M4" s="15" t="s">
        <v>29</v>
      </c>
      <c r="N4" s="140" t="s">
        <v>84</v>
      </c>
      <c r="O4"/>
      <c r="P4" s="139" t="s">
        <v>171</v>
      </c>
      <c r="Q4" s="15">
        <v>2011</v>
      </c>
      <c r="R4" s="140" t="s">
        <v>84</v>
      </c>
      <c r="S4" s="156"/>
      <c r="T4" s="156"/>
      <c r="U4" s="156"/>
      <c r="V4" s="156"/>
      <c r="W4" s="156"/>
      <c r="X4" s="156"/>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6"/>
      <c r="BB4" s="156"/>
      <c r="BC4" s="156"/>
      <c r="BD4" s="156"/>
      <c r="BE4" s="156"/>
      <c r="BF4" s="156"/>
      <c r="BG4" s="156"/>
      <c r="BH4" s="156"/>
      <c r="BI4" s="156"/>
      <c r="BJ4" s="156"/>
      <c r="BK4" s="156"/>
      <c r="BL4" s="156"/>
      <c r="BM4" s="156"/>
      <c r="BN4" s="36"/>
      <c r="BO4" s="36"/>
      <c r="BP4" s="36"/>
      <c r="BQ4" s="36"/>
      <c r="BR4" s="36"/>
      <c r="BS4" s="36"/>
      <c r="BT4" s="36"/>
      <c r="BU4" s="36"/>
    </row>
    <row r="5" spans="1:73" s="168" customFormat="1" x14ac:dyDescent="0.25">
      <c r="A5" s="2"/>
      <c r="B5" s="16"/>
      <c r="C5" s="999" t="s">
        <v>924</v>
      </c>
      <c r="D5" s="15">
        <v>2012</v>
      </c>
      <c r="E5" s="14">
        <v>2013</v>
      </c>
      <c r="F5" s="15">
        <v>2013</v>
      </c>
      <c r="G5" s="14">
        <v>2014</v>
      </c>
      <c r="H5" s="15">
        <v>2015</v>
      </c>
      <c r="I5" s="14">
        <v>2016</v>
      </c>
      <c r="J5"/>
      <c r="K5" s="133"/>
      <c r="L5" s="139"/>
      <c r="M5" s="15" t="s">
        <v>172</v>
      </c>
      <c r="N5" s="140"/>
      <c r="O5"/>
      <c r="P5" s="139"/>
      <c r="Q5" s="15" t="s">
        <v>172</v>
      </c>
      <c r="R5" s="140"/>
      <c r="S5" s="156">
        <v>2014</v>
      </c>
      <c r="T5" s="156">
        <v>2015</v>
      </c>
      <c r="U5" s="156">
        <v>2016</v>
      </c>
      <c r="V5" s="156"/>
      <c r="W5" s="156"/>
      <c r="X5" s="156"/>
      <c r="Y5" s="156"/>
      <c r="Z5" s="156"/>
      <c r="AA5" s="156"/>
      <c r="AB5" s="156"/>
      <c r="AC5" s="156"/>
      <c r="AD5" s="156"/>
      <c r="AE5" s="156"/>
      <c r="AF5" s="156"/>
      <c r="AG5" s="156"/>
      <c r="AH5" s="156"/>
      <c r="AI5" s="156"/>
      <c r="AJ5" s="156"/>
      <c r="AK5" s="156"/>
      <c r="AL5" s="156"/>
      <c r="AM5" s="156"/>
      <c r="AN5" s="156"/>
      <c r="AO5" s="156"/>
      <c r="AP5" s="156"/>
      <c r="AQ5" s="156"/>
      <c r="AR5" s="156"/>
      <c r="AS5" s="156"/>
      <c r="AT5" s="156"/>
      <c r="AU5" s="156"/>
      <c r="AV5" s="156"/>
      <c r="AW5" s="156"/>
      <c r="AX5" s="156"/>
      <c r="AY5" s="156"/>
      <c r="AZ5" s="156"/>
      <c r="BA5" s="156"/>
      <c r="BB5" s="156"/>
      <c r="BC5" s="156"/>
      <c r="BD5" s="156"/>
      <c r="BE5" s="156"/>
      <c r="BF5" s="156"/>
      <c r="BG5" s="156"/>
      <c r="BH5" s="156"/>
      <c r="BI5" s="156"/>
      <c r="BJ5" s="156"/>
      <c r="BK5" s="156"/>
      <c r="BL5" s="156"/>
      <c r="BM5" s="156"/>
      <c r="BN5" s="199"/>
      <c r="BO5" s="199"/>
      <c r="BP5" s="199"/>
      <c r="BQ5" s="199"/>
      <c r="BR5" s="199"/>
      <c r="BS5" s="199"/>
      <c r="BT5" s="199"/>
      <c r="BU5" s="199"/>
    </row>
    <row r="6" spans="1:73" s="168" customFormat="1" x14ac:dyDescent="0.25">
      <c r="A6" s="2"/>
      <c r="B6" s="2"/>
      <c r="C6" s="998" t="s">
        <v>1107</v>
      </c>
      <c r="D6" s="54" t="str">
        <f>IF(COUNTIFS('P&amp;L - Monthly'!3:3,D5,'P&amp;L - Monthly'!4:4,"actual")=12,"Actual","Forecast")</f>
        <v>Actual</v>
      </c>
      <c r="E6" s="54" t="str">
        <f>IF(COUNTIFS('P&amp;L - Monthly'!3:3,E5,'P&amp;L - Monthly'!4:4,"actual")=12,"Actual","Forecast")</f>
        <v>Actual</v>
      </c>
      <c r="F6" s="54" t="str">
        <f>IF(COUNTIFS('P&amp;L - Monthly'!3:3,F5,'P&amp;L - Monthly'!4:4,"actual")=12,"Actual","Forecast")</f>
        <v>Actual</v>
      </c>
      <c r="G6" s="54" t="str">
        <f>IF(COUNTIFS('P&amp;L - Monthly'!3:3,G5,'P&amp;L - Monthly'!4:4,"actual")=12,"Actual","Forecast")</f>
        <v>Forecast</v>
      </c>
      <c r="H6" s="54" t="str">
        <f>IF(COUNTIFS('P&amp;L - Monthly'!3:3,H5,'P&amp;L - Monthly'!4:4,"actual")=12,"Actual","Forecast")</f>
        <v>Forecast</v>
      </c>
      <c r="I6" s="54" t="str">
        <f>IF(COUNTIFS('P&amp;L - Monthly'!3:3,I5,'P&amp;L - Monthly'!4:4,"actual")=12,"Actual","Forecast")</f>
        <v>Forecast</v>
      </c>
      <c r="J6"/>
      <c r="K6" s="133"/>
      <c r="L6" s="54"/>
      <c r="M6" s="54"/>
      <c r="N6" s="54"/>
      <c r="O6"/>
      <c r="P6" s="54"/>
      <c r="Q6" s="54"/>
      <c r="R6" s="54"/>
      <c r="S6" s="156"/>
      <c r="T6" s="156"/>
      <c r="U6" s="156"/>
      <c r="V6" s="156"/>
      <c r="W6" s="156"/>
      <c r="X6" s="156"/>
      <c r="Y6" s="156"/>
      <c r="Z6" s="156"/>
      <c r="AA6" s="156"/>
      <c r="AB6" s="156"/>
      <c r="AC6" s="156"/>
      <c r="AD6" s="156"/>
      <c r="AE6" s="156"/>
      <c r="AF6" s="156"/>
      <c r="AG6" s="156"/>
      <c r="AH6" s="156"/>
      <c r="AI6" s="156"/>
      <c r="AJ6" s="156"/>
      <c r="AK6" s="156"/>
      <c r="AL6" s="156"/>
      <c r="AM6" s="156"/>
      <c r="AN6" s="156"/>
      <c r="AO6" s="156"/>
      <c r="AP6" s="156"/>
      <c r="AQ6" s="156"/>
      <c r="AR6" s="156"/>
      <c r="AS6" s="156"/>
      <c r="AT6" s="156"/>
      <c r="AU6" s="156"/>
      <c r="AV6" s="156"/>
      <c r="AW6" s="156"/>
      <c r="AX6" s="156"/>
      <c r="AY6" s="156"/>
      <c r="AZ6" s="156"/>
      <c r="BA6" s="156"/>
      <c r="BB6" s="156"/>
      <c r="BC6" s="156"/>
      <c r="BD6" s="156"/>
      <c r="BE6" s="156"/>
      <c r="BF6" s="156"/>
      <c r="BG6" s="156"/>
      <c r="BH6" s="156"/>
      <c r="BI6" s="156"/>
      <c r="BJ6" s="156"/>
      <c r="BK6" s="156"/>
      <c r="BL6" s="156"/>
      <c r="BM6" s="156"/>
      <c r="BN6" s="199"/>
      <c r="BO6" s="199"/>
      <c r="BP6" s="199"/>
      <c r="BQ6" s="199"/>
      <c r="BR6" s="199"/>
      <c r="BS6" s="199"/>
      <c r="BT6" s="199"/>
      <c r="BU6" s="199"/>
    </row>
    <row r="7" spans="1:73" s="156" customFormat="1" ht="18" customHeight="1" x14ac:dyDescent="0.25">
      <c r="A7" s="133"/>
      <c r="B7" s="29"/>
      <c r="C7" s="40"/>
      <c r="D7" s="133"/>
      <c r="E7" s="133"/>
      <c r="F7" s="133"/>
      <c r="G7" s="133"/>
      <c r="H7" s="133"/>
      <c r="I7" s="133"/>
      <c r="J7" s="133"/>
      <c r="K7" s="133"/>
      <c r="L7" s="133"/>
      <c r="M7" s="133"/>
      <c r="N7" s="133"/>
      <c r="O7" s="133"/>
      <c r="P7" s="133"/>
      <c r="Q7" s="133"/>
      <c r="R7" s="133"/>
    </row>
    <row r="8" spans="1:73" s="156" customFormat="1" x14ac:dyDescent="0.25">
      <c r="A8" s="133"/>
      <c r="B8" s="29" t="s">
        <v>69</v>
      </c>
      <c r="C8" s="40"/>
      <c r="D8" s="133"/>
      <c r="E8" s="133"/>
      <c r="F8" s="133"/>
      <c r="G8" s="133"/>
      <c r="H8" s="133"/>
      <c r="I8" s="133"/>
      <c r="J8" s="133"/>
      <c r="K8" s="133"/>
      <c r="L8" s="133"/>
      <c r="M8" s="133"/>
      <c r="N8" s="133"/>
      <c r="O8" s="133"/>
      <c r="P8" s="133"/>
      <c r="Q8" s="133"/>
      <c r="R8" s="133"/>
    </row>
    <row r="9" spans="1:73" s="156" customFormat="1" outlineLevel="1" x14ac:dyDescent="0.25">
      <c r="A9" s="16"/>
      <c r="B9" s="16"/>
      <c r="C9" s="29" t="s">
        <v>220</v>
      </c>
      <c r="D9" s="16"/>
      <c r="E9" s="16"/>
      <c r="F9" s="16"/>
      <c r="G9" s="16"/>
      <c r="H9" s="16"/>
      <c r="I9" s="16"/>
      <c r="J9"/>
      <c r="K9" s="133"/>
      <c r="L9" s="133"/>
      <c r="M9" s="133"/>
      <c r="N9" s="133"/>
      <c r="O9"/>
      <c r="P9" s="133"/>
      <c r="Q9" s="133"/>
      <c r="R9" s="133"/>
    </row>
    <row r="10" spans="1:73" s="156" customFormat="1" outlineLevel="1" x14ac:dyDescent="0.25">
      <c r="A10" s="16"/>
      <c r="B10" s="16"/>
      <c r="C10" s="1131" t="s">
        <v>222</v>
      </c>
      <c r="D10" s="17">
        <f>SUMIF('P&amp;L - Monthly'!$3:$3,'P&amp;L - Yrly'!D$5,'P&amp;L - Monthly'!11:11)</f>
        <v>0</v>
      </c>
      <c r="E10" s="575">
        <f>SUMIF('P&amp;L - Monthly'!$3:$3,'P&amp;L - Yrly'!E$5,'P&amp;L - Monthly'!11:11)</f>
        <v>1726460.26</v>
      </c>
      <c r="F10" s="575">
        <f>SUMIF('P&amp;L - Monthly'!$3:$3,'P&amp;L - Yrly'!F$5,'P&amp;L - Monthly'!11:11)</f>
        <v>1726460.26</v>
      </c>
      <c r="G10" s="575">
        <f>SUMIF('P&amp;L - Monthly'!$3:$3,'P&amp;L - Yrly'!G$5,'P&amp;L - Monthly'!11:11)</f>
        <v>5686539.8962739268</v>
      </c>
      <c r="H10" s="575">
        <f>SUMIF('P&amp;L - Monthly'!$3:$3,'P&amp;L - Yrly'!H$5,'P&amp;L - Monthly'!11:11)</f>
        <v>9022198.8796435539</v>
      </c>
      <c r="I10" s="575">
        <f>SUMIF('P&amp;L - Monthly'!$3:$3,'P&amp;L - Yrly'!I$5,'P&amp;L - Monthly'!11:11)</f>
        <v>0</v>
      </c>
      <c r="J10" s="575">
        <f>SUMIF('P&amp;L - Monthly'!$3:$3,'P&amp;L - Yrly'!J$5,'P&amp;L - Monthly'!11:11)</f>
        <v>0</v>
      </c>
      <c r="K10" s="575">
        <f>SUMIF('P&amp;L - Monthly'!$3:$3,'P&amp;L - Yrly'!K$5,'P&amp;L - Monthly'!11:11)</f>
        <v>0</v>
      </c>
      <c r="L10" s="575">
        <f>SUMIF('P&amp;L - Monthly'!$3:$3,'P&amp;L - Yrly'!L$5,'P&amp;L - Monthly'!11:11)</f>
        <v>0</v>
      </c>
      <c r="M10" s="575">
        <f>SUMIF('P&amp;L - Monthly'!$3:$3,'P&amp;L - Yrly'!M$5,'P&amp;L - Monthly'!11:11)</f>
        <v>0</v>
      </c>
      <c r="N10" s="575">
        <f>SUMIF('P&amp;L - Monthly'!$3:$3,'P&amp;L - Yrly'!N$5,'P&amp;L - Monthly'!11:11)</f>
        <v>0</v>
      </c>
      <c r="O10" s="575">
        <f>SUMIF('P&amp;L - Monthly'!$3:$3,'P&amp;L - Yrly'!O$5,'P&amp;L - Monthly'!11:11)</f>
        <v>0</v>
      </c>
      <c r="P10" s="575">
        <f>SUMIF('P&amp;L - Monthly'!$3:$3,'P&amp;L - Yrly'!P$5,'P&amp;L - Monthly'!11:11)</f>
        <v>0</v>
      </c>
      <c r="Q10" s="575">
        <f>SUMIF('P&amp;L - Monthly'!$3:$3,'P&amp;L - Yrly'!Q$5,'P&amp;L - Monthly'!11:11)</f>
        <v>0</v>
      </c>
      <c r="R10" s="575">
        <f>SUMIF('P&amp;L - Monthly'!$3:$3,'P&amp;L - Yrly'!R$5,'P&amp;L - Monthly'!11:11)</f>
        <v>0</v>
      </c>
      <c r="S10" s="575">
        <f>SUMIF('P&amp;L - Monthly'!$3:$3,'P&amp;L - Yrly'!S$5,'P&amp;L - Monthly'!11:11)</f>
        <v>5686539.8962739268</v>
      </c>
      <c r="T10" s="575">
        <f>SUMIF('P&amp;L - Monthly'!$3:$3,'P&amp;L - Yrly'!T$5,'P&amp;L - Monthly'!11:11)</f>
        <v>9022198.8796435539</v>
      </c>
      <c r="U10" s="575">
        <f>SUMIF('P&amp;L - Monthly'!$3:$3,'P&amp;L - Yrly'!U$5,'P&amp;L - Monthly'!11:11)</f>
        <v>0</v>
      </c>
    </row>
    <row r="11" spans="1:73" s="156" customFormat="1" outlineLevel="1" x14ac:dyDescent="0.25">
      <c r="A11" s="304"/>
      <c r="B11" s="304"/>
      <c r="C11" s="1131" t="s">
        <v>1162</v>
      </c>
      <c r="D11" s="575">
        <f>SUMIF('P&amp;L - Monthly'!$3:$3,'P&amp;L - Yrly'!D$5,'P&amp;L - Monthly'!12:12)</f>
        <v>14804051.248248139</v>
      </c>
      <c r="E11" s="575">
        <f>SUMIF('P&amp;L - Monthly'!$3:$3,'P&amp;L - Yrly'!E$5,'P&amp;L - Monthly'!12:12)</f>
        <v>15100647.030000001</v>
      </c>
      <c r="F11" s="575">
        <f>SUMIF('P&amp;L - Monthly'!$3:$3,'P&amp;L - Yrly'!F$5,'P&amp;L - Monthly'!12:12)</f>
        <v>15100647.030000001</v>
      </c>
      <c r="G11" s="575">
        <f>SUMIF('P&amp;L - Monthly'!$3:$3,'P&amp;L - Yrly'!G$5,'P&amp;L - Monthly'!12:12)</f>
        <v>18231604.834482517</v>
      </c>
      <c r="H11" s="575">
        <f>SUMIF('P&amp;L - Monthly'!$3:$3,'P&amp;L - Yrly'!H$5,'P&amp;L - Monthly'!12:12)</f>
        <v>34183217.832786769</v>
      </c>
      <c r="I11" s="575">
        <f>SUMIF('P&amp;L - Monthly'!$3:$3,'P&amp;L - Yrly'!I$5,'P&amp;L - Monthly'!12:12)</f>
        <v>0</v>
      </c>
      <c r="J11" s="575">
        <f>SUMIF('P&amp;L - Monthly'!$3:$3,'P&amp;L - Yrly'!J$5,'P&amp;L - Monthly'!12:12)</f>
        <v>0</v>
      </c>
      <c r="K11" s="575">
        <f>SUMIF('P&amp;L - Monthly'!$3:$3,'P&amp;L - Yrly'!K$5,'P&amp;L - Monthly'!12:12)</f>
        <v>0</v>
      </c>
      <c r="L11" s="575">
        <f>SUMIF('P&amp;L - Monthly'!$3:$3,'P&amp;L - Yrly'!L$5,'P&amp;L - Monthly'!12:12)</f>
        <v>0</v>
      </c>
      <c r="M11" s="575">
        <f>SUMIF('P&amp;L - Monthly'!$3:$3,'P&amp;L - Yrly'!M$5,'P&amp;L - Monthly'!12:12)</f>
        <v>0</v>
      </c>
      <c r="N11" s="575">
        <f>SUMIF('P&amp;L - Monthly'!$3:$3,'P&amp;L - Yrly'!N$5,'P&amp;L - Monthly'!12:12)</f>
        <v>0</v>
      </c>
      <c r="O11" s="575">
        <f>SUMIF('P&amp;L - Monthly'!$3:$3,'P&amp;L - Yrly'!O$5,'P&amp;L - Monthly'!12:12)</f>
        <v>0</v>
      </c>
      <c r="P11" s="575">
        <f>SUMIF('P&amp;L - Monthly'!$3:$3,'P&amp;L - Yrly'!P$5,'P&amp;L - Monthly'!12:12)</f>
        <v>0</v>
      </c>
      <c r="Q11" s="575">
        <f>SUMIF('P&amp;L - Monthly'!$3:$3,'P&amp;L - Yrly'!Q$5,'P&amp;L - Monthly'!12:12)</f>
        <v>0</v>
      </c>
      <c r="R11" s="575">
        <f>SUMIF('P&amp;L - Monthly'!$3:$3,'P&amp;L - Yrly'!R$5,'P&amp;L - Monthly'!12:12)</f>
        <v>0</v>
      </c>
      <c r="S11" s="575">
        <f>SUMIF('P&amp;L - Monthly'!$3:$3,'P&amp;L - Yrly'!S$5,'P&amp;L - Monthly'!12:12)</f>
        <v>18231604.834482517</v>
      </c>
      <c r="T11" s="575">
        <f>SUMIF('P&amp;L - Monthly'!$3:$3,'P&amp;L - Yrly'!T$5,'P&amp;L - Monthly'!12:12)</f>
        <v>34183217.832786769</v>
      </c>
      <c r="U11" s="575">
        <f>SUMIF('P&amp;L - Monthly'!$3:$3,'P&amp;L - Yrly'!U$5,'P&amp;L - Monthly'!12:12)</f>
        <v>0</v>
      </c>
    </row>
    <row r="12" spans="1:73" s="156" customFormat="1" outlineLevel="1" x14ac:dyDescent="0.25">
      <c r="A12" s="570"/>
      <c r="B12" s="570"/>
      <c r="C12" s="1131" t="s">
        <v>1165</v>
      </c>
      <c r="D12" s="575">
        <f>SUMIF('P&amp;L - Monthly'!$3:$3,'P&amp;L - Yrly'!D$5,'P&amp;L - Monthly'!13:13)</f>
        <v>0</v>
      </c>
      <c r="E12" s="575">
        <f>SUMIF('P&amp;L - Monthly'!$3:$3,'P&amp;L - Yrly'!E$5,'P&amp;L - Monthly'!13:13)</f>
        <v>0</v>
      </c>
      <c r="F12" s="575">
        <f>SUMIF('P&amp;L - Monthly'!$3:$3,'P&amp;L - Yrly'!F$5,'P&amp;L - Monthly'!13:13)</f>
        <v>0</v>
      </c>
      <c r="G12" s="575">
        <f>SUMIF('P&amp;L - Monthly'!$3:$3,'P&amp;L - Yrly'!G$5,'P&amp;L - Monthly'!13:13)</f>
        <v>0</v>
      </c>
      <c r="H12" s="575">
        <f>SUMIF('P&amp;L - Monthly'!$3:$3,'P&amp;L - Yrly'!H$5,'P&amp;L - Monthly'!13:13)</f>
        <v>0</v>
      </c>
      <c r="I12" s="575">
        <f>SUMIF('P&amp;L - Monthly'!$3:$3,'P&amp;L - Yrly'!I$5,'P&amp;L - Monthly'!13:13)</f>
        <v>0</v>
      </c>
      <c r="J12" s="575">
        <f>SUMIF('P&amp;L - Monthly'!$3:$3,'P&amp;L - Yrly'!J$5,'P&amp;L - Monthly'!13:13)</f>
        <v>0</v>
      </c>
      <c r="K12" s="575">
        <f>SUMIF('P&amp;L - Monthly'!$3:$3,'P&amp;L - Yrly'!K$5,'P&amp;L - Monthly'!13:13)</f>
        <v>0</v>
      </c>
      <c r="L12" s="575">
        <f>SUMIF('P&amp;L - Monthly'!$3:$3,'P&amp;L - Yrly'!L$5,'P&amp;L - Monthly'!13:13)</f>
        <v>0</v>
      </c>
      <c r="M12" s="575">
        <f>SUMIF('P&amp;L - Monthly'!$3:$3,'P&amp;L - Yrly'!M$5,'P&amp;L - Monthly'!13:13)</f>
        <v>0</v>
      </c>
      <c r="N12" s="575">
        <f>SUMIF('P&amp;L - Monthly'!$3:$3,'P&amp;L - Yrly'!N$5,'P&amp;L - Monthly'!13:13)</f>
        <v>0</v>
      </c>
      <c r="O12" s="575">
        <f>SUMIF('P&amp;L - Monthly'!$3:$3,'P&amp;L - Yrly'!O$5,'P&amp;L - Monthly'!13:13)</f>
        <v>0</v>
      </c>
      <c r="P12" s="575">
        <f>SUMIF('P&amp;L - Monthly'!$3:$3,'P&amp;L - Yrly'!P$5,'P&amp;L - Monthly'!13:13)</f>
        <v>0</v>
      </c>
      <c r="Q12" s="575">
        <f>SUMIF('P&amp;L - Monthly'!$3:$3,'P&amp;L - Yrly'!Q$5,'P&amp;L - Monthly'!13:13)</f>
        <v>0</v>
      </c>
      <c r="R12" s="575">
        <f>SUMIF('P&amp;L - Monthly'!$3:$3,'P&amp;L - Yrly'!R$5,'P&amp;L - Monthly'!13:13)</f>
        <v>0</v>
      </c>
      <c r="S12" s="575">
        <f>SUMIF('P&amp;L - Monthly'!$3:$3,'P&amp;L - Yrly'!S$5,'P&amp;L - Monthly'!13:13)</f>
        <v>0</v>
      </c>
      <c r="T12" s="575">
        <f>SUMIF('P&amp;L - Monthly'!$3:$3,'P&amp;L - Yrly'!T$5,'P&amp;L - Monthly'!13:13)</f>
        <v>0</v>
      </c>
      <c r="U12" s="575">
        <f>SUMIF('P&amp;L - Monthly'!$3:$3,'P&amp;L - Yrly'!U$5,'P&amp;L - Monthly'!13:13)</f>
        <v>0</v>
      </c>
    </row>
    <row r="13" spans="1:73" s="156" customFormat="1" outlineLevel="1" x14ac:dyDescent="0.25">
      <c r="A13" s="570"/>
      <c r="B13" s="570"/>
      <c r="C13" s="1131" t="s">
        <v>1166</v>
      </c>
      <c r="D13" s="575">
        <f>SUMIF('P&amp;L - Monthly'!$3:$3,'P&amp;L - Yrly'!D$5,'P&amp;L - Monthly'!14:14)</f>
        <v>0</v>
      </c>
      <c r="E13" s="575">
        <f>SUMIF('P&amp;L - Monthly'!$3:$3,'P&amp;L - Yrly'!E$5,'P&amp;L - Monthly'!14:14)</f>
        <v>24139.58</v>
      </c>
      <c r="F13" s="575">
        <f>SUMIF('P&amp;L - Monthly'!$3:$3,'P&amp;L - Yrly'!F$5,'P&amp;L - Monthly'!14:14)</f>
        <v>24139.58</v>
      </c>
      <c r="G13" s="575">
        <f>SUMIF('P&amp;L - Monthly'!$3:$3,'P&amp;L - Yrly'!G$5,'P&amp;L - Monthly'!14:14)</f>
        <v>2989.5</v>
      </c>
      <c r="H13" s="575">
        <f>SUMIF('P&amp;L - Monthly'!$3:$3,'P&amp;L - Yrly'!H$5,'P&amp;L - Monthly'!14:14)</f>
        <v>0</v>
      </c>
      <c r="I13" s="575">
        <f>SUMIF('P&amp;L - Monthly'!$3:$3,'P&amp;L - Yrly'!I$5,'P&amp;L - Monthly'!14:14)</f>
        <v>0</v>
      </c>
      <c r="J13" s="575">
        <f>SUMIF('P&amp;L - Monthly'!$3:$3,'P&amp;L - Yrly'!J$5,'P&amp;L - Monthly'!14:14)</f>
        <v>0</v>
      </c>
      <c r="K13" s="575">
        <f>SUMIF('P&amp;L - Monthly'!$3:$3,'P&amp;L - Yrly'!K$5,'P&amp;L - Monthly'!14:14)</f>
        <v>0</v>
      </c>
      <c r="L13" s="575">
        <f>SUMIF('P&amp;L - Monthly'!$3:$3,'P&amp;L - Yrly'!L$5,'P&amp;L - Monthly'!14:14)</f>
        <v>0</v>
      </c>
      <c r="M13" s="575">
        <f>SUMIF('P&amp;L - Monthly'!$3:$3,'P&amp;L - Yrly'!M$5,'P&amp;L - Monthly'!14:14)</f>
        <v>0</v>
      </c>
      <c r="N13" s="575">
        <f>SUMIF('P&amp;L - Monthly'!$3:$3,'P&amp;L - Yrly'!N$5,'P&amp;L - Monthly'!14:14)</f>
        <v>0</v>
      </c>
      <c r="O13" s="575">
        <f>SUMIF('P&amp;L - Monthly'!$3:$3,'P&amp;L - Yrly'!O$5,'P&amp;L - Monthly'!14:14)</f>
        <v>0</v>
      </c>
      <c r="P13" s="575">
        <f>SUMIF('P&amp;L - Monthly'!$3:$3,'P&amp;L - Yrly'!P$5,'P&amp;L - Monthly'!14:14)</f>
        <v>0</v>
      </c>
      <c r="Q13" s="575">
        <f>SUMIF('P&amp;L - Monthly'!$3:$3,'P&amp;L - Yrly'!Q$5,'P&amp;L - Monthly'!14:14)</f>
        <v>0</v>
      </c>
      <c r="R13" s="575">
        <f>SUMIF('P&amp;L - Monthly'!$3:$3,'P&amp;L - Yrly'!R$5,'P&amp;L - Monthly'!14:14)</f>
        <v>0</v>
      </c>
      <c r="S13" s="575">
        <f>SUMIF('P&amp;L - Monthly'!$3:$3,'P&amp;L - Yrly'!S$5,'P&amp;L - Monthly'!14:14)</f>
        <v>2989.5</v>
      </c>
      <c r="T13" s="575">
        <f>SUMIF('P&amp;L - Monthly'!$3:$3,'P&amp;L - Yrly'!T$5,'P&amp;L - Monthly'!14:14)</f>
        <v>0</v>
      </c>
      <c r="U13" s="575">
        <f>SUMIF('P&amp;L - Monthly'!$3:$3,'P&amp;L - Yrly'!U$5,'P&amp;L - Monthly'!14:14)</f>
        <v>0</v>
      </c>
    </row>
    <row r="14" spans="1:73" s="156" customFormat="1" outlineLevel="1" x14ac:dyDescent="0.25">
      <c r="A14" s="570"/>
      <c r="B14" s="570"/>
      <c r="C14" s="1131" t="s">
        <v>1168</v>
      </c>
      <c r="D14" s="575"/>
      <c r="E14" s="575"/>
      <c r="F14" s="575"/>
      <c r="G14" s="575"/>
      <c r="H14" s="575"/>
      <c r="I14" s="575"/>
      <c r="J14" s="575"/>
      <c r="K14" s="575"/>
      <c r="L14" s="575"/>
      <c r="M14" s="575"/>
      <c r="N14" s="575"/>
      <c r="O14" s="575"/>
      <c r="P14" s="575"/>
      <c r="Q14" s="575"/>
      <c r="R14" s="575"/>
      <c r="S14" s="575"/>
      <c r="T14" s="575"/>
      <c r="U14" s="575"/>
    </row>
    <row r="15" spans="1:73" s="156" customFormat="1" outlineLevel="1" x14ac:dyDescent="0.25">
      <c r="A15" s="16"/>
      <c r="B15" s="16"/>
      <c r="C15" s="1131" t="s">
        <v>1167</v>
      </c>
      <c r="D15" s="575">
        <f>SUMIF('P&amp;L - Monthly'!$3:$3,'P&amp;L - Yrly'!D$5,'P&amp;L - Monthly'!15:15)</f>
        <v>0</v>
      </c>
      <c r="E15" s="575">
        <f>SUMIF('P&amp;L - Monthly'!$3:$3,'P&amp;L - Yrly'!E$5,'P&amp;L - Monthly'!15:15)</f>
        <v>14600</v>
      </c>
      <c r="F15" s="575">
        <f>SUMIF('P&amp;L - Monthly'!$3:$3,'P&amp;L - Yrly'!F$5,'P&amp;L - Monthly'!15:15)</f>
        <v>14600</v>
      </c>
      <c r="G15" s="575">
        <f>SUMIF('P&amp;L - Monthly'!$3:$3,'P&amp;L - Yrly'!G$5,'P&amp;L - Monthly'!15:15)</f>
        <v>9200</v>
      </c>
      <c r="H15" s="575">
        <f>SUMIF('P&amp;L - Monthly'!$3:$3,'P&amp;L - Yrly'!H$5,'P&amp;L - Monthly'!15:15)</f>
        <v>0</v>
      </c>
      <c r="I15" s="575">
        <f>SUMIF('P&amp;L - Monthly'!$3:$3,'P&amp;L - Yrly'!I$5,'P&amp;L - Monthly'!15:15)</f>
        <v>0</v>
      </c>
      <c r="J15" s="575">
        <f>SUMIF('P&amp;L - Monthly'!$3:$3,'P&amp;L - Yrly'!J$5,'P&amp;L - Monthly'!15:15)</f>
        <v>0</v>
      </c>
      <c r="K15" s="575">
        <f>SUMIF('P&amp;L - Monthly'!$3:$3,'P&amp;L - Yrly'!K$5,'P&amp;L - Monthly'!15:15)</f>
        <v>0</v>
      </c>
      <c r="L15" s="575">
        <f>SUMIF('P&amp;L - Monthly'!$3:$3,'P&amp;L - Yrly'!L$5,'P&amp;L - Monthly'!15:15)</f>
        <v>0</v>
      </c>
      <c r="M15" s="575">
        <f>SUMIF('P&amp;L - Monthly'!$3:$3,'P&amp;L - Yrly'!M$5,'P&amp;L - Monthly'!15:15)</f>
        <v>0</v>
      </c>
      <c r="N15" s="575">
        <f>SUMIF('P&amp;L - Monthly'!$3:$3,'P&amp;L - Yrly'!N$5,'P&amp;L - Monthly'!15:15)</f>
        <v>0</v>
      </c>
      <c r="O15" s="575">
        <f>SUMIF('P&amp;L - Monthly'!$3:$3,'P&amp;L - Yrly'!O$5,'P&amp;L - Monthly'!15:15)</f>
        <v>0</v>
      </c>
      <c r="P15" s="575">
        <f>SUMIF('P&amp;L - Monthly'!$3:$3,'P&amp;L - Yrly'!P$5,'P&amp;L - Monthly'!15:15)</f>
        <v>0</v>
      </c>
      <c r="Q15" s="575">
        <f>SUMIF('P&amp;L - Monthly'!$3:$3,'P&amp;L - Yrly'!Q$5,'P&amp;L - Monthly'!15:15)</f>
        <v>0</v>
      </c>
      <c r="R15" s="575">
        <f>SUMIF('P&amp;L - Monthly'!$3:$3,'P&amp;L - Yrly'!R$5,'P&amp;L - Monthly'!15:15)</f>
        <v>0</v>
      </c>
      <c r="S15" s="575">
        <f>SUMIF('P&amp;L - Monthly'!$3:$3,'P&amp;L - Yrly'!S$5,'P&amp;L - Monthly'!15:15)</f>
        <v>9200</v>
      </c>
      <c r="T15" s="575">
        <f>SUMIF('P&amp;L - Monthly'!$3:$3,'P&amp;L - Yrly'!T$5,'P&amp;L - Monthly'!15:15)</f>
        <v>0</v>
      </c>
      <c r="U15" s="575">
        <f>SUMIF('P&amp;L - Monthly'!$3:$3,'P&amp;L - Yrly'!U$5,'P&amp;L - Monthly'!15:15)</f>
        <v>0</v>
      </c>
    </row>
    <row r="16" spans="1:73" s="156" customFormat="1" x14ac:dyDescent="0.25">
      <c r="A16" s="16"/>
      <c r="B16" s="16"/>
      <c r="C16" s="39" t="s">
        <v>51</v>
      </c>
      <c r="D16" s="1134">
        <f t="shared" ref="D16:U16" si="0">SUM(D10:D15)</f>
        <v>14804051.248248139</v>
      </c>
      <c r="E16" s="1134">
        <f t="shared" si="0"/>
        <v>16865846.870000001</v>
      </c>
      <c r="F16" s="1134">
        <f t="shared" si="0"/>
        <v>16865846.870000001</v>
      </c>
      <c r="G16" s="1134">
        <f t="shared" si="0"/>
        <v>23930334.230756443</v>
      </c>
      <c r="H16" s="1134">
        <f t="shared" si="0"/>
        <v>43205416.712430321</v>
      </c>
      <c r="I16" s="1134">
        <f t="shared" si="0"/>
        <v>0</v>
      </c>
      <c r="J16" s="1134">
        <f t="shared" si="0"/>
        <v>0</v>
      </c>
      <c r="K16" s="1134">
        <f t="shared" si="0"/>
        <v>0</v>
      </c>
      <c r="L16" s="1134">
        <f t="shared" si="0"/>
        <v>0</v>
      </c>
      <c r="M16" s="1134">
        <f t="shared" si="0"/>
        <v>0</v>
      </c>
      <c r="N16" s="1134">
        <f t="shared" si="0"/>
        <v>0</v>
      </c>
      <c r="O16" s="1134">
        <f t="shared" si="0"/>
        <v>0</v>
      </c>
      <c r="P16" s="1134">
        <f t="shared" si="0"/>
        <v>0</v>
      </c>
      <c r="Q16" s="1134">
        <f t="shared" si="0"/>
        <v>0</v>
      </c>
      <c r="R16" s="1134">
        <f t="shared" si="0"/>
        <v>0</v>
      </c>
      <c r="S16" s="1134">
        <f t="shared" si="0"/>
        <v>23930334.230756443</v>
      </c>
      <c r="T16" s="1134">
        <f t="shared" si="0"/>
        <v>43205416.712430321</v>
      </c>
      <c r="U16" s="1134">
        <f t="shared" si="0"/>
        <v>0</v>
      </c>
    </row>
    <row r="17" spans="1:21" s="156" customFormat="1" x14ac:dyDescent="0.25">
      <c r="A17" s="16"/>
      <c r="B17" s="16"/>
      <c r="C17" s="40"/>
      <c r="D17" s="16"/>
      <c r="E17" s="16"/>
      <c r="F17" s="16"/>
      <c r="G17" s="16"/>
      <c r="H17" s="16"/>
      <c r="I17" s="16"/>
      <c r="J17"/>
      <c r="K17" s="133"/>
      <c r="L17" s="133"/>
      <c r="M17" s="133"/>
      <c r="N17" s="133"/>
      <c r="O17"/>
      <c r="P17" s="133"/>
      <c r="Q17" s="133"/>
      <c r="R17" s="133"/>
      <c r="S17" s="437"/>
      <c r="T17" s="437"/>
      <c r="U17" s="437"/>
    </row>
    <row r="18" spans="1:21" s="156" customFormat="1" x14ac:dyDescent="0.25">
      <c r="A18" s="16"/>
      <c r="B18" s="16"/>
      <c r="C18" s="29" t="s">
        <v>148</v>
      </c>
      <c r="D18" s="17">
        <f>SUMIF('P&amp;L - Monthly'!$3:$3,'P&amp;L - Yrly'!D$5,'P&amp;L - Monthly'!19:19)</f>
        <v>0</v>
      </c>
      <c r="E18" s="17">
        <f>SUMIF('P&amp;L - Monthly'!$3:$3,'P&amp;L - Yrly'!E$5,'P&amp;L - Monthly'!19:19)</f>
        <v>0</v>
      </c>
      <c r="F18" s="17">
        <f>SUMIF('P&amp;L - Monthly'!$3:$3,'P&amp;L - Yrly'!F$5,'P&amp;L - Monthly'!19:19)</f>
        <v>0</v>
      </c>
      <c r="G18" s="17">
        <f>SUMIF('P&amp;L - Monthly'!$3:$3,'P&amp;L - Yrly'!G$5,'P&amp;L - Monthly'!19:19)</f>
        <v>0</v>
      </c>
      <c r="H18" s="17">
        <f>SUMIF('P&amp;L - Monthly'!$3:$3,'P&amp;L - Yrly'!H$5,'P&amp;L - Monthly'!19:19)</f>
        <v>0</v>
      </c>
      <c r="I18" s="17">
        <f>SUMIF('P&amp;L - Monthly'!$3:$3,'P&amp;L - Yrly'!I$5,'P&amp;L - Monthly'!19:19)</f>
        <v>0</v>
      </c>
      <c r="J18" s="16"/>
      <c r="K18" s="133"/>
      <c r="L18" s="17" t="e">
        <f>'P&amp;L - Qtrly'!#REF!</f>
        <v>#REF!</v>
      </c>
      <c r="M18" s="17">
        <v>0</v>
      </c>
      <c r="N18" s="17" t="e">
        <f>L18-M18</f>
        <v>#REF!</v>
      </c>
      <c r="O18" s="16"/>
      <c r="P18" s="17">
        <f>D18</f>
        <v>0</v>
      </c>
      <c r="Q18" s="17">
        <v>0</v>
      </c>
      <c r="R18" s="17">
        <f>P18-Q18</f>
        <v>0</v>
      </c>
      <c r="S18" s="307">
        <f>SUMIF('P&amp;L - Monthly'!$3:$3,'P&amp;L - Yrly'!S$5,'P&amp;L - Monthly'!19:19)</f>
        <v>0</v>
      </c>
      <c r="T18" s="307">
        <f>SUMIF('P&amp;L - Monthly'!$3:$3,'P&amp;L - Yrly'!T$5,'P&amp;L - Monthly'!19:19)</f>
        <v>0</v>
      </c>
      <c r="U18" s="307">
        <f>SUMIF('P&amp;L - Monthly'!$3:$3,'P&amp;L - Yrly'!U$5,'P&amp;L - Monthly'!19:19)</f>
        <v>0</v>
      </c>
    </row>
    <row r="19" spans="1:21" s="156" customFormat="1" x14ac:dyDescent="0.25">
      <c r="A19" s="16"/>
      <c r="B19" s="16"/>
      <c r="C19" s="29" t="s">
        <v>537</v>
      </c>
      <c r="D19" s="17">
        <f>SUMIF('P&amp;L - Monthly'!$3:$3,'P&amp;L - Yrly'!D$5,'P&amp;L - Monthly'!20:20)</f>
        <v>0</v>
      </c>
      <c r="E19" s="17">
        <f>SUMIF('P&amp;L - Monthly'!$3:$3,'P&amp;L - Yrly'!E$5,'P&amp;L - Monthly'!20:20)</f>
        <v>0</v>
      </c>
      <c r="F19" s="17">
        <f>SUMIF('P&amp;L - Monthly'!$3:$3,'P&amp;L - Yrly'!F$5,'P&amp;L - Monthly'!20:20)</f>
        <v>0</v>
      </c>
      <c r="G19" s="17">
        <f>SUMIF('P&amp;L - Monthly'!$3:$3,'P&amp;L - Yrly'!G$5,'P&amp;L - Monthly'!20:20)</f>
        <v>75646.624081081798</v>
      </c>
      <c r="H19" s="17">
        <f>SUMIF('P&amp;L - Monthly'!$3:$3,'P&amp;L - Yrly'!H$5,'P&amp;L - Monthly'!20:20)</f>
        <v>165524.68096540764</v>
      </c>
      <c r="I19" s="17">
        <f>SUMIF('P&amp;L - Monthly'!$3:$3,'P&amp;L - Yrly'!I$5,'P&amp;L - Monthly'!20:20)</f>
        <v>0</v>
      </c>
      <c r="J19"/>
      <c r="K19" s="133"/>
      <c r="L19" s="17" t="e">
        <f>'P&amp;L - Qtrly'!#REF!</f>
        <v>#REF!</v>
      </c>
      <c r="M19" s="17">
        <v>758828.68306919443</v>
      </c>
      <c r="N19" s="17" t="e">
        <f>L19-M19</f>
        <v>#REF!</v>
      </c>
      <c r="O19"/>
      <c r="P19" s="17">
        <f>D19</f>
        <v>0</v>
      </c>
      <c r="Q19" s="17">
        <v>2697734.0189057617</v>
      </c>
      <c r="R19" s="17">
        <f>P19-Q19</f>
        <v>-2697734.0189057617</v>
      </c>
      <c r="S19" s="307">
        <f>SUMIF('P&amp;L - Monthly'!$3:$3,'P&amp;L - Yrly'!S$5,'P&amp;L - Monthly'!20:20)</f>
        <v>75646.624081081798</v>
      </c>
      <c r="T19" s="307">
        <f>SUMIF('P&amp;L - Monthly'!$3:$3,'P&amp;L - Yrly'!T$5,'P&amp;L - Monthly'!20:20)</f>
        <v>165524.68096540764</v>
      </c>
      <c r="U19" s="307">
        <f>SUMIF('P&amp;L - Monthly'!$3:$3,'P&amp;L - Yrly'!U$5,'P&amp;L - Monthly'!20:20)</f>
        <v>0</v>
      </c>
    </row>
    <row r="20" spans="1:21" s="156" customFormat="1" x14ac:dyDescent="0.25">
      <c r="A20" s="16"/>
      <c r="B20" s="16"/>
      <c r="C20" s="16"/>
      <c r="D20" s="158"/>
      <c r="E20" s="16"/>
      <c r="F20" s="16"/>
      <c r="G20" s="16"/>
      <c r="H20" s="16"/>
      <c r="I20" s="16"/>
      <c r="J20"/>
      <c r="K20" s="133"/>
      <c r="L20" s="133"/>
      <c r="M20" s="133"/>
      <c r="N20" s="133"/>
      <c r="O20"/>
      <c r="P20" s="133"/>
      <c r="Q20" s="133"/>
      <c r="R20" s="133"/>
      <c r="S20" s="437"/>
      <c r="T20" s="437"/>
      <c r="U20" s="437"/>
    </row>
    <row r="21" spans="1:21" s="156" customFormat="1" x14ac:dyDescent="0.25">
      <c r="A21" s="16"/>
      <c r="B21" s="3" t="s">
        <v>71</v>
      </c>
      <c r="C21" s="3"/>
      <c r="D21" s="46">
        <f>D16+D18-D19</f>
        <v>14804051.248248139</v>
      </c>
      <c r="E21" s="46">
        <f>+E16+E18-E19</f>
        <v>16865846.870000001</v>
      </c>
      <c r="F21" s="46" t="e">
        <f>#REF!+#REF!+F16+F18-F19</f>
        <v>#REF!</v>
      </c>
      <c r="G21" s="46" t="e">
        <f>#REF!+#REF!+G16+G18-G19</f>
        <v>#REF!</v>
      </c>
      <c r="H21" s="46" t="e">
        <f>#REF!+#REF!+H16+H18-H19</f>
        <v>#REF!</v>
      </c>
      <c r="I21" s="46" t="e">
        <f>#REF!+#REF!+I16+I18-I19</f>
        <v>#REF!</v>
      </c>
      <c r="J21"/>
      <c r="K21" s="133"/>
      <c r="L21" s="46" t="e">
        <f>'P&amp;L - Qtrly'!#REF!</f>
        <v>#REF!</v>
      </c>
      <c r="M21" s="46">
        <v>7569350.7201188048</v>
      </c>
      <c r="N21" s="46" t="e">
        <f>L21-M21</f>
        <v>#REF!</v>
      </c>
      <c r="O21"/>
      <c r="P21" s="46">
        <f>D21</f>
        <v>14804051.248248139</v>
      </c>
      <c r="Q21" s="46">
        <v>55042279.439909413</v>
      </c>
      <c r="R21" s="46">
        <f>P21-Q21</f>
        <v>-40238228.191661276</v>
      </c>
      <c r="S21" s="46">
        <f>+S16+S18-S19</f>
        <v>23854687.60667536</v>
      </c>
      <c r="T21" s="46">
        <f>+T16+T18-T19</f>
        <v>43039892.031464912</v>
      </c>
      <c r="U21" s="46">
        <f>+U16+U18-U19</f>
        <v>0</v>
      </c>
    </row>
    <row r="22" spans="1:21" s="156" customFormat="1" x14ac:dyDescent="0.25">
      <c r="A22" s="16"/>
      <c r="B22" s="16"/>
      <c r="C22" s="40"/>
      <c r="D22" s="16"/>
      <c r="E22" s="16"/>
      <c r="F22" s="16"/>
      <c r="G22" s="16"/>
      <c r="H22" s="16"/>
      <c r="I22" s="16"/>
      <c r="J22"/>
      <c r="K22" s="133"/>
      <c r="L22" s="133"/>
      <c r="M22" s="133"/>
      <c r="N22" s="133"/>
      <c r="O22"/>
      <c r="P22" s="133"/>
      <c r="Q22" s="133"/>
      <c r="R22" s="133"/>
      <c r="S22" s="437"/>
      <c r="T22" s="437"/>
      <c r="U22" s="437"/>
    </row>
    <row r="23" spans="1:21" s="156" customFormat="1" x14ac:dyDescent="0.25">
      <c r="A23" s="16"/>
      <c r="B23" s="16"/>
      <c r="C23" s="40"/>
      <c r="D23" s="16"/>
      <c r="E23" s="28"/>
      <c r="F23" s="16"/>
      <c r="G23" s="16"/>
      <c r="H23" s="16"/>
      <c r="I23" s="16"/>
      <c r="J23"/>
      <c r="K23" s="133"/>
      <c r="L23" s="133"/>
      <c r="M23" s="133"/>
      <c r="N23" s="133"/>
      <c r="O23"/>
      <c r="P23" s="133"/>
      <c r="Q23" s="133"/>
      <c r="R23" s="133"/>
      <c r="S23" s="166"/>
      <c r="T23" s="166"/>
      <c r="U23" s="166"/>
    </row>
    <row r="24" spans="1:21" s="156" customFormat="1" outlineLevel="1" x14ac:dyDescent="0.25">
      <c r="A24" s="16"/>
      <c r="B24" s="44" t="s">
        <v>72</v>
      </c>
      <c r="C24" s="40"/>
      <c r="D24" s="16"/>
      <c r="E24" s="16"/>
      <c r="F24" s="16"/>
      <c r="G24" s="16"/>
      <c r="H24" s="16"/>
      <c r="I24" s="16"/>
      <c r="J24"/>
      <c r="K24" s="133"/>
      <c r="L24" s="133"/>
      <c r="M24" s="133"/>
      <c r="N24" s="133"/>
      <c r="O24"/>
      <c r="P24" s="133"/>
      <c r="Q24" s="133"/>
      <c r="R24" s="133"/>
      <c r="S24" s="437"/>
      <c r="T24" s="437"/>
      <c r="U24" s="437"/>
    </row>
    <row r="25" spans="1:21" s="156" customFormat="1" outlineLevel="1" x14ac:dyDescent="0.25">
      <c r="A25" s="16"/>
      <c r="B25" s="16"/>
      <c r="C25" s="43" t="str">
        <f>'P&amp;L - Monthly'!C26</f>
        <v>Telecom Voice &amp; VOIP</v>
      </c>
      <c r="D25" s="17">
        <f>SUMIF('P&amp;L - Monthly'!$3:$3,'P&amp;L - Yrly'!D$5,'P&amp;L - Monthly'!26:26)</f>
        <v>1589960.64</v>
      </c>
      <c r="E25" s="17">
        <f>SUMIF('P&amp;L - Monthly'!$3:$3,'P&amp;L - Yrly'!E$5,'P&amp;L - Monthly'!26:26)</f>
        <v>1142644.42</v>
      </c>
      <c r="F25" s="17">
        <f>SUMIF('P&amp;L - Monthly'!$3:$3,'P&amp;L - Yrly'!F$5,'P&amp;L - Monthly'!26:26)</f>
        <v>1142644.42</v>
      </c>
      <c r="G25" s="17">
        <f>SUMIF('P&amp;L - Monthly'!$3:$3,'P&amp;L - Yrly'!G$5,'P&amp;L - Monthly'!26:26)</f>
        <v>1415187.7512162272</v>
      </c>
      <c r="H25" s="17">
        <f>SUMIF('P&amp;L - Monthly'!$3:$3,'P&amp;L - Yrly'!H$5,'P&amp;L - Monthly'!26:26)</f>
        <v>2482870.2144811139</v>
      </c>
      <c r="I25" s="17">
        <f>SUMIF('P&amp;L - Monthly'!$3:$3,'P&amp;L - Yrly'!I$5,'P&amp;L - Monthly'!26:26)</f>
        <v>0</v>
      </c>
      <c r="J25"/>
      <c r="K25" s="133"/>
      <c r="L25" s="17" t="e">
        <f>'P&amp;L - Qtrly'!#REF!</f>
        <v>#REF!</v>
      </c>
      <c r="M25" s="17">
        <v>2589814.4923270955</v>
      </c>
      <c r="N25" s="17" t="e">
        <f>M25-L25</f>
        <v>#REF!</v>
      </c>
      <c r="O25"/>
      <c r="P25" s="17">
        <f>D25</f>
        <v>1589960.64</v>
      </c>
      <c r="Q25" s="17">
        <v>20232986.87977951</v>
      </c>
      <c r="R25" s="17">
        <f>Q25-P25</f>
        <v>18643026.23977951</v>
      </c>
      <c r="S25" s="307">
        <f>SUMIF('P&amp;L - Monthly'!$3:$3,'P&amp;L - Yrly'!S$5,'P&amp;L - Monthly'!26:26)</f>
        <v>1415187.7512162272</v>
      </c>
      <c r="T25" s="307">
        <f>SUMIF('P&amp;L - Monthly'!$3:$3,'P&amp;L - Yrly'!T$5,'P&amp;L - Monthly'!26:26)</f>
        <v>2482870.2144811139</v>
      </c>
      <c r="U25" s="307">
        <f>SUMIF('P&amp;L - Monthly'!$3:$3,'P&amp;L - Yrly'!U$5,'P&amp;L - Monthly'!26:26)</f>
        <v>0</v>
      </c>
    </row>
    <row r="26" spans="1:21" s="156" customFormat="1" outlineLevel="1" x14ac:dyDescent="0.25">
      <c r="A26" s="16"/>
      <c r="B26" s="16"/>
      <c r="C26" s="43" t="str">
        <f>'P&amp;L - Monthly'!C27</f>
        <v>SMS</v>
      </c>
      <c r="D26" s="17">
        <f>SUMIF('P&amp;L - Monthly'!$3:$3,'P&amp;L - Yrly'!D$5,'P&amp;L - Monthly'!27:27)</f>
        <v>517900.84999999992</v>
      </c>
      <c r="E26" s="17">
        <f>SUMIF('P&amp;L - Monthly'!$3:$3,'P&amp;L - Yrly'!E$5,'P&amp;L - Monthly'!27:27)</f>
        <v>559480.4</v>
      </c>
      <c r="F26" s="17">
        <f>SUMIF('P&amp;L - Monthly'!$3:$3,'P&amp;L - Yrly'!F$5,'P&amp;L - Monthly'!27:27)</f>
        <v>559480.4</v>
      </c>
      <c r="G26" s="17">
        <f>SUMIF('P&amp;L - Monthly'!$3:$3,'P&amp;L - Yrly'!G$5,'P&amp;L - Monthly'!27:27)</f>
        <v>1194203.0697853784</v>
      </c>
      <c r="H26" s="17">
        <f>SUMIF('P&amp;L - Monthly'!$3:$3,'P&amp;L - Yrly'!H$5,'P&amp;L - Monthly'!27:27)</f>
        <v>2137530.403112269</v>
      </c>
      <c r="I26" s="17">
        <f>SUMIF('P&amp;L - Monthly'!$3:$3,'P&amp;L - Yrly'!I$5,'P&amp;L - Monthly'!27:27)</f>
        <v>67956</v>
      </c>
      <c r="J26"/>
      <c r="K26" s="133"/>
      <c r="L26" s="17" t="e">
        <f>'P&amp;L - Qtrly'!#REF!</f>
        <v>#REF!</v>
      </c>
      <c r="M26" s="17">
        <v>323183.33333333337</v>
      </c>
      <c r="N26" s="17" t="e">
        <f>M26-L26</f>
        <v>#REF!</v>
      </c>
      <c r="O26"/>
      <c r="P26" s="17">
        <f>D26</f>
        <v>517900.84999999992</v>
      </c>
      <c r="Q26" s="17">
        <v>1095685.0000000002</v>
      </c>
      <c r="R26" s="17">
        <f>Q26-P26</f>
        <v>577784.15000000037</v>
      </c>
      <c r="S26" s="307">
        <f>SUMIF('P&amp;L - Monthly'!$3:$3,'P&amp;L - Yrly'!S$5,'P&amp;L - Monthly'!27:27)</f>
        <v>1194203.0697853784</v>
      </c>
      <c r="T26" s="307">
        <f>SUMIF('P&amp;L - Monthly'!$3:$3,'P&amp;L - Yrly'!T$5,'P&amp;L - Monthly'!27:27)</f>
        <v>2137530.403112269</v>
      </c>
      <c r="U26" s="307">
        <f>SUMIF('P&amp;L - Monthly'!$3:$3,'P&amp;L - Yrly'!U$5,'P&amp;L - Monthly'!27:27)</f>
        <v>67956</v>
      </c>
    </row>
    <row r="27" spans="1:21" s="156" customFormat="1" outlineLevel="1" x14ac:dyDescent="0.25">
      <c r="A27" s="16"/>
      <c r="B27" s="16"/>
      <c r="C27" s="43" t="str">
        <f>'P&amp;L - Monthly'!C28</f>
        <v>Hosting / Other</v>
      </c>
      <c r="D27" s="17">
        <f>SUMIF('P&amp;L - Monthly'!$3:$3,'P&amp;L - Yrly'!D$5,'P&amp;L - Monthly'!28:28)</f>
        <v>278653.21999999997</v>
      </c>
      <c r="E27" s="17">
        <f>SUMIF('P&amp;L - Monthly'!$3:$3,'P&amp;L - Yrly'!E$5,'P&amp;L - Monthly'!28:28)</f>
        <v>398529.59</v>
      </c>
      <c r="F27" s="17">
        <f>SUMIF('P&amp;L - Monthly'!$3:$3,'P&amp;L - Yrly'!F$5,'P&amp;L - Monthly'!28:28)</f>
        <v>398529.59</v>
      </c>
      <c r="G27" s="17">
        <f>SUMIF('P&amp;L - Monthly'!$3:$3,'P&amp;L - Yrly'!G$5,'P&amp;L - Monthly'!28:28)</f>
        <v>343291.28</v>
      </c>
      <c r="H27" s="17">
        <f>SUMIF('P&amp;L - Monthly'!$3:$3,'P&amp;L - Yrly'!H$5,'P&amp;L - Monthly'!28:28)</f>
        <v>304200</v>
      </c>
      <c r="I27" s="17">
        <f>SUMIF('P&amp;L - Monthly'!$3:$3,'P&amp;L - Yrly'!I$5,'P&amp;L - Monthly'!28:28)</f>
        <v>304200</v>
      </c>
      <c r="J27"/>
      <c r="K27" s="133"/>
      <c r="L27" s="17" t="e">
        <f>'P&amp;L - Qtrly'!#REF!</f>
        <v>#REF!</v>
      </c>
      <c r="M27" s="17">
        <v>135000</v>
      </c>
      <c r="N27" s="17" t="e">
        <f>M27-L27</f>
        <v>#REF!</v>
      </c>
      <c r="O27"/>
      <c r="P27" s="17">
        <f>D27</f>
        <v>278653.21999999997</v>
      </c>
      <c r="Q27" s="17">
        <v>540000</v>
      </c>
      <c r="R27" s="17">
        <f>Q27-P27</f>
        <v>261346.78000000003</v>
      </c>
      <c r="S27" s="307">
        <f>SUMIF('P&amp;L - Monthly'!$3:$3,'P&amp;L - Yrly'!S$5,'P&amp;L - Monthly'!28:28)</f>
        <v>343291.28</v>
      </c>
      <c r="T27" s="307">
        <f>SUMIF('P&amp;L - Monthly'!$3:$3,'P&amp;L - Yrly'!T$5,'P&amp;L - Monthly'!28:28)</f>
        <v>304200</v>
      </c>
      <c r="U27" s="307">
        <f>SUMIF('P&amp;L - Monthly'!$3:$3,'P&amp;L - Yrly'!U$5,'P&amp;L - Monthly'!28:28)</f>
        <v>304200</v>
      </c>
    </row>
    <row r="28" spans="1:21" s="156" customFormat="1" outlineLevel="1" x14ac:dyDescent="0.25">
      <c r="A28" s="16"/>
      <c r="B28" s="16"/>
      <c r="C28" s="43" t="str">
        <f>'P&amp;L - Monthly'!C29</f>
        <v>Credit Card Fees</v>
      </c>
      <c r="D28" s="17">
        <f>SUMIF('P&amp;L - Monthly'!$3:$3,'P&amp;L - Yrly'!D$5,'P&amp;L - Monthly'!29:29)</f>
        <v>317886.78999999998</v>
      </c>
      <c r="E28" s="17">
        <f>SUMIF('P&amp;L - Monthly'!$3:$3,'P&amp;L - Yrly'!E$5,'P&amp;L - Monthly'!29:29)</f>
        <v>388919.85999999993</v>
      </c>
      <c r="F28" s="17">
        <f>SUMIF('P&amp;L - Monthly'!$3:$3,'P&amp;L - Yrly'!F$5,'P&amp;L - Monthly'!29:29)</f>
        <v>388919.85999999993</v>
      </c>
      <c r="G28" s="17">
        <f>SUMIF('P&amp;L - Monthly'!$3:$3,'P&amp;L - Yrly'!G$5,'P&amp;L - Monthly'!29:29)</f>
        <v>589940.767268911</v>
      </c>
      <c r="H28" s="17">
        <f>SUMIF('P&amp;L - Monthly'!$3:$3,'P&amp;L - Yrly'!H$5,'P&amp;L - Monthly'!29:29)</f>
        <v>1080135.4178107581</v>
      </c>
      <c r="I28" s="17">
        <f>SUMIF('P&amp;L - Monthly'!$3:$3,'P&amp;L - Yrly'!I$5,'P&amp;L - Monthly'!29:29)</f>
        <v>0</v>
      </c>
      <c r="J28"/>
      <c r="K28" s="133"/>
      <c r="L28" s="17" t="e">
        <f>'P&amp;L - Qtrly'!#REF!</f>
        <v>#REF!</v>
      </c>
      <c r="M28" s="17">
        <v>121897.10654968764</v>
      </c>
      <c r="N28" s="17" t="e">
        <f>M28-L28</f>
        <v>#REF!</v>
      </c>
      <c r="O28"/>
      <c r="P28" s="17">
        <f>D28</f>
        <v>317886.78999999998</v>
      </c>
      <c r="Q28" s="17">
        <v>1093398.5848881335</v>
      </c>
      <c r="R28" s="17">
        <f>Q28-P28</f>
        <v>775511.79488813342</v>
      </c>
      <c r="S28" s="307">
        <f>SUMIF('P&amp;L - Monthly'!$3:$3,'P&amp;L - Yrly'!S$5,'P&amp;L - Monthly'!29:29)</f>
        <v>589940.767268911</v>
      </c>
      <c r="T28" s="307">
        <f>SUMIF('P&amp;L - Monthly'!$3:$3,'P&amp;L - Yrly'!T$5,'P&amp;L - Monthly'!29:29)</f>
        <v>1080135.4178107581</v>
      </c>
      <c r="U28" s="307">
        <f>SUMIF('P&amp;L - Monthly'!$3:$3,'P&amp;L - Yrly'!U$5,'P&amp;L - Monthly'!29:29)</f>
        <v>0</v>
      </c>
    </row>
    <row r="29" spans="1:21" s="156" customFormat="1" x14ac:dyDescent="0.25">
      <c r="A29" s="16"/>
      <c r="B29" s="16"/>
      <c r="C29" s="47" t="s">
        <v>72</v>
      </c>
      <c r="D29" s="7">
        <f t="shared" ref="D29" si="1">SUM(D26:D28)+D25</f>
        <v>2704401.5</v>
      </c>
      <c r="E29" s="7">
        <f>SUM(E26:E28)+E25</f>
        <v>2489574.2699999996</v>
      </c>
      <c r="F29" s="7">
        <f>SUM(F26:F28)+F25</f>
        <v>2489574.2699999996</v>
      </c>
      <c r="G29" s="7">
        <f>SUM(G26:G28)+G25</f>
        <v>3542622.8682705164</v>
      </c>
      <c r="H29" s="7">
        <f>SUM(H26:H28)+H25</f>
        <v>6004736.0354041411</v>
      </c>
      <c r="I29" s="7">
        <f>SUM(I26:I28)+I25</f>
        <v>372156</v>
      </c>
      <c r="J29"/>
      <c r="K29" s="133"/>
      <c r="L29" s="7" t="e">
        <f>'P&amp;L - Qtrly'!#REF!</f>
        <v>#REF!</v>
      </c>
      <c r="M29" s="7">
        <v>3201209.2655434497</v>
      </c>
      <c r="N29" s="7" t="e">
        <f>M29-L29</f>
        <v>#REF!</v>
      </c>
      <c r="O29"/>
      <c r="P29" s="7">
        <f>D29</f>
        <v>2704401.5</v>
      </c>
      <c r="Q29" s="7">
        <v>23059941.131334312</v>
      </c>
      <c r="R29" s="7">
        <f>Q29-P29</f>
        <v>20355539.631334312</v>
      </c>
      <c r="S29" s="7">
        <f>SUM(S26:S28)+S25</f>
        <v>3542622.8682705164</v>
      </c>
      <c r="T29" s="7">
        <f>SUM(T26:T28)+T25</f>
        <v>6004736.0354041411</v>
      </c>
      <c r="U29" s="7">
        <f>SUM(U26:U28)+U25</f>
        <v>372156</v>
      </c>
    </row>
    <row r="30" spans="1:21" s="156" customFormat="1" x14ac:dyDescent="0.25">
      <c r="A30" s="16"/>
      <c r="B30" s="16"/>
      <c r="C30" s="44"/>
      <c r="D30" s="16"/>
      <c r="E30" s="16"/>
      <c r="F30" s="16"/>
      <c r="G30" s="16"/>
      <c r="H30" s="16"/>
      <c r="I30" s="16"/>
      <c r="J30"/>
      <c r="K30" s="133"/>
      <c r="L30" s="133"/>
      <c r="M30" s="133"/>
      <c r="N30" s="133"/>
      <c r="O30"/>
      <c r="P30" s="133"/>
      <c r="Q30" s="133"/>
      <c r="R30" s="133"/>
      <c r="S30" s="437"/>
      <c r="T30" s="437"/>
      <c r="U30" s="437"/>
    </row>
    <row r="31" spans="1:21" s="156" customFormat="1" x14ac:dyDescent="0.25">
      <c r="A31" s="16"/>
      <c r="B31" s="16"/>
      <c r="C31" s="44"/>
      <c r="D31" s="16"/>
      <c r="E31" s="16"/>
      <c r="F31" s="16"/>
      <c r="G31" s="16"/>
      <c r="H31" s="16"/>
      <c r="I31" s="16"/>
      <c r="J31"/>
      <c r="K31" s="133"/>
      <c r="L31" s="133"/>
      <c r="M31" s="133"/>
      <c r="N31" s="133"/>
      <c r="O31"/>
      <c r="P31" s="133"/>
      <c r="Q31" s="133"/>
      <c r="R31" s="133"/>
      <c r="S31" s="437"/>
      <c r="T31" s="437"/>
      <c r="U31" s="437"/>
    </row>
    <row r="32" spans="1:21" s="156" customFormat="1" ht="15.75" thickBot="1" x14ac:dyDescent="0.3">
      <c r="A32" s="16"/>
      <c r="B32" s="50" t="s">
        <v>75</v>
      </c>
      <c r="C32" s="51"/>
      <c r="D32" s="52">
        <f t="shared" ref="D32" si="2">D21-D29</f>
        <v>12099649.748248139</v>
      </c>
      <c r="E32" s="52">
        <f>E21-E29</f>
        <v>14376272.600000001</v>
      </c>
      <c r="F32" s="52" t="e">
        <f>F21-F29</f>
        <v>#REF!</v>
      </c>
      <c r="G32" s="52" t="e">
        <f>G21-G29</f>
        <v>#REF!</v>
      </c>
      <c r="H32" s="52" t="e">
        <f>H21-H29</f>
        <v>#REF!</v>
      </c>
      <c r="I32" s="52" t="e">
        <f>I21-I29</f>
        <v>#REF!</v>
      </c>
      <c r="J32"/>
      <c r="K32" s="133"/>
      <c r="L32" s="52" t="e">
        <f>'P&amp;L - Qtrly'!#REF!</f>
        <v>#REF!</v>
      </c>
      <c r="M32" s="52">
        <v>4368141.4545753552</v>
      </c>
      <c r="N32" s="52" t="e">
        <f>L32-M32</f>
        <v>#REF!</v>
      </c>
      <c r="O32"/>
      <c r="P32" s="52">
        <f>D32</f>
        <v>12099649.748248139</v>
      </c>
      <c r="Q32" s="52">
        <v>31982338.308575101</v>
      </c>
      <c r="R32" s="52">
        <f>P32-Q32</f>
        <v>-19882688.560326964</v>
      </c>
      <c r="S32" s="52">
        <f>S21-S29</f>
        <v>20312064.738404844</v>
      </c>
      <c r="T32" s="52">
        <f>T21-T29</f>
        <v>37035155.996060774</v>
      </c>
      <c r="U32" s="52">
        <f>U21-U29</f>
        <v>-372156</v>
      </c>
    </row>
    <row r="33" spans="1:73" s="156" customFormat="1" x14ac:dyDescent="0.25">
      <c r="A33" s="16"/>
      <c r="B33" s="16"/>
      <c r="C33" s="79" t="s">
        <v>145</v>
      </c>
      <c r="D33" s="124">
        <f>D32/D21</f>
        <v>0.81732017441374172</v>
      </c>
      <c r="E33" s="124">
        <f>E32/E21</f>
        <v>0.85238960787505358</v>
      </c>
      <c r="F33" s="124" t="e">
        <f>F32/F21</f>
        <v>#REF!</v>
      </c>
      <c r="G33" s="124" t="e">
        <f>G32/G21</f>
        <v>#REF!</v>
      </c>
      <c r="H33" s="124" t="e">
        <f>H32/H21</f>
        <v>#REF!</v>
      </c>
      <c r="I33" s="124"/>
      <c r="J33"/>
      <c r="K33" s="133"/>
      <c r="L33" s="124" t="e">
        <f>'P&amp;L - Qtrly'!#REF!</f>
        <v>#REF!</v>
      </c>
      <c r="M33" s="124">
        <v>0.57708271370821018</v>
      </c>
      <c r="N33" s="124" t="e">
        <f>L33-M33</f>
        <v>#REF!</v>
      </c>
      <c r="O33"/>
      <c r="P33" s="124">
        <f>D33</f>
        <v>0.81732017441374172</v>
      </c>
      <c r="Q33" s="124">
        <v>0.58105039678617887</v>
      </c>
      <c r="R33" s="124">
        <f>P33-Q33</f>
        <v>0.23626977762756285</v>
      </c>
      <c r="S33" s="124">
        <f>S32/S21</f>
        <v>0.85149154217893974</v>
      </c>
      <c r="T33" s="124">
        <f>T32/T21</f>
        <v>0.86048440755812561</v>
      </c>
      <c r="U33" s="124" t="e">
        <f>U32/U21</f>
        <v>#DIV/0!</v>
      </c>
    </row>
    <row r="34" spans="1:73" s="156" customFormat="1" x14ac:dyDescent="0.25">
      <c r="A34" s="16"/>
      <c r="B34" s="16"/>
      <c r="C34" s="40"/>
      <c r="D34" s="16"/>
      <c r="E34" s="16"/>
      <c r="F34" s="16"/>
      <c r="G34" s="16"/>
      <c r="H34" s="16"/>
      <c r="I34" s="16"/>
      <c r="J34" s="16"/>
      <c r="K34" s="133"/>
      <c r="L34" s="133"/>
      <c r="M34" s="133"/>
      <c r="N34" s="133"/>
      <c r="O34" s="16"/>
      <c r="P34" s="133"/>
      <c r="Q34" s="133"/>
      <c r="R34" s="133"/>
      <c r="S34" s="437"/>
      <c r="T34" s="437"/>
      <c r="U34" s="437"/>
    </row>
    <row r="35" spans="1:73" s="156" customFormat="1" x14ac:dyDescent="0.25">
      <c r="A35" s="16"/>
      <c r="B35" s="16"/>
      <c r="C35" s="29" t="s">
        <v>15</v>
      </c>
      <c r="D35" s="16"/>
      <c r="E35" s="16"/>
      <c r="F35" s="16"/>
      <c r="G35" s="16"/>
      <c r="H35" s="16"/>
      <c r="I35" s="16"/>
      <c r="J35"/>
      <c r="K35" s="133"/>
      <c r="L35" s="133"/>
      <c r="M35" s="133"/>
      <c r="N35" s="133"/>
      <c r="O35"/>
      <c r="P35" s="133"/>
      <c r="Q35" s="133"/>
      <c r="R35" s="133"/>
      <c r="S35" s="437"/>
      <c r="T35" s="437"/>
      <c r="U35" s="437"/>
    </row>
    <row r="36" spans="1:73" s="156" customFormat="1" hidden="1" outlineLevel="2" x14ac:dyDescent="0.25">
      <c r="A36" s="16"/>
      <c r="B36" s="16"/>
      <c r="C36" s="29" t="s">
        <v>16</v>
      </c>
      <c r="D36" s="16"/>
      <c r="E36" s="16"/>
      <c r="F36" s="16"/>
      <c r="G36" s="16"/>
      <c r="H36" s="16"/>
      <c r="I36" s="16"/>
      <c r="J36"/>
      <c r="K36" s="133"/>
      <c r="L36" s="133"/>
      <c r="M36" s="133"/>
      <c r="N36" s="133"/>
      <c r="O36"/>
      <c r="P36" s="133"/>
      <c r="Q36" s="133"/>
      <c r="R36" s="133"/>
      <c r="S36" s="437"/>
      <c r="T36" s="437"/>
      <c r="U36" s="437"/>
    </row>
    <row r="37" spans="1:73" s="156" customFormat="1" hidden="1" outlineLevel="2" x14ac:dyDescent="0.25">
      <c r="A37" s="16"/>
      <c r="B37" s="16"/>
      <c r="C37" s="40" t="s">
        <v>223</v>
      </c>
      <c r="D37" s="17">
        <f>SUMIF('P&amp;L - Monthly'!$3:$3,'P&amp;L - Yrly'!D$5,'P&amp;L - Monthly'!38:38)</f>
        <v>576761.38881000003</v>
      </c>
      <c r="E37" s="17">
        <f>SUMIF('P&amp;L - Monthly'!$3:$3,'P&amp;L - Yrly'!E$5,'P&amp;L - Monthly'!38:38)</f>
        <v>1499520.1199999999</v>
      </c>
      <c r="F37" s="17">
        <f>SUMIF('P&amp;L - Monthly'!$3:$3,'P&amp;L - Yrly'!F$5,'P&amp;L - Monthly'!38:38)</f>
        <v>1499520.1199999999</v>
      </c>
      <c r="G37" s="17">
        <f>SUMIF('P&amp;L - Monthly'!$3:$3,'P&amp;L - Yrly'!G$5,'P&amp;L - Monthly'!38:38)</f>
        <v>2298861.3663656199</v>
      </c>
      <c r="H37" s="17">
        <f>SUMIF('P&amp;L - Monthly'!$3:$3,'P&amp;L - Yrly'!H$5,'P&amp;L - Monthly'!38:38)</f>
        <v>2702379.7038586563</v>
      </c>
      <c r="I37" s="17">
        <f>SUMIF('P&amp;L - Monthly'!$3:$3,'P&amp;L - Yrly'!I$5,'P&amp;L - Monthly'!38:38)</f>
        <v>2983928.5984572433</v>
      </c>
      <c r="J37"/>
      <c r="K37" s="133"/>
      <c r="L37" s="17" t="e">
        <f>'P&amp;L - Qtrly'!#REF!</f>
        <v>#REF!</v>
      </c>
      <c r="M37" s="17">
        <v>403874.50000000006</v>
      </c>
      <c r="N37" s="17" t="e">
        <f>M37-L37</f>
        <v>#REF!</v>
      </c>
      <c r="O37"/>
      <c r="P37" s="17">
        <f>D37</f>
        <v>576761.38881000003</v>
      </c>
      <c r="Q37" s="17">
        <v>1643338</v>
      </c>
      <c r="R37" s="17">
        <f>Q37-P37</f>
        <v>1066576.6111900001</v>
      </c>
      <c r="S37" s="307">
        <f>SUMIF('P&amp;L - Monthly'!$3:$3,'P&amp;L - Yrly'!S$5,'P&amp;L - Monthly'!38:38)</f>
        <v>2298861.3663656199</v>
      </c>
      <c r="T37" s="307">
        <f>SUMIF('P&amp;L - Monthly'!$3:$3,'P&amp;L - Yrly'!T$5,'P&amp;L - Monthly'!38:38)</f>
        <v>2702379.7038586563</v>
      </c>
      <c r="U37" s="307">
        <f>SUMIF('P&amp;L - Monthly'!$3:$3,'P&amp;L - Yrly'!U$5,'P&amp;L - Monthly'!38:38)</f>
        <v>2983928.5984572433</v>
      </c>
    </row>
    <row r="38" spans="1:73" s="156" customFormat="1" ht="15.75" hidden="1" outlineLevel="2" thickBot="1" x14ac:dyDescent="0.3">
      <c r="A38" s="16"/>
      <c r="B38" s="16"/>
      <c r="C38" s="41" t="s">
        <v>4</v>
      </c>
      <c r="D38" s="20">
        <f>SUMIF('P&amp;L - Monthly'!$3:$3,'P&amp;L - Yrly'!D$5,'P&amp;L - Monthly'!39:39)</f>
        <v>1875500.4146199997</v>
      </c>
      <c r="E38" s="20">
        <f>SUMIF('P&amp;L - Monthly'!$3:$3,'P&amp;L - Yrly'!E$5,'P&amp;L - Monthly'!39:39)</f>
        <v>5063985.59</v>
      </c>
      <c r="F38" s="20">
        <f>SUMIF('P&amp;L - Monthly'!$3:$3,'P&amp;L - Yrly'!F$5,'P&amp;L - Monthly'!39:39)</f>
        <v>5063985.59</v>
      </c>
      <c r="G38" s="20">
        <f>SUMIF('P&amp;L - Monthly'!$3:$3,'P&amp;L - Yrly'!G$5,'P&amp;L - Monthly'!39:39)</f>
        <v>8962596.4172653854</v>
      </c>
      <c r="H38" s="20">
        <f>SUMIF('P&amp;L - Monthly'!$3:$3,'P&amp;L - Yrly'!H$5,'P&amp;L - Monthly'!39:39)</f>
        <v>9266176.0122570992</v>
      </c>
      <c r="I38" s="20">
        <f>SUMIF('P&amp;L - Monthly'!$3:$3,'P&amp;L - Yrly'!I$5,'P&amp;L - Monthly'!39:39)</f>
        <v>6279837.4428244345</v>
      </c>
      <c r="J38"/>
      <c r="K38" s="133"/>
      <c r="L38" s="20" t="e">
        <f>'P&amp;L - Qtrly'!#REF!</f>
        <v>#REF!</v>
      </c>
      <c r="M38" s="20">
        <v>178014.119775514</v>
      </c>
      <c r="N38" s="20" t="e">
        <f>M38-L38</f>
        <v>#REF!</v>
      </c>
      <c r="O38"/>
      <c r="P38" s="20">
        <f>D38</f>
        <v>1875500.4146199997</v>
      </c>
      <c r="Q38" s="20">
        <v>704971.12264211755</v>
      </c>
      <c r="R38" s="20">
        <f>Q38-P38</f>
        <v>-1170529.2919778822</v>
      </c>
      <c r="S38" s="225">
        <f>SUMIF('P&amp;L - Monthly'!$3:$3,'P&amp;L - Yrly'!S$5,'P&amp;L - Monthly'!39:39)</f>
        <v>8962596.4172653854</v>
      </c>
      <c r="T38" s="225">
        <f>SUMIF('P&amp;L - Monthly'!$3:$3,'P&amp;L - Yrly'!T$5,'P&amp;L - Monthly'!39:39)</f>
        <v>9266176.0122570992</v>
      </c>
      <c r="U38" s="225">
        <f>SUMIF('P&amp;L - Monthly'!$3:$3,'P&amp;L - Yrly'!U$5,'P&amp;L - Monthly'!39:39)</f>
        <v>6279837.4428244345</v>
      </c>
    </row>
    <row r="39" spans="1:73" s="156" customFormat="1" collapsed="1" x14ac:dyDescent="0.25">
      <c r="A39" s="29"/>
      <c r="B39" s="29"/>
      <c r="C39" s="29" t="s">
        <v>16</v>
      </c>
      <c r="D39" s="8">
        <f t="shared" ref="D39" si="3">SUM(D37:D38)</f>
        <v>2452261.8034299999</v>
      </c>
      <c r="E39" s="8">
        <f>SUM(E37:E38)</f>
        <v>6563505.71</v>
      </c>
      <c r="F39" s="8">
        <f>SUM(F37:F38)</f>
        <v>6563505.71</v>
      </c>
      <c r="G39" s="8">
        <f>SUM(G37:G38)</f>
        <v>11261457.783631004</v>
      </c>
      <c r="H39" s="8">
        <f>SUM(H37:H38)</f>
        <v>11968555.716115756</v>
      </c>
      <c r="I39" s="8">
        <f>SUM(I37:I38)</f>
        <v>9263766.0412816778</v>
      </c>
      <c r="J39" s="28"/>
      <c r="K39" s="133"/>
      <c r="L39" s="8" t="e">
        <f>'P&amp;L - Qtrly'!#REF!</f>
        <v>#REF!</v>
      </c>
      <c r="M39" s="8">
        <v>4766194.6741822818</v>
      </c>
      <c r="N39" s="8" t="e">
        <f>M39-L39</f>
        <v>#REF!</v>
      </c>
      <c r="O39"/>
      <c r="P39" s="8">
        <f>D39</f>
        <v>2452261.8034299999</v>
      </c>
      <c r="Q39" s="8">
        <v>19512287.94690638</v>
      </c>
      <c r="R39" s="8">
        <f>Q39-P39</f>
        <v>17060026.143476382</v>
      </c>
      <c r="S39" s="165">
        <f>SUM(S37:S38)</f>
        <v>11261457.783631004</v>
      </c>
      <c r="T39" s="165">
        <f>SUM(T37:T38)</f>
        <v>11968555.716115756</v>
      </c>
      <c r="U39" s="165">
        <f>SUM(U37:U38)</f>
        <v>9263766.0412816778</v>
      </c>
      <c r="BN39" s="5"/>
      <c r="BO39" s="5"/>
      <c r="BP39" s="5"/>
      <c r="BQ39" s="5"/>
      <c r="BR39" s="5"/>
      <c r="BS39" s="5"/>
      <c r="BT39" s="5"/>
      <c r="BU39" s="5"/>
    </row>
    <row r="40" spans="1:73" s="156" customFormat="1" x14ac:dyDescent="0.25">
      <c r="A40" s="16"/>
      <c r="B40" s="16"/>
      <c r="C40" s="40"/>
      <c r="D40" s="17"/>
      <c r="E40" s="17"/>
      <c r="F40" s="17"/>
      <c r="G40" s="17"/>
      <c r="H40" s="17"/>
      <c r="I40" s="17"/>
      <c r="J40"/>
      <c r="K40" s="133"/>
      <c r="L40" s="17"/>
      <c r="M40" s="17"/>
      <c r="N40" s="17"/>
      <c r="O40"/>
      <c r="P40" s="17"/>
      <c r="Q40" s="17"/>
      <c r="R40" s="17"/>
      <c r="S40" s="307"/>
      <c r="T40" s="307"/>
      <c r="U40" s="307"/>
    </row>
    <row r="41" spans="1:73" s="156" customFormat="1" hidden="1" outlineLevel="1" x14ac:dyDescent="0.25">
      <c r="A41" s="16"/>
      <c r="B41" s="16"/>
      <c r="C41" s="29" t="s">
        <v>17</v>
      </c>
      <c r="D41" s="17"/>
      <c r="E41" s="17"/>
      <c r="F41" s="17"/>
      <c r="G41" s="17"/>
      <c r="H41" s="17"/>
      <c r="I41" s="17"/>
      <c r="J41"/>
      <c r="K41" s="133"/>
      <c r="L41" s="17"/>
      <c r="M41" s="17"/>
      <c r="N41" s="17"/>
      <c r="O41"/>
      <c r="P41" s="17"/>
      <c r="Q41" s="17"/>
      <c r="R41" s="17"/>
      <c r="S41" s="307"/>
      <c r="T41" s="307"/>
      <c r="U41" s="307"/>
    </row>
    <row r="42" spans="1:73" s="156" customFormat="1" hidden="1" outlineLevel="1" x14ac:dyDescent="0.25">
      <c r="A42" s="150"/>
      <c r="B42" s="150"/>
      <c r="C42" s="42" t="s">
        <v>340</v>
      </c>
      <c r="D42" s="17">
        <f>SUMIF('P&amp;L - Monthly'!$3:$3,'P&amp;L - Yrly'!D$5,'P&amp;L - Monthly'!43:43)</f>
        <v>458134.93886000005</v>
      </c>
      <c r="E42" s="17">
        <f>SUMIF('P&amp;L - Monthly'!$3:$3,'P&amp;L - Yrly'!E$5,'P&amp;L - Monthly'!43:43)</f>
        <v>1091139.1400000001</v>
      </c>
      <c r="F42" s="17"/>
      <c r="G42" s="17"/>
      <c r="H42" s="17"/>
      <c r="I42" s="17"/>
      <c r="J42" s="150"/>
      <c r="K42" s="150"/>
      <c r="L42" s="17"/>
      <c r="M42" s="17"/>
      <c r="N42" s="17"/>
      <c r="O42" s="150"/>
      <c r="P42" s="17"/>
      <c r="Q42" s="17"/>
      <c r="R42" s="17"/>
      <c r="S42" s="307">
        <f>SUMIF('P&amp;L - Monthly'!$3:$3,'P&amp;L - Yrly'!S$5,'P&amp;L - Monthly'!43:43)</f>
        <v>2715756.2980369502</v>
      </c>
      <c r="T42" s="307">
        <f>SUMIF('P&amp;L - Monthly'!$3:$3,'P&amp;L - Yrly'!T$5,'P&amp;L - Monthly'!43:43)</f>
        <v>2641912.113922277</v>
      </c>
      <c r="U42" s="307">
        <f>SUMIF('P&amp;L - Monthly'!$3:$3,'P&amp;L - Yrly'!U$5,'P&amp;L - Monthly'!43:43)</f>
        <v>2724735.6890648534</v>
      </c>
    </row>
    <row r="43" spans="1:73" s="156" customFormat="1" hidden="1" outlineLevel="1" x14ac:dyDescent="0.25">
      <c r="A43" s="16"/>
      <c r="B43" s="16"/>
      <c r="C43" s="40" t="s">
        <v>66</v>
      </c>
      <c r="D43" s="17">
        <f>SUMIF('P&amp;L - Monthly'!$3:$3,'P&amp;L - Yrly'!D$5,'P&amp;L - Monthly'!44:44)</f>
        <v>1371802.1689800001</v>
      </c>
      <c r="E43" s="17">
        <f>SUMIF('P&amp;L - Monthly'!$3:$3,'P&amp;L - Yrly'!E$5,'P&amp;L - Monthly'!44:44)</f>
        <v>3237351.4999999995</v>
      </c>
      <c r="F43" s="17">
        <f>SUMIF('P&amp;L - Monthly'!$3:$3,'P&amp;L - Yrly'!F$5,'P&amp;L - Monthly'!44:44)</f>
        <v>3237351.4999999995</v>
      </c>
      <c r="G43" s="17">
        <f>SUMIF('P&amp;L - Monthly'!$3:$3,'P&amp;L - Yrly'!G$5,'P&amp;L - Monthly'!44:44)</f>
        <v>4024526.1189832785</v>
      </c>
      <c r="H43" s="17">
        <f>SUMIF('P&amp;L - Monthly'!$3:$3,'P&amp;L - Yrly'!H$5,'P&amp;L - Monthly'!44:44)</f>
        <v>4499400.7963674078</v>
      </c>
      <c r="I43" s="17">
        <f>SUMIF('P&amp;L - Monthly'!$3:$3,'P&amp;L - Yrly'!I$5,'P&amp;L - Monthly'!44:44)</f>
        <v>4864988.4393823063</v>
      </c>
      <c r="J43"/>
      <c r="K43" s="133"/>
      <c r="L43" s="17" t="e">
        <f>'P&amp;L - Qtrly'!#REF!</f>
        <v>#REF!</v>
      </c>
      <c r="M43" s="17">
        <v>525378.91666666663</v>
      </c>
      <c r="N43" s="17" t="e">
        <f>M43-L43</f>
        <v>#REF!</v>
      </c>
      <c r="O43"/>
      <c r="P43" s="17">
        <f>D43</f>
        <v>1371802.1689800001</v>
      </c>
      <c r="Q43" s="17">
        <v>1903600.5</v>
      </c>
      <c r="R43" s="17">
        <f>Q43-P43</f>
        <v>531798.33101999993</v>
      </c>
      <c r="S43" s="307">
        <f>SUMIF('P&amp;L - Monthly'!$3:$3,'P&amp;L - Yrly'!S$5,'P&amp;L - Monthly'!44:44)</f>
        <v>4024526.1189832785</v>
      </c>
      <c r="T43" s="307">
        <f>SUMIF('P&amp;L - Monthly'!$3:$3,'P&amp;L - Yrly'!T$5,'P&amp;L - Monthly'!44:44)</f>
        <v>4499400.7963674078</v>
      </c>
      <c r="U43" s="307">
        <f>SUMIF('P&amp;L - Monthly'!$3:$3,'P&amp;L - Yrly'!U$5,'P&amp;L - Monthly'!44:44)</f>
        <v>4864988.4393823063</v>
      </c>
    </row>
    <row r="44" spans="1:73" s="156" customFormat="1" collapsed="1" x14ac:dyDescent="0.25">
      <c r="A44" s="29"/>
      <c r="B44" s="29"/>
      <c r="C44" s="29" t="s">
        <v>17</v>
      </c>
      <c r="D44" s="8">
        <f t="shared" ref="D44" si="4">SUM(D42:D43)</f>
        <v>1829937.1078400002</v>
      </c>
      <c r="E44" s="8">
        <f>SUM(E42:E43)</f>
        <v>4328490.6399999997</v>
      </c>
      <c r="F44" s="8">
        <f>SUM(F42:F43)</f>
        <v>3237351.4999999995</v>
      </c>
      <c r="G44" s="8">
        <f>SUM(G42:G43)</f>
        <v>4024526.1189832785</v>
      </c>
      <c r="H44" s="8">
        <f>SUM(H42:H43)</f>
        <v>4499400.7963674078</v>
      </c>
      <c r="I44" s="8">
        <f>SUM(I42:I43)</f>
        <v>4864988.4393823063</v>
      </c>
      <c r="J44" s="28"/>
      <c r="K44" s="133"/>
      <c r="L44" s="8" t="e">
        <f>'P&amp;L - Qtrly'!#REF!</f>
        <v>#REF!</v>
      </c>
      <c r="M44" s="8">
        <v>1422440.0833333333</v>
      </c>
      <c r="N44" s="8" t="e">
        <f>M44-L44</f>
        <v>#REF!</v>
      </c>
      <c r="O44"/>
      <c r="P44" s="8">
        <f>D44</f>
        <v>1829937.1078400002</v>
      </c>
      <c r="Q44" s="8">
        <v>5392304.666666667</v>
      </c>
      <c r="R44" s="8">
        <f>Q44-P44</f>
        <v>3562367.5588266668</v>
      </c>
      <c r="S44" s="165">
        <f>SUM(S42:S43)</f>
        <v>6740282.4170202287</v>
      </c>
      <c r="T44" s="165">
        <f>SUM(T42:T43)</f>
        <v>7141312.9102896843</v>
      </c>
      <c r="U44" s="165">
        <f>SUM(U42:U43)</f>
        <v>7589724.1284471601</v>
      </c>
      <c r="BN44" s="5"/>
      <c r="BO44" s="5"/>
      <c r="BP44" s="5"/>
      <c r="BQ44" s="5"/>
      <c r="BR44" s="5"/>
      <c r="BS44" s="5"/>
      <c r="BT44" s="5"/>
      <c r="BU44" s="5"/>
    </row>
    <row r="45" spans="1:73" s="156" customFormat="1" x14ac:dyDescent="0.25">
      <c r="A45" s="16"/>
      <c r="B45" s="16"/>
      <c r="C45" s="40"/>
      <c r="D45" s="17"/>
      <c r="E45" s="17"/>
      <c r="F45" s="17"/>
      <c r="G45" s="17"/>
      <c r="H45" s="17"/>
      <c r="I45" s="17"/>
      <c r="J45"/>
      <c r="K45" s="133"/>
      <c r="L45" s="17"/>
      <c r="M45" s="17"/>
      <c r="N45" s="17"/>
      <c r="O45"/>
      <c r="P45" s="17"/>
      <c r="Q45" s="17"/>
      <c r="R45" s="17"/>
      <c r="S45" s="307"/>
      <c r="T45" s="307"/>
      <c r="U45" s="307"/>
    </row>
    <row r="46" spans="1:73" s="156" customFormat="1" hidden="1" outlineLevel="1" x14ac:dyDescent="0.25">
      <c r="A46" s="16"/>
      <c r="B46" s="16"/>
      <c r="C46" s="29" t="s">
        <v>18</v>
      </c>
      <c r="D46" s="17"/>
      <c r="E46" s="17"/>
      <c r="F46" s="17"/>
      <c r="G46" s="17"/>
      <c r="H46" s="17"/>
      <c r="I46" s="17"/>
      <c r="J46"/>
      <c r="K46" s="133"/>
      <c r="L46" s="17"/>
      <c r="M46" s="17"/>
      <c r="N46" s="17"/>
      <c r="O46"/>
      <c r="P46" s="17"/>
      <c r="Q46" s="17"/>
      <c r="R46" s="17"/>
      <c r="S46" s="307"/>
      <c r="T46" s="307"/>
      <c r="U46" s="307"/>
    </row>
    <row r="47" spans="1:73" s="156" customFormat="1" hidden="1" outlineLevel="1" x14ac:dyDescent="0.25">
      <c r="A47" s="16"/>
      <c r="B47" s="16"/>
      <c r="C47" s="40" t="s">
        <v>3</v>
      </c>
      <c r="D47" s="17">
        <f>SUMIF('P&amp;L - Monthly'!$3:$3,'P&amp;L - Yrly'!D$5,'P&amp;L - Monthly'!48:48)</f>
        <v>127538.55781</v>
      </c>
      <c r="E47" s="17">
        <f>SUMIF('P&amp;L - Monthly'!$3:$3,'P&amp;L - Yrly'!E$5,'P&amp;L - Monthly'!48:48)</f>
        <v>456344.85</v>
      </c>
      <c r="F47" s="17">
        <f>SUMIF('P&amp;L - Monthly'!$3:$3,'P&amp;L - Yrly'!F$5,'P&amp;L - Monthly'!48:48)</f>
        <v>456344.85</v>
      </c>
      <c r="G47" s="17">
        <f ca="1">SUMIF('P&amp;L - Monthly'!$3:$3,'P&amp;L - Yrly'!G$5,'P&amp;L - Monthly'!48:48)</f>
        <v>934845.58323475835</v>
      </c>
      <c r="H47" s="17">
        <f ca="1">SUMIF('P&amp;L - Monthly'!$3:$3,'P&amp;L - Yrly'!H$5,'P&amp;L - Monthly'!48:48)</f>
        <v>1267285.238014058</v>
      </c>
      <c r="I47" s="17">
        <f ca="1">SUMIF('P&amp;L - Monthly'!$3:$3,'P&amp;L - Yrly'!I$5,'P&amp;L - Monthly'!48:48)</f>
        <v>1428891.0617277755</v>
      </c>
      <c r="J47"/>
      <c r="K47" s="133"/>
      <c r="L47" s="17" t="e">
        <f>'P&amp;L - Qtrly'!#REF!</f>
        <v>#REF!</v>
      </c>
      <c r="M47" s="17">
        <v>424901.0625</v>
      </c>
      <c r="N47" s="17" t="e">
        <f t="shared" ref="N47:N60" si="5">M47-L47</f>
        <v>#REF!</v>
      </c>
      <c r="O47"/>
      <c r="P47" s="17">
        <f t="shared" ref="P47:P60" si="6">D47</f>
        <v>127538.55781</v>
      </c>
      <c r="Q47" s="17">
        <v>1615604.25</v>
      </c>
      <c r="R47" s="17">
        <f t="shared" ref="R47:R60" si="7">Q47-P47</f>
        <v>1488065.6921900001</v>
      </c>
      <c r="S47" s="307">
        <f ca="1">SUMIF('P&amp;L - Monthly'!$3:$3,'P&amp;L - Yrly'!S$5,'P&amp;L - Monthly'!48:48)</f>
        <v>934845.58323475835</v>
      </c>
      <c r="T47" s="307">
        <f ca="1">SUMIF('P&amp;L - Monthly'!$3:$3,'P&amp;L - Yrly'!T$5,'P&amp;L - Monthly'!48:48)</f>
        <v>1267285.238014058</v>
      </c>
      <c r="U47" s="307">
        <f ca="1">SUMIF('P&amp;L - Monthly'!$3:$3,'P&amp;L - Yrly'!U$5,'P&amp;L - Monthly'!48:48)</f>
        <v>1428891.0617277755</v>
      </c>
    </row>
    <row r="48" spans="1:73" s="156" customFormat="1" hidden="1" outlineLevel="1" x14ac:dyDescent="0.25">
      <c r="A48" s="16"/>
      <c r="B48" s="16"/>
      <c r="C48" s="40" t="s">
        <v>2</v>
      </c>
      <c r="D48" s="17">
        <f>SUMIF('P&amp;L - Monthly'!$3:$3,'P&amp;L - Yrly'!D$5,'P&amp;L - Monthly'!49:49)</f>
        <v>2086440.7441100003</v>
      </c>
      <c r="E48" s="17">
        <f>SUMIF('P&amp;L - Monthly'!$3:$3,'P&amp;L - Yrly'!E$5,'P&amp;L - Monthly'!49:49)</f>
        <v>1695111.6099999999</v>
      </c>
      <c r="F48" s="17">
        <f>SUMIF('P&amp;L - Monthly'!$3:$3,'P&amp;L - Yrly'!F$5,'P&amp;L - Monthly'!49:49)</f>
        <v>1695111.6099999999</v>
      </c>
      <c r="G48" s="17">
        <f>SUMIF('P&amp;L - Monthly'!$3:$3,'P&amp;L - Yrly'!G$5,'P&amp;L - Monthly'!49:49)</f>
        <v>1557334.1865624925</v>
      </c>
      <c r="H48" s="17">
        <f>SUMIF('P&amp;L - Monthly'!$3:$3,'P&amp;L - Yrly'!H$5,'P&amp;L - Monthly'!49:49)</f>
        <v>1343449.8387755028</v>
      </c>
      <c r="I48" s="17">
        <f>SUMIF('P&amp;L - Monthly'!$3:$3,'P&amp;L - Yrly'!I$5,'P&amp;L - Monthly'!49:49)</f>
        <v>1474583.5528448059</v>
      </c>
      <c r="J48"/>
      <c r="K48" s="133"/>
      <c r="L48" s="17" t="e">
        <f>'P&amp;L - Qtrly'!#REF!</f>
        <v>#REF!</v>
      </c>
      <c r="M48" s="17">
        <v>357887.83333333337</v>
      </c>
      <c r="N48" s="17" t="e">
        <f t="shared" si="5"/>
        <v>#REF!</v>
      </c>
      <c r="O48"/>
      <c r="P48" s="17">
        <f t="shared" si="6"/>
        <v>2086440.7441100003</v>
      </c>
      <c r="Q48" s="17">
        <v>753474.00000000012</v>
      </c>
      <c r="R48" s="17">
        <f t="shared" si="7"/>
        <v>-1332966.7441100003</v>
      </c>
      <c r="S48" s="307">
        <f>SUMIF('P&amp;L - Monthly'!$3:$3,'P&amp;L - Yrly'!S$5,'P&amp;L - Monthly'!49:49)</f>
        <v>1557334.1865624925</v>
      </c>
      <c r="T48" s="307">
        <f>SUMIF('P&amp;L - Monthly'!$3:$3,'P&amp;L - Yrly'!T$5,'P&amp;L - Monthly'!49:49)</f>
        <v>1343449.8387755028</v>
      </c>
      <c r="U48" s="307">
        <f>SUMIF('P&amp;L - Monthly'!$3:$3,'P&amp;L - Yrly'!U$5,'P&amp;L - Monthly'!49:49)</f>
        <v>1474583.5528448059</v>
      </c>
    </row>
    <row r="49" spans="1:73" s="156" customFormat="1" hidden="1" outlineLevel="1" x14ac:dyDescent="0.25">
      <c r="A49" s="16"/>
      <c r="B49" s="16"/>
      <c r="C49" s="40" t="s">
        <v>19</v>
      </c>
      <c r="D49" s="17">
        <f>SUMIF('P&amp;L - Monthly'!$3:$3,'P&amp;L - Yrly'!D$5,'P&amp;L - Monthly'!50:50)</f>
        <v>0</v>
      </c>
      <c r="E49" s="17">
        <f>SUMIF('P&amp;L - Monthly'!$3:$3,'P&amp;L - Yrly'!E$5,'P&amp;L - Monthly'!50:50)</f>
        <v>0</v>
      </c>
      <c r="F49" s="17">
        <f>SUMIF('P&amp;L - Monthly'!$3:$3,'P&amp;L - Yrly'!F$5,'P&amp;L - Monthly'!50:50)</f>
        <v>0</v>
      </c>
      <c r="G49" s="17">
        <f>SUMIF('P&amp;L - Monthly'!$3:$3,'P&amp;L - Yrly'!G$5,'P&amp;L - Monthly'!50:50)</f>
        <v>65250</v>
      </c>
      <c r="H49" s="17">
        <f>SUMIF('P&amp;L - Monthly'!$3:$3,'P&amp;L - Yrly'!H$5,'P&amp;L - Monthly'!50:50)</f>
        <v>87000</v>
      </c>
      <c r="I49" s="17">
        <f>SUMIF('P&amp;L - Monthly'!$3:$3,'P&amp;L - Yrly'!I$5,'P&amp;L - Monthly'!50:50)</f>
        <v>12000</v>
      </c>
      <c r="J49"/>
      <c r="K49" s="133"/>
      <c r="L49" s="17" t="e">
        <f>'P&amp;L - Qtrly'!#REF!</f>
        <v>#REF!</v>
      </c>
      <c r="M49" s="17">
        <v>60000</v>
      </c>
      <c r="N49" s="17" t="e">
        <f t="shared" si="5"/>
        <v>#REF!</v>
      </c>
      <c r="O49"/>
      <c r="P49" s="17">
        <f t="shared" si="6"/>
        <v>0</v>
      </c>
      <c r="Q49" s="17">
        <v>240000</v>
      </c>
      <c r="R49" s="17">
        <f t="shared" si="7"/>
        <v>240000</v>
      </c>
      <c r="S49" s="307">
        <f>SUMIF('P&amp;L - Monthly'!$3:$3,'P&amp;L - Yrly'!S$5,'P&amp;L - Monthly'!50:50)</f>
        <v>65250</v>
      </c>
      <c r="T49" s="307">
        <f>SUMIF('P&amp;L - Monthly'!$3:$3,'P&amp;L - Yrly'!T$5,'P&amp;L - Monthly'!50:50)</f>
        <v>87000</v>
      </c>
      <c r="U49" s="307">
        <f>SUMIF('P&amp;L - Monthly'!$3:$3,'P&amp;L - Yrly'!U$5,'P&amp;L - Monthly'!50:50)</f>
        <v>12000</v>
      </c>
    </row>
    <row r="50" spans="1:73" s="156" customFormat="1" hidden="1" outlineLevel="1" x14ac:dyDescent="0.25">
      <c r="A50" s="16"/>
      <c r="B50" s="16"/>
      <c r="C50" s="40" t="s">
        <v>20</v>
      </c>
      <c r="D50" s="17">
        <f>SUMIF('P&amp;L - Monthly'!$3:$3,'P&amp;L - Yrly'!D$5,'P&amp;L - Monthly'!51:51)</f>
        <v>0</v>
      </c>
      <c r="E50" s="17">
        <f>SUMIF('P&amp;L - Monthly'!$3:$3,'P&amp;L - Yrly'!E$5,'P&amp;L - Monthly'!51:51)</f>
        <v>0</v>
      </c>
      <c r="F50" s="17">
        <f>SUMIF('P&amp;L - Monthly'!$3:$3,'P&amp;L - Yrly'!F$5,'P&amp;L - Monthly'!51:51)</f>
        <v>0</v>
      </c>
      <c r="G50" s="17">
        <f>SUMIF('P&amp;L - Monthly'!$3:$3,'P&amp;L - Yrly'!G$5,'P&amp;L - Monthly'!51:51)</f>
        <v>72000</v>
      </c>
      <c r="H50" s="17">
        <f>SUMIF('P&amp;L - Monthly'!$3:$3,'P&amp;L - Yrly'!H$5,'P&amp;L - Monthly'!51:51)</f>
        <v>96000</v>
      </c>
      <c r="I50" s="17">
        <f>SUMIF('P&amp;L - Monthly'!$3:$3,'P&amp;L - Yrly'!I$5,'P&amp;L - Monthly'!51:51)</f>
        <v>96000</v>
      </c>
      <c r="J50"/>
      <c r="K50" s="133"/>
      <c r="L50" s="17" t="e">
        <f>'P&amp;L - Qtrly'!#REF!</f>
        <v>#REF!</v>
      </c>
      <c r="M50" s="17">
        <v>24000</v>
      </c>
      <c r="N50" s="17" t="e">
        <f t="shared" si="5"/>
        <v>#REF!</v>
      </c>
      <c r="O50"/>
      <c r="P50" s="17">
        <f t="shared" si="6"/>
        <v>0</v>
      </c>
      <c r="Q50" s="17">
        <v>105600</v>
      </c>
      <c r="R50" s="17">
        <f t="shared" si="7"/>
        <v>105600</v>
      </c>
      <c r="S50" s="307">
        <f>SUMIF('P&amp;L - Monthly'!$3:$3,'P&amp;L - Yrly'!S$5,'P&amp;L - Monthly'!51:51)</f>
        <v>72000</v>
      </c>
      <c r="T50" s="307">
        <f>SUMIF('P&amp;L - Monthly'!$3:$3,'P&amp;L - Yrly'!T$5,'P&amp;L - Monthly'!51:51)</f>
        <v>96000</v>
      </c>
      <c r="U50" s="307">
        <f>SUMIF('P&amp;L - Monthly'!$3:$3,'P&amp;L - Yrly'!U$5,'P&amp;L - Monthly'!51:51)</f>
        <v>96000</v>
      </c>
    </row>
    <row r="51" spans="1:73" s="156" customFormat="1" hidden="1" outlineLevel="1" x14ac:dyDescent="0.25">
      <c r="A51" s="16"/>
      <c r="B51" s="16"/>
      <c r="C51" s="40" t="s">
        <v>21</v>
      </c>
      <c r="D51" s="17">
        <f>SUMIF('P&amp;L - Monthly'!$3:$3,'P&amp;L - Yrly'!D$5,'P&amp;L - Monthly'!52:52)</f>
        <v>0</v>
      </c>
      <c r="E51" s="17">
        <f>SUMIF('P&amp;L - Monthly'!$3:$3,'P&amp;L - Yrly'!E$5,'P&amp;L - Monthly'!52:52)</f>
        <v>0</v>
      </c>
      <c r="F51" s="17">
        <f>SUMIF('P&amp;L - Monthly'!$3:$3,'P&amp;L - Yrly'!F$5,'P&amp;L - Monthly'!52:52)</f>
        <v>0</v>
      </c>
      <c r="G51" s="17">
        <f>SUMIF('P&amp;L - Monthly'!$3:$3,'P&amp;L - Yrly'!G$5,'P&amp;L - Monthly'!52:52)</f>
        <v>0</v>
      </c>
      <c r="H51" s="17">
        <f>SUMIF('P&amp;L - Monthly'!$3:$3,'P&amp;L - Yrly'!H$5,'P&amp;L - Monthly'!52:52)</f>
        <v>0</v>
      </c>
      <c r="I51" s="17">
        <f>SUMIF('P&amp;L - Monthly'!$3:$3,'P&amp;L - Yrly'!I$5,'P&amp;L - Monthly'!52:52)</f>
        <v>0</v>
      </c>
      <c r="J51"/>
      <c r="K51" s="133"/>
      <c r="L51" s="17" t="e">
        <f>'P&amp;L - Qtrly'!#REF!</f>
        <v>#REF!</v>
      </c>
      <c r="M51" s="17">
        <v>11100</v>
      </c>
      <c r="N51" s="17" t="e">
        <f t="shared" si="5"/>
        <v>#REF!</v>
      </c>
      <c r="O51"/>
      <c r="P51" s="17">
        <f t="shared" si="6"/>
        <v>0</v>
      </c>
      <c r="Q51" s="17">
        <v>48840.000000000007</v>
      </c>
      <c r="R51" s="17">
        <f t="shared" si="7"/>
        <v>48840.000000000007</v>
      </c>
      <c r="S51" s="307">
        <f>SUMIF('P&amp;L - Monthly'!$3:$3,'P&amp;L - Yrly'!S$5,'P&amp;L - Monthly'!52:52)</f>
        <v>0</v>
      </c>
      <c r="T51" s="307">
        <f>SUMIF('P&amp;L - Monthly'!$3:$3,'P&amp;L - Yrly'!T$5,'P&amp;L - Monthly'!52:52)</f>
        <v>0</v>
      </c>
      <c r="U51" s="307">
        <f>SUMIF('P&amp;L - Monthly'!$3:$3,'P&amp;L - Yrly'!U$5,'P&amp;L - Monthly'!52:52)</f>
        <v>0</v>
      </c>
    </row>
    <row r="52" spans="1:73" s="156" customFormat="1" hidden="1" outlineLevel="1" x14ac:dyDescent="0.25">
      <c r="A52" s="16"/>
      <c r="B52" s="16"/>
      <c r="C52" s="40" t="s">
        <v>22</v>
      </c>
      <c r="D52" s="17">
        <f>SUMIF('P&amp;L - Monthly'!$3:$3,'P&amp;L - Yrly'!D$5,'P&amp;L - Monthly'!53:53)</f>
        <v>0</v>
      </c>
      <c r="E52" s="17">
        <f>SUMIF('P&amp;L - Monthly'!$3:$3,'P&amp;L - Yrly'!E$5,'P&amp;L - Monthly'!53:53)</f>
        <v>0</v>
      </c>
      <c r="F52" s="17">
        <f>SUMIF('P&amp;L - Monthly'!$3:$3,'P&amp;L - Yrly'!F$5,'P&amp;L - Monthly'!53:53)</f>
        <v>0</v>
      </c>
      <c r="G52" s="17">
        <f>SUMIF('P&amp;L - Monthly'!$3:$3,'P&amp;L - Yrly'!G$5,'P&amp;L - Monthly'!53:53)</f>
        <v>4500</v>
      </c>
      <c r="H52" s="17">
        <f>SUMIF('P&amp;L - Monthly'!$3:$3,'P&amp;L - Yrly'!H$5,'P&amp;L - Monthly'!53:53)</f>
        <v>6000</v>
      </c>
      <c r="I52" s="17">
        <f>SUMIF('P&amp;L - Monthly'!$3:$3,'P&amp;L - Yrly'!I$5,'P&amp;L - Monthly'!53:53)</f>
        <v>6000</v>
      </c>
      <c r="J52"/>
      <c r="K52" s="133"/>
      <c r="L52" s="17" t="e">
        <f>'P&amp;L - Qtrly'!#REF!</f>
        <v>#REF!</v>
      </c>
      <c r="M52" s="17">
        <v>15000</v>
      </c>
      <c r="N52" s="17" t="e">
        <f t="shared" si="5"/>
        <v>#REF!</v>
      </c>
      <c r="O52"/>
      <c r="P52" s="17">
        <f t="shared" si="6"/>
        <v>0</v>
      </c>
      <c r="Q52" s="17">
        <v>60000</v>
      </c>
      <c r="R52" s="17">
        <f t="shared" si="7"/>
        <v>60000</v>
      </c>
      <c r="S52" s="307">
        <f>SUMIF('P&amp;L - Monthly'!$3:$3,'P&amp;L - Yrly'!S$5,'P&amp;L - Monthly'!53:53)</f>
        <v>4500</v>
      </c>
      <c r="T52" s="307">
        <f>SUMIF('P&amp;L - Monthly'!$3:$3,'P&amp;L - Yrly'!T$5,'P&amp;L - Monthly'!53:53)</f>
        <v>6000</v>
      </c>
      <c r="U52" s="307">
        <f>SUMIF('P&amp;L - Monthly'!$3:$3,'P&amp;L - Yrly'!U$5,'P&amp;L - Monthly'!53:53)</f>
        <v>6000</v>
      </c>
    </row>
    <row r="53" spans="1:73" s="156" customFormat="1" hidden="1" outlineLevel="1" x14ac:dyDescent="0.25">
      <c r="A53" s="16"/>
      <c r="B53" s="16"/>
      <c r="C53" s="40" t="s">
        <v>23</v>
      </c>
      <c r="D53" s="17">
        <f>SUMIF('P&amp;L - Monthly'!$3:$3,'P&amp;L - Yrly'!D$5,'P&amp;L - Monthly'!54:54)</f>
        <v>0</v>
      </c>
      <c r="E53" s="17">
        <f>SUMIF('P&amp;L - Monthly'!$3:$3,'P&amp;L - Yrly'!E$5,'P&amp;L - Monthly'!54:54)</f>
        <v>0</v>
      </c>
      <c r="F53" s="17">
        <f>SUMIF('P&amp;L - Monthly'!$3:$3,'P&amp;L - Yrly'!F$5,'P&amp;L - Monthly'!54:54)</f>
        <v>0</v>
      </c>
      <c r="G53" s="17">
        <f>SUMIF('P&amp;L - Monthly'!$3:$3,'P&amp;L - Yrly'!G$5,'P&amp;L - Monthly'!54:54)</f>
        <v>18000</v>
      </c>
      <c r="H53" s="17">
        <f>SUMIF('P&amp;L - Monthly'!$3:$3,'P&amp;L - Yrly'!H$5,'P&amp;L - Monthly'!54:54)</f>
        <v>24000</v>
      </c>
      <c r="I53" s="17">
        <f>SUMIF('P&amp;L - Monthly'!$3:$3,'P&amp;L - Yrly'!I$5,'P&amp;L - Monthly'!54:54)</f>
        <v>24000</v>
      </c>
      <c r="J53"/>
      <c r="K53" s="133"/>
      <c r="L53" s="17" t="e">
        <f>'P&amp;L - Qtrly'!#REF!</f>
        <v>#REF!</v>
      </c>
      <c r="M53" s="17">
        <v>9000</v>
      </c>
      <c r="N53" s="17" t="e">
        <f t="shared" si="5"/>
        <v>#REF!</v>
      </c>
      <c r="O53"/>
      <c r="P53" s="17">
        <f t="shared" si="6"/>
        <v>0</v>
      </c>
      <c r="Q53" s="17">
        <v>36000</v>
      </c>
      <c r="R53" s="17">
        <f t="shared" si="7"/>
        <v>36000</v>
      </c>
      <c r="S53" s="307">
        <f>SUMIF('P&amp;L - Monthly'!$3:$3,'P&amp;L - Yrly'!S$5,'P&amp;L - Monthly'!54:54)</f>
        <v>18000</v>
      </c>
      <c r="T53" s="307">
        <f>SUMIF('P&amp;L - Monthly'!$3:$3,'P&amp;L - Yrly'!T$5,'P&amp;L - Monthly'!54:54)</f>
        <v>24000</v>
      </c>
      <c r="U53" s="307">
        <f>SUMIF('P&amp;L - Monthly'!$3:$3,'P&amp;L - Yrly'!U$5,'P&amp;L - Monthly'!54:54)</f>
        <v>24000</v>
      </c>
    </row>
    <row r="54" spans="1:73" s="156" customFormat="1" hidden="1" outlineLevel="1" x14ac:dyDescent="0.25">
      <c r="A54" s="16"/>
      <c r="B54" s="16"/>
      <c r="C54" s="40" t="s">
        <v>24</v>
      </c>
      <c r="D54" s="17">
        <f>SUMIF('P&amp;L - Monthly'!$3:$3,'P&amp;L - Yrly'!D$5,'P&amp;L - Monthly'!55:55)</f>
        <v>0</v>
      </c>
      <c r="E54" s="17">
        <f>SUMIF('P&amp;L - Monthly'!$3:$3,'P&amp;L - Yrly'!E$5,'P&amp;L - Monthly'!55:55)</f>
        <v>0</v>
      </c>
      <c r="F54" s="17">
        <f>SUMIF('P&amp;L - Monthly'!$3:$3,'P&amp;L - Yrly'!F$5,'P&amp;L - Monthly'!55:55)</f>
        <v>0</v>
      </c>
      <c r="G54" s="17">
        <f>SUMIF('P&amp;L - Monthly'!$3:$3,'P&amp;L - Yrly'!G$5,'P&amp;L - Monthly'!55:55)</f>
        <v>180000</v>
      </c>
      <c r="H54" s="17">
        <f>SUMIF('P&amp;L - Monthly'!$3:$3,'P&amp;L - Yrly'!H$5,'P&amp;L - Monthly'!55:55)</f>
        <v>120000</v>
      </c>
      <c r="I54" s="17">
        <f>SUMIF('P&amp;L - Monthly'!$3:$3,'P&amp;L - Yrly'!I$5,'P&amp;L - Monthly'!55:55)</f>
        <v>120000</v>
      </c>
      <c r="J54"/>
      <c r="K54" s="133"/>
      <c r="L54" s="17" t="e">
        <f>'P&amp;L - Qtrly'!#REF!</f>
        <v>#REF!</v>
      </c>
      <c r="M54" s="17">
        <v>60000</v>
      </c>
      <c r="N54" s="17" t="e">
        <f t="shared" si="5"/>
        <v>#REF!</v>
      </c>
      <c r="O54"/>
      <c r="P54" s="17">
        <f t="shared" si="6"/>
        <v>0</v>
      </c>
      <c r="Q54" s="17">
        <v>240000</v>
      </c>
      <c r="R54" s="17">
        <f t="shared" si="7"/>
        <v>240000</v>
      </c>
      <c r="S54" s="307">
        <f>SUMIF('P&amp;L - Monthly'!$3:$3,'P&amp;L - Yrly'!S$5,'P&amp;L - Monthly'!55:55)</f>
        <v>180000</v>
      </c>
      <c r="T54" s="307">
        <f>SUMIF('P&amp;L - Monthly'!$3:$3,'P&amp;L - Yrly'!T$5,'P&amp;L - Monthly'!55:55)</f>
        <v>120000</v>
      </c>
      <c r="U54" s="307">
        <f>SUMIF('P&amp;L - Monthly'!$3:$3,'P&amp;L - Yrly'!U$5,'P&amp;L - Monthly'!55:55)</f>
        <v>120000</v>
      </c>
    </row>
    <row r="55" spans="1:73" s="156" customFormat="1" hidden="1" outlineLevel="1" x14ac:dyDescent="0.25">
      <c r="A55" s="16"/>
      <c r="B55" s="16"/>
      <c r="C55" s="40" t="s">
        <v>25</v>
      </c>
      <c r="D55" s="17">
        <f>SUMIF('P&amp;L - Monthly'!$3:$3,'P&amp;L - Yrly'!D$5,'P&amp;L - Monthly'!56:56)</f>
        <v>0</v>
      </c>
      <c r="E55" s="17">
        <f>SUMIF('P&amp;L - Monthly'!$3:$3,'P&amp;L - Yrly'!E$5,'P&amp;L - Monthly'!56:56)</f>
        <v>0</v>
      </c>
      <c r="F55" s="17">
        <f>SUMIF('P&amp;L - Monthly'!$3:$3,'P&amp;L - Yrly'!F$5,'P&amp;L - Monthly'!56:56)</f>
        <v>0</v>
      </c>
      <c r="G55" s="17">
        <f>SUMIF('P&amp;L - Monthly'!$3:$3,'P&amp;L - Yrly'!G$5,'P&amp;L - Monthly'!56:56)</f>
        <v>54945</v>
      </c>
      <c r="H55" s="17">
        <f>SUMIF('P&amp;L - Monthly'!$3:$3,'P&amp;L - Yrly'!H$5,'P&amp;L - Monthly'!56:56)</f>
        <v>73260</v>
      </c>
      <c r="I55" s="17">
        <f>SUMIF('P&amp;L - Monthly'!$3:$3,'P&amp;L - Yrly'!I$5,'P&amp;L - Monthly'!56:56)</f>
        <v>73260</v>
      </c>
      <c r="J55"/>
      <c r="K55" s="133"/>
      <c r="L55" s="17" t="e">
        <f>'P&amp;L - Qtrly'!#REF!</f>
        <v>#REF!</v>
      </c>
      <c r="M55" s="17">
        <v>30000</v>
      </c>
      <c r="N55" s="17" t="e">
        <f t="shared" si="5"/>
        <v>#REF!</v>
      </c>
      <c r="O55"/>
      <c r="P55" s="17">
        <f t="shared" si="6"/>
        <v>0</v>
      </c>
      <c r="Q55" s="17">
        <v>132000</v>
      </c>
      <c r="R55" s="17">
        <f t="shared" si="7"/>
        <v>132000</v>
      </c>
      <c r="S55" s="307">
        <f>SUMIF('P&amp;L - Monthly'!$3:$3,'P&amp;L - Yrly'!S$5,'P&amp;L - Monthly'!56:56)</f>
        <v>54945</v>
      </c>
      <c r="T55" s="307">
        <f>SUMIF('P&amp;L - Monthly'!$3:$3,'P&amp;L - Yrly'!T$5,'P&amp;L - Monthly'!56:56)</f>
        <v>73260</v>
      </c>
      <c r="U55" s="307">
        <f>SUMIF('P&amp;L - Monthly'!$3:$3,'P&amp;L - Yrly'!U$5,'P&amp;L - Monthly'!56:56)</f>
        <v>73260</v>
      </c>
    </row>
    <row r="56" spans="1:73" s="156" customFormat="1" hidden="1" outlineLevel="1" x14ac:dyDescent="0.25">
      <c r="A56" s="16"/>
      <c r="B56" s="16"/>
      <c r="C56" s="40" t="s">
        <v>26</v>
      </c>
      <c r="D56" s="17">
        <f>SUMIF('P&amp;L - Monthly'!$3:$3,'P&amp;L - Yrly'!D$5,'P&amp;L - Monthly'!57:57)</f>
        <v>0</v>
      </c>
      <c r="E56" s="17">
        <f>SUMIF('P&amp;L - Monthly'!$3:$3,'P&amp;L - Yrly'!E$5,'P&amp;L - Monthly'!57:57)</f>
        <v>0</v>
      </c>
      <c r="F56" s="17">
        <f>SUMIF('P&amp;L - Monthly'!$3:$3,'P&amp;L - Yrly'!F$5,'P&amp;L - Monthly'!57:57)</f>
        <v>0</v>
      </c>
      <c r="G56" s="17">
        <f>SUMIF('P&amp;L - Monthly'!$3:$3,'P&amp;L - Yrly'!G$5,'P&amp;L - Monthly'!57:57)</f>
        <v>27900</v>
      </c>
      <c r="H56" s="17">
        <f>SUMIF('P&amp;L - Monthly'!$3:$3,'P&amp;L - Yrly'!H$5,'P&amp;L - Monthly'!57:57)</f>
        <v>37200</v>
      </c>
      <c r="I56" s="17">
        <f>SUMIF('P&amp;L - Monthly'!$3:$3,'P&amp;L - Yrly'!I$5,'P&amp;L - Monthly'!57:57)</f>
        <v>37200</v>
      </c>
      <c r="J56"/>
      <c r="K56" s="133"/>
      <c r="L56" s="17" t="e">
        <f>'P&amp;L - Qtrly'!#REF!</f>
        <v>#REF!</v>
      </c>
      <c r="M56" s="17">
        <v>75224.680851063822</v>
      </c>
      <c r="N56" s="17" t="e">
        <f t="shared" si="5"/>
        <v>#REF!</v>
      </c>
      <c r="O56"/>
      <c r="P56" s="17">
        <f t="shared" si="6"/>
        <v>0</v>
      </c>
      <c r="Q56" s="17">
        <v>343940.32340425532</v>
      </c>
      <c r="R56" s="17">
        <f t="shared" si="7"/>
        <v>343940.32340425532</v>
      </c>
      <c r="S56" s="307">
        <f>SUMIF('P&amp;L - Monthly'!$3:$3,'P&amp;L - Yrly'!S$5,'P&amp;L - Monthly'!57:57)</f>
        <v>27900</v>
      </c>
      <c r="T56" s="307">
        <f>SUMIF('P&amp;L - Monthly'!$3:$3,'P&amp;L - Yrly'!T$5,'P&amp;L - Monthly'!57:57)</f>
        <v>37200</v>
      </c>
      <c r="U56" s="307">
        <f>SUMIF('P&amp;L - Monthly'!$3:$3,'P&amp;L - Yrly'!U$5,'P&amp;L - Monthly'!57:57)</f>
        <v>37200</v>
      </c>
    </row>
    <row r="57" spans="1:73" s="156" customFormat="1" hidden="1" outlineLevel="1" x14ac:dyDescent="0.25">
      <c r="A57" s="16"/>
      <c r="B57" s="16"/>
      <c r="C57" s="42" t="s">
        <v>27</v>
      </c>
      <c r="D57" s="17">
        <f>SUMIF('P&amp;L - Monthly'!$3:$3,'P&amp;L - Yrly'!D$5,'P&amp;L - Monthly'!58:58)</f>
        <v>0</v>
      </c>
      <c r="E57" s="17">
        <f>SUMIF('P&amp;L - Monthly'!$3:$3,'P&amp;L - Yrly'!E$5,'P&amp;L - Monthly'!58:58)</f>
        <v>0</v>
      </c>
      <c r="F57" s="17">
        <f>SUMIF('P&amp;L - Monthly'!$3:$3,'P&amp;L - Yrly'!F$5,'P&amp;L - Monthly'!58:58)</f>
        <v>0</v>
      </c>
      <c r="G57" s="17">
        <f>SUMIF('P&amp;L - Monthly'!$3:$3,'P&amp;L - Yrly'!G$5,'P&amp;L - Monthly'!58:58)</f>
        <v>9000</v>
      </c>
      <c r="H57" s="17">
        <f>SUMIF('P&amp;L - Monthly'!$3:$3,'P&amp;L - Yrly'!H$5,'P&amp;L - Monthly'!58:58)</f>
        <v>12000</v>
      </c>
      <c r="I57" s="17">
        <f>SUMIF('P&amp;L - Monthly'!$3:$3,'P&amp;L - Yrly'!I$5,'P&amp;L - Monthly'!58:58)</f>
        <v>12000</v>
      </c>
      <c r="J57"/>
      <c r="K57" s="133"/>
      <c r="L57" s="17" t="e">
        <f>'P&amp;L - Qtrly'!#REF!</f>
        <v>#REF!</v>
      </c>
      <c r="M57" s="17">
        <v>142880</v>
      </c>
      <c r="N57" s="17" t="e">
        <f t="shared" si="5"/>
        <v>#REF!</v>
      </c>
      <c r="O57"/>
      <c r="P57" s="17">
        <f t="shared" si="6"/>
        <v>0</v>
      </c>
      <c r="Q57" s="17">
        <v>547866.00000000012</v>
      </c>
      <c r="R57" s="17">
        <f t="shared" si="7"/>
        <v>547866.00000000012</v>
      </c>
      <c r="S57" s="307">
        <f>SUMIF('P&amp;L - Monthly'!$3:$3,'P&amp;L - Yrly'!S$5,'P&amp;L - Monthly'!58:58)</f>
        <v>9000</v>
      </c>
      <c r="T57" s="307">
        <f>SUMIF('P&amp;L - Monthly'!$3:$3,'P&amp;L - Yrly'!T$5,'P&amp;L - Monthly'!58:58)</f>
        <v>12000</v>
      </c>
      <c r="U57" s="307">
        <f>SUMIF('P&amp;L - Monthly'!$3:$3,'P&amp;L - Yrly'!U$5,'P&amp;L - Monthly'!58:58)</f>
        <v>12000</v>
      </c>
    </row>
    <row r="58" spans="1:73" s="156" customFormat="1" hidden="1" outlineLevel="1" x14ac:dyDescent="0.25">
      <c r="A58" s="16"/>
      <c r="B58" s="16"/>
      <c r="C58" s="40" t="s">
        <v>47</v>
      </c>
      <c r="D58" s="17">
        <f>SUMIF('P&amp;L - Monthly'!$3:$3,'P&amp;L - Yrly'!D$5,'P&amp;L - Monthly'!59:59)</f>
        <v>0</v>
      </c>
      <c r="E58" s="17">
        <f>SUMIF('P&amp;L - Monthly'!$3:$3,'P&amp;L - Yrly'!E$5,'P&amp;L - Monthly'!59:59)</f>
        <v>0</v>
      </c>
      <c r="F58" s="17">
        <f>SUMIF('P&amp;L - Monthly'!$3:$3,'P&amp;L - Yrly'!F$5,'P&amp;L - Monthly'!59:59)</f>
        <v>0</v>
      </c>
      <c r="G58" s="17">
        <f>SUMIF('P&amp;L - Monthly'!$3:$3,'P&amp;L - Yrly'!G$5,'P&amp;L - Monthly'!59:59)</f>
        <v>387000</v>
      </c>
      <c r="H58" s="17">
        <f>SUMIF('P&amp;L - Monthly'!$3:$3,'P&amp;L - Yrly'!H$5,'P&amp;L - Monthly'!59:59)</f>
        <v>516000</v>
      </c>
      <c r="I58" s="17">
        <f>SUMIF('P&amp;L - Monthly'!$3:$3,'P&amp;L - Yrly'!I$5,'P&amp;L - Monthly'!59:59)</f>
        <v>516000</v>
      </c>
      <c r="J58"/>
      <c r="K58" s="133"/>
      <c r="L58" s="17" t="e">
        <f>'P&amp;L - Qtrly'!#REF!</f>
        <v>#REF!</v>
      </c>
      <c r="M58" s="17">
        <v>112282.73051304881</v>
      </c>
      <c r="N58" s="17" t="e">
        <f t="shared" si="5"/>
        <v>#REF!</v>
      </c>
      <c r="O58"/>
      <c r="P58" s="17">
        <f t="shared" si="6"/>
        <v>0</v>
      </c>
      <c r="Q58" s="17">
        <v>494044.01425741467</v>
      </c>
      <c r="R58" s="17">
        <f t="shared" si="7"/>
        <v>494044.01425741467</v>
      </c>
      <c r="S58" s="307">
        <f>SUMIF('P&amp;L - Monthly'!$3:$3,'P&amp;L - Yrly'!S$5,'P&amp;L - Monthly'!59:59)</f>
        <v>387000</v>
      </c>
      <c r="T58" s="307">
        <f>SUMIF('P&amp;L - Monthly'!$3:$3,'P&amp;L - Yrly'!T$5,'P&amp;L - Monthly'!59:59)</f>
        <v>516000</v>
      </c>
      <c r="U58" s="307">
        <f>SUMIF('P&amp;L - Monthly'!$3:$3,'P&amp;L - Yrly'!U$5,'P&amp;L - Monthly'!59:59)</f>
        <v>516000</v>
      </c>
    </row>
    <row r="59" spans="1:73" s="156" customFormat="1" ht="15.75" hidden="1" outlineLevel="1" thickBot="1" x14ac:dyDescent="0.3">
      <c r="A59" s="16"/>
      <c r="B59" s="16"/>
      <c r="C59" s="41" t="s">
        <v>28</v>
      </c>
      <c r="D59" s="20">
        <f>SUMIF('P&amp;L - Monthly'!$3:$3,'P&amp;L - Yrly'!D$5,'P&amp;L - Monthly'!60:60)</f>
        <v>1822925.8335899999</v>
      </c>
      <c r="E59" s="20">
        <f>SUMIF('P&amp;L - Monthly'!$3:$3,'P&amp;L - Yrly'!E$5,'P&amp;L - Monthly'!60:60)</f>
        <v>905246.95</v>
      </c>
      <c r="F59" s="20">
        <f>SUMIF('P&amp;L - Monthly'!$3:$3,'P&amp;L - Yrly'!F$5,'P&amp;L - Monthly'!60:60)</f>
        <v>905246.95</v>
      </c>
      <c r="G59" s="20">
        <f>SUMIF('P&amp;L - Monthly'!$3:$3,'P&amp;L - Yrly'!G$5,'P&amp;L - Monthly'!60:60)</f>
        <v>540593.20999999985</v>
      </c>
      <c r="H59" s="20">
        <f>SUMIF('P&amp;L - Monthly'!$3:$3,'P&amp;L - Yrly'!H$5,'P&amp;L - Monthly'!60:60)</f>
        <v>220000.00000000009</v>
      </c>
      <c r="I59" s="20">
        <f>SUMIF('P&amp;L - Monthly'!$3:$3,'P&amp;L - Yrly'!I$5,'P&amp;L - Monthly'!60:60)</f>
        <v>220000.00000000009</v>
      </c>
      <c r="J59"/>
      <c r="K59" s="133"/>
      <c r="L59" s="20" t="e">
        <f>'P&amp;L - Qtrly'!#REF!</f>
        <v>#REF!</v>
      </c>
      <c r="M59" s="20">
        <v>15000</v>
      </c>
      <c r="N59" s="20" t="e">
        <f t="shared" si="5"/>
        <v>#REF!</v>
      </c>
      <c r="O59"/>
      <c r="P59" s="20">
        <f t="shared" si="6"/>
        <v>1822925.8335899999</v>
      </c>
      <c r="Q59" s="20">
        <v>66000</v>
      </c>
      <c r="R59" s="20">
        <f t="shared" si="7"/>
        <v>-1756925.8335899999</v>
      </c>
      <c r="S59" s="225">
        <f>SUMIF('P&amp;L - Monthly'!$3:$3,'P&amp;L - Yrly'!S$5,'P&amp;L - Monthly'!60:60)</f>
        <v>540593.20999999985</v>
      </c>
      <c r="T59" s="225">
        <f>SUMIF('P&amp;L - Monthly'!$3:$3,'P&amp;L - Yrly'!T$5,'P&amp;L - Monthly'!60:60)</f>
        <v>220000.00000000009</v>
      </c>
      <c r="U59" s="225">
        <f>SUMIF('P&amp;L - Monthly'!$3:$3,'P&amp;L - Yrly'!U$5,'P&amp;L - Monthly'!60:60)</f>
        <v>220000.00000000009</v>
      </c>
    </row>
    <row r="60" spans="1:73" s="156" customFormat="1" collapsed="1" x14ac:dyDescent="0.25">
      <c r="A60" s="29"/>
      <c r="B60" s="29"/>
      <c r="C60" s="29" t="s">
        <v>18</v>
      </c>
      <c r="D60" s="8">
        <f t="shared" ref="D60" si="8">SUM(D47:D59)</f>
        <v>4036905.1355100004</v>
      </c>
      <c r="E60" s="8">
        <f>SUM(E47:E59)</f>
        <v>3056703.41</v>
      </c>
      <c r="F60" s="8">
        <f>SUM(F47:F59)</f>
        <v>3056703.41</v>
      </c>
      <c r="G60" s="8">
        <f ca="1">SUM(G47:G59)</f>
        <v>3851367.9797972506</v>
      </c>
      <c r="H60" s="8">
        <f ca="1">SUM(H47:H59)</f>
        <v>3802195.0767895607</v>
      </c>
      <c r="I60" s="8">
        <f ca="1">SUM(I47:I59)</f>
        <v>4019934.6145725814</v>
      </c>
      <c r="J60" s="28"/>
      <c r="K60" s="133"/>
      <c r="L60" s="8" t="e">
        <f>'P&amp;L - Qtrly'!#REF!</f>
        <v>#REF!</v>
      </c>
      <c r="M60" s="8">
        <v>2583737.7192838765</v>
      </c>
      <c r="N60" s="8" t="e">
        <f t="shared" si="5"/>
        <v>#REF!</v>
      </c>
      <c r="O60"/>
      <c r="P60" s="8">
        <f t="shared" si="6"/>
        <v>4036905.1355100004</v>
      </c>
      <c r="Q60" s="8">
        <v>8850125.2301347889</v>
      </c>
      <c r="R60" s="8">
        <f t="shared" si="7"/>
        <v>4813220.0946247885</v>
      </c>
      <c r="S60" s="165">
        <f ca="1">SUM(S47:S59)</f>
        <v>3851367.9797972506</v>
      </c>
      <c r="T60" s="165">
        <f ca="1">SUM(T47:T59)</f>
        <v>3802195.0767895607</v>
      </c>
      <c r="U60" s="165">
        <f ca="1">SUM(U47:U59)</f>
        <v>4019934.6145725814</v>
      </c>
      <c r="BN60" s="5"/>
      <c r="BO60" s="5"/>
      <c r="BP60" s="5"/>
      <c r="BQ60" s="5"/>
      <c r="BR60" s="5"/>
      <c r="BS60" s="5"/>
      <c r="BT60" s="5"/>
      <c r="BU60" s="5"/>
    </row>
    <row r="61" spans="1:73" s="156" customFormat="1" x14ac:dyDescent="0.25">
      <c r="A61" s="16"/>
      <c r="B61" s="16"/>
      <c r="C61" s="40"/>
      <c r="D61" s="16"/>
      <c r="E61" s="16"/>
      <c r="F61" s="16"/>
      <c r="G61" s="16"/>
      <c r="H61" s="16"/>
      <c r="I61" s="16"/>
      <c r="J61"/>
      <c r="K61" s="133"/>
      <c r="L61" s="133"/>
      <c r="M61" s="133"/>
      <c r="N61" s="133"/>
      <c r="O61"/>
      <c r="P61" s="133"/>
      <c r="Q61" s="133"/>
      <c r="R61" s="133"/>
      <c r="S61" s="437"/>
      <c r="T61" s="437"/>
      <c r="U61" s="437"/>
    </row>
    <row r="62" spans="1:73" s="156" customFormat="1" x14ac:dyDescent="0.25">
      <c r="A62" s="16"/>
      <c r="B62" s="16"/>
      <c r="C62" s="29" t="s">
        <v>144</v>
      </c>
      <c r="D62" s="17">
        <f>SUMIF('P&amp;L - Monthly'!$3:$3,'P&amp;L - Yrly'!D$5,'P&amp;L - Monthly'!63:63)</f>
        <v>8319104.0467799995</v>
      </c>
      <c r="E62" s="17">
        <f>SUMIF('P&amp;L - Monthly'!$3:$3,'P&amp;L - Yrly'!E$5,'P&amp;L - Monthly'!63:63)</f>
        <v>13948699.76</v>
      </c>
      <c r="F62" s="17"/>
      <c r="G62" s="17"/>
      <c r="H62" s="17"/>
      <c r="I62" s="17"/>
      <c r="J62" s="28"/>
      <c r="K62" s="133"/>
      <c r="L62" s="17" t="e">
        <f>'P&amp;L - Qtrly'!#REF!</f>
        <v>#REF!</v>
      </c>
      <c r="M62" s="17">
        <v>8772372.4767994918</v>
      </c>
      <c r="N62" s="17" t="e">
        <f>M62-L62</f>
        <v>#REF!</v>
      </c>
      <c r="O62" s="16"/>
      <c r="P62" s="17">
        <f>D62</f>
        <v>8319104.0467799995</v>
      </c>
      <c r="Q62" s="17">
        <v>33754717.843707837</v>
      </c>
      <c r="R62" s="17">
        <f>Q62-P62</f>
        <v>25435613.79692784</v>
      </c>
      <c r="S62" s="307">
        <f ca="1">SUMIF('P&amp;L - Monthly'!$3:$3,'P&amp;L - Yrly'!S$5,'P&amp;L - Monthly'!63:63)</f>
        <v>21853108.18044848</v>
      </c>
      <c r="T62" s="307">
        <f ca="1">SUMIF('P&amp;L - Monthly'!$3:$3,'P&amp;L - Yrly'!T$5,'P&amp;L - Monthly'!63:63)</f>
        <v>22912063.703194998</v>
      </c>
      <c r="U62" s="307">
        <f ca="1">SUMIF('P&amp;L - Monthly'!$3:$3,'P&amp;L - Yrly'!U$5,'P&amp;L - Monthly'!63:63)</f>
        <v>20873424.784301419</v>
      </c>
    </row>
    <row r="63" spans="1:73" s="156" customFormat="1" x14ac:dyDescent="0.25">
      <c r="A63" s="16"/>
      <c r="B63" s="16"/>
      <c r="C63" s="40"/>
      <c r="D63" s="16"/>
      <c r="E63" s="16"/>
      <c r="F63" s="16"/>
      <c r="G63" s="16"/>
      <c r="H63" s="16"/>
      <c r="I63" s="16"/>
      <c r="J63"/>
      <c r="K63" s="133"/>
      <c r="L63" s="133"/>
      <c r="M63" s="133"/>
      <c r="N63" s="133"/>
      <c r="O63"/>
      <c r="P63" s="133"/>
      <c r="Q63" s="133"/>
      <c r="R63" s="133"/>
      <c r="S63" s="437"/>
      <c r="T63" s="437"/>
      <c r="U63" s="437"/>
    </row>
    <row r="64" spans="1:73" s="156" customFormat="1" ht="15.75" thickBot="1" x14ac:dyDescent="0.3">
      <c r="A64" s="16"/>
      <c r="B64" s="50" t="s">
        <v>76</v>
      </c>
      <c r="C64" s="51"/>
      <c r="D64" s="53">
        <f t="shared" ref="D64" si="9">D32-D39-D44-D60</f>
        <v>3780545.701468139</v>
      </c>
      <c r="E64" s="53">
        <f>E32-E39-E44-E60</f>
        <v>427572.84000000171</v>
      </c>
      <c r="F64" s="53" t="e">
        <f>F32-F39-F44-F60</f>
        <v>#REF!</v>
      </c>
      <c r="G64" s="53" t="e">
        <f ca="1">G32-G39-G44-G60</f>
        <v>#REF!</v>
      </c>
      <c r="H64" s="53" t="e">
        <f ca="1">H32-H39-H44-H60</f>
        <v>#REF!</v>
      </c>
      <c r="I64" s="53" t="e">
        <f ca="1">I32-I39-I44-I60</f>
        <v>#REF!</v>
      </c>
      <c r="J64" s="28" t="e">
        <f>#REF!-SUM('P&amp;L - Monthly'!#REF!)</f>
        <v>#REF!</v>
      </c>
      <c r="K64" s="133"/>
      <c r="L64" s="53" t="e">
        <f>'P&amp;L - Qtrly'!#REF!</f>
        <v>#REF!</v>
      </c>
      <c r="M64" s="53">
        <v>-4404231.0222241366</v>
      </c>
      <c r="N64" s="53" t="e">
        <f>L64-M64</f>
        <v>#REF!</v>
      </c>
      <c r="O64"/>
      <c r="P64" s="53">
        <f>D64</f>
        <v>3780545.701468139</v>
      </c>
      <c r="Q64" s="53">
        <v>-1772379.535132735</v>
      </c>
      <c r="R64" s="53">
        <f>P64-Q64</f>
        <v>5552925.236600874</v>
      </c>
      <c r="S64" s="53">
        <f ca="1">S32-S39-S44-S60</f>
        <v>-1541043.4420436397</v>
      </c>
      <c r="T64" s="53">
        <f ca="1">T32-T39-T44-T60</f>
        <v>14123092.292865772</v>
      </c>
      <c r="U64" s="53">
        <f ca="1">U32-U39-U44-U60</f>
        <v>-21245580.784301419</v>
      </c>
    </row>
    <row r="65" spans="1:76" s="156" customFormat="1" x14ac:dyDescent="0.25">
      <c r="A65" s="16"/>
      <c r="B65" s="5"/>
      <c r="C65" s="128"/>
      <c r="D65" s="84"/>
      <c r="E65" s="149"/>
      <c r="F65" s="84"/>
      <c r="G65" s="84"/>
      <c r="H65" s="84"/>
      <c r="I65" s="84"/>
      <c r="J65" s="16"/>
      <c r="K65" s="133"/>
      <c r="L65" s="84"/>
      <c r="M65" s="84"/>
      <c r="N65" s="84"/>
      <c r="O65" s="16"/>
      <c r="P65" s="84"/>
      <c r="Q65" s="84"/>
      <c r="R65" s="84"/>
      <c r="S65" s="149"/>
      <c r="T65" s="149"/>
      <c r="U65" s="149"/>
    </row>
    <row r="66" spans="1:76" s="156" customFormat="1" x14ac:dyDescent="0.25">
      <c r="A66" s="16"/>
      <c r="B66" s="5"/>
      <c r="C66" s="125" t="s">
        <v>146</v>
      </c>
      <c r="D66" s="126">
        <f t="shared" ref="D66" si="10">D64/D21</f>
        <v>0.25537237328299006</v>
      </c>
      <c r="E66" s="126">
        <f>E64/E21</f>
        <v>2.5351400572748217E-2</v>
      </c>
      <c r="F66" s="126" t="e">
        <f>F64/F21</f>
        <v>#REF!</v>
      </c>
      <c r="G66" s="126" t="e">
        <f ca="1">G64/G21</f>
        <v>#REF!</v>
      </c>
      <c r="H66" s="126" t="e">
        <f ca="1">H64/H21</f>
        <v>#REF!</v>
      </c>
      <c r="I66" s="126" t="e">
        <f ca="1">I64/I21</f>
        <v>#REF!</v>
      </c>
      <c r="J66" s="126"/>
      <c r="K66" s="126"/>
      <c r="L66" s="126" t="e">
        <f>'P&amp;L - Qtrly'!#REF!</f>
        <v>#REF!</v>
      </c>
      <c r="M66" s="126">
        <v>-0.58185056883650521</v>
      </c>
      <c r="N66" s="126" t="e">
        <f>L66-M66</f>
        <v>#REF!</v>
      </c>
      <c r="O66" s="126"/>
      <c r="P66" s="126">
        <f>D66</f>
        <v>0.25537237328299006</v>
      </c>
      <c r="Q66" s="126">
        <v>-3.220032951338201E-2</v>
      </c>
      <c r="R66" s="126">
        <f>P66-Q66</f>
        <v>0.28757270279637209</v>
      </c>
      <c r="S66" s="126">
        <f ca="1">S64/S21</f>
        <v>-6.4601283716346089E-2</v>
      </c>
      <c r="T66" s="126">
        <f ca="1">T64/T21</f>
        <v>0.32813958461003778</v>
      </c>
      <c r="U66" s="126" t="e">
        <f ca="1">U64/U21</f>
        <v>#DIV/0!</v>
      </c>
      <c r="V66" s="126"/>
      <c r="W66" s="126"/>
      <c r="X66" s="126"/>
      <c r="Y66" s="126"/>
      <c r="Z66" s="126"/>
      <c r="AA66" s="126"/>
      <c r="AB66" s="126"/>
      <c r="AC66" s="126"/>
      <c r="AD66" s="126"/>
      <c r="AE66" s="126"/>
      <c r="AF66" s="126"/>
      <c r="AG66" s="126"/>
      <c r="AH66" s="126"/>
      <c r="AI66" s="126"/>
      <c r="AJ66" s="126"/>
      <c r="AK66" s="126"/>
      <c r="AL66" s="126"/>
      <c r="AM66" s="126"/>
      <c r="AN66" s="126"/>
      <c r="AO66" s="126"/>
      <c r="AP66" s="126"/>
      <c r="AQ66" s="126"/>
      <c r="AR66" s="126"/>
      <c r="AS66" s="126"/>
      <c r="AT66" s="126"/>
      <c r="AU66" s="126"/>
      <c r="AV66" s="126"/>
      <c r="AW66" s="126"/>
      <c r="AX66" s="126"/>
      <c r="AY66" s="126"/>
      <c r="AZ66" s="126"/>
      <c r="BA66" s="126"/>
      <c r="BB66" s="126"/>
      <c r="BC66" s="126"/>
      <c r="BD66" s="126"/>
      <c r="BE66" s="126"/>
      <c r="BF66" s="126"/>
      <c r="BG66" s="126"/>
      <c r="BH66" s="126"/>
      <c r="BI66" s="126"/>
      <c r="BJ66" s="126"/>
      <c r="BK66" s="126"/>
      <c r="BL66" s="126"/>
      <c r="BM66" s="126"/>
      <c r="BN66" s="126"/>
      <c r="BO66" s="126"/>
      <c r="BP66" s="126"/>
      <c r="BQ66" s="126"/>
      <c r="BR66" s="126"/>
      <c r="BS66" s="126"/>
      <c r="BT66" s="126"/>
      <c r="BU66" s="84"/>
    </row>
    <row r="67" spans="1:76" s="156" customFormat="1" x14ac:dyDescent="0.25">
      <c r="A67" s="16"/>
      <c r="B67" s="16"/>
      <c r="C67" s="40"/>
      <c r="D67" s="16"/>
      <c r="E67" s="16"/>
      <c r="F67" s="16"/>
      <c r="G67" s="16"/>
      <c r="H67" s="16"/>
      <c r="I67" s="16"/>
      <c r="J67" s="16"/>
      <c r="K67" s="133"/>
      <c r="L67" s="133"/>
      <c r="M67" s="133"/>
      <c r="N67" s="133"/>
      <c r="O67" s="16"/>
      <c r="P67" s="133"/>
      <c r="Q67" s="133"/>
      <c r="R67" s="133"/>
      <c r="S67" s="437"/>
      <c r="T67" s="437"/>
      <c r="U67" s="437"/>
    </row>
    <row r="68" spans="1:76" s="156" customFormat="1" x14ac:dyDescent="0.25">
      <c r="A68" s="16"/>
      <c r="B68" s="16"/>
      <c r="C68" s="40" t="s">
        <v>138</v>
      </c>
      <c r="D68" s="17">
        <f>SUMIF('P&amp;L - Monthly'!$3:$3,'P&amp;L - Yrly'!D$5,'P&amp;L - Monthly'!71:71)</f>
        <v>0</v>
      </c>
      <c r="E68" s="17">
        <f>SUMIF('P&amp;L - Monthly'!$3:$3,'P&amp;L - Yrly'!E$5,'P&amp;L - Monthly'!71:71)</f>
        <v>0</v>
      </c>
      <c r="F68" s="17">
        <f>SUMIF('P&amp;L - Monthly'!$3:$3,'P&amp;L - Yrly'!F$5,'P&amp;L - Monthly'!71:71)</f>
        <v>0</v>
      </c>
      <c r="G68" s="17">
        <f>SUMIF('P&amp;L - Monthly'!$3:$3,'P&amp;L - Yrly'!G$5,'P&amp;L - Monthly'!71:71)</f>
        <v>0</v>
      </c>
      <c r="H68" s="17">
        <f>SUMIF('P&amp;L - Monthly'!$3:$3,'P&amp;L - Yrly'!H$5,'P&amp;L - Monthly'!71:71)</f>
        <v>0</v>
      </c>
      <c r="I68" s="17"/>
      <c r="J68" s="16"/>
      <c r="K68" s="133"/>
      <c r="L68" s="17" t="e">
        <f>'P&amp;L - Qtrly'!#REF!</f>
        <v>#REF!</v>
      </c>
      <c r="M68" s="17">
        <v>69000</v>
      </c>
      <c r="N68" s="133" t="e">
        <f>L68-M68</f>
        <v>#REF!</v>
      </c>
      <c r="O68" s="16"/>
      <c r="P68" s="17">
        <f>D68</f>
        <v>0</v>
      </c>
      <c r="Q68" s="17">
        <v>366000</v>
      </c>
      <c r="R68" s="133">
        <f>P68-Q68</f>
        <v>-366000</v>
      </c>
      <c r="S68" s="307">
        <f>SUMIF('P&amp;L - Monthly'!$3:$3,'P&amp;L - Yrly'!S$5,'P&amp;L - Monthly'!71:71)</f>
        <v>0</v>
      </c>
      <c r="T68" s="307">
        <f>SUMIF('P&amp;L - Monthly'!$3:$3,'P&amp;L - Yrly'!T$5,'P&amp;L - Monthly'!71:71)</f>
        <v>0</v>
      </c>
      <c r="U68" s="307">
        <f>SUMIF('P&amp;L - Monthly'!$3:$3,'P&amp;L - Yrly'!U$5,'P&amp;L - Monthly'!71:71)</f>
        <v>0</v>
      </c>
    </row>
    <row r="69" spans="1:76" s="156" customFormat="1" x14ac:dyDescent="0.25">
      <c r="A69" s="16"/>
      <c r="B69" s="16"/>
      <c r="C69" s="40" t="s">
        <v>139</v>
      </c>
      <c r="D69" s="17">
        <f>SUMIF('P&amp;L - Monthly'!$3:$3,'P&amp;L - Yrly'!D$5,'P&amp;L - Monthly'!72:72)</f>
        <v>-488911.57999999996</v>
      </c>
      <c r="E69" s="17">
        <f>SUMIF('P&amp;L - Monthly'!$3:$3,'P&amp;L - Yrly'!E$5,'P&amp;L - Monthly'!72:72)</f>
        <v>2976688.41</v>
      </c>
      <c r="F69" s="17">
        <f>SUMIF('P&amp;L - Monthly'!$3:$3,'P&amp;L - Yrly'!F$5,'P&amp;L - Monthly'!72:72)</f>
        <v>2976688.41</v>
      </c>
      <c r="G69" s="17">
        <f>SUMIF('P&amp;L - Monthly'!$3:$3,'P&amp;L - Yrly'!G$5,'P&amp;L - Monthly'!72:72)</f>
        <v>3045650.9353622226</v>
      </c>
      <c r="H69" s="17">
        <f>SUMIF('P&amp;L - Monthly'!$3:$3,'P&amp;L - Yrly'!H$5,'P&amp;L - Monthly'!72:72)</f>
        <v>3130876.3202010798</v>
      </c>
      <c r="I69" s="17"/>
      <c r="J69" s="16"/>
      <c r="K69" s="133"/>
      <c r="L69" s="17" t="e">
        <f>'P&amp;L - Qtrly'!#REF!</f>
        <v>#REF!</v>
      </c>
      <c r="M69" s="17">
        <v>391208.91666666669</v>
      </c>
      <c r="N69" s="133" t="e">
        <f>L69-M69</f>
        <v>#REF!</v>
      </c>
      <c r="O69" s="16"/>
      <c r="P69" s="17">
        <f>D69</f>
        <v>-488911.57999999996</v>
      </c>
      <c r="Q69" s="17">
        <v>1619023.8333333333</v>
      </c>
      <c r="R69" s="133">
        <f>P69-Q69</f>
        <v>-2107935.4133333331</v>
      </c>
      <c r="S69" s="307">
        <f>SUMIF('P&amp;L - Monthly'!$3:$3,'P&amp;L - Yrly'!S$5,'P&amp;L - Monthly'!72:72)</f>
        <v>3045650.9353622226</v>
      </c>
      <c r="T69" s="307">
        <f>SUMIF('P&amp;L - Monthly'!$3:$3,'P&amp;L - Yrly'!T$5,'P&amp;L - Monthly'!72:72)</f>
        <v>3130876.3202010798</v>
      </c>
      <c r="U69" s="307">
        <f>SUMIF('P&amp;L - Monthly'!$3:$3,'P&amp;L - Yrly'!U$5,'P&amp;L - Monthly'!72:72)</f>
        <v>2865803.7976668989</v>
      </c>
    </row>
    <row r="70" spans="1:76" x14ac:dyDescent="0.25">
      <c r="B70" s="27"/>
      <c r="J70" s="16"/>
      <c r="O70" s="16"/>
      <c r="S70" s="437"/>
      <c r="T70" s="437"/>
      <c r="U70" s="437"/>
      <c r="V70" s="156"/>
      <c r="W70" s="156"/>
      <c r="X70" s="156"/>
      <c r="Y70" s="156"/>
      <c r="Z70" s="156"/>
      <c r="AA70" s="156"/>
      <c r="AB70" s="156"/>
      <c r="AC70" s="156"/>
      <c r="AD70" s="156"/>
      <c r="AE70" s="156"/>
      <c r="AF70" s="156"/>
      <c r="AG70" s="156"/>
      <c r="AH70" s="156"/>
      <c r="AI70" s="156"/>
      <c r="AJ70" s="156"/>
      <c r="AK70" s="156"/>
      <c r="AL70" s="156"/>
      <c r="AM70" s="156"/>
      <c r="AN70" s="156"/>
      <c r="AO70" s="156"/>
      <c r="AP70" s="156"/>
      <c r="AQ70" s="156"/>
      <c r="AR70" s="156"/>
      <c r="AS70" s="156"/>
      <c r="AT70" s="156"/>
      <c r="AU70" s="156"/>
      <c r="AV70" s="156"/>
      <c r="AW70" s="156"/>
      <c r="AX70" s="156"/>
      <c r="AY70" s="156"/>
      <c r="AZ70" s="156"/>
      <c r="BA70" s="156"/>
      <c r="BB70" s="156"/>
      <c r="BC70" s="156"/>
      <c r="BD70" s="156"/>
      <c r="BE70" s="156"/>
      <c r="BF70" s="156"/>
      <c r="BG70" s="156"/>
      <c r="BH70" s="156"/>
      <c r="BI70" s="156"/>
      <c r="BJ70" s="156"/>
      <c r="BK70" s="156"/>
      <c r="BL70" s="156"/>
      <c r="BM70" s="156"/>
      <c r="BN70" s="156"/>
      <c r="BO70" s="156"/>
      <c r="BP70" s="156"/>
      <c r="BQ70" s="156"/>
      <c r="BR70" s="156"/>
      <c r="BS70" s="156"/>
      <c r="BT70" s="156"/>
      <c r="BU70" s="156"/>
      <c r="BV70" s="156"/>
      <c r="BW70" s="156"/>
      <c r="BX70" s="156"/>
    </row>
    <row r="71" spans="1:76" ht="15.75" thickBot="1" x14ac:dyDescent="0.3">
      <c r="B71" s="50" t="s">
        <v>140</v>
      </c>
      <c r="C71" s="51"/>
      <c r="D71" s="53">
        <f>SUMIF('P&amp;L - Monthly'!$3:$3,'P&amp;L - Yrly'!D$5,'P&amp;L - Monthly'!74:74)</f>
        <v>4569929.1414681384</v>
      </c>
      <c r="E71" s="53">
        <f>SUMIF('P&amp;L - Monthly'!$3:$3,'P&amp;L - Yrly'!E$5,'P&amp;L - Monthly'!74:74)</f>
        <v>-2542739.8899999987</v>
      </c>
      <c r="F71" s="53">
        <f>SUMIF('P&amp;L - Monthly'!$3:$3,'P&amp;L - Yrly'!F$5,'P&amp;L - Monthly'!74:74)</f>
        <v>-2542739.8899999987</v>
      </c>
      <c r="G71" s="53">
        <f ca="1">SUMIF('P&amp;L - Monthly'!$3:$3,'P&amp;L - Yrly'!G$5,'P&amp;L - Monthly'!74:74)</f>
        <v>-4540719.3774058623</v>
      </c>
      <c r="H71" s="53">
        <f ca="1">SUMIF('P&amp;L - Monthly'!$3:$3,'P&amp;L - Yrly'!H$5,'P&amp;L - Monthly'!74:74)</f>
        <v>10992215.97266469</v>
      </c>
      <c r="I71" s="53"/>
      <c r="J71" s="53"/>
      <c r="K71" s="53"/>
      <c r="L71" s="53" t="e">
        <f>'P&amp;L - Qtrly'!#REF!</f>
        <v>#REF!</v>
      </c>
      <c r="M71" s="53">
        <v>-4864439.9388908027</v>
      </c>
      <c r="N71" s="53" t="e">
        <f>L71-M71</f>
        <v>#REF!</v>
      </c>
      <c r="O71" s="53"/>
      <c r="P71" s="53">
        <f>D71</f>
        <v>4569929.1414681384</v>
      </c>
      <c r="Q71" s="53">
        <v>-3757403.3684660681</v>
      </c>
      <c r="R71" s="53">
        <f>P71-Q71</f>
        <v>8327332.5099342065</v>
      </c>
      <c r="S71" s="53">
        <f ca="1">SUMIF('P&amp;L - Monthly'!$3:$3,'P&amp;L - Yrly'!S$5,'P&amp;L - Monthly'!74:74)</f>
        <v>-4540719.3774058623</v>
      </c>
      <c r="T71" s="53">
        <f ca="1">SUMIF('P&amp;L - Monthly'!$3:$3,'P&amp;L - Yrly'!T$5,'P&amp;L - Monthly'!74:74)</f>
        <v>10992215.97266469</v>
      </c>
      <c r="U71" s="53">
        <f ca="1">SUMIF('P&amp;L - Monthly'!$3:$3,'P&amp;L - Yrly'!U$5,'P&amp;L - Monthly'!74:74)</f>
        <v>-24111384.581968311</v>
      </c>
      <c r="V71" s="84"/>
      <c r="W71" s="84"/>
      <c r="X71" s="84"/>
      <c r="Y71" s="84"/>
      <c r="Z71" s="84"/>
      <c r="AA71" s="84"/>
      <c r="AB71" s="84"/>
      <c r="AC71" s="84"/>
      <c r="AD71" s="84"/>
      <c r="AE71" s="84"/>
      <c r="AF71" s="84"/>
      <c r="AG71" s="84"/>
      <c r="AH71" s="84"/>
      <c r="AI71" s="84"/>
      <c r="AJ71" s="84"/>
      <c r="AK71" s="84"/>
      <c r="AL71" s="84"/>
      <c r="AM71" s="84"/>
      <c r="AN71" s="84"/>
      <c r="AO71" s="84"/>
      <c r="AP71" s="84"/>
      <c r="AQ71" s="84"/>
      <c r="AR71" s="84"/>
      <c r="AS71" s="84"/>
      <c r="AT71" s="84"/>
      <c r="AU71" s="84"/>
      <c r="AV71" s="84"/>
      <c r="AW71" s="84"/>
      <c r="AX71" s="84"/>
      <c r="AY71" s="84"/>
      <c r="AZ71" s="84"/>
      <c r="BA71" s="84"/>
      <c r="BB71" s="84"/>
      <c r="BC71" s="84"/>
      <c r="BD71" s="84"/>
      <c r="BE71" s="84"/>
      <c r="BF71" s="84"/>
      <c r="BG71" s="84"/>
      <c r="BH71" s="84"/>
      <c r="BI71" s="84"/>
      <c r="BJ71" s="84"/>
      <c r="BK71" s="84"/>
      <c r="BL71" s="84"/>
      <c r="BM71" s="84"/>
      <c r="BN71" s="84"/>
      <c r="BO71" s="84"/>
      <c r="BP71" s="84"/>
      <c r="BQ71" s="84"/>
      <c r="BR71" s="84"/>
      <c r="BS71" s="84"/>
      <c r="BT71" s="84"/>
      <c r="BU71" s="84"/>
      <c r="BV71" s="156"/>
      <c r="BW71" s="156"/>
      <c r="BX71" s="156"/>
    </row>
    <row r="72" spans="1:76" x14ac:dyDescent="0.25">
      <c r="B72" s="27"/>
      <c r="J72" s="16"/>
      <c r="O72" s="16"/>
      <c r="S72" s="437"/>
      <c r="T72" s="437"/>
      <c r="U72" s="437"/>
      <c r="V72" s="156"/>
      <c r="W72" s="156"/>
      <c r="X72" s="156"/>
      <c r="Y72" s="156"/>
      <c r="Z72" s="156"/>
      <c r="AA72" s="156"/>
      <c r="AB72" s="156"/>
      <c r="AC72" s="156"/>
      <c r="AD72" s="156"/>
      <c r="AE72" s="156"/>
      <c r="AF72" s="156"/>
      <c r="AG72" s="156"/>
      <c r="AH72" s="156"/>
      <c r="AI72" s="156"/>
      <c r="AJ72" s="156"/>
      <c r="AK72" s="156"/>
      <c r="AL72" s="156"/>
      <c r="AM72" s="156"/>
      <c r="AN72" s="156"/>
      <c r="AO72" s="156"/>
      <c r="AP72" s="156"/>
      <c r="AQ72" s="156"/>
      <c r="AR72" s="156"/>
      <c r="AS72" s="156"/>
      <c r="AT72" s="156"/>
      <c r="AU72" s="156"/>
      <c r="AV72" s="156"/>
      <c r="AW72" s="156"/>
      <c r="AX72" s="156"/>
      <c r="AY72" s="156"/>
      <c r="AZ72" s="156"/>
      <c r="BA72" s="156"/>
      <c r="BB72" s="156"/>
      <c r="BC72" s="156"/>
      <c r="BD72" s="156"/>
      <c r="BE72" s="156"/>
      <c r="BF72" s="156"/>
      <c r="BG72" s="156"/>
      <c r="BH72" s="156"/>
      <c r="BI72" s="156"/>
      <c r="BJ72" s="156"/>
      <c r="BK72" s="156"/>
      <c r="BL72" s="156"/>
      <c r="BM72" s="156"/>
      <c r="BN72" s="156"/>
      <c r="BO72" s="156"/>
      <c r="BP72" s="156"/>
      <c r="BQ72" s="156"/>
      <c r="BR72" s="156"/>
      <c r="BS72" s="156"/>
      <c r="BT72" s="156"/>
      <c r="BU72" s="156"/>
      <c r="BV72" s="156"/>
      <c r="BW72" s="156"/>
      <c r="BX72" s="156"/>
    </row>
    <row r="73" spans="1:76" x14ac:dyDescent="0.25">
      <c r="C73" s="150" t="s">
        <v>173</v>
      </c>
      <c r="D73" s="17">
        <f>SUMIF('P&amp;L - Monthly'!$3:$3,'P&amp;L - Yrly'!D$5,'P&amp;L - Monthly'!76:76)</f>
        <v>37049</v>
      </c>
      <c r="E73" s="17">
        <f>SUMIF('P&amp;L - Monthly'!$3:$3,'P&amp;L - Yrly'!E$5,'P&amp;L - Monthly'!76:76)</f>
        <v>1255213.9199999997</v>
      </c>
      <c r="F73" s="17">
        <f>SUMIF('P&amp;L - Monthly'!$3:$3,'P&amp;L - Yrly'!F$5,'P&amp;L - Monthly'!76:76)</f>
        <v>1255213.9199999997</v>
      </c>
      <c r="G73" s="17">
        <f>SUMIF('P&amp;L - Monthly'!$3:$3,'P&amp;L - Yrly'!G$5,'P&amp;L - Monthly'!76:76)</f>
        <v>1228503.2608038087</v>
      </c>
      <c r="H73" s="17">
        <f>SUMIF('P&amp;L - Monthly'!$3:$3,'P&amp;L - Yrly'!H$5,'P&amp;L - Monthly'!76:76)</f>
        <v>1158518.6487352776</v>
      </c>
      <c r="I73" s="17"/>
      <c r="J73" s="16"/>
      <c r="L73" s="17" t="e">
        <f>'P&amp;L - Qtrly'!#REF!</f>
        <v>#REF!</v>
      </c>
      <c r="M73" s="17">
        <v>45000.000000000007</v>
      </c>
      <c r="N73" s="133" t="e">
        <f>L73-M73</f>
        <v>#REF!</v>
      </c>
      <c r="O73" s="16"/>
      <c r="P73" s="17">
        <f>D73</f>
        <v>37049</v>
      </c>
      <c r="Q73" s="17">
        <v>199999.99999999997</v>
      </c>
      <c r="R73" s="133">
        <f>P73-Q73</f>
        <v>-162950.99999999997</v>
      </c>
      <c r="S73" s="307">
        <f>SUMIF('P&amp;L - Monthly'!$3:$3,'P&amp;L - Yrly'!S$5,'P&amp;L - Monthly'!76:76)</f>
        <v>1228503.2608038087</v>
      </c>
      <c r="T73" s="307">
        <f>SUMIF('P&amp;L - Monthly'!$3:$3,'P&amp;L - Yrly'!T$5,'P&amp;L - Monthly'!76:76)</f>
        <v>1158518.6487352776</v>
      </c>
      <c r="U73" s="307">
        <f>SUMIF('P&amp;L - Monthly'!$3:$3,'P&amp;L - Yrly'!U$5,'P&amp;L - Monthly'!76:76)</f>
        <v>1164567.9032524</v>
      </c>
      <c r="V73" s="156"/>
      <c r="W73" s="156"/>
      <c r="X73" s="156"/>
      <c r="Y73" s="156"/>
      <c r="Z73" s="156"/>
      <c r="AA73" s="156"/>
      <c r="AB73" s="156"/>
      <c r="AC73" s="156"/>
      <c r="AD73" s="156"/>
      <c r="AE73" s="156"/>
      <c r="AF73" s="156"/>
      <c r="AG73" s="156"/>
      <c r="AH73" s="156"/>
      <c r="AI73" s="156"/>
      <c r="AJ73" s="156"/>
      <c r="AK73" s="156"/>
      <c r="AL73" s="156"/>
      <c r="AM73" s="156"/>
      <c r="AN73" s="156"/>
      <c r="AO73" s="156"/>
      <c r="AP73" s="156"/>
      <c r="AQ73" s="156"/>
      <c r="AR73" s="156"/>
      <c r="AS73" s="156"/>
      <c r="AT73" s="156"/>
      <c r="AU73" s="156"/>
      <c r="AV73" s="156"/>
      <c r="AW73" s="156"/>
      <c r="AX73" s="156"/>
      <c r="AY73" s="156"/>
      <c r="AZ73" s="156"/>
      <c r="BA73" s="156"/>
      <c r="BB73" s="156"/>
      <c r="BC73" s="156"/>
      <c r="BD73" s="156"/>
      <c r="BE73" s="156"/>
      <c r="BF73" s="156"/>
      <c r="BG73" s="156"/>
      <c r="BH73" s="156"/>
      <c r="BI73" s="156"/>
      <c r="BJ73" s="156"/>
      <c r="BK73" s="156"/>
      <c r="BL73" s="156"/>
      <c r="BM73" s="156"/>
      <c r="BN73" s="156"/>
      <c r="BO73" s="156"/>
      <c r="BP73" s="156"/>
      <c r="BQ73" s="156"/>
      <c r="BR73" s="156"/>
      <c r="BS73" s="156"/>
      <c r="BT73" s="156"/>
      <c r="BU73" s="156"/>
      <c r="BV73" s="156"/>
      <c r="BW73" s="156"/>
      <c r="BX73" s="156"/>
    </row>
    <row r="74" spans="1:76" x14ac:dyDescent="0.25">
      <c r="B74" s="27"/>
      <c r="J74" s="16"/>
      <c r="O74" s="16"/>
      <c r="S74" s="437"/>
      <c r="T74" s="437"/>
      <c r="U74" s="437"/>
      <c r="V74" s="156"/>
      <c r="W74" s="156"/>
      <c r="X74" s="156"/>
      <c r="Y74" s="156"/>
      <c r="Z74" s="156"/>
      <c r="AA74" s="156"/>
      <c r="AB74" s="156"/>
      <c r="AC74" s="156"/>
      <c r="AD74" s="156"/>
      <c r="AE74" s="156"/>
      <c r="AF74" s="156"/>
      <c r="AG74" s="156"/>
      <c r="AH74" s="156"/>
      <c r="AI74" s="156"/>
      <c r="AJ74" s="156"/>
      <c r="AK74" s="156"/>
      <c r="AL74" s="156"/>
      <c r="AM74" s="156"/>
      <c r="AN74" s="156"/>
      <c r="AO74" s="156"/>
      <c r="AP74" s="156"/>
      <c r="AQ74" s="156"/>
      <c r="AR74" s="156"/>
      <c r="AS74" s="156"/>
      <c r="AT74" s="156"/>
      <c r="AU74" s="156"/>
      <c r="AV74" s="156"/>
      <c r="AW74" s="156"/>
      <c r="AX74" s="156"/>
      <c r="AY74" s="156"/>
      <c r="AZ74" s="156"/>
      <c r="BA74" s="156"/>
      <c r="BB74" s="156"/>
      <c r="BC74" s="156"/>
      <c r="BD74" s="156"/>
      <c r="BE74" s="156"/>
      <c r="BF74" s="156"/>
      <c r="BG74" s="156"/>
      <c r="BH74" s="156"/>
      <c r="BI74" s="156"/>
      <c r="BJ74" s="156"/>
      <c r="BK74" s="156"/>
      <c r="BL74" s="156"/>
      <c r="BM74" s="156"/>
      <c r="BN74" s="156"/>
      <c r="BO74" s="156"/>
      <c r="BP74" s="156"/>
      <c r="BQ74" s="156"/>
      <c r="BR74" s="156"/>
      <c r="BS74" s="156"/>
      <c r="BT74" s="156"/>
      <c r="BU74" s="156"/>
      <c r="BV74" s="156"/>
      <c r="BW74" s="156"/>
      <c r="BX74" s="156"/>
    </row>
    <row r="75" spans="1:76" ht="15.75" thickBot="1" x14ac:dyDescent="0.3">
      <c r="B75" s="50" t="s">
        <v>141</v>
      </c>
      <c r="C75" s="51"/>
      <c r="D75" s="53">
        <f>SUMIF('P&amp;L - Monthly'!$3:$3,'P&amp;L - Yrly'!D$5,'P&amp;L - Monthly'!78:78)</f>
        <v>4606978.1414681384</v>
      </c>
      <c r="E75" s="53">
        <f>SUMIF('P&amp;L - Monthly'!$3:$3,'P&amp;L - Yrly'!E$5,'P&amp;L - Monthly'!78:78)</f>
        <v>-3797953.8099999987</v>
      </c>
      <c r="F75" s="53">
        <f>SUMIF('P&amp;L - Monthly'!$3:$3,'P&amp;L - Yrly'!F$5,'P&amp;L - Monthly'!78:78)</f>
        <v>-3797953.8099999987</v>
      </c>
      <c r="G75" s="53">
        <f ca="1">SUMIF('P&amp;L - Monthly'!$3:$3,'P&amp;L - Yrly'!G$5,'P&amp;L - Monthly'!78:78)</f>
        <v>-5769222.6382096717</v>
      </c>
      <c r="H75" s="53">
        <f ca="1">SUMIF('P&amp;L - Monthly'!$3:$3,'P&amp;L - Yrly'!H$5,'P&amp;L - Monthly'!78:78)</f>
        <v>9833697.3239294104</v>
      </c>
      <c r="I75" s="53"/>
      <c r="J75" s="53"/>
      <c r="K75" s="53"/>
      <c r="L75" s="53" t="e">
        <f>'P&amp;L - Qtrly'!#REF!</f>
        <v>#REF!</v>
      </c>
      <c r="M75" s="53">
        <v>-4819439.9388908027</v>
      </c>
      <c r="N75" s="53" t="e">
        <f>L75-M75</f>
        <v>#REF!</v>
      </c>
      <c r="O75" s="53"/>
      <c r="P75" s="53">
        <f>D75</f>
        <v>4606978.1414681384</v>
      </c>
      <c r="Q75" s="53">
        <v>-3557403.3684660676</v>
      </c>
      <c r="R75" s="53">
        <f>P75-Q75</f>
        <v>8164381.5099342056</v>
      </c>
      <c r="S75" s="53">
        <f ca="1">SUMIF('P&amp;L - Monthly'!$3:$3,'P&amp;L - Yrly'!S$5,'P&amp;L - Monthly'!78:78)</f>
        <v>-5769222.6382096717</v>
      </c>
      <c r="T75" s="53">
        <f ca="1">SUMIF('P&amp;L - Monthly'!$3:$3,'P&amp;L - Yrly'!T$5,'P&amp;L - Monthly'!78:78)</f>
        <v>9833697.3239294104</v>
      </c>
      <c r="U75" s="53">
        <f ca="1">SUMIF('P&amp;L - Monthly'!$3:$3,'P&amp;L - Yrly'!U$5,'P&amp;L - Monthly'!78:78)</f>
        <v>-25275952.485220719</v>
      </c>
      <c r="V75" s="84"/>
      <c r="W75" s="84"/>
      <c r="X75" s="84"/>
      <c r="Y75" s="84"/>
      <c r="Z75" s="84"/>
      <c r="AA75" s="84"/>
      <c r="AB75" s="84"/>
      <c r="AC75" s="84"/>
      <c r="AD75" s="84"/>
      <c r="AE75" s="84"/>
      <c r="AF75" s="84"/>
      <c r="AG75" s="84"/>
      <c r="AH75" s="84"/>
      <c r="AI75" s="84"/>
      <c r="AJ75" s="84"/>
      <c r="AK75" s="84"/>
      <c r="AL75" s="84"/>
      <c r="AM75" s="84"/>
      <c r="AN75" s="84"/>
      <c r="AO75" s="84"/>
      <c r="AP75" s="84"/>
      <c r="AQ75" s="84"/>
      <c r="AR75" s="84"/>
      <c r="AS75" s="84"/>
      <c r="AT75" s="84"/>
      <c r="AU75" s="84"/>
      <c r="AV75" s="84"/>
      <c r="AW75" s="84"/>
      <c r="AX75" s="84"/>
      <c r="AY75" s="84"/>
      <c r="AZ75" s="84"/>
      <c r="BA75" s="84"/>
      <c r="BB75" s="84"/>
      <c r="BC75" s="84"/>
      <c r="BD75" s="84"/>
      <c r="BE75" s="84"/>
      <c r="BF75" s="84"/>
      <c r="BG75" s="84"/>
      <c r="BH75" s="84"/>
      <c r="BI75" s="84"/>
      <c r="BJ75" s="84"/>
      <c r="BK75" s="84"/>
      <c r="BL75" s="84"/>
      <c r="BM75" s="84"/>
      <c r="BN75" s="84"/>
      <c r="BO75" s="84"/>
      <c r="BP75" s="84"/>
      <c r="BQ75" s="84"/>
      <c r="BR75" s="84"/>
      <c r="BS75" s="84"/>
      <c r="BT75" s="84"/>
      <c r="BU75" s="84"/>
      <c r="BV75" s="156"/>
      <c r="BW75" s="156"/>
      <c r="BX75" s="156"/>
    </row>
    <row r="76" spans="1:76" x14ac:dyDescent="0.25">
      <c r="B76" s="27"/>
      <c r="J76" s="16"/>
      <c r="O76" s="16"/>
      <c r="S76" s="437"/>
      <c r="T76" s="437"/>
      <c r="U76" s="437"/>
      <c r="V76" s="156"/>
      <c r="W76" s="156"/>
      <c r="X76" s="156"/>
      <c r="Y76" s="156"/>
      <c r="Z76" s="156"/>
      <c r="AA76" s="156"/>
      <c r="AB76" s="156"/>
      <c r="AC76" s="156"/>
      <c r="AD76" s="156"/>
      <c r="AE76" s="156"/>
      <c r="AF76" s="156"/>
      <c r="AG76" s="156"/>
      <c r="AH76" s="156"/>
      <c r="AI76" s="156"/>
      <c r="AJ76" s="156"/>
      <c r="AK76" s="156"/>
      <c r="AL76" s="156"/>
      <c r="AM76" s="156"/>
      <c r="AN76" s="156"/>
      <c r="AO76" s="156"/>
      <c r="AP76" s="156"/>
      <c r="AQ76" s="156"/>
      <c r="AR76" s="156"/>
      <c r="AS76" s="156"/>
      <c r="AT76" s="156"/>
      <c r="AU76" s="156"/>
      <c r="AV76" s="156"/>
      <c r="AW76" s="156"/>
      <c r="AX76" s="156"/>
      <c r="AY76" s="156"/>
      <c r="AZ76" s="156"/>
      <c r="BA76" s="156"/>
      <c r="BB76" s="156"/>
      <c r="BC76" s="156"/>
      <c r="BD76" s="156"/>
      <c r="BE76" s="156"/>
      <c r="BF76" s="156"/>
      <c r="BG76" s="156"/>
      <c r="BH76" s="156"/>
      <c r="BI76" s="156"/>
      <c r="BJ76" s="156"/>
      <c r="BK76" s="156"/>
      <c r="BL76" s="156"/>
      <c r="BM76" s="156"/>
      <c r="BN76" s="156"/>
      <c r="BO76" s="156"/>
      <c r="BP76" s="156"/>
      <c r="BQ76" s="156"/>
      <c r="BR76" s="156"/>
      <c r="BS76" s="156"/>
      <c r="BT76" s="156"/>
      <c r="BU76" s="156"/>
      <c r="BV76" s="156"/>
      <c r="BW76" s="156"/>
      <c r="BX76" s="156"/>
    </row>
    <row r="77" spans="1:76" x14ac:dyDescent="0.25">
      <c r="C77" s="40" t="s">
        <v>142</v>
      </c>
      <c r="D77" s="17">
        <f>SUMIF('P&amp;L - Monthly'!$3:$3,'P&amp;L - Yrly'!D$5,'P&amp;L - Monthly'!80:80)</f>
        <v>0</v>
      </c>
      <c r="E77" s="17">
        <f>SUMIF('P&amp;L - Monthly'!$3:$3,'P&amp;L - Yrly'!E$5,'P&amp;L - Monthly'!80:80)</f>
        <v>0</v>
      </c>
      <c r="F77" s="17">
        <f>SUMIF('P&amp;L - Monthly'!$3:$3,'P&amp;L - Yrly'!F$5,'P&amp;L - Monthly'!80:80)</f>
        <v>0</v>
      </c>
      <c r="G77" s="17">
        <f>SUMIF('P&amp;L - Monthly'!$3:$3,'P&amp;L - Yrly'!G$5,'P&amp;L - Monthly'!80:80)</f>
        <v>0</v>
      </c>
      <c r="H77" s="17">
        <f>SUMIF('P&amp;L - Monthly'!$3:$3,'P&amp;L - Yrly'!H$5,'P&amp;L - Monthly'!80:80)</f>
        <v>0</v>
      </c>
      <c r="I77" s="17"/>
      <c r="J77" s="16"/>
      <c r="L77" s="17" t="e">
        <f>'P&amp;L - Qtrly'!#REF!</f>
        <v>#REF!</v>
      </c>
      <c r="M77" s="17">
        <v>0</v>
      </c>
      <c r="N77" s="133" t="e">
        <f>L77-M77</f>
        <v>#REF!</v>
      </c>
      <c r="O77" s="16"/>
      <c r="P77" s="17">
        <f>D77</f>
        <v>0</v>
      </c>
      <c r="Q77" s="17">
        <v>0</v>
      </c>
      <c r="R77" s="133">
        <f>P77-Q77</f>
        <v>0</v>
      </c>
      <c r="S77" s="307">
        <f>SUMIF('P&amp;L - Monthly'!$3:$3,'P&amp;L - Yrly'!S$5,'P&amp;L - Monthly'!80:80)</f>
        <v>0</v>
      </c>
      <c r="T77" s="307">
        <f>SUMIF('P&amp;L - Monthly'!$3:$3,'P&amp;L - Yrly'!T$5,'P&amp;L - Monthly'!80:80)</f>
        <v>0</v>
      </c>
      <c r="U77" s="307">
        <f>SUMIF('P&amp;L - Monthly'!$3:$3,'P&amp;L - Yrly'!U$5,'P&amp;L - Monthly'!80:80)</f>
        <v>0</v>
      </c>
      <c r="V77" s="156"/>
      <c r="W77" s="156"/>
      <c r="X77" s="156"/>
      <c r="Y77" s="156"/>
      <c r="Z77" s="156"/>
      <c r="AA77" s="156"/>
      <c r="AB77" s="156"/>
      <c r="AC77" s="156"/>
      <c r="AD77" s="156"/>
      <c r="AE77" s="156"/>
      <c r="AF77" s="156"/>
      <c r="AG77" s="156"/>
      <c r="AH77" s="156"/>
      <c r="AI77" s="156"/>
      <c r="AJ77" s="156"/>
      <c r="AK77" s="156"/>
      <c r="AL77" s="156"/>
      <c r="AM77" s="156"/>
      <c r="AN77" s="156"/>
      <c r="AO77" s="156"/>
      <c r="AP77" s="156"/>
      <c r="AQ77" s="156"/>
      <c r="AR77" s="156"/>
      <c r="AS77" s="156"/>
      <c r="AT77" s="156"/>
      <c r="AU77" s="156"/>
      <c r="AV77" s="156"/>
      <c r="AW77" s="156"/>
      <c r="AX77" s="156"/>
      <c r="AY77" s="156"/>
      <c r="AZ77" s="156"/>
      <c r="BA77" s="156"/>
      <c r="BB77" s="156"/>
      <c r="BC77" s="156"/>
      <c r="BD77" s="156"/>
      <c r="BE77" s="156"/>
      <c r="BF77" s="156"/>
      <c r="BG77" s="156"/>
      <c r="BH77" s="156"/>
      <c r="BI77" s="156"/>
      <c r="BJ77" s="156"/>
      <c r="BK77" s="156"/>
      <c r="BL77" s="156"/>
      <c r="BM77" s="156"/>
      <c r="BN77" s="156"/>
      <c r="BO77" s="156"/>
      <c r="BP77" s="156"/>
      <c r="BQ77" s="156"/>
      <c r="BR77" s="156"/>
      <c r="BS77" s="156"/>
      <c r="BT77" s="156"/>
      <c r="BU77" s="156"/>
      <c r="BV77" s="156"/>
      <c r="BW77" s="156"/>
      <c r="BX77" s="156"/>
    </row>
    <row r="78" spans="1:76" x14ac:dyDescent="0.25">
      <c r="B78" s="27"/>
      <c r="J78" s="16"/>
      <c r="O78" s="16"/>
      <c r="S78" s="437"/>
      <c r="T78" s="437"/>
      <c r="U78" s="437"/>
      <c r="V78" s="156"/>
      <c r="W78" s="156"/>
      <c r="X78" s="156"/>
      <c r="Y78" s="156"/>
      <c r="Z78" s="156"/>
      <c r="AA78" s="156"/>
      <c r="AB78" s="156"/>
      <c r="AC78" s="156"/>
      <c r="AD78" s="156"/>
      <c r="AE78" s="156"/>
      <c r="AF78" s="156"/>
      <c r="AG78" s="156"/>
      <c r="AH78" s="156"/>
      <c r="AI78" s="156"/>
      <c r="AJ78" s="156"/>
      <c r="AK78" s="156"/>
      <c r="AL78" s="156"/>
      <c r="AM78" s="156"/>
      <c r="AN78" s="156"/>
      <c r="AO78" s="156"/>
      <c r="AP78" s="156"/>
      <c r="AQ78" s="156"/>
      <c r="AR78" s="156"/>
      <c r="AS78" s="156"/>
      <c r="AT78" s="156"/>
      <c r="AU78" s="156"/>
      <c r="AV78" s="156"/>
      <c r="AW78" s="156"/>
      <c r="AX78" s="156"/>
      <c r="AY78" s="156"/>
      <c r="AZ78" s="156"/>
      <c r="BA78" s="156"/>
      <c r="BB78" s="156"/>
      <c r="BC78" s="156"/>
      <c r="BD78" s="156"/>
      <c r="BE78" s="156"/>
      <c r="BF78" s="156"/>
      <c r="BG78" s="156"/>
      <c r="BH78" s="156"/>
      <c r="BI78" s="156"/>
      <c r="BJ78" s="156"/>
      <c r="BK78" s="156"/>
      <c r="BL78" s="156"/>
      <c r="BM78" s="156"/>
      <c r="BN78" s="156"/>
      <c r="BO78" s="156"/>
      <c r="BP78" s="156"/>
      <c r="BQ78" s="156"/>
      <c r="BR78" s="156"/>
      <c r="BS78" s="156"/>
      <c r="BT78" s="156"/>
      <c r="BU78" s="156"/>
      <c r="BV78" s="156"/>
      <c r="BW78" s="156"/>
      <c r="BX78" s="156"/>
    </row>
    <row r="79" spans="1:76" ht="15.75" thickBot="1" x14ac:dyDescent="0.3">
      <c r="B79" s="50" t="s">
        <v>112</v>
      </c>
      <c r="C79" s="51"/>
      <c r="D79" s="53">
        <f>SUMIF('P&amp;L - Monthly'!$3:$3,'P&amp;L - Yrly'!D$5,'P&amp;L - Monthly'!82:82)</f>
        <v>4606978.1414681384</v>
      </c>
      <c r="E79" s="53">
        <f>SUMIF('P&amp;L - Monthly'!$3:$3,'P&amp;L - Yrly'!E$5,'P&amp;L - Monthly'!82:82)</f>
        <v>-3797953.8099999987</v>
      </c>
      <c r="F79" s="53">
        <f>SUMIF('P&amp;L - Monthly'!$3:$3,'P&amp;L - Yrly'!F$5,'P&amp;L - Monthly'!82:82)</f>
        <v>-3797953.8099999987</v>
      </c>
      <c r="G79" s="53">
        <f ca="1">SUMIF('P&amp;L - Monthly'!$3:$3,'P&amp;L - Yrly'!G$5,'P&amp;L - Monthly'!82:82)</f>
        <v>-5769222.6382096717</v>
      </c>
      <c r="H79" s="53">
        <f ca="1">SUMIF('P&amp;L - Monthly'!$3:$3,'P&amp;L - Yrly'!H$5,'P&amp;L - Monthly'!82:82)</f>
        <v>9833697.3239294104</v>
      </c>
      <c r="I79" s="53"/>
      <c r="J79" s="53"/>
      <c r="K79" s="53"/>
      <c r="L79" s="53" t="e">
        <f>'P&amp;L - Qtrly'!#REF!</f>
        <v>#REF!</v>
      </c>
      <c r="M79" s="53">
        <v>-4819439.9388908027</v>
      </c>
      <c r="N79" s="53" t="e">
        <f>L79-M79</f>
        <v>#REF!</v>
      </c>
      <c r="O79" s="53"/>
      <c r="P79" s="53">
        <f>D79</f>
        <v>4606978.1414681384</v>
      </c>
      <c r="Q79" s="53">
        <v>-3557403.3684660676</v>
      </c>
      <c r="R79" s="53">
        <f>P79-Q79</f>
        <v>8164381.5099342056</v>
      </c>
      <c r="S79" s="53">
        <f ca="1">SUMIF('P&amp;L - Monthly'!$3:$3,'P&amp;L - Yrly'!S$5,'P&amp;L - Monthly'!82:82)</f>
        <v>-5769222.6382096717</v>
      </c>
      <c r="T79" s="53">
        <f ca="1">SUMIF('P&amp;L - Monthly'!$3:$3,'P&amp;L - Yrly'!T$5,'P&amp;L - Monthly'!82:82)</f>
        <v>9833697.3239294104</v>
      </c>
      <c r="U79" s="53">
        <f ca="1">SUMIF('P&amp;L - Monthly'!$3:$3,'P&amp;L - Yrly'!U$5,'P&amp;L - Monthly'!82:82)</f>
        <v>-25275952.485220719</v>
      </c>
      <c r="V79" s="84"/>
      <c r="W79" s="84"/>
      <c r="X79" s="84"/>
      <c r="Y79" s="84"/>
      <c r="Z79" s="84"/>
      <c r="AA79" s="84"/>
      <c r="AB79" s="84"/>
      <c r="AC79" s="84"/>
      <c r="AD79" s="84"/>
      <c r="AE79" s="84"/>
      <c r="AF79" s="84"/>
      <c r="AG79" s="84"/>
      <c r="AH79" s="84"/>
      <c r="AI79" s="84"/>
      <c r="AJ79" s="84"/>
      <c r="AK79" s="84"/>
      <c r="AL79" s="84"/>
      <c r="AM79" s="84"/>
      <c r="AN79" s="84"/>
      <c r="AO79" s="84"/>
      <c r="AP79" s="84"/>
      <c r="AQ79" s="84"/>
      <c r="AR79" s="84"/>
      <c r="AS79" s="84"/>
      <c r="AT79" s="84"/>
      <c r="AU79" s="84"/>
      <c r="AV79" s="84"/>
      <c r="AW79" s="84"/>
      <c r="AX79" s="84"/>
      <c r="AY79" s="84"/>
      <c r="AZ79" s="84"/>
      <c r="BA79" s="84"/>
      <c r="BB79" s="84"/>
      <c r="BC79" s="84"/>
      <c r="BD79" s="84"/>
      <c r="BE79" s="84"/>
      <c r="BF79" s="84"/>
      <c r="BG79" s="84"/>
      <c r="BH79" s="84"/>
      <c r="BI79" s="84"/>
      <c r="BJ79" s="84"/>
      <c r="BK79" s="84"/>
      <c r="BL79" s="84"/>
      <c r="BM79" s="84"/>
      <c r="BN79" s="84"/>
      <c r="BO79" s="84"/>
      <c r="BP79" s="84"/>
      <c r="BQ79" s="84"/>
      <c r="BR79" s="84"/>
      <c r="BS79" s="84"/>
      <c r="BT79" s="84"/>
      <c r="BU79" s="84"/>
      <c r="BV79" s="156"/>
      <c r="BW79" s="156"/>
      <c r="BX79" s="156"/>
    </row>
  </sheetData>
  <conditionalFormatting sqref="D6:I6 D62:E62 L25:N28 P25:R28 D25:I28 L37:N38 P37:R38 D37:I38 D42:I43 L42:N43 P42:R43 L47:N59 P47:U59 D47:I59">
    <cfRule type="expression" dxfId="93" priority="178">
      <formula>D$6="Actual"</formula>
    </cfRule>
  </conditionalFormatting>
  <conditionalFormatting sqref="D19:I19 D6:I6 D10:U15">
    <cfRule type="expression" dxfId="92" priority="177">
      <formula>D$6="Actual"</formula>
    </cfRule>
  </conditionalFormatting>
  <conditionalFormatting sqref="D62:I62">
    <cfRule type="expression" dxfId="91" priority="173">
      <formula>D$6="Actual"</formula>
    </cfRule>
  </conditionalFormatting>
  <conditionalFormatting sqref="D68:I69">
    <cfRule type="expression" dxfId="90" priority="170">
      <formula>D$6="Actual"</formula>
    </cfRule>
  </conditionalFormatting>
  <conditionalFormatting sqref="D73:I73">
    <cfRule type="expression" dxfId="89" priority="167">
      <formula>D$6="Actual"</formula>
    </cfRule>
  </conditionalFormatting>
  <conditionalFormatting sqref="D77:I77">
    <cfRule type="expression" dxfId="88" priority="164">
      <formula>D$6="Actual"</formula>
    </cfRule>
  </conditionalFormatting>
  <conditionalFormatting sqref="D18:I18">
    <cfRule type="expression" dxfId="87" priority="150">
      <formula>D$6="Actual"</formula>
    </cfRule>
  </conditionalFormatting>
  <conditionalFormatting sqref="M6">
    <cfRule type="expression" dxfId="86" priority="141">
      <formula>M$6="Actual"</formula>
    </cfRule>
  </conditionalFormatting>
  <conditionalFormatting sqref="M19 M6">
    <cfRule type="expression" dxfId="85" priority="140">
      <formula>M$6="Actual"</formula>
    </cfRule>
  </conditionalFormatting>
  <conditionalFormatting sqref="M62">
    <cfRule type="expression" dxfId="84" priority="139">
      <formula>M$6="Actual"</formula>
    </cfRule>
  </conditionalFormatting>
  <conditionalFormatting sqref="M62">
    <cfRule type="expression" dxfId="83" priority="138">
      <formula>M$6="Actual"</formula>
    </cfRule>
  </conditionalFormatting>
  <conditionalFormatting sqref="M62">
    <cfRule type="expression" dxfId="82" priority="137">
      <formula>M$6="Actual"</formula>
    </cfRule>
  </conditionalFormatting>
  <conditionalFormatting sqref="M19">
    <cfRule type="expression" dxfId="81" priority="135">
      <formula>M$6="Actual"</formula>
    </cfRule>
  </conditionalFormatting>
  <conditionalFormatting sqref="M62">
    <cfRule type="expression" dxfId="80" priority="134">
      <formula>M$6="Actual"</formula>
    </cfRule>
  </conditionalFormatting>
  <conditionalFormatting sqref="M62">
    <cfRule type="expression" dxfId="79" priority="133">
      <formula>M$6="Actual"</formula>
    </cfRule>
  </conditionalFormatting>
  <conditionalFormatting sqref="M62">
    <cfRule type="expression" dxfId="78" priority="132">
      <formula>M$6="Actual"</formula>
    </cfRule>
  </conditionalFormatting>
  <conditionalFormatting sqref="M18">
    <cfRule type="expression" dxfId="77" priority="131">
      <formula>M$6="Actual"</formula>
    </cfRule>
  </conditionalFormatting>
  <conditionalFormatting sqref="L6">
    <cfRule type="expression" dxfId="76" priority="129">
      <formula>L$6="Actual"</formula>
    </cfRule>
  </conditionalFormatting>
  <conditionalFormatting sqref="L19 L6">
    <cfRule type="expression" dxfId="75" priority="128">
      <formula>L$6="Actual"</formula>
    </cfRule>
  </conditionalFormatting>
  <conditionalFormatting sqref="L62">
    <cfRule type="expression" dxfId="74" priority="127">
      <formula>L$6="Actual"</formula>
    </cfRule>
  </conditionalFormatting>
  <conditionalFormatting sqref="L62">
    <cfRule type="expression" dxfId="73" priority="126">
      <formula>L$6="Actual"</formula>
    </cfRule>
  </conditionalFormatting>
  <conditionalFormatting sqref="L62">
    <cfRule type="expression" dxfId="72" priority="125">
      <formula>L$6="Actual"</formula>
    </cfRule>
  </conditionalFormatting>
  <conditionalFormatting sqref="L19">
    <cfRule type="expression" dxfId="71" priority="123">
      <formula>L$6="Actual"</formula>
    </cfRule>
  </conditionalFormatting>
  <conditionalFormatting sqref="L62">
    <cfRule type="expression" dxfId="70" priority="122">
      <formula>L$6="Actual"</formula>
    </cfRule>
  </conditionalFormatting>
  <conditionalFormatting sqref="L62">
    <cfRule type="expression" dxfId="69" priority="121">
      <formula>L$6="Actual"</formula>
    </cfRule>
  </conditionalFormatting>
  <conditionalFormatting sqref="L62">
    <cfRule type="expression" dxfId="68" priority="120">
      <formula>L$6="Actual"</formula>
    </cfRule>
  </conditionalFormatting>
  <conditionalFormatting sqref="L18">
    <cfRule type="expression" dxfId="67" priority="119">
      <formula>L$6="Actual"</formula>
    </cfRule>
  </conditionalFormatting>
  <conditionalFormatting sqref="N6">
    <cfRule type="expression" dxfId="66" priority="117">
      <formula>N$6="Actual"</formula>
    </cfRule>
  </conditionalFormatting>
  <conditionalFormatting sqref="N19 N6">
    <cfRule type="expression" dxfId="65" priority="116">
      <formula>N$6="Actual"</formula>
    </cfRule>
  </conditionalFormatting>
  <conditionalFormatting sqref="N62">
    <cfRule type="expression" dxfId="64" priority="115">
      <formula>N$6="Actual"</formula>
    </cfRule>
  </conditionalFormatting>
  <conditionalFormatting sqref="N62">
    <cfRule type="expression" dxfId="63" priority="114">
      <formula>N$6="Actual"</formula>
    </cfRule>
  </conditionalFormatting>
  <conditionalFormatting sqref="N62">
    <cfRule type="expression" dxfId="62" priority="113">
      <formula>N$6="Actual"</formula>
    </cfRule>
  </conditionalFormatting>
  <conditionalFormatting sqref="N19">
    <cfRule type="expression" dxfId="61" priority="111">
      <formula>N$6="Actual"</formula>
    </cfRule>
  </conditionalFormatting>
  <conditionalFormatting sqref="N62">
    <cfRule type="expression" dxfId="60" priority="110">
      <formula>N$6="Actual"</formula>
    </cfRule>
  </conditionalFormatting>
  <conditionalFormatting sqref="N62">
    <cfRule type="expression" dxfId="59" priority="109">
      <formula>N$6="Actual"</formula>
    </cfRule>
  </conditionalFormatting>
  <conditionalFormatting sqref="N62">
    <cfRule type="expression" dxfId="58" priority="108">
      <formula>N$6="Actual"</formula>
    </cfRule>
  </conditionalFormatting>
  <conditionalFormatting sqref="N18">
    <cfRule type="expression" dxfId="57" priority="107">
      <formula>N$6="Actual"</formula>
    </cfRule>
  </conditionalFormatting>
  <conditionalFormatting sqref="R6">
    <cfRule type="expression" dxfId="56" priority="105">
      <formula>R$6="Actual"</formula>
    </cfRule>
  </conditionalFormatting>
  <conditionalFormatting sqref="R19 R6">
    <cfRule type="expression" dxfId="55" priority="104">
      <formula>R$6="Actual"</formula>
    </cfRule>
  </conditionalFormatting>
  <conditionalFormatting sqref="R62">
    <cfRule type="expression" dxfId="54" priority="103">
      <formula>R$6="Actual"</formula>
    </cfRule>
  </conditionalFormatting>
  <conditionalFormatting sqref="R62">
    <cfRule type="expression" dxfId="53" priority="102">
      <formula>R$6="Actual"</formula>
    </cfRule>
  </conditionalFormatting>
  <conditionalFormatting sqref="R62">
    <cfRule type="expression" dxfId="52" priority="101">
      <formula>R$6="Actual"</formula>
    </cfRule>
  </conditionalFormatting>
  <conditionalFormatting sqref="R19">
    <cfRule type="expression" dxfId="51" priority="99">
      <formula>R$6="Actual"</formula>
    </cfRule>
  </conditionalFormatting>
  <conditionalFormatting sqref="R62">
    <cfRule type="expression" dxfId="50" priority="98">
      <formula>R$6="Actual"</formula>
    </cfRule>
  </conditionalFormatting>
  <conditionalFormatting sqref="R62">
    <cfRule type="expression" dxfId="49" priority="97">
      <formula>R$6="Actual"</formula>
    </cfRule>
  </conditionalFormatting>
  <conditionalFormatting sqref="R62">
    <cfRule type="expression" dxfId="48" priority="96">
      <formula>R$6="Actual"</formula>
    </cfRule>
  </conditionalFormatting>
  <conditionalFormatting sqref="R18">
    <cfRule type="expression" dxfId="47" priority="95">
      <formula>R$6="Actual"</formula>
    </cfRule>
  </conditionalFormatting>
  <conditionalFormatting sqref="Q6">
    <cfRule type="expression" dxfId="46" priority="93">
      <formula>Q$6="Actual"</formula>
    </cfRule>
  </conditionalFormatting>
  <conditionalFormatting sqref="Q19 Q6">
    <cfRule type="expression" dxfId="45" priority="92">
      <formula>Q$6="Actual"</formula>
    </cfRule>
  </conditionalFormatting>
  <conditionalFormatting sqref="Q62">
    <cfRule type="expression" dxfId="44" priority="91">
      <formula>Q$6="Actual"</formula>
    </cfRule>
  </conditionalFormatting>
  <conditionalFormatting sqref="Q62">
    <cfRule type="expression" dxfId="43" priority="90">
      <formula>Q$6="Actual"</formula>
    </cfRule>
  </conditionalFormatting>
  <conditionalFormatting sqref="Q62">
    <cfRule type="expression" dxfId="42" priority="89">
      <formula>Q$6="Actual"</formula>
    </cfRule>
  </conditionalFormatting>
  <conditionalFormatting sqref="Q19">
    <cfRule type="expression" dxfId="41" priority="87">
      <formula>Q$6="Actual"</formula>
    </cfRule>
  </conditionalFormatting>
  <conditionalFormatting sqref="Q62">
    <cfRule type="expression" dxfId="40" priority="86">
      <formula>Q$6="Actual"</formula>
    </cfRule>
  </conditionalFormatting>
  <conditionalFormatting sqref="Q62">
    <cfRule type="expression" dxfId="39" priority="85">
      <formula>Q$6="Actual"</formula>
    </cfRule>
  </conditionalFormatting>
  <conditionalFormatting sqref="Q62">
    <cfRule type="expression" dxfId="38" priority="84">
      <formula>Q$6="Actual"</formula>
    </cfRule>
  </conditionalFormatting>
  <conditionalFormatting sqref="Q18">
    <cfRule type="expression" dxfId="37" priority="83">
      <formula>Q$6="Actual"</formula>
    </cfRule>
  </conditionalFormatting>
  <conditionalFormatting sqref="P6">
    <cfRule type="expression" dxfId="36" priority="81">
      <formula>P$6="Actual"</formula>
    </cfRule>
  </conditionalFormatting>
  <conditionalFormatting sqref="P19 P6">
    <cfRule type="expression" dxfId="35" priority="80">
      <formula>P$6="Actual"</formula>
    </cfRule>
  </conditionalFormatting>
  <conditionalFormatting sqref="P62">
    <cfRule type="expression" dxfId="34" priority="79">
      <formula>P$6="Actual"</formula>
    </cfRule>
  </conditionalFormatting>
  <conditionalFormatting sqref="P62">
    <cfRule type="expression" dxfId="33" priority="78">
      <formula>P$6="Actual"</formula>
    </cfRule>
  </conditionalFormatting>
  <conditionalFormatting sqref="P62">
    <cfRule type="expression" dxfId="32" priority="77">
      <formula>P$6="Actual"</formula>
    </cfRule>
  </conditionalFormatting>
  <conditionalFormatting sqref="P19">
    <cfRule type="expression" dxfId="31" priority="75">
      <formula>P$6="Actual"</formula>
    </cfRule>
  </conditionalFormatting>
  <conditionalFormatting sqref="P62">
    <cfRule type="expression" dxfId="30" priority="74">
      <formula>P$6="Actual"</formula>
    </cfRule>
  </conditionalFormatting>
  <conditionalFormatting sqref="P62">
    <cfRule type="expression" dxfId="29" priority="73">
      <formula>P$6="Actual"</formula>
    </cfRule>
  </conditionalFormatting>
  <conditionalFormatting sqref="P62">
    <cfRule type="expression" dxfId="28" priority="72">
      <formula>P$6="Actual"</formula>
    </cfRule>
  </conditionalFormatting>
  <conditionalFormatting sqref="P18">
    <cfRule type="expression" dxfId="27" priority="71">
      <formula>P$6="Actual"</formula>
    </cfRule>
  </conditionalFormatting>
  <conditionalFormatting sqref="L68:M69">
    <cfRule type="expression" dxfId="26" priority="45">
      <formula>L$6="Actual"</formula>
    </cfRule>
  </conditionalFormatting>
  <conditionalFormatting sqref="L73:M73">
    <cfRule type="expression" dxfId="25" priority="44">
      <formula>L$6="Actual"</formula>
    </cfRule>
  </conditionalFormatting>
  <conditionalFormatting sqref="L77:M77">
    <cfRule type="expression" dxfId="24" priority="43">
      <formula>L$6="Actual"</formula>
    </cfRule>
  </conditionalFormatting>
  <conditionalFormatting sqref="P68:Q69">
    <cfRule type="expression" dxfId="23" priority="42">
      <formula>P$6="Actual"</formula>
    </cfRule>
  </conditionalFormatting>
  <conditionalFormatting sqref="P73:Q73">
    <cfRule type="expression" dxfId="22" priority="41">
      <formula>P$6="Actual"</formula>
    </cfRule>
  </conditionalFormatting>
  <conditionalFormatting sqref="P77:Q77">
    <cfRule type="expression" dxfId="21" priority="40">
      <formula>P$6="Actual"</formula>
    </cfRule>
  </conditionalFormatting>
  <conditionalFormatting sqref="S62 S25:S28 S37:S38 S42:S43">
    <cfRule type="expression" dxfId="20" priority="21">
      <formula>S$6="Actual"</formula>
    </cfRule>
  </conditionalFormatting>
  <conditionalFormatting sqref="S19">
    <cfRule type="expression" dxfId="19" priority="20">
      <formula>S$6="Actual"</formula>
    </cfRule>
  </conditionalFormatting>
  <conditionalFormatting sqref="S62">
    <cfRule type="expression" dxfId="18" priority="19">
      <formula>S$6="Actual"</formula>
    </cfRule>
  </conditionalFormatting>
  <conditionalFormatting sqref="S68:S69">
    <cfRule type="expression" dxfId="17" priority="18">
      <formula>S$6="Actual"</formula>
    </cfRule>
  </conditionalFormatting>
  <conditionalFormatting sqref="S73">
    <cfRule type="expression" dxfId="16" priority="17">
      <formula>S$6="Actual"</formula>
    </cfRule>
  </conditionalFormatting>
  <conditionalFormatting sqref="S77">
    <cfRule type="expression" dxfId="15" priority="16">
      <formula>S$6="Actual"</formula>
    </cfRule>
  </conditionalFormatting>
  <conditionalFormatting sqref="S18">
    <cfRule type="expression" dxfId="14" priority="15">
      <formula>S$6="Actual"</formula>
    </cfRule>
  </conditionalFormatting>
  <conditionalFormatting sqref="T62 T25:T28 T37:T38 T42:T43">
    <cfRule type="expression" dxfId="13" priority="14">
      <formula>T$6="Actual"</formula>
    </cfRule>
  </conditionalFormatting>
  <conditionalFormatting sqref="T19">
    <cfRule type="expression" dxfId="12" priority="13">
      <formula>T$6="Actual"</formula>
    </cfRule>
  </conditionalFormatting>
  <conditionalFormatting sqref="T62">
    <cfRule type="expression" dxfId="11" priority="12">
      <formula>T$6="Actual"</formula>
    </cfRule>
  </conditionalFormatting>
  <conditionalFormatting sqref="T68:T69">
    <cfRule type="expression" dxfId="10" priority="11">
      <formula>T$6="Actual"</formula>
    </cfRule>
  </conditionalFormatting>
  <conditionalFormatting sqref="T73">
    <cfRule type="expression" dxfId="9" priority="10">
      <formula>T$6="Actual"</formula>
    </cfRule>
  </conditionalFormatting>
  <conditionalFormatting sqref="T77">
    <cfRule type="expression" dxfId="8" priority="9">
      <formula>T$6="Actual"</formula>
    </cfRule>
  </conditionalFormatting>
  <conditionalFormatting sqref="T18">
    <cfRule type="expression" dxfId="7" priority="8">
      <formula>T$6="Actual"</formula>
    </cfRule>
  </conditionalFormatting>
  <conditionalFormatting sqref="U62 U25:U28 U37:U38 U42:U43">
    <cfRule type="expression" dxfId="6" priority="7">
      <formula>U$6="Actual"</formula>
    </cfRule>
  </conditionalFormatting>
  <conditionalFormatting sqref="U19">
    <cfRule type="expression" dxfId="5" priority="6">
      <formula>U$6="Actual"</formula>
    </cfRule>
  </conditionalFormatting>
  <conditionalFormatting sqref="U62">
    <cfRule type="expression" dxfId="4" priority="5">
      <formula>U$6="Actual"</formula>
    </cfRule>
  </conditionalFormatting>
  <conditionalFormatting sqref="U68:U69">
    <cfRule type="expression" dxfId="3" priority="4">
      <formula>U$6="Actual"</formula>
    </cfRule>
  </conditionalFormatting>
  <conditionalFormatting sqref="U73">
    <cfRule type="expression" dxfId="2" priority="3">
      <formula>U$6="Actual"</formula>
    </cfRule>
  </conditionalFormatting>
  <conditionalFormatting sqref="U77">
    <cfRule type="expression" dxfId="1" priority="2">
      <formula>U$6="Actual"</formula>
    </cfRule>
  </conditionalFormatting>
  <conditionalFormatting sqref="U18">
    <cfRule type="expression" dxfId="0" priority="1">
      <formula>U$6="Actual"</formula>
    </cfRule>
  </conditionalFormatting>
  <pageMargins left="0.7" right="0.7" top="0.75" bottom="0.75" header="0.3" footer="0.3"/>
  <pageSetup orientation="portrait" r:id="rId1"/>
  <headerFooter>
    <oddHeader>&amp;C&amp;"-,Bold"&amp;14CallFire Profit &amp; Loss
2012</oddHeader>
    <oddFooter>&amp;RConfidential 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3693D853573794A9F719E42EDBC08A9" ma:contentTypeVersion="0" ma:contentTypeDescription="Create a new document." ma:contentTypeScope="" ma:versionID="c57db5d9419dcb1cd86073684aa07216">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11EC8E39-1A06-4957-A9FF-BD76895B68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ADFA2929-113D-4C6D-8870-A06600B51668}">
  <ds:schemaRefs>
    <ds:schemaRef ds:uri="http://schemas.microsoft.com/sharepoint/v3/contenttype/forms"/>
  </ds:schemaRefs>
</ds:datastoreItem>
</file>

<file path=customXml/itemProps3.xml><?xml version="1.0" encoding="utf-8"?>
<ds:datastoreItem xmlns:ds="http://schemas.openxmlformats.org/officeDocument/2006/customXml" ds:itemID="{FE4A7F11-FDC1-41B7-B383-7C4C97123DC4}">
  <ds:schemaRefs>
    <ds:schemaRef ds:uri="http://purl.org/dc/terms/"/>
    <ds:schemaRef ds:uri="http://schemas.openxmlformats.org/package/2006/metadata/core-properties"/>
    <ds:schemaRef ds:uri="http://purl.org/dc/elements/1.1/"/>
    <ds:schemaRef ds:uri="http://purl.org/dc/dcmitype/"/>
    <ds:schemaRef ds:uri="http://schemas.microsoft.com/office/2006/metadata/properties"/>
    <ds:schemaRef ds:uri="http://schemas.microsoft.com/office/2006/documentManagement/typ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12</vt:i4>
      </vt:variant>
    </vt:vector>
  </HeadingPairs>
  <TitlesOfParts>
    <vt:vector size="50" baseType="lpstr">
      <vt:lpstr>Board MidQtr</vt:lpstr>
      <vt:lpstr>Board Plan vs Current Plan</vt:lpstr>
      <vt:lpstr>BOD Summary</vt:lpstr>
      <vt:lpstr>Metrics</vt:lpstr>
      <vt:lpstr>Sensativities</vt:lpstr>
      <vt:lpstr>CAC Update</vt:lpstr>
      <vt:lpstr>P&amp;L - Monthly</vt:lpstr>
      <vt:lpstr>BS - Monthly</vt:lpstr>
      <vt:lpstr>CF - Monthly</vt:lpstr>
      <vt:lpstr>HC Summary</vt:lpstr>
      <vt:lpstr>Debt</vt:lpstr>
      <vt:lpstr>EzTxtNote</vt:lpstr>
      <vt:lpstr>Voice Revenue</vt:lpstr>
      <vt:lpstr>SMS Revenue</vt:lpstr>
      <vt:lpstr>SMS Sub</vt:lpstr>
      <vt:lpstr>SMS Exp</vt:lpstr>
      <vt:lpstr>Voice Exp</vt:lpstr>
      <vt:lpstr>Headcount</vt:lpstr>
      <vt:lpstr>Direct People Department Costs</vt:lpstr>
      <vt:lpstr>New Hires Forecast</vt:lpstr>
      <vt:lpstr>Controllable Expenses Forecast</vt:lpstr>
      <vt:lpstr>Sales</vt:lpstr>
      <vt:lpstr>Planning_Mkt</vt:lpstr>
      <vt:lpstr>Marketing</vt:lpstr>
      <vt:lpstr>Software</vt:lpstr>
      <vt:lpstr>Finance</vt:lpstr>
      <vt:lpstr>Dev Ops</vt:lpstr>
      <vt:lpstr>Exec</vt:lpstr>
      <vt:lpstr>BI</vt:lpstr>
      <vt:lpstr>G&amp;A</vt:lpstr>
      <vt:lpstr>CAPEX &amp; Depr </vt:lpstr>
      <vt:lpstr>Cost Summary</vt:lpstr>
      <vt:lpstr>BS - CF Actuals</vt:lpstr>
      <vt:lpstr>Gross Margin Actual</vt:lpstr>
      <vt:lpstr>Dept. Cost Actuals</vt:lpstr>
      <vt:lpstr>TO ADD</vt:lpstr>
      <vt:lpstr>P&amp;L - Qtrly</vt:lpstr>
      <vt:lpstr>P&amp;L - Yrly</vt:lpstr>
      <vt:lpstr>'Board Plan vs Current Plan'!Print_Area</vt:lpstr>
      <vt:lpstr>'BOD Summary'!Print_Area</vt:lpstr>
      <vt:lpstr>'BS - Monthly'!Print_Area</vt:lpstr>
      <vt:lpstr>'CF - Monthly'!Print_Area</vt:lpstr>
      <vt:lpstr>'HC Summary'!Print_Area</vt:lpstr>
      <vt:lpstr>Metrics!Print_Area</vt:lpstr>
      <vt:lpstr>'P&amp;L - Monthly'!Print_Area</vt:lpstr>
      <vt:lpstr>'P&amp;L - Yrly'!Print_Area</vt:lpstr>
      <vt:lpstr>'BOD Summary'!Print_Titles</vt:lpstr>
      <vt:lpstr>'BS - Monthly'!Print_Titles</vt:lpstr>
      <vt:lpstr>'CF - Monthly'!Print_Titles</vt:lpstr>
      <vt:lpstr>'P&amp;L - Monthly'!Print_Titles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 Burr</dc:creator>
  <cp:lastModifiedBy>jpavlik</cp:lastModifiedBy>
  <cp:lastPrinted>2014-04-21T18:49:30Z</cp:lastPrinted>
  <dcterms:created xsi:type="dcterms:W3CDTF">2011-08-08T18:29:52Z</dcterms:created>
  <dcterms:modified xsi:type="dcterms:W3CDTF">2014-05-01T14:46:39Z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0x010100C3693D853573794A9F719E42EDBC08A9</vt:lpwstr>
  </property>
</Properties>
</file>